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firstSheet="4" activeTab="7"/>
  </bookViews>
  <sheets>
    <sheet name="TỔNG KLH + TN" sheetId="1" state="hidden" r:id="rId1"/>
    <sheet name="01. TH" sheetId="2" r:id="rId2"/>
    <sheet name="02. MM-KLH" sheetId="3" r:id="rId3"/>
    <sheet name="02.1 NHÓM XE &amp; MÁY" sheetId="4" r:id="rId4"/>
    <sheet name="03. THIẾT BỊ" sheetId="5" r:id="rId5"/>
    <sheet name="XE &amp; MÁY CG AGRI" sheetId="6" r:id="rId6"/>
    <sheet name="TB CG AGRI" sheetId="7" r:id="rId7"/>
    <sheet name="NS QUẢN LÝ CG" sheetId="8" r:id="rId8"/>
    <sheet name="04. XMA" sheetId="9" r:id="rId9"/>
    <sheet name="03.1 NHÓM TB" sheetId="10" state="hidden" r:id="rId10"/>
    <sheet name="Danh mục" sheetId="11" state="hidden" r:id="rId11"/>
    <sheet name="Thông số" sheetId="12" state="hidden" r:id="rId12"/>
    <sheet name="05. MPC" sheetId="13" r:id="rId13"/>
    <sheet name="07. MFĐ" sheetId="14" r:id="rId14"/>
    <sheet name="06. MCG-MKH" sheetId="15" state="hidden" r:id="rId15"/>
    <sheet name="08. ĐKĐK" sheetId="16" r:id="rId16"/>
    <sheet name="THIẾT BỊ ĐIỆN NƯỚC" sheetId="17" state="hidden" r:id="rId17"/>
    <sheet name=" 02.1 KLH-CN MÃ BRAVO MM" sheetId="18" state="hidden" r:id="rId18"/>
    <sheet name="03.1-TB.SXCN" sheetId="19" state="hidden" r:id="rId19"/>
    <sheet name="TT BTSC" sheetId="20" state="hidden" r:id="rId20"/>
  </sheets>
  <externalReferences>
    <externalReference r:id="rId21"/>
  </externalReferences>
  <definedNames>
    <definedName name="_xlnm._FilterDatabase" localSheetId="4" hidden="1">'03. THIẾT BỊ'!$A$2:$S$882</definedName>
    <definedName name="_xlnm._FilterDatabase" localSheetId="9" hidden="1">'03.1 NHÓM TB'!$A$2:$S$948</definedName>
    <definedName name="_xlnm._FilterDatabase" localSheetId="10" hidden="1">'Danh mục'!$B$1:$I$1799</definedName>
    <definedName name="_xlnm._FilterDatabase" localSheetId="11" hidden="1">'Thông số'!$A$1:$B$102</definedName>
    <definedName name="_xlnm._FilterDatabase" localSheetId="17" hidden="1">' 02.1 KLH-CN MÃ BRAVO MM'!$A$2:$R$20</definedName>
    <definedName name="_xlnm._FilterDatabase" localSheetId="18" hidden="1">'03.1-TB.SXCN'!$A$2:$Q$342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<sst xmlns="http://schemas.openxmlformats.org/spreadsheetml/2006/main" count="48175" uniqueCount="8722">
  <si>
    <t>https://docs.google.com/spreadsheets/d/1i-eBGlD9GCKjjW_oVzhKXTG7rkg5adA55PmkVD7FH2A/edit?usp=sharing</t>
  </si>
  <si>
    <t>TỔNG HỢP XE - MÁY MÓC THIẾT BỊ KLH KOUNMOM</t>
  </si>
  <si>
    <t>STT</t>
  </si>
  <si>
    <t>TÊN MÁY MÓC THIẾT BỊ</t>
  </si>
  <si>
    <t>Công suất</t>
  </si>
  <si>
    <t>Kích thước</t>
  </si>
  <si>
    <t>Đvt</t>
  </si>
  <si>
    <t>KV DAUPENH</t>
  </si>
  <si>
    <t>KV LUMPHAT</t>
  </si>
  <si>
    <t>KV ANDONGMEAS</t>
  </si>
  <si>
    <t>KLH</t>
  </si>
  <si>
    <t>TỔNG</t>
  </si>
  <si>
    <t>HƯ HỎNG</t>
  </si>
  <si>
    <t>Ghi chú</t>
  </si>
  <si>
    <t>CGTC DP</t>
  </si>
  <si>
    <t>CGLĐ DP</t>
  </si>
  <si>
    <t>XN Chuối DP1</t>
  </si>
  <si>
    <t>XN Chuối DP2</t>
  </si>
  <si>
    <t>XN Chuối DP3</t>
  </si>
  <si>
    <t>CAT DP</t>
  </si>
  <si>
    <t>Xưởng Cơ khí DP</t>
  </si>
  <si>
    <t>NM NHỰA -XỐP DP</t>
  </si>
  <si>
    <t>Tổng kho</t>
  </si>
  <si>
    <t>CGTC LP</t>
  </si>
  <si>
    <t>CGLĐ LP</t>
  </si>
  <si>
    <t>XN Chuối LP1</t>
  </si>
  <si>
    <t>XN Chuối LP3</t>
  </si>
  <si>
    <t>CGTC AD</t>
  </si>
  <si>
    <t>CAT AD</t>
  </si>
  <si>
    <t>XN Bò AD</t>
  </si>
  <si>
    <t>Xưởng Cơ khí ADM&amp;LP</t>
  </si>
  <si>
    <t>Phòng GNVC</t>
  </si>
  <si>
    <t>Trạm trộn bê tông</t>
  </si>
  <si>
    <t>Ban điện nước</t>
  </si>
  <si>
    <t>THACO ID&amp;ME</t>
  </si>
  <si>
    <t>HÀNH CHÍNH KLH</t>
  </si>
  <si>
    <t>THAGRICONS</t>
  </si>
  <si>
    <t>BAN CG-CK &amp; SXCN</t>
  </si>
  <si>
    <t>BAN KT CHUỐI</t>
  </si>
  <si>
    <t>Máy đào</t>
  </si>
  <si>
    <t>Máy đào CAT 305 bánh xích gàu 0.3m3</t>
  </si>
  <si>
    <t>45HP</t>
  </si>
  <si>
    <t>Xe</t>
  </si>
  <si>
    <t>Máy đào DX140W bánh lốp gàu 0.7m3</t>
  </si>
  <si>
    <t>130HP</t>
  </si>
  <si>
    <t>Máy đào KOBELCO bánh xích gàu 1.2m3</t>
  </si>
  <si>
    <t>Máy đào KOMATSU bánh lốp gàu 0.7m3</t>
  </si>
  <si>
    <t>Máy đào KOMATSU bánh lốp gàu 0.8m3</t>
  </si>
  <si>
    <t>150HP</t>
  </si>
  <si>
    <t>Máy đào KOMATSU bánh xích gàu 0.3m3</t>
  </si>
  <si>
    <t>Máy đào KOMATSU bánh xích gàu 0.8m3</t>
  </si>
  <si>
    <t>Máy đào ROBEX 140W bánh lốp gàu 0.5m3</t>
  </si>
  <si>
    <t>Máy đào SH130 bánh xích gàu 0.5m3</t>
  </si>
  <si>
    <t>Máy đào SH210 bánh xích gàu 0.9m3</t>
  </si>
  <si>
    <t>160HP</t>
  </si>
  <si>
    <t>Máy đào U35 bánh xích gàu 0.3m3</t>
  </si>
  <si>
    <t>Máy ủi</t>
  </si>
  <si>
    <t>Máy ủi KOMATSU D31PX</t>
  </si>
  <si>
    <t>75HP</t>
  </si>
  <si>
    <t>Máy ủi KOMATSU D31PX-21</t>
  </si>
  <si>
    <t>Máy ủi KOMATSU D60P</t>
  </si>
  <si>
    <t>190HP</t>
  </si>
  <si>
    <t>Máy ủi KOMATSU D60P-12E</t>
  </si>
  <si>
    <t>Máy ủi KOMATSU D61</t>
  </si>
  <si>
    <t>155HP</t>
  </si>
  <si>
    <t>Máy ủi KOMATSU D65P-12</t>
  </si>
  <si>
    <t>Máy ủi KOMATSU D65PX-12</t>
  </si>
  <si>
    <t>Xe ban</t>
  </si>
  <si>
    <t>Xe ban Komatsu 705A</t>
  </si>
  <si>
    <t>200HP</t>
  </si>
  <si>
    <t>Xe ban KOMATSU GD605A</t>
  </si>
  <si>
    <t>145HPP</t>
  </si>
  <si>
    <t>Xe lu</t>
  </si>
  <si>
    <t>Xe lu rung DYNAPAC 5 tấn</t>
  </si>
  <si>
    <t>Xe lu rung Sakai 3.5 tấn</t>
  </si>
  <si>
    <t>30HP</t>
  </si>
  <si>
    <t>Xe lu rung SV521DH 11 tấn</t>
  </si>
  <si>
    <t>112HP</t>
  </si>
  <si>
    <t>Xe lu tĩnh R2 10 tấn</t>
  </si>
  <si>
    <t>Xe xúc lật</t>
  </si>
  <si>
    <t>Xe xúc lật BOBCAT 753</t>
  </si>
  <si>
    <t>44HP</t>
  </si>
  <si>
    <t>Xe xúc lật BOBCAT 763</t>
  </si>
  <si>
    <t>46HP</t>
  </si>
  <si>
    <t>Xe xúc lật L935H</t>
  </si>
  <si>
    <t>140HP</t>
  </si>
  <si>
    <t>Xe xúc lật LEHMAN ZL940G</t>
  </si>
  <si>
    <t>115HP</t>
  </si>
  <si>
    <t>Xe xúc lật LEHMAN ZL946E</t>
  </si>
  <si>
    <t>114HP</t>
  </si>
  <si>
    <t>Xe xúc lật LEHMAN ZL946GP</t>
  </si>
  <si>
    <t>Xe xúc lật LEHMAN ZL946PR</t>
  </si>
  <si>
    <t>Xe xúc lật MT625H</t>
  </si>
  <si>
    <t>Xe xúc lật SDLG L936H</t>
  </si>
  <si>
    <t>143HP</t>
  </si>
  <si>
    <t>Xe xúc lật TCM 709</t>
  </si>
  <si>
    <t>Xe xúc lật WA200-3</t>
  </si>
  <si>
    <t>125HP</t>
  </si>
  <si>
    <t>Xe xúc lật WA350</t>
  </si>
  <si>
    <t>Xe xúc lật WA400</t>
  </si>
  <si>
    <t>208HP</t>
  </si>
  <si>
    <t>Xe xúc lật WSM953</t>
  </si>
  <si>
    <t>120HP</t>
  </si>
  <si>
    <t>Xe ben</t>
  </si>
  <si>
    <t>Xe ben AUMAN GTL D300 E4</t>
  </si>
  <si>
    <t>375HP</t>
  </si>
  <si>
    <t>Xe ben FC150</t>
  </si>
  <si>
    <t>Xe ben FD120</t>
  </si>
  <si>
    <t>Xe ben FD140</t>
  </si>
  <si>
    <t>Xe ben FD150</t>
  </si>
  <si>
    <t>Xe ben FD850</t>
  </si>
  <si>
    <t>Xe ben Forland FD990-4WDXTH4-5T</t>
  </si>
  <si>
    <t>94HP</t>
  </si>
  <si>
    <t>Xe ben HOWO TXD600</t>
  </si>
  <si>
    <t>380HP</t>
  </si>
  <si>
    <t>Xe tải</t>
  </si>
  <si>
    <t>Xe tải Forland FD140</t>
  </si>
  <si>
    <t>Xe tải THACO FRONTIER TF490</t>
  </si>
  <si>
    <t>107HP</t>
  </si>
  <si>
    <t>Xe tải thùng Auman C160</t>
  </si>
  <si>
    <t>95HP</t>
  </si>
  <si>
    <t>Xe tải thùng FC150</t>
  </si>
  <si>
    <t>Xe tải thùng FD140</t>
  </si>
  <si>
    <t>Xe tải Frontier TF2800</t>
  </si>
  <si>
    <t>100HP</t>
  </si>
  <si>
    <t>Xe tải Van THACO FRONTIER TF420-5S</t>
  </si>
  <si>
    <t>Xe tải ben Howo 371</t>
  </si>
  <si>
    <t>Xe tải KOZUN</t>
  </si>
  <si>
    <t>50HP</t>
  </si>
  <si>
    <t>Xe bồn</t>
  </si>
  <si>
    <t>Xe ben AUMAN GTL D300 E4 (Cấp đầu)</t>
  </si>
  <si>
    <t>Xe bồn AUMAN ETX D300</t>
  </si>
  <si>
    <t>330HP</t>
  </si>
  <si>
    <t>Xe bồn AUMAN ETX D300 (Bồn tưới 18m3)</t>
  </si>
  <si>
    <t>336HP</t>
  </si>
  <si>
    <t>Xe tải AUMAN GTL D300 E4 (Cấp dầu)</t>
  </si>
  <si>
    <t>Xe tải bồn CNHTC Sinotruk</t>
  </si>
  <si>
    <t>338HP</t>
  </si>
  <si>
    <t>Xe tải bồn FORTON</t>
  </si>
  <si>
    <t>335HP</t>
  </si>
  <si>
    <t>Xe tải bồn HYUNDAI HD 270</t>
  </si>
  <si>
    <t>280HP</t>
  </si>
  <si>
    <t>Xe tải FD850 (Cấp dầu)</t>
  </si>
  <si>
    <t>Xe cẩu</t>
  </si>
  <si>
    <t>Xe cẩu 3.5 tấn</t>
  </si>
  <si>
    <t>Xe cẩu Hyundai 5 tấn</t>
  </si>
  <si>
    <t>180HP</t>
  </si>
  <si>
    <t>Xe cẩu 5 tấn</t>
  </si>
  <si>
    <t>Xe cẩu AUMAN 15 tấn</t>
  </si>
  <si>
    <t>Xe cẩu bàn 5 tấn</t>
  </si>
  <si>
    <t>Xe cẩu thùng FOTON AUMAN 8 tấn</t>
  </si>
  <si>
    <t>266HP</t>
  </si>
  <si>
    <t>Xe cẩu ZOOMLION 55 tấn</t>
  </si>
  <si>
    <t>Đầu kéo</t>
  </si>
  <si>
    <t>Xe container FUSO FZ49</t>
  </si>
  <si>
    <t>Xe đầu kéo FD1600B</t>
  </si>
  <si>
    <t>177HP</t>
  </si>
  <si>
    <t>5705x2530x2940</t>
  </si>
  <si>
    <t>Xe đầu kéo HOWO</t>
  </si>
  <si>
    <t>299HP</t>
  </si>
  <si>
    <t>6255x2500x3840</t>
  </si>
  <si>
    <t>Xe đầu kéo TT261J-MT</t>
  </si>
  <si>
    <t>295HP</t>
  </si>
  <si>
    <t>Máy cày</t>
  </si>
  <si>
    <t>Máy cày bánh xích ISEKI</t>
  </si>
  <si>
    <t>Máy cày bánh xích LOVOL</t>
  </si>
  <si>
    <t>Máy cày bánh xích LOVOL TB1002C</t>
  </si>
  <si>
    <t>Máy cày bánh xích Mitsubishi</t>
  </si>
  <si>
    <t>Máy cày bánh xích MOROOKA</t>
  </si>
  <si>
    <t>250HP</t>
  </si>
  <si>
    <t>Máy cày bánh xích YANMAR</t>
  </si>
  <si>
    <t>Máy cày bánh xích CT55</t>
  </si>
  <si>
    <t>55HP</t>
  </si>
  <si>
    <t>Máy cày bánh xích CT65</t>
  </si>
  <si>
    <t>65HP</t>
  </si>
  <si>
    <t>Máy cày bánh xích CT652</t>
  </si>
  <si>
    <t>Máy cày JD 2850</t>
  </si>
  <si>
    <t>90HP</t>
  </si>
  <si>
    <t>Máy cày JD 3350</t>
  </si>
  <si>
    <t>Máy cày JD 3640</t>
  </si>
  <si>
    <t>Máy cày JD 3650</t>
  </si>
  <si>
    <t>Máy cày JD 5090E</t>
  </si>
  <si>
    <t>Máy cày JD 5425</t>
  </si>
  <si>
    <t>Máy cày JD 5510</t>
  </si>
  <si>
    <t>Máy cày JD 5520</t>
  </si>
  <si>
    <t>Máy cày JD 6120B</t>
  </si>
  <si>
    <t>Máy cày JD 6155J</t>
  </si>
  <si>
    <t>Máy cày JD 6200</t>
  </si>
  <si>
    <t>110HP</t>
  </si>
  <si>
    <t>Máy cày JD 6210</t>
  </si>
  <si>
    <t>Máy cày JD 6300</t>
  </si>
  <si>
    <t>Máy cày JD 6400</t>
  </si>
  <si>
    <t>Máy cày JD 6600</t>
  </si>
  <si>
    <t>Máy cày JD 6603</t>
  </si>
  <si>
    <t>Máy cày JD 6620</t>
  </si>
  <si>
    <t>Máy cày JD 7800</t>
  </si>
  <si>
    <t>170HP</t>
  </si>
  <si>
    <t>Máy cày KAM50</t>
  </si>
  <si>
    <t>Máy cày KUBOTA L2002DT</t>
  </si>
  <si>
    <t>20HP</t>
  </si>
  <si>
    <t>Máy cày L4508</t>
  </si>
  <si>
    <t>Máy cày LOVOL 1504</t>
  </si>
  <si>
    <t>Máy cày LOVOL 2204</t>
  </si>
  <si>
    <t>217HP</t>
  </si>
  <si>
    <t>Máy cày LOVOL P3050</t>
  </si>
  <si>
    <t>47HP</t>
  </si>
  <si>
    <t>Máy cày LOVOL P4100</t>
  </si>
  <si>
    <t>Máy cày M6040</t>
  </si>
  <si>
    <t>60HP</t>
  </si>
  <si>
    <t>Máy cày M9540</t>
  </si>
  <si>
    <t>Máy cày NH TD157</t>
  </si>
  <si>
    <t>157HP</t>
  </si>
  <si>
    <t>Máy bánh xích phục vụ nông nghiệp</t>
  </si>
  <si>
    <t>Xe rùa bánh xích HỒNG HÀ</t>
  </si>
  <si>
    <t>87HP</t>
  </si>
  <si>
    <t>Xe rùa bánh xích MST2000</t>
  </si>
  <si>
    <t>236HP</t>
  </si>
  <si>
    <t>Xe rùa bánh xích MST700E</t>
  </si>
  <si>
    <t>Máy cày SHIBAURA</t>
  </si>
  <si>
    <t>15HP</t>
  </si>
  <si>
    <t xml:space="preserve">Xe bánh xích gom phân chuồng </t>
  </si>
  <si>
    <t>Xe phun thuốc</t>
  </si>
  <si>
    <t>Xe phun thuốc FC950</t>
  </si>
  <si>
    <t>Xe phun thuốc chuyên dụng</t>
  </si>
  <si>
    <t>85HP</t>
  </si>
  <si>
    <t>Xe phun thuốc FD 3.5T</t>
  </si>
  <si>
    <t>Xe phun thuốc HYUNDAI 15T</t>
  </si>
  <si>
    <t>Xe phun thuốc FAW 15T</t>
  </si>
  <si>
    <t>Xe vận chuyển phục vụ chăn nuôi bò</t>
  </si>
  <si>
    <t>Xe chở cám FC950</t>
  </si>
  <si>
    <t>Xe chở phân FD120 (5.41m3)</t>
  </si>
  <si>
    <t>Xe chở phân FD150 (11.8m3)</t>
  </si>
  <si>
    <t>Xe chở phân FD150 (8.7m3)</t>
  </si>
  <si>
    <t>Xe hứng cỏ FC150 (30m3)</t>
  </si>
  <si>
    <t>Xe rải thức ăn FD1600B (23m3)</t>
  </si>
  <si>
    <t>7810x3100x3720</t>
  </si>
  <si>
    <t>Xe nâng</t>
  </si>
  <si>
    <t>Xe nâng 3 tấn</t>
  </si>
  <si>
    <t>Xe nâng dầu HELI 3.5 tấn</t>
  </si>
  <si>
    <t>Xe nâng dầu KOMATSU 3.5 tấn</t>
  </si>
  <si>
    <t>Xe nâng dầu YALE 3.5 tấn</t>
  </si>
  <si>
    <t>Xe nâng điện 1.5 tấn</t>
  </si>
  <si>
    <t>12HP</t>
  </si>
  <si>
    <t>Xe nâng điện 2.5 tấn</t>
  </si>
  <si>
    <t>Xe nâng điện 3.5 tấn</t>
  </si>
  <si>
    <t>Xe nâng điện 5 tấn</t>
  </si>
  <si>
    <t>Xe nâng 2.5 tấn</t>
  </si>
  <si>
    <t>Xe nâng tay điện 1.5 tấn</t>
  </si>
  <si>
    <t>0HP</t>
  </si>
  <si>
    <t>Xe nâng 3.5T-CĐ18</t>
  </si>
  <si>
    <t>Xe KIA K200SD</t>
  </si>
  <si>
    <t>Xe tải chuyên dụng (cabin đôi)</t>
  </si>
  <si>
    <t>Xe tải chuyên dụng (thùng lửng)</t>
  </si>
  <si>
    <t>Xe tải Libero</t>
  </si>
  <si>
    <t>Xe cấp cứu</t>
  </si>
  <si>
    <t>Xe cấp cứu Hyundai Starex</t>
  </si>
  <si>
    <t>Xe chở rác</t>
  </si>
  <si>
    <t>Xe chở rác K250B</t>
  </si>
  <si>
    <t>Xe đông lạnh</t>
  </si>
  <si>
    <t>Xe tải đông lạnh K200</t>
  </si>
  <si>
    <t>Xe công vụ</t>
  </si>
  <si>
    <t>Xe công vụ Mazda BT50</t>
  </si>
  <si>
    <t>Xe công vụ Ford Everest</t>
  </si>
  <si>
    <t>Xe công vụ Kia Sedona</t>
  </si>
  <si>
    <t>Xe công vụ Toyota Land Cruiser</t>
  </si>
  <si>
    <t>Xe công vụ Toyota Hilux</t>
  </si>
  <si>
    <t>Xe công vụ Mazda CX8</t>
  </si>
  <si>
    <t>Xe công vụ 81C-04285</t>
  </si>
  <si>
    <t>Xe bus</t>
  </si>
  <si>
    <t>Xe đưa đón CBNV-47 chỗ</t>
  </si>
  <si>
    <t>Máy kéo chuối</t>
  </si>
  <si>
    <t>Máy kéo chuối</t>
  </si>
  <si>
    <t>10HP</t>
  </si>
  <si>
    <t>Máy nhỏ</t>
  </si>
  <si>
    <t>Máy kéo chuối (Đcơ điện)</t>
  </si>
  <si>
    <t>MMTB Khác</t>
  </si>
  <si>
    <t>Máy cắt cỏ đẩy tay đa năng</t>
  </si>
  <si>
    <t>2.5HP</t>
  </si>
  <si>
    <t>Máy cắt cỏ đĩa quay 7.5HP</t>
  </si>
  <si>
    <t>7.5HP</t>
  </si>
  <si>
    <t>Máy cắt cỏ đĩa quay 8HP</t>
  </si>
  <si>
    <t>8HP</t>
  </si>
  <si>
    <t>Máy cắt cỏ mini Yanmar</t>
  </si>
  <si>
    <t>Máy cắt cỏ trục băm đa năng</t>
  </si>
  <si>
    <t>Máy xới đất</t>
  </si>
  <si>
    <t>Máy thu hoạch cỏ Ruzi</t>
  </si>
  <si>
    <t>1.3HP</t>
  </si>
  <si>
    <t>Xe clethon</t>
  </si>
  <si>
    <t>Xe lôi</t>
  </si>
  <si>
    <t>Xe máy</t>
  </si>
  <si>
    <t>-</t>
  </si>
  <si>
    <t>1913 x 689 x 1076</t>
  </si>
  <si>
    <t>Xe máy thu hoạch</t>
  </si>
  <si>
    <t>Máy phát cỏ 2 thì</t>
  </si>
  <si>
    <t>Máy phát cỏ 4 thì</t>
  </si>
  <si>
    <t>Máy cưa gỗ</t>
  </si>
  <si>
    <t>Máy khoan hố cầm tay</t>
  </si>
  <si>
    <t>Máy tời xe máy 3.5T</t>
  </si>
  <si>
    <t>Máy phun thuốc RELOAD 7045</t>
  </si>
  <si>
    <t>Máy cao áp phun thuốc</t>
  </si>
  <si>
    <t>Thiết bị cơ giới thi công</t>
  </si>
  <si>
    <t>Búa đục bê tông</t>
  </si>
  <si>
    <t>Thiết bị</t>
  </si>
  <si>
    <t>Đầm taluy (Đầm rung thủy lực)</t>
  </si>
  <si>
    <t>Thiết bị cơ giới làm đất</t>
  </si>
  <si>
    <t>Bộ bánh lồng thép</t>
  </si>
  <si>
    <t xml:space="preserve"> 1590mm x 1300mm</t>
  </si>
  <si>
    <t>Thiết bị bừa 24 chảo</t>
  </si>
  <si>
    <t>150x150x200</t>
  </si>
  <si>
    <t>Thiết bị bừa 30 chảo</t>
  </si>
  <si>
    <t>Thiết Bị Bừa 32 Chảo</t>
  </si>
  <si>
    <t>Thiết bị bừa 36 chảo</t>
  </si>
  <si>
    <t>Thiết bị bừa 7 chảo</t>
  </si>
  <si>
    <t>1230x1705x860</t>
  </si>
  <si>
    <t>Thiết bị bừa 8 chảo</t>
  </si>
  <si>
    <t>1970x1460x978</t>
  </si>
  <si>
    <t>Thiết bị bừa 9 chảo</t>
  </si>
  <si>
    <t>2189x1335x1058</t>
  </si>
  <si>
    <t>Dàn rải phân (10m3)</t>
  </si>
  <si>
    <t>6525x2385x2775</t>
  </si>
  <si>
    <t>Thiết bị đào rãnh đặt ống tưới</t>
  </si>
  <si>
    <t>1900x1900x1800</t>
  </si>
  <si>
    <t>Thiết bị cắt cỏ 1 bên</t>
  </si>
  <si>
    <t>180x86x72</t>
  </si>
  <si>
    <t>Thiết bị cày 3 chảo</t>
  </si>
  <si>
    <t>1070 x 2310 x 1300</t>
  </si>
  <si>
    <t>Thiết bị cày 4 chảo</t>
  </si>
  <si>
    <t>960 x 2260 x 950</t>
  </si>
  <si>
    <t>Thiết bị cày ngầm 3 trụ</t>
  </si>
  <si>
    <t>1830x1885x1590</t>
  </si>
  <si>
    <t>Thiết bị phun vôi/rải vô cơ</t>
  </si>
  <si>
    <t>1800x1180x1152</t>
  </si>
  <si>
    <t>Thiết bị rạch luống trồng chuối</t>
  </si>
  <si>
    <t>Thiết bị tạo rãnh</t>
  </si>
  <si>
    <t>2000x2700x1000</t>
  </si>
  <si>
    <t>Thiết bị xới đất 2.2m</t>
  </si>
  <si>
    <t>Thiết bị lên luống 2 chảo</t>
  </si>
  <si>
    <t>Thiết bị gom gốc gắn máy kéo</t>
  </si>
  <si>
    <t>Thiết bị úp luống 6 chảo</t>
  </si>
  <si>
    <t xml:space="preserve">Thiết bị cắt cỏ 1 bên </t>
  </si>
  <si>
    <t>Thiết bị phay cỏ 1.5m</t>
  </si>
  <si>
    <t>Thiết bị rãi phân hữu cơ</t>
  </si>
  <si>
    <t>3500 x 2200 x 2150</t>
  </si>
  <si>
    <t>Thiết bị phục vụ chăn nuôi bò</t>
  </si>
  <si>
    <t>Thiết bị gắp lá chuối</t>
  </si>
  <si>
    <t>115x130x120</t>
  </si>
  <si>
    <t>Thiết bị cào xới váng</t>
  </si>
  <si>
    <t>1195 x 4200 x 1148</t>
  </si>
  <si>
    <t>Thiết bị cắt cỏ - Mower</t>
  </si>
  <si>
    <t>2x2.3x1.4</t>
  </si>
  <si>
    <t>Thiết bị cắt cỏ đĩa quay</t>
  </si>
  <si>
    <t>2000 x 2300 x 1400</t>
  </si>
  <si>
    <t>Thiết bị cày chăm bắp</t>
  </si>
  <si>
    <t>1400 x 900 x 1100</t>
  </si>
  <si>
    <t>TB chở phụ phẩm</t>
  </si>
  <si>
    <t xml:space="preserve">2300 x 650 x 1050 </t>
  </si>
  <si>
    <t>Thiết bị đóng bánh cỏ Balentine</t>
  </si>
  <si>
    <t>700x800x1000</t>
  </si>
  <si>
    <t>1000 x 350</t>
  </si>
  <si>
    <t>Thiết bị gieo hạt cỏ</t>
  </si>
  <si>
    <t>1485x2510x1255</t>
  </si>
  <si>
    <t>Thiết bị khoan lỗ</t>
  </si>
  <si>
    <t>2500x800x2500</t>
  </si>
  <si>
    <t>Thiết bị rạch luống trồng cỏ (4 hàng)</t>
  </si>
  <si>
    <t>3600 x 2700 x 1340</t>
  </si>
  <si>
    <t>Thiết bị rạch luống trồng cỏ (6 hàng)</t>
  </si>
  <si>
    <t>Thiết bị rải phân hữu cơ 4 hàng</t>
  </si>
  <si>
    <t>Thiết bị ra hom cỏ giống</t>
  </si>
  <si>
    <t>Thiết bị xới đảo phân</t>
  </si>
  <si>
    <t>Thiết bị phun thuốc bắp</t>
  </si>
  <si>
    <t>Thiết bị rạch hàng bón phân vô cơ (6 hàng)</t>
  </si>
  <si>
    <t>Thiết bị thu hoạch cỏ CHALLENGER II</t>
  </si>
  <si>
    <t>2750x4130 x 4190</t>
  </si>
  <si>
    <t>Thiết bị thu hoạch cỏ CHALLENGER II PLUS</t>
  </si>
  <si>
    <t>Thiết bị thu hoạch cỏ CHALLENGER IV</t>
  </si>
  <si>
    <t>2600x4165x4115</t>
  </si>
  <si>
    <t>Thiết bị thu hoạch cỏ thân mềm Calabria 1800</t>
  </si>
  <si>
    <t>2400x2840x3700</t>
  </si>
  <si>
    <t>Thiết bị xới cỏ</t>
  </si>
  <si>
    <t>3000 x 3000 x 1400</t>
  </si>
  <si>
    <t>Thiết bị trồng bắp</t>
  </si>
  <si>
    <t>Thiết bị phục vụ sản xuất chuối</t>
  </si>
  <si>
    <t/>
  </si>
  <si>
    <t>Súng phun thuốc Hansung</t>
  </si>
  <si>
    <t>Rơ mooc, Sơ mi rơ mooc</t>
  </si>
  <si>
    <t>Rơ mooc ben rải phân</t>
  </si>
  <si>
    <t>4000 x 2400 x 1500</t>
  </si>
  <si>
    <t>Rơ mooc chở bồn phun thuốc</t>
  </si>
  <si>
    <t>3x2.1x2.1</t>
  </si>
  <si>
    <t>Rơ mooc chở giống</t>
  </si>
  <si>
    <t>6.8x2x2.2</t>
  </si>
  <si>
    <t>Rơ mooc clethon</t>
  </si>
  <si>
    <t>4500 x 2500 x 1400</t>
  </si>
  <si>
    <t>Rơ mooc gắn máy kéo</t>
  </si>
  <si>
    <t>2000 x 4000 x 700</t>
  </si>
  <si>
    <t>Rơ mooc gắn sau xe máy</t>
  </si>
  <si>
    <t>3000 x 1.600 x 1200</t>
  </si>
  <si>
    <t>Rơ mooc lưới</t>
  </si>
  <si>
    <t>5500 x 2500 x 2400</t>
  </si>
  <si>
    <t>Rơ mooc lưới ben</t>
  </si>
  <si>
    <t>5400 x 2000 x 2500</t>
  </si>
  <si>
    <t>Rơ mooc thu hoạch</t>
  </si>
  <si>
    <t>1x1x1</t>
  </si>
  <si>
    <t>Rơ mooc thu hoạch xoài</t>
  </si>
  <si>
    <t>Rơ mooc thùng</t>
  </si>
  <si>
    <t>Rơ mooc thùng ben</t>
  </si>
  <si>
    <t>Rơ mooc thùng ben rải phân hữu cơ</t>
  </si>
  <si>
    <t>4500 x 2000 x 1500</t>
  </si>
  <si>
    <t>Rơ mooc vận chuyển M.đào 03</t>
  </si>
  <si>
    <t>6.1x2.4x0.9</t>
  </si>
  <si>
    <t xml:space="preserve">Rơ mooc gắn sau xe máy </t>
  </si>
  <si>
    <t>Rơ mooc chở xốp</t>
  </si>
  <si>
    <t>SMRM LCD</t>
  </si>
  <si>
    <t>SMRM rải thức ăn TMR 50M3</t>
  </si>
  <si>
    <t>SMRM trung chuyển phân - CĐC 18/23M3</t>
  </si>
  <si>
    <t>SMRM trung chuyển phân - CĐC 45M3</t>
  </si>
  <si>
    <t>SMRM vận chuyển 50M3</t>
  </si>
  <si>
    <t>SMRM xương sàn/mooc OPT</t>
  </si>
  <si>
    <t>SMRM xương sàn/mooc OPT (ĐÔNG LẠNH)</t>
  </si>
  <si>
    <t>F</t>
  </si>
  <si>
    <t>THÔNG TIN MÁY MÓC THIẾT BỊ</t>
  </si>
  <si>
    <t>TT</t>
  </si>
  <si>
    <t>Mã MMTB
mới</t>
  </si>
  <si>
    <t>Mã MMTB
cũ</t>
  </si>
  <si>
    <t>Mã Bravo</t>
  </si>
  <si>
    <t>Biển số xe</t>
  </si>
  <si>
    <t>Tình trạng mua</t>
  </si>
  <si>
    <t>Tên MMTB</t>
  </si>
  <si>
    <t>LOẠI MMTB</t>
  </si>
  <si>
    <t>Đơn vị 
sử dụng</t>
  </si>
  <si>
    <t>Ngày phân bổ</t>
  </si>
  <si>
    <t>Giá trị
còn lại</t>
  </si>
  <si>
    <t>Lịch sử điều chuyển</t>
  </si>
  <si>
    <t>NHÃN HIỆU</t>
  </si>
  <si>
    <t>XUẤT XỨ</t>
  </si>
  <si>
    <t>NĂM SX</t>
  </si>
  <si>
    <t>MODEL</t>
  </si>
  <si>
    <t>CÔNG SUẤT</t>
  </si>
  <si>
    <t>Số khung</t>
  </si>
  <si>
    <t>Số máy</t>
  </si>
  <si>
    <t>Định mức nhiên liệu (l/h) hoặc (l/km)</t>
  </si>
  <si>
    <t>Dung tích thùng nhiên liệu (lít)</t>
  </si>
  <si>
    <t>NHÀ CUNG CẤP</t>
  </si>
  <si>
    <t>Ghi chú</t>
  </si>
  <si>
    <t>Hình ảnh MMTB</t>
  </si>
  <si>
    <t>Cập nhật ttrong link:</t>
  </si>
  <si>
    <t>I. ĐẦU TƯ XÂY DỰNG</t>
  </si>
  <si>
    <t>Thư mục Hình ảnh</t>
  </si>
  <si>
    <t>I.1</t>
  </si>
  <si>
    <t>Cơ giới thi công DP</t>
  </si>
  <si>
    <t>CHT-MĐA-001</t>
  </si>
  <si>
    <t>ĐQSD</t>
  </si>
  <si>
    <t>KOBELCO</t>
  </si>
  <si>
    <t>NHẬT BẢN</t>
  </si>
  <si>
    <t>SK200-08</t>
  </si>
  <si>
    <t xml:space="preserve">LQ16-10073 </t>
  </si>
  <si>
    <t>R0033333</t>
  </si>
  <si>
    <t>CHT-MĐA-002</t>
  </si>
  <si>
    <t>SUMITOMO</t>
  </si>
  <si>
    <t>SH210</t>
  </si>
  <si>
    <t>156HP</t>
  </si>
  <si>
    <t>STN210T6P00BH2390</t>
  </si>
  <si>
    <t>CCN</t>
  </si>
  <si>
    <t>CHT-MĐA-003</t>
  </si>
  <si>
    <t>DOOSAN</t>
  </si>
  <si>
    <t>HÀN QUỐC</t>
  </si>
  <si>
    <t>DX140W</t>
  </si>
  <si>
    <t>133HP</t>
  </si>
  <si>
    <t>DHKCEWAAVK5008713</t>
  </si>
  <si>
    <t>CHT-MĐA-004</t>
  </si>
  <si>
    <t>DHKCEWAAEK5008652</t>
  </si>
  <si>
    <t>CHT-MĐA-044</t>
  </si>
  <si>
    <t>SH210-6</t>
  </si>
  <si>
    <t>STN210T6P00BH2695</t>
  </si>
  <si>
    <t>CHT-MĐA-045</t>
  </si>
  <si>
    <t>SH130-6</t>
  </si>
  <si>
    <t>96HP</t>
  </si>
  <si>
    <t>STN130T6A00BH1835</t>
  </si>
  <si>
    <t>6041164JJ1</t>
  </si>
  <si>
    <t>CHT-MUI-001</t>
  </si>
  <si>
    <t>KOMATSU</t>
  </si>
  <si>
    <t>D31PX</t>
  </si>
  <si>
    <t>80HP</t>
  </si>
  <si>
    <t>KMT0D007V0151352</t>
  </si>
  <si>
    <t>CHT-MUI-002</t>
  </si>
  <si>
    <t>D60P-12E</t>
  </si>
  <si>
    <t>D60P1260763</t>
  </si>
  <si>
    <t>CHT-MUI-010</t>
  </si>
  <si>
    <t>D65P-12</t>
  </si>
  <si>
    <t>D65P1260304</t>
  </si>
  <si>
    <t>6D12554976</t>
  </si>
  <si>
    <t>CHT-MUI-013</t>
  </si>
  <si>
    <t>MỚI (ĐQSD)</t>
  </si>
  <si>
    <t>A23-MUI-013</t>
  </si>
  <si>
    <t>28/05/2025</t>
  </si>
  <si>
    <t>Đầu tư mới  ĐQSD (Tài sản DP)
- Bàn giao về CGTC ADM theo TTr số 04-T05/2025/B.XDCB</t>
  </si>
  <si>
    <t>D60P1260928</t>
  </si>
  <si>
    <t>6D12562174</t>
  </si>
  <si>
    <t>CHT-XTA-014</t>
  </si>
  <si>
    <t>THACO AUMAN</t>
  </si>
  <si>
    <t>VIỆT NAM</t>
  </si>
  <si>
    <t>GTL D300E4</t>
  </si>
  <si>
    <t>RNHD30FWAJC078089</t>
  </si>
  <si>
    <t>CHT-XTA-024</t>
  </si>
  <si>
    <t>MỚI</t>
  </si>
  <si>
    <t>A23-XTA-024</t>
  </si>
  <si>
    <t>3A-6815</t>
  </si>
  <si>
    <t xml:space="preserve">Đầu tư mới </t>
  </si>
  <si>
    <t>HOWO</t>
  </si>
  <si>
    <t>HOWO TX D600</t>
  </si>
  <si>
    <t>RNHD24CWANT057806</t>
  </si>
  <si>
    <t>1622B008395</t>
  </si>
  <si>
    <t>CHT-XTA-025</t>
  </si>
  <si>
    <t>A23-XTA-025</t>
  </si>
  <si>
    <t>3A-6820</t>
  </si>
  <si>
    <t>RNHD24CWANT057808</t>
  </si>
  <si>
    <t>1622B008391</t>
  </si>
  <si>
    <t>CHT-XTA-026</t>
  </si>
  <si>
    <t xml:space="preserve"> </t>
  </si>
  <si>
    <t>A23-XTA-026</t>
  </si>
  <si>
    <t>3A-6821</t>
  </si>
  <si>
    <t xml:space="preserve">- Chuyển ra CGTC AD mượn
Đầu tư mới </t>
  </si>
  <si>
    <t>RNHD24CWANT057810</t>
  </si>
  <si>
    <t>1622B008389</t>
  </si>
  <si>
    <t>CHT-XTA-036</t>
  </si>
  <si>
    <t>A23-XTA-036</t>
  </si>
  <si>
    <t>3A-6818</t>
  </si>
  <si>
    <t>RNHD24CWART000069</t>
  </si>
  <si>
    <t>1622F024360</t>
  </si>
  <si>
    <t>CHT-XLU-001</t>
  </si>
  <si>
    <t>SAKAI</t>
  </si>
  <si>
    <t>SV521DH</t>
  </si>
  <si>
    <t>2SV6610202</t>
  </si>
  <si>
    <t>CHT-XLU-002</t>
  </si>
  <si>
    <t>R2S</t>
  </si>
  <si>
    <t>74HP</t>
  </si>
  <si>
    <t>RR211446</t>
  </si>
  <si>
    <t>W04DA26254</t>
  </si>
  <si>
    <t>CHT-XBO-005</t>
  </si>
  <si>
    <t>Xe bồn AUMAN ETX D300 (tưới đường)</t>
  </si>
  <si>
    <t>AUMAN</t>
  </si>
  <si>
    <t xml:space="preserve"> ETX D300</t>
  </si>
  <si>
    <t>RNHD30FWANT067862</t>
  </si>
  <si>
    <t>WP10336E431622D017084</t>
  </si>
  <si>
    <t>CHT-BAN-003</t>
  </si>
  <si>
    <t>GD605A-5</t>
  </si>
  <si>
    <t>145HP</t>
  </si>
  <si>
    <t>G605A54617</t>
  </si>
  <si>
    <t>6D12561378</t>
  </si>
  <si>
    <t>CHT-BAN-001</t>
  </si>
  <si>
    <t>705A</t>
  </si>
  <si>
    <t>G70A4A11006</t>
  </si>
  <si>
    <t>CHT-MĐA-058</t>
  </si>
  <si>
    <t>29/07/2024</t>
  </si>
  <si>
    <t xml:space="preserve">Bàn giao về XDCB (DP3) ngày 29/07/2024 </t>
  </si>
  <si>
    <t>NHẬT BẢN</t>
  </si>
  <si>
    <t>PC40MR-3</t>
  </si>
  <si>
    <t>40HP</t>
  </si>
  <si>
    <t>KMTPC212VFE019356</t>
  </si>
  <si>
    <t>CHT-MĐA-059</t>
  </si>
  <si>
    <t>26/07/2024</t>
  </si>
  <si>
    <t xml:space="preserve">Bàn giao về XDCB (DP2) ngày 26/07/2024 </t>
  </si>
  <si>
    <t>KMTPC203L04019805</t>
  </si>
  <si>
    <t>CHT-MĐA-060</t>
  </si>
  <si>
    <t xml:space="preserve">Bàn giao về XDCB (DP1) ngày 29/07/2024 </t>
  </si>
  <si>
    <t>KMTPC203AFE023466</t>
  </si>
  <si>
    <t>CHT-MĐA-062</t>
  </si>
  <si>
    <t>A23-MĐA-062</t>
  </si>
  <si>
    <t xml:space="preserve">Bàn giao về XDCB ngày 01/11/2024 </t>
  </si>
  <si>
    <t>PC55MR-3</t>
  </si>
  <si>
    <t>020242</t>
  </si>
  <si>
    <t>CHT-MĐA-063</t>
  </si>
  <si>
    <t>A23-MĐA-063</t>
  </si>
  <si>
    <t>019139</t>
  </si>
  <si>
    <t>CHT-MĐA-047</t>
  </si>
  <si>
    <t>Bàn giao về XDCB ngày 01/07/2024</t>
  </si>
  <si>
    <t>KMTPC203V04021194</t>
  </si>
  <si>
    <t>CHT-MĐA-048</t>
  </si>
  <si>
    <t xml:space="preserve">Bàn giao về XDCB ngày 01/07/2024 </t>
  </si>
  <si>
    <t>KMTPC203K04021031</t>
  </si>
  <si>
    <t>CHT-MĐA-078</t>
  </si>
  <si>
    <t>A23-MĐA-078</t>
  </si>
  <si>
    <t>Xe đã qua sử dụng bàn giao XDCB ngày 13/11/2025</t>
  </si>
  <si>
    <t>PC40MR-3-AC</t>
  </si>
  <si>
    <t>KMTPC203KFE023963</t>
  </si>
  <si>
    <t>KACJ4722</t>
  </si>
  <si>
    <t>CƯỜNG CƠ GIỚI</t>
  </si>
  <si>
    <t>CHT-XLU-008</t>
  </si>
  <si>
    <t>Bàn giao về XDCB (DP1) ngày 02/08/2024 
XN DP1 bàn giao lại CGTC DP ngày 19/08/2025</t>
  </si>
  <si>
    <t>HITACHI</t>
  </si>
  <si>
    <t>TRUNG QUỐC</t>
  </si>
  <si>
    <t>CC150C-2</t>
  </si>
  <si>
    <t>HCM8U600L00010288</t>
  </si>
  <si>
    <t>3LD2-453954</t>
  </si>
  <si>
    <t>CHT-MĐA-066</t>
  </si>
  <si>
    <t>A23-MĐA-066</t>
  </si>
  <si>
    <t>Bàn giao về XDCB ngày 11/02/2025
- Bàn giao về B.ĐN theo TTr số 03-T02/2025/B.XDCB</t>
  </si>
  <si>
    <t>ĐỨC</t>
  </si>
  <si>
    <t>PW160-7</t>
  </si>
  <si>
    <t>KMTPW013T79H50346</t>
  </si>
  <si>
    <t>CHT-MĐA-067</t>
  </si>
  <si>
    <t>A23-MĐA-067</t>
  </si>
  <si>
    <t>Bàn giao về XDCB ngày 11/02/2025</t>
  </si>
  <si>
    <t>PW200-7</t>
  </si>
  <si>
    <t>KMTPW015K79H50237</t>
  </si>
  <si>
    <t>CHT-MĐA-072</t>
  </si>
  <si>
    <t>A23-MĐA-072</t>
  </si>
  <si>
    <t>Đầu tư mới (Tài sản DP)</t>
  </si>
  <si>
    <t>PC228US-3N0</t>
  </si>
  <si>
    <t>KMTPC057E02032035</t>
  </si>
  <si>
    <t>6D1022638264</t>
  </si>
  <si>
    <t>CHT-MUI-011</t>
  </si>
  <si>
    <t>A23-MUI-011</t>
  </si>
  <si>
    <t>D31PX-21</t>
  </si>
  <si>
    <t>76HP</t>
  </si>
  <si>
    <t>D31PX2150296</t>
  </si>
  <si>
    <t>4D10226319872</t>
  </si>
  <si>
    <t>CHT-XTA-030</t>
  </si>
  <si>
    <t>A23-XTA-030</t>
  </si>
  <si>
    <t>3A-6816</t>
  </si>
  <si>
    <t>Bàn giao về XDCB ngày 07/03/2025</t>
  </si>
  <si>
    <t>THACO FORLAND</t>
  </si>
  <si>
    <t xml:space="preserve">FD150-4WD </t>
  </si>
  <si>
    <t>RNHF16FYART000834</t>
  </si>
  <si>
    <t>D59M1N01254</t>
  </si>
  <si>
    <t>CHT-XTA-031</t>
  </si>
  <si>
    <t>A23-XTA-031</t>
  </si>
  <si>
    <t>3A-6817</t>
  </si>
  <si>
    <t>FD150-4WD</t>
  </si>
  <si>
    <t>RNHF16FYART000835</t>
  </si>
  <si>
    <t>D59M1N01360</t>
  </si>
  <si>
    <t>CHT-XTA-037</t>
  </si>
  <si>
    <t>A23-XTA-037</t>
  </si>
  <si>
    <t>29/05/2025</t>
  </si>
  <si>
    <t>Bàn giao về XDCB ngày 29/05/2025</t>
  </si>
  <si>
    <t>FC150-4WD</t>
  </si>
  <si>
    <t>RNHF16FYBRT000132</t>
  </si>
  <si>
    <t>D59M1N01088</t>
  </si>
  <si>
    <t>CHT-XTA-038</t>
  </si>
  <si>
    <t>A23-XTA-038</t>
  </si>
  <si>
    <t>RNHF16FYBRT000133</t>
  </si>
  <si>
    <t>D59M1N01089</t>
  </si>
  <si>
    <t>CHT-XTA-039</t>
  </si>
  <si>
    <t>A23-XTA-039</t>
  </si>
  <si>
    <t>RNHF16FYBRT000134</t>
  </si>
  <si>
    <t>D59M1N01091</t>
  </si>
  <si>
    <t>CHT-XTA-040</t>
  </si>
  <si>
    <t>A23-XTA-040</t>
  </si>
  <si>
    <t>RNHF16FYBRT000135</t>
  </si>
  <si>
    <t>D59M1N01092</t>
  </si>
  <si>
    <t>CHT-XTA-044</t>
  </si>
  <si>
    <t>A23-XTA-041</t>
  </si>
  <si>
    <t>3A-6828</t>
  </si>
  <si>
    <t>Đầu tư mới</t>
  </si>
  <si>
    <t>FD120-4WD</t>
  </si>
  <si>
    <t>129HP</t>
  </si>
  <si>
    <t>RNHF12FNBRT002062</t>
  </si>
  <si>
    <t>YN38CRD1*AGN22000242*</t>
  </si>
  <si>
    <t>CHT-XTA-045</t>
  </si>
  <si>
    <t>A23-XTA-042</t>
  </si>
  <si>
    <t>3A-6827</t>
  </si>
  <si>
    <t>RNHF12FNBRT002063</t>
  </si>
  <si>
    <t>YN38CRD1*AGN22000243*</t>
  </si>
  <si>
    <t>CHT-XTA-046</t>
  </si>
  <si>
    <t>A23-XTA-043</t>
  </si>
  <si>
    <t>3A-6826</t>
  </si>
  <si>
    <t>RNHF12FNBRT002064</t>
  </si>
  <si>
    <t>YN38CRD1*AGN22000244*</t>
  </si>
  <si>
    <t>CHT-XTA-047</t>
  </si>
  <si>
    <t>A23-XTA-044</t>
  </si>
  <si>
    <t>3A-6825</t>
  </si>
  <si>
    <t>RNHF12FNBRT002065</t>
  </si>
  <si>
    <t>YN38CRD1*AGN22000245*</t>
  </si>
  <si>
    <t>CHT-XTA-049</t>
  </si>
  <si>
    <t>A23-XTA-045</t>
  </si>
  <si>
    <t>3A-6829</t>
  </si>
  <si>
    <t>RNHD24CWART00061</t>
  </si>
  <si>
    <t>WP10380E53*1622F024366*</t>
  </si>
  <si>
    <t>CHT-XTA-050</t>
  </si>
  <si>
    <t>A23-XTA-046</t>
  </si>
  <si>
    <t>3A-6819</t>
  </si>
  <si>
    <t>RNHD24CWART00062</t>
  </si>
  <si>
    <t>WP10380E53*1622F024350*</t>
  </si>
  <si>
    <t>CHT-XCA-004</t>
  </si>
  <si>
    <t>A23-XCA-004</t>
  </si>
  <si>
    <t>Xe cẩu bàn 5 tấn</t>
  </si>
  <si>
    <t>TXD800-ND2</t>
  </si>
  <si>
    <t>RNHD30CWANT058649</t>
  </si>
  <si>
    <t>WP10380E53*1622B008536*</t>
  </si>
  <si>
    <t>ko xoá</t>
  </si>
  <si>
    <t>I.2</t>
  </si>
  <si>
    <t>Cơ giới thi công LP</t>
  </si>
  <si>
    <t>CHT-BAN-002</t>
  </si>
  <si>
    <t>XB 02 HT-KLH</t>
  </si>
  <si>
    <t>G60A51575</t>
  </si>
  <si>
    <t>6D12562969</t>
  </si>
  <si>
    <t>CHT-MUI-003</t>
  </si>
  <si>
    <t>XU 03 HT-KLH</t>
  </si>
  <si>
    <t>KMT0D007T01051120</t>
  </si>
  <si>
    <t>4D10226384955</t>
  </si>
  <si>
    <t>CHT-MUI-004</t>
  </si>
  <si>
    <t>XU 04 HT-KLH</t>
  </si>
  <si>
    <t>KMT0D007C01051611</t>
  </si>
  <si>
    <t>4D10226427091</t>
  </si>
  <si>
    <t>CHT-MUI-009</t>
  </si>
  <si>
    <t>XU 09 HT-KLH</t>
  </si>
  <si>
    <t>D60P</t>
  </si>
  <si>
    <t>D60P1261254</t>
  </si>
  <si>
    <t>6D125-30638</t>
  </si>
  <si>
    <t>CHT-XLU-003</t>
  </si>
  <si>
    <t>XL 03 HT-KLH</t>
  </si>
  <si>
    <t>2SV6610477</t>
  </si>
  <si>
    <t>CHT-XLU-004</t>
  </si>
  <si>
    <t>XL 04 HT-KLH</t>
  </si>
  <si>
    <t>R2</t>
  </si>
  <si>
    <t>RR321551</t>
  </si>
  <si>
    <t>W04DF15218</t>
  </si>
  <si>
    <t>CHT-XTA-004</t>
  </si>
  <si>
    <t>XT 04 HT-KLH</t>
  </si>
  <si>
    <t>FD140-8T</t>
  </si>
  <si>
    <t>RNHF14FYALT024045</t>
  </si>
  <si>
    <t>YC4D140-48D59M1J20731</t>
  </si>
  <si>
    <t>CHT-XTA-005</t>
  </si>
  <si>
    <t>XT 05 HT-KLH</t>
  </si>
  <si>
    <t>FD850-5T</t>
  </si>
  <si>
    <t>RNHF14FYALC008840</t>
  </si>
  <si>
    <t>D59M1J20132</t>
  </si>
  <si>
    <t>CHT-XTA-017</t>
  </si>
  <si>
    <t>XT 17 HT-KLH</t>
  </si>
  <si>
    <t>RNHD30FWAJCO078095</t>
  </si>
  <si>
    <t>WP10375E431618A009923</t>
  </si>
  <si>
    <t>CHT-XTA-028</t>
  </si>
  <si>
    <t>A24-XTA-021</t>
  </si>
  <si>
    <t>3A-6808</t>
  </si>
  <si>
    <t>RNHD24CWANT063483</t>
  </si>
  <si>
    <t>1622D017391</t>
  </si>
  <si>
    <t>CHT-XTA-029</t>
  </si>
  <si>
    <t>A24-XTA-022</t>
  </si>
  <si>
    <t>3A-6809</t>
  </si>
  <si>
    <t>RNHD24CWANT063484</t>
  </si>
  <si>
    <t>1622D017399</t>
  </si>
  <si>
    <t>CHT-MĐA-013</t>
  </si>
  <si>
    <t>MĐ 13 HT-KLH</t>
  </si>
  <si>
    <t>STN210T6V00BH2623</t>
  </si>
  <si>
    <t>CHT-MĐA-014</t>
  </si>
  <si>
    <t>MĐ 14 HT-KLH</t>
  </si>
  <si>
    <t>STN130T6V00BH1607</t>
  </si>
  <si>
    <t>2757064JJ1</t>
  </si>
  <si>
    <t>CHT-MĐA-015</t>
  </si>
  <si>
    <t>MĐ 15 HT-KLH</t>
  </si>
  <si>
    <t>DHKCEWAAHL5008817</t>
  </si>
  <si>
    <t>DB58TIS039588EJ</t>
  </si>
  <si>
    <t>CHT-MĐA-016</t>
  </si>
  <si>
    <t>MĐ 16 HT-KLH</t>
  </si>
  <si>
    <t>DHKCEWAAHL5008818</t>
  </si>
  <si>
    <t>DB58TIS039734EJ</t>
  </si>
  <si>
    <t>XL3-MĐA-002</t>
  </si>
  <si>
    <t>CHT-MĐA-050(MĐ20HTKLH)</t>
  </si>
  <si>
    <t>LP3 đ,chuyển qua ngày 28/06/2024</t>
  </si>
  <si>
    <t>KUBOTA</t>
  </si>
  <si>
    <t>U35-6</t>
  </si>
  <si>
    <t>32HP</t>
  </si>
  <si>
    <t>XL4-MĐA-001</t>
  </si>
  <si>
    <t>LP4-MĐA-001(XLA-MĐA-001)</t>
  </si>
  <si>
    <t>16/07/2024</t>
  </si>
  <si>
    <t>XN LP4 bàn giao về XDCB ngày 16.07.2024</t>
  </si>
  <si>
    <t>PC40-MR</t>
  </si>
  <si>
    <t>39HP</t>
  </si>
  <si>
    <t>CHT-XTA-032</t>
  </si>
  <si>
    <t>A24-XTA-032</t>
  </si>
  <si>
    <t>3A-6813</t>
  </si>
  <si>
    <t>FORLAND</t>
  </si>
  <si>
    <t>RNHF16FYART000830</t>
  </si>
  <si>
    <t>D59M1N01292</t>
  </si>
  <si>
    <t>CHT-XTA-033</t>
  </si>
  <si>
    <t>A24-XTA-033</t>
  </si>
  <si>
    <t>3A-6804</t>
  </si>
  <si>
    <t>RNHF16FYART000831</t>
  </si>
  <si>
    <t>D59M1N01308</t>
  </si>
  <si>
    <t>CHT-XTA-041</t>
  </si>
  <si>
    <t>A24-XTA-034</t>
  </si>
  <si>
    <t>RNHF16FYBRT000136</t>
  </si>
  <si>
    <t>D59M1N01094</t>
  </si>
  <si>
    <t>CHT-XTA-042</t>
  </si>
  <si>
    <t>A24-XTA-035</t>
  </si>
  <si>
    <t>RNHF16FYBRT000137</t>
  </si>
  <si>
    <t>D59M1N01095</t>
  </si>
  <si>
    <t>CHT-XTA-043</t>
  </si>
  <si>
    <t>A24-XTA-036</t>
  </si>
  <si>
    <t>RNHF16FYBRT000138</t>
  </si>
  <si>
    <t>D59M1N01096</t>
  </si>
  <si>
    <t>CHT-MĐA-074</t>
  </si>
  <si>
    <t>A24-MĐA-065</t>
  </si>
  <si>
    <t>Đầu tư mới (ĐQSD)</t>
  </si>
  <si>
    <t>PC200-8N1</t>
  </si>
  <si>
    <t>KMTPC197A02351172</t>
  </si>
  <si>
    <t>6D10726567400</t>
  </si>
  <si>
    <t>CHT-XLU-011</t>
  </si>
  <si>
    <t>A24-XLU-008</t>
  </si>
  <si>
    <t>26/07/2025</t>
  </si>
  <si>
    <t>TW500W‑1</t>
  </si>
  <si>
    <t>VTW1521818</t>
  </si>
  <si>
    <t>CHT-MĐA-077</t>
  </si>
  <si>
    <t>A24-MĐA-068</t>
  </si>
  <si>
    <t>Máy đào KOMATSU bánh lốp gàu 0.7m3</t>
  </si>
  <si>
    <t>27/07/2025</t>
  </si>
  <si>
    <t>PW200-1</t>
  </si>
  <si>
    <t>PW200110186</t>
  </si>
  <si>
    <t>6D105121806</t>
  </si>
  <si>
    <t>CHT-MUI-014</t>
  </si>
  <si>
    <t>A24-MUI-014</t>
  </si>
  <si>
    <t>Nhật Bản</t>
  </si>
  <si>
    <t>78HP</t>
  </si>
  <si>
    <t>KMT0D007J01051638</t>
  </si>
  <si>
    <t>4D10226430130</t>
  </si>
  <si>
    <t>I.3</t>
  </si>
  <si>
    <t>Cơ giới thi công AD</t>
  </si>
  <si>
    <t>CHT-BAN-004</t>
  </si>
  <si>
    <t>G60A54058</t>
  </si>
  <si>
    <t>6D12532782</t>
  </si>
  <si>
    <t>CHT-MUI-005</t>
  </si>
  <si>
    <t>ĐỀ XUẤT THANH LÝ</t>
  </si>
  <si>
    <t>KMT0D0070E01050840</t>
  </si>
  <si>
    <t>4D10226357443</t>
  </si>
  <si>
    <t>CHT-MUI-006</t>
  </si>
  <si>
    <t>KMT0D007L01050625</t>
  </si>
  <si>
    <t>4D10226340664</t>
  </si>
  <si>
    <t>CHT-MUI-007</t>
  </si>
  <si>
    <t>D65PX-12E</t>
  </si>
  <si>
    <t>205HP</t>
  </si>
  <si>
    <t>D60P1261177</t>
  </si>
  <si>
    <t>6D12564712</t>
  </si>
  <si>
    <t>CHT-MUI-008</t>
  </si>
  <si>
    <t>KMT0D007P01051250</t>
  </si>
  <si>
    <t>4D10226392645</t>
  </si>
  <si>
    <t>CHT-MUI-012</t>
  </si>
  <si>
    <t>A23-MUI-012</t>
  </si>
  <si>
    <t>Bàn giao về XDCB ngày 11/02/2025 (Xe ở ADM)</t>
  </si>
  <si>
    <t>KMT0D007T01051313</t>
  </si>
  <si>
    <t>4D10226397126</t>
  </si>
  <si>
    <t>CHT-MUI-015</t>
  </si>
  <si>
    <t>XB1-MUI-001</t>
  </si>
  <si>
    <t>A23-MUI-014</t>
  </si>
  <si>
    <t>20/07/2026</t>
  </si>
  <si>
    <t>- Dự án dứa chuyển qua XNB 
- 20/07/2026 XNB điều  chuyển lại cho CGTC phục vụ dự án dứa</t>
  </si>
  <si>
    <t>D61PX-15</t>
  </si>
  <si>
    <t>KMT0D063H51B40955</t>
  </si>
  <si>
    <t>CHT-XLU-006</t>
  </si>
  <si>
    <t>R2H</t>
  </si>
  <si>
    <t>RR321002</t>
  </si>
  <si>
    <t>W04DF11156</t>
  </si>
  <si>
    <t>CHT-XLU-007</t>
  </si>
  <si>
    <t>113HP</t>
  </si>
  <si>
    <t>2SV6610527</t>
  </si>
  <si>
    <t>CHT-XTA-008</t>
  </si>
  <si>
    <t>RNHF14FYALT024043</t>
  </si>
  <si>
    <t>YC4D140-48D59M1J20797</t>
  </si>
  <si>
    <t>CHT-XTA-011</t>
  </si>
  <si>
    <t>RNHD30FWAJC078104</t>
  </si>
  <si>
    <t>WP10375E431618A009907</t>
  </si>
  <si>
    <t>CHT-XTA-012</t>
  </si>
  <si>
    <t>RNHD30FWAJC75800</t>
  </si>
  <si>
    <t>WP10375E431617K140763</t>
  </si>
  <si>
    <t>CHT-XBO-003</t>
  </si>
  <si>
    <t>ETX D300E4</t>
  </si>
  <si>
    <t>RNHD30FWBKC005994</t>
  </si>
  <si>
    <t>WP10336E431618C035173</t>
  </si>
  <si>
    <t>CHT-MĐA-046</t>
  </si>
  <si>
    <t>STN210T6C00BH3091</t>
  </si>
  <si>
    <t>CHT-MĐA-024</t>
  </si>
  <si>
    <t>STN210T6V00BH2671</t>
  </si>
  <si>
    <t>CHT-MĐA-025</t>
  </si>
  <si>
    <t>14/09/2020</t>
  </si>
  <si>
    <t>DHKCEWAAHL5008819</t>
  </si>
  <si>
    <t>DB58TIS039733EJ</t>
  </si>
  <si>
    <t>CHT-MĐA-026</t>
  </si>
  <si>
    <t>DHKCEWAASL5008820</t>
  </si>
  <si>
    <t>DB58TIS039729EJ</t>
  </si>
  <si>
    <t>CHT-XCA-001</t>
  </si>
  <si>
    <t>CHT-XTA-001</t>
  </si>
  <si>
    <t>VIETNAM</t>
  </si>
  <si>
    <t>2019</t>
  </si>
  <si>
    <t>ETX C240 ND2</t>
  </si>
  <si>
    <t>RNHA24FWAKC099303</t>
  </si>
  <si>
    <t>WP10.336E431619A000091</t>
  </si>
  <si>
    <t>CHT-MĐA-052</t>
  </si>
  <si>
    <t>MD39HT-KLH(XB1-MĐA-001)</t>
  </si>
  <si>
    <t>XNB đ.chuyển qua ngày 25/06/2024</t>
  </si>
  <si>
    <t>KMTPC023LEE022317</t>
  </si>
  <si>
    <t>CHT-MĐA-054</t>
  </si>
  <si>
    <t>MĐ35 HTKLH(XA2-MĐA-002)</t>
  </si>
  <si>
    <t xml:space="preserve">ĐỀ XUẤT THANH LÝ
XN AD2 đ.chuyển qua ngày 25/06/2024 </t>
  </si>
  <si>
    <t>JKUU0356H01H60283</t>
  </si>
  <si>
    <t>7HN2997</t>
  </si>
  <si>
    <t>CHT-MĐA-055</t>
  </si>
  <si>
    <t>MĐ36 HTKLH(XA2-MĐA-003)</t>
  </si>
  <si>
    <t>JKUU0356H01H60431</t>
  </si>
  <si>
    <t>7HR1204</t>
  </si>
  <si>
    <t>CHT-MĐA-061</t>
  </si>
  <si>
    <t>MĐ30 VCKLH(XA2-MĐA-001)</t>
  </si>
  <si>
    <t xml:space="preserve">ĐỀ XUẤT THANH LÝ
XN AD2 đ.chuyển qua ngày 08/08/2024 </t>
  </si>
  <si>
    <t>JKUU0356V01H60277</t>
  </si>
  <si>
    <t>7HL9269</t>
  </si>
  <si>
    <t>CHT-MĐA-065</t>
  </si>
  <si>
    <t>A23-MĐA-065</t>
  </si>
  <si>
    <t>KMTPC212J04017231</t>
  </si>
  <si>
    <t>CHT-MĐA-069</t>
  </si>
  <si>
    <t>A22-MĐA-069</t>
  </si>
  <si>
    <t>Bàn giao về XDCB ngày 01/03/2025</t>
  </si>
  <si>
    <t>KMTPC212K04017065</t>
  </si>
  <si>
    <t>CHT-MĐA-071</t>
  </si>
  <si>
    <t>A22-MĐA-071</t>
  </si>
  <si>
    <t>KMTPC197L02354297</t>
  </si>
  <si>
    <t>6D10726100136</t>
  </si>
  <si>
    <t>CHT-XTA-034</t>
  </si>
  <si>
    <t>A23-XTA-034</t>
  </si>
  <si>
    <t>3A-6823</t>
  </si>
  <si>
    <t>Đầu tư mới (xe thuộc tài sản DP)</t>
  </si>
  <si>
    <t>RNHD24CWART000063</t>
  </si>
  <si>
    <t>1622F024356</t>
  </si>
  <si>
    <t>CHT-XTA-035</t>
  </si>
  <si>
    <t>A23-XTA-035</t>
  </si>
  <si>
    <t>3A-6822</t>
  </si>
  <si>
    <t>RNHD24CWART000064</t>
  </si>
  <si>
    <t>1622F024357</t>
  </si>
  <si>
    <t>CHT-XTA-027</t>
  </si>
  <si>
    <t>A24-XTA-020</t>
  </si>
  <si>
    <t>3A-6814</t>
  </si>
  <si>
    <t>- CGTC Lp đchuyển adm
Đầu tư mới</t>
  </si>
  <si>
    <t>RNHD24CWANT063481</t>
  </si>
  <si>
    <t>1622D017402</t>
  </si>
  <si>
    <t>CHT-BAN-005</t>
  </si>
  <si>
    <t>A23-BAN-005</t>
  </si>
  <si>
    <t>Đầu tư mới  (Tài sản DP)
- Bàn giao về CGTC ADM theo TTr số 04-T05/2025/B.XDCB</t>
  </si>
  <si>
    <t>G60A54622</t>
  </si>
  <si>
    <t>6D12561725</t>
  </si>
  <si>
    <t>CHT-MĐA-073</t>
  </si>
  <si>
    <t>A23-MDA-073</t>
  </si>
  <si>
    <t>KMTPC057C02030553</t>
  </si>
  <si>
    <t>6D10226327476</t>
  </si>
  <si>
    <t>CHT-XTA-048</t>
  </si>
  <si>
    <t>A22-XTA-048</t>
  </si>
  <si>
    <t>3A-6800</t>
  </si>
  <si>
    <t>Việt Nam</t>
  </si>
  <si>
    <t>RNHF12FNBRT002066</t>
  </si>
  <si>
    <t>YN38CRD1*AGN22000246*</t>
  </si>
  <si>
    <t>0 XOÁ</t>
  </si>
  <si>
    <t>II. CƠ GIỚI LÀM ĐẤT</t>
  </si>
  <si>
    <t>II.1</t>
  </si>
  <si>
    <t>Cơ giới làm đất DP</t>
  </si>
  <si>
    <t>CNN-XTA-001</t>
  </si>
  <si>
    <t>XD1-XTA-007</t>
  </si>
  <si>
    <t>A23-XTA-048</t>
  </si>
  <si>
    <t>Đầu tư mới (XN DP1 đchuyển CGLĐ DP ngày 14.01.2026)
- Phục vụ chở giống trồng mới</t>
  </si>
  <si>
    <t>THACO FRONTIER</t>
  </si>
  <si>
    <t>VIỆT NAM</t>
  </si>
  <si>
    <t>TF490</t>
  </si>
  <si>
    <t>RNHA49TZART082912</t>
  </si>
  <si>
    <t>JE493ZLQ4*37100377*</t>
  </si>
  <si>
    <t>CNN-MKX-002</t>
  </si>
  <si>
    <t>XB1-MKX-006</t>
  </si>
  <si>
    <t>A22-MKX-006</t>
  </si>
  <si>
    <t>19/01/2026</t>
  </si>
  <si>
    <t>- Đầu tư mới (ĐQSD)- 19/01/2026
- 03/07/2026 XNB đchuyen qua CGLĐ DP &amp; LP</t>
  </si>
  <si>
    <t>YANMAR</t>
  </si>
  <si>
    <t>CT65</t>
  </si>
  <si>
    <t>CNN-MKX-001</t>
  </si>
  <si>
    <t>A24-MKX-001</t>
  </si>
  <si>
    <t>Ngày nhập qua KLH: 04/06/2024</t>
  </si>
  <si>
    <t>MITSUBISHI</t>
  </si>
  <si>
    <t>MKM100</t>
  </si>
  <si>
    <t>K10A-10011</t>
  </si>
  <si>
    <t>6S6-019410</t>
  </si>
  <si>
    <t>CNN-MKE-005</t>
  </si>
  <si>
    <t>MK06NNKLH</t>
  </si>
  <si>
    <t>ĐCHUYEN HỖ TRỢ XNB 2 THÁNG TỪ 13/07/2026</t>
  </si>
  <si>
    <t>JOHN DEERE</t>
  </si>
  <si>
    <t>MỸ</t>
  </si>
  <si>
    <t>CNN-MKE-006</t>
  </si>
  <si>
    <t>XDP-MKE-006(MK12NNKLH)</t>
  </si>
  <si>
    <t>CNN-MKE-019</t>
  </si>
  <si>
    <t xml:space="preserve">MỚI </t>
  </si>
  <si>
    <t>15/03/2024</t>
  </si>
  <si>
    <t>6120B</t>
  </si>
  <si>
    <t>1YR6120BARD210216</t>
  </si>
  <si>
    <t>PE4045N035815</t>
  </si>
  <si>
    <t>CNN-MKE-020</t>
  </si>
  <si>
    <t>5090E</t>
  </si>
  <si>
    <t>1P05090ELN4073859</t>
  </si>
  <si>
    <t>PE4045E028102</t>
  </si>
  <si>
    <t>CNN-MKE-027</t>
  </si>
  <si>
    <t>A23-MKE-034</t>
  </si>
  <si>
    <t>18/01/2025</t>
  </si>
  <si>
    <t>V120937</t>
  </si>
  <si>
    <t>T149522</t>
  </si>
  <si>
    <t>CNN-MKE-028</t>
  </si>
  <si>
    <t>A23-MKE-035</t>
  </si>
  <si>
    <t>V190731</t>
  </si>
  <si>
    <t>T318857</t>
  </si>
  <si>
    <t>CNN-MKE-032</t>
  </si>
  <si>
    <t>A23-MKE-036</t>
  </si>
  <si>
    <t>717696L</t>
  </si>
  <si>
    <t>CD4239T907229</t>
  </si>
  <si>
    <t>CNN-MKE-033</t>
  </si>
  <si>
    <t>A23-MKE-037</t>
  </si>
  <si>
    <t>711050L</t>
  </si>
  <si>
    <t>CD6359D897588</t>
  </si>
  <si>
    <t>CNN-MKE-034</t>
  </si>
  <si>
    <t>A23-MKE-038</t>
  </si>
  <si>
    <t>MỸ</t>
  </si>
  <si>
    <t>RW7800P015834</t>
  </si>
  <si>
    <t>RG6076T568036</t>
  </si>
  <si>
    <t>CNN-MKE-035</t>
  </si>
  <si>
    <t>A22-MKE-060</t>
  </si>
  <si>
    <t>18/12/2025</t>
  </si>
  <si>
    <t>LOVOL</t>
  </si>
  <si>
    <t>Trung Quốc</t>
  </si>
  <si>
    <t>M600279SX</t>
  </si>
  <si>
    <t>WP6G180E3306P25J023348</t>
  </si>
  <si>
    <t>THACO</t>
  </si>
  <si>
    <t>CNN-MKE-039</t>
  </si>
  <si>
    <t>A22-MKE-039</t>
  </si>
  <si>
    <t>16/03/2026</t>
  </si>
  <si>
    <t>JOHNDEERE</t>
  </si>
  <si>
    <t>636964L</t>
  </si>
  <si>
    <t>CD6359D776913</t>
  </si>
  <si>
    <t>PHƯỚC LỘC</t>
  </si>
  <si>
    <t>BCG-LBR-003</t>
  </si>
  <si>
    <t>ATT-A23-0020</t>
  </si>
  <si>
    <t>2A-0239</t>
  </si>
  <si>
    <t>Mr.Sỹ nhận ngày 07/03/2025</t>
  </si>
  <si>
    <t>LIBERO</t>
  </si>
  <si>
    <t>KMFYKS7HPYU0116</t>
  </si>
  <si>
    <t>D4BHY032368</t>
  </si>
  <si>
    <t>0 xoá</t>
  </si>
  <si>
    <t>II.2</t>
  </si>
  <si>
    <t>Cơ giới làm đất LP</t>
  </si>
  <si>
    <t>CNN-MKE-011</t>
  </si>
  <si>
    <t>CNN-MKE-008(MK08NNKLH)</t>
  </si>
  <si>
    <t>CNN-MKE-012</t>
  </si>
  <si>
    <t>CNN-MKE-010 (MK10NNKLH)</t>
  </si>
  <si>
    <t>J0033179</t>
  </si>
  <si>
    <t>05958</t>
  </si>
  <si>
    <t>CNN-MKE-013</t>
  </si>
  <si>
    <t>CNN-MKE-011(MK11NNKLH)</t>
  </si>
  <si>
    <t>1P06603XLJ0032211</t>
  </si>
  <si>
    <t>PE6068E003752</t>
  </si>
  <si>
    <t>CNN-MKE-021</t>
  </si>
  <si>
    <t>MỚI</t>
  </si>
  <si>
    <t>1YR6120BERD210219</t>
  </si>
  <si>
    <t>PE4045N035800</t>
  </si>
  <si>
    <t>CNN-MKE-017</t>
  </si>
  <si>
    <t>XB1-MKE-025</t>
  </si>
  <si>
    <t>Đ.chuyển từ đội CGLĐ AD ngày 12.08.2024</t>
  </si>
  <si>
    <t>1P05090EHN4073538</t>
  </si>
  <si>
    <t>PE4045E027590</t>
  </si>
  <si>
    <t>CNN-MKE-025</t>
  </si>
  <si>
    <t>6155J</t>
  </si>
  <si>
    <t>1P06155JJP8010850</t>
  </si>
  <si>
    <t>PE6068J008148</t>
  </si>
  <si>
    <t>CNN-MKE-023</t>
  </si>
  <si>
    <t>XB1-MKE-025/XAD-MKE-014</t>
  </si>
  <si>
    <t>30/03/2024</t>
  </si>
  <si>
    <t>Xe điều chuyển từ XNB</t>
  </si>
  <si>
    <t>M6040</t>
  </si>
  <si>
    <t>CNN-MKE-026</t>
  </si>
  <si>
    <t>A24-MKE-021</t>
  </si>
  <si>
    <t>ĐỨC</t>
  </si>
  <si>
    <t>L06400V127612</t>
  </si>
  <si>
    <t>CD4045T744536</t>
  </si>
  <si>
    <t>CNN-MKE-029</t>
  </si>
  <si>
    <t>XB1-MKE-042</t>
  </si>
  <si>
    <t>A22-MKE-042</t>
  </si>
  <si>
    <t xml:space="preserve">MỚI </t>
  </si>
  <si>
    <t>25/10/2024</t>
  </si>
  <si>
    <t>Hoán đổi xe XNB theo chủ trương BLĐ 06.02.2025</t>
  </si>
  <si>
    <t>147HP</t>
  </si>
  <si>
    <t>6P23C005870</t>
  </si>
  <si>
    <t>CNN-MKE-030</t>
  </si>
  <si>
    <t>A24-MKE-030</t>
  </si>
  <si>
    <t>CD0635-90696675</t>
  </si>
  <si>
    <t>CNN-MKE-031</t>
  </si>
  <si>
    <t>A24-MKE-031</t>
  </si>
  <si>
    <t>25/02/2025</t>
  </si>
  <si>
    <t>U573763</t>
  </si>
  <si>
    <t>149701CD</t>
  </si>
  <si>
    <t>CNN-MKE-036</t>
  </si>
  <si>
    <t>A24-MKE-036</t>
  </si>
  <si>
    <t>29/04/2025</t>
  </si>
  <si>
    <t>579925L</t>
  </si>
  <si>
    <t>CD6359D704281</t>
  </si>
  <si>
    <t>CNN-MKE-037</t>
  </si>
  <si>
    <t>A24-MKE-037</t>
  </si>
  <si>
    <t>L06100X111345</t>
  </si>
  <si>
    <t>CD4045D133056</t>
  </si>
  <si>
    <t>CNN-MKE-038</t>
  </si>
  <si>
    <t>A22-MKE-058</t>
  </si>
  <si>
    <t>M600277SU</t>
  </si>
  <si>
    <t>WP6G180E3306P25J023351</t>
  </si>
  <si>
    <t>II.3</t>
  </si>
  <si>
    <t>Cơ giới làm đất XNB</t>
  </si>
  <si>
    <t>CNN-MKE-014</t>
  </si>
  <si>
    <t>CNN-MKE-001(MK01NNKLH)</t>
  </si>
  <si>
    <t>XN Bò AD</t>
  </si>
  <si>
    <t>NEW HOLLAND</t>
  </si>
  <si>
    <t>THỔ NHỈ KỲ</t>
  </si>
  <si>
    <t>TD157</t>
  </si>
  <si>
    <t>CNN-MKE-015</t>
  </si>
  <si>
    <t>CNN-MKE-013(MK13NNKLH)</t>
  </si>
  <si>
    <t>CNN-MKE-016</t>
  </si>
  <si>
    <t>CNN-MKE-015(MK56VCKLH)</t>
  </si>
  <si>
    <t>BY0896</t>
  </si>
  <si>
    <t>CNN-MKE-022</t>
  </si>
  <si>
    <t>Đ.chuyển từ đội CGLĐ LP ngày 12.08.2024</t>
  </si>
  <si>
    <t>1P05090EVN4073521</t>
  </si>
  <si>
    <t>PE4045E027602</t>
  </si>
  <si>
    <t>III. SẢN XUẤT TRỒNG TRỌT</t>
  </si>
  <si>
    <t>III.1</t>
  </si>
  <si>
    <t>Xí nghiệp Chuối DP1</t>
  </si>
  <si>
    <t>XD1-MKE-001</t>
  </si>
  <si>
    <t>MK 05-VC KLH</t>
  </si>
  <si>
    <t>XN Chuối DP1</t>
  </si>
  <si>
    <t>KAM50</t>
  </si>
  <si>
    <t>C000012</t>
  </si>
  <si>
    <t>XD1-MKE-002</t>
  </si>
  <si>
    <t>MK 73-VC KLH</t>
  </si>
  <si>
    <t>Hư hỏng</t>
  </si>
  <si>
    <t>ĐX LOẠI BIÊN</t>
  </si>
  <si>
    <t>C000072</t>
  </si>
  <si>
    <t>XD1-MKE-003</t>
  </si>
  <si>
    <t>CNN-MKE-001(MK04VCKLH)</t>
  </si>
  <si>
    <t>24/04/2024</t>
  </si>
  <si>
    <t>CGLD DP giao qua</t>
  </si>
  <si>
    <t>C000025</t>
  </si>
  <si>
    <t>XD1-MKE-006</t>
  </si>
  <si>
    <t>MK47 VCKLH(XA2-MKE-009)</t>
  </si>
  <si>
    <t>AD2 bàn giao ngày 23/02/2025</t>
  </si>
  <si>
    <t>L4508</t>
  </si>
  <si>
    <t>XD1-XNA-001</t>
  </si>
  <si>
    <t>BYD</t>
  </si>
  <si>
    <t>TRUNG QUỐC</t>
  </si>
  <si>
    <t>ECB16S-B</t>
  </si>
  <si>
    <t>29HP</t>
  </si>
  <si>
    <t>TS0510598-2021</t>
  </si>
  <si>
    <t>XD1-XNA-002</t>
  </si>
  <si>
    <t>A23-XNA-007</t>
  </si>
  <si>
    <t>Đầu tư mới</t>
  </si>
  <si>
    <t>FF25E</t>
  </si>
  <si>
    <t>13,68 HP</t>
  </si>
  <si>
    <t>C31293R50031</t>
  </si>
  <si>
    <t>XD1-TCD-001</t>
  </si>
  <si>
    <t>2A-0490</t>
  </si>
  <si>
    <t>THACO KIA</t>
  </si>
  <si>
    <t>FRONTIER K200SD</t>
  </si>
  <si>
    <t>RNHF39KHBMT045336</t>
  </si>
  <si>
    <t>MD534241D4CB</t>
  </si>
  <si>
    <t>XD1-XPT-001</t>
  </si>
  <si>
    <t>XPT003(XD3-XPT-001)</t>
  </si>
  <si>
    <t>Xe phun thuốc Faw 15T</t>
  </si>
  <si>
    <t>DP3 bàn giao qua</t>
  </si>
  <si>
    <t>FAW</t>
  </si>
  <si>
    <t>9AD16885</t>
  </si>
  <si>
    <t>XD1-XTA-001</t>
  </si>
  <si>
    <t>XT 20 VC-KLH</t>
  </si>
  <si>
    <t>KOZUN</t>
  </si>
  <si>
    <t>CAMPUCHIA</t>
  </si>
  <si>
    <t>XD1-XTA-002</t>
  </si>
  <si>
    <t>XT24VC-KLH(XB1-XTA-002)</t>
  </si>
  <si>
    <t>13/05/2024</t>
  </si>
  <si>
    <t>XD1-XTA-003</t>
  </si>
  <si>
    <t>67111 (CHT-XTA-020)</t>
  </si>
  <si>
    <t>A23-XTA-003</t>
  </si>
  <si>
    <t>Đ.chuyển từ CGTC DP ngày 07/02/2025
Đ.chuyển từ XN DP1 ngày 25/06/2024</t>
  </si>
  <si>
    <t xml:space="preserve"> FD990-4WD</t>
  </si>
  <si>
    <t>RNHF99FACRT090613</t>
  </si>
  <si>
    <t>4DW93-95E4*B0576949*</t>
  </si>
  <si>
    <t>XD1-XTA-004</t>
  </si>
  <si>
    <t>67272 (CHT-XTA-021)</t>
  </si>
  <si>
    <t>A23-XTA-004</t>
  </si>
  <si>
    <t>RNHF99FACRT090609</t>
  </si>
  <si>
    <t>4DW93-95E4*B0576971*</t>
  </si>
  <si>
    <t>XD1-XTA-005</t>
  </si>
  <si>
    <t>68889 (CHT-XTA-022)</t>
  </si>
  <si>
    <t>A23-XTA-005</t>
  </si>
  <si>
    <t>RNHF99FACRT087868</t>
  </si>
  <si>
    <t>4DW93-95E4*B0576946*</t>
  </si>
  <si>
    <t>XD1-XTA-006</t>
  </si>
  <si>
    <t>67112 (CHT-XTA-023)</t>
  </si>
  <si>
    <t>A23-XTA-006</t>
  </si>
  <si>
    <t>RNHF99FACRT090610</t>
  </si>
  <si>
    <t>4DW93-95E4*B0576959*</t>
  </si>
  <si>
    <t>XD1-MĐA-001</t>
  </si>
  <si>
    <t>CNN-MĐA-002(MĐ08HTKLH)</t>
  </si>
  <si>
    <t>Lắp tb gấp lá chuối (XD1-TBG-001)</t>
  </si>
  <si>
    <t>XD1-CLT-001</t>
  </si>
  <si>
    <t>A23-CLT-001</t>
  </si>
  <si>
    <t>24/07/2025</t>
  </si>
  <si>
    <t>INDONESIA</t>
  </si>
  <si>
    <t>TF150NL-PR2</t>
  </si>
  <si>
    <t>B1320M</t>
  </si>
  <si>
    <t>XD1-CLT-002</t>
  </si>
  <si>
    <t>A23-CLT-002</t>
  </si>
  <si>
    <t>C0869C</t>
  </si>
  <si>
    <t>XD1-CLT-003</t>
  </si>
  <si>
    <t>A23-CLT-003</t>
  </si>
  <si>
    <t>B2167L</t>
  </si>
  <si>
    <t>XD1-CLT-004</t>
  </si>
  <si>
    <t>A23-CLT-004</t>
  </si>
  <si>
    <t>C0845C</t>
  </si>
  <si>
    <t>XD1-CLT-005</t>
  </si>
  <si>
    <t>A23-CLT-005</t>
  </si>
  <si>
    <t>B0518M</t>
  </si>
  <si>
    <t>XD1-CCM-001</t>
  </si>
  <si>
    <t>30/07/2024</t>
  </si>
  <si>
    <t xml:space="preserve">Bàn giao về XN DP1 ngày 30/07/2024 </t>
  </si>
  <si>
    <t>ITALY</t>
  </si>
  <si>
    <t>L100N6FJ1P1AAFT</t>
  </si>
  <si>
    <t>A001010284</t>
  </si>
  <si>
    <t>SF6637</t>
  </si>
  <si>
    <t>XD1-MĐQ-001</t>
  </si>
  <si>
    <t>A23-MĐQ-001</t>
  </si>
  <si>
    <t>23/01/2025</t>
  </si>
  <si>
    <t>ISEKI</t>
  </si>
  <si>
    <t>JANPAN</t>
  </si>
  <si>
    <t>KC80F</t>
  </si>
  <si>
    <t>FE250G003323</t>
  </si>
  <si>
    <t>XD1-CCD-001</t>
  </si>
  <si>
    <t>A23-CCD-001</t>
  </si>
  <si>
    <t>25/06/2025</t>
  </si>
  <si>
    <t>ISHIKAWA</t>
  </si>
  <si>
    <t>TL662</t>
  </si>
  <si>
    <t>TL20250601401</t>
  </si>
  <si>
    <t>GT1000B0042098CD</t>
  </si>
  <si>
    <t>XD1-CCD-002</t>
  </si>
  <si>
    <t>A23-CCD-002</t>
  </si>
  <si>
    <t>TL20250601402</t>
  </si>
  <si>
    <t>GT1000B0042097CD</t>
  </si>
  <si>
    <t>XD1-CCD-003</t>
  </si>
  <si>
    <t>A23-CCD-003</t>
  </si>
  <si>
    <t>TL20250601407</t>
  </si>
  <si>
    <t>GT1000B0042095CD</t>
  </si>
  <si>
    <t>XD1-CCD-004</t>
  </si>
  <si>
    <t>A23-CCD-004</t>
  </si>
  <si>
    <t>TL20250601408</t>
  </si>
  <si>
    <t>GT1000B0042141CD</t>
  </si>
  <si>
    <t>KHÔNG XOÁ HÀNG NÀY</t>
  </si>
  <si>
    <t>III.2</t>
  </si>
  <si>
    <t>Xí nghiệp Chuối DP2</t>
  </si>
  <si>
    <t>XD2-MKE-002</t>
  </si>
  <si>
    <t>MK 83-VC KLH</t>
  </si>
  <si>
    <t>XN Chuối DP2</t>
  </si>
  <si>
    <t>XD2-MKE-003</t>
  </si>
  <si>
    <t>MK 86-VC KLH</t>
  </si>
  <si>
    <t>XD2-MKE-005</t>
  </si>
  <si>
    <t>MK 69-VC KLH</t>
  </si>
  <si>
    <t>C000011</t>
  </si>
  <si>
    <t>XD2-MKE-006</t>
  </si>
  <si>
    <t>MK 70-VC KLH</t>
  </si>
  <si>
    <t>C00007</t>
  </si>
  <si>
    <t>XD2-MKE-007</t>
  </si>
  <si>
    <t>CNN-MKE-003</t>
  </si>
  <si>
    <t>A23-MKE-002</t>
  </si>
  <si>
    <t>28/01/2026</t>
  </si>
  <si>
    <t>Bình thường</t>
  </si>
  <si>
    <t>Điều chuyển từ CGLĐ DP sang 28/01/2026</t>
  </si>
  <si>
    <t>XD2-XPT-001</t>
  </si>
  <si>
    <t>XPT09NNKLH</t>
  </si>
  <si>
    <t>HYUNDAI</t>
  </si>
  <si>
    <t>15T</t>
  </si>
  <si>
    <t>KMCDB19IPNU003775</t>
  </si>
  <si>
    <t>D8AVP095627</t>
  </si>
  <si>
    <t>XD2-MĐA-001</t>
  </si>
  <si>
    <t>MĐ 10 HT-KLH</t>
  </si>
  <si>
    <t>XD2-TCD-001</t>
  </si>
  <si>
    <t>2A-0494</t>
  </si>
  <si>
    <t xml:space="preserve"> MỚI</t>
  </si>
  <si>
    <t>RNHF39KHBMT045667</t>
  </si>
  <si>
    <t>MD540079D4CB</t>
  </si>
  <si>
    <t>XD2-XTA-002</t>
  </si>
  <si>
    <t>Bàn giao về XDCB Ngày 30.07.2024</t>
  </si>
  <si>
    <t>RNHF99FACRT092728</t>
  </si>
  <si>
    <t>B0576976</t>
  </si>
  <si>
    <t>XD2-XTA-003</t>
  </si>
  <si>
    <t>Bàn giao về XDCB Ngày 30.07.2024
- xe bị TN ngày 09/04/2025
- xe TN đã lấy về ngày 25/07/2025</t>
  </si>
  <si>
    <t>RNHF99FACRT092729</t>
  </si>
  <si>
    <t>B0577298</t>
  </si>
  <si>
    <t>XD2-XTA-004</t>
  </si>
  <si>
    <t>XL3-XTA-003</t>
  </si>
  <si>
    <t>A24-XTA-003</t>
  </si>
  <si>
    <t>LP3 bàn giao DP2 ngày 07/02/2025 
-XN LP3 bàn giao ngày 10/10/2024</t>
  </si>
  <si>
    <t>RNHF99FACPT075129</t>
  </si>
  <si>
    <t>4DW9395E4B0576690</t>
  </si>
  <si>
    <t>XD2-XTA-005</t>
  </si>
  <si>
    <t>A23-XTA-049</t>
  </si>
  <si>
    <t>RNHA49TZART082919</t>
  </si>
  <si>
    <t>JE493ZLQ4*37100368*</t>
  </si>
  <si>
    <t>XD2-XNA-001</t>
  </si>
  <si>
    <t>A23-XNA-004</t>
  </si>
  <si>
    <t>14HP</t>
  </si>
  <si>
    <t>C31293P50544</t>
  </si>
  <si>
    <t>JB253701317</t>
  </si>
  <si>
    <t>XD2-XNA-002</t>
  </si>
  <si>
    <t>A23-XNA-005</t>
  </si>
  <si>
    <t>FF15E</t>
  </si>
  <si>
    <t>11,8 HP</t>
  </si>
  <si>
    <t>C31293R50030</t>
  </si>
  <si>
    <t>XD2-CLT-001</t>
  </si>
  <si>
    <t>A23-CLT-006</t>
  </si>
  <si>
    <t>B2229L</t>
  </si>
  <si>
    <t>XD2-CLT-002</t>
  </si>
  <si>
    <t>A23-CLT-007</t>
  </si>
  <si>
    <t>B1314M</t>
  </si>
  <si>
    <t>XD2-CLT-003</t>
  </si>
  <si>
    <t>A23-CLT-008</t>
  </si>
  <si>
    <t>B2099L</t>
  </si>
  <si>
    <t>XD2-CLT-004</t>
  </si>
  <si>
    <t>A23-CLT-009</t>
  </si>
  <si>
    <t>B2151L</t>
  </si>
  <si>
    <t>XD2-CLT-005</t>
  </si>
  <si>
    <t>A23-CLT-010</t>
  </si>
  <si>
    <t>C0853C</t>
  </si>
  <si>
    <t>XD2-MĐQ-001</t>
  </si>
  <si>
    <t>A23-MĐQ-003</t>
  </si>
  <si>
    <t>HONDA</t>
  </si>
  <si>
    <t>GX240</t>
  </si>
  <si>
    <t>XD2-MĐQ-002</t>
  </si>
  <si>
    <t>A23-MĐQ-004</t>
  </si>
  <si>
    <t>YG8</t>
  </si>
  <si>
    <t>XD2-CCD-001</t>
  </si>
  <si>
    <t>A23-CCD-005</t>
  </si>
  <si>
    <t>TL20250601404</t>
  </si>
  <si>
    <t>GT1000B0042094CD</t>
  </si>
  <si>
    <t>XD2-CCD-002</t>
  </si>
  <si>
    <t>A23-CCD-006</t>
  </si>
  <si>
    <t>TL202506014015</t>
  </si>
  <si>
    <t>GT1000B0042109CD</t>
  </si>
  <si>
    <t>XD2-CCD-003</t>
  </si>
  <si>
    <t>A23-CCD-007</t>
  </si>
  <si>
    <t>TL202506014017</t>
  </si>
  <si>
    <t>GT1000B0042099CD</t>
  </si>
  <si>
    <t>XD2-CCD-004</t>
  </si>
  <si>
    <t>A23-CCD-008</t>
  </si>
  <si>
    <t>TL202506014020</t>
  </si>
  <si>
    <t>GT1000B0042092CD</t>
  </si>
  <si>
    <t>III.3</t>
  </si>
  <si>
    <t>Xí nghiệp Chuối DP3</t>
  </si>
  <si>
    <t>XD3-MKE-002</t>
  </si>
  <si>
    <t>MK 93-VC KLH</t>
  </si>
  <si>
    <t>XN Chuối DP3</t>
  </si>
  <si>
    <t>XD3-MKE-003</t>
  </si>
  <si>
    <t>MK 74-VC KLH</t>
  </si>
  <si>
    <t>C000083</t>
  </si>
  <si>
    <t>XD3-MKE-004</t>
  </si>
  <si>
    <t>MK 68-VC KLH</t>
  </si>
  <si>
    <t>C000070</t>
  </si>
  <si>
    <t>XD3-MKE-005</t>
  </si>
  <si>
    <t>MK 76-VC KLH</t>
  </si>
  <si>
    <t>C000036</t>
  </si>
  <si>
    <t>XD3-MKE-006</t>
  </si>
  <si>
    <t>MK 80-VC KLH</t>
  </si>
  <si>
    <t>C000013</t>
  </si>
  <si>
    <t>XD3-MĐA-002</t>
  </si>
  <si>
    <t>MĐ 09 HT-KLH</t>
  </si>
  <si>
    <t>XD3-MKE-008</t>
  </si>
  <si>
    <t>MK 75-VC KLH</t>
  </si>
  <si>
    <t>C000084</t>
  </si>
  <si>
    <t>XD3-MKE-010</t>
  </si>
  <si>
    <t>MK 95-VC KLH</t>
  </si>
  <si>
    <t>Cho LP3 mượn 10/06/2024</t>
  </si>
  <si>
    <t>XD3-XPT-002</t>
  </si>
  <si>
    <t>XPT002</t>
  </si>
  <si>
    <t>FC950</t>
  </si>
  <si>
    <t>RNHA16FYAJC093491</t>
  </si>
  <si>
    <t>J00043</t>
  </si>
  <si>
    <t>XD3-TCD-001</t>
  </si>
  <si>
    <t>2A-0493</t>
  </si>
  <si>
    <t>RNHF39KHBMT045629</t>
  </si>
  <si>
    <t>MD540070D4CB</t>
  </si>
  <si>
    <t>XD3-XNA-001</t>
  </si>
  <si>
    <t>XĐG DP4A</t>
  </si>
  <si>
    <t>HELI</t>
  </si>
  <si>
    <t>CDD15J</t>
  </si>
  <si>
    <t>24V-1.5T</t>
  </si>
  <si>
    <t>08015JM7921</t>
  </si>
  <si>
    <t>NIL</t>
  </si>
  <si>
    <t>XD3-XNA-002</t>
  </si>
  <si>
    <t>FB15EX-11</t>
  </si>
  <si>
    <t>XD3-XNA-003</t>
  </si>
  <si>
    <t>A23-XNA-003</t>
  </si>
  <si>
    <t>C11292P50328</t>
  </si>
  <si>
    <t>JB253801347</t>
  </si>
  <si>
    <t>XD3-XNA-004</t>
  </si>
  <si>
    <t>A23-XNA-006</t>
  </si>
  <si>
    <t>C31293R50033</t>
  </si>
  <si>
    <t>XD3-XTA-003</t>
  </si>
  <si>
    <t>3A-6810</t>
  </si>
  <si>
    <t>Bàn giao về XDCB ngày 30.07.2024</t>
  </si>
  <si>
    <t>RNHF99FACRT092725</t>
  </si>
  <si>
    <t>B0576973</t>
  </si>
  <si>
    <t>XD3-XTA-004</t>
  </si>
  <si>
    <t>3A-6811</t>
  </si>
  <si>
    <t>RNHF99FACRT090615</t>
  </si>
  <si>
    <t>B0576944</t>
  </si>
  <si>
    <t>XD3-XTA-005</t>
  </si>
  <si>
    <t>XL3-XTA-006</t>
  </si>
  <si>
    <t>- LP3 bàn giao DP3 ngày 07/02/2025
-XN LP3 bàn giao ngày 10/10/2024</t>
  </si>
  <si>
    <t>RNHF99FACRT087863</t>
  </si>
  <si>
    <t>4DW9395E4B0577289</t>
  </si>
  <si>
    <t>XD3-XTA-006</t>
  </si>
  <si>
    <t>XL3-XTA-007</t>
  </si>
  <si>
    <t>XN LP3 bàn giao DP3 ngày 07/02/2025</t>
  </si>
  <si>
    <t>RNHF99FACRT087864</t>
  </si>
  <si>
    <t>4DW9395E4B0577291</t>
  </si>
  <si>
    <t>XD3-XTA-008</t>
  </si>
  <si>
    <t>CHT-XTA-002</t>
  </si>
  <si>
    <t>31/01/2024</t>
  </si>
  <si>
    <t>Từ CGTC DP qua HC KLH 28/01/2024
- P.QLVH bàn giao DP3 10/04/2026</t>
  </si>
  <si>
    <t>FD850-8T</t>
  </si>
  <si>
    <t>RNHF14FYAL0008847</t>
  </si>
  <si>
    <t>XD3-CLT-001</t>
  </si>
  <si>
    <t>A23-CLT-011</t>
  </si>
  <si>
    <t>B1541L</t>
  </si>
  <si>
    <t>XD3-CLT-002</t>
  </si>
  <si>
    <t>A23-CLT-012</t>
  </si>
  <si>
    <t>B2128L</t>
  </si>
  <si>
    <t>XD3-CLT-003</t>
  </si>
  <si>
    <t>A23-CLT-013</t>
  </si>
  <si>
    <t>B1316M</t>
  </si>
  <si>
    <t>XD3-CLT-004</t>
  </si>
  <si>
    <t>A23-CLT-014</t>
  </si>
  <si>
    <t>C0870C</t>
  </si>
  <si>
    <t>XD3-MĐQ-001</t>
  </si>
  <si>
    <t>A23-MĐQ-002</t>
  </si>
  <si>
    <t>MISUBISHI</t>
  </si>
  <si>
    <t>MR910</t>
  </si>
  <si>
    <t>G910217678</t>
  </si>
  <si>
    <t>XD3-CCD-001</t>
  </si>
  <si>
    <t>A23-CCD-009</t>
  </si>
  <si>
    <t>TL20250601403</t>
  </si>
  <si>
    <t>GT1000B0037703CC</t>
  </si>
  <si>
    <t>XD3-CCD-002</t>
  </si>
  <si>
    <t>A23-CCD-010</t>
  </si>
  <si>
    <t>TL20250601405</t>
  </si>
  <si>
    <t>GT1000B0042145CD</t>
  </si>
  <si>
    <t>XD3-CCD-003</t>
  </si>
  <si>
    <t>A23-CCD-011</t>
  </si>
  <si>
    <t>TL202506014018</t>
  </si>
  <si>
    <t>GT1000B0012093CD</t>
  </si>
  <si>
    <t>XD3-CCD-004</t>
  </si>
  <si>
    <t>A23-CCD-012</t>
  </si>
  <si>
    <t>TL202506014019</t>
  </si>
  <si>
    <t>GT1000B0042106CD</t>
  </si>
  <si>
    <t>XD3-CCD-005</t>
  </si>
  <si>
    <t>13/03/2026</t>
  </si>
  <si>
    <t>Đầu tư mới (XN nhận qua thu mua)</t>
  </si>
  <si>
    <t>TL663</t>
  </si>
  <si>
    <t xml:space="preserve">TL20250901606
</t>
  </si>
  <si>
    <t>XD3-CCD-006</t>
  </si>
  <si>
    <t>TL202501201501</t>
  </si>
  <si>
    <t>XD3-MXD-001</t>
  </si>
  <si>
    <t>Máy xới đất 7.5HP</t>
  </si>
  <si>
    <t>Shineray</t>
  </si>
  <si>
    <t>SR1Z-75</t>
  </si>
  <si>
    <t>00E534AT0852</t>
  </si>
  <si>
    <t>XD3-MXD-002</t>
  </si>
  <si>
    <t>00E534AT0827</t>
  </si>
  <si>
    <t>III.4</t>
  </si>
  <si>
    <t>Xí nghiệp Chuối LP1</t>
  </si>
  <si>
    <t>XL1-TCD-001</t>
  </si>
  <si>
    <t>A24-TCD-001</t>
  </si>
  <si>
    <t>2A-6088</t>
  </si>
  <si>
    <t>XN Chuối LP1</t>
  </si>
  <si>
    <t>Đầu tư mới ngày bàn giao 10/10/2024</t>
  </si>
  <si>
    <t>KIA</t>
  </si>
  <si>
    <t>FRONTIER K200SD-4WD</t>
  </si>
  <si>
    <t>RNHF39KHBMT045642</t>
  </si>
  <si>
    <t>MD540096D4CB</t>
  </si>
  <si>
    <t>XL1-MKE-004</t>
  </si>
  <si>
    <t>XL4-MKE-004</t>
  </si>
  <si>
    <t>28/06/2024</t>
  </si>
  <si>
    <t>LP4 bàn giao qua ngày 28/06/2024</t>
  </si>
  <si>
    <t>C000052</t>
  </si>
  <si>
    <t>XL4-MKE-002</t>
  </si>
  <si>
    <t>LP4-MKE-002</t>
  </si>
  <si>
    <t>-Đ.chuyển từ LP4 sang LP1 ngày 16.07.2024</t>
  </si>
  <si>
    <t>C000017</t>
  </si>
  <si>
    <t>XL4-MKE-003</t>
  </si>
  <si>
    <t>LP4-MKE-003</t>
  </si>
  <si>
    <t>C000063</t>
  </si>
  <si>
    <t>XL4-MKE-005</t>
  </si>
  <si>
    <t>XB1-MKE-008(MK90-VCKLH)</t>
  </si>
  <si>
    <t>23/01/2024</t>
  </si>
  <si>
    <t>L2002DT</t>
  </si>
  <si>
    <t>XL4-MKE-001</t>
  </si>
  <si>
    <t>LP4-MKE-001</t>
  </si>
  <si>
    <t>-Đ.chuyển từ LP4 sang LP1 ngày 26.09.2024</t>
  </si>
  <si>
    <t>V2208-BC1659</t>
  </si>
  <si>
    <t>CHT-MĐA-075</t>
  </si>
  <si>
    <t>A24-MĐA-066</t>
  </si>
  <si>
    <t>Máy đào KOMATSU bánh xích gàu 0.3m3</t>
  </si>
  <si>
    <t>- CGTC LP bàn giao ngày 29/07/2025
- Đầu tư mới (ĐQSD)</t>
  </si>
  <si>
    <t>KMTPC203C04021039</t>
  </si>
  <si>
    <t>CHT-MĐA-076</t>
  </si>
  <si>
    <t>A24-MĐA-067</t>
  </si>
  <si>
    <t>KMTPC203E04021413</t>
  </si>
  <si>
    <t>CHT-MĐA-056</t>
  </si>
  <si>
    <t>Bàn giao về XDCB ngày 29/07/2024 (LP1)</t>
  </si>
  <si>
    <t>KMTPC203VFE022946</t>
  </si>
  <si>
    <t>CHT-XLU-009</t>
  </si>
  <si>
    <t>A24-XLU-006</t>
  </si>
  <si>
    <t>CGTC LP đchuyen ngày 13/12/2025
Đầu tư mới (ĐQSD)</t>
  </si>
  <si>
    <t>SW350-1</t>
  </si>
  <si>
    <t>28HP</t>
  </si>
  <si>
    <t>VSW1410104</t>
  </si>
  <si>
    <t>XL1-CLT-008</t>
  </si>
  <si>
    <t>XD3-CLT-005</t>
  </si>
  <si>
    <t>A23-CLT-015</t>
  </si>
  <si>
    <t>29/07/2025</t>
  </si>
  <si>
    <t>Đầu tư mới (24/07/2025)
- DP3 Đ.chuyển LP1 ngày 29/07/2025</t>
  </si>
  <si>
    <t>B2212L</t>
  </si>
  <si>
    <t>XL1-XTA-001</t>
  </si>
  <si>
    <t>65789 (CHT-XTA-018)</t>
  </si>
  <si>
    <t>A24-XTA-001</t>
  </si>
  <si>
    <t>Đ.chuyển từ XN LP1 ngày 25/06/2024</t>
  </si>
  <si>
    <t>RNHF99FACRT087866</t>
  </si>
  <si>
    <t>4DW93-95E4*B0577301*</t>
  </si>
  <si>
    <t>XL1-XTA-002</t>
  </si>
  <si>
    <t>68890 (CHT-XTA-019)</t>
  </si>
  <si>
    <t>A24-XTA-002</t>
  </si>
  <si>
    <t>RNHF99FACRT090611</t>
  </si>
  <si>
    <t>4DW93-95E4*B0576952*</t>
  </si>
  <si>
    <t>XL1-XTA-004</t>
  </si>
  <si>
    <t>3A-6812</t>
  </si>
  <si>
    <t>Bàn giao về XDCB (LP1) ngày 30.07.2024</t>
  </si>
  <si>
    <t>RNHF99FACRT090616</t>
  </si>
  <si>
    <t>B0577292</t>
  </si>
  <si>
    <t>XL1-XTA-008</t>
  </si>
  <si>
    <t>A24-XTA-038</t>
  </si>
  <si>
    <t>Xe tải THACO FRONTIER TF700</t>
  </si>
  <si>
    <t>26/01/2026</t>
  </si>
  <si>
    <t>TF700</t>
  </si>
  <si>
    <t>RNHA69TZAPT082910</t>
  </si>
  <si>
    <t>JE493ZLQ4*37100367*</t>
  </si>
  <si>
    <t>XL1-XTA-006</t>
  </si>
  <si>
    <t>XT17 - VCKLH(XA2-XTA-002)</t>
  </si>
  <si>
    <t>ATT-A22-0017</t>
  </si>
  <si>
    <t>-Đ.chuyển từ AD2 sang LP1 ngày 17.02.2025</t>
  </si>
  <si>
    <t>XL1-XTA-007</t>
  </si>
  <si>
    <t>XT23 - VC KLH(XA2-XTA-003)</t>
  </si>
  <si>
    <t>ATT-A22-0018</t>
  </si>
  <si>
    <t>XL1-XPT-001</t>
  </si>
  <si>
    <t>XL4-XPT-001(XPT04-NNKLH)</t>
  </si>
  <si>
    <t>-Đ.chuyển từ LP4 sang LP1 ngày 22.11.2024</t>
  </si>
  <si>
    <t>15TẤN</t>
  </si>
  <si>
    <t>XL1-XNA-001</t>
  </si>
  <si>
    <t>XL4-XNA-001</t>
  </si>
  <si>
    <t>Xe nâng điện 1.5 tấn</t>
  </si>
  <si>
    <t>1.5TẤN</t>
  </si>
  <si>
    <t>XL1-XNA-002</t>
  </si>
  <si>
    <t>A24-XNA-002</t>
  </si>
  <si>
    <t>Xe nâng điện 2.5 tấn</t>
  </si>
  <si>
    <t>C31293R50032</t>
  </si>
  <si>
    <t>XL1-MXĐ-001</t>
  </si>
  <si>
    <t>PHC-MXĐ-001</t>
  </si>
  <si>
    <t>-Đ.chuyển từ HC ADM ngày 05/05/2025</t>
  </si>
  <si>
    <t>BOER</t>
  </si>
  <si>
    <t>RT165S</t>
  </si>
  <si>
    <t>16.5HP</t>
  </si>
  <si>
    <t>RT165-23C01014</t>
  </si>
  <si>
    <t>XL1-CCD-001</t>
  </si>
  <si>
    <t>A24-CCD-001</t>
  </si>
  <si>
    <t>TL20250601409</t>
  </si>
  <si>
    <t>GT1000B0042104CD</t>
  </si>
  <si>
    <t>XL1-CCD-002</t>
  </si>
  <si>
    <t>A24-CCD-002</t>
  </si>
  <si>
    <t>TL202506014011</t>
  </si>
  <si>
    <t>GT1000B0042103CD</t>
  </si>
  <si>
    <t>XL1-CCD-003</t>
  </si>
  <si>
    <t>A24-CCD-003</t>
  </si>
  <si>
    <t>TL202506014013</t>
  </si>
  <si>
    <t>XL1-CCD-004</t>
  </si>
  <si>
    <t>A24-CCD-004</t>
  </si>
  <si>
    <t>TL202506014014</t>
  </si>
  <si>
    <t>GT1000B0042096CD</t>
  </si>
  <si>
    <t>XL1-XPT-002</t>
  </si>
  <si>
    <t>XA2-XPT-003</t>
  </si>
  <si>
    <t>Điều chuyển từ AD2 ngày 31/7/2025</t>
  </si>
  <si>
    <t>FD350</t>
  </si>
  <si>
    <t>không xoá hàng này</t>
  </si>
  <si>
    <t>III.5</t>
  </si>
  <si>
    <t>Xí nghiệp Chuối LP3</t>
  </si>
  <si>
    <t>XL3-MKE-001</t>
  </si>
  <si>
    <t>LP3-MKE-001(MK11-VCKLH)</t>
  </si>
  <si>
    <t>XN Chuối LP3</t>
  </si>
  <si>
    <t>C000057</t>
  </si>
  <si>
    <t>XL3-MKE-002</t>
  </si>
  <si>
    <t>LP3-MKE-002(MK24-VCKLH)</t>
  </si>
  <si>
    <t>C000056</t>
  </si>
  <si>
    <t>XL3-MKE-003</t>
  </si>
  <si>
    <t>LP3-MKE-003(MK32-VCKLH)</t>
  </si>
  <si>
    <t>C000027</t>
  </si>
  <si>
    <t>XL3-MKE-004</t>
  </si>
  <si>
    <t>LP3-MKE-004(MK50-VCKLH)</t>
  </si>
  <si>
    <t>XL3-MKE-005</t>
  </si>
  <si>
    <t>XL1-MKE-001(MK39VCKLH)</t>
  </si>
  <si>
    <t>21/02/2024</t>
  </si>
  <si>
    <t>LP1 Đ.chuyen qua LP3</t>
  </si>
  <si>
    <t>D57605</t>
  </si>
  <si>
    <t>XL3-MKE-006</t>
  </si>
  <si>
    <t>XD3-MKE-009(MK 79-VC KLH)</t>
  </si>
  <si>
    <t>Điều chuyển từ DP3 ngày 11/04/2024</t>
  </si>
  <si>
    <t>XL3-MKE-008</t>
  </si>
  <si>
    <t>XXA-MKE-008</t>
  </si>
  <si>
    <t>A22-MKE-008</t>
  </si>
  <si>
    <t>Máy cày LOVOL P3050</t>
  </si>
  <si>
    <t>18/05/2026</t>
  </si>
  <si>
    <t>- Đầu tư mới ngày 25/10/2024
- XN CAT AD điều chuyển qua XN Bò AD1 ngày 18/05/2026
- XNB đchyen qua ngày 08/06/2026</t>
  </si>
  <si>
    <t xml:space="preserve">TRUNG QUỐC </t>
  </si>
  <si>
    <t>P3050</t>
  </si>
  <si>
    <t>47Hp</t>
  </si>
  <si>
    <t>TY1S312020001K301198R03</t>
  </si>
  <si>
    <t>FTTP3A34VRS000231</t>
  </si>
  <si>
    <t>XL3-MKE-010</t>
  </si>
  <si>
    <t>XB1-MKE-006</t>
  </si>
  <si>
    <t>ATT-A22-0023</t>
  </si>
  <si>
    <t>đchuyen từ xnb ngày 18/06/2026</t>
  </si>
  <si>
    <t>CHT-MĐA-051</t>
  </si>
  <si>
    <t>XL3-MĐA-006(MĐ41HTKLH)</t>
  </si>
  <si>
    <t>LP3 đ,chuyển qua ngày 28/06/2024
- CGTC LP đchuyen qua ngày 26/05/2025</t>
  </si>
  <si>
    <t>PC50MR-2</t>
  </si>
  <si>
    <t>KMTPC094E05008137</t>
  </si>
  <si>
    <t>CHT-MĐA-049</t>
  </si>
  <si>
    <t>30/06/2024</t>
  </si>
  <si>
    <t>CGTC LP đchuyen ngày 15/03/2026
Bàn giao về XDCB LP ngày 01/07/2024</t>
  </si>
  <si>
    <t>38HP</t>
  </si>
  <si>
    <t>KMTPC212T40417418</t>
  </si>
  <si>
    <t>CHT-MĐA-057</t>
  </si>
  <si>
    <t xml:space="preserve">CGTC LP đchuyen ngày 15/03/2026
Bàn giao về XDCB ngày 29/07/2024 </t>
  </si>
  <si>
    <t>KMTPC203A04018037</t>
  </si>
  <si>
    <t>XL3-MĐA-001</t>
  </si>
  <si>
    <t>MĐ40HTKLH</t>
  </si>
  <si>
    <t>KMTPC212P040416271</t>
  </si>
  <si>
    <t>XL3-MĐA-005</t>
  </si>
  <si>
    <t>MĐ32-HTKLH</t>
  </si>
  <si>
    <t>CAT</t>
  </si>
  <si>
    <t>XL3-TCD-001</t>
  </si>
  <si>
    <t>2A-0492</t>
  </si>
  <si>
    <t>Xe tai nạn đang SC</t>
  </si>
  <si>
    <t>RNHF39KHBMT045643</t>
  </si>
  <si>
    <t>MD540095D4CB</t>
  </si>
  <si>
    <t>XL3-TCD-002</t>
  </si>
  <si>
    <t>A24-TCD-002</t>
  </si>
  <si>
    <t>2A-6090</t>
  </si>
  <si>
    <t>13/10/2024</t>
  </si>
  <si>
    <t>RNHF39KHBMT045662</t>
  </si>
  <si>
    <t>MD540097D4CB</t>
  </si>
  <si>
    <t>XL3-XTA-002</t>
  </si>
  <si>
    <t>LP3-XTA-002(XT18-VCKLH)</t>
  </si>
  <si>
    <t>Mất số khung</t>
  </si>
  <si>
    <t>XL3-XTA-004</t>
  </si>
  <si>
    <t>RNHF99FACPT075130</t>
  </si>
  <si>
    <t>4DW9395E4B0575115</t>
  </si>
  <si>
    <t>XL3-XTA-005</t>
  </si>
  <si>
    <t>RNHF99FACPT076907</t>
  </si>
  <si>
    <t>4DW9395E4B0576687</t>
  </si>
  <si>
    <t>XL3-XTA-008</t>
  </si>
  <si>
    <t>- CGTC LP bàn giao ngày 07/02/2025
-XN LP3 bàn giao CGTC LP ngày 10/10/2024</t>
  </si>
  <si>
    <t>RNHF99FACNT055633</t>
  </si>
  <si>
    <t>4DW9395E4B0530476</t>
  </si>
  <si>
    <t>XL3-XTA-010</t>
  </si>
  <si>
    <t>XL1-XTA-003</t>
  </si>
  <si>
    <t>3A-6824</t>
  </si>
  <si>
    <t>LP1 bàn giao LP3 07/02/2025 
Bàn giao về XDCB (LP1) ngày 30.07.2024
Xe lắp bồn phun thuốc</t>
  </si>
  <si>
    <t>RNHF99FACRT092726</t>
  </si>
  <si>
    <t>B0577285</t>
  </si>
  <si>
    <t>XL3-XTA-011</t>
  </si>
  <si>
    <t>A24-XTA-037</t>
  </si>
  <si>
    <t>RNHA49TZART082920</t>
  </si>
  <si>
    <t>JE493ZLQ4*37100378*</t>
  </si>
  <si>
    <t>XL3-XPT-001</t>
  </si>
  <si>
    <t>XL1-XTA-002(XPT05NNKLH)</t>
  </si>
  <si>
    <t>15 TẤN</t>
  </si>
  <si>
    <t>9AD16880</t>
  </si>
  <si>
    <t>XL3-XPT-002</t>
  </si>
  <si>
    <t>XPT10 - NN KLH(XA2-XPT-002)</t>
  </si>
  <si>
    <t>Đ.chuyển từ AD2 ngày 20/11/2024</t>
  </si>
  <si>
    <t>XL3-XNA-001</t>
  </si>
  <si>
    <t>XĐG LP3</t>
  </si>
  <si>
    <t>FB15-12</t>
  </si>
  <si>
    <t>XL3-XNA-002</t>
  </si>
  <si>
    <t>TS2510598-2021</t>
  </si>
  <si>
    <t>XL3-XNA-003</t>
  </si>
  <si>
    <t>A24-XNA-003</t>
  </si>
  <si>
    <t>XL3-CLT-001</t>
  </si>
  <si>
    <t>A24-CLT-001</t>
  </si>
  <si>
    <t>B2165L</t>
  </si>
  <si>
    <t>XL3-CLT-002</t>
  </si>
  <si>
    <t>A24-CLT-002</t>
  </si>
  <si>
    <t>B0516M</t>
  </si>
  <si>
    <t>XL3-CLT-003</t>
  </si>
  <si>
    <t>A24-CLT-003</t>
  </si>
  <si>
    <t>B0502M</t>
  </si>
  <si>
    <t>XL3-CLT-004</t>
  </si>
  <si>
    <t>A24-CLT-004</t>
  </si>
  <si>
    <t>XL3-CLT-005</t>
  </si>
  <si>
    <t>A24-CLT-005</t>
  </si>
  <si>
    <t>B2103L</t>
  </si>
  <si>
    <t>XL3-MĐQ-001</t>
  </si>
  <si>
    <t>A24-MĐQ-001</t>
  </si>
  <si>
    <t>15/11/2024</t>
  </si>
  <si>
    <t>YANMAR YC750</t>
  </si>
  <si>
    <t>XL3-RBX-001</t>
  </si>
  <si>
    <t>ATM-A23-0128</t>
  </si>
  <si>
    <t>HỒNG HÀ</t>
  </si>
  <si>
    <t>4L6819010 (động cơ diesel)</t>
  </si>
  <si>
    <t>67HP</t>
  </si>
  <si>
    <t>TCYUN54A1JR278360</t>
  </si>
  <si>
    <t>C43101509A</t>
  </si>
  <si>
    <t>XL3-CCD-001</t>
  </si>
  <si>
    <t>A24-CCD-005</t>
  </si>
  <si>
    <t>TL20250601406</t>
  </si>
  <si>
    <t>GT1000B0042100CD</t>
  </si>
  <si>
    <t>XL3-CCD-002</t>
  </si>
  <si>
    <t>A24-CCD-006</t>
  </si>
  <si>
    <t>TL202506014010</t>
  </si>
  <si>
    <t>GT1000B0037706CC</t>
  </si>
  <si>
    <t>XL3-CCD-003</t>
  </si>
  <si>
    <t>A24-CCD-007</t>
  </si>
  <si>
    <t>TL202506014012</t>
  </si>
  <si>
    <t>GT1000B0042101CD</t>
  </si>
  <si>
    <t>XL3-CCD-004</t>
  </si>
  <si>
    <t>A24-CCD-008</t>
  </si>
  <si>
    <t>TL202506014016</t>
  </si>
  <si>
    <t>GT1000B0042102CD</t>
  </si>
  <si>
    <t>CHT-XLU-005</t>
  </si>
  <si>
    <t>CGTC LP đchuyen ngày 27/12/2025</t>
  </si>
  <si>
    <t>CCC150C-2</t>
  </si>
  <si>
    <t>16HP</t>
  </si>
  <si>
    <t>HCM8U600A00010287</t>
  </si>
  <si>
    <t>3LD2 - 453951</t>
  </si>
  <si>
    <t>Không xoá hàng này</t>
  </si>
  <si>
    <t>III.6</t>
  </si>
  <si>
    <t>Xí nghiệp Chuối LP4</t>
  </si>
  <si>
    <t>III.7</t>
  </si>
  <si>
    <t>Xí nghiệp Chuối AD2</t>
  </si>
  <si>
    <t>III.8</t>
  </si>
  <si>
    <t>Cây ăn trái DP</t>
  </si>
  <si>
    <t>XXD-CLT-001</t>
  </si>
  <si>
    <t>CAT-CLT-001</t>
  </si>
  <si>
    <t>Xoài DP</t>
  </si>
  <si>
    <t>Từ Nhãn DP Đ.chuyển sang Xoài DP ngày 06.08.2024</t>
  </si>
  <si>
    <t>CLETHON</t>
  </si>
  <si>
    <t>RT140DI-19080197</t>
  </si>
  <si>
    <t>XXD-CLT-002</t>
  </si>
  <si>
    <t>AD2-CLT-004</t>
  </si>
  <si>
    <t>Hư hỏng</t>
  </si>
  <si>
    <t>DX LOẠI BIÊN</t>
  </si>
  <si>
    <t>RT140DI-19011.978</t>
  </si>
  <si>
    <t>XXD-MKE-001</t>
  </si>
  <si>
    <t>XB1-MKE-007</t>
  </si>
  <si>
    <t>02250</t>
  </si>
  <si>
    <t>XXD-MKE-002</t>
  </si>
  <si>
    <t>XB1-MKE-009</t>
  </si>
  <si>
    <t>03315</t>
  </si>
  <si>
    <t>Không xoá dòng này</t>
  </si>
  <si>
    <t>III.9</t>
  </si>
  <si>
    <t>Cây ăn trái AD</t>
  </si>
  <si>
    <t>XBA-CLT-001</t>
  </si>
  <si>
    <t>RT140-KH/1710053</t>
  </si>
  <si>
    <t>BƯỞI AD</t>
  </si>
  <si>
    <t>XBA-MKE-002</t>
  </si>
  <si>
    <t>XB1-MKE-020</t>
  </si>
  <si>
    <t>xnb điều chuyển 17/01/2026</t>
  </si>
  <si>
    <t>C000074</t>
  </si>
  <si>
    <t>XXA-MKE-001</t>
  </si>
  <si>
    <t>XB1-MKE-024</t>
  </si>
  <si>
    <t>XOÀI AD</t>
  </si>
  <si>
    <t>XXA-MKE-002</t>
  </si>
  <si>
    <t>MK28/CAT-MKE-002</t>
  </si>
  <si>
    <t xml:space="preserve">THACO </t>
  </si>
  <si>
    <t>C000082</t>
  </si>
  <si>
    <t>XXA-MKE-003</t>
  </si>
  <si>
    <t>MK87/CAT-MKE-003</t>
  </si>
  <si>
    <t>XXA-MKE-005</t>
  </si>
  <si>
    <t>XAD-MKE-002</t>
  </si>
  <si>
    <t>27/02/2024</t>
  </si>
  <si>
    <t>Từ Xí nghiệp AD2 qua</t>
  </si>
  <si>
    <t>C000079</t>
  </si>
  <si>
    <t>XXA-MKE-006</t>
  </si>
  <si>
    <t>MK07 VCKLH(XA2-MKE-007)</t>
  </si>
  <si>
    <t>AD2 ddchuyen qua ngày 28.09.2024</t>
  </si>
  <si>
    <t>C000075</t>
  </si>
  <si>
    <t>XXA-MKE-007</t>
  </si>
  <si>
    <t>XA2-MKE-006</t>
  </si>
  <si>
    <t>AD2 ddchuyen qua ngày 30.09.2024</t>
  </si>
  <si>
    <t>C000010</t>
  </si>
  <si>
    <t>XXA-MKE-011</t>
  </si>
  <si>
    <t>XB1-MKE-031</t>
  </si>
  <si>
    <t>20/05/2026</t>
  </si>
  <si>
    <t>Điều chuyển từ XNB qua ngày 20/05/2026</t>
  </si>
  <si>
    <t>M6040SUD57124</t>
  </si>
  <si>
    <t>XXA-MKE-010</t>
  </si>
  <si>
    <t>A22-MKE-062</t>
  </si>
  <si>
    <t>25/12/2025</t>
  </si>
  <si>
    <t>- Đầu tư mới ngày 25/12/2025
- XN CAT AD điều chuyển qua XN Bò AD1 ngày 18/05/2026
- XN Bò chuyển về lại xn Xoài 13/06/2026</t>
  </si>
  <si>
    <t>John Deere</t>
  </si>
  <si>
    <t>Đức</t>
  </si>
  <si>
    <t>L06200V203044</t>
  </si>
  <si>
    <t>CD4039T351816</t>
  </si>
  <si>
    <t>XXA-CLT-001</t>
  </si>
  <si>
    <t>CAT-CLT-003</t>
  </si>
  <si>
    <t>RT140DI-19011.483</t>
  </si>
  <si>
    <t>XXA-CCM-001</t>
  </si>
  <si>
    <t>XL3-CCM-001</t>
  </si>
  <si>
    <t>Điều chuyển LP3 qua ngày 26/11/2024</t>
  </si>
  <si>
    <t>A001010279</t>
  </si>
  <si>
    <t>SF6665</t>
  </si>
  <si>
    <t>XXA-MKX-001</t>
  </si>
  <si>
    <t>XB1-MKX-007</t>
  </si>
  <si>
    <t>A22-MKX-007</t>
  </si>
  <si>
    <t>Máy kéo bánh xích CT652</t>
  </si>
  <si>
    <t>29/05/2026</t>
  </si>
  <si>
    <t>Điều chuyển từ XNB qua ngày 29/05/2026</t>
  </si>
  <si>
    <t>CT652</t>
  </si>
  <si>
    <t>R2091</t>
  </si>
  <si>
    <t>kHÔNG XOÁ DÒNG NÀY</t>
  </si>
  <si>
    <t>IV. CHĂN NUÔI BÒ</t>
  </si>
  <si>
    <t>XB1-MKE-002</t>
  </si>
  <si>
    <t>MK17NN-KLH</t>
  </si>
  <si>
    <t>XB1-MKE-003</t>
  </si>
  <si>
    <t>MK19NN-KLH</t>
  </si>
  <si>
    <t>XB1-MKE-004</t>
  </si>
  <si>
    <t>MK10VC-KLH</t>
  </si>
  <si>
    <t>XB1-MKE-005</t>
  </si>
  <si>
    <t>RAT-OYD</t>
  </si>
  <si>
    <t>XB1-MKE-010</t>
  </si>
  <si>
    <t>MK05NN-KLH</t>
  </si>
  <si>
    <t>XB1-MKE-011</t>
  </si>
  <si>
    <t>MK09NN-KLH</t>
  </si>
  <si>
    <t>Bình thường</t>
  </si>
  <si>
    <t>XB1-MKE-012</t>
  </si>
  <si>
    <t>MK23VC-KLH</t>
  </si>
  <si>
    <t>0000087</t>
  </si>
  <si>
    <t>XB1-MKE-017</t>
  </si>
  <si>
    <t>MK38VC-KLH</t>
  </si>
  <si>
    <t>D57126</t>
  </si>
  <si>
    <t>XB1-MKE-018</t>
  </si>
  <si>
    <t>MK27-VCKLH</t>
  </si>
  <si>
    <t>C000077</t>
  </si>
  <si>
    <t>XB1-MKE-021</t>
  </si>
  <si>
    <t>Mới</t>
  </si>
  <si>
    <t>XB1-MKE-022</t>
  </si>
  <si>
    <t>XB1-MKE-027</t>
  </si>
  <si>
    <t>MK20-VCKLH(XAD-MKE-009)</t>
  </si>
  <si>
    <t>28/11/2023</t>
  </si>
  <si>
    <t>XB1-MKE-029</t>
  </si>
  <si>
    <t>1YR6120BLRD210217</t>
  </si>
  <si>
    <t>PE4045N035792</t>
  </si>
  <si>
    <t>XB1-MKE-030</t>
  </si>
  <si>
    <t>TA-C120</t>
  </si>
  <si>
    <t>K12A/10050</t>
  </si>
  <si>
    <t>S6S025912</t>
  </si>
  <si>
    <t>XB1-MKE-033</t>
  </si>
  <si>
    <t>XA2-MKE-003</t>
  </si>
  <si>
    <t>Điều chuyển từ XN AD ngày 16/07/2024 gắn TB cuộn cỏ</t>
  </si>
  <si>
    <t>C000046</t>
  </si>
  <si>
    <t>XB1-MKE-034</t>
  </si>
  <si>
    <t>22/07/2024</t>
  </si>
  <si>
    <t>CT95</t>
  </si>
  <si>
    <t>XB1-MKE-035</t>
  </si>
  <si>
    <t>1YR6120BJRD210227</t>
  </si>
  <si>
    <t>PE4045N035812</t>
  </si>
  <si>
    <t>XB1-MKE-036</t>
  </si>
  <si>
    <t>MỚ́I</t>
  </si>
  <si>
    <t>1YR6120BKRD210226</t>
  </si>
  <si>
    <t>PE4045N035868</t>
  </si>
  <si>
    <t>XB1-MKE-037</t>
  </si>
  <si>
    <t>30/08/2024</t>
  </si>
  <si>
    <t>89HP</t>
  </si>
  <si>
    <t>54110883Y</t>
  </si>
  <si>
    <t>PE4045D043015</t>
  </si>
  <si>
    <t>XB1-MKE-038</t>
  </si>
  <si>
    <t>54110015Y</t>
  </si>
  <si>
    <t>PE4045D043101</t>
  </si>
  <si>
    <t>XB1-MKE-039</t>
  </si>
  <si>
    <t>L06200X115877</t>
  </si>
  <si>
    <t>CD4039T142137</t>
  </si>
  <si>
    <t>XB1-MKE-040</t>
  </si>
  <si>
    <t>81HP</t>
  </si>
  <si>
    <t>542510101Y</t>
  </si>
  <si>
    <t>PE4045T722734</t>
  </si>
  <si>
    <t>XB1-MKE-041</t>
  </si>
  <si>
    <t>A22-MKE-041</t>
  </si>
  <si>
    <t>P4100</t>
  </si>
  <si>
    <t>98HP</t>
  </si>
  <si>
    <t>E424H012739</t>
  </si>
  <si>
    <t>P400120RV</t>
  </si>
  <si>
    <t>XB1-MKE-043</t>
  </si>
  <si>
    <t>A22-MKE-043</t>
  </si>
  <si>
    <t>26/10/2024</t>
  </si>
  <si>
    <t>TR2204</t>
  </si>
  <si>
    <t>M600085RM</t>
  </si>
  <si>
    <t>7324C004472</t>
  </si>
  <si>
    <t>XB1-MKE-044</t>
  </si>
  <si>
    <t>MK 71-VC KLH(XD2-MKE-007</t>
  </si>
  <si>
    <t>- Điều chuyển từ XN DP2 ngày 02/01/2025</t>
  </si>
  <si>
    <t>C000015</t>
  </si>
  <si>
    <t>XB1-MKE-045</t>
  </si>
  <si>
    <t>MK07NNKLH</t>
  </si>
  <si>
    <t>ATT-A23-0016</t>
  </si>
  <si>
    <t xml:space="preserve">Hoán đổi xe với CGLĐ LP ngày 06.02.2025 </t>
  </si>
  <si>
    <t>XB1-MKE-046</t>
  </si>
  <si>
    <t>- Điều chuyển từ KLH SN Ttr số: "002-08/2025-B.CN:</t>
  </si>
  <si>
    <t>1P06155JPR8010864</t>
  </si>
  <si>
    <t>PE6068J008216</t>
  </si>
  <si>
    <t>XB1-MKE-047</t>
  </si>
  <si>
    <t>Mới (100%)</t>
  </si>
  <si>
    <t>A22-MKE-047</t>
  </si>
  <si>
    <t>19/09/2025</t>
  </si>
  <si>
    <t>1YR6120BLSV220083</t>
  </si>
  <si>
    <t>PE4045N051252</t>
  </si>
  <si>
    <t>XB1-MKE-048</t>
  </si>
  <si>
    <t>A22-MKE-048</t>
  </si>
  <si>
    <t>1YR6120BHSV220084</t>
  </si>
  <si>
    <t>PE4045N051256</t>
  </si>
  <si>
    <t>XB1-MKE-049</t>
  </si>
  <si>
    <t>A22-MKE-049</t>
  </si>
  <si>
    <t>26/09/2025</t>
  </si>
  <si>
    <t>L06200X154907</t>
  </si>
  <si>
    <t>CD4039T232227</t>
  </si>
  <si>
    <t>XB1-MKE-050</t>
  </si>
  <si>
    <t>A22-MKE-050</t>
  </si>
  <si>
    <t>322019L</t>
  </si>
  <si>
    <t>CD4045T534901</t>
  </si>
  <si>
    <t>XB1-MKE-051</t>
  </si>
  <si>
    <t>A22-MKE-057</t>
  </si>
  <si>
    <t>L06620D501194</t>
  </si>
  <si>
    <t>CD6068G073699</t>
  </si>
  <si>
    <t>XB1-MKE-052</t>
  </si>
  <si>
    <t>A22-MKE-064</t>
  </si>
  <si>
    <t>Máy cày LOVOL P4100</t>
  </si>
  <si>
    <t>28/05/2026</t>
  </si>
  <si>
    <t>100 HP</t>
  </si>
  <si>
    <t>P400050TM</t>
  </si>
  <si>
    <t>E426C008054</t>
  </si>
  <si>
    <t>XB1-MKE-053</t>
  </si>
  <si>
    <t>A22-MKE-059</t>
  </si>
  <si>
    <t>M600278SX</t>
  </si>
  <si>
    <t>WP6G180E3306P25J023349</t>
  </si>
  <si>
    <t>XB1-MKE-054</t>
  </si>
  <si>
    <t>A22-MKE-065</t>
  </si>
  <si>
    <t>P400051TM</t>
  </si>
  <si>
    <t>E426C008049</t>
  </si>
  <si>
    <t>XB1-MKE-055</t>
  </si>
  <si>
    <t>A22-MKE-061</t>
  </si>
  <si>
    <t>M600280SX</t>
  </si>
  <si>
    <t>WP6G180E3306P25J023350</t>
  </si>
  <si>
    <t>XB1-MKE-056</t>
  </si>
  <si>
    <t>A22-MKE-063</t>
  </si>
  <si>
    <t>14/01/2026</t>
  </si>
  <si>
    <t>Đầu tư mới (ĐQSD)</t>
  </si>
  <si>
    <t>L06600V172903</t>
  </si>
  <si>
    <t>CD6059T276336</t>
  </si>
  <si>
    <t>XB1-MKE-057</t>
  </si>
  <si>
    <t>CNN-MKE-040</t>
  </si>
  <si>
    <t>A22-MKE-040</t>
  </si>
  <si>
    <t>Đầu tư mới (16/03/2026)
- CGLĐ DP đchuyen XNB ngày 07/04/2026</t>
  </si>
  <si>
    <t>309429L</t>
  </si>
  <si>
    <t>CD4045T640751</t>
  </si>
  <si>
    <t>XB1-MKE-058</t>
  </si>
  <si>
    <t>XXA-MKE-012</t>
  </si>
  <si>
    <t>A24-MKE-038</t>
  </si>
  <si>
    <t>Máy cày LOVOL P4110</t>
  </si>
  <si>
    <t>- Đầu tư mới XN Xoài T6/2026
- Chuyển về XN Bò 13/06/2026</t>
  </si>
  <si>
    <t>P4110</t>
  </si>
  <si>
    <t>110 HP</t>
  </si>
  <si>
    <t>P400067TM</t>
  </si>
  <si>
    <t>E426C008079</t>
  </si>
  <si>
    <t>XB1-MKE-059</t>
  </si>
  <si>
    <t>XXA-MKE-009</t>
  </si>
  <si>
    <t>ATT-A23-0002</t>
  </si>
  <si>
    <t>- XN DP2 điều chuyển qua CAT AD ngày 12/02/2025
- XN CAT AD điều chuyển qua XN Bò AD1 ngày 18/05/2026</t>
  </si>
  <si>
    <t>C000053</t>
  </si>
  <si>
    <t>XB1-MKE-061</t>
  </si>
  <si>
    <t>XBA-MKE-001</t>
  </si>
  <si>
    <t>21/05/2026</t>
  </si>
  <si>
    <t>- XN CAT AD điều chuyển qua XN Bò AD1 ngày 21/05/2026</t>
  </si>
  <si>
    <t>XB1-MKE-062</t>
  </si>
  <si>
    <t>CNN-MKE-024</t>
  </si>
  <si>
    <t>CGLĐ LP đchuyen qua ngày 22.05.2026</t>
  </si>
  <si>
    <t>1P06155JCP8010851</t>
  </si>
  <si>
    <t>PE6068J008136</t>
  </si>
  <si>
    <t>XB1-MKE-063</t>
  </si>
  <si>
    <t>A22-MKE-066</t>
  </si>
  <si>
    <t>P400052TM</t>
  </si>
  <si>
    <t>E426C008042</t>
  </si>
  <si>
    <t>XB1-MKE-064</t>
  </si>
  <si>
    <t>A22-MKE-067</t>
  </si>
  <si>
    <t>P400053TM</t>
  </si>
  <si>
    <t>E426C008052</t>
  </si>
  <si>
    <t>XB1-MKE-065</t>
  </si>
  <si>
    <t>A24-MKE-039</t>
  </si>
  <si>
    <t>P400068TM</t>
  </si>
  <si>
    <t>E426C008939</t>
  </si>
  <si>
    <t>XB1-MKE-066</t>
  </si>
  <si>
    <t>A24-MKE-040</t>
  </si>
  <si>
    <t>P400069TM</t>
  </si>
  <si>
    <t>E426C008097</t>
  </si>
  <si>
    <t>XB1-MKE-067</t>
  </si>
  <si>
    <t>A24-MKE-041</t>
  </si>
  <si>
    <t>P400070TM</t>
  </si>
  <si>
    <t>E426C008092</t>
  </si>
  <si>
    <t>XB1-MKE-068</t>
  </si>
  <si>
    <t>A23-MKE-039</t>
  </si>
  <si>
    <t>Máy cày LOVOL TR1504</t>
  </si>
  <si>
    <t>TR1504</t>
  </si>
  <si>
    <t>150 HP</t>
  </si>
  <si>
    <t>M600086TY</t>
  </si>
  <si>
    <t>6P26C009038</t>
  </si>
  <si>
    <t>XB1-MKE-069</t>
  </si>
  <si>
    <t>A23-MKE-040</t>
  </si>
  <si>
    <t>M600087TY</t>
  </si>
  <si>
    <t>6P26C009039</t>
  </si>
  <si>
    <t>XB1-MKE-070</t>
  </si>
  <si>
    <t>A23-MKE-041</t>
  </si>
  <si>
    <t>M600088TY</t>
  </si>
  <si>
    <t>6P26C009040</t>
  </si>
  <si>
    <t>XB1-MKX-001</t>
  </si>
  <si>
    <t>A23-MKX-001</t>
  </si>
  <si>
    <t>25/08/2025</t>
  </si>
  <si>
    <t>1GZL-230X</t>
  </si>
  <si>
    <t>102HP</t>
  </si>
  <si>
    <t>FTHRXX23CSN000034</t>
  </si>
  <si>
    <t>Q250577684G</t>
  </si>
  <si>
    <t>XB1-MKX-002</t>
  </si>
  <si>
    <t>Mới (ĐQSD)</t>
  </si>
  <si>
    <t>A22-MKX-002</t>
  </si>
  <si>
    <t>MOROOKA</t>
  </si>
  <si>
    <t>MK-200</t>
  </si>
  <si>
    <t>T20022</t>
  </si>
  <si>
    <t>H06C TF11820</t>
  </si>
  <si>
    <t>XB1-MKX-003</t>
  </si>
  <si>
    <t>A22-MKX-003</t>
  </si>
  <si>
    <t>15/12/2025</t>
  </si>
  <si>
    <t>TB1002-C</t>
  </si>
  <si>
    <t>FTTM3AD2CSC000020</t>
  </si>
  <si>
    <t>Q250194560G</t>
  </si>
  <si>
    <t>XB1-MKX-004</t>
  </si>
  <si>
    <t>A22-MKX-004</t>
  </si>
  <si>
    <t>Máy cày bánh xích MK 250</t>
  </si>
  <si>
    <t>Morooka</t>
  </si>
  <si>
    <t>MK 250</t>
  </si>
  <si>
    <t>T22032</t>
  </si>
  <si>
    <t>6D108-19718</t>
  </si>
  <si>
    <t>XB1-MKX-005</t>
  </si>
  <si>
    <t>A22-MKX-005</t>
  </si>
  <si>
    <t>23/01/2026</t>
  </si>
  <si>
    <t>CT55</t>
  </si>
  <si>
    <t>XB1-XXL-001</t>
  </si>
  <si>
    <t>XXL02-KLH</t>
  </si>
  <si>
    <t>FUJIAN WEISHENG</t>
  </si>
  <si>
    <t>WSM953 2m3</t>
  </si>
  <si>
    <t>123HP</t>
  </si>
  <si>
    <t>XB1-XXL-002</t>
  </si>
  <si>
    <t>XXL005-KLH</t>
  </si>
  <si>
    <t>WA400-3E</t>
  </si>
  <si>
    <t>XB1-XXL-004</t>
  </si>
  <si>
    <t>XXL04HT-KLH</t>
  </si>
  <si>
    <t>WA350-3</t>
  </si>
  <si>
    <t>162HP</t>
  </si>
  <si>
    <t>XB1-XXL-005</t>
  </si>
  <si>
    <t>MANITOU</t>
  </si>
  <si>
    <t>PHÁP</t>
  </si>
  <si>
    <t>MT625H</t>
  </si>
  <si>
    <t>MAN00000T01005580</t>
  </si>
  <si>
    <t xml:space="preserve"> V3307T8JL1568</t>
  </si>
  <si>
    <t>XB1-XXL-006</t>
  </si>
  <si>
    <t>15/12/2023</t>
  </si>
  <si>
    <t>LEHMAN</t>
  </si>
  <si>
    <t>ZL940G</t>
  </si>
  <si>
    <t>SY23090078</t>
  </si>
  <si>
    <t>YCD4J22T-1151JG410P03213</t>
  </si>
  <si>
    <t>XB1-XXL-007</t>
  </si>
  <si>
    <t>Mới</t>
  </si>
  <si>
    <t>30/01/2024</t>
  </si>
  <si>
    <t>SDLG</t>
  </si>
  <si>
    <t>L935H</t>
  </si>
  <si>
    <t>VLGL935HAN0620050</t>
  </si>
  <si>
    <t>WP6G140E226P22D023010</t>
  </si>
  <si>
    <t>XB1-XXL-008</t>
  </si>
  <si>
    <t>ZL946E</t>
  </si>
  <si>
    <t>SY24020177</t>
  </si>
  <si>
    <t>1JG410P06207</t>
  </si>
  <si>
    <t>XB1-XXL-009</t>
  </si>
  <si>
    <t>A22-XXL-009</t>
  </si>
  <si>
    <t>16/08/2024</t>
  </si>
  <si>
    <t>ZL946PR</t>
  </si>
  <si>
    <t>SY24050287</t>
  </si>
  <si>
    <t>1JG410R01725</t>
  </si>
  <si>
    <t>XB1-XXL-010</t>
  </si>
  <si>
    <t>A22-XXL-010</t>
  </si>
  <si>
    <t>ZL946GP</t>
  </si>
  <si>
    <t>SY24070162</t>
  </si>
  <si>
    <t>1JG410R02694</t>
  </si>
  <si>
    <t>XB1-XXL-011</t>
  </si>
  <si>
    <t>A22-XXL-011</t>
  </si>
  <si>
    <t>SY35080163</t>
  </si>
  <si>
    <t>1JG410R02705</t>
  </si>
  <si>
    <t>XB1-XXL-012</t>
  </si>
  <si>
    <t>A22-XXL-012</t>
  </si>
  <si>
    <t>L936H</t>
  </si>
  <si>
    <t>VLGL936HLR0620877</t>
  </si>
  <si>
    <t>WP6G140E226P24S022431</t>
  </si>
  <si>
    <t>XB1-XXL-013</t>
  </si>
  <si>
    <t>A22-XXL-013</t>
  </si>
  <si>
    <t>VLGL936HVS0620901</t>
  </si>
  <si>
    <t>WP6G140E226P24K026707</t>
  </si>
  <si>
    <t>XB1-XXL-014</t>
  </si>
  <si>
    <t>A22-XXL-014</t>
  </si>
  <si>
    <t>24/09/2025</t>
  </si>
  <si>
    <t>XNB IAPUCH điều chuyển cho KM mượn dài hạn</t>
  </si>
  <si>
    <t>TCM</t>
  </si>
  <si>
    <t>V2403-M</t>
  </si>
  <si>
    <t>56T01045</t>
  </si>
  <si>
    <t>V2403-08-3116</t>
  </si>
  <si>
    <t>XB1-XXL-015</t>
  </si>
  <si>
    <t>A22-XXL-015</t>
  </si>
  <si>
    <t>Xe xúc lật SDLG L936H</t>
  </si>
  <si>
    <t>142.7HP</t>
  </si>
  <si>
    <t>VLGL936HCS0621335</t>
  </si>
  <si>
    <t>WP6G140E226P25G016629</t>
  </si>
  <si>
    <t>XB1-XXL-016</t>
  </si>
  <si>
    <t>A22-XXL-016</t>
  </si>
  <si>
    <t>BOBCAT</t>
  </si>
  <si>
    <t>Mỹ</t>
  </si>
  <si>
    <t>44Hp</t>
  </si>
  <si>
    <t>V2203-389041</t>
  </si>
  <si>
    <t>XB1-XXL-017</t>
  </si>
  <si>
    <t>A22-XXL-017</t>
  </si>
  <si>
    <t>46Hp</t>
  </si>
  <si>
    <t>V2203-111961</t>
  </si>
  <si>
    <t>XB1-XNA-001</t>
  </si>
  <si>
    <t>FB15HB-12</t>
  </si>
  <si>
    <t>48V/280AH</t>
  </si>
  <si>
    <t>2C09/11</t>
  </si>
  <si>
    <t>XB1-XNA-002</t>
  </si>
  <si>
    <t>Xe đã qua sử dụng</t>
  </si>
  <si>
    <t>FD30T-17</t>
  </si>
  <si>
    <t>XB1-XNA-003</t>
  </si>
  <si>
    <t>CP-CY25DC1B</t>
  </si>
  <si>
    <t>XB1-XNA-004</t>
  </si>
  <si>
    <t>A22-XNA-004</t>
  </si>
  <si>
    <t>17/01/2025</t>
  </si>
  <si>
    <t>FH35-1</t>
  </si>
  <si>
    <t>70 HP</t>
  </si>
  <si>
    <t>XB1-XNA-005</t>
  </si>
  <si>
    <t>A22-XNA-005</t>
  </si>
  <si>
    <t>Đầu tư mới (kèm TB: XB1-GNK-001)</t>
  </si>
  <si>
    <t>CPCD35</t>
  </si>
  <si>
    <t>010353K5641</t>
  </si>
  <si>
    <t>4JG2-650393</t>
  </si>
  <si>
    <t>XB1-XNA-006</t>
  </si>
  <si>
    <t>A22-XNA-006</t>
  </si>
  <si>
    <t>Đầu tư mới (kèm TB: XB1-GNK-002)</t>
  </si>
  <si>
    <t>010353H8176</t>
  </si>
  <si>
    <t>4JG2-649490</t>
  </si>
  <si>
    <t>XB1-MĐA-004</t>
  </si>
  <si>
    <t>CNN-MĐA-001(MĐ05HTKLH)</t>
  </si>
  <si>
    <t>Xe đã qua sử dụng (lắp TB gắp gỗ)</t>
  </si>
  <si>
    <t>KMTPC094K05007351</t>
  </si>
  <si>
    <t>XB1-MĐA-005</t>
  </si>
  <si>
    <t>CHT-MĐA-064</t>
  </si>
  <si>
    <t>A24-MĐA-064</t>
  </si>
  <si>
    <t>- Đầu tư mới CGTC Lumphat ngày 18/12/2024 (ĐQSD)
- Cho XN Bò mượn T5/2025 (Chưa bàn giao)
- Bàn giao XN Bò 01/04/2026</t>
  </si>
  <si>
    <t>ROBEX 140W</t>
  </si>
  <si>
    <t>4LC0001417</t>
  </si>
  <si>
    <t>XB1-MĐA-006</t>
  </si>
  <si>
    <t>CHT-MĐA-070</t>
  </si>
  <si>
    <t>A22-MĐA-070</t>
  </si>
  <si>
    <t>- Bàn giao về XDCB ngày 01/03/2025
- Bàn giao về XNB ngày 09/04/2026</t>
  </si>
  <si>
    <t>KMTPW013K79H50270</t>
  </si>
  <si>
    <t>XB1-MĐA-003</t>
  </si>
  <si>
    <t>CHT-MĐA-053</t>
  </si>
  <si>
    <t>ĐỀ XUÁT THANH LÝ
XNB đ.chuyển qua ngày 25/06/2024
- CGTC ADM chuyển về lại xí nghiệp Bò gắp gỗ</t>
  </si>
  <si>
    <t>42HP</t>
  </si>
  <si>
    <t>CAT00305HDCR00990</t>
  </si>
  <si>
    <t>20269B4</t>
  </si>
  <si>
    <t>XB1-XCC-001</t>
  </si>
  <si>
    <t>XBT06NN-KLH</t>
  </si>
  <si>
    <t>RNHA16FYAJC084020</t>
  </si>
  <si>
    <t>J00052</t>
  </si>
  <si>
    <t>XB1-XRA-001</t>
  </si>
  <si>
    <t>FD1600B</t>
  </si>
  <si>
    <t>RNHD1600DHC070080</t>
  </si>
  <si>
    <t>WP6180E326P15D005529</t>
  </si>
  <si>
    <t>XB1-XRA-003</t>
  </si>
  <si>
    <t>RNHD1600DHC055025</t>
  </si>
  <si>
    <t>WP6180E326P15D005502</t>
  </si>
  <si>
    <t>XB1-XRA-004</t>
  </si>
  <si>
    <t>RNHD1600DHC056126</t>
  </si>
  <si>
    <t>WP6.180E326P15D005524</t>
  </si>
  <si>
    <t>XB1-XRA-005</t>
  </si>
  <si>
    <t>RNHD1600DHC056121</t>
  </si>
  <si>
    <t>WP6.180E32*6P15D005392</t>
  </si>
  <si>
    <t>XB1-XHC-001</t>
  </si>
  <si>
    <t>XB1-XCC-002</t>
  </si>
  <si>
    <t>RNHF16FYBNT070603</t>
  </si>
  <si>
    <t>YC4D150-48D59M1N00701</t>
  </si>
  <si>
    <t>XB1-XHC-002</t>
  </si>
  <si>
    <t>RNHF16FYANT077508</t>
  </si>
  <si>
    <t>YC4D150-48D59M1N00901</t>
  </si>
  <si>
    <t>XB1-XHC-003</t>
  </si>
  <si>
    <t>Xe bị tai nạn 21/05/2025 (bị c.an giữ)</t>
  </si>
  <si>
    <t>RNHF16FYAPT077501</t>
  </si>
  <si>
    <t>YC4D150-48D59M1N00964</t>
  </si>
  <si>
    <t>XB1-XHC-004</t>
  </si>
  <si>
    <t>RNHF16FYAPT077504</t>
  </si>
  <si>
    <t>YC4D150-48D59M1N00940</t>
  </si>
  <si>
    <t>XB1-XHC-005</t>
  </si>
  <si>
    <t>25/11/2023</t>
  </si>
  <si>
    <t>RNHF16FYAPT077505</t>
  </si>
  <si>
    <t>YC4D150-48D59M1N00944</t>
  </si>
  <si>
    <t>XB1-XHC-006</t>
  </si>
  <si>
    <t>RNHF16FYAPT077506</t>
  </si>
  <si>
    <t>YC4D150-48D59M1N00906</t>
  </si>
  <si>
    <t>XB1-XHC-007</t>
  </si>
  <si>
    <t>A22-XHC-007</t>
  </si>
  <si>
    <t>RNHF16FYBRT070602</t>
  </si>
  <si>
    <t>D59M1N00683</t>
  </si>
  <si>
    <t>XB1-XHC-008</t>
  </si>
  <si>
    <t>A22-XHC-008</t>
  </si>
  <si>
    <t>RNHF16FYBRT077511</t>
  </si>
  <si>
    <t>D59M1N01090</t>
  </si>
  <si>
    <t>XB1-XHC-009</t>
  </si>
  <si>
    <t>A22-XHC-009</t>
  </si>
  <si>
    <t>RNHF16FYBRT077510</t>
  </si>
  <si>
    <t>D59M1N01093</t>
  </si>
  <si>
    <t>XB1-XHC-010</t>
  </si>
  <si>
    <t>A22-XHC-010</t>
  </si>
  <si>
    <t>RNHF16FYBRT077512</t>
  </si>
  <si>
    <t>D59M1N01099</t>
  </si>
  <si>
    <t>XB1-XHC-011</t>
  </si>
  <si>
    <t>A22-XHC-011</t>
  </si>
  <si>
    <t>RNHF16FYBRT000129</t>
  </si>
  <si>
    <t>YC4D150-48*D59M1N01035*</t>
  </si>
  <si>
    <t>XB1-XCP-001</t>
  </si>
  <si>
    <t>RNHF16FYANT066262</t>
  </si>
  <si>
    <t>YC4D150-48D59M1N00692</t>
  </si>
  <si>
    <t>XB1-XCP-002</t>
  </si>
  <si>
    <t>RNHF16FYANT065187</t>
  </si>
  <si>
    <t>YC4D150-48D59M1N00561</t>
  </si>
  <si>
    <t>XB1-XCP-003</t>
  </si>
  <si>
    <t>RNHF16FYANT065161</t>
  </si>
  <si>
    <t>YC4D150-48D59M1N00654</t>
  </si>
  <si>
    <t>XB1-XCP-004</t>
  </si>
  <si>
    <t xml:space="preserve"> RNHF16FYANT065198</t>
  </si>
  <si>
    <t>YC4D150-48D59M1N00572</t>
  </si>
  <si>
    <t>XB1-XCP-005</t>
  </si>
  <si>
    <t>RNHF16FYAPTO77540</t>
  </si>
  <si>
    <t>YC4D150-48D59M1N00920</t>
  </si>
  <si>
    <t>XB1-XCP-006</t>
  </si>
  <si>
    <t>RNHF16FYAPTO77538</t>
  </si>
  <si>
    <t>YC4D150-48D59M1N00903</t>
  </si>
  <si>
    <t>XB1-XCP-008</t>
  </si>
  <si>
    <t>A22-XCP-008</t>
  </si>
  <si>
    <t>3A-6803</t>
  </si>
  <si>
    <t>RNHF16FYART095004</t>
  </si>
  <si>
    <t>D59M1N01406</t>
  </si>
  <si>
    <t>XB1-XCP-009</t>
  </si>
  <si>
    <t>A22-XCP-009</t>
  </si>
  <si>
    <t>3A-6801</t>
  </si>
  <si>
    <t>RNHF16FYART095002</t>
  </si>
  <si>
    <t>D59M1N01437</t>
  </si>
  <si>
    <t>XB1-XCP-010</t>
  </si>
  <si>
    <t>A22-XCP-010</t>
  </si>
  <si>
    <t>3A-6807</t>
  </si>
  <si>
    <t>RNHF16FYART095001</t>
  </si>
  <si>
    <t>D59M1N01416</t>
  </si>
  <si>
    <t>XB1-XCP-011</t>
  </si>
  <si>
    <t>A22-XCP-011</t>
  </si>
  <si>
    <t>3A-6802</t>
  </si>
  <si>
    <t>RNHF16FYART094996</t>
  </si>
  <si>
    <t>D59M1N01392</t>
  </si>
  <si>
    <t>XB1-XCP-012</t>
  </si>
  <si>
    <t>A22-XCP-012</t>
  </si>
  <si>
    <t>3A-6841</t>
  </si>
  <si>
    <t>13/09/2025</t>
  </si>
  <si>
    <t xml:space="preserve"> FD120-4WD</t>
  </si>
  <si>
    <t>RNHF12FNBRT002112</t>
  </si>
  <si>
    <t>YN38CRD1*AGN22000292*</t>
  </si>
  <si>
    <t>XB1-XCP-013</t>
  </si>
  <si>
    <t>A22-XCP-013</t>
  </si>
  <si>
    <t>RNHF12FNBRT002113</t>
  </si>
  <si>
    <t>YN38CRD1*AGN22000293*</t>
  </si>
  <si>
    <t>XB1-XCP-014</t>
  </si>
  <si>
    <t>A22-XCP-014</t>
  </si>
  <si>
    <t>3A-6833</t>
  </si>
  <si>
    <t>RNHF12FNBRT002117</t>
  </si>
  <si>
    <t>YN38CRD1*AGN22000297*</t>
  </si>
  <si>
    <t>XB1-XTA-005</t>
  </si>
  <si>
    <t>CVC-XTA-004</t>
  </si>
  <si>
    <t xml:space="preserve">Điều chuyển từ GNVC KLH 08/07/2024 </t>
  </si>
  <si>
    <t>FD140-4WD</t>
  </si>
  <si>
    <t>RNHF14FYAMT052027</t>
  </si>
  <si>
    <t>YC4D140-48D59M1M00546</t>
  </si>
  <si>
    <t>XB1-XTA-006</t>
  </si>
  <si>
    <t>A22-XTA-006</t>
  </si>
  <si>
    <t>3A-6805</t>
  </si>
  <si>
    <t>RNHF16FYBRT077509</t>
  </si>
  <si>
    <t>D59M1N01082</t>
  </si>
  <si>
    <t>XB1-XĐK-001</t>
  </si>
  <si>
    <t>A22-XĐK-001</t>
  </si>
  <si>
    <t>29/10/2024</t>
  </si>
  <si>
    <t>Đầu tư mới, đi kèm SMRM: XB1-SMR-001 (50m3)</t>
  </si>
  <si>
    <t>RNHD1600DHC070065</t>
  </si>
  <si>
    <t>6P15D005384</t>
  </si>
  <si>
    <t>XB1-XĐK-002</t>
  </si>
  <si>
    <t>A22-XĐK-002</t>
  </si>
  <si>
    <t>3A-6806</t>
  </si>
  <si>
    <t>Đầu tư mới, đi kèm SMRM: XB1-MRT-002 (50m3)</t>
  </si>
  <si>
    <t>THACO TT261J-MT</t>
  </si>
  <si>
    <t>RNHT16TWART098475</t>
  </si>
  <si>
    <t>1024A000597</t>
  </si>
  <si>
    <t>XB1-XĐK-003</t>
  </si>
  <si>
    <t>A22-XĐK-003</t>
  </si>
  <si>
    <t>3A-6837</t>
  </si>
  <si>
    <t>Đầu tư mới, đi kèm SMRM: XB1-MRT-003 (50m3)</t>
  </si>
  <si>
    <t>CNHTC</t>
  </si>
  <si>
    <t>ZZ4187N391JE1</t>
  </si>
  <si>
    <t>LZZ1CCMD2SJ416137</t>
  </si>
  <si>
    <t>WP7.300E51*1025G007299*</t>
  </si>
  <si>
    <t>XB1-XĐK-004</t>
  </si>
  <si>
    <t>A22-XĐK-004</t>
  </si>
  <si>
    <t>3A-6839</t>
  </si>
  <si>
    <t>Đầu tư mới, đi kèm SMRM: XB1-MRT-004 (50m3)</t>
  </si>
  <si>
    <t>LZZ1CCMD7SJ415209</t>
  </si>
  <si>
    <t>WP7.300E51*1025G006835*</t>
  </si>
  <si>
    <t>XB1-XĐK-005</t>
  </si>
  <si>
    <t>A22-XĐK-005</t>
  </si>
  <si>
    <t>3A-6836</t>
  </si>
  <si>
    <t>Đầu tư mới, đi kèm SMRM: XB1-MRT-005 (50m3)</t>
  </si>
  <si>
    <t>LZZ1CCMD3SJ415210</t>
  </si>
  <si>
    <t>WP7.300E51*1025G006838*</t>
  </si>
  <si>
    <t>XB1-XĐK-006</t>
  </si>
  <si>
    <t>A22-XĐK-006</t>
  </si>
  <si>
    <t>3A-6835</t>
  </si>
  <si>
    <t>31/10/2025</t>
  </si>
  <si>
    <t>Đầu tư mới, đi kèm SMRM: XB1-MRT-006 (50m3)</t>
  </si>
  <si>
    <t>LZZ1CCMD3SJ415207</t>
  </si>
  <si>
    <t>WP7.300E51*1025G006833*</t>
  </si>
  <si>
    <t>XB1-XĐK-007</t>
  </si>
  <si>
    <t>A22-XĐK-007</t>
  </si>
  <si>
    <t>3A-6840</t>
  </si>
  <si>
    <t>24/10/2025</t>
  </si>
  <si>
    <t>Đầu tư mới, đi kèm SMRM: XB1-MRT-007 (50m3)</t>
  </si>
  <si>
    <t>LZZ1CCMD3SJ415208</t>
  </si>
  <si>
    <t>WP7.300E51*1025G006834*</t>
  </si>
  <si>
    <t>XB1-XĐK-008</t>
  </si>
  <si>
    <t>A22-XĐK-008</t>
  </si>
  <si>
    <t>3A-6832</t>
  </si>
  <si>
    <t>LZZ1CCMD4SJ416138</t>
  </si>
  <si>
    <t>WP7.300E51*1025G007295*</t>
  </si>
  <si>
    <t>XB1-XĐK-009</t>
  </si>
  <si>
    <t>A22-XĐK-009</t>
  </si>
  <si>
    <t>3A-6831</t>
  </si>
  <si>
    <t>23/12/2025</t>
  </si>
  <si>
    <t>Đầu tư mới, đi kèm SMRM: XB1-TPC-002</t>
  </si>
  <si>
    <t>LZZ1CCMD5SJ416133</t>
  </si>
  <si>
    <t>WP7.300E51*1025G007305*</t>
  </si>
  <si>
    <t>XB1-XĐK-010</t>
  </si>
  <si>
    <t>A22-XĐK-010</t>
  </si>
  <si>
    <t>3A-6842</t>
  </si>
  <si>
    <t>Đi kèm XB1-TPC-003, 004 (45m3)</t>
  </si>
  <si>
    <t>299 HP</t>
  </si>
  <si>
    <t>LZZ1CCMD6SJ416125</t>
  </si>
  <si>
    <t>WP7.300E51*1025G007298*</t>
  </si>
  <si>
    <t>XB1-XĐK-011</t>
  </si>
  <si>
    <t>A22-XĐK-011</t>
  </si>
  <si>
    <t>3A-6838</t>
  </si>
  <si>
    <t>Đi kèm XB1-TPC-006, 007 (45m3)</t>
  </si>
  <si>
    <t>LZZ1CCMD9SJ416135</t>
  </si>
  <si>
    <t>WP7.300E51*1025G007310*</t>
  </si>
  <si>
    <t>XB1-XĐK-012</t>
  </si>
  <si>
    <t>A22-XĐK-012</t>
  </si>
  <si>
    <t>3A-6830</t>
  </si>
  <si>
    <t>Đi kèm XB1-TPC-008, 009 (45m3)</t>
  </si>
  <si>
    <t>LZZ1CCMD0SJ416136</t>
  </si>
  <si>
    <t>WP7.300E51*1025G007303*</t>
  </si>
  <si>
    <t>XB1-XĐK-013</t>
  </si>
  <si>
    <t>A22-XĐK-013</t>
  </si>
  <si>
    <t>3A-6834</t>
  </si>
  <si>
    <t>Đi kèm XB1-TPC-010 (45m3)</t>
  </si>
  <si>
    <t>LZZ1CCMD6SJ416139</t>
  </si>
  <si>
    <t>WP7.300E51*1025G007301*</t>
  </si>
  <si>
    <t>XB1-CLT-001</t>
  </si>
  <si>
    <t>A22-CLT-001</t>
  </si>
  <si>
    <t>TF150N</t>
  </si>
  <si>
    <t>B2116J</t>
  </si>
  <si>
    <t>XB1-CLT-002</t>
  </si>
  <si>
    <t>A22-CLT-002</t>
  </si>
  <si>
    <t>B1779J</t>
  </si>
  <si>
    <t>XB1-CLT-003</t>
  </si>
  <si>
    <t>A22-CLT-003</t>
  </si>
  <si>
    <t>C1205A</t>
  </si>
  <si>
    <t>XB1-CLT-004</t>
  </si>
  <si>
    <t>A22-CLT-004</t>
  </si>
  <si>
    <t>C1498A</t>
  </si>
  <si>
    <t>XB1-CLT-005</t>
  </si>
  <si>
    <t>A22-CLT-005</t>
  </si>
  <si>
    <t>C1503A</t>
  </si>
  <si>
    <t>XB1-TCD-001</t>
  </si>
  <si>
    <t>2A-0491</t>
  </si>
  <si>
    <t>RNHF39KHBMT045635</t>
  </si>
  <si>
    <t>MD540092D4CB</t>
  </si>
  <si>
    <t>XB1-XLO-001</t>
  </si>
  <si>
    <t>THAICO</t>
  </si>
  <si>
    <t>TH150ZH</t>
  </si>
  <si>
    <t>TH162FMJ-C22060509</t>
  </si>
  <si>
    <t>XB1-XLO-002</t>
  </si>
  <si>
    <t>26/12/2023</t>
  </si>
  <si>
    <t>TH162FMJ-C23004029</t>
  </si>
  <si>
    <t>XB1-XPT-001</t>
  </si>
  <si>
    <t>Đã qua sử dụng</t>
  </si>
  <si>
    <t>3TNV88-DSA</t>
  </si>
  <si>
    <t>36HP</t>
  </si>
  <si>
    <t>J8134</t>
  </si>
  <si>
    <t>XB1-RBX-001</t>
  </si>
  <si>
    <t>XD1-RBX-001</t>
  </si>
  <si>
    <t>A24-CT-0171</t>
  </si>
  <si>
    <t>Đang hư hỏng nằm ở TTBTSC (CHƯA NHẬN)</t>
  </si>
  <si>
    <t>4L6819010</t>
  </si>
  <si>
    <t>RYTJU32C2NA178540</t>
  </si>
  <si>
    <t>XB1-RBX-003</t>
  </si>
  <si>
    <t>Không có</t>
  </si>
  <si>
    <t>C43101511A</t>
  </si>
  <si>
    <t>XB1-XLU-001</t>
  </si>
  <si>
    <t>CHT-XLU-010</t>
  </si>
  <si>
    <t>A24-XLU-007</t>
  </si>
  <si>
    <t>CGTC LP Đ.chuyển mượn dài hạn 12.08.2025</t>
  </si>
  <si>
    <t>VTW1521664</t>
  </si>
  <si>
    <t>XB1-RBX-004</t>
  </si>
  <si>
    <t>A22-RBX-004</t>
  </si>
  <si>
    <t>MST2000</t>
  </si>
  <si>
    <t>6D110160178</t>
  </si>
  <si>
    <t>XB1-RBX-005</t>
  </si>
  <si>
    <t>A22-RBX-005</t>
  </si>
  <si>
    <t>MST700E</t>
  </si>
  <si>
    <t>4D95L177865</t>
  </si>
  <si>
    <t>XB1-CRZ-001</t>
  </si>
  <si>
    <t>A22-CRZ-001</t>
  </si>
  <si>
    <t>THÁI LAN</t>
  </si>
  <si>
    <t>GX35T</t>
  </si>
  <si>
    <t>1.34HP</t>
  </si>
  <si>
    <t>XB1-CRZ-002</t>
  </si>
  <si>
    <t>XB1-CRZ-003</t>
  </si>
  <si>
    <t>XB1-CRZ-004</t>
  </si>
  <si>
    <t>XB1-CRZ-005</t>
  </si>
  <si>
    <t>XB1-XBX-001</t>
  </si>
  <si>
    <t>A22-XBX-001</t>
  </si>
  <si>
    <t>16/01/2026</t>
  </si>
  <si>
    <t>MNIGKO</t>
  </si>
  <si>
    <t>MINGKO</t>
  </si>
  <si>
    <t>38.3HP</t>
  </si>
  <si>
    <t>31101A</t>
  </si>
  <si>
    <t>V. GIAO NHẬN VẬN CHUYỂN</t>
  </si>
  <si>
    <t>CVC-XTA-001</t>
  </si>
  <si>
    <t>CVC-XTA-001 (3A-0813)</t>
  </si>
  <si>
    <t>3A-0813</t>
  </si>
  <si>
    <t>C160</t>
  </si>
  <si>
    <t>CVC-XTA-002</t>
  </si>
  <si>
    <t>CVC-XTA-002 (3F-2956)</t>
  </si>
  <si>
    <t>3F-2956</t>
  </si>
  <si>
    <t>C006006</t>
  </si>
  <si>
    <t>CVC-XTA-003</t>
  </si>
  <si>
    <t>CVC-XTA-003 (3A-6603)</t>
  </si>
  <si>
    <t>3A-6603</t>
  </si>
  <si>
    <t>C006003</t>
  </si>
  <si>
    <t>CVC-XTA-005</t>
  </si>
  <si>
    <t>FD140</t>
  </si>
  <si>
    <t>RNHF14FYAMT052028</t>
  </si>
  <si>
    <t>YC4D140-48D59M1M00594</t>
  </si>
  <si>
    <t>CVC-XTA-006</t>
  </si>
  <si>
    <t>RNHF14FYAMT052029</t>
  </si>
  <si>
    <t>YC4D140-48D59M1M00563</t>
  </si>
  <si>
    <t>CVC-XTA-007</t>
  </si>
  <si>
    <t>RNHF14FYAMT052030</t>
  </si>
  <si>
    <t>YC4D140-48D59M1M00527</t>
  </si>
  <si>
    <t>CVC-XTA-009</t>
  </si>
  <si>
    <t>CVC-XTA-010</t>
  </si>
  <si>
    <t xml:space="preserve"> 81C-07982</t>
  </si>
  <si>
    <t>HOWO 371</t>
  </si>
  <si>
    <t>300HP</t>
  </si>
  <si>
    <t>CVC-XTA-011</t>
  </si>
  <si>
    <t>81C-08007</t>
  </si>
  <si>
    <t>CVC-XTA-014</t>
  </si>
  <si>
    <t>RNHD30FWAJC07892</t>
  </si>
  <si>
    <t>CVC-XTA-015</t>
  </si>
  <si>
    <t>RNHD30FWAJC078093</t>
  </si>
  <si>
    <t>WP10375E431618A009911</t>
  </si>
  <si>
    <t>CVC-XTA-016</t>
  </si>
  <si>
    <t>CHT-XTA-006 (92C-17302)</t>
  </si>
  <si>
    <t>92C-17302</t>
  </si>
  <si>
    <t>FD850</t>
  </si>
  <si>
    <t>RNHF14FYALC012920</t>
  </si>
  <si>
    <t>CVC-XTA-017</t>
  </si>
  <si>
    <t>CHT-XTA-013</t>
  </si>
  <si>
    <t>CGTC DP điều chuyển qua  ngày 06.12.2025
Cải tạo thành xe cấp dầu
Bồn nhiên liệu 16.000L: A23-BNL-001
Máy phát điện 3kw: CVC-MFĐ-001</t>
  </si>
  <si>
    <t>RNHD30FWAJC078086</t>
  </si>
  <si>
    <t>CVC-XTA-018</t>
  </si>
  <si>
    <t>CHT-XTA-016</t>
  </si>
  <si>
    <t>ATT-A24-0079</t>
  </si>
  <si>
    <t>CGTC  LP điều chuyển qua ngày 25/12/2025
Cải tạo thành xe cấp dầu
Máy phát điện 3Kw: CVC-MFĐ-002 (cũ)
máy phát điện 6.5Kw: CVC-MFĐ-003 (08/04/2026 - mới)</t>
  </si>
  <si>
    <t>RNHD30FWAJCO078101</t>
  </si>
  <si>
    <t>WP10375E431618A008105</t>
  </si>
  <si>
    <t>TND-COT-001</t>
  </si>
  <si>
    <t>92C-14772</t>
  </si>
  <si>
    <t>THUÊ THILOGI</t>
  </si>
  <si>
    <t>FUSO</t>
  </si>
  <si>
    <t>FZ49</t>
  </si>
  <si>
    <t>MEC2812SCGP028677</t>
  </si>
  <si>
    <t>TND-COT-002</t>
  </si>
  <si>
    <t>92C-14728</t>
  </si>
  <si>
    <t>MEC2812SCGP028311</t>
  </si>
  <si>
    <t>TND-COT-003</t>
  </si>
  <si>
    <t>92C-14749</t>
  </si>
  <si>
    <t>MEC2812SCGP029295</t>
  </si>
  <si>
    <t>TND-COT-004</t>
  </si>
  <si>
    <t>92C-14715</t>
  </si>
  <si>
    <t>MEC2812SCGP028625</t>
  </si>
  <si>
    <t>TND-COT-005</t>
  </si>
  <si>
    <t>92C-14689</t>
  </si>
  <si>
    <t>MEC2812SCGP028373</t>
  </si>
  <si>
    <t>TND-COT-007</t>
  </si>
  <si>
    <t>92C-14630</t>
  </si>
  <si>
    <t>MEC2812SCGP028586</t>
  </si>
  <si>
    <t>Thay cho TND-COT-006</t>
  </si>
  <si>
    <t>không xoá</t>
  </si>
  <si>
    <t>VI. TRẠM TRỘN BÊ TÔNG</t>
  </si>
  <si>
    <t>TBT-XTB-001</t>
  </si>
  <si>
    <t>HD270</t>
  </si>
  <si>
    <t>KMCDH18SPHC094971</t>
  </si>
  <si>
    <t>D6CAGJ310250</t>
  </si>
  <si>
    <t>TBT-XTB-002</t>
  </si>
  <si>
    <t>KMCDH15SPHC094979</t>
  </si>
  <si>
    <t>D6CAGJ309410</t>
  </si>
  <si>
    <t>TBT-XTB-003</t>
  </si>
  <si>
    <t>KMCDH18SPHC094980</t>
  </si>
  <si>
    <t>D6CAGJ309414</t>
  </si>
  <si>
    <t>TBT-XTB-004</t>
  </si>
  <si>
    <t>FORTON</t>
  </si>
  <si>
    <t>BJ5253GJB-AB</t>
  </si>
  <si>
    <t>LRDV6PEC7JH613967</t>
  </si>
  <si>
    <t>ISGe534076226632</t>
  </si>
  <si>
    <t>TBT-XTB-005</t>
  </si>
  <si>
    <t>5A-0004</t>
  </si>
  <si>
    <t>17/12/2023</t>
  </si>
  <si>
    <t>CNHTC Sinotruk</t>
  </si>
  <si>
    <t>ZZ5257GJBN3847E1</t>
  </si>
  <si>
    <t>338.5HP</t>
  </si>
  <si>
    <t>LZZ1BLND6PA126475</t>
  </si>
  <si>
    <t>D103450230507007387</t>
  </si>
  <si>
    <t>TBT-XTB-006</t>
  </si>
  <si>
    <t>5A-0006</t>
  </si>
  <si>
    <t>LZZ1BLND8PA126476</t>
  </si>
  <si>
    <t>D103450230507007397</t>
  </si>
  <si>
    <t>TBT-XTB-007</t>
  </si>
  <si>
    <t>5A-0002</t>
  </si>
  <si>
    <t>LZZ1BLNDXPA126477</t>
  </si>
  <si>
    <t>D103450230507007367</t>
  </si>
  <si>
    <t>TBT-XTB-008</t>
  </si>
  <si>
    <t>5A-0005</t>
  </si>
  <si>
    <t>LZZ1BLND1PA126478</t>
  </si>
  <si>
    <t>D103450230507007327</t>
  </si>
  <si>
    <t>TBT-XTB-009</t>
  </si>
  <si>
    <t>5A-0003</t>
  </si>
  <si>
    <t>LZZ1BLND3PA126479</t>
  </si>
  <si>
    <t>D103450230507007377</t>
  </si>
  <si>
    <t>TBT-XTB-010</t>
  </si>
  <si>
    <t>5A-0001</t>
  </si>
  <si>
    <t>LZZ1BLND3PA126482</t>
  </si>
  <si>
    <t>D103450230507007347</t>
  </si>
  <si>
    <t>TBT-XXL-001</t>
  </si>
  <si>
    <t>WA200-3</t>
  </si>
  <si>
    <t>W038-60400</t>
  </si>
  <si>
    <t>6D95L-140544</t>
  </si>
  <si>
    <t>TBT-XXL-002</t>
  </si>
  <si>
    <t>Xe xúc lật WA200-3</t>
  </si>
  <si>
    <t>24/01/2024</t>
  </si>
  <si>
    <t>W038-60624</t>
  </si>
  <si>
    <t>6D95L-153498</t>
  </si>
  <si>
    <t>khong xoa</t>
  </si>
  <si>
    <t>VII. BAN ĐIỆN NƯỚC</t>
  </si>
  <si>
    <t>ĐNA-MKE-001</t>
  </si>
  <si>
    <t>ĐNA-MKE-002</t>
  </si>
  <si>
    <t>MK49 VCKLH(XA2-MKE-008)</t>
  </si>
  <si>
    <t>-Đ.chuyển từ AD2 ngày 05/02/2025</t>
  </si>
  <si>
    <t>0950</t>
  </si>
  <si>
    <t>ĐNA-XCA-001</t>
  </si>
  <si>
    <t>CKC-XCA-007(3F-5716)</t>
  </si>
  <si>
    <t>-Đ.chuyên từ Đien nước KLH 08/08/2024
- Đ,chuyen từ ME qua DNuoc ngày 14/10/2024</t>
  </si>
  <si>
    <t>19APC027557</t>
  </si>
  <si>
    <t>00227</t>
  </si>
  <si>
    <t>ĐNA-XCA-002</t>
  </si>
  <si>
    <t>3F-2372</t>
  </si>
  <si>
    <t>Ollin 900B</t>
  </si>
  <si>
    <t>RNHA1550BHC072222</t>
  </si>
  <si>
    <t>ĐNA-XLO-001</t>
  </si>
  <si>
    <t>150ZH-2DR</t>
  </si>
  <si>
    <t>11HP</t>
  </si>
  <si>
    <t>L6XHBN1B8R0000061</t>
  </si>
  <si>
    <t>170MM-B8R100075</t>
  </si>
  <si>
    <t>ĐNA-XLO-002</t>
  </si>
  <si>
    <t>L6XHBN1B8R0000058</t>
  </si>
  <si>
    <t>170MM-B8R100072</t>
  </si>
  <si>
    <t>ĐNA-XLO-003</t>
  </si>
  <si>
    <t>L6XHBN1B8R0000059</t>
  </si>
  <si>
    <t>170MM-B8R100073</t>
  </si>
  <si>
    <t>VIII. XƯỞNG CƠ KHÍ ADM&amp;LP</t>
  </si>
  <si>
    <t>CKB-XLO-001</t>
  </si>
  <si>
    <t>CKB-XLO-002</t>
  </si>
  <si>
    <t>150CC</t>
  </si>
  <si>
    <t>1L000058</t>
  </si>
  <si>
    <t>CKB-XLO-003</t>
  </si>
  <si>
    <t>21L001162</t>
  </si>
  <si>
    <t>CKB-XLO-004</t>
  </si>
  <si>
    <t>21L000299</t>
  </si>
  <si>
    <t>CKB-XNA-001</t>
  </si>
  <si>
    <t>A23-XNA-001</t>
  </si>
  <si>
    <t>18/03/2025</t>
  </si>
  <si>
    <t>010353K6773</t>
  </si>
  <si>
    <t>CKB-XNA-003</t>
  </si>
  <si>
    <t>Xe nâng dầu HELI 5 tấn</t>
  </si>
  <si>
    <t>28/04/2026</t>
  </si>
  <si>
    <t>CPCD50</t>
  </si>
  <si>
    <t>69HP</t>
  </si>
  <si>
    <t>010503S3572</t>
  </si>
  <si>
    <t>IX. XƯỞNG CƠ KHÍ DP</t>
  </si>
  <si>
    <t>CKD-MKE-001</t>
  </si>
  <si>
    <t>MK 03 -VC KLH</t>
  </si>
  <si>
    <t>C000080</t>
  </si>
  <si>
    <t>CKD-MKE-002</t>
  </si>
  <si>
    <t>MK 77 -VC KLH</t>
  </si>
  <si>
    <t>C000016</t>
  </si>
  <si>
    <t>CKD-MKE-003</t>
  </si>
  <si>
    <t>CKC-MKE-001</t>
  </si>
  <si>
    <t>TAMMT05AJC000044</t>
  </si>
  <si>
    <t>CKD-XCA-001</t>
  </si>
  <si>
    <t>ĐNA-XCA-003(CKC-XCA-005)
3A-6002</t>
  </si>
  <si>
    <t>30/12/2024</t>
  </si>
  <si>
    <t>-Điều chuyển từ Điện nước KLH-09/05/2024
-Đ.chuyển từ Cơ khí TCRR (Mr.Khải)-29/07/2024
- Đ.chuyển từ ME qua cơ khí DP - 30/12/2024</t>
  </si>
  <si>
    <t>RNHA1550BHC063037</t>
  </si>
  <si>
    <t>YC4E160-33E37F2H00227</t>
  </si>
  <si>
    <t>X. THAGRICONS</t>
  </si>
  <si>
    <t>CKC-XCA-001</t>
  </si>
  <si>
    <t>Thagricons</t>
  </si>
  <si>
    <t>CKC-XCA-004</t>
  </si>
  <si>
    <t>CHT-XCA-002</t>
  </si>
  <si>
    <t xml:space="preserve">-Đ.chuyển từ CGTC AD -29/07/2024 </t>
  </si>
  <si>
    <t>ZOOMLION</t>
  </si>
  <si>
    <t>ZTC550V532-1</t>
  </si>
  <si>
    <t>L5E6H4D33PA014676</t>
  </si>
  <si>
    <t>WP103361623G017019</t>
  </si>
  <si>
    <t>CKC-XCA-006</t>
  </si>
  <si>
    <t>CKB-XCA-001</t>
  </si>
  <si>
    <t>Xe cẩu 3.5 tấn</t>
  </si>
  <si>
    <t>Điều chuyển từ Ban CK KLH (Mr.Phương)</t>
  </si>
  <si>
    <t>RNHA1550BHC063042</t>
  </si>
  <si>
    <t>YC4E160-33E37F2H00201</t>
  </si>
  <si>
    <t>CKC-XCA-009</t>
  </si>
  <si>
    <t>A22-XCA-009</t>
  </si>
  <si>
    <t>21/10/2024</t>
  </si>
  <si>
    <t>FOTON AUMAN</t>
  </si>
  <si>
    <t xml:space="preserve"> C240</t>
  </si>
  <si>
    <t>RNHA24FCANT056597</t>
  </si>
  <si>
    <t>CHT-XCA-003</t>
  </si>
  <si>
    <t>A23-XCA-003</t>
  </si>
  <si>
    <t>CGTC DP điều chuyển sang ngày 09/10/2025</t>
  </si>
  <si>
    <t>C240</t>
  </si>
  <si>
    <t>270HP</t>
  </si>
  <si>
    <t>RNHA24FCAPT080028</t>
  </si>
  <si>
    <t>ISDE2704082442137</t>
  </si>
  <si>
    <t>CKC-XCA-003</t>
  </si>
  <si>
    <t>NTD-XCA-001</t>
  </si>
  <si>
    <t>C34</t>
  </si>
  <si>
    <t xml:space="preserve">21615E037691 </t>
  </si>
  <si>
    <t>000AFC072313</t>
  </si>
  <si>
    <t>CKC-XNA-001</t>
  </si>
  <si>
    <t>CKC-XNĐ-001</t>
  </si>
  <si>
    <t>4TNE98</t>
  </si>
  <si>
    <t>CKC-MKE-004</t>
  </si>
  <si>
    <t>FD202H-16335</t>
  </si>
  <si>
    <t>CKC-MKE-003</t>
  </si>
  <si>
    <t>CKC-MKE-005</t>
  </si>
  <si>
    <t>SHIBAURA</t>
  </si>
  <si>
    <t>10434T</t>
  </si>
  <si>
    <t>CKC-MKE-002</t>
  </si>
  <si>
    <t>TAMMT05AJC000089</t>
  </si>
  <si>
    <t>CKC-XNA-002</t>
  </si>
  <si>
    <t>NTA-XNA-002</t>
  </si>
  <si>
    <t>YALE</t>
  </si>
  <si>
    <t>4TNE98-805NNF</t>
  </si>
  <si>
    <t>CKC-XLO-001</t>
  </si>
  <si>
    <t>CKC-XLO-005</t>
  </si>
  <si>
    <t>150ZH</t>
  </si>
  <si>
    <t>TH162FMJ-C22060455</t>
  </si>
  <si>
    <t>CKC-XLO-002</t>
  </si>
  <si>
    <t>14/11/2023</t>
  </si>
  <si>
    <t>TH162FMJ-C23004009</t>
  </si>
  <si>
    <t>CKC-XLO-003</t>
  </si>
  <si>
    <t>TH162FMJ-C23004035</t>
  </si>
  <si>
    <t>CKC-XLO-004</t>
  </si>
  <si>
    <t>TH162FMJ-C23004033</t>
  </si>
  <si>
    <t>TH162FMJ-C23004039</t>
  </si>
  <si>
    <t>CKC-XLO-006</t>
  </si>
  <si>
    <t>TH162FMJ-C22060453</t>
  </si>
  <si>
    <t>CKC-XLO-007</t>
  </si>
  <si>
    <t>LONCIN</t>
  </si>
  <si>
    <t>LC162FMJ-TM014863</t>
  </si>
  <si>
    <t>CKC-XLO-008</t>
  </si>
  <si>
    <t>ZONGSHEN</t>
  </si>
  <si>
    <t>ZS162MJ-L8L300020</t>
  </si>
  <si>
    <t>CKC-XLO-009</t>
  </si>
  <si>
    <t>ZS162MJ-LL012627</t>
  </si>
  <si>
    <t>XI. HÀNH CHÍNH KLH</t>
  </si>
  <si>
    <t>PHC-MKE-001</t>
  </si>
  <si>
    <t>MK46-VCKLH</t>
  </si>
  <si>
    <t>Điều chuyển từ xí nghiệp bò</t>
  </si>
  <si>
    <t>Hành chính DP</t>
  </si>
  <si>
    <t>HCA-TCD-001</t>
  </si>
  <si>
    <t>2A-0489(XA2-TCD-001)</t>
  </si>
  <si>
    <t>ATT-A22-0318</t>
  </si>
  <si>
    <t>2A-0489</t>
  </si>
  <si>
    <t>Đ.chuyển từ XN AD2 ngày 13/02/2025</t>
  </si>
  <si>
    <t>RNHF39KHBMT045661</t>
  </si>
  <si>
    <t>MD540089D4CB</t>
  </si>
  <si>
    <t>Hành chính AD</t>
  </si>
  <si>
    <t>HCD-MKE-094</t>
  </si>
  <si>
    <t>01720</t>
  </si>
  <si>
    <t>PHC-XCV-001</t>
  </si>
  <si>
    <t>51D-480.22</t>
  </si>
  <si>
    <t>Cty ADM-P.TGĐ TT KLH</t>
  </si>
  <si>
    <t>MAZDA</t>
  </si>
  <si>
    <t>HÀN QUỐC</t>
  </si>
  <si>
    <t>BT50</t>
  </si>
  <si>
    <t>148HP</t>
  </si>
  <si>
    <t>MM7UR4DF4KW852868</t>
  </si>
  <si>
    <t>P5AT2644238</t>
  </si>
  <si>
    <t>Xe công vụ Mazda BT50 (Xanh-đen)</t>
  </si>
  <si>
    <t>PHC-XCV-002</t>
  </si>
  <si>
    <t>51D-482.19</t>
  </si>
  <si>
    <t>Cty ADM-P.TGĐ CÔNG NGHIỆP</t>
  </si>
  <si>
    <t>MM7UR4DFXKW861641</t>
  </si>
  <si>
    <t>P5AT2656720</t>
  </si>
  <si>
    <t>PHC-XCV-003</t>
  </si>
  <si>
    <t>51D-617.64</t>
  </si>
  <si>
    <t>Cty ADM-GĐ SXCN</t>
  </si>
  <si>
    <t>Xe công vụ Mazda BT50 (Nâu)</t>
  </si>
  <si>
    <t>PHC-XCV-004</t>
  </si>
  <si>
    <t>51D-607.44</t>
  </si>
  <si>
    <t>Cty LP-GĐ SX CHUỐI</t>
  </si>
  <si>
    <t>MM7UR4DF1KW855663</t>
  </si>
  <si>
    <t>P5AT2648320</t>
  </si>
  <si>
    <t>PHC-XCV-005</t>
  </si>
  <si>
    <t>51D-609.04</t>
  </si>
  <si>
    <t>Cty LP-GĐ.HC NS</t>
  </si>
  <si>
    <t>MM7UR4DF5JW777547</t>
  </si>
  <si>
    <t>P5AT2523639</t>
  </si>
  <si>
    <t>Xe công vụ Mazda BT50 (Trắng)</t>
  </si>
  <si>
    <t>PHC-XCV-007</t>
  </si>
  <si>
    <t>51A-812.37</t>
  </si>
  <si>
    <t>Cty ADM- Ban điện nước</t>
  </si>
  <si>
    <t>FORD</t>
  </si>
  <si>
    <t>EVEREST</t>
  </si>
  <si>
    <t>141HP</t>
  </si>
  <si>
    <t>Xe công vụ Ford Everest (Ghi vàng)</t>
  </si>
  <si>
    <t>PHC-XCV-008</t>
  </si>
  <si>
    <t>51D-634.18</t>
  </si>
  <si>
    <t>Cty DP-Xe công vụ</t>
  </si>
  <si>
    <t>MM7UR4DD2K936329</t>
  </si>
  <si>
    <t>P4AT2742432</t>
  </si>
  <si>
    <t>PHC-XCV-009</t>
  </si>
  <si>
    <t>51H-257.33</t>
  </si>
  <si>
    <t>SEDONA</t>
  </si>
  <si>
    <t>RNYYK51A6JC142077</t>
  </si>
  <si>
    <t>G6DFJS807887</t>
  </si>
  <si>
    <t>PHC-XCV-010</t>
  </si>
  <si>
    <t>2B-3789</t>
  </si>
  <si>
    <t>Cty ADM- Xe công vụ</t>
  </si>
  <si>
    <t>TOYOTA</t>
  </si>
  <si>
    <t>CRUISER</t>
  </si>
  <si>
    <t>161HP</t>
  </si>
  <si>
    <t>JTMHU09JX95018220</t>
  </si>
  <si>
    <t>1GR8968561</t>
  </si>
  <si>
    <t>Xe công vụ Toyota Land Cruiser (Ghi bạc)</t>
  </si>
  <si>
    <t>PHC-XCV-011</t>
  </si>
  <si>
    <t>81C-04260</t>
  </si>
  <si>
    <t>Cty LP- Xe công vụ</t>
  </si>
  <si>
    <t>HILLUX</t>
  </si>
  <si>
    <t>MROFZ29G101692700</t>
  </si>
  <si>
    <t>1KDU299927</t>
  </si>
  <si>
    <t>Xe công vụ Toyota Hilux (Đen)</t>
  </si>
  <si>
    <t>PHC-XCV-012</t>
  </si>
  <si>
    <t>92A -338.08</t>
  </si>
  <si>
    <t>CX8</t>
  </si>
  <si>
    <t>188HP</t>
  </si>
  <si>
    <t>RN2K35346KM018796</t>
  </si>
  <si>
    <t>PY31030035</t>
  </si>
  <si>
    <t>Xe công vụ Mazda CX8 (Nâu)</t>
  </si>
  <si>
    <t>PHC-XCV-013</t>
  </si>
  <si>
    <t>2A-0522</t>
  </si>
  <si>
    <t>Cty ADM-Xe cấp cứu</t>
  </si>
  <si>
    <t>STAREX</t>
  </si>
  <si>
    <t>PHC-XCV-014</t>
  </si>
  <si>
    <t>2B-6868</t>
  </si>
  <si>
    <t>Cty DP - P.TGĐ TT KLH</t>
  </si>
  <si>
    <t>PV5XWER8RLY00766</t>
  </si>
  <si>
    <t>YNWQRLY00046</t>
  </si>
  <si>
    <t>Xe công vụ Ford Everest (đen)</t>
  </si>
  <si>
    <t>PHC-XCV-015</t>
  </si>
  <si>
    <t>51D-62994</t>
  </si>
  <si>
    <t>Cty AD - GĐ BAN XDCB</t>
  </si>
  <si>
    <t>MM7UR4DF9KW903331</t>
  </si>
  <si>
    <t>P5AT2707088</t>
  </si>
  <si>
    <t>KLH-XTA-003</t>
  </si>
  <si>
    <t>92B-00858</t>
  </si>
  <si>
    <t>BUS</t>
  </si>
  <si>
    <t>PHC-TĐL-001</t>
  </si>
  <si>
    <t>A23-TĐL-001</t>
  </si>
  <si>
    <t>2A-0091</t>
  </si>
  <si>
    <t>K200</t>
  </si>
  <si>
    <t>RNHA39KHERT094672</t>
  </si>
  <si>
    <t>RD577729D4CB</t>
  </si>
  <si>
    <t>PHC-TĐL-002</t>
  </si>
  <si>
    <t>A23-TĐL-002</t>
  </si>
  <si>
    <t>2A-0046</t>
  </si>
  <si>
    <t>RNHA39KHERT094673</t>
  </si>
  <si>
    <t>RD577733D4CB</t>
  </si>
  <si>
    <t>PHC-TĐL-003</t>
  </si>
  <si>
    <t>A23-TĐL-003</t>
  </si>
  <si>
    <t>2A-0109</t>
  </si>
  <si>
    <t>RNHA39KHERT094674</t>
  </si>
  <si>
    <t>RD577734D4CB</t>
  </si>
  <si>
    <t>PHC-XCR-001</t>
  </si>
  <si>
    <t>A23-XCR-001</t>
  </si>
  <si>
    <t>K250B</t>
  </si>
  <si>
    <t>RNHA49KHEPT069328</t>
  </si>
  <si>
    <t>LD527221D4CB</t>
  </si>
  <si>
    <t>PHC-XTA-001</t>
  </si>
  <si>
    <t>XD3-XTA-007</t>
  </si>
  <si>
    <t>A23-XTA-047</t>
  </si>
  <si>
    <t>DP3 Đchuyen qua ASĐS ngày 20.07.2026
Đầu tư mới</t>
  </si>
  <si>
    <t>RNHA49TZART051060</t>
  </si>
  <si>
    <t>JE493ZLQ4*33102790*</t>
  </si>
  <si>
    <t>PHC-XTA-002</t>
  </si>
  <si>
    <t>CVC-XTA-008</t>
  </si>
  <si>
    <t>ATM-A23-0053</t>
  </si>
  <si>
    <t>GNVC bàn giao qua ngày 03.08.2026</t>
  </si>
  <si>
    <t>XII. THADICONS A&amp;I</t>
  </si>
  <si>
    <t>TDC-XTA-001</t>
  </si>
  <si>
    <t>XT09 HT KLH</t>
  </si>
  <si>
    <t>Thadicons A&amp;I</t>
  </si>
  <si>
    <t>Đã qua sử dụng</t>
  </si>
  <si>
    <t>RNHF14YALT022435</t>
  </si>
  <si>
    <t>TDC-XTA-002</t>
  </si>
  <si>
    <t xml:space="preserve">Mới </t>
  </si>
  <si>
    <t>TF2800</t>
  </si>
  <si>
    <t>TDC-XTA-003</t>
  </si>
  <si>
    <t>TF420</t>
  </si>
  <si>
    <t>TDC-XNA-001</t>
  </si>
  <si>
    <t>TDC-XCV-001</t>
  </si>
  <si>
    <t>81C-04285</t>
  </si>
  <si>
    <t>ISUZU</t>
  </si>
  <si>
    <t xml:space="preserve">NHẬT BẢN </t>
  </si>
  <si>
    <t>TDC-XLO-001</t>
  </si>
  <si>
    <t>TH162FMJ-C23004045</t>
  </si>
  <si>
    <t>LP7HCKZ91P0004045</t>
  </si>
  <si>
    <t>TDC-XLO-002</t>
  </si>
  <si>
    <t>TH162FMJ-C23004013</t>
  </si>
  <si>
    <t>LP7HCKZ9XP0004013</t>
  </si>
  <si>
    <t>TDC-XLO-003</t>
  </si>
  <si>
    <t>LP7HCKZ95N0000447</t>
  </si>
  <si>
    <t>TDC-XLO-004</t>
  </si>
  <si>
    <t>LP7HCKZ98N0000460</t>
  </si>
  <si>
    <t>TDC-XLO-005</t>
  </si>
  <si>
    <t>K002901900089</t>
  </si>
  <si>
    <t>L0011901053343</t>
  </si>
  <si>
    <t>XIII. BAN CG-CK &amp; SXCN</t>
  </si>
  <si>
    <t>BCG-TCD-002</t>
  </si>
  <si>
    <t>2A-6091</t>
  </si>
  <si>
    <t>A22-TCD-002</t>
  </si>
  <si>
    <t>RNHF39KHBMT045656</t>
  </si>
  <si>
    <t>MD540068D4CB</t>
  </si>
  <si>
    <t>TTBTSC ADM</t>
  </si>
  <si>
    <t>BCG-TCD-003</t>
  </si>
  <si>
    <t>2A-6089</t>
  </si>
  <si>
    <t>A22-TCD-003</t>
  </si>
  <si>
    <t>RNHF39KHBMT045639</t>
  </si>
  <si>
    <t>MD540108D4CB</t>
  </si>
  <si>
    <t>TTBTSC DP</t>
  </si>
  <si>
    <t>BCG-TCD-004</t>
  </si>
  <si>
    <t>A22-TCD-004</t>
  </si>
  <si>
    <t>2A-0518</t>
  </si>
  <si>
    <t>Xe tải chuyên dụng (thùng SCLĐ)</t>
  </si>
  <si>
    <t>27/01/2026</t>
  </si>
  <si>
    <t>KIA K200SD</t>
  </si>
  <si>
    <t>RNHF39KHBMT045676</t>
  </si>
  <si>
    <t>MD540074D4CB</t>
  </si>
  <si>
    <t>BCG-XMA-001</t>
  </si>
  <si>
    <t>Mr. Trận</t>
  </si>
  <si>
    <t>WAVE A</t>
  </si>
  <si>
    <t>110CC</t>
  </si>
  <si>
    <t>RLHJA3912KY147682</t>
  </si>
  <si>
    <t>JA39E-1004932</t>
  </si>
  <si>
    <t>BP.QLVH X&amp;M NN</t>
  </si>
  <si>
    <t>BCG-XMA-002</t>
  </si>
  <si>
    <t>Mr. Vũ</t>
  </si>
  <si>
    <t>RLHJAG912KY180667</t>
  </si>
  <si>
    <t>JA39E-1038313</t>
  </si>
  <si>
    <t>BCG-XMA-003</t>
  </si>
  <si>
    <t>Mr. Khánh</t>
  </si>
  <si>
    <t>JA39E-0414593</t>
  </si>
  <si>
    <t>BCG-XMA-004</t>
  </si>
  <si>
    <t>XA2-XMA-017</t>
  </si>
  <si>
    <t>TOL-A22-0795</t>
  </si>
  <si>
    <t>Mr. Bình</t>
  </si>
  <si>
    <t>RLHJA3914KY-216158</t>
  </si>
  <si>
    <t>JA39E-1190180</t>
  </si>
  <si>
    <t>BCG-LBR-001</t>
  </si>
  <si>
    <t>2A-4453</t>
  </si>
  <si>
    <t>BP.QLVH GIAO Mr.Thi NCMK 13/11/2025</t>
  </si>
  <si>
    <t>KMFYKS7HP3U039257</t>
  </si>
  <si>
    <t>NMCK ADM</t>
  </si>
  <si>
    <t>BCG-LBR-002</t>
  </si>
  <si>
    <t>2A-0834</t>
  </si>
  <si>
    <t>- Mr Sơn bàn giao xe về xưởng CGH 12/10/2024</t>
  </si>
  <si>
    <t>X.CK-CGH</t>
  </si>
  <si>
    <t>XIX. BAN KT CHUỐI</t>
  </si>
  <si>
    <t>KTC-TCD-003</t>
  </si>
  <si>
    <t>2A-0488 (BCG-TCD-001)</t>
  </si>
  <si>
    <t>ATT-A22-0319</t>
  </si>
  <si>
    <t>2A-0488</t>
  </si>
  <si>
    <t>15/10/2024</t>
  </si>
  <si>
    <t>Ban CG điều chuyển ngày 15/10/2024</t>
  </si>
  <si>
    <t>RNHF39KHBMT045640</t>
  </si>
  <si>
    <t>MD540107D4CB</t>
  </si>
  <si>
    <t>KCD-TCD-001</t>
  </si>
  <si>
    <t>2A-6092</t>
  </si>
  <si>
    <t>A23-TCD-001</t>
  </si>
  <si>
    <t>- Đầu tư mới
- Xe giao về HC KLH 02/05/2025</t>
  </si>
  <si>
    <t>RNHF39KHBMT045631</t>
  </si>
  <si>
    <t>MD540071D4CB</t>
  </si>
  <si>
    <t>KCL-TCD-001</t>
  </si>
  <si>
    <t>2A-6093</t>
  </si>
  <si>
    <t>A24-TCD-003</t>
  </si>
  <si>
    <t>Đầu tư mới
- Xe tai nạn</t>
  </si>
  <si>
    <t>RNHF39KHBMT045342</t>
  </si>
  <si>
    <t>MD534256D4CB</t>
  </si>
  <si>
    <t>XX. NM NHỰA-XỐP DP</t>
  </si>
  <si>
    <t>NMN-XNA-001</t>
  </si>
  <si>
    <t>GDP35MX</t>
  </si>
  <si>
    <t>58HP</t>
  </si>
  <si>
    <t>D871R15794W</t>
  </si>
  <si>
    <t>NMN-XNA-002</t>
  </si>
  <si>
    <t>CPD25-GB2LI-H</t>
  </si>
  <si>
    <t>05025DF7308</t>
  </si>
  <si>
    <t>NMN-XNA-003</t>
  </si>
  <si>
    <t>05025DF945</t>
  </si>
  <si>
    <t>NMN-XNA-004</t>
  </si>
  <si>
    <t>05025DF7946</t>
  </si>
  <si>
    <t>NMN-XNA-005</t>
  </si>
  <si>
    <t>CPD35-GB2LI-H</t>
  </si>
  <si>
    <t>05035DF8691</t>
  </si>
  <si>
    <t>NMN-XNA-006</t>
  </si>
  <si>
    <t>CPD50-GB2LI</t>
  </si>
  <si>
    <t>05050DF9070</t>
  </si>
  <si>
    <t>NMN-XNA-007</t>
  </si>
  <si>
    <t>05050DF9069</t>
  </si>
  <si>
    <t>XXI. Tổng kho</t>
  </si>
  <si>
    <t>TKD-XNA-001</t>
  </si>
  <si>
    <t>Xe lỗi hệ thống điện cảm biến không hoạt động được.</t>
  </si>
  <si>
    <t>CPD15</t>
  </si>
  <si>
    <t>TKD-XNA-002</t>
  </si>
  <si>
    <t>Xe lỗi hệ thống thủy lực (chỉ nâng được dưới 1 tấn).</t>
  </si>
  <si>
    <t>CPD25</t>
  </si>
  <si>
    <t>05025DH3158</t>
  </si>
  <si>
    <t>TKD-XNA-003</t>
  </si>
  <si>
    <t>Xe đang hoạt động</t>
  </si>
  <si>
    <t>ECP16S</t>
  </si>
  <si>
    <t>TKD-XNA-004</t>
  </si>
  <si>
    <t>TKD-XNA-005</t>
  </si>
  <si>
    <t>TKD-XNA-006</t>
  </si>
  <si>
    <t>Xe hỏng không hoạt động được.</t>
  </si>
  <si>
    <t>TKD-XNA-007</t>
  </si>
  <si>
    <t>TKD-XNA-008</t>
  </si>
  <si>
    <t>Xe đang hoạt động (thường xuyên lỗi).</t>
  </si>
  <si>
    <t>XXII. Vườn tăng gia KLH</t>
  </si>
  <si>
    <t>VTG-XTA-001</t>
  </si>
  <si>
    <t>XB1-XCP-007</t>
  </si>
  <si>
    <t>ATT-A22-0298</t>
  </si>
  <si>
    <t>Xe ben FD150 (8.7m3)</t>
  </si>
  <si>
    <t>Vườn tăng gia</t>
  </si>
  <si>
    <t xml:space="preserve"> Điều chuyển từ xí nghiệp Bò qua ngày 02/08/2026</t>
  </si>
  <si>
    <t>RNHF16FYAPTO77537</t>
  </si>
  <si>
    <t>YC4D150-48D59M1N00931</t>
  </si>
  <si>
    <t>E</t>
  </si>
  <si>
    <t>LƯU KHO MÁY MÓC CƠ GIỚI KHU LIÊN HỢP</t>
  </si>
  <si>
    <t>(Chờ phân bổ chữ xanh dương)</t>
  </si>
  <si>
    <t>I</t>
  </si>
  <si>
    <t>MÁY MÓC CHỜ PHÂN BỔ</t>
  </si>
  <si>
    <t>XD2-XPT-002</t>
  </si>
  <si>
    <t>XPT01NNKLH</t>
  </si>
  <si>
    <t>CHƯA PHÂN BỔ</t>
  </si>
  <si>
    <t>Chưa phân bổ</t>
  </si>
  <si>
    <t>C084025</t>
  </si>
  <si>
    <t>J00061</t>
  </si>
  <si>
    <t>XA2-XPT-001</t>
  </si>
  <si>
    <t>XPT08 - NN KLH</t>
  </si>
  <si>
    <t>9AD33858</t>
  </si>
  <si>
    <t>1509K055936</t>
  </si>
  <si>
    <t>HƯ HỎNG NẶNG LOẠI BIÊN</t>
  </si>
  <si>
    <t>(Loại biên chữ đỏ)</t>
  </si>
  <si>
    <t>MK12-VCKLH</t>
  </si>
  <si>
    <t>Loại biên</t>
  </si>
  <si>
    <t>XN Chuối AD2</t>
  </si>
  <si>
    <t>Đã loại biên  (2024)</t>
  </si>
  <si>
    <t>C000032</t>
  </si>
  <si>
    <t>MK67-VCKLH</t>
  </si>
  <si>
    <t>SD3000AD0-10355</t>
  </si>
  <si>
    <t>XB1-MĐA-002</t>
  </si>
  <si>
    <t>MĐ33 HT-KLH</t>
  </si>
  <si>
    <t>Máy đào CAT 303 bánh xích gàu 0.3m3</t>
  </si>
  <si>
    <t>XB1-MKE-015</t>
  </si>
  <si>
    <t>MK21VC-KLH</t>
  </si>
  <si>
    <t>C000059</t>
  </si>
  <si>
    <t>XB1-XTA-004</t>
  </si>
  <si>
    <t>XT26 VC-KLH</t>
  </si>
  <si>
    <t>ATT-A22-0212</t>
  </si>
  <si>
    <t>Xe tải FD 3.5T</t>
  </si>
  <si>
    <t>73HP</t>
  </si>
  <si>
    <t>XB1-XXL-003</t>
  </si>
  <si>
    <t>XXL01HT-KLH</t>
  </si>
  <si>
    <t>ATT-A22-0196</t>
  </si>
  <si>
    <t>Xe xúc lật 916A</t>
  </si>
  <si>
    <t>AOLITE</t>
  </si>
  <si>
    <t>916A</t>
  </si>
  <si>
    <t>56HP</t>
  </si>
  <si>
    <t>CHT-XTA-007</t>
  </si>
  <si>
    <t>XT 07 HT-KLH</t>
  </si>
  <si>
    <t>Xe ben FAW (16m3)</t>
  </si>
  <si>
    <t>9AD16903</t>
  </si>
  <si>
    <t>CVC-XTA-012</t>
  </si>
  <si>
    <t>Xe tải FORLAND 2.5T</t>
  </si>
  <si>
    <t>CVC-XTA-013</t>
  </si>
  <si>
    <t>ATT-A22-0001</t>
  </si>
  <si>
    <t>Xe tải HYUNDAI 3.5T</t>
  </si>
  <si>
    <t>XB1-MKE-001</t>
  </si>
  <si>
    <t>MK42VC-KLH</t>
  </si>
  <si>
    <t>Đã loại biên (THÁNG 11/2025)</t>
  </si>
  <si>
    <t>XB1-MKE-013</t>
  </si>
  <si>
    <t>MK14VC-KLH</t>
  </si>
  <si>
    <t>000078</t>
  </si>
  <si>
    <t>0002</t>
  </si>
  <si>
    <t>XB1-MKE-016</t>
  </si>
  <si>
    <t>MK16VC-KLH</t>
  </si>
  <si>
    <t>0076</t>
  </si>
  <si>
    <t>XB1-MKE-019</t>
  </si>
  <si>
    <t>MK19-VCKLH</t>
  </si>
  <si>
    <t>C000047</t>
  </si>
  <si>
    <t>XB1-MKE-023</t>
  </si>
  <si>
    <t>MK09-VCKLH</t>
  </si>
  <si>
    <t>ATT-A22-0185</t>
  </si>
  <si>
    <t>XB1-MKE-026</t>
  </si>
  <si>
    <t>XAD-MKE-007/MK30VCKLH</t>
  </si>
  <si>
    <t>16/11/2023</t>
  </si>
  <si>
    <t>C000048</t>
  </si>
  <si>
    <t>XB1-MKE-028</t>
  </si>
  <si>
    <t>MK53VC-KLH(CNN-MKE-015)</t>
  </si>
  <si>
    <t>ATT-A22-0186</t>
  </si>
  <si>
    <t>XB1-MKE-032</t>
  </si>
  <si>
    <t>16/06/2024</t>
  </si>
  <si>
    <t>0428</t>
  </si>
  <si>
    <t>CNN</t>
  </si>
  <si>
    <t>XB1-XTA-001</t>
  </si>
  <si>
    <t>XT07VC-KLH</t>
  </si>
  <si>
    <t>ATT-A22-0016</t>
  </si>
  <si>
    <t>XB1-XTA-003</t>
  </si>
  <si>
    <t>XT21 VC-KLH</t>
  </si>
  <si>
    <t>CNN-MKE-018</t>
  </si>
  <si>
    <t>MK 81-VC KLH (XD3-MKE-007)</t>
  </si>
  <si>
    <t>ATT-A23-0019</t>
  </si>
  <si>
    <t>CNN-MKE-007</t>
  </si>
  <si>
    <t>XDP-MKE-007(MK02NNKLH)</t>
  </si>
  <si>
    <t>ATT-A23-0015</t>
  </si>
  <si>
    <t>Máy cày NH TD 110</t>
  </si>
  <si>
    <t>THỔ NHỶ KỲ</t>
  </si>
  <si>
    <t>TD110</t>
  </si>
  <si>
    <t>CNN-MKE-008</t>
  </si>
  <si>
    <t>XDP-MKE-008(MK04NNKLH)</t>
  </si>
  <si>
    <t>CNN-MKE-009</t>
  </si>
  <si>
    <t>CNN-MKE-003(MK03NNKLH)</t>
  </si>
  <si>
    <t>XBA-CLT-002</t>
  </si>
  <si>
    <t>RT-140DL-1712070728</t>
  </si>
  <si>
    <t>XXA-MKE-004</t>
  </si>
  <si>
    <t>XB1-MKE-014</t>
  </si>
  <si>
    <t>Máy cày Shibaura</t>
  </si>
  <si>
    <t>XL3-XTA-009</t>
  </si>
  <si>
    <t>XL1-XTA-001(XT19VCKLH)</t>
  </si>
  <si>
    <t>ATT-A24-0015</t>
  </si>
  <si>
    <t>XL3-XTA-001</t>
  </si>
  <si>
    <t>LP3-XTA-001(XT15-VCKLH)</t>
  </si>
  <si>
    <t>XL3-MĐA-003</t>
  </si>
  <si>
    <t>MĐ29-HTKLH</t>
  </si>
  <si>
    <t>ATT-A24-0022</t>
  </si>
  <si>
    <t>XL3-MĐA-004</t>
  </si>
  <si>
    <t>MĐ21-HTKLH</t>
  </si>
  <si>
    <t>XL3-MKE-007</t>
  </si>
  <si>
    <t>MK13 VCKLH(XA2-MKE-002)</t>
  </si>
  <si>
    <t>C000001</t>
  </si>
  <si>
    <t>XL1-CLT-001</t>
  </si>
  <si>
    <t>XL4-CLT-001</t>
  </si>
  <si>
    <t>ATT-A24-0067</t>
  </si>
  <si>
    <t>RT7140DI-17080981</t>
  </si>
  <si>
    <t>XL1-CLT-002</t>
  </si>
  <si>
    <t>XL4-CLT-002</t>
  </si>
  <si>
    <t>RT140-KH/1960184</t>
  </si>
  <si>
    <t>XL1-CLT-003</t>
  </si>
  <si>
    <t>XL4-CLT-003</t>
  </si>
  <si>
    <t>RT140-KH19080172</t>
  </si>
  <si>
    <t>XL1-CLT-004</t>
  </si>
  <si>
    <t>XL4-CLT-004</t>
  </si>
  <si>
    <t>RT140-KH19080003</t>
  </si>
  <si>
    <t>XL1-CLT-005</t>
  </si>
  <si>
    <t>XL4-CLT-005</t>
  </si>
  <si>
    <t>RT140DI-18122050</t>
  </si>
  <si>
    <t>XL1-CLT-007</t>
  </si>
  <si>
    <t>XA2-CLT-002</t>
  </si>
  <si>
    <t>ATO-A22-0003</t>
  </si>
  <si>
    <t>RT140DI-18122605</t>
  </si>
  <si>
    <t>XL1-XTA-005</t>
  </si>
  <si>
    <t>LP4-XTA-002</t>
  </si>
  <si>
    <t>A59876</t>
  </si>
  <si>
    <t>XL1-CĐN-001</t>
  </si>
  <si>
    <t>A24-CĐN-001</t>
  </si>
  <si>
    <t>YAMASUKI</t>
  </si>
  <si>
    <t>CAMBODIA</t>
  </si>
  <si>
    <t>GX35Y</t>
  </si>
  <si>
    <t>GX35Y21093929</t>
  </si>
  <si>
    <t>XL1-CĐN-002</t>
  </si>
  <si>
    <t>A24-CĐN-002</t>
  </si>
  <si>
    <t>21/12/2024</t>
  </si>
  <si>
    <t>GX-35</t>
  </si>
  <si>
    <t>XD3-MKE-001</t>
  </si>
  <si>
    <t>MK 85-VC KLH</t>
  </si>
  <si>
    <t>XD3-MĐA-001</t>
  </si>
  <si>
    <t>MĐ 11 HT-KLH</t>
  </si>
  <si>
    <t>ATT-A23-0037</t>
  </si>
  <si>
    <t>XD3-XTA-001</t>
  </si>
  <si>
    <t>XT 01 VC-KLH</t>
  </si>
  <si>
    <t>XD3-XTA-002</t>
  </si>
  <si>
    <t>XT 09 VC-KLH</t>
  </si>
  <si>
    <t>XD2-XTA-001</t>
  </si>
  <si>
    <t>XT 02 VC-KLH</t>
  </si>
  <si>
    <t>XA2-MĐA-004</t>
  </si>
  <si>
    <t>MĐ34 HTKLH</t>
  </si>
  <si>
    <t>ATT-A22-0123</t>
  </si>
  <si>
    <t>Đã loại biên</t>
  </si>
  <si>
    <t>PC40MR-2</t>
  </si>
  <si>
    <t>KMTPC092J05011139</t>
  </si>
  <si>
    <t>XA2-XTA-001</t>
  </si>
  <si>
    <t>XT16 - VC KLH</t>
  </si>
  <si>
    <t>XA2-CLT-001</t>
  </si>
  <si>
    <t>AD2-CLT-003</t>
  </si>
  <si>
    <t>RT140DI-1801771</t>
  </si>
  <si>
    <t>CHT-XBO-004</t>
  </si>
  <si>
    <t>Xe bồn HYUNDAI</t>
  </si>
  <si>
    <t>HYUNDAI (Bồn tưới 18m3)</t>
  </si>
  <si>
    <t>EF750032850</t>
  </si>
  <si>
    <t>thanh lý</t>
  </si>
  <si>
    <t>XA2-MKE-011</t>
  </si>
  <si>
    <t>MK44 VCKLH(XAD-MKE-018)</t>
  </si>
  <si>
    <t>62HP</t>
  </si>
  <si>
    <t>M6040SUD57648</t>
  </si>
  <si>
    <t>XA2-MKE-005</t>
  </si>
  <si>
    <t>MK29 VCKLH</t>
  </si>
  <si>
    <t>C000009</t>
  </si>
  <si>
    <t>XA2-MKE-001</t>
  </si>
  <si>
    <t>MK15 VCKLH</t>
  </si>
  <si>
    <t>C000061</t>
  </si>
  <si>
    <t>XD1-CĐN-001</t>
  </si>
  <si>
    <t>A23-CĐN-001</t>
  </si>
  <si>
    <t>XD1-CĐN-002</t>
  </si>
  <si>
    <t>A23-CĐN-002</t>
  </si>
  <si>
    <t>XD2-CĐN-001</t>
  </si>
  <si>
    <t>A23-CĐN-003</t>
  </si>
  <si>
    <t>XD2-CĐN-002</t>
  </si>
  <si>
    <t>A23-CĐN-004</t>
  </si>
  <si>
    <t>XD3-CĐN-001</t>
  </si>
  <si>
    <t>A23-CĐN-005</t>
  </si>
  <si>
    <t>XD3-CĐN-002</t>
  </si>
  <si>
    <t>A23-CĐN-006</t>
  </si>
  <si>
    <t>XL3-CĐN-001</t>
  </si>
  <si>
    <t>A24-CĐN-003</t>
  </si>
  <si>
    <t>XL3-CĐN-002</t>
  </si>
  <si>
    <t>A24-CĐN-004</t>
  </si>
  <si>
    <t>XE ĐC ĐI KLH KHÁC</t>
  </si>
  <si>
    <t>(Điều chuyển chữ xanh dương)</t>
  </si>
  <si>
    <t>CHT-MĐA-068</t>
  </si>
  <si>
    <t>A23-MĐA-068</t>
  </si>
  <si>
    <t>RAT OYD</t>
  </si>
  <si>
    <t>Bàn giao về XDCB ngày 11/02/2025 
-Đ.chuyển đi RAT OYD ngày 13/05/2025</t>
  </si>
  <si>
    <t>PC200-7</t>
  </si>
  <si>
    <t>KMTPC049P02251262</t>
  </si>
  <si>
    <t>6D10226342017</t>
  </si>
  <si>
    <t>CNN-MKE-004</t>
  </si>
  <si>
    <t>XDP-MKE-004(MK18NNKLH)</t>
  </si>
  <si>
    <t>Thu hồi bàn giao về RAT OYD 05/12/2024</t>
  </si>
  <si>
    <t>XD2-MKE-001</t>
  </si>
  <si>
    <t>MK 88-VC KLH</t>
  </si>
  <si>
    <t>XB1-XRA-002</t>
  </si>
  <si>
    <t>ATT-A22-0271</t>
  </si>
  <si>
    <t>Xe rải thức ăn FD1600B</t>
  </si>
  <si>
    <t>KLH SNOUL</t>
  </si>
  <si>
    <t>Điều chuyển về SNOUL ngày 02/05/2025</t>
  </si>
  <si>
    <t>RNHD1600DHC070081</t>
  </si>
  <si>
    <t>WP6180E326P15D005530</t>
  </si>
  <si>
    <t>CKC-XCA-002</t>
  </si>
  <si>
    <t>CHT-XCA-032</t>
  </si>
  <si>
    <t>ATM-A22-0011</t>
  </si>
  <si>
    <t>Xe cẩu Zoomliom 25 tấn</t>
  </si>
  <si>
    <t>- Điều chuyển về KLH SNOUL ngày 18/07/2024 (Đã ký)</t>
  </si>
  <si>
    <t xml:space="preserve">ZOOMLION </t>
  </si>
  <si>
    <t>CHINA</t>
  </si>
  <si>
    <t>CRANE TRUCK QY30V</t>
  </si>
  <si>
    <t>30T</t>
  </si>
  <si>
    <t>L5E5H3D22EA020978</t>
  </si>
  <si>
    <t>Máy kéo JD 7810</t>
  </si>
  <si>
    <t>13/06/2025</t>
  </si>
  <si>
    <t>Cho mượn 2 năm hoàn trả</t>
  </si>
  <si>
    <t>155Hp</t>
  </si>
  <si>
    <t>RW7810P001704</t>
  </si>
  <si>
    <t>RG6081T011143</t>
  </si>
  <si>
    <t>TND-COT-008</t>
  </si>
  <si>
    <t>92C-14638</t>
  </si>
  <si>
    <t>ĐÃ TRẢ LẠI THILOGI</t>
  </si>
  <si>
    <t>MEC2812SCGP028592</t>
  </si>
  <si>
    <t>400951D0028557</t>
  </si>
  <si>
    <t>TND-COT-009</t>
  </si>
  <si>
    <t>92C-14670</t>
  </si>
  <si>
    <t>MEC2812SDGP029269</t>
  </si>
  <si>
    <t>400951D0029283</t>
  </si>
  <si>
    <t>CVC-BUS-001</t>
  </si>
  <si>
    <t>ĐÃ ĐƯA VỀ SR GIA LAI SỬA CHỮA</t>
  </si>
  <si>
    <t>Ô tô khách</t>
  </si>
  <si>
    <t>238HP</t>
  </si>
  <si>
    <t>RNHTGB47A6C010081</t>
  </si>
  <si>
    <t>YC6A24020A35QA600206</t>
  </si>
  <si>
    <t>CVC-BUS-002</t>
  </si>
  <si>
    <t>RNHTGB47A6C010084</t>
  </si>
  <si>
    <t>YC6A24020A35QA600208</t>
  </si>
  <si>
    <t xml:space="preserve">  </t>
  </si>
  <si>
    <t>Mã tài sản
(Kế toán)</t>
  </si>
  <si>
    <t>PHÂN LOẠI</t>
  </si>
  <si>
    <t>KLH KOUN MOM</t>
  </si>
  <si>
    <t>I. MÁY CÔNG TRÌNH (ĐÀO, ỦI, LU, BAN)</t>
  </si>
  <si>
    <t>MÁY ĐÀO</t>
  </si>
  <si>
    <t>*</t>
  </si>
  <si>
    <t>M. ĐÀO 0.7-1.2M3</t>
  </si>
  <si>
    <t>ATT-A23-0025</t>
  </si>
  <si>
    <t>M.Đào Gàu 0.5-1.2m3</t>
  </si>
  <si>
    <t>ATT-A23-0011</t>
  </si>
  <si>
    <t>ATM-A22-0087</t>
  </si>
  <si>
    <t>ATT-A24-0053</t>
  </si>
  <si>
    <t>ATM-A22-0086</t>
  </si>
  <si>
    <t>ATT-A22-0143</t>
  </si>
  <si>
    <t>ĐTM (ĐQSD)</t>
  </si>
  <si>
    <t>ATT-A23-0034</t>
  </si>
  <si>
    <t>ATT-A23-0012</t>
  </si>
  <si>
    <t>ATT-A24-0049</t>
  </si>
  <si>
    <t>ATT-A24-0050</t>
  </si>
  <si>
    <t>ATT-A22-0120</t>
  </si>
  <si>
    <t>ATT-A22-0121</t>
  </si>
  <si>
    <t>M.Đào Gàu 0.5-1.2m4</t>
  </si>
  <si>
    <t>ATT-A22-0122</t>
  </si>
  <si>
    <t>M.Đào Gàu 0.5-1.2m5</t>
  </si>
  <si>
    <t>M.Đào Gàu 0.5-1.2m6</t>
  </si>
  <si>
    <t>M.Đào Gàu 0.5-1.2m7</t>
  </si>
  <si>
    <t>M. ĐÀ̀O  0.5M3</t>
  </si>
  <si>
    <t>ATM-A22-0088</t>
  </si>
  <si>
    <t>ATT-A24-0052</t>
  </si>
  <si>
    <t>M. ĐÀ̀O  0.3M3</t>
  </si>
  <si>
    <t>M.Đào Gàu 0.3m3</t>
  </si>
  <si>
    <t>M.Đào Gàu 0.3m4</t>
  </si>
  <si>
    <t>ATT-A22-0233</t>
  </si>
  <si>
    <t>ATT-A22-0231</t>
  </si>
  <si>
    <t>ATT-A23-0041</t>
  </si>
  <si>
    <t>ATT-A23-0035</t>
  </si>
  <si>
    <t>ATT-A23-0036</t>
  </si>
  <si>
    <t>ATT-A22-0236</t>
  </si>
  <si>
    <t>ATT-A23-0042</t>
  </si>
  <si>
    <t>ATM-A22-0018</t>
  </si>
  <si>
    <t>ATM-A24-0099</t>
  </si>
  <si>
    <t>MÁY ỦI</t>
  </si>
  <si>
    <t>ATT-A23-0027</t>
  </si>
  <si>
    <t>M.Ủi D31-D51</t>
  </si>
  <si>
    <t>ATT-A22-0128</t>
  </si>
  <si>
    <t>ATT-A22-0148</t>
  </si>
  <si>
    <t>ATT-A24-0056</t>
  </si>
  <si>
    <t>ATT-A24-0048</t>
  </si>
  <si>
    <t>ATT-A22-0169</t>
  </si>
  <si>
    <t>M.Ủi D31-D52</t>
  </si>
  <si>
    <t>ATT-A22-0170</t>
  </si>
  <si>
    <t>M.Ủi D60-D65</t>
  </si>
  <si>
    <t>ATT-A23-0031</t>
  </si>
  <si>
    <t>ATM-A22-0089</t>
  </si>
  <si>
    <t>ATT-A22-0136</t>
  </si>
  <si>
    <t>ATT-A22-0137</t>
  </si>
  <si>
    <t>M.Ủi D60-D66</t>
  </si>
  <si>
    <t>ATT-A22-0138</t>
  </si>
  <si>
    <t>M.Ủi D60-D67</t>
  </si>
  <si>
    <t>XE LU</t>
  </si>
  <si>
    <t>ATT-A23-0026</t>
  </si>
  <si>
    <t>X.Lu 10-12 tấn</t>
  </si>
  <si>
    <t>ATT-A24-0057</t>
  </si>
  <si>
    <t>ATM-A22-0090</t>
  </si>
  <si>
    <t>ATT-A24-0058</t>
  </si>
  <si>
    <t>ATT-A22-0153</t>
  </si>
  <si>
    <t>ATT-A22-0152</t>
  </si>
  <si>
    <t>X.Lu 5 tấn</t>
  </si>
  <si>
    <t>X.Lu tay</t>
  </si>
  <si>
    <t>XE BAN</t>
  </si>
  <si>
    <t>ATT-A22-0156</t>
  </si>
  <si>
    <t>X.Ban</t>
  </si>
  <si>
    <t>ATT-A24-0059</t>
  </si>
  <si>
    <t>ATT-A22-0135</t>
  </si>
  <si>
    <t>ATT-A23-0033</t>
  </si>
  <si>
    <t>II</t>
  </si>
  <si>
    <t>MÁY CÀY LÀM ĐẤT</t>
  </si>
  <si>
    <t>MÁ́Y CÀY ĐẤT KUBOTA</t>
  </si>
  <si>
    <t>M.Cày 20-90 HP</t>
  </si>
  <si>
    <t>ATT-A22-0182</t>
  </si>
  <si>
    <t>M.Cày 95-125 HP</t>
  </si>
  <si>
    <t>MÁ́Y CÀY ĐẤT JD</t>
  </si>
  <si>
    <t>ATM-A23-0070</t>
  </si>
  <si>
    <t>ĐTM (ALL NEW)</t>
  </si>
  <si>
    <t>ATM-A24-0101</t>
  </si>
  <si>
    <t>ATM-A23-0071</t>
  </si>
  <si>
    <t>ATM-A24-0102</t>
  </si>
  <si>
    <t>ATT-A22-0312</t>
  </si>
  <si>
    <t>M.Cày 130-155 HP</t>
  </si>
  <si>
    <t>ATM-A24-0103</t>
  </si>
  <si>
    <t>MÁ́Y CÀY ĐẤT NEWHOLAND</t>
  </si>
  <si>
    <t>ATT-A23-0017</t>
  </si>
  <si>
    <t>III</t>
  </si>
  <si>
    <t>MÁY CÀY SẢN XUẤT</t>
  </si>
  <si>
    <t>MÁ́Y CÀY KAM 50</t>
  </si>
  <si>
    <t>ATT-A23-0013</t>
  </si>
  <si>
    <t>MÁY CÀY KUBOTA</t>
  </si>
  <si>
    <t>ATT-A22-0188</t>
  </si>
  <si>
    <t>ATT-A22-0183</t>
  </si>
  <si>
    <t>ATT-A22-0184</t>
  </si>
  <si>
    <t>MÁY CÀY JOHNDEERE</t>
  </si>
  <si>
    <t>ATT-A22-0321</t>
  </si>
  <si>
    <t>ATT-A22-0322</t>
  </si>
  <si>
    <t>ATT-A22-0329</t>
  </si>
  <si>
    <t>MÁY CÀY LOVOL</t>
  </si>
  <si>
    <t>MÁY CÀY SHIBAURA</t>
  </si>
  <si>
    <t>MÁY CÀY  BÁNH XÍCH</t>
  </si>
  <si>
    <t>ATM-A22-0126</t>
  </si>
  <si>
    <t>ATM-A22-0129</t>
  </si>
  <si>
    <t>ATM-A22-0130</t>
  </si>
  <si>
    <t>ATM-A22-0131</t>
  </si>
  <si>
    <t>ATM-A22-0132</t>
  </si>
  <si>
    <t>ATM-A22-0133</t>
  </si>
  <si>
    <t>ATM-A22-0134</t>
  </si>
  <si>
    <t>ATM-A22-0135</t>
  </si>
  <si>
    <t>IV</t>
  </si>
  <si>
    <t>PHƯƠNG TIỆN VẬN CHUYỂN</t>
  </si>
  <si>
    <t>XE BEN</t>
  </si>
  <si>
    <t>X.Tải 9-15 tấn</t>
  </si>
  <si>
    <t>ATT-A24-0080</t>
  </si>
  <si>
    <t>ATT-A22-0171</t>
  </si>
  <si>
    <t>ATT-A24-0061</t>
  </si>
  <si>
    <t>X.Tải 6-8 tấn</t>
  </si>
  <si>
    <t>ATT-A24-0062</t>
  </si>
  <si>
    <t>X.Tải 1.9-5 tấn</t>
  </si>
  <si>
    <t>A24-XTA-004</t>
  </si>
  <si>
    <t>A24-XTA-005</t>
  </si>
  <si>
    <t>A24-XTA-006</t>
  </si>
  <si>
    <t>A23-XTA-001</t>
  </si>
  <si>
    <t>A23-XTA-002</t>
  </si>
  <si>
    <t>X.Chở phân</t>
  </si>
  <si>
    <t>XE TẢI THÙNG/KOZUN</t>
  </si>
  <si>
    <t>ATT-A22-0019</t>
  </si>
  <si>
    <t>ATT-A22-0020</t>
  </si>
  <si>
    <t>ATT-A22-0021</t>
  </si>
  <si>
    <t>ATT-A22-0258</t>
  </si>
  <si>
    <t>ATT-A23-0023</t>
  </si>
  <si>
    <t>ATT-A23-0040</t>
  </si>
  <si>
    <t>ATT-A22-0259</t>
  </si>
  <si>
    <t>ATT-A22-0260</t>
  </si>
  <si>
    <t>ATT-A22-0261</t>
  </si>
  <si>
    <t>ATT-A23-0045</t>
  </si>
  <si>
    <t>X.Tải van</t>
  </si>
  <si>
    <t>XE ĐẦU KÉO</t>
  </si>
  <si>
    <t>X.Tải kéo</t>
  </si>
  <si>
    <t>XE LÔI</t>
  </si>
  <si>
    <t>ATT-A22-0313</t>
  </si>
  <si>
    <t>X.Lôi</t>
  </si>
  <si>
    <t>ATT-A22-0327</t>
  </si>
  <si>
    <t>ATT-A22-0275</t>
  </si>
  <si>
    <t>ATT-A22-0281</t>
  </si>
  <si>
    <t>ATT-A22-0282</t>
  </si>
  <si>
    <t>ATT-A22-0325</t>
  </si>
  <si>
    <t>ATT-A22-0326</t>
  </si>
  <si>
    <t>ATT-A22-0276</t>
  </si>
  <si>
    <t>ATT-A22-0284</t>
  </si>
  <si>
    <t>ATT-A22-0283</t>
  </si>
  <si>
    <t>ATT-A22-0277</t>
  </si>
  <si>
    <t>A22-CT-0192</t>
  </si>
  <si>
    <t>XE CONTAINER THUÊ NGOÀI</t>
  </si>
  <si>
    <t>X.Container</t>
  </si>
  <si>
    <t>XE BUS</t>
  </si>
  <si>
    <t>X.Bus</t>
  </si>
  <si>
    <t>V</t>
  </si>
  <si>
    <t>XE CHUYÊN DỤNG</t>
  </si>
  <si>
    <t>XE NÂNG</t>
  </si>
  <si>
    <t>ATT-A23-0044</t>
  </si>
  <si>
    <t>X.Nâng điện</t>
  </si>
  <si>
    <t>X.Nâng tay</t>
  </si>
  <si>
    <t>ATT-A23-0046</t>
  </si>
  <si>
    <t>ATT-A23-0047</t>
  </si>
  <si>
    <t>ATT-A22-0055</t>
  </si>
  <si>
    <t>X.Nâng</t>
  </si>
  <si>
    <t>ATT-A22-0305</t>
  </si>
  <si>
    <t>XE BỒN</t>
  </si>
  <si>
    <t>ATT-A22-0295</t>
  </si>
  <si>
    <t>X.Bồn</t>
  </si>
  <si>
    <t>ATT-A22-0230</t>
  </si>
  <si>
    <t>ATT-A22-0159</t>
  </si>
  <si>
    <t>X.Tải bồn</t>
  </si>
  <si>
    <t>ATT-A22-0160</t>
  </si>
  <si>
    <t>ATT-A22-0161</t>
  </si>
  <si>
    <t>ATT-A22-0162</t>
  </si>
  <si>
    <t>ATT-A22-0311</t>
  </si>
  <si>
    <t>ATT-A22-0306</t>
  </si>
  <si>
    <t>ATT-A22-0307</t>
  </si>
  <si>
    <t>ATT-A22-0308</t>
  </si>
  <si>
    <t>ATT-A22-0309</t>
  </si>
  <si>
    <t>ATT-A22-0310</t>
  </si>
  <si>
    <t>XE CẤP DẦU</t>
  </si>
  <si>
    <t>ATT-A22-0176</t>
  </si>
  <si>
    <t>X.Cấp nhiên liệu</t>
  </si>
  <si>
    <t>ATT-A23-0024</t>
  </si>
  <si>
    <t>XE PHUN THUỐC</t>
  </si>
  <si>
    <t>X.Phun thuốc</t>
  </si>
  <si>
    <t>XE KIA K200</t>
  </si>
  <si>
    <t>ATT-A22-0314</t>
  </si>
  <si>
    <t>X.Tải chuyên dụng (cabin đôi)</t>
  </si>
  <si>
    <t>ATT-A22-0315</t>
  </si>
  <si>
    <t>ATT-A22-0316</t>
  </si>
  <si>
    <t>ATT-A22-0320</t>
  </si>
  <si>
    <t>ATT-A22-0317</t>
  </si>
  <si>
    <t>ATO-A22-0018</t>
  </si>
  <si>
    <t>X.CLETHON</t>
  </si>
  <si>
    <t>ATO-A22-0004</t>
  </si>
  <si>
    <t>ATO-A22-0005</t>
  </si>
  <si>
    <t>ATO-A22-0006</t>
  </si>
  <si>
    <t>ATO-A22-0007</t>
  </si>
  <si>
    <t>ATO-A22-0008</t>
  </si>
  <si>
    <t>ATO-A22-0009</t>
  </si>
  <si>
    <t>ATO-A22-0010</t>
  </si>
  <si>
    <t>ATO-A22-0011</t>
  </si>
  <si>
    <t>ATO-A22-0012</t>
  </si>
  <si>
    <t>ATO-A22-0013</t>
  </si>
  <si>
    <t>ATO-A22-0015</t>
  </si>
  <si>
    <t>ATO-A22-0016</t>
  </si>
  <si>
    <t>ATO-A22-0017</t>
  </si>
  <si>
    <t>ATO-A22-0019</t>
  </si>
  <si>
    <t>ATO-A22-0020</t>
  </si>
  <si>
    <t>ATO-A22-0021</t>
  </si>
  <si>
    <t>ATO-A22-0022</t>
  </si>
  <si>
    <t>ATO-A22-0023</t>
  </si>
  <si>
    <t>ATT-A22-0242</t>
  </si>
  <si>
    <t>XE XÚC LẬT</t>
  </si>
  <si>
    <t>ATT-A22-0194</t>
  </si>
  <si>
    <t>X.Xúc lật</t>
  </si>
  <si>
    <t>ATM-A22-0127</t>
  </si>
  <si>
    <t>ATM-A22-0120</t>
  </si>
  <si>
    <t>ATT-A22-0324</t>
  </si>
  <si>
    <t>ATT-A22-0158</t>
  </si>
  <si>
    <t>ATT-A22-0323</t>
  </si>
  <si>
    <t>XE HỨNG CỎ</t>
  </si>
  <si>
    <t>ATT-A22-0285</t>
  </si>
  <si>
    <t>X.Hứng cỏ</t>
  </si>
  <si>
    <t>ATT-A22-0289</t>
  </si>
  <si>
    <t>ATT-A22-0293</t>
  </si>
  <si>
    <t>ATT-A22-0294</t>
  </si>
  <si>
    <t>ATT-A22-0296</t>
  </si>
  <si>
    <t>ATT-A22-0297</t>
  </si>
  <si>
    <t>XE CHỞ PHÂN</t>
  </si>
  <si>
    <t>ATT-A22-0286</t>
  </si>
  <si>
    <t>ATT-A22-0292</t>
  </si>
  <si>
    <t>ATT-A22-0290</t>
  </si>
  <si>
    <t>ATT-A22-0291</t>
  </si>
  <si>
    <t>ATT-A22-0303</t>
  </si>
  <si>
    <t>ATT-A22-0299</t>
  </si>
  <si>
    <t>XE RẢI THỨC ĂN</t>
  </si>
  <si>
    <t>ATT-A22-0270</t>
  </si>
  <si>
    <t>X.Rải thức ăn</t>
  </si>
  <si>
    <t>ATT-A22-0287</t>
  </si>
  <si>
    <t>ATT-A22-0288</t>
  </si>
  <si>
    <t>XE CHỞ CÁM</t>
  </si>
  <si>
    <t>X.Chở cám</t>
  </si>
  <si>
    <t>XE CẨU</t>
  </si>
  <si>
    <t>ATT-A22-0240</t>
  </si>
  <si>
    <t>X.Cẩu bàn</t>
  </si>
  <si>
    <t>ATT-A22-0241</t>
  </si>
  <si>
    <t>ATT-A22-0048</t>
  </si>
  <si>
    <t>X.Cẩu 3.5-5 tấn</t>
  </si>
  <si>
    <t>ATT-A22-0049</t>
  </si>
  <si>
    <t>X.Cẩu 25-55 tấn</t>
  </si>
  <si>
    <t>ATT-A22-0125</t>
  </si>
  <si>
    <t>ATT-A22-0126</t>
  </si>
  <si>
    <t>X.Cẩu 8-15 tấn</t>
  </si>
  <si>
    <t>XE HÀNH CHÍNH</t>
  </si>
  <si>
    <t>X.Công vụ</t>
  </si>
  <si>
    <t>X.Đông lạnh</t>
  </si>
  <si>
    <t>X.Chở rác</t>
  </si>
  <si>
    <t>XE &amp; MÁY KHÁC</t>
  </si>
  <si>
    <t xml:space="preserve">Rùa </t>
  </si>
  <si>
    <t>M.Cắt cỏ đa năng</t>
  </si>
  <si>
    <t>X.Máy</t>
  </si>
  <si>
    <t>XN AD2</t>
  </si>
  <si>
    <t>X.Tải Libero</t>
  </si>
  <si>
    <t>A22-CT-0193</t>
  </si>
  <si>
    <t>M.Xới đất</t>
  </si>
  <si>
    <t>M.Cày KAM50</t>
  </si>
  <si>
    <t xml:space="preserve">Đã loại biên </t>
  </si>
  <si>
    <t>M.Cày SHIBAURA</t>
  </si>
  <si>
    <t>M.Đào CAT 303 gàu 0.3m3</t>
  </si>
  <si>
    <t>A22-MKE-013</t>
  </si>
  <si>
    <t>X.Tải FD 3.5T</t>
  </si>
  <si>
    <t>X.Xúc lật 916A</t>
  </si>
  <si>
    <t>X.Ben FAW (16m3)</t>
  </si>
  <si>
    <t>X.Tải FORLAND 2.5T</t>
  </si>
  <si>
    <t>X.Tải HYUNDAI 3.5T</t>
  </si>
  <si>
    <t>M.Cày M6040</t>
  </si>
  <si>
    <t>A22-MKE-012</t>
  </si>
  <si>
    <t>A22-MKE-014</t>
  </si>
  <si>
    <t>A22-MKE-017</t>
  </si>
  <si>
    <t>M.Cày M9540</t>
  </si>
  <si>
    <t>A22-MKE-019</t>
  </si>
  <si>
    <t>M.Cày L4508</t>
  </si>
  <si>
    <t>X.Tải KOZUN</t>
  </si>
  <si>
    <t>A23-MKE-003</t>
  </si>
  <si>
    <t>A23-MKE-010</t>
  </si>
  <si>
    <t>M.Cày NH TD 110</t>
  </si>
  <si>
    <t>A23-MKE-011</t>
  </si>
  <si>
    <t>X.Clethon</t>
  </si>
  <si>
    <t>A22-MKE-004</t>
  </si>
  <si>
    <t>M.Cày Shibaura</t>
  </si>
  <si>
    <t>M.Đào U35 gàu 0.3m3</t>
  </si>
  <si>
    <t>M.Cắt cỏ đẩy tay đa năng</t>
  </si>
  <si>
    <t>1,3HP</t>
  </si>
  <si>
    <t>A23-MKE-022</t>
  </si>
  <si>
    <t>M.Đào KOMATSU gàu 0.3m3</t>
  </si>
  <si>
    <t>A23-XTA-011</t>
  </si>
  <si>
    <t>A23-XTA-012</t>
  </si>
  <si>
    <t>A23-XTA-010</t>
  </si>
  <si>
    <t>ATM-A22-0012</t>
  </si>
  <si>
    <t>DANH MỤC THIẾT BỊ THUỘC KHU LIÊN HỢP</t>
  </si>
  <si>
    <t>Mã MMTB mới</t>
  </si>
  <si>
    <t>Mã MMTB cũ</t>
  </si>
  <si>
    <t>Mã định danh</t>
  </si>
  <si>
    <t>Ngày tiếp nhận
 sử dụng</t>
  </si>
  <si>
    <t>Giá trị còn lại</t>
  </si>
  <si>
    <t>Tình trạng</t>
  </si>
  <si>
    <t>Thương Hiệu</t>
  </si>
  <si>
    <t>Model</t>
  </si>
  <si>
    <t>ĐẶC TÍNH KT
(DxRxC)</t>
  </si>
  <si>
    <t>SỐ KHUNG/SỐ MÁY</t>
  </si>
  <si>
    <t>Định mức nhiên liệu (l/h)</t>
  </si>
  <si>
    <t>Năng suất</t>
  </si>
  <si>
    <t>I.</t>
  </si>
  <si>
    <t>ĐẦU TƯ XÂY DỰNG</t>
  </si>
  <si>
    <t>CHT-CNA-001</t>
  </si>
  <si>
    <t>A23-CNA-001</t>
  </si>
  <si>
    <t>Thiết bị cày ngầm 3 trụ (M.ủi)</t>
  </si>
  <si>
    <t>3 trụ</t>
  </si>
  <si>
    <t>CHT-CNA-002</t>
  </si>
  <si>
    <t>A23-CNA-002</t>
  </si>
  <si>
    <t>CHT-BDU-005</t>
  </si>
  <si>
    <t>A23-BDU-005</t>
  </si>
  <si>
    <t>MUA MỚI</t>
  </si>
  <si>
    <t>ETD2000</t>
  </si>
  <si>
    <t>CNP1500D14HB1</t>
  </si>
  <si>
    <t>CHT-CMĐ-001</t>
  </si>
  <si>
    <t>A23-CMĐ-001</t>
  </si>
  <si>
    <t>Cần dài M.Đào Sumitomo (16m)</t>
  </si>
  <si>
    <t>16m</t>
  </si>
  <si>
    <t>CHT-CMĐ-002</t>
  </si>
  <si>
    <t>A23-CMĐ-002</t>
  </si>
  <si>
    <t>Cần dài M.Đào Kobeco (18m)</t>
  </si>
  <si>
    <t>18m</t>
  </si>
  <si>
    <t>CHT-ĐTL-001</t>
  </si>
  <si>
    <t>A23-ĐTL-001</t>
  </si>
  <si>
    <t>Taluy</t>
  </si>
  <si>
    <t>CHT-GĐH-007</t>
  </si>
  <si>
    <t>A23-GĐH-007</t>
  </si>
  <si>
    <t>Gàu định hình M0.6</t>
  </si>
  <si>
    <t>13/07/2024</t>
  </si>
  <si>
    <t>THACO AGRI</t>
  </si>
  <si>
    <t>M0.6</t>
  </si>
  <si>
    <t>CK-CGH</t>
  </si>
  <si>
    <t>700x200x500</t>
  </si>
  <si>
    <t>CHT-GĐH-010</t>
  </si>
  <si>
    <t>A23-GĐH-010</t>
  </si>
  <si>
    <t>Gàu định hình M1</t>
  </si>
  <si>
    <t>M1</t>
  </si>
  <si>
    <t>12x30x80</t>
  </si>
  <si>
    <t>CHT-GĐH-017</t>
  </si>
  <si>
    <t>A23-GĐH-017</t>
  </si>
  <si>
    <t>Gàu định hình M0.6 (Cải tiến)</t>
  </si>
  <si>
    <t>800x800x200</t>
  </si>
  <si>
    <t>CHT-GĐH-018</t>
  </si>
  <si>
    <t>A23-GĐH-018</t>
  </si>
  <si>
    <t>CHT-GĐH-019</t>
  </si>
  <si>
    <t>A23-GĐH-019</t>
  </si>
  <si>
    <t>CHT-GĐH-020</t>
  </si>
  <si>
    <t>A23-GĐH-020</t>
  </si>
  <si>
    <t>CHT-GĐH-021</t>
  </si>
  <si>
    <t>A23-GĐH-021</t>
  </si>
  <si>
    <t>Gàu định hình đào mương thoát nước</t>
  </si>
  <si>
    <t>200x200x400</t>
  </si>
  <si>
    <t>CHT-GĐH-022</t>
  </si>
  <si>
    <t>A23-GĐH-022</t>
  </si>
  <si>
    <t>200x350x400</t>
  </si>
  <si>
    <t>CHT-GĐH-023</t>
  </si>
  <si>
    <t>A23-GĐH-023</t>
  </si>
  <si>
    <t>350x200x400</t>
  </si>
  <si>
    <t>CHT-GĐH-024</t>
  </si>
  <si>
    <t>A23-GĐH-024</t>
  </si>
  <si>
    <t>CHT-GĐH-025</t>
  </si>
  <si>
    <t>A23-GĐH-025</t>
  </si>
  <si>
    <t>CHT-GĐH-028</t>
  </si>
  <si>
    <t>A23-GĐH-028</t>
  </si>
  <si>
    <t>17/08/2024</t>
  </si>
  <si>
    <t>1200x1000x400</t>
  </si>
  <si>
    <t>CHT-GĐH-031</t>
  </si>
  <si>
    <t>A23-GĐH-031</t>
  </si>
  <si>
    <t>CHT-GĐH-032</t>
  </si>
  <si>
    <t>A23-GĐH-032</t>
  </si>
  <si>
    <t>CHT-GĐH-033</t>
  </si>
  <si>
    <t>A23-GĐH-033</t>
  </si>
  <si>
    <t>CHT-GĐH-043</t>
  </si>
  <si>
    <t>A24-GĐH-043</t>
  </si>
  <si>
    <t>Gàu định hình đào mương lô M1 (cải tiến)</t>
  </si>
  <si>
    <t>23/10/2024</t>
  </si>
  <si>
    <t>1200x400x1050</t>
  </si>
  <si>
    <t>CHT-GĐH-044</t>
  </si>
  <si>
    <t>A24-GĐH-044</t>
  </si>
  <si>
    <t>CHT-GĐH-051</t>
  </si>
  <si>
    <t>A24-GĐH-051</t>
  </si>
  <si>
    <t>CHT-GĐH-052</t>
  </si>
  <si>
    <t>A24-GĐH-052</t>
  </si>
  <si>
    <t>CHT-GĐH-053</t>
  </si>
  <si>
    <t>A24-GĐH-053</t>
  </si>
  <si>
    <t>CHT-GĐH-069</t>
  </si>
  <si>
    <t>A23-GĐH-069</t>
  </si>
  <si>
    <t>Gàu định hình đào mương thửa M1</t>
  </si>
  <si>
    <t>1200x400x1200</t>
  </si>
  <si>
    <t>CHT-GĐH-070</t>
  </si>
  <si>
    <t>A23-GĐH-070</t>
  </si>
  <si>
    <t>CHT-GĐH-071</t>
  </si>
  <si>
    <t>A23-GĐH-071</t>
  </si>
  <si>
    <t>CHT-GĐH-072</t>
  </si>
  <si>
    <t>A23-GĐH-072</t>
  </si>
  <si>
    <t>CHT-GĐH-073</t>
  </si>
  <si>
    <t>A23-GĐH-073</t>
  </si>
  <si>
    <t>CHT-GĐH-074</t>
  </si>
  <si>
    <t>A23-GĐH-074</t>
  </si>
  <si>
    <t>CHT-GĐH-075</t>
  </si>
  <si>
    <t>A23-GĐH-075</t>
  </si>
  <si>
    <t>13/05/2025</t>
  </si>
  <si>
    <t>CHT-GĐH-076</t>
  </si>
  <si>
    <t>A23-GĐH-076</t>
  </si>
  <si>
    <t>CHT-GĐH-077</t>
  </si>
  <si>
    <t>A23-GĐH-077</t>
  </si>
  <si>
    <t>CHT-GĐH-078</t>
  </si>
  <si>
    <t>A23-GĐH-078</t>
  </si>
  <si>
    <t>CHT-GĐH-084</t>
  </si>
  <si>
    <t>A23-GĐH-091</t>
  </si>
  <si>
    <t>Gàu định hình đào mương M1.2</t>
  </si>
  <si>
    <t>31/05/2025</t>
  </si>
  <si>
    <t>M1.2</t>
  </si>
  <si>
    <t>CHT-GĐH-085</t>
  </si>
  <si>
    <t>A23-GĐH-092</t>
  </si>
  <si>
    <t>CHT-GĐH-093</t>
  </si>
  <si>
    <t>A23-GĐH-093</t>
  </si>
  <si>
    <t>Gàu định hình đào mương M1</t>
  </si>
  <si>
    <t>30/01/2026</t>
  </si>
  <si>
    <t>CHT-GĐH-094</t>
  </si>
  <si>
    <t>A23-GĐH-094</t>
  </si>
  <si>
    <t>CHT-GĐH-098</t>
  </si>
  <si>
    <t>A23-GĐH-095</t>
  </si>
  <si>
    <t>1160x420x1200</t>
  </si>
  <si>
    <t>MD07</t>
  </si>
  <si>
    <t>CHT-GĐH-099</t>
  </si>
  <si>
    <t>A23-GĐH-096</t>
  </si>
  <si>
    <t>CHT-GĐH-100</t>
  </si>
  <si>
    <t>A23-GĐH-097</t>
  </si>
  <si>
    <t>CHT-GĐH-101</t>
  </si>
  <si>
    <t>A23-GĐH-098</t>
  </si>
  <si>
    <t>MD05</t>
  </si>
  <si>
    <t>CHT-GĐH-102</t>
  </si>
  <si>
    <t>A23-GĐH-099</t>
  </si>
  <si>
    <t>Gàu định hình đào mương M2</t>
  </si>
  <si>
    <t>M2</t>
  </si>
  <si>
    <t>1550x650x2300</t>
  </si>
  <si>
    <t>CAT 320D</t>
  </si>
  <si>
    <t>CHT-GĐH-103</t>
  </si>
  <si>
    <t>A23-GĐH-100</t>
  </si>
  <si>
    <t>CHT-BDU-001</t>
  </si>
  <si>
    <t>A24-BDU-001</t>
  </si>
  <si>
    <t>Hư (xưởng SC)</t>
  </si>
  <si>
    <t>CHT-BDU-004</t>
  </si>
  <si>
    <t>A24-BDU-004</t>
  </si>
  <si>
    <t>20/09/2024</t>
  </si>
  <si>
    <t>EDT2000</t>
  </si>
  <si>
    <t>CNC 162D14HB1</t>
  </si>
  <si>
    <t>CHT-BDU-006</t>
  </si>
  <si>
    <t>A24-BDU-006</t>
  </si>
  <si>
    <t>20/03/2025</t>
  </si>
  <si>
    <t>FURUKAWA</t>
  </si>
  <si>
    <t>FXJ275/ZB10154</t>
  </si>
  <si>
    <t>CHT-ĐTL-002</t>
  </si>
  <si>
    <t>A24-ĐTL-002</t>
  </si>
  <si>
    <t>Kho vật tư Lumphat</t>
  </si>
  <si>
    <t>CHT-GĐH-001</t>
  </si>
  <si>
    <t>A24-GĐH-001</t>
  </si>
  <si>
    <t>Gàu định hình M2</t>
  </si>
  <si>
    <t>Giao về Ban XDCB</t>
  </si>
  <si>
    <t>CHT-GĐH-002</t>
  </si>
  <si>
    <t>A24-GĐH-002</t>
  </si>
  <si>
    <t>Gàu định hình M0.6</t>
  </si>
  <si>
    <t>CHT-GĐH-003</t>
  </si>
  <si>
    <t>A24-GĐH-003</t>
  </si>
  <si>
    <t>CHT-GĐH-004</t>
  </si>
  <si>
    <t>A24-GĐH-004</t>
  </si>
  <si>
    <t>CHT-GĐH-005</t>
  </si>
  <si>
    <t>A24-GĐH-005</t>
  </si>
  <si>
    <t>CHT-GĐH-006</t>
  </si>
  <si>
    <t>A24-GĐH-006</t>
  </si>
  <si>
    <t>CHT-GĐH-008</t>
  </si>
  <si>
    <t>A24-GĐH-008</t>
  </si>
  <si>
    <t>Gàu định hình M0.8</t>
  </si>
  <si>
    <t>M0.8</t>
  </si>
  <si>
    <t>1000x300x550</t>
  </si>
  <si>
    <t>CHT-GĐH-009</t>
  </si>
  <si>
    <t>A24-GĐH-009</t>
  </si>
  <si>
    <t>CHT-GĐH-011</t>
  </si>
  <si>
    <t>A24-GĐH-011</t>
  </si>
  <si>
    <t>22/08/2024</t>
  </si>
  <si>
    <t>120x30x80</t>
  </si>
  <si>
    <t>CHT-GĐH-012</t>
  </si>
  <si>
    <t>A24-GĐH-012</t>
  </si>
  <si>
    <t>CHT-GĐH-013</t>
  </si>
  <si>
    <t>A24-GĐH-013</t>
  </si>
  <si>
    <t>Gàu định hình M1.5</t>
  </si>
  <si>
    <t>M1.5</t>
  </si>
  <si>
    <t>1800x400x1200</t>
  </si>
  <si>
    <t>CHT-GĐH-015</t>
  </si>
  <si>
    <t>A24-GĐH-015</t>
  </si>
  <si>
    <t>Gàu định hình M3</t>
  </si>
  <si>
    <t>M3</t>
  </si>
  <si>
    <t>3000x950x1800</t>
  </si>
  <si>
    <t>CHT-GĐH-016</t>
  </si>
  <si>
    <t>A24-GĐH-016</t>
  </si>
  <si>
    <t>CHT-GĐH-059</t>
  </si>
  <si>
    <t>A24-GĐH-059</t>
  </si>
  <si>
    <t>Gàu định hình đảo mương thửa</t>
  </si>
  <si>
    <t>1200x200x1200</t>
  </si>
  <si>
    <t>CHT-GĐH-060</t>
  </si>
  <si>
    <t>A24-GĐH-060</t>
  </si>
  <si>
    <t>CHT-GĐH-061</t>
  </si>
  <si>
    <t>A24-GĐH-061</t>
  </si>
  <si>
    <t>CHT-GĐH-062</t>
  </si>
  <si>
    <t>A24-GĐH-062</t>
  </si>
  <si>
    <t>CHT-GĐH-063</t>
  </si>
  <si>
    <t>A24-GĐH-063</t>
  </si>
  <si>
    <t>CHT-GĐH-064</t>
  </si>
  <si>
    <t>A24-GĐH-064</t>
  </si>
  <si>
    <t>Gàu định hình đảo mương lô</t>
  </si>
  <si>
    <t>2000x200x2000</t>
  </si>
  <si>
    <t>CHT-GĐH-079</t>
  </si>
  <si>
    <t>A24-GĐH-069</t>
  </si>
  <si>
    <t>19/05/2025</t>
  </si>
  <si>
    <t>CHT-GĐH-080</t>
  </si>
  <si>
    <t>A24-GDH-073</t>
  </si>
  <si>
    <t>CHT-GĐH-081</t>
  </si>
  <si>
    <t>A24-GDH-074</t>
  </si>
  <si>
    <t>CHT-GĐH-082</t>
  </si>
  <si>
    <t>A24-GDH-075</t>
  </si>
  <si>
    <t>CHT-GĐH-083</t>
  </si>
  <si>
    <t>A24-GDH-076</t>
  </si>
  <si>
    <t>CHT-GĐH-086</t>
  </si>
  <si>
    <t>A24-GĐH-083</t>
  </si>
  <si>
    <t>CHT-GĐH-087</t>
  </si>
  <si>
    <t>A24-GĐH-084</t>
  </si>
  <si>
    <t>CHT-GĐH-088</t>
  </si>
  <si>
    <t>A24-GĐH-085</t>
  </si>
  <si>
    <t>CHT-GĐH-089</t>
  </si>
  <si>
    <t>A24-GĐH-086</t>
  </si>
  <si>
    <t>CHT-GĐH-090</t>
  </si>
  <si>
    <t>A24-GĐH-087</t>
  </si>
  <si>
    <t>CHT-GĐH-091</t>
  </si>
  <si>
    <t>A24-GĐH-088</t>
  </si>
  <si>
    <t>CHT-GĐH-092</t>
  </si>
  <si>
    <t>A24-GĐH-089</t>
  </si>
  <si>
    <t>CHT-CNA-003</t>
  </si>
  <si>
    <t>CHT-CNA-004</t>
  </si>
  <si>
    <t>A22-CNA-003</t>
  </si>
  <si>
    <t>CHT-TCĐ-001</t>
  </si>
  <si>
    <t>A22-TCĐ-001</t>
  </si>
  <si>
    <t>Trống cào đá</t>
  </si>
  <si>
    <t>CHT-CMĐ-003</t>
  </si>
  <si>
    <t>A22-CMĐ-003</t>
  </si>
  <si>
    <t>CHT-CMĐ-004</t>
  </si>
  <si>
    <t>A22-CMĐ-004</t>
  </si>
  <si>
    <t>Cần dài M.Đào Doosan (12m)</t>
  </si>
  <si>
    <t>Đang ở XSC</t>
  </si>
  <si>
    <t>12m</t>
  </si>
  <si>
    <t>CHT-BDU-002</t>
  </si>
  <si>
    <t>A22-BDU-002</t>
  </si>
  <si>
    <t>CHT-BDU-003</t>
  </si>
  <si>
    <t>A22-BDU-003</t>
  </si>
  <si>
    <t>26/06/2024</t>
  </si>
  <si>
    <t>EDT</t>
  </si>
  <si>
    <t>Đường kính đinh: 135mm</t>
  </si>
  <si>
    <t>CNB 0051 E52HB1</t>
  </si>
  <si>
    <t>CHT-BDU-007</t>
  </si>
  <si>
    <t>A22-BDU-004</t>
  </si>
  <si>
    <t>F22</t>
  </si>
  <si>
    <t>F22-01</t>
  </si>
  <si>
    <t>CHT-BDU-008</t>
  </si>
  <si>
    <t>A22-BDU-005</t>
  </si>
  <si>
    <t>F22-02</t>
  </si>
  <si>
    <t>CHT-BDU-010</t>
  </si>
  <si>
    <t>A22-BDU-006</t>
  </si>
  <si>
    <t>30/07/2025</t>
  </si>
  <si>
    <t>F22-03</t>
  </si>
  <si>
    <t>CHT-BDU-011</t>
  </si>
  <si>
    <t>TB sử dụng lâu ngày cập nhật bổ sung</t>
  </si>
  <si>
    <t>T2000S</t>
  </si>
  <si>
    <t>CHT-ĐTL-003</t>
  </si>
  <si>
    <t>A22-ĐTL-003</t>
  </si>
  <si>
    <t>CHT-ĐTL-004</t>
  </si>
  <si>
    <t>A22-ĐTL-004</t>
  </si>
  <si>
    <t>EVERDIGM</t>
  </si>
  <si>
    <t>EPC15PA</t>
  </si>
  <si>
    <t>6.4 TẤN- 740x1050mm</t>
  </si>
  <si>
    <t>15-H245</t>
  </si>
  <si>
    <t>CHT-RMĐ-001</t>
  </si>
  <si>
    <t>XAD-RMD-001(XA2-RMĐ-001)</t>
  </si>
  <si>
    <t>A22-RMĐ-001</t>
  </si>
  <si>
    <t>- Điều chuyển từ XN chuối AD ngày 28/06/2024</t>
  </si>
  <si>
    <t>II.</t>
  </si>
  <si>
    <t>CƠ GIỚI LÀM ĐẤT</t>
  </si>
  <si>
    <t>CNN-RMC-001</t>
  </si>
  <si>
    <t>RMC 88 - VC KLH</t>
  </si>
  <si>
    <t>A23-RMC-001</t>
  </si>
  <si>
    <t>2m3</t>
  </si>
  <si>
    <t>CNN-CCH-001</t>
  </si>
  <si>
    <t>C3C 10</t>
  </si>
  <si>
    <t>A23-CCH-001</t>
  </si>
  <si>
    <t>3 chảo</t>
  </si>
  <si>
    <t>CNN-CCH-002</t>
  </si>
  <si>
    <t>C3C 11</t>
  </si>
  <si>
    <t>A23-CCH-002</t>
  </si>
  <si>
    <t>CNN-CCH-003</t>
  </si>
  <si>
    <t>C3C 12</t>
  </si>
  <si>
    <t>A23-CCH-003</t>
  </si>
  <si>
    <t>CNN-BUA-001</t>
  </si>
  <si>
    <t>B7C01</t>
  </si>
  <si>
    <t>A23-BUA-001</t>
  </si>
  <si>
    <t>7 chảo</t>
  </si>
  <si>
    <t>6.5 ha/8h</t>
  </si>
  <si>
    <t>CNN-BUA-002</t>
  </si>
  <si>
    <t>B7C02</t>
  </si>
  <si>
    <t>A23-BUA-002</t>
  </si>
  <si>
    <t>CNN-BUA-017</t>
  </si>
  <si>
    <t>A23-BUA-017</t>
  </si>
  <si>
    <t>22/01/2026</t>
  </si>
  <si>
    <t>CMT</t>
  </si>
  <si>
    <t>MTD 27-10</t>
  </si>
  <si>
    <t>Đ.kính chảo: 600mm</t>
  </si>
  <si>
    <t>F1/021183</t>
  </si>
  <si>
    <t>CNN-BUA-003</t>
  </si>
  <si>
    <t>B8C03</t>
  </si>
  <si>
    <t>A23-BUA-003</t>
  </si>
  <si>
    <t>8 chảo</t>
  </si>
  <si>
    <t>CNN-XOI-001</t>
  </si>
  <si>
    <t>P2M2 01</t>
  </si>
  <si>
    <t>A23-XOI-001</t>
  </si>
  <si>
    <t>2.2m</t>
  </si>
  <si>
    <t>CNN-XOI-002</t>
  </si>
  <si>
    <t>P2M2 02</t>
  </si>
  <si>
    <t>A23-XOI-002</t>
  </si>
  <si>
    <t>CNN-VLU-001</t>
  </si>
  <si>
    <t>XDP-VLU-001</t>
  </si>
  <si>
    <t>A23-VLU-001</t>
  </si>
  <si>
    <t>2 chảo</t>
  </si>
  <si>
    <t>CNN-PKK-001</t>
  </si>
  <si>
    <t>A23-PKK-001</t>
  </si>
  <si>
    <t>Thiết bị phun khử khuẩn</t>
  </si>
  <si>
    <t>CNN-VMU-001</t>
  </si>
  <si>
    <t>XDP-VMU-001</t>
  </si>
  <si>
    <t>A23-VMU-001</t>
  </si>
  <si>
    <t>Thiết bị vét mương 2 đĩa quay</t>
  </si>
  <si>
    <t>2 đĩa quay</t>
  </si>
  <si>
    <t>CNN-CNA-001</t>
  </si>
  <si>
    <t>XDP-CNA-001</t>
  </si>
  <si>
    <t>4.1 ha/8h</t>
  </si>
  <si>
    <t>CNN-CNA-005</t>
  </si>
  <si>
    <t>A23-CNA-005</t>
  </si>
  <si>
    <t>Gia công mới</t>
  </si>
  <si>
    <t>CNN-ĐCT-001</t>
  </si>
  <si>
    <t>Thiết bị vét đường canh tác</t>
  </si>
  <si>
    <t>CNN-RLT-001</t>
  </si>
  <si>
    <t>XDP-RLT-001</t>
  </si>
  <si>
    <t>A23-RLT-001</t>
  </si>
  <si>
    <t>Thiết bị rạch định vị hàng trồng 2 lưỡi</t>
  </si>
  <si>
    <t>2 lưỡi</t>
  </si>
  <si>
    <t>CNN-RLT-002</t>
  </si>
  <si>
    <t>XDP-RLT-002</t>
  </si>
  <si>
    <t>A23-RLT-002</t>
  </si>
  <si>
    <t>CNN-RLT-006</t>
  </si>
  <si>
    <t>A23-RLT-006</t>
  </si>
  <si>
    <t>CNN-RLT-007</t>
  </si>
  <si>
    <t>A24-RLT-007</t>
  </si>
  <si>
    <t>CNN-RVO-001</t>
  </si>
  <si>
    <t>XDP-PVO-001</t>
  </si>
  <si>
    <t>A23-RVO-001</t>
  </si>
  <si>
    <t>8 Ha/8h</t>
  </si>
  <si>
    <t>CNN-RVO-005</t>
  </si>
  <si>
    <t>A23-RVO-005</t>
  </si>
  <si>
    <t>SHAKTIMAN</t>
  </si>
  <si>
    <t>SFB-1000DD</t>
  </si>
  <si>
    <t>INDIA</t>
  </si>
  <si>
    <t>BACE112101901</t>
  </si>
  <si>
    <t>CNN-RMĐ-001</t>
  </si>
  <si>
    <t>XDP-RMC-002</t>
  </si>
  <si>
    <t>A23-RMĐ-001</t>
  </si>
  <si>
    <t>CNN-KHO-001</t>
  </si>
  <si>
    <t>XDP-KHO-001</t>
  </si>
  <si>
    <t>A23-KHO-001</t>
  </si>
  <si>
    <t>Thiết bị khoan hố</t>
  </si>
  <si>
    <t>CNN-TBG-001</t>
  </si>
  <si>
    <t>A23-TBG-001</t>
  </si>
  <si>
    <t>23/12/2023</t>
  </si>
  <si>
    <t>Xưởng CK bàn giao</t>
  </si>
  <si>
    <t>1.8x3x1.5</t>
  </si>
  <si>
    <t>CNN-BUA-011</t>
  </si>
  <si>
    <t>A23-BUA-011</t>
  </si>
  <si>
    <t>28/02/2024</t>
  </si>
  <si>
    <t>INRODA</t>
  </si>
  <si>
    <t>GASP30235</t>
  </si>
  <si>
    <t>BRAZIL</t>
  </si>
  <si>
    <t>CNN-BUA-014</t>
  </si>
  <si>
    <t>A23-BUA-014</t>
  </si>
  <si>
    <t>CNN-BUA-015</t>
  </si>
  <si>
    <t>A23-BUA-015</t>
  </si>
  <si>
    <t>CNN-TKH-001</t>
  </si>
  <si>
    <t>A23-TKH-001</t>
  </si>
  <si>
    <t>Thiết bị khai hoang dạng con lăn gai</t>
  </si>
  <si>
    <t>28/05/2024</t>
  </si>
  <si>
    <t>10x6x0.4m</t>
  </si>
  <si>
    <t>CNN-RLT-005</t>
  </si>
  <si>
    <t>CNN-TTC-001</t>
  </si>
  <si>
    <t>A23-RLT-005</t>
  </si>
  <si>
    <t>27/05/2024</t>
  </si>
  <si>
    <t>CGLĐ AD CHUYỂN QUA</t>
  </si>
  <si>
    <t>CNN-BLT-001</t>
  </si>
  <si>
    <t>A23-BLT-001</t>
  </si>
  <si>
    <t>Cơ khí KLH gia công mới</t>
  </si>
  <si>
    <t>JDR100-D160</t>
  </si>
  <si>
    <t>Đường kính 1.59xRộng 1.3m/cái</t>
  </si>
  <si>
    <t>CNN-BLT-004</t>
  </si>
  <si>
    <t>A23-BLT-004</t>
  </si>
  <si>
    <t>19/07/2024</t>
  </si>
  <si>
    <t>FDR100-D150</t>
  </si>
  <si>
    <t>ĐK: 1.49m x Rộng 1.1m/cái</t>
  </si>
  <si>
    <t>CNN-XOI-007</t>
  </si>
  <si>
    <t>CNN-XOI-006(P2M2 06 NN - KLH)</t>
  </si>
  <si>
    <t>A22-XOI-007</t>
  </si>
  <si>
    <t>15/08/2024</t>
  </si>
  <si>
    <t>CGLĐ AD đ.chuyển qua ngày 15.08.2024</t>
  </si>
  <si>
    <t>CNN-XOI-008</t>
  </si>
  <si>
    <t>A23-XOI-009</t>
  </si>
  <si>
    <t>CNN-BUA-007</t>
  </si>
  <si>
    <t>CNN-BUA-004</t>
  </si>
  <si>
    <t>A22-BUA-007</t>
  </si>
  <si>
    <t>9 chảo</t>
  </si>
  <si>
    <t>CNN-DTR-001</t>
  </si>
  <si>
    <t>A23-DTR-001</t>
  </si>
  <si>
    <t>Thiết bị tạo rãnh ống tưới</t>
  </si>
  <si>
    <t>26/11/2024</t>
  </si>
  <si>
    <t>CK-DTR-01</t>
  </si>
  <si>
    <t>1.2 km/8h</t>
  </si>
  <si>
    <t>CNN-DTR-002</t>
  </si>
  <si>
    <t>A23-DTR-002</t>
  </si>
  <si>
    <t>25/12/2024</t>
  </si>
  <si>
    <t>CK-DTR-02</t>
  </si>
  <si>
    <t>2x2.7x1.1</t>
  </si>
  <si>
    <t>CNN-DTR-005</t>
  </si>
  <si>
    <t>A23-DTR-003</t>
  </si>
  <si>
    <t>22/04/2025</t>
  </si>
  <si>
    <t>CK-DTR-05</t>
  </si>
  <si>
    <t>CNN-CCH-013</t>
  </si>
  <si>
    <t>A23-CCH-013</t>
  </si>
  <si>
    <t>4 CHẢO</t>
  </si>
  <si>
    <t>CNN-CCH-014</t>
  </si>
  <si>
    <t>A23-CCH-014</t>
  </si>
  <si>
    <t>CNN-RTC-001</t>
  </si>
  <si>
    <t>A23-RTC-001</t>
  </si>
  <si>
    <t>CK-DTC-01</t>
  </si>
  <si>
    <t>4 ha/8h</t>
  </si>
  <si>
    <t>CNN-RTC-002</t>
  </si>
  <si>
    <t>A23-RTC-002</t>
  </si>
  <si>
    <t>CK-DTC-02</t>
  </si>
  <si>
    <t>CNN-RTC-004</t>
  </si>
  <si>
    <t>16/06/2026</t>
  </si>
  <si>
    <t>Dàn trồng mới SN chuyển qua</t>
  </si>
  <si>
    <t>CNN-RTC-005</t>
  </si>
  <si>
    <t>CNN-RTC-006</t>
  </si>
  <si>
    <t>CNN-RTC-007</t>
  </si>
  <si>
    <t>CNN-DXP-001</t>
  </si>
  <si>
    <t>A23-DXP-001</t>
  </si>
  <si>
    <t>Thiết bị xới phân</t>
  </si>
  <si>
    <t>29/03/2025</t>
  </si>
  <si>
    <t>CK-DXP-01</t>
  </si>
  <si>
    <t>3.5x1x3.6</t>
  </si>
  <si>
    <t>CNN-DRP-001</t>
  </si>
  <si>
    <t>A22-DRP-001</t>
  </si>
  <si>
    <t>THACO INDUSTRY</t>
  </si>
  <si>
    <t>10M3</t>
  </si>
  <si>
    <t>CHU LAI</t>
  </si>
  <si>
    <t>3.1 ha/8h</t>
  </si>
  <si>
    <t>CNN-DRP-004</t>
  </si>
  <si>
    <t>A24-DRP-004</t>
  </si>
  <si>
    <t>18/11/2025</t>
  </si>
  <si>
    <t>RMFNUU109ASC001754</t>
  </si>
  <si>
    <t>CNN-DRP-005</t>
  </si>
  <si>
    <t>A23-DRP-005</t>
  </si>
  <si>
    <t>RMFNU109ASC001755</t>
  </si>
  <si>
    <t>CNN-DRP-006</t>
  </si>
  <si>
    <t>A22-DRP-0.03</t>
  </si>
  <si>
    <t>17/03/2026</t>
  </si>
  <si>
    <t>RMFNU109ATC002205</t>
  </si>
  <si>
    <t>CNN-DRT-001</t>
  </si>
  <si>
    <t>A23-DRT-001</t>
  </si>
  <si>
    <t>15/07/2025</t>
  </si>
  <si>
    <t>Đĩa quay</t>
  </si>
  <si>
    <t>DTR1</t>
  </si>
  <si>
    <t>CNN-DRT-002</t>
  </si>
  <si>
    <t>A23-DRT-002</t>
  </si>
  <si>
    <t>DTR2</t>
  </si>
  <si>
    <t>CNN-DRT-003</t>
  </si>
  <si>
    <t>A23-DRT-003</t>
  </si>
  <si>
    <t>DTR4</t>
  </si>
  <si>
    <t>CNN-CCH-004</t>
  </si>
  <si>
    <t>CNN-CCH-010</t>
  </si>
  <si>
    <t>A24-CCH-004</t>
  </si>
  <si>
    <t>Thiết Bị Cày 3 Chảo</t>
  </si>
  <si>
    <t>CNN-CCH-005</t>
  </si>
  <si>
    <t>CNN-CCH-011</t>
  </si>
  <si>
    <t>A24-CCH-005</t>
  </si>
  <si>
    <t>CNN-CCH-006</t>
  </si>
  <si>
    <t>CNN-CCH-012</t>
  </si>
  <si>
    <t>A24-CCH-006</t>
  </si>
  <si>
    <t>CNN-BUA-005</t>
  </si>
  <si>
    <t>CNN-BUA-010</t>
  </si>
  <si>
    <t>A24-BUA-005</t>
  </si>
  <si>
    <t>Thiết Bị Bừa 8 Chảo</t>
  </si>
  <si>
    <t>CNN-BUA-006</t>
  </si>
  <si>
    <t>CNN-BUA-009</t>
  </si>
  <si>
    <t>A24-BUA-006</t>
  </si>
  <si>
    <t>32 chảo</t>
  </si>
  <si>
    <t>CNN-BUA-012</t>
  </si>
  <si>
    <t>A24-BUA-012</t>
  </si>
  <si>
    <t>24 chảo</t>
  </si>
  <si>
    <t>CNN-XOI-004</t>
  </si>
  <si>
    <t>CNN-XOI-006</t>
  </si>
  <si>
    <t>A24-XOI-004</t>
  </si>
  <si>
    <t>CNN-VMU-002</t>
  </si>
  <si>
    <t>CNN-VMU-005</t>
  </si>
  <si>
    <t>A24-VMU-002</t>
  </si>
  <si>
    <t>2 đĩa  quay</t>
  </si>
  <si>
    <t>CNN-CNA-002</t>
  </si>
  <si>
    <t>CNN-CAN-003</t>
  </si>
  <si>
    <t>A24-CNA-002</t>
  </si>
  <si>
    <t>CNN-RLT-003</t>
  </si>
  <si>
    <t>CNN-TTC -002</t>
  </si>
  <si>
    <t>A24-RLT-003</t>
  </si>
  <si>
    <t>CNN-TBG-002</t>
  </si>
  <si>
    <t>A24-TBG-002</t>
  </si>
  <si>
    <t>CNN-RVO-003</t>
  </si>
  <si>
    <t>A24-RVO-003</t>
  </si>
  <si>
    <t>XNB chuyển qua</t>
  </si>
  <si>
    <t>CNN-RVO-006</t>
  </si>
  <si>
    <t>A23-RVO-006</t>
  </si>
  <si>
    <t>BACE112101899</t>
  </si>
  <si>
    <t>CNN-XOI-003</t>
  </si>
  <si>
    <t>P2M2 03</t>
  </si>
  <si>
    <t>A24-XOI-003</t>
  </si>
  <si>
    <t>CNN-XOI-009</t>
  </si>
  <si>
    <t>A24-XOI-009</t>
  </si>
  <si>
    <t>CNN-CNA-004</t>
  </si>
  <si>
    <t>CK-DCN-01</t>
  </si>
  <si>
    <t>A24-CNA-004</t>
  </si>
  <si>
    <t>1.4*1.8*1.6</t>
  </si>
  <si>
    <t>CNN-CNA-006</t>
  </si>
  <si>
    <t>A24-CNA-006</t>
  </si>
  <si>
    <t>CNN-CNA-007</t>
  </si>
  <si>
    <t>A24-CNA-007</t>
  </si>
  <si>
    <t>21/04/2026</t>
  </si>
  <si>
    <t>CNN-BLT-002</t>
  </si>
  <si>
    <t>A24-BLT-002</t>
  </si>
  <si>
    <t>JDR100-D150</t>
  </si>
  <si>
    <t>Đường kính 1.49xRộng 1.3m/cái</t>
  </si>
  <si>
    <t>CNN-BLT-003</t>
  </si>
  <si>
    <t>A24-BLT-001</t>
  </si>
  <si>
    <t>25/07/2024</t>
  </si>
  <si>
    <t>Đường kính 1.49xRộng 1.1m/cái</t>
  </si>
  <si>
    <t>CNN-BUA-016</t>
  </si>
  <si>
    <t>A24-BUA-016</t>
  </si>
  <si>
    <t>Thiết bị bừa 30 chảo</t>
  </si>
  <si>
    <t>GASP24235</t>
  </si>
  <si>
    <t>CNN-DUL-001</t>
  </si>
  <si>
    <t>CK-DUL-01</t>
  </si>
  <si>
    <t>A24-DUL-001</t>
  </si>
  <si>
    <t>Thiết bị úp luống 6 chảo đôi</t>
  </si>
  <si>
    <t>24/12/2024</t>
  </si>
  <si>
    <t>CNN-C1B-002</t>
  </si>
  <si>
    <t>A24-C1B-002</t>
  </si>
  <si>
    <t>14/01/2025</t>
  </si>
  <si>
    <t>GATTINI</t>
  </si>
  <si>
    <t>Flail Mower 1800mm</t>
  </si>
  <si>
    <t>CNN-CCH-015</t>
  </si>
  <si>
    <t>A24-CCH-015</t>
  </si>
  <si>
    <t>CNN-DTR-003</t>
  </si>
  <si>
    <t>A24-DTR-001</t>
  </si>
  <si>
    <t>18/04/2025</t>
  </si>
  <si>
    <t>CK-DTR-03</t>
  </si>
  <si>
    <t>CNN-DTR-004</t>
  </si>
  <si>
    <t>A24-DTR-002</t>
  </si>
  <si>
    <t>CK-DTR-04</t>
  </si>
  <si>
    <t>CNN-DRT-004</t>
  </si>
  <si>
    <t>A24-DRT-001</t>
  </si>
  <si>
    <t>DTR3</t>
  </si>
  <si>
    <t>CNN-DRT-005</t>
  </si>
  <si>
    <t>A24-DRT-002</t>
  </si>
  <si>
    <t>DTR5</t>
  </si>
  <si>
    <t>CNN-RTC-003</t>
  </si>
  <si>
    <t>A24-RTC-001</t>
  </si>
  <si>
    <t>CK-DTC-03</t>
  </si>
  <si>
    <t>CNN-DRP-003</t>
  </si>
  <si>
    <t>A24-DRP-003</t>
  </si>
  <si>
    <t>THACO INDUSTRIES</t>
  </si>
  <si>
    <t>RMFNUU109ASC001753</t>
  </si>
  <si>
    <t>CNN-CCH-007</t>
  </si>
  <si>
    <t>A22-CCH-007</t>
  </si>
  <si>
    <t>CNN-CCH-008</t>
  </si>
  <si>
    <t>A22-CCH-008</t>
  </si>
  <si>
    <t>CNN-CCH-009</t>
  </si>
  <si>
    <t>A22-CCH-009</t>
  </si>
  <si>
    <t>XNB sử dụng</t>
  </si>
  <si>
    <t>A22-CCH-010</t>
  </si>
  <si>
    <t>A22-CCH-011</t>
  </si>
  <si>
    <t>CNN-BUA-008</t>
  </si>
  <si>
    <t>A22-BUA-008</t>
  </si>
  <si>
    <t>A22-BUA-009</t>
  </si>
  <si>
    <t>A22-BUA-010</t>
  </si>
  <si>
    <t>CNN-BUA-013</t>
  </si>
  <si>
    <t>CNN-BUA-008(B36C 01 NN-KLH)</t>
  </si>
  <si>
    <t>A22-BUA-013</t>
  </si>
  <si>
    <t>36 chảo</t>
  </si>
  <si>
    <t>A22-XOI-006</t>
  </si>
  <si>
    <t>CNN-RVO-004</t>
  </si>
  <si>
    <t>CNN-XOI-007(P2M2 06 NN-KLH)</t>
  </si>
  <si>
    <t>A22-RVO-004</t>
  </si>
  <si>
    <t>CNN-VMU-003</t>
  </si>
  <si>
    <t>A22-VMU-003</t>
  </si>
  <si>
    <t>Thiết bị đào mương DBR 75/32-540</t>
  </si>
  <si>
    <t>DBR</t>
  </si>
  <si>
    <t>CNN-VMU-004</t>
  </si>
  <si>
    <t>A22-VMU-004</t>
  </si>
  <si>
    <t>CNN-CNA-003</t>
  </si>
  <si>
    <t>CNN-RLT-004</t>
  </si>
  <si>
    <t>CNN-TTR-001</t>
  </si>
  <si>
    <t>A22-RLT-004</t>
  </si>
  <si>
    <t>CNN-VLU-002</t>
  </si>
  <si>
    <t>CNN-L2C-001</t>
  </si>
  <si>
    <t>A22-VLU-002</t>
  </si>
  <si>
    <t>CNN-VLU-003</t>
  </si>
  <si>
    <t>CNN-LLD-001</t>
  </si>
  <si>
    <t>A22-VLU-003</t>
  </si>
  <si>
    <t>Thiết bị lên luống dứa</t>
  </si>
  <si>
    <t>CNN-BLC-052</t>
  </si>
  <si>
    <t>CNN-BLC-001</t>
  </si>
  <si>
    <t>A22-BLC-052</t>
  </si>
  <si>
    <t>Thiết bị trang mặt bằng luống chuối</t>
  </si>
  <si>
    <t>CNN-DRP-002</t>
  </si>
  <si>
    <t>A22-DRP-002</t>
  </si>
  <si>
    <t>Điều chuyển qua XNB  ngày 29.11.2025</t>
  </si>
  <si>
    <t>III.</t>
  </si>
  <si>
    <t>SẢN XUẤT TRỒNG TRỌT</t>
  </si>
  <si>
    <t>Xí nghiệp chuối DP1</t>
  </si>
  <si>
    <t>XD1-RMC-001</t>
  </si>
  <si>
    <t>RMC 02- VC KLH</t>
  </si>
  <si>
    <t>XD1-RMC-002</t>
  </si>
  <si>
    <t>RMC 03- VC KLH</t>
  </si>
  <si>
    <t>A23-RMC-002</t>
  </si>
  <si>
    <t>XD1-RMC-006</t>
  </si>
  <si>
    <t>XA2-RMC-004</t>
  </si>
  <si>
    <t>AD2 điều chuyển ngày 23/02/2025</t>
  </si>
  <si>
    <t>XD1-RMK-001</t>
  </si>
  <si>
    <t>Rơ mooc kéo máy băm</t>
  </si>
  <si>
    <t>XD1-MCA-001</t>
  </si>
  <si>
    <t>A23-MCA-001</t>
  </si>
  <si>
    <t>XD1-MCA-002</t>
  </si>
  <si>
    <t>A23-MCA-002</t>
  </si>
  <si>
    <t>XD1-MCA-003</t>
  </si>
  <si>
    <t>A23-MCA-003</t>
  </si>
  <si>
    <t>XD1-MCA-004</t>
  </si>
  <si>
    <t>A23-MCA-004</t>
  </si>
  <si>
    <t>XD1-MCA-005</t>
  </si>
  <si>
    <t>A23-MCA-005</t>
  </si>
  <si>
    <t>XD1-MCA-006</t>
  </si>
  <si>
    <t>A23-MCA-006</t>
  </si>
  <si>
    <t>XD1-MCA-007</t>
  </si>
  <si>
    <t>A23-MCA-007</t>
  </si>
  <si>
    <t>XD1-MCA-008</t>
  </si>
  <si>
    <t>A23-MCA-008</t>
  </si>
  <si>
    <t>XD1-MCA-009</t>
  </si>
  <si>
    <t>A23-MCA-009</t>
  </si>
  <si>
    <t>XD1-SPT-001</t>
  </si>
  <si>
    <t>SPT003(XD3-SPT-002)</t>
  </si>
  <si>
    <t>A23-SPT-001</t>
  </si>
  <si>
    <t>HANSUNG</t>
  </si>
  <si>
    <t>HS128-TK317</t>
  </si>
  <si>
    <t>XD1-MXM-001</t>
  </si>
  <si>
    <t>CK-MXM-01</t>
  </si>
  <si>
    <t>A23-MXM-001</t>
  </si>
  <si>
    <t>DxRxC: 3x1.6x1.2m</t>
  </si>
  <si>
    <t>XD1-MXM-002</t>
  </si>
  <si>
    <t>CK-MXM-02</t>
  </si>
  <si>
    <t>A23-MXM-002</t>
  </si>
  <si>
    <t>XD1-MXM-003</t>
  </si>
  <si>
    <t>CK-MXM-03</t>
  </si>
  <si>
    <t>A23-MXM-003</t>
  </si>
  <si>
    <t>XD1-MXM-004</t>
  </si>
  <si>
    <t>CK-MXM-04</t>
  </si>
  <si>
    <t>A23-MXM-004</t>
  </si>
  <si>
    <t>XD1-MXM-005</t>
  </si>
  <si>
    <t>CK-MXM-05</t>
  </si>
  <si>
    <t>A23-MXM-005</t>
  </si>
  <si>
    <t>XD1-MXM-006</t>
  </si>
  <si>
    <t>CK-MXM-06</t>
  </si>
  <si>
    <t>A23-MXM-006</t>
  </si>
  <si>
    <t>XD1-MXM-007</t>
  </si>
  <si>
    <t>CK-MXM-07</t>
  </si>
  <si>
    <t>A23-MXM-007</t>
  </si>
  <si>
    <t>XD1-MXM-008</t>
  </si>
  <si>
    <t>A22-MXM-004</t>
  </si>
  <si>
    <t>Đ.chuyen từ XN AD ngày 28/02/2025</t>
  </si>
  <si>
    <t>XD1-RMĐ-001</t>
  </si>
  <si>
    <t>23/04/2024</t>
  </si>
  <si>
    <t>DxRxC: 6.1x2.4x0.9m</t>
  </si>
  <si>
    <t>XD1-GMĐ-001</t>
  </si>
  <si>
    <t>A23-GMĐ-001</t>
  </si>
  <si>
    <t>Gàu máy đào 05 (50*100*100cm)</t>
  </si>
  <si>
    <t>19/04/2024</t>
  </si>
  <si>
    <t>XD1-GMĐ-002</t>
  </si>
  <si>
    <t>A23-GMĐ-002</t>
  </si>
  <si>
    <t>Gàu máy đào 05 (50*100*150cm)</t>
  </si>
  <si>
    <t>XD1-GMĐ-003</t>
  </si>
  <si>
    <t>A23-GMĐ-003</t>
  </si>
  <si>
    <t>Gàu máy đào 03 (40*80*100cm)</t>
  </si>
  <si>
    <t>XD1-GĐH-001</t>
  </si>
  <si>
    <t>A23-GĐH-083</t>
  </si>
  <si>
    <t>XD1-GĐH-002</t>
  </si>
  <si>
    <t>A23-GĐH-084</t>
  </si>
  <si>
    <t>XD1-GĐH-003</t>
  </si>
  <si>
    <t>A23-GĐH-085</t>
  </si>
  <si>
    <t>XD1-GĐH-004</t>
  </si>
  <si>
    <t>A23-GĐH-086</t>
  </si>
  <si>
    <t>XD1-GĐH-005</t>
  </si>
  <si>
    <t>A23-GĐH-087</t>
  </si>
  <si>
    <t>XD1-GĐH-006</t>
  </si>
  <si>
    <t>A23-GĐH-088</t>
  </si>
  <si>
    <t>XD1-MNK-001</t>
  </si>
  <si>
    <t>A23-MNK-001</t>
  </si>
  <si>
    <t>Máy nén khí 5HP</t>
  </si>
  <si>
    <t>SWAN-5HP</t>
  </si>
  <si>
    <t>125psi</t>
  </si>
  <si>
    <t>XD1-DNL-001</t>
  </si>
  <si>
    <t>A23-DNL-001</t>
  </si>
  <si>
    <t>Thiết bị nén lá chuối khô</t>
  </si>
  <si>
    <t>THACOAGRI</t>
  </si>
  <si>
    <t>3,8x2x3,6m</t>
  </si>
  <si>
    <t>XD1-TBG-001</t>
  </si>
  <si>
    <t>Dài 1m x Rộng 0.35m</t>
  </si>
  <si>
    <t>XD1-MKC-001</t>
  </si>
  <si>
    <t>A23-MKC-004</t>
  </si>
  <si>
    <t>Máy kéo chuối (Xăng)</t>
  </si>
  <si>
    <t>DREAM</t>
  </si>
  <si>
    <t>CGH-MKC-DREAM</t>
  </si>
  <si>
    <t>400 buồng/8h</t>
  </si>
  <si>
    <t>XD1-MKC-002</t>
  </si>
  <si>
    <t>A23-MKC-005</t>
  </si>
  <si>
    <t>XD1-MKC-003</t>
  </si>
  <si>
    <t>A23-MKC-007</t>
  </si>
  <si>
    <t>9.25HP</t>
  </si>
  <si>
    <t>13L05694</t>
  </si>
  <si>
    <t>XD1-MKC-004</t>
  </si>
  <si>
    <t>A23-MKC-008</t>
  </si>
  <si>
    <t>11h02011A</t>
  </si>
  <si>
    <t>XD1-MKC-005</t>
  </si>
  <si>
    <t>A23-MKC-014</t>
  </si>
  <si>
    <t>19/06/2025</t>
  </si>
  <si>
    <t>XD1-MKC-006</t>
  </si>
  <si>
    <t>A23-MKC-015</t>
  </si>
  <si>
    <t>XKC-11</t>
  </si>
  <si>
    <t>XD1-MKC-007</t>
  </si>
  <si>
    <t>A23-MKC-018</t>
  </si>
  <si>
    <t>XD1-MKC-008</t>
  </si>
  <si>
    <t>A23-MKC-019</t>
  </si>
  <si>
    <t>Gc mới</t>
  </si>
  <si>
    <t>XKC-16</t>
  </si>
  <si>
    <t>9,5 HP</t>
  </si>
  <si>
    <t>XD1-MKC-009</t>
  </si>
  <si>
    <t>A23-MKC-022</t>
  </si>
  <si>
    <t>XKC-24</t>
  </si>
  <si>
    <t>XD1-MKC-010</t>
  </si>
  <si>
    <t>A23-MKC-026</t>
  </si>
  <si>
    <t>13/10/2025</t>
  </si>
  <si>
    <t>XKC-30</t>
  </si>
  <si>
    <t>XD1-MKC-011</t>
  </si>
  <si>
    <t>A23-MKC-028</t>
  </si>
  <si>
    <t>29/09/2025</t>
  </si>
  <si>
    <t>XKC-28</t>
  </si>
  <si>
    <t>XD1-MKC-012</t>
  </si>
  <si>
    <t>A23-MKC-030</t>
  </si>
  <si>
    <t>20/10/2025</t>
  </si>
  <si>
    <t>XKC-033</t>
  </si>
  <si>
    <t>XD1-MKC-013</t>
  </si>
  <si>
    <t>A23-MKC-034</t>
  </si>
  <si>
    <t>XKC-39</t>
  </si>
  <si>
    <t>XD1-MKC-014</t>
  </si>
  <si>
    <t>A23-MKC-040</t>
  </si>
  <si>
    <t>XKC-46</t>
  </si>
  <si>
    <t>XD1-MKC-015</t>
  </si>
  <si>
    <t>A23-MKC-042</t>
  </si>
  <si>
    <t>XKC-51</t>
  </si>
  <si>
    <t>XD1-MKC-016</t>
  </si>
  <si>
    <t>A23-MKC-043</t>
  </si>
  <si>
    <t>XKC-54</t>
  </si>
  <si>
    <t>XD1-MBC-001</t>
  </si>
  <si>
    <t>XD2-MBC-001</t>
  </si>
  <si>
    <t>Máy băm công nghiệp cố định 15Kw</t>
  </si>
  <si>
    <t>24/08/2024</t>
  </si>
  <si>
    <t>-Đ.chuyển từ DP2 kèm KDP-MFD-021</t>
  </si>
  <si>
    <t>15Kw</t>
  </si>
  <si>
    <t>XD1-MBC-003</t>
  </si>
  <si>
    <t>CK-MB-24</t>
  </si>
  <si>
    <t>A23-MBC-003</t>
  </si>
  <si>
    <t>Máy băm cố định</t>
  </si>
  <si>
    <t>XD1-MPT-001</t>
  </si>
  <si>
    <t>RELOAD</t>
  </si>
  <si>
    <t>7 Hp</t>
  </si>
  <si>
    <t>H0058740</t>
  </si>
  <si>
    <t>XD1-MPT-002</t>
  </si>
  <si>
    <t>H0058744</t>
  </si>
  <si>
    <t>XD1-MPT-003</t>
  </si>
  <si>
    <t>H0058759</t>
  </si>
  <si>
    <t>XD1-MPT-004</t>
  </si>
  <si>
    <t>H0058786</t>
  </si>
  <si>
    <t>Xí nghiệp chuối DP2</t>
  </si>
  <si>
    <t>XD2-RMC-002</t>
  </si>
  <si>
    <t>RMC 04-VC KLH</t>
  </si>
  <si>
    <t>XD2-RMC-003</t>
  </si>
  <si>
    <t>RMC 05-VC KLH</t>
  </si>
  <si>
    <t>A23-RMC-003</t>
  </si>
  <si>
    <t>XD2-RMC-004</t>
  </si>
  <si>
    <t>RMC 06-VC KLH</t>
  </si>
  <si>
    <t>A23-RMC-004</t>
  </si>
  <si>
    <t>XD2-RMC-005</t>
  </si>
  <si>
    <t>RMC 08-VC KLH</t>
  </si>
  <si>
    <t>A23-RMC-005</t>
  </si>
  <si>
    <t>XD2-RMB-001</t>
  </si>
  <si>
    <t>RMC 90-VC KLH</t>
  </si>
  <si>
    <t>A23-RMB-001</t>
  </si>
  <si>
    <t>Thùng ben 2m3</t>
  </si>
  <si>
    <t>XD2-RMB-002</t>
  </si>
  <si>
    <t>RMC 91-VC KLH</t>
  </si>
  <si>
    <t>A23-RMB-002</t>
  </si>
  <si>
    <t>XD2-SPT-002</t>
  </si>
  <si>
    <t>SPT09</t>
  </si>
  <si>
    <t>A23-SPT-002</t>
  </si>
  <si>
    <t>HS128-DK335</t>
  </si>
  <si>
    <t>XD2-RMG-001</t>
  </si>
  <si>
    <t>A23-RMG-001</t>
  </si>
  <si>
    <t>CGLĐ DP ĐCHUYỂN NGÀY 28.01.2026</t>
  </si>
  <si>
    <t>44 buồng</t>
  </si>
  <si>
    <t>XD2-RMG-002</t>
  </si>
  <si>
    <t>XD1-RMG-004</t>
  </si>
  <si>
    <t>XD2-RMĐ-001</t>
  </si>
  <si>
    <t>XD2-RML-001</t>
  </si>
  <si>
    <t>CK-RML-09(XB1-RML-007)</t>
  </si>
  <si>
    <t>A23-RML-001</t>
  </si>
  <si>
    <t>Cải tạo từ Rơ mooc thu hoạch</t>
  </si>
  <si>
    <t>DxRxC: 5.5m*2.5m*2.4m</t>
  </si>
  <si>
    <t>XD2-GĐH-001</t>
  </si>
  <si>
    <t>A23-GĐH-089</t>
  </si>
  <si>
    <t>XD2-GĐH-002</t>
  </si>
  <si>
    <t>A23-GĐH-090</t>
  </si>
  <si>
    <t>XD2-MCA-001</t>
  </si>
  <si>
    <t>Phun nấm lá, Rệp, Vi sinh</t>
  </si>
  <si>
    <t>NILE N-680A</t>
  </si>
  <si>
    <t>XD2-MCA-002</t>
  </si>
  <si>
    <t>XD2-MCA-003</t>
  </si>
  <si>
    <t>Phun thuốc bảo quản, xử lý rệp sáp</t>
  </si>
  <si>
    <t>MR-48</t>
  </si>
  <si>
    <t>3HP</t>
  </si>
  <si>
    <t>XD2-MCA-004</t>
  </si>
  <si>
    <t>phun thuốc bảo quản, xử lý rệp sáp</t>
  </si>
  <si>
    <t>XD2-MCA-005</t>
  </si>
  <si>
    <t>XD2-MCA-006</t>
  </si>
  <si>
    <t>Phun nấm lá, Rệp, Vi sinh, thuốc BVTV</t>
  </si>
  <si>
    <t>XD2-MCA-007</t>
  </si>
  <si>
    <t>MR-28</t>
  </si>
  <si>
    <t>1.5HP</t>
  </si>
  <si>
    <t>XD2-MCA-008</t>
  </si>
  <si>
    <t>20/12/2024</t>
  </si>
  <si>
    <t>XĐG</t>
  </si>
  <si>
    <t>KB-530 + Motor</t>
  </si>
  <si>
    <t>2HP</t>
  </si>
  <si>
    <t>XD2-MCA-009</t>
  </si>
  <si>
    <t>XD2-MCA-010</t>
  </si>
  <si>
    <t>XD2-MCA-011</t>
  </si>
  <si>
    <t>XD2-MCA-012</t>
  </si>
  <si>
    <t>Các NT</t>
  </si>
  <si>
    <t>KB-80</t>
  </si>
  <si>
    <t>XD2-MCA-013</t>
  </si>
  <si>
    <t>XD2-MCA-014</t>
  </si>
  <si>
    <t>XD2-MCA-015</t>
  </si>
  <si>
    <t>XD2-MCA-016</t>
  </si>
  <si>
    <t>XD2-MCA-017</t>
  </si>
  <si>
    <t>XD2-MCA-018</t>
  </si>
  <si>
    <t>XD2-MCA-019</t>
  </si>
  <si>
    <t>XD2-MBC-003</t>
  </si>
  <si>
    <t>CK-MB-22</t>
  </si>
  <si>
    <t>A23-MBC-005</t>
  </si>
  <si>
    <t>Đ.CƠ điện 380v</t>
  </si>
  <si>
    <t>XD2-MBC-005</t>
  </si>
  <si>
    <t>A23-MBC-006</t>
  </si>
  <si>
    <t>2,25x0,8x3,7m</t>
  </si>
  <si>
    <t>XD2-MBC-006</t>
  </si>
  <si>
    <t>A23-MBC-007</t>
  </si>
  <si>
    <t>26/11/2025</t>
  </si>
  <si>
    <t>XD2-MXM-001</t>
  </si>
  <si>
    <t>A23-MXM-008</t>
  </si>
  <si>
    <t>XD2-MXM-002</t>
  </si>
  <si>
    <t>A23-MXM-009</t>
  </si>
  <si>
    <t>XD2-MXM-003</t>
  </si>
  <si>
    <t>A23-MXM-010</t>
  </si>
  <si>
    <t>XD2-MXM-004</t>
  </si>
  <si>
    <t>A23-MXM-011</t>
  </si>
  <si>
    <t>XD2-MXM-005</t>
  </si>
  <si>
    <t>A23-MXM-012</t>
  </si>
  <si>
    <t>XD2-MXM-006</t>
  </si>
  <si>
    <t>A23-MXM-013</t>
  </si>
  <si>
    <t>XD2-MXM-007</t>
  </si>
  <si>
    <t>A23-MXM-014</t>
  </si>
  <si>
    <t>XD2-MXM-008</t>
  </si>
  <si>
    <t>A23-MXM-015</t>
  </si>
  <si>
    <t>XD2-MCL-001</t>
  </si>
  <si>
    <t>A23-MCL-001</t>
  </si>
  <si>
    <t>4.5x2.5x1.4</t>
  </si>
  <si>
    <t>XD2-MCL-002</t>
  </si>
  <si>
    <t>A23-MCL-002</t>
  </si>
  <si>
    <t>XD2-MKC-001</t>
  </si>
  <si>
    <t>CK-XKC-05</t>
  </si>
  <si>
    <t>A23-MKC-001</t>
  </si>
  <si>
    <t>10H05075</t>
  </si>
  <si>
    <t>XD2-MKC-002</t>
  </si>
  <si>
    <t>CK-XKC-07</t>
  </si>
  <si>
    <t>A23-MKC-003</t>
  </si>
  <si>
    <t>19/11/2024</t>
  </si>
  <si>
    <t>10D66471</t>
  </si>
  <si>
    <t>XD2-MKC-003</t>
  </si>
  <si>
    <t>CK-XKC-17</t>
  </si>
  <si>
    <t>A23-MKC-009</t>
  </si>
  <si>
    <t>Mất sm</t>
  </si>
  <si>
    <t>XD2-MKC-004</t>
  </si>
  <si>
    <t>CK-XKC-18</t>
  </si>
  <si>
    <t>A23-MKC-010</t>
  </si>
  <si>
    <t>09H71220</t>
  </si>
  <si>
    <t>XD2-MKC-005</t>
  </si>
  <si>
    <t>A23-MKC-024</t>
  </si>
  <si>
    <t>25/09/2025</t>
  </si>
  <si>
    <t>XKC-25</t>
  </si>
  <si>
    <t>XD2-MKC-006</t>
  </si>
  <si>
    <t>A23-MKC-025</t>
  </si>
  <si>
    <t>XKC-27</t>
  </si>
  <si>
    <t>XD2-MKC-007</t>
  </si>
  <si>
    <t>A23-MKC-032</t>
  </si>
  <si>
    <t>27/10/2025</t>
  </si>
  <si>
    <t>XKC-37</t>
  </si>
  <si>
    <t>XD2-MKC-008</t>
  </si>
  <si>
    <t>A23-MKC-036</t>
  </si>
  <si>
    <t>XKC-42</t>
  </si>
  <si>
    <t>XD2-MKC-009</t>
  </si>
  <si>
    <t>A23-MKC-037</t>
  </si>
  <si>
    <t>20/11/2025</t>
  </si>
  <si>
    <t>XKC-43</t>
  </si>
  <si>
    <t>XD2-MKC-010</t>
  </si>
  <si>
    <t>A23-MKC-038</t>
  </si>
  <si>
    <t>XKC-44</t>
  </si>
  <si>
    <t>XD2-MKC-011</t>
  </si>
  <si>
    <t>A23-MKC-039</t>
  </si>
  <si>
    <t>XKC-45</t>
  </si>
  <si>
    <t>XD2-MKC-012</t>
  </si>
  <si>
    <t>26/02/2026</t>
  </si>
  <si>
    <t>XD2-MKC-013</t>
  </si>
  <si>
    <t>A23-MKC-046</t>
  </si>
  <si>
    <t>không xoá dòng này</t>
  </si>
  <si>
    <t>Xí nghiệp chuối DP3</t>
  </si>
  <si>
    <t>XD3-MCA-001</t>
  </si>
  <si>
    <t>XD3-MCA-002</t>
  </si>
  <si>
    <t>XD3-MCA-003</t>
  </si>
  <si>
    <t>XD3-MCA-004</t>
  </si>
  <si>
    <t>XD3-MCA-005</t>
  </si>
  <si>
    <t>Ntr phun bệnh chuối</t>
  </si>
  <si>
    <t>XD3-MCA-006</t>
  </si>
  <si>
    <t>XD3-MCA-007</t>
  </si>
  <si>
    <t>XD3-MCA-008</t>
  </si>
  <si>
    <t>XD3-MCA-009</t>
  </si>
  <si>
    <t>XD3-MCA-010</t>
  </si>
  <si>
    <t>XD3-MCA-011</t>
  </si>
  <si>
    <t>XD3-MCA-012</t>
  </si>
  <si>
    <t>XD3-MCA-013</t>
  </si>
  <si>
    <t>XD3-MCA-014</t>
  </si>
  <si>
    <t>XD3-MCA-015</t>
  </si>
  <si>
    <t>XD3-MCA-016</t>
  </si>
  <si>
    <t>XD3-MCA-017</t>
  </si>
  <si>
    <t>7HP</t>
  </si>
  <si>
    <t>XD3-MPT-001</t>
  </si>
  <si>
    <t>H0058772</t>
  </si>
  <si>
    <t>XD3-MPT-002</t>
  </si>
  <si>
    <t>H0058807</t>
  </si>
  <si>
    <t>XD3-MPT-003</t>
  </si>
  <si>
    <t>H0058809</t>
  </si>
  <si>
    <t>XD3-MPT-004</t>
  </si>
  <si>
    <t>H0058817</t>
  </si>
  <si>
    <t>XD3-MPT-005</t>
  </si>
  <si>
    <t>H0058822</t>
  </si>
  <si>
    <t>XD3-SPT-001</t>
  </si>
  <si>
    <t>SPT002</t>
  </si>
  <si>
    <t>HS 128-DP342</t>
  </si>
  <si>
    <t>XD3-RMC-006</t>
  </si>
  <si>
    <t>RMC 74-VC KLH</t>
  </si>
  <si>
    <t>A23-RMC-006</t>
  </si>
  <si>
    <t>XD3-RMC-008</t>
  </si>
  <si>
    <t>RMC 73-VC KLH</t>
  </si>
  <si>
    <t>A23-RMC-008</t>
  </si>
  <si>
    <t>XD3-RMC-009</t>
  </si>
  <si>
    <t>A23-RMC-009</t>
  </si>
  <si>
    <t>XD3-RMC-010</t>
  </si>
  <si>
    <t>RMC 93-VC KLH</t>
  </si>
  <si>
    <t>A23-RMC-010</t>
  </si>
  <si>
    <t>XD3-RMB-001</t>
  </si>
  <si>
    <t>RMC 83-VC KLH</t>
  </si>
  <si>
    <t>XD3-RMB-003</t>
  </si>
  <si>
    <t>RMC 85-VC KLH</t>
  </si>
  <si>
    <t>A23-RMB-003</t>
  </si>
  <si>
    <t>XD3-RMB-005</t>
  </si>
  <si>
    <t>RMC 86-VC KLH</t>
  </si>
  <si>
    <t>A23-RMB-005</t>
  </si>
  <si>
    <t>thùng ben 2m3</t>
  </si>
  <si>
    <t>XD3-RMB-006</t>
  </si>
  <si>
    <t>RMC 87-VC KLH</t>
  </si>
  <si>
    <t>A23-RMB-006</t>
  </si>
  <si>
    <t>XD3-MXM-001</t>
  </si>
  <si>
    <t>A23-MXM-016</t>
  </si>
  <si>
    <t>XD3-MXM-002</t>
  </si>
  <si>
    <t>A23-MXM-017</t>
  </si>
  <si>
    <t>XD3-MXM-003</t>
  </si>
  <si>
    <t>A23-MXM-018</t>
  </si>
  <si>
    <t>XD3-MXM-004</t>
  </si>
  <si>
    <t>A23-MXM-019</t>
  </si>
  <si>
    <t>XD3-MXM-005</t>
  </si>
  <si>
    <t>A23-MXM-020</t>
  </si>
  <si>
    <t>XD3-MXM-006</t>
  </si>
  <si>
    <t>A23-MXM-021</t>
  </si>
  <si>
    <t>XD3-RMĐ-001</t>
  </si>
  <si>
    <t>XD3-RML-001</t>
  </si>
  <si>
    <t>XB1-RML-002</t>
  </si>
  <si>
    <t>Rơ mooc lưới</t>
  </si>
  <si>
    <t>19/08/2025</t>
  </si>
  <si>
    <t>XNB Bàn giao DP3 ngày 19/08/2025</t>
  </si>
  <si>
    <t>RM lưới</t>
  </si>
  <si>
    <t>XD3-RMR-001</t>
  </si>
  <si>
    <t>CK-RMRP-01(CNN-RMR-001)</t>
  </si>
  <si>
    <t>A23-RMR-001</t>
  </si>
  <si>
    <t>29/11/2023</t>
  </si>
  <si>
    <t>CGLĐ DP đ.chuyen qua ngày 19/08/2025</t>
  </si>
  <si>
    <t>4.5x2x1.5</t>
  </si>
  <si>
    <t>Kèm trục ben(xy lanh phi 160mm)</t>
  </si>
  <si>
    <t>XD3-MBC-001</t>
  </si>
  <si>
    <t>CK-MB-23</t>
  </si>
  <si>
    <t>A23-MBC-001</t>
  </si>
  <si>
    <t>đcơ điện 380v</t>
  </si>
  <si>
    <t>XD3-MBC-002</t>
  </si>
  <si>
    <t>XB1-MBC -017</t>
  </si>
  <si>
    <t>A23-MBC-002</t>
  </si>
  <si>
    <t>26/08/2025</t>
  </si>
  <si>
    <t>Gia công lại</t>
  </si>
  <si>
    <t>CK-MB</t>
  </si>
  <si>
    <t>XD3-MKC-002</t>
  </si>
  <si>
    <t>A23-MKC-006</t>
  </si>
  <si>
    <t>Mất</t>
  </si>
  <si>
    <t>XD3-MKC-003</t>
  </si>
  <si>
    <t>A23-MKC-013</t>
  </si>
  <si>
    <t>XD3-MKC-004</t>
  </si>
  <si>
    <t>A23-MKC-012</t>
  </si>
  <si>
    <t>XD3-MKC-005</t>
  </si>
  <si>
    <t>A23-MKC-016</t>
  </si>
  <si>
    <t>XKC-12</t>
  </si>
  <si>
    <t>XD3-MKC-006</t>
  </si>
  <si>
    <t>A23-MKC-017</t>
  </si>
  <si>
    <t>XKC-13</t>
  </si>
  <si>
    <t>XD3-MKC-007</t>
  </si>
  <si>
    <t>A23-MKC-020</t>
  </si>
  <si>
    <t>XD3-MKC-008</t>
  </si>
  <si>
    <t>A23-MKC-021</t>
  </si>
  <si>
    <t>17/09/2025</t>
  </si>
  <si>
    <t>XKC-23</t>
  </si>
  <si>
    <t>XD3-MKC-009</t>
  </si>
  <si>
    <t>A23-MKC-027</t>
  </si>
  <si>
    <t>Máy kéo chuối (Điện)</t>
  </si>
  <si>
    <t>1500W</t>
  </si>
  <si>
    <t>60A-4CÁI</t>
  </si>
  <si>
    <t>XD3-MKC-010</t>
  </si>
  <si>
    <t>A23-MKC-023</t>
  </si>
  <si>
    <t>XKC-26</t>
  </si>
  <si>
    <t>XD3-MKC-011</t>
  </si>
  <si>
    <t>A23-MKC-029</t>
  </si>
  <si>
    <t>XKC-31</t>
  </si>
  <si>
    <t>XD3-MKC-012</t>
  </si>
  <si>
    <t>A23-MKC-031</t>
  </si>
  <si>
    <t>XKC-034</t>
  </si>
  <si>
    <t>XD3-MKC-013</t>
  </si>
  <si>
    <t>A23-MKC-033</t>
  </si>
  <si>
    <t>XKC-38</t>
  </si>
  <si>
    <t>XD3-MKC-014</t>
  </si>
  <si>
    <t>A23-MKC-035</t>
  </si>
  <si>
    <t>XKC-40</t>
  </si>
  <si>
    <t>XD3-MKC-015</t>
  </si>
  <si>
    <t>A23-MKC-041</t>
  </si>
  <si>
    <t>XKC-47</t>
  </si>
  <si>
    <t>9.5HP</t>
  </si>
  <si>
    <t>XD3-MKC-016</t>
  </si>
  <si>
    <t>A23-MKC-044</t>
  </si>
  <si>
    <t>XD3-MKC-017</t>
  </si>
  <si>
    <t>A23-MKC-045</t>
  </si>
  <si>
    <t>XD3-GĐH-001</t>
  </si>
  <si>
    <t>A23-GĐH-079</t>
  </si>
  <si>
    <t>Gàu định hình đào mương thoát nước</t>
  </si>
  <si>
    <t>15/05/2025</t>
  </si>
  <si>
    <t>XD3-GĐH-002</t>
  </si>
  <si>
    <t>A23-GĐH-080</t>
  </si>
  <si>
    <t>XD3-GĐH-003</t>
  </si>
  <si>
    <t>A23-GĐH-081</t>
  </si>
  <si>
    <t>XD3-GĐH-004</t>
  </si>
  <si>
    <t>A23-GĐH-082</t>
  </si>
  <si>
    <t>CNN-TBC-001</t>
  </si>
  <si>
    <t>CC01NNKLH</t>
  </si>
  <si>
    <t>A23-TBC-001</t>
  </si>
  <si>
    <t>Thiết bị cắt cỏ</t>
  </si>
  <si>
    <t>26/06/2025</t>
  </si>
  <si>
    <t>CGLĐ DP bàn giao ngày 26/06/2025</t>
  </si>
  <si>
    <t>AIO</t>
  </si>
  <si>
    <t>AIO-CC01</t>
  </si>
  <si>
    <t>Không xoá</t>
  </si>
  <si>
    <t>Xí nghiệp chuối LP1</t>
  </si>
  <si>
    <t>XL1-MNK-001</t>
  </si>
  <si>
    <t>A24-MNK-001</t>
  </si>
  <si>
    <t>Máy nén khí 10HP</t>
  </si>
  <si>
    <t>Điều chuyển từ nhà máy xốp AD</t>
  </si>
  <si>
    <t>SVP205</t>
  </si>
  <si>
    <t>Dung tích: 155</t>
  </si>
  <si>
    <t>XL1-TBL-001</t>
  </si>
  <si>
    <t>A24-TBL-001</t>
  </si>
  <si>
    <t>Thiết bị lu</t>
  </si>
  <si>
    <t>GC mới</t>
  </si>
  <si>
    <t>CK-MPC-03</t>
  </si>
  <si>
    <t>3x2.4x1.4m</t>
  </si>
  <si>
    <t>XL1-MCO-001</t>
  </si>
  <si>
    <t>A24-MCO-001</t>
  </si>
  <si>
    <t>Máy cuộn cỏ (gắn sau máy kéo)</t>
  </si>
  <si>
    <t>TAMICO-S</t>
  </si>
  <si>
    <t>YTAMI</t>
  </si>
  <si>
    <t>52 cuộn/8h</t>
  </si>
  <si>
    <t>XL1-RMC-002</t>
  </si>
  <si>
    <t>LP4-RMC-004</t>
  </si>
  <si>
    <t>A24-RMC-003</t>
  </si>
  <si>
    <t>Đ.chuyển từ XN LP4 ngày 16/07/2024</t>
  </si>
  <si>
    <t>XL1-RMC-003</t>
  </si>
  <si>
    <t>LP4-RMC-001</t>
  </si>
  <si>
    <t>A24-RMC-001</t>
  </si>
  <si>
    <t>26/09/2024</t>
  </si>
  <si>
    <t>Đ.chuyển từ XN LP4 ngày 26/09/2024</t>
  </si>
  <si>
    <t>XL1-RMC-006</t>
  </si>
  <si>
    <t>XAD-RMC-019(XA2-RMC-006)</t>
  </si>
  <si>
    <t>A22-RMC-006</t>
  </si>
  <si>
    <t>17/02/2025</t>
  </si>
  <si>
    <t>Đ.chuyển từ XN AD ngày 17/02/2025</t>
  </si>
  <si>
    <t>40 BUỒNG</t>
  </si>
  <si>
    <t>XL1-RMR-001</t>
  </si>
  <si>
    <t>A24-RMR-001</t>
  </si>
  <si>
    <t>X.CK gia công</t>
  </si>
  <si>
    <t>Dài4m Rộng 2.4mx Cao 1.5m</t>
  </si>
  <si>
    <t>XL1-RML-001</t>
  </si>
  <si>
    <t>XA2-RML-001</t>
  </si>
  <si>
    <t>CK GIAO QUA (CK-TML-07)</t>
  </si>
  <si>
    <t>5.5*2.5*2.4</t>
  </si>
  <si>
    <t>XL1-RMX-001</t>
  </si>
  <si>
    <t>XA2-RMX-001</t>
  </si>
  <si>
    <t>A22-RMX-001</t>
  </si>
  <si>
    <t>22/02/2025</t>
  </si>
  <si>
    <t>Đ.chuyển từ XN AD ngày 22/02/2025</t>
  </si>
  <si>
    <t>XL1-RMĐ-001</t>
  </si>
  <si>
    <t>LP4-RMC-003</t>
  </si>
  <si>
    <t>A24-RMĐ-001</t>
  </si>
  <si>
    <t>28/06/2025</t>
  </si>
  <si>
    <t>Đ.chuyển từ XN LP4 ngày 28/06/2024</t>
  </si>
  <si>
    <t>XL1-BLT-001</t>
  </si>
  <si>
    <t>A24-BLT-003</t>
  </si>
  <si>
    <t>18/08/2024</t>
  </si>
  <si>
    <t>CLE-D85-R35</t>
  </si>
  <si>
    <t>D850xR350/Cái</t>
  </si>
  <si>
    <t>XL1-MXM-001</t>
  </si>
  <si>
    <t>A24-MXM-009</t>
  </si>
  <si>
    <t>XL1-MXM-002</t>
  </si>
  <si>
    <t>XA2-MXM-001</t>
  </si>
  <si>
    <t>A22-MXM-001</t>
  </si>
  <si>
    <t>20/02/2025</t>
  </si>
  <si>
    <t>Đ.chuyển từ XN AD2 ngày 20/02/2025</t>
  </si>
  <si>
    <t>XL1-MXM-003</t>
  </si>
  <si>
    <t>XA2-MXM-002</t>
  </si>
  <si>
    <t>A22-MXM-002</t>
  </si>
  <si>
    <t>XL1-MXM-004</t>
  </si>
  <si>
    <t>XA2-MXM-003</t>
  </si>
  <si>
    <t>A22-MXM-003</t>
  </si>
  <si>
    <t>XL1-DPC-001</t>
  </si>
  <si>
    <t>1.7x1.5x1m</t>
  </si>
  <si>
    <t>3.2 ha/8h</t>
  </si>
  <si>
    <t>XL1-MKC-001</t>
  </si>
  <si>
    <t>A24-MKC-004</t>
  </si>
  <si>
    <t>24/01/2025</t>
  </si>
  <si>
    <t>14C04017</t>
  </si>
  <si>
    <t>XL1-MKC-002</t>
  </si>
  <si>
    <t>A24-MKC-007</t>
  </si>
  <si>
    <t>09G72821</t>
  </si>
  <si>
    <t>XL1-MKC-003</t>
  </si>
  <si>
    <t>A24-MKC-010</t>
  </si>
  <si>
    <t>XL1-MKC-004</t>
  </si>
  <si>
    <t>A24-MKC-012</t>
  </si>
  <si>
    <t>XKC-016</t>
  </si>
  <si>
    <t>XL1-MKC-005</t>
  </si>
  <si>
    <t>A24-MKC-013</t>
  </si>
  <si>
    <t>XL1-MKC-006</t>
  </si>
  <si>
    <t>A24-MKC-014</t>
  </si>
  <si>
    <t>XKC-20</t>
  </si>
  <si>
    <t>XL1-MKC-007</t>
  </si>
  <si>
    <t>A24-MKC-016</t>
  </si>
  <si>
    <t>XKC-21</t>
  </si>
  <si>
    <t>XL1-MKC-008</t>
  </si>
  <si>
    <t>Đchuyen từ DP1 ngày 03/10/2025</t>
  </si>
  <si>
    <t>XL1-MKC-009</t>
  </si>
  <si>
    <t>A24-MKC-019</t>
  </si>
  <si>
    <t>16/10/2025</t>
  </si>
  <si>
    <t>XKC-32</t>
  </si>
  <si>
    <t>XL1-MKC-010</t>
  </si>
  <si>
    <t>A24-MKC-020</t>
  </si>
  <si>
    <t>21/10/2025</t>
  </si>
  <si>
    <t>XKC-35</t>
  </si>
  <si>
    <t>XL1-MKC-011</t>
  </si>
  <si>
    <t>A24-MKC-021</t>
  </si>
  <si>
    <t>XKC-36</t>
  </si>
  <si>
    <t>XL1-MKC-012</t>
  </si>
  <si>
    <t>A24-MKC-026</t>
  </si>
  <si>
    <t>XKC-52</t>
  </si>
  <si>
    <t>XL1-MKC-013</t>
  </si>
  <si>
    <t>A24-MKC-027</t>
  </si>
  <si>
    <t>XKC-53</t>
  </si>
  <si>
    <t>XL1-SPT-001</t>
  </si>
  <si>
    <t>LP4-SPT-001</t>
  </si>
  <si>
    <t>A24-SPT-001</t>
  </si>
  <si>
    <t>22/11/2024</t>
  </si>
  <si>
    <t>Đ.chuyển từ XN LP4 ngày 22/11/2024</t>
  </si>
  <si>
    <t>XL1-GĐH-001</t>
  </si>
  <si>
    <t>A24-GĐH-065</t>
  </si>
  <si>
    <t>XL1-GĐH-002</t>
  </si>
  <si>
    <t>A24-GĐH-066</t>
  </si>
  <si>
    <t>XL1-GĐH-003</t>
  </si>
  <si>
    <t>A24-GDH-077</t>
  </si>
  <si>
    <t>XL1-GĐH-004</t>
  </si>
  <si>
    <t>A24-GDH-078</t>
  </si>
  <si>
    <t>XL1-GĐH-005</t>
  </si>
  <si>
    <t>A24-GĐH-079</t>
  </si>
  <si>
    <t>XL1-GĐH-006</t>
  </si>
  <si>
    <t>A24-GĐH-080</t>
  </si>
  <si>
    <t>XL1-GĐH-007</t>
  </si>
  <si>
    <t>A24-GĐH-081</t>
  </si>
  <si>
    <t>XL1-GĐH-008</t>
  </si>
  <si>
    <t>A24-GĐH-082</t>
  </si>
  <si>
    <t>XL1-MPT-001</t>
  </si>
  <si>
    <t>H0058741</t>
  </si>
  <si>
    <t>XL1-MPT-002</t>
  </si>
  <si>
    <t>H0058808</t>
  </si>
  <si>
    <t>XL1-MPT-003</t>
  </si>
  <si>
    <t>H0058778</t>
  </si>
  <si>
    <t>XL1-MPT-004</t>
  </si>
  <si>
    <t>H0058732</t>
  </si>
  <si>
    <t>XL1-MBC-001</t>
  </si>
  <si>
    <t>A24-MBC-006</t>
  </si>
  <si>
    <t>XL1-MĐR-001</t>
  </si>
  <si>
    <t>A24-MĐR-001</t>
  </si>
  <si>
    <t>Máy đào rảnh xích cầm tay</t>
  </si>
  <si>
    <t>TÂY NGUYÊN</t>
  </si>
  <si>
    <t xml:space="preserve"> CG195F</t>
  </si>
  <si>
    <t>KHÔNG XOÁ</t>
  </si>
  <si>
    <t>Xí nghiệp chuối LP3</t>
  </si>
  <si>
    <t>XL3-DPC-002</t>
  </si>
  <si>
    <t>CK-DPC-01</t>
  </si>
  <si>
    <t>A24-DPC-002</t>
  </si>
  <si>
    <t>Kèm trục cardang 1m</t>
  </si>
  <si>
    <t>1.5*1.5*0.9m</t>
  </si>
  <si>
    <t>XL3-GĐH-001</t>
  </si>
  <si>
    <t>Gàu định hình đào mương thoát nước</t>
  </si>
  <si>
    <t>25/09/2024</t>
  </si>
  <si>
    <t>XL3-GĐH-002</t>
  </si>
  <si>
    <t>500x200x700</t>
  </si>
  <si>
    <t>XL3-GĐH-003</t>
  </si>
  <si>
    <t>XL3-GĐH-004</t>
  </si>
  <si>
    <t>A24-GĐH-070</t>
  </si>
  <si>
    <t>350*200*407</t>
  </si>
  <si>
    <t>XL3-GĐH-005</t>
  </si>
  <si>
    <t>A24-GĐH-071</t>
  </si>
  <si>
    <t>XL3-GĐH-006</t>
  </si>
  <si>
    <t>A24-GĐH-072</t>
  </si>
  <si>
    <t>XL3-RMC-001</t>
  </si>
  <si>
    <t>LP3-RMC-001</t>
  </si>
  <si>
    <t>XL3-RMC-002</t>
  </si>
  <si>
    <t>LP3-RMC-002</t>
  </si>
  <si>
    <t>A24-RMC-002</t>
  </si>
  <si>
    <t>XL3-RMC-003</t>
  </si>
  <si>
    <t>LP3-RMC-003</t>
  </si>
  <si>
    <t>XL3-RMC-004</t>
  </si>
  <si>
    <t>LP3-RMC-004</t>
  </si>
  <si>
    <t>A24-RMC-004</t>
  </si>
  <si>
    <t>XL3-RMC-005</t>
  </si>
  <si>
    <t>LP1-RMC-001</t>
  </si>
  <si>
    <t>A24-RMC-005</t>
  </si>
  <si>
    <t>XL3-RMC-006</t>
  </si>
  <si>
    <t>RMC 77-VC KLH(XD3-RMC-003)</t>
  </si>
  <si>
    <t>A24-RMC-006</t>
  </si>
  <si>
    <t>Rơ mooc thu hoạch</t>
  </si>
  <si>
    <t>44 buồng</t>
  </si>
  <si>
    <t>XL3-RMĐ-001</t>
  </si>
  <si>
    <t>LP3-RMC-005</t>
  </si>
  <si>
    <t>Rơ mooc vận chuyển M.Đào 03</t>
  </si>
  <si>
    <t>XL3-MCL-001</t>
  </si>
  <si>
    <t>A24-MCL-001</t>
  </si>
  <si>
    <t>CK-MCL</t>
  </si>
  <si>
    <t>5,4x1,8x0,9</t>
  </si>
  <si>
    <t>XL3-MCL-002</t>
  </si>
  <si>
    <t>A24-MCL-002</t>
  </si>
  <si>
    <t>XL3-MCL-003</t>
  </si>
  <si>
    <t>A24-MCL-003</t>
  </si>
  <si>
    <t>XL3-MCL-004</t>
  </si>
  <si>
    <t>A24-MCL-004</t>
  </si>
  <si>
    <t>XL3-SPT-001</t>
  </si>
  <si>
    <t>LP1-SPT-001(SPT05)</t>
  </si>
  <si>
    <t>HS128-NS305</t>
  </si>
  <si>
    <t>XL3-SPT-002</t>
  </si>
  <si>
    <t>XAD-SPT-004(SPT10)</t>
  </si>
  <si>
    <t>A22-SPT-002</t>
  </si>
  <si>
    <t>Đ.chuyển từ AD2 20/11/2024</t>
  </si>
  <si>
    <t>HS128-DP343</t>
  </si>
  <si>
    <t>XL3-RMG-001</t>
  </si>
  <si>
    <t>A24-RMG-001</t>
  </si>
  <si>
    <t>Chở giống</t>
  </si>
  <si>
    <t>6.8*2.*2.2m</t>
  </si>
  <si>
    <t>XL3-RMB-001</t>
  </si>
  <si>
    <t>RMC 84-VC KLH(XD3-RMB-004)</t>
  </si>
  <si>
    <t>A23-RMB-004</t>
  </si>
  <si>
    <t>đ.Chuyen từ Xn LP3 sang 04/03/2025</t>
  </si>
  <si>
    <t>XL3-RMR-001</t>
  </si>
  <si>
    <t>CK-RMRP-002</t>
  </si>
  <si>
    <t>Rải phân bò</t>
  </si>
  <si>
    <t>4.5**1.5m</t>
  </si>
  <si>
    <t>XL3-MXM-001</t>
  </si>
  <si>
    <t xml:space="preserve">CK-MXM-33 </t>
  </si>
  <si>
    <t>A24-MXM-001</t>
  </si>
  <si>
    <t>26/04/2024</t>
  </si>
  <si>
    <t>DxRxC: 3m*1.6m*1.2m</t>
  </si>
  <si>
    <t>XL3-MXM-002</t>
  </si>
  <si>
    <t>CK-MXM-34</t>
  </si>
  <si>
    <t>A24-MXM-002</t>
  </si>
  <si>
    <t>XL3-MXM-003</t>
  </si>
  <si>
    <t>CK-MXM-35</t>
  </si>
  <si>
    <t>A24-MXM-003</t>
  </si>
  <si>
    <t>XL3-MXM-004</t>
  </si>
  <si>
    <t>CK-MXM-36</t>
  </si>
  <si>
    <t>A24-MXM-004</t>
  </si>
  <si>
    <t>XL3-MXM-005</t>
  </si>
  <si>
    <t>CK-MXM-37</t>
  </si>
  <si>
    <t>A24-MXM-005</t>
  </si>
  <si>
    <t>XL3-MXM-006</t>
  </si>
  <si>
    <t>CK-MXM-38</t>
  </si>
  <si>
    <t>A24-MXM-006</t>
  </si>
  <si>
    <t>XL3-MXM-007</t>
  </si>
  <si>
    <t>CK-MXM-39</t>
  </si>
  <si>
    <t>A24-MXM-007</t>
  </si>
  <si>
    <t>XL3-MXM-008</t>
  </si>
  <si>
    <t>CK-MXM-40</t>
  </si>
  <si>
    <t>A24-MXM-008</t>
  </si>
  <si>
    <t>XL3-GMĐ-001</t>
  </si>
  <si>
    <t>A24-GMĐ-001</t>
  </si>
  <si>
    <t>Gàu máy đào 05 gia công quy cách 1M</t>
  </si>
  <si>
    <t>DxRxC: 1.5m*0.7m*1.3m</t>
  </si>
  <si>
    <t>XL3-MKC-001</t>
  </si>
  <si>
    <t>CK-XKC-02</t>
  </si>
  <si>
    <t>A24-MKC-001</t>
  </si>
  <si>
    <t>125CC-9.25HP</t>
  </si>
  <si>
    <t>XL3-MKC-002</t>
  </si>
  <si>
    <t>CK-XKC-03</t>
  </si>
  <si>
    <t>A24-MKC-002</t>
  </si>
  <si>
    <t>27/08/2024</t>
  </si>
  <si>
    <t>11F06426</t>
  </si>
  <si>
    <t>XL3-MKC-003</t>
  </si>
  <si>
    <t>A24-MKC-003</t>
  </si>
  <si>
    <t>13F05237</t>
  </si>
  <si>
    <t>XL3-MKC-004</t>
  </si>
  <si>
    <t>CK-MKC-08</t>
  </si>
  <si>
    <t>21/11/2024</t>
  </si>
  <si>
    <t>2D01842</t>
  </si>
  <si>
    <t>XL3-MKC-005</t>
  </si>
  <si>
    <t>XD3-MKC-001</t>
  </si>
  <si>
    <t>A24-MKC-005</t>
  </si>
  <si>
    <t>-DP3 dchuyen sang LP3 ngày 21/11/2024</t>
  </si>
  <si>
    <t>Gia công mới</t>
  </si>
  <si>
    <t>125cc</t>
  </si>
  <si>
    <t>lốc cũ: 12A07675
lốc mới 14.03.2025: 09G72821</t>
  </si>
  <si>
    <t>XL3-MKC-006</t>
  </si>
  <si>
    <t>A24-MKC-006</t>
  </si>
  <si>
    <t>12K06124</t>
  </si>
  <si>
    <t>XL3-MKC-007</t>
  </si>
  <si>
    <t>A24-MKC-009</t>
  </si>
  <si>
    <t>15/06/2025</t>
  </si>
  <si>
    <t>XL3-MKC-008</t>
  </si>
  <si>
    <t>A24-MKC-008</t>
  </si>
  <si>
    <t>XL3-MKC-009</t>
  </si>
  <si>
    <t>A24-MKC-011</t>
  </si>
  <si>
    <t>XKC-14</t>
  </si>
  <si>
    <t>XL3-MKC-010</t>
  </si>
  <si>
    <t>A24-MKC-015</t>
  </si>
  <si>
    <t>15/09/2025</t>
  </si>
  <si>
    <t>XKC-22</t>
  </si>
  <si>
    <t>XL3-MKC-011</t>
  </si>
  <si>
    <t>A24-MKC-017</t>
  </si>
  <si>
    <t>XKC-29</t>
  </si>
  <si>
    <t>XL3-MKC-012</t>
  </si>
  <si>
    <t>A24-MKC-018</t>
  </si>
  <si>
    <t>29/10/2025</t>
  </si>
  <si>
    <t>ĐC ĐIỆN</t>
  </si>
  <si>
    <t>XL3-MKC-013</t>
  </si>
  <si>
    <t>A24-MKC-022</t>
  </si>
  <si>
    <t>XKC-41</t>
  </si>
  <si>
    <t>XL3-MKC-014</t>
  </si>
  <si>
    <t>A24-MKC-023</t>
  </si>
  <si>
    <t>XKC-49</t>
  </si>
  <si>
    <t>XL3-MKC-015</t>
  </si>
  <si>
    <t>A24-MKC-025</t>
  </si>
  <si>
    <t>20/01/2026</t>
  </si>
  <si>
    <t>XKC-50</t>
  </si>
  <si>
    <t>XL3-MKC-016</t>
  </si>
  <si>
    <t>A24-MKC-028</t>
  </si>
  <si>
    <t>26/03/2026</t>
  </si>
  <si>
    <t>XL3-MKC-017</t>
  </si>
  <si>
    <t>Máy kéo chuối (Điện)</t>
  </si>
  <si>
    <t>15/08/2026</t>
  </si>
  <si>
    <t>XL3-MBC-002</t>
  </si>
  <si>
    <t>XD3-MBC-001 (CK-MB15)</t>
  </si>
  <si>
    <t>Máy băm công nghiệp cố định 30Kw</t>
  </si>
  <si>
    <t>Kèm XD3-RMK-001</t>
  </si>
  <si>
    <t>Đã qua SD</t>
  </si>
  <si>
    <t>30KW</t>
  </si>
  <si>
    <t>3 dao băm, motor 30kw</t>
  </si>
  <si>
    <t>XL3-MBC-003</t>
  </si>
  <si>
    <t>XD3-MBC-002 (CK-MB16)</t>
  </si>
  <si>
    <t>XL3-MBC-004</t>
  </si>
  <si>
    <t>XD2-MBC-002</t>
  </si>
  <si>
    <t>15KW</t>
  </si>
  <si>
    <t>3 dao băm, motor 15kw</t>
  </si>
  <si>
    <t>XL3-MBC-005</t>
  </si>
  <si>
    <t>XB1-MBC -019</t>
  </si>
  <si>
    <t>A24-MBC-005</t>
  </si>
  <si>
    <t>14/08/2025</t>
  </si>
  <si>
    <t>`</t>
  </si>
  <si>
    <t xml:space="preserve">CK-MB-19 </t>
  </si>
  <si>
    <t>XL3-MBC-006</t>
  </si>
  <si>
    <t>A24-MBC-007</t>
  </si>
  <si>
    <t>27/11/2025</t>
  </si>
  <si>
    <t>XL3-MXL-001</t>
  </si>
  <si>
    <t>CK-MXL-02</t>
  </si>
  <si>
    <t>Thiết bị xắt lát</t>
  </si>
  <si>
    <t>13/08/2024</t>
  </si>
  <si>
    <t>0.9x1x1m</t>
  </si>
  <si>
    <t>XL3-GXP-001</t>
  </si>
  <si>
    <t>A24-GXP-001</t>
  </si>
  <si>
    <t>Gàu xúc phân</t>
  </si>
  <si>
    <t>XL3-MPT-001</t>
  </si>
  <si>
    <t>2412094A0021</t>
  </si>
  <si>
    <t>XL3-MPT-002</t>
  </si>
  <si>
    <t>2412094A0014</t>
  </si>
  <si>
    <t>XL3-XLT-001</t>
  </si>
  <si>
    <t>XLP-XLT-001</t>
  </si>
  <si>
    <t>Xe lu tay</t>
  </si>
  <si>
    <t>HS67ST</t>
  </si>
  <si>
    <t>710KG</t>
  </si>
  <si>
    <t>5HS2-010439</t>
  </si>
  <si>
    <t>Xí nghiệp chuối LP4</t>
  </si>
  <si>
    <t>XL4-RMC-002</t>
  </si>
  <si>
    <t>LP4-RMC-002</t>
  </si>
  <si>
    <t>XN Chuối LP4</t>
  </si>
  <si>
    <t>XL4-RMB-001</t>
  </si>
  <si>
    <t>LP4-RMB-003</t>
  </si>
  <si>
    <t>A24-RMB-001</t>
  </si>
  <si>
    <t>Rơ mooc thùng Ben</t>
  </si>
  <si>
    <t>XL4-RMB-002</t>
  </si>
  <si>
    <t>A24-RMB-002</t>
  </si>
  <si>
    <t>XL4-MXM-002</t>
  </si>
  <si>
    <t>A24-MXM-010</t>
  </si>
  <si>
    <t>XL4-MXM-003</t>
  </si>
  <si>
    <t>A24-MXM-011</t>
  </si>
  <si>
    <t>XL4-MXM-004</t>
  </si>
  <si>
    <t>A24-MXM-012</t>
  </si>
  <si>
    <t>Cây ăn trái</t>
  </si>
  <si>
    <t>III.8.1</t>
  </si>
  <si>
    <t>XOÀI AD</t>
  </si>
  <si>
    <t>XXA-MNO-001</t>
  </si>
  <si>
    <t>RT140DI-19080180</t>
  </si>
  <si>
    <t>A22-MNO-001</t>
  </si>
  <si>
    <t>Máy nổ 140</t>
  </si>
  <si>
    <t>Xoài AD</t>
  </si>
  <si>
    <t>XXA-MNO-002</t>
  </si>
  <si>
    <t>RT140-KH13091019</t>
  </si>
  <si>
    <t>A22-MNO-002</t>
  </si>
  <si>
    <t>XXA-MNO-003</t>
  </si>
  <si>
    <t>A22-MNO-003</t>
  </si>
  <si>
    <t>Máy nổ D8</t>
  </si>
  <si>
    <t>D8</t>
  </si>
  <si>
    <t>XXA-MNO-004</t>
  </si>
  <si>
    <t>A22-MNO-004</t>
  </si>
  <si>
    <t>XXA-MNO-005</t>
  </si>
  <si>
    <t>A22-MNO-005</t>
  </si>
  <si>
    <t>XXA-MNO-006</t>
  </si>
  <si>
    <t>A22-MNO-006</t>
  </si>
  <si>
    <t>XXA-MNO-007</t>
  </si>
  <si>
    <t>CAT-MNO-005</t>
  </si>
  <si>
    <t>A22-MNO-007</t>
  </si>
  <si>
    <t>XXA-MNO-008</t>
  </si>
  <si>
    <t>CAT-MNO-006</t>
  </si>
  <si>
    <t>A22-MNO-008</t>
  </si>
  <si>
    <t>XL3-MNO-001</t>
  </si>
  <si>
    <t>XXA-MNO-009</t>
  </si>
  <si>
    <t>A22-MNO-009</t>
  </si>
  <si>
    <t>XXA-MNO-010</t>
  </si>
  <si>
    <t>A22-MNO-010</t>
  </si>
  <si>
    <t>XXA-CCO-001</t>
  </si>
  <si>
    <t>CC02</t>
  </si>
  <si>
    <t>A22-CCO-001</t>
  </si>
  <si>
    <t>Thiết bị phay cỏ</t>
  </si>
  <si>
    <t>SM140</t>
  </si>
  <si>
    <t>XXA-CCO-002</t>
  </si>
  <si>
    <t>CC03</t>
  </si>
  <si>
    <t>A22-CCO-002</t>
  </si>
  <si>
    <t>XXA-RML-001</t>
  </si>
  <si>
    <t>CK-RML-013</t>
  </si>
  <si>
    <t>A22-RML-001</t>
  </si>
  <si>
    <t>XXA-RML-002</t>
  </si>
  <si>
    <t>CK-RML-014</t>
  </si>
  <si>
    <t>A22-RML-002</t>
  </si>
  <si>
    <t>XXA-RML-003</t>
  </si>
  <si>
    <t>CK-RMX-01</t>
  </si>
  <si>
    <t>A22-RML-003</t>
  </si>
  <si>
    <t>13/01/2025</t>
  </si>
  <si>
    <t>4.5x2.6x2m</t>
  </si>
  <si>
    <t>XXA-RML-004</t>
  </si>
  <si>
    <t>CK-RMX-02</t>
  </si>
  <si>
    <t>A22-RML-004</t>
  </si>
  <si>
    <t>XXA-RML-005</t>
  </si>
  <si>
    <t>A22-RML-005</t>
  </si>
  <si>
    <t>XXA-RML-006</t>
  </si>
  <si>
    <t>A22-RML-006</t>
  </si>
  <si>
    <t>XXA-RML-007</t>
  </si>
  <si>
    <t>A22-RML-007</t>
  </si>
  <si>
    <t>XXA-RML-008</t>
  </si>
  <si>
    <t>A22-RML-008</t>
  </si>
  <si>
    <t>XXA-RMC-001</t>
  </si>
  <si>
    <t>RMC01</t>
  </si>
  <si>
    <t>A22-RMC-001</t>
  </si>
  <si>
    <t>XXA-RNB-001</t>
  </si>
  <si>
    <t>RMC02</t>
  </si>
  <si>
    <t>A22-RNB-001</t>
  </si>
  <si>
    <t>XXA-RNB-002</t>
  </si>
  <si>
    <t>RMC03</t>
  </si>
  <si>
    <t>A22-RNB-002</t>
  </si>
  <si>
    <t>XXA-RNB-003</t>
  </si>
  <si>
    <t>A22-RNB-003</t>
  </si>
  <si>
    <t>3x2.1x2.1m</t>
  </si>
  <si>
    <t>Kèm bồn 2000L</t>
  </si>
  <si>
    <t>XXA-RNB-004</t>
  </si>
  <si>
    <t>A22-RNB-004</t>
  </si>
  <si>
    <t>3.2X2.2X2.3m</t>
  </si>
  <si>
    <t>XXA-MCA-001</t>
  </si>
  <si>
    <t>CC-2805</t>
  </si>
  <si>
    <t>A22-MCA-001</t>
  </si>
  <si>
    <t>3.5HP</t>
  </si>
  <si>
    <t>XXA-MCA-002</t>
  </si>
  <si>
    <t>A22-MCA-002</t>
  </si>
  <si>
    <t>XXA-MCA-003</t>
  </si>
  <si>
    <t>AD2-BAL-001</t>
  </si>
  <si>
    <t>A22-MCA-003</t>
  </si>
  <si>
    <t>Mới cấp</t>
  </si>
  <si>
    <t>XXA-MCA-004</t>
  </si>
  <si>
    <t>AD2-BAL-002</t>
  </si>
  <si>
    <t>A22-MCA-004</t>
  </si>
  <si>
    <t>XXA-MCA-005</t>
  </si>
  <si>
    <t>AD2-BAL-003</t>
  </si>
  <si>
    <t>A22-MCA-005</t>
  </si>
  <si>
    <t>XXA-MCO-001</t>
  </si>
  <si>
    <t>A22-CT-0194</t>
  </si>
  <si>
    <t>20-50HP</t>
  </si>
  <si>
    <t>XXA-MCO-002</t>
  </si>
  <si>
    <t>XXA-XOI-001</t>
  </si>
  <si>
    <t>CNN-XOI-005(P2M2 05 NN-KLH)</t>
  </si>
  <si>
    <t>A22-XOI-001</t>
  </si>
  <si>
    <t>25/02/2024</t>
  </si>
  <si>
    <t>CGLD AD chuyển qa</t>
  </si>
  <si>
    <t>XXA-DCR-001</t>
  </si>
  <si>
    <t>A22-DCR-001</t>
  </si>
  <si>
    <t>Thiết bị cày đánh rãnh bón phân</t>
  </si>
  <si>
    <t>17/09/2024</t>
  </si>
  <si>
    <t>CK-MLB-01</t>
  </si>
  <si>
    <t>X.CGH</t>
  </si>
  <si>
    <t>KT: 1x4x1.2 (DxRxC)</t>
  </si>
  <si>
    <t>XXA-MBX-001</t>
  </si>
  <si>
    <t>A22-MBX-001</t>
  </si>
  <si>
    <t>Thiết bị băm cành xoài</t>
  </si>
  <si>
    <t>CK-MBC-01</t>
  </si>
  <si>
    <t xml:space="preserve">3x1.7x2.1 </t>
  </si>
  <si>
    <t>XXA-MLB-001</t>
  </si>
  <si>
    <t>A22-MLB-001</t>
  </si>
  <si>
    <t>5.4x2x2.5</t>
  </si>
  <si>
    <t>XXA-CPP-001</t>
  </si>
  <si>
    <t>A22-CPP-001</t>
  </si>
  <si>
    <t>CGH</t>
  </si>
  <si>
    <t>2.3x0.65x1.05 (DxRxC)</t>
  </si>
  <si>
    <t>XXA-C1B-001</t>
  </si>
  <si>
    <t>CNN-C1B-001</t>
  </si>
  <si>
    <t>A23-C1B-001</t>
  </si>
  <si>
    <t>CGLĐ DP đchuyen 16/04/2025</t>
  </si>
  <si>
    <t>BCRLI180</t>
  </si>
  <si>
    <t>XXA-CCH-001</t>
  </si>
  <si>
    <t>22/12/2025</t>
  </si>
  <si>
    <t>CGLĐ DP Đchuyen ngày 22/12/2025</t>
  </si>
  <si>
    <t>XXA-PTX-001</t>
  </si>
  <si>
    <t>A22-PTX-001</t>
  </si>
  <si>
    <t>Thiết bị phun thuốc Xoài</t>
  </si>
  <si>
    <t>18/06/2026</t>
  </si>
  <si>
    <t>NM Cơ khí KLH</t>
  </si>
  <si>
    <t>CK-PTX-01</t>
  </si>
  <si>
    <t>90 Hp</t>
  </si>
  <si>
    <t>kHÔNG XOÁ</t>
  </si>
  <si>
    <t>XOÀI DP</t>
  </si>
  <si>
    <t>XXD-RML-001</t>
  </si>
  <si>
    <t>CK-RML-06</t>
  </si>
  <si>
    <t>Xoài DP</t>
  </si>
  <si>
    <t>5,5x2.5x2.4</t>
  </si>
  <si>
    <t>XXD-RML-002</t>
  </si>
  <si>
    <t>CK-RML-010</t>
  </si>
  <si>
    <t>A23-RML-002</t>
  </si>
  <si>
    <t>XXD-MCA-001</t>
  </si>
  <si>
    <t>XXD-MCA-002</t>
  </si>
  <si>
    <t>XND-MCA-001</t>
  </si>
  <si>
    <t>Nhãn DP Đã Đ.chuyển sang Xoài DP 06.08.2024</t>
  </si>
  <si>
    <t>XND-MCA-002</t>
  </si>
  <si>
    <t>IV.</t>
  </si>
  <si>
    <t>CHĂN NUÔI BÒ</t>
  </si>
  <si>
    <t>XB1-THC-001</t>
  </si>
  <si>
    <t>A22-THC-001</t>
  </si>
  <si>
    <t>CELIKEL</t>
  </si>
  <si>
    <t>CHALLENGER II</t>
  </si>
  <si>
    <t>THỔ NHỈ KỲ</t>
  </si>
  <si>
    <t>55 tấn/8h</t>
  </si>
  <si>
    <t>XB1-THC-002</t>
  </si>
  <si>
    <t>A22-THC-002</t>
  </si>
  <si>
    <t>SBM-220038</t>
  </si>
  <si>
    <t>XB1-THC-003</t>
  </si>
  <si>
    <t>A22-THC-003</t>
  </si>
  <si>
    <t>CHALLENGER II PLUS</t>
  </si>
  <si>
    <t xml:space="preserve">- Kèm trục các đăng </t>
  </si>
  <si>
    <t>SBM-221203</t>
  </si>
  <si>
    <t>XB1-THC-004</t>
  </si>
  <si>
    <t>A22-THC-004</t>
  </si>
  <si>
    <t>SBM-221211</t>
  </si>
  <si>
    <t>XB1-THC-005</t>
  </si>
  <si>
    <t>A22-THC-005</t>
  </si>
  <si>
    <t>30/09/2024</t>
  </si>
  <si>
    <t>CALABRIA 1800</t>
  </si>
  <si>
    <t>CKM-240010</t>
  </si>
  <si>
    <t>XB1-THC-006</t>
  </si>
  <si>
    <t>A22-THC-006</t>
  </si>
  <si>
    <t>30/10/2024</t>
  </si>
  <si>
    <t>CHALLENGER IV</t>
  </si>
  <si>
    <t>4SSM-240003</t>
  </si>
  <si>
    <t>XB1-THC-007</t>
  </si>
  <si>
    <t>A22-THC-007</t>
  </si>
  <si>
    <t>26/02/2025</t>
  </si>
  <si>
    <t>4SSM-240001</t>
  </si>
  <si>
    <t>XB1-THC-008</t>
  </si>
  <si>
    <t>A22-THC-008</t>
  </si>
  <si>
    <t>CKM-240063</t>
  </si>
  <si>
    <t>XB1-THC-009</t>
  </si>
  <si>
    <t>A22-THC-009</t>
  </si>
  <si>
    <t>CKM-240064</t>
  </si>
  <si>
    <t>XB1-THC-010</t>
  </si>
  <si>
    <t>A22-THC-010</t>
  </si>
  <si>
    <t>4SSM-250016</t>
  </si>
  <si>
    <t>XB1-THC-011</t>
  </si>
  <si>
    <t>A22-THC-011</t>
  </si>
  <si>
    <t>Thiết bị thu hoạch cỏ (KLH gia công)</t>
  </si>
  <si>
    <t>XB1-THC-012</t>
  </si>
  <si>
    <t>A22-THC-012</t>
  </si>
  <si>
    <t>24/07/2026</t>
  </si>
  <si>
    <t>90 HP ~</t>
  </si>
  <si>
    <t>CKM-260004</t>
  </si>
  <si>
    <t>XB1-THC-013</t>
  </si>
  <si>
    <t>A22-THC-013</t>
  </si>
  <si>
    <t>Thiết bị thu hoạch cỏ thân mềm Calabria 2100</t>
  </si>
  <si>
    <t>CALABRIA 2100</t>
  </si>
  <si>
    <t>120 HP ~</t>
  </si>
  <si>
    <t>XB1-ĐBC-001</t>
  </si>
  <si>
    <t>A22-ĐBC-001</t>
  </si>
  <si>
    <t>BALENTINE 4</t>
  </si>
  <si>
    <t>100~150HP</t>
  </si>
  <si>
    <t>PBM-240131</t>
  </si>
  <si>
    <t>XB1-MBG-001</t>
  </si>
  <si>
    <t>A22-MBG-001</t>
  </si>
  <si>
    <t>Máy băm gỗ DIESEL-VMECH</t>
  </si>
  <si>
    <t>XB1-MBG-002</t>
  </si>
  <si>
    <t>A22-MBG-002</t>
  </si>
  <si>
    <t>Máy băm gỗ cố định 185KW</t>
  </si>
  <si>
    <t>CK-MBG-01</t>
  </si>
  <si>
    <t>3x3x2.4, 8 dao băm, motor 185 KW
-380V</t>
  </si>
  <si>
    <t>XB1-MBG-003</t>
  </si>
  <si>
    <t>A22-MBG-003</t>
  </si>
  <si>
    <t>Máy băm gỗ</t>
  </si>
  <si>
    <t>14/10/2024</t>
  </si>
  <si>
    <t>WEHAI</t>
  </si>
  <si>
    <t>WP10D238E200</t>
  </si>
  <si>
    <t>1624C014353</t>
  </si>
  <si>
    <t>XB1-MBX-001</t>
  </si>
  <si>
    <t>XB1-TTA-001</t>
  </si>
  <si>
    <t>A22-TTA-001</t>
  </si>
  <si>
    <t>Cối trộn thức ăn TMR</t>
  </si>
  <si>
    <t>TTCBTA</t>
  </si>
  <si>
    <t>TMR</t>
  </si>
  <si>
    <t>XB1-TTA-002</t>
  </si>
  <si>
    <t>A22-TTA-002</t>
  </si>
  <si>
    <t>XB1-TTA-003</t>
  </si>
  <si>
    <t>A22-TTA-003</t>
  </si>
  <si>
    <t>XB1-MBC -002</t>
  </si>
  <si>
    <t>A22-MBC-001</t>
  </si>
  <si>
    <t>Máy băm cỏ cố định</t>
  </si>
  <si>
    <t>Cố định</t>
  </si>
  <si>
    <t>XB1-MBC -003</t>
  </si>
  <si>
    <t>A22-MBC-002</t>
  </si>
  <si>
    <t>XB1-MBC -005</t>
  </si>
  <si>
    <t>A22-MBC-003</t>
  </si>
  <si>
    <t>XB1-MBC -011</t>
  </si>
  <si>
    <t>A22-MBC-004</t>
  </si>
  <si>
    <t>XB1-MBC -018</t>
  </si>
  <si>
    <t>A22-MBC-006</t>
  </si>
  <si>
    <t>XD2-MBC-004</t>
  </si>
  <si>
    <t>A23-MBC-004</t>
  </si>
  <si>
    <t>XB1-MBD-001</t>
  </si>
  <si>
    <t>A22-MBD-001</t>
  </si>
  <si>
    <t>Máy băm cỏ di động</t>
  </si>
  <si>
    <t>Di động</t>
  </si>
  <si>
    <t>XB1-MBD-002</t>
  </si>
  <si>
    <t>A22-MBD-002</t>
  </si>
  <si>
    <t>XB1-PVS -001</t>
  </si>
  <si>
    <t>A22-PVS-001</t>
  </si>
  <si>
    <t>Bồn phun vi sinh, khử trùng</t>
  </si>
  <si>
    <t>XB1-PVS -002</t>
  </si>
  <si>
    <t>A22-PVS-002</t>
  </si>
  <si>
    <t>XB1-RMO-001</t>
  </si>
  <si>
    <t>RM thùng</t>
  </si>
  <si>
    <t>XB1-RMO-002</t>
  </si>
  <si>
    <t>XB1-RMO-003</t>
  </si>
  <si>
    <t>XB1-RMO-004</t>
  </si>
  <si>
    <t>XB1-RMO-005</t>
  </si>
  <si>
    <t>Rơ mooc đi cùng shibaura</t>
  </si>
  <si>
    <t>XB1-RMC-006</t>
  </si>
  <si>
    <t>XD3-RMC-002</t>
  </si>
  <si>
    <t>- Đ,chuyển từ XN DP3 09.10.2024</t>
  </si>
  <si>
    <t>RM thu hoạch</t>
  </si>
  <si>
    <t>XB1-RMC-007</t>
  </si>
  <si>
    <t>XD3-RMC-007</t>
  </si>
  <si>
    <t>XB1-RMC-008</t>
  </si>
  <si>
    <t>XA2-RMC-008</t>
  </si>
  <si>
    <t>- Đ,chuyển từ XN AD2 09.10.2024</t>
  </si>
  <si>
    <t>XB1-RMB-001</t>
  </si>
  <si>
    <t>A22-RMB-001</t>
  </si>
  <si>
    <t>RM thùng ben</t>
  </si>
  <si>
    <t>XB1-RMB-002</t>
  </si>
  <si>
    <t>A22-RMB-002</t>
  </si>
  <si>
    <t>XB1-RML-001</t>
  </si>
  <si>
    <t>XB1-RML-003</t>
  </si>
  <si>
    <t>XB1-RML-004</t>
  </si>
  <si>
    <t>XB1-RML-005</t>
  </si>
  <si>
    <t>XB1-RML-006</t>
  </si>
  <si>
    <t>XB1-RML-008</t>
  </si>
  <si>
    <t>21/11/2025</t>
  </si>
  <si>
    <t>3.24x2.1x1.39</t>
  </si>
  <si>
    <t>CK-RML-008</t>
  </si>
  <si>
    <t>XB1-MLB-001</t>
  </si>
  <si>
    <t>A22-MLB-002</t>
  </si>
  <si>
    <t>3.9x2.3x2.5</t>
  </si>
  <si>
    <t>XB1-RMĐ-001</t>
  </si>
  <si>
    <t>A22-RMD-001</t>
  </si>
  <si>
    <t>RM lưới ben</t>
  </si>
  <si>
    <t>XB1-MCD-001</t>
  </si>
  <si>
    <t>A22-MCD-001</t>
  </si>
  <si>
    <t>Rơ mooc chuyên dụng vận chuyển (MMTB)</t>
  </si>
  <si>
    <t>Lốp đôi</t>
  </si>
  <si>
    <t>XB1-SMR-001</t>
  </si>
  <si>
    <t>A22-SMR-001</t>
  </si>
  <si>
    <t>INDUSTRY</t>
  </si>
  <si>
    <t>50m3</t>
  </si>
  <si>
    <t>VIET NAM</t>
  </si>
  <si>
    <t>50M3</t>
  </si>
  <si>
    <t>RN0GA339BK004311</t>
  </si>
  <si>
    <t>XB1-MRT-002</t>
  </si>
  <si>
    <t>A22-MRT-002</t>
  </si>
  <si>
    <t>RN0GA339BK1344231</t>
  </si>
  <si>
    <t>84 tấn/8h</t>
  </si>
  <si>
    <t>XB1-MRT-003</t>
  </si>
  <si>
    <t>A22-MRT-003</t>
  </si>
  <si>
    <t>RMFLS232ASC001299</t>
  </si>
  <si>
    <t>XB1-MRT-004</t>
  </si>
  <si>
    <t>A22-MRT-004</t>
  </si>
  <si>
    <t>RMFLS232ASC001303</t>
  </si>
  <si>
    <t>XB1-MRT-005</t>
  </si>
  <si>
    <t>A22-MRT-005</t>
  </si>
  <si>
    <t>RMFLS232ASC001304</t>
  </si>
  <si>
    <t>XB1-MRT-006</t>
  </si>
  <si>
    <t>A22-MRT-006</t>
  </si>
  <si>
    <t>RMFLS232ASC001305</t>
  </si>
  <si>
    <t>XB1-MRT-007</t>
  </si>
  <si>
    <t>A22-MRT-007</t>
  </si>
  <si>
    <t>RMFLS232ASC001306</t>
  </si>
  <si>
    <t>XB1-MRT-008</t>
  </si>
  <si>
    <t>A22-MRT-008</t>
  </si>
  <si>
    <t>RMFLS232ASC001309</t>
  </si>
  <si>
    <t>XB1-MRT-009</t>
  </si>
  <si>
    <t>A22-MRT-009</t>
  </si>
  <si>
    <t>RMFLS232ASC001310</t>
  </si>
  <si>
    <t>XB1-TPC-001</t>
  </si>
  <si>
    <t>A22-TPC-001</t>
  </si>
  <si>
    <t>18/23M3</t>
  </si>
  <si>
    <t>XB1-TPC-002</t>
  </si>
  <si>
    <t>A22-TPC-002</t>
  </si>
  <si>
    <t>45M3</t>
  </si>
  <si>
    <t>RMFNU241ASC001750</t>
  </si>
  <si>
    <t>XB1-TPC-003</t>
  </si>
  <si>
    <t>A22-TPC-003</t>
  </si>
  <si>
    <t>RNONU241ASC002592</t>
  </si>
  <si>
    <t>XB1-TPC-004</t>
  </si>
  <si>
    <t>A22-TPC-004</t>
  </si>
  <si>
    <t>RNONU241ASC002593</t>
  </si>
  <si>
    <t>XB1-TPC-005</t>
  </si>
  <si>
    <t>A22-TPC-005</t>
  </si>
  <si>
    <t>RNONU241ASC002594</t>
  </si>
  <si>
    <t>XB1-TPC-006</t>
  </si>
  <si>
    <t>A22-TPC-006</t>
  </si>
  <si>
    <t>RNONU241ASC002595</t>
  </si>
  <si>
    <t>XB1-TPC-007</t>
  </si>
  <si>
    <t>A22-TPC-007</t>
  </si>
  <si>
    <t>RNONU241ASC002596</t>
  </si>
  <si>
    <t>XB1-TPC-008</t>
  </si>
  <si>
    <t>A22-TPC-008</t>
  </si>
  <si>
    <t>RNONU241ASC002598</t>
  </si>
  <si>
    <t>XB1-TPC-009</t>
  </si>
  <si>
    <t>A22-TPC-009</t>
  </si>
  <si>
    <t>RNONU241ASC002599</t>
  </si>
  <si>
    <t>XB1-TPC-010</t>
  </si>
  <si>
    <t>A22-TPC-010</t>
  </si>
  <si>
    <t>RNONU241ASC002600</t>
  </si>
  <si>
    <t>XB1-MRP-001</t>
  </si>
  <si>
    <t>A22-MRP-001</t>
  </si>
  <si>
    <t>Thiết bị rải phân chuồng</t>
  </si>
  <si>
    <t>XB1-RVO-001</t>
  </si>
  <si>
    <t>A22-RVO-001</t>
  </si>
  <si>
    <t>XB1-RVO-002</t>
  </si>
  <si>
    <t>A22-RVO-002</t>
  </si>
  <si>
    <t>XB1-RVO-003</t>
  </si>
  <si>
    <t>A22-RVO-003</t>
  </si>
  <si>
    <t>0.8M3</t>
  </si>
  <si>
    <t>XB1-BRN-001</t>
  </si>
  <si>
    <t>A22-BRN-001</t>
  </si>
  <si>
    <t>ATM-A22-0125</t>
  </si>
  <si>
    <t>Bồn rỉ mật 5m3</t>
  </si>
  <si>
    <t>5M3</t>
  </si>
  <si>
    <t>XB1-MDP-001</t>
  </si>
  <si>
    <t>A22-MDP-001</t>
  </si>
  <si>
    <t>Máy đảo trộn phân hữu cơ</t>
  </si>
  <si>
    <t>XB1-RPC-001</t>
  </si>
  <si>
    <t>A22-RPC-001</t>
  </si>
  <si>
    <t>Rải phân chuồng</t>
  </si>
  <si>
    <t>XB1-CRL-001</t>
  </si>
  <si>
    <t>A22-CRL-001</t>
  </si>
  <si>
    <t>Cày rạch luống 4 rãnh</t>
  </si>
  <si>
    <t>4 rãnh</t>
  </si>
  <si>
    <t>XB1-CRL-002</t>
  </si>
  <si>
    <t>A22-CRL-002</t>
  </si>
  <si>
    <t>Cày rạch luống 2 rãnh</t>
  </si>
  <si>
    <t>2 rãnh</t>
  </si>
  <si>
    <t>XB1-CCG-001</t>
  </si>
  <si>
    <t>A22-CCG-001</t>
  </si>
  <si>
    <t>Cắt cỏ gốc</t>
  </si>
  <si>
    <t>XB1-CCG-002</t>
  </si>
  <si>
    <t>A22-CCG-002</t>
  </si>
  <si>
    <t>XB1-DGC-001</t>
  </si>
  <si>
    <t>A22-DGC-001</t>
  </si>
  <si>
    <t>Gom cỏ,chuối</t>
  </si>
  <si>
    <t>XB1-GTB-001</t>
  </si>
  <si>
    <t>A22-GTB-001</t>
  </si>
  <si>
    <t>Thiết bị tỉa bắp</t>
  </si>
  <si>
    <t>XB1-GTB-002</t>
  </si>
  <si>
    <t>A22-GTB-002</t>
  </si>
  <si>
    <t>XB1-MTP-001</t>
  </si>
  <si>
    <t>A22-MTP-001</t>
  </si>
  <si>
    <t>Máy trộn premix </t>
  </si>
  <si>
    <t>Premix</t>
  </si>
  <si>
    <t>XB1-MTP-002</t>
  </si>
  <si>
    <t>A22-MTP-002</t>
  </si>
  <si>
    <t>XB1-TCT-001</t>
  </si>
  <si>
    <t>A22-TCT-001</t>
  </si>
  <si>
    <t>Máy trộn thức ăn tinh </t>
  </si>
  <si>
    <t>XB1-TCT-002</t>
  </si>
  <si>
    <t>A22-TCT-002</t>
  </si>
  <si>
    <t>Máy trộn thức ăn tinh</t>
  </si>
  <si>
    <t>XB1-XĐL-002</t>
  </si>
  <si>
    <t>A22-XĐL-002</t>
  </si>
  <si>
    <t>Máy xay đậu lupin</t>
  </si>
  <si>
    <t>XB1-GKM-001</t>
  </si>
  <si>
    <t>A22-GKM-001</t>
  </si>
  <si>
    <t>Thiết bị khoan mẹ</t>
  </si>
  <si>
    <t>XB1-DKL-001</t>
  </si>
  <si>
    <t>CK-DKL-02</t>
  </si>
  <si>
    <t>A22-DKL-001</t>
  </si>
  <si>
    <t>15/04/2024</t>
  </si>
  <si>
    <t>DxRxC: 2.5m*0.8m*2.5m
1 bộ TB kèm cardang và mũi khoan phi 800*800mm</t>
  </si>
  <si>
    <t>XB1-DKL-002</t>
  </si>
  <si>
    <t>17/06/2024</t>
  </si>
  <si>
    <t>Đã qua SD</t>
  </si>
  <si>
    <t>XB1-MCC-001</t>
  </si>
  <si>
    <t>Máy cắt lát chuối cho bê</t>
  </si>
  <si>
    <t>XB1-MCO-001</t>
  </si>
  <si>
    <t>ATM-A22-0128</t>
  </si>
  <si>
    <t>Máy cuộn cỏ (gắn sau máy kéo)</t>
  </si>
  <si>
    <t>- Công suất: 20-50HP
- YTAMI_0870</t>
  </si>
  <si>
    <t>YTAMI-MRB0870-03/CB-14290</t>
  </si>
  <si>
    <t>XB1-MCO-002</t>
  </si>
  <si>
    <t>A22-MCO-002</t>
  </si>
  <si>
    <t>XB1-MCO-003</t>
  </si>
  <si>
    <t>A22-MCO-003</t>
  </si>
  <si>
    <t>XB1-MCO-004</t>
  </si>
  <si>
    <t>A22-MCO-004</t>
  </si>
  <si>
    <t>28/08/2024</t>
  </si>
  <si>
    <t>XB1-MCO-005</t>
  </si>
  <si>
    <t>XXA-MCO-003</t>
  </si>
  <si>
    <t>XN Xoài AD đ.chuyen 21/12/2024</t>
  </si>
  <si>
    <t>XB1-MCO-006</t>
  </si>
  <si>
    <t>XN Xoài AD đ.chuyen31/06/2026</t>
  </si>
  <si>
    <t>XB1-MTO-001</t>
  </si>
  <si>
    <t>SYM</t>
  </si>
  <si>
    <t>SANYANG MOTOR</t>
  </si>
  <si>
    <t>VAVLC152FMH009586</t>
  </si>
  <si>
    <t>XB1-MTO-002</t>
  </si>
  <si>
    <t>XB1-MTO-003</t>
  </si>
  <si>
    <t>LC150FM-00085896</t>
  </si>
  <si>
    <t>XB1-MTO-004</t>
  </si>
  <si>
    <t>XB1-MTO-005</t>
  </si>
  <si>
    <t>VTTJL1P52FMH-E001739</t>
  </si>
  <si>
    <t>XB1-MTO-006</t>
  </si>
  <si>
    <t>VTTJL1P52FMH-E4001768</t>
  </si>
  <si>
    <t>XB1-MCA-001</t>
  </si>
  <si>
    <t>NILE</t>
  </si>
  <si>
    <t>N680A</t>
  </si>
  <si>
    <t>N680A-240014</t>
  </si>
  <si>
    <t>XB1-MCA-002</t>
  </si>
  <si>
    <t>N680A-240012</t>
  </si>
  <si>
    <t>XB1-MCA-003</t>
  </si>
  <si>
    <t>N680A-240010</t>
  </si>
  <si>
    <t>XB1-BUA-001</t>
  </si>
  <si>
    <t>B32C04</t>
  </si>
  <si>
    <t>A22-BUA-001</t>
  </si>
  <si>
    <t>Thiết bị bừa 32 chảo</t>
  </si>
  <si>
    <t>XB1-BUA-002</t>
  </si>
  <si>
    <t>A22-BUA-002</t>
  </si>
  <si>
    <t>Thiết bị bừa 24 chảo</t>
  </si>
  <si>
    <t>XB1-BUA-003</t>
  </si>
  <si>
    <t>A22-BUA-003</t>
  </si>
  <si>
    <t>XB1-BUA-004</t>
  </si>
  <si>
    <t>A22-BUA-004</t>
  </si>
  <si>
    <t>Thiết bị bừa 32 chảo</t>
  </si>
  <si>
    <t>XB1-DTP-001</t>
  </si>
  <si>
    <t>A22-DTP-001</t>
  </si>
  <si>
    <t>Thiết bị tung phân hữu cơ</t>
  </si>
  <si>
    <t>XB1-DTP-002</t>
  </si>
  <si>
    <t>A22-DTP-002</t>
  </si>
  <si>
    <t>&gt;= 90HP</t>
  </si>
  <si>
    <t>XB1-DTP-003</t>
  </si>
  <si>
    <t>A22-DTP-003</t>
  </si>
  <si>
    <t>Đầu tư mới (bánh béo)</t>
  </si>
  <si>
    <t>RMFNU109BTC002417</t>
  </si>
  <si>
    <t>XB1-DRP-002</t>
  </si>
  <si>
    <t>Điều chuyển từ CGLĐ DP về XNB ngày 8/7/2026</t>
  </si>
  <si>
    <t>14 (10m3)</t>
  </si>
  <si>
    <t>XB1-DNL-001</t>
  </si>
  <si>
    <t>CK-DNL-01</t>
  </si>
  <si>
    <t>A22-DNL-001</t>
  </si>
  <si>
    <t>23/03/2024</t>
  </si>
  <si>
    <t>3.8*2*3.6</t>
  </si>
  <si>
    <t>XB1-TBT-001</t>
  </si>
  <si>
    <t>A22-TBT-001</t>
  </si>
  <si>
    <t>XB1-TBB-001</t>
  </si>
  <si>
    <t>CK-MB-19</t>
  </si>
  <si>
    <t>A22-TBB-001</t>
  </si>
  <si>
    <t>Máy băm công nghiệp</t>
  </si>
  <si>
    <t>17/04/2024</t>
  </si>
  <si>
    <t>DxRxC: 2.5m*1.8m*3m</t>
  </si>
  <si>
    <t>XB1-DPC-001</t>
  </si>
  <si>
    <t>CK-DPC-02</t>
  </si>
  <si>
    <t>A22-DPC-001</t>
  </si>
  <si>
    <t>1.5m</t>
  </si>
  <si>
    <t>1.5*1.5m</t>
  </si>
  <si>
    <t>XB1-DPC-002</t>
  </si>
  <si>
    <t>CK-DP-01</t>
  </si>
  <si>
    <t>A22-DPC-002</t>
  </si>
  <si>
    <t>Thiết bị phay cỏ (2 luống)</t>
  </si>
  <si>
    <t>2 luống</t>
  </si>
  <si>
    <t>2100x800x1100(mm)</t>
  </si>
  <si>
    <t>Bề rộng luống phay 500mm</t>
  </si>
  <si>
    <t>XB1-DPC-003</t>
  </si>
  <si>
    <t>CK-MPC-04</t>
  </si>
  <si>
    <t>A22-DPC-003</t>
  </si>
  <si>
    <t>1.4x1.4x1</t>
  </si>
  <si>
    <t>XB1-DPC-004</t>
  </si>
  <si>
    <t>A22-DPC-004</t>
  </si>
  <si>
    <t>17/12/2025</t>
  </si>
  <si>
    <t>CK-MPC-05</t>
  </si>
  <si>
    <t>XB1-DPC-005</t>
  </si>
  <si>
    <t>A22-DPC-005</t>
  </si>
  <si>
    <t>CK-MPC-06</t>
  </si>
  <si>
    <t>XB1-DPC-006</t>
  </si>
  <si>
    <t>A22-DPC-006</t>
  </si>
  <si>
    <t>CK-MPC-07</t>
  </si>
  <si>
    <t>XB1-DPC-007</t>
  </si>
  <si>
    <t>A22-DPC-007</t>
  </si>
  <si>
    <t>CK-MPC-08</t>
  </si>
  <si>
    <t>XB1-DPC-008</t>
  </si>
  <si>
    <t>A22-DPC-008</t>
  </si>
  <si>
    <t>CK-MPC-09</t>
  </si>
  <si>
    <t>XB1-DPC-009</t>
  </si>
  <si>
    <t>A22-DPC-009</t>
  </si>
  <si>
    <t>XB1-DPC-010</t>
  </si>
  <si>
    <t>A22-DPC-010</t>
  </si>
  <si>
    <t>XB1-KGX-001</t>
  </si>
  <si>
    <t>A22-KGX-001</t>
  </si>
  <si>
    <t>Kẹp gỗ xoay 360 độ</t>
  </si>
  <si>
    <t>23/05/2024</t>
  </si>
  <si>
    <t>HYUNG JE</t>
  </si>
  <si>
    <t>Có đường kim</t>
  </si>
  <si>
    <t>XB1-MCL-001</t>
  </si>
  <si>
    <t>A22-MCL-001</t>
  </si>
  <si>
    <t>CLT</t>
  </si>
  <si>
    <t>5,5x1,9x2,21m</t>
  </si>
  <si>
    <t>XB1-MCL-002</t>
  </si>
  <si>
    <t>A22-MCL-002</t>
  </si>
  <si>
    <t>XB1-DXC-001</t>
  </si>
  <si>
    <t>CK-DXC-01</t>
  </si>
  <si>
    <t>A22-DXC-001</t>
  </si>
  <si>
    <t>3x3x1,4m</t>
  </si>
  <si>
    <t>XB1-DCC-001</t>
  </si>
  <si>
    <t>A22-DCC-001</t>
  </si>
  <si>
    <t>18/06/2024</t>
  </si>
  <si>
    <t>Mower</t>
  </si>
  <si>
    <t>Bề rộng cắt cỏ 185-3210cm
Chiều rộng tạo hàng cỏ sau khi cắt 80-90cm
Công suất 60-90HP</t>
  </si>
  <si>
    <t>XB1-DCC-002</t>
  </si>
  <si>
    <t>A22-DCC-002</t>
  </si>
  <si>
    <t>XB1-TBN-001</t>
  </si>
  <si>
    <t>CK-MND-01</t>
  </si>
  <si>
    <t>A22-TBN-001</t>
  </si>
  <si>
    <t>Thiết bị nghiền dăm gỗ</t>
  </si>
  <si>
    <t>XB1-CĐQ-001</t>
  </si>
  <si>
    <t>CK-DCC-01</t>
  </si>
  <si>
    <t>A22-CĐQ-001</t>
  </si>
  <si>
    <t>Đĩa quay</t>
  </si>
  <si>
    <t>XB1-CĐQ-002</t>
  </si>
  <si>
    <t>CK-DCC-02</t>
  </si>
  <si>
    <t>A22-CĐQ-002</t>
  </si>
  <si>
    <t>31/10/2024</t>
  </si>
  <si>
    <t>XB1-CĐQ-003</t>
  </si>
  <si>
    <t>CK-DCC-03</t>
  </si>
  <si>
    <t>A22-CĐQ-003</t>
  </si>
  <si>
    <t>13/11/2024</t>
  </si>
  <si>
    <t>2x2.3x1.4m</t>
  </si>
  <si>
    <t>XB1-CĐQ-004</t>
  </si>
  <si>
    <t>A22-CĐQ-004</t>
  </si>
  <si>
    <t>CK-DCC-CLT-01</t>
  </si>
  <si>
    <t>XB1-TBR-001</t>
  </si>
  <si>
    <t>CK-TBBPX-01</t>
  </si>
  <si>
    <t>A22-TBR-001</t>
  </si>
  <si>
    <t>16/09/2024</t>
  </si>
  <si>
    <t>3.5x2.2x2.15 (DxRxC)</t>
  </si>
  <si>
    <t>XB1-RP4-001</t>
  </si>
  <si>
    <t>A22-RP4-001</t>
  </si>
  <si>
    <t>Đ.chuyen từ Eahleo sang KM</t>
  </si>
  <si>
    <t>THÀNH ĐẠT</t>
  </si>
  <si>
    <t>4 HÀNG</t>
  </si>
  <si>
    <t>VIỆ̣T NAM</t>
  </si>
  <si>
    <t>RP4-01</t>
  </si>
  <si>
    <t>XB1-RP4-002</t>
  </si>
  <si>
    <t>A22-RP4-002</t>
  </si>
  <si>
    <t>RP4-02</t>
  </si>
  <si>
    <t>XB1-XĐP-001</t>
  </si>
  <si>
    <t>29/08/2024</t>
  </si>
  <si>
    <t>CHULAI</t>
  </si>
  <si>
    <t>XB1-RLT-001</t>
  </si>
  <si>
    <t>A22-RLT-001</t>
  </si>
  <si>
    <t>6 hàng</t>
  </si>
  <si>
    <t>XB1-RLT-002</t>
  </si>
  <si>
    <t>A22-RLT-002</t>
  </si>
  <si>
    <t>3.6x2.7x1.34</t>
  </si>
  <si>
    <t>XB1-RLT-003</t>
  </si>
  <si>
    <t>A22-RLT-003</t>
  </si>
  <si>
    <t>CK-DTC-04</t>
  </si>
  <si>
    <t>XB1-RLT-004</t>
  </si>
  <si>
    <t>Thiết bị rạch luống trồng cỏ (4 hàng)</t>
  </si>
  <si>
    <t>21/06/2025</t>
  </si>
  <si>
    <t>CK-DTC-05</t>
  </si>
  <si>
    <t>XB1-RLT-005</t>
  </si>
  <si>
    <t>A22-RLT-005</t>
  </si>
  <si>
    <t>Thiết bị rạch luống trồng cỏ (2 hàng)</t>
  </si>
  <si>
    <t>Đ. chuyển từ KLH SNUOL qua KM ngày 12/06/2026</t>
  </si>
  <si>
    <t>Đ. chuyển từ Snuol sang KM</t>
  </si>
  <si>
    <t>Kasetkollakarn Banpong</t>
  </si>
  <si>
    <t>Thái Lan</t>
  </si>
  <si>
    <t>SP-40C-SR</t>
  </si>
  <si>
    <t>60 HP ~</t>
  </si>
  <si>
    <t>1224-TZAU</t>
  </si>
  <si>
    <t>XB1-MXM-001</t>
  </si>
  <si>
    <t>XA2-MXM-005</t>
  </si>
  <si>
    <t>A22-MXM-005</t>
  </si>
  <si>
    <t>Đ.chuyen từ XN AD2 ngày 03/03/2025</t>
  </si>
  <si>
    <t>XB1-MXM-002</t>
  </si>
  <si>
    <t>XA2-MXM-006</t>
  </si>
  <si>
    <t>A22-MXM-006</t>
  </si>
  <si>
    <t>Đ.chuyen từ XN AD2 ngày 29/03/2025</t>
  </si>
  <si>
    <t>XB1-CCB-001</t>
  </si>
  <si>
    <t>A22-CCB-001</t>
  </si>
  <si>
    <t>27/05/2025</t>
  </si>
  <si>
    <t>CK-DX-01</t>
  </si>
  <si>
    <t>1.4x0.9x1.1</t>
  </si>
  <si>
    <t>XB1-PTB-001</t>
  </si>
  <si>
    <t>A22-PTB-001</t>
  </si>
  <si>
    <t>16/08/2025</t>
  </si>
  <si>
    <t>CHOKTAWEE</t>
  </si>
  <si>
    <t>ARN-SPY600</t>
  </si>
  <si>
    <t>600 LÍT - 50HP</t>
  </si>
  <si>
    <t>XB1-PTB-002</t>
  </si>
  <si>
    <t>A22-PTB-002</t>
  </si>
  <si>
    <t>XB1-GHC-001</t>
  </si>
  <si>
    <t>A22-GHC-001</t>
  </si>
  <si>
    <t>15/08/2025</t>
  </si>
  <si>
    <t>VIRDI</t>
  </si>
  <si>
    <t>GRASS MAESTRO</t>
  </si>
  <si>
    <t>Ấn Độ</t>
  </si>
  <si>
    <t>35HP</t>
  </si>
  <si>
    <t>GM2502</t>
  </si>
  <si>
    <t>XB1-GHC-002</t>
  </si>
  <si>
    <t>A22-GHC-002</t>
  </si>
  <si>
    <t>ĐCHUYEN TỪ KLH SN</t>
  </si>
  <si>
    <t>ẤN ĐỘ</t>
  </si>
  <si>
    <t>35Hp ~</t>
  </si>
  <si>
    <t>GM2501</t>
  </si>
  <si>
    <t>XB1-RBP-001</t>
  </si>
  <si>
    <t>A22-RBP-001</t>
  </si>
  <si>
    <t>XB1-RBP-002</t>
  </si>
  <si>
    <t>A22-RBP-002</t>
  </si>
  <si>
    <t>XB1-RHC-001</t>
  </si>
  <si>
    <t>A22-RHC-001</t>
  </si>
  <si>
    <t>15/11/2025</t>
  </si>
  <si>
    <t>XB1-CXV-001</t>
  </si>
  <si>
    <t>A22-CXV-001</t>
  </si>
  <si>
    <t>CXV-01</t>
  </si>
  <si>
    <t>1.195x4.2x1.148</t>
  </si>
  <si>
    <t>CK-CXV-01</t>
  </si>
  <si>
    <t>XB1-CXV-002</t>
  </si>
  <si>
    <t>A22-CXV-002</t>
  </si>
  <si>
    <t>Điều chuyển từ KLH SNUOL qua ngày 28/04/2026</t>
  </si>
  <si>
    <t>KLH SNUOL</t>
  </si>
  <si>
    <t>4  lưỡi xới</t>
  </si>
  <si>
    <t>XB1-DRC-001</t>
  </si>
  <si>
    <t>A22-DRC-001</t>
  </si>
  <si>
    <t>Thiết bị rạch - tung phân cỏ chăn thả</t>
  </si>
  <si>
    <t>6 đĩa rạch</t>
  </si>
  <si>
    <t>XB1-DRC-002</t>
  </si>
  <si>
    <t>A22-DRC-002</t>
  </si>
  <si>
    <t xml:space="preserve"> Gia công mới tại NMCK ngày 05/05/2026</t>
  </si>
  <si>
    <t>Xưởng GCM CGH</t>
  </si>
  <si>
    <t>11 đĩa rạch</t>
  </si>
  <si>
    <t>XB1-DRC-003</t>
  </si>
  <si>
    <t>A22-DRC-003</t>
  </si>
  <si>
    <t>XB1-DRC-004</t>
  </si>
  <si>
    <t>A22-DRC-004</t>
  </si>
  <si>
    <t xml:space="preserve"> Gia công mới tại NMCK ngày 14/05/2026</t>
  </si>
  <si>
    <t>XB1-DRC-005</t>
  </si>
  <si>
    <t>A22-DRC-005</t>
  </si>
  <si>
    <t>XB1-RRP-001</t>
  </si>
  <si>
    <t>A22-RRP-001</t>
  </si>
  <si>
    <t>Thiết bị rạch - rải phân cỏ tập trung</t>
  </si>
  <si>
    <t>14/05/2026</t>
  </si>
  <si>
    <t>1 đĩa 2 răng rạch</t>
  </si>
  <si>
    <t>XB1-RRP-002</t>
  </si>
  <si>
    <t>A22-RRP-002</t>
  </si>
  <si>
    <t>XB1-TGC-001</t>
  </si>
  <si>
    <t>A22-TGC-001</t>
  </si>
  <si>
    <t>Thiết bị tề gốc cỏ 3.5m</t>
  </si>
  <si>
    <t>9GXZ-3.5</t>
  </si>
  <si>
    <t>100~150 Hp</t>
  </si>
  <si>
    <t>XYJXCK-9GXZ-3.5-003</t>
  </si>
  <si>
    <t>V.</t>
  </si>
  <si>
    <t>GIAO NHẬN VẬN CHUYẺN</t>
  </si>
  <si>
    <t>TND-RML-001</t>
  </si>
  <si>
    <t>92R-00402</t>
  </si>
  <si>
    <t>Mooc LCD 2T</t>
  </si>
  <si>
    <t>RN0PD230AKC000913</t>
  </si>
  <si>
    <t>TND-RML-003</t>
  </si>
  <si>
    <t>92R-00457</t>
  </si>
  <si>
    <t>RN0PD230AKC000920</t>
  </si>
  <si>
    <t>TND-RML-005</t>
  </si>
  <si>
    <t>92R-00465</t>
  </si>
  <si>
    <t>RN0PD230AKC000915</t>
  </si>
  <si>
    <t>TND-RML-006</t>
  </si>
  <si>
    <t>92R-00446</t>
  </si>
  <si>
    <t>RN0PD230AKC000918</t>
  </si>
  <si>
    <t>TND-RML-007</t>
  </si>
  <si>
    <t>92R-00409</t>
  </si>
  <si>
    <t>RN0PD230AKC000904</t>
  </si>
  <si>
    <t>TND-RML-008</t>
  </si>
  <si>
    <t>92R-00528</t>
  </si>
  <si>
    <t>RN0PD230AKC000926</t>
  </si>
  <si>
    <t>TND-RML-009</t>
  </si>
  <si>
    <t>92R-00538</t>
  </si>
  <si>
    <t>RN0PD230AKC000927</t>
  </si>
  <si>
    <t>TND-RML-014</t>
  </si>
  <si>
    <t>92R-00413</t>
  </si>
  <si>
    <t>SMRM 3T</t>
  </si>
  <si>
    <t>RN0P3800AFC063963</t>
  </si>
  <si>
    <t>TND-RML-015</t>
  </si>
  <si>
    <t>92R-00443</t>
  </si>
  <si>
    <t>SMRM 2T</t>
  </si>
  <si>
    <t>RN0AA232AKC000909</t>
  </si>
  <si>
    <t>TND-RML-017</t>
  </si>
  <si>
    <t>92R-00353</t>
  </si>
  <si>
    <t>RN0PD230AKC000928</t>
  </si>
  <si>
    <t>TND-RML-020</t>
  </si>
  <si>
    <t>92R-00406</t>
  </si>
  <si>
    <t>RN0AA232AKC000911</t>
  </si>
  <si>
    <t>TND-RML-021</t>
  </si>
  <si>
    <t>92R-00647</t>
  </si>
  <si>
    <t>RN0AA339DJC000778</t>
  </si>
  <si>
    <t>TND-RML-022</t>
  </si>
  <si>
    <t xml:space="preserve">92R-00602
</t>
  </si>
  <si>
    <t>RN0AA339DJC000777</t>
  </si>
  <si>
    <t>TND-RML-023</t>
  </si>
  <si>
    <t>92R-00642</t>
  </si>
  <si>
    <t>RNHR3910AGC063968</t>
  </si>
  <si>
    <t>TND-RML-024</t>
  </si>
  <si>
    <t>92R-00524</t>
  </si>
  <si>
    <t>RN0PD230AKC000973</t>
  </si>
  <si>
    <t>TND-RML-025</t>
  </si>
  <si>
    <t>92R-00503</t>
  </si>
  <si>
    <t>RN0PD230AKC000929</t>
  </si>
  <si>
    <t>TND-RML-026</t>
  </si>
  <si>
    <t>92R-00462</t>
  </si>
  <si>
    <t>24/12/2025</t>
  </si>
  <si>
    <t>RN0PD230AKC000923</t>
  </si>
  <si>
    <t>TND-RML-027</t>
  </si>
  <si>
    <t>92RM-00169</t>
  </si>
  <si>
    <t>23/05/2026</t>
  </si>
  <si>
    <t>MOOC THUÊ NGOÀI XN</t>
  </si>
  <si>
    <t>92R-00565</t>
  </si>
  <si>
    <t>OPT</t>
  </si>
  <si>
    <t>RN0PD339AKC000990</t>
  </si>
  <si>
    <t>92R-00433</t>
  </si>
  <si>
    <t>Hành chính KLH</t>
  </si>
  <si>
    <t>RN0PD230AKC000925</t>
  </si>
  <si>
    <t>VI.</t>
  </si>
  <si>
    <t xml:space="preserve">CÁC BỘ PHẬN KHÁC </t>
  </si>
  <si>
    <t>HCA-RMC-001</t>
  </si>
  <si>
    <t>2x4x0.7m</t>
  </si>
  <si>
    <t>CKD-RMC-001</t>
  </si>
  <si>
    <t>RMHA - 01</t>
  </si>
  <si>
    <t>Rơ mooc RMHA</t>
  </si>
  <si>
    <t>Chở vật tư, máy phát điện</t>
  </si>
  <si>
    <t>CKD-RMC-002</t>
  </si>
  <si>
    <t>RMHA - 02</t>
  </si>
  <si>
    <t>CKD-RMC-003</t>
  </si>
  <si>
    <t>RMHA - 03</t>
  </si>
  <si>
    <t>CKD-RMC-004</t>
  </si>
  <si>
    <t>RMHA - 04</t>
  </si>
  <si>
    <t>CKD-MKC-001</t>
  </si>
  <si>
    <t>A23-MKC-011</t>
  </si>
  <si>
    <t>24/05/2025</t>
  </si>
  <si>
    <t>ĐNA-RMC-002</t>
  </si>
  <si>
    <t>XAD-RMC-018</t>
  </si>
  <si>
    <t>A22-RMC-005</t>
  </si>
  <si>
    <t>Đ.chuyển từ AD2 ngày 05/02/2025</t>
  </si>
  <si>
    <t>ĐNA-RMC-001</t>
  </si>
  <si>
    <t>Ban Điện nước</t>
  </si>
  <si>
    <t>Rơ móc kéo MFĐ, BƠM NƯỚC</t>
  </si>
  <si>
    <t>ĐNA-GĐH-001</t>
  </si>
  <si>
    <t>A22-GĐH-001</t>
  </si>
  <si>
    <t>Gàu định hình đào rãnh bỏ ống nước</t>
  </si>
  <si>
    <t>ĐNA-GĐH-002</t>
  </si>
  <si>
    <t>A22-GĐH-002</t>
  </si>
  <si>
    <t>ĐNA-GĐH-003</t>
  </si>
  <si>
    <t>A23-GĐH-003</t>
  </si>
  <si>
    <t>ĐNA-GĐH-004</t>
  </si>
  <si>
    <t>A23-GĐH-004</t>
  </si>
  <si>
    <t>ĐNA-GĐH-005</t>
  </si>
  <si>
    <t>A23-GĐH-005</t>
  </si>
  <si>
    <t>ĐNA-GĐH-006</t>
  </si>
  <si>
    <t>A23-GĐH-006</t>
  </si>
  <si>
    <t>ĐNA-GĐH-007</t>
  </si>
  <si>
    <t>ĐNA-GĐH-008</t>
  </si>
  <si>
    <t>A23-GĐH-008</t>
  </si>
  <si>
    <t>TDC-CBT-001</t>
  </si>
  <si>
    <t>Máy cắt bê tông ZS1110</t>
  </si>
  <si>
    <t>Cho D.nước KLH MƯỢN 25.09.2024</t>
  </si>
  <si>
    <t>CHANGCHAI</t>
  </si>
  <si>
    <t>ZS1110</t>
  </si>
  <si>
    <t>THIẾT BỊ CHỜ PHÂN BỔ</t>
  </si>
  <si>
    <t>XD2-RMC-001</t>
  </si>
  <si>
    <t>RMC 01-VC KLH</t>
  </si>
  <si>
    <t>15/05/2024</t>
  </si>
  <si>
    <t>XD2-RMB-003</t>
  </si>
  <si>
    <t>RMC 89-VC KLH</t>
  </si>
  <si>
    <t>XD2-RMB-004</t>
  </si>
  <si>
    <t>RMC 98-VC KLH</t>
  </si>
  <si>
    <t>XD3-RMC-004</t>
  </si>
  <si>
    <t>RMC 26 VC-KLH</t>
  </si>
  <si>
    <t>XD3-RMC-001</t>
  </si>
  <si>
    <t>RMC 75-VC KLH</t>
  </si>
  <si>
    <t>XD3-RMC-011</t>
  </si>
  <si>
    <t>RMC 76-VC KLH</t>
  </si>
  <si>
    <t>A23-RMC-011</t>
  </si>
  <si>
    <t>XD2-SPT-001</t>
  </si>
  <si>
    <t>SPT01</t>
  </si>
  <si>
    <t>SK;HS128.DP344</t>
  </si>
  <si>
    <t>XB1-CXL-001</t>
  </si>
  <si>
    <t>Càng xúc lật gắn máy cày (0.68m3)</t>
  </si>
  <si>
    <t>CHỜ PHÂN BỔ</t>
  </si>
  <si>
    <t>XD3-RMB-002</t>
  </si>
  <si>
    <t>RMC 94-VC KLH</t>
  </si>
  <si>
    <t>Thu hồi cải tiến</t>
  </si>
  <si>
    <t>XAD-RMC-017(XA2-RMC-004)</t>
  </si>
  <si>
    <t>XN Chuối AD2</t>
  </si>
  <si>
    <t>XA2-RMC-007</t>
  </si>
  <si>
    <t>XAD-RMC-010</t>
  </si>
  <si>
    <t>A22-RMC-007</t>
  </si>
  <si>
    <t>44 BUỒNG</t>
  </si>
  <si>
    <t>XA2-SPT-001</t>
  </si>
  <si>
    <t>XAD-SPT-002(SPT08)</t>
  </si>
  <si>
    <t>A22-SPT-001</t>
  </si>
  <si>
    <t>HS128-TH313</t>
  </si>
  <si>
    <t>XXA-MCA-006</t>
  </si>
  <si>
    <t>AD2-BAL-004</t>
  </si>
  <si>
    <t>A22-MCA-006</t>
  </si>
  <si>
    <t>Máy cao áp 3.5HP</t>
  </si>
  <si>
    <t>Đã loại biên</t>
  </si>
  <si>
    <t>XXA-MCA-007</t>
  </si>
  <si>
    <t>AD2-BAL-005</t>
  </si>
  <si>
    <t>A22-MCA-007</t>
  </si>
  <si>
    <t>XXA-MCA-008</t>
  </si>
  <si>
    <t>AD2-BAL-006</t>
  </si>
  <si>
    <t>A22-MCA-008</t>
  </si>
  <si>
    <t>XL3-DPC-001</t>
  </si>
  <si>
    <t>A24-DPC-001</t>
  </si>
  <si>
    <t>Thiết bị phay cỏ</t>
  </si>
  <si>
    <t>Kèm trục cardang 750mm</t>
  </si>
  <si>
    <t xml:space="preserve">1.5*1.5*1.1m </t>
  </si>
  <si>
    <t>XD1-RMC-003</t>
  </si>
  <si>
    <t>RMC 07-VC KLH</t>
  </si>
  <si>
    <t>XD1-RMC-004</t>
  </si>
  <si>
    <t>RMC 92-VC KLH</t>
  </si>
  <si>
    <t>CNN-RVO-002</t>
  </si>
  <si>
    <t>XDP-PVO-002</t>
  </si>
  <si>
    <t>A23-RVO-002</t>
  </si>
  <si>
    <t>TB ĐIỀU CHUYỂN ĐI KLH KHÁC</t>
  </si>
  <si>
    <t>XD1-MBC-002</t>
  </si>
  <si>
    <t>XL3-MBC-001</t>
  </si>
  <si>
    <t>-Đ,chuyển từ LP3 24.08.2024
-ĐC KLH SNOUL ngày 11/06/2025</t>
  </si>
  <si>
    <t>2.5x1.8x3.6</t>
  </si>
  <si>
    <t>TB CHỜ PHÂN BỔ VUI LÒNG THÊM TRÊN HÀNG NÀY</t>
  </si>
  <si>
    <t>DANH MỤC XE &amp; MÁY KLH KOUNMOM</t>
  </si>
  <si>
    <t>Tên xe</t>
  </si>
  <si>
    <t>SL xe</t>
  </si>
  <si>
    <t>Động Cơ</t>
  </si>
  <si>
    <t>Số Khung</t>
  </si>
  <si>
    <t xml:space="preserve">Biển số </t>
  </si>
  <si>
    <t>Mã MMTB</t>
  </si>
  <si>
    <t>Năm SX</t>
  </si>
  <si>
    <t>Ngày tiếp nhận sử dụng</t>
  </si>
  <si>
    <t xml:space="preserve">Số Km </t>
  </si>
  <si>
    <t xml:space="preserve"> Giờ Sử Dụng</t>
  </si>
  <si>
    <t>Tình Trạng</t>
  </si>
  <si>
    <t>Tình trạng mua 
(mua mới/ ĐQSD)</t>
  </si>
  <si>
    <t>Đơn Vị Quản lý</t>
  </si>
  <si>
    <t>Mã tài sản</t>
  </si>
  <si>
    <t>Công ty pháp nhân sỡ hữu</t>
  </si>
  <si>
    <t xml:space="preserve">Ghi chú </t>
  </si>
  <si>
    <t xml:space="preserve">Dầu </t>
  </si>
  <si>
    <t>Xăng</t>
  </si>
  <si>
    <t>Điện</t>
  </si>
  <si>
    <t>Công suất</t>
  </si>
  <si>
    <t xml:space="preserve">Định mức nhiên liệu </t>
  </si>
  <si>
    <t>Số Máy</t>
  </si>
  <si>
    <t>Đang HĐ</t>
  </si>
  <si>
    <t>Chờ Sửa</t>
  </si>
  <si>
    <t>Không còn SD</t>
  </si>
  <si>
    <t>Nhân sự quản lý</t>
  </si>
  <si>
    <t>Địa Chỉ
(Nơi tập kết)</t>
  </si>
  <si>
    <t>Số liên lạc  (zalo)</t>
  </si>
  <si>
    <t>A. XE CÔNG TRÌNH</t>
  </si>
  <si>
    <t>MÁY ĐÀO</t>
  </si>
  <si>
    <t>X</t>
  </si>
  <si>
    <t>DP</t>
  </si>
  <si>
    <t>ADM</t>
  </si>
  <si>
    <t>LP</t>
  </si>
  <si>
    <t>CATERPILLAR</t>
  </si>
  <si>
    <t>2906,4</t>
  </si>
  <si>
    <t>B. MÁY CÀY</t>
  </si>
  <si>
    <t>MÁY CÀY BÁNH LỐP</t>
  </si>
  <si>
    <t>5058,3</t>
  </si>
  <si>
    <t>1655,9</t>
  </si>
  <si>
    <t>1458,2</t>
  </si>
  <si>
    <t xml:space="preserve">SHIBAURA                                                                                                                                                                                                 </t>
  </si>
  <si>
    <t>MÁY CÀY BÁNH XÍCH</t>
  </si>
  <si>
    <t>C. XE VẬN CHUYỂN</t>
  </si>
  <si>
    <t>XE TẢI BEN</t>
  </si>
  <si>
    <t xml:space="preserve">THACO FORLAND FD/FC </t>
  </si>
  <si>
    <t>XE TẢI THÙNG</t>
  </si>
  <si>
    <t>XE KIA K200SD</t>
  </si>
  <si>
    <t>XE BA BÁNH</t>
  </si>
  <si>
    <t>D. XE CHUYÊN DỤNG</t>
  </si>
  <si>
    <t>Cơ điện</t>
  </si>
  <si>
    <t>NM NHỰA</t>
  </si>
  <si>
    <t>RÙA BÁNH XÍCH</t>
  </si>
  <si>
    <t>XE CLETHON</t>
  </si>
  <si>
    <t>D. XE HÀNH CHÍNH</t>
  </si>
  <si>
    <t>E. XE &amp; MÁY KHÁC</t>
  </si>
  <si>
    <t>DANH MỤC THIẾT BỊ KLH KOUNMOM</t>
  </si>
  <si>
    <t>Công đoạn</t>
  </si>
  <si>
    <t>Tên Thiết Bị</t>
  </si>
  <si>
    <t>Số lượng
(10/08/2026)</t>
  </si>
  <si>
    <t>Động Cơ (Nếu có)</t>
  </si>
  <si>
    <t>Định mức nhiên liệu theo NSX</t>
  </si>
  <si>
    <t xml:space="preserve">Năng suất </t>
  </si>
  <si>
    <t>Pháp nhân</t>
  </si>
  <si>
    <t xml:space="preserve">Đơn vị </t>
  </si>
  <si>
    <t>Địa Chỉ</t>
  </si>
  <si>
    <t>Số liên lạc (zalo)</t>
  </si>
  <si>
    <t>A. PHỤC VỤ TRỒNG CHUỐI</t>
  </si>
  <si>
    <t xml:space="preserve">I. TB phục vụ làm đất -  trồng mới </t>
  </si>
  <si>
    <t>Rải vôi</t>
  </si>
  <si>
    <t>Cày ngầm</t>
  </si>
  <si>
    <t>Cày úp luống</t>
  </si>
  <si>
    <t>Xới đất</t>
  </si>
  <si>
    <t>Đào rãnh ống tưới</t>
  </si>
  <si>
    <t>Rải phân hữu cơ</t>
  </si>
  <si>
    <t>Trồng mới chuối</t>
  </si>
  <si>
    <t>II. TB phục vụ chăm sóc vườn</t>
  </si>
  <si>
    <t>Phun thuốc dưới tán lá</t>
  </si>
  <si>
    <t>Phun thuốc trên tán lá</t>
  </si>
  <si>
    <t>Cắt cỏ quanh gốc chuối, luống chuối</t>
  </si>
  <si>
    <t>Máy phát cỏ 4 thì</t>
  </si>
  <si>
    <t>Má́y phát cỏ 2 thì</t>
  </si>
  <si>
    <t>1 Ha/8h</t>
  </si>
  <si>
    <t>III. TB phục vụ chăm sóc buồng</t>
  </si>
  <si>
    <t>Chăm sóc buồng</t>
  </si>
  <si>
    <t>Thang nhôm 2m</t>
  </si>
  <si>
    <t>70 buồng/8h</t>
  </si>
  <si>
    <t>Thang nhôm 3.5m</t>
  </si>
  <si>
    <t xml:space="preserve">III. TB phục vụ thu hoạch / vận chuyển </t>
  </si>
  <si>
    <t>Thu hoạch buồng, vận chuyển phụ phẩm, đối lưu vật tư</t>
  </si>
  <si>
    <t xml:space="preserve">Cụm Pulley </t>
  </si>
  <si>
    <t xml:space="preserve"> B. PHỤC VỤ CHĂN NUÔI BÒ </t>
  </si>
  <si>
    <t xml:space="preserve">I. THIẾT BỊ SX TRỒNG TRỌT CỎ  </t>
  </si>
  <si>
    <t>1. TB làm đất trồng mới cỏ</t>
  </si>
  <si>
    <t>Làm đất trồng cỏ</t>
  </si>
  <si>
    <t>2. TB phục vụ chăm sóc cỏ</t>
  </si>
  <si>
    <t>Chăm sóc cỏ</t>
  </si>
  <si>
    <t xml:space="preserve">3. TB phục vụ thu hoạch cỏ </t>
  </si>
  <si>
    <t>Thu hoạch cỏ</t>
  </si>
  <si>
    <t xml:space="preserve">II. THIẾT BỊ VẬN CHUYỂN </t>
  </si>
  <si>
    <t>1. Rơ móc rải thức ăn</t>
  </si>
  <si>
    <t>Rải thức ăn</t>
  </si>
  <si>
    <t xml:space="preserve">2. Rơ móc phân </t>
  </si>
  <si>
    <t>Trung chuyển phân - chất độn chuồng</t>
  </si>
  <si>
    <t>III. THIẾT BỊ KHÁC</t>
  </si>
  <si>
    <t>Máy cưa gỗ STIHL</t>
  </si>
  <si>
    <t>Máy phát cỏ 2 thì</t>
  </si>
  <si>
    <t xml:space="preserve">C. PHỤC VỤ CÂY ĂN TRÁI </t>
  </si>
  <si>
    <t xml:space="preserve">II. TB phục vụ chăm sóc </t>
  </si>
  <si>
    <t>Phun thuốc</t>
  </si>
  <si>
    <t xml:space="preserve">Cắt cỏ </t>
  </si>
  <si>
    <t>Rơ moóc vận chuyển</t>
  </si>
  <si>
    <t xml:space="preserve">E. CÁC BỘ PHẬN KHÁC </t>
  </si>
  <si>
    <t>ĐƠN VỊ</t>
  </si>
  <si>
    <t>HỌ &amp; TÊN</t>
  </si>
  <si>
    <t>SỐ ZALO</t>
  </si>
  <si>
    <t>Thái Cao Lưu</t>
  </si>
  <si>
    <t>0387783316</t>
  </si>
  <si>
    <t>Lô 21 DP1</t>
  </si>
  <si>
    <t>Huỳnh Quang Viên</t>
  </si>
  <si>
    <t>0977623379</t>
  </si>
  <si>
    <t>Lô 15.6 DP2</t>
  </si>
  <si>
    <t>Thạch Ngọc Vững</t>
  </si>
  <si>
    <t>0975905267</t>
  </si>
  <si>
    <t>Lô 28 DP3</t>
  </si>
  <si>
    <t>XN Chuối DP4</t>
  </si>
  <si>
    <t>Nguyễn Ngọc Nhân</t>
  </si>
  <si>
    <t>0979578112</t>
  </si>
  <si>
    <t>Lô 7 LP1</t>
  </si>
  <si>
    <t>XN Chuối LP2</t>
  </si>
  <si>
    <t>Lê Cao Nghị</t>
  </si>
  <si>
    <t>0977423100</t>
  </si>
  <si>
    <t>Lô 2 LP3</t>
  </si>
  <si>
    <t>Trần Văn Nam</t>
  </si>
  <si>
    <t>0971993540</t>
  </si>
  <si>
    <t>Lô 28 XN Bò</t>
  </si>
  <si>
    <t>CGLĐ XN Bò</t>
  </si>
  <si>
    <t>T.Q.Đ Ngọc Hải</t>
  </si>
  <si>
    <t>0344302386</t>
  </si>
  <si>
    <t>Lô 28, 65 XN Bò</t>
  </si>
  <si>
    <t>Nguyễn Tấn Triều</t>
  </si>
  <si>
    <t>05974160290</t>
  </si>
  <si>
    <t>Lô 85 DP4</t>
  </si>
  <si>
    <t>LP3.5-LP3</t>
  </si>
  <si>
    <t>Phạm Ngọc Hải</t>
  </si>
  <si>
    <t>0825456565</t>
  </si>
  <si>
    <t>Đỗ Đức Nghĩa</t>
  </si>
  <si>
    <t>0971462780</t>
  </si>
  <si>
    <t>NOCN L.4-LP3</t>
  </si>
  <si>
    <t>Vũ Trung Kiên</t>
  </si>
  <si>
    <t>0981761677</t>
  </si>
  <si>
    <t>Lô 73 ADM</t>
  </si>
  <si>
    <t>Trạm trộn bê tông</t>
  </si>
  <si>
    <t>Phạm Nhật Thịnh</t>
  </si>
  <si>
    <t>0935178908</t>
  </si>
  <si>
    <t>Trạm trộn DP</t>
  </si>
  <si>
    <t>Hành chính KLH</t>
  </si>
  <si>
    <t>Lê Trần Hoàng Minh</t>
  </si>
  <si>
    <t>0965509539</t>
  </si>
  <si>
    <t>Văn Phòng 94</t>
  </si>
  <si>
    <t>Xoài AD</t>
  </si>
  <si>
    <t>Huỳnh Đông Giang</t>
  </si>
  <si>
    <t>0972283372</t>
  </si>
  <si>
    <t>Lô 132 XN AD</t>
  </si>
  <si>
    <t>Hà Văn Nghĩa</t>
  </si>
  <si>
    <t>0813564564</t>
  </si>
  <si>
    <t>Lô 136 XN Xoài</t>
  </si>
  <si>
    <t>Bưởi AD</t>
  </si>
  <si>
    <t>Ban điện nước</t>
  </si>
  <si>
    <t>Trần Đình Phúc</t>
  </si>
  <si>
    <t>0924518278</t>
  </si>
  <si>
    <t>Kho điện nước</t>
  </si>
  <si>
    <t>Phòng GNVC</t>
  </si>
  <si>
    <t>Lâm Quốc Cường</t>
  </si>
  <si>
    <t>0384653979</t>
  </si>
  <si>
    <t>Tổng kho KLH</t>
  </si>
  <si>
    <t>Võ Thanh Hiếu</t>
  </si>
  <si>
    <t>0884281479</t>
  </si>
  <si>
    <t>Nguyễn Xuân Liêm</t>
  </si>
  <si>
    <t>0762578457</t>
  </si>
  <si>
    <t>NM Nhựa</t>
  </si>
  <si>
    <t>DANH MỤC XE MÁY THU HOẠCH THUỘC KLH</t>
  </si>
  <si>
    <t>Mã tài sản</t>
  </si>
  <si>
    <t>Đơn vị sử dụng</t>
  </si>
  <si>
    <t>Năm sản xuất</t>
  </si>
  <si>
    <t>SỐ KHUNG</t>
  </si>
  <si>
    <t>SỐ MÁY</t>
  </si>
  <si>
    <t>NĂNG SUẤT ĐM THỰC TẾ</t>
  </si>
  <si>
    <t>NĂNG SUẤT ĐM LÝ THUYẾT</t>
  </si>
  <si>
    <t>A</t>
  </si>
  <si>
    <t>DAUNPENH</t>
  </si>
  <si>
    <t>XN DP1</t>
  </si>
  <si>
    <t>XD1-XMA-003</t>
  </si>
  <si>
    <t>Xe máy thu hoạch</t>
  </si>
  <si>
    <t>13/12/23</t>
  </si>
  <si>
    <t>110cc</t>
  </si>
  <si>
    <t>RLHJA3917KY439666</t>
  </si>
  <si>
    <t>JA39E1310566</t>
  </si>
  <si>
    <t>XD1-XMA-004</t>
  </si>
  <si>
    <t>RLHJA3902HY618732</t>
  </si>
  <si>
    <t>JA39E0589870</t>
  </si>
  <si>
    <t>XD1-XMA-005</t>
  </si>
  <si>
    <t>RLHJA3915KY114711</t>
  </si>
  <si>
    <t>JA39E0971106</t>
  </si>
  <si>
    <t>XD1-XMA-006</t>
  </si>
  <si>
    <t>RLHJA3928NY234676</t>
  </si>
  <si>
    <t>JA39E2731736</t>
  </si>
  <si>
    <t>XD1-XMA-007</t>
  </si>
  <si>
    <t>RLHJA3910KY340347</t>
  </si>
  <si>
    <t>JA3951206095</t>
  </si>
  <si>
    <t>XD1-XMA-008</t>
  </si>
  <si>
    <t>XA2-XMA-008</t>
  </si>
  <si>
    <t>TOL-A22-0751</t>
  </si>
  <si>
    <t>15/11/23</t>
  </si>
  <si>
    <t>Đ.chuyen từ XN AD2 ngày 25.02.2025</t>
  </si>
  <si>
    <t>RLHJA390GHY276699</t>
  </si>
  <si>
    <t>JAS9E-0276691</t>
  </si>
  <si>
    <t>XD1-XMA-011</t>
  </si>
  <si>
    <t>XA2-XMA-006</t>
  </si>
  <si>
    <t>TOL-A22-0749</t>
  </si>
  <si>
    <t>Đ.chuyen từ XN AD2 ngày 28.02.2025</t>
  </si>
  <si>
    <t>RLHJA391XLY039134</t>
  </si>
  <si>
    <t>JAS9E-1373865</t>
  </si>
  <si>
    <t>XD1-XMA-015</t>
  </si>
  <si>
    <t>XA2-XMA-015</t>
  </si>
  <si>
    <t>25/05/2024</t>
  </si>
  <si>
    <t>RLHJA39HY-582682</t>
  </si>
  <si>
    <t>JA39E-0557832</t>
  </si>
  <si>
    <t>XN DP2</t>
  </si>
  <si>
    <t>XD2-XMA-003</t>
  </si>
  <si>
    <t>RLA139251023176</t>
  </si>
  <si>
    <t>JA39E-2163180</t>
  </si>
  <si>
    <t>XD2-XMA-005</t>
  </si>
  <si>
    <t>RLHJA13924LY002900</t>
  </si>
  <si>
    <t>JA39E-2002957</t>
  </si>
  <si>
    <t>XD2-XMA-006</t>
  </si>
  <si>
    <t>RLHJA3901HY174923</t>
  </si>
  <si>
    <t>JA39E-'0174954</t>
  </si>
  <si>
    <t>XD2-XMA-009</t>
  </si>
  <si>
    <t>RLHJ3907HY88986</t>
  </si>
  <si>
    <t>JA39E-'0189341</t>
  </si>
  <si>
    <t>XD2-XMA-010</t>
  </si>
  <si>
    <t>RLHJA3924HY22080</t>
  </si>
  <si>
    <t>JA39E-'022080</t>
  </si>
  <si>
    <t>XD2-XMA-011</t>
  </si>
  <si>
    <t>RLHJA3908HY135231</t>
  </si>
  <si>
    <t>JA39E-'013523</t>
  </si>
  <si>
    <t>XD2-XMA-013</t>
  </si>
  <si>
    <t>RLHJA13923HY066928</t>
  </si>
  <si>
    <t>JA39E-2184232</t>
  </si>
  <si>
    <t>XD2-XMA-014</t>
  </si>
  <si>
    <t>RLHJA391XKY3991273</t>
  </si>
  <si>
    <t>JA39E -1259607</t>
  </si>
  <si>
    <t>XN DP3</t>
  </si>
  <si>
    <t>XD3-XMA-001</t>
  </si>
  <si>
    <t>RLHJA3923NY298611</t>
  </si>
  <si>
    <t>JA39E- 2795538</t>
  </si>
  <si>
    <t>XD3-XMA-002</t>
  </si>
  <si>
    <t>RLHJA3913KY391096</t>
  </si>
  <si>
    <t>JA39E- 1259486</t>
  </si>
  <si>
    <t>XD3-XMA-005</t>
  </si>
  <si>
    <t>RLHJA3909HY203553</t>
  </si>
  <si>
    <t>JA39E- 0203613</t>
  </si>
  <si>
    <t>XD3-XMA-006</t>
  </si>
  <si>
    <t>RLHGA3915KY189229</t>
  </si>
  <si>
    <t>JA39E- 1046928</t>
  </si>
  <si>
    <t>XD3-XMA-009</t>
  </si>
  <si>
    <t>RLHJA3923MY182260</t>
  </si>
  <si>
    <t>JA39E- 2300426</t>
  </si>
  <si>
    <t>XD3-XMA-013</t>
  </si>
  <si>
    <t>RLHJA3926NY123625</t>
  </si>
  <si>
    <t>JA39E- 2620533</t>
  </si>
  <si>
    <t>XD3-XMA-016</t>
  </si>
  <si>
    <t>RLHJA3905HY412319</t>
  </si>
  <si>
    <t>JA39E- 0387468</t>
  </si>
  <si>
    <t>XD3-XMA-017</t>
  </si>
  <si>
    <t>XA2-XMA-005</t>
  </si>
  <si>
    <t>TOL-A22-0748</t>
  </si>
  <si>
    <t>21/04/25</t>
  </si>
  <si>
    <t>RLHJA6928MY089626</t>
  </si>
  <si>
    <t>JH69E-2206942</t>
  </si>
  <si>
    <t>B.</t>
  </si>
  <si>
    <t>LUMPHAT</t>
  </si>
  <si>
    <t>LP1</t>
  </si>
  <si>
    <t>XL1-XMA-005</t>
  </si>
  <si>
    <t>LP4-XMA-005</t>
  </si>
  <si>
    <t>RLHJA391XKY384792</t>
  </si>
  <si>
    <t>JA39E1252802</t>
  </si>
  <si>
    <t>XL1-XMA-006</t>
  </si>
  <si>
    <t>LP4-XMA-006</t>
  </si>
  <si>
    <t>RLHJA3909HY071023</t>
  </si>
  <si>
    <t>JA39E0071005</t>
  </si>
  <si>
    <t>XL1-XMA-007</t>
  </si>
  <si>
    <t>LP4 chuyển qua LP1</t>
  </si>
  <si>
    <t>RLHJA392XMY130611</t>
  </si>
  <si>
    <t>JA39E2247937</t>
  </si>
  <si>
    <t>XL1-XMA-008</t>
  </si>
  <si>
    <t>LP4-XMA-013</t>
  </si>
  <si>
    <t>GLHJA39 03HI838879</t>
  </si>
  <si>
    <t>JA39E- 0819006</t>
  </si>
  <si>
    <t>XL1-XMA-009</t>
  </si>
  <si>
    <t>XL1-XMA-004</t>
  </si>
  <si>
    <t>RLHJA3917KY085020</t>
  </si>
  <si>
    <t>JA39E0941401</t>
  </si>
  <si>
    <t>XL1-XMA-010</t>
  </si>
  <si>
    <t>LP4-XMA-011</t>
  </si>
  <si>
    <t>GLHJA39 19LI038864</t>
  </si>
  <si>
    <t>JA39E- 1373550</t>
  </si>
  <si>
    <t>XL1-XMA-011</t>
  </si>
  <si>
    <t>LP4-XMA-014</t>
  </si>
  <si>
    <t>LP4 chuyển qua LP1 16.07.2024</t>
  </si>
  <si>
    <t>GLHJA39 12KI033889</t>
  </si>
  <si>
    <t>JA39E- 0889883</t>
  </si>
  <si>
    <t>XL1-XMA-012</t>
  </si>
  <si>
    <t>XL4-XMA-004</t>
  </si>
  <si>
    <t>RLHJA3915LY021205</t>
  </si>
  <si>
    <t>3A39E1354794</t>
  </si>
  <si>
    <t>XL1-XMA-013</t>
  </si>
  <si>
    <t>XA2-XMA-020</t>
  </si>
  <si>
    <t>XN AD Đchuyen ngày 20.02.2025</t>
  </si>
  <si>
    <t>RLHJA3912KY-132342</t>
  </si>
  <si>
    <t>JA39E-0989374</t>
  </si>
  <si>
    <t>XL1-XMA-014</t>
  </si>
  <si>
    <t>XA2-XMA-021</t>
  </si>
  <si>
    <t>RLHJA3908HY-031953</t>
  </si>
  <si>
    <t>JA39E-0032012</t>
  </si>
  <si>
    <t>XL1-XMA-015</t>
  </si>
  <si>
    <t>XA2-XMA-022</t>
  </si>
  <si>
    <t>RLHJA3913KY-204763</t>
  </si>
  <si>
    <t>JA39E-1062607</t>
  </si>
  <si>
    <t>LP3</t>
  </si>
  <si>
    <t>XL3-XMA-001</t>
  </si>
  <si>
    <t>XL1-XMA-001</t>
  </si>
  <si>
    <t>LP1 GIAO QUA LP3</t>
  </si>
  <si>
    <t>RLHJA3914KY139020</t>
  </si>
  <si>
    <t>JA39E099626</t>
  </si>
  <si>
    <t>XL3-XMA-002</t>
  </si>
  <si>
    <t>RLHJA3929MY402890</t>
  </si>
  <si>
    <t>JA39E2428102</t>
  </si>
  <si>
    <t>XL3-XMA-003</t>
  </si>
  <si>
    <t>RLHJA390XHY264944</t>
  </si>
  <si>
    <t>JAS9E0264795</t>
  </si>
  <si>
    <t>XL3-XMA-004</t>
  </si>
  <si>
    <t>RLHJA391XKY316394</t>
  </si>
  <si>
    <t>JAS9E1180159</t>
  </si>
  <si>
    <t>XL3-XMA-005</t>
  </si>
  <si>
    <t>RLHJA3900HX167090</t>
  </si>
  <si>
    <t>JA39E0167142</t>
  </si>
  <si>
    <t>XL3-XMA-006</t>
  </si>
  <si>
    <t>RLHJA3914KY116255</t>
  </si>
  <si>
    <t>JA39E0972655</t>
  </si>
  <si>
    <t>XL3-XMA-007</t>
  </si>
  <si>
    <t>RLHJA3917KY410040</t>
  </si>
  <si>
    <t>JA39E1279621</t>
  </si>
  <si>
    <t>XL3-XMA-008</t>
  </si>
  <si>
    <t>RLHJA3922MY130361</t>
  </si>
  <si>
    <t>JA39E2247683</t>
  </si>
  <si>
    <t>XL3-XMA-009</t>
  </si>
  <si>
    <t>RLHJA3915LY190446</t>
  </si>
  <si>
    <t>JA39E1528276</t>
  </si>
  <si>
    <t>XL3-XMA-010</t>
  </si>
  <si>
    <t>RLHJA3911LY16899</t>
  </si>
  <si>
    <t>JA39E1506840</t>
  </si>
  <si>
    <t>XL3-XMA-011</t>
  </si>
  <si>
    <t>Nhận bàn giao từ B.HC KLH</t>
  </si>
  <si>
    <t>RLHJA391XKY204081</t>
  </si>
  <si>
    <t>JA39E-1061910</t>
  </si>
  <si>
    <t>XL3-XMA-012</t>
  </si>
  <si>
    <t>RLH3A3905HY477232</t>
  </si>
  <si>
    <t>XL3-XMA-013</t>
  </si>
  <si>
    <t>RLHLUJA3913KY306760</t>
  </si>
  <si>
    <t>XL3-XMA-014</t>
  </si>
  <si>
    <t>RLHJA3913KY291211</t>
  </si>
  <si>
    <t>JA39E-1153196</t>
  </si>
  <si>
    <t>LP4</t>
  </si>
  <si>
    <t>XL4-XMA-001</t>
  </si>
  <si>
    <t>LP4-XMA-009</t>
  </si>
  <si>
    <t>GLHJA39 16LI197793</t>
  </si>
  <si>
    <t>JA39E-1535675</t>
  </si>
  <si>
    <t>XL4-XMA-002</t>
  </si>
  <si>
    <t>LP4-XMA-010</t>
  </si>
  <si>
    <t>GLHJA39 00HI028447</t>
  </si>
  <si>
    <t>JA39E-0028489</t>
  </si>
  <si>
    <t>XL4-XMA-007</t>
  </si>
  <si>
    <t>XL1-XMA-002</t>
  </si>
  <si>
    <t>LP1 GIAO QUA LP4</t>
  </si>
  <si>
    <t>GLHJA39 08HI707513</t>
  </si>
  <si>
    <t>JA39E- 0687658</t>
  </si>
  <si>
    <t>XL4-XMA-008</t>
  </si>
  <si>
    <t>XL1-XMA-003</t>
  </si>
  <si>
    <t>RLHJA3912LY166024</t>
  </si>
  <si>
    <t>JA39E1503930</t>
  </si>
  <si>
    <t>C.</t>
  </si>
  <si>
    <t>ANDONGMEAS</t>
  </si>
  <si>
    <t>XA2-XMA-001</t>
  </si>
  <si>
    <t>AD2-XMA-001</t>
  </si>
  <si>
    <t>TOL-A22-0744</t>
  </si>
  <si>
    <t>Thanh lý</t>
  </si>
  <si>
    <t>RLHHC1204AY200315</t>
  </si>
  <si>
    <t>HC12E-2700316</t>
  </si>
  <si>
    <t>XA2-XMA-002</t>
  </si>
  <si>
    <t>AD2-XMA-002</t>
  </si>
  <si>
    <t>TOL-A22-0745</t>
  </si>
  <si>
    <t>RLHJA3918KYI48402</t>
  </si>
  <si>
    <t>JA39E1005640</t>
  </si>
  <si>
    <t>XA2-XMA-004</t>
  </si>
  <si>
    <t>AD2-XMA-004</t>
  </si>
  <si>
    <t>TOL-A22-0747</t>
  </si>
  <si>
    <t>RLHJC43119Y635265</t>
  </si>
  <si>
    <t>JC43E-0612013</t>
  </si>
  <si>
    <t>XA2-XMA-012</t>
  </si>
  <si>
    <t>TOL-A22-0752</t>
  </si>
  <si>
    <t>28/11/23</t>
  </si>
  <si>
    <t>RLHJA3907HY030321</t>
  </si>
  <si>
    <t>JA39E-0030568</t>
  </si>
  <si>
    <t>XA2-XMA-014</t>
  </si>
  <si>
    <t>RLHJA3904HY069180</t>
  </si>
  <si>
    <t>JA39E-0069213</t>
  </si>
  <si>
    <t>XA2-XMA-016</t>
  </si>
  <si>
    <t>TRẮNG</t>
  </si>
  <si>
    <t>RLHJA3906HY-751817</t>
  </si>
  <si>
    <t>JA39E-0731967</t>
  </si>
  <si>
    <t>XA2-XMA-019</t>
  </si>
  <si>
    <t>ĐỎ</t>
  </si>
  <si>
    <t>RLHJA3900HY-490331</t>
  </si>
  <si>
    <t>JA39E-0465461</t>
  </si>
  <si>
    <t>XN BÒ</t>
  </si>
  <si>
    <t>XB1-XMA-001</t>
  </si>
  <si>
    <t>XA2-XMA-018</t>
  </si>
  <si>
    <t>Đchuyen từ XN AD ngày 03/03/2025</t>
  </si>
  <si>
    <t>RLHJA3905HY-353370</t>
  </si>
  <si>
    <t>JA39E-0353405</t>
  </si>
  <si>
    <t>NM CƠ KHÍ</t>
  </si>
  <si>
    <t>XA2-XMA-011</t>
  </si>
  <si>
    <t>TOL-A22-0753</t>
  </si>
  <si>
    <t>XN AD2 đchuyen NMCK ngày 07/03/2025</t>
  </si>
  <si>
    <t>RLHJA3915KY170258</t>
  </si>
  <si>
    <t>JA39E-1027928</t>
  </si>
  <si>
    <t>XA2-XMA-013</t>
  </si>
  <si>
    <t>RLHJA3929MY087704</t>
  </si>
  <si>
    <t>JA39E-2205040</t>
  </si>
  <si>
    <t>XE MÁY LOẠI BIÊN</t>
  </si>
  <si>
    <t>XD1-XMA-001</t>
  </si>
  <si>
    <t>XDP-XMA-001</t>
  </si>
  <si>
    <t>Loại biên ngày 11.03.2025</t>
  </si>
  <si>
    <t>RLHJA3900HY033079</t>
  </si>
  <si>
    <t>JA39E-0033093</t>
  </si>
  <si>
    <t>XD1-XMA-002</t>
  </si>
  <si>
    <t>XDP-XMA-002</t>
  </si>
  <si>
    <t>REHHC121XDY137597</t>
  </si>
  <si>
    <t>HC12E-6187662</t>
  </si>
  <si>
    <t>XD1-XMA-009</t>
  </si>
  <si>
    <t>XA2-XMA-007</t>
  </si>
  <si>
    <t>TOL-A22-0750</t>
  </si>
  <si>
    <t>RLHJA391GLY082756</t>
  </si>
  <si>
    <t>JAG9E-1419680</t>
  </si>
  <si>
    <t>XD1-XMA-010</t>
  </si>
  <si>
    <t>XA2-XMA-010</t>
  </si>
  <si>
    <t>RLHJA3901HY299937</t>
  </si>
  <si>
    <t>JA39E-0299960</t>
  </si>
  <si>
    <t>XD1-XMA-012</t>
  </si>
  <si>
    <t>XA2-XMA-009</t>
  </si>
  <si>
    <t>RLHJA3918LY123162</t>
  </si>
  <si>
    <t>JA39E-1461012</t>
  </si>
  <si>
    <t>XD1-XMA-013</t>
  </si>
  <si>
    <t>XA2-XMA-003</t>
  </si>
  <si>
    <t>TOL-A22-0746</t>
  </si>
  <si>
    <t>RLHJA3906HY524672</t>
  </si>
  <si>
    <t>JA39E0509834</t>
  </si>
  <si>
    <t>XD2-XMA-001</t>
  </si>
  <si>
    <t>RLHJA3915KY199579</t>
  </si>
  <si>
    <t>JA39E-1057287</t>
  </si>
  <si>
    <t>XD2-XMA-002</t>
  </si>
  <si>
    <t>RLHJA3526M726524</t>
  </si>
  <si>
    <t>JA39E-8243855</t>
  </si>
  <si>
    <t>XD2-XMA-007</t>
  </si>
  <si>
    <t>RLHJA3907HY285508</t>
  </si>
  <si>
    <t>JA39E-'0285560</t>
  </si>
  <si>
    <t>XD2-XMA-008</t>
  </si>
  <si>
    <t>RLHJA3901HY756228</t>
  </si>
  <si>
    <t>JA39E-'0736387</t>
  </si>
  <si>
    <t>XD2-XMA-004</t>
  </si>
  <si>
    <t>RLHJA3916LY025909</t>
  </si>
  <si>
    <t>JA39E-1360043</t>
  </si>
  <si>
    <t>XD2-XMA-012</t>
  </si>
  <si>
    <t>RLHJA3954HY09815</t>
  </si>
  <si>
    <t>JA39E-'000804</t>
  </si>
  <si>
    <t>XD3-XMA-003</t>
  </si>
  <si>
    <t>RLHJA3925MY105258</t>
  </si>
  <si>
    <t>JA39E- 2222553</t>
  </si>
  <si>
    <t>XD3-XMA-004</t>
  </si>
  <si>
    <t>RLHJA3900HY622634</t>
  </si>
  <si>
    <t>JA39E- 0597757</t>
  </si>
  <si>
    <t>XD3-XMA-007</t>
  </si>
  <si>
    <t>RLHJA3907HY729888</t>
  </si>
  <si>
    <t>JA39E- 0710044</t>
  </si>
  <si>
    <t>XD3-XMA-008</t>
  </si>
  <si>
    <t>RLHJA3918KY151008</t>
  </si>
  <si>
    <t>JA39E- 1008288</t>
  </si>
  <si>
    <t>XD3-XMA-010</t>
  </si>
  <si>
    <t>RLHJA3921MY025097</t>
  </si>
  <si>
    <t>JA39E- 2140082</t>
  </si>
  <si>
    <t>XD3-XMA-011</t>
  </si>
  <si>
    <t>RLHJA3927MY142893</t>
  </si>
  <si>
    <t>JA39E- 2260197</t>
  </si>
  <si>
    <t>XD3-XMA-012</t>
  </si>
  <si>
    <t>RLHJA3900HY612315</t>
  </si>
  <si>
    <t>JA39E- 0587469</t>
  </si>
  <si>
    <t>XD3-XMA-014</t>
  </si>
  <si>
    <t>RLHJA3906HY161018</t>
  </si>
  <si>
    <t>JA39E- 0160916</t>
  </si>
  <si>
    <t>XD3-XMA-015</t>
  </si>
  <si>
    <t>RLHJA3924LY046265</t>
  </si>
  <si>
    <t>JA39E- 2049217</t>
  </si>
  <si>
    <t>TỔNG KLH</t>
  </si>
  <si>
    <t>DANH MỤC NHÓM THIẾT BỊ THUỘC KHU LIÊN HỢP</t>
  </si>
  <si>
    <t>Loại MMTB</t>
  </si>
  <si>
    <t>NHÓM THIẾT BỊ ĐTXD</t>
  </si>
  <si>
    <t>Giàn cày ngầm</t>
  </si>
  <si>
    <t>Giàn cày ngầm 3 trụ</t>
  </si>
  <si>
    <t>Búa đục</t>
  </si>
  <si>
    <t>Cần máy đào</t>
  </si>
  <si>
    <t>Đầm Taluy</t>
  </si>
  <si>
    <t>Gàu định hình</t>
  </si>
  <si>
    <t>TB khác</t>
  </si>
  <si>
    <t>NHÓM TB SXTT &amp; CHĂN NUÔI</t>
  </si>
  <si>
    <t>TB cày 3 chảo</t>
  </si>
  <si>
    <t>TB cày 4 chảo</t>
  </si>
  <si>
    <t>TB bừa 7-8-9 chảo</t>
  </si>
  <si>
    <t>TB bừa 24 chảo</t>
  </si>
  <si>
    <t>TB bừa 30-32-36 chảo</t>
  </si>
  <si>
    <t>TB xới đất</t>
  </si>
  <si>
    <t>TB phun vôi</t>
  </si>
  <si>
    <t>Dàn tạo rảnh</t>
  </si>
  <si>
    <t>Dàn rải-xới phân-bón phân</t>
  </si>
  <si>
    <t xml:space="preserve">Bộ bánh lồng </t>
  </si>
  <si>
    <t>Giàn vét mương</t>
  </si>
  <si>
    <t>TB lên luống trồng</t>
  </si>
  <si>
    <t>Rạch luống trồng</t>
  </si>
  <si>
    <t>TB trồng cỏ-bắp</t>
  </si>
  <si>
    <t>TB khai hoang</t>
  </si>
  <si>
    <t>TB khoan lỗ-trụ</t>
  </si>
  <si>
    <t>TB cày ngầm</t>
  </si>
  <si>
    <t>TB gom gốc</t>
  </si>
  <si>
    <t>XB1-GCC-001</t>
  </si>
  <si>
    <t>TB cắt cỏ-phay-xới cỏ</t>
  </si>
  <si>
    <t>Rơ móc thu hoạch</t>
  </si>
  <si>
    <t>Rơ móc thùng ben</t>
  </si>
  <si>
    <t>Rơ móc rải phân</t>
  </si>
  <si>
    <t>Rơ móc lưới</t>
  </si>
  <si>
    <t>Rơ móc lưới ben</t>
  </si>
  <si>
    <t>Rơ móc thùng</t>
  </si>
  <si>
    <t>Rơ móc kéo - vận chuyển</t>
  </si>
  <si>
    <t>XD3-RMK-001</t>
  </si>
  <si>
    <t>Rơ móc xe máy</t>
  </si>
  <si>
    <t>Máy kéo chuối RR</t>
  </si>
  <si>
    <t>Máy cao áp</t>
  </si>
  <si>
    <t>Máy nổ</t>
  </si>
  <si>
    <t>Máy phun thuốc trên RR</t>
  </si>
  <si>
    <t>Máy cuộn cỏ</t>
  </si>
  <si>
    <t>Súng phun thuốc</t>
  </si>
  <si>
    <t>TB thu hoạch cỏ</t>
  </si>
  <si>
    <t>TB đóng bánh cỏ khô</t>
  </si>
  <si>
    <t xml:space="preserve">TB nghiền băm gỗ </t>
  </si>
  <si>
    <t>Máy - Cối trộn thức ăn</t>
  </si>
  <si>
    <t>Máy tời xe máy</t>
  </si>
  <si>
    <t>TB chuyên dụng XNB</t>
  </si>
  <si>
    <t>XB1-TCB-001</t>
  </si>
  <si>
    <t>XB1-TCB-002</t>
  </si>
  <si>
    <t>XB1-CTB-001</t>
  </si>
  <si>
    <t>XB1-GTĐ-001</t>
  </si>
  <si>
    <t>CNN-TLU-001</t>
  </si>
  <si>
    <t>SMRM GNVC</t>
  </si>
  <si>
    <t>SMRM THUÊ NGOÀI XN</t>
  </si>
  <si>
    <t>Tình trạng 
Hỏng: 123/541</t>
  </si>
  <si>
    <t>Kích thước</t>
  </si>
  <si>
    <t>M.Đào bánh xích gàu 1.2m3</t>
  </si>
  <si>
    <t>LQ16-10073</t>
  </si>
  <si>
    <t>M.Đào bánh xích gàu 0.9m3</t>
  </si>
  <si>
    <t>M.Đào bánh xích gàu 0.7m3</t>
  </si>
  <si>
    <t>M.Đào bánh xích gàu 0.5m3</t>
  </si>
  <si>
    <t>M.Ủi D3</t>
  </si>
  <si>
    <t>M.Ủi D6</t>
  </si>
  <si>
    <t>Đầu tư mới ĐQSD (Tài sản DP)
- Bàn giao về CGTC ADM theo TTr số 04-T05/2025/B.XDCB</t>
  </si>
  <si>
    <t>190 HP</t>
  </si>
  <si>
    <t>380 HP</t>
  </si>
  <si>
    <t>- Chuyển ra CGTC AD mượn
Đầu tư mới</t>
  </si>
  <si>
    <t>ETX D300</t>
  </si>
  <si>
    <t>A23-MĐA-013</t>
  </si>
  <si>
    <t>M.Đào 0.3</t>
  </si>
  <si>
    <t>Bàn giao về XDCB (DP3) ngày 29/07/2024</t>
  </si>
  <si>
    <t>A23-MĐA-014</t>
  </si>
  <si>
    <t>Bàn giao về XDCB (DP2) ngày 26/07/2024</t>
  </si>
  <si>
    <t>A23-MĐA-015</t>
  </si>
  <si>
    <t>Bàn giao về XDCB (DP1) ngày 29/07/2024</t>
  </si>
  <si>
    <t>Bàn giao về XDCB ngày 01/11/2024</t>
  </si>
  <si>
    <t>A23-MĐA-047</t>
  </si>
  <si>
    <t>A23-MĐA-048</t>
  </si>
  <si>
    <t>A23-XLU-008</t>
  </si>
  <si>
    <t>M.Đào bánh lốp gàu 0.7m3</t>
  </si>
  <si>
    <t>M.Đào bánh lốp gàu 0.8m3</t>
  </si>
  <si>
    <t>M.Đào bánh xích gàu 0.8m3</t>
  </si>
  <si>
    <t>76 HP</t>
  </si>
  <si>
    <t>FD120-4WD FD12B33F130</t>
  </si>
  <si>
    <t>A24-XTA-010</t>
  </si>
  <si>
    <t>XT 16 HT-KLH</t>
  </si>
  <si>
    <t>- Chuyển ra CGTC AD
Đầu tư mới</t>
  </si>
  <si>
    <t>M.Đào bánh lốp gàu 0.5m3</t>
  </si>
  <si>
    <t>A24-XLU-005</t>
  </si>
  <si>
    <t>A24-MĐA-049</t>
  </si>
  <si>
    <t>Bàn giao về XDCB LP ngày 01/07/2024</t>
  </si>
  <si>
    <t>A24-MĐA-013</t>
  </si>
  <si>
    <t>A24-MĐA-014</t>
  </si>
  <si>
    <t>Bàn giao về XDCB ngày 29/07/2024</t>
  </si>
  <si>
    <t>A24-MĐA-012</t>
  </si>
  <si>
    <t>145 HP</t>
  </si>
  <si>
    <t>28 HP</t>
  </si>
  <si>
    <t>39 Hp</t>
  </si>
  <si>
    <t>78 Hp</t>
  </si>
  <si>
    <t xml:space="preserve">A22-MĐA-053
</t>
  </si>
  <si>
    <t>ĐỀ XUÁT THANH LÝ
XNB đ.chuyển qua ngày 25/06/2024</t>
  </si>
  <si>
    <t>ĐỀ XUẤT THANH LÝ
XN AD2 đ.chuyển qua ngày 25/06/2024</t>
  </si>
  <si>
    <t>A22-MĐA-061</t>
  </si>
  <si>
    <t>ĐỀ XUẤT THANH LÝ
XN AD2 đ.chuyển qua ngày 08/08/2024</t>
  </si>
  <si>
    <t>Đầu tư mới (Tài sản DP)
- Bàn giao về CGTC ADM theo TTr số 04-T05/2025/B.XDCB</t>
  </si>
  <si>
    <t>XDP-MKE-003(MK82NNKLH)</t>
  </si>
  <si>
    <t>M.Cày 45-60HP</t>
  </si>
  <si>
    <t>A23-MKE-005</t>
  </si>
  <si>
    <t>M.Cày 95-120HP</t>
  </si>
  <si>
    <t>A23-MKE-006</t>
  </si>
  <si>
    <t>A23-MKE-007</t>
  </si>
  <si>
    <t>A23-MKE-008</t>
  </si>
  <si>
    <t>M.Cày 80-90HP</t>
  </si>
  <si>
    <t>A23-MKE-009</t>
  </si>
  <si>
    <t>M.Cày 145-155HP</t>
  </si>
  <si>
    <t>M.Cày &gt;170HP</t>
  </si>
  <si>
    <t>170 HP</t>
  </si>
  <si>
    <t>CGLĐ AD</t>
  </si>
  <si>
    <t>A23-MKE-012</t>
  </si>
  <si>
    <t>A23-MKE-013</t>
  </si>
  <si>
    <t>A23-MKE-014</t>
  </si>
  <si>
    <t>A23-XPT-001</t>
  </si>
  <si>
    <t>Xe tải Faw 15T (PT)</t>
  </si>
  <si>
    <t>A23-XTA-008</t>
  </si>
  <si>
    <t>X.Kozun</t>
  </si>
  <si>
    <t>A23-XTA-009</t>
  </si>
  <si>
    <t>X.Ben FD990</t>
  </si>
  <si>
    <t>FD990-4WD</t>
  </si>
  <si>
    <t>A23-CCM-001</t>
  </si>
  <si>
    <t>Bàn giao về XN DP1 ngày 30/07/2024</t>
  </si>
  <si>
    <t>A23-MKE-016</t>
  </si>
  <si>
    <t>A23-MKE-017</t>
  </si>
  <si>
    <t>A23-MKE-019</t>
  </si>
  <si>
    <t>A23-MKE-020</t>
  </si>
  <si>
    <t>A23-XPT-002</t>
  </si>
  <si>
    <t>A23-XTA-019</t>
  </si>
  <si>
    <t xml:space="preserve">Bàn giao về XDCB Ngày 30.07.2024 
</t>
  </si>
  <si>
    <t>A23-XTA-020</t>
  </si>
  <si>
    <t>Xe nâng điện Lovol 2.5 tấn</t>
  </si>
  <si>
    <t>A23-MKE-023</t>
  </si>
  <si>
    <t>A23-MKE-024</t>
  </si>
  <si>
    <t>A23-MKE-025</t>
  </si>
  <si>
    <t>A23-MKE-026</t>
  </si>
  <si>
    <t>A23-MKE-027</t>
  </si>
  <si>
    <t>A23-MKE-028</t>
  </si>
  <si>
    <t>A23-MKE-029</t>
  </si>
  <si>
    <t>A23-XPT-003</t>
  </si>
  <si>
    <t>Xe ben FC950 (PT)</t>
  </si>
  <si>
    <t>2008-7</t>
  </si>
  <si>
    <t>Xe nâng điện Lovol 1.5 tấn</t>
  </si>
  <si>
    <t>A23-XTA-021</t>
  </si>
  <si>
    <t>A23-XTA-022</t>
  </si>
  <si>
    <t>A24-XTA-007</t>
  </si>
  <si>
    <t>A24-MKE-010</t>
  </si>
  <si>
    <t>A24-MKE-018</t>
  </si>
  <si>
    <t>A24-MKE-019</t>
  </si>
  <si>
    <t>A24-MKE-020</t>
  </si>
  <si>
    <t>M.Cày &lt;45HP</t>
  </si>
  <si>
    <t>A24-MKE-017</t>
  </si>
  <si>
    <t>A24-XTA-019</t>
  </si>
  <si>
    <t>CG195F</t>
  </si>
  <si>
    <t>10 HP</t>
  </si>
  <si>
    <t>A24-MKE-011</t>
  </si>
  <si>
    <t>A24-MKE-012</t>
  </si>
  <si>
    <t>A24-MKE-013</t>
  </si>
  <si>
    <t>A24-MKE-014</t>
  </si>
  <si>
    <t>A24-MKE-015</t>
  </si>
  <si>
    <t>A24-MKE-016</t>
  </si>
  <si>
    <t>A24-XLT-001</t>
  </si>
  <si>
    <t>ATT-A24-0055</t>
  </si>
  <si>
    <t>E75-6HY0880</t>
  </si>
  <si>
    <t>A24-XTA-008</t>
  </si>
  <si>
    <t>A24-XTA-018</t>
  </si>
  <si>
    <t>A24-XPT-001</t>
  </si>
  <si>
    <t>A24-XNA-001</t>
  </si>
  <si>
    <t>2007/2</t>
  </si>
  <si>
    <t>X.Rùa bánh xích</t>
  </si>
  <si>
    <t>67 HP</t>
  </si>
  <si>
    <t>A23-MKE-030</t>
  </si>
  <si>
    <t>A23-MKE-031</t>
  </si>
  <si>
    <t>CNN-MKE-002 (MK84NNKLH)</t>
  </si>
  <si>
    <t>CGLĐ DP ĐCHUYEN QUA NGÀY 13.01.2026</t>
  </si>
  <si>
    <t>A22-MKE-001</t>
  </si>
  <si>
    <t>A22-MKE-002</t>
  </si>
  <si>
    <t>A22-MKE-003</t>
  </si>
  <si>
    <t>A22-MKE-005</t>
  </si>
  <si>
    <t>MK 02-VC KLH(XD2-MKE-004)</t>
  </si>
  <si>
    <t>XN DP2 điều chuyển qua ngày 12/02/2025</t>
  </si>
  <si>
    <t>MK40VC-KLH</t>
  </si>
  <si>
    <t>A22-MKE-009</t>
  </si>
  <si>
    <t>A22-MKE-010</t>
  </si>
  <si>
    <t>A22-MKE-011</t>
  </si>
  <si>
    <t>A22-MKE-015</t>
  </si>
  <si>
    <t>A22-MKE-016</t>
  </si>
  <si>
    <t>MK33-VCKLH</t>
  </si>
  <si>
    <t>A22-MKE-018</t>
  </si>
  <si>
    <t>A22-MKE-020</t>
  </si>
  <si>
    <t>M.Cày bánh xích</t>
  </si>
  <si>
    <t>XAD-MKE-017(MK43VCKLH)</t>
  </si>
  <si>
    <t>A22-MKE-021</t>
  </si>
  <si>
    <t>A22-MKE-022</t>
  </si>
  <si>
    <t>A22-MKE-051</t>
  </si>
  <si>
    <t>A22-MKE-052</t>
  </si>
  <si>
    <t>A22-MKE-053</t>
  </si>
  <si>
    <t>A22-MKE-054</t>
  </si>
  <si>
    <t>A22-MKE-055</t>
  </si>
  <si>
    <t>90 HP</t>
  </si>
  <si>
    <t>A22-MKE-056</t>
  </si>
  <si>
    <t>Hoán đổi xe với CGLĐ LP ngày 06.02.2025</t>
  </si>
  <si>
    <t>95 HP</t>
  </si>
  <si>
    <t>120 HP</t>
  </si>
  <si>
    <t>102 Hp</t>
  </si>
  <si>
    <t>200 Hp</t>
  </si>
  <si>
    <t>A22-XXL-002</t>
  </si>
  <si>
    <t>A22-XXL-004</t>
  </si>
  <si>
    <t>V3307T8JL1568</t>
  </si>
  <si>
    <t>115 HP</t>
  </si>
  <si>
    <t>VOLVO</t>
  </si>
  <si>
    <t>A22-XXL-008</t>
  </si>
  <si>
    <t>142,7 Hp</t>
  </si>
  <si>
    <t>A22-XCC-001</t>
  </si>
  <si>
    <t>A22-XRA-005</t>
  </si>
  <si>
    <t>RNHF16FYANT065198</t>
  </si>
  <si>
    <t>129 HP</t>
  </si>
  <si>
    <t>X.Tải thùng</t>
  </si>
  <si>
    <t>Điều chuyển từ GNVC KLH 08/07/2024</t>
  </si>
  <si>
    <t>295 HP</t>
  </si>
  <si>
    <t>A22-XPT-004</t>
  </si>
  <si>
    <t>Dự án dứa chuyển qua XNB</t>
  </si>
  <si>
    <t>A23-XTA-013</t>
  </si>
  <si>
    <t>81C-07982</t>
  </si>
  <si>
    <t>A22-XTA-010</t>
  </si>
  <si>
    <t>A22-XTA-011</t>
  </si>
  <si>
    <t>THACO FOTON</t>
  </si>
  <si>
    <t>CGTC DP điều chuyển qua ngày 06.12.2025
Cải tạo thành xe cấp dầu
Bồn nhiên liệu 16.000L: A23-BNL-001
Máy phát điện 3kw: CVC-MFĐ-001</t>
  </si>
  <si>
    <t>A22-BUS-001</t>
  </si>
  <si>
    <t>A22-BUS-002</t>
  </si>
  <si>
    <t>A23-COT-001</t>
  </si>
  <si>
    <t>A23-COT-002</t>
  </si>
  <si>
    <t>A23-COT-003</t>
  </si>
  <si>
    <t>A23-COT-004</t>
  </si>
  <si>
    <t>A23-COT-005</t>
  </si>
  <si>
    <t>A23-COT-006</t>
  </si>
  <si>
    <t>A22-MKE-028</t>
  </si>
  <si>
    <t>A22-XLO-001</t>
  </si>
  <si>
    <t>A22-XLO-002</t>
  </si>
  <si>
    <t>A22-XLO-003</t>
  </si>
  <si>
    <t>A23-MKE-032</t>
  </si>
  <si>
    <t>A23-MKE-033</t>
  </si>
  <si>
    <t>A22-MKE-031</t>
  </si>
  <si>
    <t>X. THACO ID ME (BAN SXCN)</t>
  </si>
  <si>
    <t>A22-XCA-004</t>
  </si>
  <si>
    <t>A22-XCA-002</t>
  </si>
  <si>
    <t>-Đ.chuyển từ CGTC AD -29/07/2024</t>
  </si>
  <si>
    <t>A22-XCA-006</t>
  </si>
  <si>
    <t>tài sản ME</t>
  </si>
  <si>
    <t>21615E037691</t>
  </si>
  <si>
    <t>A22-XNA-002</t>
  </si>
  <si>
    <t>A22-MKE-029</t>
  </si>
  <si>
    <t>A22-MKE-030</t>
  </si>
  <si>
    <t>A22-MKE-032</t>
  </si>
  <si>
    <t>A22-XNA-001</t>
  </si>
  <si>
    <t>A22-XLO-007</t>
  </si>
  <si>
    <t>A22-XLO-008</t>
  </si>
  <si>
    <t>A22-XLO-009</t>
  </si>
  <si>
    <t>A23-XTA-007</t>
  </si>
  <si>
    <t>Xe ben FD850 (cấp nước sạch bồn 5000L)</t>
  </si>
  <si>
    <t>Từ CGTC DP qua</t>
  </si>
  <si>
    <t>LC008847</t>
  </si>
  <si>
    <t>CCHT- KHL - 009</t>
  </si>
  <si>
    <t>A22-XLO-004</t>
  </si>
  <si>
    <t>A22-XLO-005</t>
  </si>
  <si>
    <t>XIII. BAN CG-CK</t>
  </si>
  <si>
    <t>A22-XMA-001</t>
  </si>
  <si>
    <t>A22-XMA-002</t>
  </si>
  <si>
    <t>A22-XMA-003</t>
  </si>
  <si>
    <t>A22-LBR-001</t>
  </si>
  <si>
    <t>Xe Libero</t>
  </si>
  <si>
    <t>A22-LBR-002</t>
  </si>
  <si>
    <t>Xe máy</t>
  </si>
  <si>
    <t>XÍ NGHIỆP BÒ</t>
  </si>
  <si>
    <t>XB1-MPC-027</t>
  </si>
  <si>
    <t>XB1-MPC-028</t>
  </si>
  <si>
    <t>XB1-MPC-029</t>
  </si>
  <si>
    <t>XB1-MPC-030</t>
  </si>
  <si>
    <t>XB1-MPC-032</t>
  </si>
  <si>
    <t>XB1-MPC-033</t>
  </si>
  <si>
    <t>XB1-MPC-035</t>
  </si>
  <si>
    <t>XB1-MPC-036</t>
  </si>
  <si>
    <t>XB1-MPC-037</t>
  </si>
  <si>
    <t>XB1-MPC-038</t>
  </si>
  <si>
    <t>XB1-MPC-039</t>
  </si>
  <si>
    <t>XB1-MPC-040</t>
  </si>
  <si>
    <t>XB1-MPC-041</t>
  </si>
  <si>
    <t>XB1-MPC-042</t>
  </si>
  <si>
    <t>XB1-MPC-043</t>
  </si>
  <si>
    <t>XB1-MPC-044</t>
  </si>
  <si>
    <t>XB1-MPC-045</t>
  </si>
  <si>
    <t>XB1-MPC-046</t>
  </si>
  <si>
    <t>XB1-MPC-047</t>
  </si>
  <si>
    <t>XB1-MPC-048</t>
  </si>
  <si>
    <t>XB1-MPC-049</t>
  </si>
  <si>
    <t>XB1-MPC-050</t>
  </si>
  <si>
    <t>XB1-MPC-051</t>
  </si>
  <si>
    <t>XB1-MPC-052</t>
  </si>
  <si>
    <t>XB1-MPC-053</t>
  </si>
  <si>
    <t>XB1-MPC-054</t>
  </si>
  <si>
    <t>XB1-MPC-055</t>
  </si>
  <si>
    <t>XB1-MPC-056</t>
  </si>
  <si>
    <t>XB1-MPC-057</t>
  </si>
  <si>
    <t>XB1-MPC-058</t>
  </si>
  <si>
    <t>XB1-MPC-059</t>
  </si>
  <si>
    <t>XB1-MPC-060</t>
  </si>
  <si>
    <t>XB1-MPC-061</t>
  </si>
  <si>
    <t>XB1-MPC-062</t>
  </si>
  <si>
    <t>XB1-MPC-063</t>
  </si>
  <si>
    <t>XB1-MPC-064</t>
  </si>
  <si>
    <t>XB1-MPC-065</t>
  </si>
  <si>
    <t>XB1-MPC-066</t>
  </si>
  <si>
    <t>XB1-MPC-067</t>
  </si>
  <si>
    <t>XB1-MPC-068</t>
  </si>
  <si>
    <t>XB1-MPC-069</t>
  </si>
  <si>
    <t>XB1-MPC-070</t>
  </si>
  <si>
    <t>XB1-MPC-071</t>
  </si>
  <si>
    <t>XB1-MPC-072</t>
  </si>
  <si>
    <t>XB1-MPC-073</t>
  </si>
  <si>
    <t>XB1-MPC-074</t>
  </si>
  <si>
    <t>XB1-MPC-075</t>
  </si>
  <si>
    <t>XB1-MPC-076</t>
  </si>
  <si>
    <t>XB1-MPC-077</t>
  </si>
  <si>
    <t>XB1-MPC-078</t>
  </si>
  <si>
    <t>XB1-MPC-079</t>
  </si>
  <si>
    <t>XB1-MPC-080</t>
  </si>
  <si>
    <t>XB1-MPC-081</t>
  </si>
  <si>
    <t>XB1-MPC-082</t>
  </si>
  <si>
    <t>XB1-MPC-083</t>
  </si>
  <si>
    <t>XB1-MPC-084</t>
  </si>
  <si>
    <t>XB1-MPC-085</t>
  </si>
  <si>
    <t>XB1-MPC-086</t>
  </si>
  <si>
    <t>XB1-MPC-087</t>
  </si>
  <si>
    <t>XB1-MPC-088</t>
  </si>
  <si>
    <t>XB1-MPC-089</t>
  </si>
  <si>
    <t>XB1-MPC-090</t>
  </si>
  <si>
    <t>XB1-MPC-091</t>
  </si>
  <si>
    <t>XB1-MPC-092</t>
  </si>
  <si>
    <t>XB1-MPC-093</t>
  </si>
  <si>
    <t>XB1-MPC-094</t>
  </si>
  <si>
    <t>XB1-MPC-095</t>
  </si>
  <si>
    <t>XB1-MPC-096</t>
  </si>
  <si>
    <t>XB1-MPC-097</t>
  </si>
  <si>
    <t>XB1-MPC-098</t>
  </si>
  <si>
    <t>XB1-MPC-099</t>
  </si>
  <si>
    <t>XB1-MPC-100</t>
  </si>
  <si>
    <t>XB1-MPC-101</t>
  </si>
  <si>
    <t>XB1-MPC-102</t>
  </si>
  <si>
    <t>XB1-MPC-103</t>
  </si>
  <si>
    <t>XB1-MPC-104</t>
  </si>
  <si>
    <t>XB1-MPC-105</t>
  </si>
  <si>
    <t>XB1-MPC-106</t>
  </si>
  <si>
    <t>XB1-MPC-107</t>
  </si>
  <si>
    <t>XB1-MPC-108</t>
  </si>
  <si>
    <t>XB1-MPC-109</t>
  </si>
  <si>
    <t>XB1-MPC-110</t>
  </si>
  <si>
    <t>XB1-MPC-111</t>
  </si>
  <si>
    <t>XB1-MPC-112</t>
  </si>
  <si>
    <t>XB1-MPC-113</t>
  </si>
  <si>
    <t>XB1-MPC-114</t>
  </si>
  <si>
    <t>XB1-MPC-115</t>
  </si>
  <si>
    <t>XB1-MPC-116</t>
  </si>
  <si>
    <t>XB1-MPC-117</t>
  </si>
  <si>
    <t>XB1-MPC-118</t>
  </si>
  <si>
    <t>XB1-MPC-119</t>
  </si>
  <si>
    <t>XB1-MPC-120</t>
  </si>
  <si>
    <t>XB1-MPC-121</t>
  </si>
  <si>
    <t>XB1-MPC-122</t>
  </si>
  <si>
    <t>XB1-MPC-123</t>
  </si>
  <si>
    <t>XB1-MPC-124</t>
  </si>
  <si>
    <t>XB1-MPC-125</t>
  </si>
  <si>
    <t>XB1-MPC-126</t>
  </si>
  <si>
    <t>XB1-MPC-127</t>
  </si>
  <si>
    <t>XB1-MPC-128</t>
  </si>
  <si>
    <t>XB1-MPC-129</t>
  </si>
  <si>
    <t>NT XOÀI AD</t>
  </si>
  <si>
    <t>XXA-MPC-017</t>
  </si>
  <si>
    <t>NT XOÀI AD</t>
  </si>
  <si>
    <t>XXA-MPC-018</t>
  </si>
  <si>
    <t>XXA-MPC-044</t>
  </si>
  <si>
    <t>XXA-MPC-045</t>
  </si>
  <si>
    <t>XXA-MPC-046</t>
  </si>
  <si>
    <t>XXA-MPC-047</t>
  </si>
  <si>
    <t>XXA-MPC-048</t>
  </si>
  <si>
    <t>XXA-MPC-049</t>
  </si>
  <si>
    <t>XXA-MPC-050</t>
  </si>
  <si>
    <t>XXA-MPC-051</t>
  </si>
  <si>
    <t>XXA-MPC-052</t>
  </si>
  <si>
    <t>XXA-MPC-053</t>
  </si>
  <si>
    <t>XXA-MPC-054</t>
  </si>
  <si>
    <t>XXA-MPC-055</t>
  </si>
  <si>
    <t>XXA-MPC-056</t>
  </si>
  <si>
    <t>XXA-MPC-057</t>
  </si>
  <si>
    <t>XXA-MPC-058</t>
  </si>
  <si>
    <t>XXA-MPC-059</t>
  </si>
  <si>
    <t>XXA-MPC-060</t>
  </si>
  <si>
    <t>XXA-MPC-061</t>
  </si>
  <si>
    <t>XXA-MPC-062</t>
  </si>
  <si>
    <t>XXA-MPC-063</t>
  </si>
  <si>
    <t>XXA-MPC-064</t>
  </si>
  <si>
    <t>XXA-MPC-065</t>
  </si>
  <si>
    <t>XXA-MPC-066</t>
  </si>
  <si>
    <t>XXA-MPC-067</t>
  </si>
  <si>
    <t>XXA-MPC-068</t>
  </si>
  <si>
    <t>NT BƯỞI AD</t>
  </si>
  <si>
    <t>XBA-MPC-012</t>
  </si>
  <si>
    <t>NT BƯỞI AD</t>
  </si>
  <si>
    <t>XBA-MPC-016</t>
  </si>
  <si>
    <t>XBA-MPC-017</t>
  </si>
  <si>
    <t>XBA-MPC-018</t>
  </si>
  <si>
    <t>XBA-MPC-019</t>
  </si>
  <si>
    <t>XBA-MPC-020</t>
  </si>
  <si>
    <t>XBA-MPC-021</t>
  </si>
  <si>
    <t>XBA-MPC-022</t>
  </si>
  <si>
    <t>XBA-MPC-023</t>
  </si>
  <si>
    <t>XBA-MPC-024</t>
  </si>
  <si>
    <t>XBA-MPC-025</t>
  </si>
  <si>
    <t>XBA-MPC-026</t>
  </si>
  <si>
    <t>XBA-MPC-027</t>
  </si>
  <si>
    <t>XN LP1</t>
  </si>
  <si>
    <t>XL1-MPC-045</t>
  </si>
  <si>
    <t>XL1-MPC-046</t>
  </si>
  <si>
    <t>XL1-MPC-047</t>
  </si>
  <si>
    <t>XL1-MPC-048</t>
  </si>
  <si>
    <t>XL1-MPC-049</t>
  </si>
  <si>
    <t>XL1-MPC-050</t>
  </si>
  <si>
    <t>XL1-MPC-051</t>
  </si>
  <si>
    <t>XL1-MPC-052</t>
  </si>
  <si>
    <t>XL1-MPC-053</t>
  </si>
  <si>
    <t>XL1-MPC-054</t>
  </si>
  <si>
    <t>XL1-MPC-055</t>
  </si>
  <si>
    <t>XL1-MPC-056</t>
  </si>
  <si>
    <t>XL1-MPC-057</t>
  </si>
  <si>
    <t>XL1-MPC-058</t>
  </si>
  <si>
    <t>XL1-MPC-059</t>
  </si>
  <si>
    <t>XL1-MPC-060</t>
  </si>
  <si>
    <t>XL1-MPC-061</t>
  </si>
  <si>
    <t>XL1-MPC-062</t>
  </si>
  <si>
    <t>XL1-MPC-063</t>
  </si>
  <si>
    <t>XL1-MPC-064</t>
  </si>
  <si>
    <t>XL1-MPC-065</t>
  </si>
  <si>
    <t>XL1-MPC-066</t>
  </si>
  <si>
    <t>XL1-MPC-067</t>
  </si>
  <si>
    <t>XL1-MPC-068</t>
  </si>
  <si>
    <t>XN LP3</t>
  </si>
  <si>
    <t>XL3-MPC-013</t>
  </si>
  <si>
    <t>XL3-MPC-014</t>
  </si>
  <si>
    <t>XL3-MPC-017</t>
  </si>
  <si>
    <t>XL3-MPC-018</t>
  </si>
  <si>
    <t>XL3-MPC-019</t>
  </si>
  <si>
    <t>XL3-MPC-022</t>
  </si>
  <si>
    <t>XL3-MPC-023</t>
  </si>
  <si>
    <t>XL3-MPC-024</t>
  </si>
  <si>
    <t>XL3-MPC-025</t>
  </si>
  <si>
    <t>XL3-MPC-026</t>
  </si>
  <si>
    <t>XL3-MPC-029</t>
  </si>
  <si>
    <t>XL3-MPC-030</t>
  </si>
  <si>
    <t>XL3-MPC-032</t>
  </si>
  <si>
    <t>XL3-MPC-033</t>
  </si>
  <si>
    <t>XL3-MPC-034</t>
  </si>
  <si>
    <t>XL3-MPC-036</t>
  </si>
  <si>
    <t>XL3-MPC-041</t>
  </si>
  <si>
    <t>XL3-MPC-042</t>
  </si>
  <si>
    <t>XL3-MPC-043</t>
  </si>
  <si>
    <t>XL3-MPC-044</t>
  </si>
  <si>
    <t>XL3-MPC-045</t>
  </si>
  <si>
    <t>XL3-MPC-046</t>
  </si>
  <si>
    <t>XL3-MPC-047</t>
  </si>
  <si>
    <t>XL3-MPC-048</t>
  </si>
  <si>
    <t>XL3-MPC-049</t>
  </si>
  <si>
    <t>XL3-MPC-050</t>
  </si>
  <si>
    <t>XL3-MPC-051</t>
  </si>
  <si>
    <t>XL3-MPC-052</t>
  </si>
  <si>
    <t>XL3-MPC-053</t>
  </si>
  <si>
    <t>XL3-MPC-054</t>
  </si>
  <si>
    <t>XL3-MPC-055</t>
  </si>
  <si>
    <t>XL3-MPC-056</t>
  </si>
  <si>
    <t>XL3-MPC-057</t>
  </si>
  <si>
    <t>XL3-MPC-058</t>
  </si>
  <si>
    <t>XL3-MPC-059</t>
  </si>
  <si>
    <t>XL3-MPC-060</t>
  </si>
  <si>
    <t>XL3-MPC-061</t>
  </si>
  <si>
    <t>XL3-MPC-062</t>
  </si>
  <si>
    <t>XL3-MPC-063</t>
  </si>
  <si>
    <t>XL3-MPC-064</t>
  </si>
  <si>
    <t>XL3-MPC-065</t>
  </si>
  <si>
    <t>XL3-MPC-066</t>
  </si>
  <si>
    <t>XL3-MPC-067</t>
  </si>
  <si>
    <t>XL3-MPC-068</t>
  </si>
  <si>
    <t>XL3-MPC-069</t>
  </si>
  <si>
    <t>XL3-MPC-070</t>
  </si>
  <si>
    <t>XD1-MPC-020</t>
  </si>
  <si>
    <t>XD1-MPC-021</t>
  </si>
  <si>
    <t>XD1-MPC-022</t>
  </si>
  <si>
    <t>XD1-MPC-023</t>
  </si>
  <si>
    <t>XD1-MPC-024</t>
  </si>
  <si>
    <t>XD1-MPC-025</t>
  </si>
  <si>
    <t>XD1-MPC-026</t>
  </si>
  <si>
    <t>XD1-MPC-027</t>
  </si>
  <si>
    <t>XD1-MPC-028</t>
  </si>
  <si>
    <t>XD1-MPC-029</t>
  </si>
  <si>
    <t>XD1-MPC-030</t>
  </si>
  <si>
    <t>XD1-MPC-031</t>
  </si>
  <si>
    <t>XD1-MPC-032</t>
  </si>
  <si>
    <t>XD1-MPC-033</t>
  </si>
  <si>
    <t>XD1-MPC-034</t>
  </si>
  <si>
    <t>XD1-MPC-035</t>
  </si>
  <si>
    <t>XD1-MPC-036</t>
  </si>
  <si>
    <t>XD1-MPC-037</t>
  </si>
  <si>
    <t>XD1-MPC-038</t>
  </si>
  <si>
    <t>XD1-MPC-039</t>
  </si>
  <si>
    <t>XD1-MPC-040</t>
  </si>
  <si>
    <t>XD1-MPC-041</t>
  </si>
  <si>
    <t>XD1-MPC-042</t>
  </si>
  <si>
    <t>XD1-MPC-043</t>
  </si>
  <si>
    <t>XD1-MPC-044</t>
  </si>
  <si>
    <t>XD1-MPC-045</t>
  </si>
  <si>
    <t>XD1-MPC-046</t>
  </si>
  <si>
    <t>XD1-MPC-047</t>
  </si>
  <si>
    <t>XD1-MPC-048</t>
  </si>
  <si>
    <t>XD1-MPC-049</t>
  </si>
  <si>
    <t>XD1-MPC-050</t>
  </si>
  <si>
    <t>XD1-MPC-051</t>
  </si>
  <si>
    <t>XD1-MPC-052</t>
  </si>
  <si>
    <t>XD1-MPC-053</t>
  </si>
  <si>
    <t>XD1-MPC-054</t>
  </si>
  <si>
    <t>XD2-MPC-005</t>
  </si>
  <si>
    <t>XD2-MPC-012</t>
  </si>
  <si>
    <t>XD2-MPC-013</t>
  </si>
  <si>
    <t>XD2-MPC-019</t>
  </si>
  <si>
    <t>XD2-MPC-024</t>
  </si>
  <si>
    <t>XD2-MPC-027</t>
  </si>
  <si>
    <t>XD2-MPC-028</t>
  </si>
  <si>
    <t>XD2-MPC-029</t>
  </si>
  <si>
    <t>XD2-MPC-030</t>
  </si>
  <si>
    <t>XD2-MPC-031</t>
  </si>
  <si>
    <t>XD2-MPC-032</t>
  </si>
  <si>
    <t>XD2-MPC-033</t>
  </si>
  <si>
    <t>XD2-MPC-034</t>
  </si>
  <si>
    <t>XD2-MPC-035</t>
  </si>
  <si>
    <t>XD2-MPC-036</t>
  </si>
  <si>
    <t>XD2-MPC-037</t>
  </si>
  <si>
    <t>XD2-MPC-038</t>
  </si>
  <si>
    <t>XD2-MPC-039</t>
  </si>
  <si>
    <t>XD2-MPC-040</t>
  </si>
  <si>
    <t>XD2-MPC-041</t>
  </si>
  <si>
    <t>XD2-MPC-042</t>
  </si>
  <si>
    <t>XD2-MPC-043</t>
  </si>
  <si>
    <t>XD2-MPC-044</t>
  </si>
  <si>
    <t>XD3-MPC-008</t>
  </si>
  <si>
    <t>XD3-MPC-022</t>
  </si>
  <si>
    <t>XD3-MPC-029</t>
  </si>
  <si>
    <t>XD3-MPC-030</t>
  </si>
  <si>
    <t>XD3-MPC-031</t>
  </si>
  <si>
    <t>XD3-MPC-036</t>
  </si>
  <si>
    <t>XD3-MPC-037</t>
  </si>
  <si>
    <t>XD3-MPC-040</t>
  </si>
  <si>
    <t>XD3-MPC-041</t>
  </si>
  <si>
    <t>XD3-MPC-042</t>
  </si>
  <si>
    <t>XD3-MPC-043</t>
  </si>
  <si>
    <t>XD3-MPC-044</t>
  </si>
  <si>
    <t>XD3-MPC-045</t>
  </si>
  <si>
    <t>XD3-MPC-046</t>
  </si>
  <si>
    <t>XD3-MPC-047</t>
  </si>
  <si>
    <t>XD3-MPC-048</t>
  </si>
  <si>
    <t>XD3-MPC-049</t>
  </si>
  <si>
    <t>XD3-MPC-050</t>
  </si>
  <si>
    <t>XD3-MPC-051</t>
  </si>
  <si>
    <t>XD3-MPC-052</t>
  </si>
  <si>
    <t>XD3-MPC-053</t>
  </si>
  <si>
    <t>XD3-MPC-054</t>
  </si>
  <si>
    <t>XD3-MPC-055</t>
  </si>
  <si>
    <t>XD3-MPC-056</t>
  </si>
  <si>
    <t>XD3-MPC-057</t>
  </si>
  <si>
    <t>XD3-MPC-058</t>
  </si>
  <si>
    <t>XD3-MPC-059</t>
  </si>
  <si>
    <t>XD3-MPC-060</t>
  </si>
  <si>
    <t>XD3-MPC-061</t>
  </si>
  <si>
    <t>XD3-MPC-062</t>
  </si>
  <si>
    <t>XD3-MPC-063</t>
  </si>
  <si>
    <t>XD3-MPC-064</t>
  </si>
  <si>
    <t>XD3-MPC-065</t>
  </si>
  <si>
    <t>XD3-MPC-066</t>
  </si>
  <si>
    <t>XD3-MPC-067</t>
  </si>
  <si>
    <t>XD3-MPC-068</t>
  </si>
  <si>
    <t>XD3-MPC-069</t>
  </si>
  <si>
    <t>XD3-MPC-070</t>
  </si>
  <si>
    <t>XD3-MPC-071</t>
  </si>
  <si>
    <t>XD3-MPC-072</t>
  </si>
  <si>
    <t>XD3-MPC-073</t>
  </si>
  <si>
    <t>XD3-MPC-074</t>
  </si>
  <si>
    <t>XD3-MPC-075</t>
  </si>
  <si>
    <t>XD3-MPC-076</t>
  </si>
  <si>
    <t>XD3-MPC-077</t>
  </si>
  <si>
    <t>XD3-MPC-078</t>
  </si>
  <si>
    <t>XD3-MPC-079</t>
  </si>
  <si>
    <t>XD3-MPC-080</t>
  </si>
  <si>
    <t>NT XOÀI DP</t>
  </si>
  <si>
    <t>XXD-MPC-009</t>
  </si>
  <si>
    <t>XXD-MPC-010</t>
  </si>
  <si>
    <t>XXD-MPC-011</t>
  </si>
  <si>
    <t>XXD-MPC-012</t>
  </si>
  <si>
    <t>XXD-MPC-013</t>
  </si>
  <si>
    <t>XXD-MPC-015</t>
  </si>
  <si>
    <t>XXD-MPC-017</t>
  </si>
  <si>
    <t>XXD-MPC-022</t>
  </si>
  <si>
    <t>XXD-MPC-023</t>
  </si>
  <si>
    <t>XXD-MPC-028</t>
  </si>
  <si>
    <t>XXD-MPC-029</t>
  </si>
  <si>
    <t>NT NHÃN DP</t>
  </si>
  <si>
    <t>XND-MPC-001</t>
  </si>
  <si>
    <t>XND-MPC-002</t>
  </si>
  <si>
    <t>XND-MPC-003</t>
  </si>
  <si>
    <t>XND-MPC-004</t>
  </si>
  <si>
    <t>XND-MPC-005</t>
  </si>
  <si>
    <t>XND-MPC-006</t>
  </si>
  <si>
    <t>CÁC ĐƠN VỊ KHÁC'</t>
  </si>
  <si>
    <t>P.HÀNH CHÍNH</t>
  </si>
  <si>
    <t>HCD-MPC-001</t>
  </si>
  <si>
    <t>HCD-MPC-002</t>
  </si>
  <si>
    <t>HCA-MPC-001</t>
  </si>
  <si>
    <t>HCA-MPC-002</t>
  </si>
  <si>
    <t>BAN ĐIỆN NƯỚC</t>
  </si>
  <si>
    <t>ĐNA-MPC-001</t>
  </si>
  <si>
    <t>ĐNA-MPC-002</t>
  </si>
  <si>
    <t>ĐNA-MPC-003</t>
  </si>
  <si>
    <t>ĐNA-MPC-004</t>
  </si>
  <si>
    <t>DAUN PENH</t>
  </si>
  <si>
    <t>DP1</t>
  </si>
  <si>
    <t>XD1-MCG-001</t>
  </si>
  <si>
    <t>DP2</t>
  </si>
  <si>
    <t>DP3</t>
  </si>
  <si>
    <t>XXD-MCG-001</t>
  </si>
  <si>
    <t>XXD-MCG-002</t>
  </si>
  <si>
    <t>XXD-MCG-003</t>
  </si>
  <si>
    <t>XXD-MCG-004</t>
  </si>
  <si>
    <t>XL1-MCG-001</t>
  </si>
  <si>
    <t>XXA-MCG-001</t>
  </si>
  <si>
    <t>XXA-MCG-002</t>
  </si>
  <si>
    <t>XXA-MCG-003</t>
  </si>
  <si>
    <t>XXA-MCG-004</t>
  </si>
  <si>
    <t>XXA-MCG-005</t>
  </si>
  <si>
    <t>XÍ NGHIỆP BÒ</t>
  </si>
  <si>
    <t>XB1-MCG-001</t>
  </si>
  <si>
    <t>XB1-MCG-002</t>
  </si>
  <si>
    <t>XB1-MCG-003</t>
  </si>
  <si>
    <t>XB1-MCG-004</t>
  </si>
  <si>
    <t>XB1-MCG-005</t>
  </si>
  <si>
    <t>XB1-MCG-006</t>
  </si>
  <si>
    <t>XB1-MCG-007</t>
  </si>
  <si>
    <t>XB1-MCG-008</t>
  </si>
  <si>
    <t>XB1-MCG-009</t>
  </si>
  <si>
    <t>XB1-MCG-010</t>
  </si>
  <si>
    <t>XB1-MCG-011</t>
  </si>
  <si>
    <t>ĐƠN VỊ KHÁC</t>
  </si>
  <si>
    <t>ĐNA-MCG-001</t>
  </si>
  <si>
    <t>ĐNA-MCG-002</t>
  </si>
  <si>
    <t>ĐNA-MCG-003</t>
  </si>
  <si>
    <t>MÁY KHOAN HỐ</t>
  </si>
  <si>
    <t>XD1-MKH-001</t>
  </si>
  <si>
    <t>XD1-MKH-002</t>
  </si>
  <si>
    <t>XD1-MKH-003</t>
  </si>
  <si>
    <t>XD1-MKH-004</t>
  </si>
  <si>
    <t>XD1-MKH-005</t>
  </si>
  <si>
    <t>XD1-MKH-006</t>
  </si>
  <si>
    <t>XD2-MKH-001</t>
  </si>
  <si>
    <t>XD2-MKH-002</t>
  </si>
  <si>
    <t>XD3-MKH-001</t>
  </si>
  <si>
    <t>XD3-MKH-002</t>
  </si>
  <si>
    <t>XD3-MKH-003</t>
  </si>
  <si>
    <t>XL1-MKH-001</t>
  </si>
  <si>
    <t>XL1-MKH-002</t>
  </si>
  <si>
    <t>XL1-MKH-003</t>
  </si>
  <si>
    <t>XL3-MKH-001</t>
  </si>
  <si>
    <t>XL3-MKH-002</t>
  </si>
  <si>
    <t>XL4-MKH-001</t>
  </si>
  <si>
    <t>XN Chuối LP4</t>
  </si>
  <si>
    <t>XL4-MKH-002</t>
  </si>
  <si>
    <t>XL4-MKH-003</t>
  </si>
  <si>
    <t>XL4-MKH-004</t>
  </si>
  <si>
    <t>XL4-MKH-005</t>
  </si>
  <si>
    <t>ANDONG MEAS</t>
  </si>
  <si>
    <t>XA2-MKH-001</t>
  </si>
  <si>
    <t>Thiết bị</t>
  </si>
  <si>
    <t>Thiết bị trang</t>
  </si>
  <si>
    <t>Thiết bị rạch luống trồng 2 lưỡi</t>
  </si>
  <si>
    <t>Thiết bị rạch tạo rãnh luống trồng 1 lưỡi</t>
  </si>
  <si>
    <t>Thiết bị tạo rãnh</t>
  </si>
  <si>
    <t>Thiết bị rạch luống trồng cỏ</t>
  </si>
  <si>
    <t>Máy cao áp 7.5HP</t>
  </si>
  <si>
    <t>Máy cao áp 3HP</t>
  </si>
  <si>
    <t>Máy cao áp 1.5HP</t>
  </si>
  <si>
    <t>Máy cao áp 2HP</t>
  </si>
  <si>
    <t>Máy cao áp 3HP</t>
  </si>
  <si>
    <t>Máy cao áp 1.5HP</t>
  </si>
  <si>
    <t>Máy cao áp 7HP</t>
  </si>
  <si>
    <t>Máy kéo chuối</t>
  </si>
  <si>
    <t>3x1.7x2.1</t>
  </si>
  <si>
    <t>- Kèm trục các đăng</t>
  </si>
  <si>
    <t>Thiết bị khoan lỗ trụ</t>
  </si>
  <si>
    <t>Máy cao áp 5HP</t>
  </si>
  <si>
    <t>Thiết bị cân bê</t>
  </si>
  <si>
    <t>Cầu thang dẫn bò (bê)</t>
  </si>
  <si>
    <t>4.15x0.9x3.6m</t>
  </si>
  <si>
    <t>Giá tập đi cho bò</t>
  </si>
  <si>
    <t>DxRxC: 2.1m*1.65m*2.6m</t>
  </si>
  <si>
    <t>GNVC</t>
  </si>
  <si>
    <t>HC DP</t>
  </si>
  <si>
    <t>CÁC BỘ PHẬN KHÁC</t>
  </si>
  <si>
    <t>CK DP</t>
  </si>
  <si>
    <t>NHÃN HIỆU</t>
  </si>
  <si>
    <t>KÍCH THƯỚC (mm)</t>
  </si>
  <si>
    <t>DÀI</t>
  </si>
  <si>
    <t>RỘNG</t>
  </si>
  <si>
    <t>CAO</t>
  </si>
  <si>
    <t>DxRxC</t>
  </si>
  <si>
    <t>DANH MỤC MÁY PHÁT CỎ THUỘC KLH</t>
  </si>
  <si>
    <t>Tình trạng</t>
  </si>
  <si>
    <t>A.</t>
  </si>
  <si>
    <t>A.1</t>
  </si>
  <si>
    <t>CB04-01126</t>
  </si>
  <si>
    <t>17/03/2024</t>
  </si>
  <si>
    <t>HĐ bình thường</t>
  </si>
  <si>
    <t>NT CỎ &amp; BẮP XNB</t>
  </si>
  <si>
    <t>NAGATA</t>
  </si>
  <si>
    <t>CG411</t>
  </si>
  <si>
    <t>1.8HP</t>
  </si>
  <si>
    <t>XA2-MPC-005</t>
  </si>
  <si>
    <t>AD2 ĐCHUYEN NGÀY 06.02.2025</t>
  </si>
  <si>
    <t>HINOTA</t>
  </si>
  <si>
    <t>CG435</t>
  </si>
  <si>
    <t>1.2HP</t>
  </si>
  <si>
    <t>XA2-MPC-007</t>
  </si>
  <si>
    <t>XA2-MPC-008</t>
  </si>
  <si>
    <t>XA2-MPC-009</t>
  </si>
  <si>
    <t>28/04/2025</t>
  </si>
  <si>
    <t>WASAKI</t>
  </si>
  <si>
    <t>RBC411</t>
  </si>
  <si>
    <t>1.9HP</t>
  </si>
  <si>
    <t>15/9/2025</t>
  </si>
  <si>
    <t>MARATA</t>
  </si>
  <si>
    <t>CG412</t>
  </si>
  <si>
    <t>XB1-MPC-130</t>
  </si>
  <si>
    <t>XB1-MPC-131</t>
  </si>
  <si>
    <t>XB1-MPC-132</t>
  </si>
  <si>
    <t>XB1-MPC-133</t>
  </si>
  <si>
    <t>XB1-MPC-134</t>
  </si>
  <si>
    <t>XB1-MPC-135</t>
  </si>
  <si>
    <t>XB1-MPC-136</t>
  </si>
  <si>
    <t>XB1-MPC-137</t>
  </si>
  <si>
    <t>XB1-MPC-138</t>
  </si>
  <si>
    <t>XB1-MPC-139</t>
  </si>
  <si>
    <t>XB1-MPC-140</t>
  </si>
  <si>
    <t>XB1-MPC-141</t>
  </si>
  <si>
    <t>XB1-MPC-142</t>
  </si>
  <si>
    <t>XB1-MPC-143</t>
  </si>
  <si>
    <t>XB1-MPC-144</t>
  </si>
  <si>
    <t>XB1-MPC-145</t>
  </si>
  <si>
    <t>XB1-MPC-146</t>
  </si>
  <si>
    <t>XB1-MPC-147</t>
  </si>
  <si>
    <t>XB1-MPC-148</t>
  </si>
  <si>
    <t>XB1-MPC-149</t>
  </si>
  <si>
    <t>XB1-MPC-150</t>
  </si>
  <si>
    <t>XB1-MPC-151</t>
  </si>
  <si>
    <t>XB1-MPC-152</t>
  </si>
  <si>
    <t>XB1-MPC-153</t>
  </si>
  <si>
    <t>XB1-MPC-154</t>
  </si>
  <si>
    <t>XB1-MPC-155</t>
  </si>
  <si>
    <t>XB1-MPC-156</t>
  </si>
  <si>
    <t>XB1-MPC-157</t>
  </si>
  <si>
    <t>XB1-MPC-158</t>
  </si>
  <si>
    <t>XB1-MPC-159</t>
  </si>
  <si>
    <t>KO XOÁ</t>
  </si>
  <si>
    <t>A.3</t>
  </si>
  <si>
    <t xml:space="preserve">HINOTA  </t>
  </si>
  <si>
    <t>220511/ZOZC1-1M</t>
  </si>
  <si>
    <t>16/10/2024</t>
  </si>
  <si>
    <t>GX35</t>
  </si>
  <si>
    <t>1.6HP</t>
  </si>
  <si>
    <t>GCAMT-7677939</t>
  </si>
  <si>
    <t>GCAMT-7676251</t>
  </si>
  <si>
    <t>GCAMT-7677960</t>
  </si>
  <si>
    <t>GCAMT-7655192</t>
  </si>
  <si>
    <t>GCAMT-7655158</t>
  </si>
  <si>
    <t>GCAMT-7657287</t>
  </si>
  <si>
    <t>GCAMT-7655395</t>
  </si>
  <si>
    <t>24/11/2025</t>
  </si>
  <si>
    <t>A.4</t>
  </si>
  <si>
    <t>22/12/2023</t>
  </si>
  <si>
    <t>Bó máy</t>
  </si>
  <si>
    <t>GCAMT-4487493</t>
  </si>
  <si>
    <t>GCAMT-7676279</t>
  </si>
  <si>
    <t>GCAMT-765534</t>
  </si>
  <si>
    <t>B.1</t>
  </si>
  <si>
    <t>30/04/2025</t>
  </si>
  <si>
    <t>NHật Bản</t>
  </si>
  <si>
    <t>MARRATA</t>
  </si>
  <si>
    <t>XL1-MPC-069</t>
  </si>
  <si>
    <t>XL1-MPC-070</t>
  </si>
  <si>
    <t>XL1-MPC-071</t>
  </si>
  <si>
    <t>XL1-MPC-072</t>
  </si>
  <si>
    <t>XL1-MPC-073</t>
  </si>
  <si>
    <t>XL1-MPC-074</t>
  </si>
  <si>
    <t>XL1-MPC-075</t>
  </si>
  <si>
    <t>XL1-MPC-076</t>
  </si>
  <si>
    <t>XL1-MPC-077</t>
  </si>
  <si>
    <t>XL1-MPC-078</t>
  </si>
  <si>
    <t>XL1-MPC-079</t>
  </si>
  <si>
    <t>XL1-MPC-080</t>
  </si>
  <si>
    <t>XL1-MPC-081</t>
  </si>
  <si>
    <t>XL1-MPC-082</t>
  </si>
  <si>
    <t>XL1-MPC-083</t>
  </si>
  <si>
    <t>XL1-MPC-084</t>
  </si>
  <si>
    <t>XL1-MPC-085</t>
  </si>
  <si>
    <t>XL1-MPC-086</t>
  </si>
  <si>
    <t>XL1-MPC-087</t>
  </si>
  <si>
    <t>XL1-MPC-088</t>
  </si>
  <si>
    <t>B.2</t>
  </si>
  <si>
    <t>30/05/2024</t>
  </si>
  <si>
    <t>THÁI LAN</t>
  </si>
  <si>
    <t>GCAMT-7676873</t>
  </si>
  <si>
    <t>GCAMT-7674881</t>
  </si>
  <si>
    <t>GCAMT-7656192</t>
  </si>
  <si>
    <t>GCAMT-7656214</t>
  </si>
  <si>
    <t>GCAMT-7656163</t>
  </si>
  <si>
    <t>GCAMT-7659035</t>
  </si>
  <si>
    <t>GCAMT-7674893</t>
  </si>
  <si>
    <t>GCAMT-7624376</t>
  </si>
  <si>
    <t>GCAMT-7624445</t>
  </si>
  <si>
    <t>GCAMT-7646574</t>
  </si>
  <si>
    <t>GCAMT-7674892</t>
  </si>
  <si>
    <t>GCAMT-7659063</t>
  </si>
  <si>
    <t>GCAMT-7674876</t>
  </si>
  <si>
    <t>GCAMT-7656212</t>
  </si>
  <si>
    <t>GCAMT-7717575</t>
  </si>
  <si>
    <t>GCAMT-7716999</t>
  </si>
  <si>
    <t>C.1</t>
  </si>
  <si>
    <t>XD1-MPC-055</t>
  </si>
  <si>
    <t>15/06/2026</t>
  </si>
  <si>
    <t>XD1-MPC-056</t>
  </si>
  <si>
    <t>XD1-MPC-057</t>
  </si>
  <si>
    <t>XD1-MPC-058</t>
  </si>
  <si>
    <t>XD1-MPC-059</t>
  </si>
  <si>
    <t>XD1-MPC-060</t>
  </si>
  <si>
    <t>XD1-MPC-061</t>
  </si>
  <si>
    <t>XD1-MPC-062</t>
  </si>
  <si>
    <t>XD1-MPC-063</t>
  </si>
  <si>
    <t>XD1-MPC-064</t>
  </si>
  <si>
    <t>XD1-MPC-065</t>
  </si>
  <si>
    <t>XD1-MPC-066</t>
  </si>
  <si>
    <t>XD1-MPC-067</t>
  </si>
  <si>
    <t>XD1-MPC-068</t>
  </si>
  <si>
    <t>XD1-MPC-069</t>
  </si>
  <si>
    <t>XD1-MPC-070</t>
  </si>
  <si>
    <t>XD1-MPC-071</t>
  </si>
  <si>
    <t>XD1-MPC-072</t>
  </si>
  <si>
    <t>XD1-MPC-073</t>
  </si>
  <si>
    <t>XD1-MPC-074</t>
  </si>
  <si>
    <t>C.2</t>
  </si>
  <si>
    <t>MCC 05XN -KLH</t>
  </si>
  <si>
    <t>MCC 12XN -KLH</t>
  </si>
  <si>
    <t>MCC 15XN -KLH</t>
  </si>
  <si>
    <t>XL1-MPC-012</t>
  </si>
  <si>
    <t>XD2-MPC-045</t>
  </si>
  <si>
    <t>XD2-MPC-046</t>
  </si>
  <si>
    <t>XD2-MPC-047</t>
  </si>
  <si>
    <t>XD2-MPC-048</t>
  </si>
  <si>
    <t>XD2-MPC-049</t>
  </si>
  <si>
    <t>XD2-MPC-050</t>
  </si>
  <si>
    <t>XD2-MPC-051</t>
  </si>
  <si>
    <t>XD2-MPC-052</t>
  </si>
  <si>
    <t>XD2-MPC-053</t>
  </si>
  <si>
    <t>XD2-MPC-054</t>
  </si>
  <si>
    <t>XD2-MPC-055</t>
  </si>
  <si>
    <t>XD2-MPC-056</t>
  </si>
  <si>
    <t>XD2-MPC-057</t>
  </si>
  <si>
    <t>XD2-MPC-058</t>
  </si>
  <si>
    <t>XD2-MPC-059</t>
  </si>
  <si>
    <t>C.3</t>
  </si>
  <si>
    <t>GCAMT-7717017</t>
  </si>
  <si>
    <t>GCAMT-7717631</t>
  </si>
  <si>
    <t>GCAMT-7716974</t>
  </si>
  <si>
    <t>GCAMT-7717594</t>
  </si>
  <si>
    <t>GCAMT-7717610</t>
  </si>
  <si>
    <t>17/07/2025</t>
  </si>
  <si>
    <t>XD3-MPC-081</t>
  </si>
  <si>
    <t>XD3-MPC-082</t>
  </si>
  <si>
    <t>XD3-MPC-083</t>
  </si>
  <si>
    <t>XD3-MPC-084</t>
  </si>
  <si>
    <t>XD3-MPC-085</t>
  </si>
  <si>
    <t>GCAMT-7784135</t>
  </si>
  <si>
    <t>XD3-MPC-086</t>
  </si>
  <si>
    <t>GCAMT-7784268</t>
  </si>
  <si>
    <t>XD3-MPC-087</t>
  </si>
  <si>
    <t>GCAMT-7783570</t>
  </si>
  <si>
    <t>XD3-MPC-088</t>
  </si>
  <si>
    <t>GCAMT-7782021</t>
  </si>
  <si>
    <t>XD3-MPC-089</t>
  </si>
  <si>
    <t>GCAMT-7768188</t>
  </si>
  <si>
    <t>XD3-MPC-090</t>
  </si>
  <si>
    <t>GCAMT-7767017</t>
  </si>
  <si>
    <t>XD3-MPC-091</t>
  </si>
  <si>
    <t>GCAMT-7783525</t>
  </si>
  <si>
    <t>XD3-MPC-092</t>
  </si>
  <si>
    <t>GCAMT-7811396</t>
  </si>
  <si>
    <t>XD3-MPC-093</t>
  </si>
  <si>
    <t>GCAMT-7782003</t>
  </si>
  <si>
    <t>XD3-MPC-094</t>
  </si>
  <si>
    <t>GCAMT-7782005</t>
  </si>
  <si>
    <t>XD3-MPC-095</t>
  </si>
  <si>
    <t>GCAMT-7783544</t>
  </si>
  <si>
    <t>C.4</t>
  </si>
  <si>
    <t>31/07/2024</t>
  </si>
  <si>
    <t>GCAMT-7708410</t>
  </si>
  <si>
    <t>GCAMT-7707551</t>
  </si>
  <si>
    <t>C.5</t>
  </si>
  <si>
    <t>Nhãn DP</t>
  </si>
  <si>
    <t>D.</t>
  </si>
  <si>
    <t>D.1</t>
  </si>
  <si>
    <t>HÀNH CHÍNH KLH</t>
  </si>
  <si>
    <t>KAMASTSU</t>
  </si>
  <si>
    <t>KM430</t>
  </si>
  <si>
    <t>1.7HP</t>
  </si>
  <si>
    <t>TASCO</t>
  </si>
  <si>
    <t>T-338</t>
  </si>
  <si>
    <t>1.1HP</t>
  </si>
  <si>
    <t>D.2</t>
  </si>
  <si>
    <t>MÁY PHÁT CỎ ĐÃ ĐÁNH GIÁ KTH LOẠI BIÊN</t>
  </si>
  <si>
    <t>XD3-MPC-001</t>
  </si>
  <si>
    <t>15/09/2024</t>
  </si>
  <si>
    <t>XD3-MPC-002</t>
  </si>
  <si>
    <t>XD3-MPC-003</t>
  </si>
  <si>
    <t>XD3-MPC-004</t>
  </si>
  <si>
    <t>XD3-MPC-005</t>
  </si>
  <si>
    <t>XD3-MPC-012</t>
  </si>
  <si>
    <t>XD3-MPC-013</t>
  </si>
  <si>
    <t>XD3-MPC-015</t>
  </si>
  <si>
    <t>XD3-MPC-017</t>
  </si>
  <si>
    <t>XD3-MPC-021</t>
  </si>
  <si>
    <t>XD3-MPC-024</t>
  </si>
  <si>
    <t>XD3-MPC-025</t>
  </si>
  <si>
    <t>XD2-MPC-006</t>
  </si>
  <si>
    <t>MCC 06XN -KLH</t>
  </si>
  <si>
    <t>XD2-MPC-007</t>
  </si>
  <si>
    <t>MCC 07XN -KLH</t>
  </si>
  <si>
    <t>XD2-MPC-008</t>
  </si>
  <si>
    <t>MCC 08XN -KLH</t>
  </si>
  <si>
    <t>XD2-MPC-010</t>
  </si>
  <si>
    <t>MCC 10XN -KLH</t>
  </si>
  <si>
    <t>XD2-MPC-017</t>
  </si>
  <si>
    <t>MCC 19XN -KLH</t>
  </si>
  <si>
    <t>XD2-MPC-021</t>
  </si>
  <si>
    <t>XD1-MPC-006</t>
  </si>
  <si>
    <t>XD1-MPC-007</t>
  </si>
  <si>
    <t>XD1-MPC-008</t>
  </si>
  <si>
    <t>XD1-MPC-009</t>
  </si>
  <si>
    <t>XD1-MPC-010</t>
  </si>
  <si>
    <t>XD1-MPC-012</t>
  </si>
  <si>
    <t>XD1-MPC-013</t>
  </si>
  <si>
    <t>XD1-MPC-014</t>
  </si>
  <si>
    <t>XD1-MPC-015</t>
  </si>
  <si>
    <t>XD1-MPC-016</t>
  </si>
  <si>
    <t>ZOZC1-1M-0511</t>
  </si>
  <si>
    <t>XL3-MPC-001</t>
  </si>
  <si>
    <t>XL3-MPC-002</t>
  </si>
  <si>
    <t>XL3-MPC-003</t>
  </si>
  <si>
    <t>XL3-MPC-004</t>
  </si>
  <si>
    <t>XL3-MPC-005</t>
  </si>
  <si>
    <t>XL3-MPC-006</t>
  </si>
  <si>
    <t>XL3-MPC-007</t>
  </si>
  <si>
    <t>XL3-MPC-008</t>
  </si>
  <si>
    <t>XL3-MPC-009</t>
  </si>
  <si>
    <t>XL1-MPC-007</t>
  </si>
  <si>
    <t>LP1 GIAO QUA</t>
  </si>
  <si>
    <t>XL3-MPC-010</t>
  </si>
  <si>
    <t>XL1-MPC-008</t>
  </si>
  <si>
    <t>XL3-MPC-011</t>
  </si>
  <si>
    <t>XL1-MPC-009</t>
  </si>
  <si>
    <t>XL3-MPC-012</t>
  </si>
  <si>
    <t>XL1-MPC-010</t>
  </si>
  <si>
    <t>XL3-MPC-015</t>
  </si>
  <si>
    <t>GCAMT-7623984</t>
  </si>
  <si>
    <t>XL3-MPC-016</t>
  </si>
  <si>
    <t>GCAMT-7659061</t>
  </si>
  <si>
    <t>XL3-MPC-020</t>
  </si>
  <si>
    <t>GCAMT-7674856</t>
  </si>
  <si>
    <t>XL3-MPC-021</t>
  </si>
  <si>
    <t>GCAMT-7674867</t>
  </si>
  <si>
    <t>XL3-MPC-027</t>
  </si>
  <si>
    <t>GCAMT-764888</t>
  </si>
  <si>
    <t>XL3-MPC-028</t>
  </si>
  <si>
    <t>GCAMT-7656178</t>
  </si>
  <si>
    <t>XL3-MPC-031</t>
  </si>
  <si>
    <t>GCAMT-7674889</t>
  </si>
  <si>
    <t>XL3-MPC-035</t>
  </si>
  <si>
    <t>GCAMT-7716944</t>
  </si>
  <si>
    <t>XL3-MPC-037</t>
  </si>
  <si>
    <t>GCAMT-7716990</t>
  </si>
  <si>
    <t>XL3-MPC-038</t>
  </si>
  <si>
    <t>XA2-MPC-010</t>
  </si>
  <si>
    <t>AD2 DCHUYEN NGÀY 15.02.2025</t>
  </si>
  <si>
    <t>XL3-MPC-039</t>
  </si>
  <si>
    <t>XA2-MPC-011</t>
  </si>
  <si>
    <t>XL3-MPC-040</t>
  </si>
  <si>
    <t>XA2-MPC-012</t>
  </si>
  <si>
    <t>XB1-MPC-001</t>
  </si>
  <si>
    <t>XNC-TBC-001</t>
  </si>
  <si>
    <t>XNB</t>
  </si>
  <si>
    <t>XB1-MPC-002</t>
  </si>
  <si>
    <t>XNC-TBC-002</t>
  </si>
  <si>
    <t>XB1-MPC-003</t>
  </si>
  <si>
    <t>TNC-TBC-001</t>
  </si>
  <si>
    <t>XB1-MPC-004</t>
  </si>
  <si>
    <t>TNC-TBC-002</t>
  </si>
  <si>
    <t>XB1-MPC-005</t>
  </si>
  <si>
    <t>TNC-TBC-003</t>
  </si>
  <si>
    <t>XB1-MPC-006</t>
  </si>
  <si>
    <t>XNC-TBC-011</t>
  </si>
  <si>
    <t>XB1-MPC-007</t>
  </si>
  <si>
    <t>XNC-TBC-012</t>
  </si>
  <si>
    <t>XB1-MPC-008</t>
  </si>
  <si>
    <t>XNC-TBC-013</t>
  </si>
  <si>
    <t>XB1-MPC-009</t>
  </si>
  <si>
    <t>XNC-TBC-014</t>
  </si>
  <si>
    <t>XB1-MPC-010</t>
  </si>
  <si>
    <t>TNC-TBC-004</t>
  </si>
  <si>
    <t>XB1-MPC-011</t>
  </si>
  <si>
    <t>TNC-TBC-005</t>
  </si>
  <si>
    <t>XB1-MPC-012</t>
  </si>
  <si>
    <t>TNC-TBC-006</t>
  </si>
  <si>
    <t>XB1-MPC-013</t>
  </si>
  <si>
    <t>TNC-TBC-007</t>
  </si>
  <si>
    <t>XB1-MPC-014</t>
  </si>
  <si>
    <t>TNC-TBC-008</t>
  </si>
  <si>
    <t>XB1-MPC-015</t>
  </si>
  <si>
    <t>XNC-TBC-015</t>
  </si>
  <si>
    <t>XB1-MPC-016</t>
  </si>
  <si>
    <t>XNC-TBC-016</t>
  </si>
  <si>
    <t>XB1-MPC-017</t>
  </si>
  <si>
    <t>XNC-TBC-017</t>
  </si>
  <si>
    <t>XB1-MPC-018</t>
  </si>
  <si>
    <t>XNC-TBC-018</t>
  </si>
  <si>
    <t>XB1-MPC-019</t>
  </si>
  <si>
    <t>XNC-TBC-019</t>
  </si>
  <si>
    <t>XB1-MPC-020</t>
  </si>
  <si>
    <t>XNC-TBC-020</t>
  </si>
  <si>
    <t>XB1-MPC-021</t>
  </si>
  <si>
    <t>XNC-TBC-021</t>
  </si>
  <si>
    <t>XB1-MPC-022</t>
  </si>
  <si>
    <t>XNC-TBC-022</t>
  </si>
  <si>
    <t>XB1-MPC-023</t>
  </si>
  <si>
    <t>XNC-TBC-023</t>
  </si>
  <si>
    <t>XB1-MPC-024</t>
  </si>
  <si>
    <t>XNC-TBC-024</t>
  </si>
  <si>
    <t>XB1-MPC-025</t>
  </si>
  <si>
    <t>XB1-MPC-031</t>
  </si>
  <si>
    <t>XB1-MPC-034</t>
  </si>
  <si>
    <t>XB1-MPC-026</t>
  </si>
  <si>
    <t>XXD-MPC-001</t>
  </si>
  <si>
    <t>NT Xoài DP</t>
  </si>
  <si>
    <t>XXD-MPC-002</t>
  </si>
  <si>
    <t>XXD-MPC-003</t>
  </si>
  <si>
    <t>XXD-MPC-004</t>
  </si>
  <si>
    <t>XXD-MPC-005</t>
  </si>
  <si>
    <t>XXD-MPC-006</t>
  </si>
  <si>
    <t>XXD-MPC-007</t>
  </si>
  <si>
    <t>XXD-MPC-008</t>
  </si>
  <si>
    <t>XXD-MPC-024</t>
  </si>
  <si>
    <t>GCAMT-7635885</t>
  </si>
  <si>
    <t>XXD-MPC-025</t>
  </si>
  <si>
    <t>GCAMT-7654048</t>
  </si>
  <si>
    <t>XXD-MPC-026</t>
  </si>
  <si>
    <t>GCAMT-7707916</t>
  </si>
  <si>
    <t>XXD-MPC-027</t>
  </si>
  <si>
    <t>GCAMT-7707913</t>
  </si>
  <si>
    <t>XXD-MPC-018</t>
  </si>
  <si>
    <t>NT dứa chuyển qua</t>
  </si>
  <si>
    <t>XXD-MPC-019</t>
  </si>
  <si>
    <t>XXD-MPC-020</t>
  </si>
  <si>
    <t>XXD-MPC-021</t>
  </si>
  <si>
    <t>GCAMT-7708416</t>
  </si>
  <si>
    <t>XXD-MPC-014</t>
  </si>
  <si>
    <t>XXD-MPC-016</t>
  </si>
  <si>
    <t>XL1-MPC-013</t>
  </si>
  <si>
    <t>LP4 BÀN GIAO 3M</t>
  </si>
  <si>
    <t>XL1-MPC-014</t>
  </si>
  <si>
    <t>XL1-MPC-015</t>
  </si>
  <si>
    <t>XL1-MPC-016</t>
  </si>
  <si>
    <t>XL4-MPC-001</t>
  </si>
  <si>
    <t>LP4 Đ.CHUYEN NGÀY 26.09.2024</t>
  </si>
  <si>
    <t>XL1-MPC-017</t>
  </si>
  <si>
    <t>XL4-MPC-002</t>
  </si>
  <si>
    <t>XL1-MPC-018</t>
  </si>
  <si>
    <t>XL4-MPC-004</t>
  </si>
  <si>
    <t>XL1-MPC-019</t>
  </si>
  <si>
    <t>XL4-MPC-007</t>
  </si>
  <si>
    <t>XL1-MPC-020</t>
  </si>
  <si>
    <t>XL4-MPC-008</t>
  </si>
  <si>
    <t>XL1-MPC-021</t>
  </si>
  <si>
    <t>XL4-MPC-010</t>
  </si>
  <si>
    <t>XL1-MPC-022</t>
  </si>
  <si>
    <t>XL4-MPC-012</t>
  </si>
  <si>
    <t>XL1-MPC-023</t>
  </si>
  <si>
    <t>XL4-MPC-013</t>
  </si>
  <si>
    <t>XL1-MPC-024</t>
  </si>
  <si>
    <t>XL4-MPC-016</t>
  </si>
  <si>
    <t>XL1-MPC-025</t>
  </si>
  <si>
    <t>XL4-MPC-018</t>
  </si>
  <si>
    <t>XL1-MPC-026</t>
  </si>
  <si>
    <t>XL4-MPC-020</t>
  </si>
  <si>
    <t>XL1-MPC-027</t>
  </si>
  <si>
    <t>XL4-MPC-022</t>
  </si>
  <si>
    <t>XL1-MPC-028</t>
  </si>
  <si>
    <t>XL4-MPC-024</t>
  </si>
  <si>
    <t>XL1-MPC-029</t>
  </si>
  <si>
    <t>XL4-MPC-025</t>
  </si>
  <si>
    <t>ZOZC11M1</t>
  </si>
  <si>
    <t>XL1-MPC-030</t>
  </si>
  <si>
    <t>XL4-MPC-026</t>
  </si>
  <si>
    <t>ZOZC11M2</t>
  </si>
  <si>
    <t>XL1-MPC-031</t>
  </si>
  <si>
    <t>XL4-MPC-027</t>
  </si>
  <si>
    <t>ZOZC11M3</t>
  </si>
  <si>
    <t>XL1-MPC-032</t>
  </si>
  <si>
    <t>XL4-MPC-028</t>
  </si>
  <si>
    <t>ZOZC11M4</t>
  </si>
  <si>
    <t>XL1-MPC-033</t>
  </si>
  <si>
    <t>XA2-MPC-006</t>
  </si>
  <si>
    <t>AD2 ĐCHUYEN NGÀY 31.12.2024</t>
  </si>
  <si>
    <t>XL1-MPC-034</t>
  </si>
  <si>
    <t>XA2-MPC-016</t>
  </si>
  <si>
    <t>XL1-MPC-035</t>
  </si>
  <si>
    <t>XA2-MPC-017</t>
  </si>
  <si>
    <t>XL1-MPC-036</t>
  </si>
  <si>
    <t>XA2-MPC-029</t>
  </si>
  <si>
    <t>15/06/2024</t>
  </si>
  <si>
    <t>GCAMT-7646514</t>
  </si>
  <si>
    <t>XL1-MPC-037</t>
  </si>
  <si>
    <t>XA2-MPC-030</t>
  </si>
  <si>
    <t>GCAMT-7589271</t>
  </si>
  <si>
    <t>XL1-MPC-038</t>
  </si>
  <si>
    <t>XA2-MPC-032</t>
  </si>
  <si>
    <t>GCAMT-7589275</t>
  </si>
  <si>
    <t>XL1-MPC-039</t>
  </si>
  <si>
    <t>XA2-MPC-036</t>
  </si>
  <si>
    <t>GCAMT-7589282</t>
  </si>
  <si>
    <t>XL1-MPC-040</t>
  </si>
  <si>
    <t>XA2-MPC-037</t>
  </si>
  <si>
    <t>GCAMT-7635278</t>
  </si>
  <si>
    <t>XL1-MPC-041</t>
  </si>
  <si>
    <t>XA2-MPC-039</t>
  </si>
  <si>
    <t>GCAMT-7633997</t>
  </si>
  <si>
    <t>XL1-MPC-042</t>
  </si>
  <si>
    <t>XA2-MPC-021</t>
  </si>
  <si>
    <t>XL1-MPC-043</t>
  </si>
  <si>
    <t>XA2-MPC-022</t>
  </si>
  <si>
    <t>XL1-MPC-044</t>
  </si>
  <si>
    <t>XA2-MPC-023</t>
  </si>
  <si>
    <t>XD1-MPC-001</t>
  </si>
  <si>
    <t>Có biên bản</t>
  </si>
  <si>
    <t>XD1-MPC-002</t>
  </si>
  <si>
    <t>XD1-MPC-003</t>
  </si>
  <si>
    <t>XD1-MPC-004</t>
  </si>
  <si>
    <t>XD1-MPC-005</t>
  </si>
  <si>
    <t>XD1-MPC-011</t>
  </si>
  <si>
    <t>XD1-MPC-017</t>
  </si>
  <si>
    <t>24/12/2023</t>
  </si>
  <si>
    <t>Cấp ngày 24/12/23</t>
  </si>
  <si>
    <t>XD1-MPC-018</t>
  </si>
  <si>
    <t>XD1-MPC-019</t>
  </si>
  <si>
    <t>XD2-MPC-001</t>
  </si>
  <si>
    <t>MCC 01XN -KLH</t>
  </si>
  <si>
    <t>XD2-MPC-002</t>
  </si>
  <si>
    <t>MCC 02XN -KLH</t>
  </si>
  <si>
    <t>XD2-MPC-003</t>
  </si>
  <si>
    <t>MCC 03XN -KLH</t>
  </si>
  <si>
    <t>XD2-MPC-004</t>
  </si>
  <si>
    <t>MCC 04XN -KLH</t>
  </si>
  <si>
    <t>XD2-MPC-009</t>
  </si>
  <si>
    <t>MCC 09XN -KLH</t>
  </si>
  <si>
    <t>XD2-MPC-011</t>
  </si>
  <si>
    <t>MCC 11XN -KLH</t>
  </si>
  <si>
    <t>XD2-MPC-014</t>
  </si>
  <si>
    <t>MCC 16XN -KLH</t>
  </si>
  <si>
    <t>XD2-MPC-015</t>
  </si>
  <si>
    <t>MCC 17XN -KLH</t>
  </si>
  <si>
    <t>XD2-MPC-016</t>
  </si>
  <si>
    <t>MCC 18XN -KLH</t>
  </si>
  <si>
    <t>XD2-MPC-018</t>
  </si>
  <si>
    <t>XL1-MPC-011</t>
  </si>
  <si>
    <t>XD2-MPC-020</t>
  </si>
  <si>
    <t>XD2-MPC-022</t>
  </si>
  <si>
    <t>XD2-MPC-023</t>
  </si>
  <si>
    <t>XD3-MPC-006</t>
  </si>
  <si>
    <t>XD3-MPC-007</t>
  </si>
  <si>
    <t>XD3-MPC-009</t>
  </si>
  <si>
    <t>chờ vt sửa chữa</t>
  </si>
  <si>
    <t>XD3-MPC-010</t>
  </si>
  <si>
    <t>XD3-MPC-011</t>
  </si>
  <si>
    <t>XD3-MPC-014</t>
  </si>
  <si>
    <t>XD3-MPC-016</t>
  </si>
  <si>
    <t>XD3-MPC-018</t>
  </si>
  <si>
    <t>XD3-MPC-019</t>
  </si>
  <si>
    <t>XD3-MPC-020</t>
  </si>
  <si>
    <t>XD3-MPC-023</t>
  </si>
  <si>
    <t>XD3-MPC-026</t>
  </si>
  <si>
    <t>XD3-MPC-027</t>
  </si>
  <si>
    <t>XD3-MPC-028</t>
  </si>
  <si>
    <t>XD3-MPC-032</t>
  </si>
  <si>
    <t>XD3-MPC-033</t>
  </si>
  <si>
    <t>XD3-MPC-034</t>
  </si>
  <si>
    <t>XD3-MPC-035</t>
  </si>
  <si>
    <t>XD3-MPC-038</t>
  </si>
  <si>
    <t>GCAMT-7717622</t>
  </si>
  <si>
    <t>XD3-MPC-039</t>
  </si>
  <si>
    <t>GCAMT-7716575</t>
  </si>
  <si>
    <t>B.3</t>
  </si>
  <si>
    <t>XN LP4</t>
  </si>
  <si>
    <t>XL4-MPC-003</t>
  </si>
  <si>
    <t>LP4-MCC-003</t>
  </si>
  <si>
    <t>XL4-MPC-005</t>
  </si>
  <si>
    <t>LP4-MCC-005</t>
  </si>
  <si>
    <t>XL4-MPC-006</t>
  </si>
  <si>
    <t>LP4-MCC-006</t>
  </si>
  <si>
    <t>XL4-MPC-009</t>
  </si>
  <si>
    <t>LP4-MCC-009</t>
  </si>
  <si>
    <t>XL4-MPC-011</t>
  </si>
  <si>
    <t>LP4-MCC-011</t>
  </si>
  <si>
    <t>XL4-MPC-014</t>
  </si>
  <si>
    <t>LP4-MCC-014</t>
  </si>
  <si>
    <t>XL4-MPC-015</t>
  </si>
  <si>
    <t>LP4-MCC-015</t>
  </si>
  <si>
    <t>XL4-MPC-017</t>
  </si>
  <si>
    <t>LP4-MCC-017</t>
  </si>
  <si>
    <t>XL4-MPC-019</t>
  </si>
  <si>
    <t>LP4-MCC-019</t>
  </si>
  <si>
    <t>XL4-MPC-021</t>
  </si>
  <si>
    <t>LP4-MCC-021</t>
  </si>
  <si>
    <t>XL4-MPC-023</t>
  </si>
  <si>
    <t>LP4-MCC-023</t>
  </si>
  <si>
    <t>XL4-MPC-029</t>
  </si>
  <si>
    <t>XL1-MPC-005</t>
  </si>
  <si>
    <t>XL4-MPC-030</t>
  </si>
  <si>
    <t>XL1-MPC-006</t>
  </si>
  <si>
    <t>A.2</t>
  </si>
  <si>
    <t>XN CHUỐI AD2</t>
  </si>
  <si>
    <t>XA2-MPC-001</t>
  </si>
  <si>
    <t>XN chuối AD2</t>
  </si>
  <si>
    <t>XA2-MPC-002</t>
  </si>
  <si>
    <t>XA2-MPC-003</t>
  </si>
  <si>
    <t>Có bb sự việc mất ngày 14/05/2024</t>
  </si>
  <si>
    <t>XA2-MPC-004</t>
  </si>
  <si>
    <t>XA2-MPC-013</t>
  </si>
  <si>
    <t>XA2-MPC-014</t>
  </si>
  <si>
    <t>XA2-MPC-015</t>
  </si>
  <si>
    <t>XA2-MPC-018</t>
  </si>
  <si>
    <t>XA2-MPC-019</t>
  </si>
  <si>
    <t>XA2-MPC-020</t>
  </si>
  <si>
    <t>XA2-MPC-024</t>
  </si>
  <si>
    <t>HAAT-2478499</t>
  </si>
  <si>
    <t>GCAMT-7573879</t>
  </si>
  <si>
    <t>XA2-MPC-025</t>
  </si>
  <si>
    <t>HAAT-2478502</t>
  </si>
  <si>
    <t>GCAMT-7573882</t>
  </si>
  <si>
    <t>XA2-MPC-026</t>
  </si>
  <si>
    <t>HAAT-2478494</t>
  </si>
  <si>
    <t>GCAMT-7573874</t>
  </si>
  <si>
    <t>XA2-MPC-027</t>
  </si>
  <si>
    <t>HAAT-2478558</t>
  </si>
  <si>
    <t>GCAMT-7573938</t>
  </si>
  <si>
    <t>XA2-MPC-028</t>
  </si>
  <si>
    <t>GCAMT-7573900</t>
  </si>
  <si>
    <t>XA2-MPC-031</t>
  </si>
  <si>
    <t>GCAMT-7633975</t>
  </si>
  <si>
    <t>XA2-MPC-033</t>
  </si>
  <si>
    <t>GCAMT-7589300</t>
  </si>
  <si>
    <t>XA2-MPC-034</t>
  </si>
  <si>
    <t>GCAMT-7633984</t>
  </si>
  <si>
    <t>XA2-MPC-035</t>
  </si>
  <si>
    <t>GCAMT-7635285</t>
  </si>
  <si>
    <t>XA2-MPC-038</t>
  </si>
  <si>
    <t>GCAMT-7631719</t>
  </si>
  <si>
    <t>XXA-MPC-001</t>
  </si>
  <si>
    <t>XXA-MPC-002</t>
  </si>
  <si>
    <t>XXA-MPC-003</t>
  </si>
  <si>
    <t>XXA-MPC-004</t>
  </si>
  <si>
    <t>XXA-MPC-005</t>
  </si>
  <si>
    <t>XXA-MPC-006</t>
  </si>
  <si>
    <t>XXA-MPC-007</t>
  </si>
  <si>
    <t>XXA-MPC-008</t>
  </si>
  <si>
    <t>XXA-MPC-009</t>
  </si>
  <si>
    <t>XXA-MPC-010</t>
  </si>
  <si>
    <t>XXA-MPC-011</t>
  </si>
  <si>
    <t>XXA-MPC-012</t>
  </si>
  <si>
    <t>XXA-MPC-013</t>
  </si>
  <si>
    <t>XXA-MPC-014</t>
  </si>
  <si>
    <t>XXA-MPC-015</t>
  </si>
  <si>
    <t>XXA-MPC-016</t>
  </si>
  <si>
    <t>XXA-MPC-019</t>
  </si>
  <si>
    <t>GCAMT-4478384</t>
  </si>
  <si>
    <t>XXA-MPC-020</t>
  </si>
  <si>
    <t>GCAMT-4487062</t>
  </si>
  <si>
    <t>XXA-MPC-021</t>
  </si>
  <si>
    <t>GCAMT-4487469</t>
  </si>
  <si>
    <t>XXA-MPC-022</t>
  </si>
  <si>
    <t>GCAMT-4487083</t>
  </si>
  <si>
    <t>XXA-MPC-023</t>
  </si>
  <si>
    <t>GCAMT-4487399</t>
  </si>
  <si>
    <t>XXA-MPC-024</t>
  </si>
  <si>
    <t>GCAMT-4487117</t>
  </si>
  <si>
    <t>XXA-MPC-025</t>
  </si>
  <si>
    <t>GCAMT-4487116</t>
  </si>
  <si>
    <t>XXA-MPC-026</t>
  </si>
  <si>
    <t>GCAMT-4487480</t>
  </si>
  <si>
    <t>XXA-MPC-027</t>
  </si>
  <si>
    <t>GCAMT-4487001</t>
  </si>
  <si>
    <t>XXA-MPC-028</t>
  </si>
  <si>
    <t>GCAMT-4487023</t>
  </si>
  <si>
    <t>XXA-MPC-029</t>
  </si>
  <si>
    <t>GCAMT-4487082</t>
  </si>
  <si>
    <t>XXA-MPC-030</t>
  </si>
  <si>
    <t>GCAMT-4487276</t>
  </si>
  <si>
    <t>XXA-MPC-031</t>
  </si>
  <si>
    <t>GCAMT-4487271</t>
  </si>
  <si>
    <t>XXA-MPC-032</t>
  </si>
  <si>
    <t>GCAMT-4487296</t>
  </si>
  <si>
    <t>XXA-MPC-033</t>
  </si>
  <si>
    <t>GCAMT-4487485</t>
  </si>
  <si>
    <t>XXA-MPC-034</t>
  </si>
  <si>
    <t>GCAMT-7657284</t>
  </si>
  <si>
    <t>XXA-MPC-035</t>
  </si>
  <si>
    <t>GCAMT-7676275</t>
  </si>
  <si>
    <t>XXA-MPC-036</t>
  </si>
  <si>
    <t>GCAMT-7676395</t>
  </si>
  <si>
    <t>XXA-MPC-037</t>
  </si>
  <si>
    <t>GCAMT-7676316</t>
  </si>
  <si>
    <t>XXA-MPC-038</t>
  </si>
  <si>
    <t>GCAMT-7676264</t>
  </si>
  <si>
    <t>XXA-MPC-039</t>
  </si>
  <si>
    <t>GCAMT-7677968</t>
  </si>
  <si>
    <t>XXA-MPC-040</t>
  </si>
  <si>
    <t>GCAMT-7655347</t>
  </si>
  <si>
    <t>XXA-MPC-041</t>
  </si>
  <si>
    <t>GCAMT-7655401</t>
  </si>
  <si>
    <t>XXA-MPC-042</t>
  </si>
  <si>
    <t>GCAMT-7676273</t>
  </si>
  <si>
    <t>XXA-MPC-043</t>
  </si>
  <si>
    <t>GCAMT-7676367</t>
  </si>
  <si>
    <t>XBA-MPC-001</t>
  </si>
  <si>
    <t>XBA-MPC-002</t>
  </si>
  <si>
    <t>Láp + dây curoa</t>
  </si>
  <si>
    <t>XBA-MPC-003</t>
  </si>
  <si>
    <t>dây curoa</t>
  </si>
  <si>
    <t>XBA-MPC-004</t>
  </si>
  <si>
    <t>XBA-MPC-005</t>
  </si>
  <si>
    <t>XBA-MPC-006</t>
  </si>
  <si>
    <t>XBA-MPC-007</t>
  </si>
  <si>
    <t>GCAMT-4487275</t>
  </si>
  <si>
    <t>XBA-MPC-008</t>
  </si>
  <si>
    <t>GCAMT-4487389</t>
  </si>
  <si>
    <t>XBA-MPC-009</t>
  </si>
  <si>
    <t>GCAMT-4487022</t>
  </si>
  <si>
    <t>XBA-MPC-010</t>
  </si>
  <si>
    <t>GCAMT-4487009</t>
  </si>
  <si>
    <t>XBA-MPC-011</t>
  </si>
  <si>
    <t>bể lốc máy</t>
  </si>
  <si>
    <t>GCAMT-4487449</t>
  </si>
  <si>
    <t>XBA-MPC-013</t>
  </si>
  <si>
    <t>GCAMT-7676330</t>
  </si>
  <si>
    <t>XBA-MPC-014</t>
  </si>
  <si>
    <t>GCAMT-7655299</t>
  </si>
  <si>
    <t>XBA-MPC-015</t>
  </si>
  <si>
    <t>GCAMT-7677905</t>
  </si>
  <si>
    <t>XD2-MPC-025</t>
  </si>
  <si>
    <t>Mất có biên bản</t>
  </si>
  <si>
    <t>XD2-MPC-026</t>
  </si>
  <si>
    <t>DANH MỤC MÁY PHÁT ĐIỆN THUỘC KLH</t>
  </si>
  <si>
    <t>MÃ MMTB MỚI</t>
  </si>
  <si>
    <t>MÃ MMTB CŨ (CẤP DẦU)</t>
  </si>
  <si>
    <t>TÊN MMTB</t>
  </si>
  <si>
    <t>SỐ KHUNG
/SỐ MÁY</t>
  </si>
  <si>
    <t>ĐƠN VỊ SỬ DỤNG</t>
  </si>
  <si>
    <t>Định mức n.liệu
(Lít/Giờ)</t>
  </si>
  <si>
    <t>Ngày sử dụng theo bbbg</t>
  </si>
  <si>
    <t>TÌNH TRẠNG</t>
  </si>
  <si>
    <t>VỊ TRÍ SỬ DỤNG</t>
  </si>
  <si>
    <t>KHU VỰC DAUNPENH</t>
  </si>
  <si>
    <t>KDP-MFĐ-001</t>
  </si>
  <si>
    <t>XDP-MFĐ-001</t>
  </si>
  <si>
    <t>M.Phát điện 150kW</t>
  </si>
  <si>
    <t>PG2104007406</t>
  </si>
  <si>
    <t>MPY165C</t>
  </si>
  <si>
    <t>MULTIPHASE</t>
  </si>
  <si>
    <t>150 KW</t>
  </si>
  <si>
    <t>XSXC DP1</t>
  </si>
  <si>
    <t>KDP-MFĐ-014</t>
  </si>
  <si>
    <t>M.Phát điện 8.5kW</t>
  </si>
  <si>
    <t>9800SE</t>
  </si>
  <si>
    <t>GAMA POWER</t>
  </si>
  <si>
    <t>8.5 KW</t>
  </si>
  <si>
    <t>Bảo trì sửa chữa ht ròng rọc DP1</t>
  </si>
  <si>
    <t>KDP-MFĐ-021</t>
  </si>
  <si>
    <t>KLP-MFĐ-010</t>
  </si>
  <si>
    <t>M.Phát điện 165kW</t>
  </si>
  <si>
    <t>NEF67TM4S500</t>
  </si>
  <si>
    <t>FPT</t>
  </si>
  <si>
    <t>165KW</t>
  </si>
  <si>
    <t>NT DP1.1</t>
  </si>
  <si>
    <t>KDP-MFĐ-024</t>
  </si>
  <si>
    <t>M.Phát điện 3.5kW</t>
  </si>
  <si>
    <t>Chiaki</t>
  </si>
  <si>
    <t>3kW</t>
  </si>
  <si>
    <t>Thi công hệ thống phun thuốc XN DP1</t>
  </si>
  <si>
    <t>KDP-MFĐ-002</t>
  </si>
  <si>
    <t>XDP-MFĐ-003</t>
  </si>
  <si>
    <t>PG2104007408</t>
  </si>
  <si>
    <t>NT DP2.1</t>
  </si>
  <si>
    <t>KDP-MFĐ-003</t>
  </si>
  <si>
    <t>XDP-MFĐ-004</t>
  </si>
  <si>
    <t>11-210500013</t>
  </si>
  <si>
    <t>HT5F15</t>
  </si>
  <si>
    <t>HUU TOAN</t>
  </si>
  <si>
    <t>Lô 101</t>
  </si>
  <si>
    <t>KDP-MFĐ-025</t>
  </si>
  <si>
    <t>Thi công hệ thống phun thuốc XN DP2</t>
  </si>
  <si>
    <t>KDP-MFĐ-004</t>
  </si>
  <si>
    <t>XDP-MFĐ-005</t>
  </si>
  <si>
    <t>PG2104007407</t>
  </si>
  <si>
    <t>Lô 63</t>
  </si>
  <si>
    <t>KDP-MFĐ-005</t>
  </si>
  <si>
    <t>XDP-MFĐ-006</t>
  </si>
  <si>
    <t>11-210500014</t>
  </si>
  <si>
    <t>XĐG DP3A (lô 34)</t>
  </si>
  <si>
    <t>KDP-MFĐ-006</t>
  </si>
  <si>
    <t>XDP-MFĐ-007</t>
  </si>
  <si>
    <t>M.Phát điện 250kW</t>
  </si>
  <si>
    <t>250 KW</t>
  </si>
  <si>
    <t>XSXC DP3</t>
  </si>
  <si>
    <t>KDP-MFĐ-007</t>
  </si>
  <si>
    <t>XDP-MFĐ-008</t>
  </si>
  <si>
    <t>XĐG DP4A (lô 151)</t>
  </si>
  <si>
    <t>KDP-MFĐ-015</t>
  </si>
  <si>
    <t>Bảo trì sửa chữa xưởng CK XN3</t>
  </si>
  <si>
    <t>KDP-MFĐ-026</t>
  </si>
  <si>
    <t>Thi công hệ thống phun thuốc XN DP3</t>
  </si>
  <si>
    <t>KDP-MFĐ-008</t>
  </si>
  <si>
    <t>11-210500006</t>
  </si>
  <si>
    <t>VP DP</t>
  </si>
  <si>
    <t>KDP-MFĐ-009</t>
  </si>
  <si>
    <t>M.Phát điện 1100kW</t>
  </si>
  <si>
    <t>3022B000064</t>
  </si>
  <si>
    <t>12M26G1100/5</t>
  </si>
  <si>
    <t>BAUDOUIN</t>
  </si>
  <si>
    <t>1100 KW</t>
  </si>
  <si>
    <t>KHO TỔNG</t>
  </si>
  <si>
    <t>KDP-MFĐ-010</t>
  </si>
  <si>
    <t>MPĐ-01</t>
  </si>
  <si>
    <t>M.Phát điện 25.8kW</t>
  </si>
  <si>
    <t>Đội cơ khí bảo trì DP</t>
  </si>
  <si>
    <t>Vikyno RV325</t>
  </si>
  <si>
    <t>25.8 KW</t>
  </si>
  <si>
    <t>KDP-MFĐ-011</t>
  </si>
  <si>
    <t>MPĐ-02</t>
  </si>
  <si>
    <t>M.Phát điện 16.4kW</t>
  </si>
  <si>
    <t>16.4 KW</t>
  </si>
  <si>
    <t>KDP-MFĐ-012</t>
  </si>
  <si>
    <t>MPĐ-03</t>
  </si>
  <si>
    <t>M.Phát điện 18.6kW</t>
  </si>
  <si>
    <t>ZS115</t>
  </si>
  <si>
    <t>18.6 KW</t>
  </si>
  <si>
    <t>KDP-MFĐ-013</t>
  </si>
  <si>
    <t>MPĐ-04</t>
  </si>
  <si>
    <t>KDP-MFĐ-016</t>
  </si>
  <si>
    <t>NEF67TM4S500/1800159</t>
  </si>
  <si>
    <t>BDTXD DP</t>
  </si>
  <si>
    <t>150KW</t>
  </si>
  <si>
    <t>Phát điện thi công hồ tưới DP3.HT3&amp;5</t>
  </si>
  <si>
    <t>KDP-MFĐ-017</t>
  </si>
  <si>
    <t>NEF67TM4S500/001800156</t>
  </si>
  <si>
    <t>30/12/2023</t>
  </si>
  <si>
    <t>Phát điện thi công kênh L250-XNDP3</t>
  </si>
  <si>
    <t>KDP-MFĐ-018</t>
  </si>
  <si>
    <t>KAD-MFĐ-002</t>
  </si>
  <si>
    <t>250KW</t>
  </si>
  <si>
    <t>17/01/2024</t>
  </si>
  <si>
    <t>Thu hồi từ lô 104</t>
  </si>
  <si>
    <t>Lô 94</t>
  </si>
  <si>
    <t>KDP-MFĐ-019</t>
  </si>
  <si>
    <t>M.Phát điện 18kW</t>
  </si>
  <si>
    <t>HD2V95-24013457</t>
  </si>
  <si>
    <t>Cơ khí lắp đặt RR</t>
  </si>
  <si>
    <t>HD22KVA</t>
  </si>
  <si>
    <t>18 kw</t>
  </si>
  <si>
    <t>27/09/2024</t>
  </si>
  <si>
    <t>NM CƠ KHÍ (MR KHẢI)</t>
  </si>
  <si>
    <t>KDP-MFĐ-020</t>
  </si>
  <si>
    <t>HD2V95-24010324</t>
  </si>
  <si>
    <t>KDP-MFĐ-022</t>
  </si>
  <si>
    <t>ATM-A23-0003</t>
  </si>
  <si>
    <t>M.Phát điện 500kW</t>
  </si>
  <si>
    <t>XĐG XOÀI lô 93</t>
  </si>
  <si>
    <t>500 KW</t>
  </si>
  <si>
    <t>28/03/2020</t>
  </si>
  <si>
    <t>XĐG Xoài DP</t>
  </si>
  <si>
    <t>KDP-MFĐ-023</t>
  </si>
  <si>
    <t>TTBT DP2</t>
  </si>
  <si>
    <t>22/03/2025</t>
  </si>
  <si>
    <t>KAD-MFĐ-023</t>
  </si>
  <si>
    <t>Trạm bê tông DP</t>
  </si>
  <si>
    <t>VC700W-50P</t>
  </si>
  <si>
    <t>M.Phát điện 800kVA</t>
  </si>
  <si>
    <t>VI.24007002</t>
  </si>
  <si>
    <t>Ban ĐN</t>
  </si>
  <si>
    <t>16DTA29E-G</t>
  </si>
  <si>
    <t>VINCI</t>
  </si>
  <si>
    <t>800kVA</t>
  </si>
  <si>
    <t>Văn phòng 94</t>
  </si>
  <si>
    <t>KDP-MFĐ-030</t>
  </si>
  <si>
    <t>Máy phát điện 25kVA</t>
  </si>
  <si>
    <t>SP250807002</t>
  </si>
  <si>
    <t>Xưởng GCHT RR</t>
  </si>
  <si>
    <t>4TNV88-GTE</t>
  </si>
  <si>
    <t>25kVA</t>
  </si>
  <si>
    <t>KDP-MFĐ-031</t>
  </si>
  <si>
    <t>SP250807003</t>
  </si>
  <si>
    <t>KHU VỰC LUMPHAT</t>
  </si>
  <si>
    <t>KLP-MFĐ-001</t>
  </si>
  <si>
    <t>LP1-MPĐ-001</t>
  </si>
  <si>
    <t>11-210500007</t>
  </si>
  <si>
    <t>Láng công 261</t>
  </si>
  <si>
    <t>KLP-MFĐ-002</t>
  </si>
  <si>
    <t>LP3-MFĐ-001</t>
  </si>
  <si>
    <t>11-210500008</t>
  </si>
  <si>
    <t>XĐG LP1</t>
  </si>
  <si>
    <t>12G302AT0108</t>
  </si>
  <si>
    <t>MDG-9800SE</t>
  </si>
  <si>
    <t>MOTOKAWA</t>
  </si>
  <si>
    <t>8.5 kW</t>
  </si>
  <si>
    <t>Sửa chữa ròng rọc lưu động</t>
  </si>
  <si>
    <t>KLP-MFĐ-011</t>
  </si>
  <si>
    <t>Thi công hệ thống phun thuốc XN LP1</t>
  </si>
  <si>
    <t>KLP-MFĐ-009</t>
  </si>
  <si>
    <t>TP9111040114</t>
  </si>
  <si>
    <t>KLP-MFĐ-012</t>
  </si>
  <si>
    <t>Thi công hệ thống phun thuốc XN LP3</t>
  </si>
  <si>
    <t>KLP-MFĐ-013</t>
  </si>
  <si>
    <t>Máy phát điện 250kW</t>
  </si>
  <si>
    <t>6LTAA8.9-G2</t>
  </si>
  <si>
    <t>250kW</t>
  </si>
  <si>
    <t>XXSC LP3</t>
  </si>
  <si>
    <t>KLP-MFĐ-003</t>
  </si>
  <si>
    <t>XLP-MFĐ-006</t>
  </si>
  <si>
    <t>PG2104007413</t>
  </si>
  <si>
    <t>XĐG LP4 (lô 144)</t>
  </si>
  <si>
    <t>KLP-MFĐ-004</t>
  </si>
  <si>
    <t>11-210500005</t>
  </si>
  <si>
    <t>Hành chính LP</t>
  </si>
  <si>
    <t>VP LP</t>
  </si>
  <si>
    <t>KLP-MFĐ-005</t>
  </si>
  <si>
    <t>TBT-MFĐ-001</t>
  </si>
  <si>
    <t>KLP-MFĐ-006</t>
  </si>
  <si>
    <t>Điện nước LP</t>
  </si>
  <si>
    <t>Cửa hàng tiện ích LP</t>
  </si>
  <si>
    <t>KLP-MFĐ-007</t>
  </si>
  <si>
    <t>11-210500009</t>
  </si>
  <si>
    <t>Nhà ở CBNV lô 93</t>
  </si>
  <si>
    <t>KLP-MFĐ-008</t>
  </si>
  <si>
    <t>Thaco MI &amp; E</t>
  </si>
  <si>
    <t>NIPPON SHARYO</t>
  </si>
  <si>
    <t xml:space="preserve">Điện nước Bàn giao </t>
  </si>
  <si>
    <t>Trạm bơm chống ngập</t>
  </si>
  <si>
    <t>KLP-MFĐ-017</t>
  </si>
  <si>
    <t>Máy phát điện 26kW</t>
  </si>
  <si>
    <t>CR25048600</t>
  </si>
  <si>
    <t>DONG PHONG</t>
  </si>
  <si>
    <t>26kVA</t>
  </si>
  <si>
    <t>Đội CK XN LP3</t>
  </si>
  <si>
    <t>KHU VỰC ANDONGMEAS</t>
  </si>
  <si>
    <t>KAD-MFĐ-011</t>
  </si>
  <si>
    <t>XNB-MFD-001</t>
  </si>
  <si>
    <t>M.Phát điện 65kW</t>
  </si>
  <si>
    <t>POWER PRO 65</t>
  </si>
  <si>
    <t>65 KW</t>
  </si>
  <si>
    <t>TRẠI BÒ ADM LÔ 92 (Trại bò cũ)</t>
  </si>
  <si>
    <t>KAD-MFĐ-012</t>
  </si>
  <si>
    <t>CB1-MFD-001</t>
  </si>
  <si>
    <t>TRUNG TÂM CHẾ BIẾN THỨC ĂN-XN BÒ</t>
  </si>
  <si>
    <t>KAD-MFĐ-013</t>
  </si>
  <si>
    <t>CB1-MFD-002</t>
  </si>
  <si>
    <t>11-210500012</t>
  </si>
  <si>
    <t>LÁN CÔNG LÔ 49</t>
  </si>
  <si>
    <t>KAD-MFĐ-021</t>
  </si>
  <si>
    <t>TOL-A22-0726</t>
  </si>
  <si>
    <t>M.Phát điện 3kW</t>
  </si>
  <si>
    <t>YOKOHAMA</t>
  </si>
  <si>
    <t>3 KW</t>
  </si>
  <si>
    <t>KAD-MFĐ-022</t>
  </si>
  <si>
    <t>PG2104007409</t>
  </si>
  <si>
    <t>XNB ( NT Cỏ)</t>
  </si>
  <si>
    <t>Nông trưởng cỏ XNB</t>
  </si>
  <si>
    <t>Chờ bbbg</t>
  </si>
  <si>
    <t>Lưu động kéo theo dàn băm chuối</t>
  </si>
  <si>
    <t>KAD-MFĐ-026</t>
  </si>
  <si>
    <t>6BTAA59-G2</t>
  </si>
  <si>
    <t>DONGFENG</t>
  </si>
  <si>
    <t>đã qua sử dụng</t>
  </si>
  <si>
    <t>TTCB TA (sử dụng tại lô 28)</t>
  </si>
  <si>
    <t>KAD-MFĐ-003</t>
  </si>
  <si>
    <t>AD2-MFĐ-001</t>
  </si>
  <si>
    <t>XĐG AD2A (lô 61)</t>
  </si>
  <si>
    <t>KAD-MFĐ-004</t>
  </si>
  <si>
    <t>AD2-MFĐ-002</t>
  </si>
  <si>
    <t>XĐG AD2C (lô 23)</t>
  </si>
  <si>
    <t>KAD-MFĐ-025</t>
  </si>
  <si>
    <t>CC-013</t>
  </si>
  <si>
    <t>TP9111040441</t>
  </si>
  <si>
    <t>Đội Cơ khí AD2</t>
  </si>
  <si>
    <t>Ban Điện Nước</t>
  </si>
  <si>
    <t>KAD-MFĐ-088</t>
  </si>
  <si>
    <t>M.Phát điện 60kVA</t>
  </si>
  <si>
    <t>101402-7060</t>
  </si>
  <si>
    <t>ZEXEL</t>
  </si>
  <si>
    <t>Japan</t>
  </si>
  <si>
    <t>60kVA</t>
  </si>
  <si>
    <t>KAD-MFĐ-001</t>
  </si>
  <si>
    <t>11-210500011</t>
  </si>
  <si>
    <t>Ban QL DTXD LP mượn</t>
  </si>
  <si>
    <t>THU HỒI XĐG LP10A( lô 198)</t>
  </si>
  <si>
    <t>KAD-MFĐ-005</t>
  </si>
  <si>
    <t>Điện nước AD</t>
  </si>
  <si>
    <t>NISHIO</t>
  </si>
  <si>
    <t>NHÀ Ở CBCNV LÔ 14-AD2</t>
  </si>
  <si>
    <t>KAD-MFĐ-006</t>
  </si>
  <si>
    <t>ĐNA-MFĐ-001</t>
  </si>
  <si>
    <t>M.Phát điện 60kW</t>
  </si>
  <si>
    <t>SDG60S</t>
  </si>
  <si>
    <t>60 KW</t>
  </si>
  <si>
    <t>PHỤC VỤ CÔNG VIỆC CHO ĐIỆN NƯỚC ADM</t>
  </si>
  <si>
    <t>KAD-MFĐ-007</t>
  </si>
  <si>
    <t>XAD-MFĐ-007</t>
  </si>
  <si>
    <t>Nhà máy xốp</t>
  </si>
  <si>
    <t>ALTENATOR</t>
  </si>
  <si>
    <t>Xưởng nhưạ DP</t>
  </si>
  <si>
    <t>KAD-MFĐ-008</t>
  </si>
  <si>
    <t>CKC-MFĐ-001</t>
  </si>
  <si>
    <t>Hành chính ADM</t>
  </si>
  <si>
    <t>NHÀ Ở CBCNV LÔ 132 (CỌ DẦU)</t>
  </si>
  <si>
    <t>KAD-MFĐ-009</t>
  </si>
  <si>
    <t>ĐNA-MFĐ-003</t>
  </si>
  <si>
    <t>11-210500010</t>
  </si>
  <si>
    <t>Nhà tôn 65</t>
  </si>
  <si>
    <t>KAD-MFĐ-010</t>
  </si>
  <si>
    <t>ĐNA-MFĐ-002</t>
  </si>
  <si>
    <t>S211960</t>
  </si>
  <si>
    <t>Văn phòng 65</t>
  </si>
  <si>
    <t>KAD-MFĐ-014</t>
  </si>
  <si>
    <t>Ban cơ giới MMTB</t>
  </si>
  <si>
    <t>XƯỞNG CƠ GIỚI ADM</t>
  </si>
  <si>
    <t>KAD-MFĐ-015</t>
  </si>
  <si>
    <t>PG2104007410</t>
  </si>
  <si>
    <t xml:space="preserve">Ban QLĐTXD ADM </t>
  </si>
  <si>
    <t>BAN QLĐT XD</t>
  </si>
  <si>
    <t>KAD-MFĐ-016</t>
  </si>
  <si>
    <t>CKC-MFĐ-03</t>
  </si>
  <si>
    <t>Thaco M&amp;E</t>
  </si>
  <si>
    <t>THACO M&amp;E</t>
  </si>
  <si>
    <t>KAD-MFĐ-017</t>
  </si>
  <si>
    <t>CKC-MFĐ-02</t>
  </si>
  <si>
    <t>M.Phát điện 25kW</t>
  </si>
  <si>
    <t>25 KW</t>
  </si>
  <si>
    <t>KAD-MFĐ-018</t>
  </si>
  <si>
    <t>CKC-MFĐ-01</t>
  </si>
  <si>
    <t>M.Phát điện 100kW</t>
  </si>
  <si>
    <t>100 KW</t>
  </si>
  <si>
    <t>KAD-MFĐ-019</t>
  </si>
  <si>
    <t>CKA-MFA-001</t>
  </si>
  <si>
    <t>M.Phát điện 10kW</t>
  </si>
  <si>
    <t>Xưởng CK-MMTB AD&amp;LP</t>
  </si>
  <si>
    <t>EKB 7500</t>
  </si>
  <si>
    <t>10 KW</t>
  </si>
  <si>
    <t>XƯỞNG CK</t>
  </si>
  <si>
    <t>KAD-MFĐ-020</t>
  </si>
  <si>
    <t>CKA-MFA-002</t>
  </si>
  <si>
    <t>M.Phát điện 7.5kW</t>
  </si>
  <si>
    <t>MK-8500WE</t>
  </si>
  <si>
    <t>7.5 KW</t>
  </si>
  <si>
    <t>KAD-MFĐ-024</t>
  </si>
  <si>
    <t>Trạm trộn bê tông ADM</t>
  </si>
  <si>
    <t>TỔNG CỘNG</t>
  </si>
  <si>
    <t>DANH MỤC MÁY CƯA VÀ MÁY KHOAN HỐ THUỘC KLH</t>
  </si>
  <si>
    <t>MÁY CƯA GỖ (XĂNG 2 THÌ)</t>
  </si>
  <si>
    <t>STIHL</t>
  </si>
  <si>
    <t>Trung Quốc</t>
  </si>
  <si>
    <t>MS382</t>
  </si>
  <si>
    <t>3.9HP</t>
  </si>
  <si>
    <t>I.4</t>
  </si>
  <si>
    <t>27/08/2025</t>
  </si>
  <si>
    <t>MS-182</t>
  </si>
  <si>
    <t>2.1HP</t>
  </si>
  <si>
    <t>TOL-A22-979</t>
  </si>
  <si>
    <t>29/05/2024</t>
  </si>
  <si>
    <t>MAKITA</t>
  </si>
  <si>
    <t>EA3200S40B</t>
  </si>
  <si>
    <t>0A232A322</t>
  </si>
  <si>
    <t>M2377569</t>
  </si>
  <si>
    <t>0A232A32X</t>
  </si>
  <si>
    <t>M2377562</t>
  </si>
  <si>
    <t>0A232A328</t>
  </si>
  <si>
    <t>M2377561</t>
  </si>
  <si>
    <t>0A232A329</t>
  </si>
  <si>
    <t>M2377584</t>
  </si>
  <si>
    <t>M2377608</t>
  </si>
  <si>
    <t>21/11/2023</t>
  </si>
  <si>
    <t>Motso</t>
  </si>
  <si>
    <t>14/09/2024</t>
  </si>
  <si>
    <t>11</t>
  </si>
  <si>
    <t>12</t>
  </si>
  <si>
    <t>13</t>
  </si>
  <si>
    <t>XB1-MCG-012</t>
  </si>
  <si>
    <t>A22-MCG-012</t>
  </si>
  <si>
    <t>29/04/2026</t>
  </si>
  <si>
    <t>- Kèm theo dụng cụ: 1 tua vít dẹp, 1 tuýp mở bugi, 1 lục giác L 5mm</t>
  </si>
  <si>
    <t>MS 382</t>
  </si>
  <si>
    <t>5.3 Hp</t>
  </si>
  <si>
    <t>14</t>
  </si>
  <si>
    <t>XB1-MCG-013</t>
  </si>
  <si>
    <t>A22-MCG-013</t>
  </si>
  <si>
    <t>15</t>
  </si>
  <si>
    <t>XB1-MCG-014</t>
  </si>
  <si>
    <t>A22-MCG-014</t>
  </si>
  <si>
    <t>16</t>
  </si>
  <si>
    <t>XB1-MCG-015</t>
  </si>
  <si>
    <t>A22-MCG-015</t>
  </si>
  <si>
    <t>17</t>
  </si>
  <si>
    <t>XB1-MCG-016</t>
  </si>
  <si>
    <t>A22-MCG-016</t>
  </si>
  <si>
    <t>IV.1</t>
  </si>
  <si>
    <t>MCU-001</t>
  </si>
  <si>
    <t>MCU-002</t>
  </si>
  <si>
    <t>TOTAL</t>
  </si>
  <si>
    <t>TG5602411</t>
  </si>
  <si>
    <t>2.6HP</t>
  </si>
  <si>
    <t>MCU-003</t>
  </si>
  <si>
    <t>28/10/2023</t>
  </si>
  <si>
    <t>AG-52</t>
  </si>
  <si>
    <t>2.4HP</t>
  </si>
  <si>
    <t>OSHIMA</t>
  </si>
  <si>
    <t>2PS</t>
  </si>
  <si>
    <t>25/04/2024</t>
  </si>
  <si>
    <t>khôgn xoá</t>
  </si>
  <si>
    <t>BẢNG THEO DÕI KẾ HOẠCH THỰC HIỆN THỦ TỤC ĐĂNG KIỂM, KIỂM ĐỊNH VÀ ĐÓNG PHÍ ĐƯỜNG BỘ MMTB KLH HẰNG NĂM</t>
  </si>
  <si>
    <t>Biển số xe</t>
  </si>
  <si>
    <t>Mã Bravo</t>
  </si>
  <si>
    <t>Nhãn hiệu</t>
  </si>
  <si>
    <t>Năm sx</t>
  </si>
  <si>
    <t>THỦ TỤC THEO LUẬT GIAO THÔNG ĐƯỜNG BỘ CAMBODIA</t>
  </si>
  <si>
    <t>ĐĂNG KIỂM, KIỂM ĐỊNH ĐỊNH KỲ</t>
  </si>
  <si>
    <t>PHÍ ĐƯỜNG BỘ HẰNG NĂM</t>
  </si>
  <si>
    <t>Ngày thực hiện</t>
  </si>
  <si>
    <t>Ngày hết hạn</t>
  </si>
  <si>
    <t xml:space="preserve">Kế hoạch thực hiện lần tiếp theo </t>
  </si>
  <si>
    <t xml:space="preserve">I. Xe công vụ </t>
  </si>
  <si>
    <t>1</t>
  </si>
  <si>
    <t>24-0490</t>
  </si>
  <si>
    <t>2</t>
  </si>
  <si>
    <t>3</t>
  </si>
  <si>
    <t>4</t>
  </si>
  <si>
    <t>5</t>
  </si>
  <si>
    <t>XA2-TCD-001</t>
  </si>
  <si>
    <t>6</t>
  </si>
  <si>
    <t>7</t>
  </si>
  <si>
    <t>8</t>
  </si>
  <si>
    <t>X.Tải đông lạnh K200</t>
  </si>
  <si>
    <t>Chưa nộp phí</t>
  </si>
  <si>
    <t>9</t>
  </si>
  <si>
    <t>10</t>
  </si>
  <si>
    <t>II. Xe bồn trộn bê tông</t>
  </si>
  <si>
    <t>24/01/2026</t>
  </si>
  <si>
    <t>20/06/2024</t>
  </si>
  <si>
    <t>20/06/2025</t>
  </si>
  <si>
    <t>20/05/2025</t>
  </si>
  <si>
    <t>III. Xe vận chuyển</t>
  </si>
  <si>
    <t>11/2025</t>
  </si>
  <si>
    <t>11/2026</t>
  </si>
  <si>
    <t>10/2026</t>
  </si>
  <si>
    <t>24/06/2025</t>
  </si>
  <si>
    <t>24/06/2027</t>
  </si>
  <si>
    <t>24/05/2027</t>
  </si>
  <si>
    <t>19/03/2026</t>
  </si>
  <si>
    <t>19/03/2027</t>
  </si>
  <si>
    <t>19/02/2027</t>
  </si>
  <si>
    <t>Bơm</t>
  </si>
  <si>
    <t>DNP-MBT-001</t>
  </si>
  <si>
    <t>Máy bơm chống ngập</t>
  </si>
  <si>
    <t>VD24009016</t>
  </si>
  <si>
    <t>Ban Điện Nước KV DP</t>
  </si>
  <si>
    <t>VD6L160NT</t>
  </si>
  <si>
    <t>DNP-MBT-002</t>
  </si>
  <si>
    <t>VD24009017</t>
  </si>
  <si>
    <t>DNP-MBT-003</t>
  </si>
  <si>
    <t>VD24009015</t>
  </si>
  <si>
    <t>Ban Điện Nước KV ADM</t>
  </si>
  <si>
    <t>CẬP NHẬT MÃ BRAVO MÁY MÓC</t>
  </si>
  <si>
    <t>Mã Bravo New</t>
  </si>
  <si>
    <t>I. KHU VỰC DAUNPENH</t>
  </si>
  <si>
    <t>A23-MĐA-001</t>
  </si>
  <si>
    <t>M.Đào KOBELCO gàu 1.2m3</t>
  </si>
  <si>
    <t>SK250-10</t>
  </si>
  <si>
    <t>LQ16-10073 R0033333</t>
  </si>
  <si>
    <t>A23-MĐA-002</t>
  </si>
  <si>
    <t>M.Đào SH210 gàu 0.9m3</t>
  </si>
  <si>
    <t>A23-MĐA-003</t>
  </si>
  <si>
    <t>M.Đào DX140W gàu 0.5m3</t>
  </si>
  <si>
    <t>A23-MĐA-004</t>
  </si>
  <si>
    <t>A23-MĐA-044</t>
  </si>
  <si>
    <t>A23-MĐA-045</t>
  </si>
  <si>
    <t>M.Đào SH130 gàu 0.5m3</t>
  </si>
  <si>
    <t>- Bàn giao về XDCB ngày 01/07/2024 (Chờ BBBG)</t>
  </si>
  <si>
    <t>Nhật bản</t>
  </si>
  <si>
    <t>M.Đào KOMATSU gàu 0.3m3</t>
  </si>
  <si>
    <t>Đổi đcơ MĐ05</t>
  </si>
  <si>
    <t>CGTC DP (XDCB)</t>
  </si>
  <si>
    <t>A23-MUI-001</t>
  </si>
  <si>
    <t>A23-MUI-002</t>
  </si>
  <si>
    <t>A23-MUI-010</t>
  </si>
  <si>
    <t>GTL D300E4-15T</t>
  </si>
  <si>
    <t>A23-XTA-014</t>
  </si>
  <si>
    <t>CHT-XTA-020</t>
  </si>
  <si>
    <t>Xe Forland FD990-4WDXTH4-5T</t>
  </si>
  <si>
    <t>Đ.chuyển từ XN DP1 ngày 25/06/2024</t>
  </si>
  <si>
    <t>THACO FD990-4WD FD99C29F095</t>
  </si>
  <si>
    <t>CHT-XTA-021</t>
  </si>
  <si>
    <t>CHT-XTA-022</t>
  </si>
  <si>
    <t>CHT-XTA-023</t>
  </si>
  <si>
    <t>Xe ben FD 850 (cấp nước sạch bồn 5000L)</t>
  </si>
  <si>
    <t>CGTC DP giao qua HC DP</t>
  </si>
  <si>
    <t>167HP</t>
  </si>
  <si>
    <t>Xe ben AUMAN GTL D300 E4 (Cấp dầu)</t>
  </si>
  <si>
    <t>Xe Ben FD150</t>
  </si>
  <si>
    <t>A23-XTA-050</t>
  </si>
  <si>
    <t>A23-XTA-051</t>
  </si>
  <si>
    <t>A23-XTA-052</t>
  </si>
  <si>
    <t>A23-XBO-005</t>
  </si>
  <si>
    <t>AUMAN ETX D300 8X4 (Bồn tưới 18m3)</t>
  </si>
  <si>
    <t>I.5</t>
  </si>
  <si>
    <t>A23-BAN-003</t>
  </si>
  <si>
    <t>A23-BAN-001</t>
  </si>
  <si>
    <t>I.6</t>
  </si>
  <si>
    <t>X.Lu rung 11 tấn</t>
  </si>
  <si>
    <t>X.Lu tĩnh 10 tấn</t>
  </si>
  <si>
    <t xml:space="preserve">CGTC DP </t>
  </si>
  <si>
    <t>Giao về XDCB (DP1 sử dụng)</t>
  </si>
  <si>
    <t>I.7</t>
  </si>
  <si>
    <t>Xe nâng  tay điện 1.5 tấn</t>
  </si>
  <si>
    <t>A23-XNA-002</t>
  </si>
  <si>
    <t>Xe nâng điện 1.5tấn</t>
  </si>
  <si>
    <t>I.8</t>
  </si>
  <si>
    <t>Xe tải Faw 15T</t>
  </si>
  <si>
    <t>XE HUYNDAI 15T</t>
  </si>
  <si>
    <t>Xe ben FC 950</t>
  </si>
  <si>
    <t>I.9</t>
  </si>
  <si>
    <t>Xe chuyên dụng</t>
  </si>
  <si>
    <t>Xe tải Libero - 2A-0239</t>
  </si>
  <si>
    <t>I.10</t>
  </si>
  <si>
    <t>Máy kéo</t>
  </si>
  <si>
    <t>CNN-MKE-002</t>
  </si>
  <si>
    <t>A23-MKE-001</t>
  </si>
  <si>
    <t>A23-MKE-018</t>
  </si>
  <si>
    <t>DP3 chuyển qua</t>
  </si>
  <si>
    <t>A23-MKE-004</t>
  </si>
  <si>
    <t>M.Cày JD 6603</t>
  </si>
  <si>
    <t>M.Cày JD 6120B</t>
  </si>
  <si>
    <t>JONHDEERE</t>
  </si>
  <si>
    <t>M.Cày JD 5090E</t>
  </si>
  <si>
    <t>M.Cày JD 6155J</t>
  </si>
  <si>
    <t>M.Cày KAM 50</t>
  </si>
  <si>
    <t>A23-MKE-015</t>
  </si>
  <si>
    <t>XD2-MKE-004</t>
  </si>
  <si>
    <t>C000035</t>
  </si>
  <si>
    <t>Cho LP3 mượn 3-4 tháng</t>
  </si>
  <si>
    <t>A23-MKE-021</t>
  </si>
  <si>
    <t>M.Cày KUBOTA L2002DT</t>
  </si>
  <si>
    <t>M.Cày JD 6400</t>
  </si>
  <si>
    <t>CGLD DP</t>
  </si>
  <si>
    <t>20/01/2025</t>
  </si>
  <si>
    <t>M.Cày LOVOL 1504</t>
  </si>
  <si>
    <t>Máy cày JD 2850</t>
  </si>
  <si>
    <t>Máy cày JD 3350</t>
  </si>
  <si>
    <t>Máy cày JD 7800</t>
  </si>
  <si>
    <t>I.11</t>
  </si>
  <si>
    <t xml:space="preserve">Xe Clethon </t>
  </si>
  <si>
    <t>XND-CLT-001</t>
  </si>
  <si>
    <t>Xe CLETHON</t>
  </si>
  <si>
    <t>NT Nhãn DP</t>
  </si>
  <si>
    <t>Từ CAT AD sang</t>
  </si>
  <si>
    <t>XND-CLT-002</t>
  </si>
  <si>
    <t>I.12</t>
  </si>
  <si>
    <t>I.13</t>
  </si>
  <si>
    <t>Đầu kéo container</t>
  </si>
  <si>
    <t>Xe Container</t>
  </si>
  <si>
    <t>FZ490</t>
  </si>
  <si>
    <t>I.14</t>
  </si>
  <si>
    <t>Máy cắt cỏ mini</t>
  </si>
  <si>
    <t>Máy cắt cỏ mini Yanmar</t>
  </si>
  <si>
    <t>XN chuối DP1</t>
  </si>
  <si>
    <t>II. KHU VỰC LUMPHAT</t>
  </si>
  <si>
    <t>Máy đào LP</t>
  </si>
  <si>
    <t>A23-MĐA-016</t>
  </si>
  <si>
    <t>CHT-MĐA-050</t>
  </si>
  <si>
    <t>A24-MĐA-002</t>
  </si>
  <si>
    <t>A24-MĐA-006</t>
  </si>
  <si>
    <t>M.đào KOMATSU gàu 0.3m3</t>
  </si>
  <si>
    <t>38 HP</t>
  </si>
  <si>
    <t>A24-MĐA-001</t>
  </si>
  <si>
    <t>A24-MĐA-003</t>
  </si>
  <si>
    <t xml:space="preserve">Điều chuyển từ ADM </t>
  </si>
  <si>
    <t>A24-MĐA-004</t>
  </si>
  <si>
    <t>A24-MĐA-005</t>
  </si>
  <si>
    <t>M.Đào CAT 305 gàu 0.3m3</t>
  </si>
  <si>
    <t>CGTC LP (XDCB)</t>
  </si>
  <si>
    <t>27/07/2024</t>
  </si>
  <si>
    <t>Máy ủi LP</t>
  </si>
  <si>
    <t>A23-MUI-003</t>
  </si>
  <si>
    <t>A23-MUI-004</t>
  </si>
  <si>
    <t>A23-MUI-009</t>
  </si>
  <si>
    <t>Xe tải LP</t>
  </si>
  <si>
    <t>CHT-XTA-018</t>
  </si>
  <si>
    <t>CHT-XTA-019</t>
  </si>
  <si>
    <t>FD990</t>
  </si>
  <si>
    <t>Xe ben FD 140</t>
  </si>
  <si>
    <t>Xe ben FD 850</t>
  </si>
  <si>
    <t>A23-XTA-016</t>
  </si>
  <si>
    <t>A23-XTA-017</t>
  </si>
  <si>
    <t>A24-XTA-009</t>
  </si>
  <si>
    <t>Chuyển DP2 mượn từ 19-04 đến 19-07</t>
  </si>
  <si>
    <t>XL4-XTA-001</t>
  </si>
  <si>
    <t>Xe ben FD 850 (Cấp dầu)</t>
  </si>
  <si>
    <t>II.4</t>
  </si>
  <si>
    <t>Xe bồn LP</t>
  </si>
  <si>
    <t>A24-XB0-001</t>
  </si>
  <si>
    <t>A23-XBO-004</t>
  </si>
  <si>
    <t>Đề xuất thanh lý</t>
  </si>
  <si>
    <t>II.5</t>
  </si>
  <si>
    <t>Xe ban LP</t>
  </si>
  <si>
    <t>A23-BAN-002</t>
  </si>
  <si>
    <t>II.6</t>
  </si>
  <si>
    <t>Xe lu LP</t>
  </si>
  <si>
    <t>A23-XLU-003</t>
  </si>
  <si>
    <t>SV512DH</t>
  </si>
  <si>
    <t>A23-XLU-004</t>
  </si>
  <si>
    <t>II.7</t>
  </si>
  <si>
    <t>Xe nâng LP</t>
  </si>
  <si>
    <t>Xe nâng điện 3 tấn</t>
  </si>
  <si>
    <t>II.8</t>
  </si>
  <si>
    <t>Xe phun thuốc LP</t>
  </si>
  <si>
    <t>XL4-XPT-001</t>
  </si>
  <si>
    <t>A24-XPT-002</t>
  </si>
  <si>
    <t>Xe tải Hyundai 15T</t>
  </si>
  <si>
    <t>II.9</t>
  </si>
  <si>
    <t>Xe chuyên dụng LP</t>
  </si>
  <si>
    <t>II.10</t>
  </si>
  <si>
    <t>Máy kéo LP</t>
  </si>
  <si>
    <t>A24-MKE-009</t>
  </si>
  <si>
    <t>CNN-MKE-010</t>
  </si>
  <si>
    <t>124HP</t>
  </si>
  <si>
    <t>A24-MKE-022</t>
  </si>
  <si>
    <t>A24-MKE-025</t>
  </si>
  <si>
    <t>A24-MKE-023</t>
  </si>
  <si>
    <t>A24-MKE-004</t>
  </si>
  <si>
    <t>A24-MKE-001</t>
  </si>
  <si>
    <t>A24-MKE-002</t>
  </si>
  <si>
    <t>A24-MKE-003</t>
  </si>
  <si>
    <t>A24-MKE-005</t>
  </si>
  <si>
    <t>A24-MKE-006</t>
  </si>
  <si>
    <t>A24-MKE-029</t>
  </si>
  <si>
    <t>II.11</t>
  </si>
  <si>
    <t>Xe Clethon</t>
  </si>
  <si>
    <t>II.12</t>
  </si>
  <si>
    <t xml:space="preserve">Xe cẩu </t>
  </si>
  <si>
    <t>ATT-A23-0030</t>
  </si>
  <si>
    <t>A23-XCA-002</t>
  </si>
  <si>
    <t>Xe cẩu tải 3.5 tấn</t>
  </si>
  <si>
    <t>2017</t>
  </si>
  <si>
    <t>II.13</t>
  </si>
  <si>
    <t>A24-CCM-001</t>
  </si>
  <si>
    <t>III. KHU VỰC ANDONGMEAS</t>
  </si>
  <si>
    <t>Máy đào AD</t>
  </si>
  <si>
    <t>A23-MĐA-046</t>
  </si>
  <si>
    <t>A23-MĐA-024</t>
  </si>
  <si>
    <t>A23-MĐA-025</t>
  </si>
  <si>
    <t>A23-MĐA-026</t>
  </si>
  <si>
    <t>A22-MĐA-001</t>
  </si>
  <si>
    <t>A22-MĐA-003</t>
  </si>
  <si>
    <t>M.Đào CAT 305 gàu 0.3m3</t>
  </si>
  <si>
    <t>A22-MĐA-002</t>
  </si>
  <si>
    <t>XN AD2 đ.chuyển qua ngày 25/06/2024 (chờ BBBG)</t>
  </si>
  <si>
    <t>A22-MĐA-004</t>
  </si>
  <si>
    <t>XN AD đ.chuyển qua XDCB ngày 08/08/2024</t>
  </si>
  <si>
    <t>M.Đào KOMATSU bánh lốp gàu 0.7m3</t>
  </si>
  <si>
    <t>M.Đào KOMATSU gàu 0.8m3</t>
  </si>
  <si>
    <t>Máy ủi AD</t>
  </si>
  <si>
    <t>A23-MUI-005</t>
  </si>
  <si>
    <t>A23-MUI-006</t>
  </si>
  <si>
    <t>A23-MUI-007</t>
  </si>
  <si>
    <t>Máy ủi KOMATSU D65PX-16</t>
  </si>
  <si>
    <t>A23-MUI-008</t>
  </si>
  <si>
    <t>Xe tải AD</t>
  </si>
  <si>
    <t>A22-XTA-001</t>
  </si>
  <si>
    <t>XA2-XTA-002</t>
  </si>
  <si>
    <t>A22-XTA-002</t>
  </si>
  <si>
    <t>XA2-XTA-003</t>
  </si>
  <si>
    <t>A22-XTA-003</t>
  </si>
  <si>
    <t>A22-XTA-004</t>
  </si>
  <si>
    <t>Điều chuyển từ GNVC KLH 01/07/2024 (chờ BBBG)</t>
  </si>
  <si>
    <t>AD</t>
  </si>
  <si>
    <t>A22-XTA-005</t>
  </si>
  <si>
    <t>A22-XTA-007</t>
  </si>
  <si>
    <t>Xe tải ben Howo</t>
  </si>
  <si>
    <t>A22-XTA-015</t>
  </si>
  <si>
    <t>Xe bồn AD</t>
  </si>
  <si>
    <t>A23-XBO-003</t>
  </si>
  <si>
    <t>Xe ban AD</t>
  </si>
  <si>
    <t>A23-BAN-004</t>
  </si>
  <si>
    <t>Xe lu AD</t>
  </si>
  <si>
    <t>A23-XLU-006</t>
  </si>
  <si>
    <t>A23-XLU-007</t>
  </si>
  <si>
    <t>Xe cẩu AD</t>
  </si>
  <si>
    <t>A23-XCA-001</t>
  </si>
  <si>
    <t>- Mã cũ: CHT-XCA-002, ĐCHUYỂN về THACO ID M&amp;E 29/07/2024</t>
  </si>
  <si>
    <t>A22-XCA-001</t>
  </si>
  <si>
    <t>Xe cẩu tải 5 tấn</t>
  </si>
  <si>
    <t>- Điều chuyển về KLH SNOUL ngày 18/07/2024</t>
  </si>
  <si>
    <t>CKC-XCA-005</t>
  </si>
  <si>
    <t>A22-XCA-005</t>
  </si>
  <si>
    <t xml:space="preserve">Xe cẩu 3.5 tấn </t>
  </si>
  <si>
    <t>Điều chuyển từ Ban CK KLH</t>
  </si>
  <si>
    <t>BAN SXCN</t>
  </si>
  <si>
    <t>CKC-XCA-007</t>
  </si>
  <si>
    <t>A22-XCA-007</t>
  </si>
  <si>
    <t>Xe cẩu 5 tấn</t>
  </si>
  <si>
    <t>Đ.chuyển từ Đnước KLH</t>
  </si>
  <si>
    <t>CKC-XCA-008</t>
  </si>
  <si>
    <t>A22-XCA-008</t>
  </si>
  <si>
    <t>Xe phun thuốc AD</t>
  </si>
  <si>
    <t>A22-XPT-001</t>
  </si>
  <si>
    <t>Xe tải FAW</t>
  </si>
  <si>
    <t>XA2-XPT-002</t>
  </si>
  <si>
    <t>A22-XPT-002</t>
  </si>
  <si>
    <t>XE HUYNDAI</t>
  </si>
  <si>
    <t>A22-XPT-003</t>
  </si>
  <si>
    <t>Xe FD 3.5T</t>
  </si>
  <si>
    <t>Xe Clethon AD</t>
  </si>
  <si>
    <t>III.10</t>
  </si>
  <si>
    <t>Xe chuyên dụng AD</t>
  </si>
  <si>
    <t>A22-TCD-001</t>
  </si>
  <si>
    <t>BCG-TCD-001</t>
  </si>
  <si>
    <t>Xe tải Libero - 2A-4453</t>
  </si>
  <si>
    <t>TTBTSC AD</t>
  </si>
  <si>
    <t>Xe tải Libero - 2A-0834</t>
  </si>
  <si>
    <t>III.11</t>
  </si>
  <si>
    <t>Máy kéo AD</t>
  </si>
  <si>
    <t xml:space="preserve">THACO  </t>
  </si>
  <si>
    <t>A22-MKE-006</t>
  </si>
  <si>
    <t>A22-MKE-007</t>
  </si>
  <si>
    <t>A22-MKE-023</t>
  </si>
  <si>
    <t>A22-MKE-026</t>
  </si>
  <si>
    <t>A22-MKE-027</t>
  </si>
  <si>
    <t>M.Cày bánh xích ISEKITA</t>
  </si>
  <si>
    <t>ISEKITA</t>
  </si>
  <si>
    <t>ISEKI TA</t>
  </si>
  <si>
    <t>16/05/2024</t>
  </si>
  <si>
    <t>Điều chuyển từ Ban điện nước</t>
  </si>
  <si>
    <t>A22-MKE-033</t>
  </si>
  <si>
    <t>M.Cày bánh xích YANMAR</t>
  </si>
  <si>
    <t>M.Cày NH TD157</t>
  </si>
  <si>
    <t>XA2-MKE-002</t>
  </si>
  <si>
    <t>A22-MKE-024</t>
  </si>
  <si>
    <t>Cho LP3 mượn</t>
  </si>
  <si>
    <t>A22-MKE-025</t>
  </si>
  <si>
    <t>XA2-MKE-007</t>
  </si>
  <si>
    <t>XA2-MKE-008</t>
  </si>
  <si>
    <t>XA2-MKE-009</t>
  </si>
  <si>
    <t>HCA-MKE-001</t>
  </si>
  <si>
    <t>M.Cày JD 5510</t>
  </si>
  <si>
    <t>M.Cày JD 5520</t>
  </si>
  <si>
    <t>M.Cày JD 6200</t>
  </si>
  <si>
    <t>M.Cày JD 5425</t>
  </si>
  <si>
    <t>III.12</t>
  </si>
  <si>
    <t>Xe xúc lật AD</t>
  </si>
  <si>
    <t>A22-XXL-001</t>
  </si>
  <si>
    <t>A22-XXL-005</t>
  </si>
  <si>
    <t>A22-XXL-006</t>
  </si>
  <si>
    <t>Xe xúc lật LEHMAN</t>
  </si>
  <si>
    <t>115.6HP</t>
  </si>
  <si>
    <t>A22-XXL-007</t>
  </si>
  <si>
    <t>Xe xú́c lật LEHMAN ZL946PR</t>
  </si>
  <si>
    <t>Xe xúc lật WA200</t>
  </si>
  <si>
    <t>W03860624</t>
  </si>
  <si>
    <t>6D95L153498</t>
  </si>
  <si>
    <t>III.13</t>
  </si>
  <si>
    <t>Xe nâng AD</t>
  </si>
  <si>
    <t>A22-XNA-003</t>
  </si>
  <si>
    <t>Xe nâng  điện 2.5 tấn</t>
  </si>
  <si>
    <t>Xe nâng dầu 3,5 tấn</t>
  </si>
  <si>
    <t>Xe nâng Yale 3.5 tấn</t>
  </si>
  <si>
    <t>III.14</t>
  </si>
  <si>
    <t>Xe chở cám</t>
  </si>
  <si>
    <t>III.15</t>
  </si>
  <si>
    <t>Xe rải thức ăn</t>
  </si>
  <si>
    <t>A22-XRA-001</t>
  </si>
  <si>
    <t>Xe rải thức ăn FD1600</t>
  </si>
  <si>
    <t>FD1600</t>
  </si>
  <si>
    <t>A22-XRA-002</t>
  </si>
  <si>
    <t>A22-XRA-003</t>
  </si>
  <si>
    <t>A22-XRA-004</t>
  </si>
  <si>
    <t>III.16</t>
  </si>
  <si>
    <t>Xe hứng cỏ</t>
  </si>
  <si>
    <t>A22-XHC-001</t>
  </si>
  <si>
    <t>FD150</t>
  </si>
  <si>
    <t>A22-XHC-002</t>
  </si>
  <si>
    <t>A22-XHC-003</t>
  </si>
  <si>
    <t>A22-XHC-004</t>
  </si>
  <si>
    <t>A22-XHC-005</t>
  </si>
  <si>
    <t>A22-XHC-006</t>
  </si>
  <si>
    <t>III.17</t>
  </si>
  <si>
    <t>Xe chở phân</t>
  </si>
  <si>
    <t>A22-XCP-001</t>
  </si>
  <si>
    <t>Xe phân FD150 (11.8m3)</t>
  </si>
  <si>
    <t>A22-XCP-002</t>
  </si>
  <si>
    <t>A22-XCP-003</t>
  </si>
  <si>
    <t>A22-XCP-004</t>
  </si>
  <si>
    <t>A22-XCP-005</t>
  </si>
  <si>
    <t>Xe phân FD150 (8.7m3)</t>
  </si>
  <si>
    <t>A22-XCP-006</t>
  </si>
  <si>
    <t>A22-XCP-007</t>
  </si>
  <si>
    <t>III.18</t>
  </si>
  <si>
    <t>A22-XLO-006</t>
  </si>
  <si>
    <t>Xe lôi Thaico</t>
  </si>
  <si>
    <t>III.19</t>
  </si>
  <si>
    <t>Xe tải bồn bê tông</t>
  </si>
  <si>
    <t>A22-XTB-001</t>
  </si>
  <si>
    <t>Xe tải Bồn HYUNDAI HD 270</t>
  </si>
  <si>
    <t>A22-XTB-002</t>
  </si>
  <si>
    <t>A22-XTB-003</t>
  </si>
  <si>
    <t>A22-XTB-004</t>
  </si>
  <si>
    <t>Xe tải Bồn FORTON</t>
  </si>
  <si>
    <t>A22-XTB-005</t>
  </si>
  <si>
    <t>Xe tải Bồn CNHTC Sinotruk</t>
  </si>
  <si>
    <t>A22-XTB-006</t>
  </si>
  <si>
    <t>A22-XTB-007</t>
  </si>
  <si>
    <t>A22-XTB-008</t>
  </si>
  <si>
    <t>A22-XTB-009</t>
  </si>
  <si>
    <t>A22-XTB-010</t>
  </si>
  <si>
    <t>III.20</t>
  </si>
  <si>
    <t>Máy xới đất</t>
  </si>
  <si>
    <t>HCA-MXĐ-001</t>
  </si>
  <si>
    <t>A22-MXĐ-001</t>
  </si>
  <si>
    <t>III.21</t>
  </si>
  <si>
    <t>Xe máy Wave A - Trắng</t>
  </si>
  <si>
    <t>Xe máy Wave A - Đen</t>
  </si>
  <si>
    <t>Xe ô tô tải Frontier TF2800</t>
  </si>
  <si>
    <t>chưa phân bổ</t>
  </si>
  <si>
    <t>Máy kéo Mitsubishi</t>
  </si>
  <si>
    <t>Thu hồi ngày 15/06/2024</t>
  </si>
  <si>
    <t>HƯ HỎNG NẶNG CHỜ THANH LÝ</t>
  </si>
  <si>
    <t xml:space="preserve">Chưa có biên bản loại biên </t>
  </si>
  <si>
    <t>Xe FORLAND 2.5T</t>
  </si>
  <si>
    <t>Xe HYUNDAI 3.5T</t>
  </si>
  <si>
    <t>ĐẶC TÍNH KT</t>
  </si>
  <si>
    <t>Dàn cày nghầm 3 trụ</t>
  </si>
  <si>
    <t>Cần dài máy đào SH210 (16M)</t>
  </si>
  <si>
    <t>Cần dài máy đào Kobeco (18m)</t>
  </si>
  <si>
    <t>Đầm taluy</t>
  </si>
  <si>
    <t>ATT-A24-0063</t>
  </si>
  <si>
    <t>ATT-A24-0051</t>
  </si>
  <si>
    <t>ATT-A22-0213</t>
  </si>
  <si>
    <t>Cần dài M.Đào Sumitomo 16 mét</t>
  </si>
  <si>
    <t>Cần dài M.Đào Dosan 12 mét</t>
  </si>
  <si>
    <t>Búa đục</t>
  </si>
  <si>
    <t>ATT-A22-0215</t>
  </si>
  <si>
    <t>Đầm taluy</t>
  </si>
  <si>
    <t>Rơ mooc</t>
  </si>
  <si>
    <t>Thiết bị phay 2m2</t>
  </si>
  <si>
    <t>CNN-MPT-001</t>
  </si>
  <si>
    <t>XDP-MPT- 001</t>
  </si>
  <si>
    <t>A23-MPT-001</t>
  </si>
  <si>
    <t>Giàn vét mương 2 đĩa quay</t>
  </si>
  <si>
    <t>Giàn cày ngầm 3 răng</t>
  </si>
  <si>
    <t>XDP-TLU- 001</t>
  </si>
  <si>
    <t>A23-TLU-001</t>
  </si>
  <si>
    <t>Giàn rạch luống trồng 2 lưỡi</t>
  </si>
  <si>
    <t>Giàn rạch tạo rãnh luống trồng 1 lưỡi</t>
  </si>
  <si>
    <t>Thiết bị phun vôi</t>
  </si>
  <si>
    <t>Rơ mooc kéo máy đào</t>
  </si>
  <si>
    <t>CNN-RMR-001</t>
  </si>
  <si>
    <t>CK-RMRP-01</t>
  </si>
  <si>
    <t>Rơ mooc thùng ben chở phân hữu cơ</t>
  </si>
  <si>
    <t>Thiết bị cày ngầm 3 răng</t>
  </si>
  <si>
    <t>Cơ giới làm đất AD</t>
  </si>
  <si>
    <t>ATT-A22-0273</t>
  </si>
  <si>
    <t>ATT-A22-0274</t>
  </si>
  <si>
    <t>Giàn trang mặt bằng luống chuối</t>
  </si>
  <si>
    <t>XD1-MTM-001</t>
  </si>
  <si>
    <t>Mô tơ máy cao áp 2HP</t>
  </si>
  <si>
    <t>PLC-Z1514</t>
  </si>
  <si>
    <t>XD1-MTM-002</t>
  </si>
  <si>
    <t>XD1-MTM-003</t>
  </si>
  <si>
    <t>XD1-MTM-004</t>
  </si>
  <si>
    <t>XD1-MTM-005</t>
  </si>
  <si>
    <t>Mô tơ băng tải 2HP</t>
  </si>
  <si>
    <t>XD1-MTM-006</t>
  </si>
  <si>
    <t>XD1-MTM-007</t>
  </si>
  <si>
    <t>XD1-MTM-008</t>
  </si>
  <si>
    <t>XD1-MTM-009</t>
  </si>
  <si>
    <t>XD1-MTM-010</t>
  </si>
  <si>
    <t>XD1-MTM-011</t>
  </si>
  <si>
    <t>XD1-HCK-001</t>
  </si>
  <si>
    <t>Máy hút chân không(Bộ hút chân không và mô tơ)</t>
  </si>
  <si>
    <t>HOKAIDO</t>
  </si>
  <si>
    <t>XD1-XNT-001</t>
  </si>
  <si>
    <t>Xe nâng tay</t>
  </si>
  <si>
    <t>NIULI</t>
  </si>
  <si>
    <t>XD1-SXĐ-001</t>
  </si>
  <si>
    <t>Sạc xe nâng điện</t>
  </si>
  <si>
    <t>HCE200DE0927033ECN</t>
  </si>
  <si>
    <t>XD1-BTA-001</t>
  </si>
  <si>
    <t>Băng tải chuối thải</t>
  </si>
  <si>
    <t>B-CDG-80V/200A VL</t>
  </si>
  <si>
    <t>XD1-BTA-002</t>
  </si>
  <si>
    <t>XD1-BTA-003</t>
  </si>
  <si>
    <t>XD1-BTA-004</t>
  </si>
  <si>
    <t>XD1-BTA-005</t>
  </si>
  <si>
    <t>XD1-BTA-006</t>
  </si>
  <si>
    <t>XD1-BTA-007</t>
  </si>
  <si>
    <t>Băng tải chuối thành phẩm</t>
  </si>
  <si>
    <t>XD1-BTA-008</t>
  </si>
  <si>
    <t>XD1-BTA-009</t>
  </si>
  <si>
    <t>XD1-MDT-001</t>
  </si>
  <si>
    <t>Máy dập thùng bán tự động</t>
  </si>
  <si>
    <t>XD1-MKT-001</t>
  </si>
  <si>
    <t>Máy khử trùng Covit</t>
  </si>
  <si>
    <t>XD1-MKT-002</t>
  </si>
  <si>
    <t>Máy khử trùng chuối ( hư hỏng)</t>
  </si>
  <si>
    <t>XD1-HTL-001</t>
  </si>
  <si>
    <t>Hệ thống kho lạnh</t>
  </si>
  <si>
    <t>Cần dài M.Đào DOOSAN 12 mét</t>
  </si>
  <si>
    <t>00. Official-LỊCH SỬ BTSC MMTB-KLH KOUN MOM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</si>
</sst>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"/>
    <numFmt numFmtId="179" formatCode="mm\-dd"/>
    <numFmt numFmtId="180" formatCode="mm/dd/yyyy"/>
    <numFmt numFmtId="181" formatCode="dd&quot;/&quot;mm&quot;/&quot;yyyy"/>
    <numFmt numFmtId="182" formatCode="yyyy\-m"/>
    <numFmt numFmtId="183" formatCode="yyyy/m"/>
    <numFmt numFmtId="184" formatCode="m/d/yy"/>
    <numFmt numFmtId="185" formatCode="d/m/yyyy"/>
    <numFmt numFmtId="186" formatCode="yyyy\-mm\-dd"/>
    <numFmt numFmtId="187" formatCode="dd/mm/yyyy"/>
    <numFmt numFmtId="188" formatCode="0;\-0;\-;@"/>
  </numFmts>
  <fonts count="103">
    <font>
      <sz val="11"/>
      <color theme="1"/>
      <name val="Arial"/>
      <charset val="134"/>
      <scheme val="minor"/>
    </font>
    <font>
      <u/>
      <sz val="11"/>
      <color theme="1"/>
      <name val="Arial"/>
      <charset val="134"/>
      <scheme val="minor"/>
    </font>
    <font>
      <b/>
      <sz val="16"/>
      <color rgb="FFFFFFFF"/>
      <name val="Cambria"/>
      <charset val="134"/>
    </font>
    <font>
      <b/>
      <sz val="16"/>
      <color theme="1"/>
      <name val="Cambria"/>
      <charset val="134"/>
    </font>
    <font>
      <b/>
      <sz val="18"/>
      <color rgb="FF000000"/>
      <name val="Cambria"/>
      <charset val="134"/>
    </font>
    <font>
      <b/>
      <sz val="12"/>
      <color theme="1"/>
      <name val="Cambria"/>
      <charset val="134"/>
    </font>
    <font>
      <b/>
      <sz val="10"/>
      <color theme="1"/>
      <name val="Cambria"/>
      <charset val="134"/>
    </font>
    <font>
      <b/>
      <sz val="11"/>
      <color rgb="FF000000"/>
      <name val="Cambria"/>
      <charset val="134"/>
    </font>
    <font>
      <b/>
      <sz val="12"/>
      <color rgb="FFFFFFFF"/>
      <name val="Cambria"/>
      <charset val="134"/>
    </font>
    <font>
      <sz val="11"/>
      <color rgb="FFFFFFFF"/>
      <name val="Cambria"/>
      <charset val="134"/>
    </font>
    <font>
      <b/>
      <sz val="11"/>
      <color theme="1"/>
      <name val="Cambria"/>
      <charset val="134"/>
    </font>
    <font>
      <sz val="11"/>
      <color theme="1"/>
      <name val="Cambria"/>
      <charset val="134"/>
    </font>
    <font>
      <sz val="11"/>
      <color rgb="FFFF0000"/>
      <name val="Cambria"/>
      <charset val="134"/>
    </font>
    <font>
      <sz val="11"/>
      <color rgb="FF000000"/>
      <name val="Cambria"/>
      <charset val="134"/>
    </font>
    <font>
      <b/>
      <sz val="12"/>
      <color rgb="FF000000"/>
      <name val="Cambria"/>
      <charset val="134"/>
    </font>
    <font>
      <b/>
      <sz val="11"/>
      <color rgb="FFFFFFFF"/>
      <name val="Cambria"/>
      <charset val="134"/>
    </font>
    <font>
      <sz val="11"/>
      <color theme="1"/>
      <name val="Arial"/>
      <charset val="134"/>
    </font>
    <font>
      <b/>
      <sz val="14"/>
      <color rgb="FFFFFF00"/>
      <name val="Cambria"/>
      <charset val="134"/>
    </font>
    <font>
      <b/>
      <sz val="9"/>
      <color theme="1"/>
      <name val="Cambria"/>
      <charset val="134"/>
    </font>
    <font>
      <sz val="9"/>
      <color theme="1"/>
      <name val="Cambria"/>
      <charset val="134"/>
    </font>
    <font>
      <sz val="9"/>
      <color rgb="FF000000"/>
      <name val="Cambria"/>
      <charset val="134"/>
    </font>
    <font>
      <b/>
      <sz val="9"/>
      <color rgb="FF000000"/>
      <name val="Cambria"/>
      <charset val="134"/>
    </font>
    <font>
      <sz val="9"/>
      <color rgb="FFFF0000"/>
      <name val="Cambria"/>
      <charset val="134"/>
    </font>
    <font>
      <sz val="11"/>
      <color theme="1"/>
      <name val="Calibri"/>
      <charset val="134"/>
    </font>
    <font>
      <sz val="9"/>
      <color rgb="FF000000"/>
      <name val="&quot;Times New Roman&quot;"/>
      <charset val="134"/>
    </font>
    <font>
      <sz val="9"/>
      <color theme="1"/>
      <name val="Calibri"/>
      <charset val="134"/>
    </font>
    <font>
      <sz val="9"/>
      <color rgb="FF000000"/>
      <name val="&quot;Google Sans&quot;"/>
      <charset val="134"/>
    </font>
    <font>
      <b/>
      <sz val="18"/>
      <color rgb="FFFFFF00"/>
      <name val="Cambria"/>
      <charset val="134"/>
    </font>
    <font>
      <sz val="11"/>
      <name val="Arial"/>
      <charset val="134"/>
      <scheme val="minor"/>
    </font>
    <font>
      <sz val="10"/>
      <color theme="1"/>
      <name val="Cambria"/>
      <charset val="134"/>
    </font>
    <font>
      <sz val="10"/>
      <color rgb="FF000000"/>
      <name val="Cambria"/>
      <charset val="134"/>
    </font>
    <font>
      <sz val="10"/>
      <color rgb="FF434343"/>
      <name val="Cambria"/>
      <charset val="134"/>
    </font>
    <font>
      <b/>
      <sz val="10"/>
      <color rgb="FFFF0000"/>
      <name val="Cambria"/>
      <charset val="134"/>
    </font>
    <font>
      <sz val="10"/>
      <color theme="1"/>
      <name val="Calibri"/>
      <charset val="134"/>
    </font>
    <font>
      <b/>
      <sz val="26"/>
      <color theme="1"/>
      <name val="Cambria"/>
      <charset val="134"/>
    </font>
    <font>
      <b/>
      <sz val="15"/>
      <color theme="0"/>
      <name val="Cambria"/>
      <charset val="134"/>
    </font>
    <font>
      <b/>
      <sz val="16"/>
      <color theme="0"/>
      <name val="Cambria"/>
      <charset val="134"/>
    </font>
    <font>
      <b/>
      <sz val="15"/>
      <color theme="1"/>
      <name val="Cambria"/>
      <charset val="134"/>
    </font>
    <font>
      <b/>
      <sz val="13"/>
      <color theme="1"/>
      <name val="Cambria"/>
      <charset val="134"/>
    </font>
    <font>
      <b/>
      <sz val="13"/>
      <color rgb="FFFF0000"/>
      <name val="Cambria"/>
      <charset val="134"/>
    </font>
    <font>
      <b/>
      <sz val="12"/>
      <color rgb="FFFFFF00"/>
      <name val="Cambria"/>
      <charset val="134"/>
    </font>
    <font>
      <sz val="12"/>
      <color theme="1"/>
      <name val="Cambria"/>
      <charset val="134"/>
    </font>
    <font>
      <sz val="12"/>
      <color rgb="FF000000"/>
      <name val="Cambria"/>
      <charset val="134"/>
    </font>
    <font>
      <b/>
      <sz val="12"/>
      <color rgb="FFFF0000"/>
      <name val="Cambria"/>
      <charset val="134"/>
    </font>
    <font>
      <b/>
      <sz val="18"/>
      <color rgb="FFFFFFFF"/>
      <name val="Cambria"/>
      <charset val="134"/>
    </font>
    <font>
      <u/>
      <sz val="9"/>
      <color rgb="FF0000FF"/>
      <name val="Cambria"/>
      <charset val="134"/>
    </font>
    <font>
      <sz val="10"/>
      <color rgb="FFFF0000"/>
      <name val="Cambria"/>
      <charset val="134"/>
    </font>
    <font>
      <sz val="11"/>
      <color theme="1"/>
      <name val="Aptos Narrow"/>
      <charset val="134"/>
    </font>
    <font>
      <sz val="10"/>
      <color rgb="FF333333"/>
      <name val="Arial"/>
      <charset val="134"/>
    </font>
    <font>
      <sz val="11"/>
      <color theme="1"/>
      <name val="Play"/>
      <charset val="134"/>
    </font>
    <font>
      <sz val="9"/>
      <color theme="1"/>
      <name val="Times New Roman"/>
      <charset val="134"/>
    </font>
    <font>
      <b/>
      <sz val="11"/>
      <color rgb="FFFF0000"/>
      <name val="Cambria"/>
      <charset val="134"/>
    </font>
    <font>
      <sz val="11"/>
      <color rgb="FFFF0000"/>
      <name val="Arial"/>
      <charset val="134"/>
      <scheme val="minor"/>
    </font>
    <font>
      <b/>
      <sz val="20"/>
      <color rgb="FFFFFF00"/>
      <name val="Cambria"/>
      <charset val="134"/>
    </font>
    <font>
      <b/>
      <sz val="18"/>
      <color theme="0"/>
      <name val="Cambria"/>
      <charset val="134"/>
    </font>
    <font>
      <sz val="11"/>
      <color rgb="FF000000"/>
      <name val="Arial"/>
      <charset val="134"/>
      <scheme val="minor"/>
    </font>
    <font>
      <b/>
      <sz val="10"/>
      <color rgb="FF000000"/>
      <name val="Cambria"/>
      <charset val="134"/>
    </font>
    <font>
      <sz val="11"/>
      <color rgb="FF000000"/>
      <name val="&quot;Times New Roman&quot;"/>
      <charset val="134"/>
    </font>
    <font>
      <sz val="11"/>
      <color rgb="FF434343"/>
      <name val="Cambria"/>
      <charset val="134"/>
    </font>
    <font>
      <sz val="12"/>
      <color rgb="FF000000"/>
      <name val="&quot;Times New Roman&quot;"/>
      <charset val="134"/>
    </font>
    <font>
      <b/>
      <sz val="12"/>
      <color rgb="FFCC0000"/>
      <name val="Cambria"/>
      <charset val="134"/>
    </font>
    <font>
      <sz val="11"/>
      <color rgb="FF0000FF"/>
      <name val="Cambria"/>
      <charset val="134"/>
    </font>
    <font>
      <b/>
      <sz val="11"/>
      <color rgb="FF0000FF"/>
      <name val="Cambria"/>
      <charset val="134"/>
    </font>
    <font>
      <sz val="11"/>
      <color rgb="FF0000FF"/>
      <name val="Arial"/>
      <charset val="134"/>
    </font>
    <font>
      <sz val="11"/>
      <color rgb="FF0000FF"/>
      <name val="Arial"/>
      <charset val="134"/>
      <scheme val="minor"/>
    </font>
    <font>
      <b/>
      <sz val="14"/>
      <color rgb="FFFF0000"/>
      <name val="Cambria"/>
      <charset val="134"/>
    </font>
    <font>
      <b/>
      <sz val="9"/>
      <color rgb="FFFFFF00"/>
      <name val="Cambria"/>
      <charset val="134"/>
    </font>
    <font>
      <b/>
      <sz val="9"/>
      <color theme="1"/>
      <name val="Calibri"/>
      <charset val="134"/>
    </font>
    <font>
      <b/>
      <sz val="7"/>
      <color theme="1"/>
      <name val="Calibri"/>
      <charset val="134"/>
    </font>
    <font>
      <b/>
      <sz val="9"/>
      <color rgb="FF0000FF"/>
      <name val="Cambria"/>
      <charset val="134"/>
    </font>
    <font>
      <sz val="9"/>
      <color rgb="FF0000FF"/>
      <name val="Cambria"/>
      <charset val="134"/>
    </font>
    <font>
      <b/>
      <sz val="9"/>
      <color rgb="FFFF0000"/>
      <name val="Cambria"/>
      <charset val="134"/>
    </font>
    <font>
      <sz val="9"/>
      <color rgb="FFFF0000"/>
      <name val="&quot;Google Sans&quot;"/>
      <charset val="134"/>
    </font>
    <font>
      <sz val="11"/>
      <color rgb="FFFF0000"/>
      <name val="Calibri"/>
      <charset val="134"/>
    </font>
    <font>
      <sz val="11"/>
      <color rgb="FF0000FF"/>
      <name val="Calibri"/>
      <charset val="134"/>
    </font>
    <font>
      <b/>
      <sz val="16"/>
      <color rgb="FFFF0000"/>
      <name val="Times New Roman"/>
      <charset val="134"/>
    </font>
    <font>
      <b/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b/>
      <sz val="14"/>
      <color theme="1"/>
      <name val="Times New Roman"/>
      <charset val="134"/>
    </font>
    <font>
      <u/>
      <sz val="11"/>
      <color theme="1"/>
      <name val="Cambria"/>
      <charset val="134"/>
    </font>
    <font>
      <b/>
      <sz val="11"/>
      <color theme="1"/>
      <name val="Arial"/>
      <charset val="134"/>
    </font>
    <font>
      <b/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69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FFFFD7"/>
        <bgColor rgb="FFFFFFD7"/>
      </patternFill>
    </fill>
    <fill>
      <patternFill patternType="solid">
        <fgColor rgb="FFFEF2CB"/>
        <bgColor rgb="FFFEF2CB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8EAADB"/>
        <bgColor rgb="FF8EAADB"/>
      </patternFill>
    </fill>
    <fill>
      <patternFill patternType="solid">
        <fgColor rgb="FF33863D"/>
        <bgColor rgb="FF33863D"/>
      </patternFill>
    </fill>
    <fill>
      <patternFill patternType="solid">
        <fgColor rgb="FFB7B7B7"/>
        <bgColor rgb="FFB7B7B7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C5E0B3"/>
        <bgColor rgb="FFC5E0B3"/>
      </patternFill>
    </fill>
    <fill>
      <patternFill patternType="solid">
        <fgColor rgb="FF6AA84F"/>
        <bgColor rgb="FF6AA84F"/>
      </patternFill>
    </fill>
    <fill>
      <patternFill patternType="solid">
        <fgColor rgb="FF9FC5E8"/>
        <bgColor rgb="FF9FC5E8"/>
      </patternFill>
    </fill>
    <fill>
      <patternFill patternType="solid">
        <fgColor rgb="FFFBE4D5"/>
        <bgColor rgb="FFFBE4D5"/>
      </patternFill>
    </fill>
    <fill>
      <patternFill patternType="solid">
        <fgColor rgb="FFEAD1DC"/>
        <bgColor rgb="FFEAD1DC"/>
      </patternFill>
    </fill>
    <fill>
      <patternFill patternType="solid">
        <fgColor rgb="FFB7E1CD"/>
        <bgColor rgb="FFB7E1CD"/>
      </patternFill>
    </fill>
    <fill>
      <patternFill patternType="solid">
        <fgColor rgb="FFFFFFCC"/>
        <bgColor rgb="FFFFFFCC"/>
      </patternFill>
    </fill>
    <fill>
      <patternFill patternType="solid">
        <fgColor rgb="FFC1F0C8"/>
        <bgColor rgb="FFC1F0C8"/>
      </patternFill>
    </fill>
    <fill>
      <patternFill patternType="solid">
        <fgColor rgb="FFC1E4F5"/>
        <bgColor rgb="FFC1E4F5"/>
      </patternFill>
    </fill>
    <fill>
      <patternFill patternType="solid">
        <fgColor rgb="FFF1CEEE"/>
        <bgColor rgb="FFF1CEEE"/>
      </patternFill>
    </fill>
    <fill>
      <patternFill patternType="solid">
        <fgColor rgb="FFE2EFD9"/>
        <bgColor rgb="FFE2EF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0" fillId="38" borderId="29" applyNumberFormat="0" applyFont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30" applyNumberFormat="0" applyFill="0" applyAlignment="0" applyProtection="0">
      <alignment vertical="center"/>
    </xf>
    <xf numFmtId="0" fontId="90" fillId="0" borderId="30" applyNumberFormat="0" applyFill="0" applyAlignment="0" applyProtection="0">
      <alignment vertical="center"/>
    </xf>
    <xf numFmtId="0" fontId="91" fillId="0" borderId="31" applyNumberFormat="0" applyFill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39" borderId="32" applyNumberFormat="0" applyAlignment="0" applyProtection="0">
      <alignment vertical="center"/>
    </xf>
    <xf numFmtId="0" fontId="93" fillId="40" borderId="33" applyNumberFormat="0" applyAlignment="0" applyProtection="0">
      <alignment vertical="center"/>
    </xf>
    <xf numFmtId="0" fontId="94" fillId="40" borderId="32" applyNumberFormat="0" applyAlignment="0" applyProtection="0">
      <alignment vertical="center"/>
    </xf>
    <xf numFmtId="0" fontId="95" fillId="41" borderId="34" applyNumberFormat="0" applyAlignment="0" applyProtection="0">
      <alignment vertical="center"/>
    </xf>
    <xf numFmtId="0" fontId="96" fillId="0" borderId="35" applyNumberFormat="0" applyFill="0" applyAlignment="0" applyProtection="0">
      <alignment vertical="center"/>
    </xf>
    <xf numFmtId="0" fontId="97" fillId="0" borderId="36" applyNumberFormat="0" applyFill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100" fillId="44" borderId="0" applyNumberFormat="0" applyBorder="0" applyAlignment="0" applyProtection="0">
      <alignment vertical="center"/>
    </xf>
    <xf numFmtId="0" fontId="101" fillId="45" borderId="0" applyNumberFormat="0" applyBorder="0" applyAlignment="0" applyProtection="0">
      <alignment vertical="center"/>
    </xf>
    <xf numFmtId="0" fontId="102" fillId="46" borderId="0" applyNumberFormat="0" applyBorder="0" applyAlignment="0" applyProtection="0">
      <alignment vertical="center"/>
    </xf>
    <xf numFmtId="0" fontId="102" fillId="47" borderId="0" applyNumberFormat="0" applyBorder="0" applyAlignment="0" applyProtection="0">
      <alignment vertical="center"/>
    </xf>
    <xf numFmtId="0" fontId="101" fillId="48" borderId="0" applyNumberFormat="0" applyBorder="0" applyAlignment="0" applyProtection="0">
      <alignment vertical="center"/>
    </xf>
    <xf numFmtId="0" fontId="101" fillId="49" borderId="0" applyNumberFormat="0" applyBorder="0" applyAlignment="0" applyProtection="0">
      <alignment vertical="center"/>
    </xf>
    <xf numFmtId="0" fontId="102" fillId="50" borderId="0" applyNumberFormat="0" applyBorder="0" applyAlignment="0" applyProtection="0">
      <alignment vertical="center"/>
    </xf>
    <xf numFmtId="0" fontId="102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3" borderId="0" applyNumberFormat="0" applyBorder="0" applyAlignment="0" applyProtection="0">
      <alignment vertical="center"/>
    </xf>
    <xf numFmtId="0" fontId="102" fillId="54" borderId="0" applyNumberFormat="0" applyBorder="0" applyAlignment="0" applyProtection="0">
      <alignment vertical="center"/>
    </xf>
    <xf numFmtId="0" fontId="102" fillId="55" borderId="0" applyNumberFormat="0" applyBorder="0" applyAlignment="0" applyProtection="0">
      <alignment vertical="center"/>
    </xf>
    <xf numFmtId="0" fontId="101" fillId="56" borderId="0" applyNumberFormat="0" applyBorder="0" applyAlignment="0" applyProtection="0">
      <alignment vertical="center"/>
    </xf>
    <xf numFmtId="0" fontId="101" fillId="57" borderId="0" applyNumberFormat="0" applyBorder="0" applyAlignment="0" applyProtection="0">
      <alignment vertical="center"/>
    </xf>
    <xf numFmtId="0" fontId="102" fillId="58" borderId="0" applyNumberFormat="0" applyBorder="0" applyAlignment="0" applyProtection="0">
      <alignment vertical="center"/>
    </xf>
    <xf numFmtId="0" fontId="102" fillId="59" borderId="0" applyNumberFormat="0" applyBorder="0" applyAlignment="0" applyProtection="0">
      <alignment vertical="center"/>
    </xf>
    <xf numFmtId="0" fontId="101" fillId="60" borderId="0" applyNumberFormat="0" applyBorder="0" applyAlignment="0" applyProtection="0">
      <alignment vertical="center"/>
    </xf>
    <xf numFmtId="0" fontId="101" fillId="61" borderId="0" applyNumberFormat="0" applyBorder="0" applyAlignment="0" applyProtection="0">
      <alignment vertical="center"/>
    </xf>
    <xf numFmtId="0" fontId="102" fillId="62" borderId="0" applyNumberFormat="0" applyBorder="0" applyAlignment="0" applyProtection="0">
      <alignment vertical="center"/>
    </xf>
    <xf numFmtId="0" fontId="102" fillId="63" borderId="0" applyNumberFormat="0" applyBorder="0" applyAlignment="0" applyProtection="0">
      <alignment vertical="center"/>
    </xf>
    <xf numFmtId="0" fontId="101" fillId="64" borderId="0" applyNumberFormat="0" applyBorder="0" applyAlignment="0" applyProtection="0">
      <alignment vertical="center"/>
    </xf>
    <xf numFmtId="0" fontId="101" fillId="65" borderId="0" applyNumberFormat="0" applyBorder="0" applyAlignment="0" applyProtection="0">
      <alignment vertical="center"/>
    </xf>
    <xf numFmtId="0" fontId="102" fillId="66" borderId="0" applyNumberFormat="0" applyBorder="0" applyAlignment="0" applyProtection="0">
      <alignment vertical="center"/>
    </xf>
    <xf numFmtId="0" fontId="102" fillId="67" borderId="0" applyNumberFormat="0" applyBorder="0" applyAlignment="0" applyProtection="0">
      <alignment vertical="center"/>
    </xf>
    <xf numFmtId="0" fontId="101" fillId="68" borderId="0" applyNumberFormat="0" applyBorder="0" applyAlignment="0" applyProtection="0">
      <alignment vertical="center"/>
    </xf>
  </cellStyleXfs>
  <cellXfs count="1091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/>
    </xf>
    <xf numFmtId="0" fontId="8" fillId="5" borderId="2" xfId="0" applyFont="1" applyFill="1" applyBorder="1" applyAlignment="1">
      <alignment vertical="center"/>
    </xf>
    <xf numFmtId="0" fontId="9" fillId="5" borderId="2" xfId="0" applyFont="1" applyFill="1" applyBorder="1" applyAlignment="1">
      <alignment vertical="center"/>
    </xf>
    <xf numFmtId="0" fontId="9" fillId="5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vertical="center"/>
    </xf>
    <xf numFmtId="0" fontId="11" fillId="6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vertical="center"/>
    </xf>
    <xf numFmtId="0" fontId="11" fillId="6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0" fillId="0" borderId="2" xfId="0" applyFont="1" applyBorder="1"/>
    <xf numFmtId="0" fontId="11" fillId="0" borderId="2" xfId="0" applyFont="1" applyBorder="1" applyAlignment="1">
      <alignment horizontal="left" vertical="center"/>
    </xf>
    <xf numFmtId="0" fontId="11" fillId="7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vertical="center"/>
    </xf>
    <xf numFmtId="0" fontId="11" fillId="8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vertical="center"/>
    </xf>
    <xf numFmtId="0" fontId="11" fillId="8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/>
    <xf numFmtId="178" fontId="11" fillId="0" borderId="2" xfId="0" applyNumberFormat="1" applyFont="1" applyBorder="1" applyAlignment="1">
      <alignment vertical="center"/>
    </xf>
    <xf numFmtId="179" fontId="11" fillId="0" borderId="2" xfId="0" applyNumberFormat="1" applyFont="1" applyBorder="1" applyAlignment="1">
      <alignment vertical="center"/>
    </xf>
    <xf numFmtId="180" fontId="11" fillId="0" borderId="2" xfId="0" applyNumberFormat="1" applyFont="1" applyBorder="1" applyAlignment="1">
      <alignment horizontal="left" vertical="center"/>
    </xf>
    <xf numFmtId="0" fontId="13" fillId="0" borderId="2" xfId="0" applyFont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180" fontId="13" fillId="0" borderId="2" xfId="0" applyNumberFormat="1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180" fontId="11" fillId="0" borderId="2" xfId="0" applyNumberFormat="1" applyFont="1" applyBorder="1" applyAlignment="1">
      <alignment vertical="center"/>
    </xf>
    <xf numFmtId="9" fontId="11" fillId="0" borderId="2" xfId="0" applyNumberFormat="1" applyFont="1" applyBorder="1" applyAlignment="1">
      <alignment vertical="center"/>
    </xf>
    <xf numFmtId="0" fontId="14" fillId="5" borderId="2" xfId="0" applyFont="1" applyFill="1" applyBorder="1" applyAlignment="1">
      <alignment vertical="center"/>
    </xf>
    <xf numFmtId="0" fontId="13" fillId="5" borderId="2" xfId="0" applyFont="1" applyFill="1" applyBorder="1" applyAlignment="1">
      <alignment vertical="center"/>
    </xf>
    <xf numFmtId="0" fontId="13" fillId="5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0" fontId="13" fillId="0" borderId="2" xfId="0" applyFont="1" applyBorder="1" applyAlignment="1">
      <alignment horizontal="left"/>
    </xf>
    <xf numFmtId="0" fontId="13" fillId="0" borderId="2" xfId="0" applyFont="1" applyBorder="1" applyAlignment="1">
      <alignment horizontal="center" vertical="center"/>
    </xf>
    <xf numFmtId="180" fontId="13" fillId="0" borderId="2" xfId="0" applyNumberFormat="1" applyFont="1" applyBorder="1" applyAlignment="1">
      <alignment vertical="center"/>
    </xf>
    <xf numFmtId="58" fontId="11" fillId="0" borderId="2" xfId="0" applyNumberFormat="1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vertical="center"/>
    </xf>
    <xf numFmtId="0" fontId="11" fillId="9" borderId="2" xfId="0" applyFont="1" applyFill="1" applyBorder="1" applyAlignment="1">
      <alignment horizontal="left" vertical="center"/>
    </xf>
    <xf numFmtId="0" fontId="11" fillId="9" borderId="2" xfId="0" applyFont="1" applyFill="1" applyBorder="1" applyAlignment="1">
      <alignment vertical="center"/>
    </xf>
    <xf numFmtId="0" fontId="11" fillId="9" borderId="2" xfId="0" applyFont="1" applyFill="1" applyBorder="1" applyAlignment="1">
      <alignment horizontal="center" vertical="center"/>
    </xf>
    <xf numFmtId="180" fontId="11" fillId="0" borderId="2" xfId="0" applyNumberFormat="1" applyFont="1" applyBorder="1" applyAlignment="1">
      <alignment horizontal="center" vertical="center"/>
    </xf>
    <xf numFmtId="0" fontId="0" fillId="5" borderId="2" xfId="0" applyFont="1" applyFill="1" applyBorder="1"/>
    <xf numFmtId="0" fontId="11" fillId="10" borderId="2" xfId="0" applyFont="1" applyFill="1" applyBorder="1" applyAlignment="1">
      <alignment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vertical="center"/>
    </xf>
    <xf numFmtId="0" fontId="6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left" vertical="center"/>
    </xf>
    <xf numFmtId="181" fontId="6" fillId="11" borderId="2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/>
    </xf>
    <xf numFmtId="0" fontId="11" fillId="0" borderId="3" xfId="0" applyFont="1" applyBorder="1"/>
    <xf numFmtId="0" fontId="16" fillId="7" borderId="3" xfId="0" applyFont="1" applyFill="1" applyBorder="1"/>
    <xf numFmtId="0" fontId="11" fillId="7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6" fillId="0" borderId="3" xfId="0" applyFont="1" applyBorder="1"/>
    <xf numFmtId="0" fontId="10" fillId="0" borderId="3" xfId="0" applyFont="1" applyBorder="1"/>
    <xf numFmtId="0" fontId="11" fillId="0" borderId="4" xfId="0" applyFont="1" applyBorder="1" applyAlignment="1">
      <alignment horizontal="left"/>
    </xf>
    <xf numFmtId="0" fontId="11" fillId="0" borderId="4" xfId="0" applyFont="1" applyBorder="1"/>
    <xf numFmtId="0" fontId="16" fillId="7" borderId="4" xfId="0" applyFont="1" applyFill="1" applyBorder="1"/>
    <xf numFmtId="0" fontId="11" fillId="0" borderId="4" xfId="0" applyFont="1" applyBorder="1" applyAlignment="1">
      <alignment horizontal="center"/>
    </xf>
    <xf numFmtId="0" fontId="16" fillId="0" borderId="4" xfId="0" applyFont="1" applyBorder="1"/>
    <xf numFmtId="0" fontId="10" fillId="0" borderId="4" xfId="0" applyFont="1" applyBorder="1"/>
    <xf numFmtId="0" fontId="11" fillId="0" borderId="4" xfId="0" applyFont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7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left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left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left" vertical="center"/>
    </xf>
    <xf numFmtId="0" fontId="18" fillId="10" borderId="2" xfId="0" applyFont="1" applyFill="1" applyBorder="1" applyAlignment="1">
      <alignment horizontal="center" vertical="center"/>
    </xf>
    <xf numFmtId="181" fontId="18" fillId="10" borderId="2" xfId="0" applyNumberFormat="1" applyFont="1" applyFill="1" applyBorder="1" applyAlignment="1">
      <alignment horizontal="left" vertical="center"/>
    </xf>
    <xf numFmtId="0" fontId="18" fillId="10" borderId="7" xfId="0" applyFont="1" applyFill="1" applyBorder="1" applyAlignment="1">
      <alignment horizontal="left" vertical="center"/>
    </xf>
    <xf numFmtId="0" fontId="18" fillId="10" borderId="8" xfId="0" applyFont="1" applyFill="1" applyBorder="1" applyAlignment="1">
      <alignment horizontal="left" vertical="center"/>
    </xf>
    <xf numFmtId="0" fontId="18" fillId="12" borderId="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left" vertical="center"/>
    </xf>
    <xf numFmtId="181" fontId="18" fillId="12" borderId="2" xfId="0" applyNumberFormat="1" applyFont="1" applyFill="1" applyBorder="1" applyAlignment="1">
      <alignment horizontal="left" vertical="center"/>
    </xf>
    <xf numFmtId="0" fontId="18" fillId="12" borderId="7" xfId="0" applyFont="1" applyFill="1" applyBorder="1" applyAlignment="1">
      <alignment horizontal="left" vertical="center"/>
    </xf>
    <xf numFmtId="0" fontId="18" fillId="12" borderId="8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180" fontId="19" fillId="0" borderId="2" xfId="0" applyNumberFormat="1" applyFont="1" applyBorder="1" applyAlignment="1">
      <alignment horizontal="center" vertical="center"/>
    </xf>
    <xf numFmtId="58" fontId="19" fillId="0" borderId="2" xfId="0" applyNumberFormat="1" applyFont="1" applyBorder="1" applyAlignment="1">
      <alignment horizontal="center" vertical="center"/>
    </xf>
    <xf numFmtId="9" fontId="19" fillId="0" borderId="2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180" fontId="20" fillId="0" borderId="2" xfId="0" applyNumberFormat="1" applyFont="1" applyBorder="1" applyAlignment="1">
      <alignment horizontal="center" vertical="center"/>
    </xf>
    <xf numFmtId="9" fontId="20" fillId="0" borderId="2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20" fillId="13" borderId="2" xfId="0" applyFont="1" applyFill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19" fillId="13" borderId="2" xfId="0" applyFont="1" applyFill="1" applyBorder="1" applyAlignment="1">
      <alignment horizontal="center" vertical="center"/>
    </xf>
    <xf numFmtId="180" fontId="20" fillId="13" borderId="2" xfId="0" applyNumberFormat="1" applyFont="1" applyFill="1" applyBorder="1" applyAlignment="1">
      <alignment horizontal="center" vertical="center"/>
    </xf>
    <xf numFmtId="0" fontId="18" fillId="13" borderId="7" xfId="0" applyFont="1" applyFill="1" applyBorder="1" applyAlignment="1">
      <alignment horizontal="left" vertical="center"/>
    </xf>
    <xf numFmtId="0" fontId="20" fillId="13" borderId="8" xfId="0" applyFont="1" applyFill="1" applyBorder="1" applyAlignment="1">
      <alignment horizontal="left" vertical="center"/>
    </xf>
    <xf numFmtId="0" fontId="20" fillId="13" borderId="2" xfId="0" applyFont="1" applyFill="1" applyBorder="1" applyAlignment="1">
      <alignment horizontal="left" vertical="center"/>
    </xf>
    <xf numFmtId="0" fontId="20" fillId="7" borderId="2" xfId="0" applyFont="1" applyFill="1" applyBorder="1" applyAlignment="1">
      <alignment vertical="center"/>
    </xf>
    <xf numFmtId="0" fontId="18" fillId="0" borderId="7" xfId="0" applyFont="1" applyBorder="1" applyAlignment="1">
      <alignment horizontal="left" vertical="center"/>
    </xf>
    <xf numFmtId="0" fontId="22" fillId="14" borderId="2" xfId="0" applyFont="1" applyFill="1" applyBorder="1" applyAlignment="1">
      <alignment vertical="center"/>
    </xf>
    <xf numFmtId="0" fontId="22" fillId="14" borderId="2" xfId="0" applyFont="1" applyFill="1" applyBorder="1" applyAlignment="1">
      <alignment horizontal="center" vertical="center"/>
    </xf>
    <xf numFmtId="180" fontId="22" fillId="14" borderId="2" xfId="0" applyNumberFormat="1" applyFont="1" applyFill="1" applyBorder="1" applyAlignment="1">
      <alignment horizontal="center" vertical="center"/>
    </xf>
    <xf numFmtId="0" fontId="22" fillId="14" borderId="7" xfId="0" applyFont="1" applyFill="1" applyBorder="1" applyAlignment="1">
      <alignment horizontal="left" vertical="center"/>
    </xf>
    <xf numFmtId="0" fontId="22" fillId="14" borderId="8" xfId="0" applyFont="1" applyFill="1" applyBorder="1" applyAlignment="1">
      <alignment horizontal="left" vertical="center"/>
    </xf>
    <xf numFmtId="0" fontId="22" fillId="14" borderId="2" xfId="0" applyFont="1" applyFill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vertical="center"/>
    </xf>
    <xf numFmtId="0" fontId="19" fillId="0" borderId="3" xfId="0" applyFont="1" applyBorder="1" applyAlignment="1">
      <alignment horizontal="center"/>
    </xf>
    <xf numFmtId="0" fontId="23" fillId="0" borderId="3" xfId="0" applyFont="1" applyBorder="1"/>
    <xf numFmtId="180" fontId="23" fillId="0" borderId="3" xfId="0" applyNumberFormat="1" applyFont="1" applyBorder="1"/>
    <xf numFmtId="0" fontId="23" fillId="0" borderId="9" xfId="0" applyFont="1" applyBorder="1"/>
    <xf numFmtId="0" fontId="19" fillId="0" borderId="3" xfId="0" applyFont="1" applyBorder="1"/>
    <xf numFmtId="0" fontId="19" fillId="0" borderId="4" xfId="0" applyFont="1" applyBorder="1" applyAlignment="1">
      <alignment horizontal="center"/>
    </xf>
    <xf numFmtId="0" fontId="23" fillId="0" borderId="4" xfId="0" applyFont="1" applyBorder="1"/>
    <xf numFmtId="180" fontId="23" fillId="0" borderId="4" xfId="0" applyNumberFormat="1" applyFont="1" applyBorder="1"/>
    <xf numFmtId="0" fontId="23" fillId="0" borderId="10" xfId="0" applyFont="1" applyBorder="1"/>
    <xf numFmtId="0" fontId="19" fillId="0" borderId="4" xfId="0" applyFont="1" applyBorder="1"/>
    <xf numFmtId="0" fontId="11" fillId="7" borderId="2" xfId="0" applyFont="1" applyFill="1" applyBorder="1"/>
    <xf numFmtId="182" fontId="20" fillId="0" borderId="2" xfId="0" applyNumberFormat="1" applyFont="1" applyBorder="1" applyAlignment="1">
      <alignment horizontal="left" vertical="center"/>
    </xf>
    <xf numFmtId="0" fontId="19" fillId="7" borderId="2" xfId="0" applyFont="1" applyFill="1" applyBorder="1" applyAlignment="1">
      <alignment horizontal="center" vertical="center"/>
    </xf>
    <xf numFmtId="0" fontId="20" fillId="7" borderId="11" xfId="0" applyFont="1" applyFill="1" applyBorder="1" applyAlignment="1"/>
    <xf numFmtId="180" fontId="19" fillId="7" borderId="2" xfId="0" applyNumberFormat="1" applyFont="1" applyFill="1" applyBorder="1" applyAlignment="1">
      <alignment horizontal="center" vertical="center"/>
    </xf>
    <xf numFmtId="9" fontId="18" fillId="7" borderId="2" xfId="0" applyNumberFormat="1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left" vertical="center"/>
    </xf>
    <xf numFmtId="0" fontId="19" fillId="7" borderId="8" xfId="0" applyFont="1" applyFill="1" applyBorder="1" applyAlignment="1">
      <alignment horizontal="left" vertical="center"/>
    </xf>
    <xf numFmtId="0" fontId="20" fillId="0" borderId="11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19" fillId="7" borderId="2" xfId="0" applyFont="1" applyFill="1" applyBorder="1" applyAlignment="1">
      <alignment vertical="center"/>
    </xf>
    <xf numFmtId="0" fontId="20" fillId="7" borderId="2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left" vertical="center"/>
    </xf>
    <xf numFmtId="0" fontId="19" fillId="7" borderId="2" xfId="0" applyFont="1" applyFill="1" applyBorder="1" applyAlignment="1">
      <alignment horizontal="left" vertical="center"/>
    </xf>
    <xf numFmtId="0" fontId="20" fillId="7" borderId="2" xfId="0" applyFont="1" applyFill="1" applyBorder="1" applyAlignment="1">
      <alignment horizontal="left" vertical="center"/>
    </xf>
    <xf numFmtId="0" fontId="19" fillId="14" borderId="2" xfId="0" applyFont="1" applyFill="1" applyBorder="1" applyAlignment="1">
      <alignment horizontal="center" vertical="center"/>
    </xf>
    <xf numFmtId="0" fontId="19" fillId="14" borderId="2" xfId="0" applyFont="1" applyFill="1" applyBorder="1" applyAlignment="1">
      <alignment vertical="center"/>
    </xf>
    <xf numFmtId="0" fontId="20" fillId="14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vertical="center"/>
    </xf>
    <xf numFmtId="0" fontId="19" fillId="14" borderId="7" xfId="0" applyFont="1" applyFill="1" applyBorder="1" applyAlignment="1">
      <alignment horizontal="left" vertical="center"/>
    </xf>
    <xf numFmtId="0" fontId="19" fillId="8" borderId="8" xfId="0" applyFont="1" applyFill="1" applyBorder="1" applyAlignment="1">
      <alignment horizontal="left" vertical="center"/>
    </xf>
    <xf numFmtId="0" fontId="19" fillId="8" borderId="2" xfId="0" applyFont="1" applyFill="1" applyBorder="1" applyAlignment="1">
      <alignment horizontal="left" vertical="center"/>
    </xf>
    <xf numFmtId="0" fontId="19" fillId="8" borderId="2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left" vertical="center"/>
    </xf>
    <xf numFmtId="9" fontId="19" fillId="14" borderId="2" xfId="0" applyNumberFormat="1" applyFont="1" applyFill="1" applyBorder="1" applyAlignment="1">
      <alignment horizontal="center" vertical="center"/>
    </xf>
    <xf numFmtId="9" fontId="20" fillId="7" borderId="2" xfId="0" applyNumberFormat="1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left" vertical="center"/>
    </xf>
    <xf numFmtId="0" fontId="18" fillId="0" borderId="2" xfId="0" applyFont="1" applyBorder="1" applyAlignment="1">
      <alignment vertical="center"/>
    </xf>
    <xf numFmtId="0" fontId="25" fillId="7" borderId="3" xfId="0" applyFont="1" applyFill="1" applyBorder="1" applyAlignment="1">
      <alignment horizontal="center" vertical="center"/>
    </xf>
    <xf numFmtId="0" fontId="19" fillId="15" borderId="7" xfId="0" applyFont="1" applyFill="1" applyBorder="1" applyAlignment="1">
      <alignment horizontal="left" vertical="center"/>
    </xf>
    <xf numFmtId="183" fontId="20" fillId="7" borderId="2" xfId="0" applyNumberFormat="1" applyFont="1" applyFill="1" applyBorder="1" applyAlignment="1">
      <alignment horizontal="left" vertical="center"/>
    </xf>
    <xf numFmtId="0" fontId="0" fillId="0" borderId="0" xfId="0" applyFont="1" applyAlignment="1">
      <alignment horizontal="center"/>
    </xf>
    <xf numFmtId="0" fontId="18" fillId="0" borderId="2" xfId="0" applyFont="1" applyBorder="1" applyAlignment="1">
      <alignment horizontal="center" vertical="center"/>
    </xf>
    <xf numFmtId="180" fontId="18" fillId="0" borderId="2" xfId="0" applyNumberFormat="1" applyFont="1" applyBorder="1" applyAlignment="1">
      <alignment horizontal="center" vertical="center"/>
    </xf>
    <xf numFmtId="9" fontId="18" fillId="0" borderId="2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19" fillId="0" borderId="3" xfId="0" applyFont="1" applyBorder="1" applyAlignment="1"/>
    <xf numFmtId="180" fontId="19" fillId="0" borderId="3" xfId="0" applyNumberFormat="1" applyFont="1" applyBorder="1" applyAlignment="1">
      <alignment horizontal="center"/>
    </xf>
    <xf numFmtId="9" fontId="19" fillId="0" borderId="3" xfId="0" applyNumberFormat="1" applyFont="1" applyBorder="1" applyAlignment="1">
      <alignment horizontal="center"/>
    </xf>
    <xf numFmtId="0" fontId="19" fillId="0" borderId="9" xfId="0" applyFont="1" applyBorder="1"/>
    <xf numFmtId="180" fontId="19" fillId="0" borderId="4" xfId="0" applyNumberFormat="1" applyFont="1" applyBorder="1" applyAlignment="1">
      <alignment horizontal="center"/>
    </xf>
    <xf numFmtId="9" fontId="19" fillId="0" borderId="4" xfId="0" applyNumberFormat="1" applyFont="1" applyBorder="1" applyAlignment="1">
      <alignment horizontal="center"/>
    </xf>
    <xf numFmtId="0" fontId="19" fillId="0" borderId="10" xfId="0" applyFont="1" applyBorder="1"/>
    <xf numFmtId="0" fontId="21" fillId="15" borderId="2" xfId="0" applyFont="1" applyFill="1" applyBorder="1" applyAlignment="1">
      <alignment horizontal="center" vertical="center"/>
    </xf>
    <xf numFmtId="0" fontId="20" fillId="0" borderId="2" xfId="0" applyFont="1" applyBorder="1" applyAlignment="1"/>
    <xf numFmtId="0" fontId="20" fillId="0" borderId="2" xfId="0" applyFont="1" applyBorder="1" applyAlignment="1">
      <alignment horizontal="center"/>
    </xf>
    <xf numFmtId="0" fontId="20" fillId="0" borderId="2" xfId="0" applyFont="1" applyBorder="1" applyAlignment="1">
      <alignment horizontal="left"/>
    </xf>
    <xf numFmtId="0" fontId="19" fillId="0" borderId="3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18" fillId="12" borderId="3" xfId="0" applyFont="1" applyFill="1" applyBorder="1" applyAlignment="1">
      <alignment horizontal="left" vertical="center"/>
    </xf>
    <xf numFmtId="0" fontId="20" fillId="7" borderId="2" xfId="0" applyFont="1" applyFill="1" applyBorder="1" applyAlignment="1"/>
    <xf numFmtId="9" fontId="19" fillId="7" borderId="2" xfId="0" applyNumberFormat="1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left" vertical="center"/>
    </xf>
    <xf numFmtId="0" fontId="18" fillId="7" borderId="2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0" borderId="11" xfId="0" applyFont="1" applyBorder="1" applyAlignment="1"/>
    <xf numFmtId="0" fontId="18" fillId="7" borderId="2" xfId="0" applyFont="1" applyFill="1" applyBorder="1" applyAlignment="1">
      <alignment horizontal="left" vertical="center"/>
    </xf>
    <xf numFmtId="0" fontId="21" fillId="7" borderId="2" xfId="0" applyFont="1" applyFill="1" applyBorder="1" applyAlignment="1">
      <alignment horizontal="left" vertical="center"/>
    </xf>
    <xf numFmtId="0" fontId="20" fillId="0" borderId="11" xfId="0" applyFont="1" applyBorder="1" applyAlignment="1">
      <alignment horizontal="left"/>
    </xf>
    <xf numFmtId="181" fontId="18" fillId="12" borderId="2" xfId="0" applyNumberFormat="1" applyFont="1" applyFill="1" applyBorder="1" applyAlignment="1">
      <alignment horizontal="center" vertical="center"/>
    </xf>
    <xf numFmtId="0" fontId="21" fillId="12" borderId="2" xfId="0" applyFont="1" applyFill="1" applyBorder="1" applyAlignment="1">
      <alignment horizontal="left" vertical="center"/>
    </xf>
    <xf numFmtId="0" fontId="18" fillId="11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left" vertical="center"/>
    </xf>
    <xf numFmtId="181" fontId="18" fillId="11" borderId="2" xfId="0" applyNumberFormat="1" applyFont="1" applyFill="1" applyBorder="1" applyAlignment="1">
      <alignment horizontal="center" vertical="center"/>
    </xf>
    <xf numFmtId="0" fontId="18" fillId="11" borderId="7" xfId="0" applyFont="1" applyFill="1" applyBorder="1" applyAlignment="1">
      <alignment horizontal="left" vertical="center"/>
    </xf>
    <xf numFmtId="0" fontId="18" fillId="11" borderId="8" xfId="0" applyFont="1" applyFill="1" applyBorder="1" applyAlignment="1">
      <alignment horizontal="left" vertical="center"/>
    </xf>
    <xf numFmtId="0" fontId="21" fillId="11" borderId="2" xfId="0" applyFont="1" applyFill="1" applyBorder="1" applyAlignment="1">
      <alignment horizontal="left" vertical="center"/>
    </xf>
    <xf numFmtId="180" fontId="18" fillId="0" borderId="7" xfId="0" applyNumberFormat="1" applyFont="1" applyBorder="1" applyAlignment="1">
      <alignment horizontal="left" vertical="center"/>
    </xf>
    <xf numFmtId="0" fontId="0" fillId="0" borderId="2" xfId="0" applyFont="1" applyBorder="1" applyAlignment="1">
      <alignment horizontal="center"/>
    </xf>
    <xf numFmtId="181" fontId="19" fillId="14" borderId="11" xfId="0" applyNumberFormat="1" applyFont="1" applyFill="1" applyBorder="1" applyAlignment="1">
      <alignment horizontal="center" vertical="center"/>
    </xf>
    <xf numFmtId="0" fontId="19" fillId="14" borderId="8" xfId="0" applyFont="1" applyFill="1" applyBorder="1" applyAlignment="1">
      <alignment horizontal="left" vertical="center"/>
    </xf>
    <xf numFmtId="0" fontId="19" fillId="14" borderId="2" xfId="0" applyFont="1" applyFill="1" applyBorder="1" applyAlignment="1">
      <alignment horizontal="left" vertical="center"/>
    </xf>
    <xf numFmtId="0" fontId="20" fillId="14" borderId="2" xfId="0" applyFont="1" applyFill="1" applyBorder="1" applyAlignment="1">
      <alignment horizontal="left" vertical="center"/>
    </xf>
    <xf numFmtId="0" fontId="26" fillId="14" borderId="2" xfId="0" applyFont="1" applyFill="1" applyBorder="1" applyAlignment="1">
      <alignment vertical="center"/>
    </xf>
    <xf numFmtId="180" fontId="19" fillId="14" borderId="2" xfId="0" applyNumberFormat="1" applyFont="1" applyFill="1" applyBorder="1" applyAlignment="1">
      <alignment horizontal="center" vertical="center"/>
    </xf>
    <xf numFmtId="9" fontId="22" fillId="14" borderId="2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27" fillId="2" borderId="1" xfId="0" applyFont="1" applyFill="1" applyBorder="1" applyAlignment="1">
      <alignment horizontal="left" vertical="center"/>
    </xf>
    <xf numFmtId="0" fontId="28" fillId="0" borderId="1" xfId="0" applyFont="1" applyBorder="1"/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vertical="center"/>
    </xf>
    <xf numFmtId="0" fontId="29" fillId="6" borderId="2" xfId="0" applyFont="1" applyFill="1" applyBorder="1" applyAlignment="1">
      <alignment vertical="center"/>
    </xf>
    <xf numFmtId="0" fontId="29" fillId="6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29" fillId="3" borderId="2" xfId="0" applyFont="1" applyFill="1" applyBorder="1" applyAlignment="1">
      <alignment vertical="center"/>
    </xf>
    <xf numFmtId="0" fontId="29" fillId="3" borderId="2" xfId="0" applyFont="1" applyFill="1" applyBorder="1" applyAlignment="1">
      <alignment horizontal="left" vertical="center"/>
    </xf>
    <xf numFmtId="0" fontId="29" fillId="3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/>
    </xf>
    <xf numFmtId="0" fontId="6" fillId="0" borderId="2" xfId="0" applyFont="1" applyBorder="1" applyAlignment="1"/>
    <xf numFmtId="0" fontId="30" fillId="0" borderId="2" xfId="0" applyFont="1" applyBorder="1" applyAlignment="1">
      <alignment horizontal="left" vertical="center"/>
    </xf>
    <xf numFmtId="0" fontId="29" fillId="0" borderId="2" xfId="0" applyFont="1" applyBorder="1" applyAlignment="1"/>
    <xf numFmtId="0" fontId="29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/>
    </xf>
    <xf numFmtId="0" fontId="31" fillId="0" borderId="2" xfId="0" applyFont="1" applyBorder="1" applyAlignment="1">
      <alignment horizontal="left" vertical="center"/>
    </xf>
    <xf numFmtId="0" fontId="29" fillId="0" borderId="2" xfId="0" applyFont="1" applyBorder="1"/>
    <xf numFmtId="0" fontId="31" fillId="7" borderId="2" xfId="0" applyFont="1" applyFill="1" applyBorder="1" applyAlignment="1">
      <alignment horizontal="left" vertical="center"/>
    </xf>
    <xf numFmtId="180" fontId="29" fillId="0" borderId="2" xfId="0" applyNumberFormat="1" applyFont="1" applyBorder="1" applyAlignment="1"/>
    <xf numFmtId="0" fontId="30" fillId="0" borderId="2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29" fillId="6" borderId="2" xfId="0" applyFont="1" applyFill="1" applyBorder="1" applyAlignment="1">
      <alignment horizontal="left" vertical="center"/>
    </xf>
    <xf numFmtId="180" fontId="29" fillId="0" borderId="2" xfId="0" applyNumberFormat="1" applyFont="1" applyBorder="1" applyAlignment="1">
      <alignment horizontal="center" vertical="center" wrapText="1"/>
    </xf>
    <xf numFmtId="0" fontId="30" fillId="0" borderId="11" xfId="0" applyFont="1" applyBorder="1" applyAlignment="1">
      <alignment horizontal="left" vertical="center"/>
    </xf>
    <xf numFmtId="0" fontId="32" fillId="0" borderId="2" xfId="0" applyFont="1" applyBorder="1" applyAlignment="1">
      <alignment horizontal="center"/>
    </xf>
    <xf numFmtId="0" fontId="29" fillId="0" borderId="2" xfId="0" applyFont="1" applyBorder="1" applyAlignment="1">
      <alignment horizontal="right"/>
    </xf>
    <xf numFmtId="0" fontId="29" fillId="0" borderId="11" xfId="0" applyFont="1" applyBorder="1" applyAlignment="1"/>
    <xf numFmtId="184" fontId="29" fillId="0" borderId="2" xfId="0" applyNumberFormat="1" applyFont="1" applyBorder="1" applyAlignment="1">
      <alignment horizontal="right"/>
    </xf>
    <xf numFmtId="180" fontId="29" fillId="0" borderId="2" xfId="0" applyNumberFormat="1" applyFont="1" applyBorder="1" applyAlignment="1">
      <alignment horizontal="right"/>
    </xf>
    <xf numFmtId="0" fontId="33" fillId="0" borderId="0" xfId="0" applyFont="1"/>
    <xf numFmtId="0" fontId="33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3" fillId="0" borderId="2" xfId="0" applyFont="1" applyBorder="1" applyAlignment="1">
      <alignment wrapText="1"/>
    </xf>
    <xf numFmtId="0" fontId="23" fillId="0" borderId="2" xfId="0" applyFont="1" applyBorder="1" applyAlignment="1">
      <alignment vertical="center"/>
    </xf>
    <xf numFmtId="0" fontId="34" fillId="0" borderId="7" xfId="0" applyFont="1" applyBorder="1" applyAlignment="1">
      <alignment horizontal="center" vertical="center"/>
    </xf>
    <xf numFmtId="0" fontId="28" fillId="0" borderId="5" xfId="0" applyFont="1" applyBorder="1"/>
    <xf numFmtId="0" fontId="28" fillId="0" borderId="3" xfId="0" applyFont="1" applyBorder="1"/>
    <xf numFmtId="0" fontId="35" fillId="16" borderId="13" xfId="0" applyFont="1" applyFill="1" applyBorder="1" applyAlignment="1">
      <alignment horizontal="center" vertical="center" wrapText="1"/>
    </xf>
    <xf numFmtId="0" fontId="36" fillId="16" borderId="7" xfId="0" applyFont="1" applyFill="1" applyBorder="1" applyAlignment="1">
      <alignment horizontal="center" vertical="center"/>
    </xf>
    <xf numFmtId="0" fontId="28" fillId="0" borderId="14" xfId="0" applyFont="1" applyBorder="1"/>
    <xf numFmtId="0" fontId="37" fillId="4" borderId="7" xfId="0" applyFont="1" applyFill="1" applyBorder="1" applyAlignment="1">
      <alignment horizontal="center" vertical="center" wrapText="1"/>
    </xf>
    <xf numFmtId="0" fontId="37" fillId="12" borderId="7" xfId="0" applyFont="1" applyFill="1" applyBorder="1" applyAlignment="1">
      <alignment horizontal="center" vertical="center"/>
    </xf>
    <xf numFmtId="0" fontId="28" fillId="0" borderId="11" xfId="0" applyFont="1" applyBorder="1"/>
    <xf numFmtId="0" fontId="38" fillId="4" borderId="2" xfId="0" applyFont="1" applyFill="1" applyBorder="1" applyAlignment="1">
      <alignment horizontal="center" vertical="center"/>
    </xf>
    <xf numFmtId="0" fontId="39" fillId="11" borderId="2" xfId="0" applyFont="1" applyFill="1" applyBorder="1" applyAlignment="1">
      <alignment horizontal="center" vertical="center" wrapText="1"/>
    </xf>
    <xf numFmtId="0" fontId="38" fillId="12" borderId="2" xfId="0" applyFont="1" applyFill="1" applyBorder="1" applyAlignment="1">
      <alignment horizontal="center" vertical="center"/>
    </xf>
    <xf numFmtId="0" fontId="40" fillId="17" borderId="2" xfId="0" applyFont="1" applyFill="1" applyBorder="1"/>
    <xf numFmtId="0" fontId="41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 wrapText="1"/>
    </xf>
    <xf numFmtId="0" fontId="41" fillId="0" borderId="2" xfId="0" applyFont="1" applyBorder="1" applyAlignment="1">
      <alignment horizontal="left" vertical="center"/>
    </xf>
    <xf numFmtId="58" fontId="5" fillId="4" borderId="2" xfId="0" applyNumberFormat="1" applyFont="1" applyFill="1" applyBorder="1" applyAlignment="1">
      <alignment horizontal="center" vertical="center"/>
    </xf>
    <xf numFmtId="58" fontId="43" fillId="11" borderId="2" xfId="0" applyNumberFormat="1" applyFont="1" applyFill="1" applyBorder="1" applyAlignment="1">
      <alignment horizontal="center" vertical="center"/>
    </xf>
    <xf numFmtId="58" fontId="5" fillId="12" borderId="2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3" fillId="11" borderId="2" xfId="0" applyFont="1" applyFill="1" applyBorder="1" applyAlignment="1">
      <alignment horizontal="center" vertical="center"/>
    </xf>
    <xf numFmtId="0" fontId="40" fillId="17" borderId="7" xfId="0" applyFont="1" applyFill="1" applyBorder="1" applyAlignment="1">
      <alignment horizontal="left"/>
    </xf>
    <xf numFmtId="0" fontId="40" fillId="17" borderId="7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180" fontId="5" fillId="4" borderId="2" xfId="0" applyNumberFormat="1" applyFont="1" applyFill="1" applyBorder="1" applyAlignment="1">
      <alignment horizontal="center" vertical="center"/>
    </xf>
    <xf numFmtId="180" fontId="43" fillId="11" borderId="2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44" fillId="18" borderId="1" xfId="0" applyFont="1" applyFill="1" applyBorder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41" fillId="4" borderId="2" xfId="0" applyFont="1" applyFill="1" applyBorder="1" applyAlignment="1">
      <alignment horizontal="center" vertical="center"/>
    </xf>
    <xf numFmtId="0" fontId="43" fillId="4" borderId="2" xfId="0" applyFont="1" applyFill="1" applyBorder="1" applyAlignment="1">
      <alignment horizontal="center" vertical="center"/>
    </xf>
    <xf numFmtId="0" fontId="41" fillId="4" borderId="2" xfId="0" applyFont="1" applyFill="1" applyBorder="1" applyAlignment="1">
      <alignment vertical="center"/>
    </xf>
    <xf numFmtId="0" fontId="41" fillId="4" borderId="0" xfId="0" applyFont="1" applyFill="1" applyAlignment="1">
      <alignment vertical="center"/>
    </xf>
    <xf numFmtId="0" fontId="20" fillId="0" borderId="0" xfId="0" applyFont="1" applyAlignment="1"/>
    <xf numFmtId="0" fontId="5" fillId="3" borderId="2" xfId="0" applyFont="1" applyFill="1" applyBorder="1" applyAlignment="1">
      <alignment horizontal="center" vertical="center"/>
    </xf>
    <xf numFmtId="0" fontId="43" fillId="3" borderId="2" xfId="0" applyFont="1" applyFill="1" applyBorder="1" applyAlignment="1">
      <alignment horizontal="center" vertical="center"/>
    </xf>
    <xf numFmtId="0" fontId="41" fillId="3" borderId="2" xfId="0" applyFont="1" applyFill="1" applyBorder="1" applyAlignment="1">
      <alignment vertical="center"/>
    </xf>
    <xf numFmtId="0" fontId="41" fillId="3" borderId="2" xfId="0" applyFont="1" applyFill="1" applyBorder="1" applyAlignment="1">
      <alignment horizontal="center" vertical="center"/>
    </xf>
    <xf numFmtId="0" fontId="41" fillId="3" borderId="0" xfId="0" applyFont="1" applyFill="1" applyAlignment="1">
      <alignment vertical="center"/>
    </xf>
    <xf numFmtId="0" fontId="45" fillId="0" borderId="0" xfId="0" applyFont="1" applyAlignment="1"/>
    <xf numFmtId="0" fontId="41" fillId="12" borderId="2" xfId="0" applyFont="1" applyFill="1" applyBorder="1" applyAlignment="1">
      <alignment horizontal="center" vertical="center"/>
    </xf>
    <xf numFmtId="0" fontId="41" fillId="12" borderId="2" xfId="0" applyFont="1" applyFill="1" applyBorder="1" applyAlignment="1">
      <alignment vertical="center"/>
    </xf>
    <xf numFmtId="0" fontId="41" fillId="12" borderId="0" xfId="0" applyFont="1" applyFill="1" applyAlignment="1">
      <alignment vertical="center"/>
    </xf>
    <xf numFmtId="0" fontId="5" fillId="7" borderId="2" xfId="0" applyFont="1" applyFill="1" applyBorder="1" applyAlignment="1">
      <alignment horizontal="center" vertical="center"/>
    </xf>
    <xf numFmtId="0" fontId="41" fillId="7" borderId="2" xfId="0" applyFont="1" applyFill="1" applyBorder="1" applyAlignment="1">
      <alignment horizontal="center" vertical="center"/>
    </xf>
    <xf numFmtId="0" fontId="41" fillId="7" borderId="2" xfId="0" applyFont="1" applyFill="1" applyBorder="1" applyAlignment="1">
      <alignment vertical="center"/>
    </xf>
    <xf numFmtId="180" fontId="41" fillId="7" borderId="2" xfId="0" applyNumberFormat="1" applyFont="1" applyFill="1" applyBorder="1" applyAlignment="1">
      <alignment vertical="center"/>
    </xf>
    <xf numFmtId="0" fontId="41" fillId="7" borderId="0" xfId="0" applyFont="1" applyFill="1" applyAlignment="1">
      <alignment vertical="center"/>
    </xf>
    <xf numFmtId="0" fontId="11" fillId="0" borderId="2" xfId="0" applyFont="1" applyBorder="1" applyAlignment="1">
      <alignment horizontal="left" vertical="center" wrapText="1"/>
    </xf>
    <xf numFmtId="0" fontId="16" fillId="7" borderId="2" xfId="0" applyFont="1" applyFill="1" applyBorder="1" applyAlignment="1">
      <alignment vertical="center"/>
    </xf>
    <xf numFmtId="0" fontId="43" fillId="7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31" fillId="7" borderId="2" xfId="0" applyFont="1" applyFill="1" applyBorder="1" applyAlignment="1">
      <alignment horizontal="center" vertical="center"/>
    </xf>
    <xf numFmtId="180" fontId="29" fillId="0" borderId="2" xfId="0" applyNumberFormat="1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20" fillId="7" borderId="2" xfId="0" applyFont="1" applyFill="1" applyBorder="1" applyAlignment="1">
      <alignment horizontal="center"/>
    </xf>
    <xf numFmtId="0" fontId="20" fillId="7" borderId="0" xfId="0" applyFont="1" applyFill="1" applyAlignment="1">
      <alignment horizontal="center"/>
    </xf>
    <xf numFmtId="58" fontId="29" fillId="0" borderId="2" xfId="0" applyNumberFormat="1" applyFont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23" fillId="7" borderId="2" xfId="0" applyFont="1" applyFill="1" applyBorder="1" applyAlignment="1">
      <alignment horizontal="center"/>
    </xf>
    <xf numFmtId="0" fontId="23" fillId="7" borderId="0" xfId="0" applyFont="1" applyFill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23" fillId="3" borderId="2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0" fontId="6" fillId="19" borderId="2" xfId="0" applyFont="1" applyFill="1" applyBorder="1" applyAlignment="1">
      <alignment horizontal="center"/>
    </xf>
    <xf numFmtId="0" fontId="29" fillId="19" borderId="2" xfId="0" applyFont="1" applyFill="1" applyBorder="1" applyAlignment="1">
      <alignment horizontal="center" vertical="center"/>
    </xf>
    <xf numFmtId="0" fontId="29" fillId="19" borderId="2" xfId="0" applyFont="1" applyFill="1" applyBorder="1" applyAlignment="1">
      <alignment horizontal="center"/>
    </xf>
    <xf numFmtId="0" fontId="31" fillId="19" borderId="2" xfId="0" applyFont="1" applyFill="1" applyBorder="1" applyAlignment="1">
      <alignment horizontal="center" vertical="center"/>
    </xf>
    <xf numFmtId="0" fontId="19" fillId="19" borderId="2" xfId="0" applyFont="1" applyFill="1" applyBorder="1" applyAlignment="1">
      <alignment horizontal="center" vertical="center"/>
    </xf>
    <xf numFmtId="0" fontId="19" fillId="19" borderId="0" xfId="0" applyFont="1" applyFill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6" fillId="0" borderId="2" xfId="0" applyFont="1" applyBorder="1"/>
    <xf numFmtId="0" fontId="16" fillId="0" borderId="0" xfId="0" applyFont="1"/>
    <xf numFmtId="0" fontId="11" fillId="7" borderId="2" xfId="0" applyFont="1" applyFill="1" applyBorder="1" applyAlignment="1">
      <alignment horizontal="center"/>
    </xf>
    <xf numFmtId="0" fontId="32" fillId="19" borderId="2" xfId="0" applyFont="1" applyFill="1" applyBorder="1" applyAlignment="1">
      <alignment horizontal="center"/>
    </xf>
    <xf numFmtId="58" fontId="29" fillId="19" borderId="2" xfId="0" applyNumberFormat="1" applyFont="1" applyFill="1" applyBorder="1" applyAlignment="1">
      <alignment horizontal="center"/>
    </xf>
    <xf numFmtId="0" fontId="19" fillId="19" borderId="2" xfId="0" applyFont="1" applyFill="1" applyBorder="1" applyAlignment="1">
      <alignment horizontal="center"/>
    </xf>
    <xf numFmtId="0" fontId="19" fillId="19" borderId="0" xfId="0" applyFont="1" applyFill="1" applyAlignment="1">
      <alignment horizontal="center"/>
    </xf>
    <xf numFmtId="0" fontId="29" fillId="11" borderId="2" xfId="0" applyFont="1" applyFill="1" applyBorder="1" applyAlignment="1">
      <alignment horizontal="center"/>
    </xf>
    <xf numFmtId="0" fontId="6" fillId="11" borderId="2" xfId="0" applyFont="1" applyFill="1" applyBorder="1" applyAlignment="1">
      <alignment horizontal="center"/>
    </xf>
    <xf numFmtId="0" fontId="29" fillId="11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/>
    </xf>
    <xf numFmtId="184" fontId="29" fillId="0" borderId="2" xfId="0" applyNumberFormat="1" applyFont="1" applyBorder="1" applyAlignment="1">
      <alignment horizontal="center"/>
    </xf>
    <xf numFmtId="0" fontId="6" fillId="7" borderId="2" xfId="0" applyFont="1" applyFill="1" applyBorder="1" applyAlignment="1">
      <alignment horizontal="center" vertical="center"/>
    </xf>
    <xf numFmtId="0" fontId="29" fillId="7" borderId="2" xfId="0" applyFont="1" applyFill="1" applyBorder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9" fillId="10" borderId="2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2" xfId="0" applyFont="1" applyFill="1" applyBorder="1" applyAlignment="1">
      <alignment horizontal="center" vertical="center"/>
    </xf>
    <xf numFmtId="0" fontId="29" fillId="4" borderId="0" xfId="0" applyFont="1" applyFill="1" applyAlignment="1">
      <alignment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vertical="center"/>
    </xf>
    <xf numFmtId="0" fontId="29" fillId="8" borderId="2" xfId="0" applyFont="1" applyFill="1" applyBorder="1" applyAlignment="1">
      <alignment vertical="center"/>
    </xf>
    <xf numFmtId="0" fontId="30" fillId="8" borderId="2" xfId="0" applyFont="1" applyFill="1" applyBorder="1" applyAlignment="1">
      <alignment horizontal="left" vertical="center"/>
    </xf>
    <xf numFmtId="0" fontId="29" fillId="8" borderId="2" xfId="0" applyFont="1" applyFill="1" applyBorder="1" applyAlignment="1">
      <alignment horizontal="center" vertical="center"/>
    </xf>
    <xf numFmtId="0" fontId="29" fillId="8" borderId="0" xfId="0" applyFont="1" applyFill="1" applyAlignment="1">
      <alignment vertical="center"/>
    </xf>
    <xf numFmtId="0" fontId="29" fillId="0" borderId="2" xfId="0" applyFont="1" applyBorder="1" applyAlignment="1">
      <alignment vertical="center"/>
    </xf>
    <xf numFmtId="0" fontId="30" fillId="7" borderId="2" xfId="0" applyFont="1" applyFill="1" applyBorder="1" applyAlignment="1">
      <alignment horizontal="left" vertical="center"/>
    </xf>
    <xf numFmtId="0" fontId="29" fillId="20" borderId="2" xfId="0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180" fontId="29" fillId="0" borderId="2" xfId="0" applyNumberFormat="1" applyFont="1" applyBorder="1" applyAlignment="1">
      <alignment horizontal="center" vertical="center"/>
    </xf>
    <xf numFmtId="0" fontId="30" fillId="7" borderId="11" xfId="0" applyFont="1" applyFill="1" applyBorder="1" applyAlignment="1">
      <alignment horizontal="left" vertical="center"/>
    </xf>
    <xf numFmtId="0" fontId="29" fillId="0" borderId="11" xfId="0" applyFont="1" applyBorder="1" applyAlignment="1">
      <alignment horizontal="center" vertical="center"/>
    </xf>
    <xf numFmtId="0" fontId="29" fillId="0" borderId="11" xfId="0" applyFont="1" applyBorder="1" applyAlignment="1">
      <alignment vertical="center"/>
    </xf>
    <xf numFmtId="0" fontId="30" fillId="8" borderId="11" xfId="0" applyFont="1" applyFill="1" applyBorder="1" applyAlignment="1">
      <alignment horizontal="left" vertical="center"/>
    </xf>
    <xf numFmtId="0" fontId="29" fillId="8" borderId="11" xfId="0" applyFont="1" applyFill="1" applyBorder="1" applyAlignment="1">
      <alignment horizontal="center" vertical="center"/>
    </xf>
    <xf numFmtId="0" fontId="29" fillId="8" borderId="11" xfId="0" applyFont="1" applyFill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vertical="center"/>
    </xf>
    <xf numFmtId="180" fontId="13" fillId="0" borderId="4" xfId="0" applyNumberFormat="1" applyFont="1" applyBorder="1" applyAlignment="1">
      <alignment horizontal="center" vertical="center"/>
    </xf>
    <xf numFmtId="180" fontId="29" fillId="0" borderId="11" xfId="0" applyNumberFormat="1" applyFont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29" fillId="7" borderId="2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180" fontId="11" fillId="7" borderId="2" xfId="0" applyNumberFormat="1" applyFont="1" applyFill="1" applyBorder="1" applyAlignment="1">
      <alignment horizontal="center" vertical="center" wrapText="1"/>
    </xf>
    <xf numFmtId="0" fontId="30" fillId="7" borderId="2" xfId="0" applyFont="1" applyFill="1" applyBorder="1" applyAlignment="1">
      <alignment horizontal="center" vertical="center"/>
    </xf>
    <xf numFmtId="0" fontId="29" fillId="7" borderId="0" xfId="0" applyFont="1" applyFill="1" applyAlignment="1">
      <alignment vertical="center"/>
    </xf>
    <xf numFmtId="180" fontId="13" fillId="7" borderId="2" xfId="0" applyNumberFormat="1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185" fontId="11" fillId="7" borderId="2" xfId="0" applyNumberFormat="1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vertical="center"/>
    </xf>
    <xf numFmtId="0" fontId="29" fillId="7" borderId="11" xfId="0" applyFont="1" applyFill="1" applyBorder="1" applyAlignment="1">
      <alignment horizontal="center" vertical="center"/>
    </xf>
    <xf numFmtId="0" fontId="29" fillId="7" borderId="11" xfId="0" applyFont="1" applyFill="1" applyBorder="1" applyAlignment="1">
      <alignment vertical="center"/>
    </xf>
    <xf numFmtId="0" fontId="6" fillId="15" borderId="0" xfId="0" applyFont="1" applyFill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vertical="center"/>
    </xf>
    <xf numFmtId="0" fontId="46" fillId="7" borderId="2" xfId="0" applyFont="1" applyFill="1" applyBorder="1" applyAlignment="1">
      <alignment horizontal="left" vertical="center"/>
    </xf>
    <xf numFmtId="0" fontId="46" fillId="0" borderId="0" xfId="0" applyFont="1" applyAlignment="1">
      <alignment vertical="center"/>
    </xf>
    <xf numFmtId="0" fontId="46" fillId="0" borderId="2" xfId="0" applyFont="1" applyBorder="1" applyAlignment="1">
      <alignment horizontal="center" vertical="center"/>
    </xf>
    <xf numFmtId="0" fontId="46" fillId="0" borderId="2" xfId="0" applyFont="1" applyBorder="1" applyAlignment="1">
      <alignment vertical="center"/>
    </xf>
    <xf numFmtId="0" fontId="46" fillId="0" borderId="2" xfId="0" applyFont="1" applyBorder="1" applyAlignment="1">
      <alignment horizontal="left" vertical="center"/>
    </xf>
    <xf numFmtId="0" fontId="46" fillId="7" borderId="11" xfId="0" applyFont="1" applyFill="1" applyBorder="1" applyAlignment="1">
      <alignment horizontal="left" vertical="center"/>
    </xf>
    <xf numFmtId="0" fontId="46" fillId="0" borderId="11" xfId="0" applyFont="1" applyBorder="1" applyAlignment="1">
      <alignment horizontal="center" vertical="center"/>
    </xf>
    <xf numFmtId="0" fontId="46" fillId="0" borderId="11" xfId="0" applyFont="1" applyBorder="1" applyAlignment="1">
      <alignment vertical="center"/>
    </xf>
    <xf numFmtId="0" fontId="46" fillId="20" borderId="2" xfId="0" applyFont="1" applyFill="1" applyBorder="1" applyAlignment="1">
      <alignment vertical="center"/>
    </xf>
    <xf numFmtId="0" fontId="46" fillId="20" borderId="2" xfId="0" applyFont="1" applyFill="1" applyBorder="1" applyAlignment="1">
      <alignment horizontal="left" vertical="center"/>
    </xf>
    <xf numFmtId="0" fontId="46" fillId="20" borderId="2" xfId="0" applyFont="1" applyFill="1" applyBorder="1" applyAlignment="1">
      <alignment horizontal="center" vertical="center"/>
    </xf>
    <xf numFmtId="180" fontId="46" fillId="0" borderId="2" xfId="0" applyNumberFormat="1" applyFont="1" applyBorder="1" applyAlignment="1">
      <alignment horizontal="center" vertical="center"/>
    </xf>
    <xf numFmtId="185" fontId="12" fillId="7" borderId="2" xfId="0" applyNumberFormat="1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180" fontId="12" fillId="7" borderId="2" xfId="0" applyNumberFormat="1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vertical="center"/>
    </xf>
    <xf numFmtId="0" fontId="12" fillId="7" borderId="2" xfId="0" applyFont="1" applyFill="1" applyBorder="1" applyAlignment="1">
      <alignment horizontal="center" vertical="center"/>
    </xf>
    <xf numFmtId="0" fontId="32" fillId="0" borderId="2" xfId="0" applyFont="1" applyBorder="1" applyAlignment="1">
      <alignment vertical="center"/>
    </xf>
    <xf numFmtId="0" fontId="46" fillId="21" borderId="2" xfId="0" applyFont="1" applyFill="1" applyBorder="1" applyAlignment="1">
      <alignment horizontal="center" vertical="center"/>
    </xf>
    <xf numFmtId="0" fontId="46" fillId="21" borderId="2" xfId="0" applyFont="1" applyFill="1" applyBorder="1" applyAlignment="1">
      <alignment vertical="center"/>
    </xf>
    <xf numFmtId="180" fontId="12" fillId="7" borderId="2" xfId="0" applyNumberFormat="1" applyFont="1" applyFill="1" applyBorder="1" applyAlignment="1">
      <alignment horizontal="center" vertical="center" wrapText="1"/>
    </xf>
    <xf numFmtId="0" fontId="32" fillId="8" borderId="2" xfId="0" applyFont="1" applyFill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46" fillId="8" borderId="2" xfId="0" applyFont="1" applyFill="1" applyBorder="1" applyAlignment="1">
      <alignment vertical="center"/>
    </xf>
    <xf numFmtId="0" fontId="46" fillId="8" borderId="2" xfId="0" applyFont="1" applyFill="1" applyBorder="1" applyAlignment="1">
      <alignment horizontal="left" vertical="center"/>
    </xf>
    <xf numFmtId="0" fontId="46" fillId="8" borderId="2" xfId="0" applyFont="1" applyFill="1" applyBorder="1" applyAlignment="1">
      <alignment horizontal="center" vertical="center"/>
    </xf>
    <xf numFmtId="0" fontId="46" fillId="8" borderId="0" xfId="0" applyFont="1" applyFill="1" applyAlignment="1">
      <alignment vertical="center"/>
    </xf>
    <xf numFmtId="0" fontId="32" fillId="7" borderId="2" xfId="0" applyFont="1" applyFill="1" applyBorder="1" applyAlignment="1">
      <alignment horizontal="left" vertical="center"/>
    </xf>
    <xf numFmtId="0" fontId="32" fillId="0" borderId="2" xfId="0" applyFont="1" applyBorder="1" applyAlignment="1">
      <alignment horizontal="center" vertical="center"/>
    </xf>
    <xf numFmtId="0" fontId="46" fillId="11" borderId="2" xfId="0" applyFont="1" applyFill="1" applyBorder="1" applyAlignment="1">
      <alignment vertical="center"/>
    </xf>
    <xf numFmtId="180" fontId="12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180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46" fillId="22" borderId="2" xfId="0" applyFont="1" applyFill="1" applyBorder="1" applyAlignment="1">
      <alignment horizontal="center" vertical="center"/>
    </xf>
    <xf numFmtId="0" fontId="46" fillId="22" borderId="2" xfId="0" applyFont="1" applyFill="1" applyBorder="1" applyAlignment="1">
      <alignment vertical="center"/>
    </xf>
    <xf numFmtId="0" fontId="46" fillId="22" borderId="11" xfId="0" applyFont="1" applyFill="1" applyBorder="1" applyAlignment="1">
      <alignment horizontal="center" vertical="center"/>
    </xf>
    <xf numFmtId="180" fontId="12" fillId="7" borderId="4" xfId="0" applyNumberFormat="1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vertical="center"/>
    </xf>
    <xf numFmtId="0" fontId="46" fillId="7" borderId="11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18" fillId="3" borderId="15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/>
    </xf>
    <xf numFmtId="0" fontId="47" fillId="0" borderId="0" xfId="0" applyFont="1" applyAlignment="1">
      <alignment wrapText="1"/>
    </xf>
    <xf numFmtId="0" fontId="18" fillId="3" borderId="0" xfId="0" applyFont="1" applyFill="1" applyBorder="1" applyAlignment="1">
      <alignment horizontal="center" vertical="center" wrapText="1"/>
    </xf>
    <xf numFmtId="0" fontId="19" fillId="23" borderId="15" xfId="0" applyFont="1" applyFill="1" applyBorder="1" applyAlignment="1">
      <alignment horizontal="center" vertical="center" wrapText="1"/>
    </xf>
    <xf numFmtId="0" fontId="48" fillId="0" borderId="0" xfId="0" applyFont="1" applyAlignment="1">
      <alignment horizontal="center"/>
    </xf>
    <xf numFmtId="0" fontId="49" fillId="0" borderId="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7" borderId="15" xfId="0" applyFont="1" applyFill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/>
    </xf>
    <xf numFmtId="0" fontId="19" fillId="7" borderId="15" xfId="0" applyFont="1" applyFill="1" applyBorder="1" applyAlignment="1">
      <alignment horizontal="center" wrapText="1"/>
    </xf>
    <xf numFmtId="0" fontId="18" fillId="3" borderId="17" xfId="0" applyFont="1" applyFill="1" applyBorder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23" fillId="3" borderId="19" xfId="0" applyFont="1" applyFill="1" applyBorder="1" applyAlignment="1">
      <alignment vertical="center" wrapText="1"/>
    </xf>
    <xf numFmtId="0" fontId="23" fillId="3" borderId="15" xfId="0" applyFont="1" applyFill="1" applyBorder="1" applyAlignment="1">
      <alignment vertical="center" wrapText="1"/>
    </xf>
    <xf numFmtId="0" fontId="18" fillId="10" borderId="20" xfId="0" applyFont="1" applyFill="1" applyBorder="1" applyAlignment="1">
      <alignment vertical="center"/>
    </xf>
    <xf numFmtId="0" fontId="23" fillId="10" borderId="15" xfId="0" applyFont="1" applyFill="1" applyBorder="1" applyAlignment="1">
      <alignment vertical="center" wrapText="1"/>
    </xf>
    <xf numFmtId="0" fontId="18" fillId="10" borderId="15" xfId="0" applyFont="1" applyFill="1" applyBorder="1" applyAlignment="1">
      <alignment horizontal="center" vertical="center" wrapText="1"/>
    </xf>
    <xf numFmtId="0" fontId="47" fillId="0" borderId="2" xfId="0" applyFont="1" applyBorder="1"/>
    <xf numFmtId="0" fontId="18" fillId="12" borderId="19" xfId="0" applyFont="1" applyFill="1" applyBorder="1" applyAlignment="1">
      <alignment horizontal="center" vertical="center" wrapText="1"/>
    </xf>
    <xf numFmtId="0" fontId="18" fillId="12" borderId="15" xfId="0" applyFont="1" applyFill="1" applyBorder="1" applyAlignment="1">
      <alignment vertical="center" wrapText="1"/>
    </xf>
    <xf numFmtId="0" fontId="18" fillId="12" borderId="15" xfId="0" applyFont="1" applyFill="1" applyBorder="1" applyAlignment="1">
      <alignment horizontal="center" vertical="center" wrapText="1"/>
    </xf>
    <xf numFmtId="0" fontId="23" fillId="12" borderId="15" xfId="0" applyFont="1" applyFill="1" applyBorder="1" applyAlignment="1">
      <alignment vertical="center" wrapText="1"/>
    </xf>
    <xf numFmtId="0" fontId="19" fillId="23" borderId="19" xfId="0" applyFont="1" applyFill="1" applyBorder="1" applyAlignment="1">
      <alignment horizontal="center" vertical="center" wrapText="1"/>
    </xf>
    <xf numFmtId="0" fontId="19" fillId="23" borderId="15" xfId="0" applyFont="1" applyFill="1" applyBorder="1" applyAlignment="1">
      <alignment vertical="center" wrapText="1"/>
    </xf>
    <xf numFmtId="0" fontId="23" fillId="23" borderId="15" xfId="0" applyFont="1" applyFill="1" applyBorder="1" applyAlignment="1">
      <alignment vertical="center" wrapText="1"/>
    </xf>
    <xf numFmtId="58" fontId="19" fillId="23" borderId="15" xfId="0" applyNumberFormat="1" applyFont="1" applyFill="1" applyBorder="1" applyAlignment="1">
      <alignment horizontal="center" vertical="center" wrapText="1"/>
    </xf>
    <xf numFmtId="9" fontId="19" fillId="23" borderId="15" xfId="0" applyNumberFormat="1" applyFont="1" applyFill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15" xfId="0" applyFont="1" applyBorder="1" applyAlignment="1">
      <alignment vertical="center" wrapText="1"/>
    </xf>
    <xf numFmtId="0" fontId="23" fillId="0" borderId="15" xfId="0" applyFont="1" applyBorder="1" applyAlignment="1">
      <alignment wrapText="1"/>
    </xf>
    <xf numFmtId="0" fontId="23" fillId="0" borderId="15" xfId="0" applyFont="1" applyBorder="1" applyAlignment="1">
      <alignment vertical="center" wrapText="1"/>
    </xf>
    <xf numFmtId="58" fontId="19" fillId="0" borderId="15" xfId="0" applyNumberFormat="1" applyFont="1" applyBorder="1" applyAlignment="1">
      <alignment horizontal="center" vertical="center" wrapText="1"/>
    </xf>
    <xf numFmtId="9" fontId="19" fillId="0" borderId="15" xfId="0" applyNumberFormat="1" applyFont="1" applyBorder="1" applyAlignment="1">
      <alignment horizontal="center" vertical="center" wrapText="1"/>
    </xf>
    <xf numFmtId="0" fontId="19" fillId="7" borderId="15" xfId="0" applyFont="1" applyFill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23" fillId="7" borderId="15" xfId="0" applyFont="1" applyFill="1" applyBorder="1" applyAlignment="1">
      <alignment vertical="center" wrapText="1"/>
    </xf>
    <xf numFmtId="58" fontId="19" fillId="7" borderId="15" xfId="0" applyNumberFormat="1" applyFont="1" applyFill="1" applyBorder="1" applyAlignment="1">
      <alignment horizontal="center" vertical="center" wrapText="1"/>
    </xf>
    <xf numFmtId="0" fontId="18" fillId="7" borderId="15" xfId="0" applyFont="1" applyFill="1" applyBorder="1" applyAlignment="1">
      <alignment vertical="center" wrapText="1"/>
    </xf>
    <xf numFmtId="0" fontId="18" fillId="23" borderId="15" xfId="0" applyFont="1" applyFill="1" applyBorder="1" applyAlignment="1">
      <alignment vertical="center" wrapText="1"/>
    </xf>
    <xf numFmtId="0" fontId="23" fillId="23" borderId="15" xfId="0" applyFont="1" applyFill="1" applyBorder="1" applyAlignment="1">
      <alignment wrapText="1"/>
    </xf>
    <xf numFmtId="0" fontId="25" fillId="7" borderId="15" xfId="0" applyFont="1" applyFill="1" applyBorder="1" applyAlignment="1">
      <alignment horizontal="center" vertical="center" wrapText="1"/>
    </xf>
    <xf numFmtId="9" fontId="19" fillId="7" borderId="15" xfId="0" applyNumberFormat="1" applyFont="1" applyFill="1" applyBorder="1" applyAlignment="1">
      <alignment horizontal="center" vertical="center" wrapText="1"/>
    </xf>
    <xf numFmtId="0" fontId="23" fillId="0" borderId="21" xfId="0" applyFont="1" applyBorder="1" applyAlignment="1">
      <alignment vertical="center" wrapText="1"/>
    </xf>
    <xf numFmtId="0" fontId="19" fillId="7" borderId="15" xfId="0" applyFont="1" applyFill="1" applyBorder="1" applyAlignment="1">
      <alignment wrapText="1"/>
    </xf>
    <xf numFmtId="0" fontId="23" fillId="7" borderId="15" xfId="0" applyFont="1" applyFill="1" applyBorder="1" applyAlignment="1">
      <alignment wrapText="1"/>
    </xf>
    <xf numFmtId="0" fontId="19" fillId="0" borderId="15" xfId="0" applyFont="1" applyBorder="1" applyAlignment="1">
      <alignment horizontal="center" wrapText="1"/>
    </xf>
    <xf numFmtId="0" fontId="18" fillId="7" borderId="16" xfId="0" applyFont="1" applyFill="1" applyBorder="1" applyAlignment="1">
      <alignment wrapText="1"/>
    </xf>
    <xf numFmtId="0" fontId="23" fillId="7" borderId="15" xfId="0" applyFont="1" applyFill="1" applyBorder="1" applyAlignment="1">
      <alignment horizontal="center" wrapText="1"/>
    </xf>
    <xf numFmtId="58" fontId="19" fillId="7" borderId="15" xfId="0" applyNumberFormat="1" applyFont="1" applyFill="1" applyBorder="1" applyAlignment="1">
      <alignment horizontal="center" wrapText="1"/>
    </xf>
    <xf numFmtId="9" fontId="19" fillId="7" borderId="15" xfId="0" applyNumberFormat="1" applyFont="1" applyFill="1" applyBorder="1" applyAlignment="1">
      <alignment horizontal="center" wrapText="1"/>
    </xf>
    <xf numFmtId="0" fontId="18" fillId="7" borderId="15" xfId="0" applyFont="1" applyFill="1" applyBorder="1" applyAlignment="1">
      <alignment wrapText="1"/>
    </xf>
    <xf numFmtId="0" fontId="18" fillId="0" borderId="16" xfId="0" applyFont="1" applyBorder="1" applyAlignment="1">
      <alignment vertical="center" wrapText="1"/>
    </xf>
    <xf numFmtId="0" fontId="18" fillId="23" borderId="16" xfId="0" applyFont="1" applyFill="1" applyBorder="1" applyAlignment="1">
      <alignment vertical="center" wrapText="1"/>
    </xf>
    <xf numFmtId="0" fontId="23" fillId="0" borderId="16" xfId="0" applyFont="1" applyBorder="1" applyAlignment="1">
      <alignment vertical="center" wrapText="1"/>
    </xf>
    <xf numFmtId="0" fontId="19" fillId="0" borderId="15" xfId="0" applyFont="1" applyBorder="1" applyAlignment="1">
      <alignment wrapText="1"/>
    </xf>
    <xf numFmtId="0" fontId="19" fillId="8" borderId="15" xfId="0" applyFont="1" applyFill="1" applyBorder="1" applyAlignment="1">
      <alignment vertical="center" wrapText="1"/>
    </xf>
    <xf numFmtId="0" fontId="23" fillId="8" borderId="15" xfId="0" applyFont="1" applyFill="1" applyBorder="1" applyAlignment="1">
      <alignment vertical="center" wrapText="1"/>
    </xf>
    <xf numFmtId="0" fontId="19" fillId="8" borderId="15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vertical="center"/>
    </xf>
    <xf numFmtId="0" fontId="19" fillId="0" borderId="16" xfId="0" applyFont="1" applyBorder="1" applyAlignment="1">
      <alignment horizontal="center" vertical="center"/>
    </xf>
    <xf numFmtId="0" fontId="23" fillId="0" borderId="19" xfId="0" applyFont="1" applyBorder="1" applyAlignment="1">
      <alignment vertical="center" wrapText="1"/>
    </xf>
    <xf numFmtId="0" fontId="50" fillId="0" borderId="15" xfId="0" applyFont="1" applyBorder="1" applyAlignment="1">
      <alignment horizontal="center" vertical="center" wrapText="1"/>
    </xf>
    <xf numFmtId="11" fontId="19" fillId="23" borderId="15" xfId="0" applyNumberFormat="1" applyFont="1" applyFill="1" applyBorder="1" applyAlignment="1">
      <alignment vertical="center" wrapText="1"/>
    </xf>
    <xf numFmtId="0" fontId="18" fillId="7" borderId="15" xfId="0" applyFont="1" applyFill="1" applyBorder="1" applyAlignment="1">
      <alignment horizontal="center" vertical="center" wrapText="1"/>
    </xf>
    <xf numFmtId="0" fontId="20" fillId="0" borderId="0" xfId="0" applyFont="1"/>
    <xf numFmtId="9" fontId="18" fillId="7" borderId="15" xfId="0" applyNumberFormat="1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left" vertical="center" wrapText="1"/>
    </xf>
    <xf numFmtId="9" fontId="18" fillId="23" borderId="15" xfId="0" applyNumberFormat="1" applyFont="1" applyFill="1" applyBorder="1" applyAlignment="1">
      <alignment horizontal="center" vertical="center" wrapText="1"/>
    </xf>
    <xf numFmtId="0" fontId="50" fillId="23" borderId="15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9" xfId="0" applyFont="1" applyBorder="1" applyAlignment="1">
      <alignment vertical="center" wrapText="1"/>
    </xf>
    <xf numFmtId="0" fontId="11" fillId="0" borderId="19" xfId="0" applyFont="1" applyBorder="1" applyAlignment="1">
      <alignment horizontal="center" vertical="center" wrapText="1"/>
    </xf>
    <xf numFmtId="0" fontId="10" fillId="24" borderId="19" xfId="0" applyFont="1" applyFill="1" applyBorder="1" applyAlignment="1">
      <alignment vertical="center" wrapText="1"/>
    </xf>
    <xf numFmtId="0" fontId="23" fillId="24" borderId="19" xfId="0" applyFont="1" applyFill="1" applyBorder="1" applyAlignment="1">
      <alignment vertical="center" wrapText="1"/>
    </xf>
    <xf numFmtId="0" fontId="10" fillId="24" borderId="19" xfId="0" applyFont="1" applyFill="1" applyBorder="1" applyAlignment="1">
      <alignment wrapText="1"/>
    </xf>
    <xf numFmtId="0" fontId="23" fillId="24" borderId="19" xfId="0" applyFont="1" applyFill="1" applyBorder="1" applyAlignment="1">
      <alignment wrapText="1"/>
    </xf>
    <xf numFmtId="0" fontId="6" fillId="8" borderId="17" xfId="0" applyFont="1" applyFill="1" applyBorder="1" applyAlignment="1">
      <alignment vertical="center" wrapText="1"/>
    </xf>
    <xf numFmtId="0" fontId="23" fillId="8" borderId="17" xfId="0" applyFont="1" applyFill="1" applyBorder="1" applyAlignment="1">
      <alignment vertical="center" wrapText="1"/>
    </xf>
    <xf numFmtId="0" fontId="29" fillId="0" borderId="22" xfId="0" applyFont="1" applyBorder="1" applyAlignment="1">
      <alignment vertical="center" wrapText="1"/>
    </xf>
    <xf numFmtId="0" fontId="29" fillId="7" borderId="22" xfId="0" applyFont="1" applyFill="1" applyBorder="1" applyAlignment="1">
      <alignment vertical="center" wrapText="1"/>
    </xf>
    <xf numFmtId="0" fontId="29" fillId="0" borderId="17" xfId="0" applyFont="1" applyBorder="1" applyAlignment="1">
      <alignment horizontal="center" vertical="center" wrapText="1"/>
    </xf>
    <xf numFmtId="0" fontId="29" fillId="0" borderId="22" xfId="0" applyFont="1" applyBorder="1" applyAlignment="1">
      <alignment horizontal="center" vertical="center" wrapText="1"/>
    </xf>
    <xf numFmtId="0" fontId="29" fillId="8" borderId="22" xfId="0" applyFont="1" applyFill="1" applyBorder="1" applyAlignment="1">
      <alignment vertical="center" wrapText="1"/>
    </xf>
    <xf numFmtId="0" fontId="29" fillId="8" borderId="22" xfId="0" applyFont="1" applyFill="1" applyBorder="1" applyAlignment="1">
      <alignment horizontal="center" vertical="center" wrapText="1"/>
    </xf>
    <xf numFmtId="0" fontId="6" fillId="8" borderId="22" xfId="0" applyFont="1" applyFill="1" applyBorder="1" applyAlignment="1">
      <alignment vertical="center" wrapText="1"/>
    </xf>
    <xf numFmtId="0" fontId="23" fillId="8" borderId="22" xfId="0" applyFont="1" applyFill="1" applyBorder="1" applyAlignment="1">
      <alignment vertical="center" wrapText="1"/>
    </xf>
    <xf numFmtId="0" fontId="6" fillId="4" borderId="22" xfId="0" applyFont="1" applyFill="1" applyBorder="1" applyAlignment="1">
      <alignment vertical="center" wrapText="1"/>
    </xf>
    <xf numFmtId="0" fontId="23" fillId="4" borderId="22" xfId="0" applyFont="1" applyFill="1" applyBorder="1" applyAlignment="1">
      <alignment vertical="center" wrapText="1"/>
    </xf>
    <xf numFmtId="0" fontId="23" fillId="0" borderId="22" xfId="0" applyFont="1" applyBorder="1" applyAlignment="1">
      <alignment vertical="center" wrapText="1"/>
    </xf>
    <xf numFmtId="0" fontId="23" fillId="7" borderId="22" xfId="0" applyFont="1" applyFill="1" applyBorder="1" applyAlignment="1">
      <alignment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23" fillId="3" borderId="17" xfId="0" applyFont="1" applyFill="1" applyBorder="1" applyAlignment="1">
      <alignment vertical="center" wrapText="1"/>
    </xf>
    <xf numFmtId="0" fontId="5" fillId="12" borderId="22" xfId="0" applyFont="1" applyFill="1" applyBorder="1" applyAlignment="1">
      <alignment horizontal="center" vertical="center" wrapText="1"/>
    </xf>
    <xf numFmtId="0" fontId="23" fillId="12" borderId="2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 vertical="center" wrapText="1"/>
    </xf>
    <xf numFmtId="0" fontId="11" fillId="0" borderId="22" xfId="0" applyFont="1" applyBorder="1" applyAlignment="1">
      <alignment vertical="center" wrapText="1"/>
    </xf>
    <xf numFmtId="0" fontId="11" fillId="0" borderId="22" xfId="0" applyFont="1" applyBorder="1" applyAlignment="1">
      <alignment horizontal="center" vertical="center" wrapText="1"/>
    </xf>
    <xf numFmtId="0" fontId="41" fillId="7" borderId="22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23" fillId="3" borderId="22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47" fillId="11" borderId="0" xfId="0" applyFont="1" applyFill="1" applyBorder="1"/>
    <xf numFmtId="0" fontId="23" fillId="25" borderId="17" xfId="0" applyFont="1" applyFill="1" applyBorder="1" applyAlignment="1">
      <alignment vertical="center" wrapText="1"/>
    </xf>
    <xf numFmtId="0" fontId="10" fillId="6" borderId="17" xfId="0" applyFont="1" applyFill="1" applyBorder="1" applyAlignment="1">
      <alignment vertical="center" wrapText="1"/>
    </xf>
    <xf numFmtId="0" fontId="23" fillId="5" borderId="17" xfId="0" applyFont="1" applyFill="1" applyBorder="1" applyAlignment="1">
      <alignment vertical="center" wrapText="1"/>
    </xf>
    <xf numFmtId="0" fontId="23" fillId="5" borderId="22" xfId="0" applyFont="1" applyFill="1" applyBorder="1" applyAlignment="1">
      <alignment vertical="center" wrapText="1"/>
    </xf>
    <xf numFmtId="0" fontId="23" fillId="6" borderId="17" xfId="0" applyFont="1" applyFill="1" applyBorder="1" applyAlignment="1">
      <alignment vertical="center" wrapText="1"/>
    </xf>
    <xf numFmtId="0" fontId="23" fillId="0" borderId="17" xfId="0" applyFont="1" applyBorder="1" applyAlignment="1">
      <alignment vertical="center" wrapText="1"/>
    </xf>
    <xf numFmtId="0" fontId="11" fillId="7" borderId="22" xfId="0" applyFont="1" applyFill="1" applyBorder="1" applyAlignment="1">
      <alignment vertical="center" wrapText="1"/>
    </xf>
    <xf numFmtId="0" fontId="10" fillId="6" borderId="22" xfId="0" applyFont="1" applyFill="1" applyBorder="1" applyAlignment="1">
      <alignment vertical="center" wrapText="1"/>
    </xf>
    <xf numFmtId="0" fontId="23" fillId="6" borderId="22" xfId="0" applyFont="1" applyFill="1" applyBorder="1" applyAlignment="1">
      <alignment vertical="center" wrapText="1"/>
    </xf>
    <xf numFmtId="0" fontId="11" fillId="7" borderId="22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vertical="center" wrapText="1"/>
    </xf>
    <xf numFmtId="0" fontId="11" fillId="0" borderId="22" xfId="0" applyFont="1" applyBorder="1" applyAlignment="1">
      <alignment wrapText="1"/>
    </xf>
    <xf numFmtId="0" fontId="23" fillId="0" borderId="22" xfId="0" applyFont="1" applyBorder="1" applyAlignment="1">
      <alignment wrapText="1"/>
    </xf>
    <xf numFmtId="0" fontId="11" fillId="6" borderId="22" xfId="0" applyFont="1" applyFill="1" applyBorder="1" applyAlignment="1">
      <alignment horizontal="right" vertical="center" wrapText="1"/>
    </xf>
    <xf numFmtId="0" fontId="11" fillId="7" borderId="22" xfId="0" applyFont="1" applyFill="1" applyBorder="1" applyAlignment="1">
      <alignment horizontal="center" wrapText="1"/>
    </xf>
    <xf numFmtId="0" fontId="23" fillId="7" borderId="22" xfId="0" applyFont="1" applyFill="1" applyBorder="1" applyAlignment="1">
      <alignment wrapText="1"/>
    </xf>
    <xf numFmtId="0" fontId="23" fillId="0" borderId="23" xfId="0" applyFont="1" applyBorder="1" applyAlignment="1">
      <alignment wrapText="1"/>
    </xf>
    <xf numFmtId="0" fontId="10" fillId="9" borderId="22" xfId="0" applyFont="1" applyFill="1" applyBorder="1" applyAlignment="1">
      <alignment vertical="center" wrapText="1"/>
    </xf>
    <xf numFmtId="0" fontId="23" fillId="9" borderId="22" xfId="0" applyFont="1" applyFill="1" applyBorder="1" applyAlignment="1">
      <alignment vertical="center" wrapText="1"/>
    </xf>
    <xf numFmtId="0" fontId="23" fillId="5" borderId="22" xfId="0" applyFont="1" applyFill="1" applyBorder="1" applyAlignment="1">
      <alignment wrapText="1"/>
    </xf>
    <xf numFmtId="0" fontId="11" fillId="0" borderId="24" xfId="0" applyFont="1" applyBorder="1" applyAlignment="1">
      <alignment vertical="center"/>
    </xf>
    <xf numFmtId="0" fontId="23" fillId="0" borderId="25" xfId="0" applyFont="1" applyBorder="1" applyAlignment="1">
      <alignment wrapText="1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1" fillId="25" borderId="2" xfId="0" applyFont="1" applyFill="1" applyBorder="1" applyAlignment="1">
      <alignment horizontal="center" vertical="center"/>
    </xf>
    <xf numFmtId="0" fontId="51" fillId="25" borderId="2" xfId="0" applyFont="1" applyFill="1" applyBorder="1" applyAlignment="1">
      <alignment vertical="center"/>
    </xf>
    <xf numFmtId="0" fontId="43" fillId="25" borderId="2" xfId="0" applyFont="1" applyFill="1" applyBorder="1" applyAlignment="1">
      <alignment horizontal="center" vertical="center"/>
    </xf>
    <xf numFmtId="0" fontId="12" fillId="25" borderId="2" xfId="0" applyFont="1" applyFill="1" applyBorder="1" applyAlignment="1">
      <alignment vertical="center"/>
    </xf>
    <xf numFmtId="0" fontId="12" fillId="25" borderId="2" xfId="0" applyFont="1" applyFill="1" applyBorder="1" applyAlignment="1">
      <alignment horizontal="left" vertical="center"/>
    </xf>
    <xf numFmtId="0" fontId="12" fillId="25" borderId="2" xfId="0" applyFont="1" applyFill="1" applyBorder="1" applyAlignment="1">
      <alignment horizontal="center" vertical="center"/>
    </xf>
    <xf numFmtId="0" fontId="12" fillId="25" borderId="0" xfId="0" applyFont="1" applyFill="1" applyAlignment="1">
      <alignment vertical="center"/>
    </xf>
    <xf numFmtId="0" fontId="51" fillId="5" borderId="2" xfId="0" applyFont="1" applyFill="1" applyBorder="1" applyAlignment="1">
      <alignment horizontal="center" vertical="center"/>
    </xf>
    <xf numFmtId="0" fontId="51" fillId="5" borderId="2" xfId="0" applyFont="1" applyFill="1" applyBorder="1" applyAlignment="1">
      <alignment vertical="center"/>
    </xf>
    <xf numFmtId="0" fontId="43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vertical="center"/>
    </xf>
    <xf numFmtId="0" fontId="12" fillId="5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11" fillId="6" borderId="0" xfId="0" applyFont="1" applyFill="1" applyAlignment="1">
      <alignment vertical="center"/>
    </xf>
    <xf numFmtId="180" fontId="11" fillId="7" borderId="2" xfId="0" applyNumberFormat="1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0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7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1" fillId="5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vertical="center"/>
    </xf>
    <xf numFmtId="0" fontId="19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180" fontId="11" fillId="5" borderId="2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52" fillId="5" borderId="0" xfId="0" applyFont="1" applyFill="1"/>
    <xf numFmtId="0" fontId="11" fillId="10" borderId="0" xfId="0" applyFont="1" applyFill="1" applyAlignment="1">
      <alignment vertical="center"/>
    </xf>
    <xf numFmtId="0" fontId="11" fillId="2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vertical="center"/>
    </xf>
    <xf numFmtId="0" fontId="19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80" fontId="11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0" fillId="11" borderId="2" xfId="0" applyFont="1" applyFill="1" applyBorder="1" applyAlignment="1">
      <alignment horizontal="center"/>
    </xf>
    <xf numFmtId="0" fontId="11" fillId="11" borderId="2" xfId="0" applyFont="1" applyFill="1" applyBorder="1" applyAlignment="1">
      <alignment horizontal="left" vertical="center"/>
    </xf>
    <xf numFmtId="0" fontId="11" fillId="11" borderId="2" xfId="0" applyFont="1" applyFill="1" applyBorder="1" applyAlignment="1">
      <alignment vertical="center"/>
    </xf>
    <xf numFmtId="0" fontId="19" fillId="11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180" fontId="11" fillId="11" borderId="2" xfId="0" applyNumberFormat="1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16" fillId="7" borderId="0" xfId="0" applyFont="1" applyFill="1"/>
    <xf numFmtId="0" fontId="0" fillId="0" borderId="0" xfId="0" applyFont="1" applyAlignment="1">
      <alignment horizontal="left" vertical="center"/>
    </xf>
    <xf numFmtId="0" fontId="53" fillId="2" borderId="1" xfId="0" applyFont="1" applyFill="1" applyBorder="1" applyAlignment="1">
      <alignment horizontal="left" vertical="center"/>
    </xf>
    <xf numFmtId="0" fontId="53" fillId="2" borderId="1" xfId="0" applyFont="1" applyFill="1" applyBorder="1" applyAlignment="1">
      <alignment horizontal="center" vertical="center"/>
    </xf>
    <xf numFmtId="0" fontId="54" fillId="18" borderId="5" xfId="0" applyFont="1" applyFill="1" applyBorder="1" applyAlignment="1">
      <alignment horizontal="left" vertical="center"/>
    </xf>
    <xf numFmtId="0" fontId="53" fillId="2" borderId="0" xfId="0" applyFont="1" applyFill="1" applyAlignment="1">
      <alignment horizontal="center" vertical="center"/>
    </xf>
    <xf numFmtId="0" fontId="10" fillId="24" borderId="2" xfId="0" applyFont="1" applyFill="1" applyBorder="1" applyAlignment="1">
      <alignment horizontal="center" vertical="center"/>
    </xf>
    <xf numFmtId="0" fontId="10" fillId="24" borderId="2" xfId="0" applyFont="1" applyFill="1" applyBorder="1" applyAlignment="1">
      <alignment vertical="center"/>
    </xf>
    <xf numFmtId="0" fontId="51" fillId="24" borderId="2" xfId="0" applyFont="1" applyFill="1" applyBorder="1" applyAlignment="1">
      <alignment horizontal="center" vertical="center"/>
    </xf>
    <xf numFmtId="0" fontId="11" fillId="24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11" fillId="24" borderId="2" xfId="0" applyFont="1" applyFill="1" applyBorder="1" applyAlignment="1">
      <alignment vertical="center"/>
    </xf>
    <xf numFmtId="0" fontId="11" fillId="24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24" borderId="2" xfId="0" applyFont="1" applyFill="1" applyBorder="1" applyAlignment="1">
      <alignment horizontal="center"/>
    </xf>
    <xf numFmtId="0" fontId="10" fillId="24" borderId="2" xfId="0" applyFont="1" applyFill="1" applyBorder="1" applyAlignment="1"/>
    <xf numFmtId="0" fontId="51" fillId="24" borderId="2" xfId="0" applyFont="1" applyFill="1" applyBorder="1" applyAlignment="1">
      <alignment horizontal="center"/>
    </xf>
    <xf numFmtId="0" fontId="23" fillId="24" borderId="2" xfId="0" applyFont="1" applyFill="1" applyBorder="1"/>
    <xf numFmtId="0" fontId="23" fillId="24" borderId="0" xfId="0" applyFont="1" applyFill="1"/>
    <xf numFmtId="0" fontId="10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vertical="center"/>
    </xf>
    <xf numFmtId="0" fontId="51" fillId="7" borderId="2" xfId="0" applyFont="1" applyFill="1" applyBorder="1" applyAlignment="1">
      <alignment horizontal="center" vertical="center"/>
    </xf>
    <xf numFmtId="0" fontId="55" fillId="0" borderId="0" xfId="0" applyFont="1"/>
    <xf numFmtId="0" fontId="13" fillId="7" borderId="2" xfId="0" applyFont="1" applyFill="1" applyBorder="1" applyAlignment="1">
      <alignment vertical="center"/>
    </xf>
    <xf numFmtId="0" fontId="13" fillId="21" borderId="2" xfId="0" applyFont="1" applyFill="1" applyBorder="1" applyAlignment="1">
      <alignment vertical="center"/>
    </xf>
    <xf numFmtId="0" fontId="56" fillId="0" borderId="2" xfId="0" applyFont="1" applyBorder="1" applyAlignment="1">
      <alignment horizontal="center" vertical="center"/>
    </xf>
    <xf numFmtId="0" fontId="13" fillId="8" borderId="2" xfId="0" applyFont="1" applyFill="1" applyBorder="1" applyAlignment="1">
      <alignment vertical="center"/>
    </xf>
    <xf numFmtId="0" fontId="29" fillId="15" borderId="2" xfId="0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0" fillId="26" borderId="2" xfId="0" applyFont="1" applyFill="1" applyBorder="1" applyAlignment="1">
      <alignment horizontal="center" vertical="center"/>
    </xf>
    <xf numFmtId="0" fontId="10" fillId="26" borderId="2" xfId="0" applyFont="1" applyFill="1" applyBorder="1" applyAlignment="1">
      <alignment vertical="center"/>
    </xf>
    <xf numFmtId="0" fontId="51" fillId="26" borderId="2" xfId="0" applyFont="1" applyFill="1" applyBorder="1" applyAlignment="1">
      <alignment horizontal="center" vertical="center"/>
    </xf>
    <xf numFmtId="0" fontId="11" fillId="26" borderId="2" xfId="0" applyFont="1" applyFill="1" applyBorder="1" applyAlignment="1">
      <alignment horizontal="center" vertical="center"/>
    </xf>
    <xf numFmtId="0" fontId="11" fillId="26" borderId="2" xfId="0" applyFont="1" applyFill="1" applyBorder="1" applyAlignment="1">
      <alignment vertical="center"/>
    </xf>
    <xf numFmtId="0" fontId="11" fillId="26" borderId="0" xfId="0" applyFont="1" applyFill="1" applyAlignment="1">
      <alignment vertical="center"/>
    </xf>
    <xf numFmtId="0" fontId="51" fillId="0" borderId="2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27" borderId="7" xfId="0" applyFont="1" applyFill="1" applyBorder="1" applyAlignment="1">
      <alignment horizontal="center" vertical="center"/>
    </xf>
    <xf numFmtId="0" fontId="11" fillId="27" borderId="5" xfId="0" applyFont="1" applyFill="1" applyBorder="1" applyAlignment="1">
      <alignment horizontal="center" vertical="center"/>
    </xf>
    <xf numFmtId="0" fontId="11" fillId="27" borderId="2" xfId="0" applyFont="1" applyFill="1" applyBorder="1" applyAlignment="1">
      <alignment horizontal="center" vertical="center"/>
    </xf>
    <xf numFmtId="0" fontId="11" fillId="27" borderId="5" xfId="0" applyFont="1" applyFill="1" applyBorder="1" applyAlignment="1">
      <alignment vertical="center"/>
    </xf>
    <xf numFmtId="0" fontId="11" fillId="27" borderId="3" xfId="0" applyFont="1" applyFill="1" applyBorder="1" applyAlignment="1">
      <alignment vertical="center"/>
    </xf>
    <xf numFmtId="0" fontId="10" fillId="28" borderId="13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28" borderId="7" xfId="0" applyFont="1" applyFill="1" applyBorder="1" applyAlignment="1">
      <alignment horizontal="center" vertical="center" wrapText="1"/>
    </xf>
    <xf numFmtId="0" fontId="10" fillId="28" borderId="26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0" fillId="28" borderId="2" xfId="0" applyFont="1" applyFill="1" applyBorder="1" applyAlignment="1">
      <alignment horizontal="center" vertical="center" wrapText="1"/>
    </xf>
    <xf numFmtId="0" fontId="28" fillId="0" borderId="27" xfId="0" applyFont="1" applyBorder="1"/>
    <xf numFmtId="0" fontId="10" fillId="10" borderId="7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vertical="center"/>
    </xf>
    <xf numFmtId="0" fontId="10" fillId="8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10" fillId="8" borderId="7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vertical="center"/>
    </xf>
    <xf numFmtId="0" fontId="11" fillId="0" borderId="13" xfId="0" applyFont="1" applyBorder="1" applyAlignment="1">
      <alignment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0" xfId="0" applyFont="1"/>
    <xf numFmtId="0" fontId="11" fillId="10" borderId="7" xfId="0" applyFont="1" applyFill="1" applyBorder="1" applyAlignment="1">
      <alignment horizontal="center" vertical="center"/>
    </xf>
    <xf numFmtId="0" fontId="10" fillId="21" borderId="7" xfId="0" applyFont="1" applyFill="1" applyBorder="1" applyAlignment="1">
      <alignment horizontal="center" vertical="center" wrapText="1"/>
    </xf>
    <xf numFmtId="0" fontId="11" fillId="21" borderId="2" xfId="0" applyFont="1" applyFill="1" applyBorder="1" applyAlignment="1">
      <alignment horizontal="center" vertical="center"/>
    </xf>
    <xf numFmtId="0" fontId="11" fillId="21" borderId="2" xfId="0" applyFont="1" applyFill="1" applyBorder="1" applyAlignment="1">
      <alignment vertical="center"/>
    </xf>
    <xf numFmtId="0" fontId="13" fillId="21" borderId="2" xfId="0" applyFont="1" applyFill="1" applyBorder="1" applyAlignment="1">
      <alignment horizontal="center"/>
    </xf>
    <xf numFmtId="0" fontId="11" fillId="21" borderId="7" xfId="0" applyFont="1" applyFill="1" applyBorder="1" applyAlignment="1">
      <alignment vertical="center"/>
    </xf>
    <xf numFmtId="0" fontId="11" fillId="8" borderId="0" xfId="0" applyFont="1" applyFill="1" applyAlignment="1">
      <alignment vertical="center"/>
    </xf>
    <xf numFmtId="0" fontId="13" fillId="0" borderId="2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0" fontId="10" fillId="21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37" fillId="27" borderId="7" xfId="0" applyFont="1" applyFill="1" applyBorder="1" applyAlignment="1">
      <alignment horizontal="center"/>
    </xf>
    <xf numFmtId="0" fontId="51" fillId="27" borderId="2" xfId="0" applyFont="1" applyFill="1" applyBorder="1" applyAlignment="1">
      <alignment horizontal="center"/>
    </xf>
    <xf numFmtId="0" fontId="11" fillId="27" borderId="2" xfId="0" applyFont="1" applyFill="1" applyBorder="1" applyAlignment="1">
      <alignment horizontal="center"/>
    </xf>
    <xf numFmtId="0" fontId="11" fillId="27" borderId="2" xfId="0" applyFont="1" applyFill="1" applyBorder="1"/>
    <xf numFmtId="0" fontId="11" fillId="27" borderId="2" xfId="0" applyFont="1" applyFill="1" applyBorder="1" applyAlignment="1">
      <alignment horizontal="left"/>
    </xf>
    <xf numFmtId="58" fontId="11" fillId="27" borderId="2" xfId="0" applyNumberFormat="1" applyFont="1" applyFill="1" applyBorder="1" applyAlignment="1">
      <alignment horizontal="center"/>
    </xf>
    <xf numFmtId="0" fontId="11" fillId="0" borderId="2" xfId="0" applyFont="1" applyBorder="1" applyAlignment="1"/>
    <xf numFmtId="0" fontId="5" fillId="29" borderId="13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10" fillId="29" borderId="13" xfId="0" applyFont="1" applyFill="1" applyBorder="1" applyAlignment="1">
      <alignment horizontal="center" vertical="center" wrapText="1"/>
    </xf>
    <xf numFmtId="58" fontId="5" fillId="29" borderId="13" xfId="0" applyNumberFormat="1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5" fillId="30" borderId="13" xfId="0" applyFont="1" applyFill="1" applyBorder="1" applyAlignment="1">
      <alignment horizontal="center" vertical="center" wrapText="1"/>
    </xf>
    <xf numFmtId="0" fontId="5" fillId="30" borderId="7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30" borderId="2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/>
    </xf>
    <xf numFmtId="0" fontId="11" fillId="10" borderId="2" xfId="0" applyFont="1" applyFill="1" applyBorder="1" applyAlignment="1"/>
    <xf numFmtId="0" fontId="11" fillId="10" borderId="2" xfId="0" applyFont="1" applyFill="1" applyBorder="1" applyAlignment="1">
      <alignment horizontal="left"/>
    </xf>
    <xf numFmtId="58" fontId="11" fillId="10" borderId="2" xfId="0" applyNumberFormat="1" applyFont="1" applyFill="1" applyBorder="1" applyAlignment="1">
      <alignment horizontal="center"/>
    </xf>
    <xf numFmtId="0" fontId="10" fillId="31" borderId="2" xfId="0" applyFont="1" applyFill="1" applyBorder="1" applyAlignment="1">
      <alignment horizontal="center"/>
    </xf>
    <xf numFmtId="0" fontId="5" fillId="31" borderId="2" xfId="0" applyFont="1" applyFill="1" applyBorder="1" applyAlignment="1">
      <alignment horizontal="left" wrapText="1"/>
    </xf>
    <xf numFmtId="0" fontId="11" fillId="31" borderId="2" xfId="0" applyFont="1" applyFill="1" applyBorder="1" applyAlignment="1">
      <alignment horizontal="center"/>
    </xf>
    <xf numFmtId="0" fontId="11" fillId="31" borderId="2" xfId="0" applyFont="1" applyFill="1" applyBorder="1"/>
    <xf numFmtId="0" fontId="11" fillId="31" borderId="2" xfId="0" applyFont="1" applyFill="1" applyBorder="1" applyAlignment="1">
      <alignment horizontal="left"/>
    </xf>
    <xf numFmtId="58" fontId="11" fillId="31" borderId="2" xfId="0" applyNumberFormat="1" applyFont="1" applyFill="1" applyBorder="1" applyAlignment="1">
      <alignment horizontal="center"/>
    </xf>
    <xf numFmtId="0" fontId="11" fillId="31" borderId="2" xfId="0" applyFont="1" applyFill="1" applyBorder="1" applyAlignment="1"/>
    <xf numFmtId="0" fontId="10" fillId="25" borderId="2" xfId="0" applyFont="1" applyFill="1" applyBorder="1" applyAlignment="1">
      <alignment horizontal="center"/>
    </xf>
    <xf numFmtId="0" fontId="10" fillId="25" borderId="2" xfId="0" applyFont="1" applyFill="1" applyBorder="1" applyAlignment="1">
      <alignment horizontal="left"/>
    </xf>
    <xf numFmtId="0" fontId="11" fillId="25" borderId="2" xfId="0" applyFont="1" applyFill="1" applyBorder="1" applyAlignment="1">
      <alignment horizontal="center"/>
    </xf>
    <xf numFmtId="0" fontId="58" fillId="25" borderId="2" xfId="0" applyFont="1" applyFill="1" applyBorder="1" applyAlignment="1">
      <alignment horizontal="center"/>
    </xf>
    <xf numFmtId="0" fontId="11" fillId="25" borderId="2" xfId="0" applyFont="1" applyFill="1" applyBorder="1" applyAlignment="1">
      <alignment horizontal="left"/>
    </xf>
    <xf numFmtId="0" fontId="11" fillId="25" borderId="2" xfId="0" applyFont="1" applyFill="1" applyBorder="1" applyAlignment="1">
      <alignment horizontal="center" vertical="center"/>
    </xf>
    <xf numFmtId="58" fontId="11" fillId="25" borderId="2" xfId="0" applyNumberFormat="1" applyFont="1" applyFill="1" applyBorder="1" applyAlignment="1">
      <alignment horizontal="center"/>
    </xf>
    <xf numFmtId="0" fontId="11" fillId="25" borderId="2" xfId="0" applyFont="1" applyFill="1" applyBorder="1"/>
    <xf numFmtId="0" fontId="11" fillId="25" borderId="2" xfId="0" applyFont="1" applyFill="1" applyBorder="1" applyAlignment="1"/>
    <xf numFmtId="0" fontId="58" fillId="0" borderId="2" xfId="0" applyFont="1" applyBorder="1" applyAlignment="1">
      <alignment horizontal="center"/>
    </xf>
    <xf numFmtId="58" fontId="11" fillId="0" borderId="2" xfId="0" applyNumberFormat="1" applyFont="1" applyBorder="1" applyAlignment="1">
      <alignment horizontal="center"/>
    </xf>
    <xf numFmtId="0" fontId="59" fillId="0" borderId="2" xfId="0" applyFont="1" applyBorder="1" applyAlignment="1">
      <alignment horizontal="center"/>
    </xf>
    <xf numFmtId="0" fontId="11" fillId="0" borderId="2" xfId="0" applyFont="1" applyBorder="1"/>
    <xf numFmtId="0" fontId="41" fillId="24" borderId="2" xfId="0" applyFont="1" applyFill="1" applyBorder="1" applyAlignment="1">
      <alignment horizontal="center" vertical="center"/>
    </xf>
    <xf numFmtId="0" fontId="59" fillId="0" borderId="13" xfId="0" applyFont="1" applyBorder="1" applyAlignment="1">
      <alignment horizontal="center"/>
    </xf>
    <xf numFmtId="0" fontId="57" fillId="0" borderId="28" xfId="0" applyFont="1" applyBorder="1" applyAlignment="1">
      <alignment horizontal="center"/>
    </xf>
    <xf numFmtId="0" fontId="5" fillId="10" borderId="7" xfId="0" applyFont="1" applyFill="1" applyBorder="1" applyAlignment="1">
      <alignment wrapText="1"/>
    </xf>
    <xf numFmtId="0" fontId="11" fillId="0" borderId="0" xfId="0" applyFont="1" applyAlignment="1"/>
    <xf numFmtId="0" fontId="58" fillId="0" borderId="2" xfId="0" applyFont="1" applyBorder="1" applyAlignment="1">
      <alignment horizontal="center" vertical="center"/>
    </xf>
    <xf numFmtId="58" fontId="11" fillId="0" borderId="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12" fillId="25" borderId="2" xfId="0" applyFont="1" applyFill="1" applyBorder="1" applyAlignment="1">
      <alignment vertical="center" wrapText="1"/>
    </xf>
    <xf numFmtId="0" fontId="60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vertical="center" wrapText="1"/>
    </xf>
    <xf numFmtId="0" fontId="19" fillId="0" borderId="2" xfId="0" applyFont="1" applyBorder="1" applyAlignment="1"/>
    <xf numFmtId="0" fontId="45" fillId="0" borderId="2" xfId="0" applyFont="1" applyBorder="1" applyAlignment="1"/>
    <xf numFmtId="0" fontId="11" fillId="6" borderId="2" xfId="0" applyFont="1" applyFill="1" applyBorder="1" applyAlignment="1">
      <alignment vertical="center" wrapText="1"/>
    </xf>
    <xf numFmtId="0" fontId="11" fillId="7" borderId="2" xfId="0" applyFont="1" applyFill="1" applyBorder="1" applyAlignment="1">
      <alignment vertical="center" wrapText="1"/>
    </xf>
    <xf numFmtId="0" fontId="11" fillId="14" borderId="2" xfId="0" applyFont="1" applyFill="1" applyBorder="1" applyAlignment="1">
      <alignment horizontal="left" vertical="center"/>
    </xf>
    <xf numFmtId="0" fontId="13" fillId="0" borderId="2" xfId="0" applyFont="1" applyBorder="1" applyAlignment="1">
      <alignment vertical="center" wrapText="1"/>
    </xf>
    <xf numFmtId="180" fontId="13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186" fontId="11" fillId="0" borderId="2" xfId="0" applyNumberFormat="1" applyFont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vertical="center" wrapText="1"/>
    </xf>
    <xf numFmtId="187" fontId="11" fillId="0" borderId="2" xfId="0" applyNumberFormat="1" applyFont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187" fontId="11" fillId="14" borderId="2" xfId="0" applyNumberFormat="1" applyFont="1" applyFill="1" applyBorder="1" applyAlignment="1">
      <alignment horizontal="center" vertical="center"/>
    </xf>
    <xf numFmtId="0" fontId="11" fillId="7" borderId="2" xfId="0" applyFont="1" applyFill="1" applyBorder="1" applyAlignment="1"/>
    <xf numFmtId="185" fontId="11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wrapText="1"/>
    </xf>
    <xf numFmtId="0" fontId="11" fillId="9" borderId="2" xfId="0" applyFont="1" applyFill="1" applyBorder="1" applyAlignment="1">
      <alignment vertical="center" wrapText="1"/>
    </xf>
    <xf numFmtId="0" fontId="0" fillId="5" borderId="2" xfId="0" applyFont="1" applyFill="1" applyBorder="1" applyAlignment="1">
      <alignment horizontal="center"/>
    </xf>
    <xf numFmtId="0" fontId="0" fillId="5" borderId="2" xfId="0" applyFont="1" applyFill="1" applyBorder="1" applyAlignment="1">
      <alignment horizontal="left"/>
    </xf>
    <xf numFmtId="0" fontId="0" fillId="5" borderId="2" xfId="0" applyFont="1" applyFill="1" applyBorder="1" applyAlignment="1">
      <alignment wrapText="1"/>
    </xf>
    <xf numFmtId="0" fontId="10" fillId="0" borderId="2" xfId="0" applyFont="1" applyBorder="1" applyAlignment="1">
      <alignment vertical="center" wrapText="1"/>
    </xf>
    <xf numFmtId="187" fontId="11" fillId="0" borderId="2" xfId="0" applyNumberFormat="1" applyFont="1" applyBorder="1" applyAlignment="1">
      <alignment horizontal="center"/>
    </xf>
    <xf numFmtId="0" fontId="16" fillId="7" borderId="2" xfId="0" applyFont="1" applyFill="1" applyBorder="1"/>
    <xf numFmtId="0" fontId="11" fillId="10" borderId="2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61" fillId="0" borderId="2" xfId="0" applyFont="1" applyBorder="1" applyAlignment="1">
      <alignment horizontal="center" vertical="center"/>
    </xf>
    <xf numFmtId="0" fontId="61" fillId="0" borderId="2" xfId="0" applyFont="1" applyBorder="1" applyAlignment="1">
      <alignment vertical="center"/>
    </xf>
    <xf numFmtId="0" fontId="61" fillId="0" borderId="2" xfId="0" applyFont="1" applyBorder="1" applyAlignment="1">
      <alignment horizontal="left" vertical="center"/>
    </xf>
    <xf numFmtId="0" fontId="62" fillId="0" borderId="2" xfId="0" applyFont="1" applyBorder="1" applyAlignment="1">
      <alignment vertical="center"/>
    </xf>
    <xf numFmtId="0" fontId="62" fillId="0" borderId="2" xfId="0" applyFont="1" applyBorder="1" applyAlignment="1">
      <alignment horizontal="left" vertical="center"/>
    </xf>
    <xf numFmtId="0" fontId="61" fillId="0" borderId="2" xfId="0" applyFont="1" applyBorder="1" applyAlignment="1">
      <alignment vertical="center" wrapText="1"/>
    </xf>
    <xf numFmtId="0" fontId="61" fillId="0" borderId="2" xfId="0" applyFont="1" applyBorder="1" applyAlignment="1">
      <alignment horizontal="left"/>
    </xf>
    <xf numFmtId="0" fontId="61" fillId="0" borderId="2" xfId="0" applyFont="1" applyBorder="1"/>
    <xf numFmtId="0" fontId="63" fillId="7" borderId="2" xfId="0" applyFont="1" applyFill="1" applyBorder="1"/>
    <xf numFmtId="0" fontId="61" fillId="0" borderId="2" xfId="0" applyFont="1" applyBorder="1" applyAlignment="1">
      <alignment horizontal="center"/>
    </xf>
    <xf numFmtId="0" fontId="63" fillId="0" borderId="2" xfId="0" applyFont="1" applyBorder="1"/>
    <xf numFmtId="0" fontId="63" fillId="0" borderId="2" xfId="0" applyFont="1" applyBorder="1" applyAlignment="1">
      <alignment horizontal="left"/>
    </xf>
    <xf numFmtId="0" fontId="63" fillId="0" borderId="2" xfId="0" applyFont="1" applyBorder="1" applyAlignment="1">
      <alignment horizontal="center"/>
    </xf>
    <xf numFmtId="0" fontId="63" fillId="7" borderId="2" xfId="0" applyFont="1" applyFill="1" applyBorder="1" applyAlignment="1">
      <alignment horizontal="left"/>
    </xf>
    <xf numFmtId="0" fontId="63" fillId="7" borderId="2" xfId="0" applyFont="1" applyFill="1" applyBorder="1" applyAlignment="1">
      <alignment wrapText="1"/>
    </xf>
    <xf numFmtId="0" fontId="61" fillId="0" borderId="2" xfId="0" applyFont="1" applyBorder="1" applyAlignment="1">
      <alignment horizontal="left" vertical="center" wrapText="1"/>
    </xf>
    <xf numFmtId="180" fontId="61" fillId="0" borderId="2" xfId="0" applyNumberFormat="1" applyFont="1" applyBorder="1" applyAlignment="1">
      <alignment horizontal="center" vertical="center"/>
    </xf>
    <xf numFmtId="0" fontId="64" fillId="0" borderId="2" xfId="0" applyFont="1" applyBorder="1"/>
    <xf numFmtId="0" fontId="12" fillId="0" borderId="2" xfId="0" applyFont="1" applyBorder="1" applyAlignment="1"/>
    <xf numFmtId="0" fontId="52" fillId="0" borderId="2" xfId="0" applyFont="1" applyBorder="1"/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vertical="center" wrapText="1"/>
    </xf>
    <xf numFmtId="0" fontId="65" fillId="2" borderId="1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left" vertical="center"/>
    </xf>
    <xf numFmtId="0" fontId="21" fillId="3" borderId="2" xfId="0" applyFont="1" applyFill="1" applyBorder="1" applyAlignment="1">
      <alignment horizontal="center" vertical="center"/>
    </xf>
    <xf numFmtId="0" fontId="18" fillId="31" borderId="2" xfId="0" applyFont="1" applyFill="1" applyBorder="1" applyAlignment="1">
      <alignment horizontal="center" vertical="center"/>
    </xf>
    <xf numFmtId="0" fontId="21" fillId="31" borderId="2" xfId="0" applyFont="1" applyFill="1" applyBorder="1" applyAlignment="1">
      <alignment horizontal="center" vertical="center"/>
    </xf>
    <xf numFmtId="0" fontId="18" fillId="31" borderId="7" xfId="0" applyFont="1" applyFill="1" applyBorder="1" applyAlignment="1">
      <alignment horizontal="center" vertical="center"/>
    </xf>
    <xf numFmtId="0" fontId="18" fillId="31" borderId="2" xfId="0" applyFont="1" applyFill="1" applyBorder="1" applyAlignment="1">
      <alignment horizontal="center" vertical="center" wrapText="1"/>
    </xf>
    <xf numFmtId="0" fontId="21" fillId="10" borderId="2" xfId="0" applyFont="1" applyFill="1" applyBorder="1" applyAlignment="1">
      <alignment horizontal="left" vertical="center"/>
    </xf>
    <xf numFmtId="0" fontId="18" fillId="32" borderId="2" xfId="0" applyFont="1" applyFill="1" applyBorder="1" applyAlignment="1">
      <alignment horizontal="center" vertical="center"/>
    </xf>
    <xf numFmtId="0" fontId="21" fillId="32" borderId="2" xfId="0" applyFont="1" applyFill="1" applyBorder="1" applyAlignment="1">
      <alignment vertical="center"/>
    </xf>
    <xf numFmtId="0" fontId="21" fillId="32" borderId="2" xfId="0" applyFont="1" applyFill="1" applyBorder="1" applyAlignment="1">
      <alignment horizontal="center" vertical="center"/>
    </xf>
    <xf numFmtId="180" fontId="21" fillId="32" borderId="2" xfId="0" applyNumberFormat="1" applyFont="1" applyFill="1" applyBorder="1" applyAlignment="1">
      <alignment horizontal="center" vertical="center"/>
    </xf>
    <xf numFmtId="9" fontId="21" fillId="32" borderId="2" xfId="0" applyNumberFormat="1" applyFont="1" applyFill="1" applyBorder="1" applyAlignment="1">
      <alignment horizontal="center" vertical="center"/>
    </xf>
    <xf numFmtId="0" fontId="21" fillId="32" borderId="7" xfId="0" applyFont="1" applyFill="1" applyBorder="1" applyAlignment="1">
      <alignment horizontal="left" vertical="center"/>
    </xf>
    <xf numFmtId="0" fontId="21" fillId="32" borderId="2" xfId="0" applyFont="1" applyFill="1" applyBorder="1" applyAlignment="1">
      <alignment horizontal="left" vertical="center"/>
    </xf>
    <xf numFmtId="0" fontId="18" fillId="25" borderId="2" xfId="0" applyFont="1" applyFill="1" applyBorder="1" applyAlignment="1">
      <alignment horizontal="center" vertical="center"/>
    </xf>
    <xf numFmtId="0" fontId="21" fillId="25" borderId="2" xfId="0" applyFont="1" applyFill="1" applyBorder="1" applyAlignment="1">
      <alignment vertical="center"/>
    </xf>
    <xf numFmtId="0" fontId="21" fillId="25" borderId="2" xfId="0" applyFont="1" applyFill="1" applyBorder="1" applyAlignment="1">
      <alignment horizontal="center" vertical="center"/>
    </xf>
    <xf numFmtId="0" fontId="18" fillId="25" borderId="2" xfId="0" applyFont="1" applyFill="1" applyBorder="1" applyAlignment="1">
      <alignment vertical="center"/>
    </xf>
    <xf numFmtId="180" fontId="18" fillId="25" borderId="2" xfId="0" applyNumberFormat="1" applyFont="1" applyFill="1" applyBorder="1" applyAlignment="1">
      <alignment horizontal="center" vertical="center"/>
    </xf>
    <xf numFmtId="9" fontId="18" fillId="25" borderId="2" xfId="0" applyNumberFormat="1" applyFont="1" applyFill="1" applyBorder="1" applyAlignment="1">
      <alignment horizontal="center" vertical="center"/>
    </xf>
    <xf numFmtId="0" fontId="18" fillId="25" borderId="7" xfId="0" applyFont="1" applyFill="1" applyBorder="1" applyAlignment="1">
      <alignment horizontal="left" vertical="center"/>
    </xf>
    <xf numFmtId="0" fontId="18" fillId="25" borderId="2" xfId="0" applyFont="1" applyFill="1" applyBorder="1" applyAlignment="1">
      <alignment horizontal="left" vertical="center"/>
    </xf>
    <xf numFmtId="0" fontId="21" fillId="25" borderId="2" xfId="0" applyFont="1" applyFill="1" applyBorder="1" applyAlignment="1">
      <alignment horizontal="left" vertical="center"/>
    </xf>
    <xf numFmtId="0" fontId="18" fillId="31" borderId="0" xfId="0" applyFont="1" applyFill="1" applyAlignment="1">
      <alignment horizontal="center" vertical="center"/>
    </xf>
    <xf numFmtId="0" fontId="18" fillId="0" borderId="7" xfId="0" applyFont="1" applyBorder="1" applyAlignment="1">
      <alignment horizontal="left" vertical="center" wrapText="1"/>
    </xf>
    <xf numFmtId="0" fontId="55" fillId="0" borderId="2" xfId="0" applyFont="1" applyBorder="1"/>
    <xf numFmtId="0" fontId="18" fillId="0" borderId="2" xfId="0" applyFont="1" applyBorder="1" applyAlignment="1">
      <alignment horizontal="left" vertical="center" wrapText="1"/>
    </xf>
    <xf numFmtId="0" fontId="20" fillId="0" borderId="3" xfId="0" applyFont="1" applyBorder="1" applyAlignment="1">
      <alignment vertical="center"/>
    </xf>
    <xf numFmtId="0" fontId="19" fillId="0" borderId="3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0" fillId="8" borderId="2" xfId="0" applyFont="1" applyFill="1" applyBorder="1" applyAlignment="1">
      <alignment vertical="center"/>
    </xf>
    <xf numFmtId="0" fontId="19" fillId="8" borderId="2" xfId="0" applyFont="1" applyFill="1" applyBorder="1" applyAlignment="1">
      <alignment vertical="center"/>
    </xf>
    <xf numFmtId="0" fontId="20" fillId="10" borderId="2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vertical="center"/>
    </xf>
    <xf numFmtId="180" fontId="19" fillId="10" borderId="2" xfId="0" applyNumberFormat="1" applyFont="1" applyFill="1" applyBorder="1" applyAlignment="1">
      <alignment horizontal="center" vertical="center"/>
    </xf>
    <xf numFmtId="9" fontId="19" fillId="10" borderId="2" xfId="0" applyNumberFormat="1" applyFont="1" applyFill="1" applyBorder="1" applyAlignment="1">
      <alignment horizontal="center" vertical="center"/>
    </xf>
    <xf numFmtId="0" fontId="18" fillId="10" borderId="7" xfId="0" applyFont="1" applyFill="1" applyBorder="1" applyAlignment="1">
      <alignment horizontal="left" vertical="center" wrapText="1"/>
    </xf>
    <xf numFmtId="0" fontId="19" fillId="10" borderId="2" xfId="0" applyFont="1" applyFill="1" applyBorder="1" applyAlignment="1">
      <alignment horizontal="left" vertical="center"/>
    </xf>
    <xf numFmtId="0" fontId="20" fillId="10" borderId="2" xfId="0" applyFont="1" applyFill="1" applyBorder="1" applyAlignment="1">
      <alignment horizontal="left" vertical="center"/>
    </xf>
    <xf numFmtId="0" fontId="20" fillId="0" borderId="5" xfId="0" applyFont="1" applyBorder="1" applyAlignment="1">
      <alignment vertical="center"/>
    </xf>
    <xf numFmtId="0" fontId="20" fillId="31" borderId="2" xfId="0" applyFont="1" applyFill="1" applyBorder="1" applyAlignment="1">
      <alignment vertical="center"/>
    </xf>
    <xf numFmtId="0" fontId="19" fillId="31" borderId="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vertical="center"/>
    </xf>
    <xf numFmtId="0" fontId="20" fillId="7" borderId="5" xfId="0" applyFont="1" applyFill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21" fillId="12" borderId="2" xfId="0" applyFont="1" applyFill="1" applyBorder="1" applyAlignment="1">
      <alignment horizontal="center" vertical="center"/>
    </xf>
    <xf numFmtId="0" fontId="21" fillId="11" borderId="2" xfId="0" applyFont="1" applyFill="1" applyBorder="1" applyAlignment="1">
      <alignment horizontal="center" vertical="center"/>
    </xf>
    <xf numFmtId="58" fontId="18" fillId="0" borderId="7" xfId="0" applyNumberFormat="1" applyFont="1" applyBorder="1" applyAlignment="1">
      <alignment horizontal="left" vertical="center" wrapText="1"/>
    </xf>
    <xf numFmtId="181" fontId="19" fillId="0" borderId="2" xfId="0" applyNumberFormat="1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7" fillId="2" borderId="2" xfId="0" applyFont="1" applyFill="1" applyBorder="1" applyAlignment="1">
      <alignment horizontal="center" vertical="center"/>
    </xf>
    <xf numFmtId="0" fontId="65" fillId="2" borderId="2" xfId="0" applyFont="1" applyFill="1" applyBorder="1" applyAlignment="1">
      <alignment horizontal="left" vertical="center"/>
    </xf>
    <xf numFmtId="0" fontId="66" fillId="2" borderId="2" xfId="0" applyFont="1" applyFill="1" applyBorder="1" applyAlignment="1">
      <alignment horizontal="left" vertical="center"/>
    </xf>
    <xf numFmtId="0" fontId="18" fillId="3" borderId="2" xfId="0" applyFont="1" applyFill="1" applyBorder="1" applyAlignment="1">
      <alignment horizontal="left" vertical="center"/>
    </xf>
    <xf numFmtId="0" fontId="20" fillId="0" borderId="2" xfId="0" applyFont="1" applyBorder="1" applyAlignment="1">
      <alignment horizontal="right"/>
    </xf>
    <xf numFmtId="0" fontId="20" fillId="11" borderId="2" xfId="0" applyFont="1" applyFill="1" applyBorder="1" applyAlignment="1">
      <alignment horizontal="left" vertical="center"/>
    </xf>
    <xf numFmtId="180" fontId="20" fillId="7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right" vertical="center"/>
    </xf>
    <xf numFmtId="9" fontId="23" fillId="7" borderId="2" xfId="0" applyNumberFormat="1" applyFont="1" applyFill="1" applyBorder="1" applyAlignment="1">
      <alignment vertical="center"/>
    </xf>
    <xf numFmtId="0" fontId="18" fillId="7" borderId="2" xfId="0" applyFont="1" applyFill="1" applyBorder="1" applyAlignment="1">
      <alignment vertical="center"/>
    </xf>
    <xf numFmtId="0" fontId="18" fillId="12" borderId="2" xfId="0" applyFont="1" applyFill="1" applyBorder="1" applyAlignment="1">
      <alignment vertical="center"/>
    </xf>
    <xf numFmtId="0" fontId="25" fillId="12" borderId="2" xfId="0" applyFont="1" applyFill="1" applyBorder="1" applyAlignment="1">
      <alignment vertical="center"/>
    </xf>
    <xf numFmtId="0" fontId="25" fillId="12" borderId="2" xfId="0" applyFont="1" applyFill="1" applyBorder="1" applyAlignment="1">
      <alignment horizontal="center" vertical="center"/>
    </xf>
    <xf numFmtId="181" fontId="25" fillId="12" borderId="2" xfId="0" applyNumberFormat="1" applyFont="1" applyFill="1" applyBorder="1" applyAlignment="1">
      <alignment vertical="center"/>
    </xf>
    <xf numFmtId="0" fontId="67" fillId="12" borderId="2" xfId="0" applyFont="1" applyFill="1" applyBorder="1" applyAlignment="1">
      <alignment vertical="center"/>
    </xf>
    <xf numFmtId="0" fontId="25" fillId="12" borderId="2" xfId="0" applyFont="1" applyFill="1" applyBorder="1" applyAlignment="1">
      <alignment horizontal="left" vertical="center"/>
    </xf>
    <xf numFmtId="181" fontId="18" fillId="7" borderId="2" xfId="0" applyNumberFormat="1" applyFont="1" applyFill="1" applyBorder="1" applyAlignment="1">
      <alignment horizontal="left" vertical="center"/>
    </xf>
    <xf numFmtId="0" fontId="67" fillId="12" borderId="2" xfId="0" applyFont="1" applyFill="1" applyBorder="1" applyAlignment="1">
      <alignment horizontal="center" vertical="center"/>
    </xf>
    <xf numFmtId="0" fontId="68" fillId="12" borderId="2" xfId="0" applyFont="1" applyFill="1" applyBorder="1" applyAlignment="1">
      <alignment vertical="center"/>
    </xf>
    <xf numFmtId="0" fontId="25" fillId="7" borderId="2" xfId="0" applyFont="1" applyFill="1" applyBorder="1" applyAlignment="1">
      <alignment horizontal="center" vertical="center"/>
    </xf>
    <xf numFmtId="58" fontId="19" fillId="7" borderId="2" xfId="0" applyNumberFormat="1" applyFont="1" applyFill="1" applyBorder="1" applyAlignment="1">
      <alignment horizontal="center" vertical="center"/>
    </xf>
    <xf numFmtId="183" fontId="20" fillId="0" borderId="2" xfId="0" applyNumberFormat="1" applyFont="1" applyBorder="1" applyAlignment="1"/>
    <xf numFmtId="0" fontId="23" fillId="7" borderId="2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left" vertical="center"/>
    </xf>
    <xf numFmtId="0" fontId="19" fillId="7" borderId="2" xfId="0" applyFont="1" applyFill="1" applyBorder="1" applyAlignment="1"/>
    <xf numFmtId="0" fontId="19" fillId="7" borderId="2" xfId="0" applyFont="1" applyFill="1" applyBorder="1"/>
    <xf numFmtId="180" fontId="19" fillId="7" borderId="2" xfId="0" applyNumberFormat="1" applyFont="1" applyFill="1" applyBorder="1" applyAlignment="1">
      <alignment horizontal="center"/>
    </xf>
    <xf numFmtId="9" fontId="19" fillId="7" borderId="2" xfId="0" applyNumberFormat="1" applyFont="1" applyFill="1" applyBorder="1" applyAlignment="1">
      <alignment horizontal="center"/>
    </xf>
    <xf numFmtId="0" fontId="18" fillId="7" borderId="2" xfId="0" applyFont="1" applyFill="1" applyBorder="1" applyAlignment="1"/>
    <xf numFmtId="0" fontId="19" fillId="7" borderId="2" xfId="0" applyFont="1" applyFill="1" applyBorder="1" applyAlignment="1">
      <alignment horizontal="center"/>
    </xf>
    <xf numFmtId="0" fontId="23" fillId="7" borderId="2" xfId="0" applyFont="1" applyFill="1" applyBorder="1"/>
    <xf numFmtId="183" fontId="19" fillId="7" borderId="2" xfId="0" applyNumberFormat="1" applyFont="1" applyFill="1" applyBorder="1"/>
    <xf numFmtId="0" fontId="23" fillId="7" borderId="2" xfId="0" applyFont="1" applyFill="1" applyBorder="1" applyAlignment="1">
      <alignment horizontal="left"/>
    </xf>
    <xf numFmtId="0" fontId="24" fillId="0" borderId="2" xfId="0" applyFont="1" applyBorder="1" applyAlignment="1">
      <alignment horizontal="left" vertical="center"/>
    </xf>
    <xf numFmtId="0" fontId="23" fillId="0" borderId="2" xfId="0" applyFont="1" applyBorder="1"/>
    <xf numFmtId="9" fontId="23" fillId="0" borderId="2" xfId="0" applyNumberFormat="1" applyFont="1" applyBorder="1"/>
    <xf numFmtId="0" fontId="19" fillId="0" borderId="2" xfId="0" applyFont="1" applyBorder="1" applyAlignment="1">
      <alignment horizontal="right"/>
    </xf>
    <xf numFmtId="0" fontId="16" fillId="0" borderId="2" xfId="0" applyFont="1" applyBorder="1" applyAlignment="1">
      <alignment vertical="center"/>
    </xf>
    <xf numFmtId="0" fontId="19" fillId="0" borderId="2" xfId="0" applyFont="1" applyBorder="1" applyAlignment="1">
      <alignment horizontal="right" vertical="center"/>
    </xf>
    <xf numFmtId="0" fontId="20" fillId="8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left" vertical="center"/>
    </xf>
    <xf numFmtId="181" fontId="18" fillId="3" borderId="2" xfId="0" applyNumberFormat="1" applyFont="1" applyFill="1" applyBorder="1" applyAlignment="1">
      <alignment horizontal="left" vertical="center"/>
    </xf>
    <xf numFmtId="0" fontId="24" fillId="0" borderId="2" xfId="0" applyFont="1" applyBorder="1" applyAlignment="1">
      <alignment horizontal="center" vertical="center"/>
    </xf>
    <xf numFmtId="0" fontId="19" fillId="31" borderId="2" xfId="0" applyFont="1" applyFill="1" applyBorder="1" applyAlignment="1">
      <alignment vertical="center"/>
    </xf>
    <xf numFmtId="0" fontId="20" fillId="31" borderId="2" xfId="0" applyFont="1" applyFill="1" applyBorder="1" applyAlignment="1">
      <alignment horizontal="center" vertical="center"/>
    </xf>
    <xf numFmtId="180" fontId="19" fillId="31" borderId="2" xfId="0" applyNumberFormat="1" applyFont="1" applyFill="1" applyBorder="1" applyAlignment="1">
      <alignment horizontal="center" vertical="center"/>
    </xf>
    <xf numFmtId="9" fontId="19" fillId="31" borderId="2" xfId="0" applyNumberFormat="1" applyFont="1" applyFill="1" applyBorder="1" applyAlignment="1">
      <alignment horizontal="center" vertical="center"/>
    </xf>
    <xf numFmtId="0" fontId="18" fillId="31" borderId="2" xfId="0" applyFont="1" applyFill="1" applyBorder="1" applyAlignment="1">
      <alignment horizontal="left" vertical="center"/>
    </xf>
    <xf numFmtId="0" fontId="19" fillId="31" borderId="2" xfId="0" applyFont="1" applyFill="1" applyBorder="1" applyAlignment="1">
      <alignment horizontal="left" vertical="center"/>
    </xf>
    <xf numFmtId="0" fontId="20" fillId="31" borderId="2" xfId="0" applyFont="1" applyFill="1" applyBorder="1" applyAlignment="1">
      <alignment horizontal="left" vertical="center"/>
    </xf>
    <xf numFmtId="0" fontId="22" fillId="7" borderId="2" xfId="0" applyFont="1" applyFill="1" applyBorder="1" applyAlignment="1">
      <alignment horizontal="left" vertical="center"/>
    </xf>
    <xf numFmtId="0" fontId="69" fillId="12" borderId="2" xfId="0" applyFont="1" applyFill="1" applyBorder="1" applyAlignment="1">
      <alignment horizontal="center" vertical="center"/>
    </xf>
    <xf numFmtId="0" fontId="69" fillId="12" borderId="2" xfId="0" applyFont="1" applyFill="1" applyBorder="1" applyAlignment="1">
      <alignment horizontal="left" vertical="center"/>
    </xf>
    <xf numFmtId="181" fontId="69" fillId="12" borderId="2" xfId="0" applyNumberFormat="1" applyFont="1" applyFill="1" applyBorder="1" applyAlignment="1">
      <alignment horizontal="center" vertical="center"/>
    </xf>
    <xf numFmtId="0" fontId="70" fillId="0" borderId="2" xfId="0" applyFont="1" applyBorder="1" applyAlignment="1"/>
    <xf numFmtId="0" fontId="69" fillId="25" borderId="2" xfId="0" applyFont="1" applyFill="1" applyBorder="1" applyAlignment="1">
      <alignment horizontal="center" vertical="center"/>
    </xf>
    <xf numFmtId="0" fontId="69" fillId="25" borderId="2" xfId="0" applyFont="1" applyFill="1" applyBorder="1" applyAlignment="1">
      <alignment horizontal="left" vertical="center"/>
    </xf>
    <xf numFmtId="181" fontId="69" fillId="25" borderId="2" xfId="0" applyNumberFormat="1" applyFont="1" applyFill="1" applyBorder="1" applyAlignment="1">
      <alignment horizontal="center" vertical="center"/>
    </xf>
    <xf numFmtId="0" fontId="70" fillId="25" borderId="2" xfId="0" applyFont="1" applyFill="1" applyBorder="1" applyAlignment="1"/>
    <xf numFmtId="0" fontId="70" fillId="25" borderId="2" xfId="0" applyFont="1" applyFill="1" applyBorder="1" applyAlignment="1">
      <alignment horizontal="center" vertical="center"/>
    </xf>
    <xf numFmtId="0" fontId="70" fillId="25" borderId="2" xfId="0" applyFont="1" applyFill="1" applyBorder="1" applyAlignment="1">
      <alignment vertical="center"/>
    </xf>
    <xf numFmtId="180" fontId="70" fillId="25" borderId="2" xfId="0" applyNumberFormat="1" applyFont="1" applyFill="1" applyBorder="1" applyAlignment="1">
      <alignment horizontal="center" vertical="center"/>
    </xf>
    <xf numFmtId="0" fontId="70" fillId="25" borderId="2" xfId="0" applyFont="1" applyFill="1" applyBorder="1" applyAlignment="1">
      <alignment horizontal="left" vertical="center"/>
    </xf>
    <xf numFmtId="0" fontId="70" fillId="25" borderId="2" xfId="0" applyFont="1" applyFill="1" applyBorder="1" applyAlignment="1">
      <alignment horizontal="right"/>
    </xf>
    <xf numFmtId="0" fontId="71" fillId="14" borderId="2" xfId="0" applyFont="1" applyFill="1" applyBorder="1" applyAlignment="1">
      <alignment horizontal="center" vertical="center"/>
    </xf>
    <xf numFmtId="0" fontId="71" fillId="14" borderId="2" xfId="0" applyFont="1" applyFill="1" applyBorder="1" applyAlignment="1">
      <alignment horizontal="left" vertical="center"/>
    </xf>
    <xf numFmtId="181" fontId="71" fillId="14" borderId="2" xfId="0" applyNumberFormat="1" applyFont="1" applyFill="1" applyBorder="1" applyAlignment="1">
      <alignment horizontal="center" vertical="center"/>
    </xf>
    <xf numFmtId="0" fontId="22" fillId="14" borderId="2" xfId="0" applyFont="1" applyFill="1" applyBorder="1" applyAlignment="1"/>
    <xf numFmtId="0" fontId="71" fillId="11" borderId="2" xfId="0" applyFont="1" applyFill="1" applyBorder="1" applyAlignment="1">
      <alignment horizontal="center" vertical="center"/>
    </xf>
    <xf numFmtId="0" fontId="71" fillId="11" borderId="2" xfId="0" applyFont="1" applyFill="1" applyBorder="1" applyAlignment="1">
      <alignment horizontal="left" vertical="center"/>
    </xf>
    <xf numFmtId="181" fontId="71" fillId="11" borderId="2" xfId="0" applyNumberFormat="1" applyFont="1" applyFill="1" applyBorder="1" applyAlignment="1">
      <alignment horizontal="center" vertical="center"/>
    </xf>
    <xf numFmtId="0" fontId="22" fillId="0" borderId="2" xfId="0" applyFont="1" applyBorder="1" applyAlignment="1"/>
    <xf numFmtId="0" fontId="5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181" fontId="22" fillId="14" borderId="2" xfId="0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right"/>
    </xf>
    <xf numFmtId="0" fontId="72" fillId="14" borderId="2" xfId="0" applyFont="1" applyFill="1" applyBorder="1" applyAlignment="1">
      <alignment vertical="center"/>
    </xf>
    <xf numFmtId="180" fontId="22" fillId="0" borderId="2" xfId="0" applyNumberFormat="1" applyFont="1" applyBorder="1" applyAlignment="1">
      <alignment horizontal="center" vertical="center"/>
    </xf>
    <xf numFmtId="9" fontId="22" fillId="0" borderId="2" xfId="0" applyNumberFormat="1" applyFont="1" applyBorder="1" applyAlignment="1">
      <alignment horizontal="center" vertical="center"/>
    </xf>
    <xf numFmtId="0" fontId="22" fillId="7" borderId="2" xfId="0" applyFont="1" applyFill="1" applyBorder="1" applyAlignment="1">
      <alignment vertical="center"/>
    </xf>
    <xf numFmtId="0" fontId="22" fillId="7" borderId="2" xfId="0" applyFont="1" applyFill="1" applyBorder="1" applyAlignment="1">
      <alignment horizontal="center" vertical="center"/>
    </xf>
    <xf numFmtId="180" fontId="73" fillId="0" borderId="2" xfId="0" applyNumberFormat="1" applyFont="1" applyBorder="1" applyAlignment="1">
      <alignment vertical="center"/>
    </xf>
    <xf numFmtId="0" fontId="73" fillId="0" borderId="2" xfId="0" applyFont="1" applyBorder="1" applyAlignment="1">
      <alignment vertical="center"/>
    </xf>
    <xf numFmtId="0" fontId="22" fillId="0" borderId="2" xfId="0" applyFont="1" applyBorder="1"/>
    <xf numFmtId="0" fontId="22" fillId="0" borderId="2" xfId="0" applyFont="1" applyBorder="1" applyAlignment="1">
      <alignment horizontal="center"/>
    </xf>
    <xf numFmtId="0" fontId="73" fillId="0" borderId="2" xfId="0" applyFont="1" applyBorder="1"/>
    <xf numFmtId="0" fontId="73" fillId="0" borderId="2" xfId="0" applyFont="1" applyBorder="1" applyAlignment="1">
      <alignment horizontal="center"/>
    </xf>
    <xf numFmtId="180" fontId="73" fillId="0" borderId="2" xfId="0" applyNumberFormat="1" applyFont="1" applyBorder="1"/>
    <xf numFmtId="9" fontId="73" fillId="0" borderId="2" xfId="0" applyNumberFormat="1" applyFont="1" applyBorder="1"/>
    <xf numFmtId="0" fontId="73" fillId="0" borderId="2" xfId="0" applyFont="1" applyBorder="1" applyAlignment="1"/>
    <xf numFmtId="0" fontId="22" fillId="23" borderId="2" xfId="0" applyFont="1" applyFill="1" applyBorder="1"/>
    <xf numFmtId="0" fontId="22" fillId="23" borderId="2" xfId="0" applyFont="1" applyFill="1" applyBorder="1" applyAlignment="1">
      <alignment horizontal="center"/>
    </xf>
    <xf numFmtId="0" fontId="73" fillId="23" borderId="2" xfId="0" applyFont="1" applyFill="1" applyBorder="1"/>
    <xf numFmtId="0" fontId="73" fillId="23" borderId="2" xfId="0" applyFont="1" applyFill="1" applyBorder="1" applyAlignment="1">
      <alignment horizontal="center"/>
    </xf>
    <xf numFmtId="0" fontId="22" fillId="23" borderId="2" xfId="0" applyFont="1" applyFill="1" applyBorder="1" applyAlignment="1"/>
    <xf numFmtId="180" fontId="73" fillId="23" borderId="2" xfId="0" applyNumberFormat="1" applyFont="1" applyFill="1" applyBorder="1"/>
    <xf numFmtId="9" fontId="73" fillId="23" borderId="2" xfId="0" applyNumberFormat="1" applyFont="1" applyFill="1" applyBorder="1"/>
    <xf numFmtId="0" fontId="73" fillId="23" borderId="2" xfId="0" applyFont="1" applyFill="1" applyBorder="1" applyAlignment="1"/>
    <xf numFmtId="0" fontId="22" fillId="25" borderId="2" xfId="0" applyFont="1" applyFill="1" applyBorder="1" applyAlignment="1">
      <alignment horizontal="center" vertical="center"/>
    </xf>
    <xf numFmtId="0" fontId="22" fillId="25" borderId="2" xfId="0" applyFont="1" applyFill="1" applyBorder="1" applyAlignment="1">
      <alignment vertical="center"/>
    </xf>
    <xf numFmtId="180" fontId="22" fillId="25" borderId="2" xfId="0" applyNumberFormat="1" applyFont="1" applyFill="1" applyBorder="1" applyAlignment="1">
      <alignment horizontal="center" vertical="center"/>
    </xf>
    <xf numFmtId="0" fontId="71" fillId="25" borderId="2" xfId="0" applyFont="1" applyFill="1" applyBorder="1" applyAlignment="1">
      <alignment horizontal="left" vertical="center"/>
    </xf>
    <xf numFmtId="0" fontId="22" fillId="25" borderId="2" xfId="0" applyFont="1" applyFill="1" applyBorder="1" applyAlignment="1">
      <alignment horizontal="left" vertical="center"/>
    </xf>
    <xf numFmtId="0" fontId="22" fillId="25" borderId="2" xfId="0" applyFont="1" applyFill="1" applyBorder="1" applyAlignment="1">
      <alignment horizontal="right"/>
    </xf>
    <xf numFmtId="0" fontId="69" fillId="11" borderId="2" xfId="0" applyFont="1" applyFill="1" applyBorder="1" applyAlignment="1">
      <alignment horizontal="center" vertical="center"/>
    </xf>
    <xf numFmtId="0" fontId="69" fillId="11" borderId="2" xfId="0" applyFont="1" applyFill="1" applyBorder="1" applyAlignment="1">
      <alignment horizontal="left" vertical="center"/>
    </xf>
    <xf numFmtId="181" fontId="69" fillId="11" borderId="2" xfId="0" applyNumberFormat="1" applyFont="1" applyFill="1" applyBorder="1" applyAlignment="1">
      <alignment horizontal="center" vertical="center"/>
    </xf>
    <xf numFmtId="0" fontId="70" fillId="0" borderId="2" xfId="0" applyFont="1" applyBorder="1" applyAlignment="1">
      <alignment horizontal="center" vertical="center"/>
    </xf>
    <xf numFmtId="0" fontId="70" fillId="7" borderId="2" xfId="0" applyFont="1" applyFill="1" applyBorder="1" applyAlignment="1">
      <alignment vertical="center"/>
    </xf>
    <xf numFmtId="0" fontId="70" fillId="7" borderId="2" xfId="0" applyFont="1" applyFill="1" applyBorder="1" applyAlignment="1">
      <alignment horizontal="center" vertical="center"/>
    </xf>
    <xf numFmtId="180" fontId="70" fillId="7" borderId="2" xfId="0" applyNumberFormat="1" applyFont="1" applyFill="1" applyBorder="1" applyAlignment="1">
      <alignment horizontal="center" vertical="center"/>
    </xf>
    <xf numFmtId="9" fontId="74" fillId="7" borderId="2" xfId="0" applyNumberFormat="1" applyFont="1" applyFill="1" applyBorder="1" applyAlignment="1">
      <alignment vertical="center"/>
    </xf>
    <xf numFmtId="0" fontId="69" fillId="7" borderId="2" xfId="0" applyFont="1" applyFill="1" applyBorder="1" applyAlignment="1">
      <alignment vertical="center"/>
    </xf>
    <xf numFmtId="0" fontId="70" fillId="7" borderId="2" xfId="0" applyFont="1" applyFill="1" applyBorder="1" applyAlignment="1">
      <alignment horizontal="left" vertical="center"/>
    </xf>
    <xf numFmtId="0" fontId="70" fillId="0" borderId="2" xfId="0" applyFont="1" applyBorder="1" applyAlignment="1">
      <alignment horizontal="right"/>
    </xf>
    <xf numFmtId="0" fontId="70" fillId="0" borderId="2" xfId="0" applyFont="1" applyBorder="1" applyAlignment="1">
      <alignment vertical="center"/>
    </xf>
    <xf numFmtId="180" fontId="70" fillId="0" borderId="2" xfId="0" applyNumberFormat="1" applyFont="1" applyBorder="1" applyAlignment="1">
      <alignment horizontal="center" vertical="center"/>
    </xf>
    <xf numFmtId="0" fontId="69" fillId="0" borderId="2" xfId="0" applyFont="1" applyBorder="1" applyAlignment="1">
      <alignment horizontal="left" vertical="center"/>
    </xf>
    <xf numFmtId="0" fontId="70" fillId="0" borderId="2" xfId="0" applyFont="1" applyBorder="1" applyAlignment="1">
      <alignment horizontal="left" vertical="center"/>
    </xf>
    <xf numFmtId="9" fontId="70" fillId="7" borderId="2" xfId="0" applyNumberFormat="1" applyFont="1" applyFill="1" applyBorder="1" applyAlignment="1">
      <alignment horizontal="center" vertical="center"/>
    </xf>
    <xf numFmtId="0" fontId="69" fillId="7" borderId="2" xfId="0" applyFont="1" applyFill="1" applyBorder="1" applyAlignment="1">
      <alignment horizontal="left" vertical="center"/>
    </xf>
    <xf numFmtId="0" fontId="70" fillId="8" borderId="2" xfId="0" applyFont="1" applyFill="1" applyBorder="1" applyAlignment="1">
      <alignment vertical="center"/>
    </xf>
    <xf numFmtId="0" fontId="70" fillId="8" borderId="2" xfId="0" applyFont="1" applyFill="1" applyBorder="1" applyAlignment="1">
      <alignment horizontal="center" vertical="center"/>
    </xf>
    <xf numFmtId="58" fontId="70" fillId="8" borderId="2" xfId="0" applyNumberFormat="1" applyFont="1" applyFill="1" applyBorder="1" applyAlignment="1">
      <alignment horizontal="center" vertical="center"/>
    </xf>
    <xf numFmtId="0" fontId="69" fillId="8" borderId="2" xfId="0" applyFont="1" applyFill="1" applyBorder="1" applyAlignment="1">
      <alignment horizontal="left" vertical="center"/>
    </xf>
    <xf numFmtId="0" fontId="70" fillId="8" borderId="2" xfId="0" applyFont="1" applyFill="1" applyBorder="1" applyAlignment="1">
      <alignment horizontal="left" vertic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wrapText="1"/>
    </xf>
    <xf numFmtId="188" fontId="47" fillId="0" borderId="0" xfId="0" applyNumberFormat="1" applyFont="1" applyAlignment="1">
      <alignment horizontal="center"/>
    </xf>
    <xf numFmtId="0" fontId="75" fillId="33" borderId="7" xfId="0" applyFont="1" applyFill="1" applyBorder="1" applyAlignment="1">
      <alignment horizontal="center" vertical="center"/>
    </xf>
    <xf numFmtId="0" fontId="75" fillId="33" borderId="2" xfId="0" applyFont="1" applyFill="1" applyBorder="1" applyAlignment="1">
      <alignment horizontal="center" vertical="center"/>
    </xf>
    <xf numFmtId="0" fontId="75" fillId="33" borderId="2" xfId="0" applyFont="1" applyFill="1" applyBorder="1" applyAlignment="1">
      <alignment vertical="center"/>
    </xf>
    <xf numFmtId="10" fontId="76" fillId="34" borderId="13" xfId="0" applyNumberFormat="1" applyFont="1" applyFill="1" applyBorder="1" applyAlignment="1">
      <alignment horizontal="center" vertical="center" wrapText="1"/>
    </xf>
    <xf numFmtId="0" fontId="76" fillId="34" borderId="13" xfId="0" applyFont="1" applyFill="1" applyBorder="1" applyAlignment="1">
      <alignment horizontal="center" vertical="center" wrapText="1"/>
    </xf>
    <xf numFmtId="188" fontId="76" fillId="35" borderId="7" xfId="0" applyNumberFormat="1" applyFont="1" applyFill="1" applyBorder="1" applyAlignment="1">
      <alignment horizontal="center" vertical="center"/>
    </xf>
    <xf numFmtId="188" fontId="76" fillId="34" borderId="7" xfId="0" applyNumberFormat="1" applyFont="1" applyFill="1" applyBorder="1" applyAlignment="1">
      <alignment horizontal="center" vertical="center"/>
    </xf>
    <xf numFmtId="188" fontId="76" fillId="36" borderId="7" xfId="0" applyNumberFormat="1" applyFont="1" applyFill="1" applyBorder="1" applyAlignment="1">
      <alignment horizontal="center" vertical="center"/>
    </xf>
    <xf numFmtId="188" fontId="76" fillId="11" borderId="7" xfId="0" applyNumberFormat="1" applyFont="1" applyFill="1" applyBorder="1" applyAlignment="1">
      <alignment horizontal="center" vertical="center"/>
    </xf>
    <xf numFmtId="188" fontId="76" fillId="37" borderId="13" xfId="0" applyNumberFormat="1" applyFont="1" applyFill="1" applyBorder="1" applyAlignment="1">
      <alignment horizontal="center" vertical="center" wrapText="1"/>
    </xf>
    <xf numFmtId="0" fontId="76" fillId="37" borderId="2" xfId="0" applyFont="1" applyFill="1" applyBorder="1" applyAlignment="1">
      <alignment horizontal="center" vertical="center" wrapText="1"/>
    </xf>
    <xf numFmtId="188" fontId="76" fillId="37" borderId="2" xfId="0" applyNumberFormat="1" applyFont="1" applyFill="1" applyBorder="1" applyAlignment="1">
      <alignment horizontal="center" vertical="center" wrapText="1"/>
    </xf>
    <xf numFmtId="0" fontId="77" fillId="11" borderId="2" xfId="0" applyFont="1" applyFill="1" applyBorder="1" applyAlignment="1">
      <alignment horizontal="center" vertical="center"/>
    </xf>
    <xf numFmtId="0" fontId="76" fillId="11" borderId="2" xfId="0" applyFont="1" applyFill="1" applyBorder="1" applyAlignment="1">
      <alignment horizontal="left" vertical="center" wrapText="1"/>
    </xf>
    <xf numFmtId="0" fontId="76" fillId="11" borderId="2" xfId="0" applyFont="1" applyFill="1" applyBorder="1" applyAlignment="1">
      <alignment horizontal="center" vertical="center" wrapText="1"/>
    </xf>
    <xf numFmtId="188" fontId="77" fillId="11" borderId="2" xfId="0" applyNumberFormat="1" applyFont="1" applyFill="1" applyBorder="1" applyAlignment="1">
      <alignment horizontal="center" vertical="center"/>
    </xf>
    <xf numFmtId="188" fontId="77" fillId="37" borderId="2" xfId="0" applyNumberFormat="1" applyFont="1" applyFill="1" applyBorder="1" applyAlignment="1">
      <alignment horizontal="center" vertical="center"/>
    </xf>
    <xf numFmtId="0" fontId="77" fillId="11" borderId="2" xfId="0" applyFont="1" applyFill="1" applyBorder="1" applyAlignment="1">
      <alignment horizontal="center" vertical="center" wrapText="1"/>
    </xf>
    <xf numFmtId="0" fontId="78" fillId="14" borderId="2" xfId="0" applyFont="1" applyFill="1" applyBorder="1" applyAlignment="1">
      <alignment horizontal="center" vertical="center"/>
    </xf>
    <xf numFmtId="0" fontId="78" fillId="14" borderId="2" xfId="0" applyFont="1" applyFill="1" applyBorder="1" applyAlignment="1">
      <alignment horizontal="left" vertical="center" wrapText="1"/>
    </xf>
    <xf numFmtId="0" fontId="78" fillId="14" borderId="2" xfId="0" applyFont="1" applyFill="1" applyBorder="1" applyAlignment="1">
      <alignment horizontal="center" vertical="center" wrapText="1"/>
    </xf>
    <xf numFmtId="188" fontId="78" fillId="14" borderId="2" xfId="0" applyNumberFormat="1" applyFont="1" applyFill="1" applyBorder="1" applyAlignment="1">
      <alignment horizontal="center" vertical="center"/>
    </xf>
    <xf numFmtId="188" fontId="78" fillId="37" borderId="2" xfId="0" applyNumberFormat="1" applyFont="1" applyFill="1" applyBorder="1" applyAlignment="1">
      <alignment horizontal="center" vertical="center"/>
    </xf>
    <xf numFmtId="0" fontId="79" fillId="14" borderId="2" xfId="0" applyFont="1" applyFill="1" applyBorder="1" applyAlignment="1">
      <alignment horizontal="center" vertical="center"/>
    </xf>
    <xf numFmtId="188" fontId="79" fillId="37" borderId="2" xfId="0" applyNumberFormat="1" applyFont="1" applyFill="1" applyBorder="1" applyAlignment="1">
      <alignment horizontal="center" vertical="center"/>
    </xf>
    <xf numFmtId="0" fontId="79" fillId="14" borderId="2" xfId="0" applyFont="1" applyFill="1" applyBorder="1" applyAlignment="1">
      <alignment horizontal="center" vertical="center" wrapText="1"/>
    </xf>
    <xf numFmtId="188" fontId="76" fillId="11" borderId="2" xfId="0" applyNumberFormat="1" applyFont="1" applyFill="1" applyBorder="1" applyAlignment="1">
      <alignment horizontal="center" vertical="center"/>
    </xf>
    <xf numFmtId="188" fontId="76" fillId="37" borderId="2" xfId="0" applyNumberFormat="1" applyFont="1" applyFill="1" applyBorder="1" applyAlignment="1">
      <alignment horizontal="center" vertical="center"/>
    </xf>
    <xf numFmtId="0" fontId="77" fillId="14" borderId="2" xfId="0" applyFont="1" applyFill="1" applyBorder="1" applyAlignment="1">
      <alignment horizontal="center" vertical="center"/>
    </xf>
    <xf numFmtId="0" fontId="77" fillId="14" borderId="2" xfId="0" applyFont="1" applyFill="1" applyBorder="1" applyAlignment="1">
      <alignment horizontal="center" vertical="center" wrapText="1"/>
    </xf>
    <xf numFmtId="0" fontId="76" fillId="14" borderId="2" xfId="0" applyFont="1" applyFill="1" applyBorder="1" applyAlignment="1">
      <alignment horizontal="center" wrapText="1"/>
    </xf>
    <xf numFmtId="0" fontId="78" fillId="14" borderId="2" xfId="0" applyFont="1" applyFill="1" applyBorder="1" applyAlignment="1">
      <alignment horizontal="left" wrapText="1"/>
    </xf>
    <xf numFmtId="0" fontId="78" fillId="14" borderId="2" xfId="0" applyFont="1" applyFill="1" applyBorder="1" applyAlignment="1">
      <alignment horizontal="center" wrapText="1"/>
    </xf>
    <xf numFmtId="0" fontId="78" fillId="14" borderId="2" xfId="0" applyFont="1" applyFill="1" applyBorder="1" applyAlignment="1">
      <alignment horizontal="left"/>
    </xf>
    <xf numFmtId="58" fontId="78" fillId="14" borderId="2" xfId="0" applyNumberFormat="1" applyFont="1" applyFill="1" applyBorder="1" applyAlignment="1">
      <alignment horizontal="left" vertical="center" wrapText="1"/>
    </xf>
    <xf numFmtId="0" fontId="78" fillId="14" borderId="2" xfId="0" applyFont="1" applyFill="1" applyBorder="1"/>
    <xf numFmtId="188" fontId="78" fillId="37" borderId="2" xfId="0" applyNumberFormat="1" applyFont="1" applyFill="1" applyBorder="1" applyAlignment="1">
      <alignment horizontal="center"/>
    </xf>
    <xf numFmtId="0" fontId="78" fillId="14" borderId="2" xfId="0" applyFont="1" applyFill="1" applyBorder="1" applyAlignment="1">
      <alignment horizontal="center"/>
    </xf>
    <xf numFmtId="0" fontId="59" fillId="7" borderId="11" xfId="0" applyFont="1" applyFill="1" applyBorder="1" applyAlignment="1">
      <alignment horizontal="left"/>
    </xf>
    <xf numFmtId="0" fontId="78" fillId="14" borderId="11" xfId="0" applyFont="1" applyFill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/>
    </xf>
    <xf numFmtId="0" fontId="79" fillId="0" borderId="2" xfId="0" applyFont="1" applyBorder="1" applyAlignment="1">
      <alignment horizontal="left" vertical="center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78" fillId="0" borderId="2" xfId="0" applyFont="1" applyBorder="1" applyAlignment="1">
      <alignment horizontal="left" vertical="center"/>
    </xf>
    <xf numFmtId="0" fontId="78" fillId="0" borderId="2" xfId="0" applyFont="1" applyBorder="1" applyAlignment="1">
      <alignment horizontal="left" vertical="center" wrapText="1"/>
    </xf>
    <xf numFmtId="0" fontId="79" fillId="0" borderId="2" xfId="0" applyFont="1" applyBorder="1" applyAlignment="1">
      <alignment horizontal="left" vertical="center" wrapText="1"/>
    </xf>
    <xf numFmtId="0" fontId="78" fillId="14" borderId="2" xfId="0" applyFont="1" applyFill="1" applyBorder="1" applyAlignment="1">
      <alignment horizontal="left" vertical="center"/>
    </xf>
    <xf numFmtId="0" fontId="80" fillId="33" borderId="7" xfId="0" applyFont="1" applyFill="1" applyBorder="1" applyAlignment="1">
      <alignment horizontal="center" vertical="center"/>
    </xf>
    <xf numFmtId="0" fontId="76" fillId="33" borderId="2" xfId="0" applyFont="1" applyFill="1" applyBorder="1" applyAlignment="1">
      <alignment vertical="center" wrapText="1"/>
    </xf>
    <xf numFmtId="188" fontId="76" fillId="33" borderId="2" xfId="0" applyNumberFormat="1" applyFont="1" applyFill="1" applyBorder="1" applyAlignment="1">
      <alignment horizontal="center" vertical="center"/>
    </xf>
    <xf numFmtId="188" fontId="76" fillId="37" borderId="13" xfId="0" applyNumberFormat="1" applyFont="1" applyFill="1" applyBorder="1" applyAlignment="1">
      <alignment horizontal="center" vertical="center"/>
    </xf>
    <xf numFmtId="0" fontId="76" fillId="33" borderId="2" xfId="0" applyFont="1" applyFill="1" applyBorder="1" applyAlignment="1">
      <alignment horizontal="center" vertical="center"/>
    </xf>
    <xf numFmtId="0" fontId="81" fillId="7" borderId="2" xfId="0" applyFont="1" applyFill="1" applyBorder="1" applyAlignment="1">
      <alignment horizontal="center"/>
    </xf>
    <xf numFmtId="0" fontId="0" fillId="7" borderId="2" xfId="0" applyFont="1" applyFill="1" applyBorder="1" applyAlignment="1">
      <alignment horizontal="left"/>
    </xf>
    <xf numFmtId="0" fontId="0" fillId="7" borderId="2" xfId="0" applyFont="1" applyFill="1" applyBorder="1" applyAlignment="1">
      <alignment horizontal="center"/>
    </xf>
    <xf numFmtId="0" fontId="82" fillId="7" borderId="2" xfId="0" applyFont="1" applyFill="1" applyBorder="1" applyAlignment="1">
      <alignment horizontal="center" wrapText="1"/>
    </xf>
    <xf numFmtId="0" fontId="83" fillId="7" borderId="2" xfId="0" applyFont="1" applyFill="1" applyBorder="1" applyAlignment="1">
      <alignment horizontal="left" wrapText="1"/>
    </xf>
    <xf numFmtId="0" fontId="83" fillId="7" borderId="2" xfId="0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vertical="center" wrapText="1"/>
    </xf>
    <xf numFmtId="0" fontId="83" fillId="0" borderId="0" xfId="0" applyFont="1" applyAlignment="1">
      <alignment horizontal="center" wrapText="1"/>
    </xf>
    <xf numFmtId="0" fontId="78" fillId="7" borderId="2" xfId="0" applyFont="1" applyFill="1" applyBorder="1" applyAlignment="1">
      <alignment horizontal="center" wrapText="1"/>
    </xf>
    <xf numFmtId="0" fontId="41" fillId="7" borderId="2" xfId="0" applyFont="1" applyFill="1" applyBorder="1" applyAlignment="1">
      <alignment horizontal="center"/>
    </xf>
    <xf numFmtId="0" fontId="61" fillId="7" borderId="2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center"/>
    </xf>
    <xf numFmtId="0" fontId="78" fillId="7" borderId="2" xfId="0" applyFont="1" applyFill="1" applyBorder="1" applyAlignment="1">
      <alignment horizontal="center"/>
    </xf>
    <xf numFmtId="58" fontId="78" fillId="7" borderId="2" xfId="0" applyNumberFormat="1" applyFont="1" applyFill="1" applyBorder="1" applyAlignment="1">
      <alignment horizontal="center" wrapText="1"/>
    </xf>
    <xf numFmtId="58" fontId="78" fillId="7" borderId="2" xfId="0" applyNumberFormat="1" applyFont="1" applyFill="1" applyBorder="1" applyAlignment="1">
      <alignment horizontal="center"/>
    </xf>
    <xf numFmtId="0" fontId="16" fillId="7" borderId="2" xfId="0" applyFont="1" applyFill="1" applyBorder="1" applyAlignment="1">
      <alignment horizontal="center"/>
    </xf>
    <xf numFmtId="0" fontId="0" fillId="0" borderId="0" xfId="0" applyFont="1" applyAlignment="1">
      <alignment horizontal="left"/>
    </xf>
    <xf numFmtId="0" fontId="20" fillId="7" borderId="2" xfId="0" applyFont="1" applyFill="1" applyBorder="1" applyAlignment="1" quotePrefix="1">
      <alignment horizontal="left" vertical="center"/>
    </xf>
    <xf numFmtId="0" fontId="20" fillId="0" borderId="2" xfId="0" applyFont="1" applyBorder="1" applyAlignment="1" quotePrefix="1">
      <alignment horizontal="center" vertical="center"/>
    </xf>
    <xf numFmtId="0" fontId="21" fillId="0" borderId="2" xfId="0" applyFont="1" applyBorder="1" applyAlignment="1" quotePrefix="1">
      <alignment horizontal="left" vertical="center"/>
    </xf>
    <xf numFmtId="0" fontId="20" fillId="0" borderId="2" xfId="0" applyFont="1" applyBorder="1" applyAlignment="1" quotePrefix="1">
      <alignment horizontal="left" vertical="center"/>
    </xf>
    <xf numFmtId="0" fontId="18" fillId="0" borderId="2" xfId="0" applyFont="1" applyBorder="1" applyAlignment="1" quotePrefix="1">
      <alignment horizontal="left" vertical="center"/>
    </xf>
    <xf numFmtId="0" fontId="18" fillId="7" borderId="2" xfId="0" applyFont="1" applyFill="1" applyBorder="1" applyAlignment="1" quotePrefix="1">
      <alignment vertical="center"/>
    </xf>
    <xf numFmtId="0" fontId="19" fillId="0" borderId="2" xfId="0" applyFont="1" applyBorder="1" applyAlignment="1" quotePrefix="1">
      <alignment horizontal="left" vertical="center"/>
    </xf>
    <xf numFmtId="0" fontId="22" fillId="14" borderId="2" xfId="0" applyFont="1" applyFill="1" applyBorder="1" applyAlignment="1" quotePrefix="1">
      <alignment horizontal="left" vertical="center"/>
    </xf>
    <xf numFmtId="0" fontId="22" fillId="0" borderId="2" xfId="0" applyFont="1" applyBorder="1" applyAlignment="1" quotePrefix="1">
      <alignment horizontal="left" vertical="center"/>
    </xf>
    <xf numFmtId="0" fontId="18" fillId="0" borderId="7" xfId="0" applyFont="1" applyBorder="1" applyAlignment="1" quotePrefix="1">
      <alignment horizontal="left" vertical="center" wrapText="1"/>
    </xf>
    <xf numFmtId="0" fontId="19" fillId="0" borderId="2" xfId="0" applyFont="1" applyBorder="1" applyAlignment="1" quotePrefix="1">
      <alignment horizontal="center" vertical="center"/>
    </xf>
    <xf numFmtId="0" fontId="11" fillId="0" borderId="2" xfId="0" applyFont="1" applyBorder="1" applyAlignment="1" quotePrefix="1">
      <alignment vertical="center"/>
    </xf>
    <xf numFmtId="0" fontId="11" fillId="0" borderId="2" xfId="0" applyFont="1" applyBorder="1" applyAlignment="1" quotePrefix="1">
      <alignment horizontal="left" vertical="center"/>
    </xf>
    <xf numFmtId="0" fontId="11" fillId="0" borderId="2" xfId="0" applyFont="1" applyBorder="1" applyAlignment="1" quotePrefix="1">
      <alignment horizontal="center"/>
    </xf>
    <xf numFmtId="0" fontId="11" fillId="0" borderId="2" xfId="0" applyFont="1" applyBorder="1" applyAlignment="1" quotePrefix="1">
      <alignment horizontal="left"/>
    </xf>
    <xf numFmtId="0" fontId="11" fillId="7" borderId="2" xfId="0" applyFont="1" applyFill="1" applyBorder="1" applyAlignment="1" quotePrefix="1">
      <alignment horizontal="center" vertical="center"/>
    </xf>
    <xf numFmtId="0" fontId="10" fillId="0" borderId="2" xfId="0" applyFont="1" applyBorder="1" applyAlignment="1" quotePrefix="1">
      <alignment horizontal="center"/>
    </xf>
    <xf numFmtId="0" fontId="11" fillId="7" borderId="2" xfId="0" applyFont="1" applyFill="1" applyBorder="1" applyAlignment="1" quotePrefix="1">
      <alignment vertical="center"/>
    </xf>
    <xf numFmtId="0" fontId="6" fillId="4" borderId="2" xfId="0" applyFont="1" applyFill="1" applyBorder="1" applyAlignment="1" quotePrefix="1">
      <alignment horizontal="center" vertical="center"/>
    </xf>
    <xf numFmtId="0" fontId="5" fillId="4" borderId="2" xfId="0" applyFont="1" applyFill="1" applyBorder="1" applyAlignment="1" quotePrefix="1">
      <alignment horizontal="center" vertical="center"/>
    </xf>
    <xf numFmtId="0" fontId="11" fillId="0" borderId="2" xfId="0" applyFont="1" applyBorder="1" applyAlignment="1" quotePrefix="1">
      <alignment horizontal="center" vertical="center"/>
    </xf>
    <xf numFmtId="0" fontId="11" fillId="0" borderId="2" xfId="0" applyFont="1" applyBorder="1" applyAlignment="1" quotePrefix="1">
      <alignment horizontal="left" vertical="center" wrapText="1"/>
    </xf>
    <xf numFmtId="0" fontId="40" fillId="17" borderId="2" xfId="0" applyFont="1" applyFill="1" applyBorder="1" quotePrefix="1"/>
    <xf numFmtId="0" fontId="41" fillId="0" borderId="2" xfId="0" applyFont="1" applyBorder="1" applyAlignment="1" quotePrefix="1">
      <alignment horizontal="center" vertical="center"/>
    </xf>
    <xf numFmtId="0" fontId="40" fillId="17" borderId="7" xfId="0" applyFont="1" applyFill="1" applyBorder="1" applyAlignment="1" quotePrefix="1">
      <alignment horizontal="left"/>
    </xf>
    <xf numFmtId="0" fontId="40" fillId="17" borderId="7" xfId="0" applyFont="1" applyFill="1" applyBorder="1" applyAlignment="1" quotePrefix="1">
      <alignment horizontal="left" vertical="center"/>
    </xf>
    <xf numFmtId="0" fontId="5" fillId="8" borderId="2" xfId="0" applyFont="1" applyFill="1" applyBorder="1" applyAlignment="1" quotePrefix="1">
      <alignment horizontal="center" vertical="center"/>
    </xf>
    <xf numFmtId="0" fontId="43" fillId="11" borderId="2" xfId="0" applyFont="1" applyFill="1" applyBorder="1" applyAlignment="1" quotePrefix="1">
      <alignment horizontal="center" vertical="center"/>
    </xf>
    <xf numFmtId="0" fontId="20" fillId="0" borderId="2" xfId="0" applyFont="1" applyBorder="1" applyAlignment="1" quotePrefix="1">
      <alignment horizontal="left"/>
    </xf>
    <xf numFmtId="0" fontId="19" fillId="14" borderId="2" xfId="0" applyFont="1" applyFill="1" applyBorder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ont>
        <strike val="1"/>
        <color rgb="FF434343"/>
      </font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ont>
        <b val="1"/>
      </font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theme="9"/>
          <bgColor theme="9"/>
        </patternFill>
      </fill>
    </dxf>
    <dxf>
      <font>
        <b val="1"/>
        <strike val="1"/>
        <color rgb="FF434343"/>
      </font>
      <fill>
        <patternFill patternType="solid">
          <fgColor rgb="FFD9D9D9"/>
          <bgColor rgb="FFD9D9D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O&#7840;I MMTB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i-eBGlD9GCKjjW_oVzhKXTG7rkg5adA55PmkVD7FH2A/edit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drivekm.thacoagri.com.vn/d/s/15kolxtdi49D2pWcN7d7b1B4HY0yYpGu/B5VZsD6dZu2WpyHkxvned2kQ0VRUEwPO-wjQh3yuTug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drivekm.thacoagri.com.vn/d/s/15kolxtdi49D2pWcN7d7b1B4HY0yYpGu/B5VZsD6dZu2WpyHkxvned2kQ0VRUEwPO-wjQh3yuTugw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drivekm.thacoagri.com.vn/d/s/15kolxtdi49D2pWcN7d7b1B4HY0yYpGu/B5VZsD6dZu2WpyHkxvned2kQ0VRUEwPO-wjQh3yuTugw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drivekm.thacoagri.com.vn/d/s/15kolxtdi49D2pWcN7d7b1B4HY0yYpGu/B5VZsD6dZu2WpyHkxvned2kQ0VRUEwPO-wjQh3yuTugw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drivekm.thacoagri.com.vn/d/s/15kolxtdi49D2pWcN7d7b1B4HY0yYpGu/B5VZsD6dZu2WpyHkxvned2kQ0VRUEwPO-wjQh3yuTugw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LRBBv2ohEsXcuUDtJrWEI2DUsbsG_B5eezCFoxwecnQ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3322"/>
  <sheetViews>
    <sheetView workbookViewId="0">
      <selection activeCell="A1" sqref="A1"/>
    </sheetView>
  </sheetViews>
  <sheetFormatPr defaultColWidth="12.6333333333333" defaultRowHeight="15" customHeight="1"/>
  <cols>
    <col min="1" max="1" width="17.3833333333333" customWidth="1"/>
    <col min="2" max="2" width="36.75" customWidth="1"/>
    <col min="5" max="5" width="21.1333333333333" customWidth="1"/>
  </cols>
  <sheetData>
    <row r="1" customHeight="1" spans="1:25">
      <c r="A1" s="1074" t="s">
        <v>0</v>
      </c>
      <c r="B1" s="1075"/>
      <c r="C1" s="1076"/>
      <c r="D1" s="1076"/>
      <c r="E1" s="146"/>
      <c r="F1" s="1076"/>
      <c r="G1" s="1076"/>
      <c r="H1" s="157"/>
      <c r="I1" s="1076"/>
      <c r="J1" s="1076"/>
      <c r="K1" s="1076"/>
      <c r="L1" s="1076"/>
    </row>
    <row r="2" customHeight="1" spans="1:25">
      <c r="A2" s="1077" t="str">
        <f>IFERROR(__xludf.DUMMYFUNCTION("IMPORTRANGE(A1,""TỔNG!A1:L"")"),"mã mmtb")</f>
        <v>mã mmtb</v>
      </c>
      <c r="B2" s="1078" t="str">
        <f>IFERROR(__xludf.DUMMYFUNCTION("""COMPUTED_VALUE"""),"tên mmtb")</f>
        <v>tên mmtb</v>
      </c>
      <c r="C2" s="1079" t="str">
        <f>IFERROR(__xludf.DUMMYFUNCTION("""COMPUTED_VALUE"""),"đvsd")</f>
        <v>đvsd</v>
      </c>
      <c r="D2" s="1079" t="str">
        <f>IFERROR(__xludf.DUMMYFUNCTION("""COMPUTED_VALUE"""),"NHÃN HIỆU")</f>
        <v>NHÃN HIỆU</v>
      </c>
      <c r="E2" s="1077" t="str">
        <f>IFERROR(__xludf.DUMMYFUNCTION("""COMPUTED_VALUE"""),"XUẤT XỨ")</f>
        <v>XUẤT XỨ</v>
      </c>
      <c r="F2" s="1079" t="str">
        <f>IFERROR(__xludf.DUMMYFUNCTION("""COMPUTED_VALUE"""),"NĂM SX")</f>
        <v>NĂM SX</v>
      </c>
      <c r="G2" s="1079" t="str">
        <f>IFERROR(__xludf.DUMMYFUNCTION("""COMPUTED_VALUE"""),"MODEL")</f>
        <v>MODEL</v>
      </c>
      <c r="H2" s="1080" t="str">
        <f>IFERROR(__xludf.DUMMYFUNCTION("""COMPUTED_VALUE"""),"CÔNG SUẤT")</f>
        <v>CÔNG SUẤT</v>
      </c>
      <c r="I2" s="1079" t="str">
        <f>IFERROR(__xludf.DUMMYFUNCTION("""COMPUTED_VALUE"""),"Số khung")</f>
        <v>Số khung</v>
      </c>
      <c r="J2" s="1079" t="str">
        <f>IFERROR(__xludf.DUMMYFUNCTION("""COMPUTED_VALUE"""),"Số máy")</f>
        <v>Số máy</v>
      </c>
      <c r="K2" s="1079" t="str">
        <f>IFERROR(__xludf.DUMMYFUNCTION("""COMPUTED_VALUE"""),"Định mức nhiên liệu (l/h) hoặc (l/km)")</f>
        <v>Định mức nhiên liệu (l/h) hoặc (l/km)</v>
      </c>
      <c r="L2" s="1079" t="str">
        <f>IFERROR(__xludf.DUMMYFUNCTION("""COMPUTED_VALUE"""),"Tình trạng hợp đồng")</f>
        <v>Tình trạng hợp đồng</v>
      </c>
      <c r="M2" s="1081"/>
      <c r="N2" s="1081"/>
      <c r="O2" s="1081"/>
      <c r="P2" s="1081"/>
      <c r="Q2" s="1081"/>
      <c r="R2" s="1081"/>
      <c r="S2" s="1081"/>
      <c r="T2" s="1081"/>
      <c r="U2" s="1081"/>
      <c r="V2" s="1081"/>
      <c r="W2" s="1081"/>
      <c r="X2" s="1081"/>
      <c r="Y2" s="1081"/>
    </row>
    <row r="3" customHeight="1" spans="1:25">
      <c r="A3" s="1082">
        <f>IFERROR(__xludf.DUMMYFUNCTION("""COMPUTED_VALUE"""),1)</f>
        <v>1</v>
      </c>
      <c r="B3" s="1075">
        <f>IFERROR(__xludf.DUMMYFUNCTION("""COMPUTED_VALUE"""),2)</f>
        <v>2</v>
      </c>
      <c r="C3" s="1076">
        <f>IFERROR(__xludf.DUMMYFUNCTION("""COMPUTED_VALUE"""),3)</f>
        <v>3</v>
      </c>
      <c r="D3" s="1076">
        <f>IFERROR(__xludf.DUMMYFUNCTION("""COMPUTED_VALUE"""),4)</f>
        <v>4</v>
      </c>
      <c r="E3" s="1083">
        <f>IFERROR(__xludf.DUMMYFUNCTION("""COMPUTED_VALUE"""),5)</f>
        <v>5</v>
      </c>
      <c r="F3" s="1076">
        <f>IFERROR(__xludf.DUMMYFUNCTION("""COMPUTED_VALUE"""),6)</f>
        <v>6</v>
      </c>
      <c r="G3" s="1076">
        <f>IFERROR(__xludf.DUMMYFUNCTION("""COMPUTED_VALUE"""),7)</f>
        <v>7</v>
      </c>
      <c r="H3" s="23">
        <f>IFERROR(__xludf.DUMMYFUNCTION("""COMPUTED_VALUE"""),8)</f>
        <v>8</v>
      </c>
      <c r="I3" s="1076">
        <f>IFERROR(__xludf.DUMMYFUNCTION("""COMPUTED_VALUE"""),9)</f>
        <v>9</v>
      </c>
      <c r="J3" s="1076">
        <f>IFERROR(__xludf.DUMMYFUNCTION("""COMPUTED_VALUE"""),10)</f>
        <v>10</v>
      </c>
      <c r="K3" s="1076">
        <f>IFERROR(__xludf.DUMMYFUNCTION("""COMPUTED_VALUE"""),11)</f>
        <v>11</v>
      </c>
      <c r="L3" s="1076">
        <f>IFERROR(__xludf.DUMMYFUNCTION("""COMPUTED_VALUE"""),12)</f>
        <v>12</v>
      </c>
    </row>
    <row r="4" customHeight="1" spans="1:25">
      <c r="A4" s="1082" t="str">
        <f>IFERROR(__xludf.DUMMYFUNCTION("""COMPUTED_VALUE"""),"CHT-MĐA-001")</f>
        <v>CHT-MĐA-001</v>
      </c>
      <c r="B4" s="1075" t="str">
        <f>IFERROR(__xludf.DUMMYFUNCTION("""COMPUTED_VALUE"""),"Máy đào KOBELCO bánh xích gàu 1.2m3")</f>
        <v>Máy đào KOBELCO bánh xích gàu 1.2m3</v>
      </c>
      <c r="C4" s="1076" t="str">
        <f>IFERROR(__xludf.DUMMYFUNCTION("""COMPUTED_VALUE"""),"CGTC DP")</f>
        <v>CGTC DP</v>
      </c>
      <c r="D4" s="1076" t="str">
        <f>IFERROR(__xludf.DUMMYFUNCTION("""COMPUTED_VALUE"""),"KOBELCO")</f>
        <v>KOBELCO</v>
      </c>
      <c r="E4" s="356" t="str">
        <f>IFERROR(__xludf.DUMMYFUNCTION("""COMPUTED_VALUE"""),"NHẬT BẢN")</f>
        <v>NHẬT BẢN</v>
      </c>
      <c r="F4" s="1076">
        <f>IFERROR(__xludf.DUMMYFUNCTION("""COMPUTED_VALUE"""),2019)</f>
        <v>2019</v>
      </c>
      <c r="G4" s="1076" t="str">
        <f>IFERROR(__xludf.DUMMYFUNCTION("""COMPUTED_VALUE"""),"SK200-08")</f>
        <v>SK200-08</v>
      </c>
      <c r="H4" s="23" t="str">
        <f>IFERROR(__xludf.DUMMYFUNCTION("""COMPUTED_VALUE"""),"170HP")</f>
        <v>170HP</v>
      </c>
      <c r="I4" s="1076" t="str">
        <f>IFERROR(__xludf.DUMMYFUNCTION("""COMPUTED_VALUE"""),"LQ16-10073 ")</f>
        <v>LQ16-10073 </v>
      </c>
      <c r="J4" s="1076" t="str">
        <f>IFERROR(__xludf.DUMMYFUNCTION("""COMPUTED_VALUE"""),"R0033333")</f>
        <v>R0033333</v>
      </c>
      <c r="K4" s="1076">
        <f>IFERROR(__xludf.DUMMYFUNCTION("""COMPUTED_VALUE"""),17)</f>
        <v>17</v>
      </c>
      <c r="L4" s="1076" t="str">
        <f>IFERROR(__xludf.DUMMYFUNCTION("""COMPUTED_VALUE"""),"KLH")</f>
        <v>KLH</v>
      </c>
    </row>
    <row r="5" customHeight="1" spans="1:25">
      <c r="A5" s="1082" t="str">
        <f>IFERROR(__xludf.DUMMYFUNCTION("""COMPUTED_VALUE"""),"CHT-MĐA-002")</f>
        <v>CHT-MĐA-002</v>
      </c>
      <c r="B5" s="1075" t="str">
        <f>IFERROR(__xludf.DUMMYFUNCTION("""COMPUTED_VALUE"""),"Máy đào SH210 bánh xích gàu 0.9m3")</f>
        <v>Máy đào SH210 bánh xích gàu 0.9m3</v>
      </c>
      <c r="C5" s="1076" t="str">
        <f>IFERROR(__xludf.DUMMYFUNCTION("""COMPUTED_VALUE"""),"CGTC DP")</f>
        <v>CGTC DP</v>
      </c>
      <c r="D5" s="1076" t="str">
        <f>IFERROR(__xludf.DUMMYFUNCTION("""COMPUTED_VALUE"""),"SUMITOMO")</f>
        <v>SUMITOMO</v>
      </c>
      <c r="E5" s="356" t="str">
        <f>IFERROR(__xludf.DUMMYFUNCTION("""COMPUTED_VALUE"""),"NHẬT BẢN")</f>
        <v>NHẬT BẢN</v>
      </c>
      <c r="F5" s="1076">
        <f>IFERROR(__xludf.DUMMYFUNCTION("""COMPUTED_VALUE"""),1993)</f>
        <v>1993</v>
      </c>
      <c r="G5" s="1076" t="str">
        <f>IFERROR(__xludf.DUMMYFUNCTION("""COMPUTED_VALUE"""),"SH210")</f>
        <v>SH210</v>
      </c>
      <c r="H5" s="23" t="str">
        <f>IFERROR(__xludf.DUMMYFUNCTION("""COMPUTED_VALUE"""),"156HP")</f>
        <v>156HP</v>
      </c>
      <c r="I5" s="1076" t="str">
        <f>IFERROR(__xludf.DUMMYFUNCTION("""COMPUTED_VALUE"""),"STN210T6P00BH2390")</f>
        <v>STN210T6P00BH2390</v>
      </c>
      <c r="J5" s="1076" t="str">
        <f>IFERROR(__xludf.DUMMYFUNCTION("""COMPUTED_VALUE"""),"CCN")</f>
        <v>CCN</v>
      </c>
      <c r="K5" s="1076">
        <f>IFERROR(__xludf.DUMMYFUNCTION("""COMPUTED_VALUE"""),13)</f>
        <v>13</v>
      </c>
      <c r="L5" s="1076" t="str">
        <f>IFERROR(__xludf.DUMMYFUNCTION("""COMPUTED_VALUE"""),"KLH")</f>
        <v>KLH</v>
      </c>
    </row>
    <row r="6" customHeight="1" spans="1:25">
      <c r="A6" s="1082" t="str">
        <f>IFERROR(__xludf.DUMMYFUNCTION("""COMPUTED_VALUE"""),"CHT-MĐA-003")</f>
        <v>CHT-MĐA-003</v>
      </c>
      <c r="B6" s="1075" t="str">
        <f>IFERROR(__xludf.DUMMYFUNCTION("""COMPUTED_VALUE"""),"Máy đào DX140W bánh lốp gàu 0.7m3")</f>
        <v>Máy đào DX140W bánh lốp gàu 0.7m3</v>
      </c>
      <c r="C6" s="1076" t="str">
        <f>IFERROR(__xludf.DUMMYFUNCTION("""COMPUTED_VALUE"""),"CGTC DP")</f>
        <v>CGTC DP</v>
      </c>
      <c r="D6" s="1076" t="str">
        <f>IFERROR(__xludf.DUMMYFUNCTION("""COMPUTED_VALUE"""),"DOOSAN")</f>
        <v>DOOSAN</v>
      </c>
      <c r="E6" s="356" t="str">
        <f>IFERROR(__xludf.DUMMYFUNCTION("""COMPUTED_VALUE"""),"HÀN QUỐC")</f>
        <v>HÀN QUỐC</v>
      </c>
      <c r="F6" s="1076">
        <f>IFERROR(__xludf.DUMMYFUNCTION("""COMPUTED_VALUE"""),2019)</f>
        <v>2019</v>
      </c>
      <c r="G6" s="1076" t="str">
        <f>IFERROR(__xludf.DUMMYFUNCTION("""COMPUTED_VALUE"""),"DX140W")</f>
        <v>DX140W</v>
      </c>
      <c r="H6" s="23" t="str">
        <f>IFERROR(__xludf.DUMMYFUNCTION("""COMPUTED_VALUE"""),"133HP")</f>
        <v>133HP</v>
      </c>
      <c r="I6" s="1076" t="str">
        <f>IFERROR(__xludf.DUMMYFUNCTION("""COMPUTED_VALUE"""),"DHKCEWAAVK5008713")</f>
        <v>DHKCEWAAVK5008713</v>
      </c>
      <c r="J6" s="1076" t="str">
        <f>IFERROR(__xludf.DUMMYFUNCTION("""COMPUTED_VALUE"""),"CCN")</f>
        <v>CCN</v>
      </c>
      <c r="K6" s="1076">
        <f>IFERROR(__xludf.DUMMYFUNCTION("""COMPUTED_VALUE"""),10)</f>
        <v>10</v>
      </c>
      <c r="L6" s="1076" t="str">
        <f>IFERROR(__xludf.DUMMYFUNCTION("""COMPUTED_VALUE"""),"KLH")</f>
        <v>KLH</v>
      </c>
    </row>
    <row r="7" customHeight="1" spans="1:25">
      <c r="A7" s="1082" t="str">
        <f>IFERROR(__xludf.DUMMYFUNCTION("""COMPUTED_VALUE"""),"CHT-MĐA-004")</f>
        <v>CHT-MĐA-004</v>
      </c>
      <c r="B7" s="1075" t="str">
        <f>IFERROR(__xludf.DUMMYFUNCTION("""COMPUTED_VALUE"""),"Máy đào DX140W bánh lốp gàu 0.7m3")</f>
        <v>Máy đào DX140W bánh lốp gàu 0.7m3</v>
      </c>
      <c r="C7" s="1076" t="str">
        <f>IFERROR(__xludf.DUMMYFUNCTION("""COMPUTED_VALUE"""),"CGTC DP")</f>
        <v>CGTC DP</v>
      </c>
      <c r="D7" s="1076" t="str">
        <f>IFERROR(__xludf.DUMMYFUNCTION("""COMPUTED_VALUE"""),"DOOSAN")</f>
        <v>DOOSAN</v>
      </c>
      <c r="E7" s="356" t="str">
        <f>IFERROR(__xludf.DUMMYFUNCTION("""COMPUTED_VALUE"""),"HÀN QUỐC")</f>
        <v>HÀN QUỐC</v>
      </c>
      <c r="F7" s="1076">
        <f>IFERROR(__xludf.DUMMYFUNCTION("""COMPUTED_VALUE"""),2018)</f>
        <v>2018</v>
      </c>
      <c r="G7" s="1076" t="str">
        <f>IFERROR(__xludf.DUMMYFUNCTION("""COMPUTED_VALUE"""),"DX140W")</f>
        <v>DX140W</v>
      </c>
      <c r="H7" s="23" t="str">
        <f>IFERROR(__xludf.DUMMYFUNCTION("""COMPUTED_VALUE"""),"133HP")</f>
        <v>133HP</v>
      </c>
      <c r="I7" s="1076" t="str">
        <f>IFERROR(__xludf.DUMMYFUNCTION("""COMPUTED_VALUE"""),"DHKCEWAAEK5008652")</f>
        <v>DHKCEWAAEK5008652</v>
      </c>
      <c r="J7" s="1076" t="str">
        <f>IFERROR(__xludf.DUMMYFUNCTION("""COMPUTED_VALUE"""),"CCN")</f>
        <v>CCN</v>
      </c>
      <c r="K7" s="1076">
        <f>IFERROR(__xludf.DUMMYFUNCTION("""COMPUTED_VALUE"""),10)</f>
        <v>10</v>
      </c>
      <c r="L7" s="1076" t="str">
        <f>IFERROR(__xludf.DUMMYFUNCTION("""COMPUTED_VALUE"""),"KLH")</f>
        <v>KLH</v>
      </c>
    </row>
    <row r="8" customHeight="1" spans="1:25">
      <c r="A8" s="1082" t="str">
        <f>IFERROR(__xludf.DUMMYFUNCTION("""COMPUTED_VALUE"""),"CHT-MĐA-044")</f>
        <v>CHT-MĐA-044</v>
      </c>
      <c r="B8" s="1075" t="str">
        <f>IFERROR(__xludf.DUMMYFUNCTION("""COMPUTED_VALUE"""),"Máy đào SH210 bánh xích gàu 0.9m3")</f>
        <v>Máy đào SH210 bánh xích gàu 0.9m3</v>
      </c>
      <c r="C8" s="1076" t="str">
        <f>IFERROR(__xludf.DUMMYFUNCTION("""COMPUTED_VALUE"""),"CGTC DP")</f>
        <v>CGTC DP</v>
      </c>
      <c r="D8" s="1076" t="str">
        <f>IFERROR(__xludf.DUMMYFUNCTION("""COMPUTED_VALUE"""),"SUMITOMO")</f>
        <v>SUMITOMO</v>
      </c>
      <c r="E8" s="356" t="str">
        <f>IFERROR(__xludf.DUMMYFUNCTION("""COMPUTED_VALUE"""),"NHẬT BẢN")</f>
        <v>NHẬT BẢN</v>
      </c>
      <c r="F8" s="1076">
        <f>IFERROR(__xludf.DUMMYFUNCTION("""COMPUTED_VALUE"""),2020)</f>
        <v>2020</v>
      </c>
      <c r="G8" s="1076" t="str">
        <f>IFERROR(__xludf.DUMMYFUNCTION("""COMPUTED_VALUE"""),"SH210-6")</f>
        <v>SH210-6</v>
      </c>
      <c r="H8" s="23" t="str">
        <f>IFERROR(__xludf.DUMMYFUNCTION("""COMPUTED_VALUE"""),"160HP")</f>
        <v>160HP</v>
      </c>
      <c r="I8" s="1076" t="str">
        <f>IFERROR(__xludf.DUMMYFUNCTION("""COMPUTED_VALUE"""),"STN210T6P00BH2695")</f>
        <v>STN210T6P00BH2695</v>
      </c>
      <c r="J8" s="1076" t="str">
        <f>IFERROR(__xludf.DUMMYFUNCTION("""COMPUTED_VALUE"""),"801502")</f>
        <v>801502</v>
      </c>
      <c r="K8" s="1076">
        <f>IFERROR(__xludf.DUMMYFUNCTION("""COMPUTED_VALUE"""),13)</f>
        <v>13</v>
      </c>
      <c r="L8" s="1076" t="str">
        <f>IFERROR(__xludf.DUMMYFUNCTION("""COMPUTED_VALUE"""),"KLH")</f>
        <v>KLH</v>
      </c>
    </row>
    <row r="9" customHeight="1" spans="1:25">
      <c r="A9" s="1082" t="str">
        <f>IFERROR(__xludf.DUMMYFUNCTION("""COMPUTED_VALUE"""),"CHT-MĐA-045")</f>
        <v>CHT-MĐA-045</v>
      </c>
      <c r="B9" s="1075" t="str">
        <f>IFERROR(__xludf.DUMMYFUNCTION("""COMPUTED_VALUE"""),"Máy đào SH130 bánh xích gàu 0.5m3")</f>
        <v>Máy đào SH130 bánh xích gàu 0.5m3</v>
      </c>
      <c r="C9" s="1076" t="str">
        <f>IFERROR(__xludf.DUMMYFUNCTION("""COMPUTED_VALUE"""),"CGTC DP")</f>
        <v>CGTC DP</v>
      </c>
      <c r="D9" s="1076" t="str">
        <f>IFERROR(__xludf.DUMMYFUNCTION("""COMPUTED_VALUE"""),"SUMITOMO")</f>
        <v>SUMITOMO</v>
      </c>
      <c r="E9" s="356" t="str">
        <f>IFERROR(__xludf.DUMMYFUNCTION("""COMPUTED_VALUE"""),"NHẬT BẢN")</f>
        <v>NHẬT BẢN</v>
      </c>
      <c r="F9" s="1076">
        <f>IFERROR(__xludf.DUMMYFUNCTION("""COMPUTED_VALUE"""),2021)</f>
        <v>2021</v>
      </c>
      <c r="G9" s="1076" t="str">
        <f>IFERROR(__xludf.DUMMYFUNCTION("""COMPUTED_VALUE"""),"SH130-6")</f>
        <v>SH130-6</v>
      </c>
      <c r="H9" s="23" t="str">
        <f>IFERROR(__xludf.DUMMYFUNCTION("""COMPUTED_VALUE"""),"96HP")</f>
        <v>96HP</v>
      </c>
      <c r="I9" s="1076" t="str">
        <f>IFERROR(__xludf.DUMMYFUNCTION("""COMPUTED_VALUE"""),"STN130T6A00BH1835")</f>
        <v>STN130T6A00BH1835</v>
      </c>
      <c r="J9" s="1076" t="str">
        <f>IFERROR(__xludf.DUMMYFUNCTION("""COMPUTED_VALUE"""),"6041164JJ1")</f>
        <v>6041164JJ1</v>
      </c>
      <c r="K9" s="1076">
        <f>IFERROR(__xludf.DUMMYFUNCTION("""COMPUTED_VALUE"""),12)</f>
        <v>12</v>
      </c>
      <c r="L9" s="1076" t="str">
        <f>IFERROR(__xludf.DUMMYFUNCTION("""COMPUTED_VALUE"""),"KLH")</f>
        <v>KLH</v>
      </c>
    </row>
    <row r="10" customHeight="1" spans="1:25">
      <c r="A10" s="1082" t="str">
        <f>IFERROR(__xludf.DUMMYFUNCTION("""COMPUTED_VALUE"""),"CHT-MUI-001")</f>
        <v>CHT-MUI-001</v>
      </c>
      <c r="B10" s="1075" t="str">
        <f>IFERROR(__xludf.DUMMYFUNCTION("""COMPUTED_VALUE"""),"Máy ủi KOMATSU D31PX")</f>
        <v>Máy ủi KOMATSU D31PX</v>
      </c>
      <c r="C10" s="1076" t="str">
        <f>IFERROR(__xludf.DUMMYFUNCTION("""COMPUTED_VALUE"""),"CGTC DP")</f>
        <v>CGTC DP</v>
      </c>
      <c r="D10" s="1076" t="str">
        <f>IFERROR(__xludf.DUMMYFUNCTION("""COMPUTED_VALUE"""),"KOMATSU")</f>
        <v>KOMATSU</v>
      </c>
      <c r="E10" s="356" t="str">
        <f>IFERROR(__xludf.DUMMYFUNCTION("""COMPUTED_VALUE"""),"NHẬT BẢN")</f>
        <v>NHẬT BẢN</v>
      </c>
      <c r="F10" s="1076">
        <f>IFERROR(__xludf.DUMMYFUNCTION("""COMPUTED_VALUE"""),1997)</f>
        <v>1997</v>
      </c>
      <c r="G10" s="1076" t="str">
        <f>IFERROR(__xludf.DUMMYFUNCTION("""COMPUTED_VALUE"""),"D31PX")</f>
        <v>D31PX</v>
      </c>
      <c r="H10" s="23" t="str">
        <f>IFERROR(__xludf.DUMMYFUNCTION("""COMPUTED_VALUE"""),"80HP")</f>
        <v>80HP</v>
      </c>
      <c r="I10" s="1076" t="str">
        <f>IFERROR(__xludf.DUMMYFUNCTION("""COMPUTED_VALUE"""),"KMT0D007V0151352")</f>
        <v>KMT0D007V0151352</v>
      </c>
      <c r="J10" s="1076" t="str">
        <f>IFERROR(__xludf.DUMMYFUNCTION("""COMPUTED_VALUE"""),"CCN")</f>
        <v>CCN</v>
      </c>
      <c r="K10" s="1076">
        <f>IFERROR(__xludf.DUMMYFUNCTION("""COMPUTED_VALUE"""),8)</f>
        <v>8</v>
      </c>
      <c r="L10" s="1076" t="str">
        <f>IFERROR(__xludf.DUMMYFUNCTION("""COMPUTED_VALUE"""),"KLH")</f>
        <v>KLH</v>
      </c>
    </row>
    <row r="11" customHeight="1" spans="1:25">
      <c r="A11" s="1082" t="str">
        <f>IFERROR(__xludf.DUMMYFUNCTION("""COMPUTED_VALUE"""),"CHT-MUI-002")</f>
        <v>CHT-MUI-002</v>
      </c>
      <c r="B11" s="1075" t="str">
        <f>IFERROR(__xludf.DUMMYFUNCTION("""COMPUTED_VALUE"""),"Máy ủi KOMATSU D60P-12E")</f>
        <v>Máy ủi KOMATSU D60P-12E</v>
      </c>
      <c r="C11" s="1076" t="str">
        <f>IFERROR(__xludf.DUMMYFUNCTION("""COMPUTED_VALUE"""),"CGTC DP")</f>
        <v>CGTC DP</v>
      </c>
      <c r="D11" s="1076" t="str">
        <f>IFERROR(__xludf.DUMMYFUNCTION("""COMPUTED_VALUE"""),"KOMATSU")</f>
        <v>KOMATSU</v>
      </c>
      <c r="E11" s="356" t="str">
        <f>IFERROR(__xludf.DUMMYFUNCTION("""COMPUTED_VALUE"""),"NHẬT BẢN")</f>
        <v>NHẬT BẢN</v>
      </c>
      <c r="F11" s="1076">
        <f>IFERROR(__xludf.DUMMYFUNCTION("""COMPUTED_VALUE"""),2002)</f>
        <v>2002</v>
      </c>
      <c r="G11" s="1076" t="str">
        <f>IFERROR(__xludf.DUMMYFUNCTION("""COMPUTED_VALUE"""),"D60P-12E")</f>
        <v>D60P-12E</v>
      </c>
      <c r="H11" s="23" t="str">
        <f>IFERROR(__xludf.DUMMYFUNCTION("""COMPUTED_VALUE"""),"190HP")</f>
        <v>190HP</v>
      </c>
      <c r="I11" s="1076" t="str">
        <f>IFERROR(__xludf.DUMMYFUNCTION("""COMPUTED_VALUE"""),"D60P1260763")</f>
        <v>D60P1260763</v>
      </c>
      <c r="J11" s="1076" t="str">
        <f>IFERROR(__xludf.DUMMYFUNCTION("""COMPUTED_VALUE"""),"CCN")</f>
        <v>CCN</v>
      </c>
      <c r="K11" s="1076">
        <f>IFERROR(__xludf.DUMMYFUNCTION("""COMPUTED_VALUE"""),14)</f>
        <v>14</v>
      </c>
      <c r="L11" s="1076" t="str">
        <f>IFERROR(__xludf.DUMMYFUNCTION("""COMPUTED_VALUE"""),"KLH")</f>
        <v>KLH</v>
      </c>
    </row>
    <row r="12" customHeight="1" spans="1:25">
      <c r="A12" s="1082" t="str">
        <f>IFERROR(__xludf.DUMMYFUNCTION("""COMPUTED_VALUE"""),"CHT-MUI-010")</f>
        <v>CHT-MUI-010</v>
      </c>
      <c r="B12" s="1075" t="str">
        <f>IFERROR(__xludf.DUMMYFUNCTION("""COMPUTED_VALUE"""),"Máy ủi KOMATSU D65P-12")</f>
        <v>Máy ủi KOMATSU D65P-12</v>
      </c>
      <c r="C12" s="1076" t="str">
        <f>IFERROR(__xludf.DUMMYFUNCTION("""COMPUTED_VALUE"""),"CGTC DP")</f>
        <v>CGTC DP</v>
      </c>
      <c r="D12" s="1076" t="str">
        <f>IFERROR(__xludf.DUMMYFUNCTION("""COMPUTED_VALUE"""),"KOMATSU")</f>
        <v>KOMATSU</v>
      </c>
      <c r="E12" s="356" t="str">
        <f>IFERROR(__xludf.DUMMYFUNCTION("""COMPUTED_VALUE"""),"NHẬT BẢN")</f>
        <v>NHẬT BẢN</v>
      </c>
      <c r="F12" s="1076">
        <f>IFERROR(__xludf.DUMMYFUNCTION("""COMPUTED_VALUE"""),1992)</f>
        <v>1992</v>
      </c>
      <c r="G12" s="1076" t="str">
        <f>IFERROR(__xludf.DUMMYFUNCTION("""COMPUTED_VALUE"""),"D65P-12")</f>
        <v>D65P-12</v>
      </c>
      <c r="H12" s="23" t="str">
        <f>IFERROR(__xludf.DUMMYFUNCTION("""COMPUTED_VALUE"""),"190HP")</f>
        <v>190HP</v>
      </c>
      <c r="I12" s="1076" t="str">
        <f>IFERROR(__xludf.DUMMYFUNCTION("""COMPUTED_VALUE"""),"D65P1260304")</f>
        <v>D65P1260304</v>
      </c>
      <c r="J12" s="1076" t="str">
        <f>IFERROR(__xludf.DUMMYFUNCTION("""COMPUTED_VALUE"""),"6D12554976")</f>
        <v>6D12554976</v>
      </c>
      <c r="K12" s="1076">
        <f>IFERROR(__xludf.DUMMYFUNCTION("""COMPUTED_VALUE"""),14)</f>
        <v>14</v>
      </c>
      <c r="L12" s="1076" t="str">
        <f>IFERROR(__xludf.DUMMYFUNCTION("""COMPUTED_VALUE"""),"KLH")</f>
        <v>KLH</v>
      </c>
    </row>
    <row r="13" customHeight="1" spans="1:25">
      <c r="A13" s="1082" t="str">
        <f>IFERROR(__xludf.DUMMYFUNCTION("""COMPUTED_VALUE"""),"CHT-MUI-013")</f>
        <v>CHT-MUI-013</v>
      </c>
      <c r="B13" s="1075" t="str">
        <f>IFERROR(__xludf.DUMMYFUNCTION("""COMPUTED_VALUE"""),"Máy ủi KOMATSU D60P-12E")</f>
        <v>Máy ủi KOMATSU D60P-12E</v>
      </c>
      <c r="C13" s="1076" t="str">
        <f>IFERROR(__xludf.DUMMYFUNCTION("""COMPUTED_VALUE"""),"CGTC DP")</f>
        <v>CGTC DP</v>
      </c>
      <c r="D13" s="1076" t="str">
        <f>IFERROR(__xludf.DUMMYFUNCTION("""COMPUTED_VALUE"""),"KOMATSU")</f>
        <v>KOMATSU</v>
      </c>
      <c r="E13" s="356" t="str">
        <f>IFERROR(__xludf.DUMMYFUNCTION("""COMPUTED_VALUE"""),"NHẬT BẢN")</f>
        <v>NHẬT BẢN</v>
      </c>
      <c r="F13" s="1076">
        <f>IFERROR(__xludf.DUMMYFUNCTION("""COMPUTED_VALUE"""),1994)</f>
        <v>1994</v>
      </c>
      <c r="G13" s="1076" t="str">
        <f>IFERROR(__xludf.DUMMYFUNCTION("""COMPUTED_VALUE"""),"D60P-12E")</f>
        <v>D60P-12E</v>
      </c>
      <c r="H13" s="23" t="str">
        <f>IFERROR(__xludf.DUMMYFUNCTION("""COMPUTED_VALUE"""),"190HP")</f>
        <v>190HP</v>
      </c>
      <c r="I13" s="1076" t="str">
        <f>IFERROR(__xludf.DUMMYFUNCTION("""COMPUTED_VALUE"""),"D60P1260928")</f>
        <v>D60P1260928</v>
      </c>
      <c r="J13" s="1076" t="str">
        <f>IFERROR(__xludf.DUMMYFUNCTION("""COMPUTED_VALUE"""),"6D12562174")</f>
        <v>6D12562174</v>
      </c>
      <c r="K13" s="1076">
        <f>IFERROR(__xludf.DUMMYFUNCTION("""COMPUTED_VALUE"""),14)</f>
        <v>14</v>
      </c>
      <c r="L13" s="1076" t="str">
        <f>IFERROR(__xludf.DUMMYFUNCTION("""COMPUTED_VALUE"""),"KLH")</f>
        <v>KLH</v>
      </c>
    </row>
    <row r="14" customHeight="1" spans="1:25">
      <c r="A14" s="1082" t="str">
        <f>IFERROR(__xludf.DUMMYFUNCTION("""COMPUTED_VALUE"""),"CHT-XTA-014")</f>
        <v>CHT-XTA-014</v>
      </c>
      <c r="B14" s="1075" t="str">
        <f>IFERROR(__xludf.DUMMYFUNCTION("""COMPUTED_VALUE"""),"Xe ben AUMAN GTL D300 E4")</f>
        <v>Xe ben AUMAN GTL D300 E4</v>
      </c>
      <c r="C14" s="1076" t="str">
        <f>IFERROR(__xludf.DUMMYFUNCTION("""COMPUTED_VALUE"""),"CGTC DP")</f>
        <v>CGTC DP</v>
      </c>
      <c r="D14" s="1076" t="str">
        <f>IFERROR(__xludf.DUMMYFUNCTION("""COMPUTED_VALUE"""),"THACO AUMAN")</f>
        <v>THACO AUMAN</v>
      </c>
      <c r="E14" s="356" t="str">
        <f>IFERROR(__xludf.DUMMYFUNCTION("""COMPUTED_VALUE"""),"VIỆT NAM")</f>
        <v>VIỆT NAM</v>
      </c>
      <c r="F14" s="1076">
        <f>IFERROR(__xludf.DUMMYFUNCTION("""COMPUTED_VALUE"""),2018)</f>
        <v>2018</v>
      </c>
      <c r="G14" s="1076" t="str">
        <f>IFERROR(__xludf.DUMMYFUNCTION("""COMPUTED_VALUE"""),"GTL D300E4")</f>
        <v>GTL D300E4</v>
      </c>
      <c r="H14" s="23" t="str">
        <f>IFERROR(__xludf.DUMMYFUNCTION("""COMPUTED_VALUE"""),"375HP")</f>
        <v>375HP</v>
      </c>
      <c r="I14" s="1076" t="str">
        <f>IFERROR(__xludf.DUMMYFUNCTION("""COMPUTED_VALUE"""),"RNHD30FWAJC078089")</f>
        <v>RNHD30FWAJC078089</v>
      </c>
      <c r="J14" s="1076" t="str">
        <f>IFERROR(__xludf.DUMMYFUNCTION("""COMPUTED_VALUE"""),"CCN")</f>
        <v>CCN</v>
      </c>
      <c r="K14" s="1076">
        <f>IFERROR(__xludf.DUMMYFUNCTION("""COMPUTED_VALUE"""),1.41)</f>
        <v>1.41</v>
      </c>
      <c r="L14" s="1076" t="str">
        <f>IFERROR(__xludf.DUMMYFUNCTION("""COMPUTED_VALUE"""),"KLH")</f>
        <v>KLH</v>
      </c>
    </row>
    <row r="15" customHeight="1" spans="1:25">
      <c r="A15" s="1082" t="str">
        <f>IFERROR(__xludf.DUMMYFUNCTION("""COMPUTED_VALUE"""),"CHT-XTA-024")</f>
        <v>CHT-XTA-024</v>
      </c>
      <c r="B15" s="1075" t="str">
        <f>IFERROR(__xludf.DUMMYFUNCTION("""COMPUTED_VALUE"""),"Xe ben HOWO TXD600")</f>
        <v>Xe ben HOWO TXD600</v>
      </c>
      <c r="C15" s="1076" t="str">
        <f>IFERROR(__xludf.DUMMYFUNCTION("""COMPUTED_VALUE"""),"CGTC DP")</f>
        <v>CGTC DP</v>
      </c>
      <c r="D15" s="1076" t="str">
        <f>IFERROR(__xludf.DUMMYFUNCTION("""COMPUTED_VALUE"""),"HOWO")</f>
        <v>HOWO</v>
      </c>
      <c r="E15" s="356" t="str">
        <f>IFERROR(__xludf.DUMMYFUNCTION("""COMPUTED_VALUE"""),"VIỆT NAM")</f>
        <v>VIỆT NAM</v>
      </c>
      <c r="F15" s="1076">
        <f>IFERROR(__xludf.DUMMYFUNCTION("""COMPUTED_VALUE"""),2022)</f>
        <v>2022</v>
      </c>
      <c r="G15" s="1076" t="str">
        <f>IFERROR(__xludf.DUMMYFUNCTION("""COMPUTED_VALUE"""),"HOWO TX D600")</f>
        <v>HOWO TX D600</v>
      </c>
      <c r="H15" s="23" t="str">
        <f>IFERROR(__xludf.DUMMYFUNCTION("""COMPUTED_VALUE"""),"380HP")</f>
        <v>380HP</v>
      </c>
      <c r="I15" s="1076" t="str">
        <f>IFERROR(__xludf.DUMMYFUNCTION("""COMPUTED_VALUE"""),"RNHD24CWANT057806")</f>
        <v>RNHD24CWANT057806</v>
      </c>
      <c r="J15" s="1076" t="str">
        <f>IFERROR(__xludf.DUMMYFUNCTION("""COMPUTED_VALUE"""),"1622B008395")</f>
        <v>1622B008395</v>
      </c>
      <c r="K15" s="1076">
        <f>IFERROR(__xludf.DUMMYFUNCTION("""COMPUTED_VALUE"""),1.34)</f>
        <v>1.34</v>
      </c>
      <c r="L15" s="1076" t="str">
        <f>IFERROR(__xludf.DUMMYFUNCTION("""COMPUTED_VALUE"""),"KLH")</f>
        <v>KLH</v>
      </c>
    </row>
    <row r="16" customHeight="1" spans="1:25">
      <c r="A16" s="1082" t="str">
        <f>IFERROR(__xludf.DUMMYFUNCTION("""COMPUTED_VALUE"""),"CHT-XTA-025")</f>
        <v>CHT-XTA-025</v>
      </c>
      <c r="B16" s="1075" t="str">
        <f>IFERROR(__xludf.DUMMYFUNCTION("""COMPUTED_VALUE"""),"Xe ben HOWO TXD600")</f>
        <v>Xe ben HOWO TXD600</v>
      </c>
      <c r="C16" s="1076" t="str">
        <f>IFERROR(__xludf.DUMMYFUNCTION("""COMPUTED_VALUE"""),"CGTC DP")</f>
        <v>CGTC DP</v>
      </c>
      <c r="D16" s="1076" t="str">
        <f>IFERROR(__xludf.DUMMYFUNCTION("""COMPUTED_VALUE"""),"HOWO")</f>
        <v>HOWO</v>
      </c>
      <c r="E16" s="356" t="str">
        <f>IFERROR(__xludf.DUMMYFUNCTION("""COMPUTED_VALUE"""),"VIỆT NAM")</f>
        <v>VIỆT NAM</v>
      </c>
      <c r="F16" s="1076">
        <f>IFERROR(__xludf.DUMMYFUNCTION("""COMPUTED_VALUE"""),2022)</f>
        <v>2022</v>
      </c>
      <c r="G16" s="1076" t="str">
        <f>IFERROR(__xludf.DUMMYFUNCTION("""COMPUTED_VALUE"""),"HOWO TX D600")</f>
        <v>HOWO TX D600</v>
      </c>
      <c r="H16" s="23" t="str">
        <f>IFERROR(__xludf.DUMMYFUNCTION("""COMPUTED_VALUE"""),"380HP")</f>
        <v>380HP</v>
      </c>
      <c r="I16" s="1076" t="str">
        <f>IFERROR(__xludf.DUMMYFUNCTION("""COMPUTED_VALUE"""),"RNHD24CWANT057808")</f>
        <v>RNHD24CWANT057808</v>
      </c>
      <c r="J16" s="1076" t="str">
        <f>IFERROR(__xludf.DUMMYFUNCTION("""COMPUTED_VALUE"""),"1622B008391")</f>
        <v>1622B008391</v>
      </c>
      <c r="K16" s="1076">
        <f>IFERROR(__xludf.DUMMYFUNCTION("""COMPUTED_VALUE"""),1.34)</f>
        <v>1.34</v>
      </c>
      <c r="L16" s="1076" t="str">
        <f>IFERROR(__xludf.DUMMYFUNCTION("""COMPUTED_VALUE"""),"KLH")</f>
        <v>KLH</v>
      </c>
    </row>
    <row r="17" customHeight="1" spans="1:12">
      <c r="A17" s="1082" t="str">
        <f>IFERROR(__xludf.DUMMYFUNCTION("""COMPUTED_VALUE"""),"CHT-XTA-026")</f>
        <v>CHT-XTA-026</v>
      </c>
      <c r="B17" s="1075" t="str">
        <f>IFERROR(__xludf.DUMMYFUNCTION("""COMPUTED_VALUE"""),"Xe ben HOWO TXD600")</f>
        <v>Xe ben HOWO TXD600</v>
      </c>
      <c r="C17" s="1076" t="str">
        <f>IFERROR(__xludf.DUMMYFUNCTION("""COMPUTED_VALUE"""),"CGTC DP")</f>
        <v>CGTC DP</v>
      </c>
      <c r="D17" s="1076" t="str">
        <f>IFERROR(__xludf.DUMMYFUNCTION("""COMPUTED_VALUE"""),"HOWO")</f>
        <v>HOWO</v>
      </c>
      <c r="E17" s="356" t="str">
        <f>IFERROR(__xludf.DUMMYFUNCTION("""COMPUTED_VALUE"""),"VIỆT NAM")</f>
        <v>VIỆT NAM</v>
      </c>
      <c r="F17" s="1076">
        <f>IFERROR(__xludf.DUMMYFUNCTION("""COMPUTED_VALUE"""),2022)</f>
        <v>2022</v>
      </c>
      <c r="G17" s="1076" t="str">
        <f>IFERROR(__xludf.DUMMYFUNCTION("""COMPUTED_VALUE"""),"HOWO TX D600")</f>
        <v>HOWO TX D600</v>
      </c>
      <c r="H17" s="23" t="str">
        <f>IFERROR(__xludf.DUMMYFUNCTION("""COMPUTED_VALUE"""),"380HP")</f>
        <v>380HP</v>
      </c>
      <c r="I17" s="1076" t="str">
        <f>IFERROR(__xludf.DUMMYFUNCTION("""COMPUTED_VALUE"""),"RNHD24CWANT057810")</f>
        <v>RNHD24CWANT057810</v>
      </c>
      <c r="J17" s="1076" t="str">
        <f>IFERROR(__xludf.DUMMYFUNCTION("""COMPUTED_VALUE"""),"1622B008389")</f>
        <v>1622B008389</v>
      </c>
      <c r="K17" s="1076">
        <f>IFERROR(__xludf.DUMMYFUNCTION("""COMPUTED_VALUE"""),0.9)</f>
        <v>0.9</v>
      </c>
      <c r="L17" s="1076" t="str">
        <f>IFERROR(__xludf.DUMMYFUNCTION("""COMPUTED_VALUE"""),"KLH")</f>
        <v>KLH</v>
      </c>
    </row>
    <row r="18" customHeight="1" spans="1:12">
      <c r="A18" s="1082" t="str">
        <f>IFERROR(__xludf.DUMMYFUNCTION("""COMPUTED_VALUE"""),"CHT-XTA-036")</f>
        <v>CHT-XTA-036</v>
      </c>
      <c r="B18" s="1075" t="str">
        <f>IFERROR(__xludf.DUMMYFUNCTION("""COMPUTED_VALUE"""),"Xe ben HOWO TXD600")</f>
        <v>Xe ben HOWO TXD600</v>
      </c>
      <c r="C18" s="1076" t="str">
        <f>IFERROR(__xludf.DUMMYFUNCTION("""COMPUTED_VALUE"""),"CGTC DP")</f>
        <v>CGTC DP</v>
      </c>
      <c r="D18" s="1076" t="str">
        <f>IFERROR(__xludf.DUMMYFUNCTION("""COMPUTED_VALUE"""),"HOWO")</f>
        <v>HOWO</v>
      </c>
      <c r="E18" s="356" t="str">
        <f>IFERROR(__xludf.DUMMYFUNCTION("""COMPUTED_VALUE"""),"VIỆT NAM")</f>
        <v>VIỆT NAM</v>
      </c>
      <c r="F18" s="1076">
        <f>IFERROR(__xludf.DUMMYFUNCTION("""COMPUTED_VALUE"""),2022)</f>
        <v>2022</v>
      </c>
      <c r="G18" s="1076" t="str">
        <f>IFERROR(__xludf.DUMMYFUNCTION("""COMPUTED_VALUE"""),"HOWO TX D600")</f>
        <v>HOWO TX D600</v>
      </c>
      <c r="H18" s="410" t="str">
        <f>IFERROR(__xludf.DUMMYFUNCTION("""COMPUTED_VALUE"""),"380HP")</f>
        <v>380HP</v>
      </c>
      <c r="I18" s="1076" t="str">
        <f>IFERROR(__xludf.DUMMYFUNCTION("""COMPUTED_VALUE"""),"RNHD24CWART000069")</f>
        <v>RNHD24CWART000069</v>
      </c>
      <c r="J18" s="1076" t="str">
        <f>IFERROR(__xludf.DUMMYFUNCTION("""COMPUTED_VALUE"""),"1622F024360")</f>
        <v>1622F024360</v>
      </c>
      <c r="K18" s="1076">
        <f>IFERROR(__xludf.DUMMYFUNCTION("""COMPUTED_VALUE"""),1.34)</f>
        <v>1.34</v>
      </c>
      <c r="L18" s="1076" t="str">
        <f>IFERROR(__xludf.DUMMYFUNCTION("""COMPUTED_VALUE"""),"KLH")</f>
        <v>KLH</v>
      </c>
    </row>
    <row r="19" customHeight="1" spans="1:12">
      <c r="A19" s="1082" t="str">
        <f>IFERROR(__xludf.DUMMYFUNCTION("""COMPUTED_VALUE"""),"CHT-XLU-001")</f>
        <v>CHT-XLU-001</v>
      </c>
      <c r="B19" s="1075" t="str">
        <f>IFERROR(__xludf.DUMMYFUNCTION("""COMPUTED_VALUE"""),"Xe lu rung SV521DH 11 tấn")</f>
        <v>Xe lu rung SV521DH 11 tấn</v>
      </c>
      <c r="C19" s="1076" t="str">
        <f>IFERROR(__xludf.DUMMYFUNCTION("""COMPUTED_VALUE"""),"CGTC DP")</f>
        <v>CGTC DP</v>
      </c>
      <c r="D19" s="1076" t="str">
        <f>IFERROR(__xludf.DUMMYFUNCTION("""COMPUTED_VALUE"""),"SAKAI")</f>
        <v>SAKAI</v>
      </c>
      <c r="E19" s="356" t="str">
        <f>IFERROR(__xludf.DUMMYFUNCTION("""COMPUTED_VALUE"""),"NHẬT BẢN")</f>
        <v>NHẬT BẢN</v>
      </c>
      <c r="F19" s="1076">
        <f>IFERROR(__xludf.DUMMYFUNCTION("""COMPUTED_VALUE"""),2006)</f>
        <v>2006</v>
      </c>
      <c r="G19" s="1076" t="str">
        <f>IFERROR(__xludf.DUMMYFUNCTION("""COMPUTED_VALUE"""),"SV521DH")</f>
        <v>SV521DH</v>
      </c>
      <c r="H19" s="23" t="str">
        <f>IFERROR(__xludf.DUMMYFUNCTION("""COMPUTED_VALUE"""),"112HP")</f>
        <v>112HP</v>
      </c>
      <c r="I19" s="1076" t="str">
        <f>IFERROR(__xludf.DUMMYFUNCTION("""COMPUTED_VALUE"""),"2SV6610202")</f>
        <v>2SV6610202</v>
      </c>
      <c r="J19" s="1076" t="str">
        <f>IFERROR(__xludf.DUMMYFUNCTION("""COMPUTED_VALUE"""),"CCN")</f>
        <v>CCN</v>
      </c>
      <c r="K19" s="1076">
        <f>IFERROR(__xludf.DUMMYFUNCTION("""COMPUTED_VALUE"""),7)</f>
        <v>7</v>
      </c>
      <c r="L19" s="1076" t="str">
        <f>IFERROR(__xludf.DUMMYFUNCTION("""COMPUTED_VALUE"""),"KLH")</f>
        <v>KLH</v>
      </c>
    </row>
    <row r="20" customHeight="1" spans="1:12">
      <c r="A20" s="1082" t="str">
        <f>IFERROR(__xludf.DUMMYFUNCTION("""COMPUTED_VALUE"""),"CHT-XLU-002")</f>
        <v>CHT-XLU-002</v>
      </c>
      <c r="B20" s="1075" t="str">
        <f>IFERROR(__xludf.DUMMYFUNCTION("""COMPUTED_VALUE"""),"Xe lu tĩnh R2 10 tấn")</f>
        <v>Xe lu tĩnh R2 10 tấn</v>
      </c>
      <c r="C20" s="1076" t="str">
        <f>IFERROR(__xludf.DUMMYFUNCTION("""COMPUTED_VALUE"""),"CGTC DP")</f>
        <v>CGTC DP</v>
      </c>
      <c r="D20" s="1076" t="str">
        <f>IFERROR(__xludf.DUMMYFUNCTION("""COMPUTED_VALUE"""),"SAKAI")</f>
        <v>SAKAI</v>
      </c>
      <c r="E20" s="356" t="str">
        <f>IFERROR(__xludf.DUMMYFUNCTION("""COMPUTED_VALUE"""),"NHẬT BẢN")</f>
        <v>NHẬT BẢN</v>
      </c>
      <c r="F20" s="1076">
        <f>IFERROR(__xludf.DUMMYFUNCTION("""COMPUTED_VALUE"""),1990)</f>
        <v>1990</v>
      </c>
      <c r="G20" s="1076" t="str">
        <f>IFERROR(__xludf.DUMMYFUNCTION("""COMPUTED_VALUE"""),"R2S")</f>
        <v>R2S</v>
      </c>
      <c r="H20" s="23" t="str">
        <f>IFERROR(__xludf.DUMMYFUNCTION("""COMPUTED_VALUE"""),"74HP")</f>
        <v>74HP</v>
      </c>
      <c r="I20" s="1076" t="str">
        <f>IFERROR(__xludf.DUMMYFUNCTION("""COMPUTED_VALUE"""),"RR211446")</f>
        <v>RR211446</v>
      </c>
      <c r="J20" s="1076" t="str">
        <f>IFERROR(__xludf.DUMMYFUNCTION("""COMPUTED_VALUE"""),"W04DA26254")</f>
        <v>W04DA26254</v>
      </c>
      <c r="K20" s="1076">
        <f>IFERROR(__xludf.DUMMYFUNCTION("""COMPUTED_VALUE"""),4)</f>
        <v>4</v>
      </c>
      <c r="L20" s="1076" t="str">
        <f>IFERROR(__xludf.DUMMYFUNCTION("""COMPUTED_VALUE"""),"KLH")</f>
        <v>KLH</v>
      </c>
    </row>
    <row r="21" customHeight="1" spans="1:12">
      <c r="A21" s="1082" t="str">
        <f>IFERROR(__xludf.DUMMYFUNCTION("""COMPUTED_VALUE"""),"CHT-XBO-005")</f>
        <v>CHT-XBO-005</v>
      </c>
      <c r="B21" s="1075" t="str">
        <f>IFERROR(__xludf.DUMMYFUNCTION("""COMPUTED_VALUE"""),"Xe bồn AUMAN ETX D300 (tưới đường)")</f>
        <v>Xe bồn AUMAN ETX D300 (tưới đường)</v>
      </c>
      <c r="C21" s="1076" t="str">
        <f>IFERROR(__xludf.DUMMYFUNCTION("""COMPUTED_VALUE"""),"CGTC DP")</f>
        <v>CGTC DP</v>
      </c>
      <c r="D21" s="1076" t="str">
        <f>IFERROR(__xludf.DUMMYFUNCTION("""COMPUTED_VALUE"""),"AUMAN")</f>
        <v>AUMAN</v>
      </c>
      <c r="E21" s="356" t="str">
        <f>IFERROR(__xludf.DUMMYFUNCTION("""COMPUTED_VALUE"""),"VIỆT NAM")</f>
        <v>VIỆT NAM</v>
      </c>
      <c r="F21" s="1076">
        <f>IFERROR(__xludf.DUMMYFUNCTION("""COMPUTED_VALUE"""),2022)</f>
        <v>2022</v>
      </c>
      <c r="G21" s="1076" t="str">
        <f>IFERROR(__xludf.DUMMYFUNCTION("""COMPUTED_VALUE""")," ETX D300")</f>
        <v> ETX D300</v>
      </c>
      <c r="H21" s="23" t="str">
        <f>IFERROR(__xludf.DUMMYFUNCTION("""COMPUTED_VALUE"""),"330HP")</f>
        <v>330HP</v>
      </c>
      <c r="I21" s="1076" t="str">
        <f>IFERROR(__xludf.DUMMYFUNCTION("""COMPUTED_VALUE"""),"RNHD30FWANT067862")</f>
        <v>RNHD30FWANT067862</v>
      </c>
      <c r="J21" s="1076" t="str">
        <f>IFERROR(__xludf.DUMMYFUNCTION("""COMPUTED_VALUE"""),"WP10336E431622D017084")</f>
        <v>WP10336E431622D017084</v>
      </c>
      <c r="K21" s="1076">
        <f>IFERROR(__xludf.DUMMYFUNCTION("""COMPUTED_VALUE"""),0.6)</f>
        <v>0.6</v>
      </c>
      <c r="L21" s="1076" t="str">
        <f>IFERROR(__xludf.DUMMYFUNCTION("""COMPUTED_VALUE"""),"KLH")</f>
        <v>KLH</v>
      </c>
    </row>
    <row r="22" customHeight="1" spans="1:12">
      <c r="A22" s="1082" t="str">
        <f>IFERROR(__xludf.DUMMYFUNCTION("""COMPUTED_VALUE"""),"CHT-BAN-003")</f>
        <v>CHT-BAN-003</v>
      </c>
      <c r="B22" s="1075" t="str">
        <f>IFERROR(__xludf.DUMMYFUNCTION("""COMPUTED_VALUE"""),"Xe ban KOMATSU GD605A")</f>
        <v>Xe ban KOMATSU GD605A</v>
      </c>
      <c r="C22" s="1076" t="str">
        <f>IFERROR(__xludf.DUMMYFUNCTION("""COMPUTED_VALUE"""),"CGTC DP")</f>
        <v>CGTC DP</v>
      </c>
      <c r="D22" s="1076" t="str">
        <f>IFERROR(__xludf.DUMMYFUNCTION("""COMPUTED_VALUE"""),"KOMATSU")</f>
        <v>KOMATSU</v>
      </c>
      <c r="E22" s="356" t="str">
        <f>IFERROR(__xludf.DUMMYFUNCTION("""COMPUTED_VALUE"""),"NHẬT BẢN")</f>
        <v>NHẬT BẢN</v>
      </c>
      <c r="F22" s="1076">
        <f>IFERROR(__xludf.DUMMYFUNCTION("""COMPUTED_VALUE"""),1994)</f>
        <v>1994</v>
      </c>
      <c r="G22" s="1076" t="str">
        <f>IFERROR(__xludf.DUMMYFUNCTION("""COMPUTED_VALUE"""),"GD605A-5")</f>
        <v>GD605A-5</v>
      </c>
      <c r="H22" s="23" t="str">
        <f>IFERROR(__xludf.DUMMYFUNCTION("""COMPUTED_VALUE"""),"145HP")</f>
        <v>145HP</v>
      </c>
      <c r="I22" s="1076" t="str">
        <f>IFERROR(__xludf.DUMMYFUNCTION("""COMPUTED_VALUE"""),"G605A54617")</f>
        <v>G605A54617</v>
      </c>
      <c r="J22" s="1076" t="str">
        <f>IFERROR(__xludf.DUMMYFUNCTION("""COMPUTED_VALUE"""),"6D12561378")</f>
        <v>6D12561378</v>
      </c>
      <c r="K22" s="1076">
        <f>IFERROR(__xludf.DUMMYFUNCTION("""COMPUTED_VALUE"""),9.3)</f>
        <v>9.3</v>
      </c>
      <c r="L22" s="1076" t="str">
        <f>IFERROR(__xludf.DUMMYFUNCTION("""COMPUTED_VALUE"""),"KLH")</f>
        <v>KLH</v>
      </c>
    </row>
    <row r="23" customHeight="1" spans="1:12">
      <c r="A23" s="1082" t="str">
        <f>IFERROR(__xludf.DUMMYFUNCTION("""COMPUTED_VALUE"""),"CHT-BAN-001")</f>
        <v>CHT-BAN-001</v>
      </c>
      <c r="B23" s="1075" t="str">
        <f>IFERROR(__xludf.DUMMYFUNCTION("""COMPUTED_VALUE"""),"Xe ban Komatsu 705A")</f>
        <v>Xe ban Komatsu 705A</v>
      </c>
      <c r="C23" s="1076" t="str">
        <f>IFERROR(__xludf.DUMMYFUNCTION("""COMPUTED_VALUE"""),"CGTC DP")</f>
        <v>CGTC DP</v>
      </c>
      <c r="D23" s="1076" t="str">
        <f>IFERROR(__xludf.DUMMYFUNCTION("""COMPUTED_VALUE"""),"KOMATSU")</f>
        <v>KOMATSU</v>
      </c>
      <c r="E23" s="356" t="str">
        <f>IFERROR(__xludf.DUMMYFUNCTION("""COMPUTED_VALUE"""),"NHẬT BẢN")</f>
        <v>NHẬT BẢN</v>
      </c>
      <c r="F23" s="1076">
        <f>IFERROR(__xludf.DUMMYFUNCTION("""COMPUTED_VALUE"""),2018)</f>
        <v>2018</v>
      </c>
      <c r="G23" s="1076" t="str">
        <f>IFERROR(__xludf.DUMMYFUNCTION("""COMPUTED_VALUE"""),"705A")</f>
        <v>705A</v>
      </c>
      <c r="H23" s="23" t="str">
        <f>IFERROR(__xludf.DUMMYFUNCTION("""COMPUTED_VALUE"""),"200HP")</f>
        <v>200HP</v>
      </c>
      <c r="I23" s="1076" t="str">
        <f>IFERROR(__xludf.DUMMYFUNCTION("""COMPUTED_VALUE"""),"G70A4A11006")</f>
        <v>G70A4A11006</v>
      </c>
      <c r="J23" s="1076" t="str">
        <f>IFERROR(__xludf.DUMMYFUNCTION("""COMPUTED_VALUE"""),"CCN")</f>
        <v>CCN</v>
      </c>
      <c r="K23" s="1076">
        <f>IFERROR(__xludf.DUMMYFUNCTION("""COMPUTED_VALUE"""),14.8)</f>
        <v>14.8</v>
      </c>
      <c r="L23" s="1076" t="str">
        <f>IFERROR(__xludf.DUMMYFUNCTION("""COMPUTED_VALUE"""),"KLH")</f>
        <v>KLH</v>
      </c>
    </row>
    <row r="24" customHeight="1" spans="1:12">
      <c r="A24" s="1082" t="str">
        <f>IFERROR(__xludf.DUMMYFUNCTION("""COMPUTED_VALUE"""),"CHT-MĐA-058")</f>
        <v>CHT-MĐA-058</v>
      </c>
      <c r="B24" s="1075" t="str">
        <f>IFERROR(__xludf.DUMMYFUNCTION("""COMPUTED_VALUE"""),"Máy đào KOMATSU bánh xích gàu 0.3m3")</f>
        <v>Máy đào KOMATSU bánh xích gàu 0.3m3</v>
      </c>
      <c r="C24" s="1076" t="str">
        <f>IFERROR(__xludf.DUMMYFUNCTION("""COMPUTED_VALUE"""),"CGTC DP")</f>
        <v>CGTC DP</v>
      </c>
      <c r="D24" s="1076" t="str">
        <f>IFERROR(__xludf.DUMMYFUNCTION("""COMPUTED_VALUE"""),"KOMATSU")</f>
        <v>KOMATSU</v>
      </c>
      <c r="E24" s="356" t="str">
        <f>IFERROR(__xludf.DUMMYFUNCTION("""COMPUTED_VALUE"""),"NHẬT BẢN")</f>
        <v>NHẬT BẢN</v>
      </c>
      <c r="F24" s="1076">
        <f>IFERROR(__xludf.DUMMYFUNCTION("""COMPUTED_VALUE"""),2015)</f>
        <v>2015</v>
      </c>
      <c r="G24" s="1076" t="str">
        <f>IFERROR(__xludf.DUMMYFUNCTION("""COMPUTED_VALUE"""),"PC40MR-3")</f>
        <v>PC40MR-3</v>
      </c>
      <c r="H24" s="23" t="str">
        <f>IFERROR(__xludf.DUMMYFUNCTION("""COMPUTED_VALUE"""),"40HP")</f>
        <v>40HP</v>
      </c>
      <c r="I24" s="1076" t="str">
        <f>IFERROR(__xludf.DUMMYFUNCTION("""COMPUTED_VALUE"""),"KMTPC212VFE019356")</f>
        <v>KMTPC212VFE019356</v>
      </c>
      <c r="J24" s="1076" t="str">
        <f>IFERROR(__xludf.DUMMYFUNCTION("""COMPUTED_VALUE"""),"38204")</f>
        <v>38204</v>
      </c>
      <c r="K24" s="1076">
        <f>IFERROR(__xludf.DUMMYFUNCTION("""COMPUTED_VALUE"""),4)</f>
        <v>4</v>
      </c>
      <c r="L24" s="1076" t="str">
        <f>IFERROR(__xludf.DUMMYFUNCTION("""COMPUTED_VALUE"""),"KLH")</f>
        <v>KLH</v>
      </c>
    </row>
    <row r="25" customHeight="1" spans="1:12">
      <c r="A25" s="1082" t="str">
        <f>IFERROR(__xludf.DUMMYFUNCTION("""COMPUTED_VALUE"""),"CHT-MĐA-059")</f>
        <v>CHT-MĐA-059</v>
      </c>
      <c r="B25" s="1075" t="str">
        <f>IFERROR(__xludf.DUMMYFUNCTION("""COMPUTED_VALUE"""),"Máy đào KOMATSU bánh xích gàu 0.3m3")</f>
        <v>Máy đào KOMATSU bánh xích gàu 0.3m3</v>
      </c>
      <c r="C25" s="1076" t="str">
        <f>IFERROR(__xludf.DUMMYFUNCTION("""COMPUTED_VALUE"""),"CGTC DP")</f>
        <v>CGTC DP</v>
      </c>
      <c r="D25" s="1076" t="str">
        <f>IFERROR(__xludf.DUMMYFUNCTION("""COMPUTED_VALUE"""),"KOMATSU")</f>
        <v>KOMATSU</v>
      </c>
      <c r="E25" s="356" t="str">
        <f>IFERROR(__xludf.DUMMYFUNCTION("""COMPUTED_VALUE"""),"NHẬT BẢN")</f>
        <v>NHẬT BẢN</v>
      </c>
      <c r="F25" s="1076">
        <f>IFERROR(__xludf.DUMMYFUNCTION("""COMPUTED_VALUE"""),2012)</f>
        <v>2012</v>
      </c>
      <c r="G25" s="1076" t="str">
        <f>IFERROR(__xludf.DUMMYFUNCTION("""COMPUTED_VALUE"""),"PC40MR-3")</f>
        <v>PC40MR-3</v>
      </c>
      <c r="H25" s="23" t="str">
        <f>IFERROR(__xludf.DUMMYFUNCTION("""COMPUTED_VALUE"""),"40HP")</f>
        <v>40HP</v>
      </c>
      <c r="I25" s="1076" t="str">
        <f>IFERROR(__xludf.DUMMYFUNCTION("""COMPUTED_VALUE"""),"KMTPC203L04019805")</f>
        <v>KMTPC203L04019805</v>
      </c>
      <c r="J25" s="1076" t="str">
        <f>IFERROR(__xludf.DUMMYFUNCTION("""COMPUTED_VALUE"""),"25866")</f>
        <v>25866</v>
      </c>
      <c r="K25" s="1076">
        <f>IFERROR(__xludf.DUMMYFUNCTION("""COMPUTED_VALUE"""),4)</f>
        <v>4</v>
      </c>
      <c r="L25" s="1076" t="str">
        <f>IFERROR(__xludf.DUMMYFUNCTION("""COMPUTED_VALUE"""),"KLH")</f>
        <v>KLH</v>
      </c>
    </row>
    <row r="26" customHeight="1" spans="1:12">
      <c r="A26" s="1082" t="str">
        <f>IFERROR(__xludf.DUMMYFUNCTION("""COMPUTED_VALUE"""),"CHT-MĐA-060")</f>
        <v>CHT-MĐA-060</v>
      </c>
      <c r="B26" s="1075" t="str">
        <f>IFERROR(__xludf.DUMMYFUNCTION("""COMPUTED_VALUE"""),"Máy đào KOMATSU bánh xích gàu 0.3m3")</f>
        <v>Máy đào KOMATSU bánh xích gàu 0.3m3</v>
      </c>
      <c r="C26" s="1076" t="str">
        <f>IFERROR(__xludf.DUMMYFUNCTION("""COMPUTED_VALUE"""),"CGTC DP")</f>
        <v>CGTC DP</v>
      </c>
      <c r="D26" s="1076" t="str">
        <f>IFERROR(__xludf.DUMMYFUNCTION("""COMPUTED_VALUE"""),"KOMATSU")</f>
        <v>KOMATSU</v>
      </c>
      <c r="E26" s="356" t="str">
        <f>IFERROR(__xludf.DUMMYFUNCTION("""COMPUTED_VALUE"""),"NHẬT BẢN")</f>
        <v>NHẬT BẢN</v>
      </c>
      <c r="F26" s="1076">
        <f>IFERROR(__xludf.DUMMYFUNCTION("""COMPUTED_VALUE"""),2015)</f>
        <v>2015</v>
      </c>
      <c r="G26" s="1076" t="str">
        <f>IFERROR(__xludf.DUMMYFUNCTION("""COMPUTED_VALUE"""),"PC40MR-3")</f>
        <v>PC40MR-3</v>
      </c>
      <c r="H26" s="23" t="str">
        <f>IFERROR(__xludf.DUMMYFUNCTION("""COMPUTED_VALUE"""),"40HP")</f>
        <v>40HP</v>
      </c>
      <c r="I26" s="1076" t="str">
        <f>IFERROR(__xludf.DUMMYFUNCTION("""COMPUTED_VALUE"""),"KMTPC203AFE023466")</f>
        <v>KMTPC203AFE023466</v>
      </c>
      <c r="J26" s="1076" t="str">
        <f>IFERROR(__xludf.DUMMYFUNCTION("""COMPUTED_VALUE"""),"36975")</f>
        <v>36975</v>
      </c>
      <c r="K26" s="1076">
        <f>IFERROR(__xludf.DUMMYFUNCTION("""COMPUTED_VALUE"""),4)</f>
        <v>4</v>
      </c>
      <c r="L26" s="1076" t="str">
        <f>IFERROR(__xludf.DUMMYFUNCTION("""COMPUTED_VALUE"""),"KLH")</f>
        <v>KLH</v>
      </c>
    </row>
    <row r="27" customHeight="1" spans="1:12">
      <c r="A27" s="1082" t="str">
        <f>IFERROR(__xludf.DUMMYFUNCTION("""COMPUTED_VALUE"""),"CHT-MĐA-062")</f>
        <v>CHT-MĐA-062</v>
      </c>
      <c r="B27" s="1075" t="str">
        <f>IFERROR(__xludf.DUMMYFUNCTION("""COMPUTED_VALUE"""),"Máy đào KOMATSU bánh xích gàu 0.3m3")</f>
        <v>Máy đào KOMATSU bánh xích gàu 0.3m3</v>
      </c>
      <c r="C27" s="1076" t="str">
        <f>IFERROR(__xludf.DUMMYFUNCTION("""COMPUTED_VALUE"""),"CGTC DP")</f>
        <v>CGTC DP</v>
      </c>
      <c r="D27" s="1076" t="str">
        <f>IFERROR(__xludf.DUMMYFUNCTION("""COMPUTED_VALUE"""),"KOMATSU")</f>
        <v>KOMATSU</v>
      </c>
      <c r="E27" s="356" t="str">
        <f>IFERROR(__xludf.DUMMYFUNCTION("""COMPUTED_VALUE"""),"NHẬT BẢN")</f>
        <v>NHẬT BẢN</v>
      </c>
      <c r="F27" s="1076">
        <f>IFERROR(__xludf.DUMMYFUNCTION("""COMPUTED_VALUE"""),2017)</f>
        <v>2017</v>
      </c>
      <c r="G27" s="1076" t="str">
        <f>IFERROR(__xludf.DUMMYFUNCTION("""COMPUTED_VALUE"""),"PC55MR-3")</f>
        <v>PC55MR-3</v>
      </c>
      <c r="H27" s="23" t="str">
        <f>IFERROR(__xludf.DUMMYFUNCTION("""COMPUTED_VALUE"""),"40HP")</f>
        <v>40HP</v>
      </c>
      <c r="I27" s="1076" t="str">
        <f>IFERROR(__xludf.DUMMYFUNCTION("""COMPUTED_VALUE"""),"020242")</f>
        <v>020242</v>
      </c>
      <c r="J27" s="1076" t="str">
        <f>IFERROR(__xludf.DUMMYFUNCTION("""COMPUTED_VALUE"""),"10671")</f>
        <v>10671</v>
      </c>
      <c r="K27" s="1076">
        <f>IFERROR(__xludf.DUMMYFUNCTION("""COMPUTED_VALUE"""),4)</f>
        <v>4</v>
      </c>
      <c r="L27" s="1076" t="str">
        <f>IFERROR(__xludf.DUMMYFUNCTION("""COMPUTED_VALUE"""),"KLH")</f>
        <v>KLH</v>
      </c>
    </row>
    <row r="28" customHeight="1" spans="1:12">
      <c r="A28" s="1082" t="str">
        <f>IFERROR(__xludf.DUMMYFUNCTION("""COMPUTED_VALUE"""),"CHT-MĐA-063")</f>
        <v>CHT-MĐA-063</v>
      </c>
      <c r="B28" s="1075" t="str">
        <f>IFERROR(__xludf.DUMMYFUNCTION("""COMPUTED_VALUE"""),"Máy đào KOMATSU bánh xích gàu 0.3m3")</f>
        <v>Máy đào KOMATSU bánh xích gàu 0.3m3</v>
      </c>
      <c r="C28" s="1076" t="str">
        <f>IFERROR(__xludf.DUMMYFUNCTION("""COMPUTED_VALUE"""),"CGTC DP")</f>
        <v>CGTC DP</v>
      </c>
      <c r="D28" s="1076" t="str">
        <f>IFERROR(__xludf.DUMMYFUNCTION("""COMPUTED_VALUE"""),"KOMATSU")</f>
        <v>KOMATSU</v>
      </c>
      <c r="E28" s="356" t="str">
        <f>IFERROR(__xludf.DUMMYFUNCTION("""COMPUTED_VALUE"""),"NHẬT BẢN")</f>
        <v>NHẬT BẢN</v>
      </c>
      <c r="F28" s="1076">
        <f>IFERROR(__xludf.DUMMYFUNCTION("""COMPUTED_VALUE"""),2015)</f>
        <v>2015</v>
      </c>
      <c r="G28" s="1076" t="str">
        <f>IFERROR(__xludf.DUMMYFUNCTION("""COMPUTED_VALUE"""),"PC55MR-3")</f>
        <v>PC55MR-3</v>
      </c>
      <c r="H28" s="23" t="str">
        <f>IFERROR(__xludf.DUMMYFUNCTION("""COMPUTED_VALUE"""),"40HP")</f>
        <v>40HP</v>
      </c>
      <c r="I28" s="1076" t="str">
        <f>IFERROR(__xludf.DUMMYFUNCTION("""COMPUTED_VALUE"""),"019139")</f>
        <v>019139</v>
      </c>
      <c r="J28" s="1076" t="str">
        <f>IFERROR(__xludf.DUMMYFUNCTION("""COMPUTED_VALUE"""),"36094")</f>
        <v>36094</v>
      </c>
      <c r="K28" s="1076">
        <f>IFERROR(__xludf.DUMMYFUNCTION("""COMPUTED_VALUE"""),4)</f>
        <v>4</v>
      </c>
      <c r="L28" s="1076" t="str">
        <f>IFERROR(__xludf.DUMMYFUNCTION("""COMPUTED_VALUE"""),"KLH")</f>
        <v>KLH</v>
      </c>
    </row>
    <row r="29" customHeight="1" spans="1:12">
      <c r="A29" s="1082" t="str">
        <f>IFERROR(__xludf.DUMMYFUNCTION("""COMPUTED_VALUE"""),"CHT-MĐA-047")</f>
        <v>CHT-MĐA-047</v>
      </c>
      <c r="B29" s="1075" t="str">
        <f>IFERROR(__xludf.DUMMYFUNCTION("""COMPUTED_VALUE"""),"Máy đào KOMATSU bánh xích gàu 0.3m3")</f>
        <v>Máy đào KOMATSU bánh xích gàu 0.3m3</v>
      </c>
      <c r="C29" s="1076" t="str">
        <f>IFERROR(__xludf.DUMMYFUNCTION("""COMPUTED_VALUE"""),"CGTC DP")</f>
        <v>CGTC DP</v>
      </c>
      <c r="D29" s="1076" t="str">
        <f>IFERROR(__xludf.DUMMYFUNCTION("""COMPUTED_VALUE"""),"KOMATSU")</f>
        <v>KOMATSU</v>
      </c>
      <c r="E29" s="356" t="str">
        <f>IFERROR(__xludf.DUMMYFUNCTION("""COMPUTED_VALUE"""),"NHẬT BẢN")</f>
        <v>NHẬT BẢN</v>
      </c>
      <c r="F29" s="1076">
        <f>IFERROR(__xludf.DUMMYFUNCTION("""COMPUTED_VALUE"""),2013)</f>
        <v>2013</v>
      </c>
      <c r="G29" s="1076" t="str">
        <f>IFERROR(__xludf.DUMMYFUNCTION("""COMPUTED_VALUE"""),"PC40MR-3")</f>
        <v>PC40MR-3</v>
      </c>
      <c r="H29" s="23" t="str">
        <f>IFERROR(__xludf.DUMMYFUNCTION("""COMPUTED_VALUE"""),"40HP")</f>
        <v>40HP</v>
      </c>
      <c r="I29" s="1076" t="str">
        <f>IFERROR(__xludf.DUMMYFUNCTION("""COMPUTED_VALUE"""),"KMTPC203V04021194")</f>
        <v>KMTPC203V04021194</v>
      </c>
      <c r="J29" s="1076" t="str">
        <f>IFERROR(__xludf.DUMMYFUNCTION("""COMPUTED_VALUE"""),"25275")</f>
        <v>25275</v>
      </c>
      <c r="K29" s="1076">
        <f>IFERROR(__xludf.DUMMYFUNCTION("""COMPUTED_VALUE"""),4)</f>
        <v>4</v>
      </c>
      <c r="L29" s="1076" t="str">
        <f>IFERROR(__xludf.DUMMYFUNCTION("""COMPUTED_VALUE"""),"KLH")</f>
        <v>KLH</v>
      </c>
    </row>
    <row r="30" customHeight="1" spans="1:12">
      <c r="A30" s="1082" t="str">
        <f>IFERROR(__xludf.DUMMYFUNCTION("""COMPUTED_VALUE"""),"CHT-MĐA-048")</f>
        <v>CHT-MĐA-048</v>
      </c>
      <c r="B30" s="1075" t="str">
        <f>IFERROR(__xludf.DUMMYFUNCTION("""COMPUTED_VALUE"""),"Máy đào KOMATSU bánh xích gàu 0.3m3")</f>
        <v>Máy đào KOMATSU bánh xích gàu 0.3m3</v>
      </c>
      <c r="C30" s="1076" t="str">
        <f>IFERROR(__xludf.DUMMYFUNCTION("""COMPUTED_VALUE"""),"CGTC DP")</f>
        <v>CGTC DP</v>
      </c>
      <c r="D30" s="1076" t="str">
        <f>IFERROR(__xludf.DUMMYFUNCTION("""COMPUTED_VALUE"""),"KOMATSU")</f>
        <v>KOMATSU</v>
      </c>
      <c r="E30" s="356" t="str">
        <f>IFERROR(__xludf.DUMMYFUNCTION("""COMPUTED_VALUE"""),"NHẬT BẢN")</f>
        <v>NHẬT BẢN</v>
      </c>
      <c r="F30" s="1076">
        <f>IFERROR(__xludf.DUMMYFUNCTION("""COMPUTED_VALUE"""),2013)</f>
        <v>2013</v>
      </c>
      <c r="G30" s="1076" t="str">
        <f>IFERROR(__xludf.DUMMYFUNCTION("""COMPUTED_VALUE"""),"PC40MR-3")</f>
        <v>PC40MR-3</v>
      </c>
      <c r="H30" s="410" t="str">
        <f>IFERROR(__xludf.DUMMYFUNCTION("""COMPUTED_VALUE"""),"40HP")</f>
        <v>40HP</v>
      </c>
      <c r="I30" s="1076" t="str">
        <f>IFERROR(__xludf.DUMMYFUNCTION("""COMPUTED_VALUE"""),"KMTPC203K04021031")</f>
        <v>KMTPC203K04021031</v>
      </c>
      <c r="J30" s="1076" t="str">
        <f>IFERROR(__xludf.DUMMYFUNCTION("""COMPUTED_VALUE"""),"27440")</f>
        <v>27440</v>
      </c>
      <c r="K30" s="1076">
        <f>IFERROR(__xludf.DUMMYFUNCTION("""COMPUTED_VALUE"""),4)</f>
        <v>4</v>
      </c>
      <c r="L30" s="1076" t="str">
        <f>IFERROR(__xludf.DUMMYFUNCTION("""COMPUTED_VALUE"""),"KLH")</f>
        <v>KLH</v>
      </c>
    </row>
    <row r="31" customHeight="1" spans="1:12">
      <c r="A31" s="1082" t="str">
        <f>IFERROR(__xludf.DUMMYFUNCTION("""COMPUTED_VALUE"""),"CHT-MĐA-078")</f>
        <v>CHT-MĐA-078</v>
      </c>
      <c r="B31" s="1075" t="str">
        <f>IFERROR(__xludf.DUMMYFUNCTION("""COMPUTED_VALUE"""),"Máy đào KOMATSU bánh xích gàu 0.3m3")</f>
        <v>Máy đào KOMATSU bánh xích gàu 0.3m3</v>
      </c>
      <c r="C31" s="1076" t="str">
        <f>IFERROR(__xludf.DUMMYFUNCTION("""COMPUTED_VALUE"""),"CGTC DP")</f>
        <v>CGTC DP</v>
      </c>
      <c r="D31" s="1076" t="str">
        <f>IFERROR(__xludf.DUMMYFUNCTION("""COMPUTED_VALUE"""),"KOMATSU")</f>
        <v>KOMATSU</v>
      </c>
      <c r="E31" s="356" t="str">
        <f>IFERROR(__xludf.DUMMYFUNCTION("""COMPUTED_VALUE"""),"NHẬT BẢN")</f>
        <v>NHẬT BẢN</v>
      </c>
      <c r="F31" s="1076">
        <f>IFERROR(__xludf.DUMMYFUNCTION("""COMPUTED_VALUE"""),2015)</f>
        <v>2015</v>
      </c>
      <c r="G31" s="1076" t="str">
        <f>IFERROR(__xludf.DUMMYFUNCTION("""COMPUTED_VALUE"""),"PC40MR-3-AC")</f>
        <v>PC40MR-3-AC</v>
      </c>
      <c r="H31" s="23" t="str">
        <f>IFERROR(__xludf.DUMMYFUNCTION("""COMPUTED_VALUE"""),"40HP")</f>
        <v>40HP</v>
      </c>
      <c r="I31" s="1076" t="str">
        <f>IFERROR(__xludf.DUMMYFUNCTION("""COMPUTED_VALUE"""),"KMTPC203KFE023963")</f>
        <v>KMTPC203KFE023963</v>
      </c>
      <c r="J31" s="1076" t="str">
        <f>IFERROR(__xludf.DUMMYFUNCTION("""COMPUTED_VALUE"""),"KACJ4722")</f>
        <v>KACJ4722</v>
      </c>
      <c r="K31" s="1076">
        <f>IFERROR(__xludf.DUMMYFUNCTION("""COMPUTED_VALUE"""),4)</f>
        <v>4</v>
      </c>
      <c r="L31" s="1076" t="str">
        <f>IFERROR(__xludf.DUMMYFUNCTION("""COMPUTED_VALUE"""),"KLH")</f>
        <v>KLH</v>
      </c>
    </row>
    <row r="32" customHeight="1" spans="1:12">
      <c r="A32" s="1082" t="str">
        <f>IFERROR(__xludf.DUMMYFUNCTION("""COMPUTED_VALUE"""),"CHT-XLU-008")</f>
        <v>CHT-XLU-008</v>
      </c>
      <c r="B32" s="1075" t="str">
        <f>IFERROR(__xludf.DUMMYFUNCTION("""COMPUTED_VALUE"""),"Xe lu rung DYNAPAC 5 tấn")</f>
        <v>Xe lu rung DYNAPAC 5 tấn</v>
      </c>
      <c r="C32" s="1076" t="str">
        <f>IFERROR(__xludf.DUMMYFUNCTION("""COMPUTED_VALUE"""),"CGTC DP")</f>
        <v>CGTC DP</v>
      </c>
      <c r="D32" s="1076" t="str">
        <f>IFERROR(__xludf.DUMMYFUNCTION("""COMPUTED_VALUE"""),"HITACHI")</f>
        <v>HITACHI</v>
      </c>
      <c r="E32" s="356" t="str">
        <f>IFERROR(__xludf.DUMMYFUNCTION("""COMPUTED_VALUE"""),"TRUNG QUỐC")</f>
        <v>TRUNG QUỐC</v>
      </c>
      <c r="F32" s="1076">
        <f>IFERROR(__xludf.DUMMYFUNCTION("""COMPUTED_VALUE"""),2005)</f>
        <v>2005</v>
      </c>
      <c r="G32" s="1076" t="str">
        <f>IFERROR(__xludf.DUMMYFUNCTION("""COMPUTED_VALUE"""),"CC150C-2")</f>
        <v>CC150C-2</v>
      </c>
      <c r="H32" s="23" t="str">
        <f>IFERROR(__xludf.DUMMYFUNCTION("""COMPUTED_VALUE"""),"75HP")</f>
        <v>75HP</v>
      </c>
      <c r="I32" s="1076" t="str">
        <f>IFERROR(__xludf.DUMMYFUNCTION("""COMPUTED_VALUE"""),"HCM8U600L00010288")</f>
        <v>HCM8U600L00010288</v>
      </c>
      <c r="J32" s="1076" t="str">
        <f>IFERROR(__xludf.DUMMYFUNCTION("""COMPUTED_VALUE"""),"3LD2-453954")</f>
        <v>3LD2-453954</v>
      </c>
      <c r="K32" s="1076">
        <f>IFERROR(__xludf.DUMMYFUNCTION("""COMPUTED_VALUE"""),2.6)</f>
        <v>2.6</v>
      </c>
      <c r="L32" s="1076" t="str">
        <f>IFERROR(__xludf.DUMMYFUNCTION("""COMPUTED_VALUE"""),"KLH")</f>
        <v>KLH</v>
      </c>
    </row>
    <row r="33" customHeight="1" spans="1:12">
      <c r="A33" s="1082" t="str">
        <f>IFERROR(__xludf.DUMMYFUNCTION("""COMPUTED_VALUE"""),"CHT-MĐA-066")</f>
        <v>CHT-MĐA-066</v>
      </c>
      <c r="B33" s="1075" t="str">
        <f>IFERROR(__xludf.DUMMYFUNCTION("""COMPUTED_VALUE"""),"Máy đào KOMATSU bánh lốp gàu 0.7m3")</f>
        <v>Máy đào KOMATSU bánh lốp gàu 0.7m3</v>
      </c>
      <c r="C33" s="1076" t="str">
        <f>IFERROR(__xludf.DUMMYFUNCTION("""COMPUTED_VALUE"""),"CGTC DP")</f>
        <v>CGTC DP</v>
      </c>
      <c r="D33" s="1076" t="str">
        <f>IFERROR(__xludf.DUMMYFUNCTION("""COMPUTED_VALUE"""),"KOMATSU")</f>
        <v>KOMATSU</v>
      </c>
      <c r="E33" s="356" t="str">
        <f>IFERROR(__xludf.DUMMYFUNCTION("""COMPUTED_VALUE"""),"ĐỨC")</f>
        <v>ĐỨC</v>
      </c>
      <c r="F33" s="1076">
        <f>IFERROR(__xludf.DUMMYFUNCTION("""COMPUTED_VALUE"""),2006)</f>
        <v>2006</v>
      </c>
      <c r="G33" s="1076" t="str">
        <f>IFERROR(__xludf.DUMMYFUNCTION("""COMPUTED_VALUE"""),"PW160-7")</f>
        <v>PW160-7</v>
      </c>
      <c r="H33" s="23" t="str">
        <f>IFERROR(__xludf.DUMMYFUNCTION("""COMPUTED_VALUE"""),"120HP")</f>
        <v>120HP</v>
      </c>
      <c r="I33" s="1076" t="str">
        <f>IFERROR(__xludf.DUMMYFUNCTION("""COMPUTED_VALUE"""),"KMTPW013T79H50346")</f>
        <v>KMTPW013T79H50346</v>
      </c>
      <c r="J33" s="1076" t="str">
        <f>IFERROR(__xludf.DUMMYFUNCTION("""COMPUTED_VALUE"""),"21721047")</f>
        <v>21721047</v>
      </c>
      <c r="K33" s="1076">
        <f>IFERROR(__xludf.DUMMYFUNCTION("""COMPUTED_VALUE"""),10)</f>
        <v>10</v>
      </c>
      <c r="L33" s="1076" t="str">
        <f>IFERROR(__xludf.DUMMYFUNCTION("""COMPUTED_VALUE"""),"KLH")</f>
        <v>KLH</v>
      </c>
    </row>
    <row r="34" customHeight="1" spans="1:12">
      <c r="A34" s="1082" t="str">
        <f>IFERROR(__xludf.DUMMYFUNCTION("""COMPUTED_VALUE"""),"CHT-MĐA-067")</f>
        <v>CHT-MĐA-067</v>
      </c>
      <c r="B34" s="1075" t="str">
        <f>IFERROR(__xludf.DUMMYFUNCTION("""COMPUTED_VALUE"""),"Máy đào KOMATSU bánh lốp gàu 0.8m3")</f>
        <v>Máy đào KOMATSU bánh lốp gàu 0.8m3</v>
      </c>
      <c r="C34" s="1076" t="str">
        <f>IFERROR(__xludf.DUMMYFUNCTION("""COMPUTED_VALUE"""),"CGTC DP")</f>
        <v>CGTC DP</v>
      </c>
      <c r="D34" s="1076" t="str">
        <f>IFERROR(__xludf.DUMMYFUNCTION("""COMPUTED_VALUE"""),"KOMATSU")</f>
        <v>KOMATSU</v>
      </c>
      <c r="E34" s="356" t="str">
        <f>IFERROR(__xludf.DUMMYFUNCTION("""COMPUTED_VALUE"""),"NHẬT BẢN")</f>
        <v>NHẬT BẢN</v>
      </c>
      <c r="F34" s="1076">
        <f>IFERROR(__xludf.DUMMYFUNCTION("""COMPUTED_VALUE"""),2012)</f>
        <v>2012</v>
      </c>
      <c r="G34" s="1076" t="str">
        <f>IFERROR(__xludf.DUMMYFUNCTION("""COMPUTED_VALUE"""),"PW200-7")</f>
        <v>PW200-7</v>
      </c>
      <c r="H34" s="23" t="str">
        <f>IFERROR(__xludf.DUMMYFUNCTION("""COMPUTED_VALUE"""),"150HP")</f>
        <v>150HP</v>
      </c>
      <c r="I34" s="1076" t="str">
        <f>IFERROR(__xludf.DUMMYFUNCTION("""COMPUTED_VALUE"""),"KMTPW015K79H50237")</f>
        <v>KMTPW015K79H50237</v>
      </c>
      <c r="J34" s="1076" t="str">
        <f>IFERROR(__xludf.DUMMYFUNCTION("""COMPUTED_VALUE"""),"21719691")</f>
        <v>21719691</v>
      </c>
      <c r="K34" s="1076">
        <f>IFERROR(__xludf.DUMMYFUNCTION("""COMPUTED_VALUE"""),12.5)</f>
        <v>12.5</v>
      </c>
      <c r="L34" s="1076" t="str">
        <f>IFERROR(__xludf.DUMMYFUNCTION("""COMPUTED_VALUE"""),"KLH")</f>
        <v>KLH</v>
      </c>
    </row>
    <row r="35" customHeight="1" spans="1:12">
      <c r="A35" s="1082" t="str">
        <f>IFERROR(__xludf.DUMMYFUNCTION("""COMPUTED_VALUE"""),"CHT-MĐA-072")</f>
        <v>CHT-MĐA-072</v>
      </c>
      <c r="B35" s="1075" t="str">
        <f>IFERROR(__xludf.DUMMYFUNCTION("""COMPUTED_VALUE"""),"Máy đào KOMATSU bánh xích gàu 0.8m3")</f>
        <v>Máy đào KOMATSU bánh xích gàu 0.8m3</v>
      </c>
      <c r="C35" s="1076" t="str">
        <f>IFERROR(__xludf.DUMMYFUNCTION("""COMPUTED_VALUE"""),"CGTC DP")</f>
        <v>CGTC DP</v>
      </c>
      <c r="D35" s="1076" t="str">
        <f>IFERROR(__xludf.DUMMYFUNCTION("""COMPUTED_VALUE"""),"KOMATSU")</f>
        <v>KOMATSU</v>
      </c>
      <c r="E35" s="356" t="str">
        <f>IFERROR(__xludf.DUMMYFUNCTION("""COMPUTED_VALUE"""),"NHẬT BẢN")</f>
        <v>NHẬT BẢN</v>
      </c>
      <c r="F35" s="1076">
        <f>IFERROR(__xludf.DUMMYFUNCTION("""COMPUTED_VALUE"""),2005)</f>
        <v>2005</v>
      </c>
      <c r="G35" s="1076" t="str">
        <f>IFERROR(__xludf.DUMMYFUNCTION("""COMPUTED_VALUE"""),"PC228US-3N0")</f>
        <v>PC228US-3N0</v>
      </c>
      <c r="H35" s="23" t="str">
        <f>IFERROR(__xludf.DUMMYFUNCTION("""COMPUTED_VALUE"""),"145HP")</f>
        <v>145HP</v>
      </c>
      <c r="I35" s="1076" t="str">
        <f>IFERROR(__xludf.DUMMYFUNCTION("""COMPUTED_VALUE"""),"KMTPC057E02032035")</f>
        <v>KMTPC057E02032035</v>
      </c>
      <c r="J35" s="1076" t="str">
        <f>IFERROR(__xludf.DUMMYFUNCTION("""COMPUTED_VALUE"""),"6D1022638264")</f>
        <v>6D1022638264</v>
      </c>
      <c r="K35" s="1076">
        <f>IFERROR(__xludf.DUMMYFUNCTION("""COMPUTED_VALUE"""),14)</f>
        <v>14</v>
      </c>
      <c r="L35" s="1076" t="str">
        <f>IFERROR(__xludf.DUMMYFUNCTION("""COMPUTED_VALUE"""),"KLH")</f>
        <v>KLH</v>
      </c>
    </row>
    <row r="36" customHeight="1" spans="1:12">
      <c r="A36" s="1082" t="str">
        <f>IFERROR(__xludf.DUMMYFUNCTION("""COMPUTED_VALUE"""),"CHT-MUI-011")</f>
        <v>CHT-MUI-011</v>
      </c>
      <c r="B36" s="1075" t="str">
        <f>IFERROR(__xludf.DUMMYFUNCTION("""COMPUTED_VALUE"""),"Máy ủi KOMATSU D31PX")</f>
        <v>Máy ủi KOMATSU D31PX</v>
      </c>
      <c r="C36" s="1076" t="str">
        <f>IFERROR(__xludf.DUMMYFUNCTION("""COMPUTED_VALUE"""),"CGTC DP")</f>
        <v>CGTC DP</v>
      </c>
      <c r="D36" s="1076" t="str">
        <f>IFERROR(__xludf.DUMMYFUNCTION("""COMPUTED_VALUE"""),"KOMATSU")</f>
        <v>KOMATSU</v>
      </c>
      <c r="E36" s="356" t="str">
        <f>IFERROR(__xludf.DUMMYFUNCTION("""COMPUTED_VALUE"""),"NHẬT BẢN")</f>
        <v>NHẬT BẢN</v>
      </c>
      <c r="F36" s="1076">
        <f>IFERROR(__xludf.DUMMYFUNCTION("""COMPUTED_VALUE"""),2003)</f>
        <v>2003</v>
      </c>
      <c r="G36" s="1076" t="str">
        <f>IFERROR(__xludf.DUMMYFUNCTION("""COMPUTED_VALUE"""),"D31PX-21")</f>
        <v>D31PX-21</v>
      </c>
      <c r="H36" s="23" t="str">
        <f>IFERROR(__xludf.DUMMYFUNCTION("""COMPUTED_VALUE"""),"76HP")</f>
        <v>76HP</v>
      </c>
      <c r="I36" s="1076" t="str">
        <f>IFERROR(__xludf.DUMMYFUNCTION("""COMPUTED_VALUE"""),"D31PX2150296")</f>
        <v>D31PX2150296</v>
      </c>
      <c r="J36" s="1076" t="str">
        <f>IFERROR(__xludf.DUMMYFUNCTION("""COMPUTED_VALUE"""),"4D10226319872")</f>
        <v>4D10226319872</v>
      </c>
      <c r="K36" s="1076">
        <f>IFERROR(__xludf.DUMMYFUNCTION("""COMPUTED_VALUE"""),8)</f>
        <v>8</v>
      </c>
      <c r="L36" s="1076" t="str">
        <f>IFERROR(__xludf.DUMMYFUNCTION("""COMPUTED_VALUE"""),"KLH")</f>
        <v>KLH</v>
      </c>
    </row>
    <row r="37" customHeight="1" spans="1:12">
      <c r="A37" s="1082" t="str">
        <f>IFERROR(__xludf.DUMMYFUNCTION("""COMPUTED_VALUE"""),"CHT-XTA-030")</f>
        <v>CHT-XTA-030</v>
      </c>
      <c r="B37" s="1075" t="str">
        <f>IFERROR(__xludf.DUMMYFUNCTION("""COMPUTED_VALUE"""),"Xe ben FD150")</f>
        <v>Xe ben FD150</v>
      </c>
      <c r="C37" s="1076" t="str">
        <f>IFERROR(__xludf.DUMMYFUNCTION("""COMPUTED_VALUE"""),"CGTC DP")</f>
        <v>CGTC DP</v>
      </c>
      <c r="D37" s="1076" t="str">
        <f>IFERROR(__xludf.DUMMYFUNCTION("""COMPUTED_VALUE"""),"THACO FORLAND")</f>
        <v>THACO FORLAND</v>
      </c>
      <c r="E37" s="356" t="str">
        <f>IFERROR(__xludf.DUMMYFUNCTION("""COMPUTED_VALUE"""),"VIỆT NAM")</f>
        <v>VIỆT NAM</v>
      </c>
      <c r="F37" s="1076">
        <f>IFERROR(__xludf.DUMMYFUNCTION("""COMPUTED_VALUE"""),2024)</f>
        <v>2024</v>
      </c>
      <c r="G37" s="1076" t="str">
        <f>IFERROR(__xludf.DUMMYFUNCTION("""COMPUTED_VALUE"""),"FD150-4WD ")</f>
        <v>FD150-4WD </v>
      </c>
      <c r="H37" s="23" t="str">
        <f>IFERROR(__xludf.DUMMYFUNCTION("""COMPUTED_VALUE"""),"150HP")</f>
        <v>150HP</v>
      </c>
      <c r="I37" s="1076" t="str">
        <f>IFERROR(__xludf.DUMMYFUNCTION("""COMPUTED_VALUE"""),"RNHF16FYART000834")</f>
        <v>RNHF16FYART000834</v>
      </c>
      <c r="J37" s="1076" t="str">
        <f>IFERROR(__xludf.DUMMYFUNCTION("""COMPUTED_VALUE"""),"D59M1N01254")</f>
        <v>D59M1N01254</v>
      </c>
      <c r="K37" s="1076">
        <f>IFERROR(__xludf.DUMMYFUNCTION("""COMPUTED_VALUE"""),0.63)</f>
        <v>0.63</v>
      </c>
      <c r="L37" s="1076" t="str">
        <f>IFERROR(__xludf.DUMMYFUNCTION("""COMPUTED_VALUE"""),"KLH")</f>
        <v>KLH</v>
      </c>
    </row>
    <row r="38" customHeight="1" spans="1:12">
      <c r="A38" s="1082" t="str">
        <f>IFERROR(__xludf.DUMMYFUNCTION("""COMPUTED_VALUE"""),"CHT-XTA-031")</f>
        <v>CHT-XTA-031</v>
      </c>
      <c r="B38" s="1075" t="str">
        <f>IFERROR(__xludf.DUMMYFUNCTION("""COMPUTED_VALUE"""),"Xe ben FD150")</f>
        <v>Xe ben FD150</v>
      </c>
      <c r="C38" s="1076" t="str">
        <f>IFERROR(__xludf.DUMMYFUNCTION("""COMPUTED_VALUE"""),"CGTC DP")</f>
        <v>CGTC DP</v>
      </c>
      <c r="D38" s="1076" t="str">
        <f>IFERROR(__xludf.DUMMYFUNCTION("""COMPUTED_VALUE"""),"THACO FORLAND")</f>
        <v>THACO FORLAND</v>
      </c>
      <c r="E38" s="356" t="str">
        <f>IFERROR(__xludf.DUMMYFUNCTION("""COMPUTED_VALUE"""),"VIỆT NAM")</f>
        <v>VIỆT NAM</v>
      </c>
      <c r="F38" s="1076">
        <f>IFERROR(__xludf.DUMMYFUNCTION("""COMPUTED_VALUE"""),2024)</f>
        <v>2024</v>
      </c>
      <c r="G38" s="1076" t="str">
        <f>IFERROR(__xludf.DUMMYFUNCTION("""COMPUTED_VALUE"""),"FD150-4WD")</f>
        <v>FD150-4WD</v>
      </c>
      <c r="H38" s="23" t="str">
        <f>IFERROR(__xludf.DUMMYFUNCTION("""COMPUTED_VALUE"""),"150HP")</f>
        <v>150HP</v>
      </c>
      <c r="I38" s="1076" t="str">
        <f>IFERROR(__xludf.DUMMYFUNCTION("""COMPUTED_VALUE"""),"RNHF16FYART000835")</f>
        <v>RNHF16FYART000835</v>
      </c>
      <c r="J38" s="1076" t="str">
        <f>IFERROR(__xludf.DUMMYFUNCTION("""COMPUTED_VALUE"""),"D59M1N01360")</f>
        <v>D59M1N01360</v>
      </c>
      <c r="K38" s="1076">
        <f>IFERROR(__xludf.DUMMYFUNCTION("""COMPUTED_VALUE"""),0.63)</f>
        <v>0.63</v>
      </c>
      <c r="L38" s="1076" t="str">
        <f>IFERROR(__xludf.DUMMYFUNCTION("""COMPUTED_VALUE"""),"KLH")</f>
        <v>KLH</v>
      </c>
    </row>
    <row r="39" customHeight="1" spans="1:12">
      <c r="A39" s="1082" t="str">
        <f>IFERROR(__xludf.DUMMYFUNCTION("""COMPUTED_VALUE"""),"CHT-XTA-037")</f>
        <v>CHT-XTA-037</v>
      </c>
      <c r="B39" s="1075" t="str">
        <f>IFERROR(__xludf.DUMMYFUNCTION("""COMPUTED_VALUE"""),"Xe ben FC150")</f>
        <v>Xe ben FC150</v>
      </c>
      <c r="C39" s="1076" t="str">
        <f>IFERROR(__xludf.DUMMYFUNCTION("""COMPUTED_VALUE"""),"CGTC DP")</f>
        <v>CGTC DP</v>
      </c>
      <c r="D39" s="1076" t="str">
        <f>IFERROR(__xludf.DUMMYFUNCTION("""COMPUTED_VALUE"""),"THACO FORLAND")</f>
        <v>THACO FORLAND</v>
      </c>
      <c r="E39" s="356" t="str">
        <f>IFERROR(__xludf.DUMMYFUNCTION("""COMPUTED_VALUE"""),"VIỆT NAM")</f>
        <v>VIỆT NAM</v>
      </c>
      <c r="F39" s="1076">
        <f>IFERROR(__xludf.DUMMYFUNCTION("""COMPUTED_VALUE"""),2024)</f>
        <v>2024</v>
      </c>
      <c r="G39" s="1076" t="str">
        <f>IFERROR(__xludf.DUMMYFUNCTION("""COMPUTED_VALUE"""),"FC150-4WD")</f>
        <v>FC150-4WD</v>
      </c>
      <c r="H39" s="23" t="str">
        <f>IFERROR(__xludf.DUMMYFUNCTION("""COMPUTED_VALUE"""),"150HP")</f>
        <v>150HP</v>
      </c>
      <c r="I39" s="1076" t="str">
        <f>IFERROR(__xludf.DUMMYFUNCTION("""COMPUTED_VALUE"""),"RNHF16FYBRT000132")</f>
        <v>RNHF16FYBRT000132</v>
      </c>
      <c r="J39" s="1076" t="str">
        <f>IFERROR(__xludf.DUMMYFUNCTION("""COMPUTED_VALUE"""),"D59M1N01088")</f>
        <v>D59M1N01088</v>
      </c>
      <c r="K39" s="1076">
        <f>IFERROR(__xludf.DUMMYFUNCTION("""COMPUTED_VALUE"""),4.5)</f>
        <v>4.5</v>
      </c>
      <c r="L39" s="1076" t="str">
        <f>IFERROR(__xludf.DUMMYFUNCTION("""COMPUTED_VALUE"""),"KLH")</f>
        <v>KLH</v>
      </c>
    </row>
    <row r="40" customHeight="1" spans="1:12">
      <c r="A40" s="1082" t="str">
        <f>IFERROR(__xludf.DUMMYFUNCTION("""COMPUTED_VALUE"""),"CHT-XTA-038")</f>
        <v>CHT-XTA-038</v>
      </c>
      <c r="B40" s="1075" t="str">
        <f>IFERROR(__xludf.DUMMYFUNCTION("""COMPUTED_VALUE"""),"Xe ben FC150")</f>
        <v>Xe ben FC150</v>
      </c>
      <c r="C40" s="1076" t="str">
        <f>IFERROR(__xludf.DUMMYFUNCTION("""COMPUTED_VALUE"""),"CGTC DP")</f>
        <v>CGTC DP</v>
      </c>
      <c r="D40" s="1076" t="str">
        <f>IFERROR(__xludf.DUMMYFUNCTION("""COMPUTED_VALUE"""),"THACO FORLAND")</f>
        <v>THACO FORLAND</v>
      </c>
      <c r="E40" s="356" t="str">
        <f>IFERROR(__xludf.DUMMYFUNCTION("""COMPUTED_VALUE"""),"VIỆT NAM")</f>
        <v>VIỆT NAM</v>
      </c>
      <c r="F40" s="1076">
        <f>IFERROR(__xludf.DUMMYFUNCTION("""COMPUTED_VALUE"""),2024)</f>
        <v>2024</v>
      </c>
      <c r="G40" s="1076" t="str">
        <f>IFERROR(__xludf.DUMMYFUNCTION("""COMPUTED_VALUE"""),"FC150-4WD")</f>
        <v>FC150-4WD</v>
      </c>
      <c r="H40" s="23" t="str">
        <f>IFERROR(__xludf.DUMMYFUNCTION("""COMPUTED_VALUE"""),"150HP")</f>
        <v>150HP</v>
      </c>
      <c r="I40" s="1076" t="str">
        <f>IFERROR(__xludf.DUMMYFUNCTION("""COMPUTED_VALUE"""),"RNHF16FYBRT000133")</f>
        <v>RNHF16FYBRT000133</v>
      </c>
      <c r="J40" s="1076" t="str">
        <f>IFERROR(__xludf.DUMMYFUNCTION("""COMPUTED_VALUE"""),"D59M1N01089")</f>
        <v>D59M1N01089</v>
      </c>
      <c r="K40" s="1076">
        <f>IFERROR(__xludf.DUMMYFUNCTION("""COMPUTED_VALUE"""),0.63)</f>
        <v>0.63</v>
      </c>
      <c r="L40" s="1076" t="str">
        <f>IFERROR(__xludf.DUMMYFUNCTION("""COMPUTED_VALUE"""),"KLH")</f>
        <v>KLH</v>
      </c>
    </row>
    <row r="41" customHeight="1" spans="1:12">
      <c r="A41" s="1082" t="str">
        <f>IFERROR(__xludf.DUMMYFUNCTION("""COMPUTED_VALUE"""),"CHT-XTA-039")</f>
        <v>CHT-XTA-039</v>
      </c>
      <c r="B41" s="1075" t="str">
        <f>IFERROR(__xludf.DUMMYFUNCTION("""COMPUTED_VALUE"""),"Xe ben FC150")</f>
        <v>Xe ben FC150</v>
      </c>
      <c r="C41" s="1076" t="str">
        <f>IFERROR(__xludf.DUMMYFUNCTION("""COMPUTED_VALUE"""),"CGTC DP")</f>
        <v>CGTC DP</v>
      </c>
      <c r="D41" s="1076" t="str">
        <f>IFERROR(__xludf.DUMMYFUNCTION("""COMPUTED_VALUE"""),"THACO FORLAND")</f>
        <v>THACO FORLAND</v>
      </c>
      <c r="E41" s="356" t="str">
        <f>IFERROR(__xludf.DUMMYFUNCTION("""COMPUTED_VALUE"""),"VIỆT NAM")</f>
        <v>VIỆT NAM</v>
      </c>
      <c r="F41" s="1076">
        <f>IFERROR(__xludf.DUMMYFUNCTION("""COMPUTED_VALUE"""),2024)</f>
        <v>2024</v>
      </c>
      <c r="G41" s="1076" t="str">
        <f>IFERROR(__xludf.DUMMYFUNCTION("""COMPUTED_VALUE"""),"FC150-4WD")</f>
        <v>FC150-4WD</v>
      </c>
      <c r="H41" s="146" t="str">
        <f>IFERROR(__xludf.DUMMYFUNCTION("""COMPUTED_VALUE"""),"150HP")</f>
        <v>150HP</v>
      </c>
      <c r="I41" s="1076" t="str">
        <f>IFERROR(__xludf.DUMMYFUNCTION("""COMPUTED_VALUE"""),"RNHF16FYBRT000134")</f>
        <v>RNHF16FYBRT000134</v>
      </c>
      <c r="J41" s="1076" t="str">
        <f>IFERROR(__xludf.DUMMYFUNCTION("""COMPUTED_VALUE"""),"D59M1N01091")</f>
        <v>D59M1N01091</v>
      </c>
      <c r="K41" s="1076">
        <f>IFERROR(__xludf.DUMMYFUNCTION("""COMPUTED_VALUE"""),0.63)</f>
        <v>0.63</v>
      </c>
      <c r="L41" s="1076" t="str">
        <f>IFERROR(__xludf.DUMMYFUNCTION("""COMPUTED_VALUE"""),"KLH")</f>
        <v>KLH</v>
      </c>
    </row>
    <row r="42" customHeight="1" spans="1:12">
      <c r="A42" s="1082" t="str">
        <f>IFERROR(__xludf.DUMMYFUNCTION("""COMPUTED_VALUE"""),"CHT-XTA-040")</f>
        <v>CHT-XTA-040</v>
      </c>
      <c r="B42" s="1075" t="str">
        <f>IFERROR(__xludf.DUMMYFUNCTION("""COMPUTED_VALUE"""),"Xe ben FC150")</f>
        <v>Xe ben FC150</v>
      </c>
      <c r="C42" s="1076" t="str">
        <f>IFERROR(__xludf.DUMMYFUNCTION("""COMPUTED_VALUE"""),"CGTC DP")</f>
        <v>CGTC DP</v>
      </c>
      <c r="D42" s="1076" t="str">
        <f>IFERROR(__xludf.DUMMYFUNCTION("""COMPUTED_VALUE"""),"THACO FORLAND")</f>
        <v>THACO FORLAND</v>
      </c>
      <c r="E42" s="356" t="str">
        <f>IFERROR(__xludf.DUMMYFUNCTION("""COMPUTED_VALUE"""),"VIỆT NAM")</f>
        <v>VIỆT NAM</v>
      </c>
      <c r="F42" s="1076">
        <f>IFERROR(__xludf.DUMMYFUNCTION("""COMPUTED_VALUE"""),2024)</f>
        <v>2024</v>
      </c>
      <c r="G42" s="1076" t="str">
        <f>IFERROR(__xludf.DUMMYFUNCTION("""COMPUTED_VALUE"""),"FC150-4WD")</f>
        <v>FC150-4WD</v>
      </c>
      <c r="H42" s="23" t="str">
        <f>IFERROR(__xludf.DUMMYFUNCTION("""COMPUTED_VALUE"""),"150HP")</f>
        <v>150HP</v>
      </c>
      <c r="I42" s="1076" t="str">
        <f>IFERROR(__xludf.DUMMYFUNCTION("""COMPUTED_VALUE"""),"RNHF16FYBRT000135")</f>
        <v>RNHF16FYBRT000135</v>
      </c>
      <c r="J42" s="1076" t="str">
        <f>IFERROR(__xludf.DUMMYFUNCTION("""COMPUTED_VALUE"""),"D59M1N01092")</f>
        <v>D59M1N01092</v>
      </c>
      <c r="K42" s="1076">
        <f>IFERROR(__xludf.DUMMYFUNCTION("""COMPUTED_VALUE"""),0.63)</f>
        <v>0.63</v>
      </c>
      <c r="L42" s="1076" t="str">
        <f>IFERROR(__xludf.DUMMYFUNCTION("""COMPUTED_VALUE"""),"KLH")</f>
        <v>KLH</v>
      </c>
    </row>
    <row r="43" customHeight="1" spans="1:12">
      <c r="A43" s="1082" t="str">
        <f>IFERROR(__xludf.DUMMYFUNCTION("""COMPUTED_VALUE"""),"CHT-XTA-044")</f>
        <v>CHT-XTA-044</v>
      </c>
      <c r="B43" s="1075" t="str">
        <f>IFERROR(__xludf.DUMMYFUNCTION("""COMPUTED_VALUE"""),"Xe ben FD120")</f>
        <v>Xe ben FD120</v>
      </c>
      <c r="C43" s="1076" t="str">
        <f>IFERROR(__xludf.DUMMYFUNCTION("""COMPUTED_VALUE"""),"CGTC DP")</f>
        <v>CGTC DP</v>
      </c>
      <c r="D43" s="1076" t="str">
        <f>IFERROR(__xludf.DUMMYFUNCTION("""COMPUTED_VALUE"""),"THACO FORLAND")</f>
        <v>THACO FORLAND</v>
      </c>
      <c r="E43" s="356" t="str">
        <f>IFERROR(__xludf.DUMMYFUNCTION("""COMPUTED_VALUE"""),"VIỆT NAM")</f>
        <v>VIỆT NAM</v>
      </c>
      <c r="F43" s="1076">
        <f>IFERROR(__xludf.DUMMYFUNCTION("""COMPUTED_VALUE"""),2024)</f>
        <v>2024</v>
      </c>
      <c r="G43" s="1076" t="str">
        <f>IFERROR(__xludf.DUMMYFUNCTION("""COMPUTED_VALUE"""),"FD120-4WD")</f>
        <v>FD120-4WD</v>
      </c>
      <c r="H43" s="23" t="str">
        <f>IFERROR(__xludf.DUMMYFUNCTION("""COMPUTED_VALUE"""),"129HP")</f>
        <v>129HP</v>
      </c>
      <c r="I43" s="1076" t="str">
        <f>IFERROR(__xludf.DUMMYFUNCTION("""COMPUTED_VALUE"""),"RNHF12FNBRT002062")</f>
        <v>RNHF12FNBRT002062</v>
      </c>
      <c r="J43" s="1076" t="str">
        <f>IFERROR(__xludf.DUMMYFUNCTION("""COMPUTED_VALUE"""),"YN38CRD1*AGN22000242*")</f>
        <v>YN38CRD1*AGN22000242*</v>
      </c>
      <c r="K43" s="1076">
        <f>IFERROR(__xludf.DUMMYFUNCTION("""COMPUTED_VALUE"""),0.61)</f>
        <v>0.61</v>
      </c>
      <c r="L43" s="1076" t="str">
        <f>IFERROR(__xludf.DUMMYFUNCTION("""COMPUTED_VALUE"""),"KLH")</f>
        <v>KLH</v>
      </c>
    </row>
    <row r="44" customHeight="1" spans="1:12">
      <c r="A44" s="1082" t="str">
        <f>IFERROR(__xludf.DUMMYFUNCTION("""COMPUTED_VALUE"""),"CHT-XTA-045")</f>
        <v>CHT-XTA-045</v>
      </c>
      <c r="B44" s="1075" t="str">
        <f>IFERROR(__xludf.DUMMYFUNCTION("""COMPUTED_VALUE"""),"Xe ben FD120")</f>
        <v>Xe ben FD120</v>
      </c>
      <c r="C44" s="1076" t="str">
        <f>IFERROR(__xludf.DUMMYFUNCTION("""COMPUTED_VALUE"""),"CGTC DP")</f>
        <v>CGTC DP</v>
      </c>
      <c r="D44" s="1076" t="str">
        <f>IFERROR(__xludf.DUMMYFUNCTION("""COMPUTED_VALUE"""),"THACO FORLAND")</f>
        <v>THACO FORLAND</v>
      </c>
      <c r="E44" s="356" t="str">
        <f>IFERROR(__xludf.DUMMYFUNCTION("""COMPUTED_VALUE"""),"VIỆT NAM")</f>
        <v>VIỆT NAM</v>
      </c>
      <c r="F44" s="1076">
        <f>IFERROR(__xludf.DUMMYFUNCTION("""COMPUTED_VALUE"""),2024)</f>
        <v>2024</v>
      </c>
      <c r="G44" s="1076" t="str">
        <f>IFERROR(__xludf.DUMMYFUNCTION("""COMPUTED_VALUE"""),"FD120-4WD")</f>
        <v>FD120-4WD</v>
      </c>
      <c r="H44" s="146" t="str">
        <f>IFERROR(__xludf.DUMMYFUNCTION("""COMPUTED_VALUE"""),"129HP")</f>
        <v>129HP</v>
      </c>
      <c r="I44" s="1076" t="str">
        <f>IFERROR(__xludf.DUMMYFUNCTION("""COMPUTED_VALUE"""),"RNHF12FNBRT002063")</f>
        <v>RNHF12FNBRT002063</v>
      </c>
      <c r="J44" s="1076" t="str">
        <f>IFERROR(__xludf.DUMMYFUNCTION("""COMPUTED_VALUE"""),"YN38CRD1*AGN22000243*")</f>
        <v>YN38CRD1*AGN22000243*</v>
      </c>
      <c r="K44" s="1076">
        <f>IFERROR(__xludf.DUMMYFUNCTION("""COMPUTED_VALUE"""),0.61)</f>
        <v>0.61</v>
      </c>
      <c r="L44" s="1076" t="str">
        <f>IFERROR(__xludf.DUMMYFUNCTION("""COMPUTED_VALUE"""),"KLH")</f>
        <v>KLH</v>
      </c>
    </row>
    <row r="45" customHeight="1" spans="1:12">
      <c r="A45" s="1082" t="str">
        <f>IFERROR(__xludf.DUMMYFUNCTION("""COMPUTED_VALUE"""),"CHT-XTA-046")</f>
        <v>CHT-XTA-046</v>
      </c>
      <c r="B45" s="1075" t="str">
        <f>IFERROR(__xludf.DUMMYFUNCTION("""COMPUTED_VALUE"""),"Xe ben FD120")</f>
        <v>Xe ben FD120</v>
      </c>
      <c r="C45" s="1076" t="str">
        <f>IFERROR(__xludf.DUMMYFUNCTION("""COMPUTED_VALUE"""),"CGTC DP")</f>
        <v>CGTC DP</v>
      </c>
      <c r="D45" s="1076" t="str">
        <f>IFERROR(__xludf.DUMMYFUNCTION("""COMPUTED_VALUE"""),"THACO FORLAND")</f>
        <v>THACO FORLAND</v>
      </c>
      <c r="E45" s="356" t="str">
        <f>IFERROR(__xludf.DUMMYFUNCTION("""COMPUTED_VALUE"""),"VIỆT NAM")</f>
        <v>VIỆT NAM</v>
      </c>
      <c r="F45" s="1076">
        <f>IFERROR(__xludf.DUMMYFUNCTION("""COMPUTED_VALUE"""),2024)</f>
        <v>2024</v>
      </c>
      <c r="G45" s="1076" t="str">
        <f>IFERROR(__xludf.DUMMYFUNCTION("""COMPUTED_VALUE"""),"FD120-4WD")</f>
        <v>FD120-4WD</v>
      </c>
      <c r="H45" s="23" t="str">
        <f>IFERROR(__xludf.DUMMYFUNCTION("""COMPUTED_VALUE"""),"129HP")</f>
        <v>129HP</v>
      </c>
      <c r="I45" s="1076" t="str">
        <f>IFERROR(__xludf.DUMMYFUNCTION("""COMPUTED_VALUE"""),"RNHF12FNBRT002064")</f>
        <v>RNHF12FNBRT002064</v>
      </c>
      <c r="J45" s="1076" t="str">
        <f>IFERROR(__xludf.DUMMYFUNCTION("""COMPUTED_VALUE"""),"YN38CRD1*AGN22000244*")</f>
        <v>YN38CRD1*AGN22000244*</v>
      </c>
      <c r="K45" s="1076">
        <f>IFERROR(__xludf.DUMMYFUNCTION("""COMPUTED_VALUE"""),0.61)</f>
        <v>0.61</v>
      </c>
      <c r="L45" s="1076" t="str">
        <f>IFERROR(__xludf.DUMMYFUNCTION("""COMPUTED_VALUE"""),"KLH")</f>
        <v>KLH</v>
      </c>
    </row>
    <row r="46" customHeight="1" spans="1:12">
      <c r="A46" s="1082" t="str">
        <f>IFERROR(__xludf.DUMMYFUNCTION("""COMPUTED_VALUE"""),"CHT-XTA-047")</f>
        <v>CHT-XTA-047</v>
      </c>
      <c r="B46" s="1075" t="str">
        <f>IFERROR(__xludf.DUMMYFUNCTION("""COMPUTED_VALUE"""),"Xe ben FD120")</f>
        <v>Xe ben FD120</v>
      </c>
      <c r="C46" s="1076" t="str">
        <f>IFERROR(__xludf.DUMMYFUNCTION("""COMPUTED_VALUE"""),"CGTC DP")</f>
        <v>CGTC DP</v>
      </c>
      <c r="D46" s="1076" t="str">
        <f>IFERROR(__xludf.DUMMYFUNCTION("""COMPUTED_VALUE"""),"THACO FORLAND")</f>
        <v>THACO FORLAND</v>
      </c>
      <c r="E46" s="356" t="str">
        <f>IFERROR(__xludf.DUMMYFUNCTION("""COMPUTED_VALUE"""),"VIỆT NAM")</f>
        <v>VIỆT NAM</v>
      </c>
      <c r="F46" s="1076">
        <f>IFERROR(__xludf.DUMMYFUNCTION("""COMPUTED_VALUE"""),2024)</f>
        <v>2024</v>
      </c>
      <c r="G46" s="1076" t="str">
        <f>IFERROR(__xludf.DUMMYFUNCTION("""COMPUTED_VALUE"""),"FD120-4WD")</f>
        <v>FD120-4WD</v>
      </c>
      <c r="H46" s="23" t="str">
        <f>IFERROR(__xludf.DUMMYFUNCTION("""COMPUTED_VALUE"""),"129HP")</f>
        <v>129HP</v>
      </c>
      <c r="I46" s="1076" t="str">
        <f>IFERROR(__xludf.DUMMYFUNCTION("""COMPUTED_VALUE"""),"RNHF12FNBRT002065")</f>
        <v>RNHF12FNBRT002065</v>
      </c>
      <c r="J46" s="1076" t="str">
        <f>IFERROR(__xludf.DUMMYFUNCTION("""COMPUTED_VALUE"""),"YN38CRD1*AGN22000245*")</f>
        <v>YN38CRD1*AGN22000245*</v>
      </c>
      <c r="K46" s="1076">
        <f>IFERROR(__xludf.DUMMYFUNCTION("""COMPUTED_VALUE"""),0.61)</f>
        <v>0.61</v>
      </c>
      <c r="L46" s="1076" t="str">
        <f>IFERROR(__xludf.DUMMYFUNCTION("""COMPUTED_VALUE"""),"KLH")</f>
        <v>KLH</v>
      </c>
    </row>
    <row r="47" customHeight="1" spans="1:12">
      <c r="A47" s="1082" t="str">
        <f>IFERROR(__xludf.DUMMYFUNCTION("""COMPUTED_VALUE"""),"CHT-XTA-049")</f>
        <v>CHT-XTA-049</v>
      </c>
      <c r="B47" s="1075" t="str">
        <f>IFERROR(__xludf.DUMMYFUNCTION("""COMPUTED_VALUE"""),"Xe ben HOWO TXD600")</f>
        <v>Xe ben HOWO TXD600</v>
      </c>
      <c r="C47" s="1076" t="str">
        <f>IFERROR(__xludf.DUMMYFUNCTION("""COMPUTED_VALUE"""),"CGTC DP")</f>
        <v>CGTC DP</v>
      </c>
      <c r="D47" s="1076" t="str">
        <f>IFERROR(__xludf.DUMMYFUNCTION("""COMPUTED_VALUE"""),"HOWO")</f>
        <v>HOWO</v>
      </c>
      <c r="E47" s="356" t="str">
        <f>IFERROR(__xludf.DUMMYFUNCTION("""COMPUTED_VALUE"""),"VIỆT NAM")</f>
        <v>VIỆT NAM</v>
      </c>
      <c r="F47" s="1076">
        <f>IFERROR(__xludf.DUMMYFUNCTION("""COMPUTED_VALUE"""),2022)</f>
        <v>2022</v>
      </c>
      <c r="G47" s="1076" t="str">
        <f>IFERROR(__xludf.DUMMYFUNCTION("""COMPUTED_VALUE"""),"HOWO TX D600")</f>
        <v>HOWO TX D600</v>
      </c>
      <c r="H47" s="23" t="str">
        <f>IFERROR(__xludf.DUMMYFUNCTION("""COMPUTED_VALUE"""),"380HP")</f>
        <v>380HP</v>
      </c>
      <c r="I47" s="1076" t="str">
        <f>IFERROR(__xludf.DUMMYFUNCTION("""COMPUTED_VALUE"""),"RNHD24CWART00061")</f>
        <v>RNHD24CWART00061</v>
      </c>
      <c r="J47" s="1076" t="str">
        <f>IFERROR(__xludf.DUMMYFUNCTION("""COMPUTED_VALUE"""),"WP10380E53*1622F024366*")</f>
        <v>WP10380E53*1622F024366*</v>
      </c>
      <c r="K47" s="1076">
        <f>IFERROR(__xludf.DUMMYFUNCTION("""COMPUTED_VALUE"""),1.34)</f>
        <v>1.34</v>
      </c>
      <c r="L47" s="1076" t="str">
        <f>IFERROR(__xludf.DUMMYFUNCTION("""COMPUTED_VALUE"""),"KLH")</f>
        <v>KLH</v>
      </c>
    </row>
    <row r="48" customHeight="1" spans="1:12">
      <c r="A48" s="1082" t="str">
        <f>IFERROR(__xludf.DUMMYFUNCTION("""COMPUTED_VALUE"""),"CHT-XTA-050")</f>
        <v>CHT-XTA-050</v>
      </c>
      <c r="B48" s="1075" t="str">
        <f>IFERROR(__xludf.DUMMYFUNCTION("""COMPUTED_VALUE"""),"Xe ben HOWO TXD600")</f>
        <v>Xe ben HOWO TXD600</v>
      </c>
      <c r="C48" s="1076" t="str">
        <f>IFERROR(__xludf.DUMMYFUNCTION("""COMPUTED_VALUE"""),"CGTC DP")</f>
        <v>CGTC DP</v>
      </c>
      <c r="D48" s="1076" t="str">
        <f>IFERROR(__xludf.DUMMYFUNCTION("""COMPUTED_VALUE"""),"HOWO")</f>
        <v>HOWO</v>
      </c>
      <c r="E48" s="356" t="str">
        <f>IFERROR(__xludf.DUMMYFUNCTION("""COMPUTED_VALUE"""),"VIỆT NAM")</f>
        <v>VIỆT NAM</v>
      </c>
      <c r="F48" s="1076">
        <f>IFERROR(__xludf.DUMMYFUNCTION("""COMPUTED_VALUE"""),2022)</f>
        <v>2022</v>
      </c>
      <c r="G48" s="1076" t="str">
        <f>IFERROR(__xludf.DUMMYFUNCTION("""COMPUTED_VALUE"""),"HOWO TX D600")</f>
        <v>HOWO TX D600</v>
      </c>
      <c r="H48" s="23" t="str">
        <f>IFERROR(__xludf.DUMMYFUNCTION("""COMPUTED_VALUE"""),"380HP")</f>
        <v>380HP</v>
      </c>
      <c r="I48" s="1076" t="str">
        <f>IFERROR(__xludf.DUMMYFUNCTION("""COMPUTED_VALUE"""),"RNHD24CWART00062")</f>
        <v>RNHD24CWART00062</v>
      </c>
      <c r="J48" s="1076" t="str">
        <f>IFERROR(__xludf.DUMMYFUNCTION("""COMPUTED_VALUE"""),"WP10380E53*1622F024350*")</f>
        <v>WP10380E53*1622F024350*</v>
      </c>
      <c r="K48" s="1076">
        <f>IFERROR(__xludf.DUMMYFUNCTION("""COMPUTED_VALUE"""),1.34)</f>
        <v>1.34</v>
      </c>
      <c r="L48" s="1076" t="str">
        <f>IFERROR(__xludf.DUMMYFUNCTION("""COMPUTED_VALUE"""),"KLH")</f>
        <v>KLH</v>
      </c>
    </row>
    <row r="49" customHeight="1" spans="1:12">
      <c r="A49" s="1082" t="str">
        <f>IFERROR(__xludf.DUMMYFUNCTION("""COMPUTED_VALUE"""),"CHT-XCA-004")</f>
        <v>CHT-XCA-004</v>
      </c>
      <c r="B49" s="1075" t="str">
        <f>IFERROR(__xludf.DUMMYFUNCTION("""COMPUTED_VALUE"""),"Xe cẩu bàn 5 tấn")</f>
        <v>Xe cẩu bàn 5 tấn</v>
      </c>
      <c r="C49" s="1076" t="str">
        <f>IFERROR(__xludf.DUMMYFUNCTION("""COMPUTED_VALUE"""),"CGTC DP")</f>
        <v>CGTC DP</v>
      </c>
      <c r="D49" s="1076" t="str">
        <f>IFERROR(__xludf.DUMMYFUNCTION("""COMPUTED_VALUE"""),"HOWO")</f>
        <v>HOWO</v>
      </c>
      <c r="E49" s="356" t="str">
        <f>IFERROR(__xludf.DUMMYFUNCTION("""COMPUTED_VALUE"""),"TRUNG QUỐC")</f>
        <v>TRUNG QUỐC</v>
      </c>
      <c r="F49" s="1076">
        <f>IFERROR(__xludf.DUMMYFUNCTION("""COMPUTED_VALUE"""),2022)</f>
        <v>2022</v>
      </c>
      <c r="G49" s="1076" t="str">
        <f>IFERROR(__xludf.DUMMYFUNCTION("""COMPUTED_VALUE"""),"TXD800-ND2")</f>
        <v>TXD800-ND2</v>
      </c>
      <c r="H49" s="23" t="str">
        <f>IFERROR(__xludf.DUMMYFUNCTION("""COMPUTED_VALUE"""),"380HP")</f>
        <v>380HP</v>
      </c>
      <c r="I49" s="1076" t="str">
        <f>IFERROR(__xludf.DUMMYFUNCTION("""COMPUTED_VALUE"""),"RNHD30CWANT058649")</f>
        <v>RNHD30CWANT058649</v>
      </c>
      <c r="J49" s="1076" t="str">
        <f>IFERROR(__xludf.DUMMYFUNCTION("""COMPUTED_VALUE"""),"WP10380E53*1622B008536*")</f>
        <v>WP10380E53*1622B008536*</v>
      </c>
      <c r="K49" s="1076"/>
      <c r="L49" s="1076" t="str">
        <f>IFERROR(__xludf.DUMMYFUNCTION("""COMPUTED_VALUE"""),"KLH")</f>
        <v>KLH</v>
      </c>
    </row>
    <row r="50" customHeight="1" spans="1:12">
      <c r="A50" s="1082" t="str">
        <f>IFERROR(__xludf.DUMMYFUNCTION("""COMPUTED_VALUE"""),"Cơ giới thi công LP")</f>
        <v>Cơ giới thi công LP</v>
      </c>
      <c r="B50" s="1075"/>
      <c r="C50" s="1076"/>
      <c r="D50" s="1076"/>
      <c r="E50" s="356"/>
      <c r="F50" s="1076"/>
      <c r="G50" s="1076"/>
      <c r="H50" s="23"/>
      <c r="I50" s="1076"/>
      <c r="J50" s="1076"/>
      <c r="K50" s="1076"/>
      <c r="L50" s="1076" t="str">
        <f>IFERROR(__xludf.DUMMYFUNCTION("""COMPUTED_VALUE"""),"KLH")</f>
        <v>KLH</v>
      </c>
    </row>
    <row r="51" customHeight="1" spans="1:12">
      <c r="A51" s="1082" t="str">
        <f>IFERROR(__xludf.DUMMYFUNCTION("""COMPUTED_VALUE"""),"CHT-BAN-002")</f>
        <v>CHT-BAN-002</v>
      </c>
      <c r="B51" s="1075" t="str">
        <f>IFERROR(__xludf.DUMMYFUNCTION("""COMPUTED_VALUE"""),"Xe ban KOMATSU GD605A")</f>
        <v>Xe ban KOMATSU GD605A</v>
      </c>
      <c r="C51" s="1076" t="str">
        <f>IFERROR(__xludf.DUMMYFUNCTION("""COMPUTED_VALUE"""),"CGTC LP")</f>
        <v>CGTC LP</v>
      </c>
      <c r="D51" s="1076" t="str">
        <f>IFERROR(__xludf.DUMMYFUNCTION("""COMPUTED_VALUE"""),"KOMATSU")</f>
        <v>KOMATSU</v>
      </c>
      <c r="E51" s="356" t="str">
        <f>IFERROR(__xludf.DUMMYFUNCTION("""COMPUTED_VALUE"""),"NHẬT BẢN")</f>
        <v>NHẬT BẢN</v>
      </c>
      <c r="F51" s="1076">
        <f>IFERROR(__xludf.DUMMYFUNCTION("""COMPUTED_VALUE"""),1995)</f>
        <v>1995</v>
      </c>
      <c r="G51" s="1076" t="str">
        <f>IFERROR(__xludf.DUMMYFUNCTION("""COMPUTED_VALUE"""),"GD605A-5")</f>
        <v>GD605A-5</v>
      </c>
      <c r="H51" s="23" t="str">
        <f>IFERROR(__xludf.DUMMYFUNCTION("""COMPUTED_VALUE"""),"145HP")</f>
        <v>145HP</v>
      </c>
      <c r="I51" s="1076" t="str">
        <f>IFERROR(__xludf.DUMMYFUNCTION("""COMPUTED_VALUE"""),"G60A51575")</f>
        <v>G60A51575</v>
      </c>
      <c r="J51" s="1076" t="str">
        <f>IFERROR(__xludf.DUMMYFUNCTION("""COMPUTED_VALUE"""),"6D12562969")</f>
        <v>6D12562969</v>
      </c>
      <c r="K51" s="1076">
        <f>IFERROR(__xludf.DUMMYFUNCTION("""COMPUTED_VALUE"""),9.3)</f>
        <v>9.3</v>
      </c>
      <c r="L51" s="1076" t="str">
        <f>IFERROR(__xludf.DUMMYFUNCTION("""COMPUTED_VALUE"""),"KLH")</f>
        <v>KLH</v>
      </c>
    </row>
    <row r="52" customHeight="1" spans="1:12">
      <c r="A52" s="1082" t="str">
        <f>IFERROR(__xludf.DUMMYFUNCTION("""COMPUTED_VALUE"""),"CHT-MUI-003")</f>
        <v>CHT-MUI-003</v>
      </c>
      <c r="B52" s="1075" t="str">
        <f>IFERROR(__xludf.DUMMYFUNCTION("""COMPUTED_VALUE"""),"Máy ủi KOMATSU D31PX")</f>
        <v>Máy ủi KOMATSU D31PX</v>
      </c>
      <c r="C52" s="1076" t="str">
        <f>IFERROR(__xludf.DUMMYFUNCTION("""COMPUTED_VALUE"""),"CGTC LP")</f>
        <v>CGTC LP</v>
      </c>
      <c r="D52" s="1076" t="str">
        <f>IFERROR(__xludf.DUMMYFUNCTION("""COMPUTED_VALUE"""),"KOMATSU")</f>
        <v>KOMATSU</v>
      </c>
      <c r="E52" s="356" t="str">
        <f>IFERROR(__xludf.DUMMYFUNCTION("""COMPUTED_VALUE"""),"NHẬT BẢN")</f>
        <v>NHẬT BẢN</v>
      </c>
      <c r="F52" s="1076">
        <f>IFERROR(__xludf.DUMMYFUNCTION("""COMPUTED_VALUE"""),2006)</f>
        <v>2006</v>
      </c>
      <c r="G52" s="1076" t="str">
        <f>IFERROR(__xludf.DUMMYFUNCTION("""COMPUTED_VALUE"""),"D31PX-21")</f>
        <v>D31PX-21</v>
      </c>
      <c r="H52" s="23" t="str">
        <f>IFERROR(__xludf.DUMMYFUNCTION("""COMPUTED_VALUE"""),"80HP")</f>
        <v>80HP</v>
      </c>
      <c r="I52" s="1076" t="str">
        <f>IFERROR(__xludf.DUMMYFUNCTION("""COMPUTED_VALUE"""),"KMT0D007T01051120")</f>
        <v>KMT0D007T01051120</v>
      </c>
      <c r="J52" s="1076" t="str">
        <f>IFERROR(__xludf.DUMMYFUNCTION("""COMPUTED_VALUE"""),"4D10226384955")</f>
        <v>4D10226384955</v>
      </c>
      <c r="K52" s="1076">
        <f>IFERROR(__xludf.DUMMYFUNCTION("""COMPUTED_VALUE"""),8)</f>
        <v>8</v>
      </c>
      <c r="L52" s="1076" t="str">
        <f>IFERROR(__xludf.DUMMYFUNCTION("""COMPUTED_VALUE"""),"KLH")</f>
        <v>KLH</v>
      </c>
    </row>
    <row r="53" customHeight="1" spans="1:12">
      <c r="A53" s="1082" t="str">
        <f>IFERROR(__xludf.DUMMYFUNCTION("""COMPUTED_VALUE"""),"CHT-MUI-004")</f>
        <v>CHT-MUI-004</v>
      </c>
      <c r="B53" s="1075" t="str">
        <f>IFERROR(__xludf.DUMMYFUNCTION("""COMPUTED_VALUE"""),"Máy ủi KOMATSU D31PX")</f>
        <v>Máy ủi KOMATSU D31PX</v>
      </c>
      <c r="C53" s="1076" t="str">
        <f>IFERROR(__xludf.DUMMYFUNCTION("""COMPUTED_VALUE"""),"CGTC LP")</f>
        <v>CGTC LP</v>
      </c>
      <c r="D53" s="1076" t="str">
        <f>IFERROR(__xludf.DUMMYFUNCTION("""COMPUTED_VALUE"""),"KOMATSU")</f>
        <v>KOMATSU</v>
      </c>
      <c r="E53" s="356" t="str">
        <f>IFERROR(__xludf.DUMMYFUNCTION("""COMPUTED_VALUE"""),"NHẬT BẢN")</f>
        <v>NHẬT BẢN</v>
      </c>
      <c r="F53" s="1076">
        <f>IFERROR(__xludf.DUMMYFUNCTION("""COMPUTED_VALUE"""),2008)</f>
        <v>2008</v>
      </c>
      <c r="G53" s="1076" t="str">
        <f>IFERROR(__xludf.DUMMYFUNCTION("""COMPUTED_VALUE"""),"D31PX-21")</f>
        <v>D31PX-21</v>
      </c>
      <c r="H53" s="23" t="str">
        <f>IFERROR(__xludf.DUMMYFUNCTION("""COMPUTED_VALUE"""),"80HP")</f>
        <v>80HP</v>
      </c>
      <c r="I53" s="1076" t="str">
        <f>IFERROR(__xludf.DUMMYFUNCTION("""COMPUTED_VALUE"""),"KMT0D007C01051611")</f>
        <v>KMT0D007C01051611</v>
      </c>
      <c r="J53" s="1076" t="str">
        <f>IFERROR(__xludf.DUMMYFUNCTION("""COMPUTED_VALUE"""),"4D10226427091")</f>
        <v>4D10226427091</v>
      </c>
      <c r="K53" s="1076">
        <f>IFERROR(__xludf.DUMMYFUNCTION("""COMPUTED_VALUE"""),8)</f>
        <v>8</v>
      </c>
      <c r="L53" s="1076" t="str">
        <f>IFERROR(__xludf.DUMMYFUNCTION("""COMPUTED_VALUE"""),"KLH")</f>
        <v>KLH</v>
      </c>
    </row>
    <row r="54" customHeight="1" spans="1:12">
      <c r="A54" s="1082" t="str">
        <f>IFERROR(__xludf.DUMMYFUNCTION("""COMPUTED_VALUE"""),"CHT-MUI-009")</f>
        <v>CHT-MUI-009</v>
      </c>
      <c r="B54" s="1075" t="str">
        <f>IFERROR(__xludf.DUMMYFUNCTION("""COMPUTED_VALUE"""),"Máy ủi KOMATSU D60P")</f>
        <v>Máy ủi KOMATSU D60P</v>
      </c>
      <c r="C54" s="1076" t="str">
        <f>IFERROR(__xludf.DUMMYFUNCTION("""COMPUTED_VALUE"""),"CGTC LP")</f>
        <v>CGTC LP</v>
      </c>
      <c r="D54" s="1076" t="str">
        <f>IFERROR(__xludf.DUMMYFUNCTION("""COMPUTED_VALUE"""),"KOMATSU")</f>
        <v>KOMATSU</v>
      </c>
      <c r="E54" s="356" t="str">
        <f>IFERROR(__xludf.DUMMYFUNCTION("""COMPUTED_VALUE"""),"NHẬT BẢN")</f>
        <v>NHẬT BẢN</v>
      </c>
      <c r="F54" s="1076">
        <f>IFERROR(__xludf.DUMMYFUNCTION("""COMPUTED_VALUE"""),1995)</f>
        <v>1995</v>
      </c>
      <c r="G54" s="1076" t="str">
        <f>IFERROR(__xludf.DUMMYFUNCTION("""COMPUTED_VALUE"""),"D60P")</f>
        <v>D60P</v>
      </c>
      <c r="H54" s="23" t="str">
        <f>IFERROR(__xludf.DUMMYFUNCTION("""COMPUTED_VALUE"""),"190HP")</f>
        <v>190HP</v>
      </c>
      <c r="I54" s="1076" t="str">
        <f>IFERROR(__xludf.DUMMYFUNCTION("""COMPUTED_VALUE"""),"D60P1261254")</f>
        <v>D60P1261254</v>
      </c>
      <c r="J54" s="1076" t="str">
        <f>IFERROR(__xludf.DUMMYFUNCTION("""COMPUTED_VALUE"""),"6D125-30638")</f>
        <v>6D125-30638</v>
      </c>
      <c r="K54" s="1076">
        <f>IFERROR(__xludf.DUMMYFUNCTION("""COMPUTED_VALUE"""),14)</f>
        <v>14</v>
      </c>
      <c r="L54" s="1076" t="str">
        <f>IFERROR(__xludf.DUMMYFUNCTION("""COMPUTED_VALUE"""),"KLH")</f>
        <v>KLH</v>
      </c>
    </row>
    <row r="55" customHeight="1" spans="1:12">
      <c r="A55" s="1082" t="str">
        <f>IFERROR(__xludf.DUMMYFUNCTION("""COMPUTED_VALUE"""),"CHT-XLU-003")</f>
        <v>CHT-XLU-003</v>
      </c>
      <c r="B55" s="1075" t="str">
        <f>IFERROR(__xludf.DUMMYFUNCTION("""COMPUTED_VALUE"""),"Xe lu rung SV521DH 11 tấn")</f>
        <v>Xe lu rung SV521DH 11 tấn</v>
      </c>
      <c r="C55" s="1076" t="str">
        <f>IFERROR(__xludf.DUMMYFUNCTION("""COMPUTED_VALUE"""),"CGTC LP")</f>
        <v>CGTC LP</v>
      </c>
      <c r="D55" s="1076" t="str">
        <f>IFERROR(__xludf.DUMMYFUNCTION("""COMPUTED_VALUE"""),"SAKAI")</f>
        <v>SAKAI</v>
      </c>
      <c r="E55" s="356" t="str">
        <f>IFERROR(__xludf.DUMMYFUNCTION("""COMPUTED_VALUE"""),"NHẬT BẢN")</f>
        <v>NHẬT BẢN</v>
      </c>
      <c r="F55" s="1076">
        <f>IFERROR(__xludf.DUMMYFUNCTION("""COMPUTED_VALUE"""),2020)</f>
        <v>2020</v>
      </c>
      <c r="G55" s="1076" t="str">
        <f>IFERROR(__xludf.DUMMYFUNCTION("""COMPUTED_VALUE"""),"SV521DH")</f>
        <v>SV521DH</v>
      </c>
      <c r="H55" s="23" t="str">
        <f>IFERROR(__xludf.DUMMYFUNCTION("""COMPUTED_VALUE"""),"112HP")</f>
        <v>112HP</v>
      </c>
      <c r="I55" s="1076" t="str">
        <f>IFERROR(__xludf.DUMMYFUNCTION("""COMPUTED_VALUE"""),"2SV6610477")</f>
        <v>2SV6610477</v>
      </c>
      <c r="J55" s="1076" t="str">
        <f>IFERROR(__xludf.DUMMYFUNCTION("""COMPUTED_VALUE"""),"133243")</f>
        <v>133243</v>
      </c>
      <c r="K55" s="1076">
        <f>IFERROR(__xludf.DUMMYFUNCTION("""COMPUTED_VALUE"""),7)</f>
        <v>7</v>
      </c>
      <c r="L55" s="1076" t="str">
        <f>IFERROR(__xludf.DUMMYFUNCTION("""COMPUTED_VALUE"""),"KLH")</f>
        <v>KLH</v>
      </c>
    </row>
    <row r="56" customHeight="1" spans="1:12">
      <c r="A56" s="1082" t="str">
        <f>IFERROR(__xludf.DUMMYFUNCTION("""COMPUTED_VALUE"""),"CHT-XLU-004")</f>
        <v>CHT-XLU-004</v>
      </c>
      <c r="B56" s="1075" t="str">
        <f>IFERROR(__xludf.DUMMYFUNCTION("""COMPUTED_VALUE"""),"Xe lu tĩnh R2 10 tấn")</f>
        <v>Xe lu tĩnh R2 10 tấn</v>
      </c>
      <c r="C56" s="1076" t="str">
        <f>IFERROR(__xludf.DUMMYFUNCTION("""COMPUTED_VALUE"""),"CGTC LP")</f>
        <v>CGTC LP</v>
      </c>
      <c r="D56" s="1076" t="str">
        <f>IFERROR(__xludf.DUMMYFUNCTION("""COMPUTED_VALUE"""),"SAKAI")</f>
        <v>SAKAI</v>
      </c>
      <c r="E56" s="356" t="str">
        <f>IFERROR(__xludf.DUMMYFUNCTION("""COMPUTED_VALUE"""),"NHẬT BẢN")</f>
        <v>NHẬT BẢN</v>
      </c>
      <c r="F56" s="1076">
        <f>IFERROR(__xludf.DUMMYFUNCTION("""COMPUTED_VALUE"""),2000)</f>
        <v>2000</v>
      </c>
      <c r="G56" s="1076" t="str">
        <f>IFERROR(__xludf.DUMMYFUNCTION("""COMPUTED_VALUE"""),"R2")</f>
        <v>R2</v>
      </c>
      <c r="H56" s="23" t="str">
        <f>IFERROR(__xludf.DUMMYFUNCTION("""COMPUTED_VALUE"""),"74HP")</f>
        <v>74HP</v>
      </c>
      <c r="I56" s="1076" t="str">
        <f>IFERROR(__xludf.DUMMYFUNCTION("""COMPUTED_VALUE"""),"RR321551")</f>
        <v>RR321551</v>
      </c>
      <c r="J56" s="1076" t="str">
        <f>IFERROR(__xludf.DUMMYFUNCTION("""COMPUTED_VALUE"""),"W04DF15218")</f>
        <v>W04DF15218</v>
      </c>
      <c r="K56" s="1076">
        <f>IFERROR(__xludf.DUMMYFUNCTION("""COMPUTED_VALUE"""),4)</f>
        <v>4</v>
      </c>
      <c r="L56" s="1076" t="str">
        <f>IFERROR(__xludf.DUMMYFUNCTION("""COMPUTED_VALUE"""),"KLH")</f>
        <v>KLH</v>
      </c>
    </row>
    <row r="57" customHeight="1" spans="1:12">
      <c r="A57" s="1082" t="str">
        <f>IFERROR(__xludf.DUMMYFUNCTION("""COMPUTED_VALUE"""),"CHT-XTA-004")</f>
        <v>CHT-XTA-004</v>
      </c>
      <c r="B57" s="1075" t="str">
        <f>IFERROR(__xludf.DUMMYFUNCTION("""COMPUTED_VALUE"""),"Xe ben FD140")</f>
        <v>Xe ben FD140</v>
      </c>
      <c r="C57" s="1076" t="str">
        <f>IFERROR(__xludf.DUMMYFUNCTION("""COMPUTED_VALUE"""),"CGTC LP")</f>
        <v>CGTC LP</v>
      </c>
      <c r="D57" s="1076" t="str">
        <f>IFERROR(__xludf.DUMMYFUNCTION("""COMPUTED_VALUE"""),"THACO FORLAND")</f>
        <v>THACO FORLAND</v>
      </c>
      <c r="E57" s="356" t="str">
        <f>IFERROR(__xludf.DUMMYFUNCTION("""COMPUTED_VALUE"""),"VIỆT NAM")</f>
        <v>VIỆT NAM</v>
      </c>
      <c r="F57" s="1076">
        <f>IFERROR(__xludf.DUMMYFUNCTION("""COMPUTED_VALUE"""),2020)</f>
        <v>2020</v>
      </c>
      <c r="G57" s="1076" t="str">
        <f>IFERROR(__xludf.DUMMYFUNCTION("""COMPUTED_VALUE"""),"FD140-8T")</f>
        <v>FD140-8T</v>
      </c>
      <c r="H57" s="23" t="str">
        <f>IFERROR(__xludf.DUMMYFUNCTION("""COMPUTED_VALUE"""),"140HP")</f>
        <v>140HP</v>
      </c>
      <c r="I57" s="1076" t="str">
        <f>IFERROR(__xludf.DUMMYFUNCTION("""COMPUTED_VALUE"""),"RNHF14FYALT024045")</f>
        <v>RNHF14FYALT024045</v>
      </c>
      <c r="J57" s="1076" t="str">
        <f>IFERROR(__xludf.DUMMYFUNCTION("""COMPUTED_VALUE"""),"YC4D140-48D59M1J20731")</f>
        <v>YC4D140-48D59M1J20731</v>
      </c>
      <c r="K57" s="1076">
        <f>IFERROR(__xludf.DUMMYFUNCTION("""COMPUTED_VALUE"""),5.7)</f>
        <v>5.7</v>
      </c>
      <c r="L57" s="1076" t="str">
        <f>IFERROR(__xludf.DUMMYFUNCTION("""COMPUTED_VALUE"""),"KLH")</f>
        <v>KLH</v>
      </c>
    </row>
    <row r="58" customHeight="1" spans="1:12">
      <c r="A58" s="1082" t="str">
        <f>IFERROR(__xludf.DUMMYFUNCTION("""COMPUTED_VALUE"""),"CHT-XTA-005")</f>
        <v>CHT-XTA-005</v>
      </c>
      <c r="B58" s="1075" t="str">
        <f>IFERROR(__xludf.DUMMYFUNCTION("""COMPUTED_VALUE"""),"Xe ben FD850")</f>
        <v>Xe ben FD850</v>
      </c>
      <c r="C58" s="1076" t="str">
        <f>IFERROR(__xludf.DUMMYFUNCTION("""COMPUTED_VALUE"""),"CGTC LP")</f>
        <v>CGTC LP</v>
      </c>
      <c r="D58" s="1076" t="str">
        <f>IFERROR(__xludf.DUMMYFUNCTION("""COMPUTED_VALUE"""),"THACO FORLAND")</f>
        <v>THACO FORLAND</v>
      </c>
      <c r="E58" s="356" t="str">
        <f>IFERROR(__xludf.DUMMYFUNCTION("""COMPUTED_VALUE"""),"VIỆT NAM")</f>
        <v>VIỆT NAM</v>
      </c>
      <c r="F58" s="1076">
        <f>IFERROR(__xludf.DUMMYFUNCTION("""COMPUTED_VALUE"""),2020)</f>
        <v>2020</v>
      </c>
      <c r="G58" s="1076" t="str">
        <f>IFERROR(__xludf.DUMMYFUNCTION("""COMPUTED_VALUE"""),"FD850-5T")</f>
        <v>FD850-5T</v>
      </c>
      <c r="H58" s="23" t="str">
        <f>IFERROR(__xludf.DUMMYFUNCTION("""COMPUTED_VALUE"""),"140HP")</f>
        <v>140HP</v>
      </c>
      <c r="I58" s="1076" t="str">
        <f>IFERROR(__xludf.DUMMYFUNCTION("""COMPUTED_VALUE"""),"RNHF14FYALC008840")</f>
        <v>RNHF14FYALC008840</v>
      </c>
      <c r="J58" s="1076" t="str">
        <f>IFERROR(__xludf.DUMMYFUNCTION("""COMPUTED_VALUE"""),"D59M1J20132")</f>
        <v>D59M1J20132</v>
      </c>
      <c r="K58" s="1076">
        <f>IFERROR(__xludf.DUMMYFUNCTION("""COMPUTED_VALUE"""),6)</f>
        <v>6</v>
      </c>
      <c r="L58" s="1076" t="str">
        <f>IFERROR(__xludf.DUMMYFUNCTION("""COMPUTED_VALUE"""),"KLH")</f>
        <v>KLH</v>
      </c>
    </row>
    <row r="59" customHeight="1" spans="1:12">
      <c r="A59" s="1082" t="str">
        <f>IFERROR(__xludf.DUMMYFUNCTION("""COMPUTED_VALUE"""),"CHT-XTA-017")</f>
        <v>CHT-XTA-017</v>
      </c>
      <c r="B59" s="1075" t="str">
        <f>IFERROR(__xludf.DUMMYFUNCTION("""COMPUTED_VALUE"""),"Xe ben AUMAN GTL D300 E4")</f>
        <v>Xe ben AUMAN GTL D300 E4</v>
      </c>
      <c r="C59" s="1076" t="str">
        <f>IFERROR(__xludf.DUMMYFUNCTION("""COMPUTED_VALUE"""),"CGTC LP")</f>
        <v>CGTC LP</v>
      </c>
      <c r="D59" s="1076" t="str">
        <f>IFERROR(__xludf.DUMMYFUNCTION("""COMPUTED_VALUE"""),"THACO AUMAN")</f>
        <v>THACO AUMAN</v>
      </c>
      <c r="E59" s="356" t="str">
        <f>IFERROR(__xludf.DUMMYFUNCTION("""COMPUTED_VALUE"""),"VIỆT NAM")</f>
        <v>VIỆT NAM</v>
      </c>
      <c r="F59" s="1076">
        <f>IFERROR(__xludf.DUMMYFUNCTION("""COMPUTED_VALUE"""),2018)</f>
        <v>2018</v>
      </c>
      <c r="G59" s="1076" t="str">
        <f>IFERROR(__xludf.DUMMYFUNCTION("""COMPUTED_VALUE"""),"GTL D300E4")</f>
        <v>GTL D300E4</v>
      </c>
      <c r="H59" s="23" t="str">
        <f>IFERROR(__xludf.DUMMYFUNCTION("""COMPUTED_VALUE"""),"375HP")</f>
        <v>375HP</v>
      </c>
      <c r="I59" s="1076" t="str">
        <f>IFERROR(__xludf.DUMMYFUNCTION("""COMPUTED_VALUE"""),"RNHD30FWAJCO078095")</f>
        <v>RNHD30FWAJCO078095</v>
      </c>
      <c r="J59" s="1076" t="str">
        <f>IFERROR(__xludf.DUMMYFUNCTION("""COMPUTED_VALUE"""),"WP10375E431618A009923")</f>
        <v>WP10375E431618A009923</v>
      </c>
      <c r="K59" s="1076">
        <f>IFERROR(__xludf.DUMMYFUNCTION("""COMPUTED_VALUE"""),1.41)</f>
        <v>1.41</v>
      </c>
      <c r="L59" s="1076" t="str">
        <f>IFERROR(__xludf.DUMMYFUNCTION("""COMPUTED_VALUE"""),"KLH")</f>
        <v>KLH</v>
      </c>
    </row>
    <row r="60" customHeight="1" spans="1:12">
      <c r="A60" s="1082" t="str">
        <f>IFERROR(__xludf.DUMMYFUNCTION("""COMPUTED_VALUE"""),"CHT-XTA-028")</f>
        <v>CHT-XTA-028</v>
      </c>
      <c r="B60" s="1075" t="str">
        <f>IFERROR(__xludf.DUMMYFUNCTION("""COMPUTED_VALUE"""),"Xe ben HOWO TXD600")</f>
        <v>Xe ben HOWO TXD600</v>
      </c>
      <c r="C60" s="1076" t="str">
        <f>IFERROR(__xludf.DUMMYFUNCTION("""COMPUTED_VALUE"""),"CGTC LP")</f>
        <v>CGTC LP</v>
      </c>
      <c r="D60" s="1076" t="str">
        <f>IFERROR(__xludf.DUMMYFUNCTION("""COMPUTED_VALUE"""),"HOWO")</f>
        <v>HOWO</v>
      </c>
      <c r="E60" s="356" t="str">
        <f>IFERROR(__xludf.DUMMYFUNCTION("""COMPUTED_VALUE"""),"VIỆT NAM")</f>
        <v>VIỆT NAM</v>
      </c>
      <c r="F60" s="1076">
        <f>IFERROR(__xludf.DUMMYFUNCTION("""COMPUTED_VALUE"""),2022)</f>
        <v>2022</v>
      </c>
      <c r="G60" s="1076" t="str">
        <f>IFERROR(__xludf.DUMMYFUNCTION("""COMPUTED_VALUE"""),"HOWO TX D600")</f>
        <v>HOWO TX D600</v>
      </c>
      <c r="H60" s="23" t="str">
        <f>IFERROR(__xludf.DUMMYFUNCTION("""COMPUTED_VALUE"""),"380HP")</f>
        <v>380HP</v>
      </c>
      <c r="I60" s="1076" t="str">
        <f>IFERROR(__xludf.DUMMYFUNCTION("""COMPUTED_VALUE"""),"RNHD24CWANT063483")</f>
        <v>RNHD24CWANT063483</v>
      </c>
      <c r="J60" s="1076" t="str">
        <f>IFERROR(__xludf.DUMMYFUNCTION("""COMPUTED_VALUE"""),"1622D017391")</f>
        <v>1622D017391</v>
      </c>
      <c r="K60" s="1076">
        <f>IFERROR(__xludf.DUMMYFUNCTION("""COMPUTED_VALUE"""),1.34)</f>
        <v>1.34</v>
      </c>
      <c r="L60" s="1076" t="str">
        <f>IFERROR(__xludf.DUMMYFUNCTION("""COMPUTED_VALUE"""),"KLH")</f>
        <v>KLH</v>
      </c>
    </row>
    <row r="61" customHeight="1" spans="1:12">
      <c r="A61" s="1082" t="str">
        <f>IFERROR(__xludf.DUMMYFUNCTION("""COMPUTED_VALUE"""),"CHT-XTA-029")</f>
        <v>CHT-XTA-029</v>
      </c>
      <c r="B61" s="1075" t="str">
        <f>IFERROR(__xludf.DUMMYFUNCTION("""COMPUTED_VALUE"""),"Xe ben HOWO TXD600")</f>
        <v>Xe ben HOWO TXD600</v>
      </c>
      <c r="C61" s="1076" t="str">
        <f>IFERROR(__xludf.DUMMYFUNCTION("""COMPUTED_VALUE"""),"CGTC LP")</f>
        <v>CGTC LP</v>
      </c>
      <c r="D61" s="1076" t="str">
        <f>IFERROR(__xludf.DUMMYFUNCTION("""COMPUTED_VALUE"""),"HOWO")</f>
        <v>HOWO</v>
      </c>
      <c r="E61" s="356" t="str">
        <f>IFERROR(__xludf.DUMMYFUNCTION("""COMPUTED_VALUE"""),"VIỆT NAM")</f>
        <v>VIỆT NAM</v>
      </c>
      <c r="F61" s="1076">
        <f>IFERROR(__xludf.DUMMYFUNCTION("""COMPUTED_VALUE"""),2022)</f>
        <v>2022</v>
      </c>
      <c r="G61" s="1076" t="str">
        <f>IFERROR(__xludf.DUMMYFUNCTION("""COMPUTED_VALUE"""),"HOWO TX D600")</f>
        <v>HOWO TX D600</v>
      </c>
      <c r="H61" s="23" t="str">
        <f>IFERROR(__xludf.DUMMYFUNCTION("""COMPUTED_VALUE"""),"380HP")</f>
        <v>380HP</v>
      </c>
      <c r="I61" s="1076" t="str">
        <f>IFERROR(__xludf.DUMMYFUNCTION("""COMPUTED_VALUE"""),"RNHD24CWANT063484")</f>
        <v>RNHD24CWANT063484</v>
      </c>
      <c r="J61" s="1076" t="str">
        <f>IFERROR(__xludf.DUMMYFUNCTION("""COMPUTED_VALUE"""),"1622D017399")</f>
        <v>1622D017399</v>
      </c>
      <c r="K61" s="1076">
        <f>IFERROR(__xludf.DUMMYFUNCTION("""COMPUTED_VALUE"""),1.34)</f>
        <v>1.34</v>
      </c>
      <c r="L61" s="1076" t="str">
        <f>IFERROR(__xludf.DUMMYFUNCTION("""COMPUTED_VALUE"""),"KLH")</f>
        <v>KLH</v>
      </c>
    </row>
    <row r="62" customHeight="1" spans="1:12">
      <c r="A62" s="1082" t="str">
        <f>IFERROR(__xludf.DUMMYFUNCTION("""COMPUTED_VALUE"""),"CHT-MĐA-013")</f>
        <v>CHT-MĐA-013</v>
      </c>
      <c r="B62" s="1075" t="str">
        <f>IFERROR(__xludf.DUMMYFUNCTION("""COMPUTED_VALUE"""),"Máy đào SH210 bánh xích gàu 0.9m3")</f>
        <v>Máy đào SH210 bánh xích gàu 0.9m3</v>
      </c>
      <c r="C62" s="1076" t="str">
        <f>IFERROR(__xludf.DUMMYFUNCTION("""COMPUTED_VALUE"""),"CGTC LP")</f>
        <v>CGTC LP</v>
      </c>
      <c r="D62" s="1076" t="str">
        <f>IFERROR(__xludf.DUMMYFUNCTION("""COMPUTED_VALUE"""),"SUMITOMO")</f>
        <v>SUMITOMO</v>
      </c>
      <c r="E62" s="356" t="str">
        <f>IFERROR(__xludf.DUMMYFUNCTION("""COMPUTED_VALUE"""),"NHẬT BẢN")</f>
        <v>NHẬT BẢN</v>
      </c>
      <c r="F62" s="1076">
        <f>IFERROR(__xludf.DUMMYFUNCTION("""COMPUTED_VALUE"""),2020)</f>
        <v>2020</v>
      </c>
      <c r="G62" s="1076" t="str">
        <f>IFERROR(__xludf.DUMMYFUNCTION("""COMPUTED_VALUE"""),"SH210-6")</f>
        <v>SH210-6</v>
      </c>
      <c r="H62" s="23" t="str">
        <f>IFERROR(__xludf.DUMMYFUNCTION("""COMPUTED_VALUE"""),"156HP")</f>
        <v>156HP</v>
      </c>
      <c r="I62" s="1076" t="str">
        <f>IFERROR(__xludf.DUMMYFUNCTION("""COMPUTED_VALUE"""),"STN210T6V00BH2623")</f>
        <v>STN210T6V00BH2623</v>
      </c>
      <c r="J62" s="1076" t="str">
        <f>IFERROR(__xludf.DUMMYFUNCTION("""COMPUTED_VALUE"""),"800391")</f>
        <v>800391</v>
      </c>
      <c r="K62" s="1076">
        <f>IFERROR(__xludf.DUMMYFUNCTION("""COMPUTED_VALUE"""),15)</f>
        <v>15</v>
      </c>
      <c r="L62" s="1076" t="str">
        <f>IFERROR(__xludf.DUMMYFUNCTION("""COMPUTED_VALUE"""),"KLH")</f>
        <v>KLH</v>
      </c>
    </row>
    <row r="63" customHeight="1" spans="1:12">
      <c r="A63" s="1082" t="str">
        <f>IFERROR(__xludf.DUMMYFUNCTION("""COMPUTED_VALUE"""),"CHT-MĐA-014")</f>
        <v>CHT-MĐA-014</v>
      </c>
      <c r="B63" s="1075" t="str">
        <f>IFERROR(__xludf.DUMMYFUNCTION("""COMPUTED_VALUE"""),"Máy đào SH130 bánh xích gàu 0.5m3")</f>
        <v>Máy đào SH130 bánh xích gàu 0.5m3</v>
      </c>
      <c r="C63" s="1076" t="str">
        <f>IFERROR(__xludf.DUMMYFUNCTION("""COMPUTED_VALUE"""),"CGTC LP")</f>
        <v>CGTC LP</v>
      </c>
      <c r="D63" s="1076" t="str">
        <f>IFERROR(__xludf.DUMMYFUNCTION("""COMPUTED_VALUE"""),"SUMITOMO")</f>
        <v>SUMITOMO</v>
      </c>
      <c r="E63" s="356" t="str">
        <f>IFERROR(__xludf.DUMMYFUNCTION("""COMPUTED_VALUE"""),"NHẬT BẢN")</f>
        <v>NHẬT BẢN</v>
      </c>
      <c r="F63" s="1076">
        <f>IFERROR(__xludf.DUMMYFUNCTION("""COMPUTED_VALUE"""),2019)</f>
        <v>2019</v>
      </c>
      <c r="G63" s="1076" t="str">
        <f>IFERROR(__xludf.DUMMYFUNCTION("""COMPUTED_VALUE"""),"SH130-6")</f>
        <v>SH130-6</v>
      </c>
      <c r="H63" s="23" t="str">
        <f>IFERROR(__xludf.DUMMYFUNCTION("""COMPUTED_VALUE"""),"96HP")</f>
        <v>96HP</v>
      </c>
      <c r="I63" s="1076" t="str">
        <f>IFERROR(__xludf.DUMMYFUNCTION("""COMPUTED_VALUE"""),"STN130T6V00BH1607")</f>
        <v>STN130T6V00BH1607</v>
      </c>
      <c r="J63" s="1076" t="str">
        <f>IFERROR(__xludf.DUMMYFUNCTION("""COMPUTED_VALUE"""),"2757064JJ1")</f>
        <v>2757064JJ1</v>
      </c>
      <c r="K63" s="1076">
        <f>IFERROR(__xludf.DUMMYFUNCTION("""COMPUTED_VALUE"""),12)</f>
        <v>12</v>
      </c>
      <c r="L63" s="1076" t="str">
        <f>IFERROR(__xludf.DUMMYFUNCTION("""COMPUTED_VALUE"""),"KLH")</f>
        <v>KLH</v>
      </c>
    </row>
    <row r="64" customHeight="1" spans="1:12">
      <c r="A64" s="1082" t="str">
        <f>IFERROR(__xludf.DUMMYFUNCTION("""COMPUTED_VALUE"""),"CHT-MĐA-015")</f>
        <v>CHT-MĐA-015</v>
      </c>
      <c r="B64" s="1075" t="str">
        <f>IFERROR(__xludf.DUMMYFUNCTION("""COMPUTED_VALUE"""),"Máy đào DX140W bánh lốp gàu 0.7m3")</f>
        <v>Máy đào DX140W bánh lốp gàu 0.7m3</v>
      </c>
      <c r="C64" s="1076" t="str">
        <f>IFERROR(__xludf.DUMMYFUNCTION("""COMPUTED_VALUE"""),"CGTC LP")</f>
        <v>CGTC LP</v>
      </c>
      <c r="D64" s="1076" t="str">
        <f>IFERROR(__xludf.DUMMYFUNCTION("""COMPUTED_VALUE"""),"DOOSAN")</f>
        <v>DOOSAN</v>
      </c>
      <c r="E64" s="356" t="str">
        <f>IFERROR(__xludf.DUMMYFUNCTION("""COMPUTED_VALUE"""),"HÀN QUỐC")</f>
        <v>HÀN QUỐC</v>
      </c>
      <c r="F64" s="1076">
        <f>IFERROR(__xludf.DUMMYFUNCTION("""COMPUTED_VALUE"""),2020)</f>
        <v>2020</v>
      </c>
      <c r="G64" s="1076" t="str">
        <f>IFERROR(__xludf.DUMMYFUNCTION("""COMPUTED_VALUE"""),"DX140W")</f>
        <v>DX140W</v>
      </c>
      <c r="H64" s="23" t="str">
        <f>IFERROR(__xludf.DUMMYFUNCTION("""COMPUTED_VALUE"""),"133HP")</f>
        <v>133HP</v>
      </c>
      <c r="I64" s="1076" t="str">
        <f>IFERROR(__xludf.DUMMYFUNCTION("""COMPUTED_VALUE"""),"DHKCEWAAHL5008817")</f>
        <v>DHKCEWAAHL5008817</v>
      </c>
      <c r="J64" s="1076" t="str">
        <f>IFERROR(__xludf.DUMMYFUNCTION("""COMPUTED_VALUE"""),"DB58TIS039588EJ")</f>
        <v>DB58TIS039588EJ</v>
      </c>
      <c r="K64" s="1076">
        <f>IFERROR(__xludf.DUMMYFUNCTION("""COMPUTED_VALUE"""),10)</f>
        <v>10</v>
      </c>
      <c r="L64" s="1076" t="str">
        <f>IFERROR(__xludf.DUMMYFUNCTION("""COMPUTED_VALUE"""),"KLH")</f>
        <v>KLH</v>
      </c>
    </row>
    <row r="65" customHeight="1" spans="1:12">
      <c r="A65" s="1082" t="str">
        <f>IFERROR(__xludf.DUMMYFUNCTION("""COMPUTED_VALUE"""),"CHT-MĐA-016")</f>
        <v>CHT-MĐA-016</v>
      </c>
      <c r="B65" s="1075" t="str">
        <f>IFERROR(__xludf.DUMMYFUNCTION("""COMPUTED_VALUE"""),"Máy đào DX140W bánh lốp gàu 0.7m3")</f>
        <v>Máy đào DX140W bánh lốp gàu 0.7m3</v>
      </c>
      <c r="C65" s="1076" t="str">
        <f>IFERROR(__xludf.DUMMYFUNCTION("""COMPUTED_VALUE"""),"CGTC LP")</f>
        <v>CGTC LP</v>
      </c>
      <c r="D65" s="1076" t="str">
        <f>IFERROR(__xludf.DUMMYFUNCTION("""COMPUTED_VALUE"""),"DOOSAN")</f>
        <v>DOOSAN</v>
      </c>
      <c r="E65" s="356" t="str">
        <f>IFERROR(__xludf.DUMMYFUNCTION("""COMPUTED_VALUE"""),"HÀN QUỐC")</f>
        <v>HÀN QUỐC</v>
      </c>
      <c r="F65" s="1076">
        <f>IFERROR(__xludf.DUMMYFUNCTION("""COMPUTED_VALUE"""),2020)</f>
        <v>2020</v>
      </c>
      <c r="G65" s="1076" t="str">
        <f>IFERROR(__xludf.DUMMYFUNCTION("""COMPUTED_VALUE"""),"DX140W")</f>
        <v>DX140W</v>
      </c>
      <c r="H65" s="23" t="str">
        <f>IFERROR(__xludf.DUMMYFUNCTION("""COMPUTED_VALUE"""),"133HP")</f>
        <v>133HP</v>
      </c>
      <c r="I65" s="1076" t="str">
        <f>IFERROR(__xludf.DUMMYFUNCTION("""COMPUTED_VALUE"""),"DHKCEWAAHL5008818")</f>
        <v>DHKCEWAAHL5008818</v>
      </c>
      <c r="J65" s="1076" t="str">
        <f>IFERROR(__xludf.DUMMYFUNCTION("""COMPUTED_VALUE"""),"DB58TIS039734EJ")</f>
        <v>DB58TIS039734EJ</v>
      </c>
      <c r="K65" s="1076">
        <f>IFERROR(__xludf.DUMMYFUNCTION("""COMPUTED_VALUE"""),10)</f>
        <v>10</v>
      </c>
      <c r="L65" s="1076" t="str">
        <f>IFERROR(__xludf.DUMMYFUNCTION("""COMPUTED_VALUE"""),"KLH")</f>
        <v>KLH</v>
      </c>
    </row>
    <row r="66" customHeight="1" spans="1:12">
      <c r="A66" s="1082" t="str">
        <f>IFERROR(__xludf.DUMMYFUNCTION("""COMPUTED_VALUE"""),"XL3-MĐA-002")</f>
        <v>XL3-MĐA-002</v>
      </c>
      <c r="B66" s="1075" t="str">
        <f>IFERROR(__xludf.DUMMYFUNCTION("""COMPUTED_VALUE"""),"Máy đào U35 bánh xích gàu 0.3m3")</f>
        <v>Máy đào U35 bánh xích gàu 0.3m3</v>
      </c>
      <c r="C66" s="1076" t="str">
        <f>IFERROR(__xludf.DUMMYFUNCTION("""COMPUTED_VALUE"""),"CGTC LP")</f>
        <v>CGTC LP</v>
      </c>
      <c r="D66" s="1076" t="str">
        <f>IFERROR(__xludf.DUMMYFUNCTION("""COMPUTED_VALUE"""),"KUBOTA")</f>
        <v>KUBOTA</v>
      </c>
      <c r="E66" s="356" t="str">
        <f>IFERROR(__xludf.DUMMYFUNCTION("""COMPUTED_VALUE"""),"NHẬT BẢN")</f>
        <v>NHẬT BẢN</v>
      </c>
      <c r="F66" s="1076">
        <f>IFERROR(__xludf.DUMMYFUNCTION("""COMPUTED_VALUE"""),2015)</f>
        <v>2015</v>
      </c>
      <c r="G66" s="1076" t="str">
        <f>IFERROR(__xludf.DUMMYFUNCTION("""COMPUTED_VALUE"""),"U35-6")</f>
        <v>U35-6</v>
      </c>
      <c r="H66" s="23" t="str">
        <f>IFERROR(__xludf.DUMMYFUNCTION("""COMPUTED_VALUE"""),"32HP")</f>
        <v>32HP</v>
      </c>
      <c r="I66" s="1076" t="str">
        <f>IFERROR(__xludf.DUMMYFUNCTION("""COMPUTED_VALUE"""),"60432")</f>
        <v>60432</v>
      </c>
      <c r="J66" s="1076" t="str">
        <f>IFERROR(__xludf.DUMMYFUNCTION("""COMPUTED_VALUE"""),"CCN")</f>
        <v>CCN</v>
      </c>
      <c r="K66" s="1076">
        <f>IFERROR(__xludf.DUMMYFUNCTION("""COMPUTED_VALUE"""),4)</f>
        <v>4</v>
      </c>
      <c r="L66" s="1076" t="str">
        <f>IFERROR(__xludf.DUMMYFUNCTION("""COMPUTED_VALUE"""),"KLH")</f>
        <v>KLH</v>
      </c>
    </row>
    <row r="67" customHeight="1" spans="1:12">
      <c r="A67" s="1082" t="str">
        <f>IFERROR(__xludf.DUMMYFUNCTION("""COMPUTED_VALUE"""),"XL4-MĐA-001")</f>
        <v>XL4-MĐA-001</v>
      </c>
      <c r="B67" s="1075" t="str">
        <f>IFERROR(__xludf.DUMMYFUNCTION("""COMPUTED_VALUE"""),"Máy đào KOMATSU bánh xích gàu 0.3m3")</f>
        <v>Máy đào KOMATSU bánh xích gàu 0.3m3</v>
      </c>
      <c r="C67" s="1076" t="str">
        <f>IFERROR(__xludf.DUMMYFUNCTION("""COMPUTED_VALUE"""),"CGTC LP")</f>
        <v>CGTC LP</v>
      </c>
      <c r="D67" s="1076" t="str">
        <f>IFERROR(__xludf.DUMMYFUNCTION("""COMPUTED_VALUE"""),"KOMATSU")</f>
        <v>KOMATSU</v>
      </c>
      <c r="E67" s="356" t="str">
        <f>IFERROR(__xludf.DUMMYFUNCTION("""COMPUTED_VALUE"""),"NHẬT BẢN")</f>
        <v>NHẬT BẢN</v>
      </c>
      <c r="F67" s="1076">
        <f>IFERROR(__xludf.DUMMYFUNCTION("""COMPUTED_VALUE"""),2006)</f>
        <v>2006</v>
      </c>
      <c r="G67" s="1076" t="str">
        <f>IFERROR(__xludf.DUMMYFUNCTION("""COMPUTED_VALUE"""),"PC40-MR")</f>
        <v>PC40-MR</v>
      </c>
      <c r="H67" s="23" t="str">
        <f>IFERROR(__xludf.DUMMYFUNCTION("""COMPUTED_VALUE"""),"39HP")</f>
        <v>39HP</v>
      </c>
      <c r="I67" s="1076" t="str">
        <f>IFERROR(__xludf.DUMMYFUNCTION("""COMPUTED_VALUE"""),"9101")</f>
        <v>9101</v>
      </c>
      <c r="J67" s="1076" t="str">
        <f>IFERROR(__xludf.DUMMYFUNCTION("""COMPUTED_VALUE"""),"CCN")</f>
        <v>CCN</v>
      </c>
      <c r="K67" s="1076">
        <f>IFERROR(__xludf.DUMMYFUNCTION("""COMPUTED_VALUE"""),4)</f>
        <v>4</v>
      </c>
      <c r="L67" s="1076" t="str">
        <f>IFERROR(__xludf.DUMMYFUNCTION("""COMPUTED_VALUE"""),"KLH")</f>
        <v>KLH</v>
      </c>
    </row>
    <row r="68" customHeight="1" spans="1:12">
      <c r="A68" s="1082" t="str">
        <f>IFERROR(__xludf.DUMMYFUNCTION("""COMPUTED_VALUE"""),"CHT-XTA-032")</f>
        <v>CHT-XTA-032</v>
      </c>
      <c r="B68" s="1075" t="str">
        <f>IFERROR(__xludf.DUMMYFUNCTION("""COMPUTED_VALUE"""),"Xe ben FD150")</f>
        <v>Xe ben FD150</v>
      </c>
      <c r="C68" s="1076" t="str">
        <f>IFERROR(__xludf.DUMMYFUNCTION("""COMPUTED_VALUE"""),"CGTC LP")</f>
        <v>CGTC LP</v>
      </c>
      <c r="D68" s="1076" t="str">
        <f>IFERROR(__xludf.DUMMYFUNCTION("""COMPUTED_VALUE"""),"FORLAND")</f>
        <v>FORLAND</v>
      </c>
      <c r="E68" s="356" t="str">
        <f>IFERROR(__xludf.DUMMYFUNCTION("""COMPUTED_VALUE"""),"VIỆT NAM")</f>
        <v>VIỆT NAM</v>
      </c>
      <c r="F68" s="1076">
        <f>IFERROR(__xludf.DUMMYFUNCTION("""COMPUTED_VALUE"""),2024)</f>
        <v>2024</v>
      </c>
      <c r="G68" s="1076" t="str">
        <f>IFERROR(__xludf.DUMMYFUNCTION("""COMPUTED_VALUE"""),"FD150-4WD")</f>
        <v>FD150-4WD</v>
      </c>
      <c r="H68" s="23" t="str">
        <f>IFERROR(__xludf.DUMMYFUNCTION("""COMPUTED_VALUE"""),"150HP")</f>
        <v>150HP</v>
      </c>
      <c r="I68" s="1076" t="str">
        <f>IFERROR(__xludf.DUMMYFUNCTION("""COMPUTED_VALUE"""),"RNHF16FYART000830")</f>
        <v>RNHF16FYART000830</v>
      </c>
      <c r="J68" s="1076" t="str">
        <f>IFERROR(__xludf.DUMMYFUNCTION("""COMPUTED_VALUE"""),"D59M1N01292")</f>
        <v>D59M1N01292</v>
      </c>
      <c r="K68" s="1076">
        <f>IFERROR(__xludf.DUMMYFUNCTION("""COMPUTED_VALUE"""),1)</f>
        <v>1</v>
      </c>
      <c r="L68" s="1076" t="str">
        <f>IFERROR(__xludf.DUMMYFUNCTION("""COMPUTED_VALUE"""),"KLH")</f>
        <v>KLH</v>
      </c>
    </row>
    <row r="69" customHeight="1" spans="1:12">
      <c r="A69" s="1082" t="str">
        <f>IFERROR(__xludf.DUMMYFUNCTION("""COMPUTED_VALUE"""),"CHT-XTA-033")</f>
        <v>CHT-XTA-033</v>
      </c>
      <c r="B69" s="1075" t="str">
        <f>IFERROR(__xludf.DUMMYFUNCTION("""COMPUTED_VALUE"""),"Xe ben FD150")</f>
        <v>Xe ben FD150</v>
      </c>
      <c r="C69" s="1076" t="str">
        <f>IFERROR(__xludf.DUMMYFUNCTION("""COMPUTED_VALUE"""),"CGTC LP")</f>
        <v>CGTC LP</v>
      </c>
      <c r="D69" s="1076" t="str">
        <f>IFERROR(__xludf.DUMMYFUNCTION("""COMPUTED_VALUE"""),"FORLAND")</f>
        <v>FORLAND</v>
      </c>
      <c r="E69" s="356" t="str">
        <f>IFERROR(__xludf.DUMMYFUNCTION("""COMPUTED_VALUE"""),"VIỆT NAM")</f>
        <v>VIỆT NAM</v>
      </c>
      <c r="F69" s="1076">
        <f>IFERROR(__xludf.DUMMYFUNCTION("""COMPUTED_VALUE"""),2024)</f>
        <v>2024</v>
      </c>
      <c r="G69" s="1076" t="str">
        <f>IFERROR(__xludf.DUMMYFUNCTION("""COMPUTED_VALUE"""),"FD150-4WD")</f>
        <v>FD150-4WD</v>
      </c>
      <c r="H69" s="23" t="str">
        <f>IFERROR(__xludf.DUMMYFUNCTION("""COMPUTED_VALUE"""),"150HP")</f>
        <v>150HP</v>
      </c>
      <c r="I69" s="1076" t="str">
        <f>IFERROR(__xludf.DUMMYFUNCTION("""COMPUTED_VALUE"""),"RNHF16FYART000831")</f>
        <v>RNHF16FYART000831</v>
      </c>
      <c r="J69" s="1076" t="str">
        <f>IFERROR(__xludf.DUMMYFUNCTION("""COMPUTED_VALUE"""),"D59M1N01308")</f>
        <v>D59M1N01308</v>
      </c>
      <c r="K69" s="1076">
        <f>IFERROR(__xludf.DUMMYFUNCTION("""COMPUTED_VALUE"""),1)</f>
        <v>1</v>
      </c>
      <c r="L69" s="1076" t="str">
        <f>IFERROR(__xludf.DUMMYFUNCTION("""COMPUTED_VALUE"""),"KLH")</f>
        <v>KLH</v>
      </c>
    </row>
    <row r="70" customHeight="1" spans="1:12">
      <c r="A70" s="1082" t="str">
        <f>IFERROR(__xludf.DUMMYFUNCTION("""COMPUTED_VALUE"""),"CHT-XTA-041")</f>
        <v>CHT-XTA-041</v>
      </c>
      <c r="B70" s="1075" t="str">
        <f>IFERROR(__xludf.DUMMYFUNCTION("""COMPUTED_VALUE"""),"Xe ben FC150")</f>
        <v>Xe ben FC150</v>
      </c>
      <c r="C70" s="1076" t="str">
        <f>IFERROR(__xludf.DUMMYFUNCTION("""COMPUTED_VALUE"""),"CGTC LP")</f>
        <v>CGTC LP</v>
      </c>
      <c r="D70" s="1076" t="str">
        <f>IFERROR(__xludf.DUMMYFUNCTION("""COMPUTED_VALUE"""),"FORLAND")</f>
        <v>FORLAND</v>
      </c>
      <c r="E70" s="356" t="str">
        <f>IFERROR(__xludf.DUMMYFUNCTION("""COMPUTED_VALUE"""),"VIỆT NAM")</f>
        <v>VIỆT NAM</v>
      </c>
      <c r="F70" s="1076">
        <f>IFERROR(__xludf.DUMMYFUNCTION("""COMPUTED_VALUE"""),2024)</f>
        <v>2024</v>
      </c>
      <c r="G70" s="1076" t="str">
        <f>IFERROR(__xludf.DUMMYFUNCTION("""COMPUTED_VALUE"""),"FC150-4WD")</f>
        <v>FC150-4WD</v>
      </c>
      <c r="H70" s="23" t="str">
        <f>IFERROR(__xludf.DUMMYFUNCTION("""COMPUTED_VALUE"""),"150HP")</f>
        <v>150HP</v>
      </c>
      <c r="I70" s="1076" t="str">
        <f>IFERROR(__xludf.DUMMYFUNCTION("""COMPUTED_VALUE"""),"RNHF16FYBRT000136")</f>
        <v>RNHF16FYBRT000136</v>
      </c>
      <c r="J70" s="1076" t="str">
        <f>IFERROR(__xludf.DUMMYFUNCTION("""COMPUTED_VALUE"""),"D59M1N01094")</f>
        <v>D59M1N01094</v>
      </c>
      <c r="K70" s="1076">
        <f>IFERROR(__xludf.DUMMYFUNCTION("""COMPUTED_VALUE"""),1)</f>
        <v>1</v>
      </c>
      <c r="L70" s="1076" t="str">
        <f>IFERROR(__xludf.DUMMYFUNCTION("""COMPUTED_VALUE"""),"KLH")</f>
        <v>KLH</v>
      </c>
    </row>
    <row r="71" customHeight="1" spans="1:12">
      <c r="A71" s="1082" t="str">
        <f>IFERROR(__xludf.DUMMYFUNCTION("""COMPUTED_VALUE"""),"CHT-XTA-042")</f>
        <v>CHT-XTA-042</v>
      </c>
      <c r="B71" s="1075" t="str">
        <f>IFERROR(__xludf.DUMMYFUNCTION("""COMPUTED_VALUE"""),"Xe ben FC150")</f>
        <v>Xe ben FC150</v>
      </c>
      <c r="C71" s="1076" t="str">
        <f>IFERROR(__xludf.DUMMYFUNCTION("""COMPUTED_VALUE"""),"CGTC LP")</f>
        <v>CGTC LP</v>
      </c>
      <c r="D71" s="1076" t="str">
        <f>IFERROR(__xludf.DUMMYFUNCTION("""COMPUTED_VALUE"""),"FORLAND")</f>
        <v>FORLAND</v>
      </c>
      <c r="E71" s="356" t="str">
        <f>IFERROR(__xludf.DUMMYFUNCTION("""COMPUTED_VALUE"""),"VIỆT NAM")</f>
        <v>VIỆT NAM</v>
      </c>
      <c r="F71" s="1076">
        <f>IFERROR(__xludf.DUMMYFUNCTION("""COMPUTED_VALUE"""),2024)</f>
        <v>2024</v>
      </c>
      <c r="G71" s="1076" t="str">
        <f>IFERROR(__xludf.DUMMYFUNCTION("""COMPUTED_VALUE"""),"FC150-4WD")</f>
        <v>FC150-4WD</v>
      </c>
      <c r="H71" s="23" t="str">
        <f>IFERROR(__xludf.DUMMYFUNCTION("""COMPUTED_VALUE"""),"150HP")</f>
        <v>150HP</v>
      </c>
      <c r="I71" s="1076" t="str">
        <f>IFERROR(__xludf.DUMMYFUNCTION("""COMPUTED_VALUE"""),"RNHF16FYBRT000137")</f>
        <v>RNHF16FYBRT000137</v>
      </c>
      <c r="J71" s="1076" t="str">
        <f>IFERROR(__xludf.DUMMYFUNCTION("""COMPUTED_VALUE"""),"D59M1N01095")</f>
        <v>D59M1N01095</v>
      </c>
      <c r="K71" s="1076">
        <f>IFERROR(__xludf.DUMMYFUNCTION("""COMPUTED_VALUE"""),1)</f>
        <v>1</v>
      </c>
      <c r="L71" s="1076" t="str">
        <f>IFERROR(__xludf.DUMMYFUNCTION("""COMPUTED_VALUE"""),"KLH")</f>
        <v>KLH</v>
      </c>
    </row>
    <row r="72" customHeight="1" spans="1:12">
      <c r="A72" s="1082" t="str">
        <f>IFERROR(__xludf.DUMMYFUNCTION("""COMPUTED_VALUE"""),"CHT-XTA-043")</f>
        <v>CHT-XTA-043</v>
      </c>
      <c r="B72" s="1075" t="str">
        <f>IFERROR(__xludf.DUMMYFUNCTION("""COMPUTED_VALUE"""),"Xe ben FC150")</f>
        <v>Xe ben FC150</v>
      </c>
      <c r="C72" s="1076" t="str">
        <f>IFERROR(__xludf.DUMMYFUNCTION("""COMPUTED_VALUE"""),"CGTC LP")</f>
        <v>CGTC LP</v>
      </c>
      <c r="D72" s="1076" t="str">
        <f>IFERROR(__xludf.DUMMYFUNCTION("""COMPUTED_VALUE"""),"FORLAND")</f>
        <v>FORLAND</v>
      </c>
      <c r="E72" s="356" t="str">
        <f>IFERROR(__xludf.DUMMYFUNCTION("""COMPUTED_VALUE"""),"VIỆT NAM")</f>
        <v>VIỆT NAM</v>
      </c>
      <c r="F72" s="1076">
        <f>IFERROR(__xludf.DUMMYFUNCTION("""COMPUTED_VALUE"""),2024)</f>
        <v>2024</v>
      </c>
      <c r="G72" s="1076" t="str">
        <f>IFERROR(__xludf.DUMMYFUNCTION("""COMPUTED_VALUE"""),"FC150-4WD")</f>
        <v>FC150-4WD</v>
      </c>
      <c r="H72" s="23" t="str">
        <f>IFERROR(__xludf.DUMMYFUNCTION("""COMPUTED_VALUE"""),"150HP")</f>
        <v>150HP</v>
      </c>
      <c r="I72" s="1076" t="str">
        <f>IFERROR(__xludf.DUMMYFUNCTION("""COMPUTED_VALUE"""),"RNHF16FYBRT000138")</f>
        <v>RNHF16FYBRT000138</v>
      </c>
      <c r="J72" s="1076" t="str">
        <f>IFERROR(__xludf.DUMMYFUNCTION("""COMPUTED_VALUE"""),"D59M1N01096")</f>
        <v>D59M1N01096</v>
      </c>
      <c r="K72" s="1076">
        <f>IFERROR(__xludf.DUMMYFUNCTION("""COMPUTED_VALUE"""),1)</f>
        <v>1</v>
      </c>
      <c r="L72" s="1076" t="str">
        <f>IFERROR(__xludf.DUMMYFUNCTION("""COMPUTED_VALUE"""),"KLH")</f>
        <v>KLH</v>
      </c>
    </row>
    <row r="73" customHeight="1" spans="1:12">
      <c r="A73" s="1082" t="str">
        <f>IFERROR(__xludf.DUMMYFUNCTION("""COMPUTED_VALUE"""),"CHT-MĐA-074")</f>
        <v>CHT-MĐA-074</v>
      </c>
      <c r="B73" s="1075" t="str">
        <f>IFERROR(__xludf.DUMMYFUNCTION("""COMPUTED_VALUE"""),"Máy đào KOMATSU bánh xích gàu 0.8m3")</f>
        <v>Máy đào KOMATSU bánh xích gàu 0.8m3</v>
      </c>
      <c r="C73" s="1076" t="str">
        <f>IFERROR(__xludf.DUMMYFUNCTION("""COMPUTED_VALUE"""),"CGTC LP")</f>
        <v>CGTC LP</v>
      </c>
      <c r="D73" s="1076" t="str">
        <f>IFERROR(__xludf.DUMMYFUNCTION("""COMPUTED_VALUE"""),"KOMATSU")</f>
        <v>KOMATSU</v>
      </c>
      <c r="E73" s="356" t="str">
        <f>IFERROR(__xludf.DUMMYFUNCTION("""COMPUTED_VALUE"""),"NHẬT BẢN")</f>
        <v>NHẬT BẢN</v>
      </c>
      <c r="F73" s="1076">
        <f>IFERROR(__xludf.DUMMYFUNCTION("""COMPUTED_VALUE"""),2010)</f>
        <v>2010</v>
      </c>
      <c r="G73" s="1076" t="str">
        <f>IFERROR(__xludf.DUMMYFUNCTION("""COMPUTED_VALUE"""),"PC200-8N1")</f>
        <v>PC200-8N1</v>
      </c>
      <c r="H73" s="23" t="str">
        <f>IFERROR(__xludf.DUMMYFUNCTION("""COMPUTED_VALUE"""),"145HP")</f>
        <v>145HP</v>
      </c>
      <c r="I73" s="1076" t="str">
        <f>IFERROR(__xludf.DUMMYFUNCTION("""COMPUTED_VALUE"""),"KMTPC197A02351172")</f>
        <v>KMTPC197A02351172</v>
      </c>
      <c r="J73" s="1076" t="str">
        <f>IFERROR(__xludf.DUMMYFUNCTION("""COMPUTED_VALUE"""),"6D10726567400")</f>
        <v>6D10726567400</v>
      </c>
      <c r="K73" s="1076">
        <f>IFERROR(__xludf.DUMMYFUNCTION("""COMPUTED_VALUE"""),14)</f>
        <v>14</v>
      </c>
      <c r="L73" s="1076" t="str">
        <f>IFERROR(__xludf.DUMMYFUNCTION("""COMPUTED_VALUE"""),"KLH")</f>
        <v>KLH</v>
      </c>
    </row>
    <row r="74" customHeight="1" spans="1:12">
      <c r="A74" s="1082" t="str">
        <f>IFERROR(__xludf.DUMMYFUNCTION("""COMPUTED_VALUE"""),"CHT-XLU-011")</f>
        <v>CHT-XLU-011</v>
      </c>
      <c r="B74" s="1075" t="str">
        <f>IFERROR(__xludf.DUMMYFUNCTION("""COMPUTED_VALUE"""),"Xe lu rung Sakai 3.5 tấn")</f>
        <v>Xe lu rung Sakai 3.5 tấn</v>
      </c>
      <c r="C74" s="1076" t="str">
        <f>IFERROR(__xludf.DUMMYFUNCTION("""COMPUTED_VALUE"""),"CGTC LP")</f>
        <v>CGTC LP</v>
      </c>
      <c r="D74" s="1076" t="str">
        <f>IFERROR(__xludf.DUMMYFUNCTION("""COMPUTED_VALUE"""),"SAKAI")</f>
        <v>SAKAI</v>
      </c>
      <c r="E74" s="356" t="str">
        <f>IFERROR(__xludf.DUMMYFUNCTION("""COMPUTED_VALUE"""),"NHẬT BẢN")</f>
        <v>NHẬT BẢN</v>
      </c>
      <c r="F74" s="1076">
        <f>IFERROR(__xludf.DUMMYFUNCTION("""COMPUTED_VALUE"""),2004)</f>
        <v>2004</v>
      </c>
      <c r="G74" s="1076" t="str">
        <f>IFERROR(__xludf.DUMMYFUNCTION("""COMPUTED_VALUE"""),"TW500W‑1")</f>
        <v>TW500W‑1</v>
      </c>
      <c r="H74" s="23" t="str">
        <f>IFERROR(__xludf.DUMMYFUNCTION("""COMPUTED_VALUE"""),"39HP")</f>
        <v>39HP</v>
      </c>
      <c r="I74" s="1076" t="str">
        <f>IFERROR(__xludf.DUMMYFUNCTION("""COMPUTED_VALUE"""),"VTW1521818")</f>
        <v>VTW1521818</v>
      </c>
      <c r="J74" s="1076" t="str">
        <f>IFERROR(__xludf.DUMMYFUNCTION("""COMPUTED_VALUE"""),"166376")</f>
        <v>166376</v>
      </c>
      <c r="K74" s="1076">
        <f>IFERROR(__xludf.DUMMYFUNCTION("""COMPUTED_VALUE"""),2.5)</f>
        <v>2.5</v>
      </c>
      <c r="L74" s="1076" t="str">
        <f>IFERROR(__xludf.DUMMYFUNCTION("""COMPUTED_VALUE"""),"KLH")</f>
        <v>KLH</v>
      </c>
    </row>
    <row r="75" customHeight="1" spans="1:12">
      <c r="A75" s="1082" t="str">
        <f>IFERROR(__xludf.DUMMYFUNCTION("""COMPUTED_VALUE"""),"CHT-MĐA-077")</f>
        <v>CHT-MĐA-077</v>
      </c>
      <c r="B75" s="1075" t="str">
        <f>IFERROR(__xludf.DUMMYFUNCTION("""COMPUTED_VALUE"""),"Máy đào KOMATSU bánh lốp gàu 0.7m3")</f>
        <v>Máy đào KOMATSU bánh lốp gàu 0.7m3</v>
      </c>
      <c r="C75" s="1076" t="str">
        <f>IFERROR(__xludf.DUMMYFUNCTION("""COMPUTED_VALUE"""),"CGTC LP")</f>
        <v>CGTC LP</v>
      </c>
      <c r="D75" s="1076" t="str">
        <f>IFERROR(__xludf.DUMMYFUNCTION("""COMPUTED_VALUE"""),"KOMATSU")</f>
        <v>KOMATSU</v>
      </c>
      <c r="E75" s="356" t="str">
        <f>IFERROR(__xludf.DUMMYFUNCTION("""COMPUTED_VALUE"""),"NHẬT BẢN")</f>
        <v>NHẬT BẢN</v>
      </c>
      <c r="F75" s="1076">
        <f>IFERROR(__xludf.DUMMYFUNCTION("""COMPUTED_VALUE"""),1990)</f>
        <v>1990</v>
      </c>
      <c r="G75" s="1076" t="str">
        <f>IFERROR(__xludf.DUMMYFUNCTION("""COMPUTED_VALUE"""),"PW200-1")</f>
        <v>PW200-1</v>
      </c>
      <c r="H75" s="23" t="str">
        <f>IFERROR(__xludf.DUMMYFUNCTION("""COMPUTED_VALUE"""),"115HP")</f>
        <v>115HP</v>
      </c>
      <c r="I75" s="1076" t="str">
        <f>IFERROR(__xludf.DUMMYFUNCTION("""COMPUTED_VALUE"""),"PW200110186")</f>
        <v>PW200110186</v>
      </c>
      <c r="J75" s="1076" t="str">
        <f>IFERROR(__xludf.DUMMYFUNCTION("""COMPUTED_VALUE"""),"6D105121806")</f>
        <v>6D105121806</v>
      </c>
      <c r="K75" s="1076">
        <f>IFERROR(__xludf.DUMMYFUNCTION("""COMPUTED_VALUE"""),10)</f>
        <v>10</v>
      </c>
      <c r="L75" s="1076" t="str">
        <f>IFERROR(__xludf.DUMMYFUNCTION("""COMPUTED_VALUE"""),"KLH")</f>
        <v>KLH</v>
      </c>
    </row>
    <row r="76" customHeight="1" spans="1:12">
      <c r="A76" s="1082" t="str">
        <f>IFERROR(__xludf.DUMMYFUNCTION("""COMPUTED_VALUE"""),"CHT-MUI-014")</f>
        <v>CHT-MUI-014</v>
      </c>
      <c r="B76" s="1075" t="str">
        <f>IFERROR(__xludf.DUMMYFUNCTION("""COMPUTED_VALUE"""),"Máy ủi KOMATSU D31PX-21")</f>
        <v>Máy ủi KOMATSU D31PX-21</v>
      </c>
      <c r="C76" s="1076" t="str">
        <f>IFERROR(__xludf.DUMMYFUNCTION("""COMPUTED_VALUE"""),"CGTC LP")</f>
        <v>CGTC LP</v>
      </c>
      <c r="D76" s="1076" t="str">
        <f>IFERROR(__xludf.DUMMYFUNCTION("""COMPUTED_VALUE"""),"KOMATSU")</f>
        <v>KOMATSU</v>
      </c>
      <c r="E76" s="356" t="str">
        <f>IFERROR(__xludf.DUMMYFUNCTION("""COMPUTED_VALUE"""),"Nhật Bản")</f>
        <v>Nhật Bản</v>
      </c>
      <c r="F76" s="1076">
        <f>IFERROR(__xludf.DUMMYFUNCTION("""COMPUTED_VALUE"""),2006)</f>
        <v>2006</v>
      </c>
      <c r="G76" s="1076" t="str">
        <f>IFERROR(__xludf.DUMMYFUNCTION("""COMPUTED_VALUE"""),"D31PX-21")</f>
        <v>D31PX-21</v>
      </c>
      <c r="H76" s="23" t="str">
        <f>IFERROR(__xludf.DUMMYFUNCTION("""COMPUTED_VALUE"""),"78HP")</f>
        <v>78HP</v>
      </c>
      <c r="I76" s="1076" t="str">
        <f>IFERROR(__xludf.DUMMYFUNCTION("""COMPUTED_VALUE"""),"KMT0D007J01051638")</f>
        <v>KMT0D007J01051638</v>
      </c>
      <c r="J76" s="1076" t="str">
        <f>IFERROR(__xludf.DUMMYFUNCTION("""COMPUTED_VALUE"""),"4D10226430130")</f>
        <v>4D10226430130</v>
      </c>
      <c r="K76" s="1076">
        <f>IFERROR(__xludf.DUMMYFUNCTION("""COMPUTED_VALUE"""),8)</f>
        <v>8</v>
      </c>
      <c r="L76" s="1076" t="str">
        <f>IFERROR(__xludf.DUMMYFUNCTION("""COMPUTED_VALUE"""),"KLH")</f>
        <v>KLH</v>
      </c>
    </row>
    <row r="77" customHeight="1" spans="1:12">
      <c r="A77" s="1082" t="str">
        <f>IFERROR(__xludf.DUMMYFUNCTION("""COMPUTED_VALUE"""),"Cơ giới thi công AD")</f>
        <v>Cơ giới thi công AD</v>
      </c>
      <c r="B77" s="1075"/>
      <c r="C77" s="1076"/>
      <c r="D77" s="1076"/>
      <c r="E77" s="356"/>
      <c r="F77" s="1076"/>
      <c r="G77" s="1076"/>
      <c r="H77" s="146"/>
      <c r="I77" s="1076"/>
      <c r="J77" s="1076"/>
      <c r="K77" s="1076"/>
      <c r="L77" s="1076" t="str">
        <f>IFERROR(__xludf.DUMMYFUNCTION("""COMPUTED_VALUE"""),"KLH")</f>
        <v>KLH</v>
      </c>
    </row>
    <row r="78" customHeight="1" spans="1:12">
      <c r="A78" s="1082" t="str">
        <f>IFERROR(__xludf.DUMMYFUNCTION("""COMPUTED_VALUE"""),"CHT-BAN-004")</f>
        <v>CHT-BAN-004</v>
      </c>
      <c r="B78" s="1075" t="str">
        <f>IFERROR(__xludf.DUMMYFUNCTION("""COMPUTED_VALUE"""),"Xe ban KOMATSU GD605A")</f>
        <v>Xe ban KOMATSU GD605A</v>
      </c>
      <c r="C78" s="1076" t="str">
        <f>IFERROR(__xludf.DUMMYFUNCTION("""COMPUTED_VALUE"""),"CGTC AD")</f>
        <v>CGTC AD</v>
      </c>
      <c r="D78" s="1076" t="str">
        <f>IFERROR(__xludf.DUMMYFUNCTION("""COMPUTED_VALUE"""),"KOMATSU")</f>
        <v>KOMATSU</v>
      </c>
      <c r="E78" s="356" t="str">
        <f>IFERROR(__xludf.DUMMYFUNCTION("""COMPUTED_VALUE"""),"NHẬT BẢN")</f>
        <v>NHẬT BẢN</v>
      </c>
      <c r="F78" s="1076">
        <f>IFERROR(__xludf.DUMMYFUNCTION("""COMPUTED_VALUE"""),1995)</f>
        <v>1995</v>
      </c>
      <c r="G78" s="1076" t="str">
        <f>IFERROR(__xludf.DUMMYFUNCTION("""COMPUTED_VALUE"""),"GD605A-5")</f>
        <v>GD605A-5</v>
      </c>
      <c r="H78" s="1076" t="str">
        <f>IFERROR(__xludf.DUMMYFUNCTION("""COMPUTED_VALUE"""),"145HP")</f>
        <v>145HP</v>
      </c>
      <c r="I78" s="1076" t="str">
        <f>IFERROR(__xludf.DUMMYFUNCTION("""COMPUTED_VALUE"""),"G60A54058")</f>
        <v>G60A54058</v>
      </c>
      <c r="J78" s="1076" t="str">
        <f>IFERROR(__xludf.DUMMYFUNCTION("""COMPUTED_VALUE"""),"6D12532782")</f>
        <v>6D12532782</v>
      </c>
      <c r="K78" s="1076">
        <f>IFERROR(__xludf.DUMMYFUNCTION("""COMPUTED_VALUE"""),9.3)</f>
        <v>9.3</v>
      </c>
      <c r="L78" s="1076" t="str">
        <f>IFERROR(__xludf.DUMMYFUNCTION("""COMPUTED_VALUE"""),"KLH")</f>
        <v>KLH</v>
      </c>
    </row>
    <row r="79" customHeight="1" spans="1:12">
      <c r="A79" s="1082" t="str">
        <f>IFERROR(__xludf.DUMMYFUNCTION("""COMPUTED_VALUE"""),"CHT-MUI-005")</f>
        <v>CHT-MUI-005</v>
      </c>
      <c r="B79" s="1075" t="str">
        <f>IFERROR(__xludf.DUMMYFUNCTION("""COMPUTED_VALUE"""),"Máy ủi KOMATSU D31PX")</f>
        <v>Máy ủi KOMATSU D31PX</v>
      </c>
      <c r="C79" s="1076" t="str">
        <f>IFERROR(__xludf.DUMMYFUNCTION("""COMPUTED_VALUE"""),"CGTC AD")</f>
        <v>CGTC AD</v>
      </c>
      <c r="D79" s="1076" t="str">
        <f>IFERROR(__xludf.DUMMYFUNCTION("""COMPUTED_VALUE"""),"KOMATSU")</f>
        <v>KOMATSU</v>
      </c>
      <c r="E79" s="356" t="str">
        <f>IFERROR(__xludf.DUMMYFUNCTION("""COMPUTED_VALUE"""),"NHẬT BẢN")</f>
        <v>NHẬT BẢN</v>
      </c>
      <c r="F79" s="1076">
        <f>IFERROR(__xludf.DUMMYFUNCTION("""COMPUTED_VALUE"""),2005)</f>
        <v>2005</v>
      </c>
      <c r="G79" s="1076" t="str">
        <f>IFERROR(__xludf.DUMMYFUNCTION("""COMPUTED_VALUE"""),"D31PX")</f>
        <v>D31PX</v>
      </c>
      <c r="H79" s="1076" t="str">
        <f>IFERROR(__xludf.DUMMYFUNCTION("""COMPUTED_VALUE"""),"80HP")</f>
        <v>80HP</v>
      </c>
      <c r="I79" s="1076" t="str">
        <f>IFERROR(__xludf.DUMMYFUNCTION("""COMPUTED_VALUE"""),"KMT0D0070E01050840")</f>
        <v>KMT0D0070E01050840</v>
      </c>
      <c r="J79" s="1076" t="str">
        <f>IFERROR(__xludf.DUMMYFUNCTION("""COMPUTED_VALUE"""),"4D10226357443")</f>
        <v>4D10226357443</v>
      </c>
      <c r="K79" s="1076">
        <f>IFERROR(__xludf.DUMMYFUNCTION("""COMPUTED_VALUE"""),8)</f>
        <v>8</v>
      </c>
      <c r="L79" s="1076" t="str">
        <f>IFERROR(__xludf.DUMMYFUNCTION("""COMPUTED_VALUE"""),"KLH")</f>
        <v>KLH</v>
      </c>
    </row>
    <row r="80" customHeight="1" spans="1:12">
      <c r="A80" s="1082" t="str">
        <f>IFERROR(__xludf.DUMMYFUNCTION("""COMPUTED_VALUE"""),"CHT-MUI-006")</f>
        <v>CHT-MUI-006</v>
      </c>
      <c r="B80" s="1075" t="str">
        <f>IFERROR(__xludf.DUMMYFUNCTION("""COMPUTED_VALUE"""),"Máy ủi KOMATSU D31PX")</f>
        <v>Máy ủi KOMATSU D31PX</v>
      </c>
      <c r="C80" s="1076" t="str">
        <f>IFERROR(__xludf.DUMMYFUNCTION("""COMPUTED_VALUE"""),"CGTC AD")</f>
        <v>CGTC AD</v>
      </c>
      <c r="D80" s="1076" t="str">
        <f>IFERROR(__xludf.DUMMYFUNCTION("""COMPUTED_VALUE"""),"KOMATSU")</f>
        <v>KOMATSU</v>
      </c>
      <c r="E80" s="356" t="str">
        <f>IFERROR(__xludf.DUMMYFUNCTION("""COMPUTED_VALUE"""),"NHẬT BẢN")</f>
        <v>NHẬT BẢN</v>
      </c>
      <c r="F80" s="1076">
        <f>IFERROR(__xludf.DUMMYFUNCTION("""COMPUTED_VALUE"""),2004)</f>
        <v>2004</v>
      </c>
      <c r="G80" s="1076" t="str">
        <f>IFERROR(__xludf.DUMMYFUNCTION("""COMPUTED_VALUE"""),"D31PX")</f>
        <v>D31PX</v>
      </c>
      <c r="H80" s="1076" t="str">
        <f>IFERROR(__xludf.DUMMYFUNCTION("""COMPUTED_VALUE"""),"80HP")</f>
        <v>80HP</v>
      </c>
      <c r="I80" s="1076" t="str">
        <f>IFERROR(__xludf.DUMMYFUNCTION("""COMPUTED_VALUE"""),"KMT0D007L01050625")</f>
        <v>KMT0D007L01050625</v>
      </c>
      <c r="J80" s="1076" t="str">
        <f>IFERROR(__xludf.DUMMYFUNCTION("""COMPUTED_VALUE"""),"4D10226340664")</f>
        <v>4D10226340664</v>
      </c>
      <c r="K80" s="1076">
        <f>IFERROR(__xludf.DUMMYFUNCTION("""COMPUTED_VALUE"""),8)</f>
        <v>8</v>
      </c>
      <c r="L80" s="1076" t="str">
        <f>IFERROR(__xludf.DUMMYFUNCTION("""COMPUTED_VALUE"""),"KLH")</f>
        <v>KLH</v>
      </c>
    </row>
    <row r="81" customHeight="1" spans="1:12">
      <c r="A81" s="1082" t="str">
        <f>IFERROR(__xludf.DUMMYFUNCTION("""COMPUTED_VALUE"""),"CHT-MUI-007")</f>
        <v>CHT-MUI-007</v>
      </c>
      <c r="B81" s="1075" t="str">
        <f>IFERROR(__xludf.DUMMYFUNCTION("""COMPUTED_VALUE"""),"Máy ủi KOMATSU D65PX-12")</f>
        <v>Máy ủi KOMATSU D65PX-12</v>
      </c>
      <c r="C81" s="1076" t="str">
        <f>IFERROR(__xludf.DUMMYFUNCTION("""COMPUTED_VALUE"""),"CGTC AD")</f>
        <v>CGTC AD</v>
      </c>
      <c r="D81" s="1076" t="str">
        <f>IFERROR(__xludf.DUMMYFUNCTION("""COMPUTED_VALUE"""),"KOMATSU")</f>
        <v>KOMATSU</v>
      </c>
      <c r="E81" s="356" t="str">
        <f>IFERROR(__xludf.DUMMYFUNCTION("""COMPUTED_VALUE"""),"NHẬT BẢN")</f>
        <v>NHẬT BẢN</v>
      </c>
      <c r="F81" s="1076">
        <f>IFERROR(__xludf.DUMMYFUNCTION("""COMPUTED_VALUE"""),1996)</f>
        <v>1996</v>
      </c>
      <c r="G81" s="1076" t="str">
        <f>IFERROR(__xludf.DUMMYFUNCTION("""COMPUTED_VALUE"""),"D65PX-12E")</f>
        <v>D65PX-12E</v>
      </c>
      <c r="H81" s="1076" t="str">
        <f>IFERROR(__xludf.DUMMYFUNCTION("""COMPUTED_VALUE"""),"205HP")</f>
        <v>205HP</v>
      </c>
      <c r="I81" s="1076" t="str">
        <f>IFERROR(__xludf.DUMMYFUNCTION("""COMPUTED_VALUE"""),"D60P1261177")</f>
        <v>D60P1261177</v>
      </c>
      <c r="J81" s="1076" t="str">
        <f>IFERROR(__xludf.DUMMYFUNCTION("""COMPUTED_VALUE"""),"6D12564712")</f>
        <v>6D12564712</v>
      </c>
      <c r="K81" s="1076">
        <f>IFERROR(__xludf.DUMMYFUNCTION("""COMPUTED_VALUE"""),14)</f>
        <v>14</v>
      </c>
      <c r="L81" s="1076" t="str">
        <f>IFERROR(__xludf.DUMMYFUNCTION("""COMPUTED_VALUE"""),"KLH")</f>
        <v>KLH</v>
      </c>
    </row>
    <row r="82" customHeight="1" spans="1:12">
      <c r="A82" s="1082" t="str">
        <f>IFERROR(__xludf.DUMMYFUNCTION("""COMPUTED_VALUE"""),"CHT-MUI-008")</f>
        <v>CHT-MUI-008</v>
      </c>
      <c r="B82" s="1075" t="str">
        <f>IFERROR(__xludf.DUMMYFUNCTION("""COMPUTED_VALUE"""),"Máy ủi KOMATSU D31PX")</f>
        <v>Máy ủi KOMATSU D31PX</v>
      </c>
      <c r="C82" s="1076" t="str">
        <f>IFERROR(__xludf.DUMMYFUNCTION("""COMPUTED_VALUE"""),"CGTC AD")</f>
        <v>CGTC AD</v>
      </c>
      <c r="D82" s="1076" t="str">
        <f>IFERROR(__xludf.DUMMYFUNCTION("""COMPUTED_VALUE"""),"KOMATSU")</f>
        <v>KOMATSU</v>
      </c>
      <c r="E82" s="356" t="str">
        <f>IFERROR(__xludf.DUMMYFUNCTION("""COMPUTED_VALUE"""),"NHẬT BẢN")</f>
        <v>NHẬT BẢN</v>
      </c>
      <c r="F82" s="1076">
        <f>IFERROR(__xludf.DUMMYFUNCTION("""COMPUTED_VALUE"""),2006)</f>
        <v>2006</v>
      </c>
      <c r="G82" s="1076" t="str">
        <f>IFERROR(__xludf.DUMMYFUNCTION("""COMPUTED_VALUE"""),"D31PX-21")</f>
        <v>D31PX-21</v>
      </c>
      <c r="H82" s="1076" t="str">
        <f>IFERROR(__xludf.DUMMYFUNCTION("""COMPUTED_VALUE"""),"75HP")</f>
        <v>75HP</v>
      </c>
      <c r="I82" s="1076" t="str">
        <f>IFERROR(__xludf.DUMMYFUNCTION("""COMPUTED_VALUE"""),"KMT0D007P01051250")</f>
        <v>KMT0D007P01051250</v>
      </c>
      <c r="J82" s="1076" t="str">
        <f>IFERROR(__xludf.DUMMYFUNCTION("""COMPUTED_VALUE"""),"4D10226392645")</f>
        <v>4D10226392645</v>
      </c>
      <c r="K82" s="1076">
        <f>IFERROR(__xludf.DUMMYFUNCTION("""COMPUTED_VALUE"""),8)</f>
        <v>8</v>
      </c>
      <c r="L82" s="1076" t="str">
        <f>IFERROR(__xludf.DUMMYFUNCTION("""COMPUTED_VALUE"""),"KLH")</f>
        <v>KLH</v>
      </c>
    </row>
    <row r="83" customHeight="1" spans="1:12">
      <c r="A83" s="1082" t="str">
        <f>IFERROR(__xludf.DUMMYFUNCTION("""COMPUTED_VALUE"""),"CHT-MUI-012")</f>
        <v>CHT-MUI-012</v>
      </c>
      <c r="B83" s="1075" t="str">
        <f>IFERROR(__xludf.DUMMYFUNCTION("""COMPUTED_VALUE"""),"Máy ủi KOMATSU D31PX")</f>
        <v>Máy ủi KOMATSU D31PX</v>
      </c>
      <c r="C83" s="1076" t="str">
        <f>IFERROR(__xludf.DUMMYFUNCTION("""COMPUTED_VALUE"""),"CGTC AD")</f>
        <v>CGTC AD</v>
      </c>
      <c r="D83" s="1076" t="str">
        <f>IFERROR(__xludf.DUMMYFUNCTION("""COMPUTED_VALUE"""),"KOMATSU")</f>
        <v>KOMATSU</v>
      </c>
      <c r="E83" s="356" t="str">
        <f>IFERROR(__xludf.DUMMYFUNCTION("""COMPUTED_VALUE"""),"NHẬT BẢN")</f>
        <v>NHẬT BẢN</v>
      </c>
      <c r="F83" s="1076">
        <f>IFERROR(__xludf.DUMMYFUNCTION("""COMPUTED_VALUE"""),2006)</f>
        <v>2006</v>
      </c>
      <c r="G83" s="1076" t="str">
        <f>IFERROR(__xludf.DUMMYFUNCTION("""COMPUTED_VALUE"""),"D31PX-21")</f>
        <v>D31PX-21</v>
      </c>
      <c r="H83" s="1076" t="str">
        <f>IFERROR(__xludf.DUMMYFUNCTION("""COMPUTED_VALUE"""),"76HP")</f>
        <v>76HP</v>
      </c>
      <c r="I83" s="1076" t="str">
        <f>IFERROR(__xludf.DUMMYFUNCTION("""COMPUTED_VALUE"""),"KMT0D007T01051313")</f>
        <v>KMT0D007T01051313</v>
      </c>
      <c r="J83" s="1076" t="str">
        <f>IFERROR(__xludf.DUMMYFUNCTION("""COMPUTED_VALUE"""),"4D10226397126")</f>
        <v>4D10226397126</v>
      </c>
      <c r="K83" s="1076">
        <f>IFERROR(__xludf.DUMMYFUNCTION("""COMPUTED_VALUE"""),8)</f>
        <v>8</v>
      </c>
      <c r="L83" s="1076" t="str">
        <f>IFERROR(__xludf.DUMMYFUNCTION("""COMPUTED_VALUE"""),"KLH")</f>
        <v>KLH</v>
      </c>
    </row>
    <row r="84" customHeight="1" spans="1:12">
      <c r="A84" s="1082" t="str">
        <f>IFERROR(__xludf.DUMMYFUNCTION("""COMPUTED_VALUE"""),"CHT-MUI-015")</f>
        <v>CHT-MUI-015</v>
      </c>
      <c r="B84" s="1075" t="str">
        <f>IFERROR(__xludf.DUMMYFUNCTION("""COMPUTED_VALUE"""),"Máy ủi KOMATSU D61")</f>
        <v>Máy ủi KOMATSU D61</v>
      </c>
      <c r="C84" s="1076" t="str">
        <f>IFERROR(__xludf.DUMMYFUNCTION("""COMPUTED_VALUE"""),"CGTC AD")</f>
        <v>CGTC AD</v>
      </c>
      <c r="D84" s="1076" t="str">
        <f>IFERROR(__xludf.DUMMYFUNCTION("""COMPUTED_VALUE"""),"KOMATSU")</f>
        <v>KOMATSU</v>
      </c>
      <c r="E84" s="356" t="str">
        <f>IFERROR(__xludf.DUMMYFUNCTION("""COMPUTED_VALUE"""),"Nhật Bản")</f>
        <v>Nhật Bản</v>
      </c>
      <c r="F84" s="1076">
        <f>IFERROR(__xludf.DUMMYFUNCTION("""COMPUTED_VALUE"""),2006)</f>
        <v>2006</v>
      </c>
      <c r="G84" s="1076" t="str">
        <f>IFERROR(__xludf.DUMMYFUNCTION("""COMPUTED_VALUE"""),"D61PX-15")</f>
        <v>D61PX-15</v>
      </c>
      <c r="H84" s="1076" t="str">
        <f>IFERROR(__xludf.DUMMYFUNCTION("""COMPUTED_VALUE"""),"155HP")</f>
        <v>155HP</v>
      </c>
      <c r="I84" s="1076" t="str">
        <f>IFERROR(__xludf.DUMMYFUNCTION("""COMPUTED_VALUE"""),"KMT0D063H51B40955")</f>
        <v>KMT0D063H51B40955</v>
      </c>
      <c r="J84" s="1076" t="str">
        <f>IFERROR(__xludf.DUMMYFUNCTION("""COMPUTED_VALUE"""),"30559211")</f>
        <v>30559211</v>
      </c>
      <c r="K84" s="1076">
        <f>IFERROR(__xludf.DUMMYFUNCTION("""COMPUTED_VALUE"""),14)</f>
        <v>14</v>
      </c>
      <c r="L84" s="1076" t="str">
        <f>IFERROR(__xludf.DUMMYFUNCTION("""COMPUTED_VALUE"""),"KLH")</f>
        <v>KLH</v>
      </c>
    </row>
    <row r="85" customHeight="1" spans="1:12">
      <c r="A85" s="1082" t="str">
        <f>IFERROR(__xludf.DUMMYFUNCTION("""COMPUTED_VALUE"""),"CHT-XLU-006")</f>
        <v>CHT-XLU-006</v>
      </c>
      <c r="B85" s="1075" t="str">
        <f>IFERROR(__xludf.DUMMYFUNCTION("""COMPUTED_VALUE"""),"Xe lu tĩnh R2 10 tấn")</f>
        <v>Xe lu tĩnh R2 10 tấn</v>
      </c>
      <c r="C85" s="1076" t="str">
        <f>IFERROR(__xludf.DUMMYFUNCTION("""COMPUTED_VALUE"""),"CGTC AD")</f>
        <v>CGTC AD</v>
      </c>
      <c r="D85" s="1076" t="str">
        <f>IFERROR(__xludf.DUMMYFUNCTION("""COMPUTED_VALUE"""),"SAKAI")</f>
        <v>SAKAI</v>
      </c>
      <c r="E85" s="356" t="str">
        <f>IFERROR(__xludf.DUMMYFUNCTION("""COMPUTED_VALUE"""),"NHẬT BẢN")</f>
        <v>NHẬT BẢN</v>
      </c>
      <c r="F85" s="1076">
        <f>IFERROR(__xludf.DUMMYFUNCTION("""COMPUTED_VALUE"""),1997)</f>
        <v>1997</v>
      </c>
      <c r="G85" s="1076" t="str">
        <f>IFERROR(__xludf.DUMMYFUNCTION("""COMPUTED_VALUE"""),"R2H")</f>
        <v>R2H</v>
      </c>
      <c r="H85" s="1076" t="str">
        <f>IFERROR(__xludf.DUMMYFUNCTION("""COMPUTED_VALUE"""),"74HP")</f>
        <v>74HP</v>
      </c>
      <c r="I85" s="1076" t="str">
        <f>IFERROR(__xludf.DUMMYFUNCTION("""COMPUTED_VALUE"""),"RR321002")</f>
        <v>RR321002</v>
      </c>
      <c r="J85" s="1076" t="str">
        <f>IFERROR(__xludf.DUMMYFUNCTION("""COMPUTED_VALUE"""),"W04DF11156")</f>
        <v>W04DF11156</v>
      </c>
      <c r="K85" s="1076">
        <f>IFERROR(__xludf.DUMMYFUNCTION("""COMPUTED_VALUE"""),4)</f>
        <v>4</v>
      </c>
      <c r="L85" s="1076" t="str">
        <f>IFERROR(__xludf.DUMMYFUNCTION("""COMPUTED_VALUE"""),"KLH")</f>
        <v>KLH</v>
      </c>
    </row>
    <row r="86" customHeight="1" spans="1:12">
      <c r="A86" s="1082" t="str">
        <f>IFERROR(__xludf.DUMMYFUNCTION("""COMPUTED_VALUE"""),"CHT-XLU-007")</f>
        <v>CHT-XLU-007</v>
      </c>
      <c r="B86" s="1075" t="str">
        <f>IFERROR(__xludf.DUMMYFUNCTION("""COMPUTED_VALUE"""),"Xe lu rung SV521DH 11 tấn")</f>
        <v>Xe lu rung SV521DH 11 tấn</v>
      </c>
      <c r="C86" s="1076" t="str">
        <f>IFERROR(__xludf.DUMMYFUNCTION("""COMPUTED_VALUE"""),"CGTC AD")</f>
        <v>CGTC AD</v>
      </c>
      <c r="D86" s="1076" t="str">
        <f>IFERROR(__xludf.DUMMYFUNCTION("""COMPUTED_VALUE"""),"SAKAI")</f>
        <v>SAKAI</v>
      </c>
      <c r="E86" s="356" t="str">
        <f>IFERROR(__xludf.DUMMYFUNCTION("""COMPUTED_VALUE"""),"NHẬT BẢN")</f>
        <v>NHẬT BẢN</v>
      </c>
      <c r="F86" s="1076">
        <f>IFERROR(__xludf.DUMMYFUNCTION("""COMPUTED_VALUE"""),2020)</f>
        <v>2020</v>
      </c>
      <c r="G86" s="1076" t="str">
        <f>IFERROR(__xludf.DUMMYFUNCTION("""COMPUTED_VALUE"""),"SV521DH")</f>
        <v>SV521DH</v>
      </c>
      <c r="H86" s="1076" t="str">
        <f>IFERROR(__xludf.DUMMYFUNCTION("""COMPUTED_VALUE"""),"113HP")</f>
        <v>113HP</v>
      </c>
      <c r="I86" s="1076" t="str">
        <f>IFERROR(__xludf.DUMMYFUNCTION("""COMPUTED_VALUE"""),"2SV6610527")</f>
        <v>2SV6610527</v>
      </c>
      <c r="J86" s="1076" t="str">
        <f>IFERROR(__xludf.DUMMYFUNCTION("""COMPUTED_VALUE"""),"133945")</f>
        <v>133945</v>
      </c>
      <c r="K86" s="1076">
        <f>IFERROR(__xludf.DUMMYFUNCTION("""COMPUTED_VALUE"""),7)</f>
        <v>7</v>
      </c>
      <c r="L86" s="1076" t="str">
        <f>IFERROR(__xludf.DUMMYFUNCTION("""COMPUTED_VALUE"""),"KLH")</f>
        <v>KLH</v>
      </c>
    </row>
    <row r="87" customHeight="1" spans="1:12">
      <c r="A87" s="1082" t="str">
        <f>IFERROR(__xludf.DUMMYFUNCTION("""COMPUTED_VALUE"""),"CHT-XTA-008")</f>
        <v>CHT-XTA-008</v>
      </c>
      <c r="B87" s="1075" t="str">
        <f>IFERROR(__xludf.DUMMYFUNCTION("""COMPUTED_VALUE"""),"Xe ben FD140")</f>
        <v>Xe ben FD140</v>
      </c>
      <c r="C87" s="1076" t="str">
        <f>IFERROR(__xludf.DUMMYFUNCTION("""COMPUTED_VALUE"""),"CGTC AD")</f>
        <v>CGTC AD</v>
      </c>
      <c r="D87" s="1076" t="str">
        <f>IFERROR(__xludf.DUMMYFUNCTION("""COMPUTED_VALUE"""),"THACO FORLAND")</f>
        <v>THACO FORLAND</v>
      </c>
      <c r="E87" s="356" t="str">
        <f>IFERROR(__xludf.DUMMYFUNCTION("""COMPUTED_VALUE"""),"VIỆT NAM")</f>
        <v>VIỆT NAM</v>
      </c>
      <c r="F87" s="1076">
        <f>IFERROR(__xludf.DUMMYFUNCTION("""COMPUTED_VALUE"""),2020)</f>
        <v>2020</v>
      </c>
      <c r="G87" s="1076" t="str">
        <f>IFERROR(__xludf.DUMMYFUNCTION("""COMPUTED_VALUE"""),"FD140-8T")</f>
        <v>FD140-8T</v>
      </c>
      <c r="H87" s="1076" t="str">
        <f>IFERROR(__xludf.DUMMYFUNCTION("""COMPUTED_VALUE"""),"140HP")</f>
        <v>140HP</v>
      </c>
      <c r="I87" s="1076" t="str">
        <f>IFERROR(__xludf.DUMMYFUNCTION("""COMPUTED_VALUE"""),"RNHF14FYALT024043")</f>
        <v>RNHF14FYALT024043</v>
      </c>
      <c r="J87" s="1076" t="str">
        <f>IFERROR(__xludf.DUMMYFUNCTION("""COMPUTED_VALUE"""),"YC4D140-48D59M1J20797")</f>
        <v>YC4D140-48D59M1J20797</v>
      </c>
      <c r="K87" s="1076">
        <f>IFERROR(__xludf.DUMMYFUNCTION("""COMPUTED_VALUE"""),0.4)</f>
        <v>0.4</v>
      </c>
      <c r="L87" s="1076" t="str">
        <f>IFERROR(__xludf.DUMMYFUNCTION("""COMPUTED_VALUE"""),"KLH")</f>
        <v>KLH</v>
      </c>
    </row>
    <row r="88" customHeight="1" spans="1:12">
      <c r="A88" s="1082" t="str">
        <f>IFERROR(__xludf.DUMMYFUNCTION("""COMPUTED_VALUE"""),"CHT-XTA-011")</f>
        <v>CHT-XTA-011</v>
      </c>
      <c r="B88" s="1075" t="str">
        <f>IFERROR(__xludf.DUMMYFUNCTION("""COMPUTED_VALUE"""),"Xe ben AUMAN GTL D300 E4")</f>
        <v>Xe ben AUMAN GTL D300 E4</v>
      </c>
      <c r="C88" s="1076" t="str">
        <f>IFERROR(__xludf.DUMMYFUNCTION("""COMPUTED_VALUE"""),"CGTC AD")</f>
        <v>CGTC AD</v>
      </c>
      <c r="D88" s="1076" t="str">
        <f>IFERROR(__xludf.DUMMYFUNCTION("""COMPUTED_VALUE"""),"THACO AUMAN")</f>
        <v>THACO AUMAN</v>
      </c>
      <c r="E88" s="356" t="str">
        <f>IFERROR(__xludf.DUMMYFUNCTION("""COMPUTED_VALUE"""),"VIỆT NAM")</f>
        <v>VIỆT NAM</v>
      </c>
      <c r="F88" s="1076">
        <f>IFERROR(__xludf.DUMMYFUNCTION("""COMPUTED_VALUE"""),2018)</f>
        <v>2018</v>
      </c>
      <c r="G88" s="1076" t="str">
        <f>IFERROR(__xludf.DUMMYFUNCTION("""COMPUTED_VALUE"""),"GTL D300E4")</f>
        <v>GTL D300E4</v>
      </c>
      <c r="H88" s="1076" t="str">
        <f>IFERROR(__xludf.DUMMYFUNCTION("""COMPUTED_VALUE"""),"375HP")</f>
        <v>375HP</v>
      </c>
      <c r="I88" s="1076" t="str">
        <f>IFERROR(__xludf.DUMMYFUNCTION("""COMPUTED_VALUE"""),"RNHD30FWAJC078104")</f>
        <v>RNHD30FWAJC078104</v>
      </c>
      <c r="J88" s="1076" t="str">
        <f>IFERROR(__xludf.DUMMYFUNCTION("""COMPUTED_VALUE"""),"WP10375E431618A009907")</f>
        <v>WP10375E431618A009907</v>
      </c>
      <c r="K88" s="1076">
        <f>IFERROR(__xludf.DUMMYFUNCTION("""COMPUTED_VALUE"""),1.41)</f>
        <v>1.41</v>
      </c>
      <c r="L88" s="1076" t="str">
        <f>IFERROR(__xludf.DUMMYFUNCTION("""COMPUTED_VALUE"""),"KLH")</f>
        <v>KLH</v>
      </c>
    </row>
    <row r="89" customHeight="1" spans="1:12">
      <c r="A89" s="1082" t="str">
        <f>IFERROR(__xludf.DUMMYFUNCTION("""COMPUTED_VALUE"""),"CHT-XTA-012")</f>
        <v>CHT-XTA-012</v>
      </c>
      <c r="B89" s="1075" t="str">
        <f>IFERROR(__xludf.DUMMYFUNCTION("""COMPUTED_VALUE"""),"Xe ben AUMAN GTL D300 E4")</f>
        <v>Xe ben AUMAN GTL D300 E4</v>
      </c>
      <c r="C89" s="1076" t="str">
        <f>IFERROR(__xludf.DUMMYFUNCTION("""COMPUTED_VALUE"""),"CGTC AD")</f>
        <v>CGTC AD</v>
      </c>
      <c r="D89" s="1076" t="str">
        <f>IFERROR(__xludf.DUMMYFUNCTION("""COMPUTED_VALUE"""),"THACO AUMAN")</f>
        <v>THACO AUMAN</v>
      </c>
      <c r="E89" s="356" t="str">
        <f>IFERROR(__xludf.DUMMYFUNCTION("""COMPUTED_VALUE"""),"VIỆT NAM")</f>
        <v>VIỆT NAM</v>
      </c>
      <c r="F89" s="1076">
        <f>IFERROR(__xludf.DUMMYFUNCTION("""COMPUTED_VALUE"""),2018)</f>
        <v>2018</v>
      </c>
      <c r="G89" s="1076" t="str">
        <f>IFERROR(__xludf.DUMMYFUNCTION("""COMPUTED_VALUE"""),"GTL D300E4")</f>
        <v>GTL D300E4</v>
      </c>
      <c r="H89" s="1076" t="str">
        <f>IFERROR(__xludf.DUMMYFUNCTION("""COMPUTED_VALUE"""),"375HP")</f>
        <v>375HP</v>
      </c>
      <c r="I89" s="1076" t="str">
        <f>IFERROR(__xludf.DUMMYFUNCTION("""COMPUTED_VALUE"""),"RNHD30FWAJC75800")</f>
        <v>RNHD30FWAJC75800</v>
      </c>
      <c r="J89" s="1076" t="str">
        <f>IFERROR(__xludf.DUMMYFUNCTION("""COMPUTED_VALUE"""),"WP10375E431617K140763")</f>
        <v>WP10375E431617K140763</v>
      </c>
      <c r="K89" s="1076">
        <f>IFERROR(__xludf.DUMMYFUNCTION("""COMPUTED_VALUE"""),1.41)</f>
        <v>1.41</v>
      </c>
      <c r="L89" s="1076" t="str">
        <f>IFERROR(__xludf.DUMMYFUNCTION("""COMPUTED_VALUE"""),"KLH")</f>
        <v>KLH</v>
      </c>
    </row>
    <row r="90" customHeight="1" spans="1:12">
      <c r="A90" s="1082" t="str">
        <f>IFERROR(__xludf.DUMMYFUNCTION("""COMPUTED_VALUE"""),"CHT-XBO-003")</f>
        <v>CHT-XBO-003</v>
      </c>
      <c r="B90" s="1075" t="str">
        <f>IFERROR(__xludf.DUMMYFUNCTION("""COMPUTED_VALUE"""),"Xe bồn AUMAN ETX D300 (Bồn tưới 18m3)")</f>
        <v>Xe bồn AUMAN ETX D300 (Bồn tưới 18m3)</v>
      </c>
      <c r="C90" s="1076" t="str">
        <f>IFERROR(__xludf.DUMMYFUNCTION("""COMPUTED_VALUE"""),"CGTC AD")</f>
        <v>CGTC AD</v>
      </c>
      <c r="D90" s="1076" t="str">
        <f>IFERROR(__xludf.DUMMYFUNCTION("""COMPUTED_VALUE"""),"THACO AUMAN")</f>
        <v>THACO AUMAN</v>
      </c>
      <c r="E90" s="356" t="str">
        <f>IFERROR(__xludf.DUMMYFUNCTION("""COMPUTED_VALUE"""),"VIỆT NAM")</f>
        <v>VIỆT NAM</v>
      </c>
      <c r="F90" s="1076">
        <f>IFERROR(__xludf.DUMMYFUNCTION("""COMPUTED_VALUE"""),2019)</f>
        <v>2019</v>
      </c>
      <c r="G90" s="1076" t="str">
        <f>IFERROR(__xludf.DUMMYFUNCTION("""COMPUTED_VALUE"""),"ETX D300E4")</f>
        <v>ETX D300E4</v>
      </c>
      <c r="H90" s="1076" t="str">
        <f>IFERROR(__xludf.DUMMYFUNCTION("""COMPUTED_VALUE"""),"336HP")</f>
        <v>336HP</v>
      </c>
      <c r="I90" s="1076" t="str">
        <f>IFERROR(__xludf.DUMMYFUNCTION("""COMPUTED_VALUE"""),"RNHD30FWBKC005994")</f>
        <v>RNHD30FWBKC005994</v>
      </c>
      <c r="J90" s="1076" t="str">
        <f>IFERROR(__xludf.DUMMYFUNCTION("""COMPUTED_VALUE"""),"WP10336E431618C035173")</f>
        <v>WP10336E431618C035173</v>
      </c>
      <c r="K90" s="1076">
        <f>IFERROR(__xludf.DUMMYFUNCTION("""COMPUTED_VALUE"""),0.6)</f>
        <v>0.6</v>
      </c>
      <c r="L90" s="1076" t="str">
        <f>IFERROR(__xludf.DUMMYFUNCTION("""COMPUTED_VALUE"""),"KLH")</f>
        <v>KLH</v>
      </c>
    </row>
    <row r="91" customHeight="1" spans="1:12">
      <c r="A91" s="1082" t="str">
        <f>IFERROR(__xludf.DUMMYFUNCTION("""COMPUTED_VALUE"""),"CHT-MĐA-046")</f>
        <v>CHT-MĐA-046</v>
      </c>
      <c r="B91" s="1075" t="str">
        <f>IFERROR(__xludf.DUMMYFUNCTION("""COMPUTED_VALUE"""),"Máy đào SH210 bánh xích gàu 0.9m3")</f>
        <v>Máy đào SH210 bánh xích gàu 0.9m3</v>
      </c>
      <c r="C91" s="1076" t="str">
        <f>IFERROR(__xludf.DUMMYFUNCTION("""COMPUTED_VALUE"""),"CGTC AD")</f>
        <v>CGTC AD</v>
      </c>
      <c r="D91" s="1076" t="str">
        <f>IFERROR(__xludf.DUMMYFUNCTION("""COMPUTED_VALUE"""),"SUMITOMO")</f>
        <v>SUMITOMO</v>
      </c>
      <c r="E91" s="356" t="str">
        <f>IFERROR(__xludf.DUMMYFUNCTION("""COMPUTED_VALUE"""),"NHẬT BẢN")</f>
        <v>NHẬT BẢN</v>
      </c>
      <c r="F91" s="1076">
        <f>IFERROR(__xludf.DUMMYFUNCTION("""COMPUTED_VALUE"""),2021)</f>
        <v>2021</v>
      </c>
      <c r="G91" s="1076" t="str">
        <f>IFERROR(__xludf.DUMMYFUNCTION("""COMPUTED_VALUE"""),"SH210-6")</f>
        <v>SH210-6</v>
      </c>
      <c r="H91" s="1076" t="str">
        <f>IFERROR(__xludf.DUMMYFUNCTION("""COMPUTED_VALUE"""),"160HP")</f>
        <v>160HP</v>
      </c>
      <c r="I91" s="1076" t="str">
        <f>IFERROR(__xludf.DUMMYFUNCTION("""COMPUTED_VALUE"""),"STN210T6C00BH3091")</f>
        <v>STN210T6C00BH3091</v>
      </c>
      <c r="J91" s="1076" t="str">
        <f>IFERROR(__xludf.DUMMYFUNCTION("""COMPUTED_VALUE"""),"816364")</f>
        <v>816364</v>
      </c>
      <c r="K91" s="1076">
        <f>IFERROR(__xludf.DUMMYFUNCTION("""COMPUTED_VALUE"""),13)</f>
        <v>13</v>
      </c>
      <c r="L91" s="1076" t="str">
        <f>IFERROR(__xludf.DUMMYFUNCTION("""COMPUTED_VALUE"""),"KLH")</f>
        <v>KLH</v>
      </c>
    </row>
    <row r="92" customHeight="1" spans="1:12">
      <c r="A92" s="1082" t="str">
        <f>IFERROR(__xludf.DUMMYFUNCTION("""COMPUTED_VALUE"""),"CHT-MĐA-024")</f>
        <v>CHT-MĐA-024</v>
      </c>
      <c r="B92" s="1075" t="str">
        <f>IFERROR(__xludf.DUMMYFUNCTION("""COMPUTED_VALUE"""),"Máy đào SH210 bánh xích gàu 0.9m3")</f>
        <v>Máy đào SH210 bánh xích gàu 0.9m3</v>
      </c>
      <c r="C92" s="1076" t="str">
        <f>IFERROR(__xludf.DUMMYFUNCTION("""COMPUTED_VALUE"""),"CGTC AD")</f>
        <v>CGTC AD</v>
      </c>
      <c r="D92" s="1076" t="str">
        <f>IFERROR(__xludf.DUMMYFUNCTION("""COMPUTED_VALUE"""),"SUMITOMO")</f>
        <v>SUMITOMO</v>
      </c>
      <c r="E92" s="356" t="str">
        <f>IFERROR(__xludf.DUMMYFUNCTION("""COMPUTED_VALUE"""),"NHẬT BẢN")</f>
        <v>NHẬT BẢN</v>
      </c>
      <c r="F92" s="1076">
        <f>IFERROR(__xludf.DUMMYFUNCTION("""COMPUTED_VALUE"""),2020)</f>
        <v>2020</v>
      </c>
      <c r="G92" s="1076" t="str">
        <f>IFERROR(__xludf.DUMMYFUNCTION("""COMPUTED_VALUE"""),"SH210-6")</f>
        <v>SH210-6</v>
      </c>
      <c r="H92" s="1076" t="str">
        <f>IFERROR(__xludf.DUMMYFUNCTION("""COMPUTED_VALUE"""),"156HP")</f>
        <v>156HP</v>
      </c>
      <c r="I92" s="1076" t="str">
        <f>IFERROR(__xludf.DUMMYFUNCTION("""COMPUTED_VALUE"""),"STN210T6V00BH2671")</f>
        <v>STN210T6V00BH2671</v>
      </c>
      <c r="J92" s="1076" t="str">
        <f>IFERROR(__xludf.DUMMYFUNCTION("""COMPUTED_VALUE"""),"800456")</f>
        <v>800456</v>
      </c>
      <c r="K92" s="1076">
        <f>IFERROR(__xludf.DUMMYFUNCTION("""COMPUTED_VALUE"""),15)</f>
        <v>15</v>
      </c>
      <c r="L92" s="1076" t="str">
        <f>IFERROR(__xludf.DUMMYFUNCTION("""COMPUTED_VALUE"""),"KLH")</f>
        <v>KLH</v>
      </c>
    </row>
    <row r="93" customHeight="1" spans="1:12">
      <c r="A93" s="1082" t="str">
        <f>IFERROR(__xludf.DUMMYFUNCTION("""COMPUTED_VALUE"""),"CHT-MĐA-025")</f>
        <v>CHT-MĐA-025</v>
      </c>
      <c r="B93" s="1075" t="str">
        <f>IFERROR(__xludf.DUMMYFUNCTION("""COMPUTED_VALUE"""),"Máy đào DX140W bánh lốp gàu 0.7m3")</f>
        <v>Máy đào DX140W bánh lốp gàu 0.7m3</v>
      </c>
      <c r="C93" s="1076" t="str">
        <f>IFERROR(__xludf.DUMMYFUNCTION("""COMPUTED_VALUE"""),"CGTC AD")</f>
        <v>CGTC AD</v>
      </c>
      <c r="D93" s="1076" t="str">
        <f>IFERROR(__xludf.DUMMYFUNCTION("""COMPUTED_VALUE"""),"DOOSAN")</f>
        <v>DOOSAN</v>
      </c>
      <c r="E93" s="920" t="str">
        <f>IFERROR(__xludf.DUMMYFUNCTION("""COMPUTED_VALUE"""),"HÀN QUỐC")</f>
        <v>HÀN QUỐC</v>
      </c>
      <c r="F93" s="1076">
        <f>IFERROR(__xludf.DUMMYFUNCTION("""COMPUTED_VALUE"""),2020)</f>
        <v>2020</v>
      </c>
      <c r="G93" s="1076" t="str">
        <f>IFERROR(__xludf.DUMMYFUNCTION("""COMPUTED_VALUE"""),"DX140W")</f>
        <v>DX140W</v>
      </c>
      <c r="H93" s="1076" t="str">
        <f>IFERROR(__xludf.DUMMYFUNCTION("""COMPUTED_VALUE"""),"133HP")</f>
        <v>133HP</v>
      </c>
      <c r="I93" s="1076" t="str">
        <f>IFERROR(__xludf.DUMMYFUNCTION("""COMPUTED_VALUE"""),"DHKCEWAAHL5008819")</f>
        <v>DHKCEWAAHL5008819</v>
      </c>
      <c r="J93" s="1076" t="str">
        <f>IFERROR(__xludf.DUMMYFUNCTION("""COMPUTED_VALUE"""),"DB58TIS039733EJ")</f>
        <v>DB58TIS039733EJ</v>
      </c>
      <c r="K93" s="1076">
        <f>IFERROR(__xludf.DUMMYFUNCTION("""COMPUTED_VALUE"""),10)</f>
        <v>10</v>
      </c>
      <c r="L93" s="1076" t="str">
        <f>IFERROR(__xludf.DUMMYFUNCTION("""COMPUTED_VALUE"""),"KLH")</f>
        <v>KLH</v>
      </c>
    </row>
    <row r="94" customHeight="1" spans="1:12">
      <c r="A94" s="1082" t="str">
        <f>IFERROR(__xludf.DUMMYFUNCTION("""COMPUTED_VALUE"""),"CHT-MĐA-026")</f>
        <v>CHT-MĐA-026</v>
      </c>
      <c r="B94" s="1075" t="str">
        <f>IFERROR(__xludf.DUMMYFUNCTION("""COMPUTED_VALUE"""),"Máy đào DX140W bánh lốp gàu 0.7m3")</f>
        <v>Máy đào DX140W bánh lốp gàu 0.7m3</v>
      </c>
      <c r="C94" s="1076" t="str">
        <f>IFERROR(__xludf.DUMMYFUNCTION("""COMPUTED_VALUE"""),"CGTC AD")</f>
        <v>CGTC AD</v>
      </c>
      <c r="D94" s="1076" t="str">
        <f>IFERROR(__xludf.DUMMYFUNCTION("""COMPUTED_VALUE"""),"DOOSAN")</f>
        <v>DOOSAN</v>
      </c>
      <c r="E94" s="356" t="str">
        <f>IFERROR(__xludf.DUMMYFUNCTION("""COMPUTED_VALUE"""),"HÀN QUỐC")</f>
        <v>HÀN QUỐC</v>
      </c>
      <c r="F94" s="1076">
        <f>IFERROR(__xludf.DUMMYFUNCTION("""COMPUTED_VALUE"""),2020)</f>
        <v>2020</v>
      </c>
      <c r="G94" s="1076" t="str">
        <f>IFERROR(__xludf.DUMMYFUNCTION("""COMPUTED_VALUE"""),"DX140W")</f>
        <v>DX140W</v>
      </c>
      <c r="H94" s="1076" t="str">
        <f>IFERROR(__xludf.DUMMYFUNCTION("""COMPUTED_VALUE"""),"133HP")</f>
        <v>133HP</v>
      </c>
      <c r="I94" s="1076" t="str">
        <f>IFERROR(__xludf.DUMMYFUNCTION("""COMPUTED_VALUE"""),"DHKCEWAASL5008820")</f>
        <v>DHKCEWAASL5008820</v>
      </c>
      <c r="J94" s="1076" t="str">
        <f>IFERROR(__xludf.DUMMYFUNCTION("""COMPUTED_VALUE"""),"DB58TIS039729EJ")</f>
        <v>DB58TIS039729EJ</v>
      </c>
      <c r="K94" s="1076">
        <f>IFERROR(__xludf.DUMMYFUNCTION("""COMPUTED_VALUE"""),10)</f>
        <v>10</v>
      </c>
      <c r="L94" s="1076" t="str">
        <f>IFERROR(__xludf.DUMMYFUNCTION("""COMPUTED_VALUE"""),"KLH")</f>
        <v>KLH</v>
      </c>
    </row>
    <row r="95" customHeight="1" spans="1:12">
      <c r="A95" s="1082" t="str">
        <f>IFERROR(__xludf.DUMMYFUNCTION("""COMPUTED_VALUE"""),"CHT-XCA-001")</f>
        <v>CHT-XCA-001</v>
      </c>
      <c r="B95" s="1075" t="str">
        <f>IFERROR(__xludf.DUMMYFUNCTION("""COMPUTED_VALUE"""),"Xe cẩu bàn 5 tấn")</f>
        <v>Xe cẩu bàn 5 tấn</v>
      </c>
      <c r="C95" s="1076" t="str">
        <f>IFERROR(__xludf.DUMMYFUNCTION("""COMPUTED_VALUE"""),"CGTC AD")</f>
        <v>CGTC AD</v>
      </c>
      <c r="D95" s="1076" t="str">
        <f>IFERROR(__xludf.DUMMYFUNCTION("""COMPUTED_VALUE"""),"THACO AUMAN")</f>
        <v>THACO AUMAN</v>
      </c>
      <c r="E95" s="356" t="str">
        <f>IFERROR(__xludf.DUMMYFUNCTION("""COMPUTED_VALUE"""),"VIETNAM")</f>
        <v>VIETNAM</v>
      </c>
      <c r="F95" s="1076"/>
      <c r="G95" s="1076" t="str">
        <f>IFERROR(__xludf.DUMMYFUNCTION("""COMPUTED_VALUE"""),"ETX C240 ND2")</f>
        <v>ETX C240 ND2</v>
      </c>
      <c r="H95" s="1076" t="str">
        <f>IFERROR(__xludf.DUMMYFUNCTION("""COMPUTED_VALUE"""),"336HP")</f>
        <v>336HP</v>
      </c>
      <c r="I95" s="1076" t="str">
        <f>IFERROR(__xludf.DUMMYFUNCTION("""COMPUTED_VALUE"""),"RNHA24FWAKC099303")</f>
        <v>RNHA24FWAKC099303</v>
      </c>
      <c r="J95" s="1076" t="str">
        <f>IFERROR(__xludf.DUMMYFUNCTION("""COMPUTED_VALUE"""),"WP10.336E431619A000091")</f>
        <v>WP10.336E431619A000091</v>
      </c>
      <c r="K95" s="1076">
        <f>IFERROR(__xludf.DUMMYFUNCTION("""COMPUTED_VALUE"""),0.65)</f>
        <v>0.65</v>
      </c>
      <c r="L95" s="1076" t="str">
        <f>IFERROR(__xludf.DUMMYFUNCTION("""COMPUTED_VALUE"""),"KLH")</f>
        <v>KLH</v>
      </c>
    </row>
    <row r="96" customHeight="1" spans="1:12">
      <c r="A96" s="1082" t="str">
        <f>IFERROR(__xludf.DUMMYFUNCTION("""COMPUTED_VALUE"""),"CHT-MĐA-052")</f>
        <v>CHT-MĐA-052</v>
      </c>
      <c r="B96" s="1075" t="str">
        <f>IFERROR(__xludf.DUMMYFUNCTION("""COMPUTED_VALUE"""),"Máy đào KOMATSU bánh xích gàu 0.3m3")</f>
        <v>Máy đào KOMATSU bánh xích gàu 0.3m3</v>
      </c>
      <c r="C96" s="1076" t="str">
        <f>IFERROR(__xludf.DUMMYFUNCTION("""COMPUTED_VALUE"""),"CGTC AD")</f>
        <v>CGTC AD</v>
      </c>
      <c r="D96" s="1076" t="str">
        <f>IFERROR(__xludf.DUMMYFUNCTION("""COMPUTED_VALUE"""),"KOMATSU")</f>
        <v>KOMATSU</v>
      </c>
      <c r="E96" s="356" t="str">
        <f>IFERROR(__xludf.DUMMYFUNCTION("""COMPUTED_VALUE"""),"NHẬT BẢN")</f>
        <v>NHẬT BẢN</v>
      </c>
      <c r="F96" s="1076">
        <f>IFERROR(__xludf.DUMMYFUNCTION("""COMPUTED_VALUE"""),2014)</f>
        <v>2014</v>
      </c>
      <c r="G96" s="1076" t="str">
        <f>IFERROR(__xludf.DUMMYFUNCTION("""COMPUTED_VALUE"""),"PC40MR-3")</f>
        <v>PC40MR-3</v>
      </c>
      <c r="H96" s="1076" t="str">
        <f>IFERROR(__xludf.DUMMYFUNCTION("""COMPUTED_VALUE"""),"39HP")</f>
        <v>39HP</v>
      </c>
      <c r="I96" s="1076" t="str">
        <f>IFERROR(__xludf.DUMMYFUNCTION("""COMPUTED_VALUE"""),"KMTPC023LEE022317")</f>
        <v>KMTPC023LEE022317</v>
      </c>
      <c r="J96" s="1076" t="str">
        <f>IFERROR(__xludf.DUMMYFUNCTION("""COMPUTED_VALUE"""),"32816")</f>
        <v>32816</v>
      </c>
      <c r="K96" s="1076">
        <f>IFERROR(__xludf.DUMMYFUNCTION("""COMPUTED_VALUE"""),4)</f>
        <v>4</v>
      </c>
      <c r="L96" s="1076" t="str">
        <f>IFERROR(__xludf.DUMMYFUNCTION("""COMPUTED_VALUE"""),"KLH")</f>
        <v>KLH</v>
      </c>
    </row>
    <row r="97" customHeight="1" spans="1:12">
      <c r="A97" s="1082" t="str">
        <f>IFERROR(__xludf.DUMMYFUNCTION("""COMPUTED_VALUE"""),"CHT-MĐA-054")</f>
        <v>CHT-MĐA-054</v>
      </c>
      <c r="B97" s="1075" t="str">
        <f>IFERROR(__xludf.DUMMYFUNCTION("""COMPUTED_VALUE"""),"Máy đào U35 bánh xích gàu 0.3m3")</f>
        <v>Máy đào U35 bánh xích gàu 0.3m3</v>
      </c>
      <c r="C97" s="1076" t="str">
        <f>IFERROR(__xludf.DUMMYFUNCTION("""COMPUTED_VALUE"""),"CGTC AD")</f>
        <v>CGTC AD</v>
      </c>
      <c r="D97" s="1076" t="str">
        <f>IFERROR(__xludf.DUMMYFUNCTION("""COMPUTED_VALUE"""),"KUBOTA")</f>
        <v>KUBOTA</v>
      </c>
      <c r="E97" s="356" t="str">
        <f>IFERROR(__xludf.DUMMYFUNCTION("""COMPUTED_VALUE"""),"NHẬT BẢN")</f>
        <v>NHẬT BẢN</v>
      </c>
      <c r="F97" s="1076">
        <f>IFERROR(__xludf.DUMMYFUNCTION("""COMPUTED_VALUE"""),2015)</f>
        <v>2015</v>
      </c>
      <c r="G97" s="1076" t="str">
        <f>IFERROR(__xludf.DUMMYFUNCTION("""COMPUTED_VALUE"""),"U35-6")</f>
        <v>U35-6</v>
      </c>
      <c r="H97" s="1076" t="str">
        <f>IFERROR(__xludf.DUMMYFUNCTION("""COMPUTED_VALUE"""),"32HP")</f>
        <v>32HP</v>
      </c>
      <c r="I97" s="1076" t="str">
        <f>IFERROR(__xludf.DUMMYFUNCTION("""COMPUTED_VALUE"""),"JKUU0356H01H60283")</f>
        <v>JKUU0356H01H60283</v>
      </c>
      <c r="J97" s="1076" t="str">
        <f>IFERROR(__xludf.DUMMYFUNCTION("""COMPUTED_VALUE"""),"7HN2997")</f>
        <v>7HN2997</v>
      </c>
      <c r="K97" s="1076">
        <f>IFERROR(__xludf.DUMMYFUNCTION("""COMPUTED_VALUE"""),4)</f>
        <v>4</v>
      </c>
      <c r="L97" s="1076" t="str">
        <f>IFERROR(__xludf.DUMMYFUNCTION("""COMPUTED_VALUE"""),"KLH")</f>
        <v>KLH</v>
      </c>
    </row>
    <row r="98" customHeight="1" spans="1:12">
      <c r="A98" s="1082" t="str">
        <f>IFERROR(__xludf.DUMMYFUNCTION("""COMPUTED_VALUE"""),"CHT-MĐA-055")</f>
        <v>CHT-MĐA-055</v>
      </c>
      <c r="B98" s="1075" t="str">
        <f>IFERROR(__xludf.DUMMYFUNCTION("""COMPUTED_VALUE"""),"Máy đào U35 bánh xích gàu 0.3m3")</f>
        <v>Máy đào U35 bánh xích gàu 0.3m3</v>
      </c>
      <c r="C98" s="1076" t="str">
        <f>IFERROR(__xludf.DUMMYFUNCTION("""COMPUTED_VALUE"""),"CGTC AD")</f>
        <v>CGTC AD</v>
      </c>
      <c r="D98" s="1076" t="str">
        <f>IFERROR(__xludf.DUMMYFUNCTION("""COMPUTED_VALUE"""),"KUBOTA")</f>
        <v>KUBOTA</v>
      </c>
      <c r="E98" s="356" t="str">
        <f>IFERROR(__xludf.DUMMYFUNCTION("""COMPUTED_VALUE"""),"NHẬT BẢN")</f>
        <v>NHẬT BẢN</v>
      </c>
      <c r="F98" s="1076">
        <f>IFERROR(__xludf.DUMMYFUNCTION("""COMPUTED_VALUE"""),2015)</f>
        <v>2015</v>
      </c>
      <c r="G98" s="1076" t="str">
        <f>IFERROR(__xludf.DUMMYFUNCTION("""COMPUTED_VALUE"""),"U35-6")</f>
        <v>U35-6</v>
      </c>
      <c r="H98" s="1076" t="str">
        <f>IFERROR(__xludf.DUMMYFUNCTION("""COMPUTED_VALUE"""),"32HP")</f>
        <v>32HP</v>
      </c>
      <c r="I98" s="1076" t="str">
        <f>IFERROR(__xludf.DUMMYFUNCTION("""COMPUTED_VALUE"""),"JKUU0356H01H60431")</f>
        <v>JKUU0356H01H60431</v>
      </c>
      <c r="J98" s="1076" t="str">
        <f>IFERROR(__xludf.DUMMYFUNCTION("""COMPUTED_VALUE"""),"7HR1204")</f>
        <v>7HR1204</v>
      </c>
      <c r="K98" s="1076">
        <f>IFERROR(__xludf.DUMMYFUNCTION("""COMPUTED_VALUE"""),4)</f>
        <v>4</v>
      </c>
      <c r="L98" s="1076" t="str">
        <f>IFERROR(__xludf.DUMMYFUNCTION("""COMPUTED_VALUE"""),"KLH")</f>
        <v>KLH</v>
      </c>
    </row>
    <row r="99" customHeight="1" spans="1:12">
      <c r="A99" s="1082" t="str">
        <f>IFERROR(__xludf.DUMMYFUNCTION("""COMPUTED_VALUE"""),"CHT-MĐA-061")</f>
        <v>CHT-MĐA-061</v>
      </c>
      <c r="B99" s="1075" t="str">
        <f>IFERROR(__xludf.DUMMYFUNCTION("""COMPUTED_VALUE"""),"Máy đào U35 bánh xích gàu 0.3m3")</f>
        <v>Máy đào U35 bánh xích gàu 0.3m3</v>
      </c>
      <c r="C99" s="1076" t="str">
        <f>IFERROR(__xludf.DUMMYFUNCTION("""COMPUTED_VALUE"""),"CGTC AD")</f>
        <v>CGTC AD</v>
      </c>
      <c r="D99" s="1076" t="str">
        <f>IFERROR(__xludf.DUMMYFUNCTION("""COMPUTED_VALUE"""),"KUBOTA")</f>
        <v>KUBOTA</v>
      </c>
      <c r="E99" s="356" t="str">
        <f>IFERROR(__xludf.DUMMYFUNCTION("""COMPUTED_VALUE"""),"NHẬT BẢN")</f>
        <v>NHẬT BẢN</v>
      </c>
      <c r="F99" s="1076">
        <f>IFERROR(__xludf.DUMMYFUNCTION("""COMPUTED_VALUE"""),2015)</f>
        <v>2015</v>
      </c>
      <c r="G99" s="1076" t="str">
        <f>IFERROR(__xludf.DUMMYFUNCTION("""COMPUTED_VALUE"""),"U35-6")</f>
        <v>U35-6</v>
      </c>
      <c r="H99" s="1076" t="str">
        <f>IFERROR(__xludf.DUMMYFUNCTION("""COMPUTED_VALUE"""),"32HP")</f>
        <v>32HP</v>
      </c>
      <c r="I99" s="1076" t="str">
        <f>IFERROR(__xludf.DUMMYFUNCTION("""COMPUTED_VALUE"""),"JKUU0356V01H60277")</f>
        <v>JKUU0356V01H60277</v>
      </c>
      <c r="J99" s="1076" t="str">
        <f>IFERROR(__xludf.DUMMYFUNCTION("""COMPUTED_VALUE"""),"7HL9269")</f>
        <v>7HL9269</v>
      </c>
      <c r="K99" s="1076">
        <f>IFERROR(__xludf.DUMMYFUNCTION("""COMPUTED_VALUE"""),4)</f>
        <v>4</v>
      </c>
      <c r="L99" s="1076" t="str">
        <f>IFERROR(__xludf.DUMMYFUNCTION("""COMPUTED_VALUE"""),"KLH")</f>
        <v>KLH</v>
      </c>
    </row>
    <row r="100" customHeight="1" spans="1:12">
      <c r="A100" s="1082" t="str">
        <f>IFERROR(__xludf.DUMMYFUNCTION("""COMPUTED_VALUE"""),"CHT-MĐA-065")</f>
        <v>CHT-MĐA-065</v>
      </c>
      <c r="B100" s="1075" t="str">
        <f>IFERROR(__xludf.DUMMYFUNCTION("""COMPUTED_VALUE"""),"Máy đào KOMATSU bánh xích gàu 0.3m3")</f>
        <v>Máy đào KOMATSU bánh xích gàu 0.3m3</v>
      </c>
      <c r="C100" s="1076" t="str">
        <f>IFERROR(__xludf.DUMMYFUNCTION("""COMPUTED_VALUE"""),"CGTC AD")</f>
        <v>CGTC AD</v>
      </c>
      <c r="D100" s="1076" t="str">
        <f>IFERROR(__xludf.DUMMYFUNCTION("""COMPUTED_VALUE"""),"KOMATSU")</f>
        <v>KOMATSU</v>
      </c>
      <c r="E100" s="356" t="str">
        <f>IFERROR(__xludf.DUMMYFUNCTION("""COMPUTED_VALUE"""),"NHẬT BẢN")</f>
        <v>NHẬT BẢN</v>
      </c>
      <c r="F100" s="1076">
        <f>IFERROR(__xludf.DUMMYFUNCTION("""COMPUTED_VALUE"""),2012)</f>
        <v>2012</v>
      </c>
      <c r="G100" s="1076" t="str">
        <f>IFERROR(__xludf.DUMMYFUNCTION("""COMPUTED_VALUE"""),"PC55MR-3")</f>
        <v>PC55MR-3</v>
      </c>
      <c r="H100" s="1076" t="str">
        <f>IFERROR(__xludf.DUMMYFUNCTION("""COMPUTED_VALUE"""),"40HP")</f>
        <v>40HP</v>
      </c>
      <c r="I100" s="1076" t="str">
        <f>IFERROR(__xludf.DUMMYFUNCTION("""COMPUTED_VALUE"""),"KMTPC212J04017231")</f>
        <v>KMTPC212J04017231</v>
      </c>
      <c r="J100" s="1076" t="str">
        <f>IFERROR(__xludf.DUMMYFUNCTION("""COMPUTED_VALUE"""),"26018")</f>
        <v>26018</v>
      </c>
      <c r="K100" s="1076">
        <f>IFERROR(__xludf.DUMMYFUNCTION("""COMPUTED_VALUE"""),4)</f>
        <v>4</v>
      </c>
      <c r="L100" s="1076" t="str">
        <f>IFERROR(__xludf.DUMMYFUNCTION("""COMPUTED_VALUE"""),"KLH")</f>
        <v>KLH</v>
      </c>
    </row>
    <row r="101" customHeight="1" spans="1:12">
      <c r="A101" s="1082" t="str">
        <f>IFERROR(__xludf.DUMMYFUNCTION("""COMPUTED_VALUE"""),"CHT-MĐA-069")</f>
        <v>CHT-MĐA-069</v>
      </c>
      <c r="B101" s="1075" t="str">
        <f>IFERROR(__xludf.DUMMYFUNCTION("""COMPUTED_VALUE"""),"Máy đào KOMATSU bánh xích gàu 0.3m3")</f>
        <v>Máy đào KOMATSU bánh xích gàu 0.3m3</v>
      </c>
      <c r="C101" s="1076" t="str">
        <f>IFERROR(__xludf.DUMMYFUNCTION("""COMPUTED_VALUE"""),"CGTC AD")</f>
        <v>CGTC AD</v>
      </c>
      <c r="D101" s="1076" t="str">
        <f>IFERROR(__xludf.DUMMYFUNCTION("""COMPUTED_VALUE"""),"KOMATSU")</f>
        <v>KOMATSU</v>
      </c>
      <c r="E101" s="920" t="str">
        <f>IFERROR(__xludf.DUMMYFUNCTION("""COMPUTED_VALUE"""),"NHẬT BẢN")</f>
        <v>NHẬT BẢN</v>
      </c>
      <c r="F101" s="1076">
        <f>IFERROR(__xludf.DUMMYFUNCTION("""COMPUTED_VALUE"""),2012)</f>
        <v>2012</v>
      </c>
      <c r="G101" s="1076" t="str">
        <f>IFERROR(__xludf.DUMMYFUNCTION("""COMPUTED_VALUE"""),"PC55MR-3")</f>
        <v>PC55MR-3</v>
      </c>
      <c r="H101" s="1076" t="str">
        <f>IFERROR(__xludf.DUMMYFUNCTION("""COMPUTED_VALUE"""),"40HP")</f>
        <v>40HP</v>
      </c>
      <c r="I101" s="1076" t="str">
        <f>IFERROR(__xludf.DUMMYFUNCTION("""COMPUTED_VALUE"""),"KMTPC212K04017065")</f>
        <v>KMTPC212K04017065</v>
      </c>
      <c r="J101" s="1076" t="str">
        <f>IFERROR(__xludf.DUMMYFUNCTION("""COMPUTED_VALUE"""),"25186")</f>
        <v>25186</v>
      </c>
      <c r="K101" s="1076">
        <f>IFERROR(__xludf.DUMMYFUNCTION("""COMPUTED_VALUE"""),4)</f>
        <v>4</v>
      </c>
      <c r="L101" s="1076" t="str">
        <f>IFERROR(__xludf.DUMMYFUNCTION("""COMPUTED_VALUE"""),"KLH")</f>
        <v>KLH</v>
      </c>
    </row>
    <row r="102" customHeight="1" spans="1:12">
      <c r="A102" s="1082" t="str">
        <f>IFERROR(__xludf.DUMMYFUNCTION("""COMPUTED_VALUE"""),"CHT-MĐA-071")</f>
        <v>CHT-MĐA-071</v>
      </c>
      <c r="B102" s="1075" t="str">
        <f>IFERROR(__xludf.DUMMYFUNCTION("""COMPUTED_VALUE"""),"Máy đào KOMATSU bánh xích gàu 0.8m3")</f>
        <v>Máy đào KOMATSU bánh xích gàu 0.8m3</v>
      </c>
      <c r="C102" s="1076" t="str">
        <f>IFERROR(__xludf.DUMMYFUNCTION("""COMPUTED_VALUE"""),"CGTC AD")</f>
        <v>CGTC AD</v>
      </c>
      <c r="D102" s="1076" t="str">
        <f>IFERROR(__xludf.DUMMYFUNCTION("""COMPUTED_VALUE"""),"KOMATSU")</f>
        <v>KOMATSU</v>
      </c>
      <c r="E102" s="356" t="str">
        <f>IFERROR(__xludf.DUMMYFUNCTION("""COMPUTED_VALUE"""),"NHẬT BẢN")</f>
        <v>NHẬT BẢN</v>
      </c>
      <c r="F102" s="1076">
        <f>IFERROR(__xludf.DUMMYFUNCTION("""COMPUTED_VALUE"""),2012)</f>
        <v>2012</v>
      </c>
      <c r="G102" s="1076" t="str">
        <f>IFERROR(__xludf.DUMMYFUNCTION("""COMPUTED_VALUE"""),"PC200-8N1")</f>
        <v>PC200-8N1</v>
      </c>
      <c r="H102" s="1076" t="str">
        <f>IFERROR(__xludf.DUMMYFUNCTION("""COMPUTED_VALUE"""),"150HP")</f>
        <v>150HP</v>
      </c>
      <c r="I102" s="1076" t="str">
        <f>IFERROR(__xludf.DUMMYFUNCTION("""COMPUTED_VALUE"""),"KMTPC197L02354297")</f>
        <v>KMTPC197L02354297</v>
      </c>
      <c r="J102" s="1076" t="str">
        <f>IFERROR(__xludf.DUMMYFUNCTION("""COMPUTED_VALUE"""),"6D10726100136")</f>
        <v>6D10726100136</v>
      </c>
      <c r="K102" s="1076">
        <f>IFERROR(__xludf.DUMMYFUNCTION("""COMPUTED_VALUE"""),14)</f>
        <v>14</v>
      </c>
      <c r="L102" s="1076" t="str">
        <f>IFERROR(__xludf.DUMMYFUNCTION("""COMPUTED_VALUE"""),"KLH")</f>
        <v>KLH</v>
      </c>
    </row>
    <row r="103" customHeight="1" spans="1:12">
      <c r="A103" s="1082" t="str">
        <f>IFERROR(__xludf.DUMMYFUNCTION("""COMPUTED_VALUE"""),"CHT-XTA-034")</f>
        <v>CHT-XTA-034</v>
      </c>
      <c r="B103" s="1075" t="str">
        <f>IFERROR(__xludf.DUMMYFUNCTION("""COMPUTED_VALUE"""),"Xe ben HOWO TXD600")</f>
        <v>Xe ben HOWO TXD600</v>
      </c>
      <c r="C103" s="1076" t="str">
        <f>IFERROR(__xludf.DUMMYFUNCTION("""COMPUTED_VALUE"""),"CGTC AD")</f>
        <v>CGTC AD</v>
      </c>
      <c r="D103" s="1076" t="str">
        <f>IFERROR(__xludf.DUMMYFUNCTION("""COMPUTED_VALUE"""),"HOWO")</f>
        <v>HOWO</v>
      </c>
      <c r="E103" s="356" t="str">
        <f>IFERROR(__xludf.DUMMYFUNCTION("""COMPUTED_VALUE"""),"VIỆT NAM")</f>
        <v>VIỆT NAM</v>
      </c>
      <c r="F103" s="1076">
        <f>IFERROR(__xludf.DUMMYFUNCTION("""COMPUTED_VALUE"""),2022)</f>
        <v>2022</v>
      </c>
      <c r="G103" s="1076" t="str">
        <f>IFERROR(__xludf.DUMMYFUNCTION("""COMPUTED_VALUE"""),"HOWO TX D600")</f>
        <v>HOWO TX D600</v>
      </c>
      <c r="H103" s="1076" t="str">
        <f>IFERROR(__xludf.DUMMYFUNCTION("""COMPUTED_VALUE"""),"380HP")</f>
        <v>380HP</v>
      </c>
      <c r="I103" s="1076" t="str">
        <f>IFERROR(__xludf.DUMMYFUNCTION("""COMPUTED_VALUE"""),"RNHD24CWART000063")</f>
        <v>RNHD24CWART000063</v>
      </c>
      <c r="J103" s="1076" t="str">
        <f>IFERROR(__xludf.DUMMYFUNCTION("""COMPUTED_VALUE"""),"1622F024356")</f>
        <v>1622F024356</v>
      </c>
      <c r="K103" s="1076">
        <f>IFERROR(__xludf.DUMMYFUNCTION("""COMPUTED_VALUE"""),0.9)</f>
        <v>0.9</v>
      </c>
      <c r="L103" s="1076" t="str">
        <f>IFERROR(__xludf.DUMMYFUNCTION("""COMPUTED_VALUE"""),"KLH")</f>
        <v>KLH</v>
      </c>
    </row>
    <row r="104" customHeight="1" spans="1:12">
      <c r="A104" s="1082" t="str">
        <f>IFERROR(__xludf.DUMMYFUNCTION("""COMPUTED_VALUE"""),"CHT-XTA-035")</f>
        <v>CHT-XTA-035</v>
      </c>
      <c r="B104" s="1075" t="str">
        <f>IFERROR(__xludf.DUMMYFUNCTION("""COMPUTED_VALUE"""),"Xe ben HOWO TXD600")</f>
        <v>Xe ben HOWO TXD600</v>
      </c>
      <c r="C104" s="1076" t="str">
        <f>IFERROR(__xludf.DUMMYFUNCTION("""COMPUTED_VALUE"""),"CGTC AD")</f>
        <v>CGTC AD</v>
      </c>
      <c r="D104" s="1076" t="str">
        <f>IFERROR(__xludf.DUMMYFUNCTION("""COMPUTED_VALUE"""),"HOWO")</f>
        <v>HOWO</v>
      </c>
      <c r="E104" s="356" t="str">
        <f>IFERROR(__xludf.DUMMYFUNCTION("""COMPUTED_VALUE"""),"VIỆT NAM")</f>
        <v>VIỆT NAM</v>
      </c>
      <c r="F104" s="1076">
        <f>IFERROR(__xludf.DUMMYFUNCTION("""COMPUTED_VALUE"""),2022)</f>
        <v>2022</v>
      </c>
      <c r="G104" s="1076" t="str">
        <f>IFERROR(__xludf.DUMMYFUNCTION("""COMPUTED_VALUE"""),"HOWO TX D600")</f>
        <v>HOWO TX D600</v>
      </c>
      <c r="H104" s="1076" t="str">
        <f>IFERROR(__xludf.DUMMYFUNCTION("""COMPUTED_VALUE"""),"380HP")</f>
        <v>380HP</v>
      </c>
      <c r="I104" s="1076" t="str">
        <f>IFERROR(__xludf.DUMMYFUNCTION("""COMPUTED_VALUE"""),"RNHD24CWART000064")</f>
        <v>RNHD24CWART000064</v>
      </c>
      <c r="J104" s="1076" t="str">
        <f>IFERROR(__xludf.DUMMYFUNCTION("""COMPUTED_VALUE"""),"1622F024357")</f>
        <v>1622F024357</v>
      </c>
      <c r="K104" s="1076">
        <f>IFERROR(__xludf.DUMMYFUNCTION("""COMPUTED_VALUE"""),0.9)</f>
        <v>0.9</v>
      </c>
      <c r="L104" s="1076" t="str">
        <f>IFERROR(__xludf.DUMMYFUNCTION("""COMPUTED_VALUE"""),"KLH")</f>
        <v>KLH</v>
      </c>
    </row>
    <row r="105" customHeight="1" spans="1:12">
      <c r="A105" s="1082" t="str">
        <f>IFERROR(__xludf.DUMMYFUNCTION("""COMPUTED_VALUE"""),"CHT-XTA-027")</f>
        <v>CHT-XTA-027</v>
      </c>
      <c r="B105" s="1075" t="str">
        <f>IFERROR(__xludf.DUMMYFUNCTION("""COMPUTED_VALUE"""),"Xe ben HOWO TXD600")</f>
        <v>Xe ben HOWO TXD600</v>
      </c>
      <c r="C105" s="1076" t="str">
        <f>IFERROR(__xludf.DUMMYFUNCTION("""COMPUTED_VALUE"""),"CGTC AD")</f>
        <v>CGTC AD</v>
      </c>
      <c r="D105" s="1076" t="str">
        <f>IFERROR(__xludf.DUMMYFUNCTION("""COMPUTED_VALUE"""),"HOWO")</f>
        <v>HOWO</v>
      </c>
      <c r="E105" s="356" t="str">
        <f>IFERROR(__xludf.DUMMYFUNCTION("""COMPUTED_VALUE"""),"VIỆT NAM")</f>
        <v>VIỆT NAM</v>
      </c>
      <c r="F105" s="1076">
        <f>IFERROR(__xludf.DUMMYFUNCTION("""COMPUTED_VALUE"""),2022)</f>
        <v>2022</v>
      </c>
      <c r="G105" s="1076" t="str">
        <f>IFERROR(__xludf.DUMMYFUNCTION("""COMPUTED_VALUE"""),"HOWO TX D600")</f>
        <v>HOWO TX D600</v>
      </c>
      <c r="H105" s="1076" t="str">
        <f>IFERROR(__xludf.DUMMYFUNCTION("""COMPUTED_VALUE"""),"380HP")</f>
        <v>380HP</v>
      </c>
      <c r="I105" s="1076" t="str">
        <f>IFERROR(__xludf.DUMMYFUNCTION("""COMPUTED_VALUE"""),"RNHD24CWANT063481")</f>
        <v>RNHD24CWANT063481</v>
      </c>
      <c r="J105" s="1076" t="str">
        <f>IFERROR(__xludf.DUMMYFUNCTION("""COMPUTED_VALUE"""),"1622D017402")</f>
        <v>1622D017402</v>
      </c>
      <c r="K105" s="1076">
        <f>IFERROR(__xludf.DUMMYFUNCTION("""COMPUTED_VALUE"""),0.9)</f>
        <v>0.9</v>
      </c>
      <c r="L105" s="1076" t="str">
        <f>IFERROR(__xludf.DUMMYFUNCTION("""COMPUTED_VALUE"""),"KLH")</f>
        <v>KLH</v>
      </c>
    </row>
    <row r="106" customHeight="1" spans="1:12">
      <c r="A106" s="1082" t="str">
        <f>IFERROR(__xludf.DUMMYFUNCTION("""COMPUTED_VALUE"""),"CHT-BAN-005")</f>
        <v>CHT-BAN-005</v>
      </c>
      <c r="B106" s="1075" t="str">
        <f>IFERROR(__xludf.DUMMYFUNCTION("""COMPUTED_VALUE"""),"Xe ban KOMATSU GD605A")</f>
        <v>Xe ban KOMATSU GD605A</v>
      </c>
      <c r="C106" s="1076" t="str">
        <f>IFERROR(__xludf.DUMMYFUNCTION("""COMPUTED_VALUE"""),"CGTC AD")</f>
        <v>CGTC AD</v>
      </c>
      <c r="D106" s="1076" t="str">
        <f>IFERROR(__xludf.DUMMYFUNCTION("""COMPUTED_VALUE"""),"KOMATSU")</f>
        <v>KOMATSU</v>
      </c>
      <c r="E106" s="356" t="str">
        <f>IFERROR(__xludf.DUMMYFUNCTION("""COMPUTED_VALUE"""),"NHẬT BẢN")</f>
        <v>NHẬT BẢN</v>
      </c>
      <c r="F106" s="1076">
        <f>IFERROR(__xludf.DUMMYFUNCTION("""COMPUTED_VALUE"""),1994)</f>
        <v>1994</v>
      </c>
      <c r="G106" s="1076" t="str">
        <f>IFERROR(__xludf.DUMMYFUNCTION("""COMPUTED_VALUE"""),"GD605A-5")</f>
        <v>GD605A-5</v>
      </c>
      <c r="H106" s="1076" t="str">
        <f>IFERROR(__xludf.DUMMYFUNCTION("""COMPUTED_VALUE"""),"155HP")</f>
        <v>155HP</v>
      </c>
      <c r="I106" s="1076" t="str">
        <f>IFERROR(__xludf.DUMMYFUNCTION("""COMPUTED_VALUE"""),"G60A54622")</f>
        <v>G60A54622</v>
      </c>
      <c r="J106" s="1076" t="str">
        <f>IFERROR(__xludf.DUMMYFUNCTION("""COMPUTED_VALUE"""),"6D12561725")</f>
        <v>6D12561725</v>
      </c>
      <c r="K106" s="1076">
        <f>IFERROR(__xludf.DUMMYFUNCTION("""COMPUTED_VALUE"""),9.3)</f>
        <v>9.3</v>
      </c>
      <c r="L106" s="1076" t="str">
        <f>IFERROR(__xludf.DUMMYFUNCTION("""COMPUTED_VALUE"""),"KLH")</f>
        <v>KLH</v>
      </c>
    </row>
    <row r="107" customHeight="1" spans="1:12">
      <c r="A107" s="1082" t="str">
        <f>IFERROR(__xludf.DUMMYFUNCTION("""COMPUTED_VALUE"""),"CHT-MĐA-073")</f>
        <v>CHT-MĐA-073</v>
      </c>
      <c r="B107" s="1075" t="str">
        <f>IFERROR(__xludf.DUMMYFUNCTION("""COMPUTED_VALUE"""),"Máy đào KOMATSU bánh xích gàu 0.8m3")</f>
        <v>Máy đào KOMATSU bánh xích gàu 0.8m3</v>
      </c>
      <c r="C107" s="1076" t="str">
        <f>IFERROR(__xludf.DUMMYFUNCTION("""COMPUTED_VALUE"""),"CGTC AD")</f>
        <v>CGTC AD</v>
      </c>
      <c r="D107" s="1076" t="str">
        <f>IFERROR(__xludf.DUMMYFUNCTION("""COMPUTED_VALUE"""),"KOMATSU")</f>
        <v>KOMATSU</v>
      </c>
      <c r="E107" s="356" t="str">
        <f>IFERROR(__xludf.DUMMYFUNCTION("""COMPUTED_VALUE"""),"NHẬT BẢN")</f>
        <v>NHẬT BẢN</v>
      </c>
      <c r="F107" s="1076">
        <f>IFERROR(__xludf.DUMMYFUNCTION("""COMPUTED_VALUE"""),2003)</f>
        <v>2003</v>
      </c>
      <c r="G107" s="1076" t="str">
        <f>IFERROR(__xludf.DUMMYFUNCTION("""COMPUTED_VALUE"""),"PC228US-3N0")</f>
        <v>PC228US-3N0</v>
      </c>
      <c r="H107" s="1076" t="str">
        <f>IFERROR(__xludf.DUMMYFUNCTION("""COMPUTED_VALUE"""),"145HP")</f>
        <v>145HP</v>
      </c>
      <c r="I107" s="1076" t="str">
        <f>IFERROR(__xludf.DUMMYFUNCTION("""COMPUTED_VALUE"""),"KMTPC057C02030553")</f>
        <v>KMTPC057C02030553</v>
      </c>
      <c r="J107" s="1076" t="str">
        <f>IFERROR(__xludf.DUMMYFUNCTION("""COMPUTED_VALUE"""),"6D10226327476")</f>
        <v>6D10226327476</v>
      </c>
      <c r="K107" s="1076">
        <f>IFERROR(__xludf.DUMMYFUNCTION("""COMPUTED_VALUE"""),14)</f>
        <v>14</v>
      </c>
      <c r="L107" s="1076" t="str">
        <f>IFERROR(__xludf.DUMMYFUNCTION("""COMPUTED_VALUE"""),"KLH")</f>
        <v>KLH</v>
      </c>
    </row>
    <row r="108" customHeight="1" spans="1:12">
      <c r="A108" s="1082" t="str">
        <f>IFERROR(__xludf.DUMMYFUNCTION("""COMPUTED_VALUE"""),"CHT-XTA-048")</f>
        <v>CHT-XTA-048</v>
      </c>
      <c r="B108" s="1075" t="str">
        <f>IFERROR(__xludf.DUMMYFUNCTION("""COMPUTED_VALUE"""),"Xe ben FD120")</f>
        <v>Xe ben FD120</v>
      </c>
      <c r="C108" s="1076" t="str">
        <f>IFERROR(__xludf.DUMMYFUNCTION("""COMPUTED_VALUE"""),"CGTC AD")</f>
        <v>CGTC AD</v>
      </c>
      <c r="D108" s="1076" t="str">
        <f>IFERROR(__xludf.DUMMYFUNCTION("""COMPUTED_VALUE"""),"FORLAND")</f>
        <v>FORLAND</v>
      </c>
      <c r="E108" s="356" t="str">
        <f>IFERROR(__xludf.DUMMYFUNCTION("""COMPUTED_VALUE"""),"Việt Nam")</f>
        <v>Việt Nam</v>
      </c>
      <c r="F108" s="1076">
        <f>IFERROR(__xludf.DUMMYFUNCTION("""COMPUTED_VALUE"""),2024)</f>
        <v>2024</v>
      </c>
      <c r="G108" s="1076" t="str">
        <f>IFERROR(__xludf.DUMMYFUNCTION("""COMPUTED_VALUE"""),"FD120-4WD")</f>
        <v>FD120-4WD</v>
      </c>
      <c r="H108" s="1076" t="str">
        <f>IFERROR(__xludf.DUMMYFUNCTION("""COMPUTED_VALUE"""),"129HP")</f>
        <v>129HP</v>
      </c>
      <c r="I108" s="1076" t="str">
        <f>IFERROR(__xludf.DUMMYFUNCTION("""COMPUTED_VALUE"""),"RNHF12FNBRT002066")</f>
        <v>RNHF12FNBRT002066</v>
      </c>
      <c r="J108" s="1076" t="str">
        <f>IFERROR(__xludf.DUMMYFUNCTION("""COMPUTED_VALUE"""),"YN38CRD1*AGN22000246*")</f>
        <v>YN38CRD1*AGN22000246*</v>
      </c>
      <c r="K108" s="1076">
        <f>IFERROR(__xludf.DUMMYFUNCTION("""COMPUTED_VALUE"""),0.61)</f>
        <v>0.61</v>
      </c>
      <c r="L108" s="1076" t="str">
        <f>IFERROR(__xludf.DUMMYFUNCTION("""COMPUTED_VALUE"""),"KLH")</f>
        <v>KLH</v>
      </c>
    </row>
    <row r="109" customHeight="1" spans="1:12">
      <c r="A109" s="1082" t="str">
        <f>IFERROR(__xludf.DUMMYFUNCTION("""COMPUTED_VALUE"""),"Cơ giới làm đất DP")</f>
        <v>Cơ giới làm đất DP</v>
      </c>
      <c r="B109" s="1075"/>
      <c r="C109" s="1076"/>
      <c r="D109" s="1076"/>
      <c r="E109" s="356"/>
      <c r="F109" s="1076"/>
      <c r="G109" s="1076"/>
      <c r="H109" s="1076"/>
      <c r="I109" s="1076"/>
      <c r="J109" s="1076"/>
      <c r="K109" s="1076"/>
      <c r="L109" s="1076" t="str">
        <f>IFERROR(__xludf.DUMMYFUNCTION("""COMPUTED_VALUE"""),"KLH")</f>
        <v>KLH</v>
      </c>
    </row>
    <row r="110" customHeight="1" spans="1:12">
      <c r="A110" s="1082" t="str">
        <f>IFERROR(__xludf.DUMMYFUNCTION("""COMPUTED_VALUE"""),"CNN-XTA-001")</f>
        <v>CNN-XTA-001</v>
      </c>
      <c r="B110" s="1075" t="str">
        <f>IFERROR(__xludf.DUMMYFUNCTION("""COMPUTED_VALUE"""),"Xe tải THACO FRONTIER TF490")</f>
        <v>Xe tải THACO FRONTIER TF490</v>
      </c>
      <c r="C110" s="1076" t="str">
        <f>IFERROR(__xludf.DUMMYFUNCTION("""COMPUTED_VALUE"""),"CGLĐ DP")</f>
        <v>CGLĐ DP</v>
      </c>
      <c r="D110" s="1076" t="str">
        <f>IFERROR(__xludf.DUMMYFUNCTION("""COMPUTED_VALUE"""),"THACO FRONTIER")</f>
        <v>THACO FRONTIER</v>
      </c>
      <c r="E110" s="356" t="str">
        <f>IFERROR(__xludf.DUMMYFUNCTION("""COMPUTED_VALUE"""),"VIỆT NAM")</f>
        <v>VIỆT NAM</v>
      </c>
      <c r="F110" s="1076">
        <f>IFERROR(__xludf.DUMMYFUNCTION("""COMPUTED_VALUE"""),2024)</f>
        <v>2024</v>
      </c>
      <c r="G110" s="1076" t="str">
        <f>IFERROR(__xludf.DUMMYFUNCTION("""COMPUTED_VALUE"""),"TF490")</f>
        <v>TF490</v>
      </c>
      <c r="H110" s="1076" t="str">
        <f>IFERROR(__xludf.DUMMYFUNCTION("""COMPUTED_VALUE"""),"107HP")</f>
        <v>107HP</v>
      </c>
      <c r="I110" s="1076" t="str">
        <f>IFERROR(__xludf.DUMMYFUNCTION("""COMPUTED_VALUE"""),"RNHA49TZART082912")</f>
        <v>RNHA49TZART082912</v>
      </c>
      <c r="J110" s="1076" t="str">
        <f>IFERROR(__xludf.DUMMYFUNCTION("""COMPUTED_VALUE"""),"JE493ZLQ4*37100377*")</f>
        <v>JE493ZLQ4*37100377*</v>
      </c>
      <c r="K110" s="1076">
        <f>IFERROR(__xludf.DUMMYFUNCTION("""COMPUTED_VALUE"""),0.2)</f>
        <v>0.2</v>
      </c>
      <c r="L110" s="1076" t="str">
        <f>IFERROR(__xludf.DUMMYFUNCTION("""COMPUTED_VALUE"""),"KLH")</f>
        <v>KLH</v>
      </c>
    </row>
    <row r="111" customHeight="1" spans="1:12">
      <c r="A111" s="1082" t="str">
        <f>IFERROR(__xludf.DUMMYFUNCTION("""COMPUTED_VALUE"""),"CNN-MKX-002")</f>
        <v>CNN-MKX-002</v>
      </c>
      <c r="B111" s="1075" t="str">
        <f>IFERROR(__xludf.DUMMYFUNCTION("""COMPUTED_VALUE"""),"Máy cày bánh xích CT65")</f>
        <v>Máy cày bánh xích CT65</v>
      </c>
      <c r="C111" s="1076" t="str">
        <f>IFERROR(__xludf.DUMMYFUNCTION("""COMPUTED_VALUE"""),"CGLĐ DP")</f>
        <v>CGLĐ DP</v>
      </c>
      <c r="D111" s="1076" t="str">
        <f>IFERROR(__xludf.DUMMYFUNCTION("""COMPUTED_VALUE"""),"YANMAR")</f>
        <v>YANMAR</v>
      </c>
      <c r="E111" s="356" t="str">
        <f>IFERROR(__xludf.DUMMYFUNCTION("""COMPUTED_VALUE"""),"Nhật Bản")</f>
        <v>Nhật Bản</v>
      </c>
      <c r="F111" s="1076"/>
      <c r="G111" s="1076" t="str">
        <f>IFERROR(__xludf.DUMMYFUNCTION("""COMPUTED_VALUE"""),"CT65")</f>
        <v>CT65</v>
      </c>
      <c r="H111" s="1076" t="str">
        <f>IFERROR(__xludf.DUMMYFUNCTION("""COMPUTED_VALUE"""),"65HP")</f>
        <v>65HP</v>
      </c>
      <c r="I111" s="1076" t="str">
        <f>IFERROR(__xludf.DUMMYFUNCTION("""COMPUTED_VALUE"""),"10139")</f>
        <v>10139</v>
      </c>
      <c r="J111" s="1076" t="str">
        <f>IFERROR(__xludf.DUMMYFUNCTION("""COMPUTED_VALUE"""),"2463")</f>
        <v>2463</v>
      </c>
      <c r="K111" s="1076"/>
      <c r="L111" s="1076" t="str">
        <f>IFERROR(__xludf.DUMMYFUNCTION("""COMPUTED_VALUE"""),"KLH")</f>
        <v>KLH</v>
      </c>
    </row>
    <row r="112" customHeight="1" spans="1:12">
      <c r="A112" s="1082" t="str">
        <f>IFERROR(__xludf.DUMMYFUNCTION("""COMPUTED_VALUE"""),"CNN-MKX-001")</f>
        <v>CNN-MKX-001</v>
      </c>
      <c r="B112" s="1075" t="str">
        <f>IFERROR(__xludf.DUMMYFUNCTION("""COMPUTED_VALUE"""),"Máy cày bánh xích Mitsubishi")</f>
        <v>Máy cày bánh xích Mitsubishi</v>
      </c>
      <c r="C112" s="1076" t="str">
        <f>IFERROR(__xludf.DUMMYFUNCTION("""COMPUTED_VALUE"""),"CGLĐ DP")</f>
        <v>CGLĐ DP</v>
      </c>
      <c r="D112" s="1076" t="str">
        <f>IFERROR(__xludf.DUMMYFUNCTION("""COMPUTED_VALUE"""),"MITSUBISHI")</f>
        <v>MITSUBISHI</v>
      </c>
      <c r="E112" s="356" t="str">
        <f>IFERROR(__xludf.DUMMYFUNCTION("""COMPUTED_VALUE"""),"NHẬT BẢN")</f>
        <v>NHẬT BẢN</v>
      </c>
      <c r="F112" s="1076">
        <f>IFERROR(__xludf.DUMMYFUNCTION("""COMPUTED_VALUE"""),2016)</f>
        <v>2016</v>
      </c>
      <c r="G112" s="1076" t="str">
        <f>IFERROR(__xludf.DUMMYFUNCTION("""COMPUTED_VALUE"""),"MKM100")</f>
        <v>MKM100</v>
      </c>
      <c r="H112" s="1076" t="str">
        <f>IFERROR(__xludf.DUMMYFUNCTION("""COMPUTED_VALUE"""),"100HP")</f>
        <v>100HP</v>
      </c>
      <c r="I112" s="1076" t="str">
        <f>IFERROR(__xludf.DUMMYFUNCTION("""COMPUTED_VALUE"""),"K10A-10011")</f>
        <v>K10A-10011</v>
      </c>
      <c r="J112" s="1076" t="str">
        <f>IFERROR(__xludf.DUMMYFUNCTION("""COMPUTED_VALUE"""),"6S6-019410")</f>
        <v>6S6-019410</v>
      </c>
      <c r="K112" s="1076"/>
      <c r="L112" s="1076" t="str">
        <f>IFERROR(__xludf.DUMMYFUNCTION("""COMPUTED_VALUE"""),"KLH")</f>
        <v>KLH</v>
      </c>
    </row>
    <row r="113" customHeight="1" spans="1:12">
      <c r="A113" s="1082" t="str">
        <f>IFERROR(__xludf.DUMMYFUNCTION("""COMPUTED_VALUE"""),"CNN-MKE-005")</f>
        <v>CNN-MKE-005</v>
      </c>
      <c r="B113" s="1075" t="str">
        <f>IFERROR(__xludf.DUMMYFUNCTION("""COMPUTED_VALUE"""),"Máy cày JD 6603")</f>
        <v>Máy cày JD 6603</v>
      </c>
      <c r="C113" s="1076" t="str">
        <f>IFERROR(__xludf.DUMMYFUNCTION("""COMPUTED_VALUE"""),"CGLĐ DP")</f>
        <v>CGLĐ DP</v>
      </c>
      <c r="D113" s="1076" t="str">
        <f>IFERROR(__xludf.DUMMYFUNCTION("""COMPUTED_VALUE"""),"JOHN DEERE")</f>
        <v>JOHN DEERE</v>
      </c>
      <c r="E113" s="356" t="str">
        <f>IFERROR(__xludf.DUMMYFUNCTION("""COMPUTED_VALUE"""),"MỸ")</f>
        <v>MỸ</v>
      </c>
      <c r="F113" s="1076">
        <f>IFERROR(__xludf.DUMMYFUNCTION("""COMPUTED_VALUE"""),2018)</f>
        <v>2018</v>
      </c>
      <c r="G113" s="1076" t="str">
        <f>IFERROR(__xludf.DUMMYFUNCTION("""COMPUTED_VALUE"""),"6603")</f>
        <v>6603</v>
      </c>
      <c r="H113" s="1076" t="str">
        <f>IFERROR(__xludf.DUMMYFUNCTION("""COMPUTED_VALUE"""),"120HP")</f>
        <v>120HP</v>
      </c>
      <c r="I113" s="1076" t="str">
        <f>IFERROR(__xludf.DUMMYFUNCTION("""COMPUTED_VALUE"""),"33028")</f>
        <v>33028</v>
      </c>
      <c r="J113" s="1076" t="str">
        <f>IFERROR(__xludf.DUMMYFUNCTION("""COMPUTED_VALUE"""),"CCN")</f>
        <v>CCN</v>
      </c>
      <c r="K113" s="1076">
        <f>IFERROR(__xludf.DUMMYFUNCTION("""COMPUTED_VALUE"""),9)</f>
        <v>9</v>
      </c>
      <c r="L113" s="1076" t="str">
        <f>IFERROR(__xludf.DUMMYFUNCTION("""COMPUTED_VALUE"""),"KLH")</f>
        <v>KLH</v>
      </c>
    </row>
    <row r="114" customHeight="1" spans="1:12">
      <c r="A114" s="1082" t="str">
        <f>IFERROR(__xludf.DUMMYFUNCTION("""COMPUTED_VALUE"""),"CNN-MKE-006")</f>
        <v>CNN-MKE-006</v>
      </c>
      <c r="B114" s="1075" t="str">
        <f>IFERROR(__xludf.DUMMYFUNCTION("""COMPUTED_VALUE"""),"Máy cày JD 6603")</f>
        <v>Máy cày JD 6603</v>
      </c>
      <c r="C114" s="1076" t="str">
        <f>IFERROR(__xludf.DUMMYFUNCTION("""COMPUTED_VALUE"""),"CGLĐ DP")</f>
        <v>CGLĐ DP</v>
      </c>
      <c r="D114" s="1076" t="str">
        <f>IFERROR(__xludf.DUMMYFUNCTION("""COMPUTED_VALUE"""),"JOHN DEERE")</f>
        <v>JOHN DEERE</v>
      </c>
      <c r="E114" s="356" t="str">
        <f>IFERROR(__xludf.DUMMYFUNCTION("""COMPUTED_VALUE"""),"MỸ")</f>
        <v>MỸ</v>
      </c>
      <c r="F114" s="1076">
        <f>IFERROR(__xludf.DUMMYFUNCTION("""COMPUTED_VALUE"""),2018)</f>
        <v>2018</v>
      </c>
      <c r="G114" s="1076" t="str">
        <f>IFERROR(__xludf.DUMMYFUNCTION("""COMPUTED_VALUE"""),"6603")</f>
        <v>6603</v>
      </c>
      <c r="H114" s="1076" t="str">
        <f>IFERROR(__xludf.DUMMYFUNCTION("""COMPUTED_VALUE"""),"120HP")</f>
        <v>120HP</v>
      </c>
      <c r="I114" s="1076" t="str">
        <f>IFERROR(__xludf.DUMMYFUNCTION("""COMPUTED_VALUE"""),"33178")</f>
        <v>33178</v>
      </c>
      <c r="J114" s="1076" t="str">
        <f>IFERROR(__xludf.DUMMYFUNCTION("""COMPUTED_VALUE"""),"CCN")</f>
        <v>CCN</v>
      </c>
      <c r="K114" s="1076">
        <f>IFERROR(__xludf.DUMMYFUNCTION("""COMPUTED_VALUE"""),9)</f>
        <v>9</v>
      </c>
      <c r="L114" s="1076" t="str">
        <f>IFERROR(__xludf.DUMMYFUNCTION("""COMPUTED_VALUE"""),"KLH")</f>
        <v>KLH</v>
      </c>
    </row>
    <row r="115" customHeight="1" spans="1:12">
      <c r="A115" s="1082" t="str">
        <f>IFERROR(__xludf.DUMMYFUNCTION("""COMPUTED_VALUE"""),"CNN-MKE-019")</f>
        <v>CNN-MKE-019</v>
      </c>
      <c r="B115" s="1075" t="str">
        <f>IFERROR(__xludf.DUMMYFUNCTION("""COMPUTED_VALUE"""),"Máy cày JD 6120B")</f>
        <v>Máy cày JD 6120B</v>
      </c>
      <c r="C115" s="1076" t="str">
        <f>IFERROR(__xludf.DUMMYFUNCTION("""COMPUTED_VALUE"""),"CGLĐ DP")</f>
        <v>CGLĐ DP</v>
      </c>
      <c r="D115" s="1076" t="str">
        <f>IFERROR(__xludf.DUMMYFUNCTION("""COMPUTED_VALUE"""),"JOHN DEERE")</f>
        <v>JOHN DEERE</v>
      </c>
      <c r="E115" s="356" t="str">
        <f>IFERROR(__xludf.DUMMYFUNCTION("""COMPUTED_VALUE"""),"MỸ")</f>
        <v>MỸ</v>
      </c>
      <c r="F115" s="1076">
        <f>IFERROR(__xludf.DUMMYFUNCTION("""COMPUTED_VALUE"""),2022)</f>
        <v>2022</v>
      </c>
      <c r="G115" s="1076" t="str">
        <f>IFERROR(__xludf.DUMMYFUNCTION("""COMPUTED_VALUE"""),"6120B")</f>
        <v>6120B</v>
      </c>
      <c r="H115" s="1076" t="str">
        <f>IFERROR(__xludf.DUMMYFUNCTION("""COMPUTED_VALUE"""),"120HP")</f>
        <v>120HP</v>
      </c>
      <c r="I115" s="1076" t="str">
        <f>IFERROR(__xludf.DUMMYFUNCTION("""COMPUTED_VALUE"""),"1YR6120BARD210216")</f>
        <v>1YR6120BARD210216</v>
      </c>
      <c r="J115" s="1076" t="str">
        <f>IFERROR(__xludf.DUMMYFUNCTION("""COMPUTED_VALUE"""),"PE4045N035815")</f>
        <v>PE4045N035815</v>
      </c>
      <c r="K115" s="1076">
        <f>IFERROR(__xludf.DUMMYFUNCTION("""COMPUTED_VALUE"""),9.5)</f>
        <v>9.5</v>
      </c>
      <c r="L115" s="1076" t="str">
        <f>IFERROR(__xludf.DUMMYFUNCTION("""COMPUTED_VALUE"""),"KLH")</f>
        <v>KLH</v>
      </c>
    </row>
    <row r="116" customHeight="1" spans="1:12">
      <c r="A116" s="1082" t="str">
        <f>IFERROR(__xludf.DUMMYFUNCTION("""COMPUTED_VALUE"""),"CNN-MKE-020")</f>
        <v>CNN-MKE-020</v>
      </c>
      <c r="B116" s="1075" t="str">
        <f>IFERROR(__xludf.DUMMYFUNCTION("""COMPUTED_VALUE"""),"Máy cày JD 5090E")</f>
        <v>Máy cày JD 5090E</v>
      </c>
      <c r="C116" s="1076" t="str">
        <f>IFERROR(__xludf.DUMMYFUNCTION("""COMPUTED_VALUE"""),"CGLĐ DP")</f>
        <v>CGLĐ DP</v>
      </c>
      <c r="D116" s="1076" t="str">
        <f>IFERROR(__xludf.DUMMYFUNCTION("""COMPUTED_VALUE"""),"JOHN DEERE")</f>
        <v>JOHN DEERE</v>
      </c>
      <c r="E116" s="356" t="str">
        <f>IFERROR(__xludf.DUMMYFUNCTION("""COMPUTED_VALUE"""),"MỸ")</f>
        <v>MỸ</v>
      </c>
      <c r="F116" s="1076">
        <f>IFERROR(__xludf.DUMMYFUNCTION("""COMPUTED_VALUE"""),2022)</f>
        <v>2022</v>
      </c>
      <c r="G116" s="1076" t="str">
        <f>IFERROR(__xludf.DUMMYFUNCTION("""COMPUTED_VALUE"""),"5090E")</f>
        <v>5090E</v>
      </c>
      <c r="H116" s="1076" t="str">
        <f>IFERROR(__xludf.DUMMYFUNCTION("""COMPUTED_VALUE"""),"90HP")</f>
        <v>90HP</v>
      </c>
      <c r="I116" s="1076" t="str">
        <f>IFERROR(__xludf.DUMMYFUNCTION("""COMPUTED_VALUE"""),"1P05090ELN4073859")</f>
        <v>1P05090ELN4073859</v>
      </c>
      <c r="J116" s="1076" t="str">
        <f>IFERROR(__xludf.DUMMYFUNCTION("""COMPUTED_VALUE"""),"PE4045E028102")</f>
        <v>PE4045E028102</v>
      </c>
      <c r="K116" s="1076">
        <f>IFERROR(__xludf.DUMMYFUNCTION("""COMPUTED_VALUE"""),6)</f>
        <v>6</v>
      </c>
      <c r="L116" s="1076" t="str">
        <f>IFERROR(__xludf.DUMMYFUNCTION("""COMPUTED_VALUE"""),"KLH")</f>
        <v>KLH</v>
      </c>
    </row>
    <row r="117" customHeight="1" spans="1:12">
      <c r="A117" s="1082" t="str">
        <f>IFERROR(__xludf.DUMMYFUNCTION("""COMPUTED_VALUE"""),"CNN-MKE-027")</f>
        <v>CNN-MKE-027</v>
      </c>
      <c r="B117" s="1075" t="str">
        <f>IFERROR(__xludf.DUMMYFUNCTION("""COMPUTED_VALUE"""),"Máy cày JD 6400")</f>
        <v>Máy cày JD 6400</v>
      </c>
      <c r="C117" s="1076" t="str">
        <f>IFERROR(__xludf.DUMMYFUNCTION("""COMPUTED_VALUE"""),"CGLĐ DP")</f>
        <v>CGLĐ DP</v>
      </c>
      <c r="D117" s="1076" t="str">
        <f>IFERROR(__xludf.DUMMYFUNCTION("""COMPUTED_VALUE"""),"JOHN DEERE")</f>
        <v>JOHN DEERE</v>
      </c>
      <c r="E117" s="356" t="str">
        <f>IFERROR(__xludf.DUMMYFUNCTION("""COMPUTED_VALUE"""),"MỸ")</f>
        <v>MỸ</v>
      </c>
      <c r="F117" s="1076">
        <f>IFERROR(__xludf.DUMMYFUNCTION("""COMPUTED_VALUE"""),1998)</f>
        <v>1998</v>
      </c>
      <c r="G117" s="1076" t="str">
        <f>IFERROR(__xludf.DUMMYFUNCTION("""COMPUTED_VALUE"""),"6400")</f>
        <v>6400</v>
      </c>
      <c r="H117" s="1076" t="str">
        <f>IFERROR(__xludf.DUMMYFUNCTION("""COMPUTED_VALUE"""),"100HP")</f>
        <v>100HP</v>
      </c>
      <c r="I117" s="1076" t="str">
        <f>IFERROR(__xludf.DUMMYFUNCTION("""COMPUTED_VALUE"""),"V120937")</f>
        <v>V120937</v>
      </c>
      <c r="J117" s="1076" t="str">
        <f>IFERROR(__xludf.DUMMYFUNCTION("""COMPUTED_VALUE"""),"T149522")</f>
        <v>T149522</v>
      </c>
      <c r="K117" s="1076">
        <f>IFERROR(__xludf.DUMMYFUNCTION("""COMPUTED_VALUE"""),6)</f>
        <v>6</v>
      </c>
      <c r="L117" s="1076" t="str">
        <f>IFERROR(__xludf.DUMMYFUNCTION("""COMPUTED_VALUE"""),"KLH")</f>
        <v>KLH</v>
      </c>
    </row>
    <row r="118" customHeight="1" spans="1:12">
      <c r="A118" s="1082" t="str">
        <f>IFERROR(__xludf.DUMMYFUNCTION("""COMPUTED_VALUE"""),"CNN-MKE-028")</f>
        <v>CNN-MKE-028</v>
      </c>
      <c r="B118" s="1075" t="str">
        <f>IFERROR(__xludf.DUMMYFUNCTION("""COMPUTED_VALUE"""),"Máy cày JD 6400")</f>
        <v>Máy cày JD 6400</v>
      </c>
      <c r="C118" s="1076" t="str">
        <f>IFERROR(__xludf.DUMMYFUNCTION("""COMPUTED_VALUE"""),"CGLĐ DP")</f>
        <v>CGLĐ DP</v>
      </c>
      <c r="D118" s="1076" t="str">
        <f>IFERROR(__xludf.DUMMYFUNCTION("""COMPUTED_VALUE"""),"JOHN DEERE")</f>
        <v>JOHN DEERE</v>
      </c>
      <c r="E118" s="356" t="str">
        <f>IFERROR(__xludf.DUMMYFUNCTION("""COMPUTED_VALUE"""),"MỸ")</f>
        <v>MỸ</v>
      </c>
      <c r="F118" s="1076">
        <f>IFERROR(__xludf.DUMMYFUNCTION("""COMPUTED_VALUE"""),1998)</f>
        <v>1998</v>
      </c>
      <c r="G118" s="1076" t="str">
        <f>IFERROR(__xludf.DUMMYFUNCTION("""COMPUTED_VALUE"""),"6400")</f>
        <v>6400</v>
      </c>
      <c r="H118" s="1076" t="str">
        <f>IFERROR(__xludf.DUMMYFUNCTION("""COMPUTED_VALUE"""),"100HP")</f>
        <v>100HP</v>
      </c>
      <c r="I118" s="1076" t="str">
        <f>IFERROR(__xludf.DUMMYFUNCTION("""COMPUTED_VALUE"""),"V190731")</f>
        <v>V190731</v>
      </c>
      <c r="J118" s="1076" t="str">
        <f>IFERROR(__xludf.DUMMYFUNCTION("""COMPUTED_VALUE"""),"T318857")</f>
        <v>T318857</v>
      </c>
      <c r="K118" s="1076">
        <f>IFERROR(__xludf.DUMMYFUNCTION("""COMPUTED_VALUE"""),6.5)</f>
        <v>6.5</v>
      </c>
      <c r="L118" s="1076" t="str">
        <f>IFERROR(__xludf.DUMMYFUNCTION("""COMPUTED_VALUE"""),"KLH")</f>
        <v>KLH</v>
      </c>
    </row>
    <row r="119" customHeight="1" spans="1:12">
      <c r="A119" s="1082" t="str">
        <f>IFERROR(__xludf.DUMMYFUNCTION("""COMPUTED_VALUE"""),"CNN-MKE-032")</f>
        <v>CNN-MKE-032</v>
      </c>
      <c r="B119" s="1075" t="str">
        <f>IFERROR(__xludf.DUMMYFUNCTION("""COMPUTED_VALUE"""),"Máy cày JD 2850")</f>
        <v>Máy cày JD 2850</v>
      </c>
      <c r="C119" s="1076" t="str">
        <f>IFERROR(__xludf.DUMMYFUNCTION("""COMPUTED_VALUE"""),"CGLĐ DP")</f>
        <v>CGLĐ DP</v>
      </c>
      <c r="D119" s="1076" t="str">
        <f>IFERROR(__xludf.DUMMYFUNCTION("""COMPUTED_VALUE"""),"JOHN DEERE")</f>
        <v>JOHN DEERE</v>
      </c>
      <c r="E119" s="356" t="str">
        <f>IFERROR(__xludf.DUMMYFUNCTION("""COMPUTED_VALUE"""),"ĐỨC")</f>
        <v>ĐỨC</v>
      </c>
      <c r="F119" s="1076">
        <f>IFERROR(__xludf.DUMMYFUNCTION("""COMPUTED_VALUE"""),1994)</f>
        <v>1994</v>
      </c>
      <c r="G119" s="1076" t="str">
        <f>IFERROR(__xludf.DUMMYFUNCTION("""COMPUTED_VALUE"""),"2850")</f>
        <v>2850</v>
      </c>
      <c r="H119" s="1076" t="str">
        <f>IFERROR(__xludf.DUMMYFUNCTION("""COMPUTED_VALUE"""),"85HP")</f>
        <v>85HP</v>
      </c>
      <c r="I119" s="1076" t="str">
        <f>IFERROR(__xludf.DUMMYFUNCTION("""COMPUTED_VALUE"""),"717696L")</f>
        <v>717696L</v>
      </c>
      <c r="J119" s="1076" t="str">
        <f>IFERROR(__xludf.DUMMYFUNCTION("""COMPUTED_VALUE"""),"CD4239T907229")</f>
        <v>CD4239T907229</v>
      </c>
      <c r="K119" s="1076"/>
      <c r="L119" s="1076" t="str">
        <f>IFERROR(__xludf.DUMMYFUNCTION("""COMPUTED_VALUE"""),"KLH")</f>
        <v>KLH</v>
      </c>
    </row>
    <row r="120" customHeight="1" spans="1:12">
      <c r="A120" s="1082" t="str">
        <f>IFERROR(__xludf.DUMMYFUNCTION("""COMPUTED_VALUE"""),"CNN-MKE-033")</f>
        <v>CNN-MKE-033</v>
      </c>
      <c r="B120" s="1075" t="str">
        <f>IFERROR(__xludf.DUMMYFUNCTION("""COMPUTED_VALUE"""),"Máy cày JD 3350")</f>
        <v>Máy cày JD 3350</v>
      </c>
      <c r="C120" s="1076" t="str">
        <f>IFERROR(__xludf.DUMMYFUNCTION("""COMPUTED_VALUE"""),"CGLĐ DP")</f>
        <v>CGLĐ DP</v>
      </c>
      <c r="D120" s="1076" t="str">
        <f>IFERROR(__xludf.DUMMYFUNCTION("""COMPUTED_VALUE"""),"JOHN DEERE")</f>
        <v>JOHN DEERE</v>
      </c>
      <c r="E120" s="356" t="str">
        <f>IFERROR(__xludf.DUMMYFUNCTION("""COMPUTED_VALUE"""),"ĐỨC")</f>
        <v>ĐỨC</v>
      </c>
      <c r="F120" s="1076">
        <f>IFERROR(__xludf.DUMMYFUNCTION("""COMPUTED_VALUE"""),1993)</f>
        <v>1993</v>
      </c>
      <c r="G120" s="1076" t="str">
        <f>IFERROR(__xludf.DUMMYFUNCTION("""COMPUTED_VALUE"""),"3350")</f>
        <v>3350</v>
      </c>
      <c r="H120" s="1076" t="str">
        <f>IFERROR(__xludf.DUMMYFUNCTION("""COMPUTED_VALUE"""),"100HP")</f>
        <v>100HP</v>
      </c>
      <c r="I120" s="1076" t="str">
        <f>IFERROR(__xludf.DUMMYFUNCTION("""COMPUTED_VALUE"""),"711050L")</f>
        <v>711050L</v>
      </c>
      <c r="J120" s="1076" t="str">
        <f>IFERROR(__xludf.DUMMYFUNCTION("""COMPUTED_VALUE"""),"CD6359D897588")</f>
        <v>CD6359D897588</v>
      </c>
      <c r="K120" s="1076">
        <f>IFERROR(__xludf.DUMMYFUNCTION("""COMPUTED_VALUE"""),6.5)</f>
        <v>6.5</v>
      </c>
      <c r="L120" s="1076" t="str">
        <f>IFERROR(__xludf.DUMMYFUNCTION("""COMPUTED_VALUE"""),"KLH")</f>
        <v>KLH</v>
      </c>
    </row>
    <row r="121" customHeight="1" spans="1:12">
      <c r="A121" s="1082" t="str">
        <f>IFERROR(__xludf.DUMMYFUNCTION("""COMPUTED_VALUE"""),"CNN-MKE-034")</f>
        <v>CNN-MKE-034</v>
      </c>
      <c r="B121" s="1075" t="str">
        <f>IFERROR(__xludf.DUMMYFUNCTION("""COMPUTED_VALUE"""),"Máy cày JD 7800")</f>
        <v>Máy cày JD 7800</v>
      </c>
      <c r="C121" s="1076" t="str">
        <f>IFERROR(__xludf.DUMMYFUNCTION("""COMPUTED_VALUE"""),"CGLĐ DP")</f>
        <v>CGLĐ DP</v>
      </c>
      <c r="D121" s="1076" t="str">
        <f>IFERROR(__xludf.DUMMYFUNCTION("""COMPUTED_VALUE"""),"JOHN DEERE")</f>
        <v>JOHN DEERE</v>
      </c>
      <c r="E121" s="356" t="str">
        <f>IFERROR(__xludf.DUMMYFUNCTION("""COMPUTED_VALUE"""),"MỸ")</f>
        <v>MỸ</v>
      </c>
      <c r="F121" s="1076">
        <f>IFERROR(__xludf.DUMMYFUNCTION("""COMPUTED_VALUE"""),1997)</f>
        <v>1997</v>
      </c>
      <c r="G121" s="1076" t="str">
        <f>IFERROR(__xludf.DUMMYFUNCTION("""COMPUTED_VALUE"""),"7800")</f>
        <v>7800</v>
      </c>
      <c r="H121" s="1076" t="str">
        <f>IFERROR(__xludf.DUMMYFUNCTION("""COMPUTED_VALUE"""),"170HP")</f>
        <v>170HP</v>
      </c>
      <c r="I121" s="1076" t="str">
        <f>IFERROR(__xludf.DUMMYFUNCTION("""COMPUTED_VALUE"""),"RW7800P015834")</f>
        <v>RW7800P015834</v>
      </c>
      <c r="J121" s="1076" t="str">
        <f>IFERROR(__xludf.DUMMYFUNCTION("""COMPUTED_VALUE"""),"RG6076T568036")</f>
        <v>RG6076T568036</v>
      </c>
      <c r="K121" s="1076">
        <f>IFERROR(__xludf.DUMMYFUNCTION("""COMPUTED_VALUE"""),11)</f>
        <v>11</v>
      </c>
      <c r="L121" s="1076" t="str">
        <f>IFERROR(__xludf.DUMMYFUNCTION("""COMPUTED_VALUE"""),"KLH")</f>
        <v>KLH</v>
      </c>
    </row>
    <row r="122" customHeight="1" spans="1:12">
      <c r="A122" s="1082" t="str">
        <f>IFERROR(__xludf.DUMMYFUNCTION("""COMPUTED_VALUE"""),"CNN-MKE-035")</f>
        <v>CNN-MKE-035</v>
      </c>
      <c r="B122" s="1075" t="str">
        <f>IFERROR(__xludf.DUMMYFUNCTION("""COMPUTED_VALUE"""),"Máy cày LOVOL 1504")</f>
        <v>Máy cày LOVOL 1504</v>
      </c>
      <c r="C122" s="1076" t="str">
        <f>IFERROR(__xludf.DUMMYFUNCTION("""COMPUTED_VALUE"""),"CGLĐ DP")</f>
        <v>CGLĐ DP</v>
      </c>
      <c r="D122" s="1076" t="str">
        <f>IFERROR(__xludf.DUMMYFUNCTION("""COMPUTED_VALUE"""),"LOVOL")</f>
        <v>LOVOL</v>
      </c>
      <c r="E122" s="356" t="str">
        <f>IFERROR(__xludf.DUMMYFUNCTION("""COMPUTED_VALUE"""),"Trung Quốc")</f>
        <v>Trung Quốc</v>
      </c>
      <c r="F122" s="1076">
        <f>IFERROR(__xludf.DUMMYFUNCTION("""COMPUTED_VALUE"""),2025)</f>
        <v>2025</v>
      </c>
      <c r="G122" s="1076" t="str">
        <f>IFERROR(__xludf.DUMMYFUNCTION("""COMPUTED_VALUE"""),"1504")</f>
        <v>1504</v>
      </c>
      <c r="H122" s="1076" t="str">
        <f>IFERROR(__xludf.DUMMYFUNCTION("""COMPUTED_VALUE"""),"150HP")</f>
        <v>150HP</v>
      </c>
      <c r="I122" s="1076" t="str">
        <f>IFERROR(__xludf.DUMMYFUNCTION("""COMPUTED_VALUE"""),"M600279SX")</f>
        <v>M600279SX</v>
      </c>
      <c r="J122" s="1076" t="str">
        <f>IFERROR(__xludf.DUMMYFUNCTION("""COMPUTED_VALUE"""),"WP6G180E3306P25J023348")</f>
        <v>WP6G180E3306P25J023348</v>
      </c>
      <c r="K122" s="1076">
        <f>IFERROR(__xludf.DUMMYFUNCTION("""COMPUTED_VALUE"""),13)</f>
        <v>13</v>
      </c>
      <c r="L122" s="1076" t="str">
        <f>IFERROR(__xludf.DUMMYFUNCTION("""COMPUTED_VALUE"""),"KLH")</f>
        <v>KLH</v>
      </c>
    </row>
    <row r="123" customHeight="1" spans="1:12">
      <c r="A123" s="1082" t="str">
        <f>IFERROR(__xludf.DUMMYFUNCTION("""COMPUTED_VALUE"""),"CNN-MKE-039")</f>
        <v>CNN-MKE-039</v>
      </c>
      <c r="B123" s="1075" t="str">
        <f>IFERROR(__xludf.DUMMYFUNCTION("""COMPUTED_VALUE"""),"Máy cày JD 3350")</f>
        <v>Máy cày JD 3350</v>
      </c>
      <c r="C123" s="1076" t="str">
        <f>IFERROR(__xludf.DUMMYFUNCTION("""COMPUTED_VALUE"""),"CGLĐ DP")</f>
        <v>CGLĐ DP</v>
      </c>
      <c r="D123" s="1076" t="str">
        <f>IFERROR(__xludf.DUMMYFUNCTION("""COMPUTED_VALUE"""),"JOHNDEERE")</f>
        <v>JOHNDEERE</v>
      </c>
      <c r="E123" s="356" t="str">
        <f>IFERROR(__xludf.DUMMYFUNCTION("""COMPUTED_VALUE"""),"TRUNG QUỐC")</f>
        <v>TRUNG QUỐC</v>
      </c>
      <c r="F123" s="1076">
        <f>IFERROR(__xludf.DUMMYFUNCTION("""COMPUTED_VALUE"""),1993)</f>
        <v>1993</v>
      </c>
      <c r="G123" s="1076" t="str">
        <f>IFERROR(__xludf.DUMMYFUNCTION("""COMPUTED_VALUE"""),"3350")</f>
        <v>3350</v>
      </c>
      <c r="H123" s="1076" t="str">
        <f>IFERROR(__xludf.DUMMYFUNCTION("""COMPUTED_VALUE"""),"100HP")</f>
        <v>100HP</v>
      </c>
      <c r="I123" s="1076" t="str">
        <f>IFERROR(__xludf.DUMMYFUNCTION("""COMPUTED_VALUE"""),"636964L")</f>
        <v>636964L</v>
      </c>
      <c r="J123" s="1076" t="str">
        <f>IFERROR(__xludf.DUMMYFUNCTION("""COMPUTED_VALUE"""),"CD6359D776913")</f>
        <v>CD6359D776913</v>
      </c>
      <c r="K123" s="1076"/>
      <c r="L123" s="1076" t="str">
        <f>IFERROR(__xludf.DUMMYFUNCTION("""COMPUTED_VALUE"""),"KLH")</f>
        <v>KLH</v>
      </c>
    </row>
    <row r="124" customHeight="1" spans="1:12">
      <c r="A124" s="1082" t="str">
        <f>IFERROR(__xludf.DUMMYFUNCTION("""COMPUTED_VALUE"""),"BCG-LBR-003")</f>
        <v>BCG-LBR-003</v>
      </c>
      <c r="B124" s="1075" t="str">
        <f>IFERROR(__xludf.DUMMYFUNCTION("""COMPUTED_VALUE"""),"Xe tải Libero")</f>
        <v>Xe tải Libero</v>
      </c>
      <c r="C124" s="1076" t="str">
        <f>IFERROR(__xludf.DUMMYFUNCTION("""COMPUTED_VALUE"""),"CGLĐ DP")</f>
        <v>CGLĐ DP</v>
      </c>
      <c r="D124" s="1076" t="str">
        <f>IFERROR(__xludf.DUMMYFUNCTION("""COMPUTED_VALUE"""),"LIBERO")</f>
        <v>LIBERO</v>
      </c>
      <c r="E124" s="356"/>
      <c r="F124" s="1076"/>
      <c r="G124" s="1076"/>
      <c r="H124" s="1076"/>
      <c r="I124" s="1076" t="str">
        <f>IFERROR(__xludf.DUMMYFUNCTION("""COMPUTED_VALUE"""),"KMFYKS7HPYU0116")</f>
        <v>KMFYKS7HPYU0116</v>
      </c>
      <c r="J124" s="1076" t="str">
        <f>IFERROR(__xludf.DUMMYFUNCTION("""COMPUTED_VALUE"""),"D4BHY032368")</f>
        <v>D4BHY032368</v>
      </c>
      <c r="K124" s="1076"/>
      <c r="L124" s="1076" t="str">
        <f>IFERROR(__xludf.DUMMYFUNCTION("""COMPUTED_VALUE"""),"KLH")</f>
        <v>KLH</v>
      </c>
    </row>
    <row r="125" customHeight="1" spans="1:12">
      <c r="A125" s="1082" t="str">
        <f>IFERROR(__xludf.DUMMYFUNCTION("""COMPUTED_VALUE"""),"Cơ giới làm đất LP")</f>
        <v>Cơ giới làm đất LP</v>
      </c>
      <c r="B125" s="1075"/>
      <c r="C125" s="1076"/>
      <c r="D125" s="1076"/>
      <c r="E125" s="356"/>
      <c r="F125" s="1076"/>
      <c r="G125" s="1076"/>
      <c r="H125" s="1076"/>
      <c r="I125" s="1076"/>
      <c r="J125" s="1076"/>
      <c r="K125" s="1076"/>
      <c r="L125" s="1076" t="str">
        <f>IFERROR(__xludf.DUMMYFUNCTION("""COMPUTED_VALUE"""),"KLH")</f>
        <v>KLH</v>
      </c>
    </row>
    <row r="126" customHeight="1" spans="1:12">
      <c r="A126" s="1082" t="str">
        <f>IFERROR(__xludf.DUMMYFUNCTION("""COMPUTED_VALUE"""),"CNN-MKE-011")</f>
        <v>CNN-MKE-011</v>
      </c>
      <c r="B126" s="1075" t="str">
        <f>IFERROR(__xludf.DUMMYFUNCTION("""COMPUTED_VALUE"""),"Máy cày JD 6603")</f>
        <v>Máy cày JD 6603</v>
      </c>
      <c r="C126" s="1076" t="str">
        <f>IFERROR(__xludf.DUMMYFUNCTION("""COMPUTED_VALUE"""),"CGLĐ LP")</f>
        <v>CGLĐ LP</v>
      </c>
      <c r="D126" s="1076" t="str">
        <f>IFERROR(__xludf.DUMMYFUNCTION("""COMPUTED_VALUE"""),"JOHN DEERE")</f>
        <v>JOHN DEERE</v>
      </c>
      <c r="E126" s="356" t="str">
        <f>IFERROR(__xludf.DUMMYFUNCTION("""COMPUTED_VALUE"""),"MỸ")</f>
        <v>MỸ</v>
      </c>
      <c r="F126" s="1076">
        <f>IFERROR(__xludf.DUMMYFUNCTION("""COMPUTED_VALUE"""),2018)</f>
        <v>2018</v>
      </c>
      <c r="G126" s="1076" t="str">
        <f>IFERROR(__xludf.DUMMYFUNCTION("""COMPUTED_VALUE"""),"6603")</f>
        <v>6603</v>
      </c>
      <c r="H126" s="1076" t="str">
        <f>IFERROR(__xludf.DUMMYFUNCTION("""COMPUTED_VALUE"""),"120HP")</f>
        <v>120HP</v>
      </c>
      <c r="I126" s="1076" t="str">
        <f>IFERROR(__xludf.DUMMYFUNCTION("""COMPUTED_VALUE"""),"32607")</f>
        <v>32607</v>
      </c>
      <c r="J126" s="1076" t="str">
        <f>IFERROR(__xludf.DUMMYFUNCTION("""COMPUTED_VALUE"""),"CCN")</f>
        <v>CCN</v>
      </c>
      <c r="K126" s="1076">
        <f>IFERROR(__xludf.DUMMYFUNCTION("""COMPUTED_VALUE"""),9)</f>
        <v>9</v>
      </c>
      <c r="L126" s="1076" t="str">
        <f>IFERROR(__xludf.DUMMYFUNCTION("""COMPUTED_VALUE"""),"KLH")</f>
        <v>KLH</v>
      </c>
    </row>
    <row r="127" customHeight="1" spans="1:12">
      <c r="A127" s="1082" t="str">
        <f>IFERROR(__xludf.DUMMYFUNCTION("""COMPUTED_VALUE"""),"CNN-MKE-012")</f>
        <v>CNN-MKE-012</v>
      </c>
      <c r="B127" s="1075" t="str">
        <f>IFERROR(__xludf.DUMMYFUNCTION("""COMPUTED_VALUE"""),"Máy cày JD 6603")</f>
        <v>Máy cày JD 6603</v>
      </c>
      <c r="C127" s="1076" t="str">
        <f>IFERROR(__xludf.DUMMYFUNCTION("""COMPUTED_VALUE"""),"CGLĐ LP")</f>
        <v>CGLĐ LP</v>
      </c>
      <c r="D127" s="1076" t="str">
        <f>IFERROR(__xludf.DUMMYFUNCTION("""COMPUTED_VALUE"""),"JOHN DEERE")</f>
        <v>JOHN DEERE</v>
      </c>
      <c r="E127" s="356" t="str">
        <f>IFERROR(__xludf.DUMMYFUNCTION("""COMPUTED_VALUE"""),"MỸ")</f>
        <v>MỸ</v>
      </c>
      <c r="F127" s="1076">
        <f>IFERROR(__xludf.DUMMYFUNCTION("""COMPUTED_VALUE"""),2018)</f>
        <v>2018</v>
      </c>
      <c r="G127" s="1076" t="str">
        <f>IFERROR(__xludf.DUMMYFUNCTION("""COMPUTED_VALUE"""),"6603")</f>
        <v>6603</v>
      </c>
      <c r="H127" s="1076" t="str">
        <f>IFERROR(__xludf.DUMMYFUNCTION("""COMPUTED_VALUE"""),"120HP")</f>
        <v>120HP</v>
      </c>
      <c r="I127" s="1076" t="str">
        <f>IFERROR(__xludf.DUMMYFUNCTION("""COMPUTED_VALUE"""),"J0033179")</f>
        <v>J0033179</v>
      </c>
      <c r="J127" s="1076" t="str">
        <f>IFERROR(__xludf.DUMMYFUNCTION("""COMPUTED_VALUE"""),"05958")</f>
        <v>05958</v>
      </c>
      <c r="K127" s="1076">
        <f>IFERROR(__xludf.DUMMYFUNCTION("""COMPUTED_VALUE"""),9)</f>
        <v>9</v>
      </c>
      <c r="L127" s="1076" t="str">
        <f>IFERROR(__xludf.DUMMYFUNCTION("""COMPUTED_VALUE"""),"KLH")</f>
        <v>KLH</v>
      </c>
    </row>
    <row r="128" customHeight="1" spans="1:12">
      <c r="A128" s="1082" t="str">
        <f>IFERROR(__xludf.DUMMYFUNCTION("""COMPUTED_VALUE"""),"CNN-MKE-013")</f>
        <v>CNN-MKE-013</v>
      </c>
      <c r="B128" s="1075" t="str">
        <f>IFERROR(__xludf.DUMMYFUNCTION("""COMPUTED_VALUE"""),"Máy cày JD 6603")</f>
        <v>Máy cày JD 6603</v>
      </c>
      <c r="C128" s="1076" t="str">
        <f>IFERROR(__xludf.DUMMYFUNCTION("""COMPUTED_VALUE"""),"CGLĐ LP")</f>
        <v>CGLĐ LP</v>
      </c>
      <c r="D128" s="1076" t="str">
        <f>IFERROR(__xludf.DUMMYFUNCTION("""COMPUTED_VALUE"""),"JOHN DEERE")</f>
        <v>JOHN DEERE</v>
      </c>
      <c r="E128" s="356" t="str">
        <f>IFERROR(__xludf.DUMMYFUNCTION("""COMPUTED_VALUE"""),"MỸ")</f>
        <v>MỸ</v>
      </c>
      <c r="F128" s="1076">
        <f>IFERROR(__xludf.DUMMYFUNCTION("""COMPUTED_VALUE"""),2018)</f>
        <v>2018</v>
      </c>
      <c r="G128" s="1076" t="str">
        <f>IFERROR(__xludf.DUMMYFUNCTION("""COMPUTED_VALUE"""),"6603")</f>
        <v>6603</v>
      </c>
      <c r="H128" s="1076" t="str">
        <f>IFERROR(__xludf.DUMMYFUNCTION("""COMPUTED_VALUE"""),"120HP")</f>
        <v>120HP</v>
      </c>
      <c r="I128" s="1076" t="str">
        <f>IFERROR(__xludf.DUMMYFUNCTION("""COMPUTED_VALUE"""),"1P06603XLJ0032211")</f>
        <v>1P06603XLJ0032211</v>
      </c>
      <c r="J128" s="1076" t="str">
        <f>IFERROR(__xludf.DUMMYFUNCTION("""COMPUTED_VALUE"""),"PE6068E003752")</f>
        <v>PE6068E003752</v>
      </c>
      <c r="K128" s="1076">
        <f>IFERROR(__xludf.DUMMYFUNCTION("""COMPUTED_VALUE"""),9)</f>
        <v>9</v>
      </c>
      <c r="L128" s="1076" t="str">
        <f>IFERROR(__xludf.DUMMYFUNCTION("""COMPUTED_VALUE"""),"KLH")</f>
        <v>KLH</v>
      </c>
    </row>
    <row r="129" customHeight="1" spans="1:12">
      <c r="A129" s="1082" t="str">
        <f>IFERROR(__xludf.DUMMYFUNCTION("""COMPUTED_VALUE"""),"CNN-MKE-021")</f>
        <v>CNN-MKE-021</v>
      </c>
      <c r="B129" s="1075" t="str">
        <f>IFERROR(__xludf.DUMMYFUNCTION("""COMPUTED_VALUE"""),"Máy cày JD 6120B")</f>
        <v>Máy cày JD 6120B</v>
      </c>
      <c r="C129" s="1076" t="str">
        <f>IFERROR(__xludf.DUMMYFUNCTION("""COMPUTED_VALUE"""),"CGLĐ LP")</f>
        <v>CGLĐ LP</v>
      </c>
      <c r="D129" s="1076" t="str">
        <f>IFERROR(__xludf.DUMMYFUNCTION("""COMPUTED_VALUE"""),"JOHN DEERE")</f>
        <v>JOHN DEERE</v>
      </c>
      <c r="E129" s="356" t="str">
        <f>IFERROR(__xludf.DUMMYFUNCTION("""COMPUTED_VALUE"""),"MỸ")</f>
        <v>MỸ</v>
      </c>
      <c r="F129" s="1076">
        <f>IFERROR(__xludf.DUMMYFUNCTION("""COMPUTED_VALUE"""),2022)</f>
        <v>2022</v>
      </c>
      <c r="G129" s="1076" t="str">
        <f>IFERROR(__xludf.DUMMYFUNCTION("""COMPUTED_VALUE"""),"6120B")</f>
        <v>6120B</v>
      </c>
      <c r="H129" s="1076" t="str">
        <f>IFERROR(__xludf.DUMMYFUNCTION("""COMPUTED_VALUE"""),"120HP")</f>
        <v>120HP</v>
      </c>
      <c r="I129" s="1076" t="str">
        <f>IFERROR(__xludf.DUMMYFUNCTION("""COMPUTED_VALUE"""),"1YR6120BERD210219")</f>
        <v>1YR6120BERD210219</v>
      </c>
      <c r="J129" s="1076" t="str">
        <f>IFERROR(__xludf.DUMMYFUNCTION("""COMPUTED_VALUE"""),"PE4045N035800")</f>
        <v>PE4045N035800</v>
      </c>
      <c r="K129" s="1076">
        <f>IFERROR(__xludf.DUMMYFUNCTION("""COMPUTED_VALUE"""),9.5)</f>
        <v>9.5</v>
      </c>
      <c r="L129" s="1076" t="str">
        <f>IFERROR(__xludf.DUMMYFUNCTION("""COMPUTED_VALUE"""),"KLH")</f>
        <v>KLH</v>
      </c>
    </row>
    <row r="130" customHeight="1" spans="1:12">
      <c r="A130" s="1082" t="str">
        <f>IFERROR(__xludf.DUMMYFUNCTION("""COMPUTED_VALUE"""),"CNN-MKE-017")</f>
        <v>CNN-MKE-017</v>
      </c>
      <c r="B130" s="1075" t="str">
        <f>IFERROR(__xludf.DUMMYFUNCTION("""COMPUTED_VALUE"""),"Máy cày JD 5090E")</f>
        <v>Máy cày JD 5090E</v>
      </c>
      <c r="C130" s="1076" t="str">
        <f>IFERROR(__xludf.DUMMYFUNCTION("""COMPUTED_VALUE"""),"CGLĐ LP")</f>
        <v>CGLĐ LP</v>
      </c>
      <c r="D130" s="1076" t="str">
        <f>IFERROR(__xludf.DUMMYFUNCTION("""COMPUTED_VALUE"""),"JOHN DEERE")</f>
        <v>JOHN DEERE</v>
      </c>
      <c r="E130" s="356" t="str">
        <f>IFERROR(__xludf.DUMMYFUNCTION("""COMPUTED_VALUE"""),"MỸ")</f>
        <v>MỸ</v>
      </c>
      <c r="F130" s="1076">
        <f>IFERROR(__xludf.DUMMYFUNCTION("""COMPUTED_VALUE"""),2022)</f>
        <v>2022</v>
      </c>
      <c r="G130" s="1076" t="str">
        <f>IFERROR(__xludf.DUMMYFUNCTION("""COMPUTED_VALUE"""),"5090")</f>
        <v>5090</v>
      </c>
      <c r="H130" s="1076" t="str">
        <f>IFERROR(__xludf.DUMMYFUNCTION("""COMPUTED_VALUE"""),"90HP")</f>
        <v>90HP</v>
      </c>
      <c r="I130" s="1076" t="str">
        <f>IFERROR(__xludf.DUMMYFUNCTION("""COMPUTED_VALUE"""),"1P05090EHN4073538")</f>
        <v>1P05090EHN4073538</v>
      </c>
      <c r="J130" s="1076" t="str">
        <f>IFERROR(__xludf.DUMMYFUNCTION("""COMPUTED_VALUE"""),"PE4045E027590")</f>
        <v>PE4045E027590</v>
      </c>
      <c r="K130" s="1076">
        <f>IFERROR(__xludf.DUMMYFUNCTION("""COMPUTED_VALUE"""),6)</f>
        <v>6</v>
      </c>
      <c r="L130" s="1076" t="str">
        <f>IFERROR(__xludf.DUMMYFUNCTION("""COMPUTED_VALUE"""),"KLH")</f>
        <v>KLH</v>
      </c>
    </row>
    <row r="131" customHeight="1" spans="1:12">
      <c r="A131" s="1082" t="str">
        <f>IFERROR(__xludf.DUMMYFUNCTION("""COMPUTED_VALUE"""),"CNN-MKE-025")</f>
        <v>CNN-MKE-025</v>
      </c>
      <c r="B131" s="1075" t="str">
        <f>IFERROR(__xludf.DUMMYFUNCTION("""COMPUTED_VALUE"""),"Máy cày JD 6155J")</f>
        <v>Máy cày JD 6155J</v>
      </c>
      <c r="C131" s="1076" t="str">
        <f>IFERROR(__xludf.DUMMYFUNCTION("""COMPUTED_VALUE"""),"CGLĐ LP")</f>
        <v>CGLĐ LP</v>
      </c>
      <c r="D131" s="1076" t="str">
        <f>IFERROR(__xludf.DUMMYFUNCTION("""COMPUTED_VALUE"""),"JOHN DEERE")</f>
        <v>JOHN DEERE</v>
      </c>
      <c r="E131" s="356" t="str">
        <f>IFERROR(__xludf.DUMMYFUNCTION("""COMPUTED_VALUE"""),"MỸ")</f>
        <v>MỸ</v>
      </c>
      <c r="F131" s="1076">
        <f>IFERROR(__xludf.DUMMYFUNCTION("""COMPUTED_VALUE"""),2022)</f>
        <v>2022</v>
      </c>
      <c r="G131" s="1076" t="str">
        <f>IFERROR(__xludf.DUMMYFUNCTION("""COMPUTED_VALUE"""),"6155J")</f>
        <v>6155J</v>
      </c>
      <c r="H131" s="1076" t="str">
        <f>IFERROR(__xludf.DUMMYFUNCTION("""COMPUTED_VALUE"""),"155HP")</f>
        <v>155HP</v>
      </c>
      <c r="I131" s="1076" t="str">
        <f>IFERROR(__xludf.DUMMYFUNCTION("""COMPUTED_VALUE"""),"1P06155JJP8010850")</f>
        <v>1P06155JJP8010850</v>
      </c>
      <c r="J131" s="1076" t="str">
        <f>IFERROR(__xludf.DUMMYFUNCTION("""COMPUTED_VALUE"""),"PE6068J008148")</f>
        <v>PE6068J008148</v>
      </c>
      <c r="K131" s="1076">
        <f>IFERROR(__xludf.DUMMYFUNCTION("""COMPUTED_VALUE"""),14)</f>
        <v>14</v>
      </c>
      <c r="L131" s="1076" t="str">
        <f>IFERROR(__xludf.DUMMYFUNCTION("""COMPUTED_VALUE"""),"KLH")</f>
        <v>KLH</v>
      </c>
    </row>
    <row r="132" customHeight="1" spans="1:12">
      <c r="A132" s="1082" t="str">
        <f>IFERROR(__xludf.DUMMYFUNCTION("""COMPUTED_VALUE"""),"CNN-MKE-023")</f>
        <v>CNN-MKE-023</v>
      </c>
      <c r="B132" s="1075" t="str">
        <f>IFERROR(__xludf.DUMMYFUNCTION("""COMPUTED_VALUE"""),"Máy cày M6040")</f>
        <v>Máy cày M6040</v>
      </c>
      <c r="C132" s="1076" t="str">
        <f>IFERROR(__xludf.DUMMYFUNCTION("""COMPUTED_VALUE"""),"CGLĐ LP")</f>
        <v>CGLĐ LP</v>
      </c>
      <c r="D132" s="1076" t="str">
        <f>IFERROR(__xludf.DUMMYFUNCTION("""COMPUTED_VALUE"""),"KUBOTA")</f>
        <v>KUBOTA</v>
      </c>
      <c r="E132" s="356" t="str">
        <f>IFERROR(__xludf.DUMMYFUNCTION("""COMPUTED_VALUE"""),"NHẬT BẢN")</f>
        <v>NHẬT BẢN</v>
      </c>
      <c r="F132" s="1076">
        <f>IFERROR(__xludf.DUMMYFUNCTION("""COMPUTED_VALUE"""),2013)</f>
        <v>2013</v>
      </c>
      <c r="G132" s="1076" t="str">
        <f>IFERROR(__xludf.DUMMYFUNCTION("""COMPUTED_VALUE"""),"M6040")</f>
        <v>M6040</v>
      </c>
      <c r="H132" s="1076" t="str">
        <f>IFERROR(__xludf.DUMMYFUNCTION("""COMPUTED_VALUE"""),"60HP")</f>
        <v>60HP</v>
      </c>
      <c r="I132" s="1076" t="str">
        <f>IFERROR(__xludf.DUMMYFUNCTION("""COMPUTED_VALUE"""),"57548")</f>
        <v>57548</v>
      </c>
      <c r="J132" s="1076" t="str">
        <f>IFERROR(__xludf.DUMMYFUNCTION("""COMPUTED_VALUE"""),"CCN")</f>
        <v>CCN</v>
      </c>
      <c r="K132" s="1076">
        <f>IFERROR(__xludf.DUMMYFUNCTION("""COMPUTED_VALUE"""),3.5)</f>
        <v>3.5</v>
      </c>
      <c r="L132" s="1076" t="str">
        <f>IFERROR(__xludf.DUMMYFUNCTION("""COMPUTED_VALUE"""),"KLH")</f>
        <v>KLH</v>
      </c>
    </row>
    <row r="133" customHeight="1" spans="1:12">
      <c r="A133" s="1082" t="str">
        <f>IFERROR(__xludf.DUMMYFUNCTION("""COMPUTED_VALUE"""),"CNN-MKE-026")</f>
        <v>CNN-MKE-026</v>
      </c>
      <c r="B133" s="1075" t="str">
        <f>IFERROR(__xludf.DUMMYFUNCTION("""COMPUTED_VALUE"""),"Máy cày JD 6400")</f>
        <v>Máy cày JD 6400</v>
      </c>
      <c r="C133" s="1076" t="str">
        <f>IFERROR(__xludf.DUMMYFUNCTION("""COMPUTED_VALUE"""),"CGLĐ LP")</f>
        <v>CGLĐ LP</v>
      </c>
      <c r="D133" s="1076" t="str">
        <f>IFERROR(__xludf.DUMMYFUNCTION("""COMPUTED_VALUE"""),"JOHN DEERE")</f>
        <v>JOHN DEERE</v>
      </c>
      <c r="E133" s="356" t="str">
        <f>IFERROR(__xludf.DUMMYFUNCTION("""COMPUTED_VALUE"""),"ĐỨC")</f>
        <v>ĐỨC</v>
      </c>
      <c r="F133" s="1076">
        <f>IFERROR(__xludf.DUMMYFUNCTION("""COMPUTED_VALUE"""),1998)</f>
        <v>1998</v>
      </c>
      <c r="G133" s="1076" t="str">
        <f>IFERROR(__xludf.DUMMYFUNCTION("""COMPUTED_VALUE"""),"6400")</f>
        <v>6400</v>
      </c>
      <c r="H133" s="1076" t="str">
        <f>IFERROR(__xludf.DUMMYFUNCTION("""COMPUTED_VALUE"""),"100HP")</f>
        <v>100HP</v>
      </c>
      <c r="I133" s="1076" t="str">
        <f>IFERROR(__xludf.DUMMYFUNCTION("""COMPUTED_VALUE"""),"L06400V127612")</f>
        <v>L06400V127612</v>
      </c>
      <c r="J133" s="1076" t="str">
        <f>IFERROR(__xludf.DUMMYFUNCTION("""COMPUTED_VALUE"""),"CD4045T744536")</f>
        <v>CD4045T744536</v>
      </c>
      <c r="K133" s="1076">
        <f>IFERROR(__xludf.DUMMYFUNCTION("""COMPUTED_VALUE"""),6)</f>
        <v>6</v>
      </c>
      <c r="L133" s="1076" t="str">
        <f>IFERROR(__xludf.DUMMYFUNCTION("""COMPUTED_VALUE"""),"KLH")</f>
        <v>KLH</v>
      </c>
    </row>
    <row r="134" customHeight="1" spans="1:12">
      <c r="A134" s="1082" t="str">
        <f>IFERROR(__xludf.DUMMYFUNCTION("""COMPUTED_VALUE"""),"CNN-MKE-029")</f>
        <v>CNN-MKE-029</v>
      </c>
      <c r="B134" s="1075" t="str">
        <f>IFERROR(__xludf.DUMMYFUNCTION("""COMPUTED_VALUE"""),"Máy cày LOVOL 1504")</f>
        <v>Máy cày LOVOL 1504</v>
      </c>
      <c r="C134" s="1076" t="str">
        <f>IFERROR(__xludf.DUMMYFUNCTION("""COMPUTED_VALUE"""),"CGLĐ LP")</f>
        <v>CGLĐ LP</v>
      </c>
      <c r="D134" s="1076" t="str">
        <f>IFERROR(__xludf.DUMMYFUNCTION("""COMPUTED_VALUE"""),"LOVOL")</f>
        <v>LOVOL</v>
      </c>
      <c r="E134" s="356" t="str">
        <f>IFERROR(__xludf.DUMMYFUNCTION("""COMPUTED_VALUE"""),"Trung Quốc")</f>
        <v>Trung Quốc</v>
      </c>
      <c r="F134" s="1076">
        <f>IFERROR(__xludf.DUMMYFUNCTION("""COMPUTED_VALUE"""),2024)</f>
        <v>2024</v>
      </c>
      <c r="G134" s="1076" t="str">
        <f>IFERROR(__xludf.DUMMYFUNCTION("""COMPUTED_VALUE"""),"1504")</f>
        <v>1504</v>
      </c>
      <c r="H134" s="1076" t="str">
        <f>IFERROR(__xludf.DUMMYFUNCTION("""COMPUTED_VALUE"""),"147HP")</f>
        <v>147HP</v>
      </c>
      <c r="I134" s="1076" t="str">
        <f>IFERROR(__xludf.DUMMYFUNCTION("""COMPUTED_VALUE"""),"6P23C005870")</f>
        <v>6P23C005870</v>
      </c>
      <c r="J134" s="1076" t="str">
        <f>IFERROR(__xludf.DUMMYFUNCTION("""COMPUTED_VALUE"""),"CCN")</f>
        <v>CCN</v>
      </c>
      <c r="K134" s="1076">
        <f>IFERROR(__xludf.DUMMYFUNCTION("""COMPUTED_VALUE"""),13)</f>
        <v>13</v>
      </c>
      <c r="L134" s="1076" t="str">
        <f>IFERROR(__xludf.DUMMYFUNCTION("""COMPUTED_VALUE"""),"KLH")</f>
        <v>KLH</v>
      </c>
    </row>
    <row r="135" customHeight="1" spans="1:12">
      <c r="A135" s="1082" t="str">
        <f>IFERROR(__xludf.DUMMYFUNCTION("""COMPUTED_VALUE"""),"CNN-MKE-030")</f>
        <v>CNN-MKE-030</v>
      </c>
      <c r="B135" s="1075" t="str">
        <f>IFERROR(__xludf.DUMMYFUNCTION("""COMPUTED_VALUE"""),"Máy cày JD 3350")</f>
        <v>Máy cày JD 3350</v>
      </c>
      <c r="C135" s="1076" t="str">
        <f>IFERROR(__xludf.DUMMYFUNCTION("""COMPUTED_VALUE"""),"CGLĐ LP")</f>
        <v>CGLĐ LP</v>
      </c>
      <c r="D135" s="1076" t="str">
        <f>IFERROR(__xludf.DUMMYFUNCTION("""COMPUTED_VALUE"""),"JOHN DEERE")</f>
        <v>JOHN DEERE</v>
      </c>
      <c r="E135" s="356" t="str">
        <f>IFERROR(__xludf.DUMMYFUNCTION("""COMPUTED_VALUE"""),"ĐỨC")</f>
        <v>ĐỨC</v>
      </c>
      <c r="F135" s="1076">
        <f>IFERROR(__xludf.DUMMYFUNCTION("""COMPUTED_VALUE"""),1993)</f>
        <v>1993</v>
      </c>
      <c r="G135" s="1076" t="str">
        <f>IFERROR(__xludf.DUMMYFUNCTION("""COMPUTED_VALUE"""),"3350")</f>
        <v>3350</v>
      </c>
      <c r="H135" s="1076" t="str">
        <f>IFERROR(__xludf.DUMMYFUNCTION("""COMPUTED_VALUE"""),"100HP")</f>
        <v>100HP</v>
      </c>
      <c r="I135" s="1076" t="str">
        <f>IFERROR(__xludf.DUMMYFUNCTION("""COMPUTED_VALUE"""),"608107")</f>
        <v>608107</v>
      </c>
      <c r="J135" s="1076" t="str">
        <f>IFERROR(__xludf.DUMMYFUNCTION("""COMPUTED_VALUE"""),"CD0635-90696675")</f>
        <v>CD0635-90696675</v>
      </c>
      <c r="K135" s="1076">
        <f>IFERROR(__xludf.DUMMYFUNCTION("""COMPUTED_VALUE"""),6.5)</f>
        <v>6.5</v>
      </c>
      <c r="L135" s="1076" t="str">
        <f>IFERROR(__xludf.DUMMYFUNCTION("""COMPUTED_VALUE"""),"KLH")</f>
        <v>KLH</v>
      </c>
    </row>
    <row r="136" customHeight="1" spans="1:12">
      <c r="A136" s="1082" t="str">
        <f>IFERROR(__xludf.DUMMYFUNCTION("""COMPUTED_VALUE"""),"CNN-MKE-031")</f>
        <v>CNN-MKE-031</v>
      </c>
      <c r="B136" s="1075" t="str">
        <f>IFERROR(__xludf.DUMMYFUNCTION("""COMPUTED_VALUE"""),"Máy cày JD 3650")</f>
        <v>Máy cày JD 3650</v>
      </c>
      <c r="C136" s="1076" t="str">
        <f>IFERROR(__xludf.DUMMYFUNCTION("""COMPUTED_VALUE"""),"CGLĐ LP")</f>
        <v>CGLĐ LP</v>
      </c>
      <c r="D136" s="1076" t="str">
        <f>IFERROR(__xludf.DUMMYFUNCTION("""COMPUTED_VALUE"""),"JOHN DEERE")</f>
        <v>JOHN DEERE</v>
      </c>
      <c r="E136" s="356" t="str">
        <f>IFERROR(__xludf.DUMMYFUNCTION("""COMPUTED_VALUE"""),"ĐỨC")</f>
        <v>ĐỨC</v>
      </c>
      <c r="F136" s="1076">
        <f>IFERROR(__xludf.DUMMYFUNCTION("""COMPUTED_VALUE"""),1993)</f>
        <v>1993</v>
      </c>
      <c r="G136" s="1076" t="str">
        <f>IFERROR(__xludf.DUMMYFUNCTION("""COMPUTED_VALUE"""),"3650")</f>
        <v>3650</v>
      </c>
      <c r="H136" s="1076" t="str">
        <f>IFERROR(__xludf.DUMMYFUNCTION("""COMPUTED_VALUE"""),"115HP")</f>
        <v>115HP</v>
      </c>
      <c r="I136" s="1076" t="str">
        <f>IFERROR(__xludf.DUMMYFUNCTION("""COMPUTED_VALUE"""),"U573763")</f>
        <v>U573763</v>
      </c>
      <c r="J136" s="1076" t="str">
        <f>IFERROR(__xludf.DUMMYFUNCTION("""COMPUTED_VALUE"""),"149701CD")</f>
        <v>149701CD</v>
      </c>
      <c r="K136" s="1076">
        <f>IFERROR(__xludf.DUMMYFUNCTION("""COMPUTED_VALUE"""),9.4)</f>
        <v>9.4</v>
      </c>
      <c r="L136" s="1076" t="str">
        <f>IFERROR(__xludf.DUMMYFUNCTION("""COMPUTED_VALUE"""),"KLH")</f>
        <v>KLH</v>
      </c>
    </row>
    <row r="137" customHeight="1" spans="1:12">
      <c r="A137" s="1082" t="str">
        <f>IFERROR(__xludf.DUMMYFUNCTION("""COMPUTED_VALUE"""),"CNN-MKE-036")</f>
        <v>CNN-MKE-036</v>
      </c>
      <c r="B137" s="1075" t="str">
        <f>IFERROR(__xludf.DUMMYFUNCTION("""COMPUTED_VALUE"""),"Máy cày JD 3640")</f>
        <v>Máy cày JD 3640</v>
      </c>
      <c r="C137" s="1076" t="str">
        <f>IFERROR(__xludf.DUMMYFUNCTION("""COMPUTED_VALUE"""),"CGLĐ LP")</f>
        <v>CGLĐ LP</v>
      </c>
      <c r="D137" s="1076" t="str">
        <f>IFERROR(__xludf.DUMMYFUNCTION("""COMPUTED_VALUE"""),"JOHN DEERE")</f>
        <v>JOHN DEERE</v>
      </c>
      <c r="E137" s="356" t="str">
        <f>IFERROR(__xludf.DUMMYFUNCTION("""COMPUTED_VALUE"""),"ĐỨC")</f>
        <v>ĐỨC</v>
      </c>
      <c r="F137" s="1076">
        <f>IFERROR(__xludf.DUMMYFUNCTION("""COMPUTED_VALUE"""),1987)</f>
        <v>1987</v>
      </c>
      <c r="G137" s="1076" t="str">
        <f>IFERROR(__xludf.DUMMYFUNCTION("""COMPUTED_VALUE"""),"3640")</f>
        <v>3640</v>
      </c>
      <c r="H137" s="1076" t="str">
        <f>IFERROR(__xludf.DUMMYFUNCTION("""COMPUTED_VALUE"""),"115HP")</f>
        <v>115HP</v>
      </c>
      <c r="I137" s="1076" t="str">
        <f>IFERROR(__xludf.DUMMYFUNCTION("""COMPUTED_VALUE"""),"579925L")</f>
        <v>579925L</v>
      </c>
      <c r="J137" s="1076" t="str">
        <f>IFERROR(__xludf.DUMMYFUNCTION("""COMPUTED_VALUE"""),"CD6359D704281")</f>
        <v>CD6359D704281</v>
      </c>
      <c r="K137" s="1076"/>
      <c r="L137" s="1076" t="str">
        <f>IFERROR(__xludf.DUMMYFUNCTION("""COMPUTED_VALUE"""),"KLH")</f>
        <v>KLH</v>
      </c>
    </row>
    <row r="138" customHeight="1" spans="1:12">
      <c r="A138" s="1082" t="str">
        <f>IFERROR(__xludf.DUMMYFUNCTION("""COMPUTED_VALUE"""),"CNN-MKE-037")</f>
        <v>CNN-MKE-037</v>
      </c>
      <c r="B138" s="1075" t="str">
        <f>IFERROR(__xludf.DUMMYFUNCTION("""COMPUTED_VALUE"""),"Máy cày JD 6300")</f>
        <v>Máy cày JD 6300</v>
      </c>
      <c r="C138" s="1076" t="str">
        <f>IFERROR(__xludf.DUMMYFUNCTION("""COMPUTED_VALUE"""),"CGLĐ LP")</f>
        <v>CGLĐ LP</v>
      </c>
      <c r="D138" s="1076" t="str">
        <f>IFERROR(__xludf.DUMMYFUNCTION("""COMPUTED_VALUE"""),"JOHN DEERE")</f>
        <v>JOHN DEERE</v>
      </c>
      <c r="E138" s="356" t="str">
        <f>IFERROR(__xludf.DUMMYFUNCTION("""COMPUTED_VALUE"""),"ĐỨC")</f>
        <v>ĐỨC</v>
      </c>
      <c r="F138" s="1076">
        <f>IFERROR(__xludf.DUMMYFUNCTION("""COMPUTED_VALUE"""),1994)</f>
        <v>1994</v>
      </c>
      <c r="G138" s="1076" t="str">
        <f>IFERROR(__xludf.DUMMYFUNCTION("""COMPUTED_VALUE"""),"6300")</f>
        <v>6300</v>
      </c>
      <c r="H138" s="1076" t="str">
        <f>IFERROR(__xludf.DUMMYFUNCTION("""COMPUTED_VALUE"""),"110HP")</f>
        <v>110HP</v>
      </c>
      <c r="I138" s="1076" t="str">
        <f>IFERROR(__xludf.DUMMYFUNCTION("""COMPUTED_VALUE"""),"L06100X111345")</f>
        <v>L06100X111345</v>
      </c>
      <c r="J138" s="1076" t="str">
        <f>IFERROR(__xludf.DUMMYFUNCTION("""COMPUTED_VALUE"""),"CD4045D133056")</f>
        <v>CD4045D133056</v>
      </c>
      <c r="K138" s="1076"/>
      <c r="L138" s="1076" t="str">
        <f>IFERROR(__xludf.DUMMYFUNCTION("""COMPUTED_VALUE"""),"KLH")</f>
        <v>KLH</v>
      </c>
    </row>
    <row r="139" customHeight="1" spans="1:12">
      <c r="A139" s="1082" t="str">
        <f>IFERROR(__xludf.DUMMYFUNCTION("""COMPUTED_VALUE"""),"CNN-MKE-038")</f>
        <v>CNN-MKE-038</v>
      </c>
      <c r="B139" s="1075" t="str">
        <f>IFERROR(__xludf.DUMMYFUNCTION("""COMPUTED_VALUE"""),"Máy cày LOVOL 1504")</f>
        <v>Máy cày LOVOL 1504</v>
      </c>
      <c r="C139" s="1076" t="str">
        <f>IFERROR(__xludf.DUMMYFUNCTION("""COMPUTED_VALUE"""),"CGLĐ LP")</f>
        <v>CGLĐ LP</v>
      </c>
      <c r="D139" s="1076" t="str">
        <f>IFERROR(__xludf.DUMMYFUNCTION("""COMPUTED_VALUE"""),"LOVOL")</f>
        <v>LOVOL</v>
      </c>
      <c r="E139" s="356" t="str">
        <f>IFERROR(__xludf.DUMMYFUNCTION("""COMPUTED_VALUE"""),"Trung Quốc")</f>
        <v>Trung Quốc</v>
      </c>
      <c r="F139" s="1076">
        <f>IFERROR(__xludf.DUMMYFUNCTION("""COMPUTED_VALUE"""),2025)</f>
        <v>2025</v>
      </c>
      <c r="G139" s="1076" t="str">
        <f>IFERROR(__xludf.DUMMYFUNCTION("""COMPUTED_VALUE"""),"1504")</f>
        <v>1504</v>
      </c>
      <c r="H139" s="1076" t="str">
        <f>IFERROR(__xludf.DUMMYFUNCTION("""COMPUTED_VALUE"""),"150HP")</f>
        <v>150HP</v>
      </c>
      <c r="I139" s="1076" t="str">
        <f>IFERROR(__xludf.DUMMYFUNCTION("""COMPUTED_VALUE"""),"M600277SU")</f>
        <v>M600277SU</v>
      </c>
      <c r="J139" s="1076" t="str">
        <f>IFERROR(__xludf.DUMMYFUNCTION("""COMPUTED_VALUE"""),"WP6G180E3306P25J023351")</f>
        <v>WP6G180E3306P25J023351</v>
      </c>
      <c r="K139" s="1076">
        <f>IFERROR(__xludf.DUMMYFUNCTION("""COMPUTED_VALUE"""),13)</f>
        <v>13</v>
      </c>
      <c r="L139" s="1076" t="str">
        <f>IFERROR(__xludf.DUMMYFUNCTION("""COMPUTED_VALUE"""),"KLH")</f>
        <v>KLH</v>
      </c>
    </row>
    <row r="140" customHeight="1" spans="1:12">
      <c r="A140" s="1082" t="str">
        <f>IFERROR(__xludf.DUMMYFUNCTION("""COMPUTED_VALUE"""),"Cơ giới làm đất XNB")</f>
        <v>Cơ giới làm đất XNB</v>
      </c>
      <c r="B140" s="1075"/>
      <c r="C140" s="1076"/>
      <c r="D140" s="1076"/>
      <c r="E140" s="356"/>
      <c r="F140" s="1076"/>
      <c r="G140" s="1076"/>
      <c r="H140" s="1076"/>
      <c r="I140" s="1076"/>
      <c r="J140" s="1076"/>
      <c r="K140" s="1076"/>
      <c r="L140" s="1076" t="str">
        <f>IFERROR(__xludf.DUMMYFUNCTION("""COMPUTED_VALUE"""),"KLH")</f>
        <v>KLH</v>
      </c>
    </row>
    <row r="141" customHeight="1" spans="1:12">
      <c r="A141" s="1082" t="str">
        <f>IFERROR(__xludf.DUMMYFUNCTION("""COMPUTED_VALUE"""),"CNN-MKE-014")</f>
        <v>CNN-MKE-014</v>
      </c>
      <c r="B141" s="1075" t="str">
        <f>IFERROR(__xludf.DUMMYFUNCTION("""COMPUTED_VALUE"""),"Máy cày NH TD157")</f>
        <v>Máy cày NH TD157</v>
      </c>
      <c r="C141" s="1076" t="str">
        <f>IFERROR(__xludf.DUMMYFUNCTION("""COMPUTED_VALUE"""),"XN Bò AD")</f>
        <v>XN Bò AD</v>
      </c>
      <c r="D141" s="1076" t="str">
        <f>IFERROR(__xludf.DUMMYFUNCTION("""COMPUTED_VALUE"""),"NEW HOLLAND")</f>
        <v>NEW HOLLAND</v>
      </c>
      <c r="E141" s="356" t="str">
        <f>IFERROR(__xludf.DUMMYFUNCTION("""COMPUTED_VALUE"""),"THỔ NHỈ KỲ")</f>
        <v>THỔ NHỈ KỲ</v>
      </c>
      <c r="F141" s="1076">
        <f>IFERROR(__xludf.DUMMYFUNCTION("""COMPUTED_VALUE"""),2018)</f>
        <v>2018</v>
      </c>
      <c r="G141" s="1076" t="str">
        <f>IFERROR(__xludf.DUMMYFUNCTION("""COMPUTED_VALUE"""),"TD157")</f>
        <v>TD157</v>
      </c>
      <c r="H141" s="1076" t="str">
        <f>IFERROR(__xludf.DUMMYFUNCTION("""COMPUTED_VALUE"""),"150HP")</f>
        <v>150HP</v>
      </c>
      <c r="I141" s="1076" t="str">
        <f>IFERROR(__xludf.DUMMYFUNCTION("""COMPUTED_VALUE"""),"73737")</f>
        <v>73737</v>
      </c>
      <c r="J141" s="1076" t="str">
        <f>IFERROR(__xludf.DUMMYFUNCTION("""COMPUTED_VALUE"""),"CCN")</f>
        <v>CCN</v>
      </c>
      <c r="K141" s="1076">
        <f>IFERROR(__xludf.DUMMYFUNCTION("""COMPUTED_VALUE"""),11)</f>
        <v>11</v>
      </c>
      <c r="L141" s="1076" t="str">
        <f>IFERROR(__xludf.DUMMYFUNCTION("""COMPUTED_VALUE"""),"KLH")</f>
        <v>KLH</v>
      </c>
    </row>
    <row r="142" customHeight="1" spans="1:12">
      <c r="A142" s="1082" t="str">
        <f>IFERROR(__xludf.DUMMYFUNCTION("""COMPUTED_VALUE"""),"CNN-MKE-015")</f>
        <v>CNN-MKE-015</v>
      </c>
      <c r="B142" s="1075" t="str">
        <f>IFERROR(__xludf.DUMMYFUNCTION("""COMPUTED_VALUE"""),"Máy cày JD 6603")</f>
        <v>Máy cày JD 6603</v>
      </c>
      <c r="C142" s="1076" t="str">
        <f>IFERROR(__xludf.DUMMYFUNCTION("""COMPUTED_VALUE"""),"XN Bò AD")</f>
        <v>XN Bò AD</v>
      </c>
      <c r="D142" s="1076" t="str">
        <f>IFERROR(__xludf.DUMMYFUNCTION("""COMPUTED_VALUE"""),"JOHN DEERE")</f>
        <v>JOHN DEERE</v>
      </c>
      <c r="E142" s="356" t="str">
        <f>IFERROR(__xludf.DUMMYFUNCTION("""COMPUTED_VALUE"""),"MỸ")</f>
        <v>MỸ</v>
      </c>
      <c r="F142" s="1076">
        <f>IFERROR(__xludf.DUMMYFUNCTION("""COMPUTED_VALUE"""),2018)</f>
        <v>2018</v>
      </c>
      <c r="G142" s="1076" t="str">
        <f>IFERROR(__xludf.DUMMYFUNCTION("""COMPUTED_VALUE"""),"6603")</f>
        <v>6603</v>
      </c>
      <c r="H142" s="1076" t="str">
        <f>IFERROR(__xludf.DUMMYFUNCTION("""COMPUTED_VALUE"""),"120HP")</f>
        <v>120HP</v>
      </c>
      <c r="I142" s="1076" t="str">
        <f>IFERROR(__xludf.DUMMYFUNCTION("""COMPUTED_VALUE"""),"33027")</f>
        <v>33027</v>
      </c>
      <c r="J142" s="1076" t="str">
        <f>IFERROR(__xludf.DUMMYFUNCTION("""COMPUTED_VALUE"""),"CCN")</f>
        <v>CCN</v>
      </c>
      <c r="K142" s="1076">
        <f>IFERROR(__xludf.DUMMYFUNCTION("""COMPUTED_VALUE"""),9)</f>
        <v>9</v>
      </c>
      <c r="L142" s="1076" t="str">
        <f>IFERROR(__xludf.DUMMYFUNCTION("""COMPUTED_VALUE"""),"KLH")</f>
        <v>KLH</v>
      </c>
    </row>
    <row r="143" customHeight="1" spans="1:12">
      <c r="A143" s="1082" t="str">
        <f>IFERROR(__xludf.DUMMYFUNCTION("""COMPUTED_VALUE"""),"CNN-MKE-016")</f>
        <v>CNN-MKE-016</v>
      </c>
      <c r="B143" s="1075" t="str">
        <f>IFERROR(__xludf.DUMMYFUNCTION("""COMPUTED_VALUE"""),"Máy cày M9540")</f>
        <v>Máy cày M9540</v>
      </c>
      <c r="C143" s="1076" t="str">
        <f>IFERROR(__xludf.DUMMYFUNCTION("""COMPUTED_VALUE"""),"XN Bò AD")</f>
        <v>XN Bò AD</v>
      </c>
      <c r="D143" s="1076" t="str">
        <f>IFERROR(__xludf.DUMMYFUNCTION("""COMPUTED_VALUE"""),"KUBOTA")</f>
        <v>KUBOTA</v>
      </c>
      <c r="E143" s="356" t="str">
        <f>IFERROR(__xludf.DUMMYFUNCTION("""COMPUTED_VALUE"""),"NHẬT BẢN")</f>
        <v>NHẬT BẢN</v>
      </c>
      <c r="F143" s="1076">
        <f>IFERROR(__xludf.DUMMYFUNCTION("""COMPUTED_VALUE"""),2011)</f>
        <v>2011</v>
      </c>
      <c r="G143" s="1076" t="str">
        <f>IFERROR(__xludf.DUMMYFUNCTION("""COMPUTED_VALUE"""),"9540")</f>
        <v>9540</v>
      </c>
      <c r="H143" s="1076" t="str">
        <f>IFERROR(__xludf.DUMMYFUNCTION("""COMPUTED_VALUE"""),"95HP")</f>
        <v>95HP</v>
      </c>
      <c r="I143" s="1076" t="str">
        <f>IFERROR(__xludf.DUMMYFUNCTION("""COMPUTED_VALUE"""),"BY0896")</f>
        <v>BY0896</v>
      </c>
      <c r="J143" s="1076" t="str">
        <f>IFERROR(__xludf.DUMMYFUNCTION("""COMPUTED_VALUE"""),"CCN")</f>
        <v>CCN</v>
      </c>
      <c r="K143" s="1076">
        <f>IFERROR(__xludf.DUMMYFUNCTION("""COMPUTED_VALUE"""),3.8)</f>
        <v>3.8</v>
      </c>
      <c r="L143" s="1076" t="str">
        <f>IFERROR(__xludf.DUMMYFUNCTION("""COMPUTED_VALUE"""),"KLH")</f>
        <v>KLH</v>
      </c>
    </row>
    <row r="144" customHeight="1" spans="1:12">
      <c r="A144" s="1082" t="str">
        <f>IFERROR(__xludf.DUMMYFUNCTION("""COMPUTED_VALUE"""),"CNN-MKE-022")</f>
        <v>CNN-MKE-022</v>
      </c>
      <c r="B144" s="1075" t="str">
        <f>IFERROR(__xludf.DUMMYFUNCTION("""COMPUTED_VALUE"""),"Máy cày JD 5090E")</f>
        <v>Máy cày JD 5090E</v>
      </c>
      <c r="C144" s="1076" t="str">
        <f>IFERROR(__xludf.DUMMYFUNCTION("""COMPUTED_VALUE"""),"XN Bò AD")</f>
        <v>XN Bò AD</v>
      </c>
      <c r="D144" s="1076" t="str">
        <f>IFERROR(__xludf.DUMMYFUNCTION("""COMPUTED_VALUE"""),"JOHN DEERE")</f>
        <v>JOHN DEERE</v>
      </c>
      <c r="E144" s="356" t="str">
        <f>IFERROR(__xludf.DUMMYFUNCTION("""COMPUTED_VALUE"""),"MỸ")</f>
        <v>MỸ</v>
      </c>
      <c r="F144" s="1076">
        <f>IFERROR(__xludf.DUMMYFUNCTION("""COMPUTED_VALUE"""),2022)</f>
        <v>2022</v>
      </c>
      <c r="G144" s="1076" t="str">
        <f>IFERROR(__xludf.DUMMYFUNCTION("""COMPUTED_VALUE"""),"5090E")</f>
        <v>5090E</v>
      </c>
      <c r="H144" s="1076" t="str">
        <f>IFERROR(__xludf.DUMMYFUNCTION("""COMPUTED_VALUE"""),"90HP")</f>
        <v>90HP</v>
      </c>
      <c r="I144" s="1076" t="str">
        <f>IFERROR(__xludf.DUMMYFUNCTION("""COMPUTED_VALUE"""),"1P05090EVN4073521")</f>
        <v>1P05090EVN4073521</v>
      </c>
      <c r="J144" s="1076" t="str">
        <f>IFERROR(__xludf.DUMMYFUNCTION("""COMPUTED_VALUE"""),"PE4045E027602")</f>
        <v>PE4045E027602</v>
      </c>
      <c r="K144" s="1076">
        <f>IFERROR(__xludf.DUMMYFUNCTION("""COMPUTED_VALUE"""),6)</f>
        <v>6</v>
      </c>
      <c r="L144" s="1076" t="str">
        <f>IFERROR(__xludf.DUMMYFUNCTION("""COMPUTED_VALUE"""),"KLH")</f>
        <v>KLH</v>
      </c>
    </row>
    <row r="145" customHeight="1" spans="1:12">
      <c r="A145" s="1082" t="str">
        <f>IFERROR(__xludf.DUMMYFUNCTION("""COMPUTED_VALUE"""),"Xí nghiệp Chuối DP1")</f>
        <v>Xí nghiệp Chuối DP1</v>
      </c>
      <c r="B145" s="1075"/>
      <c r="C145" s="1076"/>
      <c r="D145" s="1076"/>
      <c r="E145" s="356"/>
      <c r="F145" s="1076"/>
      <c r="G145" s="1076"/>
      <c r="H145" s="1076"/>
      <c r="I145" s="1076"/>
      <c r="J145" s="1076"/>
      <c r="K145" s="1076"/>
      <c r="L145" s="1076" t="str">
        <f>IFERROR(__xludf.DUMMYFUNCTION("""COMPUTED_VALUE"""),"KLH")</f>
        <v>KLH</v>
      </c>
    </row>
    <row r="146" customHeight="1" spans="1:12">
      <c r="A146" s="1082" t="str">
        <f>IFERROR(__xludf.DUMMYFUNCTION("""COMPUTED_VALUE"""),"XD1-MKE-001")</f>
        <v>XD1-MKE-001</v>
      </c>
      <c r="B146" s="1075" t="str">
        <f>IFERROR(__xludf.DUMMYFUNCTION("""COMPUTED_VALUE"""),"Máy cày KAM50")</f>
        <v>Máy cày KAM50</v>
      </c>
      <c r="C146" s="1076" t="str">
        <f>IFERROR(__xludf.DUMMYFUNCTION("""COMPUTED_VALUE"""),"XN Chuối DP1")</f>
        <v>XN Chuối DP1</v>
      </c>
      <c r="D146" s="1076" t="str">
        <f>IFERROR(__xludf.DUMMYFUNCTION("""COMPUTED_VALUE"""),"THACO")</f>
        <v>THACO</v>
      </c>
      <c r="E146" s="356" t="str">
        <f>IFERROR(__xludf.DUMMYFUNCTION("""COMPUTED_VALUE"""),"VIỆT NAM")</f>
        <v>VIỆT NAM</v>
      </c>
      <c r="F146" s="1076">
        <f>IFERROR(__xludf.DUMMYFUNCTION("""COMPUTED_VALUE"""),2018)</f>
        <v>2018</v>
      </c>
      <c r="G146" s="1076" t="str">
        <f>IFERROR(__xludf.DUMMYFUNCTION("""COMPUTED_VALUE"""),"KAM50")</f>
        <v>KAM50</v>
      </c>
      <c r="H146" s="1076" t="str">
        <f>IFERROR(__xludf.DUMMYFUNCTION("""COMPUTED_VALUE"""),"50HP")</f>
        <v>50HP</v>
      </c>
      <c r="I146" s="1076" t="str">
        <f>IFERROR(__xludf.DUMMYFUNCTION("""COMPUTED_VALUE"""),"C000012")</f>
        <v>C000012</v>
      </c>
      <c r="J146" s="1076" t="str">
        <f>IFERROR(__xludf.DUMMYFUNCTION("""COMPUTED_VALUE"""),"CCN")</f>
        <v>CCN</v>
      </c>
      <c r="K146" s="1076">
        <f>IFERROR(__xludf.DUMMYFUNCTION("""COMPUTED_VALUE"""),2.5)</f>
        <v>2.5</v>
      </c>
      <c r="L146" s="1076" t="str">
        <f>IFERROR(__xludf.DUMMYFUNCTION("""COMPUTED_VALUE"""),"KLH")</f>
        <v>KLH</v>
      </c>
    </row>
    <row r="147" customHeight="1" spans="1:12">
      <c r="A147" s="1082" t="str">
        <f>IFERROR(__xludf.DUMMYFUNCTION("""COMPUTED_VALUE"""),"XD1-MKE-002")</f>
        <v>XD1-MKE-002</v>
      </c>
      <c r="B147" s="1075" t="str">
        <f>IFERROR(__xludf.DUMMYFUNCTION("""COMPUTED_VALUE"""),"Máy cày KAM50")</f>
        <v>Máy cày KAM50</v>
      </c>
      <c r="C147" s="1076" t="str">
        <f>IFERROR(__xludf.DUMMYFUNCTION("""COMPUTED_VALUE"""),"XN Chuối DP1")</f>
        <v>XN Chuối DP1</v>
      </c>
      <c r="D147" s="1076" t="str">
        <f>IFERROR(__xludf.DUMMYFUNCTION("""COMPUTED_VALUE"""),"THACO")</f>
        <v>THACO</v>
      </c>
      <c r="E147" s="356" t="str">
        <f>IFERROR(__xludf.DUMMYFUNCTION("""COMPUTED_VALUE"""),"VIỆT NAM")</f>
        <v>VIỆT NAM</v>
      </c>
      <c r="F147" s="1076">
        <f>IFERROR(__xludf.DUMMYFUNCTION("""COMPUTED_VALUE"""),2018)</f>
        <v>2018</v>
      </c>
      <c r="G147" s="1076" t="str">
        <f>IFERROR(__xludf.DUMMYFUNCTION("""COMPUTED_VALUE"""),"KAM50")</f>
        <v>KAM50</v>
      </c>
      <c r="H147" s="1076" t="str">
        <f>IFERROR(__xludf.DUMMYFUNCTION("""COMPUTED_VALUE"""),"50HP")</f>
        <v>50HP</v>
      </c>
      <c r="I147" s="1076" t="str">
        <f>IFERROR(__xludf.DUMMYFUNCTION("""COMPUTED_VALUE"""),"C000072")</f>
        <v>C000072</v>
      </c>
      <c r="J147" s="1076" t="str">
        <f>IFERROR(__xludf.DUMMYFUNCTION("""COMPUTED_VALUE"""),"CCN")</f>
        <v>CCN</v>
      </c>
      <c r="K147" s="1076">
        <f>IFERROR(__xludf.DUMMYFUNCTION("""COMPUTED_VALUE"""),2.5)</f>
        <v>2.5</v>
      </c>
      <c r="L147" s="1076" t="str">
        <f>IFERROR(__xludf.DUMMYFUNCTION("""COMPUTED_VALUE"""),"KLH")</f>
        <v>KLH</v>
      </c>
    </row>
    <row r="148" customHeight="1" spans="1:12">
      <c r="A148" s="1082" t="str">
        <f>IFERROR(__xludf.DUMMYFUNCTION("""COMPUTED_VALUE"""),"XD1-MKE-003")</f>
        <v>XD1-MKE-003</v>
      </c>
      <c r="B148" s="1075" t="str">
        <f>IFERROR(__xludf.DUMMYFUNCTION("""COMPUTED_VALUE"""),"Máy cày KAM50")</f>
        <v>Máy cày KAM50</v>
      </c>
      <c r="C148" s="1076" t="str">
        <f>IFERROR(__xludf.DUMMYFUNCTION("""COMPUTED_VALUE"""),"XN Chuối DP1")</f>
        <v>XN Chuối DP1</v>
      </c>
      <c r="D148" s="1076" t="str">
        <f>IFERROR(__xludf.DUMMYFUNCTION("""COMPUTED_VALUE"""),"THACO")</f>
        <v>THACO</v>
      </c>
      <c r="E148" s="356" t="str">
        <f>IFERROR(__xludf.DUMMYFUNCTION("""COMPUTED_VALUE"""),"VIỆT NAM")</f>
        <v>VIỆT NAM</v>
      </c>
      <c r="F148" s="1076">
        <f>IFERROR(__xludf.DUMMYFUNCTION("""COMPUTED_VALUE"""),2018)</f>
        <v>2018</v>
      </c>
      <c r="G148" s="1076" t="str">
        <f>IFERROR(__xludf.DUMMYFUNCTION("""COMPUTED_VALUE"""),"KAM50")</f>
        <v>KAM50</v>
      </c>
      <c r="H148" s="1076" t="str">
        <f>IFERROR(__xludf.DUMMYFUNCTION("""COMPUTED_VALUE"""),"50HP")</f>
        <v>50HP</v>
      </c>
      <c r="I148" s="1076" t="str">
        <f>IFERROR(__xludf.DUMMYFUNCTION("""COMPUTED_VALUE"""),"C000025")</f>
        <v>C000025</v>
      </c>
      <c r="J148" s="1076" t="str">
        <f>IFERROR(__xludf.DUMMYFUNCTION("""COMPUTED_VALUE"""),"CCN")</f>
        <v>CCN</v>
      </c>
      <c r="K148" s="1076">
        <f>IFERROR(__xludf.DUMMYFUNCTION("""COMPUTED_VALUE"""),2.5)</f>
        <v>2.5</v>
      </c>
      <c r="L148" s="1076" t="str">
        <f>IFERROR(__xludf.DUMMYFUNCTION("""COMPUTED_VALUE"""),"KLH")</f>
        <v>KLH</v>
      </c>
    </row>
    <row r="149" customHeight="1" spans="1:12">
      <c r="A149" s="1082" t="str">
        <f>IFERROR(__xludf.DUMMYFUNCTION("""COMPUTED_VALUE"""),"XD1-MKE-006")</f>
        <v>XD1-MKE-006</v>
      </c>
      <c r="B149" s="1075" t="str">
        <f>IFERROR(__xludf.DUMMYFUNCTION("""COMPUTED_VALUE"""),"Máy cày L4508")</f>
        <v>Máy cày L4508</v>
      </c>
      <c r="C149" s="1076" t="str">
        <f>IFERROR(__xludf.DUMMYFUNCTION("""COMPUTED_VALUE"""),"XN Chuối DP1")</f>
        <v>XN Chuối DP1</v>
      </c>
      <c r="D149" s="1076" t="str">
        <f>IFERROR(__xludf.DUMMYFUNCTION("""COMPUTED_VALUE"""),"KUBOTA")</f>
        <v>KUBOTA</v>
      </c>
      <c r="E149" s="356" t="str">
        <f>IFERROR(__xludf.DUMMYFUNCTION("""COMPUTED_VALUE"""),"NHẬT BẢN")</f>
        <v>NHẬT BẢN</v>
      </c>
      <c r="F149" s="1076">
        <f>IFERROR(__xludf.DUMMYFUNCTION("""COMPUTED_VALUE"""),2019)</f>
        <v>2019</v>
      </c>
      <c r="G149" s="1076" t="str">
        <f>IFERROR(__xludf.DUMMYFUNCTION("""COMPUTED_VALUE"""),"L4508")</f>
        <v>L4508</v>
      </c>
      <c r="H149" s="1076" t="str">
        <f>IFERROR(__xludf.DUMMYFUNCTION("""COMPUTED_VALUE"""),"45HP")</f>
        <v>45HP</v>
      </c>
      <c r="I149" s="1076" t="str">
        <f>IFERROR(__xludf.DUMMYFUNCTION("""COMPUTED_VALUE"""),"14793")</f>
        <v>14793</v>
      </c>
      <c r="J149" s="1076" t="str">
        <f>IFERROR(__xludf.DUMMYFUNCTION("""COMPUTED_VALUE"""),"CCN")</f>
        <v>CCN</v>
      </c>
      <c r="K149" s="1076">
        <f>IFERROR(__xludf.DUMMYFUNCTION("""COMPUTED_VALUE"""),2)</f>
        <v>2</v>
      </c>
      <c r="L149" s="1076" t="str">
        <f>IFERROR(__xludf.DUMMYFUNCTION("""COMPUTED_VALUE"""),"KLH")</f>
        <v>KLH</v>
      </c>
    </row>
    <row r="150" customHeight="1" spans="1:12">
      <c r="A150" s="1082" t="str">
        <f>IFERROR(__xludf.DUMMYFUNCTION("""COMPUTED_VALUE"""),"XD1-XNA-001")</f>
        <v>XD1-XNA-001</v>
      </c>
      <c r="B150" s="1075" t="str">
        <f>IFERROR(__xludf.DUMMYFUNCTION("""COMPUTED_VALUE"""),"Xe nâng điện 1.5 tấn")</f>
        <v>Xe nâng điện 1.5 tấn</v>
      </c>
      <c r="C150" s="1076" t="str">
        <f>IFERROR(__xludf.DUMMYFUNCTION("""COMPUTED_VALUE"""),"XN Chuối DP1")</f>
        <v>XN Chuối DP1</v>
      </c>
      <c r="D150" s="1076" t="str">
        <f>IFERROR(__xludf.DUMMYFUNCTION("""COMPUTED_VALUE"""),"BYD")</f>
        <v>BYD</v>
      </c>
      <c r="E150" s="356" t="str">
        <f>IFERROR(__xludf.DUMMYFUNCTION("""COMPUTED_VALUE"""),"TRUNG QUỐC")</f>
        <v>TRUNG QUỐC</v>
      </c>
      <c r="F150" s="1076">
        <f>IFERROR(__xludf.DUMMYFUNCTION("""COMPUTED_VALUE"""),2019)</f>
        <v>2019</v>
      </c>
      <c r="G150" s="1076" t="str">
        <f>IFERROR(__xludf.DUMMYFUNCTION("""COMPUTED_VALUE"""),"ECB16S-B")</f>
        <v>ECB16S-B</v>
      </c>
      <c r="H150" s="1076" t="str">
        <f>IFERROR(__xludf.DUMMYFUNCTION("""COMPUTED_VALUE"""),"29HP")</f>
        <v>29HP</v>
      </c>
      <c r="I150" s="1076" t="str">
        <f>IFERROR(__xludf.DUMMYFUNCTION("""COMPUTED_VALUE"""),"1501190100")</f>
        <v>1501190100</v>
      </c>
      <c r="J150" s="1076" t="str">
        <f>IFERROR(__xludf.DUMMYFUNCTION("""COMPUTED_VALUE"""),"TS0510598-2021")</f>
        <v>TS0510598-2021</v>
      </c>
      <c r="K150" s="1076"/>
      <c r="L150" s="1076" t="str">
        <f>IFERROR(__xludf.DUMMYFUNCTION("""COMPUTED_VALUE"""),"KLH")</f>
        <v>KLH</v>
      </c>
    </row>
    <row r="151" customHeight="1" spans="1:12">
      <c r="A151" s="1082" t="str">
        <f>IFERROR(__xludf.DUMMYFUNCTION("""COMPUTED_VALUE"""),"XD1-XNA-002")</f>
        <v>XD1-XNA-002</v>
      </c>
      <c r="B151" s="1075" t="str">
        <f>IFERROR(__xludf.DUMMYFUNCTION("""COMPUTED_VALUE"""),"Xe nâng điện 2.5 tấn")</f>
        <v>Xe nâng điện 2.5 tấn</v>
      </c>
      <c r="C151" s="1076" t="str">
        <f>IFERROR(__xludf.DUMMYFUNCTION("""COMPUTED_VALUE"""),"XN Chuối DP1")</f>
        <v>XN Chuối DP1</v>
      </c>
      <c r="D151" s="1076" t="str">
        <f>IFERROR(__xludf.DUMMYFUNCTION("""COMPUTED_VALUE"""),"LOVOL")</f>
        <v>LOVOL</v>
      </c>
      <c r="E151" s="356" t="str">
        <f>IFERROR(__xludf.DUMMYFUNCTION("""COMPUTED_VALUE"""),"TRUNG QUỐC")</f>
        <v>TRUNG QUỐC</v>
      </c>
      <c r="F151" s="1076">
        <f>IFERROR(__xludf.DUMMYFUNCTION("""COMPUTED_VALUE"""),2026)</f>
        <v>2026</v>
      </c>
      <c r="G151" s="1076" t="str">
        <f>IFERROR(__xludf.DUMMYFUNCTION("""COMPUTED_VALUE"""),"FF25E")</f>
        <v>FF25E</v>
      </c>
      <c r="H151" s="1076" t="str">
        <f>IFERROR(__xludf.DUMMYFUNCTION("""COMPUTED_VALUE"""),"13,68 HP")</f>
        <v>13,68 HP</v>
      </c>
      <c r="I151" s="1076" t="str">
        <f>IFERROR(__xludf.DUMMYFUNCTION("""COMPUTED_VALUE"""),"C31293R50031")</f>
        <v>C31293R50031</v>
      </c>
      <c r="J151" s="1076"/>
      <c r="K151" s="1076"/>
      <c r="L151" s="1076" t="str">
        <f>IFERROR(__xludf.DUMMYFUNCTION("""COMPUTED_VALUE"""),"KLH")</f>
        <v>KLH</v>
      </c>
    </row>
    <row r="152" customHeight="1" spans="1:12">
      <c r="A152" s="1082" t="str">
        <f>IFERROR(__xludf.DUMMYFUNCTION("""COMPUTED_VALUE"""),"XD1-TCD-001")</f>
        <v>XD1-TCD-001</v>
      </c>
      <c r="B152" s="1075" t="str">
        <f>IFERROR(__xludf.DUMMYFUNCTION("""COMPUTED_VALUE"""),"Xe tải chuyên dụng (cabin đôi)")</f>
        <v>Xe tải chuyên dụng (cabin đôi)</v>
      </c>
      <c r="C152" s="1076" t="str">
        <f>IFERROR(__xludf.DUMMYFUNCTION("""COMPUTED_VALUE"""),"XN Chuối DP1")</f>
        <v>XN Chuối DP1</v>
      </c>
      <c r="D152" s="1076" t="str">
        <f>IFERROR(__xludf.DUMMYFUNCTION("""COMPUTED_VALUE"""),"THACO KIA")</f>
        <v>THACO KIA</v>
      </c>
      <c r="E152" s="356" t="str">
        <f>IFERROR(__xludf.DUMMYFUNCTION("""COMPUTED_VALUE"""),"VIỆT NAM")</f>
        <v>VIỆT NAM</v>
      </c>
      <c r="F152" s="1076">
        <f>IFERROR(__xludf.DUMMYFUNCTION("""COMPUTED_VALUE"""),2021)</f>
        <v>2021</v>
      </c>
      <c r="G152" s="1076" t="str">
        <f>IFERROR(__xludf.DUMMYFUNCTION("""COMPUTED_VALUE"""),"FRONTIER K200SD")</f>
        <v>FRONTIER K200SD</v>
      </c>
      <c r="H152" s="1076" t="str">
        <f>IFERROR(__xludf.DUMMYFUNCTION("""COMPUTED_VALUE"""),"130HP")</f>
        <v>130HP</v>
      </c>
      <c r="I152" s="1076" t="str">
        <f>IFERROR(__xludf.DUMMYFUNCTION("""COMPUTED_VALUE"""),"RNHF39KHBMT045336")</f>
        <v>RNHF39KHBMT045336</v>
      </c>
      <c r="J152" s="1076" t="str">
        <f>IFERROR(__xludf.DUMMYFUNCTION("""COMPUTED_VALUE"""),"MD534241D4CB")</f>
        <v>MD534241D4CB</v>
      </c>
      <c r="K152" s="1076"/>
      <c r="L152" s="1076" t="str">
        <f>IFERROR(__xludf.DUMMYFUNCTION("""COMPUTED_VALUE"""),"KLH")</f>
        <v>KLH</v>
      </c>
    </row>
    <row r="153" customHeight="1" spans="1:12">
      <c r="A153" s="1082" t="str">
        <f>IFERROR(__xludf.DUMMYFUNCTION("""COMPUTED_VALUE"""),"XD1-XPT-001")</f>
        <v>XD1-XPT-001</v>
      </c>
      <c r="B153" s="1075" t="str">
        <f>IFERROR(__xludf.DUMMYFUNCTION("""COMPUTED_VALUE"""),"Xe phun thuốc Faw 15T")</f>
        <v>Xe phun thuốc Faw 15T</v>
      </c>
      <c r="C153" s="1076" t="str">
        <f>IFERROR(__xludf.DUMMYFUNCTION("""COMPUTED_VALUE"""),"XN Chuối DP1")</f>
        <v>XN Chuối DP1</v>
      </c>
      <c r="D153" s="1076" t="str">
        <f>IFERROR(__xludf.DUMMYFUNCTION("""COMPUTED_VALUE"""),"FAW")</f>
        <v>FAW</v>
      </c>
      <c r="E153" s="356" t="str">
        <f>IFERROR(__xludf.DUMMYFUNCTION("""COMPUTED_VALUE"""),"TRUNG QUỐC")</f>
        <v>TRUNG QUỐC</v>
      </c>
      <c r="F153" s="1076">
        <f>IFERROR(__xludf.DUMMYFUNCTION("""COMPUTED_VALUE"""),2010)</f>
        <v>2010</v>
      </c>
      <c r="G153" s="1076"/>
      <c r="H153" s="1076"/>
      <c r="I153" s="1076" t="str">
        <f>IFERROR(__xludf.DUMMYFUNCTION("""COMPUTED_VALUE"""),"9AD16885")</f>
        <v>9AD16885</v>
      </c>
      <c r="J153" s="1076" t="str">
        <f>IFERROR(__xludf.DUMMYFUNCTION("""COMPUTED_VALUE"""),"CCN")</f>
        <v>CCN</v>
      </c>
      <c r="K153" s="1076">
        <f>IFERROR(__xludf.DUMMYFUNCTION("""COMPUTED_VALUE"""),3.75)</f>
        <v>3.75</v>
      </c>
      <c r="L153" s="1076" t="str">
        <f>IFERROR(__xludf.DUMMYFUNCTION("""COMPUTED_VALUE"""),"KLH")</f>
        <v>KLH</v>
      </c>
    </row>
    <row r="154" customHeight="1" spans="1:12">
      <c r="A154" s="1082" t="str">
        <f>IFERROR(__xludf.DUMMYFUNCTION("""COMPUTED_VALUE"""),"XD1-XTA-001")</f>
        <v>XD1-XTA-001</v>
      </c>
      <c r="B154" s="1075" t="str">
        <f>IFERROR(__xludf.DUMMYFUNCTION("""COMPUTED_VALUE"""),"Xe tải KOZUN")</f>
        <v>Xe tải KOZUN</v>
      </c>
      <c r="C154" s="1076" t="str">
        <f>IFERROR(__xludf.DUMMYFUNCTION("""COMPUTED_VALUE"""),"XN Chuối DP1")</f>
        <v>XN Chuối DP1</v>
      </c>
      <c r="D154" s="1076" t="str">
        <f>IFERROR(__xludf.DUMMYFUNCTION("""COMPUTED_VALUE"""),"KOZUN")</f>
        <v>KOZUN</v>
      </c>
      <c r="E154" s="356" t="str">
        <f>IFERROR(__xludf.DUMMYFUNCTION("""COMPUTED_VALUE"""),"CAMPUCHIA")</f>
        <v>CAMPUCHIA</v>
      </c>
      <c r="F154" s="1076"/>
      <c r="G154" s="1076"/>
      <c r="H154" s="1076" t="str">
        <f>IFERROR(__xludf.DUMMYFUNCTION("""COMPUTED_VALUE"""),"60HP")</f>
        <v>60HP</v>
      </c>
      <c r="I154" s="1076" t="str">
        <f>IFERROR(__xludf.DUMMYFUNCTION("""COMPUTED_VALUE"""),"113819")</f>
        <v>113819</v>
      </c>
      <c r="J154" s="1076" t="str">
        <f>IFERROR(__xludf.DUMMYFUNCTION("""COMPUTED_VALUE"""),"CCN")</f>
        <v>CCN</v>
      </c>
      <c r="K154" s="1076">
        <f>IFERROR(__xludf.DUMMYFUNCTION("""COMPUTED_VALUE"""),2)</f>
        <v>2</v>
      </c>
      <c r="L154" s="1076" t="str">
        <f>IFERROR(__xludf.DUMMYFUNCTION("""COMPUTED_VALUE"""),"KLH")</f>
        <v>KLH</v>
      </c>
    </row>
    <row r="155" customHeight="1" spans="1:12">
      <c r="A155" s="1082" t="str">
        <f>IFERROR(__xludf.DUMMYFUNCTION("""COMPUTED_VALUE"""),"XD1-XTA-002")</f>
        <v>XD1-XTA-002</v>
      </c>
      <c r="B155" s="1075" t="str">
        <f>IFERROR(__xludf.DUMMYFUNCTION("""COMPUTED_VALUE"""),"Xe tải KOZUN")</f>
        <v>Xe tải KOZUN</v>
      </c>
      <c r="C155" s="1076" t="str">
        <f>IFERROR(__xludf.DUMMYFUNCTION("""COMPUTED_VALUE"""),"XN Chuối DP1")</f>
        <v>XN Chuối DP1</v>
      </c>
      <c r="D155" s="1076" t="str">
        <f>IFERROR(__xludf.DUMMYFUNCTION("""COMPUTED_VALUE"""),"KOZUN")</f>
        <v>KOZUN</v>
      </c>
      <c r="E155" s="356" t="str">
        <f>IFERROR(__xludf.DUMMYFUNCTION("""COMPUTED_VALUE"""),"CAMPUCHIA")</f>
        <v>CAMPUCHIA</v>
      </c>
      <c r="F155" s="1076"/>
      <c r="G155" s="1076"/>
      <c r="H155" s="1076" t="str">
        <f>IFERROR(__xludf.DUMMYFUNCTION("""COMPUTED_VALUE"""),"60HP")</f>
        <v>60HP</v>
      </c>
      <c r="I155" s="1076" t="str">
        <f>IFERROR(__xludf.DUMMYFUNCTION("""COMPUTED_VALUE"""),"78504")</f>
        <v>78504</v>
      </c>
      <c r="J155" s="1076" t="str">
        <f>IFERROR(__xludf.DUMMYFUNCTION("""COMPUTED_VALUE"""),"CCN")</f>
        <v>CCN</v>
      </c>
      <c r="K155" s="1076">
        <f>IFERROR(__xludf.DUMMYFUNCTION("""COMPUTED_VALUE"""),2)</f>
        <v>2</v>
      </c>
      <c r="L155" s="1076" t="str">
        <f>IFERROR(__xludf.DUMMYFUNCTION("""COMPUTED_VALUE"""),"KLH")</f>
        <v>KLH</v>
      </c>
    </row>
    <row r="156" customHeight="1" spans="1:12">
      <c r="A156" s="1082" t="str">
        <f>IFERROR(__xludf.DUMMYFUNCTION("""COMPUTED_VALUE"""),"XD1-XTA-003")</f>
        <v>XD1-XTA-003</v>
      </c>
      <c r="B156" s="1075" t="str">
        <f>IFERROR(__xludf.DUMMYFUNCTION("""COMPUTED_VALUE"""),"Xe ben Forland FD990-4WDXTH4-5T")</f>
        <v>Xe ben Forland FD990-4WDXTH4-5T</v>
      </c>
      <c r="C156" s="1076" t="str">
        <f>IFERROR(__xludf.DUMMYFUNCTION("""COMPUTED_VALUE"""),"XN Chuối DP1")</f>
        <v>XN Chuối DP1</v>
      </c>
      <c r="D156" s="1076" t="str">
        <f>IFERROR(__xludf.DUMMYFUNCTION("""COMPUTED_VALUE"""),"THACO")</f>
        <v>THACO</v>
      </c>
      <c r="E156" s="356" t="str">
        <f>IFERROR(__xludf.DUMMYFUNCTION("""COMPUTED_VALUE"""),"VIỆT NAM")</f>
        <v>VIỆT NAM</v>
      </c>
      <c r="F156" s="1076">
        <f>IFERROR(__xludf.DUMMYFUNCTION("""COMPUTED_VALUE"""),2024)</f>
        <v>2024</v>
      </c>
      <c r="G156" s="1076" t="str">
        <f>IFERROR(__xludf.DUMMYFUNCTION("""COMPUTED_VALUE""")," FD990-4WD")</f>
        <v> FD990-4WD</v>
      </c>
      <c r="H156" s="1076" t="str">
        <f>IFERROR(__xludf.DUMMYFUNCTION("""COMPUTED_VALUE"""),"94HP")</f>
        <v>94HP</v>
      </c>
      <c r="I156" s="1076" t="str">
        <f>IFERROR(__xludf.DUMMYFUNCTION("""COMPUTED_VALUE"""),"RNHF99FACRT090613")</f>
        <v>RNHF99FACRT090613</v>
      </c>
      <c r="J156" s="1076" t="str">
        <f>IFERROR(__xludf.DUMMYFUNCTION("""COMPUTED_VALUE"""),"4DW93-95E4*B0576949*")</f>
        <v>4DW93-95E4*B0576949*</v>
      </c>
      <c r="K156" s="1076">
        <f>IFERROR(__xludf.DUMMYFUNCTION("""COMPUTED_VALUE"""),0.33)</f>
        <v>0.33</v>
      </c>
      <c r="L156" s="1076" t="str">
        <f>IFERROR(__xludf.DUMMYFUNCTION("""COMPUTED_VALUE"""),"KLH")</f>
        <v>KLH</v>
      </c>
    </row>
    <row r="157" customHeight="1" spans="1:12">
      <c r="A157" s="1082" t="str">
        <f>IFERROR(__xludf.DUMMYFUNCTION("""COMPUTED_VALUE"""),"XD1-XTA-004")</f>
        <v>XD1-XTA-004</v>
      </c>
      <c r="B157" s="1075" t="str">
        <f>IFERROR(__xludf.DUMMYFUNCTION("""COMPUTED_VALUE"""),"Xe ben Forland FD990-4WDXTH4-5T")</f>
        <v>Xe ben Forland FD990-4WDXTH4-5T</v>
      </c>
      <c r="C157" s="1076" t="str">
        <f>IFERROR(__xludf.DUMMYFUNCTION("""COMPUTED_VALUE"""),"XN Chuối DP1")</f>
        <v>XN Chuối DP1</v>
      </c>
      <c r="D157" s="1076" t="str">
        <f>IFERROR(__xludf.DUMMYFUNCTION("""COMPUTED_VALUE"""),"THACO")</f>
        <v>THACO</v>
      </c>
      <c r="E157" s="356" t="str">
        <f>IFERROR(__xludf.DUMMYFUNCTION("""COMPUTED_VALUE"""),"VIỆT NAM")</f>
        <v>VIỆT NAM</v>
      </c>
      <c r="F157" s="1076">
        <f>IFERROR(__xludf.DUMMYFUNCTION("""COMPUTED_VALUE"""),2024)</f>
        <v>2024</v>
      </c>
      <c r="G157" s="1076" t="str">
        <f>IFERROR(__xludf.DUMMYFUNCTION("""COMPUTED_VALUE""")," FD990-4WD")</f>
        <v> FD990-4WD</v>
      </c>
      <c r="H157" s="1076" t="str">
        <f>IFERROR(__xludf.DUMMYFUNCTION("""COMPUTED_VALUE"""),"94HP")</f>
        <v>94HP</v>
      </c>
      <c r="I157" s="1076" t="str">
        <f>IFERROR(__xludf.DUMMYFUNCTION("""COMPUTED_VALUE"""),"RNHF99FACRT090609")</f>
        <v>RNHF99FACRT090609</v>
      </c>
      <c r="J157" s="1076" t="str">
        <f>IFERROR(__xludf.DUMMYFUNCTION("""COMPUTED_VALUE"""),"4DW93-95E4*B0576971*")</f>
        <v>4DW93-95E4*B0576971*</v>
      </c>
      <c r="K157" s="1076">
        <f>IFERROR(__xludf.DUMMYFUNCTION("""COMPUTED_VALUE"""),0.33)</f>
        <v>0.33</v>
      </c>
      <c r="L157" s="1076" t="str">
        <f>IFERROR(__xludf.DUMMYFUNCTION("""COMPUTED_VALUE"""),"KLH")</f>
        <v>KLH</v>
      </c>
    </row>
    <row r="158" customHeight="1" spans="1:12">
      <c r="A158" s="1082" t="str">
        <f>IFERROR(__xludf.DUMMYFUNCTION("""COMPUTED_VALUE"""),"XD1-XTA-005")</f>
        <v>XD1-XTA-005</v>
      </c>
      <c r="B158" s="1075" t="str">
        <f>IFERROR(__xludf.DUMMYFUNCTION("""COMPUTED_VALUE"""),"Xe ben Forland FD990-4WDXTH4-5T")</f>
        <v>Xe ben Forland FD990-4WDXTH4-5T</v>
      </c>
      <c r="C158" s="1076" t="str">
        <f>IFERROR(__xludf.DUMMYFUNCTION("""COMPUTED_VALUE"""),"XN Chuối DP1")</f>
        <v>XN Chuối DP1</v>
      </c>
      <c r="D158" s="1076" t="str">
        <f>IFERROR(__xludf.DUMMYFUNCTION("""COMPUTED_VALUE"""),"THACO")</f>
        <v>THACO</v>
      </c>
      <c r="E158" s="356" t="str">
        <f>IFERROR(__xludf.DUMMYFUNCTION("""COMPUTED_VALUE"""),"VIỆT NAM")</f>
        <v>VIỆT NAM</v>
      </c>
      <c r="F158" s="1076">
        <f>IFERROR(__xludf.DUMMYFUNCTION("""COMPUTED_VALUE"""),2024)</f>
        <v>2024</v>
      </c>
      <c r="G158" s="1076" t="str">
        <f>IFERROR(__xludf.DUMMYFUNCTION("""COMPUTED_VALUE""")," FD990-4WD")</f>
        <v> FD990-4WD</v>
      </c>
      <c r="H158" s="1076" t="str">
        <f>IFERROR(__xludf.DUMMYFUNCTION("""COMPUTED_VALUE"""),"94HP")</f>
        <v>94HP</v>
      </c>
      <c r="I158" s="1076" t="str">
        <f>IFERROR(__xludf.DUMMYFUNCTION("""COMPUTED_VALUE"""),"RNHF99FACRT087868")</f>
        <v>RNHF99FACRT087868</v>
      </c>
      <c r="J158" s="1076" t="str">
        <f>IFERROR(__xludf.DUMMYFUNCTION("""COMPUTED_VALUE"""),"4DW93-95E4*B0576946*")</f>
        <v>4DW93-95E4*B0576946*</v>
      </c>
      <c r="K158" s="1076">
        <f>IFERROR(__xludf.DUMMYFUNCTION("""COMPUTED_VALUE"""),3)</f>
        <v>3</v>
      </c>
      <c r="L158" s="1076" t="str">
        <f>IFERROR(__xludf.DUMMYFUNCTION("""COMPUTED_VALUE"""),"KLH")</f>
        <v>KLH</v>
      </c>
    </row>
    <row r="159" customHeight="1" spans="1:12">
      <c r="A159" s="1082" t="str">
        <f>IFERROR(__xludf.DUMMYFUNCTION("""COMPUTED_VALUE"""),"XD1-XTA-006")</f>
        <v>XD1-XTA-006</v>
      </c>
      <c r="B159" s="1075" t="str">
        <f>IFERROR(__xludf.DUMMYFUNCTION("""COMPUTED_VALUE"""),"Xe ben Forland FD990-4WDXTH4-5T")</f>
        <v>Xe ben Forland FD990-4WDXTH4-5T</v>
      </c>
      <c r="C159" s="1076" t="str">
        <f>IFERROR(__xludf.DUMMYFUNCTION("""COMPUTED_VALUE"""),"XN Chuối DP1")</f>
        <v>XN Chuối DP1</v>
      </c>
      <c r="D159" s="1076" t="str">
        <f>IFERROR(__xludf.DUMMYFUNCTION("""COMPUTED_VALUE"""),"THACO")</f>
        <v>THACO</v>
      </c>
      <c r="E159" s="356" t="str">
        <f>IFERROR(__xludf.DUMMYFUNCTION("""COMPUTED_VALUE"""),"VIỆT NAM")</f>
        <v>VIỆT NAM</v>
      </c>
      <c r="F159" s="1076">
        <f>IFERROR(__xludf.DUMMYFUNCTION("""COMPUTED_VALUE"""),2024)</f>
        <v>2024</v>
      </c>
      <c r="G159" s="1076" t="str">
        <f>IFERROR(__xludf.DUMMYFUNCTION("""COMPUTED_VALUE""")," FD990-4WD")</f>
        <v> FD990-4WD</v>
      </c>
      <c r="H159" s="1076" t="str">
        <f>IFERROR(__xludf.DUMMYFUNCTION("""COMPUTED_VALUE"""),"94HP")</f>
        <v>94HP</v>
      </c>
      <c r="I159" s="1076" t="str">
        <f>IFERROR(__xludf.DUMMYFUNCTION("""COMPUTED_VALUE"""),"RNHF99FACRT090610")</f>
        <v>RNHF99FACRT090610</v>
      </c>
      <c r="J159" s="1076" t="str">
        <f>IFERROR(__xludf.DUMMYFUNCTION("""COMPUTED_VALUE"""),"4DW93-95E4*B0576959*")</f>
        <v>4DW93-95E4*B0576959*</v>
      </c>
      <c r="K159" s="1076">
        <f>IFERROR(__xludf.DUMMYFUNCTION("""COMPUTED_VALUE"""),0.33)</f>
        <v>0.33</v>
      </c>
      <c r="L159" s="1076" t="str">
        <f>IFERROR(__xludf.DUMMYFUNCTION("""COMPUTED_VALUE"""),"KLH")</f>
        <v>KLH</v>
      </c>
    </row>
    <row r="160" customHeight="1" spans="1:12">
      <c r="A160" s="1082" t="str">
        <f>IFERROR(__xludf.DUMMYFUNCTION("""COMPUTED_VALUE"""),"XD1-MĐA-001")</f>
        <v>XD1-MĐA-001</v>
      </c>
      <c r="B160" s="1075" t="str">
        <f>IFERROR(__xludf.DUMMYFUNCTION("""COMPUTED_VALUE"""),"Máy đào KOMATSU bánh xích gàu 0.3m3")</f>
        <v>Máy đào KOMATSU bánh xích gàu 0.3m3</v>
      </c>
      <c r="C160" s="1076" t="str">
        <f>IFERROR(__xludf.DUMMYFUNCTION("""COMPUTED_VALUE"""),"XN Chuối DP1")</f>
        <v>XN Chuối DP1</v>
      </c>
      <c r="D160" s="1076" t="str">
        <f>IFERROR(__xludf.DUMMYFUNCTION("""COMPUTED_VALUE"""),"KOMATSU")</f>
        <v>KOMATSU</v>
      </c>
      <c r="E160" s="356" t="str">
        <f>IFERROR(__xludf.DUMMYFUNCTION("""COMPUTED_VALUE"""),"NHẬT BẢN")</f>
        <v>NHẬT BẢN</v>
      </c>
      <c r="F160" s="1076">
        <f>IFERROR(__xludf.DUMMYFUNCTION("""COMPUTED_VALUE"""),2006)</f>
        <v>2006</v>
      </c>
      <c r="G160" s="1076" t="str">
        <f>IFERROR(__xludf.DUMMYFUNCTION("""COMPUTED_VALUE"""),"PC40MR-3")</f>
        <v>PC40MR-3</v>
      </c>
      <c r="H160" s="1076" t="str">
        <f>IFERROR(__xludf.DUMMYFUNCTION("""COMPUTED_VALUE"""),"39HP")</f>
        <v>39HP</v>
      </c>
      <c r="I160" s="1076" t="str">
        <f>IFERROR(__xludf.DUMMYFUNCTION("""COMPUTED_VALUE"""),"5288")</f>
        <v>5288</v>
      </c>
      <c r="J160" s="1076" t="str">
        <f>IFERROR(__xludf.DUMMYFUNCTION("""COMPUTED_VALUE"""),"CCN")</f>
        <v>CCN</v>
      </c>
      <c r="K160" s="1076">
        <f>IFERROR(__xludf.DUMMYFUNCTION("""COMPUTED_VALUE"""),4)</f>
        <v>4</v>
      </c>
      <c r="L160" s="1076" t="str">
        <f>IFERROR(__xludf.DUMMYFUNCTION("""COMPUTED_VALUE"""),"KLH")</f>
        <v>KLH</v>
      </c>
    </row>
    <row r="161" customHeight="1" spans="1:12">
      <c r="A161" s="1082" t="str">
        <f>IFERROR(__xludf.DUMMYFUNCTION("""COMPUTED_VALUE"""),"XD1-CLT-001")</f>
        <v>XD1-CLT-001</v>
      </c>
      <c r="B161" s="1075" t="str">
        <f>IFERROR(__xludf.DUMMYFUNCTION("""COMPUTED_VALUE"""),"Xe clethon")</f>
        <v>Xe clethon</v>
      </c>
      <c r="C161" s="1076" t="str">
        <f>IFERROR(__xludf.DUMMYFUNCTION("""COMPUTED_VALUE"""),"XN Chuối DP1")</f>
        <v>XN Chuối DP1</v>
      </c>
      <c r="D161" s="1076" t="str">
        <f>IFERROR(__xludf.DUMMYFUNCTION("""COMPUTED_VALUE"""),"YANMAR")</f>
        <v>YANMAR</v>
      </c>
      <c r="E161" s="356" t="str">
        <f>IFERROR(__xludf.DUMMYFUNCTION("""COMPUTED_VALUE"""),"INDONESIA")</f>
        <v>INDONESIA</v>
      </c>
      <c r="F161" s="1076">
        <f>IFERROR(__xludf.DUMMYFUNCTION("""COMPUTED_VALUE"""),2022)</f>
        <v>2022</v>
      </c>
      <c r="G161" s="1076" t="str">
        <f>IFERROR(__xludf.DUMMYFUNCTION("""COMPUTED_VALUE"""),"TF150NL-PR2")</f>
        <v>TF150NL-PR2</v>
      </c>
      <c r="H161" s="1076" t="str">
        <f>IFERROR(__xludf.DUMMYFUNCTION("""COMPUTED_VALUE"""),"15HP")</f>
        <v>15HP</v>
      </c>
      <c r="I161" s="1076" t="str">
        <f>IFERROR(__xludf.DUMMYFUNCTION("""COMPUTED_VALUE"""),"203065")</f>
        <v>203065</v>
      </c>
      <c r="J161" s="1076" t="str">
        <f>IFERROR(__xludf.DUMMYFUNCTION("""COMPUTED_VALUE"""),"B1320M")</f>
        <v>B1320M</v>
      </c>
      <c r="K161" s="1076">
        <f>IFERROR(__xludf.DUMMYFUNCTION("""COMPUTED_VALUE"""),0.5)</f>
        <v>0.5</v>
      </c>
      <c r="L161" s="1076" t="str">
        <f>IFERROR(__xludf.DUMMYFUNCTION("""COMPUTED_VALUE"""),"KLH")</f>
        <v>KLH</v>
      </c>
    </row>
    <row r="162" customHeight="1" spans="1:12">
      <c r="A162" s="1082" t="str">
        <f>IFERROR(__xludf.DUMMYFUNCTION("""COMPUTED_VALUE"""),"XD1-CLT-002")</f>
        <v>XD1-CLT-002</v>
      </c>
      <c r="B162" s="1075" t="str">
        <f>IFERROR(__xludf.DUMMYFUNCTION("""COMPUTED_VALUE"""),"Xe clethon")</f>
        <v>Xe clethon</v>
      </c>
      <c r="C162" s="1076" t="str">
        <f>IFERROR(__xludf.DUMMYFUNCTION("""COMPUTED_VALUE"""),"XN Chuối DP1")</f>
        <v>XN Chuối DP1</v>
      </c>
      <c r="D162" s="1076" t="str">
        <f>IFERROR(__xludf.DUMMYFUNCTION("""COMPUTED_VALUE"""),"YANMAR")</f>
        <v>YANMAR</v>
      </c>
      <c r="E162" s="356" t="str">
        <f>IFERROR(__xludf.DUMMYFUNCTION("""COMPUTED_VALUE"""),"INDONESIA")</f>
        <v>INDONESIA</v>
      </c>
      <c r="F162" s="1076">
        <f>IFERROR(__xludf.DUMMYFUNCTION("""COMPUTED_VALUE"""),2022)</f>
        <v>2022</v>
      </c>
      <c r="G162" s="1076" t="str">
        <f>IFERROR(__xludf.DUMMYFUNCTION("""COMPUTED_VALUE"""),"TF150NL-PR2")</f>
        <v>TF150NL-PR2</v>
      </c>
      <c r="H162" s="1076" t="str">
        <f>IFERROR(__xludf.DUMMYFUNCTION("""COMPUTED_VALUE"""),"15HP")</f>
        <v>15HP</v>
      </c>
      <c r="I162" s="1076" t="str">
        <f>IFERROR(__xludf.DUMMYFUNCTION("""COMPUTED_VALUE"""),"203175")</f>
        <v>203175</v>
      </c>
      <c r="J162" s="1076" t="str">
        <f>IFERROR(__xludf.DUMMYFUNCTION("""COMPUTED_VALUE"""),"C0869C")</f>
        <v>C0869C</v>
      </c>
      <c r="K162" s="1076">
        <f>IFERROR(__xludf.DUMMYFUNCTION("""COMPUTED_VALUE"""),0.5)</f>
        <v>0.5</v>
      </c>
      <c r="L162" s="1076" t="str">
        <f>IFERROR(__xludf.DUMMYFUNCTION("""COMPUTED_VALUE"""),"KLH")</f>
        <v>KLH</v>
      </c>
    </row>
    <row r="163" customHeight="1" spans="1:12">
      <c r="A163" s="1082" t="str">
        <f>IFERROR(__xludf.DUMMYFUNCTION("""COMPUTED_VALUE"""),"XD1-CLT-003")</f>
        <v>XD1-CLT-003</v>
      </c>
      <c r="B163" s="1075" t="str">
        <f>IFERROR(__xludf.DUMMYFUNCTION("""COMPUTED_VALUE"""),"Xe clethon")</f>
        <v>Xe clethon</v>
      </c>
      <c r="C163" s="1076" t="str">
        <f>IFERROR(__xludf.DUMMYFUNCTION("""COMPUTED_VALUE"""),"XN Chuối DP1")</f>
        <v>XN Chuối DP1</v>
      </c>
      <c r="D163" s="1076" t="str">
        <f>IFERROR(__xludf.DUMMYFUNCTION("""COMPUTED_VALUE"""),"YANMAR")</f>
        <v>YANMAR</v>
      </c>
      <c r="E163" s="356" t="str">
        <f>IFERROR(__xludf.DUMMYFUNCTION("""COMPUTED_VALUE"""),"INDONESIA")</f>
        <v>INDONESIA</v>
      </c>
      <c r="F163" s="1076">
        <f>IFERROR(__xludf.DUMMYFUNCTION("""COMPUTED_VALUE"""),2022)</f>
        <v>2022</v>
      </c>
      <c r="G163" s="1076" t="str">
        <f>IFERROR(__xludf.DUMMYFUNCTION("""COMPUTED_VALUE"""),"TF150NL-PR2")</f>
        <v>TF150NL-PR2</v>
      </c>
      <c r="H163" s="1076" t="str">
        <f>IFERROR(__xludf.DUMMYFUNCTION("""COMPUTED_VALUE"""),"15HP")</f>
        <v>15HP</v>
      </c>
      <c r="I163" s="1076" t="str">
        <f>IFERROR(__xludf.DUMMYFUNCTION("""COMPUTED_VALUE"""),"203079")</f>
        <v>203079</v>
      </c>
      <c r="J163" s="1076" t="str">
        <f>IFERROR(__xludf.DUMMYFUNCTION("""COMPUTED_VALUE"""),"B2167L")</f>
        <v>B2167L</v>
      </c>
      <c r="K163" s="1076">
        <f>IFERROR(__xludf.DUMMYFUNCTION("""COMPUTED_VALUE"""),0.5)</f>
        <v>0.5</v>
      </c>
      <c r="L163" s="1076" t="str">
        <f>IFERROR(__xludf.DUMMYFUNCTION("""COMPUTED_VALUE"""),"KLH")</f>
        <v>KLH</v>
      </c>
    </row>
    <row r="164" customHeight="1" spans="1:12">
      <c r="A164" s="1082" t="str">
        <f>IFERROR(__xludf.DUMMYFUNCTION("""COMPUTED_VALUE"""),"XD1-CLT-004")</f>
        <v>XD1-CLT-004</v>
      </c>
      <c r="B164" s="1075" t="str">
        <f>IFERROR(__xludf.DUMMYFUNCTION("""COMPUTED_VALUE"""),"Xe clethon")</f>
        <v>Xe clethon</v>
      </c>
      <c r="C164" s="1076" t="str">
        <f>IFERROR(__xludf.DUMMYFUNCTION("""COMPUTED_VALUE"""),"XN Chuối DP1")</f>
        <v>XN Chuối DP1</v>
      </c>
      <c r="D164" s="1076" t="str">
        <f>IFERROR(__xludf.DUMMYFUNCTION("""COMPUTED_VALUE"""),"YANMAR")</f>
        <v>YANMAR</v>
      </c>
      <c r="E164" s="356" t="str">
        <f>IFERROR(__xludf.DUMMYFUNCTION("""COMPUTED_VALUE"""),"INDONESIA")</f>
        <v>INDONESIA</v>
      </c>
      <c r="F164" s="1076">
        <f>IFERROR(__xludf.DUMMYFUNCTION("""COMPUTED_VALUE"""),2022)</f>
        <v>2022</v>
      </c>
      <c r="G164" s="1076" t="str">
        <f>IFERROR(__xludf.DUMMYFUNCTION("""COMPUTED_VALUE"""),"TF150NL-PR2")</f>
        <v>TF150NL-PR2</v>
      </c>
      <c r="H164" s="1076" t="str">
        <f>IFERROR(__xludf.DUMMYFUNCTION("""COMPUTED_VALUE"""),"15HP")</f>
        <v>15HP</v>
      </c>
      <c r="I164" s="1076" t="str">
        <f>IFERROR(__xludf.DUMMYFUNCTION("""COMPUTED_VALUE"""),"203080")</f>
        <v>203080</v>
      </c>
      <c r="J164" s="1076" t="str">
        <f>IFERROR(__xludf.DUMMYFUNCTION("""COMPUTED_VALUE"""),"C0845C")</f>
        <v>C0845C</v>
      </c>
      <c r="K164" s="1076">
        <f>IFERROR(__xludf.DUMMYFUNCTION("""COMPUTED_VALUE"""),0.5)</f>
        <v>0.5</v>
      </c>
      <c r="L164" s="1076" t="str">
        <f>IFERROR(__xludf.DUMMYFUNCTION("""COMPUTED_VALUE"""),"KLH")</f>
        <v>KLH</v>
      </c>
    </row>
    <row r="165" customHeight="1" spans="1:12">
      <c r="A165" s="1082" t="str">
        <f>IFERROR(__xludf.DUMMYFUNCTION("""COMPUTED_VALUE"""),"XD1-CLT-005")</f>
        <v>XD1-CLT-005</v>
      </c>
      <c r="B165" s="1075" t="str">
        <f>IFERROR(__xludf.DUMMYFUNCTION("""COMPUTED_VALUE"""),"Xe clethon")</f>
        <v>Xe clethon</v>
      </c>
      <c r="C165" s="1076" t="str">
        <f>IFERROR(__xludf.DUMMYFUNCTION("""COMPUTED_VALUE"""),"XN Chuối DP1")</f>
        <v>XN Chuối DP1</v>
      </c>
      <c r="D165" s="1076" t="str">
        <f>IFERROR(__xludf.DUMMYFUNCTION("""COMPUTED_VALUE"""),"YANMAR")</f>
        <v>YANMAR</v>
      </c>
      <c r="E165" s="356" t="str">
        <f>IFERROR(__xludf.DUMMYFUNCTION("""COMPUTED_VALUE"""),"INDONESIA")</f>
        <v>INDONESIA</v>
      </c>
      <c r="F165" s="1076">
        <f>IFERROR(__xludf.DUMMYFUNCTION("""COMPUTED_VALUE"""),2022)</f>
        <v>2022</v>
      </c>
      <c r="G165" s="1076" t="str">
        <f>IFERROR(__xludf.DUMMYFUNCTION("""COMPUTED_VALUE"""),"TF150NL-PR2")</f>
        <v>TF150NL-PR2</v>
      </c>
      <c r="H165" s="1076" t="str">
        <f>IFERROR(__xludf.DUMMYFUNCTION("""COMPUTED_VALUE"""),"15HP")</f>
        <v>15HP</v>
      </c>
      <c r="I165" s="1076" t="str">
        <f>IFERROR(__xludf.DUMMYFUNCTION("""COMPUTED_VALUE"""),"203082")</f>
        <v>203082</v>
      </c>
      <c r="J165" s="1076" t="str">
        <f>IFERROR(__xludf.DUMMYFUNCTION("""COMPUTED_VALUE"""),"B0518M")</f>
        <v>B0518M</v>
      </c>
      <c r="K165" s="1076">
        <f>IFERROR(__xludf.DUMMYFUNCTION("""COMPUTED_VALUE"""),0.5)</f>
        <v>0.5</v>
      </c>
      <c r="L165" s="1076" t="str">
        <f>IFERROR(__xludf.DUMMYFUNCTION("""COMPUTED_VALUE"""),"KLH")</f>
        <v>KLH</v>
      </c>
    </row>
    <row r="166" customHeight="1" spans="1:12">
      <c r="A166" s="1082" t="str">
        <f>IFERROR(__xludf.DUMMYFUNCTION("""COMPUTED_VALUE"""),"XD1-CCM-001")</f>
        <v>XD1-CCM-001</v>
      </c>
      <c r="B166" s="1075" t="str">
        <f>IFERROR(__xludf.DUMMYFUNCTION("""COMPUTED_VALUE"""),"Máy cắt cỏ mini Yanmar")</f>
        <v>Máy cắt cỏ mini Yanmar</v>
      </c>
      <c r="C166" s="1076" t="str">
        <f>IFERROR(__xludf.DUMMYFUNCTION("""COMPUTED_VALUE"""),"XN Chuối DP1")</f>
        <v>XN Chuối DP1</v>
      </c>
      <c r="D166" s="1076" t="str">
        <f>IFERROR(__xludf.DUMMYFUNCTION("""COMPUTED_VALUE"""),"YANMAR")</f>
        <v>YANMAR</v>
      </c>
      <c r="E166" s="356" t="str">
        <f>IFERROR(__xludf.DUMMYFUNCTION("""COMPUTED_VALUE"""),"ITALY")</f>
        <v>ITALY</v>
      </c>
      <c r="F166" s="1076"/>
      <c r="G166" s="1076" t="str">
        <f>IFERROR(__xludf.DUMMYFUNCTION("""COMPUTED_VALUE"""),"L100N6FJ1P1AAFT")</f>
        <v>L100N6FJ1P1AAFT</v>
      </c>
      <c r="H166" s="1076" t="str">
        <f>IFERROR(__xludf.DUMMYFUNCTION("""COMPUTED_VALUE"""),"10HP")</f>
        <v>10HP</v>
      </c>
      <c r="I166" s="1076" t="str">
        <f>IFERROR(__xludf.DUMMYFUNCTION("""COMPUTED_VALUE"""),"A001010284")</f>
        <v>A001010284</v>
      </c>
      <c r="J166" s="1076" t="str">
        <f>IFERROR(__xludf.DUMMYFUNCTION("""COMPUTED_VALUE"""),"SF6637")</f>
        <v>SF6637</v>
      </c>
      <c r="K166" s="1076">
        <f>IFERROR(__xludf.DUMMYFUNCTION("""COMPUTED_VALUE"""),0.5)</f>
        <v>0.5</v>
      </c>
      <c r="L166" s="1076" t="str">
        <f>IFERROR(__xludf.DUMMYFUNCTION("""COMPUTED_VALUE"""),"KLH")</f>
        <v>KLH</v>
      </c>
    </row>
    <row r="167" customHeight="1" spans="1:12">
      <c r="A167" s="1082" t="str">
        <f>IFERROR(__xludf.DUMMYFUNCTION("""COMPUTED_VALUE"""),"XD1-MĐQ-001")</f>
        <v>XD1-MĐQ-001</v>
      </c>
      <c r="B167" s="1075" t="str">
        <f>IFERROR(__xludf.DUMMYFUNCTION("""COMPUTED_VALUE"""),"Máy cắt cỏ đĩa quay 8HP")</f>
        <v>Máy cắt cỏ đĩa quay 8HP</v>
      </c>
      <c r="C167" s="1076" t="str">
        <f>IFERROR(__xludf.DUMMYFUNCTION("""COMPUTED_VALUE"""),"XN Chuối DP1")</f>
        <v>XN Chuối DP1</v>
      </c>
      <c r="D167" s="1076" t="str">
        <f>IFERROR(__xludf.DUMMYFUNCTION("""COMPUTED_VALUE"""),"ISEKI")</f>
        <v>ISEKI</v>
      </c>
      <c r="E167" s="356" t="str">
        <f>IFERROR(__xludf.DUMMYFUNCTION("""COMPUTED_VALUE"""),"JANPAN")</f>
        <v>JANPAN</v>
      </c>
      <c r="F167" s="1076"/>
      <c r="G167" s="1076" t="str">
        <f>IFERROR(__xludf.DUMMYFUNCTION("""COMPUTED_VALUE"""),"KC80F")</f>
        <v>KC80F</v>
      </c>
      <c r="H167" s="1076" t="str">
        <f>IFERROR(__xludf.DUMMYFUNCTION("""COMPUTED_VALUE"""),"8HP")</f>
        <v>8HP</v>
      </c>
      <c r="I167" s="1076" t="str">
        <f>IFERROR(__xludf.DUMMYFUNCTION("""COMPUTED_VALUE"""),"341")</f>
        <v>341</v>
      </c>
      <c r="J167" s="1076" t="str">
        <f>IFERROR(__xludf.DUMMYFUNCTION("""COMPUTED_VALUE"""),"FE250G003323")</f>
        <v>FE250G003323</v>
      </c>
      <c r="K167" s="1076">
        <f>IFERROR(__xludf.DUMMYFUNCTION("""COMPUTED_VALUE"""),2.3)</f>
        <v>2.3</v>
      </c>
      <c r="L167" s="1076" t="str">
        <f>IFERROR(__xludf.DUMMYFUNCTION("""COMPUTED_VALUE"""),"KLH")</f>
        <v>KLH</v>
      </c>
    </row>
    <row r="168" customHeight="1" spans="1:12">
      <c r="A168" s="1082" t="str">
        <f>IFERROR(__xludf.DUMMYFUNCTION("""COMPUTED_VALUE"""),"XD1-CCD-001")</f>
        <v>XD1-CCD-001</v>
      </c>
      <c r="B168" s="1075" t="str">
        <f>IFERROR(__xludf.DUMMYFUNCTION("""COMPUTED_VALUE"""),"Máy cắt cỏ trục băm đa năng")</f>
        <v>Máy cắt cỏ trục băm đa năng</v>
      </c>
      <c r="C168" s="1076" t="str">
        <f>IFERROR(__xludf.DUMMYFUNCTION("""COMPUTED_VALUE"""),"XN Chuối DP1")</f>
        <v>XN Chuối DP1</v>
      </c>
      <c r="D168" s="1076" t="str">
        <f>IFERROR(__xludf.DUMMYFUNCTION("""COMPUTED_VALUE"""),"ISHIKAWA")</f>
        <v>ISHIKAWA</v>
      </c>
      <c r="E168" s="356" t="str">
        <f>IFERROR(__xludf.DUMMYFUNCTION("""COMPUTED_VALUE"""),"VIỆT NAM")</f>
        <v>VIỆT NAM</v>
      </c>
      <c r="F168" s="1076">
        <f>IFERROR(__xludf.DUMMYFUNCTION("""COMPUTED_VALUE"""),2025)</f>
        <v>2025</v>
      </c>
      <c r="G168" s="1076" t="str">
        <f>IFERROR(__xludf.DUMMYFUNCTION("""COMPUTED_VALUE"""),"TL662")</f>
        <v>TL662</v>
      </c>
      <c r="H168" s="1076" t="str">
        <f>IFERROR(__xludf.DUMMYFUNCTION("""COMPUTED_VALUE"""),"10HP")</f>
        <v>10HP</v>
      </c>
      <c r="I168" s="1076" t="str">
        <f>IFERROR(__xludf.DUMMYFUNCTION("""COMPUTED_VALUE"""),"TL20250601401")</f>
        <v>TL20250601401</v>
      </c>
      <c r="J168" s="1076" t="str">
        <f>IFERROR(__xludf.DUMMYFUNCTION("""COMPUTED_VALUE"""),"GT1000B0042098CD")</f>
        <v>GT1000B0042098CD</v>
      </c>
      <c r="K168" s="1076">
        <f>IFERROR(__xludf.DUMMYFUNCTION("""COMPUTED_VALUE"""),1.8)</f>
        <v>1.8</v>
      </c>
      <c r="L168" s="1076" t="str">
        <f>IFERROR(__xludf.DUMMYFUNCTION("""COMPUTED_VALUE"""),"KLH")</f>
        <v>KLH</v>
      </c>
    </row>
    <row r="169" customHeight="1" spans="1:12">
      <c r="A169" s="1082" t="str">
        <f>IFERROR(__xludf.DUMMYFUNCTION("""COMPUTED_VALUE"""),"XD1-CCD-002")</f>
        <v>XD1-CCD-002</v>
      </c>
      <c r="B169" s="1075" t="str">
        <f>IFERROR(__xludf.DUMMYFUNCTION("""COMPUTED_VALUE"""),"Máy cắt cỏ trục băm đa năng")</f>
        <v>Máy cắt cỏ trục băm đa năng</v>
      </c>
      <c r="C169" s="1076" t="str">
        <f>IFERROR(__xludf.DUMMYFUNCTION("""COMPUTED_VALUE"""),"XN Chuối DP1")</f>
        <v>XN Chuối DP1</v>
      </c>
      <c r="D169" s="1076" t="str">
        <f>IFERROR(__xludf.DUMMYFUNCTION("""COMPUTED_VALUE"""),"ISHIKAWA")</f>
        <v>ISHIKAWA</v>
      </c>
      <c r="E169" s="356" t="str">
        <f>IFERROR(__xludf.DUMMYFUNCTION("""COMPUTED_VALUE"""),"VIỆT NAM")</f>
        <v>VIỆT NAM</v>
      </c>
      <c r="F169" s="1076">
        <f>IFERROR(__xludf.DUMMYFUNCTION("""COMPUTED_VALUE"""),2025)</f>
        <v>2025</v>
      </c>
      <c r="G169" s="1076" t="str">
        <f>IFERROR(__xludf.DUMMYFUNCTION("""COMPUTED_VALUE"""),"TL662")</f>
        <v>TL662</v>
      </c>
      <c r="H169" s="1076" t="str">
        <f>IFERROR(__xludf.DUMMYFUNCTION("""COMPUTED_VALUE"""),"10HP")</f>
        <v>10HP</v>
      </c>
      <c r="I169" s="1076" t="str">
        <f>IFERROR(__xludf.DUMMYFUNCTION("""COMPUTED_VALUE"""),"TL20250601402")</f>
        <v>TL20250601402</v>
      </c>
      <c r="J169" s="1076" t="str">
        <f>IFERROR(__xludf.DUMMYFUNCTION("""COMPUTED_VALUE"""),"GT1000B0042097CD")</f>
        <v>GT1000B0042097CD</v>
      </c>
      <c r="K169" s="1076">
        <f>IFERROR(__xludf.DUMMYFUNCTION("""COMPUTED_VALUE"""),1.8)</f>
        <v>1.8</v>
      </c>
      <c r="L169" s="1076" t="str">
        <f>IFERROR(__xludf.DUMMYFUNCTION("""COMPUTED_VALUE"""),"KLH")</f>
        <v>KLH</v>
      </c>
    </row>
    <row r="170" customHeight="1" spans="1:12">
      <c r="A170" s="1082" t="str">
        <f>IFERROR(__xludf.DUMMYFUNCTION("""COMPUTED_VALUE"""),"XD1-CCD-003")</f>
        <v>XD1-CCD-003</v>
      </c>
      <c r="B170" s="1075" t="str">
        <f>IFERROR(__xludf.DUMMYFUNCTION("""COMPUTED_VALUE"""),"Máy cắt cỏ trục băm đa năng")</f>
        <v>Máy cắt cỏ trục băm đa năng</v>
      </c>
      <c r="C170" s="1076" t="str">
        <f>IFERROR(__xludf.DUMMYFUNCTION("""COMPUTED_VALUE"""),"XN Chuối DP1")</f>
        <v>XN Chuối DP1</v>
      </c>
      <c r="D170" s="1076" t="str">
        <f>IFERROR(__xludf.DUMMYFUNCTION("""COMPUTED_VALUE"""),"ISHIKAWA")</f>
        <v>ISHIKAWA</v>
      </c>
      <c r="E170" s="356" t="str">
        <f>IFERROR(__xludf.DUMMYFUNCTION("""COMPUTED_VALUE"""),"VIỆT NAM")</f>
        <v>VIỆT NAM</v>
      </c>
      <c r="F170" s="1076">
        <f>IFERROR(__xludf.DUMMYFUNCTION("""COMPUTED_VALUE"""),2025)</f>
        <v>2025</v>
      </c>
      <c r="G170" s="1076" t="str">
        <f>IFERROR(__xludf.DUMMYFUNCTION("""COMPUTED_VALUE"""),"TL662")</f>
        <v>TL662</v>
      </c>
      <c r="H170" s="1076" t="str">
        <f>IFERROR(__xludf.DUMMYFUNCTION("""COMPUTED_VALUE"""),"10HP")</f>
        <v>10HP</v>
      </c>
      <c r="I170" s="1076" t="str">
        <f>IFERROR(__xludf.DUMMYFUNCTION("""COMPUTED_VALUE"""),"TL20250601407")</f>
        <v>TL20250601407</v>
      </c>
      <c r="J170" s="1076" t="str">
        <f>IFERROR(__xludf.DUMMYFUNCTION("""COMPUTED_VALUE"""),"GT1000B0042095CD")</f>
        <v>GT1000B0042095CD</v>
      </c>
      <c r="K170" s="1076">
        <f>IFERROR(__xludf.DUMMYFUNCTION("""COMPUTED_VALUE"""),1.8)</f>
        <v>1.8</v>
      </c>
      <c r="L170" s="1076" t="str">
        <f>IFERROR(__xludf.DUMMYFUNCTION("""COMPUTED_VALUE"""),"KLH")</f>
        <v>KLH</v>
      </c>
    </row>
    <row r="171" customHeight="1" spans="1:12">
      <c r="A171" s="1082" t="str">
        <f>IFERROR(__xludf.DUMMYFUNCTION("""COMPUTED_VALUE"""),"XD1-CCD-004")</f>
        <v>XD1-CCD-004</v>
      </c>
      <c r="B171" s="1075" t="str">
        <f>IFERROR(__xludf.DUMMYFUNCTION("""COMPUTED_VALUE"""),"Máy cắt cỏ trục băm đa năng")</f>
        <v>Máy cắt cỏ trục băm đa năng</v>
      </c>
      <c r="C171" s="1076" t="str">
        <f>IFERROR(__xludf.DUMMYFUNCTION("""COMPUTED_VALUE"""),"XN Chuối DP1")</f>
        <v>XN Chuối DP1</v>
      </c>
      <c r="D171" s="1076" t="str">
        <f>IFERROR(__xludf.DUMMYFUNCTION("""COMPUTED_VALUE"""),"ISHIKAWA")</f>
        <v>ISHIKAWA</v>
      </c>
      <c r="E171" s="356" t="str">
        <f>IFERROR(__xludf.DUMMYFUNCTION("""COMPUTED_VALUE"""),"VIỆT NAM")</f>
        <v>VIỆT NAM</v>
      </c>
      <c r="F171" s="1076">
        <f>IFERROR(__xludf.DUMMYFUNCTION("""COMPUTED_VALUE"""),2025)</f>
        <v>2025</v>
      </c>
      <c r="G171" s="1076" t="str">
        <f>IFERROR(__xludf.DUMMYFUNCTION("""COMPUTED_VALUE"""),"TL662")</f>
        <v>TL662</v>
      </c>
      <c r="H171" s="1076" t="str">
        <f>IFERROR(__xludf.DUMMYFUNCTION("""COMPUTED_VALUE"""),"10HP")</f>
        <v>10HP</v>
      </c>
      <c r="I171" s="1076" t="str">
        <f>IFERROR(__xludf.DUMMYFUNCTION("""COMPUTED_VALUE"""),"TL20250601408")</f>
        <v>TL20250601408</v>
      </c>
      <c r="J171" s="1076" t="str">
        <f>IFERROR(__xludf.DUMMYFUNCTION("""COMPUTED_VALUE"""),"GT1000B0042141CD")</f>
        <v>GT1000B0042141CD</v>
      </c>
      <c r="K171" s="1076">
        <f>IFERROR(__xludf.DUMMYFUNCTION("""COMPUTED_VALUE"""),1.8)</f>
        <v>1.8</v>
      </c>
      <c r="L171" s="1076" t="str">
        <f>IFERROR(__xludf.DUMMYFUNCTION("""COMPUTED_VALUE"""),"KLH")</f>
        <v>KLH</v>
      </c>
    </row>
    <row r="172" customHeight="1" spans="1:12">
      <c r="A172" s="1082" t="str">
        <f>IFERROR(__xludf.DUMMYFUNCTION("""COMPUTED_VALUE"""),"Xí nghiệp Chuối DP2")</f>
        <v>Xí nghiệp Chuối DP2</v>
      </c>
      <c r="B172" s="1075"/>
      <c r="C172" s="1076"/>
      <c r="D172" s="1076"/>
      <c r="E172" s="356"/>
      <c r="F172" s="1076"/>
      <c r="G172" s="1076"/>
      <c r="H172" s="1076"/>
      <c r="I172" s="1076"/>
      <c r="J172" s="1076"/>
      <c r="K172" s="1076"/>
      <c r="L172" s="1076" t="str">
        <f>IFERROR(__xludf.DUMMYFUNCTION("""COMPUTED_VALUE"""),"KLH")</f>
        <v>KLH</v>
      </c>
    </row>
    <row r="173" customHeight="1" spans="1:12">
      <c r="A173" s="1082" t="str">
        <f>IFERROR(__xludf.DUMMYFUNCTION("""COMPUTED_VALUE"""),"XD2-MKE-002")</f>
        <v>XD2-MKE-002</v>
      </c>
      <c r="B173" s="1075" t="str">
        <f>IFERROR(__xludf.DUMMYFUNCTION("""COMPUTED_VALUE"""),"Máy cày M6040")</f>
        <v>Máy cày M6040</v>
      </c>
      <c r="C173" s="1076" t="str">
        <f>IFERROR(__xludf.DUMMYFUNCTION("""COMPUTED_VALUE"""),"XN Chuối DP2")</f>
        <v>XN Chuối DP2</v>
      </c>
      <c r="D173" s="1076" t="str">
        <f>IFERROR(__xludf.DUMMYFUNCTION("""COMPUTED_VALUE"""),"KUBOTA")</f>
        <v>KUBOTA</v>
      </c>
      <c r="E173" s="356" t="str">
        <f>IFERROR(__xludf.DUMMYFUNCTION("""COMPUTED_VALUE"""),"NHẬT BẢN")</f>
        <v>NHẬT BẢN</v>
      </c>
      <c r="F173" s="1076">
        <f>IFERROR(__xludf.DUMMYFUNCTION("""COMPUTED_VALUE"""),2013)</f>
        <v>2013</v>
      </c>
      <c r="G173" s="1076" t="str">
        <f>IFERROR(__xludf.DUMMYFUNCTION("""COMPUTED_VALUE"""),"M6040")</f>
        <v>M6040</v>
      </c>
      <c r="H173" s="1076" t="str">
        <f>IFERROR(__xludf.DUMMYFUNCTION("""COMPUTED_VALUE"""),"60HP")</f>
        <v>60HP</v>
      </c>
      <c r="I173" s="1076" t="str">
        <f>IFERROR(__xludf.DUMMYFUNCTION("""COMPUTED_VALUE"""),"57646")</f>
        <v>57646</v>
      </c>
      <c r="J173" s="1076" t="str">
        <f>IFERROR(__xludf.DUMMYFUNCTION("""COMPUTED_VALUE"""),"CCN")</f>
        <v>CCN</v>
      </c>
      <c r="K173" s="1076">
        <f>IFERROR(__xludf.DUMMYFUNCTION("""COMPUTED_VALUE"""),3.5)</f>
        <v>3.5</v>
      </c>
      <c r="L173" s="1076" t="str">
        <f>IFERROR(__xludf.DUMMYFUNCTION("""COMPUTED_VALUE"""),"KLH")</f>
        <v>KLH</v>
      </c>
    </row>
    <row r="174" customHeight="1" spans="1:12">
      <c r="A174" s="1082" t="str">
        <f>IFERROR(__xludf.DUMMYFUNCTION("""COMPUTED_VALUE"""),"XD2-MKE-003")</f>
        <v>XD2-MKE-003</v>
      </c>
      <c r="B174" s="1075" t="str">
        <f>IFERROR(__xludf.DUMMYFUNCTION("""COMPUTED_VALUE"""),"Máy cày M6040")</f>
        <v>Máy cày M6040</v>
      </c>
      <c r="C174" s="1076" t="str">
        <f>IFERROR(__xludf.DUMMYFUNCTION("""COMPUTED_VALUE"""),"XN Chuối DP2")</f>
        <v>XN Chuối DP2</v>
      </c>
      <c r="D174" s="1076" t="str">
        <f>IFERROR(__xludf.DUMMYFUNCTION("""COMPUTED_VALUE"""),"KUBOTA")</f>
        <v>KUBOTA</v>
      </c>
      <c r="E174" s="356" t="str">
        <f>IFERROR(__xludf.DUMMYFUNCTION("""COMPUTED_VALUE"""),"NHẬT BẢN")</f>
        <v>NHẬT BẢN</v>
      </c>
      <c r="F174" s="1076">
        <f>IFERROR(__xludf.DUMMYFUNCTION("""COMPUTED_VALUE"""),2013)</f>
        <v>2013</v>
      </c>
      <c r="G174" s="1076" t="str">
        <f>IFERROR(__xludf.DUMMYFUNCTION("""COMPUTED_VALUE"""),"M6040")</f>
        <v>M6040</v>
      </c>
      <c r="H174" s="1076" t="str">
        <f>IFERROR(__xludf.DUMMYFUNCTION("""COMPUTED_VALUE"""),"60HP")</f>
        <v>60HP</v>
      </c>
      <c r="I174" s="1076" t="str">
        <f>IFERROR(__xludf.DUMMYFUNCTION("""COMPUTED_VALUE"""),"56797")</f>
        <v>56797</v>
      </c>
      <c r="J174" s="1076" t="str">
        <f>IFERROR(__xludf.DUMMYFUNCTION("""COMPUTED_VALUE"""),"CCN")</f>
        <v>CCN</v>
      </c>
      <c r="K174" s="1076">
        <f>IFERROR(__xludf.DUMMYFUNCTION("""COMPUTED_VALUE"""),3.5)</f>
        <v>3.5</v>
      </c>
      <c r="L174" s="1076" t="str">
        <f>IFERROR(__xludf.DUMMYFUNCTION("""COMPUTED_VALUE"""),"KLH")</f>
        <v>KLH</v>
      </c>
    </row>
    <row r="175" customHeight="1" spans="1:12">
      <c r="A175" s="1082" t="str">
        <f>IFERROR(__xludf.DUMMYFUNCTION("""COMPUTED_VALUE"""),"XD2-MKE-005")</f>
        <v>XD2-MKE-005</v>
      </c>
      <c r="B175" s="1075" t="str">
        <f>IFERROR(__xludf.DUMMYFUNCTION("""COMPUTED_VALUE"""),"Máy cày KAM50")</f>
        <v>Máy cày KAM50</v>
      </c>
      <c r="C175" s="1076" t="str">
        <f>IFERROR(__xludf.DUMMYFUNCTION("""COMPUTED_VALUE"""),"XN Chuối DP2")</f>
        <v>XN Chuối DP2</v>
      </c>
      <c r="D175" s="1076" t="str">
        <f>IFERROR(__xludf.DUMMYFUNCTION("""COMPUTED_VALUE"""),"THACO")</f>
        <v>THACO</v>
      </c>
      <c r="E175" s="356" t="str">
        <f>IFERROR(__xludf.DUMMYFUNCTION("""COMPUTED_VALUE"""),"VIỆT NAM")</f>
        <v>VIỆT NAM</v>
      </c>
      <c r="F175" s="1076">
        <f>IFERROR(__xludf.DUMMYFUNCTION("""COMPUTED_VALUE"""),2018)</f>
        <v>2018</v>
      </c>
      <c r="G175" s="1076" t="str">
        <f>IFERROR(__xludf.DUMMYFUNCTION("""COMPUTED_VALUE"""),"KAM50")</f>
        <v>KAM50</v>
      </c>
      <c r="H175" s="1076" t="str">
        <f>IFERROR(__xludf.DUMMYFUNCTION("""COMPUTED_VALUE"""),"50HP")</f>
        <v>50HP</v>
      </c>
      <c r="I175" s="1076" t="str">
        <f>IFERROR(__xludf.DUMMYFUNCTION("""COMPUTED_VALUE"""),"C000011")</f>
        <v>C000011</v>
      </c>
      <c r="J175" s="1076" t="str">
        <f>IFERROR(__xludf.DUMMYFUNCTION("""COMPUTED_VALUE"""),"CCN")</f>
        <v>CCN</v>
      </c>
      <c r="K175" s="1076">
        <f>IFERROR(__xludf.DUMMYFUNCTION("""COMPUTED_VALUE"""),2.5)</f>
        <v>2.5</v>
      </c>
      <c r="L175" s="1076" t="str">
        <f>IFERROR(__xludf.DUMMYFUNCTION("""COMPUTED_VALUE"""),"KLH")</f>
        <v>KLH</v>
      </c>
    </row>
    <row r="176" customHeight="1" spans="1:12">
      <c r="A176" s="1082" t="str">
        <f>IFERROR(__xludf.DUMMYFUNCTION("""COMPUTED_VALUE"""),"XD2-MKE-006")</f>
        <v>XD2-MKE-006</v>
      </c>
      <c r="B176" s="1075" t="str">
        <f>IFERROR(__xludf.DUMMYFUNCTION("""COMPUTED_VALUE"""),"Máy cày KAM50")</f>
        <v>Máy cày KAM50</v>
      </c>
      <c r="C176" s="1076" t="str">
        <f>IFERROR(__xludf.DUMMYFUNCTION("""COMPUTED_VALUE"""),"XN Chuối DP2")</f>
        <v>XN Chuối DP2</v>
      </c>
      <c r="D176" s="1076" t="str">
        <f>IFERROR(__xludf.DUMMYFUNCTION("""COMPUTED_VALUE"""),"THACO")</f>
        <v>THACO</v>
      </c>
      <c r="E176" s="356" t="str">
        <f>IFERROR(__xludf.DUMMYFUNCTION("""COMPUTED_VALUE"""),"VIỆT NAM")</f>
        <v>VIỆT NAM</v>
      </c>
      <c r="F176" s="1076">
        <f>IFERROR(__xludf.DUMMYFUNCTION("""COMPUTED_VALUE"""),2018)</f>
        <v>2018</v>
      </c>
      <c r="G176" s="1076" t="str">
        <f>IFERROR(__xludf.DUMMYFUNCTION("""COMPUTED_VALUE"""),"KAM50")</f>
        <v>KAM50</v>
      </c>
      <c r="H176" s="1076" t="str">
        <f>IFERROR(__xludf.DUMMYFUNCTION("""COMPUTED_VALUE"""),"50HP")</f>
        <v>50HP</v>
      </c>
      <c r="I176" s="1076" t="str">
        <f>IFERROR(__xludf.DUMMYFUNCTION("""COMPUTED_VALUE"""),"C00007")</f>
        <v>C00007</v>
      </c>
      <c r="J176" s="1076" t="str">
        <f>IFERROR(__xludf.DUMMYFUNCTION("""COMPUTED_VALUE"""),"CCN")</f>
        <v>CCN</v>
      </c>
      <c r="K176" s="1076">
        <f>IFERROR(__xludf.DUMMYFUNCTION("""COMPUTED_VALUE"""),2.5)</f>
        <v>2.5</v>
      </c>
      <c r="L176" s="1076" t="str">
        <f>IFERROR(__xludf.DUMMYFUNCTION("""COMPUTED_VALUE"""),"KLH")</f>
        <v>KLH</v>
      </c>
    </row>
    <row r="177" customHeight="1" spans="1:12">
      <c r="A177" s="1082" t="str">
        <f>IFERROR(__xludf.DUMMYFUNCTION("""COMPUTED_VALUE"""),"XD2-MKE-007")</f>
        <v>XD2-MKE-007</v>
      </c>
      <c r="B177" s="1075" t="str">
        <f>IFERROR(__xludf.DUMMYFUNCTION("""COMPUTED_VALUE"""),"Máy cày M6040")</f>
        <v>Máy cày M6040</v>
      </c>
      <c r="C177" s="1076" t="str">
        <f>IFERROR(__xludf.DUMMYFUNCTION("""COMPUTED_VALUE"""),"XN Chuối DP2")</f>
        <v>XN Chuối DP2</v>
      </c>
      <c r="D177" s="1076" t="str">
        <f>IFERROR(__xludf.DUMMYFUNCTION("""COMPUTED_VALUE"""),"KUBOTA")</f>
        <v>KUBOTA</v>
      </c>
      <c r="E177" s="356" t="str">
        <f>IFERROR(__xludf.DUMMYFUNCTION("""COMPUTED_VALUE"""),"NHẬT BẢN")</f>
        <v>NHẬT BẢN</v>
      </c>
      <c r="F177" s="1076">
        <f>IFERROR(__xludf.DUMMYFUNCTION("""COMPUTED_VALUE"""),2013)</f>
        <v>2013</v>
      </c>
      <c r="G177" s="1076" t="str">
        <f>IFERROR(__xludf.DUMMYFUNCTION("""COMPUTED_VALUE"""),"M6040")</f>
        <v>M6040</v>
      </c>
      <c r="H177" s="1076" t="str">
        <f>IFERROR(__xludf.DUMMYFUNCTION("""COMPUTED_VALUE"""),"60HP")</f>
        <v>60HP</v>
      </c>
      <c r="I177" s="1076" t="str">
        <f>IFERROR(__xludf.DUMMYFUNCTION("""COMPUTED_VALUE"""),"57273")</f>
        <v>57273</v>
      </c>
      <c r="J177" s="1076" t="str">
        <f>IFERROR(__xludf.DUMMYFUNCTION("""COMPUTED_VALUE"""),"CCN")</f>
        <v>CCN</v>
      </c>
      <c r="K177" s="1076">
        <f>IFERROR(__xludf.DUMMYFUNCTION("""COMPUTED_VALUE"""),3.5)</f>
        <v>3.5</v>
      </c>
      <c r="L177" s="1076" t="str">
        <f>IFERROR(__xludf.DUMMYFUNCTION("""COMPUTED_VALUE"""),"KLH")</f>
        <v>KLH</v>
      </c>
    </row>
    <row r="178" customHeight="1" spans="1:12">
      <c r="A178" s="1082" t="str">
        <f>IFERROR(__xludf.DUMMYFUNCTION("""COMPUTED_VALUE"""),"XD2-XPT-001")</f>
        <v>XD2-XPT-001</v>
      </c>
      <c r="B178" s="1075" t="str">
        <f>IFERROR(__xludf.DUMMYFUNCTION("""COMPUTED_VALUE"""),"Xe phun thuốc HYUNDAI 15T")</f>
        <v>Xe phun thuốc HYUNDAI 15T</v>
      </c>
      <c r="C178" s="1076" t="str">
        <f>IFERROR(__xludf.DUMMYFUNCTION("""COMPUTED_VALUE"""),"XN Chuối DP2")</f>
        <v>XN Chuối DP2</v>
      </c>
      <c r="D178" s="1076" t="str">
        <f>IFERROR(__xludf.DUMMYFUNCTION("""COMPUTED_VALUE"""),"HYUNDAI")</f>
        <v>HYUNDAI</v>
      </c>
      <c r="E178" s="356" t="str">
        <f>IFERROR(__xludf.DUMMYFUNCTION("""COMPUTED_VALUE"""),"HÀN QUỐC")</f>
        <v>HÀN QUỐC</v>
      </c>
      <c r="F178" s="1076">
        <f>IFERROR(__xludf.DUMMYFUNCTION("""COMPUTED_VALUE"""),1992)</f>
        <v>1992</v>
      </c>
      <c r="G178" s="1076" t="str">
        <f>IFERROR(__xludf.DUMMYFUNCTION("""COMPUTED_VALUE"""),"15T")</f>
        <v>15T</v>
      </c>
      <c r="H178" s="1076"/>
      <c r="I178" s="1076" t="str">
        <f>IFERROR(__xludf.DUMMYFUNCTION("""COMPUTED_VALUE"""),"KMCDB19IPNU003775")</f>
        <v>KMCDB19IPNU003775</v>
      </c>
      <c r="J178" s="1076" t="str">
        <f>IFERROR(__xludf.DUMMYFUNCTION("""COMPUTED_VALUE"""),"D8AVP095627")</f>
        <v>D8AVP095627</v>
      </c>
      <c r="K178" s="1076">
        <f>IFERROR(__xludf.DUMMYFUNCTION("""COMPUTED_VALUE"""),3.75)</f>
        <v>3.75</v>
      </c>
      <c r="L178" s="1076" t="str">
        <f>IFERROR(__xludf.DUMMYFUNCTION("""COMPUTED_VALUE"""),"KLH")</f>
        <v>KLH</v>
      </c>
    </row>
    <row r="179" customHeight="1" spans="1:12">
      <c r="A179" s="1082" t="str">
        <f>IFERROR(__xludf.DUMMYFUNCTION("""COMPUTED_VALUE"""),"XD2-MĐA-001")</f>
        <v>XD2-MĐA-001</v>
      </c>
      <c r="B179" s="1075" t="str">
        <f>IFERROR(__xludf.DUMMYFUNCTION("""COMPUTED_VALUE"""),"Máy đào KOMATSU bánh xích gàu 0.3m3")</f>
        <v>Máy đào KOMATSU bánh xích gàu 0.3m3</v>
      </c>
      <c r="C179" s="1076" t="str">
        <f>IFERROR(__xludf.DUMMYFUNCTION("""COMPUTED_VALUE"""),"XN Chuối DP2")</f>
        <v>XN Chuối DP2</v>
      </c>
      <c r="D179" s="1076" t="str">
        <f>IFERROR(__xludf.DUMMYFUNCTION("""COMPUTED_VALUE"""),"KOMATSU")</f>
        <v>KOMATSU</v>
      </c>
      <c r="E179" s="356" t="str">
        <f>IFERROR(__xludf.DUMMYFUNCTION("""COMPUTED_VALUE"""),"NHẬT BẢN")</f>
        <v>NHẬT BẢN</v>
      </c>
      <c r="F179" s="1076">
        <f>IFERROR(__xludf.DUMMYFUNCTION("""COMPUTED_VALUE"""),2006)</f>
        <v>2006</v>
      </c>
      <c r="G179" s="1076" t="str">
        <f>IFERROR(__xludf.DUMMYFUNCTION("""COMPUTED_VALUE"""),"PC40MR-3")</f>
        <v>PC40MR-3</v>
      </c>
      <c r="H179" s="1076" t="str">
        <f>IFERROR(__xludf.DUMMYFUNCTION("""COMPUTED_VALUE"""),"39HP")</f>
        <v>39HP</v>
      </c>
      <c r="I179" s="1076" t="str">
        <f>IFERROR(__xludf.DUMMYFUNCTION("""COMPUTED_VALUE"""),"8332")</f>
        <v>8332</v>
      </c>
      <c r="J179" s="1076" t="str">
        <f>IFERROR(__xludf.DUMMYFUNCTION("""COMPUTED_VALUE"""),"CCN")</f>
        <v>CCN</v>
      </c>
      <c r="K179" s="1076">
        <f>IFERROR(__xludf.DUMMYFUNCTION("""COMPUTED_VALUE"""),4)</f>
        <v>4</v>
      </c>
      <c r="L179" s="1076" t="str">
        <f>IFERROR(__xludf.DUMMYFUNCTION("""COMPUTED_VALUE"""),"KLH")</f>
        <v>KLH</v>
      </c>
    </row>
    <row r="180" customHeight="1" spans="1:12">
      <c r="A180" s="1082" t="str">
        <f>IFERROR(__xludf.DUMMYFUNCTION("""COMPUTED_VALUE"""),"XD2-TCD-001")</f>
        <v>XD2-TCD-001</v>
      </c>
      <c r="B180" s="1075" t="str">
        <f>IFERROR(__xludf.DUMMYFUNCTION("""COMPUTED_VALUE"""),"Xe tải chuyên dụng (cabin đôi)")</f>
        <v>Xe tải chuyên dụng (cabin đôi)</v>
      </c>
      <c r="C180" s="1076" t="str">
        <f>IFERROR(__xludf.DUMMYFUNCTION("""COMPUTED_VALUE"""),"XN Chuối DP2")</f>
        <v>XN Chuối DP2</v>
      </c>
      <c r="D180" s="1076" t="str">
        <f>IFERROR(__xludf.DUMMYFUNCTION("""COMPUTED_VALUE"""),"THACO KIA")</f>
        <v>THACO KIA</v>
      </c>
      <c r="E180" s="356" t="str">
        <f>IFERROR(__xludf.DUMMYFUNCTION("""COMPUTED_VALUE"""),"VIỆT NAM")</f>
        <v>VIỆT NAM</v>
      </c>
      <c r="F180" s="1076">
        <f>IFERROR(__xludf.DUMMYFUNCTION("""COMPUTED_VALUE"""),2021)</f>
        <v>2021</v>
      </c>
      <c r="G180" s="1076" t="str">
        <f>IFERROR(__xludf.DUMMYFUNCTION("""COMPUTED_VALUE"""),"FRONTIER K200SD")</f>
        <v>FRONTIER K200SD</v>
      </c>
      <c r="H180" s="1076" t="str">
        <f>IFERROR(__xludf.DUMMYFUNCTION("""COMPUTED_VALUE"""),"130HP")</f>
        <v>130HP</v>
      </c>
      <c r="I180" s="1076" t="str">
        <f>IFERROR(__xludf.DUMMYFUNCTION("""COMPUTED_VALUE"""),"RNHF39KHBMT045667")</f>
        <v>RNHF39KHBMT045667</v>
      </c>
      <c r="J180" s="1076" t="str">
        <f>IFERROR(__xludf.DUMMYFUNCTION("""COMPUTED_VALUE"""),"MD540079D4CB")</f>
        <v>MD540079D4CB</v>
      </c>
      <c r="K180" s="1076"/>
      <c r="L180" s="1076" t="str">
        <f>IFERROR(__xludf.DUMMYFUNCTION("""COMPUTED_VALUE"""),"KLH")</f>
        <v>KLH</v>
      </c>
    </row>
    <row r="181" customHeight="1" spans="1:12">
      <c r="A181" s="1082" t="str">
        <f>IFERROR(__xludf.DUMMYFUNCTION("""COMPUTED_VALUE"""),"XD2-XTA-002")</f>
        <v>XD2-XTA-002</v>
      </c>
      <c r="B181" s="1075" t="str">
        <f>IFERROR(__xludf.DUMMYFUNCTION("""COMPUTED_VALUE"""),"Xe ben Forland FD990-4WDXTH4-5T")</f>
        <v>Xe ben Forland FD990-4WDXTH4-5T</v>
      </c>
      <c r="C181" s="1076" t="str">
        <f>IFERROR(__xludf.DUMMYFUNCTION("""COMPUTED_VALUE"""),"XN Chuối DP2")</f>
        <v>XN Chuối DP2</v>
      </c>
      <c r="D181" s="1076" t="str">
        <f>IFERROR(__xludf.DUMMYFUNCTION("""COMPUTED_VALUE"""),"FORLAND")</f>
        <v>FORLAND</v>
      </c>
      <c r="E181" s="920" t="str">
        <f>IFERROR(__xludf.DUMMYFUNCTION("""COMPUTED_VALUE"""),"Việt Nam")</f>
        <v>Việt Nam</v>
      </c>
      <c r="F181" s="1076">
        <f>IFERROR(__xludf.DUMMYFUNCTION("""COMPUTED_VALUE"""),2024)</f>
        <v>2024</v>
      </c>
      <c r="G181" s="1076" t="str">
        <f>IFERROR(__xludf.DUMMYFUNCTION("""COMPUTED_VALUE""")," FD990-4WD")</f>
        <v> FD990-4WD</v>
      </c>
      <c r="H181" s="1076" t="str">
        <f>IFERROR(__xludf.DUMMYFUNCTION("""COMPUTED_VALUE"""),"94HP")</f>
        <v>94HP</v>
      </c>
      <c r="I181" s="1076" t="str">
        <f>IFERROR(__xludf.DUMMYFUNCTION("""COMPUTED_VALUE"""),"RNHF99FACRT092728")</f>
        <v>RNHF99FACRT092728</v>
      </c>
      <c r="J181" s="1076" t="str">
        <f>IFERROR(__xludf.DUMMYFUNCTION("""COMPUTED_VALUE"""),"B0576976")</f>
        <v>B0576976</v>
      </c>
      <c r="K181" s="1076">
        <f>IFERROR(__xludf.DUMMYFUNCTION("""COMPUTED_VALUE"""),0.33)</f>
        <v>0.33</v>
      </c>
      <c r="L181" s="1076" t="str">
        <f>IFERROR(__xludf.DUMMYFUNCTION("""COMPUTED_VALUE"""),"KLH")</f>
        <v>KLH</v>
      </c>
    </row>
    <row r="182" customHeight="1" spans="1:12">
      <c r="A182" s="1082" t="str">
        <f>IFERROR(__xludf.DUMMYFUNCTION("""COMPUTED_VALUE"""),"XD2-XTA-003")</f>
        <v>XD2-XTA-003</v>
      </c>
      <c r="B182" s="1075" t="str">
        <f>IFERROR(__xludf.DUMMYFUNCTION("""COMPUTED_VALUE"""),"Xe ben Forland FD990-4WDXTH4-5T")</f>
        <v>Xe ben Forland FD990-4WDXTH4-5T</v>
      </c>
      <c r="C182" s="1076" t="str">
        <f>IFERROR(__xludf.DUMMYFUNCTION("""COMPUTED_VALUE"""),"XN Chuối DP2")</f>
        <v>XN Chuối DP2</v>
      </c>
      <c r="D182" s="1076" t="str">
        <f>IFERROR(__xludf.DUMMYFUNCTION("""COMPUTED_VALUE"""),"FORLAND")</f>
        <v>FORLAND</v>
      </c>
      <c r="E182" s="1084" t="str">
        <f>IFERROR(__xludf.DUMMYFUNCTION("""COMPUTED_VALUE"""),"Việt Nam")</f>
        <v>Việt Nam</v>
      </c>
      <c r="F182" s="1076">
        <f>IFERROR(__xludf.DUMMYFUNCTION("""COMPUTED_VALUE"""),2024)</f>
        <v>2024</v>
      </c>
      <c r="G182" s="1076" t="str">
        <f>IFERROR(__xludf.DUMMYFUNCTION("""COMPUTED_VALUE""")," FD990-4WD")</f>
        <v> FD990-4WD</v>
      </c>
      <c r="H182" s="1076" t="str">
        <f>IFERROR(__xludf.DUMMYFUNCTION("""COMPUTED_VALUE"""),"94HP")</f>
        <v>94HP</v>
      </c>
      <c r="I182" s="1076" t="str">
        <f>IFERROR(__xludf.DUMMYFUNCTION("""COMPUTED_VALUE"""),"RNHF99FACRT092729")</f>
        <v>RNHF99FACRT092729</v>
      </c>
      <c r="J182" s="1076" t="str">
        <f>IFERROR(__xludf.DUMMYFUNCTION("""COMPUTED_VALUE"""),"B0577298")</f>
        <v>B0577298</v>
      </c>
      <c r="K182" s="1076">
        <f>IFERROR(__xludf.DUMMYFUNCTION("""COMPUTED_VALUE"""),3)</f>
        <v>3</v>
      </c>
      <c r="L182" s="1076" t="str">
        <f>IFERROR(__xludf.DUMMYFUNCTION("""COMPUTED_VALUE"""),"KLH")</f>
        <v>KLH</v>
      </c>
    </row>
    <row r="183" customHeight="1" spans="1:12">
      <c r="A183" s="1082" t="str">
        <f>IFERROR(__xludf.DUMMYFUNCTION("""COMPUTED_VALUE"""),"XD2-XTA-004")</f>
        <v>XD2-XTA-004</v>
      </c>
      <c r="B183" s="1075" t="str">
        <f>IFERROR(__xludf.DUMMYFUNCTION("""COMPUTED_VALUE"""),"Xe ben Forland FD990-4WDXTH4-5T")</f>
        <v>Xe ben Forland FD990-4WDXTH4-5T</v>
      </c>
      <c r="C183" s="1076" t="str">
        <f>IFERROR(__xludf.DUMMYFUNCTION("""COMPUTED_VALUE"""),"XN Chuối DP2")</f>
        <v>XN Chuối DP2</v>
      </c>
      <c r="D183" s="1076" t="str">
        <f>IFERROR(__xludf.DUMMYFUNCTION("""COMPUTED_VALUE"""),"THACO FORLAND")</f>
        <v>THACO FORLAND</v>
      </c>
      <c r="E183" s="1085" t="str">
        <f>IFERROR(__xludf.DUMMYFUNCTION("""COMPUTED_VALUE"""),"VIỆT NAM")</f>
        <v>VIỆT NAM</v>
      </c>
      <c r="F183" s="1076">
        <f>IFERROR(__xludf.DUMMYFUNCTION("""COMPUTED_VALUE"""),2023)</f>
        <v>2023</v>
      </c>
      <c r="G183" s="1076" t="str">
        <f>IFERROR(__xludf.DUMMYFUNCTION("""COMPUTED_VALUE""")," FD990-4WD")</f>
        <v> FD990-4WD</v>
      </c>
      <c r="H183" s="1076" t="str">
        <f>IFERROR(__xludf.DUMMYFUNCTION("""COMPUTED_VALUE"""),"100HP")</f>
        <v>100HP</v>
      </c>
      <c r="I183" s="1076" t="str">
        <f>IFERROR(__xludf.DUMMYFUNCTION("""COMPUTED_VALUE"""),"RNHF99FACPT075129")</f>
        <v>RNHF99FACPT075129</v>
      </c>
      <c r="J183" s="1076" t="str">
        <f>IFERROR(__xludf.DUMMYFUNCTION("""COMPUTED_VALUE"""),"4DW9395E4B0576690")</f>
        <v>4DW9395E4B0576690</v>
      </c>
      <c r="K183" s="1076">
        <f>IFERROR(__xludf.DUMMYFUNCTION("""COMPUTED_VALUE"""),0.33)</f>
        <v>0.33</v>
      </c>
      <c r="L183" s="1076" t="str">
        <f>IFERROR(__xludf.DUMMYFUNCTION("""COMPUTED_VALUE"""),"KLH")</f>
        <v>KLH</v>
      </c>
    </row>
    <row r="184" customHeight="1" spans="1:12">
      <c r="A184" s="1082" t="str">
        <f>IFERROR(__xludf.DUMMYFUNCTION("""COMPUTED_VALUE"""),"XD2-XTA-005")</f>
        <v>XD2-XTA-005</v>
      </c>
      <c r="B184" s="1075" t="str">
        <f>IFERROR(__xludf.DUMMYFUNCTION("""COMPUTED_VALUE"""),"Xe tải THACO FRONTIER TF490")</f>
        <v>Xe tải THACO FRONTIER TF490</v>
      </c>
      <c r="C184" s="1076" t="str">
        <f>IFERROR(__xludf.DUMMYFUNCTION("""COMPUTED_VALUE"""),"XN Chuối DP2")</f>
        <v>XN Chuối DP2</v>
      </c>
      <c r="D184" s="1076" t="str">
        <f>IFERROR(__xludf.DUMMYFUNCTION("""COMPUTED_VALUE"""),"THACO FRONTIER")</f>
        <v>THACO FRONTIER</v>
      </c>
      <c r="E184" s="1076" t="str">
        <f>IFERROR(__xludf.DUMMYFUNCTION("""COMPUTED_VALUE"""),"VIỆT NAM")</f>
        <v>VIỆT NAM</v>
      </c>
      <c r="F184" s="1076">
        <f>IFERROR(__xludf.DUMMYFUNCTION("""COMPUTED_VALUE"""),2024)</f>
        <v>2024</v>
      </c>
      <c r="G184" s="1076" t="str">
        <f>IFERROR(__xludf.DUMMYFUNCTION("""COMPUTED_VALUE"""),"TF490")</f>
        <v>TF490</v>
      </c>
      <c r="H184" s="1076" t="str">
        <f>IFERROR(__xludf.DUMMYFUNCTION("""COMPUTED_VALUE"""),"107HP")</f>
        <v>107HP</v>
      </c>
      <c r="I184" s="1076" t="str">
        <f>IFERROR(__xludf.DUMMYFUNCTION("""COMPUTED_VALUE"""),"RNHA49TZART082919")</f>
        <v>RNHA49TZART082919</v>
      </c>
      <c r="J184" s="1076" t="str">
        <f>IFERROR(__xludf.DUMMYFUNCTION("""COMPUTED_VALUE"""),"JE493ZLQ4*37100368*")</f>
        <v>JE493ZLQ4*37100368*</v>
      </c>
      <c r="K184" s="1076">
        <f>IFERROR(__xludf.DUMMYFUNCTION("""COMPUTED_VALUE"""),0.2)</f>
        <v>0.2</v>
      </c>
      <c r="L184" s="1076" t="str">
        <f>IFERROR(__xludf.DUMMYFUNCTION("""COMPUTED_VALUE"""),"KLH")</f>
        <v>KLH</v>
      </c>
    </row>
    <row r="185" customHeight="1" spans="1:12">
      <c r="A185" s="1082" t="str">
        <f>IFERROR(__xludf.DUMMYFUNCTION("""COMPUTED_VALUE"""),"XD2-XNA-001")</f>
        <v>XD2-XNA-001</v>
      </c>
      <c r="B185" s="1075" t="str">
        <f>IFERROR(__xludf.DUMMYFUNCTION("""COMPUTED_VALUE"""),"Xe nâng điện 2.5 tấn")</f>
        <v>Xe nâng điện 2.5 tấn</v>
      </c>
      <c r="C185" s="1076" t="str">
        <f>IFERROR(__xludf.DUMMYFUNCTION("""COMPUTED_VALUE"""),"XN Chuối DP2")</f>
        <v>XN Chuối DP2</v>
      </c>
      <c r="D185" s="1076" t="str">
        <f>IFERROR(__xludf.DUMMYFUNCTION("""COMPUTED_VALUE"""),"LOVOL")</f>
        <v>LOVOL</v>
      </c>
      <c r="E185" s="1076" t="str">
        <f>IFERROR(__xludf.DUMMYFUNCTION("""COMPUTED_VALUE"""),"TRUNG QUỐC")</f>
        <v>TRUNG QUỐC</v>
      </c>
      <c r="F185" s="1076">
        <f>IFERROR(__xludf.DUMMYFUNCTION("""COMPUTED_VALUE"""),2025)</f>
        <v>2025</v>
      </c>
      <c r="G185" s="1076" t="str">
        <f>IFERROR(__xludf.DUMMYFUNCTION("""COMPUTED_VALUE"""),"FF25E")</f>
        <v>FF25E</v>
      </c>
      <c r="H185" s="1076" t="str">
        <f>IFERROR(__xludf.DUMMYFUNCTION("""COMPUTED_VALUE"""),"14HP")</f>
        <v>14HP</v>
      </c>
      <c r="I185" s="1076" t="str">
        <f>IFERROR(__xludf.DUMMYFUNCTION("""COMPUTED_VALUE"""),"C31293P50544")</f>
        <v>C31293P50544</v>
      </c>
      <c r="J185" s="1076" t="str">
        <f>IFERROR(__xludf.DUMMYFUNCTION("""COMPUTED_VALUE"""),"JB253701317")</f>
        <v>JB253701317</v>
      </c>
      <c r="K185" s="1076"/>
      <c r="L185" s="1076" t="str">
        <f>IFERROR(__xludf.DUMMYFUNCTION("""COMPUTED_VALUE"""),"KLH")</f>
        <v>KLH</v>
      </c>
    </row>
    <row r="186" customHeight="1" spans="1:12">
      <c r="A186" s="1082" t="str">
        <f>IFERROR(__xludf.DUMMYFUNCTION("""COMPUTED_VALUE"""),"XD2-XNA-002")</f>
        <v>XD2-XNA-002</v>
      </c>
      <c r="B186" s="1075" t="str">
        <f>IFERROR(__xludf.DUMMYFUNCTION("""COMPUTED_VALUE"""),"Xe nâng điện 1.5 tấn")</f>
        <v>Xe nâng điện 1.5 tấn</v>
      </c>
      <c r="C186" s="1076" t="str">
        <f>IFERROR(__xludf.DUMMYFUNCTION("""COMPUTED_VALUE"""),"XN Chuối DP2")</f>
        <v>XN Chuối DP2</v>
      </c>
      <c r="D186" s="1076" t="str">
        <f>IFERROR(__xludf.DUMMYFUNCTION("""COMPUTED_VALUE"""),"LOVOL")</f>
        <v>LOVOL</v>
      </c>
      <c r="E186" s="1076" t="str">
        <f>IFERROR(__xludf.DUMMYFUNCTION("""COMPUTED_VALUE"""),"TRUNG QUỐC")</f>
        <v>TRUNG QUỐC</v>
      </c>
      <c r="F186" s="1076">
        <f>IFERROR(__xludf.DUMMYFUNCTION("""COMPUTED_VALUE"""),2026)</f>
        <v>2026</v>
      </c>
      <c r="G186" s="1076" t="str">
        <f>IFERROR(__xludf.DUMMYFUNCTION("""COMPUTED_VALUE"""),"FF15E")</f>
        <v>FF15E</v>
      </c>
      <c r="H186" s="1076" t="str">
        <f>IFERROR(__xludf.DUMMYFUNCTION("""COMPUTED_VALUE"""),"11,8 HP")</f>
        <v>11,8 HP</v>
      </c>
      <c r="I186" s="1076" t="str">
        <f>IFERROR(__xludf.DUMMYFUNCTION("""COMPUTED_VALUE"""),"C31293R50030")</f>
        <v>C31293R50030</v>
      </c>
      <c r="J186" s="1076"/>
      <c r="K186" s="1076"/>
      <c r="L186" s="1076" t="str">
        <f>IFERROR(__xludf.DUMMYFUNCTION("""COMPUTED_VALUE"""),"KLH")</f>
        <v>KLH</v>
      </c>
    </row>
    <row r="187" customHeight="1" spans="1:12">
      <c r="A187" s="1082" t="str">
        <f>IFERROR(__xludf.DUMMYFUNCTION("""COMPUTED_VALUE"""),"XD2-CLT-001")</f>
        <v>XD2-CLT-001</v>
      </c>
      <c r="B187" s="1075" t="str">
        <f>IFERROR(__xludf.DUMMYFUNCTION("""COMPUTED_VALUE"""),"Xe clethon")</f>
        <v>Xe clethon</v>
      </c>
      <c r="C187" s="1076" t="str">
        <f>IFERROR(__xludf.DUMMYFUNCTION("""COMPUTED_VALUE"""),"XN Chuối DP2")</f>
        <v>XN Chuối DP2</v>
      </c>
      <c r="D187" s="1076" t="str">
        <f>IFERROR(__xludf.DUMMYFUNCTION("""COMPUTED_VALUE"""),"YANMAR")</f>
        <v>YANMAR</v>
      </c>
      <c r="E187" s="1076" t="str">
        <f>IFERROR(__xludf.DUMMYFUNCTION("""COMPUTED_VALUE"""),"INDONESIA")</f>
        <v>INDONESIA</v>
      </c>
      <c r="F187" s="1076">
        <f>IFERROR(__xludf.DUMMYFUNCTION("""COMPUTED_VALUE"""),2022)</f>
        <v>2022</v>
      </c>
      <c r="G187" s="1076" t="str">
        <f>IFERROR(__xludf.DUMMYFUNCTION("""COMPUTED_VALUE"""),"TF150NL-PR2")</f>
        <v>TF150NL-PR2</v>
      </c>
      <c r="H187" s="1076" t="str">
        <f>IFERROR(__xludf.DUMMYFUNCTION("""COMPUTED_VALUE"""),"15HP")</f>
        <v>15HP</v>
      </c>
      <c r="I187" s="1076" t="str">
        <f>IFERROR(__xludf.DUMMYFUNCTION("""COMPUTED_VALUE"""),"203050")</f>
        <v>203050</v>
      </c>
      <c r="J187" s="1076" t="str">
        <f>IFERROR(__xludf.DUMMYFUNCTION("""COMPUTED_VALUE"""),"B2229L")</f>
        <v>B2229L</v>
      </c>
      <c r="K187" s="1076">
        <f>IFERROR(__xludf.DUMMYFUNCTION("""COMPUTED_VALUE"""),0.5)</f>
        <v>0.5</v>
      </c>
      <c r="L187" s="1076" t="str">
        <f>IFERROR(__xludf.DUMMYFUNCTION("""COMPUTED_VALUE"""),"KLH")</f>
        <v>KLH</v>
      </c>
    </row>
    <row r="188" customHeight="1" spans="1:12">
      <c r="A188" s="1082" t="str">
        <f>IFERROR(__xludf.DUMMYFUNCTION("""COMPUTED_VALUE"""),"XD2-CLT-002")</f>
        <v>XD2-CLT-002</v>
      </c>
      <c r="B188" s="1075" t="str">
        <f>IFERROR(__xludf.DUMMYFUNCTION("""COMPUTED_VALUE"""),"Xe clethon")</f>
        <v>Xe clethon</v>
      </c>
      <c r="C188" s="1076" t="str">
        <f>IFERROR(__xludf.DUMMYFUNCTION("""COMPUTED_VALUE"""),"XN Chuối DP2")</f>
        <v>XN Chuối DP2</v>
      </c>
      <c r="D188" s="1076" t="str">
        <f>IFERROR(__xludf.DUMMYFUNCTION("""COMPUTED_VALUE"""),"YANMAR")</f>
        <v>YANMAR</v>
      </c>
      <c r="E188" s="1076" t="str">
        <f>IFERROR(__xludf.DUMMYFUNCTION("""COMPUTED_VALUE"""),"INDONESIA")</f>
        <v>INDONESIA</v>
      </c>
      <c r="F188" s="1076">
        <f>IFERROR(__xludf.DUMMYFUNCTION("""COMPUTED_VALUE"""),2022)</f>
        <v>2022</v>
      </c>
      <c r="G188" s="1076" t="str">
        <f>IFERROR(__xludf.DUMMYFUNCTION("""COMPUTED_VALUE"""),"TF150NL-PR2")</f>
        <v>TF150NL-PR2</v>
      </c>
      <c r="H188" s="1076" t="str">
        <f>IFERROR(__xludf.DUMMYFUNCTION("""COMPUTED_VALUE"""),"15HP")</f>
        <v>15HP</v>
      </c>
      <c r="I188" s="1076" t="str">
        <f>IFERROR(__xludf.DUMMYFUNCTION("""COMPUTED_VALUE"""),"203054")</f>
        <v>203054</v>
      </c>
      <c r="J188" s="1076" t="str">
        <f>IFERROR(__xludf.DUMMYFUNCTION("""COMPUTED_VALUE"""),"B1314M")</f>
        <v>B1314M</v>
      </c>
      <c r="K188" s="1076">
        <f>IFERROR(__xludf.DUMMYFUNCTION("""COMPUTED_VALUE"""),0.5)</f>
        <v>0.5</v>
      </c>
      <c r="L188" s="1076" t="str">
        <f>IFERROR(__xludf.DUMMYFUNCTION("""COMPUTED_VALUE"""),"KLH")</f>
        <v>KLH</v>
      </c>
    </row>
    <row r="189" customHeight="1" spans="1:12">
      <c r="A189" s="1082" t="str">
        <f>IFERROR(__xludf.DUMMYFUNCTION("""COMPUTED_VALUE"""),"XD2-CLT-003")</f>
        <v>XD2-CLT-003</v>
      </c>
      <c r="B189" s="1075" t="str">
        <f>IFERROR(__xludf.DUMMYFUNCTION("""COMPUTED_VALUE"""),"Xe clethon")</f>
        <v>Xe clethon</v>
      </c>
      <c r="C189" s="1076" t="str">
        <f>IFERROR(__xludf.DUMMYFUNCTION("""COMPUTED_VALUE"""),"XN Chuối DP2")</f>
        <v>XN Chuối DP2</v>
      </c>
      <c r="D189" s="1076" t="str">
        <f>IFERROR(__xludf.DUMMYFUNCTION("""COMPUTED_VALUE"""),"YANMAR")</f>
        <v>YANMAR</v>
      </c>
      <c r="E189" s="1076" t="str">
        <f>IFERROR(__xludf.DUMMYFUNCTION("""COMPUTED_VALUE"""),"INDONESIA")</f>
        <v>INDONESIA</v>
      </c>
      <c r="F189" s="1076">
        <f>IFERROR(__xludf.DUMMYFUNCTION("""COMPUTED_VALUE"""),2022)</f>
        <v>2022</v>
      </c>
      <c r="G189" s="1076" t="str">
        <f>IFERROR(__xludf.DUMMYFUNCTION("""COMPUTED_VALUE"""),"TF150NL-PR2")</f>
        <v>TF150NL-PR2</v>
      </c>
      <c r="H189" s="1076" t="str">
        <f>IFERROR(__xludf.DUMMYFUNCTION("""COMPUTED_VALUE"""),"15HP")</f>
        <v>15HP</v>
      </c>
      <c r="I189" s="1076" t="str">
        <f>IFERROR(__xludf.DUMMYFUNCTION("""COMPUTED_VALUE"""),"203068")</f>
        <v>203068</v>
      </c>
      <c r="J189" s="1076" t="str">
        <f>IFERROR(__xludf.DUMMYFUNCTION("""COMPUTED_VALUE"""),"B2099L")</f>
        <v>B2099L</v>
      </c>
      <c r="K189" s="1076">
        <f>IFERROR(__xludf.DUMMYFUNCTION("""COMPUTED_VALUE"""),0.5)</f>
        <v>0.5</v>
      </c>
      <c r="L189" s="1076" t="str">
        <f>IFERROR(__xludf.DUMMYFUNCTION("""COMPUTED_VALUE"""),"KLH")</f>
        <v>KLH</v>
      </c>
    </row>
    <row r="190" customHeight="1" spans="1:12">
      <c r="A190" s="1086" t="str">
        <f>IFERROR(__xludf.DUMMYFUNCTION("""COMPUTED_VALUE"""),"XD2-CLT-004")</f>
        <v>XD2-CLT-004</v>
      </c>
      <c r="B190" s="1075" t="str">
        <f>IFERROR(__xludf.DUMMYFUNCTION("""COMPUTED_VALUE"""),"Xe clethon")</f>
        <v>Xe clethon</v>
      </c>
      <c r="C190" s="1076" t="str">
        <f>IFERROR(__xludf.DUMMYFUNCTION("""COMPUTED_VALUE"""),"XN Chuối DP2")</f>
        <v>XN Chuối DP2</v>
      </c>
      <c r="D190" s="1076" t="str">
        <f>IFERROR(__xludf.DUMMYFUNCTION("""COMPUTED_VALUE"""),"YANMAR")</f>
        <v>YANMAR</v>
      </c>
      <c r="E190" s="1076" t="str">
        <f>IFERROR(__xludf.DUMMYFUNCTION("""COMPUTED_VALUE"""),"INDONESIA")</f>
        <v>INDONESIA</v>
      </c>
      <c r="F190" s="1076">
        <f>IFERROR(__xludf.DUMMYFUNCTION("""COMPUTED_VALUE"""),2022)</f>
        <v>2022</v>
      </c>
      <c r="G190" s="1076" t="str">
        <f>IFERROR(__xludf.DUMMYFUNCTION("""COMPUTED_VALUE"""),"TF150NL-PR2")</f>
        <v>TF150NL-PR2</v>
      </c>
      <c r="H190" s="1076" t="str">
        <f>IFERROR(__xludf.DUMMYFUNCTION("""COMPUTED_VALUE"""),"15HP")</f>
        <v>15HP</v>
      </c>
      <c r="I190" s="1076" t="str">
        <f>IFERROR(__xludf.DUMMYFUNCTION("""COMPUTED_VALUE"""),"203075")</f>
        <v>203075</v>
      </c>
      <c r="J190" s="1076" t="str">
        <f>IFERROR(__xludf.DUMMYFUNCTION("""COMPUTED_VALUE"""),"B2151L")</f>
        <v>B2151L</v>
      </c>
      <c r="K190" s="1076">
        <f>IFERROR(__xludf.DUMMYFUNCTION("""COMPUTED_VALUE"""),0.5)</f>
        <v>0.5</v>
      </c>
      <c r="L190" s="1076" t="str">
        <f>IFERROR(__xludf.DUMMYFUNCTION("""COMPUTED_VALUE"""),"KLH")</f>
        <v>KLH</v>
      </c>
    </row>
    <row r="191" customHeight="1" spans="1:12">
      <c r="A191" s="1086" t="str">
        <f>IFERROR(__xludf.DUMMYFUNCTION("""COMPUTED_VALUE"""),"XD2-CLT-005")</f>
        <v>XD2-CLT-005</v>
      </c>
      <c r="B191" s="1075" t="str">
        <f>IFERROR(__xludf.DUMMYFUNCTION("""COMPUTED_VALUE"""),"Xe clethon")</f>
        <v>Xe clethon</v>
      </c>
      <c r="C191" s="1076" t="str">
        <f>IFERROR(__xludf.DUMMYFUNCTION("""COMPUTED_VALUE"""),"XN Chuối DP2")</f>
        <v>XN Chuối DP2</v>
      </c>
      <c r="D191" s="1076" t="str">
        <f>IFERROR(__xludf.DUMMYFUNCTION("""COMPUTED_VALUE"""),"YANMAR")</f>
        <v>YANMAR</v>
      </c>
      <c r="E191" s="1076" t="str">
        <f>IFERROR(__xludf.DUMMYFUNCTION("""COMPUTED_VALUE"""),"INDONESIA")</f>
        <v>INDONESIA</v>
      </c>
      <c r="F191" s="1076">
        <f>IFERROR(__xludf.DUMMYFUNCTION("""COMPUTED_VALUE"""),2022)</f>
        <v>2022</v>
      </c>
      <c r="G191" s="1076" t="str">
        <f>IFERROR(__xludf.DUMMYFUNCTION("""COMPUTED_VALUE"""),"TF150NL-PR2")</f>
        <v>TF150NL-PR2</v>
      </c>
      <c r="H191" s="1076" t="str">
        <f>IFERROR(__xludf.DUMMYFUNCTION("""COMPUTED_VALUE"""),"15HP")</f>
        <v>15HP</v>
      </c>
      <c r="I191" s="1076" t="str">
        <f>IFERROR(__xludf.DUMMYFUNCTION("""COMPUTED_VALUE"""),"203086")</f>
        <v>203086</v>
      </c>
      <c r="J191" s="1076" t="str">
        <f>IFERROR(__xludf.DUMMYFUNCTION("""COMPUTED_VALUE"""),"C0853C")</f>
        <v>C0853C</v>
      </c>
      <c r="K191" s="1076">
        <f>IFERROR(__xludf.DUMMYFUNCTION("""COMPUTED_VALUE"""),0.5)</f>
        <v>0.5</v>
      </c>
      <c r="L191" s="1076" t="str">
        <f>IFERROR(__xludf.DUMMYFUNCTION("""COMPUTED_VALUE"""),"KLH")</f>
        <v>KLH</v>
      </c>
    </row>
    <row r="192" customHeight="1" spans="1:12">
      <c r="A192" s="1086" t="str">
        <f>IFERROR(__xludf.DUMMYFUNCTION("""COMPUTED_VALUE"""),"XD2-MĐQ-001")</f>
        <v>XD2-MĐQ-001</v>
      </c>
      <c r="B192" s="1075" t="str">
        <f>IFERROR(__xludf.DUMMYFUNCTION("""COMPUTED_VALUE"""),"Máy cắt cỏ đĩa quay 8HP")</f>
        <v>Máy cắt cỏ đĩa quay 8HP</v>
      </c>
      <c r="C192" s="1076" t="str">
        <f>IFERROR(__xludf.DUMMYFUNCTION("""COMPUTED_VALUE"""),"XN Chuối DP2")</f>
        <v>XN Chuối DP2</v>
      </c>
      <c r="D192" s="1076" t="str">
        <f>IFERROR(__xludf.DUMMYFUNCTION("""COMPUTED_VALUE"""),"HONDA")</f>
        <v>HONDA</v>
      </c>
      <c r="E192" s="1076" t="str">
        <f>IFERROR(__xludf.DUMMYFUNCTION("""COMPUTED_VALUE"""),"JANPAN")</f>
        <v>JANPAN</v>
      </c>
      <c r="F192" s="1076"/>
      <c r="G192" s="1076" t="str">
        <f>IFERROR(__xludf.DUMMYFUNCTION("""COMPUTED_VALUE"""),"GX240")</f>
        <v>GX240</v>
      </c>
      <c r="H192" s="1076" t="str">
        <f>IFERROR(__xludf.DUMMYFUNCTION("""COMPUTED_VALUE"""),"8HP")</f>
        <v>8HP</v>
      </c>
      <c r="I192" s="1076" t="str">
        <f>IFERROR(__xludf.DUMMYFUNCTION("""COMPUTED_VALUE"""),"CCN")</f>
        <v>CCN</v>
      </c>
      <c r="J192" s="1076" t="str">
        <f>IFERROR(__xludf.DUMMYFUNCTION("""COMPUTED_VALUE"""),"4418343")</f>
        <v>4418343</v>
      </c>
      <c r="K192" s="1076">
        <f>IFERROR(__xludf.DUMMYFUNCTION("""COMPUTED_VALUE"""),2.3)</f>
        <v>2.3</v>
      </c>
      <c r="L192" s="1076" t="str">
        <f>IFERROR(__xludf.DUMMYFUNCTION("""COMPUTED_VALUE"""),"KLH")</f>
        <v>KLH</v>
      </c>
    </row>
    <row r="193" customHeight="1" spans="1:12">
      <c r="A193" s="1086" t="str">
        <f>IFERROR(__xludf.DUMMYFUNCTION("""COMPUTED_VALUE"""),"XD2-MĐQ-002")</f>
        <v>XD2-MĐQ-002</v>
      </c>
      <c r="B193" s="1075" t="str">
        <f>IFERROR(__xludf.DUMMYFUNCTION("""COMPUTED_VALUE"""),"Máy cắt cỏ đĩa quay 8HP")</f>
        <v>Máy cắt cỏ đĩa quay 8HP</v>
      </c>
      <c r="C193" s="1076" t="str">
        <f>IFERROR(__xludf.DUMMYFUNCTION("""COMPUTED_VALUE"""),"XN Chuối DP2")</f>
        <v>XN Chuối DP2</v>
      </c>
      <c r="D193" s="1076" t="str">
        <f>IFERROR(__xludf.DUMMYFUNCTION("""COMPUTED_VALUE"""),"YANMAR")</f>
        <v>YANMAR</v>
      </c>
      <c r="E193" s="1076" t="str">
        <f>IFERROR(__xludf.DUMMYFUNCTION("""COMPUTED_VALUE"""),"JANPAN")</f>
        <v>JANPAN</v>
      </c>
      <c r="F193" s="1076"/>
      <c r="G193" s="1076" t="str">
        <f>IFERROR(__xludf.DUMMYFUNCTION("""COMPUTED_VALUE"""),"YG8")</f>
        <v>YG8</v>
      </c>
      <c r="H193" s="1076" t="str">
        <f>IFERROR(__xludf.DUMMYFUNCTION("""COMPUTED_VALUE"""),"8HP")</f>
        <v>8HP</v>
      </c>
      <c r="I193" s="1076" t="str">
        <f>IFERROR(__xludf.DUMMYFUNCTION("""COMPUTED_VALUE"""),"871668")</f>
        <v>871668</v>
      </c>
      <c r="J193" s="1076" t="str">
        <f>IFERROR(__xludf.DUMMYFUNCTION("""COMPUTED_VALUE"""),"20189")</f>
        <v>20189</v>
      </c>
      <c r="K193" s="1076">
        <f>IFERROR(__xludf.DUMMYFUNCTION("""COMPUTED_VALUE"""),2.3)</f>
        <v>2.3</v>
      </c>
      <c r="L193" s="1076" t="str">
        <f>IFERROR(__xludf.DUMMYFUNCTION("""COMPUTED_VALUE"""),"KLH")</f>
        <v>KLH</v>
      </c>
    </row>
    <row r="194" customHeight="1" spans="1:12">
      <c r="A194" s="1082" t="str">
        <f>IFERROR(__xludf.DUMMYFUNCTION("""COMPUTED_VALUE"""),"XD2-CCD-001")</f>
        <v>XD2-CCD-001</v>
      </c>
      <c r="B194" s="1075" t="str">
        <f>IFERROR(__xludf.DUMMYFUNCTION("""COMPUTED_VALUE"""),"Máy cắt cỏ trục băm đa năng")</f>
        <v>Máy cắt cỏ trục băm đa năng</v>
      </c>
      <c r="C194" s="1076" t="str">
        <f>IFERROR(__xludf.DUMMYFUNCTION("""COMPUTED_VALUE"""),"XN Chuối DP2")</f>
        <v>XN Chuối DP2</v>
      </c>
      <c r="D194" s="1076" t="str">
        <f>IFERROR(__xludf.DUMMYFUNCTION("""COMPUTED_VALUE"""),"ISHIKAWA")</f>
        <v>ISHIKAWA</v>
      </c>
      <c r="E194" s="1076" t="str">
        <f>IFERROR(__xludf.DUMMYFUNCTION("""COMPUTED_VALUE"""),"VIỆT NAM")</f>
        <v>VIỆT NAM</v>
      </c>
      <c r="F194" s="1076">
        <f>IFERROR(__xludf.DUMMYFUNCTION("""COMPUTED_VALUE"""),2025)</f>
        <v>2025</v>
      </c>
      <c r="G194" s="1076" t="str">
        <f>IFERROR(__xludf.DUMMYFUNCTION("""COMPUTED_VALUE"""),"TL662")</f>
        <v>TL662</v>
      </c>
      <c r="H194" s="1076" t="str">
        <f>IFERROR(__xludf.DUMMYFUNCTION("""COMPUTED_VALUE"""),"10HP")</f>
        <v>10HP</v>
      </c>
      <c r="I194" s="1076" t="str">
        <f>IFERROR(__xludf.DUMMYFUNCTION("""COMPUTED_VALUE"""),"TL20250601404")</f>
        <v>TL20250601404</v>
      </c>
      <c r="J194" s="1076" t="str">
        <f>IFERROR(__xludf.DUMMYFUNCTION("""COMPUTED_VALUE"""),"GT1000B0042094CD")</f>
        <v>GT1000B0042094CD</v>
      </c>
      <c r="K194" s="1076">
        <f>IFERROR(__xludf.DUMMYFUNCTION("""COMPUTED_VALUE"""),1.8)</f>
        <v>1.8</v>
      </c>
      <c r="L194" s="1076" t="str">
        <f>IFERROR(__xludf.DUMMYFUNCTION("""COMPUTED_VALUE"""),"KLH")</f>
        <v>KLH</v>
      </c>
    </row>
    <row r="195" customHeight="1" spans="1:12">
      <c r="A195" s="1082" t="str">
        <f>IFERROR(__xludf.DUMMYFUNCTION("""COMPUTED_VALUE"""),"XD2-CCD-002")</f>
        <v>XD2-CCD-002</v>
      </c>
      <c r="B195" s="1075" t="str">
        <f>IFERROR(__xludf.DUMMYFUNCTION("""COMPUTED_VALUE"""),"Máy cắt cỏ trục băm đa năng")</f>
        <v>Máy cắt cỏ trục băm đa năng</v>
      </c>
      <c r="C195" s="1076" t="str">
        <f>IFERROR(__xludf.DUMMYFUNCTION("""COMPUTED_VALUE"""),"XN Chuối DP2")</f>
        <v>XN Chuối DP2</v>
      </c>
      <c r="D195" s="1076" t="str">
        <f>IFERROR(__xludf.DUMMYFUNCTION("""COMPUTED_VALUE"""),"ISHIKAWA")</f>
        <v>ISHIKAWA</v>
      </c>
      <c r="E195" s="1076" t="str">
        <f>IFERROR(__xludf.DUMMYFUNCTION("""COMPUTED_VALUE"""),"VIỆT NAM")</f>
        <v>VIỆT NAM</v>
      </c>
      <c r="F195" s="1076">
        <f>IFERROR(__xludf.DUMMYFUNCTION("""COMPUTED_VALUE"""),2025)</f>
        <v>2025</v>
      </c>
      <c r="G195" s="1076" t="str">
        <f>IFERROR(__xludf.DUMMYFUNCTION("""COMPUTED_VALUE"""),"TL662")</f>
        <v>TL662</v>
      </c>
      <c r="H195" s="1076" t="str">
        <f>IFERROR(__xludf.DUMMYFUNCTION("""COMPUTED_VALUE"""),"10HP")</f>
        <v>10HP</v>
      </c>
      <c r="I195" s="1076" t="str">
        <f>IFERROR(__xludf.DUMMYFUNCTION("""COMPUTED_VALUE"""),"TL202506014015")</f>
        <v>TL202506014015</v>
      </c>
      <c r="J195" s="1076" t="str">
        <f>IFERROR(__xludf.DUMMYFUNCTION("""COMPUTED_VALUE"""),"GT1000B0042109CD")</f>
        <v>GT1000B0042109CD</v>
      </c>
      <c r="K195" s="1076">
        <f>IFERROR(__xludf.DUMMYFUNCTION("""COMPUTED_VALUE"""),1.8)</f>
        <v>1.8</v>
      </c>
      <c r="L195" s="1076" t="str">
        <f>IFERROR(__xludf.DUMMYFUNCTION("""COMPUTED_VALUE"""),"KLH")</f>
        <v>KLH</v>
      </c>
    </row>
    <row r="196" customHeight="1" spans="1:12">
      <c r="A196" s="1082" t="str">
        <f>IFERROR(__xludf.DUMMYFUNCTION("""COMPUTED_VALUE"""),"XD2-CCD-003")</f>
        <v>XD2-CCD-003</v>
      </c>
      <c r="B196" s="1075" t="str">
        <f>IFERROR(__xludf.DUMMYFUNCTION("""COMPUTED_VALUE"""),"Máy cắt cỏ trục băm đa năng")</f>
        <v>Máy cắt cỏ trục băm đa năng</v>
      </c>
      <c r="C196" s="1076" t="str">
        <f>IFERROR(__xludf.DUMMYFUNCTION("""COMPUTED_VALUE"""),"XN Chuối DP2")</f>
        <v>XN Chuối DP2</v>
      </c>
      <c r="D196" s="1076" t="str">
        <f>IFERROR(__xludf.DUMMYFUNCTION("""COMPUTED_VALUE"""),"ISHIKAWA")</f>
        <v>ISHIKAWA</v>
      </c>
      <c r="E196" s="1076" t="str">
        <f>IFERROR(__xludf.DUMMYFUNCTION("""COMPUTED_VALUE"""),"VIỆT NAM")</f>
        <v>VIỆT NAM</v>
      </c>
      <c r="F196" s="1076">
        <f>IFERROR(__xludf.DUMMYFUNCTION("""COMPUTED_VALUE"""),2025)</f>
        <v>2025</v>
      </c>
      <c r="G196" s="1076" t="str">
        <f>IFERROR(__xludf.DUMMYFUNCTION("""COMPUTED_VALUE"""),"TL662")</f>
        <v>TL662</v>
      </c>
      <c r="H196" s="1076" t="str">
        <f>IFERROR(__xludf.DUMMYFUNCTION("""COMPUTED_VALUE"""),"10HP")</f>
        <v>10HP</v>
      </c>
      <c r="I196" s="1076" t="str">
        <f>IFERROR(__xludf.DUMMYFUNCTION("""COMPUTED_VALUE"""),"TL202506014017")</f>
        <v>TL202506014017</v>
      </c>
      <c r="J196" s="1076" t="str">
        <f>IFERROR(__xludf.DUMMYFUNCTION("""COMPUTED_VALUE"""),"GT1000B0042099CD")</f>
        <v>GT1000B0042099CD</v>
      </c>
      <c r="K196" s="1076">
        <f>IFERROR(__xludf.DUMMYFUNCTION("""COMPUTED_VALUE"""),1.8)</f>
        <v>1.8</v>
      </c>
      <c r="L196" s="1076" t="str">
        <f>IFERROR(__xludf.DUMMYFUNCTION("""COMPUTED_VALUE"""),"KLH")</f>
        <v>KLH</v>
      </c>
    </row>
    <row r="197" customHeight="1" spans="1:12">
      <c r="A197" s="1082" t="str">
        <f>IFERROR(__xludf.DUMMYFUNCTION("""COMPUTED_VALUE"""),"XD2-CCD-004")</f>
        <v>XD2-CCD-004</v>
      </c>
      <c r="B197" s="1075" t="str">
        <f>IFERROR(__xludf.DUMMYFUNCTION("""COMPUTED_VALUE"""),"Máy cắt cỏ trục băm đa năng")</f>
        <v>Máy cắt cỏ trục băm đa năng</v>
      </c>
      <c r="C197" s="1076" t="str">
        <f>IFERROR(__xludf.DUMMYFUNCTION("""COMPUTED_VALUE"""),"XN Chuối DP2")</f>
        <v>XN Chuối DP2</v>
      </c>
      <c r="D197" s="1076" t="str">
        <f>IFERROR(__xludf.DUMMYFUNCTION("""COMPUTED_VALUE"""),"ISHIKAWA")</f>
        <v>ISHIKAWA</v>
      </c>
      <c r="E197" s="1076" t="str">
        <f>IFERROR(__xludf.DUMMYFUNCTION("""COMPUTED_VALUE"""),"VIỆT NAM")</f>
        <v>VIỆT NAM</v>
      </c>
      <c r="F197" s="1076">
        <f>IFERROR(__xludf.DUMMYFUNCTION("""COMPUTED_VALUE"""),2025)</f>
        <v>2025</v>
      </c>
      <c r="G197" s="1076" t="str">
        <f>IFERROR(__xludf.DUMMYFUNCTION("""COMPUTED_VALUE"""),"TL662")</f>
        <v>TL662</v>
      </c>
      <c r="H197" s="1076" t="str">
        <f>IFERROR(__xludf.DUMMYFUNCTION("""COMPUTED_VALUE"""),"10HP")</f>
        <v>10HP</v>
      </c>
      <c r="I197" s="1076" t="str">
        <f>IFERROR(__xludf.DUMMYFUNCTION("""COMPUTED_VALUE"""),"TL202506014020")</f>
        <v>TL202506014020</v>
      </c>
      <c r="J197" s="1076" t="str">
        <f>IFERROR(__xludf.DUMMYFUNCTION("""COMPUTED_VALUE"""),"GT1000B0042092CD")</f>
        <v>GT1000B0042092CD</v>
      </c>
      <c r="K197" s="1076">
        <f>IFERROR(__xludf.DUMMYFUNCTION("""COMPUTED_VALUE"""),1.8)</f>
        <v>1.8</v>
      </c>
      <c r="L197" s="1076" t="str">
        <f>IFERROR(__xludf.DUMMYFUNCTION("""COMPUTED_VALUE"""),"KLH")</f>
        <v>KLH</v>
      </c>
    </row>
    <row r="198" customHeight="1" spans="1:12">
      <c r="A198" s="1082" t="str">
        <f>IFERROR(__xludf.DUMMYFUNCTION("""COMPUTED_VALUE"""),"Xí nghiệp Chuối DP3")</f>
        <v>Xí nghiệp Chuối DP3</v>
      </c>
      <c r="B198" s="1075"/>
      <c r="C198" s="1076"/>
      <c r="D198" s="1076"/>
      <c r="E198" s="1076"/>
      <c r="F198" s="1076"/>
      <c r="G198" s="1076"/>
      <c r="H198" s="1076"/>
      <c r="I198" s="1076"/>
      <c r="J198" s="1076"/>
      <c r="K198" s="1076"/>
      <c r="L198" s="1076" t="str">
        <f>IFERROR(__xludf.DUMMYFUNCTION("""COMPUTED_VALUE"""),"KLH")</f>
        <v>KLH</v>
      </c>
    </row>
    <row r="199" customHeight="1" spans="1:12">
      <c r="A199" s="1082" t="str">
        <f>IFERROR(__xludf.DUMMYFUNCTION("""COMPUTED_VALUE"""),"XD3-MKE-002")</f>
        <v>XD3-MKE-002</v>
      </c>
      <c r="B199" s="1075" t="str">
        <f>IFERROR(__xludf.DUMMYFUNCTION("""COMPUTED_VALUE"""),"Máy cày L4508")</f>
        <v>Máy cày L4508</v>
      </c>
      <c r="C199" s="1076" t="str">
        <f>IFERROR(__xludf.DUMMYFUNCTION("""COMPUTED_VALUE"""),"XN Chuối DP3")</f>
        <v>XN Chuối DP3</v>
      </c>
      <c r="D199" s="1076" t="str">
        <f>IFERROR(__xludf.DUMMYFUNCTION("""COMPUTED_VALUE"""),"KUBOTA")</f>
        <v>KUBOTA</v>
      </c>
      <c r="E199" s="1076" t="str">
        <f>IFERROR(__xludf.DUMMYFUNCTION("""COMPUTED_VALUE"""),"NHẬT BẢN")</f>
        <v>NHẬT BẢN</v>
      </c>
      <c r="F199" s="1076">
        <f>IFERROR(__xludf.DUMMYFUNCTION("""COMPUTED_VALUE"""),2019)</f>
        <v>2019</v>
      </c>
      <c r="G199" s="1076" t="str">
        <f>IFERROR(__xludf.DUMMYFUNCTION("""COMPUTED_VALUE"""),"L4508")</f>
        <v>L4508</v>
      </c>
      <c r="H199" s="1076" t="str">
        <f>IFERROR(__xludf.DUMMYFUNCTION("""COMPUTED_VALUE"""),"45HP")</f>
        <v>45HP</v>
      </c>
      <c r="I199" s="1076" t="str">
        <f>IFERROR(__xludf.DUMMYFUNCTION("""COMPUTED_VALUE"""),"14720")</f>
        <v>14720</v>
      </c>
      <c r="J199" s="1076" t="str">
        <f>IFERROR(__xludf.DUMMYFUNCTION("""COMPUTED_VALUE"""),"CCN")</f>
        <v>CCN</v>
      </c>
      <c r="K199" s="1076">
        <f>IFERROR(__xludf.DUMMYFUNCTION("""COMPUTED_VALUE"""),2)</f>
        <v>2</v>
      </c>
      <c r="L199" s="1076" t="str">
        <f>IFERROR(__xludf.DUMMYFUNCTION("""COMPUTED_VALUE"""),"KLH")</f>
        <v>KLH</v>
      </c>
    </row>
    <row r="200" customHeight="1" spans="1:12">
      <c r="A200" s="1082" t="str">
        <f>IFERROR(__xludf.DUMMYFUNCTION("""COMPUTED_VALUE"""),"XD3-MKE-003")</f>
        <v>XD3-MKE-003</v>
      </c>
      <c r="B200" s="1075" t="str">
        <f>IFERROR(__xludf.DUMMYFUNCTION("""COMPUTED_VALUE"""),"Máy cày KAM50")</f>
        <v>Máy cày KAM50</v>
      </c>
      <c r="C200" s="1076" t="str">
        <f>IFERROR(__xludf.DUMMYFUNCTION("""COMPUTED_VALUE"""),"XN Chuối DP3")</f>
        <v>XN Chuối DP3</v>
      </c>
      <c r="D200" s="1076" t="str">
        <f>IFERROR(__xludf.DUMMYFUNCTION("""COMPUTED_VALUE"""),"THACO")</f>
        <v>THACO</v>
      </c>
      <c r="E200" s="1076" t="str">
        <f>IFERROR(__xludf.DUMMYFUNCTION("""COMPUTED_VALUE"""),"VIỆT NAM")</f>
        <v>VIỆT NAM</v>
      </c>
      <c r="F200" s="1076">
        <f>IFERROR(__xludf.DUMMYFUNCTION("""COMPUTED_VALUE"""),2018)</f>
        <v>2018</v>
      </c>
      <c r="G200" s="1076" t="str">
        <f>IFERROR(__xludf.DUMMYFUNCTION("""COMPUTED_VALUE"""),"KAM50")</f>
        <v>KAM50</v>
      </c>
      <c r="H200" s="1076" t="str">
        <f>IFERROR(__xludf.DUMMYFUNCTION("""COMPUTED_VALUE"""),"50HP")</f>
        <v>50HP</v>
      </c>
      <c r="I200" s="1076" t="str">
        <f>IFERROR(__xludf.DUMMYFUNCTION("""COMPUTED_VALUE"""),"C000083")</f>
        <v>C000083</v>
      </c>
      <c r="J200" s="1076" t="str">
        <f>IFERROR(__xludf.DUMMYFUNCTION("""COMPUTED_VALUE"""),"CCN")</f>
        <v>CCN</v>
      </c>
      <c r="K200" s="1076">
        <f>IFERROR(__xludf.DUMMYFUNCTION("""COMPUTED_VALUE"""),2.5)</f>
        <v>2.5</v>
      </c>
      <c r="L200" s="1076" t="str">
        <f>IFERROR(__xludf.DUMMYFUNCTION("""COMPUTED_VALUE"""),"KLH")</f>
        <v>KLH</v>
      </c>
    </row>
    <row r="201" customHeight="1" spans="1:12">
      <c r="A201" s="1087" t="str">
        <f>IFERROR(__xludf.DUMMYFUNCTION("""COMPUTED_VALUE"""),"XD3-MKE-004")</f>
        <v>XD3-MKE-004</v>
      </c>
      <c r="B201" s="1075" t="str">
        <f>IFERROR(__xludf.DUMMYFUNCTION("""COMPUTED_VALUE"""),"Máy cày KAM50")</f>
        <v>Máy cày KAM50</v>
      </c>
      <c r="C201" s="1076" t="str">
        <f>IFERROR(__xludf.DUMMYFUNCTION("""COMPUTED_VALUE"""),"XN Chuối DP3")</f>
        <v>XN Chuối DP3</v>
      </c>
      <c r="D201" s="1076" t="str">
        <f>IFERROR(__xludf.DUMMYFUNCTION("""COMPUTED_VALUE"""),"THACO")</f>
        <v>THACO</v>
      </c>
      <c r="E201" s="1076" t="str">
        <f>IFERROR(__xludf.DUMMYFUNCTION("""COMPUTED_VALUE"""),"VIỆT NAM")</f>
        <v>VIỆT NAM</v>
      </c>
      <c r="F201" s="1076">
        <f>IFERROR(__xludf.DUMMYFUNCTION("""COMPUTED_VALUE"""),2018)</f>
        <v>2018</v>
      </c>
      <c r="G201" s="1076" t="str">
        <f>IFERROR(__xludf.DUMMYFUNCTION("""COMPUTED_VALUE"""),"KAM50")</f>
        <v>KAM50</v>
      </c>
      <c r="H201" s="1076" t="str">
        <f>IFERROR(__xludf.DUMMYFUNCTION("""COMPUTED_VALUE"""),"50HP")</f>
        <v>50HP</v>
      </c>
      <c r="I201" s="1076" t="str">
        <f>IFERROR(__xludf.DUMMYFUNCTION("""COMPUTED_VALUE"""),"C000070")</f>
        <v>C000070</v>
      </c>
      <c r="J201" s="1076" t="str">
        <f>IFERROR(__xludf.DUMMYFUNCTION("""COMPUTED_VALUE"""),"CCN")</f>
        <v>CCN</v>
      </c>
      <c r="K201" s="1076">
        <f>IFERROR(__xludf.DUMMYFUNCTION("""COMPUTED_VALUE"""),2.5)</f>
        <v>2.5</v>
      </c>
      <c r="L201" s="1076" t="str">
        <f>IFERROR(__xludf.DUMMYFUNCTION("""COMPUTED_VALUE"""),"KLH")</f>
        <v>KLH</v>
      </c>
    </row>
    <row r="202" customHeight="1" spans="1:12">
      <c r="A202" s="1087" t="str">
        <f>IFERROR(__xludf.DUMMYFUNCTION("""COMPUTED_VALUE"""),"XD3-MKE-005")</f>
        <v>XD3-MKE-005</v>
      </c>
      <c r="B202" s="1075" t="str">
        <f>IFERROR(__xludf.DUMMYFUNCTION("""COMPUTED_VALUE"""),"Máy cày KAM50")</f>
        <v>Máy cày KAM50</v>
      </c>
      <c r="C202" s="1076" t="str">
        <f>IFERROR(__xludf.DUMMYFUNCTION("""COMPUTED_VALUE"""),"XN Chuối DP3")</f>
        <v>XN Chuối DP3</v>
      </c>
      <c r="D202" s="1076" t="str">
        <f>IFERROR(__xludf.DUMMYFUNCTION("""COMPUTED_VALUE"""),"THACO")</f>
        <v>THACO</v>
      </c>
      <c r="E202" s="1076" t="str">
        <f>IFERROR(__xludf.DUMMYFUNCTION("""COMPUTED_VALUE"""),"VIỆT NAM")</f>
        <v>VIỆT NAM</v>
      </c>
      <c r="F202" s="1076">
        <f>IFERROR(__xludf.DUMMYFUNCTION("""COMPUTED_VALUE"""),2018)</f>
        <v>2018</v>
      </c>
      <c r="G202" s="1076" t="str">
        <f>IFERROR(__xludf.DUMMYFUNCTION("""COMPUTED_VALUE"""),"KAM50")</f>
        <v>KAM50</v>
      </c>
      <c r="H202" s="1076" t="str">
        <f>IFERROR(__xludf.DUMMYFUNCTION("""COMPUTED_VALUE"""),"50HP")</f>
        <v>50HP</v>
      </c>
      <c r="I202" s="1076" t="str">
        <f>IFERROR(__xludf.DUMMYFUNCTION("""COMPUTED_VALUE"""),"C000036")</f>
        <v>C000036</v>
      </c>
      <c r="J202" s="1076" t="str">
        <f>IFERROR(__xludf.DUMMYFUNCTION("""COMPUTED_VALUE"""),"CCN")</f>
        <v>CCN</v>
      </c>
      <c r="K202" s="1076">
        <f>IFERROR(__xludf.DUMMYFUNCTION("""COMPUTED_VALUE"""),2.5)</f>
        <v>2.5</v>
      </c>
      <c r="L202" s="1076" t="str">
        <f>IFERROR(__xludf.DUMMYFUNCTION("""COMPUTED_VALUE"""),"KLH")</f>
        <v>KLH</v>
      </c>
    </row>
    <row r="203" customHeight="1" spans="1:12">
      <c r="A203" s="1087" t="str">
        <f>IFERROR(__xludf.DUMMYFUNCTION("""COMPUTED_VALUE"""),"XD3-MKE-006")</f>
        <v>XD3-MKE-006</v>
      </c>
      <c r="B203" s="1075" t="str">
        <f>IFERROR(__xludf.DUMMYFUNCTION("""COMPUTED_VALUE"""),"Máy cày KAM50")</f>
        <v>Máy cày KAM50</v>
      </c>
      <c r="C203" s="1076" t="str">
        <f>IFERROR(__xludf.DUMMYFUNCTION("""COMPUTED_VALUE"""),"XN Chuối DP3")</f>
        <v>XN Chuối DP3</v>
      </c>
      <c r="D203" s="1076" t="str">
        <f>IFERROR(__xludf.DUMMYFUNCTION("""COMPUTED_VALUE"""),"THACO")</f>
        <v>THACO</v>
      </c>
      <c r="E203" s="1076" t="str">
        <f>IFERROR(__xludf.DUMMYFUNCTION("""COMPUTED_VALUE"""),"VIỆT NAM")</f>
        <v>VIỆT NAM</v>
      </c>
      <c r="F203" s="1076">
        <f>IFERROR(__xludf.DUMMYFUNCTION("""COMPUTED_VALUE"""),2018)</f>
        <v>2018</v>
      </c>
      <c r="G203" s="1076" t="str">
        <f>IFERROR(__xludf.DUMMYFUNCTION("""COMPUTED_VALUE"""),"KAM50")</f>
        <v>KAM50</v>
      </c>
      <c r="H203" s="1076" t="str">
        <f>IFERROR(__xludf.DUMMYFUNCTION("""COMPUTED_VALUE"""),"50HP")</f>
        <v>50HP</v>
      </c>
      <c r="I203" s="1076" t="str">
        <f>IFERROR(__xludf.DUMMYFUNCTION("""COMPUTED_VALUE"""),"C000013")</f>
        <v>C000013</v>
      </c>
      <c r="J203" s="1076" t="str">
        <f>IFERROR(__xludf.DUMMYFUNCTION("""COMPUTED_VALUE"""),"CCN")</f>
        <v>CCN</v>
      </c>
      <c r="K203" s="1076">
        <f>IFERROR(__xludf.DUMMYFUNCTION("""COMPUTED_VALUE"""),2.5)</f>
        <v>2.5</v>
      </c>
      <c r="L203" s="1076" t="str">
        <f>IFERROR(__xludf.DUMMYFUNCTION("""COMPUTED_VALUE"""),"KLH")</f>
        <v>KLH</v>
      </c>
    </row>
    <row r="204" customHeight="1" spans="1:12">
      <c r="A204" s="1087" t="str">
        <f>IFERROR(__xludf.DUMMYFUNCTION("""COMPUTED_VALUE"""),"XD3-MĐA-002")</f>
        <v>XD3-MĐA-002</v>
      </c>
      <c r="B204" s="1075" t="str">
        <f>IFERROR(__xludf.DUMMYFUNCTION("""COMPUTED_VALUE"""),"Máy đào KOMATSU bánh xích gàu 0.3m3")</f>
        <v>Máy đào KOMATSU bánh xích gàu 0.3m3</v>
      </c>
      <c r="C204" s="1076" t="str">
        <f>IFERROR(__xludf.DUMMYFUNCTION("""COMPUTED_VALUE"""),"XN Chuối DP3")</f>
        <v>XN Chuối DP3</v>
      </c>
      <c r="D204" s="1076" t="str">
        <f>IFERROR(__xludf.DUMMYFUNCTION("""COMPUTED_VALUE"""),"KOMATSU")</f>
        <v>KOMATSU</v>
      </c>
      <c r="E204" s="1076" t="str">
        <f>IFERROR(__xludf.DUMMYFUNCTION("""COMPUTED_VALUE"""),"NHẬT BẢN")</f>
        <v>NHẬT BẢN</v>
      </c>
      <c r="F204" s="1076">
        <f>IFERROR(__xludf.DUMMYFUNCTION("""COMPUTED_VALUE"""),2006)</f>
        <v>2006</v>
      </c>
      <c r="G204" s="1076" t="str">
        <f>IFERROR(__xludf.DUMMYFUNCTION("""COMPUTED_VALUE"""),"PC40MR-3")</f>
        <v>PC40MR-3</v>
      </c>
      <c r="H204" s="1076" t="str">
        <f>IFERROR(__xludf.DUMMYFUNCTION("""COMPUTED_VALUE"""),"39HP")</f>
        <v>39HP</v>
      </c>
      <c r="I204" s="1076" t="str">
        <f>IFERROR(__xludf.DUMMYFUNCTION("""COMPUTED_VALUE"""),"8608")</f>
        <v>8608</v>
      </c>
      <c r="J204" s="1076" t="str">
        <f>IFERROR(__xludf.DUMMYFUNCTION("""COMPUTED_VALUE"""),"CCN")</f>
        <v>CCN</v>
      </c>
      <c r="K204" s="1076">
        <f>IFERROR(__xludf.DUMMYFUNCTION("""COMPUTED_VALUE"""),4)</f>
        <v>4</v>
      </c>
      <c r="L204" s="1076" t="str">
        <f>IFERROR(__xludf.DUMMYFUNCTION("""COMPUTED_VALUE"""),"KLH")</f>
        <v>KLH</v>
      </c>
    </row>
    <row r="205" customHeight="1" spans="1:12">
      <c r="A205" s="1087" t="str">
        <f>IFERROR(__xludf.DUMMYFUNCTION("""COMPUTED_VALUE"""),"XD3-MKE-008")</f>
        <v>XD3-MKE-008</v>
      </c>
      <c r="B205" s="1075" t="str">
        <f>IFERROR(__xludf.DUMMYFUNCTION("""COMPUTED_VALUE"""),"Máy cày KAM50")</f>
        <v>Máy cày KAM50</v>
      </c>
      <c r="C205" s="1076" t="str">
        <f>IFERROR(__xludf.DUMMYFUNCTION("""COMPUTED_VALUE"""),"XN Chuối DP3")</f>
        <v>XN Chuối DP3</v>
      </c>
      <c r="D205" s="1076" t="str">
        <f>IFERROR(__xludf.DUMMYFUNCTION("""COMPUTED_VALUE"""),"THACO")</f>
        <v>THACO</v>
      </c>
      <c r="E205" s="1076" t="str">
        <f>IFERROR(__xludf.DUMMYFUNCTION("""COMPUTED_VALUE"""),"VIỆT NAM")</f>
        <v>VIỆT NAM</v>
      </c>
      <c r="F205" s="1076">
        <f>IFERROR(__xludf.DUMMYFUNCTION("""COMPUTED_VALUE"""),2018)</f>
        <v>2018</v>
      </c>
      <c r="G205" s="1076" t="str">
        <f>IFERROR(__xludf.DUMMYFUNCTION("""COMPUTED_VALUE"""),"KAM50")</f>
        <v>KAM50</v>
      </c>
      <c r="H205" s="1076" t="str">
        <f>IFERROR(__xludf.DUMMYFUNCTION("""COMPUTED_VALUE"""),"50HP")</f>
        <v>50HP</v>
      </c>
      <c r="I205" s="1076" t="str">
        <f>IFERROR(__xludf.DUMMYFUNCTION("""COMPUTED_VALUE"""),"C000084")</f>
        <v>C000084</v>
      </c>
      <c r="J205" s="1076" t="str">
        <f>IFERROR(__xludf.DUMMYFUNCTION("""COMPUTED_VALUE"""),"CCN")</f>
        <v>CCN</v>
      </c>
      <c r="K205" s="1076">
        <f>IFERROR(__xludf.DUMMYFUNCTION("""COMPUTED_VALUE"""),2)</f>
        <v>2</v>
      </c>
      <c r="L205" s="1076" t="str">
        <f>IFERROR(__xludf.DUMMYFUNCTION("""COMPUTED_VALUE"""),"KLH")</f>
        <v>KLH</v>
      </c>
    </row>
    <row r="206" customHeight="1" spans="1:12">
      <c r="A206" s="1087" t="str">
        <f>IFERROR(__xludf.DUMMYFUNCTION("""COMPUTED_VALUE"""),"XD3-MKE-010")</f>
        <v>XD3-MKE-010</v>
      </c>
      <c r="B206" s="1075" t="str">
        <f>IFERROR(__xludf.DUMMYFUNCTION("""COMPUTED_VALUE"""),"Máy cày L4508")</f>
        <v>Máy cày L4508</v>
      </c>
      <c r="C206" s="1076" t="str">
        <f>IFERROR(__xludf.DUMMYFUNCTION("""COMPUTED_VALUE"""),"XN Chuối DP3")</f>
        <v>XN Chuối DP3</v>
      </c>
      <c r="D206" s="1076" t="str">
        <f>IFERROR(__xludf.DUMMYFUNCTION("""COMPUTED_VALUE"""),"KUBOTA")</f>
        <v>KUBOTA</v>
      </c>
      <c r="E206" s="1076" t="str">
        <f>IFERROR(__xludf.DUMMYFUNCTION("""COMPUTED_VALUE"""),"NHẬT BẢN")</f>
        <v>NHẬT BẢN</v>
      </c>
      <c r="F206" s="1076">
        <f>IFERROR(__xludf.DUMMYFUNCTION("""COMPUTED_VALUE"""),2019)</f>
        <v>2019</v>
      </c>
      <c r="G206" s="1076" t="str">
        <f>IFERROR(__xludf.DUMMYFUNCTION("""COMPUTED_VALUE"""),"L4508")</f>
        <v>L4508</v>
      </c>
      <c r="H206" s="1076" t="str">
        <f>IFERROR(__xludf.DUMMYFUNCTION("""COMPUTED_VALUE"""),"45HP")</f>
        <v>45HP</v>
      </c>
      <c r="I206" s="1076" t="str">
        <f>IFERROR(__xludf.DUMMYFUNCTION("""COMPUTED_VALUE"""),"14716")</f>
        <v>14716</v>
      </c>
      <c r="J206" s="1076" t="str">
        <f>IFERROR(__xludf.DUMMYFUNCTION("""COMPUTED_VALUE"""),"CCN")</f>
        <v>CCN</v>
      </c>
      <c r="K206" s="1076">
        <f>IFERROR(__xludf.DUMMYFUNCTION("""COMPUTED_VALUE"""),2.5)</f>
        <v>2.5</v>
      </c>
      <c r="L206" s="1076" t="str">
        <f>IFERROR(__xludf.DUMMYFUNCTION("""COMPUTED_VALUE"""),"KLH")</f>
        <v>KLH</v>
      </c>
    </row>
    <row r="207" customHeight="1" spans="1:12">
      <c r="A207" s="1087" t="str">
        <f>IFERROR(__xludf.DUMMYFUNCTION("""COMPUTED_VALUE"""),"XD3-XPT-002")</f>
        <v>XD3-XPT-002</v>
      </c>
      <c r="B207" s="1075" t="str">
        <f>IFERROR(__xludf.DUMMYFUNCTION("""COMPUTED_VALUE"""),"Xe phun thuốc FC950")</f>
        <v>Xe phun thuốc FC950</v>
      </c>
      <c r="C207" s="1076" t="str">
        <f>IFERROR(__xludf.DUMMYFUNCTION("""COMPUTED_VALUE"""),"XN Chuối DP3")</f>
        <v>XN Chuối DP3</v>
      </c>
      <c r="D207" s="1076" t="str">
        <f>IFERROR(__xludf.DUMMYFUNCTION("""COMPUTED_VALUE"""),"THACO FORLAND")</f>
        <v>THACO FORLAND</v>
      </c>
      <c r="E207" s="1076" t="str">
        <f>IFERROR(__xludf.DUMMYFUNCTION("""COMPUTED_VALUE"""),"VIỆT NAM")</f>
        <v>VIỆT NAM</v>
      </c>
      <c r="F207" s="1076">
        <f>IFERROR(__xludf.DUMMYFUNCTION("""COMPUTED_VALUE"""),2018)</f>
        <v>2018</v>
      </c>
      <c r="G207" s="1076" t="str">
        <f>IFERROR(__xludf.DUMMYFUNCTION("""COMPUTED_VALUE"""),"FC950")</f>
        <v>FC950</v>
      </c>
      <c r="H207" s="1076" t="str">
        <f>IFERROR(__xludf.DUMMYFUNCTION("""COMPUTED_VALUE"""),"160HP")</f>
        <v>160HP</v>
      </c>
      <c r="I207" s="1076" t="str">
        <f>IFERROR(__xludf.DUMMYFUNCTION("""COMPUTED_VALUE"""),"RNHA16FYAJC093491")</f>
        <v>RNHA16FYAJC093491</v>
      </c>
      <c r="J207" s="1076" t="str">
        <f>IFERROR(__xludf.DUMMYFUNCTION("""COMPUTED_VALUE"""),"J00043")</f>
        <v>J00043</v>
      </c>
      <c r="K207" s="1076">
        <f>IFERROR(__xludf.DUMMYFUNCTION("""COMPUTED_VALUE"""),5)</f>
        <v>5</v>
      </c>
      <c r="L207" s="1076" t="str">
        <f>IFERROR(__xludf.DUMMYFUNCTION("""COMPUTED_VALUE"""),"KLH")</f>
        <v>KLH</v>
      </c>
    </row>
    <row r="208" customHeight="1" spans="1:12">
      <c r="A208" s="1087" t="str">
        <f>IFERROR(__xludf.DUMMYFUNCTION("""COMPUTED_VALUE"""),"XD3-TCD-001")</f>
        <v>XD3-TCD-001</v>
      </c>
      <c r="B208" s="1075" t="str">
        <f>IFERROR(__xludf.DUMMYFUNCTION("""COMPUTED_VALUE"""),"Xe tải chuyên dụng (cabin đôi)")</f>
        <v>Xe tải chuyên dụng (cabin đôi)</v>
      </c>
      <c r="C208" s="1076" t="str">
        <f>IFERROR(__xludf.DUMMYFUNCTION("""COMPUTED_VALUE"""),"XN Chuối DP3")</f>
        <v>XN Chuối DP3</v>
      </c>
      <c r="D208" s="1076" t="str">
        <f>IFERROR(__xludf.DUMMYFUNCTION("""COMPUTED_VALUE"""),"THACO KIA")</f>
        <v>THACO KIA</v>
      </c>
      <c r="E208" s="1076" t="str">
        <f>IFERROR(__xludf.DUMMYFUNCTION("""COMPUTED_VALUE"""),"VIỆT NAM")</f>
        <v>VIỆT NAM</v>
      </c>
      <c r="F208" s="1076">
        <f>IFERROR(__xludf.DUMMYFUNCTION("""COMPUTED_VALUE"""),2021)</f>
        <v>2021</v>
      </c>
      <c r="G208" s="1076" t="str">
        <f>IFERROR(__xludf.DUMMYFUNCTION("""COMPUTED_VALUE"""),"FRONTIER K200SD")</f>
        <v>FRONTIER K200SD</v>
      </c>
      <c r="H208" s="1076" t="str">
        <f>IFERROR(__xludf.DUMMYFUNCTION("""COMPUTED_VALUE"""),"130HP")</f>
        <v>130HP</v>
      </c>
      <c r="I208" s="1076" t="str">
        <f>IFERROR(__xludf.DUMMYFUNCTION("""COMPUTED_VALUE"""),"RNHF39KHBMT045629")</f>
        <v>RNHF39KHBMT045629</v>
      </c>
      <c r="J208" s="1076" t="str">
        <f>IFERROR(__xludf.DUMMYFUNCTION("""COMPUTED_VALUE"""),"MD540070D4CB")</f>
        <v>MD540070D4CB</v>
      </c>
      <c r="K208" s="1076"/>
      <c r="L208" s="1076" t="str">
        <f>IFERROR(__xludf.DUMMYFUNCTION("""COMPUTED_VALUE"""),"KLH")</f>
        <v>KLH</v>
      </c>
    </row>
    <row r="209" customHeight="1" spans="1:12">
      <c r="A209" s="1088" t="str">
        <f>IFERROR(__xludf.DUMMYFUNCTION("""COMPUTED_VALUE"""),"XD3-XNA-001")</f>
        <v>XD3-XNA-001</v>
      </c>
      <c r="B209" s="1075" t="str">
        <f>IFERROR(__xludf.DUMMYFUNCTION("""COMPUTED_VALUE"""),"Xe nâng tay điện 1.5 tấn")</f>
        <v>Xe nâng tay điện 1.5 tấn</v>
      </c>
      <c r="C209" s="1076" t="str">
        <f>IFERROR(__xludf.DUMMYFUNCTION("""COMPUTED_VALUE"""),"XN Chuối DP3")</f>
        <v>XN Chuối DP3</v>
      </c>
      <c r="D209" s="1076" t="str">
        <f>IFERROR(__xludf.DUMMYFUNCTION("""COMPUTED_VALUE"""),"HELI")</f>
        <v>HELI</v>
      </c>
      <c r="E209" s="1076" t="str">
        <f>IFERROR(__xludf.DUMMYFUNCTION("""COMPUTED_VALUE"""),"TRUNG QUỐC")</f>
        <v>TRUNG QUỐC</v>
      </c>
      <c r="F209" s="1076">
        <f>IFERROR(__xludf.DUMMYFUNCTION("""COMPUTED_VALUE"""),2022)</f>
        <v>2022</v>
      </c>
      <c r="G209" s="1076" t="str">
        <f>IFERROR(__xludf.DUMMYFUNCTION("""COMPUTED_VALUE"""),"CDD15J")</f>
        <v>CDD15J</v>
      </c>
      <c r="H209" s="1076" t="str">
        <f>IFERROR(__xludf.DUMMYFUNCTION("""COMPUTED_VALUE"""),"24V-1.5T")</f>
        <v>24V-1.5T</v>
      </c>
      <c r="I209" s="1076" t="str">
        <f>IFERROR(__xludf.DUMMYFUNCTION("""COMPUTED_VALUE"""),"08015JM7921")</f>
        <v>08015JM7921</v>
      </c>
      <c r="J209" s="1076" t="str">
        <f>IFERROR(__xludf.DUMMYFUNCTION("""COMPUTED_VALUE"""),"NIL")</f>
        <v>NIL</v>
      </c>
      <c r="K209" s="1076">
        <f>IFERROR(__xludf.DUMMYFUNCTION("""COMPUTED_VALUE"""),0)</f>
        <v>0</v>
      </c>
      <c r="L209" s="1076" t="str">
        <f>IFERROR(__xludf.DUMMYFUNCTION("""COMPUTED_VALUE"""),"KLH")</f>
        <v>KLH</v>
      </c>
    </row>
    <row r="210" customHeight="1" spans="1:12">
      <c r="A210" s="1087" t="str">
        <f>IFERROR(__xludf.DUMMYFUNCTION("""COMPUTED_VALUE"""),"XD3-XNA-002")</f>
        <v>XD3-XNA-002</v>
      </c>
      <c r="B210" s="1075" t="str">
        <f>IFERROR(__xludf.DUMMYFUNCTION("""COMPUTED_VALUE"""),"Xe nâng điện 1.5 tấn")</f>
        <v>Xe nâng điện 1.5 tấn</v>
      </c>
      <c r="C210" s="1076" t="str">
        <f>IFERROR(__xludf.DUMMYFUNCTION("""COMPUTED_VALUE"""),"XN Chuối DP3")</f>
        <v>XN Chuối DP3</v>
      </c>
      <c r="D210" s="1076" t="str">
        <f>IFERROR(__xludf.DUMMYFUNCTION("""COMPUTED_VALUE"""),"KOMATSU")</f>
        <v>KOMATSU</v>
      </c>
      <c r="E210" s="1076" t="str">
        <f>IFERROR(__xludf.DUMMYFUNCTION("""COMPUTED_VALUE"""),"NHẬT BẢN")</f>
        <v>NHẬT BẢN</v>
      </c>
      <c r="F210" s="1076">
        <f>IFERROR(__xludf.DUMMYFUNCTION("""COMPUTED_VALUE"""),2008)</f>
        <v>2008</v>
      </c>
      <c r="G210" s="1076" t="str">
        <f>IFERROR(__xludf.DUMMYFUNCTION("""COMPUTED_VALUE"""),"FB15EX-11")</f>
        <v>FB15EX-11</v>
      </c>
      <c r="H210" s="1076"/>
      <c r="I210" s="1076" t="str">
        <f>IFERROR(__xludf.DUMMYFUNCTION("""COMPUTED_VALUE"""),"809168")</f>
        <v>809168</v>
      </c>
      <c r="J210" s="1076" t="str">
        <f>IFERROR(__xludf.DUMMYFUNCTION("""COMPUTED_VALUE"""),"2008-7")</f>
        <v>2008-7</v>
      </c>
      <c r="K210" s="1076"/>
      <c r="L210" s="1076" t="str">
        <f>IFERROR(__xludf.DUMMYFUNCTION("""COMPUTED_VALUE"""),"KLH")</f>
        <v>KLH</v>
      </c>
    </row>
    <row r="211" customHeight="1" spans="1:12">
      <c r="A211" s="1082" t="str">
        <f>IFERROR(__xludf.DUMMYFUNCTION("""COMPUTED_VALUE"""),"XD3-XNA-003")</f>
        <v>XD3-XNA-003</v>
      </c>
      <c r="B211" s="1075" t="str">
        <f>IFERROR(__xludf.DUMMYFUNCTION("""COMPUTED_VALUE"""),"Xe nâng điện 1.5 tấn")</f>
        <v>Xe nâng điện 1.5 tấn</v>
      </c>
      <c r="C211" s="1076" t="str">
        <f>IFERROR(__xludf.DUMMYFUNCTION("""COMPUTED_VALUE"""),"XN Chuối DP3")</f>
        <v>XN Chuối DP3</v>
      </c>
      <c r="D211" s="1076" t="str">
        <f>IFERROR(__xludf.DUMMYFUNCTION("""COMPUTED_VALUE"""),"LOVOL")</f>
        <v>LOVOL</v>
      </c>
      <c r="E211" s="1076" t="str">
        <f>IFERROR(__xludf.DUMMYFUNCTION("""COMPUTED_VALUE"""),"TRUNG QUỐC")</f>
        <v>TRUNG QUỐC</v>
      </c>
      <c r="F211" s="1076">
        <f>IFERROR(__xludf.DUMMYFUNCTION("""COMPUTED_VALUE"""),2025)</f>
        <v>2025</v>
      </c>
      <c r="G211" s="1076" t="str">
        <f>IFERROR(__xludf.DUMMYFUNCTION("""COMPUTED_VALUE"""),"FF15E")</f>
        <v>FF15E</v>
      </c>
      <c r="H211" s="1076" t="str">
        <f>IFERROR(__xludf.DUMMYFUNCTION("""COMPUTED_VALUE"""),"12HP")</f>
        <v>12HP</v>
      </c>
      <c r="I211" s="1076" t="str">
        <f>IFERROR(__xludf.DUMMYFUNCTION("""COMPUTED_VALUE"""),"C11292P50328")</f>
        <v>C11292P50328</v>
      </c>
      <c r="J211" s="1076" t="str">
        <f>IFERROR(__xludf.DUMMYFUNCTION("""COMPUTED_VALUE"""),"JB253801347")</f>
        <v>JB253801347</v>
      </c>
      <c r="K211" s="1076"/>
      <c r="L211" s="1076" t="str">
        <f>IFERROR(__xludf.DUMMYFUNCTION("""COMPUTED_VALUE"""),"KLH")</f>
        <v>KLH</v>
      </c>
    </row>
    <row r="212" customHeight="1" spans="1:12">
      <c r="A212" s="1082" t="str">
        <f>IFERROR(__xludf.DUMMYFUNCTION("""COMPUTED_VALUE"""),"XD3-XNA-004")</f>
        <v>XD3-XNA-004</v>
      </c>
      <c r="B212" s="1075" t="str">
        <f>IFERROR(__xludf.DUMMYFUNCTION("""COMPUTED_VALUE"""),"Xe nâng điện 2.5 tấn")</f>
        <v>Xe nâng điện 2.5 tấn</v>
      </c>
      <c r="C212" s="1076" t="str">
        <f>IFERROR(__xludf.DUMMYFUNCTION("""COMPUTED_VALUE"""),"XN Chuối DP3")</f>
        <v>XN Chuối DP3</v>
      </c>
      <c r="D212" s="1076" t="str">
        <f>IFERROR(__xludf.DUMMYFUNCTION("""COMPUTED_VALUE"""),"LOVOL")</f>
        <v>LOVOL</v>
      </c>
      <c r="E212" s="1076" t="str">
        <f>IFERROR(__xludf.DUMMYFUNCTION("""COMPUTED_VALUE"""),"TRUNG QUỐC")</f>
        <v>TRUNG QUỐC</v>
      </c>
      <c r="F212" s="1076">
        <f>IFERROR(__xludf.DUMMYFUNCTION("""COMPUTED_VALUE"""),2026)</f>
        <v>2026</v>
      </c>
      <c r="G212" s="1076" t="str">
        <f>IFERROR(__xludf.DUMMYFUNCTION("""COMPUTED_VALUE"""),"FF25E")</f>
        <v>FF25E</v>
      </c>
      <c r="H212" s="1076" t="str">
        <f>IFERROR(__xludf.DUMMYFUNCTION("""COMPUTED_VALUE"""),"13,68 HP")</f>
        <v>13,68 HP</v>
      </c>
      <c r="I212" s="1076" t="str">
        <f>IFERROR(__xludf.DUMMYFUNCTION("""COMPUTED_VALUE"""),"C31293R50033")</f>
        <v>C31293R50033</v>
      </c>
      <c r="J212" s="1076"/>
      <c r="K212" s="1076"/>
      <c r="L212" s="1076" t="str">
        <f>IFERROR(__xludf.DUMMYFUNCTION("""COMPUTED_VALUE"""),"KLH")</f>
        <v>KLH</v>
      </c>
    </row>
    <row r="213" customHeight="1" spans="1:12">
      <c r="A213" s="1082" t="str">
        <f>IFERROR(__xludf.DUMMYFUNCTION("""COMPUTED_VALUE"""),"XD3-XTA-003")</f>
        <v>XD3-XTA-003</v>
      </c>
      <c r="B213" s="1075" t="str">
        <f>IFERROR(__xludf.DUMMYFUNCTION("""COMPUTED_VALUE"""),"Xe ben Forland FD990-4WDXTH4-5T")</f>
        <v>Xe ben Forland FD990-4WDXTH4-5T</v>
      </c>
      <c r="C213" s="1076" t="str">
        <f>IFERROR(__xludf.DUMMYFUNCTION("""COMPUTED_VALUE"""),"XN Chuối DP3")</f>
        <v>XN Chuối DP3</v>
      </c>
      <c r="D213" s="1076" t="str">
        <f>IFERROR(__xludf.DUMMYFUNCTION("""COMPUTED_VALUE"""),"FORLAND")</f>
        <v>FORLAND</v>
      </c>
      <c r="E213" s="1076" t="str">
        <f>IFERROR(__xludf.DUMMYFUNCTION("""COMPUTED_VALUE"""),"Việt Nam")</f>
        <v>Việt Nam</v>
      </c>
      <c r="F213" s="1076">
        <f>IFERROR(__xludf.DUMMYFUNCTION("""COMPUTED_VALUE"""),2024)</f>
        <v>2024</v>
      </c>
      <c r="G213" s="1076" t="str">
        <f>IFERROR(__xludf.DUMMYFUNCTION("""COMPUTED_VALUE""")," FD990-4WD")</f>
        <v> FD990-4WD</v>
      </c>
      <c r="H213" s="1076" t="str">
        <f>IFERROR(__xludf.DUMMYFUNCTION("""COMPUTED_VALUE"""),"94HP")</f>
        <v>94HP</v>
      </c>
      <c r="I213" s="1076" t="str">
        <f>IFERROR(__xludf.DUMMYFUNCTION("""COMPUTED_VALUE"""),"RNHF99FACRT092725")</f>
        <v>RNHF99FACRT092725</v>
      </c>
      <c r="J213" s="1076" t="str">
        <f>IFERROR(__xludf.DUMMYFUNCTION("""COMPUTED_VALUE"""),"B0576973")</f>
        <v>B0576973</v>
      </c>
      <c r="K213" s="1076">
        <f>IFERROR(__xludf.DUMMYFUNCTION("""COMPUTED_VALUE"""),0.33)</f>
        <v>0.33</v>
      </c>
      <c r="L213" s="1076" t="str">
        <f>IFERROR(__xludf.DUMMYFUNCTION("""COMPUTED_VALUE"""),"KLH")</f>
        <v>KLH</v>
      </c>
    </row>
    <row r="214" customHeight="1" spans="1:12">
      <c r="A214" s="1086" t="str">
        <f>IFERROR(__xludf.DUMMYFUNCTION("""COMPUTED_VALUE"""),"XD3-XTA-004")</f>
        <v>XD3-XTA-004</v>
      </c>
      <c r="B214" s="1075" t="str">
        <f>IFERROR(__xludf.DUMMYFUNCTION("""COMPUTED_VALUE"""),"Xe ben Forland FD990-4WDXTH4-5T")</f>
        <v>Xe ben Forland FD990-4WDXTH4-5T</v>
      </c>
      <c r="C214" s="1076" t="str">
        <f>IFERROR(__xludf.DUMMYFUNCTION("""COMPUTED_VALUE"""),"XN Chuối DP3")</f>
        <v>XN Chuối DP3</v>
      </c>
      <c r="D214" s="1076" t="str">
        <f>IFERROR(__xludf.DUMMYFUNCTION("""COMPUTED_VALUE"""),"FORLAND")</f>
        <v>FORLAND</v>
      </c>
      <c r="E214" s="1076" t="str">
        <f>IFERROR(__xludf.DUMMYFUNCTION("""COMPUTED_VALUE"""),"Việt Nam")</f>
        <v>Việt Nam</v>
      </c>
      <c r="F214" s="1076">
        <f>IFERROR(__xludf.DUMMYFUNCTION("""COMPUTED_VALUE"""),2024)</f>
        <v>2024</v>
      </c>
      <c r="G214" s="1076" t="str">
        <f>IFERROR(__xludf.DUMMYFUNCTION("""COMPUTED_VALUE""")," FD990-4WD")</f>
        <v> FD990-4WD</v>
      </c>
      <c r="H214" s="1076" t="str">
        <f>IFERROR(__xludf.DUMMYFUNCTION("""COMPUTED_VALUE"""),"94HP")</f>
        <v>94HP</v>
      </c>
      <c r="I214" s="1076" t="str">
        <f>IFERROR(__xludf.DUMMYFUNCTION("""COMPUTED_VALUE"""),"RNHF99FACRT090615")</f>
        <v>RNHF99FACRT090615</v>
      </c>
      <c r="J214" s="1076" t="str">
        <f>IFERROR(__xludf.DUMMYFUNCTION("""COMPUTED_VALUE"""),"B0576944")</f>
        <v>B0576944</v>
      </c>
      <c r="K214" s="1076">
        <f>IFERROR(__xludf.DUMMYFUNCTION("""COMPUTED_VALUE"""),0.33)</f>
        <v>0.33</v>
      </c>
      <c r="L214" s="1076" t="str">
        <f>IFERROR(__xludf.DUMMYFUNCTION("""COMPUTED_VALUE"""),"KLH")</f>
        <v>KLH</v>
      </c>
    </row>
    <row r="215" customHeight="1" spans="1:12">
      <c r="A215" s="1086" t="str">
        <f>IFERROR(__xludf.DUMMYFUNCTION("""COMPUTED_VALUE"""),"XD3-XTA-005")</f>
        <v>XD3-XTA-005</v>
      </c>
      <c r="B215" s="1075" t="str">
        <f>IFERROR(__xludf.DUMMYFUNCTION("""COMPUTED_VALUE"""),"Xe ben Forland FD990-4WDXTH4-5T")</f>
        <v>Xe ben Forland FD990-4WDXTH4-5T</v>
      </c>
      <c r="C215" s="1076" t="str">
        <f>IFERROR(__xludf.DUMMYFUNCTION("""COMPUTED_VALUE"""),"XN Chuối DP3")</f>
        <v>XN Chuối DP3</v>
      </c>
      <c r="D215" s="1076" t="str">
        <f>IFERROR(__xludf.DUMMYFUNCTION("""COMPUTED_VALUE"""),"THACO FORLAND")</f>
        <v>THACO FORLAND</v>
      </c>
      <c r="E215" s="1076" t="str">
        <f>IFERROR(__xludf.DUMMYFUNCTION("""COMPUTED_VALUE"""),"VIỆT NAM")</f>
        <v>VIỆT NAM</v>
      </c>
      <c r="F215" s="1076">
        <f>IFERROR(__xludf.DUMMYFUNCTION("""COMPUTED_VALUE"""),2023)</f>
        <v>2023</v>
      </c>
      <c r="G215" s="1076" t="str">
        <f>IFERROR(__xludf.DUMMYFUNCTION("""COMPUTED_VALUE""")," FD990-4WD")</f>
        <v> FD990-4WD</v>
      </c>
      <c r="H215" s="1076" t="str">
        <f>IFERROR(__xludf.DUMMYFUNCTION("""COMPUTED_VALUE"""),"100HP")</f>
        <v>100HP</v>
      </c>
      <c r="I215" s="1076" t="str">
        <f>IFERROR(__xludf.DUMMYFUNCTION("""COMPUTED_VALUE"""),"RNHF99FACRT087863")</f>
        <v>RNHF99FACRT087863</v>
      </c>
      <c r="J215" s="1076" t="str">
        <f>IFERROR(__xludf.DUMMYFUNCTION("""COMPUTED_VALUE"""),"4DW9395E4B0577289")</f>
        <v>4DW9395E4B0577289</v>
      </c>
      <c r="K215" s="1076">
        <f>IFERROR(__xludf.DUMMYFUNCTION("""COMPUTED_VALUE"""),0.33)</f>
        <v>0.33</v>
      </c>
      <c r="L215" s="1076" t="str">
        <f>IFERROR(__xludf.DUMMYFUNCTION("""COMPUTED_VALUE"""),"KLH")</f>
        <v>KLH</v>
      </c>
    </row>
    <row r="216" customHeight="1" spans="1:12">
      <c r="A216" s="1086" t="str">
        <f>IFERROR(__xludf.DUMMYFUNCTION("""COMPUTED_VALUE"""),"XD3-XTA-006")</f>
        <v>XD3-XTA-006</v>
      </c>
      <c r="B216" s="1075" t="str">
        <f>IFERROR(__xludf.DUMMYFUNCTION("""COMPUTED_VALUE"""),"Xe ben Forland FD990-4WDXTH4-5T")</f>
        <v>Xe ben Forland FD990-4WDXTH4-5T</v>
      </c>
      <c r="C216" s="1076" t="str">
        <f>IFERROR(__xludf.DUMMYFUNCTION("""COMPUTED_VALUE"""),"XN Chuối DP3")</f>
        <v>XN Chuối DP3</v>
      </c>
      <c r="D216" s="1076" t="str">
        <f>IFERROR(__xludf.DUMMYFUNCTION("""COMPUTED_VALUE"""),"THACO FORLAND")</f>
        <v>THACO FORLAND</v>
      </c>
      <c r="E216" s="1076" t="str">
        <f>IFERROR(__xludf.DUMMYFUNCTION("""COMPUTED_VALUE"""),"VIỆT NAM")</f>
        <v>VIỆT NAM</v>
      </c>
      <c r="F216" s="1076">
        <f>IFERROR(__xludf.DUMMYFUNCTION("""COMPUTED_VALUE"""),2023)</f>
        <v>2023</v>
      </c>
      <c r="G216" s="1076" t="str">
        <f>IFERROR(__xludf.DUMMYFUNCTION("""COMPUTED_VALUE""")," FD990-4WD")</f>
        <v> FD990-4WD</v>
      </c>
      <c r="H216" s="1076" t="str">
        <f>IFERROR(__xludf.DUMMYFUNCTION("""COMPUTED_VALUE"""),"100HP")</f>
        <v>100HP</v>
      </c>
      <c r="I216" s="1076" t="str">
        <f>IFERROR(__xludf.DUMMYFUNCTION("""COMPUTED_VALUE"""),"RNHF99FACRT087864")</f>
        <v>RNHF99FACRT087864</v>
      </c>
      <c r="J216" s="1076" t="str">
        <f>IFERROR(__xludf.DUMMYFUNCTION("""COMPUTED_VALUE"""),"4DW9395E4B0577291")</f>
        <v>4DW9395E4B0577291</v>
      </c>
      <c r="K216" s="1076">
        <f>IFERROR(__xludf.DUMMYFUNCTION("""COMPUTED_VALUE"""),0.33)</f>
        <v>0.33</v>
      </c>
      <c r="L216" s="1076" t="str">
        <f>IFERROR(__xludf.DUMMYFUNCTION("""COMPUTED_VALUE"""),"KLH")</f>
        <v>KLH</v>
      </c>
    </row>
    <row r="217" customHeight="1" spans="1:12">
      <c r="A217" s="1086" t="str">
        <f>IFERROR(__xludf.DUMMYFUNCTION("""COMPUTED_VALUE"""),"XD3-XTA-008")</f>
        <v>XD3-XTA-008</v>
      </c>
      <c r="B217" s="1075" t="str">
        <f>IFERROR(__xludf.DUMMYFUNCTION("""COMPUTED_VALUE"""),"Xe ben FD850")</f>
        <v>Xe ben FD850</v>
      </c>
      <c r="C217" s="1076" t="str">
        <f>IFERROR(__xludf.DUMMYFUNCTION("""COMPUTED_VALUE"""),"XN Chuối DP3")</f>
        <v>XN Chuối DP3</v>
      </c>
      <c r="D217" s="1076" t="str">
        <f>IFERROR(__xludf.DUMMYFUNCTION("""COMPUTED_VALUE"""),"THACO FORLAND")</f>
        <v>THACO FORLAND</v>
      </c>
      <c r="E217" s="1076" t="str">
        <f>IFERROR(__xludf.DUMMYFUNCTION("""COMPUTED_VALUE"""),"VIỆT NAM")</f>
        <v>VIỆT NAM</v>
      </c>
      <c r="F217" s="1076">
        <f>IFERROR(__xludf.DUMMYFUNCTION("""COMPUTED_VALUE"""),2010)</f>
        <v>2010</v>
      </c>
      <c r="G217" s="1076" t="str">
        <f>IFERROR(__xludf.DUMMYFUNCTION("""COMPUTED_VALUE"""),"FD850-8T")</f>
        <v>FD850-8T</v>
      </c>
      <c r="H217" s="1076" t="str">
        <f>IFERROR(__xludf.DUMMYFUNCTION("""COMPUTED_VALUE"""),"140HP")</f>
        <v>140HP</v>
      </c>
      <c r="I217" s="1076" t="str">
        <f>IFERROR(__xludf.DUMMYFUNCTION("""COMPUTED_VALUE"""),"RNHF14FYAL0008847")</f>
        <v>RNHF14FYAL0008847</v>
      </c>
      <c r="J217" s="1076" t="str">
        <f>IFERROR(__xludf.DUMMYFUNCTION("""COMPUTED_VALUE"""),"CCN")</f>
        <v>CCN</v>
      </c>
      <c r="K217" s="1076"/>
      <c r="L217" s="1076" t="str">
        <f>IFERROR(__xludf.DUMMYFUNCTION("""COMPUTED_VALUE"""),"KLH")</f>
        <v>KLH</v>
      </c>
    </row>
    <row r="218" customHeight="1" spans="1:12">
      <c r="A218" s="1086" t="str">
        <f>IFERROR(__xludf.DUMMYFUNCTION("""COMPUTED_VALUE"""),"XD3-CLT-001")</f>
        <v>XD3-CLT-001</v>
      </c>
      <c r="B218" s="1075" t="str">
        <f>IFERROR(__xludf.DUMMYFUNCTION("""COMPUTED_VALUE"""),"Xe clethon")</f>
        <v>Xe clethon</v>
      </c>
      <c r="C218" s="1076" t="str">
        <f>IFERROR(__xludf.DUMMYFUNCTION("""COMPUTED_VALUE"""),"XN Chuối DP3")</f>
        <v>XN Chuối DP3</v>
      </c>
      <c r="D218" s="1076" t="str">
        <f>IFERROR(__xludf.DUMMYFUNCTION("""COMPUTED_VALUE"""),"YANMAR")</f>
        <v>YANMAR</v>
      </c>
      <c r="E218" s="1076" t="str">
        <f>IFERROR(__xludf.DUMMYFUNCTION("""COMPUTED_VALUE"""),"INDONESIA")</f>
        <v>INDONESIA</v>
      </c>
      <c r="F218" s="1076">
        <f>IFERROR(__xludf.DUMMYFUNCTION("""COMPUTED_VALUE"""),2022)</f>
        <v>2022</v>
      </c>
      <c r="G218" s="1076" t="str">
        <f>IFERROR(__xludf.DUMMYFUNCTION("""COMPUTED_VALUE"""),"TF150NL-PR2")</f>
        <v>TF150NL-PR2</v>
      </c>
      <c r="H218" s="1076" t="str">
        <f>IFERROR(__xludf.DUMMYFUNCTION("""COMPUTED_VALUE"""),"15HP")</f>
        <v>15HP</v>
      </c>
      <c r="I218" s="1076" t="str">
        <f>IFERROR(__xludf.DUMMYFUNCTION("""COMPUTED_VALUE"""),"203055")</f>
        <v>203055</v>
      </c>
      <c r="J218" s="1076" t="str">
        <f>IFERROR(__xludf.DUMMYFUNCTION("""COMPUTED_VALUE"""),"B1541L")</f>
        <v>B1541L</v>
      </c>
      <c r="K218" s="1076">
        <f>IFERROR(__xludf.DUMMYFUNCTION("""COMPUTED_VALUE"""),0.5)</f>
        <v>0.5</v>
      </c>
      <c r="L218" s="1076" t="str">
        <f>IFERROR(__xludf.DUMMYFUNCTION("""COMPUTED_VALUE"""),"KLH")</f>
        <v>KLH</v>
      </c>
    </row>
    <row r="219" customHeight="1" spans="1:12">
      <c r="A219" s="1086" t="str">
        <f>IFERROR(__xludf.DUMMYFUNCTION("""COMPUTED_VALUE"""),"XD3-CLT-002")</f>
        <v>XD3-CLT-002</v>
      </c>
      <c r="B219" s="1075" t="str">
        <f>IFERROR(__xludf.DUMMYFUNCTION("""COMPUTED_VALUE"""),"Xe clethon")</f>
        <v>Xe clethon</v>
      </c>
      <c r="C219" s="1076" t="str">
        <f>IFERROR(__xludf.DUMMYFUNCTION("""COMPUTED_VALUE"""),"XN Chuối DP3")</f>
        <v>XN Chuối DP3</v>
      </c>
      <c r="D219" s="1076" t="str">
        <f>IFERROR(__xludf.DUMMYFUNCTION("""COMPUTED_VALUE"""),"YANMAR")</f>
        <v>YANMAR</v>
      </c>
      <c r="E219" s="1076" t="str">
        <f>IFERROR(__xludf.DUMMYFUNCTION("""COMPUTED_VALUE"""),"INDONESIA")</f>
        <v>INDONESIA</v>
      </c>
      <c r="F219" s="1076">
        <f>IFERROR(__xludf.DUMMYFUNCTION("""COMPUTED_VALUE"""),2022)</f>
        <v>2022</v>
      </c>
      <c r="G219" s="1076" t="str">
        <f>IFERROR(__xludf.DUMMYFUNCTION("""COMPUTED_VALUE"""),"TF150NL-PR2")</f>
        <v>TF150NL-PR2</v>
      </c>
      <c r="H219" s="1076" t="str">
        <f>IFERROR(__xludf.DUMMYFUNCTION("""COMPUTED_VALUE"""),"15HP")</f>
        <v>15HP</v>
      </c>
      <c r="I219" s="1076" t="str">
        <f>IFERROR(__xludf.DUMMYFUNCTION("""COMPUTED_VALUE"""),"203059")</f>
        <v>203059</v>
      </c>
      <c r="J219" s="1076" t="str">
        <f>IFERROR(__xludf.DUMMYFUNCTION("""COMPUTED_VALUE"""),"B2128L")</f>
        <v>B2128L</v>
      </c>
      <c r="K219" s="1076">
        <f>IFERROR(__xludf.DUMMYFUNCTION("""COMPUTED_VALUE"""),0.5)</f>
        <v>0.5</v>
      </c>
      <c r="L219" s="1076" t="str">
        <f>IFERROR(__xludf.DUMMYFUNCTION("""COMPUTED_VALUE"""),"KLH")</f>
        <v>KLH</v>
      </c>
    </row>
    <row r="220" customHeight="1" spans="1:12">
      <c r="A220" s="1086" t="str">
        <f>IFERROR(__xludf.DUMMYFUNCTION("""COMPUTED_VALUE"""),"XD3-CLT-003")</f>
        <v>XD3-CLT-003</v>
      </c>
      <c r="B220" s="1075" t="str">
        <f>IFERROR(__xludf.DUMMYFUNCTION("""COMPUTED_VALUE"""),"Xe clethon")</f>
        <v>Xe clethon</v>
      </c>
      <c r="C220" s="1076" t="str">
        <f>IFERROR(__xludf.DUMMYFUNCTION("""COMPUTED_VALUE"""),"XN Chuối DP3")</f>
        <v>XN Chuối DP3</v>
      </c>
      <c r="D220" s="1076" t="str">
        <f>IFERROR(__xludf.DUMMYFUNCTION("""COMPUTED_VALUE"""),"YANMAR")</f>
        <v>YANMAR</v>
      </c>
      <c r="E220" s="1076" t="str">
        <f>IFERROR(__xludf.DUMMYFUNCTION("""COMPUTED_VALUE"""),"INDONESIA")</f>
        <v>INDONESIA</v>
      </c>
      <c r="F220" s="1076">
        <f>IFERROR(__xludf.DUMMYFUNCTION("""COMPUTED_VALUE"""),2022)</f>
        <v>2022</v>
      </c>
      <c r="G220" s="1076" t="str">
        <f>IFERROR(__xludf.DUMMYFUNCTION("""COMPUTED_VALUE"""),"TF150NL-PR2")</f>
        <v>TF150NL-PR2</v>
      </c>
      <c r="H220" s="1076" t="str">
        <f>IFERROR(__xludf.DUMMYFUNCTION("""COMPUTED_VALUE"""),"15HP")</f>
        <v>15HP</v>
      </c>
      <c r="I220" s="1076" t="str">
        <f>IFERROR(__xludf.DUMMYFUNCTION("""COMPUTED_VALUE"""),"203061")</f>
        <v>203061</v>
      </c>
      <c r="J220" s="1076" t="str">
        <f>IFERROR(__xludf.DUMMYFUNCTION("""COMPUTED_VALUE"""),"B1316M")</f>
        <v>B1316M</v>
      </c>
      <c r="K220" s="1076">
        <f>IFERROR(__xludf.DUMMYFUNCTION("""COMPUTED_VALUE"""),0.5)</f>
        <v>0.5</v>
      </c>
      <c r="L220" s="1076" t="str">
        <f>IFERROR(__xludf.DUMMYFUNCTION("""COMPUTED_VALUE"""),"KLH")</f>
        <v>KLH</v>
      </c>
    </row>
    <row r="221" customHeight="1" spans="1:12">
      <c r="A221" s="1086" t="str">
        <f>IFERROR(__xludf.DUMMYFUNCTION("""COMPUTED_VALUE"""),"XD3-CLT-004")</f>
        <v>XD3-CLT-004</v>
      </c>
      <c r="B221" s="1075" t="str">
        <f>IFERROR(__xludf.DUMMYFUNCTION("""COMPUTED_VALUE"""),"Xe clethon")</f>
        <v>Xe clethon</v>
      </c>
      <c r="C221" s="1076" t="str">
        <f>IFERROR(__xludf.DUMMYFUNCTION("""COMPUTED_VALUE"""),"XN Chuối DP3")</f>
        <v>XN Chuối DP3</v>
      </c>
      <c r="D221" s="1076" t="str">
        <f>IFERROR(__xludf.DUMMYFUNCTION("""COMPUTED_VALUE"""),"YANMAR")</f>
        <v>YANMAR</v>
      </c>
      <c r="E221" s="1076" t="str">
        <f>IFERROR(__xludf.DUMMYFUNCTION("""COMPUTED_VALUE"""),"INDONESIA")</f>
        <v>INDONESIA</v>
      </c>
      <c r="F221" s="1076">
        <f>IFERROR(__xludf.DUMMYFUNCTION("""COMPUTED_VALUE"""),2022)</f>
        <v>2022</v>
      </c>
      <c r="G221" s="1076" t="str">
        <f>IFERROR(__xludf.DUMMYFUNCTION("""COMPUTED_VALUE"""),"TF150NL-PR2")</f>
        <v>TF150NL-PR2</v>
      </c>
      <c r="H221" s="1076" t="str">
        <f>IFERROR(__xludf.DUMMYFUNCTION("""COMPUTED_VALUE"""),"15HP")</f>
        <v>15HP</v>
      </c>
      <c r="I221" s="1076" t="str">
        <f>IFERROR(__xludf.DUMMYFUNCTION("""COMPUTED_VALUE"""),"203176")</f>
        <v>203176</v>
      </c>
      <c r="J221" s="1076" t="str">
        <f>IFERROR(__xludf.DUMMYFUNCTION("""COMPUTED_VALUE"""),"C0870C")</f>
        <v>C0870C</v>
      </c>
      <c r="K221" s="1076">
        <f>IFERROR(__xludf.DUMMYFUNCTION("""COMPUTED_VALUE"""),0.5)</f>
        <v>0.5</v>
      </c>
      <c r="L221" s="1076" t="str">
        <f>IFERROR(__xludf.DUMMYFUNCTION("""COMPUTED_VALUE"""),"KLH")</f>
        <v>KLH</v>
      </c>
    </row>
    <row r="222" customHeight="1" spans="1:12">
      <c r="A222" s="1086" t="str">
        <f>IFERROR(__xludf.DUMMYFUNCTION("""COMPUTED_VALUE"""),"XD3-MĐQ-001")</f>
        <v>XD3-MĐQ-001</v>
      </c>
      <c r="B222" s="1075" t="str">
        <f>IFERROR(__xludf.DUMMYFUNCTION("""COMPUTED_VALUE"""),"Máy cắt cỏ đĩa quay 8HP")</f>
        <v>Máy cắt cỏ đĩa quay 8HP</v>
      </c>
      <c r="C222" s="1076" t="str">
        <f>IFERROR(__xludf.DUMMYFUNCTION("""COMPUTED_VALUE"""),"XN Chuối DP3")</f>
        <v>XN Chuối DP3</v>
      </c>
      <c r="D222" s="1076" t="str">
        <f>IFERROR(__xludf.DUMMYFUNCTION("""COMPUTED_VALUE"""),"MISUBISHI")</f>
        <v>MISUBISHI</v>
      </c>
      <c r="E222" s="1076" t="str">
        <f>IFERROR(__xludf.DUMMYFUNCTION("""COMPUTED_VALUE"""),"JANPAN")</f>
        <v>JANPAN</v>
      </c>
      <c r="F222" s="1076"/>
      <c r="G222" s="1076" t="str">
        <f>IFERROR(__xludf.DUMMYFUNCTION("""COMPUTED_VALUE"""),"MR910")</f>
        <v>MR910</v>
      </c>
      <c r="H222" s="1076" t="str">
        <f>IFERROR(__xludf.DUMMYFUNCTION("""COMPUTED_VALUE"""),"8HP")</f>
        <v>8HP</v>
      </c>
      <c r="I222" s="1076" t="str">
        <f>IFERROR(__xludf.DUMMYFUNCTION("""COMPUTED_VALUE"""),"G910217678")</f>
        <v>G910217678</v>
      </c>
      <c r="J222" s="1076" t="str">
        <f>IFERROR(__xludf.DUMMYFUNCTION("""COMPUTED_VALUE"""),"12168")</f>
        <v>12168</v>
      </c>
      <c r="K222" s="1076">
        <f>IFERROR(__xludf.DUMMYFUNCTION("""COMPUTED_VALUE"""),2.3)</f>
        <v>2.3</v>
      </c>
      <c r="L222" s="1076" t="str">
        <f>IFERROR(__xludf.DUMMYFUNCTION("""COMPUTED_VALUE"""),"KLH")</f>
        <v>KLH</v>
      </c>
    </row>
    <row r="223" customHeight="1" spans="1:12">
      <c r="A223" s="1086" t="str">
        <f>IFERROR(__xludf.DUMMYFUNCTION("""COMPUTED_VALUE"""),"XD3-CCD-001")</f>
        <v>XD3-CCD-001</v>
      </c>
      <c r="B223" s="1075" t="str">
        <f>IFERROR(__xludf.DUMMYFUNCTION("""COMPUTED_VALUE"""),"Máy cắt cỏ trục băm đa năng")</f>
        <v>Máy cắt cỏ trục băm đa năng</v>
      </c>
      <c r="C223" s="1076" t="str">
        <f>IFERROR(__xludf.DUMMYFUNCTION("""COMPUTED_VALUE"""),"XN Chuối DP3")</f>
        <v>XN Chuối DP3</v>
      </c>
      <c r="D223" s="1076" t="str">
        <f>IFERROR(__xludf.DUMMYFUNCTION("""COMPUTED_VALUE"""),"ISHIKAWA")</f>
        <v>ISHIKAWA</v>
      </c>
      <c r="E223" s="1076" t="str">
        <f>IFERROR(__xludf.DUMMYFUNCTION("""COMPUTED_VALUE"""),"VIỆT NAM")</f>
        <v>VIỆT NAM</v>
      </c>
      <c r="F223" s="1076">
        <f>IFERROR(__xludf.DUMMYFUNCTION("""COMPUTED_VALUE"""),2025)</f>
        <v>2025</v>
      </c>
      <c r="G223" s="1076" t="str">
        <f>IFERROR(__xludf.DUMMYFUNCTION("""COMPUTED_VALUE"""),"TL662")</f>
        <v>TL662</v>
      </c>
      <c r="H223" s="1076" t="str">
        <f>IFERROR(__xludf.DUMMYFUNCTION("""COMPUTED_VALUE"""),"10HP")</f>
        <v>10HP</v>
      </c>
      <c r="I223" s="1076" t="str">
        <f>IFERROR(__xludf.DUMMYFUNCTION("""COMPUTED_VALUE"""),"TL20250601403")</f>
        <v>TL20250601403</v>
      </c>
      <c r="J223" s="1076" t="str">
        <f>IFERROR(__xludf.DUMMYFUNCTION("""COMPUTED_VALUE"""),"GT1000B0037703CC")</f>
        <v>GT1000B0037703CC</v>
      </c>
      <c r="K223" s="1076">
        <f>IFERROR(__xludf.DUMMYFUNCTION("""COMPUTED_VALUE"""),1.8)</f>
        <v>1.8</v>
      </c>
      <c r="L223" s="1076" t="str">
        <f>IFERROR(__xludf.DUMMYFUNCTION("""COMPUTED_VALUE"""),"KLH")</f>
        <v>KLH</v>
      </c>
    </row>
    <row r="224" customHeight="1" spans="1:12">
      <c r="A224" s="1082" t="str">
        <f>IFERROR(__xludf.DUMMYFUNCTION("""COMPUTED_VALUE"""),"XD3-CCD-002")</f>
        <v>XD3-CCD-002</v>
      </c>
      <c r="B224" s="1075" t="str">
        <f>IFERROR(__xludf.DUMMYFUNCTION("""COMPUTED_VALUE"""),"Máy cắt cỏ trục băm đa năng")</f>
        <v>Máy cắt cỏ trục băm đa năng</v>
      </c>
      <c r="C224" s="1076" t="str">
        <f>IFERROR(__xludf.DUMMYFUNCTION("""COMPUTED_VALUE"""),"XN Chuối DP3")</f>
        <v>XN Chuối DP3</v>
      </c>
      <c r="D224" s="1076" t="str">
        <f>IFERROR(__xludf.DUMMYFUNCTION("""COMPUTED_VALUE"""),"ISHIKAWA")</f>
        <v>ISHIKAWA</v>
      </c>
      <c r="E224" s="1076" t="str">
        <f>IFERROR(__xludf.DUMMYFUNCTION("""COMPUTED_VALUE"""),"VIỆT NAM")</f>
        <v>VIỆT NAM</v>
      </c>
      <c r="F224" s="1076">
        <f>IFERROR(__xludf.DUMMYFUNCTION("""COMPUTED_VALUE"""),2025)</f>
        <v>2025</v>
      </c>
      <c r="G224" s="1076" t="str">
        <f>IFERROR(__xludf.DUMMYFUNCTION("""COMPUTED_VALUE"""),"TL662")</f>
        <v>TL662</v>
      </c>
      <c r="H224" s="1076" t="str">
        <f>IFERROR(__xludf.DUMMYFUNCTION("""COMPUTED_VALUE"""),"10HP")</f>
        <v>10HP</v>
      </c>
      <c r="I224" s="1076" t="str">
        <f>IFERROR(__xludf.DUMMYFUNCTION("""COMPUTED_VALUE"""),"TL20250601405")</f>
        <v>TL20250601405</v>
      </c>
      <c r="J224" s="1076" t="str">
        <f>IFERROR(__xludf.DUMMYFUNCTION("""COMPUTED_VALUE"""),"GT1000B0042145CD")</f>
        <v>GT1000B0042145CD</v>
      </c>
      <c r="K224" s="1076">
        <f>IFERROR(__xludf.DUMMYFUNCTION("""COMPUTED_VALUE"""),1.8)</f>
        <v>1.8</v>
      </c>
      <c r="L224" s="1076" t="str">
        <f>IFERROR(__xludf.DUMMYFUNCTION("""COMPUTED_VALUE"""),"KLH")</f>
        <v>KLH</v>
      </c>
    </row>
    <row r="225" customHeight="1" spans="1:12">
      <c r="A225" s="1082" t="str">
        <f>IFERROR(__xludf.DUMMYFUNCTION("""COMPUTED_VALUE"""),"XD3-CCD-003")</f>
        <v>XD3-CCD-003</v>
      </c>
      <c r="B225" s="1075" t="str">
        <f>IFERROR(__xludf.DUMMYFUNCTION("""COMPUTED_VALUE"""),"Máy cắt cỏ trục băm đa năng")</f>
        <v>Máy cắt cỏ trục băm đa năng</v>
      </c>
      <c r="C225" s="1076" t="str">
        <f>IFERROR(__xludf.DUMMYFUNCTION("""COMPUTED_VALUE"""),"XN Chuối DP3")</f>
        <v>XN Chuối DP3</v>
      </c>
      <c r="D225" s="1076" t="str">
        <f>IFERROR(__xludf.DUMMYFUNCTION("""COMPUTED_VALUE"""),"ISHIKAWA")</f>
        <v>ISHIKAWA</v>
      </c>
      <c r="E225" s="1076" t="str">
        <f>IFERROR(__xludf.DUMMYFUNCTION("""COMPUTED_VALUE"""),"VIỆT NAM")</f>
        <v>VIỆT NAM</v>
      </c>
      <c r="F225" s="1076">
        <f>IFERROR(__xludf.DUMMYFUNCTION("""COMPUTED_VALUE"""),2025)</f>
        <v>2025</v>
      </c>
      <c r="G225" s="1076" t="str">
        <f>IFERROR(__xludf.DUMMYFUNCTION("""COMPUTED_VALUE"""),"TL662")</f>
        <v>TL662</v>
      </c>
      <c r="H225" s="1076" t="str">
        <f>IFERROR(__xludf.DUMMYFUNCTION("""COMPUTED_VALUE"""),"10HP")</f>
        <v>10HP</v>
      </c>
      <c r="I225" s="1076" t="str">
        <f>IFERROR(__xludf.DUMMYFUNCTION("""COMPUTED_VALUE"""),"TL202506014018")</f>
        <v>TL202506014018</v>
      </c>
      <c r="J225" s="1076" t="str">
        <f>IFERROR(__xludf.DUMMYFUNCTION("""COMPUTED_VALUE"""),"GT1000B0012093CD")</f>
        <v>GT1000B0012093CD</v>
      </c>
      <c r="K225" s="1076">
        <f>IFERROR(__xludf.DUMMYFUNCTION("""COMPUTED_VALUE"""),1.8)</f>
        <v>1.8</v>
      </c>
      <c r="L225" s="1076" t="str">
        <f>IFERROR(__xludf.DUMMYFUNCTION("""COMPUTED_VALUE"""),"KLH")</f>
        <v>KLH</v>
      </c>
    </row>
    <row r="226" customHeight="1" spans="1:12">
      <c r="A226" s="1082" t="str">
        <f>IFERROR(__xludf.DUMMYFUNCTION("""COMPUTED_VALUE"""),"XD3-CCD-004")</f>
        <v>XD3-CCD-004</v>
      </c>
      <c r="B226" s="1075" t="str">
        <f>IFERROR(__xludf.DUMMYFUNCTION("""COMPUTED_VALUE"""),"Máy cắt cỏ trục băm đa năng")</f>
        <v>Máy cắt cỏ trục băm đa năng</v>
      </c>
      <c r="C226" s="1076" t="str">
        <f>IFERROR(__xludf.DUMMYFUNCTION("""COMPUTED_VALUE"""),"XN Chuối DP3")</f>
        <v>XN Chuối DP3</v>
      </c>
      <c r="D226" s="1076" t="str">
        <f>IFERROR(__xludf.DUMMYFUNCTION("""COMPUTED_VALUE"""),"ISHIKAWA")</f>
        <v>ISHIKAWA</v>
      </c>
      <c r="E226" s="1076" t="str">
        <f>IFERROR(__xludf.DUMMYFUNCTION("""COMPUTED_VALUE"""),"VIỆT NAM")</f>
        <v>VIỆT NAM</v>
      </c>
      <c r="F226" s="1076">
        <f>IFERROR(__xludf.DUMMYFUNCTION("""COMPUTED_VALUE"""),2025)</f>
        <v>2025</v>
      </c>
      <c r="G226" s="1076" t="str">
        <f>IFERROR(__xludf.DUMMYFUNCTION("""COMPUTED_VALUE"""),"TL662")</f>
        <v>TL662</v>
      </c>
      <c r="H226" s="1076" t="str">
        <f>IFERROR(__xludf.DUMMYFUNCTION("""COMPUTED_VALUE"""),"10HP")</f>
        <v>10HP</v>
      </c>
      <c r="I226" s="1076" t="str">
        <f>IFERROR(__xludf.DUMMYFUNCTION("""COMPUTED_VALUE"""),"TL202506014019")</f>
        <v>TL202506014019</v>
      </c>
      <c r="J226" s="1076" t="str">
        <f>IFERROR(__xludf.DUMMYFUNCTION("""COMPUTED_VALUE"""),"GT1000B0042106CD")</f>
        <v>GT1000B0042106CD</v>
      </c>
      <c r="K226" s="1076">
        <f>IFERROR(__xludf.DUMMYFUNCTION("""COMPUTED_VALUE"""),1.8)</f>
        <v>1.8</v>
      </c>
      <c r="L226" s="1076" t="str">
        <f>IFERROR(__xludf.DUMMYFUNCTION("""COMPUTED_VALUE"""),"KLH")</f>
        <v>KLH</v>
      </c>
    </row>
    <row r="227" customHeight="1" spans="1:12">
      <c r="A227" s="1082" t="str">
        <f>IFERROR(__xludf.DUMMYFUNCTION("""COMPUTED_VALUE"""),"XD3-CCD-005")</f>
        <v>XD3-CCD-005</v>
      </c>
      <c r="B227" s="1075" t="str">
        <f>IFERROR(__xludf.DUMMYFUNCTION("""COMPUTED_VALUE"""),"Máy cắt cỏ trục băm đa năng")</f>
        <v>Máy cắt cỏ trục băm đa năng</v>
      </c>
      <c r="C227" s="1076" t="str">
        <f>IFERROR(__xludf.DUMMYFUNCTION("""COMPUTED_VALUE"""),"XN Chuối DP3")</f>
        <v>XN Chuối DP3</v>
      </c>
      <c r="D227" s="1076" t="str">
        <f>IFERROR(__xludf.DUMMYFUNCTION("""COMPUTED_VALUE"""),"ISHIKAWA")</f>
        <v>ISHIKAWA</v>
      </c>
      <c r="E227" s="1076" t="str">
        <f>IFERROR(__xludf.DUMMYFUNCTION("""COMPUTED_VALUE"""),"VIỆT NAM")</f>
        <v>VIỆT NAM</v>
      </c>
      <c r="F227" s="1076">
        <f>IFERROR(__xludf.DUMMYFUNCTION("""COMPUTED_VALUE"""),2025)</f>
        <v>2025</v>
      </c>
      <c r="G227" s="1076" t="str">
        <f>IFERROR(__xludf.DUMMYFUNCTION("""COMPUTED_VALUE"""),"TL663")</f>
        <v>TL663</v>
      </c>
      <c r="H227" s="1076" t="str">
        <f>IFERROR(__xludf.DUMMYFUNCTION("""COMPUTED_VALUE"""),"10HP")</f>
        <v>10HP</v>
      </c>
      <c r="I227" s="1076" t="str">
        <f>IFERROR(__xludf.DUMMYFUNCTION("""COMPUTED_VALUE"""),"TL20250901606
")</f>
        <v>TL20250901606
</v>
      </c>
      <c r="J227" s="1076"/>
      <c r="K227" s="1076">
        <f>IFERROR(__xludf.DUMMYFUNCTION("""COMPUTED_VALUE"""),1.8)</f>
        <v>1.8</v>
      </c>
      <c r="L227" s="1076" t="str">
        <f>IFERROR(__xludf.DUMMYFUNCTION("""COMPUTED_VALUE"""),"KLH")</f>
        <v>KLH</v>
      </c>
    </row>
    <row r="228" customHeight="1" spans="1:12">
      <c r="A228" s="1082" t="str">
        <f>IFERROR(__xludf.DUMMYFUNCTION("""COMPUTED_VALUE"""),"XD3-CCD-006")</f>
        <v>XD3-CCD-006</v>
      </c>
      <c r="B228" s="1075" t="str">
        <f>IFERROR(__xludf.DUMMYFUNCTION("""COMPUTED_VALUE"""),"Máy cắt cỏ trục băm đa năng")</f>
        <v>Máy cắt cỏ trục băm đa năng</v>
      </c>
      <c r="C228" s="1076" t="str">
        <f>IFERROR(__xludf.DUMMYFUNCTION("""COMPUTED_VALUE"""),"XN Chuối DP3")</f>
        <v>XN Chuối DP3</v>
      </c>
      <c r="D228" s="1076" t="str">
        <f>IFERROR(__xludf.DUMMYFUNCTION("""COMPUTED_VALUE"""),"ISHIKAWA")</f>
        <v>ISHIKAWA</v>
      </c>
      <c r="E228" s="1076" t="str">
        <f>IFERROR(__xludf.DUMMYFUNCTION("""COMPUTED_VALUE"""),"VIỆT NAM")</f>
        <v>VIỆT NAM</v>
      </c>
      <c r="F228" s="1076">
        <f>IFERROR(__xludf.DUMMYFUNCTION("""COMPUTED_VALUE"""),2025)</f>
        <v>2025</v>
      </c>
      <c r="G228" s="1076" t="str">
        <f>IFERROR(__xludf.DUMMYFUNCTION("""COMPUTED_VALUE"""),"TL663")</f>
        <v>TL663</v>
      </c>
      <c r="H228" s="1076" t="str">
        <f>IFERROR(__xludf.DUMMYFUNCTION("""COMPUTED_VALUE"""),"10HP")</f>
        <v>10HP</v>
      </c>
      <c r="I228" s="1076" t="str">
        <f>IFERROR(__xludf.DUMMYFUNCTION("""COMPUTED_VALUE"""),"TL202501201501")</f>
        <v>TL202501201501</v>
      </c>
      <c r="J228" s="1076"/>
      <c r="K228" s="1076">
        <f>IFERROR(__xludf.DUMMYFUNCTION("""COMPUTED_VALUE"""),1.8)</f>
        <v>1.8</v>
      </c>
      <c r="L228" s="1076" t="str">
        <f>IFERROR(__xludf.DUMMYFUNCTION("""COMPUTED_VALUE"""),"KLH")</f>
        <v>KLH</v>
      </c>
    </row>
    <row r="229" customHeight="1" spans="1:12">
      <c r="A229" s="1082" t="str">
        <f>IFERROR(__xludf.DUMMYFUNCTION("""COMPUTED_VALUE"""),"XD3-MXD-001")</f>
        <v>XD3-MXD-001</v>
      </c>
      <c r="B229" s="1075" t="str">
        <f>IFERROR(__xludf.DUMMYFUNCTION("""COMPUTED_VALUE"""),"Máy xới đất 7.5HP")</f>
        <v>Máy xới đất 7.5HP</v>
      </c>
      <c r="C229" s="1076" t="str">
        <f>IFERROR(__xludf.DUMMYFUNCTION("""COMPUTED_VALUE"""),"XN Chuối DP3")</f>
        <v>XN Chuối DP3</v>
      </c>
      <c r="D229" s="1076" t="str">
        <f>IFERROR(__xludf.DUMMYFUNCTION("""COMPUTED_VALUE"""),"Shineray")</f>
        <v>Shineray</v>
      </c>
      <c r="E229" s="1076" t="str">
        <f>IFERROR(__xludf.DUMMYFUNCTION("""COMPUTED_VALUE"""),"VIỆT NAM")</f>
        <v>VIỆT NAM</v>
      </c>
      <c r="F229" s="1076">
        <f>IFERROR(__xludf.DUMMYFUNCTION("""COMPUTED_VALUE"""),2025)</f>
        <v>2025</v>
      </c>
      <c r="G229" s="1076" t="str">
        <f>IFERROR(__xludf.DUMMYFUNCTION("""COMPUTED_VALUE"""),"SR1Z-75")</f>
        <v>SR1Z-75</v>
      </c>
      <c r="H229" s="1076" t="str">
        <f>IFERROR(__xludf.DUMMYFUNCTION("""COMPUTED_VALUE"""),"7.5HP")</f>
        <v>7.5HP</v>
      </c>
      <c r="I229" s="1076" t="str">
        <f>IFERROR(__xludf.DUMMYFUNCTION("""COMPUTED_VALUE"""),"2505401193")</f>
        <v>2505401193</v>
      </c>
      <c r="J229" s="1076" t="str">
        <f>IFERROR(__xludf.DUMMYFUNCTION("""COMPUTED_VALUE"""),"00E534AT0852")</f>
        <v>00E534AT0852</v>
      </c>
      <c r="K229" s="1076"/>
      <c r="L229" s="1076" t="str">
        <f>IFERROR(__xludf.DUMMYFUNCTION("""COMPUTED_VALUE"""),"KLH")</f>
        <v>KLH</v>
      </c>
    </row>
    <row r="230" customHeight="1" spans="1:12">
      <c r="A230" s="1082" t="str">
        <f>IFERROR(__xludf.DUMMYFUNCTION("""COMPUTED_VALUE"""),"XD3-MXD-002")</f>
        <v>XD3-MXD-002</v>
      </c>
      <c r="B230" s="1075" t="str">
        <f>IFERROR(__xludf.DUMMYFUNCTION("""COMPUTED_VALUE"""),"Máy xới đất 7.5HP")</f>
        <v>Máy xới đất 7.5HP</v>
      </c>
      <c r="C230" s="1076" t="str">
        <f>IFERROR(__xludf.DUMMYFUNCTION("""COMPUTED_VALUE"""),"XN Chuối DP3")</f>
        <v>XN Chuối DP3</v>
      </c>
      <c r="D230" s="1076" t="str">
        <f>IFERROR(__xludf.DUMMYFUNCTION("""COMPUTED_VALUE"""),"Shineray")</f>
        <v>Shineray</v>
      </c>
      <c r="E230" s="1076" t="str">
        <f>IFERROR(__xludf.DUMMYFUNCTION("""COMPUTED_VALUE"""),"VIỆT NAM")</f>
        <v>VIỆT NAM</v>
      </c>
      <c r="F230" s="1076">
        <f>IFERROR(__xludf.DUMMYFUNCTION("""COMPUTED_VALUE"""),2025)</f>
        <v>2025</v>
      </c>
      <c r="G230" s="1076" t="str">
        <f>IFERROR(__xludf.DUMMYFUNCTION("""COMPUTED_VALUE"""),"SR1Z-75")</f>
        <v>SR1Z-75</v>
      </c>
      <c r="H230" s="1076" t="str">
        <f>IFERROR(__xludf.DUMMYFUNCTION("""COMPUTED_VALUE"""),"7.5HP")</f>
        <v>7.5HP</v>
      </c>
      <c r="I230" s="1076" t="str">
        <f>IFERROR(__xludf.DUMMYFUNCTION("""COMPUTED_VALUE"""),"2505401175")</f>
        <v>2505401175</v>
      </c>
      <c r="J230" s="1076" t="str">
        <f>IFERROR(__xludf.DUMMYFUNCTION("""COMPUTED_VALUE"""),"00E534AT0827")</f>
        <v>00E534AT0827</v>
      </c>
      <c r="K230" s="1076"/>
      <c r="L230" s="1076" t="str">
        <f>IFERROR(__xludf.DUMMYFUNCTION("""COMPUTED_VALUE"""),"KLH")</f>
        <v>KLH</v>
      </c>
    </row>
    <row r="231" customHeight="1" spans="1:12">
      <c r="A231" s="1086" t="str">
        <f>IFERROR(__xludf.DUMMYFUNCTION("""COMPUTED_VALUE"""),"Xí nghiệp Chuối LP1")</f>
        <v>Xí nghiệp Chuối LP1</v>
      </c>
      <c r="B231" s="1075"/>
      <c r="C231" s="1076"/>
      <c r="D231" s="1076"/>
      <c r="E231" s="1076"/>
      <c r="F231" s="1076"/>
      <c r="G231" s="1076"/>
      <c r="H231" s="1076"/>
      <c r="I231" s="1076"/>
      <c r="J231" s="1076"/>
      <c r="K231" s="1076"/>
      <c r="L231" s="1076" t="str">
        <f>IFERROR(__xludf.DUMMYFUNCTION("""COMPUTED_VALUE"""),"KLH")</f>
        <v>KLH</v>
      </c>
    </row>
    <row r="232" customHeight="1" spans="1:12">
      <c r="A232" s="1086" t="str">
        <f>IFERROR(__xludf.DUMMYFUNCTION("""COMPUTED_VALUE"""),"XL1-TCD-001")</f>
        <v>XL1-TCD-001</v>
      </c>
      <c r="B232" s="1075" t="str">
        <f>IFERROR(__xludf.DUMMYFUNCTION("""COMPUTED_VALUE"""),"Xe tải chuyên dụng (thùng lửng)")</f>
        <v>Xe tải chuyên dụng (thùng lửng)</v>
      </c>
      <c r="C232" s="1076" t="str">
        <f>IFERROR(__xludf.DUMMYFUNCTION("""COMPUTED_VALUE"""),"XN Chuối LP1")</f>
        <v>XN Chuối LP1</v>
      </c>
      <c r="D232" s="1076" t="str">
        <f>IFERROR(__xludf.DUMMYFUNCTION("""COMPUTED_VALUE"""),"KIA")</f>
        <v>KIA</v>
      </c>
      <c r="E232" s="1076" t="str">
        <f>IFERROR(__xludf.DUMMYFUNCTION("""COMPUTED_VALUE"""),"VIỆT NAM")</f>
        <v>VIỆT NAM</v>
      </c>
      <c r="F232" s="1076">
        <f>IFERROR(__xludf.DUMMYFUNCTION("""COMPUTED_VALUE"""),2021)</f>
        <v>2021</v>
      </c>
      <c r="G232" s="1076" t="str">
        <f>IFERROR(__xludf.DUMMYFUNCTION("""COMPUTED_VALUE"""),"FRONTIER K200SD-4WD")</f>
        <v>FRONTIER K200SD-4WD</v>
      </c>
      <c r="H232" s="1076" t="str">
        <f>IFERROR(__xludf.DUMMYFUNCTION("""COMPUTED_VALUE"""),"130HP")</f>
        <v>130HP</v>
      </c>
      <c r="I232" s="1076" t="str">
        <f>IFERROR(__xludf.DUMMYFUNCTION("""COMPUTED_VALUE"""),"RNHF39KHBMT045642")</f>
        <v>RNHF39KHBMT045642</v>
      </c>
      <c r="J232" s="1076" t="str">
        <f>IFERROR(__xludf.DUMMYFUNCTION("""COMPUTED_VALUE"""),"MD540096D4CB")</f>
        <v>MD540096D4CB</v>
      </c>
      <c r="K232" s="1076"/>
      <c r="L232" s="1076" t="str">
        <f>IFERROR(__xludf.DUMMYFUNCTION("""COMPUTED_VALUE"""),"KLH")</f>
        <v>KLH</v>
      </c>
    </row>
    <row r="233" customHeight="1" spans="1:12">
      <c r="A233" s="1086" t="str">
        <f>IFERROR(__xludf.DUMMYFUNCTION("""COMPUTED_VALUE"""),"XL1-MKE-004")</f>
        <v>XL1-MKE-004</v>
      </c>
      <c r="B233" s="1075" t="str">
        <f>IFERROR(__xludf.DUMMYFUNCTION("""COMPUTED_VALUE"""),"Máy cày KAM50")</f>
        <v>Máy cày KAM50</v>
      </c>
      <c r="C233" s="1076" t="str">
        <f>IFERROR(__xludf.DUMMYFUNCTION("""COMPUTED_VALUE"""),"XN Chuối LP1")</f>
        <v>XN Chuối LP1</v>
      </c>
      <c r="D233" s="1076" t="str">
        <f>IFERROR(__xludf.DUMMYFUNCTION("""COMPUTED_VALUE"""),"THACO")</f>
        <v>THACO</v>
      </c>
      <c r="E233" s="1076" t="str">
        <f>IFERROR(__xludf.DUMMYFUNCTION("""COMPUTED_VALUE"""),"VIỆT NAM")</f>
        <v>VIỆT NAM</v>
      </c>
      <c r="F233" s="1076">
        <f>IFERROR(__xludf.DUMMYFUNCTION("""COMPUTED_VALUE"""),2018)</f>
        <v>2018</v>
      </c>
      <c r="G233" s="1076" t="str">
        <f>IFERROR(__xludf.DUMMYFUNCTION("""COMPUTED_VALUE"""),"KAM50")</f>
        <v>KAM50</v>
      </c>
      <c r="H233" s="1076" t="str">
        <f>IFERROR(__xludf.DUMMYFUNCTION("""COMPUTED_VALUE"""),"50HP")</f>
        <v>50HP</v>
      </c>
      <c r="I233" s="1076" t="str">
        <f>IFERROR(__xludf.DUMMYFUNCTION("""COMPUTED_VALUE"""),"C000052")</f>
        <v>C000052</v>
      </c>
      <c r="J233" s="1076" t="str">
        <f>IFERROR(__xludf.DUMMYFUNCTION("""COMPUTED_VALUE"""),"CCN")</f>
        <v>CCN</v>
      </c>
      <c r="K233" s="1076">
        <f>IFERROR(__xludf.DUMMYFUNCTION("""COMPUTED_VALUE"""),2)</f>
        <v>2</v>
      </c>
      <c r="L233" s="1076" t="str">
        <f>IFERROR(__xludf.DUMMYFUNCTION("""COMPUTED_VALUE"""),"KLH")</f>
        <v>KLH</v>
      </c>
    </row>
    <row r="234" customHeight="1" spans="1:12">
      <c r="A234" s="1086" t="str">
        <f>IFERROR(__xludf.DUMMYFUNCTION("""COMPUTED_VALUE"""),"XL4-MKE-002")</f>
        <v>XL4-MKE-002</v>
      </c>
      <c r="B234" s="1075" t="str">
        <f>IFERROR(__xludf.DUMMYFUNCTION("""COMPUTED_VALUE"""),"Máy cày KAM50")</f>
        <v>Máy cày KAM50</v>
      </c>
      <c r="C234" s="1076" t="str">
        <f>IFERROR(__xludf.DUMMYFUNCTION("""COMPUTED_VALUE"""),"XN Chuối LP1")</f>
        <v>XN Chuối LP1</v>
      </c>
      <c r="D234" s="1076" t="str">
        <f>IFERROR(__xludf.DUMMYFUNCTION("""COMPUTED_VALUE"""),"THACO")</f>
        <v>THACO</v>
      </c>
      <c r="E234" s="1076" t="str">
        <f>IFERROR(__xludf.DUMMYFUNCTION("""COMPUTED_VALUE"""),"VIỆT NAM")</f>
        <v>VIỆT NAM</v>
      </c>
      <c r="F234" s="1076">
        <f>IFERROR(__xludf.DUMMYFUNCTION("""COMPUTED_VALUE"""),2018)</f>
        <v>2018</v>
      </c>
      <c r="G234" s="1076" t="str">
        <f>IFERROR(__xludf.DUMMYFUNCTION("""COMPUTED_VALUE"""),"KAM50")</f>
        <v>KAM50</v>
      </c>
      <c r="H234" s="1076" t="str">
        <f>IFERROR(__xludf.DUMMYFUNCTION("""COMPUTED_VALUE"""),"50HP")</f>
        <v>50HP</v>
      </c>
      <c r="I234" s="1076" t="str">
        <f>IFERROR(__xludf.DUMMYFUNCTION("""COMPUTED_VALUE"""),"C000017")</f>
        <v>C000017</v>
      </c>
      <c r="J234" s="1076" t="str">
        <f>IFERROR(__xludf.DUMMYFUNCTION("""COMPUTED_VALUE"""),"CCN")</f>
        <v>CCN</v>
      </c>
      <c r="K234" s="1076">
        <f>IFERROR(__xludf.DUMMYFUNCTION("""COMPUTED_VALUE"""),2.5)</f>
        <v>2.5</v>
      </c>
      <c r="L234" s="1076" t="str">
        <f>IFERROR(__xludf.DUMMYFUNCTION("""COMPUTED_VALUE"""),"KLH")</f>
        <v>KLH</v>
      </c>
    </row>
    <row r="235" customHeight="1" spans="1:12">
      <c r="A235" s="1086" t="str">
        <f>IFERROR(__xludf.DUMMYFUNCTION("""COMPUTED_VALUE"""),"XL4-MKE-003")</f>
        <v>XL4-MKE-003</v>
      </c>
      <c r="B235" s="1075" t="str">
        <f>IFERROR(__xludf.DUMMYFUNCTION("""COMPUTED_VALUE"""),"Máy cày KAM50")</f>
        <v>Máy cày KAM50</v>
      </c>
      <c r="C235" s="1076" t="str">
        <f>IFERROR(__xludf.DUMMYFUNCTION("""COMPUTED_VALUE"""),"XN Chuối LP1")</f>
        <v>XN Chuối LP1</v>
      </c>
      <c r="D235" s="1076" t="str">
        <f>IFERROR(__xludf.DUMMYFUNCTION("""COMPUTED_VALUE"""),"THACO")</f>
        <v>THACO</v>
      </c>
      <c r="E235" s="1076" t="str">
        <f>IFERROR(__xludf.DUMMYFUNCTION("""COMPUTED_VALUE"""),"VIỆT NAM")</f>
        <v>VIỆT NAM</v>
      </c>
      <c r="F235" s="1076">
        <f>IFERROR(__xludf.DUMMYFUNCTION("""COMPUTED_VALUE"""),2018)</f>
        <v>2018</v>
      </c>
      <c r="G235" s="1076" t="str">
        <f>IFERROR(__xludf.DUMMYFUNCTION("""COMPUTED_VALUE"""),"KAM50")</f>
        <v>KAM50</v>
      </c>
      <c r="H235" s="1076" t="str">
        <f>IFERROR(__xludf.DUMMYFUNCTION("""COMPUTED_VALUE"""),"50HP")</f>
        <v>50HP</v>
      </c>
      <c r="I235" s="1076" t="str">
        <f>IFERROR(__xludf.DUMMYFUNCTION("""COMPUTED_VALUE"""),"C000063")</f>
        <v>C000063</v>
      </c>
      <c r="J235" s="1076" t="str">
        <f>IFERROR(__xludf.DUMMYFUNCTION("""COMPUTED_VALUE"""),"CCN")</f>
        <v>CCN</v>
      </c>
      <c r="K235" s="1076">
        <f>IFERROR(__xludf.DUMMYFUNCTION("""COMPUTED_VALUE"""),2.5)</f>
        <v>2.5</v>
      </c>
      <c r="L235" s="1076" t="str">
        <f>IFERROR(__xludf.DUMMYFUNCTION("""COMPUTED_VALUE"""),"KLH")</f>
        <v>KLH</v>
      </c>
    </row>
    <row r="236" customHeight="1" spans="1:12">
      <c r="A236" s="1086" t="str">
        <f>IFERROR(__xludf.DUMMYFUNCTION("""COMPUTED_VALUE"""),"XL4-MKE-005")</f>
        <v>XL4-MKE-005</v>
      </c>
      <c r="B236" s="1075" t="str">
        <f>IFERROR(__xludf.DUMMYFUNCTION("""COMPUTED_VALUE"""),"Máy cày KUBOTA L2002DT")</f>
        <v>Máy cày KUBOTA L2002DT</v>
      </c>
      <c r="C236" s="1076" t="str">
        <f>IFERROR(__xludf.DUMMYFUNCTION("""COMPUTED_VALUE"""),"XN Chuối LP1")</f>
        <v>XN Chuối LP1</v>
      </c>
      <c r="D236" s="1076" t="str">
        <f>IFERROR(__xludf.DUMMYFUNCTION("""COMPUTED_VALUE"""),"KUBOTA")</f>
        <v>KUBOTA</v>
      </c>
      <c r="E236" s="1076" t="str">
        <f>IFERROR(__xludf.DUMMYFUNCTION("""COMPUTED_VALUE"""),"VIỆT NAM")</f>
        <v>VIỆT NAM</v>
      </c>
      <c r="F236" s="1076"/>
      <c r="G236" s="1076" t="str">
        <f>IFERROR(__xludf.DUMMYFUNCTION("""COMPUTED_VALUE"""),"L2002DT")</f>
        <v>L2002DT</v>
      </c>
      <c r="H236" s="1076" t="str">
        <f>IFERROR(__xludf.DUMMYFUNCTION("""COMPUTED_VALUE"""),"20HP")</f>
        <v>20HP</v>
      </c>
      <c r="I236" s="1076" t="str">
        <f>IFERROR(__xludf.DUMMYFUNCTION("""COMPUTED_VALUE"""),"CCN")</f>
        <v>CCN</v>
      </c>
      <c r="J236" s="1076" t="str">
        <f>IFERROR(__xludf.DUMMYFUNCTION("""COMPUTED_VALUE"""),"11368")</f>
        <v>11368</v>
      </c>
      <c r="K236" s="1076">
        <f>IFERROR(__xludf.DUMMYFUNCTION("""COMPUTED_VALUE"""),2.5)</f>
        <v>2.5</v>
      </c>
      <c r="L236" s="1076" t="str">
        <f>IFERROR(__xludf.DUMMYFUNCTION("""COMPUTED_VALUE"""),"KLH")</f>
        <v>KLH</v>
      </c>
    </row>
    <row r="237" customHeight="1" spans="1:12">
      <c r="A237" s="1086" t="str">
        <f>IFERROR(__xludf.DUMMYFUNCTION("""COMPUTED_VALUE"""),"XL4-MKE-001")</f>
        <v>XL4-MKE-001</v>
      </c>
      <c r="B237" s="1075" t="str">
        <f>IFERROR(__xludf.DUMMYFUNCTION("""COMPUTED_VALUE"""),"Máy cày L4508")</f>
        <v>Máy cày L4508</v>
      </c>
      <c r="C237" s="1076" t="str">
        <f>IFERROR(__xludf.DUMMYFUNCTION("""COMPUTED_VALUE"""),"XN Chuối LP1")</f>
        <v>XN Chuối LP1</v>
      </c>
      <c r="D237" s="1076" t="str">
        <f>IFERROR(__xludf.DUMMYFUNCTION("""COMPUTED_VALUE"""),"KUBOTA")</f>
        <v>KUBOTA</v>
      </c>
      <c r="E237" s="1076" t="str">
        <f>IFERROR(__xludf.DUMMYFUNCTION("""COMPUTED_VALUE"""),"NHẬT BẢN")</f>
        <v>NHẬT BẢN</v>
      </c>
      <c r="F237" s="1076">
        <f>IFERROR(__xludf.DUMMYFUNCTION("""COMPUTED_VALUE"""),2019)</f>
        <v>2019</v>
      </c>
      <c r="G237" s="1076" t="str">
        <f>IFERROR(__xludf.DUMMYFUNCTION("""COMPUTED_VALUE"""),"L4508")</f>
        <v>L4508</v>
      </c>
      <c r="H237" s="1076" t="str">
        <f>IFERROR(__xludf.DUMMYFUNCTION("""COMPUTED_VALUE"""),"45HP")</f>
        <v>45HP</v>
      </c>
      <c r="I237" s="1076" t="str">
        <f>IFERROR(__xludf.DUMMYFUNCTION("""COMPUTED_VALUE"""),"V2208-BC1659")</f>
        <v>V2208-BC1659</v>
      </c>
      <c r="J237" s="1076" t="str">
        <f>IFERROR(__xludf.DUMMYFUNCTION("""COMPUTED_VALUE"""),"CCN")</f>
        <v>CCN</v>
      </c>
      <c r="K237" s="1076">
        <f>IFERROR(__xludf.DUMMYFUNCTION("""COMPUTED_VALUE"""),2)</f>
        <v>2</v>
      </c>
      <c r="L237" s="1076" t="str">
        <f>IFERROR(__xludf.DUMMYFUNCTION("""COMPUTED_VALUE"""),"KLH")</f>
        <v>KLH</v>
      </c>
    </row>
    <row r="238" customHeight="1" spans="1:12">
      <c r="A238" s="1086" t="str">
        <f>IFERROR(__xludf.DUMMYFUNCTION("""COMPUTED_VALUE"""),"CHT-MĐA-075")</f>
        <v>CHT-MĐA-075</v>
      </c>
      <c r="B238" s="1075" t="str">
        <f>IFERROR(__xludf.DUMMYFUNCTION("""COMPUTED_VALUE"""),"Máy đào KOMATSU bánh xích gàu 0.3m3")</f>
        <v>Máy đào KOMATSU bánh xích gàu 0.3m3</v>
      </c>
      <c r="C238" s="1076" t="str">
        <f>IFERROR(__xludf.DUMMYFUNCTION("""COMPUTED_VALUE"""),"XN Chuối LP1")</f>
        <v>XN Chuối LP1</v>
      </c>
      <c r="D238" s="1076" t="str">
        <f>IFERROR(__xludf.DUMMYFUNCTION("""COMPUTED_VALUE"""),"KOMATSU")</f>
        <v>KOMATSU</v>
      </c>
      <c r="E238" s="1076" t="str">
        <f>IFERROR(__xludf.DUMMYFUNCTION("""COMPUTED_VALUE"""),"NHẬT BẢN")</f>
        <v>NHẬT BẢN</v>
      </c>
      <c r="F238" s="1076">
        <f>IFERROR(__xludf.DUMMYFUNCTION("""COMPUTED_VALUE"""),2013)</f>
        <v>2013</v>
      </c>
      <c r="G238" s="1076" t="str">
        <f>IFERROR(__xludf.DUMMYFUNCTION("""COMPUTED_VALUE"""),"PC40MR-3")</f>
        <v>PC40MR-3</v>
      </c>
      <c r="H238" s="1076" t="str">
        <f>IFERROR(__xludf.DUMMYFUNCTION("""COMPUTED_VALUE"""),"39HP")</f>
        <v>39HP</v>
      </c>
      <c r="I238" s="1076" t="str">
        <f>IFERROR(__xludf.DUMMYFUNCTION("""COMPUTED_VALUE"""),"KMTPC203C04021039")</f>
        <v>KMTPC203C04021039</v>
      </c>
      <c r="J238" s="1076" t="str">
        <f>IFERROR(__xludf.DUMMYFUNCTION("""COMPUTED_VALUE"""),"27539")</f>
        <v>27539</v>
      </c>
      <c r="K238" s="1076">
        <f>IFERROR(__xludf.DUMMYFUNCTION("""COMPUTED_VALUE"""),4)</f>
        <v>4</v>
      </c>
      <c r="L238" s="1076" t="str">
        <f>IFERROR(__xludf.DUMMYFUNCTION("""COMPUTED_VALUE"""),"KLH")</f>
        <v>KLH</v>
      </c>
    </row>
    <row r="239" customHeight="1" spans="1:12">
      <c r="A239" s="1086" t="str">
        <f>IFERROR(__xludf.DUMMYFUNCTION("""COMPUTED_VALUE"""),"CHT-MĐA-076")</f>
        <v>CHT-MĐA-076</v>
      </c>
      <c r="B239" s="1075" t="str">
        <f>IFERROR(__xludf.DUMMYFUNCTION("""COMPUTED_VALUE"""),"Máy đào KOMATSU bánh xích gàu 0.3m3")</f>
        <v>Máy đào KOMATSU bánh xích gàu 0.3m3</v>
      </c>
      <c r="C239" s="1076" t="str">
        <f>IFERROR(__xludf.DUMMYFUNCTION("""COMPUTED_VALUE"""),"XN Chuối LP1")</f>
        <v>XN Chuối LP1</v>
      </c>
      <c r="D239" s="1076" t="str">
        <f>IFERROR(__xludf.DUMMYFUNCTION("""COMPUTED_VALUE"""),"KOMATSU")</f>
        <v>KOMATSU</v>
      </c>
      <c r="E239" s="1076" t="str">
        <f>IFERROR(__xludf.DUMMYFUNCTION("""COMPUTED_VALUE"""),"NHẬT BẢN")</f>
        <v>NHẬT BẢN</v>
      </c>
      <c r="F239" s="1076">
        <f>IFERROR(__xludf.DUMMYFUNCTION("""COMPUTED_VALUE"""),2013)</f>
        <v>2013</v>
      </c>
      <c r="G239" s="1076" t="str">
        <f>IFERROR(__xludf.DUMMYFUNCTION("""COMPUTED_VALUE"""),"PC40MR-3")</f>
        <v>PC40MR-3</v>
      </c>
      <c r="H239" s="1076" t="str">
        <f>IFERROR(__xludf.DUMMYFUNCTION("""COMPUTED_VALUE"""),"39HP")</f>
        <v>39HP</v>
      </c>
      <c r="I239" s="1076" t="str">
        <f>IFERROR(__xludf.DUMMYFUNCTION("""COMPUTED_VALUE"""),"KMTPC203E04021413")</f>
        <v>KMTPC203E04021413</v>
      </c>
      <c r="J239" s="1076" t="str">
        <f>IFERROR(__xludf.DUMMYFUNCTION("""COMPUTED_VALUE"""),"29346")</f>
        <v>29346</v>
      </c>
      <c r="K239" s="1076">
        <f>IFERROR(__xludf.DUMMYFUNCTION("""COMPUTED_VALUE"""),4)</f>
        <v>4</v>
      </c>
      <c r="L239" s="1076" t="str">
        <f>IFERROR(__xludf.DUMMYFUNCTION("""COMPUTED_VALUE"""),"KLH")</f>
        <v>KLH</v>
      </c>
    </row>
    <row r="240" customHeight="1" spans="1:12">
      <c r="A240" s="1086" t="str">
        <f>IFERROR(__xludf.DUMMYFUNCTION("""COMPUTED_VALUE"""),"CHT-MĐA-056")</f>
        <v>CHT-MĐA-056</v>
      </c>
      <c r="B240" s="1075" t="str">
        <f>IFERROR(__xludf.DUMMYFUNCTION("""COMPUTED_VALUE"""),"Máy đào KOMATSU bánh xích gàu 0.3m3")</f>
        <v>Máy đào KOMATSU bánh xích gàu 0.3m3</v>
      </c>
      <c r="C240" s="1076" t="str">
        <f>IFERROR(__xludf.DUMMYFUNCTION("""COMPUTED_VALUE"""),"XN Chuối LP1")</f>
        <v>XN Chuối LP1</v>
      </c>
      <c r="D240" s="1076" t="str">
        <f>IFERROR(__xludf.DUMMYFUNCTION("""COMPUTED_VALUE"""),"KOMATSU")</f>
        <v>KOMATSU</v>
      </c>
      <c r="E240" s="1076" t="str">
        <f>IFERROR(__xludf.DUMMYFUNCTION("""COMPUTED_VALUE"""),"NHẬT BẢN")</f>
        <v>NHẬT BẢN</v>
      </c>
      <c r="F240" s="1076">
        <f>IFERROR(__xludf.DUMMYFUNCTION("""COMPUTED_VALUE"""),2015)</f>
        <v>2015</v>
      </c>
      <c r="G240" s="1076" t="str">
        <f>IFERROR(__xludf.DUMMYFUNCTION("""COMPUTED_VALUE"""),"PC40MR-3")</f>
        <v>PC40MR-3</v>
      </c>
      <c r="H240" s="1076" t="str">
        <f>IFERROR(__xludf.DUMMYFUNCTION("""COMPUTED_VALUE"""),"40HP")</f>
        <v>40HP</v>
      </c>
      <c r="I240" s="1076" t="str">
        <f>IFERROR(__xludf.DUMMYFUNCTION("""COMPUTED_VALUE"""),"KMTPC203VFE022946")</f>
        <v>KMTPC203VFE022946</v>
      </c>
      <c r="J240" s="1076" t="str">
        <f>IFERROR(__xludf.DUMMYFUNCTION("""COMPUTED_VALUE"""),"35099")</f>
        <v>35099</v>
      </c>
      <c r="K240" s="1076">
        <f>IFERROR(__xludf.DUMMYFUNCTION("""COMPUTED_VALUE"""),4)</f>
        <v>4</v>
      </c>
      <c r="L240" s="1076" t="str">
        <f>IFERROR(__xludf.DUMMYFUNCTION("""COMPUTED_VALUE"""),"KLH")</f>
        <v>KLH</v>
      </c>
    </row>
    <row r="241" customHeight="1" spans="1:12">
      <c r="A241" s="1086" t="str">
        <f>IFERROR(__xludf.DUMMYFUNCTION("""COMPUTED_VALUE"""),"CHT-XLU-009")</f>
        <v>CHT-XLU-009</v>
      </c>
      <c r="B241" s="1075" t="str">
        <f>IFERROR(__xludf.DUMMYFUNCTION("""COMPUTED_VALUE"""),"Xe lu rung Sakai 3.5 tấn")</f>
        <v>Xe lu rung Sakai 3.5 tấn</v>
      </c>
      <c r="C241" s="1076" t="str">
        <f>IFERROR(__xludf.DUMMYFUNCTION("""COMPUTED_VALUE"""),"XN Chuối LP1")</f>
        <v>XN Chuối LP1</v>
      </c>
      <c r="D241" s="1076" t="str">
        <f>IFERROR(__xludf.DUMMYFUNCTION("""COMPUTED_VALUE"""),"SAKAI")</f>
        <v>SAKAI</v>
      </c>
      <c r="E241" s="1076" t="str">
        <f>IFERROR(__xludf.DUMMYFUNCTION("""COMPUTED_VALUE"""),"NHẬT BẢN")</f>
        <v>NHẬT BẢN</v>
      </c>
      <c r="F241" s="1076">
        <f>IFERROR(__xludf.DUMMYFUNCTION("""COMPUTED_VALUE"""),1998)</f>
        <v>1998</v>
      </c>
      <c r="G241" s="1076" t="str">
        <f>IFERROR(__xludf.DUMMYFUNCTION("""COMPUTED_VALUE"""),"SW350-1")</f>
        <v>SW350-1</v>
      </c>
      <c r="H241" s="1076" t="str">
        <f>IFERROR(__xludf.DUMMYFUNCTION("""COMPUTED_VALUE"""),"28HP")</f>
        <v>28HP</v>
      </c>
      <c r="I241" s="1076" t="str">
        <f>IFERROR(__xludf.DUMMYFUNCTION("""COMPUTED_VALUE"""),"VSW1410104")</f>
        <v>VSW1410104</v>
      </c>
      <c r="J241" s="1076" t="str">
        <f>IFERROR(__xludf.DUMMYFUNCTION("""COMPUTED_VALUE"""),"256182")</f>
        <v>256182</v>
      </c>
      <c r="K241" s="1076">
        <f>IFERROR(__xludf.DUMMYFUNCTION("""COMPUTED_VALUE"""),2.5)</f>
        <v>2.5</v>
      </c>
      <c r="L241" s="1076" t="str">
        <f>IFERROR(__xludf.DUMMYFUNCTION("""COMPUTED_VALUE"""),"KLH")</f>
        <v>KLH</v>
      </c>
    </row>
    <row r="242" customHeight="1" spans="1:12">
      <c r="A242" s="1086" t="str">
        <f>IFERROR(__xludf.DUMMYFUNCTION("""COMPUTED_VALUE"""),"XL1-CLT-008")</f>
        <v>XL1-CLT-008</v>
      </c>
      <c r="B242" s="1075" t="str">
        <f>IFERROR(__xludf.DUMMYFUNCTION("""COMPUTED_VALUE"""),"Xe clethon")</f>
        <v>Xe clethon</v>
      </c>
      <c r="C242" s="1076" t="str">
        <f>IFERROR(__xludf.DUMMYFUNCTION("""COMPUTED_VALUE"""),"XN Chuối LP1")</f>
        <v>XN Chuối LP1</v>
      </c>
      <c r="D242" s="1076" t="str">
        <f>IFERROR(__xludf.DUMMYFUNCTION("""COMPUTED_VALUE"""),"YANMAR")</f>
        <v>YANMAR</v>
      </c>
      <c r="E242" s="1076" t="str">
        <f>IFERROR(__xludf.DUMMYFUNCTION("""COMPUTED_VALUE"""),"INDONESIA")</f>
        <v>INDONESIA</v>
      </c>
      <c r="F242" s="1076">
        <f>IFERROR(__xludf.DUMMYFUNCTION("""COMPUTED_VALUE"""),2022)</f>
        <v>2022</v>
      </c>
      <c r="G242" s="1076" t="str">
        <f>IFERROR(__xludf.DUMMYFUNCTION("""COMPUTED_VALUE"""),"TF150NL-PR2")</f>
        <v>TF150NL-PR2</v>
      </c>
      <c r="H242" s="1076" t="str">
        <f>IFERROR(__xludf.DUMMYFUNCTION("""COMPUTED_VALUE"""),"15HP")</f>
        <v>15HP</v>
      </c>
      <c r="I242" s="1076" t="str">
        <f>IFERROR(__xludf.DUMMYFUNCTION("""COMPUTED_VALUE"""),"203084")</f>
        <v>203084</v>
      </c>
      <c r="J242" s="1076" t="str">
        <f>IFERROR(__xludf.DUMMYFUNCTION("""COMPUTED_VALUE"""),"B2212L")</f>
        <v>B2212L</v>
      </c>
      <c r="K242" s="1076">
        <f>IFERROR(__xludf.DUMMYFUNCTION("""COMPUTED_VALUE"""),0.68)</f>
        <v>0.68</v>
      </c>
      <c r="L242" s="1076" t="str">
        <f>IFERROR(__xludf.DUMMYFUNCTION("""COMPUTED_VALUE"""),"KLH")</f>
        <v>KLH</v>
      </c>
    </row>
    <row r="243" customHeight="1" spans="1:12">
      <c r="A243" s="1082" t="str">
        <f>IFERROR(__xludf.DUMMYFUNCTION("""COMPUTED_VALUE"""),"XL1-XTA-001")</f>
        <v>XL1-XTA-001</v>
      </c>
      <c r="B243" s="1075" t="str">
        <f>IFERROR(__xludf.DUMMYFUNCTION("""COMPUTED_VALUE"""),"Xe ben Forland FD990-4WDXTH4-5T")</f>
        <v>Xe ben Forland FD990-4WDXTH4-5T</v>
      </c>
      <c r="C243" s="1076" t="str">
        <f>IFERROR(__xludf.DUMMYFUNCTION("""COMPUTED_VALUE"""),"XN Chuối LP1")</f>
        <v>XN Chuối LP1</v>
      </c>
      <c r="D243" s="1076" t="str">
        <f>IFERROR(__xludf.DUMMYFUNCTION("""COMPUTED_VALUE"""),"THACO FORLAND")</f>
        <v>THACO FORLAND</v>
      </c>
      <c r="E243" s="1076" t="str">
        <f>IFERROR(__xludf.DUMMYFUNCTION("""COMPUTED_VALUE"""),"VIỆT NAM")</f>
        <v>VIỆT NAM</v>
      </c>
      <c r="F243" s="1076">
        <f>IFERROR(__xludf.DUMMYFUNCTION("""COMPUTED_VALUE"""),2024)</f>
        <v>2024</v>
      </c>
      <c r="G243" s="1076" t="str">
        <f>IFERROR(__xludf.DUMMYFUNCTION("""COMPUTED_VALUE""")," FD990-4WD")</f>
        <v> FD990-4WD</v>
      </c>
      <c r="H243" s="1076" t="str">
        <f>IFERROR(__xludf.DUMMYFUNCTION("""COMPUTED_VALUE"""),"94HP")</f>
        <v>94HP</v>
      </c>
      <c r="I243" s="1076" t="str">
        <f>IFERROR(__xludf.DUMMYFUNCTION("""COMPUTED_VALUE"""),"RNHF99FACRT087866")</f>
        <v>RNHF99FACRT087866</v>
      </c>
      <c r="J243" s="1076" t="str">
        <f>IFERROR(__xludf.DUMMYFUNCTION("""COMPUTED_VALUE"""),"4DW93-95E4*B0577301*")</f>
        <v>4DW93-95E4*B0577301*</v>
      </c>
      <c r="K243" s="1076">
        <f>IFERROR(__xludf.DUMMYFUNCTION("""COMPUTED_VALUE"""),0.33)</f>
        <v>0.33</v>
      </c>
      <c r="L243" s="1076" t="str">
        <f>IFERROR(__xludf.DUMMYFUNCTION("""COMPUTED_VALUE"""),"KLH")</f>
        <v>KLH</v>
      </c>
    </row>
    <row r="244" customHeight="1" spans="1:12">
      <c r="A244" s="1082" t="str">
        <f>IFERROR(__xludf.DUMMYFUNCTION("""COMPUTED_VALUE"""),"XL1-XTA-002")</f>
        <v>XL1-XTA-002</v>
      </c>
      <c r="B244" s="1075" t="str">
        <f>IFERROR(__xludf.DUMMYFUNCTION("""COMPUTED_VALUE"""),"Xe ben Forland FD990-4WDXTH4-5T")</f>
        <v>Xe ben Forland FD990-4WDXTH4-5T</v>
      </c>
      <c r="C244" s="1076" t="str">
        <f>IFERROR(__xludf.DUMMYFUNCTION("""COMPUTED_VALUE"""),"XN Chuối LP1")</f>
        <v>XN Chuối LP1</v>
      </c>
      <c r="D244" s="1076" t="str">
        <f>IFERROR(__xludf.DUMMYFUNCTION("""COMPUTED_VALUE"""),"THACO FORLAND")</f>
        <v>THACO FORLAND</v>
      </c>
      <c r="E244" s="1076" t="str">
        <f>IFERROR(__xludf.DUMMYFUNCTION("""COMPUTED_VALUE"""),"VIỆT NAM")</f>
        <v>VIỆT NAM</v>
      </c>
      <c r="F244" s="1076">
        <f>IFERROR(__xludf.DUMMYFUNCTION("""COMPUTED_VALUE"""),2024)</f>
        <v>2024</v>
      </c>
      <c r="G244" s="1076" t="str">
        <f>IFERROR(__xludf.DUMMYFUNCTION("""COMPUTED_VALUE""")," FD990-4WD")</f>
        <v> FD990-4WD</v>
      </c>
      <c r="H244" s="1076" t="str">
        <f>IFERROR(__xludf.DUMMYFUNCTION("""COMPUTED_VALUE"""),"94HP")</f>
        <v>94HP</v>
      </c>
      <c r="I244" s="1076" t="str">
        <f>IFERROR(__xludf.DUMMYFUNCTION("""COMPUTED_VALUE"""),"RNHF99FACRT090611")</f>
        <v>RNHF99FACRT090611</v>
      </c>
      <c r="J244" s="1076" t="str">
        <f>IFERROR(__xludf.DUMMYFUNCTION("""COMPUTED_VALUE"""),"4DW93-95E4*B0576952*")</f>
        <v>4DW93-95E4*B0576952*</v>
      </c>
      <c r="K244" s="1076">
        <f>IFERROR(__xludf.DUMMYFUNCTION("""COMPUTED_VALUE"""),0.33)</f>
        <v>0.33</v>
      </c>
      <c r="L244" s="1076" t="str">
        <f>IFERROR(__xludf.DUMMYFUNCTION("""COMPUTED_VALUE"""),"KLH")</f>
        <v>KLH</v>
      </c>
    </row>
    <row r="245" customHeight="1" spans="1:12">
      <c r="A245" s="1082" t="str">
        <f>IFERROR(__xludf.DUMMYFUNCTION("""COMPUTED_VALUE"""),"XL1-XTA-004")</f>
        <v>XL1-XTA-004</v>
      </c>
      <c r="B245" s="1075" t="str">
        <f>IFERROR(__xludf.DUMMYFUNCTION("""COMPUTED_VALUE"""),"Xe ben Forland FD990-4WDXTH4-5T")</f>
        <v>Xe ben Forland FD990-4WDXTH4-5T</v>
      </c>
      <c r="C245" s="1076" t="str">
        <f>IFERROR(__xludf.DUMMYFUNCTION("""COMPUTED_VALUE"""),"XN Chuối LP1")</f>
        <v>XN Chuối LP1</v>
      </c>
      <c r="D245" s="1076" t="str">
        <f>IFERROR(__xludf.DUMMYFUNCTION("""COMPUTED_VALUE"""),"THACO FORLAND")</f>
        <v>THACO FORLAND</v>
      </c>
      <c r="E245" s="1076" t="str">
        <f>IFERROR(__xludf.DUMMYFUNCTION("""COMPUTED_VALUE"""),"VIỆT NAM")</f>
        <v>VIỆT NAM</v>
      </c>
      <c r="F245" s="1076">
        <f>IFERROR(__xludf.DUMMYFUNCTION("""COMPUTED_VALUE"""),2024)</f>
        <v>2024</v>
      </c>
      <c r="G245" s="1076" t="str">
        <f>IFERROR(__xludf.DUMMYFUNCTION("""COMPUTED_VALUE""")," FD990-4WD")</f>
        <v> FD990-4WD</v>
      </c>
      <c r="H245" s="1076" t="str">
        <f>IFERROR(__xludf.DUMMYFUNCTION("""COMPUTED_VALUE"""),"94HP")</f>
        <v>94HP</v>
      </c>
      <c r="I245" s="1076" t="str">
        <f>IFERROR(__xludf.DUMMYFUNCTION("""COMPUTED_VALUE"""),"RNHF99FACRT090616")</f>
        <v>RNHF99FACRT090616</v>
      </c>
      <c r="J245" s="1076" t="str">
        <f>IFERROR(__xludf.DUMMYFUNCTION("""COMPUTED_VALUE"""),"B0577292")</f>
        <v>B0577292</v>
      </c>
      <c r="K245" s="1076">
        <f>IFERROR(__xludf.DUMMYFUNCTION("""COMPUTED_VALUE"""),3)</f>
        <v>3</v>
      </c>
      <c r="L245" s="1076" t="str">
        <f>IFERROR(__xludf.DUMMYFUNCTION("""COMPUTED_VALUE"""),"KLH")</f>
        <v>KLH</v>
      </c>
    </row>
    <row r="246" customHeight="1" spans="1:12">
      <c r="A246" s="1086" t="str">
        <f>IFERROR(__xludf.DUMMYFUNCTION("""COMPUTED_VALUE"""),"XL1-XTA-008")</f>
        <v>XL1-XTA-008</v>
      </c>
      <c r="B246" s="1075" t="str">
        <f>IFERROR(__xludf.DUMMYFUNCTION("""COMPUTED_VALUE"""),"Xe tải THACO FRONTIER TF700")</f>
        <v>Xe tải THACO FRONTIER TF700</v>
      </c>
      <c r="C246" s="1076" t="str">
        <f>IFERROR(__xludf.DUMMYFUNCTION("""COMPUTED_VALUE"""),"XN Chuối LP1")</f>
        <v>XN Chuối LP1</v>
      </c>
      <c r="D246" s="1076" t="str">
        <f>IFERROR(__xludf.DUMMYFUNCTION("""COMPUTED_VALUE"""),"THACO FRONTIER")</f>
        <v>THACO FRONTIER</v>
      </c>
      <c r="E246" s="1076" t="str">
        <f>IFERROR(__xludf.DUMMYFUNCTION("""COMPUTED_VALUE"""),"VIỆT NAM")</f>
        <v>VIỆT NAM</v>
      </c>
      <c r="F246" s="1076">
        <f>IFERROR(__xludf.DUMMYFUNCTION("""COMPUTED_VALUE"""),2024)</f>
        <v>2024</v>
      </c>
      <c r="G246" s="1076" t="str">
        <f>IFERROR(__xludf.DUMMYFUNCTION("""COMPUTED_VALUE"""),"TF700")</f>
        <v>TF700</v>
      </c>
      <c r="H246" s="1076" t="str">
        <f>IFERROR(__xludf.DUMMYFUNCTION("""COMPUTED_VALUE"""),"107HP")</f>
        <v>107HP</v>
      </c>
      <c r="I246" s="1076" t="str">
        <f>IFERROR(__xludf.DUMMYFUNCTION("""COMPUTED_VALUE"""),"RNHA69TZAPT082910")</f>
        <v>RNHA69TZAPT082910</v>
      </c>
      <c r="J246" s="1076" t="str">
        <f>IFERROR(__xludf.DUMMYFUNCTION("""COMPUTED_VALUE"""),"JE493ZLQ4*37100367*")</f>
        <v>JE493ZLQ4*37100367*</v>
      </c>
      <c r="K246" s="1076">
        <f>IFERROR(__xludf.DUMMYFUNCTION("""COMPUTED_VALUE"""),0.2)</f>
        <v>0.2</v>
      </c>
      <c r="L246" s="1076" t="str">
        <f>IFERROR(__xludf.DUMMYFUNCTION("""COMPUTED_VALUE"""),"KLH")</f>
        <v>KLH</v>
      </c>
    </row>
    <row r="247" customHeight="1" spans="1:12">
      <c r="A247" s="1086" t="str">
        <f>IFERROR(__xludf.DUMMYFUNCTION("""COMPUTED_VALUE"""),"XL1-XTA-006")</f>
        <v>XL1-XTA-006</v>
      </c>
      <c r="B247" s="1075" t="str">
        <f>IFERROR(__xludf.DUMMYFUNCTION("""COMPUTED_VALUE"""),"Xe tải KOZUN")</f>
        <v>Xe tải KOZUN</v>
      </c>
      <c r="C247" s="1076" t="str">
        <f>IFERROR(__xludf.DUMMYFUNCTION("""COMPUTED_VALUE"""),"XN Chuối LP1")</f>
        <v>XN Chuối LP1</v>
      </c>
      <c r="D247" s="1076" t="str">
        <f>IFERROR(__xludf.DUMMYFUNCTION("""COMPUTED_VALUE"""),"KOZUN")</f>
        <v>KOZUN</v>
      </c>
      <c r="E247" s="1076" t="str">
        <f>IFERROR(__xludf.DUMMYFUNCTION("""COMPUTED_VALUE"""),"CAMPUCHIA")</f>
        <v>CAMPUCHIA</v>
      </c>
      <c r="F247" s="1076"/>
      <c r="G247" s="1076"/>
      <c r="H247" s="1076" t="str">
        <f>IFERROR(__xludf.DUMMYFUNCTION("""COMPUTED_VALUE"""),"60HP")</f>
        <v>60HP</v>
      </c>
      <c r="I247" s="1076" t="str">
        <f>IFERROR(__xludf.DUMMYFUNCTION("""COMPUTED_VALUE"""),"29823")</f>
        <v>29823</v>
      </c>
      <c r="J247" s="1076" t="str">
        <f>IFERROR(__xludf.DUMMYFUNCTION("""COMPUTED_VALUE"""),"CCN")</f>
        <v>CCN</v>
      </c>
      <c r="K247" s="1076">
        <f>IFERROR(__xludf.DUMMYFUNCTION("""COMPUTED_VALUE"""),2)</f>
        <v>2</v>
      </c>
      <c r="L247" s="1076" t="str">
        <f>IFERROR(__xludf.DUMMYFUNCTION("""COMPUTED_VALUE"""),"KLH")</f>
        <v>KLH</v>
      </c>
    </row>
    <row r="248" customHeight="1" spans="1:12">
      <c r="A248" s="1086" t="str">
        <f>IFERROR(__xludf.DUMMYFUNCTION("""COMPUTED_VALUE"""),"XL1-XTA-007")</f>
        <v>XL1-XTA-007</v>
      </c>
      <c r="B248" s="1075" t="str">
        <f>IFERROR(__xludf.DUMMYFUNCTION("""COMPUTED_VALUE"""),"Xe tải KOZUN")</f>
        <v>Xe tải KOZUN</v>
      </c>
      <c r="C248" s="1076" t="str">
        <f>IFERROR(__xludf.DUMMYFUNCTION("""COMPUTED_VALUE"""),"XN Chuối LP1")</f>
        <v>XN Chuối LP1</v>
      </c>
      <c r="D248" s="1076" t="str">
        <f>IFERROR(__xludf.DUMMYFUNCTION("""COMPUTED_VALUE"""),"KOZUN")</f>
        <v>KOZUN</v>
      </c>
      <c r="E248" s="1076" t="str">
        <f>IFERROR(__xludf.DUMMYFUNCTION("""COMPUTED_VALUE"""),"CAMPUCHIA")</f>
        <v>CAMPUCHIA</v>
      </c>
      <c r="F248" s="1076"/>
      <c r="G248" s="1076"/>
      <c r="H248" s="1076" t="str">
        <f>IFERROR(__xludf.DUMMYFUNCTION("""COMPUTED_VALUE"""),"60HP")</f>
        <v>60HP</v>
      </c>
      <c r="I248" s="1076" t="str">
        <f>IFERROR(__xludf.DUMMYFUNCTION("""COMPUTED_VALUE"""),"101437")</f>
        <v>101437</v>
      </c>
      <c r="J248" s="1076" t="str">
        <f>IFERROR(__xludf.DUMMYFUNCTION("""COMPUTED_VALUE"""),"CCN")</f>
        <v>CCN</v>
      </c>
      <c r="K248" s="1076">
        <f>IFERROR(__xludf.DUMMYFUNCTION("""COMPUTED_VALUE"""),2)</f>
        <v>2</v>
      </c>
      <c r="L248" s="1076" t="str">
        <f>IFERROR(__xludf.DUMMYFUNCTION("""COMPUTED_VALUE"""),"KLH")</f>
        <v>KLH</v>
      </c>
    </row>
    <row r="249" customHeight="1" spans="1:12">
      <c r="A249" s="1082" t="str">
        <f>IFERROR(__xludf.DUMMYFUNCTION("""COMPUTED_VALUE"""),"XL1-XPT-001")</f>
        <v>XL1-XPT-001</v>
      </c>
      <c r="B249" s="1075" t="str">
        <f>IFERROR(__xludf.DUMMYFUNCTION("""COMPUTED_VALUE"""),"Xe phun thuốc HYUNDAI 15T")</f>
        <v>Xe phun thuốc HYUNDAI 15T</v>
      </c>
      <c r="C249" s="1076" t="str">
        <f>IFERROR(__xludf.DUMMYFUNCTION("""COMPUTED_VALUE"""),"XN Chuối LP1")</f>
        <v>XN Chuối LP1</v>
      </c>
      <c r="D249" s="1076" t="str">
        <f>IFERROR(__xludf.DUMMYFUNCTION("""COMPUTED_VALUE"""),"HYUNDAI")</f>
        <v>HYUNDAI</v>
      </c>
      <c r="E249" s="1076" t="str">
        <f>IFERROR(__xludf.DUMMYFUNCTION("""COMPUTED_VALUE"""),"HÀN QUỐC")</f>
        <v>HÀN QUỐC</v>
      </c>
      <c r="F249" s="1076"/>
      <c r="G249" s="1076"/>
      <c r="H249" s="1076" t="str">
        <f>IFERROR(__xludf.DUMMYFUNCTION("""COMPUTED_VALUE"""),"15TẤN")</f>
        <v>15TẤN</v>
      </c>
      <c r="I249" s="1076" t="str">
        <f>IFERROR(__xludf.DUMMYFUNCTION("""COMPUTED_VALUE"""),"6958")</f>
        <v>6958</v>
      </c>
      <c r="J249" s="1076" t="str">
        <f>IFERROR(__xludf.DUMMYFUNCTION("""COMPUTED_VALUE"""),"CCN")</f>
        <v>CCN</v>
      </c>
      <c r="K249" s="1076">
        <f>IFERROR(__xludf.DUMMYFUNCTION("""COMPUTED_VALUE"""),3.75)</f>
        <v>3.75</v>
      </c>
      <c r="L249" s="1076" t="str">
        <f>IFERROR(__xludf.DUMMYFUNCTION("""COMPUTED_VALUE"""),"KLH")</f>
        <v>KLH</v>
      </c>
    </row>
    <row r="250" customHeight="1" spans="1:12">
      <c r="A250" s="1082" t="str">
        <f>IFERROR(__xludf.DUMMYFUNCTION("""COMPUTED_VALUE"""),"XL1-XNA-001")</f>
        <v>XL1-XNA-001</v>
      </c>
      <c r="B250" s="1075" t="str">
        <f>IFERROR(__xludf.DUMMYFUNCTION("""COMPUTED_VALUE"""),"Xe nâng điện 1.5 tấn")</f>
        <v>Xe nâng điện 1.5 tấn</v>
      </c>
      <c r="C250" s="1076" t="str">
        <f>IFERROR(__xludf.DUMMYFUNCTION("""COMPUTED_VALUE"""),"XN Chuối LP1")</f>
        <v>XN Chuối LP1</v>
      </c>
      <c r="D250" s="1076" t="str">
        <f>IFERROR(__xludf.DUMMYFUNCTION("""COMPUTED_VALUE"""),"BYD")</f>
        <v>BYD</v>
      </c>
      <c r="E250" s="1076" t="str">
        <f>IFERROR(__xludf.DUMMYFUNCTION("""COMPUTED_VALUE"""),"TRUNG QUỐC")</f>
        <v>TRUNG QUỐC</v>
      </c>
      <c r="F250" s="1076">
        <f>IFERROR(__xludf.DUMMYFUNCTION("""COMPUTED_VALUE"""),2019)</f>
        <v>2019</v>
      </c>
      <c r="G250" s="1076" t="str">
        <f>IFERROR(__xludf.DUMMYFUNCTION("""COMPUTED_VALUE"""),"ECB16S-B")</f>
        <v>ECB16S-B</v>
      </c>
      <c r="H250" s="1076" t="str">
        <f>IFERROR(__xludf.DUMMYFUNCTION("""COMPUTED_VALUE"""),"1.5TẤN")</f>
        <v>1.5TẤN</v>
      </c>
      <c r="I250" s="1076" t="str">
        <f>IFERROR(__xludf.DUMMYFUNCTION("""COMPUTED_VALUE"""),"1501190010")</f>
        <v>1501190010</v>
      </c>
      <c r="J250" s="1076" t="str">
        <f>IFERROR(__xludf.DUMMYFUNCTION("""COMPUTED_VALUE"""),"CCN")</f>
        <v>CCN</v>
      </c>
      <c r="K250" s="1076"/>
      <c r="L250" s="1076" t="str">
        <f>IFERROR(__xludf.DUMMYFUNCTION("""COMPUTED_VALUE"""),"KLH")</f>
        <v>KLH</v>
      </c>
    </row>
    <row r="251" customHeight="1" spans="1:12">
      <c r="A251" s="1082" t="str">
        <f>IFERROR(__xludf.DUMMYFUNCTION("""COMPUTED_VALUE"""),"XL1-XNA-002")</f>
        <v>XL1-XNA-002</v>
      </c>
      <c r="B251" s="1075" t="str">
        <f>IFERROR(__xludf.DUMMYFUNCTION("""COMPUTED_VALUE"""),"Xe nâng điện 2.5 tấn")</f>
        <v>Xe nâng điện 2.5 tấn</v>
      </c>
      <c r="C251" s="1076" t="str">
        <f>IFERROR(__xludf.DUMMYFUNCTION("""COMPUTED_VALUE"""),"XN Chuối LP1")</f>
        <v>XN Chuối LP1</v>
      </c>
      <c r="D251" s="1076" t="str">
        <f>IFERROR(__xludf.DUMMYFUNCTION("""COMPUTED_VALUE"""),"LOVOL")</f>
        <v>LOVOL</v>
      </c>
      <c r="E251" s="1076" t="str">
        <f>IFERROR(__xludf.DUMMYFUNCTION("""COMPUTED_VALUE"""),"TRUNG QUỐC")</f>
        <v>TRUNG QUỐC</v>
      </c>
      <c r="F251" s="1076">
        <f>IFERROR(__xludf.DUMMYFUNCTION("""COMPUTED_VALUE"""),2026)</f>
        <v>2026</v>
      </c>
      <c r="G251" s="1076" t="str">
        <f>IFERROR(__xludf.DUMMYFUNCTION("""COMPUTED_VALUE"""),"FF25E")</f>
        <v>FF25E</v>
      </c>
      <c r="H251" s="1076" t="str">
        <f>IFERROR(__xludf.DUMMYFUNCTION("""COMPUTED_VALUE"""),"13,68 HP")</f>
        <v>13,68 HP</v>
      </c>
      <c r="I251" s="1076" t="str">
        <f>IFERROR(__xludf.DUMMYFUNCTION("""COMPUTED_VALUE"""),"C31293R50032")</f>
        <v>C31293R50032</v>
      </c>
      <c r="J251" s="1076"/>
      <c r="K251" s="1076"/>
      <c r="L251" s="1076" t="str">
        <f>IFERROR(__xludf.DUMMYFUNCTION("""COMPUTED_VALUE"""),"KLH")</f>
        <v>KLH</v>
      </c>
    </row>
    <row r="252" customHeight="1" spans="1:12">
      <c r="A252" s="1082" t="str">
        <f>IFERROR(__xludf.DUMMYFUNCTION("""COMPUTED_VALUE"""),"XL1-MXĐ-001")</f>
        <v>XL1-MXĐ-001</v>
      </c>
      <c r="B252" s="1075" t="str">
        <f>IFERROR(__xludf.DUMMYFUNCTION("""COMPUTED_VALUE"""),"Máy xới đất")</f>
        <v>Máy xới đất</v>
      </c>
      <c r="C252" s="1076" t="str">
        <f>IFERROR(__xludf.DUMMYFUNCTION("""COMPUTED_VALUE"""),"XN Chuối LP1")</f>
        <v>XN Chuối LP1</v>
      </c>
      <c r="D252" s="1076" t="str">
        <f>IFERROR(__xludf.DUMMYFUNCTION("""COMPUTED_VALUE"""),"BOER")</f>
        <v>BOER</v>
      </c>
      <c r="E252" s="1076" t="str">
        <f>IFERROR(__xludf.DUMMYFUNCTION("""COMPUTED_VALUE"""),"TRUNG QUỐC")</f>
        <v>TRUNG QUỐC</v>
      </c>
      <c r="F252" s="1076">
        <f>IFERROR(__xludf.DUMMYFUNCTION("""COMPUTED_VALUE"""),2022)</f>
        <v>2022</v>
      </c>
      <c r="G252" s="1076" t="str">
        <f>IFERROR(__xludf.DUMMYFUNCTION("""COMPUTED_VALUE"""),"RT165S")</f>
        <v>RT165S</v>
      </c>
      <c r="H252" s="1076" t="str">
        <f>IFERROR(__xludf.DUMMYFUNCTION("""COMPUTED_VALUE"""),"16.5HP")</f>
        <v>16.5HP</v>
      </c>
      <c r="I252" s="1076" t="str">
        <f>IFERROR(__xludf.DUMMYFUNCTION("""COMPUTED_VALUE"""),"CCN")</f>
        <v>CCN</v>
      </c>
      <c r="J252" s="1076" t="str">
        <f>IFERROR(__xludf.DUMMYFUNCTION("""COMPUTED_VALUE"""),"RT165-23C01014")</f>
        <v>RT165-23C01014</v>
      </c>
      <c r="K252" s="1076"/>
      <c r="L252" s="1076" t="str">
        <f>IFERROR(__xludf.DUMMYFUNCTION("""COMPUTED_VALUE"""),"KLH")</f>
        <v>KLH</v>
      </c>
    </row>
    <row r="253" customHeight="1" spans="1:12">
      <c r="A253" s="1082" t="str">
        <f>IFERROR(__xludf.DUMMYFUNCTION("""COMPUTED_VALUE"""),"XL1-CCD-001")</f>
        <v>XL1-CCD-001</v>
      </c>
      <c r="B253" s="1075" t="str">
        <f>IFERROR(__xludf.DUMMYFUNCTION("""COMPUTED_VALUE"""),"Máy cắt cỏ trục băm đa năng")</f>
        <v>Máy cắt cỏ trục băm đa năng</v>
      </c>
      <c r="C253" s="1076" t="str">
        <f>IFERROR(__xludf.DUMMYFUNCTION("""COMPUTED_VALUE"""),"XN Chuối LP1")</f>
        <v>XN Chuối LP1</v>
      </c>
      <c r="D253" s="1076" t="str">
        <f>IFERROR(__xludf.DUMMYFUNCTION("""COMPUTED_VALUE"""),"ISHIKAWA")</f>
        <v>ISHIKAWA</v>
      </c>
      <c r="E253" s="1076" t="str">
        <f>IFERROR(__xludf.DUMMYFUNCTION("""COMPUTED_VALUE"""),"VIỆT NAM")</f>
        <v>VIỆT NAM</v>
      </c>
      <c r="F253" s="1076">
        <f>IFERROR(__xludf.DUMMYFUNCTION("""COMPUTED_VALUE"""),2025)</f>
        <v>2025</v>
      </c>
      <c r="G253" s="1076" t="str">
        <f>IFERROR(__xludf.DUMMYFUNCTION("""COMPUTED_VALUE"""),"TL662")</f>
        <v>TL662</v>
      </c>
      <c r="H253" s="1076" t="str">
        <f>IFERROR(__xludf.DUMMYFUNCTION("""COMPUTED_VALUE"""),"10HP")</f>
        <v>10HP</v>
      </c>
      <c r="I253" s="1076" t="str">
        <f>IFERROR(__xludf.DUMMYFUNCTION("""COMPUTED_VALUE"""),"TL20250601409")</f>
        <v>TL20250601409</v>
      </c>
      <c r="J253" s="1076" t="str">
        <f>IFERROR(__xludf.DUMMYFUNCTION("""COMPUTED_VALUE"""),"GT1000B0042104CD")</f>
        <v>GT1000B0042104CD</v>
      </c>
      <c r="K253" s="1076">
        <f>IFERROR(__xludf.DUMMYFUNCTION("""COMPUTED_VALUE"""),1.8)</f>
        <v>1.8</v>
      </c>
      <c r="L253" s="1076" t="str">
        <f>IFERROR(__xludf.DUMMYFUNCTION("""COMPUTED_VALUE"""),"KLH")</f>
        <v>KLH</v>
      </c>
    </row>
    <row r="254" customHeight="1" spans="1:12">
      <c r="A254" s="1086" t="str">
        <f>IFERROR(__xludf.DUMMYFUNCTION("""COMPUTED_VALUE"""),"XL1-CCD-002")</f>
        <v>XL1-CCD-002</v>
      </c>
      <c r="B254" s="1075" t="str">
        <f>IFERROR(__xludf.DUMMYFUNCTION("""COMPUTED_VALUE"""),"Máy cắt cỏ trục băm đa năng")</f>
        <v>Máy cắt cỏ trục băm đa năng</v>
      </c>
      <c r="C254" s="1076" t="str">
        <f>IFERROR(__xludf.DUMMYFUNCTION("""COMPUTED_VALUE"""),"XN Chuối LP1")</f>
        <v>XN Chuối LP1</v>
      </c>
      <c r="D254" s="1076" t="str">
        <f>IFERROR(__xludf.DUMMYFUNCTION("""COMPUTED_VALUE"""),"ISHIKAWA")</f>
        <v>ISHIKAWA</v>
      </c>
      <c r="E254" s="1076" t="str">
        <f>IFERROR(__xludf.DUMMYFUNCTION("""COMPUTED_VALUE"""),"VIỆT NAM")</f>
        <v>VIỆT NAM</v>
      </c>
      <c r="F254" s="1076">
        <f>IFERROR(__xludf.DUMMYFUNCTION("""COMPUTED_VALUE"""),2025)</f>
        <v>2025</v>
      </c>
      <c r="G254" s="1076" t="str">
        <f>IFERROR(__xludf.DUMMYFUNCTION("""COMPUTED_VALUE"""),"TL662")</f>
        <v>TL662</v>
      </c>
      <c r="H254" s="1076" t="str">
        <f>IFERROR(__xludf.DUMMYFUNCTION("""COMPUTED_VALUE"""),"10HP")</f>
        <v>10HP</v>
      </c>
      <c r="I254" s="1076" t="str">
        <f>IFERROR(__xludf.DUMMYFUNCTION("""COMPUTED_VALUE"""),"TL202506014011")</f>
        <v>TL202506014011</v>
      </c>
      <c r="J254" s="1076" t="str">
        <f>IFERROR(__xludf.DUMMYFUNCTION("""COMPUTED_VALUE"""),"GT1000B0042103CD")</f>
        <v>GT1000B0042103CD</v>
      </c>
      <c r="K254" s="1076">
        <f>IFERROR(__xludf.DUMMYFUNCTION("""COMPUTED_VALUE"""),1.8)</f>
        <v>1.8</v>
      </c>
      <c r="L254" s="1076" t="str">
        <f>IFERROR(__xludf.DUMMYFUNCTION("""COMPUTED_VALUE"""),"KLH")</f>
        <v>KLH</v>
      </c>
    </row>
    <row r="255" customHeight="1" spans="1:12">
      <c r="A255" s="1082" t="str">
        <f>IFERROR(__xludf.DUMMYFUNCTION("""COMPUTED_VALUE"""),"XL1-CCD-003")</f>
        <v>XL1-CCD-003</v>
      </c>
      <c r="B255" s="1075" t="str">
        <f>IFERROR(__xludf.DUMMYFUNCTION("""COMPUTED_VALUE"""),"Máy cắt cỏ trục băm đa năng")</f>
        <v>Máy cắt cỏ trục băm đa năng</v>
      </c>
      <c r="C255" s="1076" t="str">
        <f>IFERROR(__xludf.DUMMYFUNCTION("""COMPUTED_VALUE"""),"XN Chuối LP1")</f>
        <v>XN Chuối LP1</v>
      </c>
      <c r="D255" s="1076" t="str">
        <f>IFERROR(__xludf.DUMMYFUNCTION("""COMPUTED_VALUE"""),"ISHIKAWA")</f>
        <v>ISHIKAWA</v>
      </c>
      <c r="E255" s="1076" t="str">
        <f>IFERROR(__xludf.DUMMYFUNCTION("""COMPUTED_VALUE"""),"VIỆT NAM")</f>
        <v>VIỆT NAM</v>
      </c>
      <c r="F255" s="1076">
        <f>IFERROR(__xludf.DUMMYFUNCTION("""COMPUTED_VALUE"""),2025)</f>
        <v>2025</v>
      </c>
      <c r="G255" s="1076" t="str">
        <f>IFERROR(__xludf.DUMMYFUNCTION("""COMPUTED_VALUE"""),"TL662")</f>
        <v>TL662</v>
      </c>
      <c r="H255" s="1076" t="str">
        <f>IFERROR(__xludf.DUMMYFUNCTION("""COMPUTED_VALUE"""),"10HP")</f>
        <v>10HP</v>
      </c>
      <c r="I255" s="1076" t="str">
        <f>IFERROR(__xludf.DUMMYFUNCTION("""COMPUTED_VALUE"""),"TL202506014013")</f>
        <v>TL202506014013</v>
      </c>
      <c r="J255" s="1076" t="str">
        <f>IFERROR(__xludf.DUMMYFUNCTION("""COMPUTED_VALUE"""),"GT1000B0042104CD")</f>
        <v>GT1000B0042104CD</v>
      </c>
      <c r="K255" s="1076">
        <f>IFERROR(__xludf.DUMMYFUNCTION("""COMPUTED_VALUE"""),1.8)</f>
        <v>1.8</v>
      </c>
      <c r="L255" s="1076" t="str">
        <f>IFERROR(__xludf.DUMMYFUNCTION("""COMPUTED_VALUE"""),"KLH")</f>
        <v>KLH</v>
      </c>
    </row>
    <row r="256" customHeight="1" spans="1:12">
      <c r="A256" s="1082" t="str">
        <f>IFERROR(__xludf.DUMMYFUNCTION("""COMPUTED_VALUE"""),"XL1-CCD-004")</f>
        <v>XL1-CCD-004</v>
      </c>
      <c r="B256" s="1075" t="str">
        <f>IFERROR(__xludf.DUMMYFUNCTION("""COMPUTED_VALUE"""),"Máy cắt cỏ trục băm đa năng")</f>
        <v>Máy cắt cỏ trục băm đa năng</v>
      </c>
      <c r="C256" s="1076" t="str">
        <f>IFERROR(__xludf.DUMMYFUNCTION("""COMPUTED_VALUE"""),"XN Chuối LP1")</f>
        <v>XN Chuối LP1</v>
      </c>
      <c r="D256" s="1076" t="str">
        <f>IFERROR(__xludf.DUMMYFUNCTION("""COMPUTED_VALUE"""),"ISHIKAWA")</f>
        <v>ISHIKAWA</v>
      </c>
      <c r="E256" s="1076" t="str">
        <f>IFERROR(__xludf.DUMMYFUNCTION("""COMPUTED_VALUE"""),"VIỆT NAM")</f>
        <v>VIỆT NAM</v>
      </c>
      <c r="F256" s="1076">
        <f>IFERROR(__xludf.DUMMYFUNCTION("""COMPUTED_VALUE"""),2025)</f>
        <v>2025</v>
      </c>
      <c r="G256" s="1076" t="str">
        <f>IFERROR(__xludf.DUMMYFUNCTION("""COMPUTED_VALUE"""),"TL662")</f>
        <v>TL662</v>
      </c>
      <c r="H256" s="1076" t="str">
        <f>IFERROR(__xludf.DUMMYFUNCTION("""COMPUTED_VALUE"""),"10HP")</f>
        <v>10HP</v>
      </c>
      <c r="I256" s="1076" t="str">
        <f>IFERROR(__xludf.DUMMYFUNCTION("""COMPUTED_VALUE"""),"TL202506014014")</f>
        <v>TL202506014014</v>
      </c>
      <c r="J256" s="1076" t="str">
        <f>IFERROR(__xludf.DUMMYFUNCTION("""COMPUTED_VALUE"""),"GT1000B0042096CD")</f>
        <v>GT1000B0042096CD</v>
      </c>
      <c r="K256" s="1076">
        <f>IFERROR(__xludf.DUMMYFUNCTION("""COMPUTED_VALUE"""),1.8)</f>
        <v>1.8</v>
      </c>
      <c r="L256" s="1076" t="str">
        <f>IFERROR(__xludf.DUMMYFUNCTION("""COMPUTED_VALUE"""),"KLH")</f>
        <v>KLH</v>
      </c>
    </row>
    <row r="257" customHeight="1" spans="1:12">
      <c r="A257" s="1082" t="str">
        <f>IFERROR(__xludf.DUMMYFUNCTION("""COMPUTED_VALUE"""),"XL1-XPT-002")</f>
        <v>XL1-XPT-002</v>
      </c>
      <c r="B257" s="1075" t="str">
        <f>IFERROR(__xludf.DUMMYFUNCTION("""COMPUTED_VALUE"""),"Xe phun thuốc FD 3.5T")</f>
        <v>Xe phun thuốc FD 3.5T</v>
      </c>
      <c r="C257" s="1076" t="str">
        <f>IFERROR(__xludf.DUMMYFUNCTION("""COMPUTED_VALUE"""),"XN Chuối LP1")</f>
        <v>XN Chuối LP1</v>
      </c>
      <c r="D257" s="1076" t="str">
        <f>IFERROR(__xludf.DUMMYFUNCTION("""COMPUTED_VALUE"""),"THACO FORLAND")</f>
        <v>THACO FORLAND</v>
      </c>
      <c r="E257" s="1076" t="str">
        <f>IFERROR(__xludf.DUMMYFUNCTION("""COMPUTED_VALUE"""),"VIỆT NAM")</f>
        <v>VIỆT NAM</v>
      </c>
      <c r="F257" s="1076">
        <f>IFERROR(__xludf.DUMMYFUNCTION("""COMPUTED_VALUE"""),2018)</f>
        <v>2018</v>
      </c>
      <c r="G257" s="1076" t="str">
        <f>IFERROR(__xludf.DUMMYFUNCTION("""COMPUTED_VALUE"""),"FD350")</f>
        <v>FD350</v>
      </c>
      <c r="H257" s="1076" t="str">
        <f>IFERROR(__xludf.DUMMYFUNCTION("""COMPUTED_VALUE"""),"78HP")</f>
        <v>78HP</v>
      </c>
      <c r="I257" s="1076" t="str">
        <f>IFERROR(__xludf.DUMMYFUNCTION("""COMPUTED_VALUE"""),"380096")</f>
        <v>380096</v>
      </c>
      <c r="J257" s="1076" t="str">
        <f>IFERROR(__xludf.DUMMYFUNCTION("""COMPUTED_VALUE"""),"CCN")</f>
        <v>CCN</v>
      </c>
      <c r="K257" s="1076">
        <f>IFERROR(__xludf.DUMMYFUNCTION("""COMPUTED_VALUE"""),3.75)</f>
        <v>3.75</v>
      </c>
      <c r="L257" s="1076" t="str">
        <f>IFERROR(__xludf.DUMMYFUNCTION("""COMPUTED_VALUE"""),"KLH")</f>
        <v>KLH</v>
      </c>
    </row>
    <row r="258" customHeight="1" spans="1:12">
      <c r="A258" s="1082" t="str">
        <f>IFERROR(__xludf.DUMMYFUNCTION("""COMPUTED_VALUE"""),"Xí nghiệp Chuối LP3")</f>
        <v>Xí nghiệp Chuối LP3</v>
      </c>
      <c r="B258" s="1075"/>
      <c r="C258" s="1076"/>
      <c r="D258" s="1076"/>
      <c r="E258" s="1076"/>
      <c r="F258" s="1076"/>
      <c r="G258" s="1076"/>
      <c r="H258" s="1076"/>
      <c r="I258" s="1076"/>
      <c r="J258" s="1076"/>
      <c r="K258" s="1076"/>
      <c r="L258" s="1076" t="str">
        <f>IFERROR(__xludf.DUMMYFUNCTION("""COMPUTED_VALUE"""),"KLH")</f>
        <v>KLH</v>
      </c>
    </row>
    <row r="259" customHeight="1" spans="1:12">
      <c r="A259" s="1082" t="str">
        <f>IFERROR(__xludf.DUMMYFUNCTION("""COMPUTED_VALUE"""),"XL3-MKE-001")</f>
        <v>XL3-MKE-001</v>
      </c>
      <c r="B259" s="1075" t="str">
        <f>IFERROR(__xludf.DUMMYFUNCTION("""COMPUTED_VALUE"""),"Máy cày KAM50")</f>
        <v>Máy cày KAM50</v>
      </c>
      <c r="C259" s="1076" t="str">
        <f>IFERROR(__xludf.DUMMYFUNCTION("""COMPUTED_VALUE"""),"XN Chuối LP3")</f>
        <v>XN Chuối LP3</v>
      </c>
      <c r="D259" s="1076" t="str">
        <f>IFERROR(__xludf.DUMMYFUNCTION("""COMPUTED_VALUE"""),"THACO")</f>
        <v>THACO</v>
      </c>
      <c r="E259" s="1076" t="str">
        <f>IFERROR(__xludf.DUMMYFUNCTION("""COMPUTED_VALUE"""),"VIỆT NAM")</f>
        <v>VIỆT NAM</v>
      </c>
      <c r="F259" s="1076">
        <f>IFERROR(__xludf.DUMMYFUNCTION("""COMPUTED_VALUE"""),2018)</f>
        <v>2018</v>
      </c>
      <c r="G259" s="1076" t="str">
        <f>IFERROR(__xludf.DUMMYFUNCTION("""COMPUTED_VALUE"""),"KAM50")</f>
        <v>KAM50</v>
      </c>
      <c r="H259" s="1076" t="str">
        <f>IFERROR(__xludf.DUMMYFUNCTION("""COMPUTED_VALUE"""),"50HP")</f>
        <v>50HP</v>
      </c>
      <c r="I259" s="1076" t="str">
        <f>IFERROR(__xludf.DUMMYFUNCTION("""COMPUTED_VALUE"""),"C000057")</f>
        <v>C000057</v>
      </c>
      <c r="J259" s="1076" t="str">
        <f>IFERROR(__xludf.DUMMYFUNCTION("""COMPUTED_VALUE"""),"CCN")</f>
        <v>CCN</v>
      </c>
      <c r="K259" s="1076">
        <f>IFERROR(__xludf.DUMMYFUNCTION("""COMPUTED_VALUE"""),2.5)</f>
        <v>2.5</v>
      </c>
      <c r="L259" s="1076" t="str">
        <f>IFERROR(__xludf.DUMMYFUNCTION("""COMPUTED_VALUE"""),"KLH")</f>
        <v>KLH</v>
      </c>
    </row>
    <row r="260" customHeight="1" spans="1:12">
      <c r="A260" s="1082" t="str">
        <f>IFERROR(__xludf.DUMMYFUNCTION("""COMPUTED_VALUE"""),"XL3-MKE-002")</f>
        <v>XL3-MKE-002</v>
      </c>
      <c r="B260" s="1075" t="str">
        <f>IFERROR(__xludf.DUMMYFUNCTION("""COMPUTED_VALUE"""),"Máy cày KAM50")</f>
        <v>Máy cày KAM50</v>
      </c>
      <c r="C260" s="1076" t="str">
        <f>IFERROR(__xludf.DUMMYFUNCTION("""COMPUTED_VALUE"""),"XN Chuối LP3")</f>
        <v>XN Chuối LP3</v>
      </c>
      <c r="D260" s="1076" t="str">
        <f>IFERROR(__xludf.DUMMYFUNCTION("""COMPUTED_VALUE"""),"THACO")</f>
        <v>THACO</v>
      </c>
      <c r="E260" s="1076" t="str">
        <f>IFERROR(__xludf.DUMMYFUNCTION("""COMPUTED_VALUE"""),"VIỆT NAM")</f>
        <v>VIỆT NAM</v>
      </c>
      <c r="F260" s="1076">
        <f>IFERROR(__xludf.DUMMYFUNCTION("""COMPUTED_VALUE"""),2018)</f>
        <v>2018</v>
      </c>
      <c r="G260" s="1076" t="str">
        <f>IFERROR(__xludf.DUMMYFUNCTION("""COMPUTED_VALUE"""),"KAM50")</f>
        <v>KAM50</v>
      </c>
      <c r="H260" s="1076" t="str">
        <f>IFERROR(__xludf.DUMMYFUNCTION("""COMPUTED_VALUE"""),"50HP")</f>
        <v>50HP</v>
      </c>
      <c r="I260" s="1076" t="str">
        <f>IFERROR(__xludf.DUMMYFUNCTION("""COMPUTED_VALUE"""),"C000056")</f>
        <v>C000056</v>
      </c>
      <c r="J260" s="1076" t="str">
        <f>IFERROR(__xludf.DUMMYFUNCTION("""COMPUTED_VALUE"""),"CCN")</f>
        <v>CCN</v>
      </c>
      <c r="K260" s="1076">
        <f>IFERROR(__xludf.DUMMYFUNCTION("""COMPUTED_VALUE"""),2)</f>
        <v>2</v>
      </c>
      <c r="L260" s="1076" t="str">
        <f>IFERROR(__xludf.DUMMYFUNCTION("""COMPUTED_VALUE"""),"KLH")</f>
        <v>KLH</v>
      </c>
    </row>
    <row r="261" customHeight="1" spans="1:12">
      <c r="A261" s="1082" t="str">
        <f>IFERROR(__xludf.DUMMYFUNCTION("""COMPUTED_VALUE"""),"XL3-MKE-003")</f>
        <v>XL3-MKE-003</v>
      </c>
      <c r="B261" s="1075" t="str">
        <f>IFERROR(__xludf.DUMMYFUNCTION("""COMPUTED_VALUE"""),"Máy cày KAM50")</f>
        <v>Máy cày KAM50</v>
      </c>
      <c r="C261" s="1076" t="str">
        <f>IFERROR(__xludf.DUMMYFUNCTION("""COMPUTED_VALUE"""),"XN Chuối LP3")</f>
        <v>XN Chuối LP3</v>
      </c>
      <c r="D261" s="1076" t="str">
        <f>IFERROR(__xludf.DUMMYFUNCTION("""COMPUTED_VALUE"""),"THACO")</f>
        <v>THACO</v>
      </c>
      <c r="E261" s="1076" t="str">
        <f>IFERROR(__xludf.DUMMYFUNCTION("""COMPUTED_VALUE"""),"VIỆT NAM")</f>
        <v>VIỆT NAM</v>
      </c>
      <c r="F261" s="1076">
        <f>IFERROR(__xludf.DUMMYFUNCTION("""COMPUTED_VALUE"""),2018)</f>
        <v>2018</v>
      </c>
      <c r="G261" s="1076" t="str">
        <f>IFERROR(__xludf.DUMMYFUNCTION("""COMPUTED_VALUE"""),"KAM50")</f>
        <v>KAM50</v>
      </c>
      <c r="H261" s="1076" t="str">
        <f>IFERROR(__xludf.DUMMYFUNCTION("""COMPUTED_VALUE"""),"50HP")</f>
        <v>50HP</v>
      </c>
      <c r="I261" s="1076" t="str">
        <f>IFERROR(__xludf.DUMMYFUNCTION("""COMPUTED_VALUE"""),"C000027")</f>
        <v>C000027</v>
      </c>
      <c r="J261" s="1076" t="str">
        <f>IFERROR(__xludf.DUMMYFUNCTION("""COMPUTED_VALUE"""),"CCN")</f>
        <v>CCN</v>
      </c>
      <c r="K261" s="1076">
        <f>IFERROR(__xludf.DUMMYFUNCTION("""COMPUTED_VALUE"""),2)</f>
        <v>2</v>
      </c>
      <c r="L261" s="1076" t="str">
        <f>IFERROR(__xludf.DUMMYFUNCTION("""COMPUTED_VALUE"""),"KLH")</f>
        <v>KLH</v>
      </c>
    </row>
    <row r="262" customHeight="1" spans="1:12">
      <c r="A262" s="1082" t="str">
        <f>IFERROR(__xludf.DUMMYFUNCTION("""COMPUTED_VALUE"""),"XL3-MKE-004")</f>
        <v>XL3-MKE-004</v>
      </c>
      <c r="B262" s="1075" t="str">
        <f>IFERROR(__xludf.DUMMYFUNCTION("""COMPUTED_VALUE"""),"Máy cày L4508")</f>
        <v>Máy cày L4508</v>
      </c>
      <c r="C262" s="1076" t="str">
        <f>IFERROR(__xludf.DUMMYFUNCTION("""COMPUTED_VALUE"""),"XN Chuối LP3")</f>
        <v>XN Chuối LP3</v>
      </c>
      <c r="D262" s="1076" t="str">
        <f>IFERROR(__xludf.DUMMYFUNCTION("""COMPUTED_VALUE"""),"KUBOTA")</f>
        <v>KUBOTA</v>
      </c>
      <c r="E262" s="1076" t="str">
        <f>IFERROR(__xludf.DUMMYFUNCTION("""COMPUTED_VALUE"""),"NHẬT BẢN")</f>
        <v>NHẬT BẢN</v>
      </c>
      <c r="F262" s="1076">
        <f>IFERROR(__xludf.DUMMYFUNCTION("""COMPUTED_VALUE"""),2019)</f>
        <v>2019</v>
      </c>
      <c r="G262" s="1076" t="str">
        <f>IFERROR(__xludf.DUMMYFUNCTION("""COMPUTED_VALUE"""),"L4508")</f>
        <v>L4508</v>
      </c>
      <c r="H262" s="1076" t="str">
        <f>IFERROR(__xludf.DUMMYFUNCTION("""COMPUTED_VALUE"""),"45HP")</f>
        <v>45HP</v>
      </c>
      <c r="I262" s="1076" t="str">
        <f>IFERROR(__xludf.DUMMYFUNCTION("""COMPUTED_VALUE"""),"1665")</f>
        <v>1665</v>
      </c>
      <c r="J262" s="1076" t="str">
        <f>IFERROR(__xludf.DUMMYFUNCTION("""COMPUTED_VALUE"""),"CCN")</f>
        <v>CCN</v>
      </c>
      <c r="K262" s="1076">
        <f>IFERROR(__xludf.DUMMYFUNCTION("""COMPUTED_VALUE"""),2.5)</f>
        <v>2.5</v>
      </c>
      <c r="L262" s="1076" t="str">
        <f>IFERROR(__xludf.DUMMYFUNCTION("""COMPUTED_VALUE"""),"KLH")</f>
        <v>KLH</v>
      </c>
    </row>
    <row r="263" customHeight="1" spans="1:12">
      <c r="A263" s="1082" t="str">
        <f>IFERROR(__xludf.DUMMYFUNCTION("""COMPUTED_VALUE"""),"XL3-MKE-005")</f>
        <v>XL3-MKE-005</v>
      </c>
      <c r="B263" s="1075" t="str">
        <f>IFERROR(__xludf.DUMMYFUNCTION("""COMPUTED_VALUE"""),"Máy cày M6040")</f>
        <v>Máy cày M6040</v>
      </c>
      <c r="C263" s="1076" t="str">
        <f>IFERROR(__xludf.DUMMYFUNCTION("""COMPUTED_VALUE"""),"XN Chuối LP3")</f>
        <v>XN Chuối LP3</v>
      </c>
      <c r="D263" s="1076" t="str">
        <f>IFERROR(__xludf.DUMMYFUNCTION("""COMPUTED_VALUE"""),"KUBOTA")</f>
        <v>KUBOTA</v>
      </c>
      <c r="E263" s="1076" t="str">
        <f>IFERROR(__xludf.DUMMYFUNCTION("""COMPUTED_VALUE"""),"NHẬT BẢN")</f>
        <v>NHẬT BẢN</v>
      </c>
      <c r="F263" s="1076">
        <f>IFERROR(__xludf.DUMMYFUNCTION("""COMPUTED_VALUE"""),2013)</f>
        <v>2013</v>
      </c>
      <c r="G263" s="1076" t="str">
        <f>IFERROR(__xludf.DUMMYFUNCTION("""COMPUTED_VALUE"""),"M6040")</f>
        <v>M6040</v>
      </c>
      <c r="H263" s="1076" t="str">
        <f>IFERROR(__xludf.DUMMYFUNCTION("""COMPUTED_VALUE"""),"60HP")</f>
        <v>60HP</v>
      </c>
      <c r="I263" s="1076" t="str">
        <f>IFERROR(__xludf.DUMMYFUNCTION("""COMPUTED_VALUE"""),"D57605")</f>
        <v>D57605</v>
      </c>
      <c r="J263" s="1076" t="str">
        <f>IFERROR(__xludf.DUMMYFUNCTION("""COMPUTED_VALUE"""),"CCN")</f>
        <v>CCN</v>
      </c>
      <c r="K263" s="1076">
        <f>IFERROR(__xludf.DUMMYFUNCTION("""COMPUTED_VALUE"""),3.5)</f>
        <v>3.5</v>
      </c>
      <c r="L263" s="1076" t="str">
        <f>IFERROR(__xludf.DUMMYFUNCTION("""COMPUTED_VALUE"""),"KLH")</f>
        <v>KLH</v>
      </c>
    </row>
    <row r="264" customHeight="1" spans="1:12">
      <c r="A264" s="1082" t="str">
        <f>IFERROR(__xludf.DUMMYFUNCTION("""COMPUTED_VALUE"""),"XL3-MKE-006")</f>
        <v>XL3-MKE-006</v>
      </c>
      <c r="B264" s="1075" t="str">
        <f>IFERROR(__xludf.DUMMYFUNCTION("""COMPUTED_VALUE"""),"Máy cày KAM50")</f>
        <v>Máy cày KAM50</v>
      </c>
      <c r="C264" s="1076" t="str">
        <f>IFERROR(__xludf.DUMMYFUNCTION("""COMPUTED_VALUE"""),"XN Chuối LP3")</f>
        <v>XN Chuối LP3</v>
      </c>
      <c r="D264" s="1076" t="str">
        <f>IFERROR(__xludf.DUMMYFUNCTION("""COMPUTED_VALUE"""),"THACO")</f>
        <v>THACO</v>
      </c>
      <c r="E264" s="1076" t="str">
        <f>IFERROR(__xludf.DUMMYFUNCTION("""COMPUTED_VALUE"""),"VIỆT NAM")</f>
        <v>VIỆT NAM</v>
      </c>
      <c r="F264" s="1076">
        <f>IFERROR(__xludf.DUMMYFUNCTION("""COMPUTED_VALUE"""),2018)</f>
        <v>2018</v>
      </c>
      <c r="G264" s="1076" t="str">
        <f>IFERROR(__xludf.DUMMYFUNCTION("""COMPUTED_VALUE"""),"KAM50")</f>
        <v>KAM50</v>
      </c>
      <c r="H264" s="1076" t="str">
        <f>IFERROR(__xludf.DUMMYFUNCTION("""COMPUTED_VALUE"""),"50HP")</f>
        <v>50HP</v>
      </c>
      <c r="I264" s="1076" t="str">
        <f>IFERROR(__xludf.DUMMYFUNCTION("""COMPUTED_VALUE"""),"180046")</f>
        <v>180046</v>
      </c>
      <c r="J264" s="1076" t="str">
        <f>IFERROR(__xludf.DUMMYFUNCTION("""COMPUTED_VALUE"""),"CCN")</f>
        <v>CCN</v>
      </c>
      <c r="K264" s="1076">
        <f>IFERROR(__xludf.DUMMYFUNCTION("""COMPUTED_VALUE"""),2.5)</f>
        <v>2.5</v>
      </c>
      <c r="L264" s="1076" t="str">
        <f>IFERROR(__xludf.DUMMYFUNCTION("""COMPUTED_VALUE"""),"KLH")</f>
        <v>KLH</v>
      </c>
    </row>
    <row r="265" customHeight="1" spans="1:12">
      <c r="A265" s="1082" t="str">
        <f>IFERROR(__xludf.DUMMYFUNCTION("""COMPUTED_VALUE"""),"XL3-MKE-008")</f>
        <v>XL3-MKE-008</v>
      </c>
      <c r="B265" s="1075" t="str">
        <f>IFERROR(__xludf.DUMMYFUNCTION("""COMPUTED_VALUE"""),"Máy cày LOVOL P3050")</f>
        <v>Máy cày LOVOL P3050</v>
      </c>
      <c r="C265" s="1076" t="str">
        <f>IFERROR(__xludf.DUMMYFUNCTION("""COMPUTED_VALUE"""),"XN Chuối LP3")</f>
        <v>XN Chuối LP3</v>
      </c>
      <c r="D265" s="1076" t="str">
        <f>IFERROR(__xludf.DUMMYFUNCTION("""COMPUTED_VALUE"""),"LOVOL")</f>
        <v>LOVOL</v>
      </c>
      <c r="E265" s="1076" t="str">
        <f>IFERROR(__xludf.DUMMYFUNCTION("""COMPUTED_VALUE"""),"TRUNG QUỐC ")</f>
        <v>TRUNG QUỐC </v>
      </c>
      <c r="F265" s="1076">
        <f>IFERROR(__xludf.DUMMYFUNCTION("""COMPUTED_VALUE"""),2024)</f>
        <v>2024</v>
      </c>
      <c r="G265" s="1076" t="str">
        <f>IFERROR(__xludf.DUMMYFUNCTION("""COMPUTED_VALUE"""),"P3050")</f>
        <v>P3050</v>
      </c>
      <c r="H265" s="1076" t="str">
        <f>IFERROR(__xludf.DUMMYFUNCTION("""COMPUTED_VALUE"""),"47Hp")</f>
        <v>47Hp</v>
      </c>
      <c r="I265" s="1076" t="str">
        <f>IFERROR(__xludf.DUMMYFUNCTION("""COMPUTED_VALUE"""),"TY1S312020001K301198R03")</f>
        <v>TY1S312020001K301198R03</v>
      </c>
      <c r="J265" s="1076" t="str">
        <f>IFERROR(__xludf.DUMMYFUNCTION("""COMPUTED_VALUE"""),"FTTP3A34VRS000231")</f>
        <v>FTTP3A34VRS000231</v>
      </c>
      <c r="K265" s="1076">
        <f>IFERROR(__xludf.DUMMYFUNCTION("""COMPUTED_VALUE"""),3.3)</f>
        <v>3.3</v>
      </c>
      <c r="L265" s="1076" t="str">
        <f>IFERROR(__xludf.DUMMYFUNCTION("""COMPUTED_VALUE"""),"KLH")</f>
        <v>KLH</v>
      </c>
    </row>
    <row r="266" customHeight="1" spans="1:12">
      <c r="A266" s="1082" t="str">
        <f>IFERROR(__xludf.DUMMYFUNCTION("""COMPUTED_VALUE"""),"XL3-MKE-010")</f>
        <v>XL3-MKE-010</v>
      </c>
      <c r="B266" s="1075" t="str">
        <f>IFERROR(__xludf.DUMMYFUNCTION("""COMPUTED_VALUE"""),"Máy cày M6040")</f>
        <v>Máy cày M6040</v>
      </c>
      <c r="C266" s="1076" t="str">
        <f>IFERROR(__xludf.DUMMYFUNCTION("""COMPUTED_VALUE"""),"XN Chuối LP3")</f>
        <v>XN Chuối LP3</v>
      </c>
      <c r="D266" s="1076" t="str">
        <f>IFERROR(__xludf.DUMMYFUNCTION("""COMPUTED_VALUE"""),"KUBOTA")</f>
        <v>KUBOTA</v>
      </c>
      <c r="E266" s="1076" t="str">
        <f>IFERROR(__xludf.DUMMYFUNCTION("""COMPUTED_VALUE"""),"NHẬT BẢN")</f>
        <v>NHẬT BẢN</v>
      </c>
      <c r="F266" s="1076">
        <f>IFERROR(__xludf.DUMMYFUNCTION("""COMPUTED_VALUE"""),2013)</f>
        <v>2013</v>
      </c>
      <c r="G266" s="1076" t="str">
        <f>IFERROR(__xludf.DUMMYFUNCTION("""COMPUTED_VALUE"""),"M6040")</f>
        <v>M6040</v>
      </c>
      <c r="H266" s="1076" t="str">
        <f>IFERROR(__xludf.DUMMYFUNCTION("""COMPUTED_VALUE"""),"60HP")</f>
        <v>60HP</v>
      </c>
      <c r="I266" s="1076" t="str">
        <f>IFERROR(__xludf.DUMMYFUNCTION("""COMPUTED_VALUE"""),"57121")</f>
        <v>57121</v>
      </c>
      <c r="J266" s="1076" t="str">
        <f>IFERROR(__xludf.DUMMYFUNCTION("""COMPUTED_VALUE"""),"7542")</f>
        <v>7542</v>
      </c>
      <c r="K266" s="1076">
        <f>IFERROR(__xludf.DUMMYFUNCTION("""COMPUTED_VALUE"""),6.6)</f>
        <v>6.6</v>
      </c>
      <c r="L266" s="1076" t="str">
        <f>IFERROR(__xludf.DUMMYFUNCTION("""COMPUTED_VALUE"""),"KLH")</f>
        <v>KLH</v>
      </c>
    </row>
    <row r="267" customHeight="1" spans="1:12">
      <c r="A267" s="1082" t="str">
        <f>IFERROR(__xludf.DUMMYFUNCTION("""COMPUTED_VALUE"""),"CHT-MĐA-051")</f>
        <v>CHT-MĐA-051</v>
      </c>
      <c r="B267" s="1075" t="str">
        <f>IFERROR(__xludf.DUMMYFUNCTION("""COMPUTED_VALUE"""),"Máy đào KOMATSU bánh xích gàu 0.3m3")</f>
        <v>Máy đào KOMATSU bánh xích gàu 0.3m3</v>
      </c>
      <c r="C267" s="1076" t="str">
        <f>IFERROR(__xludf.DUMMYFUNCTION("""COMPUTED_VALUE"""),"XN Chuối LP3")</f>
        <v>XN Chuối LP3</v>
      </c>
      <c r="D267" s="1076" t="str">
        <f>IFERROR(__xludf.DUMMYFUNCTION("""COMPUTED_VALUE"""),"KOMATSU")</f>
        <v>KOMATSU</v>
      </c>
      <c r="E267" s="1076" t="str">
        <f>IFERROR(__xludf.DUMMYFUNCTION("""COMPUTED_VALUE"""),"NHẬT BẢN")</f>
        <v>NHẬT BẢN</v>
      </c>
      <c r="F267" s="1076">
        <f>IFERROR(__xludf.DUMMYFUNCTION("""COMPUTED_VALUE"""),2006)</f>
        <v>2006</v>
      </c>
      <c r="G267" s="1076" t="str">
        <f>IFERROR(__xludf.DUMMYFUNCTION("""COMPUTED_VALUE"""),"PC50MR-2")</f>
        <v>PC50MR-2</v>
      </c>
      <c r="H267" s="1076" t="str">
        <f>IFERROR(__xludf.DUMMYFUNCTION("""COMPUTED_VALUE"""),"39HP")</f>
        <v>39HP</v>
      </c>
      <c r="I267" s="1076" t="str">
        <f>IFERROR(__xludf.DUMMYFUNCTION("""COMPUTED_VALUE"""),"KMTPC094E05008137")</f>
        <v>KMTPC094E05008137</v>
      </c>
      <c r="J267" s="1076" t="str">
        <f>IFERROR(__xludf.DUMMYFUNCTION("""COMPUTED_VALUE"""),"11014")</f>
        <v>11014</v>
      </c>
      <c r="K267" s="1076">
        <f>IFERROR(__xludf.DUMMYFUNCTION("""COMPUTED_VALUE"""),4)</f>
        <v>4</v>
      </c>
      <c r="L267" s="1076" t="str">
        <f>IFERROR(__xludf.DUMMYFUNCTION("""COMPUTED_VALUE"""),"KLH")</f>
        <v>KLH</v>
      </c>
    </row>
    <row r="268" customHeight="1" spans="1:12">
      <c r="A268" s="1082" t="str">
        <f>IFERROR(__xludf.DUMMYFUNCTION("""COMPUTED_VALUE"""),"CHT-MĐA-049")</f>
        <v>CHT-MĐA-049</v>
      </c>
      <c r="B268" s="1075" t="str">
        <f>IFERROR(__xludf.DUMMYFUNCTION("""COMPUTED_VALUE"""),"Máy đào KOMATSU bánh xích gàu 0.3m3")</f>
        <v>Máy đào KOMATSU bánh xích gàu 0.3m3</v>
      </c>
      <c r="C268" s="1076" t="str">
        <f>IFERROR(__xludf.DUMMYFUNCTION("""COMPUTED_VALUE"""),"XN Chuối LP3")</f>
        <v>XN Chuối LP3</v>
      </c>
      <c r="D268" s="1076" t="str">
        <f>IFERROR(__xludf.DUMMYFUNCTION("""COMPUTED_VALUE"""),"KOMATSU")</f>
        <v>KOMATSU</v>
      </c>
      <c r="E268" s="1076" t="str">
        <f>IFERROR(__xludf.DUMMYFUNCTION("""COMPUTED_VALUE"""),"NHẬT BẢN")</f>
        <v>NHẬT BẢN</v>
      </c>
      <c r="F268" s="1076">
        <f>IFERROR(__xludf.DUMMYFUNCTION("""COMPUTED_VALUE"""),2005)</f>
        <v>2005</v>
      </c>
      <c r="G268" s="1076" t="str">
        <f>IFERROR(__xludf.DUMMYFUNCTION("""COMPUTED_VALUE"""),"PC55MR-3")</f>
        <v>PC55MR-3</v>
      </c>
      <c r="H268" s="1076" t="str">
        <f>IFERROR(__xludf.DUMMYFUNCTION("""COMPUTED_VALUE"""),"38HP")</f>
        <v>38HP</v>
      </c>
      <c r="I268" s="1076" t="str">
        <f>IFERROR(__xludf.DUMMYFUNCTION("""COMPUTED_VALUE"""),"KMTPC212T40417418")</f>
        <v>KMTPC212T40417418</v>
      </c>
      <c r="J268" s="1076" t="str">
        <f>IFERROR(__xludf.DUMMYFUNCTION("""COMPUTED_VALUE"""),"27150")</f>
        <v>27150</v>
      </c>
      <c r="K268" s="1076">
        <f>IFERROR(__xludf.DUMMYFUNCTION("""COMPUTED_VALUE"""),4)</f>
        <v>4</v>
      </c>
      <c r="L268" s="1076" t="str">
        <f>IFERROR(__xludf.DUMMYFUNCTION("""COMPUTED_VALUE"""),"KLH")</f>
        <v>KLH</v>
      </c>
    </row>
    <row r="269" customHeight="1" spans="1:12">
      <c r="A269" s="1082" t="str">
        <f>IFERROR(__xludf.DUMMYFUNCTION("""COMPUTED_VALUE"""),"CHT-MĐA-057")</f>
        <v>CHT-MĐA-057</v>
      </c>
      <c r="B269" s="1075" t="str">
        <f>IFERROR(__xludf.DUMMYFUNCTION("""COMPUTED_VALUE"""),"Máy đào KOMATSU bánh xích gàu 0.3m3")</f>
        <v>Máy đào KOMATSU bánh xích gàu 0.3m3</v>
      </c>
      <c r="C269" s="1076" t="str">
        <f>IFERROR(__xludf.DUMMYFUNCTION("""COMPUTED_VALUE"""),"XN Chuối LP3")</f>
        <v>XN Chuối LP3</v>
      </c>
      <c r="D269" s="1076" t="str">
        <f>IFERROR(__xludf.DUMMYFUNCTION("""COMPUTED_VALUE"""),"KOMATSU")</f>
        <v>KOMATSU</v>
      </c>
      <c r="E269" s="1076" t="str">
        <f>IFERROR(__xludf.DUMMYFUNCTION("""COMPUTED_VALUE"""),"NHẬT BẢN")</f>
        <v>NHẬT BẢN</v>
      </c>
      <c r="F269" s="1076">
        <f>IFERROR(__xludf.DUMMYFUNCTION("""COMPUTED_VALUE"""),2015)</f>
        <v>2015</v>
      </c>
      <c r="G269" s="1076" t="str">
        <f>IFERROR(__xludf.DUMMYFUNCTION("""COMPUTED_VALUE"""),"PC40MR-3")</f>
        <v>PC40MR-3</v>
      </c>
      <c r="H269" s="1076" t="str">
        <f>IFERROR(__xludf.DUMMYFUNCTION("""COMPUTED_VALUE"""),"40HP")</f>
        <v>40HP</v>
      </c>
      <c r="I269" s="1076" t="str">
        <f>IFERROR(__xludf.DUMMYFUNCTION("""COMPUTED_VALUE"""),"KMTPC203A04018037")</f>
        <v>KMTPC203A04018037</v>
      </c>
      <c r="J269" s="1076" t="str">
        <f>IFERROR(__xludf.DUMMYFUNCTION("""COMPUTED_VALUE"""),"20536")</f>
        <v>20536</v>
      </c>
      <c r="K269" s="1076">
        <f>IFERROR(__xludf.DUMMYFUNCTION("""COMPUTED_VALUE"""),4)</f>
        <v>4</v>
      </c>
      <c r="L269" s="1076" t="str">
        <f>IFERROR(__xludf.DUMMYFUNCTION("""COMPUTED_VALUE"""),"KLH")</f>
        <v>KLH</v>
      </c>
    </row>
    <row r="270" customHeight="1" spans="1:12">
      <c r="A270" s="1082" t="str">
        <f>IFERROR(__xludf.DUMMYFUNCTION("""COMPUTED_VALUE"""),"XL3-MĐA-001")</f>
        <v>XL3-MĐA-001</v>
      </c>
      <c r="B270" s="1075" t="str">
        <f>IFERROR(__xludf.DUMMYFUNCTION("""COMPUTED_VALUE"""),"Máy đào KOMATSU bánh xích gàu 0.3m3")</f>
        <v>Máy đào KOMATSU bánh xích gàu 0.3m3</v>
      </c>
      <c r="C270" s="1076" t="str">
        <f>IFERROR(__xludf.DUMMYFUNCTION("""COMPUTED_VALUE"""),"XN Chuối LP3")</f>
        <v>XN Chuối LP3</v>
      </c>
      <c r="D270" s="1076" t="str">
        <f>IFERROR(__xludf.DUMMYFUNCTION("""COMPUTED_VALUE"""),"KOMATSU")</f>
        <v>KOMATSU</v>
      </c>
      <c r="E270" s="1076" t="str">
        <f>IFERROR(__xludf.DUMMYFUNCTION("""COMPUTED_VALUE"""),"NHẬT BẢN")</f>
        <v>NHẬT BẢN</v>
      </c>
      <c r="F270" s="1076">
        <f>IFERROR(__xludf.DUMMYFUNCTION("""COMPUTED_VALUE"""),2010)</f>
        <v>2010</v>
      </c>
      <c r="G270" s="1076" t="str">
        <f>IFERROR(__xludf.DUMMYFUNCTION("""COMPUTED_VALUE"""),"PC55MR-3")</f>
        <v>PC55MR-3</v>
      </c>
      <c r="H270" s="1076" t="str">
        <f>IFERROR(__xludf.DUMMYFUNCTION("""COMPUTED_VALUE"""),"39HP")</f>
        <v>39HP</v>
      </c>
      <c r="I270" s="1076" t="str">
        <f>IFERROR(__xludf.DUMMYFUNCTION("""COMPUTED_VALUE"""),"KMTPC212P040416271")</f>
        <v>KMTPC212P040416271</v>
      </c>
      <c r="J270" s="1076" t="str">
        <f>IFERROR(__xludf.DUMMYFUNCTION("""COMPUTED_VALUE"""),"21629")</f>
        <v>21629</v>
      </c>
      <c r="K270" s="1076">
        <f>IFERROR(__xludf.DUMMYFUNCTION("""COMPUTED_VALUE"""),4)</f>
        <v>4</v>
      </c>
      <c r="L270" s="1076" t="str">
        <f>IFERROR(__xludf.DUMMYFUNCTION("""COMPUTED_VALUE"""),"KLH")</f>
        <v>KLH</v>
      </c>
    </row>
    <row r="271" customHeight="1" spans="1:12">
      <c r="A271" s="1082" t="str">
        <f>IFERROR(__xludf.DUMMYFUNCTION("""COMPUTED_VALUE"""),"XL3-MĐA-005")</f>
        <v>XL3-MĐA-005</v>
      </c>
      <c r="B271" s="1075" t="str">
        <f>IFERROR(__xludf.DUMMYFUNCTION("""COMPUTED_VALUE"""),"Máy đào CAT 305 bánh xích gàu 0.3m3")</f>
        <v>Máy đào CAT 305 bánh xích gàu 0.3m3</v>
      </c>
      <c r="C271" s="1076" t="str">
        <f>IFERROR(__xludf.DUMMYFUNCTION("""COMPUTED_VALUE"""),"XN Chuối LP3")</f>
        <v>XN Chuối LP3</v>
      </c>
      <c r="D271" s="1076" t="str">
        <f>IFERROR(__xludf.DUMMYFUNCTION("""COMPUTED_VALUE"""),"CAT")</f>
        <v>CAT</v>
      </c>
      <c r="E271" s="1076" t="str">
        <f>IFERROR(__xludf.DUMMYFUNCTION("""COMPUTED_VALUE"""),"NHẬT BẢN")</f>
        <v>NHẬT BẢN</v>
      </c>
      <c r="F271" s="1076">
        <f>IFERROR(__xludf.DUMMYFUNCTION("""COMPUTED_VALUE"""),2006)</f>
        <v>2006</v>
      </c>
      <c r="G271" s="1076" t="str">
        <f>IFERROR(__xludf.DUMMYFUNCTION("""COMPUTED_VALUE"""),"305")</f>
        <v>305</v>
      </c>
      <c r="H271" s="1076" t="str">
        <f>IFERROR(__xludf.DUMMYFUNCTION("""COMPUTED_VALUE"""),"40HP")</f>
        <v>40HP</v>
      </c>
      <c r="I271" s="1076" t="str">
        <f>IFERROR(__xludf.DUMMYFUNCTION("""COMPUTED_VALUE"""),"2208498")</f>
        <v>2208498</v>
      </c>
      <c r="J271" s="1076" t="str">
        <f>IFERROR(__xludf.DUMMYFUNCTION("""COMPUTED_VALUE"""),"CCN")</f>
        <v>CCN</v>
      </c>
      <c r="K271" s="1076">
        <f>IFERROR(__xludf.DUMMYFUNCTION("""COMPUTED_VALUE"""),4)</f>
        <v>4</v>
      </c>
      <c r="L271" s="1076" t="str">
        <f>IFERROR(__xludf.DUMMYFUNCTION("""COMPUTED_VALUE"""),"KLH")</f>
        <v>KLH</v>
      </c>
    </row>
    <row r="272" customHeight="1" spans="1:12">
      <c r="A272" s="1076" t="str">
        <f>IFERROR(__xludf.DUMMYFUNCTION("""COMPUTED_VALUE"""),"XL3-TCD-001")</f>
        <v>XL3-TCD-001</v>
      </c>
      <c r="B272" s="1075" t="str">
        <f>IFERROR(__xludf.DUMMYFUNCTION("""COMPUTED_VALUE"""),"Xe tải chuyên dụng (cabin đôi)")</f>
        <v>Xe tải chuyên dụng (cabin đôi)</v>
      </c>
      <c r="C272" s="1076" t="str">
        <f>IFERROR(__xludf.DUMMYFUNCTION("""COMPUTED_VALUE"""),"XN Chuối LP3")</f>
        <v>XN Chuối LP3</v>
      </c>
      <c r="D272" s="1076" t="str">
        <f>IFERROR(__xludf.DUMMYFUNCTION("""COMPUTED_VALUE"""),"THACO KIA")</f>
        <v>THACO KIA</v>
      </c>
      <c r="E272" s="1076" t="str">
        <f>IFERROR(__xludf.DUMMYFUNCTION("""COMPUTED_VALUE"""),"VIỆT NAM")</f>
        <v>VIỆT NAM</v>
      </c>
      <c r="F272" s="1076">
        <f>IFERROR(__xludf.DUMMYFUNCTION("""COMPUTED_VALUE"""),2021)</f>
        <v>2021</v>
      </c>
      <c r="G272" s="1076" t="str">
        <f>IFERROR(__xludf.DUMMYFUNCTION("""COMPUTED_VALUE"""),"FRONTIER K200SD")</f>
        <v>FRONTIER K200SD</v>
      </c>
      <c r="H272" s="1076" t="str">
        <f>IFERROR(__xludf.DUMMYFUNCTION("""COMPUTED_VALUE"""),"130HP")</f>
        <v>130HP</v>
      </c>
      <c r="I272" s="1076" t="str">
        <f>IFERROR(__xludf.DUMMYFUNCTION("""COMPUTED_VALUE"""),"RNHF39KHBMT045643")</f>
        <v>RNHF39KHBMT045643</v>
      </c>
      <c r="J272" s="1076" t="str">
        <f>IFERROR(__xludf.DUMMYFUNCTION("""COMPUTED_VALUE"""),"MD540095D4CB")</f>
        <v>MD540095D4CB</v>
      </c>
      <c r="K272" s="1076"/>
      <c r="L272" s="1076" t="str">
        <f>IFERROR(__xludf.DUMMYFUNCTION("""COMPUTED_VALUE"""),"KLH")</f>
        <v>KLH</v>
      </c>
    </row>
    <row r="273" customHeight="1" spans="1:12">
      <c r="A273" s="1076" t="str">
        <f>IFERROR(__xludf.DUMMYFUNCTION("""COMPUTED_VALUE"""),"XL3-TCD-002")</f>
        <v>XL3-TCD-002</v>
      </c>
      <c r="B273" s="1075" t="str">
        <f>IFERROR(__xludf.DUMMYFUNCTION("""COMPUTED_VALUE"""),"Xe tải chuyên dụng (thùng lửng)")</f>
        <v>Xe tải chuyên dụng (thùng lửng)</v>
      </c>
      <c r="C273" s="1076" t="str">
        <f>IFERROR(__xludf.DUMMYFUNCTION("""COMPUTED_VALUE"""),"XN Chuối LP3")</f>
        <v>XN Chuối LP3</v>
      </c>
      <c r="D273" s="1076" t="str">
        <f>IFERROR(__xludf.DUMMYFUNCTION("""COMPUTED_VALUE"""),"THACO KIA")</f>
        <v>THACO KIA</v>
      </c>
      <c r="E273" s="1076" t="str">
        <f>IFERROR(__xludf.DUMMYFUNCTION("""COMPUTED_VALUE"""),"VIỆT NAM")</f>
        <v>VIỆT NAM</v>
      </c>
      <c r="F273" s="1076">
        <f>IFERROR(__xludf.DUMMYFUNCTION("""COMPUTED_VALUE"""),2021)</f>
        <v>2021</v>
      </c>
      <c r="G273" s="1076" t="str">
        <f>IFERROR(__xludf.DUMMYFUNCTION("""COMPUTED_VALUE"""),"FRONTIER K200SD-4WD")</f>
        <v>FRONTIER K200SD-4WD</v>
      </c>
      <c r="H273" s="1076" t="str">
        <f>IFERROR(__xludf.DUMMYFUNCTION("""COMPUTED_VALUE"""),"129HP")</f>
        <v>129HP</v>
      </c>
      <c r="I273" s="1076" t="str">
        <f>IFERROR(__xludf.DUMMYFUNCTION("""COMPUTED_VALUE"""),"RNHF39KHBMT045662")</f>
        <v>RNHF39KHBMT045662</v>
      </c>
      <c r="J273" s="1076" t="str">
        <f>IFERROR(__xludf.DUMMYFUNCTION("""COMPUTED_VALUE"""),"MD540097D4CB")</f>
        <v>MD540097D4CB</v>
      </c>
      <c r="K273" s="1076"/>
      <c r="L273" s="1076" t="str">
        <f>IFERROR(__xludf.DUMMYFUNCTION("""COMPUTED_VALUE"""),"KLH")</f>
        <v>KLH</v>
      </c>
    </row>
    <row r="274" customHeight="1" spans="1:12">
      <c r="A274" s="1076" t="str">
        <f>IFERROR(__xludf.DUMMYFUNCTION("""COMPUTED_VALUE"""),"XL3-XTA-002")</f>
        <v>XL3-XTA-002</v>
      </c>
      <c r="B274" s="1075" t="str">
        <f>IFERROR(__xludf.DUMMYFUNCTION("""COMPUTED_VALUE"""),"Xe tải KOZUN")</f>
        <v>Xe tải KOZUN</v>
      </c>
      <c r="C274" s="1076" t="str">
        <f>IFERROR(__xludf.DUMMYFUNCTION("""COMPUTED_VALUE"""),"XN Chuối LP3")</f>
        <v>XN Chuối LP3</v>
      </c>
      <c r="D274" s="1076" t="str">
        <f>IFERROR(__xludf.DUMMYFUNCTION("""COMPUTED_VALUE"""),"KOZUN")</f>
        <v>KOZUN</v>
      </c>
      <c r="E274" s="1076" t="str">
        <f>IFERROR(__xludf.DUMMYFUNCTION("""COMPUTED_VALUE"""),"CAMPUCHIA")</f>
        <v>CAMPUCHIA</v>
      </c>
      <c r="F274" s="1076"/>
      <c r="G274" s="1076"/>
      <c r="H274" s="1076" t="str">
        <f>IFERROR(__xludf.DUMMYFUNCTION("""COMPUTED_VALUE"""),"60HP")</f>
        <v>60HP</v>
      </c>
      <c r="I274" s="1076" t="str">
        <f>IFERROR(__xludf.DUMMYFUNCTION("""COMPUTED_VALUE"""),"Mất số khung")</f>
        <v>Mất số khung</v>
      </c>
      <c r="J274" s="1076" t="str">
        <f>IFERROR(__xludf.DUMMYFUNCTION("""COMPUTED_VALUE"""),"115002")</f>
        <v>115002</v>
      </c>
      <c r="K274" s="1076">
        <f>IFERROR(__xludf.DUMMYFUNCTION("""COMPUTED_VALUE"""),2)</f>
        <v>2</v>
      </c>
      <c r="L274" s="1076" t="str">
        <f>IFERROR(__xludf.DUMMYFUNCTION("""COMPUTED_VALUE"""),"KLH")</f>
        <v>KLH</v>
      </c>
    </row>
    <row r="275" customHeight="1" spans="1:12">
      <c r="A275" s="1089" t="str">
        <f>IFERROR(__xludf.DUMMYFUNCTION("""COMPUTED_VALUE"""),"XL3-XTA-004")</f>
        <v>XL3-XTA-004</v>
      </c>
      <c r="B275" s="1075" t="str">
        <f>IFERROR(__xludf.DUMMYFUNCTION("""COMPUTED_VALUE"""),"Xe ben Forland FD990-4WDXTH4-5T")</f>
        <v>Xe ben Forland FD990-4WDXTH4-5T</v>
      </c>
      <c r="C275" s="1076" t="str">
        <f>IFERROR(__xludf.DUMMYFUNCTION("""COMPUTED_VALUE"""),"XN Chuối LP3")</f>
        <v>XN Chuối LP3</v>
      </c>
      <c r="D275" s="1076" t="str">
        <f>IFERROR(__xludf.DUMMYFUNCTION("""COMPUTED_VALUE"""),"THACO FORLAND")</f>
        <v>THACO FORLAND</v>
      </c>
      <c r="E275" s="1076" t="str">
        <f>IFERROR(__xludf.DUMMYFUNCTION("""COMPUTED_VALUE"""),"VIỆT NAM")</f>
        <v>VIỆT NAM</v>
      </c>
      <c r="F275" s="1076">
        <f>IFERROR(__xludf.DUMMYFUNCTION("""COMPUTED_VALUE"""),2023)</f>
        <v>2023</v>
      </c>
      <c r="G275" s="1076" t="str">
        <f>IFERROR(__xludf.DUMMYFUNCTION("""COMPUTED_VALUE""")," FD990-4WD")</f>
        <v> FD990-4WD</v>
      </c>
      <c r="H275" s="1076" t="str">
        <f>IFERROR(__xludf.DUMMYFUNCTION("""COMPUTED_VALUE"""),"100HP")</f>
        <v>100HP</v>
      </c>
      <c r="I275" s="1076" t="str">
        <f>IFERROR(__xludf.DUMMYFUNCTION("""COMPUTED_VALUE"""),"RNHF99FACPT075130")</f>
        <v>RNHF99FACPT075130</v>
      </c>
      <c r="J275" s="1076" t="str">
        <f>IFERROR(__xludf.DUMMYFUNCTION("""COMPUTED_VALUE"""),"4DW9395E4B0575115")</f>
        <v>4DW9395E4B0575115</v>
      </c>
      <c r="K275" s="1076">
        <f>IFERROR(__xludf.DUMMYFUNCTION("""COMPUTED_VALUE"""),3)</f>
        <v>3</v>
      </c>
      <c r="L275" s="1076" t="str">
        <f>IFERROR(__xludf.DUMMYFUNCTION("""COMPUTED_VALUE"""),"KLH")</f>
        <v>KLH</v>
      </c>
    </row>
    <row r="276" customHeight="1" spans="1:12">
      <c r="A276" s="1089" t="str">
        <f>IFERROR(__xludf.DUMMYFUNCTION("""COMPUTED_VALUE"""),"XL3-XTA-005")</f>
        <v>XL3-XTA-005</v>
      </c>
      <c r="B276" s="1075" t="str">
        <f>IFERROR(__xludf.DUMMYFUNCTION("""COMPUTED_VALUE"""),"Xe ben Forland FD990-4WDXTH4-5T")</f>
        <v>Xe ben Forland FD990-4WDXTH4-5T</v>
      </c>
      <c r="C276" s="1076" t="str">
        <f>IFERROR(__xludf.DUMMYFUNCTION("""COMPUTED_VALUE"""),"XN Chuối LP3")</f>
        <v>XN Chuối LP3</v>
      </c>
      <c r="D276" s="1076" t="str">
        <f>IFERROR(__xludf.DUMMYFUNCTION("""COMPUTED_VALUE"""),"THACO FORLAND")</f>
        <v>THACO FORLAND</v>
      </c>
      <c r="E276" s="1076" t="str">
        <f>IFERROR(__xludf.DUMMYFUNCTION("""COMPUTED_VALUE"""),"VIỆT NAM")</f>
        <v>VIỆT NAM</v>
      </c>
      <c r="F276" s="1076">
        <f>IFERROR(__xludf.DUMMYFUNCTION("""COMPUTED_VALUE"""),2023)</f>
        <v>2023</v>
      </c>
      <c r="G276" s="1076" t="str">
        <f>IFERROR(__xludf.DUMMYFUNCTION("""COMPUTED_VALUE""")," FD990-4WD")</f>
        <v> FD990-4WD</v>
      </c>
      <c r="H276" s="1076" t="str">
        <f>IFERROR(__xludf.DUMMYFUNCTION("""COMPUTED_VALUE"""),"100HP")</f>
        <v>100HP</v>
      </c>
      <c r="I276" s="1076" t="str">
        <f>IFERROR(__xludf.DUMMYFUNCTION("""COMPUTED_VALUE"""),"RNHF99FACPT076907")</f>
        <v>RNHF99FACPT076907</v>
      </c>
      <c r="J276" s="1076" t="str">
        <f>IFERROR(__xludf.DUMMYFUNCTION("""COMPUTED_VALUE"""),"4DW9395E4B0576687")</f>
        <v>4DW9395E4B0576687</v>
      </c>
      <c r="K276" s="1076">
        <f>IFERROR(__xludf.DUMMYFUNCTION("""COMPUTED_VALUE"""),0.33)</f>
        <v>0.33</v>
      </c>
      <c r="L276" s="1076" t="str">
        <f>IFERROR(__xludf.DUMMYFUNCTION("""COMPUTED_VALUE"""),"KLH")</f>
        <v>KLH</v>
      </c>
    </row>
    <row r="277" customHeight="1" spans="1:12">
      <c r="A277" s="1089" t="str">
        <f>IFERROR(__xludf.DUMMYFUNCTION("""COMPUTED_VALUE"""),"XL3-XTA-008")</f>
        <v>XL3-XTA-008</v>
      </c>
      <c r="B277" s="1075" t="str">
        <f>IFERROR(__xludf.DUMMYFUNCTION("""COMPUTED_VALUE"""),"Xe ben Forland FD990-4WDXTH4-5T")</f>
        <v>Xe ben Forland FD990-4WDXTH4-5T</v>
      </c>
      <c r="C277" s="1076" t="str">
        <f>IFERROR(__xludf.DUMMYFUNCTION("""COMPUTED_VALUE"""),"XN Chuối LP3")</f>
        <v>XN Chuối LP3</v>
      </c>
      <c r="D277" s="1076" t="str">
        <f>IFERROR(__xludf.DUMMYFUNCTION("""COMPUTED_VALUE"""),"THACO FORLAND")</f>
        <v>THACO FORLAND</v>
      </c>
      <c r="E277" s="1076" t="str">
        <f>IFERROR(__xludf.DUMMYFUNCTION("""COMPUTED_VALUE"""),"VIỆT NAM")</f>
        <v>VIỆT NAM</v>
      </c>
      <c r="F277" s="1076">
        <f>IFERROR(__xludf.DUMMYFUNCTION("""COMPUTED_VALUE"""),2023)</f>
        <v>2023</v>
      </c>
      <c r="G277" s="1076" t="str">
        <f>IFERROR(__xludf.DUMMYFUNCTION("""COMPUTED_VALUE""")," FD990-4WD")</f>
        <v> FD990-4WD</v>
      </c>
      <c r="H277" s="1076" t="str">
        <f>IFERROR(__xludf.DUMMYFUNCTION("""COMPUTED_VALUE"""),"100HP")</f>
        <v>100HP</v>
      </c>
      <c r="I277" s="1076" t="str">
        <f>IFERROR(__xludf.DUMMYFUNCTION("""COMPUTED_VALUE"""),"RNHF99FACNT055633")</f>
        <v>RNHF99FACNT055633</v>
      </c>
      <c r="J277" s="1076" t="str">
        <f>IFERROR(__xludf.DUMMYFUNCTION("""COMPUTED_VALUE"""),"4DW9395E4B0530476")</f>
        <v>4DW9395E4B0530476</v>
      </c>
      <c r="K277" s="1076">
        <f>IFERROR(__xludf.DUMMYFUNCTION("""COMPUTED_VALUE"""),0.33)</f>
        <v>0.33</v>
      </c>
      <c r="L277" s="1076" t="str">
        <f>IFERROR(__xludf.DUMMYFUNCTION("""COMPUTED_VALUE"""),"KLH")</f>
        <v>KLH</v>
      </c>
    </row>
    <row r="278" customHeight="1" spans="1:12">
      <c r="A278" s="1089" t="str">
        <f>IFERROR(__xludf.DUMMYFUNCTION("""COMPUTED_VALUE"""),"XL3-XTA-010")</f>
        <v>XL3-XTA-010</v>
      </c>
      <c r="B278" s="1075" t="str">
        <f>IFERROR(__xludf.DUMMYFUNCTION("""COMPUTED_VALUE"""),"Xe ben Forland FD990-4WDXTH4-5T")</f>
        <v>Xe ben Forland FD990-4WDXTH4-5T</v>
      </c>
      <c r="C278" s="1076" t="str">
        <f>IFERROR(__xludf.DUMMYFUNCTION("""COMPUTED_VALUE"""),"XN Chuối LP3")</f>
        <v>XN Chuối LP3</v>
      </c>
      <c r="D278" s="1076" t="str">
        <f>IFERROR(__xludf.DUMMYFUNCTION("""COMPUTED_VALUE"""),"THACO FORLAND")</f>
        <v>THACO FORLAND</v>
      </c>
      <c r="E278" s="1076" t="str">
        <f>IFERROR(__xludf.DUMMYFUNCTION("""COMPUTED_VALUE"""),"VIỆT NAM")</f>
        <v>VIỆT NAM</v>
      </c>
      <c r="F278" s="1076">
        <f>IFERROR(__xludf.DUMMYFUNCTION("""COMPUTED_VALUE"""),2024)</f>
        <v>2024</v>
      </c>
      <c r="G278" s="1076" t="str">
        <f>IFERROR(__xludf.DUMMYFUNCTION("""COMPUTED_VALUE""")," FD990-4WD")</f>
        <v> FD990-4WD</v>
      </c>
      <c r="H278" s="1076" t="str">
        <f>IFERROR(__xludf.DUMMYFUNCTION("""COMPUTED_VALUE"""),"94HP")</f>
        <v>94HP</v>
      </c>
      <c r="I278" s="1076" t="str">
        <f>IFERROR(__xludf.DUMMYFUNCTION("""COMPUTED_VALUE"""),"RNHF99FACRT092726")</f>
        <v>RNHF99FACRT092726</v>
      </c>
      <c r="J278" s="1076" t="str">
        <f>IFERROR(__xludf.DUMMYFUNCTION("""COMPUTED_VALUE"""),"B0577285")</f>
        <v>B0577285</v>
      </c>
      <c r="K278" s="1076">
        <f>IFERROR(__xludf.DUMMYFUNCTION("""COMPUTED_VALUE"""),0.33)</f>
        <v>0.33</v>
      </c>
      <c r="L278" s="1076" t="str">
        <f>IFERROR(__xludf.DUMMYFUNCTION("""COMPUTED_VALUE"""),"KLH")</f>
        <v>KLH</v>
      </c>
    </row>
    <row r="279" customHeight="1" spans="1:12">
      <c r="A279" s="1089" t="str">
        <f>IFERROR(__xludf.DUMMYFUNCTION("""COMPUTED_VALUE"""),"XL3-XTA-011")</f>
        <v>XL3-XTA-011</v>
      </c>
      <c r="B279" s="1075" t="str">
        <f>IFERROR(__xludf.DUMMYFUNCTION("""COMPUTED_VALUE"""),"Xe tải THACO FRONTIER TF490")</f>
        <v>Xe tải THACO FRONTIER TF490</v>
      </c>
      <c r="C279" s="1076" t="str">
        <f>IFERROR(__xludf.DUMMYFUNCTION("""COMPUTED_VALUE"""),"XN Chuối LP3")</f>
        <v>XN Chuối LP3</v>
      </c>
      <c r="D279" s="1076" t="str">
        <f>IFERROR(__xludf.DUMMYFUNCTION("""COMPUTED_VALUE"""),"THACO FRONTIER")</f>
        <v>THACO FRONTIER</v>
      </c>
      <c r="E279" s="1076" t="str">
        <f>IFERROR(__xludf.DUMMYFUNCTION("""COMPUTED_VALUE"""),"VIỆT NAM")</f>
        <v>VIỆT NAM</v>
      </c>
      <c r="F279" s="1076">
        <f>IFERROR(__xludf.DUMMYFUNCTION("""COMPUTED_VALUE"""),2024)</f>
        <v>2024</v>
      </c>
      <c r="G279" s="1076" t="str">
        <f>IFERROR(__xludf.DUMMYFUNCTION("""COMPUTED_VALUE"""),"TF490")</f>
        <v>TF490</v>
      </c>
      <c r="H279" s="1076" t="str">
        <f>IFERROR(__xludf.DUMMYFUNCTION("""COMPUTED_VALUE"""),"107HP")</f>
        <v>107HP</v>
      </c>
      <c r="I279" s="1076" t="str">
        <f>IFERROR(__xludf.DUMMYFUNCTION("""COMPUTED_VALUE"""),"RNHA49TZART082920")</f>
        <v>RNHA49TZART082920</v>
      </c>
      <c r="J279" s="1076" t="str">
        <f>IFERROR(__xludf.DUMMYFUNCTION("""COMPUTED_VALUE"""),"JE493ZLQ4*37100378*")</f>
        <v>JE493ZLQ4*37100378*</v>
      </c>
      <c r="K279" s="1076">
        <f>IFERROR(__xludf.DUMMYFUNCTION("""COMPUTED_VALUE"""),0.2)</f>
        <v>0.2</v>
      </c>
      <c r="L279" s="1076" t="str">
        <f>IFERROR(__xludf.DUMMYFUNCTION("""COMPUTED_VALUE"""),"KLH")</f>
        <v>KLH</v>
      </c>
    </row>
    <row r="280" customHeight="1" spans="1:12">
      <c r="A280" s="1089" t="str">
        <f>IFERROR(__xludf.DUMMYFUNCTION("""COMPUTED_VALUE"""),"XL3-XPT-001")</f>
        <v>XL3-XPT-001</v>
      </c>
      <c r="B280" s="1075" t="str">
        <f>IFERROR(__xludf.DUMMYFUNCTION("""COMPUTED_VALUE"""),"Xe phun thuốc Faw 15T")</f>
        <v>Xe phun thuốc Faw 15T</v>
      </c>
      <c r="C280" s="1076" t="str">
        <f>IFERROR(__xludf.DUMMYFUNCTION("""COMPUTED_VALUE"""),"XN Chuối LP3")</f>
        <v>XN Chuối LP3</v>
      </c>
      <c r="D280" s="1076" t="str">
        <f>IFERROR(__xludf.DUMMYFUNCTION("""COMPUTED_VALUE"""),"FAW")</f>
        <v>FAW</v>
      </c>
      <c r="E280" s="1076"/>
      <c r="F280" s="1076">
        <f>IFERROR(__xludf.DUMMYFUNCTION("""COMPUTED_VALUE"""),2010)</f>
        <v>2010</v>
      </c>
      <c r="G280" s="1076"/>
      <c r="H280" s="1076" t="str">
        <f>IFERROR(__xludf.DUMMYFUNCTION("""COMPUTED_VALUE"""),"15 TẤN")</f>
        <v>15 TẤN</v>
      </c>
      <c r="I280" s="1076" t="str">
        <f>IFERROR(__xludf.DUMMYFUNCTION("""COMPUTED_VALUE"""),"9AD16880")</f>
        <v>9AD16880</v>
      </c>
      <c r="J280" s="1076" t="str">
        <f>IFERROR(__xludf.DUMMYFUNCTION("""COMPUTED_VALUE"""),"CCN")</f>
        <v>CCN</v>
      </c>
      <c r="K280" s="1076">
        <f>IFERROR(__xludf.DUMMYFUNCTION("""COMPUTED_VALUE"""),3.75)</f>
        <v>3.75</v>
      </c>
      <c r="L280" s="1076" t="str">
        <f>IFERROR(__xludf.DUMMYFUNCTION("""COMPUTED_VALUE"""),"KLH")</f>
        <v>KLH</v>
      </c>
    </row>
    <row r="281" customHeight="1" spans="1:12">
      <c r="A281" s="1089" t="str">
        <f>IFERROR(__xludf.DUMMYFUNCTION("""COMPUTED_VALUE"""),"XL3-XPT-002")</f>
        <v>XL3-XPT-002</v>
      </c>
      <c r="B281" s="1075" t="str">
        <f>IFERROR(__xludf.DUMMYFUNCTION("""COMPUTED_VALUE"""),"Xe phun thuốc HYUNDAI 15T")</f>
        <v>Xe phun thuốc HYUNDAI 15T</v>
      </c>
      <c r="C281" s="1076" t="str">
        <f>IFERROR(__xludf.DUMMYFUNCTION("""COMPUTED_VALUE"""),"XN Chuối LP3")</f>
        <v>XN Chuối LP3</v>
      </c>
      <c r="D281" s="1076" t="str">
        <f>IFERROR(__xludf.DUMMYFUNCTION("""COMPUTED_VALUE"""),"HYUNDAI")</f>
        <v>HYUNDAI</v>
      </c>
      <c r="E281" s="1076" t="str">
        <f>IFERROR(__xludf.DUMMYFUNCTION("""COMPUTED_VALUE"""),"HÀN QUỐC")</f>
        <v>HÀN QUỐC</v>
      </c>
      <c r="F281" s="1076"/>
      <c r="G281" s="1076"/>
      <c r="H281" s="1076"/>
      <c r="I281" s="1076" t="str">
        <f>IFERROR(__xludf.DUMMYFUNCTION("""COMPUTED_VALUE"""),"18446")</f>
        <v>18446</v>
      </c>
      <c r="J281" s="1076" t="str">
        <f>IFERROR(__xludf.DUMMYFUNCTION("""COMPUTED_VALUE"""),"CCN")</f>
        <v>CCN</v>
      </c>
      <c r="K281" s="1076">
        <f>IFERROR(__xludf.DUMMYFUNCTION("""COMPUTED_VALUE"""),3.75)</f>
        <v>3.75</v>
      </c>
      <c r="L281" s="1076" t="str">
        <f>IFERROR(__xludf.DUMMYFUNCTION("""COMPUTED_VALUE"""),"KLH")</f>
        <v>KLH</v>
      </c>
    </row>
    <row r="282" customHeight="1" spans="1:12">
      <c r="A282" s="1089" t="str">
        <f>IFERROR(__xludf.DUMMYFUNCTION("""COMPUTED_VALUE"""),"XL3-XNA-001")</f>
        <v>XL3-XNA-001</v>
      </c>
      <c r="B282" s="1075" t="str">
        <f>IFERROR(__xludf.DUMMYFUNCTION("""COMPUTED_VALUE"""),"Xe nâng điện 1.5 tấn")</f>
        <v>Xe nâng điện 1.5 tấn</v>
      </c>
      <c r="C282" s="1076" t="str">
        <f>IFERROR(__xludf.DUMMYFUNCTION("""COMPUTED_VALUE"""),"XN Chuối LP3")</f>
        <v>XN Chuối LP3</v>
      </c>
      <c r="D282" s="1076" t="str">
        <f>IFERROR(__xludf.DUMMYFUNCTION("""COMPUTED_VALUE"""),"KOMATSU")</f>
        <v>KOMATSU</v>
      </c>
      <c r="E282" s="1076" t="str">
        <f>IFERROR(__xludf.DUMMYFUNCTION("""COMPUTED_VALUE"""),"NHẬT BẢN")</f>
        <v>NHẬT BẢN</v>
      </c>
      <c r="F282" s="1076">
        <f>IFERROR(__xludf.DUMMYFUNCTION("""COMPUTED_VALUE"""),2007)</f>
        <v>2007</v>
      </c>
      <c r="G282" s="1076" t="str">
        <f>IFERROR(__xludf.DUMMYFUNCTION("""COMPUTED_VALUE"""),"FB15-12")</f>
        <v>FB15-12</v>
      </c>
      <c r="H282" s="1076"/>
      <c r="I282" s="1076" t="str">
        <f>IFERROR(__xludf.DUMMYFUNCTION("""COMPUTED_VALUE"""),"830261")</f>
        <v>830261</v>
      </c>
      <c r="J282" s="1076" t="str">
        <f>IFERROR(__xludf.DUMMYFUNCTION("""COMPUTED_VALUE"""),"2007/2")</f>
        <v>2007/2</v>
      </c>
      <c r="K282" s="1076"/>
      <c r="L282" s="1076" t="str">
        <f>IFERROR(__xludf.DUMMYFUNCTION("""COMPUTED_VALUE"""),"KLH")</f>
        <v>KLH</v>
      </c>
    </row>
    <row r="283" customHeight="1" spans="1:12">
      <c r="A283" s="1089" t="str">
        <f>IFERROR(__xludf.DUMMYFUNCTION("""COMPUTED_VALUE"""),"XL3-XNA-002")</f>
        <v>XL3-XNA-002</v>
      </c>
      <c r="B283" s="1075" t="str">
        <f>IFERROR(__xludf.DUMMYFUNCTION("""COMPUTED_VALUE"""),"Xe nâng điện 1.5 tấn")</f>
        <v>Xe nâng điện 1.5 tấn</v>
      </c>
      <c r="C283" s="1076" t="str">
        <f>IFERROR(__xludf.DUMMYFUNCTION("""COMPUTED_VALUE"""),"XN Chuối LP3")</f>
        <v>XN Chuối LP3</v>
      </c>
      <c r="D283" s="1076" t="str">
        <f>IFERROR(__xludf.DUMMYFUNCTION("""COMPUTED_VALUE"""),"BYD")</f>
        <v>BYD</v>
      </c>
      <c r="E283" s="1076" t="str">
        <f>IFERROR(__xludf.DUMMYFUNCTION("""COMPUTED_VALUE"""),"TRUNG QUỐC")</f>
        <v>TRUNG QUỐC</v>
      </c>
      <c r="F283" s="1076">
        <f>IFERROR(__xludf.DUMMYFUNCTION("""COMPUTED_VALUE"""),2019)</f>
        <v>2019</v>
      </c>
      <c r="G283" s="1076" t="str">
        <f>IFERROR(__xludf.DUMMYFUNCTION("""COMPUTED_VALUE"""),"ECB16S-B")</f>
        <v>ECB16S-B</v>
      </c>
      <c r="H283" s="1076"/>
      <c r="I283" s="1076" t="str">
        <f>IFERROR(__xludf.DUMMYFUNCTION("""COMPUTED_VALUE"""),"1501190005")</f>
        <v>1501190005</v>
      </c>
      <c r="J283" s="1076" t="str">
        <f>IFERROR(__xludf.DUMMYFUNCTION("""COMPUTED_VALUE"""),"TS2510598-2021")</f>
        <v>TS2510598-2021</v>
      </c>
      <c r="K283" s="1076"/>
      <c r="L283" s="1076" t="str">
        <f>IFERROR(__xludf.DUMMYFUNCTION("""COMPUTED_VALUE"""),"KLH")</f>
        <v>KLH</v>
      </c>
    </row>
    <row r="284" customHeight="1" spans="1:12">
      <c r="A284" s="1089" t="str">
        <f>IFERROR(__xludf.DUMMYFUNCTION("""COMPUTED_VALUE"""),"XL3-XNA-003")</f>
        <v>XL3-XNA-003</v>
      </c>
      <c r="B284" s="1075" t="str">
        <f>IFERROR(__xludf.DUMMYFUNCTION("""COMPUTED_VALUE"""),"Xe nâng điện 2.5 tấn")</f>
        <v>Xe nâng điện 2.5 tấn</v>
      </c>
      <c r="C284" s="1076" t="str">
        <f>IFERROR(__xludf.DUMMYFUNCTION("""COMPUTED_VALUE"""),"XN Chuối LP3")</f>
        <v>XN Chuối LP3</v>
      </c>
      <c r="D284" s="1076" t="str">
        <f>IFERROR(__xludf.DUMMYFUNCTION("""COMPUTED_VALUE"""),"LOVOL")</f>
        <v>LOVOL</v>
      </c>
      <c r="E284" s="1076" t="str">
        <f>IFERROR(__xludf.DUMMYFUNCTION("""COMPUTED_VALUE"""),"TRUNG QUỐC")</f>
        <v>TRUNG QUỐC</v>
      </c>
      <c r="F284" s="1076">
        <f>IFERROR(__xludf.DUMMYFUNCTION("""COMPUTED_VALUE"""),2026)</f>
        <v>2026</v>
      </c>
      <c r="G284" s="1076" t="str">
        <f>IFERROR(__xludf.DUMMYFUNCTION("""COMPUTED_VALUE"""),"FF25E")</f>
        <v>FF25E</v>
      </c>
      <c r="H284" s="1076" t="str">
        <f>IFERROR(__xludf.DUMMYFUNCTION("""COMPUTED_VALUE"""),"13,68 HP")</f>
        <v>13,68 HP</v>
      </c>
      <c r="I284" s="1076" t="str">
        <f>IFERROR(__xludf.DUMMYFUNCTION("""COMPUTED_VALUE"""),"C31293R50030")</f>
        <v>C31293R50030</v>
      </c>
      <c r="J284" s="1076"/>
      <c r="K284" s="1076"/>
      <c r="L284" s="1076" t="str">
        <f>IFERROR(__xludf.DUMMYFUNCTION("""COMPUTED_VALUE"""),"KLH")</f>
        <v>KLH</v>
      </c>
    </row>
    <row r="285" customHeight="1" spans="1:12">
      <c r="A285" s="1089" t="str">
        <f>IFERROR(__xludf.DUMMYFUNCTION("""COMPUTED_VALUE"""),"XL3-CLT-001")</f>
        <v>XL3-CLT-001</v>
      </c>
      <c r="B285" s="1075" t="str">
        <f>IFERROR(__xludf.DUMMYFUNCTION("""COMPUTED_VALUE"""),"Xe clethon")</f>
        <v>Xe clethon</v>
      </c>
      <c r="C285" s="1076" t="str">
        <f>IFERROR(__xludf.DUMMYFUNCTION("""COMPUTED_VALUE"""),"XN Chuối LP3")</f>
        <v>XN Chuối LP3</v>
      </c>
      <c r="D285" s="1076" t="str">
        <f>IFERROR(__xludf.DUMMYFUNCTION("""COMPUTED_VALUE"""),"YANMAR")</f>
        <v>YANMAR</v>
      </c>
      <c r="E285" s="1076" t="str">
        <f>IFERROR(__xludf.DUMMYFUNCTION("""COMPUTED_VALUE"""),"INDONESIA")</f>
        <v>INDONESIA</v>
      </c>
      <c r="F285" s="1076">
        <f>IFERROR(__xludf.DUMMYFUNCTION("""COMPUTED_VALUE"""),2022)</f>
        <v>2022</v>
      </c>
      <c r="G285" s="1076" t="str">
        <f>IFERROR(__xludf.DUMMYFUNCTION("""COMPUTED_VALUE"""),"TF150NL-PR2")</f>
        <v>TF150NL-PR2</v>
      </c>
      <c r="H285" s="1076" t="str">
        <f>IFERROR(__xludf.DUMMYFUNCTION("""COMPUTED_VALUE"""),"15HP")</f>
        <v>15HP</v>
      </c>
      <c r="I285" s="1076" t="str">
        <f>IFERROR(__xludf.DUMMYFUNCTION("""COMPUTED_VALUE"""),"203063")</f>
        <v>203063</v>
      </c>
      <c r="J285" s="1076" t="str">
        <f>IFERROR(__xludf.DUMMYFUNCTION("""COMPUTED_VALUE"""),"B2165L")</f>
        <v>B2165L</v>
      </c>
      <c r="K285" s="1076">
        <f>IFERROR(__xludf.DUMMYFUNCTION("""COMPUTED_VALUE"""),0.5)</f>
        <v>0.5</v>
      </c>
      <c r="L285" s="1076" t="str">
        <f>IFERROR(__xludf.DUMMYFUNCTION("""COMPUTED_VALUE"""),"KLH")</f>
        <v>KLH</v>
      </c>
    </row>
    <row r="286" customHeight="1" spans="1:12">
      <c r="A286" s="1089" t="str">
        <f>IFERROR(__xludf.DUMMYFUNCTION("""COMPUTED_VALUE"""),"XL3-CLT-002")</f>
        <v>XL3-CLT-002</v>
      </c>
      <c r="B286" s="1075" t="str">
        <f>IFERROR(__xludf.DUMMYFUNCTION("""COMPUTED_VALUE"""),"Xe clethon")</f>
        <v>Xe clethon</v>
      </c>
      <c r="C286" s="1076" t="str">
        <f>IFERROR(__xludf.DUMMYFUNCTION("""COMPUTED_VALUE"""),"XN Chuối LP3")</f>
        <v>XN Chuối LP3</v>
      </c>
      <c r="D286" s="1076" t="str">
        <f>IFERROR(__xludf.DUMMYFUNCTION("""COMPUTED_VALUE"""),"YANMAR")</f>
        <v>YANMAR</v>
      </c>
      <c r="E286" s="1076" t="str">
        <f>IFERROR(__xludf.DUMMYFUNCTION("""COMPUTED_VALUE"""),"INDONESIA")</f>
        <v>INDONESIA</v>
      </c>
      <c r="F286" s="1076">
        <f>IFERROR(__xludf.DUMMYFUNCTION("""COMPUTED_VALUE"""),2022)</f>
        <v>2022</v>
      </c>
      <c r="G286" s="1076" t="str">
        <f>IFERROR(__xludf.DUMMYFUNCTION("""COMPUTED_VALUE"""),"TF150NL-PR2")</f>
        <v>TF150NL-PR2</v>
      </c>
      <c r="H286" s="1076" t="str">
        <f>IFERROR(__xludf.DUMMYFUNCTION("""COMPUTED_VALUE"""),"15HP")</f>
        <v>15HP</v>
      </c>
      <c r="I286" s="1076" t="str">
        <f>IFERROR(__xludf.DUMMYFUNCTION("""COMPUTED_VALUE"""),"203064")</f>
        <v>203064</v>
      </c>
      <c r="J286" s="1076" t="str">
        <f>IFERROR(__xludf.DUMMYFUNCTION("""COMPUTED_VALUE"""),"B0516M")</f>
        <v>B0516M</v>
      </c>
      <c r="K286" s="1076">
        <f>IFERROR(__xludf.DUMMYFUNCTION("""COMPUTED_VALUE"""),0.5)</f>
        <v>0.5</v>
      </c>
      <c r="L286" s="1076" t="str">
        <f>IFERROR(__xludf.DUMMYFUNCTION("""COMPUTED_VALUE"""),"KLH")</f>
        <v>KLH</v>
      </c>
    </row>
    <row r="287" customHeight="1" spans="1:12">
      <c r="A287" s="1089" t="str">
        <f>IFERROR(__xludf.DUMMYFUNCTION("""COMPUTED_VALUE"""),"XL3-CLT-003")</f>
        <v>XL3-CLT-003</v>
      </c>
      <c r="B287" s="1075" t="str">
        <f>IFERROR(__xludf.DUMMYFUNCTION("""COMPUTED_VALUE"""),"Xe clethon")</f>
        <v>Xe clethon</v>
      </c>
      <c r="C287" s="1076" t="str">
        <f>IFERROR(__xludf.DUMMYFUNCTION("""COMPUTED_VALUE"""),"XN Chuối LP3")</f>
        <v>XN Chuối LP3</v>
      </c>
      <c r="D287" s="1076" t="str">
        <f>IFERROR(__xludf.DUMMYFUNCTION("""COMPUTED_VALUE"""),"YANMAR")</f>
        <v>YANMAR</v>
      </c>
      <c r="E287" s="1076" t="str">
        <f>IFERROR(__xludf.DUMMYFUNCTION("""COMPUTED_VALUE"""),"INDONESIA")</f>
        <v>INDONESIA</v>
      </c>
      <c r="F287" s="1076">
        <f>IFERROR(__xludf.DUMMYFUNCTION("""COMPUTED_VALUE"""),2022)</f>
        <v>2022</v>
      </c>
      <c r="G287" s="1076" t="str">
        <f>IFERROR(__xludf.DUMMYFUNCTION("""COMPUTED_VALUE"""),"TF150NL-PR2")</f>
        <v>TF150NL-PR2</v>
      </c>
      <c r="H287" s="1076" t="str">
        <f>IFERROR(__xludf.DUMMYFUNCTION("""COMPUTED_VALUE"""),"15HP")</f>
        <v>15HP</v>
      </c>
      <c r="I287" s="1076" t="str">
        <f>IFERROR(__xludf.DUMMYFUNCTION("""COMPUTED_VALUE"""),"203067")</f>
        <v>203067</v>
      </c>
      <c r="J287" s="1076" t="str">
        <f>IFERROR(__xludf.DUMMYFUNCTION("""COMPUTED_VALUE"""),"B0502M")</f>
        <v>B0502M</v>
      </c>
      <c r="K287" s="1076">
        <f>IFERROR(__xludf.DUMMYFUNCTION("""COMPUTED_VALUE"""),0.5)</f>
        <v>0.5</v>
      </c>
      <c r="L287" s="1076" t="str">
        <f>IFERROR(__xludf.DUMMYFUNCTION("""COMPUTED_VALUE"""),"KLH")</f>
        <v>KLH</v>
      </c>
    </row>
    <row r="288" customHeight="1" spans="1:12">
      <c r="A288" s="1089" t="str">
        <f>IFERROR(__xludf.DUMMYFUNCTION("""COMPUTED_VALUE"""),"XL3-CLT-004")</f>
        <v>XL3-CLT-004</v>
      </c>
      <c r="B288" s="1075" t="str">
        <f>IFERROR(__xludf.DUMMYFUNCTION("""COMPUTED_VALUE"""),"Xe clethon")</f>
        <v>Xe clethon</v>
      </c>
      <c r="C288" s="1076" t="str">
        <f>IFERROR(__xludf.DUMMYFUNCTION("""COMPUTED_VALUE"""),"XN Chuối LP3")</f>
        <v>XN Chuối LP3</v>
      </c>
      <c r="D288" s="1076" t="str">
        <f>IFERROR(__xludf.DUMMYFUNCTION("""COMPUTED_VALUE"""),"YANMAR")</f>
        <v>YANMAR</v>
      </c>
      <c r="E288" s="1076" t="str">
        <f>IFERROR(__xludf.DUMMYFUNCTION("""COMPUTED_VALUE"""),"INDONESIA")</f>
        <v>INDONESIA</v>
      </c>
      <c r="F288" s="1076">
        <f>IFERROR(__xludf.DUMMYFUNCTION("""COMPUTED_VALUE"""),2022)</f>
        <v>2022</v>
      </c>
      <c r="G288" s="1076" t="str">
        <f>IFERROR(__xludf.DUMMYFUNCTION("""COMPUTED_VALUE"""),"TF150NL-PR2")</f>
        <v>TF150NL-PR2</v>
      </c>
      <c r="H288" s="1076" t="str">
        <f>IFERROR(__xludf.DUMMYFUNCTION("""COMPUTED_VALUE"""),"15HP")</f>
        <v>15HP</v>
      </c>
      <c r="I288" s="1076" t="str">
        <f>IFERROR(__xludf.DUMMYFUNCTION("""COMPUTED_VALUE"""),"203073")</f>
        <v>203073</v>
      </c>
      <c r="J288" s="1076" t="str">
        <f>IFERROR(__xludf.DUMMYFUNCTION("""COMPUTED_VALUE"""),"B2165L")</f>
        <v>B2165L</v>
      </c>
      <c r="K288" s="1076">
        <f>IFERROR(__xludf.DUMMYFUNCTION("""COMPUTED_VALUE"""),0.5)</f>
        <v>0.5</v>
      </c>
      <c r="L288" s="1076" t="str">
        <f>IFERROR(__xludf.DUMMYFUNCTION("""COMPUTED_VALUE"""),"KLH")</f>
        <v>KLH</v>
      </c>
    </row>
    <row r="289" customHeight="1" spans="1:12">
      <c r="A289" s="1089" t="str">
        <f>IFERROR(__xludf.DUMMYFUNCTION("""COMPUTED_VALUE"""),"XL3-CLT-005")</f>
        <v>XL3-CLT-005</v>
      </c>
      <c r="B289" s="1075" t="str">
        <f>IFERROR(__xludf.DUMMYFUNCTION("""COMPUTED_VALUE"""),"Xe clethon")</f>
        <v>Xe clethon</v>
      </c>
      <c r="C289" s="1076" t="str">
        <f>IFERROR(__xludf.DUMMYFUNCTION("""COMPUTED_VALUE"""),"XN Chuối LP3")</f>
        <v>XN Chuối LP3</v>
      </c>
      <c r="D289" s="1076" t="str">
        <f>IFERROR(__xludf.DUMMYFUNCTION("""COMPUTED_VALUE"""),"YANMAR")</f>
        <v>YANMAR</v>
      </c>
      <c r="E289" s="1076" t="str">
        <f>IFERROR(__xludf.DUMMYFUNCTION("""COMPUTED_VALUE"""),"INDONESIA")</f>
        <v>INDONESIA</v>
      </c>
      <c r="F289" s="1076">
        <f>IFERROR(__xludf.DUMMYFUNCTION("""COMPUTED_VALUE"""),2022)</f>
        <v>2022</v>
      </c>
      <c r="G289" s="1076" t="str">
        <f>IFERROR(__xludf.DUMMYFUNCTION("""COMPUTED_VALUE"""),"TF150NL-PR2")</f>
        <v>TF150NL-PR2</v>
      </c>
      <c r="H289" s="1076" t="str">
        <f>IFERROR(__xludf.DUMMYFUNCTION("""COMPUTED_VALUE"""),"15HP")</f>
        <v>15HP</v>
      </c>
      <c r="I289" s="1076" t="str">
        <f>IFERROR(__xludf.DUMMYFUNCTION("""COMPUTED_VALUE"""),"203077")</f>
        <v>203077</v>
      </c>
      <c r="J289" s="1076" t="str">
        <f>IFERROR(__xludf.DUMMYFUNCTION("""COMPUTED_VALUE"""),"B2103L")</f>
        <v>B2103L</v>
      </c>
      <c r="K289" s="1076">
        <f>IFERROR(__xludf.DUMMYFUNCTION("""COMPUTED_VALUE"""),0.5)</f>
        <v>0.5</v>
      </c>
      <c r="L289" s="1076" t="str">
        <f>IFERROR(__xludf.DUMMYFUNCTION("""COMPUTED_VALUE"""),"KLH")</f>
        <v>KLH</v>
      </c>
    </row>
    <row r="290" customHeight="1" spans="1:12">
      <c r="A290" s="1089" t="str">
        <f>IFERROR(__xludf.DUMMYFUNCTION("""COMPUTED_VALUE"""),"XL3-MĐQ-001")</f>
        <v>XL3-MĐQ-001</v>
      </c>
      <c r="B290" s="1075" t="str">
        <f>IFERROR(__xludf.DUMMYFUNCTION("""COMPUTED_VALUE"""),"Máy cắt cỏ đĩa quay 7.5HP")</f>
        <v>Máy cắt cỏ đĩa quay 7.5HP</v>
      </c>
      <c r="C290" s="1076" t="str">
        <f>IFERROR(__xludf.DUMMYFUNCTION("""COMPUTED_VALUE"""),"XN Chuối LP3")</f>
        <v>XN Chuối LP3</v>
      </c>
      <c r="D290" s="1076" t="str">
        <f>IFERROR(__xludf.DUMMYFUNCTION("""COMPUTED_VALUE"""),"YANMAR")</f>
        <v>YANMAR</v>
      </c>
      <c r="E290" s="1076" t="str">
        <f>IFERROR(__xludf.DUMMYFUNCTION("""COMPUTED_VALUE"""),"Nhật Bản")</f>
        <v>Nhật Bản</v>
      </c>
      <c r="F290" s="1076"/>
      <c r="G290" s="1076" t="str">
        <f>IFERROR(__xludf.DUMMYFUNCTION("""COMPUTED_VALUE"""),"YANMAR YC750")</f>
        <v>YANMAR YC750</v>
      </c>
      <c r="H290" s="1076" t="str">
        <f>IFERROR(__xludf.DUMMYFUNCTION("""COMPUTED_VALUE"""),"7.5HP")</f>
        <v>7.5HP</v>
      </c>
      <c r="I290" s="1076" t="str">
        <f>IFERROR(__xludf.DUMMYFUNCTION("""COMPUTED_VALUE"""),"31252")</f>
        <v>31252</v>
      </c>
      <c r="J290" s="1076" t="str">
        <f>IFERROR(__xludf.DUMMYFUNCTION("""COMPUTED_VALUE"""),"13422")</f>
        <v>13422</v>
      </c>
      <c r="K290" s="1076">
        <f>IFERROR(__xludf.DUMMYFUNCTION("""COMPUTED_VALUE"""),2.3)</f>
        <v>2.3</v>
      </c>
      <c r="L290" s="1076" t="str">
        <f>IFERROR(__xludf.DUMMYFUNCTION("""COMPUTED_VALUE"""),"KLH")</f>
        <v>KLH</v>
      </c>
    </row>
    <row r="291" customHeight="1" spans="1:12">
      <c r="A291" s="1089" t="str">
        <f>IFERROR(__xludf.DUMMYFUNCTION("""COMPUTED_VALUE"""),"XL3-RBX-001")</f>
        <v>XL3-RBX-001</v>
      </c>
      <c r="B291" s="1075" t="str">
        <f>IFERROR(__xludf.DUMMYFUNCTION("""COMPUTED_VALUE"""),"Xe rùa bánh xích HỒNG HÀ")</f>
        <v>Xe rùa bánh xích HỒNG HÀ</v>
      </c>
      <c r="C291" s="1076" t="str">
        <f>IFERROR(__xludf.DUMMYFUNCTION("""COMPUTED_VALUE"""),"XN Chuối LP3")</f>
        <v>XN Chuối LP3</v>
      </c>
      <c r="D291" s="1076" t="str">
        <f>IFERROR(__xludf.DUMMYFUNCTION("""COMPUTED_VALUE"""),"HỒNG HÀ")</f>
        <v>HỒNG HÀ</v>
      </c>
      <c r="E291" s="1076" t="str">
        <f>IFERROR(__xludf.DUMMYFUNCTION("""COMPUTED_VALUE"""),"VIỆT NAM")</f>
        <v>VIỆT NAM</v>
      </c>
      <c r="F291" s="1076">
        <f>IFERROR(__xludf.DUMMYFUNCTION("""COMPUTED_VALUE"""),2024)</f>
        <v>2024</v>
      </c>
      <c r="G291" s="1076" t="str">
        <f>IFERROR(__xludf.DUMMYFUNCTION("""COMPUTED_VALUE"""),"4L6819010 (động cơ diesel)")</f>
        <v>4L6819010 (động cơ diesel)</v>
      </c>
      <c r="H291" s="1076" t="str">
        <f>IFERROR(__xludf.DUMMYFUNCTION("""COMPUTED_VALUE"""),"67HP")</f>
        <v>67HP</v>
      </c>
      <c r="I291" s="1076" t="str">
        <f>IFERROR(__xludf.DUMMYFUNCTION("""COMPUTED_VALUE"""),"TCYUN54A1JR278360")</f>
        <v>TCYUN54A1JR278360</v>
      </c>
      <c r="J291" s="1076" t="str">
        <f>IFERROR(__xludf.DUMMYFUNCTION("""COMPUTED_VALUE"""),"C43101509A")</f>
        <v>C43101509A</v>
      </c>
      <c r="K291" s="1076"/>
      <c r="L291" s="1076" t="str">
        <f>IFERROR(__xludf.DUMMYFUNCTION("""COMPUTED_VALUE"""),"KLH")</f>
        <v>KLH</v>
      </c>
    </row>
    <row r="292" customHeight="1" spans="1:12">
      <c r="A292" s="1089" t="str">
        <f>IFERROR(__xludf.DUMMYFUNCTION("""COMPUTED_VALUE"""),"XL3-CCD-001")</f>
        <v>XL3-CCD-001</v>
      </c>
      <c r="B292" s="1075" t="str">
        <f>IFERROR(__xludf.DUMMYFUNCTION("""COMPUTED_VALUE"""),"Máy cắt cỏ trục băm đa năng")</f>
        <v>Máy cắt cỏ trục băm đa năng</v>
      </c>
      <c r="C292" s="1076" t="str">
        <f>IFERROR(__xludf.DUMMYFUNCTION("""COMPUTED_VALUE"""),"XN Chuối LP3")</f>
        <v>XN Chuối LP3</v>
      </c>
      <c r="D292" s="1076" t="str">
        <f>IFERROR(__xludf.DUMMYFUNCTION("""COMPUTED_VALUE"""),"ISHIKAWA")</f>
        <v>ISHIKAWA</v>
      </c>
      <c r="E292" s="1076" t="str">
        <f>IFERROR(__xludf.DUMMYFUNCTION("""COMPUTED_VALUE"""),"VIỆT NAM")</f>
        <v>VIỆT NAM</v>
      </c>
      <c r="F292" s="1076">
        <f>IFERROR(__xludf.DUMMYFUNCTION("""COMPUTED_VALUE"""),2025)</f>
        <v>2025</v>
      </c>
      <c r="G292" s="1076" t="str">
        <f>IFERROR(__xludf.DUMMYFUNCTION("""COMPUTED_VALUE"""),"TL662")</f>
        <v>TL662</v>
      </c>
      <c r="H292" s="1076" t="str">
        <f>IFERROR(__xludf.DUMMYFUNCTION("""COMPUTED_VALUE"""),"10HP")</f>
        <v>10HP</v>
      </c>
      <c r="I292" s="1076" t="str">
        <f>IFERROR(__xludf.DUMMYFUNCTION("""COMPUTED_VALUE"""),"TL20250601406")</f>
        <v>TL20250601406</v>
      </c>
      <c r="J292" s="1076" t="str">
        <f>IFERROR(__xludf.DUMMYFUNCTION("""COMPUTED_VALUE"""),"GT1000B0042100CD")</f>
        <v>GT1000B0042100CD</v>
      </c>
      <c r="K292" s="1076">
        <f>IFERROR(__xludf.DUMMYFUNCTION("""COMPUTED_VALUE"""),1.8)</f>
        <v>1.8</v>
      </c>
      <c r="L292" s="1076" t="str">
        <f>IFERROR(__xludf.DUMMYFUNCTION("""COMPUTED_VALUE"""),"KLH")</f>
        <v>KLH</v>
      </c>
    </row>
    <row r="293" customHeight="1" spans="1:12">
      <c r="A293" s="1089" t="str">
        <f>IFERROR(__xludf.DUMMYFUNCTION("""COMPUTED_VALUE"""),"XL3-CCD-002")</f>
        <v>XL3-CCD-002</v>
      </c>
      <c r="B293" s="1075" t="str">
        <f>IFERROR(__xludf.DUMMYFUNCTION("""COMPUTED_VALUE"""),"Máy cắt cỏ trục băm đa năng")</f>
        <v>Máy cắt cỏ trục băm đa năng</v>
      </c>
      <c r="C293" s="1076" t="str">
        <f>IFERROR(__xludf.DUMMYFUNCTION("""COMPUTED_VALUE"""),"XN Chuối LP3")</f>
        <v>XN Chuối LP3</v>
      </c>
      <c r="D293" s="1076" t="str">
        <f>IFERROR(__xludf.DUMMYFUNCTION("""COMPUTED_VALUE"""),"ISHIKAWA")</f>
        <v>ISHIKAWA</v>
      </c>
      <c r="E293" s="1076" t="str">
        <f>IFERROR(__xludf.DUMMYFUNCTION("""COMPUTED_VALUE"""),"VIỆT NAM")</f>
        <v>VIỆT NAM</v>
      </c>
      <c r="F293" s="1076">
        <f>IFERROR(__xludf.DUMMYFUNCTION("""COMPUTED_VALUE"""),2025)</f>
        <v>2025</v>
      </c>
      <c r="G293" s="1076" t="str">
        <f>IFERROR(__xludf.DUMMYFUNCTION("""COMPUTED_VALUE"""),"TL662")</f>
        <v>TL662</v>
      </c>
      <c r="H293" s="1076" t="str">
        <f>IFERROR(__xludf.DUMMYFUNCTION("""COMPUTED_VALUE"""),"10HP")</f>
        <v>10HP</v>
      </c>
      <c r="I293" s="1076" t="str">
        <f>IFERROR(__xludf.DUMMYFUNCTION("""COMPUTED_VALUE"""),"TL202506014010")</f>
        <v>TL202506014010</v>
      </c>
      <c r="J293" s="1076" t="str">
        <f>IFERROR(__xludf.DUMMYFUNCTION("""COMPUTED_VALUE"""),"GT1000B0037706CC")</f>
        <v>GT1000B0037706CC</v>
      </c>
      <c r="K293" s="1076">
        <f>IFERROR(__xludf.DUMMYFUNCTION("""COMPUTED_VALUE"""),1.8)</f>
        <v>1.8</v>
      </c>
      <c r="L293" s="1076" t="str">
        <f>IFERROR(__xludf.DUMMYFUNCTION("""COMPUTED_VALUE"""),"KLH")</f>
        <v>KLH</v>
      </c>
    </row>
    <row r="294" customHeight="1" spans="1:12">
      <c r="A294" s="1089" t="str">
        <f>IFERROR(__xludf.DUMMYFUNCTION("""COMPUTED_VALUE"""),"XL3-CCD-003")</f>
        <v>XL3-CCD-003</v>
      </c>
      <c r="B294" s="1075" t="str">
        <f>IFERROR(__xludf.DUMMYFUNCTION("""COMPUTED_VALUE"""),"Máy cắt cỏ trục băm đa năng")</f>
        <v>Máy cắt cỏ trục băm đa năng</v>
      </c>
      <c r="C294" s="1076" t="str">
        <f>IFERROR(__xludf.DUMMYFUNCTION("""COMPUTED_VALUE"""),"XN Chuối LP3")</f>
        <v>XN Chuối LP3</v>
      </c>
      <c r="D294" s="1076" t="str">
        <f>IFERROR(__xludf.DUMMYFUNCTION("""COMPUTED_VALUE"""),"ISHIKAWA")</f>
        <v>ISHIKAWA</v>
      </c>
      <c r="E294" s="1076" t="str">
        <f>IFERROR(__xludf.DUMMYFUNCTION("""COMPUTED_VALUE"""),"VIỆT NAM")</f>
        <v>VIỆT NAM</v>
      </c>
      <c r="F294" s="1076">
        <f>IFERROR(__xludf.DUMMYFUNCTION("""COMPUTED_VALUE"""),2025)</f>
        <v>2025</v>
      </c>
      <c r="G294" s="1076" t="str">
        <f>IFERROR(__xludf.DUMMYFUNCTION("""COMPUTED_VALUE"""),"TL662")</f>
        <v>TL662</v>
      </c>
      <c r="H294" s="1076" t="str">
        <f>IFERROR(__xludf.DUMMYFUNCTION("""COMPUTED_VALUE"""),"10HP")</f>
        <v>10HP</v>
      </c>
      <c r="I294" s="1076" t="str">
        <f>IFERROR(__xludf.DUMMYFUNCTION("""COMPUTED_VALUE"""),"TL202506014012")</f>
        <v>TL202506014012</v>
      </c>
      <c r="J294" s="1076" t="str">
        <f>IFERROR(__xludf.DUMMYFUNCTION("""COMPUTED_VALUE"""),"GT1000B0042101CD")</f>
        <v>GT1000B0042101CD</v>
      </c>
      <c r="K294" s="1076">
        <f>IFERROR(__xludf.DUMMYFUNCTION("""COMPUTED_VALUE"""),1.8)</f>
        <v>1.8</v>
      </c>
      <c r="L294" s="1076" t="str">
        <f>IFERROR(__xludf.DUMMYFUNCTION("""COMPUTED_VALUE"""),"KLH")</f>
        <v>KLH</v>
      </c>
    </row>
    <row r="295" customHeight="1" spans="1:12">
      <c r="A295" s="1089" t="str">
        <f>IFERROR(__xludf.DUMMYFUNCTION("""COMPUTED_VALUE"""),"XL3-CCD-004")</f>
        <v>XL3-CCD-004</v>
      </c>
      <c r="B295" s="1075" t="str">
        <f>IFERROR(__xludf.DUMMYFUNCTION("""COMPUTED_VALUE"""),"Máy cắt cỏ trục băm đa năng")</f>
        <v>Máy cắt cỏ trục băm đa năng</v>
      </c>
      <c r="C295" s="1076" t="str">
        <f>IFERROR(__xludf.DUMMYFUNCTION("""COMPUTED_VALUE"""),"XN Chuối LP3")</f>
        <v>XN Chuối LP3</v>
      </c>
      <c r="D295" s="1076" t="str">
        <f>IFERROR(__xludf.DUMMYFUNCTION("""COMPUTED_VALUE"""),"ISHIKAWA")</f>
        <v>ISHIKAWA</v>
      </c>
      <c r="E295" s="1076" t="str">
        <f>IFERROR(__xludf.DUMMYFUNCTION("""COMPUTED_VALUE"""),"VIỆT NAM")</f>
        <v>VIỆT NAM</v>
      </c>
      <c r="F295" s="1076">
        <f>IFERROR(__xludf.DUMMYFUNCTION("""COMPUTED_VALUE"""),2025)</f>
        <v>2025</v>
      </c>
      <c r="G295" s="1076" t="str">
        <f>IFERROR(__xludf.DUMMYFUNCTION("""COMPUTED_VALUE"""),"TL662")</f>
        <v>TL662</v>
      </c>
      <c r="H295" s="1076" t="str">
        <f>IFERROR(__xludf.DUMMYFUNCTION("""COMPUTED_VALUE"""),"10HP")</f>
        <v>10HP</v>
      </c>
      <c r="I295" s="1076" t="str">
        <f>IFERROR(__xludf.DUMMYFUNCTION("""COMPUTED_VALUE"""),"TL202506014016")</f>
        <v>TL202506014016</v>
      </c>
      <c r="J295" s="1076" t="str">
        <f>IFERROR(__xludf.DUMMYFUNCTION("""COMPUTED_VALUE"""),"GT1000B0042102CD")</f>
        <v>GT1000B0042102CD</v>
      </c>
      <c r="K295" s="1076">
        <f>IFERROR(__xludf.DUMMYFUNCTION("""COMPUTED_VALUE"""),1.8)</f>
        <v>1.8</v>
      </c>
      <c r="L295" s="1076" t="str">
        <f>IFERROR(__xludf.DUMMYFUNCTION("""COMPUTED_VALUE"""),"KLH")</f>
        <v>KLH</v>
      </c>
    </row>
    <row r="296" customHeight="1" spans="1:12">
      <c r="A296" s="1089" t="str">
        <f>IFERROR(__xludf.DUMMYFUNCTION("""COMPUTED_VALUE"""),"CHT-XLU-005")</f>
        <v>CHT-XLU-005</v>
      </c>
      <c r="B296" s="1075" t="str">
        <f>IFERROR(__xludf.DUMMYFUNCTION("""COMPUTED_VALUE"""),"Xe lu rung DYNAPAC 5 tấn")</f>
        <v>Xe lu rung DYNAPAC 5 tấn</v>
      </c>
      <c r="C296" s="1076" t="str">
        <f>IFERROR(__xludf.DUMMYFUNCTION("""COMPUTED_VALUE"""),"XN Chuối LP3")</f>
        <v>XN Chuối LP3</v>
      </c>
      <c r="D296" s="1076" t="str">
        <f>IFERROR(__xludf.DUMMYFUNCTION("""COMPUTED_VALUE"""),"HITACHI")</f>
        <v>HITACHI</v>
      </c>
      <c r="E296" s="1076" t="str">
        <f>IFERROR(__xludf.DUMMYFUNCTION("""COMPUTED_VALUE"""),"NHẬT BẢN")</f>
        <v>NHẬT BẢN</v>
      </c>
      <c r="F296" s="1076">
        <f>IFERROR(__xludf.DUMMYFUNCTION("""COMPUTED_VALUE"""),2005)</f>
        <v>2005</v>
      </c>
      <c r="G296" s="1076" t="str">
        <f>IFERROR(__xludf.DUMMYFUNCTION("""COMPUTED_VALUE"""),"CCC150C-2")</f>
        <v>CCC150C-2</v>
      </c>
      <c r="H296" s="1076" t="str">
        <f>IFERROR(__xludf.DUMMYFUNCTION("""COMPUTED_VALUE"""),"16HP")</f>
        <v>16HP</v>
      </c>
      <c r="I296" s="1076" t="str">
        <f>IFERROR(__xludf.DUMMYFUNCTION("""COMPUTED_VALUE"""),"HCM8U600A00010287")</f>
        <v>HCM8U600A00010287</v>
      </c>
      <c r="J296" s="1076" t="str">
        <f>IFERROR(__xludf.DUMMYFUNCTION("""COMPUTED_VALUE"""),"3LD2 - 453951")</f>
        <v>3LD2 - 453951</v>
      </c>
      <c r="K296" s="1076">
        <f>IFERROR(__xludf.DUMMYFUNCTION("""COMPUTED_VALUE"""),2.6)</f>
        <v>2.6</v>
      </c>
      <c r="L296" s="1076" t="str">
        <f>IFERROR(__xludf.DUMMYFUNCTION("""COMPUTED_VALUE"""),"KLH")</f>
        <v>KLH</v>
      </c>
    </row>
    <row r="297" customHeight="1" spans="1:12">
      <c r="A297" s="1089" t="str">
        <f>IFERROR(__xludf.DUMMYFUNCTION("""COMPUTED_VALUE"""),"Xí nghiệp Chuối LP4")</f>
        <v>Xí nghiệp Chuối LP4</v>
      </c>
      <c r="B297" s="1075"/>
      <c r="C297" s="1076"/>
      <c r="D297" s="1076"/>
      <c r="E297" s="1076"/>
      <c r="F297" s="1076"/>
      <c r="G297" s="1076"/>
      <c r="H297" s="1076"/>
      <c r="I297" s="1076"/>
      <c r="J297" s="1076"/>
      <c r="K297" s="1076"/>
      <c r="L297" s="1076" t="str">
        <f>IFERROR(__xludf.DUMMYFUNCTION("""COMPUTED_VALUE"""),"KLH")</f>
        <v>KLH</v>
      </c>
    </row>
    <row r="298" customHeight="1" spans="1:12">
      <c r="A298" s="1089" t="str">
        <f>IFERROR(__xludf.DUMMYFUNCTION("""COMPUTED_VALUE"""),"Xí nghiệp Chuối AD2")</f>
        <v>Xí nghiệp Chuối AD2</v>
      </c>
      <c r="B298" s="1075"/>
      <c r="C298" s="1076"/>
      <c r="D298" s="1076"/>
      <c r="E298" s="1076"/>
      <c r="F298" s="1076"/>
      <c r="G298" s="1076"/>
      <c r="H298" s="1076"/>
      <c r="I298" s="1076"/>
      <c r="J298" s="1076"/>
      <c r="K298" s="1076"/>
      <c r="L298" s="1076" t="str">
        <f>IFERROR(__xludf.DUMMYFUNCTION("""COMPUTED_VALUE"""),"KLH")</f>
        <v>KLH</v>
      </c>
    </row>
    <row r="299" customHeight="1" spans="1:12">
      <c r="A299" s="1089" t="str">
        <f>IFERROR(__xludf.DUMMYFUNCTION("""COMPUTED_VALUE"""),"Cây ăn trái DP")</f>
        <v>Cây ăn trái DP</v>
      </c>
      <c r="B299" s="1075"/>
      <c r="C299" s="1076"/>
      <c r="D299" s="1076"/>
      <c r="E299" s="1076"/>
      <c r="F299" s="1076"/>
      <c r="G299" s="1076"/>
      <c r="H299" s="1076"/>
      <c r="I299" s="1076"/>
      <c r="J299" s="1076"/>
      <c r="K299" s="1076"/>
      <c r="L299" s="1076" t="str">
        <f>IFERROR(__xludf.DUMMYFUNCTION("""COMPUTED_VALUE"""),"KLH")</f>
        <v>KLH</v>
      </c>
    </row>
    <row r="300" customHeight="1" spans="1:12">
      <c r="A300" s="1089" t="str">
        <f>IFERROR(__xludf.DUMMYFUNCTION("""COMPUTED_VALUE"""),"XXD-CLT-001")</f>
        <v>XXD-CLT-001</v>
      </c>
      <c r="B300" s="1075" t="str">
        <f>IFERROR(__xludf.DUMMYFUNCTION("""COMPUTED_VALUE"""),"Xe clethon")</f>
        <v>Xe clethon</v>
      </c>
      <c r="C300" s="1076" t="str">
        <f>IFERROR(__xludf.DUMMYFUNCTION("""COMPUTED_VALUE"""),"Xoài DP")</f>
        <v>Xoài DP</v>
      </c>
      <c r="D300" s="1076" t="str">
        <f>IFERROR(__xludf.DUMMYFUNCTION("""COMPUTED_VALUE"""),"CLETHON")</f>
        <v>CLETHON</v>
      </c>
      <c r="E300" s="1076" t="str">
        <f>IFERROR(__xludf.DUMMYFUNCTION("""COMPUTED_VALUE"""),"CAMPUCHIA")</f>
        <v>CAMPUCHIA</v>
      </c>
      <c r="F300" s="1076"/>
      <c r="G300" s="1076"/>
      <c r="H300" s="1076" t="str">
        <f>IFERROR(__xludf.DUMMYFUNCTION("""COMPUTED_VALUE"""),"15HP")</f>
        <v>15HP</v>
      </c>
      <c r="I300" s="1076" t="str">
        <f>IFERROR(__xludf.DUMMYFUNCTION("""COMPUTED_VALUE"""),"RT140DI-19080197")</f>
        <v>RT140DI-19080197</v>
      </c>
      <c r="J300" s="1076" t="str">
        <f>IFERROR(__xludf.DUMMYFUNCTION("""COMPUTED_VALUE"""),"CCN")</f>
        <v>CCN</v>
      </c>
      <c r="K300" s="1076">
        <f>IFERROR(__xludf.DUMMYFUNCTION("""COMPUTED_VALUE"""),1)</f>
        <v>1</v>
      </c>
      <c r="L300" s="1076" t="str">
        <f>IFERROR(__xludf.DUMMYFUNCTION("""COMPUTED_VALUE"""),"KLH")</f>
        <v>KLH</v>
      </c>
    </row>
    <row r="301" customHeight="1" spans="1:12">
      <c r="A301" s="1089" t="str">
        <f>IFERROR(__xludf.DUMMYFUNCTION("""COMPUTED_VALUE"""),"XXD-CLT-002")</f>
        <v>XXD-CLT-002</v>
      </c>
      <c r="B301" s="1075" t="str">
        <f>IFERROR(__xludf.DUMMYFUNCTION("""COMPUTED_VALUE"""),"Xe clethon")</f>
        <v>Xe clethon</v>
      </c>
      <c r="C301" s="1076" t="str">
        <f>IFERROR(__xludf.DUMMYFUNCTION("""COMPUTED_VALUE"""),"Xoài DP")</f>
        <v>Xoài DP</v>
      </c>
      <c r="D301" s="1076" t="str">
        <f>IFERROR(__xludf.DUMMYFUNCTION("""COMPUTED_VALUE"""),"CLETHON")</f>
        <v>CLETHON</v>
      </c>
      <c r="E301" s="1076" t="str">
        <f>IFERROR(__xludf.DUMMYFUNCTION("""COMPUTED_VALUE"""),"CAMPUCHIA")</f>
        <v>CAMPUCHIA</v>
      </c>
      <c r="F301" s="1076"/>
      <c r="G301" s="1076"/>
      <c r="H301" s="1076" t="str">
        <f>IFERROR(__xludf.DUMMYFUNCTION("""COMPUTED_VALUE"""),"15HP")</f>
        <v>15HP</v>
      </c>
      <c r="I301" s="1076" t="str">
        <f>IFERROR(__xludf.DUMMYFUNCTION("""COMPUTED_VALUE"""),"RT140DI-19011.978")</f>
        <v>RT140DI-19011.978</v>
      </c>
      <c r="J301" s="1076" t="str">
        <f>IFERROR(__xludf.DUMMYFUNCTION("""COMPUTED_VALUE"""),"CCN")</f>
        <v>CCN</v>
      </c>
      <c r="K301" s="1076">
        <f>IFERROR(__xludf.DUMMYFUNCTION("""COMPUTED_VALUE"""),1)</f>
        <v>1</v>
      </c>
      <c r="L301" s="1076" t="str">
        <f>IFERROR(__xludf.DUMMYFUNCTION("""COMPUTED_VALUE"""),"KLH")</f>
        <v>KLH</v>
      </c>
    </row>
    <row r="302" customHeight="1" spans="1:12">
      <c r="A302" s="1089" t="str">
        <f>IFERROR(__xludf.DUMMYFUNCTION("""COMPUTED_VALUE"""),"XXD-MKE-001")</f>
        <v>XXD-MKE-001</v>
      </c>
      <c r="B302" s="1075" t="str">
        <f>IFERROR(__xludf.DUMMYFUNCTION("""COMPUTED_VALUE"""),"Máy cày KUBOTA L2002DT")</f>
        <v>Máy cày KUBOTA L2002DT</v>
      </c>
      <c r="C302" s="1076" t="str">
        <f>IFERROR(__xludf.DUMMYFUNCTION("""COMPUTED_VALUE"""),"Xoài DP")</f>
        <v>Xoài DP</v>
      </c>
      <c r="D302" s="1076" t="str">
        <f>IFERROR(__xludf.DUMMYFUNCTION("""COMPUTED_VALUE"""),"KUBOTA")</f>
        <v>KUBOTA</v>
      </c>
      <c r="E302" s="1076" t="str">
        <f>IFERROR(__xludf.DUMMYFUNCTION("""COMPUTED_VALUE"""),"NHẬT BẢN")</f>
        <v>NHẬT BẢN</v>
      </c>
      <c r="F302" s="1076"/>
      <c r="G302" s="1076" t="str">
        <f>IFERROR(__xludf.DUMMYFUNCTION("""COMPUTED_VALUE"""),"L2002DT")</f>
        <v>L2002DT</v>
      </c>
      <c r="H302" s="1076" t="str">
        <f>IFERROR(__xludf.DUMMYFUNCTION("""COMPUTED_VALUE"""),"20HP")</f>
        <v>20HP</v>
      </c>
      <c r="I302" s="1076" t="str">
        <f>IFERROR(__xludf.DUMMYFUNCTION("""COMPUTED_VALUE"""),"CCN")</f>
        <v>CCN</v>
      </c>
      <c r="J302" s="1076" t="str">
        <f>IFERROR(__xludf.DUMMYFUNCTION("""COMPUTED_VALUE"""),"02250")</f>
        <v>02250</v>
      </c>
      <c r="K302" s="1076">
        <f>IFERROR(__xludf.DUMMYFUNCTION("""COMPUTED_VALUE"""),2)</f>
        <v>2</v>
      </c>
      <c r="L302" s="1076" t="str">
        <f>IFERROR(__xludf.DUMMYFUNCTION("""COMPUTED_VALUE"""),"KLH")</f>
        <v>KLH</v>
      </c>
    </row>
    <row r="303" customHeight="1" spans="1:12">
      <c r="A303" s="1089" t="str">
        <f>IFERROR(__xludf.DUMMYFUNCTION("""COMPUTED_VALUE"""),"XXD-MKE-002")</f>
        <v>XXD-MKE-002</v>
      </c>
      <c r="B303" s="1075" t="str">
        <f>IFERROR(__xludf.DUMMYFUNCTION("""COMPUTED_VALUE"""),"Máy cày KUBOTA L2002DT")</f>
        <v>Máy cày KUBOTA L2002DT</v>
      </c>
      <c r="C303" s="1076" t="str">
        <f>IFERROR(__xludf.DUMMYFUNCTION("""COMPUTED_VALUE"""),"Xoài DP")</f>
        <v>Xoài DP</v>
      </c>
      <c r="D303" s="1076" t="str">
        <f>IFERROR(__xludf.DUMMYFUNCTION("""COMPUTED_VALUE"""),"KUBOTA")</f>
        <v>KUBOTA</v>
      </c>
      <c r="E303" s="1076" t="str">
        <f>IFERROR(__xludf.DUMMYFUNCTION("""COMPUTED_VALUE"""),"NHẬT BẢN")</f>
        <v>NHẬT BẢN</v>
      </c>
      <c r="F303" s="1076"/>
      <c r="G303" s="1076" t="str">
        <f>IFERROR(__xludf.DUMMYFUNCTION("""COMPUTED_VALUE"""),"L2002DT")</f>
        <v>L2002DT</v>
      </c>
      <c r="H303" s="1076" t="str">
        <f>IFERROR(__xludf.DUMMYFUNCTION("""COMPUTED_VALUE"""),"20HP")</f>
        <v>20HP</v>
      </c>
      <c r="I303" s="1076" t="str">
        <f>IFERROR(__xludf.DUMMYFUNCTION("""COMPUTED_VALUE"""),"CCN")</f>
        <v>CCN</v>
      </c>
      <c r="J303" s="1076" t="str">
        <f>IFERROR(__xludf.DUMMYFUNCTION("""COMPUTED_VALUE"""),"03315")</f>
        <v>03315</v>
      </c>
      <c r="K303" s="1076">
        <f>IFERROR(__xludf.DUMMYFUNCTION("""COMPUTED_VALUE"""),2)</f>
        <v>2</v>
      </c>
      <c r="L303" s="1076" t="str">
        <f>IFERROR(__xludf.DUMMYFUNCTION("""COMPUTED_VALUE"""),"KLH")</f>
        <v>KLH</v>
      </c>
    </row>
    <row r="304" customHeight="1" spans="1:12">
      <c r="A304" s="1089" t="str">
        <f>IFERROR(__xludf.DUMMYFUNCTION("""COMPUTED_VALUE"""),"Cây ăn trái AD")</f>
        <v>Cây ăn trái AD</v>
      </c>
      <c r="B304" s="1075"/>
      <c r="C304" s="1076"/>
      <c r="D304" s="1076"/>
      <c r="E304" s="1076"/>
      <c r="F304" s="1076"/>
      <c r="G304" s="1076"/>
      <c r="H304" s="1076"/>
      <c r="I304" s="1076"/>
      <c r="J304" s="1076"/>
      <c r="K304" s="1076"/>
      <c r="L304" s="1076" t="str">
        <f>IFERROR(__xludf.DUMMYFUNCTION("""COMPUTED_VALUE"""),"KLH")</f>
        <v>KLH</v>
      </c>
    </row>
    <row r="305" customHeight="1" spans="1:12">
      <c r="A305" s="1089" t="str">
        <f>IFERROR(__xludf.DUMMYFUNCTION("""COMPUTED_VALUE"""),"XBA-CLT-001")</f>
        <v>XBA-CLT-001</v>
      </c>
      <c r="B305" s="1075" t="str">
        <f>IFERROR(__xludf.DUMMYFUNCTION("""COMPUTED_VALUE"""),"Xe clethon")</f>
        <v>Xe clethon</v>
      </c>
      <c r="C305" s="1076" t="str">
        <f>IFERROR(__xludf.DUMMYFUNCTION("""COMPUTED_VALUE"""),"BƯỞI AD")</f>
        <v>BƯỞI AD</v>
      </c>
      <c r="D305" s="1076" t="str">
        <f>IFERROR(__xludf.DUMMYFUNCTION("""COMPUTED_VALUE"""),"CLETHON")</f>
        <v>CLETHON</v>
      </c>
      <c r="E305" s="1076" t="str">
        <f>IFERROR(__xludf.DUMMYFUNCTION("""COMPUTED_VALUE"""),"CAMPUCHIA")</f>
        <v>CAMPUCHIA</v>
      </c>
      <c r="F305" s="1076"/>
      <c r="G305" s="1076"/>
      <c r="H305" s="1076" t="str">
        <f>IFERROR(__xludf.DUMMYFUNCTION("""COMPUTED_VALUE"""),"15HP")</f>
        <v>15HP</v>
      </c>
      <c r="I305" s="1076"/>
      <c r="J305" s="1076" t="str">
        <f>IFERROR(__xludf.DUMMYFUNCTION("""COMPUTED_VALUE"""),"CCN")</f>
        <v>CCN</v>
      </c>
      <c r="K305" s="1076">
        <f>IFERROR(__xludf.DUMMYFUNCTION("""COMPUTED_VALUE"""),0.5)</f>
        <v>0.5</v>
      </c>
      <c r="L305" s="1076" t="str">
        <f>IFERROR(__xludf.DUMMYFUNCTION("""COMPUTED_VALUE"""),"KLH")</f>
        <v>KLH</v>
      </c>
    </row>
    <row r="306" customHeight="1" spans="1:12">
      <c r="A306" s="1089" t="str">
        <f>IFERROR(__xludf.DUMMYFUNCTION("""COMPUTED_VALUE"""),"XBA-MKE-002")</f>
        <v>XBA-MKE-002</v>
      </c>
      <c r="B306" s="1075" t="str">
        <f>IFERROR(__xludf.DUMMYFUNCTION("""COMPUTED_VALUE"""),"Máy cày KAM50")</f>
        <v>Máy cày KAM50</v>
      </c>
      <c r="C306" s="1076" t="str">
        <f>IFERROR(__xludf.DUMMYFUNCTION("""COMPUTED_VALUE"""),"BƯỞI AD")</f>
        <v>BƯỞI AD</v>
      </c>
      <c r="D306" s="1076" t="str">
        <f>IFERROR(__xludf.DUMMYFUNCTION("""COMPUTED_VALUE"""),"THACO")</f>
        <v>THACO</v>
      </c>
      <c r="E306" s="1076" t="str">
        <f>IFERROR(__xludf.DUMMYFUNCTION("""COMPUTED_VALUE"""),"VIỆT NAM")</f>
        <v>VIỆT NAM</v>
      </c>
      <c r="F306" s="1076">
        <f>IFERROR(__xludf.DUMMYFUNCTION("""COMPUTED_VALUE"""),2018)</f>
        <v>2018</v>
      </c>
      <c r="G306" s="1076" t="str">
        <f>IFERROR(__xludf.DUMMYFUNCTION("""COMPUTED_VALUE"""),"KAM50")</f>
        <v>KAM50</v>
      </c>
      <c r="H306" s="1076" t="str">
        <f>IFERROR(__xludf.DUMMYFUNCTION("""COMPUTED_VALUE"""),"50HP")</f>
        <v>50HP</v>
      </c>
      <c r="I306" s="1076" t="str">
        <f>IFERROR(__xludf.DUMMYFUNCTION("""COMPUTED_VALUE"""),"C000074")</f>
        <v>C000074</v>
      </c>
      <c r="J306" s="1076" t="str">
        <f>IFERROR(__xludf.DUMMYFUNCTION("""COMPUTED_VALUE"""),"180001")</f>
        <v>180001</v>
      </c>
      <c r="K306" s="1076">
        <f>IFERROR(__xludf.DUMMYFUNCTION("""COMPUTED_VALUE"""),2.5)</f>
        <v>2.5</v>
      </c>
      <c r="L306" s="1076" t="str">
        <f>IFERROR(__xludf.DUMMYFUNCTION("""COMPUTED_VALUE"""),"KLH")</f>
        <v>KLH</v>
      </c>
    </row>
    <row r="307" customHeight="1" spans="1:12">
      <c r="A307" s="1089" t="str">
        <f>IFERROR(__xludf.DUMMYFUNCTION("""COMPUTED_VALUE"""),"XXA-MKE-001")</f>
        <v>XXA-MKE-001</v>
      </c>
      <c r="B307" s="1075" t="str">
        <f>IFERROR(__xludf.DUMMYFUNCTION("""COMPUTED_VALUE"""),"Máy cày KUBOTA L2002DT")</f>
        <v>Máy cày KUBOTA L2002DT</v>
      </c>
      <c r="C307" s="1076" t="str">
        <f>IFERROR(__xludf.DUMMYFUNCTION("""COMPUTED_VALUE"""),"XOÀI AD")</f>
        <v>XOÀI AD</v>
      </c>
      <c r="D307" s="1076" t="str">
        <f>IFERROR(__xludf.DUMMYFUNCTION("""COMPUTED_VALUE"""),"KUBOTA")</f>
        <v>KUBOTA</v>
      </c>
      <c r="E307" s="1076" t="str">
        <f>IFERROR(__xludf.DUMMYFUNCTION("""COMPUTED_VALUE"""),"NHẬT BẢN")</f>
        <v>NHẬT BẢN</v>
      </c>
      <c r="F307" s="1076"/>
      <c r="G307" s="1076" t="str">
        <f>IFERROR(__xludf.DUMMYFUNCTION("""COMPUTED_VALUE"""),"L2002DT")</f>
        <v>L2002DT</v>
      </c>
      <c r="H307" s="1076" t="str">
        <f>IFERROR(__xludf.DUMMYFUNCTION("""COMPUTED_VALUE"""),"20HP")</f>
        <v>20HP</v>
      </c>
      <c r="I307" s="1076" t="str">
        <f>IFERROR(__xludf.DUMMYFUNCTION("""COMPUTED_VALUE"""),"CCN")</f>
        <v>CCN</v>
      </c>
      <c r="J307" s="1076" t="str">
        <f>IFERROR(__xludf.DUMMYFUNCTION("""COMPUTED_VALUE"""),"2216")</f>
        <v>2216</v>
      </c>
      <c r="K307" s="1076">
        <f>IFERROR(__xludf.DUMMYFUNCTION("""COMPUTED_VALUE"""),2.5)</f>
        <v>2.5</v>
      </c>
      <c r="L307" s="1076" t="str">
        <f>IFERROR(__xludf.DUMMYFUNCTION("""COMPUTED_VALUE"""),"KLH")</f>
        <v>KLH</v>
      </c>
    </row>
    <row r="308" customHeight="1" spans="1:12">
      <c r="A308" s="1089" t="str">
        <f>IFERROR(__xludf.DUMMYFUNCTION("""COMPUTED_VALUE"""),"XXA-MKE-002")</f>
        <v>XXA-MKE-002</v>
      </c>
      <c r="B308" s="1075" t="str">
        <f>IFERROR(__xludf.DUMMYFUNCTION("""COMPUTED_VALUE"""),"Máy cày KAM50")</f>
        <v>Máy cày KAM50</v>
      </c>
      <c r="C308" s="1076" t="str">
        <f>IFERROR(__xludf.DUMMYFUNCTION("""COMPUTED_VALUE"""),"XOÀI AD")</f>
        <v>XOÀI AD</v>
      </c>
      <c r="D308" s="1076" t="str">
        <f>IFERROR(__xludf.DUMMYFUNCTION("""COMPUTED_VALUE"""),"THACO ")</f>
        <v>THACO </v>
      </c>
      <c r="E308" s="1076" t="str">
        <f>IFERROR(__xludf.DUMMYFUNCTION("""COMPUTED_VALUE"""),"VIỆT NAM")</f>
        <v>VIỆT NAM</v>
      </c>
      <c r="F308" s="1076">
        <f>IFERROR(__xludf.DUMMYFUNCTION("""COMPUTED_VALUE"""),2012)</f>
        <v>2012</v>
      </c>
      <c r="G308" s="1076" t="str">
        <f>IFERROR(__xludf.DUMMYFUNCTION("""COMPUTED_VALUE"""),"KAM50")</f>
        <v>KAM50</v>
      </c>
      <c r="H308" s="1076" t="str">
        <f>IFERROR(__xludf.DUMMYFUNCTION("""COMPUTED_VALUE"""),"50HP")</f>
        <v>50HP</v>
      </c>
      <c r="I308" s="1076" t="str">
        <f>IFERROR(__xludf.DUMMYFUNCTION("""COMPUTED_VALUE"""),"C000082")</f>
        <v>C000082</v>
      </c>
      <c r="J308" s="1076" t="str">
        <f>IFERROR(__xludf.DUMMYFUNCTION("""COMPUTED_VALUE"""),"CCN")</f>
        <v>CCN</v>
      </c>
      <c r="K308" s="1076">
        <f>IFERROR(__xludf.DUMMYFUNCTION("""COMPUTED_VALUE"""),3.3)</f>
        <v>3.3</v>
      </c>
      <c r="L308" s="1076" t="str">
        <f>IFERROR(__xludf.DUMMYFUNCTION("""COMPUTED_VALUE"""),"KLH")</f>
        <v>KLH</v>
      </c>
    </row>
    <row r="309" customHeight="1" spans="1:12">
      <c r="A309" s="1089" t="str">
        <f>IFERROR(__xludf.DUMMYFUNCTION("""COMPUTED_VALUE"""),"XXA-MKE-003")</f>
        <v>XXA-MKE-003</v>
      </c>
      <c r="B309" s="1075" t="str">
        <f>IFERROR(__xludf.DUMMYFUNCTION("""COMPUTED_VALUE"""),"Máy cày M6040")</f>
        <v>Máy cày M6040</v>
      </c>
      <c r="C309" s="1076" t="str">
        <f>IFERROR(__xludf.DUMMYFUNCTION("""COMPUTED_VALUE"""),"XOÀI AD")</f>
        <v>XOÀI AD</v>
      </c>
      <c r="D309" s="1076" t="str">
        <f>IFERROR(__xludf.DUMMYFUNCTION("""COMPUTED_VALUE"""),"KUBOTA")</f>
        <v>KUBOTA</v>
      </c>
      <c r="E309" s="1076" t="str">
        <f>IFERROR(__xludf.DUMMYFUNCTION("""COMPUTED_VALUE"""),"NHẬT BẢN")</f>
        <v>NHẬT BẢN</v>
      </c>
      <c r="F309" s="1076">
        <f>IFERROR(__xludf.DUMMYFUNCTION("""COMPUTED_VALUE"""),2013)</f>
        <v>2013</v>
      </c>
      <c r="G309" s="1076" t="str">
        <f>IFERROR(__xludf.DUMMYFUNCTION("""COMPUTED_VALUE"""),"M6040")</f>
        <v>M6040</v>
      </c>
      <c r="H309" s="1076" t="str">
        <f>IFERROR(__xludf.DUMMYFUNCTION("""COMPUTED_VALUE"""),"60HP")</f>
        <v>60HP</v>
      </c>
      <c r="I309" s="1076" t="str">
        <f>IFERROR(__xludf.DUMMYFUNCTION("""COMPUTED_VALUE"""),"57123")</f>
        <v>57123</v>
      </c>
      <c r="J309" s="1076" t="str">
        <f>IFERROR(__xludf.DUMMYFUNCTION("""COMPUTED_VALUE"""),"CCN")</f>
        <v>CCN</v>
      </c>
      <c r="K309" s="1076">
        <f>IFERROR(__xludf.DUMMYFUNCTION("""COMPUTED_VALUE"""),4.8)</f>
        <v>4.8</v>
      </c>
      <c r="L309" s="1076" t="str">
        <f>IFERROR(__xludf.DUMMYFUNCTION("""COMPUTED_VALUE"""),"KLH")</f>
        <v>KLH</v>
      </c>
    </row>
    <row r="310" customHeight="1" spans="1:12">
      <c r="A310" s="1089" t="str">
        <f>IFERROR(__xludf.DUMMYFUNCTION("""COMPUTED_VALUE"""),"XXA-MKE-005")</f>
        <v>XXA-MKE-005</v>
      </c>
      <c r="B310" s="1075" t="str">
        <f>IFERROR(__xludf.DUMMYFUNCTION("""COMPUTED_VALUE"""),"Máy cày KAM50")</f>
        <v>Máy cày KAM50</v>
      </c>
      <c r="C310" s="1076" t="str">
        <f>IFERROR(__xludf.DUMMYFUNCTION("""COMPUTED_VALUE"""),"XOÀI AD")</f>
        <v>XOÀI AD</v>
      </c>
      <c r="D310" s="1076" t="str">
        <f>IFERROR(__xludf.DUMMYFUNCTION("""COMPUTED_VALUE"""),"THACO")</f>
        <v>THACO</v>
      </c>
      <c r="E310" s="1076" t="str">
        <f>IFERROR(__xludf.DUMMYFUNCTION("""COMPUTED_VALUE"""),"VIỆT NAM")</f>
        <v>VIỆT NAM</v>
      </c>
      <c r="F310" s="1076"/>
      <c r="G310" s="1076" t="str">
        <f>IFERROR(__xludf.DUMMYFUNCTION("""COMPUTED_VALUE"""),"KAM50")</f>
        <v>KAM50</v>
      </c>
      <c r="H310" s="1076" t="str">
        <f>IFERROR(__xludf.DUMMYFUNCTION("""COMPUTED_VALUE"""),"50HP")</f>
        <v>50HP</v>
      </c>
      <c r="I310" s="1076" t="str">
        <f>IFERROR(__xludf.DUMMYFUNCTION("""COMPUTED_VALUE"""),"CCN")</f>
        <v>CCN</v>
      </c>
      <c r="J310" s="1076" t="str">
        <f>IFERROR(__xludf.DUMMYFUNCTION("""COMPUTED_VALUE"""),"C000079")</f>
        <v>C000079</v>
      </c>
      <c r="K310" s="1076">
        <f>IFERROR(__xludf.DUMMYFUNCTION("""COMPUTED_VALUE"""),2.5)</f>
        <v>2.5</v>
      </c>
      <c r="L310" s="1076" t="str">
        <f>IFERROR(__xludf.DUMMYFUNCTION("""COMPUTED_VALUE"""),"KLH")</f>
        <v>KLH</v>
      </c>
    </row>
    <row r="311" customHeight="1" spans="1:12">
      <c r="A311" s="1089" t="str">
        <f>IFERROR(__xludf.DUMMYFUNCTION("""COMPUTED_VALUE"""),"XXA-MKE-006")</f>
        <v>XXA-MKE-006</v>
      </c>
      <c r="B311" s="1075" t="str">
        <f>IFERROR(__xludf.DUMMYFUNCTION("""COMPUTED_VALUE"""),"Máy cày KAM50")</f>
        <v>Máy cày KAM50</v>
      </c>
      <c r="C311" s="1076" t="str">
        <f>IFERROR(__xludf.DUMMYFUNCTION("""COMPUTED_VALUE"""),"XOÀI AD")</f>
        <v>XOÀI AD</v>
      </c>
      <c r="D311" s="1076" t="str">
        <f>IFERROR(__xludf.DUMMYFUNCTION("""COMPUTED_VALUE"""),"THACO")</f>
        <v>THACO</v>
      </c>
      <c r="E311" s="1076" t="str">
        <f>IFERROR(__xludf.DUMMYFUNCTION("""COMPUTED_VALUE"""),"VIỆT NAM")</f>
        <v>VIỆT NAM</v>
      </c>
      <c r="F311" s="1076">
        <f>IFERROR(__xludf.DUMMYFUNCTION("""COMPUTED_VALUE"""),2018)</f>
        <v>2018</v>
      </c>
      <c r="G311" s="1076" t="str">
        <f>IFERROR(__xludf.DUMMYFUNCTION("""COMPUTED_VALUE"""),"KAM50")</f>
        <v>KAM50</v>
      </c>
      <c r="H311" s="1076" t="str">
        <f>IFERROR(__xludf.DUMMYFUNCTION("""COMPUTED_VALUE"""),"50HP")</f>
        <v>50HP</v>
      </c>
      <c r="I311" s="1076" t="str">
        <f>IFERROR(__xludf.DUMMYFUNCTION("""COMPUTED_VALUE"""),"C000075")</f>
        <v>C000075</v>
      </c>
      <c r="J311" s="1076" t="str">
        <f>IFERROR(__xludf.DUMMYFUNCTION("""COMPUTED_VALUE"""),"CCN")</f>
        <v>CCN</v>
      </c>
      <c r="K311" s="1076">
        <f>IFERROR(__xludf.DUMMYFUNCTION("""COMPUTED_VALUE"""),2.5)</f>
        <v>2.5</v>
      </c>
      <c r="L311" s="1076" t="str">
        <f>IFERROR(__xludf.DUMMYFUNCTION("""COMPUTED_VALUE"""),"KLH")</f>
        <v>KLH</v>
      </c>
    </row>
    <row r="312" customHeight="1" spans="1:12">
      <c r="A312" s="1089" t="str">
        <f>IFERROR(__xludf.DUMMYFUNCTION("""COMPUTED_VALUE"""),"XXA-MKE-007")</f>
        <v>XXA-MKE-007</v>
      </c>
      <c r="B312" s="1075" t="str">
        <f>IFERROR(__xludf.DUMMYFUNCTION("""COMPUTED_VALUE"""),"Máy cày KAM50")</f>
        <v>Máy cày KAM50</v>
      </c>
      <c r="C312" s="1076" t="str">
        <f>IFERROR(__xludf.DUMMYFUNCTION("""COMPUTED_VALUE"""),"XOÀI AD")</f>
        <v>XOÀI AD</v>
      </c>
      <c r="D312" s="1076" t="str">
        <f>IFERROR(__xludf.DUMMYFUNCTION("""COMPUTED_VALUE"""),"THACO")</f>
        <v>THACO</v>
      </c>
      <c r="E312" s="1076" t="str">
        <f>IFERROR(__xludf.DUMMYFUNCTION("""COMPUTED_VALUE"""),"VIỆT NAM")</f>
        <v>VIỆT NAM</v>
      </c>
      <c r="F312" s="1076">
        <f>IFERROR(__xludf.DUMMYFUNCTION("""COMPUTED_VALUE"""),2018)</f>
        <v>2018</v>
      </c>
      <c r="G312" s="1076" t="str">
        <f>IFERROR(__xludf.DUMMYFUNCTION("""COMPUTED_VALUE"""),"KAM50")</f>
        <v>KAM50</v>
      </c>
      <c r="H312" s="1076" t="str">
        <f>IFERROR(__xludf.DUMMYFUNCTION("""COMPUTED_VALUE"""),"50HP")</f>
        <v>50HP</v>
      </c>
      <c r="I312" s="1076" t="str">
        <f>IFERROR(__xludf.DUMMYFUNCTION("""COMPUTED_VALUE"""),"C000010")</f>
        <v>C000010</v>
      </c>
      <c r="J312" s="1076" t="str">
        <f>IFERROR(__xludf.DUMMYFUNCTION("""COMPUTED_VALUE"""),"CCN")</f>
        <v>CCN</v>
      </c>
      <c r="K312" s="1076">
        <f>IFERROR(__xludf.DUMMYFUNCTION("""COMPUTED_VALUE"""),2.5)</f>
        <v>2.5</v>
      </c>
      <c r="L312" s="1076" t="str">
        <f>IFERROR(__xludf.DUMMYFUNCTION("""COMPUTED_VALUE"""),"KLH")</f>
        <v>KLH</v>
      </c>
    </row>
    <row r="313" customHeight="1" spans="1:12">
      <c r="A313" s="1089" t="str">
        <f>IFERROR(__xludf.DUMMYFUNCTION("""COMPUTED_VALUE"""),"XXA-MKE-011")</f>
        <v>XXA-MKE-011</v>
      </c>
      <c r="B313" s="1075" t="str">
        <f>IFERROR(__xludf.DUMMYFUNCTION("""COMPUTED_VALUE"""),"Máy cày M6040")</f>
        <v>Máy cày M6040</v>
      </c>
      <c r="C313" s="1076" t="str">
        <f>IFERROR(__xludf.DUMMYFUNCTION("""COMPUTED_VALUE"""),"XOÀI AD")</f>
        <v>XOÀI AD</v>
      </c>
      <c r="D313" s="1076" t="str">
        <f>IFERROR(__xludf.DUMMYFUNCTION("""COMPUTED_VALUE"""),"KUBOTA")</f>
        <v>KUBOTA</v>
      </c>
      <c r="E313" s="1076" t="str">
        <f>IFERROR(__xludf.DUMMYFUNCTION("""COMPUTED_VALUE"""),"NHẬT BẢN")</f>
        <v>NHẬT BẢN</v>
      </c>
      <c r="F313" s="1076">
        <f>IFERROR(__xludf.DUMMYFUNCTION("""COMPUTED_VALUE"""),2013)</f>
        <v>2013</v>
      </c>
      <c r="G313" s="1076" t="str">
        <f>IFERROR(__xludf.DUMMYFUNCTION("""COMPUTED_VALUE"""),"M6040")</f>
        <v>M6040</v>
      </c>
      <c r="H313" s="1076" t="str">
        <f>IFERROR(__xludf.DUMMYFUNCTION("""COMPUTED_VALUE"""),"60HP")</f>
        <v>60HP</v>
      </c>
      <c r="I313" s="1076" t="str">
        <f>IFERROR(__xludf.DUMMYFUNCTION("""COMPUTED_VALUE"""),"M6040SUD57124")</f>
        <v>M6040SUD57124</v>
      </c>
      <c r="J313" s="1076" t="str">
        <f>IFERROR(__xludf.DUMMYFUNCTION("""COMPUTED_VALUE"""),"CCN")</f>
        <v>CCN</v>
      </c>
      <c r="K313" s="1076"/>
      <c r="L313" s="1076" t="str">
        <f>IFERROR(__xludf.DUMMYFUNCTION("""COMPUTED_VALUE"""),"KLH")</f>
        <v>KLH</v>
      </c>
    </row>
    <row r="314" customHeight="1" spans="1:12">
      <c r="A314" s="1089" t="str">
        <f>IFERROR(__xludf.DUMMYFUNCTION("""COMPUTED_VALUE"""),"XXA-MKE-010")</f>
        <v>XXA-MKE-010</v>
      </c>
      <c r="B314" s="1075" t="str">
        <f>IFERROR(__xludf.DUMMYFUNCTION("""COMPUTED_VALUE"""),"Máy cày JD 6200")</f>
        <v>Máy cày JD 6200</v>
      </c>
      <c r="C314" s="1076" t="str">
        <f>IFERROR(__xludf.DUMMYFUNCTION("""COMPUTED_VALUE"""),"XN Bò AD")</f>
        <v>XN Bò AD</v>
      </c>
      <c r="D314" s="1076" t="str">
        <f>IFERROR(__xludf.DUMMYFUNCTION("""COMPUTED_VALUE"""),"John Deere")</f>
        <v>John Deere</v>
      </c>
      <c r="E314" s="1076" t="str">
        <f>IFERROR(__xludf.DUMMYFUNCTION("""COMPUTED_VALUE"""),"Đức")</f>
        <v>Đức</v>
      </c>
      <c r="F314" s="1076">
        <f>IFERROR(__xludf.DUMMYFUNCTION("""COMPUTED_VALUE"""),1997)</f>
        <v>1997</v>
      </c>
      <c r="G314" s="1076" t="str">
        <f>IFERROR(__xludf.DUMMYFUNCTION("""COMPUTED_VALUE"""),"6200")</f>
        <v>6200</v>
      </c>
      <c r="H314" s="1076" t="str">
        <f>IFERROR(__xludf.DUMMYFUNCTION("""COMPUTED_VALUE"""),"90HP")</f>
        <v>90HP</v>
      </c>
      <c r="I314" s="1076" t="str">
        <f>IFERROR(__xludf.DUMMYFUNCTION("""COMPUTED_VALUE"""),"L06200V203044")</f>
        <v>L06200V203044</v>
      </c>
      <c r="J314" s="1076" t="str">
        <f>IFERROR(__xludf.DUMMYFUNCTION("""COMPUTED_VALUE"""),"CD4039T351816")</f>
        <v>CD4039T351816</v>
      </c>
      <c r="K314" s="1076"/>
      <c r="L314" s="1076" t="str">
        <f>IFERROR(__xludf.DUMMYFUNCTION("""COMPUTED_VALUE"""),"KLH")</f>
        <v>KLH</v>
      </c>
    </row>
    <row r="315" customHeight="1" spans="1:12">
      <c r="A315" s="1089" t="str">
        <f>IFERROR(__xludf.DUMMYFUNCTION("""COMPUTED_VALUE"""),"XXA-CLT-001")</f>
        <v>XXA-CLT-001</v>
      </c>
      <c r="B315" s="1075" t="str">
        <f>IFERROR(__xludf.DUMMYFUNCTION("""COMPUTED_VALUE"""),"Xe clethon")</f>
        <v>Xe clethon</v>
      </c>
      <c r="C315" s="1076" t="str">
        <f>IFERROR(__xludf.DUMMYFUNCTION("""COMPUTED_VALUE"""),"XOÀI AD")</f>
        <v>XOÀI AD</v>
      </c>
      <c r="D315" s="1076" t="str">
        <f>IFERROR(__xludf.DUMMYFUNCTION("""COMPUTED_VALUE"""),"CLETHON")</f>
        <v>CLETHON</v>
      </c>
      <c r="E315" s="1076" t="str">
        <f>IFERROR(__xludf.DUMMYFUNCTION("""COMPUTED_VALUE"""),"CAMPUCHIA")</f>
        <v>CAMPUCHIA</v>
      </c>
      <c r="F315" s="1076"/>
      <c r="G315" s="1076"/>
      <c r="H315" s="1076"/>
      <c r="I315" s="1076" t="str">
        <f>IFERROR(__xludf.DUMMYFUNCTION("""COMPUTED_VALUE"""),"RT140DI-19011.483")</f>
        <v>RT140DI-19011.483</v>
      </c>
      <c r="J315" s="1076" t="str">
        <f>IFERROR(__xludf.DUMMYFUNCTION("""COMPUTED_VALUE"""),"CCN")</f>
        <v>CCN</v>
      </c>
      <c r="K315" s="1076">
        <f>IFERROR(__xludf.DUMMYFUNCTION("""COMPUTED_VALUE"""),0.5)</f>
        <v>0.5</v>
      </c>
      <c r="L315" s="1076" t="str">
        <f>IFERROR(__xludf.DUMMYFUNCTION("""COMPUTED_VALUE"""),"KLH")</f>
        <v>KLH</v>
      </c>
    </row>
    <row r="316" customHeight="1" spans="1:12">
      <c r="A316" s="1089" t="str">
        <f>IFERROR(__xludf.DUMMYFUNCTION("""COMPUTED_VALUE"""),"XXA-CCM-001")</f>
        <v>XXA-CCM-001</v>
      </c>
      <c r="B316" s="1075" t="str">
        <f>IFERROR(__xludf.DUMMYFUNCTION("""COMPUTED_VALUE"""),"Máy cắt cỏ mini Yanmar")</f>
        <v>Máy cắt cỏ mini Yanmar</v>
      </c>
      <c r="C316" s="1076" t="str">
        <f>IFERROR(__xludf.DUMMYFUNCTION("""COMPUTED_VALUE"""),"XOÀI AD")</f>
        <v>XOÀI AD</v>
      </c>
      <c r="D316" s="1076" t="str">
        <f>IFERROR(__xludf.DUMMYFUNCTION("""COMPUTED_VALUE"""),"YANMAR")</f>
        <v>YANMAR</v>
      </c>
      <c r="E316" s="1076" t="str">
        <f>IFERROR(__xludf.DUMMYFUNCTION("""COMPUTED_VALUE"""),"ITALY")</f>
        <v>ITALY</v>
      </c>
      <c r="F316" s="1076"/>
      <c r="G316" s="1076" t="str">
        <f>IFERROR(__xludf.DUMMYFUNCTION("""COMPUTED_VALUE"""),"L100N6FJ1P1AAFT")</f>
        <v>L100N6FJ1P1AAFT</v>
      </c>
      <c r="H316" s="1076" t="str">
        <f>IFERROR(__xludf.DUMMYFUNCTION("""COMPUTED_VALUE"""),"10HP")</f>
        <v>10HP</v>
      </c>
      <c r="I316" s="1076" t="str">
        <f>IFERROR(__xludf.DUMMYFUNCTION("""COMPUTED_VALUE"""),"A001010279")</f>
        <v>A001010279</v>
      </c>
      <c r="J316" s="1076" t="str">
        <f>IFERROR(__xludf.DUMMYFUNCTION("""COMPUTED_VALUE"""),"SF6665")</f>
        <v>SF6665</v>
      </c>
      <c r="K316" s="1076">
        <f>IFERROR(__xludf.DUMMYFUNCTION("""COMPUTED_VALUE"""),0.5)</f>
        <v>0.5</v>
      </c>
      <c r="L316" s="1076" t="str">
        <f>IFERROR(__xludf.DUMMYFUNCTION("""COMPUTED_VALUE"""),"KLH")</f>
        <v>KLH</v>
      </c>
    </row>
    <row r="317" customHeight="1" spans="1:12">
      <c r="A317" s="1089" t="str">
        <f>IFERROR(__xludf.DUMMYFUNCTION("""COMPUTED_VALUE"""),"XXA-MKX-001")</f>
        <v>XXA-MKX-001</v>
      </c>
      <c r="B317" s="1075" t="str">
        <f>IFERROR(__xludf.DUMMYFUNCTION("""COMPUTED_VALUE"""),"Máy kéo bánh xích CT652")</f>
        <v>Máy kéo bánh xích CT652</v>
      </c>
      <c r="C317" s="1076" t="str">
        <f>IFERROR(__xludf.DUMMYFUNCTION("""COMPUTED_VALUE"""),"XOÀI AD")</f>
        <v>XOÀI AD</v>
      </c>
      <c r="D317" s="1076" t="str">
        <f>IFERROR(__xludf.DUMMYFUNCTION("""COMPUTED_VALUE"""),"YANMAR")</f>
        <v>YANMAR</v>
      </c>
      <c r="E317" s="1076" t="str">
        <f>IFERROR(__xludf.DUMMYFUNCTION("""COMPUTED_VALUE"""),"Nhật Bản")</f>
        <v>Nhật Bản</v>
      </c>
      <c r="F317" s="1076"/>
      <c r="G317" s="1076" t="str">
        <f>IFERROR(__xludf.DUMMYFUNCTION("""COMPUTED_VALUE"""),"CT652")</f>
        <v>CT652</v>
      </c>
      <c r="H317" s="1076" t="str">
        <f>IFERROR(__xludf.DUMMYFUNCTION("""COMPUTED_VALUE"""),"65HP")</f>
        <v>65HP</v>
      </c>
      <c r="I317" s="1076" t="str">
        <f>IFERROR(__xludf.DUMMYFUNCTION("""COMPUTED_VALUE"""),"50349")</f>
        <v>50349</v>
      </c>
      <c r="J317" s="1076" t="str">
        <f>IFERROR(__xludf.DUMMYFUNCTION("""COMPUTED_VALUE"""),"R2091")</f>
        <v>R2091</v>
      </c>
      <c r="K317" s="1076"/>
      <c r="L317" s="1076" t="str">
        <f>IFERROR(__xludf.DUMMYFUNCTION("""COMPUTED_VALUE"""),"KLH")</f>
        <v>KLH</v>
      </c>
    </row>
    <row r="318" customHeight="1" spans="1:12">
      <c r="A318" s="1089" t="str">
        <f>IFERROR(__xludf.DUMMYFUNCTION("""COMPUTED_VALUE"""),"XB1-MKE-002")</f>
        <v>XB1-MKE-002</v>
      </c>
      <c r="B318" s="1075" t="str">
        <f>IFERROR(__xludf.DUMMYFUNCTION("""COMPUTED_VALUE"""),"Máy cày M9540")</f>
        <v>Máy cày M9540</v>
      </c>
      <c r="C318" s="1076" t="str">
        <f>IFERROR(__xludf.DUMMYFUNCTION("""COMPUTED_VALUE"""),"XN Bò AD")</f>
        <v>XN Bò AD</v>
      </c>
      <c r="D318" s="1076" t="str">
        <f>IFERROR(__xludf.DUMMYFUNCTION("""COMPUTED_VALUE"""),"KUBOTA")</f>
        <v>KUBOTA</v>
      </c>
      <c r="E318" s="1076" t="str">
        <f>IFERROR(__xludf.DUMMYFUNCTION("""COMPUTED_VALUE"""),"NHẬT BẢN")</f>
        <v>NHẬT BẢN</v>
      </c>
      <c r="F318" s="1076">
        <f>IFERROR(__xludf.DUMMYFUNCTION("""COMPUTED_VALUE"""),2011)</f>
        <v>2011</v>
      </c>
      <c r="G318" s="1076" t="str">
        <f>IFERROR(__xludf.DUMMYFUNCTION("""COMPUTED_VALUE"""),"9540")</f>
        <v>9540</v>
      </c>
      <c r="H318" s="1076" t="str">
        <f>IFERROR(__xludf.DUMMYFUNCTION("""COMPUTED_VALUE"""),"95HP")</f>
        <v>95HP</v>
      </c>
      <c r="I318" s="1076" t="str">
        <f>IFERROR(__xludf.DUMMYFUNCTION("""COMPUTED_VALUE"""),"2340")</f>
        <v>2340</v>
      </c>
      <c r="J318" s="1076" t="str">
        <f>IFERROR(__xludf.DUMMYFUNCTION("""COMPUTED_VALUE"""),"CCN")</f>
        <v>CCN</v>
      </c>
      <c r="K318" s="1076">
        <f>IFERROR(__xludf.DUMMYFUNCTION("""COMPUTED_VALUE"""),2.5)</f>
        <v>2.5</v>
      </c>
      <c r="L318" s="1076" t="str">
        <f>IFERROR(__xludf.DUMMYFUNCTION("""COMPUTED_VALUE"""),"KLH")</f>
        <v>KLH</v>
      </c>
    </row>
    <row r="319" customHeight="1" spans="1:12">
      <c r="A319" s="1089" t="str">
        <f>IFERROR(__xludf.DUMMYFUNCTION("""COMPUTED_VALUE"""),"XB1-MKE-003")</f>
        <v>XB1-MKE-003</v>
      </c>
      <c r="B319" s="1075" t="str">
        <f>IFERROR(__xludf.DUMMYFUNCTION("""COMPUTED_VALUE"""),"Máy cày M9540")</f>
        <v>Máy cày M9540</v>
      </c>
      <c r="C319" s="1076" t="str">
        <f>IFERROR(__xludf.DUMMYFUNCTION("""COMPUTED_VALUE"""),"XN Bò AD")</f>
        <v>XN Bò AD</v>
      </c>
      <c r="D319" s="1076" t="str">
        <f>IFERROR(__xludf.DUMMYFUNCTION("""COMPUTED_VALUE"""),"KUBOTA")</f>
        <v>KUBOTA</v>
      </c>
      <c r="E319" s="1076" t="str">
        <f>IFERROR(__xludf.DUMMYFUNCTION("""COMPUTED_VALUE"""),"NHẬT BẢN")</f>
        <v>NHẬT BẢN</v>
      </c>
      <c r="F319" s="1076">
        <f>IFERROR(__xludf.DUMMYFUNCTION("""COMPUTED_VALUE"""),2011)</f>
        <v>2011</v>
      </c>
      <c r="G319" s="1076" t="str">
        <f>IFERROR(__xludf.DUMMYFUNCTION("""COMPUTED_VALUE"""),"9540")</f>
        <v>9540</v>
      </c>
      <c r="H319" s="1076" t="str">
        <f>IFERROR(__xludf.DUMMYFUNCTION("""COMPUTED_VALUE"""),"95HP")</f>
        <v>95HP</v>
      </c>
      <c r="I319" s="1076" t="str">
        <f>IFERROR(__xludf.DUMMYFUNCTION("""COMPUTED_VALUE"""),"2807")</f>
        <v>2807</v>
      </c>
      <c r="J319" s="1076" t="str">
        <f>IFERROR(__xludf.DUMMYFUNCTION("""COMPUTED_VALUE"""),"CCN")</f>
        <v>CCN</v>
      </c>
      <c r="K319" s="1076">
        <f>IFERROR(__xludf.DUMMYFUNCTION("""COMPUTED_VALUE"""),3.8)</f>
        <v>3.8</v>
      </c>
      <c r="L319" s="1076" t="str">
        <f>IFERROR(__xludf.DUMMYFUNCTION("""COMPUTED_VALUE"""),"KLH")</f>
        <v>KLH</v>
      </c>
    </row>
    <row r="320" customHeight="1" spans="1:12">
      <c r="A320" s="1089" t="str">
        <f>IFERROR(__xludf.DUMMYFUNCTION("""COMPUTED_VALUE"""),"XB1-MKE-004")</f>
        <v>XB1-MKE-004</v>
      </c>
      <c r="B320" s="1075" t="str">
        <f>IFERROR(__xludf.DUMMYFUNCTION("""COMPUTED_VALUE"""),"Máy cày M9540")</f>
        <v>Máy cày M9540</v>
      </c>
      <c r="C320" s="1076" t="str">
        <f>IFERROR(__xludf.DUMMYFUNCTION("""COMPUTED_VALUE"""),"XN Bò AD")</f>
        <v>XN Bò AD</v>
      </c>
      <c r="D320" s="1076" t="str">
        <f>IFERROR(__xludf.DUMMYFUNCTION("""COMPUTED_VALUE"""),"KUBOTA")</f>
        <v>KUBOTA</v>
      </c>
      <c r="E320" s="1076" t="str">
        <f>IFERROR(__xludf.DUMMYFUNCTION("""COMPUTED_VALUE"""),"NHẬT BẢN")</f>
        <v>NHẬT BẢN</v>
      </c>
      <c r="F320" s="1076">
        <f>IFERROR(__xludf.DUMMYFUNCTION("""COMPUTED_VALUE"""),2011)</f>
        <v>2011</v>
      </c>
      <c r="G320" s="1076" t="str">
        <f>IFERROR(__xludf.DUMMYFUNCTION("""COMPUTED_VALUE"""),"9540")</f>
        <v>9540</v>
      </c>
      <c r="H320" s="1076" t="str">
        <f>IFERROR(__xludf.DUMMYFUNCTION("""COMPUTED_VALUE"""),"95HP")</f>
        <v>95HP</v>
      </c>
      <c r="I320" s="1076" t="str">
        <f>IFERROR(__xludf.DUMMYFUNCTION("""COMPUTED_VALUE"""),"2796")</f>
        <v>2796</v>
      </c>
      <c r="J320" s="1076" t="str">
        <f>IFERROR(__xludf.DUMMYFUNCTION("""COMPUTED_VALUE"""),"CCN")</f>
        <v>CCN</v>
      </c>
      <c r="K320" s="1076">
        <f>IFERROR(__xludf.DUMMYFUNCTION("""COMPUTED_VALUE"""),3.8)</f>
        <v>3.8</v>
      </c>
      <c r="L320" s="1076" t="str">
        <f>IFERROR(__xludf.DUMMYFUNCTION("""COMPUTED_VALUE"""),"KLH")</f>
        <v>KLH</v>
      </c>
    </row>
    <row r="321" customHeight="1" spans="1:12">
      <c r="A321" s="1089" t="str">
        <f>IFERROR(__xludf.DUMMYFUNCTION("""COMPUTED_VALUE"""),"XB1-MKE-005")</f>
        <v>XB1-MKE-005</v>
      </c>
      <c r="B321" s="1075" t="str">
        <f>IFERROR(__xludf.DUMMYFUNCTION("""COMPUTED_VALUE"""),"Máy cày M6040")</f>
        <v>Máy cày M6040</v>
      </c>
      <c r="C321" s="1076" t="str">
        <f>IFERROR(__xludf.DUMMYFUNCTION("""COMPUTED_VALUE"""),"XN Bò AD")</f>
        <v>XN Bò AD</v>
      </c>
      <c r="D321" s="1076" t="str">
        <f>IFERROR(__xludf.DUMMYFUNCTION("""COMPUTED_VALUE"""),"KUBOTA")</f>
        <v>KUBOTA</v>
      </c>
      <c r="E321" s="1076" t="str">
        <f>IFERROR(__xludf.DUMMYFUNCTION("""COMPUTED_VALUE"""),"NHẬT BẢN")</f>
        <v>NHẬT BẢN</v>
      </c>
      <c r="F321" s="1076">
        <f>IFERROR(__xludf.DUMMYFUNCTION("""COMPUTED_VALUE"""),2013)</f>
        <v>2013</v>
      </c>
      <c r="G321" s="1076" t="str">
        <f>IFERROR(__xludf.DUMMYFUNCTION("""COMPUTED_VALUE"""),"M6040")</f>
        <v>M6040</v>
      </c>
      <c r="H321" s="1076" t="str">
        <f>IFERROR(__xludf.DUMMYFUNCTION("""COMPUTED_VALUE"""),"60HP")</f>
        <v>60HP</v>
      </c>
      <c r="I321" s="1076" t="str">
        <f>IFERROR(__xludf.DUMMYFUNCTION("""COMPUTED_VALUE"""),"57274")</f>
        <v>57274</v>
      </c>
      <c r="J321" s="1076" t="str">
        <f>IFERROR(__xludf.DUMMYFUNCTION("""COMPUTED_VALUE"""),"9237")</f>
        <v>9237</v>
      </c>
      <c r="K321" s="1076">
        <f>IFERROR(__xludf.DUMMYFUNCTION("""COMPUTED_VALUE"""),3.5)</f>
        <v>3.5</v>
      </c>
      <c r="L321" s="1076" t="str">
        <f>IFERROR(__xludf.DUMMYFUNCTION("""COMPUTED_VALUE"""),"KLH")</f>
        <v>KLH</v>
      </c>
    </row>
    <row r="322" customHeight="1" spans="1:12">
      <c r="A322" s="1089" t="str">
        <f>IFERROR(__xludf.DUMMYFUNCTION("""COMPUTED_VALUE"""),"XB1-MKE-010")</f>
        <v>XB1-MKE-010</v>
      </c>
      <c r="B322" s="1075" t="str">
        <f>IFERROR(__xludf.DUMMYFUNCTION("""COMPUTED_VALUE"""),"Máy cày JD 6603")</f>
        <v>Máy cày JD 6603</v>
      </c>
      <c r="C322" s="1076" t="str">
        <f>IFERROR(__xludf.DUMMYFUNCTION("""COMPUTED_VALUE"""),"XN Bò AD")</f>
        <v>XN Bò AD</v>
      </c>
      <c r="D322" s="1076" t="str">
        <f>IFERROR(__xludf.DUMMYFUNCTION("""COMPUTED_VALUE"""),"JOHN DEERE")</f>
        <v>JOHN DEERE</v>
      </c>
      <c r="E322" s="1076" t="str">
        <f>IFERROR(__xludf.DUMMYFUNCTION("""COMPUTED_VALUE"""),"MỸ")</f>
        <v>MỸ</v>
      </c>
      <c r="F322" s="1076">
        <f>IFERROR(__xludf.DUMMYFUNCTION("""COMPUTED_VALUE"""),2008)</f>
        <v>2008</v>
      </c>
      <c r="G322" s="1076" t="str">
        <f>IFERROR(__xludf.DUMMYFUNCTION("""COMPUTED_VALUE"""),"6603")</f>
        <v>6603</v>
      </c>
      <c r="H322" s="1076" t="str">
        <f>IFERROR(__xludf.DUMMYFUNCTION("""COMPUTED_VALUE"""),"120HP")</f>
        <v>120HP</v>
      </c>
      <c r="I322" s="1076" t="str">
        <f>IFERROR(__xludf.DUMMYFUNCTION("""COMPUTED_VALUE"""),"5956")</f>
        <v>5956</v>
      </c>
      <c r="J322" s="1076" t="str">
        <f>IFERROR(__xludf.DUMMYFUNCTION("""COMPUTED_VALUE"""),"CCN")</f>
        <v>CCN</v>
      </c>
      <c r="K322" s="1076">
        <f>IFERROR(__xludf.DUMMYFUNCTION("""COMPUTED_VALUE"""),9)</f>
        <v>9</v>
      </c>
      <c r="L322" s="1076" t="str">
        <f>IFERROR(__xludf.DUMMYFUNCTION("""COMPUTED_VALUE"""),"KLH")</f>
        <v>KLH</v>
      </c>
    </row>
    <row r="323" customHeight="1" spans="1:12">
      <c r="A323" s="1089" t="str">
        <f>IFERROR(__xludf.DUMMYFUNCTION("""COMPUTED_VALUE"""),"XB1-MKE-011")</f>
        <v>XB1-MKE-011</v>
      </c>
      <c r="B323" s="1075" t="str">
        <f>IFERROR(__xludf.DUMMYFUNCTION("""COMPUTED_VALUE"""),"Máy cày JD 6603")</f>
        <v>Máy cày JD 6603</v>
      </c>
      <c r="C323" s="1076" t="str">
        <f>IFERROR(__xludf.DUMMYFUNCTION("""COMPUTED_VALUE"""),"XN Bò AD")</f>
        <v>XN Bò AD</v>
      </c>
      <c r="D323" s="1076" t="str">
        <f>IFERROR(__xludf.DUMMYFUNCTION("""COMPUTED_VALUE"""),"JOHN DEERE")</f>
        <v>JOHN DEERE</v>
      </c>
      <c r="E323" s="1076" t="str">
        <f>IFERROR(__xludf.DUMMYFUNCTION("""COMPUTED_VALUE"""),"MỸ")</f>
        <v>MỸ</v>
      </c>
      <c r="F323" s="1076">
        <f>IFERROR(__xludf.DUMMYFUNCTION("""COMPUTED_VALUE"""),2008)</f>
        <v>2008</v>
      </c>
      <c r="G323" s="1076" t="str">
        <f>IFERROR(__xludf.DUMMYFUNCTION("""COMPUTED_VALUE"""),"6603")</f>
        <v>6603</v>
      </c>
      <c r="H323" s="1076" t="str">
        <f>IFERROR(__xludf.DUMMYFUNCTION("""COMPUTED_VALUE"""),"120HP")</f>
        <v>120HP</v>
      </c>
      <c r="I323" s="1076" t="str">
        <f>IFERROR(__xludf.DUMMYFUNCTION("""COMPUTED_VALUE"""),"32551")</f>
        <v>32551</v>
      </c>
      <c r="J323" s="1076" t="str">
        <f>IFERROR(__xludf.DUMMYFUNCTION("""COMPUTED_VALUE"""),"CCN")</f>
        <v>CCN</v>
      </c>
      <c r="K323" s="1076">
        <f>IFERROR(__xludf.DUMMYFUNCTION("""COMPUTED_VALUE"""),7)</f>
        <v>7</v>
      </c>
      <c r="L323" s="1076" t="str">
        <f>IFERROR(__xludf.DUMMYFUNCTION("""COMPUTED_VALUE"""),"KLH")</f>
        <v>KLH</v>
      </c>
    </row>
    <row r="324" customHeight="1" spans="1:12">
      <c r="A324" s="1089" t="str">
        <f>IFERROR(__xludf.DUMMYFUNCTION("""COMPUTED_VALUE"""),"XB1-MKE-012")</f>
        <v>XB1-MKE-012</v>
      </c>
      <c r="B324" s="1075" t="str">
        <f>IFERROR(__xludf.DUMMYFUNCTION("""COMPUTED_VALUE"""),"Máy cày KAM50")</f>
        <v>Máy cày KAM50</v>
      </c>
      <c r="C324" s="1076" t="str">
        <f>IFERROR(__xludf.DUMMYFUNCTION("""COMPUTED_VALUE"""),"XN Bò AD")</f>
        <v>XN Bò AD</v>
      </c>
      <c r="D324" s="1076" t="str">
        <f>IFERROR(__xludf.DUMMYFUNCTION("""COMPUTED_VALUE"""),"THACO")</f>
        <v>THACO</v>
      </c>
      <c r="E324" s="1076" t="str">
        <f>IFERROR(__xludf.DUMMYFUNCTION("""COMPUTED_VALUE"""),"VIỆT NAM")</f>
        <v>VIỆT NAM</v>
      </c>
      <c r="F324" s="1076">
        <f>IFERROR(__xludf.DUMMYFUNCTION("""COMPUTED_VALUE"""),2018)</f>
        <v>2018</v>
      </c>
      <c r="G324" s="1076" t="str">
        <f>IFERROR(__xludf.DUMMYFUNCTION("""COMPUTED_VALUE"""),"KAM50")</f>
        <v>KAM50</v>
      </c>
      <c r="H324" s="1076" t="str">
        <f>IFERROR(__xludf.DUMMYFUNCTION("""COMPUTED_VALUE"""),"50HP")</f>
        <v>50HP</v>
      </c>
      <c r="I324" s="1076" t="str">
        <f>IFERROR(__xludf.DUMMYFUNCTION("""COMPUTED_VALUE"""),"0000087")</f>
        <v>0000087</v>
      </c>
      <c r="J324" s="1076" t="str">
        <f>IFERROR(__xludf.DUMMYFUNCTION("""COMPUTED_VALUE"""),"80")</f>
        <v>80</v>
      </c>
      <c r="K324" s="1076">
        <f>IFERROR(__xludf.DUMMYFUNCTION("""COMPUTED_VALUE"""),2.5)</f>
        <v>2.5</v>
      </c>
      <c r="L324" s="1076" t="str">
        <f>IFERROR(__xludf.DUMMYFUNCTION("""COMPUTED_VALUE"""),"KLH")</f>
        <v>KLH</v>
      </c>
    </row>
    <row r="325" customHeight="1" spans="1:12">
      <c r="A325" s="1089" t="str">
        <f>IFERROR(__xludf.DUMMYFUNCTION("""COMPUTED_VALUE"""),"XB1-MKE-017")</f>
        <v>XB1-MKE-017</v>
      </c>
      <c r="B325" s="1075" t="str">
        <f>IFERROR(__xludf.DUMMYFUNCTION("""COMPUTED_VALUE"""),"Máy cày M6040")</f>
        <v>Máy cày M6040</v>
      </c>
      <c r="C325" s="1076" t="str">
        <f>IFERROR(__xludf.DUMMYFUNCTION("""COMPUTED_VALUE"""),"XN Bò AD")</f>
        <v>XN Bò AD</v>
      </c>
      <c r="D325" s="1076" t="str">
        <f>IFERROR(__xludf.DUMMYFUNCTION("""COMPUTED_VALUE"""),"KUBOTA")</f>
        <v>KUBOTA</v>
      </c>
      <c r="E325" s="1076" t="str">
        <f>IFERROR(__xludf.DUMMYFUNCTION("""COMPUTED_VALUE"""),"NHẬT BẢN")</f>
        <v>NHẬT BẢN</v>
      </c>
      <c r="F325" s="1076">
        <f>IFERROR(__xludf.DUMMYFUNCTION("""COMPUTED_VALUE"""),2013)</f>
        <v>2013</v>
      </c>
      <c r="G325" s="1076" t="str">
        <f>IFERROR(__xludf.DUMMYFUNCTION("""COMPUTED_VALUE"""),"M6040")</f>
        <v>M6040</v>
      </c>
      <c r="H325" s="1076" t="str">
        <f>IFERROR(__xludf.DUMMYFUNCTION("""COMPUTED_VALUE"""),"60HP")</f>
        <v>60HP</v>
      </c>
      <c r="I325" s="1076" t="str">
        <f>IFERROR(__xludf.DUMMYFUNCTION("""COMPUTED_VALUE"""),"D57126")</f>
        <v>D57126</v>
      </c>
      <c r="J325" s="1076" t="str">
        <f>IFERROR(__xludf.DUMMYFUNCTION("""COMPUTED_VALUE"""),"CCN")</f>
        <v>CCN</v>
      </c>
      <c r="K325" s="1076">
        <f>IFERROR(__xludf.DUMMYFUNCTION("""COMPUTED_VALUE"""),3.5)</f>
        <v>3.5</v>
      </c>
      <c r="L325" s="1076" t="str">
        <f>IFERROR(__xludf.DUMMYFUNCTION("""COMPUTED_VALUE"""),"KLH")</f>
        <v>KLH</v>
      </c>
    </row>
    <row r="326" customHeight="1" spans="1:12">
      <c r="A326" s="1089" t="str">
        <f>IFERROR(__xludf.DUMMYFUNCTION("""COMPUTED_VALUE"""),"XB1-MKE-018")</f>
        <v>XB1-MKE-018</v>
      </c>
      <c r="B326" s="1075" t="str">
        <f>IFERROR(__xludf.DUMMYFUNCTION("""COMPUTED_VALUE"""),"Máy cày KAM50")</f>
        <v>Máy cày KAM50</v>
      </c>
      <c r="C326" s="1076" t="str">
        <f>IFERROR(__xludf.DUMMYFUNCTION("""COMPUTED_VALUE"""),"XN Bò AD")</f>
        <v>XN Bò AD</v>
      </c>
      <c r="D326" s="1076" t="str">
        <f>IFERROR(__xludf.DUMMYFUNCTION("""COMPUTED_VALUE"""),"THACO")</f>
        <v>THACO</v>
      </c>
      <c r="E326" s="1076" t="str">
        <f>IFERROR(__xludf.DUMMYFUNCTION("""COMPUTED_VALUE"""),"VIỆT NAM")</f>
        <v>VIỆT NAM</v>
      </c>
      <c r="F326" s="1076">
        <f>IFERROR(__xludf.DUMMYFUNCTION("""COMPUTED_VALUE"""),2018)</f>
        <v>2018</v>
      </c>
      <c r="G326" s="1076" t="str">
        <f>IFERROR(__xludf.DUMMYFUNCTION("""COMPUTED_VALUE"""),"KAM50")</f>
        <v>KAM50</v>
      </c>
      <c r="H326" s="1076" t="str">
        <f>IFERROR(__xludf.DUMMYFUNCTION("""COMPUTED_VALUE"""),"50HP")</f>
        <v>50HP</v>
      </c>
      <c r="I326" s="1076" t="str">
        <f>IFERROR(__xludf.DUMMYFUNCTION("""COMPUTED_VALUE"""),"C000077")</f>
        <v>C000077</v>
      </c>
      <c r="J326" s="1076" t="str">
        <f>IFERROR(__xludf.DUMMYFUNCTION("""COMPUTED_VALUE"""),"180012")</f>
        <v>180012</v>
      </c>
      <c r="K326" s="1076">
        <f>IFERROR(__xludf.DUMMYFUNCTION("""COMPUTED_VALUE"""),2)</f>
        <v>2</v>
      </c>
      <c r="L326" s="1076" t="str">
        <f>IFERROR(__xludf.DUMMYFUNCTION("""COMPUTED_VALUE"""),"KLH")</f>
        <v>KLH</v>
      </c>
    </row>
    <row r="327" customHeight="1" spans="1:12">
      <c r="A327" s="1089" t="str">
        <f>IFERROR(__xludf.DUMMYFUNCTION("""COMPUTED_VALUE"""),"XB1-MKE-021")</f>
        <v>XB1-MKE-021</v>
      </c>
      <c r="B327" s="1075" t="str">
        <f>IFERROR(__xludf.DUMMYFUNCTION("""COMPUTED_VALUE"""),"Máy cày JD 5090E")</f>
        <v>Máy cày JD 5090E</v>
      </c>
      <c r="C327" s="1076" t="str">
        <f>IFERROR(__xludf.DUMMYFUNCTION("""COMPUTED_VALUE"""),"XN Bò AD")</f>
        <v>XN Bò AD</v>
      </c>
      <c r="D327" s="1076" t="str">
        <f>IFERROR(__xludf.DUMMYFUNCTION("""COMPUTED_VALUE"""),"JOHN DEERE")</f>
        <v>JOHN DEERE</v>
      </c>
      <c r="E327" s="1076" t="str">
        <f>IFERROR(__xludf.DUMMYFUNCTION("""COMPUTED_VALUE"""),"MỸ")</f>
        <v>MỸ</v>
      </c>
      <c r="F327" s="1076">
        <f>IFERROR(__xludf.DUMMYFUNCTION("""COMPUTED_VALUE"""),2022)</f>
        <v>2022</v>
      </c>
      <c r="G327" s="1076" t="str">
        <f>IFERROR(__xludf.DUMMYFUNCTION("""COMPUTED_VALUE"""),"5090")</f>
        <v>5090</v>
      </c>
      <c r="H327" s="1076" t="str">
        <f>IFERROR(__xludf.DUMMYFUNCTION("""COMPUTED_VALUE"""),"90HP")</f>
        <v>90HP</v>
      </c>
      <c r="I327" s="1076" t="str">
        <f>IFERROR(__xludf.DUMMYFUNCTION("""COMPUTED_VALUE"""),"4073059")</f>
        <v>4073059</v>
      </c>
      <c r="J327" s="1076" t="str">
        <f>IFERROR(__xludf.DUMMYFUNCTION("""COMPUTED_VALUE"""),"26911")</f>
        <v>26911</v>
      </c>
      <c r="K327" s="1076">
        <f>IFERROR(__xludf.DUMMYFUNCTION("""COMPUTED_VALUE"""),6)</f>
        <v>6</v>
      </c>
      <c r="L327" s="1076" t="str">
        <f>IFERROR(__xludf.DUMMYFUNCTION("""COMPUTED_VALUE"""),"KLH")</f>
        <v>KLH</v>
      </c>
    </row>
    <row r="328" customHeight="1" spans="1:12">
      <c r="A328" s="1089" t="str">
        <f>IFERROR(__xludf.DUMMYFUNCTION("""COMPUTED_VALUE"""),"XB1-MKE-022")</f>
        <v>XB1-MKE-022</v>
      </c>
      <c r="B328" s="1075" t="str">
        <f>IFERROR(__xludf.DUMMYFUNCTION("""COMPUTED_VALUE"""),"Máy cày JD 5090E")</f>
        <v>Máy cày JD 5090E</v>
      </c>
      <c r="C328" s="1076" t="str">
        <f>IFERROR(__xludf.DUMMYFUNCTION("""COMPUTED_VALUE"""),"XN Bò AD")</f>
        <v>XN Bò AD</v>
      </c>
      <c r="D328" s="1076" t="str">
        <f>IFERROR(__xludf.DUMMYFUNCTION("""COMPUTED_VALUE"""),"JOHN DEERE")</f>
        <v>JOHN DEERE</v>
      </c>
      <c r="E328" s="1076" t="str">
        <f>IFERROR(__xludf.DUMMYFUNCTION("""COMPUTED_VALUE"""),"MỸ")</f>
        <v>MỸ</v>
      </c>
      <c r="F328" s="1076">
        <f>IFERROR(__xludf.DUMMYFUNCTION("""COMPUTED_VALUE"""),2022)</f>
        <v>2022</v>
      </c>
      <c r="G328" s="1076" t="str">
        <f>IFERROR(__xludf.DUMMYFUNCTION("""COMPUTED_VALUE"""),"5090")</f>
        <v>5090</v>
      </c>
      <c r="H328" s="1076" t="str">
        <f>IFERROR(__xludf.DUMMYFUNCTION("""COMPUTED_VALUE"""),"90HP")</f>
        <v>90HP</v>
      </c>
      <c r="I328" s="1076" t="str">
        <f>IFERROR(__xludf.DUMMYFUNCTION("""COMPUTED_VALUE"""),"4073056")</f>
        <v>4073056</v>
      </c>
      <c r="J328" s="1076" t="str">
        <f>IFERROR(__xludf.DUMMYFUNCTION("""COMPUTED_VALUE"""),"27085")</f>
        <v>27085</v>
      </c>
      <c r="K328" s="1076">
        <f>IFERROR(__xludf.DUMMYFUNCTION("""COMPUTED_VALUE"""),6)</f>
        <v>6</v>
      </c>
      <c r="L328" s="1076" t="str">
        <f>IFERROR(__xludf.DUMMYFUNCTION("""COMPUTED_VALUE"""),"KLH")</f>
        <v>KLH</v>
      </c>
    </row>
    <row r="329" customHeight="1" spans="1:12">
      <c r="A329" s="1089" t="str">
        <f>IFERROR(__xludf.DUMMYFUNCTION("""COMPUTED_VALUE"""),"XB1-MKE-027")</f>
        <v>XB1-MKE-027</v>
      </c>
      <c r="B329" s="1075" t="str">
        <f>IFERROR(__xludf.DUMMYFUNCTION("""COMPUTED_VALUE"""),"Máy cày KAM50")</f>
        <v>Máy cày KAM50</v>
      </c>
      <c r="C329" s="1076" t="str">
        <f>IFERROR(__xludf.DUMMYFUNCTION("""COMPUTED_VALUE"""),"XN Bò AD")</f>
        <v>XN Bò AD</v>
      </c>
      <c r="D329" s="1076" t="str">
        <f>IFERROR(__xludf.DUMMYFUNCTION("""COMPUTED_VALUE"""),"THACO")</f>
        <v>THACO</v>
      </c>
      <c r="E329" s="1076" t="str">
        <f>IFERROR(__xludf.DUMMYFUNCTION("""COMPUTED_VALUE"""),"VIỆT NAM")</f>
        <v>VIỆT NAM</v>
      </c>
      <c r="F329" s="1076">
        <f>IFERROR(__xludf.DUMMYFUNCTION("""COMPUTED_VALUE"""),2018)</f>
        <v>2018</v>
      </c>
      <c r="G329" s="1076" t="str">
        <f>IFERROR(__xludf.DUMMYFUNCTION("""COMPUTED_VALUE"""),"KAM50")</f>
        <v>KAM50</v>
      </c>
      <c r="H329" s="1076" t="str">
        <f>IFERROR(__xludf.DUMMYFUNCTION("""COMPUTED_VALUE"""),"50HP")</f>
        <v>50HP</v>
      </c>
      <c r="I329" s="1076" t="str">
        <f>IFERROR(__xludf.DUMMYFUNCTION("""COMPUTED_VALUE"""),"180090")</f>
        <v>180090</v>
      </c>
      <c r="J329" s="1076" t="str">
        <f>IFERROR(__xludf.DUMMYFUNCTION("""COMPUTED_VALUE"""),"CCN")</f>
        <v>CCN</v>
      </c>
      <c r="K329" s="1076">
        <f>IFERROR(__xludf.DUMMYFUNCTION("""COMPUTED_VALUE"""),2.5)</f>
        <v>2.5</v>
      </c>
      <c r="L329" s="1076" t="str">
        <f>IFERROR(__xludf.DUMMYFUNCTION("""COMPUTED_VALUE"""),"KLH")</f>
        <v>KLH</v>
      </c>
    </row>
    <row r="330" customHeight="1" spans="1:12">
      <c r="A330" s="1089" t="str">
        <f>IFERROR(__xludf.DUMMYFUNCTION("""COMPUTED_VALUE"""),"XB1-MKE-029")</f>
        <v>XB1-MKE-029</v>
      </c>
      <c r="B330" s="1075" t="str">
        <f>IFERROR(__xludf.DUMMYFUNCTION("""COMPUTED_VALUE"""),"Máy cày JD 6120B")</f>
        <v>Máy cày JD 6120B</v>
      </c>
      <c r="C330" s="1076" t="str">
        <f>IFERROR(__xludf.DUMMYFUNCTION("""COMPUTED_VALUE"""),"XN Bò AD")</f>
        <v>XN Bò AD</v>
      </c>
      <c r="D330" s="1076" t="str">
        <f>IFERROR(__xludf.DUMMYFUNCTION("""COMPUTED_VALUE"""),"JOHN DEERE")</f>
        <v>JOHN DEERE</v>
      </c>
      <c r="E330" s="1076" t="str">
        <f>IFERROR(__xludf.DUMMYFUNCTION("""COMPUTED_VALUE"""),"MỸ")</f>
        <v>MỸ</v>
      </c>
      <c r="F330" s="1076">
        <f>IFERROR(__xludf.DUMMYFUNCTION("""COMPUTED_VALUE"""),2022)</f>
        <v>2022</v>
      </c>
      <c r="G330" s="1076" t="str">
        <f>IFERROR(__xludf.DUMMYFUNCTION("""COMPUTED_VALUE"""),"6120B")</f>
        <v>6120B</v>
      </c>
      <c r="H330" s="1076" t="str">
        <f>IFERROR(__xludf.DUMMYFUNCTION("""COMPUTED_VALUE"""),"120HP")</f>
        <v>120HP</v>
      </c>
      <c r="I330" s="1076" t="str">
        <f>IFERROR(__xludf.DUMMYFUNCTION("""COMPUTED_VALUE"""),"1YR6120BLRD210217")</f>
        <v>1YR6120BLRD210217</v>
      </c>
      <c r="J330" s="1076" t="str">
        <f>IFERROR(__xludf.DUMMYFUNCTION("""COMPUTED_VALUE"""),"PE4045N035792")</f>
        <v>PE4045N035792</v>
      </c>
      <c r="K330" s="1076">
        <f>IFERROR(__xludf.DUMMYFUNCTION("""COMPUTED_VALUE"""),9.5)</f>
        <v>9.5</v>
      </c>
      <c r="L330" s="1076" t="str">
        <f>IFERROR(__xludf.DUMMYFUNCTION("""COMPUTED_VALUE"""),"KLH")</f>
        <v>KLH</v>
      </c>
    </row>
    <row r="331" customHeight="1" spans="1:12">
      <c r="A331" s="1089" t="str">
        <f>IFERROR(__xludf.DUMMYFUNCTION("""COMPUTED_VALUE"""),"XB1-MKE-030")</f>
        <v>XB1-MKE-030</v>
      </c>
      <c r="B331" s="1075" t="str">
        <f>IFERROR(__xludf.DUMMYFUNCTION("""COMPUTED_VALUE"""),"Máy cày bánh xích ISEKI")</f>
        <v>Máy cày bánh xích ISEKI</v>
      </c>
      <c r="C331" s="1076" t="str">
        <f>IFERROR(__xludf.DUMMYFUNCTION("""COMPUTED_VALUE"""),"XN Bò AD")</f>
        <v>XN Bò AD</v>
      </c>
      <c r="D331" s="1076" t="str">
        <f>IFERROR(__xludf.DUMMYFUNCTION("""COMPUTED_VALUE"""),"ISEKI")</f>
        <v>ISEKI</v>
      </c>
      <c r="E331" s="1076" t="str">
        <f>IFERROR(__xludf.DUMMYFUNCTION("""COMPUTED_VALUE"""),"TRUNG QUỐC")</f>
        <v>TRUNG QUỐC</v>
      </c>
      <c r="F331" s="1076"/>
      <c r="G331" s="1076" t="str">
        <f>IFERROR(__xludf.DUMMYFUNCTION("""COMPUTED_VALUE"""),"TA-C120")</f>
        <v>TA-C120</v>
      </c>
      <c r="H331" s="1076" t="str">
        <f>IFERROR(__xludf.DUMMYFUNCTION("""COMPUTED_VALUE"""),"120HP")</f>
        <v>120HP</v>
      </c>
      <c r="I331" s="1076" t="str">
        <f>IFERROR(__xludf.DUMMYFUNCTION("""COMPUTED_VALUE"""),"K12A/10050")</f>
        <v>K12A/10050</v>
      </c>
      <c r="J331" s="1076" t="str">
        <f>IFERROR(__xludf.DUMMYFUNCTION("""COMPUTED_VALUE"""),"S6S025912")</f>
        <v>S6S025912</v>
      </c>
      <c r="K331" s="1076"/>
      <c r="L331" s="1076" t="str">
        <f>IFERROR(__xludf.DUMMYFUNCTION("""COMPUTED_VALUE"""),"KLH")</f>
        <v>KLH</v>
      </c>
    </row>
    <row r="332" customHeight="1" spans="1:12">
      <c r="A332" s="1089" t="str">
        <f>IFERROR(__xludf.DUMMYFUNCTION("""COMPUTED_VALUE"""),"XB1-MKE-033")</f>
        <v>XB1-MKE-033</v>
      </c>
      <c r="B332" s="1075" t="str">
        <f>IFERROR(__xludf.DUMMYFUNCTION("""COMPUTED_VALUE"""),"Máy cày KAM50")</f>
        <v>Máy cày KAM50</v>
      </c>
      <c r="C332" s="1076" t="str">
        <f>IFERROR(__xludf.DUMMYFUNCTION("""COMPUTED_VALUE"""),"XN Bò AD")</f>
        <v>XN Bò AD</v>
      </c>
      <c r="D332" s="1076" t="str">
        <f>IFERROR(__xludf.DUMMYFUNCTION("""COMPUTED_VALUE"""),"THACO")</f>
        <v>THACO</v>
      </c>
      <c r="E332" s="1076" t="str">
        <f>IFERROR(__xludf.DUMMYFUNCTION("""COMPUTED_VALUE"""),"VIỆT NAM")</f>
        <v>VIỆT NAM</v>
      </c>
      <c r="F332" s="1076">
        <f>IFERROR(__xludf.DUMMYFUNCTION("""COMPUTED_VALUE"""),2018)</f>
        <v>2018</v>
      </c>
      <c r="G332" s="1076" t="str">
        <f>IFERROR(__xludf.DUMMYFUNCTION("""COMPUTED_VALUE"""),"KAM50")</f>
        <v>KAM50</v>
      </c>
      <c r="H332" s="1076" t="str">
        <f>IFERROR(__xludf.DUMMYFUNCTION("""COMPUTED_VALUE"""),"50HP")</f>
        <v>50HP</v>
      </c>
      <c r="I332" s="1076" t="str">
        <f>IFERROR(__xludf.DUMMYFUNCTION("""COMPUTED_VALUE"""),"C000046")</f>
        <v>C000046</v>
      </c>
      <c r="J332" s="1076" t="str">
        <f>IFERROR(__xludf.DUMMYFUNCTION("""COMPUTED_VALUE"""),"CCN")</f>
        <v>CCN</v>
      </c>
      <c r="K332" s="1076">
        <f>IFERROR(__xludf.DUMMYFUNCTION("""COMPUTED_VALUE"""),2.5)</f>
        <v>2.5</v>
      </c>
      <c r="L332" s="1076" t="str">
        <f>IFERROR(__xludf.DUMMYFUNCTION("""COMPUTED_VALUE"""),"KLH")</f>
        <v>KLH</v>
      </c>
    </row>
    <row r="333" customHeight="1" spans="1:12">
      <c r="A333" s="1089" t="str">
        <f>IFERROR(__xludf.DUMMYFUNCTION("""COMPUTED_VALUE"""),"XB1-MKE-034")</f>
        <v>XB1-MKE-034</v>
      </c>
      <c r="B333" s="1075" t="str">
        <f>IFERROR(__xludf.DUMMYFUNCTION("""COMPUTED_VALUE"""),"Máy cày bánh xích YANMAR")</f>
        <v>Máy cày bánh xích YANMAR</v>
      </c>
      <c r="C333" s="1076" t="str">
        <f>IFERROR(__xludf.DUMMYFUNCTION("""COMPUTED_VALUE"""),"XN Bò AD")</f>
        <v>XN Bò AD</v>
      </c>
      <c r="D333" s="1076" t="str">
        <f>IFERROR(__xludf.DUMMYFUNCTION("""COMPUTED_VALUE"""),"YANMAR")</f>
        <v>YANMAR</v>
      </c>
      <c r="E333" s="1076" t="str">
        <f>IFERROR(__xludf.DUMMYFUNCTION("""COMPUTED_VALUE"""),"TRUNG QUỐC")</f>
        <v>TRUNG QUỐC</v>
      </c>
      <c r="F333" s="1076"/>
      <c r="G333" s="1076" t="str">
        <f>IFERROR(__xludf.DUMMYFUNCTION("""COMPUTED_VALUE"""),"CT95")</f>
        <v>CT95</v>
      </c>
      <c r="H333" s="1076" t="str">
        <f>IFERROR(__xludf.DUMMYFUNCTION("""COMPUTED_VALUE"""),"95HP")</f>
        <v>95HP</v>
      </c>
      <c r="I333" s="1076" t="str">
        <f>IFERROR(__xludf.DUMMYFUNCTION("""COMPUTED_VALUE"""),"50478")</f>
        <v>50478</v>
      </c>
      <c r="J333" s="1076" t="str">
        <f>IFERROR(__xludf.DUMMYFUNCTION("""COMPUTED_VALUE"""),"CCN")</f>
        <v>CCN</v>
      </c>
      <c r="K333" s="1076"/>
      <c r="L333" s="1076" t="str">
        <f>IFERROR(__xludf.DUMMYFUNCTION("""COMPUTED_VALUE"""),"KLH")</f>
        <v>KLH</v>
      </c>
    </row>
    <row r="334" customHeight="1" spans="1:12">
      <c r="A334" s="1089" t="str">
        <f>IFERROR(__xludf.DUMMYFUNCTION("""COMPUTED_VALUE"""),"XB1-MKE-035")</f>
        <v>XB1-MKE-035</v>
      </c>
      <c r="B334" s="1075" t="str">
        <f>IFERROR(__xludf.DUMMYFUNCTION("""COMPUTED_VALUE"""),"Máy cày JD 6120B")</f>
        <v>Máy cày JD 6120B</v>
      </c>
      <c r="C334" s="1076" t="str">
        <f>IFERROR(__xludf.DUMMYFUNCTION("""COMPUTED_VALUE"""),"XN Bò AD")</f>
        <v>XN Bò AD</v>
      </c>
      <c r="D334" s="1076" t="str">
        <f>IFERROR(__xludf.DUMMYFUNCTION("""COMPUTED_VALUE"""),"JOHN DEERE")</f>
        <v>JOHN DEERE</v>
      </c>
      <c r="E334" s="1076" t="str">
        <f>IFERROR(__xludf.DUMMYFUNCTION("""COMPUTED_VALUE"""),"MỸ")</f>
        <v>MỸ</v>
      </c>
      <c r="F334" s="1076">
        <f>IFERROR(__xludf.DUMMYFUNCTION("""COMPUTED_VALUE"""),2024)</f>
        <v>2024</v>
      </c>
      <c r="G334" s="1076" t="str">
        <f>IFERROR(__xludf.DUMMYFUNCTION("""COMPUTED_VALUE"""),"6120B")</f>
        <v>6120B</v>
      </c>
      <c r="H334" s="1076" t="str">
        <f>IFERROR(__xludf.DUMMYFUNCTION("""COMPUTED_VALUE"""),"120HP")</f>
        <v>120HP</v>
      </c>
      <c r="I334" s="1076" t="str">
        <f>IFERROR(__xludf.DUMMYFUNCTION("""COMPUTED_VALUE"""),"1YR6120BJRD210227")</f>
        <v>1YR6120BJRD210227</v>
      </c>
      <c r="J334" s="1076" t="str">
        <f>IFERROR(__xludf.DUMMYFUNCTION("""COMPUTED_VALUE"""),"PE4045N035812")</f>
        <v>PE4045N035812</v>
      </c>
      <c r="K334" s="1076">
        <f>IFERROR(__xludf.DUMMYFUNCTION("""COMPUTED_VALUE"""),9.5)</f>
        <v>9.5</v>
      </c>
      <c r="L334" s="1076" t="str">
        <f>IFERROR(__xludf.DUMMYFUNCTION("""COMPUTED_VALUE"""),"KLH")</f>
        <v>KLH</v>
      </c>
    </row>
    <row r="335" customHeight="1" spans="1:12">
      <c r="A335" s="1089" t="str">
        <f>IFERROR(__xludf.DUMMYFUNCTION("""COMPUTED_VALUE"""),"XB1-MKE-036")</f>
        <v>XB1-MKE-036</v>
      </c>
      <c r="B335" s="1075" t="str">
        <f>IFERROR(__xludf.DUMMYFUNCTION("""COMPUTED_VALUE"""),"Máy cày JD 6120B")</f>
        <v>Máy cày JD 6120B</v>
      </c>
      <c r="C335" s="1076" t="str">
        <f>IFERROR(__xludf.DUMMYFUNCTION("""COMPUTED_VALUE"""),"XN Bò AD")</f>
        <v>XN Bò AD</v>
      </c>
      <c r="D335" s="1076" t="str">
        <f>IFERROR(__xludf.DUMMYFUNCTION("""COMPUTED_VALUE"""),"JOHN DEERE")</f>
        <v>JOHN DEERE</v>
      </c>
      <c r="E335" s="1076" t="str">
        <f>IFERROR(__xludf.DUMMYFUNCTION("""COMPUTED_VALUE"""),"MỸ")</f>
        <v>MỸ</v>
      </c>
      <c r="F335" s="1076">
        <f>IFERROR(__xludf.DUMMYFUNCTION("""COMPUTED_VALUE"""),2024)</f>
        <v>2024</v>
      </c>
      <c r="G335" s="1076" t="str">
        <f>IFERROR(__xludf.DUMMYFUNCTION("""COMPUTED_VALUE"""),"6120B")</f>
        <v>6120B</v>
      </c>
      <c r="H335" s="1076" t="str">
        <f>IFERROR(__xludf.DUMMYFUNCTION("""COMPUTED_VALUE"""),"120HP")</f>
        <v>120HP</v>
      </c>
      <c r="I335" s="1076" t="str">
        <f>IFERROR(__xludf.DUMMYFUNCTION("""COMPUTED_VALUE"""),"1YR6120BKRD210226")</f>
        <v>1YR6120BKRD210226</v>
      </c>
      <c r="J335" s="1076" t="str">
        <f>IFERROR(__xludf.DUMMYFUNCTION("""COMPUTED_VALUE"""),"PE4045N035868")</f>
        <v>PE4045N035868</v>
      </c>
      <c r="K335" s="1076">
        <f>IFERROR(__xludf.DUMMYFUNCTION("""COMPUTED_VALUE"""),9.5)</f>
        <v>9.5</v>
      </c>
      <c r="L335" s="1076" t="str">
        <f>IFERROR(__xludf.DUMMYFUNCTION("""COMPUTED_VALUE"""),"KLH")</f>
        <v>KLH</v>
      </c>
    </row>
    <row r="336" customHeight="1" spans="1:12">
      <c r="A336" s="1089" t="str">
        <f>IFERROR(__xludf.DUMMYFUNCTION("""COMPUTED_VALUE"""),"XB1-MKE-037")</f>
        <v>XB1-MKE-037</v>
      </c>
      <c r="B336" s="1075" t="str">
        <f>IFERROR(__xludf.DUMMYFUNCTION("""COMPUTED_VALUE"""),"Máy cày JD 5520")</f>
        <v>Máy cày JD 5520</v>
      </c>
      <c r="C336" s="1076" t="str">
        <f>IFERROR(__xludf.DUMMYFUNCTION("""COMPUTED_VALUE"""),"XN Bò AD")</f>
        <v>XN Bò AD</v>
      </c>
      <c r="D336" s="1076" t="str">
        <f>IFERROR(__xludf.DUMMYFUNCTION("""COMPUTED_VALUE"""),"JOHN DEERE")</f>
        <v>JOHN DEERE</v>
      </c>
      <c r="E336" s="1076" t="str">
        <f>IFERROR(__xludf.DUMMYFUNCTION("""COMPUTED_VALUE"""),"MỸ")</f>
        <v>MỸ</v>
      </c>
      <c r="F336" s="1076">
        <f>IFERROR(__xludf.DUMMYFUNCTION("""COMPUTED_VALUE"""),2004)</f>
        <v>2004</v>
      </c>
      <c r="G336" s="1076" t="str">
        <f>IFERROR(__xludf.DUMMYFUNCTION("""COMPUTED_VALUE"""),"5520")</f>
        <v>5520</v>
      </c>
      <c r="H336" s="1076" t="str">
        <f>IFERROR(__xludf.DUMMYFUNCTION("""COMPUTED_VALUE"""),"89HP")</f>
        <v>89HP</v>
      </c>
      <c r="I336" s="1076" t="str">
        <f>IFERROR(__xludf.DUMMYFUNCTION("""COMPUTED_VALUE"""),"54110883Y")</f>
        <v>54110883Y</v>
      </c>
      <c r="J336" s="1076" t="str">
        <f>IFERROR(__xludf.DUMMYFUNCTION("""COMPUTED_VALUE"""),"PE4045D043015")</f>
        <v>PE4045D043015</v>
      </c>
      <c r="K336" s="1076"/>
      <c r="L336" s="1076" t="str">
        <f>IFERROR(__xludf.DUMMYFUNCTION("""COMPUTED_VALUE"""),"KLH")</f>
        <v>KLH</v>
      </c>
    </row>
    <row r="337" customHeight="1" spans="1:12">
      <c r="A337" s="1089" t="str">
        <f>IFERROR(__xludf.DUMMYFUNCTION("""COMPUTED_VALUE"""),"XB1-MKE-038")</f>
        <v>XB1-MKE-038</v>
      </c>
      <c r="B337" s="1075" t="str">
        <f>IFERROR(__xludf.DUMMYFUNCTION("""COMPUTED_VALUE"""),"Máy cày JD 5510")</f>
        <v>Máy cày JD 5510</v>
      </c>
      <c r="C337" s="1076" t="str">
        <f>IFERROR(__xludf.DUMMYFUNCTION("""COMPUTED_VALUE"""),"XN Bò AD")</f>
        <v>XN Bò AD</v>
      </c>
      <c r="D337" s="1076" t="str">
        <f>IFERROR(__xludf.DUMMYFUNCTION("""COMPUTED_VALUE"""),"JOHN DEERE")</f>
        <v>JOHN DEERE</v>
      </c>
      <c r="E337" s="1076" t="str">
        <f>IFERROR(__xludf.DUMMYFUNCTION("""COMPUTED_VALUE"""),"MỸ")</f>
        <v>MỸ</v>
      </c>
      <c r="F337" s="1076">
        <f>IFERROR(__xludf.DUMMYFUNCTION("""COMPUTED_VALUE"""),2004)</f>
        <v>2004</v>
      </c>
      <c r="G337" s="1076" t="str">
        <f>IFERROR(__xludf.DUMMYFUNCTION("""COMPUTED_VALUE"""),"5510")</f>
        <v>5510</v>
      </c>
      <c r="H337" s="1076" t="str">
        <f>IFERROR(__xludf.DUMMYFUNCTION("""COMPUTED_VALUE"""),"89HP")</f>
        <v>89HP</v>
      </c>
      <c r="I337" s="1076" t="str">
        <f>IFERROR(__xludf.DUMMYFUNCTION("""COMPUTED_VALUE"""),"54110015Y")</f>
        <v>54110015Y</v>
      </c>
      <c r="J337" s="1076" t="str">
        <f>IFERROR(__xludf.DUMMYFUNCTION("""COMPUTED_VALUE"""),"PE4045D043101")</f>
        <v>PE4045D043101</v>
      </c>
      <c r="K337" s="1076"/>
      <c r="L337" s="1076" t="str">
        <f>IFERROR(__xludf.DUMMYFUNCTION("""COMPUTED_VALUE"""),"KLH")</f>
        <v>KLH</v>
      </c>
    </row>
    <row r="338" customHeight="1" spans="1:12">
      <c r="A338" s="1089" t="str">
        <f>IFERROR(__xludf.DUMMYFUNCTION("""COMPUTED_VALUE"""),"XB1-MKE-039")</f>
        <v>XB1-MKE-039</v>
      </c>
      <c r="B338" s="1075" t="str">
        <f>IFERROR(__xludf.DUMMYFUNCTION("""COMPUTED_VALUE"""),"Máy cày JD 6200")</f>
        <v>Máy cày JD 6200</v>
      </c>
      <c r="C338" s="1076" t="str">
        <f>IFERROR(__xludf.DUMMYFUNCTION("""COMPUTED_VALUE"""),"XN Bò AD")</f>
        <v>XN Bò AD</v>
      </c>
      <c r="D338" s="1076" t="str">
        <f>IFERROR(__xludf.DUMMYFUNCTION("""COMPUTED_VALUE"""),"JOHN DEERE")</f>
        <v>JOHN DEERE</v>
      </c>
      <c r="E338" s="1076" t="str">
        <f>IFERROR(__xludf.DUMMYFUNCTION("""COMPUTED_VALUE"""),"ĐỨC")</f>
        <v>ĐỨC</v>
      </c>
      <c r="F338" s="1076">
        <f>IFERROR(__xludf.DUMMYFUNCTION("""COMPUTED_VALUE"""),1998)</f>
        <v>1998</v>
      </c>
      <c r="G338" s="1076" t="str">
        <f>IFERROR(__xludf.DUMMYFUNCTION("""COMPUTED_VALUE"""),"6200")</f>
        <v>6200</v>
      </c>
      <c r="H338" s="1076" t="str">
        <f>IFERROR(__xludf.DUMMYFUNCTION("""COMPUTED_VALUE"""),"90HP")</f>
        <v>90HP</v>
      </c>
      <c r="I338" s="1076" t="str">
        <f>IFERROR(__xludf.DUMMYFUNCTION("""COMPUTED_VALUE"""),"L06200X115877")</f>
        <v>L06200X115877</v>
      </c>
      <c r="J338" s="1076" t="str">
        <f>IFERROR(__xludf.DUMMYFUNCTION("""COMPUTED_VALUE"""),"CD4039T142137")</f>
        <v>CD4039T142137</v>
      </c>
      <c r="K338" s="1076">
        <f>IFERROR(__xludf.DUMMYFUNCTION("""COMPUTED_VALUE"""),6.5)</f>
        <v>6.5</v>
      </c>
      <c r="L338" s="1076" t="str">
        <f>IFERROR(__xludf.DUMMYFUNCTION("""COMPUTED_VALUE"""),"KLH")</f>
        <v>KLH</v>
      </c>
    </row>
    <row r="339" customHeight="1" spans="1:12">
      <c r="A339" s="1089" t="str">
        <f>IFERROR(__xludf.DUMMYFUNCTION("""COMPUTED_VALUE"""),"XB1-MKE-040")</f>
        <v>XB1-MKE-040</v>
      </c>
      <c r="B339" s="1075" t="str">
        <f>IFERROR(__xludf.DUMMYFUNCTION("""COMPUTED_VALUE"""),"Máy cày JD 5425")</f>
        <v>Máy cày JD 5425</v>
      </c>
      <c r="C339" s="1076" t="str">
        <f>IFERROR(__xludf.DUMMYFUNCTION("""COMPUTED_VALUE"""),"XN Bò AD")</f>
        <v>XN Bò AD</v>
      </c>
      <c r="D339" s="1076" t="str">
        <f>IFERROR(__xludf.DUMMYFUNCTION("""COMPUTED_VALUE"""),"JOHN DEERE")</f>
        <v>JOHN DEERE</v>
      </c>
      <c r="E339" s="1076" t="str">
        <f>IFERROR(__xludf.DUMMYFUNCTION("""COMPUTED_VALUE"""),"MỸ")</f>
        <v>MỸ</v>
      </c>
      <c r="F339" s="1076">
        <f>IFERROR(__xludf.DUMMYFUNCTION("""COMPUTED_VALUE"""),2006)</f>
        <v>2006</v>
      </c>
      <c r="G339" s="1076" t="str">
        <f>IFERROR(__xludf.DUMMYFUNCTION("""COMPUTED_VALUE"""),"5425")</f>
        <v>5425</v>
      </c>
      <c r="H339" s="1076" t="str">
        <f>IFERROR(__xludf.DUMMYFUNCTION("""COMPUTED_VALUE"""),"81HP")</f>
        <v>81HP</v>
      </c>
      <c r="I339" s="1076" t="str">
        <f>IFERROR(__xludf.DUMMYFUNCTION("""COMPUTED_VALUE"""),"542510101Y")</f>
        <v>542510101Y</v>
      </c>
      <c r="J339" s="1076" t="str">
        <f>IFERROR(__xludf.DUMMYFUNCTION("""COMPUTED_VALUE"""),"PE4045T722734")</f>
        <v>PE4045T722734</v>
      </c>
      <c r="K339" s="1076"/>
      <c r="L339" s="1076" t="str">
        <f>IFERROR(__xludf.DUMMYFUNCTION("""COMPUTED_VALUE"""),"KLH")</f>
        <v>KLH</v>
      </c>
    </row>
    <row r="340" customHeight="1" spans="1:12">
      <c r="A340" s="1089" t="str">
        <f>IFERROR(__xludf.DUMMYFUNCTION("""COMPUTED_VALUE"""),"XB1-MKE-041")</f>
        <v>XB1-MKE-041</v>
      </c>
      <c r="B340" s="1075" t="str">
        <f>IFERROR(__xludf.DUMMYFUNCTION("""COMPUTED_VALUE"""),"Máy cày LOVOL P4100")</f>
        <v>Máy cày LOVOL P4100</v>
      </c>
      <c r="C340" s="1076" t="str">
        <f>IFERROR(__xludf.DUMMYFUNCTION("""COMPUTED_VALUE"""),"XN Bò AD")</f>
        <v>XN Bò AD</v>
      </c>
      <c r="D340" s="1076" t="str">
        <f>IFERROR(__xludf.DUMMYFUNCTION("""COMPUTED_VALUE"""),"LOVOL")</f>
        <v>LOVOL</v>
      </c>
      <c r="E340" s="1076" t="str">
        <f>IFERROR(__xludf.DUMMYFUNCTION("""COMPUTED_VALUE"""),"TRUNG QUỐC ")</f>
        <v>TRUNG QUỐC </v>
      </c>
      <c r="F340" s="1076">
        <f>IFERROR(__xludf.DUMMYFUNCTION("""COMPUTED_VALUE"""),2024)</f>
        <v>2024</v>
      </c>
      <c r="G340" s="1076" t="str">
        <f>IFERROR(__xludf.DUMMYFUNCTION("""COMPUTED_VALUE"""),"P4100")</f>
        <v>P4100</v>
      </c>
      <c r="H340" s="1076" t="str">
        <f>IFERROR(__xludf.DUMMYFUNCTION("""COMPUTED_VALUE"""),"98HP")</f>
        <v>98HP</v>
      </c>
      <c r="I340" s="1076" t="str">
        <f>IFERROR(__xludf.DUMMYFUNCTION("""COMPUTED_VALUE"""),"E424H012739")</f>
        <v>E424H012739</v>
      </c>
      <c r="J340" s="1076" t="str">
        <f>IFERROR(__xludf.DUMMYFUNCTION("""COMPUTED_VALUE"""),"P400120RV")</f>
        <v>P400120RV</v>
      </c>
      <c r="K340" s="1076">
        <f>IFERROR(__xludf.DUMMYFUNCTION("""COMPUTED_VALUE"""),6)</f>
        <v>6</v>
      </c>
      <c r="L340" s="1076" t="str">
        <f>IFERROR(__xludf.DUMMYFUNCTION("""COMPUTED_VALUE"""),"KLH")</f>
        <v>KLH</v>
      </c>
    </row>
    <row r="341" customHeight="1" spans="1:12">
      <c r="A341" s="1089" t="str">
        <f>IFERROR(__xludf.DUMMYFUNCTION("""COMPUTED_VALUE"""),"XB1-MKE-043")</f>
        <v>XB1-MKE-043</v>
      </c>
      <c r="B341" s="1075" t="str">
        <f>IFERROR(__xludf.DUMMYFUNCTION("""COMPUTED_VALUE"""),"Máy cày LOVOL 2204")</f>
        <v>Máy cày LOVOL 2204</v>
      </c>
      <c r="C341" s="1076" t="str">
        <f>IFERROR(__xludf.DUMMYFUNCTION("""COMPUTED_VALUE"""),"XN Bò AD")</f>
        <v>XN Bò AD</v>
      </c>
      <c r="D341" s="1076" t="str">
        <f>IFERROR(__xludf.DUMMYFUNCTION("""COMPUTED_VALUE"""),"LOVOL")</f>
        <v>LOVOL</v>
      </c>
      <c r="E341" s="1076" t="str">
        <f>IFERROR(__xludf.DUMMYFUNCTION("""COMPUTED_VALUE"""),"TRUNG QUỐC ")</f>
        <v>TRUNG QUỐC </v>
      </c>
      <c r="F341" s="1076">
        <f>IFERROR(__xludf.DUMMYFUNCTION("""COMPUTED_VALUE"""),2024)</f>
        <v>2024</v>
      </c>
      <c r="G341" s="1076" t="str">
        <f>IFERROR(__xludf.DUMMYFUNCTION("""COMPUTED_VALUE"""),"TR2204")</f>
        <v>TR2204</v>
      </c>
      <c r="H341" s="1076" t="str">
        <f>IFERROR(__xludf.DUMMYFUNCTION("""COMPUTED_VALUE"""),"217HP")</f>
        <v>217HP</v>
      </c>
      <c r="I341" s="1076" t="str">
        <f>IFERROR(__xludf.DUMMYFUNCTION("""COMPUTED_VALUE"""),"M600085RM")</f>
        <v>M600085RM</v>
      </c>
      <c r="J341" s="1076" t="str">
        <f>IFERROR(__xludf.DUMMYFUNCTION("""COMPUTED_VALUE"""),"7324C004472")</f>
        <v>7324C004472</v>
      </c>
      <c r="K341" s="1076">
        <f>IFERROR(__xludf.DUMMYFUNCTION("""COMPUTED_VALUE"""),17.5)</f>
        <v>17.5</v>
      </c>
      <c r="L341" s="1076" t="str">
        <f>IFERROR(__xludf.DUMMYFUNCTION("""COMPUTED_VALUE"""),"KLH")</f>
        <v>KLH</v>
      </c>
    </row>
    <row r="342" customHeight="1" spans="1:12">
      <c r="A342" s="1089" t="str">
        <f>IFERROR(__xludf.DUMMYFUNCTION("""COMPUTED_VALUE"""),"XB1-MKE-044")</f>
        <v>XB1-MKE-044</v>
      </c>
      <c r="B342" s="1075" t="str">
        <f>IFERROR(__xludf.DUMMYFUNCTION("""COMPUTED_VALUE"""),"Máy cày KAM50")</f>
        <v>Máy cày KAM50</v>
      </c>
      <c r="C342" s="1076" t="str">
        <f>IFERROR(__xludf.DUMMYFUNCTION("""COMPUTED_VALUE"""),"XN Bò AD")</f>
        <v>XN Bò AD</v>
      </c>
      <c r="D342" s="1076" t="str">
        <f>IFERROR(__xludf.DUMMYFUNCTION("""COMPUTED_VALUE"""),"THACO")</f>
        <v>THACO</v>
      </c>
      <c r="E342" s="1076" t="str">
        <f>IFERROR(__xludf.DUMMYFUNCTION("""COMPUTED_VALUE"""),"VIỆT NAM")</f>
        <v>VIỆT NAM</v>
      </c>
      <c r="F342" s="1076">
        <f>IFERROR(__xludf.DUMMYFUNCTION("""COMPUTED_VALUE"""),2018)</f>
        <v>2018</v>
      </c>
      <c r="G342" s="1076" t="str">
        <f>IFERROR(__xludf.DUMMYFUNCTION("""COMPUTED_VALUE"""),"KAM50")</f>
        <v>KAM50</v>
      </c>
      <c r="H342" s="1076" t="str">
        <f>IFERROR(__xludf.DUMMYFUNCTION("""COMPUTED_VALUE"""),"50HP")</f>
        <v>50HP</v>
      </c>
      <c r="I342" s="1076" t="str">
        <f>IFERROR(__xludf.DUMMYFUNCTION("""COMPUTED_VALUE"""),"C000015")</f>
        <v>C000015</v>
      </c>
      <c r="J342" s="1076" t="str">
        <f>IFERROR(__xludf.DUMMYFUNCTION("""COMPUTED_VALUE"""),"CCN")</f>
        <v>CCN</v>
      </c>
      <c r="K342" s="1076">
        <f>IFERROR(__xludf.DUMMYFUNCTION("""COMPUTED_VALUE"""),2.5)</f>
        <v>2.5</v>
      </c>
      <c r="L342" s="1076" t="str">
        <f>IFERROR(__xludf.DUMMYFUNCTION("""COMPUTED_VALUE"""),"KLH")</f>
        <v>KLH</v>
      </c>
    </row>
    <row r="343" customHeight="1" spans="1:12">
      <c r="A343" s="1089" t="str">
        <f>IFERROR(__xludf.DUMMYFUNCTION("""COMPUTED_VALUE"""),"XB1-MKE-045")</f>
        <v>XB1-MKE-045</v>
      </c>
      <c r="B343" s="1075" t="str">
        <f>IFERROR(__xludf.DUMMYFUNCTION("""COMPUTED_VALUE"""),"Máy cày JD 6603")</f>
        <v>Máy cày JD 6603</v>
      </c>
      <c r="C343" s="1076" t="str">
        <f>IFERROR(__xludf.DUMMYFUNCTION("""COMPUTED_VALUE"""),"XN Bò AD")</f>
        <v>XN Bò AD</v>
      </c>
      <c r="D343" s="1076" t="str">
        <f>IFERROR(__xludf.DUMMYFUNCTION("""COMPUTED_VALUE"""),"JOHN DEERE")</f>
        <v>JOHN DEERE</v>
      </c>
      <c r="E343" s="1076" t="str">
        <f>IFERROR(__xludf.DUMMYFUNCTION("""COMPUTED_VALUE"""),"MỸ")</f>
        <v>MỸ</v>
      </c>
      <c r="F343" s="1076">
        <f>IFERROR(__xludf.DUMMYFUNCTION("""COMPUTED_VALUE"""),2018)</f>
        <v>2018</v>
      </c>
      <c r="G343" s="1076" t="str">
        <f>IFERROR(__xludf.DUMMYFUNCTION("""COMPUTED_VALUE"""),"6603")</f>
        <v>6603</v>
      </c>
      <c r="H343" s="1076" t="str">
        <f>IFERROR(__xludf.DUMMYFUNCTION("""COMPUTED_VALUE"""),"120HP")</f>
        <v>120HP</v>
      </c>
      <c r="I343" s="1076" t="str">
        <f>IFERROR(__xludf.DUMMYFUNCTION("""COMPUTED_VALUE"""),"32550")</f>
        <v>32550</v>
      </c>
      <c r="J343" s="1076" t="str">
        <f>IFERROR(__xludf.DUMMYFUNCTION("""COMPUTED_VALUE"""),"CCN")</f>
        <v>CCN</v>
      </c>
      <c r="K343" s="1076">
        <f>IFERROR(__xludf.DUMMYFUNCTION("""COMPUTED_VALUE"""),9)</f>
        <v>9</v>
      </c>
      <c r="L343" s="1076" t="str">
        <f>IFERROR(__xludf.DUMMYFUNCTION("""COMPUTED_VALUE"""),"KLH")</f>
        <v>KLH</v>
      </c>
    </row>
    <row r="344" customHeight="1" spans="1:12">
      <c r="A344" s="1089" t="str">
        <f>IFERROR(__xludf.DUMMYFUNCTION("""COMPUTED_VALUE"""),"XB1-MKE-046")</f>
        <v>XB1-MKE-046</v>
      </c>
      <c r="B344" s="1075" t="str">
        <f>IFERROR(__xludf.DUMMYFUNCTION("""COMPUTED_VALUE"""),"Máy cày JD 6155J")</f>
        <v>Máy cày JD 6155J</v>
      </c>
      <c r="C344" s="1076" t="str">
        <f>IFERROR(__xludf.DUMMYFUNCTION("""COMPUTED_VALUE"""),"XN Bò AD")</f>
        <v>XN Bò AD</v>
      </c>
      <c r="D344" s="1076" t="str">
        <f>IFERROR(__xludf.DUMMYFUNCTION("""COMPUTED_VALUE"""),"JOHN DEERE")</f>
        <v>JOHN DEERE</v>
      </c>
      <c r="E344" s="1076" t="str">
        <f>IFERROR(__xludf.DUMMYFUNCTION("""COMPUTED_VALUE"""),"MỸ")</f>
        <v>MỸ</v>
      </c>
      <c r="F344" s="1076">
        <f>IFERROR(__xludf.DUMMYFUNCTION("""COMPUTED_VALUE"""),2024)</f>
        <v>2024</v>
      </c>
      <c r="G344" s="1076" t="str">
        <f>IFERROR(__xludf.DUMMYFUNCTION("""COMPUTED_VALUE"""),"6155J")</f>
        <v>6155J</v>
      </c>
      <c r="H344" s="1076" t="str">
        <f>IFERROR(__xludf.DUMMYFUNCTION("""COMPUTED_VALUE"""),"155HP")</f>
        <v>155HP</v>
      </c>
      <c r="I344" s="1076" t="str">
        <f>IFERROR(__xludf.DUMMYFUNCTION("""COMPUTED_VALUE"""),"1P06155JPR8010864")</f>
        <v>1P06155JPR8010864</v>
      </c>
      <c r="J344" s="1076" t="str">
        <f>IFERROR(__xludf.DUMMYFUNCTION("""COMPUTED_VALUE"""),"PE6068J008216")</f>
        <v>PE6068J008216</v>
      </c>
      <c r="K344" s="1076">
        <f>IFERROR(__xludf.DUMMYFUNCTION("""COMPUTED_VALUE"""),14)</f>
        <v>14</v>
      </c>
      <c r="L344" s="1076" t="str">
        <f>IFERROR(__xludf.DUMMYFUNCTION("""COMPUTED_VALUE"""),"KLH")</f>
        <v>KLH</v>
      </c>
    </row>
    <row r="345" customHeight="1" spans="1:12">
      <c r="A345" s="1089" t="str">
        <f>IFERROR(__xludf.DUMMYFUNCTION("""COMPUTED_VALUE"""),"XB1-MKE-047")</f>
        <v>XB1-MKE-047</v>
      </c>
      <c r="B345" s="1075" t="str">
        <f>IFERROR(__xludf.DUMMYFUNCTION("""COMPUTED_VALUE"""),"Máy cày JD 6120B")</f>
        <v>Máy cày JD 6120B</v>
      </c>
      <c r="C345" s="1076" t="str">
        <f>IFERROR(__xludf.DUMMYFUNCTION("""COMPUTED_VALUE"""),"XN Bò AD")</f>
        <v>XN Bò AD</v>
      </c>
      <c r="D345" s="1076" t="str">
        <f>IFERROR(__xludf.DUMMYFUNCTION("""COMPUTED_VALUE"""),"JOHN DEERE")</f>
        <v>JOHN DEERE</v>
      </c>
      <c r="E345" s="1076" t="str">
        <f>IFERROR(__xludf.DUMMYFUNCTION("""COMPUTED_VALUE"""),"TRUNG QUỐC ")</f>
        <v>TRUNG QUỐC </v>
      </c>
      <c r="F345" s="1076">
        <f>IFERROR(__xludf.DUMMYFUNCTION("""COMPUTED_VALUE"""),2025)</f>
        <v>2025</v>
      </c>
      <c r="G345" s="1076" t="str">
        <f>IFERROR(__xludf.DUMMYFUNCTION("""COMPUTED_VALUE"""),"6120B")</f>
        <v>6120B</v>
      </c>
      <c r="H345" s="1076" t="str">
        <f>IFERROR(__xludf.DUMMYFUNCTION("""COMPUTED_VALUE"""),"120HP")</f>
        <v>120HP</v>
      </c>
      <c r="I345" s="1076" t="str">
        <f>IFERROR(__xludf.DUMMYFUNCTION("""COMPUTED_VALUE"""),"1YR6120BLSV220083")</f>
        <v>1YR6120BLSV220083</v>
      </c>
      <c r="J345" s="1076" t="str">
        <f>IFERROR(__xludf.DUMMYFUNCTION("""COMPUTED_VALUE"""),"PE4045N051252")</f>
        <v>PE4045N051252</v>
      </c>
      <c r="K345" s="1076">
        <f>IFERROR(__xludf.DUMMYFUNCTION("""COMPUTED_VALUE"""),9.5)</f>
        <v>9.5</v>
      </c>
      <c r="L345" s="1076" t="str">
        <f>IFERROR(__xludf.DUMMYFUNCTION("""COMPUTED_VALUE"""),"KLH")</f>
        <v>KLH</v>
      </c>
    </row>
    <row r="346" customHeight="1" spans="1:12">
      <c r="A346" s="1089" t="str">
        <f>IFERROR(__xludf.DUMMYFUNCTION("""COMPUTED_VALUE"""),"XB1-MKE-048")</f>
        <v>XB1-MKE-048</v>
      </c>
      <c r="B346" s="1075" t="str">
        <f>IFERROR(__xludf.DUMMYFUNCTION("""COMPUTED_VALUE"""),"Máy cày JD 6120B")</f>
        <v>Máy cày JD 6120B</v>
      </c>
      <c r="C346" s="1076" t="str">
        <f>IFERROR(__xludf.DUMMYFUNCTION("""COMPUTED_VALUE"""),"XN Bò AD")</f>
        <v>XN Bò AD</v>
      </c>
      <c r="D346" s="1076" t="str">
        <f>IFERROR(__xludf.DUMMYFUNCTION("""COMPUTED_VALUE"""),"JOHN DEERE")</f>
        <v>JOHN DEERE</v>
      </c>
      <c r="E346" s="1076" t="str">
        <f>IFERROR(__xludf.DUMMYFUNCTION("""COMPUTED_VALUE"""),"TRUNG QUỐC ")</f>
        <v>TRUNG QUỐC </v>
      </c>
      <c r="F346" s="1076">
        <f>IFERROR(__xludf.DUMMYFUNCTION("""COMPUTED_VALUE"""),2025)</f>
        <v>2025</v>
      </c>
      <c r="G346" s="1076" t="str">
        <f>IFERROR(__xludf.DUMMYFUNCTION("""COMPUTED_VALUE"""),"6120B")</f>
        <v>6120B</v>
      </c>
      <c r="H346" s="1076" t="str">
        <f>IFERROR(__xludf.DUMMYFUNCTION("""COMPUTED_VALUE"""),"120HP")</f>
        <v>120HP</v>
      </c>
      <c r="I346" s="1076" t="str">
        <f>IFERROR(__xludf.DUMMYFUNCTION("""COMPUTED_VALUE"""),"1YR6120BHSV220084")</f>
        <v>1YR6120BHSV220084</v>
      </c>
      <c r="J346" s="1076" t="str">
        <f>IFERROR(__xludf.DUMMYFUNCTION("""COMPUTED_VALUE"""),"PE4045N051256")</f>
        <v>PE4045N051256</v>
      </c>
      <c r="K346" s="1076">
        <f>IFERROR(__xludf.DUMMYFUNCTION("""COMPUTED_VALUE"""),9.5)</f>
        <v>9.5</v>
      </c>
      <c r="L346" s="1076" t="str">
        <f>IFERROR(__xludf.DUMMYFUNCTION("""COMPUTED_VALUE"""),"KLH")</f>
        <v>KLH</v>
      </c>
    </row>
    <row r="347" customHeight="1" spans="1:12">
      <c r="A347" s="1089" t="str">
        <f>IFERROR(__xludf.DUMMYFUNCTION("""COMPUTED_VALUE"""),"XB1-MKE-049")</f>
        <v>XB1-MKE-049</v>
      </c>
      <c r="B347" s="1075" t="str">
        <f>IFERROR(__xludf.DUMMYFUNCTION("""COMPUTED_VALUE"""),"Máy cày JD 6200")</f>
        <v>Máy cày JD 6200</v>
      </c>
      <c r="C347" s="1076" t="str">
        <f>IFERROR(__xludf.DUMMYFUNCTION("""COMPUTED_VALUE"""),"XN Bò AD")</f>
        <v>XN Bò AD</v>
      </c>
      <c r="D347" s="1076" t="str">
        <f>IFERROR(__xludf.DUMMYFUNCTION("""COMPUTED_VALUE"""),"JOHN DEERE")</f>
        <v>JOHN DEERE</v>
      </c>
      <c r="E347" s="1076" t="str">
        <f>IFERROR(__xludf.DUMMYFUNCTION("""COMPUTED_VALUE"""),"TRUNG QUỐC ")</f>
        <v>TRUNG QUỐC </v>
      </c>
      <c r="F347" s="1076">
        <f>IFERROR(__xludf.DUMMYFUNCTION("""COMPUTED_VALUE"""),1998)</f>
        <v>1998</v>
      </c>
      <c r="G347" s="1076" t="str">
        <f>IFERROR(__xludf.DUMMYFUNCTION("""COMPUTED_VALUE"""),"6200")</f>
        <v>6200</v>
      </c>
      <c r="H347" s="1076" t="str">
        <f>IFERROR(__xludf.DUMMYFUNCTION("""COMPUTED_VALUE"""),"90HP")</f>
        <v>90HP</v>
      </c>
      <c r="I347" s="1076" t="str">
        <f>IFERROR(__xludf.DUMMYFUNCTION("""COMPUTED_VALUE"""),"L06200X154907")</f>
        <v>L06200X154907</v>
      </c>
      <c r="J347" s="1076" t="str">
        <f>IFERROR(__xludf.DUMMYFUNCTION("""COMPUTED_VALUE"""),"CD4039T232227")</f>
        <v>CD4039T232227</v>
      </c>
      <c r="K347" s="1076"/>
      <c r="L347" s="1076" t="str">
        <f>IFERROR(__xludf.DUMMYFUNCTION("""COMPUTED_VALUE"""),"KLH")</f>
        <v>KLH</v>
      </c>
    </row>
    <row r="348" customHeight="1" spans="1:12">
      <c r="A348" s="1089" t="str">
        <f>IFERROR(__xludf.DUMMYFUNCTION("""COMPUTED_VALUE"""),"XB1-MKE-050")</f>
        <v>XB1-MKE-050</v>
      </c>
      <c r="B348" s="1075" t="str">
        <f>IFERROR(__xludf.DUMMYFUNCTION("""COMPUTED_VALUE"""),"Máy cày JD 6210")</f>
        <v>Máy cày JD 6210</v>
      </c>
      <c r="C348" s="1076" t="str">
        <f>IFERROR(__xludf.DUMMYFUNCTION("""COMPUTED_VALUE"""),"XN Bò AD")</f>
        <v>XN Bò AD</v>
      </c>
      <c r="D348" s="1076" t="str">
        <f>IFERROR(__xludf.DUMMYFUNCTION("""COMPUTED_VALUE"""),"JOHN DEERE")</f>
        <v>JOHN DEERE</v>
      </c>
      <c r="E348" s="1076" t="str">
        <f>IFERROR(__xludf.DUMMYFUNCTION("""COMPUTED_VALUE"""),"TRUNG QUỐC ")</f>
        <v>TRUNG QUỐC </v>
      </c>
      <c r="F348" s="1076">
        <f>IFERROR(__xludf.DUMMYFUNCTION("""COMPUTED_VALUE"""),1999)</f>
        <v>1999</v>
      </c>
      <c r="G348" s="1076" t="str">
        <f>IFERROR(__xludf.DUMMYFUNCTION("""COMPUTED_VALUE"""),"6210")</f>
        <v>6210</v>
      </c>
      <c r="H348" s="1076" t="str">
        <f>IFERROR(__xludf.DUMMYFUNCTION("""COMPUTED_VALUE"""),"95HP")</f>
        <v>95HP</v>
      </c>
      <c r="I348" s="1076" t="str">
        <f>IFERROR(__xludf.DUMMYFUNCTION("""COMPUTED_VALUE"""),"322019L")</f>
        <v>322019L</v>
      </c>
      <c r="J348" s="1076" t="str">
        <f>IFERROR(__xludf.DUMMYFUNCTION("""COMPUTED_VALUE"""),"CD4045T534901")</f>
        <v>CD4045T534901</v>
      </c>
      <c r="K348" s="1076"/>
      <c r="L348" s="1076" t="str">
        <f>IFERROR(__xludf.DUMMYFUNCTION("""COMPUTED_VALUE"""),"KLH")</f>
        <v>KLH</v>
      </c>
    </row>
    <row r="349" customHeight="1" spans="1:12">
      <c r="A349" s="1089" t="str">
        <f>IFERROR(__xludf.DUMMYFUNCTION("""COMPUTED_VALUE"""),"XB1-MKE-051")</f>
        <v>XB1-MKE-051</v>
      </c>
      <c r="B349" s="1075" t="str">
        <f>IFERROR(__xludf.DUMMYFUNCTION("""COMPUTED_VALUE"""),"Máy cày JD 6620")</f>
        <v>Máy cày JD 6620</v>
      </c>
      <c r="C349" s="1076" t="str">
        <f>IFERROR(__xludf.DUMMYFUNCTION("""COMPUTED_VALUE"""),"XN Bò AD")</f>
        <v>XN Bò AD</v>
      </c>
      <c r="D349" s="1076" t="str">
        <f>IFERROR(__xludf.DUMMYFUNCTION("""COMPUTED_VALUE"""),"JOHN DEERE")</f>
        <v>JOHN DEERE</v>
      </c>
      <c r="E349" s="1076" t="str">
        <f>IFERROR(__xludf.DUMMYFUNCTION("""COMPUTED_VALUE"""),"TRUNG QUỐC ")</f>
        <v>TRUNG QUỐC </v>
      </c>
      <c r="F349" s="1076">
        <f>IFERROR(__xludf.DUMMYFUNCTION("""COMPUTED_VALUE"""),1999)</f>
        <v>1999</v>
      </c>
      <c r="G349" s="1076" t="str">
        <f>IFERROR(__xludf.DUMMYFUNCTION("""COMPUTED_VALUE"""),"6620")</f>
        <v>6620</v>
      </c>
      <c r="H349" s="1076" t="str">
        <f>IFERROR(__xludf.DUMMYFUNCTION("""COMPUTED_VALUE"""),"120HP")</f>
        <v>120HP</v>
      </c>
      <c r="I349" s="1076" t="str">
        <f>IFERROR(__xludf.DUMMYFUNCTION("""COMPUTED_VALUE"""),"L06620D501194")</f>
        <v>L06620D501194</v>
      </c>
      <c r="J349" s="1076" t="str">
        <f>IFERROR(__xludf.DUMMYFUNCTION("""COMPUTED_VALUE"""),"CD6068G073699")</f>
        <v>CD6068G073699</v>
      </c>
      <c r="K349" s="1076"/>
      <c r="L349" s="1076" t="str">
        <f>IFERROR(__xludf.DUMMYFUNCTION("""COMPUTED_VALUE"""),"KLH")</f>
        <v>KLH</v>
      </c>
    </row>
    <row r="350" customHeight="1" spans="1:12">
      <c r="A350" s="1089" t="str">
        <f>IFERROR(__xludf.DUMMYFUNCTION("""COMPUTED_VALUE"""),"XB1-MKE-052")</f>
        <v>XB1-MKE-052</v>
      </c>
      <c r="B350" s="1075" t="str">
        <f>IFERROR(__xludf.DUMMYFUNCTION("""COMPUTED_VALUE"""),"Máy cày LOVOL P4100")</f>
        <v>Máy cày LOVOL P4100</v>
      </c>
      <c r="C350" s="1076" t="str">
        <f>IFERROR(__xludf.DUMMYFUNCTION("""COMPUTED_VALUE"""),"XN Bò AD")</f>
        <v>XN Bò AD</v>
      </c>
      <c r="D350" s="1076" t="str">
        <f>IFERROR(__xludf.DUMMYFUNCTION("""COMPUTED_VALUE"""),"LOVOL")</f>
        <v>LOVOL</v>
      </c>
      <c r="E350" s="1076" t="str">
        <f>IFERROR(__xludf.DUMMYFUNCTION("""COMPUTED_VALUE"""),"TRUNG QUỐC ")</f>
        <v>TRUNG QUỐC </v>
      </c>
      <c r="F350" s="1076">
        <f>IFERROR(__xludf.DUMMYFUNCTION("""COMPUTED_VALUE"""),2026)</f>
        <v>2026</v>
      </c>
      <c r="G350" s="1076" t="str">
        <f>IFERROR(__xludf.DUMMYFUNCTION("""COMPUTED_VALUE"""),"P4100")</f>
        <v>P4100</v>
      </c>
      <c r="H350" s="1076" t="str">
        <f>IFERROR(__xludf.DUMMYFUNCTION("""COMPUTED_VALUE"""),"100 HP")</f>
        <v>100 HP</v>
      </c>
      <c r="I350" s="1076" t="str">
        <f>IFERROR(__xludf.DUMMYFUNCTION("""COMPUTED_VALUE"""),"P400050TM")</f>
        <v>P400050TM</v>
      </c>
      <c r="J350" s="1076" t="str">
        <f>IFERROR(__xludf.DUMMYFUNCTION("""COMPUTED_VALUE"""),"E426C008054")</f>
        <v>E426C008054</v>
      </c>
      <c r="K350" s="1076"/>
      <c r="L350" s="1076" t="str">
        <f>IFERROR(__xludf.DUMMYFUNCTION("""COMPUTED_VALUE"""),"KLH")</f>
        <v>KLH</v>
      </c>
    </row>
    <row r="351" customHeight="1" spans="1:12">
      <c r="A351" s="1089" t="str">
        <f>IFERROR(__xludf.DUMMYFUNCTION("""COMPUTED_VALUE"""),"XB1-MKE-053")</f>
        <v>XB1-MKE-053</v>
      </c>
      <c r="B351" s="1075" t="str">
        <f>IFERROR(__xludf.DUMMYFUNCTION("""COMPUTED_VALUE"""),"Máy cày LOVOL 1504")</f>
        <v>Máy cày LOVOL 1504</v>
      </c>
      <c r="C351" s="1076" t="str">
        <f>IFERROR(__xludf.DUMMYFUNCTION("""COMPUTED_VALUE"""),"XN Bò AD")</f>
        <v>XN Bò AD</v>
      </c>
      <c r="D351" s="1076" t="str">
        <f>IFERROR(__xludf.DUMMYFUNCTION("""COMPUTED_VALUE"""),"LOVOL")</f>
        <v>LOVOL</v>
      </c>
      <c r="E351" s="1076" t="str">
        <f>IFERROR(__xludf.DUMMYFUNCTION("""COMPUTED_VALUE"""),"Trung Quốc")</f>
        <v>Trung Quốc</v>
      </c>
      <c r="F351" s="1076">
        <f>IFERROR(__xludf.DUMMYFUNCTION("""COMPUTED_VALUE"""),2025)</f>
        <v>2025</v>
      </c>
      <c r="G351" s="1076" t="str">
        <f>IFERROR(__xludf.DUMMYFUNCTION("""COMPUTED_VALUE"""),"1504")</f>
        <v>1504</v>
      </c>
      <c r="H351" s="1076" t="str">
        <f>IFERROR(__xludf.DUMMYFUNCTION("""COMPUTED_VALUE"""),"150HP")</f>
        <v>150HP</v>
      </c>
      <c r="I351" s="1076" t="str">
        <f>IFERROR(__xludf.DUMMYFUNCTION("""COMPUTED_VALUE"""),"M600278SX")</f>
        <v>M600278SX</v>
      </c>
      <c r="J351" s="1076" t="str">
        <f>IFERROR(__xludf.DUMMYFUNCTION("""COMPUTED_VALUE"""),"WP6G180E3306P25J023349")</f>
        <v>WP6G180E3306P25J023349</v>
      </c>
      <c r="K351" s="1076">
        <f>IFERROR(__xludf.DUMMYFUNCTION("""COMPUTED_VALUE"""),13)</f>
        <v>13</v>
      </c>
      <c r="L351" s="1076" t="str">
        <f>IFERROR(__xludf.DUMMYFUNCTION("""COMPUTED_VALUE"""),"KLH")</f>
        <v>KLH</v>
      </c>
    </row>
    <row r="352" customHeight="1" spans="1:12">
      <c r="A352" s="1089" t="str">
        <f>IFERROR(__xludf.DUMMYFUNCTION("""COMPUTED_VALUE"""),"XB1-MKE-054")</f>
        <v>XB1-MKE-054</v>
      </c>
      <c r="B352" s="1075" t="str">
        <f>IFERROR(__xludf.DUMMYFUNCTION("""COMPUTED_VALUE"""),"Máy cày LOVOL P4100")</f>
        <v>Máy cày LOVOL P4100</v>
      </c>
      <c r="C352" s="1076" t="str">
        <f>IFERROR(__xludf.DUMMYFUNCTION("""COMPUTED_VALUE"""),"XN Bò AD")</f>
        <v>XN Bò AD</v>
      </c>
      <c r="D352" s="1076" t="str">
        <f>IFERROR(__xludf.DUMMYFUNCTION("""COMPUTED_VALUE"""),"LOVOL")</f>
        <v>LOVOL</v>
      </c>
      <c r="E352" s="1076" t="str">
        <f>IFERROR(__xludf.DUMMYFUNCTION("""COMPUTED_VALUE"""),"TRUNG QUỐC ")</f>
        <v>TRUNG QUỐC </v>
      </c>
      <c r="F352" s="1076">
        <f>IFERROR(__xludf.DUMMYFUNCTION("""COMPUTED_VALUE"""),2026)</f>
        <v>2026</v>
      </c>
      <c r="G352" s="1076" t="str">
        <f>IFERROR(__xludf.DUMMYFUNCTION("""COMPUTED_VALUE"""),"P4100")</f>
        <v>P4100</v>
      </c>
      <c r="H352" s="1076" t="str">
        <f>IFERROR(__xludf.DUMMYFUNCTION("""COMPUTED_VALUE"""),"100 HP")</f>
        <v>100 HP</v>
      </c>
      <c r="I352" s="1076" t="str">
        <f>IFERROR(__xludf.DUMMYFUNCTION("""COMPUTED_VALUE"""),"P400051TM")</f>
        <v>P400051TM</v>
      </c>
      <c r="J352" s="1076" t="str">
        <f>IFERROR(__xludf.DUMMYFUNCTION("""COMPUTED_VALUE"""),"E426C008049")</f>
        <v>E426C008049</v>
      </c>
      <c r="K352" s="1076"/>
      <c r="L352" s="1076" t="str">
        <f>IFERROR(__xludf.DUMMYFUNCTION("""COMPUTED_VALUE"""),"KLH")</f>
        <v>KLH</v>
      </c>
    </row>
    <row r="353" customHeight="1" spans="1:12">
      <c r="A353" s="1089" t="str">
        <f>IFERROR(__xludf.DUMMYFUNCTION("""COMPUTED_VALUE"""),"XB1-MKE-055")</f>
        <v>XB1-MKE-055</v>
      </c>
      <c r="B353" s="1075" t="str">
        <f>IFERROR(__xludf.DUMMYFUNCTION("""COMPUTED_VALUE"""),"Máy cày LOVOL 1504")</f>
        <v>Máy cày LOVOL 1504</v>
      </c>
      <c r="C353" s="1076" t="str">
        <f>IFERROR(__xludf.DUMMYFUNCTION("""COMPUTED_VALUE"""),"XN Bò AD")</f>
        <v>XN Bò AD</v>
      </c>
      <c r="D353" s="1076" t="str">
        <f>IFERROR(__xludf.DUMMYFUNCTION("""COMPUTED_VALUE"""),"LOVOL")</f>
        <v>LOVOL</v>
      </c>
      <c r="E353" s="1076" t="str">
        <f>IFERROR(__xludf.DUMMYFUNCTION("""COMPUTED_VALUE"""),"Trung Quốc")</f>
        <v>Trung Quốc</v>
      </c>
      <c r="F353" s="1076">
        <f>IFERROR(__xludf.DUMMYFUNCTION("""COMPUTED_VALUE"""),2025)</f>
        <v>2025</v>
      </c>
      <c r="G353" s="1076" t="str">
        <f>IFERROR(__xludf.DUMMYFUNCTION("""COMPUTED_VALUE"""),"1504")</f>
        <v>1504</v>
      </c>
      <c r="H353" s="1076" t="str">
        <f>IFERROR(__xludf.DUMMYFUNCTION("""COMPUTED_VALUE"""),"150HP")</f>
        <v>150HP</v>
      </c>
      <c r="I353" s="1076" t="str">
        <f>IFERROR(__xludf.DUMMYFUNCTION("""COMPUTED_VALUE"""),"M600280SX")</f>
        <v>M600280SX</v>
      </c>
      <c r="J353" s="1076" t="str">
        <f>IFERROR(__xludf.DUMMYFUNCTION("""COMPUTED_VALUE"""),"WP6G180E3306P25J023350")</f>
        <v>WP6G180E3306P25J023350</v>
      </c>
      <c r="K353" s="1076">
        <f>IFERROR(__xludf.DUMMYFUNCTION("""COMPUTED_VALUE"""),13)</f>
        <v>13</v>
      </c>
      <c r="L353" s="1076" t="str">
        <f>IFERROR(__xludf.DUMMYFUNCTION("""COMPUTED_VALUE"""),"KLH")</f>
        <v>KLH</v>
      </c>
    </row>
    <row r="354" customHeight="1" spans="1:12">
      <c r="A354" s="1089" t="str">
        <f>IFERROR(__xludf.DUMMYFUNCTION("""COMPUTED_VALUE"""),"XB1-MKE-056")</f>
        <v>XB1-MKE-056</v>
      </c>
      <c r="B354" s="1075" t="str">
        <f>IFERROR(__xludf.DUMMYFUNCTION("""COMPUTED_VALUE"""),"Máy cày JD 6600")</f>
        <v>Máy cày JD 6600</v>
      </c>
      <c r="C354" s="1076" t="str">
        <f>IFERROR(__xludf.DUMMYFUNCTION("""COMPUTED_VALUE"""),"XN Bò AD")</f>
        <v>XN Bò AD</v>
      </c>
      <c r="D354" s="1076" t="str">
        <f>IFERROR(__xludf.DUMMYFUNCTION("""COMPUTED_VALUE"""),"JOHN DEERE")</f>
        <v>JOHN DEERE</v>
      </c>
      <c r="E354" s="1076" t="str">
        <f>IFERROR(__xludf.DUMMYFUNCTION("""COMPUTED_VALUE"""),"Đức")</f>
        <v>Đức</v>
      </c>
      <c r="F354" s="1076">
        <f>IFERROR(__xludf.DUMMYFUNCTION("""COMPUTED_VALUE"""),1995)</f>
        <v>1995</v>
      </c>
      <c r="G354" s="1076" t="str">
        <f>IFERROR(__xludf.DUMMYFUNCTION("""COMPUTED_VALUE"""),"6600")</f>
        <v>6600</v>
      </c>
      <c r="H354" s="1076" t="str">
        <f>IFERROR(__xludf.DUMMYFUNCTION("""COMPUTED_VALUE"""),"110HP")</f>
        <v>110HP</v>
      </c>
      <c r="I354" s="1076" t="str">
        <f>IFERROR(__xludf.DUMMYFUNCTION("""COMPUTED_VALUE"""),"L06600V172903")</f>
        <v>L06600V172903</v>
      </c>
      <c r="J354" s="1076" t="str">
        <f>IFERROR(__xludf.DUMMYFUNCTION("""COMPUTED_VALUE"""),"CD6059T276336")</f>
        <v>CD6059T276336</v>
      </c>
      <c r="K354" s="1076"/>
      <c r="L354" s="1076" t="str">
        <f>IFERROR(__xludf.DUMMYFUNCTION("""COMPUTED_VALUE"""),"KLH")</f>
        <v>KLH</v>
      </c>
    </row>
    <row r="355" customHeight="1" spans="1:12">
      <c r="A355" s="1089" t="str">
        <f>IFERROR(__xludf.DUMMYFUNCTION("""COMPUTED_VALUE"""),"XB1-MKE-057")</f>
        <v>XB1-MKE-057</v>
      </c>
      <c r="B355" s="1075" t="str">
        <f>IFERROR(__xludf.DUMMYFUNCTION("""COMPUTED_VALUE"""),"Máy cày JD 6210")</f>
        <v>Máy cày JD 6210</v>
      </c>
      <c r="C355" s="1076" t="str">
        <f>IFERROR(__xludf.DUMMYFUNCTION("""COMPUTED_VALUE"""),"XN Bò AD")</f>
        <v>XN Bò AD</v>
      </c>
      <c r="D355" s="1076" t="str">
        <f>IFERROR(__xludf.DUMMYFUNCTION("""COMPUTED_VALUE"""),"JOHNDEERE")</f>
        <v>JOHNDEERE</v>
      </c>
      <c r="E355" s="1076" t="str">
        <f>IFERROR(__xludf.DUMMYFUNCTION("""COMPUTED_VALUE"""),"TRUNG QUỐC")</f>
        <v>TRUNG QUỐC</v>
      </c>
      <c r="F355" s="1076">
        <f>IFERROR(__xludf.DUMMYFUNCTION("""COMPUTED_VALUE"""),1999)</f>
        <v>1999</v>
      </c>
      <c r="G355" s="1076" t="str">
        <f>IFERROR(__xludf.DUMMYFUNCTION("""COMPUTED_VALUE"""),"6210")</f>
        <v>6210</v>
      </c>
      <c r="H355" s="1076" t="str">
        <f>IFERROR(__xludf.DUMMYFUNCTION("""COMPUTED_VALUE"""),"95HP")</f>
        <v>95HP</v>
      </c>
      <c r="I355" s="1076" t="str">
        <f>IFERROR(__xludf.DUMMYFUNCTION("""COMPUTED_VALUE"""),"309429L")</f>
        <v>309429L</v>
      </c>
      <c r="J355" s="1076" t="str">
        <f>IFERROR(__xludf.DUMMYFUNCTION("""COMPUTED_VALUE"""),"CD4045T640751")</f>
        <v>CD4045T640751</v>
      </c>
      <c r="K355" s="1076"/>
      <c r="L355" s="1076" t="str">
        <f>IFERROR(__xludf.DUMMYFUNCTION("""COMPUTED_VALUE"""),"KLH")</f>
        <v>KLH</v>
      </c>
    </row>
    <row r="356" customHeight="1" spans="1:12">
      <c r="A356" s="1089" t="str">
        <f>IFERROR(__xludf.DUMMYFUNCTION("""COMPUTED_VALUE"""),"XB1-MKE-058")</f>
        <v>XB1-MKE-058</v>
      </c>
      <c r="B356" s="1075" t="str">
        <f>IFERROR(__xludf.DUMMYFUNCTION("""COMPUTED_VALUE"""),"Máy cày LOVOL P4110")</f>
        <v>Máy cày LOVOL P4110</v>
      </c>
      <c r="C356" s="1076" t="str">
        <f>IFERROR(__xludf.DUMMYFUNCTION("""COMPUTED_VALUE"""),"XN Bò AD")</f>
        <v>XN Bò AD</v>
      </c>
      <c r="D356" s="1076" t="str">
        <f>IFERROR(__xludf.DUMMYFUNCTION("""COMPUTED_VALUE"""),"LOVOL")</f>
        <v>LOVOL</v>
      </c>
      <c r="E356" s="1076" t="str">
        <f>IFERROR(__xludf.DUMMYFUNCTION("""COMPUTED_VALUE"""),"TRUNG QUỐC")</f>
        <v>TRUNG QUỐC</v>
      </c>
      <c r="F356" s="1076">
        <f>IFERROR(__xludf.DUMMYFUNCTION("""COMPUTED_VALUE"""),2026)</f>
        <v>2026</v>
      </c>
      <c r="G356" s="1076" t="str">
        <f>IFERROR(__xludf.DUMMYFUNCTION("""COMPUTED_VALUE"""),"P4110")</f>
        <v>P4110</v>
      </c>
      <c r="H356" s="1076" t="str">
        <f>IFERROR(__xludf.DUMMYFUNCTION("""COMPUTED_VALUE"""),"110 HP")</f>
        <v>110 HP</v>
      </c>
      <c r="I356" s="1076" t="str">
        <f>IFERROR(__xludf.DUMMYFUNCTION("""COMPUTED_VALUE"""),"P400067TM")</f>
        <v>P400067TM</v>
      </c>
      <c r="J356" s="1076" t="str">
        <f>IFERROR(__xludf.DUMMYFUNCTION("""COMPUTED_VALUE"""),"E426C008079")</f>
        <v>E426C008079</v>
      </c>
      <c r="K356" s="1076"/>
      <c r="L356" s="1076" t="str">
        <f>IFERROR(__xludf.DUMMYFUNCTION("""COMPUTED_VALUE"""),"KLH")</f>
        <v>KLH</v>
      </c>
    </row>
    <row r="357" customHeight="1" spans="1:12">
      <c r="A357" s="1089" t="str">
        <f>IFERROR(__xludf.DUMMYFUNCTION("""COMPUTED_VALUE"""),"XB1-MKE-059")</f>
        <v>XB1-MKE-059</v>
      </c>
      <c r="B357" s="1075" t="str">
        <f>IFERROR(__xludf.DUMMYFUNCTION("""COMPUTED_VALUE"""),"Máy cày KAM50")</f>
        <v>Máy cày KAM50</v>
      </c>
      <c r="C357" s="1076" t="str">
        <f>IFERROR(__xludf.DUMMYFUNCTION("""COMPUTED_VALUE"""),"XN Bò AD")</f>
        <v>XN Bò AD</v>
      </c>
      <c r="D357" s="1076" t="str">
        <f>IFERROR(__xludf.DUMMYFUNCTION("""COMPUTED_VALUE"""),"THACO")</f>
        <v>THACO</v>
      </c>
      <c r="E357" s="1076" t="str">
        <f>IFERROR(__xludf.DUMMYFUNCTION("""COMPUTED_VALUE"""),"VIỆT NAM")</f>
        <v>VIỆT NAM</v>
      </c>
      <c r="F357" s="1076">
        <f>IFERROR(__xludf.DUMMYFUNCTION("""COMPUTED_VALUE"""),2018)</f>
        <v>2018</v>
      </c>
      <c r="G357" s="1076" t="str">
        <f>IFERROR(__xludf.DUMMYFUNCTION("""COMPUTED_VALUE"""),"KAM50")</f>
        <v>KAM50</v>
      </c>
      <c r="H357" s="1076" t="str">
        <f>IFERROR(__xludf.DUMMYFUNCTION("""COMPUTED_VALUE"""),"50HP")</f>
        <v>50HP</v>
      </c>
      <c r="I357" s="1076" t="str">
        <f>IFERROR(__xludf.DUMMYFUNCTION("""COMPUTED_VALUE"""),"C000053")</f>
        <v>C000053</v>
      </c>
      <c r="J357" s="1076" t="str">
        <f>IFERROR(__xludf.DUMMYFUNCTION("""COMPUTED_VALUE"""),"CCN")</f>
        <v>CCN</v>
      </c>
      <c r="K357" s="1076">
        <f>IFERROR(__xludf.DUMMYFUNCTION("""COMPUTED_VALUE"""),2.5)</f>
        <v>2.5</v>
      </c>
      <c r="L357" s="1076" t="str">
        <f>IFERROR(__xludf.DUMMYFUNCTION("""COMPUTED_VALUE"""),"KLH")</f>
        <v>KLH</v>
      </c>
    </row>
    <row r="358" customHeight="1" spans="1:12">
      <c r="A358" s="1089" t="str">
        <f>IFERROR(__xludf.DUMMYFUNCTION("""COMPUTED_VALUE"""),"XB1-MKE-061")</f>
        <v>XB1-MKE-061</v>
      </c>
      <c r="B358" s="1075" t="str">
        <f>IFERROR(__xludf.DUMMYFUNCTION("""COMPUTED_VALUE"""),"Máy cày M6040")</f>
        <v>Máy cày M6040</v>
      </c>
      <c r="C358" s="1076" t="str">
        <f>IFERROR(__xludf.DUMMYFUNCTION("""COMPUTED_VALUE"""),"XN Bò AD")</f>
        <v>XN Bò AD</v>
      </c>
      <c r="D358" s="1076" t="str">
        <f>IFERROR(__xludf.DUMMYFUNCTION("""COMPUTED_VALUE"""),"KUBOTA")</f>
        <v>KUBOTA</v>
      </c>
      <c r="E358" s="1076" t="str">
        <f>IFERROR(__xludf.DUMMYFUNCTION("""COMPUTED_VALUE"""),"NHẬT BẢN")</f>
        <v>NHẬT BẢN</v>
      </c>
      <c r="F358" s="1076">
        <f>IFERROR(__xludf.DUMMYFUNCTION("""COMPUTED_VALUE"""),2013)</f>
        <v>2013</v>
      </c>
      <c r="G358" s="1076" t="str">
        <f>IFERROR(__xludf.DUMMYFUNCTION("""COMPUTED_VALUE"""),"M6040")</f>
        <v>M6040</v>
      </c>
      <c r="H358" s="1076" t="str">
        <f>IFERROR(__xludf.DUMMYFUNCTION("""COMPUTED_VALUE"""),"60HP")</f>
        <v>60HP</v>
      </c>
      <c r="I358" s="1076" t="str">
        <f>IFERROR(__xludf.DUMMYFUNCTION("""COMPUTED_VALUE"""),"57652")</f>
        <v>57652</v>
      </c>
      <c r="J358" s="1076" t="str">
        <f>IFERROR(__xludf.DUMMYFUNCTION("""COMPUTED_VALUE"""),"CCN")</f>
        <v>CCN</v>
      </c>
      <c r="K358" s="1076"/>
      <c r="L358" s="1076" t="str">
        <f>IFERROR(__xludf.DUMMYFUNCTION("""COMPUTED_VALUE"""),"KLH")</f>
        <v>KLH</v>
      </c>
    </row>
    <row r="359" customHeight="1" spans="1:12">
      <c r="A359" s="1089" t="str">
        <f>IFERROR(__xludf.DUMMYFUNCTION("""COMPUTED_VALUE"""),"XB1-MKE-062")</f>
        <v>XB1-MKE-062</v>
      </c>
      <c r="B359" s="1075" t="str">
        <f>IFERROR(__xludf.DUMMYFUNCTION("""COMPUTED_VALUE"""),"Máy cày JD 6155J")</f>
        <v>Máy cày JD 6155J</v>
      </c>
      <c r="C359" s="1076" t="str">
        <f>IFERROR(__xludf.DUMMYFUNCTION("""COMPUTED_VALUE"""),"XN Bò AD")</f>
        <v>XN Bò AD</v>
      </c>
      <c r="D359" s="1076" t="str">
        <f>IFERROR(__xludf.DUMMYFUNCTION("""COMPUTED_VALUE"""),"JOHN DEERE")</f>
        <v>JOHN DEERE</v>
      </c>
      <c r="E359" s="1076" t="str">
        <f>IFERROR(__xludf.DUMMYFUNCTION("""COMPUTED_VALUE"""),"MỸ")</f>
        <v>MỸ</v>
      </c>
      <c r="F359" s="1076">
        <f>IFERROR(__xludf.DUMMYFUNCTION("""COMPUTED_VALUE"""),2022)</f>
        <v>2022</v>
      </c>
      <c r="G359" s="1076" t="str">
        <f>IFERROR(__xludf.DUMMYFUNCTION("""COMPUTED_VALUE"""),"6155J")</f>
        <v>6155J</v>
      </c>
      <c r="H359" s="1076" t="str">
        <f>IFERROR(__xludf.DUMMYFUNCTION("""COMPUTED_VALUE"""),"155HP")</f>
        <v>155HP</v>
      </c>
      <c r="I359" s="1076" t="str">
        <f>IFERROR(__xludf.DUMMYFUNCTION("""COMPUTED_VALUE"""),"1P06155JCP8010851")</f>
        <v>1P06155JCP8010851</v>
      </c>
      <c r="J359" s="1076" t="str">
        <f>IFERROR(__xludf.DUMMYFUNCTION("""COMPUTED_VALUE"""),"PE6068J008136")</f>
        <v>PE6068J008136</v>
      </c>
      <c r="K359" s="1076">
        <f>IFERROR(__xludf.DUMMYFUNCTION("""COMPUTED_VALUE"""),14)</f>
        <v>14</v>
      </c>
      <c r="L359" s="1076" t="str">
        <f>IFERROR(__xludf.DUMMYFUNCTION("""COMPUTED_VALUE"""),"KLH")</f>
        <v>KLH</v>
      </c>
    </row>
    <row r="360" customHeight="1" spans="1:12">
      <c r="A360" s="1089" t="str">
        <f>IFERROR(__xludf.DUMMYFUNCTION("""COMPUTED_VALUE"""),"XB1-MKE-063")</f>
        <v>XB1-MKE-063</v>
      </c>
      <c r="B360" s="1075" t="str">
        <f>IFERROR(__xludf.DUMMYFUNCTION("""COMPUTED_VALUE"""),"Máy cày LOVOL P4100")</f>
        <v>Máy cày LOVOL P4100</v>
      </c>
      <c r="C360" s="1076" t="str">
        <f>IFERROR(__xludf.DUMMYFUNCTION("""COMPUTED_VALUE"""),"XN Bò AD")</f>
        <v>XN Bò AD</v>
      </c>
      <c r="D360" s="1076" t="str">
        <f>IFERROR(__xludf.DUMMYFUNCTION("""COMPUTED_VALUE"""),"LOVOL")</f>
        <v>LOVOL</v>
      </c>
      <c r="E360" s="1076" t="str">
        <f>IFERROR(__xludf.DUMMYFUNCTION("""COMPUTED_VALUE"""),"TRUNG QUỐC ")</f>
        <v>TRUNG QUỐC </v>
      </c>
      <c r="F360" s="1076">
        <f>IFERROR(__xludf.DUMMYFUNCTION("""COMPUTED_VALUE"""),2026)</f>
        <v>2026</v>
      </c>
      <c r="G360" s="1076" t="str">
        <f>IFERROR(__xludf.DUMMYFUNCTION("""COMPUTED_VALUE"""),"P4100")</f>
        <v>P4100</v>
      </c>
      <c r="H360" s="1076" t="str">
        <f>IFERROR(__xludf.DUMMYFUNCTION("""COMPUTED_VALUE"""),"100 HP")</f>
        <v>100 HP</v>
      </c>
      <c r="I360" s="1076" t="str">
        <f>IFERROR(__xludf.DUMMYFUNCTION("""COMPUTED_VALUE"""),"P400052TM")</f>
        <v>P400052TM</v>
      </c>
      <c r="J360" s="1076" t="str">
        <f>IFERROR(__xludf.DUMMYFUNCTION("""COMPUTED_VALUE"""),"E426C008042")</f>
        <v>E426C008042</v>
      </c>
      <c r="K360" s="1076"/>
      <c r="L360" s="1076" t="str">
        <f>IFERROR(__xludf.DUMMYFUNCTION("""COMPUTED_VALUE"""),"KLH")</f>
        <v>KLH</v>
      </c>
    </row>
    <row r="361" customHeight="1" spans="1:12">
      <c r="A361" s="1089" t="str">
        <f>IFERROR(__xludf.DUMMYFUNCTION("""COMPUTED_VALUE"""),"XB1-MKE-064")</f>
        <v>XB1-MKE-064</v>
      </c>
      <c r="B361" s="1075" t="str">
        <f>IFERROR(__xludf.DUMMYFUNCTION("""COMPUTED_VALUE"""),"Máy cày LOVOL P4100")</f>
        <v>Máy cày LOVOL P4100</v>
      </c>
      <c r="C361" s="1076" t="str">
        <f>IFERROR(__xludf.DUMMYFUNCTION("""COMPUTED_VALUE"""),"XN Bò AD")</f>
        <v>XN Bò AD</v>
      </c>
      <c r="D361" s="1076" t="str">
        <f>IFERROR(__xludf.DUMMYFUNCTION("""COMPUTED_VALUE"""),"LOVOL")</f>
        <v>LOVOL</v>
      </c>
      <c r="E361" s="1076" t="str">
        <f>IFERROR(__xludf.DUMMYFUNCTION("""COMPUTED_VALUE"""),"TRUNG QUỐC ")</f>
        <v>TRUNG QUỐC </v>
      </c>
      <c r="F361" s="1076">
        <f>IFERROR(__xludf.DUMMYFUNCTION("""COMPUTED_VALUE"""),2026)</f>
        <v>2026</v>
      </c>
      <c r="G361" s="1076" t="str">
        <f>IFERROR(__xludf.DUMMYFUNCTION("""COMPUTED_VALUE"""),"P4100")</f>
        <v>P4100</v>
      </c>
      <c r="H361" s="1076" t="str">
        <f>IFERROR(__xludf.DUMMYFUNCTION("""COMPUTED_VALUE"""),"100 HP")</f>
        <v>100 HP</v>
      </c>
      <c r="I361" s="1076" t="str">
        <f>IFERROR(__xludf.DUMMYFUNCTION("""COMPUTED_VALUE"""),"P400053TM")</f>
        <v>P400053TM</v>
      </c>
      <c r="J361" s="1076" t="str">
        <f>IFERROR(__xludf.DUMMYFUNCTION("""COMPUTED_VALUE"""),"E426C008052")</f>
        <v>E426C008052</v>
      </c>
      <c r="K361" s="1076"/>
      <c r="L361" s="1076" t="str">
        <f>IFERROR(__xludf.DUMMYFUNCTION("""COMPUTED_VALUE"""),"KLH")</f>
        <v>KLH</v>
      </c>
    </row>
    <row r="362" customHeight="1" spans="1:12">
      <c r="A362" s="1089" t="str">
        <f>IFERROR(__xludf.DUMMYFUNCTION("""COMPUTED_VALUE"""),"XB1-MKE-065")</f>
        <v>XB1-MKE-065</v>
      </c>
      <c r="B362" s="1075" t="str">
        <f>IFERROR(__xludf.DUMMYFUNCTION("""COMPUTED_VALUE"""),"Máy cày LOVOL P4110")</f>
        <v>Máy cày LOVOL P4110</v>
      </c>
      <c r="C362" s="1076" t="str">
        <f>IFERROR(__xludf.DUMMYFUNCTION("""COMPUTED_VALUE"""),"XN Bò AD")</f>
        <v>XN Bò AD</v>
      </c>
      <c r="D362" s="1076" t="str">
        <f>IFERROR(__xludf.DUMMYFUNCTION("""COMPUTED_VALUE"""),"LOVOL")</f>
        <v>LOVOL</v>
      </c>
      <c r="E362" s="1076" t="str">
        <f>IFERROR(__xludf.DUMMYFUNCTION("""COMPUTED_VALUE"""),"TRUNG QUỐC ")</f>
        <v>TRUNG QUỐC </v>
      </c>
      <c r="F362" s="1076">
        <f>IFERROR(__xludf.DUMMYFUNCTION("""COMPUTED_VALUE"""),2026)</f>
        <v>2026</v>
      </c>
      <c r="G362" s="1076" t="str">
        <f>IFERROR(__xludf.DUMMYFUNCTION("""COMPUTED_VALUE"""),"P4110")</f>
        <v>P4110</v>
      </c>
      <c r="H362" s="1076" t="str">
        <f>IFERROR(__xludf.DUMMYFUNCTION("""COMPUTED_VALUE"""),"110 HP")</f>
        <v>110 HP</v>
      </c>
      <c r="I362" s="1076" t="str">
        <f>IFERROR(__xludf.DUMMYFUNCTION("""COMPUTED_VALUE"""),"P400068TM")</f>
        <v>P400068TM</v>
      </c>
      <c r="J362" s="1076" t="str">
        <f>IFERROR(__xludf.DUMMYFUNCTION("""COMPUTED_VALUE"""),"E426C008939")</f>
        <v>E426C008939</v>
      </c>
      <c r="K362" s="1076"/>
      <c r="L362" s="1076" t="str">
        <f>IFERROR(__xludf.DUMMYFUNCTION("""COMPUTED_VALUE"""),"KLH")</f>
        <v>KLH</v>
      </c>
    </row>
    <row r="363" customHeight="1" spans="1:12">
      <c r="A363" s="1089" t="str">
        <f>IFERROR(__xludf.DUMMYFUNCTION("""COMPUTED_VALUE"""),"XB1-MKE-066")</f>
        <v>XB1-MKE-066</v>
      </c>
      <c r="B363" s="1075" t="str">
        <f>IFERROR(__xludf.DUMMYFUNCTION("""COMPUTED_VALUE"""),"Máy cày LOVOL P4110")</f>
        <v>Máy cày LOVOL P4110</v>
      </c>
      <c r="C363" s="1076" t="str">
        <f>IFERROR(__xludf.DUMMYFUNCTION("""COMPUTED_VALUE"""),"XN Bò AD")</f>
        <v>XN Bò AD</v>
      </c>
      <c r="D363" s="1076" t="str">
        <f>IFERROR(__xludf.DUMMYFUNCTION("""COMPUTED_VALUE"""),"LOVOL")</f>
        <v>LOVOL</v>
      </c>
      <c r="E363" s="1076" t="str">
        <f>IFERROR(__xludf.DUMMYFUNCTION("""COMPUTED_VALUE"""),"TRUNG QUỐC ")</f>
        <v>TRUNG QUỐC </v>
      </c>
      <c r="F363" s="1076">
        <f>IFERROR(__xludf.DUMMYFUNCTION("""COMPUTED_VALUE"""),2026)</f>
        <v>2026</v>
      </c>
      <c r="G363" s="1076" t="str">
        <f>IFERROR(__xludf.DUMMYFUNCTION("""COMPUTED_VALUE"""),"P4110")</f>
        <v>P4110</v>
      </c>
      <c r="H363" s="1076" t="str">
        <f>IFERROR(__xludf.DUMMYFUNCTION("""COMPUTED_VALUE"""),"110 HP")</f>
        <v>110 HP</v>
      </c>
      <c r="I363" s="1076" t="str">
        <f>IFERROR(__xludf.DUMMYFUNCTION("""COMPUTED_VALUE"""),"P400069TM")</f>
        <v>P400069TM</v>
      </c>
      <c r="J363" s="1076" t="str">
        <f>IFERROR(__xludf.DUMMYFUNCTION("""COMPUTED_VALUE"""),"E426C008097")</f>
        <v>E426C008097</v>
      </c>
      <c r="K363" s="1076"/>
      <c r="L363" s="1076" t="str">
        <f>IFERROR(__xludf.DUMMYFUNCTION("""COMPUTED_VALUE"""),"KLH")</f>
        <v>KLH</v>
      </c>
    </row>
    <row r="364" customHeight="1" spans="1:12">
      <c r="A364" s="1089" t="str">
        <f>IFERROR(__xludf.DUMMYFUNCTION("""COMPUTED_VALUE"""),"XB1-MKE-067")</f>
        <v>XB1-MKE-067</v>
      </c>
      <c r="B364" s="1075" t="str">
        <f>IFERROR(__xludf.DUMMYFUNCTION("""COMPUTED_VALUE"""),"Máy cày LOVOL P4110")</f>
        <v>Máy cày LOVOL P4110</v>
      </c>
      <c r="C364" s="1076" t="str">
        <f>IFERROR(__xludf.DUMMYFUNCTION("""COMPUTED_VALUE"""),"XN Bò AD")</f>
        <v>XN Bò AD</v>
      </c>
      <c r="D364" s="1076" t="str">
        <f>IFERROR(__xludf.DUMMYFUNCTION("""COMPUTED_VALUE"""),"LOVOL")</f>
        <v>LOVOL</v>
      </c>
      <c r="E364" s="1076" t="str">
        <f>IFERROR(__xludf.DUMMYFUNCTION("""COMPUTED_VALUE"""),"TRUNG QUỐC ")</f>
        <v>TRUNG QUỐC </v>
      </c>
      <c r="F364" s="1076">
        <f>IFERROR(__xludf.DUMMYFUNCTION("""COMPUTED_VALUE"""),2026)</f>
        <v>2026</v>
      </c>
      <c r="G364" s="1076" t="str">
        <f>IFERROR(__xludf.DUMMYFUNCTION("""COMPUTED_VALUE"""),"P4110")</f>
        <v>P4110</v>
      </c>
      <c r="H364" s="1076" t="str">
        <f>IFERROR(__xludf.DUMMYFUNCTION("""COMPUTED_VALUE"""),"110 HP")</f>
        <v>110 HP</v>
      </c>
      <c r="I364" s="1076" t="str">
        <f>IFERROR(__xludf.DUMMYFUNCTION("""COMPUTED_VALUE"""),"P400070TM")</f>
        <v>P400070TM</v>
      </c>
      <c r="J364" s="1076" t="str">
        <f>IFERROR(__xludf.DUMMYFUNCTION("""COMPUTED_VALUE"""),"E426C008092")</f>
        <v>E426C008092</v>
      </c>
      <c r="K364" s="1076"/>
      <c r="L364" s="1076" t="str">
        <f>IFERROR(__xludf.DUMMYFUNCTION("""COMPUTED_VALUE"""),"KLH")</f>
        <v>KLH</v>
      </c>
    </row>
    <row r="365" customHeight="1" spans="1:12">
      <c r="A365" s="1089" t="str">
        <f>IFERROR(__xludf.DUMMYFUNCTION("""COMPUTED_VALUE"""),"XB1-MKE-068")</f>
        <v>XB1-MKE-068</v>
      </c>
      <c r="B365" s="1075" t="str">
        <f>IFERROR(__xludf.DUMMYFUNCTION("""COMPUTED_VALUE"""),"Máy cày LOVOL TR1504")</f>
        <v>Máy cày LOVOL TR1504</v>
      </c>
      <c r="C365" s="1076" t="str">
        <f>IFERROR(__xludf.DUMMYFUNCTION("""COMPUTED_VALUE"""),"XN Bò AD")</f>
        <v>XN Bò AD</v>
      </c>
      <c r="D365" s="1076" t="str">
        <f>IFERROR(__xludf.DUMMYFUNCTION("""COMPUTED_VALUE"""),"LOVOL")</f>
        <v>LOVOL</v>
      </c>
      <c r="E365" s="1076" t="str">
        <f>IFERROR(__xludf.DUMMYFUNCTION("""COMPUTED_VALUE"""),"TRUNG QUỐC ")</f>
        <v>TRUNG QUỐC </v>
      </c>
      <c r="F365" s="1076">
        <f>IFERROR(__xludf.DUMMYFUNCTION("""COMPUTED_VALUE"""),2026)</f>
        <v>2026</v>
      </c>
      <c r="G365" s="1076" t="str">
        <f>IFERROR(__xludf.DUMMYFUNCTION("""COMPUTED_VALUE"""),"TR1504")</f>
        <v>TR1504</v>
      </c>
      <c r="H365" s="1076" t="str">
        <f>IFERROR(__xludf.DUMMYFUNCTION("""COMPUTED_VALUE"""),"150 HP")</f>
        <v>150 HP</v>
      </c>
      <c r="I365" s="1076" t="str">
        <f>IFERROR(__xludf.DUMMYFUNCTION("""COMPUTED_VALUE"""),"M600086TY")</f>
        <v>M600086TY</v>
      </c>
      <c r="J365" s="1076" t="str">
        <f>IFERROR(__xludf.DUMMYFUNCTION("""COMPUTED_VALUE"""),"6P26C009038")</f>
        <v>6P26C009038</v>
      </c>
      <c r="K365" s="1076"/>
      <c r="L365" s="1076" t="str">
        <f>IFERROR(__xludf.DUMMYFUNCTION("""COMPUTED_VALUE"""),"KLH")</f>
        <v>KLH</v>
      </c>
    </row>
    <row r="366" customHeight="1" spans="1:12">
      <c r="A366" s="1089" t="str">
        <f>IFERROR(__xludf.DUMMYFUNCTION("""COMPUTED_VALUE"""),"XB1-MKE-069")</f>
        <v>XB1-MKE-069</v>
      </c>
      <c r="B366" s="1075" t="str">
        <f>IFERROR(__xludf.DUMMYFUNCTION("""COMPUTED_VALUE"""),"Máy cày LOVOL TR1504")</f>
        <v>Máy cày LOVOL TR1504</v>
      </c>
      <c r="C366" s="1076" t="str">
        <f>IFERROR(__xludf.DUMMYFUNCTION("""COMPUTED_VALUE"""),"XN Bò AD")</f>
        <v>XN Bò AD</v>
      </c>
      <c r="D366" s="1076" t="str">
        <f>IFERROR(__xludf.DUMMYFUNCTION("""COMPUTED_VALUE"""),"LOVOL")</f>
        <v>LOVOL</v>
      </c>
      <c r="E366" s="1076" t="str">
        <f>IFERROR(__xludf.DUMMYFUNCTION("""COMPUTED_VALUE"""),"TRUNG QUỐC ")</f>
        <v>TRUNG QUỐC </v>
      </c>
      <c r="F366" s="1076">
        <f>IFERROR(__xludf.DUMMYFUNCTION("""COMPUTED_VALUE"""),2026)</f>
        <v>2026</v>
      </c>
      <c r="G366" s="1076" t="str">
        <f>IFERROR(__xludf.DUMMYFUNCTION("""COMPUTED_VALUE"""),"TR1504")</f>
        <v>TR1504</v>
      </c>
      <c r="H366" s="1076" t="str">
        <f>IFERROR(__xludf.DUMMYFUNCTION("""COMPUTED_VALUE"""),"150 HP")</f>
        <v>150 HP</v>
      </c>
      <c r="I366" s="1076" t="str">
        <f>IFERROR(__xludf.DUMMYFUNCTION("""COMPUTED_VALUE"""),"M600087TY")</f>
        <v>M600087TY</v>
      </c>
      <c r="J366" s="1076" t="str">
        <f>IFERROR(__xludf.DUMMYFUNCTION("""COMPUTED_VALUE"""),"6P26C009039")</f>
        <v>6P26C009039</v>
      </c>
      <c r="K366" s="1076"/>
      <c r="L366" s="1076" t="str">
        <f>IFERROR(__xludf.DUMMYFUNCTION("""COMPUTED_VALUE"""),"KLH")</f>
        <v>KLH</v>
      </c>
    </row>
    <row r="367" customHeight="1" spans="1:12">
      <c r="A367" s="1089" t="str">
        <f>IFERROR(__xludf.DUMMYFUNCTION("""COMPUTED_VALUE"""),"XB1-MKE-070")</f>
        <v>XB1-MKE-070</v>
      </c>
      <c r="B367" s="1075" t="str">
        <f>IFERROR(__xludf.DUMMYFUNCTION("""COMPUTED_VALUE"""),"Máy cày LOVOL TR1504")</f>
        <v>Máy cày LOVOL TR1504</v>
      </c>
      <c r="C367" s="1076" t="str">
        <f>IFERROR(__xludf.DUMMYFUNCTION("""COMPUTED_VALUE"""),"XN Bò AD")</f>
        <v>XN Bò AD</v>
      </c>
      <c r="D367" s="1076" t="str">
        <f>IFERROR(__xludf.DUMMYFUNCTION("""COMPUTED_VALUE"""),"LOVOL")</f>
        <v>LOVOL</v>
      </c>
      <c r="E367" s="1076" t="str">
        <f>IFERROR(__xludf.DUMMYFUNCTION("""COMPUTED_VALUE"""),"TRUNG QUỐC ")</f>
        <v>TRUNG QUỐC </v>
      </c>
      <c r="F367" s="1076">
        <f>IFERROR(__xludf.DUMMYFUNCTION("""COMPUTED_VALUE"""),2026)</f>
        <v>2026</v>
      </c>
      <c r="G367" s="1076" t="str">
        <f>IFERROR(__xludf.DUMMYFUNCTION("""COMPUTED_VALUE"""),"TR1504")</f>
        <v>TR1504</v>
      </c>
      <c r="H367" s="1076" t="str">
        <f>IFERROR(__xludf.DUMMYFUNCTION("""COMPUTED_VALUE"""),"150 HP")</f>
        <v>150 HP</v>
      </c>
      <c r="I367" s="1076" t="str">
        <f>IFERROR(__xludf.DUMMYFUNCTION("""COMPUTED_VALUE"""),"M600088TY")</f>
        <v>M600088TY</v>
      </c>
      <c r="J367" s="1076" t="str">
        <f>IFERROR(__xludf.DUMMYFUNCTION("""COMPUTED_VALUE"""),"6P26C009040")</f>
        <v>6P26C009040</v>
      </c>
      <c r="K367" s="1076"/>
      <c r="L367" s="1076" t="str">
        <f>IFERROR(__xludf.DUMMYFUNCTION("""COMPUTED_VALUE"""),"KLH")</f>
        <v>KLH</v>
      </c>
    </row>
    <row r="368" customHeight="1" spans="1:12">
      <c r="A368" s="1089" t="str">
        <f>IFERROR(__xludf.DUMMYFUNCTION("""COMPUTED_VALUE"""),"XB1-MKX-001")</f>
        <v>XB1-MKX-001</v>
      </c>
      <c r="B368" s="1075" t="str">
        <f>IFERROR(__xludf.DUMMYFUNCTION("""COMPUTED_VALUE"""),"Máy cày bánh xích LOVOL")</f>
        <v>Máy cày bánh xích LOVOL</v>
      </c>
      <c r="C368" s="1076" t="str">
        <f>IFERROR(__xludf.DUMMYFUNCTION("""COMPUTED_VALUE"""),"XN Bò AD")</f>
        <v>XN Bò AD</v>
      </c>
      <c r="D368" s="1076" t="str">
        <f>IFERROR(__xludf.DUMMYFUNCTION("""COMPUTED_VALUE"""),"LOVOL")</f>
        <v>LOVOL</v>
      </c>
      <c r="E368" s="1076" t="str">
        <f>IFERROR(__xludf.DUMMYFUNCTION("""COMPUTED_VALUE"""),"TRUNG QUỐC ")</f>
        <v>TRUNG QUỐC </v>
      </c>
      <c r="F368" s="1076">
        <f>IFERROR(__xludf.DUMMYFUNCTION("""COMPUTED_VALUE"""),2025)</f>
        <v>2025</v>
      </c>
      <c r="G368" s="1076" t="str">
        <f>IFERROR(__xludf.DUMMYFUNCTION("""COMPUTED_VALUE"""),"1GZL-230X")</f>
        <v>1GZL-230X</v>
      </c>
      <c r="H368" s="1076" t="str">
        <f>IFERROR(__xludf.DUMMYFUNCTION("""COMPUTED_VALUE"""),"102HP")</f>
        <v>102HP</v>
      </c>
      <c r="I368" s="1076" t="str">
        <f>IFERROR(__xludf.DUMMYFUNCTION("""COMPUTED_VALUE"""),"FTHRXX23CSN000034")</f>
        <v>FTHRXX23CSN000034</v>
      </c>
      <c r="J368" s="1076" t="str">
        <f>IFERROR(__xludf.DUMMYFUNCTION("""COMPUTED_VALUE"""),"Q250577684G")</f>
        <v>Q250577684G</v>
      </c>
      <c r="K368" s="1076"/>
      <c r="L368" s="1076" t="str">
        <f>IFERROR(__xludf.DUMMYFUNCTION("""COMPUTED_VALUE"""),"KLH")</f>
        <v>KLH</v>
      </c>
    </row>
    <row r="369" customHeight="1" spans="1:12">
      <c r="A369" s="1089" t="str">
        <f>IFERROR(__xludf.DUMMYFUNCTION("""COMPUTED_VALUE"""),"XB1-MKX-002")</f>
        <v>XB1-MKX-002</v>
      </c>
      <c r="B369" s="1075" t="str">
        <f>IFERROR(__xludf.DUMMYFUNCTION("""COMPUTED_VALUE"""),"Máy cày bánh xích MOROOKA")</f>
        <v>Máy cày bánh xích MOROOKA</v>
      </c>
      <c r="C369" s="1076" t="str">
        <f>IFERROR(__xludf.DUMMYFUNCTION("""COMPUTED_VALUE"""),"XN Bò AD")</f>
        <v>XN Bò AD</v>
      </c>
      <c r="D369" s="1076" t="str">
        <f>IFERROR(__xludf.DUMMYFUNCTION("""COMPUTED_VALUE"""),"MOROOKA")</f>
        <v>MOROOKA</v>
      </c>
      <c r="E369" s="1076" t="str">
        <f>IFERROR(__xludf.DUMMYFUNCTION("""COMPUTED_VALUE"""),"VIỆT NAM")</f>
        <v>VIỆT NAM</v>
      </c>
      <c r="F369" s="1076"/>
      <c r="G369" s="1076" t="str">
        <f>IFERROR(__xludf.DUMMYFUNCTION("""COMPUTED_VALUE"""),"MK-200")</f>
        <v>MK-200</v>
      </c>
      <c r="H369" s="1076" t="str">
        <f>IFERROR(__xludf.DUMMYFUNCTION("""COMPUTED_VALUE"""),"200HP")</f>
        <v>200HP</v>
      </c>
      <c r="I369" s="1076" t="str">
        <f>IFERROR(__xludf.DUMMYFUNCTION("""COMPUTED_VALUE"""),"T20022")</f>
        <v>T20022</v>
      </c>
      <c r="J369" s="1076" t="str">
        <f>IFERROR(__xludf.DUMMYFUNCTION("""COMPUTED_VALUE"""),"H06C TF11820")</f>
        <v>H06C TF11820</v>
      </c>
      <c r="K369" s="1076"/>
      <c r="L369" s="1076" t="str">
        <f>IFERROR(__xludf.DUMMYFUNCTION("""COMPUTED_VALUE"""),"KLH")</f>
        <v>KLH</v>
      </c>
    </row>
    <row r="370" customHeight="1" spans="1:12">
      <c r="A370" s="1089" t="str">
        <f>IFERROR(__xludf.DUMMYFUNCTION("""COMPUTED_VALUE"""),"XB1-MKX-003")</f>
        <v>XB1-MKX-003</v>
      </c>
      <c r="B370" s="1075" t="str">
        <f>IFERROR(__xludf.DUMMYFUNCTION("""COMPUTED_VALUE"""),"Máy cày bánh xích LOVOL TB1002C")</f>
        <v>Máy cày bánh xích LOVOL TB1002C</v>
      </c>
      <c r="C370" s="1076" t="str">
        <f>IFERROR(__xludf.DUMMYFUNCTION("""COMPUTED_VALUE"""),"XN Bò AD")</f>
        <v>XN Bò AD</v>
      </c>
      <c r="D370" s="1076" t="str">
        <f>IFERROR(__xludf.DUMMYFUNCTION("""COMPUTED_VALUE"""),"LOVOL")</f>
        <v>LOVOL</v>
      </c>
      <c r="E370" s="1076" t="str">
        <f>IFERROR(__xludf.DUMMYFUNCTION("""COMPUTED_VALUE"""),"TRUNG QUỐC")</f>
        <v>TRUNG QUỐC</v>
      </c>
      <c r="F370" s="1076">
        <f>IFERROR(__xludf.DUMMYFUNCTION("""COMPUTED_VALUE"""),2025)</f>
        <v>2025</v>
      </c>
      <c r="G370" s="1076" t="str">
        <f>IFERROR(__xludf.DUMMYFUNCTION("""COMPUTED_VALUE"""),"TB1002-C")</f>
        <v>TB1002-C</v>
      </c>
      <c r="H370" s="1076" t="str">
        <f>IFERROR(__xludf.DUMMYFUNCTION("""COMPUTED_VALUE"""),"100HP")</f>
        <v>100HP</v>
      </c>
      <c r="I370" s="1076" t="str">
        <f>IFERROR(__xludf.DUMMYFUNCTION("""COMPUTED_VALUE"""),"FTTM3AD2CSC000020")</f>
        <v>FTTM3AD2CSC000020</v>
      </c>
      <c r="J370" s="1076" t="str">
        <f>IFERROR(__xludf.DUMMYFUNCTION("""COMPUTED_VALUE"""),"Q250194560G")</f>
        <v>Q250194560G</v>
      </c>
      <c r="K370" s="1076"/>
      <c r="L370" s="1076" t="str">
        <f>IFERROR(__xludf.DUMMYFUNCTION("""COMPUTED_VALUE"""),"KLH")</f>
        <v>KLH</v>
      </c>
    </row>
    <row r="371" customHeight="1" spans="1:12">
      <c r="A371" s="1089" t="str">
        <f>IFERROR(__xludf.DUMMYFUNCTION("""COMPUTED_VALUE"""),"XB1-MKX-004")</f>
        <v>XB1-MKX-004</v>
      </c>
      <c r="B371" s="1075" t="str">
        <f>IFERROR(__xludf.DUMMYFUNCTION("""COMPUTED_VALUE"""),"Máy cày bánh xích MK 250")</f>
        <v>Máy cày bánh xích MK 250</v>
      </c>
      <c r="C371" s="1076" t="str">
        <f>IFERROR(__xludf.DUMMYFUNCTION("""COMPUTED_VALUE"""),"XN Bò AD")</f>
        <v>XN Bò AD</v>
      </c>
      <c r="D371" s="1076" t="str">
        <f>IFERROR(__xludf.DUMMYFUNCTION("""COMPUTED_VALUE"""),"Morooka")</f>
        <v>Morooka</v>
      </c>
      <c r="E371" s="1076" t="str">
        <f>IFERROR(__xludf.DUMMYFUNCTION("""COMPUTED_VALUE"""),"Việt Nam")</f>
        <v>Việt Nam</v>
      </c>
      <c r="F371" s="1076"/>
      <c r="G371" s="1076" t="str">
        <f>IFERROR(__xludf.DUMMYFUNCTION("""COMPUTED_VALUE"""),"MK 250")</f>
        <v>MK 250</v>
      </c>
      <c r="H371" s="1076" t="str">
        <f>IFERROR(__xludf.DUMMYFUNCTION("""COMPUTED_VALUE"""),"250HP")</f>
        <v>250HP</v>
      </c>
      <c r="I371" s="1076" t="str">
        <f>IFERROR(__xludf.DUMMYFUNCTION("""COMPUTED_VALUE"""),"T22032")</f>
        <v>T22032</v>
      </c>
      <c r="J371" s="1076" t="str">
        <f>IFERROR(__xludf.DUMMYFUNCTION("""COMPUTED_VALUE"""),"6D108-19718")</f>
        <v>6D108-19718</v>
      </c>
      <c r="K371" s="1076"/>
      <c r="L371" s="1076" t="str">
        <f>IFERROR(__xludf.DUMMYFUNCTION("""COMPUTED_VALUE"""),"KLH")</f>
        <v>KLH</v>
      </c>
    </row>
    <row r="372" customHeight="1" spans="1:12">
      <c r="A372" s="1089" t="str">
        <f>IFERROR(__xludf.DUMMYFUNCTION("""COMPUTED_VALUE"""),"XB1-MKX-005")</f>
        <v>XB1-MKX-005</v>
      </c>
      <c r="B372" s="1075" t="str">
        <f>IFERROR(__xludf.DUMMYFUNCTION("""COMPUTED_VALUE"""),"Máy cày bánh xích CT55")</f>
        <v>Máy cày bánh xích CT55</v>
      </c>
      <c r="C372" s="1076" t="str">
        <f>IFERROR(__xludf.DUMMYFUNCTION("""COMPUTED_VALUE"""),"XN Bò AD")</f>
        <v>XN Bò AD</v>
      </c>
      <c r="D372" s="1076" t="str">
        <f>IFERROR(__xludf.DUMMYFUNCTION("""COMPUTED_VALUE"""),"YANMAR")</f>
        <v>YANMAR</v>
      </c>
      <c r="E372" s="1076" t="str">
        <f>IFERROR(__xludf.DUMMYFUNCTION("""COMPUTED_VALUE"""),"Nhật Bản")</f>
        <v>Nhật Bản</v>
      </c>
      <c r="F372" s="1076"/>
      <c r="G372" s="1076" t="str">
        <f>IFERROR(__xludf.DUMMYFUNCTION("""COMPUTED_VALUE"""),"CT55")</f>
        <v>CT55</v>
      </c>
      <c r="H372" s="1076" t="str">
        <f>IFERROR(__xludf.DUMMYFUNCTION("""COMPUTED_VALUE"""),"55HP")</f>
        <v>55HP</v>
      </c>
      <c r="I372" s="1076" t="str">
        <f>IFERROR(__xludf.DUMMYFUNCTION("""COMPUTED_VALUE"""),"1174")</f>
        <v>1174</v>
      </c>
      <c r="J372" s="1076" t="str">
        <f>IFERROR(__xludf.DUMMYFUNCTION("""COMPUTED_VALUE"""),"8391")</f>
        <v>8391</v>
      </c>
      <c r="K372" s="1076"/>
      <c r="L372" s="1076" t="str">
        <f>IFERROR(__xludf.DUMMYFUNCTION("""COMPUTED_VALUE"""),"KLH")</f>
        <v>KLH</v>
      </c>
    </row>
    <row r="373" customHeight="1" spans="1:12">
      <c r="A373" s="1089" t="str">
        <f>IFERROR(__xludf.DUMMYFUNCTION("""COMPUTED_VALUE"""),"XB1-XXL-001")</f>
        <v>XB1-XXL-001</v>
      </c>
      <c r="B373" s="1075" t="str">
        <f>IFERROR(__xludf.DUMMYFUNCTION("""COMPUTED_VALUE"""),"Xe xúc lật WSM953")</f>
        <v>Xe xúc lật WSM953</v>
      </c>
      <c r="C373" s="1076" t="str">
        <f>IFERROR(__xludf.DUMMYFUNCTION("""COMPUTED_VALUE"""),"XN Bò AD")</f>
        <v>XN Bò AD</v>
      </c>
      <c r="D373" s="1076" t="str">
        <f>IFERROR(__xludf.DUMMYFUNCTION("""COMPUTED_VALUE"""),"FUJIAN WEISHENG")</f>
        <v>FUJIAN WEISHENG</v>
      </c>
      <c r="E373" s="1076" t="str">
        <f>IFERROR(__xludf.DUMMYFUNCTION("""COMPUTED_VALUE"""),"TRUNG QUỐC")</f>
        <v>TRUNG QUỐC</v>
      </c>
      <c r="F373" s="1076"/>
      <c r="G373" s="1076" t="str">
        <f>IFERROR(__xludf.DUMMYFUNCTION("""COMPUTED_VALUE"""),"WSM953 2m3")</f>
        <v>WSM953 2m3</v>
      </c>
      <c r="H373" s="1076" t="str">
        <f>IFERROR(__xludf.DUMMYFUNCTION("""COMPUTED_VALUE"""),"123HP")</f>
        <v>123HP</v>
      </c>
      <c r="I373" s="1076" t="str">
        <f>IFERROR(__xludf.DUMMYFUNCTION("""COMPUTED_VALUE"""),"90516")</f>
        <v>90516</v>
      </c>
      <c r="J373" s="1076" t="str">
        <f>IFERROR(__xludf.DUMMYFUNCTION("""COMPUTED_VALUE"""),"CCN")</f>
        <v>CCN</v>
      </c>
      <c r="K373" s="1076">
        <f>IFERROR(__xludf.DUMMYFUNCTION("""COMPUTED_VALUE"""),11)</f>
        <v>11</v>
      </c>
      <c r="L373" s="1076" t="str">
        <f>IFERROR(__xludf.DUMMYFUNCTION("""COMPUTED_VALUE"""),"KLH")</f>
        <v>KLH</v>
      </c>
    </row>
    <row r="374" customHeight="1" spans="1:12">
      <c r="A374" s="1089" t="str">
        <f>IFERROR(__xludf.DUMMYFUNCTION("""COMPUTED_VALUE"""),"XB1-XXL-002")</f>
        <v>XB1-XXL-002</v>
      </c>
      <c r="B374" s="1075" t="str">
        <f>IFERROR(__xludf.DUMMYFUNCTION("""COMPUTED_VALUE"""),"Xe xúc lật WA400")</f>
        <v>Xe xúc lật WA400</v>
      </c>
      <c r="C374" s="1076" t="str">
        <f>IFERROR(__xludf.DUMMYFUNCTION("""COMPUTED_VALUE"""),"XN Bò AD")</f>
        <v>XN Bò AD</v>
      </c>
      <c r="D374" s="1076" t="str">
        <f>IFERROR(__xludf.DUMMYFUNCTION("""COMPUTED_VALUE"""),"KOMATSU")</f>
        <v>KOMATSU</v>
      </c>
      <c r="E374" s="1076" t="str">
        <f>IFERROR(__xludf.DUMMYFUNCTION("""COMPUTED_VALUE"""),"NHẬT BẢN")</f>
        <v>NHẬT BẢN</v>
      </c>
      <c r="F374" s="1076">
        <f>IFERROR(__xludf.DUMMYFUNCTION("""COMPUTED_VALUE"""),2020)</f>
        <v>2020</v>
      </c>
      <c r="G374" s="1076" t="str">
        <f>IFERROR(__xludf.DUMMYFUNCTION("""COMPUTED_VALUE"""),"WA400-3E")</f>
        <v>WA400-3E</v>
      </c>
      <c r="H374" s="1076" t="str">
        <f>IFERROR(__xludf.DUMMYFUNCTION("""COMPUTED_VALUE"""),"208HP")</f>
        <v>208HP</v>
      </c>
      <c r="I374" s="1076" t="str">
        <f>IFERROR(__xludf.DUMMYFUNCTION("""COMPUTED_VALUE"""),"50183")</f>
        <v>50183</v>
      </c>
      <c r="J374" s="1076" t="str">
        <f>IFERROR(__xludf.DUMMYFUNCTION("""COMPUTED_VALUE"""),"CCN")</f>
        <v>CCN</v>
      </c>
      <c r="K374" s="1076">
        <f>IFERROR(__xludf.DUMMYFUNCTION("""COMPUTED_VALUE"""),11)</f>
        <v>11</v>
      </c>
      <c r="L374" s="1076" t="str">
        <f>IFERROR(__xludf.DUMMYFUNCTION("""COMPUTED_VALUE"""),"KLH")</f>
        <v>KLH</v>
      </c>
    </row>
    <row r="375" customHeight="1" spans="1:12">
      <c r="A375" s="1089" t="str">
        <f>IFERROR(__xludf.DUMMYFUNCTION("""COMPUTED_VALUE"""),"XB1-XXL-004")</f>
        <v>XB1-XXL-004</v>
      </c>
      <c r="B375" s="1075" t="str">
        <f>IFERROR(__xludf.DUMMYFUNCTION("""COMPUTED_VALUE"""),"Xe xúc lật WA350")</f>
        <v>Xe xúc lật WA350</v>
      </c>
      <c r="C375" s="1076" t="str">
        <f>IFERROR(__xludf.DUMMYFUNCTION("""COMPUTED_VALUE"""),"XN Bò AD")</f>
        <v>XN Bò AD</v>
      </c>
      <c r="D375" s="1076" t="str">
        <f>IFERROR(__xludf.DUMMYFUNCTION("""COMPUTED_VALUE"""),"KOMATSU")</f>
        <v>KOMATSU</v>
      </c>
      <c r="E375" s="1076" t="str">
        <f>IFERROR(__xludf.DUMMYFUNCTION("""COMPUTED_VALUE"""),"NHẬT BẢN")</f>
        <v>NHẬT BẢN</v>
      </c>
      <c r="F375" s="1076">
        <f>IFERROR(__xludf.DUMMYFUNCTION("""COMPUTED_VALUE"""),2020)</f>
        <v>2020</v>
      </c>
      <c r="G375" s="1076" t="str">
        <f>IFERROR(__xludf.DUMMYFUNCTION("""COMPUTED_VALUE"""),"WA350-3")</f>
        <v>WA350-3</v>
      </c>
      <c r="H375" s="1076" t="str">
        <f>IFERROR(__xludf.DUMMYFUNCTION("""COMPUTED_VALUE"""),"162HP")</f>
        <v>162HP</v>
      </c>
      <c r="I375" s="1076" t="str">
        <f>IFERROR(__xludf.DUMMYFUNCTION("""COMPUTED_VALUE"""),"50100")</f>
        <v>50100</v>
      </c>
      <c r="J375" s="1076" t="str">
        <f>IFERROR(__xludf.DUMMYFUNCTION("""COMPUTED_VALUE"""),"18033")</f>
        <v>18033</v>
      </c>
      <c r="K375" s="1076">
        <f>IFERROR(__xludf.DUMMYFUNCTION("""COMPUTED_VALUE"""),14.25)</f>
        <v>14.25</v>
      </c>
      <c r="L375" s="1076" t="str">
        <f>IFERROR(__xludf.DUMMYFUNCTION("""COMPUTED_VALUE"""),"KLH")</f>
        <v>KLH</v>
      </c>
    </row>
    <row r="376" customHeight="1" spans="1:12">
      <c r="A376" s="1089" t="str">
        <f>IFERROR(__xludf.DUMMYFUNCTION("""COMPUTED_VALUE"""),"XB1-XXL-005")</f>
        <v>XB1-XXL-005</v>
      </c>
      <c r="B376" s="1075" t="str">
        <f>IFERROR(__xludf.DUMMYFUNCTION("""COMPUTED_VALUE"""),"Xe xúc lật MT625H")</f>
        <v>Xe xúc lật MT625H</v>
      </c>
      <c r="C376" s="1076" t="str">
        <f>IFERROR(__xludf.DUMMYFUNCTION("""COMPUTED_VALUE"""),"XN Bò AD")</f>
        <v>XN Bò AD</v>
      </c>
      <c r="D376" s="1076" t="str">
        <f>IFERROR(__xludf.DUMMYFUNCTION("""COMPUTED_VALUE"""),"MANITOU")</f>
        <v>MANITOU</v>
      </c>
      <c r="E376" s="1076" t="str">
        <f>IFERROR(__xludf.DUMMYFUNCTION("""COMPUTED_VALUE"""),"PHÁP")</f>
        <v>PHÁP</v>
      </c>
      <c r="F376" s="1076">
        <f>IFERROR(__xludf.DUMMYFUNCTION("""COMPUTED_VALUE"""),2018)</f>
        <v>2018</v>
      </c>
      <c r="G376" s="1076" t="str">
        <f>IFERROR(__xludf.DUMMYFUNCTION("""COMPUTED_VALUE"""),"MT625H")</f>
        <v>MT625H</v>
      </c>
      <c r="H376" s="1076" t="str">
        <f>IFERROR(__xludf.DUMMYFUNCTION("""COMPUTED_VALUE"""),"75HP")</f>
        <v>75HP</v>
      </c>
      <c r="I376" s="1076" t="str">
        <f>IFERROR(__xludf.DUMMYFUNCTION("""COMPUTED_VALUE"""),"MAN00000T01005580")</f>
        <v>MAN00000T01005580</v>
      </c>
      <c r="J376" s="1076" t="str">
        <f>IFERROR(__xludf.DUMMYFUNCTION("""COMPUTED_VALUE""")," V3307T8JL1568")</f>
        <v> V3307T8JL1568</v>
      </c>
      <c r="K376" s="1076"/>
      <c r="L376" s="1076" t="str">
        <f>IFERROR(__xludf.DUMMYFUNCTION("""COMPUTED_VALUE"""),"KLH")</f>
        <v>KLH</v>
      </c>
    </row>
    <row r="377" customHeight="1" spans="1:12">
      <c r="A377" s="1089" t="str">
        <f>IFERROR(__xludf.DUMMYFUNCTION("""COMPUTED_VALUE"""),"XB1-XXL-006")</f>
        <v>XB1-XXL-006</v>
      </c>
      <c r="B377" s="1075" t="str">
        <f>IFERROR(__xludf.DUMMYFUNCTION("""COMPUTED_VALUE"""),"Xe xúc lật LEHMAN ZL940G")</f>
        <v>Xe xúc lật LEHMAN ZL940G</v>
      </c>
      <c r="C377" s="1076" t="str">
        <f>IFERROR(__xludf.DUMMYFUNCTION("""COMPUTED_VALUE"""),"XN Bò AD")</f>
        <v>XN Bò AD</v>
      </c>
      <c r="D377" s="1076" t="str">
        <f>IFERROR(__xludf.DUMMYFUNCTION("""COMPUTED_VALUE"""),"LEHMAN")</f>
        <v>LEHMAN</v>
      </c>
      <c r="E377" s="1076" t="str">
        <f>IFERROR(__xludf.DUMMYFUNCTION("""COMPUTED_VALUE"""),"TRUNG QUỐC")</f>
        <v>TRUNG QUỐC</v>
      </c>
      <c r="F377" s="1076">
        <f>IFERROR(__xludf.DUMMYFUNCTION("""COMPUTED_VALUE"""),2023)</f>
        <v>2023</v>
      </c>
      <c r="G377" s="1076" t="str">
        <f>IFERROR(__xludf.DUMMYFUNCTION("""COMPUTED_VALUE"""),"ZL940G")</f>
        <v>ZL940G</v>
      </c>
      <c r="H377" s="1076" t="str">
        <f>IFERROR(__xludf.DUMMYFUNCTION("""COMPUTED_VALUE"""),"115HP")</f>
        <v>115HP</v>
      </c>
      <c r="I377" s="1076" t="str">
        <f>IFERROR(__xludf.DUMMYFUNCTION("""COMPUTED_VALUE"""),"SY23090078")</f>
        <v>SY23090078</v>
      </c>
      <c r="J377" s="1076" t="str">
        <f>IFERROR(__xludf.DUMMYFUNCTION("""COMPUTED_VALUE"""),"YCD4J22T-1151JG410P03213")</f>
        <v>YCD4J22T-1151JG410P03213</v>
      </c>
      <c r="K377" s="1076">
        <f>IFERROR(__xludf.DUMMYFUNCTION("""COMPUTED_VALUE"""),7)</f>
        <v>7</v>
      </c>
      <c r="L377" s="1076" t="str">
        <f>IFERROR(__xludf.DUMMYFUNCTION("""COMPUTED_VALUE"""),"KLH")</f>
        <v>KLH</v>
      </c>
    </row>
    <row r="378" customHeight="1" spans="1:12">
      <c r="A378" s="1089" t="str">
        <f>IFERROR(__xludf.DUMMYFUNCTION("""COMPUTED_VALUE"""),"XB1-XXL-007")</f>
        <v>XB1-XXL-007</v>
      </c>
      <c r="B378" s="1075" t="str">
        <f>IFERROR(__xludf.DUMMYFUNCTION("""COMPUTED_VALUE"""),"Xe xúc lật L935H")</f>
        <v>Xe xúc lật L935H</v>
      </c>
      <c r="C378" s="1076" t="str">
        <f>IFERROR(__xludf.DUMMYFUNCTION("""COMPUTED_VALUE"""),"XN Bò AD")</f>
        <v>XN Bò AD</v>
      </c>
      <c r="D378" s="1076" t="str">
        <f>IFERROR(__xludf.DUMMYFUNCTION("""COMPUTED_VALUE"""),"SDLG")</f>
        <v>SDLG</v>
      </c>
      <c r="E378" s="1076" t="str">
        <f>IFERROR(__xludf.DUMMYFUNCTION("""COMPUTED_VALUE"""),"TRUNG QUỐC")</f>
        <v>TRUNG QUỐC</v>
      </c>
      <c r="F378" s="1076">
        <f>IFERROR(__xludf.DUMMYFUNCTION("""COMPUTED_VALUE"""),2022)</f>
        <v>2022</v>
      </c>
      <c r="G378" s="1076" t="str">
        <f>IFERROR(__xludf.DUMMYFUNCTION("""COMPUTED_VALUE"""),"L935H")</f>
        <v>L935H</v>
      </c>
      <c r="H378" s="1076" t="str">
        <f>IFERROR(__xludf.DUMMYFUNCTION("""COMPUTED_VALUE"""),"140HP")</f>
        <v>140HP</v>
      </c>
      <c r="I378" s="1076" t="str">
        <f>IFERROR(__xludf.DUMMYFUNCTION("""COMPUTED_VALUE"""),"VLGL935HAN0620050")</f>
        <v>VLGL935HAN0620050</v>
      </c>
      <c r="J378" s="1076" t="str">
        <f>IFERROR(__xludf.DUMMYFUNCTION("""COMPUTED_VALUE"""),"WP6G140E226P22D023010")</f>
        <v>WP6G140E226P22D023010</v>
      </c>
      <c r="K378" s="1076">
        <f>IFERROR(__xludf.DUMMYFUNCTION("""COMPUTED_VALUE"""),12)</f>
        <v>12</v>
      </c>
      <c r="L378" s="1076" t="str">
        <f>IFERROR(__xludf.DUMMYFUNCTION("""COMPUTED_VALUE"""),"KLH")</f>
        <v>KLH</v>
      </c>
    </row>
    <row r="379" customHeight="1" spans="1:12">
      <c r="A379" s="1089" t="str">
        <f>IFERROR(__xludf.DUMMYFUNCTION("""COMPUTED_VALUE"""),"XB1-XXL-008")</f>
        <v>XB1-XXL-008</v>
      </c>
      <c r="B379" s="1075" t="str">
        <f>IFERROR(__xludf.DUMMYFUNCTION("""COMPUTED_VALUE"""),"Xe xúc lật LEHMAN ZL946E")</f>
        <v>Xe xúc lật LEHMAN ZL946E</v>
      </c>
      <c r="C379" s="1076" t="str">
        <f>IFERROR(__xludf.DUMMYFUNCTION("""COMPUTED_VALUE"""),"XN Bò AD")</f>
        <v>XN Bò AD</v>
      </c>
      <c r="D379" s="1076" t="str">
        <f>IFERROR(__xludf.DUMMYFUNCTION("""COMPUTED_VALUE"""),"LEHMAN")</f>
        <v>LEHMAN</v>
      </c>
      <c r="E379" s="1076" t="str">
        <f>IFERROR(__xludf.DUMMYFUNCTION("""COMPUTED_VALUE"""),"TRUNG QUỐC")</f>
        <v>TRUNG QUỐC</v>
      </c>
      <c r="F379" s="1076">
        <f>IFERROR(__xludf.DUMMYFUNCTION("""COMPUTED_VALUE"""),2024)</f>
        <v>2024</v>
      </c>
      <c r="G379" s="1076" t="str">
        <f>IFERROR(__xludf.DUMMYFUNCTION("""COMPUTED_VALUE"""),"ZL946E")</f>
        <v>ZL946E</v>
      </c>
      <c r="H379" s="1076" t="str">
        <f>IFERROR(__xludf.DUMMYFUNCTION("""COMPUTED_VALUE"""),"114HP")</f>
        <v>114HP</v>
      </c>
      <c r="I379" s="1076" t="str">
        <f>IFERROR(__xludf.DUMMYFUNCTION("""COMPUTED_VALUE"""),"SY24020177")</f>
        <v>SY24020177</v>
      </c>
      <c r="J379" s="1076" t="str">
        <f>IFERROR(__xludf.DUMMYFUNCTION("""COMPUTED_VALUE"""),"1JG410P06207")</f>
        <v>1JG410P06207</v>
      </c>
      <c r="K379" s="1076">
        <f>IFERROR(__xludf.DUMMYFUNCTION("""COMPUTED_VALUE"""),7)</f>
        <v>7</v>
      </c>
      <c r="L379" s="1076" t="str">
        <f>IFERROR(__xludf.DUMMYFUNCTION("""COMPUTED_VALUE"""),"KLH")</f>
        <v>KLH</v>
      </c>
    </row>
    <row r="380" customHeight="1" spans="1:12">
      <c r="A380" s="1089" t="str">
        <f>IFERROR(__xludf.DUMMYFUNCTION("""COMPUTED_VALUE"""),"XB1-XXL-009")</f>
        <v>XB1-XXL-009</v>
      </c>
      <c r="B380" s="1075" t="str">
        <f>IFERROR(__xludf.DUMMYFUNCTION("""COMPUTED_VALUE"""),"Xe xúc lật LEHMAN ZL946PR")</f>
        <v>Xe xúc lật LEHMAN ZL946PR</v>
      </c>
      <c r="C380" s="1076" t="str">
        <f>IFERROR(__xludf.DUMMYFUNCTION("""COMPUTED_VALUE"""),"XN Bò AD")</f>
        <v>XN Bò AD</v>
      </c>
      <c r="D380" s="1076" t="str">
        <f>IFERROR(__xludf.DUMMYFUNCTION("""COMPUTED_VALUE"""),"LEHMAN")</f>
        <v>LEHMAN</v>
      </c>
      <c r="E380" s="1076" t="str">
        <f>IFERROR(__xludf.DUMMYFUNCTION("""COMPUTED_VALUE"""),"TRUNG QUỐC")</f>
        <v>TRUNG QUỐC</v>
      </c>
      <c r="F380" s="1076">
        <f>IFERROR(__xludf.DUMMYFUNCTION("""COMPUTED_VALUE"""),2024)</f>
        <v>2024</v>
      </c>
      <c r="G380" s="1076" t="str">
        <f>IFERROR(__xludf.DUMMYFUNCTION("""COMPUTED_VALUE"""),"ZL946PR")</f>
        <v>ZL946PR</v>
      </c>
      <c r="H380" s="1076" t="str">
        <f>IFERROR(__xludf.DUMMYFUNCTION("""COMPUTED_VALUE"""),"114HP")</f>
        <v>114HP</v>
      </c>
      <c r="I380" s="1076" t="str">
        <f>IFERROR(__xludf.DUMMYFUNCTION("""COMPUTED_VALUE"""),"SY24050287")</f>
        <v>SY24050287</v>
      </c>
      <c r="J380" s="1076" t="str">
        <f>IFERROR(__xludf.DUMMYFUNCTION("""COMPUTED_VALUE"""),"1JG410R01725")</f>
        <v>1JG410R01725</v>
      </c>
      <c r="K380" s="1076">
        <f>IFERROR(__xludf.DUMMYFUNCTION("""COMPUTED_VALUE"""),7)</f>
        <v>7</v>
      </c>
      <c r="L380" s="1076" t="str">
        <f>IFERROR(__xludf.DUMMYFUNCTION("""COMPUTED_VALUE"""),"KLH")</f>
        <v>KLH</v>
      </c>
    </row>
    <row r="381" customHeight="1" spans="1:12">
      <c r="A381" s="1089" t="str">
        <f>IFERROR(__xludf.DUMMYFUNCTION("""COMPUTED_VALUE"""),"XB1-XXL-010")</f>
        <v>XB1-XXL-010</v>
      </c>
      <c r="B381" s="1075" t="str">
        <f>IFERROR(__xludf.DUMMYFUNCTION("""COMPUTED_VALUE"""),"Xe xúc lật LEHMAN ZL946GP")</f>
        <v>Xe xúc lật LEHMAN ZL946GP</v>
      </c>
      <c r="C381" s="1076" t="str">
        <f>IFERROR(__xludf.DUMMYFUNCTION("""COMPUTED_VALUE"""),"XN Bò AD")</f>
        <v>XN Bò AD</v>
      </c>
      <c r="D381" s="1076" t="str">
        <f>IFERROR(__xludf.DUMMYFUNCTION("""COMPUTED_VALUE"""),"LEHMAN")</f>
        <v>LEHMAN</v>
      </c>
      <c r="E381" s="1076" t="str">
        <f>IFERROR(__xludf.DUMMYFUNCTION("""COMPUTED_VALUE"""),"TRUNG QUỐC")</f>
        <v>TRUNG QUỐC</v>
      </c>
      <c r="F381" s="1076">
        <f>IFERROR(__xludf.DUMMYFUNCTION("""COMPUTED_VALUE"""),2024)</f>
        <v>2024</v>
      </c>
      <c r="G381" s="1076" t="str">
        <f>IFERROR(__xludf.DUMMYFUNCTION("""COMPUTED_VALUE"""),"ZL946GP")</f>
        <v>ZL946GP</v>
      </c>
      <c r="H381" s="1076" t="str">
        <f>IFERROR(__xludf.DUMMYFUNCTION("""COMPUTED_VALUE"""),"114HP")</f>
        <v>114HP</v>
      </c>
      <c r="I381" s="1076" t="str">
        <f>IFERROR(__xludf.DUMMYFUNCTION("""COMPUTED_VALUE"""),"SY24070162")</f>
        <v>SY24070162</v>
      </c>
      <c r="J381" s="1076" t="str">
        <f>IFERROR(__xludf.DUMMYFUNCTION("""COMPUTED_VALUE"""),"1JG410R02694")</f>
        <v>1JG410R02694</v>
      </c>
      <c r="K381" s="1076">
        <f>IFERROR(__xludf.DUMMYFUNCTION("""COMPUTED_VALUE"""),7)</f>
        <v>7</v>
      </c>
      <c r="L381" s="1076" t="str">
        <f>IFERROR(__xludf.DUMMYFUNCTION("""COMPUTED_VALUE"""),"KLH")</f>
        <v>KLH</v>
      </c>
    </row>
    <row r="382" customHeight="1" spans="1:12">
      <c r="A382" s="1089" t="str">
        <f>IFERROR(__xludf.DUMMYFUNCTION("""COMPUTED_VALUE"""),"XB1-XXL-011")</f>
        <v>XB1-XXL-011</v>
      </c>
      <c r="B382" s="1075" t="str">
        <f>IFERROR(__xludf.DUMMYFUNCTION("""COMPUTED_VALUE"""),"Xe xúc lật LEHMAN ZL946GP")</f>
        <v>Xe xúc lật LEHMAN ZL946GP</v>
      </c>
      <c r="C382" s="1076" t="str">
        <f>IFERROR(__xludf.DUMMYFUNCTION("""COMPUTED_VALUE"""),"XN Bò AD")</f>
        <v>XN Bò AD</v>
      </c>
      <c r="D382" s="1076" t="str">
        <f>IFERROR(__xludf.DUMMYFUNCTION("""COMPUTED_VALUE"""),"LEHMAN")</f>
        <v>LEHMAN</v>
      </c>
      <c r="E382" s="1076" t="str">
        <f>IFERROR(__xludf.DUMMYFUNCTION("""COMPUTED_VALUE"""),"TRUNG QUỐC")</f>
        <v>TRUNG QUỐC</v>
      </c>
      <c r="F382" s="1076">
        <f>IFERROR(__xludf.DUMMYFUNCTION("""COMPUTED_VALUE"""),2024)</f>
        <v>2024</v>
      </c>
      <c r="G382" s="1076" t="str">
        <f>IFERROR(__xludf.DUMMYFUNCTION("""COMPUTED_VALUE"""),"ZL946GP")</f>
        <v>ZL946GP</v>
      </c>
      <c r="H382" s="1076" t="str">
        <f>IFERROR(__xludf.DUMMYFUNCTION("""COMPUTED_VALUE"""),"114HP")</f>
        <v>114HP</v>
      </c>
      <c r="I382" s="1076" t="str">
        <f>IFERROR(__xludf.DUMMYFUNCTION("""COMPUTED_VALUE"""),"SY35080163")</f>
        <v>SY35080163</v>
      </c>
      <c r="J382" s="1076" t="str">
        <f>IFERROR(__xludf.DUMMYFUNCTION("""COMPUTED_VALUE"""),"1JG410R02705")</f>
        <v>1JG410R02705</v>
      </c>
      <c r="K382" s="1076">
        <f>IFERROR(__xludf.DUMMYFUNCTION("""COMPUTED_VALUE"""),7)</f>
        <v>7</v>
      </c>
      <c r="L382" s="1076" t="str">
        <f>IFERROR(__xludf.DUMMYFUNCTION("""COMPUTED_VALUE"""),"KLH")</f>
        <v>KLH</v>
      </c>
    </row>
    <row r="383" customHeight="1" spans="1:12">
      <c r="A383" s="1089" t="str">
        <f>IFERROR(__xludf.DUMMYFUNCTION("""COMPUTED_VALUE"""),"XB1-XXL-012")</f>
        <v>XB1-XXL-012</v>
      </c>
      <c r="B383" s="1075" t="str">
        <f>IFERROR(__xludf.DUMMYFUNCTION("""COMPUTED_VALUE"""),"Xe xúc lật SDLG L936H")</f>
        <v>Xe xúc lật SDLG L936H</v>
      </c>
      <c r="C383" s="1076" t="str">
        <f>IFERROR(__xludf.DUMMYFUNCTION("""COMPUTED_VALUE"""),"XN Bò AD")</f>
        <v>XN Bò AD</v>
      </c>
      <c r="D383" s="1076" t="str">
        <f>IFERROR(__xludf.DUMMYFUNCTION("""COMPUTED_VALUE"""),"SDLG")</f>
        <v>SDLG</v>
      </c>
      <c r="E383" s="1076" t="str">
        <f>IFERROR(__xludf.DUMMYFUNCTION("""COMPUTED_VALUE"""),"TRUNG QUỐC")</f>
        <v>TRUNG QUỐC</v>
      </c>
      <c r="F383" s="1076">
        <f>IFERROR(__xludf.DUMMYFUNCTION("""COMPUTED_VALUE"""),2025)</f>
        <v>2025</v>
      </c>
      <c r="G383" s="1076" t="str">
        <f>IFERROR(__xludf.DUMMYFUNCTION("""COMPUTED_VALUE"""),"L936H")</f>
        <v>L936H</v>
      </c>
      <c r="H383" s="1076" t="str">
        <f>IFERROR(__xludf.DUMMYFUNCTION("""COMPUTED_VALUE"""),"143HP")</f>
        <v>143HP</v>
      </c>
      <c r="I383" s="1076" t="str">
        <f>IFERROR(__xludf.DUMMYFUNCTION("""COMPUTED_VALUE"""),"VLGL936HLR0620877")</f>
        <v>VLGL936HLR0620877</v>
      </c>
      <c r="J383" s="1076" t="str">
        <f>IFERROR(__xludf.DUMMYFUNCTION("""COMPUTED_VALUE"""),"WP6G140E226P24S022431")</f>
        <v>WP6G140E226P24S022431</v>
      </c>
      <c r="K383" s="1076">
        <f>IFERROR(__xludf.DUMMYFUNCTION("""COMPUTED_VALUE"""),12)</f>
        <v>12</v>
      </c>
      <c r="L383" s="1076" t="str">
        <f>IFERROR(__xludf.DUMMYFUNCTION("""COMPUTED_VALUE"""),"KLH")</f>
        <v>KLH</v>
      </c>
    </row>
    <row r="384" customHeight="1" spans="1:12">
      <c r="A384" s="1089" t="str">
        <f>IFERROR(__xludf.DUMMYFUNCTION("""COMPUTED_VALUE"""),"XB1-XXL-013")</f>
        <v>XB1-XXL-013</v>
      </c>
      <c r="B384" s="1075" t="str">
        <f>IFERROR(__xludf.DUMMYFUNCTION("""COMPUTED_VALUE"""),"Xe xúc lật SDLG L936H")</f>
        <v>Xe xúc lật SDLG L936H</v>
      </c>
      <c r="C384" s="1076" t="str">
        <f>IFERROR(__xludf.DUMMYFUNCTION("""COMPUTED_VALUE"""),"XN Bò AD")</f>
        <v>XN Bò AD</v>
      </c>
      <c r="D384" s="1076" t="str">
        <f>IFERROR(__xludf.DUMMYFUNCTION("""COMPUTED_VALUE"""),"SDLG")</f>
        <v>SDLG</v>
      </c>
      <c r="E384" s="1076" t="str">
        <f>IFERROR(__xludf.DUMMYFUNCTION("""COMPUTED_VALUE"""),"TRUNG QUỐC")</f>
        <v>TRUNG QUỐC</v>
      </c>
      <c r="F384" s="1076">
        <f>IFERROR(__xludf.DUMMYFUNCTION("""COMPUTED_VALUE"""),2025)</f>
        <v>2025</v>
      </c>
      <c r="G384" s="1076" t="str">
        <f>IFERROR(__xludf.DUMMYFUNCTION("""COMPUTED_VALUE"""),"L936H")</f>
        <v>L936H</v>
      </c>
      <c r="H384" s="1076" t="str">
        <f>IFERROR(__xludf.DUMMYFUNCTION("""COMPUTED_VALUE"""),"143HP")</f>
        <v>143HP</v>
      </c>
      <c r="I384" s="1076" t="str">
        <f>IFERROR(__xludf.DUMMYFUNCTION("""COMPUTED_VALUE"""),"VLGL936HVS0620901")</f>
        <v>VLGL936HVS0620901</v>
      </c>
      <c r="J384" s="1076" t="str">
        <f>IFERROR(__xludf.DUMMYFUNCTION("""COMPUTED_VALUE"""),"WP6G140E226P24K026707")</f>
        <v>WP6G140E226P24K026707</v>
      </c>
      <c r="K384" s="1076">
        <f>IFERROR(__xludf.DUMMYFUNCTION("""COMPUTED_VALUE"""),12)</f>
        <v>12</v>
      </c>
      <c r="L384" s="1076" t="str">
        <f>IFERROR(__xludf.DUMMYFUNCTION("""COMPUTED_VALUE"""),"KLH")</f>
        <v>KLH</v>
      </c>
    </row>
    <row r="385" customHeight="1" spans="1:12">
      <c r="A385" s="1089" t="str">
        <f>IFERROR(__xludf.DUMMYFUNCTION("""COMPUTED_VALUE"""),"XB1-XXL-014")</f>
        <v>XB1-XXL-014</v>
      </c>
      <c r="B385" s="1075" t="str">
        <f>IFERROR(__xludf.DUMMYFUNCTION("""COMPUTED_VALUE"""),"Xe xúc lật TCM 709")</f>
        <v>Xe xúc lật TCM 709</v>
      </c>
      <c r="C385" s="1076" t="str">
        <f>IFERROR(__xludf.DUMMYFUNCTION("""COMPUTED_VALUE"""),"XN Bò AD")</f>
        <v>XN Bò AD</v>
      </c>
      <c r="D385" s="1076" t="str">
        <f>IFERROR(__xludf.DUMMYFUNCTION("""COMPUTED_VALUE"""),"TCM")</f>
        <v>TCM</v>
      </c>
      <c r="E385" s="1076" t="str">
        <f>IFERROR(__xludf.DUMMYFUNCTION("""COMPUTED_VALUE"""),"VIỆT NAM")</f>
        <v>VIỆT NAM</v>
      </c>
      <c r="F385" s="1076">
        <f>IFERROR(__xludf.DUMMYFUNCTION("""COMPUTED_VALUE"""),2007)</f>
        <v>2007</v>
      </c>
      <c r="G385" s="1076" t="str">
        <f>IFERROR(__xludf.DUMMYFUNCTION("""COMPUTED_VALUE"""),"V2403-M")</f>
        <v>V2403-M</v>
      </c>
      <c r="H385" s="1076" t="str">
        <f>IFERROR(__xludf.DUMMYFUNCTION("""COMPUTED_VALUE"""),"45HP")</f>
        <v>45HP</v>
      </c>
      <c r="I385" s="1076" t="str">
        <f>IFERROR(__xludf.DUMMYFUNCTION("""COMPUTED_VALUE"""),"56T01045")</f>
        <v>56T01045</v>
      </c>
      <c r="J385" s="1076" t="str">
        <f>IFERROR(__xludf.DUMMYFUNCTION("""COMPUTED_VALUE"""),"V2403-08-3116")</f>
        <v>V2403-08-3116</v>
      </c>
      <c r="K385" s="1076"/>
      <c r="L385" s="1076" t="str">
        <f>IFERROR(__xludf.DUMMYFUNCTION("""COMPUTED_VALUE"""),"KLH")</f>
        <v>KLH</v>
      </c>
    </row>
    <row r="386" customHeight="1" spans="1:12">
      <c r="A386" s="1089" t="str">
        <f>IFERROR(__xludf.DUMMYFUNCTION("""COMPUTED_VALUE"""),"XB1-XXL-015")</f>
        <v>XB1-XXL-015</v>
      </c>
      <c r="B386" s="1075" t="str">
        <f>IFERROR(__xludf.DUMMYFUNCTION("""COMPUTED_VALUE"""),"Xe xúc lật SDLG L936H")</f>
        <v>Xe xúc lật SDLG L936H</v>
      </c>
      <c r="C386" s="1076" t="str">
        <f>IFERROR(__xludf.DUMMYFUNCTION("""COMPUTED_VALUE"""),"XN Bò AD")</f>
        <v>XN Bò AD</v>
      </c>
      <c r="D386" s="1076" t="str">
        <f>IFERROR(__xludf.DUMMYFUNCTION("""COMPUTED_VALUE"""),"SDLG")</f>
        <v>SDLG</v>
      </c>
      <c r="E386" s="1076" t="str">
        <f>IFERROR(__xludf.DUMMYFUNCTION("""COMPUTED_VALUE"""),"TRUNG QUỐC")</f>
        <v>TRUNG QUỐC</v>
      </c>
      <c r="F386" s="1076">
        <f>IFERROR(__xludf.DUMMYFUNCTION("""COMPUTED_VALUE"""),2025)</f>
        <v>2025</v>
      </c>
      <c r="G386" s="1076" t="str">
        <f>IFERROR(__xludf.DUMMYFUNCTION("""COMPUTED_VALUE"""),"L936H")</f>
        <v>L936H</v>
      </c>
      <c r="H386" s="1076" t="str">
        <f>IFERROR(__xludf.DUMMYFUNCTION("""COMPUTED_VALUE"""),"142.7HP")</f>
        <v>142.7HP</v>
      </c>
      <c r="I386" s="1076" t="str">
        <f>IFERROR(__xludf.DUMMYFUNCTION("""COMPUTED_VALUE"""),"VLGL936HCS0621335")</f>
        <v>VLGL936HCS0621335</v>
      </c>
      <c r="J386" s="1076" t="str">
        <f>IFERROR(__xludf.DUMMYFUNCTION("""COMPUTED_VALUE"""),"WP6G140E226P25G016629")</f>
        <v>WP6G140E226P25G016629</v>
      </c>
      <c r="K386" s="1076"/>
      <c r="L386" s="1076" t="str">
        <f>IFERROR(__xludf.DUMMYFUNCTION("""COMPUTED_VALUE"""),"KLH")</f>
        <v>KLH</v>
      </c>
    </row>
    <row r="387" customHeight="1" spans="1:12">
      <c r="A387" s="1089" t="str">
        <f>IFERROR(__xludf.DUMMYFUNCTION("""COMPUTED_VALUE"""),"XB1-XXL-016")</f>
        <v>XB1-XXL-016</v>
      </c>
      <c r="B387" s="1075" t="str">
        <f>IFERROR(__xludf.DUMMYFUNCTION("""COMPUTED_VALUE"""),"Xe xúc lật BOBCAT 753")</f>
        <v>Xe xúc lật BOBCAT 753</v>
      </c>
      <c r="C387" s="1076" t="str">
        <f>IFERROR(__xludf.DUMMYFUNCTION("""COMPUTED_VALUE"""),"XN Bò AD")</f>
        <v>XN Bò AD</v>
      </c>
      <c r="D387" s="1076" t="str">
        <f>IFERROR(__xludf.DUMMYFUNCTION("""COMPUTED_VALUE"""),"BOBCAT")</f>
        <v>BOBCAT</v>
      </c>
      <c r="E387" s="1076" t="str">
        <f>IFERROR(__xludf.DUMMYFUNCTION("""COMPUTED_VALUE"""),"Mỹ")</f>
        <v>Mỹ</v>
      </c>
      <c r="F387" s="1076"/>
      <c r="G387" s="1076" t="str">
        <f>IFERROR(__xludf.DUMMYFUNCTION("""COMPUTED_VALUE"""),"753")</f>
        <v>753</v>
      </c>
      <c r="H387" s="1076" t="str">
        <f>IFERROR(__xludf.DUMMYFUNCTION("""COMPUTED_VALUE"""),"44Hp")</f>
        <v>44Hp</v>
      </c>
      <c r="I387" s="1076" t="str">
        <f>IFERROR(__xludf.DUMMYFUNCTION("""COMPUTED_VALUE"""),"511350401")</f>
        <v>511350401</v>
      </c>
      <c r="J387" s="1076" t="str">
        <f>IFERROR(__xludf.DUMMYFUNCTION("""COMPUTED_VALUE"""),"V2203-389041")</f>
        <v>V2203-389041</v>
      </c>
      <c r="K387" s="1076"/>
      <c r="L387" s="1076" t="str">
        <f>IFERROR(__xludf.DUMMYFUNCTION("""COMPUTED_VALUE"""),"KLH")</f>
        <v>KLH</v>
      </c>
    </row>
    <row r="388" customHeight="1" spans="1:12">
      <c r="A388" s="1089" t="str">
        <f>IFERROR(__xludf.DUMMYFUNCTION("""COMPUTED_VALUE"""),"XB1-XXL-017")</f>
        <v>XB1-XXL-017</v>
      </c>
      <c r="B388" s="1075" t="str">
        <f>IFERROR(__xludf.DUMMYFUNCTION("""COMPUTED_VALUE"""),"Xe xúc lật BOBCAT 763")</f>
        <v>Xe xúc lật BOBCAT 763</v>
      </c>
      <c r="C388" s="1076" t="str">
        <f>IFERROR(__xludf.DUMMYFUNCTION("""COMPUTED_VALUE"""),"XN Bò AD")</f>
        <v>XN Bò AD</v>
      </c>
      <c r="D388" s="1076" t="str">
        <f>IFERROR(__xludf.DUMMYFUNCTION("""COMPUTED_VALUE"""),"BOBCAT")</f>
        <v>BOBCAT</v>
      </c>
      <c r="E388" s="1076" t="str">
        <f>IFERROR(__xludf.DUMMYFUNCTION("""COMPUTED_VALUE"""),"Mỹ")</f>
        <v>Mỹ</v>
      </c>
      <c r="F388" s="1076"/>
      <c r="G388" s="1076" t="str">
        <f>IFERROR(__xludf.DUMMYFUNCTION("""COMPUTED_VALUE"""),"763")</f>
        <v>763</v>
      </c>
      <c r="H388" s="1076" t="str">
        <f>IFERROR(__xludf.DUMMYFUNCTION("""COMPUTED_VALUE"""),"46Hp")</f>
        <v>46Hp</v>
      </c>
      <c r="I388" s="1076" t="str">
        <f>IFERROR(__xludf.DUMMYFUNCTION("""COMPUTED_VALUE"""),"512215700")</f>
        <v>512215700</v>
      </c>
      <c r="J388" s="1076" t="str">
        <f>IFERROR(__xludf.DUMMYFUNCTION("""COMPUTED_VALUE"""),"V2203-111961")</f>
        <v>V2203-111961</v>
      </c>
      <c r="K388" s="1076"/>
      <c r="L388" s="1076" t="str">
        <f>IFERROR(__xludf.DUMMYFUNCTION("""COMPUTED_VALUE"""),"KLH")</f>
        <v>KLH</v>
      </c>
    </row>
    <row r="389" customHeight="1" spans="1:12">
      <c r="A389" s="1089" t="str">
        <f>IFERROR(__xludf.DUMMYFUNCTION("""COMPUTED_VALUE"""),"XB1-XNA-001")</f>
        <v>XB1-XNA-001</v>
      </c>
      <c r="B389" s="1075" t="str">
        <f>IFERROR(__xludf.DUMMYFUNCTION("""COMPUTED_VALUE"""),"Xe nâng điện 1.5 tấn")</f>
        <v>Xe nâng điện 1.5 tấn</v>
      </c>
      <c r="C389" s="1076" t="str">
        <f>IFERROR(__xludf.DUMMYFUNCTION("""COMPUTED_VALUE"""),"XN Bò AD")</f>
        <v>XN Bò AD</v>
      </c>
      <c r="D389" s="1076" t="str">
        <f>IFERROR(__xludf.DUMMYFUNCTION("""COMPUTED_VALUE"""),"KOMATSU")</f>
        <v>KOMATSU</v>
      </c>
      <c r="E389" s="1076" t="str">
        <f>IFERROR(__xludf.DUMMYFUNCTION("""COMPUTED_VALUE"""),"NHẬT BẢN")</f>
        <v>NHẬT BẢN</v>
      </c>
      <c r="F389" s="1076">
        <f>IFERROR(__xludf.DUMMYFUNCTION("""COMPUTED_VALUE"""),2015)</f>
        <v>2015</v>
      </c>
      <c r="G389" s="1076" t="str">
        <f>IFERROR(__xludf.DUMMYFUNCTION("""COMPUTED_VALUE"""),"FB15HB-12")</f>
        <v>FB15HB-12</v>
      </c>
      <c r="H389" s="1076" t="str">
        <f>IFERROR(__xludf.DUMMYFUNCTION("""COMPUTED_VALUE"""),"48V/280AH")</f>
        <v>48V/280AH</v>
      </c>
      <c r="I389" s="1076" t="str">
        <f>IFERROR(__xludf.DUMMYFUNCTION("""COMPUTED_VALUE"""),"838092")</f>
        <v>838092</v>
      </c>
      <c r="J389" s="1076" t="str">
        <f>IFERROR(__xludf.DUMMYFUNCTION("""COMPUTED_VALUE"""),"2C09/11")</f>
        <v>2C09/11</v>
      </c>
      <c r="K389" s="1076"/>
      <c r="L389" s="1076" t="str">
        <f>IFERROR(__xludf.DUMMYFUNCTION("""COMPUTED_VALUE"""),"KLH")</f>
        <v>KLH</v>
      </c>
    </row>
    <row r="390" customHeight="1" spans="1:12">
      <c r="A390" s="1089" t="str">
        <f>IFERROR(__xludf.DUMMYFUNCTION("""COMPUTED_VALUE"""),"XB1-XNA-002")</f>
        <v>XB1-XNA-002</v>
      </c>
      <c r="B390" s="1075" t="str">
        <f>IFERROR(__xludf.DUMMYFUNCTION("""COMPUTED_VALUE"""),"Xe nâng 3 tấn")</f>
        <v>Xe nâng 3 tấn</v>
      </c>
      <c r="C390" s="1076" t="str">
        <f>IFERROR(__xludf.DUMMYFUNCTION("""COMPUTED_VALUE"""),"XN Bò AD")</f>
        <v>XN Bò AD</v>
      </c>
      <c r="D390" s="1076" t="str">
        <f>IFERROR(__xludf.DUMMYFUNCTION("""COMPUTED_VALUE"""),"KOMATSU")</f>
        <v>KOMATSU</v>
      </c>
      <c r="E390" s="1076" t="str">
        <f>IFERROR(__xludf.DUMMYFUNCTION("""COMPUTED_VALUE"""),"NHẬT BẢN")</f>
        <v>NHẬT BẢN</v>
      </c>
      <c r="F390" s="1076">
        <f>IFERROR(__xludf.DUMMYFUNCTION("""COMPUTED_VALUE"""),2018)</f>
        <v>2018</v>
      </c>
      <c r="G390" s="1076" t="str">
        <f>IFERROR(__xludf.DUMMYFUNCTION("""COMPUTED_VALUE"""),"FD30T-17")</f>
        <v>FD30T-17</v>
      </c>
      <c r="H390" s="1076" t="str">
        <f>IFERROR(__xludf.DUMMYFUNCTION("""COMPUTED_VALUE"""),"30HP")</f>
        <v>30HP</v>
      </c>
      <c r="I390" s="1076" t="str">
        <f>IFERROR(__xludf.DUMMYFUNCTION("""COMPUTED_VALUE"""),"308754")</f>
        <v>308754</v>
      </c>
      <c r="J390" s="1076" t="str">
        <f>IFERROR(__xludf.DUMMYFUNCTION("""COMPUTED_VALUE"""),"CCN")</f>
        <v>CCN</v>
      </c>
      <c r="K390" s="1076">
        <f>IFERROR(__xludf.DUMMYFUNCTION("""COMPUTED_VALUE"""),2)</f>
        <v>2</v>
      </c>
      <c r="L390" s="1076" t="str">
        <f>IFERROR(__xludf.DUMMYFUNCTION("""COMPUTED_VALUE"""),"KLH")</f>
        <v>KLH</v>
      </c>
    </row>
    <row r="391" customHeight="1" spans="1:12">
      <c r="A391" s="1089" t="str">
        <f>IFERROR(__xludf.DUMMYFUNCTION("""COMPUTED_VALUE"""),"XB1-XNA-003")</f>
        <v>XB1-XNA-003</v>
      </c>
      <c r="B391" s="1075" t="str">
        <f>IFERROR(__xludf.DUMMYFUNCTION("""COMPUTED_VALUE"""),"Xe nâng điện 2.5 tấn")</f>
        <v>Xe nâng điện 2.5 tấn</v>
      </c>
      <c r="C391" s="1076" t="str">
        <f>IFERROR(__xludf.DUMMYFUNCTION("""COMPUTED_VALUE"""),"XN Bò AD")</f>
        <v>XN Bò AD</v>
      </c>
      <c r="D391" s="1076" t="str">
        <f>IFERROR(__xludf.DUMMYFUNCTION("""COMPUTED_VALUE"""),"KOMATSU")</f>
        <v>KOMATSU</v>
      </c>
      <c r="E391" s="1076" t="str">
        <f>IFERROR(__xludf.DUMMYFUNCTION("""COMPUTED_VALUE"""),"NHẬT BẢN")</f>
        <v>NHẬT BẢN</v>
      </c>
      <c r="F391" s="1076"/>
      <c r="G391" s="1076" t="str">
        <f>IFERROR(__xludf.DUMMYFUNCTION("""COMPUTED_VALUE"""),"CP-CY25DC1B")</f>
        <v>CP-CY25DC1B</v>
      </c>
      <c r="H391" s="1076" t="str">
        <f>IFERROR(__xludf.DUMMYFUNCTION("""COMPUTED_VALUE"""),"-")</f>
        <v>-</v>
      </c>
      <c r="I391" s="1076" t="str">
        <f>IFERROR(__xludf.DUMMYFUNCTION("""COMPUTED_VALUE"""),"806003")</f>
        <v>806003</v>
      </c>
      <c r="J391" s="1076" t="str">
        <f>IFERROR(__xludf.DUMMYFUNCTION("""COMPUTED_VALUE"""),"CCN")</f>
        <v>CCN</v>
      </c>
      <c r="K391" s="1076"/>
      <c r="L391" s="1076" t="str">
        <f>IFERROR(__xludf.DUMMYFUNCTION("""COMPUTED_VALUE"""),"KLH")</f>
        <v>KLH</v>
      </c>
    </row>
    <row r="392" customHeight="1" spans="1:12">
      <c r="A392" s="1089" t="str">
        <f>IFERROR(__xludf.DUMMYFUNCTION("""COMPUTED_VALUE"""),"XB1-XNA-004")</f>
        <v>XB1-XNA-004</v>
      </c>
      <c r="B392" s="1075" t="str">
        <f>IFERROR(__xludf.DUMMYFUNCTION("""COMPUTED_VALUE"""),"Xe nâng dầu KOMATSU 3.5 tấn")</f>
        <v>Xe nâng dầu KOMATSU 3.5 tấn</v>
      </c>
      <c r="C392" s="1076" t="str">
        <f>IFERROR(__xludf.DUMMYFUNCTION("""COMPUTED_VALUE"""),"XN Bò AD")</f>
        <v>XN Bò AD</v>
      </c>
      <c r="D392" s="1076" t="str">
        <f>IFERROR(__xludf.DUMMYFUNCTION("""COMPUTED_VALUE"""),"KOMATSU")</f>
        <v>KOMATSU</v>
      </c>
      <c r="E392" s="1076" t="str">
        <f>IFERROR(__xludf.DUMMYFUNCTION("""COMPUTED_VALUE"""),"NHẬT BẢN")</f>
        <v>NHẬT BẢN</v>
      </c>
      <c r="F392" s="1076">
        <f>IFERROR(__xludf.DUMMYFUNCTION("""COMPUTED_VALUE"""),2013)</f>
        <v>2013</v>
      </c>
      <c r="G392" s="1076" t="str">
        <f>IFERROR(__xludf.DUMMYFUNCTION("""COMPUTED_VALUE"""),"FH35-1")</f>
        <v>FH35-1</v>
      </c>
      <c r="H392" s="1076" t="str">
        <f>IFERROR(__xludf.DUMMYFUNCTION("""COMPUTED_VALUE"""),"70 HP")</f>
        <v>70 HP</v>
      </c>
      <c r="I392" s="1076" t="str">
        <f>IFERROR(__xludf.DUMMYFUNCTION("""COMPUTED_VALUE"""),"38377")</f>
        <v>38377</v>
      </c>
      <c r="J392" s="1076" t="str">
        <f>IFERROR(__xludf.DUMMYFUNCTION("""COMPUTED_VALUE"""),"CCN")</f>
        <v>CCN</v>
      </c>
      <c r="K392" s="1076">
        <f>IFERROR(__xludf.DUMMYFUNCTION("""COMPUTED_VALUE"""),4)</f>
        <v>4</v>
      </c>
      <c r="L392" s="1076" t="str">
        <f>IFERROR(__xludf.DUMMYFUNCTION("""COMPUTED_VALUE"""),"KLH")</f>
        <v>KLH</v>
      </c>
    </row>
    <row r="393" customHeight="1" spans="1:12">
      <c r="A393" s="1089" t="str">
        <f>IFERROR(__xludf.DUMMYFUNCTION("""COMPUTED_VALUE"""),"XB1-XNA-005")</f>
        <v>XB1-XNA-005</v>
      </c>
      <c r="B393" s="1075" t="str">
        <f>IFERROR(__xludf.DUMMYFUNCTION("""COMPUTED_VALUE"""),"Xe nâng dầu HELI 3.5 tấn")</f>
        <v>Xe nâng dầu HELI 3.5 tấn</v>
      </c>
      <c r="C393" s="1076" t="str">
        <f>IFERROR(__xludf.DUMMYFUNCTION("""COMPUTED_VALUE"""),"XN Bò AD")</f>
        <v>XN Bò AD</v>
      </c>
      <c r="D393" s="1076" t="str">
        <f>IFERROR(__xludf.DUMMYFUNCTION("""COMPUTED_VALUE"""),"HELI")</f>
        <v>HELI</v>
      </c>
      <c r="E393" s="1076" t="str">
        <f>IFERROR(__xludf.DUMMYFUNCTION("""COMPUTED_VALUE"""),"NHẬT BẢN")</f>
        <v>NHẬT BẢN</v>
      </c>
      <c r="F393" s="1076">
        <f>IFERROR(__xludf.DUMMYFUNCTION("""COMPUTED_VALUE"""),2024)</f>
        <v>2024</v>
      </c>
      <c r="G393" s="1076" t="str">
        <f>IFERROR(__xludf.DUMMYFUNCTION("""COMPUTED_VALUE"""),"CPCD35")</f>
        <v>CPCD35</v>
      </c>
      <c r="H393" s="1076" t="str">
        <f>IFERROR(__xludf.DUMMYFUNCTION("""COMPUTED_VALUE"""),"60HP")</f>
        <v>60HP</v>
      </c>
      <c r="I393" s="1076" t="str">
        <f>IFERROR(__xludf.DUMMYFUNCTION("""COMPUTED_VALUE"""),"010353K5641")</f>
        <v>010353K5641</v>
      </c>
      <c r="J393" s="1076" t="str">
        <f>IFERROR(__xludf.DUMMYFUNCTION("""COMPUTED_VALUE"""),"4JG2-650393")</f>
        <v>4JG2-650393</v>
      </c>
      <c r="K393" s="1076">
        <f>IFERROR(__xludf.DUMMYFUNCTION("""COMPUTED_VALUE"""),4)</f>
        <v>4</v>
      </c>
      <c r="L393" s="1076" t="str">
        <f>IFERROR(__xludf.DUMMYFUNCTION("""COMPUTED_VALUE"""),"KLH")</f>
        <v>KLH</v>
      </c>
    </row>
    <row r="394" customHeight="1" spans="1:12">
      <c r="A394" s="1089" t="str">
        <f>IFERROR(__xludf.DUMMYFUNCTION("""COMPUTED_VALUE"""),"XB1-XNA-006")</f>
        <v>XB1-XNA-006</v>
      </c>
      <c r="B394" s="1075" t="str">
        <f>IFERROR(__xludf.DUMMYFUNCTION("""COMPUTED_VALUE"""),"Xe nâng dầu HELI 3.5 tấn")</f>
        <v>Xe nâng dầu HELI 3.5 tấn</v>
      </c>
      <c r="C394" s="1076" t="str">
        <f>IFERROR(__xludf.DUMMYFUNCTION("""COMPUTED_VALUE"""),"XN Bò AD")</f>
        <v>XN Bò AD</v>
      </c>
      <c r="D394" s="1076" t="str">
        <f>IFERROR(__xludf.DUMMYFUNCTION("""COMPUTED_VALUE"""),"HELI")</f>
        <v>HELI</v>
      </c>
      <c r="E394" s="1076" t="str">
        <f>IFERROR(__xludf.DUMMYFUNCTION("""COMPUTED_VALUE"""),"NHẬT BẢN")</f>
        <v>NHẬT BẢN</v>
      </c>
      <c r="F394" s="1076">
        <f>IFERROR(__xludf.DUMMYFUNCTION("""COMPUTED_VALUE"""),2024)</f>
        <v>2024</v>
      </c>
      <c r="G394" s="1076" t="str">
        <f>IFERROR(__xludf.DUMMYFUNCTION("""COMPUTED_VALUE"""),"CPCD35")</f>
        <v>CPCD35</v>
      </c>
      <c r="H394" s="1076" t="str">
        <f>IFERROR(__xludf.DUMMYFUNCTION("""COMPUTED_VALUE"""),"60HP")</f>
        <v>60HP</v>
      </c>
      <c r="I394" s="1076" t="str">
        <f>IFERROR(__xludf.DUMMYFUNCTION("""COMPUTED_VALUE"""),"010353H8176")</f>
        <v>010353H8176</v>
      </c>
      <c r="J394" s="1076" t="str">
        <f>IFERROR(__xludf.DUMMYFUNCTION("""COMPUTED_VALUE"""),"4JG2-649490")</f>
        <v>4JG2-649490</v>
      </c>
      <c r="K394" s="1076">
        <f>IFERROR(__xludf.DUMMYFUNCTION("""COMPUTED_VALUE"""),4)</f>
        <v>4</v>
      </c>
      <c r="L394" s="1076" t="str">
        <f>IFERROR(__xludf.DUMMYFUNCTION("""COMPUTED_VALUE"""),"KLH")</f>
        <v>KLH</v>
      </c>
    </row>
    <row r="395" customHeight="1" spans="1:12">
      <c r="A395" s="1089" t="str">
        <f>IFERROR(__xludf.DUMMYFUNCTION("""COMPUTED_VALUE"""),"XB1-MĐA-004")</f>
        <v>XB1-MĐA-004</v>
      </c>
      <c r="B395" s="1075" t="str">
        <f>IFERROR(__xludf.DUMMYFUNCTION("""COMPUTED_VALUE"""),"Máy đào KOMATSU bánh xích gàu 0.3m3")</f>
        <v>Máy đào KOMATSU bánh xích gàu 0.3m3</v>
      </c>
      <c r="C395" s="1076" t="str">
        <f>IFERROR(__xludf.DUMMYFUNCTION("""COMPUTED_VALUE"""),"XN Bò AD")</f>
        <v>XN Bò AD</v>
      </c>
      <c r="D395" s="1076" t="str">
        <f>IFERROR(__xludf.DUMMYFUNCTION("""COMPUTED_VALUE"""),"KOMATSU")</f>
        <v>KOMATSU</v>
      </c>
      <c r="E395" s="1076" t="str">
        <f>IFERROR(__xludf.DUMMYFUNCTION("""COMPUTED_VALUE"""),"NHẬT BẢN")</f>
        <v>NHẬT BẢN</v>
      </c>
      <c r="F395" s="1076">
        <f>IFERROR(__xludf.DUMMYFUNCTION("""COMPUTED_VALUE"""),2006)</f>
        <v>2006</v>
      </c>
      <c r="G395" s="1076" t="str">
        <f>IFERROR(__xludf.DUMMYFUNCTION("""COMPUTED_VALUE"""),"PC50MR-2")</f>
        <v>PC50MR-2</v>
      </c>
      <c r="H395" s="1076" t="str">
        <f>IFERROR(__xludf.DUMMYFUNCTION("""COMPUTED_VALUE"""),"39HP")</f>
        <v>39HP</v>
      </c>
      <c r="I395" s="1076" t="str">
        <f>IFERROR(__xludf.DUMMYFUNCTION("""COMPUTED_VALUE"""),"KMTPC094K05007351")</f>
        <v>KMTPC094K05007351</v>
      </c>
      <c r="J395" s="1076" t="str">
        <f>IFERROR(__xludf.DUMMYFUNCTION("""COMPUTED_VALUE"""),"CCN")</f>
        <v>CCN</v>
      </c>
      <c r="K395" s="1076">
        <f>IFERROR(__xludf.DUMMYFUNCTION("""COMPUTED_VALUE"""),4)</f>
        <v>4</v>
      </c>
      <c r="L395" s="1076" t="str">
        <f>IFERROR(__xludf.DUMMYFUNCTION("""COMPUTED_VALUE"""),"KLH")</f>
        <v>KLH</v>
      </c>
    </row>
    <row r="396" customHeight="1" spans="1:12">
      <c r="A396" s="1089" t="str">
        <f>IFERROR(__xludf.DUMMYFUNCTION("""COMPUTED_VALUE"""),"XB1-MĐA-005")</f>
        <v>XB1-MĐA-005</v>
      </c>
      <c r="B396" s="1075" t="str">
        <f>IFERROR(__xludf.DUMMYFUNCTION("""COMPUTED_VALUE"""),"Máy đào ROBEX 140W bánh lốp gàu 0.5m3")</f>
        <v>Máy đào ROBEX 140W bánh lốp gàu 0.5m3</v>
      </c>
      <c r="C396" s="1076" t="str">
        <f>IFERROR(__xludf.DUMMYFUNCTION("""COMPUTED_VALUE"""),"XN Bò AD")</f>
        <v>XN Bò AD</v>
      </c>
      <c r="D396" s="1076" t="str">
        <f>IFERROR(__xludf.DUMMYFUNCTION("""COMPUTED_VALUE"""),"HYUNDAI")</f>
        <v>HYUNDAI</v>
      </c>
      <c r="E396" s="1076" t="str">
        <f>IFERROR(__xludf.DUMMYFUNCTION("""COMPUTED_VALUE"""),"HÀN QUỐC")</f>
        <v>HÀN QUỐC</v>
      </c>
      <c r="F396" s="1076">
        <f>IFERROR(__xludf.DUMMYFUNCTION("""COMPUTED_VALUE"""),2012)</f>
        <v>2012</v>
      </c>
      <c r="G396" s="1076" t="str">
        <f>IFERROR(__xludf.DUMMYFUNCTION("""COMPUTED_VALUE"""),"ROBEX 140W")</f>
        <v>ROBEX 140W</v>
      </c>
      <c r="H396" s="1076" t="str">
        <f>IFERROR(__xludf.DUMMYFUNCTION("""COMPUTED_VALUE"""),"133HP")</f>
        <v>133HP</v>
      </c>
      <c r="I396" s="1076" t="str">
        <f>IFERROR(__xludf.DUMMYFUNCTION("""COMPUTED_VALUE"""),"4LC0001417")</f>
        <v>4LC0001417</v>
      </c>
      <c r="J396" s="1076" t="str">
        <f>IFERROR(__xludf.DUMMYFUNCTION("""COMPUTED_VALUE"""),"73390872")</f>
        <v>73390872</v>
      </c>
      <c r="K396" s="1076">
        <f>IFERROR(__xludf.DUMMYFUNCTION("""COMPUTED_VALUE"""),12)</f>
        <v>12</v>
      </c>
      <c r="L396" s="1076" t="str">
        <f>IFERROR(__xludf.DUMMYFUNCTION("""COMPUTED_VALUE"""),"KLH")</f>
        <v>KLH</v>
      </c>
    </row>
    <row r="397" customHeight="1" spans="1:12">
      <c r="A397" s="1089" t="str">
        <f>IFERROR(__xludf.DUMMYFUNCTION("""COMPUTED_VALUE"""),"XB1-MĐA-006")</f>
        <v>XB1-MĐA-006</v>
      </c>
      <c r="B397" s="1075" t="str">
        <f>IFERROR(__xludf.DUMMYFUNCTION("""COMPUTED_VALUE"""),"Máy đào KOMATSU bánh lốp gàu 0.7m3")</f>
        <v>Máy đào KOMATSU bánh lốp gàu 0.7m3</v>
      </c>
      <c r="C397" s="1076" t="str">
        <f>IFERROR(__xludf.DUMMYFUNCTION("""COMPUTED_VALUE"""),"XN Bò AD")</f>
        <v>XN Bò AD</v>
      </c>
      <c r="D397" s="1076" t="str">
        <f>IFERROR(__xludf.DUMMYFUNCTION("""COMPUTED_VALUE"""),"KOMATSU")</f>
        <v>KOMATSU</v>
      </c>
      <c r="E397" s="1076" t="str">
        <f>IFERROR(__xludf.DUMMYFUNCTION("""COMPUTED_VALUE"""),"ĐỨC")</f>
        <v>ĐỨC</v>
      </c>
      <c r="F397" s="1076">
        <f>IFERROR(__xludf.DUMMYFUNCTION("""COMPUTED_VALUE"""),2006)</f>
        <v>2006</v>
      </c>
      <c r="G397" s="1076" t="str">
        <f>IFERROR(__xludf.DUMMYFUNCTION("""COMPUTED_VALUE"""),"PW160-7")</f>
        <v>PW160-7</v>
      </c>
      <c r="H397" s="1076" t="str">
        <f>IFERROR(__xludf.DUMMYFUNCTION("""COMPUTED_VALUE"""),"120HP")</f>
        <v>120HP</v>
      </c>
      <c r="I397" s="1076" t="str">
        <f>IFERROR(__xludf.DUMMYFUNCTION("""COMPUTED_VALUE"""),"KMTPW013K79H50270")</f>
        <v>KMTPW013K79H50270</v>
      </c>
      <c r="J397" s="1076" t="str">
        <f>IFERROR(__xludf.DUMMYFUNCTION("""COMPUTED_VALUE"""),"21711747")</f>
        <v>21711747</v>
      </c>
      <c r="K397" s="1076">
        <f>IFERROR(__xludf.DUMMYFUNCTION("""COMPUTED_VALUE"""),10)</f>
        <v>10</v>
      </c>
      <c r="L397" s="1076" t="str">
        <f>IFERROR(__xludf.DUMMYFUNCTION("""COMPUTED_VALUE"""),"KLH")</f>
        <v>KLH</v>
      </c>
    </row>
    <row r="398" customHeight="1" spans="1:12">
      <c r="A398" s="1089" t="str">
        <f>IFERROR(__xludf.DUMMYFUNCTION("""COMPUTED_VALUE"""),"XB1-MĐA-003")</f>
        <v>XB1-MĐA-003</v>
      </c>
      <c r="B398" s="1075" t="str">
        <f>IFERROR(__xludf.DUMMYFUNCTION("""COMPUTED_VALUE"""),"Máy đào CAT 305 bánh xích gàu 0.3m3")</f>
        <v>Máy đào CAT 305 bánh xích gàu 0.3m3</v>
      </c>
      <c r="C398" s="1076" t="str">
        <f>IFERROR(__xludf.DUMMYFUNCTION("""COMPUTED_VALUE"""),"CGTC AD")</f>
        <v>CGTC AD</v>
      </c>
      <c r="D398" s="1076" t="str">
        <f>IFERROR(__xludf.DUMMYFUNCTION("""COMPUTED_VALUE"""),"CAT")</f>
        <v>CAT</v>
      </c>
      <c r="E398" s="1076" t="str">
        <f>IFERROR(__xludf.DUMMYFUNCTION("""COMPUTED_VALUE"""),"NHẬT BẢN")</f>
        <v>NHẬT BẢN</v>
      </c>
      <c r="F398" s="1076"/>
      <c r="G398" s="1076" t="str">
        <f>IFERROR(__xludf.DUMMYFUNCTION("""COMPUTED_VALUE"""),"305")</f>
        <v>305</v>
      </c>
      <c r="H398" s="1076" t="str">
        <f>IFERROR(__xludf.DUMMYFUNCTION("""COMPUTED_VALUE"""),"42HP")</f>
        <v>42HP</v>
      </c>
      <c r="I398" s="1076" t="str">
        <f>IFERROR(__xludf.DUMMYFUNCTION("""COMPUTED_VALUE"""),"CAT00305HDCR00990")</f>
        <v>CAT00305HDCR00990</v>
      </c>
      <c r="J398" s="1076" t="str">
        <f>IFERROR(__xludf.DUMMYFUNCTION("""COMPUTED_VALUE"""),"20269B4")</f>
        <v>20269B4</v>
      </c>
      <c r="K398" s="1076">
        <f>IFERROR(__xludf.DUMMYFUNCTION("""COMPUTED_VALUE"""),4)</f>
        <v>4</v>
      </c>
      <c r="L398" s="1076" t="str">
        <f>IFERROR(__xludf.DUMMYFUNCTION("""COMPUTED_VALUE"""),"KLH")</f>
        <v>KLH</v>
      </c>
    </row>
    <row r="399" customHeight="1" spans="1:12">
      <c r="A399" s="1089" t="str">
        <f>IFERROR(__xludf.DUMMYFUNCTION("""COMPUTED_VALUE"""),"XB1-XCC-001")</f>
        <v>XB1-XCC-001</v>
      </c>
      <c r="B399" s="1075" t="str">
        <f>IFERROR(__xludf.DUMMYFUNCTION("""COMPUTED_VALUE"""),"Xe chở cám FC950")</f>
        <v>Xe chở cám FC950</v>
      </c>
      <c r="C399" s="1076" t="str">
        <f>IFERROR(__xludf.DUMMYFUNCTION("""COMPUTED_VALUE"""),"XN Bò AD")</f>
        <v>XN Bò AD</v>
      </c>
      <c r="D399" s="1076" t="str">
        <f>IFERROR(__xludf.DUMMYFUNCTION("""COMPUTED_VALUE"""),"THACO FORLAND")</f>
        <v>THACO FORLAND</v>
      </c>
      <c r="E399" s="1076" t="str">
        <f>IFERROR(__xludf.DUMMYFUNCTION("""COMPUTED_VALUE"""),"VIỆT NAM")</f>
        <v>VIỆT NAM</v>
      </c>
      <c r="F399" s="1076">
        <f>IFERROR(__xludf.DUMMYFUNCTION("""COMPUTED_VALUE"""),2018)</f>
        <v>2018</v>
      </c>
      <c r="G399" s="1076" t="str">
        <f>IFERROR(__xludf.DUMMYFUNCTION("""COMPUTED_VALUE"""),"FC950")</f>
        <v>FC950</v>
      </c>
      <c r="H399" s="1076" t="str">
        <f>IFERROR(__xludf.DUMMYFUNCTION("""COMPUTED_VALUE"""),"160HP")</f>
        <v>160HP</v>
      </c>
      <c r="I399" s="1076" t="str">
        <f>IFERROR(__xludf.DUMMYFUNCTION("""COMPUTED_VALUE"""),"RNHA16FYAJC084020")</f>
        <v>RNHA16FYAJC084020</v>
      </c>
      <c r="J399" s="1076" t="str">
        <f>IFERROR(__xludf.DUMMYFUNCTION("""COMPUTED_VALUE"""),"J00052")</f>
        <v>J00052</v>
      </c>
      <c r="K399" s="1076"/>
      <c r="L399" s="1076" t="str">
        <f>IFERROR(__xludf.DUMMYFUNCTION("""COMPUTED_VALUE"""),"KLH")</f>
        <v>KLH</v>
      </c>
    </row>
    <row r="400" customHeight="1" spans="1:12">
      <c r="A400" s="1089" t="str">
        <f>IFERROR(__xludf.DUMMYFUNCTION("""COMPUTED_VALUE"""),"XB1-XRA-001")</f>
        <v>XB1-XRA-001</v>
      </c>
      <c r="B400" s="1075" t="str">
        <f>IFERROR(__xludf.DUMMYFUNCTION("""COMPUTED_VALUE"""),"Xe rải thức ăn FD1600B (23m3)")</f>
        <v>Xe rải thức ăn FD1600B (23m3)</v>
      </c>
      <c r="C400" s="1076" t="str">
        <f>IFERROR(__xludf.DUMMYFUNCTION("""COMPUTED_VALUE"""),"XN Bò AD")</f>
        <v>XN Bò AD</v>
      </c>
      <c r="D400" s="1076" t="str">
        <f>IFERROR(__xludf.DUMMYFUNCTION("""COMPUTED_VALUE"""),"THACO FORLAND")</f>
        <v>THACO FORLAND</v>
      </c>
      <c r="E400" s="1076" t="str">
        <f>IFERROR(__xludf.DUMMYFUNCTION("""COMPUTED_VALUE"""),"VIỆT NAM")</f>
        <v>VIỆT NAM</v>
      </c>
      <c r="F400" s="1076">
        <f>IFERROR(__xludf.DUMMYFUNCTION("""COMPUTED_VALUE"""),2017)</f>
        <v>2017</v>
      </c>
      <c r="G400" s="1076" t="str">
        <f>IFERROR(__xludf.DUMMYFUNCTION("""COMPUTED_VALUE"""),"FD1600B")</f>
        <v>FD1600B</v>
      </c>
      <c r="H400" s="1076" t="str">
        <f>IFERROR(__xludf.DUMMYFUNCTION("""COMPUTED_VALUE"""),"180HP")</f>
        <v>180HP</v>
      </c>
      <c r="I400" s="1076" t="str">
        <f>IFERROR(__xludf.DUMMYFUNCTION("""COMPUTED_VALUE"""),"RNHD1600DHC070080")</f>
        <v>RNHD1600DHC070080</v>
      </c>
      <c r="J400" s="1076" t="str">
        <f>IFERROR(__xludf.DUMMYFUNCTION("""COMPUTED_VALUE"""),"WP6180E326P15D005529")</f>
        <v>WP6180E326P15D005529</v>
      </c>
      <c r="K400" s="1076">
        <f>IFERROR(__xludf.DUMMYFUNCTION("""COMPUTED_VALUE"""),0.46)</f>
        <v>0.46</v>
      </c>
      <c r="L400" s="1076" t="str">
        <f>IFERROR(__xludf.DUMMYFUNCTION("""COMPUTED_VALUE"""),"KLH")</f>
        <v>KLH</v>
      </c>
    </row>
    <row r="401" customHeight="1" spans="1:12">
      <c r="A401" s="1089" t="str">
        <f>IFERROR(__xludf.DUMMYFUNCTION("""COMPUTED_VALUE"""),"XB1-XRA-003")</f>
        <v>XB1-XRA-003</v>
      </c>
      <c r="B401" s="1075" t="str">
        <f>IFERROR(__xludf.DUMMYFUNCTION("""COMPUTED_VALUE"""),"Xe rải thức ăn FD1600B (23m3)")</f>
        <v>Xe rải thức ăn FD1600B (23m3)</v>
      </c>
      <c r="C401" s="1076" t="str">
        <f>IFERROR(__xludf.DUMMYFUNCTION("""COMPUTED_VALUE"""),"XN Bò AD")</f>
        <v>XN Bò AD</v>
      </c>
      <c r="D401" s="1076" t="str">
        <f>IFERROR(__xludf.DUMMYFUNCTION("""COMPUTED_VALUE"""),"THACO FORLAND")</f>
        <v>THACO FORLAND</v>
      </c>
      <c r="E401" s="1076" t="str">
        <f>IFERROR(__xludf.DUMMYFUNCTION("""COMPUTED_VALUE"""),"VIỆT NAM")</f>
        <v>VIỆT NAM</v>
      </c>
      <c r="F401" s="1076">
        <f>IFERROR(__xludf.DUMMYFUNCTION("""COMPUTED_VALUE"""),2017)</f>
        <v>2017</v>
      </c>
      <c r="G401" s="1076" t="str">
        <f>IFERROR(__xludf.DUMMYFUNCTION("""COMPUTED_VALUE"""),"FD1600B")</f>
        <v>FD1600B</v>
      </c>
      <c r="H401" s="1076" t="str">
        <f>IFERROR(__xludf.DUMMYFUNCTION("""COMPUTED_VALUE"""),"180HP")</f>
        <v>180HP</v>
      </c>
      <c r="I401" s="1076" t="str">
        <f>IFERROR(__xludf.DUMMYFUNCTION("""COMPUTED_VALUE"""),"RNHD1600DHC055025")</f>
        <v>RNHD1600DHC055025</v>
      </c>
      <c r="J401" s="1076" t="str">
        <f>IFERROR(__xludf.DUMMYFUNCTION("""COMPUTED_VALUE"""),"WP6180E326P15D005502")</f>
        <v>WP6180E326P15D005502</v>
      </c>
      <c r="K401" s="1076">
        <f>IFERROR(__xludf.DUMMYFUNCTION("""COMPUTED_VALUE"""),0.46)</f>
        <v>0.46</v>
      </c>
      <c r="L401" s="1076" t="str">
        <f>IFERROR(__xludf.DUMMYFUNCTION("""COMPUTED_VALUE"""),"KLH")</f>
        <v>KLH</v>
      </c>
    </row>
    <row r="402" customHeight="1" spans="1:12">
      <c r="A402" s="1089" t="str">
        <f>IFERROR(__xludf.DUMMYFUNCTION("""COMPUTED_VALUE"""),"XB1-XRA-004")</f>
        <v>XB1-XRA-004</v>
      </c>
      <c r="B402" s="1075" t="str">
        <f>IFERROR(__xludf.DUMMYFUNCTION("""COMPUTED_VALUE"""),"Xe rải thức ăn FD1600B (23m3)")</f>
        <v>Xe rải thức ăn FD1600B (23m3)</v>
      </c>
      <c r="C402" s="1076" t="str">
        <f>IFERROR(__xludf.DUMMYFUNCTION("""COMPUTED_VALUE"""),"XN Bò AD")</f>
        <v>XN Bò AD</v>
      </c>
      <c r="D402" s="1076" t="str">
        <f>IFERROR(__xludf.DUMMYFUNCTION("""COMPUTED_VALUE"""),"THACO FORLAND")</f>
        <v>THACO FORLAND</v>
      </c>
      <c r="E402" s="1076" t="str">
        <f>IFERROR(__xludf.DUMMYFUNCTION("""COMPUTED_VALUE"""),"VIỆT NAM")</f>
        <v>VIỆT NAM</v>
      </c>
      <c r="F402" s="1076">
        <f>IFERROR(__xludf.DUMMYFUNCTION("""COMPUTED_VALUE"""),2017)</f>
        <v>2017</v>
      </c>
      <c r="G402" s="1076" t="str">
        <f>IFERROR(__xludf.DUMMYFUNCTION("""COMPUTED_VALUE"""),"FD1600B")</f>
        <v>FD1600B</v>
      </c>
      <c r="H402" s="1076" t="str">
        <f>IFERROR(__xludf.DUMMYFUNCTION("""COMPUTED_VALUE"""),"180HP")</f>
        <v>180HP</v>
      </c>
      <c r="I402" s="1076" t="str">
        <f>IFERROR(__xludf.DUMMYFUNCTION("""COMPUTED_VALUE"""),"RNHD1600DHC056126")</f>
        <v>RNHD1600DHC056126</v>
      </c>
      <c r="J402" s="1076" t="str">
        <f>IFERROR(__xludf.DUMMYFUNCTION("""COMPUTED_VALUE"""),"WP6.180E326P15D005524")</f>
        <v>WP6.180E326P15D005524</v>
      </c>
      <c r="K402" s="1076">
        <f>IFERROR(__xludf.DUMMYFUNCTION("""COMPUTED_VALUE"""),5)</f>
        <v>5</v>
      </c>
      <c r="L402" s="1076" t="str">
        <f>IFERROR(__xludf.DUMMYFUNCTION("""COMPUTED_VALUE"""),"KLH")</f>
        <v>KLH</v>
      </c>
    </row>
    <row r="403" customHeight="1" spans="1:12">
      <c r="A403" s="1089" t="str">
        <f>IFERROR(__xludf.DUMMYFUNCTION("""COMPUTED_VALUE"""),"XB1-XRA-005")</f>
        <v>XB1-XRA-005</v>
      </c>
      <c r="B403" s="1075" t="str">
        <f>IFERROR(__xludf.DUMMYFUNCTION("""COMPUTED_VALUE"""),"Xe rải thức ăn FD1600B (23m3)")</f>
        <v>Xe rải thức ăn FD1600B (23m3)</v>
      </c>
      <c r="C403" s="1076" t="str">
        <f>IFERROR(__xludf.DUMMYFUNCTION("""COMPUTED_VALUE"""),"XN Bò AD")</f>
        <v>XN Bò AD</v>
      </c>
      <c r="D403" s="1076" t="str">
        <f>IFERROR(__xludf.DUMMYFUNCTION("""COMPUTED_VALUE"""),"THACO FORLAND")</f>
        <v>THACO FORLAND</v>
      </c>
      <c r="E403" s="1076" t="str">
        <f>IFERROR(__xludf.DUMMYFUNCTION("""COMPUTED_VALUE"""),"VIỆT NAM")</f>
        <v>VIỆT NAM</v>
      </c>
      <c r="F403" s="1076">
        <f>IFERROR(__xludf.DUMMYFUNCTION("""COMPUTED_VALUE"""),2017)</f>
        <v>2017</v>
      </c>
      <c r="G403" s="1076" t="str">
        <f>IFERROR(__xludf.DUMMYFUNCTION("""COMPUTED_VALUE"""),"FD1600B")</f>
        <v>FD1600B</v>
      </c>
      <c r="H403" s="1076" t="str">
        <f>IFERROR(__xludf.DUMMYFUNCTION("""COMPUTED_VALUE"""),"180HP")</f>
        <v>180HP</v>
      </c>
      <c r="I403" s="1076" t="str">
        <f>IFERROR(__xludf.DUMMYFUNCTION("""COMPUTED_VALUE"""),"RNHD1600DHC056121")</f>
        <v>RNHD1600DHC056121</v>
      </c>
      <c r="J403" s="1076" t="str">
        <f>IFERROR(__xludf.DUMMYFUNCTION("""COMPUTED_VALUE"""),"WP6.180E32*6P15D005392")</f>
        <v>WP6.180E32*6P15D005392</v>
      </c>
      <c r="K403" s="1076">
        <f>IFERROR(__xludf.DUMMYFUNCTION("""COMPUTED_VALUE"""),5)</f>
        <v>5</v>
      </c>
      <c r="L403" s="1076" t="str">
        <f>IFERROR(__xludf.DUMMYFUNCTION("""COMPUTED_VALUE"""),"KLH")</f>
        <v>KLH</v>
      </c>
    </row>
    <row r="404" customHeight="1" spans="1:12">
      <c r="A404" s="1089" t="str">
        <f>IFERROR(__xludf.DUMMYFUNCTION("""COMPUTED_VALUE"""),"XB1-XHC-001")</f>
        <v>XB1-XHC-001</v>
      </c>
      <c r="B404" s="1075" t="str">
        <f>IFERROR(__xludf.DUMMYFUNCTION("""COMPUTED_VALUE"""),"Xe hứng cỏ FC150 (30m3)")</f>
        <v>Xe hứng cỏ FC150 (30m3)</v>
      </c>
      <c r="C404" s="1076" t="str">
        <f>IFERROR(__xludf.DUMMYFUNCTION("""COMPUTED_VALUE"""),"XN Bò AD")</f>
        <v>XN Bò AD</v>
      </c>
      <c r="D404" s="1076" t="str">
        <f>IFERROR(__xludf.DUMMYFUNCTION("""COMPUTED_VALUE"""),"THACO FORLAND")</f>
        <v>THACO FORLAND</v>
      </c>
      <c r="E404" s="1076" t="str">
        <f>IFERROR(__xludf.DUMMYFUNCTION("""COMPUTED_VALUE"""),"VIỆT NAM")</f>
        <v>VIỆT NAM</v>
      </c>
      <c r="F404" s="1076">
        <f>IFERROR(__xludf.DUMMYFUNCTION("""COMPUTED_VALUE"""),2022)</f>
        <v>2022</v>
      </c>
      <c r="G404" s="1076" t="str">
        <f>IFERROR(__xludf.DUMMYFUNCTION("""COMPUTED_VALUE"""),"FC150-4WD")</f>
        <v>FC150-4WD</v>
      </c>
      <c r="H404" s="1076" t="str">
        <f>IFERROR(__xludf.DUMMYFUNCTION("""COMPUTED_VALUE"""),"150HP")</f>
        <v>150HP</v>
      </c>
      <c r="I404" s="1076" t="str">
        <f>IFERROR(__xludf.DUMMYFUNCTION("""COMPUTED_VALUE"""),"RNHF16FYBNT070603")</f>
        <v>RNHF16FYBNT070603</v>
      </c>
      <c r="J404" s="1076" t="str">
        <f>IFERROR(__xludf.DUMMYFUNCTION("""COMPUTED_VALUE"""),"YC4D150-48D59M1N00701")</f>
        <v>YC4D150-48D59M1N00701</v>
      </c>
      <c r="K404" s="1076">
        <f>IFERROR(__xludf.DUMMYFUNCTION("""COMPUTED_VALUE"""),0.63)</f>
        <v>0.63</v>
      </c>
      <c r="L404" s="1076" t="str">
        <f>IFERROR(__xludf.DUMMYFUNCTION("""COMPUTED_VALUE"""),"KLH")</f>
        <v>KLH</v>
      </c>
    </row>
    <row r="405" customHeight="1" spans="1:12">
      <c r="A405" s="1089" t="str">
        <f>IFERROR(__xludf.DUMMYFUNCTION("""COMPUTED_VALUE"""),"XB1-XHC-002")</f>
        <v>XB1-XHC-002</v>
      </c>
      <c r="B405" s="1075" t="str">
        <f>IFERROR(__xludf.DUMMYFUNCTION("""COMPUTED_VALUE"""),"Xe hứng cỏ FC150 (30m3)")</f>
        <v>Xe hứng cỏ FC150 (30m3)</v>
      </c>
      <c r="C405" s="1076" t="str">
        <f>IFERROR(__xludf.DUMMYFUNCTION("""COMPUTED_VALUE"""),"XN Bò AD")</f>
        <v>XN Bò AD</v>
      </c>
      <c r="D405" s="1076" t="str">
        <f>IFERROR(__xludf.DUMMYFUNCTION("""COMPUTED_VALUE"""),"THACO FORLAND")</f>
        <v>THACO FORLAND</v>
      </c>
      <c r="E405" s="1076" t="str">
        <f>IFERROR(__xludf.DUMMYFUNCTION("""COMPUTED_VALUE"""),"VIỆT NAM")</f>
        <v>VIỆT NAM</v>
      </c>
      <c r="F405" s="1076">
        <f>IFERROR(__xludf.DUMMYFUNCTION("""COMPUTED_VALUE"""),2023)</f>
        <v>2023</v>
      </c>
      <c r="G405" s="1076" t="str">
        <f>IFERROR(__xludf.DUMMYFUNCTION("""COMPUTED_VALUE"""),"FC150-4WD")</f>
        <v>FC150-4WD</v>
      </c>
      <c r="H405" s="1076" t="str">
        <f>IFERROR(__xludf.DUMMYFUNCTION("""COMPUTED_VALUE"""),"150HP")</f>
        <v>150HP</v>
      </c>
      <c r="I405" s="1076" t="str">
        <f>IFERROR(__xludf.DUMMYFUNCTION("""COMPUTED_VALUE"""),"RNHF16FYANT077508")</f>
        <v>RNHF16FYANT077508</v>
      </c>
      <c r="J405" s="1076" t="str">
        <f>IFERROR(__xludf.DUMMYFUNCTION("""COMPUTED_VALUE"""),"YC4D150-48D59M1N00901")</f>
        <v>YC4D150-48D59M1N00901</v>
      </c>
      <c r="K405" s="1076">
        <f>IFERROR(__xludf.DUMMYFUNCTION("""COMPUTED_VALUE"""),0.63)</f>
        <v>0.63</v>
      </c>
      <c r="L405" s="1076" t="str">
        <f>IFERROR(__xludf.DUMMYFUNCTION("""COMPUTED_VALUE"""),"KLH")</f>
        <v>KLH</v>
      </c>
    </row>
    <row r="406" customHeight="1" spans="1:12">
      <c r="A406" s="1089" t="str">
        <f>IFERROR(__xludf.DUMMYFUNCTION("""COMPUTED_VALUE"""),"XB1-XHC-003")</f>
        <v>XB1-XHC-003</v>
      </c>
      <c r="B406" s="1075" t="str">
        <f>IFERROR(__xludf.DUMMYFUNCTION("""COMPUTED_VALUE"""),"Xe hứng cỏ FC150 (30m3)")</f>
        <v>Xe hứng cỏ FC150 (30m3)</v>
      </c>
      <c r="C406" s="1076" t="str">
        <f>IFERROR(__xludf.DUMMYFUNCTION("""COMPUTED_VALUE"""),"XN Bò AD")</f>
        <v>XN Bò AD</v>
      </c>
      <c r="D406" s="1076" t="str">
        <f>IFERROR(__xludf.DUMMYFUNCTION("""COMPUTED_VALUE"""),"THACO FORLAND")</f>
        <v>THACO FORLAND</v>
      </c>
      <c r="E406" s="1076" t="str">
        <f>IFERROR(__xludf.DUMMYFUNCTION("""COMPUTED_VALUE"""),"VIỆT NAM")</f>
        <v>VIỆT NAM</v>
      </c>
      <c r="F406" s="1076">
        <f>IFERROR(__xludf.DUMMYFUNCTION("""COMPUTED_VALUE"""),2023)</f>
        <v>2023</v>
      </c>
      <c r="G406" s="1076" t="str">
        <f>IFERROR(__xludf.DUMMYFUNCTION("""COMPUTED_VALUE"""),"FC150-4WD")</f>
        <v>FC150-4WD</v>
      </c>
      <c r="H406" s="1076" t="str">
        <f>IFERROR(__xludf.DUMMYFUNCTION("""COMPUTED_VALUE"""),"150HP")</f>
        <v>150HP</v>
      </c>
      <c r="I406" s="1076" t="str">
        <f>IFERROR(__xludf.DUMMYFUNCTION("""COMPUTED_VALUE"""),"RNHF16FYAPT077501")</f>
        <v>RNHF16FYAPT077501</v>
      </c>
      <c r="J406" s="1076" t="str">
        <f>IFERROR(__xludf.DUMMYFUNCTION("""COMPUTED_VALUE"""),"YC4D150-48D59M1N00964")</f>
        <v>YC4D150-48D59M1N00964</v>
      </c>
      <c r="K406" s="1076">
        <f>IFERROR(__xludf.DUMMYFUNCTION("""COMPUTED_VALUE"""),0.63)</f>
        <v>0.63</v>
      </c>
      <c r="L406" s="1076" t="str">
        <f>IFERROR(__xludf.DUMMYFUNCTION("""COMPUTED_VALUE"""),"KLH")</f>
        <v>KLH</v>
      </c>
    </row>
    <row r="407" customHeight="1" spans="1:12">
      <c r="A407" s="1089" t="str">
        <f>IFERROR(__xludf.DUMMYFUNCTION("""COMPUTED_VALUE"""),"XB1-XHC-004")</f>
        <v>XB1-XHC-004</v>
      </c>
      <c r="B407" s="1075" t="str">
        <f>IFERROR(__xludf.DUMMYFUNCTION("""COMPUTED_VALUE"""),"Xe hứng cỏ FC150 (30m3)")</f>
        <v>Xe hứng cỏ FC150 (30m3)</v>
      </c>
      <c r="C407" s="1076" t="str">
        <f>IFERROR(__xludf.DUMMYFUNCTION("""COMPUTED_VALUE"""),"XN Bò AD")</f>
        <v>XN Bò AD</v>
      </c>
      <c r="D407" s="1076" t="str">
        <f>IFERROR(__xludf.DUMMYFUNCTION("""COMPUTED_VALUE"""),"THACO FORLAND")</f>
        <v>THACO FORLAND</v>
      </c>
      <c r="E407" s="1076" t="str">
        <f>IFERROR(__xludf.DUMMYFUNCTION("""COMPUTED_VALUE"""),"VIỆT NAM")</f>
        <v>VIỆT NAM</v>
      </c>
      <c r="F407" s="1076">
        <f>IFERROR(__xludf.DUMMYFUNCTION("""COMPUTED_VALUE"""),2023)</f>
        <v>2023</v>
      </c>
      <c r="G407" s="1076" t="str">
        <f>IFERROR(__xludf.DUMMYFUNCTION("""COMPUTED_VALUE"""),"FC150-4WD")</f>
        <v>FC150-4WD</v>
      </c>
      <c r="H407" s="1076" t="str">
        <f>IFERROR(__xludf.DUMMYFUNCTION("""COMPUTED_VALUE"""),"150HP")</f>
        <v>150HP</v>
      </c>
      <c r="I407" s="1076" t="str">
        <f>IFERROR(__xludf.DUMMYFUNCTION("""COMPUTED_VALUE"""),"RNHF16FYAPT077504")</f>
        <v>RNHF16FYAPT077504</v>
      </c>
      <c r="J407" s="1076" t="str">
        <f>IFERROR(__xludf.DUMMYFUNCTION("""COMPUTED_VALUE"""),"YC4D150-48D59M1N00940")</f>
        <v>YC4D150-48D59M1N00940</v>
      </c>
      <c r="K407" s="1076">
        <f>IFERROR(__xludf.DUMMYFUNCTION("""COMPUTED_VALUE"""),6.5)</f>
        <v>6.5</v>
      </c>
      <c r="L407" s="1076" t="str">
        <f>IFERROR(__xludf.DUMMYFUNCTION("""COMPUTED_VALUE"""),"KLH")</f>
        <v>KLH</v>
      </c>
    </row>
    <row r="408" customHeight="1" spans="1:12">
      <c r="A408" s="1089" t="str">
        <f>IFERROR(__xludf.DUMMYFUNCTION("""COMPUTED_VALUE"""),"XB1-XHC-005")</f>
        <v>XB1-XHC-005</v>
      </c>
      <c r="B408" s="1075" t="str">
        <f>IFERROR(__xludf.DUMMYFUNCTION("""COMPUTED_VALUE"""),"Xe hứng cỏ FC150 (30m3)")</f>
        <v>Xe hứng cỏ FC150 (30m3)</v>
      </c>
      <c r="C408" s="1076" t="str">
        <f>IFERROR(__xludf.DUMMYFUNCTION("""COMPUTED_VALUE"""),"XN Bò AD")</f>
        <v>XN Bò AD</v>
      </c>
      <c r="D408" s="1076" t="str">
        <f>IFERROR(__xludf.DUMMYFUNCTION("""COMPUTED_VALUE"""),"THACO FORLAND")</f>
        <v>THACO FORLAND</v>
      </c>
      <c r="E408" s="1076" t="str">
        <f>IFERROR(__xludf.DUMMYFUNCTION("""COMPUTED_VALUE"""),"VIỆT NAM")</f>
        <v>VIỆT NAM</v>
      </c>
      <c r="F408" s="1076">
        <f>IFERROR(__xludf.DUMMYFUNCTION("""COMPUTED_VALUE"""),2023)</f>
        <v>2023</v>
      </c>
      <c r="G408" s="1076" t="str">
        <f>IFERROR(__xludf.DUMMYFUNCTION("""COMPUTED_VALUE"""),"FC150-4WD")</f>
        <v>FC150-4WD</v>
      </c>
      <c r="H408" s="1076" t="str">
        <f>IFERROR(__xludf.DUMMYFUNCTION("""COMPUTED_VALUE"""),"150HP")</f>
        <v>150HP</v>
      </c>
      <c r="I408" s="1076" t="str">
        <f>IFERROR(__xludf.DUMMYFUNCTION("""COMPUTED_VALUE"""),"RNHF16FYAPT077505")</f>
        <v>RNHF16FYAPT077505</v>
      </c>
      <c r="J408" s="1076" t="str">
        <f>IFERROR(__xludf.DUMMYFUNCTION("""COMPUTED_VALUE"""),"YC4D150-48D59M1N00944")</f>
        <v>YC4D150-48D59M1N00944</v>
      </c>
      <c r="K408" s="1076">
        <f>IFERROR(__xludf.DUMMYFUNCTION("""COMPUTED_VALUE"""),6.5)</f>
        <v>6.5</v>
      </c>
      <c r="L408" s="1076" t="str">
        <f>IFERROR(__xludf.DUMMYFUNCTION("""COMPUTED_VALUE"""),"KLH")</f>
        <v>KLH</v>
      </c>
    </row>
    <row r="409" customHeight="1" spans="1:12">
      <c r="A409" s="1089" t="str">
        <f>IFERROR(__xludf.DUMMYFUNCTION("""COMPUTED_VALUE"""),"XB1-XHC-006")</f>
        <v>XB1-XHC-006</v>
      </c>
      <c r="B409" s="1075" t="str">
        <f>IFERROR(__xludf.DUMMYFUNCTION("""COMPUTED_VALUE"""),"Xe hứng cỏ FC150 (30m3)")</f>
        <v>Xe hứng cỏ FC150 (30m3)</v>
      </c>
      <c r="C409" s="1076" t="str">
        <f>IFERROR(__xludf.DUMMYFUNCTION("""COMPUTED_VALUE"""),"XN Bò AD")</f>
        <v>XN Bò AD</v>
      </c>
      <c r="D409" s="1076" t="str">
        <f>IFERROR(__xludf.DUMMYFUNCTION("""COMPUTED_VALUE"""),"THACO FORLAND")</f>
        <v>THACO FORLAND</v>
      </c>
      <c r="E409" s="1076" t="str">
        <f>IFERROR(__xludf.DUMMYFUNCTION("""COMPUTED_VALUE"""),"VIỆT NAM")</f>
        <v>VIỆT NAM</v>
      </c>
      <c r="F409" s="1076">
        <f>IFERROR(__xludf.DUMMYFUNCTION("""COMPUTED_VALUE"""),2023)</f>
        <v>2023</v>
      </c>
      <c r="G409" s="1076" t="str">
        <f>IFERROR(__xludf.DUMMYFUNCTION("""COMPUTED_VALUE"""),"FC150-4WD")</f>
        <v>FC150-4WD</v>
      </c>
      <c r="H409" s="1076" t="str">
        <f>IFERROR(__xludf.DUMMYFUNCTION("""COMPUTED_VALUE"""),"150HP")</f>
        <v>150HP</v>
      </c>
      <c r="I409" s="1076" t="str">
        <f>IFERROR(__xludf.DUMMYFUNCTION("""COMPUTED_VALUE"""),"RNHF16FYAPT077506")</f>
        <v>RNHF16FYAPT077506</v>
      </c>
      <c r="J409" s="1076" t="str">
        <f>IFERROR(__xludf.DUMMYFUNCTION("""COMPUTED_VALUE"""),"YC4D150-48D59M1N00906")</f>
        <v>YC4D150-48D59M1N00906</v>
      </c>
      <c r="K409" s="1076">
        <f>IFERROR(__xludf.DUMMYFUNCTION("""COMPUTED_VALUE"""),0.63)</f>
        <v>0.63</v>
      </c>
      <c r="L409" s="1076" t="str">
        <f>IFERROR(__xludf.DUMMYFUNCTION("""COMPUTED_VALUE"""),"KLH")</f>
        <v>KLH</v>
      </c>
    </row>
    <row r="410" customHeight="1" spans="1:12">
      <c r="A410" s="1089" t="str">
        <f>IFERROR(__xludf.DUMMYFUNCTION("""COMPUTED_VALUE"""),"XB1-XHC-007")</f>
        <v>XB1-XHC-007</v>
      </c>
      <c r="B410" s="1075" t="str">
        <f>IFERROR(__xludf.DUMMYFUNCTION("""COMPUTED_VALUE"""),"Xe hứng cỏ FC150 (30m3)")</f>
        <v>Xe hứng cỏ FC150 (30m3)</v>
      </c>
      <c r="C410" s="1076" t="str">
        <f>IFERROR(__xludf.DUMMYFUNCTION("""COMPUTED_VALUE"""),"XN Bò AD")</f>
        <v>XN Bò AD</v>
      </c>
      <c r="D410" s="1076" t="str">
        <f>IFERROR(__xludf.DUMMYFUNCTION("""COMPUTED_VALUE"""),"THACO FORLAND")</f>
        <v>THACO FORLAND</v>
      </c>
      <c r="E410" s="1076" t="str">
        <f>IFERROR(__xludf.DUMMYFUNCTION("""COMPUTED_VALUE"""),"VIỆT NAM")</f>
        <v>VIỆT NAM</v>
      </c>
      <c r="F410" s="1076">
        <f>IFERROR(__xludf.DUMMYFUNCTION("""COMPUTED_VALUE"""),2024)</f>
        <v>2024</v>
      </c>
      <c r="G410" s="1076" t="str">
        <f>IFERROR(__xludf.DUMMYFUNCTION("""COMPUTED_VALUE"""),"FC150-4WD")</f>
        <v>FC150-4WD</v>
      </c>
      <c r="H410" s="1076" t="str">
        <f>IFERROR(__xludf.DUMMYFUNCTION("""COMPUTED_VALUE"""),"150HP")</f>
        <v>150HP</v>
      </c>
      <c r="I410" s="1076" t="str">
        <f>IFERROR(__xludf.DUMMYFUNCTION("""COMPUTED_VALUE"""),"RNHF16FYBRT070602")</f>
        <v>RNHF16FYBRT070602</v>
      </c>
      <c r="J410" s="1076" t="str">
        <f>IFERROR(__xludf.DUMMYFUNCTION("""COMPUTED_VALUE"""),"D59M1N00683")</f>
        <v>D59M1N00683</v>
      </c>
      <c r="K410" s="1076">
        <f>IFERROR(__xludf.DUMMYFUNCTION("""COMPUTED_VALUE"""),0.63)</f>
        <v>0.63</v>
      </c>
      <c r="L410" s="1076" t="str">
        <f>IFERROR(__xludf.DUMMYFUNCTION("""COMPUTED_VALUE"""),"KLH")</f>
        <v>KLH</v>
      </c>
    </row>
    <row r="411" customHeight="1" spans="1:12">
      <c r="A411" s="1089" t="str">
        <f>IFERROR(__xludf.DUMMYFUNCTION("""COMPUTED_VALUE"""),"XB1-XHC-008")</f>
        <v>XB1-XHC-008</v>
      </c>
      <c r="B411" s="1075" t="str">
        <f>IFERROR(__xludf.DUMMYFUNCTION("""COMPUTED_VALUE"""),"Xe hứng cỏ FC150 (30m3)")</f>
        <v>Xe hứng cỏ FC150 (30m3)</v>
      </c>
      <c r="C411" s="1076" t="str">
        <f>IFERROR(__xludf.DUMMYFUNCTION("""COMPUTED_VALUE"""),"XN Bò AD")</f>
        <v>XN Bò AD</v>
      </c>
      <c r="D411" s="1076" t="str">
        <f>IFERROR(__xludf.DUMMYFUNCTION("""COMPUTED_VALUE"""),"THACO FORLAND")</f>
        <v>THACO FORLAND</v>
      </c>
      <c r="E411" s="1076" t="str">
        <f>IFERROR(__xludf.DUMMYFUNCTION("""COMPUTED_VALUE"""),"VIỆT NAM")</f>
        <v>VIỆT NAM</v>
      </c>
      <c r="F411" s="1076">
        <f>IFERROR(__xludf.DUMMYFUNCTION("""COMPUTED_VALUE"""),2024)</f>
        <v>2024</v>
      </c>
      <c r="G411" s="1076" t="str">
        <f>IFERROR(__xludf.DUMMYFUNCTION("""COMPUTED_VALUE"""),"FC150-4WD")</f>
        <v>FC150-4WD</v>
      </c>
      <c r="H411" s="1076" t="str">
        <f>IFERROR(__xludf.DUMMYFUNCTION("""COMPUTED_VALUE"""),"150HP")</f>
        <v>150HP</v>
      </c>
      <c r="I411" s="1076" t="str">
        <f>IFERROR(__xludf.DUMMYFUNCTION("""COMPUTED_VALUE"""),"RNHF16FYBRT077511")</f>
        <v>RNHF16FYBRT077511</v>
      </c>
      <c r="J411" s="1076" t="str">
        <f>IFERROR(__xludf.DUMMYFUNCTION("""COMPUTED_VALUE"""),"D59M1N01090")</f>
        <v>D59M1N01090</v>
      </c>
      <c r="K411" s="1076">
        <f>IFERROR(__xludf.DUMMYFUNCTION("""COMPUTED_VALUE"""),0.63)</f>
        <v>0.63</v>
      </c>
      <c r="L411" s="1076" t="str">
        <f>IFERROR(__xludf.DUMMYFUNCTION("""COMPUTED_VALUE"""),"KLH")</f>
        <v>KLH</v>
      </c>
    </row>
    <row r="412" customHeight="1" spans="1:12">
      <c r="A412" s="1089" t="str">
        <f>IFERROR(__xludf.DUMMYFUNCTION("""COMPUTED_VALUE"""),"XB1-XHC-009")</f>
        <v>XB1-XHC-009</v>
      </c>
      <c r="B412" s="1075" t="str">
        <f>IFERROR(__xludf.DUMMYFUNCTION("""COMPUTED_VALUE"""),"Xe hứng cỏ FC150 (30m3)")</f>
        <v>Xe hứng cỏ FC150 (30m3)</v>
      </c>
      <c r="C412" s="1076" t="str">
        <f>IFERROR(__xludf.DUMMYFUNCTION("""COMPUTED_VALUE"""),"XN Bò AD")</f>
        <v>XN Bò AD</v>
      </c>
      <c r="D412" s="1076" t="str">
        <f>IFERROR(__xludf.DUMMYFUNCTION("""COMPUTED_VALUE"""),"THACO FORLAND")</f>
        <v>THACO FORLAND</v>
      </c>
      <c r="E412" s="1076" t="str">
        <f>IFERROR(__xludf.DUMMYFUNCTION("""COMPUTED_VALUE"""),"VIỆT NAM")</f>
        <v>VIỆT NAM</v>
      </c>
      <c r="F412" s="1076">
        <f>IFERROR(__xludf.DUMMYFUNCTION("""COMPUTED_VALUE"""),2024)</f>
        <v>2024</v>
      </c>
      <c r="G412" s="1076" t="str">
        <f>IFERROR(__xludf.DUMMYFUNCTION("""COMPUTED_VALUE"""),"FC150-4WD")</f>
        <v>FC150-4WD</v>
      </c>
      <c r="H412" s="1076" t="str">
        <f>IFERROR(__xludf.DUMMYFUNCTION("""COMPUTED_VALUE"""),"150HP")</f>
        <v>150HP</v>
      </c>
      <c r="I412" s="1076" t="str">
        <f>IFERROR(__xludf.DUMMYFUNCTION("""COMPUTED_VALUE"""),"RNHF16FYBRT077510")</f>
        <v>RNHF16FYBRT077510</v>
      </c>
      <c r="J412" s="1076" t="str">
        <f>IFERROR(__xludf.DUMMYFUNCTION("""COMPUTED_VALUE"""),"D59M1N01093")</f>
        <v>D59M1N01093</v>
      </c>
      <c r="K412" s="1076">
        <f>IFERROR(__xludf.DUMMYFUNCTION("""COMPUTED_VALUE"""),0.63)</f>
        <v>0.63</v>
      </c>
      <c r="L412" s="1076" t="str">
        <f>IFERROR(__xludf.DUMMYFUNCTION("""COMPUTED_VALUE"""),"KLH")</f>
        <v>KLH</v>
      </c>
    </row>
    <row r="413" customHeight="1" spans="1:12">
      <c r="A413" s="1089" t="str">
        <f>IFERROR(__xludf.DUMMYFUNCTION("""COMPUTED_VALUE"""),"XB1-XHC-010")</f>
        <v>XB1-XHC-010</v>
      </c>
      <c r="B413" s="1075" t="str">
        <f>IFERROR(__xludf.DUMMYFUNCTION("""COMPUTED_VALUE"""),"Xe hứng cỏ FC150 (30m3)")</f>
        <v>Xe hứng cỏ FC150 (30m3)</v>
      </c>
      <c r="C413" s="1076" t="str">
        <f>IFERROR(__xludf.DUMMYFUNCTION("""COMPUTED_VALUE"""),"XN Bò AD")</f>
        <v>XN Bò AD</v>
      </c>
      <c r="D413" s="1076" t="str">
        <f>IFERROR(__xludf.DUMMYFUNCTION("""COMPUTED_VALUE"""),"THACO FORLAND")</f>
        <v>THACO FORLAND</v>
      </c>
      <c r="E413" s="1076" t="str">
        <f>IFERROR(__xludf.DUMMYFUNCTION("""COMPUTED_VALUE"""),"VIỆT NAM")</f>
        <v>VIỆT NAM</v>
      </c>
      <c r="F413" s="1076">
        <f>IFERROR(__xludf.DUMMYFUNCTION("""COMPUTED_VALUE"""),2024)</f>
        <v>2024</v>
      </c>
      <c r="G413" s="1076" t="str">
        <f>IFERROR(__xludf.DUMMYFUNCTION("""COMPUTED_VALUE"""),"FC150-4WD")</f>
        <v>FC150-4WD</v>
      </c>
      <c r="H413" s="1076" t="str">
        <f>IFERROR(__xludf.DUMMYFUNCTION("""COMPUTED_VALUE"""),"150HP")</f>
        <v>150HP</v>
      </c>
      <c r="I413" s="1076" t="str">
        <f>IFERROR(__xludf.DUMMYFUNCTION("""COMPUTED_VALUE"""),"RNHF16FYBRT077512")</f>
        <v>RNHF16FYBRT077512</v>
      </c>
      <c r="J413" s="1076" t="str">
        <f>IFERROR(__xludf.DUMMYFUNCTION("""COMPUTED_VALUE"""),"D59M1N01099")</f>
        <v>D59M1N01099</v>
      </c>
      <c r="K413" s="1076">
        <f>IFERROR(__xludf.DUMMYFUNCTION("""COMPUTED_VALUE"""),0.63)</f>
        <v>0.63</v>
      </c>
      <c r="L413" s="1076" t="str">
        <f>IFERROR(__xludf.DUMMYFUNCTION("""COMPUTED_VALUE"""),"KLH")</f>
        <v>KLH</v>
      </c>
    </row>
    <row r="414" customHeight="1" spans="1:12">
      <c r="A414" s="1089" t="str">
        <f>IFERROR(__xludf.DUMMYFUNCTION("""COMPUTED_VALUE"""),"XB1-XHC-011")</f>
        <v>XB1-XHC-011</v>
      </c>
      <c r="B414" s="1075" t="str">
        <f>IFERROR(__xludf.DUMMYFUNCTION("""COMPUTED_VALUE"""),"Xe hứng cỏ FC150 (30m3)")</f>
        <v>Xe hứng cỏ FC150 (30m3)</v>
      </c>
      <c r="C414" s="1076" t="str">
        <f>IFERROR(__xludf.DUMMYFUNCTION("""COMPUTED_VALUE"""),"XN Bò AD")</f>
        <v>XN Bò AD</v>
      </c>
      <c r="D414" s="1076" t="str">
        <f>IFERROR(__xludf.DUMMYFUNCTION("""COMPUTED_VALUE"""),"THACO FORLAND")</f>
        <v>THACO FORLAND</v>
      </c>
      <c r="E414" s="1076" t="str">
        <f>IFERROR(__xludf.DUMMYFUNCTION("""COMPUTED_VALUE"""),"VIỆT NAM")</f>
        <v>VIỆT NAM</v>
      </c>
      <c r="F414" s="1076">
        <f>IFERROR(__xludf.DUMMYFUNCTION("""COMPUTED_VALUE"""),2024)</f>
        <v>2024</v>
      </c>
      <c r="G414" s="1076" t="str">
        <f>IFERROR(__xludf.DUMMYFUNCTION("""COMPUTED_VALUE"""),"FC150-4WD")</f>
        <v>FC150-4WD</v>
      </c>
      <c r="H414" s="1076" t="str">
        <f>IFERROR(__xludf.DUMMYFUNCTION("""COMPUTED_VALUE"""),"150HP")</f>
        <v>150HP</v>
      </c>
      <c r="I414" s="1076" t="str">
        <f>IFERROR(__xludf.DUMMYFUNCTION("""COMPUTED_VALUE"""),"RNHF16FYBRT000129")</f>
        <v>RNHF16FYBRT000129</v>
      </c>
      <c r="J414" s="1076" t="str">
        <f>IFERROR(__xludf.DUMMYFUNCTION("""COMPUTED_VALUE"""),"YC4D150-48*D59M1N01035*")</f>
        <v>YC4D150-48*D59M1N01035*</v>
      </c>
      <c r="K414" s="1076">
        <f>IFERROR(__xludf.DUMMYFUNCTION("""COMPUTED_VALUE"""),0.63)</f>
        <v>0.63</v>
      </c>
      <c r="L414" s="1076" t="str">
        <f>IFERROR(__xludf.DUMMYFUNCTION("""COMPUTED_VALUE"""),"KLH")</f>
        <v>KLH</v>
      </c>
    </row>
    <row r="415" customHeight="1" spans="1:12">
      <c r="A415" s="1089" t="str">
        <f>IFERROR(__xludf.DUMMYFUNCTION("""COMPUTED_VALUE"""),"XB1-XCP-001")</f>
        <v>XB1-XCP-001</v>
      </c>
      <c r="B415" s="1075" t="str">
        <f>IFERROR(__xludf.DUMMYFUNCTION("""COMPUTED_VALUE"""),"Xe chở phân FD150 (11.8m3)")</f>
        <v>Xe chở phân FD150 (11.8m3)</v>
      </c>
      <c r="C415" s="1076" t="str">
        <f>IFERROR(__xludf.DUMMYFUNCTION("""COMPUTED_VALUE"""),"XN Bò AD")</f>
        <v>XN Bò AD</v>
      </c>
      <c r="D415" s="1076" t="str">
        <f>IFERROR(__xludf.DUMMYFUNCTION("""COMPUTED_VALUE"""),"THACO FORLAND")</f>
        <v>THACO FORLAND</v>
      </c>
      <c r="E415" s="1076" t="str">
        <f>IFERROR(__xludf.DUMMYFUNCTION("""COMPUTED_VALUE"""),"VIỆT NAM")</f>
        <v>VIỆT NAM</v>
      </c>
      <c r="F415" s="1076">
        <f>IFERROR(__xludf.DUMMYFUNCTION("""COMPUTED_VALUE"""),2022)</f>
        <v>2022</v>
      </c>
      <c r="G415" s="1076" t="str">
        <f>IFERROR(__xludf.DUMMYFUNCTION("""COMPUTED_VALUE"""),"FD150-4WD")</f>
        <v>FD150-4WD</v>
      </c>
      <c r="H415" s="1076" t="str">
        <f>IFERROR(__xludf.DUMMYFUNCTION("""COMPUTED_VALUE"""),"150HP")</f>
        <v>150HP</v>
      </c>
      <c r="I415" s="1076" t="str">
        <f>IFERROR(__xludf.DUMMYFUNCTION("""COMPUTED_VALUE"""),"RNHF16FYANT066262")</f>
        <v>RNHF16FYANT066262</v>
      </c>
      <c r="J415" s="1076" t="str">
        <f>IFERROR(__xludf.DUMMYFUNCTION("""COMPUTED_VALUE"""),"YC4D150-48D59M1N00692")</f>
        <v>YC4D150-48D59M1N00692</v>
      </c>
      <c r="K415" s="1076">
        <f>IFERROR(__xludf.DUMMYFUNCTION("""COMPUTED_VALUE"""),0.45)</f>
        <v>0.45</v>
      </c>
      <c r="L415" s="1076" t="str">
        <f>IFERROR(__xludf.DUMMYFUNCTION("""COMPUTED_VALUE"""),"KLH")</f>
        <v>KLH</v>
      </c>
    </row>
    <row r="416" customHeight="1" spans="1:12">
      <c r="A416" s="1089" t="str">
        <f>IFERROR(__xludf.DUMMYFUNCTION("""COMPUTED_VALUE"""),"XB1-XCP-002")</f>
        <v>XB1-XCP-002</v>
      </c>
      <c r="B416" s="1075" t="str">
        <f>IFERROR(__xludf.DUMMYFUNCTION("""COMPUTED_VALUE"""),"Xe chở phân FD150 (11.8m3)")</f>
        <v>Xe chở phân FD150 (11.8m3)</v>
      </c>
      <c r="C416" s="1076" t="str">
        <f>IFERROR(__xludf.DUMMYFUNCTION("""COMPUTED_VALUE"""),"XN Bò AD")</f>
        <v>XN Bò AD</v>
      </c>
      <c r="D416" s="1076" t="str">
        <f>IFERROR(__xludf.DUMMYFUNCTION("""COMPUTED_VALUE"""),"THACO FORLAND")</f>
        <v>THACO FORLAND</v>
      </c>
      <c r="E416" s="1076" t="str">
        <f>IFERROR(__xludf.DUMMYFUNCTION("""COMPUTED_VALUE"""),"VIỆT NAM")</f>
        <v>VIỆT NAM</v>
      </c>
      <c r="F416" s="1076">
        <f>IFERROR(__xludf.DUMMYFUNCTION("""COMPUTED_VALUE"""),2022)</f>
        <v>2022</v>
      </c>
      <c r="G416" s="1076" t="str">
        <f>IFERROR(__xludf.DUMMYFUNCTION("""COMPUTED_VALUE"""),"FD150-4WD")</f>
        <v>FD150-4WD</v>
      </c>
      <c r="H416" s="1076" t="str">
        <f>IFERROR(__xludf.DUMMYFUNCTION("""COMPUTED_VALUE"""),"150HP")</f>
        <v>150HP</v>
      </c>
      <c r="I416" s="1076" t="str">
        <f>IFERROR(__xludf.DUMMYFUNCTION("""COMPUTED_VALUE"""),"RNHF16FYANT065187")</f>
        <v>RNHF16FYANT065187</v>
      </c>
      <c r="J416" s="1076" t="str">
        <f>IFERROR(__xludf.DUMMYFUNCTION("""COMPUTED_VALUE"""),"YC4D150-48D59M1N00561")</f>
        <v>YC4D150-48D59M1N00561</v>
      </c>
      <c r="K416" s="1076">
        <f>IFERROR(__xludf.DUMMYFUNCTION("""COMPUTED_VALUE"""),0.45)</f>
        <v>0.45</v>
      </c>
      <c r="L416" s="1076" t="str">
        <f>IFERROR(__xludf.DUMMYFUNCTION("""COMPUTED_VALUE"""),"KLH")</f>
        <v>KLH</v>
      </c>
    </row>
    <row r="417" customHeight="1" spans="1:12">
      <c r="A417" s="1089" t="str">
        <f>IFERROR(__xludf.DUMMYFUNCTION("""COMPUTED_VALUE"""),"XB1-XCP-003")</f>
        <v>XB1-XCP-003</v>
      </c>
      <c r="B417" s="1075" t="str">
        <f>IFERROR(__xludf.DUMMYFUNCTION("""COMPUTED_VALUE"""),"Xe chở phân FD150 (11.8m3)")</f>
        <v>Xe chở phân FD150 (11.8m3)</v>
      </c>
      <c r="C417" s="1076" t="str">
        <f>IFERROR(__xludf.DUMMYFUNCTION("""COMPUTED_VALUE"""),"XN Bò AD")</f>
        <v>XN Bò AD</v>
      </c>
      <c r="D417" s="1076" t="str">
        <f>IFERROR(__xludf.DUMMYFUNCTION("""COMPUTED_VALUE"""),"THACO FORLAND")</f>
        <v>THACO FORLAND</v>
      </c>
      <c r="E417" s="1076" t="str">
        <f>IFERROR(__xludf.DUMMYFUNCTION("""COMPUTED_VALUE"""),"VIỆT NAM")</f>
        <v>VIỆT NAM</v>
      </c>
      <c r="F417" s="1076">
        <f>IFERROR(__xludf.DUMMYFUNCTION("""COMPUTED_VALUE"""),2022)</f>
        <v>2022</v>
      </c>
      <c r="G417" s="1076" t="str">
        <f>IFERROR(__xludf.DUMMYFUNCTION("""COMPUTED_VALUE"""),"FD150-4WD")</f>
        <v>FD150-4WD</v>
      </c>
      <c r="H417" s="1076" t="str">
        <f>IFERROR(__xludf.DUMMYFUNCTION("""COMPUTED_VALUE"""),"150HP")</f>
        <v>150HP</v>
      </c>
      <c r="I417" s="1076" t="str">
        <f>IFERROR(__xludf.DUMMYFUNCTION("""COMPUTED_VALUE"""),"RNHF16FYANT065161")</f>
        <v>RNHF16FYANT065161</v>
      </c>
      <c r="J417" s="1076" t="str">
        <f>IFERROR(__xludf.DUMMYFUNCTION("""COMPUTED_VALUE"""),"YC4D150-48D59M1N00654")</f>
        <v>YC4D150-48D59M1N00654</v>
      </c>
      <c r="K417" s="1076">
        <f>IFERROR(__xludf.DUMMYFUNCTION("""COMPUTED_VALUE"""),4)</f>
        <v>4</v>
      </c>
      <c r="L417" s="1076" t="str">
        <f>IFERROR(__xludf.DUMMYFUNCTION("""COMPUTED_VALUE"""),"KLH")</f>
        <v>KLH</v>
      </c>
    </row>
    <row r="418" customHeight="1" spans="1:12">
      <c r="A418" s="1089" t="str">
        <f>IFERROR(__xludf.DUMMYFUNCTION("""COMPUTED_VALUE"""),"XB1-XCP-004")</f>
        <v>XB1-XCP-004</v>
      </c>
      <c r="B418" s="1075" t="str">
        <f>IFERROR(__xludf.DUMMYFUNCTION("""COMPUTED_VALUE"""),"Xe chở phân FD150 (11.8m3)")</f>
        <v>Xe chở phân FD150 (11.8m3)</v>
      </c>
      <c r="C418" s="1076" t="str">
        <f>IFERROR(__xludf.DUMMYFUNCTION("""COMPUTED_VALUE"""),"XN Bò AD")</f>
        <v>XN Bò AD</v>
      </c>
      <c r="D418" s="1076" t="str">
        <f>IFERROR(__xludf.DUMMYFUNCTION("""COMPUTED_VALUE"""),"THACO FORLAND")</f>
        <v>THACO FORLAND</v>
      </c>
      <c r="E418" s="1076" t="str">
        <f>IFERROR(__xludf.DUMMYFUNCTION("""COMPUTED_VALUE"""),"VIỆT NAM")</f>
        <v>VIỆT NAM</v>
      </c>
      <c r="F418" s="1076">
        <f>IFERROR(__xludf.DUMMYFUNCTION("""COMPUTED_VALUE"""),2022)</f>
        <v>2022</v>
      </c>
      <c r="G418" s="1076" t="str">
        <f>IFERROR(__xludf.DUMMYFUNCTION("""COMPUTED_VALUE"""),"FD150-4WD")</f>
        <v>FD150-4WD</v>
      </c>
      <c r="H418" s="1076" t="str">
        <f>IFERROR(__xludf.DUMMYFUNCTION("""COMPUTED_VALUE"""),"150HP")</f>
        <v>150HP</v>
      </c>
      <c r="I418" s="1076" t="str">
        <f>IFERROR(__xludf.DUMMYFUNCTION("""COMPUTED_VALUE""")," RNHF16FYANT065198")</f>
        <v> RNHF16FYANT065198</v>
      </c>
      <c r="J418" s="1076" t="str">
        <f>IFERROR(__xludf.DUMMYFUNCTION("""COMPUTED_VALUE"""),"YC4D150-48D59M1N00572")</f>
        <v>YC4D150-48D59M1N00572</v>
      </c>
      <c r="K418" s="1076">
        <f>IFERROR(__xludf.DUMMYFUNCTION("""COMPUTED_VALUE"""),0.45)</f>
        <v>0.45</v>
      </c>
      <c r="L418" s="1076" t="str">
        <f>IFERROR(__xludf.DUMMYFUNCTION("""COMPUTED_VALUE"""),"KLH")</f>
        <v>KLH</v>
      </c>
    </row>
    <row r="419" customHeight="1" spans="1:12">
      <c r="A419" s="1089" t="str">
        <f>IFERROR(__xludf.DUMMYFUNCTION("""COMPUTED_VALUE"""),"XB1-XCP-005")</f>
        <v>XB1-XCP-005</v>
      </c>
      <c r="B419" s="1075" t="str">
        <f>IFERROR(__xludf.DUMMYFUNCTION("""COMPUTED_VALUE"""),"Xe chở phân FD150 (8.7m3)")</f>
        <v>Xe chở phân FD150 (8.7m3)</v>
      </c>
      <c r="C419" s="1076" t="str">
        <f>IFERROR(__xludf.DUMMYFUNCTION("""COMPUTED_VALUE"""),"XN Bò AD")</f>
        <v>XN Bò AD</v>
      </c>
      <c r="D419" s="1076" t="str">
        <f>IFERROR(__xludf.DUMMYFUNCTION("""COMPUTED_VALUE"""),"THACO FORLAND")</f>
        <v>THACO FORLAND</v>
      </c>
      <c r="E419" s="1076" t="str">
        <f>IFERROR(__xludf.DUMMYFUNCTION("""COMPUTED_VALUE"""),"VIỆT NAM")</f>
        <v>VIỆT NAM</v>
      </c>
      <c r="F419" s="1076">
        <f>IFERROR(__xludf.DUMMYFUNCTION("""COMPUTED_VALUE"""),2023)</f>
        <v>2023</v>
      </c>
      <c r="G419" s="1076" t="str">
        <f>IFERROR(__xludf.DUMMYFUNCTION("""COMPUTED_VALUE"""),"FD150-4WD")</f>
        <v>FD150-4WD</v>
      </c>
      <c r="H419" s="1076" t="str">
        <f>IFERROR(__xludf.DUMMYFUNCTION("""COMPUTED_VALUE"""),"150HP")</f>
        <v>150HP</v>
      </c>
      <c r="I419" s="1076" t="str">
        <f>IFERROR(__xludf.DUMMYFUNCTION("""COMPUTED_VALUE"""),"RNHF16FYAPTO77540")</f>
        <v>RNHF16FYAPTO77540</v>
      </c>
      <c r="J419" s="1076" t="str">
        <f>IFERROR(__xludf.DUMMYFUNCTION("""COMPUTED_VALUE"""),"YC4D150-48D59M1N00920")</f>
        <v>YC4D150-48D59M1N00920</v>
      </c>
      <c r="K419" s="1076">
        <f>IFERROR(__xludf.DUMMYFUNCTION("""COMPUTED_VALUE"""),4)</f>
        <v>4</v>
      </c>
      <c r="L419" s="1076" t="str">
        <f>IFERROR(__xludf.DUMMYFUNCTION("""COMPUTED_VALUE"""),"KLH")</f>
        <v>KLH</v>
      </c>
    </row>
    <row r="420" customHeight="1" spans="1:12">
      <c r="A420" s="1089" t="str">
        <f>IFERROR(__xludf.DUMMYFUNCTION("""COMPUTED_VALUE"""),"XB1-XCP-006")</f>
        <v>XB1-XCP-006</v>
      </c>
      <c r="B420" s="1075" t="str">
        <f>IFERROR(__xludf.DUMMYFUNCTION("""COMPUTED_VALUE"""),"Xe chở phân FD150 (8.7m3)")</f>
        <v>Xe chở phân FD150 (8.7m3)</v>
      </c>
      <c r="C420" s="1076" t="str">
        <f>IFERROR(__xludf.DUMMYFUNCTION("""COMPUTED_VALUE"""),"XN Bò AD")</f>
        <v>XN Bò AD</v>
      </c>
      <c r="D420" s="1076" t="str">
        <f>IFERROR(__xludf.DUMMYFUNCTION("""COMPUTED_VALUE"""),"THACO FORLAND")</f>
        <v>THACO FORLAND</v>
      </c>
      <c r="E420" s="1076" t="str">
        <f>IFERROR(__xludf.DUMMYFUNCTION("""COMPUTED_VALUE"""),"VIỆT NAM")</f>
        <v>VIỆT NAM</v>
      </c>
      <c r="F420" s="1076">
        <f>IFERROR(__xludf.DUMMYFUNCTION("""COMPUTED_VALUE"""),2023)</f>
        <v>2023</v>
      </c>
      <c r="G420" s="1076" t="str">
        <f>IFERROR(__xludf.DUMMYFUNCTION("""COMPUTED_VALUE"""),"FD150-4WD")</f>
        <v>FD150-4WD</v>
      </c>
      <c r="H420" s="1076" t="str">
        <f>IFERROR(__xludf.DUMMYFUNCTION("""COMPUTED_VALUE"""),"150HP")</f>
        <v>150HP</v>
      </c>
      <c r="I420" s="1076" t="str">
        <f>IFERROR(__xludf.DUMMYFUNCTION("""COMPUTED_VALUE"""),"RNHF16FYAPTO77538")</f>
        <v>RNHF16FYAPTO77538</v>
      </c>
      <c r="J420" s="1076" t="str">
        <f>IFERROR(__xludf.DUMMYFUNCTION("""COMPUTED_VALUE"""),"YC4D150-48D59M1N00903")</f>
        <v>YC4D150-48D59M1N00903</v>
      </c>
      <c r="K420" s="1076">
        <f>IFERROR(__xludf.DUMMYFUNCTION("""COMPUTED_VALUE"""),0.45)</f>
        <v>0.45</v>
      </c>
      <c r="L420" s="1076" t="str">
        <f>IFERROR(__xludf.DUMMYFUNCTION("""COMPUTED_VALUE"""),"KLH")</f>
        <v>KLH</v>
      </c>
    </row>
    <row r="421" customHeight="1" spans="1:12">
      <c r="A421" s="1089" t="str">
        <f>IFERROR(__xludf.DUMMYFUNCTION("""COMPUTED_VALUE"""),"XB1-XCP-008")</f>
        <v>XB1-XCP-008</v>
      </c>
      <c r="B421" s="1075" t="str">
        <f>IFERROR(__xludf.DUMMYFUNCTION("""COMPUTED_VALUE"""),"Xe chở phân FD150 (8.7m3)")</f>
        <v>Xe chở phân FD150 (8.7m3)</v>
      </c>
      <c r="C421" s="1076" t="str">
        <f>IFERROR(__xludf.DUMMYFUNCTION("""COMPUTED_VALUE"""),"XN Bò AD")</f>
        <v>XN Bò AD</v>
      </c>
      <c r="D421" s="1076" t="str">
        <f>IFERROR(__xludf.DUMMYFUNCTION("""COMPUTED_VALUE"""),"THACO FORLAND")</f>
        <v>THACO FORLAND</v>
      </c>
      <c r="E421" s="1076" t="str">
        <f>IFERROR(__xludf.DUMMYFUNCTION("""COMPUTED_VALUE"""),"VIỆT NAM")</f>
        <v>VIỆT NAM</v>
      </c>
      <c r="F421" s="1076">
        <f>IFERROR(__xludf.DUMMYFUNCTION("""COMPUTED_VALUE"""),2024)</f>
        <v>2024</v>
      </c>
      <c r="G421" s="1076" t="str">
        <f>IFERROR(__xludf.DUMMYFUNCTION("""COMPUTED_VALUE"""),"FD150-4WD")</f>
        <v>FD150-4WD</v>
      </c>
      <c r="H421" s="1076" t="str">
        <f>IFERROR(__xludf.DUMMYFUNCTION("""COMPUTED_VALUE"""),"150HP")</f>
        <v>150HP</v>
      </c>
      <c r="I421" s="1076" t="str">
        <f>IFERROR(__xludf.DUMMYFUNCTION("""COMPUTED_VALUE"""),"RNHF16FYART095004")</f>
        <v>RNHF16FYART095004</v>
      </c>
      <c r="J421" s="1076" t="str">
        <f>IFERROR(__xludf.DUMMYFUNCTION("""COMPUTED_VALUE"""),"D59M1N01406")</f>
        <v>D59M1N01406</v>
      </c>
      <c r="K421" s="1076">
        <f>IFERROR(__xludf.DUMMYFUNCTION("""COMPUTED_VALUE"""),0.45)</f>
        <v>0.45</v>
      </c>
      <c r="L421" s="1076" t="str">
        <f>IFERROR(__xludf.DUMMYFUNCTION("""COMPUTED_VALUE"""),"KLH")</f>
        <v>KLH</v>
      </c>
    </row>
    <row r="422" customHeight="1" spans="1:12">
      <c r="A422" s="1089" t="str">
        <f>IFERROR(__xludf.DUMMYFUNCTION("""COMPUTED_VALUE"""),"XB1-XCP-009")</f>
        <v>XB1-XCP-009</v>
      </c>
      <c r="B422" s="1075" t="str">
        <f>IFERROR(__xludf.DUMMYFUNCTION("""COMPUTED_VALUE"""),"Xe chở phân FD150 (8.7m3)")</f>
        <v>Xe chở phân FD150 (8.7m3)</v>
      </c>
      <c r="C422" s="1076" t="str">
        <f>IFERROR(__xludf.DUMMYFUNCTION("""COMPUTED_VALUE"""),"XN Bò AD")</f>
        <v>XN Bò AD</v>
      </c>
      <c r="D422" s="1076" t="str">
        <f>IFERROR(__xludf.DUMMYFUNCTION("""COMPUTED_VALUE"""),"THACO FORLAND")</f>
        <v>THACO FORLAND</v>
      </c>
      <c r="E422" s="1076" t="str">
        <f>IFERROR(__xludf.DUMMYFUNCTION("""COMPUTED_VALUE"""),"VIỆT NAM")</f>
        <v>VIỆT NAM</v>
      </c>
      <c r="F422" s="1076">
        <f>IFERROR(__xludf.DUMMYFUNCTION("""COMPUTED_VALUE"""),2024)</f>
        <v>2024</v>
      </c>
      <c r="G422" s="1076" t="str">
        <f>IFERROR(__xludf.DUMMYFUNCTION("""COMPUTED_VALUE"""),"FD150-4WD")</f>
        <v>FD150-4WD</v>
      </c>
      <c r="H422" s="1076" t="str">
        <f>IFERROR(__xludf.DUMMYFUNCTION("""COMPUTED_VALUE"""),"150HP")</f>
        <v>150HP</v>
      </c>
      <c r="I422" s="1076" t="str">
        <f>IFERROR(__xludf.DUMMYFUNCTION("""COMPUTED_VALUE"""),"RNHF16FYART095002")</f>
        <v>RNHF16FYART095002</v>
      </c>
      <c r="J422" s="1076" t="str">
        <f>IFERROR(__xludf.DUMMYFUNCTION("""COMPUTED_VALUE"""),"D59M1N01437")</f>
        <v>D59M1N01437</v>
      </c>
      <c r="K422" s="1076">
        <f>IFERROR(__xludf.DUMMYFUNCTION("""COMPUTED_VALUE"""),0.45)</f>
        <v>0.45</v>
      </c>
      <c r="L422" s="1076" t="str">
        <f>IFERROR(__xludf.DUMMYFUNCTION("""COMPUTED_VALUE"""),"KLH")</f>
        <v>KLH</v>
      </c>
    </row>
    <row r="423" customHeight="1" spans="1:12">
      <c r="A423" s="1089" t="str">
        <f>IFERROR(__xludf.DUMMYFUNCTION("""COMPUTED_VALUE"""),"XB1-XCP-010")</f>
        <v>XB1-XCP-010</v>
      </c>
      <c r="B423" s="1075" t="str">
        <f>IFERROR(__xludf.DUMMYFUNCTION("""COMPUTED_VALUE"""),"Xe chở phân FD150 (8.7m3)")</f>
        <v>Xe chở phân FD150 (8.7m3)</v>
      </c>
      <c r="C423" s="1076" t="str">
        <f>IFERROR(__xludf.DUMMYFUNCTION("""COMPUTED_VALUE"""),"XN Bò AD")</f>
        <v>XN Bò AD</v>
      </c>
      <c r="D423" s="1076" t="str">
        <f>IFERROR(__xludf.DUMMYFUNCTION("""COMPUTED_VALUE"""),"THACO FORLAND")</f>
        <v>THACO FORLAND</v>
      </c>
      <c r="E423" s="1076" t="str">
        <f>IFERROR(__xludf.DUMMYFUNCTION("""COMPUTED_VALUE"""),"VIỆT NAM")</f>
        <v>VIỆT NAM</v>
      </c>
      <c r="F423" s="1076">
        <f>IFERROR(__xludf.DUMMYFUNCTION("""COMPUTED_VALUE"""),2024)</f>
        <v>2024</v>
      </c>
      <c r="G423" s="1076" t="str">
        <f>IFERROR(__xludf.DUMMYFUNCTION("""COMPUTED_VALUE"""),"FD150-4WD")</f>
        <v>FD150-4WD</v>
      </c>
      <c r="H423" s="1076" t="str">
        <f>IFERROR(__xludf.DUMMYFUNCTION("""COMPUTED_VALUE"""),"150HP")</f>
        <v>150HP</v>
      </c>
      <c r="I423" s="1076" t="str">
        <f>IFERROR(__xludf.DUMMYFUNCTION("""COMPUTED_VALUE"""),"RNHF16FYART095001")</f>
        <v>RNHF16FYART095001</v>
      </c>
      <c r="J423" s="1076" t="str">
        <f>IFERROR(__xludf.DUMMYFUNCTION("""COMPUTED_VALUE"""),"D59M1N01416")</f>
        <v>D59M1N01416</v>
      </c>
      <c r="K423" s="1076">
        <f>IFERROR(__xludf.DUMMYFUNCTION("""COMPUTED_VALUE"""),0.45)</f>
        <v>0.45</v>
      </c>
      <c r="L423" s="1076" t="str">
        <f>IFERROR(__xludf.DUMMYFUNCTION("""COMPUTED_VALUE"""),"KLH")</f>
        <v>KLH</v>
      </c>
    </row>
    <row r="424" customHeight="1" spans="1:12">
      <c r="A424" s="1089" t="str">
        <f>IFERROR(__xludf.DUMMYFUNCTION("""COMPUTED_VALUE"""),"XB1-XCP-011")</f>
        <v>XB1-XCP-011</v>
      </c>
      <c r="B424" s="1075" t="str">
        <f>IFERROR(__xludf.DUMMYFUNCTION("""COMPUTED_VALUE"""),"Xe chở phân FD150 (8.7m3)")</f>
        <v>Xe chở phân FD150 (8.7m3)</v>
      </c>
      <c r="C424" s="1076" t="str">
        <f>IFERROR(__xludf.DUMMYFUNCTION("""COMPUTED_VALUE"""),"XN Bò AD")</f>
        <v>XN Bò AD</v>
      </c>
      <c r="D424" s="1076" t="str">
        <f>IFERROR(__xludf.DUMMYFUNCTION("""COMPUTED_VALUE"""),"THACO FORLAND")</f>
        <v>THACO FORLAND</v>
      </c>
      <c r="E424" s="1076" t="str">
        <f>IFERROR(__xludf.DUMMYFUNCTION("""COMPUTED_VALUE"""),"VIỆT NAM")</f>
        <v>VIỆT NAM</v>
      </c>
      <c r="F424" s="1076">
        <f>IFERROR(__xludf.DUMMYFUNCTION("""COMPUTED_VALUE"""),2024)</f>
        <v>2024</v>
      </c>
      <c r="G424" s="1076" t="str">
        <f>IFERROR(__xludf.DUMMYFUNCTION("""COMPUTED_VALUE"""),"FD150-4WD")</f>
        <v>FD150-4WD</v>
      </c>
      <c r="H424" s="1076" t="str">
        <f>IFERROR(__xludf.DUMMYFUNCTION("""COMPUTED_VALUE"""),"150HP")</f>
        <v>150HP</v>
      </c>
      <c r="I424" s="1076" t="str">
        <f>IFERROR(__xludf.DUMMYFUNCTION("""COMPUTED_VALUE"""),"RNHF16FYART094996")</f>
        <v>RNHF16FYART094996</v>
      </c>
      <c r="J424" s="1076" t="str">
        <f>IFERROR(__xludf.DUMMYFUNCTION("""COMPUTED_VALUE"""),"D59M1N01392")</f>
        <v>D59M1N01392</v>
      </c>
      <c r="K424" s="1076">
        <f>IFERROR(__xludf.DUMMYFUNCTION("""COMPUTED_VALUE"""),0.45)</f>
        <v>0.45</v>
      </c>
      <c r="L424" s="1076" t="str">
        <f>IFERROR(__xludf.DUMMYFUNCTION("""COMPUTED_VALUE"""),"KLH")</f>
        <v>KLH</v>
      </c>
    </row>
    <row r="425" customHeight="1" spans="1:12">
      <c r="A425" s="1089" t="str">
        <f>IFERROR(__xludf.DUMMYFUNCTION("""COMPUTED_VALUE"""),"XB1-XCP-012")</f>
        <v>XB1-XCP-012</v>
      </c>
      <c r="B425" s="1075" t="str">
        <f>IFERROR(__xludf.DUMMYFUNCTION("""COMPUTED_VALUE"""),"Xe chở phân FD120 (5.41m3)")</f>
        <v>Xe chở phân FD120 (5.41m3)</v>
      </c>
      <c r="C425" s="1076" t="str">
        <f>IFERROR(__xludf.DUMMYFUNCTION("""COMPUTED_VALUE"""),"XN Bò AD")</f>
        <v>XN Bò AD</v>
      </c>
      <c r="D425" s="1076" t="str">
        <f>IFERROR(__xludf.DUMMYFUNCTION("""COMPUTED_VALUE"""),"THACO FORLAND")</f>
        <v>THACO FORLAND</v>
      </c>
      <c r="E425" s="1076" t="str">
        <f>IFERROR(__xludf.DUMMYFUNCTION("""COMPUTED_VALUE"""),"VIỆT NAM")</f>
        <v>VIỆT NAM</v>
      </c>
      <c r="F425" s="1076">
        <f>IFERROR(__xludf.DUMMYFUNCTION("""COMPUTED_VALUE"""),2024)</f>
        <v>2024</v>
      </c>
      <c r="G425" s="1076" t="str">
        <f>IFERROR(__xludf.DUMMYFUNCTION("""COMPUTED_VALUE""")," FD120-4WD")</f>
        <v> FD120-4WD</v>
      </c>
      <c r="H425" s="1076" t="str">
        <f>IFERROR(__xludf.DUMMYFUNCTION("""COMPUTED_VALUE"""),"129HP")</f>
        <v>129HP</v>
      </c>
      <c r="I425" s="1076" t="str">
        <f>IFERROR(__xludf.DUMMYFUNCTION("""COMPUTED_VALUE"""),"RNHF12FNBRT002112")</f>
        <v>RNHF12FNBRT002112</v>
      </c>
      <c r="J425" s="1076" t="str">
        <f>IFERROR(__xludf.DUMMYFUNCTION("""COMPUTED_VALUE"""),"YN38CRD1*AGN22000292*")</f>
        <v>YN38CRD1*AGN22000292*</v>
      </c>
      <c r="K425" s="1076">
        <f>IFERROR(__xludf.DUMMYFUNCTION("""COMPUTED_VALUE"""),0.61)</f>
        <v>0.61</v>
      </c>
      <c r="L425" s="1076" t="str">
        <f>IFERROR(__xludf.DUMMYFUNCTION("""COMPUTED_VALUE"""),"KLH")</f>
        <v>KLH</v>
      </c>
    </row>
    <row r="426" customHeight="1" spans="1:12">
      <c r="A426" s="1089" t="str">
        <f>IFERROR(__xludf.DUMMYFUNCTION("""COMPUTED_VALUE"""),"XB1-XCP-013")</f>
        <v>XB1-XCP-013</v>
      </c>
      <c r="B426" s="1075" t="str">
        <f>IFERROR(__xludf.DUMMYFUNCTION("""COMPUTED_VALUE"""),"Xe chở phân FD120 (5.41m3)")</f>
        <v>Xe chở phân FD120 (5.41m3)</v>
      </c>
      <c r="C426" s="1076" t="str">
        <f>IFERROR(__xludf.DUMMYFUNCTION("""COMPUTED_VALUE"""),"XN Bò AD")</f>
        <v>XN Bò AD</v>
      </c>
      <c r="D426" s="1076" t="str">
        <f>IFERROR(__xludf.DUMMYFUNCTION("""COMPUTED_VALUE"""),"THACO FORLAND")</f>
        <v>THACO FORLAND</v>
      </c>
      <c r="E426" s="1076" t="str">
        <f>IFERROR(__xludf.DUMMYFUNCTION("""COMPUTED_VALUE"""),"VIỆT NAM")</f>
        <v>VIỆT NAM</v>
      </c>
      <c r="F426" s="1076">
        <f>IFERROR(__xludf.DUMMYFUNCTION("""COMPUTED_VALUE"""),2024)</f>
        <v>2024</v>
      </c>
      <c r="G426" s="1076" t="str">
        <f>IFERROR(__xludf.DUMMYFUNCTION("""COMPUTED_VALUE""")," FD120-4WD")</f>
        <v> FD120-4WD</v>
      </c>
      <c r="H426" s="1076" t="str">
        <f>IFERROR(__xludf.DUMMYFUNCTION("""COMPUTED_VALUE"""),"129HP")</f>
        <v>129HP</v>
      </c>
      <c r="I426" s="1076" t="str">
        <f>IFERROR(__xludf.DUMMYFUNCTION("""COMPUTED_VALUE"""),"RNHF12FNBRT002113")</f>
        <v>RNHF12FNBRT002113</v>
      </c>
      <c r="J426" s="1076" t="str">
        <f>IFERROR(__xludf.DUMMYFUNCTION("""COMPUTED_VALUE"""),"YN38CRD1*AGN22000293*")</f>
        <v>YN38CRD1*AGN22000293*</v>
      </c>
      <c r="K426" s="1076">
        <f>IFERROR(__xludf.DUMMYFUNCTION("""COMPUTED_VALUE"""),4.3)</f>
        <v>4.3</v>
      </c>
      <c r="L426" s="1076" t="str">
        <f>IFERROR(__xludf.DUMMYFUNCTION("""COMPUTED_VALUE"""),"KLH")</f>
        <v>KLH</v>
      </c>
    </row>
    <row r="427" customHeight="1" spans="1:12">
      <c r="A427" s="1089" t="str">
        <f>IFERROR(__xludf.DUMMYFUNCTION("""COMPUTED_VALUE"""),"XB1-XCP-014")</f>
        <v>XB1-XCP-014</v>
      </c>
      <c r="B427" s="1075" t="str">
        <f>IFERROR(__xludf.DUMMYFUNCTION("""COMPUTED_VALUE"""),"Xe chở phân FD120 (5.41m3)")</f>
        <v>Xe chở phân FD120 (5.41m3)</v>
      </c>
      <c r="C427" s="1076" t="str">
        <f>IFERROR(__xludf.DUMMYFUNCTION("""COMPUTED_VALUE"""),"XN Bò AD")</f>
        <v>XN Bò AD</v>
      </c>
      <c r="D427" s="1076" t="str">
        <f>IFERROR(__xludf.DUMMYFUNCTION("""COMPUTED_VALUE"""),"THACO FORLAND")</f>
        <v>THACO FORLAND</v>
      </c>
      <c r="E427" s="1076" t="str">
        <f>IFERROR(__xludf.DUMMYFUNCTION("""COMPUTED_VALUE"""),"VIỆT NAM")</f>
        <v>VIỆT NAM</v>
      </c>
      <c r="F427" s="1076">
        <f>IFERROR(__xludf.DUMMYFUNCTION("""COMPUTED_VALUE"""),2024)</f>
        <v>2024</v>
      </c>
      <c r="G427" s="1076" t="str">
        <f>IFERROR(__xludf.DUMMYFUNCTION("""COMPUTED_VALUE""")," FD120-4WD")</f>
        <v> FD120-4WD</v>
      </c>
      <c r="H427" s="1076" t="str">
        <f>IFERROR(__xludf.DUMMYFUNCTION("""COMPUTED_VALUE"""),"129HP")</f>
        <v>129HP</v>
      </c>
      <c r="I427" s="1076" t="str">
        <f>IFERROR(__xludf.DUMMYFUNCTION("""COMPUTED_VALUE"""),"RNHF12FNBRT002117")</f>
        <v>RNHF12FNBRT002117</v>
      </c>
      <c r="J427" s="1076" t="str">
        <f>IFERROR(__xludf.DUMMYFUNCTION("""COMPUTED_VALUE"""),"YN38CRD1*AGN22000297*")</f>
        <v>YN38CRD1*AGN22000297*</v>
      </c>
      <c r="K427" s="1076">
        <f>IFERROR(__xludf.DUMMYFUNCTION("""COMPUTED_VALUE"""),0.61)</f>
        <v>0.61</v>
      </c>
      <c r="L427" s="1076" t="str">
        <f>IFERROR(__xludf.DUMMYFUNCTION("""COMPUTED_VALUE"""),"KLH")</f>
        <v>KLH</v>
      </c>
    </row>
    <row r="428" customHeight="1" spans="1:12">
      <c r="A428" s="1089" t="str">
        <f>IFERROR(__xludf.DUMMYFUNCTION("""COMPUTED_VALUE"""),"XB1-XTA-005")</f>
        <v>XB1-XTA-005</v>
      </c>
      <c r="B428" s="1075" t="str">
        <f>IFERROR(__xludf.DUMMYFUNCTION("""COMPUTED_VALUE"""),"Xe tải thùng FD140")</f>
        <v>Xe tải thùng FD140</v>
      </c>
      <c r="C428" s="1076" t="str">
        <f>IFERROR(__xludf.DUMMYFUNCTION("""COMPUTED_VALUE"""),"XN Bò AD")</f>
        <v>XN Bò AD</v>
      </c>
      <c r="D428" s="1076" t="str">
        <f>IFERROR(__xludf.DUMMYFUNCTION("""COMPUTED_VALUE"""),"THACO FORLAND")</f>
        <v>THACO FORLAND</v>
      </c>
      <c r="E428" s="1076" t="str">
        <f>IFERROR(__xludf.DUMMYFUNCTION("""COMPUTED_VALUE"""),"VIỆT NAM")</f>
        <v>VIỆT NAM</v>
      </c>
      <c r="F428" s="1076">
        <f>IFERROR(__xludf.DUMMYFUNCTION("""COMPUTED_VALUE"""),2021)</f>
        <v>2021</v>
      </c>
      <c r="G428" s="1076" t="str">
        <f>IFERROR(__xludf.DUMMYFUNCTION("""COMPUTED_VALUE"""),"FD140-4WD")</f>
        <v>FD140-4WD</v>
      </c>
      <c r="H428" s="1076" t="str">
        <f>IFERROR(__xludf.DUMMYFUNCTION("""COMPUTED_VALUE"""),"140HP")</f>
        <v>140HP</v>
      </c>
      <c r="I428" s="1076" t="str">
        <f>IFERROR(__xludf.DUMMYFUNCTION("""COMPUTED_VALUE"""),"RNHF14FYAMT052027")</f>
        <v>RNHF14FYAMT052027</v>
      </c>
      <c r="J428" s="1076" t="str">
        <f>IFERROR(__xludf.DUMMYFUNCTION("""COMPUTED_VALUE"""),"YC4D140-48D59M1M00546")</f>
        <v>YC4D140-48D59M1M00546</v>
      </c>
      <c r="K428" s="1076">
        <f>IFERROR(__xludf.DUMMYFUNCTION("""COMPUTED_VALUE"""),0.3)</f>
        <v>0.3</v>
      </c>
      <c r="L428" s="1076" t="str">
        <f>IFERROR(__xludf.DUMMYFUNCTION("""COMPUTED_VALUE"""),"KLH")</f>
        <v>KLH</v>
      </c>
    </row>
    <row r="429" customHeight="1" spans="1:12">
      <c r="A429" s="1089" t="str">
        <f>IFERROR(__xludf.DUMMYFUNCTION("""COMPUTED_VALUE"""),"XB1-XTA-006")</f>
        <v>XB1-XTA-006</v>
      </c>
      <c r="B429" s="1075" t="str">
        <f>IFERROR(__xludf.DUMMYFUNCTION("""COMPUTED_VALUE"""),"Xe tải thùng FC150")</f>
        <v>Xe tải thùng FC150</v>
      </c>
      <c r="C429" s="1076" t="str">
        <f>IFERROR(__xludf.DUMMYFUNCTION("""COMPUTED_VALUE"""),"XN Bò AD")</f>
        <v>XN Bò AD</v>
      </c>
      <c r="D429" s="1076" t="str">
        <f>IFERROR(__xludf.DUMMYFUNCTION("""COMPUTED_VALUE"""),"THACO FORLAND")</f>
        <v>THACO FORLAND</v>
      </c>
      <c r="E429" s="1076" t="str">
        <f>IFERROR(__xludf.DUMMYFUNCTION("""COMPUTED_VALUE"""),"VIỆT NAM")</f>
        <v>VIỆT NAM</v>
      </c>
      <c r="F429" s="1076">
        <f>IFERROR(__xludf.DUMMYFUNCTION("""COMPUTED_VALUE"""),2024)</f>
        <v>2024</v>
      </c>
      <c r="G429" s="1076" t="str">
        <f>IFERROR(__xludf.DUMMYFUNCTION("""COMPUTED_VALUE"""),"FC150-4WD")</f>
        <v>FC150-4WD</v>
      </c>
      <c r="H429" s="1076" t="str">
        <f>IFERROR(__xludf.DUMMYFUNCTION("""COMPUTED_VALUE"""),"147HP")</f>
        <v>147HP</v>
      </c>
      <c r="I429" s="1076" t="str">
        <f>IFERROR(__xludf.DUMMYFUNCTION("""COMPUTED_VALUE"""),"RNHF16FYBRT077509")</f>
        <v>RNHF16FYBRT077509</v>
      </c>
      <c r="J429" s="1076" t="str">
        <f>IFERROR(__xludf.DUMMYFUNCTION("""COMPUTED_VALUE"""),"D59M1N01082")</f>
        <v>D59M1N01082</v>
      </c>
      <c r="K429" s="1076">
        <f>IFERROR(__xludf.DUMMYFUNCTION("""COMPUTED_VALUE"""),0.5)</f>
        <v>0.5</v>
      </c>
      <c r="L429" s="1076" t="str">
        <f>IFERROR(__xludf.DUMMYFUNCTION("""COMPUTED_VALUE"""),"KLH")</f>
        <v>KLH</v>
      </c>
    </row>
    <row r="430" customHeight="1" spans="1:12">
      <c r="A430" s="1089" t="str">
        <f>IFERROR(__xludf.DUMMYFUNCTION("""COMPUTED_VALUE"""),"XB1-XĐK-001")</f>
        <v>XB1-XĐK-001</v>
      </c>
      <c r="B430" s="1075" t="str">
        <f>IFERROR(__xludf.DUMMYFUNCTION("""COMPUTED_VALUE"""),"Xe đầu kéo FD1600B")</f>
        <v>Xe đầu kéo FD1600B</v>
      </c>
      <c r="C430" s="1076" t="str">
        <f>IFERROR(__xludf.DUMMYFUNCTION("""COMPUTED_VALUE"""),"XN Bò AD")</f>
        <v>XN Bò AD</v>
      </c>
      <c r="D430" s="1076" t="str">
        <f>IFERROR(__xludf.DUMMYFUNCTION("""COMPUTED_VALUE"""),"THACO FORLAND")</f>
        <v>THACO FORLAND</v>
      </c>
      <c r="E430" s="1076" t="str">
        <f>IFERROR(__xludf.DUMMYFUNCTION("""COMPUTED_VALUE"""),"VIỆT NAM")</f>
        <v>VIỆT NAM</v>
      </c>
      <c r="F430" s="1076">
        <f>IFERROR(__xludf.DUMMYFUNCTION("""COMPUTED_VALUE"""),2022)</f>
        <v>2022</v>
      </c>
      <c r="G430" s="1076" t="str">
        <f>IFERROR(__xludf.DUMMYFUNCTION("""COMPUTED_VALUE"""),"FD1600B")</f>
        <v>FD1600B</v>
      </c>
      <c r="H430" s="1076" t="str">
        <f>IFERROR(__xludf.DUMMYFUNCTION("""COMPUTED_VALUE"""),"177HP")</f>
        <v>177HP</v>
      </c>
      <c r="I430" s="1076" t="str">
        <f>IFERROR(__xludf.DUMMYFUNCTION("""COMPUTED_VALUE"""),"RNHD1600DHC070065")</f>
        <v>RNHD1600DHC070065</v>
      </c>
      <c r="J430" s="1076" t="str">
        <f>IFERROR(__xludf.DUMMYFUNCTION("""COMPUTED_VALUE"""),"6P15D005384")</f>
        <v>6P15D005384</v>
      </c>
      <c r="K430" s="1076">
        <f>IFERROR(__xludf.DUMMYFUNCTION("""COMPUTED_VALUE"""),7)</f>
        <v>7</v>
      </c>
      <c r="L430" s="1076" t="str">
        <f>IFERROR(__xludf.DUMMYFUNCTION("""COMPUTED_VALUE"""),"KLH")</f>
        <v>KLH</v>
      </c>
    </row>
    <row r="431" customHeight="1" spans="1:12">
      <c r="A431" s="1089" t="str">
        <f>IFERROR(__xludf.DUMMYFUNCTION("""COMPUTED_VALUE"""),"XB1-XĐK-002")</f>
        <v>XB1-XĐK-002</v>
      </c>
      <c r="B431" s="1075" t="str">
        <f>IFERROR(__xludf.DUMMYFUNCTION("""COMPUTED_VALUE"""),"Xe đầu kéo TT261J-MT")</f>
        <v>Xe đầu kéo TT261J-MT</v>
      </c>
      <c r="C431" s="1076" t="str">
        <f>IFERROR(__xludf.DUMMYFUNCTION("""COMPUTED_VALUE"""),"XN Bò AD")</f>
        <v>XN Bò AD</v>
      </c>
      <c r="D431" s="1076" t="str">
        <f>IFERROR(__xludf.DUMMYFUNCTION("""COMPUTED_VALUE"""),"THACO")</f>
        <v>THACO</v>
      </c>
      <c r="E431" s="1076" t="str">
        <f>IFERROR(__xludf.DUMMYFUNCTION("""COMPUTED_VALUE"""),"VIỆT NAM")</f>
        <v>VIỆT NAM</v>
      </c>
      <c r="F431" s="1076">
        <f>IFERROR(__xludf.DUMMYFUNCTION("""COMPUTED_VALUE"""),2024)</f>
        <v>2024</v>
      </c>
      <c r="G431" s="1076" t="str">
        <f>IFERROR(__xludf.DUMMYFUNCTION("""COMPUTED_VALUE"""),"THACO TT261J-MT")</f>
        <v>THACO TT261J-MT</v>
      </c>
      <c r="H431" s="1076" t="str">
        <f>IFERROR(__xludf.DUMMYFUNCTION("""COMPUTED_VALUE"""),"295HP")</f>
        <v>295HP</v>
      </c>
      <c r="I431" s="1076" t="str">
        <f>IFERROR(__xludf.DUMMYFUNCTION("""COMPUTED_VALUE"""),"RNHT16TWART098475")</f>
        <v>RNHT16TWART098475</v>
      </c>
      <c r="J431" s="1076" t="str">
        <f>IFERROR(__xludf.DUMMYFUNCTION("""COMPUTED_VALUE"""),"1024A000597")</f>
        <v>1024A000597</v>
      </c>
      <c r="K431" s="1076"/>
      <c r="L431" s="1076" t="str">
        <f>IFERROR(__xludf.DUMMYFUNCTION("""COMPUTED_VALUE"""),"KLH")</f>
        <v>KLH</v>
      </c>
    </row>
    <row r="432" customHeight="1" spans="1:12">
      <c r="A432" s="1089" t="str">
        <f>IFERROR(__xludf.DUMMYFUNCTION("""COMPUTED_VALUE"""),"XB1-XĐK-003")</f>
        <v>XB1-XĐK-003</v>
      </c>
      <c r="B432" s="1075" t="str">
        <f>IFERROR(__xludf.DUMMYFUNCTION("""COMPUTED_VALUE"""),"Xe đầu kéo HOWO")</f>
        <v>Xe đầu kéo HOWO</v>
      </c>
      <c r="C432" s="1076" t="str">
        <f>IFERROR(__xludf.DUMMYFUNCTION("""COMPUTED_VALUE"""),"XN Bò AD")</f>
        <v>XN Bò AD</v>
      </c>
      <c r="D432" s="1076" t="str">
        <f>IFERROR(__xludf.DUMMYFUNCTION("""COMPUTED_VALUE"""),"CNHTC")</f>
        <v>CNHTC</v>
      </c>
      <c r="E432" s="1076" t="str">
        <f>IFERROR(__xludf.DUMMYFUNCTION("""COMPUTED_VALUE"""),"TRUNG QUỐC")</f>
        <v>TRUNG QUỐC</v>
      </c>
      <c r="F432" s="1076">
        <f>IFERROR(__xludf.DUMMYFUNCTION("""COMPUTED_VALUE"""),2025)</f>
        <v>2025</v>
      </c>
      <c r="G432" s="1076" t="str">
        <f>IFERROR(__xludf.DUMMYFUNCTION("""COMPUTED_VALUE"""),"ZZ4187N391JE1")</f>
        <v>ZZ4187N391JE1</v>
      </c>
      <c r="H432" s="1076" t="str">
        <f>IFERROR(__xludf.DUMMYFUNCTION("""COMPUTED_VALUE"""),"299HP")</f>
        <v>299HP</v>
      </c>
      <c r="I432" s="1076" t="str">
        <f>IFERROR(__xludf.DUMMYFUNCTION("""COMPUTED_VALUE"""),"LZZ1CCMD2SJ416137")</f>
        <v>LZZ1CCMD2SJ416137</v>
      </c>
      <c r="J432" s="1076" t="str">
        <f>IFERROR(__xludf.DUMMYFUNCTION("""COMPUTED_VALUE"""),"WP7.300E51*1025G007299*")</f>
        <v>WP7.300E51*1025G007299*</v>
      </c>
      <c r="K432" s="1076"/>
      <c r="L432" s="1076" t="str">
        <f>IFERROR(__xludf.DUMMYFUNCTION("""COMPUTED_VALUE"""),"KLH")</f>
        <v>KLH</v>
      </c>
    </row>
    <row r="433" customHeight="1" spans="1:12">
      <c r="A433" s="1089" t="str">
        <f>IFERROR(__xludf.DUMMYFUNCTION("""COMPUTED_VALUE"""),"XB1-XĐK-004")</f>
        <v>XB1-XĐK-004</v>
      </c>
      <c r="B433" s="1075" t="str">
        <f>IFERROR(__xludf.DUMMYFUNCTION("""COMPUTED_VALUE"""),"Xe đầu kéo HOWO")</f>
        <v>Xe đầu kéo HOWO</v>
      </c>
      <c r="C433" s="1076" t="str">
        <f>IFERROR(__xludf.DUMMYFUNCTION("""COMPUTED_VALUE"""),"XN Bò AD")</f>
        <v>XN Bò AD</v>
      </c>
      <c r="D433" s="1076" t="str">
        <f>IFERROR(__xludf.DUMMYFUNCTION("""COMPUTED_VALUE"""),"CNHTC")</f>
        <v>CNHTC</v>
      </c>
      <c r="E433" s="1076" t="str">
        <f>IFERROR(__xludf.DUMMYFUNCTION("""COMPUTED_VALUE"""),"TRUNG QUỐC")</f>
        <v>TRUNG QUỐC</v>
      </c>
      <c r="F433" s="1076">
        <f>IFERROR(__xludf.DUMMYFUNCTION("""COMPUTED_VALUE"""),2025)</f>
        <v>2025</v>
      </c>
      <c r="G433" s="1076" t="str">
        <f>IFERROR(__xludf.DUMMYFUNCTION("""COMPUTED_VALUE"""),"ZZ4187N391JE1")</f>
        <v>ZZ4187N391JE1</v>
      </c>
      <c r="H433" s="1076" t="str">
        <f>IFERROR(__xludf.DUMMYFUNCTION("""COMPUTED_VALUE"""),"299HP")</f>
        <v>299HP</v>
      </c>
      <c r="I433" s="1076" t="str">
        <f>IFERROR(__xludf.DUMMYFUNCTION("""COMPUTED_VALUE"""),"LZZ1CCMD7SJ415209")</f>
        <v>LZZ1CCMD7SJ415209</v>
      </c>
      <c r="J433" s="1076" t="str">
        <f>IFERROR(__xludf.DUMMYFUNCTION("""COMPUTED_VALUE"""),"WP7.300E51*1025G006835*")</f>
        <v>WP7.300E51*1025G006835*</v>
      </c>
      <c r="K433" s="1076"/>
      <c r="L433" s="1076" t="str">
        <f>IFERROR(__xludf.DUMMYFUNCTION("""COMPUTED_VALUE"""),"KLH")</f>
        <v>KLH</v>
      </c>
    </row>
    <row r="434" customHeight="1" spans="1:12">
      <c r="A434" s="1089" t="str">
        <f>IFERROR(__xludf.DUMMYFUNCTION("""COMPUTED_VALUE"""),"XB1-XĐK-005")</f>
        <v>XB1-XĐK-005</v>
      </c>
      <c r="B434" s="1075" t="str">
        <f>IFERROR(__xludf.DUMMYFUNCTION("""COMPUTED_VALUE"""),"Xe đầu kéo HOWO")</f>
        <v>Xe đầu kéo HOWO</v>
      </c>
      <c r="C434" s="1076" t="str">
        <f>IFERROR(__xludf.DUMMYFUNCTION("""COMPUTED_VALUE"""),"XN Bò AD")</f>
        <v>XN Bò AD</v>
      </c>
      <c r="D434" s="1076" t="str">
        <f>IFERROR(__xludf.DUMMYFUNCTION("""COMPUTED_VALUE"""),"CNHTC")</f>
        <v>CNHTC</v>
      </c>
      <c r="E434" s="1076" t="str">
        <f>IFERROR(__xludf.DUMMYFUNCTION("""COMPUTED_VALUE"""),"TRUNG QUỐC")</f>
        <v>TRUNG QUỐC</v>
      </c>
      <c r="F434" s="1076">
        <f>IFERROR(__xludf.DUMMYFUNCTION("""COMPUTED_VALUE"""),2025)</f>
        <v>2025</v>
      </c>
      <c r="G434" s="1076" t="str">
        <f>IFERROR(__xludf.DUMMYFUNCTION("""COMPUTED_VALUE"""),"ZZ4187N391JE1")</f>
        <v>ZZ4187N391JE1</v>
      </c>
      <c r="H434" s="1076" t="str">
        <f>IFERROR(__xludf.DUMMYFUNCTION("""COMPUTED_VALUE"""),"299HP")</f>
        <v>299HP</v>
      </c>
      <c r="I434" s="1076" t="str">
        <f>IFERROR(__xludf.DUMMYFUNCTION("""COMPUTED_VALUE"""),"LZZ1CCMD3SJ415210")</f>
        <v>LZZ1CCMD3SJ415210</v>
      </c>
      <c r="J434" s="1076" t="str">
        <f>IFERROR(__xludf.DUMMYFUNCTION("""COMPUTED_VALUE"""),"WP7.300E51*1025G006838*")</f>
        <v>WP7.300E51*1025G006838*</v>
      </c>
      <c r="K434" s="1076"/>
      <c r="L434" s="1076" t="str">
        <f>IFERROR(__xludf.DUMMYFUNCTION("""COMPUTED_VALUE"""),"KLH")</f>
        <v>KLH</v>
      </c>
    </row>
    <row r="435" customHeight="1" spans="1:12">
      <c r="A435" s="1089" t="str">
        <f>IFERROR(__xludf.DUMMYFUNCTION("""COMPUTED_VALUE"""),"XB1-XĐK-006")</f>
        <v>XB1-XĐK-006</v>
      </c>
      <c r="B435" s="1075" t="str">
        <f>IFERROR(__xludf.DUMMYFUNCTION("""COMPUTED_VALUE"""),"Xe đầu kéo HOWO")</f>
        <v>Xe đầu kéo HOWO</v>
      </c>
      <c r="C435" s="1076" t="str">
        <f>IFERROR(__xludf.DUMMYFUNCTION("""COMPUTED_VALUE"""),"XN Bò AD")</f>
        <v>XN Bò AD</v>
      </c>
      <c r="D435" s="1076" t="str">
        <f>IFERROR(__xludf.DUMMYFUNCTION("""COMPUTED_VALUE"""),"CNHTC")</f>
        <v>CNHTC</v>
      </c>
      <c r="E435" s="1076" t="str">
        <f>IFERROR(__xludf.DUMMYFUNCTION("""COMPUTED_VALUE"""),"Trung Quốc")</f>
        <v>Trung Quốc</v>
      </c>
      <c r="F435" s="1076">
        <f>IFERROR(__xludf.DUMMYFUNCTION("""COMPUTED_VALUE"""),2025)</f>
        <v>2025</v>
      </c>
      <c r="G435" s="1076" t="str">
        <f>IFERROR(__xludf.DUMMYFUNCTION("""COMPUTED_VALUE"""),"ZZ4187N391JE1")</f>
        <v>ZZ4187N391JE1</v>
      </c>
      <c r="H435" s="1076" t="str">
        <f>IFERROR(__xludf.DUMMYFUNCTION("""COMPUTED_VALUE"""),"299HP")</f>
        <v>299HP</v>
      </c>
      <c r="I435" s="1076" t="str">
        <f>IFERROR(__xludf.DUMMYFUNCTION("""COMPUTED_VALUE"""),"LZZ1CCMD3SJ415207")</f>
        <v>LZZ1CCMD3SJ415207</v>
      </c>
      <c r="J435" s="1076" t="str">
        <f>IFERROR(__xludf.DUMMYFUNCTION("""COMPUTED_VALUE"""),"WP7.300E51*1025G006833*")</f>
        <v>WP7.300E51*1025G006833*</v>
      </c>
      <c r="K435" s="1076"/>
      <c r="L435" s="1076" t="str">
        <f>IFERROR(__xludf.DUMMYFUNCTION("""COMPUTED_VALUE"""),"KLH")</f>
        <v>KLH</v>
      </c>
    </row>
    <row r="436" customHeight="1" spans="1:12">
      <c r="A436" s="1089" t="str">
        <f>IFERROR(__xludf.DUMMYFUNCTION("""COMPUTED_VALUE"""),"XB1-XĐK-007")</f>
        <v>XB1-XĐK-007</v>
      </c>
      <c r="B436" s="1075" t="str">
        <f>IFERROR(__xludf.DUMMYFUNCTION("""COMPUTED_VALUE"""),"Xe đầu kéo HOWO")</f>
        <v>Xe đầu kéo HOWO</v>
      </c>
      <c r="C436" s="1076" t="str">
        <f>IFERROR(__xludf.DUMMYFUNCTION("""COMPUTED_VALUE"""),"XN Bò AD")</f>
        <v>XN Bò AD</v>
      </c>
      <c r="D436" s="1076" t="str">
        <f>IFERROR(__xludf.DUMMYFUNCTION("""COMPUTED_VALUE"""),"CNHTC")</f>
        <v>CNHTC</v>
      </c>
      <c r="E436" s="1076" t="str">
        <f>IFERROR(__xludf.DUMMYFUNCTION("""COMPUTED_VALUE"""),"Trung Quốc")</f>
        <v>Trung Quốc</v>
      </c>
      <c r="F436" s="1076">
        <f>IFERROR(__xludf.DUMMYFUNCTION("""COMPUTED_VALUE"""),2025)</f>
        <v>2025</v>
      </c>
      <c r="G436" s="1076" t="str">
        <f>IFERROR(__xludf.DUMMYFUNCTION("""COMPUTED_VALUE"""),"ZZ4187N391JE1")</f>
        <v>ZZ4187N391JE1</v>
      </c>
      <c r="H436" s="1076" t="str">
        <f>IFERROR(__xludf.DUMMYFUNCTION("""COMPUTED_VALUE"""),"299HP")</f>
        <v>299HP</v>
      </c>
      <c r="I436" s="1076" t="str">
        <f>IFERROR(__xludf.DUMMYFUNCTION("""COMPUTED_VALUE"""),"LZZ1CCMD3SJ415208")</f>
        <v>LZZ1CCMD3SJ415208</v>
      </c>
      <c r="J436" s="1076" t="str">
        <f>IFERROR(__xludf.DUMMYFUNCTION("""COMPUTED_VALUE"""),"WP7.300E51*1025G006834*")</f>
        <v>WP7.300E51*1025G006834*</v>
      </c>
      <c r="K436" s="1076"/>
      <c r="L436" s="1076" t="str">
        <f>IFERROR(__xludf.DUMMYFUNCTION("""COMPUTED_VALUE"""),"KLH")</f>
        <v>KLH</v>
      </c>
    </row>
    <row r="437" customHeight="1" spans="1:12">
      <c r="A437" s="1089" t="str">
        <f>IFERROR(__xludf.DUMMYFUNCTION("""COMPUTED_VALUE"""),"XB1-XĐK-008")</f>
        <v>XB1-XĐK-008</v>
      </c>
      <c r="B437" s="1075" t="str">
        <f>IFERROR(__xludf.DUMMYFUNCTION("""COMPUTED_VALUE"""),"Xe đầu kéo HOWO")</f>
        <v>Xe đầu kéo HOWO</v>
      </c>
      <c r="C437" s="1076" t="str">
        <f>IFERROR(__xludf.DUMMYFUNCTION("""COMPUTED_VALUE"""),"XN Bò AD")</f>
        <v>XN Bò AD</v>
      </c>
      <c r="D437" s="1076" t="str">
        <f>IFERROR(__xludf.DUMMYFUNCTION("""COMPUTED_VALUE"""),"CNHTC")</f>
        <v>CNHTC</v>
      </c>
      <c r="E437" s="1076" t="str">
        <f>IFERROR(__xludf.DUMMYFUNCTION("""COMPUTED_VALUE"""),"Trung Quốc")</f>
        <v>Trung Quốc</v>
      </c>
      <c r="F437" s="1076">
        <f>IFERROR(__xludf.DUMMYFUNCTION("""COMPUTED_VALUE"""),2025)</f>
        <v>2025</v>
      </c>
      <c r="G437" s="1076" t="str">
        <f>IFERROR(__xludf.DUMMYFUNCTION("""COMPUTED_VALUE"""),"ZZ4187N391JE1")</f>
        <v>ZZ4187N391JE1</v>
      </c>
      <c r="H437" s="1076" t="str">
        <f>IFERROR(__xludf.DUMMYFUNCTION("""COMPUTED_VALUE"""),"299HP")</f>
        <v>299HP</v>
      </c>
      <c r="I437" s="1076" t="str">
        <f>IFERROR(__xludf.DUMMYFUNCTION("""COMPUTED_VALUE"""),"LZZ1CCMD4SJ416138")</f>
        <v>LZZ1CCMD4SJ416138</v>
      </c>
      <c r="J437" s="1076" t="str">
        <f>IFERROR(__xludf.DUMMYFUNCTION("""COMPUTED_VALUE"""),"WP7.300E51*1025G007295*")</f>
        <v>WP7.300E51*1025G007295*</v>
      </c>
      <c r="K437" s="1076"/>
      <c r="L437" s="1076" t="str">
        <f>IFERROR(__xludf.DUMMYFUNCTION("""COMPUTED_VALUE"""),"KLH")</f>
        <v>KLH</v>
      </c>
    </row>
    <row r="438" customHeight="1" spans="1:12">
      <c r="A438" s="1089" t="str">
        <f>IFERROR(__xludf.DUMMYFUNCTION("""COMPUTED_VALUE"""),"XB1-XĐK-009")</f>
        <v>XB1-XĐK-009</v>
      </c>
      <c r="B438" s="1075" t="str">
        <f>IFERROR(__xludf.DUMMYFUNCTION("""COMPUTED_VALUE"""),"Xe đầu kéo HOWO")</f>
        <v>Xe đầu kéo HOWO</v>
      </c>
      <c r="C438" s="1076" t="str">
        <f>IFERROR(__xludf.DUMMYFUNCTION("""COMPUTED_VALUE"""),"XN Bò AD")</f>
        <v>XN Bò AD</v>
      </c>
      <c r="D438" s="1076" t="str">
        <f>IFERROR(__xludf.DUMMYFUNCTION("""COMPUTED_VALUE"""),"CNHTC")</f>
        <v>CNHTC</v>
      </c>
      <c r="E438" s="1076" t="str">
        <f>IFERROR(__xludf.DUMMYFUNCTION("""COMPUTED_VALUE"""),"Trung Quốc")</f>
        <v>Trung Quốc</v>
      </c>
      <c r="F438" s="1076">
        <f>IFERROR(__xludf.DUMMYFUNCTION("""COMPUTED_VALUE"""),2025)</f>
        <v>2025</v>
      </c>
      <c r="G438" s="1076" t="str">
        <f>IFERROR(__xludf.DUMMYFUNCTION("""COMPUTED_VALUE"""),"ZZ4187N391JE1")</f>
        <v>ZZ4187N391JE1</v>
      </c>
      <c r="H438" s="1076" t="str">
        <f>IFERROR(__xludf.DUMMYFUNCTION("""COMPUTED_VALUE"""),"299HP")</f>
        <v>299HP</v>
      </c>
      <c r="I438" s="1076" t="str">
        <f>IFERROR(__xludf.DUMMYFUNCTION("""COMPUTED_VALUE"""),"LZZ1CCMD5SJ416133")</f>
        <v>LZZ1CCMD5SJ416133</v>
      </c>
      <c r="J438" s="1076" t="str">
        <f>IFERROR(__xludf.DUMMYFUNCTION("""COMPUTED_VALUE"""),"WP7.300E51*1025G007305*")</f>
        <v>WP7.300E51*1025G007305*</v>
      </c>
      <c r="K438" s="1076"/>
      <c r="L438" s="1076" t="str">
        <f>IFERROR(__xludf.DUMMYFUNCTION("""COMPUTED_VALUE"""),"KLH")</f>
        <v>KLH</v>
      </c>
    </row>
    <row r="439" customHeight="1" spans="1:12">
      <c r="A439" s="1089" t="str">
        <f>IFERROR(__xludf.DUMMYFUNCTION("""COMPUTED_VALUE"""),"XB1-XĐK-010")</f>
        <v>XB1-XĐK-010</v>
      </c>
      <c r="B439" s="1075" t="str">
        <f>IFERROR(__xludf.DUMMYFUNCTION("""COMPUTED_VALUE"""),"Xe đầu kéo HOWO")</f>
        <v>Xe đầu kéo HOWO</v>
      </c>
      <c r="C439" s="1076" t="str">
        <f>IFERROR(__xludf.DUMMYFUNCTION("""COMPUTED_VALUE"""),"XN Bò AD")</f>
        <v>XN Bò AD</v>
      </c>
      <c r="D439" s="1076" t="str">
        <f>IFERROR(__xludf.DUMMYFUNCTION("""COMPUTED_VALUE"""),"CNHTC")</f>
        <v>CNHTC</v>
      </c>
      <c r="E439" s="1076" t="str">
        <f>IFERROR(__xludf.DUMMYFUNCTION("""COMPUTED_VALUE"""),"Trung Quốc")</f>
        <v>Trung Quốc</v>
      </c>
      <c r="F439" s="1076">
        <f>IFERROR(__xludf.DUMMYFUNCTION("""COMPUTED_VALUE"""),2025)</f>
        <v>2025</v>
      </c>
      <c r="G439" s="1076" t="str">
        <f>IFERROR(__xludf.DUMMYFUNCTION("""COMPUTED_VALUE"""),"ZZ4187N391JE1")</f>
        <v>ZZ4187N391JE1</v>
      </c>
      <c r="H439" s="1076" t="str">
        <f>IFERROR(__xludf.DUMMYFUNCTION("""COMPUTED_VALUE"""),"299 HP")</f>
        <v>299 HP</v>
      </c>
      <c r="I439" s="1076" t="str">
        <f>IFERROR(__xludf.DUMMYFUNCTION("""COMPUTED_VALUE"""),"LZZ1CCMD6SJ416125")</f>
        <v>LZZ1CCMD6SJ416125</v>
      </c>
      <c r="J439" s="1076" t="str">
        <f>IFERROR(__xludf.DUMMYFUNCTION("""COMPUTED_VALUE"""),"WP7.300E51*1025G007298*")</f>
        <v>WP7.300E51*1025G007298*</v>
      </c>
      <c r="K439" s="1076"/>
      <c r="L439" s="1076" t="str">
        <f>IFERROR(__xludf.DUMMYFUNCTION("""COMPUTED_VALUE"""),"KLH")</f>
        <v>KLH</v>
      </c>
    </row>
    <row r="440" customHeight="1" spans="1:12">
      <c r="A440" s="1089" t="str">
        <f>IFERROR(__xludf.DUMMYFUNCTION("""COMPUTED_VALUE"""),"XB1-XĐK-011")</f>
        <v>XB1-XĐK-011</v>
      </c>
      <c r="B440" s="1075" t="str">
        <f>IFERROR(__xludf.DUMMYFUNCTION("""COMPUTED_VALUE"""),"Xe đầu kéo HOWO")</f>
        <v>Xe đầu kéo HOWO</v>
      </c>
      <c r="C440" s="1076" t="str">
        <f>IFERROR(__xludf.DUMMYFUNCTION("""COMPUTED_VALUE"""),"XN Bò AD")</f>
        <v>XN Bò AD</v>
      </c>
      <c r="D440" s="1076" t="str">
        <f>IFERROR(__xludf.DUMMYFUNCTION("""COMPUTED_VALUE"""),"CNHTC")</f>
        <v>CNHTC</v>
      </c>
      <c r="E440" s="1076" t="str">
        <f>IFERROR(__xludf.DUMMYFUNCTION("""COMPUTED_VALUE"""),"Trung Quốc")</f>
        <v>Trung Quốc</v>
      </c>
      <c r="F440" s="1076">
        <f>IFERROR(__xludf.DUMMYFUNCTION("""COMPUTED_VALUE"""),2025)</f>
        <v>2025</v>
      </c>
      <c r="G440" s="1076" t="str">
        <f>IFERROR(__xludf.DUMMYFUNCTION("""COMPUTED_VALUE"""),"ZZ4187N391JE1")</f>
        <v>ZZ4187N391JE1</v>
      </c>
      <c r="H440" s="1076" t="str">
        <f>IFERROR(__xludf.DUMMYFUNCTION("""COMPUTED_VALUE"""),"299 HP")</f>
        <v>299 HP</v>
      </c>
      <c r="I440" s="1076" t="str">
        <f>IFERROR(__xludf.DUMMYFUNCTION("""COMPUTED_VALUE"""),"LZZ1CCMD9SJ416135")</f>
        <v>LZZ1CCMD9SJ416135</v>
      </c>
      <c r="J440" s="1076" t="str">
        <f>IFERROR(__xludf.DUMMYFUNCTION("""COMPUTED_VALUE"""),"WP7.300E51*1025G007310*")</f>
        <v>WP7.300E51*1025G007310*</v>
      </c>
      <c r="K440" s="1076"/>
      <c r="L440" s="1076" t="str">
        <f>IFERROR(__xludf.DUMMYFUNCTION("""COMPUTED_VALUE"""),"KLH")</f>
        <v>KLH</v>
      </c>
    </row>
    <row r="441" customHeight="1" spans="1:12">
      <c r="A441" s="1089" t="str">
        <f>IFERROR(__xludf.DUMMYFUNCTION("""COMPUTED_VALUE"""),"XB1-XĐK-012")</f>
        <v>XB1-XĐK-012</v>
      </c>
      <c r="B441" s="1075" t="str">
        <f>IFERROR(__xludf.DUMMYFUNCTION("""COMPUTED_VALUE"""),"Xe đầu kéo HOWO")</f>
        <v>Xe đầu kéo HOWO</v>
      </c>
      <c r="C441" s="1076" t="str">
        <f>IFERROR(__xludf.DUMMYFUNCTION("""COMPUTED_VALUE"""),"XN Bò AD")</f>
        <v>XN Bò AD</v>
      </c>
      <c r="D441" s="1076" t="str">
        <f>IFERROR(__xludf.DUMMYFUNCTION("""COMPUTED_VALUE"""),"CNHTC")</f>
        <v>CNHTC</v>
      </c>
      <c r="E441" s="1076" t="str">
        <f>IFERROR(__xludf.DUMMYFUNCTION("""COMPUTED_VALUE"""),"Trung Quốc")</f>
        <v>Trung Quốc</v>
      </c>
      <c r="F441" s="1076">
        <f>IFERROR(__xludf.DUMMYFUNCTION("""COMPUTED_VALUE"""),2025)</f>
        <v>2025</v>
      </c>
      <c r="G441" s="1076" t="str">
        <f>IFERROR(__xludf.DUMMYFUNCTION("""COMPUTED_VALUE"""),"ZZ4187N391JE1")</f>
        <v>ZZ4187N391JE1</v>
      </c>
      <c r="H441" s="1076" t="str">
        <f>IFERROR(__xludf.DUMMYFUNCTION("""COMPUTED_VALUE"""),"299 HP")</f>
        <v>299 HP</v>
      </c>
      <c r="I441" s="1076" t="str">
        <f>IFERROR(__xludf.DUMMYFUNCTION("""COMPUTED_VALUE"""),"LZZ1CCMD0SJ416136")</f>
        <v>LZZ1CCMD0SJ416136</v>
      </c>
      <c r="J441" s="1076" t="str">
        <f>IFERROR(__xludf.DUMMYFUNCTION("""COMPUTED_VALUE"""),"WP7.300E51*1025G007303*")</f>
        <v>WP7.300E51*1025G007303*</v>
      </c>
      <c r="K441" s="1076"/>
      <c r="L441" s="1076" t="str">
        <f>IFERROR(__xludf.DUMMYFUNCTION("""COMPUTED_VALUE"""),"KLH")</f>
        <v>KLH</v>
      </c>
    </row>
    <row r="442" customHeight="1" spans="1:12">
      <c r="A442" s="1089" t="str">
        <f>IFERROR(__xludf.DUMMYFUNCTION("""COMPUTED_VALUE"""),"XB1-XĐK-013")</f>
        <v>XB1-XĐK-013</v>
      </c>
      <c r="B442" s="1075" t="str">
        <f>IFERROR(__xludf.DUMMYFUNCTION("""COMPUTED_VALUE"""),"Xe đầu kéo HOWO")</f>
        <v>Xe đầu kéo HOWO</v>
      </c>
      <c r="C442" s="1076" t="str">
        <f>IFERROR(__xludf.DUMMYFUNCTION("""COMPUTED_VALUE"""),"XN Bò AD")</f>
        <v>XN Bò AD</v>
      </c>
      <c r="D442" s="1076" t="str">
        <f>IFERROR(__xludf.DUMMYFUNCTION("""COMPUTED_VALUE"""),"CNHTC")</f>
        <v>CNHTC</v>
      </c>
      <c r="E442" s="1076" t="str">
        <f>IFERROR(__xludf.DUMMYFUNCTION("""COMPUTED_VALUE"""),"Trung Quốc")</f>
        <v>Trung Quốc</v>
      </c>
      <c r="F442" s="1076">
        <f>IFERROR(__xludf.DUMMYFUNCTION("""COMPUTED_VALUE"""),2025)</f>
        <v>2025</v>
      </c>
      <c r="G442" s="1076" t="str">
        <f>IFERROR(__xludf.DUMMYFUNCTION("""COMPUTED_VALUE"""),"ZZ4187N391JE1")</f>
        <v>ZZ4187N391JE1</v>
      </c>
      <c r="H442" s="1076" t="str">
        <f>IFERROR(__xludf.DUMMYFUNCTION("""COMPUTED_VALUE"""),"299 HP")</f>
        <v>299 HP</v>
      </c>
      <c r="I442" s="1076" t="str">
        <f>IFERROR(__xludf.DUMMYFUNCTION("""COMPUTED_VALUE"""),"LZZ1CCMD6SJ416139")</f>
        <v>LZZ1CCMD6SJ416139</v>
      </c>
      <c r="J442" s="1076" t="str">
        <f>IFERROR(__xludf.DUMMYFUNCTION("""COMPUTED_VALUE"""),"WP7.300E51*1025G007301*")</f>
        <v>WP7.300E51*1025G007301*</v>
      </c>
      <c r="K442" s="1076"/>
      <c r="L442" s="1076" t="str">
        <f>IFERROR(__xludf.DUMMYFUNCTION("""COMPUTED_VALUE"""),"KLH")</f>
        <v>KLH</v>
      </c>
    </row>
    <row r="443" customHeight="1" spans="1:12">
      <c r="A443" s="1089" t="str">
        <f>IFERROR(__xludf.DUMMYFUNCTION("""COMPUTED_VALUE"""),"XB1-CLT-001")</f>
        <v>XB1-CLT-001</v>
      </c>
      <c r="B443" s="1075" t="str">
        <f>IFERROR(__xludf.DUMMYFUNCTION("""COMPUTED_VALUE"""),"Xe clethon")</f>
        <v>Xe clethon</v>
      </c>
      <c r="C443" s="1076" t="str">
        <f>IFERROR(__xludf.DUMMYFUNCTION("""COMPUTED_VALUE"""),"XN Bò AD")</f>
        <v>XN Bò AD</v>
      </c>
      <c r="D443" s="1076" t="str">
        <f>IFERROR(__xludf.DUMMYFUNCTION("""COMPUTED_VALUE"""),"YANMAR")</f>
        <v>YANMAR</v>
      </c>
      <c r="E443" s="1076" t="str">
        <f>IFERROR(__xludf.DUMMYFUNCTION("""COMPUTED_VALUE"""),"INDONESIA")</f>
        <v>INDONESIA</v>
      </c>
      <c r="F443" s="1076">
        <f>IFERROR(__xludf.DUMMYFUNCTION("""COMPUTED_VALUE"""),2022)</f>
        <v>2022</v>
      </c>
      <c r="G443" s="1076" t="str">
        <f>IFERROR(__xludf.DUMMYFUNCTION("""COMPUTED_VALUE"""),"TF150N")</f>
        <v>TF150N</v>
      </c>
      <c r="H443" s="1076" t="str">
        <f>IFERROR(__xludf.DUMMYFUNCTION("""COMPUTED_VALUE"""),"15HP")</f>
        <v>15HP</v>
      </c>
      <c r="I443" s="1076" t="str">
        <f>IFERROR(__xludf.DUMMYFUNCTION("""COMPUTED_VALUE"""),"203373")</f>
        <v>203373</v>
      </c>
      <c r="J443" s="1076" t="str">
        <f>IFERROR(__xludf.DUMMYFUNCTION("""COMPUTED_VALUE"""),"B2116J")</f>
        <v>B2116J</v>
      </c>
      <c r="K443" s="1076">
        <f>IFERROR(__xludf.DUMMYFUNCTION("""COMPUTED_VALUE"""),0.5)</f>
        <v>0.5</v>
      </c>
      <c r="L443" s="1076" t="str">
        <f>IFERROR(__xludf.DUMMYFUNCTION("""COMPUTED_VALUE"""),"KLH")</f>
        <v>KLH</v>
      </c>
    </row>
    <row r="444" customHeight="1" spans="1:12">
      <c r="A444" s="1089" t="str">
        <f>IFERROR(__xludf.DUMMYFUNCTION("""COMPUTED_VALUE"""),"XB1-CLT-002")</f>
        <v>XB1-CLT-002</v>
      </c>
      <c r="B444" s="1075" t="str">
        <f>IFERROR(__xludf.DUMMYFUNCTION("""COMPUTED_VALUE"""),"Xe clethon")</f>
        <v>Xe clethon</v>
      </c>
      <c r="C444" s="1076" t="str">
        <f>IFERROR(__xludf.DUMMYFUNCTION("""COMPUTED_VALUE"""),"XN Bò AD")</f>
        <v>XN Bò AD</v>
      </c>
      <c r="D444" s="1076" t="str">
        <f>IFERROR(__xludf.DUMMYFUNCTION("""COMPUTED_VALUE"""),"YANMAR")</f>
        <v>YANMAR</v>
      </c>
      <c r="E444" s="1076" t="str">
        <f>IFERROR(__xludf.DUMMYFUNCTION("""COMPUTED_VALUE"""),"INDONESIA")</f>
        <v>INDONESIA</v>
      </c>
      <c r="F444" s="1076">
        <f>IFERROR(__xludf.DUMMYFUNCTION("""COMPUTED_VALUE"""),2022)</f>
        <v>2022</v>
      </c>
      <c r="G444" s="1076" t="str">
        <f>IFERROR(__xludf.DUMMYFUNCTION("""COMPUTED_VALUE"""),"TF150N")</f>
        <v>TF150N</v>
      </c>
      <c r="H444" s="1076" t="str">
        <f>IFERROR(__xludf.DUMMYFUNCTION("""COMPUTED_VALUE"""),"15HP")</f>
        <v>15HP</v>
      </c>
      <c r="I444" s="1076" t="str">
        <f>IFERROR(__xludf.DUMMYFUNCTION("""COMPUTED_VALUE"""),"203356")</f>
        <v>203356</v>
      </c>
      <c r="J444" s="1076" t="str">
        <f>IFERROR(__xludf.DUMMYFUNCTION("""COMPUTED_VALUE"""),"B1779J")</f>
        <v>B1779J</v>
      </c>
      <c r="K444" s="1076">
        <f>IFERROR(__xludf.DUMMYFUNCTION("""COMPUTED_VALUE"""),0.5)</f>
        <v>0.5</v>
      </c>
      <c r="L444" s="1076" t="str">
        <f>IFERROR(__xludf.DUMMYFUNCTION("""COMPUTED_VALUE"""),"KLH")</f>
        <v>KLH</v>
      </c>
    </row>
    <row r="445" customHeight="1" spans="1:12">
      <c r="A445" s="1089" t="str">
        <f>IFERROR(__xludf.DUMMYFUNCTION("""COMPUTED_VALUE"""),"XB1-CLT-003")</f>
        <v>XB1-CLT-003</v>
      </c>
      <c r="B445" s="1075" t="str">
        <f>IFERROR(__xludf.DUMMYFUNCTION("""COMPUTED_VALUE"""),"Xe clethon")</f>
        <v>Xe clethon</v>
      </c>
      <c r="C445" s="1076" t="str">
        <f>IFERROR(__xludf.DUMMYFUNCTION("""COMPUTED_VALUE"""),"XN Bò AD")</f>
        <v>XN Bò AD</v>
      </c>
      <c r="D445" s="1076" t="str">
        <f>IFERROR(__xludf.DUMMYFUNCTION("""COMPUTED_VALUE"""),"YANMAR")</f>
        <v>YANMAR</v>
      </c>
      <c r="E445" s="1076" t="str">
        <f>IFERROR(__xludf.DUMMYFUNCTION("""COMPUTED_VALUE"""),"INDONESIA")</f>
        <v>INDONESIA</v>
      </c>
      <c r="F445" s="1076">
        <f>IFERROR(__xludf.DUMMYFUNCTION("""COMPUTED_VALUE"""),2022)</f>
        <v>2022</v>
      </c>
      <c r="G445" s="1076" t="str">
        <f>IFERROR(__xludf.DUMMYFUNCTION("""COMPUTED_VALUE"""),"TF150N")</f>
        <v>TF150N</v>
      </c>
      <c r="H445" s="1076" t="str">
        <f>IFERROR(__xludf.DUMMYFUNCTION("""COMPUTED_VALUE"""),"15HP")</f>
        <v>15HP</v>
      </c>
      <c r="I445" s="1076" t="str">
        <f>IFERROR(__xludf.DUMMYFUNCTION("""COMPUTED_VALUE"""),"202927")</f>
        <v>202927</v>
      </c>
      <c r="J445" s="1076" t="str">
        <f>IFERROR(__xludf.DUMMYFUNCTION("""COMPUTED_VALUE"""),"C1205A")</f>
        <v>C1205A</v>
      </c>
      <c r="K445" s="1076">
        <f>IFERROR(__xludf.DUMMYFUNCTION("""COMPUTED_VALUE"""),0.5)</f>
        <v>0.5</v>
      </c>
      <c r="L445" s="1076" t="str">
        <f>IFERROR(__xludf.DUMMYFUNCTION("""COMPUTED_VALUE"""),"KLH")</f>
        <v>KLH</v>
      </c>
    </row>
    <row r="446" customHeight="1" spans="1:12">
      <c r="A446" s="1089" t="str">
        <f>IFERROR(__xludf.DUMMYFUNCTION("""COMPUTED_VALUE"""),"XB1-CLT-004")</f>
        <v>XB1-CLT-004</v>
      </c>
      <c r="B446" s="1075" t="str">
        <f>IFERROR(__xludf.DUMMYFUNCTION("""COMPUTED_VALUE"""),"Xe clethon")</f>
        <v>Xe clethon</v>
      </c>
      <c r="C446" s="1076" t="str">
        <f>IFERROR(__xludf.DUMMYFUNCTION("""COMPUTED_VALUE"""),"XN Bò AD")</f>
        <v>XN Bò AD</v>
      </c>
      <c r="D446" s="1076" t="str">
        <f>IFERROR(__xludf.DUMMYFUNCTION("""COMPUTED_VALUE"""),"YANMAR")</f>
        <v>YANMAR</v>
      </c>
      <c r="E446" s="1076" t="str">
        <f>IFERROR(__xludf.DUMMYFUNCTION("""COMPUTED_VALUE"""),"INDONESIA")</f>
        <v>INDONESIA</v>
      </c>
      <c r="F446" s="1076">
        <f>IFERROR(__xludf.DUMMYFUNCTION("""COMPUTED_VALUE"""),2022)</f>
        <v>2022</v>
      </c>
      <c r="G446" s="1076" t="str">
        <f>IFERROR(__xludf.DUMMYFUNCTION("""COMPUTED_VALUE"""),"TF150N")</f>
        <v>TF150N</v>
      </c>
      <c r="H446" s="1076" t="str">
        <f>IFERROR(__xludf.DUMMYFUNCTION("""COMPUTED_VALUE"""),"15HP")</f>
        <v>15HP</v>
      </c>
      <c r="I446" s="1076" t="str">
        <f>IFERROR(__xludf.DUMMYFUNCTION("""COMPUTED_VALUE"""),"202929")</f>
        <v>202929</v>
      </c>
      <c r="J446" s="1076" t="str">
        <f>IFERROR(__xludf.DUMMYFUNCTION("""COMPUTED_VALUE"""),"C1498A")</f>
        <v>C1498A</v>
      </c>
      <c r="K446" s="1076">
        <f>IFERROR(__xludf.DUMMYFUNCTION("""COMPUTED_VALUE"""),0.5)</f>
        <v>0.5</v>
      </c>
      <c r="L446" s="1076" t="str">
        <f>IFERROR(__xludf.DUMMYFUNCTION("""COMPUTED_VALUE"""),"KLH")</f>
        <v>KLH</v>
      </c>
    </row>
    <row r="447" customHeight="1" spans="1:12">
      <c r="A447" s="1089" t="str">
        <f>IFERROR(__xludf.DUMMYFUNCTION("""COMPUTED_VALUE"""),"XB1-CLT-005")</f>
        <v>XB1-CLT-005</v>
      </c>
      <c r="B447" s="1075" t="str">
        <f>IFERROR(__xludf.DUMMYFUNCTION("""COMPUTED_VALUE"""),"Xe clethon")</f>
        <v>Xe clethon</v>
      </c>
      <c r="C447" s="1076" t="str">
        <f>IFERROR(__xludf.DUMMYFUNCTION("""COMPUTED_VALUE"""),"XN Bò AD")</f>
        <v>XN Bò AD</v>
      </c>
      <c r="D447" s="1076" t="str">
        <f>IFERROR(__xludf.DUMMYFUNCTION("""COMPUTED_VALUE"""),"YANMAR")</f>
        <v>YANMAR</v>
      </c>
      <c r="E447" s="1076" t="str">
        <f>IFERROR(__xludf.DUMMYFUNCTION("""COMPUTED_VALUE"""),"INDONESIA")</f>
        <v>INDONESIA</v>
      </c>
      <c r="F447" s="1076">
        <f>IFERROR(__xludf.DUMMYFUNCTION("""COMPUTED_VALUE"""),2022)</f>
        <v>2022</v>
      </c>
      <c r="G447" s="1076" t="str">
        <f>IFERROR(__xludf.DUMMYFUNCTION("""COMPUTED_VALUE"""),"TF150N")</f>
        <v>TF150N</v>
      </c>
      <c r="H447" s="1076" t="str">
        <f>IFERROR(__xludf.DUMMYFUNCTION("""COMPUTED_VALUE"""),"15HP")</f>
        <v>15HP</v>
      </c>
      <c r="I447" s="1076" t="str">
        <f>IFERROR(__xludf.DUMMYFUNCTION("""COMPUTED_VALUE"""),"203359")</f>
        <v>203359</v>
      </c>
      <c r="J447" s="1076" t="str">
        <f>IFERROR(__xludf.DUMMYFUNCTION("""COMPUTED_VALUE"""),"C1503A")</f>
        <v>C1503A</v>
      </c>
      <c r="K447" s="1076">
        <f>IFERROR(__xludf.DUMMYFUNCTION("""COMPUTED_VALUE"""),0.5)</f>
        <v>0.5</v>
      </c>
      <c r="L447" s="1076" t="str">
        <f>IFERROR(__xludf.DUMMYFUNCTION("""COMPUTED_VALUE"""),"KLH")</f>
        <v>KLH</v>
      </c>
    </row>
    <row r="448" customHeight="1" spans="1:12">
      <c r="A448" s="1089" t="str">
        <f>IFERROR(__xludf.DUMMYFUNCTION("""COMPUTED_VALUE"""),"XB1-TCD-001")</f>
        <v>XB1-TCD-001</v>
      </c>
      <c r="B448" s="1075" t="str">
        <f>IFERROR(__xludf.DUMMYFUNCTION("""COMPUTED_VALUE"""),"Xe tải chuyên dụng (cabin đôi)")</f>
        <v>Xe tải chuyên dụng (cabin đôi)</v>
      </c>
      <c r="C448" s="1076" t="str">
        <f>IFERROR(__xludf.DUMMYFUNCTION("""COMPUTED_VALUE"""),"XN Bò AD")</f>
        <v>XN Bò AD</v>
      </c>
      <c r="D448" s="1076" t="str">
        <f>IFERROR(__xludf.DUMMYFUNCTION("""COMPUTED_VALUE"""),"THACO KIA")</f>
        <v>THACO KIA</v>
      </c>
      <c r="E448" s="1076" t="str">
        <f>IFERROR(__xludf.DUMMYFUNCTION("""COMPUTED_VALUE"""),"VIỆT NAM")</f>
        <v>VIỆT NAM</v>
      </c>
      <c r="F448" s="1076">
        <f>IFERROR(__xludf.DUMMYFUNCTION("""COMPUTED_VALUE"""),2021)</f>
        <v>2021</v>
      </c>
      <c r="G448" s="1076" t="str">
        <f>IFERROR(__xludf.DUMMYFUNCTION("""COMPUTED_VALUE"""),"FRONTIER K200SD")</f>
        <v>FRONTIER K200SD</v>
      </c>
      <c r="H448" s="1076" t="str">
        <f>IFERROR(__xludf.DUMMYFUNCTION("""COMPUTED_VALUE"""),"130HP")</f>
        <v>130HP</v>
      </c>
      <c r="I448" s="1076" t="str">
        <f>IFERROR(__xludf.DUMMYFUNCTION("""COMPUTED_VALUE"""),"RNHF39KHBMT045635")</f>
        <v>RNHF39KHBMT045635</v>
      </c>
      <c r="J448" s="1076" t="str">
        <f>IFERROR(__xludf.DUMMYFUNCTION("""COMPUTED_VALUE"""),"MD540092D4CB")</f>
        <v>MD540092D4CB</v>
      </c>
      <c r="K448" s="1076"/>
      <c r="L448" s="1076" t="str">
        <f>IFERROR(__xludf.DUMMYFUNCTION("""COMPUTED_VALUE"""),"KLH")</f>
        <v>KLH</v>
      </c>
    </row>
    <row r="449" customHeight="1" spans="1:12">
      <c r="A449" s="1089" t="str">
        <f>IFERROR(__xludf.DUMMYFUNCTION("""COMPUTED_VALUE"""),"XB1-XLO-001")</f>
        <v>XB1-XLO-001</v>
      </c>
      <c r="B449" s="1075" t="str">
        <f>IFERROR(__xludf.DUMMYFUNCTION("""COMPUTED_VALUE"""),"Xe lôi")</f>
        <v>Xe lôi</v>
      </c>
      <c r="C449" s="1076" t="str">
        <f>IFERROR(__xludf.DUMMYFUNCTION("""COMPUTED_VALUE"""),"XN Bò AD")</f>
        <v>XN Bò AD</v>
      </c>
      <c r="D449" s="1076" t="str">
        <f>IFERROR(__xludf.DUMMYFUNCTION("""COMPUTED_VALUE"""),"THAICO")</f>
        <v>THAICO</v>
      </c>
      <c r="E449" s="1076" t="str">
        <f>IFERROR(__xludf.DUMMYFUNCTION("""COMPUTED_VALUE"""),"VIỆT NAM")</f>
        <v>VIỆT NAM</v>
      </c>
      <c r="F449" s="1076">
        <f>IFERROR(__xludf.DUMMYFUNCTION("""COMPUTED_VALUE"""),2020)</f>
        <v>2020</v>
      </c>
      <c r="G449" s="1076" t="str">
        <f>IFERROR(__xludf.DUMMYFUNCTION("""COMPUTED_VALUE"""),"TH150ZH")</f>
        <v>TH150ZH</v>
      </c>
      <c r="H449" s="1076" t="str">
        <f>IFERROR(__xludf.DUMMYFUNCTION("""COMPUTED_VALUE"""),"15HP")</f>
        <v>15HP</v>
      </c>
      <c r="I449" s="1076" t="str">
        <f>IFERROR(__xludf.DUMMYFUNCTION("""COMPUTED_VALUE"""),"TH162FMJ-C22060509")</f>
        <v>TH162FMJ-C22060509</v>
      </c>
      <c r="J449" s="1076" t="str">
        <f>IFERROR(__xludf.DUMMYFUNCTION("""COMPUTED_VALUE"""),"CCN")</f>
        <v>CCN</v>
      </c>
      <c r="K449" s="1076">
        <f>IFERROR(__xludf.DUMMYFUNCTION("""COMPUTED_VALUE"""),2.5)</f>
        <v>2.5</v>
      </c>
      <c r="L449" s="1076" t="str">
        <f>IFERROR(__xludf.DUMMYFUNCTION("""COMPUTED_VALUE"""),"KLH")</f>
        <v>KLH</v>
      </c>
    </row>
    <row r="450" customHeight="1" spans="1:12">
      <c r="A450" s="1089" t="str">
        <f>IFERROR(__xludf.DUMMYFUNCTION("""COMPUTED_VALUE"""),"XB1-XLO-002")</f>
        <v>XB1-XLO-002</v>
      </c>
      <c r="B450" s="1075" t="str">
        <f>IFERROR(__xludf.DUMMYFUNCTION("""COMPUTED_VALUE"""),"Xe lôi")</f>
        <v>Xe lôi</v>
      </c>
      <c r="C450" s="1076" t="str">
        <f>IFERROR(__xludf.DUMMYFUNCTION("""COMPUTED_VALUE"""),"XN Bò AD")</f>
        <v>XN Bò AD</v>
      </c>
      <c r="D450" s="1076" t="str">
        <f>IFERROR(__xludf.DUMMYFUNCTION("""COMPUTED_VALUE"""),"THAICO")</f>
        <v>THAICO</v>
      </c>
      <c r="E450" s="1076" t="str">
        <f>IFERROR(__xludf.DUMMYFUNCTION("""COMPUTED_VALUE"""),"VIỆT NAM")</f>
        <v>VIỆT NAM</v>
      </c>
      <c r="F450" s="1076">
        <f>IFERROR(__xludf.DUMMYFUNCTION("""COMPUTED_VALUE"""),2020)</f>
        <v>2020</v>
      </c>
      <c r="G450" s="1076" t="str">
        <f>IFERROR(__xludf.DUMMYFUNCTION("""COMPUTED_VALUE"""),"TH150ZH")</f>
        <v>TH150ZH</v>
      </c>
      <c r="H450" s="1076" t="str">
        <f>IFERROR(__xludf.DUMMYFUNCTION("""COMPUTED_VALUE"""),"15HP")</f>
        <v>15HP</v>
      </c>
      <c r="I450" s="1076" t="str">
        <f>IFERROR(__xludf.DUMMYFUNCTION("""COMPUTED_VALUE"""),"TH162FMJ-C23004029")</f>
        <v>TH162FMJ-C23004029</v>
      </c>
      <c r="J450" s="1076" t="str">
        <f>IFERROR(__xludf.DUMMYFUNCTION("""COMPUTED_VALUE"""),"CCN")</f>
        <v>CCN</v>
      </c>
      <c r="K450" s="1076">
        <f>IFERROR(__xludf.DUMMYFUNCTION("""COMPUTED_VALUE"""),2.5)</f>
        <v>2.5</v>
      </c>
      <c r="L450" s="1076" t="str">
        <f>IFERROR(__xludf.DUMMYFUNCTION("""COMPUTED_VALUE"""),"KLH")</f>
        <v>KLH</v>
      </c>
    </row>
    <row r="451" customHeight="1" spans="1:12">
      <c r="A451" s="1089" t="str">
        <f>IFERROR(__xludf.DUMMYFUNCTION("""COMPUTED_VALUE"""),"XB1-XPT-001")</f>
        <v>XB1-XPT-001</v>
      </c>
      <c r="B451" s="1075" t="str">
        <f>IFERROR(__xludf.DUMMYFUNCTION("""COMPUTED_VALUE"""),"Xe phun thuốc chuyên dụng")</f>
        <v>Xe phun thuốc chuyên dụng</v>
      </c>
      <c r="C451" s="1076" t="str">
        <f>IFERROR(__xludf.DUMMYFUNCTION("""COMPUTED_VALUE"""),"XN Bò AD")</f>
        <v>XN Bò AD</v>
      </c>
      <c r="D451" s="1076" t="str">
        <f>IFERROR(__xludf.DUMMYFUNCTION("""COMPUTED_VALUE"""),"YANMAR")</f>
        <v>YANMAR</v>
      </c>
      <c r="E451" s="1076" t="str">
        <f>IFERROR(__xludf.DUMMYFUNCTION("""COMPUTED_VALUE"""),"NHẬT BẢN")</f>
        <v>NHẬT BẢN</v>
      </c>
      <c r="F451" s="1076"/>
      <c r="G451" s="1076" t="str">
        <f>IFERROR(__xludf.DUMMYFUNCTION("""COMPUTED_VALUE"""),"3TNV88-DSA")</f>
        <v>3TNV88-DSA</v>
      </c>
      <c r="H451" s="1076" t="str">
        <f>IFERROR(__xludf.DUMMYFUNCTION("""COMPUTED_VALUE"""),"36HP")</f>
        <v>36HP</v>
      </c>
      <c r="I451" s="1076" t="str">
        <f>IFERROR(__xludf.DUMMYFUNCTION("""COMPUTED_VALUE"""),"CCN")</f>
        <v>CCN</v>
      </c>
      <c r="J451" s="1076" t="str">
        <f>IFERROR(__xludf.DUMMYFUNCTION("""COMPUTED_VALUE"""),"J8134")</f>
        <v>J8134</v>
      </c>
      <c r="K451" s="1076">
        <f>IFERROR(__xludf.DUMMYFUNCTION("""COMPUTED_VALUE"""),2.4)</f>
        <v>2.4</v>
      </c>
      <c r="L451" s="1076" t="str">
        <f>IFERROR(__xludf.DUMMYFUNCTION("""COMPUTED_VALUE"""),"KLH")</f>
        <v>KLH</v>
      </c>
    </row>
    <row r="452" customHeight="1" spans="1:12">
      <c r="A452" s="1089" t="str">
        <f>IFERROR(__xludf.DUMMYFUNCTION("""COMPUTED_VALUE"""),"XB1-RBX-001")</f>
        <v>XB1-RBX-001</v>
      </c>
      <c r="B452" s="1075" t="str">
        <f>IFERROR(__xludf.DUMMYFUNCTION("""COMPUTED_VALUE"""),"Xe rùa bánh xích HỒNG HÀ")</f>
        <v>Xe rùa bánh xích HỒNG HÀ</v>
      </c>
      <c r="C452" s="1076" t="str">
        <f>IFERROR(__xludf.DUMMYFUNCTION("""COMPUTED_VALUE"""),"XN Bò AD")</f>
        <v>XN Bò AD</v>
      </c>
      <c r="D452" s="1076" t="str">
        <f>IFERROR(__xludf.DUMMYFUNCTION("""COMPUTED_VALUE"""),"HỒNG HÀ")</f>
        <v>HỒNG HÀ</v>
      </c>
      <c r="E452" s="1076" t="str">
        <f>IFERROR(__xludf.DUMMYFUNCTION("""COMPUTED_VALUE"""),"VIỆT NAM")</f>
        <v>VIỆT NAM</v>
      </c>
      <c r="F452" s="1076">
        <f>IFERROR(__xludf.DUMMYFUNCTION("""COMPUTED_VALUE"""),2024)</f>
        <v>2024</v>
      </c>
      <c r="G452" s="1076" t="str">
        <f>IFERROR(__xludf.DUMMYFUNCTION("""COMPUTED_VALUE"""),"4L6819010")</f>
        <v>4L6819010</v>
      </c>
      <c r="H452" s="1076" t="str">
        <f>IFERROR(__xludf.DUMMYFUNCTION("""COMPUTED_VALUE"""),"87HP")</f>
        <v>87HP</v>
      </c>
      <c r="I452" s="1076" t="str">
        <f>IFERROR(__xludf.DUMMYFUNCTION("""COMPUTED_VALUE"""),"RYTJU32C2NA178540")</f>
        <v>RYTJU32C2NA178540</v>
      </c>
      <c r="J452" s="1076" t="str">
        <f>IFERROR(__xludf.DUMMYFUNCTION("""COMPUTED_VALUE"""),"410203")</f>
        <v>410203</v>
      </c>
      <c r="K452" s="1076"/>
      <c r="L452" s="1076" t="str">
        <f>IFERROR(__xludf.DUMMYFUNCTION("""COMPUTED_VALUE"""),"KLH")</f>
        <v>KLH</v>
      </c>
    </row>
    <row r="453" customHeight="1" spans="1:12">
      <c r="A453" s="1089" t="str">
        <f>IFERROR(__xludf.DUMMYFUNCTION("""COMPUTED_VALUE"""),"XB1-RBX-003")</f>
        <v>XB1-RBX-003</v>
      </c>
      <c r="B453" s="1075" t="str">
        <f>IFERROR(__xludf.DUMMYFUNCTION("""COMPUTED_VALUE"""),"Xe rùa bánh xích HỒNG HÀ")</f>
        <v>Xe rùa bánh xích HỒNG HÀ</v>
      </c>
      <c r="C453" s="1076" t="str">
        <f>IFERROR(__xludf.DUMMYFUNCTION("""COMPUTED_VALUE"""),"XN Bò AD")</f>
        <v>XN Bò AD</v>
      </c>
      <c r="D453" s="1076" t="str">
        <f>IFERROR(__xludf.DUMMYFUNCTION("""COMPUTED_VALUE"""),"HỒNG HÀ")</f>
        <v>HỒNG HÀ</v>
      </c>
      <c r="E453" s="1076" t="str">
        <f>IFERROR(__xludf.DUMMYFUNCTION("""COMPUTED_VALUE"""),"VIỆT NAM")</f>
        <v>VIỆT NAM</v>
      </c>
      <c r="F453" s="1076">
        <f>IFERROR(__xludf.DUMMYFUNCTION("""COMPUTED_VALUE"""),2024)</f>
        <v>2024</v>
      </c>
      <c r="G453" s="1076" t="str">
        <f>IFERROR(__xludf.DUMMYFUNCTION("""COMPUTED_VALUE"""),"4L6819010 (động cơ diesel)")</f>
        <v>4L6819010 (động cơ diesel)</v>
      </c>
      <c r="H453" s="1076" t="str">
        <f>IFERROR(__xludf.DUMMYFUNCTION("""COMPUTED_VALUE"""),"67HP")</f>
        <v>67HP</v>
      </c>
      <c r="I453" s="1076" t="str">
        <f>IFERROR(__xludf.DUMMYFUNCTION("""COMPUTED_VALUE"""),"Không có")</f>
        <v>Không có</v>
      </c>
      <c r="J453" s="1076" t="str">
        <f>IFERROR(__xludf.DUMMYFUNCTION("""COMPUTED_VALUE"""),"C43101511A")</f>
        <v>C43101511A</v>
      </c>
      <c r="K453" s="1076"/>
      <c r="L453" s="1076" t="str">
        <f>IFERROR(__xludf.DUMMYFUNCTION("""COMPUTED_VALUE"""),"KLH")</f>
        <v>KLH</v>
      </c>
    </row>
    <row r="454" customHeight="1" spans="1:12">
      <c r="A454" s="1089" t="str">
        <f>IFERROR(__xludf.DUMMYFUNCTION("""COMPUTED_VALUE"""),"XB1-XLU-001")</f>
        <v>XB1-XLU-001</v>
      </c>
      <c r="B454" s="1075" t="str">
        <f>IFERROR(__xludf.DUMMYFUNCTION("""COMPUTED_VALUE"""),"Xe lu rung Sakai 3.5 tấn")</f>
        <v>Xe lu rung Sakai 3.5 tấn</v>
      </c>
      <c r="C454" s="1076" t="str">
        <f>IFERROR(__xludf.DUMMYFUNCTION("""COMPUTED_VALUE"""),"XN Bò AD")</f>
        <v>XN Bò AD</v>
      </c>
      <c r="D454" s="1076" t="str">
        <f>IFERROR(__xludf.DUMMYFUNCTION("""COMPUTED_VALUE"""),"SAKAI")</f>
        <v>SAKAI</v>
      </c>
      <c r="E454" s="1076" t="str">
        <f>IFERROR(__xludf.DUMMYFUNCTION("""COMPUTED_VALUE"""),"Nhật Bản")</f>
        <v>Nhật Bản</v>
      </c>
      <c r="F454" s="1076">
        <f>IFERROR(__xludf.DUMMYFUNCTION("""COMPUTED_VALUE"""),2004)</f>
        <v>2004</v>
      </c>
      <c r="G454" s="1076" t="str">
        <f>IFERROR(__xludf.DUMMYFUNCTION("""COMPUTED_VALUE"""),"TW500W‑1")</f>
        <v>TW500W‑1</v>
      </c>
      <c r="H454" s="1076" t="str">
        <f>IFERROR(__xludf.DUMMYFUNCTION("""COMPUTED_VALUE"""),"39HP")</f>
        <v>39HP</v>
      </c>
      <c r="I454" s="1076" t="str">
        <f>IFERROR(__xludf.DUMMYFUNCTION("""COMPUTED_VALUE"""),"VTW1521664")</f>
        <v>VTW1521664</v>
      </c>
      <c r="J454" s="1076" t="str">
        <f>IFERROR(__xludf.DUMMYFUNCTION("""COMPUTED_VALUE"""),"161031")</f>
        <v>161031</v>
      </c>
      <c r="K454" s="1076">
        <f>IFERROR(__xludf.DUMMYFUNCTION("""COMPUTED_VALUE"""),2.5)</f>
        <v>2.5</v>
      </c>
      <c r="L454" s="1076" t="str">
        <f>IFERROR(__xludf.DUMMYFUNCTION("""COMPUTED_VALUE"""),"KLH")</f>
        <v>KLH</v>
      </c>
    </row>
    <row r="455" customHeight="1" spans="1:12">
      <c r="A455" s="1089" t="str">
        <f>IFERROR(__xludf.DUMMYFUNCTION("""COMPUTED_VALUE"""),"XB1-RBX-004")</f>
        <v>XB1-RBX-004</v>
      </c>
      <c r="B455" s="1075" t="str">
        <f>IFERROR(__xludf.DUMMYFUNCTION("""COMPUTED_VALUE"""),"Xe rùa bánh xích MST2000")</f>
        <v>Xe rùa bánh xích MST2000</v>
      </c>
      <c r="C455" s="1076" t="str">
        <f>IFERROR(__xludf.DUMMYFUNCTION("""COMPUTED_VALUE"""),"XN Bò AD")</f>
        <v>XN Bò AD</v>
      </c>
      <c r="D455" s="1076" t="str">
        <f>IFERROR(__xludf.DUMMYFUNCTION("""COMPUTED_VALUE"""),"MOROOKA")</f>
        <v>MOROOKA</v>
      </c>
      <c r="E455" s="1076"/>
      <c r="F455" s="1076"/>
      <c r="G455" s="1076" t="str">
        <f>IFERROR(__xludf.DUMMYFUNCTION("""COMPUTED_VALUE"""),"MST2000")</f>
        <v>MST2000</v>
      </c>
      <c r="H455" s="1076" t="str">
        <f>IFERROR(__xludf.DUMMYFUNCTION("""COMPUTED_VALUE"""),"236HP")</f>
        <v>236HP</v>
      </c>
      <c r="I455" s="1076" t="str">
        <f>IFERROR(__xludf.DUMMYFUNCTION("""COMPUTED_VALUE"""),"20265")</f>
        <v>20265</v>
      </c>
      <c r="J455" s="1076" t="str">
        <f>IFERROR(__xludf.DUMMYFUNCTION("""COMPUTED_VALUE"""),"6D110160178")</f>
        <v>6D110160178</v>
      </c>
      <c r="K455" s="1076"/>
      <c r="L455" s="1076" t="str">
        <f>IFERROR(__xludf.DUMMYFUNCTION("""COMPUTED_VALUE"""),"KLH")</f>
        <v>KLH</v>
      </c>
    </row>
    <row r="456" customHeight="1" spans="1:12">
      <c r="A456" s="1089" t="str">
        <f>IFERROR(__xludf.DUMMYFUNCTION("""COMPUTED_VALUE"""),"XB1-RBX-005")</f>
        <v>XB1-RBX-005</v>
      </c>
      <c r="B456" s="1075" t="str">
        <f>IFERROR(__xludf.DUMMYFUNCTION("""COMPUTED_VALUE"""),"Xe rùa bánh xích MST700E")</f>
        <v>Xe rùa bánh xích MST700E</v>
      </c>
      <c r="C456" s="1076" t="str">
        <f>IFERROR(__xludf.DUMMYFUNCTION("""COMPUTED_VALUE"""),"XN Bò AD")</f>
        <v>XN Bò AD</v>
      </c>
      <c r="D456" s="1076" t="str">
        <f>IFERROR(__xludf.DUMMYFUNCTION("""COMPUTED_VALUE"""),"MOROOKA")</f>
        <v>MOROOKA</v>
      </c>
      <c r="E456" s="1076"/>
      <c r="F456" s="1076">
        <f>IFERROR(__xludf.DUMMYFUNCTION("""COMPUTED_VALUE"""),1988)</f>
        <v>1988</v>
      </c>
      <c r="G456" s="1076" t="str">
        <f>IFERROR(__xludf.DUMMYFUNCTION("""COMPUTED_VALUE"""),"MST700E")</f>
        <v>MST700E</v>
      </c>
      <c r="H456" s="1076" t="str">
        <f>IFERROR(__xludf.DUMMYFUNCTION("""COMPUTED_VALUE"""),"90HP")</f>
        <v>90HP</v>
      </c>
      <c r="I456" s="1076" t="str">
        <f>IFERROR(__xludf.DUMMYFUNCTION("""COMPUTED_VALUE"""),"701114")</f>
        <v>701114</v>
      </c>
      <c r="J456" s="1076" t="str">
        <f>IFERROR(__xludf.DUMMYFUNCTION("""COMPUTED_VALUE"""),"4D95L177865")</f>
        <v>4D95L177865</v>
      </c>
      <c r="K456" s="1076">
        <f>IFERROR(__xludf.DUMMYFUNCTION("""COMPUTED_VALUE"""),8)</f>
        <v>8</v>
      </c>
      <c r="L456" s="1076" t="str">
        <f>IFERROR(__xludf.DUMMYFUNCTION("""COMPUTED_VALUE"""),"KLH")</f>
        <v>KLH</v>
      </c>
    </row>
    <row r="457" customHeight="1" spans="1:12">
      <c r="A457" s="1089" t="str">
        <f>IFERROR(__xludf.DUMMYFUNCTION("""COMPUTED_VALUE"""),"XB1-CRZ-001")</f>
        <v>XB1-CRZ-001</v>
      </c>
      <c r="B457" s="1075" t="str">
        <f>IFERROR(__xludf.DUMMYFUNCTION("""COMPUTED_VALUE"""),"Máy thu hoạch cỏ Ruzi")</f>
        <v>Máy thu hoạch cỏ Ruzi</v>
      </c>
      <c r="C457" s="1076" t="str">
        <f>IFERROR(__xludf.DUMMYFUNCTION("""COMPUTED_VALUE"""),"XN Bò AD")</f>
        <v>XN Bò AD</v>
      </c>
      <c r="D457" s="1076" t="str">
        <f>IFERROR(__xludf.DUMMYFUNCTION("""COMPUTED_VALUE"""),"HONDA")</f>
        <v>HONDA</v>
      </c>
      <c r="E457" s="1076" t="str">
        <f>IFERROR(__xludf.DUMMYFUNCTION("""COMPUTED_VALUE"""),"THÁI LAN")</f>
        <v>THÁI LAN</v>
      </c>
      <c r="F457" s="1076">
        <f>IFERROR(__xludf.DUMMYFUNCTION("""COMPUTED_VALUE"""),2025)</f>
        <v>2025</v>
      </c>
      <c r="G457" s="1076" t="str">
        <f>IFERROR(__xludf.DUMMYFUNCTION("""COMPUTED_VALUE"""),"GX35T")</f>
        <v>GX35T</v>
      </c>
      <c r="H457" s="1076" t="str">
        <f>IFERROR(__xludf.DUMMYFUNCTION("""COMPUTED_VALUE"""),"1.34HP")</f>
        <v>1.34HP</v>
      </c>
      <c r="I457" s="1076" t="str">
        <f>IFERROR(__xludf.DUMMYFUNCTION("""COMPUTED_VALUE"""),"CCN")</f>
        <v>CCN</v>
      </c>
      <c r="J457" s="1076" t="str">
        <f>IFERROR(__xludf.DUMMYFUNCTION("""COMPUTED_VALUE"""),"CCN")</f>
        <v>CCN</v>
      </c>
      <c r="K457" s="1076"/>
      <c r="L457" s="1076" t="str">
        <f>IFERROR(__xludf.DUMMYFUNCTION("""COMPUTED_VALUE"""),"KLH")</f>
        <v>KLH</v>
      </c>
    </row>
    <row r="458" customHeight="1" spans="1:12">
      <c r="A458" s="1089" t="str">
        <f>IFERROR(__xludf.DUMMYFUNCTION("""COMPUTED_VALUE"""),"XB1-CRZ-002")</f>
        <v>XB1-CRZ-002</v>
      </c>
      <c r="B458" s="1075" t="str">
        <f>IFERROR(__xludf.DUMMYFUNCTION("""COMPUTED_VALUE"""),"Máy thu hoạch cỏ Ruzi")</f>
        <v>Máy thu hoạch cỏ Ruzi</v>
      </c>
      <c r="C458" s="1076" t="str">
        <f>IFERROR(__xludf.DUMMYFUNCTION("""COMPUTED_VALUE"""),"XN Bò AD")</f>
        <v>XN Bò AD</v>
      </c>
      <c r="D458" s="1076" t="str">
        <f>IFERROR(__xludf.DUMMYFUNCTION("""COMPUTED_VALUE"""),"HONDA")</f>
        <v>HONDA</v>
      </c>
      <c r="E458" s="1076" t="str">
        <f>IFERROR(__xludf.DUMMYFUNCTION("""COMPUTED_VALUE"""),"THÁI LAN")</f>
        <v>THÁI LAN</v>
      </c>
      <c r="F458" s="1076">
        <f>IFERROR(__xludf.DUMMYFUNCTION("""COMPUTED_VALUE"""),2025)</f>
        <v>2025</v>
      </c>
      <c r="G458" s="1076" t="str">
        <f>IFERROR(__xludf.DUMMYFUNCTION("""COMPUTED_VALUE"""),"GX35T")</f>
        <v>GX35T</v>
      </c>
      <c r="H458" s="1076" t="str">
        <f>IFERROR(__xludf.DUMMYFUNCTION("""COMPUTED_VALUE"""),"1.34HP")</f>
        <v>1.34HP</v>
      </c>
      <c r="I458" s="1076" t="str">
        <f>IFERROR(__xludf.DUMMYFUNCTION("""COMPUTED_VALUE"""),"CCN")</f>
        <v>CCN</v>
      </c>
      <c r="J458" s="1076" t="str">
        <f>IFERROR(__xludf.DUMMYFUNCTION("""COMPUTED_VALUE"""),"CCN")</f>
        <v>CCN</v>
      </c>
      <c r="K458" s="1076"/>
      <c r="L458" s="1076" t="str">
        <f>IFERROR(__xludf.DUMMYFUNCTION("""COMPUTED_VALUE"""),"KLH")</f>
        <v>KLH</v>
      </c>
    </row>
    <row r="459" customHeight="1" spans="1:12">
      <c r="A459" s="1089" t="str">
        <f>IFERROR(__xludf.DUMMYFUNCTION("""COMPUTED_VALUE"""),"XB1-CRZ-003")</f>
        <v>XB1-CRZ-003</v>
      </c>
      <c r="B459" s="1075" t="str">
        <f>IFERROR(__xludf.DUMMYFUNCTION("""COMPUTED_VALUE"""),"Máy thu hoạch cỏ Ruzi")</f>
        <v>Máy thu hoạch cỏ Ruzi</v>
      </c>
      <c r="C459" s="1076" t="str">
        <f>IFERROR(__xludf.DUMMYFUNCTION("""COMPUTED_VALUE"""),"XN Bò AD")</f>
        <v>XN Bò AD</v>
      </c>
      <c r="D459" s="1076" t="str">
        <f>IFERROR(__xludf.DUMMYFUNCTION("""COMPUTED_VALUE"""),"HONDA")</f>
        <v>HONDA</v>
      </c>
      <c r="E459" s="1076" t="str">
        <f>IFERROR(__xludf.DUMMYFUNCTION("""COMPUTED_VALUE"""),"THÁI LAN")</f>
        <v>THÁI LAN</v>
      </c>
      <c r="F459" s="1076">
        <f>IFERROR(__xludf.DUMMYFUNCTION("""COMPUTED_VALUE"""),2025)</f>
        <v>2025</v>
      </c>
      <c r="G459" s="1076" t="str">
        <f>IFERROR(__xludf.DUMMYFUNCTION("""COMPUTED_VALUE"""),"GX35T")</f>
        <v>GX35T</v>
      </c>
      <c r="H459" s="1076" t="str">
        <f>IFERROR(__xludf.DUMMYFUNCTION("""COMPUTED_VALUE"""),"1.34HP")</f>
        <v>1.34HP</v>
      </c>
      <c r="I459" s="1076" t="str">
        <f>IFERROR(__xludf.DUMMYFUNCTION("""COMPUTED_VALUE"""),"CCN")</f>
        <v>CCN</v>
      </c>
      <c r="J459" s="1076" t="str">
        <f>IFERROR(__xludf.DUMMYFUNCTION("""COMPUTED_VALUE"""),"CCN")</f>
        <v>CCN</v>
      </c>
      <c r="K459" s="1076"/>
      <c r="L459" s="1076" t="str">
        <f>IFERROR(__xludf.DUMMYFUNCTION("""COMPUTED_VALUE"""),"KLH")</f>
        <v>KLH</v>
      </c>
    </row>
    <row r="460" customHeight="1" spans="1:12">
      <c r="A460" s="1089" t="str">
        <f>IFERROR(__xludf.DUMMYFUNCTION("""COMPUTED_VALUE"""),"XB1-CRZ-004")</f>
        <v>XB1-CRZ-004</v>
      </c>
      <c r="B460" s="1075" t="str">
        <f>IFERROR(__xludf.DUMMYFUNCTION("""COMPUTED_VALUE"""),"Máy thu hoạch cỏ Ruzi")</f>
        <v>Máy thu hoạch cỏ Ruzi</v>
      </c>
      <c r="C460" s="1076" t="str">
        <f>IFERROR(__xludf.DUMMYFUNCTION("""COMPUTED_VALUE"""),"XN Bò AD")</f>
        <v>XN Bò AD</v>
      </c>
      <c r="D460" s="1076" t="str">
        <f>IFERROR(__xludf.DUMMYFUNCTION("""COMPUTED_VALUE"""),"HONDA")</f>
        <v>HONDA</v>
      </c>
      <c r="E460" s="1076" t="str">
        <f>IFERROR(__xludf.DUMMYFUNCTION("""COMPUTED_VALUE"""),"THÁI LAN")</f>
        <v>THÁI LAN</v>
      </c>
      <c r="F460" s="1076">
        <f>IFERROR(__xludf.DUMMYFUNCTION("""COMPUTED_VALUE"""),2025)</f>
        <v>2025</v>
      </c>
      <c r="G460" s="1076" t="str">
        <f>IFERROR(__xludf.DUMMYFUNCTION("""COMPUTED_VALUE"""),"GX35T")</f>
        <v>GX35T</v>
      </c>
      <c r="H460" s="1076" t="str">
        <f>IFERROR(__xludf.DUMMYFUNCTION("""COMPUTED_VALUE"""),"1.34HP")</f>
        <v>1.34HP</v>
      </c>
      <c r="I460" s="1076" t="str">
        <f>IFERROR(__xludf.DUMMYFUNCTION("""COMPUTED_VALUE"""),"CCN")</f>
        <v>CCN</v>
      </c>
      <c r="J460" s="1076" t="str">
        <f>IFERROR(__xludf.DUMMYFUNCTION("""COMPUTED_VALUE"""),"CCN")</f>
        <v>CCN</v>
      </c>
      <c r="K460" s="1076"/>
      <c r="L460" s="1076" t="str">
        <f>IFERROR(__xludf.DUMMYFUNCTION("""COMPUTED_VALUE"""),"KLH")</f>
        <v>KLH</v>
      </c>
    </row>
    <row r="461" customHeight="1" spans="1:12">
      <c r="A461" s="1089" t="str">
        <f>IFERROR(__xludf.DUMMYFUNCTION("""COMPUTED_VALUE"""),"XB1-CRZ-005")</f>
        <v>XB1-CRZ-005</v>
      </c>
      <c r="B461" s="1075" t="str">
        <f>IFERROR(__xludf.DUMMYFUNCTION("""COMPUTED_VALUE"""),"Máy thu hoạch cỏ Ruzi")</f>
        <v>Máy thu hoạch cỏ Ruzi</v>
      </c>
      <c r="C461" s="1076" t="str">
        <f>IFERROR(__xludf.DUMMYFUNCTION("""COMPUTED_VALUE"""),"XN Bò AD")</f>
        <v>XN Bò AD</v>
      </c>
      <c r="D461" s="1076" t="str">
        <f>IFERROR(__xludf.DUMMYFUNCTION("""COMPUTED_VALUE"""),"HONDA")</f>
        <v>HONDA</v>
      </c>
      <c r="E461" s="1076" t="str">
        <f>IFERROR(__xludf.DUMMYFUNCTION("""COMPUTED_VALUE"""),"THÁI LAN")</f>
        <v>THÁI LAN</v>
      </c>
      <c r="F461" s="1076">
        <f>IFERROR(__xludf.DUMMYFUNCTION("""COMPUTED_VALUE"""),2025)</f>
        <v>2025</v>
      </c>
      <c r="G461" s="1076" t="str">
        <f>IFERROR(__xludf.DUMMYFUNCTION("""COMPUTED_VALUE"""),"GX35T")</f>
        <v>GX35T</v>
      </c>
      <c r="H461" s="1076" t="str">
        <f>IFERROR(__xludf.DUMMYFUNCTION("""COMPUTED_VALUE"""),"1.34HP")</f>
        <v>1.34HP</v>
      </c>
      <c r="I461" s="1076" t="str">
        <f>IFERROR(__xludf.DUMMYFUNCTION("""COMPUTED_VALUE"""),"CCN")</f>
        <v>CCN</v>
      </c>
      <c r="J461" s="1076" t="str">
        <f>IFERROR(__xludf.DUMMYFUNCTION("""COMPUTED_VALUE"""),"CCN")</f>
        <v>CCN</v>
      </c>
      <c r="K461" s="1076"/>
      <c r="L461" s="1076" t="str">
        <f>IFERROR(__xludf.DUMMYFUNCTION("""COMPUTED_VALUE"""),"KLH")</f>
        <v>KLH</v>
      </c>
    </row>
    <row r="462" customHeight="1" spans="1:12">
      <c r="A462" s="1089" t="str">
        <f>IFERROR(__xludf.DUMMYFUNCTION("""COMPUTED_VALUE"""),"XB1-XBX-001")</f>
        <v>XB1-XBX-001</v>
      </c>
      <c r="B462" s="1075" t="str">
        <f>IFERROR(__xludf.DUMMYFUNCTION("""COMPUTED_VALUE"""),"Xe bánh xích gom phân chuồng ")</f>
        <v>Xe bánh xích gom phân chuồng </v>
      </c>
      <c r="C462" s="1076" t="str">
        <f>IFERROR(__xludf.DUMMYFUNCTION("""COMPUTED_VALUE"""),"XN Bò AD")</f>
        <v>XN Bò AD</v>
      </c>
      <c r="D462" s="1076" t="str">
        <f>IFERROR(__xludf.DUMMYFUNCTION("""COMPUTED_VALUE"""),"MNIGKO")</f>
        <v>MNIGKO</v>
      </c>
      <c r="E462" s="1076" t="str">
        <f>IFERROR(__xludf.DUMMYFUNCTION("""COMPUTED_VALUE"""),"Trung Quốc")</f>
        <v>Trung Quốc</v>
      </c>
      <c r="F462" s="1076">
        <f>IFERROR(__xludf.DUMMYFUNCTION("""COMPUTED_VALUE"""),2025)</f>
        <v>2025</v>
      </c>
      <c r="G462" s="1076" t="str">
        <f>IFERROR(__xludf.DUMMYFUNCTION("""COMPUTED_VALUE"""),"MINGKO")</f>
        <v>MINGKO</v>
      </c>
      <c r="H462" s="1076" t="str">
        <f>IFERROR(__xludf.DUMMYFUNCTION("""COMPUTED_VALUE"""),"38.3HP")</f>
        <v>38.3HP</v>
      </c>
      <c r="I462" s="1076" t="str">
        <f>IFERROR(__xludf.DUMMYFUNCTION("""COMPUTED_VALUE"""),"CCN")</f>
        <v>CCN</v>
      </c>
      <c r="J462" s="1076" t="str">
        <f>IFERROR(__xludf.DUMMYFUNCTION("""COMPUTED_VALUE"""),"31101A")</f>
        <v>31101A</v>
      </c>
      <c r="K462" s="1076"/>
      <c r="L462" s="1076" t="str">
        <f>IFERROR(__xludf.DUMMYFUNCTION("""COMPUTED_VALUE"""),"KLH")</f>
        <v>KLH</v>
      </c>
    </row>
    <row r="463" customHeight="1" spans="1:12">
      <c r="A463" s="1089" t="str">
        <f>IFERROR(__xludf.DUMMYFUNCTION("""COMPUTED_VALUE"""),"CVC-XTA-001")</f>
        <v>CVC-XTA-001</v>
      </c>
      <c r="B463" s="1075" t="str">
        <f>IFERROR(__xludf.DUMMYFUNCTION("""COMPUTED_VALUE"""),"Xe tải thùng Auman C160")</f>
        <v>Xe tải thùng Auman C160</v>
      </c>
      <c r="C463" s="1076" t="str">
        <f>IFERROR(__xludf.DUMMYFUNCTION("""COMPUTED_VALUE"""),"Phòng GNVC")</f>
        <v>Phòng GNVC</v>
      </c>
      <c r="D463" s="1076" t="str">
        <f>IFERROR(__xludf.DUMMYFUNCTION("""COMPUTED_VALUE"""),"THACO AUMAN")</f>
        <v>THACO AUMAN</v>
      </c>
      <c r="E463" s="1076" t="str">
        <f>IFERROR(__xludf.DUMMYFUNCTION("""COMPUTED_VALUE"""),"VIỆT NAM")</f>
        <v>VIỆT NAM</v>
      </c>
      <c r="F463" s="1076">
        <f>IFERROR(__xludf.DUMMYFUNCTION("""COMPUTED_VALUE"""),2012)</f>
        <v>2012</v>
      </c>
      <c r="G463" s="1076" t="str">
        <f>IFERROR(__xludf.DUMMYFUNCTION("""COMPUTED_VALUE"""),"C160")</f>
        <v>C160</v>
      </c>
      <c r="H463" s="1076" t="str">
        <f>IFERROR(__xludf.DUMMYFUNCTION("""COMPUTED_VALUE"""),"96HP")</f>
        <v>96HP</v>
      </c>
      <c r="I463" s="1076" t="str">
        <f>IFERROR(__xludf.DUMMYFUNCTION("""COMPUTED_VALUE"""),"6005")</f>
        <v>6005</v>
      </c>
      <c r="J463" s="1076" t="str">
        <f>IFERROR(__xludf.DUMMYFUNCTION("""COMPUTED_VALUE"""),"495027")</f>
        <v>495027</v>
      </c>
      <c r="K463" s="1076">
        <f>IFERROR(__xludf.DUMMYFUNCTION("""COMPUTED_VALUE"""),0.3)</f>
        <v>0.3</v>
      </c>
      <c r="L463" s="1076" t="str">
        <f>IFERROR(__xludf.DUMMYFUNCTION("""COMPUTED_VALUE"""),"KLH")</f>
        <v>KLH</v>
      </c>
    </row>
    <row r="464" customHeight="1" spans="1:12">
      <c r="A464" s="1089" t="str">
        <f>IFERROR(__xludf.DUMMYFUNCTION("""COMPUTED_VALUE"""),"CVC-XTA-002")</f>
        <v>CVC-XTA-002</v>
      </c>
      <c r="B464" s="1075" t="str">
        <f>IFERROR(__xludf.DUMMYFUNCTION("""COMPUTED_VALUE"""),"Xe tải thùng Auman C160")</f>
        <v>Xe tải thùng Auman C160</v>
      </c>
      <c r="C464" s="1076" t="str">
        <f>IFERROR(__xludf.DUMMYFUNCTION("""COMPUTED_VALUE"""),"Phòng GNVC")</f>
        <v>Phòng GNVC</v>
      </c>
      <c r="D464" s="1076" t="str">
        <f>IFERROR(__xludf.DUMMYFUNCTION("""COMPUTED_VALUE"""),"THACO AUMAN")</f>
        <v>THACO AUMAN</v>
      </c>
      <c r="E464" s="1076" t="str">
        <f>IFERROR(__xludf.DUMMYFUNCTION("""COMPUTED_VALUE"""),"VIỆT NAM")</f>
        <v>VIỆT NAM</v>
      </c>
      <c r="F464" s="1076">
        <f>IFERROR(__xludf.DUMMYFUNCTION("""COMPUTED_VALUE"""),2012)</f>
        <v>2012</v>
      </c>
      <c r="G464" s="1076" t="str">
        <f>IFERROR(__xludf.DUMMYFUNCTION("""COMPUTED_VALUE"""),"C160")</f>
        <v>C160</v>
      </c>
      <c r="H464" s="1076" t="str">
        <f>IFERROR(__xludf.DUMMYFUNCTION("""COMPUTED_VALUE"""),"96HP")</f>
        <v>96HP</v>
      </c>
      <c r="I464" s="1076" t="str">
        <f>IFERROR(__xludf.DUMMYFUNCTION("""COMPUTED_VALUE"""),"C006006")</f>
        <v>C006006</v>
      </c>
      <c r="J464" s="1076" t="str">
        <f>IFERROR(__xludf.DUMMYFUNCTION("""COMPUTED_VALUE"""),"CCN")</f>
        <v>CCN</v>
      </c>
      <c r="K464" s="1076">
        <f>IFERROR(__xludf.DUMMYFUNCTION("""COMPUTED_VALUE"""),0.3)</f>
        <v>0.3</v>
      </c>
      <c r="L464" s="1076" t="str">
        <f>IFERROR(__xludf.DUMMYFUNCTION("""COMPUTED_VALUE"""),"KLH")</f>
        <v>KLH</v>
      </c>
    </row>
    <row r="465" customHeight="1" spans="1:12">
      <c r="A465" s="1089" t="str">
        <f>IFERROR(__xludf.DUMMYFUNCTION("""COMPUTED_VALUE"""),"CVC-XTA-003")</f>
        <v>CVC-XTA-003</v>
      </c>
      <c r="B465" s="1075" t="str">
        <f>IFERROR(__xludf.DUMMYFUNCTION("""COMPUTED_VALUE"""),"Xe tải thùng Auman C160")</f>
        <v>Xe tải thùng Auman C160</v>
      </c>
      <c r="C465" s="1076" t="str">
        <f>IFERROR(__xludf.DUMMYFUNCTION("""COMPUTED_VALUE"""),"Phòng GNVC")</f>
        <v>Phòng GNVC</v>
      </c>
      <c r="D465" s="1076" t="str">
        <f>IFERROR(__xludf.DUMMYFUNCTION("""COMPUTED_VALUE"""),"THACO AUMAN")</f>
        <v>THACO AUMAN</v>
      </c>
      <c r="E465" s="1076" t="str">
        <f>IFERROR(__xludf.DUMMYFUNCTION("""COMPUTED_VALUE"""),"VIỆT NAM")</f>
        <v>VIỆT NAM</v>
      </c>
      <c r="F465" s="1076">
        <f>IFERROR(__xludf.DUMMYFUNCTION("""COMPUTED_VALUE"""),2012)</f>
        <v>2012</v>
      </c>
      <c r="G465" s="1076" t="str">
        <f>IFERROR(__xludf.DUMMYFUNCTION("""COMPUTED_VALUE"""),"C160")</f>
        <v>C160</v>
      </c>
      <c r="H465" s="1076" t="str">
        <f>IFERROR(__xludf.DUMMYFUNCTION("""COMPUTED_VALUE"""),"96HP")</f>
        <v>96HP</v>
      </c>
      <c r="I465" s="1076" t="str">
        <f>IFERROR(__xludf.DUMMYFUNCTION("""COMPUTED_VALUE"""),"C006003")</f>
        <v>C006003</v>
      </c>
      <c r="J465" s="1076" t="str">
        <f>IFERROR(__xludf.DUMMYFUNCTION("""COMPUTED_VALUE"""),"CCN")</f>
        <v>CCN</v>
      </c>
      <c r="K465" s="1076">
        <f>IFERROR(__xludf.DUMMYFUNCTION("""COMPUTED_VALUE"""),0.3)</f>
        <v>0.3</v>
      </c>
      <c r="L465" s="1076" t="str">
        <f>IFERROR(__xludf.DUMMYFUNCTION("""COMPUTED_VALUE"""),"KLH")</f>
        <v>KLH</v>
      </c>
    </row>
    <row r="466" customHeight="1" spans="1:12">
      <c r="A466" s="1089" t="str">
        <f>IFERROR(__xludf.DUMMYFUNCTION("""COMPUTED_VALUE"""),"CVC-XTA-005")</f>
        <v>CVC-XTA-005</v>
      </c>
      <c r="B466" s="1075" t="str">
        <f>IFERROR(__xludf.DUMMYFUNCTION("""COMPUTED_VALUE"""),"Xe tải thùng FD140")</f>
        <v>Xe tải thùng FD140</v>
      </c>
      <c r="C466" s="1076" t="str">
        <f>IFERROR(__xludf.DUMMYFUNCTION("""COMPUTED_VALUE"""),"Phòng GNVC")</f>
        <v>Phòng GNVC</v>
      </c>
      <c r="D466" s="1076" t="str">
        <f>IFERROR(__xludf.DUMMYFUNCTION("""COMPUTED_VALUE"""),"THACO FORLAND")</f>
        <v>THACO FORLAND</v>
      </c>
      <c r="E466" s="1076" t="str">
        <f>IFERROR(__xludf.DUMMYFUNCTION("""COMPUTED_VALUE"""),"VIỆT NAM")</f>
        <v>VIỆT NAM</v>
      </c>
      <c r="F466" s="1076">
        <f>IFERROR(__xludf.DUMMYFUNCTION("""COMPUTED_VALUE"""),2021)</f>
        <v>2021</v>
      </c>
      <c r="G466" s="1076" t="str">
        <f>IFERROR(__xludf.DUMMYFUNCTION("""COMPUTED_VALUE"""),"FD140")</f>
        <v>FD140</v>
      </c>
      <c r="H466" s="1076" t="str">
        <f>IFERROR(__xludf.DUMMYFUNCTION("""COMPUTED_VALUE"""),"140HP")</f>
        <v>140HP</v>
      </c>
      <c r="I466" s="1076" t="str">
        <f>IFERROR(__xludf.DUMMYFUNCTION("""COMPUTED_VALUE"""),"RNHF14FYAMT052028")</f>
        <v>RNHF14FYAMT052028</v>
      </c>
      <c r="J466" s="1076" t="str">
        <f>IFERROR(__xludf.DUMMYFUNCTION("""COMPUTED_VALUE"""),"YC4D140-48D59M1M00594")</f>
        <v>YC4D140-48D59M1M00594</v>
      </c>
      <c r="K466" s="1076">
        <f>IFERROR(__xludf.DUMMYFUNCTION("""COMPUTED_VALUE"""),0.3)</f>
        <v>0.3</v>
      </c>
      <c r="L466" s="1076" t="str">
        <f>IFERROR(__xludf.DUMMYFUNCTION("""COMPUTED_VALUE"""),"KLH")</f>
        <v>KLH</v>
      </c>
    </row>
    <row r="467" customHeight="1" spans="1:12">
      <c r="A467" s="1089" t="str">
        <f>IFERROR(__xludf.DUMMYFUNCTION("""COMPUTED_VALUE"""),"CVC-XTA-006")</f>
        <v>CVC-XTA-006</v>
      </c>
      <c r="B467" s="1075" t="str">
        <f>IFERROR(__xludf.DUMMYFUNCTION("""COMPUTED_VALUE"""),"Xe tải thùng FD140")</f>
        <v>Xe tải thùng FD140</v>
      </c>
      <c r="C467" s="1076" t="str">
        <f>IFERROR(__xludf.DUMMYFUNCTION("""COMPUTED_VALUE"""),"Phòng GNVC")</f>
        <v>Phòng GNVC</v>
      </c>
      <c r="D467" s="1076" t="str">
        <f>IFERROR(__xludf.DUMMYFUNCTION("""COMPUTED_VALUE"""),"THACO FORLAND")</f>
        <v>THACO FORLAND</v>
      </c>
      <c r="E467" s="1076" t="str">
        <f>IFERROR(__xludf.DUMMYFUNCTION("""COMPUTED_VALUE"""),"VIỆT NAM")</f>
        <v>VIỆT NAM</v>
      </c>
      <c r="F467" s="1076">
        <f>IFERROR(__xludf.DUMMYFUNCTION("""COMPUTED_VALUE"""),2021)</f>
        <v>2021</v>
      </c>
      <c r="G467" s="1076" t="str">
        <f>IFERROR(__xludf.DUMMYFUNCTION("""COMPUTED_VALUE"""),"FD140")</f>
        <v>FD140</v>
      </c>
      <c r="H467" s="1076" t="str">
        <f>IFERROR(__xludf.DUMMYFUNCTION("""COMPUTED_VALUE"""),"140HP")</f>
        <v>140HP</v>
      </c>
      <c r="I467" s="1076" t="str">
        <f>IFERROR(__xludf.DUMMYFUNCTION("""COMPUTED_VALUE"""),"RNHF14FYAMT052029")</f>
        <v>RNHF14FYAMT052029</v>
      </c>
      <c r="J467" s="1076" t="str">
        <f>IFERROR(__xludf.DUMMYFUNCTION("""COMPUTED_VALUE"""),"YC4D140-48D59M1M00563")</f>
        <v>YC4D140-48D59M1M00563</v>
      </c>
      <c r="K467" s="1076">
        <f>IFERROR(__xludf.DUMMYFUNCTION("""COMPUTED_VALUE"""),0.3)</f>
        <v>0.3</v>
      </c>
      <c r="L467" s="1076" t="str">
        <f>IFERROR(__xludf.DUMMYFUNCTION("""COMPUTED_VALUE"""),"KLH")</f>
        <v>KLH</v>
      </c>
    </row>
    <row r="468" customHeight="1" spans="1:12">
      <c r="A468" s="1089" t="str">
        <f>IFERROR(__xludf.DUMMYFUNCTION("""COMPUTED_VALUE"""),"CVC-XTA-007")</f>
        <v>CVC-XTA-007</v>
      </c>
      <c r="B468" s="1075" t="str">
        <f>IFERROR(__xludf.DUMMYFUNCTION("""COMPUTED_VALUE"""),"Xe tải thùng FD140")</f>
        <v>Xe tải thùng FD140</v>
      </c>
      <c r="C468" s="1076" t="str">
        <f>IFERROR(__xludf.DUMMYFUNCTION("""COMPUTED_VALUE"""),"Phòng GNVC")</f>
        <v>Phòng GNVC</v>
      </c>
      <c r="D468" s="1076" t="str">
        <f>IFERROR(__xludf.DUMMYFUNCTION("""COMPUTED_VALUE"""),"THACO FORLAND")</f>
        <v>THACO FORLAND</v>
      </c>
      <c r="E468" s="1076" t="str">
        <f>IFERROR(__xludf.DUMMYFUNCTION("""COMPUTED_VALUE"""),"VIỆT NAM")</f>
        <v>VIỆT NAM</v>
      </c>
      <c r="F468" s="1076">
        <f>IFERROR(__xludf.DUMMYFUNCTION("""COMPUTED_VALUE"""),2021)</f>
        <v>2021</v>
      </c>
      <c r="G468" s="1076" t="str">
        <f>IFERROR(__xludf.DUMMYFUNCTION("""COMPUTED_VALUE"""),"FD140")</f>
        <v>FD140</v>
      </c>
      <c r="H468" s="1076" t="str">
        <f>IFERROR(__xludf.DUMMYFUNCTION("""COMPUTED_VALUE"""),"140HP")</f>
        <v>140HP</v>
      </c>
      <c r="I468" s="1076" t="str">
        <f>IFERROR(__xludf.DUMMYFUNCTION("""COMPUTED_VALUE"""),"RNHF14FYAMT052030")</f>
        <v>RNHF14FYAMT052030</v>
      </c>
      <c r="J468" s="1076" t="str">
        <f>IFERROR(__xludf.DUMMYFUNCTION("""COMPUTED_VALUE"""),"YC4D140-48D59M1M00527")</f>
        <v>YC4D140-48D59M1M00527</v>
      </c>
      <c r="K468" s="1076">
        <f>IFERROR(__xludf.DUMMYFUNCTION("""COMPUTED_VALUE"""),0.3)</f>
        <v>0.3</v>
      </c>
      <c r="L468" s="1076" t="str">
        <f>IFERROR(__xludf.DUMMYFUNCTION("""COMPUTED_VALUE"""),"KLH")</f>
        <v>KLH</v>
      </c>
    </row>
    <row r="469" customHeight="1" spans="1:12">
      <c r="A469" s="1089" t="str">
        <f>IFERROR(__xludf.DUMMYFUNCTION("""COMPUTED_VALUE"""),"CVC-XTA-009")</f>
        <v>CVC-XTA-009</v>
      </c>
      <c r="B469" s="1075" t="str">
        <f>IFERROR(__xludf.DUMMYFUNCTION("""COMPUTED_VALUE"""),"Xe tải thùng FD140")</f>
        <v>Xe tải thùng FD140</v>
      </c>
      <c r="C469" s="1076" t="str">
        <f>IFERROR(__xludf.DUMMYFUNCTION("""COMPUTED_VALUE"""),"Phòng GNVC")</f>
        <v>Phòng GNVC</v>
      </c>
      <c r="D469" s="1076" t="str">
        <f>IFERROR(__xludf.DUMMYFUNCTION("""COMPUTED_VALUE"""),"THACO FORLAND")</f>
        <v>THACO FORLAND</v>
      </c>
      <c r="E469" s="1076" t="str">
        <f>IFERROR(__xludf.DUMMYFUNCTION("""COMPUTED_VALUE"""),"VIỆT NAM")</f>
        <v>VIỆT NAM</v>
      </c>
      <c r="F469" s="1076">
        <f>IFERROR(__xludf.DUMMYFUNCTION("""COMPUTED_VALUE"""),2021)</f>
        <v>2021</v>
      </c>
      <c r="G469" s="1076" t="str">
        <f>IFERROR(__xludf.DUMMYFUNCTION("""COMPUTED_VALUE"""),"FD140")</f>
        <v>FD140</v>
      </c>
      <c r="H469" s="1076" t="str">
        <f>IFERROR(__xludf.DUMMYFUNCTION("""COMPUTED_VALUE"""),"140HP")</f>
        <v>140HP</v>
      </c>
      <c r="I469" s="1076" t="str">
        <f>IFERROR(__xludf.DUMMYFUNCTION("""COMPUTED_VALUE"""),"49595")</f>
        <v>49595</v>
      </c>
      <c r="J469" s="1076" t="str">
        <f>IFERROR(__xludf.DUMMYFUNCTION("""COMPUTED_VALUE"""),"CCN")</f>
        <v>CCN</v>
      </c>
      <c r="K469" s="1076">
        <f>IFERROR(__xludf.DUMMYFUNCTION("""COMPUTED_VALUE"""),0.3)</f>
        <v>0.3</v>
      </c>
      <c r="L469" s="1076" t="str">
        <f>IFERROR(__xludf.DUMMYFUNCTION("""COMPUTED_VALUE"""),"KLH")</f>
        <v>KLH</v>
      </c>
    </row>
    <row r="470" customHeight="1" spans="1:12">
      <c r="A470" s="1089" t="str">
        <f>IFERROR(__xludf.DUMMYFUNCTION("""COMPUTED_VALUE"""),"CVC-XTA-010")</f>
        <v>CVC-XTA-010</v>
      </c>
      <c r="B470" s="1075" t="str">
        <f>IFERROR(__xludf.DUMMYFUNCTION("""COMPUTED_VALUE"""),"Xe tải ben Howo 371")</f>
        <v>Xe tải ben Howo 371</v>
      </c>
      <c r="C470" s="1076" t="str">
        <f>IFERROR(__xludf.DUMMYFUNCTION("""COMPUTED_VALUE"""),"Phòng GNVC")</f>
        <v>Phòng GNVC</v>
      </c>
      <c r="D470" s="1076" t="str">
        <f>IFERROR(__xludf.DUMMYFUNCTION("""COMPUTED_VALUE"""),"HOWO")</f>
        <v>HOWO</v>
      </c>
      <c r="E470" s="1076"/>
      <c r="F470" s="1076"/>
      <c r="G470" s="1076" t="str">
        <f>IFERROR(__xludf.DUMMYFUNCTION("""COMPUTED_VALUE"""),"HOWO 371")</f>
        <v>HOWO 371</v>
      </c>
      <c r="H470" s="1076" t="str">
        <f>IFERROR(__xludf.DUMMYFUNCTION("""COMPUTED_VALUE"""),"300HP")</f>
        <v>300HP</v>
      </c>
      <c r="I470" s="1076" t="str">
        <f>IFERROR(__xludf.DUMMYFUNCTION("""COMPUTED_VALUE"""),"63965")</f>
        <v>63965</v>
      </c>
      <c r="J470" s="1076" t="str">
        <f>IFERROR(__xludf.DUMMYFUNCTION("""COMPUTED_VALUE"""),"CCN")</f>
        <v>CCN</v>
      </c>
      <c r="K470" s="1076">
        <f>IFERROR(__xludf.DUMMYFUNCTION("""COMPUTED_VALUE"""),0.36)</f>
        <v>0.36</v>
      </c>
      <c r="L470" s="1076" t="str">
        <f>IFERROR(__xludf.DUMMYFUNCTION("""COMPUTED_VALUE"""),"KLH")</f>
        <v>KLH</v>
      </c>
    </row>
    <row r="471" customHeight="1" spans="1:12">
      <c r="A471" s="1089" t="str">
        <f>IFERROR(__xludf.DUMMYFUNCTION("""COMPUTED_VALUE"""),"CVC-XTA-011")</f>
        <v>CVC-XTA-011</v>
      </c>
      <c r="B471" s="1075" t="str">
        <f>IFERROR(__xludf.DUMMYFUNCTION("""COMPUTED_VALUE"""),"Xe tải ben Howo 371")</f>
        <v>Xe tải ben Howo 371</v>
      </c>
      <c r="C471" s="1076" t="str">
        <f>IFERROR(__xludf.DUMMYFUNCTION("""COMPUTED_VALUE"""),"Phòng GNVC")</f>
        <v>Phòng GNVC</v>
      </c>
      <c r="D471" s="1076" t="str">
        <f>IFERROR(__xludf.DUMMYFUNCTION("""COMPUTED_VALUE"""),"HOWO")</f>
        <v>HOWO</v>
      </c>
      <c r="E471" s="1076"/>
      <c r="F471" s="1076"/>
      <c r="G471" s="1076" t="str">
        <f>IFERROR(__xludf.DUMMYFUNCTION("""COMPUTED_VALUE"""),"HOWO 371")</f>
        <v>HOWO 371</v>
      </c>
      <c r="H471" s="1076" t="str">
        <f>IFERROR(__xludf.DUMMYFUNCTION("""COMPUTED_VALUE"""),"300HP")</f>
        <v>300HP</v>
      </c>
      <c r="I471" s="1076" t="str">
        <f>IFERROR(__xludf.DUMMYFUNCTION("""COMPUTED_VALUE"""),"933513")</f>
        <v>933513</v>
      </c>
      <c r="J471" s="1076" t="str">
        <f>IFERROR(__xludf.DUMMYFUNCTION("""COMPUTED_VALUE"""),"CCN")</f>
        <v>CCN</v>
      </c>
      <c r="K471" s="1076">
        <f>IFERROR(__xludf.DUMMYFUNCTION("""COMPUTED_VALUE"""),0.36)</f>
        <v>0.36</v>
      </c>
      <c r="L471" s="1076" t="str">
        <f>IFERROR(__xludf.DUMMYFUNCTION("""COMPUTED_VALUE"""),"KLH")</f>
        <v>KLH</v>
      </c>
    </row>
    <row r="472" customHeight="1" spans="1:12">
      <c r="A472" s="1089" t="str">
        <f>IFERROR(__xludf.DUMMYFUNCTION("""COMPUTED_VALUE"""),"CVC-XTA-014")</f>
        <v>CVC-XTA-014</v>
      </c>
      <c r="B472" s="1075" t="str">
        <f>IFERROR(__xludf.DUMMYFUNCTION("""COMPUTED_VALUE"""),"Xe tải AUMAN GTL D300 E4 (Cấp dầu)")</f>
        <v>Xe tải AUMAN GTL D300 E4 (Cấp dầu)</v>
      </c>
      <c r="C472" s="1076" t="str">
        <f>IFERROR(__xludf.DUMMYFUNCTION("""COMPUTED_VALUE"""),"Phòng GNVC")</f>
        <v>Phòng GNVC</v>
      </c>
      <c r="D472" s="1076" t="str">
        <f>IFERROR(__xludf.DUMMYFUNCTION("""COMPUTED_VALUE"""),"THACO AUMAN")</f>
        <v>THACO AUMAN</v>
      </c>
      <c r="E472" s="1076" t="str">
        <f>IFERROR(__xludf.DUMMYFUNCTION("""COMPUTED_VALUE"""),"VIỆT NAM")</f>
        <v>VIỆT NAM</v>
      </c>
      <c r="F472" s="1076">
        <f>IFERROR(__xludf.DUMMYFUNCTION("""COMPUTED_VALUE"""),2018)</f>
        <v>2018</v>
      </c>
      <c r="G472" s="1076" t="str">
        <f>IFERROR(__xludf.DUMMYFUNCTION("""COMPUTED_VALUE"""),"GTL D300E4")</f>
        <v>GTL D300E4</v>
      </c>
      <c r="H472" s="1076"/>
      <c r="I472" s="1076" t="str">
        <f>IFERROR(__xludf.DUMMYFUNCTION("""COMPUTED_VALUE"""),"RNHD30FWAJC07892")</f>
        <v>RNHD30FWAJC07892</v>
      </c>
      <c r="J472" s="1076" t="str">
        <f>IFERROR(__xludf.DUMMYFUNCTION("""COMPUTED_VALUE"""),"CCN")</f>
        <v>CCN</v>
      </c>
      <c r="K472" s="1076">
        <f>IFERROR(__xludf.DUMMYFUNCTION("""COMPUTED_VALUE"""),0.7)</f>
        <v>0.7</v>
      </c>
      <c r="L472" s="1076" t="str">
        <f>IFERROR(__xludf.DUMMYFUNCTION("""COMPUTED_VALUE"""),"KLH")</f>
        <v>KLH</v>
      </c>
    </row>
    <row r="473" customHeight="1" spans="1:12">
      <c r="A473" s="1089" t="str">
        <f>IFERROR(__xludf.DUMMYFUNCTION("""COMPUTED_VALUE"""),"CVC-XTA-015")</f>
        <v>CVC-XTA-015</v>
      </c>
      <c r="B473" s="1075" t="str">
        <f>IFERROR(__xludf.DUMMYFUNCTION("""COMPUTED_VALUE"""),"Xe tải AUMAN GTL D300 E4 (Cấp dầu)")</f>
        <v>Xe tải AUMAN GTL D300 E4 (Cấp dầu)</v>
      </c>
      <c r="C473" s="1076" t="str">
        <f>IFERROR(__xludf.DUMMYFUNCTION("""COMPUTED_VALUE"""),"Phòng GNVC")</f>
        <v>Phòng GNVC</v>
      </c>
      <c r="D473" s="1076" t="str">
        <f>IFERROR(__xludf.DUMMYFUNCTION("""COMPUTED_VALUE"""),"THACO AUMAN")</f>
        <v>THACO AUMAN</v>
      </c>
      <c r="E473" s="1076" t="str">
        <f>IFERROR(__xludf.DUMMYFUNCTION("""COMPUTED_VALUE"""),"VIỆT NAM")</f>
        <v>VIỆT NAM</v>
      </c>
      <c r="F473" s="1076">
        <f>IFERROR(__xludf.DUMMYFUNCTION("""COMPUTED_VALUE"""),2018)</f>
        <v>2018</v>
      </c>
      <c r="G473" s="1076" t="str">
        <f>IFERROR(__xludf.DUMMYFUNCTION("""COMPUTED_VALUE"""),"GTL D300E4")</f>
        <v>GTL D300E4</v>
      </c>
      <c r="H473" s="1076" t="str">
        <f>IFERROR(__xludf.DUMMYFUNCTION("""COMPUTED_VALUE"""),"375HP")</f>
        <v>375HP</v>
      </c>
      <c r="I473" s="1076" t="str">
        <f>IFERROR(__xludf.DUMMYFUNCTION("""COMPUTED_VALUE"""),"RNHD30FWAJC078093")</f>
        <v>RNHD30FWAJC078093</v>
      </c>
      <c r="J473" s="1076" t="str">
        <f>IFERROR(__xludf.DUMMYFUNCTION("""COMPUTED_VALUE"""),"WP10375E431618A009911")</f>
        <v>WP10375E431618A009911</v>
      </c>
      <c r="K473" s="1076">
        <f>IFERROR(__xludf.DUMMYFUNCTION("""COMPUTED_VALUE"""),0.7)</f>
        <v>0.7</v>
      </c>
      <c r="L473" s="1076" t="str">
        <f>IFERROR(__xludf.DUMMYFUNCTION("""COMPUTED_VALUE"""),"KLH")</f>
        <v>KLH</v>
      </c>
    </row>
    <row r="474" customHeight="1" spans="1:12">
      <c r="A474" s="1089" t="str">
        <f>IFERROR(__xludf.DUMMYFUNCTION("""COMPUTED_VALUE"""),"CVC-XTA-016")</f>
        <v>CVC-XTA-016</v>
      </c>
      <c r="B474" s="1075" t="str">
        <f>IFERROR(__xludf.DUMMYFUNCTION("""COMPUTED_VALUE"""),"Xe tải FD850 (Cấp dầu)")</f>
        <v>Xe tải FD850 (Cấp dầu)</v>
      </c>
      <c r="C474" s="1076" t="str">
        <f>IFERROR(__xludf.DUMMYFUNCTION("""COMPUTED_VALUE"""),"Phòng GNVC")</f>
        <v>Phòng GNVC</v>
      </c>
      <c r="D474" s="1076" t="str">
        <f>IFERROR(__xludf.DUMMYFUNCTION("""COMPUTED_VALUE"""),"THACO FORLAND")</f>
        <v>THACO FORLAND</v>
      </c>
      <c r="E474" s="1076" t="str">
        <f>IFERROR(__xludf.DUMMYFUNCTION("""COMPUTED_VALUE"""),"VIỆT NAM")</f>
        <v>VIỆT NAM</v>
      </c>
      <c r="F474" s="1076">
        <f>IFERROR(__xludf.DUMMYFUNCTION("""COMPUTED_VALUE"""),2020)</f>
        <v>2020</v>
      </c>
      <c r="G474" s="1076" t="str">
        <f>IFERROR(__xludf.DUMMYFUNCTION("""COMPUTED_VALUE"""),"FD850")</f>
        <v>FD850</v>
      </c>
      <c r="H474" s="1076" t="str">
        <f>IFERROR(__xludf.DUMMYFUNCTION("""COMPUTED_VALUE"""),"140HP")</f>
        <v>140HP</v>
      </c>
      <c r="I474" s="1076" t="str">
        <f>IFERROR(__xludf.DUMMYFUNCTION("""COMPUTED_VALUE"""),"RNHF14FYALC012920")</f>
        <v>RNHF14FYALC012920</v>
      </c>
      <c r="J474" s="1076" t="str">
        <f>IFERROR(__xludf.DUMMYFUNCTION("""COMPUTED_VALUE"""),"CCN")</f>
        <v>CCN</v>
      </c>
      <c r="K474" s="1076">
        <f>IFERROR(__xludf.DUMMYFUNCTION("""COMPUTED_VALUE"""),0.36)</f>
        <v>0.36</v>
      </c>
      <c r="L474" s="1076" t="str">
        <f>IFERROR(__xludf.DUMMYFUNCTION("""COMPUTED_VALUE"""),"KLH")</f>
        <v>KLH</v>
      </c>
    </row>
    <row r="475" customHeight="1" spans="1:12">
      <c r="A475" s="1089" t="str">
        <f>IFERROR(__xludf.DUMMYFUNCTION("""COMPUTED_VALUE"""),"CVC-XTA-017")</f>
        <v>CVC-XTA-017</v>
      </c>
      <c r="B475" s="1075" t="str">
        <f>IFERROR(__xludf.DUMMYFUNCTION("""COMPUTED_VALUE"""),"Xe tải AUMAN GTL D300 E4 (Cấp dầu)")</f>
        <v>Xe tải AUMAN GTL D300 E4 (Cấp dầu)</v>
      </c>
      <c r="C475" s="1076" t="str">
        <f>IFERROR(__xludf.DUMMYFUNCTION("""COMPUTED_VALUE"""),"Phòng GNVC")</f>
        <v>Phòng GNVC</v>
      </c>
      <c r="D475" s="1076" t="str">
        <f>IFERROR(__xludf.DUMMYFUNCTION("""COMPUTED_VALUE"""),"THACO AUMAN")</f>
        <v>THACO AUMAN</v>
      </c>
      <c r="E475" s="1076" t="str">
        <f>IFERROR(__xludf.DUMMYFUNCTION("""COMPUTED_VALUE"""),"VIỆT NAM")</f>
        <v>VIỆT NAM</v>
      </c>
      <c r="F475" s="1076">
        <f>IFERROR(__xludf.DUMMYFUNCTION("""COMPUTED_VALUE"""),2018)</f>
        <v>2018</v>
      </c>
      <c r="G475" s="1076" t="str">
        <f>IFERROR(__xludf.DUMMYFUNCTION("""COMPUTED_VALUE"""),"GTL D300E4")</f>
        <v>GTL D300E4</v>
      </c>
      <c r="H475" s="1076" t="str">
        <f>IFERROR(__xludf.DUMMYFUNCTION("""COMPUTED_VALUE"""),"375HP")</f>
        <v>375HP</v>
      </c>
      <c r="I475" s="1076" t="str">
        <f>IFERROR(__xludf.DUMMYFUNCTION("""COMPUTED_VALUE"""),"RNHD30FWAJC078086")</f>
        <v>RNHD30FWAJC078086</v>
      </c>
      <c r="J475" s="1076" t="str">
        <f>IFERROR(__xludf.DUMMYFUNCTION("""COMPUTED_VALUE"""),"CCN")</f>
        <v>CCN</v>
      </c>
      <c r="K475" s="1076">
        <f>IFERROR(__xludf.DUMMYFUNCTION("""COMPUTED_VALUE"""),0.7)</f>
        <v>0.7</v>
      </c>
      <c r="L475" s="1076" t="str">
        <f>IFERROR(__xludf.DUMMYFUNCTION("""COMPUTED_VALUE"""),"KLH")</f>
        <v>KLH</v>
      </c>
    </row>
    <row r="476" customHeight="1" spans="1:12">
      <c r="A476" s="1089" t="str">
        <f>IFERROR(__xludf.DUMMYFUNCTION("""COMPUTED_VALUE"""),"CVC-XTA-018")</f>
        <v>CVC-XTA-018</v>
      </c>
      <c r="B476" s="1075" t="str">
        <f>IFERROR(__xludf.DUMMYFUNCTION("""COMPUTED_VALUE"""),"Xe tải AUMAN GTL D300 E4 (Cấp dầu)")</f>
        <v>Xe tải AUMAN GTL D300 E4 (Cấp dầu)</v>
      </c>
      <c r="C476" s="1076" t="str">
        <f>IFERROR(__xludf.DUMMYFUNCTION("""COMPUTED_VALUE"""),"Phòng GNVC")</f>
        <v>Phòng GNVC</v>
      </c>
      <c r="D476" s="1076" t="str">
        <f>IFERROR(__xludf.DUMMYFUNCTION("""COMPUTED_VALUE"""),"THACO AUMAN")</f>
        <v>THACO AUMAN</v>
      </c>
      <c r="E476" s="1076" t="str">
        <f>IFERROR(__xludf.DUMMYFUNCTION("""COMPUTED_VALUE"""),"VIỆT NAM")</f>
        <v>VIỆT NAM</v>
      </c>
      <c r="F476" s="1076">
        <f>IFERROR(__xludf.DUMMYFUNCTION("""COMPUTED_VALUE"""),2018)</f>
        <v>2018</v>
      </c>
      <c r="G476" s="1076" t="str">
        <f>IFERROR(__xludf.DUMMYFUNCTION("""COMPUTED_VALUE"""),"GTL D300E4")</f>
        <v>GTL D300E4</v>
      </c>
      <c r="H476" s="1076" t="str">
        <f>IFERROR(__xludf.DUMMYFUNCTION("""COMPUTED_VALUE"""),"375HP")</f>
        <v>375HP</v>
      </c>
      <c r="I476" s="1076" t="str">
        <f>IFERROR(__xludf.DUMMYFUNCTION("""COMPUTED_VALUE"""),"RNHD30FWAJCO078101")</f>
        <v>RNHD30FWAJCO078101</v>
      </c>
      <c r="J476" s="1076" t="str">
        <f>IFERROR(__xludf.DUMMYFUNCTION("""COMPUTED_VALUE"""),"WP10375E431618A008105")</f>
        <v>WP10375E431618A008105</v>
      </c>
      <c r="K476" s="1076">
        <f>IFERROR(__xludf.DUMMYFUNCTION("""COMPUTED_VALUE"""),0.7)</f>
        <v>0.7</v>
      </c>
      <c r="L476" s="1076" t="str">
        <f>IFERROR(__xludf.DUMMYFUNCTION("""COMPUTED_VALUE"""),"KLH")</f>
        <v>KLH</v>
      </c>
    </row>
    <row r="477" customHeight="1" spans="1:12">
      <c r="A477" s="1089" t="str">
        <f>IFERROR(__xludf.DUMMYFUNCTION("""COMPUTED_VALUE"""),"TND-COT-001")</f>
        <v>TND-COT-001</v>
      </c>
      <c r="B477" s="1075" t="str">
        <f>IFERROR(__xludf.DUMMYFUNCTION("""COMPUTED_VALUE"""),"Xe container FUSO FZ49")</f>
        <v>Xe container FUSO FZ49</v>
      </c>
      <c r="C477" s="1076" t="str">
        <f>IFERROR(__xludf.DUMMYFUNCTION("""COMPUTED_VALUE"""),"Phòng GNVC")</f>
        <v>Phòng GNVC</v>
      </c>
      <c r="D477" s="1076" t="str">
        <f>IFERROR(__xludf.DUMMYFUNCTION("""COMPUTED_VALUE"""),"FUSO")</f>
        <v>FUSO</v>
      </c>
      <c r="E477" s="1076"/>
      <c r="F477" s="1076"/>
      <c r="G477" s="1076" t="str">
        <f>IFERROR(__xludf.DUMMYFUNCTION("""COMPUTED_VALUE"""),"FZ49")</f>
        <v>FZ49</v>
      </c>
      <c r="H477" s="1076" t="str">
        <f>IFERROR(__xludf.DUMMYFUNCTION("""COMPUTED_VALUE"""),"280HP")</f>
        <v>280HP</v>
      </c>
      <c r="I477" s="1076" t="str">
        <f>IFERROR(__xludf.DUMMYFUNCTION("""COMPUTED_VALUE"""),"MEC2812SCGP028677")</f>
        <v>MEC2812SCGP028677</v>
      </c>
      <c r="J477" s="1076"/>
      <c r="K477" s="1076">
        <f>IFERROR(__xludf.DUMMYFUNCTION("""COMPUTED_VALUE"""),0.49)</f>
        <v>0.49</v>
      </c>
      <c r="L477" s="1076" t="str">
        <f>IFERROR(__xludf.DUMMYFUNCTION("""COMPUTED_VALUE"""),"KLH")</f>
        <v>KLH</v>
      </c>
    </row>
    <row r="478" customHeight="1" spans="1:12">
      <c r="A478" s="1089" t="str">
        <f>IFERROR(__xludf.DUMMYFUNCTION("""COMPUTED_VALUE"""),"TND-COT-002")</f>
        <v>TND-COT-002</v>
      </c>
      <c r="B478" s="1075" t="str">
        <f>IFERROR(__xludf.DUMMYFUNCTION("""COMPUTED_VALUE"""),"Xe container FUSO FZ49")</f>
        <v>Xe container FUSO FZ49</v>
      </c>
      <c r="C478" s="1076" t="str">
        <f>IFERROR(__xludf.DUMMYFUNCTION("""COMPUTED_VALUE"""),"Phòng GNVC")</f>
        <v>Phòng GNVC</v>
      </c>
      <c r="D478" s="1076" t="str">
        <f>IFERROR(__xludf.DUMMYFUNCTION("""COMPUTED_VALUE"""),"FUSO")</f>
        <v>FUSO</v>
      </c>
      <c r="E478" s="1076"/>
      <c r="F478" s="1076"/>
      <c r="G478" s="1076" t="str">
        <f>IFERROR(__xludf.DUMMYFUNCTION("""COMPUTED_VALUE"""),"FZ49")</f>
        <v>FZ49</v>
      </c>
      <c r="H478" s="1076" t="str">
        <f>IFERROR(__xludf.DUMMYFUNCTION("""COMPUTED_VALUE"""),"280HP")</f>
        <v>280HP</v>
      </c>
      <c r="I478" s="1076" t="str">
        <f>IFERROR(__xludf.DUMMYFUNCTION("""COMPUTED_VALUE"""),"MEC2812SCGP028311")</f>
        <v>MEC2812SCGP028311</v>
      </c>
      <c r="J478" s="1076"/>
      <c r="K478" s="1076">
        <f>IFERROR(__xludf.DUMMYFUNCTION("""COMPUTED_VALUE"""),0.49)</f>
        <v>0.49</v>
      </c>
      <c r="L478" s="1076" t="str">
        <f>IFERROR(__xludf.DUMMYFUNCTION("""COMPUTED_VALUE"""),"KLH")</f>
        <v>KLH</v>
      </c>
    </row>
    <row r="479" customHeight="1" spans="1:12">
      <c r="A479" s="1089" t="str">
        <f>IFERROR(__xludf.DUMMYFUNCTION("""COMPUTED_VALUE"""),"TND-COT-003")</f>
        <v>TND-COT-003</v>
      </c>
      <c r="B479" s="1075" t="str">
        <f>IFERROR(__xludf.DUMMYFUNCTION("""COMPUTED_VALUE"""),"Xe container FUSO FZ49")</f>
        <v>Xe container FUSO FZ49</v>
      </c>
      <c r="C479" s="1076" t="str">
        <f>IFERROR(__xludf.DUMMYFUNCTION("""COMPUTED_VALUE"""),"Phòng GNVC")</f>
        <v>Phòng GNVC</v>
      </c>
      <c r="D479" s="1076" t="str">
        <f>IFERROR(__xludf.DUMMYFUNCTION("""COMPUTED_VALUE"""),"FUSO")</f>
        <v>FUSO</v>
      </c>
      <c r="E479" s="1076"/>
      <c r="F479" s="1076"/>
      <c r="G479" s="1076" t="str">
        <f>IFERROR(__xludf.DUMMYFUNCTION("""COMPUTED_VALUE"""),"FZ49")</f>
        <v>FZ49</v>
      </c>
      <c r="H479" s="1076" t="str">
        <f>IFERROR(__xludf.DUMMYFUNCTION("""COMPUTED_VALUE"""),"280HP")</f>
        <v>280HP</v>
      </c>
      <c r="I479" s="1076" t="str">
        <f>IFERROR(__xludf.DUMMYFUNCTION("""COMPUTED_VALUE"""),"MEC2812SCGP029295")</f>
        <v>MEC2812SCGP029295</v>
      </c>
      <c r="J479" s="1076"/>
      <c r="K479" s="1076">
        <f>IFERROR(__xludf.DUMMYFUNCTION("""COMPUTED_VALUE"""),0.49)</f>
        <v>0.49</v>
      </c>
      <c r="L479" s="1076" t="str">
        <f>IFERROR(__xludf.DUMMYFUNCTION("""COMPUTED_VALUE"""),"KLH")</f>
        <v>KLH</v>
      </c>
    </row>
    <row r="480" customHeight="1" spans="1:12">
      <c r="A480" s="1089" t="str">
        <f>IFERROR(__xludf.DUMMYFUNCTION("""COMPUTED_VALUE"""),"TND-COT-004")</f>
        <v>TND-COT-004</v>
      </c>
      <c r="B480" s="1075" t="str">
        <f>IFERROR(__xludf.DUMMYFUNCTION("""COMPUTED_VALUE"""),"Xe container FUSO FZ49")</f>
        <v>Xe container FUSO FZ49</v>
      </c>
      <c r="C480" s="1076" t="str">
        <f>IFERROR(__xludf.DUMMYFUNCTION("""COMPUTED_VALUE"""),"Phòng GNVC")</f>
        <v>Phòng GNVC</v>
      </c>
      <c r="D480" s="1076" t="str">
        <f>IFERROR(__xludf.DUMMYFUNCTION("""COMPUTED_VALUE"""),"FUSO")</f>
        <v>FUSO</v>
      </c>
      <c r="E480" s="1076"/>
      <c r="F480" s="1076"/>
      <c r="G480" s="1076" t="str">
        <f>IFERROR(__xludf.DUMMYFUNCTION("""COMPUTED_VALUE"""),"FZ49")</f>
        <v>FZ49</v>
      </c>
      <c r="H480" s="1076" t="str">
        <f>IFERROR(__xludf.DUMMYFUNCTION("""COMPUTED_VALUE"""),"280HP")</f>
        <v>280HP</v>
      </c>
      <c r="I480" s="1076" t="str">
        <f>IFERROR(__xludf.DUMMYFUNCTION("""COMPUTED_VALUE"""),"MEC2812SCGP028625")</f>
        <v>MEC2812SCGP028625</v>
      </c>
      <c r="J480" s="1076"/>
      <c r="K480" s="1076">
        <f>IFERROR(__xludf.DUMMYFUNCTION("""COMPUTED_VALUE"""),0.49)</f>
        <v>0.49</v>
      </c>
      <c r="L480" s="1076" t="str">
        <f>IFERROR(__xludf.DUMMYFUNCTION("""COMPUTED_VALUE"""),"KLH")</f>
        <v>KLH</v>
      </c>
    </row>
    <row r="481" customHeight="1" spans="1:12">
      <c r="A481" s="1089" t="str">
        <f>IFERROR(__xludf.DUMMYFUNCTION("""COMPUTED_VALUE"""),"TND-COT-005")</f>
        <v>TND-COT-005</v>
      </c>
      <c r="B481" s="1075" t="str">
        <f>IFERROR(__xludf.DUMMYFUNCTION("""COMPUTED_VALUE"""),"Xe container FUSO FZ49")</f>
        <v>Xe container FUSO FZ49</v>
      </c>
      <c r="C481" s="1076" t="str">
        <f>IFERROR(__xludf.DUMMYFUNCTION("""COMPUTED_VALUE"""),"Phòng GNVC")</f>
        <v>Phòng GNVC</v>
      </c>
      <c r="D481" s="1076" t="str">
        <f>IFERROR(__xludf.DUMMYFUNCTION("""COMPUTED_VALUE"""),"FUSO")</f>
        <v>FUSO</v>
      </c>
      <c r="E481" s="1076"/>
      <c r="F481" s="1076"/>
      <c r="G481" s="1076" t="str">
        <f>IFERROR(__xludf.DUMMYFUNCTION("""COMPUTED_VALUE"""),"FZ49")</f>
        <v>FZ49</v>
      </c>
      <c r="H481" s="1076" t="str">
        <f>IFERROR(__xludf.DUMMYFUNCTION("""COMPUTED_VALUE"""),"280HP")</f>
        <v>280HP</v>
      </c>
      <c r="I481" s="1076" t="str">
        <f>IFERROR(__xludf.DUMMYFUNCTION("""COMPUTED_VALUE"""),"MEC2812SCGP028373")</f>
        <v>MEC2812SCGP028373</v>
      </c>
      <c r="J481" s="1076"/>
      <c r="K481" s="1076">
        <f>IFERROR(__xludf.DUMMYFUNCTION("""COMPUTED_VALUE"""),0.49)</f>
        <v>0.49</v>
      </c>
      <c r="L481" s="1076" t="str">
        <f>IFERROR(__xludf.DUMMYFUNCTION("""COMPUTED_VALUE"""),"KLH")</f>
        <v>KLH</v>
      </c>
    </row>
    <row r="482" customHeight="1" spans="1:12">
      <c r="A482" s="1089" t="str">
        <f>IFERROR(__xludf.DUMMYFUNCTION("""COMPUTED_VALUE"""),"TND-COT-007")</f>
        <v>TND-COT-007</v>
      </c>
      <c r="B482" s="1075" t="str">
        <f>IFERROR(__xludf.DUMMYFUNCTION("""COMPUTED_VALUE"""),"Xe container FUSO FZ49")</f>
        <v>Xe container FUSO FZ49</v>
      </c>
      <c r="C482" s="1076" t="str">
        <f>IFERROR(__xludf.DUMMYFUNCTION("""COMPUTED_VALUE"""),"Phòng GNVC")</f>
        <v>Phòng GNVC</v>
      </c>
      <c r="D482" s="1076" t="str">
        <f>IFERROR(__xludf.DUMMYFUNCTION("""COMPUTED_VALUE"""),"FUSO")</f>
        <v>FUSO</v>
      </c>
      <c r="E482" s="1076"/>
      <c r="F482" s="1076"/>
      <c r="G482" s="1076" t="str">
        <f>IFERROR(__xludf.DUMMYFUNCTION("""COMPUTED_VALUE"""),"FZ49")</f>
        <v>FZ49</v>
      </c>
      <c r="H482" s="1076" t="str">
        <f>IFERROR(__xludf.DUMMYFUNCTION("""COMPUTED_VALUE"""),"280HP")</f>
        <v>280HP</v>
      </c>
      <c r="I482" s="1076" t="str">
        <f>IFERROR(__xludf.DUMMYFUNCTION("""COMPUTED_VALUE"""),"MEC2812SCGP028586")</f>
        <v>MEC2812SCGP028586</v>
      </c>
      <c r="J482" s="1076" t="str">
        <f>IFERROR(__xludf.DUMMYFUNCTION("""COMPUTED_VALUE"""),"Thay cho TND-COT-006")</f>
        <v>Thay cho TND-COT-006</v>
      </c>
      <c r="K482" s="1076">
        <f>IFERROR(__xludf.DUMMYFUNCTION("""COMPUTED_VALUE"""),0.49)</f>
        <v>0.49</v>
      </c>
      <c r="L482" s="1076" t="str">
        <f>IFERROR(__xludf.DUMMYFUNCTION("""COMPUTED_VALUE"""),"KLH")</f>
        <v>KLH</v>
      </c>
    </row>
    <row r="483" customHeight="1" spans="1:12">
      <c r="A483" s="1089" t="str">
        <f>IFERROR(__xludf.DUMMYFUNCTION("""COMPUTED_VALUE"""),"TBT-XTB-001")</f>
        <v>TBT-XTB-001</v>
      </c>
      <c r="B483" s="1075" t="str">
        <f>IFERROR(__xludf.DUMMYFUNCTION("""COMPUTED_VALUE"""),"Xe tải bồn HYUNDAI HD 270")</f>
        <v>Xe tải bồn HYUNDAI HD 270</v>
      </c>
      <c r="C483" s="1076" t="str">
        <f>IFERROR(__xludf.DUMMYFUNCTION("""COMPUTED_VALUE"""),"Trạm trộn bê tông")</f>
        <v>Trạm trộn bê tông</v>
      </c>
      <c r="D483" s="1076" t="str">
        <f>IFERROR(__xludf.DUMMYFUNCTION("""COMPUTED_VALUE"""),"HYUNDAI")</f>
        <v>HYUNDAI</v>
      </c>
      <c r="E483" s="1076" t="str">
        <f>IFERROR(__xludf.DUMMYFUNCTION("""COMPUTED_VALUE"""),"HÀN QUỐC")</f>
        <v>HÀN QUỐC</v>
      </c>
      <c r="F483" s="1076">
        <f>IFERROR(__xludf.DUMMYFUNCTION("""COMPUTED_VALUE"""),2017)</f>
        <v>2017</v>
      </c>
      <c r="G483" s="1076" t="str">
        <f>IFERROR(__xludf.DUMMYFUNCTION("""COMPUTED_VALUE"""),"HD270")</f>
        <v>HD270</v>
      </c>
      <c r="H483" s="1076" t="str">
        <f>IFERROR(__xludf.DUMMYFUNCTION("""COMPUTED_VALUE"""),"280HP")</f>
        <v>280HP</v>
      </c>
      <c r="I483" s="1076" t="str">
        <f>IFERROR(__xludf.DUMMYFUNCTION("""COMPUTED_VALUE"""),"KMCDH18SPHC094971")</f>
        <v>KMCDH18SPHC094971</v>
      </c>
      <c r="J483" s="1076" t="str">
        <f>IFERROR(__xludf.DUMMYFUNCTION("""COMPUTED_VALUE"""),"D6CAGJ310250")</f>
        <v>D6CAGJ310250</v>
      </c>
      <c r="K483" s="1076">
        <f>IFERROR(__xludf.DUMMYFUNCTION("""COMPUTED_VALUE"""),0.7)</f>
        <v>0.7</v>
      </c>
      <c r="L483" s="1076" t="str">
        <f>IFERROR(__xludf.DUMMYFUNCTION("""COMPUTED_VALUE"""),"KLH")</f>
        <v>KLH</v>
      </c>
    </row>
    <row r="484" customHeight="1" spans="1:12">
      <c r="A484" s="1089" t="str">
        <f>IFERROR(__xludf.DUMMYFUNCTION("""COMPUTED_VALUE"""),"TBT-XTB-002")</f>
        <v>TBT-XTB-002</v>
      </c>
      <c r="B484" s="1075" t="str">
        <f>IFERROR(__xludf.DUMMYFUNCTION("""COMPUTED_VALUE"""),"Xe tải bồn HYUNDAI HD 270")</f>
        <v>Xe tải bồn HYUNDAI HD 270</v>
      </c>
      <c r="C484" s="1076" t="str">
        <f>IFERROR(__xludf.DUMMYFUNCTION("""COMPUTED_VALUE"""),"Trạm trộn bê tông")</f>
        <v>Trạm trộn bê tông</v>
      </c>
      <c r="D484" s="1076" t="str">
        <f>IFERROR(__xludf.DUMMYFUNCTION("""COMPUTED_VALUE"""),"HYUNDAI")</f>
        <v>HYUNDAI</v>
      </c>
      <c r="E484" s="1076" t="str">
        <f>IFERROR(__xludf.DUMMYFUNCTION("""COMPUTED_VALUE"""),"HÀN QUỐC")</f>
        <v>HÀN QUỐC</v>
      </c>
      <c r="F484" s="1076">
        <f>IFERROR(__xludf.DUMMYFUNCTION("""COMPUTED_VALUE"""),2017)</f>
        <v>2017</v>
      </c>
      <c r="G484" s="1076" t="str">
        <f>IFERROR(__xludf.DUMMYFUNCTION("""COMPUTED_VALUE"""),"HD270")</f>
        <v>HD270</v>
      </c>
      <c r="H484" s="1076" t="str">
        <f>IFERROR(__xludf.DUMMYFUNCTION("""COMPUTED_VALUE"""),"280HP")</f>
        <v>280HP</v>
      </c>
      <c r="I484" s="1076" t="str">
        <f>IFERROR(__xludf.DUMMYFUNCTION("""COMPUTED_VALUE"""),"KMCDH15SPHC094979")</f>
        <v>KMCDH15SPHC094979</v>
      </c>
      <c r="J484" s="1076" t="str">
        <f>IFERROR(__xludf.DUMMYFUNCTION("""COMPUTED_VALUE"""),"D6CAGJ309410")</f>
        <v>D6CAGJ309410</v>
      </c>
      <c r="K484" s="1076">
        <f>IFERROR(__xludf.DUMMYFUNCTION("""COMPUTED_VALUE"""),0.7)</f>
        <v>0.7</v>
      </c>
      <c r="L484" s="1076" t="str">
        <f>IFERROR(__xludf.DUMMYFUNCTION("""COMPUTED_VALUE"""),"KLH")</f>
        <v>KLH</v>
      </c>
    </row>
    <row r="485" customHeight="1" spans="1:12">
      <c r="A485" s="1089" t="str">
        <f>IFERROR(__xludf.DUMMYFUNCTION("""COMPUTED_VALUE"""),"TBT-XTB-003")</f>
        <v>TBT-XTB-003</v>
      </c>
      <c r="B485" s="1075" t="str">
        <f>IFERROR(__xludf.DUMMYFUNCTION("""COMPUTED_VALUE"""),"Xe tải bồn HYUNDAI HD 270")</f>
        <v>Xe tải bồn HYUNDAI HD 270</v>
      </c>
      <c r="C485" s="1076" t="str">
        <f>IFERROR(__xludf.DUMMYFUNCTION("""COMPUTED_VALUE"""),"Trạm trộn bê tông")</f>
        <v>Trạm trộn bê tông</v>
      </c>
      <c r="D485" s="1076" t="str">
        <f>IFERROR(__xludf.DUMMYFUNCTION("""COMPUTED_VALUE"""),"HYUNDAI")</f>
        <v>HYUNDAI</v>
      </c>
      <c r="E485" s="1076" t="str">
        <f>IFERROR(__xludf.DUMMYFUNCTION("""COMPUTED_VALUE"""),"HÀN QUỐC")</f>
        <v>HÀN QUỐC</v>
      </c>
      <c r="F485" s="1076">
        <f>IFERROR(__xludf.DUMMYFUNCTION("""COMPUTED_VALUE"""),2017)</f>
        <v>2017</v>
      </c>
      <c r="G485" s="1076" t="str">
        <f>IFERROR(__xludf.DUMMYFUNCTION("""COMPUTED_VALUE"""),"HD270")</f>
        <v>HD270</v>
      </c>
      <c r="H485" s="1076" t="str">
        <f>IFERROR(__xludf.DUMMYFUNCTION("""COMPUTED_VALUE"""),"280HP")</f>
        <v>280HP</v>
      </c>
      <c r="I485" s="1076" t="str">
        <f>IFERROR(__xludf.DUMMYFUNCTION("""COMPUTED_VALUE"""),"KMCDH18SPHC094980")</f>
        <v>KMCDH18SPHC094980</v>
      </c>
      <c r="J485" s="1076" t="str">
        <f>IFERROR(__xludf.DUMMYFUNCTION("""COMPUTED_VALUE"""),"D6CAGJ309414")</f>
        <v>D6CAGJ309414</v>
      </c>
      <c r="K485" s="1076">
        <f>IFERROR(__xludf.DUMMYFUNCTION("""COMPUTED_VALUE"""),0.7)</f>
        <v>0.7</v>
      </c>
      <c r="L485" s="1076" t="str">
        <f>IFERROR(__xludf.DUMMYFUNCTION("""COMPUTED_VALUE"""),"KLH")</f>
        <v>KLH</v>
      </c>
    </row>
    <row r="486" customHeight="1" spans="1:12">
      <c r="A486" s="1089" t="str">
        <f>IFERROR(__xludf.DUMMYFUNCTION("""COMPUTED_VALUE"""),"TBT-XTB-004")</f>
        <v>TBT-XTB-004</v>
      </c>
      <c r="B486" s="1075" t="str">
        <f>IFERROR(__xludf.DUMMYFUNCTION("""COMPUTED_VALUE"""),"Xe tải bồn FORTON")</f>
        <v>Xe tải bồn FORTON</v>
      </c>
      <c r="C486" s="1076" t="str">
        <f>IFERROR(__xludf.DUMMYFUNCTION("""COMPUTED_VALUE"""),"Trạm trộn bê tông")</f>
        <v>Trạm trộn bê tông</v>
      </c>
      <c r="D486" s="1076" t="str">
        <f>IFERROR(__xludf.DUMMYFUNCTION("""COMPUTED_VALUE"""),"FORTON")</f>
        <v>FORTON</v>
      </c>
      <c r="E486" s="1076" t="str">
        <f>IFERROR(__xludf.DUMMYFUNCTION("""COMPUTED_VALUE"""),"TRUNG QUỐC")</f>
        <v>TRUNG QUỐC</v>
      </c>
      <c r="F486" s="1076">
        <f>IFERROR(__xludf.DUMMYFUNCTION("""COMPUTED_VALUE"""),2018)</f>
        <v>2018</v>
      </c>
      <c r="G486" s="1076" t="str">
        <f>IFERROR(__xludf.DUMMYFUNCTION("""COMPUTED_VALUE"""),"BJ5253GJB-AB")</f>
        <v>BJ5253GJB-AB</v>
      </c>
      <c r="H486" s="1076" t="str">
        <f>IFERROR(__xludf.DUMMYFUNCTION("""COMPUTED_VALUE"""),"335HP")</f>
        <v>335HP</v>
      </c>
      <c r="I486" s="1076" t="str">
        <f>IFERROR(__xludf.DUMMYFUNCTION("""COMPUTED_VALUE"""),"LRDV6PEC7JH613967")</f>
        <v>LRDV6PEC7JH613967</v>
      </c>
      <c r="J486" s="1076" t="str">
        <f>IFERROR(__xludf.DUMMYFUNCTION("""COMPUTED_VALUE"""),"ISGe534076226632")</f>
        <v>ISGe534076226632</v>
      </c>
      <c r="K486" s="1076">
        <f>IFERROR(__xludf.DUMMYFUNCTION("""COMPUTED_VALUE"""),0.7)</f>
        <v>0.7</v>
      </c>
      <c r="L486" s="1076" t="str">
        <f>IFERROR(__xludf.DUMMYFUNCTION("""COMPUTED_VALUE"""),"KLH")</f>
        <v>KLH</v>
      </c>
    </row>
    <row r="487" customHeight="1" spans="1:12">
      <c r="A487" s="1089" t="str">
        <f>IFERROR(__xludf.DUMMYFUNCTION("""COMPUTED_VALUE"""),"TBT-XTB-005")</f>
        <v>TBT-XTB-005</v>
      </c>
      <c r="B487" s="1075" t="str">
        <f>IFERROR(__xludf.DUMMYFUNCTION("""COMPUTED_VALUE"""),"Xe tải bồn CNHTC Sinotruk")</f>
        <v>Xe tải bồn CNHTC Sinotruk</v>
      </c>
      <c r="C487" s="1076" t="str">
        <f>IFERROR(__xludf.DUMMYFUNCTION("""COMPUTED_VALUE"""),"Trạm trộn bê tông")</f>
        <v>Trạm trộn bê tông</v>
      </c>
      <c r="D487" s="1076" t="str">
        <f>IFERROR(__xludf.DUMMYFUNCTION("""COMPUTED_VALUE"""),"CNHTC Sinotruk")</f>
        <v>CNHTC Sinotruk</v>
      </c>
      <c r="E487" s="1076" t="str">
        <f>IFERROR(__xludf.DUMMYFUNCTION("""COMPUTED_VALUE"""),"TRUNG QUỐC")</f>
        <v>TRUNG QUỐC</v>
      </c>
      <c r="F487" s="1076">
        <f>IFERROR(__xludf.DUMMYFUNCTION("""COMPUTED_VALUE"""),2023)</f>
        <v>2023</v>
      </c>
      <c r="G487" s="1076" t="str">
        <f>IFERROR(__xludf.DUMMYFUNCTION("""COMPUTED_VALUE"""),"ZZ5257GJBN3847E1")</f>
        <v>ZZ5257GJBN3847E1</v>
      </c>
      <c r="H487" s="1076" t="str">
        <f>IFERROR(__xludf.DUMMYFUNCTION("""COMPUTED_VALUE"""),"338.5HP")</f>
        <v>338.5HP</v>
      </c>
      <c r="I487" s="1076" t="str">
        <f>IFERROR(__xludf.DUMMYFUNCTION("""COMPUTED_VALUE"""),"LZZ1BLND6PA126475")</f>
        <v>LZZ1BLND6PA126475</v>
      </c>
      <c r="J487" s="1076" t="str">
        <f>IFERROR(__xludf.DUMMYFUNCTION("""COMPUTED_VALUE"""),"D103450230507007387")</f>
        <v>D103450230507007387</v>
      </c>
      <c r="K487" s="1076">
        <f>IFERROR(__xludf.DUMMYFUNCTION("""COMPUTED_VALUE"""),0.7)</f>
        <v>0.7</v>
      </c>
      <c r="L487" s="1076" t="str">
        <f>IFERROR(__xludf.DUMMYFUNCTION("""COMPUTED_VALUE"""),"KLH")</f>
        <v>KLH</v>
      </c>
    </row>
    <row r="488" customHeight="1" spans="1:12">
      <c r="A488" s="1089" t="str">
        <f>IFERROR(__xludf.DUMMYFUNCTION("""COMPUTED_VALUE"""),"TBT-XTB-006")</f>
        <v>TBT-XTB-006</v>
      </c>
      <c r="B488" s="1075" t="str">
        <f>IFERROR(__xludf.DUMMYFUNCTION("""COMPUTED_VALUE"""),"Xe tải bồn CNHTC Sinotruk")</f>
        <v>Xe tải bồn CNHTC Sinotruk</v>
      </c>
      <c r="C488" s="1076" t="str">
        <f>IFERROR(__xludf.DUMMYFUNCTION("""COMPUTED_VALUE"""),"Trạm trộn bê tông")</f>
        <v>Trạm trộn bê tông</v>
      </c>
      <c r="D488" s="1076" t="str">
        <f>IFERROR(__xludf.DUMMYFUNCTION("""COMPUTED_VALUE"""),"CNHTC Sinotruk")</f>
        <v>CNHTC Sinotruk</v>
      </c>
      <c r="E488" s="1076" t="str">
        <f>IFERROR(__xludf.DUMMYFUNCTION("""COMPUTED_VALUE"""),"TRUNG QUỐC")</f>
        <v>TRUNG QUỐC</v>
      </c>
      <c r="F488" s="1076">
        <f>IFERROR(__xludf.DUMMYFUNCTION("""COMPUTED_VALUE"""),2023)</f>
        <v>2023</v>
      </c>
      <c r="G488" s="1076" t="str">
        <f>IFERROR(__xludf.DUMMYFUNCTION("""COMPUTED_VALUE"""),"ZZ5257GJBN3847E1")</f>
        <v>ZZ5257GJBN3847E1</v>
      </c>
      <c r="H488" s="1076" t="str">
        <f>IFERROR(__xludf.DUMMYFUNCTION("""COMPUTED_VALUE"""),"338.5HP")</f>
        <v>338.5HP</v>
      </c>
      <c r="I488" s="1076" t="str">
        <f>IFERROR(__xludf.DUMMYFUNCTION("""COMPUTED_VALUE"""),"LZZ1BLND8PA126476")</f>
        <v>LZZ1BLND8PA126476</v>
      </c>
      <c r="J488" s="1076" t="str">
        <f>IFERROR(__xludf.DUMMYFUNCTION("""COMPUTED_VALUE"""),"D103450230507007397")</f>
        <v>D103450230507007397</v>
      </c>
      <c r="K488" s="1076">
        <f>IFERROR(__xludf.DUMMYFUNCTION("""COMPUTED_VALUE"""),0.7)</f>
        <v>0.7</v>
      </c>
      <c r="L488" s="1076" t="str">
        <f>IFERROR(__xludf.DUMMYFUNCTION("""COMPUTED_VALUE"""),"KLH")</f>
        <v>KLH</v>
      </c>
    </row>
    <row r="489" customHeight="1" spans="1:12">
      <c r="A489" s="1089" t="str">
        <f>IFERROR(__xludf.DUMMYFUNCTION("""COMPUTED_VALUE"""),"TBT-XTB-007")</f>
        <v>TBT-XTB-007</v>
      </c>
      <c r="B489" s="1075" t="str">
        <f>IFERROR(__xludf.DUMMYFUNCTION("""COMPUTED_VALUE"""),"Xe tải bồn CNHTC Sinotruk")</f>
        <v>Xe tải bồn CNHTC Sinotruk</v>
      </c>
      <c r="C489" s="1076" t="str">
        <f>IFERROR(__xludf.DUMMYFUNCTION("""COMPUTED_VALUE"""),"Trạm trộn bê tông")</f>
        <v>Trạm trộn bê tông</v>
      </c>
      <c r="D489" s="1076" t="str">
        <f>IFERROR(__xludf.DUMMYFUNCTION("""COMPUTED_VALUE"""),"CNHTC Sinotruk")</f>
        <v>CNHTC Sinotruk</v>
      </c>
      <c r="E489" s="1076" t="str">
        <f>IFERROR(__xludf.DUMMYFUNCTION("""COMPUTED_VALUE"""),"TRUNG QUỐC")</f>
        <v>TRUNG QUỐC</v>
      </c>
      <c r="F489" s="1076">
        <f>IFERROR(__xludf.DUMMYFUNCTION("""COMPUTED_VALUE"""),2023)</f>
        <v>2023</v>
      </c>
      <c r="G489" s="1076" t="str">
        <f>IFERROR(__xludf.DUMMYFUNCTION("""COMPUTED_VALUE"""),"ZZ5257GJBN3847E1")</f>
        <v>ZZ5257GJBN3847E1</v>
      </c>
      <c r="H489" s="1076" t="str">
        <f>IFERROR(__xludf.DUMMYFUNCTION("""COMPUTED_VALUE"""),"338.5HP")</f>
        <v>338.5HP</v>
      </c>
      <c r="I489" s="1076" t="str">
        <f>IFERROR(__xludf.DUMMYFUNCTION("""COMPUTED_VALUE"""),"LZZ1BLNDXPA126477")</f>
        <v>LZZ1BLNDXPA126477</v>
      </c>
      <c r="J489" s="1076" t="str">
        <f>IFERROR(__xludf.DUMMYFUNCTION("""COMPUTED_VALUE"""),"D103450230507007367")</f>
        <v>D103450230507007367</v>
      </c>
      <c r="K489" s="1076">
        <f>IFERROR(__xludf.DUMMYFUNCTION("""COMPUTED_VALUE"""),0.7)</f>
        <v>0.7</v>
      </c>
      <c r="L489" s="1076" t="str">
        <f>IFERROR(__xludf.DUMMYFUNCTION("""COMPUTED_VALUE"""),"KLH")</f>
        <v>KLH</v>
      </c>
    </row>
    <row r="490" customHeight="1" spans="1:12">
      <c r="A490" s="1089" t="str">
        <f>IFERROR(__xludf.DUMMYFUNCTION("""COMPUTED_VALUE"""),"TBT-XTB-008")</f>
        <v>TBT-XTB-008</v>
      </c>
      <c r="B490" s="1075" t="str">
        <f>IFERROR(__xludf.DUMMYFUNCTION("""COMPUTED_VALUE"""),"Xe tải bồn CNHTC Sinotruk")</f>
        <v>Xe tải bồn CNHTC Sinotruk</v>
      </c>
      <c r="C490" s="1076" t="str">
        <f>IFERROR(__xludf.DUMMYFUNCTION("""COMPUTED_VALUE"""),"Trạm trộn bê tông")</f>
        <v>Trạm trộn bê tông</v>
      </c>
      <c r="D490" s="1076" t="str">
        <f>IFERROR(__xludf.DUMMYFUNCTION("""COMPUTED_VALUE"""),"CNHTC Sinotruk")</f>
        <v>CNHTC Sinotruk</v>
      </c>
      <c r="E490" s="1076" t="str">
        <f>IFERROR(__xludf.DUMMYFUNCTION("""COMPUTED_VALUE"""),"TRUNG QUỐC")</f>
        <v>TRUNG QUỐC</v>
      </c>
      <c r="F490" s="1076">
        <f>IFERROR(__xludf.DUMMYFUNCTION("""COMPUTED_VALUE"""),2023)</f>
        <v>2023</v>
      </c>
      <c r="G490" s="1076" t="str">
        <f>IFERROR(__xludf.DUMMYFUNCTION("""COMPUTED_VALUE"""),"ZZ5257GJBN3847E1")</f>
        <v>ZZ5257GJBN3847E1</v>
      </c>
      <c r="H490" s="1076" t="str">
        <f>IFERROR(__xludf.DUMMYFUNCTION("""COMPUTED_VALUE"""),"338.5HP")</f>
        <v>338.5HP</v>
      </c>
      <c r="I490" s="1076" t="str">
        <f>IFERROR(__xludf.DUMMYFUNCTION("""COMPUTED_VALUE"""),"LZZ1BLND1PA126478")</f>
        <v>LZZ1BLND1PA126478</v>
      </c>
      <c r="J490" s="1076" t="str">
        <f>IFERROR(__xludf.DUMMYFUNCTION("""COMPUTED_VALUE"""),"D103450230507007327")</f>
        <v>D103450230507007327</v>
      </c>
      <c r="K490" s="1076">
        <f>IFERROR(__xludf.DUMMYFUNCTION("""COMPUTED_VALUE"""),0.7)</f>
        <v>0.7</v>
      </c>
      <c r="L490" s="1076" t="str">
        <f>IFERROR(__xludf.DUMMYFUNCTION("""COMPUTED_VALUE"""),"KLH")</f>
        <v>KLH</v>
      </c>
    </row>
    <row r="491" customHeight="1" spans="1:12">
      <c r="A491" s="1089" t="str">
        <f>IFERROR(__xludf.DUMMYFUNCTION("""COMPUTED_VALUE"""),"TBT-XTB-009")</f>
        <v>TBT-XTB-009</v>
      </c>
      <c r="B491" s="1075" t="str">
        <f>IFERROR(__xludf.DUMMYFUNCTION("""COMPUTED_VALUE"""),"Xe tải bồn CNHTC Sinotruk")</f>
        <v>Xe tải bồn CNHTC Sinotruk</v>
      </c>
      <c r="C491" s="1076" t="str">
        <f>IFERROR(__xludf.DUMMYFUNCTION("""COMPUTED_VALUE"""),"Trạm trộn bê tông")</f>
        <v>Trạm trộn bê tông</v>
      </c>
      <c r="D491" s="1076" t="str">
        <f>IFERROR(__xludf.DUMMYFUNCTION("""COMPUTED_VALUE"""),"CNHTC Sinotruk")</f>
        <v>CNHTC Sinotruk</v>
      </c>
      <c r="E491" s="1076" t="str">
        <f>IFERROR(__xludf.DUMMYFUNCTION("""COMPUTED_VALUE"""),"TRUNG QUỐC")</f>
        <v>TRUNG QUỐC</v>
      </c>
      <c r="F491" s="1076">
        <f>IFERROR(__xludf.DUMMYFUNCTION("""COMPUTED_VALUE"""),2023)</f>
        <v>2023</v>
      </c>
      <c r="G491" s="1076" t="str">
        <f>IFERROR(__xludf.DUMMYFUNCTION("""COMPUTED_VALUE"""),"ZZ5257GJBN3847E1")</f>
        <v>ZZ5257GJBN3847E1</v>
      </c>
      <c r="H491" s="1076" t="str">
        <f>IFERROR(__xludf.DUMMYFUNCTION("""COMPUTED_VALUE"""),"338.5HP")</f>
        <v>338.5HP</v>
      </c>
      <c r="I491" s="1076" t="str">
        <f>IFERROR(__xludf.DUMMYFUNCTION("""COMPUTED_VALUE"""),"LZZ1BLND3PA126479")</f>
        <v>LZZ1BLND3PA126479</v>
      </c>
      <c r="J491" s="1076" t="str">
        <f>IFERROR(__xludf.DUMMYFUNCTION("""COMPUTED_VALUE"""),"D103450230507007377")</f>
        <v>D103450230507007377</v>
      </c>
      <c r="K491" s="1076">
        <f>IFERROR(__xludf.DUMMYFUNCTION("""COMPUTED_VALUE"""),0.7)</f>
        <v>0.7</v>
      </c>
      <c r="L491" s="1076" t="str">
        <f>IFERROR(__xludf.DUMMYFUNCTION("""COMPUTED_VALUE"""),"KLH")</f>
        <v>KLH</v>
      </c>
    </row>
    <row r="492" customHeight="1" spans="1:12">
      <c r="A492" s="1089" t="str">
        <f>IFERROR(__xludf.DUMMYFUNCTION("""COMPUTED_VALUE"""),"TBT-XTB-010")</f>
        <v>TBT-XTB-010</v>
      </c>
      <c r="B492" s="1075" t="str">
        <f>IFERROR(__xludf.DUMMYFUNCTION("""COMPUTED_VALUE"""),"Xe tải bồn CNHTC Sinotruk")</f>
        <v>Xe tải bồn CNHTC Sinotruk</v>
      </c>
      <c r="C492" s="1076" t="str">
        <f>IFERROR(__xludf.DUMMYFUNCTION("""COMPUTED_VALUE"""),"Trạm trộn bê tông")</f>
        <v>Trạm trộn bê tông</v>
      </c>
      <c r="D492" s="1076" t="str">
        <f>IFERROR(__xludf.DUMMYFUNCTION("""COMPUTED_VALUE"""),"CNHTC Sinotruk")</f>
        <v>CNHTC Sinotruk</v>
      </c>
      <c r="E492" s="1076" t="str">
        <f>IFERROR(__xludf.DUMMYFUNCTION("""COMPUTED_VALUE"""),"TRUNG QUỐC")</f>
        <v>TRUNG QUỐC</v>
      </c>
      <c r="F492" s="1076">
        <f>IFERROR(__xludf.DUMMYFUNCTION("""COMPUTED_VALUE"""),2023)</f>
        <v>2023</v>
      </c>
      <c r="G492" s="1076" t="str">
        <f>IFERROR(__xludf.DUMMYFUNCTION("""COMPUTED_VALUE"""),"ZZ5257GJBN3847E1")</f>
        <v>ZZ5257GJBN3847E1</v>
      </c>
      <c r="H492" s="1076" t="str">
        <f>IFERROR(__xludf.DUMMYFUNCTION("""COMPUTED_VALUE"""),"338.5HP")</f>
        <v>338.5HP</v>
      </c>
      <c r="I492" s="1076" t="str">
        <f>IFERROR(__xludf.DUMMYFUNCTION("""COMPUTED_VALUE"""),"LZZ1BLND3PA126482")</f>
        <v>LZZ1BLND3PA126482</v>
      </c>
      <c r="J492" s="1076" t="str">
        <f>IFERROR(__xludf.DUMMYFUNCTION("""COMPUTED_VALUE"""),"D103450230507007347")</f>
        <v>D103450230507007347</v>
      </c>
      <c r="K492" s="1076">
        <f>IFERROR(__xludf.DUMMYFUNCTION("""COMPUTED_VALUE"""),0.7)</f>
        <v>0.7</v>
      </c>
      <c r="L492" s="1076" t="str">
        <f>IFERROR(__xludf.DUMMYFUNCTION("""COMPUTED_VALUE"""),"KLH")</f>
        <v>KLH</v>
      </c>
    </row>
    <row r="493" customHeight="1" spans="1:12">
      <c r="A493" s="1089" t="str">
        <f>IFERROR(__xludf.DUMMYFUNCTION("""COMPUTED_VALUE"""),"TBT-XXL-001")</f>
        <v>TBT-XXL-001</v>
      </c>
      <c r="B493" s="1075" t="str">
        <f>IFERROR(__xludf.DUMMYFUNCTION("""COMPUTED_VALUE"""),"Xe xúc lật WA200-3")</f>
        <v>Xe xúc lật WA200-3</v>
      </c>
      <c r="C493" s="1076" t="str">
        <f>IFERROR(__xludf.DUMMYFUNCTION("""COMPUTED_VALUE"""),"Trạm trộn bê tông")</f>
        <v>Trạm trộn bê tông</v>
      </c>
      <c r="D493" s="1076" t="str">
        <f>IFERROR(__xludf.DUMMYFUNCTION("""COMPUTED_VALUE"""),"KOMATSU")</f>
        <v>KOMATSU</v>
      </c>
      <c r="E493" s="1076" t="str">
        <f>IFERROR(__xludf.DUMMYFUNCTION("""COMPUTED_VALUE"""),"NHẬT BẢN")</f>
        <v>NHẬT BẢN</v>
      </c>
      <c r="F493" s="1076">
        <f>IFERROR(__xludf.DUMMYFUNCTION("""COMPUTED_VALUE"""),1994)</f>
        <v>1994</v>
      </c>
      <c r="G493" s="1076" t="str">
        <f>IFERROR(__xludf.DUMMYFUNCTION("""COMPUTED_VALUE"""),"WA200-3")</f>
        <v>WA200-3</v>
      </c>
      <c r="H493" s="1076" t="str">
        <f>IFERROR(__xludf.DUMMYFUNCTION("""COMPUTED_VALUE"""),"123HP")</f>
        <v>123HP</v>
      </c>
      <c r="I493" s="1076" t="str">
        <f>IFERROR(__xludf.DUMMYFUNCTION("""COMPUTED_VALUE"""),"W038-60400")</f>
        <v>W038-60400</v>
      </c>
      <c r="J493" s="1076" t="str">
        <f>IFERROR(__xludf.DUMMYFUNCTION("""COMPUTED_VALUE"""),"6D95L-140544")</f>
        <v>6D95L-140544</v>
      </c>
      <c r="K493" s="1076">
        <f>IFERROR(__xludf.DUMMYFUNCTION("""COMPUTED_VALUE"""),8.31)</f>
        <v>8.31</v>
      </c>
      <c r="L493" s="1076" t="str">
        <f>IFERROR(__xludf.DUMMYFUNCTION("""COMPUTED_VALUE"""),"KLH")</f>
        <v>KLH</v>
      </c>
    </row>
    <row r="494" customHeight="1" spans="1:12">
      <c r="A494" s="1089" t="str">
        <f>IFERROR(__xludf.DUMMYFUNCTION("""COMPUTED_VALUE"""),"TBT-XXL-002")</f>
        <v>TBT-XXL-002</v>
      </c>
      <c r="B494" s="1075" t="str">
        <f>IFERROR(__xludf.DUMMYFUNCTION("""COMPUTED_VALUE"""),"Xe xúc lật WA200-3")</f>
        <v>Xe xúc lật WA200-3</v>
      </c>
      <c r="C494" s="1076" t="str">
        <f>IFERROR(__xludf.DUMMYFUNCTION("""COMPUTED_VALUE"""),"Trạm trộn bê tông")</f>
        <v>Trạm trộn bê tông</v>
      </c>
      <c r="D494" s="1076" t="str">
        <f>IFERROR(__xludf.DUMMYFUNCTION("""COMPUTED_VALUE"""),"KOMATSU")</f>
        <v>KOMATSU</v>
      </c>
      <c r="E494" s="1076" t="str">
        <f>IFERROR(__xludf.DUMMYFUNCTION("""COMPUTED_VALUE"""),"NHẬT BẢN")</f>
        <v>NHẬT BẢN</v>
      </c>
      <c r="F494" s="1076">
        <f>IFERROR(__xludf.DUMMYFUNCTION("""COMPUTED_VALUE"""),2021)</f>
        <v>2021</v>
      </c>
      <c r="G494" s="1076" t="str">
        <f>IFERROR(__xludf.DUMMYFUNCTION("""COMPUTED_VALUE"""),"WA200-3")</f>
        <v>WA200-3</v>
      </c>
      <c r="H494" s="1076" t="str">
        <f>IFERROR(__xludf.DUMMYFUNCTION("""COMPUTED_VALUE"""),"125HP")</f>
        <v>125HP</v>
      </c>
      <c r="I494" s="1076" t="str">
        <f>IFERROR(__xludf.DUMMYFUNCTION("""COMPUTED_VALUE"""),"W038-60624")</f>
        <v>W038-60624</v>
      </c>
      <c r="J494" s="1076" t="str">
        <f>IFERROR(__xludf.DUMMYFUNCTION("""COMPUTED_VALUE"""),"6D95L-153498")</f>
        <v>6D95L-153498</v>
      </c>
      <c r="K494" s="1076">
        <f>IFERROR(__xludf.DUMMYFUNCTION("""COMPUTED_VALUE"""),9)</f>
        <v>9</v>
      </c>
      <c r="L494" s="1076" t="str">
        <f>IFERROR(__xludf.DUMMYFUNCTION("""COMPUTED_VALUE"""),"KLH")</f>
        <v>KLH</v>
      </c>
    </row>
    <row r="495" customHeight="1" spans="1:12">
      <c r="A495" s="1089" t="str">
        <f>IFERROR(__xludf.DUMMYFUNCTION("""COMPUTED_VALUE"""),"ĐNA-MKE-001")</f>
        <v>ĐNA-MKE-001</v>
      </c>
      <c r="B495" s="1075" t="str">
        <f>IFERROR(__xludf.DUMMYFUNCTION("""COMPUTED_VALUE"""),"Máy cày KAM50")</f>
        <v>Máy cày KAM50</v>
      </c>
      <c r="C495" s="1076" t="str">
        <f>IFERROR(__xludf.DUMMYFUNCTION("""COMPUTED_VALUE"""),"Ban điện nước")</f>
        <v>Ban điện nước</v>
      </c>
      <c r="D495" s="1076" t="str">
        <f>IFERROR(__xludf.DUMMYFUNCTION("""COMPUTED_VALUE"""),"THACO ")</f>
        <v>THACO </v>
      </c>
      <c r="E495" s="1076" t="str">
        <f>IFERROR(__xludf.DUMMYFUNCTION("""COMPUTED_VALUE"""),"VIỆT NAM")</f>
        <v>VIỆT NAM</v>
      </c>
      <c r="F495" s="1076">
        <f>IFERROR(__xludf.DUMMYFUNCTION("""COMPUTED_VALUE"""),2018)</f>
        <v>2018</v>
      </c>
      <c r="G495" s="1076" t="str">
        <f>IFERROR(__xludf.DUMMYFUNCTION("""COMPUTED_VALUE"""),"KAM50")</f>
        <v>KAM50</v>
      </c>
      <c r="H495" s="1076" t="str">
        <f>IFERROR(__xludf.DUMMYFUNCTION("""COMPUTED_VALUE"""),"50HP")</f>
        <v>50HP</v>
      </c>
      <c r="I495" s="1076" t="str">
        <f>IFERROR(__xludf.DUMMYFUNCTION("""COMPUTED_VALUE"""),"180069")</f>
        <v>180069</v>
      </c>
      <c r="J495" s="1076" t="str">
        <f>IFERROR(__xludf.DUMMYFUNCTION("""COMPUTED_VALUE"""),"CCN")</f>
        <v>CCN</v>
      </c>
      <c r="K495" s="1076">
        <f>IFERROR(__xludf.DUMMYFUNCTION("""COMPUTED_VALUE"""),2.5)</f>
        <v>2.5</v>
      </c>
      <c r="L495" s="1076" t="str">
        <f>IFERROR(__xludf.DUMMYFUNCTION("""COMPUTED_VALUE"""),"KLH")</f>
        <v>KLH</v>
      </c>
    </row>
    <row r="496" customHeight="1" spans="1:12">
      <c r="A496" s="1089" t="str">
        <f>IFERROR(__xludf.DUMMYFUNCTION("""COMPUTED_VALUE"""),"ĐNA-MKE-002")</f>
        <v>ĐNA-MKE-002</v>
      </c>
      <c r="B496" s="1075" t="str">
        <f>IFERROR(__xludf.DUMMYFUNCTION("""COMPUTED_VALUE"""),"Máy cày L4508")</f>
        <v>Máy cày L4508</v>
      </c>
      <c r="C496" s="1076" t="str">
        <f>IFERROR(__xludf.DUMMYFUNCTION("""COMPUTED_VALUE"""),"Ban điện nước")</f>
        <v>Ban điện nước</v>
      </c>
      <c r="D496" s="1076" t="str">
        <f>IFERROR(__xludf.DUMMYFUNCTION("""COMPUTED_VALUE"""),"KUBOTA")</f>
        <v>KUBOTA</v>
      </c>
      <c r="E496" s="1076" t="str">
        <f>IFERROR(__xludf.DUMMYFUNCTION("""COMPUTED_VALUE"""),"NHẬT BẢN")</f>
        <v>NHẬT BẢN</v>
      </c>
      <c r="F496" s="1076">
        <f>IFERROR(__xludf.DUMMYFUNCTION("""COMPUTED_VALUE"""),2019)</f>
        <v>2019</v>
      </c>
      <c r="G496" s="1076" t="str">
        <f>IFERROR(__xludf.DUMMYFUNCTION("""COMPUTED_VALUE"""),"L4508")</f>
        <v>L4508</v>
      </c>
      <c r="H496" s="1076" t="str">
        <f>IFERROR(__xludf.DUMMYFUNCTION("""COMPUTED_VALUE"""),"45HP")</f>
        <v>45HP</v>
      </c>
      <c r="I496" s="1076" t="str">
        <f>IFERROR(__xludf.DUMMYFUNCTION("""COMPUTED_VALUE"""),"0950")</f>
        <v>0950</v>
      </c>
      <c r="J496" s="1076" t="str">
        <f>IFERROR(__xludf.DUMMYFUNCTION("""COMPUTED_VALUE"""),"CCN")</f>
        <v>CCN</v>
      </c>
      <c r="K496" s="1076">
        <f>IFERROR(__xludf.DUMMYFUNCTION("""COMPUTED_VALUE"""),2.5)</f>
        <v>2.5</v>
      </c>
      <c r="L496" s="1076" t="str">
        <f>IFERROR(__xludf.DUMMYFUNCTION("""COMPUTED_VALUE"""),"KLH")</f>
        <v>KLH</v>
      </c>
    </row>
    <row r="497" customHeight="1" spans="1:12">
      <c r="A497" s="1089" t="str">
        <f>IFERROR(__xludf.DUMMYFUNCTION("""COMPUTED_VALUE"""),"ĐNA-XCA-001")</f>
        <v>ĐNA-XCA-001</v>
      </c>
      <c r="B497" s="1075" t="str">
        <f>IFERROR(__xludf.DUMMYFUNCTION("""COMPUTED_VALUE"""),"Xe cẩu 5 tấn")</f>
        <v>Xe cẩu 5 tấn</v>
      </c>
      <c r="C497" s="1076" t="str">
        <f>IFERROR(__xludf.DUMMYFUNCTION("""COMPUTED_VALUE"""),"Ban điện nước")</f>
        <v>Ban điện nước</v>
      </c>
      <c r="D497" s="1076" t="str">
        <f>IFERROR(__xludf.DUMMYFUNCTION("""COMPUTED_VALUE"""),"HYUNDAI")</f>
        <v>HYUNDAI</v>
      </c>
      <c r="E497" s="1076"/>
      <c r="F497" s="1076">
        <f>IFERROR(__xludf.DUMMYFUNCTION("""COMPUTED_VALUE"""),2000)</f>
        <v>2000</v>
      </c>
      <c r="G497" s="1076"/>
      <c r="H497" s="1076"/>
      <c r="I497" s="1076" t="str">
        <f>IFERROR(__xludf.DUMMYFUNCTION("""COMPUTED_VALUE"""),"19APC027557")</f>
        <v>19APC027557</v>
      </c>
      <c r="J497" s="1076" t="str">
        <f>IFERROR(__xludf.DUMMYFUNCTION("""COMPUTED_VALUE"""),"00227")</f>
        <v>00227</v>
      </c>
      <c r="K497" s="1076">
        <f>IFERROR(__xludf.DUMMYFUNCTION("""COMPUTED_VALUE"""),6.5)</f>
        <v>6.5</v>
      </c>
      <c r="L497" s="1076" t="str">
        <f>IFERROR(__xludf.DUMMYFUNCTION("""COMPUTED_VALUE"""),"KLH")</f>
        <v>KLH</v>
      </c>
    </row>
    <row r="498" customHeight="1" spans="1:12">
      <c r="A498" s="1089" t="str">
        <f>IFERROR(__xludf.DUMMYFUNCTION("""COMPUTED_VALUE"""),"ĐNA-XCA-002")</f>
        <v>ĐNA-XCA-002</v>
      </c>
      <c r="B498" s="1075" t="str">
        <f>IFERROR(__xludf.DUMMYFUNCTION("""COMPUTED_VALUE"""),"Xe cẩu 3.5 tấn")</f>
        <v>Xe cẩu 3.5 tấn</v>
      </c>
      <c r="C498" s="1076" t="str">
        <f>IFERROR(__xludf.DUMMYFUNCTION("""COMPUTED_VALUE"""),"Ban điện nước")</f>
        <v>Ban điện nước</v>
      </c>
      <c r="D498" s="1076" t="str">
        <f>IFERROR(__xludf.DUMMYFUNCTION("""COMPUTED_VALUE"""),"THACO")</f>
        <v>THACO</v>
      </c>
      <c r="E498" s="1076" t="str">
        <f>IFERROR(__xludf.DUMMYFUNCTION("""COMPUTED_VALUE"""),"VIỆT NAM")</f>
        <v>VIỆT NAM</v>
      </c>
      <c r="F498" s="1076">
        <f>IFERROR(__xludf.DUMMYFUNCTION("""COMPUTED_VALUE"""),2017)</f>
        <v>2017</v>
      </c>
      <c r="G498" s="1076" t="str">
        <f>IFERROR(__xludf.DUMMYFUNCTION("""COMPUTED_VALUE"""),"Ollin 900B")</f>
        <v>Ollin 900B</v>
      </c>
      <c r="H498" s="1076" t="str">
        <f>IFERROR(__xludf.DUMMYFUNCTION("""COMPUTED_VALUE"""),"160HP")</f>
        <v>160HP</v>
      </c>
      <c r="I498" s="1076" t="str">
        <f>IFERROR(__xludf.DUMMYFUNCTION("""COMPUTED_VALUE"""),"RNHA1550BHC072222")</f>
        <v>RNHA1550BHC072222</v>
      </c>
      <c r="J498" s="1076" t="str">
        <f>IFERROR(__xludf.DUMMYFUNCTION("""COMPUTED_VALUE"""),"CCN")</f>
        <v>CCN</v>
      </c>
      <c r="K498" s="1076">
        <f>IFERROR(__xludf.DUMMYFUNCTION("""COMPUTED_VALUE"""),5)</f>
        <v>5</v>
      </c>
      <c r="L498" s="1076" t="str">
        <f>IFERROR(__xludf.DUMMYFUNCTION("""COMPUTED_VALUE"""),"KLH")</f>
        <v>KLH</v>
      </c>
    </row>
    <row r="499" customHeight="1" spans="1:12">
      <c r="A499" s="1089" t="str">
        <f>IFERROR(__xludf.DUMMYFUNCTION("""COMPUTED_VALUE"""),"ĐNA-XLO-001")</f>
        <v>ĐNA-XLO-001</v>
      </c>
      <c r="B499" s="1075" t="str">
        <f>IFERROR(__xludf.DUMMYFUNCTION("""COMPUTED_VALUE"""),"Xe lôi")</f>
        <v>Xe lôi</v>
      </c>
      <c r="C499" s="1076" t="str">
        <f>IFERROR(__xludf.DUMMYFUNCTION("""COMPUTED_VALUE"""),"Ban điện nước")</f>
        <v>Ban điện nước</v>
      </c>
      <c r="D499" s="1076"/>
      <c r="E499" s="1076" t="str">
        <f>IFERROR(__xludf.DUMMYFUNCTION("""COMPUTED_VALUE"""),"TRUNG QUỐC")</f>
        <v>TRUNG QUỐC</v>
      </c>
      <c r="F499" s="1076"/>
      <c r="G499" s="1076" t="str">
        <f>IFERROR(__xludf.DUMMYFUNCTION("""COMPUTED_VALUE"""),"150ZH-2DR")</f>
        <v>150ZH-2DR</v>
      </c>
      <c r="H499" s="1076" t="str">
        <f>IFERROR(__xludf.DUMMYFUNCTION("""COMPUTED_VALUE"""),"11HP")</f>
        <v>11HP</v>
      </c>
      <c r="I499" s="1076" t="str">
        <f>IFERROR(__xludf.DUMMYFUNCTION("""COMPUTED_VALUE"""),"L6XHBN1B8R0000061")</f>
        <v>L6XHBN1B8R0000061</v>
      </c>
      <c r="J499" s="1076" t="str">
        <f>IFERROR(__xludf.DUMMYFUNCTION("""COMPUTED_VALUE"""),"170MM-B8R100075")</f>
        <v>170MM-B8R100075</v>
      </c>
      <c r="K499" s="1076">
        <f>IFERROR(__xludf.DUMMYFUNCTION("""COMPUTED_VALUE"""),2.5)</f>
        <v>2.5</v>
      </c>
      <c r="L499" s="1076" t="str">
        <f>IFERROR(__xludf.DUMMYFUNCTION("""COMPUTED_VALUE"""),"KLH")</f>
        <v>KLH</v>
      </c>
    </row>
    <row r="500" customHeight="1" spans="1:12">
      <c r="A500" s="1089" t="str">
        <f>IFERROR(__xludf.DUMMYFUNCTION("""COMPUTED_VALUE"""),"ĐNA-XLO-002")</f>
        <v>ĐNA-XLO-002</v>
      </c>
      <c r="B500" s="1075" t="str">
        <f>IFERROR(__xludf.DUMMYFUNCTION("""COMPUTED_VALUE"""),"Xe lôi")</f>
        <v>Xe lôi</v>
      </c>
      <c r="C500" s="1076" t="str">
        <f>IFERROR(__xludf.DUMMYFUNCTION("""COMPUTED_VALUE"""),"Ban điện nước")</f>
        <v>Ban điện nước</v>
      </c>
      <c r="D500" s="1076"/>
      <c r="E500" s="1076" t="str">
        <f>IFERROR(__xludf.DUMMYFUNCTION("""COMPUTED_VALUE"""),"TRUNG QUỐC")</f>
        <v>TRUNG QUỐC</v>
      </c>
      <c r="F500" s="1076"/>
      <c r="G500" s="1076" t="str">
        <f>IFERROR(__xludf.DUMMYFUNCTION("""COMPUTED_VALUE"""),"150ZH-2DR")</f>
        <v>150ZH-2DR</v>
      </c>
      <c r="H500" s="1076" t="str">
        <f>IFERROR(__xludf.DUMMYFUNCTION("""COMPUTED_VALUE"""),"11HP")</f>
        <v>11HP</v>
      </c>
      <c r="I500" s="1076" t="str">
        <f>IFERROR(__xludf.DUMMYFUNCTION("""COMPUTED_VALUE"""),"L6XHBN1B8R0000058")</f>
        <v>L6XHBN1B8R0000058</v>
      </c>
      <c r="J500" s="1076" t="str">
        <f>IFERROR(__xludf.DUMMYFUNCTION("""COMPUTED_VALUE"""),"170MM-B8R100072")</f>
        <v>170MM-B8R100072</v>
      </c>
      <c r="K500" s="1076">
        <f>IFERROR(__xludf.DUMMYFUNCTION("""COMPUTED_VALUE"""),2.5)</f>
        <v>2.5</v>
      </c>
      <c r="L500" s="1076" t="str">
        <f>IFERROR(__xludf.DUMMYFUNCTION("""COMPUTED_VALUE"""),"KLH")</f>
        <v>KLH</v>
      </c>
    </row>
    <row r="501" customHeight="1" spans="1:12">
      <c r="A501" s="1089" t="str">
        <f>IFERROR(__xludf.DUMMYFUNCTION("""COMPUTED_VALUE"""),"ĐNA-XLO-003")</f>
        <v>ĐNA-XLO-003</v>
      </c>
      <c r="B501" s="1075" t="str">
        <f>IFERROR(__xludf.DUMMYFUNCTION("""COMPUTED_VALUE"""),"Xe lôi")</f>
        <v>Xe lôi</v>
      </c>
      <c r="C501" s="1076" t="str">
        <f>IFERROR(__xludf.DUMMYFUNCTION("""COMPUTED_VALUE"""),"Ban điện nước")</f>
        <v>Ban điện nước</v>
      </c>
      <c r="D501" s="1076"/>
      <c r="E501" s="1076" t="str">
        <f>IFERROR(__xludf.DUMMYFUNCTION("""COMPUTED_VALUE"""),"TRUNG QUỐC")</f>
        <v>TRUNG QUỐC</v>
      </c>
      <c r="F501" s="1076"/>
      <c r="G501" s="1076" t="str">
        <f>IFERROR(__xludf.DUMMYFUNCTION("""COMPUTED_VALUE"""),"150ZH-2DR")</f>
        <v>150ZH-2DR</v>
      </c>
      <c r="H501" s="1076" t="str">
        <f>IFERROR(__xludf.DUMMYFUNCTION("""COMPUTED_VALUE"""),"11HP")</f>
        <v>11HP</v>
      </c>
      <c r="I501" s="1076" t="str">
        <f>IFERROR(__xludf.DUMMYFUNCTION("""COMPUTED_VALUE"""),"L6XHBN1B8R0000059")</f>
        <v>L6XHBN1B8R0000059</v>
      </c>
      <c r="J501" s="1076" t="str">
        <f>IFERROR(__xludf.DUMMYFUNCTION("""COMPUTED_VALUE"""),"170MM-B8R100073")</f>
        <v>170MM-B8R100073</v>
      </c>
      <c r="K501" s="1076">
        <f>IFERROR(__xludf.DUMMYFUNCTION("""COMPUTED_VALUE"""),2.5)</f>
        <v>2.5</v>
      </c>
      <c r="L501" s="1076" t="str">
        <f>IFERROR(__xludf.DUMMYFUNCTION("""COMPUTED_VALUE"""),"KLH")</f>
        <v>KLH</v>
      </c>
    </row>
    <row r="502" customHeight="1" spans="1:12">
      <c r="A502" s="1089" t="str">
        <f>IFERROR(__xludf.DUMMYFUNCTION("""COMPUTED_VALUE"""),"CKB-XLO-001")</f>
        <v>CKB-XLO-001</v>
      </c>
      <c r="B502" s="1075" t="str">
        <f>IFERROR(__xludf.DUMMYFUNCTION("""COMPUTED_VALUE"""),"Xe lôi")</f>
        <v>Xe lôi</v>
      </c>
      <c r="C502" s="1076" t="str">
        <f>IFERROR(__xludf.DUMMYFUNCTION("""COMPUTED_VALUE"""),"Xưởng Cơ khí ADM&amp;LP")</f>
        <v>Xưởng Cơ khí ADM&amp;LP</v>
      </c>
      <c r="D502" s="1076"/>
      <c r="E502" s="1076"/>
      <c r="F502" s="1076"/>
      <c r="G502" s="1076"/>
      <c r="H502" s="1076" t="str">
        <f>IFERROR(__xludf.DUMMYFUNCTION("""COMPUTED_VALUE"""),"150CC")</f>
        <v>150CC</v>
      </c>
      <c r="I502" s="1076" t="str">
        <f>IFERROR(__xludf.DUMMYFUNCTION("""COMPUTED_VALUE"""),"1L000058")</f>
        <v>1L000058</v>
      </c>
      <c r="J502" s="1076" t="str">
        <f>IFERROR(__xludf.DUMMYFUNCTION("""COMPUTED_VALUE"""),"CCN")</f>
        <v>CCN</v>
      </c>
      <c r="K502" s="1076">
        <f>IFERROR(__xludf.DUMMYFUNCTION("""COMPUTED_VALUE"""),2.5)</f>
        <v>2.5</v>
      </c>
      <c r="L502" s="1076" t="str">
        <f>IFERROR(__xludf.DUMMYFUNCTION("""COMPUTED_VALUE"""),"KLH")</f>
        <v>KLH</v>
      </c>
    </row>
    <row r="503" customHeight="1" spans="1:12">
      <c r="A503" s="1089" t="str">
        <f>IFERROR(__xludf.DUMMYFUNCTION("""COMPUTED_VALUE"""),"CKB-XLO-002")</f>
        <v>CKB-XLO-002</v>
      </c>
      <c r="B503" s="1075" t="str">
        <f>IFERROR(__xludf.DUMMYFUNCTION("""COMPUTED_VALUE"""),"Xe lôi")</f>
        <v>Xe lôi</v>
      </c>
      <c r="C503" s="1076" t="str">
        <f>IFERROR(__xludf.DUMMYFUNCTION("""COMPUTED_VALUE"""),"Xưởng Cơ khí ADM&amp;LP")</f>
        <v>Xưởng Cơ khí ADM&amp;LP</v>
      </c>
      <c r="D503" s="1076"/>
      <c r="E503" s="1076"/>
      <c r="F503" s="1076"/>
      <c r="G503" s="1076"/>
      <c r="H503" s="1076" t="str">
        <f>IFERROR(__xludf.DUMMYFUNCTION("""COMPUTED_VALUE"""),"150CC")</f>
        <v>150CC</v>
      </c>
      <c r="I503" s="1076" t="str">
        <f>IFERROR(__xludf.DUMMYFUNCTION("""COMPUTED_VALUE"""),"21L001162")</f>
        <v>21L001162</v>
      </c>
      <c r="J503" s="1076" t="str">
        <f>IFERROR(__xludf.DUMMYFUNCTION("""COMPUTED_VALUE"""),"CCN")</f>
        <v>CCN</v>
      </c>
      <c r="K503" s="1076">
        <f>IFERROR(__xludf.DUMMYFUNCTION("""COMPUTED_VALUE"""),2.5)</f>
        <v>2.5</v>
      </c>
      <c r="L503" s="1076" t="str">
        <f>IFERROR(__xludf.DUMMYFUNCTION("""COMPUTED_VALUE"""),"KLH")</f>
        <v>KLH</v>
      </c>
    </row>
    <row r="504" customHeight="1" spans="1:12">
      <c r="A504" s="1089" t="str">
        <f>IFERROR(__xludf.DUMMYFUNCTION("""COMPUTED_VALUE"""),"CKB-XLO-003")</f>
        <v>CKB-XLO-003</v>
      </c>
      <c r="B504" s="1075" t="str">
        <f>IFERROR(__xludf.DUMMYFUNCTION("""COMPUTED_VALUE"""),"Xe lôi")</f>
        <v>Xe lôi</v>
      </c>
      <c r="C504" s="1076" t="str">
        <f>IFERROR(__xludf.DUMMYFUNCTION("""COMPUTED_VALUE"""),"Xưởng Cơ khí ADM&amp;LP")</f>
        <v>Xưởng Cơ khí ADM&amp;LP</v>
      </c>
      <c r="D504" s="1076"/>
      <c r="E504" s="1076"/>
      <c r="F504" s="1076"/>
      <c r="G504" s="1076"/>
      <c r="H504" s="1076" t="str">
        <f>IFERROR(__xludf.DUMMYFUNCTION("""COMPUTED_VALUE"""),"150CC")</f>
        <v>150CC</v>
      </c>
      <c r="I504" s="1076" t="str">
        <f>IFERROR(__xludf.DUMMYFUNCTION("""COMPUTED_VALUE"""),"21L000299")</f>
        <v>21L000299</v>
      </c>
      <c r="J504" s="1076" t="str">
        <f>IFERROR(__xludf.DUMMYFUNCTION("""COMPUTED_VALUE"""),"CCN")</f>
        <v>CCN</v>
      </c>
      <c r="K504" s="1076">
        <f>IFERROR(__xludf.DUMMYFUNCTION("""COMPUTED_VALUE"""),2.5)</f>
        <v>2.5</v>
      </c>
      <c r="L504" s="1076" t="str">
        <f>IFERROR(__xludf.DUMMYFUNCTION("""COMPUTED_VALUE"""),"KLH")</f>
        <v>KLH</v>
      </c>
    </row>
    <row r="505" customHeight="1" spans="1:12">
      <c r="A505" s="1089" t="str">
        <f>IFERROR(__xludf.DUMMYFUNCTION("""COMPUTED_VALUE"""),"CKB-XNA-001")</f>
        <v>CKB-XNA-001</v>
      </c>
      <c r="B505" s="1075" t="str">
        <f>IFERROR(__xludf.DUMMYFUNCTION("""COMPUTED_VALUE"""),"Xe nâng dầu HELI 3.5 tấn")</f>
        <v>Xe nâng dầu HELI 3.5 tấn</v>
      </c>
      <c r="C505" s="1076" t="str">
        <f>IFERROR(__xludf.DUMMYFUNCTION("""COMPUTED_VALUE"""),"Xưởng Cơ khí ADM&amp;LP")</f>
        <v>Xưởng Cơ khí ADM&amp;LP</v>
      </c>
      <c r="D505" s="1076" t="str">
        <f>IFERROR(__xludf.DUMMYFUNCTION("""COMPUTED_VALUE"""),"HELI")</f>
        <v>HELI</v>
      </c>
      <c r="E505" s="1076" t="str">
        <f>IFERROR(__xludf.DUMMYFUNCTION("""COMPUTED_VALUE"""),"TRUNG QUỐC")</f>
        <v>TRUNG QUỐC</v>
      </c>
      <c r="F505" s="1076">
        <f>IFERROR(__xludf.DUMMYFUNCTION("""COMPUTED_VALUE"""),2024)</f>
        <v>2024</v>
      </c>
      <c r="G505" s="1076" t="str">
        <f>IFERROR(__xludf.DUMMYFUNCTION("""COMPUTED_VALUE"""),"CPCD35")</f>
        <v>CPCD35</v>
      </c>
      <c r="H505" s="1076" t="str">
        <f>IFERROR(__xludf.DUMMYFUNCTION("""COMPUTED_VALUE"""),"60HP")</f>
        <v>60HP</v>
      </c>
      <c r="I505" s="1076" t="str">
        <f>IFERROR(__xludf.DUMMYFUNCTION("""COMPUTED_VALUE"""),"010353K6773")</f>
        <v>010353K6773</v>
      </c>
      <c r="J505" s="1076" t="str">
        <f>IFERROR(__xludf.DUMMYFUNCTION("""COMPUTED_VALUE"""),"CCN")</f>
        <v>CCN</v>
      </c>
      <c r="K505" s="1076">
        <f>IFERROR(__xludf.DUMMYFUNCTION("""COMPUTED_VALUE"""),2.5)</f>
        <v>2.5</v>
      </c>
      <c r="L505" s="1076" t="str">
        <f>IFERROR(__xludf.DUMMYFUNCTION("""COMPUTED_VALUE"""),"KLH")</f>
        <v>KLH</v>
      </c>
    </row>
    <row r="506" customHeight="1" spans="1:12">
      <c r="A506" s="1089" t="str">
        <f>IFERROR(__xludf.DUMMYFUNCTION("""COMPUTED_VALUE"""),"CKB-XNA-003")</f>
        <v>CKB-XNA-003</v>
      </c>
      <c r="B506" s="1075" t="str">
        <f>IFERROR(__xludf.DUMMYFUNCTION("""COMPUTED_VALUE"""),"Xe nâng dầu HELI 5 tấn")</f>
        <v>Xe nâng dầu HELI 5 tấn</v>
      </c>
      <c r="C506" s="1076" t="str">
        <f>IFERROR(__xludf.DUMMYFUNCTION("""COMPUTED_VALUE"""),"Xưởng Cơ khí ADM&amp;LP")</f>
        <v>Xưởng Cơ khí ADM&amp;LP</v>
      </c>
      <c r="D506" s="1076" t="str">
        <f>IFERROR(__xludf.DUMMYFUNCTION("""COMPUTED_VALUE"""),"HELI")</f>
        <v>HELI</v>
      </c>
      <c r="E506" s="1076" t="str">
        <f>IFERROR(__xludf.DUMMYFUNCTION("""COMPUTED_VALUE"""),"TRUNG QUỐC")</f>
        <v>TRUNG QUỐC</v>
      </c>
      <c r="F506" s="1076">
        <f>IFERROR(__xludf.DUMMYFUNCTION("""COMPUTED_VALUE"""),2026)</f>
        <v>2026</v>
      </c>
      <c r="G506" s="1076" t="str">
        <f>IFERROR(__xludf.DUMMYFUNCTION("""COMPUTED_VALUE"""),"CPCD50")</f>
        <v>CPCD50</v>
      </c>
      <c r="H506" s="1076" t="str">
        <f>IFERROR(__xludf.DUMMYFUNCTION("""COMPUTED_VALUE"""),"69HP")</f>
        <v>69HP</v>
      </c>
      <c r="I506" s="1076" t="str">
        <f>IFERROR(__xludf.DUMMYFUNCTION("""COMPUTED_VALUE"""),"010503S3572")</f>
        <v>010503S3572</v>
      </c>
      <c r="J506" s="1076" t="str">
        <f>IFERROR(__xludf.DUMMYFUNCTION("""COMPUTED_VALUE"""),"CCN")</f>
        <v>CCN</v>
      </c>
      <c r="K506" s="1076">
        <f>IFERROR(__xludf.DUMMYFUNCTION("""COMPUTED_VALUE"""),2.5)</f>
        <v>2.5</v>
      </c>
      <c r="L506" s="1076" t="str">
        <f>IFERROR(__xludf.DUMMYFUNCTION("""COMPUTED_VALUE"""),"KLH")</f>
        <v>KLH</v>
      </c>
    </row>
    <row r="507" customHeight="1" spans="1:12">
      <c r="A507" s="1089" t="str">
        <f>IFERROR(__xludf.DUMMYFUNCTION("""COMPUTED_VALUE"""),"CKD-MKE-001")</f>
        <v>CKD-MKE-001</v>
      </c>
      <c r="B507" s="1075" t="str">
        <f>IFERROR(__xludf.DUMMYFUNCTION("""COMPUTED_VALUE"""),"Máy cày KAM50")</f>
        <v>Máy cày KAM50</v>
      </c>
      <c r="C507" s="1076" t="str">
        <f>IFERROR(__xludf.DUMMYFUNCTION("""COMPUTED_VALUE"""),"Xưởng Cơ khí DP")</f>
        <v>Xưởng Cơ khí DP</v>
      </c>
      <c r="D507" s="1076" t="str">
        <f>IFERROR(__xludf.DUMMYFUNCTION("""COMPUTED_VALUE"""),"THACO")</f>
        <v>THACO</v>
      </c>
      <c r="E507" s="1076" t="str">
        <f>IFERROR(__xludf.DUMMYFUNCTION("""COMPUTED_VALUE"""),"VIỆT NAM")</f>
        <v>VIỆT NAM</v>
      </c>
      <c r="F507" s="1076"/>
      <c r="G507" s="1076" t="str">
        <f>IFERROR(__xludf.DUMMYFUNCTION("""COMPUTED_VALUE"""),"KAM50")</f>
        <v>KAM50</v>
      </c>
      <c r="H507" s="1076" t="str">
        <f>IFERROR(__xludf.DUMMYFUNCTION("""COMPUTED_VALUE"""),"50HP")</f>
        <v>50HP</v>
      </c>
      <c r="I507" s="1076" t="str">
        <f>IFERROR(__xludf.DUMMYFUNCTION("""COMPUTED_VALUE"""),"C000080")</f>
        <v>C000080</v>
      </c>
      <c r="J507" s="1076"/>
      <c r="K507" s="1076">
        <f>IFERROR(__xludf.DUMMYFUNCTION("""COMPUTED_VALUE"""),2.5)</f>
        <v>2.5</v>
      </c>
      <c r="L507" s="1076" t="str">
        <f>IFERROR(__xludf.DUMMYFUNCTION("""COMPUTED_VALUE"""),"KLH")</f>
        <v>KLH</v>
      </c>
    </row>
    <row r="508" customHeight="1" spans="1:12">
      <c r="A508" s="1089" t="str">
        <f>IFERROR(__xludf.DUMMYFUNCTION("""COMPUTED_VALUE"""),"CKD-MKE-002")</f>
        <v>CKD-MKE-002</v>
      </c>
      <c r="B508" s="1075" t="str">
        <f>IFERROR(__xludf.DUMMYFUNCTION("""COMPUTED_VALUE"""),"Máy cày KAM50")</f>
        <v>Máy cày KAM50</v>
      </c>
      <c r="C508" s="1076" t="str">
        <f>IFERROR(__xludf.DUMMYFUNCTION("""COMPUTED_VALUE"""),"Xưởng Cơ khí DP")</f>
        <v>Xưởng Cơ khí DP</v>
      </c>
      <c r="D508" s="1076" t="str">
        <f>IFERROR(__xludf.DUMMYFUNCTION("""COMPUTED_VALUE"""),"THACO")</f>
        <v>THACO</v>
      </c>
      <c r="E508" s="1076" t="str">
        <f>IFERROR(__xludf.DUMMYFUNCTION("""COMPUTED_VALUE"""),"VIỆT NAM")</f>
        <v>VIỆT NAM</v>
      </c>
      <c r="F508" s="1076"/>
      <c r="G508" s="1076" t="str">
        <f>IFERROR(__xludf.DUMMYFUNCTION("""COMPUTED_VALUE"""),"KAM50")</f>
        <v>KAM50</v>
      </c>
      <c r="H508" s="1076" t="str">
        <f>IFERROR(__xludf.DUMMYFUNCTION("""COMPUTED_VALUE"""),"50HP")</f>
        <v>50HP</v>
      </c>
      <c r="I508" s="1076" t="str">
        <f>IFERROR(__xludf.DUMMYFUNCTION("""COMPUTED_VALUE"""),"C000016")</f>
        <v>C000016</v>
      </c>
      <c r="J508" s="1076"/>
      <c r="K508" s="1076">
        <f>IFERROR(__xludf.DUMMYFUNCTION("""COMPUTED_VALUE"""),2.5)</f>
        <v>2.5</v>
      </c>
      <c r="L508" s="1076" t="str">
        <f>IFERROR(__xludf.DUMMYFUNCTION("""COMPUTED_VALUE"""),"KLH")</f>
        <v>KLH</v>
      </c>
    </row>
    <row r="509" customHeight="1" spans="1:12">
      <c r="A509" s="1089" t="str">
        <f>IFERROR(__xludf.DUMMYFUNCTION("""COMPUTED_VALUE"""),"CKD-MKE-003")</f>
        <v>CKD-MKE-003</v>
      </c>
      <c r="B509" s="1075" t="str">
        <f>IFERROR(__xludf.DUMMYFUNCTION("""COMPUTED_VALUE"""),"Máy cày KAM50")</f>
        <v>Máy cày KAM50</v>
      </c>
      <c r="C509" s="1076" t="str">
        <f>IFERROR(__xludf.DUMMYFUNCTION("""COMPUTED_VALUE"""),"Xưởng Cơ khí DP")</f>
        <v>Xưởng Cơ khí DP</v>
      </c>
      <c r="D509" s="1076" t="str">
        <f>IFERROR(__xludf.DUMMYFUNCTION("""COMPUTED_VALUE"""),"THACO")</f>
        <v>THACO</v>
      </c>
      <c r="E509" s="1076" t="str">
        <f>IFERROR(__xludf.DUMMYFUNCTION("""COMPUTED_VALUE"""),"VIỆT NAM")</f>
        <v>VIỆT NAM</v>
      </c>
      <c r="F509" s="1076">
        <f>IFERROR(__xludf.DUMMYFUNCTION("""COMPUTED_VALUE"""),2012)</f>
        <v>2012</v>
      </c>
      <c r="G509" s="1076" t="str">
        <f>IFERROR(__xludf.DUMMYFUNCTION("""COMPUTED_VALUE"""),"KAM50")</f>
        <v>KAM50</v>
      </c>
      <c r="H509" s="1076" t="str">
        <f>IFERROR(__xludf.DUMMYFUNCTION("""COMPUTED_VALUE"""),"50HP")</f>
        <v>50HP</v>
      </c>
      <c r="I509" s="1076" t="str">
        <f>IFERROR(__xludf.DUMMYFUNCTION("""COMPUTED_VALUE"""),"TAMMT05AJC000044")</f>
        <v>TAMMT05AJC000044</v>
      </c>
      <c r="J509" s="1076" t="str">
        <f>IFERROR(__xludf.DUMMYFUNCTION("""COMPUTED_VALUE"""),"CCN")</f>
        <v>CCN</v>
      </c>
      <c r="K509" s="1076">
        <f>IFERROR(__xludf.DUMMYFUNCTION("""COMPUTED_VALUE"""),2.5)</f>
        <v>2.5</v>
      </c>
      <c r="L509" s="1076" t="str">
        <f>IFERROR(__xludf.DUMMYFUNCTION("""COMPUTED_VALUE"""),"KLH")</f>
        <v>KLH</v>
      </c>
    </row>
    <row r="510" customHeight="1" spans="1:12">
      <c r="A510" s="1089" t="str">
        <f>IFERROR(__xludf.DUMMYFUNCTION("""COMPUTED_VALUE"""),"CKD-XCA-001")</f>
        <v>CKD-XCA-001</v>
      </c>
      <c r="B510" s="1075" t="str">
        <f>IFERROR(__xludf.DUMMYFUNCTION("""COMPUTED_VALUE"""),"Xe cẩu 3.5 tấn")</f>
        <v>Xe cẩu 3.5 tấn</v>
      </c>
      <c r="C510" s="1076" t="str">
        <f>IFERROR(__xludf.DUMMYFUNCTION("""COMPUTED_VALUE"""),"Xưởng Cơ khí DP")</f>
        <v>Xưởng Cơ khí DP</v>
      </c>
      <c r="D510" s="1076" t="str">
        <f>IFERROR(__xludf.DUMMYFUNCTION("""COMPUTED_VALUE"""),"THACO ")</f>
        <v>THACO </v>
      </c>
      <c r="E510" s="1076" t="str">
        <f>IFERROR(__xludf.DUMMYFUNCTION("""COMPUTED_VALUE"""),"VIỆT NAM")</f>
        <v>VIỆT NAM</v>
      </c>
      <c r="F510" s="1076">
        <f>IFERROR(__xludf.DUMMYFUNCTION("""COMPUTED_VALUE"""),2018)</f>
        <v>2018</v>
      </c>
      <c r="G510" s="1076" t="str">
        <f>IFERROR(__xludf.DUMMYFUNCTION("""COMPUTED_VALUE"""),"Ollin 900B")</f>
        <v>Ollin 900B</v>
      </c>
      <c r="H510" s="1076" t="str">
        <f>IFERROR(__xludf.DUMMYFUNCTION("""COMPUTED_VALUE"""),"160HP")</f>
        <v>160HP</v>
      </c>
      <c r="I510" s="1076" t="str">
        <f>IFERROR(__xludf.DUMMYFUNCTION("""COMPUTED_VALUE"""),"RNHA1550BHC063037")</f>
        <v>RNHA1550BHC063037</v>
      </c>
      <c r="J510" s="1076" t="str">
        <f>IFERROR(__xludf.DUMMYFUNCTION("""COMPUTED_VALUE"""),"YC4E160-33E37F2H00227")</f>
        <v>YC4E160-33E37F2H00227</v>
      </c>
      <c r="K510" s="1076">
        <f>IFERROR(__xludf.DUMMYFUNCTION("""COMPUTED_VALUE"""),5)</f>
        <v>5</v>
      </c>
      <c r="L510" s="1076" t="str">
        <f>IFERROR(__xludf.DUMMYFUNCTION("""COMPUTED_VALUE"""),"KLH")</f>
        <v>KLH</v>
      </c>
    </row>
    <row r="511" customHeight="1" spans="1:12">
      <c r="A511" s="1089" t="str">
        <f>IFERROR(__xludf.DUMMYFUNCTION("""COMPUTED_VALUE"""),"CKC-XCA-001")</f>
        <v>CKC-XCA-001</v>
      </c>
      <c r="B511" s="1075" t="str">
        <f>IFERROR(__xludf.DUMMYFUNCTION("""COMPUTED_VALUE"""),"Xe cẩu Hyundai 5 tấn")</f>
        <v>Xe cẩu Hyundai 5 tấn</v>
      </c>
      <c r="C511" s="1076" t="str">
        <f>IFERROR(__xludf.DUMMYFUNCTION("""COMPUTED_VALUE"""),"Thagricons")</f>
        <v>Thagricons</v>
      </c>
      <c r="D511" s="1076" t="str">
        <f>IFERROR(__xludf.DUMMYFUNCTION("""COMPUTED_VALUE"""),"HYUNDAI")</f>
        <v>HYUNDAI</v>
      </c>
      <c r="E511" s="1076" t="str">
        <f>IFERROR(__xludf.DUMMYFUNCTION("""COMPUTED_VALUE"""),"HÀN QUỐC")</f>
        <v>HÀN QUỐC</v>
      </c>
      <c r="F511" s="1076"/>
      <c r="G511" s="1076"/>
      <c r="H511" s="1076"/>
      <c r="I511" s="1076" t="str">
        <f>IFERROR(__xludf.DUMMYFUNCTION("""COMPUTED_VALUE"""),"CCN")</f>
        <v>CCN</v>
      </c>
      <c r="J511" s="1076" t="str">
        <f>IFERROR(__xludf.DUMMYFUNCTION("""COMPUTED_VALUE"""),"107291")</f>
        <v>107291</v>
      </c>
      <c r="K511" s="1076">
        <f>IFERROR(__xludf.DUMMYFUNCTION("""COMPUTED_VALUE"""),4.2)</f>
        <v>4.2</v>
      </c>
      <c r="L511" s="1076" t="str">
        <f>IFERROR(__xludf.DUMMYFUNCTION("""COMPUTED_VALUE"""),"KLH")</f>
        <v>KLH</v>
      </c>
    </row>
    <row r="512" customHeight="1" spans="1:12">
      <c r="A512" s="1089" t="str">
        <f>IFERROR(__xludf.DUMMYFUNCTION("""COMPUTED_VALUE"""),"CKC-XCA-004")</f>
        <v>CKC-XCA-004</v>
      </c>
      <c r="B512" s="1075" t="str">
        <f>IFERROR(__xludf.DUMMYFUNCTION("""COMPUTED_VALUE"""),"Xe cẩu ZOOMLION 55 tấn")</f>
        <v>Xe cẩu ZOOMLION 55 tấn</v>
      </c>
      <c r="C512" s="1076" t="str">
        <f>IFERROR(__xludf.DUMMYFUNCTION("""COMPUTED_VALUE"""),"Thagricons")</f>
        <v>Thagricons</v>
      </c>
      <c r="D512" s="1076" t="str">
        <f>IFERROR(__xludf.DUMMYFUNCTION("""COMPUTED_VALUE"""),"ZOOMLION")</f>
        <v>ZOOMLION</v>
      </c>
      <c r="E512" s="1076" t="str">
        <f>IFERROR(__xludf.DUMMYFUNCTION("""COMPUTED_VALUE"""),"TRUNG QUỐC")</f>
        <v>TRUNG QUỐC</v>
      </c>
      <c r="F512" s="1076">
        <f>IFERROR(__xludf.DUMMYFUNCTION("""COMPUTED_VALUE"""),2023)</f>
        <v>2023</v>
      </c>
      <c r="G512" s="1076" t="str">
        <f>IFERROR(__xludf.DUMMYFUNCTION("""COMPUTED_VALUE"""),"ZTC550V532-1")</f>
        <v>ZTC550V532-1</v>
      </c>
      <c r="H512" s="1076" t="str">
        <f>IFERROR(__xludf.DUMMYFUNCTION("""COMPUTED_VALUE"""),"336HP")</f>
        <v>336HP</v>
      </c>
      <c r="I512" s="1076" t="str">
        <f>IFERROR(__xludf.DUMMYFUNCTION("""COMPUTED_VALUE"""),"L5E6H4D33PA014676")</f>
        <v>L5E6H4D33PA014676</v>
      </c>
      <c r="J512" s="1076" t="str">
        <f>IFERROR(__xludf.DUMMYFUNCTION("""COMPUTED_VALUE"""),"WP103361623G017019")</f>
        <v>WP103361623G017019</v>
      </c>
      <c r="K512" s="1076">
        <f>IFERROR(__xludf.DUMMYFUNCTION("""COMPUTED_VALUE"""),7.5)</f>
        <v>7.5</v>
      </c>
      <c r="L512" s="1076" t="str">
        <f>IFERROR(__xludf.DUMMYFUNCTION("""COMPUTED_VALUE"""),"KLH")</f>
        <v>KLH</v>
      </c>
    </row>
    <row r="513" customHeight="1" spans="1:12">
      <c r="A513" s="1089" t="str">
        <f>IFERROR(__xludf.DUMMYFUNCTION("""COMPUTED_VALUE"""),"CKC-XCA-006")</f>
        <v>CKC-XCA-006</v>
      </c>
      <c r="B513" s="1075" t="str">
        <f>IFERROR(__xludf.DUMMYFUNCTION("""COMPUTED_VALUE"""),"Xe cẩu 3.5 tấn")</f>
        <v>Xe cẩu 3.5 tấn</v>
      </c>
      <c r="C513" s="1076" t="str">
        <f>IFERROR(__xludf.DUMMYFUNCTION("""COMPUTED_VALUE"""),"Thagricons")</f>
        <v>Thagricons</v>
      </c>
      <c r="D513" s="1076" t="str">
        <f>IFERROR(__xludf.DUMMYFUNCTION("""COMPUTED_VALUE"""),"THACO")</f>
        <v>THACO</v>
      </c>
      <c r="E513" s="1076" t="str">
        <f>IFERROR(__xludf.DUMMYFUNCTION("""COMPUTED_VALUE"""),"VIỆT NAM")</f>
        <v>VIỆT NAM</v>
      </c>
      <c r="F513" s="1076">
        <f>IFERROR(__xludf.DUMMYFUNCTION("""COMPUTED_VALUE"""),2018)</f>
        <v>2018</v>
      </c>
      <c r="G513" s="1076" t="str">
        <f>IFERROR(__xludf.DUMMYFUNCTION("""COMPUTED_VALUE"""),"Ollin 900B")</f>
        <v>Ollin 900B</v>
      </c>
      <c r="H513" s="1076" t="str">
        <f>IFERROR(__xludf.DUMMYFUNCTION("""COMPUTED_VALUE"""),"160HP")</f>
        <v>160HP</v>
      </c>
      <c r="I513" s="1076" t="str">
        <f>IFERROR(__xludf.DUMMYFUNCTION("""COMPUTED_VALUE"""),"RNHA1550BHC063042")</f>
        <v>RNHA1550BHC063042</v>
      </c>
      <c r="J513" s="1076" t="str">
        <f>IFERROR(__xludf.DUMMYFUNCTION("""COMPUTED_VALUE"""),"YC4E160-33E37F2H00201")</f>
        <v>YC4E160-33E37F2H00201</v>
      </c>
      <c r="K513" s="1076">
        <f>IFERROR(__xludf.DUMMYFUNCTION("""COMPUTED_VALUE"""),5)</f>
        <v>5</v>
      </c>
      <c r="L513" s="1076" t="str">
        <f>IFERROR(__xludf.DUMMYFUNCTION("""COMPUTED_VALUE"""),"KLH")</f>
        <v>KLH</v>
      </c>
    </row>
    <row r="514" customHeight="1" spans="1:12">
      <c r="A514" s="1089" t="str">
        <f>IFERROR(__xludf.DUMMYFUNCTION("""COMPUTED_VALUE"""),"CKC-XCA-009")</f>
        <v>CKC-XCA-009</v>
      </c>
      <c r="B514" s="1075" t="str">
        <f>IFERROR(__xludf.DUMMYFUNCTION("""COMPUTED_VALUE"""),"Xe cẩu thùng FOTON AUMAN 8 tấn")</f>
        <v>Xe cẩu thùng FOTON AUMAN 8 tấn</v>
      </c>
      <c r="C514" s="1076" t="str">
        <f>IFERROR(__xludf.DUMMYFUNCTION("""COMPUTED_VALUE"""),"Thagricons")</f>
        <v>Thagricons</v>
      </c>
      <c r="D514" s="1076" t="str">
        <f>IFERROR(__xludf.DUMMYFUNCTION("""COMPUTED_VALUE"""),"FOTON AUMAN")</f>
        <v>FOTON AUMAN</v>
      </c>
      <c r="E514" s="1076" t="str">
        <f>IFERROR(__xludf.DUMMYFUNCTION("""COMPUTED_VALUE"""),"Việt Nam")</f>
        <v>Việt Nam</v>
      </c>
      <c r="F514" s="1076">
        <f>IFERROR(__xludf.DUMMYFUNCTION("""COMPUTED_VALUE"""),2022)</f>
        <v>2022</v>
      </c>
      <c r="G514" s="1076" t="str">
        <f>IFERROR(__xludf.DUMMYFUNCTION("""COMPUTED_VALUE""")," C240")</f>
        <v> C240</v>
      </c>
      <c r="H514" s="1076" t="str">
        <f>IFERROR(__xludf.DUMMYFUNCTION("""COMPUTED_VALUE"""),"266HP")</f>
        <v>266HP</v>
      </c>
      <c r="I514" s="1076" t="str">
        <f>IFERROR(__xludf.DUMMYFUNCTION("""COMPUTED_VALUE"""),"RNHA24FCANT056597")</f>
        <v>RNHA24FCANT056597</v>
      </c>
      <c r="J514" s="1076" t="str">
        <f>IFERROR(__xludf.DUMMYFUNCTION("""COMPUTED_VALUE"""),"82162916")</f>
        <v>82162916</v>
      </c>
      <c r="K514" s="1076">
        <f>IFERROR(__xludf.DUMMYFUNCTION("""COMPUTED_VALUE"""),6)</f>
        <v>6</v>
      </c>
      <c r="L514" s="1076" t="str">
        <f>IFERROR(__xludf.DUMMYFUNCTION("""COMPUTED_VALUE"""),"KLH")</f>
        <v>KLH</v>
      </c>
    </row>
    <row r="515" customHeight="1" spans="1:12">
      <c r="A515" s="1089" t="str">
        <f>IFERROR(__xludf.DUMMYFUNCTION("""COMPUTED_VALUE"""),"CHT-XCA-003")</f>
        <v>CHT-XCA-003</v>
      </c>
      <c r="B515" s="1075" t="str">
        <f>IFERROR(__xludf.DUMMYFUNCTION("""COMPUTED_VALUE"""),"Xe cẩu thùng FOTON AUMAN 8 tấn")</f>
        <v>Xe cẩu thùng FOTON AUMAN 8 tấn</v>
      </c>
      <c r="C515" s="1076" t="str">
        <f>IFERROR(__xludf.DUMMYFUNCTION("""COMPUTED_VALUE"""),"Thagricons")</f>
        <v>Thagricons</v>
      </c>
      <c r="D515" s="1076" t="str">
        <f>IFERROR(__xludf.DUMMYFUNCTION("""COMPUTED_VALUE"""),"FOTON AUMAN")</f>
        <v>FOTON AUMAN</v>
      </c>
      <c r="E515" s="1076" t="str">
        <f>IFERROR(__xludf.DUMMYFUNCTION("""COMPUTED_VALUE"""),"VIỆT NAM")</f>
        <v>VIỆT NAM</v>
      </c>
      <c r="F515" s="1076">
        <f>IFERROR(__xludf.DUMMYFUNCTION("""COMPUTED_VALUE"""),2023)</f>
        <v>2023</v>
      </c>
      <c r="G515" s="1076" t="str">
        <f>IFERROR(__xludf.DUMMYFUNCTION("""COMPUTED_VALUE"""),"C240")</f>
        <v>C240</v>
      </c>
      <c r="H515" s="1076" t="str">
        <f>IFERROR(__xludf.DUMMYFUNCTION("""COMPUTED_VALUE"""),"270HP")</f>
        <v>270HP</v>
      </c>
      <c r="I515" s="1076" t="str">
        <f>IFERROR(__xludf.DUMMYFUNCTION("""COMPUTED_VALUE"""),"RNHA24FCAPT080028")</f>
        <v>RNHA24FCAPT080028</v>
      </c>
      <c r="J515" s="1076" t="str">
        <f>IFERROR(__xludf.DUMMYFUNCTION("""COMPUTED_VALUE"""),"ISDE2704082442137")</f>
        <v>ISDE2704082442137</v>
      </c>
      <c r="K515" s="1076">
        <f>IFERROR(__xludf.DUMMYFUNCTION("""COMPUTED_VALUE"""),6)</f>
        <v>6</v>
      </c>
      <c r="L515" s="1076" t="str">
        <f>IFERROR(__xludf.DUMMYFUNCTION("""COMPUTED_VALUE"""),"KLH")</f>
        <v>KLH</v>
      </c>
    </row>
    <row r="516" customHeight="1" spans="1:12">
      <c r="A516" s="1089" t="str">
        <f>IFERROR(__xludf.DUMMYFUNCTION("""COMPUTED_VALUE"""),"CKC-XCA-003")</f>
        <v>CKC-XCA-003</v>
      </c>
      <c r="B516" s="1075" t="str">
        <f>IFERROR(__xludf.DUMMYFUNCTION("""COMPUTED_VALUE"""),"Xe cẩu AUMAN 15 tấn")</f>
        <v>Xe cẩu AUMAN 15 tấn</v>
      </c>
      <c r="C516" s="1076" t="str">
        <f>IFERROR(__xludf.DUMMYFUNCTION("""COMPUTED_VALUE"""),"Thagricons")</f>
        <v>Thagricons</v>
      </c>
      <c r="D516" s="1076" t="str">
        <f>IFERROR(__xludf.DUMMYFUNCTION("""COMPUTED_VALUE"""),"AUMAN")</f>
        <v>AUMAN</v>
      </c>
      <c r="E516" s="1076" t="str">
        <f>IFERROR(__xludf.DUMMYFUNCTION("""COMPUTED_VALUE"""),"VIỆT NAM")</f>
        <v>VIỆT NAM</v>
      </c>
      <c r="F516" s="1076"/>
      <c r="G516" s="1076" t="str">
        <f>IFERROR(__xludf.DUMMYFUNCTION("""COMPUTED_VALUE"""),"C34")</f>
        <v>C34</v>
      </c>
      <c r="H516" s="1076" t="str">
        <f>IFERROR(__xludf.DUMMYFUNCTION("""COMPUTED_VALUE"""),"335HP")</f>
        <v>335HP</v>
      </c>
      <c r="I516" s="1076" t="str">
        <f>IFERROR(__xludf.DUMMYFUNCTION("""COMPUTED_VALUE"""),"21615E037691 ")</f>
        <v>21615E037691 </v>
      </c>
      <c r="J516" s="1076" t="str">
        <f>IFERROR(__xludf.DUMMYFUNCTION("""COMPUTED_VALUE"""),"000AFC072313")</f>
        <v>000AFC072313</v>
      </c>
      <c r="K516" s="1076">
        <f>IFERROR(__xludf.DUMMYFUNCTION("""COMPUTED_VALUE"""),7.1)</f>
        <v>7.1</v>
      </c>
      <c r="L516" s="1076" t="str">
        <f>IFERROR(__xludf.DUMMYFUNCTION("""COMPUTED_VALUE"""),"KLH")</f>
        <v>KLH</v>
      </c>
    </row>
    <row r="517" customHeight="1" spans="1:12">
      <c r="A517" s="1089" t="str">
        <f>IFERROR(__xludf.DUMMYFUNCTION("""COMPUTED_VALUE"""),"CKC-XNA-001")</f>
        <v>CKC-XNA-001</v>
      </c>
      <c r="B517" s="1075" t="str">
        <f>IFERROR(__xludf.DUMMYFUNCTION("""COMPUTED_VALUE"""),"Xe nâng 2.5 tấn")</f>
        <v>Xe nâng 2.5 tấn</v>
      </c>
      <c r="C517" s="1076" t="str">
        <f>IFERROR(__xludf.DUMMYFUNCTION("""COMPUTED_VALUE"""),"Thagricons")</f>
        <v>Thagricons</v>
      </c>
      <c r="D517" s="1076" t="str">
        <f>IFERROR(__xludf.DUMMYFUNCTION("""COMPUTED_VALUE"""),"HELI")</f>
        <v>HELI</v>
      </c>
      <c r="E517" s="1076"/>
      <c r="F517" s="1076"/>
      <c r="G517" s="1076"/>
      <c r="H517" s="1076"/>
      <c r="I517" s="1076" t="str">
        <f>IFERROR(__xludf.DUMMYFUNCTION("""COMPUTED_VALUE"""),"4TNE98")</f>
        <v>4TNE98</v>
      </c>
      <c r="J517" s="1076" t="str">
        <f>IFERROR(__xludf.DUMMYFUNCTION("""COMPUTED_VALUE"""),"CCN")</f>
        <v>CCN</v>
      </c>
      <c r="K517" s="1076">
        <f>IFERROR(__xludf.DUMMYFUNCTION("""COMPUTED_VALUE"""),2)</f>
        <v>2</v>
      </c>
      <c r="L517" s="1076" t="str">
        <f>IFERROR(__xludf.DUMMYFUNCTION("""COMPUTED_VALUE"""),"KLH")</f>
        <v>KLH</v>
      </c>
    </row>
    <row r="518" customHeight="1" spans="1:12">
      <c r="A518" s="1089" t="str">
        <f>IFERROR(__xludf.DUMMYFUNCTION("""COMPUTED_VALUE"""),"CKC-MKE-004")</f>
        <v>CKC-MKE-004</v>
      </c>
      <c r="B518" s="1075" t="str">
        <f>IFERROR(__xludf.DUMMYFUNCTION("""COMPUTED_VALUE"""),"Máy cày M6040")</f>
        <v>Máy cày M6040</v>
      </c>
      <c r="C518" s="1076" t="str">
        <f>IFERROR(__xludf.DUMMYFUNCTION("""COMPUTED_VALUE"""),"Thagricons")</f>
        <v>Thagricons</v>
      </c>
      <c r="D518" s="1076" t="str">
        <f>IFERROR(__xludf.DUMMYFUNCTION("""COMPUTED_VALUE"""),"KUBOTA")</f>
        <v>KUBOTA</v>
      </c>
      <c r="E518" s="1076" t="str">
        <f>IFERROR(__xludf.DUMMYFUNCTION("""COMPUTED_VALUE"""),"NHẬT BẢN")</f>
        <v>NHẬT BẢN</v>
      </c>
      <c r="F518" s="1076">
        <f>IFERROR(__xludf.DUMMYFUNCTION("""COMPUTED_VALUE"""),2013)</f>
        <v>2013</v>
      </c>
      <c r="G518" s="1076" t="str">
        <f>IFERROR(__xludf.DUMMYFUNCTION("""COMPUTED_VALUE"""),"M6040")</f>
        <v>M6040</v>
      </c>
      <c r="H518" s="1076" t="str">
        <f>IFERROR(__xludf.DUMMYFUNCTION("""COMPUTED_VALUE"""),"60HP")</f>
        <v>60HP</v>
      </c>
      <c r="I518" s="1076" t="str">
        <f>IFERROR(__xludf.DUMMYFUNCTION("""COMPUTED_VALUE"""),"FD202H-16335")</f>
        <v>FD202H-16335</v>
      </c>
      <c r="J518" s="1076" t="str">
        <f>IFERROR(__xludf.DUMMYFUNCTION("""COMPUTED_VALUE"""),"CCN")</f>
        <v>CCN</v>
      </c>
      <c r="K518" s="1076">
        <f>IFERROR(__xludf.DUMMYFUNCTION("""COMPUTED_VALUE"""),3.5)</f>
        <v>3.5</v>
      </c>
      <c r="L518" s="1076" t="str">
        <f>IFERROR(__xludf.DUMMYFUNCTION("""COMPUTED_VALUE"""),"KLH")</f>
        <v>KLH</v>
      </c>
    </row>
    <row r="519" customHeight="1" spans="1:12">
      <c r="A519" s="1089" t="str">
        <f>IFERROR(__xludf.DUMMYFUNCTION("""COMPUTED_VALUE"""),"CKC-MKE-003")</f>
        <v>CKC-MKE-003</v>
      </c>
      <c r="B519" s="1075" t="str">
        <f>IFERROR(__xludf.DUMMYFUNCTION("""COMPUTED_VALUE"""),"Máy cày SHIBAURA")</f>
        <v>Máy cày SHIBAURA</v>
      </c>
      <c r="C519" s="1076" t="str">
        <f>IFERROR(__xludf.DUMMYFUNCTION("""COMPUTED_VALUE"""),"Thagricons")</f>
        <v>Thagricons</v>
      </c>
      <c r="D519" s="1076" t="str">
        <f>IFERROR(__xludf.DUMMYFUNCTION("""COMPUTED_VALUE"""),"SHIBAURA")</f>
        <v>SHIBAURA</v>
      </c>
      <c r="E519" s="1076" t="str">
        <f>IFERROR(__xludf.DUMMYFUNCTION("""COMPUTED_VALUE"""),"NHẬT BẢN")</f>
        <v>NHẬT BẢN</v>
      </c>
      <c r="F519" s="1076"/>
      <c r="G519" s="1076"/>
      <c r="H519" s="1076" t="str">
        <f>IFERROR(__xludf.DUMMYFUNCTION("""COMPUTED_VALUE"""),"20HP")</f>
        <v>20HP</v>
      </c>
      <c r="I519" s="1076" t="str">
        <f>IFERROR(__xludf.DUMMYFUNCTION("""COMPUTED_VALUE"""),"10434T")</f>
        <v>10434T</v>
      </c>
      <c r="J519" s="1076" t="str">
        <f>IFERROR(__xludf.DUMMYFUNCTION("""COMPUTED_VALUE"""),"CCN")</f>
        <v>CCN</v>
      </c>
      <c r="K519" s="1076"/>
      <c r="L519" s="1076" t="str">
        <f>IFERROR(__xludf.DUMMYFUNCTION("""COMPUTED_VALUE"""),"KLH")</f>
        <v>KLH</v>
      </c>
    </row>
    <row r="520" customHeight="1" spans="1:12">
      <c r="A520" s="1089" t="str">
        <f>IFERROR(__xludf.DUMMYFUNCTION("""COMPUTED_VALUE"""),"CKC-MKE-002")</f>
        <v>CKC-MKE-002</v>
      </c>
      <c r="B520" s="1075" t="str">
        <f>IFERROR(__xludf.DUMMYFUNCTION("""COMPUTED_VALUE"""),"Máy cày KAM50")</f>
        <v>Máy cày KAM50</v>
      </c>
      <c r="C520" s="1076" t="str">
        <f>IFERROR(__xludf.DUMMYFUNCTION("""COMPUTED_VALUE"""),"Thagricons")</f>
        <v>Thagricons</v>
      </c>
      <c r="D520" s="1076" t="str">
        <f>IFERROR(__xludf.DUMMYFUNCTION("""COMPUTED_VALUE"""),"THACO")</f>
        <v>THACO</v>
      </c>
      <c r="E520" s="1076" t="str">
        <f>IFERROR(__xludf.DUMMYFUNCTION("""COMPUTED_VALUE"""),"VIỆT NAM")</f>
        <v>VIỆT NAM</v>
      </c>
      <c r="F520" s="1076">
        <f>IFERROR(__xludf.DUMMYFUNCTION("""COMPUTED_VALUE"""),2012)</f>
        <v>2012</v>
      </c>
      <c r="G520" s="1076" t="str">
        <f>IFERROR(__xludf.DUMMYFUNCTION("""COMPUTED_VALUE"""),"KAM50")</f>
        <v>KAM50</v>
      </c>
      <c r="H520" s="1076" t="str">
        <f>IFERROR(__xludf.DUMMYFUNCTION("""COMPUTED_VALUE"""),"50HP")</f>
        <v>50HP</v>
      </c>
      <c r="I520" s="1076" t="str">
        <f>IFERROR(__xludf.DUMMYFUNCTION("""COMPUTED_VALUE"""),"TAMMT05AJC000089")</f>
        <v>TAMMT05AJC000089</v>
      </c>
      <c r="J520" s="1076" t="str">
        <f>IFERROR(__xludf.DUMMYFUNCTION("""COMPUTED_VALUE"""),"CCN")</f>
        <v>CCN</v>
      </c>
      <c r="K520" s="1076">
        <f>IFERROR(__xludf.DUMMYFUNCTION("""COMPUTED_VALUE"""),2.5)</f>
        <v>2.5</v>
      </c>
      <c r="L520" s="1076" t="str">
        <f>IFERROR(__xludf.DUMMYFUNCTION("""COMPUTED_VALUE"""),"KLH")</f>
        <v>KLH</v>
      </c>
    </row>
    <row r="521" customHeight="1" spans="1:12">
      <c r="A521" s="1089" t="str">
        <f>IFERROR(__xludf.DUMMYFUNCTION("""COMPUTED_VALUE"""),"CKC-XNA-002")</f>
        <v>CKC-XNA-002</v>
      </c>
      <c r="B521" s="1075" t="str">
        <f>IFERROR(__xludf.DUMMYFUNCTION("""COMPUTED_VALUE"""),"Xe nâng dầu YALE 3.5 tấn")</f>
        <v>Xe nâng dầu YALE 3.5 tấn</v>
      </c>
      <c r="C521" s="1076" t="str">
        <f>IFERROR(__xludf.DUMMYFUNCTION("""COMPUTED_VALUE"""),"Thagricons")</f>
        <v>Thagricons</v>
      </c>
      <c r="D521" s="1076" t="str">
        <f>IFERROR(__xludf.DUMMYFUNCTION("""COMPUTED_VALUE"""),"YALE")</f>
        <v>YALE</v>
      </c>
      <c r="E521" s="1076" t="str">
        <f>IFERROR(__xludf.DUMMYFUNCTION("""COMPUTED_VALUE"""),"NHẬT BẢN")</f>
        <v>NHẬT BẢN</v>
      </c>
      <c r="F521" s="1076"/>
      <c r="G521" s="1076"/>
      <c r="H521" s="1076"/>
      <c r="I521" s="1076" t="str">
        <f>IFERROR(__xludf.DUMMYFUNCTION("""COMPUTED_VALUE"""),"31059")</f>
        <v>31059</v>
      </c>
      <c r="J521" s="1076" t="str">
        <f>IFERROR(__xludf.DUMMYFUNCTION("""COMPUTED_VALUE"""),"4TNE98-805NNF")</f>
        <v>4TNE98-805NNF</v>
      </c>
      <c r="K521" s="1076">
        <f>IFERROR(__xludf.DUMMYFUNCTION("""COMPUTED_VALUE"""),2.5)</f>
        <v>2.5</v>
      </c>
      <c r="L521" s="1076" t="str">
        <f>IFERROR(__xludf.DUMMYFUNCTION("""COMPUTED_VALUE"""),"KLH")</f>
        <v>KLH</v>
      </c>
    </row>
    <row r="522" customHeight="1" spans="1:12">
      <c r="A522" s="1089" t="str">
        <f>IFERROR(__xludf.DUMMYFUNCTION("""COMPUTED_VALUE"""),"CKC-XLO-001")</f>
        <v>CKC-XLO-001</v>
      </c>
      <c r="B522" s="1075" t="str">
        <f>IFERROR(__xludf.DUMMYFUNCTION("""COMPUTED_VALUE"""),"Xe lôi")</f>
        <v>Xe lôi</v>
      </c>
      <c r="C522" s="1076" t="str">
        <f>IFERROR(__xludf.DUMMYFUNCTION("""COMPUTED_VALUE"""),"Thagricons")</f>
        <v>Thagricons</v>
      </c>
      <c r="D522" s="1076" t="str">
        <f>IFERROR(__xludf.DUMMYFUNCTION("""COMPUTED_VALUE"""),"THAICO")</f>
        <v>THAICO</v>
      </c>
      <c r="E522" s="1076" t="str">
        <f>IFERROR(__xludf.DUMMYFUNCTION("""COMPUTED_VALUE"""),"VIỆT NAM")</f>
        <v>VIỆT NAM</v>
      </c>
      <c r="F522" s="1076"/>
      <c r="G522" s="1076" t="str">
        <f>IFERROR(__xludf.DUMMYFUNCTION("""COMPUTED_VALUE"""),"150ZH")</f>
        <v>150ZH</v>
      </c>
      <c r="H522" s="1076" t="str">
        <f>IFERROR(__xludf.DUMMYFUNCTION("""COMPUTED_VALUE"""),"150HP")</f>
        <v>150HP</v>
      </c>
      <c r="I522" s="1076" t="str">
        <f>IFERROR(__xludf.DUMMYFUNCTION("""COMPUTED_VALUE"""),"TH162FMJ-C22060455")</f>
        <v>TH162FMJ-C22060455</v>
      </c>
      <c r="J522" s="1076" t="str">
        <f>IFERROR(__xludf.DUMMYFUNCTION("""COMPUTED_VALUE"""),"CCN")</f>
        <v>CCN</v>
      </c>
      <c r="K522" s="1076">
        <f>IFERROR(__xludf.DUMMYFUNCTION("""COMPUTED_VALUE"""),2.5)</f>
        <v>2.5</v>
      </c>
      <c r="L522" s="1076" t="str">
        <f>IFERROR(__xludf.DUMMYFUNCTION("""COMPUTED_VALUE"""),"KLH")</f>
        <v>KLH</v>
      </c>
    </row>
    <row r="523" customHeight="1" spans="1:12">
      <c r="A523" s="1089" t="str">
        <f>IFERROR(__xludf.DUMMYFUNCTION("""COMPUTED_VALUE"""),"CKC-XLO-002")</f>
        <v>CKC-XLO-002</v>
      </c>
      <c r="B523" s="1075" t="str">
        <f>IFERROR(__xludf.DUMMYFUNCTION("""COMPUTED_VALUE"""),"Xe lôi")</f>
        <v>Xe lôi</v>
      </c>
      <c r="C523" s="1076" t="str">
        <f>IFERROR(__xludf.DUMMYFUNCTION("""COMPUTED_VALUE"""),"Thagricons")</f>
        <v>Thagricons</v>
      </c>
      <c r="D523" s="1076" t="str">
        <f>IFERROR(__xludf.DUMMYFUNCTION("""COMPUTED_VALUE"""),"THAICO")</f>
        <v>THAICO</v>
      </c>
      <c r="E523" s="1076" t="str">
        <f>IFERROR(__xludf.DUMMYFUNCTION("""COMPUTED_VALUE"""),"VIỆT NAM")</f>
        <v>VIỆT NAM</v>
      </c>
      <c r="F523" s="1076"/>
      <c r="G523" s="1076" t="str">
        <f>IFERROR(__xludf.DUMMYFUNCTION("""COMPUTED_VALUE"""),"150ZH")</f>
        <v>150ZH</v>
      </c>
      <c r="H523" s="1076" t="str">
        <f>IFERROR(__xludf.DUMMYFUNCTION("""COMPUTED_VALUE"""),"150HP")</f>
        <v>150HP</v>
      </c>
      <c r="I523" s="1076" t="str">
        <f>IFERROR(__xludf.DUMMYFUNCTION("""COMPUTED_VALUE"""),"TH162FMJ-C23004009")</f>
        <v>TH162FMJ-C23004009</v>
      </c>
      <c r="J523" s="1076" t="str">
        <f>IFERROR(__xludf.DUMMYFUNCTION("""COMPUTED_VALUE"""),"CCN")</f>
        <v>CCN</v>
      </c>
      <c r="K523" s="1076">
        <f>IFERROR(__xludf.DUMMYFUNCTION("""COMPUTED_VALUE"""),2.5)</f>
        <v>2.5</v>
      </c>
      <c r="L523" s="1076" t="str">
        <f>IFERROR(__xludf.DUMMYFUNCTION("""COMPUTED_VALUE"""),"KLH")</f>
        <v>KLH</v>
      </c>
    </row>
    <row r="524" customHeight="1" spans="1:12">
      <c r="A524" s="1089" t="str">
        <f>IFERROR(__xludf.DUMMYFUNCTION("""COMPUTED_VALUE"""),"CKC-XLO-003")</f>
        <v>CKC-XLO-003</v>
      </c>
      <c r="B524" s="1075" t="str">
        <f>IFERROR(__xludf.DUMMYFUNCTION("""COMPUTED_VALUE"""),"Xe lôi")</f>
        <v>Xe lôi</v>
      </c>
      <c r="C524" s="1076" t="str">
        <f>IFERROR(__xludf.DUMMYFUNCTION("""COMPUTED_VALUE"""),"Thagricons")</f>
        <v>Thagricons</v>
      </c>
      <c r="D524" s="1076" t="str">
        <f>IFERROR(__xludf.DUMMYFUNCTION("""COMPUTED_VALUE"""),"THAICO")</f>
        <v>THAICO</v>
      </c>
      <c r="E524" s="1076" t="str">
        <f>IFERROR(__xludf.DUMMYFUNCTION("""COMPUTED_VALUE"""),"VIỆT NAM")</f>
        <v>VIỆT NAM</v>
      </c>
      <c r="F524" s="1076"/>
      <c r="G524" s="1076" t="str">
        <f>IFERROR(__xludf.DUMMYFUNCTION("""COMPUTED_VALUE"""),"150ZH")</f>
        <v>150ZH</v>
      </c>
      <c r="H524" s="1076" t="str">
        <f>IFERROR(__xludf.DUMMYFUNCTION("""COMPUTED_VALUE"""),"150HP")</f>
        <v>150HP</v>
      </c>
      <c r="I524" s="1076" t="str">
        <f>IFERROR(__xludf.DUMMYFUNCTION("""COMPUTED_VALUE"""),"TH162FMJ-C23004035")</f>
        <v>TH162FMJ-C23004035</v>
      </c>
      <c r="J524" s="1076" t="str">
        <f>IFERROR(__xludf.DUMMYFUNCTION("""COMPUTED_VALUE"""),"CCN")</f>
        <v>CCN</v>
      </c>
      <c r="K524" s="1076">
        <f>IFERROR(__xludf.DUMMYFUNCTION("""COMPUTED_VALUE"""),2.5)</f>
        <v>2.5</v>
      </c>
      <c r="L524" s="1076" t="str">
        <f>IFERROR(__xludf.DUMMYFUNCTION("""COMPUTED_VALUE"""),"KLH")</f>
        <v>KLH</v>
      </c>
    </row>
    <row r="525" customHeight="1" spans="1:12">
      <c r="A525" s="1089" t="str">
        <f>IFERROR(__xludf.DUMMYFUNCTION("""COMPUTED_VALUE"""),"CKC-XLO-004")</f>
        <v>CKC-XLO-004</v>
      </c>
      <c r="B525" s="1075" t="str">
        <f>IFERROR(__xludf.DUMMYFUNCTION("""COMPUTED_VALUE"""),"Xe lôi")</f>
        <v>Xe lôi</v>
      </c>
      <c r="C525" s="1076" t="str">
        <f>IFERROR(__xludf.DUMMYFUNCTION("""COMPUTED_VALUE"""),"Thagricons")</f>
        <v>Thagricons</v>
      </c>
      <c r="D525" s="1076" t="str">
        <f>IFERROR(__xludf.DUMMYFUNCTION("""COMPUTED_VALUE"""),"THAICO")</f>
        <v>THAICO</v>
      </c>
      <c r="E525" s="1076" t="str">
        <f>IFERROR(__xludf.DUMMYFUNCTION("""COMPUTED_VALUE"""),"VIỆT NAM")</f>
        <v>VIỆT NAM</v>
      </c>
      <c r="F525" s="1076"/>
      <c r="G525" s="1076" t="str">
        <f>IFERROR(__xludf.DUMMYFUNCTION("""COMPUTED_VALUE"""),"150ZH")</f>
        <v>150ZH</v>
      </c>
      <c r="H525" s="1076" t="str">
        <f>IFERROR(__xludf.DUMMYFUNCTION("""COMPUTED_VALUE"""),"150HP")</f>
        <v>150HP</v>
      </c>
      <c r="I525" s="1076" t="str">
        <f>IFERROR(__xludf.DUMMYFUNCTION("""COMPUTED_VALUE"""),"TH162FMJ-C23004033")</f>
        <v>TH162FMJ-C23004033</v>
      </c>
      <c r="J525" s="1076" t="str">
        <f>IFERROR(__xludf.DUMMYFUNCTION("""COMPUTED_VALUE"""),"CCN")</f>
        <v>CCN</v>
      </c>
      <c r="K525" s="1076">
        <f>IFERROR(__xludf.DUMMYFUNCTION("""COMPUTED_VALUE"""),2.5)</f>
        <v>2.5</v>
      </c>
      <c r="L525" s="1076" t="str">
        <f>IFERROR(__xludf.DUMMYFUNCTION("""COMPUTED_VALUE"""),"KLH")</f>
        <v>KLH</v>
      </c>
    </row>
    <row r="526" customHeight="1" spans="1:12">
      <c r="A526" s="1089" t="str">
        <f>IFERROR(__xludf.DUMMYFUNCTION("""COMPUTED_VALUE"""),"CKC-XLO-005")</f>
        <v>CKC-XLO-005</v>
      </c>
      <c r="B526" s="1075" t="str">
        <f>IFERROR(__xludf.DUMMYFUNCTION("""COMPUTED_VALUE"""),"Xe lôi")</f>
        <v>Xe lôi</v>
      </c>
      <c r="C526" s="1076" t="str">
        <f>IFERROR(__xludf.DUMMYFUNCTION("""COMPUTED_VALUE"""),"Thagricons")</f>
        <v>Thagricons</v>
      </c>
      <c r="D526" s="1076" t="str">
        <f>IFERROR(__xludf.DUMMYFUNCTION("""COMPUTED_VALUE"""),"THAICO")</f>
        <v>THAICO</v>
      </c>
      <c r="E526" s="1076" t="str">
        <f>IFERROR(__xludf.DUMMYFUNCTION("""COMPUTED_VALUE"""),"VIỆT NAM")</f>
        <v>VIỆT NAM</v>
      </c>
      <c r="F526" s="1076"/>
      <c r="G526" s="1076" t="str">
        <f>IFERROR(__xludf.DUMMYFUNCTION("""COMPUTED_VALUE"""),"150ZH")</f>
        <v>150ZH</v>
      </c>
      <c r="H526" s="1076" t="str">
        <f>IFERROR(__xludf.DUMMYFUNCTION("""COMPUTED_VALUE"""),"150HP")</f>
        <v>150HP</v>
      </c>
      <c r="I526" s="1076" t="str">
        <f>IFERROR(__xludf.DUMMYFUNCTION("""COMPUTED_VALUE"""),"TH162FMJ-C23004039")</f>
        <v>TH162FMJ-C23004039</v>
      </c>
      <c r="J526" s="1076" t="str">
        <f>IFERROR(__xludf.DUMMYFUNCTION("""COMPUTED_VALUE"""),"CCN")</f>
        <v>CCN</v>
      </c>
      <c r="K526" s="1076">
        <f>IFERROR(__xludf.DUMMYFUNCTION("""COMPUTED_VALUE"""),2.5)</f>
        <v>2.5</v>
      </c>
      <c r="L526" s="1076" t="str">
        <f>IFERROR(__xludf.DUMMYFUNCTION("""COMPUTED_VALUE"""),"KLH")</f>
        <v>KLH</v>
      </c>
    </row>
    <row r="527" customHeight="1" spans="1:12">
      <c r="A527" s="1089" t="str">
        <f>IFERROR(__xludf.DUMMYFUNCTION("""COMPUTED_VALUE"""),"CKC-XLO-006")</f>
        <v>CKC-XLO-006</v>
      </c>
      <c r="B527" s="1075" t="str">
        <f>IFERROR(__xludf.DUMMYFUNCTION("""COMPUTED_VALUE"""),"Xe lôi")</f>
        <v>Xe lôi</v>
      </c>
      <c r="C527" s="1076" t="str">
        <f>IFERROR(__xludf.DUMMYFUNCTION("""COMPUTED_VALUE"""),"Thagricons")</f>
        <v>Thagricons</v>
      </c>
      <c r="D527" s="1076" t="str">
        <f>IFERROR(__xludf.DUMMYFUNCTION("""COMPUTED_VALUE"""),"THAICO")</f>
        <v>THAICO</v>
      </c>
      <c r="E527" s="1076" t="str">
        <f>IFERROR(__xludf.DUMMYFUNCTION("""COMPUTED_VALUE"""),"VIỆT NAM")</f>
        <v>VIỆT NAM</v>
      </c>
      <c r="F527" s="1076"/>
      <c r="G527" s="1076" t="str">
        <f>IFERROR(__xludf.DUMMYFUNCTION("""COMPUTED_VALUE"""),"150ZH")</f>
        <v>150ZH</v>
      </c>
      <c r="H527" s="1076" t="str">
        <f>IFERROR(__xludf.DUMMYFUNCTION("""COMPUTED_VALUE"""),"150HP")</f>
        <v>150HP</v>
      </c>
      <c r="I527" s="1076" t="str">
        <f>IFERROR(__xludf.DUMMYFUNCTION("""COMPUTED_VALUE"""),"TH162FMJ-C22060453")</f>
        <v>TH162FMJ-C22060453</v>
      </c>
      <c r="J527" s="1076" t="str">
        <f>IFERROR(__xludf.DUMMYFUNCTION("""COMPUTED_VALUE"""),"CCN")</f>
        <v>CCN</v>
      </c>
      <c r="K527" s="1076">
        <f>IFERROR(__xludf.DUMMYFUNCTION("""COMPUTED_VALUE"""),2.5)</f>
        <v>2.5</v>
      </c>
      <c r="L527" s="1076" t="str">
        <f>IFERROR(__xludf.DUMMYFUNCTION("""COMPUTED_VALUE"""),"KLH")</f>
        <v>KLH</v>
      </c>
    </row>
    <row r="528" customHeight="1" spans="1:12">
      <c r="A528" s="1089" t="str">
        <f>IFERROR(__xludf.DUMMYFUNCTION("""COMPUTED_VALUE"""),"CKC-XLO-007")</f>
        <v>CKC-XLO-007</v>
      </c>
      <c r="B528" s="1075" t="str">
        <f>IFERROR(__xludf.DUMMYFUNCTION("""COMPUTED_VALUE"""),"Xe lôi")</f>
        <v>Xe lôi</v>
      </c>
      <c r="C528" s="1076" t="str">
        <f>IFERROR(__xludf.DUMMYFUNCTION("""COMPUTED_VALUE"""),"Thagricons")</f>
        <v>Thagricons</v>
      </c>
      <c r="D528" s="1076" t="str">
        <f>IFERROR(__xludf.DUMMYFUNCTION("""COMPUTED_VALUE"""),"LONCIN")</f>
        <v>LONCIN</v>
      </c>
      <c r="E528" s="1076" t="str">
        <f>IFERROR(__xludf.DUMMYFUNCTION("""COMPUTED_VALUE"""),"VIỆT NAM")</f>
        <v>VIỆT NAM</v>
      </c>
      <c r="F528" s="1076"/>
      <c r="G528" s="1076" t="str">
        <f>IFERROR(__xludf.DUMMYFUNCTION("""COMPUTED_VALUE"""),"150ZH")</f>
        <v>150ZH</v>
      </c>
      <c r="H528" s="1076" t="str">
        <f>IFERROR(__xludf.DUMMYFUNCTION("""COMPUTED_VALUE"""),"150HP")</f>
        <v>150HP</v>
      </c>
      <c r="I528" s="1076" t="str">
        <f>IFERROR(__xludf.DUMMYFUNCTION("""COMPUTED_VALUE"""),"LC162FMJ-TM014863")</f>
        <v>LC162FMJ-TM014863</v>
      </c>
      <c r="J528" s="1076" t="str">
        <f>IFERROR(__xludf.DUMMYFUNCTION("""COMPUTED_VALUE"""),"CCN")</f>
        <v>CCN</v>
      </c>
      <c r="K528" s="1076">
        <f>IFERROR(__xludf.DUMMYFUNCTION("""COMPUTED_VALUE"""),2.5)</f>
        <v>2.5</v>
      </c>
      <c r="L528" s="1076" t="str">
        <f>IFERROR(__xludf.DUMMYFUNCTION("""COMPUTED_VALUE"""),"KLH")</f>
        <v>KLH</v>
      </c>
    </row>
    <row r="529" customHeight="1" spans="1:12">
      <c r="A529" s="1089" t="str">
        <f>IFERROR(__xludf.DUMMYFUNCTION("""COMPUTED_VALUE"""),"CKC-XLO-008")</f>
        <v>CKC-XLO-008</v>
      </c>
      <c r="B529" s="1075" t="str">
        <f>IFERROR(__xludf.DUMMYFUNCTION("""COMPUTED_VALUE"""),"Xe lôi")</f>
        <v>Xe lôi</v>
      </c>
      <c r="C529" s="1076" t="str">
        <f>IFERROR(__xludf.DUMMYFUNCTION("""COMPUTED_VALUE"""),"Thagricons")</f>
        <v>Thagricons</v>
      </c>
      <c r="D529" s="1076" t="str">
        <f>IFERROR(__xludf.DUMMYFUNCTION("""COMPUTED_VALUE"""),"ZONGSHEN")</f>
        <v>ZONGSHEN</v>
      </c>
      <c r="E529" s="1076"/>
      <c r="F529" s="1076"/>
      <c r="G529" s="1076" t="str">
        <f>IFERROR(__xludf.DUMMYFUNCTION("""COMPUTED_VALUE"""),"150ZH")</f>
        <v>150ZH</v>
      </c>
      <c r="H529" s="1076" t="str">
        <f>IFERROR(__xludf.DUMMYFUNCTION("""COMPUTED_VALUE"""),"150HP")</f>
        <v>150HP</v>
      </c>
      <c r="I529" s="1076" t="str">
        <f>IFERROR(__xludf.DUMMYFUNCTION("""COMPUTED_VALUE"""),"ZS162MJ-L8L300020")</f>
        <v>ZS162MJ-L8L300020</v>
      </c>
      <c r="J529" s="1076" t="str">
        <f>IFERROR(__xludf.DUMMYFUNCTION("""COMPUTED_VALUE"""),"CCN")</f>
        <v>CCN</v>
      </c>
      <c r="K529" s="1076">
        <f>IFERROR(__xludf.DUMMYFUNCTION("""COMPUTED_VALUE"""),2.5)</f>
        <v>2.5</v>
      </c>
      <c r="L529" s="1076" t="str">
        <f>IFERROR(__xludf.DUMMYFUNCTION("""COMPUTED_VALUE"""),"KLH")</f>
        <v>KLH</v>
      </c>
    </row>
    <row r="530" customHeight="1" spans="1:12">
      <c r="A530" s="1089" t="str">
        <f>IFERROR(__xludf.DUMMYFUNCTION("""COMPUTED_VALUE"""),"CKC-XLO-009")</f>
        <v>CKC-XLO-009</v>
      </c>
      <c r="B530" s="1075" t="str">
        <f>IFERROR(__xludf.DUMMYFUNCTION("""COMPUTED_VALUE"""),"Xe lôi")</f>
        <v>Xe lôi</v>
      </c>
      <c r="C530" s="1076" t="str">
        <f>IFERROR(__xludf.DUMMYFUNCTION("""COMPUTED_VALUE"""),"Thagricons")</f>
        <v>Thagricons</v>
      </c>
      <c r="D530" s="1076" t="str">
        <f>IFERROR(__xludf.DUMMYFUNCTION("""COMPUTED_VALUE"""),"ZONGSHEN")</f>
        <v>ZONGSHEN</v>
      </c>
      <c r="E530" s="1076"/>
      <c r="F530" s="1076"/>
      <c r="G530" s="1076" t="str">
        <f>IFERROR(__xludf.DUMMYFUNCTION("""COMPUTED_VALUE"""),"150ZH")</f>
        <v>150ZH</v>
      </c>
      <c r="H530" s="1076" t="str">
        <f>IFERROR(__xludf.DUMMYFUNCTION("""COMPUTED_VALUE"""),"150HP")</f>
        <v>150HP</v>
      </c>
      <c r="I530" s="1076" t="str">
        <f>IFERROR(__xludf.DUMMYFUNCTION("""COMPUTED_VALUE"""),"ZS162MJ-LL012627")</f>
        <v>ZS162MJ-LL012627</v>
      </c>
      <c r="J530" s="1076" t="str">
        <f>IFERROR(__xludf.DUMMYFUNCTION("""COMPUTED_VALUE"""),"CCN")</f>
        <v>CCN</v>
      </c>
      <c r="K530" s="1076">
        <f>IFERROR(__xludf.DUMMYFUNCTION("""COMPUTED_VALUE"""),2.5)</f>
        <v>2.5</v>
      </c>
      <c r="L530" s="1076" t="str">
        <f>IFERROR(__xludf.DUMMYFUNCTION("""COMPUTED_VALUE"""),"KLH")</f>
        <v>KLH</v>
      </c>
    </row>
    <row r="531" customHeight="1" spans="1:12">
      <c r="A531" s="1089" t="str">
        <f>IFERROR(__xludf.DUMMYFUNCTION("""COMPUTED_VALUE"""),"PHC-MKE-001")</f>
        <v>PHC-MKE-001</v>
      </c>
      <c r="B531" s="1075" t="str">
        <f>IFERROR(__xludf.DUMMYFUNCTION("""COMPUTED_VALUE"""),"Máy cày L4508")</f>
        <v>Máy cày L4508</v>
      </c>
      <c r="C531" s="1076" t="str">
        <f>IFERROR(__xludf.DUMMYFUNCTION("""COMPUTED_VALUE"""),"HÀNH CHÍNH KLH")</f>
        <v>HÀNH CHÍNH KLH</v>
      </c>
      <c r="D531" s="1076" t="str">
        <f>IFERROR(__xludf.DUMMYFUNCTION("""COMPUTED_VALUE"""),"KUBOTA")</f>
        <v>KUBOTA</v>
      </c>
      <c r="E531" s="1076" t="str">
        <f>IFERROR(__xludf.DUMMYFUNCTION("""COMPUTED_VALUE"""),"NHẬT BẢN")</f>
        <v>NHẬT BẢN</v>
      </c>
      <c r="F531" s="1076">
        <f>IFERROR(__xludf.DUMMYFUNCTION("""COMPUTED_VALUE"""),2015)</f>
        <v>2015</v>
      </c>
      <c r="G531" s="1076" t="str">
        <f>IFERROR(__xludf.DUMMYFUNCTION("""COMPUTED_VALUE"""),"L4508")</f>
        <v>L4508</v>
      </c>
      <c r="H531" s="1076" t="str">
        <f>IFERROR(__xludf.DUMMYFUNCTION("""COMPUTED_VALUE"""),"45HP")</f>
        <v>45HP</v>
      </c>
      <c r="I531" s="1076" t="str">
        <f>IFERROR(__xludf.DUMMYFUNCTION("""COMPUTED_VALUE"""),"1659")</f>
        <v>1659</v>
      </c>
      <c r="J531" s="1076" t="str">
        <f>IFERROR(__xludf.DUMMYFUNCTION("""COMPUTED_VALUE"""),"CCN")</f>
        <v>CCN</v>
      </c>
      <c r="K531" s="1076">
        <f>IFERROR(__xludf.DUMMYFUNCTION("""COMPUTED_VALUE"""),2.5)</f>
        <v>2.5</v>
      </c>
      <c r="L531" s="1076" t="str">
        <f>IFERROR(__xludf.DUMMYFUNCTION("""COMPUTED_VALUE"""),"KLH")</f>
        <v>KLH</v>
      </c>
    </row>
    <row r="532" customHeight="1" spans="1:12">
      <c r="A532" s="1089" t="str">
        <f>IFERROR(__xludf.DUMMYFUNCTION("""COMPUTED_VALUE"""),"HCA-TCD-001")</f>
        <v>HCA-TCD-001</v>
      </c>
      <c r="B532" s="1075" t="str">
        <f>IFERROR(__xludf.DUMMYFUNCTION("""COMPUTED_VALUE"""),"Xe tải chuyên dụng (cabin đôi)")</f>
        <v>Xe tải chuyên dụng (cabin đôi)</v>
      </c>
      <c r="C532" s="1076" t="str">
        <f>IFERROR(__xludf.DUMMYFUNCTION("""COMPUTED_VALUE"""),"HÀNH CHÍNH KLH")</f>
        <v>HÀNH CHÍNH KLH</v>
      </c>
      <c r="D532" s="1076" t="str">
        <f>IFERROR(__xludf.DUMMYFUNCTION("""COMPUTED_VALUE"""),"THACO KIA")</f>
        <v>THACO KIA</v>
      </c>
      <c r="E532" s="1076" t="str">
        <f>IFERROR(__xludf.DUMMYFUNCTION("""COMPUTED_VALUE"""),"VIỆT NAM")</f>
        <v>VIỆT NAM</v>
      </c>
      <c r="F532" s="1076">
        <f>IFERROR(__xludf.DUMMYFUNCTION("""COMPUTED_VALUE"""),2021)</f>
        <v>2021</v>
      </c>
      <c r="G532" s="1076" t="str">
        <f>IFERROR(__xludf.DUMMYFUNCTION("""COMPUTED_VALUE"""),"FRONTIER K200SD")</f>
        <v>FRONTIER K200SD</v>
      </c>
      <c r="H532" s="1076" t="str">
        <f>IFERROR(__xludf.DUMMYFUNCTION("""COMPUTED_VALUE"""),"130HP")</f>
        <v>130HP</v>
      </c>
      <c r="I532" s="1076" t="str">
        <f>IFERROR(__xludf.DUMMYFUNCTION("""COMPUTED_VALUE"""),"RNHF39KHBMT045661")</f>
        <v>RNHF39KHBMT045661</v>
      </c>
      <c r="J532" s="1076" t="str">
        <f>IFERROR(__xludf.DUMMYFUNCTION("""COMPUTED_VALUE"""),"MD540089D4CB")</f>
        <v>MD540089D4CB</v>
      </c>
      <c r="K532" s="1076"/>
      <c r="L532" s="1076" t="str">
        <f>IFERROR(__xludf.DUMMYFUNCTION("""COMPUTED_VALUE"""),"KLH")</f>
        <v>KLH</v>
      </c>
    </row>
    <row r="533" customHeight="1" spans="1:12">
      <c r="A533" s="1089" t="str">
        <f>IFERROR(__xludf.DUMMYFUNCTION("""COMPUTED_VALUE"""),"HCD-MKE-094")</f>
        <v>HCD-MKE-094</v>
      </c>
      <c r="B533" s="1075" t="str">
        <f>IFERROR(__xludf.DUMMYFUNCTION("""COMPUTED_VALUE"""),"Máy cày L4508")</f>
        <v>Máy cày L4508</v>
      </c>
      <c r="C533" s="1076" t="str">
        <f>IFERROR(__xludf.DUMMYFUNCTION("""COMPUTED_VALUE"""),"HÀNH CHÍNH KLH")</f>
        <v>HÀNH CHÍNH KLH</v>
      </c>
      <c r="D533" s="1076" t="str">
        <f>IFERROR(__xludf.DUMMYFUNCTION("""COMPUTED_VALUE"""),"KUBOTA")</f>
        <v>KUBOTA</v>
      </c>
      <c r="E533" s="1076" t="str">
        <f>IFERROR(__xludf.DUMMYFUNCTION("""COMPUTED_VALUE"""),"NHẬT BẢN")</f>
        <v>NHẬT BẢN</v>
      </c>
      <c r="F533" s="1076">
        <f>IFERROR(__xludf.DUMMYFUNCTION("""COMPUTED_VALUE"""),2015)</f>
        <v>2015</v>
      </c>
      <c r="G533" s="1076" t="str">
        <f>IFERROR(__xludf.DUMMYFUNCTION("""COMPUTED_VALUE"""),"L4508")</f>
        <v>L4508</v>
      </c>
      <c r="H533" s="1076" t="str">
        <f>IFERROR(__xludf.DUMMYFUNCTION("""COMPUTED_VALUE"""),"45HP")</f>
        <v>45HP</v>
      </c>
      <c r="I533" s="1076" t="str">
        <f>IFERROR(__xludf.DUMMYFUNCTION("""COMPUTED_VALUE"""),"01720")</f>
        <v>01720</v>
      </c>
      <c r="J533" s="1076" t="str">
        <f>IFERROR(__xludf.DUMMYFUNCTION("""COMPUTED_VALUE"""),"CCN")</f>
        <v>CCN</v>
      </c>
      <c r="K533" s="1076">
        <f>IFERROR(__xludf.DUMMYFUNCTION("""COMPUTED_VALUE"""),2.5)</f>
        <v>2.5</v>
      </c>
      <c r="L533" s="1076" t="str">
        <f>IFERROR(__xludf.DUMMYFUNCTION("""COMPUTED_VALUE"""),"KLH")</f>
        <v>KLH</v>
      </c>
    </row>
    <row r="534" customHeight="1" spans="1:12">
      <c r="A534" s="1089" t="str">
        <f>IFERROR(__xludf.DUMMYFUNCTION("""COMPUTED_VALUE"""),"PHC-XCV-001")</f>
        <v>PHC-XCV-001</v>
      </c>
      <c r="B534" s="1075" t="str">
        <f>IFERROR(__xludf.DUMMYFUNCTION("""COMPUTED_VALUE"""),"Xe công vụ Mazda BT50")</f>
        <v>Xe công vụ Mazda BT50</v>
      </c>
      <c r="C534" s="1076" t="str">
        <f>IFERROR(__xludf.DUMMYFUNCTION("""COMPUTED_VALUE"""),"HÀNH CHÍNH KLH")</f>
        <v>HÀNH CHÍNH KLH</v>
      </c>
      <c r="D534" s="1076" t="str">
        <f>IFERROR(__xludf.DUMMYFUNCTION("""COMPUTED_VALUE"""),"MAZDA")</f>
        <v>MAZDA</v>
      </c>
      <c r="E534" s="1076" t="str">
        <f>IFERROR(__xludf.DUMMYFUNCTION("""COMPUTED_VALUE"""),"HÀN QUỐC")</f>
        <v>HÀN QUỐC</v>
      </c>
      <c r="F534" s="1076">
        <f>IFERROR(__xludf.DUMMYFUNCTION("""COMPUTED_VALUE"""),2018)</f>
        <v>2018</v>
      </c>
      <c r="G534" s="1076" t="str">
        <f>IFERROR(__xludf.DUMMYFUNCTION("""COMPUTED_VALUE"""),"BT50")</f>
        <v>BT50</v>
      </c>
      <c r="H534" s="1076" t="str">
        <f>IFERROR(__xludf.DUMMYFUNCTION("""COMPUTED_VALUE"""),"148HP")</f>
        <v>148HP</v>
      </c>
      <c r="I534" s="1076" t="str">
        <f>IFERROR(__xludf.DUMMYFUNCTION("""COMPUTED_VALUE"""),"MM7UR4DF4KW852868")</f>
        <v>MM7UR4DF4KW852868</v>
      </c>
      <c r="J534" s="1076" t="str">
        <f>IFERROR(__xludf.DUMMYFUNCTION("""COMPUTED_VALUE"""),"P5AT2644238")</f>
        <v>P5AT2644238</v>
      </c>
      <c r="K534" s="1076"/>
      <c r="L534" s="1076" t="str">
        <f>IFERROR(__xludf.DUMMYFUNCTION("""COMPUTED_VALUE"""),"KLH")</f>
        <v>KLH</v>
      </c>
    </row>
    <row r="535" customHeight="1" spans="1:12">
      <c r="A535" s="1089" t="str">
        <f>IFERROR(__xludf.DUMMYFUNCTION("""COMPUTED_VALUE"""),"PHC-XCV-002")</f>
        <v>PHC-XCV-002</v>
      </c>
      <c r="B535" s="1075" t="str">
        <f>IFERROR(__xludf.DUMMYFUNCTION("""COMPUTED_VALUE"""),"Xe công vụ Mazda BT50")</f>
        <v>Xe công vụ Mazda BT50</v>
      </c>
      <c r="C535" s="1076" t="str">
        <f>IFERROR(__xludf.DUMMYFUNCTION("""COMPUTED_VALUE"""),"HÀNH CHÍNH KLH")</f>
        <v>HÀNH CHÍNH KLH</v>
      </c>
      <c r="D535" s="1076" t="str">
        <f>IFERROR(__xludf.DUMMYFUNCTION("""COMPUTED_VALUE"""),"MAZDA")</f>
        <v>MAZDA</v>
      </c>
      <c r="E535" s="1076" t="str">
        <f>IFERROR(__xludf.DUMMYFUNCTION("""COMPUTED_VALUE"""),"HÀN QUỐC")</f>
        <v>HÀN QUỐC</v>
      </c>
      <c r="F535" s="1076">
        <f>IFERROR(__xludf.DUMMYFUNCTION("""COMPUTED_VALUE"""),2018)</f>
        <v>2018</v>
      </c>
      <c r="G535" s="1076" t="str">
        <f>IFERROR(__xludf.DUMMYFUNCTION("""COMPUTED_VALUE"""),"BT50")</f>
        <v>BT50</v>
      </c>
      <c r="H535" s="1076" t="str">
        <f>IFERROR(__xludf.DUMMYFUNCTION("""COMPUTED_VALUE"""),"148HP")</f>
        <v>148HP</v>
      </c>
      <c r="I535" s="1076" t="str">
        <f>IFERROR(__xludf.DUMMYFUNCTION("""COMPUTED_VALUE"""),"MM7UR4DFXKW861641")</f>
        <v>MM7UR4DFXKW861641</v>
      </c>
      <c r="J535" s="1076" t="str">
        <f>IFERROR(__xludf.DUMMYFUNCTION("""COMPUTED_VALUE"""),"P5AT2656720")</f>
        <v>P5AT2656720</v>
      </c>
      <c r="K535" s="1076"/>
      <c r="L535" s="1076" t="str">
        <f>IFERROR(__xludf.DUMMYFUNCTION("""COMPUTED_VALUE"""),"KLH")</f>
        <v>KLH</v>
      </c>
    </row>
    <row r="536" customHeight="1" spans="1:12">
      <c r="A536" s="1089" t="str">
        <f>IFERROR(__xludf.DUMMYFUNCTION("""COMPUTED_VALUE"""),"PHC-XCV-003")</f>
        <v>PHC-XCV-003</v>
      </c>
      <c r="B536" s="1075" t="str">
        <f>IFERROR(__xludf.DUMMYFUNCTION("""COMPUTED_VALUE"""),"Xe công vụ Mazda BT50")</f>
        <v>Xe công vụ Mazda BT50</v>
      </c>
      <c r="C536" s="1076" t="str">
        <f>IFERROR(__xludf.DUMMYFUNCTION("""COMPUTED_VALUE"""),"HÀNH CHÍNH KLH")</f>
        <v>HÀNH CHÍNH KLH</v>
      </c>
      <c r="D536" s="1076" t="str">
        <f>IFERROR(__xludf.DUMMYFUNCTION("""COMPUTED_VALUE"""),"MAZDA")</f>
        <v>MAZDA</v>
      </c>
      <c r="E536" s="1076" t="str">
        <f>IFERROR(__xludf.DUMMYFUNCTION("""COMPUTED_VALUE"""),"HÀN QUỐC")</f>
        <v>HÀN QUỐC</v>
      </c>
      <c r="F536" s="1076">
        <f>IFERROR(__xludf.DUMMYFUNCTION("""COMPUTED_VALUE"""),2018)</f>
        <v>2018</v>
      </c>
      <c r="G536" s="1076" t="str">
        <f>IFERROR(__xludf.DUMMYFUNCTION("""COMPUTED_VALUE"""),"BT50")</f>
        <v>BT50</v>
      </c>
      <c r="H536" s="1076" t="str">
        <f>IFERROR(__xludf.DUMMYFUNCTION("""COMPUTED_VALUE"""),"148HP")</f>
        <v>148HP</v>
      </c>
      <c r="I536" s="1076"/>
      <c r="J536" s="1076"/>
      <c r="K536" s="1076"/>
      <c r="L536" s="1076" t="str">
        <f>IFERROR(__xludf.DUMMYFUNCTION("""COMPUTED_VALUE"""),"KLH")</f>
        <v>KLH</v>
      </c>
    </row>
    <row r="537" customHeight="1" spans="1:12">
      <c r="A537" s="1089" t="str">
        <f>IFERROR(__xludf.DUMMYFUNCTION("""COMPUTED_VALUE"""),"PHC-XCV-004")</f>
        <v>PHC-XCV-004</v>
      </c>
      <c r="B537" s="1075" t="str">
        <f>IFERROR(__xludf.DUMMYFUNCTION("""COMPUTED_VALUE"""),"Xe công vụ Mazda BT50")</f>
        <v>Xe công vụ Mazda BT50</v>
      </c>
      <c r="C537" s="1076" t="str">
        <f>IFERROR(__xludf.DUMMYFUNCTION("""COMPUTED_VALUE"""),"HÀNH CHÍNH KLH")</f>
        <v>HÀNH CHÍNH KLH</v>
      </c>
      <c r="D537" s="1076" t="str">
        <f>IFERROR(__xludf.DUMMYFUNCTION("""COMPUTED_VALUE"""),"MAZDA")</f>
        <v>MAZDA</v>
      </c>
      <c r="E537" s="1076" t="str">
        <f>IFERROR(__xludf.DUMMYFUNCTION("""COMPUTED_VALUE"""),"HÀN QUỐC")</f>
        <v>HÀN QUỐC</v>
      </c>
      <c r="F537" s="1076">
        <f>IFERROR(__xludf.DUMMYFUNCTION("""COMPUTED_VALUE"""),2018)</f>
        <v>2018</v>
      </c>
      <c r="G537" s="1076" t="str">
        <f>IFERROR(__xludf.DUMMYFUNCTION("""COMPUTED_VALUE"""),"BT50")</f>
        <v>BT50</v>
      </c>
      <c r="H537" s="1076" t="str">
        <f>IFERROR(__xludf.DUMMYFUNCTION("""COMPUTED_VALUE"""),"148HP")</f>
        <v>148HP</v>
      </c>
      <c r="I537" s="1076" t="str">
        <f>IFERROR(__xludf.DUMMYFUNCTION("""COMPUTED_VALUE"""),"MM7UR4DF1KW855663")</f>
        <v>MM7UR4DF1KW855663</v>
      </c>
      <c r="J537" s="1076" t="str">
        <f>IFERROR(__xludf.DUMMYFUNCTION("""COMPUTED_VALUE"""),"P5AT2648320")</f>
        <v>P5AT2648320</v>
      </c>
      <c r="K537" s="1076"/>
      <c r="L537" s="1076" t="str">
        <f>IFERROR(__xludf.DUMMYFUNCTION("""COMPUTED_VALUE"""),"KLH")</f>
        <v>KLH</v>
      </c>
    </row>
    <row r="538" customHeight="1" spans="1:12">
      <c r="A538" s="1089" t="str">
        <f>IFERROR(__xludf.DUMMYFUNCTION("""COMPUTED_VALUE"""),"PHC-XCV-005")</f>
        <v>PHC-XCV-005</v>
      </c>
      <c r="B538" s="1075" t="str">
        <f>IFERROR(__xludf.DUMMYFUNCTION("""COMPUTED_VALUE"""),"Xe công vụ Mazda BT50")</f>
        <v>Xe công vụ Mazda BT50</v>
      </c>
      <c r="C538" s="1076" t="str">
        <f>IFERROR(__xludf.DUMMYFUNCTION("""COMPUTED_VALUE"""),"HÀNH CHÍNH KLH")</f>
        <v>HÀNH CHÍNH KLH</v>
      </c>
      <c r="D538" s="1076" t="str">
        <f>IFERROR(__xludf.DUMMYFUNCTION("""COMPUTED_VALUE"""),"MAZDA")</f>
        <v>MAZDA</v>
      </c>
      <c r="E538" s="1076" t="str">
        <f>IFERROR(__xludf.DUMMYFUNCTION("""COMPUTED_VALUE"""),"HÀN QUỐC")</f>
        <v>HÀN QUỐC</v>
      </c>
      <c r="F538" s="1076">
        <f>IFERROR(__xludf.DUMMYFUNCTION("""COMPUTED_VALUE"""),2017)</f>
        <v>2017</v>
      </c>
      <c r="G538" s="1076" t="str">
        <f>IFERROR(__xludf.DUMMYFUNCTION("""COMPUTED_VALUE"""),"BT50")</f>
        <v>BT50</v>
      </c>
      <c r="H538" s="1076" t="str">
        <f>IFERROR(__xludf.DUMMYFUNCTION("""COMPUTED_VALUE"""),"148HP")</f>
        <v>148HP</v>
      </c>
      <c r="I538" s="1076" t="str">
        <f>IFERROR(__xludf.DUMMYFUNCTION("""COMPUTED_VALUE"""),"MM7UR4DF5JW777547")</f>
        <v>MM7UR4DF5JW777547</v>
      </c>
      <c r="J538" s="1076" t="str">
        <f>IFERROR(__xludf.DUMMYFUNCTION("""COMPUTED_VALUE"""),"P5AT2523639")</f>
        <v>P5AT2523639</v>
      </c>
      <c r="K538" s="1076"/>
      <c r="L538" s="1076" t="str">
        <f>IFERROR(__xludf.DUMMYFUNCTION("""COMPUTED_VALUE"""),"KLH")</f>
        <v>KLH</v>
      </c>
    </row>
    <row r="539" customHeight="1" spans="1:12">
      <c r="A539" s="1089" t="str">
        <f>IFERROR(__xludf.DUMMYFUNCTION("""COMPUTED_VALUE"""),"PHC-XCV-007")</f>
        <v>PHC-XCV-007</v>
      </c>
      <c r="B539" s="1075" t="str">
        <f>IFERROR(__xludf.DUMMYFUNCTION("""COMPUTED_VALUE"""),"Xe công vụ Ford Everest")</f>
        <v>Xe công vụ Ford Everest</v>
      </c>
      <c r="C539" s="1076" t="str">
        <f>IFERROR(__xludf.DUMMYFUNCTION("""COMPUTED_VALUE"""),"HÀNH CHÍNH KLH")</f>
        <v>HÀNH CHÍNH KLH</v>
      </c>
      <c r="D539" s="1076" t="str">
        <f>IFERROR(__xludf.DUMMYFUNCTION("""COMPUTED_VALUE"""),"FORD")</f>
        <v>FORD</v>
      </c>
      <c r="E539" s="1076" t="str">
        <f>IFERROR(__xludf.DUMMYFUNCTION("""COMPUTED_VALUE"""),"MỸ")</f>
        <v>MỸ</v>
      </c>
      <c r="F539" s="1076">
        <f>IFERROR(__xludf.DUMMYFUNCTION("""COMPUTED_VALUE"""),2014)</f>
        <v>2014</v>
      </c>
      <c r="G539" s="1076" t="str">
        <f>IFERROR(__xludf.DUMMYFUNCTION("""COMPUTED_VALUE"""),"EVEREST")</f>
        <v>EVEREST</v>
      </c>
      <c r="H539" s="1076" t="str">
        <f>IFERROR(__xludf.DUMMYFUNCTION("""COMPUTED_VALUE"""),"141HP")</f>
        <v>141HP</v>
      </c>
      <c r="I539" s="1076"/>
      <c r="J539" s="1076"/>
      <c r="K539" s="1076"/>
      <c r="L539" s="1076" t="str">
        <f>IFERROR(__xludf.DUMMYFUNCTION("""COMPUTED_VALUE"""),"KLH")</f>
        <v>KLH</v>
      </c>
    </row>
    <row r="540" customHeight="1" spans="1:12">
      <c r="A540" s="1089" t="str">
        <f>IFERROR(__xludf.DUMMYFUNCTION("""COMPUTED_VALUE"""),"PHC-XCV-008")</f>
        <v>PHC-XCV-008</v>
      </c>
      <c r="B540" s="1075" t="str">
        <f>IFERROR(__xludf.DUMMYFUNCTION("""COMPUTED_VALUE"""),"Xe công vụ Mazda BT50")</f>
        <v>Xe công vụ Mazda BT50</v>
      </c>
      <c r="C540" s="1076" t="str">
        <f>IFERROR(__xludf.DUMMYFUNCTION("""COMPUTED_VALUE"""),"HÀNH CHÍNH KLH")</f>
        <v>HÀNH CHÍNH KLH</v>
      </c>
      <c r="D540" s="1076" t="str">
        <f>IFERROR(__xludf.DUMMYFUNCTION("""COMPUTED_VALUE"""),"MAZDA")</f>
        <v>MAZDA</v>
      </c>
      <c r="E540" s="1076" t="str">
        <f>IFERROR(__xludf.DUMMYFUNCTION("""COMPUTED_VALUE"""),"HÀN QUỐC")</f>
        <v>HÀN QUỐC</v>
      </c>
      <c r="F540" s="1076">
        <f>IFERROR(__xludf.DUMMYFUNCTION("""COMPUTED_VALUE"""),2018)</f>
        <v>2018</v>
      </c>
      <c r="G540" s="1076" t="str">
        <f>IFERROR(__xludf.DUMMYFUNCTION("""COMPUTED_VALUE"""),"BT50")</f>
        <v>BT50</v>
      </c>
      <c r="H540" s="1076" t="str">
        <f>IFERROR(__xludf.DUMMYFUNCTION("""COMPUTED_VALUE"""),"148HP")</f>
        <v>148HP</v>
      </c>
      <c r="I540" s="1076" t="str">
        <f>IFERROR(__xludf.DUMMYFUNCTION("""COMPUTED_VALUE"""),"MM7UR4DD2K936329")</f>
        <v>MM7UR4DD2K936329</v>
      </c>
      <c r="J540" s="1076" t="str">
        <f>IFERROR(__xludf.DUMMYFUNCTION("""COMPUTED_VALUE"""),"P4AT2742432")</f>
        <v>P4AT2742432</v>
      </c>
      <c r="K540" s="1076"/>
      <c r="L540" s="1076" t="str">
        <f>IFERROR(__xludf.DUMMYFUNCTION("""COMPUTED_VALUE"""),"KLH")</f>
        <v>KLH</v>
      </c>
    </row>
    <row r="541" customHeight="1" spans="1:12">
      <c r="A541" s="1089" t="str">
        <f>IFERROR(__xludf.DUMMYFUNCTION("""COMPUTED_VALUE"""),"PHC-XCV-009")</f>
        <v>PHC-XCV-009</v>
      </c>
      <c r="B541" s="1075" t="str">
        <f>IFERROR(__xludf.DUMMYFUNCTION("""COMPUTED_VALUE"""),"Xe công vụ Kia Sedona")</f>
        <v>Xe công vụ Kia Sedona</v>
      </c>
      <c r="C541" s="1076" t="str">
        <f>IFERROR(__xludf.DUMMYFUNCTION("""COMPUTED_VALUE"""),"HÀNH CHÍNH KLH")</f>
        <v>HÀNH CHÍNH KLH</v>
      </c>
      <c r="D541" s="1076" t="str">
        <f>IFERROR(__xludf.DUMMYFUNCTION("""COMPUTED_VALUE"""),"KIA")</f>
        <v>KIA</v>
      </c>
      <c r="E541" s="1076" t="str">
        <f>IFERROR(__xludf.DUMMYFUNCTION("""COMPUTED_VALUE"""),"HÀN QUỐC")</f>
        <v>HÀN QUỐC</v>
      </c>
      <c r="F541" s="1076">
        <f>IFERROR(__xludf.DUMMYFUNCTION("""COMPUTED_VALUE"""),2019)</f>
        <v>2019</v>
      </c>
      <c r="G541" s="1076" t="str">
        <f>IFERROR(__xludf.DUMMYFUNCTION("""COMPUTED_VALUE"""),"SEDONA")</f>
        <v>SEDONA</v>
      </c>
      <c r="H541" s="1076" t="str">
        <f>IFERROR(__xludf.DUMMYFUNCTION("""COMPUTED_VALUE"""),"266HP")</f>
        <v>266HP</v>
      </c>
      <c r="I541" s="1076" t="str">
        <f>IFERROR(__xludf.DUMMYFUNCTION("""COMPUTED_VALUE"""),"RNYYK51A6JC142077")</f>
        <v>RNYYK51A6JC142077</v>
      </c>
      <c r="J541" s="1076" t="str">
        <f>IFERROR(__xludf.DUMMYFUNCTION("""COMPUTED_VALUE"""),"G6DFJS807887")</f>
        <v>G6DFJS807887</v>
      </c>
      <c r="K541" s="1076"/>
      <c r="L541" s="1076" t="str">
        <f>IFERROR(__xludf.DUMMYFUNCTION("""COMPUTED_VALUE"""),"KLH")</f>
        <v>KLH</v>
      </c>
    </row>
    <row r="542" customHeight="1" spans="1:12">
      <c r="A542" s="1089" t="str">
        <f>IFERROR(__xludf.DUMMYFUNCTION("""COMPUTED_VALUE"""),"PHC-XCV-010")</f>
        <v>PHC-XCV-010</v>
      </c>
      <c r="B542" s="1075" t="str">
        <f>IFERROR(__xludf.DUMMYFUNCTION("""COMPUTED_VALUE"""),"Xe công vụ Toyota Land Cruiser")</f>
        <v>Xe công vụ Toyota Land Cruiser</v>
      </c>
      <c r="C542" s="1076" t="str">
        <f>IFERROR(__xludf.DUMMYFUNCTION("""COMPUTED_VALUE"""),"HÀNH CHÍNH KLH")</f>
        <v>HÀNH CHÍNH KLH</v>
      </c>
      <c r="D542" s="1076" t="str">
        <f>IFERROR(__xludf.DUMMYFUNCTION("""COMPUTED_VALUE"""),"TOYOTA")</f>
        <v>TOYOTA</v>
      </c>
      <c r="E542" s="1076" t="str">
        <f>IFERROR(__xludf.DUMMYFUNCTION("""COMPUTED_VALUE"""),"NHẬT BẢN")</f>
        <v>NHẬT BẢN</v>
      </c>
      <c r="F542" s="1076">
        <f>IFERROR(__xludf.DUMMYFUNCTION("""COMPUTED_VALUE"""),2009)</f>
        <v>2009</v>
      </c>
      <c r="G542" s="1076" t="str">
        <f>IFERROR(__xludf.DUMMYFUNCTION("""COMPUTED_VALUE"""),"CRUISER")</f>
        <v>CRUISER</v>
      </c>
      <c r="H542" s="1076" t="str">
        <f>IFERROR(__xludf.DUMMYFUNCTION("""COMPUTED_VALUE"""),"161HP")</f>
        <v>161HP</v>
      </c>
      <c r="I542" s="1076" t="str">
        <f>IFERROR(__xludf.DUMMYFUNCTION("""COMPUTED_VALUE"""),"JTMHU09JX95018220")</f>
        <v>JTMHU09JX95018220</v>
      </c>
      <c r="J542" s="1076" t="str">
        <f>IFERROR(__xludf.DUMMYFUNCTION("""COMPUTED_VALUE"""),"1GR8968561")</f>
        <v>1GR8968561</v>
      </c>
      <c r="K542" s="1076"/>
      <c r="L542" s="1076" t="str">
        <f>IFERROR(__xludf.DUMMYFUNCTION("""COMPUTED_VALUE"""),"KLH")</f>
        <v>KLH</v>
      </c>
    </row>
    <row r="543" customHeight="1" spans="1:12">
      <c r="A543" s="1089" t="str">
        <f>IFERROR(__xludf.DUMMYFUNCTION("""COMPUTED_VALUE"""),"PHC-XCV-011")</f>
        <v>PHC-XCV-011</v>
      </c>
      <c r="B543" s="1075" t="str">
        <f>IFERROR(__xludf.DUMMYFUNCTION("""COMPUTED_VALUE"""),"Xe công vụ Toyota Hilux")</f>
        <v>Xe công vụ Toyota Hilux</v>
      </c>
      <c r="C543" s="1076" t="str">
        <f>IFERROR(__xludf.DUMMYFUNCTION("""COMPUTED_VALUE"""),"HÀNH CHÍNH KLH")</f>
        <v>HÀNH CHÍNH KLH</v>
      </c>
      <c r="D543" s="1076" t="str">
        <f>IFERROR(__xludf.DUMMYFUNCTION("""COMPUTED_VALUE"""),"TOYOTA")</f>
        <v>TOYOTA</v>
      </c>
      <c r="E543" s="1076" t="str">
        <f>IFERROR(__xludf.DUMMYFUNCTION("""COMPUTED_VALUE"""),"NHẬT BẢN")</f>
        <v>NHẬT BẢN</v>
      </c>
      <c r="F543" s="1076">
        <f>IFERROR(__xludf.DUMMYFUNCTION("""COMPUTED_VALUE"""),2013)</f>
        <v>2013</v>
      </c>
      <c r="G543" s="1076" t="str">
        <f>IFERROR(__xludf.DUMMYFUNCTION("""COMPUTED_VALUE"""),"HILLUX")</f>
        <v>HILLUX</v>
      </c>
      <c r="H543" s="1076" t="str">
        <f>IFERROR(__xludf.DUMMYFUNCTION("""COMPUTED_VALUE"""),"148HP")</f>
        <v>148HP</v>
      </c>
      <c r="I543" s="1076" t="str">
        <f>IFERROR(__xludf.DUMMYFUNCTION("""COMPUTED_VALUE"""),"MROFZ29G101692700")</f>
        <v>MROFZ29G101692700</v>
      </c>
      <c r="J543" s="1076" t="str">
        <f>IFERROR(__xludf.DUMMYFUNCTION("""COMPUTED_VALUE"""),"1KDU299927")</f>
        <v>1KDU299927</v>
      </c>
      <c r="K543" s="1076"/>
      <c r="L543" s="1076" t="str">
        <f>IFERROR(__xludf.DUMMYFUNCTION("""COMPUTED_VALUE"""),"KLH")</f>
        <v>KLH</v>
      </c>
    </row>
    <row r="544" customHeight="1" spans="1:12">
      <c r="A544" s="1089" t="str">
        <f>IFERROR(__xludf.DUMMYFUNCTION("""COMPUTED_VALUE"""),"PHC-XCV-012")</f>
        <v>PHC-XCV-012</v>
      </c>
      <c r="B544" s="1075" t="str">
        <f>IFERROR(__xludf.DUMMYFUNCTION("""COMPUTED_VALUE"""),"Xe công vụ Mazda CX8")</f>
        <v>Xe công vụ Mazda CX8</v>
      </c>
      <c r="C544" s="1076" t="str">
        <f>IFERROR(__xludf.DUMMYFUNCTION("""COMPUTED_VALUE"""),"HÀNH CHÍNH KLH")</f>
        <v>HÀNH CHÍNH KLH</v>
      </c>
      <c r="D544" s="1076" t="str">
        <f>IFERROR(__xludf.DUMMYFUNCTION("""COMPUTED_VALUE"""),"MAZDA")</f>
        <v>MAZDA</v>
      </c>
      <c r="E544" s="1076" t="str">
        <f>IFERROR(__xludf.DUMMYFUNCTION("""COMPUTED_VALUE"""),"HÀN QUỐC")</f>
        <v>HÀN QUỐC</v>
      </c>
      <c r="F544" s="1076">
        <f>IFERROR(__xludf.DUMMYFUNCTION("""COMPUTED_VALUE"""),2019)</f>
        <v>2019</v>
      </c>
      <c r="G544" s="1076" t="str">
        <f>IFERROR(__xludf.DUMMYFUNCTION("""COMPUTED_VALUE"""),"CX8")</f>
        <v>CX8</v>
      </c>
      <c r="H544" s="1076" t="str">
        <f>IFERROR(__xludf.DUMMYFUNCTION("""COMPUTED_VALUE"""),"188HP")</f>
        <v>188HP</v>
      </c>
      <c r="I544" s="1076" t="str">
        <f>IFERROR(__xludf.DUMMYFUNCTION("""COMPUTED_VALUE"""),"RN2K35346KM018796")</f>
        <v>RN2K35346KM018796</v>
      </c>
      <c r="J544" s="1076" t="str">
        <f>IFERROR(__xludf.DUMMYFUNCTION("""COMPUTED_VALUE"""),"PY31030035")</f>
        <v>PY31030035</v>
      </c>
      <c r="K544" s="1076"/>
      <c r="L544" s="1076" t="str">
        <f>IFERROR(__xludf.DUMMYFUNCTION("""COMPUTED_VALUE"""),"KLH")</f>
        <v>KLH</v>
      </c>
    </row>
    <row r="545" customHeight="1" spans="1:12">
      <c r="A545" s="1089" t="str">
        <f>IFERROR(__xludf.DUMMYFUNCTION("""COMPUTED_VALUE"""),"PHC-XCV-013")</f>
        <v>PHC-XCV-013</v>
      </c>
      <c r="B545" s="1075" t="str">
        <f>IFERROR(__xludf.DUMMYFUNCTION("""COMPUTED_VALUE"""),"Xe cấp cứu Hyundai Starex")</f>
        <v>Xe cấp cứu Hyundai Starex</v>
      </c>
      <c r="C545" s="1076" t="str">
        <f>IFERROR(__xludf.DUMMYFUNCTION("""COMPUTED_VALUE"""),"HÀNH CHÍNH KLH")</f>
        <v>HÀNH CHÍNH KLH</v>
      </c>
      <c r="D545" s="1076" t="str">
        <f>IFERROR(__xludf.DUMMYFUNCTION("""COMPUTED_VALUE"""),"HYUNDAI")</f>
        <v>HYUNDAI</v>
      </c>
      <c r="E545" s="1076" t="str">
        <f>IFERROR(__xludf.DUMMYFUNCTION("""COMPUTED_VALUE"""),"HÀN QUỐC")</f>
        <v>HÀN QUỐC</v>
      </c>
      <c r="F545" s="1076">
        <f>IFERROR(__xludf.DUMMYFUNCTION("""COMPUTED_VALUE"""),2016)</f>
        <v>2016</v>
      </c>
      <c r="G545" s="1076" t="str">
        <f>IFERROR(__xludf.DUMMYFUNCTION("""COMPUTED_VALUE"""),"STAREX")</f>
        <v>STAREX</v>
      </c>
      <c r="H545" s="1076" t="str">
        <f>IFERROR(__xludf.DUMMYFUNCTION("""COMPUTED_VALUE"""),"100HP")</f>
        <v>100HP</v>
      </c>
      <c r="I545" s="1076"/>
      <c r="J545" s="1076"/>
      <c r="K545" s="1076"/>
      <c r="L545" s="1076" t="str">
        <f>IFERROR(__xludf.DUMMYFUNCTION("""COMPUTED_VALUE"""),"KLH")</f>
        <v>KLH</v>
      </c>
    </row>
    <row r="546" customHeight="1" spans="1:12">
      <c r="A546" s="1089" t="str">
        <f>IFERROR(__xludf.DUMMYFUNCTION("""COMPUTED_VALUE"""),"PHC-XCV-014")</f>
        <v>PHC-XCV-014</v>
      </c>
      <c r="B546" s="1075" t="str">
        <f>IFERROR(__xludf.DUMMYFUNCTION("""COMPUTED_VALUE"""),"Xe công vụ Ford Everest")</f>
        <v>Xe công vụ Ford Everest</v>
      </c>
      <c r="C546" s="1076" t="str">
        <f>IFERROR(__xludf.DUMMYFUNCTION("""COMPUTED_VALUE"""),"HÀNH CHÍNH KLH")</f>
        <v>HÀNH CHÍNH KLH</v>
      </c>
      <c r="D546" s="1076" t="str">
        <f>IFERROR(__xludf.DUMMYFUNCTION("""COMPUTED_VALUE"""),"FORD")</f>
        <v>FORD</v>
      </c>
      <c r="E546" s="1076" t="str">
        <f>IFERROR(__xludf.DUMMYFUNCTION("""COMPUTED_VALUE"""),"MỸ")</f>
        <v>MỸ</v>
      </c>
      <c r="F546" s="1076">
        <f>IFERROR(__xludf.DUMMYFUNCTION("""COMPUTED_VALUE"""),2024)</f>
        <v>2024</v>
      </c>
      <c r="G546" s="1076" t="str">
        <f>IFERROR(__xludf.DUMMYFUNCTION("""COMPUTED_VALUE"""),"EVEREST")</f>
        <v>EVEREST</v>
      </c>
      <c r="H546" s="1076" t="str">
        <f>IFERROR(__xludf.DUMMYFUNCTION("""COMPUTED_VALUE"""),"141HP")</f>
        <v>141HP</v>
      </c>
      <c r="I546" s="1076" t="str">
        <f>IFERROR(__xludf.DUMMYFUNCTION("""COMPUTED_VALUE"""),"PV5XWER8RLY00766")</f>
        <v>PV5XWER8RLY00766</v>
      </c>
      <c r="J546" s="1076" t="str">
        <f>IFERROR(__xludf.DUMMYFUNCTION("""COMPUTED_VALUE"""),"YNWQRLY00046")</f>
        <v>YNWQRLY00046</v>
      </c>
      <c r="K546" s="1076"/>
      <c r="L546" s="1076" t="str">
        <f>IFERROR(__xludf.DUMMYFUNCTION("""COMPUTED_VALUE"""),"KLH")</f>
        <v>KLH</v>
      </c>
    </row>
    <row r="547" customHeight="1" spans="1:12">
      <c r="A547" s="1089" t="str">
        <f>IFERROR(__xludf.DUMMYFUNCTION("""COMPUTED_VALUE"""),"PHC-XCV-015")</f>
        <v>PHC-XCV-015</v>
      </c>
      <c r="B547" s="1075" t="str">
        <f>IFERROR(__xludf.DUMMYFUNCTION("""COMPUTED_VALUE"""),"Xe công vụ Mazda BT50")</f>
        <v>Xe công vụ Mazda BT50</v>
      </c>
      <c r="C547" s="1076" t="str">
        <f>IFERROR(__xludf.DUMMYFUNCTION("""COMPUTED_VALUE"""),"HÀNH CHÍNH KLH")</f>
        <v>HÀNH CHÍNH KLH</v>
      </c>
      <c r="D547" s="1076" t="str">
        <f>IFERROR(__xludf.DUMMYFUNCTION("""COMPUTED_VALUE"""),"MAZDA")</f>
        <v>MAZDA</v>
      </c>
      <c r="E547" s="1076" t="str">
        <f>IFERROR(__xludf.DUMMYFUNCTION("""COMPUTED_VALUE"""),"HÀN QUỐC")</f>
        <v>HÀN QUỐC</v>
      </c>
      <c r="F547" s="1076">
        <f>IFERROR(__xludf.DUMMYFUNCTION("""COMPUTED_VALUE"""),2018)</f>
        <v>2018</v>
      </c>
      <c r="G547" s="1076" t="str">
        <f>IFERROR(__xludf.DUMMYFUNCTION("""COMPUTED_VALUE"""),"BT50")</f>
        <v>BT50</v>
      </c>
      <c r="H547" s="1076" t="str">
        <f>IFERROR(__xludf.DUMMYFUNCTION("""COMPUTED_VALUE"""),"148HP")</f>
        <v>148HP</v>
      </c>
      <c r="I547" s="1076" t="str">
        <f>IFERROR(__xludf.DUMMYFUNCTION("""COMPUTED_VALUE"""),"MM7UR4DF9KW903331")</f>
        <v>MM7UR4DF9KW903331</v>
      </c>
      <c r="J547" s="1076" t="str">
        <f>IFERROR(__xludf.DUMMYFUNCTION("""COMPUTED_VALUE"""),"P5AT2707088")</f>
        <v>P5AT2707088</v>
      </c>
      <c r="K547" s="1076"/>
      <c r="L547" s="1076" t="str">
        <f>IFERROR(__xludf.DUMMYFUNCTION("""COMPUTED_VALUE"""),"KLH")</f>
        <v>KLH</v>
      </c>
    </row>
    <row r="548" customHeight="1" spans="1:12">
      <c r="A548" s="1089" t="str">
        <f>IFERROR(__xludf.DUMMYFUNCTION("""COMPUTED_VALUE"""),"KLH-XTA-003")</f>
        <v>KLH-XTA-003</v>
      </c>
      <c r="B548" s="1075" t="str">
        <f>IFERROR(__xludf.DUMMYFUNCTION("""COMPUTED_VALUE"""),"Xe bus")</f>
        <v>Xe bus</v>
      </c>
      <c r="C548" s="1076" t="str">
        <f>IFERROR(__xludf.DUMMYFUNCTION("""COMPUTED_VALUE"""),"HÀNH CHÍNH KLH")</f>
        <v>HÀNH CHÍNH KLH</v>
      </c>
      <c r="D548" s="1076" t="str">
        <f>IFERROR(__xludf.DUMMYFUNCTION("""COMPUTED_VALUE"""),"BUS")</f>
        <v>BUS</v>
      </c>
      <c r="E548" s="1076"/>
      <c r="F548" s="1076"/>
      <c r="G548" s="1076"/>
      <c r="H548" s="1076"/>
      <c r="I548" s="1076"/>
      <c r="J548" s="1076"/>
      <c r="K548" s="1076">
        <f>IFERROR(__xludf.DUMMYFUNCTION("""COMPUTED_VALUE"""),8)</f>
        <v>8</v>
      </c>
      <c r="L548" s="1076" t="str">
        <f>IFERROR(__xludf.DUMMYFUNCTION("""COMPUTED_VALUE"""),"KLH")</f>
        <v>KLH</v>
      </c>
    </row>
    <row r="549" customHeight="1" spans="1:12">
      <c r="A549" s="1089" t="str">
        <f>IFERROR(__xludf.DUMMYFUNCTION("""COMPUTED_VALUE"""),"PHC-TĐL-001")</f>
        <v>PHC-TĐL-001</v>
      </c>
      <c r="B549" s="1075" t="str">
        <f>IFERROR(__xludf.DUMMYFUNCTION("""COMPUTED_VALUE"""),"Xe tải đông lạnh K200")</f>
        <v>Xe tải đông lạnh K200</v>
      </c>
      <c r="C549" s="1076" t="str">
        <f>IFERROR(__xludf.DUMMYFUNCTION("""COMPUTED_VALUE"""),"HÀNH CHÍNH KLH")</f>
        <v>HÀNH CHÍNH KLH</v>
      </c>
      <c r="D549" s="1076" t="str">
        <f>IFERROR(__xludf.DUMMYFUNCTION("""COMPUTED_VALUE"""),"THACO KIA")</f>
        <v>THACO KIA</v>
      </c>
      <c r="E549" s="1076" t="str">
        <f>IFERROR(__xludf.DUMMYFUNCTION("""COMPUTED_VALUE"""),"VIỆT NAM")</f>
        <v>VIỆT NAM</v>
      </c>
      <c r="F549" s="1076">
        <f>IFERROR(__xludf.DUMMYFUNCTION("""COMPUTED_VALUE"""),2024)</f>
        <v>2024</v>
      </c>
      <c r="G549" s="1076" t="str">
        <f>IFERROR(__xludf.DUMMYFUNCTION("""COMPUTED_VALUE"""),"K200")</f>
        <v>K200</v>
      </c>
      <c r="H549" s="1076" t="str">
        <f>IFERROR(__xludf.DUMMYFUNCTION("""COMPUTED_VALUE"""),"130HP")</f>
        <v>130HP</v>
      </c>
      <c r="I549" s="1076" t="str">
        <f>IFERROR(__xludf.DUMMYFUNCTION("""COMPUTED_VALUE"""),"RNHA39KHERT094672")</f>
        <v>RNHA39KHERT094672</v>
      </c>
      <c r="J549" s="1076" t="str">
        <f>IFERROR(__xludf.DUMMYFUNCTION("""COMPUTED_VALUE"""),"RD577729D4CB")</f>
        <v>RD577729D4CB</v>
      </c>
      <c r="K549" s="1076">
        <f>IFERROR(__xludf.DUMMYFUNCTION("""COMPUTED_VALUE"""),2.9)</f>
        <v>2.9</v>
      </c>
      <c r="L549" s="1076" t="str">
        <f>IFERROR(__xludf.DUMMYFUNCTION("""COMPUTED_VALUE"""),"KLH")</f>
        <v>KLH</v>
      </c>
    </row>
    <row r="550" customHeight="1" spans="1:12">
      <c r="A550" s="1089" t="str">
        <f>IFERROR(__xludf.DUMMYFUNCTION("""COMPUTED_VALUE"""),"PHC-TĐL-002")</f>
        <v>PHC-TĐL-002</v>
      </c>
      <c r="B550" s="1075" t="str">
        <f>IFERROR(__xludf.DUMMYFUNCTION("""COMPUTED_VALUE"""),"Xe tải đông lạnh K200")</f>
        <v>Xe tải đông lạnh K200</v>
      </c>
      <c r="C550" s="1076" t="str">
        <f>IFERROR(__xludf.DUMMYFUNCTION("""COMPUTED_VALUE"""),"HÀNH CHÍNH KLH")</f>
        <v>HÀNH CHÍNH KLH</v>
      </c>
      <c r="D550" s="1076" t="str">
        <f>IFERROR(__xludf.DUMMYFUNCTION("""COMPUTED_VALUE"""),"THACO KIA")</f>
        <v>THACO KIA</v>
      </c>
      <c r="E550" s="1076" t="str">
        <f>IFERROR(__xludf.DUMMYFUNCTION("""COMPUTED_VALUE"""),"VIỆT NAM")</f>
        <v>VIỆT NAM</v>
      </c>
      <c r="F550" s="1076">
        <f>IFERROR(__xludf.DUMMYFUNCTION("""COMPUTED_VALUE"""),2024)</f>
        <v>2024</v>
      </c>
      <c r="G550" s="1076" t="str">
        <f>IFERROR(__xludf.DUMMYFUNCTION("""COMPUTED_VALUE"""),"K200")</f>
        <v>K200</v>
      </c>
      <c r="H550" s="1076" t="str">
        <f>IFERROR(__xludf.DUMMYFUNCTION("""COMPUTED_VALUE"""),"130HP")</f>
        <v>130HP</v>
      </c>
      <c r="I550" s="1076" t="str">
        <f>IFERROR(__xludf.DUMMYFUNCTION("""COMPUTED_VALUE"""),"RNHA39KHERT094673")</f>
        <v>RNHA39KHERT094673</v>
      </c>
      <c r="J550" s="1076" t="str">
        <f>IFERROR(__xludf.DUMMYFUNCTION("""COMPUTED_VALUE"""),"RD577733D4CB")</f>
        <v>RD577733D4CB</v>
      </c>
      <c r="K550" s="1076">
        <f>IFERROR(__xludf.DUMMYFUNCTION("""COMPUTED_VALUE"""),2.9)</f>
        <v>2.9</v>
      </c>
      <c r="L550" s="1076" t="str">
        <f>IFERROR(__xludf.DUMMYFUNCTION("""COMPUTED_VALUE"""),"KLH")</f>
        <v>KLH</v>
      </c>
    </row>
    <row r="551" customHeight="1" spans="1:12">
      <c r="A551" s="1089" t="str">
        <f>IFERROR(__xludf.DUMMYFUNCTION("""COMPUTED_VALUE"""),"PHC-TĐL-003")</f>
        <v>PHC-TĐL-003</v>
      </c>
      <c r="B551" s="1075" t="str">
        <f>IFERROR(__xludf.DUMMYFUNCTION("""COMPUTED_VALUE"""),"Xe tải đông lạnh K200")</f>
        <v>Xe tải đông lạnh K200</v>
      </c>
      <c r="C551" s="1076" t="str">
        <f>IFERROR(__xludf.DUMMYFUNCTION("""COMPUTED_VALUE"""),"HÀNH CHÍNH KLH")</f>
        <v>HÀNH CHÍNH KLH</v>
      </c>
      <c r="D551" s="1076" t="str">
        <f>IFERROR(__xludf.DUMMYFUNCTION("""COMPUTED_VALUE"""),"THACO KIA")</f>
        <v>THACO KIA</v>
      </c>
      <c r="E551" s="1076" t="str">
        <f>IFERROR(__xludf.DUMMYFUNCTION("""COMPUTED_VALUE"""),"VIỆT NAM")</f>
        <v>VIỆT NAM</v>
      </c>
      <c r="F551" s="1076">
        <f>IFERROR(__xludf.DUMMYFUNCTION("""COMPUTED_VALUE"""),2024)</f>
        <v>2024</v>
      </c>
      <c r="G551" s="1076" t="str">
        <f>IFERROR(__xludf.DUMMYFUNCTION("""COMPUTED_VALUE"""),"K200")</f>
        <v>K200</v>
      </c>
      <c r="H551" s="1076" t="str">
        <f>IFERROR(__xludf.DUMMYFUNCTION("""COMPUTED_VALUE"""),"130HP")</f>
        <v>130HP</v>
      </c>
      <c r="I551" s="1076" t="str">
        <f>IFERROR(__xludf.DUMMYFUNCTION("""COMPUTED_VALUE"""),"RNHA39KHERT094674")</f>
        <v>RNHA39KHERT094674</v>
      </c>
      <c r="J551" s="1076" t="str">
        <f>IFERROR(__xludf.DUMMYFUNCTION("""COMPUTED_VALUE"""),"RD577734D4CB")</f>
        <v>RD577734D4CB</v>
      </c>
      <c r="K551" s="1076">
        <f>IFERROR(__xludf.DUMMYFUNCTION("""COMPUTED_VALUE"""),2.9)</f>
        <v>2.9</v>
      </c>
      <c r="L551" s="1076" t="str">
        <f>IFERROR(__xludf.DUMMYFUNCTION("""COMPUTED_VALUE"""),"KLH")</f>
        <v>KLH</v>
      </c>
    </row>
    <row r="552" customHeight="1" spans="1:12">
      <c r="A552" s="1089" t="str">
        <f>IFERROR(__xludf.DUMMYFUNCTION("""COMPUTED_VALUE"""),"PHC-XCR-001")</f>
        <v>PHC-XCR-001</v>
      </c>
      <c r="B552" s="1075" t="str">
        <f>IFERROR(__xludf.DUMMYFUNCTION("""COMPUTED_VALUE"""),"Xe chở rác K250B")</f>
        <v>Xe chở rác K250B</v>
      </c>
      <c r="C552" s="1076" t="str">
        <f>IFERROR(__xludf.DUMMYFUNCTION("""COMPUTED_VALUE"""),"HÀNH CHÍNH KLH")</f>
        <v>HÀNH CHÍNH KLH</v>
      </c>
      <c r="D552" s="1076" t="str">
        <f>IFERROR(__xludf.DUMMYFUNCTION("""COMPUTED_VALUE"""),"THACO KIA")</f>
        <v>THACO KIA</v>
      </c>
      <c r="E552" s="1076" t="str">
        <f>IFERROR(__xludf.DUMMYFUNCTION("""COMPUTED_VALUE"""),"VIỆT NAM")</f>
        <v>VIỆT NAM</v>
      </c>
      <c r="F552" s="1076">
        <f>IFERROR(__xludf.DUMMYFUNCTION("""COMPUTED_VALUE"""),2023)</f>
        <v>2023</v>
      </c>
      <c r="G552" s="1076" t="str">
        <f>IFERROR(__xludf.DUMMYFUNCTION("""COMPUTED_VALUE"""),"K250B")</f>
        <v>K250B</v>
      </c>
      <c r="H552" s="1076" t="str">
        <f>IFERROR(__xludf.DUMMYFUNCTION("""COMPUTED_VALUE"""),"130HP")</f>
        <v>130HP</v>
      </c>
      <c r="I552" s="1076" t="str">
        <f>IFERROR(__xludf.DUMMYFUNCTION("""COMPUTED_VALUE"""),"RNHA49KHEPT069328")</f>
        <v>RNHA49KHEPT069328</v>
      </c>
      <c r="J552" s="1076" t="str">
        <f>IFERROR(__xludf.DUMMYFUNCTION("""COMPUTED_VALUE"""),"LD527221D4CB")</f>
        <v>LD527221D4CB</v>
      </c>
      <c r="K552" s="1076"/>
      <c r="L552" s="1076" t="str">
        <f>IFERROR(__xludf.DUMMYFUNCTION("""COMPUTED_VALUE"""),"KLH")</f>
        <v>KLH</v>
      </c>
    </row>
    <row r="553" customHeight="1" spans="1:12">
      <c r="A553" s="1089" t="str">
        <f>IFERROR(__xludf.DUMMYFUNCTION("""COMPUTED_VALUE"""),"PHC-XTA-001")</f>
        <v>PHC-XTA-001</v>
      </c>
      <c r="B553" s="1075" t="str">
        <f>IFERROR(__xludf.DUMMYFUNCTION("""COMPUTED_VALUE"""),"Xe tải THACO FRONTIER TF490")</f>
        <v>Xe tải THACO FRONTIER TF490</v>
      </c>
      <c r="C553" s="1076" t="str">
        <f>IFERROR(__xludf.DUMMYFUNCTION("""COMPUTED_VALUE"""),"HÀNH CHÍNH KLH")</f>
        <v>HÀNH CHÍNH KLH</v>
      </c>
      <c r="D553" s="1076" t="str">
        <f>IFERROR(__xludf.DUMMYFUNCTION("""COMPUTED_VALUE"""),"THACO FRONTIER")</f>
        <v>THACO FRONTIER</v>
      </c>
      <c r="E553" s="1076" t="str">
        <f>IFERROR(__xludf.DUMMYFUNCTION("""COMPUTED_VALUE"""),"VIỆT NAM")</f>
        <v>VIỆT NAM</v>
      </c>
      <c r="F553" s="1076">
        <f>IFERROR(__xludf.DUMMYFUNCTION("""COMPUTED_VALUE"""),2024)</f>
        <v>2024</v>
      </c>
      <c r="G553" s="1076" t="str">
        <f>IFERROR(__xludf.DUMMYFUNCTION("""COMPUTED_VALUE"""),"TF490")</f>
        <v>TF490</v>
      </c>
      <c r="H553" s="1076" t="str">
        <f>IFERROR(__xludf.DUMMYFUNCTION("""COMPUTED_VALUE"""),"107HP")</f>
        <v>107HP</v>
      </c>
      <c r="I553" s="1076" t="str">
        <f>IFERROR(__xludf.DUMMYFUNCTION("""COMPUTED_VALUE"""),"RNHA49TZART051060")</f>
        <v>RNHA49TZART051060</v>
      </c>
      <c r="J553" s="1076" t="str">
        <f>IFERROR(__xludf.DUMMYFUNCTION("""COMPUTED_VALUE"""),"JE493ZLQ4*33102790*")</f>
        <v>JE493ZLQ4*33102790*</v>
      </c>
      <c r="K553" s="1076"/>
      <c r="L553" s="1076" t="str">
        <f>IFERROR(__xludf.DUMMYFUNCTION("""COMPUTED_VALUE"""),"KLH")</f>
        <v>KLH</v>
      </c>
    </row>
    <row r="554" customHeight="1" spans="1:12">
      <c r="A554" s="1089" t="str">
        <f>IFERROR(__xludf.DUMMYFUNCTION("""COMPUTED_VALUE"""),"PHC-XTA-002")</f>
        <v>PHC-XTA-002</v>
      </c>
      <c r="B554" s="1075" t="str">
        <f>IFERROR(__xludf.DUMMYFUNCTION("""COMPUTED_VALUE"""),"Xe tải thùng FD140")</f>
        <v>Xe tải thùng FD140</v>
      </c>
      <c r="C554" s="1076" t="str">
        <f>IFERROR(__xludf.DUMMYFUNCTION("""COMPUTED_VALUE"""),"HÀNH CHÍNH KLH")</f>
        <v>HÀNH CHÍNH KLH</v>
      </c>
      <c r="D554" s="1076" t="str">
        <f>IFERROR(__xludf.DUMMYFUNCTION("""COMPUTED_VALUE"""),"THACO FORLAND")</f>
        <v>THACO FORLAND</v>
      </c>
      <c r="E554" s="1076" t="str">
        <f>IFERROR(__xludf.DUMMYFUNCTION("""COMPUTED_VALUE"""),"VIỆT NAM")</f>
        <v>VIỆT NAM</v>
      </c>
      <c r="F554" s="1076">
        <f>IFERROR(__xludf.DUMMYFUNCTION("""COMPUTED_VALUE"""),2021)</f>
        <v>2021</v>
      </c>
      <c r="G554" s="1076" t="str">
        <f>IFERROR(__xludf.DUMMYFUNCTION("""COMPUTED_VALUE"""),"FD140")</f>
        <v>FD140</v>
      </c>
      <c r="H554" s="1076" t="str">
        <f>IFERROR(__xludf.DUMMYFUNCTION("""COMPUTED_VALUE"""),"140HP")</f>
        <v>140HP</v>
      </c>
      <c r="I554" s="1076" t="str">
        <f>IFERROR(__xludf.DUMMYFUNCTION("""COMPUTED_VALUE"""),"49596")</f>
        <v>49596</v>
      </c>
      <c r="J554" s="1076" t="str">
        <f>IFERROR(__xludf.DUMMYFUNCTION("""COMPUTED_VALUE"""),"CCN")</f>
        <v>CCN</v>
      </c>
      <c r="K554" s="1076">
        <f>IFERROR(__xludf.DUMMYFUNCTION("""COMPUTED_VALUE"""),0.3)</f>
        <v>0.3</v>
      </c>
      <c r="L554" s="1076" t="str">
        <f>IFERROR(__xludf.DUMMYFUNCTION("""COMPUTED_VALUE"""),"KLH")</f>
        <v>KLH</v>
      </c>
    </row>
    <row r="555" customHeight="1" spans="1:12">
      <c r="A555" s="1089" t="str">
        <f>IFERROR(__xludf.DUMMYFUNCTION("""COMPUTED_VALUE"""),"TDC-XTA-001")</f>
        <v>TDC-XTA-001</v>
      </c>
      <c r="B555" s="1075" t="str">
        <f>IFERROR(__xludf.DUMMYFUNCTION("""COMPUTED_VALUE"""),"Xe tải Forland FD140")</f>
        <v>Xe tải Forland FD140</v>
      </c>
      <c r="C555" s="1076" t="str">
        <f>IFERROR(__xludf.DUMMYFUNCTION("""COMPUTED_VALUE"""),"Thadicons A&amp;I")</f>
        <v>Thadicons A&amp;I</v>
      </c>
      <c r="D555" s="1076" t="str">
        <f>IFERROR(__xludf.DUMMYFUNCTION("""COMPUTED_VALUE"""),"THACO")</f>
        <v>THACO</v>
      </c>
      <c r="E555" s="1076" t="str">
        <f>IFERROR(__xludf.DUMMYFUNCTION("""COMPUTED_VALUE"""),"VIỆT NAM")</f>
        <v>VIỆT NAM</v>
      </c>
      <c r="F555" s="1076"/>
      <c r="G555" s="1076" t="str">
        <f>IFERROR(__xludf.DUMMYFUNCTION("""COMPUTED_VALUE"""),"FD140")</f>
        <v>FD140</v>
      </c>
      <c r="H555" s="1076" t="str">
        <f>IFERROR(__xludf.DUMMYFUNCTION("""COMPUTED_VALUE"""),"140HP")</f>
        <v>140HP</v>
      </c>
      <c r="I555" s="1076" t="str">
        <f>IFERROR(__xludf.DUMMYFUNCTION("""COMPUTED_VALUE"""),"RNHF14YALT022435")</f>
        <v>RNHF14YALT022435</v>
      </c>
      <c r="J555" s="1076" t="str">
        <f>IFERROR(__xludf.DUMMYFUNCTION("""COMPUTED_VALUE"""),"CCN")</f>
        <v>CCN</v>
      </c>
      <c r="K555" s="1076"/>
      <c r="L555" s="1076" t="str">
        <f>IFERROR(__xludf.DUMMYFUNCTION("""COMPUTED_VALUE"""),"KLH")</f>
        <v>KLH</v>
      </c>
    </row>
    <row r="556" customHeight="1" spans="1:12">
      <c r="A556" s="1089" t="str">
        <f>IFERROR(__xludf.DUMMYFUNCTION("""COMPUTED_VALUE"""),"TDC-XTA-002")</f>
        <v>TDC-XTA-002</v>
      </c>
      <c r="B556" s="1075" t="str">
        <f>IFERROR(__xludf.DUMMYFUNCTION("""COMPUTED_VALUE"""),"Xe tải Frontier TF2800")</f>
        <v>Xe tải Frontier TF2800</v>
      </c>
      <c r="C556" s="1076" t="str">
        <f>IFERROR(__xludf.DUMMYFUNCTION("""COMPUTED_VALUE"""),"Thadicons A&amp;I")</f>
        <v>Thadicons A&amp;I</v>
      </c>
      <c r="D556" s="1076" t="str">
        <f>IFERROR(__xludf.DUMMYFUNCTION("""COMPUTED_VALUE"""),"THACO")</f>
        <v>THACO</v>
      </c>
      <c r="E556" s="1076" t="str">
        <f>IFERROR(__xludf.DUMMYFUNCTION("""COMPUTED_VALUE"""),"VIỆT NAM")</f>
        <v>VIỆT NAM</v>
      </c>
      <c r="F556" s="1076"/>
      <c r="G556" s="1076" t="str">
        <f>IFERROR(__xludf.DUMMYFUNCTION("""COMPUTED_VALUE"""),"TF2800")</f>
        <v>TF2800</v>
      </c>
      <c r="H556" s="1076" t="str">
        <f>IFERROR(__xludf.DUMMYFUNCTION("""COMPUTED_VALUE"""),"100HP")</f>
        <v>100HP</v>
      </c>
      <c r="I556" s="1076"/>
      <c r="J556" s="1076"/>
      <c r="K556" s="1076"/>
      <c r="L556" s="1076" t="str">
        <f>IFERROR(__xludf.DUMMYFUNCTION("""COMPUTED_VALUE"""),"KLH")</f>
        <v>KLH</v>
      </c>
    </row>
    <row r="557" customHeight="1" spans="1:12">
      <c r="A557" s="1089" t="str">
        <f>IFERROR(__xludf.DUMMYFUNCTION("""COMPUTED_VALUE"""),"TDC-XTA-003")</f>
        <v>TDC-XTA-003</v>
      </c>
      <c r="B557" s="1075" t="str">
        <f>IFERROR(__xludf.DUMMYFUNCTION("""COMPUTED_VALUE"""),"Xe tải Van THACO FRONTIER TF420-5S")</f>
        <v>Xe tải Van THACO FRONTIER TF420-5S</v>
      </c>
      <c r="C557" s="1076" t="str">
        <f>IFERROR(__xludf.DUMMYFUNCTION("""COMPUTED_VALUE"""),"Thadicons A&amp;I")</f>
        <v>Thadicons A&amp;I</v>
      </c>
      <c r="D557" s="1076" t="str">
        <f>IFERROR(__xludf.DUMMYFUNCTION("""COMPUTED_VALUE"""),"THACO")</f>
        <v>THACO</v>
      </c>
      <c r="E557" s="1076" t="str">
        <f>IFERROR(__xludf.DUMMYFUNCTION("""COMPUTED_VALUE"""),"VIỆT NAM")</f>
        <v>VIỆT NAM</v>
      </c>
      <c r="F557" s="1076"/>
      <c r="G557" s="1076" t="str">
        <f>IFERROR(__xludf.DUMMYFUNCTION("""COMPUTED_VALUE"""),"TF420")</f>
        <v>TF420</v>
      </c>
      <c r="H557" s="1076" t="str">
        <f>IFERROR(__xludf.DUMMYFUNCTION("""COMPUTED_VALUE"""),"100HP")</f>
        <v>100HP</v>
      </c>
      <c r="I557" s="1076"/>
      <c r="J557" s="1076"/>
      <c r="K557" s="1076"/>
      <c r="L557" s="1076" t="str">
        <f>IFERROR(__xludf.DUMMYFUNCTION("""COMPUTED_VALUE"""),"KLH")</f>
        <v>KLH</v>
      </c>
    </row>
    <row r="558" customHeight="1" spans="1:12">
      <c r="A558" s="1089" t="str">
        <f>IFERROR(__xludf.DUMMYFUNCTION("""COMPUTED_VALUE"""),"TDC-XNA-001")</f>
        <v>TDC-XNA-001</v>
      </c>
      <c r="B558" s="1075" t="str">
        <f>IFERROR(__xludf.DUMMYFUNCTION("""COMPUTED_VALUE"""),"Xe nâng 3.5T-CĐ18")</f>
        <v>Xe nâng 3.5T-CĐ18</v>
      </c>
      <c r="C558" s="1076" t="str">
        <f>IFERROR(__xludf.DUMMYFUNCTION("""COMPUTED_VALUE"""),"Thadicons A&amp;I")</f>
        <v>Thadicons A&amp;I</v>
      </c>
      <c r="D558" s="1076" t="str">
        <f>IFERROR(__xludf.DUMMYFUNCTION("""COMPUTED_VALUE"""),"YALE")</f>
        <v>YALE</v>
      </c>
      <c r="E558" s="1076"/>
      <c r="F558" s="1076"/>
      <c r="G558" s="1076"/>
      <c r="H558" s="1076"/>
      <c r="I558" s="1076"/>
      <c r="J558" s="1076"/>
      <c r="K558" s="1076">
        <f>IFERROR(__xludf.DUMMYFUNCTION("""COMPUTED_VALUE"""),2.5)</f>
        <v>2.5</v>
      </c>
      <c r="L558" s="1076" t="str">
        <f>IFERROR(__xludf.DUMMYFUNCTION("""COMPUTED_VALUE"""),"KLH")</f>
        <v>KLH</v>
      </c>
    </row>
    <row r="559" customHeight="1" spans="1:12">
      <c r="A559" s="1089" t="str">
        <f>IFERROR(__xludf.DUMMYFUNCTION("""COMPUTED_VALUE"""),"TDC-XCV-001")</f>
        <v>TDC-XCV-001</v>
      </c>
      <c r="B559" s="1075" t="str">
        <f>IFERROR(__xludf.DUMMYFUNCTION("""COMPUTED_VALUE"""),"Xe công vụ 81C-04285")</f>
        <v>Xe công vụ 81C-04285</v>
      </c>
      <c r="C559" s="1076" t="str">
        <f>IFERROR(__xludf.DUMMYFUNCTION("""COMPUTED_VALUE"""),"Thadicons A&amp;I")</f>
        <v>Thadicons A&amp;I</v>
      </c>
      <c r="D559" s="1076" t="str">
        <f>IFERROR(__xludf.DUMMYFUNCTION("""COMPUTED_VALUE"""),"ISUZU")</f>
        <v>ISUZU</v>
      </c>
      <c r="E559" s="1076" t="str">
        <f>IFERROR(__xludf.DUMMYFUNCTION("""COMPUTED_VALUE"""),"NHẬT BẢN ")</f>
        <v>NHẬT BẢN </v>
      </c>
      <c r="F559" s="1076"/>
      <c r="G559" s="1076"/>
      <c r="H559" s="1076"/>
      <c r="I559" s="1076"/>
      <c r="J559" s="1076"/>
      <c r="K559" s="1076"/>
      <c r="L559" s="1076" t="str">
        <f>IFERROR(__xludf.DUMMYFUNCTION("""COMPUTED_VALUE"""),"KLH")</f>
        <v>KLH</v>
      </c>
    </row>
    <row r="560" customHeight="1" spans="1:12">
      <c r="A560" s="1089" t="str">
        <f>IFERROR(__xludf.DUMMYFUNCTION("""COMPUTED_VALUE"""),"TDC-XLO-001")</f>
        <v>TDC-XLO-001</v>
      </c>
      <c r="B560" s="1075" t="str">
        <f>IFERROR(__xludf.DUMMYFUNCTION("""COMPUTED_VALUE"""),"Xe lôi")</f>
        <v>Xe lôi</v>
      </c>
      <c r="C560" s="1076" t="str">
        <f>IFERROR(__xludf.DUMMYFUNCTION("""COMPUTED_VALUE"""),"Thadicons A&amp;I")</f>
        <v>Thadicons A&amp;I</v>
      </c>
      <c r="D560" s="1076"/>
      <c r="E560" s="1076" t="str">
        <f>IFERROR(__xludf.DUMMYFUNCTION("""COMPUTED_VALUE"""),"TRUNG QUỐC")</f>
        <v>TRUNG QUỐC</v>
      </c>
      <c r="F560" s="1076">
        <f>IFERROR(__xludf.DUMMYFUNCTION("""COMPUTED_VALUE"""),2021)</f>
        <v>2021</v>
      </c>
      <c r="G560" s="1076" t="str">
        <f>IFERROR(__xludf.DUMMYFUNCTION("""COMPUTED_VALUE"""),"150ZH")</f>
        <v>150ZH</v>
      </c>
      <c r="H560" s="1076" t="str">
        <f>IFERROR(__xludf.DUMMYFUNCTION("""COMPUTED_VALUE"""),"150HP")</f>
        <v>150HP</v>
      </c>
      <c r="I560" s="1076" t="str">
        <f>IFERROR(__xludf.DUMMYFUNCTION("""COMPUTED_VALUE"""),"TH162FMJ-C23004045")</f>
        <v>TH162FMJ-C23004045</v>
      </c>
      <c r="J560" s="1076" t="str">
        <f>IFERROR(__xludf.DUMMYFUNCTION("""COMPUTED_VALUE"""),"LP7HCKZ91P0004045")</f>
        <v>LP7HCKZ91P0004045</v>
      </c>
      <c r="K560" s="1076">
        <f>IFERROR(__xludf.DUMMYFUNCTION("""COMPUTED_VALUE"""),2.5)</f>
        <v>2.5</v>
      </c>
      <c r="L560" s="1076" t="str">
        <f>IFERROR(__xludf.DUMMYFUNCTION("""COMPUTED_VALUE"""),"KLH")</f>
        <v>KLH</v>
      </c>
    </row>
    <row r="561" customHeight="1" spans="1:12">
      <c r="A561" s="1089" t="str">
        <f>IFERROR(__xludf.DUMMYFUNCTION("""COMPUTED_VALUE"""),"TDC-XLO-002")</f>
        <v>TDC-XLO-002</v>
      </c>
      <c r="B561" s="1075" t="str">
        <f>IFERROR(__xludf.DUMMYFUNCTION("""COMPUTED_VALUE"""),"Xe lôi")</f>
        <v>Xe lôi</v>
      </c>
      <c r="C561" s="1076" t="str">
        <f>IFERROR(__xludf.DUMMYFUNCTION("""COMPUTED_VALUE"""),"Thadicons A&amp;I")</f>
        <v>Thadicons A&amp;I</v>
      </c>
      <c r="D561" s="1076"/>
      <c r="E561" s="1076" t="str">
        <f>IFERROR(__xludf.DUMMYFUNCTION("""COMPUTED_VALUE"""),"TRUNG QUỐC")</f>
        <v>TRUNG QUỐC</v>
      </c>
      <c r="F561" s="1076">
        <f>IFERROR(__xludf.DUMMYFUNCTION("""COMPUTED_VALUE"""),2021)</f>
        <v>2021</v>
      </c>
      <c r="G561" s="1076" t="str">
        <f>IFERROR(__xludf.DUMMYFUNCTION("""COMPUTED_VALUE"""),"150ZH")</f>
        <v>150ZH</v>
      </c>
      <c r="H561" s="1076" t="str">
        <f>IFERROR(__xludf.DUMMYFUNCTION("""COMPUTED_VALUE"""),"150HP")</f>
        <v>150HP</v>
      </c>
      <c r="I561" s="1076" t="str">
        <f>IFERROR(__xludf.DUMMYFUNCTION("""COMPUTED_VALUE"""),"TH162FMJ-C23004013")</f>
        <v>TH162FMJ-C23004013</v>
      </c>
      <c r="J561" s="1076" t="str">
        <f>IFERROR(__xludf.DUMMYFUNCTION("""COMPUTED_VALUE"""),"LP7HCKZ9XP0004013")</f>
        <v>LP7HCKZ9XP0004013</v>
      </c>
      <c r="K561" s="1076">
        <f>IFERROR(__xludf.DUMMYFUNCTION("""COMPUTED_VALUE"""),2.5)</f>
        <v>2.5</v>
      </c>
      <c r="L561" s="1076" t="str">
        <f>IFERROR(__xludf.DUMMYFUNCTION("""COMPUTED_VALUE"""),"KLH")</f>
        <v>KLH</v>
      </c>
    </row>
    <row r="562" customHeight="1" spans="1:12">
      <c r="A562" s="1089" t="str">
        <f>IFERROR(__xludf.DUMMYFUNCTION("""COMPUTED_VALUE"""),"TDC-XLO-003")</f>
        <v>TDC-XLO-003</v>
      </c>
      <c r="B562" s="1075" t="str">
        <f>IFERROR(__xludf.DUMMYFUNCTION("""COMPUTED_VALUE"""),"Xe lôi")</f>
        <v>Xe lôi</v>
      </c>
      <c r="C562" s="1076" t="str">
        <f>IFERROR(__xludf.DUMMYFUNCTION("""COMPUTED_VALUE"""),"Thadicons A&amp;I")</f>
        <v>Thadicons A&amp;I</v>
      </c>
      <c r="D562" s="1076"/>
      <c r="E562" s="1076" t="str">
        <f>IFERROR(__xludf.DUMMYFUNCTION("""COMPUTED_VALUE"""),"TRUNG QUỐC")</f>
        <v>TRUNG QUỐC</v>
      </c>
      <c r="F562" s="1076">
        <f>IFERROR(__xludf.DUMMYFUNCTION("""COMPUTED_VALUE"""),2021)</f>
        <v>2021</v>
      </c>
      <c r="G562" s="1076" t="str">
        <f>IFERROR(__xludf.DUMMYFUNCTION("""COMPUTED_VALUE"""),"150ZH")</f>
        <v>150ZH</v>
      </c>
      <c r="H562" s="1076" t="str">
        <f>IFERROR(__xludf.DUMMYFUNCTION("""COMPUTED_VALUE"""),"150HP")</f>
        <v>150HP</v>
      </c>
      <c r="I562" s="1076" t="str">
        <f>IFERROR(__xludf.DUMMYFUNCTION("""COMPUTED_VALUE"""),"22060447")</f>
        <v>22060447</v>
      </c>
      <c r="J562" s="1076" t="str">
        <f>IFERROR(__xludf.DUMMYFUNCTION("""COMPUTED_VALUE"""),"LP7HCKZ95N0000447")</f>
        <v>LP7HCKZ95N0000447</v>
      </c>
      <c r="K562" s="1076">
        <f>IFERROR(__xludf.DUMMYFUNCTION("""COMPUTED_VALUE"""),2.5)</f>
        <v>2.5</v>
      </c>
      <c r="L562" s="1076" t="str">
        <f>IFERROR(__xludf.DUMMYFUNCTION("""COMPUTED_VALUE"""),"KLH")</f>
        <v>KLH</v>
      </c>
    </row>
    <row r="563" customHeight="1" spans="1:12">
      <c r="A563" s="1089" t="str">
        <f>IFERROR(__xludf.DUMMYFUNCTION("""COMPUTED_VALUE"""),"TDC-XLO-004")</f>
        <v>TDC-XLO-004</v>
      </c>
      <c r="B563" s="1075" t="str">
        <f>IFERROR(__xludf.DUMMYFUNCTION("""COMPUTED_VALUE"""),"Xe lôi")</f>
        <v>Xe lôi</v>
      </c>
      <c r="C563" s="1076" t="str">
        <f>IFERROR(__xludf.DUMMYFUNCTION("""COMPUTED_VALUE"""),"Thadicons A&amp;I")</f>
        <v>Thadicons A&amp;I</v>
      </c>
      <c r="D563" s="1076"/>
      <c r="E563" s="1076" t="str">
        <f>IFERROR(__xludf.DUMMYFUNCTION("""COMPUTED_VALUE"""),"TRUNG QUỐC")</f>
        <v>TRUNG QUỐC</v>
      </c>
      <c r="F563" s="1076">
        <f>IFERROR(__xludf.DUMMYFUNCTION("""COMPUTED_VALUE"""),2021)</f>
        <v>2021</v>
      </c>
      <c r="G563" s="1076" t="str">
        <f>IFERROR(__xludf.DUMMYFUNCTION("""COMPUTED_VALUE"""),"150ZH")</f>
        <v>150ZH</v>
      </c>
      <c r="H563" s="1076" t="str">
        <f>IFERROR(__xludf.DUMMYFUNCTION("""COMPUTED_VALUE"""),"150HP")</f>
        <v>150HP</v>
      </c>
      <c r="I563" s="1076" t="str">
        <f>IFERROR(__xludf.DUMMYFUNCTION("""COMPUTED_VALUE"""),"22060460")</f>
        <v>22060460</v>
      </c>
      <c r="J563" s="1076" t="str">
        <f>IFERROR(__xludf.DUMMYFUNCTION("""COMPUTED_VALUE"""),"LP7HCKZ98N0000460")</f>
        <v>LP7HCKZ98N0000460</v>
      </c>
      <c r="K563" s="1076">
        <f>IFERROR(__xludf.DUMMYFUNCTION("""COMPUTED_VALUE"""),2.5)</f>
        <v>2.5</v>
      </c>
      <c r="L563" s="1076" t="str">
        <f>IFERROR(__xludf.DUMMYFUNCTION("""COMPUTED_VALUE"""),"KLH")</f>
        <v>KLH</v>
      </c>
    </row>
    <row r="564" customHeight="1" spans="1:12">
      <c r="A564" s="1089" t="str">
        <f>IFERROR(__xludf.DUMMYFUNCTION("""COMPUTED_VALUE"""),"TDC-XLO-005")</f>
        <v>TDC-XLO-005</v>
      </c>
      <c r="B564" s="1075" t="str">
        <f>IFERROR(__xludf.DUMMYFUNCTION("""COMPUTED_VALUE"""),"Xe lôi")</f>
        <v>Xe lôi</v>
      </c>
      <c r="C564" s="1076" t="str">
        <f>IFERROR(__xludf.DUMMYFUNCTION("""COMPUTED_VALUE"""),"Thadicons A&amp;I")</f>
        <v>Thadicons A&amp;I</v>
      </c>
      <c r="D564" s="1076"/>
      <c r="E564" s="1076" t="str">
        <f>IFERROR(__xludf.DUMMYFUNCTION("""COMPUTED_VALUE"""),"TRUNG QUỐC")</f>
        <v>TRUNG QUỐC</v>
      </c>
      <c r="F564" s="1076">
        <f>IFERROR(__xludf.DUMMYFUNCTION("""COMPUTED_VALUE"""),2021)</f>
        <v>2021</v>
      </c>
      <c r="G564" s="1076" t="str">
        <f>IFERROR(__xludf.DUMMYFUNCTION("""COMPUTED_VALUE"""),"150ZH")</f>
        <v>150ZH</v>
      </c>
      <c r="H564" s="1076" t="str">
        <f>IFERROR(__xludf.DUMMYFUNCTION("""COMPUTED_VALUE"""),"150HP")</f>
        <v>150HP</v>
      </c>
      <c r="I564" s="1076" t="str">
        <f>IFERROR(__xludf.DUMMYFUNCTION("""COMPUTED_VALUE"""),"K002901900089")</f>
        <v>K002901900089</v>
      </c>
      <c r="J564" s="1076" t="str">
        <f>IFERROR(__xludf.DUMMYFUNCTION("""COMPUTED_VALUE"""),"L0011901053343")</f>
        <v>L0011901053343</v>
      </c>
      <c r="K564" s="1076">
        <f>IFERROR(__xludf.DUMMYFUNCTION("""COMPUTED_VALUE"""),2.5)</f>
        <v>2.5</v>
      </c>
      <c r="L564" s="1076" t="str">
        <f>IFERROR(__xludf.DUMMYFUNCTION("""COMPUTED_VALUE"""),"KLH")</f>
        <v>KLH</v>
      </c>
    </row>
    <row r="565" customHeight="1" spans="1:12">
      <c r="A565" s="1089" t="str">
        <f>IFERROR(__xludf.DUMMYFUNCTION("""COMPUTED_VALUE"""),"BCG-TCD-002")</f>
        <v>BCG-TCD-002</v>
      </c>
      <c r="B565" s="1075" t="str">
        <f>IFERROR(__xludf.DUMMYFUNCTION("""COMPUTED_VALUE"""),"Xe tải chuyên dụng (thùng lửng)")</f>
        <v>Xe tải chuyên dụng (thùng lửng)</v>
      </c>
      <c r="C565" s="1076" t="str">
        <f>IFERROR(__xludf.DUMMYFUNCTION("""COMPUTED_VALUE"""),"BAN CG-CK &amp; SXCN")</f>
        <v>BAN CG-CK &amp; SXCN</v>
      </c>
      <c r="D565" s="1076" t="str">
        <f>IFERROR(__xludf.DUMMYFUNCTION("""COMPUTED_VALUE"""),"THACO KIA")</f>
        <v>THACO KIA</v>
      </c>
      <c r="E565" s="1076" t="str">
        <f>IFERROR(__xludf.DUMMYFUNCTION("""COMPUTED_VALUE"""),"Việt Nam")</f>
        <v>Việt Nam</v>
      </c>
      <c r="F565" s="1076">
        <f>IFERROR(__xludf.DUMMYFUNCTION("""COMPUTED_VALUE"""),2021)</f>
        <v>2021</v>
      </c>
      <c r="G565" s="1076" t="str">
        <f>IFERROR(__xludf.DUMMYFUNCTION("""COMPUTED_VALUE"""),"FRONTIER K200SD-4WD")</f>
        <v>FRONTIER K200SD-4WD</v>
      </c>
      <c r="H565" s="1076" t="str">
        <f>IFERROR(__xludf.DUMMYFUNCTION("""COMPUTED_VALUE"""),"130HP")</f>
        <v>130HP</v>
      </c>
      <c r="I565" s="1076" t="str">
        <f>IFERROR(__xludf.DUMMYFUNCTION("""COMPUTED_VALUE"""),"RNHF39KHBMT045656")</f>
        <v>RNHF39KHBMT045656</v>
      </c>
      <c r="J565" s="1076" t="str">
        <f>IFERROR(__xludf.DUMMYFUNCTION("""COMPUTED_VALUE"""),"MD540068D4CB")</f>
        <v>MD540068D4CB</v>
      </c>
      <c r="K565" s="1076"/>
      <c r="L565" s="1076" t="str">
        <f>IFERROR(__xludf.DUMMYFUNCTION("""COMPUTED_VALUE"""),"KLH")</f>
        <v>KLH</v>
      </c>
    </row>
    <row r="566" customHeight="1" spans="1:12">
      <c r="A566" s="1089" t="str">
        <f>IFERROR(__xludf.DUMMYFUNCTION("""COMPUTED_VALUE"""),"BCG-TCD-003")</f>
        <v>BCG-TCD-003</v>
      </c>
      <c r="B566" s="1075" t="str">
        <f>IFERROR(__xludf.DUMMYFUNCTION("""COMPUTED_VALUE"""),"Xe tải chuyên dụng (thùng lửng)")</f>
        <v>Xe tải chuyên dụng (thùng lửng)</v>
      </c>
      <c r="C566" s="1076" t="str">
        <f>IFERROR(__xludf.DUMMYFUNCTION("""COMPUTED_VALUE"""),"BAN CG-CK &amp; SXCN")</f>
        <v>BAN CG-CK &amp; SXCN</v>
      </c>
      <c r="D566" s="1076" t="str">
        <f>IFERROR(__xludf.DUMMYFUNCTION("""COMPUTED_VALUE"""),"THACO KIA")</f>
        <v>THACO KIA</v>
      </c>
      <c r="E566" s="1076" t="str">
        <f>IFERROR(__xludf.DUMMYFUNCTION("""COMPUTED_VALUE"""),"Việt Nam")</f>
        <v>Việt Nam</v>
      </c>
      <c r="F566" s="1076">
        <f>IFERROR(__xludf.DUMMYFUNCTION("""COMPUTED_VALUE"""),2021)</f>
        <v>2021</v>
      </c>
      <c r="G566" s="1076" t="str">
        <f>IFERROR(__xludf.DUMMYFUNCTION("""COMPUTED_VALUE"""),"FRONTIER K200SD-4WD")</f>
        <v>FRONTIER K200SD-4WD</v>
      </c>
      <c r="H566" s="1076" t="str">
        <f>IFERROR(__xludf.DUMMYFUNCTION("""COMPUTED_VALUE"""),"130HP")</f>
        <v>130HP</v>
      </c>
      <c r="I566" s="1076" t="str">
        <f>IFERROR(__xludf.DUMMYFUNCTION("""COMPUTED_VALUE"""),"RNHF39KHBMT045639")</f>
        <v>RNHF39KHBMT045639</v>
      </c>
      <c r="J566" s="1076" t="str">
        <f>IFERROR(__xludf.DUMMYFUNCTION("""COMPUTED_VALUE"""),"MD540108D4CB")</f>
        <v>MD540108D4CB</v>
      </c>
      <c r="K566" s="1076"/>
      <c r="L566" s="1076" t="str">
        <f>IFERROR(__xludf.DUMMYFUNCTION("""COMPUTED_VALUE"""),"KLH")</f>
        <v>KLH</v>
      </c>
    </row>
    <row r="567" customHeight="1" spans="1:12">
      <c r="A567" s="1089" t="str">
        <f>IFERROR(__xludf.DUMMYFUNCTION("""COMPUTED_VALUE"""),"BCG-TCD-004")</f>
        <v>BCG-TCD-004</v>
      </c>
      <c r="B567" s="1075" t="str">
        <f>IFERROR(__xludf.DUMMYFUNCTION("""COMPUTED_VALUE"""),"Xe tải chuyên dụng (thùng SCLĐ)")</f>
        <v>Xe tải chuyên dụng (thùng SCLĐ)</v>
      </c>
      <c r="C567" s="1076" t="str">
        <f>IFERROR(__xludf.DUMMYFUNCTION("""COMPUTED_VALUE"""),"BAN CG-CK &amp; SXCN")</f>
        <v>BAN CG-CK &amp; SXCN</v>
      </c>
      <c r="D567" s="1076" t="str">
        <f>IFERROR(__xludf.DUMMYFUNCTION("""COMPUTED_VALUE"""),"THACO KIA")</f>
        <v>THACO KIA</v>
      </c>
      <c r="E567" s="1076" t="str">
        <f>IFERROR(__xludf.DUMMYFUNCTION("""COMPUTED_VALUE"""),"VIỆT NAM")</f>
        <v>VIỆT NAM</v>
      </c>
      <c r="F567" s="1076">
        <f>IFERROR(__xludf.DUMMYFUNCTION("""COMPUTED_VALUE"""),2024)</f>
        <v>2024</v>
      </c>
      <c r="G567" s="1076" t="str">
        <f>IFERROR(__xludf.DUMMYFUNCTION("""COMPUTED_VALUE"""),"KIA K200SD")</f>
        <v>KIA K200SD</v>
      </c>
      <c r="H567" s="1076" t="str">
        <f>IFERROR(__xludf.DUMMYFUNCTION("""COMPUTED_VALUE"""),"130HP")</f>
        <v>130HP</v>
      </c>
      <c r="I567" s="1076" t="str">
        <f>IFERROR(__xludf.DUMMYFUNCTION("""COMPUTED_VALUE"""),"RNHF39KHBMT045676")</f>
        <v>RNHF39KHBMT045676</v>
      </c>
      <c r="J567" s="1076" t="str">
        <f>IFERROR(__xludf.DUMMYFUNCTION("""COMPUTED_VALUE"""),"MD540074D4CB")</f>
        <v>MD540074D4CB</v>
      </c>
      <c r="K567" s="1076"/>
      <c r="L567" s="1076" t="str">
        <f>IFERROR(__xludf.DUMMYFUNCTION("""COMPUTED_VALUE"""),"KLH")</f>
        <v>KLH</v>
      </c>
    </row>
    <row r="568" customHeight="1" spans="1:12">
      <c r="A568" s="1089" t="str">
        <f>IFERROR(__xludf.DUMMYFUNCTION("""COMPUTED_VALUE"""),"BCG-XMA-001")</f>
        <v>BCG-XMA-001</v>
      </c>
      <c r="B568" s="1075" t="str">
        <f>IFERROR(__xludf.DUMMYFUNCTION("""COMPUTED_VALUE"""),"Xe máy")</f>
        <v>Xe máy</v>
      </c>
      <c r="C568" s="1076" t="str">
        <f>IFERROR(__xludf.DUMMYFUNCTION("""COMPUTED_VALUE"""),"BAN CG-CK &amp; SXCN")</f>
        <v>BAN CG-CK &amp; SXCN</v>
      </c>
      <c r="D568" s="1076" t="str">
        <f>IFERROR(__xludf.DUMMYFUNCTION("""COMPUTED_VALUE"""),"HONDA")</f>
        <v>HONDA</v>
      </c>
      <c r="E568" s="1076" t="str">
        <f>IFERROR(__xludf.DUMMYFUNCTION("""COMPUTED_VALUE"""),"VIỆT NAM")</f>
        <v>VIỆT NAM</v>
      </c>
      <c r="F568" s="1076"/>
      <c r="G568" s="1076" t="str">
        <f>IFERROR(__xludf.DUMMYFUNCTION("""COMPUTED_VALUE"""),"WAVE A")</f>
        <v>WAVE A</v>
      </c>
      <c r="H568" s="1076" t="str">
        <f>IFERROR(__xludf.DUMMYFUNCTION("""COMPUTED_VALUE"""),"110CC")</f>
        <v>110CC</v>
      </c>
      <c r="I568" s="1076" t="str">
        <f>IFERROR(__xludf.DUMMYFUNCTION("""COMPUTED_VALUE"""),"RLHJA3912KY147682")</f>
        <v>RLHJA3912KY147682</v>
      </c>
      <c r="J568" s="1076" t="str">
        <f>IFERROR(__xludf.DUMMYFUNCTION("""COMPUTED_VALUE"""),"JA39E-1004932")</f>
        <v>JA39E-1004932</v>
      </c>
      <c r="K568" s="1076"/>
      <c r="L568" s="1076" t="str">
        <f>IFERROR(__xludf.DUMMYFUNCTION("""COMPUTED_VALUE"""),"KLH")</f>
        <v>KLH</v>
      </c>
    </row>
    <row r="569" customHeight="1" spans="1:12">
      <c r="A569" s="1089" t="str">
        <f>IFERROR(__xludf.DUMMYFUNCTION("""COMPUTED_VALUE"""),"BCG-XMA-002")</f>
        <v>BCG-XMA-002</v>
      </c>
      <c r="B569" s="1075" t="str">
        <f>IFERROR(__xludf.DUMMYFUNCTION("""COMPUTED_VALUE"""),"Xe máy")</f>
        <v>Xe máy</v>
      </c>
      <c r="C569" s="1076" t="str">
        <f>IFERROR(__xludf.DUMMYFUNCTION("""COMPUTED_VALUE"""),"BAN CG-CK &amp; SXCN")</f>
        <v>BAN CG-CK &amp; SXCN</v>
      </c>
      <c r="D569" s="1076" t="str">
        <f>IFERROR(__xludf.DUMMYFUNCTION("""COMPUTED_VALUE"""),"HONDA")</f>
        <v>HONDA</v>
      </c>
      <c r="E569" s="1076" t="str">
        <f>IFERROR(__xludf.DUMMYFUNCTION("""COMPUTED_VALUE"""),"VIỆT NAM")</f>
        <v>VIỆT NAM</v>
      </c>
      <c r="F569" s="1076"/>
      <c r="G569" s="1076" t="str">
        <f>IFERROR(__xludf.DUMMYFUNCTION("""COMPUTED_VALUE"""),"WAVE A")</f>
        <v>WAVE A</v>
      </c>
      <c r="H569" s="1076" t="str">
        <f>IFERROR(__xludf.DUMMYFUNCTION("""COMPUTED_VALUE"""),"110CC")</f>
        <v>110CC</v>
      </c>
      <c r="I569" s="1076" t="str">
        <f>IFERROR(__xludf.DUMMYFUNCTION("""COMPUTED_VALUE"""),"RLHJAG912KY180667")</f>
        <v>RLHJAG912KY180667</v>
      </c>
      <c r="J569" s="1076" t="str">
        <f>IFERROR(__xludf.DUMMYFUNCTION("""COMPUTED_VALUE"""),"JA39E-1038313")</f>
        <v>JA39E-1038313</v>
      </c>
      <c r="K569" s="1076"/>
      <c r="L569" s="1076" t="str">
        <f>IFERROR(__xludf.DUMMYFUNCTION("""COMPUTED_VALUE"""),"KLH")</f>
        <v>KLH</v>
      </c>
    </row>
    <row r="570" customHeight="1" spans="1:12">
      <c r="A570" s="1089" t="str">
        <f>IFERROR(__xludf.DUMMYFUNCTION("""COMPUTED_VALUE"""),"BCG-XMA-003")</f>
        <v>BCG-XMA-003</v>
      </c>
      <c r="B570" s="1075" t="str">
        <f>IFERROR(__xludf.DUMMYFUNCTION("""COMPUTED_VALUE"""),"Xe máy")</f>
        <v>Xe máy</v>
      </c>
      <c r="C570" s="1076" t="str">
        <f>IFERROR(__xludf.DUMMYFUNCTION("""COMPUTED_VALUE"""),"BAN CG-CK &amp; SXCN")</f>
        <v>BAN CG-CK &amp; SXCN</v>
      </c>
      <c r="D570" s="1076" t="str">
        <f>IFERROR(__xludf.DUMMYFUNCTION("""COMPUTED_VALUE"""),"HONDA")</f>
        <v>HONDA</v>
      </c>
      <c r="E570" s="1076" t="str">
        <f>IFERROR(__xludf.DUMMYFUNCTION("""COMPUTED_VALUE"""),"VIỆT NAM")</f>
        <v>VIỆT NAM</v>
      </c>
      <c r="F570" s="1076"/>
      <c r="G570" s="1076" t="str">
        <f>IFERROR(__xludf.DUMMYFUNCTION("""COMPUTED_VALUE"""),"WAVE A")</f>
        <v>WAVE A</v>
      </c>
      <c r="H570" s="1076" t="str">
        <f>IFERROR(__xludf.DUMMYFUNCTION("""COMPUTED_VALUE"""),"110CC")</f>
        <v>110CC</v>
      </c>
      <c r="I570" s="1076" t="str">
        <f>IFERROR(__xludf.DUMMYFUNCTION("""COMPUTED_VALUE"""),"CCN")</f>
        <v>CCN</v>
      </c>
      <c r="J570" s="1076" t="str">
        <f>IFERROR(__xludf.DUMMYFUNCTION("""COMPUTED_VALUE"""),"JA39E-0414593")</f>
        <v>JA39E-0414593</v>
      </c>
      <c r="K570" s="1076"/>
      <c r="L570" s="1076" t="str">
        <f>IFERROR(__xludf.DUMMYFUNCTION("""COMPUTED_VALUE"""),"KLH")</f>
        <v>KLH</v>
      </c>
    </row>
    <row r="571" customHeight="1" spans="1:12">
      <c r="A571" s="1089" t="str">
        <f>IFERROR(__xludf.DUMMYFUNCTION("""COMPUTED_VALUE"""),"BCG-XMA-004")</f>
        <v>BCG-XMA-004</v>
      </c>
      <c r="B571" s="1075" t="str">
        <f>IFERROR(__xludf.DUMMYFUNCTION("""COMPUTED_VALUE"""),"Xe máy")</f>
        <v>Xe máy</v>
      </c>
      <c r="C571" s="1076" t="str">
        <f>IFERROR(__xludf.DUMMYFUNCTION("""COMPUTED_VALUE"""),"BAN CG-CK &amp; SXCN")</f>
        <v>BAN CG-CK &amp; SXCN</v>
      </c>
      <c r="D571" s="1076" t="str">
        <f>IFERROR(__xludf.DUMMYFUNCTION("""COMPUTED_VALUE"""),"HONDA")</f>
        <v>HONDA</v>
      </c>
      <c r="E571" s="1076" t="str">
        <f>IFERROR(__xludf.DUMMYFUNCTION("""COMPUTED_VALUE"""),"VIỆT NAM")</f>
        <v>VIỆT NAM</v>
      </c>
      <c r="F571" s="1076"/>
      <c r="G571" s="1076" t="str">
        <f>IFERROR(__xludf.DUMMYFUNCTION("""COMPUTED_VALUE"""),"WAVE A")</f>
        <v>WAVE A</v>
      </c>
      <c r="H571" s="1076" t="str">
        <f>IFERROR(__xludf.DUMMYFUNCTION("""COMPUTED_VALUE"""),"110CC")</f>
        <v>110CC</v>
      </c>
      <c r="I571" s="1076" t="str">
        <f>IFERROR(__xludf.DUMMYFUNCTION("""COMPUTED_VALUE"""),"RLHJA3914KY-216158")</f>
        <v>RLHJA3914KY-216158</v>
      </c>
      <c r="J571" s="1076" t="str">
        <f>IFERROR(__xludf.DUMMYFUNCTION("""COMPUTED_VALUE"""),"JA39E-1190180")</f>
        <v>JA39E-1190180</v>
      </c>
      <c r="K571" s="1076"/>
      <c r="L571" s="1076" t="str">
        <f>IFERROR(__xludf.DUMMYFUNCTION("""COMPUTED_VALUE"""),"KLH")</f>
        <v>KLH</v>
      </c>
    </row>
    <row r="572" customHeight="1" spans="1:12">
      <c r="A572" s="1089" t="str">
        <f>IFERROR(__xludf.DUMMYFUNCTION("""COMPUTED_VALUE"""),"BCG-LBR-001")</f>
        <v>BCG-LBR-001</v>
      </c>
      <c r="B572" s="1075" t="str">
        <f>IFERROR(__xludf.DUMMYFUNCTION("""COMPUTED_VALUE"""),"Xe tải Libero")</f>
        <v>Xe tải Libero</v>
      </c>
      <c r="C572" s="1076" t="str">
        <f>IFERROR(__xludf.DUMMYFUNCTION("""COMPUTED_VALUE"""),"BAN CG-CK &amp; SXCN")</f>
        <v>BAN CG-CK &amp; SXCN</v>
      </c>
      <c r="D572" s="1076" t="str">
        <f>IFERROR(__xludf.DUMMYFUNCTION("""COMPUTED_VALUE"""),"LIBERO")</f>
        <v>LIBERO</v>
      </c>
      <c r="E572" s="1076"/>
      <c r="F572" s="1076"/>
      <c r="G572" s="1076"/>
      <c r="H572" s="1076"/>
      <c r="I572" s="1076" t="str">
        <f>IFERROR(__xludf.DUMMYFUNCTION("""COMPUTED_VALUE"""),"KMFYKS7HP3U039257")</f>
        <v>KMFYKS7HP3U039257</v>
      </c>
      <c r="J572" s="1076" t="str">
        <f>IFERROR(__xludf.DUMMYFUNCTION("""COMPUTED_VALUE"""),"CCN")</f>
        <v>CCN</v>
      </c>
      <c r="K572" s="1076"/>
      <c r="L572" s="1076" t="str">
        <f>IFERROR(__xludf.DUMMYFUNCTION("""COMPUTED_VALUE"""),"KLH")</f>
        <v>KLH</v>
      </c>
    </row>
    <row r="573" customHeight="1" spans="1:12">
      <c r="A573" s="1089" t="str">
        <f>IFERROR(__xludf.DUMMYFUNCTION("""COMPUTED_VALUE"""),"BCG-LBR-002")</f>
        <v>BCG-LBR-002</v>
      </c>
      <c r="B573" s="1075" t="str">
        <f>IFERROR(__xludf.DUMMYFUNCTION("""COMPUTED_VALUE"""),"Xe tải Libero")</f>
        <v>Xe tải Libero</v>
      </c>
      <c r="C573" s="1076" t="str">
        <f>IFERROR(__xludf.DUMMYFUNCTION("""COMPUTED_VALUE"""),"BAN CG-CK &amp; SXCN")</f>
        <v>BAN CG-CK &amp; SXCN</v>
      </c>
      <c r="D573" s="1076" t="str">
        <f>IFERROR(__xludf.DUMMYFUNCTION("""COMPUTED_VALUE"""),"LIBERO")</f>
        <v>LIBERO</v>
      </c>
      <c r="E573" s="1076"/>
      <c r="F573" s="1076"/>
      <c r="G573" s="1076"/>
      <c r="H573" s="1076"/>
      <c r="I573" s="1076"/>
      <c r="J573" s="1076"/>
      <c r="K573" s="1076"/>
      <c r="L573" s="1076" t="str">
        <f>IFERROR(__xludf.DUMMYFUNCTION("""COMPUTED_VALUE"""),"KLH")</f>
        <v>KLH</v>
      </c>
    </row>
    <row r="574" customHeight="1" spans="1:12">
      <c r="A574" s="1089" t="str">
        <f>IFERROR(__xludf.DUMMYFUNCTION("""COMPUTED_VALUE"""),"KTC-TCD-003")</f>
        <v>KTC-TCD-003</v>
      </c>
      <c r="B574" s="1075" t="str">
        <f>IFERROR(__xludf.DUMMYFUNCTION("""COMPUTED_VALUE"""),"Xe tải chuyên dụng (cabin đôi)")</f>
        <v>Xe tải chuyên dụng (cabin đôi)</v>
      </c>
      <c r="C574" s="1076" t="str">
        <f>IFERROR(__xludf.DUMMYFUNCTION("""COMPUTED_VALUE"""),"BAN KT CHUỐI")</f>
        <v>BAN KT CHUỐI</v>
      </c>
      <c r="D574" s="1076" t="str">
        <f>IFERROR(__xludf.DUMMYFUNCTION("""COMPUTED_VALUE"""),"THACO KIA")</f>
        <v>THACO KIA</v>
      </c>
      <c r="E574" s="1076" t="str">
        <f>IFERROR(__xludf.DUMMYFUNCTION("""COMPUTED_VALUE"""),"VIỆT NAM")</f>
        <v>VIỆT NAM</v>
      </c>
      <c r="F574" s="1076">
        <f>IFERROR(__xludf.DUMMYFUNCTION("""COMPUTED_VALUE"""),2021)</f>
        <v>2021</v>
      </c>
      <c r="G574" s="1076" t="str">
        <f>IFERROR(__xludf.DUMMYFUNCTION("""COMPUTED_VALUE"""),"FRONTIER K200SD")</f>
        <v>FRONTIER K200SD</v>
      </c>
      <c r="H574" s="1076" t="str">
        <f>IFERROR(__xludf.DUMMYFUNCTION("""COMPUTED_VALUE"""),"130HP")</f>
        <v>130HP</v>
      </c>
      <c r="I574" s="1076" t="str">
        <f>IFERROR(__xludf.DUMMYFUNCTION("""COMPUTED_VALUE"""),"RNHF39KHBMT045640")</f>
        <v>RNHF39KHBMT045640</v>
      </c>
      <c r="J574" s="1076" t="str">
        <f>IFERROR(__xludf.DUMMYFUNCTION("""COMPUTED_VALUE"""),"MD540107D4CB")</f>
        <v>MD540107D4CB</v>
      </c>
      <c r="K574" s="1076"/>
      <c r="L574" s="1076" t="str">
        <f>IFERROR(__xludf.DUMMYFUNCTION("""COMPUTED_VALUE"""),"KLH")</f>
        <v>KLH</v>
      </c>
    </row>
    <row r="575" customHeight="1" spans="1:12">
      <c r="A575" s="1089" t="str">
        <f>IFERROR(__xludf.DUMMYFUNCTION("""COMPUTED_VALUE"""),"KCD-TCD-001")</f>
        <v>KCD-TCD-001</v>
      </c>
      <c r="B575" s="1075" t="str">
        <f>IFERROR(__xludf.DUMMYFUNCTION("""COMPUTED_VALUE"""),"Xe tải chuyên dụng (thùng lửng)")</f>
        <v>Xe tải chuyên dụng (thùng lửng)</v>
      </c>
      <c r="C575" s="1076" t="str">
        <f>IFERROR(__xludf.DUMMYFUNCTION("""COMPUTED_VALUE"""),"BAN KT CHUỐI")</f>
        <v>BAN KT CHUỐI</v>
      </c>
      <c r="D575" s="1076" t="str">
        <f>IFERROR(__xludf.DUMMYFUNCTION("""COMPUTED_VALUE"""),"KIA")</f>
        <v>KIA</v>
      </c>
      <c r="E575" s="1076" t="str">
        <f>IFERROR(__xludf.DUMMYFUNCTION("""COMPUTED_VALUE"""),"Việt Nam")</f>
        <v>Việt Nam</v>
      </c>
      <c r="F575" s="1076">
        <f>IFERROR(__xludf.DUMMYFUNCTION("""COMPUTED_VALUE"""),2021)</f>
        <v>2021</v>
      </c>
      <c r="G575" s="1076" t="str">
        <f>IFERROR(__xludf.DUMMYFUNCTION("""COMPUTED_VALUE"""),"FRONTIER K200SD-4WD")</f>
        <v>FRONTIER K200SD-4WD</v>
      </c>
      <c r="H575" s="1076" t="str">
        <f>IFERROR(__xludf.DUMMYFUNCTION("""COMPUTED_VALUE"""),"130HP")</f>
        <v>130HP</v>
      </c>
      <c r="I575" s="1076" t="str">
        <f>IFERROR(__xludf.DUMMYFUNCTION("""COMPUTED_VALUE"""),"RNHF39KHBMT045631")</f>
        <v>RNHF39KHBMT045631</v>
      </c>
      <c r="J575" s="1076" t="str">
        <f>IFERROR(__xludf.DUMMYFUNCTION("""COMPUTED_VALUE"""),"MD540071D4CB")</f>
        <v>MD540071D4CB</v>
      </c>
      <c r="K575" s="1076"/>
      <c r="L575" s="1076" t="str">
        <f>IFERROR(__xludf.DUMMYFUNCTION("""COMPUTED_VALUE"""),"KLH")</f>
        <v>KLH</v>
      </c>
    </row>
    <row r="576" customHeight="1" spans="1:12">
      <c r="A576" s="1089" t="str">
        <f>IFERROR(__xludf.DUMMYFUNCTION("""COMPUTED_VALUE"""),"KCL-TCD-001")</f>
        <v>KCL-TCD-001</v>
      </c>
      <c r="B576" s="1075" t="str">
        <f>IFERROR(__xludf.DUMMYFUNCTION("""COMPUTED_VALUE"""),"Xe tải chuyên dụng (thùng lửng)")</f>
        <v>Xe tải chuyên dụng (thùng lửng)</v>
      </c>
      <c r="C576" s="1076" t="str">
        <f>IFERROR(__xludf.DUMMYFUNCTION("""COMPUTED_VALUE"""),"BAN KT CHUỐI")</f>
        <v>BAN KT CHUỐI</v>
      </c>
      <c r="D576" s="1076" t="str">
        <f>IFERROR(__xludf.DUMMYFUNCTION("""COMPUTED_VALUE"""),"KIA")</f>
        <v>KIA</v>
      </c>
      <c r="E576" s="1076" t="str">
        <f>IFERROR(__xludf.DUMMYFUNCTION("""COMPUTED_VALUE"""),"Việt Nam")</f>
        <v>Việt Nam</v>
      </c>
      <c r="F576" s="1076">
        <f>IFERROR(__xludf.DUMMYFUNCTION("""COMPUTED_VALUE"""),2021)</f>
        <v>2021</v>
      </c>
      <c r="G576" s="1076" t="str">
        <f>IFERROR(__xludf.DUMMYFUNCTION("""COMPUTED_VALUE"""),"FRONTIER K200SD-4WD")</f>
        <v>FRONTIER K200SD-4WD</v>
      </c>
      <c r="H576" s="1076" t="str">
        <f>IFERROR(__xludf.DUMMYFUNCTION("""COMPUTED_VALUE"""),"130HP")</f>
        <v>130HP</v>
      </c>
      <c r="I576" s="1076" t="str">
        <f>IFERROR(__xludf.DUMMYFUNCTION("""COMPUTED_VALUE"""),"RNHF39KHBMT045342")</f>
        <v>RNHF39KHBMT045342</v>
      </c>
      <c r="J576" s="1076" t="str">
        <f>IFERROR(__xludf.DUMMYFUNCTION("""COMPUTED_VALUE"""),"MD534256D4CB")</f>
        <v>MD534256D4CB</v>
      </c>
      <c r="K576" s="1076"/>
      <c r="L576" s="1076" t="str">
        <f>IFERROR(__xludf.DUMMYFUNCTION("""COMPUTED_VALUE"""),"KLH")</f>
        <v>KLH</v>
      </c>
    </row>
    <row r="577" customHeight="1" spans="1:12">
      <c r="A577" s="1089" t="str">
        <f>IFERROR(__xludf.DUMMYFUNCTION("""COMPUTED_VALUE"""),"NMN-XNA-001")</f>
        <v>NMN-XNA-001</v>
      </c>
      <c r="B577" s="1075" t="str">
        <f>IFERROR(__xludf.DUMMYFUNCTION("""COMPUTED_VALUE"""),"Xe nâng dầu YALE 3.5 tấn")</f>
        <v>Xe nâng dầu YALE 3.5 tấn</v>
      </c>
      <c r="C577" s="1076" t="str">
        <f>IFERROR(__xludf.DUMMYFUNCTION("""COMPUTED_VALUE"""),"NM NHỰA -XỐP DP")</f>
        <v>NM NHỰA -XỐP DP</v>
      </c>
      <c r="D577" s="1076" t="str">
        <f>IFERROR(__xludf.DUMMYFUNCTION("""COMPUTED_VALUE"""),"YALE")</f>
        <v>YALE</v>
      </c>
      <c r="E577" s="1076" t="str">
        <f>IFERROR(__xludf.DUMMYFUNCTION("""COMPUTED_VALUE"""),"NHẬT BẢN")</f>
        <v>NHẬT BẢN</v>
      </c>
      <c r="F577" s="1076">
        <f>IFERROR(__xludf.DUMMYFUNCTION("""COMPUTED_VALUE"""),2022)</f>
        <v>2022</v>
      </c>
      <c r="G577" s="1076" t="str">
        <f>IFERROR(__xludf.DUMMYFUNCTION("""COMPUTED_VALUE"""),"GDP35MX")</f>
        <v>GDP35MX</v>
      </c>
      <c r="H577" s="1076" t="str">
        <f>IFERROR(__xludf.DUMMYFUNCTION("""COMPUTED_VALUE"""),"58HP")</f>
        <v>58HP</v>
      </c>
      <c r="I577" s="1076" t="str">
        <f>IFERROR(__xludf.DUMMYFUNCTION("""COMPUTED_VALUE"""),"D871R15794W")</f>
        <v>D871R15794W</v>
      </c>
      <c r="J577" s="1076" t="str">
        <f>IFERROR(__xludf.DUMMYFUNCTION("""COMPUTED_VALUE"""),"CCN")</f>
        <v>CCN</v>
      </c>
      <c r="K577" s="1076">
        <f>IFERROR(__xludf.DUMMYFUNCTION("""COMPUTED_VALUE"""),2.5)</f>
        <v>2.5</v>
      </c>
      <c r="L577" s="1076" t="str">
        <f>IFERROR(__xludf.DUMMYFUNCTION("""COMPUTED_VALUE"""),"KLH")</f>
        <v>KLH</v>
      </c>
    </row>
    <row r="578" customHeight="1" spans="1:12">
      <c r="A578" s="1089" t="str">
        <f>IFERROR(__xludf.DUMMYFUNCTION("""COMPUTED_VALUE"""),"NMN-XNA-002")</f>
        <v>NMN-XNA-002</v>
      </c>
      <c r="B578" s="1075" t="str">
        <f>IFERROR(__xludf.DUMMYFUNCTION("""COMPUTED_VALUE"""),"Xe nâng điện 2.5 tấn")</f>
        <v>Xe nâng điện 2.5 tấn</v>
      </c>
      <c r="C578" s="1076" t="str">
        <f>IFERROR(__xludf.DUMMYFUNCTION("""COMPUTED_VALUE"""),"NM NHỰA -XỐP DP")</f>
        <v>NM NHỰA -XỐP DP</v>
      </c>
      <c r="D578" s="1076" t="str">
        <f>IFERROR(__xludf.DUMMYFUNCTION("""COMPUTED_VALUE"""),"HELI")</f>
        <v>HELI</v>
      </c>
      <c r="E578" s="1076" t="str">
        <f>IFERROR(__xludf.DUMMYFUNCTION("""COMPUTED_VALUE"""),"TRUNG QUỐC")</f>
        <v>TRUNG QUỐC</v>
      </c>
      <c r="F578" s="1076">
        <f>IFERROR(__xludf.DUMMYFUNCTION("""COMPUTED_VALUE"""),2021)</f>
        <v>2021</v>
      </c>
      <c r="G578" s="1076" t="str">
        <f>IFERROR(__xludf.DUMMYFUNCTION("""COMPUTED_VALUE"""),"CPD25-GB2LI-H")</f>
        <v>CPD25-GB2LI-H</v>
      </c>
      <c r="H578" s="1076"/>
      <c r="I578" s="1076" t="str">
        <f>IFERROR(__xludf.DUMMYFUNCTION("""COMPUTED_VALUE"""),"05025DF7308")</f>
        <v>05025DF7308</v>
      </c>
      <c r="J578" s="1076"/>
      <c r="K578" s="1076"/>
      <c r="L578" s="1076" t="str">
        <f>IFERROR(__xludf.DUMMYFUNCTION("""COMPUTED_VALUE"""),"KLH")</f>
        <v>KLH</v>
      </c>
    </row>
    <row r="579" customHeight="1" spans="1:12">
      <c r="A579" s="1089" t="str">
        <f>IFERROR(__xludf.DUMMYFUNCTION("""COMPUTED_VALUE"""),"NMN-XNA-003")</f>
        <v>NMN-XNA-003</v>
      </c>
      <c r="B579" s="1075" t="str">
        <f>IFERROR(__xludf.DUMMYFUNCTION("""COMPUTED_VALUE"""),"Xe nâng điện 2.5 tấn")</f>
        <v>Xe nâng điện 2.5 tấn</v>
      </c>
      <c r="C579" s="1076" t="str">
        <f>IFERROR(__xludf.DUMMYFUNCTION("""COMPUTED_VALUE"""),"NM NHỰA -XỐP DP")</f>
        <v>NM NHỰA -XỐP DP</v>
      </c>
      <c r="D579" s="1076" t="str">
        <f>IFERROR(__xludf.DUMMYFUNCTION("""COMPUTED_VALUE"""),"HELI")</f>
        <v>HELI</v>
      </c>
      <c r="E579" s="1076" t="str">
        <f>IFERROR(__xludf.DUMMYFUNCTION("""COMPUTED_VALUE"""),"TRUNG QUỐC")</f>
        <v>TRUNG QUỐC</v>
      </c>
      <c r="F579" s="1076">
        <f>IFERROR(__xludf.DUMMYFUNCTION("""COMPUTED_VALUE"""),2021)</f>
        <v>2021</v>
      </c>
      <c r="G579" s="1076" t="str">
        <f>IFERROR(__xludf.DUMMYFUNCTION("""COMPUTED_VALUE"""),"CPD25-GB2LI-H")</f>
        <v>CPD25-GB2LI-H</v>
      </c>
      <c r="H579" s="1076"/>
      <c r="I579" s="1076" t="str">
        <f>IFERROR(__xludf.DUMMYFUNCTION("""COMPUTED_VALUE"""),"05025DF945")</f>
        <v>05025DF945</v>
      </c>
      <c r="J579" s="1076"/>
      <c r="K579" s="1076"/>
      <c r="L579" s="1076" t="str">
        <f>IFERROR(__xludf.DUMMYFUNCTION("""COMPUTED_VALUE"""),"KLH")</f>
        <v>KLH</v>
      </c>
    </row>
    <row r="580" customHeight="1" spans="1:12">
      <c r="A580" s="1089" t="str">
        <f>IFERROR(__xludf.DUMMYFUNCTION("""COMPUTED_VALUE"""),"NMN-XNA-004")</f>
        <v>NMN-XNA-004</v>
      </c>
      <c r="B580" s="1075" t="str">
        <f>IFERROR(__xludf.DUMMYFUNCTION("""COMPUTED_VALUE"""),"Xe nâng điện 2.5 tấn")</f>
        <v>Xe nâng điện 2.5 tấn</v>
      </c>
      <c r="C580" s="1076" t="str">
        <f>IFERROR(__xludf.DUMMYFUNCTION("""COMPUTED_VALUE"""),"NM NHỰA -XỐP DP")</f>
        <v>NM NHỰA -XỐP DP</v>
      </c>
      <c r="D580" s="1076" t="str">
        <f>IFERROR(__xludf.DUMMYFUNCTION("""COMPUTED_VALUE"""),"HELI")</f>
        <v>HELI</v>
      </c>
      <c r="E580" s="1076" t="str">
        <f>IFERROR(__xludf.DUMMYFUNCTION("""COMPUTED_VALUE"""),"TRUNG QUỐC")</f>
        <v>TRUNG QUỐC</v>
      </c>
      <c r="F580" s="1076">
        <f>IFERROR(__xludf.DUMMYFUNCTION("""COMPUTED_VALUE"""),2021)</f>
        <v>2021</v>
      </c>
      <c r="G580" s="1076" t="str">
        <f>IFERROR(__xludf.DUMMYFUNCTION("""COMPUTED_VALUE"""),"CPD25-GB2LI-H")</f>
        <v>CPD25-GB2LI-H</v>
      </c>
      <c r="H580" s="1076"/>
      <c r="I580" s="1076" t="str">
        <f>IFERROR(__xludf.DUMMYFUNCTION("""COMPUTED_VALUE"""),"05025DF7946")</f>
        <v>05025DF7946</v>
      </c>
      <c r="J580" s="1076"/>
      <c r="K580" s="1076"/>
      <c r="L580" s="1076" t="str">
        <f>IFERROR(__xludf.DUMMYFUNCTION("""COMPUTED_VALUE"""),"KLH")</f>
        <v>KLH</v>
      </c>
    </row>
    <row r="581" customHeight="1" spans="1:12">
      <c r="A581" s="1089" t="str">
        <f>IFERROR(__xludf.DUMMYFUNCTION("""COMPUTED_VALUE"""),"NMN-XNA-005")</f>
        <v>NMN-XNA-005</v>
      </c>
      <c r="B581" s="1075" t="str">
        <f>IFERROR(__xludf.DUMMYFUNCTION("""COMPUTED_VALUE"""),"Xe nâng điện 3.5 tấn")</f>
        <v>Xe nâng điện 3.5 tấn</v>
      </c>
      <c r="C581" s="1076" t="str">
        <f>IFERROR(__xludf.DUMMYFUNCTION("""COMPUTED_VALUE"""),"NM NHỰA -XỐP DP")</f>
        <v>NM NHỰA -XỐP DP</v>
      </c>
      <c r="D581" s="1076" t="str">
        <f>IFERROR(__xludf.DUMMYFUNCTION("""COMPUTED_VALUE"""),"HELI")</f>
        <v>HELI</v>
      </c>
      <c r="E581" s="1076" t="str">
        <f>IFERROR(__xludf.DUMMYFUNCTION("""COMPUTED_VALUE"""),"TRUNG QUỐC")</f>
        <v>TRUNG QUỐC</v>
      </c>
      <c r="F581" s="1076">
        <f>IFERROR(__xludf.DUMMYFUNCTION("""COMPUTED_VALUE"""),2021)</f>
        <v>2021</v>
      </c>
      <c r="G581" s="1076" t="str">
        <f>IFERROR(__xludf.DUMMYFUNCTION("""COMPUTED_VALUE"""),"CPD35-GB2LI-H")</f>
        <v>CPD35-GB2LI-H</v>
      </c>
      <c r="H581" s="1076"/>
      <c r="I581" s="1076" t="str">
        <f>IFERROR(__xludf.DUMMYFUNCTION("""COMPUTED_VALUE"""),"05035DF8691")</f>
        <v>05035DF8691</v>
      </c>
      <c r="J581" s="1076"/>
      <c r="K581" s="1076"/>
      <c r="L581" s="1076" t="str">
        <f>IFERROR(__xludf.DUMMYFUNCTION("""COMPUTED_VALUE"""),"KLH")</f>
        <v>KLH</v>
      </c>
    </row>
    <row r="582" customHeight="1" spans="1:12">
      <c r="A582" s="1089" t="str">
        <f>IFERROR(__xludf.DUMMYFUNCTION("""COMPUTED_VALUE"""),"NMN-XNA-006")</f>
        <v>NMN-XNA-006</v>
      </c>
      <c r="B582" s="1075" t="str">
        <f>IFERROR(__xludf.DUMMYFUNCTION("""COMPUTED_VALUE"""),"Xe nâng điện 5 tấn")</f>
        <v>Xe nâng điện 5 tấn</v>
      </c>
      <c r="C582" s="1076" t="str">
        <f>IFERROR(__xludf.DUMMYFUNCTION("""COMPUTED_VALUE"""),"NM NHỰA -XỐP DP")</f>
        <v>NM NHỰA -XỐP DP</v>
      </c>
      <c r="D582" s="1076" t="str">
        <f>IFERROR(__xludf.DUMMYFUNCTION("""COMPUTED_VALUE"""),"HELI")</f>
        <v>HELI</v>
      </c>
      <c r="E582" s="1076" t="str">
        <f>IFERROR(__xludf.DUMMYFUNCTION("""COMPUTED_VALUE"""),"TRUNG QUỐC")</f>
        <v>TRUNG QUỐC</v>
      </c>
      <c r="F582" s="1076">
        <f>IFERROR(__xludf.DUMMYFUNCTION("""COMPUTED_VALUE"""),2021)</f>
        <v>2021</v>
      </c>
      <c r="G582" s="1076" t="str">
        <f>IFERROR(__xludf.DUMMYFUNCTION("""COMPUTED_VALUE"""),"CPD50-GB2LI")</f>
        <v>CPD50-GB2LI</v>
      </c>
      <c r="H582" s="1076"/>
      <c r="I582" s="1076" t="str">
        <f>IFERROR(__xludf.DUMMYFUNCTION("""COMPUTED_VALUE"""),"05050DF9070")</f>
        <v>05050DF9070</v>
      </c>
      <c r="J582" s="1076"/>
      <c r="K582" s="1076"/>
      <c r="L582" s="1076" t="str">
        <f>IFERROR(__xludf.DUMMYFUNCTION("""COMPUTED_VALUE"""),"KLH")</f>
        <v>KLH</v>
      </c>
    </row>
    <row r="583" customHeight="1" spans="1:12">
      <c r="A583" s="1089" t="str">
        <f>IFERROR(__xludf.DUMMYFUNCTION("""COMPUTED_VALUE"""),"NMN-XNA-007")</f>
        <v>NMN-XNA-007</v>
      </c>
      <c r="B583" s="1075" t="str">
        <f>IFERROR(__xludf.DUMMYFUNCTION("""COMPUTED_VALUE"""),"Xe nâng điện 5 tấn")</f>
        <v>Xe nâng điện 5 tấn</v>
      </c>
      <c r="C583" s="1076" t="str">
        <f>IFERROR(__xludf.DUMMYFUNCTION("""COMPUTED_VALUE"""),"NM NHỰA -XỐP DP")</f>
        <v>NM NHỰA -XỐP DP</v>
      </c>
      <c r="D583" s="1076" t="str">
        <f>IFERROR(__xludf.DUMMYFUNCTION("""COMPUTED_VALUE"""),"HELI")</f>
        <v>HELI</v>
      </c>
      <c r="E583" s="1076" t="str">
        <f>IFERROR(__xludf.DUMMYFUNCTION("""COMPUTED_VALUE"""),"TRUNG QUỐC")</f>
        <v>TRUNG QUỐC</v>
      </c>
      <c r="F583" s="1076">
        <f>IFERROR(__xludf.DUMMYFUNCTION("""COMPUTED_VALUE"""),2021)</f>
        <v>2021</v>
      </c>
      <c r="G583" s="1076" t="str">
        <f>IFERROR(__xludf.DUMMYFUNCTION("""COMPUTED_VALUE"""),"CPD50-GB2LI")</f>
        <v>CPD50-GB2LI</v>
      </c>
      <c r="H583" s="1076"/>
      <c r="I583" s="1076" t="str">
        <f>IFERROR(__xludf.DUMMYFUNCTION("""COMPUTED_VALUE"""),"05050DF9069")</f>
        <v>05050DF9069</v>
      </c>
      <c r="J583" s="1076"/>
      <c r="K583" s="1076"/>
      <c r="L583" s="1076" t="str">
        <f>IFERROR(__xludf.DUMMYFUNCTION("""COMPUTED_VALUE"""),"KLH")</f>
        <v>KLH</v>
      </c>
    </row>
    <row r="584" customHeight="1" spans="1:12">
      <c r="A584" s="1089" t="str">
        <f>IFERROR(__xludf.DUMMYFUNCTION("""COMPUTED_VALUE"""),"TKD-XNA-001")</f>
        <v>TKD-XNA-001</v>
      </c>
      <c r="B584" s="1075" t="str">
        <f>IFERROR(__xludf.DUMMYFUNCTION("""COMPUTED_VALUE"""),"Xe nâng điện 1.5 tấn")</f>
        <v>Xe nâng điện 1.5 tấn</v>
      </c>
      <c r="C584" s="1076" t="str">
        <f>IFERROR(__xludf.DUMMYFUNCTION("""COMPUTED_VALUE"""),"Tổng kho")</f>
        <v>Tổng kho</v>
      </c>
      <c r="D584" s="1076" t="str">
        <f>IFERROR(__xludf.DUMMYFUNCTION("""COMPUTED_VALUE"""),"HELI")</f>
        <v>HELI</v>
      </c>
      <c r="E584" s="1076"/>
      <c r="F584" s="1076">
        <f>IFERROR(__xludf.DUMMYFUNCTION("""COMPUTED_VALUE"""),2023)</f>
        <v>2023</v>
      </c>
      <c r="G584" s="1076" t="str">
        <f>IFERROR(__xludf.DUMMYFUNCTION("""COMPUTED_VALUE"""),"CPD15")</f>
        <v>CPD15</v>
      </c>
      <c r="H584" s="1076"/>
      <c r="I584" s="1076" t="str">
        <f>IFERROR(__xludf.DUMMYFUNCTION("""COMPUTED_VALUE"""),"1501190032")</f>
        <v>1501190032</v>
      </c>
      <c r="J584" s="1076"/>
      <c r="K584" s="1076"/>
      <c r="L584" s="1076" t="str">
        <f>IFERROR(__xludf.DUMMYFUNCTION("""COMPUTED_VALUE"""),"KLH")</f>
        <v>KLH</v>
      </c>
    </row>
    <row r="585" customHeight="1" spans="1:12">
      <c r="A585" s="1089" t="str">
        <f>IFERROR(__xludf.DUMMYFUNCTION("""COMPUTED_VALUE"""),"TKD-XNA-002")</f>
        <v>TKD-XNA-002</v>
      </c>
      <c r="B585" s="1075" t="str">
        <f>IFERROR(__xludf.DUMMYFUNCTION("""COMPUTED_VALUE"""),"Xe nâng điện 2.5 tấn")</f>
        <v>Xe nâng điện 2.5 tấn</v>
      </c>
      <c r="C585" s="1076" t="str">
        <f>IFERROR(__xludf.DUMMYFUNCTION("""COMPUTED_VALUE"""),"Tổng kho")</f>
        <v>Tổng kho</v>
      </c>
      <c r="D585" s="1076" t="str">
        <f>IFERROR(__xludf.DUMMYFUNCTION("""COMPUTED_VALUE"""),"HELI")</f>
        <v>HELI</v>
      </c>
      <c r="E585" s="1076"/>
      <c r="F585" s="1076">
        <f>IFERROR(__xludf.DUMMYFUNCTION("""COMPUTED_VALUE"""),2023)</f>
        <v>2023</v>
      </c>
      <c r="G585" s="1076" t="str">
        <f>IFERROR(__xludf.DUMMYFUNCTION("""COMPUTED_VALUE"""),"CPD25")</f>
        <v>CPD25</v>
      </c>
      <c r="H585" s="1076"/>
      <c r="I585" s="1076" t="str">
        <f>IFERROR(__xludf.DUMMYFUNCTION("""COMPUTED_VALUE"""),"05025DH3158")</f>
        <v>05025DH3158</v>
      </c>
      <c r="J585" s="1076"/>
      <c r="K585" s="1076"/>
      <c r="L585" s="1076" t="str">
        <f>IFERROR(__xludf.DUMMYFUNCTION("""COMPUTED_VALUE"""),"KLH")</f>
        <v>KLH</v>
      </c>
    </row>
    <row r="586" customHeight="1" spans="1:12">
      <c r="A586" s="1089" t="str">
        <f>IFERROR(__xludf.DUMMYFUNCTION("""COMPUTED_VALUE"""),"TKD-XNA-003")</f>
        <v>TKD-XNA-003</v>
      </c>
      <c r="B586" s="1075" t="str">
        <f>IFERROR(__xludf.DUMMYFUNCTION("""COMPUTED_VALUE"""),"Xe nâng điện 1.5 tấn")</f>
        <v>Xe nâng điện 1.5 tấn</v>
      </c>
      <c r="C586" s="1076" t="str">
        <f>IFERROR(__xludf.DUMMYFUNCTION("""COMPUTED_VALUE"""),"Tổng kho")</f>
        <v>Tổng kho</v>
      </c>
      <c r="D586" s="1076" t="str">
        <f>IFERROR(__xludf.DUMMYFUNCTION("""COMPUTED_VALUE"""),"BYD")</f>
        <v>BYD</v>
      </c>
      <c r="E586" s="1076"/>
      <c r="F586" s="1076">
        <f>IFERROR(__xludf.DUMMYFUNCTION("""COMPUTED_VALUE"""),2021)</f>
        <v>2021</v>
      </c>
      <c r="G586" s="1076" t="str">
        <f>IFERROR(__xludf.DUMMYFUNCTION("""COMPUTED_VALUE"""),"ECP16S")</f>
        <v>ECP16S</v>
      </c>
      <c r="H586" s="1076"/>
      <c r="I586" s="1076" t="str">
        <f>IFERROR(__xludf.DUMMYFUNCTION("""COMPUTED_VALUE"""),"1501190033")</f>
        <v>1501190033</v>
      </c>
      <c r="J586" s="1076"/>
      <c r="K586" s="1076"/>
      <c r="L586" s="1076" t="str">
        <f>IFERROR(__xludf.DUMMYFUNCTION("""COMPUTED_VALUE"""),"KLH")</f>
        <v>KLH</v>
      </c>
    </row>
    <row r="587" customHeight="1" spans="1:12">
      <c r="A587" s="1089" t="str">
        <f>IFERROR(__xludf.DUMMYFUNCTION("""COMPUTED_VALUE"""),"TKD-XNA-004")</f>
        <v>TKD-XNA-004</v>
      </c>
      <c r="B587" s="1075" t="str">
        <f>IFERROR(__xludf.DUMMYFUNCTION("""COMPUTED_VALUE"""),"Xe nâng điện 1.5 tấn")</f>
        <v>Xe nâng điện 1.5 tấn</v>
      </c>
      <c r="C587" s="1076" t="str">
        <f>IFERROR(__xludf.DUMMYFUNCTION("""COMPUTED_VALUE"""),"Tổng kho")</f>
        <v>Tổng kho</v>
      </c>
      <c r="D587" s="1076" t="str">
        <f>IFERROR(__xludf.DUMMYFUNCTION("""COMPUTED_VALUE"""),"BYD")</f>
        <v>BYD</v>
      </c>
      <c r="E587" s="1076"/>
      <c r="F587" s="1076">
        <f>IFERROR(__xludf.DUMMYFUNCTION("""COMPUTED_VALUE"""),2021)</f>
        <v>2021</v>
      </c>
      <c r="G587" s="1076" t="str">
        <f>IFERROR(__xludf.DUMMYFUNCTION("""COMPUTED_VALUE"""),"ECP16S")</f>
        <v>ECP16S</v>
      </c>
      <c r="H587" s="1076"/>
      <c r="I587" s="1076" t="str">
        <f>IFERROR(__xludf.DUMMYFUNCTION("""COMPUTED_VALUE"""),"1501190062")</f>
        <v>1501190062</v>
      </c>
      <c r="J587" s="1076"/>
      <c r="K587" s="1076"/>
      <c r="L587" s="1076" t="str">
        <f>IFERROR(__xludf.DUMMYFUNCTION("""COMPUTED_VALUE"""),"KLH")</f>
        <v>KLH</v>
      </c>
    </row>
    <row r="588" customHeight="1" spans="1:12">
      <c r="A588" s="1089" t="str">
        <f>IFERROR(__xludf.DUMMYFUNCTION("""COMPUTED_VALUE"""),"TKD-XNA-005")</f>
        <v>TKD-XNA-005</v>
      </c>
      <c r="B588" s="1075" t="str">
        <f>IFERROR(__xludf.DUMMYFUNCTION("""COMPUTED_VALUE"""),"Xe nâng điện 1.5 tấn")</f>
        <v>Xe nâng điện 1.5 tấn</v>
      </c>
      <c r="C588" s="1076" t="str">
        <f>IFERROR(__xludf.DUMMYFUNCTION("""COMPUTED_VALUE"""),"Tổng kho")</f>
        <v>Tổng kho</v>
      </c>
      <c r="D588" s="1076" t="str">
        <f>IFERROR(__xludf.DUMMYFUNCTION("""COMPUTED_VALUE"""),"BYD")</f>
        <v>BYD</v>
      </c>
      <c r="E588" s="1076"/>
      <c r="F588" s="1076">
        <f>IFERROR(__xludf.DUMMYFUNCTION("""COMPUTED_VALUE"""),2021)</f>
        <v>2021</v>
      </c>
      <c r="G588" s="1076" t="str">
        <f>IFERROR(__xludf.DUMMYFUNCTION("""COMPUTED_VALUE"""),"ECP16S")</f>
        <v>ECP16S</v>
      </c>
      <c r="H588" s="1076"/>
      <c r="I588" s="1076" t="str">
        <f>IFERROR(__xludf.DUMMYFUNCTION("""COMPUTED_VALUE"""),"1501190058")</f>
        <v>1501190058</v>
      </c>
      <c r="J588" s="1076"/>
      <c r="K588" s="1076"/>
      <c r="L588" s="1076" t="str">
        <f>IFERROR(__xludf.DUMMYFUNCTION("""COMPUTED_VALUE"""),"KLH")</f>
        <v>KLH</v>
      </c>
    </row>
    <row r="589" customHeight="1" spans="1:12">
      <c r="A589" s="1089" t="str">
        <f>IFERROR(__xludf.DUMMYFUNCTION("""COMPUTED_VALUE"""),"TKD-XNA-006")</f>
        <v>TKD-XNA-006</v>
      </c>
      <c r="B589" s="1075" t="str">
        <f>IFERROR(__xludf.DUMMYFUNCTION("""COMPUTED_VALUE"""),"Xe nâng điện 1.5 tấn")</f>
        <v>Xe nâng điện 1.5 tấn</v>
      </c>
      <c r="C589" s="1076" t="str">
        <f>IFERROR(__xludf.DUMMYFUNCTION("""COMPUTED_VALUE"""),"Tổng kho")</f>
        <v>Tổng kho</v>
      </c>
      <c r="D589" s="1076" t="str">
        <f>IFERROR(__xludf.DUMMYFUNCTION("""COMPUTED_VALUE"""),"BYD")</f>
        <v>BYD</v>
      </c>
      <c r="E589" s="1076"/>
      <c r="F589" s="1076">
        <f>IFERROR(__xludf.DUMMYFUNCTION("""COMPUTED_VALUE"""),2021)</f>
        <v>2021</v>
      </c>
      <c r="G589" s="1076" t="str">
        <f>IFERROR(__xludf.DUMMYFUNCTION("""COMPUTED_VALUE"""),"ECP16S")</f>
        <v>ECP16S</v>
      </c>
      <c r="H589" s="1076"/>
      <c r="I589" s="1076" t="str">
        <f>IFERROR(__xludf.DUMMYFUNCTION("""COMPUTED_VALUE"""),"1501190065")</f>
        <v>1501190065</v>
      </c>
      <c r="J589" s="1076"/>
      <c r="K589" s="1076"/>
      <c r="L589" s="1076" t="str">
        <f>IFERROR(__xludf.DUMMYFUNCTION("""COMPUTED_VALUE"""),"KLH")</f>
        <v>KLH</v>
      </c>
    </row>
    <row r="590" customHeight="1" spans="1:12">
      <c r="A590" s="1089" t="str">
        <f>IFERROR(__xludf.DUMMYFUNCTION("""COMPUTED_VALUE"""),"TKD-XNA-007")</f>
        <v>TKD-XNA-007</v>
      </c>
      <c r="B590" s="1075" t="str">
        <f>IFERROR(__xludf.DUMMYFUNCTION("""COMPUTED_VALUE"""),"Xe nâng điện 1.5 tấn")</f>
        <v>Xe nâng điện 1.5 tấn</v>
      </c>
      <c r="C590" s="1076" t="str">
        <f>IFERROR(__xludf.DUMMYFUNCTION("""COMPUTED_VALUE"""),"Tổng kho")</f>
        <v>Tổng kho</v>
      </c>
      <c r="D590" s="1076" t="str">
        <f>IFERROR(__xludf.DUMMYFUNCTION("""COMPUTED_VALUE"""),"KOMATSU")</f>
        <v>KOMATSU</v>
      </c>
      <c r="E590" s="1076"/>
      <c r="F590" s="1076">
        <f>IFERROR(__xludf.DUMMYFUNCTION("""COMPUTED_VALUE"""),2007)</f>
        <v>2007</v>
      </c>
      <c r="G590" s="1076" t="str">
        <f>IFERROR(__xludf.DUMMYFUNCTION("""COMPUTED_VALUE"""),"FB15EX-11")</f>
        <v>FB15EX-11</v>
      </c>
      <c r="H590" s="1076"/>
      <c r="I590" s="1076" t="str">
        <f>IFERROR(__xludf.DUMMYFUNCTION("""COMPUTED_VALUE"""),"809168")</f>
        <v>809168</v>
      </c>
      <c r="J590" s="1076"/>
      <c r="K590" s="1076"/>
      <c r="L590" s="1076" t="str">
        <f>IFERROR(__xludf.DUMMYFUNCTION("""COMPUTED_VALUE"""),"KLH")</f>
        <v>KLH</v>
      </c>
    </row>
    <row r="591" customHeight="1" spans="1:12">
      <c r="A591" s="1089" t="str">
        <f>IFERROR(__xludf.DUMMYFUNCTION("""COMPUTED_VALUE"""),"TKD-XNA-008")</f>
        <v>TKD-XNA-008</v>
      </c>
      <c r="B591" s="1075" t="str">
        <f>IFERROR(__xludf.DUMMYFUNCTION("""COMPUTED_VALUE"""),"Xe nâng điện 1.5 tấn")</f>
        <v>Xe nâng điện 1.5 tấn</v>
      </c>
      <c r="C591" s="1076" t="str">
        <f>IFERROR(__xludf.DUMMYFUNCTION("""COMPUTED_VALUE"""),"Tổng kho")</f>
        <v>Tổng kho</v>
      </c>
      <c r="D591" s="1076" t="str">
        <f>IFERROR(__xludf.DUMMYFUNCTION("""COMPUTED_VALUE"""),"KOMATSU")</f>
        <v>KOMATSU</v>
      </c>
      <c r="E591" s="1076"/>
      <c r="F591" s="1076">
        <f>IFERROR(__xludf.DUMMYFUNCTION("""COMPUTED_VALUE"""),2017)</f>
        <v>2017</v>
      </c>
      <c r="G591" s="1076" t="str">
        <f>IFERROR(__xludf.DUMMYFUNCTION("""COMPUTED_VALUE"""),"FB15HB-12")</f>
        <v>FB15HB-12</v>
      </c>
      <c r="H591" s="1076"/>
      <c r="I591" s="1076" t="str">
        <f>IFERROR(__xludf.DUMMYFUNCTION("""COMPUTED_VALUE"""),"841392")</f>
        <v>841392</v>
      </c>
      <c r="J591" s="1076"/>
      <c r="K591" s="1076"/>
      <c r="L591" s="1076" t="str">
        <f>IFERROR(__xludf.DUMMYFUNCTION("""COMPUTED_VALUE"""),"KLH")</f>
        <v>KLH</v>
      </c>
    </row>
    <row r="592" customHeight="1" spans="1:12">
      <c r="A592" s="1089" t="str">
        <f>IFERROR(__xludf.DUMMYFUNCTION("""COMPUTED_VALUE"""),"VTG-XTA-001")</f>
        <v>VTG-XTA-001</v>
      </c>
      <c r="B592" s="1075" t="str">
        <f>IFERROR(__xludf.DUMMYFUNCTION("""COMPUTED_VALUE"""),"Xe ben FD150 (8.7m3)")</f>
        <v>Xe ben FD150 (8.7m3)</v>
      </c>
      <c r="C592" s="1076" t="str">
        <f>IFERROR(__xludf.DUMMYFUNCTION("""COMPUTED_VALUE"""),"Vườn tăng gia")</f>
        <v>Vườn tăng gia</v>
      </c>
      <c r="D592" s="1076" t="str">
        <f>IFERROR(__xludf.DUMMYFUNCTION("""COMPUTED_VALUE"""),"THACO FORLAND")</f>
        <v>THACO FORLAND</v>
      </c>
      <c r="E592" s="1076" t="str">
        <f>IFERROR(__xludf.DUMMYFUNCTION("""COMPUTED_VALUE"""),"VIỆT NAM")</f>
        <v>VIỆT NAM</v>
      </c>
      <c r="F592" s="1076">
        <f>IFERROR(__xludf.DUMMYFUNCTION("""COMPUTED_VALUE"""),2023)</f>
        <v>2023</v>
      </c>
      <c r="G592" s="1076" t="str">
        <f>IFERROR(__xludf.DUMMYFUNCTION("""COMPUTED_VALUE"""),"FD150-4WD")</f>
        <v>FD150-4WD</v>
      </c>
      <c r="H592" s="1076" t="str">
        <f>IFERROR(__xludf.DUMMYFUNCTION("""COMPUTED_VALUE"""),"150HP")</f>
        <v>150HP</v>
      </c>
      <c r="I592" s="1076" t="str">
        <f>IFERROR(__xludf.DUMMYFUNCTION("""COMPUTED_VALUE"""),"RNHF16FYAPTO77537")</f>
        <v>RNHF16FYAPTO77537</v>
      </c>
      <c r="J592" s="1076" t="str">
        <f>IFERROR(__xludf.DUMMYFUNCTION("""COMPUTED_VALUE"""),"YC4D150-48D59M1N00931")</f>
        <v>YC4D150-48D59M1N00931</v>
      </c>
      <c r="K592" s="1076">
        <f>IFERROR(__xludf.DUMMYFUNCTION("""COMPUTED_VALUE"""),0.45)</f>
        <v>0.45</v>
      </c>
      <c r="L592" s="1076" t="str">
        <f>IFERROR(__xludf.DUMMYFUNCTION("""COMPUTED_VALUE"""),"KLH")</f>
        <v>KLH</v>
      </c>
    </row>
    <row r="593" customHeight="1" spans="1:12">
      <c r="A593" s="1089" t="str">
        <f>IFERROR(__xludf.DUMMYFUNCTION("""COMPUTED_VALUE"""),"LƯU KHO MÁY MÓC CƠ GIỚI KHU LIÊN HỢP")</f>
        <v>LƯU KHO MÁY MÓC CƠ GIỚI KHU LIÊN HỢP</v>
      </c>
      <c r="B593" s="1075" t="str">
        <f>IFERROR(__xludf.DUMMYFUNCTION("""COMPUTED_VALUE"""),"(Chờ phân bổ chữ xanh dương)")</f>
        <v>(Chờ phân bổ chữ xanh dương)</v>
      </c>
      <c r="C593" s="1076"/>
      <c r="D593" s="1076"/>
      <c r="E593" s="1076"/>
      <c r="F593" s="1076"/>
      <c r="G593" s="1076"/>
      <c r="H593" s="1076"/>
      <c r="I593" s="1076"/>
      <c r="J593" s="1076"/>
      <c r="K593" s="1076"/>
      <c r="L593" s="1076" t="str">
        <f>IFERROR(__xludf.DUMMYFUNCTION("""COMPUTED_VALUE"""),"KLH")</f>
        <v>KLH</v>
      </c>
    </row>
    <row r="594" customHeight="1" spans="1:12">
      <c r="A594" s="1089" t="str">
        <f>IFERROR(__xludf.DUMMYFUNCTION("""COMPUTED_VALUE"""),"MÁY MÓC CHỜ PHÂN BỔ")</f>
        <v>MÁY MÓC CHỜ PHÂN BỔ</v>
      </c>
      <c r="B594" s="1075"/>
      <c r="C594" s="1076"/>
      <c r="D594" s="1076"/>
      <c r="E594" s="1076"/>
      <c r="F594" s="1076"/>
      <c r="G594" s="1076"/>
      <c r="H594" s="1076"/>
      <c r="I594" s="1076"/>
      <c r="J594" s="1076"/>
      <c r="K594" s="1076"/>
      <c r="L594" s="1076" t="str">
        <f>IFERROR(__xludf.DUMMYFUNCTION("""COMPUTED_VALUE"""),"KLH")</f>
        <v>KLH</v>
      </c>
    </row>
    <row r="595" customHeight="1" spans="1:12">
      <c r="A595" s="1089" t="str">
        <f>IFERROR(__xludf.DUMMYFUNCTION("""COMPUTED_VALUE"""),"XD2-XPT-002")</f>
        <v>XD2-XPT-002</v>
      </c>
      <c r="B595" s="1075" t="str">
        <f>IFERROR(__xludf.DUMMYFUNCTION("""COMPUTED_VALUE"""),"Xe phun thuốc FC950")</f>
        <v>Xe phun thuốc FC950</v>
      </c>
      <c r="C595" s="1076" t="str">
        <f>IFERROR(__xludf.DUMMYFUNCTION("""COMPUTED_VALUE"""),"CHƯA PHÂN BỔ")</f>
        <v>CHƯA PHÂN BỔ</v>
      </c>
      <c r="D595" s="1076" t="str">
        <f>IFERROR(__xludf.DUMMYFUNCTION("""COMPUTED_VALUE"""),"THACO FORLAND")</f>
        <v>THACO FORLAND</v>
      </c>
      <c r="E595" s="1076" t="str">
        <f>IFERROR(__xludf.DUMMYFUNCTION("""COMPUTED_VALUE"""),"VIỆT NAM")</f>
        <v>VIỆT NAM</v>
      </c>
      <c r="F595" s="1076">
        <f>IFERROR(__xludf.DUMMYFUNCTION("""COMPUTED_VALUE"""),2018)</f>
        <v>2018</v>
      </c>
      <c r="G595" s="1076" t="str">
        <f>IFERROR(__xludf.DUMMYFUNCTION("""COMPUTED_VALUE"""),"FC950")</f>
        <v>FC950</v>
      </c>
      <c r="H595" s="1076" t="str">
        <f>IFERROR(__xludf.DUMMYFUNCTION("""COMPUTED_VALUE"""),"160HP")</f>
        <v>160HP</v>
      </c>
      <c r="I595" s="1076" t="str">
        <f>IFERROR(__xludf.DUMMYFUNCTION("""COMPUTED_VALUE"""),"C084025")</f>
        <v>C084025</v>
      </c>
      <c r="J595" s="1076" t="str">
        <f>IFERROR(__xludf.DUMMYFUNCTION("""COMPUTED_VALUE"""),"J00061")</f>
        <v>J00061</v>
      </c>
      <c r="K595" s="1076">
        <f>IFERROR(__xludf.DUMMYFUNCTION("""COMPUTED_VALUE"""),3.75)</f>
        <v>3.75</v>
      </c>
      <c r="L595" s="1076" t="str">
        <f>IFERROR(__xludf.DUMMYFUNCTION("""COMPUTED_VALUE"""),"KLH")</f>
        <v>KLH</v>
      </c>
    </row>
    <row r="596" customHeight="1" spans="1:12">
      <c r="A596" s="1089" t="str">
        <f>IFERROR(__xludf.DUMMYFUNCTION("""COMPUTED_VALUE"""),"XA2-XPT-001")</f>
        <v>XA2-XPT-001</v>
      </c>
      <c r="B596" s="1075" t="str">
        <f>IFERROR(__xludf.DUMMYFUNCTION("""COMPUTED_VALUE"""),"Xe phun thuốc Faw 15T")</f>
        <v>Xe phun thuốc Faw 15T</v>
      </c>
      <c r="C596" s="1076" t="str">
        <f>IFERROR(__xludf.DUMMYFUNCTION("""COMPUTED_VALUE"""),"CHƯA PHÂN BỔ")</f>
        <v>CHƯA PHÂN BỔ</v>
      </c>
      <c r="D596" s="1076" t="str">
        <f>IFERROR(__xludf.DUMMYFUNCTION("""COMPUTED_VALUE"""),"FAW")</f>
        <v>FAW</v>
      </c>
      <c r="E596" s="1076" t="str">
        <f>IFERROR(__xludf.DUMMYFUNCTION("""COMPUTED_VALUE"""),"TRUNG QUỐC")</f>
        <v>TRUNG QUỐC</v>
      </c>
      <c r="F596" s="1076">
        <f>IFERROR(__xludf.DUMMYFUNCTION("""COMPUTED_VALUE"""),2009)</f>
        <v>2009</v>
      </c>
      <c r="G596" s="1076"/>
      <c r="H596" s="1076" t="str">
        <f>IFERROR(__xludf.DUMMYFUNCTION("""COMPUTED_VALUE"""),"140HP")</f>
        <v>140HP</v>
      </c>
      <c r="I596" s="1076" t="str">
        <f>IFERROR(__xludf.DUMMYFUNCTION("""COMPUTED_VALUE"""),"9AD33858")</f>
        <v>9AD33858</v>
      </c>
      <c r="J596" s="1076" t="str">
        <f>IFERROR(__xludf.DUMMYFUNCTION("""COMPUTED_VALUE"""),"1509K055936")</f>
        <v>1509K055936</v>
      </c>
      <c r="K596" s="1076">
        <f>IFERROR(__xludf.DUMMYFUNCTION("""COMPUTED_VALUE"""),3.75)</f>
        <v>3.75</v>
      </c>
      <c r="L596" s="1076" t="str">
        <f>IFERROR(__xludf.DUMMYFUNCTION("""COMPUTED_VALUE"""),"KLH")</f>
        <v>KLH</v>
      </c>
    </row>
    <row r="597" customHeight="1" spans="1:12">
      <c r="A597" s="1089" t="str">
        <f>IFERROR(__xludf.DUMMYFUNCTION("""COMPUTED_VALUE"""),"HƯ HỎNG NẶNG LOẠI BIÊN")</f>
        <v>HƯ HỎNG NẶNG LOẠI BIÊN</v>
      </c>
      <c r="B597" s="1075" t="str">
        <f>IFERROR(__xludf.DUMMYFUNCTION("""COMPUTED_VALUE"""),"(Loại biên chữ đỏ)")</f>
        <v>(Loại biên chữ đỏ)</v>
      </c>
      <c r="C597" s="1076"/>
      <c r="D597" s="1076"/>
      <c r="E597" s="1076"/>
      <c r="F597" s="1076"/>
      <c r="G597" s="1076"/>
      <c r="H597" s="1076"/>
      <c r="I597" s="1076"/>
      <c r="J597" s="1076"/>
      <c r="K597" s="1076"/>
      <c r="L597" s="1076" t="str">
        <f>IFERROR(__xludf.DUMMYFUNCTION("""COMPUTED_VALUE"""),"KLH")</f>
        <v>KLH</v>
      </c>
    </row>
    <row r="598" customHeight="1" spans="1:12">
      <c r="A598" s="1089" t="str">
        <f>IFERROR(__xludf.DUMMYFUNCTION("""COMPUTED_VALUE"""),"XB1-MĐA-002")</f>
        <v>XB1-MĐA-002</v>
      </c>
      <c r="B598" s="1075" t="str">
        <f>IFERROR(__xludf.DUMMYFUNCTION("""COMPUTED_VALUE"""),"Máy đào CAT 303 bánh xích gàu 0.3m3")</f>
        <v>Máy đào CAT 303 bánh xích gàu 0.3m3</v>
      </c>
      <c r="C598" s="1076" t="str">
        <f>IFERROR(__xludf.DUMMYFUNCTION("""COMPUTED_VALUE"""),"Loại biên")</f>
        <v>Loại biên</v>
      </c>
      <c r="D598" s="1076" t="str">
        <f>IFERROR(__xludf.DUMMYFUNCTION("""COMPUTED_VALUE"""),"CAT")</f>
        <v>CAT</v>
      </c>
      <c r="E598" s="1076" t="str">
        <f>IFERROR(__xludf.DUMMYFUNCTION("""COMPUTED_VALUE"""),"NHẬT BẢN")</f>
        <v>NHẬT BẢN</v>
      </c>
      <c r="F598" s="1076"/>
      <c r="G598" s="1076" t="str">
        <f>IFERROR(__xludf.DUMMYFUNCTION("""COMPUTED_VALUE"""),"303")</f>
        <v>303</v>
      </c>
      <c r="H598" s="1076"/>
      <c r="I598" s="1076" t="str">
        <f>IFERROR(__xludf.DUMMYFUNCTION("""COMPUTED_VALUE"""),"857")</f>
        <v>857</v>
      </c>
      <c r="J598" s="1076" t="str">
        <f>IFERROR(__xludf.DUMMYFUNCTION("""COMPUTED_VALUE"""),"4262")</f>
        <v>4262</v>
      </c>
      <c r="K598" s="1076">
        <f>IFERROR(__xludf.DUMMYFUNCTION("""COMPUTED_VALUE"""),4)</f>
        <v>4</v>
      </c>
      <c r="L598" s="1076" t="str">
        <f>IFERROR(__xludf.DUMMYFUNCTION("""COMPUTED_VALUE"""),"Loại biên")</f>
        <v>Loại biên</v>
      </c>
    </row>
    <row r="599" customHeight="1" spans="1:12">
      <c r="A599" s="1089" t="str">
        <f>IFERROR(__xludf.DUMMYFUNCTION("""COMPUTED_VALUE"""),"XB1-MKE-015")</f>
        <v>XB1-MKE-015</v>
      </c>
      <c r="B599" s="1075" t="str">
        <f>IFERROR(__xludf.DUMMYFUNCTION("""COMPUTED_VALUE"""),"Máy cày KAM50")</f>
        <v>Máy cày KAM50</v>
      </c>
      <c r="C599" s="1076" t="str">
        <f>IFERROR(__xludf.DUMMYFUNCTION("""COMPUTED_VALUE"""),"Loại biên")</f>
        <v>Loại biên</v>
      </c>
      <c r="D599" s="1076" t="str">
        <f>IFERROR(__xludf.DUMMYFUNCTION("""COMPUTED_VALUE"""),"THACO")</f>
        <v>THACO</v>
      </c>
      <c r="E599" s="1076" t="str">
        <f>IFERROR(__xludf.DUMMYFUNCTION("""COMPUTED_VALUE"""),"VIỆT NAM")</f>
        <v>VIỆT NAM</v>
      </c>
      <c r="F599" s="1076">
        <f>IFERROR(__xludf.DUMMYFUNCTION("""COMPUTED_VALUE"""),2018)</f>
        <v>2018</v>
      </c>
      <c r="G599" s="1076" t="str">
        <f>IFERROR(__xludf.DUMMYFUNCTION("""COMPUTED_VALUE"""),"KAM50")</f>
        <v>KAM50</v>
      </c>
      <c r="H599" s="1076" t="str">
        <f>IFERROR(__xludf.DUMMYFUNCTION("""COMPUTED_VALUE"""),"50HP")</f>
        <v>50HP</v>
      </c>
      <c r="I599" s="1076" t="str">
        <f>IFERROR(__xludf.DUMMYFUNCTION("""COMPUTED_VALUE"""),"C000059")</f>
        <v>C000059</v>
      </c>
      <c r="J599" s="1076" t="str">
        <f>IFERROR(__xludf.DUMMYFUNCTION("""COMPUTED_VALUE"""),"CCN")</f>
        <v>CCN</v>
      </c>
      <c r="K599" s="1076">
        <f>IFERROR(__xludf.DUMMYFUNCTION("""COMPUTED_VALUE"""),2.5)</f>
        <v>2.5</v>
      </c>
      <c r="L599" s="1076" t="str">
        <f>IFERROR(__xludf.DUMMYFUNCTION("""COMPUTED_VALUE"""),"Loại biên")</f>
        <v>Loại biên</v>
      </c>
    </row>
    <row r="600" customHeight="1" spans="1:12">
      <c r="A600" s="1089" t="str">
        <f>IFERROR(__xludf.DUMMYFUNCTION("""COMPUTED_VALUE"""),"XB1-XTA-004")</f>
        <v>XB1-XTA-004</v>
      </c>
      <c r="B600" s="1075" t="str">
        <f>IFERROR(__xludf.DUMMYFUNCTION("""COMPUTED_VALUE"""),"Xe tải FD 3.5T")</f>
        <v>Xe tải FD 3.5T</v>
      </c>
      <c r="C600" s="1076" t="str">
        <f>IFERROR(__xludf.DUMMYFUNCTION("""COMPUTED_VALUE"""),"Loại biên")</f>
        <v>Loại biên</v>
      </c>
      <c r="D600" s="1076" t="str">
        <f>IFERROR(__xludf.DUMMYFUNCTION("""COMPUTED_VALUE"""),"THACO")</f>
        <v>THACO</v>
      </c>
      <c r="E600" s="1076" t="str">
        <f>IFERROR(__xludf.DUMMYFUNCTION("""COMPUTED_VALUE"""),"VIỆT NAM")</f>
        <v>VIỆT NAM</v>
      </c>
      <c r="F600" s="1076">
        <f>IFERROR(__xludf.DUMMYFUNCTION("""COMPUTED_VALUE"""),2018)</f>
        <v>2018</v>
      </c>
      <c r="G600" s="1076" t="str">
        <f>IFERROR(__xludf.DUMMYFUNCTION("""COMPUTED_VALUE"""),"FD350")</f>
        <v>FD350</v>
      </c>
      <c r="H600" s="1076" t="str">
        <f>IFERROR(__xludf.DUMMYFUNCTION("""COMPUTED_VALUE"""),"73HP")</f>
        <v>73HP</v>
      </c>
      <c r="I600" s="1076" t="str">
        <f>IFERROR(__xludf.DUMMYFUNCTION("""COMPUTED_VALUE"""),"880102")</f>
        <v>880102</v>
      </c>
      <c r="J600" s="1076" t="str">
        <f>IFERROR(__xludf.DUMMYFUNCTION("""COMPUTED_VALUE"""),"CCN")</f>
        <v>CCN</v>
      </c>
      <c r="K600" s="1076"/>
      <c r="L600" s="1076" t="str">
        <f>IFERROR(__xludf.DUMMYFUNCTION("""COMPUTED_VALUE"""),"Loại biên")</f>
        <v>Loại biên</v>
      </c>
    </row>
    <row r="601" customHeight="1" spans="1:12">
      <c r="A601" s="1089" t="str">
        <f>IFERROR(__xludf.DUMMYFUNCTION("""COMPUTED_VALUE"""),"XB1-XXL-003")</f>
        <v>XB1-XXL-003</v>
      </c>
      <c r="B601" s="1075" t="str">
        <f>IFERROR(__xludf.DUMMYFUNCTION("""COMPUTED_VALUE"""),"Xe xúc lật 916A")</f>
        <v>Xe xúc lật 916A</v>
      </c>
      <c r="C601" s="1076" t="str">
        <f>IFERROR(__xludf.DUMMYFUNCTION("""COMPUTED_VALUE"""),"Loại biên")</f>
        <v>Loại biên</v>
      </c>
      <c r="D601" s="1076" t="str">
        <f>IFERROR(__xludf.DUMMYFUNCTION("""COMPUTED_VALUE"""),"AOLITE")</f>
        <v>AOLITE</v>
      </c>
      <c r="E601" s="1076" t="str">
        <f>IFERROR(__xludf.DUMMYFUNCTION("""COMPUTED_VALUE"""),"TRUNG QUỐC")</f>
        <v>TRUNG QUỐC</v>
      </c>
      <c r="F601" s="1076">
        <f>IFERROR(__xludf.DUMMYFUNCTION("""COMPUTED_VALUE"""),2014)</f>
        <v>2014</v>
      </c>
      <c r="G601" s="1076" t="str">
        <f>IFERROR(__xludf.DUMMYFUNCTION("""COMPUTED_VALUE"""),"916A")</f>
        <v>916A</v>
      </c>
      <c r="H601" s="1076" t="str">
        <f>IFERROR(__xludf.DUMMYFUNCTION("""COMPUTED_VALUE"""),"56HP")</f>
        <v>56HP</v>
      </c>
      <c r="I601" s="1076" t="str">
        <f>IFERROR(__xludf.DUMMYFUNCTION("""COMPUTED_VALUE"""),"6042")</f>
        <v>6042</v>
      </c>
      <c r="J601" s="1076" t="str">
        <f>IFERROR(__xludf.DUMMYFUNCTION("""COMPUTED_VALUE"""),"CCN")</f>
        <v>CCN</v>
      </c>
      <c r="K601" s="1076"/>
      <c r="L601" s="1076" t="str">
        <f>IFERROR(__xludf.DUMMYFUNCTION("""COMPUTED_VALUE"""),"Loại biên")</f>
        <v>Loại biên</v>
      </c>
    </row>
    <row r="602" customHeight="1" spans="1:12">
      <c r="A602" s="1089" t="str">
        <f>IFERROR(__xludf.DUMMYFUNCTION("""COMPUTED_VALUE"""),"CHT-XTA-007")</f>
        <v>CHT-XTA-007</v>
      </c>
      <c r="B602" s="1075" t="str">
        <f>IFERROR(__xludf.DUMMYFUNCTION("""COMPUTED_VALUE"""),"Xe ben FAW (16m3)")</f>
        <v>Xe ben FAW (16m3)</v>
      </c>
      <c r="C602" s="1076" t="str">
        <f>IFERROR(__xludf.DUMMYFUNCTION("""COMPUTED_VALUE"""),"Loại biên")</f>
        <v>Loại biên</v>
      </c>
      <c r="D602" s="1076" t="str">
        <f>IFERROR(__xludf.DUMMYFUNCTION("""COMPUTED_VALUE"""),"FAW")</f>
        <v>FAW</v>
      </c>
      <c r="E602" s="1076"/>
      <c r="F602" s="1076"/>
      <c r="G602" s="1076"/>
      <c r="H602" s="1076"/>
      <c r="I602" s="1076" t="str">
        <f>IFERROR(__xludf.DUMMYFUNCTION("""COMPUTED_VALUE"""),"9AD16903")</f>
        <v>9AD16903</v>
      </c>
      <c r="J602" s="1076" t="str">
        <f>IFERROR(__xludf.DUMMYFUNCTION("""COMPUTED_VALUE"""),"CCN")</f>
        <v>CCN</v>
      </c>
      <c r="K602" s="1076"/>
      <c r="L602" s="1076" t="str">
        <f>IFERROR(__xludf.DUMMYFUNCTION("""COMPUTED_VALUE"""),"Loại biên")</f>
        <v>Loại biên</v>
      </c>
    </row>
    <row r="603" customHeight="1" spans="1:12">
      <c r="A603" s="1089" t="str">
        <f>IFERROR(__xludf.DUMMYFUNCTION("""COMPUTED_VALUE"""),"CVC-XTA-012")</f>
        <v>CVC-XTA-012</v>
      </c>
      <c r="B603" s="1075" t="str">
        <f>IFERROR(__xludf.DUMMYFUNCTION("""COMPUTED_VALUE"""),"Xe tải FORLAND 2.5T")</f>
        <v>Xe tải FORLAND 2.5T</v>
      </c>
      <c r="C603" s="1076" t="str">
        <f>IFERROR(__xludf.DUMMYFUNCTION("""COMPUTED_VALUE"""),"Loại biên")</f>
        <v>Loại biên</v>
      </c>
      <c r="D603" s="1076" t="str">
        <f>IFERROR(__xludf.DUMMYFUNCTION("""COMPUTED_VALUE"""),"THACO FORLAND")</f>
        <v>THACO FORLAND</v>
      </c>
      <c r="E603" s="1076" t="str">
        <f>IFERROR(__xludf.DUMMYFUNCTION("""COMPUTED_VALUE"""),"VIỆT NAM")</f>
        <v>VIỆT NAM</v>
      </c>
      <c r="F603" s="1076">
        <f>IFERROR(__xludf.DUMMYFUNCTION("""COMPUTED_VALUE"""),2012)</f>
        <v>2012</v>
      </c>
      <c r="G603" s="1076"/>
      <c r="H603" s="1076"/>
      <c r="I603" s="1076" t="str">
        <f>IFERROR(__xludf.DUMMYFUNCTION("""COMPUTED_VALUE"""),"32169")</f>
        <v>32169</v>
      </c>
      <c r="J603" s="1076" t="str">
        <f>IFERROR(__xludf.DUMMYFUNCTION("""COMPUTED_VALUE"""),"CCN")</f>
        <v>CCN</v>
      </c>
      <c r="K603" s="1076"/>
      <c r="L603" s="1076" t="str">
        <f>IFERROR(__xludf.DUMMYFUNCTION("""COMPUTED_VALUE"""),"Loại biên")</f>
        <v>Loại biên</v>
      </c>
    </row>
    <row r="604" customHeight="1" spans="1:12">
      <c r="A604" s="1089" t="str">
        <f>IFERROR(__xludf.DUMMYFUNCTION("""COMPUTED_VALUE"""),"CVC-XTA-013")</f>
        <v>CVC-XTA-013</v>
      </c>
      <c r="B604" s="1075" t="str">
        <f>IFERROR(__xludf.DUMMYFUNCTION("""COMPUTED_VALUE"""),"Xe tải HYUNDAI 3.5T")</f>
        <v>Xe tải HYUNDAI 3.5T</v>
      </c>
      <c r="C604" s="1076" t="str">
        <f>IFERROR(__xludf.DUMMYFUNCTION("""COMPUTED_VALUE"""),"Loại biên")</f>
        <v>Loại biên</v>
      </c>
      <c r="D604" s="1076" t="str">
        <f>IFERROR(__xludf.DUMMYFUNCTION("""COMPUTED_VALUE"""),"HYUNDAI")</f>
        <v>HYUNDAI</v>
      </c>
      <c r="E604" s="1076" t="str">
        <f>IFERROR(__xludf.DUMMYFUNCTION("""COMPUTED_VALUE"""),"HÀN QUỐC")</f>
        <v>HÀN QUỐC</v>
      </c>
      <c r="F604" s="1076"/>
      <c r="G604" s="1076"/>
      <c r="H604" s="1076"/>
      <c r="I604" s="1076" t="str">
        <f>IFERROR(__xludf.DUMMYFUNCTION("""COMPUTED_VALUE"""),"55454")</f>
        <v>55454</v>
      </c>
      <c r="J604" s="1076" t="str">
        <f>IFERROR(__xludf.DUMMYFUNCTION("""COMPUTED_VALUE"""),"CCN")</f>
        <v>CCN</v>
      </c>
      <c r="K604" s="1076"/>
      <c r="L604" s="1076" t="str">
        <f>IFERROR(__xludf.DUMMYFUNCTION("""COMPUTED_VALUE"""),"Loại biên")</f>
        <v>Loại biên</v>
      </c>
    </row>
    <row r="605" customHeight="1" spans="1:12">
      <c r="A605" s="1089" t="str">
        <f>IFERROR(__xludf.DUMMYFUNCTION("""COMPUTED_VALUE"""),"XB1-MKE-001")</f>
        <v>XB1-MKE-001</v>
      </c>
      <c r="B605" s="1075" t="str">
        <f>IFERROR(__xludf.DUMMYFUNCTION("""COMPUTED_VALUE"""),"Máy cày M6040")</f>
        <v>Máy cày M6040</v>
      </c>
      <c r="C605" s="1076" t="str">
        <f>IFERROR(__xludf.DUMMYFUNCTION("""COMPUTED_VALUE"""),"Loại biên")</f>
        <v>Loại biên</v>
      </c>
      <c r="D605" s="1076" t="str">
        <f>IFERROR(__xludf.DUMMYFUNCTION("""COMPUTED_VALUE"""),"KUBOTA")</f>
        <v>KUBOTA</v>
      </c>
      <c r="E605" s="1076" t="str">
        <f>IFERROR(__xludf.DUMMYFUNCTION("""COMPUTED_VALUE"""),"NHẬT BẢN")</f>
        <v>NHẬT BẢN</v>
      </c>
      <c r="F605" s="1076">
        <f>IFERROR(__xludf.DUMMYFUNCTION("""COMPUTED_VALUE"""),2013)</f>
        <v>2013</v>
      </c>
      <c r="G605" s="1076" t="str">
        <f>IFERROR(__xludf.DUMMYFUNCTION("""COMPUTED_VALUE"""),"M6040")</f>
        <v>M6040</v>
      </c>
      <c r="H605" s="1076" t="str">
        <f>IFERROR(__xludf.DUMMYFUNCTION("""COMPUTED_VALUE"""),"60HP")</f>
        <v>60HP</v>
      </c>
      <c r="I605" s="1076" t="str">
        <f>IFERROR(__xludf.DUMMYFUNCTION("""COMPUTED_VALUE"""),"56762")</f>
        <v>56762</v>
      </c>
      <c r="J605" s="1076" t="str">
        <f>IFERROR(__xludf.DUMMYFUNCTION("""COMPUTED_VALUE"""),"65")</f>
        <v>65</v>
      </c>
      <c r="K605" s="1076">
        <f>IFERROR(__xludf.DUMMYFUNCTION("""COMPUTED_VALUE"""),3.5)</f>
        <v>3.5</v>
      </c>
      <c r="L605" s="1076" t="str">
        <f>IFERROR(__xludf.DUMMYFUNCTION("""COMPUTED_VALUE"""),"Loại biên")</f>
        <v>Loại biên</v>
      </c>
    </row>
    <row r="606" customHeight="1" spans="1:12">
      <c r="A606" s="1089" t="str">
        <f>IFERROR(__xludf.DUMMYFUNCTION("""COMPUTED_VALUE"""),"XB1-MKE-013")</f>
        <v>XB1-MKE-013</v>
      </c>
      <c r="B606" s="1075" t="str">
        <f>IFERROR(__xludf.DUMMYFUNCTION("""COMPUTED_VALUE"""),"Máy cày KAM50")</f>
        <v>Máy cày KAM50</v>
      </c>
      <c r="C606" s="1076" t="str">
        <f>IFERROR(__xludf.DUMMYFUNCTION("""COMPUTED_VALUE"""),"Loại biên")</f>
        <v>Loại biên</v>
      </c>
      <c r="D606" s="1076" t="str">
        <f>IFERROR(__xludf.DUMMYFUNCTION("""COMPUTED_VALUE"""),"THACO")</f>
        <v>THACO</v>
      </c>
      <c r="E606" s="1076" t="str">
        <f>IFERROR(__xludf.DUMMYFUNCTION("""COMPUTED_VALUE"""),"VIỆT NAM")</f>
        <v>VIỆT NAM</v>
      </c>
      <c r="F606" s="1076">
        <f>IFERROR(__xludf.DUMMYFUNCTION("""COMPUTED_VALUE"""),2018)</f>
        <v>2018</v>
      </c>
      <c r="G606" s="1076" t="str">
        <f>IFERROR(__xludf.DUMMYFUNCTION("""COMPUTED_VALUE"""),"KAM50")</f>
        <v>KAM50</v>
      </c>
      <c r="H606" s="1076" t="str">
        <f>IFERROR(__xludf.DUMMYFUNCTION("""COMPUTED_VALUE"""),"50HP")</f>
        <v>50HP</v>
      </c>
      <c r="I606" s="1076" t="str">
        <f>IFERROR(__xludf.DUMMYFUNCTION("""COMPUTED_VALUE"""),"000078")</f>
        <v>000078</v>
      </c>
      <c r="J606" s="1076" t="str">
        <f>IFERROR(__xludf.DUMMYFUNCTION("""COMPUTED_VALUE"""),"0002")</f>
        <v>0002</v>
      </c>
      <c r="K606" s="1076">
        <f>IFERROR(__xludf.DUMMYFUNCTION("""COMPUTED_VALUE"""),2.5)</f>
        <v>2.5</v>
      </c>
      <c r="L606" s="1076"/>
    </row>
    <row r="607" customHeight="1" spans="1:12">
      <c r="A607" s="1089" t="str">
        <f>IFERROR(__xludf.DUMMYFUNCTION("""COMPUTED_VALUE"""),"XB1-MKE-016")</f>
        <v>XB1-MKE-016</v>
      </c>
      <c r="B607" s="1075" t="str">
        <f>IFERROR(__xludf.DUMMYFUNCTION("""COMPUTED_VALUE"""),"Máy cày KAM50")</f>
        <v>Máy cày KAM50</v>
      </c>
      <c r="C607" s="1076" t="str">
        <f>IFERROR(__xludf.DUMMYFUNCTION("""COMPUTED_VALUE"""),"Loại biên")</f>
        <v>Loại biên</v>
      </c>
      <c r="D607" s="1076" t="str">
        <f>IFERROR(__xludf.DUMMYFUNCTION("""COMPUTED_VALUE"""),"THACO")</f>
        <v>THACO</v>
      </c>
      <c r="E607" s="1076" t="str">
        <f>IFERROR(__xludf.DUMMYFUNCTION("""COMPUTED_VALUE"""),"VIỆT NAM")</f>
        <v>VIỆT NAM</v>
      </c>
      <c r="F607" s="1076">
        <f>IFERROR(__xludf.DUMMYFUNCTION("""COMPUTED_VALUE"""),2018)</f>
        <v>2018</v>
      </c>
      <c r="G607" s="1076" t="str">
        <f>IFERROR(__xludf.DUMMYFUNCTION("""COMPUTED_VALUE"""),"KAM50")</f>
        <v>KAM50</v>
      </c>
      <c r="H607" s="1076" t="str">
        <f>IFERROR(__xludf.DUMMYFUNCTION("""COMPUTED_VALUE"""),"50HP")</f>
        <v>50HP</v>
      </c>
      <c r="I607" s="1076" t="str">
        <f>IFERROR(__xludf.DUMMYFUNCTION("""COMPUTED_VALUE"""),"0076")</f>
        <v>0076</v>
      </c>
      <c r="J607" s="1076" t="str">
        <f>IFERROR(__xludf.DUMMYFUNCTION("""COMPUTED_VALUE"""),"80076")</f>
        <v>80076</v>
      </c>
      <c r="K607" s="1076">
        <f>IFERROR(__xludf.DUMMYFUNCTION("""COMPUTED_VALUE"""),2.5)</f>
        <v>2.5</v>
      </c>
      <c r="L607" s="1076"/>
    </row>
    <row r="608" customHeight="1" spans="1:12">
      <c r="A608" s="1089" t="str">
        <f>IFERROR(__xludf.DUMMYFUNCTION("""COMPUTED_VALUE"""),"XB1-MKE-019")</f>
        <v>XB1-MKE-019</v>
      </c>
      <c r="B608" s="1075" t="str">
        <f>IFERROR(__xludf.DUMMYFUNCTION("""COMPUTED_VALUE"""),"Máy cày KAM50")</f>
        <v>Máy cày KAM50</v>
      </c>
      <c r="C608" s="1076" t="str">
        <f>IFERROR(__xludf.DUMMYFUNCTION("""COMPUTED_VALUE"""),"Loại biên")</f>
        <v>Loại biên</v>
      </c>
      <c r="D608" s="1076" t="str">
        <f>IFERROR(__xludf.DUMMYFUNCTION("""COMPUTED_VALUE"""),"THACO")</f>
        <v>THACO</v>
      </c>
      <c r="E608" s="1076" t="str">
        <f>IFERROR(__xludf.DUMMYFUNCTION("""COMPUTED_VALUE"""),"VIỆT NAM")</f>
        <v>VIỆT NAM</v>
      </c>
      <c r="F608" s="1076">
        <f>IFERROR(__xludf.DUMMYFUNCTION("""COMPUTED_VALUE"""),2018)</f>
        <v>2018</v>
      </c>
      <c r="G608" s="1076" t="str">
        <f>IFERROR(__xludf.DUMMYFUNCTION("""COMPUTED_VALUE"""),"KAM50")</f>
        <v>KAM50</v>
      </c>
      <c r="H608" s="1076" t="str">
        <f>IFERROR(__xludf.DUMMYFUNCTION("""COMPUTED_VALUE"""),"50HP")</f>
        <v>50HP</v>
      </c>
      <c r="I608" s="1076" t="str">
        <f>IFERROR(__xludf.DUMMYFUNCTION("""COMPUTED_VALUE"""),"C000047")</f>
        <v>C000047</v>
      </c>
      <c r="J608" s="1076" t="str">
        <f>IFERROR(__xludf.DUMMYFUNCTION("""COMPUTED_VALUE"""),"180053")</f>
        <v>180053</v>
      </c>
      <c r="K608" s="1076">
        <f>IFERROR(__xludf.DUMMYFUNCTION("""COMPUTED_VALUE"""),2.5)</f>
        <v>2.5</v>
      </c>
      <c r="L608" s="1076"/>
    </row>
    <row r="609" customHeight="1" spans="1:12">
      <c r="A609" s="1089" t="str">
        <f>IFERROR(__xludf.DUMMYFUNCTION("""COMPUTED_VALUE"""),"XB1-MKE-023")</f>
        <v>XB1-MKE-023</v>
      </c>
      <c r="B609" s="1075" t="str">
        <f>IFERROR(__xludf.DUMMYFUNCTION("""COMPUTED_VALUE"""),"Máy cày M9540")</f>
        <v>Máy cày M9540</v>
      </c>
      <c r="C609" s="1076" t="str">
        <f>IFERROR(__xludf.DUMMYFUNCTION("""COMPUTED_VALUE"""),"Loại biên")</f>
        <v>Loại biên</v>
      </c>
      <c r="D609" s="1076" t="str">
        <f>IFERROR(__xludf.DUMMYFUNCTION("""COMPUTED_VALUE"""),"KUBOTA")</f>
        <v>KUBOTA</v>
      </c>
      <c r="E609" s="1076" t="str">
        <f>IFERROR(__xludf.DUMMYFUNCTION("""COMPUTED_VALUE"""),"NHẬT BẢN")</f>
        <v>NHẬT BẢN</v>
      </c>
      <c r="F609" s="1076">
        <f>IFERROR(__xludf.DUMMYFUNCTION("""COMPUTED_VALUE"""),2011)</f>
        <v>2011</v>
      </c>
      <c r="G609" s="1076" t="str">
        <f>IFERROR(__xludf.DUMMYFUNCTION("""COMPUTED_VALUE"""),"9540")</f>
        <v>9540</v>
      </c>
      <c r="H609" s="1076" t="str">
        <f>IFERROR(__xludf.DUMMYFUNCTION("""COMPUTED_VALUE"""),"95HP")</f>
        <v>95HP</v>
      </c>
      <c r="I609" s="1076" t="str">
        <f>IFERROR(__xludf.DUMMYFUNCTION("""COMPUTED_VALUE"""),"2482")</f>
        <v>2482</v>
      </c>
      <c r="J609" s="1076" t="str">
        <f>IFERROR(__xludf.DUMMYFUNCTION("""COMPUTED_VALUE"""),"CCN")</f>
        <v>CCN</v>
      </c>
      <c r="K609" s="1076">
        <f>IFERROR(__xludf.DUMMYFUNCTION("""COMPUTED_VALUE"""),3.8)</f>
        <v>3.8</v>
      </c>
      <c r="L609" s="1076"/>
    </row>
    <row r="610" customHeight="1" spans="1:12">
      <c r="A610" s="1089" t="str">
        <f>IFERROR(__xludf.DUMMYFUNCTION("""COMPUTED_VALUE"""),"XB1-MKE-026")</f>
        <v>XB1-MKE-026</v>
      </c>
      <c r="B610" s="1075" t="str">
        <f>IFERROR(__xludf.DUMMYFUNCTION("""COMPUTED_VALUE"""),"Máy cày KAM50")</f>
        <v>Máy cày KAM50</v>
      </c>
      <c r="C610" s="1076" t="str">
        <f>IFERROR(__xludf.DUMMYFUNCTION("""COMPUTED_VALUE"""),"Loại biên")</f>
        <v>Loại biên</v>
      </c>
      <c r="D610" s="1076" t="str">
        <f>IFERROR(__xludf.DUMMYFUNCTION("""COMPUTED_VALUE"""),"THACO")</f>
        <v>THACO</v>
      </c>
      <c r="E610" s="1076" t="str">
        <f>IFERROR(__xludf.DUMMYFUNCTION("""COMPUTED_VALUE"""),"VIỆT NAM")</f>
        <v>VIỆT NAM</v>
      </c>
      <c r="F610" s="1076">
        <f>IFERROR(__xludf.DUMMYFUNCTION("""COMPUTED_VALUE"""),2018)</f>
        <v>2018</v>
      </c>
      <c r="G610" s="1076" t="str">
        <f>IFERROR(__xludf.DUMMYFUNCTION("""COMPUTED_VALUE"""),"KAM50")</f>
        <v>KAM50</v>
      </c>
      <c r="H610" s="1076" t="str">
        <f>IFERROR(__xludf.DUMMYFUNCTION("""COMPUTED_VALUE"""),"50HP")</f>
        <v>50HP</v>
      </c>
      <c r="I610" s="1076" t="str">
        <f>IFERROR(__xludf.DUMMYFUNCTION("""COMPUTED_VALUE"""),"C000048")</f>
        <v>C000048</v>
      </c>
      <c r="J610" s="1076" t="str">
        <f>IFERROR(__xludf.DUMMYFUNCTION("""COMPUTED_VALUE"""),"CCN")</f>
        <v>CCN</v>
      </c>
      <c r="K610" s="1076">
        <f>IFERROR(__xludf.DUMMYFUNCTION("""COMPUTED_VALUE"""),2.5)</f>
        <v>2.5</v>
      </c>
      <c r="L610" s="1076"/>
    </row>
    <row r="611" customHeight="1" spans="1:12">
      <c r="A611" s="1089" t="str">
        <f>IFERROR(__xludf.DUMMYFUNCTION("""COMPUTED_VALUE"""),"XB1-MKE-028")</f>
        <v>XB1-MKE-028</v>
      </c>
      <c r="B611" s="1075" t="str">
        <f>IFERROR(__xludf.DUMMYFUNCTION("""COMPUTED_VALUE"""),"Máy cày M9540")</f>
        <v>Máy cày M9540</v>
      </c>
      <c r="C611" s="1076" t="str">
        <f>IFERROR(__xludf.DUMMYFUNCTION("""COMPUTED_VALUE"""),"Loại biên")</f>
        <v>Loại biên</v>
      </c>
      <c r="D611" s="1076" t="str">
        <f>IFERROR(__xludf.DUMMYFUNCTION("""COMPUTED_VALUE"""),"KUBOTA")</f>
        <v>KUBOTA</v>
      </c>
      <c r="E611" s="1076" t="str">
        <f>IFERROR(__xludf.DUMMYFUNCTION("""COMPUTED_VALUE"""),"NHẬT BẢN")</f>
        <v>NHẬT BẢN</v>
      </c>
      <c r="F611" s="1076">
        <f>IFERROR(__xludf.DUMMYFUNCTION("""COMPUTED_VALUE"""),2011)</f>
        <v>2011</v>
      </c>
      <c r="G611" s="1076" t="str">
        <f>IFERROR(__xludf.DUMMYFUNCTION("""COMPUTED_VALUE"""),"9540")</f>
        <v>9540</v>
      </c>
      <c r="H611" s="1076" t="str">
        <f>IFERROR(__xludf.DUMMYFUNCTION("""COMPUTED_VALUE"""),"95HP")</f>
        <v>95HP</v>
      </c>
      <c r="I611" s="1076" t="str">
        <f>IFERROR(__xludf.DUMMYFUNCTION("""COMPUTED_VALUE"""),"3106")</f>
        <v>3106</v>
      </c>
      <c r="J611" s="1076" t="str">
        <f>IFERROR(__xludf.DUMMYFUNCTION("""COMPUTED_VALUE"""),"CCN")</f>
        <v>CCN</v>
      </c>
      <c r="K611" s="1076">
        <f>IFERROR(__xludf.DUMMYFUNCTION("""COMPUTED_VALUE"""),3.8)</f>
        <v>3.8</v>
      </c>
      <c r="L611" s="1076"/>
    </row>
    <row r="612" customHeight="1" spans="1:12">
      <c r="A612" s="1089" t="str">
        <f>IFERROR(__xludf.DUMMYFUNCTION("""COMPUTED_VALUE"""),"XB1-MKE-032")</f>
        <v>XB1-MKE-032</v>
      </c>
      <c r="B612" s="1075" t="str">
        <f>IFERROR(__xludf.DUMMYFUNCTION("""COMPUTED_VALUE"""),"Máy cày L4508")</f>
        <v>Máy cày L4508</v>
      </c>
      <c r="C612" s="1076" t="str">
        <f>IFERROR(__xludf.DUMMYFUNCTION("""COMPUTED_VALUE"""),"Loại biên")</f>
        <v>Loại biên</v>
      </c>
      <c r="D612" s="1076" t="str">
        <f>IFERROR(__xludf.DUMMYFUNCTION("""COMPUTED_VALUE"""),"KUBOTA")</f>
        <v>KUBOTA</v>
      </c>
      <c r="E612" s="1076" t="str">
        <f>IFERROR(__xludf.DUMMYFUNCTION("""COMPUTED_VALUE"""),"NHẬT BẢN")</f>
        <v>NHẬT BẢN</v>
      </c>
      <c r="F612" s="1076">
        <f>IFERROR(__xludf.DUMMYFUNCTION("""COMPUTED_VALUE"""),2019)</f>
        <v>2019</v>
      </c>
      <c r="G612" s="1076" t="str">
        <f>IFERROR(__xludf.DUMMYFUNCTION("""COMPUTED_VALUE"""),"4508")</f>
        <v>4508</v>
      </c>
      <c r="H612" s="1076" t="str">
        <f>IFERROR(__xludf.DUMMYFUNCTION("""COMPUTED_VALUE"""),"45HP")</f>
        <v>45HP</v>
      </c>
      <c r="I612" s="1076" t="str">
        <f>IFERROR(__xludf.DUMMYFUNCTION("""COMPUTED_VALUE"""),"0428")</f>
        <v>0428</v>
      </c>
      <c r="J612" s="1076" t="str">
        <f>IFERROR(__xludf.DUMMYFUNCTION("""COMPUTED_VALUE"""),"CNN")</f>
        <v>CNN</v>
      </c>
      <c r="K612" s="1076">
        <f>IFERROR(__xludf.DUMMYFUNCTION("""COMPUTED_VALUE"""),2.5)</f>
        <v>2.5</v>
      </c>
      <c r="L612" s="1076"/>
    </row>
    <row r="613" customHeight="1" spans="1:12">
      <c r="A613" s="1089" t="str">
        <f>IFERROR(__xludf.DUMMYFUNCTION("""COMPUTED_VALUE"""),"XB1-XTA-001")</f>
        <v>XB1-XTA-001</v>
      </c>
      <c r="B613" s="1075" t="str">
        <f>IFERROR(__xludf.DUMMYFUNCTION("""COMPUTED_VALUE"""),"Xe tải KOZUN")</f>
        <v>Xe tải KOZUN</v>
      </c>
      <c r="C613" s="1076" t="str">
        <f>IFERROR(__xludf.DUMMYFUNCTION("""COMPUTED_VALUE"""),"Loại biên")</f>
        <v>Loại biên</v>
      </c>
      <c r="D613" s="1076" t="str">
        <f>IFERROR(__xludf.DUMMYFUNCTION("""COMPUTED_VALUE"""),"KOZUN")</f>
        <v>KOZUN</v>
      </c>
      <c r="E613" s="1076" t="str">
        <f>IFERROR(__xludf.DUMMYFUNCTION("""COMPUTED_VALUE"""),"CAMPUCHIA")</f>
        <v>CAMPUCHIA</v>
      </c>
      <c r="F613" s="1076"/>
      <c r="G613" s="1076"/>
      <c r="H613" s="1076" t="str">
        <f>IFERROR(__xludf.DUMMYFUNCTION("""COMPUTED_VALUE"""),"60HP")</f>
        <v>60HP</v>
      </c>
      <c r="I613" s="1076" t="str">
        <f>IFERROR(__xludf.DUMMYFUNCTION("""COMPUTED_VALUE"""),"78509")</f>
        <v>78509</v>
      </c>
      <c r="J613" s="1076" t="str">
        <f>IFERROR(__xludf.DUMMYFUNCTION("""COMPUTED_VALUE"""),"CCN")</f>
        <v>CCN</v>
      </c>
      <c r="K613" s="1076">
        <f>IFERROR(__xludf.DUMMYFUNCTION("""COMPUTED_VALUE"""),2)</f>
        <v>2</v>
      </c>
      <c r="L613" s="1076"/>
    </row>
    <row r="614" customHeight="1" spans="1:12">
      <c r="A614" s="1089" t="str">
        <f>IFERROR(__xludf.DUMMYFUNCTION("""COMPUTED_VALUE"""),"XB1-XTA-003")</f>
        <v>XB1-XTA-003</v>
      </c>
      <c r="B614" s="1075" t="str">
        <f>IFERROR(__xludf.DUMMYFUNCTION("""COMPUTED_VALUE"""),"Xe tải KOZUN")</f>
        <v>Xe tải KOZUN</v>
      </c>
      <c r="C614" s="1076" t="str">
        <f>IFERROR(__xludf.DUMMYFUNCTION("""COMPUTED_VALUE"""),"Loại biên")</f>
        <v>Loại biên</v>
      </c>
      <c r="D614" s="1076" t="str">
        <f>IFERROR(__xludf.DUMMYFUNCTION("""COMPUTED_VALUE"""),"KOZUN")</f>
        <v>KOZUN</v>
      </c>
      <c r="E614" s="1076" t="str">
        <f>IFERROR(__xludf.DUMMYFUNCTION("""COMPUTED_VALUE"""),"CAMPUCHIA")</f>
        <v>CAMPUCHIA</v>
      </c>
      <c r="F614" s="1076"/>
      <c r="G614" s="1076"/>
      <c r="H614" s="1076" t="str">
        <f>IFERROR(__xludf.DUMMYFUNCTION("""COMPUTED_VALUE"""),"60HP")</f>
        <v>60HP</v>
      </c>
      <c r="I614" s="1076" t="str">
        <f>IFERROR(__xludf.DUMMYFUNCTION("""COMPUTED_VALUE"""),"58759")</f>
        <v>58759</v>
      </c>
      <c r="J614" s="1076" t="str">
        <f>IFERROR(__xludf.DUMMYFUNCTION("""COMPUTED_VALUE"""),"CCN")</f>
        <v>CCN</v>
      </c>
      <c r="K614" s="1076">
        <f>IFERROR(__xludf.DUMMYFUNCTION("""COMPUTED_VALUE"""),2)</f>
        <v>2</v>
      </c>
      <c r="L614" s="1076"/>
    </row>
    <row r="615" customHeight="1" spans="1:12">
      <c r="A615" s="1089" t="str">
        <f>IFERROR(__xludf.DUMMYFUNCTION("""COMPUTED_VALUE"""),"CNN-MKE-018")</f>
        <v>CNN-MKE-018</v>
      </c>
      <c r="B615" s="1075" t="str">
        <f>IFERROR(__xludf.DUMMYFUNCTION("""COMPUTED_VALUE"""),"Máy cày M6040")</f>
        <v>Máy cày M6040</v>
      </c>
      <c r="C615" s="1076" t="str">
        <f>IFERROR(__xludf.DUMMYFUNCTION("""COMPUTED_VALUE"""),"Loại biên")</f>
        <v>Loại biên</v>
      </c>
      <c r="D615" s="1076" t="str">
        <f>IFERROR(__xludf.DUMMYFUNCTION("""COMPUTED_VALUE"""),"KUBOTA")</f>
        <v>KUBOTA</v>
      </c>
      <c r="E615" s="1076" t="str">
        <f>IFERROR(__xludf.DUMMYFUNCTION("""COMPUTED_VALUE"""),"NHẬT BẢN")</f>
        <v>NHẬT BẢN</v>
      </c>
      <c r="F615" s="1076">
        <f>IFERROR(__xludf.DUMMYFUNCTION("""COMPUTED_VALUE"""),2013)</f>
        <v>2013</v>
      </c>
      <c r="G615" s="1076" t="str">
        <f>IFERROR(__xludf.DUMMYFUNCTION("""COMPUTED_VALUE"""),"M6040")</f>
        <v>M6040</v>
      </c>
      <c r="H615" s="1076" t="str">
        <f>IFERROR(__xludf.DUMMYFUNCTION("""COMPUTED_VALUE"""),"60HP")</f>
        <v>60HP</v>
      </c>
      <c r="I615" s="1076" t="str">
        <f>IFERROR(__xludf.DUMMYFUNCTION("""COMPUTED_VALUE"""),"57271")</f>
        <v>57271</v>
      </c>
      <c r="J615" s="1076" t="str">
        <f>IFERROR(__xludf.DUMMYFUNCTION("""COMPUTED_VALUE"""),"CCN")</f>
        <v>CCN</v>
      </c>
      <c r="K615" s="1076">
        <f>IFERROR(__xludf.DUMMYFUNCTION("""COMPUTED_VALUE"""),3.5)</f>
        <v>3.5</v>
      </c>
      <c r="L615" s="1076"/>
    </row>
    <row r="616" customHeight="1" spans="1:12">
      <c r="A616" s="1089" t="str">
        <f>IFERROR(__xludf.DUMMYFUNCTION("""COMPUTED_VALUE"""),"CNN-MKE-007")</f>
        <v>CNN-MKE-007</v>
      </c>
      <c r="B616" s="1075" t="str">
        <f>IFERROR(__xludf.DUMMYFUNCTION("""COMPUTED_VALUE"""),"Máy cày NH TD 110")</f>
        <v>Máy cày NH TD 110</v>
      </c>
      <c r="C616" s="1076" t="str">
        <f>IFERROR(__xludf.DUMMYFUNCTION("""COMPUTED_VALUE"""),"Loại biên")</f>
        <v>Loại biên</v>
      </c>
      <c r="D616" s="1076" t="str">
        <f>IFERROR(__xludf.DUMMYFUNCTION("""COMPUTED_VALUE"""),"NEW HOLLAND")</f>
        <v>NEW HOLLAND</v>
      </c>
      <c r="E616" s="1076" t="str">
        <f>IFERROR(__xludf.DUMMYFUNCTION("""COMPUTED_VALUE"""),"THỔ NHỶ KỲ")</f>
        <v>THỔ NHỶ KỲ</v>
      </c>
      <c r="F616" s="1076">
        <f>IFERROR(__xludf.DUMMYFUNCTION("""COMPUTED_VALUE"""),2018)</f>
        <v>2018</v>
      </c>
      <c r="G616" s="1076" t="str">
        <f>IFERROR(__xludf.DUMMYFUNCTION("""COMPUTED_VALUE"""),"TD110")</f>
        <v>TD110</v>
      </c>
      <c r="H616" s="1076" t="str">
        <f>IFERROR(__xludf.DUMMYFUNCTION("""COMPUTED_VALUE"""),"110HP")</f>
        <v>110HP</v>
      </c>
      <c r="I616" s="1076" t="str">
        <f>IFERROR(__xludf.DUMMYFUNCTION("""COMPUTED_VALUE"""),"162744")</f>
        <v>162744</v>
      </c>
      <c r="J616" s="1076" t="str">
        <f>IFERROR(__xludf.DUMMYFUNCTION("""COMPUTED_VALUE"""),"CCN")</f>
        <v>CCN</v>
      </c>
      <c r="K616" s="1076">
        <f>IFERROR(__xludf.DUMMYFUNCTION("""COMPUTED_VALUE"""),8.5)</f>
        <v>8.5</v>
      </c>
      <c r="L616" s="1076"/>
    </row>
    <row r="617" customHeight="1" spans="1:12">
      <c r="A617" s="1089" t="str">
        <f>IFERROR(__xludf.DUMMYFUNCTION("""COMPUTED_VALUE"""),"CNN-MKE-008")</f>
        <v>CNN-MKE-008</v>
      </c>
      <c r="B617" s="1075" t="str">
        <f>IFERROR(__xludf.DUMMYFUNCTION("""COMPUTED_VALUE"""),"Máy cày NH TD 110")</f>
        <v>Máy cày NH TD 110</v>
      </c>
      <c r="C617" s="1076" t="str">
        <f>IFERROR(__xludf.DUMMYFUNCTION("""COMPUTED_VALUE"""),"Loại biên")</f>
        <v>Loại biên</v>
      </c>
      <c r="D617" s="1076" t="str">
        <f>IFERROR(__xludf.DUMMYFUNCTION("""COMPUTED_VALUE"""),"NEW HOLLAND")</f>
        <v>NEW HOLLAND</v>
      </c>
      <c r="E617" s="1076" t="str">
        <f>IFERROR(__xludf.DUMMYFUNCTION("""COMPUTED_VALUE"""),"THỔ NHỶ KỲ")</f>
        <v>THỔ NHỶ KỲ</v>
      </c>
      <c r="F617" s="1076">
        <f>IFERROR(__xludf.DUMMYFUNCTION("""COMPUTED_VALUE"""),2018)</f>
        <v>2018</v>
      </c>
      <c r="G617" s="1076" t="str">
        <f>IFERROR(__xludf.DUMMYFUNCTION("""COMPUTED_VALUE"""),"TD110")</f>
        <v>TD110</v>
      </c>
      <c r="H617" s="1076" t="str">
        <f>IFERROR(__xludf.DUMMYFUNCTION("""COMPUTED_VALUE"""),"110HP")</f>
        <v>110HP</v>
      </c>
      <c r="I617" s="1076" t="str">
        <f>IFERROR(__xludf.DUMMYFUNCTION("""COMPUTED_VALUE"""),"171754")</f>
        <v>171754</v>
      </c>
      <c r="J617" s="1076" t="str">
        <f>IFERROR(__xludf.DUMMYFUNCTION("""COMPUTED_VALUE"""),"CCN")</f>
        <v>CCN</v>
      </c>
      <c r="K617" s="1076">
        <f>IFERROR(__xludf.DUMMYFUNCTION("""COMPUTED_VALUE"""),8.5)</f>
        <v>8.5</v>
      </c>
      <c r="L617" s="1076"/>
    </row>
    <row r="618" customHeight="1" spans="1:12">
      <c r="A618" s="1089" t="str">
        <f>IFERROR(__xludf.DUMMYFUNCTION("""COMPUTED_VALUE"""),"CNN-MKE-009")</f>
        <v>CNN-MKE-009</v>
      </c>
      <c r="B618" s="1075" t="str">
        <f>IFERROR(__xludf.DUMMYFUNCTION("""COMPUTED_VALUE"""),"Máy cày NH TD 110")</f>
        <v>Máy cày NH TD 110</v>
      </c>
      <c r="C618" s="1076" t="str">
        <f>IFERROR(__xludf.DUMMYFUNCTION("""COMPUTED_VALUE"""),"Loại biên")</f>
        <v>Loại biên</v>
      </c>
      <c r="D618" s="1076" t="str">
        <f>IFERROR(__xludf.DUMMYFUNCTION("""COMPUTED_VALUE"""),"NEW HOLLAND")</f>
        <v>NEW HOLLAND</v>
      </c>
      <c r="E618" s="1076" t="str">
        <f>IFERROR(__xludf.DUMMYFUNCTION("""COMPUTED_VALUE"""),"THỔ NHỈ KỲ")</f>
        <v>THỔ NHỈ KỲ</v>
      </c>
      <c r="F618" s="1076">
        <f>IFERROR(__xludf.DUMMYFUNCTION("""COMPUTED_VALUE"""),2018)</f>
        <v>2018</v>
      </c>
      <c r="G618" s="1076" t="str">
        <f>IFERROR(__xludf.DUMMYFUNCTION("""COMPUTED_VALUE"""),"TD110")</f>
        <v>TD110</v>
      </c>
      <c r="H618" s="1076" t="str">
        <f>IFERROR(__xludf.DUMMYFUNCTION("""COMPUTED_VALUE"""),"110HP")</f>
        <v>110HP</v>
      </c>
      <c r="I618" s="1076" t="str">
        <f>IFERROR(__xludf.DUMMYFUNCTION("""COMPUTED_VALUE"""),"394479")</f>
        <v>394479</v>
      </c>
      <c r="J618" s="1076" t="str">
        <f>IFERROR(__xludf.DUMMYFUNCTION("""COMPUTED_VALUE"""),"CCN")</f>
        <v>CCN</v>
      </c>
      <c r="K618" s="1076">
        <f>IFERROR(__xludf.DUMMYFUNCTION("""COMPUTED_VALUE"""),8.5)</f>
        <v>8.5</v>
      </c>
      <c r="L618" s="1076"/>
    </row>
    <row r="619" customHeight="1" spans="1:12">
      <c r="A619" s="1089" t="str">
        <f>IFERROR(__xludf.DUMMYFUNCTION("""COMPUTED_VALUE"""),"XBA-CLT-002")</f>
        <v>XBA-CLT-002</v>
      </c>
      <c r="B619" s="1075" t="str">
        <f>IFERROR(__xludf.DUMMYFUNCTION("""COMPUTED_VALUE"""),"Xe clethon")</f>
        <v>Xe clethon</v>
      </c>
      <c r="C619" s="1076" t="str">
        <f>IFERROR(__xludf.DUMMYFUNCTION("""COMPUTED_VALUE"""),"Loại biên")</f>
        <v>Loại biên</v>
      </c>
      <c r="D619" s="1076" t="str">
        <f>IFERROR(__xludf.DUMMYFUNCTION("""COMPUTED_VALUE"""),"CLETHON")</f>
        <v>CLETHON</v>
      </c>
      <c r="E619" s="1076" t="str">
        <f>IFERROR(__xludf.DUMMYFUNCTION("""COMPUTED_VALUE"""),"CAMPUCHIA")</f>
        <v>CAMPUCHIA</v>
      </c>
      <c r="F619" s="1076"/>
      <c r="G619" s="1076"/>
      <c r="H619" s="1076" t="str">
        <f>IFERROR(__xludf.DUMMYFUNCTION("""COMPUTED_VALUE"""),"15HP")</f>
        <v>15HP</v>
      </c>
      <c r="I619" s="1076"/>
      <c r="J619" s="1076" t="str">
        <f>IFERROR(__xludf.DUMMYFUNCTION("""COMPUTED_VALUE"""),"CCN")</f>
        <v>CCN</v>
      </c>
      <c r="K619" s="1076">
        <f>IFERROR(__xludf.DUMMYFUNCTION("""COMPUTED_VALUE"""),0.5)</f>
        <v>0.5</v>
      </c>
      <c r="L619" s="1076"/>
    </row>
    <row r="620" customHeight="1" spans="1:12">
      <c r="A620" s="1089" t="str">
        <f>IFERROR(__xludf.DUMMYFUNCTION("""COMPUTED_VALUE"""),"XXA-MKE-004")</f>
        <v>XXA-MKE-004</v>
      </c>
      <c r="B620" s="1075" t="str">
        <f>IFERROR(__xludf.DUMMYFUNCTION("""COMPUTED_VALUE"""),"Máy cày Shibaura")</f>
        <v>Máy cày Shibaura</v>
      </c>
      <c r="C620" s="1076" t="str">
        <f>IFERROR(__xludf.DUMMYFUNCTION("""COMPUTED_VALUE"""),"Loại biên")</f>
        <v>Loại biên</v>
      </c>
      <c r="D620" s="1076" t="str">
        <f>IFERROR(__xludf.DUMMYFUNCTION("""COMPUTED_VALUE"""),"SHIBAURA")</f>
        <v>SHIBAURA</v>
      </c>
      <c r="E620" s="1076" t="str">
        <f>IFERROR(__xludf.DUMMYFUNCTION("""COMPUTED_VALUE"""),"NHẬT BẢN")</f>
        <v>NHẬT BẢN</v>
      </c>
      <c r="F620" s="1076"/>
      <c r="G620" s="1076" t="str">
        <f>IFERROR(__xludf.DUMMYFUNCTION("""COMPUTED_VALUE"""),"SHIBAURA")</f>
        <v>SHIBAURA</v>
      </c>
      <c r="H620" s="1076" t="str">
        <f>IFERROR(__xludf.DUMMYFUNCTION("""COMPUTED_VALUE"""),"20HP")</f>
        <v>20HP</v>
      </c>
      <c r="I620" s="1076" t="str">
        <f>IFERROR(__xludf.DUMMYFUNCTION("""COMPUTED_VALUE"""),"CCN")</f>
        <v>CCN</v>
      </c>
      <c r="J620" s="1076" t="str">
        <f>IFERROR(__xludf.DUMMYFUNCTION("""COMPUTED_VALUE"""),"20054")</f>
        <v>20054</v>
      </c>
      <c r="K620" s="1076"/>
      <c r="L620" s="1076"/>
    </row>
    <row r="621" customHeight="1" spans="1:12">
      <c r="A621" s="1089" t="str">
        <f>IFERROR(__xludf.DUMMYFUNCTION("""COMPUTED_VALUE"""),"XL3-XTA-009")</f>
        <v>XL3-XTA-009</v>
      </c>
      <c r="B621" s="1075" t="str">
        <f>IFERROR(__xludf.DUMMYFUNCTION("""COMPUTED_VALUE"""),"Xe tải KOZUN")</f>
        <v>Xe tải KOZUN</v>
      </c>
      <c r="C621" s="1076" t="str">
        <f>IFERROR(__xludf.DUMMYFUNCTION("""COMPUTED_VALUE"""),"Loại biên")</f>
        <v>Loại biên</v>
      </c>
      <c r="D621" s="1076" t="str">
        <f>IFERROR(__xludf.DUMMYFUNCTION("""COMPUTED_VALUE"""),"KOZUN")</f>
        <v>KOZUN</v>
      </c>
      <c r="E621" s="1076" t="str">
        <f>IFERROR(__xludf.DUMMYFUNCTION("""COMPUTED_VALUE"""),"CAMPUCHIA")</f>
        <v>CAMPUCHIA</v>
      </c>
      <c r="F621" s="1076"/>
      <c r="G621" s="1076"/>
      <c r="H621" s="1076" t="str">
        <f>IFERROR(__xludf.DUMMYFUNCTION("""COMPUTED_VALUE"""),"60HP")</f>
        <v>60HP</v>
      </c>
      <c r="I621" s="1076" t="str">
        <f>IFERROR(__xludf.DUMMYFUNCTION("""COMPUTED_VALUE"""),"Mất số khung")</f>
        <v>Mất số khung</v>
      </c>
      <c r="J621" s="1076" t="str">
        <f>IFERROR(__xludf.DUMMYFUNCTION("""COMPUTED_VALUE"""),"77109")</f>
        <v>77109</v>
      </c>
      <c r="K621" s="1076">
        <f>IFERROR(__xludf.DUMMYFUNCTION("""COMPUTED_VALUE"""),2)</f>
        <v>2</v>
      </c>
      <c r="L621" s="1076"/>
    </row>
    <row r="622" customHeight="1" spans="1:12">
      <c r="A622" s="1089" t="str">
        <f>IFERROR(__xludf.DUMMYFUNCTION("""COMPUTED_VALUE"""),"XL3-XTA-001")</f>
        <v>XL3-XTA-001</v>
      </c>
      <c r="B622" s="1075" t="str">
        <f>IFERROR(__xludf.DUMMYFUNCTION("""COMPUTED_VALUE"""),"Xe tải KOZUN")</f>
        <v>Xe tải KOZUN</v>
      </c>
      <c r="C622" s="1076" t="str">
        <f>IFERROR(__xludf.DUMMYFUNCTION("""COMPUTED_VALUE"""),"Loại biên")</f>
        <v>Loại biên</v>
      </c>
      <c r="D622" s="1076" t="str">
        <f>IFERROR(__xludf.DUMMYFUNCTION("""COMPUTED_VALUE"""),"KOZUN")</f>
        <v>KOZUN</v>
      </c>
      <c r="E622" s="1076" t="str">
        <f>IFERROR(__xludf.DUMMYFUNCTION("""COMPUTED_VALUE"""),"CAMPUCHIA")</f>
        <v>CAMPUCHIA</v>
      </c>
      <c r="F622" s="1076"/>
      <c r="G622" s="1076"/>
      <c r="H622" s="1076" t="str">
        <f>IFERROR(__xludf.DUMMYFUNCTION("""COMPUTED_VALUE"""),"60HP")</f>
        <v>60HP</v>
      </c>
      <c r="I622" s="1076" t="str">
        <f>IFERROR(__xludf.DUMMYFUNCTION("""COMPUTED_VALUE"""),"Mất số khung")</f>
        <v>Mất số khung</v>
      </c>
      <c r="J622" s="1076" t="str">
        <f>IFERROR(__xludf.DUMMYFUNCTION("""COMPUTED_VALUE"""),"77052")</f>
        <v>77052</v>
      </c>
      <c r="K622" s="1076">
        <f>IFERROR(__xludf.DUMMYFUNCTION("""COMPUTED_VALUE"""),2)</f>
        <v>2</v>
      </c>
      <c r="L622" s="1076"/>
    </row>
    <row r="623" customHeight="1" spans="1:12">
      <c r="A623" s="1089" t="str">
        <f>IFERROR(__xludf.DUMMYFUNCTION("""COMPUTED_VALUE"""),"XL3-MĐA-003")</f>
        <v>XL3-MĐA-003</v>
      </c>
      <c r="B623" s="1075" t="str">
        <f>IFERROR(__xludf.DUMMYFUNCTION("""COMPUTED_VALUE"""),"Máy đào U35 bánh xích gàu 0.3m3")</f>
        <v>Máy đào U35 bánh xích gàu 0.3m3</v>
      </c>
      <c r="C623" s="1076" t="str">
        <f>IFERROR(__xludf.DUMMYFUNCTION("""COMPUTED_VALUE"""),"Loại biên")</f>
        <v>Loại biên</v>
      </c>
      <c r="D623" s="1076" t="str">
        <f>IFERROR(__xludf.DUMMYFUNCTION("""COMPUTED_VALUE"""),"KUBOTA")</f>
        <v>KUBOTA</v>
      </c>
      <c r="E623" s="1076" t="str">
        <f>IFERROR(__xludf.DUMMYFUNCTION("""COMPUTED_VALUE"""),"NHẬT BẢN")</f>
        <v>NHẬT BẢN</v>
      </c>
      <c r="F623" s="1076">
        <f>IFERROR(__xludf.DUMMYFUNCTION("""COMPUTED_VALUE"""),2015)</f>
        <v>2015</v>
      </c>
      <c r="G623" s="1076" t="str">
        <f>IFERROR(__xludf.DUMMYFUNCTION("""COMPUTED_VALUE"""),"U35-6")</f>
        <v>U35-6</v>
      </c>
      <c r="H623" s="1076" t="str">
        <f>IFERROR(__xludf.DUMMYFUNCTION("""COMPUTED_VALUE"""),"32HP")</f>
        <v>32HP</v>
      </c>
      <c r="I623" s="1076" t="str">
        <f>IFERROR(__xludf.DUMMYFUNCTION("""COMPUTED_VALUE"""),"60284")</f>
        <v>60284</v>
      </c>
      <c r="J623" s="1076" t="str">
        <f>IFERROR(__xludf.DUMMYFUNCTION("""COMPUTED_VALUE"""),"CCN")</f>
        <v>CCN</v>
      </c>
      <c r="K623" s="1076">
        <f>IFERROR(__xludf.DUMMYFUNCTION("""COMPUTED_VALUE"""),4)</f>
        <v>4</v>
      </c>
      <c r="L623" s="1076"/>
    </row>
    <row r="624" customHeight="1" spans="1:12">
      <c r="A624" s="1089" t="str">
        <f>IFERROR(__xludf.DUMMYFUNCTION("""COMPUTED_VALUE"""),"XL3-MĐA-004")</f>
        <v>XL3-MĐA-004</v>
      </c>
      <c r="B624" s="1075" t="str">
        <f>IFERROR(__xludf.DUMMYFUNCTION("""COMPUTED_VALUE"""),"Máy đào U35 bánh xích gàu 0.3m3")</f>
        <v>Máy đào U35 bánh xích gàu 0.3m3</v>
      </c>
      <c r="C624" s="1076" t="str">
        <f>IFERROR(__xludf.DUMMYFUNCTION("""COMPUTED_VALUE"""),"Loại biên")</f>
        <v>Loại biên</v>
      </c>
      <c r="D624" s="1076" t="str">
        <f>IFERROR(__xludf.DUMMYFUNCTION("""COMPUTED_VALUE"""),"KUBOTA")</f>
        <v>KUBOTA</v>
      </c>
      <c r="E624" s="1076" t="str">
        <f>IFERROR(__xludf.DUMMYFUNCTION("""COMPUTED_VALUE"""),"NHẬT BẢN")</f>
        <v>NHẬT BẢN</v>
      </c>
      <c r="F624" s="1076">
        <f>IFERROR(__xludf.DUMMYFUNCTION("""COMPUTED_VALUE"""),2015)</f>
        <v>2015</v>
      </c>
      <c r="G624" s="1076" t="str">
        <f>IFERROR(__xludf.DUMMYFUNCTION("""COMPUTED_VALUE"""),"U35-6")</f>
        <v>U35-6</v>
      </c>
      <c r="H624" s="1076" t="str">
        <f>IFERROR(__xludf.DUMMYFUNCTION("""COMPUTED_VALUE"""),"32HP")</f>
        <v>32HP</v>
      </c>
      <c r="I624" s="1076" t="str">
        <f>IFERROR(__xludf.DUMMYFUNCTION("""COMPUTED_VALUE"""),"60273")</f>
        <v>60273</v>
      </c>
      <c r="J624" s="1076" t="str">
        <f>IFERROR(__xludf.DUMMYFUNCTION("""COMPUTED_VALUE"""),"CCN")</f>
        <v>CCN</v>
      </c>
      <c r="K624" s="1076">
        <f>IFERROR(__xludf.DUMMYFUNCTION("""COMPUTED_VALUE"""),4)</f>
        <v>4</v>
      </c>
      <c r="L624" s="1076"/>
    </row>
    <row r="625" customHeight="1" spans="1:12">
      <c r="A625" s="1089" t="str">
        <f>IFERROR(__xludf.DUMMYFUNCTION("""COMPUTED_VALUE"""),"XL3-MKE-007")</f>
        <v>XL3-MKE-007</v>
      </c>
      <c r="B625" s="1075" t="str">
        <f>IFERROR(__xludf.DUMMYFUNCTION("""COMPUTED_VALUE"""),"Máy cày KAM50")</f>
        <v>Máy cày KAM50</v>
      </c>
      <c r="C625" s="1076" t="str">
        <f>IFERROR(__xludf.DUMMYFUNCTION("""COMPUTED_VALUE"""),"Loại biên")</f>
        <v>Loại biên</v>
      </c>
      <c r="D625" s="1076" t="str">
        <f>IFERROR(__xludf.DUMMYFUNCTION("""COMPUTED_VALUE"""),"THACO")</f>
        <v>THACO</v>
      </c>
      <c r="E625" s="1076" t="str">
        <f>IFERROR(__xludf.DUMMYFUNCTION("""COMPUTED_VALUE"""),"VIỆT NAM")</f>
        <v>VIỆT NAM</v>
      </c>
      <c r="F625" s="1076">
        <f>IFERROR(__xludf.DUMMYFUNCTION("""COMPUTED_VALUE"""),2018)</f>
        <v>2018</v>
      </c>
      <c r="G625" s="1076" t="str">
        <f>IFERROR(__xludf.DUMMYFUNCTION("""COMPUTED_VALUE"""),"KAM50")</f>
        <v>KAM50</v>
      </c>
      <c r="H625" s="1076" t="str">
        <f>IFERROR(__xludf.DUMMYFUNCTION("""COMPUTED_VALUE"""),"50HP")</f>
        <v>50HP</v>
      </c>
      <c r="I625" s="1076" t="str">
        <f>IFERROR(__xludf.DUMMYFUNCTION("""COMPUTED_VALUE"""),"C000001")</f>
        <v>C000001</v>
      </c>
      <c r="J625" s="1076" t="str">
        <f>IFERROR(__xludf.DUMMYFUNCTION("""COMPUTED_VALUE"""),"CCN")</f>
        <v>CCN</v>
      </c>
      <c r="K625" s="1076">
        <f>IFERROR(__xludf.DUMMYFUNCTION("""COMPUTED_VALUE"""),2.5)</f>
        <v>2.5</v>
      </c>
      <c r="L625" s="1076"/>
    </row>
    <row r="626" customHeight="1" spans="1:12">
      <c r="A626" s="1089" t="str">
        <f>IFERROR(__xludf.DUMMYFUNCTION("""COMPUTED_VALUE"""),"XL1-CLT-001")</f>
        <v>XL1-CLT-001</v>
      </c>
      <c r="B626" s="1075" t="str">
        <f>IFERROR(__xludf.DUMMYFUNCTION("""COMPUTED_VALUE"""),"Xe clethon")</f>
        <v>Xe clethon</v>
      </c>
      <c r="C626" s="1076" t="str">
        <f>IFERROR(__xludf.DUMMYFUNCTION("""COMPUTED_VALUE"""),"Loại biên")</f>
        <v>Loại biên</v>
      </c>
      <c r="D626" s="1076" t="str">
        <f>IFERROR(__xludf.DUMMYFUNCTION("""COMPUTED_VALUE"""),"CLETHON")</f>
        <v>CLETHON</v>
      </c>
      <c r="E626" s="1076" t="str">
        <f>IFERROR(__xludf.DUMMYFUNCTION("""COMPUTED_VALUE"""),"CAMPUCHIA")</f>
        <v>CAMPUCHIA</v>
      </c>
      <c r="F626" s="1076"/>
      <c r="G626" s="1076"/>
      <c r="H626" s="1076" t="str">
        <f>IFERROR(__xludf.DUMMYFUNCTION("""COMPUTED_VALUE"""),"15HP")</f>
        <v>15HP</v>
      </c>
      <c r="I626" s="1076" t="str">
        <f>IFERROR(__xludf.DUMMYFUNCTION("""COMPUTED_VALUE"""),"RT7140DI-17080981")</f>
        <v>RT7140DI-17080981</v>
      </c>
      <c r="J626" s="1076" t="str">
        <f>IFERROR(__xludf.DUMMYFUNCTION("""COMPUTED_VALUE"""),"CCN")</f>
        <v>CCN</v>
      </c>
      <c r="K626" s="1076">
        <f>IFERROR(__xludf.DUMMYFUNCTION("""COMPUTED_VALUE"""),0.5)</f>
        <v>0.5</v>
      </c>
      <c r="L626" s="1076"/>
    </row>
    <row r="627" customHeight="1" spans="1:12">
      <c r="A627" s="1089" t="str">
        <f>IFERROR(__xludf.DUMMYFUNCTION("""COMPUTED_VALUE"""),"XL1-CLT-002")</f>
        <v>XL1-CLT-002</v>
      </c>
      <c r="B627" s="1075" t="str">
        <f>IFERROR(__xludf.DUMMYFUNCTION("""COMPUTED_VALUE"""),"Xe clethon")</f>
        <v>Xe clethon</v>
      </c>
      <c r="C627" s="1076" t="str">
        <f>IFERROR(__xludf.DUMMYFUNCTION("""COMPUTED_VALUE"""),"Loại biên")</f>
        <v>Loại biên</v>
      </c>
      <c r="D627" s="1076" t="str">
        <f>IFERROR(__xludf.DUMMYFUNCTION("""COMPUTED_VALUE"""),"CLETHON")</f>
        <v>CLETHON</v>
      </c>
      <c r="E627" s="1076" t="str">
        <f>IFERROR(__xludf.DUMMYFUNCTION("""COMPUTED_VALUE"""),"CAMPUCHIA")</f>
        <v>CAMPUCHIA</v>
      </c>
      <c r="F627" s="1076"/>
      <c r="G627" s="1076"/>
      <c r="H627" s="1076" t="str">
        <f>IFERROR(__xludf.DUMMYFUNCTION("""COMPUTED_VALUE"""),"15HP")</f>
        <v>15HP</v>
      </c>
      <c r="I627" s="1076" t="str">
        <f>IFERROR(__xludf.DUMMYFUNCTION("""COMPUTED_VALUE"""),"RT140-KH/1960184")</f>
        <v>RT140-KH/1960184</v>
      </c>
      <c r="J627" s="1076" t="str">
        <f>IFERROR(__xludf.DUMMYFUNCTION("""COMPUTED_VALUE"""),"CCN")</f>
        <v>CCN</v>
      </c>
      <c r="K627" s="1076">
        <f>IFERROR(__xludf.DUMMYFUNCTION("""COMPUTED_VALUE"""),0.5)</f>
        <v>0.5</v>
      </c>
      <c r="L627" s="1076"/>
    </row>
    <row r="628" customHeight="1" spans="1:12">
      <c r="A628" s="1089" t="str">
        <f>IFERROR(__xludf.DUMMYFUNCTION("""COMPUTED_VALUE"""),"XL1-CLT-003")</f>
        <v>XL1-CLT-003</v>
      </c>
      <c r="B628" s="1075" t="str">
        <f>IFERROR(__xludf.DUMMYFUNCTION("""COMPUTED_VALUE"""),"Xe clethon")</f>
        <v>Xe clethon</v>
      </c>
      <c r="C628" s="1076" t="str">
        <f>IFERROR(__xludf.DUMMYFUNCTION("""COMPUTED_VALUE"""),"Loại biên")</f>
        <v>Loại biên</v>
      </c>
      <c r="D628" s="1076" t="str">
        <f>IFERROR(__xludf.DUMMYFUNCTION("""COMPUTED_VALUE"""),"CLETHON")</f>
        <v>CLETHON</v>
      </c>
      <c r="E628" s="1076" t="str">
        <f>IFERROR(__xludf.DUMMYFUNCTION("""COMPUTED_VALUE"""),"CAMPUCHIA")</f>
        <v>CAMPUCHIA</v>
      </c>
      <c r="F628" s="1076"/>
      <c r="G628" s="1076"/>
      <c r="H628" s="1076" t="str">
        <f>IFERROR(__xludf.DUMMYFUNCTION("""COMPUTED_VALUE"""),"15HP")</f>
        <v>15HP</v>
      </c>
      <c r="I628" s="1076" t="str">
        <f>IFERROR(__xludf.DUMMYFUNCTION("""COMPUTED_VALUE"""),"RT140-KH19080172")</f>
        <v>RT140-KH19080172</v>
      </c>
      <c r="J628" s="1076" t="str">
        <f>IFERROR(__xludf.DUMMYFUNCTION("""COMPUTED_VALUE"""),"CCN")</f>
        <v>CCN</v>
      </c>
      <c r="K628" s="1076">
        <f>IFERROR(__xludf.DUMMYFUNCTION("""COMPUTED_VALUE"""),0.5)</f>
        <v>0.5</v>
      </c>
      <c r="L628" s="1076"/>
    </row>
    <row r="629" customHeight="1" spans="1:12">
      <c r="A629" s="1089" t="str">
        <f>IFERROR(__xludf.DUMMYFUNCTION("""COMPUTED_VALUE"""),"XL1-CLT-004")</f>
        <v>XL1-CLT-004</v>
      </c>
      <c r="B629" s="1075" t="str">
        <f>IFERROR(__xludf.DUMMYFUNCTION("""COMPUTED_VALUE"""),"Xe clethon")</f>
        <v>Xe clethon</v>
      </c>
      <c r="C629" s="1076" t="str">
        <f>IFERROR(__xludf.DUMMYFUNCTION("""COMPUTED_VALUE"""),"Loại biên")</f>
        <v>Loại biên</v>
      </c>
      <c r="D629" s="1076" t="str">
        <f>IFERROR(__xludf.DUMMYFUNCTION("""COMPUTED_VALUE"""),"CLETHON")</f>
        <v>CLETHON</v>
      </c>
      <c r="E629" s="1076" t="str">
        <f>IFERROR(__xludf.DUMMYFUNCTION("""COMPUTED_VALUE"""),"CAMPUCHIA")</f>
        <v>CAMPUCHIA</v>
      </c>
      <c r="F629" s="1076"/>
      <c r="G629" s="1076"/>
      <c r="H629" s="1076" t="str">
        <f>IFERROR(__xludf.DUMMYFUNCTION("""COMPUTED_VALUE"""),"15HP")</f>
        <v>15HP</v>
      </c>
      <c r="I629" s="1076" t="str">
        <f>IFERROR(__xludf.DUMMYFUNCTION("""COMPUTED_VALUE"""),"RT140-KH19080003")</f>
        <v>RT140-KH19080003</v>
      </c>
      <c r="J629" s="1076" t="str">
        <f>IFERROR(__xludf.DUMMYFUNCTION("""COMPUTED_VALUE"""),"CCN")</f>
        <v>CCN</v>
      </c>
      <c r="K629" s="1076">
        <f>IFERROR(__xludf.DUMMYFUNCTION("""COMPUTED_VALUE"""),0.5)</f>
        <v>0.5</v>
      </c>
      <c r="L629" s="1076"/>
    </row>
    <row r="630" customHeight="1" spans="1:12">
      <c r="A630" s="1089" t="str">
        <f>IFERROR(__xludf.DUMMYFUNCTION("""COMPUTED_VALUE"""),"XL1-CLT-005")</f>
        <v>XL1-CLT-005</v>
      </c>
      <c r="B630" s="1075" t="str">
        <f>IFERROR(__xludf.DUMMYFUNCTION("""COMPUTED_VALUE"""),"Xe clethon")</f>
        <v>Xe clethon</v>
      </c>
      <c r="C630" s="1076" t="str">
        <f>IFERROR(__xludf.DUMMYFUNCTION("""COMPUTED_VALUE"""),"Loại biên")</f>
        <v>Loại biên</v>
      </c>
      <c r="D630" s="1076" t="str">
        <f>IFERROR(__xludf.DUMMYFUNCTION("""COMPUTED_VALUE"""),"CLETHON")</f>
        <v>CLETHON</v>
      </c>
      <c r="E630" s="1076" t="str">
        <f>IFERROR(__xludf.DUMMYFUNCTION("""COMPUTED_VALUE"""),"CAMPUCHIA")</f>
        <v>CAMPUCHIA</v>
      </c>
      <c r="F630" s="1076"/>
      <c r="G630" s="1076"/>
      <c r="H630" s="1076" t="str">
        <f>IFERROR(__xludf.DUMMYFUNCTION("""COMPUTED_VALUE"""),"15HP")</f>
        <v>15HP</v>
      </c>
      <c r="I630" s="1076" t="str">
        <f>IFERROR(__xludf.DUMMYFUNCTION("""COMPUTED_VALUE"""),"RT140DI-18122050")</f>
        <v>RT140DI-18122050</v>
      </c>
      <c r="J630" s="1076" t="str">
        <f>IFERROR(__xludf.DUMMYFUNCTION("""COMPUTED_VALUE"""),"CCN")</f>
        <v>CCN</v>
      </c>
      <c r="K630" s="1076">
        <f>IFERROR(__xludf.DUMMYFUNCTION("""COMPUTED_VALUE"""),0.68)</f>
        <v>0.68</v>
      </c>
      <c r="L630" s="1076"/>
    </row>
    <row r="631" customHeight="1" spans="1:12">
      <c r="A631" s="1089" t="str">
        <f>IFERROR(__xludf.DUMMYFUNCTION("""COMPUTED_VALUE"""),"XL1-CLT-007")</f>
        <v>XL1-CLT-007</v>
      </c>
      <c r="B631" s="1075" t="str">
        <f>IFERROR(__xludf.DUMMYFUNCTION("""COMPUTED_VALUE"""),"Xe clethon")</f>
        <v>Xe clethon</v>
      </c>
      <c r="C631" s="1076" t="str">
        <f>IFERROR(__xludf.DUMMYFUNCTION("""COMPUTED_VALUE"""),"Loại biên")</f>
        <v>Loại biên</v>
      </c>
      <c r="D631" s="1076" t="str">
        <f>IFERROR(__xludf.DUMMYFUNCTION("""COMPUTED_VALUE"""),"CLETHON")</f>
        <v>CLETHON</v>
      </c>
      <c r="E631" s="1076" t="str">
        <f>IFERROR(__xludf.DUMMYFUNCTION("""COMPUTED_VALUE"""),"CAMPUCHIA")</f>
        <v>CAMPUCHIA</v>
      </c>
      <c r="F631" s="1076"/>
      <c r="G631" s="1076"/>
      <c r="H631" s="1076" t="str">
        <f>IFERROR(__xludf.DUMMYFUNCTION("""COMPUTED_VALUE"""),"15HP")</f>
        <v>15HP</v>
      </c>
      <c r="I631" s="1076" t="str">
        <f>IFERROR(__xludf.DUMMYFUNCTION("""COMPUTED_VALUE"""),"CNN")</f>
        <v>CNN</v>
      </c>
      <c r="J631" s="1076" t="str">
        <f>IFERROR(__xludf.DUMMYFUNCTION("""COMPUTED_VALUE"""),"RT140DI-18122605")</f>
        <v>RT140DI-18122605</v>
      </c>
      <c r="K631" s="1076">
        <f>IFERROR(__xludf.DUMMYFUNCTION("""COMPUTED_VALUE"""),0.5)</f>
        <v>0.5</v>
      </c>
      <c r="L631" s="1076"/>
    </row>
    <row r="632" customHeight="1" spans="1:12">
      <c r="A632" s="1089" t="str">
        <f>IFERROR(__xludf.DUMMYFUNCTION("""COMPUTED_VALUE"""),"XL1-XTA-005")</f>
        <v>XL1-XTA-005</v>
      </c>
      <c r="B632" s="1075" t="str">
        <f>IFERROR(__xludf.DUMMYFUNCTION("""COMPUTED_VALUE"""),"Xe tải KOZUN")</f>
        <v>Xe tải KOZUN</v>
      </c>
      <c r="C632" s="1076" t="str">
        <f>IFERROR(__xludf.DUMMYFUNCTION("""COMPUTED_VALUE"""),"Loại biên")</f>
        <v>Loại biên</v>
      </c>
      <c r="D632" s="1076" t="str">
        <f>IFERROR(__xludf.DUMMYFUNCTION("""COMPUTED_VALUE"""),"KOZUN")</f>
        <v>KOZUN</v>
      </c>
      <c r="E632" s="1076" t="str">
        <f>IFERROR(__xludf.DUMMYFUNCTION("""COMPUTED_VALUE"""),"CAMPUCHIA")</f>
        <v>CAMPUCHIA</v>
      </c>
      <c r="F632" s="1076"/>
      <c r="G632" s="1076"/>
      <c r="H632" s="1076" t="str">
        <f>IFERROR(__xludf.DUMMYFUNCTION("""COMPUTED_VALUE"""),"60HP")</f>
        <v>60HP</v>
      </c>
      <c r="I632" s="1076" t="str">
        <f>IFERROR(__xludf.DUMMYFUNCTION("""COMPUTED_VALUE"""),"A59876")</f>
        <v>A59876</v>
      </c>
      <c r="J632" s="1076" t="str">
        <f>IFERROR(__xludf.DUMMYFUNCTION("""COMPUTED_VALUE"""),"CCN")</f>
        <v>CCN</v>
      </c>
      <c r="K632" s="1076">
        <f>IFERROR(__xludf.DUMMYFUNCTION("""COMPUTED_VALUE"""),2)</f>
        <v>2</v>
      </c>
      <c r="L632" s="1076"/>
    </row>
    <row r="633" customHeight="1" spans="1:12">
      <c r="A633" s="1089" t="str">
        <f>IFERROR(__xludf.DUMMYFUNCTION("""COMPUTED_VALUE"""),"XL1-CĐN-001")</f>
        <v>XL1-CĐN-001</v>
      </c>
      <c r="B633" s="1075" t="str">
        <f>IFERROR(__xludf.DUMMYFUNCTION("""COMPUTED_VALUE"""),"Máy cắt cỏ đẩy tay đa năng")</f>
        <v>Máy cắt cỏ đẩy tay đa năng</v>
      </c>
      <c r="C633" s="1076" t="str">
        <f>IFERROR(__xludf.DUMMYFUNCTION("""COMPUTED_VALUE"""),"Loại biên")</f>
        <v>Loại biên</v>
      </c>
      <c r="D633" s="1076" t="str">
        <f>IFERROR(__xludf.DUMMYFUNCTION("""COMPUTED_VALUE"""),"YAMASUKI")</f>
        <v>YAMASUKI</v>
      </c>
      <c r="E633" s="1076" t="str">
        <f>IFERROR(__xludf.DUMMYFUNCTION("""COMPUTED_VALUE"""),"CAMBODIA")</f>
        <v>CAMBODIA</v>
      </c>
      <c r="F633" s="1076">
        <f>IFERROR(__xludf.DUMMYFUNCTION("""COMPUTED_VALUE"""),2024)</f>
        <v>2024</v>
      </c>
      <c r="G633" s="1076" t="str">
        <f>IFERROR(__xludf.DUMMYFUNCTION("""COMPUTED_VALUE"""),"GX35Y")</f>
        <v>GX35Y</v>
      </c>
      <c r="H633" s="1076" t="str">
        <f>IFERROR(__xludf.DUMMYFUNCTION("""COMPUTED_VALUE"""),"1.3HP")</f>
        <v>1.3HP</v>
      </c>
      <c r="I633" s="1076"/>
      <c r="J633" s="1076" t="str">
        <f>IFERROR(__xludf.DUMMYFUNCTION("""COMPUTED_VALUE"""),"GX35Y21093929")</f>
        <v>GX35Y21093929</v>
      </c>
      <c r="K633" s="1076">
        <f>IFERROR(__xludf.DUMMYFUNCTION("""COMPUTED_VALUE"""),0.6)</f>
        <v>0.6</v>
      </c>
      <c r="L633" s="1076"/>
    </row>
    <row r="634" customHeight="1" spans="1:12">
      <c r="A634" s="1089" t="str">
        <f>IFERROR(__xludf.DUMMYFUNCTION("""COMPUTED_VALUE"""),"XL1-CĐN-002")</f>
        <v>XL1-CĐN-002</v>
      </c>
      <c r="B634" s="1075" t="str">
        <f>IFERROR(__xludf.DUMMYFUNCTION("""COMPUTED_VALUE"""),"Máy cắt cỏ đẩy tay đa năng")</f>
        <v>Máy cắt cỏ đẩy tay đa năng</v>
      </c>
      <c r="C634" s="1076" t="str">
        <f>IFERROR(__xludf.DUMMYFUNCTION("""COMPUTED_VALUE"""),"Loại biên")</f>
        <v>Loại biên</v>
      </c>
      <c r="D634" s="1076" t="str">
        <f>IFERROR(__xludf.DUMMYFUNCTION("""COMPUTED_VALUE"""),"YAMASUKI")</f>
        <v>YAMASUKI</v>
      </c>
      <c r="E634" s="1076" t="str">
        <f>IFERROR(__xludf.DUMMYFUNCTION("""COMPUTED_VALUE"""),"CAMBODIA")</f>
        <v>CAMBODIA</v>
      </c>
      <c r="F634" s="1076">
        <f>IFERROR(__xludf.DUMMYFUNCTION("""COMPUTED_VALUE"""),2024)</f>
        <v>2024</v>
      </c>
      <c r="G634" s="1076" t="str">
        <f>IFERROR(__xludf.DUMMYFUNCTION("""COMPUTED_VALUE"""),"GX-35")</f>
        <v>GX-35</v>
      </c>
      <c r="H634" s="1076" t="str">
        <f>IFERROR(__xludf.DUMMYFUNCTION("""COMPUTED_VALUE"""),"1.3HP")</f>
        <v>1.3HP</v>
      </c>
      <c r="I634" s="1076" t="str">
        <f>IFERROR(__xludf.DUMMYFUNCTION("""COMPUTED_VALUE"""),"CCN")</f>
        <v>CCN</v>
      </c>
      <c r="J634" s="1076" t="str">
        <f>IFERROR(__xludf.DUMMYFUNCTION("""COMPUTED_VALUE"""),"CCN")</f>
        <v>CCN</v>
      </c>
      <c r="K634" s="1076">
        <f>IFERROR(__xludf.DUMMYFUNCTION("""COMPUTED_VALUE"""),0.6)</f>
        <v>0.6</v>
      </c>
      <c r="L634" s="1076"/>
    </row>
    <row r="635" customHeight="1" spans="1:12">
      <c r="A635" s="1089" t="str">
        <f>IFERROR(__xludf.DUMMYFUNCTION("""COMPUTED_VALUE"""),"XD3-MKE-001")</f>
        <v>XD3-MKE-001</v>
      </c>
      <c r="B635" s="1075" t="str">
        <f>IFERROR(__xludf.DUMMYFUNCTION("""COMPUTED_VALUE"""),"Máy cày M6040")</f>
        <v>Máy cày M6040</v>
      </c>
      <c r="C635" s="1076" t="str">
        <f>IFERROR(__xludf.DUMMYFUNCTION("""COMPUTED_VALUE"""),"Loại biên")</f>
        <v>Loại biên</v>
      </c>
      <c r="D635" s="1076" t="str">
        <f>IFERROR(__xludf.DUMMYFUNCTION("""COMPUTED_VALUE"""),"KUBOTA")</f>
        <v>KUBOTA</v>
      </c>
      <c r="E635" s="1076" t="str">
        <f>IFERROR(__xludf.DUMMYFUNCTION("""COMPUTED_VALUE"""),"NHẬT BẢN")</f>
        <v>NHẬT BẢN</v>
      </c>
      <c r="F635" s="1076">
        <f>IFERROR(__xludf.DUMMYFUNCTION("""COMPUTED_VALUE"""),2013)</f>
        <v>2013</v>
      </c>
      <c r="G635" s="1076" t="str">
        <f>IFERROR(__xludf.DUMMYFUNCTION("""COMPUTED_VALUE"""),"M6040")</f>
        <v>M6040</v>
      </c>
      <c r="H635" s="1076" t="str">
        <f>IFERROR(__xludf.DUMMYFUNCTION("""COMPUTED_VALUE"""),"60HP")</f>
        <v>60HP</v>
      </c>
      <c r="I635" s="1076" t="str">
        <f>IFERROR(__xludf.DUMMYFUNCTION("""COMPUTED_VALUE"""),"57125")</f>
        <v>57125</v>
      </c>
      <c r="J635" s="1076" t="str">
        <f>IFERROR(__xludf.DUMMYFUNCTION("""COMPUTED_VALUE"""),"CCN")</f>
        <v>CCN</v>
      </c>
      <c r="K635" s="1076">
        <f>IFERROR(__xludf.DUMMYFUNCTION("""COMPUTED_VALUE"""),3.5)</f>
        <v>3.5</v>
      </c>
      <c r="L635" s="1076"/>
    </row>
    <row r="636" customHeight="1" spans="1:12">
      <c r="A636" s="1089" t="str">
        <f>IFERROR(__xludf.DUMMYFUNCTION("""COMPUTED_VALUE"""),"XD3-MĐA-001")</f>
        <v>XD3-MĐA-001</v>
      </c>
      <c r="B636" s="1075" t="str">
        <f>IFERROR(__xludf.DUMMYFUNCTION("""COMPUTED_VALUE"""),"Máy đào KOMATSU bánh xích gàu 0.3m3")</f>
        <v>Máy đào KOMATSU bánh xích gàu 0.3m3</v>
      </c>
      <c r="C636" s="1076" t="str">
        <f>IFERROR(__xludf.DUMMYFUNCTION("""COMPUTED_VALUE"""),"Loại biên")</f>
        <v>Loại biên</v>
      </c>
      <c r="D636" s="1076" t="str">
        <f>IFERROR(__xludf.DUMMYFUNCTION("""COMPUTED_VALUE"""),"KOMATSU")</f>
        <v>KOMATSU</v>
      </c>
      <c r="E636" s="1076" t="str">
        <f>IFERROR(__xludf.DUMMYFUNCTION("""COMPUTED_VALUE"""),"NHẬT BẢN")</f>
        <v>NHẬT BẢN</v>
      </c>
      <c r="F636" s="1076">
        <f>IFERROR(__xludf.DUMMYFUNCTION("""COMPUTED_VALUE"""),2006)</f>
        <v>2006</v>
      </c>
      <c r="G636" s="1076" t="str">
        <f>IFERROR(__xludf.DUMMYFUNCTION("""COMPUTED_VALUE"""),"PC50MR-2")</f>
        <v>PC50MR-2</v>
      </c>
      <c r="H636" s="1076" t="str">
        <f>IFERROR(__xludf.DUMMYFUNCTION("""COMPUTED_VALUE"""),"39HP")</f>
        <v>39HP</v>
      </c>
      <c r="I636" s="1076" t="str">
        <f>IFERROR(__xludf.DUMMYFUNCTION("""COMPUTED_VALUE"""),"9873")</f>
        <v>9873</v>
      </c>
      <c r="J636" s="1076" t="str">
        <f>IFERROR(__xludf.DUMMYFUNCTION("""COMPUTED_VALUE"""),"CCN")</f>
        <v>CCN</v>
      </c>
      <c r="K636" s="1076">
        <f>IFERROR(__xludf.DUMMYFUNCTION("""COMPUTED_VALUE"""),4)</f>
        <v>4</v>
      </c>
      <c r="L636" s="1076"/>
    </row>
    <row r="637" customHeight="1" spans="1:12">
      <c r="A637" s="1089" t="str">
        <f>IFERROR(__xludf.DUMMYFUNCTION("""COMPUTED_VALUE"""),"XD3-XTA-001")</f>
        <v>XD3-XTA-001</v>
      </c>
      <c r="B637" s="1075" t="str">
        <f>IFERROR(__xludf.DUMMYFUNCTION("""COMPUTED_VALUE"""),"Xe tải KOZUN")</f>
        <v>Xe tải KOZUN</v>
      </c>
      <c r="C637" s="1076" t="str">
        <f>IFERROR(__xludf.DUMMYFUNCTION("""COMPUTED_VALUE"""),"Loại biên")</f>
        <v>Loại biên</v>
      </c>
      <c r="D637" s="1076" t="str">
        <f>IFERROR(__xludf.DUMMYFUNCTION("""COMPUTED_VALUE"""),"KOZUN")</f>
        <v>KOZUN</v>
      </c>
      <c r="E637" s="1076" t="str">
        <f>IFERROR(__xludf.DUMMYFUNCTION("""COMPUTED_VALUE"""),"CAMPUCHIA")</f>
        <v>CAMPUCHIA</v>
      </c>
      <c r="F637" s="1076"/>
      <c r="G637" s="1076"/>
      <c r="H637" s="1076" t="str">
        <f>IFERROR(__xludf.DUMMYFUNCTION("""COMPUTED_VALUE"""),"60HP")</f>
        <v>60HP</v>
      </c>
      <c r="I637" s="1076" t="str">
        <f>IFERROR(__xludf.DUMMYFUNCTION("""COMPUTED_VALUE"""),"CCN")</f>
        <v>CCN</v>
      </c>
      <c r="J637" s="1076" t="str">
        <f>IFERROR(__xludf.DUMMYFUNCTION("""COMPUTED_VALUE"""),"55581")</f>
        <v>55581</v>
      </c>
      <c r="K637" s="1076">
        <f>IFERROR(__xludf.DUMMYFUNCTION("""COMPUTED_VALUE"""),2)</f>
        <v>2</v>
      </c>
      <c r="L637" s="1076"/>
    </row>
    <row r="638" customHeight="1" spans="1:12">
      <c r="A638" s="1089" t="str">
        <f>IFERROR(__xludf.DUMMYFUNCTION("""COMPUTED_VALUE"""),"XD3-XTA-002")</f>
        <v>XD3-XTA-002</v>
      </c>
      <c r="B638" s="1075" t="str">
        <f>IFERROR(__xludf.DUMMYFUNCTION("""COMPUTED_VALUE"""),"Xe tải KOZUN")</f>
        <v>Xe tải KOZUN</v>
      </c>
      <c r="C638" s="1076" t="str">
        <f>IFERROR(__xludf.DUMMYFUNCTION("""COMPUTED_VALUE"""),"Loại biên")</f>
        <v>Loại biên</v>
      </c>
      <c r="D638" s="1076" t="str">
        <f>IFERROR(__xludf.DUMMYFUNCTION("""COMPUTED_VALUE"""),"KOZUN")</f>
        <v>KOZUN</v>
      </c>
      <c r="E638" s="1076" t="str">
        <f>IFERROR(__xludf.DUMMYFUNCTION("""COMPUTED_VALUE"""),"CAMPUCHIA")</f>
        <v>CAMPUCHIA</v>
      </c>
      <c r="F638" s="1076"/>
      <c r="G638" s="1076"/>
      <c r="H638" s="1076" t="str">
        <f>IFERROR(__xludf.DUMMYFUNCTION("""COMPUTED_VALUE"""),"60HP")</f>
        <v>60HP</v>
      </c>
      <c r="I638" s="1076"/>
      <c r="J638" s="1076" t="str">
        <f>IFERROR(__xludf.DUMMYFUNCTION("""COMPUTED_VALUE"""),"CCN")</f>
        <v>CCN</v>
      </c>
      <c r="K638" s="1076">
        <f>IFERROR(__xludf.DUMMYFUNCTION("""COMPUTED_VALUE"""),2)</f>
        <v>2</v>
      </c>
      <c r="L638" s="1076"/>
    </row>
    <row r="639" customHeight="1" spans="1:12">
      <c r="A639" s="1089" t="str">
        <f>IFERROR(__xludf.DUMMYFUNCTION("""COMPUTED_VALUE"""),"XD2-XTA-001")</f>
        <v>XD2-XTA-001</v>
      </c>
      <c r="B639" s="1075" t="str">
        <f>IFERROR(__xludf.DUMMYFUNCTION("""COMPUTED_VALUE"""),"Xe tải KOZUN")</f>
        <v>Xe tải KOZUN</v>
      </c>
      <c r="C639" s="1076" t="str">
        <f>IFERROR(__xludf.DUMMYFUNCTION("""COMPUTED_VALUE"""),"Loại biên")</f>
        <v>Loại biên</v>
      </c>
      <c r="D639" s="1076" t="str">
        <f>IFERROR(__xludf.DUMMYFUNCTION("""COMPUTED_VALUE"""),"KOZUN")</f>
        <v>KOZUN</v>
      </c>
      <c r="E639" s="1076" t="str">
        <f>IFERROR(__xludf.DUMMYFUNCTION("""COMPUTED_VALUE"""),"CAMPUCHIA")</f>
        <v>CAMPUCHIA</v>
      </c>
      <c r="F639" s="1076"/>
      <c r="G639" s="1076"/>
      <c r="H639" s="1076" t="str">
        <f>IFERROR(__xludf.DUMMYFUNCTION("""COMPUTED_VALUE"""),"60HP")</f>
        <v>60HP</v>
      </c>
      <c r="I639" s="1076"/>
      <c r="J639" s="1076" t="str">
        <f>IFERROR(__xludf.DUMMYFUNCTION("""COMPUTED_VALUE"""),"CCN")</f>
        <v>CCN</v>
      </c>
      <c r="K639" s="1076">
        <f>IFERROR(__xludf.DUMMYFUNCTION("""COMPUTED_VALUE"""),2)</f>
        <v>2</v>
      </c>
      <c r="L639" s="1076"/>
    </row>
    <row r="640" customHeight="1" spans="1:12">
      <c r="A640" s="1089" t="str">
        <f>IFERROR(__xludf.DUMMYFUNCTION("""COMPUTED_VALUE"""),"XA2-MĐA-004")</f>
        <v>XA2-MĐA-004</v>
      </c>
      <c r="B640" s="1075" t="str">
        <f>IFERROR(__xludf.DUMMYFUNCTION("""COMPUTED_VALUE"""),"Máy đào KOMATSU bánh xích gàu 0.3m3")</f>
        <v>Máy đào KOMATSU bánh xích gàu 0.3m3</v>
      </c>
      <c r="C640" s="1076" t="str">
        <f>IFERROR(__xludf.DUMMYFUNCTION("""COMPUTED_VALUE"""),"Loại biên")</f>
        <v>Loại biên</v>
      </c>
      <c r="D640" s="1076" t="str">
        <f>IFERROR(__xludf.DUMMYFUNCTION("""COMPUTED_VALUE"""),"KOMATSU")</f>
        <v>KOMATSU</v>
      </c>
      <c r="E640" s="1076" t="str">
        <f>IFERROR(__xludf.DUMMYFUNCTION("""COMPUTED_VALUE"""),"NHẬT BẢN")</f>
        <v>NHẬT BẢN</v>
      </c>
      <c r="F640" s="1076">
        <f>IFERROR(__xludf.DUMMYFUNCTION("""COMPUTED_VALUE"""),2006)</f>
        <v>2006</v>
      </c>
      <c r="G640" s="1076" t="str">
        <f>IFERROR(__xludf.DUMMYFUNCTION("""COMPUTED_VALUE"""),"PC40MR-2")</f>
        <v>PC40MR-2</v>
      </c>
      <c r="H640" s="1076"/>
      <c r="I640" s="1076" t="str">
        <f>IFERROR(__xludf.DUMMYFUNCTION("""COMPUTED_VALUE"""),"KMTPC092J05011139")</f>
        <v>KMTPC092J05011139</v>
      </c>
      <c r="J640" s="1076" t="str">
        <f>IFERROR(__xludf.DUMMYFUNCTION("""COMPUTED_VALUE"""),"10189")</f>
        <v>10189</v>
      </c>
      <c r="K640" s="1076">
        <f>IFERROR(__xludf.DUMMYFUNCTION("""COMPUTED_VALUE"""),4)</f>
        <v>4</v>
      </c>
      <c r="L640" s="1076"/>
    </row>
    <row r="641" customHeight="1" spans="1:12">
      <c r="A641" s="1089" t="str">
        <f>IFERROR(__xludf.DUMMYFUNCTION("""COMPUTED_VALUE"""),"XA2-XTA-001")</f>
        <v>XA2-XTA-001</v>
      </c>
      <c r="B641" s="1075" t="str">
        <f>IFERROR(__xludf.DUMMYFUNCTION("""COMPUTED_VALUE"""),"Xe tải KOZUN")</f>
        <v>Xe tải KOZUN</v>
      </c>
      <c r="C641" s="1076" t="str">
        <f>IFERROR(__xludf.DUMMYFUNCTION("""COMPUTED_VALUE"""),"Loại biên")</f>
        <v>Loại biên</v>
      </c>
      <c r="D641" s="1076" t="str">
        <f>IFERROR(__xludf.DUMMYFUNCTION("""COMPUTED_VALUE"""),"KOZUN")</f>
        <v>KOZUN</v>
      </c>
      <c r="E641" s="1076" t="str">
        <f>IFERROR(__xludf.DUMMYFUNCTION("""COMPUTED_VALUE"""),"CAMPUCHIA")</f>
        <v>CAMPUCHIA</v>
      </c>
      <c r="F641" s="1076"/>
      <c r="G641" s="1076"/>
      <c r="H641" s="1076" t="str">
        <f>IFERROR(__xludf.DUMMYFUNCTION("""COMPUTED_VALUE"""),"60HP")</f>
        <v>60HP</v>
      </c>
      <c r="I641" s="1076" t="str">
        <f>IFERROR(__xludf.DUMMYFUNCTION("""COMPUTED_VALUE"""),"55065")</f>
        <v>55065</v>
      </c>
      <c r="J641" s="1076" t="str">
        <f>IFERROR(__xludf.DUMMYFUNCTION("""COMPUTED_VALUE"""),"CCN")</f>
        <v>CCN</v>
      </c>
      <c r="K641" s="1076">
        <f>IFERROR(__xludf.DUMMYFUNCTION("""COMPUTED_VALUE"""),2)</f>
        <v>2</v>
      </c>
      <c r="L641" s="1076"/>
    </row>
    <row r="642" customHeight="1" spans="1:12">
      <c r="A642" s="1089" t="str">
        <f>IFERROR(__xludf.DUMMYFUNCTION("""COMPUTED_VALUE"""),"XA2-CLT-001")</f>
        <v>XA2-CLT-001</v>
      </c>
      <c r="B642" s="1075" t="str">
        <f>IFERROR(__xludf.DUMMYFUNCTION("""COMPUTED_VALUE"""),"Xe clethon")</f>
        <v>Xe clethon</v>
      </c>
      <c r="C642" s="1076" t="str">
        <f>IFERROR(__xludf.DUMMYFUNCTION("""COMPUTED_VALUE"""),"Loại biên")</f>
        <v>Loại biên</v>
      </c>
      <c r="D642" s="1076" t="str">
        <f>IFERROR(__xludf.DUMMYFUNCTION("""COMPUTED_VALUE"""),"CLETHON")</f>
        <v>CLETHON</v>
      </c>
      <c r="E642" s="1076" t="str">
        <f>IFERROR(__xludf.DUMMYFUNCTION("""COMPUTED_VALUE"""),"CAMPUCHIA")</f>
        <v>CAMPUCHIA</v>
      </c>
      <c r="F642" s="1076"/>
      <c r="G642" s="1076"/>
      <c r="H642" s="1076" t="str">
        <f>IFERROR(__xludf.DUMMYFUNCTION("""COMPUTED_VALUE"""),"15HP")</f>
        <v>15HP</v>
      </c>
      <c r="I642" s="1076" t="str">
        <f>IFERROR(__xludf.DUMMYFUNCTION("""COMPUTED_VALUE"""),"CNN")</f>
        <v>CNN</v>
      </c>
      <c r="J642" s="1076" t="str">
        <f>IFERROR(__xludf.DUMMYFUNCTION("""COMPUTED_VALUE"""),"RT140DI-1801771")</f>
        <v>RT140DI-1801771</v>
      </c>
      <c r="K642" s="1076">
        <f>IFERROR(__xludf.DUMMYFUNCTION("""COMPUTED_VALUE"""),0.5)</f>
        <v>0.5</v>
      </c>
      <c r="L642" s="1076"/>
    </row>
    <row r="643" customHeight="1" spans="1:12">
      <c r="A643" s="1089" t="str">
        <f>IFERROR(__xludf.DUMMYFUNCTION("""COMPUTED_VALUE"""),"CHT-XBO-004")</f>
        <v>CHT-XBO-004</v>
      </c>
      <c r="B643" s="1075" t="str">
        <f>IFERROR(__xludf.DUMMYFUNCTION("""COMPUTED_VALUE"""),"Xe bồn HYUNDAI")</f>
        <v>Xe bồn HYUNDAI</v>
      </c>
      <c r="C643" s="1076" t="str">
        <f>IFERROR(__xludf.DUMMYFUNCTION("""COMPUTED_VALUE"""),"Loại biên")</f>
        <v>Loại biên</v>
      </c>
      <c r="D643" s="1076" t="str">
        <f>IFERROR(__xludf.DUMMYFUNCTION("""COMPUTED_VALUE"""),"HYUNDAI")</f>
        <v>HYUNDAI</v>
      </c>
      <c r="E643" s="1076" t="str">
        <f>IFERROR(__xludf.DUMMYFUNCTION("""COMPUTED_VALUE"""),"HÀN QUỐC")</f>
        <v>HÀN QUỐC</v>
      </c>
      <c r="F643" s="1076">
        <f>IFERROR(__xludf.DUMMYFUNCTION("""COMPUTED_VALUE"""),2005)</f>
        <v>2005</v>
      </c>
      <c r="G643" s="1076" t="str">
        <f>IFERROR(__xludf.DUMMYFUNCTION("""COMPUTED_VALUE"""),"HYUNDAI (Bồn tưới 18m3)")</f>
        <v>HYUNDAI (Bồn tưới 18m3)</v>
      </c>
      <c r="H643" s="1076" t="str">
        <f>IFERROR(__xludf.DUMMYFUNCTION("""COMPUTED_VALUE"""),"336HP")</f>
        <v>336HP</v>
      </c>
      <c r="I643" s="1076" t="str">
        <f>IFERROR(__xludf.DUMMYFUNCTION("""COMPUTED_VALUE"""),"EF750032850")</f>
        <v>EF750032850</v>
      </c>
      <c r="J643" s="1076" t="str">
        <f>IFERROR(__xludf.DUMMYFUNCTION("""COMPUTED_VALUE"""),"CCN")</f>
        <v>CCN</v>
      </c>
      <c r="K643" s="1076"/>
      <c r="L643" s="1076"/>
    </row>
    <row r="644" customHeight="1" spans="1:12">
      <c r="A644" s="1089" t="str">
        <f>IFERROR(__xludf.DUMMYFUNCTION("""COMPUTED_VALUE"""),"XA2-MKE-011")</f>
        <v>XA2-MKE-011</v>
      </c>
      <c r="B644" s="1075" t="str">
        <f>IFERROR(__xludf.DUMMYFUNCTION("""COMPUTED_VALUE"""),"Máy cày M6040")</f>
        <v>Máy cày M6040</v>
      </c>
      <c r="C644" s="1076" t="str">
        <f>IFERROR(__xludf.DUMMYFUNCTION("""COMPUTED_VALUE"""),"Loại biên")</f>
        <v>Loại biên</v>
      </c>
      <c r="D644" s="1076" t="str">
        <f>IFERROR(__xludf.DUMMYFUNCTION("""COMPUTED_VALUE"""),"KUBOTA")</f>
        <v>KUBOTA</v>
      </c>
      <c r="E644" s="1076" t="str">
        <f>IFERROR(__xludf.DUMMYFUNCTION("""COMPUTED_VALUE"""),"NHẬT BẢN")</f>
        <v>NHẬT BẢN</v>
      </c>
      <c r="F644" s="1076">
        <f>IFERROR(__xludf.DUMMYFUNCTION("""COMPUTED_VALUE"""),2013)</f>
        <v>2013</v>
      </c>
      <c r="G644" s="1076" t="str">
        <f>IFERROR(__xludf.DUMMYFUNCTION("""COMPUTED_VALUE"""),"M6040")</f>
        <v>M6040</v>
      </c>
      <c r="H644" s="1076" t="str">
        <f>IFERROR(__xludf.DUMMYFUNCTION("""COMPUTED_VALUE"""),"62HP")</f>
        <v>62HP</v>
      </c>
      <c r="I644" s="1076" t="str">
        <f>IFERROR(__xludf.DUMMYFUNCTION("""COMPUTED_VALUE"""),"M6040SUD57648")</f>
        <v>M6040SUD57648</v>
      </c>
      <c r="J644" s="1076" t="str">
        <f>IFERROR(__xludf.DUMMYFUNCTION("""COMPUTED_VALUE"""),"CCN")</f>
        <v>CCN</v>
      </c>
      <c r="K644" s="1076">
        <f>IFERROR(__xludf.DUMMYFUNCTION("""COMPUTED_VALUE"""),3.5)</f>
        <v>3.5</v>
      </c>
      <c r="L644" s="1076"/>
    </row>
    <row r="645" customHeight="1" spans="1:12">
      <c r="A645" s="1089" t="str">
        <f>IFERROR(__xludf.DUMMYFUNCTION("""COMPUTED_VALUE"""),"XA2-MKE-005")</f>
        <v>XA2-MKE-005</v>
      </c>
      <c r="B645" s="1075" t="str">
        <f>IFERROR(__xludf.DUMMYFUNCTION("""COMPUTED_VALUE"""),"Máy cày KAM50")</f>
        <v>Máy cày KAM50</v>
      </c>
      <c r="C645" s="1076" t="str">
        <f>IFERROR(__xludf.DUMMYFUNCTION("""COMPUTED_VALUE"""),"Loại biên")</f>
        <v>Loại biên</v>
      </c>
      <c r="D645" s="1076" t="str">
        <f>IFERROR(__xludf.DUMMYFUNCTION("""COMPUTED_VALUE"""),"THACO")</f>
        <v>THACO</v>
      </c>
      <c r="E645" s="1076" t="str">
        <f>IFERROR(__xludf.DUMMYFUNCTION("""COMPUTED_VALUE"""),"VIỆT NAM")</f>
        <v>VIỆT NAM</v>
      </c>
      <c r="F645" s="1076">
        <f>IFERROR(__xludf.DUMMYFUNCTION("""COMPUTED_VALUE"""),2018)</f>
        <v>2018</v>
      </c>
      <c r="G645" s="1076" t="str">
        <f>IFERROR(__xludf.DUMMYFUNCTION("""COMPUTED_VALUE"""),"KAM50")</f>
        <v>KAM50</v>
      </c>
      <c r="H645" s="1076" t="str">
        <f>IFERROR(__xludf.DUMMYFUNCTION("""COMPUTED_VALUE"""),"50HP")</f>
        <v>50HP</v>
      </c>
      <c r="I645" s="1076" t="str">
        <f>IFERROR(__xludf.DUMMYFUNCTION("""COMPUTED_VALUE"""),"C000009")</f>
        <v>C000009</v>
      </c>
      <c r="J645" s="1076" t="str">
        <f>IFERROR(__xludf.DUMMYFUNCTION("""COMPUTED_VALUE"""),"CCN")</f>
        <v>CCN</v>
      </c>
      <c r="K645" s="1076">
        <f>IFERROR(__xludf.DUMMYFUNCTION("""COMPUTED_VALUE"""),2.5)</f>
        <v>2.5</v>
      </c>
      <c r="L645" s="1076"/>
    </row>
    <row r="646" customHeight="1" spans="1:12">
      <c r="A646" s="1089" t="str">
        <f>IFERROR(__xludf.DUMMYFUNCTION("""COMPUTED_VALUE"""),"XA2-MKE-001")</f>
        <v>XA2-MKE-001</v>
      </c>
      <c r="B646" s="1075" t="str">
        <f>IFERROR(__xludf.DUMMYFUNCTION("""COMPUTED_VALUE"""),"Máy cày KAM50")</f>
        <v>Máy cày KAM50</v>
      </c>
      <c r="C646" s="1076" t="str">
        <f>IFERROR(__xludf.DUMMYFUNCTION("""COMPUTED_VALUE"""),"Loại biên")</f>
        <v>Loại biên</v>
      </c>
      <c r="D646" s="1076" t="str">
        <f>IFERROR(__xludf.DUMMYFUNCTION("""COMPUTED_VALUE"""),"THACO")</f>
        <v>THACO</v>
      </c>
      <c r="E646" s="1076" t="str">
        <f>IFERROR(__xludf.DUMMYFUNCTION("""COMPUTED_VALUE"""),"VIỆT NAM")</f>
        <v>VIỆT NAM</v>
      </c>
      <c r="F646" s="1076">
        <f>IFERROR(__xludf.DUMMYFUNCTION("""COMPUTED_VALUE"""),2018)</f>
        <v>2018</v>
      </c>
      <c r="G646" s="1076" t="str">
        <f>IFERROR(__xludf.DUMMYFUNCTION("""COMPUTED_VALUE"""),"KAM50")</f>
        <v>KAM50</v>
      </c>
      <c r="H646" s="1076" t="str">
        <f>IFERROR(__xludf.DUMMYFUNCTION("""COMPUTED_VALUE"""),"50HP")</f>
        <v>50HP</v>
      </c>
      <c r="I646" s="1076" t="str">
        <f>IFERROR(__xludf.DUMMYFUNCTION("""COMPUTED_VALUE"""),"C000061")</f>
        <v>C000061</v>
      </c>
      <c r="J646" s="1076" t="str">
        <f>IFERROR(__xludf.DUMMYFUNCTION("""COMPUTED_VALUE"""),"CCN")</f>
        <v>CCN</v>
      </c>
      <c r="K646" s="1076">
        <f>IFERROR(__xludf.DUMMYFUNCTION("""COMPUTED_VALUE"""),2.5)</f>
        <v>2.5</v>
      </c>
      <c r="L646" s="1076"/>
    </row>
    <row r="647" customHeight="1" spans="1:12">
      <c r="A647" s="1089" t="str">
        <f>IFERROR(__xludf.DUMMYFUNCTION("""COMPUTED_VALUE"""),"XD1-CĐN-001")</f>
        <v>XD1-CĐN-001</v>
      </c>
      <c r="B647" s="1075" t="str">
        <f>IFERROR(__xludf.DUMMYFUNCTION("""COMPUTED_VALUE"""),"Máy cắt cỏ đẩy tay đa năng")</f>
        <v>Máy cắt cỏ đẩy tay đa năng</v>
      </c>
      <c r="C647" s="1076" t="str">
        <f>IFERROR(__xludf.DUMMYFUNCTION("""COMPUTED_VALUE"""),"XN Chuối DP1")</f>
        <v>XN Chuối DP1</v>
      </c>
      <c r="D647" s="1076" t="str">
        <f>IFERROR(__xludf.DUMMYFUNCTION("""COMPUTED_VALUE"""),"YAMASUKI")</f>
        <v>YAMASUKI</v>
      </c>
      <c r="E647" s="1076" t="str">
        <f>IFERROR(__xludf.DUMMYFUNCTION("""COMPUTED_VALUE"""),"CAMBODIA")</f>
        <v>CAMBODIA</v>
      </c>
      <c r="F647" s="1076">
        <f>IFERROR(__xludf.DUMMYFUNCTION("""COMPUTED_VALUE"""),2024)</f>
        <v>2024</v>
      </c>
      <c r="G647" s="1076" t="str">
        <f>IFERROR(__xludf.DUMMYFUNCTION("""COMPUTED_VALUE"""),"GX-35")</f>
        <v>GX-35</v>
      </c>
      <c r="H647" s="1076" t="str">
        <f>IFERROR(__xludf.DUMMYFUNCTION("""COMPUTED_VALUE"""),"1.3HP")</f>
        <v>1.3HP</v>
      </c>
      <c r="I647" s="1076" t="str">
        <f>IFERROR(__xludf.DUMMYFUNCTION("""COMPUTED_VALUE"""),"CCN")</f>
        <v>CCN</v>
      </c>
      <c r="J647" s="1076" t="str">
        <f>IFERROR(__xludf.DUMMYFUNCTION("""COMPUTED_VALUE"""),"CCN")</f>
        <v>CCN</v>
      </c>
      <c r="K647" s="1076">
        <f>IFERROR(__xludf.DUMMYFUNCTION("""COMPUTED_VALUE"""),0.6)</f>
        <v>0.6</v>
      </c>
      <c r="L647" s="1076"/>
    </row>
    <row r="648" customHeight="1" spans="1:12">
      <c r="A648" s="1089" t="str">
        <f>IFERROR(__xludf.DUMMYFUNCTION("""COMPUTED_VALUE"""),"XD1-CĐN-002")</f>
        <v>XD1-CĐN-002</v>
      </c>
      <c r="B648" s="1075" t="str">
        <f>IFERROR(__xludf.DUMMYFUNCTION("""COMPUTED_VALUE"""),"Máy cắt cỏ đẩy tay đa năng")</f>
        <v>Máy cắt cỏ đẩy tay đa năng</v>
      </c>
      <c r="C648" s="1076" t="str">
        <f>IFERROR(__xludf.DUMMYFUNCTION("""COMPUTED_VALUE"""),"XN Chuối DP1")</f>
        <v>XN Chuối DP1</v>
      </c>
      <c r="D648" s="1076" t="str">
        <f>IFERROR(__xludf.DUMMYFUNCTION("""COMPUTED_VALUE"""),"YAMASUKI")</f>
        <v>YAMASUKI</v>
      </c>
      <c r="E648" s="1076" t="str">
        <f>IFERROR(__xludf.DUMMYFUNCTION("""COMPUTED_VALUE"""),"CAMBODIA")</f>
        <v>CAMBODIA</v>
      </c>
      <c r="F648" s="1076">
        <f>IFERROR(__xludf.DUMMYFUNCTION("""COMPUTED_VALUE"""),2024)</f>
        <v>2024</v>
      </c>
      <c r="G648" s="1076" t="str">
        <f>IFERROR(__xludf.DUMMYFUNCTION("""COMPUTED_VALUE"""),"GX-35")</f>
        <v>GX-35</v>
      </c>
      <c r="H648" s="1076" t="str">
        <f>IFERROR(__xludf.DUMMYFUNCTION("""COMPUTED_VALUE"""),"1.3HP")</f>
        <v>1.3HP</v>
      </c>
      <c r="I648" s="1076" t="str">
        <f>IFERROR(__xludf.DUMMYFUNCTION("""COMPUTED_VALUE"""),"CCN")</f>
        <v>CCN</v>
      </c>
      <c r="J648" s="1076" t="str">
        <f>IFERROR(__xludf.DUMMYFUNCTION("""COMPUTED_VALUE"""),"CCN")</f>
        <v>CCN</v>
      </c>
      <c r="K648" s="1076">
        <f>IFERROR(__xludf.DUMMYFUNCTION("""COMPUTED_VALUE"""),0.6)</f>
        <v>0.6</v>
      </c>
      <c r="L648" s="1076"/>
    </row>
    <row r="649" customHeight="1" spans="1:12">
      <c r="A649" s="1089" t="str">
        <f>IFERROR(__xludf.DUMMYFUNCTION("""COMPUTED_VALUE"""),"XD2-CĐN-001")</f>
        <v>XD2-CĐN-001</v>
      </c>
      <c r="B649" s="1075" t="str">
        <f>IFERROR(__xludf.DUMMYFUNCTION("""COMPUTED_VALUE"""),"Máy cắt cỏ đẩy tay đa năng")</f>
        <v>Máy cắt cỏ đẩy tay đa năng</v>
      </c>
      <c r="C649" s="1076" t="str">
        <f>IFERROR(__xludf.DUMMYFUNCTION("""COMPUTED_VALUE"""),"XN Chuối DP2")</f>
        <v>XN Chuối DP2</v>
      </c>
      <c r="D649" s="1076" t="str">
        <f>IFERROR(__xludf.DUMMYFUNCTION("""COMPUTED_VALUE"""),"YAMASUKI")</f>
        <v>YAMASUKI</v>
      </c>
      <c r="E649" s="1076" t="str">
        <f>IFERROR(__xludf.DUMMYFUNCTION("""COMPUTED_VALUE"""),"CAMBODIA")</f>
        <v>CAMBODIA</v>
      </c>
      <c r="F649" s="1076">
        <f>IFERROR(__xludf.DUMMYFUNCTION("""COMPUTED_VALUE"""),2024)</f>
        <v>2024</v>
      </c>
      <c r="G649" s="1076" t="str">
        <f>IFERROR(__xludf.DUMMYFUNCTION("""COMPUTED_VALUE"""),"GX-35")</f>
        <v>GX-35</v>
      </c>
      <c r="H649" s="1076" t="str">
        <f>IFERROR(__xludf.DUMMYFUNCTION("""COMPUTED_VALUE"""),"1.3HP")</f>
        <v>1.3HP</v>
      </c>
      <c r="I649" s="1076" t="str">
        <f>IFERROR(__xludf.DUMMYFUNCTION("""COMPUTED_VALUE"""),"CCN")</f>
        <v>CCN</v>
      </c>
      <c r="J649" s="1076" t="str">
        <f>IFERROR(__xludf.DUMMYFUNCTION("""COMPUTED_VALUE"""),"CCN")</f>
        <v>CCN</v>
      </c>
      <c r="K649" s="1076">
        <f>IFERROR(__xludf.DUMMYFUNCTION("""COMPUTED_VALUE"""),0.6)</f>
        <v>0.6</v>
      </c>
      <c r="L649" s="1076"/>
    </row>
    <row r="650" customHeight="1" spans="1:12">
      <c r="A650" s="1089" t="str">
        <f>IFERROR(__xludf.DUMMYFUNCTION("""COMPUTED_VALUE"""),"XD2-CĐN-002")</f>
        <v>XD2-CĐN-002</v>
      </c>
      <c r="B650" s="1075" t="str">
        <f>IFERROR(__xludf.DUMMYFUNCTION("""COMPUTED_VALUE"""),"Máy cắt cỏ đẩy tay đa năng")</f>
        <v>Máy cắt cỏ đẩy tay đa năng</v>
      </c>
      <c r="C650" s="1076" t="str">
        <f>IFERROR(__xludf.DUMMYFUNCTION("""COMPUTED_VALUE"""),"XN Chuối DP2")</f>
        <v>XN Chuối DP2</v>
      </c>
      <c r="D650" s="1076" t="str">
        <f>IFERROR(__xludf.DUMMYFUNCTION("""COMPUTED_VALUE"""),"YAMASUKI")</f>
        <v>YAMASUKI</v>
      </c>
      <c r="E650" s="1076" t="str">
        <f>IFERROR(__xludf.DUMMYFUNCTION("""COMPUTED_VALUE"""),"CAMBODIA")</f>
        <v>CAMBODIA</v>
      </c>
      <c r="F650" s="1076">
        <f>IFERROR(__xludf.DUMMYFUNCTION("""COMPUTED_VALUE"""),2024)</f>
        <v>2024</v>
      </c>
      <c r="G650" s="1076" t="str">
        <f>IFERROR(__xludf.DUMMYFUNCTION("""COMPUTED_VALUE"""),"GX-35")</f>
        <v>GX-35</v>
      </c>
      <c r="H650" s="1076" t="str">
        <f>IFERROR(__xludf.DUMMYFUNCTION("""COMPUTED_VALUE"""),"1.3HP")</f>
        <v>1.3HP</v>
      </c>
      <c r="I650" s="1076" t="str">
        <f>IFERROR(__xludf.DUMMYFUNCTION("""COMPUTED_VALUE"""),"CCN")</f>
        <v>CCN</v>
      </c>
      <c r="J650" s="1076" t="str">
        <f>IFERROR(__xludf.DUMMYFUNCTION("""COMPUTED_VALUE"""),"CCN")</f>
        <v>CCN</v>
      </c>
      <c r="K650" s="1076">
        <f>IFERROR(__xludf.DUMMYFUNCTION("""COMPUTED_VALUE"""),0.6)</f>
        <v>0.6</v>
      </c>
      <c r="L650" s="1076"/>
    </row>
    <row r="651" customHeight="1" spans="1:12">
      <c r="A651" s="1089" t="str">
        <f>IFERROR(__xludf.DUMMYFUNCTION("""COMPUTED_VALUE"""),"XD3-CĐN-001")</f>
        <v>XD3-CĐN-001</v>
      </c>
      <c r="B651" s="1075" t="str">
        <f>IFERROR(__xludf.DUMMYFUNCTION("""COMPUTED_VALUE"""),"Máy cắt cỏ đẩy tay đa năng")</f>
        <v>Máy cắt cỏ đẩy tay đa năng</v>
      </c>
      <c r="C651" s="1076" t="str">
        <f>IFERROR(__xludf.DUMMYFUNCTION("""COMPUTED_VALUE"""),"XN Chuối DP3")</f>
        <v>XN Chuối DP3</v>
      </c>
      <c r="D651" s="1076" t="str">
        <f>IFERROR(__xludf.DUMMYFUNCTION("""COMPUTED_VALUE"""),"YAMASUKI")</f>
        <v>YAMASUKI</v>
      </c>
      <c r="E651" s="1076" t="str">
        <f>IFERROR(__xludf.DUMMYFUNCTION("""COMPUTED_VALUE"""),"CAMBODIA")</f>
        <v>CAMBODIA</v>
      </c>
      <c r="F651" s="1076">
        <f>IFERROR(__xludf.DUMMYFUNCTION("""COMPUTED_VALUE"""),2024)</f>
        <v>2024</v>
      </c>
      <c r="G651" s="1076" t="str">
        <f>IFERROR(__xludf.DUMMYFUNCTION("""COMPUTED_VALUE"""),"GX-35")</f>
        <v>GX-35</v>
      </c>
      <c r="H651" s="1076" t="str">
        <f>IFERROR(__xludf.DUMMYFUNCTION("""COMPUTED_VALUE"""),"1.3HP")</f>
        <v>1.3HP</v>
      </c>
      <c r="I651" s="1076" t="str">
        <f>IFERROR(__xludf.DUMMYFUNCTION("""COMPUTED_VALUE"""),"CCN")</f>
        <v>CCN</v>
      </c>
      <c r="J651" s="1076" t="str">
        <f>IFERROR(__xludf.DUMMYFUNCTION("""COMPUTED_VALUE"""),"CCN")</f>
        <v>CCN</v>
      </c>
      <c r="K651" s="1076">
        <f>IFERROR(__xludf.DUMMYFUNCTION("""COMPUTED_VALUE"""),0.6)</f>
        <v>0.6</v>
      </c>
      <c r="L651" s="1076"/>
    </row>
    <row r="652" customHeight="1" spans="1:12">
      <c r="A652" s="1089" t="str">
        <f>IFERROR(__xludf.DUMMYFUNCTION("""COMPUTED_VALUE"""),"XD3-CĐN-002")</f>
        <v>XD3-CĐN-002</v>
      </c>
      <c r="B652" s="1075" t="str">
        <f>IFERROR(__xludf.DUMMYFUNCTION("""COMPUTED_VALUE"""),"Máy cắt cỏ đẩy tay đa năng")</f>
        <v>Máy cắt cỏ đẩy tay đa năng</v>
      </c>
      <c r="C652" s="1076" t="str">
        <f>IFERROR(__xludf.DUMMYFUNCTION("""COMPUTED_VALUE"""),"XN Chuối DP3")</f>
        <v>XN Chuối DP3</v>
      </c>
      <c r="D652" s="1076" t="str">
        <f>IFERROR(__xludf.DUMMYFUNCTION("""COMPUTED_VALUE"""),"YAMASUKI")</f>
        <v>YAMASUKI</v>
      </c>
      <c r="E652" s="1076" t="str">
        <f>IFERROR(__xludf.DUMMYFUNCTION("""COMPUTED_VALUE"""),"CAMBODIA")</f>
        <v>CAMBODIA</v>
      </c>
      <c r="F652" s="1076">
        <f>IFERROR(__xludf.DUMMYFUNCTION("""COMPUTED_VALUE"""),2024)</f>
        <v>2024</v>
      </c>
      <c r="G652" s="1076" t="str">
        <f>IFERROR(__xludf.DUMMYFUNCTION("""COMPUTED_VALUE"""),"GX-35")</f>
        <v>GX-35</v>
      </c>
      <c r="H652" s="1076" t="str">
        <f>IFERROR(__xludf.DUMMYFUNCTION("""COMPUTED_VALUE"""),"1.3HP")</f>
        <v>1.3HP</v>
      </c>
      <c r="I652" s="1076" t="str">
        <f>IFERROR(__xludf.DUMMYFUNCTION("""COMPUTED_VALUE"""),"CCN")</f>
        <v>CCN</v>
      </c>
      <c r="J652" s="1076" t="str">
        <f>IFERROR(__xludf.DUMMYFUNCTION("""COMPUTED_VALUE"""),"CCN")</f>
        <v>CCN</v>
      </c>
      <c r="K652" s="1076">
        <f>IFERROR(__xludf.DUMMYFUNCTION("""COMPUTED_VALUE"""),0.6)</f>
        <v>0.6</v>
      </c>
      <c r="L652" s="1076"/>
    </row>
    <row r="653" customHeight="1" spans="1:12">
      <c r="A653" s="1089" t="str">
        <f>IFERROR(__xludf.DUMMYFUNCTION("""COMPUTED_VALUE"""),"XL3-CĐN-001")</f>
        <v>XL3-CĐN-001</v>
      </c>
      <c r="B653" s="1075" t="str">
        <f>IFERROR(__xludf.DUMMYFUNCTION("""COMPUTED_VALUE"""),"Máy cắt cỏ đẩy tay đa năng")</f>
        <v>Máy cắt cỏ đẩy tay đa năng</v>
      </c>
      <c r="C653" s="1076" t="str">
        <f>IFERROR(__xludf.DUMMYFUNCTION("""COMPUTED_VALUE"""),"XN Chuối LP3")</f>
        <v>XN Chuối LP3</v>
      </c>
      <c r="D653" s="1076" t="str">
        <f>IFERROR(__xludf.DUMMYFUNCTION("""COMPUTED_VALUE"""),"YAMASUKI")</f>
        <v>YAMASUKI</v>
      </c>
      <c r="E653" s="1076" t="str">
        <f>IFERROR(__xludf.DUMMYFUNCTION("""COMPUTED_VALUE"""),"CAMBODIA")</f>
        <v>CAMBODIA</v>
      </c>
      <c r="F653" s="1076">
        <f>IFERROR(__xludf.DUMMYFUNCTION("""COMPUTED_VALUE"""),2024)</f>
        <v>2024</v>
      </c>
      <c r="G653" s="1076" t="str">
        <f>IFERROR(__xludf.DUMMYFUNCTION("""COMPUTED_VALUE"""),"GX-35")</f>
        <v>GX-35</v>
      </c>
      <c r="H653" s="1076" t="str">
        <f>IFERROR(__xludf.DUMMYFUNCTION("""COMPUTED_VALUE"""),"1.3HP")</f>
        <v>1.3HP</v>
      </c>
      <c r="I653" s="1076" t="str">
        <f>IFERROR(__xludf.DUMMYFUNCTION("""COMPUTED_VALUE"""),"CCN")</f>
        <v>CCN</v>
      </c>
      <c r="J653" s="1076" t="str">
        <f>IFERROR(__xludf.DUMMYFUNCTION("""COMPUTED_VALUE"""),"CCN")</f>
        <v>CCN</v>
      </c>
      <c r="K653" s="1076">
        <f>IFERROR(__xludf.DUMMYFUNCTION("""COMPUTED_VALUE"""),0.6)</f>
        <v>0.6</v>
      </c>
      <c r="L653" s="1076"/>
    </row>
    <row r="654" customHeight="1" spans="1:12">
      <c r="A654" s="1089" t="str">
        <f>IFERROR(__xludf.DUMMYFUNCTION("""COMPUTED_VALUE"""),"XL3-CĐN-002")</f>
        <v>XL3-CĐN-002</v>
      </c>
      <c r="B654" s="1075" t="str">
        <f>IFERROR(__xludf.DUMMYFUNCTION("""COMPUTED_VALUE"""),"Máy cắt cỏ đẩy tay đa năng")</f>
        <v>Máy cắt cỏ đẩy tay đa năng</v>
      </c>
      <c r="C654" s="1076" t="str">
        <f>IFERROR(__xludf.DUMMYFUNCTION("""COMPUTED_VALUE"""),"XN Chuối LP3")</f>
        <v>XN Chuối LP3</v>
      </c>
      <c r="D654" s="1076" t="str">
        <f>IFERROR(__xludf.DUMMYFUNCTION("""COMPUTED_VALUE"""),"YAMASUKI")</f>
        <v>YAMASUKI</v>
      </c>
      <c r="E654" s="1076" t="str">
        <f>IFERROR(__xludf.DUMMYFUNCTION("""COMPUTED_VALUE"""),"CAMBODIA")</f>
        <v>CAMBODIA</v>
      </c>
      <c r="F654" s="1076">
        <f>IFERROR(__xludf.DUMMYFUNCTION("""COMPUTED_VALUE"""),2024)</f>
        <v>2024</v>
      </c>
      <c r="G654" s="1076" t="str">
        <f>IFERROR(__xludf.DUMMYFUNCTION("""COMPUTED_VALUE"""),"GX-35")</f>
        <v>GX-35</v>
      </c>
      <c r="H654" s="1076" t="str">
        <f>IFERROR(__xludf.DUMMYFUNCTION("""COMPUTED_VALUE"""),"1.3HP")</f>
        <v>1.3HP</v>
      </c>
      <c r="I654" s="1076" t="str">
        <f>IFERROR(__xludf.DUMMYFUNCTION("""COMPUTED_VALUE"""),"CCN")</f>
        <v>CCN</v>
      </c>
      <c r="J654" s="1076" t="str">
        <f>IFERROR(__xludf.DUMMYFUNCTION("""COMPUTED_VALUE"""),"CCN")</f>
        <v>CCN</v>
      </c>
      <c r="K654" s="1076">
        <f>IFERROR(__xludf.DUMMYFUNCTION("""COMPUTED_VALUE"""),0.6)</f>
        <v>0.6</v>
      </c>
      <c r="L654" s="1076"/>
    </row>
    <row r="655" customHeight="1" spans="1:12">
      <c r="A655" s="1089" t="str">
        <f>IFERROR(__xludf.DUMMYFUNCTION("""COMPUTED_VALUE"""),"XE ĐC ĐI KLH KHÁC")</f>
        <v>XE ĐC ĐI KLH KHÁC</v>
      </c>
      <c r="B655" s="1075" t="str">
        <f>IFERROR(__xludf.DUMMYFUNCTION("""COMPUTED_VALUE"""),"(Điều chuyển chữ xanh dương)")</f>
        <v>(Điều chuyển chữ xanh dương)</v>
      </c>
      <c r="C655" s="1076"/>
      <c r="D655" s="1076"/>
      <c r="E655" s="1076"/>
      <c r="F655" s="1076"/>
      <c r="G655" s="1076"/>
      <c r="H655" s="1076"/>
      <c r="I655" s="1076"/>
      <c r="J655" s="1076"/>
      <c r="K655" s="1076"/>
      <c r="L655" s="1076"/>
    </row>
    <row r="656" customHeight="1" spans="1:12">
      <c r="A656" s="1089" t="str">
        <f>IFERROR(__xludf.DUMMYFUNCTION("""COMPUTED_VALUE"""),"CHT-MĐA-068")</f>
        <v>CHT-MĐA-068</v>
      </c>
      <c r="B656" s="1075" t="str">
        <f>IFERROR(__xludf.DUMMYFUNCTION("""COMPUTED_VALUE"""),"Máy đào KOMATSU bánh xích gàu 0.8m3")</f>
        <v>Máy đào KOMATSU bánh xích gàu 0.8m3</v>
      </c>
      <c r="C656" s="1076" t="str">
        <f>IFERROR(__xludf.DUMMYFUNCTION("""COMPUTED_VALUE"""),"RAT OYD")</f>
        <v>RAT OYD</v>
      </c>
      <c r="D656" s="1076" t="str">
        <f>IFERROR(__xludf.DUMMYFUNCTION("""COMPUTED_VALUE"""),"KOMATSU")</f>
        <v>KOMATSU</v>
      </c>
      <c r="E656" s="1076" t="str">
        <f>IFERROR(__xludf.DUMMYFUNCTION("""COMPUTED_VALUE"""),"NHẬT BẢN")</f>
        <v>NHẬT BẢN</v>
      </c>
      <c r="F656" s="1076">
        <f>IFERROR(__xludf.DUMMYFUNCTION("""COMPUTED_VALUE"""),2004)</f>
        <v>2004</v>
      </c>
      <c r="G656" s="1076" t="str">
        <f>IFERROR(__xludf.DUMMYFUNCTION("""COMPUTED_VALUE"""),"PC200-7")</f>
        <v>PC200-7</v>
      </c>
      <c r="H656" s="1076" t="str">
        <f>IFERROR(__xludf.DUMMYFUNCTION("""COMPUTED_VALUE"""),"145HP")</f>
        <v>145HP</v>
      </c>
      <c r="I656" s="1076" t="str">
        <f>IFERROR(__xludf.DUMMYFUNCTION("""COMPUTED_VALUE"""),"KMTPC049P02251262")</f>
        <v>KMTPC049P02251262</v>
      </c>
      <c r="J656" s="1076" t="str">
        <f>IFERROR(__xludf.DUMMYFUNCTION("""COMPUTED_VALUE"""),"6D10226342017")</f>
        <v>6D10226342017</v>
      </c>
      <c r="K656" s="1076">
        <f>IFERROR(__xludf.DUMMYFUNCTION("""COMPUTED_VALUE"""),14)</f>
        <v>14</v>
      </c>
      <c r="L656" s="1076"/>
    </row>
    <row r="657" customHeight="1" spans="1:12">
      <c r="A657" s="1089" t="str">
        <f>IFERROR(__xludf.DUMMYFUNCTION("""COMPUTED_VALUE"""),"CNN-MKE-004")</f>
        <v>CNN-MKE-004</v>
      </c>
      <c r="B657" s="1075" t="str">
        <f>IFERROR(__xludf.DUMMYFUNCTION("""COMPUTED_VALUE"""),"Máy cày M9540")</f>
        <v>Máy cày M9540</v>
      </c>
      <c r="C657" s="1076" t="str">
        <f>IFERROR(__xludf.DUMMYFUNCTION("""COMPUTED_VALUE"""),"RAT OYD")</f>
        <v>RAT OYD</v>
      </c>
      <c r="D657" s="1076" t="str">
        <f>IFERROR(__xludf.DUMMYFUNCTION("""COMPUTED_VALUE"""),"KUBOTA")</f>
        <v>KUBOTA</v>
      </c>
      <c r="E657" s="1076" t="str">
        <f>IFERROR(__xludf.DUMMYFUNCTION("""COMPUTED_VALUE"""),"NHẬT BẢN")</f>
        <v>NHẬT BẢN</v>
      </c>
      <c r="F657" s="1076">
        <f>IFERROR(__xludf.DUMMYFUNCTION("""COMPUTED_VALUE"""),2011)</f>
        <v>2011</v>
      </c>
      <c r="G657" s="1076" t="str">
        <f>IFERROR(__xludf.DUMMYFUNCTION("""COMPUTED_VALUE"""),"9540")</f>
        <v>9540</v>
      </c>
      <c r="H657" s="1076" t="str">
        <f>IFERROR(__xludf.DUMMYFUNCTION("""COMPUTED_VALUE"""),"95HP")</f>
        <v>95HP</v>
      </c>
      <c r="I657" s="1076" t="str">
        <f>IFERROR(__xludf.DUMMYFUNCTION("""COMPUTED_VALUE"""),"77433")</f>
        <v>77433</v>
      </c>
      <c r="J657" s="1076" t="str">
        <f>IFERROR(__xludf.DUMMYFUNCTION("""COMPUTED_VALUE"""),"CCN")</f>
        <v>CCN</v>
      </c>
      <c r="K657" s="1076">
        <f>IFERROR(__xludf.DUMMYFUNCTION("""COMPUTED_VALUE"""),3.8)</f>
        <v>3.8</v>
      </c>
      <c r="L657" s="1076"/>
    </row>
    <row r="658" customHeight="1" spans="1:12">
      <c r="A658" s="1089" t="str">
        <f>IFERROR(__xludf.DUMMYFUNCTION("""COMPUTED_VALUE"""),"XD2-MKE-001")</f>
        <v>XD2-MKE-001</v>
      </c>
      <c r="B658" s="1075" t="str">
        <f>IFERROR(__xludf.DUMMYFUNCTION("""COMPUTED_VALUE"""),"Máy cày M9540")</f>
        <v>Máy cày M9540</v>
      </c>
      <c r="C658" s="1076" t="str">
        <f>IFERROR(__xludf.DUMMYFUNCTION("""COMPUTED_VALUE"""),"RAT OYD")</f>
        <v>RAT OYD</v>
      </c>
      <c r="D658" s="1076" t="str">
        <f>IFERROR(__xludf.DUMMYFUNCTION("""COMPUTED_VALUE"""),"KUBOTA")</f>
        <v>KUBOTA</v>
      </c>
      <c r="E658" s="1076" t="str">
        <f>IFERROR(__xludf.DUMMYFUNCTION("""COMPUTED_VALUE"""),"NHẬT BẢN")</f>
        <v>NHẬT BẢN</v>
      </c>
      <c r="F658" s="1076">
        <f>IFERROR(__xludf.DUMMYFUNCTION("""COMPUTED_VALUE"""),2013)</f>
        <v>2013</v>
      </c>
      <c r="G658" s="1076" t="str">
        <f>IFERROR(__xludf.DUMMYFUNCTION("""COMPUTED_VALUE"""),"9540")</f>
        <v>9540</v>
      </c>
      <c r="H658" s="1076" t="str">
        <f>IFERROR(__xludf.DUMMYFUNCTION("""COMPUTED_VALUE"""),"95HP")</f>
        <v>95HP</v>
      </c>
      <c r="I658" s="1076" t="str">
        <f>IFERROR(__xludf.DUMMYFUNCTION("""COMPUTED_VALUE"""),"173035")</f>
        <v>173035</v>
      </c>
      <c r="J658" s="1076" t="str">
        <f>IFERROR(__xludf.DUMMYFUNCTION("""COMPUTED_VALUE"""),"CCN")</f>
        <v>CCN</v>
      </c>
      <c r="K658" s="1076">
        <f>IFERROR(__xludf.DUMMYFUNCTION("""COMPUTED_VALUE"""),3.8)</f>
        <v>3.8</v>
      </c>
      <c r="L658" s="1076"/>
    </row>
    <row r="659" customHeight="1" spans="1:12">
      <c r="A659" s="1089" t="str">
        <f>IFERROR(__xludf.DUMMYFUNCTION("""COMPUTED_VALUE"""),"XB1-XRA-002")</f>
        <v>XB1-XRA-002</v>
      </c>
      <c r="B659" s="1075" t="str">
        <f>IFERROR(__xludf.DUMMYFUNCTION("""COMPUTED_VALUE"""),"Xe rải thức ăn FD1600B")</f>
        <v>Xe rải thức ăn FD1600B</v>
      </c>
      <c r="C659" s="1076" t="str">
        <f>IFERROR(__xludf.DUMMYFUNCTION("""COMPUTED_VALUE"""),"KLH SNOUL")</f>
        <v>KLH SNOUL</v>
      </c>
      <c r="D659" s="1076" t="str">
        <f>IFERROR(__xludf.DUMMYFUNCTION("""COMPUTED_VALUE"""),"THACO FORLAND")</f>
        <v>THACO FORLAND</v>
      </c>
      <c r="E659" s="1076" t="str">
        <f>IFERROR(__xludf.DUMMYFUNCTION("""COMPUTED_VALUE"""),"VIỆT NAM")</f>
        <v>VIỆT NAM</v>
      </c>
      <c r="F659" s="1076">
        <f>IFERROR(__xludf.DUMMYFUNCTION("""COMPUTED_VALUE"""),2017)</f>
        <v>2017</v>
      </c>
      <c r="G659" s="1076" t="str">
        <f>IFERROR(__xludf.DUMMYFUNCTION("""COMPUTED_VALUE"""),"FD1600B")</f>
        <v>FD1600B</v>
      </c>
      <c r="H659" s="1076" t="str">
        <f>IFERROR(__xludf.DUMMYFUNCTION("""COMPUTED_VALUE"""),"180HP")</f>
        <v>180HP</v>
      </c>
      <c r="I659" s="1076" t="str">
        <f>IFERROR(__xludf.DUMMYFUNCTION("""COMPUTED_VALUE"""),"RNHD1600DHC070081")</f>
        <v>RNHD1600DHC070081</v>
      </c>
      <c r="J659" s="1076" t="str">
        <f>IFERROR(__xludf.DUMMYFUNCTION("""COMPUTED_VALUE"""),"WP6180E326P15D005530")</f>
        <v>WP6180E326P15D005530</v>
      </c>
      <c r="K659" s="1076">
        <f>IFERROR(__xludf.DUMMYFUNCTION("""COMPUTED_VALUE"""),6)</f>
        <v>6</v>
      </c>
      <c r="L659" s="1076"/>
    </row>
    <row r="660" customHeight="1" spans="1:12">
      <c r="A660" s="1089" t="str">
        <f>IFERROR(__xludf.DUMMYFUNCTION("""COMPUTED_VALUE"""),"CKC-XCA-002")</f>
        <v>CKC-XCA-002</v>
      </c>
      <c r="B660" s="1075" t="str">
        <f>IFERROR(__xludf.DUMMYFUNCTION("""COMPUTED_VALUE"""),"Xe cẩu Zoomliom 25 tấn")</f>
        <v>Xe cẩu Zoomliom 25 tấn</v>
      </c>
      <c r="C660" s="1076" t="str">
        <f>IFERROR(__xludf.DUMMYFUNCTION("""COMPUTED_VALUE"""),"KLH SNOUL")</f>
        <v>KLH SNOUL</v>
      </c>
      <c r="D660" s="1076" t="str">
        <f>IFERROR(__xludf.DUMMYFUNCTION("""COMPUTED_VALUE"""),"ZOOMLION ")</f>
        <v>ZOOMLION </v>
      </c>
      <c r="E660" s="1076" t="str">
        <f>IFERROR(__xludf.DUMMYFUNCTION("""COMPUTED_VALUE"""),"CHINA")</f>
        <v>CHINA</v>
      </c>
      <c r="F660" s="1076">
        <f>IFERROR(__xludf.DUMMYFUNCTION("""COMPUTED_VALUE"""),2004)</f>
        <v>2004</v>
      </c>
      <c r="G660" s="1076" t="str">
        <f>IFERROR(__xludf.DUMMYFUNCTION("""COMPUTED_VALUE"""),"CRANE TRUCK QY30V")</f>
        <v>CRANE TRUCK QY30V</v>
      </c>
      <c r="H660" s="1076" t="str">
        <f>IFERROR(__xludf.DUMMYFUNCTION("""COMPUTED_VALUE"""),"30T")</f>
        <v>30T</v>
      </c>
      <c r="I660" s="1076" t="str">
        <f>IFERROR(__xludf.DUMMYFUNCTION("""COMPUTED_VALUE"""),"L5E5H3D22EA020978")</f>
        <v>L5E5H3D22EA020978</v>
      </c>
      <c r="J660" s="1076" t="str">
        <f>IFERROR(__xludf.DUMMYFUNCTION("""COMPUTED_VALUE"""),"CCN")</f>
        <v>CCN</v>
      </c>
      <c r="K660" s="1076"/>
      <c r="L660" s="1076"/>
    </row>
    <row r="661" customHeight="1" spans="1:12">
      <c r="A661" s="1089" t="str">
        <f>IFERROR(__xludf.DUMMYFUNCTION("""COMPUTED_VALUE"""),"-")</f>
        <v>-</v>
      </c>
      <c r="B661" s="1075" t="str">
        <f>IFERROR(__xludf.DUMMYFUNCTION("""COMPUTED_VALUE"""),"Máy kéo JD 7810")</f>
        <v>Máy kéo JD 7810</v>
      </c>
      <c r="C661" s="1076" t="str">
        <f>IFERROR(__xludf.DUMMYFUNCTION("""COMPUTED_VALUE"""),"KLH SNOUL")</f>
        <v>KLH SNOUL</v>
      </c>
      <c r="D661" s="1076" t="str">
        <f>IFERROR(__xludf.DUMMYFUNCTION("""COMPUTED_VALUE"""),"JOHN DEERE")</f>
        <v>JOHN DEERE</v>
      </c>
      <c r="E661" s="1076" t="str">
        <f>IFERROR(__xludf.DUMMYFUNCTION("""COMPUTED_VALUE"""),"Mỹ")</f>
        <v>Mỹ</v>
      </c>
      <c r="F661" s="1076">
        <f>IFERROR(__xludf.DUMMYFUNCTION("""COMPUTED_VALUE"""),1997)</f>
        <v>1997</v>
      </c>
      <c r="G661" s="1076" t="str">
        <f>IFERROR(__xludf.DUMMYFUNCTION("""COMPUTED_VALUE"""),"7810")</f>
        <v>7810</v>
      </c>
      <c r="H661" s="1076" t="str">
        <f>IFERROR(__xludf.DUMMYFUNCTION("""COMPUTED_VALUE"""),"155Hp")</f>
        <v>155Hp</v>
      </c>
      <c r="I661" s="1076" t="str">
        <f>IFERROR(__xludf.DUMMYFUNCTION("""COMPUTED_VALUE"""),"RW7810P001704")</f>
        <v>RW7810P001704</v>
      </c>
      <c r="J661" s="1076" t="str">
        <f>IFERROR(__xludf.DUMMYFUNCTION("""COMPUTED_VALUE"""),"RG6081T011143")</f>
        <v>RG6081T011143</v>
      </c>
      <c r="K661" s="1076"/>
      <c r="L661" s="1076"/>
    </row>
    <row r="662" customHeight="1" spans="1:12">
      <c r="A662" s="1089" t="str">
        <f>IFERROR(__xludf.DUMMYFUNCTION("""COMPUTED_VALUE"""),"TND-COT-008")</f>
        <v>TND-COT-008</v>
      </c>
      <c r="B662" s="1075" t="str">
        <f>IFERROR(__xludf.DUMMYFUNCTION("""COMPUTED_VALUE"""),"Xe container FUSO FZ49")</f>
        <v>Xe container FUSO FZ49</v>
      </c>
      <c r="C662" s="1076"/>
      <c r="D662" s="1076" t="str">
        <f>IFERROR(__xludf.DUMMYFUNCTION("""COMPUTED_VALUE"""),"FUSO")</f>
        <v>FUSO</v>
      </c>
      <c r="E662" s="1076"/>
      <c r="F662" s="1076"/>
      <c r="G662" s="1076" t="str">
        <f>IFERROR(__xludf.DUMMYFUNCTION("""COMPUTED_VALUE"""),"FZ49")</f>
        <v>FZ49</v>
      </c>
      <c r="H662" s="1076" t="str">
        <f>IFERROR(__xludf.DUMMYFUNCTION("""COMPUTED_VALUE"""),"280HP")</f>
        <v>280HP</v>
      </c>
      <c r="I662" s="1076" t="str">
        <f>IFERROR(__xludf.DUMMYFUNCTION("""COMPUTED_VALUE"""),"MEC2812SCGP028592")</f>
        <v>MEC2812SCGP028592</v>
      </c>
      <c r="J662" s="1076" t="str">
        <f>IFERROR(__xludf.DUMMYFUNCTION("""COMPUTED_VALUE"""),"400951D0028557")</f>
        <v>400951D0028557</v>
      </c>
      <c r="K662" s="1076">
        <f>IFERROR(__xludf.DUMMYFUNCTION("""COMPUTED_VALUE"""),0.49)</f>
        <v>0.49</v>
      </c>
      <c r="L662" s="1076"/>
    </row>
    <row r="663" customHeight="1" spans="1:12">
      <c r="A663" s="1089" t="str">
        <f>IFERROR(__xludf.DUMMYFUNCTION("""COMPUTED_VALUE"""),"TND-COT-009")</f>
        <v>TND-COT-009</v>
      </c>
      <c r="B663" s="1075" t="str">
        <f>IFERROR(__xludf.DUMMYFUNCTION("""COMPUTED_VALUE"""),"Xe container FUSO FZ49")</f>
        <v>Xe container FUSO FZ49</v>
      </c>
      <c r="C663" s="1076"/>
      <c r="D663" s="1076" t="str">
        <f>IFERROR(__xludf.DUMMYFUNCTION("""COMPUTED_VALUE"""),"FUSO")</f>
        <v>FUSO</v>
      </c>
      <c r="E663" s="1076"/>
      <c r="F663" s="1076"/>
      <c r="G663" s="1076" t="str">
        <f>IFERROR(__xludf.DUMMYFUNCTION("""COMPUTED_VALUE"""),"FZ49")</f>
        <v>FZ49</v>
      </c>
      <c r="H663" s="1076" t="str">
        <f>IFERROR(__xludf.DUMMYFUNCTION("""COMPUTED_VALUE"""),"280HP")</f>
        <v>280HP</v>
      </c>
      <c r="I663" s="1076" t="str">
        <f>IFERROR(__xludf.DUMMYFUNCTION("""COMPUTED_VALUE"""),"MEC2812SDGP029269")</f>
        <v>MEC2812SDGP029269</v>
      </c>
      <c r="J663" s="1076" t="str">
        <f>IFERROR(__xludf.DUMMYFUNCTION("""COMPUTED_VALUE"""),"400951D0029283")</f>
        <v>400951D0029283</v>
      </c>
      <c r="K663" s="1076">
        <f>IFERROR(__xludf.DUMMYFUNCTION("""COMPUTED_VALUE"""),0.49)</f>
        <v>0.49</v>
      </c>
      <c r="L663" s="1076"/>
    </row>
    <row r="664" customHeight="1" spans="1:12">
      <c r="A664" s="1089" t="str">
        <f>IFERROR(__xludf.DUMMYFUNCTION("""COMPUTED_VALUE"""),"CVC-BUS-001")</f>
        <v>CVC-BUS-001</v>
      </c>
      <c r="B664" s="1075" t="str">
        <f>IFERROR(__xludf.DUMMYFUNCTION("""COMPUTED_VALUE"""),"Xe đưa đón CBNV-47 chỗ")</f>
        <v>Xe đưa đón CBNV-47 chỗ</v>
      </c>
      <c r="C664" s="1076" t="str">
        <f>IFERROR(__xludf.DUMMYFUNCTION("""COMPUTED_VALUE"""),"Phòng GNVC")</f>
        <v>Phòng GNVC</v>
      </c>
      <c r="D664" s="1076" t="str">
        <f>IFERROR(__xludf.DUMMYFUNCTION("""COMPUTED_VALUE"""),"THACO")</f>
        <v>THACO</v>
      </c>
      <c r="E664" s="1076" t="str">
        <f>IFERROR(__xludf.DUMMYFUNCTION("""COMPUTED_VALUE"""),"VIỆT NAM")</f>
        <v>VIỆT NAM</v>
      </c>
      <c r="F664" s="1076">
        <f>IFERROR(__xludf.DUMMYFUNCTION("""COMPUTED_VALUE"""),2006)</f>
        <v>2006</v>
      </c>
      <c r="G664" s="1076" t="str">
        <f>IFERROR(__xludf.DUMMYFUNCTION("""COMPUTED_VALUE"""),"Ô tô khách")</f>
        <v>Ô tô khách</v>
      </c>
      <c r="H664" s="1076" t="str">
        <f>IFERROR(__xludf.DUMMYFUNCTION("""COMPUTED_VALUE"""),"238HP")</f>
        <v>238HP</v>
      </c>
      <c r="I664" s="1076" t="str">
        <f>IFERROR(__xludf.DUMMYFUNCTION("""COMPUTED_VALUE"""),"RNHTGB47A6C010081")</f>
        <v>RNHTGB47A6C010081</v>
      </c>
      <c r="J664" s="1076" t="str">
        <f>IFERROR(__xludf.DUMMYFUNCTION("""COMPUTED_VALUE"""),"YC6A24020A35QA600206")</f>
        <v>YC6A24020A35QA600206</v>
      </c>
      <c r="K664" s="1076">
        <f>IFERROR(__xludf.DUMMYFUNCTION("""COMPUTED_VALUE"""),0)</f>
        <v>0</v>
      </c>
      <c r="L664" s="1076"/>
    </row>
    <row r="665" customHeight="1" spans="1:12">
      <c r="A665" s="1089" t="str">
        <f>IFERROR(__xludf.DUMMYFUNCTION("""COMPUTED_VALUE"""),"CVC-BUS-002")</f>
        <v>CVC-BUS-002</v>
      </c>
      <c r="B665" s="1075" t="str">
        <f>IFERROR(__xludf.DUMMYFUNCTION("""COMPUTED_VALUE"""),"Xe đưa đón CBNV-47 chỗ")</f>
        <v>Xe đưa đón CBNV-47 chỗ</v>
      </c>
      <c r="C665" s="1076" t="str">
        <f>IFERROR(__xludf.DUMMYFUNCTION("""COMPUTED_VALUE"""),"Phòng GNVC")</f>
        <v>Phòng GNVC</v>
      </c>
      <c r="D665" s="1076" t="str">
        <f>IFERROR(__xludf.DUMMYFUNCTION("""COMPUTED_VALUE"""),"THACO")</f>
        <v>THACO</v>
      </c>
      <c r="E665" s="1076" t="str">
        <f>IFERROR(__xludf.DUMMYFUNCTION("""COMPUTED_VALUE"""),"VIỆT NAM")</f>
        <v>VIỆT NAM</v>
      </c>
      <c r="F665" s="1076">
        <f>IFERROR(__xludf.DUMMYFUNCTION("""COMPUTED_VALUE"""),2006)</f>
        <v>2006</v>
      </c>
      <c r="G665" s="1076" t="str">
        <f>IFERROR(__xludf.DUMMYFUNCTION("""COMPUTED_VALUE"""),"Ô tô khách")</f>
        <v>Ô tô khách</v>
      </c>
      <c r="H665" s="1076" t="str">
        <f>IFERROR(__xludf.DUMMYFUNCTION("""COMPUTED_VALUE"""),"238HP")</f>
        <v>238HP</v>
      </c>
      <c r="I665" s="1076" t="str">
        <f>IFERROR(__xludf.DUMMYFUNCTION("""COMPUTED_VALUE"""),"RNHTGB47A6C010084")</f>
        <v>RNHTGB47A6C010084</v>
      </c>
      <c r="J665" s="1076" t="str">
        <f>IFERROR(__xludf.DUMMYFUNCTION("""COMPUTED_VALUE"""),"YC6A24020A35QA600208")</f>
        <v>YC6A24020A35QA600208</v>
      </c>
      <c r="K665" s="1076">
        <f>IFERROR(__xludf.DUMMYFUNCTION("""COMPUTED_VALUE"""),0)</f>
        <v>0</v>
      </c>
      <c r="L665" s="1076"/>
    </row>
    <row r="666" customHeight="1" spans="1:12">
      <c r="A666" s="1089" t="str">
        <f>IFERROR(__xludf.DUMMYFUNCTION("""COMPUTED_VALUE"""),"CHT-CNA-001")</f>
        <v>CHT-CNA-001</v>
      </c>
      <c r="B666" s="1075" t="str">
        <f>IFERROR(__xludf.DUMMYFUNCTION("""COMPUTED_VALUE"""),"Thiết bị cày ngầm 3 trụ (M.ủi)")</f>
        <v>Thiết bị cày ngầm 3 trụ (M.ủi)</v>
      </c>
      <c r="C666" s="1076" t="str">
        <f>IFERROR(__xludf.DUMMYFUNCTION("""COMPUTED_VALUE"""),"CGTC DP")</f>
        <v>CGTC DP</v>
      </c>
      <c r="D666" s="1076" t="str">
        <f>IFERROR(__xludf.DUMMYFUNCTION("""COMPUTED_VALUE"""),"TRUNG QUỐC")</f>
        <v>TRUNG QUỐC</v>
      </c>
      <c r="E666" s="1076" t="str">
        <f>IFERROR(__xludf.DUMMYFUNCTION("""COMPUTED_VALUE"""),"3 trụ")</f>
        <v>3 trụ</v>
      </c>
      <c r="F666" s="1076"/>
      <c r="G666" s="1076" t="str">
        <f>IFERROR(__xludf.DUMMYFUNCTION("""COMPUTED_VALUE"""),"2022")</f>
        <v>2022</v>
      </c>
      <c r="H666" s="1076"/>
      <c r="I666" s="1076"/>
      <c r="J666" s="1076"/>
      <c r="K666" s="1076"/>
      <c r="L666" s="1076" t="str">
        <f>IFERROR(__xludf.DUMMYFUNCTION("""COMPUTED_VALUE"""),"KLH")</f>
        <v>KLH</v>
      </c>
    </row>
    <row r="667" customHeight="1" spans="1:12">
      <c r="A667" s="1089" t="str">
        <f>IFERROR(__xludf.DUMMYFUNCTION("""COMPUTED_VALUE"""),"CHT-CNA-002")</f>
        <v>CHT-CNA-002</v>
      </c>
      <c r="B667" s="1075" t="str">
        <f>IFERROR(__xludf.DUMMYFUNCTION("""COMPUTED_VALUE"""),"Thiết bị cày ngầm 3 trụ (M.ủi)")</f>
        <v>Thiết bị cày ngầm 3 trụ (M.ủi)</v>
      </c>
      <c r="C667" s="1076" t="str">
        <f>IFERROR(__xludf.DUMMYFUNCTION("""COMPUTED_VALUE"""),"CGTC DP")</f>
        <v>CGTC DP</v>
      </c>
      <c r="D667" s="1076" t="str">
        <f>IFERROR(__xludf.DUMMYFUNCTION("""COMPUTED_VALUE"""),"TRUNG QUỐC")</f>
        <v>TRUNG QUỐC</v>
      </c>
      <c r="E667" s="1076" t="str">
        <f>IFERROR(__xludf.DUMMYFUNCTION("""COMPUTED_VALUE"""),"3 trụ")</f>
        <v>3 trụ</v>
      </c>
      <c r="F667" s="1076"/>
      <c r="G667" s="1076"/>
      <c r="H667" s="1076"/>
      <c r="I667" s="1076"/>
      <c r="J667" s="1076"/>
      <c r="K667" s="1076"/>
      <c r="L667" s="1076" t="str">
        <f>IFERROR(__xludf.DUMMYFUNCTION("""COMPUTED_VALUE"""),"KLH")</f>
        <v>KLH</v>
      </c>
    </row>
    <row r="668" customHeight="1" spans="1:12">
      <c r="A668" s="1089" t="str">
        <f>IFERROR(__xludf.DUMMYFUNCTION("""COMPUTED_VALUE"""),"CHT-BDU-005")</f>
        <v>CHT-BDU-005</v>
      </c>
      <c r="B668" s="1075" t="str">
        <f>IFERROR(__xludf.DUMMYFUNCTION("""COMPUTED_VALUE"""),"Búa đục bê tông")</f>
        <v>Búa đục bê tông</v>
      </c>
      <c r="C668" s="1076" t="str">
        <f>IFERROR(__xludf.DUMMYFUNCTION("""COMPUTED_VALUE"""),"CGTC DP")</f>
        <v>CGTC DP</v>
      </c>
      <c r="D668" s="1076" t="str">
        <f>IFERROR(__xludf.DUMMYFUNCTION("""COMPUTED_VALUE"""),"TRUNG QUỐC")</f>
        <v>TRUNG QUỐC</v>
      </c>
      <c r="E668" s="1076" t="str">
        <f>IFERROR(__xludf.DUMMYFUNCTION("""COMPUTED_VALUE"""),"ETD2000")</f>
        <v>ETD2000</v>
      </c>
      <c r="F668" s="1076"/>
      <c r="G668" s="1076" t="str">
        <f>IFERROR(__xludf.DUMMYFUNCTION("""COMPUTED_VALUE"""),"2024")</f>
        <v>2024</v>
      </c>
      <c r="H668" s="1076"/>
      <c r="I668" s="1076" t="str">
        <f>IFERROR(__xludf.DUMMYFUNCTION("""COMPUTED_VALUE"""),"CNP1500D14HB1")</f>
        <v>CNP1500D14HB1</v>
      </c>
      <c r="J668" s="1076"/>
      <c r="K668" s="1076"/>
      <c r="L668" s="1076" t="str">
        <f>IFERROR(__xludf.DUMMYFUNCTION("""COMPUTED_VALUE"""),"KLH")</f>
        <v>KLH</v>
      </c>
    </row>
    <row r="669" customHeight="1" spans="1:12">
      <c r="A669" s="1089" t="str">
        <f>IFERROR(__xludf.DUMMYFUNCTION("""COMPUTED_VALUE"""),"CHT-CMĐ-001")</f>
        <v>CHT-CMĐ-001</v>
      </c>
      <c r="B669" s="1075" t="str">
        <f>IFERROR(__xludf.DUMMYFUNCTION("""COMPUTED_VALUE"""),"Cần dài M.Đào Sumitomo (16m)")</f>
        <v>Cần dài M.Đào Sumitomo (16m)</v>
      </c>
      <c r="C669" s="1076" t="str">
        <f>IFERROR(__xludf.DUMMYFUNCTION("""COMPUTED_VALUE"""),"CGTC DP")</f>
        <v>CGTC DP</v>
      </c>
      <c r="D669" s="1076" t="str">
        <f>IFERROR(__xludf.DUMMYFUNCTION("""COMPUTED_VALUE"""),"TRUNG QUỐC")</f>
        <v>TRUNG QUỐC</v>
      </c>
      <c r="E669" s="1076" t="str">
        <f>IFERROR(__xludf.DUMMYFUNCTION("""COMPUTED_VALUE"""),"16m")</f>
        <v>16m</v>
      </c>
      <c r="F669" s="1076"/>
      <c r="G669" s="1076"/>
      <c r="H669" s="1076"/>
      <c r="I669" s="1076"/>
      <c r="J669" s="1076"/>
      <c r="K669" s="1076"/>
      <c r="L669" s="1076" t="str">
        <f>IFERROR(__xludf.DUMMYFUNCTION("""COMPUTED_VALUE"""),"KLH")</f>
        <v>KLH</v>
      </c>
    </row>
    <row r="670" customHeight="1" spans="1:12">
      <c r="A670" s="1089" t="str">
        <f>IFERROR(__xludf.DUMMYFUNCTION("""COMPUTED_VALUE"""),"CHT-CMĐ-002")</f>
        <v>CHT-CMĐ-002</v>
      </c>
      <c r="B670" s="1075" t="str">
        <f>IFERROR(__xludf.DUMMYFUNCTION("""COMPUTED_VALUE"""),"Cần dài M.Đào Kobeco (18m)")</f>
        <v>Cần dài M.Đào Kobeco (18m)</v>
      </c>
      <c r="C670" s="1076" t="str">
        <f>IFERROR(__xludf.DUMMYFUNCTION("""COMPUTED_VALUE"""),"CGTC DP")</f>
        <v>CGTC DP</v>
      </c>
      <c r="D670" s="1076" t="str">
        <f>IFERROR(__xludf.DUMMYFUNCTION("""COMPUTED_VALUE"""),"TRUNG QUỐC")</f>
        <v>TRUNG QUỐC</v>
      </c>
      <c r="E670" s="1076" t="str">
        <f>IFERROR(__xludf.DUMMYFUNCTION("""COMPUTED_VALUE"""),"18m")</f>
        <v>18m</v>
      </c>
      <c r="F670" s="1076"/>
      <c r="G670" s="1076"/>
      <c r="H670" s="1076"/>
      <c r="I670" s="1076"/>
      <c r="J670" s="1076"/>
      <c r="K670" s="1076"/>
      <c r="L670" s="1076" t="str">
        <f>IFERROR(__xludf.DUMMYFUNCTION("""COMPUTED_VALUE"""),"KLH")</f>
        <v>KLH</v>
      </c>
    </row>
    <row r="671" customHeight="1" spans="1:12">
      <c r="A671" s="1089" t="str">
        <f>IFERROR(__xludf.DUMMYFUNCTION("""COMPUTED_VALUE"""),"CHT-ĐTL-001")</f>
        <v>CHT-ĐTL-001</v>
      </c>
      <c r="B671" s="1075" t="str">
        <f>IFERROR(__xludf.DUMMYFUNCTION("""COMPUTED_VALUE"""),"Đầm taluy (Đầm rung thủy lực)")</f>
        <v>Đầm taluy (Đầm rung thủy lực)</v>
      </c>
      <c r="C671" s="1076" t="str">
        <f>IFERROR(__xludf.DUMMYFUNCTION("""COMPUTED_VALUE"""),"CGTC DP")</f>
        <v>CGTC DP</v>
      </c>
      <c r="D671" s="1076" t="str">
        <f>IFERROR(__xludf.DUMMYFUNCTION("""COMPUTED_VALUE"""),"TRUNG QUỐC")</f>
        <v>TRUNG QUỐC</v>
      </c>
      <c r="E671" s="1076" t="str">
        <f>IFERROR(__xludf.DUMMYFUNCTION("""COMPUTED_VALUE"""),"Taluy")</f>
        <v>Taluy</v>
      </c>
      <c r="F671" s="1076"/>
      <c r="G671" s="1076"/>
      <c r="H671" s="1076"/>
      <c r="I671" s="1076"/>
      <c r="J671" s="1076"/>
      <c r="K671" s="1076"/>
      <c r="L671" s="1076" t="str">
        <f>IFERROR(__xludf.DUMMYFUNCTION("""COMPUTED_VALUE"""),"KLH")</f>
        <v>KLH</v>
      </c>
    </row>
    <row r="672" customHeight="1" spans="1:12">
      <c r="A672" s="1089" t="str">
        <f>IFERROR(__xludf.DUMMYFUNCTION("""COMPUTED_VALUE"""),"CHT-GĐH-007")</f>
        <v>CHT-GĐH-007</v>
      </c>
      <c r="B672" s="1075" t="str">
        <f>IFERROR(__xludf.DUMMYFUNCTION("""COMPUTED_VALUE"""),"Gàu định hình M0.6")</f>
        <v>Gàu định hình M0.6</v>
      </c>
      <c r="C672" s="1076" t="str">
        <f>IFERROR(__xludf.DUMMYFUNCTION("""COMPUTED_VALUE"""),"CGTC DP")</f>
        <v>CGTC DP</v>
      </c>
      <c r="D672" s="1076" t="str">
        <f>IFERROR(__xludf.DUMMYFUNCTION("""COMPUTED_VALUE"""),"THACO AGRI")</f>
        <v>THACO AGRI</v>
      </c>
      <c r="E672" s="1076" t="str">
        <f>IFERROR(__xludf.DUMMYFUNCTION("""COMPUTED_VALUE"""),"M0.6")</f>
        <v>M0.6</v>
      </c>
      <c r="F672" s="1076"/>
      <c r="G672" s="1076" t="str">
        <f>IFERROR(__xludf.DUMMYFUNCTION("""COMPUTED_VALUE"""),"2024")</f>
        <v>2024</v>
      </c>
      <c r="H672" s="1076" t="str">
        <f>IFERROR(__xludf.DUMMYFUNCTION("""COMPUTED_VALUE"""),"700x200x500")</f>
        <v>700x200x500</v>
      </c>
      <c r="I672" s="1076"/>
      <c r="J672" s="1076"/>
      <c r="K672" s="1076"/>
      <c r="L672" s="1076" t="str">
        <f>IFERROR(__xludf.DUMMYFUNCTION("""COMPUTED_VALUE"""),"KLH")</f>
        <v>KLH</v>
      </c>
    </row>
    <row r="673" customHeight="1" spans="1:12">
      <c r="A673" s="1089" t="str">
        <f>IFERROR(__xludf.DUMMYFUNCTION("""COMPUTED_VALUE"""),"CHT-GĐH-010")</f>
        <v>CHT-GĐH-010</v>
      </c>
      <c r="B673" s="1075" t="str">
        <f>IFERROR(__xludf.DUMMYFUNCTION("""COMPUTED_VALUE"""),"Gàu định hình M1")</f>
        <v>Gàu định hình M1</v>
      </c>
      <c r="C673" s="1076" t="str">
        <f>IFERROR(__xludf.DUMMYFUNCTION("""COMPUTED_VALUE"""),"CGTC DP")</f>
        <v>CGTC DP</v>
      </c>
      <c r="D673" s="1076" t="str">
        <f>IFERROR(__xludf.DUMMYFUNCTION("""COMPUTED_VALUE"""),"THACO AGRI")</f>
        <v>THACO AGRI</v>
      </c>
      <c r="E673" s="1076" t="str">
        <f>IFERROR(__xludf.DUMMYFUNCTION("""COMPUTED_VALUE"""),"M1")</f>
        <v>M1</v>
      </c>
      <c r="F673" s="1076"/>
      <c r="G673" s="1076" t="str">
        <f>IFERROR(__xludf.DUMMYFUNCTION("""COMPUTED_VALUE"""),"2024")</f>
        <v>2024</v>
      </c>
      <c r="H673" s="1076" t="str">
        <f>IFERROR(__xludf.DUMMYFUNCTION("""COMPUTED_VALUE"""),"12x30x80")</f>
        <v>12x30x80</v>
      </c>
      <c r="I673" s="1076"/>
      <c r="J673" s="1076"/>
      <c r="K673" s="1076"/>
      <c r="L673" s="1076" t="str">
        <f>IFERROR(__xludf.DUMMYFUNCTION("""COMPUTED_VALUE"""),"KLH")</f>
        <v>KLH</v>
      </c>
    </row>
    <row r="674" customHeight="1" spans="1:12">
      <c r="A674" s="1089" t="str">
        <f>IFERROR(__xludf.DUMMYFUNCTION("""COMPUTED_VALUE"""),"CHT-GĐH-017")</f>
        <v>CHT-GĐH-017</v>
      </c>
      <c r="B674" s="1075" t="str">
        <f>IFERROR(__xludf.DUMMYFUNCTION("""COMPUTED_VALUE"""),"Gàu định hình M0.6 (Cải tiến)")</f>
        <v>Gàu định hình M0.6 (Cải tiến)</v>
      </c>
      <c r="C674" s="1076" t="str">
        <f>IFERROR(__xludf.DUMMYFUNCTION("""COMPUTED_VALUE"""),"CGTC DP")</f>
        <v>CGTC DP</v>
      </c>
      <c r="D674" s="1076" t="str">
        <f>IFERROR(__xludf.DUMMYFUNCTION("""COMPUTED_VALUE"""),"THACO AGRI")</f>
        <v>THACO AGRI</v>
      </c>
      <c r="E674" s="1076" t="str">
        <f>IFERROR(__xludf.DUMMYFUNCTION("""COMPUTED_VALUE"""),"M0.6")</f>
        <v>M0.6</v>
      </c>
      <c r="F674" s="1076"/>
      <c r="G674" s="1076" t="str">
        <f>IFERROR(__xludf.DUMMYFUNCTION("""COMPUTED_VALUE"""),"2024")</f>
        <v>2024</v>
      </c>
      <c r="H674" s="1076" t="str">
        <f>IFERROR(__xludf.DUMMYFUNCTION("""COMPUTED_VALUE"""),"800x800x200")</f>
        <v>800x800x200</v>
      </c>
      <c r="I674" s="1076"/>
      <c r="J674" s="1076"/>
      <c r="K674" s="1076"/>
      <c r="L674" s="1076" t="str">
        <f>IFERROR(__xludf.DUMMYFUNCTION("""COMPUTED_VALUE"""),"KLH")</f>
        <v>KLH</v>
      </c>
    </row>
    <row r="675" customHeight="1" spans="1:12">
      <c r="A675" s="1089" t="str">
        <f>IFERROR(__xludf.DUMMYFUNCTION("""COMPUTED_VALUE"""),"CHT-GĐH-018")</f>
        <v>CHT-GĐH-018</v>
      </c>
      <c r="B675" s="1075" t="str">
        <f>IFERROR(__xludf.DUMMYFUNCTION("""COMPUTED_VALUE"""),"Gàu định hình M0.6 (Cải tiến)")</f>
        <v>Gàu định hình M0.6 (Cải tiến)</v>
      </c>
      <c r="C675" s="1076" t="str">
        <f>IFERROR(__xludf.DUMMYFUNCTION("""COMPUTED_VALUE"""),"CGTC DP")</f>
        <v>CGTC DP</v>
      </c>
      <c r="D675" s="1076" t="str">
        <f>IFERROR(__xludf.DUMMYFUNCTION("""COMPUTED_VALUE"""),"THACO AGRI")</f>
        <v>THACO AGRI</v>
      </c>
      <c r="E675" s="1076" t="str">
        <f>IFERROR(__xludf.DUMMYFUNCTION("""COMPUTED_VALUE"""),"M0.6")</f>
        <v>M0.6</v>
      </c>
      <c r="F675" s="1076"/>
      <c r="G675" s="1076" t="str">
        <f>IFERROR(__xludf.DUMMYFUNCTION("""COMPUTED_VALUE"""),"2024")</f>
        <v>2024</v>
      </c>
      <c r="H675" s="1076" t="str">
        <f>IFERROR(__xludf.DUMMYFUNCTION("""COMPUTED_VALUE"""),"800x800x200")</f>
        <v>800x800x200</v>
      </c>
      <c r="I675" s="1076"/>
      <c r="J675" s="1076"/>
      <c r="K675" s="1076"/>
      <c r="L675" s="1076" t="str">
        <f>IFERROR(__xludf.DUMMYFUNCTION("""COMPUTED_VALUE"""),"KLH")</f>
        <v>KLH</v>
      </c>
    </row>
    <row r="676" customHeight="1" spans="1:12">
      <c r="A676" s="1089" t="str">
        <f>IFERROR(__xludf.DUMMYFUNCTION("""COMPUTED_VALUE"""),"CHT-GĐH-019")</f>
        <v>CHT-GĐH-019</v>
      </c>
      <c r="B676" s="1075" t="str">
        <f>IFERROR(__xludf.DUMMYFUNCTION("""COMPUTED_VALUE"""),"Gàu định hình M0.6 (Cải tiến)")</f>
        <v>Gàu định hình M0.6 (Cải tiến)</v>
      </c>
      <c r="C676" s="1076" t="str">
        <f>IFERROR(__xludf.DUMMYFUNCTION("""COMPUTED_VALUE"""),"CGTC DP")</f>
        <v>CGTC DP</v>
      </c>
      <c r="D676" s="1076" t="str">
        <f>IFERROR(__xludf.DUMMYFUNCTION("""COMPUTED_VALUE"""),"THACO AGRI")</f>
        <v>THACO AGRI</v>
      </c>
      <c r="E676" s="1076" t="str">
        <f>IFERROR(__xludf.DUMMYFUNCTION("""COMPUTED_VALUE"""),"M0.6")</f>
        <v>M0.6</v>
      </c>
      <c r="F676" s="1076"/>
      <c r="G676" s="1076" t="str">
        <f>IFERROR(__xludf.DUMMYFUNCTION("""COMPUTED_VALUE"""),"2024")</f>
        <v>2024</v>
      </c>
      <c r="H676" s="1076" t="str">
        <f>IFERROR(__xludf.DUMMYFUNCTION("""COMPUTED_VALUE"""),"800x800x200")</f>
        <v>800x800x200</v>
      </c>
      <c r="I676" s="1076"/>
      <c r="J676" s="1076"/>
      <c r="K676" s="1076"/>
      <c r="L676" s="1076" t="str">
        <f>IFERROR(__xludf.DUMMYFUNCTION("""COMPUTED_VALUE"""),"KLH")</f>
        <v>KLH</v>
      </c>
    </row>
    <row r="677" customHeight="1" spans="1:12">
      <c r="A677" s="1089" t="str">
        <f>IFERROR(__xludf.DUMMYFUNCTION("""COMPUTED_VALUE"""),"CHT-GĐH-020")</f>
        <v>CHT-GĐH-020</v>
      </c>
      <c r="B677" s="1075" t="str">
        <f>IFERROR(__xludf.DUMMYFUNCTION("""COMPUTED_VALUE"""),"Gàu định hình M0.6 (Cải tiến)")</f>
        <v>Gàu định hình M0.6 (Cải tiến)</v>
      </c>
      <c r="C677" s="1076" t="str">
        <f>IFERROR(__xludf.DUMMYFUNCTION("""COMPUTED_VALUE"""),"CGTC DP")</f>
        <v>CGTC DP</v>
      </c>
      <c r="D677" s="1076" t="str">
        <f>IFERROR(__xludf.DUMMYFUNCTION("""COMPUTED_VALUE"""),"THACO AGRI")</f>
        <v>THACO AGRI</v>
      </c>
      <c r="E677" s="1076" t="str">
        <f>IFERROR(__xludf.DUMMYFUNCTION("""COMPUTED_VALUE"""),"M0.6")</f>
        <v>M0.6</v>
      </c>
      <c r="F677" s="1076"/>
      <c r="G677" s="1076" t="str">
        <f>IFERROR(__xludf.DUMMYFUNCTION("""COMPUTED_VALUE"""),"2024")</f>
        <v>2024</v>
      </c>
      <c r="H677" s="1076" t="str">
        <f>IFERROR(__xludf.DUMMYFUNCTION("""COMPUTED_VALUE"""),"800x800x200")</f>
        <v>800x800x200</v>
      </c>
      <c r="I677" s="1076"/>
      <c r="J677" s="1076"/>
      <c r="K677" s="1076"/>
      <c r="L677" s="1076" t="str">
        <f>IFERROR(__xludf.DUMMYFUNCTION("""COMPUTED_VALUE"""),"KLH")</f>
        <v>KLH</v>
      </c>
    </row>
    <row r="678" customHeight="1" spans="1:12">
      <c r="A678" s="1089" t="str">
        <f>IFERROR(__xludf.DUMMYFUNCTION("""COMPUTED_VALUE"""),"CHT-GĐH-021")</f>
        <v>CHT-GĐH-021</v>
      </c>
      <c r="B678" s="1075" t="str">
        <f>IFERROR(__xludf.DUMMYFUNCTION("""COMPUTED_VALUE"""),"Gàu định hình đào mương thoát nước")</f>
        <v>Gàu định hình đào mương thoát nước</v>
      </c>
      <c r="C678" s="1076" t="str">
        <f>IFERROR(__xludf.DUMMYFUNCTION("""COMPUTED_VALUE"""),"CGTC DP")</f>
        <v>CGTC DP</v>
      </c>
      <c r="D678" s="1076" t="str">
        <f>IFERROR(__xludf.DUMMYFUNCTION("""COMPUTED_VALUE"""),"THACO AGRI")</f>
        <v>THACO AGRI</v>
      </c>
      <c r="E678" s="1076"/>
      <c r="F678" s="1076"/>
      <c r="G678" s="1076" t="str">
        <f>IFERROR(__xludf.DUMMYFUNCTION("""COMPUTED_VALUE"""),"2024")</f>
        <v>2024</v>
      </c>
      <c r="H678" s="1076" t="str">
        <f>IFERROR(__xludf.DUMMYFUNCTION("""COMPUTED_VALUE"""),"200x200x400")</f>
        <v>200x200x400</v>
      </c>
      <c r="I678" s="1076"/>
      <c r="J678" s="1076"/>
      <c r="K678" s="1076"/>
      <c r="L678" s="1076" t="str">
        <f>IFERROR(__xludf.DUMMYFUNCTION("""COMPUTED_VALUE"""),"KLH")</f>
        <v>KLH</v>
      </c>
    </row>
    <row r="679" customHeight="1" spans="1:12">
      <c r="A679" s="1089" t="str">
        <f>IFERROR(__xludf.DUMMYFUNCTION("""COMPUTED_VALUE"""),"CHT-GĐH-022")</f>
        <v>CHT-GĐH-022</v>
      </c>
      <c r="B679" s="1075" t="str">
        <f>IFERROR(__xludf.DUMMYFUNCTION("""COMPUTED_VALUE"""),"Gàu định hình đào mương thoát nước")</f>
        <v>Gàu định hình đào mương thoát nước</v>
      </c>
      <c r="C679" s="1076" t="str">
        <f>IFERROR(__xludf.DUMMYFUNCTION("""COMPUTED_VALUE"""),"CGTC DP")</f>
        <v>CGTC DP</v>
      </c>
      <c r="D679" s="1076" t="str">
        <f>IFERROR(__xludf.DUMMYFUNCTION("""COMPUTED_VALUE"""),"THACO AGRI")</f>
        <v>THACO AGRI</v>
      </c>
      <c r="E679" s="1076"/>
      <c r="F679" s="1076"/>
      <c r="G679" s="1076" t="str">
        <f>IFERROR(__xludf.DUMMYFUNCTION("""COMPUTED_VALUE"""),"2024")</f>
        <v>2024</v>
      </c>
      <c r="H679" s="1076" t="str">
        <f>IFERROR(__xludf.DUMMYFUNCTION("""COMPUTED_VALUE"""),"200x350x400")</f>
        <v>200x350x400</v>
      </c>
      <c r="I679" s="1076"/>
      <c r="J679" s="1076"/>
      <c r="K679" s="1076"/>
      <c r="L679" s="1076" t="str">
        <f>IFERROR(__xludf.DUMMYFUNCTION("""COMPUTED_VALUE"""),"KLH")</f>
        <v>KLH</v>
      </c>
    </row>
    <row r="680" customHeight="1" spans="1:12">
      <c r="A680" s="1089" t="str">
        <f>IFERROR(__xludf.DUMMYFUNCTION("""COMPUTED_VALUE"""),"CHT-GĐH-023")</f>
        <v>CHT-GĐH-023</v>
      </c>
      <c r="B680" s="1075" t="str">
        <f>IFERROR(__xludf.DUMMYFUNCTION("""COMPUTED_VALUE"""),"Gàu định hình đào mương thoát nước")</f>
        <v>Gàu định hình đào mương thoát nước</v>
      </c>
      <c r="C680" s="1076" t="str">
        <f>IFERROR(__xludf.DUMMYFUNCTION("""COMPUTED_VALUE"""),"CGTC DP")</f>
        <v>CGTC DP</v>
      </c>
      <c r="D680" s="1076" t="str">
        <f>IFERROR(__xludf.DUMMYFUNCTION("""COMPUTED_VALUE"""),"THACO AGRI")</f>
        <v>THACO AGRI</v>
      </c>
      <c r="E680" s="1076"/>
      <c r="F680" s="1076"/>
      <c r="G680" s="1076" t="str">
        <f>IFERROR(__xludf.DUMMYFUNCTION("""COMPUTED_VALUE"""),"2024")</f>
        <v>2024</v>
      </c>
      <c r="H680" s="1076" t="str">
        <f>IFERROR(__xludf.DUMMYFUNCTION("""COMPUTED_VALUE"""),"350x200x400")</f>
        <v>350x200x400</v>
      </c>
      <c r="I680" s="1076"/>
      <c r="J680" s="1076"/>
      <c r="K680" s="1076"/>
      <c r="L680" s="1076" t="str">
        <f>IFERROR(__xludf.DUMMYFUNCTION("""COMPUTED_VALUE"""),"KLH")</f>
        <v>KLH</v>
      </c>
    </row>
    <row r="681" customHeight="1" spans="1:12">
      <c r="A681" s="1089" t="str">
        <f>IFERROR(__xludf.DUMMYFUNCTION("""COMPUTED_VALUE"""),"CHT-GĐH-024")</f>
        <v>CHT-GĐH-024</v>
      </c>
      <c r="B681" s="1075" t="str">
        <f>IFERROR(__xludf.DUMMYFUNCTION("""COMPUTED_VALUE"""),"Gàu định hình đào mương thoát nước")</f>
        <v>Gàu định hình đào mương thoát nước</v>
      </c>
      <c r="C681" s="1076" t="str">
        <f>IFERROR(__xludf.DUMMYFUNCTION("""COMPUTED_VALUE"""),"CGTC DP")</f>
        <v>CGTC DP</v>
      </c>
      <c r="D681" s="1076" t="str">
        <f>IFERROR(__xludf.DUMMYFUNCTION("""COMPUTED_VALUE"""),"THACO AGRI")</f>
        <v>THACO AGRI</v>
      </c>
      <c r="E681" s="1076"/>
      <c r="F681" s="1076"/>
      <c r="G681" s="1076" t="str">
        <f>IFERROR(__xludf.DUMMYFUNCTION("""COMPUTED_VALUE"""),"2024")</f>
        <v>2024</v>
      </c>
      <c r="H681" s="1076" t="str">
        <f>IFERROR(__xludf.DUMMYFUNCTION("""COMPUTED_VALUE"""),"350x200x400")</f>
        <v>350x200x400</v>
      </c>
      <c r="I681" s="1076"/>
      <c r="J681" s="1076"/>
      <c r="K681" s="1076"/>
      <c r="L681" s="1076" t="str">
        <f>IFERROR(__xludf.DUMMYFUNCTION("""COMPUTED_VALUE"""),"KLH")</f>
        <v>KLH</v>
      </c>
    </row>
    <row r="682" customHeight="1" spans="1:12">
      <c r="A682" s="1089" t="str">
        <f>IFERROR(__xludf.DUMMYFUNCTION("""COMPUTED_VALUE"""),"CHT-GĐH-025")</f>
        <v>CHT-GĐH-025</v>
      </c>
      <c r="B682" s="1075" t="str">
        <f>IFERROR(__xludf.DUMMYFUNCTION("""COMPUTED_VALUE"""),"Gàu định hình đào mương thoát nước")</f>
        <v>Gàu định hình đào mương thoát nước</v>
      </c>
      <c r="C682" s="1076" t="str">
        <f>IFERROR(__xludf.DUMMYFUNCTION("""COMPUTED_VALUE"""),"CGTC DP")</f>
        <v>CGTC DP</v>
      </c>
      <c r="D682" s="1076" t="str">
        <f>IFERROR(__xludf.DUMMYFUNCTION("""COMPUTED_VALUE"""),"THACO AGRI")</f>
        <v>THACO AGRI</v>
      </c>
      <c r="E682" s="1076"/>
      <c r="F682" s="1076"/>
      <c r="G682" s="1076" t="str">
        <f>IFERROR(__xludf.DUMMYFUNCTION("""COMPUTED_VALUE"""),"2024")</f>
        <v>2024</v>
      </c>
      <c r="H682" s="1076" t="str">
        <f>IFERROR(__xludf.DUMMYFUNCTION("""COMPUTED_VALUE"""),"350x200x400")</f>
        <v>350x200x400</v>
      </c>
      <c r="I682" s="1076"/>
      <c r="J682" s="1076"/>
      <c r="K682" s="1076"/>
      <c r="L682" s="1076" t="str">
        <f>IFERROR(__xludf.DUMMYFUNCTION("""COMPUTED_VALUE"""),"KLH")</f>
        <v>KLH</v>
      </c>
    </row>
    <row r="683" customHeight="1" spans="1:12">
      <c r="A683" s="1089" t="str">
        <f>IFERROR(__xludf.DUMMYFUNCTION("""COMPUTED_VALUE"""),"CHT-GĐH-028")</f>
        <v>CHT-GĐH-028</v>
      </c>
      <c r="B683" s="1075" t="str">
        <f>IFERROR(__xludf.DUMMYFUNCTION("""COMPUTED_VALUE"""),"Gàu định hình đào mương thoát nước")</f>
        <v>Gàu định hình đào mương thoát nước</v>
      </c>
      <c r="C683" s="1076" t="str">
        <f>IFERROR(__xludf.DUMMYFUNCTION("""COMPUTED_VALUE"""),"CGTC DP")</f>
        <v>CGTC DP</v>
      </c>
      <c r="D683" s="1076" t="str">
        <f>IFERROR(__xludf.DUMMYFUNCTION("""COMPUTED_VALUE"""),"THACO AGRI")</f>
        <v>THACO AGRI</v>
      </c>
      <c r="E683" s="1076"/>
      <c r="F683" s="1076"/>
      <c r="G683" s="1076" t="str">
        <f>IFERROR(__xludf.DUMMYFUNCTION("""COMPUTED_VALUE"""),"2024")</f>
        <v>2024</v>
      </c>
      <c r="H683" s="1076" t="str">
        <f>IFERROR(__xludf.DUMMYFUNCTION("""COMPUTED_VALUE"""),"1200x1000x400")</f>
        <v>1200x1000x400</v>
      </c>
      <c r="I683" s="1076"/>
      <c r="J683" s="1076"/>
      <c r="K683" s="1076"/>
      <c r="L683" s="1076" t="str">
        <f>IFERROR(__xludf.DUMMYFUNCTION("""COMPUTED_VALUE"""),"KLH")</f>
        <v>KLH</v>
      </c>
    </row>
    <row r="684" customHeight="1" spans="1:12">
      <c r="A684" s="1089" t="str">
        <f>IFERROR(__xludf.DUMMYFUNCTION("""COMPUTED_VALUE"""),"CHT-GĐH-031")</f>
        <v>CHT-GĐH-031</v>
      </c>
      <c r="B684" s="1075" t="str">
        <f>IFERROR(__xludf.DUMMYFUNCTION("""COMPUTED_VALUE"""),"Gàu định hình đào mương thoát nước")</f>
        <v>Gàu định hình đào mương thoát nước</v>
      </c>
      <c r="C684" s="1076" t="str">
        <f>IFERROR(__xludf.DUMMYFUNCTION("""COMPUTED_VALUE"""),"CGTC DP")</f>
        <v>CGTC DP</v>
      </c>
      <c r="D684" s="1076" t="str">
        <f>IFERROR(__xludf.DUMMYFUNCTION("""COMPUTED_VALUE"""),"THACO AGRI")</f>
        <v>THACO AGRI</v>
      </c>
      <c r="E684" s="1076"/>
      <c r="F684" s="1076"/>
      <c r="G684" s="1076" t="str">
        <f>IFERROR(__xludf.DUMMYFUNCTION("""COMPUTED_VALUE"""),"2024")</f>
        <v>2024</v>
      </c>
      <c r="H684" s="1076" t="str">
        <f>IFERROR(__xludf.DUMMYFUNCTION("""COMPUTED_VALUE"""),"350x200x400")</f>
        <v>350x200x400</v>
      </c>
      <c r="I684" s="1076"/>
      <c r="J684" s="1076"/>
      <c r="K684" s="1076"/>
      <c r="L684" s="1076" t="str">
        <f>IFERROR(__xludf.DUMMYFUNCTION("""COMPUTED_VALUE"""),"KLH")</f>
        <v>KLH</v>
      </c>
    </row>
    <row r="685" customHeight="1" spans="1:12">
      <c r="A685" s="1089" t="str">
        <f>IFERROR(__xludf.DUMMYFUNCTION("""COMPUTED_VALUE"""),"CHT-GĐH-032")</f>
        <v>CHT-GĐH-032</v>
      </c>
      <c r="B685" s="1075" t="str">
        <f>IFERROR(__xludf.DUMMYFUNCTION("""COMPUTED_VALUE"""),"Gàu định hình đào mương thoát nước")</f>
        <v>Gàu định hình đào mương thoát nước</v>
      </c>
      <c r="C685" s="1076" t="str">
        <f>IFERROR(__xludf.DUMMYFUNCTION("""COMPUTED_VALUE"""),"CGTC DP")</f>
        <v>CGTC DP</v>
      </c>
      <c r="D685" s="1076" t="str">
        <f>IFERROR(__xludf.DUMMYFUNCTION("""COMPUTED_VALUE"""),"THACO AGRI")</f>
        <v>THACO AGRI</v>
      </c>
      <c r="E685" s="1076"/>
      <c r="F685" s="1076"/>
      <c r="G685" s="1076" t="str">
        <f>IFERROR(__xludf.DUMMYFUNCTION("""COMPUTED_VALUE"""),"2024")</f>
        <v>2024</v>
      </c>
      <c r="H685" s="1076" t="str">
        <f>IFERROR(__xludf.DUMMYFUNCTION("""COMPUTED_VALUE"""),"350x200x400")</f>
        <v>350x200x400</v>
      </c>
      <c r="I685" s="1076"/>
      <c r="J685" s="1076"/>
      <c r="K685" s="1076"/>
      <c r="L685" s="1076" t="str">
        <f>IFERROR(__xludf.DUMMYFUNCTION("""COMPUTED_VALUE"""),"KLH")</f>
        <v>KLH</v>
      </c>
    </row>
    <row r="686" customHeight="1" spans="1:12">
      <c r="A686" s="1089" t="str">
        <f>IFERROR(__xludf.DUMMYFUNCTION("""COMPUTED_VALUE"""),"CHT-GĐH-033")</f>
        <v>CHT-GĐH-033</v>
      </c>
      <c r="B686" s="1075" t="str">
        <f>IFERROR(__xludf.DUMMYFUNCTION("""COMPUTED_VALUE"""),"Gàu định hình đào mương thoát nước")</f>
        <v>Gàu định hình đào mương thoát nước</v>
      </c>
      <c r="C686" s="1076" t="str">
        <f>IFERROR(__xludf.DUMMYFUNCTION("""COMPUTED_VALUE"""),"CGTC DP")</f>
        <v>CGTC DP</v>
      </c>
      <c r="D686" s="1076" t="str">
        <f>IFERROR(__xludf.DUMMYFUNCTION("""COMPUTED_VALUE"""),"THACO AGRI")</f>
        <v>THACO AGRI</v>
      </c>
      <c r="E686" s="1076"/>
      <c r="F686" s="1076"/>
      <c r="G686" s="1076" t="str">
        <f>IFERROR(__xludf.DUMMYFUNCTION("""COMPUTED_VALUE"""),"2024")</f>
        <v>2024</v>
      </c>
      <c r="H686" s="1076" t="str">
        <f>IFERROR(__xludf.DUMMYFUNCTION("""COMPUTED_VALUE"""),"350x200x400")</f>
        <v>350x200x400</v>
      </c>
      <c r="I686" s="1076"/>
      <c r="J686" s="1076"/>
      <c r="K686" s="1076"/>
      <c r="L686" s="1076" t="str">
        <f>IFERROR(__xludf.DUMMYFUNCTION("""COMPUTED_VALUE"""),"KLH")</f>
        <v>KLH</v>
      </c>
    </row>
    <row r="687" customHeight="1" spans="1:12">
      <c r="A687" s="1089" t="str">
        <f>IFERROR(__xludf.DUMMYFUNCTION("""COMPUTED_VALUE"""),"CHT-GĐH-043")</f>
        <v>CHT-GĐH-043</v>
      </c>
      <c r="B687" s="1075" t="str">
        <f>IFERROR(__xludf.DUMMYFUNCTION("""COMPUTED_VALUE"""),"Gàu định hình đào mương lô M1 (cải tiến)")</f>
        <v>Gàu định hình đào mương lô M1 (cải tiến)</v>
      </c>
      <c r="C687" s="1076" t="str">
        <f>IFERROR(__xludf.DUMMYFUNCTION("""COMPUTED_VALUE"""),"CGTC DP")</f>
        <v>CGTC DP</v>
      </c>
      <c r="D687" s="1076" t="str">
        <f>IFERROR(__xludf.DUMMYFUNCTION("""COMPUTED_VALUE"""),"THACO AGRI")</f>
        <v>THACO AGRI</v>
      </c>
      <c r="E687" s="1076" t="str">
        <f>IFERROR(__xludf.DUMMYFUNCTION("""COMPUTED_VALUE"""),"M1")</f>
        <v>M1</v>
      </c>
      <c r="F687" s="1076"/>
      <c r="G687" s="1076" t="str">
        <f>IFERROR(__xludf.DUMMYFUNCTION("""COMPUTED_VALUE"""),"2024")</f>
        <v>2024</v>
      </c>
      <c r="H687" s="1076" t="str">
        <f>IFERROR(__xludf.DUMMYFUNCTION("""COMPUTED_VALUE"""),"1200x400x1050")</f>
        <v>1200x400x1050</v>
      </c>
      <c r="I687" s="1076"/>
      <c r="J687" s="1076"/>
      <c r="K687" s="1076"/>
      <c r="L687" s="1076" t="str">
        <f>IFERROR(__xludf.DUMMYFUNCTION("""COMPUTED_VALUE"""),"KLH")</f>
        <v>KLH</v>
      </c>
    </row>
    <row r="688" customHeight="1" spans="1:12">
      <c r="A688" s="1089" t="str">
        <f>IFERROR(__xludf.DUMMYFUNCTION("""COMPUTED_VALUE"""),"CHT-GĐH-044")</f>
        <v>CHT-GĐH-044</v>
      </c>
      <c r="B688" s="1075" t="str">
        <f>IFERROR(__xludf.DUMMYFUNCTION("""COMPUTED_VALUE"""),"Gàu định hình đào mương lô M1 (cải tiến)")</f>
        <v>Gàu định hình đào mương lô M1 (cải tiến)</v>
      </c>
      <c r="C688" s="1076" t="str">
        <f>IFERROR(__xludf.DUMMYFUNCTION("""COMPUTED_VALUE"""),"CGTC DP")</f>
        <v>CGTC DP</v>
      </c>
      <c r="D688" s="1076" t="str">
        <f>IFERROR(__xludf.DUMMYFUNCTION("""COMPUTED_VALUE"""),"THACO AGRI")</f>
        <v>THACO AGRI</v>
      </c>
      <c r="E688" s="1076" t="str">
        <f>IFERROR(__xludf.DUMMYFUNCTION("""COMPUTED_VALUE"""),"M1")</f>
        <v>M1</v>
      </c>
      <c r="F688" s="1076"/>
      <c r="G688" s="1076" t="str">
        <f>IFERROR(__xludf.DUMMYFUNCTION("""COMPUTED_VALUE"""),"2024")</f>
        <v>2024</v>
      </c>
      <c r="H688" s="1076" t="str">
        <f>IFERROR(__xludf.DUMMYFUNCTION("""COMPUTED_VALUE"""),"1200x400x1050")</f>
        <v>1200x400x1050</v>
      </c>
      <c r="I688" s="1076"/>
      <c r="J688" s="1076"/>
      <c r="K688" s="1076"/>
      <c r="L688" s="1076" t="str">
        <f>IFERROR(__xludf.DUMMYFUNCTION("""COMPUTED_VALUE"""),"KLH")</f>
        <v>KLH</v>
      </c>
    </row>
    <row r="689" customHeight="1" spans="1:12">
      <c r="A689" s="1089" t="str">
        <f>IFERROR(__xludf.DUMMYFUNCTION("""COMPUTED_VALUE"""),"CHT-GĐH-051")</f>
        <v>CHT-GĐH-051</v>
      </c>
      <c r="B689" s="1075" t="str">
        <f>IFERROR(__xludf.DUMMYFUNCTION("""COMPUTED_VALUE"""),"Gàu định hình đào mương lô M1 (cải tiến)")</f>
        <v>Gàu định hình đào mương lô M1 (cải tiến)</v>
      </c>
      <c r="C689" s="1076" t="str">
        <f>IFERROR(__xludf.DUMMYFUNCTION("""COMPUTED_VALUE"""),"CGTC DP")</f>
        <v>CGTC DP</v>
      </c>
      <c r="D689" s="1076" t="str">
        <f>IFERROR(__xludf.DUMMYFUNCTION("""COMPUTED_VALUE"""),"THACO AGRI")</f>
        <v>THACO AGRI</v>
      </c>
      <c r="E689" s="1076" t="str">
        <f>IFERROR(__xludf.DUMMYFUNCTION("""COMPUTED_VALUE"""),"M1")</f>
        <v>M1</v>
      </c>
      <c r="F689" s="1076"/>
      <c r="G689" s="1076" t="str">
        <f>IFERROR(__xludf.DUMMYFUNCTION("""COMPUTED_VALUE"""),"2024")</f>
        <v>2024</v>
      </c>
      <c r="H689" s="1076" t="str">
        <f>IFERROR(__xludf.DUMMYFUNCTION("""COMPUTED_VALUE"""),"1200x400x1050")</f>
        <v>1200x400x1050</v>
      </c>
      <c r="I689" s="1076"/>
      <c r="J689" s="1076"/>
      <c r="K689" s="1076"/>
      <c r="L689" s="1076" t="str">
        <f>IFERROR(__xludf.DUMMYFUNCTION("""COMPUTED_VALUE"""),"KLH")</f>
        <v>KLH</v>
      </c>
    </row>
    <row r="690" customHeight="1" spans="1:12">
      <c r="A690" s="1089" t="str">
        <f>IFERROR(__xludf.DUMMYFUNCTION("""COMPUTED_VALUE"""),"CHT-GĐH-052")</f>
        <v>CHT-GĐH-052</v>
      </c>
      <c r="B690" s="1075" t="str">
        <f>IFERROR(__xludf.DUMMYFUNCTION("""COMPUTED_VALUE"""),"Gàu định hình đào mương lô M1 (cải tiến)")</f>
        <v>Gàu định hình đào mương lô M1 (cải tiến)</v>
      </c>
      <c r="C690" s="1076" t="str">
        <f>IFERROR(__xludf.DUMMYFUNCTION("""COMPUTED_VALUE"""),"CGTC DP")</f>
        <v>CGTC DP</v>
      </c>
      <c r="D690" s="1076" t="str">
        <f>IFERROR(__xludf.DUMMYFUNCTION("""COMPUTED_VALUE"""),"THACO AGRI")</f>
        <v>THACO AGRI</v>
      </c>
      <c r="E690" s="1076" t="str">
        <f>IFERROR(__xludf.DUMMYFUNCTION("""COMPUTED_VALUE"""),"M1")</f>
        <v>M1</v>
      </c>
      <c r="F690" s="1076"/>
      <c r="G690" s="1076" t="str">
        <f>IFERROR(__xludf.DUMMYFUNCTION("""COMPUTED_VALUE"""),"2024")</f>
        <v>2024</v>
      </c>
      <c r="H690" s="1076" t="str">
        <f>IFERROR(__xludf.DUMMYFUNCTION("""COMPUTED_VALUE"""),"1200x400x1050")</f>
        <v>1200x400x1050</v>
      </c>
      <c r="I690" s="1076"/>
      <c r="J690" s="1076"/>
      <c r="K690" s="1076"/>
      <c r="L690" s="1076" t="str">
        <f>IFERROR(__xludf.DUMMYFUNCTION("""COMPUTED_VALUE"""),"KLH")</f>
        <v>KLH</v>
      </c>
    </row>
    <row r="691" customHeight="1" spans="1:12">
      <c r="A691" s="1089" t="str">
        <f>IFERROR(__xludf.DUMMYFUNCTION("""COMPUTED_VALUE"""),"CHT-GĐH-053")</f>
        <v>CHT-GĐH-053</v>
      </c>
      <c r="B691" s="1075" t="str">
        <f>IFERROR(__xludf.DUMMYFUNCTION("""COMPUTED_VALUE"""),"Gàu định hình đào mương lô M1 (cải tiến)")</f>
        <v>Gàu định hình đào mương lô M1 (cải tiến)</v>
      </c>
      <c r="C691" s="1076" t="str">
        <f>IFERROR(__xludf.DUMMYFUNCTION("""COMPUTED_VALUE"""),"CGTC DP")</f>
        <v>CGTC DP</v>
      </c>
      <c r="D691" s="1076" t="str">
        <f>IFERROR(__xludf.DUMMYFUNCTION("""COMPUTED_VALUE"""),"THACO AGRI")</f>
        <v>THACO AGRI</v>
      </c>
      <c r="E691" s="1076" t="str">
        <f>IFERROR(__xludf.DUMMYFUNCTION("""COMPUTED_VALUE"""),"M1")</f>
        <v>M1</v>
      </c>
      <c r="F691" s="1076"/>
      <c r="G691" s="1076" t="str">
        <f>IFERROR(__xludf.DUMMYFUNCTION("""COMPUTED_VALUE"""),"2024")</f>
        <v>2024</v>
      </c>
      <c r="H691" s="1076" t="str">
        <f>IFERROR(__xludf.DUMMYFUNCTION("""COMPUTED_VALUE"""),"1200x400x1050")</f>
        <v>1200x400x1050</v>
      </c>
      <c r="I691" s="1076"/>
      <c r="J691" s="1076"/>
      <c r="K691" s="1076"/>
      <c r="L691" s="1076" t="str">
        <f>IFERROR(__xludf.DUMMYFUNCTION("""COMPUTED_VALUE"""),"KLH")</f>
        <v>KLH</v>
      </c>
    </row>
    <row r="692" customHeight="1" spans="1:12">
      <c r="A692" s="1089" t="str">
        <f>IFERROR(__xludf.DUMMYFUNCTION("""COMPUTED_VALUE"""),"CHT-GĐH-069")</f>
        <v>CHT-GĐH-069</v>
      </c>
      <c r="B692" s="1075" t="str">
        <f>IFERROR(__xludf.DUMMYFUNCTION("""COMPUTED_VALUE"""),"Gàu định hình đào mương thửa M1")</f>
        <v>Gàu định hình đào mương thửa M1</v>
      </c>
      <c r="C692" s="1076" t="str">
        <f>IFERROR(__xludf.DUMMYFUNCTION("""COMPUTED_VALUE"""),"CGTC DP")</f>
        <v>CGTC DP</v>
      </c>
      <c r="D692" s="1076" t="str">
        <f>IFERROR(__xludf.DUMMYFUNCTION("""COMPUTED_VALUE"""),"THACO AGRI")</f>
        <v>THACO AGRI</v>
      </c>
      <c r="E692" s="1076" t="str">
        <f>IFERROR(__xludf.DUMMYFUNCTION("""COMPUTED_VALUE"""),"M1")</f>
        <v>M1</v>
      </c>
      <c r="F692" s="1076"/>
      <c r="G692" s="1076" t="str">
        <f>IFERROR(__xludf.DUMMYFUNCTION("""COMPUTED_VALUE"""),"2025")</f>
        <v>2025</v>
      </c>
      <c r="H692" s="1076" t="str">
        <f>IFERROR(__xludf.DUMMYFUNCTION("""COMPUTED_VALUE"""),"1200x400x1200")</f>
        <v>1200x400x1200</v>
      </c>
      <c r="I692" s="1076"/>
      <c r="J692" s="1076"/>
      <c r="K692" s="1076"/>
      <c r="L692" s="1076" t="str">
        <f>IFERROR(__xludf.DUMMYFUNCTION("""COMPUTED_VALUE"""),"KLH")</f>
        <v>KLH</v>
      </c>
    </row>
    <row r="693" customHeight="1" spans="1:12">
      <c r="A693" s="1089" t="str">
        <f>IFERROR(__xludf.DUMMYFUNCTION("""COMPUTED_VALUE"""),"CHT-GĐH-070")</f>
        <v>CHT-GĐH-070</v>
      </c>
      <c r="B693" s="1075" t="str">
        <f>IFERROR(__xludf.DUMMYFUNCTION("""COMPUTED_VALUE"""),"Gàu định hình đào mương thửa M1")</f>
        <v>Gàu định hình đào mương thửa M1</v>
      </c>
      <c r="C693" s="1076" t="str">
        <f>IFERROR(__xludf.DUMMYFUNCTION("""COMPUTED_VALUE"""),"CGTC DP")</f>
        <v>CGTC DP</v>
      </c>
      <c r="D693" s="1076" t="str">
        <f>IFERROR(__xludf.DUMMYFUNCTION("""COMPUTED_VALUE"""),"THACO AGRI")</f>
        <v>THACO AGRI</v>
      </c>
      <c r="E693" s="1076" t="str">
        <f>IFERROR(__xludf.DUMMYFUNCTION("""COMPUTED_VALUE"""),"M1")</f>
        <v>M1</v>
      </c>
      <c r="F693" s="1076"/>
      <c r="G693" s="1076" t="str">
        <f>IFERROR(__xludf.DUMMYFUNCTION("""COMPUTED_VALUE"""),"2025")</f>
        <v>2025</v>
      </c>
      <c r="H693" s="1076" t="str">
        <f>IFERROR(__xludf.DUMMYFUNCTION("""COMPUTED_VALUE"""),"1200x400x1200")</f>
        <v>1200x400x1200</v>
      </c>
      <c r="I693" s="1076"/>
      <c r="J693" s="1076"/>
      <c r="K693" s="1076"/>
      <c r="L693" s="1076" t="str">
        <f>IFERROR(__xludf.DUMMYFUNCTION("""COMPUTED_VALUE"""),"KLH")</f>
        <v>KLH</v>
      </c>
    </row>
    <row r="694" customHeight="1" spans="1:12">
      <c r="A694" s="1089" t="str">
        <f>IFERROR(__xludf.DUMMYFUNCTION("""COMPUTED_VALUE"""),"CHT-GĐH-071")</f>
        <v>CHT-GĐH-071</v>
      </c>
      <c r="B694" s="1075" t="str">
        <f>IFERROR(__xludf.DUMMYFUNCTION("""COMPUTED_VALUE"""),"Gàu định hình đào mương thửa M1")</f>
        <v>Gàu định hình đào mương thửa M1</v>
      </c>
      <c r="C694" s="1076" t="str">
        <f>IFERROR(__xludf.DUMMYFUNCTION("""COMPUTED_VALUE"""),"CGTC DP")</f>
        <v>CGTC DP</v>
      </c>
      <c r="D694" s="1076" t="str">
        <f>IFERROR(__xludf.DUMMYFUNCTION("""COMPUTED_VALUE"""),"THACO AGRI")</f>
        <v>THACO AGRI</v>
      </c>
      <c r="E694" s="1076" t="str">
        <f>IFERROR(__xludf.DUMMYFUNCTION("""COMPUTED_VALUE"""),"M1")</f>
        <v>M1</v>
      </c>
      <c r="F694" s="1076"/>
      <c r="G694" s="1076" t="str">
        <f>IFERROR(__xludf.DUMMYFUNCTION("""COMPUTED_VALUE"""),"2025")</f>
        <v>2025</v>
      </c>
      <c r="H694" s="1076" t="str">
        <f>IFERROR(__xludf.DUMMYFUNCTION("""COMPUTED_VALUE"""),"1200x400x1200")</f>
        <v>1200x400x1200</v>
      </c>
      <c r="I694" s="1076"/>
      <c r="J694" s="1076"/>
      <c r="K694" s="1076"/>
      <c r="L694" s="1076" t="str">
        <f>IFERROR(__xludf.DUMMYFUNCTION("""COMPUTED_VALUE"""),"KLH")</f>
        <v>KLH</v>
      </c>
    </row>
    <row r="695" customHeight="1" spans="1:12">
      <c r="A695" s="1089" t="str">
        <f>IFERROR(__xludf.DUMMYFUNCTION("""COMPUTED_VALUE"""),"CHT-GĐH-072")</f>
        <v>CHT-GĐH-072</v>
      </c>
      <c r="B695" s="1075" t="str">
        <f>IFERROR(__xludf.DUMMYFUNCTION("""COMPUTED_VALUE"""),"Gàu định hình đào mương thửa M1")</f>
        <v>Gàu định hình đào mương thửa M1</v>
      </c>
      <c r="C695" s="1076" t="str">
        <f>IFERROR(__xludf.DUMMYFUNCTION("""COMPUTED_VALUE"""),"CGTC DP")</f>
        <v>CGTC DP</v>
      </c>
      <c r="D695" s="1076" t="str">
        <f>IFERROR(__xludf.DUMMYFUNCTION("""COMPUTED_VALUE"""),"THACO AGRI")</f>
        <v>THACO AGRI</v>
      </c>
      <c r="E695" s="1076" t="str">
        <f>IFERROR(__xludf.DUMMYFUNCTION("""COMPUTED_VALUE"""),"M1")</f>
        <v>M1</v>
      </c>
      <c r="F695" s="1076"/>
      <c r="G695" s="1076" t="str">
        <f>IFERROR(__xludf.DUMMYFUNCTION("""COMPUTED_VALUE"""),"2025")</f>
        <v>2025</v>
      </c>
      <c r="H695" s="1076" t="str">
        <f>IFERROR(__xludf.DUMMYFUNCTION("""COMPUTED_VALUE"""),"1200x400x1200")</f>
        <v>1200x400x1200</v>
      </c>
      <c r="I695" s="1076"/>
      <c r="J695" s="1076"/>
      <c r="K695" s="1076"/>
      <c r="L695" s="1076" t="str">
        <f>IFERROR(__xludf.DUMMYFUNCTION("""COMPUTED_VALUE"""),"KLH")</f>
        <v>KLH</v>
      </c>
    </row>
    <row r="696" customHeight="1" spans="1:12">
      <c r="A696" s="1089" t="str">
        <f>IFERROR(__xludf.DUMMYFUNCTION("""COMPUTED_VALUE"""),"CHT-GĐH-073")</f>
        <v>CHT-GĐH-073</v>
      </c>
      <c r="B696" s="1075" t="str">
        <f>IFERROR(__xludf.DUMMYFUNCTION("""COMPUTED_VALUE"""),"Gàu định hình đào mương thửa M1")</f>
        <v>Gàu định hình đào mương thửa M1</v>
      </c>
      <c r="C696" s="1076" t="str">
        <f>IFERROR(__xludf.DUMMYFUNCTION("""COMPUTED_VALUE"""),"CGTC DP")</f>
        <v>CGTC DP</v>
      </c>
      <c r="D696" s="1076" t="str">
        <f>IFERROR(__xludf.DUMMYFUNCTION("""COMPUTED_VALUE"""),"THACO AGRI")</f>
        <v>THACO AGRI</v>
      </c>
      <c r="E696" s="1076" t="str">
        <f>IFERROR(__xludf.DUMMYFUNCTION("""COMPUTED_VALUE"""),"M1")</f>
        <v>M1</v>
      </c>
      <c r="F696" s="1076"/>
      <c r="G696" s="1076" t="str">
        <f>IFERROR(__xludf.DUMMYFUNCTION("""COMPUTED_VALUE"""),"2025")</f>
        <v>2025</v>
      </c>
      <c r="H696" s="1076" t="str">
        <f>IFERROR(__xludf.DUMMYFUNCTION("""COMPUTED_VALUE"""),"1200x400x1200")</f>
        <v>1200x400x1200</v>
      </c>
      <c r="I696" s="1076"/>
      <c r="J696" s="1076"/>
      <c r="K696" s="1076"/>
      <c r="L696" s="1076" t="str">
        <f>IFERROR(__xludf.DUMMYFUNCTION("""COMPUTED_VALUE"""),"KLH")</f>
        <v>KLH</v>
      </c>
    </row>
    <row r="697" customHeight="1" spans="1:12">
      <c r="A697" s="1089" t="str">
        <f>IFERROR(__xludf.DUMMYFUNCTION("""COMPUTED_VALUE"""),"CHT-GĐH-074")</f>
        <v>CHT-GĐH-074</v>
      </c>
      <c r="B697" s="1075" t="str">
        <f>IFERROR(__xludf.DUMMYFUNCTION("""COMPUTED_VALUE"""),"Gàu định hình đào mương thửa M1")</f>
        <v>Gàu định hình đào mương thửa M1</v>
      </c>
      <c r="C697" s="1076" t="str">
        <f>IFERROR(__xludf.DUMMYFUNCTION("""COMPUTED_VALUE"""),"CGTC DP")</f>
        <v>CGTC DP</v>
      </c>
      <c r="D697" s="1076" t="str">
        <f>IFERROR(__xludf.DUMMYFUNCTION("""COMPUTED_VALUE"""),"THACO AGRI")</f>
        <v>THACO AGRI</v>
      </c>
      <c r="E697" s="1076" t="str">
        <f>IFERROR(__xludf.DUMMYFUNCTION("""COMPUTED_VALUE"""),"M1")</f>
        <v>M1</v>
      </c>
      <c r="F697" s="1076"/>
      <c r="G697" s="1076" t="str">
        <f>IFERROR(__xludf.DUMMYFUNCTION("""COMPUTED_VALUE"""),"2025")</f>
        <v>2025</v>
      </c>
      <c r="H697" s="1076" t="str">
        <f>IFERROR(__xludf.DUMMYFUNCTION("""COMPUTED_VALUE"""),"1200x400x1200")</f>
        <v>1200x400x1200</v>
      </c>
      <c r="I697" s="1076"/>
      <c r="J697" s="1076"/>
      <c r="K697" s="1076"/>
      <c r="L697" s="1076" t="str">
        <f>IFERROR(__xludf.DUMMYFUNCTION("""COMPUTED_VALUE"""),"KLH")</f>
        <v>KLH</v>
      </c>
    </row>
    <row r="698" customHeight="1" spans="1:12">
      <c r="A698" s="1089" t="str">
        <f>IFERROR(__xludf.DUMMYFUNCTION("""COMPUTED_VALUE"""),"CHT-GĐH-075")</f>
        <v>CHT-GĐH-075</v>
      </c>
      <c r="B698" s="1075" t="str">
        <f>IFERROR(__xludf.DUMMYFUNCTION("""COMPUTED_VALUE"""),"Gàu định hình đào mương thửa M1")</f>
        <v>Gàu định hình đào mương thửa M1</v>
      </c>
      <c r="C698" s="1076" t="str">
        <f>IFERROR(__xludf.DUMMYFUNCTION("""COMPUTED_VALUE"""),"CGTC DP")</f>
        <v>CGTC DP</v>
      </c>
      <c r="D698" s="1076" t="str">
        <f>IFERROR(__xludf.DUMMYFUNCTION("""COMPUTED_VALUE"""),"THACO AGRI")</f>
        <v>THACO AGRI</v>
      </c>
      <c r="E698" s="1076" t="str">
        <f>IFERROR(__xludf.DUMMYFUNCTION("""COMPUTED_VALUE"""),"M1")</f>
        <v>M1</v>
      </c>
      <c r="F698" s="1076"/>
      <c r="G698" s="1076" t="str">
        <f>IFERROR(__xludf.DUMMYFUNCTION("""COMPUTED_VALUE"""),"2025")</f>
        <v>2025</v>
      </c>
      <c r="H698" s="1076" t="str">
        <f>IFERROR(__xludf.DUMMYFUNCTION("""COMPUTED_VALUE"""),"1200x400x1200")</f>
        <v>1200x400x1200</v>
      </c>
      <c r="I698" s="1076"/>
      <c r="J698" s="1076"/>
      <c r="K698" s="1076"/>
      <c r="L698" s="1076" t="str">
        <f>IFERROR(__xludf.DUMMYFUNCTION("""COMPUTED_VALUE"""),"KLH")</f>
        <v>KLH</v>
      </c>
    </row>
    <row r="699" customHeight="1" spans="1:12">
      <c r="A699" s="1089" t="str">
        <f>IFERROR(__xludf.DUMMYFUNCTION("""COMPUTED_VALUE"""),"CHT-GĐH-076")</f>
        <v>CHT-GĐH-076</v>
      </c>
      <c r="B699" s="1075" t="str">
        <f>IFERROR(__xludf.DUMMYFUNCTION("""COMPUTED_VALUE"""),"Gàu định hình đào mương thửa M1")</f>
        <v>Gàu định hình đào mương thửa M1</v>
      </c>
      <c r="C699" s="1076" t="str">
        <f>IFERROR(__xludf.DUMMYFUNCTION("""COMPUTED_VALUE"""),"CGTC DP")</f>
        <v>CGTC DP</v>
      </c>
      <c r="D699" s="1076" t="str">
        <f>IFERROR(__xludf.DUMMYFUNCTION("""COMPUTED_VALUE"""),"THACO AGRI")</f>
        <v>THACO AGRI</v>
      </c>
      <c r="E699" s="1076" t="str">
        <f>IFERROR(__xludf.DUMMYFUNCTION("""COMPUTED_VALUE"""),"M1")</f>
        <v>M1</v>
      </c>
      <c r="F699" s="1076"/>
      <c r="G699" s="1076" t="str">
        <f>IFERROR(__xludf.DUMMYFUNCTION("""COMPUTED_VALUE"""),"2025")</f>
        <v>2025</v>
      </c>
      <c r="H699" s="1076" t="str">
        <f>IFERROR(__xludf.DUMMYFUNCTION("""COMPUTED_VALUE"""),"1200x400x1200")</f>
        <v>1200x400x1200</v>
      </c>
      <c r="I699" s="1076"/>
      <c r="J699" s="1076"/>
      <c r="K699" s="1076"/>
      <c r="L699" s="1076" t="str">
        <f>IFERROR(__xludf.DUMMYFUNCTION("""COMPUTED_VALUE"""),"KLH")</f>
        <v>KLH</v>
      </c>
    </row>
    <row r="700" customHeight="1" spans="1:12">
      <c r="A700" s="1089" t="str">
        <f>IFERROR(__xludf.DUMMYFUNCTION("""COMPUTED_VALUE"""),"CHT-GĐH-077")</f>
        <v>CHT-GĐH-077</v>
      </c>
      <c r="B700" s="1075" t="str">
        <f>IFERROR(__xludf.DUMMYFUNCTION("""COMPUTED_VALUE"""),"Gàu định hình đào mương thửa M1")</f>
        <v>Gàu định hình đào mương thửa M1</v>
      </c>
      <c r="C700" s="1076" t="str">
        <f>IFERROR(__xludf.DUMMYFUNCTION("""COMPUTED_VALUE"""),"CGTC DP")</f>
        <v>CGTC DP</v>
      </c>
      <c r="D700" s="1076" t="str">
        <f>IFERROR(__xludf.DUMMYFUNCTION("""COMPUTED_VALUE"""),"THACO AGRI")</f>
        <v>THACO AGRI</v>
      </c>
      <c r="E700" s="1076" t="str">
        <f>IFERROR(__xludf.DUMMYFUNCTION("""COMPUTED_VALUE"""),"M1")</f>
        <v>M1</v>
      </c>
      <c r="F700" s="1076"/>
      <c r="G700" s="1076" t="str">
        <f>IFERROR(__xludf.DUMMYFUNCTION("""COMPUTED_VALUE"""),"2025")</f>
        <v>2025</v>
      </c>
      <c r="H700" s="1076" t="str">
        <f>IFERROR(__xludf.DUMMYFUNCTION("""COMPUTED_VALUE"""),"1200x400x1200")</f>
        <v>1200x400x1200</v>
      </c>
      <c r="I700" s="1076"/>
      <c r="J700" s="1076"/>
      <c r="K700" s="1076"/>
      <c r="L700" s="1076" t="str">
        <f>IFERROR(__xludf.DUMMYFUNCTION("""COMPUTED_VALUE"""),"KLH")</f>
        <v>KLH</v>
      </c>
    </row>
    <row r="701" customHeight="1" spans="1:12">
      <c r="A701" s="1089" t="str">
        <f>IFERROR(__xludf.DUMMYFUNCTION("""COMPUTED_VALUE"""),"CHT-GĐH-078")</f>
        <v>CHT-GĐH-078</v>
      </c>
      <c r="B701" s="1075" t="str">
        <f>IFERROR(__xludf.DUMMYFUNCTION("""COMPUTED_VALUE"""),"Gàu định hình đào mương thửa M1")</f>
        <v>Gàu định hình đào mương thửa M1</v>
      </c>
      <c r="C701" s="1076" t="str">
        <f>IFERROR(__xludf.DUMMYFUNCTION("""COMPUTED_VALUE"""),"CGTC DP")</f>
        <v>CGTC DP</v>
      </c>
      <c r="D701" s="1076" t="str">
        <f>IFERROR(__xludf.DUMMYFUNCTION("""COMPUTED_VALUE"""),"THACO AGRI")</f>
        <v>THACO AGRI</v>
      </c>
      <c r="E701" s="1076" t="str">
        <f>IFERROR(__xludf.DUMMYFUNCTION("""COMPUTED_VALUE"""),"M1")</f>
        <v>M1</v>
      </c>
      <c r="F701" s="1076"/>
      <c r="G701" s="1076" t="str">
        <f>IFERROR(__xludf.DUMMYFUNCTION("""COMPUTED_VALUE"""),"2025")</f>
        <v>2025</v>
      </c>
      <c r="H701" s="1076" t="str">
        <f>IFERROR(__xludf.DUMMYFUNCTION("""COMPUTED_VALUE"""),"1200x400x1200")</f>
        <v>1200x400x1200</v>
      </c>
      <c r="I701" s="1076"/>
      <c r="J701" s="1076"/>
      <c r="K701" s="1076"/>
      <c r="L701" s="1076" t="str">
        <f>IFERROR(__xludf.DUMMYFUNCTION("""COMPUTED_VALUE"""),"KLH")</f>
        <v>KLH</v>
      </c>
    </row>
    <row r="702" customHeight="1" spans="1:12">
      <c r="A702" s="1089" t="str">
        <f>IFERROR(__xludf.DUMMYFUNCTION("""COMPUTED_VALUE"""),"CHT-GĐH-084")</f>
        <v>CHT-GĐH-084</v>
      </c>
      <c r="B702" s="1075" t="str">
        <f>IFERROR(__xludf.DUMMYFUNCTION("""COMPUTED_VALUE"""),"Gàu định hình đào mương M1.2")</f>
        <v>Gàu định hình đào mương M1.2</v>
      </c>
      <c r="C702" s="1076" t="str">
        <f>IFERROR(__xludf.DUMMYFUNCTION("""COMPUTED_VALUE"""),"CGTC DP")</f>
        <v>CGTC DP</v>
      </c>
      <c r="D702" s="1076" t="str">
        <f>IFERROR(__xludf.DUMMYFUNCTION("""COMPUTED_VALUE"""),"THACO AGRI")</f>
        <v>THACO AGRI</v>
      </c>
      <c r="E702" s="1076" t="str">
        <f>IFERROR(__xludf.DUMMYFUNCTION("""COMPUTED_VALUE"""),"M1.2")</f>
        <v>M1.2</v>
      </c>
      <c r="F702" s="1076"/>
      <c r="G702" s="1076" t="str">
        <f>IFERROR(__xludf.DUMMYFUNCTION("""COMPUTED_VALUE"""),"2025")</f>
        <v>2025</v>
      </c>
      <c r="H702" s="1076" t="str">
        <f>IFERROR(__xludf.DUMMYFUNCTION("""COMPUTED_VALUE"""),"1200x400x1200")</f>
        <v>1200x400x1200</v>
      </c>
      <c r="I702" s="1076"/>
      <c r="J702" s="1076"/>
      <c r="K702" s="1076"/>
      <c r="L702" s="1076" t="str">
        <f>IFERROR(__xludf.DUMMYFUNCTION("""COMPUTED_VALUE"""),"KLH")</f>
        <v>KLH</v>
      </c>
    </row>
    <row r="703" customHeight="1" spans="1:12">
      <c r="A703" s="1089" t="str">
        <f>IFERROR(__xludf.DUMMYFUNCTION("""COMPUTED_VALUE"""),"CHT-GĐH-085")</f>
        <v>CHT-GĐH-085</v>
      </c>
      <c r="B703" s="1075" t="str">
        <f>IFERROR(__xludf.DUMMYFUNCTION("""COMPUTED_VALUE"""),"Gàu định hình đào mương M1.2")</f>
        <v>Gàu định hình đào mương M1.2</v>
      </c>
      <c r="C703" s="1076" t="str">
        <f>IFERROR(__xludf.DUMMYFUNCTION("""COMPUTED_VALUE"""),"CGTC DP")</f>
        <v>CGTC DP</v>
      </c>
      <c r="D703" s="1076" t="str">
        <f>IFERROR(__xludf.DUMMYFUNCTION("""COMPUTED_VALUE"""),"THACO AGRI")</f>
        <v>THACO AGRI</v>
      </c>
      <c r="E703" s="1076" t="str">
        <f>IFERROR(__xludf.DUMMYFUNCTION("""COMPUTED_VALUE"""),"M1.2")</f>
        <v>M1.2</v>
      </c>
      <c r="F703" s="1076"/>
      <c r="G703" s="1076" t="str">
        <f>IFERROR(__xludf.DUMMYFUNCTION("""COMPUTED_VALUE"""),"2025")</f>
        <v>2025</v>
      </c>
      <c r="H703" s="1076" t="str">
        <f>IFERROR(__xludf.DUMMYFUNCTION("""COMPUTED_VALUE"""),"1200x400x1200")</f>
        <v>1200x400x1200</v>
      </c>
      <c r="I703" s="1076"/>
      <c r="J703" s="1076"/>
      <c r="K703" s="1076"/>
      <c r="L703" s="1076" t="str">
        <f>IFERROR(__xludf.DUMMYFUNCTION("""COMPUTED_VALUE"""),"KLH")</f>
        <v>KLH</v>
      </c>
    </row>
    <row r="704" customHeight="1" spans="1:12">
      <c r="A704" s="1089" t="str">
        <f>IFERROR(__xludf.DUMMYFUNCTION("""COMPUTED_VALUE"""),"CHT-GĐH-093")</f>
        <v>CHT-GĐH-093</v>
      </c>
      <c r="B704" s="1075" t="str">
        <f>IFERROR(__xludf.DUMMYFUNCTION("""COMPUTED_VALUE"""),"Gàu định hình đào mương M1")</f>
        <v>Gàu định hình đào mương M1</v>
      </c>
      <c r="C704" s="1076" t="str">
        <f>IFERROR(__xludf.DUMMYFUNCTION("""COMPUTED_VALUE"""),"CGTC DP")</f>
        <v>CGTC DP</v>
      </c>
      <c r="D704" s="1076" t="str">
        <f>IFERROR(__xludf.DUMMYFUNCTION("""COMPUTED_VALUE"""),"THACO AGRI")</f>
        <v>THACO AGRI</v>
      </c>
      <c r="E704" s="1076" t="str">
        <f>IFERROR(__xludf.DUMMYFUNCTION("""COMPUTED_VALUE"""),"M1.2")</f>
        <v>M1.2</v>
      </c>
      <c r="F704" s="1076"/>
      <c r="G704" s="1076" t="str">
        <f>IFERROR(__xludf.DUMMYFUNCTION("""COMPUTED_VALUE"""),"2025")</f>
        <v>2025</v>
      </c>
      <c r="H704" s="1076" t="str">
        <f>IFERROR(__xludf.DUMMYFUNCTION("""COMPUTED_VALUE"""),"1200x400x1200")</f>
        <v>1200x400x1200</v>
      </c>
      <c r="I704" s="1076"/>
      <c r="J704" s="1076"/>
      <c r="K704" s="1076"/>
      <c r="L704" s="1076" t="str">
        <f>IFERROR(__xludf.DUMMYFUNCTION("""COMPUTED_VALUE"""),"KLH")</f>
        <v>KLH</v>
      </c>
    </row>
    <row r="705" customHeight="1" spans="1:12">
      <c r="A705" s="1089" t="str">
        <f>IFERROR(__xludf.DUMMYFUNCTION("""COMPUTED_VALUE"""),"CHT-GĐH-094")</f>
        <v>CHT-GĐH-094</v>
      </c>
      <c r="B705" s="1075" t="str">
        <f>IFERROR(__xludf.DUMMYFUNCTION("""COMPUTED_VALUE"""),"Gàu định hình đào mương M1")</f>
        <v>Gàu định hình đào mương M1</v>
      </c>
      <c r="C705" s="1076" t="str">
        <f>IFERROR(__xludf.DUMMYFUNCTION("""COMPUTED_VALUE"""),"CGTC DP")</f>
        <v>CGTC DP</v>
      </c>
      <c r="D705" s="1076" t="str">
        <f>IFERROR(__xludf.DUMMYFUNCTION("""COMPUTED_VALUE"""),"THACO AGRI")</f>
        <v>THACO AGRI</v>
      </c>
      <c r="E705" s="1076" t="str">
        <f>IFERROR(__xludf.DUMMYFUNCTION("""COMPUTED_VALUE"""),"M1.2")</f>
        <v>M1.2</v>
      </c>
      <c r="F705" s="1076"/>
      <c r="G705" s="1076" t="str">
        <f>IFERROR(__xludf.DUMMYFUNCTION("""COMPUTED_VALUE"""),"2025")</f>
        <v>2025</v>
      </c>
      <c r="H705" s="1076" t="str">
        <f>IFERROR(__xludf.DUMMYFUNCTION("""COMPUTED_VALUE"""),"1200x400x1200")</f>
        <v>1200x400x1200</v>
      </c>
      <c r="I705" s="1076"/>
      <c r="J705" s="1076"/>
      <c r="K705" s="1076"/>
      <c r="L705" s="1076" t="str">
        <f>IFERROR(__xludf.DUMMYFUNCTION("""COMPUTED_VALUE"""),"KLH")</f>
        <v>KLH</v>
      </c>
    </row>
    <row r="706" customHeight="1" spans="1:12">
      <c r="A706" s="1089" t="str">
        <f>IFERROR(__xludf.DUMMYFUNCTION("""COMPUTED_VALUE"""),"CHT-GĐH-098")</f>
        <v>CHT-GĐH-098</v>
      </c>
      <c r="B706" s="1075" t="str">
        <f>IFERROR(__xludf.DUMMYFUNCTION("""COMPUTED_VALUE"""),"Gàu định hình đào mương M1")</f>
        <v>Gàu định hình đào mương M1</v>
      </c>
      <c r="C706" s="1076" t="str">
        <f>IFERROR(__xludf.DUMMYFUNCTION("""COMPUTED_VALUE"""),"CGTC DP")</f>
        <v>CGTC DP</v>
      </c>
      <c r="D706" s="1076" t="str">
        <f>IFERROR(__xludf.DUMMYFUNCTION("""COMPUTED_VALUE"""),"THACO AGRI")</f>
        <v>THACO AGRI</v>
      </c>
      <c r="E706" s="1076" t="str">
        <f>IFERROR(__xludf.DUMMYFUNCTION("""COMPUTED_VALUE"""),"M1")</f>
        <v>M1</v>
      </c>
      <c r="F706" s="1076"/>
      <c r="G706" s="1076" t="str">
        <f>IFERROR(__xludf.DUMMYFUNCTION("""COMPUTED_VALUE"""),"2026")</f>
        <v>2026</v>
      </c>
      <c r="H706" s="1076" t="str">
        <f>IFERROR(__xludf.DUMMYFUNCTION("""COMPUTED_VALUE"""),"1160x420x1200")</f>
        <v>1160x420x1200</v>
      </c>
      <c r="I706" s="1076" t="str">
        <f>IFERROR(__xludf.DUMMYFUNCTION("""COMPUTED_VALUE"""),"MD07")</f>
        <v>MD07</v>
      </c>
      <c r="J706" s="1076"/>
      <c r="K706" s="1076"/>
      <c r="L706" s="1076" t="str">
        <f>IFERROR(__xludf.DUMMYFUNCTION("""COMPUTED_VALUE"""),"KLH")</f>
        <v>KLH</v>
      </c>
    </row>
    <row r="707" customHeight="1" spans="1:12">
      <c r="A707" s="1089" t="str">
        <f>IFERROR(__xludf.DUMMYFUNCTION("""COMPUTED_VALUE"""),"CHT-GĐH-099")</f>
        <v>CHT-GĐH-099</v>
      </c>
      <c r="B707" s="1075" t="str">
        <f>IFERROR(__xludf.DUMMYFUNCTION("""COMPUTED_VALUE"""),"Gàu định hình đào mương M1")</f>
        <v>Gàu định hình đào mương M1</v>
      </c>
      <c r="C707" s="1076" t="str">
        <f>IFERROR(__xludf.DUMMYFUNCTION("""COMPUTED_VALUE"""),"CGTC DP")</f>
        <v>CGTC DP</v>
      </c>
      <c r="D707" s="1076" t="str">
        <f>IFERROR(__xludf.DUMMYFUNCTION("""COMPUTED_VALUE"""),"THACO AGRI")</f>
        <v>THACO AGRI</v>
      </c>
      <c r="E707" s="1076" t="str">
        <f>IFERROR(__xludf.DUMMYFUNCTION("""COMPUTED_VALUE"""),"M1")</f>
        <v>M1</v>
      </c>
      <c r="F707" s="1076"/>
      <c r="G707" s="1076" t="str">
        <f>IFERROR(__xludf.DUMMYFUNCTION("""COMPUTED_VALUE"""),"2026")</f>
        <v>2026</v>
      </c>
      <c r="H707" s="1076" t="str">
        <f>IFERROR(__xludf.DUMMYFUNCTION("""COMPUTED_VALUE"""),"1160x420x1200")</f>
        <v>1160x420x1200</v>
      </c>
      <c r="I707" s="1076" t="str">
        <f>IFERROR(__xludf.DUMMYFUNCTION("""COMPUTED_VALUE"""),"MD07")</f>
        <v>MD07</v>
      </c>
      <c r="J707" s="1076"/>
      <c r="K707" s="1076"/>
      <c r="L707" s="1076" t="str">
        <f>IFERROR(__xludf.DUMMYFUNCTION("""COMPUTED_VALUE"""),"KLH")</f>
        <v>KLH</v>
      </c>
    </row>
    <row r="708" customHeight="1" spans="1:12">
      <c r="A708" s="1089" t="str">
        <f>IFERROR(__xludf.DUMMYFUNCTION("""COMPUTED_VALUE"""),"CHT-GĐH-100")</f>
        <v>CHT-GĐH-100</v>
      </c>
      <c r="B708" s="1075" t="str">
        <f>IFERROR(__xludf.DUMMYFUNCTION("""COMPUTED_VALUE"""),"Gàu định hình đào mương M1")</f>
        <v>Gàu định hình đào mương M1</v>
      </c>
      <c r="C708" s="1076" t="str">
        <f>IFERROR(__xludf.DUMMYFUNCTION("""COMPUTED_VALUE"""),"CGTC DP")</f>
        <v>CGTC DP</v>
      </c>
      <c r="D708" s="1076" t="str">
        <f>IFERROR(__xludf.DUMMYFUNCTION("""COMPUTED_VALUE"""),"THACO AGRI")</f>
        <v>THACO AGRI</v>
      </c>
      <c r="E708" s="1076" t="str">
        <f>IFERROR(__xludf.DUMMYFUNCTION("""COMPUTED_VALUE"""),"M1")</f>
        <v>M1</v>
      </c>
      <c r="F708" s="1076"/>
      <c r="G708" s="1076" t="str">
        <f>IFERROR(__xludf.DUMMYFUNCTION("""COMPUTED_VALUE"""),"2026")</f>
        <v>2026</v>
      </c>
      <c r="H708" s="1076" t="str">
        <f>IFERROR(__xludf.DUMMYFUNCTION("""COMPUTED_VALUE"""),"1160x420x1200")</f>
        <v>1160x420x1200</v>
      </c>
      <c r="I708" s="1076" t="str">
        <f>IFERROR(__xludf.DUMMYFUNCTION("""COMPUTED_VALUE"""),"MD07")</f>
        <v>MD07</v>
      </c>
      <c r="J708" s="1076"/>
      <c r="K708" s="1076"/>
      <c r="L708" s="1076" t="str">
        <f>IFERROR(__xludf.DUMMYFUNCTION("""COMPUTED_VALUE"""),"KLH")</f>
        <v>KLH</v>
      </c>
    </row>
    <row r="709" customHeight="1" spans="1:12">
      <c r="A709" s="1089" t="str">
        <f>IFERROR(__xludf.DUMMYFUNCTION("""COMPUTED_VALUE"""),"CHT-GĐH-101")</f>
        <v>CHT-GĐH-101</v>
      </c>
      <c r="B709" s="1075" t="str">
        <f>IFERROR(__xludf.DUMMYFUNCTION("""COMPUTED_VALUE"""),"Gàu định hình đào mương M1")</f>
        <v>Gàu định hình đào mương M1</v>
      </c>
      <c r="C709" s="1076" t="str">
        <f>IFERROR(__xludf.DUMMYFUNCTION("""COMPUTED_VALUE"""),"CGTC DP")</f>
        <v>CGTC DP</v>
      </c>
      <c r="D709" s="1076" t="str">
        <f>IFERROR(__xludf.DUMMYFUNCTION("""COMPUTED_VALUE"""),"THACO AGRI")</f>
        <v>THACO AGRI</v>
      </c>
      <c r="E709" s="1076" t="str">
        <f>IFERROR(__xludf.DUMMYFUNCTION("""COMPUTED_VALUE"""),"M1")</f>
        <v>M1</v>
      </c>
      <c r="F709" s="1076"/>
      <c r="G709" s="1076" t="str">
        <f>IFERROR(__xludf.DUMMYFUNCTION("""COMPUTED_VALUE"""),"2026")</f>
        <v>2026</v>
      </c>
      <c r="H709" s="1076" t="str">
        <f>IFERROR(__xludf.DUMMYFUNCTION("""COMPUTED_VALUE"""),"1160x420x1200")</f>
        <v>1160x420x1200</v>
      </c>
      <c r="I709" s="1076" t="str">
        <f>IFERROR(__xludf.DUMMYFUNCTION("""COMPUTED_VALUE"""),"MD05")</f>
        <v>MD05</v>
      </c>
      <c r="J709" s="1076"/>
      <c r="K709" s="1076"/>
      <c r="L709" s="1076" t="str">
        <f>IFERROR(__xludf.DUMMYFUNCTION("""COMPUTED_VALUE"""),"KLH")</f>
        <v>KLH</v>
      </c>
    </row>
    <row r="710" customHeight="1" spans="1:12">
      <c r="A710" s="1089" t="str">
        <f>IFERROR(__xludf.DUMMYFUNCTION("""COMPUTED_VALUE"""),"CHT-GĐH-102")</f>
        <v>CHT-GĐH-102</v>
      </c>
      <c r="B710" s="1075" t="str">
        <f>IFERROR(__xludf.DUMMYFUNCTION("""COMPUTED_VALUE"""),"Gàu định hình đào mương M2")</f>
        <v>Gàu định hình đào mương M2</v>
      </c>
      <c r="C710" s="1076" t="str">
        <f>IFERROR(__xludf.DUMMYFUNCTION("""COMPUTED_VALUE"""),"CGTC DP")</f>
        <v>CGTC DP</v>
      </c>
      <c r="D710" s="1076" t="str">
        <f>IFERROR(__xludf.DUMMYFUNCTION("""COMPUTED_VALUE"""),"THACO AGRI")</f>
        <v>THACO AGRI</v>
      </c>
      <c r="E710" s="1076" t="str">
        <f>IFERROR(__xludf.DUMMYFUNCTION("""COMPUTED_VALUE"""),"M2")</f>
        <v>M2</v>
      </c>
      <c r="F710" s="1076"/>
      <c r="G710" s="1076" t="str">
        <f>IFERROR(__xludf.DUMMYFUNCTION("""COMPUTED_VALUE"""),"2026")</f>
        <v>2026</v>
      </c>
      <c r="H710" s="1076" t="str">
        <f>IFERROR(__xludf.DUMMYFUNCTION("""COMPUTED_VALUE"""),"1550x650x2300")</f>
        <v>1550x650x2300</v>
      </c>
      <c r="I710" s="1076" t="str">
        <f>IFERROR(__xludf.DUMMYFUNCTION("""COMPUTED_VALUE"""),"CAT 320D")</f>
        <v>CAT 320D</v>
      </c>
      <c r="J710" s="1076"/>
      <c r="K710" s="1076"/>
      <c r="L710" s="1076" t="str">
        <f>IFERROR(__xludf.DUMMYFUNCTION("""COMPUTED_VALUE"""),"KLH")</f>
        <v>KLH</v>
      </c>
    </row>
    <row r="711" customHeight="1" spans="1:12">
      <c r="A711" s="1089" t="str">
        <f>IFERROR(__xludf.DUMMYFUNCTION("""COMPUTED_VALUE"""),"CHT-GĐH-103")</f>
        <v>CHT-GĐH-103</v>
      </c>
      <c r="B711" s="1075" t="str">
        <f>IFERROR(__xludf.DUMMYFUNCTION("""COMPUTED_VALUE"""),"Gàu định hình đào mương M2")</f>
        <v>Gàu định hình đào mương M2</v>
      </c>
      <c r="C711" s="1076" t="str">
        <f>IFERROR(__xludf.DUMMYFUNCTION("""COMPUTED_VALUE"""),"CGTC DP")</f>
        <v>CGTC DP</v>
      </c>
      <c r="D711" s="1076" t="str">
        <f>IFERROR(__xludf.DUMMYFUNCTION("""COMPUTED_VALUE"""),"THACO AGRI")</f>
        <v>THACO AGRI</v>
      </c>
      <c r="E711" s="1076" t="str">
        <f>IFERROR(__xludf.DUMMYFUNCTION("""COMPUTED_VALUE"""),"M2")</f>
        <v>M2</v>
      </c>
      <c r="F711" s="1076"/>
      <c r="G711" s="1076" t="str">
        <f>IFERROR(__xludf.DUMMYFUNCTION("""COMPUTED_VALUE"""),"2026")</f>
        <v>2026</v>
      </c>
      <c r="H711" s="1076" t="str">
        <f>IFERROR(__xludf.DUMMYFUNCTION("""COMPUTED_VALUE"""),"1550x650x2300")</f>
        <v>1550x650x2300</v>
      </c>
      <c r="I711" s="1076" t="str">
        <f>IFERROR(__xludf.DUMMYFUNCTION("""COMPUTED_VALUE"""),"CAT 320D")</f>
        <v>CAT 320D</v>
      </c>
      <c r="J711" s="1076"/>
      <c r="K711" s="1076"/>
      <c r="L711" s="1076" t="str">
        <f>IFERROR(__xludf.DUMMYFUNCTION("""COMPUTED_VALUE"""),"KLH")</f>
        <v>KLH</v>
      </c>
    </row>
    <row r="712" customHeight="1" spans="1:12">
      <c r="A712" s="1089" t="str">
        <f>IFERROR(__xludf.DUMMYFUNCTION("""COMPUTED_VALUE"""),"Cơ giới thi công LP")</f>
        <v>Cơ giới thi công LP</v>
      </c>
      <c r="B712" s="1075"/>
      <c r="C712" s="1076"/>
      <c r="D712" s="1076"/>
      <c r="E712" s="1076"/>
      <c r="F712" s="1076"/>
      <c r="G712" s="1076"/>
      <c r="H712" s="1076"/>
      <c r="I712" s="1076"/>
      <c r="J712" s="1076"/>
      <c r="K712" s="1076"/>
      <c r="L712" s="1076" t="str">
        <f>IFERROR(__xludf.DUMMYFUNCTION("""COMPUTED_VALUE"""),"KLH")</f>
        <v>KLH</v>
      </c>
    </row>
    <row r="713" customHeight="1" spans="1:12">
      <c r="A713" s="1089" t="str">
        <f>IFERROR(__xludf.DUMMYFUNCTION("""COMPUTED_VALUE"""),"CHT-BDU-001")</f>
        <v>CHT-BDU-001</v>
      </c>
      <c r="B713" s="1075" t="str">
        <f>IFERROR(__xludf.DUMMYFUNCTION("""COMPUTED_VALUE"""),"Búa đục bê tông")</f>
        <v>Búa đục bê tông</v>
      </c>
      <c r="C713" s="1076" t="str">
        <f>IFERROR(__xludf.DUMMYFUNCTION("""COMPUTED_VALUE"""),"CGTC LP")</f>
        <v>CGTC LP</v>
      </c>
      <c r="D713" s="1076" t="str">
        <f>IFERROR(__xludf.DUMMYFUNCTION("""COMPUTED_VALUE"""),"TRUNG QUỐC")</f>
        <v>TRUNG QUỐC</v>
      </c>
      <c r="E713" s="1076"/>
      <c r="F713" s="1076"/>
      <c r="G713" s="1076"/>
      <c r="H713" s="1076"/>
      <c r="I713" s="1076"/>
      <c r="J713" s="1076"/>
      <c r="K713" s="1076"/>
      <c r="L713" s="1076" t="str">
        <f>IFERROR(__xludf.DUMMYFUNCTION("""COMPUTED_VALUE"""),"KLH")</f>
        <v>KLH</v>
      </c>
    </row>
    <row r="714" customHeight="1" spans="1:12">
      <c r="A714" s="1089" t="str">
        <f>IFERROR(__xludf.DUMMYFUNCTION("""COMPUTED_VALUE"""),"CHT-BDU-004")</f>
        <v>CHT-BDU-004</v>
      </c>
      <c r="B714" s="1075" t="str">
        <f>IFERROR(__xludf.DUMMYFUNCTION("""COMPUTED_VALUE"""),"Búa đục bê tông")</f>
        <v>Búa đục bê tông</v>
      </c>
      <c r="C714" s="1076" t="str">
        <f>IFERROR(__xludf.DUMMYFUNCTION("""COMPUTED_VALUE"""),"CGTC LP")</f>
        <v>CGTC LP</v>
      </c>
      <c r="D714" s="1076" t="str">
        <f>IFERROR(__xludf.DUMMYFUNCTION("""COMPUTED_VALUE"""),"TRUNG QUỐC")</f>
        <v>TRUNG QUỐC</v>
      </c>
      <c r="E714" s="1076" t="str">
        <f>IFERROR(__xludf.DUMMYFUNCTION("""COMPUTED_VALUE"""),"EDT2000")</f>
        <v>EDT2000</v>
      </c>
      <c r="F714" s="1076"/>
      <c r="G714" s="1076" t="str">
        <f>IFERROR(__xludf.DUMMYFUNCTION("""COMPUTED_VALUE"""),"2024")</f>
        <v>2024</v>
      </c>
      <c r="H714" s="1076"/>
      <c r="I714" s="1076" t="str">
        <f>IFERROR(__xludf.DUMMYFUNCTION("""COMPUTED_VALUE"""),"CNC 162D14HB1")</f>
        <v>CNC 162D14HB1</v>
      </c>
      <c r="J714" s="1076"/>
      <c r="K714" s="1076"/>
      <c r="L714" s="1076" t="str">
        <f>IFERROR(__xludf.DUMMYFUNCTION("""COMPUTED_VALUE"""),"KLH")</f>
        <v>KLH</v>
      </c>
    </row>
    <row r="715" customHeight="1" spans="1:12">
      <c r="A715" s="1089" t="str">
        <f>IFERROR(__xludf.DUMMYFUNCTION("""COMPUTED_VALUE"""),"CHT-BDU-006")</f>
        <v>CHT-BDU-006</v>
      </c>
      <c r="B715" s="1075" t="str">
        <f>IFERROR(__xludf.DUMMYFUNCTION("""COMPUTED_VALUE"""),"Búa đục bê tông")</f>
        <v>Búa đục bê tông</v>
      </c>
      <c r="C715" s="1076" t="str">
        <f>IFERROR(__xludf.DUMMYFUNCTION("""COMPUTED_VALUE"""),"CGTC LP")</f>
        <v>CGTC LP</v>
      </c>
      <c r="D715" s="1076" t="str">
        <f>IFERROR(__xludf.DUMMYFUNCTION("""COMPUTED_VALUE"""),"FURUKAWA")</f>
        <v>FURUKAWA</v>
      </c>
      <c r="E715" s="1076" t="str">
        <f>IFERROR(__xludf.DUMMYFUNCTION("""COMPUTED_VALUE"""),"FXJ275/ZB10154")</f>
        <v>FXJ275/ZB10154</v>
      </c>
      <c r="F715" s="1076"/>
      <c r="G715" s="1076" t="str">
        <f>IFERROR(__xludf.DUMMYFUNCTION("""COMPUTED_VALUE"""),"2016")</f>
        <v>2016</v>
      </c>
      <c r="H715" s="1076"/>
      <c r="I715" s="1076" t="str">
        <f>IFERROR(__xludf.DUMMYFUNCTION("""COMPUTED_VALUE"""),"1892")</f>
        <v>1892</v>
      </c>
      <c r="J715" s="1076"/>
      <c r="K715" s="1076"/>
      <c r="L715" s="1076" t="str">
        <f>IFERROR(__xludf.DUMMYFUNCTION("""COMPUTED_VALUE"""),"KLH")</f>
        <v>KLH</v>
      </c>
    </row>
    <row r="716" customHeight="1" spans="1:12">
      <c r="A716" s="1089" t="str">
        <f>IFERROR(__xludf.DUMMYFUNCTION("""COMPUTED_VALUE"""),"CHT-ĐTL-002")</f>
        <v>CHT-ĐTL-002</v>
      </c>
      <c r="B716" s="1075" t="str">
        <f>IFERROR(__xludf.DUMMYFUNCTION("""COMPUTED_VALUE"""),"Đầm taluy (Đầm rung thủy lực)")</f>
        <v>Đầm taluy (Đầm rung thủy lực)</v>
      </c>
      <c r="C716" s="1076" t="str">
        <f>IFERROR(__xludf.DUMMYFUNCTION("""COMPUTED_VALUE"""),"CGTC LP")</f>
        <v>CGTC LP</v>
      </c>
      <c r="D716" s="1076" t="str">
        <f>IFERROR(__xludf.DUMMYFUNCTION("""COMPUTED_VALUE"""),"TRUNG QUỐC")</f>
        <v>TRUNG QUỐC</v>
      </c>
      <c r="E716" s="1076" t="str">
        <f>IFERROR(__xludf.DUMMYFUNCTION("""COMPUTED_VALUE"""),"Taluy")</f>
        <v>Taluy</v>
      </c>
      <c r="F716" s="1076"/>
      <c r="G716" s="1076"/>
      <c r="H716" s="1076"/>
      <c r="I716" s="1076"/>
      <c r="J716" s="1076"/>
      <c r="K716" s="1076"/>
      <c r="L716" s="1076" t="str">
        <f>IFERROR(__xludf.DUMMYFUNCTION("""COMPUTED_VALUE"""),"KLH")</f>
        <v>KLH</v>
      </c>
    </row>
    <row r="717" customHeight="1" spans="1:12">
      <c r="A717" s="1089" t="str">
        <f>IFERROR(__xludf.DUMMYFUNCTION("""COMPUTED_VALUE"""),"CHT-GĐH-001")</f>
        <v>CHT-GĐH-001</v>
      </c>
      <c r="B717" s="1075" t="str">
        <f>IFERROR(__xludf.DUMMYFUNCTION("""COMPUTED_VALUE"""),"Gàu định hình M2")</f>
        <v>Gàu định hình M2</v>
      </c>
      <c r="C717" s="1076" t="str">
        <f>IFERROR(__xludf.DUMMYFUNCTION("""COMPUTED_VALUE"""),"CGTC LP")</f>
        <v>CGTC LP</v>
      </c>
      <c r="D717" s="1076" t="str">
        <f>IFERROR(__xludf.DUMMYFUNCTION("""COMPUTED_VALUE"""),"THACO AGRI")</f>
        <v>THACO AGRI</v>
      </c>
      <c r="E717" s="1076" t="str">
        <f>IFERROR(__xludf.DUMMYFUNCTION("""COMPUTED_VALUE"""),"M2")</f>
        <v>M2</v>
      </c>
      <c r="F717" s="1076"/>
      <c r="G717" s="1076" t="str">
        <f>IFERROR(__xludf.DUMMYFUNCTION("""COMPUTED_VALUE"""),"2024")</f>
        <v>2024</v>
      </c>
      <c r="H717" s="1076" t="str">
        <f>IFERROR(__xludf.DUMMYFUNCTION("""COMPUTED_VALUE"""),"M2")</f>
        <v>M2</v>
      </c>
      <c r="I717" s="1076"/>
      <c r="J717" s="1076"/>
      <c r="K717" s="1076"/>
      <c r="L717" s="1076" t="str">
        <f>IFERROR(__xludf.DUMMYFUNCTION("""COMPUTED_VALUE"""),"KLH")</f>
        <v>KLH</v>
      </c>
    </row>
    <row r="718" customHeight="1" spans="1:12">
      <c r="A718" s="1089" t="str">
        <f>IFERROR(__xludf.DUMMYFUNCTION("""COMPUTED_VALUE"""),"CHT-GĐH-002")</f>
        <v>CHT-GĐH-002</v>
      </c>
      <c r="B718" s="1075" t="str">
        <f>IFERROR(__xludf.DUMMYFUNCTION("""COMPUTED_VALUE"""),"Gàu định hình M0.6")</f>
        <v>Gàu định hình M0.6</v>
      </c>
      <c r="C718" s="1076" t="str">
        <f>IFERROR(__xludf.DUMMYFUNCTION("""COMPUTED_VALUE"""),"CGTC LP")</f>
        <v>CGTC LP</v>
      </c>
      <c r="D718" s="1076" t="str">
        <f>IFERROR(__xludf.DUMMYFUNCTION("""COMPUTED_VALUE"""),"THACO AGRI")</f>
        <v>THACO AGRI</v>
      </c>
      <c r="E718" s="1076" t="str">
        <f>IFERROR(__xludf.DUMMYFUNCTION("""COMPUTED_VALUE"""),"M0.6")</f>
        <v>M0.6</v>
      </c>
      <c r="F718" s="1076"/>
      <c r="G718" s="1076" t="str">
        <f>IFERROR(__xludf.DUMMYFUNCTION("""COMPUTED_VALUE"""),"2024")</f>
        <v>2024</v>
      </c>
      <c r="H718" s="1076" t="str">
        <f>IFERROR(__xludf.DUMMYFUNCTION("""COMPUTED_VALUE"""),"700x200x500")</f>
        <v>700x200x500</v>
      </c>
      <c r="I718" s="1076"/>
      <c r="J718" s="1076"/>
      <c r="K718" s="1076"/>
      <c r="L718" s="1076" t="str">
        <f>IFERROR(__xludf.DUMMYFUNCTION("""COMPUTED_VALUE"""),"KLH")</f>
        <v>KLH</v>
      </c>
    </row>
    <row r="719" customHeight="1" spans="1:12">
      <c r="A719" s="1089" t="str">
        <f>IFERROR(__xludf.DUMMYFUNCTION("""COMPUTED_VALUE"""),"CHT-GĐH-003")</f>
        <v>CHT-GĐH-003</v>
      </c>
      <c r="B719" s="1075" t="str">
        <f>IFERROR(__xludf.DUMMYFUNCTION("""COMPUTED_VALUE"""),"Gàu định hình M0.6")</f>
        <v>Gàu định hình M0.6</v>
      </c>
      <c r="C719" s="1076" t="str">
        <f>IFERROR(__xludf.DUMMYFUNCTION("""COMPUTED_VALUE"""),"CGTC LP")</f>
        <v>CGTC LP</v>
      </c>
      <c r="D719" s="1076" t="str">
        <f>IFERROR(__xludf.DUMMYFUNCTION("""COMPUTED_VALUE"""),"THACO AGRI")</f>
        <v>THACO AGRI</v>
      </c>
      <c r="E719" s="1076" t="str">
        <f>IFERROR(__xludf.DUMMYFUNCTION("""COMPUTED_VALUE"""),"M0.6")</f>
        <v>M0.6</v>
      </c>
      <c r="F719" s="1076"/>
      <c r="G719" s="1076" t="str">
        <f>IFERROR(__xludf.DUMMYFUNCTION("""COMPUTED_VALUE"""),"2024")</f>
        <v>2024</v>
      </c>
      <c r="H719" s="1076" t="str">
        <f>IFERROR(__xludf.DUMMYFUNCTION("""COMPUTED_VALUE"""),"700x200x500")</f>
        <v>700x200x500</v>
      </c>
      <c r="I719" s="1076"/>
      <c r="J719" s="1076"/>
      <c r="K719" s="1076"/>
      <c r="L719" s="1076" t="str">
        <f>IFERROR(__xludf.DUMMYFUNCTION("""COMPUTED_VALUE"""),"KLH")</f>
        <v>KLH</v>
      </c>
    </row>
    <row r="720" customHeight="1" spans="1:12">
      <c r="A720" s="1089" t="str">
        <f>IFERROR(__xludf.DUMMYFUNCTION("""COMPUTED_VALUE"""),"CHT-GĐH-004")</f>
        <v>CHT-GĐH-004</v>
      </c>
      <c r="B720" s="1075" t="str">
        <f>IFERROR(__xludf.DUMMYFUNCTION("""COMPUTED_VALUE"""),"Gàu định hình M0.6")</f>
        <v>Gàu định hình M0.6</v>
      </c>
      <c r="C720" s="1076" t="str">
        <f>IFERROR(__xludf.DUMMYFUNCTION("""COMPUTED_VALUE"""),"CGTC LP")</f>
        <v>CGTC LP</v>
      </c>
      <c r="D720" s="1076" t="str">
        <f>IFERROR(__xludf.DUMMYFUNCTION("""COMPUTED_VALUE"""),"THACO AGRI")</f>
        <v>THACO AGRI</v>
      </c>
      <c r="E720" s="1076" t="str">
        <f>IFERROR(__xludf.DUMMYFUNCTION("""COMPUTED_VALUE"""),"M0.6")</f>
        <v>M0.6</v>
      </c>
      <c r="F720" s="1076"/>
      <c r="G720" s="1076" t="str">
        <f>IFERROR(__xludf.DUMMYFUNCTION("""COMPUTED_VALUE"""),"2024")</f>
        <v>2024</v>
      </c>
      <c r="H720" s="1076" t="str">
        <f>IFERROR(__xludf.DUMMYFUNCTION("""COMPUTED_VALUE"""),"700x200x500")</f>
        <v>700x200x500</v>
      </c>
      <c r="I720" s="1076"/>
      <c r="J720" s="1076"/>
      <c r="K720" s="1076"/>
      <c r="L720" s="1076" t="str">
        <f>IFERROR(__xludf.DUMMYFUNCTION("""COMPUTED_VALUE"""),"KLH")</f>
        <v>KLH</v>
      </c>
    </row>
    <row r="721" customHeight="1" spans="1:12">
      <c r="A721" s="1089" t="str">
        <f>IFERROR(__xludf.DUMMYFUNCTION("""COMPUTED_VALUE"""),"CHT-GĐH-005")</f>
        <v>CHT-GĐH-005</v>
      </c>
      <c r="B721" s="1075" t="str">
        <f>IFERROR(__xludf.DUMMYFUNCTION("""COMPUTED_VALUE"""),"Gàu định hình M0.6")</f>
        <v>Gàu định hình M0.6</v>
      </c>
      <c r="C721" s="1076" t="str">
        <f>IFERROR(__xludf.DUMMYFUNCTION("""COMPUTED_VALUE"""),"CGTC LP")</f>
        <v>CGTC LP</v>
      </c>
      <c r="D721" s="1076" t="str">
        <f>IFERROR(__xludf.DUMMYFUNCTION("""COMPUTED_VALUE"""),"THACO AGRI")</f>
        <v>THACO AGRI</v>
      </c>
      <c r="E721" s="1076" t="str">
        <f>IFERROR(__xludf.DUMMYFUNCTION("""COMPUTED_VALUE"""),"M0.6")</f>
        <v>M0.6</v>
      </c>
      <c r="F721" s="1076"/>
      <c r="G721" s="1076" t="str">
        <f>IFERROR(__xludf.DUMMYFUNCTION("""COMPUTED_VALUE"""),"2024")</f>
        <v>2024</v>
      </c>
      <c r="H721" s="1076" t="str">
        <f>IFERROR(__xludf.DUMMYFUNCTION("""COMPUTED_VALUE"""),"700x200x500")</f>
        <v>700x200x500</v>
      </c>
      <c r="I721" s="1076"/>
      <c r="J721" s="1076"/>
      <c r="K721" s="1076"/>
      <c r="L721" s="1076" t="str">
        <f>IFERROR(__xludf.DUMMYFUNCTION("""COMPUTED_VALUE"""),"KLH")</f>
        <v>KLH</v>
      </c>
    </row>
    <row r="722" customHeight="1" spans="1:12">
      <c r="A722" s="1089" t="str">
        <f>IFERROR(__xludf.DUMMYFUNCTION("""COMPUTED_VALUE"""),"CHT-GĐH-006")</f>
        <v>CHT-GĐH-006</v>
      </c>
      <c r="B722" s="1075" t="str">
        <f>IFERROR(__xludf.DUMMYFUNCTION("""COMPUTED_VALUE"""),"Gàu định hình M0.6")</f>
        <v>Gàu định hình M0.6</v>
      </c>
      <c r="C722" s="1076" t="str">
        <f>IFERROR(__xludf.DUMMYFUNCTION("""COMPUTED_VALUE"""),"CGTC LP")</f>
        <v>CGTC LP</v>
      </c>
      <c r="D722" s="1076" t="str">
        <f>IFERROR(__xludf.DUMMYFUNCTION("""COMPUTED_VALUE"""),"THACO AGRI")</f>
        <v>THACO AGRI</v>
      </c>
      <c r="E722" s="1076" t="str">
        <f>IFERROR(__xludf.DUMMYFUNCTION("""COMPUTED_VALUE"""),"M0.6")</f>
        <v>M0.6</v>
      </c>
      <c r="F722" s="1076"/>
      <c r="G722" s="1076" t="str">
        <f>IFERROR(__xludf.DUMMYFUNCTION("""COMPUTED_VALUE"""),"2024")</f>
        <v>2024</v>
      </c>
      <c r="H722" s="1076" t="str">
        <f>IFERROR(__xludf.DUMMYFUNCTION("""COMPUTED_VALUE"""),"700x200x500")</f>
        <v>700x200x500</v>
      </c>
      <c r="I722" s="1076"/>
      <c r="J722" s="1076"/>
      <c r="K722" s="1076"/>
      <c r="L722" s="1076" t="str">
        <f>IFERROR(__xludf.DUMMYFUNCTION("""COMPUTED_VALUE"""),"KLH")</f>
        <v>KLH</v>
      </c>
    </row>
    <row r="723" customHeight="1" spans="1:12">
      <c r="A723" s="1089" t="str">
        <f>IFERROR(__xludf.DUMMYFUNCTION("""COMPUTED_VALUE"""),"CHT-GĐH-008")</f>
        <v>CHT-GĐH-008</v>
      </c>
      <c r="B723" s="1075" t="str">
        <f>IFERROR(__xludf.DUMMYFUNCTION("""COMPUTED_VALUE"""),"Gàu định hình M0.8")</f>
        <v>Gàu định hình M0.8</v>
      </c>
      <c r="C723" s="1076" t="str">
        <f>IFERROR(__xludf.DUMMYFUNCTION("""COMPUTED_VALUE"""),"CGTC LP")</f>
        <v>CGTC LP</v>
      </c>
      <c r="D723" s="1076" t="str">
        <f>IFERROR(__xludf.DUMMYFUNCTION("""COMPUTED_VALUE"""),"THACO AGRI")</f>
        <v>THACO AGRI</v>
      </c>
      <c r="E723" s="1076" t="str">
        <f>IFERROR(__xludf.DUMMYFUNCTION("""COMPUTED_VALUE"""),"M0.8")</f>
        <v>M0.8</v>
      </c>
      <c r="F723" s="1076"/>
      <c r="G723" s="1076" t="str">
        <f>IFERROR(__xludf.DUMMYFUNCTION("""COMPUTED_VALUE"""),"2024")</f>
        <v>2024</v>
      </c>
      <c r="H723" s="1076" t="str">
        <f>IFERROR(__xludf.DUMMYFUNCTION("""COMPUTED_VALUE"""),"1000x300x550")</f>
        <v>1000x300x550</v>
      </c>
      <c r="I723" s="1076"/>
      <c r="J723" s="1076"/>
      <c r="K723" s="1076"/>
      <c r="L723" s="1076" t="str">
        <f>IFERROR(__xludf.DUMMYFUNCTION("""COMPUTED_VALUE"""),"KLH")</f>
        <v>KLH</v>
      </c>
    </row>
    <row r="724" customHeight="1" spans="1:12">
      <c r="A724" s="1089" t="str">
        <f>IFERROR(__xludf.DUMMYFUNCTION("""COMPUTED_VALUE"""),"CHT-GĐH-009")</f>
        <v>CHT-GĐH-009</v>
      </c>
      <c r="B724" s="1075" t="str">
        <f>IFERROR(__xludf.DUMMYFUNCTION("""COMPUTED_VALUE"""),"Gàu định hình M0.8")</f>
        <v>Gàu định hình M0.8</v>
      </c>
      <c r="C724" s="1076" t="str">
        <f>IFERROR(__xludf.DUMMYFUNCTION("""COMPUTED_VALUE"""),"CGTC LP")</f>
        <v>CGTC LP</v>
      </c>
      <c r="D724" s="1076" t="str">
        <f>IFERROR(__xludf.DUMMYFUNCTION("""COMPUTED_VALUE"""),"THACO AGRI")</f>
        <v>THACO AGRI</v>
      </c>
      <c r="E724" s="1076" t="str">
        <f>IFERROR(__xludf.DUMMYFUNCTION("""COMPUTED_VALUE"""),"M0.8")</f>
        <v>M0.8</v>
      </c>
      <c r="F724" s="1076"/>
      <c r="G724" s="1076" t="str">
        <f>IFERROR(__xludf.DUMMYFUNCTION("""COMPUTED_VALUE"""),"2024")</f>
        <v>2024</v>
      </c>
      <c r="H724" s="1076" t="str">
        <f>IFERROR(__xludf.DUMMYFUNCTION("""COMPUTED_VALUE"""),"1000x300x550")</f>
        <v>1000x300x550</v>
      </c>
      <c r="I724" s="1076"/>
      <c r="J724" s="1076"/>
      <c r="K724" s="1076"/>
      <c r="L724" s="1076" t="str">
        <f>IFERROR(__xludf.DUMMYFUNCTION("""COMPUTED_VALUE"""),"KLH")</f>
        <v>KLH</v>
      </c>
    </row>
    <row r="725" customHeight="1" spans="1:12">
      <c r="A725" s="1089" t="str">
        <f>IFERROR(__xludf.DUMMYFUNCTION("""COMPUTED_VALUE"""),"CHT-GĐH-011")</f>
        <v>CHT-GĐH-011</v>
      </c>
      <c r="B725" s="1075" t="str">
        <f>IFERROR(__xludf.DUMMYFUNCTION("""COMPUTED_VALUE"""),"Gàu định hình M1")</f>
        <v>Gàu định hình M1</v>
      </c>
      <c r="C725" s="1076" t="str">
        <f>IFERROR(__xludf.DUMMYFUNCTION("""COMPUTED_VALUE"""),"CGTC LP")</f>
        <v>CGTC LP</v>
      </c>
      <c r="D725" s="1076" t="str">
        <f>IFERROR(__xludf.DUMMYFUNCTION("""COMPUTED_VALUE"""),"THACO AGRI")</f>
        <v>THACO AGRI</v>
      </c>
      <c r="E725" s="1076" t="str">
        <f>IFERROR(__xludf.DUMMYFUNCTION("""COMPUTED_VALUE"""),"M1")</f>
        <v>M1</v>
      </c>
      <c r="F725" s="1076"/>
      <c r="G725" s="1076" t="str">
        <f>IFERROR(__xludf.DUMMYFUNCTION("""COMPUTED_VALUE"""),"2024")</f>
        <v>2024</v>
      </c>
      <c r="H725" s="1076" t="str">
        <f>IFERROR(__xludf.DUMMYFUNCTION("""COMPUTED_VALUE"""),"120x30x80")</f>
        <v>120x30x80</v>
      </c>
      <c r="I725" s="1076"/>
      <c r="J725" s="1076"/>
      <c r="K725" s="1076"/>
      <c r="L725" s="1076" t="str">
        <f>IFERROR(__xludf.DUMMYFUNCTION("""COMPUTED_VALUE"""),"KLH")</f>
        <v>KLH</v>
      </c>
    </row>
    <row r="726" customHeight="1" spans="1:12">
      <c r="A726" s="1089" t="str">
        <f>IFERROR(__xludf.DUMMYFUNCTION("""COMPUTED_VALUE"""),"CHT-GĐH-012")</f>
        <v>CHT-GĐH-012</v>
      </c>
      <c r="B726" s="1075" t="str">
        <f>IFERROR(__xludf.DUMMYFUNCTION("""COMPUTED_VALUE"""),"Gàu định hình M1")</f>
        <v>Gàu định hình M1</v>
      </c>
      <c r="C726" s="1076" t="str">
        <f>IFERROR(__xludf.DUMMYFUNCTION("""COMPUTED_VALUE"""),"CGTC LP")</f>
        <v>CGTC LP</v>
      </c>
      <c r="D726" s="1076" t="str">
        <f>IFERROR(__xludf.DUMMYFUNCTION("""COMPUTED_VALUE"""),"THACO AGRI")</f>
        <v>THACO AGRI</v>
      </c>
      <c r="E726" s="1076" t="str">
        <f>IFERROR(__xludf.DUMMYFUNCTION("""COMPUTED_VALUE"""),"M1")</f>
        <v>M1</v>
      </c>
      <c r="F726" s="1076"/>
      <c r="G726" s="1076" t="str">
        <f>IFERROR(__xludf.DUMMYFUNCTION("""COMPUTED_VALUE"""),"2024")</f>
        <v>2024</v>
      </c>
      <c r="H726" s="1076" t="str">
        <f>IFERROR(__xludf.DUMMYFUNCTION("""COMPUTED_VALUE"""),"120x30x80")</f>
        <v>120x30x80</v>
      </c>
      <c r="I726" s="1076"/>
      <c r="J726" s="1076"/>
      <c r="K726" s="1076"/>
      <c r="L726" s="1076" t="str">
        <f>IFERROR(__xludf.DUMMYFUNCTION("""COMPUTED_VALUE"""),"KLH")</f>
        <v>KLH</v>
      </c>
    </row>
    <row r="727" customHeight="1" spans="1:12">
      <c r="A727" s="1089" t="str">
        <f>IFERROR(__xludf.DUMMYFUNCTION("""COMPUTED_VALUE"""),"CHT-GĐH-013")</f>
        <v>CHT-GĐH-013</v>
      </c>
      <c r="B727" s="1075" t="str">
        <f>IFERROR(__xludf.DUMMYFUNCTION("""COMPUTED_VALUE"""),"Gàu định hình M1.5")</f>
        <v>Gàu định hình M1.5</v>
      </c>
      <c r="C727" s="1076" t="str">
        <f>IFERROR(__xludf.DUMMYFUNCTION("""COMPUTED_VALUE"""),"CGTC LP")</f>
        <v>CGTC LP</v>
      </c>
      <c r="D727" s="1076" t="str">
        <f>IFERROR(__xludf.DUMMYFUNCTION("""COMPUTED_VALUE"""),"THACO AGRI")</f>
        <v>THACO AGRI</v>
      </c>
      <c r="E727" s="1076" t="str">
        <f>IFERROR(__xludf.DUMMYFUNCTION("""COMPUTED_VALUE"""),"M1.5")</f>
        <v>M1.5</v>
      </c>
      <c r="F727" s="1076"/>
      <c r="G727" s="1076" t="str">
        <f>IFERROR(__xludf.DUMMYFUNCTION("""COMPUTED_VALUE"""),"2024")</f>
        <v>2024</v>
      </c>
      <c r="H727" s="1076" t="str">
        <f>IFERROR(__xludf.DUMMYFUNCTION("""COMPUTED_VALUE"""),"1800x400x1200")</f>
        <v>1800x400x1200</v>
      </c>
      <c r="I727" s="1076"/>
      <c r="J727" s="1076"/>
      <c r="K727" s="1076"/>
      <c r="L727" s="1076" t="str">
        <f>IFERROR(__xludf.DUMMYFUNCTION("""COMPUTED_VALUE"""),"KLH")</f>
        <v>KLH</v>
      </c>
    </row>
    <row r="728" customHeight="1" spans="1:12">
      <c r="A728" s="1089" t="str">
        <f>IFERROR(__xludf.DUMMYFUNCTION("""COMPUTED_VALUE"""),"CHT-GĐH-015")</f>
        <v>CHT-GĐH-015</v>
      </c>
      <c r="B728" s="1075" t="str">
        <f>IFERROR(__xludf.DUMMYFUNCTION("""COMPUTED_VALUE"""),"Gàu định hình M3")</f>
        <v>Gàu định hình M3</v>
      </c>
      <c r="C728" s="1076" t="str">
        <f>IFERROR(__xludf.DUMMYFUNCTION("""COMPUTED_VALUE"""),"CGTC LP")</f>
        <v>CGTC LP</v>
      </c>
      <c r="D728" s="1076" t="str">
        <f>IFERROR(__xludf.DUMMYFUNCTION("""COMPUTED_VALUE"""),"THACO AGRI")</f>
        <v>THACO AGRI</v>
      </c>
      <c r="E728" s="1076" t="str">
        <f>IFERROR(__xludf.DUMMYFUNCTION("""COMPUTED_VALUE"""),"M3")</f>
        <v>M3</v>
      </c>
      <c r="F728" s="1076"/>
      <c r="G728" s="1076" t="str">
        <f>IFERROR(__xludf.DUMMYFUNCTION("""COMPUTED_VALUE"""),"2024")</f>
        <v>2024</v>
      </c>
      <c r="H728" s="1076" t="str">
        <f>IFERROR(__xludf.DUMMYFUNCTION("""COMPUTED_VALUE"""),"3000x950x1800")</f>
        <v>3000x950x1800</v>
      </c>
      <c r="I728" s="1076"/>
      <c r="J728" s="1076"/>
      <c r="K728" s="1076"/>
      <c r="L728" s="1076" t="str">
        <f>IFERROR(__xludf.DUMMYFUNCTION("""COMPUTED_VALUE"""),"KLH")</f>
        <v>KLH</v>
      </c>
    </row>
    <row r="729" customHeight="1" spans="1:12">
      <c r="A729" s="1089" t="str">
        <f>IFERROR(__xludf.DUMMYFUNCTION("""COMPUTED_VALUE"""),"CHT-GĐH-016")</f>
        <v>CHT-GĐH-016</v>
      </c>
      <c r="B729" s="1075" t="str">
        <f>IFERROR(__xludf.DUMMYFUNCTION("""COMPUTED_VALUE"""),"Gàu định hình M3")</f>
        <v>Gàu định hình M3</v>
      </c>
      <c r="C729" s="1076" t="str">
        <f>IFERROR(__xludf.DUMMYFUNCTION("""COMPUTED_VALUE"""),"CGTC LP")</f>
        <v>CGTC LP</v>
      </c>
      <c r="D729" s="1076" t="str">
        <f>IFERROR(__xludf.DUMMYFUNCTION("""COMPUTED_VALUE"""),"THACO AGRI")</f>
        <v>THACO AGRI</v>
      </c>
      <c r="E729" s="1076" t="str">
        <f>IFERROR(__xludf.DUMMYFUNCTION("""COMPUTED_VALUE"""),"M3")</f>
        <v>M3</v>
      </c>
      <c r="F729" s="1076"/>
      <c r="G729" s="1076" t="str">
        <f>IFERROR(__xludf.DUMMYFUNCTION("""COMPUTED_VALUE"""),"2024")</f>
        <v>2024</v>
      </c>
      <c r="H729" s="1076" t="str">
        <f>IFERROR(__xludf.DUMMYFUNCTION("""COMPUTED_VALUE"""),"3000x950x1800")</f>
        <v>3000x950x1800</v>
      </c>
      <c r="I729" s="1076"/>
      <c r="J729" s="1076"/>
      <c r="K729" s="1076"/>
      <c r="L729" s="1076" t="str">
        <f>IFERROR(__xludf.DUMMYFUNCTION("""COMPUTED_VALUE"""),"KLH")</f>
        <v>KLH</v>
      </c>
    </row>
    <row r="730" customHeight="1" spans="1:12">
      <c r="A730" s="1089" t="str">
        <f>IFERROR(__xludf.DUMMYFUNCTION("""COMPUTED_VALUE"""),"CHT-GĐH-059")</f>
        <v>CHT-GĐH-059</v>
      </c>
      <c r="B730" s="1075" t="str">
        <f>IFERROR(__xludf.DUMMYFUNCTION("""COMPUTED_VALUE"""),"Gàu định hình đảo mương thửa")</f>
        <v>Gàu định hình đảo mương thửa</v>
      </c>
      <c r="C730" s="1076" t="str">
        <f>IFERROR(__xludf.DUMMYFUNCTION("""COMPUTED_VALUE"""),"CGTC LP")</f>
        <v>CGTC LP</v>
      </c>
      <c r="D730" s="1076" t="str">
        <f>IFERROR(__xludf.DUMMYFUNCTION("""COMPUTED_VALUE"""),"THACO AGRI")</f>
        <v>THACO AGRI</v>
      </c>
      <c r="E730" s="1076"/>
      <c r="F730" s="1076"/>
      <c r="G730" s="1076" t="str">
        <f>IFERROR(__xludf.DUMMYFUNCTION("""COMPUTED_VALUE"""),"2025")</f>
        <v>2025</v>
      </c>
      <c r="H730" s="1076" t="str">
        <f>IFERROR(__xludf.DUMMYFUNCTION("""COMPUTED_VALUE"""),"1200x200x1200")</f>
        <v>1200x200x1200</v>
      </c>
      <c r="I730" s="1076"/>
      <c r="J730" s="1076"/>
      <c r="K730" s="1076"/>
      <c r="L730" s="1076" t="str">
        <f>IFERROR(__xludf.DUMMYFUNCTION("""COMPUTED_VALUE"""),"KLH")</f>
        <v>KLH</v>
      </c>
    </row>
    <row r="731" customHeight="1" spans="1:12">
      <c r="A731" s="1089" t="str">
        <f>IFERROR(__xludf.DUMMYFUNCTION("""COMPUTED_VALUE"""),"CHT-GĐH-060")</f>
        <v>CHT-GĐH-060</v>
      </c>
      <c r="B731" s="1075" t="str">
        <f>IFERROR(__xludf.DUMMYFUNCTION("""COMPUTED_VALUE"""),"Gàu định hình đảo mương thửa")</f>
        <v>Gàu định hình đảo mương thửa</v>
      </c>
      <c r="C731" s="1076" t="str">
        <f>IFERROR(__xludf.DUMMYFUNCTION("""COMPUTED_VALUE"""),"CGTC LP")</f>
        <v>CGTC LP</v>
      </c>
      <c r="D731" s="1076" t="str">
        <f>IFERROR(__xludf.DUMMYFUNCTION("""COMPUTED_VALUE"""),"THACO AGRI")</f>
        <v>THACO AGRI</v>
      </c>
      <c r="E731" s="1076"/>
      <c r="F731" s="1076"/>
      <c r="G731" s="1076" t="str">
        <f>IFERROR(__xludf.DUMMYFUNCTION("""COMPUTED_VALUE"""),"2025")</f>
        <v>2025</v>
      </c>
      <c r="H731" s="1076" t="str">
        <f>IFERROR(__xludf.DUMMYFUNCTION("""COMPUTED_VALUE"""),"1200x200x1200")</f>
        <v>1200x200x1200</v>
      </c>
      <c r="I731" s="1076"/>
      <c r="J731" s="1076"/>
      <c r="K731" s="1076"/>
      <c r="L731" s="1076" t="str">
        <f>IFERROR(__xludf.DUMMYFUNCTION("""COMPUTED_VALUE"""),"KLH")</f>
        <v>KLH</v>
      </c>
    </row>
    <row r="732" customHeight="1" spans="1:12">
      <c r="A732" s="1089" t="str">
        <f>IFERROR(__xludf.DUMMYFUNCTION("""COMPUTED_VALUE"""),"CHT-GĐH-061")</f>
        <v>CHT-GĐH-061</v>
      </c>
      <c r="B732" s="1075" t="str">
        <f>IFERROR(__xludf.DUMMYFUNCTION("""COMPUTED_VALUE"""),"Gàu định hình đảo mương thửa")</f>
        <v>Gàu định hình đảo mương thửa</v>
      </c>
      <c r="C732" s="1076" t="str">
        <f>IFERROR(__xludf.DUMMYFUNCTION("""COMPUTED_VALUE"""),"CGTC LP")</f>
        <v>CGTC LP</v>
      </c>
      <c r="D732" s="1076" t="str">
        <f>IFERROR(__xludf.DUMMYFUNCTION("""COMPUTED_VALUE"""),"THACO AGRI")</f>
        <v>THACO AGRI</v>
      </c>
      <c r="E732" s="1076"/>
      <c r="F732" s="1076"/>
      <c r="G732" s="1076" t="str">
        <f>IFERROR(__xludf.DUMMYFUNCTION("""COMPUTED_VALUE"""),"2025")</f>
        <v>2025</v>
      </c>
      <c r="H732" s="1076" t="str">
        <f>IFERROR(__xludf.DUMMYFUNCTION("""COMPUTED_VALUE"""),"1200x200x1200")</f>
        <v>1200x200x1200</v>
      </c>
      <c r="I732" s="1076"/>
      <c r="J732" s="1076"/>
      <c r="K732" s="1076"/>
      <c r="L732" s="1076" t="str">
        <f>IFERROR(__xludf.DUMMYFUNCTION("""COMPUTED_VALUE"""),"KLH")</f>
        <v>KLH</v>
      </c>
    </row>
    <row r="733" customHeight="1" spans="1:12">
      <c r="A733" s="1089" t="str">
        <f>IFERROR(__xludf.DUMMYFUNCTION("""COMPUTED_VALUE"""),"CHT-GĐH-062")</f>
        <v>CHT-GĐH-062</v>
      </c>
      <c r="B733" s="1075" t="str">
        <f>IFERROR(__xludf.DUMMYFUNCTION("""COMPUTED_VALUE"""),"Gàu định hình đảo mương thửa")</f>
        <v>Gàu định hình đảo mương thửa</v>
      </c>
      <c r="C733" s="1076" t="str">
        <f>IFERROR(__xludf.DUMMYFUNCTION("""COMPUTED_VALUE"""),"CGTC LP")</f>
        <v>CGTC LP</v>
      </c>
      <c r="D733" s="1076" t="str">
        <f>IFERROR(__xludf.DUMMYFUNCTION("""COMPUTED_VALUE"""),"THACO AGRI")</f>
        <v>THACO AGRI</v>
      </c>
      <c r="E733" s="1076"/>
      <c r="F733" s="1076"/>
      <c r="G733" s="1076" t="str">
        <f>IFERROR(__xludf.DUMMYFUNCTION("""COMPUTED_VALUE"""),"2025")</f>
        <v>2025</v>
      </c>
      <c r="H733" s="1076" t="str">
        <f>IFERROR(__xludf.DUMMYFUNCTION("""COMPUTED_VALUE"""),"1200x200x1200")</f>
        <v>1200x200x1200</v>
      </c>
      <c r="I733" s="1076"/>
      <c r="J733" s="1076"/>
      <c r="K733" s="1076"/>
      <c r="L733" s="1076" t="str">
        <f>IFERROR(__xludf.DUMMYFUNCTION("""COMPUTED_VALUE"""),"KLH")</f>
        <v>KLH</v>
      </c>
    </row>
    <row r="734" customHeight="1" spans="1:12">
      <c r="A734" s="1089" t="str">
        <f>IFERROR(__xludf.DUMMYFUNCTION("""COMPUTED_VALUE"""),"CHT-GĐH-063")</f>
        <v>CHT-GĐH-063</v>
      </c>
      <c r="B734" s="1075" t="str">
        <f>IFERROR(__xludf.DUMMYFUNCTION("""COMPUTED_VALUE"""),"Gàu định hình đảo mương thửa")</f>
        <v>Gàu định hình đảo mương thửa</v>
      </c>
      <c r="C734" s="1076" t="str">
        <f>IFERROR(__xludf.DUMMYFUNCTION("""COMPUTED_VALUE"""),"CGTC LP")</f>
        <v>CGTC LP</v>
      </c>
      <c r="D734" s="1076" t="str">
        <f>IFERROR(__xludf.DUMMYFUNCTION("""COMPUTED_VALUE"""),"THACO AGRI")</f>
        <v>THACO AGRI</v>
      </c>
      <c r="E734" s="1076"/>
      <c r="F734" s="1076"/>
      <c r="G734" s="1076" t="str">
        <f>IFERROR(__xludf.DUMMYFUNCTION("""COMPUTED_VALUE"""),"2025")</f>
        <v>2025</v>
      </c>
      <c r="H734" s="1076" t="str">
        <f>IFERROR(__xludf.DUMMYFUNCTION("""COMPUTED_VALUE"""),"1200x200x1200")</f>
        <v>1200x200x1200</v>
      </c>
      <c r="I734" s="1076"/>
      <c r="J734" s="1076"/>
      <c r="K734" s="1076"/>
      <c r="L734" s="1076" t="str">
        <f>IFERROR(__xludf.DUMMYFUNCTION("""COMPUTED_VALUE"""),"KLH")</f>
        <v>KLH</v>
      </c>
    </row>
    <row r="735" customHeight="1" spans="1:12">
      <c r="A735" s="1089" t="str">
        <f>IFERROR(__xludf.DUMMYFUNCTION("""COMPUTED_VALUE"""),"CHT-GĐH-064")</f>
        <v>CHT-GĐH-064</v>
      </c>
      <c r="B735" s="1075" t="str">
        <f>IFERROR(__xludf.DUMMYFUNCTION("""COMPUTED_VALUE"""),"Gàu định hình đảo mương lô")</f>
        <v>Gàu định hình đảo mương lô</v>
      </c>
      <c r="C735" s="1076" t="str">
        <f>IFERROR(__xludf.DUMMYFUNCTION("""COMPUTED_VALUE"""),"CGTC LP")</f>
        <v>CGTC LP</v>
      </c>
      <c r="D735" s="1076" t="str">
        <f>IFERROR(__xludf.DUMMYFUNCTION("""COMPUTED_VALUE"""),"THACO AGRI")</f>
        <v>THACO AGRI</v>
      </c>
      <c r="E735" s="1076"/>
      <c r="F735" s="1076"/>
      <c r="G735" s="1076" t="str">
        <f>IFERROR(__xludf.DUMMYFUNCTION("""COMPUTED_VALUE"""),"2025")</f>
        <v>2025</v>
      </c>
      <c r="H735" s="1076" t="str">
        <f>IFERROR(__xludf.DUMMYFUNCTION("""COMPUTED_VALUE"""),"2000x200x2000")</f>
        <v>2000x200x2000</v>
      </c>
      <c r="I735" s="1076"/>
      <c r="J735" s="1076"/>
      <c r="K735" s="1076"/>
      <c r="L735" s="1076" t="str">
        <f>IFERROR(__xludf.DUMMYFUNCTION("""COMPUTED_VALUE"""),"KLH")</f>
        <v>KLH</v>
      </c>
    </row>
    <row r="736" customHeight="1" spans="1:12">
      <c r="A736" s="1089" t="str">
        <f>IFERROR(__xludf.DUMMYFUNCTION("""COMPUTED_VALUE"""),"CHT-GĐH-079")</f>
        <v>CHT-GĐH-079</v>
      </c>
      <c r="B736" s="1075" t="str">
        <f>IFERROR(__xludf.DUMMYFUNCTION("""COMPUTED_VALUE"""),"Gàu định hình đào mương M1.2")</f>
        <v>Gàu định hình đào mương M1.2</v>
      </c>
      <c r="C736" s="1076" t="str">
        <f>IFERROR(__xludf.DUMMYFUNCTION("""COMPUTED_VALUE"""),"CGTC LP")</f>
        <v>CGTC LP</v>
      </c>
      <c r="D736" s="1076" t="str">
        <f>IFERROR(__xludf.DUMMYFUNCTION("""COMPUTED_VALUE"""),"THACO AGRI")</f>
        <v>THACO AGRI</v>
      </c>
      <c r="E736" s="1076" t="str">
        <f>IFERROR(__xludf.DUMMYFUNCTION("""COMPUTED_VALUE"""),"M1.2")</f>
        <v>M1.2</v>
      </c>
      <c r="F736" s="1076"/>
      <c r="G736" s="1076" t="str">
        <f>IFERROR(__xludf.DUMMYFUNCTION("""COMPUTED_VALUE"""),"2025")</f>
        <v>2025</v>
      </c>
      <c r="H736" s="1076" t="str">
        <f>IFERROR(__xludf.DUMMYFUNCTION("""COMPUTED_VALUE"""),"1200x400x1200")</f>
        <v>1200x400x1200</v>
      </c>
      <c r="I736" s="1076"/>
      <c r="J736" s="1076"/>
      <c r="K736" s="1076"/>
      <c r="L736" s="1076" t="str">
        <f>IFERROR(__xludf.DUMMYFUNCTION("""COMPUTED_VALUE"""),"KLH")</f>
        <v>KLH</v>
      </c>
    </row>
    <row r="737" customHeight="1" spans="1:12">
      <c r="A737" s="1089" t="str">
        <f>IFERROR(__xludf.DUMMYFUNCTION("""COMPUTED_VALUE"""),"CHT-GĐH-080")</f>
        <v>CHT-GĐH-080</v>
      </c>
      <c r="B737" s="1075" t="str">
        <f>IFERROR(__xludf.DUMMYFUNCTION("""COMPUTED_VALUE"""),"Gàu định hình đào mương M1.2")</f>
        <v>Gàu định hình đào mương M1.2</v>
      </c>
      <c r="C737" s="1076" t="str">
        <f>IFERROR(__xludf.DUMMYFUNCTION("""COMPUTED_VALUE"""),"CGTC LP")</f>
        <v>CGTC LP</v>
      </c>
      <c r="D737" s="1076" t="str">
        <f>IFERROR(__xludf.DUMMYFUNCTION("""COMPUTED_VALUE"""),"THACO AGRI")</f>
        <v>THACO AGRI</v>
      </c>
      <c r="E737" s="1076" t="str">
        <f>IFERROR(__xludf.DUMMYFUNCTION("""COMPUTED_VALUE"""),"M1.2")</f>
        <v>M1.2</v>
      </c>
      <c r="F737" s="1076"/>
      <c r="G737" s="1076" t="str">
        <f>IFERROR(__xludf.DUMMYFUNCTION("""COMPUTED_VALUE"""),"2025")</f>
        <v>2025</v>
      </c>
      <c r="H737" s="1076" t="str">
        <f>IFERROR(__xludf.DUMMYFUNCTION("""COMPUTED_VALUE"""),"1200x400x1200")</f>
        <v>1200x400x1200</v>
      </c>
      <c r="I737" s="1076"/>
      <c r="J737" s="1076"/>
      <c r="K737" s="1076"/>
      <c r="L737" s="1076" t="str">
        <f>IFERROR(__xludf.DUMMYFUNCTION("""COMPUTED_VALUE"""),"KLH")</f>
        <v>KLH</v>
      </c>
    </row>
    <row r="738" customHeight="1" spans="1:12">
      <c r="A738" s="1089" t="str">
        <f>IFERROR(__xludf.DUMMYFUNCTION("""COMPUTED_VALUE"""),"CHT-GĐH-081")</f>
        <v>CHT-GĐH-081</v>
      </c>
      <c r="B738" s="1075" t="str">
        <f>IFERROR(__xludf.DUMMYFUNCTION("""COMPUTED_VALUE"""),"Gàu định hình đào mương M1.2")</f>
        <v>Gàu định hình đào mương M1.2</v>
      </c>
      <c r="C738" s="1076" t="str">
        <f>IFERROR(__xludf.DUMMYFUNCTION("""COMPUTED_VALUE"""),"CGTC LP")</f>
        <v>CGTC LP</v>
      </c>
      <c r="D738" s="1076" t="str">
        <f>IFERROR(__xludf.DUMMYFUNCTION("""COMPUTED_VALUE"""),"THACO AGRI")</f>
        <v>THACO AGRI</v>
      </c>
      <c r="E738" s="1076" t="str">
        <f>IFERROR(__xludf.DUMMYFUNCTION("""COMPUTED_VALUE"""),"M1.2")</f>
        <v>M1.2</v>
      </c>
      <c r="F738" s="1076"/>
      <c r="G738" s="1076" t="str">
        <f>IFERROR(__xludf.DUMMYFUNCTION("""COMPUTED_VALUE"""),"2025")</f>
        <v>2025</v>
      </c>
      <c r="H738" s="1076" t="str">
        <f>IFERROR(__xludf.DUMMYFUNCTION("""COMPUTED_VALUE"""),"1200x400x1200")</f>
        <v>1200x400x1200</v>
      </c>
      <c r="I738" s="1076"/>
      <c r="J738" s="1076"/>
      <c r="K738" s="1076"/>
      <c r="L738" s="1076" t="str">
        <f>IFERROR(__xludf.DUMMYFUNCTION("""COMPUTED_VALUE"""),"KLH")</f>
        <v>KLH</v>
      </c>
    </row>
    <row r="739" customHeight="1" spans="1:12">
      <c r="A739" s="1089" t="str">
        <f>IFERROR(__xludf.DUMMYFUNCTION("""COMPUTED_VALUE"""),"CHT-GĐH-082")</f>
        <v>CHT-GĐH-082</v>
      </c>
      <c r="B739" s="1075" t="str">
        <f>IFERROR(__xludf.DUMMYFUNCTION("""COMPUTED_VALUE"""),"Gàu định hình đào mương M1.2")</f>
        <v>Gàu định hình đào mương M1.2</v>
      </c>
      <c r="C739" s="1076" t="str">
        <f>IFERROR(__xludf.DUMMYFUNCTION("""COMPUTED_VALUE"""),"CGTC LP")</f>
        <v>CGTC LP</v>
      </c>
      <c r="D739" s="1076" t="str">
        <f>IFERROR(__xludf.DUMMYFUNCTION("""COMPUTED_VALUE"""),"THACO AGRI")</f>
        <v>THACO AGRI</v>
      </c>
      <c r="E739" s="1076" t="str">
        <f>IFERROR(__xludf.DUMMYFUNCTION("""COMPUTED_VALUE"""),"M1.2")</f>
        <v>M1.2</v>
      </c>
      <c r="F739" s="1076"/>
      <c r="G739" s="1076" t="str">
        <f>IFERROR(__xludf.DUMMYFUNCTION("""COMPUTED_VALUE"""),"2025")</f>
        <v>2025</v>
      </c>
      <c r="H739" s="1076" t="str">
        <f>IFERROR(__xludf.DUMMYFUNCTION("""COMPUTED_VALUE"""),"1200x400x1200")</f>
        <v>1200x400x1200</v>
      </c>
      <c r="I739" s="1076"/>
      <c r="J739" s="1076"/>
      <c r="K739" s="1076"/>
      <c r="L739" s="1076" t="str">
        <f>IFERROR(__xludf.DUMMYFUNCTION("""COMPUTED_VALUE"""),"KLH")</f>
        <v>KLH</v>
      </c>
    </row>
    <row r="740" customHeight="1" spans="1:12">
      <c r="A740" s="1089" t="str">
        <f>IFERROR(__xludf.DUMMYFUNCTION("""COMPUTED_VALUE"""),"CHT-GĐH-083")</f>
        <v>CHT-GĐH-083</v>
      </c>
      <c r="B740" s="1075" t="str">
        <f>IFERROR(__xludf.DUMMYFUNCTION("""COMPUTED_VALUE"""),"Gàu định hình đào mương M1.2")</f>
        <v>Gàu định hình đào mương M1.2</v>
      </c>
      <c r="C740" s="1076" t="str">
        <f>IFERROR(__xludf.DUMMYFUNCTION("""COMPUTED_VALUE"""),"CGTC LP")</f>
        <v>CGTC LP</v>
      </c>
      <c r="D740" s="1076" t="str">
        <f>IFERROR(__xludf.DUMMYFUNCTION("""COMPUTED_VALUE"""),"THACO AGRI")</f>
        <v>THACO AGRI</v>
      </c>
      <c r="E740" s="1076" t="str">
        <f>IFERROR(__xludf.DUMMYFUNCTION("""COMPUTED_VALUE"""),"M1.2")</f>
        <v>M1.2</v>
      </c>
      <c r="F740" s="1076"/>
      <c r="G740" s="1076" t="str">
        <f>IFERROR(__xludf.DUMMYFUNCTION("""COMPUTED_VALUE"""),"2025")</f>
        <v>2025</v>
      </c>
      <c r="H740" s="1076" t="str">
        <f>IFERROR(__xludf.DUMMYFUNCTION("""COMPUTED_VALUE"""),"1200x400x1200")</f>
        <v>1200x400x1200</v>
      </c>
      <c r="I740" s="1076"/>
      <c r="J740" s="1076"/>
      <c r="K740" s="1076"/>
      <c r="L740" s="1076" t="str">
        <f>IFERROR(__xludf.DUMMYFUNCTION("""COMPUTED_VALUE"""),"KLH")</f>
        <v>KLH</v>
      </c>
    </row>
    <row r="741" customHeight="1" spans="1:12">
      <c r="A741" s="1089" t="str">
        <f>IFERROR(__xludf.DUMMYFUNCTION("""COMPUTED_VALUE"""),"CHT-GĐH-086")</f>
        <v>CHT-GĐH-086</v>
      </c>
      <c r="B741" s="1075" t="str">
        <f>IFERROR(__xludf.DUMMYFUNCTION("""COMPUTED_VALUE"""),"Gàu định hình đào mương M1.2")</f>
        <v>Gàu định hình đào mương M1.2</v>
      </c>
      <c r="C741" s="1076" t="str">
        <f>IFERROR(__xludf.DUMMYFUNCTION("""COMPUTED_VALUE"""),"CGTC LP")</f>
        <v>CGTC LP</v>
      </c>
      <c r="D741" s="1076"/>
      <c r="E741" s="1076"/>
      <c r="F741" s="1076"/>
      <c r="G741" s="1076"/>
      <c r="H741" s="1076"/>
      <c r="I741" s="1076"/>
      <c r="J741" s="1076"/>
      <c r="K741" s="1076"/>
      <c r="L741" s="1076" t="str">
        <f>IFERROR(__xludf.DUMMYFUNCTION("""COMPUTED_VALUE"""),"KLH")</f>
        <v>KLH</v>
      </c>
    </row>
    <row r="742" customHeight="1" spans="1:12">
      <c r="A742" s="1089" t="str">
        <f>IFERROR(__xludf.DUMMYFUNCTION("""COMPUTED_VALUE"""),"CHT-GĐH-087")</f>
        <v>CHT-GĐH-087</v>
      </c>
      <c r="B742" s="1075" t="str">
        <f>IFERROR(__xludf.DUMMYFUNCTION("""COMPUTED_VALUE"""),"Gàu định hình đào mương M1.2")</f>
        <v>Gàu định hình đào mương M1.2</v>
      </c>
      <c r="C742" s="1076" t="str">
        <f>IFERROR(__xludf.DUMMYFUNCTION("""COMPUTED_VALUE"""),"CGTC LP")</f>
        <v>CGTC LP</v>
      </c>
      <c r="D742" s="1076"/>
      <c r="E742" s="1076"/>
      <c r="F742" s="1076"/>
      <c r="G742" s="1076"/>
      <c r="H742" s="1076"/>
      <c r="I742" s="1076"/>
      <c r="J742" s="1076"/>
      <c r="K742" s="1076"/>
      <c r="L742" s="1076" t="str">
        <f>IFERROR(__xludf.DUMMYFUNCTION("""COMPUTED_VALUE"""),"KLH")</f>
        <v>KLH</v>
      </c>
    </row>
    <row r="743" customHeight="1" spans="1:12">
      <c r="A743" s="1089" t="str">
        <f>IFERROR(__xludf.DUMMYFUNCTION("""COMPUTED_VALUE"""),"CHT-GĐH-088")</f>
        <v>CHT-GĐH-088</v>
      </c>
      <c r="B743" s="1075" t="str">
        <f>IFERROR(__xludf.DUMMYFUNCTION("""COMPUTED_VALUE"""),"Gàu định hình đào mương M1.2")</f>
        <v>Gàu định hình đào mương M1.2</v>
      </c>
      <c r="C743" s="1076" t="str">
        <f>IFERROR(__xludf.DUMMYFUNCTION("""COMPUTED_VALUE"""),"CGTC LP")</f>
        <v>CGTC LP</v>
      </c>
      <c r="D743" s="1076"/>
      <c r="E743" s="1076"/>
      <c r="F743" s="1076"/>
      <c r="G743" s="1076"/>
      <c r="H743" s="1076"/>
      <c r="I743" s="1076"/>
      <c r="J743" s="1076"/>
      <c r="K743" s="1076"/>
      <c r="L743" s="1076" t="str">
        <f>IFERROR(__xludf.DUMMYFUNCTION("""COMPUTED_VALUE"""),"KLH")</f>
        <v>KLH</v>
      </c>
    </row>
    <row r="744" customHeight="1" spans="1:12">
      <c r="A744" s="1089" t="str">
        <f>IFERROR(__xludf.DUMMYFUNCTION("""COMPUTED_VALUE"""),"CHT-GĐH-089")</f>
        <v>CHT-GĐH-089</v>
      </c>
      <c r="B744" s="1075" t="str">
        <f>IFERROR(__xludf.DUMMYFUNCTION("""COMPUTED_VALUE"""),"Gàu định hình đào mương M1.2")</f>
        <v>Gàu định hình đào mương M1.2</v>
      </c>
      <c r="C744" s="1076" t="str">
        <f>IFERROR(__xludf.DUMMYFUNCTION("""COMPUTED_VALUE"""),"CGTC LP")</f>
        <v>CGTC LP</v>
      </c>
      <c r="D744" s="1076"/>
      <c r="E744" s="1076"/>
      <c r="F744" s="1076"/>
      <c r="G744" s="1076"/>
      <c r="H744" s="1076"/>
      <c r="I744" s="1076"/>
      <c r="J744" s="1076"/>
      <c r="K744" s="1076"/>
      <c r="L744" s="1076" t="str">
        <f>IFERROR(__xludf.DUMMYFUNCTION("""COMPUTED_VALUE"""),"KLH")</f>
        <v>KLH</v>
      </c>
    </row>
    <row r="745" customHeight="1" spans="1:12">
      <c r="A745" s="1089" t="str">
        <f>IFERROR(__xludf.DUMMYFUNCTION("""COMPUTED_VALUE"""),"CHT-GĐH-090")</f>
        <v>CHT-GĐH-090</v>
      </c>
      <c r="B745" s="1075" t="str">
        <f>IFERROR(__xludf.DUMMYFUNCTION("""COMPUTED_VALUE"""),"Gàu định hình đào mương M1.2")</f>
        <v>Gàu định hình đào mương M1.2</v>
      </c>
      <c r="C745" s="1076" t="str">
        <f>IFERROR(__xludf.DUMMYFUNCTION("""COMPUTED_VALUE"""),"CGTC LP")</f>
        <v>CGTC LP</v>
      </c>
      <c r="D745" s="1076"/>
      <c r="E745" s="1076"/>
      <c r="F745" s="1076"/>
      <c r="G745" s="1076"/>
      <c r="H745" s="1076"/>
      <c r="I745" s="1076"/>
      <c r="J745" s="1076"/>
      <c r="K745" s="1076"/>
      <c r="L745" s="1076" t="str">
        <f>IFERROR(__xludf.DUMMYFUNCTION("""COMPUTED_VALUE"""),"KLH")</f>
        <v>KLH</v>
      </c>
    </row>
    <row r="746" customHeight="1" spans="1:12">
      <c r="A746" s="1089" t="str">
        <f>IFERROR(__xludf.DUMMYFUNCTION("""COMPUTED_VALUE"""),"CHT-GĐH-091")</f>
        <v>CHT-GĐH-091</v>
      </c>
      <c r="B746" s="1075" t="str">
        <f>IFERROR(__xludf.DUMMYFUNCTION("""COMPUTED_VALUE"""),"Gàu định hình đào mương M1.2")</f>
        <v>Gàu định hình đào mương M1.2</v>
      </c>
      <c r="C746" s="1076" t="str">
        <f>IFERROR(__xludf.DUMMYFUNCTION("""COMPUTED_VALUE"""),"CGTC LP")</f>
        <v>CGTC LP</v>
      </c>
      <c r="D746" s="1076"/>
      <c r="E746" s="1076"/>
      <c r="F746" s="1076"/>
      <c r="G746" s="1076"/>
      <c r="H746" s="1076"/>
      <c r="I746" s="1076"/>
      <c r="J746" s="1076"/>
      <c r="K746" s="1076"/>
      <c r="L746" s="1076" t="str">
        <f>IFERROR(__xludf.DUMMYFUNCTION("""COMPUTED_VALUE"""),"KLH")</f>
        <v>KLH</v>
      </c>
    </row>
    <row r="747" customHeight="1" spans="1:12">
      <c r="A747" s="1089" t="str">
        <f>IFERROR(__xludf.DUMMYFUNCTION("""COMPUTED_VALUE"""),"CHT-GĐH-092")</f>
        <v>CHT-GĐH-092</v>
      </c>
      <c r="B747" s="1075" t="str">
        <f>IFERROR(__xludf.DUMMYFUNCTION("""COMPUTED_VALUE"""),"Gàu định hình đào mương M1.2")</f>
        <v>Gàu định hình đào mương M1.2</v>
      </c>
      <c r="C747" s="1076" t="str">
        <f>IFERROR(__xludf.DUMMYFUNCTION("""COMPUTED_VALUE"""),"CGTC LP")</f>
        <v>CGTC LP</v>
      </c>
      <c r="D747" s="1076"/>
      <c r="E747" s="1076"/>
      <c r="F747" s="1076"/>
      <c r="G747" s="1076"/>
      <c r="H747" s="1076"/>
      <c r="I747" s="1076"/>
      <c r="J747" s="1076"/>
      <c r="K747" s="1076"/>
      <c r="L747" s="1076" t="str">
        <f>IFERROR(__xludf.DUMMYFUNCTION("""COMPUTED_VALUE"""),"KLH")</f>
        <v>KLH</v>
      </c>
    </row>
    <row r="748" customHeight="1" spans="1:12">
      <c r="A748" s="1089" t="str">
        <f>IFERROR(__xludf.DUMMYFUNCTION("""COMPUTED_VALUE"""),"Cơ giới thi công AD")</f>
        <v>Cơ giới thi công AD</v>
      </c>
      <c r="B748" s="1075"/>
      <c r="C748" s="1076"/>
      <c r="D748" s="1076"/>
      <c r="E748" s="1076"/>
      <c r="F748" s="1076"/>
      <c r="G748" s="1076"/>
      <c r="H748" s="1076"/>
      <c r="I748" s="1076"/>
      <c r="J748" s="1076"/>
      <c r="K748" s="1076"/>
      <c r="L748" s="1076" t="str">
        <f>IFERROR(__xludf.DUMMYFUNCTION("""COMPUTED_VALUE"""),"KLH")</f>
        <v>KLH</v>
      </c>
    </row>
    <row r="749" customHeight="1" spans="1:12">
      <c r="A749" s="1089" t="str">
        <f>IFERROR(__xludf.DUMMYFUNCTION("""COMPUTED_VALUE"""),"CHT-CNA-003")</f>
        <v>CHT-CNA-003</v>
      </c>
      <c r="B749" s="1075" t="str">
        <f>IFERROR(__xludf.DUMMYFUNCTION("""COMPUTED_VALUE"""),"Thiết bị cày ngầm 3 trụ")</f>
        <v>Thiết bị cày ngầm 3 trụ</v>
      </c>
      <c r="C749" s="1076" t="str">
        <f>IFERROR(__xludf.DUMMYFUNCTION("""COMPUTED_VALUE"""),"CGTC AD")</f>
        <v>CGTC AD</v>
      </c>
      <c r="D749" s="1076" t="str">
        <f>IFERROR(__xludf.DUMMYFUNCTION("""COMPUTED_VALUE"""),"TRUNG QUỐC")</f>
        <v>TRUNG QUỐC</v>
      </c>
      <c r="E749" s="1076" t="str">
        <f>IFERROR(__xludf.DUMMYFUNCTION("""COMPUTED_VALUE"""),"3 trụ")</f>
        <v>3 trụ</v>
      </c>
      <c r="F749" s="1076"/>
      <c r="G749" s="1076"/>
      <c r="H749" s="1076"/>
      <c r="I749" s="1076"/>
      <c r="J749" s="1076"/>
      <c r="K749" s="1076"/>
      <c r="L749" s="1076" t="str">
        <f>IFERROR(__xludf.DUMMYFUNCTION("""COMPUTED_VALUE"""),"KLH")</f>
        <v>KLH</v>
      </c>
    </row>
    <row r="750" customHeight="1" spans="1:12">
      <c r="A750" s="1089" t="str">
        <f>IFERROR(__xludf.DUMMYFUNCTION("""COMPUTED_VALUE"""),"CHT-TCĐ-001")</f>
        <v>CHT-TCĐ-001</v>
      </c>
      <c r="B750" s="1075" t="str">
        <f>IFERROR(__xludf.DUMMYFUNCTION("""COMPUTED_VALUE"""),"Trống cào đá")</f>
        <v>Trống cào đá</v>
      </c>
      <c r="C750" s="1076" t="str">
        <f>IFERROR(__xludf.DUMMYFUNCTION("""COMPUTED_VALUE"""),"CGTC AD")</f>
        <v>CGTC AD</v>
      </c>
      <c r="D750" s="1076" t="str">
        <f>IFERROR(__xludf.DUMMYFUNCTION("""COMPUTED_VALUE"""),"TRUNG QUỐC")</f>
        <v>TRUNG QUỐC</v>
      </c>
      <c r="E750" s="1076"/>
      <c r="F750" s="1076"/>
      <c r="G750" s="1076"/>
      <c r="H750" s="1076"/>
      <c r="I750" s="1076"/>
      <c r="J750" s="1076"/>
      <c r="K750" s="1076"/>
      <c r="L750" s="1076" t="str">
        <f>IFERROR(__xludf.DUMMYFUNCTION("""COMPUTED_VALUE"""),"KLH")</f>
        <v>KLH</v>
      </c>
    </row>
    <row r="751" customHeight="1" spans="1:12">
      <c r="A751" s="1089" t="str">
        <f>IFERROR(__xludf.DUMMYFUNCTION("""COMPUTED_VALUE"""),"CHT-CMĐ-003")</f>
        <v>CHT-CMĐ-003</v>
      </c>
      <c r="B751" s="1075" t="str">
        <f>IFERROR(__xludf.DUMMYFUNCTION("""COMPUTED_VALUE"""),"Cần dài M.Đào Sumitomo (16m)")</f>
        <v>Cần dài M.Đào Sumitomo (16m)</v>
      </c>
      <c r="C751" s="1076" t="str">
        <f>IFERROR(__xludf.DUMMYFUNCTION("""COMPUTED_VALUE"""),"CGTC AD")</f>
        <v>CGTC AD</v>
      </c>
      <c r="D751" s="1076" t="str">
        <f>IFERROR(__xludf.DUMMYFUNCTION("""COMPUTED_VALUE"""),"TRUNG QUỐC")</f>
        <v>TRUNG QUỐC</v>
      </c>
      <c r="E751" s="1076" t="str">
        <f>IFERROR(__xludf.DUMMYFUNCTION("""COMPUTED_VALUE"""),"16m")</f>
        <v>16m</v>
      </c>
      <c r="F751" s="1076"/>
      <c r="G751" s="1076"/>
      <c r="H751" s="1076"/>
      <c r="I751" s="1076"/>
      <c r="J751" s="1076"/>
      <c r="K751" s="1076"/>
      <c r="L751" s="1076" t="str">
        <f>IFERROR(__xludf.DUMMYFUNCTION("""COMPUTED_VALUE"""),"KLH")</f>
        <v>KLH</v>
      </c>
    </row>
    <row r="752" customHeight="1" spans="1:12">
      <c r="A752" s="1089" t="str">
        <f>IFERROR(__xludf.DUMMYFUNCTION("""COMPUTED_VALUE"""),"CHT-CMĐ-004")</f>
        <v>CHT-CMĐ-004</v>
      </c>
      <c r="B752" s="1075" t="str">
        <f>IFERROR(__xludf.DUMMYFUNCTION("""COMPUTED_VALUE"""),"Cần dài M.Đào Doosan (12m)")</f>
        <v>Cần dài M.Đào Doosan (12m)</v>
      </c>
      <c r="C752" s="1076" t="str">
        <f>IFERROR(__xludf.DUMMYFUNCTION("""COMPUTED_VALUE"""),"CGTC AD")</f>
        <v>CGTC AD</v>
      </c>
      <c r="D752" s="1076" t="str">
        <f>IFERROR(__xludf.DUMMYFUNCTION("""COMPUTED_VALUE"""),"TRUNG QUỐC")</f>
        <v>TRUNG QUỐC</v>
      </c>
      <c r="E752" s="1076" t="str">
        <f>IFERROR(__xludf.DUMMYFUNCTION("""COMPUTED_VALUE"""),"12m")</f>
        <v>12m</v>
      </c>
      <c r="F752" s="1076"/>
      <c r="G752" s="1076"/>
      <c r="H752" s="1076"/>
      <c r="I752" s="1076"/>
      <c r="J752" s="1076"/>
      <c r="K752" s="1076"/>
      <c r="L752" s="1076" t="str">
        <f>IFERROR(__xludf.DUMMYFUNCTION("""COMPUTED_VALUE"""),"KLH")</f>
        <v>KLH</v>
      </c>
    </row>
    <row r="753" customHeight="1" spans="1:12">
      <c r="A753" s="1089" t="str">
        <f>IFERROR(__xludf.DUMMYFUNCTION("""COMPUTED_VALUE"""),"CHT-BDU-002")</f>
        <v>CHT-BDU-002</v>
      </c>
      <c r="B753" s="1075" t="str">
        <f>IFERROR(__xludf.DUMMYFUNCTION("""COMPUTED_VALUE"""),"Búa đục bê tông")</f>
        <v>Búa đục bê tông</v>
      </c>
      <c r="C753" s="1076" t="str">
        <f>IFERROR(__xludf.DUMMYFUNCTION("""COMPUTED_VALUE"""),"CGTC AD")</f>
        <v>CGTC AD</v>
      </c>
      <c r="D753" s="1076" t="str">
        <f>IFERROR(__xludf.DUMMYFUNCTION("""COMPUTED_VALUE"""),"TRUNG QUỐC")</f>
        <v>TRUNG QUỐC</v>
      </c>
      <c r="E753" s="1076"/>
      <c r="F753" s="1076"/>
      <c r="G753" s="1076"/>
      <c r="H753" s="1076"/>
      <c r="I753" s="1076"/>
      <c r="J753" s="1076"/>
      <c r="K753" s="1076"/>
      <c r="L753" s="1076" t="str">
        <f>IFERROR(__xludf.DUMMYFUNCTION("""COMPUTED_VALUE"""),"KLH")</f>
        <v>KLH</v>
      </c>
    </row>
    <row r="754" customHeight="1" spans="1:12">
      <c r="A754" s="1089" t="str">
        <f>IFERROR(__xludf.DUMMYFUNCTION("""COMPUTED_VALUE"""),"CHT-BDU-003")</f>
        <v>CHT-BDU-003</v>
      </c>
      <c r="B754" s="1075" t="str">
        <f>IFERROR(__xludf.DUMMYFUNCTION("""COMPUTED_VALUE"""),"Búa đục bê tông")</f>
        <v>Búa đục bê tông</v>
      </c>
      <c r="C754" s="1076" t="str">
        <f>IFERROR(__xludf.DUMMYFUNCTION("""COMPUTED_VALUE"""),"CGTC AD")</f>
        <v>CGTC AD</v>
      </c>
      <c r="D754" s="1076" t="str">
        <f>IFERROR(__xludf.DUMMYFUNCTION("""COMPUTED_VALUE"""),"TRUNG QUỐC")</f>
        <v>TRUNG QUỐC</v>
      </c>
      <c r="E754" s="1076" t="str">
        <f>IFERROR(__xludf.DUMMYFUNCTION("""COMPUTED_VALUE"""),"EDT")</f>
        <v>EDT</v>
      </c>
      <c r="F754" s="1076"/>
      <c r="G754" s="1076" t="str">
        <f>IFERROR(__xludf.DUMMYFUNCTION("""COMPUTED_VALUE"""),"2024")</f>
        <v>2024</v>
      </c>
      <c r="H754" s="1076" t="str">
        <f>IFERROR(__xludf.DUMMYFUNCTION("""COMPUTED_VALUE"""),"Đường kính đinh: 135mm")</f>
        <v>Đường kính đinh: 135mm</v>
      </c>
      <c r="I754" s="1076" t="str">
        <f>IFERROR(__xludf.DUMMYFUNCTION("""COMPUTED_VALUE"""),"CNB 0051 E52HB1")</f>
        <v>CNB 0051 E52HB1</v>
      </c>
      <c r="J754" s="1076"/>
      <c r="K754" s="1076"/>
      <c r="L754" s="1076" t="str">
        <f>IFERROR(__xludf.DUMMYFUNCTION("""COMPUTED_VALUE"""),"KLH")</f>
        <v>KLH</v>
      </c>
    </row>
    <row r="755" customHeight="1" spans="1:12">
      <c r="A755" s="1089" t="str">
        <f>IFERROR(__xludf.DUMMYFUNCTION("""COMPUTED_VALUE"""),"CHT-BDU-007")</f>
        <v>CHT-BDU-007</v>
      </c>
      <c r="B755" s="1075" t="str">
        <f>IFERROR(__xludf.DUMMYFUNCTION("""COMPUTED_VALUE"""),"Búa đục bê tông")</f>
        <v>Búa đục bê tông</v>
      </c>
      <c r="C755" s="1076" t="str">
        <f>IFERROR(__xludf.DUMMYFUNCTION("""COMPUTED_VALUE"""),"CGTC AD")</f>
        <v>CGTC AD</v>
      </c>
      <c r="D755" s="1076" t="str">
        <f>IFERROR(__xludf.DUMMYFUNCTION("""COMPUTED_VALUE"""),"FURUKAWA")</f>
        <v>FURUKAWA</v>
      </c>
      <c r="E755" s="1076" t="str">
        <f>IFERROR(__xludf.DUMMYFUNCTION("""COMPUTED_VALUE"""),"F22")</f>
        <v>F22</v>
      </c>
      <c r="F755" s="1076"/>
      <c r="G755" s="1076"/>
      <c r="H755" s="1076"/>
      <c r="I755" s="1076" t="str">
        <f>IFERROR(__xludf.DUMMYFUNCTION("""COMPUTED_VALUE"""),"F22-01")</f>
        <v>F22-01</v>
      </c>
      <c r="J755" s="1076"/>
      <c r="K755" s="1076"/>
      <c r="L755" s="1076" t="str">
        <f>IFERROR(__xludf.DUMMYFUNCTION("""COMPUTED_VALUE"""),"KLH")</f>
        <v>KLH</v>
      </c>
    </row>
    <row r="756" customHeight="1" spans="1:12">
      <c r="A756" s="1089" t="str">
        <f>IFERROR(__xludf.DUMMYFUNCTION("""COMPUTED_VALUE"""),"CHT-BDU-008")</f>
        <v>CHT-BDU-008</v>
      </c>
      <c r="B756" s="1075" t="str">
        <f>IFERROR(__xludf.DUMMYFUNCTION("""COMPUTED_VALUE"""),"Búa đục bê tông")</f>
        <v>Búa đục bê tông</v>
      </c>
      <c r="C756" s="1076" t="str">
        <f>IFERROR(__xludf.DUMMYFUNCTION("""COMPUTED_VALUE"""),"CGTC AD")</f>
        <v>CGTC AD</v>
      </c>
      <c r="D756" s="1076" t="str">
        <f>IFERROR(__xludf.DUMMYFUNCTION("""COMPUTED_VALUE"""),"FURUKAWA")</f>
        <v>FURUKAWA</v>
      </c>
      <c r="E756" s="1076" t="str">
        <f>IFERROR(__xludf.DUMMYFUNCTION("""COMPUTED_VALUE"""),"F22")</f>
        <v>F22</v>
      </c>
      <c r="F756" s="1076"/>
      <c r="G756" s="1076"/>
      <c r="H756" s="1076"/>
      <c r="I756" s="1076" t="str">
        <f>IFERROR(__xludf.DUMMYFUNCTION("""COMPUTED_VALUE"""),"F22-02")</f>
        <v>F22-02</v>
      </c>
      <c r="J756" s="1076"/>
      <c r="K756" s="1076"/>
      <c r="L756" s="1076" t="str">
        <f>IFERROR(__xludf.DUMMYFUNCTION("""COMPUTED_VALUE"""),"KLH")</f>
        <v>KLH</v>
      </c>
    </row>
    <row r="757" customHeight="1" spans="1:12">
      <c r="A757" s="1089" t="str">
        <f>IFERROR(__xludf.DUMMYFUNCTION("""COMPUTED_VALUE"""),"CHT-BDU-010")</f>
        <v>CHT-BDU-010</v>
      </c>
      <c r="B757" s="1075" t="str">
        <f>IFERROR(__xludf.DUMMYFUNCTION("""COMPUTED_VALUE"""),"Búa đục bê tông")</f>
        <v>Búa đục bê tông</v>
      </c>
      <c r="C757" s="1076" t="str">
        <f>IFERROR(__xludf.DUMMYFUNCTION("""COMPUTED_VALUE"""),"CGTC AD")</f>
        <v>CGTC AD</v>
      </c>
      <c r="D757" s="1076" t="str">
        <f>IFERROR(__xludf.DUMMYFUNCTION("""COMPUTED_VALUE"""),"FURUKAWA")</f>
        <v>FURUKAWA</v>
      </c>
      <c r="E757" s="1076" t="str">
        <f>IFERROR(__xludf.DUMMYFUNCTION("""COMPUTED_VALUE"""),"F22")</f>
        <v>F22</v>
      </c>
      <c r="F757" s="1076"/>
      <c r="G757" s="1076"/>
      <c r="H757" s="1076"/>
      <c r="I757" s="1076" t="str">
        <f>IFERROR(__xludf.DUMMYFUNCTION("""COMPUTED_VALUE"""),"F22-03")</f>
        <v>F22-03</v>
      </c>
      <c r="J757" s="1076"/>
      <c r="K757" s="1076"/>
      <c r="L757" s="1076" t="str">
        <f>IFERROR(__xludf.DUMMYFUNCTION("""COMPUTED_VALUE"""),"KLH")</f>
        <v>KLH</v>
      </c>
    </row>
    <row r="758" customHeight="1" spans="1:12">
      <c r="A758" s="1089" t="str">
        <f>IFERROR(__xludf.DUMMYFUNCTION("""COMPUTED_VALUE"""),"CHT-BDU-011")</f>
        <v>CHT-BDU-011</v>
      </c>
      <c r="B758" s="1075" t="str">
        <f>IFERROR(__xludf.DUMMYFUNCTION("""COMPUTED_VALUE"""),"Búa đục bê tông")</f>
        <v>Búa đục bê tông</v>
      </c>
      <c r="C758" s="1076" t="str">
        <f>IFERROR(__xludf.DUMMYFUNCTION("""COMPUTED_VALUE"""),"CGTC AD")</f>
        <v>CGTC AD</v>
      </c>
      <c r="D758" s="1076"/>
      <c r="E758" s="1076" t="str">
        <f>IFERROR(__xludf.DUMMYFUNCTION("""COMPUTED_VALUE"""),"T2000S")</f>
        <v>T2000S</v>
      </c>
      <c r="F758" s="1076"/>
      <c r="G758" s="1076"/>
      <c r="H758" s="1076"/>
      <c r="I758" s="1076"/>
      <c r="J758" s="1076"/>
      <c r="K758" s="1076"/>
      <c r="L758" s="1076" t="str">
        <f>IFERROR(__xludf.DUMMYFUNCTION("""COMPUTED_VALUE"""),"KLH")</f>
        <v>KLH</v>
      </c>
    </row>
    <row r="759" customHeight="1" spans="1:12">
      <c r="A759" s="1089" t="str">
        <f>IFERROR(__xludf.DUMMYFUNCTION("""COMPUTED_VALUE"""),"CHT-ĐTL-003")</f>
        <v>CHT-ĐTL-003</v>
      </c>
      <c r="B759" s="1075" t="str">
        <f>IFERROR(__xludf.DUMMYFUNCTION("""COMPUTED_VALUE"""),"Đầm taluy (Đầm rung thủy lực)")</f>
        <v>Đầm taluy (Đầm rung thủy lực)</v>
      </c>
      <c r="C759" s="1076" t="str">
        <f>IFERROR(__xludf.DUMMYFUNCTION("""COMPUTED_VALUE"""),"CGTC AD")</f>
        <v>CGTC AD</v>
      </c>
      <c r="D759" s="1076" t="str">
        <f>IFERROR(__xludf.DUMMYFUNCTION("""COMPUTED_VALUE"""),"TRUNG QUỐC")</f>
        <v>TRUNG QUỐC</v>
      </c>
      <c r="E759" s="1076" t="str">
        <f>IFERROR(__xludf.DUMMYFUNCTION("""COMPUTED_VALUE"""),"Taluy")</f>
        <v>Taluy</v>
      </c>
      <c r="F759" s="1076"/>
      <c r="G759" s="1076"/>
      <c r="H759" s="1076"/>
      <c r="I759" s="1076"/>
      <c r="J759" s="1076"/>
      <c r="K759" s="1076"/>
      <c r="L759" s="1076" t="str">
        <f>IFERROR(__xludf.DUMMYFUNCTION("""COMPUTED_VALUE"""),"KLH")</f>
        <v>KLH</v>
      </c>
    </row>
    <row r="760" customHeight="1" spans="1:12">
      <c r="A760" s="1089" t="str">
        <f>IFERROR(__xludf.DUMMYFUNCTION("""COMPUTED_VALUE"""),"CHT-ĐTL-004")</f>
        <v>CHT-ĐTL-004</v>
      </c>
      <c r="B760" s="1075" t="str">
        <f>IFERROR(__xludf.DUMMYFUNCTION("""COMPUTED_VALUE"""),"Đầm taluy (Đầm rung thủy lực)")</f>
        <v>Đầm taluy (Đầm rung thủy lực)</v>
      </c>
      <c r="C760" s="1076" t="str">
        <f>IFERROR(__xludf.DUMMYFUNCTION("""COMPUTED_VALUE"""),"CGTC AD")</f>
        <v>CGTC AD</v>
      </c>
      <c r="D760" s="1076" t="str">
        <f>IFERROR(__xludf.DUMMYFUNCTION("""COMPUTED_VALUE"""),"EVERDIGM")</f>
        <v>EVERDIGM</v>
      </c>
      <c r="E760" s="1076" t="str">
        <f>IFERROR(__xludf.DUMMYFUNCTION("""COMPUTED_VALUE"""),"EPC15PA")</f>
        <v>EPC15PA</v>
      </c>
      <c r="F760" s="1076"/>
      <c r="G760" s="1076" t="str">
        <f>IFERROR(__xludf.DUMMYFUNCTION("""COMPUTED_VALUE"""),"2021")</f>
        <v>2021</v>
      </c>
      <c r="H760" s="1076" t="str">
        <f>IFERROR(__xludf.DUMMYFUNCTION("""COMPUTED_VALUE"""),"6.4 TẤN- 740x1050mm")</f>
        <v>6.4 TẤN- 740x1050mm</v>
      </c>
      <c r="I760" s="1076" t="str">
        <f>IFERROR(__xludf.DUMMYFUNCTION("""COMPUTED_VALUE"""),"15-H245")</f>
        <v>15-H245</v>
      </c>
      <c r="J760" s="1076"/>
      <c r="K760" s="1076"/>
      <c r="L760" s="1076" t="str">
        <f>IFERROR(__xludf.DUMMYFUNCTION("""COMPUTED_VALUE"""),"KLH")</f>
        <v>KLH</v>
      </c>
    </row>
    <row r="761" customHeight="1" spans="1:12">
      <c r="A761" s="1089" t="str">
        <f>IFERROR(__xludf.DUMMYFUNCTION("""COMPUTED_VALUE"""),"CHT-RMĐ-001")</f>
        <v>CHT-RMĐ-001</v>
      </c>
      <c r="B761" s="1075" t="str">
        <f>IFERROR(__xludf.DUMMYFUNCTION("""COMPUTED_VALUE"""),"Rơ mooc vận chuyển M.đào 03")</f>
        <v>Rơ mooc vận chuyển M.đào 03</v>
      </c>
      <c r="C761" s="1076" t="str">
        <f>IFERROR(__xludf.DUMMYFUNCTION("""COMPUTED_VALUE"""),"CGTC AD")</f>
        <v>CGTC AD</v>
      </c>
      <c r="D761" s="1076" t="str">
        <f>IFERROR(__xludf.DUMMYFUNCTION("""COMPUTED_VALUE"""),"THACO AGRI")</f>
        <v>THACO AGRI</v>
      </c>
      <c r="E761" s="1076"/>
      <c r="F761" s="1076"/>
      <c r="G761" s="1076"/>
      <c r="H761" s="1076"/>
      <c r="I761" s="1076"/>
      <c r="J761" s="1076"/>
      <c r="K761" s="1076"/>
      <c r="L761" s="1076" t="str">
        <f>IFERROR(__xludf.DUMMYFUNCTION("""COMPUTED_VALUE"""),"KLH")</f>
        <v>KLH</v>
      </c>
    </row>
    <row r="762" customHeight="1" spans="1:12">
      <c r="A762" s="1089" t="str">
        <f>IFERROR(__xludf.DUMMYFUNCTION("""COMPUTED_VALUE"""),"CƠ GIỚI LÀM ĐẤT")</f>
        <v>CƠ GIỚI LÀM ĐẤT</v>
      </c>
      <c r="B762" s="1075"/>
      <c r="C762" s="1076"/>
      <c r="D762" s="1076"/>
      <c r="E762" s="1076"/>
      <c r="F762" s="1076"/>
      <c r="G762" s="1076"/>
      <c r="H762" s="1076"/>
      <c r="I762" s="1076"/>
      <c r="J762" s="1076"/>
      <c r="K762" s="1076"/>
      <c r="L762" s="1076" t="str">
        <f>IFERROR(__xludf.DUMMYFUNCTION("""COMPUTED_VALUE"""),"KLH")</f>
        <v>KLH</v>
      </c>
    </row>
    <row r="763" customHeight="1" spans="1:12">
      <c r="A763" s="1089" t="str">
        <f>IFERROR(__xludf.DUMMYFUNCTION("""COMPUTED_VALUE"""),"Cơ giới làm đất DP")</f>
        <v>Cơ giới làm đất DP</v>
      </c>
      <c r="B763" s="1075"/>
      <c r="C763" s="1076"/>
      <c r="D763" s="1076"/>
      <c r="E763" s="1076"/>
      <c r="F763" s="1076"/>
      <c r="G763" s="1076"/>
      <c r="H763" s="1076"/>
      <c r="I763" s="1076"/>
      <c r="J763" s="1076"/>
      <c r="K763" s="1076"/>
      <c r="L763" s="1076" t="str">
        <f>IFERROR(__xludf.DUMMYFUNCTION("""COMPUTED_VALUE"""),"KLH")</f>
        <v>KLH</v>
      </c>
    </row>
    <row r="764" customHeight="1" spans="1:12">
      <c r="A764" s="1089" t="str">
        <f>IFERROR(__xludf.DUMMYFUNCTION("""COMPUTED_VALUE"""),"CNN-RMC-001")</f>
        <v>CNN-RMC-001</v>
      </c>
      <c r="B764" s="1075" t="str">
        <f>IFERROR(__xludf.DUMMYFUNCTION("""COMPUTED_VALUE"""),"Rơ mooc thu hoạch")</f>
        <v>Rơ mooc thu hoạch</v>
      </c>
      <c r="C764" s="1076" t="str">
        <f>IFERROR(__xludf.DUMMYFUNCTION("""COMPUTED_VALUE"""),"CGLĐ DP")</f>
        <v>CGLĐ DP</v>
      </c>
      <c r="D764" s="1076" t="str">
        <f>IFERROR(__xludf.DUMMYFUNCTION("""COMPUTED_VALUE"""),"THACO AGRI")</f>
        <v>THACO AGRI</v>
      </c>
      <c r="E764" s="1076"/>
      <c r="F764" s="1076"/>
      <c r="G764" s="1076"/>
      <c r="H764" s="1076"/>
      <c r="I764" s="1076" t="str">
        <f>IFERROR(__xludf.DUMMYFUNCTION("""COMPUTED_VALUE"""),"2m3")</f>
        <v>2m3</v>
      </c>
      <c r="J764" s="1076"/>
      <c r="K764" s="1076"/>
      <c r="L764" s="1076" t="str">
        <f>IFERROR(__xludf.DUMMYFUNCTION("""COMPUTED_VALUE"""),"KLH")</f>
        <v>KLH</v>
      </c>
    </row>
    <row r="765" customHeight="1" spans="1:12">
      <c r="A765" s="1089" t="str">
        <f>IFERROR(__xludf.DUMMYFUNCTION("""COMPUTED_VALUE"""),"CNN-CCH-001")</f>
        <v>CNN-CCH-001</v>
      </c>
      <c r="B765" s="1075" t="str">
        <f>IFERROR(__xludf.DUMMYFUNCTION("""COMPUTED_VALUE"""),"Thiết bị cày 3 chảo")</f>
        <v>Thiết bị cày 3 chảo</v>
      </c>
      <c r="C765" s="1076" t="str">
        <f>IFERROR(__xludf.DUMMYFUNCTION("""COMPUTED_VALUE"""),"CGLĐ DP")</f>
        <v>CGLĐ DP</v>
      </c>
      <c r="D765" s="1076" t="str">
        <f>IFERROR(__xludf.DUMMYFUNCTION("""COMPUTED_VALUE"""),"TRUNG QUỐC")</f>
        <v>TRUNG QUỐC</v>
      </c>
      <c r="E765" s="1076" t="str">
        <f>IFERROR(__xludf.DUMMYFUNCTION("""COMPUTED_VALUE"""),"3 chảo")</f>
        <v>3 chảo</v>
      </c>
      <c r="F765" s="1076"/>
      <c r="G765" s="1076"/>
      <c r="H765" s="1076"/>
      <c r="I765" s="1076"/>
      <c r="J765" s="1076"/>
      <c r="K765" s="1076"/>
      <c r="L765" s="1076" t="str">
        <f>IFERROR(__xludf.DUMMYFUNCTION("""COMPUTED_VALUE"""),"KLH")</f>
        <v>KLH</v>
      </c>
    </row>
    <row r="766" customHeight="1" spans="1:12">
      <c r="A766" s="1089" t="str">
        <f>IFERROR(__xludf.DUMMYFUNCTION("""COMPUTED_VALUE"""),"CNN-CCH-002")</f>
        <v>CNN-CCH-002</v>
      </c>
      <c r="B766" s="1075" t="str">
        <f>IFERROR(__xludf.DUMMYFUNCTION("""COMPUTED_VALUE"""),"Thiết bị cày 3 chảo")</f>
        <v>Thiết bị cày 3 chảo</v>
      </c>
      <c r="C766" s="1076" t="str">
        <f>IFERROR(__xludf.DUMMYFUNCTION("""COMPUTED_VALUE"""),"CGLĐ DP")</f>
        <v>CGLĐ DP</v>
      </c>
      <c r="D766" s="1076" t="str">
        <f>IFERROR(__xludf.DUMMYFUNCTION("""COMPUTED_VALUE"""),"TRUNG QUỐC")</f>
        <v>TRUNG QUỐC</v>
      </c>
      <c r="E766" s="1076" t="str">
        <f>IFERROR(__xludf.DUMMYFUNCTION("""COMPUTED_VALUE"""),"3 chảo")</f>
        <v>3 chảo</v>
      </c>
      <c r="F766" s="1076"/>
      <c r="G766" s="1076"/>
      <c r="H766" s="1076"/>
      <c r="I766" s="1076"/>
      <c r="J766" s="1076"/>
      <c r="K766" s="1076"/>
      <c r="L766" s="1076" t="str">
        <f>IFERROR(__xludf.DUMMYFUNCTION("""COMPUTED_VALUE"""),"KLH")</f>
        <v>KLH</v>
      </c>
    </row>
    <row r="767" customHeight="1" spans="1:12">
      <c r="A767" s="1089" t="str">
        <f>IFERROR(__xludf.DUMMYFUNCTION("""COMPUTED_VALUE"""),"CNN-CCH-003")</f>
        <v>CNN-CCH-003</v>
      </c>
      <c r="B767" s="1075" t="str">
        <f>IFERROR(__xludf.DUMMYFUNCTION("""COMPUTED_VALUE"""),"Thiết bị cày 3 chảo")</f>
        <v>Thiết bị cày 3 chảo</v>
      </c>
      <c r="C767" s="1076" t="str">
        <f>IFERROR(__xludf.DUMMYFUNCTION("""COMPUTED_VALUE"""),"CGLĐ DP")</f>
        <v>CGLĐ DP</v>
      </c>
      <c r="D767" s="1076" t="str">
        <f>IFERROR(__xludf.DUMMYFUNCTION("""COMPUTED_VALUE"""),"TRUNG QUỐC")</f>
        <v>TRUNG QUỐC</v>
      </c>
      <c r="E767" s="1076" t="str">
        <f>IFERROR(__xludf.DUMMYFUNCTION("""COMPUTED_VALUE"""),"3 chảo")</f>
        <v>3 chảo</v>
      </c>
      <c r="F767" s="1076"/>
      <c r="G767" s="1076"/>
      <c r="H767" s="1076"/>
      <c r="I767" s="1076"/>
      <c r="J767" s="1076"/>
      <c r="K767" s="1076"/>
      <c r="L767" s="1076" t="str">
        <f>IFERROR(__xludf.DUMMYFUNCTION("""COMPUTED_VALUE"""),"KLH")</f>
        <v>KLH</v>
      </c>
    </row>
    <row r="768" customHeight="1" spans="1:12">
      <c r="A768" s="1089" t="str">
        <f>IFERROR(__xludf.DUMMYFUNCTION("""COMPUTED_VALUE"""),"CNN-BUA-001")</f>
        <v>CNN-BUA-001</v>
      </c>
      <c r="B768" s="1075" t="str">
        <f>IFERROR(__xludf.DUMMYFUNCTION("""COMPUTED_VALUE"""),"Thiết bị bừa 7 chảo")</f>
        <v>Thiết bị bừa 7 chảo</v>
      </c>
      <c r="C768" s="1076" t="str">
        <f>IFERROR(__xludf.DUMMYFUNCTION("""COMPUTED_VALUE"""),"CGLĐ DP")</f>
        <v>CGLĐ DP</v>
      </c>
      <c r="D768" s="1076" t="str">
        <f>IFERROR(__xludf.DUMMYFUNCTION("""COMPUTED_VALUE"""),"TRUNG QUỐC")</f>
        <v>TRUNG QUỐC</v>
      </c>
      <c r="E768" s="1076" t="str">
        <f>IFERROR(__xludf.DUMMYFUNCTION("""COMPUTED_VALUE"""),"7 chảo")</f>
        <v>7 chảo</v>
      </c>
      <c r="F768" s="1076"/>
      <c r="G768" s="1076"/>
      <c r="H768" s="1076"/>
      <c r="I768" s="1076"/>
      <c r="J768" s="1076"/>
      <c r="K768" s="1076">
        <f>IFERROR(__xludf.DUMMYFUNCTION("""COMPUTED_VALUE"""),9.5)</f>
        <v>9.5</v>
      </c>
      <c r="L768" s="1076" t="str">
        <f>IFERROR(__xludf.DUMMYFUNCTION("""COMPUTED_VALUE"""),"KLH")</f>
        <v>KLH</v>
      </c>
    </row>
    <row r="769" customHeight="1" spans="1:12">
      <c r="A769" s="1089" t="str">
        <f>IFERROR(__xludf.DUMMYFUNCTION("""COMPUTED_VALUE"""),"CNN-BUA-002")</f>
        <v>CNN-BUA-002</v>
      </c>
      <c r="B769" s="1075" t="str">
        <f>IFERROR(__xludf.DUMMYFUNCTION("""COMPUTED_VALUE"""),"Thiết bị bừa 7 chảo")</f>
        <v>Thiết bị bừa 7 chảo</v>
      </c>
      <c r="C769" s="1076" t="str">
        <f>IFERROR(__xludf.DUMMYFUNCTION("""COMPUTED_VALUE"""),"CGLĐ DP")</f>
        <v>CGLĐ DP</v>
      </c>
      <c r="D769" s="1076" t="str">
        <f>IFERROR(__xludf.DUMMYFUNCTION("""COMPUTED_VALUE"""),"TRUNG QUỐC")</f>
        <v>TRUNG QUỐC</v>
      </c>
      <c r="E769" s="1076" t="str">
        <f>IFERROR(__xludf.DUMMYFUNCTION("""COMPUTED_VALUE"""),"7 chảo")</f>
        <v>7 chảo</v>
      </c>
      <c r="F769" s="1076"/>
      <c r="G769" s="1076"/>
      <c r="H769" s="1076"/>
      <c r="I769" s="1076"/>
      <c r="J769" s="1076"/>
      <c r="K769" s="1076">
        <f>IFERROR(__xludf.DUMMYFUNCTION("""COMPUTED_VALUE"""),9.5)</f>
        <v>9.5</v>
      </c>
      <c r="L769" s="1076" t="str">
        <f>IFERROR(__xludf.DUMMYFUNCTION("""COMPUTED_VALUE"""),"KLH")</f>
        <v>KLH</v>
      </c>
    </row>
    <row r="770" customHeight="1" spans="1:12">
      <c r="A770" s="1089" t="str">
        <f>IFERROR(__xludf.DUMMYFUNCTION("""COMPUTED_VALUE"""),"CNN-BUA-017")</f>
        <v>CNN-BUA-017</v>
      </c>
      <c r="B770" s="1075" t="str">
        <f>IFERROR(__xludf.DUMMYFUNCTION("""COMPUTED_VALUE"""),"Thiết bị bừa 7 chảo")</f>
        <v>Thiết bị bừa 7 chảo</v>
      </c>
      <c r="C770" s="1076" t="str">
        <f>IFERROR(__xludf.DUMMYFUNCTION("""COMPUTED_VALUE"""),"CGLĐ DP")</f>
        <v>CGLĐ DP</v>
      </c>
      <c r="D770" s="1076" t="str">
        <f>IFERROR(__xludf.DUMMYFUNCTION("""COMPUTED_VALUE"""),"CMT")</f>
        <v>CMT</v>
      </c>
      <c r="E770" s="1076" t="str">
        <f>IFERROR(__xludf.DUMMYFUNCTION("""COMPUTED_VALUE"""),"MTD 27-10")</f>
        <v>MTD 27-10</v>
      </c>
      <c r="F770" s="1076"/>
      <c r="G770" s="1076" t="str">
        <f>IFERROR(__xludf.DUMMYFUNCTION("""COMPUTED_VALUE"""),"2025")</f>
        <v>2025</v>
      </c>
      <c r="H770" s="1076" t="str">
        <f>IFERROR(__xludf.DUMMYFUNCTION("""COMPUTED_VALUE"""),"Đ.kính chảo: 600mm")</f>
        <v>Đ.kính chảo: 600mm</v>
      </c>
      <c r="I770" s="1076" t="str">
        <f>IFERROR(__xludf.DUMMYFUNCTION("""COMPUTED_VALUE"""),"F1/021183")</f>
        <v>F1/021183</v>
      </c>
      <c r="J770" s="1076"/>
      <c r="K770" s="1076">
        <f>IFERROR(__xludf.DUMMYFUNCTION("""COMPUTED_VALUE"""),9.5)</f>
        <v>9.5</v>
      </c>
      <c r="L770" s="1076" t="str">
        <f>IFERROR(__xludf.DUMMYFUNCTION("""COMPUTED_VALUE"""),"KLH")</f>
        <v>KLH</v>
      </c>
    </row>
    <row r="771" customHeight="1" spans="1:12">
      <c r="A771" s="1089" t="str">
        <f>IFERROR(__xludf.DUMMYFUNCTION("""COMPUTED_VALUE"""),"CNN-BUA-003")</f>
        <v>CNN-BUA-003</v>
      </c>
      <c r="B771" s="1075" t="str">
        <f>IFERROR(__xludf.DUMMYFUNCTION("""COMPUTED_VALUE"""),"Thiết bị bừa 8 chảo")</f>
        <v>Thiết bị bừa 8 chảo</v>
      </c>
      <c r="C771" s="1076" t="str">
        <f>IFERROR(__xludf.DUMMYFUNCTION("""COMPUTED_VALUE"""),"CGLĐ DP")</f>
        <v>CGLĐ DP</v>
      </c>
      <c r="D771" s="1076" t="str">
        <f>IFERROR(__xludf.DUMMYFUNCTION("""COMPUTED_VALUE"""),"TRUNG QUỐC")</f>
        <v>TRUNG QUỐC</v>
      </c>
      <c r="E771" s="1076" t="str">
        <f>IFERROR(__xludf.DUMMYFUNCTION("""COMPUTED_VALUE"""),"8 chảo")</f>
        <v>8 chảo</v>
      </c>
      <c r="F771" s="1076"/>
      <c r="G771" s="1076"/>
      <c r="H771" s="1076"/>
      <c r="I771" s="1076"/>
      <c r="J771" s="1076"/>
      <c r="K771" s="1076"/>
      <c r="L771" s="1076" t="str">
        <f>IFERROR(__xludf.DUMMYFUNCTION("""COMPUTED_VALUE"""),"KLH")</f>
        <v>KLH</v>
      </c>
    </row>
    <row r="772" customHeight="1" spans="1:12">
      <c r="A772" s="1089" t="str">
        <f>IFERROR(__xludf.DUMMYFUNCTION("""COMPUTED_VALUE"""),"CNN-XOI-001")</f>
        <v>CNN-XOI-001</v>
      </c>
      <c r="B772" s="1075" t="str">
        <f>IFERROR(__xludf.DUMMYFUNCTION("""COMPUTED_VALUE"""),"Thiết bị xới đất 2.2m")</f>
        <v>Thiết bị xới đất 2.2m</v>
      </c>
      <c r="C772" s="1076" t="str">
        <f>IFERROR(__xludf.DUMMYFUNCTION("""COMPUTED_VALUE"""),"CGLĐ DP")</f>
        <v>CGLĐ DP</v>
      </c>
      <c r="D772" s="1076" t="str">
        <f>IFERROR(__xludf.DUMMYFUNCTION("""COMPUTED_VALUE"""),"TRUNG QUỐC")</f>
        <v>TRUNG QUỐC</v>
      </c>
      <c r="E772" s="1076" t="str">
        <f>IFERROR(__xludf.DUMMYFUNCTION("""COMPUTED_VALUE"""),"2.2m")</f>
        <v>2.2m</v>
      </c>
      <c r="F772" s="1076"/>
      <c r="G772" s="1076"/>
      <c r="H772" s="1076"/>
      <c r="I772" s="1076"/>
      <c r="J772" s="1076"/>
      <c r="K772" s="1076">
        <f>IFERROR(__xludf.DUMMYFUNCTION("""COMPUTED_VALUE"""),6)</f>
        <v>6</v>
      </c>
      <c r="L772" s="1076" t="str">
        <f>IFERROR(__xludf.DUMMYFUNCTION("""COMPUTED_VALUE"""),"KLH")</f>
        <v>KLH</v>
      </c>
    </row>
    <row r="773" customHeight="1" spans="1:12">
      <c r="A773" s="1089" t="str">
        <f>IFERROR(__xludf.DUMMYFUNCTION("""COMPUTED_VALUE"""),"CNN-XOI-002")</f>
        <v>CNN-XOI-002</v>
      </c>
      <c r="B773" s="1075" t="str">
        <f>IFERROR(__xludf.DUMMYFUNCTION("""COMPUTED_VALUE"""),"Thiết bị xới đất 2.2m")</f>
        <v>Thiết bị xới đất 2.2m</v>
      </c>
      <c r="C773" s="1076" t="str">
        <f>IFERROR(__xludf.DUMMYFUNCTION("""COMPUTED_VALUE"""),"CGLĐ DP")</f>
        <v>CGLĐ DP</v>
      </c>
      <c r="D773" s="1076" t="str">
        <f>IFERROR(__xludf.DUMMYFUNCTION("""COMPUTED_VALUE"""),"TRUNG QUỐC")</f>
        <v>TRUNG QUỐC</v>
      </c>
      <c r="E773" s="1076" t="str">
        <f>IFERROR(__xludf.DUMMYFUNCTION("""COMPUTED_VALUE"""),"2.2m")</f>
        <v>2.2m</v>
      </c>
      <c r="F773" s="1076"/>
      <c r="G773" s="1076"/>
      <c r="H773" s="1076"/>
      <c r="I773" s="1076"/>
      <c r="J773" s="1076"/>
      <c r="K773" s="1076">
        <f>IFERROR(__xludf.DUMMYFUNCTION("""COMPUTED_VALUE"""),6)</f>
        <v>6</v>
      </c>
      <c r="L773" s="1076" t="str">
        <f>IFERROR(__xludf.DUMMYFUNCTION("""COMPUTED_VALUE"""),"KLH")</f>
        <v>KLH</v>
      </c>
    </row>
    <row r="774" customHeight="1" spans="1:12">
      <c r="A774" s="1089" t="str">
        <f>IFERROR(__xludf.DUMMYFUNCTION("""COMPUTED_VALUE"""),"CNN-VLU-001")</f>
        <v>CNN-VLU-001</v>
      </c>
      <c r="B774" s="1075" t="str">
        <f>IFERROR(__xludf.DUMMYFUNCTION("""COMPUTED_VALUE"""),"Thiết bị lên luống 2 chảo")</f>
        <v>Thiết bị lên luống 2 chảo</v>
      </c>
      <c r="C774" s="1076" t="str">
        <f>IFERROR(__xludf.DUMMYFUNCTION("""COMPUTED_VALUE"""),"CGLĐ DP")</f>
        <v>CGLĐ DP</v>
      </c>
      <c r="D774" s="1076" t="str">
        <f>IFERROR(__xludf.DUMMYFUNCTION("""COMPUTED_VALUE"""),"TRUNG QUỐC")</f>
        <v>TRUNG QUỐC</v>
      </c>
      <c r="E774" s="1076" t="str">
        <f>IFERROR(__xludf.DUMMYFUNCTION("""COMPUTED_VALUE"""),"2 chảo")</f>
        <v>2 chảo</v>
      </c>
      <c r="F774" s="1076"/>
      <c r="G774" s="1076"/>
      <c r="H774" s="1076"/>
      <c r="I774" s="1076"/>
      <c r="J774" s="1076"/>
      <c r="K774" s="1076"/>
      <c r="L774" s="1076" t="str">
        <f>IFERROR(__xludf.DUMMYFUNCTION("""COMPUTED_VALUE"""),"KLH")</f>
        <v>KLH</v>
      </c>
    </row>
    <row r="775" customHeight="1" spans="1:12">
      <c r="A775" s="1089" t="str">
        <f>IFERROR(__xludf.DUMMYFUNCTION("""COMPUTED_VALUE"""),"CNN-PKK-001")</f>
        <v>CNN-PKK-001</v>
      </c>
      <c r="B775" s="1075" t="str">
        <f>IFERROR(__xludf.DUMMYFUNCTION("""COMPUTED_VALUE"""),"Thiết bị phun khử khuẩn")</f>
        <v>Thiết bị phun khử khuẩn</v>
      </c>
      <c r="C775" s="1076" t="str">
        <f>IFERROR(__xludf.DUMMYFUNCTION("""COMPUTED_VALUE"""),"CGLĐ DP")</f>
        <v>CGLĐ DP</v>
      </c>
      <c r="D775" s="1076" t="str">
        <f>IFERROR(__xludf.DUMMYFUNCTION("""COMPUTED_VALUE"""),"TRUNG QUỐC")</f>
        <v>TRUNG QUỐC</v>
      </c>
      <c r="E775" s="1076"/>
      <c r="F775" s="1076"/>
      <c r="G775" s="1076"/>
      <c r="H775" s="1076"/>
      <c r="I775" s="1076"/>
      <c r="J775" s="1076"/>
      <c r="K775" s="1076"/>
      <c r="L775" s="1076" t="str">
        <f>IFERROR(__xludf.DUMMYFUNCTION("""COMPUTED_VALUE"""),"KLH")</f>
        <v>KLH</v>
      </c>
    </row>
    <row r="776" customHeight="1" spans="1:12">
      <c r="A776" s="1089" t="str">
        <f>IFERROR(__xludf.DUMMYFUNCTION("""COMPUTED_VALUE"""),"CNN-VMU-001")</f>
        <v>CNN-VMU-001</v>
      </c>
      <c r="B776" s="1075" t="str">
        <f>IFERROR(__xludf.DUMMYFUNCTION("""COMPUTED_VALUE"""),"Thiết bị vét mương 2 đĩa quay")</f>
        <v>Thiết bị vét mương 2 đĩa quay</v>
      </c>
      <c r="C776" s="1076" t="str">
        <f>IFERROR(__xludf.DUMMYFUNCTION("""COMPUTED_VALUE"""),"CGLĐ DP")</f>
        <v>CGLĐ DP</v>
      </c>
      <c r="D776" s="1076" t="str">
        <f>IFERROR(__xludf.DUMMYFUNCTION("""COMPUTED_VALUE"""),"TRUNG QUỐC")</f>
        <v>TRUNG QUỐC</v>
      </c>
      <c r="E776" s="1076" t="str">
        <f>IFERROR(__xludf.DUMMYFUNCTION("""COMPUTED_VALUE"""),"2 đĩa quay")</f>
        <v>2 đĩa quay</v>
      </c>
      <c r="F776" s="1076"/>
      <c r="G776" s="1076"/>
      <c r="H776" s="1076"/>
      <c r="I776" s="1076"/>
      <c r="J776" s="1076"/>
      <c r="K776" s="1076"/>
      <c r="L776" s="1076" t="str">
        <f>IFERROR(__xludf.DUMMYFUNCTION("""COMPUTED_VALUE"""),"KLH")</f>
        <v>KLH</v>
      </c>
    </row>
    <row r="777" customHeight="1" spans="1:12">
      <c r="A777" s="1089" t="str">
        <f>IFERROR(__xludf.DUMMYFUNCTION("""COMPUTED_VALUE"""),"CNN-CNA-001")</f>
        <v>CNN-CNA-001</v>
      </c>
      <c r="B777" s="1075" t="str">
        <f>IFERROR(__xludf.DUMMYFUNCTION("""COMPUTED_VALUE"""),"Thiết bị cày ngầm 3 trụ")</f>
        <v>Thiết bị cày ngầm 3 trụ</v>
      </c>
      <c r="C777" s="1076" t="str">
        <f>IFERROR(__xludf.DUMMYFUNCTION("""COMPUTED_VALUE"""),"CGLĐ DP")</f>
        <v>CGLĐ DP</v>
      </c>
      <c r="D777" s="1076" t="str">
        <f>IFERROR(__xludf.DUMMYFUNCTION("""COMPUTED_VALUE"""),"TRUNG QUỐC")</f>
        <v>TRUNG QUỐC</v>
      </c>
      <c r="E777" s="1076" t="str">
        <f>IFERROR(__xludf.DUMMYFUNCTION("""COMPUTED_VALUE"""),"3 trụ")</f>
        <v>3 trụ</v>
      </c>
      <c r="F777" s="1076"/>
      <c r="G777" s="1076"/>
      <c r="H777" s="1076"/>
      <c r="I777" s="1076"/>
      <c r="J777" s="1076"/>
      <c r="K777" s="1076">
        <f>IFERROR(__xludf.DUMMYFUNCTION("""COMPUTED_VALUE"""),13)</f>
        <v>13</v>
      </c>
      <c r="L777" s="1076" t="str">
        <f>IFERROR(__xludf.DUMMYFUNCTION("""COMPUTED_VALUE"""),"KLH")</f>
        <v>KLH</v>
      </c>
    </row>
    <row r="778" customHeight="1" spans="1:12">
      <c r="A778" s="1089" t="str">
        <f>IFERROR(__xludf.DUMMYFUNCTION("""COMPUTED_VALUE"""),"CNN-CNA-005")</f>
        <v>CNN-CNA-005</v>
      </c>
      <c r="B778" s="1075" t="str">
        <f>IFERROR(__xludf.DUMMYFUNCTION("""COMPUTED_VALUE"""),"Thiết bị cày ngầm 3 trụ")</f>
        <v>Thiết bị cày ngầm 3 trụ</v>
      </c>
      <c r="C778" s="1076" t="str">
        <f>IFERROR(__xludf.DUMMYFUNCTION("""COMPUTED_VALUE"""),"CGLĐ DP")</f>
        <v>CGLĐ DP</v>
      </c>
      <c r="D778" s="1076" t="str">
        <f>IFERROR(__xludf.DUMMYFUNCTION("""COMPUTED_VALUE"""),"THACO AGRI")</f>
        <v>THACO AGRI</v>
      </c>
      <c r="E778" s="1076"/>
      <c r="F778" s="1076"/>
      <c r="G778" s="1076"/>
      <c r="H778" s="1076"/>
      <c r="I778" s="1076"/>
      <c r="J778" s="1076"/>
      <c r="K778" s="1076">
        <f>IFERROR(__xludf.DUMMYFUNCTION("""COMPUTED_VALUE"""),13)</f>
        <v>13</v>
      </c>
      <c r="L778" s="1076" t="str">
        <f>IFERROR(__xludf.DUMMYFUNCTION("""COMPUTED_VALUE"""),"KLH")</f>
        <v>KLH</v>
      </c>
    </row>
    <row r="779" customHeight="1" spans="1:12">
      <c r="A779" s="1089" t="str">
        <f>IFERROR(__xludf.DUMMYFUNCTION("""COMPUTED_VALUE"""),"CNN-ĐCT-001")</f>
        <v>CNN-ĐCT-001</v>
      </c>
      <c r="B779" s="1075" t="str">
        <f>IFERROR(__xludf.DUMMYFUNCTION("""COMPUTED_VALUE"""),"Thiết bị vét đường canh tác")</f>
        <v>Thiết bị vét đường canh tác</v>
      </c>
      <c r="C779" s="1076" t="str">
        <f>IFERROR(__xludf.DUMMYFUNCTION("""COMPUTED_VALUE"""),"CGLĐ DP")</f>
        <v>CGLĐ DP</v>
      </c>
      <c r="D779" s="1076" t="str">
        <f>IFERROR(__xludf.DUMMYFUNCTION("""COMPUTED_VALUE"""),"THACO AGRI")</f>
        <v>THACO AGRI</v>
      </c>
      <c r="E779" s="1076"/>
      <c r="F779" s="1076"/>
      <c r="G779" s="1076"/>
      <c r="H779" s="1076"/>
      <c r="I779" s="1076"/>
      <c r="J779" s="1076"/>
      <c r="K779" s="1076"/>
      <c r="L779" s="1076" t="str">
        <f>IFERROR(__xludf.DUMMYFUNCTION("""COMPUTED_VALUE"""),"KLH")</f>
        <v>KLH</v>
      </c>
    </row>
    <row r="780" customHeight="1" spans="1:12">
      <c r="A780" s="1089" t="str">
        <f>IFERROR(__xludf.DUMMYFUNCTION("""COMPUTED_VALUE"""),"CNN-RLT-001")</f>
        <v>CNN-RLT-001</v>
      </c>
      <c r="B780" s="1075" t="str">
        <f>IFERROR(__xludf.DUMMYFUNCTION("""COMPUTED_VALUE"""),"Thiết bị rạch định vị hàng trồng 2 lưỡi")</f>
        <v>Thiết bị rạch định vị hàng trồng 2 lưỡi</v>
      </c>
      <c r="C780" s="1076" t="str">
        <f>IFERROR(__xludf.DUMMYFUNCTION("""COMPUTED_VALUE"""),"CGLĐ DP")</f>
        <v>CGLĐ DP</v>
      </c>
      <c r="D780" s="1076" t="str">
        <f>IFERROR(__xludf.DUMMYFUNCTION("""COMPUTED_VALUE"""),"THACO AGRI")</f>
        <v>THACO AGRI</v>
      </c>
      <c r="E780" s="1076" t="str">
        <f>IFERROR(__xludf.DUMMYFUNCTION("""COMPUTED_VALUE"""),"2 lưỡi")</f>
        <v>2 lưỡi</v>
      </c>
      <c r="F780" s="1076"/>
      <c r="G780" s="1076"/>
      <c r="H780" s="1076"/>
      <c r="I780" s="1076"/>
      <c r="J780" s="1076"/>
      <c r="K780" s="1076"/>
      <c r="L780" s="1076" t="str">
        <f>IFERROR(__xludf.DUMMYFUNCTION("""COMPUTED_VALUE"""),"KLH")</f>
        <v>KLH</v>
      </c>
    </row>
    <row r="781" customHeight="1" spans="1:12">
      <c r="A781" s="1089" t="str">
        <f>IFERROR(__xludf.DUMMYFUNCTION("""COMPUTED_VALUE"""),"CNN-RLT-002")</f>
        <v>CNN-RLT-002</v>
      </c>
      <c r="B781" s="1075" t="str">
        <f>IFERROR(__xludf.DUMMYFUNCTION("""COMPUTED_VALUE"""),"Thiết bị rạch định vị hàng trồng 2 lưỡi")</f>
        <v>Thiết bị rạch định vị hàng trồng 2 lưỡi</v>
      </c>
      <c r="C781" s="1076" t="str">
        <f>IFERROR(__xludf.DUMMYFUNCTION("""COMPUTED_VALUE"""),"CGLĐ DP")</f>
        <v>CGLĐ DP</v>
      </c>
      <c r="D781" s="1076" t="str">
        <f>IFERROR(__xludf.DUMMYFUNCTION("""COMPUTED_VALUE"""),"THACO AGRI")</f>
        <v>THACO AGRI</v>
      </c>
      <c r="E781" s="1076" t="str">
        <f>IFERROR(__xludf.DUMMYFUNCTION("""COMPUTED_VALUE"""),"2 lưỡi")</f>
        <v>2 lưỡi</v>
      </c>
      <c r="F781" s="1076"/>
      <c r="G781" s="1076"/>
      <c r="H781" s="1076"/>
      <c r="I781" s="1076"/>
      <c r="J781" s="1076"/>
      <c r="K781" s="1076"/>
      <c r="L781" s="1076" t="str">
        <f>IFERROR(__xludf.DUMMYFUNCTION("""COMPUTED_VALUE"""),"KLH")</f>
        <v>KLH</v>
      </c>
    </row>
    <row r="782" customHeight="1" spans="1:12">
      <c r="A782" s="1089" t="str">
        <f>IFERROR(__xludf.DUMMYFUNCTION("""COMPUTED_VALUE"""),"CNN-RLT-006")</f>
        <v>CNN-RLT-006</v>
      </c>
      <c r="B782" s="1075" t="str">
        <f>IFERROR(__xludf.DUMMYFUNCTION("""COMPUTED_VALUE"""),"Thiết bị rạch định vị hàng trồng 2 lưỡi")</f>
        <v>Thiết bị rạch định vị hàng trồng 2 lưỡi</v>
      </c>
      <c r="C782" s="1076" t="str">
        <f>IFERROR(__xludf.DUMMYFUNCTION("""COMPUTED_VALUE"""),"CGLĐ DP")</f>
        <v>CGLĐ DP</v>
      </c>
      <c r="D782" s="1076" t="str">
        <f>IFERROR(__xludf.DUMMYFUNCTION("""COMPUTED_VALUE"""),"THACO AGRI")</f>
        <v>THACO AGRI</v>
      </c>
      <c r="E782" s="1076" t="str">
        <f>IFERROR(__xludf.DUMMYFUNCTION("""COMPUTED_VALUE"""),"2 lưỡi")</f>
        <v>2 lưỡi</v>
      </c>
      <c r="F782" s="1076"/>
      <c r="G782" s="1076"/>
      <c r="H782" s="1076"/>
      <c r="I782" s="1076"/>
      <c r="J782" s="1076"/>
      <c r="K782" s="1076"/>
      <c r="L782" s="1076" t="str">
        <f>IFERROR(__xludf.DUMMYFUNCTION("""COMPUTED_VALUE"""),"KLH")</f>
        <v>KLH</v>
      </c>
    </row>
    <row r="783" customHeight="1" spans="1:12">
      <c r="A783" s="1089" t="str">
        <f>IFERROR(__xludf.DUMMYFUNCTION("""COMPUTED_VALUE"""),"CNN-RLT-007")</f>
        <v>CNN-RLT-007</v>
      </c>
      <c r="B783" s="1075" t="str">
        <f>IFERROR(__xludf.DUMMYFUNCTION("""COMPUTED_VALUE"""),"Thiết bị rạch định vị hàng trồng 2 lưỡi")</f>
        <v>Thiết bị rạch định vị hàng trồng 2 lưỡi</v>
      </c>
      <c r="C783" s="1076" t="str">
        <f>IFERROR(__xludf.DUMMYFUNCTION("""COMPUTED_VALUE"""),"CGLĐ DP")</f>
        <v>CGLĐ DP</v>
      </c>
      <c r="D783" s="1076" t="str">
        <f>IFERROR(__xludf.DUMMYFUNCTION("""COMPUTED_VALUE"""),"THACO AGRI")</f>
        <v>THACO AGRI</v>
      </c>
      <c r="E783" s="1076" t="str">
        <f>IFERROR(__xludf.DUMMYFUNCTION("""COMPUTED_VALUE"""),"2 lưỡi")</f>
        <v>2 lưỡi</v>
      </c>
      <c r="F783" s="1076"/>
      <c r="G783" s="1076"/>
      <c r="H783" s="1076"/>
      <c r="I783" s="1076"/>
      <c r="J783" s="1076"/>
      <c r="K783" s="1076"/>
      <c r="L783" s="1076" t="str">
        <f>IFERROR(__xludf.DUMMYFUNCTION("""COMPUTED_VALUE"""),"KLH")</f>
        <v>KLH</v>
      </c>
    </row>
    <row r="784" customHeight="1" spans="1:12">
      <c r="A784" s="1089" t="str">
        <f>IFERROR(__xludf.DUMMYFUNCTION("""COMPUTED_VALUE"""),"CNN-RVO-001")</f>
        <v>CNN-RVO-001</v>
      </c>
      <c r="B784" s="1075" t="str">
        <f>IFERROR(__xludf.DUMMYFUNCTION("""COMPUTED_VALUE"""),"Thiết bị phun vôi/rải vô cơ")</f>
        <v>Thiết bị phun vôi/rải vô cơ</v>
      </c>
      <c r="C784" s="1076" t="str">
        <f>IFERROR(__xludf.DUMMYFUNCTION("""COMPUTED_VALUE"""),"CGLĐ DP")</f>
        <v>CGLĐ DP</v>
      </c>
      <c r="D784" s="1076" t="str">
        <f>IFERROR(__xludf.DUMMYFUNCTION("""COMPUTED_VALUE"""),"TRUNG QUỐC")</f>
        <v>TRUNG QUỐC</v>
      </c>
      <c r="E784" s="1076"/>
      <c r="F784" s="1076"/>
      <c r="G784" s="1076"/>
      <c r="H784" s="1076"/>
      <c r="I784" s="1076"/>
      <c r="J784" s="1076"/>
      <c r="K784" s="1076">
        <f>IFERROR(__xludf.DUMMYFUNCTION("""COMPUTED_VALUE"""),3.8)</f>
        <v>3.8</v>
      </c>
      <c r="L784" s="1076" t="str">
        <f>IFERROR(__xludf.DUMMYFUNCTION("""COMPUTED_VALUE"""),"KLH")</f>
        <v>KLH</v>
      </c>
    </row>
    <row r="785" customHeight="1" spans="1:12">
      <c r="A785" s="1089" t="str">
        <f>IFERROR(__xludf.DUMMYFUNCTION("""COMPUTED_VALUE"""),"CNN-RVO-005")</f>
        <v>CNN-RVO-005</v>
      </c>
      <c r="B785" s="1075" t="str">
        <f>IFERROR(__xludf.DUMMYFUNCTION("""COMPUTED_VALUE"""),"Thiết bị phun vôi/rải vô cơ")</f>
        <v>Thiết bị phun vôi/rải vô cơ</v>
      </c>
      <c r="C785" s="1076" t="str">
        <f>IFERROR(__xludf.DUMMYFUNCTION("""COMPUTED_VALUE"""),"CGLĐ DP")</f>
        <v>CGLĐ DP</v>
      </c>
      <c r="D785" s="1076" t="str">
        <f>IFERROR(__xludf.DUMMYFUNCTION("""COMPUTED_VALUE"""),"SHAKTIMAN")</f>
        <v>SHAKTIMAN</v>
      </c>
      <c r="E785" s="1076" t="str">
        <f>IFERROR(__xludf.DUMMYFUNCTION("""COMPUTED_VALUE"""),"SFB-1000DD")</f>
        <v>SFB-1000DD</v>
      </c>
      <c r="F785" s="1076"/>
      <c r="G785" s="1076" t="str">
        <f>IFERROR(__xludf.DUMMYFUNCTION("""COMPUTED_VALUE"""),"2024")</f>
        <v>2024</v>
      </c>
      <c r="H785" s="1076"/>
      <c r="I785" s="1076" t="str">
        <f>IFERROR(__xludf.DUMMYFUNCTION("""COMPUTED_VALUE"""),"BACE112101901")</f>
        <v>BACE112101901</v>
      </c>
      <c r="J785" s="1076"/>
      <c r="K785" s="1076">
        <f>IFERROR(__xludf.DUMMYFUNCTION("""COMPUTED_VALUE"""),3.8)</f>
        <v>3.8</v>
      </c>
      <c r="L785" s="1076" t="str">
        <f>IFERROR(__xludf.DUMMYFUNCTION("""COMPUTED_VALUE"""),"KLH")</f>
        <v>KLH</v>
      </c>
    </row>
    <row r="786" customHeight="1" spans="1:12">
      <c r="A786" s="1089" t="str">
        <f>IFERROR(__xludf.DUMMYFUNCTION("""COMPUTED_VALUE"""),"CNN-RMĐ-001")</f>
        <v>CNN-RMĐ-001</v>
      </c>
      <c r="B786" s="1075" t="str">
        <f>IFERROR(__xludf.DUMMYFUNCTION("""COMPUTED_VALUE"""),"Rơ mooc vận chuyển M.đào 03")</f>
        <v>Rơ mooc vận chuyển M.đào 03</v>
      </c>
      <c r="C786" s="1076" t="str">
        <f>IFERROR(__xludf.DUMMYFUNCTION("""COMPUTED_VALUE"""),"CGLĐ DP")</f>
        <v>CGLĐ DP</v>
      </c>
      <c r="D786" s="1076" t="str">
        <f>IFERROR(__xludf.DUMMYFUNCTION("""COMPUTED_VALUE"""),"THACO AGRI")</f>
        <v>THACO AGRI</v>
      </c>
      <c r="E786" s="1076"/>
      <c r="F786" s="1076"/>
      <c r="G786" s="1076"/>
      <c r="H786" s="1076"/>
      <c r="I786" s="1076"/>
      <c r="J786" s="1076"/>
      <c r="K786" s="1076"/>
      <c r="L786" s="1076" t="str">
        <f>IFERROR(__xludf.DUMMYFUNCTION("""COMPUTED_VALUE"""),"KLH")</f>
        <v>KLH</v>
      </c>
    </row>
    <row r="787" customHeight="1" spans="1:12">
      <c r="A787" s="1089" t="str">
        <f>IFERROR(__xludf.DUMMYFUNCTION("""COMPUTED_VALUE"""),"CNN-KHO-001")</f>
        <v>CNN-KHO-001</v>
      </c>
      <c r="B787" s="1075" t="str">
        <f>IFERROR(__xludf.DUMMYFUNCTION("""COMPUTED_VALUE"""),"Thiết bị khoan hố")</f>
        <v>Thiết bị khoan hố</v>
      </c>
      <c r="C787" s="1076" t="str">
        <f>IFERROR(__xludf.DUMMYFUNCTION("""COMPUTED_VALUE"""),"CGLĐ DP")</f>
        <v>CGLĐ DP</v>
      </c>
      <c r="D787" s="1076" t="str">
        <f>IFERROR(__xludf.DUMMYFUNCTION("""COMPUTED_VALUE"""),"THACO AGRI")</f>
        <v>THACO AGRI</v>
      </c>
      <c r="E787" s="1076"/>
      <c r="F787" s="1076"/>
      <c r="G787" s="1076"/>
      <c r="H787" s="1076"/>
      <c r="I787" s="1076"/>
      <c r="J787" s="1076"/>
      <c r="K787" s="1076"/>
      <c r="L787" s="1076" t="str">
        <f>IFERROR(__xludf.DUMMYFUNCTION("""COMPUTED_VALUE"""),"KLH")</f>
        <v>KLH</v>
      </c>
    </row>
    <row r="788" customHeight="1" spans="1:12">
      <c r="A788" s="1089" t="str">
        <f>IFERROR(__xludf.DUMMYFUNCTION("""COMPUTED_VALUE"""),"CNN-TBG-001")</f>
        <v>CNN-TBG-001</v>
      </c>
      <c r="B788" s="1075" t="str">
        <f>IFERROR(__xludf.DUMMYFUNCTION("""COMPUTED_VALUE"""),"Thiết bị gom gốc gắn máy kéo")</f>
        <v>Thiết bị gom gốc gắn máy kéo</v>
      </c>
      <c r="C788" s="1076" t="str">
        <f>IFERROR(__xludf.DUMMYFUNCTION("""COMPUTED_VALUE"""),"CGLĐ DP")</f>
        <v>CGLĐ DP</v>
      </c>
      <c r="D788" s="1076" t="str">
        <f>IFERROR(__xludf.DUMMYFUNCTION("""COMPUTED_VALUE"""),"THACO AGRI")</f>
        <v>THACO AGRI</v>
      </c>
      <c r="E788" s="1076"/>
      <c r="F788" s="1076"/>
      <c r="G788" s="1076"/>
      <c r="H788" s="1076" t="str">
        <f>IFERROR(__xludf.DUMMYFUNCTION("""COMPUTED_VALUE"""),"1.8x3x1.5")</f>
        <v>1.8x3x1.5</v>
      </c>
      <c r="I788" s="1076"/>
      <c r="J788" s="1076"/>
      <c r="K788" s="1076"/>
      <c r="L788" s="1076" t="str">
        <f>IFERROR(__xludf.DUMMYFUNCTION("""COMPUTED_VALUE"""),"KLH")</f>
        <v>KLH</v>
      </c>
    </row>
    <row r="789" customHeight="1" spans="1:12">
      <c r="A789" s="1089" t="str">
        <f>IFERROR(__xludf.DUMMYFUNCTION("""COMPUTED_VALUE"""),"CNN-BUA-011")</f>
        <v>CNN-BUA-011</v>
      </c>
      <c r="B789" s="1075" t="str">
        <f>IFERROR(__xludf.DUMMYFUNCTION("""COMPUTED_VALUE"""),"Thiết bị bừa 24 chảo")</f>
        <v>Thiết bị bừa 24 chảo</v>
      </c>
      <c r="C789" s="1076" t="str">
        <f>IFERROR(__xludf.DUMMYFUNCTION("""COMPUTED_VALUE"""),"CGLĐ DP")</f>
        <v>CGLĐ DP</v>
      </c>
      <c r="D789" s="1076" t="str">
        <f>IFERROR(__xludf.DUMMYFUNCTION("""COMPUTED_VALUE"""),"INRODA")</f>
        <v>INRODA</v>
      </c>
      <c r="E789" s="1076" t="str">
        <f>IFERROR(__xludf.DUMMYFUNCTION("""COMPUTED_VALUE"""),"GASP30235")</f>
        <v>GASP30235</v>
      </c>
      <c r="F789" s="1076"/>
      <c r="G789" s="1076" t="str">
        <f>IFERROR(__xludf.DUMMYFUNCTION("""COMPUTED_VALUE"""),"2024")</f>
        <v>2024</v>
      </c>
      <c r="H789" s="1076"/>
      <c r="I789" s="1076"/>
      <c r="J789" s="1076"/>
      <c r="K789" s="1076"/>
      <c r="L789" s="1076" t="str">
        <f>IFERROR(__xludf.DUMMYFUNCTION("""COMPUTED_VALUE"""),"KLH")</f>
        <v>KLH</v>
      </c>
    </row>
    <row r="790" customHeight="1" spans="1:12">
      <c r="A790" s="1089" t="str">
        <f>IFERROR(__xludf.DUMMYFUNCTION("""COMPUTED_VALUE"""),"CNN-BUA-014")</f>
        <v>CNN-BUA-014</v>
      </c>
      <c r="B790" s="1075" t="str">
        <f>IFERROR(__xludf.DUMMYFUNCTION("""COMPUTED_VALUE"""),"Thiết bị bừa 24 chảo")</f>
        <v>Thiết bị bừa 24 chảo</v>
      </c>
      <c r="C790" s="1076" t="str">
        <f>IFERROR(__xludf.DUMMYFUNCTION("""COMPUTED_VALUE"""),"CGLĐ DP")</f>
        <v>CGLĐ DP</v>
      </c>
      <c r="D790" s="1076" t="str">
        <f>IFERROR(__xludf.DUMMYFUNCTION("""COMPUTED_VALUE"""),"INRODA")</f>
        <v>INRODA</v>
      </c>
      <c r="E790" s="1076" t="str">
        <f>IFERROR(__xludf.DUMMYFUNCTION("""COMPUTED_VALUE"""),"GASP30235")</f>
        <v>GASP30235</v>
      </c>
      <c r="F790" s="1076"/>
      <c r="G790" s="1076" t="str">
        <f>IFERROR(__xludf.DUMMYFUNCTION("""COMPUTED_VALUE"""),"2024")</f>
        <v>2024</v>
      </c>
      <c r="H790" s="1076"/>
      <c r="I790" s="1076" t="str">
        <f>IFERROR(__xludf.DUMMYFUNCTION("""COMPUTED_VALUE"""),"3453785")</f>
        <v>3453785</v>
      </c>
      <c r="J790" s="1076"/>
      <c r="K790" s="1076"/>
      <c r="L790" s="1076" t="str">
        <f>IFERROR(__xludf.DUMMYFUNCTION("""COMPUTED_VALUE"""),"KLH")</f>
        <v>KLH</v>
      </c>
    </row>
    <row r="791" customHeight="1" spans="1:12">
      <c r="A791" s="1089" t="str">
        <f>IFERROR(__xludf.DUMMYFUNCTION("""COMPUTED_VALUE"""),"CNN-BUA-015")</f>
        <v>CNN-BUA-015</v>
      </c>
      <c r="B791" s="1075" t="str">
        <f>IFERROR(__xludf.DUMMYFUNCTION("""COMPUTED_VALUE"""),"Thiết bị bừa 30 chảo")</f>
        <v>Thiết bị bừa 30 chảo</v>
      </c>
      <c r="C791" s="1076" t="str">
        <f>IFERROR(__xludf.DUMMYFUNCTION("""COMPUTED_VALUE"""),"CGLĐ DP")</f>
        <v>CGLĐ DP</v>
      </c>
      <c r="D791" s="1076" t="str">
        <f>IFERROR(__xludf.DUMMYFUNCTION("""COMPUTED_VALUE"""),"INRODA")</f>
        <v>INRODA</v>
      </c>
      <c r="E791" s="1076" t="str">
        <f>IFERROR(__xludf.DUMMYFUNCTION("""COMPUTED_VALUE"""),"GASP30235")</f>
        <v>GASP30235</v>
      </c>
      <c r="F791" s="1076"/>
      <c r="G791" s="1076" t="str">
        <f>IFERROR(__xludf.DUMMYFUNCTION("""COMPUTED_VALUE"""),"2024")</f>
        <v>2024</v>
      </c>
      <c r="H791" s="1076"/>
      <c r="I791" s="1076" t="str">
        <f>IFERROR(__xludf.DUMMYFUNCTION("""COMPUTED_VALUE"""),"3453784")</f>
        <v>3453784</v>
      </c>
      <c r="J791" s="1076"/>
      <c r="K791" s="1076"/>
      <c r="L791" s="1076" t="str">
        <f>IFERROR(__xludf.DUMMYFUNCTION("""COMPUTED_VALUE"""),"KLH")</f>
        <v>KLH</v>
      </c>
    </row>
    <row r="792" customHeight="1" spans="1:12">
      <c r="A792" s="1089" t="str">
        <f>IFERROR(__xludf.DUMMYFUNCTION("""COMPUTED_VALUE"""),"CNN-TKH-001")</f>
        <v>CNN-TKH-001</v>
      </c>
      <c r="B792" s="1075" t="str">
        <f>IFERROR(__xludf.DUMMYFUNCTION("""COMPUTED_VALUE"""),"Thiết bị khai hoang dạng con lăn gai")</f>
        <v>Thiết bị khai hoang dạng con lăn gai</v>
      </c>
      <c r="C792" s="1076" t="str">
        <f>IFERROR(__xludf.DUMMYFUNCTION("""COMPUTED_VALUE"""),"CGLĐ DP")</f>
        <v>CGLĐ DP</v>
      </c>
      <c r="D792" s="1076" t="str">
        <f>IFERROR(__xludf.DUMMYFUNCTION("""COMPUTED_VALUE"""),"THACO AGRI")</f>
        <v>THACO AGRI</v>
      </c>
      <c r="E792" s="1076"/>
      <c r="F792" s="1076"/>
      <c r="G792" s="1076"/>
      <c r="H792" s="1076" t="str">
        <f>IFERROR(__xludf.DUMMYFUNCTION("""COMPUTED_VALUE"""),"10x6x0.4m")</f>
        <v>10x6x0.4m</v>
      </c>
      <c r="I792" s="1076"/>
      <c r="J792" s="1076"/>
      <c r="K792" s="1076"/>
      <c r="L792" s="1076" t="str">
        <f>IFERROR(__xludf.DUMMYFUNCTION("""COMPUTED_VALUE"""),"KLH")</f>
        <v>KLH</v>
      </c>
    </row>
    <row r="793" customHeight="1" spans="1:12">
      <c r="A793" s="1089" t="str">
        <f>IFERROR(__xludf.DUMMYFUNCTION("""COMPUTED_VALUE"""),"CNN-RLT-005")</f>
        <v>CNN-RLT-005</v>
      </c>
      <c r="B793" s="1075" t="str">
        <f>IFERROR(__xludf.DUMMYFUNCTION("""COMPUTED_VALUE"""),"Thiết bị rạch định vị hàng trồng 2 lưỡi")</f>
        <v>Thiết bị rạch định vị hàng trồng 2 lưỡi</v>
      </c>
      <c r="C793" s="1076" t="str">
        <f>IFERROR(__xludf.DUMMYFUNCTION("""COMPUTED_VALUE"""),"CGLĐ DP")</f>
        <v>CGLĐ DP</v>
      </c>
      <c r="D793" s="1076" t="str">
        <f>IFERROR(__xludf.DUMMYFUNCTION("""COMPUTED_VALUE"""),"THACO AGRI")</f>
        <v>THACO AGRI</v>
      </c>
      <c r="E793" s="1076"/>
      <c r="F793" s="1076"/>
      <c r="G793" s="1076"/>
      <c r="H793" s="1076"/>
      <c r="I793" s="1076"/>
      <c r="J793" s="1076"/>
      <c r="K793" s="1076"/>
      <c r="L793" s="1076" t="str">
        <f>IFERROR(__xludf.DUMMYFUNCTION("""COMPUTED_VALUE"""),"KLH")</f>
        <v>KLH</v>
      </c>
    </row>
    <row r="794" customHeight="1" spans="1:12">
      <c r="A794" s="1089" t="str">
        <f>IFERROR(__xludf.DUMMYFUNCTION("""COMPUTED_VALUE"""),"CNN-BLT-001")</f>
        <v>CNN-BLT-001</v>
      </c>
      <c r="B794" s="1075" t="str">
        <f>IFERROR(__xludf.DUMMYFUNCTION("""COMPUTED_VALUE"""),"Bộ bánh lồng thép")</f>
        <v>Bộ bánh lồng thép</v>
      </c>
      <c r="C794" s="1076" t="str">
        <f>IFERROR(__xludf.DUMMYFUNCTION("""COMPUTED_VALUE"""),"CGLĐ DP")</f>
        <v>CGLĐ DP</v>
      </c>
      <c r="D794" s="1076" t="str">
        <f>IFERROR(__xludf.DUMMYFUNCTION("""COMPUTED_VALUE"""),"THACO AGRI")</f>
        <v>THACO AGRI</v>
      </c>
      <c r="E794" s="1076" t="str">
        <f>IFERROR(__xludf.DUMMYFUNCTION("""COMPUTED_VALUE"""),"JDR100-D160")</f>
        <v>JDR100-D160</v>
      </c>
      <c r="F794" s="1076"/>
      <c r="G794" s="1076" t="str">
        <f>IFERROR(__xludf.DUMMYFUNCTION("""COMPUTED_VALUE"""),"2024")</f>
        <v>2024</v>
      </c>
      <c r="H794" s="1076" t="str">
        <f>IFERROR(__xludf.DUMMYFUNCTION("""COMPUTED_VALUE"""),"Đường kính 1.59xRộng 1.3m/cái")</f>
        <v>Đường kính 1.59xRộng 1.3m/cái</v>
      </c>
      <c r="I794" s="1076"/>
      <c r="J794" s="1076"/>
      <c r="K794" s="1076"/>
      <c r="L794" s="1076" t="str">
        <f>IFERROR(__xludf.DUMMYFUNCTION("""COMPUTED_VALUE"""),"KLH")</f>
        <v>KLH</v>
      </c>
    </row>
    <row r="795" customHeight="1" spans="1:12">
      <c r="A795" s="1089" t="str">
        <f>IFERROR(__xludf.DUMMYFUNCTION("""COMPUTED_VALUE"""),"CNN-BLT-004")</f>
        <v>CNN-BLT-004</v>
      </c>
      <c r="B795" s="1075" t="str">
        <f>IFERROR(__xludf.DUMMYFUNCTION("""COMPUTED_VALUE"""),"Bộ bánh lồng thép")</f>
        <v>Bộ bánh lồng thép</v>
      </c>
      <c r="C795" s="1076" t="str">
        <f>IFERROR(__xludf.DUMMYFUNCTION("""COMPUTED_VALUE"""),"CGLĐ DP")</f>
        <v>CGLĐ DP</v>
      </c>
      <c r="D795" s="1076" t="str">
        <f>IFERROR(__xludf.DUMMYFUNCTION("""COMPUTED_VALUE"""),"THACO AGRI")</f>
        <v>THACO AGRI</v>
      </c>
      <c r="E795" s="1076" t="str">
        <f>IFERROR(__xludf.DUMMYFUNCTION("""COMPUTED_VALUE"""),"FDR100-D150")</f>
        <v>FDR100-D150</v>
      </c>
      <c r="F795" s="1076"/>
      <c r="G795" s="1076" t="str">
        <f>IFERROR(__xludf.DUMMYFUNCTION("""COMPUTED_VALUE"""),"2024")</f>
        <v>2024</v>
      </c>
      <c r="H795" s="1076" t="str">
        <f>IFERROR(__xludf.DUMMYFUNCTION("""COMPUTED_VALUE"""),"ĐK: 1.49m x Rộng 1.1m/cái")</f>
        <v>ĐK: 1.49m x Rộng 1.1m/cái</v>
      </c>
      <c r="I795" s="1076"/>
      <c r="J795" s="1076"/>
      <c r="K795" s="1076"/>
      <c r="L795" s="1076" t="str">
        <f>IFERROR(__xludf.DUMMYFUNCTION("""COMPUTED_VALUE"""),"KLH")</f>
        <v>KLH</v>
      </c>
    </row>
    <row r="796" customHeight="1" spans="1:12">
      <c r="A796" s="1089" t="str">
        <f>IFERROR(__xludf.DUMMYFUNCTION("""COMPUTED_VALUE"""),"CNN-XOI-007")</f>
        <v>CNN-XOI-007</v>
      </c>
      <c r="B796" s="1075" t="str">
        <f>IFERROR(__xludf.DUMMYFUNCTION("""COMPUTED_VALUE"""),"Thiết bị xới đất 2.2m")</f>
        <v>Thiết bị xới đất 2.2m</v>
      </c>
      <c r="C796" s="1076" t="str">
        <f>IFERROR(__xludf.DUMMYFUNCTION("""COMPUTED_VALUE"""),"CGLĐ DP")</f>
        <v>CGLĐ DP</v>
      </c>
      <c r="D796" s="1076" t="str">
        <f>IFERROR(__xludf.DUMMYFUNCTION("""COMPUTED_VALUE"""),"TRUNG QUỐC")</f>
        <v>TRUNG QUỐC</v>
      </c>
      <c r="E796" s="1076" t="str">
        <f>IFERROR(__xludf.DUMMYFUNCTION("""COMPUTED_VALUE"""),"2.2m")</f>
        <v>2.2m</v>
      </c>
      <c r="F796" s="1076"/>
      <c r="G796" s="1076"/>
      <c r="H796" s="1076"/>
      <c r="I796" s="1076"/>
      <c r="J796" s="1076"/>
      <c r="K796" s="1076">
        <f>IFERROR(__xludf.DUMMYFUNCTION("""COMPUTED_VALUE"""),6)</f>
        <v>6</v>
      </c>
      <c r="L796" s="1076" t="str">
        <f>IFERROR(__xludf.DUMMYFUNCTION("""COMPUTED_VALUE"""),"KLH")</f>
        <v>KLH</v>
      </c>
    </row>
    <row r="797" customHeight="1" spans="1:12">
      <c r="A797" s="1089" t="str">
        <f>IFERROR(__xludf.DUMMYFUNCTION("""COMPUTED_VALUE"""),"CNN-XOI-008")</f>
        <v>CNN-XOI-008</v>
      </c>
      <c r="B797" s="1075" t="str">
        <f>IFERROR(__xludf.DUMMYFUNCTION("""COMPUTED_VALUE"""),"Thiết bị xới đất 2.2m")</f>
        <v>Thiết bị xới đất 2.2m</v>
      </c>
      <c r="C797" s="1076" t="str">
        <f>IFERROR(__xludf.DUMMYFUNCTION("""COMPUTED_VALUE"""),"CGLĐ DP")</f>
        <v>CGLĐ DP</v>
      </c>
      <c r="D797" s="1076" t="str">
        <f>IFERROR(__xludf.DUMMYFUNCTION("""COMPUTED_VALUE"""),"TRUNG QUỐC")</f>
        <v>TRUNG QUỐC</v>
      </c>
      <c r="E797" s="1076" t="str">
        <f>IFERROR(__xludf.DUMMYFUNCTION("""COMPUTED_VALUE"""),"2.2m")</f>
        <v>2.2m</v>
      </c>
      <c r="F797" s="1076"/>
      <c r="G797" s="1076"/>
      <c r="H797" s="1076"/>
      <c r="I797" s="1076"/>
      <c r="J797" s="1076"/>
      <c r="K797" s="1076">
        <f>IFERROR(__xludf.DUMMYFUNCTION("""COMPUTED_VALUE"""),6)</f>
        <v>6</v>
      </c>
      <c r="L797" s="1076" t="str">
        <f>IFERROR(__xludf.DUMMYFUNCTION("""COMPUTED_VALUE"""),"KLH")</f>
        <v>KLH</v>
      </c>
    </row>
    <row r="798" customHeight="1" spans="1:12">
      <c r="A798" s="1089" t="str">
        <f>IFERROR(__xludf.DUMMYFUNCTION("""COMPUTED_VALUE"""),"CNN-BUA-007")</f>
        <v>CNN-BUA-007</v>
      </c>
      <c r="B798" s="1075" t="str">
        <f>IFERROR(__xludf.DUMMYFUNCTION("""COMPUTED_VALUE"""),"Thiết bị bừa 9 chảo")</f>
        <v>Thiết bị bừa 9 chảo</v>
      </c>
      <c r="C798" s="1076" t="str">
        <f>IFERROR(__xludf.DUMMYFUNCTION("""COMPUTED_VALUE"""),"CGLĐ DP")</f>
        <v>CGLĐ DP</v>
      </c>
      <c r="D798" s="1076"/>
      <c r="E798" s="1076" t="str">
        <f>IFERROR(__xludf.DUMMYFUNCTION("""COMPUTED_VALUE"""),"9 chảo")</f>
        <v>9 chảo</v>
      </c>
      <c r="F798" s="1076"/>
      <c r="G798" s="1076"/>
      <c r="H798" s="1076"/>
      <c r="I798" s="1076"/>
      <c r="J798" s="1076"/>
      <c r="K798" s="1076"/>
      <c r="L798" s="1076" t="str">
        <f>IFERROR(__xludf.DUMMYFUNCTION("""COMPUTED_VALUE"""),"KLH")</f>
        <v>KLH</v>
      </c>
    </row>
    <row r="799" customHeight="1" spans="1:12">
      <c r="A799" s="1089" t="str">
        <f>IFERROR(__xludf.DUMMYFUNCTION("""COMPUTED_VALUE"""),"CNN-DTR-001")</f>
        <v>CNN-DTR-001</v>
      </c>
      <c r="B799" s="1075" t="str">
        <f>IFERROR(__xludf.DUMMYFUNCTION("""COMPUTED_VALUE"""),"Thiết bị tạo rãnh ống tưới")</f>
        <v>Thiết bị tạo rãnh ống tưới</v>
      </c>
      <c r="C799" s="1076" t="str">
        <f>IFERROR(__xludf.DUMMYFUNCTION("""COMPUTED_VALUE"""),"CGLĐ DP")</f>
        <v>CGLĐ DP</v>
      </c>
      <c r="D799" s="1076" t="str">
        <f>IFERROR(__xludf.DUMMYFUNCTION("""COMPUTED_VALUE"""),"THACO AGRI")</f>
        <v>THACO AGRI</v>
      </c>
      <c r="E799" s="1076" t="str">
        <f>IFERROR(__xludf.DUMMYFUNCTION("""COMPUTED_VALUE"""),"CK-DTR-01")</f>
        <v>CK-DTR-01</v>
      </c>
      <c r="F799" s="1076"/>
      <c r="G799" s="1076"/>
      <c r="H799" s="1076"/>
      <c r="I799" s="1076"/>
      <c r="J799" s="1076"/>
      <c r="K799" s="1076">
        <f>IFERROR(__xludf.DUMMYFUNCTION("""COMPUTED_VALUE"""),14)</f>
        <v>14</v>
      </c>
      <c r="L799" s="1076" t="str">
        <f>IFERROR(__xludf.DUMMYFUNCTION("""COMPUTED_VALUE"""),"KLH")</f>
        <v>KLH</v>
      </c>
    </row>
    <row r="800" customHeight="1" spans="1:12">
      <c r="A800" s="1089" t="str">
        <f>IFERROR(__xludf.DUMMYFUNCTION("""COMPUTED_VALUE"""),"CNN-DTR-002")</f>
        <v>CNN-DTR-002</v>
      </c>
      <c r="B800" s="1075" t="str">
        <f>IFERROR(__xludf.DUMMYFUNCTION("""COMPUTED_VALUE"""),"Thiết bị tạo rãnh ống tưới")</f>
        <v>Thiết bị tạo rãnh ống tưới</v>
      </c>
      <c r="C800" s="1076" t="str">
        <f>IFERROR(__xludf.DUMMYFUNCTION("""COMPUTED_VALUE"""),"CGLĐ DP")</f>
        <v>CGLĐ DP</v>
      </c>
      <c r="D800" s="1076" t="str">
        <f>IFERROR(__xludf.DUMMYFUNCTION("""COMPUTED_VALUE"""),"THACO AGRI")</f>
        <v>THACO AGRI</v>
      </c>
      <c r="E800" s="1076" t="str">
        <f>IFERROR(__xludf.DUMMYFUNCTION("""COMPUTED_VALUE"""),"CK-DTR-02")</f>
        <v>CK-DTR-02</v>
      </c>
      <c r="F800" s="1076"/>
      <c r="G800" s="1076"/>
      <c r="H800" s="1076" t="str">
        <f>IFERROR(__xludf.DUMMYFUNCTION("""COMPUTED_VALUE"""),"2x2.7x1.1")</f>
        <v>2x2.7x1.1</v>
      </c>
      <c r="I800" s="1076"/>
      <c r="J800" s="1076"/>
      <c r="K800" s="1076">
        <f>IFERROR(__xludf.DUMMYFUNCTION("""COMPUTED_VALUE"""),14)</f>
        <v>14</v>
      </c>
      <c r="L800" s="1076" t="str">
        <f>IFERROR(__xludf.DUMMYFUNCTION("""COMPUTED_VALUE"""),"KLH")</f>
        <v>KLH</v>
      </c>
    </row>
    <row r="801" customHeight="1" spans="1:12">
      <c r="A801" s="1089" t="str">
        <f>IFERROR(__xludf.DUMMYFUNCTION("""COMPUTED_VALUE"""),"CNN-DTR-005")</f>
        <v>CNN-DTR-005</v>
      </c>
      <c r="B801" s="1075" t="str">
        <f>IFERROR(__xludf.DUMMYFUNCTION("""COMPUTED_VALUE"""),"Thiết bị tạo rãnh ống tưới")</f>
        <v>Thiết bị tạo rãnh ống tưới</v>
      </c>
      <c r="C801" s="1076" t="str">
        <f>IFERROR(__xludf.DUMMYFUNCTION("""COMPUTED_VALUE"""),"CGLĐ DP")</f>
        <v>CGLĐ DP</v>
      </c>
      <c r="D801" s="1076" t="str">
        <f>IFERROR(__xludf.DUMMYFUNCTION("""COMPUTED_VALUE"""),"THACO AGRI")</f>
        <v>THACO AGRI</v>
      </c>
      <c r="E801" s="1076" t="str">
        <f>IFERROR(__xludf.DUMMYFUNCTION("""COMPUTED_VALUE"""),"CK-DTR-05")</f>
        <v>CK-DTR-05</v>
      </c>
      <c r="F801" s="1076"/>
      <c r="G801" s="1076"/>
      <c r="H801" s="1076"/>
      <c r="I801" s="1076"/>
      <c r="J801" s="1076"/>
      <c r="K801" s="1076">
        <f>IFERROR(__xludf.DUMMYFUNCTION("""COMPUTED_VALUE"""),14)</f>
        <v>14</v>
      </c>
      <c r="L801" s="1076" t="str">
        <f>IFERROR(__xludf.DUMMYFUNCTION("""COMPUTED_VALUE"""),"KLH")</f>
        <v>KLH</v>
      </c>
    </row>
    <row r="802" customHeight="1" spans="1:12">
      <c r="A802" s="1089" t="str">
        <f>IFERROR(__xludf.DUMMYFUNCTION("""COMPUTED_VALUE"""),"CNN-CCH-013")</f>
        <v>CNN-CCH-013</v>
      </c>
      <c r="B802" s="1075" t="str">
        <f>IFERROR(__xludf.DUMMYFUNCTION("""COMPUTED_VALUE"""),"Thiết bị cày 4 chảo")</f>
        <v>Thiết bị cày 4 chảo</v>
      </c>
      <c r="C802" s="1076" t="str">
        <f>IFERROR(__xludf.DUMMYFUNCTION("""COMPUTED_VALUE"""),"CGLĐ DP")</f>
        <v>CGLĐ DP</v>
      </c>
      <c r="D802" s="1076" t="str">
        <f>IFERROR(__xludf.DUMMYFUNCTION("""COMPUTED_VALUE"""),"KUBOTA")</f>
        <v>KUBOTA</v>
      </c>
      <c r="E802" s="1076" t="str">
        <f>IFERROR(__xludf.DUMMYFUNCTION("""COMPUTED_VALUE"""),"4 CHẢO")</f>
        <v>4 CHẢO</v>
      </c>
      <c r="F802" s="1076"/>
      <c r="G802" s="1076"/>
      <c r="H802" s="1076"/>
      <c r="I802" s="1076"/>
      <c r="J802" s="1076"/>
      <c r="K802" s="1076"/>
      <c r="L802" s="1076" t="str">
        <f>IFERROR(__xludf.DUMMYFUNCTION("""COMPUTED_VALUE"""),"KLH")</f>
        <v>KLH</v>
      </c>
    </row>
    <row r="803" customHeight="1" spans="1:12">
      <c r="A803" s="1089" t="str">
        <f>IFERROR(__xludf.DUMMYFUNCTION("""COMPUTED_VALUE"""),"CNN-CCH-014")</f>
        <v>CNN-CCH-014</v>
      </c>
      <c r="B803" s="1075" t="str">
        <f>IFERROR(__xludf.DUMMYFUNCTION("""COMPUTED_VALUE"""),"Thiết bị cày 4 chảo")</f>
        <v>Thiết bị cày 4 chảo</v>
      </c>
      <c r="C803" s="1076" t="str">
        <f>IFERROR(__xludf.DUMMYFUNCTION("""COMPUTED_VALUE"""),"CGLĐ DP")</f>
        <v>CGLĐ DP</v>
      </c>
      <c r="D803" s="1076" t="str">
        <f>IFERROR(__xludf.DUMMYFUNCTION("""COMPUTED_VALUE"""),"KUBOTA")</f>
        <v>KUBOTA</v>
      </c>
      <c r="E803" s="1076" t="str">
        <f>IFERROR(__xludf.DUMMYFUNCTION("""COMPUTED_VALUE"""),"4 CHẢO")</f>
        <v>4 CHẢO</v>
      </c>
      <c r="F803" s="1076"/>
      <c r="G803" s="1076"/>
      <c r="H803" s="1076"/>
      <c r="I803" s="1076"/>
      <c r="J803" s="1076"/>
      <c r="K803" s="1076"/>
      <c r="L803" s="1076" t="str">
        <f>IFERROR(__xludf.DUMMYFUNCTION("""COMPUTED_VALUE"""),"KLH")</f>
        <v>KLH</v>
      </c>
    </row>
    <row r="804" customHeight="1" spans="1:12">
      <c r="A804" s="1089" t="str">
        <f>IFERROR(__xludf.DUMMYFUNCTION("""COMPUTED_VALUE"""),"CNN-RTC-001")</f>
        <v>CNN-RTC-001</v>
      </c>
      <c r="B804" s="1075" t="str">
        <f>IFERROR(__xludf.DUMMYFUNCTION("""COMPUTED_VALUE"""),"Thiết bị rạch luống trồng chuối")</f>
        <v>Thiết bị rạch luống trồng chuối</v>
      </c>
      <c r="C804" s="1076" t="str">
        <f>IFERROR(__xludf.DUMMYFUNCTION("""COMPUTED_VALUE"""),"CGLĐ DP")</f>
        <v>CGLĐ DP</v>
      </c>
      <c r="D804" s="1076" t="str">
        <f>IFERROR(__xludf.DUMMYFUNCTION("""COMPUTED_VALUE"""),"THACO AGRI")</f>
        <v>THACO AGRI</v>
      </c>
      <c r="E804" s="1076" t="str">
        <f>IFERROR(__xludf.DUMMYFUNCTION("""COMPUTED_VALUE"""),"CK-DTC-01")</f>
        <v>CK-DTC-01</v>
      </c>
      <c r="F804" s="1076"/>
      <c r="G804" s="1076" t="str">
        <f>IFERROR(__xludf.DUMMYFUNCTION("""COMPUTED_VALUE"""),"2025")</f>
        <v>2025</v>
      </c>
      <c r="H804" s="1076"/>
      <c r="I804" s="1076"/>
      <c r="J804" s="1076"/>
      <c r="K804" s="1076">
        <f>IFERROR(__xludf.DUMMYFUNCTION("""COMPUTED_VALUE"""),6.5)</f>
        <v>6.5</v>
      </c>
      <c r="L804" s="1076" t="str">
        <f>IFERROR(__xludf.DUMMYFUNCTION("""COMPUTED_VALUE"""),"KLH")</f>
        <v>KLH</v>
      </c>
    </row>
    <row r="805" customHeight="1" spans="1:12">
      <c r="A805" s="1089" t="str">
        <f>IFERROR(__xludf.DUMMYFUNCTION("""COMPUTED_VALUE"""),"CNN-RTC-002")</f>
        <v>CNN-RTC-002</v>
      </c>
      <c r="B805" s="1075" t="str">
        <f>IFERROR(__xludf.DUMMYFUNCTION("""COMPUTED_VALUE"""),"Thiết bị rạch luống trồng chuối")</f>
        <v>Thiết bị rạch luống trồng chuối</v>
      </c>
      <c r="C805" s="1076" t="str">
        <f>IFERROR(__xludf.DUMMYFUNCTION("""COMPUTED_VALUE"""),"CGLĐ DP")</f>
        <v>CGLĐ DP</v>
      </c>
      <c r="D805" s="1076" t="str">
        <f>IFERROR(__xludf.DUMMYFUNCTION("""COMPUTED_VALUE"""),"THACO AGRI")</f>
        <v>THACO AGRI</v>
      </c>
      <c r="E805" s="1076" t="str">
        <f>IFERROR(__xludf.DUMMYFUNCTION("""COMPUTED_VALUE"""),"CK-DTC-02")</f>
        <v>CK-DTC-02</v>
      </c>
      <c r="F805" s="1076"/>
      <c r="G805" s="1076" t="str">
        <f>IFERROR(__xludf.DUMMYFUNCTION("""COMPUTED_VALUE"""),"2025")</f>
        <v>2025</v>
      </c>
      <c r="H805" s="1076"/>
      <c r="I805" s="1076"/>
      <c r="J805" s="1076"/>
      <c r="K805" s="1076">
        <f>IFERROR(__xludf.DUMMYFUNCTION("""COMPUTED_VALUE"""),6.5)</f>
        <v>6.5</v>
      </c>
      <c r="L805" s="1076" t="str">
        <f>IFERROR(__xludf.DUMMYFUNCTION("""COMPUTED_VALUE"""),"KLH")</f>
        <v>KLH</v>
      </c>
    </row>
    <row r="806" customHeight="1" spans="1:12">
      <c r="A806" s="1089" t="str">
        <f>IFERROR(__xludf.DUMMYFUNCTION("""COMPUTED_VALUE"""),"CNN-RTC-004")</f>
        <v>CNN-RTC-004</v>
      </c>
      <c r="B806" s="1075" t="str">
        <f>IFERROR(__xludf.DUMMYFUNCTION("""COMPUTED_VALUE"""),"Thiết bị rạch luống trồng chuối")</f>
        <v>Thiết bị rạch luống trồng chuối</v>
      </c>
      <c r="C806" s="1076" t="str">
        <f>IFERROR(__xludf.DUMMYFUNCTION("""COMPUTED_VALUE"""),"CGLĐ DP")</f>
        <v>CGLĐ DP</v>
      </c>
      <c r="D806" s="1076" t="str">
        <f>IFERROR(__xludf.DUMMYFUNCTION("""COMPUTED_VALUE"""),"THACO AGRI")</f>
        <v>THACO AGRI</v>
      </c>
      <c r="E806" s="1076"/>
      <c r="F806" s="1076"/>
      <c r="G806" s="1076" t="str">
        <f>IFERROR(__xludf.DUMMYFUNCTION("""COMPUTED_VALUE"""),"2026")</f>
        <v>2026</v>
      </c>
      <c r="H806" s="1076"/>
      <c r="I806" s="1076"/>
      <c r="J806" s="1076"/>
      <c r="K806" s="1076">
        <f>IFERROR(__xludf.DUMMYFUNCTION("""COMPUTED_VALUE"""),6.5)</f>
        <v>6.5</v>
      </c>
      <c r="L806" s="1076" t="str">
        <f>IFERROR(__xludf.DUMMYFUNCTION("""COMPUTED_VALUE"""),"KLH")</f>
        <v>KLH</v>
      </c>
    </row>
    <row r="807" customHeight="1" spans="1:12">
      <c r="A807" s="1089" t="str">
        <f>IFERROR(__xludf.DUMMYFUNCTION("""COMPUTED_VALUE"""),"CNN-RTC-005")</f>
        <v>CNN-RTC-005</v>
      </c>
      <c r="B807" s="1075" t="str">
        <f>IFERROR(__xludf.DUMMYFUNCTION("""COMPUTED_VALUE"""),"Thiết bị rạch luống trồng chuối")</f>
        <v>Thiết bị rạch luống trồng chuối</v>
      </c>
      <c r="C807" s="1076" t="str">
        <f>IFERROR(__xludf.DUMMYFUNCTION("""COMPUTED_VALUE"""),"CGLĐ DP")</f>
        <v>CGLĐ DP</v>
      </c>
      <c r="D807" s="1076" t="str">
        <f>IFERROR(__xludf.DUMMYFUNCTION("""COMPUTED_VALUE"""),"THACO AGRI")</f>
        <v>THACO AGRI</v>
      </c>
      <c r="E807" s="1076"/>
      <c r="F807" s="1076"/>
      <c r="G807" s="1076" t="str">
        <f>IFERROR(__xludf.DUMMYFUNCTION("""COMPUTED_VALUE"""),"2026")</f>
        <v>2026</v>
      </c>
      <c r="H807" s="1076"/>
      <c r="I807" s="1076"/>
      <c r="J807" s="1076"/>
      <c r="K807" s="1076">
        <f>IFERROR(__xludf.DUMMYFUNCTION("""COMPUTED_VALUE"""),6.5)</f>
        <v>6.5</v>
      </c>
      <c r="L807" s="1076" t="str">
        <f>IFERROR(__xludf.DUMMYFUNCTION("""COMPUTED_VALUE"""),"KLH")</f>
        <v>KLH</v>
      </c>
    </row>
    <row r="808" customHeight="1" spans="1:12">
      <c r="A808" s="1089" t="str">
        <f>IFERROR(__xludf.DUMMYFUNCTION("""COMPUTED_VALUE"""),"CNN-RTC-006")</f>
        <v>CNN-RTC-006</v>
      </c>
      <c r="B808" s="1075" t="str">
        <f>IFERROR(__xludf.DUMMYFUNCTION("""COMPUTED_VALUE"""),"Thiết bị rạch luống trồng chuối")</f>
        <v>Thiết bị rạch luống trồng chuối</v>
      </c>
      <c r="C808" s="1076" t="str">
        <f>IFERROR(__xludf.DUMMYFUNCTION("""COMPUTED_VALUE"""),"CGLĐ DP")</f>
        <v>CGLĐ DP</v>
      </c>
      <c r="D808" s="1076" t="str">
        <f>IFERROR(__xludf.DUMMYFUNCTION("""COMPUTED_VALUE"""),"THACO AGRI")</f>
        <v>THACO AGRI</v>
      </c>
      <c r="E808" s="1076"/>
      <c r="F808" s="1076"/>
      <c r="G808" s="1076" t="str">
        <f>IFERROR(__xludf.DUMMYFUNCTION("""COMPUTED_VALUE"""),"2026")</f>
        <v>2026</v>
      </c>
      <c r="H808" s="1076"/>
      <c r="I808" s="1076"/>
      <c r="J808" s="1076"/>
      <c r="K808" s="1076">
        <f>IFERROR(__xludf.DUMMYFUNCTION("""COMPUTED_VALUE"""),6.5)</f>
        <v>6.5</v>
      </c>
      <c r="L808" s="1076" t="str">
        <f>IFERROR(__xludf.DUMMYFUNCTION("""COMPUTED_VALUE"""),"KLH")</f>
        <v>KLH</v>
      </c>
    </row>
    <row r="809" customHeight="1" spans="1:12">
      <c r="A809" s="1089" t="str">
        <f>IFERROR(__xludf.DUMMYFUNCTION("""COMPUTED_VALUE"""),"CNN-RTC-007")</f>
        <v>CNN-RTC-007</v>
      </c>
      <c r="B809" s="1075" t="str">
        <f>IFERROR(__xludf.DUMMYFUNCTION("""COMPUTED_VALUE"""),"Thiết bị rạch luống trồng chuối")</f>
        <v>Thiết bị rạch luống trồng chuối</v>
      </c>
      <c r="C809" s="1076" t="str">
        <f>IFERROR(__xludf.DUMMYFUNCTION("""COMPUTED_VALUE"""),"CGLĐ DP")</f>
        <v>CGLĐ DP</v>
      </c>
      <c r="D809" s="1076" t="str">
        <f>IFERROR(__xludf.DUMMYFUNCTION("""COMPUTED_VALUE"""),"THACO AGRI")</f>
        <v>THACO AGRI</v>
      </c>
      <c r="E809" s="1076"/>
      <c r="F809" s="1076"/>
      <c r="G809" s="1076" t="str">
        <f>IFERROR(__xludf.DUMMYFUNCTION("""COMPUTED_VALUE"""),"2026")</f>
        <v>2026</v>
      </c>
      <c r="H809" s="1076"/>
      <c r="I809" s="1076"/>
      <c r="J809" s="1076"/>
      <c r="K809" s="1076">
        <f>IFERROR(__xludf.DUMMYFUNCTION("""COMPUTED_VALUE"""),6.5)</f>
        <v>6.5</v>
      </c>
      <c r="L809" s="1076" t="str">
        <f>IFERROR(__xludf.DUMMYFUNCTION("""COMPUTED_VALUE"""),"KLH")</f>
        <v>KLH</v>
      </c>
    </row>
    <row r="810" customHeight="1" spans="1:12">
      <c r="A810" s="1089" t="str">
        <f>IFERROR(__xludf.DUMMYFUNCTION("""COMPUTED_VALUE"""),"CNN-DXP-001")</f>
        <v>CNN-DXP-001</v>
      </c>
      <c r="B810" s="1075" t="str">
        <f>IFERROR(__xludf.DUMMYFUNCTION("""COMPUTED_VALUE"""),"Thiết bị xới phân")</f>
        <v>Thiết bị xới phân</v>
      </c>
      <c r="C810" s="1076" t="str">
        <f>IFERROR(__xludf.DUMMYFUNCTION("""COMPUTED_VALUE"""),"CGLĐ DP")</f>
        <v>CGLĐ DP</v>
      </c>
      <c r="D810" s="1076" t="str">
        <f>IFERROR(__xludf.DUMMYFUNCTION("""COMPUTED_VALUE"""),"THACO AGRI")</f>
        <v>THACO AGRI</v>
      </c>
      <c r="E810" s="1076" t="str">
        <f>IFERROR(__xludf.DUMMYFUNCTION("""COMPUTED_VALUE"""),"CK-DXP-01")</f>
        <v>CK-DXP-01</v>
      </c>
      <c r="F810" s="1076"/>
      <c r="G810" s="1076" t="str">
        <f>IFERROR(__xludf.DUMMYFUNCTION("""COMPUTED_VALUE"""),"2025")</f>
        <v>2025</v>
      </c>
      <c r="H810" s="1076" t="str">
        <f>IFERROR(__xludf.DUMMYFUNCTION("""COMPUTED_VALUE"""),"3.5x1x3.6")</f>
        <v>3.5x1x3.6</v>
      </c>
      <c r="I810" s="1076"/>
      <c r="J810" s="1076"/>
      <c r="K810" s="1076"/>
      <c r="L810" s="1076" t="str">
        <f>IFERROR(__xludf.DUMMYFUNCTION("""COMPUTED_VALUE"""),"KLH")</f>
        <v>KLH</v>
      </c>
    </row>
    <row r="811" customHeight="1" spans="1:12">
      <c r="A811" s="1089" t="str">
        <f>IFERROR(__xludf.DUMMYFUNCTION("""COMPUTED_VALUE"""),"CNN-DRP-001")</f>
        <v>CNN-DRP-001</v>
      </c>
      <c r="B811" s="1075" t="str">
        <f>IFERROR(__xludf.DUMMYFUNCTION("""COMPUTED_VALUE"""),"Dàn rải phân (10m3)")</f>
        <v>Dàn rải phân (10m3)</v>
      </c>
      <c r="C811" s="1076" t="str">
        <f>IFERROR(__xludf.DUMMYFUNCTION("""COMPUTED_VALUE"""),"CGLĐ DP")</f>
        <v>CGLĐ DP</v>
      </c>
      <c r="D811" s="1076" t="str">
        <f>IFERROR(__xludf.DUMMYFUNCTION("""COMPUTED_VALUE"""),"THACO INDUSTRY")</f>
        <v>THACO INDUSTRY</v>
      </c>
      <c r="E811" s="1076" t="str">
        <f>IFERROR(__xludf.DUMMYFUNCTION("""COMPUTED_VALUE"""),"10M3")</f>
        <v>10M3</v>
      </c>
      <c r="F811" s="1076"/>
      <c r="G811" s="1076" t="str">
        <f>IFERROR(__xludf.DUMMYFUNCTION("""COMPUTED_VALUE"""),"2025")</f>
        <v>2025</v>
      </c>
      <c r="H811" s="1076" t="str">
        <f>IFERROR(__xludf.DUMMYFUNCTION("""COMPUTED_VALUE"""),"7")</f>
        <v>7</v>
      </c>
      <c r="I811" s="1076"/>
      <c r="J811" s="1076"/>
      <c r="K811" s="1076">
        <f>IFERROR(__xludf.DUMMYFUNCTION("""COMPUTED_VALUE"""),3.5)</f>
        <v>3.5</v>
      </c>
      <c r="L811" s="1076" t="str">
        <f>IFERROR(__xludf.DUMMYFUNCTION("""COMPUTED_VALUE"""),"KLH")</f>
        <v>KLH</v>
      </c>
    </row>
    <row r="812" customHeight="1" spans="1:12">
      <c r="A812" s="1089" t="str">
        <f>IFERROR(__xludf.DUMMYFUNCTION("""COMPUTED_VALUE"""),"CNN-DRP-004")</f>
        <v>CNN-DRP-004</v>
      </c>
      <c r="B812" s="1075" t="str">
        <f>IFERROR(__xludf.DUMMYFUNCTION("""COMPUTED_VALUE"""),"Dàn rải phân (10m3)")</f>
        <v>Dàn rải phân (10m3)</v>
      </c>
      <c r="C812" s="1076" t="str">
        <f>IFERROR(__xludf.DUMMYFUNCTION("""COMPUTED_VALUE"""),"CGLĐ DP")</f>
        <v>CGLĐ DP</v>
      </c>
      <c r="D812" s="1076" t="str">
        <f>IFERROR(__xludf.DUMMYFUNCTION("""COMPUTED_VALUE"""),"THACO INDUSTRY")</f>
        <v>THACO INDUSTRY</v>
      </c>
      <c r="E812" s="1076" t="str">
        <f>IFERROR(__xludf.DUMMYFUNCTION("""COMPUTED_VALUE"""),"10M3")</f>
        <v>10M3</v>
      </c>
      <c r="F812" s="1076"/>
      <c r="G812" s="1076" t="str">
        <f>IFERROR(__xludf.DUMMYFUNCTION("""COMPUTED_VALUE"""),"2025")</f>
        <v>2025</v>
      </c>
      <c r="H812" s="1076" t="str">
        <f>IFERROR(__xludf.DUMMYFUNCTION("""COMPUTED_VALUE"""),"RMFNUU109ASC001754")</f>
        <v>RMFNUU109ASC001754</v>
      </c>
      <c r="I812" s="1076" t="str">
        <f>IFERROR(__xludf.DUMMYFUNCTION("""COMPUTED_VALUE"""),"16")</f>
        <v>16</v>
      </c>
      <c r="J812" s="1076"/>
      <c r="K812" s="1076">
        <f>IFERROR(__xludf.DUMMYFUNCTION("""COMPUTED_VALUE"""),3.5)</f>
        <v>3.5</v>
      </c>
      <c r="L812" s="1076" t="str">
        <f>IFERROR(__xludf.DUMMYFUNCTION("""COMPUTED_VALUE"""),"KLH")</f>
        <v>KLH</v>
      </c>
    </row>
    <row r="813" customHeight="1" spans="1:12">
      <c r="A813" s="1089" t="str">
        <f>IFERROR(__xludf.DUMMYFUNCTION("""COMPUTED_VALUE"""),"CNN-DRP-005")</f>
        <v>CNN-DRP-005</v>
      </c>
      <c r="B813" s="1075" t="str">
        <f>IFERROR(__xludf.DUMMYFUNCTION("""COMPUTED_VALUE"""),"Dàn rải phân (10m3)")</f>
        <v>Dàn rải phân (10m3)</v>
      </c>
      <c r="C813" s="1076" t="str">
        <f>IFERROR(__xludf.DUMMYFUNCTION("""COMPUTED_VALUE"""),"CGLĐ DP")</f>
        <v>CGLĐ DP</v>
      </c>
      <c r="D813" s="1076" t="str">
        <f>IFERROR(__xludf.DUMMYFUNCTION("""COMPUTED_VALUE"""),"THACO INDUSTRY")</f>
        <v>THACO INDUSTRY</v>
      </c>
      <c r="E813" s="1076" t="str">
        <f>IFERROR(__xludf.DUMMYFUNCTION("""COMPUTED_VALUE"""),"10M3")</f>
        <v>10M3</v>
      </c>
      <c r="F813" s="1076"/>
      <c r="G813" s="1076" t="str">
        <f>IFERROR(__xludf.DUMMYFUNCTION("""COMPUTED_VALUE"""),"2025")</f>
        <v>2025</v>
      </c>
      <c r="H813" s="1076" t="str">
        <f>IFERROR(__xludf.DUMMYFUNCTION("""COMPUTED_VALUE"""),"RMFNU109ASC001755")</f>
        <v>RMFNU109ASC001755</v>
      </c>
      <c r="I813" s="1076" t="str">
        <f>IFERROR(__xludf.DUMMYFUNCTION("""COMPUTED_VALUE"""),"18")</f>
        <v>18</v>
      </c>
      <c r="J813" s="1076"/>
      <c r="K813" s="1076">
        <f>IFERROR(__xludf.DUMMYFUNCTION("""COMPUTED_VALUE"""),3.5)</f>
        <v>3.5</v>
      </c>
      <c r="L813" s="1076" t="str">
        <f>IFERROR(__xludf.DUMMYFUNCTION("""COMPUTED_VALUE"""),"KLH")</f>
        <v>KLH</v>
      </c>
    </row>
    <row r="814" customHeight="1" spans="1:12">
      <c r="A814" s="1089" t="str">
        <f>IFERROR(__xludf.DUMMYFUNCTION("""COMPUTED_VALUE"""),"CNN-DRP-006")</f>
        <v>CNN-DRP-006</v>
      </c>
      <c r="B814" s="1075" t="str">
        <f>IFERROR(__xludf.DUMMYFUNCTION("""COMPUTED_VALUE"""),"Dàn rải phân (10m3)")</f>
        <v>Dàn rải phân (10m3)</v>
      </c>
      <c r="C814" s="1076" t="str">
        <f>IFERROR(__xludf.DUMMYFUNCTION("""COMPUTED_VALUE"""),"CGLĐ DP")</f>
        <v>CGLĐ DP</v>
      </c>
      <c r="D814" s="1076" t="str">
        <f>IFERROR(__xludf.DUMMYFUNCTION("""COMPUTED_VALUE"""),"THACO INDUSTRY")</f>
        <v>THACO INDUSTRY</v>
      </c>
      <c r="E814" s="1076" t="str">
        <f>IFERROR(__xludf.DUMMYFUNCTION("""COMPUTED_VALUE"""),"10M3")</f>
        <v>10M3</v>
      </c>
      <c r="F814" s="1076"/>
      <c r="G814" s="1076" t="str">
        <f>IFERROR(__xludf.DUMMYFUNCTION("""COMPUTED_VALUE"""),"2025")</f>
        <v>2025</v>
      </c>
      <c r="H814" s="1076" t="str">
        <f>IFERROR(__xludf.DUMMYFUNCTION("""COMPUTED_VALUE"""),"RMFNU109ATC002205")</f>
        <v>RMFNU109ATC002205</v>
      </c>
      <c r="I814" s="1076" t="str">
        <f>IFERROR(__xludf.DUMMYFUNCTION("""COMPUTED_VALUE"""),"19")</f>
        <v>19</v>
      </c>
      <c r="J814" s="1076"/>
      <c r="K814" s="1076">
        <f>IFERROR(__xludf.DUMMYFUNCTION("""COMPUTED_VALUE"""),3.5)</f>
        <v>3.5</v>
      </c>
      <c r="L814" s="1076" t="str">
        <f>IFERROR(__xludf.DUMMYFUNCTION("""COMPUTED_VALUE"""),"KLH")</f>
        <v>KLH</v>
      </c>
    </row>
    <row r="815" customHeight="1" spans="1:12">
      <c r="A815" s="1089" t="str">
        <f>IFERROR(__xludf.DUMMYFUNCTION("""COMPUTED_VALUE"""),"CNN-DRT-001")</f>
        <v>CNN-DRT-001</v>
      </c>
      <c r="B815" s="1075" t="str">
        <f>IFERROR(__xludf.DUMMYFUNCTION("""COMPUTED_VALUE"""),"Thiết bị đào rãnh đặt ống tưới")</f>
        <v>Thiết bị đào rãnh đặt ống tưới</v>
      </c>
      <c r="C815" s="1076" t="str">
        <f>IFERROR(__xludf.DUMMYFUNCTION("""COMPUTED_VALUE"""),"CGLĐ DP")</f>
        <v>CGLĐ DP</v>
      </c>
      <c r="D815" s="1076" t="str">
        <f>IFERROR(__xludf.DUMMYFUNCTION("""COMPUTED_VALUE"""),"THACO INDUSTRY")</f>
        <v>THACO INDUSTRY</v>
      </c>
      <c r="E815" s="1076" t="str">
        <f>IFERROR(__xludf.DUMMYFUNCTION("""COMPUTED_VALUE"""),"Đĩa quay")</f>
        <v>Đĩa quay</v>
      </c>
      <c r="F815" s="1076"/>
      <c r="G815" s="1076" t="str">
        <f>IFERROR(__xludf.DUMMYFUNCTION("""COMPUTED_VALUE"""),"2025")</f>
        <v>2025</v>
      </c>
      <c r="H815" s="1076"/>
      <c r="I815" s="1076" t="str">
        <f>IFERROR(__xludf.DUMMYFUNCTION("""COMPUTED_VALUE"""),"DTR1")</f>
        <v>DTR1</v>
      </c>
      <c r="J815" s="1076"/>
      <c r="K815" s="1076"/>
      <c r="L815" s="1076" t="str">
        <f>IFERROR(__xludf.DUMMYFUNCTION("""COMPUTED_VALUE"""),"KLH")</f>
        <v>KLH</v>
      </c>
    </row>
    <row r="816" customHeight="1" spans="1:12">
      <c r="A816" s="1089" t="str">
        <f>IFERROR(__xludf.DUMMYFUNCTION("""COMPUTED_VALUE"""),"CNN-DRT-002")</f>
        <v>CNN-DRT-002</v>
      </c>
      <c r="B816" s="1075" t="str">
        <f>IFERROR(__xludf.DUMMYFUNCTION("""COMPUTED_VALUE"""),"Thiết bị đào rãnh đặt ống tưới")</f>
        <v>Thiết bị đào rãnh đặt ống tưới</v>
      </c>
      <c r="C816" s="1076" t="str">
        <f>IFERROR(__xludf.DUMMYFUNCTION("""COMPUTED_VALUE"""),"CGLĐ DP")</f>
        <v>CGLĐ DP</v>
      </c>
      <c r="D816" s="1076" t="str">
        <f>IFERROR(__xludf.DUMMYFUNCTION("""COMPUTED_VALUE"""),"THACO INDUSTRY")</f>
        <v>THACO INDUSTRY</v>
      </c>
      <c r="E816" s="1076" t="str">
        <f>IFERROR(__xludf.DUMMYFUNCTION("""COMPUTED_VALUE"""),"Đĩa quay")</f>
        <v>Đĩa quay</v>
      </c>
      <c r="F816" s="1076"/>
      <c r="G816" s="1076" t="str">
        <f>IFERROR(__xludf.DUMMYFUNCTION("""COMPUTED_VALUE"""),"2025")</f>
        <v>2025</v>
      </c>
      <c r="H816" s="1076"/>
      <c r="I816" s="1076" t="str">
        <f>IFERROR(__xludf.DUMMYFUNCTION("""COMPUTED_VALUE"""),"DTR2")</f>
        <v>DTR2</v>
      </c>
      <c r="J816" s="1076"/>
      <c r="K816" s="1076"/>
      <c r="L816" s="1076" t="str">
        <f>IFERROR(__xludf.DUMMYFUNCTION("""COMPUTED_VALUE"""),"KLH")</f>
        <v>KLH</v>
      </c>
    </row>
    <row r="817" customHeight="1" spans="1:12">
      <c r="A817" s="1089" t="str">
        <f>IFERROR(__xludf.DUMMYFUNCTION("""COMPUTED_VALUE"""),"CNN-DRT-003")</f>
        <v>CNN-DRT-003</v>
      </c>
      <c r="B817" s="1075" t="str">
        <f>IFERROR(__xludf.DUMMYFUNCTION("""COMPUTED_VALUE"""),"Thiết bị đào rãnh đặt ống tưới")</f>
        <v>Thiết bị đào rãnh đặt ống tưới</v>
      </c>
      <c r="C817" s="1076" t="str">
        <f>IFERROR(__xludf.DUMMYFUNCTION("""COMPUTED_VALUE"""),"CGLĐ DP")</f>
        <v>CGLĐ DP</v>
      </c>
      <c r="D817" s="1076" t="str">
        <f>IFERROR(__xludf.DUMMYFUNCTION("""COMPUTED_VALUE"""),"THACO INDUSTRY")</f>
        <v>THACO INDUSTRY</v>
      </c>
      <c r="E817" s="1076" t="str">
        <f>IFERROR(__xludf.DUMMYFUNCTION("""COMPUTED_VALUE"""),"Đĩa quay")</f>
        <v>Đĩa quay</v>
      </c>
      <c r="F817" s="1076"/>
      <c r="G817" s="1076" t="str">
        <f>IFERROR(__xludf.DUMMYFUNCTION("""COMPUTED_VALUE"""),"2025")</f>
        <v>2025</v>
      </c>
      <c r="H817" s="1076"/>
      <c r="I817" s="1076" t="str">
        <f>IFERROR(__xludf.DUMMYFUNCTION("""COMPUTED_VALUE"""),"DTR4")</f>
        <v>DTR4</v>
      </c>
      <c r="J817" s="1076"/>
      <c r="K817" s="1076"/>
      <c r="L817" s="1076" t="str">
        <f>IFERROR(__xludf.DUMMYFUNCTION("""COMPUTED_VALUE"""),"KLH")</f>
        <v>KLH</v>
      </c>
    </row>
    <row r="818" customHeight="1" spans="1:12">
      <c r="A818" s="1089" t="str">
        <f>IFERROR(__xludf.DUMMYFUNCTION("""COMPUTED_VALUE"""),"Cơ giới làm đất LP")</f>
        <v>Cơ giới làm đất LP</v>
      </c>
      <c r="B818" s="1075"/>
      <c r="C818" s="1076"/>
      <c r="D818" s="1076"/>
      <c r="E818" s="1076"/>
      <c r="F818" s="1076"/>
      <c r="G818" s="1076"/>
      <c r="H818" s="1076"/>
      <c r="I818" s="1076"/>
      <c r="J818" s="1076"/>
      <c r="K818" s="1076"/>
      <c r="L818" s="1076" t="str">
        <f>IFERROR(__xludf.DUMMYFUNCTION("""COMPUTED_VALUE"""),"KLH")</f>
        <v>KLH</v>
      </c>
    </row>
    <row r="819" customHeight="1" spans="1:12">
      <c r="A819" s="1089" t="str">
        <f>IFERROR(__xludf.DUMMYFUNCTION("""COMPUTED_VALUE"""),"CNN-CCH-004")</f>
        <v>CNN-CCH-004</v>
      </c>
      <c r="B819" s="1075" t="str">
        <f>IFERROR(__xludf.DUMMYFUNCTION("""COMPUTED_VALUE"""),"Thiết Bị Cày 3 Chảo")</f>
        <v>Thiết Bị Cày 3 Chảo</v>
      </c>
      <c r="C819" s="1076" t="str">
        <f>IFERROR(__xludf.DUMMYFUNCTION("""COMPUTED_VALUE"""),"CGLĐ LP")</f>
        <v>CGLĐ LP</v>
      </c>
      <c r="D819" s="1076" t="str">
        <f>IFERROR(__xludf.DUMMYFUNCTION("""COMPUTED_VALUE"""),"CAMBODIA")</f>
        <v>CAMBODIA</v>
      </c>
      <c r="E819" s="1076" t="str">
        <f>IFERROR(__xludf.DUMMYFUNCTION("""COMPUTED_VALUE"""),"3 chảo")</f>
        <v>3 chảo</v>
      </c>
      <c r="F819" s="1076"/>
      <c r="G819" s="1076"/>
      <c r="H819" s="1076"/>
      <c r="I819" s="1076"/>
      <c r="J819" s="1076"/>
      <c r="K819" s="1076"/>
      <c r="L819" s="1076" t="str">
        <f>IFERROR(__xludf.DUMMYFUNCTION("""COMPUTED_VALUE"""),"KLH")</f>
        <v>KLH</v>
      </c>
    </row>
    <row r="820" customHeight="1" spans="1:12">
      <c r="A820" s="1089" t="str">
        <f>IFERROR(__xludf.DUMMYFUNCTION("""COMPUTED_VALUE"""),"CNN-CCH-005")</f>
        <v>CNN-CCH-005</v>
      </c>
      <c r="B820" s="1075" t="str">
        <f>IFERROR(__xludf.DUMMYFUNCTION("""COMPUTED_VALUE"""),"Thiết Bị Cày 3 Chảo")</f>
        <v>Thiết Bị Cày 3 Chảo</v>
      </c>
      <c r="C820" s="1076" t="str">
        <f>IFERROR(__xludf.DUMMYFUNCTION("""COMPUTED_VALUE"""),"CGLĐ LP")</f>
        <v>CGLĐ LP</v>
      </c>
      <c r="D820" s="1076" t="str">
        <f>IFERROR(__xludf.DUMMYFUNCTION("""COMPUTED_VALUE"""),"CAMBODIA")</f>
        <v>CAMBODIA</v>
      </c>
      <c r="E820" s="1076" t="str">
        <f>IFERROR(__xludf.DUMMYFUNCTION("""COMPUTED_VALUE"""),"3 chảo")</f>
        <v>3 chảo</v>
      </c>
      <c r="F820" s="1076"/>
      <c r="G820" s="1076"/>
      <c r="H820" s="1076"/>
      <c r="I820" s="1076"/>
      <c r="J820" s="1076"/>
      <c r="K820" s="1076"/>
      <c r="L820" s="1076" t="str">
        <f>IFERROR(__xludf.DUMMYFUNCTION("""COMPUTED_VALUE"""),"KLH")</f>
        <v>KLH</v>
      </c>
    </row>
    <row r="821" customHeight="1" spans="1:12">
      <c r="A821" s="1089" t="str">
        <f>IFERROR(__xludf.DUMMYFUNCTION("""COMPUTED_VALUE"""),"CNN-CCH-006")</f>
        <v>CNN-CCH-006</v>
      </c>
      <c r="B821" s="1075" t="str">
        <f>IFERROR(__xludf.DUMMYFUNCTION("""COMPUTED_VALUE"""),"Thiết Bị Cày 3 Chảo")</f>
        <v>Thiết Bị Cày 3 Chảo</v>
      </c>
      <c r="C821" s="1076" t="str">
        <f>IFERROR(__xludf.DUMMYFUNCTION("""COMPUTED_VALUE"""),"CGLĐ LP")</f>
        <v>CGLĐ LP</v>
      </c>
      <c r="D821" s="1076" t="str">
        <f>IFERROR(__xludf.DUMMYFUNCTION("""COMPUTED_VALUE"""),"CAMBODIA")</f>
        <v>CAMBODIA</v>
      </c>
      <c r="E821" s="1076" t="str">
        <f>IFERROR(__xludf.DUMMYFUNCTION("""COMPUTED_VALUE"""),"3 chảo")</f>
        <v>3 chảo</v>
      </c>
      <c r="F821" s="1076"/>
      <c r="G821" s="1076"/>
      <c r="H821" s="1076"/>
      <c r="I821" s="1076"/>
      <c r="J821" s="1076"/>
      <c r="K821" s="1076"/>
      <c r="L821" s="1076" t="str">
        <f>IFERROR(__xludf.DUMMYFUNCTION("""COMPUTED_VALUE"""),"KLH")</f>
        <v>KLH</v>
      </c>
    </row>
    <row r="822" customHeight="1" spans="1:12">
      <c r="A822" s="1089" t="str">
        <f>IFERROR(__xludf.DUMMYFUNCTION("""COMPUTED_VALUE"""),"CNN-BUA-005")</f>
        <v>CNN-BUA-005</v>
      </c>
      <c r="B822" s="1075" t="str">
        <f>IFERROR(__xludf.DUMMYFUNCTION("""COMPUTED_VALUE"""),"Thiết Bị Bừa 8 Chảo")</f>
        <v>Thiết Bị Bừa 8 Chảo</v>
      </c>
      <c r="C822" s="1076" t="str">
        <f>IFERROR(__xludf.DUMMYFUNCTION("""COMPUTED_VALUE"""),"CGLĐ LP")</f>
        <v>CGLĐ LP</v>
      </c>
      <c r="D822" s="1076" t="str">
        <f>IFERROR(__xludf.DUMMYFUNCTION("""COMPUTED_VALUE"""),"CAMBODIA")</f>
        <v>CAMBODIA</v>
      </c>
      <c r="E822" s="1076" t="str">
        <f>IFERROR(__xludf.DUMMYFUNCTION("""COMPUTED_VALUE"""),"8 chảo")</f>
        <v>8 chảo</v>
      </c>
      <c r="F822" s="1076"/>
      <c r="G822" s="1076"/>
      <c r="H822" s="1076"/>
      <c r="I822" s="1076"/>
      <c r="J822" s="1076"/>
      <c r="K822" s="1076"/>
      <c r="L822" s="1076" t="str">
        <f>IFERROR(__xludf.DUMMYFUNCTION("""COMPUTED_VALUE"""),"KLH")</f>
        <v>KLH</v>
      </c>
    </row>
    <row r="823" customHeight="1" spans="1:12">
      <c r="A823" s="1089" t="str">
        <f>IFERROR(__xludf.DUMMYFUNCTION("""COMPUTED_VALUE"""),"CNN-BUA-006")</f>
        <v>CNN-BUA-006</v>
      </c>
      <c r="B823" s="1075" t="str">
        <f>IFERROR(__xludf.DUMMYFUNCTION("""COMPUTED_VALUE"""),"Thiết Bị Bừa 32 Chảo")</f>
        <v>Thiết Bị Bừa 32 Chảo</v>
      </c>
      <c r="C823" s="1076" t="str">
        <f>IFERROR(__xludf.DUMMYFUNCTION("""COMPUTED_VALUE"""),"CGLĐ LP")</f>
        <v>CGLĐ LP</v>
      </c>
      <c r="D823" s="1076" t="str">
        <f>IFERROR(__xludf.DUMMYFUNCTION("""COMPUTED_VALUE"""),"CAMBODIA")</f>
        <v>CAMBODIA</v>
      </c>
      <c r="E823" s="1076" t="str">
        <f>IFERROR(__xludf.DUMMYFUNCTION("""COMPUTED_VALUE"""),"32 chảo")</f>
        <v>32 chảo</v>
      </c>
      <c r="F823" s="1076"/>
      <c r="G823" s="1076"/>
      <c r="H823" s="1076"/>
      <c r="I823" s="1076"/>
      <c r="J823" s="1076"/>
      <c r="K823" s="1076"/>
      <c r="L823" s="1076" t="str">
        <f>IFERROR(__xludf.DUMMYFUNCTION("""COMPUTED_VALUE"""),"KLH")</f>
        <v>KLH</v>
      </c>
    </row>
    <row r="824" customHeight="1" spans="1:12">
      <c r="A824" s="1089" t="str">
        <f>IFERROR(__xludf.DUMMYFUNCTION("""COMPUTED_VALUE"""),"CNN-BUA-012")</f>
        <v>CNN-BUA-012</v>
      </c>
      <c r="B824" s="1075" t="str">
        <f>IFERROR(__xludf.DUMMYFUNCTION("""COMPUTED_VALUE"""),"Thiết bị bừa 24 chảo")</f>
        <v>Thiết bị bừa 24 chảo</v>
      </c>
      <c r="C824" s="1076" t="str">
        <f>IFERROR(__xludf.DUMMYFUNCTION("""COMPUTED_VALUE"""),"CGLĐ LP")</f>
        <v>CGLĐ LP</v>
      </c>
      <c r="D824" s="1076" t="str">
        <f>IFERROR(__xludf.DUMMYFUNCTION("""COMPUTED_VALUE"""),"CAMBODIA")</f>
        <v>CAMBODIA</v>
      </c>
      <c r="E824" s="1076" t="str">
        <f>IFERROR(__xludf.DUMMYFUNCTION("""COMPUTED_VALUE"""),"24 chảo")</f>
        <v>24 chảo</v>
      </c>
      <c r="F824" s="1076"/>
      <c r="G824" s="1076"/>
      <c r="H824" s="1076"/>
      <c r="I824" s="1076"/>
      <c r="J824" s="1076"/>
      <c r="K824" s="1076"/>
      <c r="L824" s="1076" t="str">
        <f>IFERROR(__xludf.DUMMYFUNCTION("""COMPUTED_VALUE"""),"KLH")</f>
        <v>KLH</v>
      </c>
    </row>
    <row r="825" customHeight="1" spans="1:12">
      <c r="A825" s="1089" t="str">
        <f>IFERROR(__xludf.DUMMYFUNCTION("""COMPUTED_VALUE"""),"CNN-XOI-004")</f>
        <v>CNN-XOI-004</v>
      </c>
      <c r="B825" s="1075" t="str">
        <f>IFERROR(__xludf.DUMMYFUNCTION("""COMPUTED_VALUE"""),"Thiết bị xới đất 2.2m")</f>
        <v>Thiết bị xới đất 2.2m</v>
      </c>
      <c r="C825" s="1076" t="str">
        <f>IFERROR(__xludf.DUMMYFUNCTION("""COMPUTED_VALUE"""),"CGLĐ LP")</f>
        <v>CGLĐ LP</v>
      </c>
      <c r="D825" s="1076" t="str">
        <f>IFERROR(__xludf.DUMMYFUNCTION("""COMPUTED_VALUE"""),"CAMBODIA")</f>
        <v>CAMBODIA</v>
      </c>
      <c r="E825" s="1076" t="str">
        <f>IFERROR(__xludf.DUMMYFUNCTION("""COMPUTED_VALUE"""),"2.2m")</f>
        <v>2.2m</v>
      </c>
      <c r="F825" s="1076"/>
      <c r="G825" s="1076"/>
      <c r="H825" s="1076"/>
      <c r="I825" s="1076"/>
      <c r="J825" s="1076"/>
      <c r="K825" s="1076">
        <f>IFERROR(__xludf.DUMMYFUNCTION("""COMPUTED_VALUE"""),6)</f>
        <v>6</v>
      </c>
      <c r="L825" s="1076" t="str">
        <f>IFERROR(__xludf.DUMMYFUNCTION("""COMPUTED_VALUE"""),"KLH")</f>
        <v>KLH</v>
      </c>
    </row>
    <row r="826" customHeight="1" spans="1:12">
      <c r="A826" s="1089" t="str">
        <f>IFERROR(__xludf.DUMMYFUNCTION("""COMPUTED_VALUE"""),"CNN-VMU-002")</f>
        <v>CNN-VMU-002</v>
      </c>
      <c r="B826" s="1075" t="str">
        <f>IFERROR(__xludf.DUMMYFUNCTION("""COMPUTED_VALUE"""),"Thiết bị vét mương 2 đĩa quay")</f>
        <v>Thiết bị vét mương 2 đĩa quay</v>
      </c>
      <c r="C826" s="1076" t="str">
        <f>IFERROR(__xludf.DUMMYFUNCTION("""COMPUTED_VALUE"""),"CGLĐ LP")</f>
        <v>CGLĐ LP</v>
      </c>
      <c r="D826" s="1076" t="str">
        <f>IFERROR(__xludf.DUMMYFUNCTION("""COMPUTED_VALUE"""),"CAMBODIA")</f>
        <v>CAMBODIA</v>
      </c>
      <c r="E826" s="1076" t="str">
        <f>IFERROR(__xludf.DUMMYFUNCTION("""COMPUTED_VALUE"""),"2 đĩa  quay")</f>
        <v>2 đĩa  quay</v>
      </c>
      <c r="F826" s="1076"/>
      <c r="G826" s="1076"/>
      <c r="H826" s="1076"/>
      <c r="I826" s="1076"/>
      <c r="J826" s="1076"/>
      <c r="K826" s="1076"/>
      <c r="L826" s="1076" t="str">
        <f>IFERROR(__xludf.DUMMYFUNCTION("""COMPUTED_VALUE"""),"KLH")</f>
        <v>KLH</v>
      </c>
    </row>
    <row r="827" customHeight="1" spans="1:12">
      <c r="A827" s="1089" t="str">
        <f>IFERROR(__xludf.DUMMYFUNCTION("""COMPUTED_VALUE"""),"CNN-CNA-002")</f>
        <v>CNN-CNA-002</v>
      </c>
      <c r="B827" s="1075" t="str">
        <f>IFERROR(__xludf.DUMMYFUNCTION("""COMPUTED_VALUE"""),"Thiết bị cày ngầm 3 trụ")</f>
        <v>Thiết bị cày ngầm 3 trụ</v>
      </c>
      <c r="C827" s="1076" t="str">
        <f>IFERROR(__xludf.DUMMYFUNCTION("""COMPUTED_VALUE"""),"CGLĐ LP")</f>
        <v>CGLĐ LP</v>
      </c>
      <c r="D827" s="1076" t="str">
        <f>IFERROR(__xludf.DUMMYFUNCTION("""COMPUTED_VALUE"""),"CAMBODIA")</f>
        <v>CAMBODIA</v>
      </c>
      <c r="E827" s="1076" t="str">
        <f>IFERROR(__xludf.DUMMYFUNCTION("""COMPUTED_VALUE"""),"3 trụ")</f>
        <v>3 trụ</v>
      </c>
      <c r="F827" s="1076"/>
      <c r="G827" s="1076"/>
      <c r="H827" s="1076"/>
      <c r="I827" s="1076"/>
      <c r="J827" s="1076"/>
      <c r="K827" s="1076">
        <f>IFERROR(__xludf.DUMMYFUNCTION("""COMPUTED_VALUE"""),13)</f>
        <v>13</v>
      </c>
      <c r="L827" s="1076" t="str">
        <f>IFERROR(__xludf.DUMMYFUNCTION("""COMPUTED_VALUE"""),"KLH")</f>
        <v>KLH</v>
      </c>
    </row>
    <row r="828" customHeight="1" spans="1:12">
      <c r="A828" s="1089" t="str">
        <f>IFERROR(__xludf.DUMMYFUNCTION("""COMPUTED_VALUE"""),"CNN-RLT-003")</f>
        <v>CNN-RLT-003</v>
      </c>
      <c r="B828" s="1075" t="str">
        <f>IFERROR(__xludf.DUMMYFUNCTION("""COMPUTED_VALUE"""),"Thiết bị rạch định vị hàng trồng 2 lưỡi")</f>
        <v>Thiết bị rạch định vị hàng trồng 2 lưỡi</v>
      </c>
      <c r="C828" s="1076" t="str">
        <f>IFERROR(__xludf.DUMMYFUNCTION("""COMPUTED_VALUE"""),"CGLĐ LP")</f>
        <v>CGLĐ LP</v>
      </c>
      <c r="D828" s="1076" t="str">
        <f>IFERROR(__xludf.DUMMYFUNCTION("""COMPUTED_VALUE"""),"CAMBODIA")</f>
        <v>CAMBODIA</v>
      </c>
      <c r="E828" s="1076"/>
      <c r="F828" s="1076"/>
      <c r="G828" s="1076"/>
      <c r="H828" s="1076"/>
      <c r="I828" s="1076"/>
      <c r="J828" s="1076"/>
      <c r="K828" s="1076"/>
      <c r="L828" s="1076" t="str">
        <f>IFERROR(__xludf.DUMMYFUNCTION("""COMPUTED_VALUE"""),"KLH")</f>
        <v>KLH</v>
      </c>
    </row>
    <row r="829" customHeight="1" spans="1:12">
      <c r="A829" s="1089" t="str">
        <f>IFERROR(__xludf.DUMMYFUNCTION("""COMPUTED_VALUE"""),"CNN-TBG-002")</f>
        <v>CNN-TBG-002</v>
      </c>
      <c r="B829" s="1075" t="str">
        <f>IFERROR(__xludf.DUMMYFUNCTION("""COMPUTED_VALUE"""),"Thiết bị gom gốc gắn máy kéo")</f>
        <v>Thiết bị gom gốc gắn máy kéo</v>
      </c>
      <c r="C829" s="1076" t="str">
        <f>IFERROR(__xludf.DUMMYFUNCTION("""COMPUTED_VALUE"""),"CGLĐ LP")</f>
        <v>CGLĐ LP</v>
      </c>
      <c r="D829" s="1076" t="str">
        <f>IFERROR(__xludf.DUMMYFUNCTION("""COMPUTED_VALUE"""),"THACO AGRI")</f>
        <v>THACO AGRI</v>
      </c>
      <c r="E829" s="1076"/>
      <c r="F829" s="1076"/>
      <c r="G829" s="1076"/>
      <c r="H829" s="1076" t="str">
        <f>IFERROR(__xludf.DUMMYFUNCTION("""COMPUTED_VALUE"""),"1.8x3x1.5")</f>
        <v>1.8x3x1.5</v>
      </c>
      <c r="I829" s="1076"/>
      <c r="J829" s="1076"/>
      <c r="K829" s="1076"/>
      <c r="L829" s="1076" t="str">
        <f>IFERROR(__xludf.DUMMYFUNCTION("""COMPUTED_VALUE"""),"KLH")</f>
        <v>KLH</v>
      </c>
    </row>
    <row r="830" customHeight="1" spans="1:12">
      <c r="A830" s="1089" t="str">
        <f>IFERROR(__xludf.DUMMYFUNCTION("""COMPUTED_VALUE"""),"CNN-RVO-003")</f>
        <v>CNN-RVO-003</v>
      </c>
      <c r="B830" s="1075" t="str">
        <f>IFERROR(__xludf.DUMMYFUNCTION("""COMPUTED_VALUE"""),"Thiết bị phun vôi/rải vô cơ")</f>
        <v>Thiết bị phun vôi/rải vô cơ</v>
      </c>
      <c r="C830" s="1076" t="str">
        <f>IFERROR(__xludf.DUMMYFUNCTION("""COMPUTED_VALUE"""),"CGLĐ LP")</f>
        <v>CGLĐ LP</v>
      </c>
      <c r="D830" s="1076" t="str">
        <f>IFERROR(__xludf.DUMMYFUNCTION("""COMPUTED_VALUE"""),"CAMBODIA")</f>
        <v>CAMBODIA</v>
      </c>
      <c r="E830" s="1076"/>
      <c r="F830" s="1076"/>
      <c r="G830" s="1076"/>
      <c r="H830" s="1076"/>
      <c r="I830" s="1076"/>
      <c r="J830" s="1076"/>
      <c r="K830" s="1076">
        <f>IFERROR(__xludf.DUMMYFUNCTION("""COMPUTED_VALUE"""),3.8)</f>
        <v>3.8</v>
      </c>
      <c r="L830" s="1076" t="str">
        <f>IFERROR(__xludf.DUMMYFUNCTION("""COMPUTED_VALUE"""),"KLH")</f>
        <v>KLH</v>
      </c>
    </row>
    <row r="831" customHeight="1" spans="1:12">
      <c r="A831" s="1089" t="str">
        <f>IFERROR(__xludf.DUMMYFUNCTION("""COMPUTED_VALUE"""),"CNN-RVO-006")</f>
        <v>CNN-RVO-006</v>
      </c>
      <c r="B831" s="1075" t="str">
        <f>IFERROR(__xludf.DUMMYFUNCTION("""COMPUTED_VALUE"""),"Thiết bị phun vôi/rải vô cơ")</f>
        <v>Thiết bị phun vôi/rải vô cơ</v>
      </c>
      <c r="C831" s="1076" t="str">
        <f>IFERROR(__xludf.DUMMYFUNCTION("""COMPUTED_VALUE"""),"CGLĐ LP")</f>
        <v>CGLĐ LP</v>
      </c>
      <c r="D831" s="1076" t="str">
        <f>IFERROR(__xludf.DUMMYFUNCTION("""COMPUTED_VALUE"""),"SHAKTIMAN")</f>
        <v>SHAKTIMAN</v>
      </c>
      <c r="E831" s="1076" t="str">
        <f>IFERROR(__xludf.DUMMYFUNCTION("""COMPUTED_VALUE"""),"SFB-1000DD")</f>
        <v>SFB-1000DD</v>
      </c>
      <c r="F831" s="1076"/>
      <c r="G831" s="1076" t="str">
        <f>IFERROR(__xludf.DUMMYFUNCTION("""COMPUTED_VALUE"""),"2024")</f>
        <v>2024</v>
      </c>
      <c r="H831" s="1076"/>
      <c r="I831" s="1076" t="str">
        <f>IFERROR(__xludf.DUMMYFUNCTION("""COMPUTED_VALUE"""),"BACE112101899")</f>
        <v>BACE112101899</v>
      </c>
      <c r="J831" s="1076"/>
      <c r="K831" s="1076">
        <f>IFERROR(__xludf.DUMMYFUNCTION("""COMPUTED_VALUE"""),3.8)</f>
        <v>3.8</v>
      </c>
      <c r="L831" s="1076" t="str">
        <f>IFERROR(__xludf.DUMMYFUNCTION("""COMPUTED_VALUE"""),"KLH")</f>
        <v>KLH</v>
      </c>
    </row>
    <row r="832" customHeight="1" spans="1:12">
      <c r="A832" s="1089" t="str">
        <f>IFERROR(__xludf.DUMMYFUNCTION("""COMPUTED_VALUE"""),"CNN-XOI-003")</f>
        <v>CNN-XOI-003</v>
      </c>
      <c r="B832" s="1075" t="str">
        <f>IFERROR(__xludf.DUMMYFUNCTION("""COMPUTED_VALUE"""),"Thiết bị xới đất 2.2m")</f>
        <v>Thiết bị xới đất 2.2m</v>
      </c>
      <c r="C832" s="1076" t="str">
        <f>IFERROR(__xludf.DUMMYFUNCTION("""COMPUTED_VALUE"""),"CGLĐ LP")</f>
        <v>CGLĐ LP</v>
      </c>
      <c r="D832" s="1076" t="str">
        <f>IFERROR(__xludf.DUMMYFUNCTION("""COMPUTED_VALUE"""),"CAMBODIA")</f>
        <v>CAMBODIA</v>
      </c>
      <c r="E832" s="1076" t="str">
        <f>IFERROR(__xludf.DUMMYFUNCTION("""COMPUTED_VALUE"""),"2.2m")</f>
        <v>2.2m</v>
      </c>
      <c r="F832" s="1076"/>
      <c r="G832" s="1076"/>
      <c r="H832" s="1076"/>
      <c r="I832" s="1076"/>
      <c r="J832" s="1076"/>
      <c r="K832" s="1076">
        <f>IFERROR(__xludf.DUMMYFUNCTION("""COMPUTED_VALUE"""),6)</f>
        <v>6</v>
      </c>
      <c r="L832" s="1076" t="str">
        <f>IFERROR(__xludf.DUMMYFUNCTION("""COMPUTED_VALUE"""),"KLH")</f>
        <v>KLH</v>
      </c>
    </row>
    <row r="833" customHeight="1" spans="1:12">
      <c r="A833" s="1089" t="str">
        <f>IFERROR(__xludf.DUMMYFUNCTION("""COMPUTED_VALUE"""),"CNN-XOI-009")</f>
        <v>CNN-XOI-009</v>
      </c>
      <c r="B833" s="1075" t="str">
        <f>IFERROR(__xludf.DUMMYFUNCTION("""COMPUTED_VALUE"""),"Thiết bị xới đất 2.2m")</f>
        <v>Thiết bị xới đất 2.2m</v>
      </c>
      <c r="C833" s="1076" t="str">
        <f>IFERROR(__xludf.DUMMYFUNCTION("""COMPUTED_VALUE"""),"CGLĐ LP")</f>
        <v>CGLĐ LP</v>
      </c>
      <c r="D833" s="1076" t="str">
        <f>IFERROR(__xludf.DUMMYFUNCTION("""COMPUTED_VALUE"""),"CAMBODIA")</f>
        <v>CAMBODIA</v>
      </c>
      <c r="E833" s="1076" t="str">
        <f>IFERROR(__xludf.DUMMYFUNCTION("""COMPUTED_VALUE"""),"2.2m")</f>
        <v>2.2m</v>
      </c>
      <c r="F833" s="1076"/>
      <c r="G833" s="1076"/>
      <c r="H833" s="1076"/>
      <c r="I833" s="1076"/>
      <c r="J833" s="1076"/>
      <c r="K833" s="1076">
        <f>IFERROR(__xludf.DUMMYFUNCTION("""COMPUTED_VALUE"""),6)</f>
        <v>6</v>
      </c>
      <c r="L833" s="1076" t="str">
        <f>IFERROR(__xludf.DUMMYFUNCTION("""COMPUTED_VALUE"""),"KLH")</f>
        <v>KLH</v>
      </c>
    </row>
    <row r="834" customHeight="1" spans="1:12">
      <c r="A834" s="1089" t="str">
        <f>IFERROR(__xludf.DUMMYFUNCTION("""COMPUTED_VALUE"""),"CNN-CNA-004")</f>
        <v>CNN-CNA-004</v>
      </c>
      <c r="B834" s="1075" t="str">
        <f>IFERROR(__xludf.DUMMYFUNCTION("""COMPUTED_VALUE"""),"Thiết bị cày ngầm 3 trụ")</f>
        <v>Thiết bị cày ngầm 3 trụ</v>
      </c>
      <c r="C834" s="1076" t="str">
        <f>IFERROR(__xludf.DUMMYFUNCTION("""COMPUTED_VALUE"""),"CGLĐ LP")</f>
        <v>CGLĐ LP</v>
      </c>
      <c r="D834" s="1076" t="str">
        <f>IFERROR(__xludf.DUMMYFUNCTION("""COMPUTED_VALUE"""),"CAMBODIA")</f>
        <v>CAMBODIA</v>
      </c>
      <c r="E834" s="1076" t="str">
        <f>IFERROR(__xludf.DUMMYFUNCTION("""COMPUTED_VALUE"""),"3 trụ")</f>
        <v>3 trụ</v>
      </c>
      <c r="F834" s="1076"/>
      <c r="G834" s="1076"/>
      <c r="H834" s="1076" t="str">
        <f>IFERROR(__xludf.DUMMYFUNCTION("""COMPUTED_VALUE"""),"1.4*1.8*1.6")</f>
        <v>1.4*1.8*1.6</v>
      </c>
      <c r="I834" s="1076"/>
      <c r="J834" s="1076"/>
      <c r="K834" s="1076">
        <f>IFERROR(__xludf.DUMMYFUNCTION("""COMPUTED_VALUE"""),13)</f>
        <v>13</v>
      </c>
      <c r="L834" s="1076" t="str">
        <f>IFERROR(__xludf.DUMMYFUNCTION("""COMPUTED_VALUE"""),"KLH")</f>
        <v>KLH</v>
      </c>
    </row>
    <row r="835" customHeight="1" spans="1:12">
      <c r="A835" s="1089" t="str">
        <f>IFERROR(__xludf.DUMMYFUNCTION("""COMPUTED_VALUE"""),"CNN-CNA-006")</f>
        <v>CNN-CNA-006</v>
      </c>
      <c r="B835" s="1075" t="str">
        <f>IFERROR(__xludf.DUMMYFUNCTION("""COMPUTED_VALUE"""),"Thiết bị cày ngầm 3 trụ")</f>
        <v>Thiết bị cày ngầm 3 trụ</v>
      </c>
      <c r="C835" s="1076" t="str">
        <f>IFERROR(__xludf.DUMMYFUNCTION("""COMPUTED_VALUE"""),"CGLĐ LP")</f>
        <v>CGLĐ LP</v>
      </c>
      <c r="D835" s="1076" t="str">
        <f>IFERROR(__xludf.DUMMYFUNCTION("""COMPUTED_VALUE"""),"THACO AGRI")</f>
        <v>THACO AGRI</v>
      </c>
      <c r="E835" s="1076"/>
      <c r="F835" s="1076"/>
      <c r="G835" s="1076"/>
      <c r="H835" s="1076"/>
      <c r="I835" s="1076"/>
      <c r="J835" s="1076"/>
      <c r="K835" s="1076">
        <f>IFERROR(__xludf.DUMMYFUNCTION("""COMPUTED_VALUE"""),13)</f>
        <v>13</v>
      </c>
      <c r="L835" s="1076" t="str">
        <f>IFERROR(__xludf.DUMMYFUNCTION("""COMPUTED_VALUE"""),"KLH")</f>
        <v>KLH</v>
      </c>
    </row>
    <row r="836" customHeight="1" spans="1:12">
      <c r="A836" s="1089" t="str">
        <f>IFERROR(__xludf.DUMMYFUNCTION("""COMPUTED_VALUE"""),"CNN-CNA-007")</f>
        <v>CNN-CNA-007</v>
      </c>
      <c r="B836" s="1075" t="str">
        <f>IFERROR(__xludf.DUMMYFUNCTION("""COMPUTED_VALUE"""),"Thiết bị cày ngầm 3 trụ")</f>
        <v>Thiết bị cày ngầm 3 trụ</v>
      </c>
      <c r="C836" s="1076" t="str">
        <f>IFERROR(__xludf.DUMMYFUNCTION("""COMPUTED_VALUE"""),"CGLĐ LP")</f>
        <v>CGLĐ LP</v>
      </c>
      <c r="D836" s="1076"/>
      <c r="E836" s="1076"/>
      <c r="F836" s="1076"/>
      <c r="G836" s="1076"/>
      <c r="H836" s="1076"/>
      <c r="I836" s="1076"/>
      <c r="J836" s="1076"/>
      <c r="K836" s="1076">
        <f>IFERROR(__xludf.DUMMYFUNCTION("""COMPUTED_VALUE"""),13)</f>
        <v>13</v>
      </c>
      <c r="L836" s="1076" t="str">
        <f>IFERROR(__xludf.DUMMYFUNCTION("""COMPUTED_VALUE"""),"KLH")</f>
        <v>KLH</v>
      </c>
    </row>
    <row r="837" customHeight="1" spans="1:12">
      <c r="A837" s="1089" t="str">
        <f>IFERROR(__xludf.DUMMYFUNCTION("""COMPUTED_VALUE"""),"CNN-BLT-002")</f>
        <v>CNN-BLT-002</v>
      </c>
      <c r="B837" s="1075" t="str">
        <f>IFERROR(__xludf.DUMMYFUNCTION("""COMPUTED_VALUE"""),"Bộ bánh lồng thép")</f>
        <v>Bộ bánh lồng thép</v>
      </c>
      <c r="C837" s="1076" t="str">
        <f>IFERROR(__xludf.DUMMYFUNCTION("""COMPUTED_VALUE"""),"CGLĐ LP")</f>
        <v>CGLĐ LP</v>
      </c>
      <c r="D837" s="1076" t="str">
        <f>IFERROR(__xludf.DUMMYFUNCTION("""COMPUTED_VALUE"""),"THACO AGRI")</f>
        <v>THACO AGRI</v>
      </c>
      <c r="E837" s="1076" t="str">
        <f>IFERROR(__xludf.DUMMYFUNCTION("""COMPUTED_VALUE"""),"JDR100-D150")</f>
        <v>JDR100-D150</v>
      </c>
      <c r="F837" s="1076"/>
      <c r="G837" s="1076" t="str">
        <f>IFERROR(__xludf.DUMMYFUNCTION("""COMPUTED_VALUE"""),"2024")</f>
        <v>2024</v>
      </c>
      <c r="H837" s="1076" t="str">
        <f>IFERROR(__xludf.DUMMYFUNCTION("""COMPUTED_VALUE"""),"Đường kính 1.49xRộng 1.3m/cái")</f>
        <v>Đường kính 1.49xRộng 1.3m/cái</v>
      </c>
      <c r="I837" s="1076"/>
      <c r="J837" s="1076"/>
      <c r="K837" s="1076"/>
      <c r="L837" s="1076" t="str">
        <f>IFERROR(__xludf.DUMMYFUNCTION("""COMPUTED_VALUE"""),"KLH")</f>
        <v>KLH</v>
      </c>
    </row>
    <row r="838" customHeight="1" spans="1:12">
      <c r="A838" s="1089" t="str">
        <f>IFERROR(__xludf.DUMMYFUNCTION("""COMPUTED_VALUE"""),"CNN-BLT-003")</f>
        <v>CNN-BLT-003</v>
      </c>
      <c r="B838" s="1075" t="str">
        <f>IFERROR(__xludf.DUMMYFUNCTION("""COMPUTED_VALUE"""),"Bộ bánh lồng thép")</f>
        <v>Bộ bánh lồng thép</v>
      </c>
      <c r="C838" s="1076" t="str">
        <f>IFERROR(__xludf.DUMMYFUNCTION("""COMPUTED_VALUE"""),"CGLĐ LP")</f>
        <v>CGLĐ LP</v>
      </c>
      <c r="D838" s="1076" t="str">
        <f>IFERROR(__xludf.DUMMYFUNCTION("""COMPUTED_VALUE"""),"THACO AGRI")</f>
        <v>THACO AGRI</v>
      </c>
      <c r="E838" s="1076" t="str">
        <f>IFERROR(__xludf.DUMMYFUNCTION("""COMPUTED_VALUE"""),"FDR100-D150")</f>
        <v>FDR100-D150</v>
      </c>
      <c r="F838" s="1076"/>
      <c r="G838" s="1076" t="str">
        <f>IFERROR(__xludf.DUMMYFUNCTION("""COMPUTED_VALUE"""),"2024")</f>
        <v>2024</v>
      </c>
      <c r="H838" s="1076" t="str">
        <f>IFERROR(__xludf.DUMMYFUNCTION("""COMPUTED_VALUE"""),"Đường kính 1.49xRộng 1.1m/cái")</f>
        <v>Đường kính 1.49xRộng 1.1m/cái</v>
      </c>
      <c r="I838" s="1076"/>
      <c r="J838" s="1076"/>
      <c r="K838" s="1076"/>
      <c r="L838" s="1076" t="str">
        <f>IFERROR(__xludf.DUMMYFUNCTION("""COMPUTED_VALUE"""),"KLH")</f>
        <v>KLH</v>
      </c>
    </row>
    <row r="839" customHeight="1" spans="1:12">
      <c r="A839" s="1089" t="str">
        <f>IFERROR(__xludf.DUMMYFUNCTION("""COMPUTED_VALUE"""),"CNN-BUA-016")</f>
        <v>CNN-BUA-016</v>
      </c>
      <c r="B839" s="1075" t="str">
        <f>IFERROR(__xludf.DUMMYFUNCTION("""COMPUTED_VALUE"""),"Thiết bị bừa 30 chảo")</f>
        <v>Thiết bị bừa 30 chảo</v>
      </c>
      <c r="C839" s="1076" t="str">
        <f>IFERROR(__xludf.DUMMYFUNCTION("""COMPUTED_VALUE"""),"CGLĐ LP")</f>
        <v>CGLĐ LP</v>
      </c>
      <c r="D839" s="1076" t="str">
        <f>IFERROR(__xludf.DUMMYFUNCTION("""COMPUTED_VALUE"""),"INRODA")</f>
        <v>INRODA</v>
      </c>
      <c r="E839" s="1076" t="str">
        <f>IFERROR(__xludf.DUMMYFUNCTION("""COMPUTED_VALUE"""),"GASP24235")</f>
        <v>GASP24235</v>
      </c>
      <c r="F839" s="1076"/>
      <c r="G839" s="1076" t="str">
        <f>IFERROR(__xludf.DUMMYFUNCTION("""COMPUTED_VALUE"""),"2024")</f>
        <v>2024</v>
      </c>
      <c r="H839" s="1076"/>
      <c r="I839" s="1076" t="str">
        <f>IFERROR(__xludf.DUMMYFUNCTION("""COMPUTED_VALUE"""),"3453783")</f>
        <v>3453783</v>
      </c>
      <c r="J839" s="1076"/>
      <c r="K839" s="1076"/>
      <c r="L839" s="1076" t="str">
        <f>IFERROR(__xludf.DUMMYFUNCTION("""COMPUTED_VALUE"""),"KLH")</f>
        <v>KLH</v>
      </c>
    </row>
    <row r="840" customHeight="1" spans="1:12">
      <c r="A840" s="1089" t="str">
        <f>IFERROR(__xludf.DUMMYFUNCTION("""COMPUTED_VALUE"""),"CNN-DUL-001")</f>
        <v>CNN-DUL-001</v>
      </c>
      <c r="B840" s="1075" t="str">
        <f>IFERROR(__xludf.DUMMYFUNCTION("""COMPUTED_VALUE"""),"Thiết bị úp luống 6 chảo đôi")</f>
        <v>Thiết bị úp luống 6 chảo đôi</v>
      </c>
      <c r="C840" s="1076" t="str">
        <f>IFERROR(__xludf.DUMMYFUNCTION("""COMPUTED_VALUE"""),"CGLĐ LP")</f>
        <v>CGLĐ LP</v>
      </c>
      <c r="D840" s="1076" t="str">
        <f>IFERROR(__xludf.DUMMYFUNCTION("""COMPUTED_VALUE"""),"THACO AGRI")</f>
        <v>THACO AGRI</v>
      </c>
      <c r="E840" s="1076" t="str">
        <f>IFERROR(__xludf.DUMMYFUNCTION("""COMPUTED_VALUE"""),"CK-DUL-01")</f>
        <v>CK-DUL-01</v>
      </c>
      <c r="F840" s="1076"/>
      <c r="G840" s="1076" t="str">
        <f>IFERROR(__xludf.DUMMYFUNCTION("""COMPUTED_VALUE"""),"2024")</f>
        <v>2024</v>
      </c>
      <c r="H840" s="1076"/>
      <c r="I840" s="1076"/>
      <c r="J840" s="1076"/>
      <c r="K840" s="1076">
        <f>IFERROR(__xludf.DUMMYFUNCTION("""COMPUTED_VALUE"""),9.5)</f>
        <v>9.5</v>
      </c>
      <c r="L840" s="1076" t="str">
        <f>IFERROR(__xludf.DUMMYFUNCTION("""COMPUTED_VALUE"""),"KLH")</f>
        <v>KLH</v>
      </c>
    </row>
    <row r="841" customHeight="1" spans="1:12">
      <c r="A841" s="1089" t="str">
        <f>IFERROR(__xludf.DUMMYFUNCTION("""COMPUTED_VALUE"""),"CNN-C1B-002")</f>
        <v>CNN-C1B-002</v>
      </c>
      <c r="B841" s="1075" t="str">
        <f>IFERROR(__xludf.DUMMYFUNCTION("""COMPUTED_VALUE"""),"Thiết bị cắt cỏ 1 bên ")</f>
        <v>Thiết bị cắt cỏ 1 bên </v>
      </c>
      <c r="C841" s="1076" t="str">
        <f>IFERROR(__xludf.DUMMYFUNCTION("""COMPUTED_VALUE"""),"CGLĐ LP")</f>
        <v>CGLĐ LP</v>
      </c>
      <c r="D841" s="1076" t="str">
        <f>IFERROR(__xludf.DUMMYFUNCTION("""COMPUTED_VALUE"""),"GATTINI")</f>
        <v>GATTINI</v>
      </c>
      <c r="E841" s="1076" t="str">
        <f>IFERROR(__xludf.DUMMYFUNCTION("""COMPUTED_VALUE"""),"Flail Mower 1800mm")</f>
        <v>Flail Mower 1800mm</v>
      </c>
      <c r="F841" s="1076"/>
      <c r="G841" s="1076" t="str">
        <f>IFERROR(__xludf.DUMMYFUNCTION("""COMPUTED_VALUE"""),"2024")</f>
        <v>2024</v>
      </c>
      <c r="H841" s="1076"/>
      <c r="I841" s="1076" t="str">
        <f>IFERROR(__xludf.DUMMYFUNCTION("""COMPUTED_VALUE"""),"202400390003")</f>
        <v>202400390003</v>
      </c>
      <c r="J841" s="1076"/>
      <c r="K841" s="1076"/>
      <c r="L841" s="1076" t="str">
        <f>IFERROR(__xludf.DUMMYFUNCTION("""COMPUTED_VALUE"""),"KLH")</f>
        <v>KLH</v>
      </c>
    </row>
    <row r="842" customHeight="1" spans="1:12">
      <c r="A842" s="1089" t="str">
        <f>IFERROR(__xludf.DUMMYFUNCTION("""COMPUTED_VALUE"""),"CNN-CCH-015")</f>
        <v>CNN-CCH-015</v>
      </c>
      <c r="B842" s="1075" t="str">
        <f>IFERROR(__xludf.DUMMYFUNCTION("""COMPUTED_VALUE"""),"Thiết bị cày 4 chảo")</f>
        <v>Thiết bị cày 4 chảo</v>
      </c>
      <c r="C842" s="1076" t="str">
        <f>IFERROR(__xludf.DUMMYFUNCTION("""COMPUTED_VALUE"""),"CGLĐ LP")</f>
        <v>CGLĐ LP</v>
      </c>
      <c r="D842" s="1076" t="str">
        <f>IFERROR(__xludf.DUMMYFUNCTION("""COMPUTED_VALUE"""),"KUBOTA")</f>
        <v>KUBOTA</v>
      </c>
      <c r="E842" s="1076" t="str">
        <f>IFERROR(__xludf.DUMMYFUNCTION("""COMPUTED_VALUE"""),"4 CHẢO")</f>
        <v>4 CHẢO</v>
      </c>
      <c r="F842" s="1076"/>
      <c r="G842" s="1076" t="str">
        <f>IFERROR(__xludf.DUMMYFUNCTION("""COMPUTED_VALUE"""),"2025")</f>
        <v>2025</v>
      </c>
      <c r="H842" s="1076"/>
      <c r="I842" s="1076"/>
      <c r="J842" s="1076"/>
      <c r="K842" s="1076"/>
      <c r="L842" s="1076" t="str">
        <f>IFERROR(__xludf.DUMMYFUNCTION("""COMPUTED_VALUE"""),"KLH")</f>
        <v>KLH</v>
      </c>
    </row>
    <row r="843" customHeight="1" spans="1:12">
      <c r="A843" s="1089" t="str">
        <f>IFERROR(__xludf.DUMMYFUNCTION("""COMPUTED_VALUE"""),"CNN-DTR-003")</f>
        <v>CNN-DTR-003</v>
      </c>
      <c r="B843" s="1075" t="str">
        <f>IFERROR(__xludf.DUMMYFUNCTION("""COMPUTED_VALUE"""),"Thiết bị tạo rãnh ống tưới")</f>
        <v>Thiết bị tạo rãnh ống tưới</v>
      </c>
      <c r="C843" s="1076" t="str">
        <f>IFERROR(__xludf.DUMMYFUNCTION("""COMPUTED_VALUE"""),"CGLĐ LP")</f>
        <v>CGLĐ LP</v>
      </c>
      <c r="D843" s="1076" t="str">
        <f>IFERROR(__xludf.DUMMYFUNCTION("""COMPUTED_VALUE"""),"THACO AGRI")</f>
        <v>THACO AGRI</v>
      </c>
      <c r="E843" s="1076" t="str">
        <f>IFERROR(__xludf.DUMMYFUNCTION("""COMPUTED_VALUE"""),"CK-DTR-03")</f>
        <v>CK-DTR-03</v>
      </c>
      <c r="F843" s="1076"/>
      <c r="G843" s="1076" t="str">
        <f>IFERROR(__xludf.DUMMYFUNCTION("""COMPUTED_VALUE"""),"2025")</f>
        <v>2025</v>
      </c>
      <c r="H843" s="1076"/>
      <c r="I843" s="1076"/>
      <c r="J843" s="1076"/>
      <c r="K843" s="1076">
        <f>IFERROR(__xludf.DUMMYFUNCTION("""COMPUTED_VALUE"""),14)</f>
        <v>14</v>
      </c>
      <c r="L843" s="1076" t="str">
        <f>IFERROR(__xludf.DUMMYFUNCTION("""COMPUTED_VALUE"""),"KLH")</f>
        <v>KLH</v>
      </c>
    </row>
    <row r="844" customHeight="1" spans="1:12">
      <c r="A844" s="1089" t="str">
        <f>IFERROR(__xludf.DUMMYFUNCTION("""COMPUTED_VALUE"""),"CNN-DTR-004")</f>
        <v>CNN-DTR-004</v>
      </c>
      <c r="B844" s="1075" t="str">
        <f>IFERROR(__xludf.DUMMYFUNCTION("""COMPUTED_VALUE"""),"Thiết bị tạo rãnh ống tưới")</f>
        <v>Thiết bị tạo rãnh ống tưới</v>
      </c>
      <c r="C844" s="1076" t="str">
        <f>IFERROR(__xludf.DUMMYFUNCTION("""COMPUTED_VALUE"""),"CGLĐ LP")</f>
        <v>CGLĐ LP</v>
      </c>
      <c r="D844" s="1076" t="str">
        <f>IFERROR(__xludf.DUMMYFUNCTION("""COMPUTED_VALUE"""),"THACO AGRI")</f>
        <v>THACO AGRI</v>
      </c>
      <c r="E844" s="1076" t="str">
        <f>IFERROR(__xludf.DUMMYFUNCTION("""COMPUTED_VALUE"""),"CK-DTR-04")</f>
        <v>CK-DTR-04</v>
      </c>
      <c r="F844" s="1076"/>
      <c r="G844" s="1076" t="str">
        <f>IFERROR(__xludf.DUMMYFUNCTION("""COMPUTED_VALUE"""),"2025")</f>
        <v>2025</v>
      </c>
      <c r="H844" s="1076"/>
      <c r="I844" s="1076"/>
      <c r="J844" s="1076"/>
      <c r="K844" s="1076">
        <f>IFERROR(__xludf.DUMMYFUNCTION("""COMPUTED_VALUE"""),14)</f>
        <v>14</v>
      </c>
      <c r="L844" s="1076" t="str">
        <f>IFERROR(__xludf.DUMMYFUNCTION("""COMPUTED_VALUE"""),"KLH")</f>
        <v>KLH</v>
      </c>
    </row>
    <row r="845" customHeight="1" spans="1:12">
      <c r="A845" s="1089" t="str">
        <f>IFERROR(__xludf.DUMMYFUNCTION("""COMPUTED_VALUE"""),"CNN-DRT-004")</f>
        <v>CNN-DRT-004</v>
      </c>
      <c r="B845" s="1075" t="str">
        <f>IFERROR(__xludf.DUMMYFUNCTION("""COMPUTED_VALUE"""),"Thiết bị đào rãnh đặt ống tưới")</f>
        <v>Thiết bị đào rãnh đặt ống tưới</v>
      </c>
      <c r="C845" s="1076" t="str">
        <f>IFERROR(__xludf.DUMMYFUNCTION("""COMPUTED_VALUE"""),"CGLĐ LP")</f>
        <v>CGLĐ LP</v>
      </c>
      <c r="D845" s="1076" t="str">
        <f>IFERROR(__xludf.DUMMYFUNCTION("""COMPUTED_VALUE"""),"THACO INDUSTRY")</f>
        <v>THACO INDUSTRY</v>
      </c>
      <c r="E845" s="1076" t="str">
        <f>IFERROR(__xludf.DUMMYFUNCTION("""COMPUTED_VALUE"""),"Đĩa quay")</f>
        <v>Đĩa quay</v>
      </c>
      <c r="F845" s="1076"/>
      <c r="G845" s="1076" t="str">
        <f>IFERROR(__xludf.DUMMYFUNCTION("""COMPUTED_VALUE"""),"2025")</f>
        <v>2025</v>
      </c>
      <c r="H845" s="1076"/>
      <c r="I845" s="1076" t="str">
        <f>IFERROR(__xludf.DUMMYFUNCTION("""COMPUTED_VALUE"""),"DTR3")</f>
        <v>DTR3</v>
      </c>
      <c r="J845" s="1076"/>
      <c r="K845" s="1076"/>
      <c r="L845" s="1076" t="str">
        <f>IFERROR(__xludf.DUMMYFUNCTION("""COMPUTED_VALUE"""),"KLH")</f>
        <v>KLH</v>
      </c>
    </row>
    <row r="846" customHeight="1" spans="1:12">
      <c r="A846" s="1089" t="str">
        <f>IFERROR(__xludf.DUMMYFUNCTION("""COMPUTED_VALUE"""),"CNN-DRT-005")</f>
        <v>CNN-DRT-005</v>
      </c>
      <c r="B846" s="1075" t="str">
        <f>IFERROR(__xludf.DUMMYFUNCTION("""COMPUTED_VALUE"""),"Thiết bị đào rãnh đặt ống tưới")</f>
        <v>Thiết bị đào rãnh đặt ống tưới</v>
      </c>
      <c r="C846" s="1076" t="str">
        <f>IFERROR(__xludf.DUMMYFUNCTION("""COMPUTED_VALUE"""),"CGLĐ LP")</f>
        <v>CGLĐ LP</v>
      </c>
      <c r="D846" s="1076" t="str">
        <f>IFERROR(__xludf.DUMMYFUNCTION("""COMPUTED_VALUE"""),"THACO INDUSTRY")</f>
        <v>THACO INDUSTRY</v>
      </c>
      <c r="E846" s="1076" t="str">
        <f>IFERROR(__xludf.DUMMYFUNCTION("""COMPUTED_VALUE"""),"Đĩa quay")</f>
        <v>Đĩa quay</v>
      </c>
      <c r="F846" s="1076"/>
      <c r="G846" s="1076" t="str">
        <f>IFERROR(__xludf.DUMMYFUNCTION("""COMPUTED_VALUE"""),"2025")</f>
        <v>2025</v>
      </c>
      <c r="H846" s="1076"/>
      <c r="I846" s="1076" t="str">
        <f>IFERROR(__xludf.DUMMYFUNCTION("""COMPUTED_VALUE"""),"DTR5")</f>
        <v>DTR5</v>
      </c>
      <c r="J846" s="1076"/>
      <c r="K846" s="1076"/>
      <c r="L846" s="1076" t="str">
        <f>IFERROR(__xludf.DUMMYFUNCTION("""COMPUTED_VALUE"""),"KLH")</f>
        <v>KLH</v>
      </c>
    </row>
    <row r="847" customHeight="1" spans="1:12">
      <c r="A847" s="1089" t="str">
        <f>IFERROR(__xludf.DUMMYFUNCTION("""COMPUTED_VALUE"""),"CNN-RTC-003")</f>
        <v>CNN-RTC-003</v>
      </c>
      <c r="B847" s="1075" t="str">
        <f>IFERROR(__xludf.DUMMYFUNCTION("""COMPUTED_VALUE"""),"Thiết bị rạch luống trồng chuối")</f>
        <v>Thiết bị rạch luống trồng chuối</v>
      </c>
      <c r="C847" s="1076" t="str">
        <f>IFERROR(__xludf.DUMMYFUNCTION("""COMPUTED_VALUE"""),"CGLĐ LP")</f>
        <v>CGLĐ LP</v>
      </c>
      <c r="D847" s="1076" t="str">
        <f>IFERROR(__xludf.DUMMYFUNCTION("""COMPUTED_VALUE"""),"THACO AGRI")</f>
        <v>THACO AGRI</v>
      </c>
      <c r="E847" s="1076" t="str">
        <f>IFERROR(__xludf.DUMMYFUNCTION("""COMPUTED_VALUE"""),"CK-DTC-03")</f>
        <v>CK-DTC-03</v>
      </c>
      <c r="F847" s="1076"/>
      <c r="G847" s="1076" t="str">
        <f>IFERROR(__xludf.DUMMYFUNCTION("""COMPUTED_VALUE"""),"2025")</f>
        <v>2025</v>
      </c>
      <c r="H847" s="1076"/>
      <c r="I847" s="1076"/>
      <c r="J847" s="1076"/>
      <c r="K847" s="1076">
        <f>IFERROR(__xludf.DUMMYFUNCTION("""COMPUTED_VALUE"""),6.5)</f>
        <v>6.5</v>
      </c>
      <c r="L847" s="1076" t="str">
        <f>IFERROR(__xludf.DUMMYFUNCTION("""COMPUTED_VALUE"""),"KLH")</f>
        <v>KLH</v>
      </c>
    </row>
    <row r="848" customHeight="1" spans="1:12">
      <c r="A848" s="1089" t="str">
        <f>IFERROR(__xludf.DUMMYFUNCTION("""COMPUTED_VALUE"""),"CNN-DRP-003")</f>
        <v>CNN-DRP-003</v>
      </c>
      <c r="B848" s="1075" t="str">
        <f>IFERROR(__xludf.DUMMYFUNCTION("""COMPUTED_VALUE"""),"Dàn rải phân (10m3)")</f>
        <v>Dàn rải phân (10m3)</v>
      </c>
      <c r="C848" s="1076" t="str">
        <f>IFERROR(__xludf.DUMMYFUNCTION("""COMPUTED_VALUE"""),"CGLĐ LP")</f>
        <v>CGLĐ LP</v>
      </c>
      <c r="D848" s="1076" t="str">
        <f>IFERROR(__xludf.DUMMYFUNCTION("""COMPUTED_VALUE"""),"THACO INDUSTRIES")</f>
        <v>THACO INDUSTRIES</v>
      </c>
      <c r="E848" s="1076"/>
      <c r="F848" s="1076"/>
      <c r="G848" s="1076" t="str">
        <f>IFERROR(__xludf.DUMMYFUNCTION("""COMPUTED_VALUE"""),"2025")</f>
        <v>2025</v>
      </c>
      <c r="H848" s="1076" t="str">
        <f>IFERROR(__xludf.DUMMYFUNCTION("""COMPUTED_VALUE"""),"RMFNUU109ASC001753")</f>
        <v>RMFNUU109ASC001753</v>
      </c>
      <c r="I848" s="1076" t="str">
        <f>IFERROR(__xludf.DUMMYFUNCTION("""COMPUTED_VALUE"""),"14")</f>
        <v>14</v>
      </c>
      <c r="J848" s="1076"/>
      <c r="K848" s="1076">
        <f>IFERROR(__xludf.DUMMYFUNCTION("""COMPUTED_VALUE"""),3.5)</f>
        <v>3.5</v>
      </c>
      <c r="L848" s="1076" t="str">
        <f>IFERROR(__xludf.DUMMYFUNCTION("""COMPUTED_VALUE"""),"KLH")</f>
        <v>KLH</v>
      </c>
    </row>
    <row r="849" customHeight="1" spans="1:12">
      <c r="A849" s="1089" t="str">
        <f>IFERROR(__xludf.DUMMYFUNCTION("""COMPUTED_VALUE"""),"Cơ giới làm đất XNB")</f>
        <v>Cơ giới làm đất XNB</v>
      </c>
      <c r="B849" s="1075"/>
      <c r="C849" s="1076"/>
      <c r="D849" s="1076"/>
      <c r="E849" s="1076"/>
      <c r="F849" s="1076"/>
      <c r="G849" s="1076"/>
      <c r="H849" s="1076"/>
      <c r="I849" s="1076"/>
      <c r="J849" s="1076"/>
      <c r="K849" s="1076"/>
      <c r="L849" s="1076" t="str">
        <f>IFERROR(__xludf.DUMMYFUNCTION("""COMPUTED_VALUE"""),"KLH")</f>
        <v>KLH</v>
      </c>
    </row>
    <row r="850" customHeight="1" spans="1:12">
      <c r="A850" s="1089" t="str">
        <f>IFERROR(__xludf.DUMMYFUNCTION("""COMPUTED_VALUE"""),"CNN-CCH-007")</f>
        <v>CNN-CCH-007</v>
      </c>
      <c r="B850" s="1075" t="str">
        <f>IFERROR(__xludf.DUMMYFUNCTION("""COMPUTED_VALUE"""),"Thiết Bị Cày 3 Chảo")</f>
        <v>Thiết Bị Cày 3 Chảo</v>
      </c>
      <c r="C850" s="1076" t="str">
        <f>IFERROR(__xludf.DUMMYFUNCTION("""COMPUTED_VALUE"""),"XN Bò AD")</f>
        <v>XN Bò AD</v>
      </c>
      <c r="D850" s="1076" t="str">
        <f>IFERROR(__xludf.DUMMYFUNCTION("""COMPUTED_VALUE"""),"CAMBODIA")</f>
        <v>CAMBODIA</v>
      </c>
      <c r="E850" s="1076" t="str">
        <f>IFERROR(__xludf.DUMMYFUNCTION("""COMPUTED_VALUE"""),"3 chảo")</f>
        <v>3 chảo</v>
      </c>
      <c r="F850" s="1076"/>
      <c r="G850" s="1076"/>
      <c r="H850" s="1076"/>
      <c r="I850" s="1076"/>
      <c r="J850" s="1076"/>
      <c r="K850" s="1076"/>
      <c r="L850" s="1076" t="str">
        <f>IFERROR(__xludf.DUMMYFUNCTION("""COMPUTED_VALUE"""),"KLH")</f>
        <v>KLH</v>
      </c>
    </row>
    <row r="851" customHeight="1" spans="1:12">
      <c r="A851" s="1089" t="str">
        <f>IFERROR(__xludf.DUMMYFUNCTION("""COMPUTED_VALUE"""),"CNN-CCH-008")</f>
        <v>CNN-CCH-008</v>
      </c>
      <c r="B851" s="1075" t="str">
        <f>IFERROR(__xludf.DUMMYFUNCTION("""COMPUTED_VALUE"""),"Thiết Bị Cày 3 Chảo")</f>
        <v>Thiết Bị Cày 3 Chảo</v>
      </c>
      <c r="C851" s="1076" t="str">
        <f>IFERROR(__xludf.DUMMYFUNCTION("""COMPUTED_VALUE"""),"XN Bò AD")</f>
        <v>XN Bò AD</v>
      </c>
      <c r="D851" s="1076" t="str">
        <f>IFERROR(__xludf.DUMMYFUNCTION("""COMPUTED_VALUE"""),"CAMBODIA")</f>
        <v>CAMBODIA</v>
      </c>
      <c r="E851" s="1076" t="str">
        <f>IFERROR(__xludf.DUMMYFUNCTION("""COMPUTED_VALUE"""),"3 chảo")</f>
        <v>3 chảo</v>
      </c>
      <c r="F851" s="1076"/>
      <c r="G851" s="1076"/>
      <c r="H851" s="1076"/>
      <c r="I851" s="1076"/>
      <c r="J851" s="1076"/>
      <c r="K851" s="1076"/>
      <c r="L851" s="1076" t="str">
        <f>IFERROR(__xludf.DUMMYFUNCTION("""COMPUTED_VALUE"""),"KLH")</f>
        <v>KLH</v>
      </c>
    </row>
    <row r="852" customHeight="1" spans="1:12">
      <c r="A852" s="1089" t="str">
        <f>IFERROR(__xludf.DUMMYFUNCTION("""COMPUTED_VALUE"""),"CNN-CCH-009")</f>
        <v>CNN-CCH-009</v>
      </c>
      <c r="B852" s="1075" t="str">
        <f>IFERROR(__xludf.DUMMYFUNCTION("""COMPUTED_VALUE"""),"Thiết Bị Cày 3 Chảo")</f>
        <v>Thiết Bị Cày 3 Chảo</v>
      </c>
      <c r="C852" s="1076" t="str">
        <f>IFERROR(__xludf.DUMMYFUNCTION("""COMPUTED_VALUE"""),"XN Bò AD")</f>
        <v>XN Bò AD</v>
      </c>
      <c r="D852" s="1076" t="str">
        <f>IFERROR(__xludf.DUMMYFUNCTION("""COMPUTED_VALUE"""),"CAMBODIA")</f>
        <v>CAMBODIA</v>
      </c>
      <c r="E852" s="1076" t="str">
        <f>IFERROR(__xludf.DUMMYFUNCTION("""COMPUTED_VALUE"""),"3 chảo")</f>
        <v>3 chảo</v>
      </c>
      <c r="F852" s="1076"/>
      <c r="G852" s="1076"/>
      <c r="H852" s="1076"/>
      <c r="I852" s="1076"/>
      <c r="J852" s="1076"/>
      <c r="K852" s="1076"/>
      <c r="L852" s="1076" t="str">
        <f>IFERROR(__xludf.DUMMYFUNCTION("""COMPUTED_VALUE"""),"KLH")</f>
        <v>KLH</v>
      </c>
    </row>
    <row r="853" customHeight="1" spans="1:12">
      <c r="A853" s="1089" t="str">
        <f>IFERROR(__xludf.DUMMYFUNCTION("""COMPUTED_VALUE"""),"CNN-CCH-010")</f>
        <v>CNN-CCH-010</v>
      </c>
      <c r="B853" s="1075" t="str">
        <f>IFERROR(__xludf.DUMMYFUNCTION("""COMPUTED_VALUE"""),"Thiết Bị Cày 3 Chảo")</f>
        <v>Thiết Bị Cày 3 Chảo</v>
      </c>
      <c r="C853" s="1076" t="str">
        <f>IFERROR(__xludf.DUMMYFUNCTION("""COMPUTED_VALUE"""),"XN Bò AD")</f>
        <v>XN Bò AD</v>
      </c>
      <c r="D853" s="1076" t="str">
        <f>IFERROR(__xludf.DUMMYFUNCTION("""COMPUTED_VALUE"""),"CAMBODIA")</f>
        <v>CAMBODIA</v>
      </c>
      <c r="E853" s="1076" t="str">
        <f>IFERROR(__xludf.DUMMYFUNCTION("""COMPUTED_VALUE"""),"3 chảo")</f>
        <v>3 chảo</v>
      </c>
      <c r="F853" s="1076"/>
      <c r="G853" s="1076"/>
      <c r="H853" s="1076"/>
      <c r="I853" s="1076"/>
      <c r="J853" s="1076"/>
      <c r="K853" s="1076"/>
      <c r="L853" s="1076" t="str">
        <f>IFERROR(__xludf.DUMMYFUNCTION("""COMPUTED_VALUE"""),"KLH")</f>
        <v>KLH</v>
      </c>
    </row>
    <row r="854" customHeight="1" spans="1:12">
      <c r="A854" s="1089" t="str">
        <f>IFERROR(__xludf.DUMMYFUNCTION("""COMPUTED_VALUE"""),"CNN-CCH-011")</f>
        <v>CNN-CCH-011</v>
      </c>
      <c r="B854" s="1075" t="str">
        <f>IFERROR(__xludf.DUMMYFUNCTION("""COMPUTED_VALUE"""),"Thiết Bị Cày 3 Chảo")</f>
        <v>Thiết Bị Cày 3 Chảo</v>
      </c>
      <c r="C854" s="1076" t="str">
        <f>IFERROR(__xludf.DUMMYFUNCTION("""COMPUTED_VALUE"""),"XN Bò AD")</f>
        <v>XN Bò AD</v>
      </c>
      <c r="D854" s="1076" t="str">
        <f>IFERROR(__xludf.DUMMYFUNCTION("""COMPUTED_VALUE"""),"CAMBODIA")</f>
        <v>CAMBODIA</v>
      </c>
      <c r="E854" s="1076" t="str">
        <f>IFERROR(__xludf.DUMMYFUNCTION("""COMPUTED_VALUE"""),"3 chảo")</f>
        <v>3 chảo</v>
      </c>
      <c r="F854" s="1076"/>
      <c r="G854" s="1076"/>
      <c r="H854" s="1076"/>
      <c r="I854" s="1076"/>
      <c r="J854" s="1076"/>
      <c r="K854" s="1076"/>
      <c r="L854" s="1076" t="str">
        <f>IFERROR(__xludf.DUMMYFUNCTION("""COMPUTED_VALUE"""),"KLH")</f>
        <v>KLH</v>
      </c>
    </row>
    <row r="855" customHeight="1" spans="1:12">
      <c r="A855" s="1089" t="str">
        <f>IFERROR(__xludf.DUMMYFUNCTION("""COMPUTED_VALUE"""),"CNN-BUA-008")</f>
        <v>CNN-BUA-008</v>
      </c>
      <c r="B855" s="1075" t="str">
        <f>IFERROR(__xludf.DUMMYFUNCTION("""COMPUTED_VALUE"""),"Thiết bị bừa 8 chảo")</f>
        <v>Thiết bị bừa 8 chảo</v>
      </c>
      <c r="C855" s="1076" t="str">
        <f>IFERROR(__xludf.DUMMYFUNCTION("""COMPUTED_VALUE"""),"XN Bò AD")</f>
        <v>XN Bò AD</v>
      </c>
      <c r="D855" s="1076" t="str">
        <f>IFERROR(__xludf.DUMMYFUNCTION("""COMPUTED_VALUE"""),"CAMBODIA")</f>
        <v>CAMBODIA</v>
      </c>
      <c r="E855" s="1076" t="str">
        <f>IFERROR(__xludf.DUMMYFUNCTION("""COMPUTED_VALUE"""),"8 chảo")</f>
        <v>8 chảo</v>
      </c>
      <c r="F855" s="1076"/>
      <c r="G855" s="1076"/>
      <c r="H855" s="1076"/>
      <c r="I855" s="1076"/>
      <c r="J855" s="1076"/>
      <c r="K855" s="1076"/>
      <c r="L855" s="1076" t="str">
        <f>IFERROR(__xludf.DUMMYFUNCTION("""COMPUTED_VALUE"""),"KLH")</f>
        <v>KLH</v>
      </c>
    </row>
    <row r="856" customHeight="1" spans="1:12">
      <c r="A856" s="1089" t="str">
        <f>IFERROR(__xludf.DUMMYFUNCTION("""COMPUTED_VALUE"""),"CNN-BUA-009")</f>
        <v>CNN-BUA-009</v>
      </c>
      <c r="B856" s="1075" t="str">
        <f>IFERROR(__xludf.DUMMYFUNCTION("""COMPUTED_VALUE"""),"Thiết bị bừa 8 chảo")</f>
        <v>Thiết bị bừa 8 chảo</v>
      </c>
      <c r="C856" s="1076" t="str">
        <f>IFERROR(__xludf.DUMMYFUNCTION("""COMPUTED_VALUE"""),"XN Bò AD")</f>
        <v>XN Bò AD</v>
      </c>
      <c r="D856" s="1076" t="str">
        <f>IFERROR(__xludf.DUMMYFUNCTION("""COMPUTED_VALUE"""),"CAMBODIA")</f>
        <v>CAMBODIA</v>
      </c>
      <c r="E856" s="1076" t="str">
        <f>IFERROR(__xludf.DUMMYFUNCTION("""COMPUTED_VALUE"""),"8 chảo")</f>
        <v>8 chảo</v>
      </c>
      <c r="F856" s="1076"/>
      <c r="G856" s="1076"/>
      <c r="H856" s="1076"/>
      <c r="I856" s="1076"/>
      <c r="J856" s="1076"/>
      <c r="K856" s="1076"/>
      <c r="L856" s="1076" t="str">
        <f>IFERROR(__xludf.DUMMYFUNCTION("""COMPUTED_VALUE"""),"KLH")</f>
        <v>KLH</v>
      </c>
    </row>
    <row r="857" customHeight="1" spans="1:12">
      <c r="A857" s="1089" t="str">
        <f>IFERROR(__xludf.DUMMYFUNCTION("""COMPUTED_VALUE"""),"CNN-BUA-010")</f>
        <v>CNN-BUA-010</v>
      </c>
      <c r="B857" s="1075" t="str">
        <f>IFERROR(__xludf.DUMMYFUNCTION("""COMPUTED_VALUE"""),"Thiết bị bừa 7 chảo")</f>
        <v>Thiết bị bừa 7 chảo</v>
      </c>
      <c r="C857" s="1076" t="str">
        <f>IFERROR(__xludf.DUMMYFUNCTION("""COMPUTED_VALUE"""),"XN Bò AD")</f>
        <v>XN Bò AD</v>
      </c>
      <c r="D857" s="1076" t="str">
        <f>IFERROR(__xludf.DUMMYFUNCTION("""COMPUTED_VALUE"""),"CAMBODIA")</f>
        <v>CAMBODIA</v>
      </c>
      <c r="E857" s="1076" t="str">
        <f>IFERROR(__xludf.DUMMYFUNCTION("""COMPUTED_VALUE"""),"7 chảo")</f>
        <v>7 chảo</v>
      </c>
      <c r="F857" s="1076"/>
      <c r="G857" s="1076"/>
      <c r="H857" s="1076"/>
      <c r="I857" s="1076"/>
      <c r="J857" s="1076"/>
      <c r="K857" s="1076"/>
      <c r="L857" s="1076" t="str">
        <f>IFERROR(__xludf.DUMMYFUNCTION("""COMPUTED_VALUE"""),"KLH")</f>
        <v>KLH</v>
      </c>
    </row>
    <row r="858" customHeight="1" spans="1:12">
      <c r="A858" s="1089" t="str">
        <f>IFERROR(__xludf.DUMMYFUNCTION("""COMPUTED_VALUE"""),"CNN-BUA-013")</f>
        <v>CNN-BUA-013</v>
      </c>
      <c r="B858" s="1075" t="str">
        <f>IFERROR(__xludf.DUMMYFUNCTION("""COMPUTED_VALUE"""),"Thiết bị bừa 36 chảo")</f>
        <v>Thiết bị bừa 36 chảo</v>
      </c>
      <c r="C858" s="1076" t="str">
        <f>IFERROR(__xludf.DUMMYFUNCTION("""COMPUTED_VALUE"""),"XN Bò AD")</f>
        <v>XN Bò AD</v>
      </c>
      <c r="D858" s="1076" t="str">
        <f>IFERROR(__xludf.DUMMYFUNCTION("""COMPUTED_VALUE"""),"CAMBODIA")</f>
        <v>CAMBODIA</v>
      </c>
      <c r="E858" s="1076" t="str">
        <f>IFERROR(__xludf.DUMMYFUNCTION("""COMPUTED_VALUE"""),"36 chảo")</f>
        <v>36 chảo</v>
      </c>
      <c r="F858" s="1076"/>
      <c r="G858" s="1076"/>
      <c r="H858" s="1076"/>
      <c r="I858" s="1076"/>
      <c r="J858" s="1076"/>
      <c r="K858" s="1076"/>
      <c r="L858" s="1076" t="str">
        <f>IFERROR(__xludf.DUMMYFUNCTION("""COMPUTED_VALUE"""),"KLH")</f>
        <v>KLH</v>
      </c>
    </row>
    <row r="859" customHeight="1" spans="1:12">
      <c r="A859" s="1089" t="str">
        <f>IFERROR(__xludf.DUMMYFUNCTION("""COMPUTED_VALUE"""),"CNN-XOI-006")</f>
        <v>CNN-XOI-006</v>
      </c>
      <c r="B859" s="1075" t="str">
        <f>IFERROR(__xludf.DUMMYFUNCTION("""COMPUTED_VALUE"""),"Thiết bị xới đất 2.2m")</f>
        <v>Thiết bị xới đất 2.2m</v>
      </c>
      <c r="C859" s="1076" t="str">
        <f>IFERROR(__xludf.DUMMYFUNCTION("""COMPUTED_VALUE"""),"XN Bò AD")</f>
        <v>XN Bò AD</v>
      </c>
      <c r="D859" s="1076" t="str">
        <f>IFERROR(__xludf.DUMMYFUNCTION("""COMPUTED_VALUE"""),"CAMBODIA")</f>
        <v>CAMBODIA</v>
      </c>
      <c r="E859" s="1076" t="str">
        <f>IFERROR(__xludf.DUMMYFUNCTION("""COMPUTED_VALUE"""),"2.2m")</f>
        <v>2.2m</v>
      </c>
      <c r="F859" s="1076"/>
      <c r="G859" s="1076"/>
      <c r="H859" s="1076"/>
      <c r="I859" s="1076"/>
      <c r="J859" s="1076"/>
      <c r="K859" s="1076"/>
      <c r="L859" s="1076" t="str">
        <f>IFERROR(__xludf.DUMMYFUNCTION("""COMPUTED_VALUE"""),"KLH")</f>
        <v>KLH</v>
      </c>
    </row>
    <row r="860" customHeight="1" spans="1:12">
      <c r="A860" s="1089" t="str">
        <f>IFERROR(__xludf.DUMMYFUNCTION("""COMPUTED_VALUE"""),"CNN-RVO-004")</f>
        <v>CNN-RVO-004</v>
      </c>
      <c r="B860" s="1075" t="str">
        <f>IFERROR(__xludf.DUMMYFUNCTION("""COMPUTED_VALUE"""),"Thiết bị phun vôi/rải vô cơ")</f>
        <v>Thiết bị phun vôi/rải vô cơ</v>
      </c>
      <c r="C860" s="1076" t="str">
        <f>IFERROR(__xludf.DUMMYFUNCTION("""COMPUTED_VALUE"""),"XN Bò AD")</f>
        <v>XN Bò AD</v>
      </c>
      <c r="D860" s="1076" t="str">
        <f>IFERROR(__xludf.DUMMYFUNCTION("""COMPUTED_VALUE"""),"CAMBODIA")</f>
        <v>CAMBODIA</v>
      </c>
      <c r="E860" s="1076"/>
      <c r="F860" s="1076"/>
      <c r="G860" s="1076"/>
      <c r="H860" s="1076"/>
      <c r="I860" s="1076"/>
      <c r="J860" s="1076"/>
      <c r="K860" s="1076"/>
      <c r="L860" s="1076" t="str">
        <f>IFERROR(__xludf.DUMMYFUNCTION("""COMPUTED_VALUE"""),"KLH")</f>
        <v>KLH</v>
      </c>
    </row>
    <row r="861" customHeight="1" spans="1:12">
      <c r="A861" s="1089" t="str">
        <f>IFERROR(__xludf.DUMMYFUNCTION("""COMPUTED_VALUE"""),"CNN-VMU-003")</f>
        <v>CNN-VMU-003</v>
      </c>
      <c r="B861" s="1075" t="str">
        <f>IFERROR(__xludf.DUMMYFUNCTION("""COMPUTED_VALUE"""),"Thiết bị đào mương DBR 75/32-540")</f>
        <v>Thiết bị đào mương DBR 75/32-540</v>
      </c>
      <c r="C861" s="1076" t="str">
        <f>IFERROR(__xludf.DUMMYFUNCTION("""COMPUTED_VALUE"""),"XN Bò AD")</f>
        <v>XN Bò AD</v>
      </c>
      <c r="D861" s="1076" t="str">
        <f>IFERROR(__xludf.DUMMYFUNCTION("""COMPUTED_VALUE"""),"CAMBODIA")</f>
        <v>CAMBODIA</v>
      </c>
      <c r="E861" s="1076" t="str">
        <f>IFERROR(__xludf.DUMMYFUNCTION("""COMPUTED_VALUE"""),"DBR")</f>
        <v>DBR</v>
      </c>
      <c r="F861" s="1076"/>
      <c r="G861" s="1076"/>
      <c r="H861" s="1076"/>
      <c r="I861" s="1076"/>
      <c r="J861" s="1076"/>
      <c r="K861" s="1076"/>
      <c r="L861" s="1076" t="str">
        <f>IFERROR(__xludf.DUMMYFUNCTION("""COMPUTED_VALUE"""),"KLH")</f>
        <v>KLH</v>
      </c>
    </row>
    <row r="862" customHeight="1" spans="1:12">
      <c r="A862" s="1089" t="str">
        <f>IFERROR(__xludf.DUMMYFUNCTION("""COMPUTED_VALUE"""),"CNN-VMU-004")</f>
        <v>CNN-VMU-004</v>
      </c>
      <c r="B862" s="1075" t="str">
        <f>IFERROR(__xludf.DUMMYFUNCTION("""COMPUTED_VALUE"""),"Thiết bị đào mương DBR 75/32-540")</f>
        <v>Thiết bị đào mương DBR 75/32-540</v>
      </c>
      <c r="C862" s="1076" t="str">
        <f>IFERROR(__xludf.DUMMYFUNCTION("""COMPUTED_VALUE"""),"XN Bò AD")</f>
        <v>XN Bò AD</v>
      </c>
      <c r="D862" s="1076" t="str">
        <f>IFERROR(__xludf.DUMMYFUNCTION("""COMPUTED_VALUE"""),"CAMBODIA")</f>
        <v>CAMBODIA</v>
      </c>
      <c r="E862" s="1076" t="str">
        <f>IFERROR(__xludf.DUMMYFUNCTION("""COMPUTED_VALUE"""),"DBR")</f>
        <v>DBR</v>
      </c>
      <c r="F862" s="1076"/>
      <c r="G862" s="1076"/>
      <c r="H862" s="1076"/>
      <c r="I862" s="1076"/>
      <c r="J862" s="1076"/>
      <c r="K862" s="1076"/>
      <c r="L862" s="1076" t="str">
        <f>IFERROR(__xludf.DUMMYFUNCTION("""COMPUTED_VALUE"""),"KLH")</f>
        <v>KLH</v>
      </c>
    </row>
    <row r="863" customHeight="1" spans="1:12">
      <c r="A863" s="1089" t="str">
        <f>IFERROR(__xludf.DUMMYFUNCTION("""COMPUTED_VALUE"""),"CNN-CNA-003")</f>
        <v>CNN-CNA-003</v>
      </c>
      <c r="B863" s="1075" t="str">
        <f>IFERROR(__xludf.DUMMYFUNCTION("""COMPUTED_VALUE"""),"Thiết bị cày ngầm 3 trụ")</f>
        <v>Thiết bị cày ngầm 3 trụ</v>
      </c>
      <c r="C863" s="1076" t="str">
        <f>IFERROR(__xludf.DUMMYFUNCTION("""COMPUTED_VALUE"""),"XN Bò AD")</f>
        <v>XN Bò AD</v>
      </c>
      <c r="D863" s="1076" t="str">
        <f>IFERROR(__xludf.DUMMYFUNCTION("""COMPUTED_VALUE"""),"CAMBODIA")</f>
        <v>CAMBODIA</v>
      </c>
      <c r="E863" s="1076" t="str">
        <f>IFERROR(__xludf.DUMMYFUNCTION("""COMPUTED_VALUE"""),"3 trụ")</f>
        <v>3 trụ</v>
      </c>
      <c r="F863" s="1076"/>
      <c r="G863" s="1076"/>
      <c r="H863" s="1076"/>
      <c r="I863" s="1076"/>
      <c r="J863" s="1076"/>
      <c r="K863" s="1076"/>
      <c r="L863" s="1076" t="str">
        <f>IFERROR(__xludf.DUMMYFUNCTION("""COMPUTED_VALUE"""),"KLH")</f>
        <v>KLH</v>
      </c>
    </row>
    <row r="864" customHeight="1" spans="1:12">
      <c r="A864" s="1089" t="str">
        <f>IFERROR(__xludf.DUMMYFUNCTION("""COMPUTED_VALUE"""),"CNN-RLT-004")</f>
        <v>CNN-RLT-004</v>
      </c>
      <c r="B864" s="1075" t="str">
        <f>IFERROR(__xludf.DUMMYFUNCTION("""COMPUTED_VALUE"""),"Thiết bị rạch định vị hàng trồng 2 lưỡi")</f>
        <v>Thiết bị rạch định vị hàng trồng 2 lưỡi</v>
      </c>
      <c r="C864" s="1076" t="str">
        <f>IFERROR(__xludf.DUMMYFUNCTION("""COMPUTED_VALUE"""),"XN Bò AD")</f>
        <v>XN Bò AD</v>
      </c>
      <c r="D864" s="1076" t="str">
        <f>IFERROR(__xludf.DUMMYFUNCTION("""COMPUTED_VALUE"""),"CAMBODIA")</f>
        <v>CAMBODIA</v>
      </c>
      <c r="E864" s="1076"/>
      <c r="F864" s="1076"/>
      <c r="G864" s="1076"/>
      <c r="H864" s="1076"/>
      <c r="I864" s="1076"/>
      <c r="J864" s="1076"/>
      <c r="K864" s="1076"/>
      <c r="L864" s="1076" t="str">
        <f>IFERROR(__xludf.DUMMYFUNCTION("""COMPUTED_VALUE"""),"KLH")</f>
        <v>KLH</v>
      </c>
    </row>
    <row r="865" customHeight="1" spans="1:12">
      <c r="A865" s="1089" t="str">
        <f>IFERROR(__xludf.DUMMYFUNCTION("""COMPUTED_VALUE"""),"CNN-VLU-002")</f>
        <v>CNN-VLU-002</v>
      </c>
      <c r="B865" s="1075" t="str">
        <f>IFERROR(__xludf.DUMMYFUNCTION("""COMPUTED_VALUE"""),"Thiết bị lên luống 2 chảo")</f>
        <v>Thiết bị lên luống 2 chảo</v>
      </c>
      <c r="C865" s="1076" t="str">
        <f>IFERROR(__xludf.DUMMYFUNCTION("""COMPUTED_VALUE"""),"XN Bò AD")</f>
        <v>XN Bò AD</v>
      </c>
      <c r="D865" s="1076" t="str">
        <f>IFERROR(__xludf.DUMMYFUNCTION("""COMPUTED_VALUE"""),"CAMBODIA")</f>
        <v>CAMBODIA</v>
      </c>
      <c r="E865" s="1076" t="str">
        <f>IFERROR(__xludf.DUMMYFUNCTION("""COMPUTED_VALUE"""),"2 chảo")</f>
        <v>2 chảo</v>
      </c>
      <c r="F865" s="1076"/>
      <c r="G865" s="1076"/>
      <c r="H865" s="1076"/>
      <c r="I865" s="1076"/>
      <c r="J865" s="1076"/>
      <c r="K865" s="1076"/>
      <c r="L865" s="1076" t="str">
        <f>IFERROR(__xludf.DUMMYFUNCTION("""COMPUTED_VALUE"""),"KLH")</f>
        <v>KLH</v>
      </c>
    </row>
    <row r="866" customHeight="1" spans="1:12">
      <c r="A866" s="1089" t="str">
        <f>IFERROR(__xludf.DUMMYFUNCTION("""COMPUTED_VALUE"""),"CNN-VLU-003")</f>
        <v>CNN-VLU-003</v>
      </c>
      <c r="B866" s="1075" t="str">
        <f>IFERROR(__xludf.DUMMYFUNCTION("""COMPUTED_VALUE"""),"Thiết bị lên luống dứa")</f>
        <v>Thiết bị lên luống dứa</v>
      </c>
      <c r="C866" s="1076" t="str">
        <f>IFERROR(__xludf.DUMMYFUNCTION("""COMPUTED_VALUE"""),"XN Bò AD")</f>
        <v>XN Bò AD</v>
      </c>
      <c r="D866" s="1076" t="str">
        <f>IFERROR(__xludf.DUMMYFUNCTION("""COMPUTED_VALUE"""),"CAMBODIA")</f>
        <v>CAMBODIA</v>
      </c>
      <c r="E866" s="1076"/>
      <c r="F866" s="1076"/>
      <c r="G866" s="1076"/>
      <c r="H866" s="1076"/>
      <c r="I866" s="1076"/>
      <c r="J866" s="1076"/>
      <c r="K866" s="1076"/>
      <c r="L866" s="1076" t="str">
        <f>IFERROR(__xludf.DUMMYFUNCTION("""COMPUTED_VALUE"""),"KLH")</f>
        <v>KLH</v>
      </c>
    </row>
    <row r="867" customHeight="1" spans="1:12">
      <c r="A867" s="1089" t="str">
        <f>IFERROR(__xludf.DUMMYFUNCTION("""COMPUTED_VALUE"""),"CNN-BLC-052")</f>
        <v>CNN-BLC-052</v>
      </c>
      <c r="B867" s="1075" t="str">
        <f>IFERROR(__xludf.DUMMYFUNCTION("""COMPUTED_VALUE"""),"Thiết bị trang mặt bằng luống chuối")</f>
        <v>Thiết bị trang mặt bằng luống chuối</v>
      </c>
      <c r="C867" s="1076" t="str">
        <f>IFERROR(__xludf.DUMMYFUNCTION("""COMPUTED_VALUE"""),"XN Bò AD")</f>
        <v>XN Bò AD</v>
      </c>
      <c r="D867" s="1076" t="str">
        <f>IFERROR(__xludf.DUMMYFUNCTION("""COMPUTED_VALUE"""),"CAMBODIA")</f>
        <v>CAMBODIA</v>
      </c>
      <c r="E867" s="1076"/>
      <c r="F867" s="1076"/>
      <c r="G867" s="1076"/>
      <c r="H867" s="1076"/>
      <c r="I867" s="1076"/>
      <c r="J867" s="1076"/>
      <c r="K867" s="1076"/>
      <c r="L867" s="1076" t="str">
        <f>IFERROR(__xludf.DUMMYFUNCTION("""COMPUTED_VALUE"""),"KLH")</f>
        <v>KLH</v>
      </c>
    </row>
    <row r="868" customHeight="1" spans="1:12">
      <c r="A868" s="1089" t="str">
        <f>IFERROR(__xludf.DUMMYFUNCTION("""COMPUTED_VALUE"""),"CNN-DRP-002")</f>
        <v>CNN-DRP-002</v>
      </c>
      <c r="B868" s="1075" t="str">
        <f>IFERROR(__xludf.DUMMYFUNCTION("""COMPUTED_VALUE"""),"Dàn rải phân (10m3)")</f>
        <v>Dàn rải phân (10m3)</v>
      </c>
      <c r="C868" s="1076" t="str">
        <f>IFERROR(__xludf.DUMMYFUNCTION("""COMPUTED_VALUE"""),"XN Bò AD")</f>
        <v>XN Bò AD</v>
      </c>
      <c r="D868" s="1076" t="str">
        <f>IFERROR(__xludf.DUMMYFUNCTION("""COMPUTED_VALUE"""),"THACO INDUSTRIES")</f>
        <v>THACO INDUSTRIES</v>
      </c>
      <c r="E868" s="1076" t="str">
        <f>IFERROR(__xludf.DUMMYFUNCTION("""COMPUTED_VALUE"""),"10M3")</f>
        <v>10M3</v>
      </c>
      <c r="F868" s="1076"/>
      <c r="G868" s="1076" t="str">
        <f>IFERROR(__xludf.DUMMYFUNCTION("""COMPUTED_VALUE"""),"2025")</f>
        <v>2025</v>
      </c>
      <c r="H868" s="1076"/>
      <c r="I868" s="1076" t="str">
        <f>IFERROR(__xludf.DUMMYFUNCTION("""COMPUTED_VALUE"""),"2025-02-13")</f>
        <v>2025-02-13</v>
      </c>
      <c r="J868" s="1076"/>
      <c r="K868" s="1076"/>
      <c r="L868" s="1076" t="str">
        <f>IFERROR(__xludf.DUMMYFUNCTION("""COMPUTED_VALUE"""),"KLH")</f>
        <v>KLH</v>
      </c>
    </row>
    <row r="869" customHeight="1" spans="1:12">
      <c r="A869" s="1089" t="str">
        <f>IFERROR(__xludf.DUMMYFUNCTION("""COMPUTED_VALUE"""),"SẢN XUẤT TRỒNG TRỌT")</f>
        <v>SẢN XUẤT TRỒNG TRỌT</v>
      </c>
      <c r="B869" s="1075"/>
      <c r="C869" s="1076"/>
      <c r="D869" s="1076"/>
      <c r="E869" s="1076"/>
      <c r="F869" s="1076"/>
      <c r="G869" s="1076"/>
      <c r="H869" s="1076"/>
      <c r="I869" s="1076"/>
      <c r="J869" s="1076"/>
      <c r="K869" s="1076"/>
      <c r="L869" s="1076" t="str">
        <f>IFERROR(__xludf.DUMMYFUNCTION("""COMPUTED_VALUE"""),"KLH")</f>
        <v>KLH</v>
      </c>
    </row>
    <row r="870" customHeight="1" spans="1:12">
      <c r="A870" s="1089" t="str">
        <f>IFERROR(__xludf.DUMMYFUNCTION("""COMPUTED_VALUE"""),"Xí nghiệp chuối DP1")</f>
        <v>Xí nghiệp chuối DP1</v>
      </c>
      <c r="B870" s="1075"/>
      <c r="C870" s="1076"/>
      <c r="D870" s="1076"/>
      <c r="E870" s="1076"/>
      <c r="F870" s="1076"/>
      <c r="G870" s="1076"/>
      <c r="H870" s="1076"/>
      <c r="I870" s="1076"/>
      <c r="J870" s="1076"/>
      <c r="K870" s="1076"/>
      <c r="L870" s="1076" t="str">
        <f>IFERROR(__xludf.DUMMYFUNCTION("""COMPUTED_VALUE"""),"KLH")</f>
        <v>KLH</v>
      </c>
    </row>
    <row r="871" customHeight="1" spans="1:12">
      <c r="A871" s="1089" t="str">
        <f>IFERROR(__xludf.DUMMYFUNCTION("""COMPUTED_VALUE"""),"XD1-RMC-001")</f>
        <v>XD1-RMC-001</v>
      </c>
      <c r="B871" s="1075" t="str">
        <f>IFERROR(__xludf.DUMMYFUNCTION("""COMPUTED_VALUE"""),"Rơ mooc thu hoạch")</f>
        <v>Rơ mooc thu hoạch</v>
      </c>
      <c r="C871" s="1076" t="str">
        <f>IFERROR(__xludf.DUMMYFUNCTION("""COMPUTED_VALUE"""),"XN Chuối DP1")</f>
        <v>XN Chuối DP1</v>
      </c>
      <c r="D871" s="1076" t="str">
        <f>IFERROR(__xludf.DUMMYFUNCTION("""COMPUTED_VALUE"""),"THACO AGRI")</f>
        <v>THACO AGRI</v>
      </c>
      <c r="E871" s="1076"/>
      <c r="F871" s="1076"/>
      <c r="G871" s="1076"/>
      <c r="H871" s="1076"/>
      <c r="I871" s="1076" t="str">
        <f>IFERROR(__xludf.DUMMYFUNCTION("""COMPUTED_VALUE"""),"44")</f>
        <v>44</v>
      </c>
      <c r="J871" s="1076"/>
      <c r="K871" s="1076"/>
      <c r="L871" s="1076" t="str">
        <f>IFERROR(__xludf.DUMMYFUNCTION("""COMPUTED_VALUE"""),"KLH")</f>
        <v>KLH</v>
      </c>
    </row>
    <row r="872" customHeight="1" spans="1:12">
      <c r="A872" s="1089" t="str">
        <f>IFERROR(__xludf.DUMMYFUNCTION("""COMPUTED_VALUE"""),"XD1-RMC-002")</f>
        <v>XD1-RMC-002</v>
      </c>
      <c r="B872" s="1075" t="str">
        <f>IFERROR(__xludf.DUMMYFUNCTION("""COMPUTED_VALUE"""),"Rơ mooc thu hoạch")</f>
        <v>Rơ mooc thu hoạch</v>
      </c>
      <c r="C872" s="1076" t="str">
        <f>IFERROR(__xludf.DUMMYFUNCTION("""COMPUTED_VALUE"""),"XN Chuối DP1")</f>
        <v>XN Chuối DP1</v>
      </c>
      <c r="D872" s="1076" t="str">
        <f>IFERROR(__xludf.DUMMYFUNCTION("""COMPUTED_VALUE"""),"THACO AGRI")</f>
        <v>THACO AGRI</v>
      </c>
      <c r="E872" s="1076"/>
      <c r="F872" s="1076"/>
      <c r="G872" s="1076"/>
      <c r="H872" s="1076"/>
      <c r="I872" s="1076" t="str">
        <f>IFERROR(__xludf.DUMMYFUNCTION("""COMPUTED_VALUE"""),"40")</f>
        <v>40</v>
      </c>
      <c r="J872" s="1076"/>
      <c r="K872" s="1076"/>
      <c r="L872" s="1076" t="str">
        <f>IFERROR(__xludf.DUMMYFUNCTION("""COMPUTED_VALUE"""),"KLH")</f>
        <v>KLH</v>
      </c>
    </row>
    <row r="873" customHeight="1" spans="1:12">
      <c r="A873" s="1089" t="str">
        <f>IFERROR(__xludf.DUMMYFUNCTION("""COMPUTED_VALUE"""),"XD1-RMC-006")</f>
        <v>XD1-RMC-006</v>
      </c>
      <c r="B873" s="1075" t="str">
        <f>IFERROR(__xludf.DUMMYFUNCTION("""COMPUTED_VALUE"""),"Rơ mooc thu hoạch")</f>
        <v>Rơ mooc thu hoạch</v>
      </c>
      <c r="C873" s="1076" t="str">
        <f>IFERROR(__xludf.DUMMYFUNCTION("""COMPUTED_VALUE"""),"XN Chuối DP1")</f>
        <v>XN Chuối DP1</v>
      </c>
      <c r="D873" s="1076" t="str">
        <f>IFERROR(__xludf.DUMMYFUNCTION("""COMPUTED_VALUE"""),"THACO AGRI")</f>
        <v>THACO AGRI</v>
      </c>
      <c r="E873" s="1076"/>
      <c r="F873" s="1076"/>
      <c r="G873" s="1076"/>
      <c r="H873" s="1076"/>
      <c r="I873" s="1076"/>
      <c r="J873" s="1076"/>
      <c r="K873" s="1076"/>
      <c r="L873" s="1076" t="str">
        <f>IFERROR(__xludf.DUMMYFUNCTION("""COMPUTED_VALUE"""),"KLH")</f>
        <v>KLH</v>
      </c>
    </row>
    <row r="874" customHeight="1" spans="1:12">
      <c r="A874" s="1089" t="str">
        <f>IFERROR(__xludf.DUMMYFUNCTION("""COMPUTED_VALUE"""),"XD1-RMK-001")</f>
        <v>XD1-RMK-001</v>
      </c>
      <c r="B874" s="1075" t="str">
        <f>IFERROR(__xludf.DUMMYFUNCTION("""COMPUTED_VALUE"""),"Rơ mooc kéo máy băm")</f>
        <v>Rơ mooc kéo máy băm</v>
      </c>
      <c r="C874" s="1076" t="str">
        <f>IFERROR(__xludf.DUMMYFUNCTION("""COMPUTED_VALUE"""),"XN Chuối DP1")</f>
        <v>XN Chuối DP1</v>
      </c>
      <c r="D874" s="1076" t="str">
        <f>IFERROR(__xludf.DUMMYFUNCTION("""COMPUTED_VALUE"""),"THACO AGRI")</f>
        <v>THACO AGRI</v>
      </c>
      <c r="E874" s="1076"/>
      <c r="F874" s="1076"/>
      <c r="G874" s="1076"/>
      <c r="H874" s="1076"/>
      <c r="I874" s="1076"/>
      <c r="J874" s="1076"/>
      <c r="K874" s="1076"/>
      <c r="L874" s="1076" t="str">
        <f>IFERROR(__xludf.DUMMYFUNCTION("""COMPUTED_VALUE"""),"KLH")</f>
        <v>KLH</v>
      </c>
    </row>
    <row r="875" customHeight="1" spans="1:12">
      <c r="A875" s="1089" t="str">
        <f>IFERROR(__xludf.DUMMYFUNCTION("""COMPUTED_VALUE"""),"XD1-MCA-001")</f>
        <v>XD1-MCA-001</v>
      </c>
      <c r="B875" s="1075" t="str">
        <f>IFERROR(__xludf.DUMMYFUNCTION("""COMPUTED_VALUE"""),"Máy cao áp phun thuốc")</f>
        <v>Máy cao áp phun thuốc</v>
      </c>
      <c r="C875" s="1076" t="str">
        <f>IFERROR(__xludf.DUMMYFUNCTION("""COMPUTED_VALUE"""),"XN Chuối DP1")</f>
        <v>XN Chuối DP1</v>
      </c>
      <c r="D875" s="1076" t="str">
        <f>IFERROR(__xludf.DUMMYFUNCTION("""COMPUTED_VALUE"""),"CAMBODIA")</f>
        <v>CAMBODIA</v>
      </c>
      <c r="E875" s="1076"/>
      <c r="F875" s="1076"/>
      <c r="G875" s="1076"/>
      <c r="H875" s="1076"/>
      <c r="I875" s="1076"/>
      <c r="J875" s="1076"/>
      <c r="K875" s="1076"/>
      <c r="L875" s="1076" t="str">
        <f>IFERROR(__xludf.DUMMYFUNCTION("""COMPUTED_VALUE"""),"KLH")</f>
        <v>KLH</v>
      </c>
    </row>
    <row r="876" customHeight="1" spans="1:12">
      <c r="A876" s="1089" t="str">
        <f>IFERROR(__xludf.DUMMYFUNCTION("""COMPUTED_VALUE"""),"XD1-MCA-002")</f>
        <v>XD1-MCA-002</v>
      </c>
      <c r="B876" s="1075" t="str">
        <f>IFERROR(__xludf.DUMMYFUNCTION("""COMPUTED_VALUE"""),"Máy cao áp phun thuốc")</f>
        <v>Máy cao áp phun thuốc</v>
      </c>
      <c r="C876" s="1076" t="str">
        <f>IFERROR(__xludf.DUMMYFUNCTION("""COMPUTED_VALUE"""),"XN Chuối DP1")</f>
        <v>XN Chuối DP1</v>
      </c>
      <c r="D876" s="1076" t="str">
        <f>IFERROR(__xludf.DUMMYFUNCTION("""COMPUTED_VALUE"""),"CAMBODIA")</f>
        <v>CAMBODIA</v>
      </c>
      <c r="E876" s="1076"/>
      <c r="F876" s="1076"/>
      <c r="G876" s="1076"/>
      <c r="H876" s="1076"/>
      <c r="I876" s="1076"/>
      <c r="J876" s="1076"/>
      <c r="K876" s="1076"/>
      <c r="L876" s="1076" t="str">
        <f>IFERROR(__xludf.DUMMYFUNCTION("""COMPUTED_VALUE"""),"KLH")</f>
        <v>KLH</v>
      </c>
    </row>
    <row r="877" customHeight="1" spans="1:12">
      <c r="A877" s="1089" t="str">
        <f>IFERROR(__xludf.DUMMYFUNCTION("""COMPUTED_VALUE"""),"XD1-MCA-003")</f>
        <v>XD1-MCA-003</v>
      </c>
      <c r="B877" s="1075" t="str">
        <f>IFERROR(__xludf.DUMMYFUNCTION("""COMPUTED_VALUE"""),"Máy cao áp phun thuốc")</f>
        <v>Máy cao áp phun thuốc</v>
      </c>
      <c r="C877" s="1076" t="str">
        <f>IFERROR(__xludf.DUMMYFUNCTION("""COMPUTED_VALUE"""),"XN Chuối DP1")</f>
        <v>XN Chuối DP1</v>
      </c>
      <c r="D877" s="1076" t="str">
        <f>IFERROR(__xludf.DUMMYFUNCTION("""COMPUTED_VALUE"""),"CAMBODIA")</f>
        <v>CAMBODIA</v>
      </c>
      <c r="E877" s="1076"/>
      <c r="F877" s="1076"/>
      <c r="G877" s="1076"/>
      <c r="H877" s="1076"/>
      <c r="I877" s="1076"/>
      <c r="J877" s="1076"/>
      <c r="K877" s="1076"/>
      <c r="L877" s="1076" t="str">
        <f>IFERROR(__xludf.DUMMYFUNCTION("""COMPUTED_VALUE"""),"KLH")</f>
        <v>KLH</v>
      </c>
    </row>
    <row r="878" customHeight="1" spans="1:12">
      <c r="A878" s="1089" t="str">
        <f>IFERROR(__xludf.DUMMYFUNCTION("""COMPUTED_VALUE"""),"XD1-MCA-004")</f>
        <v>XD1-MCA-004</v>
      </c>
      <c r="B878" s="1075" t="str">
        <f>IFERROR(__xludf.DUMMYFUNCTION("""COMPUTED_VALUE"""),"Máy cao áp phun thuốc")</f>
        <v>Máy cao áp phun thuốc</v>
      </c>
      <c r="C878" s="1076" t="str">
        <f>IFERROR(__xludf.DUMMYFUNCTION("""COMPUTED_VALUE"""),"XN Chuối DP1")</f>
        <v>XN Chuối DP1</v>
      </c>
      <c r="D878" s="1076" t="str">
        <f>IFERROR(__xludf.DUMMYFUNCTION("""COMPUTED_VALUE"""),"CAMBODIA")</f>
        <v>CAMBODIA</v>
      </c>
      <c r="E878" s="1076"/>
      <c r="F878" s="1076"/>
      <c r="G878" s="1076"/>
      <c r="H878" s="1076"/>
      <c r="I878" s="1076"/>
      <c r="J878" s="1076"/>
      <c r="K878" s="1076"/>
      <c r="L878" s="1076" t="str">
        <f>IFERROR(__xludf.DUMMYFUNCTION("""COMPUTED_VALUE"""),"KLH")</f>
        <v>KLH</v>
      </c>
    </row>
    <row r="879" customHeight="1" spans="1:12">
      <c r="A879" s="1089" t="str">
        <f>IFERROR(__xludf.DUMMYFUNCTION("""COMPUTED_VALUE"""),"XD1-MCA-005")</f>
        <v>XD1-MCA-005</v>
      </c>
      <c r="B879" s="1075" t="str">
        <f>IFERROR(__xludf.DUMMYFUNCTION("""COMPUTED_VALUE"""),"Máy cao áp phun thuốc")</f>
        <v>Máy cao áp phun thuốc</v>
      </c>
      <c r="C879" s="1076" t="str">
        <f>IFERROR(__xludf.DUMMYFUNCTION("""COMPUTED_VALUE"""),"XN Chuối DP1")</f>
        <v>XN Chuối DP1</v>
      </c>
      <c r="D879" s="1076" t="str">
        <f>IFERROR(__xludf.DUMMYFUNCTION("""COMPUTED_VALUE"""),"CAMBODIA")</f>
        <v>CAMBODIA</v>
      </c>
      <c r="E879" s="1076"/>
      <c r="F879" s="1076"/>
      <c r="G879" s="1076"/>
      <c r="H879" s="1076"/>
      <c r="I879" s="1076"/>
      <c r="J879" s="1076"/>
      <c r="K879" s="1076"/>
      <c r="L879" s="1076" t="str">
        <f>IFERROR(__xludf.DUMMYFUNCTION("""COMPUTED_VALUE"""),"KLH")</f>
        <v>KLH</v>
      </c>
    </row>
    <row r="880" customHeight="1" spans="1:12">
      <c r="A880" s="1089" t="str">
        <f>IFERROR(__xludf.DUMMYFUNCTION("""COMPUTED_VALUE"""),"XD1-MCA-006")</f>
        <v>XD1-MCA-006</v>
      </c>
      <c r="B880" s="1075" t="str">
        <f>IFERROR(__xludf.DUMMYFUNCTION("""COMPUTED_VALUE"""),"Máy cao áp phun thuốc")</f>
        <v>Máy cao áp phun thuốc</v>
      </c>
      <c r="C880" s="1076" t="str">
        <f>IFERROR(__xludf.DUMMYFUNCTION("""COMPUTED_VALUE"""),"XN Chuối DP1")</f>
        <v>XN Chuối DP1</v>
      </c>
      <c r="D880" s="1076" t="str">
        <f>IFERROR(__xludf.DUMMYFUNCTION("""COMPUTED_VALUE"""),"CAMBODIA")</f>
        <v>CAMBODIA</v>
      </c>
      <c r="E880" s="1076"/>
      <c r="F880" s="1076"/>
      <c r="G880" s="1076"/>
      <c r="H880" s="1076"/>
      <c r="I880" s="1076"/>
      <c r="J880" s="1076"/>
      <c r="K880" s="1076"/>
      <c r="L880" s="1076" t="str">
        <f>IFERROR(__xludf.DUMMYFUNCTION("""COMPUTED_VALUE"""),"KLH")</f>
        <v>KLH</v>
      </c>
    </row>
    <row r="881" customHeight="1" spans="1:12">
      <c r="A881" s="1089" t="str">
        <f>IFERROR(__xludf.DUMMYFUNCTION("""COMPUTED_VALUE"""),"XD1-MCA-007")</f>
        <v>XD1-MCA-007</v>
      </c>
      <c r="B881" s="1075" t="str">
        <f>IFERROR(__xludf.DUMMYFUNCTION("""COMPUTED_VALUE"""),"Máy cao áp phun thuốc")</f>
        <v>Máy cao áp phun thuốc</v>
      </c>
      <c r="C881" s="1076" t="str">
        <f>IFERROR(__xludf.DUMMYFUNCTION("""COMPUTED_VALUE"""),"XN Chuối DP1")</f>
        <v>XN Chuối DP1</v>
      </c>
      <c r="D881" s="1076" t="str">
        <f>IFERROR(__xludf.DUMMYFUNCTION("""COMPUTED_VALUE"""),"CAMBODIA")</f>
        <v>CAMBODIA</v>
      </c>
      <c r="E881" s="1076"/>
      <c r="F881" s="1076"/>
      <c r="G881" s="1076"/>
      <c r="H881" s="1076"/>
      <c r="I881" s="1076"/>
      <c r="J881" s="1076"/>
      <c r="K881" s="1076"/>
      <c r="L881" s="1076" t="str">
        <f>IFERROR(__xludf.DUMMYFUNCTION("""COMPUTED_VALUE"""),"KLH")</f>
        <v>KLH</v>
      </c>
    </row>
    <row r="882" customHeight="1" spans="1:12">
      <c r="A882" s="1089" t="str">
        <f>IFERROR(__xludf.DUMMYFUNCTION("""COMPUTED_VALUE"""),"XD1-MCA-008")</f>
        <v>XD1-MCA-008</v>
      </c>
      <c r="B882" s="1075" t="str">
        <f>IFERROR(__xludf.DUMMYFUNCTION("""COMPUTED_VALUE"""),"Máy cao áp phun thuốc")</f>
        <v>Máy cao áp phun thuốc</v>
      </c>
      <c r="C882" s="1076" t="str">
        <f>IFERROR(__xludf.DUMMYFUNCTION("""COMPUTED_VALUE"""),"XN Chuối DP1")</f>
        <v>XN Chuối DP1</v>
      </c>
      <c r="D882" s="1076" t="str">
        <f>IFERROR(__xludf.DUMMYFUNCTION("""COMPUTED_VALUE"""),"CAMBODIA")</f>
        <v>CAMBODIA</v>
      </c>
      <c r="E882" s="1076"/>
      <c r="F882" s="1076"/>
      <c r="G882" s="1076"/>
      <c r="H882" s="1076"/>
      <c r="I882" s="1076"/>
      <c r="J882" s="1076"/>
      <c r="K882" s="1076"/>
      <c r="L882" s="1076" t="str">
        <f>IFERROR(__xludf.DUMMYFUNCTION("""COMPUTED_VALUE"""),"KLH")</f>
        <v>KLH</v>
      </c>
    </row>
    <row r="883" customHeight="1" spans="1:12">
      <c r="A883" s="1089" t="str">
        <f>IFERROR(__xludf.DUMMYFUNCTION("""COMPUTED_VALUE"""),"XD1-MCA-009")</f>
        <v>XD1-MCA-009</v>
      </c>
      <c r="B883" s="1075" t="str">
        <f>IFERROR(__xludf.DUMMYFUNCTION("""COMPUTED_VALUE"""),"Máy cao áp phun thuốc")</f>
        <v>Máy cao áp phun thuốc</v>
      </c>
      <c r="C883" s="1076" t="str">
        <f>IFERROR(__xludf.DUMMYFUNCTION("""COMPUTED_VALUE"""),"XN Chuối DP1")</f>
        <v>XN Chuối DP1</v>
      </c>
      <c r="D883" s="1076" t="str">
        <f>IFERROR(__xludf.DUMMYFUNCTION("""COMPUTED_VALUE"""),"CAMBODIA")</f>
        <v>CAMBODIA</v>
      </c>
      <c r="E883" s="1076"/>
      <c r="F883" s="1076"/>
      <c r="G883" s="1076"/>
      <c r="H883" s="1076"/>
      <c r="I883" s="1076"/>
      <c r="J883" s="1076"/>
      <c r="K883" s="1076"/>
      <c r="L883" s="1076" t="str">
        <f>IFERROR(__xludf.DUMMYFUNCTION("""COMPUTED_VALUE"""),"KLH")</f>
        <v>KLH</v>
      </c>
    </row>
    <row r="884" customHeight="1" spans="1:12">
      <c r="A884" s="1089" t="str">
        <f>IFERROR(__xludf.DUMMYFUNCTION("""COMPUTED_VALUE"""),"XD1-SPT-001")</f>
        <v>XD1-SPT-001</v>
      </c>
      <c r="B884" s="1075" t="str">
        <f>IFERROR(__xludf.DUMMYFUNCTION("""COMPUTED_VALUE"""),"Súng phun thuốc Hansung")</f>
        <v>Súng phun thuốc Hansung</v>
      </c>
      <c r="C884" s="1076" t="str">
        <f>IFERROR(__xludf.DUMMYFUNCTION("""COMPUTED_VALUE"""),"XN Chuối DP1")</f>
        <v>XN Chuối DP1</v>
      </c>
      <c r="D884" s="1076" t="str">
        <f>IFERROR(__xludf.DUMMYFUNCTION("""COMPUTED_VALUE"""),"HÀN QUỐC")</f>
        <v>HÀN QUỐC</v>
      </c>
      <c r="E884" s="1076" t="str">
        <f>IFERROR(__xludf.DUMMYFUNCTION("""COMPUTED_VALUE"""),"HANSUNG")</f>
        <v>HANSUNG</v>
      </c>
      <c r="F884" s="1076"/>
      <c r="G884" s="1076"/>
      <c r="H884" s="1076"/>
      <c r="I884" s="1076" t="str">
        <f>IFERROR(__xludf.DUMMYFUNCTION("""COMPUTED_VALUE"""),"HS128-TK317")</f>
        <v>HS128-TK317</v>
      </c>
      <c r="J884" s="1076"/>
      <c r="K884" s="1076">
        <f>IFERROR(__xludf.DUMMYFUNCTION("""COMPUTED_VALUE"""),8.47)</f>
        <v>8.47</v>
      </c>
      <c r="L884" s="1076" t="str">
        <f>IFERROR(__xludf.DUMMYFUNCTION("""COMPUTED_VALUE"""),"KLH")</f>
        <v>KLH</v>
      </c>
    </row>
    <row r="885" customHeight="1" spans="1:12">
      <c r="A885" s="1089" t="str">
        <f>IFERROR(__xludf.DUMMYFUNCTION("""COMPUTED_VALUE"""),"XD1-MXM-001")</f>
        <v>XD1-MXM-001</v>
      </c>
      <c r="B885" s="1075" t="str">
        <f>IFERROR(__xludf.DUMMYFUNCTION("""COMPUTED_VALUE"""),"Rơ mooc gắn sau xe máy")</f>
        <v>Rơ mooc gắn sau xe máy</v>
      </c>
      <c r="C885" s="1076" t="str">
        <f>IFERROR(__xludf.DUMMYFUNCTION("""COMPUTED_VALUE"""),"XN Chuối DP1")</f>
        <v>XN Chuối DP1</v>
      </c>
      <c r="D885" s="1076" t="str">
        <f>IFERROR(__xludf.DUMMYFUNCTION("""COMPUTED_VALUE"""),"THACO AGRI")</f>
        <v>THACO AGRI</v>
      </c>
      <c r="E885" s="1076"/>
      <c r="F885" s="1076"/>
      <c r="G885" s="1076"/>
      <c r="H885" s="1076" t="str">
        <f>IFERROR(__xludf.DUMMYFUNCTION("""COMPUTED_VALUE"""),"DxRxC: 3x1.6x1.2m")</f>
        <v>DxRxC: 3x1.6x1.2m</v>
      </c>
      <c r="I885" s="1076"/>
      <c r="J885" s="1076"/>
      <c r="K885" s="1076"/>
      <c r="L885" s="1076" t="str">
        <f>IFERROR(__xludf.DUMMYFUNCTION("""COMPUTED_VALUE"""),"KLH")</f>
        <v>KLH</v>
      </c>
    </row>
    <row r="886" customHeight="1" spans="1:12">
      <c r="A886" s="1089" t="str">
        <f>IFERROR(__xludf.DUMMYFUNCTION("""COMPUTED_VALUE"""),"XD1-MXM-002")</f>
        <v>XD1-MXM-002</v>
      </c>
      <c r="B886" s="1075" t="str">
        <f>IFERROR(__xludf.DUMMYFUNCTION("""COMPUTED_VALUE"""),"Rơ mooc gắn sau xe máy")</f>
        <v>Rơ mooc gắn sau xe máy</v>
      </c>
      <c r="C886" s="1076" t="str">
        <f>IFERROR(__xludf.DUMMYFUNCTION("""COMPUTED_VALUE"""),"XN Chuối DP1")</f>
        <v>XN Chuối DP1</v>
      </c>
      <c r="D886" s="1076" t="str">
        <f>IFERROR(__xludf.DUMMYFUNCTION("""COMPUTED_VALUE"""),"THACO AGRI")</f>
        <v>THACO AGRI</v>
      </c>
      <c r="E886" s="1076"/>
      <c r="F886" s="1076"/>
      <c r="G886" s="1076"/>
      <c r="H886" s="1076" t="str">
        <f>IFERROR(__xludf.DUMMYFUNCTION("""COMPUTED_VALUE"""),"DxRxC: 3x1.6x1.2m")</f>
        <v>DxRxC: 3x1.6x1.2m</v>
      </c>
      <c r="I886" s="1076"/>
      <c r="J886" s="1076"/>
      <c r="K886" s="1076"/>
      <c r="L886" s="1076" t="str">
        <f>IFERROR(__xludf.DUMMYFUNCTION("""COMPUTED_VALUE"""),"KLH")</f>
        <v>KLH</v>
      </c>
    </row>
    <row r="887" customHeight="1" spans="1:12">
      <c r="A887" s="1089" t="str">
        <f>IFERROR(__xludf.DUMMYFUNCTION("""COMPUTED_VALUE"""),"XD1-MXM-003")</f>
        <v>XD1-MXM-003</v>
      </c>
      <c r="B887" s="1075" t="str">
        <f>IFERROR(__xludf.DUMMYFUNCTION("""COMPUTED_VALUE"""),"Rơ mooc gắn sau xe máy")</f>
        <v>Rơ mooc gắn sau xe máy</v>
      </c>
      <c r="C887" s="1076" t="str">
        <f>IFERROR(__xludf.DUMMYFUNCTION("""COMPUTED_VALUE"""),"XN Chuối DP1")</f>
        <v>XN Chuối DP1</v>
      </c>
      <c r="D887" s="1076" t="str">
        <f>IFERROR(__xludf.DUMMYFUNCTION("""COMPUTED_VALUE"""),"THACO AGRI")</f>
        <v>THACO AGRI</v>
      </c>
      <c r="E887" s="1076"/>
      <c r="F887" s="1076"/>
      <c r="G887" s="1076"/>
      <c r="H887" s="1076" t="str">
        <f>IFERROR(__xludf.DUMMYFUNCTION("""COMPUTED_VALUE"""),"DxRxC: 3x1.6x1.2m")</f>
        <v>DxRxC: 3x1.6x1.2m</v>
      </c>
      <c r="I887" s="1076"/>
      <c r="J887" s="1076"/>
      <c r="K887" s="1076"/>
      <c r="L887" s="1076" t="str">
        <f>IFERROR(__xludf.DUMMYFUNCTION("""COMPUTED_VALUE"""),"KLH")</f>
        <v>KLH</v>
      </c>
    </row>
    <row r="888" customHeight="1" spans="1:12">
      <c r="A888" s="1089" t="str">
        <f>IFERROR(__xludf.DUMMYFUNCTION("""COMPUTED_VALUE"""),"XD1-MXM-004")</f>
        <v>XD1-MXM-004</v>
      </c>
      <c r="B888" s="1075" t="str">
        <f>IFERROR(__xludf.DUMMYFUNCTION("""COMPUTED_VALUE"""),"Rơ mooc gắn sau xe máy")</f>
        <v>Rơ mooc gắn sau xe máy</v>
      </c>
      <c r="C888" s="1076" t="str">
        <f>IFERROR(__xludf.DUMMYFUNCTION("""COMPUTED_VALUE"""),"XN Chuối DP1")</f>
        <v>XN Chuối DP1</v>
      </c>
      <c r="D888" s="1076" t="str">
        <f>IFERROR(__xludf.DUMMYFUNCTION("""COMPUTED_VALUE"""),"THACO AGRI")</f>
        <v>THACO AGRI</v>
      </c>
      <c r="E888" s="1076"/>
      <c r="F888" s="1076"/>
      <c r="G888" s="1076"/>
      <c r="H888" s="1076" t="str">
        <f>IFERROR(__xludf.DUMMYFUNCTION("""COMPUTED_VALUE"""),"DxRxC: 3x1.6x1.2m")</f>
        <v>DxRxC: 3x1.6x1.2m</v>
      </c>
      <c r="I888" s="1076"/>
      <c r="J888" s="1076"/>
      <c r="K888" s="1076"/>
      <c r="L888" s="1076" t="str">
        <f>IFERROR(__xludf.DUMMYFUNCTION("""COMPUTED_VALUE"""),"KLH")</f>
        <v>KLH</v>
      </c>
    </row>
    <row r="889" customHeight="1" spans="1:12">
      <c r="A889" s="1089" t="str">
        <f>IFERROR(__xludf.DUMMYFUNCTION("""COMPUTED_VALUE"""),"XD1-MXM-005")</f>
        <v>XD1-MXM-005</v>
      </c>
      <c r="B889" s="1075" t="str">
        <f>IFERROR(__xludf.DUMMYFUNCTION("""COMPUTED_VALUE"""),"Rơ mooc gắn sau xe máy")</f>
        <v>Rơ mooc gắn sau xe máy</v>
      </c>
      <c r="C889" s="1076" t="str">
        <f>IFERROR(__xludf.DUMMYFUNCTION("""COMPUTED_VALUE"""),"XN Chuối DP1")</f>
        <v>XN Chuối DP1</v>
      </c>
      <c r="D889" s="1076" t="str">
        <f>IFERROR(__xludf.DUMMYFUNCTION("""COMPUTED_VALUE"""),"THACO AGRI")</f>
        <v>THACO AGRI</v>
      </c>
      <c r="E889" s="1076"/>
      <c r="F889" s="1076"/>
      <c r="G889" s="1076"/>
      <c r="H889" s="1076" t="str">
        <f>IFERROR(__xludf.DUMMYFUNCTION("""COMPUTED_VALUE"""),"DxRxC: 3x1.6x1.2m")</f>
        <v>DxRxC: 3x1.6x1.2m</v>
      </c>
      <c r="I889" s="1076"/>
      <c r="J889" s="1076"/>
      <c r="K889" s="1076"/>
      <c r="L889" s="1076" t="str">
        <f>IFERROR(__xludf.DUMMYFUNCTION("""COMPUTED_VALUE"""),"KLH")</f>
        <v>KLH</v>
      </c>
    </row>
    <row r="890" customHeight="1" spans="1:12">
      <c r="A890" s="1089" t="str">
        <f>IFERROR(__xludf.DUMMYFUNCTION("""COMPUTED_VALUE"""),"XD1-MXM-006")</f>
        <v>XD1-MXM-006</v>
      </c>
      <c r="B890" s="1075" t="str">
        <f>IFERROR(__xludf.DUMMYFUNCTION("""COMPUTED_VALUE"""),"Rơ mooc gắn sau xe máy")</f>
        <v>Rơ mooc gắn sau xe máy</v>
      </c>
      <c r="C890" s="1076" t="str">
        <f>IFERROR(__xludf.DUMMYFUNCTION("""COMPUTED_VALUE"""),"XN Chuối DP1")</f>
        <v>XN Chuối DP1</v>
      </c>
      <c r="D890" s="1076" t="str">
        <f>IFERROR(__xludf.DUMMYFUNCTION("""COMPUTED_VALUE"""),"THACO AGRI")</f>
        <v>THACO AGRI</v>
      </c>
      <c r="E890" s="1076"/>
      <c r="F890" s="1076"/>
      <c r="G890" s="1076"/>
      <c r="H890" s="1076" t="str">
        <f>IFERROR(__xludf.DUMMYFUNCTION("""COMPUTED_VALUE"""),"DxRxC: 3x1.6x1.2m")</f>
        <v>DxRxC: 3x1.6x1.2m</v>
      </c>
      <c r="I890" s="1076"/>
      <c r="J890" s="1076"/>
      <c r="K890" s="1076"/>
      <c r="L890" s="1076" t="str">
        <f>IFERROR(__xludf.DUMMYFUNCTION("""COMPUTED_VALUE"""),"KLH")</f>
        <v>KLH</v>
      </c>
    </row>
    <row r="891" customHeight="1" spans="1:12">
      <c r="A891" s="1089" t="str">
        <f>IFERROR(__xludf.DUMMYFUNCTION("""COMPUTED_VALUE"""),"XD1-MXM-007")</f>
        <v>XD1-MXM-007</v>
      </c>
      <c r="B891" s="1075" t="str">
        <f>IFERROR(__xludf.DUMMYFUNCTION("""COMPUTED_VALUE"""),"Rơ mooc gắn sau xe máy")</f>
        <v>Rơ mooc gắn sau xe máy</v>
      </c>
      <c r="C891" s="1076" t="str">
        <f>IFERROR(__xludf.DUMMYFUNCTION("""COMPUTED_VALUE"""),"XN Chuối DP1")</f>
        <v>XN Chuối DP1</v>
      </c>
      <c r="D891" s="1076" t="str">
        <f>IFERROR(__xludf.DUMMYFUNCTION("""COMPUTED_VALUE"""),"THACO AGRI")</f>
        <v>THACO AGRI</v>
      </c>
      <c r="E891" s="1076"/>
      <c r="F891" s="1076"/>
      <c r="G891" s="1076"/>
      <c r="H891" s="1076" t="str">
        <f>IFERROR(__xludf.DUMMYFUNCTION("""COMPUTED_VALUE"""),"DxRxC: 3x1.6x1.2m")</f>
        <v>DxRxC: 3x1.6x1.2m</v>
      </c>
      <c r="I891" s="1076"/>
      <c r="J891" s="1076"/>
      <c r="K891" s="1076"/>
      <c r="L891" s="1076" t="str">
        <f>IFERROR(__xludf.DUMMYFUNCTION("""COMPUTED_VALUE"""),"KLH")</f>
        <v>KLH</v>
      </c>
    </row>
    <row r="892" customHeight="1" spans="1:12">
      <c r="A892" s="1089" t="str">
        <f>IFERROR(__xludf.DUMMYFUNCTION("""COMPUTED_VALUE"""),"XD1-MXM-008")</f>
        <v>XD1-MXM-008</v>
      </c>
      <c r="B892" s="1075" t="str">
        <f>IFERROR(__xludf.DUMMYFUNCTION("""COMPUTED_VALUE"""),"Rơ mooc gắn sau xe máy ")</f>
        <v>Rơ mooc gắn sau xe máy </v>
      </c>
      <c r="C892" s="1076" t="str">
        <f>IFERROR(__xludf.DUMMYFUNCTION("""COMPUTED_VALUE"""),"XN Chuối DP1")</f>
        <v>XN Chuối DP1</v>
      </c>
      <c r="D892" s="1076" t="str">
        <f>IFERROR(__xludf.DUMMYFUNCTION("""COMPUTED_VALUE"""),"THACO AGRI")</f>
        <v>THACO AGRI</v>
      </c>
      <c r="E892" s="1076"/>
      <c r="F892" s="1076"/>
      <c r="G892" s="1076"/>
      <c r="H892" s="1076"/>
      <c r="I892" s="1076"/>
      <c r="J892" s="1076"/>
      <c r="K892" s="1076"/>
      <c r="L892" s="1076" t="str">
        <f>IFERROR(__xludf.DUMMYFUNCTION("""COMPUTED_VALUE"""),"KLH")</f>
        <v>KLH</v>
      </c>
    </row>
    <row r="893" customHeight="1" spans="1:12">
      <c r="A893" s="1089" t="str">
        <f>IFERROR(__xludf.DUMMYFUNCTION("""COMPUTED_VALUE"""),"XD1-RMĐ-001")</f>
        <v>XD1-RMĐ-001</v>
      </c>
      <c r="B893" s="1075" t="str">
        <f>IFERROR(__xludf.DUMMYFUNCTION("""COMPUTED_VALUE"""),"Rơ mooc vận chuyển M.đào 03")</f>
        <v>Rơ mooc vận chuyển M.đào 03</v>
      </c>
      <c r="C893" s="1076" t="str">
        <f>IFERROR(__xludf.DUMMYFUNCTION("""COMPUTED_VALUE"""),"XN Chuối DP1")</f>
        <v>XN Chuối DP1</v>
      </c>
      <c r="D893" s="1076" t="str">
        <f>IFERROR(__xludf.DUMMYFUNCTION("""COMPUTED_VALUE"""),"THACO AGRI")</f>
        <v>THACO AGRI</v>
      </c>
      <c r="E893" s="1076"/>
      <c r="F893" s="1076"/>
      <c r="G893" s="1076"/>
      <c r="H893" s="1076" t="str">
        <f>IFERROR(__xludf.DUMMYFUNCTION("""COMPUTED_VALUE"""),"DxRxC: 6.1x2.4x0.9m")</f>
        <v>DxRxC: 6.1x2.4x0.9m</v>
      </c>
      <c r="I893" s="1076"/>
      <c r="J893" s="1076"/>
      <c r="K893" s="1076"/>
      <c r="L893" s="1076" t="str">
        <f>IFERROR(__xludf.DUMMYFUNCTION("""COMPUTED_VALUE"""),"KLH")</f>
        <v>KLH</v>
      </c>
    </row>
    <row r="894" customHeight="1" spans="1:12">
      <c r="A894" s="1089" t="str">
        <f>IFERROR(__xludf.DUMMYFUNCTION("""COMPUTED_VALUE"""),"XD1-GMĐ-001")</f>
        <v>XD1-GMĐ-001</v>
      </c>
      <c r="B894" s="1075" t="str">
        <f>IFERROR(__xludf.DUMMYFUNCTION("""COMPUTED_VALUE"""),"Gàu máy đào 05 (50*100*100cm)")</f>
        <v>Gàu máy đào 05 (50*100*100cm)</v>
      </c>
      <c r="C894" s="1076" t="str">
        <f>IFERROR(__xludf.DUMMYFUNCTION("""COMPUTED_VALUE"""),"XN Chuối DP1")</f>
        <v>XN Chuối DP1</v>
      </c>
      <c r="D894" s="1076" t="str">
        <f>IFERROR(__xludf.DUMMYFUNCTION("""COMPUTED_VALUE"""),"THACO AGRI")</f>
        <v>THACO AGRI</v>
      </c>
      <c r="E894" s="1076"/>
      <c r="F894" s="1076"/>
      <c r="G894" s="1076"/>
      <c r="H894" s="1076"/>
      <c r="I894" s="1076"/>
      <c r="J894" s="1076"/>
      <c r="K894" s="1076"/>
      <c r="L894" s="1076" t="str">
        <f>IFERROR(__xludf.DUMMYFUNCTION("""COMPUTED_VALUE"""),"KLH")</f>
        <v>KLH</v>
      </c>
    </row>
    <row r="895" customHeight="1" spans="1:12">
      <c r="A895" s="1089" t="str">
        <f>IFERROR(__xludf.DUMMYFUNCTION("""COMPUTED_VALUE"""),"XD1-GMĐ-002")</f>
        <v>XD1-GMĐ-002</v>
      </c>
      <c r="B895" s="1075" t="str">
        <f>IFERROR(__xludf.DUMMYFUNCTION("""COMPUTED_VALUE"""),"Gàu máy đào 05 (50*100*150cm)")</f>
        <v>Gàu máy đào 05 (50*100*150cm)</v>
      </c>
      <c r="C895" s="1076" t="str">
        <f>IFERROR(__xludf.DUMMYFUNCTION("""COMPUTED_VALUE"""),"XN Chuối DP1")</f>
        <v>XN Chuối DP1</v>
      </c>
      <c r="D895" s="1076" t="str">
        <f>IFERROR(__xludf.DUMMYFUNCTION("""COMPUTED_VALUE"""),"THACO AGRI")</f>
        <v>THACO AGRI</v>
      </c>
      <c r="E895" s="1076"/>
      <c r="F895" s="1076"/>
      <c r="G895" s="1076"/>
      <c r="H895" s="1076"/>
      <c r="I895" s="1076"/>
      <c r="J895" s="1076"/>
      <c r="K895" s="1076"/>
      <c r="L895" s="1076" t="str">
        <f>IFERROR(__xludf.DUMMYFUNCTION("""COMPUTED_VALUE"""),"KLH")</f>
        <v>KLH</v>
      </c>
    </row>
    <row r="896" customHeight="1" spans="1:12">
      <c r="A896" s="1089" t="str">
        <f>IFERROR(__xludf.DUMMYFUNCTION("""COMPUTED_VALUE"""),"XD1-GMĐ-003")</f>
        <v>XD1-GMĐ-003</v>
      </c>
      <c r="B896" s="1075" t="str">
        <f>IFERROR(__xludf.DUMMYFUNCTION("""COMPUTED_VALUE"""),"Gàu máy đào 03 (40*80*100cm)")</f>
        <v>Gàu máy đào 03 (40*80*100cm)</v>
      </c>
      <c r="C896" s="1076" t="str">
        <f>IFERROR(__xludf.DUMMYFUNCTION("""COMPUTED_VALUE"""),"XN Chuối DP1")</f>
        <v>XN Chuối DP1</v>
      </c>
      <c r="D896" s="1076" t="str">
        <f>IFERROR(__xludf.DUMMYFUNCTION("""COMPUTED_VALUE"""),"THACO AGRI")</f>
        <v>THACO AGRI</v>
      </c>
      <c r="E896" s="1076"/>
      <c r="F896" s="1076"/>
      <c r="G896" s="1076"/>
      <c r="H896" s="1076"/>
      <c r="I896" s="1076"/>
      <c r="J896" s="1076"/>
      <c r="K896" s="1076"/>
      <c r="L896" s="1076" t="str">
        <f>IFERROR(__xludf.DUMMYFUNCTION("""COMPUTED_VALUE"""),"KLH")</f>
        <v>KLH</v>
      </c>
    </row>
    <row r="897" customHeight="1" spans="1:12">
      <c r="A897" s="1089" t="str">
        <f>IFERROR(__xludf.DUMMYFUNCTION("""COMPUTED_VALUE"""),"XD1-GĐH-001")</f>
        <v>XD1-GĐH-001</v>
      </c>
      <c r="B897" s="1075" t="str">
        <f>IFERROR(__xludf.DUMMYFUNCTION("""COMPUTED_VALUE"""),"Gàu định hình đào mương thoát nước")</f>
        <v>Gàu định hình đào mương thoát nước</v>
      </c>
      <c r="C897" s="1076" t="str">
        <f>IFERROR(__xludf.DUMMYFUNCTION("""COMPUTED_VALUE"""),"XN Chuối DP1")</f>
        <v>XN Chuối DP1</v>
      </c>
      <c r="D897" s="1076" t="str">
        <f>IFERROR(__xludf.DUMMYFUNCTION("""COMPUTED_VALUE"""),"THACO AGRI")</f>
        <v>THACO AGRI</v>
      </c>
      <c r="E897" s="1076"/>
      <c r="F897" s="1076"/>
      <c r="G897" s="1076" t="str">
        <f>IFERROR(__xludf.DUMMYFUNCTION("""COMPUTED_VALUE"""),"2025")</f>
        <v>2025</v>
      </c>
      <c r="H897" s="1076" t="str">
        <f>IFERROR(__xludf.DUMMYFUNCTION("""COMPUTED_VALUE"""),"350x200x400")</f>
        <v>350x200x400</v>
      </c>
      <c r="I897" s="1076"/>
      <c r="J897" s="1076"/>
      <c r="K897" s="1076"/>
      <c r="L897" s="1076" t="str">
        <f>IFERROR(__xludf.DUMMYFUNCTION("""COMPUTED_VALUE"""),"KLH")</f>
        <v>KLH</v>
      </c>
    </row>
    <row r="898" customHeight="1" spans="1:12">
      <c r="A898" s="1089" t="str">
        <f>IFERROR(__xludf.DUMMYFUNCTION("""COMPUTED_VALUE"""),"XD1-GĐH-002")</f>
        <v>XD1-GĐH-002</v>
      </c>
      <c r="B898" s="1075" t="str">
        <f>IFERROR(__xludf.DUMMYFUNCTION("""COMPUTED_VALUE"""),"Gàu định hình đào mương thoát nước")</f>
        <v>Gàu định hình đào mương thoát nước</v>
      </c>
      <c r="C898" s="1076" t="str">
        <f>IFERROR(__xludf.DUMMYFUNCTION("""COMPUTED_VALUE"""),"XN Chuối DP1")</f>
        <v>XN Chuối DP1</v>
      </c>
      <c r="D898" s="1076" t="str">
        <f>IFERROR(__xludf.DUMMYFUNCTION("""COMPUTED_VALUE"""),"THACO AGRI")</f>
        <v>THACO AGRI</v>
      </c>
      <c r="E898" s="1076"/>
      <c r="F898" s="1076"/>
      <c r="G898" s="1076" t="str">
        <f>IFERROR(__xludf.DUMMYFUNCTION("""COMPUTED_VALUE"""),"2025")</f>
        <v>2025</v>
      </c>
      <c r="H898" s="1076" t="str">
        <f>IFERROR(__xludf.DUMMYFUNCTION("""COMPUTED_VALUE"""),"350x200x400")</f>
        <v>350x200x400</v>
      </c>
      <c r="I898" s="1076"/>
      <c r="J898" s="1076"/>
      <c r="K898" s="1076"/>
      <c r="L898" s="1076" t="str">
        <f>IFERROR(__xludf.DUMMYFUNCTION("""COMPUTED_VALUE"""),"KLH")</f>
        <v>KLH</v>
      </c>
    </row>
    <row r="899" customHeight="1" spans="1:12">
      <c r="A899" s="1089" t="str">
        <f>IFERROR(__xludf.DUMMYFUNCTION("""COMPUTED_VALUE"""),"XD1-GĐH-003")</f>
        <v>XD1-GĐH-003</v>
      </c>
      <c r="B899" s="1075" t="str">
        <f>IFERROR(__xludf.DUMMYFUNCTION("""COMPUTED_VALUE"""),"Gàu định hình đào mương thoát nước")</f>
        <v>Gàu định hình đào mương thoát nước</v>
      </c>
      <c r="C899" s="1076" t="str">
        <f>IFERROR(__xludf.DUMMYFUNCTION("""COMPUTED_VALUE"""),"XN Chuối DP1")</f>
        <v>XN Chuối DP1</v>
      </c>
      <c r="D899" s="1076" t="str">
        <f>IFERROR(__xludf.DUMMYFUNCTION("""COMPUTED_VALUE"""),"THACO AGRI")</f>
        <v>THACO AGRI</v>
      </c>
      <c r="E899" s="1076"/>
      <c r="F899" s="1076"/>
      <c r="G899" s="1076" t="str">
        <f>IFERROR(__xludf.DUMMYFUNCTION("""COMPUTED_VALUE"""),"2025")</f>
        <v>2025</v>
      </c>
      <c r="H899" s="1076" t="str">
        <f>IFERROR(__xludf.DUMMYFUNCTION("""COMPUTED_VALUE"""),"350x200x400")</f>
        <v>350x200x400</v>
      </c>
      <c r="I899" s="1076"/>
      <c r="J899" s="1076"/>
      <c r="K899" s="1076"/>
      <c r="L899" s="1076" t="str">
        <f>IFERROR(__xludf.DUMMYFUNCTION("""COMPUTED_VALUE"""),"KLH")</f>
        <v>KLH</v>
      </c>
    </row>
    <row r="900" customHeight="1" spans="1:12">
      <c r="A900" s="1089" t="str">
        <f>IFERROR(__xludf.DUMMYFUNCTION("""COMPUTED_VALUE"""),"XD1-GĐH-004")</f>
        <v>XD1-GĐH-004</v>
      </c>
      <c r="B900" s="1075" t="str">
        <f>IFERROR(__xludf.DUMMYFUNCTION("""COMPUTED_VALUE"""),"Gàu định hình đào mương thoát nước")</f>
        <v>Gàu định hình đào mương thoát nước</v>
      </c>
      <c r="C900" s="1076" t="str">
        <f>IFERROR(__xludf.DUMMYFUNCTION("""COMPUTED_VALUE"""),"XN Chuối DP1")</f>
        <v>XN Chuối DP1</v>
      </c>
      <c r="D900" s="1076" t="str">
        <f>IFERROR(__xludf.DUMMYFUNCTION("""COMPUTED_VALUE"""),"THACO AGRI")</f>
        <v>THACO AGRI</v>
      </c>
      <c r="E900" s="1076"/>
      <c r="F900" s="1076"/>
      <c r="G900" s="1076" t="str">
        <f>IFERROR(__xludf.DUMMYFUNCTION("""COMPUTED_VALUE"""),"2025")</f>
        <v>2025</v>
      </c>
      <c r="H900" s="1076" t="str">
        <f>IFERROR(__xludf.DUMMYFUNCTION("""COMPUTED_VALUE"""),"350x200x400")</f>
        <v>350x200x400</v>
      </c>
      <c r="I900" s="1076"/>
      <c r="J900" s="1076"/>
      <c r="K900" s="1076"/>
      <c r="L900" s="1076" t="str">
        <f>IFERROR(__xludf.DUMMYFUNCTION("""COMPUTED_VALUE"""),"KLH")</f>
        <v>KLH</v>
      </c>
    </row>
    <row r="901" customHeight="1" spans="1:12">
      <c r="A901" s="1089" t="str">
        <f>IFERROR(__xludf.DUMMYFUNCTION("""COMPUTED_VALUE"""),"XD1-GĐH-005")</f>
        <v>XD1-GĐH-005</v>
      </c>
      <c r="B901" s="1075" t="str">
        <f>IFERROR(__xludf.DUMMYFUNCTION("""COMPUTED_VALUE"""),"Gàu định hình đào mương thoát nước")</f>
        <v>Gàu định hình đào mương thoát nước</v>
      </c>
      <c r="C901" s="1076" t="str">
        <f>IFERROR(__xludf.DUMMYFUNCTION("""COMPUTED_VALUE"""),"XN Chuối DP1")</f>
        <v>XN Chuối DP1</v>
      </c>
      <c r="D901" s="1076" t="str">
        <f>IFERROR(__xludf.DUMMYFUNCTION("""COMPUTED_VALUE"""),"THACO AGRI")</f>
        <v>THACO AGRI</v>
      </c>
      <c r="E901" s="1076"/>
      <c r="F901" s="1076"/>
      <c r="G901" s="1076" t="str">
        <f>IFERROR(__xludf.DUMMYFUNCTION("""COMPUTED_VALUE"""),"2025")</f>
        <v>2025</v>
      </c>
      <c r="H901" s="1076" t="str">
        <f>IFERROR(__xludf.DUMMYFUNCTION("""COMPUTED_VALUE"""),"350x200x400")</f>
        <v>350x200x400</v>
      </c>
      <c r="I901" s="1076"/>
      <c r="J901" s="1076"/>
      <c r="K901" s="1076"/>
      <c r="L901" s="1076" t="str">
        <f>IFERROR(__xludf.DUMMYFUNCTION("""COMPUTED_VALUE"""),"KLH")</f>
        <v>KLH</v>
      </c>
    </row>
    <row r="902" customHeight="1" spans="1:12">
      <c r="A902" s="1089" t="str">
        <f>IFERROR(__xludf.DUMMYFUNCTION("""COMPUTED_VALUE"""),"XD1-GĐH-006")</f>
        <v>XD1-GĐH-006</v>
      </c>
      <c r="B902" s="1075" t="str">
        <f>IFERROR(__xludf.DUMMYFUNCTION("""COMPUTED_VALUE"""),"Gàu định hình đào mương thoát nước")</f>
        <v>Gàu định hình đào mương thoát nước</v>
      </c>
      <c r="C902" s="1076" t="str">
        <f>IFERROR(__xludf.DUMMYFUNCTION("""COMPUTED_VALUE"""),"XN Chuối DP1")</f>
        <v>XN Chuối DP1</v>
      </c>
      <c r="D902" s="1076" t="str">
        <f>IFERROR(__xludf.DUMMYFUNCTION("""COMPUTED_VALUE"""),"THACO AGRI")</f>
        <v>THACO AGRI</v>
      </c>
      <c r="E902" s="1076"/>
      <c r="F902" s="1076"/>
      <c r="G902" s="1076" t="str">
        <f>IFERROR(__xludf.DUMMYFUNCTION("""COMPUTED_VALUE"""),"2025")</f>
        <v>2025</v>
      </c>
      <c r="H902" s="1076" t="str">
        <f>IFERROR(__xludf.DUMMYFUNCTION("""COMPUTED_VALUE"""),"350x200x400")</f>
        <v>350x200x400</v>
      </c>
      <c r="I902" s="1076"/>
      <c r="J902" s="1076"/>
      <c r="K902" s="1076"/>
      <c r="L902" s="1076" t="str">
        <f>IFERROR(__xludf.DUMMYFUNCTION("""COMPUTED_VALUE"""),"KLH")</f>
        <v>KLH</v>
      </c>
    </row>
    <row r="903" customHeight="1" spans="1:12">
      <c r="A903" s="1089" t="str">
        <f>IFERROR(__xludf.DUMMYFUNCTION("""COMPUTED_VALUE"""),"XD1-MNK-001")</f>
        <v>XD1-MNK-001</v>
      </c>
      <c r="B903" s="1075" t="str">
        <f>IFERROR(__xludf.DUMMYFUNCTION("""COMPUTED_VALUE"""),"Máy nén khí 5HP")</f>
        <v>Máy nén khí 5HP</v>
      </c>
      <c r="C903" s="1076" t="str">
        <f>IFERROR(__xludf.DUMMYFUNCTION("""COMPUTED_VALUE"""),"XN Chuối DP1")</f>
        <v>XN Chuối DP1</v>
      </c>
      <c r="D903" s="1076" t="str">
        <f>IFERROR(__xludf.DUMMYFUNCTION("""COMPUTED_VALUE"""),"CAMBODIA")</f>
        <v>CAMBODIA</v>
      </c>
      <c r="E903" s="1076" t="str">
        <f>IFERROR(__xludf.DUMMYFUNCTION("""COMPUTED_VALUE"""),"SWAN-5HP")</f>
        <v>SWAN-5HP</v>
      </c>
      <c r="F903" s="1076"/>
      <c r="G903" s="1076"/>
      <c r="H903" s="1076" t="str">
        <f>IFERROR(__xludf.DUMMYFUNCTION("""COMPUTED_VALUE"""),"125psi")</f>
        <v>125psi</v>
      </c>
      <c r="I903" s="1076"/>
      <c r="J903" s="1076"/>
      <c r="K903" s="1076"/>
      <c r="L903" s="1076" t="str">
        <f>IFERROR(__xludf.DUMMYFUNCTION("""COMPUTED_VALUE"""),"KLH")</f>
        <v>KLH</v>
      </c>
    </row>
    <row r="904" customHeight="1" spans="1:12">
      <c r="A904" s="1089" t="str">
        <f>IFERROR(__xludf.DUMMYFUNCTION("""COMPUTED_VALUE"""),"XD1-DNL-001")</f>
        <v>XD1-DNL-001</v>
      </c>
      <c r="B904" s="1075" t="str">
        <f>IFERROR(__xludf.DUMMYFUNCTION("""COMPUTED_VALUE"""),"Thiết bị nén lá chuối khô")</f>
        <v>Thiết bị nén lá chuối khô</v>
      </c>
      <c r="C904" s="1076" t="str">
        <f>IFERROR(__xludf.DUMMYFUNCTION("""COMPUTED_VALUE"""),"XN Chuối DP1")</f>
        <v>XN Chuối DP1</v>
      </c>
      <c r="D904" s="1076" t="str">
        <f>IFERROR(__xludf.DUMMYFUNCTION("""COMPUTED_VALUE"""),"THACO AGRI")</f>
        <v>THACO AGRI</v>
      </c>
      <c r="E904" s="1076" t="str">
        <f>IFERROR(__xludf.DUMMYFUNCTION("""COMPUTED_VALUE"""),"THACOAGRI")</f>
        <v>THACOAGRI</v>
      </c>
      <c r="F904" s="1076"/>
      <c r="G904" s="1076" t="str">
        <f>IFERROR(__xludf.DUMMYFUNCTION("""COMPUTED_VALUE"""),"2024")</f>
        <v>2024</v>
      </c>
      <c r="H904" s="1076" t="str">
        <f>IFERROR(__xludf.DUMMYFUNCTION("""COMPUTED_VALUE"""),"3,8x2x3,6m")</f>
        <v>3,8x2x3,6m</v>
      </c>
      <c r="I904" s="1076"/>
      <c r="J904" s="1076"/>
      <c r="K904" s="1076"/>
      <c r="L904" s="1076" t="str">
        <f>IFERROR(__xludf.DUMMYFUNCTION("""COMPUTED_VALUE"""),"KLH")</f>
        <v>KLH</v>
      </c>
    </row>
    <row r="905" customHeight="1" spans="1:12">
      <c r="A905" s="1089" t="str">
        <f>IFERROR(__xludf.DUMMYFUNCTION("""COMPUTED_VALUE"""),"XD1-TBG-001")</f>
        <v>XD1-TBG-001</v>
      </c>
      <c r="B905" s="1075" t="str">
        <f>IFERROR(__xludf.DUMMYFUNCTION("""COMPUTED_VALUE"""),"Thiết bị gắp lá chuối")</f>
        <v>Thiết bị gắp lá chuối</v>
      </c>
      <c r="C905" s="1076" t="str">
        <f>IFERROR(__xludf.DUMMYFUNCTION("""COMPUTED_VALUE"""),"XN Chuối DP1")</f>
        <v>XN Chuối DP1</v>
      </c>
      <c r="D905" s="1076" t="str">
        <f>IFERROR(__xludf.DUMMYFUNCTION("""COMPUTED_VALUE"""),"THACO AGRI")</f>
        <v>THACO AGRI</v>
      </c>
      <c r="E905" s="1076"/>
      <c r="F905" s="1076"/>
      <c r="G905" s="1076"/>
      <c r="H905" s="1076" t="str">
        <f>IFERROR(__xludf.DUMMYFUNCTION("""COMPUTED_VALUE"""),"Dài 1m x Rộng 0.35m")</f>
        <v>Dài 1m x Rộng 0.35m</v>
      </c>
      <c r="I905" s="1076"/>
      <c r="J905" s="1076"/>
      <c r="K905" s="1076"/>
      <c r="L905" s="1076" t="str">
        <f>IFERROR(__xludf.DUMMYFUNCTION("""COMPUTED_VALUE"""),"KLH")</f>
        <v>KLH</v>
      </c>
    </row>
    <row r="906" customHeight="1" spans="1:12">
      <c r="A906" s="1089" t="str">
        <f>IFERROR(__xludf.DUMMYFUNCTION("""COMPUTED_VALUE"""),"XD1-MKC-001")</f>
        <v>XD1-MKC-001</v>
      </c>
      <c r="B906" s="1075" t="str">
        <f>IFERROR(__xludf.DUMMYFUNCTION("""COMPUTED_VALUE"""),"Máy kéo chuối (Xăng)")</f>
        <v>Máy kéo chuối (Xăng)</v>
      </c>
      <c r="C906" s="1076" t="str">
        <f>IFERROR(__xludf.DUMMYFUNCTION("""COMPUTED_VALUE"""),"XN Chuối DP1")</f>
        <v>XN Chuối DP1</v>
      </c>
      <c r="D906" s="1076" t="str">
        <f>IFERROR(__xludf.DUMMYFUNCTION("""COMPUTED_VALUE"""),"DREAM")</f>
        <v>DREAM</v>
      </c>
      <c r="E906" s="1076" t="str">
        <f>IFERROR(__xludf.DUMMYFUNCTION("""COMPUTED_VALUE"""),"CGH-MKC-DREAM")</f>
        <v>CGH-MKC-DREAM</v>
      </c>
      <c r="F906" s="1076"/>
      <c r="G906" s="1076" t="str">
        <f>IFERROR(__xludf.DUMMYFUNCTION("""COMPUTED_VALUE"""),"2025")</f>
        <v>2025</v>
      </c>
      <c r="H906" s="1076"/>
      <c r="I906" s="1076" t="str">
        <f>IFERROR(__xludf.DUMMYFUNCTION("""COMPUTED_VALUE"""),"10")</f>
        <v>10</v>
      </c>
      <c r="J906" s="1076"/>
      <c r="K906" s="1076">
        <f>IFERROR(__xludf.DUMMYFUNCTION("""COMPUTED_VALUE"""),0.56)</f>
        <v>0.56</v>
      </c>
      <c r="L906" s="1076" t="str">
        <f>IFERROR(__xludf.DUMMYFUNCTION("""COMPUTED_VALUE"""),"KLH")</f>
        <v>KLH</v>
      </c>
    </row>
    <row r="907" customHeight="1" spans="1:12">
      <c r="A907" s="1089" t="str">
        <f>IFERROR(__xludf.DUMMYFUNCTION("""COMPUTED_VALUE"""),"XD1-MKC-002")</f>
        <v>XD1-MKC-002</v>
      </c>
      <c r="B907" s="1075" t="str">
        <f>IFERROR(__xludf.DUMMYFUNCTION("""COMPUTED_VALUE"""),"Máy kéo chuối (Xăng)")</f>
        <v>Máy kéo chuối (Xăng)</v>
      </c>
      <c r="C907" s="1076" t="str">
        <f>IFERROR(__xludf.DUMMYFUNCTION("""COMPUTED_VALUE"""),"XN Chuối DP1")</f>
        <v>XN Chuối DP1</v>
      </c>
      <c r="D907" s="1076" t="str">
        <f>IFERROR(__xludf.DUMMYFUNCTION("""COMPUTED_VALUE"""),"DREAM")</f>
        <v>DREAM</v>
      </c>
      <c r="E907" s="1076" t="str">
        <f>IFERROR(__xludf.DUMMYFUNCTION("""COMPUTED_VALUE"""),"CGH-MKC-DREAM")</f>
        <v>CGH-MKC-DREAM</v>
      </c>
      <c r="F907" s="1076"/>
      <c r="G907" s="1076" t="str">
        <f>IFERROR(__xludf.DUMMYFUNCTION("""COMPUTED_VALUE"""),"2025")</f>
        <v>2025</v>
      </c>
      <c r="H907" s="1076"/>
      <c r="I907" s="1076" t="str">
        <f>IFERROR(__xludf.DUMMYFUNCTION("""COMPUTED_VALUE"""),"11")</f>
        <v>11</v>
      </c>
      <c r="J907" s="1076"/>
      <c r="K907" s="1076">
        <f>IFERROR(__xludf.DUMMYFUNCTION("""COMPUTED_VALUE"""),0.56)</f>
        <v>0.56</v>
      </c>
      <c r="L907" s="1076" t="str">
        <f>IFERROR(__xludf.DUMMYFUNCTION("""COMPUTED_VALUE"""),"KLH")</f>
        <v>KLH</v>
      </c>
    </row>
    <row r="908" customHeight="1" spans="1:12">
      <c r="A908" s="1089" t="str">
        <f>IFERROR(__xludf.DUMMYFUNCTION("""COMPUTED_VALUE"""),"XD1-MKC-003")</f>
        <v>XD1-MKC-003</v>
      </c>
      <c r="B908" s="1075" t="str">
        <f>IFERROR(__xludf.DUMMYFUNCTION("""COMPUTED_VALUE"""),"Máy kéo chuối (Xăng)")</f>
        <v>Máy kéo chuối (Xăng)</v>
      </c>
      <c r="C908" s="1076" t="str">
        <f>IFERROR(__xludf.DUMMYFUNCTION("""COMPUTED_VALUE"""),"XN Chuối DP1")</f>
        <v>XN Chuối DP1</v>
      </c>
      <c r="D908" s="1076" t="str">
        <f>IFERROR(__xludf.DUMMYFUNCTION("""COMPUTED_VALUE"""),"DREAM")</f>
        <v>DREAM</v>
      </c>
      <c r="E908" s="1076" t="str">
        <f>IFERROR(__xludf.DUMMYFUNCTION("""COMPUTED_VALUE"""),"CGH-MKC-DREAM")</f>
        <v>CGH-MKC-DREAM</v>
      </c>
      <c r="F908" s="1076"/>
      <c r="G908" s="1076" t="str">
        <f>IFERROR(__xludf.DUMMYFUNCTION("""COMPUTED_VALUE"""),"2024")</f>
        <v>2024</v>
      </c>
      <c r="H908" s="1076" t="str">
        <f>IFERROR(__xludf.DUMMYFUNCTION("""COMPUTED_VALUE"""),"9.25HP")</f>
        <v>9.25HP</v>
      </c>
      <c r="I908" s="1076" t="str">
        <f>IFERROR(__xludf.DUMMYFUNCTION("""COMPUTED_VALUE"""),"13L05694")</f>
        <v>13L05694</v>
      </c>
      <c r="J908" s="1076"/>
      <c r="K908" s="1076">
        <f>IFERROR(__xludf.DUMMYFUNCTION("""COMPUTED_VALUE"""),0.56)</f>
        <v>0.56</v>
      </c>
      <c r="L908" s="1076" t="str">
        <f>IFERROR(__xludf.DUMMYFUNCTION("""COMPUTED_VALUE"""),"KLH")</f>
        <v>KLH</v>
      </c>
    </row>
    <row r="909" customHeight="1" spans="1:12">
      <c r="A909" s="1089" t="str">
        <f>IFERROR(__xludf.DUMMYFUNCTION("""COMPUTED_VALUE"""),"XD1-MKC-004")</f>
        <v>XD1-MKC-004</v>
      </c>
      <c r="B909" s="1075" t="str">
        <f>IFERROR(__xludf.DUMMYFUNCTION("""COMPUTED_VALUE"""),"Máy kéo chuối (Xăng)")</f>
        <v>Máy kéo chuối (Xăng)</v>
      </c>
      <c r="C909" s="1076" t="str">
        <f>IFERROR(__xludf.DUMMYFUNCTION("""COMPUTED_VALUE"""),"XN Chuối DP1")</f>
        <v>XN Chuối DP1</v>
      </c>
      <c r="D909" s="1076" t="str">
        <f>IFERROR(__xludf.DUMMYFUNCTION("""COMPUTED_VALUE"""),"DREAM")</f>
        <v>DREAM</v>
      </c>
      <c r="E909" s="1076" t="str">
        <f>IFERROR(__xludf.DUMMYFUNCTION("""COMPUTED_VALUE"""),"CGH-MKC-DREAM")</f>
        <v>CGH-MKC-DREAM</v>
      </c>
      <c r="F909" s="1076"/>
      <c r="G909" s="1076" t="str">
        <f>IFERROR(__xludf.DUMMYFUNCTION("""COMPUTED_VALUE"""),"2025")</f>
        <v>2025</v>
      </c>
      <c r="H909" s="1076" t="str">
        <f>IFERROR(__xludf.DUMMYFUNCTION("""COMPUTED_VALUE"""),"9.25HP")</f>
        <v>9.25HP</v>
      </c>
      <c r="I909" s="1076" t="str">
        <f>IFERROR(__xludf.DUMMYFUNCTION("""COMPUTED_VALUE"""),"11h02011A")</f>
        <v>11h02011A</v>
      </c>
      <c r="J909" s="1076"/>
      <c r="K909" s="1076">
        <f>IFERROR(__xludf.DUMMYFUNCTION("""COMPUTED_VALUE"""),0.56)</f>
        <v>0.56</v>
      </c>
      <c r="L909" s="1076" t="str">
        <f>IFERROR(__xludf.DUMMYFUNCTION("""COMPUTED_VALUE"""),"KLH")</f>
        <v>KLH</v>
      </c>
    </row>
    <row r="910" customHeight="1" spans="1:12">
      <c r="A910" s="1089" t="str">
        <f>IFERROR(__xludf.DUMMYFUNCTION("""COMPUTED_VALUE"""),"XD1-MKC-005")</f>
        <v>XD1-MKC-005</v>
      </c>
      <c r="B910" s="1075" t="str">
        <f>IFERROR(__xludf.DUMMYFUNCTION("""COMPUTED_VALUE"""),"Máy kéo chuối (Xăng)")</f>
        <v>Máy kéo chuối (Xăng)</v>
      </c>
      <c r="C910" s="1076" t="str">
        <f>IFERROR(__xludf.DUMMYFUNCTION("""COMPUTED_VALUE"""),"XN Chuối DP1")</f>
        <v>XN Chuối DP1</v>
      </c>
      <c r="D910" s="1076" t="str">
        <f>IFERROR(__xludf.DUMMYFUNCTION("""COMPUTED_VALUE"""),"DREAM")</f>
        <v>DREAM</v>
      </c>
      <c r="E910" s="1076" t="str">
        <f>IFERROR(__xludf.DUMMYFUNCTION("""COMPUTED_VALUE"""),"CGH-MKC-DREAM")</f>
        <v>CGH-MKC-DREAM</v>
      </c>
      <c r="F910" s="1076"/>
      <c r="G910" s="1076" t="str">
        <f>IFERROR(__xludf.DUMMYFUNCTION("""COMPUTED_VALUE"""),"2025")</f>
        <v>2025</v>
      </c>
      <c r="H910" s="1076" t="str">
        <f>IFERROR(__xludf.DUMMYFUNCTION("""COMPUTED_VALUE"""),"9.25HP")</f>
        <v>9.25HP</v>
      </c>
      <c r="I910" s="1076"/>
      <c r="J910" s="1076"/>
      <c r="K910" s="1076">
        <f>IFERROR(__xludf.DUMMYFUNCTION("""COMPUTED_VALUE"""),0.56)</f>
        <v>0.56</v>
      </c>
      <c r="L910" s="1076" t="str">
        <f>IFERROR(__xludf.DUMMYFUNCTION("""COMPUTED_VALUE"""),"KLH")</f>
        <v>KLH</v>
      </c>
    </row>
    <row r="911" customHeight="1" spans="1:12">
      <c r="A911" s="1089" t="str">
        <f>IFERROR(__xludf.DUMMYFUNCTION("""COMPUTED_VALUE"""),"XD1-MKC-006")</f>
        <v>XD1-MKC-006</v>
      </c>
      <c r="B911" s="1075" t="str">
        <f>IFERROR(__xludf.DUMMYFUNCTION("""COMPUTED_VALUE"""),"Máy kéo chuối (Xăng)")</f>
        <v>Máy kéo chuối (Xăng)</v>
      </c>
      <c r="C911" s="1076" t="str">
        <f>IFERROR(__xludf.DUMMYFUNCTION("""COMPUTED_VALUE"""),"XN Chuối DP1")</f>
        <v>XN Chuối DP1</v>
      </c>
      <c r="D911" s="1076" t="str">
        <f>IFERROR(__xludf.DUMMYFUNCTION("""COMPUTED_VALUE"""),"DREAM")</f>
        <v>DREAM</v>
      </c>
      <c r="E911" s="1076" t="str">
        <f>IFERROR(__xludf.DUMMYFUNCTION("""COMPUTED_VALUE"""),"XKC-11")</f>
        <v>XKC-11</v>
      </c>
      <c r="F911" s="1076"/>
      <c r="G911" s="1076" t="str">
        <f>IFERROR(__xludf.DUMMYFUNCTION("""COMPUTED_VALUE"""),"2025")</f>
        <v>2025</v>
      </c>
      <c r="H911" s="1076" t="str">
        <f>IFERROR(__xludf.DUMMYFUNCTION("""COMPUTED_VALUE"""),"9.25HP")</f>
        <v>9.25HP</v>
      </c>
      <c r="I911" s="1076" t="str">
        <f>IFERROR(__xludf.DUMMYFUNCTION("""COMPUTED_VALUE"""),"11")</f>
        <v>11</v>
      </c>
      <c r="J911" s="1076"/>
      <c r="K911" s="1076">
        <f>IFERROR(__xludf.DUMMYFUNCTION("""COMPUTED_VALUE"""),0.56)</f>
        <v>0.56</v>
      </c>
      <c r="L911" s="1076" t="str">
        <f>IFERROR(__xludf.DUMMYFUNCTION("""COMPUTED_VALUE"""),"KLH")</f>
        <v>KLH</v>
      </c>
    </row>
    <row r="912" customHeight="1" spans="1:12">
      <c r="A912" s="1089" t="str">
        <f>IFERROR(__xludf.DUMMYFUNCTION("""COMPUTED_VALUE"""),"XD1-MKC-007")</f>
        <v>XD1-MKC-007</v>
      </c>
      <c r="B912" s="1075" t="str">
        <f>IFERROR(__xludf.DUMMYFUNCTION("""COMPUTED_VALUE"""),"Máy kéo chuối (Xăng)")</f>
        <v>Máy kéo chuối (Xăng)</v>
      </c>
      <c r="C912" s="1076" t="str">
        <f>IFERROR(__xludf.DUMMYFUNCTION("""COMPUTED_VALUE"""),"XN Chuối DP1")</f>
        <v>XN Chuối DP1</v>
      </c>
      <c r="D912" s="1076" t="str">
        <f>IFERROR(__xludf.DUMMYFUNCTION("""COMPUTED_VALUE"""),"DREAM")</f>
        <v>DREAM</v>
      </c>
      <c r="E912" s="1076" t="str">
        <f>IFERROR(__xludf.DUMMYFUNCTION("""COMPUTED_VALUE"""),"XKC-11")</f>
        <v>XKC-11</v>
      </c>
      <c r="F912" s="1076"/>
      <c r="G912" s="1076" t="str">
        <f>IFERROR(__xludf.DUMMYFUNCTION("""COMPUTED_VALUE"""),"2025")</f>
        <v>2025</v>
      </c>
      <c r="H912" s="1076" t="str">
        <f>IFERROR(__xludf.DUMMYFUNCTION("""COMPUTED_VALUE"""),"9.25HP")</f>
        <v>9.25HP</v>
      </c>
      <c r="I912" s="1076" t="str">
        <f>IFERROR(__xludf.DUMMYFUNCTION("""COMPUTED_VALUE"""),"11")</f>
        <v>11</v>
      </c>
      <c r="J912" s="1076"/>
      <c r="K912" s="1076">
        <f>IFERROR(__xludf.DUMMYFUNCTION("""COMPUTED_VALUE"""),0.56)</f>
        <v>0.56</v>
      </c>
      <c r="L912" s="1076" t="str">
        <f>IFERROR(__xludf.DUMMYFUNCTION("""COMPUTED_VALUE"""),"KLH")</f>
        <v>KLH</v>
      </c>
    </row>
    <row r="913" customHeight="1" spans="1:12">
      <c r="A913" s="1089" t="str">
        <f>IFERROR(__xludf.DUMMYFUNCTION("""COMPUTED_VALUE"""),"XD1-MKC-008")</f>
        <v>XD1-MKC-008</v>
      </c>
      <c r="B913" s="1075" t="str">
        <f>IFERROR(__xludf.DUMMYFUNCTION("""COMPUTED_VALUE"""),"Máy kéo chuối (Xăng)")</f>
        <v>Máy kéo chuối (Xăng)</v>
      </c>
      <c r="C913" s="1076" t="str">
        <f>IFERROR(__xludf.DUMMYFUNCTION("""COMPUTED_VALUE"""),"XN Chuối DP1")</f>
        <v>XN Chuối DP1</v>
      </c>
      <c r="D913" s="1076" t="str">
        <f>IFERROR(__xludf.DUMMYFUNCTION("""COMPUTED_VALUE"""),"DREAM")</f>
        <v>DREAM</v>
      </c>
      <c r="E913" s="1076" t="str">
        <f>IFERROR(__xludf.DUMMYFUNCTION("""COMPUTED_VALUE"""),"XKC-16")</f>
        <v>XKC-16</v>
      </c>
      <c r="F913" s="1076"/>
      <c r="G913" s="1076" t="str">
        <f>IFERROR(__xludf.DUMMYFUNCTION("""COMPUTED_VALUE"""),"2025")</f>
        <v>2025</v>
      </c>
      <c r="H913" s="1076" t="str">
        <f>IFERROR(__xludf.DUMMYFUNCTION("""COMPUTED_VALUE"""),"9,5 HP")</f>
        <v>9,5 HP</v>
      </c>
      <c r="I913" s="1076" t="str">
        <f>IFERROR(__xludf.DUMMYFUNCTION("""COMPUTED_VALUE"""),"18")</f>
        <v>18</v>
      </c>
      <c r="J913" s="1076"/>
      <c r="K913" s="1076">
        <f>IFERROR(__xludf.DUMMYFUNCTION("""COMPUTED_VALUE"""),0.56)</f>
        <v>0.56</v>
      </c>
      <c r="L913" s="1076" t="str">
        <f>IFERROR(__xludf.DUMMYFUNCTION("""COMPUTED_VALUE"""),"KLH")</f>
        <v>KLH</v>
      </c>
    </row>
    <row r="914" customHeight="1" spans="1:12">
      <c r="A914" s="1089" t="str">
        <f>IFERROR(__xludf.DUMMYFUNCTION("""COMPUTED_VALUE"""),"XD1-MKC-009")</f>
        <v>XD1-MKC-009</v>
      </c>
      <c r="B914" s="1075" t="str">
        <f>IFERROR(__xludf.DUMMYFUNCTION("""COMPUTED_VALUE"""),"Máy kéo chuối (Xăng)")</f>
        <v>Máy kéo chuối (Xăng)</v>
      </c>
      <c r="C914" s="1076" t="str">
        <f>IFERROR(__xludf.DUMMYFUNCTION("""COMPUTED_VALUE"""),"XN Chuối DP1")</f>
        <v>XN Chuối DP1</v>
      </c>
      <c r="D914" s="1076" t="str">
        <f>IFERROR(__xludf.DUMMYFUNCTION("""COMPUTED_VALUE"""),"THACO AGRI")</f>
        <v>THACO AGRI</v>
      </c>
      <c r="E914" s="1076" t="str">
        <f>IFERROR(__xludf.DUMMYFUNCTION("""COMPUTED_VALUE"""),"XKC-24")</f>
        <v>XKC-24</v>
      </c>
      <c r="F914" s="1076"/>
      <c r="G914" s="1076" t="str">
        <f>IFERROR(__xludf.DUMMYFUNCTION("""COMPUTED_VALUE"""),"2025")</f>
        <v>2025</v>
      </c>
      <c r="H914" s="1076" t="str">
        <f>IFERROR(__xludf.DUMMYFUNCTION("""COMPUTED_VALUE"""),"9,5 HP")</f>
        <v>9,5 HP</v>
      </c>
      <c r="I914" s="1076" t="str">
        <f>IFERROR(__xludf.DUMMYFUNCTION("""COMPUTED_VALUE"""),"24")</f>
        <v>24</v>
      </c>
      <c r="J914" s="1076"/>
      <c r="K914" s="1076">
        <f>IFERROR(__xludf.DUMMYFUNCTION("""COMPUTED_VALUE"""),0.56)</f>
        <v>0.56</v>
      </c>
      <c r="L914" s="1076" t="str">
        <f>IFERROR(__xludf.DUMMYFUNCTION("""COMPUTED_VALUE"""),"KLH")</f>
        <v>KLH</v>
      </c>
    </row>
    <row r="915" customHeight="1" spans="1:12">
      <c r="A915" s="1089" t="str">
        <f>IFERROR(__xludf.DUMMYFUNCTION("""COMPUTED_VALUE"""),"XD1-MKC-010")</f>
        <v>XD1-MKC-010</v>
      </c>
      <c r="B915" s="1075" t="str">
        <f>IFERROR(__xludf.DUMMYFUNCTION("""COMPUTED_VALUE"""),"Máy kéo chuối (Xăng)")</f>
        <v>Máy kéo chuối (Xăng)</v>
      </c>
      <c r="C915" s="1076" t="str">
        <f>IFERROR(__xludf.DUMMYFUNCTION("""COMPUTED_VALUE"""),"XN Chuối DP1")</f>
        <v>XN Chuối DP1</v>
      </c>
      <c r="D915" s="1076" t="str">
        <f>IFERROR(__xludf.DUMMYFUNCTION("""COMPUTED_VALUE"""),"DREAM")</f>
        <v>DREAM</v>
      </c>
      <c r="E915" s="1076" t="str">
        <f>IFERROR(__xludf.DUMMYFUNCTION("""COMPUTED_VALUE"""),"XKC-30")</f>
        <v>XKC-30</v>
      </c>
      <c r="F915" s="1076"/>
      <c r="G915" s="1076" t="str">
        <f>IFERROR(__xludf.DUMMYFUNCTION("""COMPUTED_VALUE"""),"2025")</f>
        <v>2025</v>
      </c>
      <c r="H915" s="1076"/>
      <c r="I915" s="1076"/>
      <c r="J915" s="1076"/>
      <c r="K915" s="1076">
        <f>IFERROR(__xludf.DUMMYFUNCTION("""COMPUTED_VALUE"""),0.56)</f>
        <v>0.56</v>
      </c>
      <c r="L915" s="1076" t="str">
        <f>IFERROR(__xludf.DUMMYFUNCTION("""COMPUTED_VALUE"""),"KLH")</f>
        <v>KLH</v>
      </c>
    </row>
    <row r="916" customHeight="1" spans="1:12">
      <c r="A916" s="1089" t="str">
        <f>IFERROR(__xludf.DUMMYFUNCTION("""COMPUTED_VALUE"""),"XD1-MKC-011")</f>
        <v>XD1-MKC-011</v>
      </c>
      <c r="B916" s="1075" t="str">
        <f>IFERROR(__xludf.DUMMYFUNCTION("""COMPUTED_VALUE"""),"Máy kéo chuối (Xăng)")</f>
        <v>Máy kéo chuối (Xăng)</v>
      </c>
      <c r="C916" s="1076" t="str">
        <f>IFERROR(__xludf.DUMMYFUNCTION("""COMPUTED_VALUE"""),"XN Chuối DP1")</f>
        <v>XN Chuối DP1</v>
      </c>
      <c r="D916" s="1076" t="str">
        <f>IFERROR(__xludf.DUMMYFUNCTION("""COMPUTED_VALUE"""),"DREAM")</f>
        <v>DREAM</v>
      </c>
      <c r="E916" s="1076" t="str">
        <f>IFERROR(__xludf.DUMMYFUNCTION("""COMPUTED_VALUE"""),"XKC-28")</f>
        <v>XKC-28</v>
      </c>
      <c r="F916" s="1076"/>
      <c r="G916" s="1076" t="str">
        <f>IFERROR(__xludf.DUMMYFUNCTION("""COMPUTED_VALUE"""),"2025")</f>
        <v>2025</v>
      </c>
      <c r="H916" s="1076"/>
      <c r="I916" s="1076"/>
      <c r="J916" s="1076"/>
      <c r="K916" s="1076">
        <f>IFERROR(__xludf.DUMMYFUNCTION("""COMPUTED_VALUE"""),0.56)</f>
        <v>0.56</v>
      </c>
      <c r="L916" s="1076" t="str">
        <f>IFERROR(__xludf.DUMMYFUNCTION("""COMPUTED_VALUE"""),"KLH")</f>
        <v>KLH</v>
      </c>
    </row>
    <row r="917" customHeight="1" spans="1:12">
      <c r="A917" s="1089" t="str">
        <f>IFERROR(__xludf.DUMMYFUNCTION("""COMPUTED_VALUE"""),"XD1-MKC-012")</f>
        <v>XD1-MKC-012</v>
      </c>
      <c r="B917" s="1075" t="str">
        <f>IFERROR(__xludf.DUMMYFUNCTION("""COMPUTED_VALUE"""),"Máy kéo chuối (Xăng)")</f>
        <v>Máy kéo chuối (Xăng)</v>
      </c>
      <c r="C917" s="1076" t="str">
        <f>IFERROR(__xludf.DUMMYFUNCTION("""COMPUTED_VALUE"""),"XN Chuối DP1")</f>
        <v>XN Chuối DP1</v>
      </c>
      <c r="D917" s="1076" t="str">
        <f>IFERROR(__xludf.DUMMYFUNCTION("""COMPUTED_VALUE"""),"DREAM")</f>
        <v>DREAM</v>
      </c>
      <c r="E917" s="1076" t="str">
        <f>IFERROR(__xludf.DUMMYFUNCTION("""COMPUTED_VALUE"""),"XKC-033")</f>
        <v>XKC-033</v>
      </c>
      <c r="F917" s="1076"/>
      <c r="G917" s="1076" t="str">
        <f>IFERROR(__xludf.DUMMYFUNCTION("""COMPUTED_VALUE"""),"2025")</f>
        <v>2025</v>
      </c>
      <c r="H917" s="1076"/>
      <c r="I917" s="1076"/>
      <c r="J917" s="1076"/>
      <c r="K917" s="1076">
        <f>IFERROR(__xludf.DUMMYFUNCTION("""COMPUTED_VALUE"""),0.56)</f>
        <v>0.56</v>
      </c>
      <c r="L917" s="1076" t="str">
        <f>IFERROR(__xludf.DUMMYFUNCTION("""COMPUTED_VALUE"""),"KLH")</f>
        <v>KLH</v>
      </c>
    </row>
    <row r="918" customHeight="1" spans="1:12">
      <c r="A918" s="1089" t="str">
        <f>IFERROR(__xludf.DUMMYFUNCTION("""COMPUTED_VALUE"""),"XD1-MKC-013")</f>
        <v>XD1-MKC-013</v>
      </c>
      <c r="B918" s="1075" t="str">
        <f>IFERROR(__xludf.DUMMYFUNCTION("""COMPUTED_VALUE"""),"Máy kéo chuối (Xăng)")</f>
        <v>Máy kéo chuối (Xăng)</v>
      </c>
      <c r="C918" s="1076" t="str">
        <f>IFERROR(__xludf.DUMMYFUNCTION("""COMPUTED_VALUE"""),"XN Chuối DP1")</f>
        <v>XN Chuối DP1</v>
      </c>
      <c r="D918" s="1076" t="str">
        <f>IFERROR(__xludf.DUMMYFUNCTION("""COMPUTED_VALUE"""),"DREAM")</f>
        <v>DREAM</v>
      </c>
      <c r="E918" s="1076" t="str">
        <f>IFERROR(__xludf.DUMMYFUNCTION("""COMPUTED_VALUE"""),"XKC-39")</f>
        <v>XKC-39</v>
      </c>
      <c r="F918" s="1076"/>
      <c r="G918" s="1076" t="str">
        <f>IFERROR(__xludf.DUMMYFUNCTION("""COMPUTED_VALUE"""),"2025")</f>
        <v>2025</v>
      </c>
      <c r="H918" s="1076"/>
      <c r="I918" s="1076"/>
      <c r="J918" s="1076"/>
      <c r="K918" s="1076">
        <f>IFERROR(__xludf.DUMMYFUNCTION("""COMPUTED_VALUE"""),0.56)</f>
        <v>0.56</v>
      </c>
      <c r="L918" s="1076" t="str">
        <f>IFERROR(__xludf.DUMMYFUNCTION("""COMPUTED_VALUE"""),"KLH")</f>
        <v>KLH</v>
      </c>
    </row>
    <row r="919" customHeight="1" spans="1:12">
      <c r="A919" s="1089" t="str">
        <f>IFERROR(__xludf.DUMMYFUNCTION("""COMPUTED_VALUE"""),"XD1-MKC-014")</f>
        <v>XD1-MKC-014</v>
      </c>
      <c r="B919" s="1075" t="str">
        <f>IFERROR(__xludf.DUMMYFUNCTION("""COMPUTED_VALUE"""),"Máy kéo chuối (Xăng)")</f>
        <v>Máy kéo chuối (Xăng)</v>
      </c>
      <c r="C919" s="1076" t="str">
        <f>IFERROR(__xludf.DUMMYFUNCTION("""COMPUTED_VALUE"""),"XN Chuối DP1")</f>
        <v>XN Chuối DP1</v>
      </c>
      <c r="D919" s="1076" t="str">
        <f>IFERROR(__xludf.DUMMYFUNCTION("""COMPUTED_VALUE"""),"DREAM")</f>
        <v>DREAM</v>
      </c>
      <c r="E919" s="1076" t="str">
        <f>IFERROR(__xludf.DUMMYFUNCTION("""COMPUTED_VALUE"""),"XKC-46")</f>
        <v>XKC-46</v>
      </c>
      <c r="F919" s="1076"/>
      <c r="G919" s="1076" t="str">
        <f>IFERROR(__xludf.DUMMYFUNCTION("""COMPUTED_VALUE"""),"2025")</f>
        <v>2025</v>
      </c>
      <c r="H919" s="1076"/>
      <c r="I919" s="1076"/>
      <c r="J919" s="1076"/>
      <c r="K919" s="1076">
        <f>IFERROR(__xludf.DUMMYFUNCTION("""COMPUTED_VALUE"""),0.56)</f>
        <v>0.56</v>
      </c>
      <c r="L919" s="1076" t="str">
        <f>IFERROR(__xludf.DUMMYFUNCTION("""COMPUTED_VALUE"""),"KLH")</f>
        <v>KLH</v>
      </c>
    </row>
    <row r="920" customHeight="1" spans="1:12">
      <c r="A920" s="1089" t="str">
        <f>IFERROR(__xludf.DUMMYFUNCTION("""COMPUTED_VALUE"""),"XD1-MKC-015")</f>
        <v>XD1-MKC-015</v>
      </c>
      <c r="B920" s="1075" t="str">
        <f>IFERROR(__xludf.DUMMYFUNCTION("""COMPUTED_VALUE"""),"Máy kéo chuối (Xăng)")</f>
        <v>Máy kéo chuối (Xăng)</v>
      </c>
      <c r="C920" s="1076" t="str">
        <f>IFERROR(__xludf.DUMMYFUNCTION("""COMPUTED_VALUE"""),"XN Chuối DP1")</f>
        <v>XN Chuối DP1</v>
      </c>
      <c r="D920" s="1076" t="str">
        <f>IFERROR(__xludf.DUMMYFUNCTION("""COMPUTED_VALUE"""),"DREAM")</f>
        <v>DREAM</v>
      </c>
      <c r="E920" s="1076" t="str">
        <f>IFERROR(__xludf.DUMMYFUNCTION("""COMPUTED_VALUE"""),"XKC-51")</f>
        <v>XKC-51</v>
      </c>
      <c r="F920" s="1076"/>
      <c r="G920" s="1076" t="str">
        <f>IFERROR(__xludf.DUMMYFUNCTION("""COMPUTED_VALUE"""),"2025")</f>
        <v>2025</v>
      </c>
      <c r="H920" s="1076"/>
      <c r="I920" s="1076"/>
      <c r="J920" s="1076"/>
      <c r="K920" s="1076">
        <f>IFERROR(__xludf.DUMMYFUNCTION("""COMPUTED_VALUE"""),0.56)</f>
        <v>0.56</v>
      </c>
      <c r="L920" s="1076" t="str">
        <f>IFERROR(__xludf.DUMMYFUNCTION("""COMPUTED_VALUE"""),"KLH")</f>
        <v>KLH</v>
      </c>
    </row>
    <row r="921" customHeight="1" spans="1:12">
      <c r="A921" s="1089" t="str">
        <f>IFERROR(__xludf.DUMMYFUNCTION("""COMPUTED_VALUE"""),"XD1-MKC-016")</f>
        <v>XD1-MKC-016</v>
      </c>
      <c r="B921" s="1075" t="str">
        <f>IFERROR(__xludf.DUMMYFUNCTION("""COMPUTED_VALUE"""),"Máy kéo chuối (Xăng)")</f>
        <v>Máy kéo chuối (Xăng)</v>
      </c>
      <c r="C921" s="1076" t="str">
        <f>IFERROR(__xludf.DUMMYFUNCTION("""COMPUTED_VALUE"""),"XN Chuối DP1")</f>
        <v>XN Chuối DP1</v>
      </c>
      <c r="D921" s="1076" t="str">
        <f>IFERROR(__xludf.DUMMYFUNCTION("""COMPUTED_VALUE"""),"DREAM")</f>
        <v>DREAM</v>
      </c>
      <c r="E921" s="1076" t="str">
        <f>IFERROR(__xludf.DUMMYFUNCTION("""COMPUTED_VALUE"""),"XKC-54")</f>
        <v>XKC-54</v>
      </c>
      <c r="F921" s="1076"/>
      <c r="G921" s="1076" t="str">
        <f>IFERROR(__xludf.DUMMYFUNCTION("""COMPUTED_VALUE"""),"2025")</f>
        <v>2025</v>
      </c>
      <c r="H921" s="1076"/>
      <c r="I921" s="1076"/>
      <c r="J921" s="1076"/>
      <c r="K921" s="1076">
        <f>IFERROR(__xludf.DUMMYFUNCTION("""COMPUTED_VALUE"""),0.56)</f>
        <v>0.56</v>
      </c>
      <c r="L921" s="1076" t="str">
        <f>IFERROR(__xludf.DUMMYFUNCTION("""COMPUTED_VALUE"""),"KLH")</f>
        <v>KLH</v>
      </c>
    </row>
    <row r="922" customHeight="1" spans="1:12">
      <c r="A922" s="1089" t="str">
        <f>IFERROR(__xludf.DUMMYFUNCTION("""COMPUTED_VALUE"""),"XD1-MBC-001")</f>
        <v>XD1-MBC-001</v>
      </c>
      <c r="B922" s="1075" t="str">
        <f>IFERROR(__xludf.DUMMYFUNCTION("""COMPUTED_VALUE"""),"Máy băm công nghiệp cố định 15Kw")</f>
        <v>Máy băm công nghiệp cố định 15Kw</v>
      </c>
      <c r="C922" s="1076" t="str">
        <f>IFERROR(__xludf.DUMMYFUNCTION("""COMPUTED_VALUE"""),"XN Chuối DP1")</f>
        <v>XN Chuối DP1</v>
      </c>
      <c r="D922" s="1076" t="str">
        <f>IFERROR(__xludf.DUMMYFUNCTION("""COMPUTED_VALUE"""),"THACO AGRI")</f>
        <v>THACO AGRI</v>
      </c>
      <c r="E922" s="1076" t="str">
        <f>IFERROR(__xludf.DUMMYFUNCTION("""COMPUTED_VALUE"""),"15Kw")</f>
        <v>15Kw</v>
      </c>
      <c r="F922" s="1076"/>
      <c r="G922" s="1076"/>
      <c r="H922" s="1076"/>
      <c r="I922" s="1076"/>
      <c r="J922" s="1076"/>
      <c r="K922" s="1076"/>
      <c r="L922" s="1076" t="str">
        <f>IFERROR(__xludf.DUMMYFUNCTION("""COMPUTED_VALUE"""),"KLH")</f>
        <v>KLH</v>
      </c>
    </row>
    <row r="923" customHeight="1" spans="1:12">
      <c r="A923" s="1089" t="str">
        <f>IFERROR(__xludf.DUMMYFUNCTION("""COMPUTED_VALUE"""),"XD1-MBC-003")</f>
        <v>XD1-MBC-003</v>
      </c>
      <c r="B923" s="1075" t="str">
        <f>IFERROR(__xludf.DUMMYFUNCTION("""COMPUTED_VALUE"""),"Máy băm cố định")</f>
        <v>Máy băm cố định</v>
      </c>
      <c r="C923" s="1076" t="str">
        <f>IFERROR(__xludf.DUMMYFUNCTION("""COMPUTED_VALUE"""),"XN Chuối DP1")</f>
        <v>XN Chuối DP1</v>
      </c>
      <c r="D923" s="1076" t="str">
        <f>IFERROR(__xludf.DUMMYFUNCTION("""COMPUTED_VALUE"""),"THACO AGRI")</f>
        <v>THACO AGRI</v>
      </c>
      <c r="E923" s="1076"/>
      <c r="F923" s="1076"/>
      <c r="G923" s="1076"/>
      <c r="H923" s="1076"/>
      <c r="I923" s="1076"/>
      <c r="J923" s="1076"/>
      <c r="K923" s="1076"/>
      <c r="L923" s="1076" t="str">
        <f>IFERROR(__xludf.DUMMYFUNCTION("""COMPUTED_VALUE"""),"KLH")</f>
        <v>KLH</v>
      </c>
    </row>
    <row r="924" customHeight="1" spans="1:12">
      <c r="A924" s="1089" t="str">
        <f>IFERROR(__xludf.DUMMYFUNCTION("""COMPUTED_VALUE"""),"XD1-MPT-001")</f>
        <v>XD1-MPT-001</v>
      </c>
      <c r="B924" s="1075" t="str">
        <f>IFERROR(__xludf.DUMMYFUNCTION("""COMPUTED_VALUE"""),"Máy phun thuốc RELOAD 7045")</f>
        <v>Máy phun thuốc RELOAD 7045</v>
      </c>
      <c r="C924" s="1076" t="str">
        <f>IFERROR(__xludf.DUMMYFUNCTION("""COMPUTED_VALUE"""),"XN Chuối DP1")</f>
        <v>XN Chuối DP1</v>
      </c>
      <c r="D924" s="1076" t="str">
        <f>IFERROR(__xludf.DUMMYFUNCTION("""COMPUTED_VALUE"""),"RELOAD")</f>
        <v>RELOAD</v>
      </c>
      <c r="E924" s="1076" t="str">
        <f>IFERROR(__xludf.DUMMYFUNCTION("""COMPUTED_VALUE"""),"7045")</f>
        <v>7045</v>
      </c>
      <c r="F924" s="1076"/>
      <c r="G924" s="1076" t="str">
        <f>IFERROR(__xludf.DUMMYFUNCTION("""COMPUTED_VALUE"""),"2025")</f>
        <v>2025</v>
      </c>
      <c r="H924" s="1076" t="str">
        <f>IFERROR(__xludf.DUMMYFUNCTION("""COMPUTED_VALUE"""),"7 Hp")</f>
        <v>7 Hp</v>
      </c>
      <c r="I924" s="1076" t="str">
        <f>IFERROR(__xludf.DUMMYFUNCTION("""COMPUTED_VALUE"""),"H0058740")</f>
        <v>H0058740</v>
      </c>
      <c r="J924" s="1076"/>
      <c r="K924" s="1076">
        <f>IFERROR(__xludf.DUMMYFUNCTION("""COMPUTED_VALUE"""),1.2)</f>
        <v>1.2</v>
      </c>
      <c r="L924" s="1076" t="str">
        <f>IFERROR(__xludf.DUMMYFUNCTION("""COMPUTED_VALUE"""),"KLH")</f>
        <v>KLH</v>
      </c>
    </row>
    <row r="925" customHeight="1" spans="1:12">
      <c r="A925" s="1089" t="str">
        <f>IFERROR(__xludf.DUMMYFUNCTION("""COMPUTED_VALUE"""),"XD1-MPT-002")</f>
        <v>XD1-MPT-002</v>
      </c>
      <c r="B925" s="1075" t="str">
        <f>IFERROR(__xludf.DUMMYFUNCTION("""COMPUTED_VALUE"""),"Máy phun thuốc RELOAD 7045")</f>
        <v>Máy phun thuốc RELOAD 7045</v>
      </c>
      <c r="C925" s="1076" t="str">
        <f>IFERROR(__xludf.DUMMYFUNCTION("""COMPUTED_VALUE"""),"XN Chuối DP1")</f>
        <v>XN Chuối DP1</v>
      </c>
      <c r="D925" s="1076" t="str">
        <f>IFERROR(__xludf.DUMMYFUNCTION("""COMPUTED_VALUE"""),"RELOAD")</f>
        <v>RELOAD</v>
      </c>
      <c r="E925" s="1076" t="str">
        <f>IFERROR(__xludf.DUMMYFUNCTION("""COMPUTED_VALUE"""),"7045")</f>
        <v>7045</v>
      </c>
      <c r="F925" s="1076"/>
      <c r="G925" s="1076" t="str">
        <f>IFERROR(__xludf.DUMMYFUNCTION("""COMPUTED_VALUE"""),"2025")</f>
        <v>2025</v>
      </c>
      <c r="H925" s="1076" t="str">
        <f>IFERROR(__xludf.DUMMYFUNCTION("""COMPUTED_VALUE"""),"7 Hp")</f>
        <v>7 Hp</v>
      </c>
      <c r="I925" s="1076" t="str">
        <f>IFERROR(__xludf.DUMMYFUNCTION("""COMPUTED_VALUE"""),"H0058744")</f>
        <v>H0058744</v>
      </c>
      <c r="J925" s="1076"/>
      <c r="K925" s="1076">
        <f>IFERROR(__xludf.DUMMYFUNCTION("""COMPUTED_VALUE"""),1.2)</f>
        <v>1.2</v>
      </c>
      <c r="L925" s="1076" t="str">
        <f>IFERROR(__xludf.DUMMYFUNCTION("""COMPUTED_VALUE"""),"KLH")</f>
        <v>KLH</v>
      </c>
    </row>
    <row r="926" customHeight="1" spans="1:12">
      <c r="A926" s="1089" t="str">
        <f>IFERROR(__xludf.DUMMYFUNCTION("""COMPUTED_VALUE"""),"XD1-MPT-003")</f>
        <v>XD1-MPT-003</v>
      </c>
      <c r="B926" s="1075" t="str">
        <f>IFERROR(__xludf.DUMMYFUNCTION("""COMPUTED_VALUE"""),"Máy phun thuốc RELOAD 7045")</f>
        <v>Máy phun thuốc RELOAD 7045</v>
      </c>
      <c r="C926" s="1076" t="str">
        <f>IFERROR(__xludf.DUMMYFUNCTION("""COMPUTED_VALUE"""),"XN Chuối DP1")</f>
        <v>XN Chuối DP1</v>
      </c>
      <c r="D926" s="1076" t="str">
        <f>IFERROR(__xludf.DUMMYFUNCTION("""COMPUTED_VALUE"""),"RELOAD")</f>
        <v>RELOAD</v>
      </c>
      <c r="E926" s="1076" t="str">
        <f>IFERROR(__xludf.DUMMYFUNCTION("""COMPUTED_VALUE"""),"7045")</f>
        <v>7045</v>
      </c>
      <c r="F926" s="1076"/>
      <c r="G926" s="1076" t="str">
        <f>IFERROR(__xludf.DUMMYFUNCTION("""COMPUTED_VALUE"""),"2025")</f>
        <v>2025</v>
      </c>
      <c r="H926" s="1076" t="str">
        <f>IFERROR(__xludf.DUMMYFUNCTION("""COMPUTED_VALUE"""),"7 Hp")</f>
        <v>7 Hp</v>
      </c>
      <c r="I926" s="1076" t="str">
        <f>IFERROR(__xludf.DUMMYFUNCTION("""COMPUTED_VALUE"""),"H0058759")</f>
        <v>H0058759</v>
      </c>
      <c r="J926" s="1076"/>
      <c r="K926" s="1076">
        <f>IFERROR(__xludf.DUMMYFUNCTION("""COMPUTED_VALUE"""),1.2)</f>
        <v>1.2</v>
      </c>
      <c r="L926" s="1076" t="str">
        <f>IFERROR(__xludf.DUMMYFUNCTION("""COMPUTED_VALUE"""),"KLH")</f>
        <v>KLH</v>
      </c>
    </row>
    <row r="927" customHeight="1" spans="1:12">
      <c r="A927" s="1089" t="str">
        <f>IFERROR(__xludf.DUMMYFUNCTION("""COMPUTED_VALUE"""),"XD1-MPT-004")</f>
        <v>XD1-MPT-004</v>
      </c>
      <c r="B927" s="1075" t="str">
        <f>IFERROR(__xludf.DUMMYFUNCTION("""COMPUTED_VALUE"""),"Máy phun thuốc RELOAD 7045")</f>
        <v>Máy phun thuốc RELOAD 7045</v>
      </c>
      <c r="C927" s="1076" t="str">
        <f>IFERROR(__xludf.DUMMYFUNCTION("""COMPUTED_VALUE"""),"XN Chuối DP1")</f>
        <v>XN Chuối DP1</v>
      </c>
      <c r="D927" s="1076" t="str">
        <f>IFERROR(__xludf.DUMMYFUNCTION("""COMPUTED_VALUE"""),"RELOAD")</f>
        <v>RELOAD</v>
      </c>
      <c r="E927" s="1076" t="str">
        <f>IFERROR(__xludf.DUMMYFUNCTION("""COMPUTED_VALUE"""),"7045")</f>
        <v>7045</v>
      </c>
      <c r="F927" s="1076"/>
      <c r="G927" s="1076" t="str">
        <f>IFERROR(__xludf.DUMMYFUNCTION("""COMPUTED_VALUE"""),"2025")</f>
        <v>2025</v>
      </c>
      <c r="H927" s="1076" t="str">
        <f>IFERROR(__xludf.DUMMYFUNCTION("""COMPUTED_VALUE"""),"7 Hp")</f>
        <v>7 Hp</v>
      </c>
      <c r="I927" s="1076" t="str">
        <f>IFERROR(__xludf.DUMMYFUNCTION("""COMPUTED_VALUE"""),"H0058786")</f>
        <v>H0058786</v>
      </c>
      <c r="J927" s="1076"/>
      <c r="K927" s="1076">
        <f>IFERROR(__xludf.DUMMYFUNCTION("""COMPUTED_VALUE"""),1.2)</f>
        <v>1.2</v>
      </c>
      <c r="L927" s="1076" t="str">
        <f>IFERROR(__xludf.DUMMYFUNCTION("""COMPUTED_VALUE"""),"KLH")</f>
        <v>KLH</v>
      </c>
    </row>
    <row r="928" customHeight="1" spans="1:12">
      <c r="A928" s="1089" t="str">
        <f>IFERROR(__xludf.DUMMYFUNCTION("""COMPUTED_VALUE"""),"Xí nghiệp chuối DP2")</f>
        <v>Xí nghiệp chuối DP2</v>
      </c>
      <c r="B928" s="1075"/>
      <c r="C928" s="1076"/>
      <c r="D928" s="1076"/>
      <c r="E928" s="1076"/>
      <c r="F928" s="1076"/>
      <c r="G928" s="1076"/>
      <c r="H928" s="1076"/>
      <c r="I928" s="1076"/>
      <c r="J928" s="1076"/>
      <c r="K928" s="1076"/>
      <c r="L928" s="1076" t="str">
        <f>IFERROR(__xludf.DUMMYFUNCTION("""COMPUTED_VALUE"""),"KLH")</f>
        <v>KLH</v>
      </c>
    </row>
    <row r="929" customHeight="1" spans="1:12">
      <c r="A929" s="1089" t="str">
        <f>IFERROR(__xludf.DUMMYFUNCTION("""COMPUTED_VALUE"""),"XD2-RMC-002")</f>
        <v>XD2-RMC-002</v>
      </c>
      <c r="B929" s="1075" t="str">
        <f>IFERROR(__xludf.DUMMYFUNCTION("""COMPUTED_VALUE"""),"Rơ mooc thu hoạch")</f>
        <v>Rơ mooc thu hoạch</v>
      </c>
      <c r="C929" s="1076" t="str">
        <f>IFERROR(__xludf.DUMMYFUNCTION("""COMPUTED_VALUE"""),"XN Chuối DP2")</f>
        <v>XN Chuối DP2</v>
      </c>
      <c r="D929" s="1076" t="str">
        <f>IFERROR(__xludf.DUMMYFUNCTION("""COMPUTED_VALUE"""),"THACO AGRI")</f>
        <v>THACO AGRI</v>
      </c>
      <c r="E929" s="1076"/>
      <c r="F929" s="1076"/>
      <c r="G929" s="1076"/>
      <c r="H929" s="1076"/>
      <c r="I929" s="1076" t="str">
        <f>IFERROR(__xludf.DUMMYFUNCTION("""COMPUTED_VALUE"""),"40")</f>
        <v>40</v>
      </c>
      <c r="J929" s="1076"/>
      <c r="K929" s="1076"/>
      <c r="L929" s="1076" t="str">
        <f>IFERROR(__xludf.DUMMYFUNCTION("""COMPUTED_VALUE"""),"KLH")</f>
        <v>KLH</v>
      </c>
    </row>
    <row r="930" customHeight="1" spans="1:12">
      <c r="A930" s="1089" t="str">
        <f>IFERROR(__xludf.DUMMYFUNCTION("""COMPUTED_VALUE"""),"XD2-RMC-003")</f>
        <v>XD2-RMC-003</v>
      </c>
      <c r="B930" s="1075" t="str">
        <f>IFERROR(__xludf.DUMMYFUNCTION("""COMPUTED_VALUE"""),"Rơ mooc thu hoạch")</f>
        <v>Rơ mooc thu hoạch</v>
      </c>
      <c r="C930" s="1076" t="str">
        <f>IFERROR(__xludf.DUMMYFUNCTION("""COMPUTED_VALUE"""),"XN Chuối DP2")</f>
        <v>XN Chuối DP2</v>
      </c>
      <c r="D930" s="1076" t="str">
        <f>IFERROR(__xludf.DUMMYFUNCTION("""COMPUTED_VALUE"""),"THACO AGRI")</f>
        <v>THACO AGRI</v>
      </c>
      <c r="E930" s="1076"/>
      <c r="F930" s="1076"/>
      <c r="G930" s="1076"/>
      <c r="H930" s="1076"/>
      <c r="I930" s="1076" t="str">
        <f>IFERROR(__xludf.DUMMYFUNCTION("""COMPUTED_VALUE"""),"40")</f>
        <v>40</v>
      </c>
      <c r="J930" s="1076"/>
      <c r="K930" s="1076"/>
      <c r="L930" s="1076" t="str">
        <f>IFERROR(__xludf.DUMMYFUNCTION("""COMPUTED_VALUE"""),"KLH")</f>
        <v>KLH</v>
      </c>
    </row>
    <row r="931" customHeight="1" spans="1:12">
      <c r="A931" s="1089" t="str">
        <f>IFERROR(__xludf.DUMMYFUNCTION("""COMPUTED_VALUE"""),"XD2-RMC-004")</f>
        <v>XD2-RMC-004</v>
      </c>
      <c r="B931" s="1075" t="str">
        <f>IFERROR(__xludf.DUMMYFUNCTION("""COMPUTED_VALUE"""),"Rơ mooc thu hoạch")</f>
        <v>Rơ mooc thu hoạch</v>
      </c>
      <c r="C931" s="1076" t="str">
        <f>IFERROR(__xludf.DUMMYFUNCTION("""COMPUTED_VALUE"""),"XN Chuối DP2")</f>
        <v>XN Chuối DP2</v>
      </c>
      <c r="D931" s="1076" t="str">
        <f>IFERROR(__xludf.DUMMYFUNCTION("""COMPUTED_VALUE"""),"THACO AGRI")</f>
        <v>THACO AGRI</v>
      </c>
      <c r="E931" s="1076"/>
      <c r="F931" s="1076"/>
      <c r="G931" s="1076"/>
      <c r="H931" s="1076"/>
      <c r="I931" s="1076" t="str">
        <f>IFERROR(__xludf.DUMMYFUNCTION("""COMPUTED_VALUE"""),"40")</f>
        <v>40</v>
      </c>
      <c r="J931" s="1076"/>
      <c r="K931" s="1076"/>
      <c r="L931" s="1076" t="str">
        <f>IFERROR(__xludf.DUMMYFUNCTION("""COMPUTED_VALUE"""),"KLH")</f>
        <v>KLH</v>
      </c>
    </row>
    <row r="932" customHeight="1" spans="1:12">
      <c r="A932" s="1089" t="str">
        <f>IFERROR(__xludf.DUMMYFUNCTION("""COMPUTED_VALUE"""),"XD2-RMC-005")</f>
        <v>XD2-RMC-005</v>
      </c>
      <c r="B932" s="1075" t="str">
        <f>IFERROR(__xludf.DUMMYFUNCTION("""COMPUTED_VALUE"""),"Rơ mooc thu hoạch")</f>
        <v>Rơ mooc thu hoạch</v>
      </c>
      <c r="C932" s="1076" t="str">
        <f>IFERROR(__xludf.DUMMYFUNCTION("""COMPUTED_VALUE"""),"XN Chuối DP2")</f>
        <v>XN Chuối DP2</v>
      </c>
      <c r="D932" s="1076" t="str">
        <f>IFERROR(__xludf.DUMMYFUNCTION("""COMPUTED_VALUE"""),"THACO AGRI")</f>
        <v>THACO AGRI</v>
      </c>
      <c r="E932" s="1076"/>
      <c r="F932" s="1076"/>
      <c r="G932" s="1076"/>
      <c r="H932" s="1076"/>
      <c r="I932" s="1076" t="str">
        <f>IFERROR(__xludf.DUMMYFUNCTION("""COMPUTED_VALUE"""),"44")</f>
        <v>44</v>
      </c>
      <c r="J932" s="1076"/>
      <c r="K932" s="1076"/>
      <c r="L932" s="1076" t="str">
        <f>IFERROR(__xludf.DUMMYFUNCTION("""COMPUTED_VALUE"""),"KLH")</f>
        <v>KLH</v>
      </c>
    </row>
    <row r="933" customHeight="1" spans="1:12">
      <c r="A933" s="1089" t="str">
        <f>IFERROR(__xludf.DUMMYFUNCTION("""COMPUTED_VALUE"""),"XD2-RMB-001")</f>
        <v>XD2-RMB-001</v>
      </c>
      <c r="B933" s="1075" t="str">
        <f>IFERROR(__xludf.DUMMYFUNCTION("""COMPUTED_VALUE"""),"Rơ mooc thùng ben")</f>
        <v>Rơ mooc thùng ben</v>
      </c>
      <c r="C933" s="1076" t="str">
        <f>IFERROR(__xludf.DUMMYFUNCTION("""COMPUTED_VALUE"""),"XN Chuối DP2")</f>
        <v>XN Chuối DP2</v>
      </c>
      <c r="D933" s="1076" t="str">
        <f>IFERROR(__xludf.DUMMYFUNCTION("""COMPUTED_VALUE"""),"THACO AGRI")</f>
        <v>THACO AGRI</v>
      </c>
      <c r="E933" s="1076"/>
      <c r="F933" s="1076"/>
      <c r="G933" s="1076"/>
      <c r="H933" s="1076"/>
      <c r="I933" s="1076" t="str">
        <f>IFERROR(__xludf.DUMMYFUNCTION("""COMPUTED_VALUE"""),"Thùng ben 2m3")</f>
        <v>Thùng ben 2m3</v>
      </c>
      <c r="J933" s="1076"/>
      <c r="K933" s="1076"/>
      <c r="L933" s="1076" t="str">
        <f>IFERROR(__xludf.DUMMYFUNCTION("""COMPUTED_VALUE"""),"KLH")</f>
        <v>KLH</v>
      </c>
    </row>
    <row r="934" customHeight="1" spans="1:12">
      <c r="A934" s="1089" t="str">
        <f>IFERROR(__xludf.DUMMYFUNCTION("""COMPUTED_VALUE"""),"XD2-RMB-002")</f>
        <v>XD2-RMB-002</v>
      </c>
      <c r="B934" s="1075" t="str">
        <f>IFERROR(__xludf.DUMMYFUNCTION("""COMPUTED_VALUE"""),"Rơ mooc thùng ben")</f>
        <v>Rơ mooc thùng ben</v>
      </c>
      <c r="C934" s="1076" t="str">
        <f>IFERROR(__xludf.DUMMYFUNCTION("""COMPUTED_VALUE"""),"XN Chuối DP2")</f>
        <v>XN Chuối DP2</v>
      </c>
      <c r="D934" s="1076" t="str">
        <f>IFERROR(__xludf.DUMMYFUNCTION("""COMPUTED_VALUE"""),"THACO AGRI")</f>
        <v>THACO AGRI</v>
      </c>
      <c r="E934" s="1076"/>
      <c r="F934" s="1076"/>
      <c r="G934" s="1076"/>
      <c r="H934" s="1076"/>
      <c r="I934" s="1076" t="str">
        <f>IFERROR(__xludf.DUMMYFUNCTION("""COMPUTED_VALUE"""),"Thùng ben 2m3")</f>
        <v>Thùng ben 2m3</v>
      </c>
      <c r="J934" s="1076"/>
      <c r="K934" s="1076"/>
      <c r="L934" s="1076" t="str">
        <f>IFERROR(__xludf.DUMMYFUNCTION("""COMPUTED_VALUE"""),"KLH")</f>
        <v>KLH</v>
      </c>
    </row>
    <row r="935" customHeight="1" spans="1:12">
      <c r="A935" s="1089" t="str">
        <f>IFERROR(__xludf.DUMMYFUNCTION("""COMPUTED_VALUE"""),"XD2-SPT-002")</f>
        <v>XD2-SPT-002</v>
      </c>
      <c r="B935" s="1075" t="str">
        <f>IFERROR(__xludf.DUMMYFUNCTION("""COMPUTED_VALUE"""),"Súng phun thuốc Hansung")</f>
        <v>Súng phun thuốc Hansung</v>
      </c>
      <c r="C935" s="1076" t="str">
        <f>IFERROR(__xludf.DUMMYFUNCTION("""COMPUTED_VALUE"""),"XN Chuối DP2")</f>
        <v>XN Chuối DP2</v>
      </c>
      <c r="D935" s="1076" t="str">
        <f>IFERROR(__xludf.DUMMYFUNCTION("""COMPUTED_VALUE"""),"THACO AGRI")</f>
        <v>THACO AGRI</v>
      </c>
      <c r="E935" s="1076" t="str">
        <f>IFERROR(__xludf.DUMMYFUNCTION("""COMPUTED_VALUE"""),"HANSUNG")</f>
        <v>HANSUNG</v>
      </c>
      <c r="F935" s="1076"/>
      <c r="G935" s="1076"/>
      <c r="H935" s="1076"/>
      <c r="I935" s="1076" t="str">
        <f>IFERROR(__xludf.DUMMYFUNCTION("""COMPUTED_VALUE"""),"HS128-DK335")</f>
        <v>HS128-DK335</v>
      </c>
      <c r="J935" s="1076"/>
      <c r="K935" s="1076">
        <f>IFERROR(__xludf.DUMMYFUNCTION("""COMPUTED_VALUE"""),8.47)</f>
        <v>8.47</v>
      </c>
      <c r="L935" s="1076" t="str">
        <f>IFERROR(__xludf.DUMMYFUNCTION("""COMPUTED_VALUE"""),"KLH")</f>
        <v>KLH</v>
      </c>
    </row>
    <row r="936" customHeight="1" spans="1:12">
      <c r="A936" s="1089" t="str">
        <f>IFERROR(__xludf.DUMMYFUNCTION("""COMPUTED_VALUE"""),"XD2-RMG-001")</f>
        <v>XD2-RMG-001</v>
      </c>
      <c r="B936" s="1075" t="str">
        <f>IFERROR(__xludf.DUMMYFUNCTION("""COMPUTED_VALUE"""),"Rơ mooc chở giống")</f>
        <v>Rơ mooc chở giống</v>
      </c>
      <c r="C936" s="1076" t="str">
        <f>IFERROR(__xludf.DUMMYFUNCTION("""COMPUTED_VALUE"""),"XN Chuối DP2")</f>
        <v>XN Chuối DP2</v>
      </c>
      <c r="D936" s="1076" t="str">
        <f>IFERROR(__xludf.DUMMYFUNCTION("""COMPUTED_VALUE"""),"THACO AGRI")</f>
        <v>THACO AGRI</v>
      </c>
      <c r="E936" s="1076"/>
      <c r="F936" s="1076"/>
      <c r="G936" s="1076"/>
      <c r="H936" s="1076"/>
      <c r="I936" s="1076" t="str">
        <f>IFERROR(__xludf.DUMMYFUNCTION("""COMPUTED_VALUE"""),"44 buồng")</f>
        <v>44 buồng</v>
      </c>
      <c r="J936" s="1076"/>
      <c r="K936" s="1076"/>
      <c r="L936" s="1076" t="str">
        <f>IFERROR(__xludf.DUMMYFUNCTION("""COMPUTED_VALUE"""),"KLH")</f>
        <v>KLH</v>
      </c>
    </row>
    <row r="937" customHeight="1" spans="1:12">
      <c r="A937" s="1089" t="str">
        <f>IFERROR(__xludf.DUMMYFUNCTION("""COMPUTED_VALUE"""),"XD2-RMG-002")</f>
        <v>XD2-RMG-002</v>
      </c>
      <c r="B937" s="1075" t="str">
        <f>IFERROR(__xludf.DUMMYFUNCTION("""COMPUTED_VALUE"""),"Rơ mooc chở giống")</f>
        <v>Rơ mooc chở giống</v>
      </c>
      <c r="C937" s="1076" t="str">
        <f>IFERROR(__xludf.DUMMYFUNCTION("""COMPUTED_VALUE"""),"XN Chuối DP2")</f>
        <v>XN Chuối DP2</v>
      </c>
      <c r="D937" s="1076" t="str">
        <f>IFERROR(__xludf.DUMMYFUNCTION("""COMPUTED_VALUE"""),"THACO AGRI")</f>
        <v>THACO AGRI</v>
      </c>
      <c r="E937" s="1076"/>
      <c r="F937" s="1076"/>
      <c r="G937" s="1076"/>
      <c r="H937" s="1076"/>
      <c r="I937" s="1076"/>
      <c r="J937" s="1076"/>
      <c r="K937" s="1076"/>
      <c r="L937" s="1076" t="str">
        <f>IFERROR(__xludf.DUMMYFUNCTION("""COMPUTED_VALUE"""),"KLH")</f>
        <v>KLH</v>
      </c>
    </row>
    <row r="938" customHeight="1" spans="1:12">
      <c r="A938" s="1089" t="str">
        <f>IFERROR(__xludf.DUMMYFUNCTION("""COMPUTED_VALUE"""),"XD2-RMĐ-001")</f>
        <v>XD2-RMĐ-001</v>
      </c>
      <c r="B938" s="1075" t="str">
        <f>IFERROR(__xludf.DUMMYFUNCTION("""COMPUTED_VALUE"""),"Rơ mooc vận chuyển M.đào 03")</f>
        <v>Rơ mooc vận chuyển M.đào 03</v>
      </c>
      <c r="C938" s="1076" t="str">
        <f>IFERROR(__xludf.DUMMYFUNCTION("""COMPUTED_VALUE"""),"XN Chuối DP2")</f>
        <v>XN Chuối DP2</v>
      </c>
      <c r="D938" s="1076" t="str">
        <f>IFERROR(__xludf.DUMMYFUNCTION("""COMPUTED_VALUE"""),"THACO AGRI")</f>
        <v>THACO AGRI</v>
      </c>
      <c r="E938" s="1076"/>
      <c r="F938" s="1076"/>
      <c r="G938" s="1076"/>
      <c r="H938" s="1076"/>
      <c r="I938" s="1076"/>
      <c r="J938" s="1076"/>
      <c r="K938" s="1076"/>
      <c r="L938" s="1076" t="str">
        <f>IFERROR(__xludf.DUMMYFUNCTION("""COMPUTED_VALUE"""),"KLH")</f>
        <v>KLH</v>
      </c>
    </row>
    <row r="939" customHeight="1" spans="1:12">
      <c r="A939" s="1089" t="str">
        <f>IFERROR(__xludf.DUMMYFUNCTION("""COMPUTED_VALUE"""),"XD2-RML-001")</f>
        <v>XD2-RML-001</v>
      </c>
      <c r="B939" s="1075" t="str">
        <f>IFERROR(__xludf.DUMMYFUNCTION("""COMPUTED_VALUE"""),"Rơ mooc lưới")</f>
        <v>Rơ mooc lưới</v>
      </c>
      <c r="C939" s="1076" t="str">
        <f>IFERROR(__xludf.DUMMYFUNCTION("""COMPUTED_VALUE"""),"XN Chuối DP2")</f>
        <v>XN Chuối DP2</v>
      </c>
      <c r="D939" s="1076" t="str">
        <f>IFERROR(__xludf.DUMMYFUNCTION("""COMPUTED_VALUE"""),"THACO AGRI")</f>
        <v>THACO AGRI</v>
      </c>
      <c r="E939" s="1076"/>
      <c r="F939" s="1076"/>
      <c r="G939" s="1076"/>
      <c r="H939" s="1076" t="str">
        <f>IFERROR(__xludf.DUMMYFUNCTION("""COMPUTED_VALUE"""),"DxRxC: 5.5m*2.5m*2.4m")</f>
        <v>DxRxC: 5.5m*2.5m*2.4m</v>
      </c>
      <c r="I939" s="1076"/>
      <c r="J939" s="1076"/>
      <c r="K939" s="1076"/>
      <c r="L939" s="1076" t="str">
        <f>IFERROR(__xludf.DUMMYFUNCTION("""COMPUTED_VALUE"""),"KLH")</f>
        <v>KLH</v>
      </c>
    </row>
    <row r="940" customHeight="1" spans="1:12">
      <c r="A940" s="1089" t="str">
        <f>IFERROR(__xludf.DUMMYFUNCTION("""COMPUTED_VALUE"""),"XD2-GĐH-001")</f>
        <v>XD2-GĐH-001</v>
      </c>
      <c r="B940" s="1075" t="str">
        <f>IFERROR(__xludf.DUMMYFUNCTION("""COMPUTED_VALUE"""),"Gàu định hình đào mương thoát nước")</f>
        <v>Gàu định hình đào mương thoát nước</v>
      </c>
      <c r="C940" s="1076" t="str">
        <f>IFERROR(__xludf.DUMMYFUNCTION("""COMPUTED_VALUE"""),"XN Chuối DP2")</f>
        <v>XN Chuối DP2</v>
      </c>
      <c r="D940" s="1076" t="str">
        <f>IFERROR(__xludf.DUMMYFUNCTION("""COMPUTED_VALUE"""),"THACO AGRI")</f>
        <v>THACO AGRI</v>
      </c>
      <c r="E940" s="1076"/>
      <c r="F940" s="1076"/>
      <c r="G940" s="1076" t="str">
        <f>IFERROR(__xludf.DUMMYFUNCTION("""COMPUTED_VALUE"""),"2025")</f>
        <v>2025</v>
      </c>
      <c r="H940" s="1076" t="str">
        <f>IFERROR(__xludf.DUMMYFUNCTION("""COMPUTED_VALUE"""),"350x200x400")</f>
        <v>350x200x400</v>
      </c>
      <c r="I940" s="1076"/>
      <c r="J940" s="1076"/>
      <c r="K940" s="1076"/>
      <c r="L940" s="1076" t="str">
        <f>IFERROR(__xludf.DUMMYFUNCTION("""COMPUTED_VALUE"""),"KLH")</f>
        <v>KLH</v>
      </c>
    </row>
    <row r="941" customHeight="1" spans="1:12">
      <c r="A941" s="1089" t="str">
        <f>IFERROR(__xludf.DUMMYFUNCTION("""COMPUTED_VALUE"""),"XD2-GĐH-002")</f>
        <v>XD2-GĐH-002</v>
      </c>
      <c r="B941" s="1075" t="str">
        <f>IFERROR(__xludf.DUMMYFUNCTION("""COMPUTED_VALUE"""),"Gàu định hình đào mương thoát nước")</f>
        <v>Gàu định hình đào mương thoát nước</v>
      </c>
      <c r="C941" s="1076" t="str">
        <f>IFERROR(__xludf.DUMMYFUNCTION("""COMPUTED_VALUE"""),"XN Chuối DP2")</f>
        <v>XN Chuối DP2</v>
      </c>
      <c r="D941" s="1076" t="str">
        <f>IFERROR(__xludf.DUMMYFUNCTION("""COMPUTED_VALUE"""),"THACO AGRI")</f>
        <v>THACO AGRI</v>
      </c>
      <c r="E941" s="1076"/>
      <c r="F941" s="1076"/>
      <c r="G941" s="1076" t="str">
        <f>IFERROR(__xludf.DUMMYFUNCTION("""COMPUTED_VALUE"""),"2025")</f>
        <v>2025</v>
      </c>
      <c r="H941" s="1076" t="str">
        <f>IFERROR(__xludf.DUMMYFUNCTION("""COMPUTED_VALUE"""),"350x200x400")</f>
        <v>350x200x400</v>
      </c>
      <c r="I941" s="1076"/>
      <c r="J941" s="1076"/>
      <c r="K941" s="1076"/>
      <c r="L941" s="1076" t="str">
        <f>IFERROR(__xludf.DUMMYFUNCTION("""COMPUTED_VALUE"""),"KLH")</f>
        <v>KLH</v>
      </c>
    </row>
    <row r="942" customHeight="1" spans="1:12">
      <c r="A942" s="1089" t="str">
        <f>IFERROR(__xludf.DUMMYFUNCTION("""COMPUTED_VALUE"""),"XD2-MCA-001")</f>
        <v>XD2-MCA-001</v>
      </c>
      <c r="B942" s="1075" t="str">
        <f>IFERROR(__xludf.DUMMYFUNCTION("""COMPUTED_VALUE"""),"Máy cao áp phun thuốc")</f>
        <v>Máy cao áp phun thuốc</v>
      </c>
      <c r="C942" s="1076" t="str">
        <f>IFERROR(__xludf.DUMMYFUNCTION("""COMPUTED_VALUE"""),"XN Chuối DP2")</f>
        <v>XN Chuối DP2</v>
      </c>
      <c r="D942" s="1076" t="str">
        <f>IFERROR(__xludf.DUMMYFUNCTION("""COMPUTED_VALUE"""),"CAMBODIA")</f>
        <v>CAMBODIA</v>
      </c>
      <c r="E942" s="1076" t="str">
        <f>IFERROR(__xludf.DUMMYFUNCTION("""COMPUTED_VALUE"""),"NILE N-680A")</f>
        <v>NILE N-680A</v>
      </c>
      <c r="F942" s="1076"/>
      <c r="G942" s="1076"/>
      <c r="H942" s="1076" t="str">
        <f>IFERROR(__xludf.DUMMYFUNCTION("""COMPUTED_VALUE"""),"7.5HP")</f>
        <v>7.5HP</v>
      </c>
      <c r="I942" s="1076"/>
      <c r="J942" s="1076"/>
      <c r="K942" s="1076"/>
      <c r="L942" s="1076" t="str">
        <f>IFERROR(__xludf.DUMMYFUNCTION("""COMPUTED_VALUE"""),"KLH")</f>
        <v>KLH</v>
      </c>
    </row>
    <row r="943" customHeight="1" spans="1:12">
      <c r="A943" s="1089" t="str">
        <f>IFERROR(__xludf.DUMMYFUNCTION("""COMPUTED_VALUE"""),"XD2-MCA-002")</f>
        <v>XD2-MCA-002</v>
      </c>
      <c r="B943" s="1075" t="str">
        <f>IFERROR(__xludf.DUMMYFUNCTION("""COMPUTED_VALUE"""),"Máy cao áp phun thuốc")</f>
        <v>Máy cao áp phun thuốc</v>
      </c>
      <c r="C943" s="1076" t="str">
        <f>IFERROR(__xludf.DUMMYFUNCTION("""COMPUTED_VALUE"""),"XN Chuối DP2")</f>
        <v>XN Chuối DP2</v>
      </c>
      <c r="D943" s="1076" t="str">
        <f>IFERROR(__xludf.DUMMYFUNCTION("""COMPUTED_VALUE"""),"CAMBODIA")</f>
        <v>CAMBODIA</v>
      </c>
      <c r="E943" s="1076" t="str">
        <f>IFERROR(__xludf.DUMMYFUNCTION("""COMPUTED_VALUE"""),"NILE N-680A")</f>
        <v>NILE N-680A</v>
      </c>
      <c r="F943" s="1076"/>
      <c r="G943" s="1076"/>
      <c r="H943" s="1076" t="str">
        <f>IFERROR(__xludf.DUMMYFUNCTION("""COMPUTED_VALUE"""),"7.5HP")</f>
        <v>7.5HP</v>
      </c>
      <c r="I943" s="1076"/>
      <c r="J943" s="1076"/>
      <c r="K943" s="1076"/>
      <c r="L943" s="1076" t="str">
        <f>IFERROR(__xludf.DUMMYFUNCTION("""COMPUTED_VALUE"""),"KLH")</f>
        <v>KLH</v>
      </c>
    </row>
    <row r="944" customHeight="1" spans="1:12">
      <c r="A944" s="1089" t="str">
        <f>IFERROR(__xludf.DUMMYFUNCTION("""COMPUTED_VALUE"""),"XD2-MCA-003")</f>
        <v>XD2-MCA-003</v>
      </c>
      <c r="B944" s="1075" t="str">
        <f>IFERROR(__xludf.DUMMYFUNCTION("""COMPUTED_VALUE"""),"Máy cao áp phun thuốc")</f>
        <v>Máy cao áp phun thuốc</v>
      </c>
      <c r="C944" s="1076" t="str">
        <f>IFERROR(__xludf.DUMMYFUNCTION("""COMPUTED_VALUE"""),"XN Chuối DP2")</f>
        <v>XN Chuối DP2</v>
      </c>
      <c r="D944" s="1076" t="str">
        <f>IFERROR(__xludf.DUMMYFUNCTION("""COMPUTED_VALUE"""),"CAMBODIA")</f>
        <v>CAMBODIA</v>
      </c>
      <c r="E944" s="1076" t="str">
        <f>IFERROR(__xludf.DUMMYFUNCTION("""COMPUTED_VALUE"""),"MR-48")</f>
        <v>MR-48</v>
      </c>
      <c r="F944" s="1076"/>
      <c r="G944" s="1076"/>
      <c r="H944" s="1076" t="str">
        <f>IFERROR(__xludf.DUMMYFUNCTION("""COMPUTED_VALUE"""),"3HP")</f>
        <v>3HP</v>
      </c>
      <c r="I944" s="1076"/>
      <c r="J944" s="1076"/>
      <c r="K944" s="1076"/>
      <c r="L944" s="1076" t="str">
        <f>IFERROR(__xludf.DUMMYFUNCTION("""COMPUTED_VALUE"""),"KLH")</f>
        <v>KLH</v>
      </c>
    </row>
    <row r="945" customHeight="1" spans="1:12">
      <c r="A945" s="1089" t="str">
        <f>IFERROR(__xludf.DUMMYFUNCTION("""COMPUTED_VALUE"""),"XD2-MCA-004")</f>
        <v>XD2-MCA-004</v>
      </c>
      <c r="B945" s="1075" t="str">
        <f>IFERROR(__xludf.DUMMYFUNCTION("""COMPUTED_VALUE"""),"Máy cao áp phun thuốc")</f>
        <v>Máy cao áp phun thuốc</v>
      </c>
      <c r="C945" s="1076" t="str">
        <f>IFERROR(__xludf.DUMMYFUNCTION("""COMPUTED_VALUE"""),"XN Chuối DP2")</f>
        <v>XN Chuối DP2</v>
      </c>
      <c r="D945" s="1076" t="str">
        <f>IFERROR(__xludf.DUMMYFUNCTION("""COMPUTED_VALUE"""),"CAMBODIA")</f>
        <v>CAMBODIA</v>
      </c>
      <c r="E945" s="1076" t="str">
        <f>IFERROR(__xludf.DUMMYFUNCTION("""COMPUTED_VALUE"""),"MR-48")</f>
        <v>MR-48</v>
      </c>
      <c r="F945" s="1076"/>
      <c r="G945" s="1076"/>
      <c r="H945" s="1076" t="str">
        <f>IFERROR(__xludf.DUMMYFUNCTION("""COMPUTED_VALUE"""),"3HP")</f>
        <v>3HP</v>
      </c>
      <c r="I945" s="1076"/>
      <c r="J945" s="1076"/>
      <c r="K945" s="1076"/>
      <c r="L945" s="1076" t="str">
        <f>IFERROR(__xludf.DUMMYFUNCTION("""COMPUTED_VALUE"""),"KLH")</f>
        <v>KLH</v>
      </c>
    </row>
    <row r="946" customHeight="1" spans="1:12">
      <c r="A946" s="1089" t="str">
        <f>IFERROR(__xludf.DUMMYFUNCTION("""COMPUTED_VALUE"""),"XD2-MCA-005")</f>
        <v>XD2-MCA-005</v>
      </c>
      <c r="B946" s="1075" t="str">
        <f>IFERROR(__xludf.DUMMYFUNCTION("""COMPUTED_VALUE"""),"Máy cao áp phun thuốc")</f>
        <v>Máy cao áp phun thuốc</v>
      </c>
      <c r="C946" s="1076" t="str">
        <f>IFERROR(__xludf.DUMMYFUNCTION("""COMPUTED_VALUE"""),"XN Chuối DP2")</f>
        <v>XN Chuối DP2</v>
      </c>
      <c r="D946" s="1076" t="str">
        <f>IFERROR(__xludf.DUMMYFUNCTION("""COMPUTED_VALUE"""),"CAMBODIA")</f>
        <v>CAMBODIA</v>
      </c>
      <c r="E946" s="1076" t="str">
        <f>IFERROR(__xludf.DUMMYFUNCTION("""COMPUTED_VALUE"""),"MR-48")</f>
        <v>MR-48</v>
      </c>
      <c r="F946" s="1076"/>
      <c r="G946" s="1076"/>
      <c r="H946" s="1076" t="str">
        <f>IFERROR(__xludf.DUMMYFUNCTION("""COMPUTED_VALUE"""),"3HP")</f>
        <v>3HP</v>
      </c>
      <c r="I946" s="1076"/>
      <c r="J946" s="1076"/>
      <c r="K946" s="1076"/>
      <c r="L946" s="1076" t="str">
        <f>IFERROR(__xludf.DUMMYFUNCTION("""COMPUTED_VALUE"""),"KLH")</f>
        <v>KLH</v>
      </c>
    </row>
    <row r="947" customHeight="1" spans="1:12">
      <c r="A947" s="1089" t="str">
        <f>IFERROR(__xludf.DUMMYFUNCTION("""COMPUTED_VALUE"""),"XD2-MCA-006")</f>
        <v>XD2-MCA-006</v>
      </c>
      <c r="B947" s="1075" t="str">
        <f>IFERROR(__xludf.DUMMYFUNCTION("""COMPUTED_VALUE"""),"Máy cao áp phun thuốc")</f>
        <v>Máy cao áp phun thuốc</v>
      </c>
      <c r="C947" s="1076" t="str">
        <f>IFERROR(__xludf.DUMMYFUNCTION("""COMPUTED_VALUE"""),"XN Chuối DP2")</f>
        <v>XN Chuối DP2</v>
      </c>
      <c r="D947" s="1076" t="str">
        <f>IFERROR(__xludf.DUMMYFUNCTION("""COMPUTED_VALUE"""),"CAMBODIA")</f>
        <v>CAMBODIA</v>
      </c>
      <c r="E947" s="1076" t="str">
        <f>IFERROR(__xludf.DUMMYFUNCTION("""COMPUTED_VALUE"""),"MR-48")</f>
        <v>MR-48</v>
      </c>
      <c r="F947" s="1076"/>
      <c r="G947" s="1076"/>
      <c r="H947" s="1076" t="str">
        <f>IFERROR(__xludf.DUMMYFUNCTION("""COMPUTED_VALUE"""),"3HP")</f>
        <v>3HP</v>
      </c>
      <c r="I947" s="1076"/>
      <c r="J947" s="1076"/>
      <c r="K947" s="1076"/>
      <c r="L947" s="1076" t="str">
        <f>IFERROR(__xludf.DUMMYFUNCTION("""COMPUTED_VALUE"""),"KLH")</f>
        <v>KLH</v>
      </c>
    </row>
    <row r="948" customHeight="1" spans="1:12">
      <c r="A948" s="1089" t="str">
        <f>IFERROR(__xludf.DUMMYFUNCTION("""COMPUTED_VALUE"""),"XD2-MCA-007")</f>
        <v>XD2-MCA-007</v>
      </c>
      <c r="B948" s="1075" t="str">
        <f>IFERROR(__xludf.DUMMYFUNCTION("""COMPUTED_VALUE"""),"Máy cao áp phun thuốc")</f>
        <v>Máy cao áp phun thuốc</v>
      </c>
      <c r="C948" s="1076" t="str">
        <f>IFERROR(__xludf.DUMMYFUNCTION("""COMPUTED_VALUE"""),"XN Chuối DP2")</f>
        <v>XN Chuối DP2</v>
      </c>
      <c r="D948" s="1076" t="str">
        <f>IFERROR(__xludf.DUMMYFUNCTION("""COMPUTED_VALUE"""),"CAMBODIA")</f>
        <v>CAMBODIA</v>
      </c>
      <c r="E948" s="1076" t="str">
        <f>IFERROR(__xludf.DUMMYFUNCTION("""COMPUTED_VALUE"""),"MR-28")</f>
        <v>MR-28</v>
      </c>
      <c r="F948" s="1076"/>
      <c r="G948" s="1076"/>
      <c r="H948" s="1076" t="str">
        <f>IFERROR(__xludf.DUMMYFUNCTION("""COMPUTED_VALUE"""),"1.5HP")</f>
        <v>1.5HP</v>
      </c>
      <c r="I948" s="1076"/>
      <c r="J948" s="1076"/>
      <c r="K948" s="1076"/>
      <c r="L948" s="1076" t="str">
        <f>IFERROR(__xludf.DUMMYFUNCTION("""COMPUTED_VALUE"""),"KLH")</f>
        <v>KLH</v>
      </c>
    </row>
    <row r="949" customHeight="1" spans="1:12">
      <c r="A949" s="1089" t="str">
        <f>IFERROR(__xludf.DUMMYFUNCTION("""COMPUTED_VALUE"""),"XD2-MCA-008")</f>
        <v>XD2-MCA-008</v>
      </c>
      <c r="B949" s="1075" t="str">
        <f>IFERROR(__xludf.DUMMYFUNCTION("""COMPUTED_VALUE"""),"Máy cao áp phun thuốc")</f>
        <v>Máy cao áp phun thuốc</v>
      </c>
      <c r="C949" s="1076" t="str">
        <f>IFERROR(__xludf.DUMMYFUNCTION("""COMPUTED_VALUE"""),"XN Chuối DP2")</f>
        <v>XN Chuối DP2</v>
      </c>
      <c r="D949" s="1076" t="str">
        <f>IFERROR(__xludf.DUMMYFUNCTION("""COMPUTED_VALUE"""),"CAMBODIA")</f>
        <v>CAMBODIA</v>
      </c>
      <c r="E949" s="1076" t="str">
        <f>IFERROR(__xludf.DUMMYFUNCTION("""COMPUTED_VALUE"""),"KB-530 + Motor")</f>
        <v>KB-530 + Motor</v>
      </c>
      <c r="F949" s="1076"/>
      <c r="G949" s="1076"/>
      <c r="H949" s="1076" t="str">
        <f>IFERROR(__xludf.DUMMYFUNCTION("""COMPUTED_VALUE"""),"2HP")</f>
        <v>2HP</v>
      </c>
      <c r="I949" s="1076"/>
      <c r="J949" s="1076"/>
      <c r="K949" s="1076"/>
      <c r="L949" s="1076" t="str">
        <f>IFERROR(__xludf.DUMMYFUNCTION("""COMPUTED_VALUE"""),"KLH")</f>
        <v>KLH</v>
      </c>
    </row>
    <row r="950" customHeight="1" spans="1:12">
      <c r="A950" s="1089" t="str">
        <f>IFERROR(__xludf.DUMMYFUNCTION("""COMPUTED_VALUE"""),"XD2-MCA-009")</f>
        <v>XD2-MCA-009</v>
      </c>
      <c r="B950" s="1075" t="str">
        <f>IFERROR(__xludf.DUMMYFUNCTION("""COMPUTED_VALUE"""),"Máy cao áp phun thuốc")</f>
        <v>Máy cao áp phun thuốc</v>
      </c>
      <c r="C950" s="1076" t="str">
        <f>IFERROR(__xludf.DUMMYFUNCTION("""COMPUTED_VALUE"""),"XN Chuối DP2")</f>
        <v>XN Chuối DP2</v>
      </c>
      <c r="D950" s="1076" t="str">
        <f>IFERROR(__xludf.DUMMYFUNCTION("""COMPUTED_VALUE"""),"CAMBODIA")</f>
        <v>CAMBODIA</v>
      </c>
      <c r="E950" s="1076" t="str">
        <f>IFERROR(__xludf.DUMMYFUNCTION("""COMPUTED_VALUE"""),"KB-530 + Motor")</f>
        <v>KB-530 + Motor</v>
      </c>
      <c r="F950" s="1076"/>
      <c r="G950" s="1076"/>
      <c r="H950" s="1076" t="str">
        <f>IFERROR(__xludf.DUMMYFUNCTION("""COMPUTED_VALUE"""),"2HP")</f>
        <v>2HP</v>
      </c>
      <c r="I950" s="1076"/>
      <c r="J950" s="1076"/>
      <c r="K950" s="1076"/>
      <c r="L950" s="1076" t="str">
        <f>IFERROR(__xludf.DUMMYFUNCTION("""COMPUTED_VALUE"""),"KLH")</f>
        <v>KLH</v>
      </c>
    </row>
    <row r="951" customHeight="1" spans="1:12">
      <c r="A951" s="1089" t="str">
        <f>IFERROR(__xludf.DUMMYFUNCTION("""COMPUTED_VALUE"""),"XD2-MCA-010")</f>
        <v>XD2-MCA-010</v>
      </c>
      <c r="B951" s="1075" t="str">
        <f>IFERROR(__xludf.DUMMYFUNCTION("""COMPUTED_VALUE"""),"Máy cao áp phun thuốc")</f>
        <v>Máy cao áp phun thuốc</v>
      </c>
      <c r="C951" s="1076" t="str">
        <f>IFERROR(__xludf.DUMMYFUNCTION("""COMPUTED_VALUE"""),"XN Chuối DP2")</f>
        <v>XN Chuối DP2</v>
      </c>
      <c r="D951" s="1076" t="str">
        <f>IFERROR(__xludf.DUMMYFUNCTION("""COMPUTED_VALUE"""),"CAMBODIA")</f>
        <v>CAMBODIA</v>
      </c>
      <c r="E951" s="1076" t="str">
        <f>IFERROR(__xludf.DUMMYFUNCTION("""COMPUTED_VALUE"""),"KB-530 + Motor")</f>
        <v>KB-530 + Motor</v>
      </c>
      <c r="F951" s="1076"/>
      <c r="G951" s="1076"/>
      <c r="H951" s="1076" t="str">
        <f>IFERROR(__xludf.DUMMYFUNCTION("""COMPUTED_VALUE"""),"2HP")</f>
        <v>2HP</v>
      </c>
      <c r="I951" s="1076"/>
      <c r="J951" s="1076"/>
      <c r="K951" s="1076"/>
      <c r="L951" s="1076" t="str">
        <f>IFERROR(__xludf.DUMMYFUNCTION("""COMPUTED_VALUE"""),"KLH")</f>
        <v>KLH</v>
      </c>
    </row>
    <row r="952" customHeight="1" spans="1:12">
      <c r="A952" s="1089" t="str">
        <f>IFERROR(__xludf.DUMMYFUNCTION("""COMPUTED_VALUE"""),"XD2-MCA-011")</f>
        <v>XD2-MCA-011</v>
      </c>
      <c r="B952" s="1075" t="str">
        <f>IFERROR(__xludf.DUMMYFUNCTION("""COMPUTED_VALUE"""),"Máy cao áp phun thuốc")</f>
        <v>Máy cao áp phun thuốc</v>
      </c>
      <c r="C952" s="1076" t="str">
        <f>IFERROR(__xludf.DUMMYFUNCTION("""COMPUTED_VALUE"""),"XN Chuối DP2")</f>
        <v>XN Chuối DP2</v>
      </c>
      <c r="D952" s="1076" t="str">
        <f>IFERROR(__xludf.DUMMYFUNCTION("""COMPUTED_VALUE"""),"CAMBODIA")</f>
        <v>CAMBODIA</v>
      </c>
      <c r="E952" s="1076" t="str">
        <f>IFERROR(__xludf.DUMMYFUNCTION("""COMPUTED_VALUE"""),"KB-530 + Motor")</f>
        <v>KB-530 + Motor</v>
      </c>
      <c r="F952" s="1076"/>
      <c r="G952" s="1076"/>
      <c r="H952" s="1076" t="str">
        <f>IFERROR(__xludf.DUMMYFUNCTION("""COMPUTED_VALUE"""),"2HP")</f>
        <v>2HP</v>
      </c>
      <c r="I952" s="1076"/>
      <c r="J952" s="1076"/>
      <c r="K952" s="1076"/>
      <c r="L952" s="1076" t="str">
        <f>IFERROR(__xludf.DUMMYFUNCTION("""COMPUTED_VALUE"""),"KLH")</f>
        <v>KLH</v>
      </c>
    </row>
    <row r="953" customHeight="1" spans="1:12">
      <c r="A953" s="1089" t="str">
        <f>IFERROR(__xludf.DUMMYFUNCTION("""COMPUTED_VALUE"""),"XD2-MCA-012")</f>
        <v>XD2-MCA-012</v>
      </c>
      <c r="B953" s="1075" t="str">
        <f>IFERROR(__xludf.DUMMYFUNCTION("""COMPUTED_VALUE"""),"Máy cao áp phun thuốc")</f>
        <v>Máy cao áp phun thuốc</v>
      </c>
      <c r="C953" s="1076" t="str">
        <f>IFERROR(__xludf.DUMMYFUNCTION("""COMPUTED_VALUE"""),"XN Chuối DP2")</f>
        <v>XN Chuối DP2</v>
      </c>
      <c r="D953" s="1076" t="str">
        <f>IFERROR(__xludf.DUMMYFUNCTION("""COMPUTED_VALUE"""),"CAMBODIA")</f>
        <v>CAMBODIA</v>
      </c>
      <c r="E953" s="1076" t="str">
        <f>IFERROR(__xludf.DUMMYFUNCTION("""COMPUTED_VALUE"""),"KB-80")</f>
        <v>KB-80</v>
      </c>
      <c r="F953" s="1076"/>
      <c r="G953" s="1076"/>
      <c r="H953" s="1076" t="str">
        <f>IFERROR(__xludf.DUMMYFUNCTION("""COMPUTED_VALUE"""),"7.5HP")</f>
        <v>7.5HP</v>
      </c>
      <c r="I953" s="1076"/>
      <c r="J953" s="1076"/>
      <c r="K953" s="1076"/>
      <c r="L953" s="1076" t="str">
        <f>IFERROR(__xludf.DUMMYFUNCTION("""COMPUTED_VALUE"""),"KLH")</f>
        <v>KLH</v>
      </c>
    </row>
    <row r="954" customHeight="1" spans="1:12">
      <c r="A954" s="1089" t="str">
        <f>IFERROR(__xludf.DUMMYFUNCTION("""COMPUTED_VALUE"""),"XD2-MCA-013")</f>
        <v>XD2-MCA-013</v>
      </c>
      <c r="B954" s="1075" t="str">
        <f>IFERROR(__xludf.DUMMYFUNCTION("""COMPUTED_VALUE"""),"Máy cao áp phun thuốc")</f>
        <v>Máy cao áp phun thuốc</v>
      </c>
      <c r="C954" s="1076" t="str">
        <f>IFERROR(__xludf.DUMMYFUNCTION("""COMPUTED_VALUE"""),"XN Chuối DP2")</f>
        <v>XN Chuối DP2</v>
      </c>
      <c r="D954" s="1076" t="str">
        <f>IFERROR(__xludf.DUMMYFUNCTION("""COMPUTED_VALUE"""),"CAMBODIA")</f>
        <v>CAMBODIA</v>
      </c>
      <c r="E954" s="1076" t="str">
        <f>IFERROR(__xludf.DUMMYFUNCTION("""COMPUTED_VALUE"""),"KB-80")</f>
        <v>KB-80</v>
      </c>
      <c r="F954" s="1076"/>
      <c r="G954" s="1076"/>
      <c r="H954" s="1076" t="str">
        <f>IFERROR(__xludf.DUMMYFUNCTION("""COMPUTED_VALUE"""),"7.5HP")</f>
        <v>7.5HP</v>
      </c>
      <c r="I954" s="1076"/>
      <c r="J954" s="1076"/>
      <c r="K954" s="1076"/>
      <c r="L954" s="1076" t="str">
        <f>IFERROR(__xludf.DUMMYFUNCTION("""COMPUTED_VALUE"""),"KLH")</f>
        <v>KLH</v>
      </c>
    </row>
    <row r="955" customHeight="1" spans="1:12">
      <c r="A955" s="1089" t="str">
        <f>IFERROR(__xludf.DUMMYFUNCTION("""COMPUTED_VALUE"""),"XD2-MCA-014")</f>
        <v>XD2-MCA-014</v>
      </c>
      <c r="B955" s="1075" t="str">
        <f>IFERROR(__xludf.DUMMYFUNCTION("""COMPUTED_VALUE"""),"Máy cao áp phun thuốc")</f>
        <v>Máy cao áp phun thuốc</v>
      </c>
      <c r="C955" s="1076" t="str">
        <f>IFERROR(__xludf.DUMMYFUNCTION("""COMPUTED_VALUE"""),"XN Chuối DP2")</f>
        <v>XN Chuối DP2</v>
      </c>
      <c r="D955" s="1076" t="str">
        <f>IFERROR(__xludf.DUMMYFUNCTION("""COMPUTED_VALUE"""),"CAMBODIA")</f>
        <v>CAMBODIA</v>
      </c>
      <c r="E955" s="1076" t="str">
        <f>IFERROR(__xludf.DUMMYFUNCTION("""COMPUTED_VALUE"""),"KB-80")</f>
        <v>KB-80</v>
      </c>
      <c r="F955" s="1076"/>
      <c r="G955" s="1076"/>
      <c r="H955" s="1076" t="str">
        <f>IFERROR(__xludf.DUMMYFUNCTION("""COMPUTED_VALUE"""),"7.5HP")</f>
        <v>7.5HP</v>
      </c>
      <c r="I955" s="1076"/>
      <c r="J955" s="1076"/>
      <c r="K955" s="1076"/>
      <c r="L955" s="1076" t="str">
        <f>IFERROR(__xludf.DUMMYFUNCTION("""COMPUTED_VALUE"""),"KLH")</f>
        <v>KLH</v>
      </c>
    </row>
    <row r="956" customHeight="1" spans="1:12">
      <c r="A956" s="1089" t="str">
        <f>IFERROR(__xludf.DUMMYFUNCTION("""COMPUTED_VALUE"""),"XD2-MCA-015")</f>
        <v>XD2-MCA-015</v>
      </c>
      <c r="B956" s="1075" t="str">
        <f>IFERROR(__xludf.DUMMYFUNCTION("""COMPUTED_VALUE"""),"Máy cao áp phun thuốc")</f>
        <v>Máy cao áp phun thuốc</v>
      </c>
      <c r="C956" s="1076" t="str">
        <f>IFERROR(__xludf.DUMMYFUNCTION("""COMPUTED_VALUE"""),"XN Chuối DP2")</f>
        <v>XN Chuối DP2</v>
      </c>
      <c r="D956" s="1076" t="str">
        <f>IFERROR(__xludf.DUMMYFUNCTION("""COMPUTED_VALUE"""),"CAMBODIA")</f>
        <v>CAMBODIA</v>
      </c>
      <c r="E956" s="1076" t="str">
        <f>IFERROR(__xludf.DUMMYFUNCTION("""COMPUTED_VALUE"""),"KB-80")</f>
        <v>KB-80</v>
      </c>
      <c r="F956" s="1076"/>
      <c r="G956" s="1076"/>
      <c r="H956" s="1076" t="str">
        <f>IFERROR(__xludf.DUMMYFUNCTION("""COMPUTED_VALUE"""),"7.5HP")</f>
        <v>7.5HP</v>
      </c>
      <c r="I956" s="1076"/>
      <c r="J956" s="1076"/>
      <c r="K956" s="1076"/>
      <c r="L956" s="1076" t="str">
        <f>IFERROR(__xludf.DUMMYFUNCTION("""COMPUTED_VALUE"""),"KLH")</f>
        <v>KLH</v>
      </c>
    </row>
    <row r="957" customHeight="1" spans="1:12">
      <c r="A957" s="1089" t="str">
        <f>IFERROR(__xludf.DUMMYFUNCTION("""COMPUTED_VALUE"""),"XD2-MCA-016")</f>
        <v>XD2-MCA-016</v>
      </c>
      <c r="B957" s="1075" t="str">
        <f>IFERROR(__xludf.DUMMYFUNCTION("""COMPUTED_VALUE"""),"Máy cao áp phun thuốc")</f>
        <v>Máy cao áp phun thuốc</v>
      </c>
      <c r="C957" s="1076" t="str">
        <f>IFERROR(__xludf.DUMMYFUNCTION("""COMPUTED_VALUE"""),"XN Chuối DP2")</f>
        <v>XN Chuối DP2</v>
      </c>
      <c r="D957" s="1076" t="str">
        <f>IFERROR(__xludf.DUMMYFUNCTION("""COMPUTED_VALUE"""),"CAMBODIA")</f>
        <v>CAMBODIA</v>
      </c>
      <c r="E957" s="1076" t="str">
        <f>IFERROR(__xludf.DUMMYFUNCTION("""COMPUTED_VALUE"""),"1.5HP")</f>
        <v>1.5HP</v>
      </c>
      <c r="F957" s="1076"/>
      <c r="G957" s="1076"/>
      <c r="H957" s="1076" t="str">
        <f>IFERROR(__xludf.DUMMYFUNCTION("""COMPUTED_VALUE"""),"1.5HP")</f>
        <v>1.5HP</v>
      </c>
      <c r="I957" s="1076"/>
      <c r="J957" s="1076"/>
      <c r="K957" s="1076"/>
      <c r="L957" s="1076" t="str">
        <f>IFERROR(__xludf.DUMMYFUNCTION("""COMPUTED_VALUE"""),"KLH")</f>
        <v>KLH</v>
      </c>
    </row>
    <row r="958" customHeight="1" spans="1:12">
      <c r="A958" s="1089" t="str">
        <f>IFERROR(__xludf.DUMMYFUNCTION("""COMPUTED_VALUE"""),"XD2-MCA-017")</f>
        <v>XD2-MCA-017</v>
      </c>
      <c r="B958" s="1075" t="str">
        <f>IFERROR(__xludf.DUMMYFUNCTION("""COMPUTED_VALUE"""),"Máy cao áp phun thuốc")</f>
        <v>Máy cao áp phun thuốc</v>
      </c>
      <c r="C958" s="1076" t="str">
        <f>IFERROR(__xludf.DUMMYFUNCTION("""COMPUTED_VALUE"""),"XN Chuối DP2")</f>
        <v>XN Chuối DP2</v>
      </c>
      <c r="D958" s="1076" t="str">
        <f>IFERROR(__xludf.DUMMYFUNCTION("""COMPUTED_VALUE"""),"CAMBODIA")</f>
        <v>CAMBODIA</v>
      </c>
      <c r="E958" s="1076" t="str">
        <f>IFERROR(__xludf.DUMMYFUNCTION("""COMPUTED_VALUE"""),"1.5HP")</f>
        <v>1.5HP</v>
      </c>
      <c r="F958" s="1076"/>
      <c r="G958" s="1076"/>
      <c r="H958" s="1076" t="str">
        <f>IFERROR(__xludf.DUMMYFUNCTION("""COMPUTED_VALUE"""),"1.5HP")</f>
        <v>1.5HP</v>
      </c>
      <c r="I958" s="1076"/>
      <c r="J958" s="1076"/>
      <c r="K958" s="1076"/>
      <c r="L958" s="1076" t="str">
        <f>IFERROR(__xludf.DUMMYFUNCTION("""COMPUTED_VALUE"""),"KLH")</f>
        <v>KLH</v>
      </c>
    </row>
    <row r="959" customHeight="1" spans="1:12">
      <c r="A959" s="1089" t="str">
        <f>IFERROR(__xludf.DUMMYFUNCTION("""COMPUTED_VALUE"""),"XD2-MCA-018")</f>
        <v>XD2-MCA-018</v>
      </c>
      <c r="B959" s="1075" t="str">
        <f>IFERROR(__xludf.DUMMYFUNCTION("""COMPUTED_VALUE"""),"Máy cao áp phun thuốc")</f>
        <v>Máy cao áp phun thuốc</v>
      </c>
      <c r="C959" s="1076" t="str">
        <f>IFERROR(__xludf.DUMMYFUNCTION("""COMPUTED_VALUE"""),"XN Chuối DP2")</f>
        <v>XN Chuối DP2</v>
      </c>
      <c r="D959" s="1076" t="str">
        <f>IFERROR(__xludf.DUMMYFUNCTION("""COMPUTED_VALUE"""),"CAMBODIA")</f>
        <v>CAMBODIA</v>
      </c>
      <c r="E959" s="1076" t="str">
        <f>IFERROR(__xludf.DUMMYFUNCTION("""COMPUTED_VALUE"""),"1.5HP")</f>
        <v>1.5HP</v>
      </c>
      <c r="F959" s="1076"/>
      <c r="G959" s="1076"/>
      <c r="H959" s="1076" t="str">
        <f>IFERROR(__xludf.DUMMYFUNCTION("""COMPUTED_VALUE"""),"1.5HP")</f>
        <v>1.5HP</v>
      </c>
      <c r="I959" s="1076"/>
      <c r="J959" s="1076"/>
      <c r="K959" s="1076"/>
      <c r="L959" s="1076" t="str">
        <f>IFERROR(__xludf.DUMMYFUNCTION("""COMPUTED_VALUE"""),"KLH")</f>
        <v>KLH</v>
      </c>
    </row>
    <row r="960" customHeight="1" spans="1:12">
      <c r="A960" s="1089" t="str">
        <f>IFERROR(__xludf.DUMMYFUNCTION("""COMPUTED_VALUE"""),"XD2-MCA-019")</f>
        <v>XD2-MCA-019</v>
      </c>
      <c r="B960" s="1075" t="str">
        <f>IFERROR(__xludf.DUMMYFUNCTION("""COMPUTED_VALUE"""),"Máy cao áp phun thuốc")</f>
        <v>Máy cao áp phun thuốc</v>
      </c>
      <c r="C960" s="1076" t="str">
        <f>IFERROR(__xludf.DUMMYFUNCTION("""COMPUTED_VALUE"""),"XN Chuối DP2")</f>
        <v>XN Chuối DP2</v>
      </c>
      <c r="D960" s="1076" t="str">
        <f>IFERROR(__xludf.DUMMYFUNCTION("""COMPUTED_VALUE"""),"CAMBODIA")</f>
        <v>CAMBODIA</v>
      </c>
      <c r="E960" s="1076" t="str">
        <f>IFERROR(__xludf.DUMMYFUNCTION("""COMPUTED_VALUE"""),"1.5HP")</f>
        <v>1.5HP</v>
      </c>
      <c r="F960" s="1076"/>
      <c r="G960" s="1076"/>
      <c r="H960" s="1076" t="str">
        <f>IFERROR(__xludf.DUMMYFUNCTION("""COMPUTED_VALUE"""),"1.5HP")</f>
        <v>1.5HP</v>
      </c>
      <c r="I960" s="1076"/>
      <c r="J960" s="1076"/>
      <c r="K960" s="1076"/>
      <c r="L960" s="1076" t="str">
        <f>IFERROR(__xludf.DUMMYFUNCTION("""COMPUTED_VALUE"""),"KLH")</f>
        <v>KLH</v>
      </c>
    </row>
    <row r="961" customHeight="1" spans="1:12">
      <c r="A961" s="1089" t="str">
        <f>IFERROR(__xludf.DUMMYFUNCTION("""COMPUTED_VALUE"""),"XD2-MBC-003")</f>
        <v>XD2-MBC-003</v>
      </c>
      <c r="B961" s="1075" t="str">
        <f>IFERROR(__xludf.DUMMYFUNCTION("""COMPUTED_VALUE"""),"Máy băm cố định")</f>
        <v>Máy băm cố định</v>
      </c>
      <c r="C961" s="1076" t="str">
        <f>IFERROR(__xludf.DUMMYFUNCTION("""COMPUTED_VALUE"""),"XN Chuối DP2")</f>
        <v>XN Chuối DP2</v>
      </c>
      <c r="D961" s="1076" t="str">
        <f>IFERROR(__xludf.DUMMYFUNCTION("""COMPUTED_VALUE"""),"THACO AGRI")</f>
        <v>THACO AGRI</v>
      </c>
      <c r="E961" s="1076" t="str">
        <f>IFERROR(__xludf.DUMMYFUNCTION("""COMPUTED_VALUE"""),"CK-MB-22")</f>
        <v>CK-MB-22</v>
      </c>
      <c r="F961" s="1076"/>
      <c r="G961" s="1076" t="str">
        <f>IFERROR(__xludf.DUMMYFUNCTION("""COMPUTED_VALUE"""),"2024")</f>
        <v>2024</v>
      </c>
      <c r="H961" s="1076" t="str">
        <f>IFERROR(__xludf.DUMMYFUNCTION("""COMPUTED_VALUE"""),"Đ.CƠ điện 380v")</f>
        <v>Đ.CƠ điện 380v</v>
      </c>
      <c r="I961" s="1076"/>
      <c r="J961" s="1076"/>
      <c r="K961" s="1076"/>
      <c r="L961" s="1076" t="str">
        <f>IFERROR(__xludf.DUMMYFUNCTION("""COMPUTED_VALUE"""),"KLH")</f>
        <v>KLH</v>
      </c>
    </row>
    <row r="962" customHeight="1" spans="1:12">
      <c r="A962" s="1089" t="str">
        <f>IFERROR(__xludf.DUMMYFUNCTION("""COMPUTED_VALUE"""),"XD2-MBC-005")</f>
        <v>XD2-MBC-005</v>
      </c>
      <c r="B962" s="1075" t="str">
        <f>IFERROR(__xludf.DUMMYFUNCTION("""COMPUTED_VALUE"""),"Máy băm cố định")</f>
        <v>Máy băm cố định</v>
      </c>
      <c r="C962" s="1076" t="str">
        <f>IFERROR(__xludf.DUMMYFUNCTION("""COMPUTED_VALUE"""),"XN Chuối DP2")</f>
        <v>XN Chuối DP2</v>
      </c>
      <c r="D962" s="1076" t="str">
        <f>IFERROR(__xludf.DUMMYFUNCTION("""COMPUTED_VALUE"""),"THACO AGRI")</f>
        <v>THACO AGRI</v>
      </c>
      <c r="E962" s="1076" t="str">
        <f>IFERROR(__xludf.DUMMYFUNCTION("""COMPUTED_VALUE"""),"CK-MB-22")</f>
        <v>CK-MB-22</v>
      </c>
      <c r="F962" s="1076"/>
      <c r="G962" s="1076" t="str">
        <f>IFERROR(__xludf.DUMMYFUNCTION("""COMPUTED_VALUE"""),"2025")</f>
        <v>2025</v>
      </c>
      <c r="H962" s="1076" t="str">
        <f>IFERROR(__xludf.DUMMYFUNCTION("""COMPUTED_VALUE"""),"2,25x0,8x3,7m")</f>
        <v>2,25x0,8x3,7m</v>
      </c>
      <c r="I962" s="1076"/>
      <c r="J962" s="1076"/>
      <c r="K962" s="1076"/>
      <c r="L962" s="1076" t="str">
        <f>IFERROR(__xludf.DUMMYFUNCTION("""COMPUTED_VALUE"""),"KLH")</f>
        <v>KLH</v>
      </c>
    </row>
    <row r="963" customHeight="1" spans="1:12">
      <c r="A963" s="1089" t="str">
        <f>IFERROR(__xludf.DUMMYFUNCTION("""COMPUTED_VALUE"""),"XD2-MBC-006")</f>
        <v>XD2-MBC-006</v>
      </c>
      <c r="B963" s="1075" t="str">
        <f>IFERROR(__xludf.DUMMYFUNCTION("""COMPUTED_VALUE"""),"Máy băm cố định")</f>
        <v>Máy băm cố định</v>
      </c>
      <c r="C963" s="1076" t="str">
        <f>IFERROR(__xludf.DUMMYFUNCTION("""COMPUTED_VALUE"""),"XN Chuối DP2")</f>
        <v>XN Chuối DP2</v>
      </c>
      <c r="D963" s="1076" t="str">
        <f>IFERROR(__xludf.DUMMYFUNCTION("""COMPUTED_VALUE"""),"THACO AGRI")</f>
        <v>THACO AGRI</v>
      </c>
      <c r="E963" s="1076"/>
      <c r="F963" s="1076"/>
      <c r="G963" s="1076"/>
      <c r="H963" s="1076"/>
      <c r="I963" s="1076"/>
      <c r="J963" s="1076"/>
      <c r="K963" s="1076"/>
      <c r="L963" s="1076" t="str">
        <f>IFERROR(__xludf.DUMMYFUNCTION("""COMPUTED_VALUE"""),"KLH")</f>
        <v>KLH</v>
      </c>
    </row>
    <row r="964" customHeight="1" spans="1:12">
      <c r="A964" s="1089" t="str">
        <f>IFERROR(__xludf.DUMMYFUNCTION("""COMPUTED_VALUE"""),"XD2-MXM-001")</f>
        <v>XD2-MXM-001</v>
      </c>
      <c r="B964" s="1075" t="str">
        <f>IFERROR(__xludf.DUMMYFUNCTION("""COMPUTED_VALUE"""),"Rơ mooc gắn sau xe máy")</f>
        <v>Rơ mooc gắn sau xe máy</v>
      </c>
      <c r="C964" s="1076" t="str">
        <f>IFERROR(__xludf.DUMMYFUNCTION("""COMPUTED_VALUE"""),"XN Chuối DP2")</f>
        <v>XN Chuối DP2</v>
      </c>
      <c r="D964" s="1076" t="str">
        <f>IFERROR(__xludf.DUMMYFUNCTION("""COMPUTED_VALUE"""),"THACO AGRI")</f>
        <v>THACO AGRI</v>
      </c>
      <c r="E964" s="1076"/>
      <c r="F964" s="1076"/>
      <c r="G964" s="1076"/>
      <c r="H964" s="1076"/>
      <c r="I964" s="1076"/>
      <c r="J964" s="1076"/>
      <c r="K964" s="1076"/>
      <c r="L964" s="1076" t="str">
        <f>IFERROR(__xludf.DUMMYFUNCTION("""COMPUTED_VALUE"""),"KLH")</f>
        <v>KLH</v>
      </c>
    </row>
    <row r="965" customHeight="1" spans="1:12">
      <c r="A965" s="1089" t="str">
        <f>IFERROR(__xludf.DUMMYFUNCTION("""COMPUTED_VALUE"""),"XD2-MXM-002")</f>
        <v>XD2-MXM-002</v>
      </c>
      <c r="B965" s="1075" t="str">
        <f>IFERROR(__xludf.DUMMYFUNCTION("""COMPUTED_VALUE"""),"Rơ mooc gắn sau xe máy")</f>
        <v>Rơ mooc gắn sau xe máy</v>
      </c>
      <c r="C965" s="1076" t="str">
        <f>IFERROR(__xludf.DUMMYFUNCTION("""COMPUTED_VALUE"""),"XN Chuối DP2")</f>
        <v>XN Chuối DP2</v>
      </c>
      <c r="D965" s="1076" t="str">
        <f>IFERROR(__xludf.DUMMYFUNCTION("""COMPUTED_VALUE"""),"THACO AGRI")</f>
        <v>THACO AGRI</v>
      </c>
      <c r="E965" s="1076"/>
      <c r="F965" s="1076"/>
      <c r="G965" s="1076"/>
      <c r="H965" s="1076"/>
      <c r="I965" s="1076"/>
      <c r="J965" s="1076"/>
      <c r="K965" s="1076"/>
      <c r="L965" s="1076" t="str">
        <f>IFERROR(__xludf.DUMMYFUNCTION("""COMPUTED_VALUE"""),"KLH")</f>
        <v>KLH</v>
      </c>
    </row>
    <row r="966" customHeight="1" spans="1:12">
      <c r="A966" s="1089" t="str">
        <f>IFERROR(__xludf.DUMMYFUNCTION("""COMPUTED_VALUE"""),"XD2-MXM-003")</f>
        <v>XD2-MXM-003</v>
      </c>
      <c r="B966" s="1075" t="str">
        <f>IFERROR(__xludf.DUMMYFUNCTION("""COMPUTED_VALUE"""),"Rơ mooc gắn sau xe máy")</f>
        <v>Rơ mooc gắn sau xe máy</v>
      </c>
      <c r="C966" s="1076" t="str">
        <f>IFERROR(__xludf.DUMMYFUNCTION("""COMPUTED_VALUE"""),"XN Chuối DP2")</f>
        <v>XN Chuối DP2</v>
      </c>
      <c r="D966" s="1076" t="str">
        <f>IFERROR(__xludf.DUMMYFUNCTION("""COMPUTED_VALUE"""),"THACO AGRI")</f>
        <v>THACO AGRI</v>
      </c>
      <c r="E966" s="1076"/>
      <c r="F966" s="1076"/>
      <c r="G966" s="1076"/>
      <c r="H966" s="1076"/>
      <c r="I966" s="1076"/>
      <c r="J966" s="1076"/>
      <c r="K966" s="1076"/>
      <c r="L966" s="1076" t="str">
        <f>IFERROR(__xludf.DUMMYFUNCTION("""COMPUTED_VALUE"""),"KLH")</f>
        <v>KLH</v>
      </c>
    </row>
    <row r="967" customHeight="1" spans="1:12">
      <c r="A967" s="1089" t="str">
        <f>IFERROR(__xludf.DUMMYFUNCTION("""COMPUTED_VALUE"""),"XD2-MXM-004")</f>
        <v>XD2-MXM-004</v>
      </c>
      <c r="B967" s="1075" t="str">
        <f>IFERROR(__xludf.DUMMYFUNCTION("""COMPUTED_VALUE"""),"Rơ mooc gắn sau xe máy")</f>
        <v>Rơ mooc gắn sau xe máy</v>
      </c>
      <c r="C967" s="1076" t="str">
        <f>IFERROR(__xludf.DUMMYFUNCTION("""COMPUTED_VALUE"""),"XN Chuối DP2")</f>
        <v>XN Chuối DP2</v>
      </c>
      <c r="D967" s="1076" t="str">
        <f>IFERROR(__xludf.DUMMYFUNCTION("""COMPUTED_VALUE"""),"THACO AGRI")</f>
        <v>THACO AGRI</v>
      </c>
      <c r="E967" s="1076"/>
      <c r="F967" s="1076"/>
      <c r="G967" s="1076"/>
      <c r="H967" s="1076"/>
      <c r="I967" s="1076"/>
      <c r="J967" s="1076"/>
      <c r="K967" s="1076"/>
      <c r="L967" s="1076" t="str">
        <f>IFERROR(__xludf.DUMMYFUNCTION("""COMPUTED_VALUE"""),"KLH")</f>
        <v>KLH</v>
      </c>
    </row>
    <row r="968" customHeight="1" spans="1:12">
      <c r="A968" s="1089" t="str">
        <f>IFERROR(__xludf.DUMMYFUNCTION("""COMPUTED_VALUE"""),"XD2-MXM-005")</f>
        <v>XD2-MXM-005</v>
      </c>
      <c r="B968" s="1075" t="str">
        <f>IFERROR(__xludf.DUMMYFUNCTION("""COMPUTED_VALUE"""),"Rơ mooc gắn sau xe máy")</f>
        <v>Rơ mooc gắn sau xe máy</v>
      </c>
      <c r="C968" s="1076" t="str">
        <f>IFERROR(__xludf.DUMMYFUNCTION("""COMPUTED_VALUE"""),"XN Chuối DP2")</f>
        <v>XN Chuối DP2</v>
      </c>
      <c r="D968" s="1076" t="str">
        <f>IFERROR(__xludf.DUMMYFUNCTION("""COMPUTED_VALUE"""),"THACO AGRI")</f>
        <v>THACO AGRI</v>
      </c>
      <c r="E968" s="1076"/>
      <c r="F968" s="1076"/>
      <c r="G968" s="1076"/>
      <c r="H968" s="1076"/>
      <c r="I968" s="1076"/>
      <c r="J968" s="1076"/>
      <c r="K968" s="1076"/>
      <c r="L968" s="1076" t="str">
        <f>IFERROR(__xludf.DUMMYFUNCTION("""COMPUTED_VALUE"""),"KLH")</f>
        <v>KLH</v>
      </c>
    </row>
    <row r="969" customHeight="1" spans="1:12">
      <c r="A969" s="1089" t="str">
        <f>IFERROR(__xludf.DUMMYFUNCTION("""COMPUTED_VALUE"""),"XD2-MXM-006")</f>
        <v>XD2-MXM-006</v>
      </c>
      <c r="B969" s="1075" t="str">
        <f>IFERROR(__xludf.DUMMYFUNCTION("""COMPUTED_VALUE"""),"Rơ mooc gắn sau xe máy")</f>
        <v>Rơ mooc gắn sau xe máy</v>
      </c>
      <c r="C969" s="1076" t="str">
        <f>IFERROR(__xludf.DUMMYFUNCTION("""COMPUTED_VALUE"""),"XN Chuối DP2")</f>
        <v>XN Chuối DP2</v>
      </c>
      <c r="D969" s="1076" t="str">
        <f>IFERROR(__xludf.DUMMYFUNCTION("""COMPUTED_VALUE"""),"THACO AGRI")</f>
        <v>THACO AGRI</v>
      </c>
      <c r="E969" s="1076"/>
      <c r="F969" s="1076"/>
      <c r="G969" s="1076"/>
      <c r="H969" s="1076"/>
      <c r="I969" s="1076"/>
      <c r="J969" s="1076"/>
      <c r="K969" s="1076"/>
      <c r="L969" s="1076" t="str">
        <f>IFERROR(__xludf.DUMMYFUNCTION("""COMPUTED_VALUE"""),"KLH")</f>
        <v>KLH</v>
      </c>
    </row>
    <row r="970" customHeight="1" spans="1:12">
      <c r="A970" s="1089" t="str">
        <f>IFERROR(__xludf.DUMMYFUNCTION("""COMPUTED_VALUE"""),"XD2-MXM-007")</f>
        <v>XD2-MXM-007</v>
      </c>
      <c r="B970" s="1075" t="str">
        <f>IFERROR(__xludf.DUMMYFUNCTION("""COMPUTED_VALUE"""),"Rơ mooc gắn sau xe máy")</f>
        <v>Rơ mooc gắn sau xe máy</v>
      </c>
      <c r="C970" s="1076" t="str">
        <f>IFERROR(__xludf.DUMMYFUNCTION("""COMPUTED_VALUE"""),"XN Chuối DP2")</f>
        <v>XN Chuối DP2</v>
      </c>
      <c r="D970" s="1076" t="str">
        <f>IFERROR(__xludf.DUMMYFUNCTION("""COMPUTED_VALUE"""),"THACO AGRI")</f>
        <v>THACO AGRI</v>
      </c>
      <c r="E970" s="1076"/>
      <c r="F970" s="1076"/>
      <c r="G970" s="1076"/>
      <c r="H970" s="1076"/>
      <c r="I970" s="1076"/>
      <c r="J970" s="1076"/>
      <c r="K970" s="1076"/>
      <c r="L970" s="1076" t="str">
        <f>IFERROR(__xludf.DUMMYFUNCTION("""COMPUTED_VALUE"""),"KLH")</f>
        <v>KLH</v>
      </c>
    </row>
    <row r="971" customHeight="1" spans="1:12">
      <c r="A971" s="1089" t="str">
        <f>IFERROR(__xludf.DUMMYFUNCTION("""COMPUTED_VALUE"""),"XD2-MXM-008")</f>
        <v>XD2-MXM-008</v>
      </c>
      <c r="B971" s="1075" t="str">
        <f>IFERROR(__xludf.DUMMYFUNCTION("""COMPUTED_VALUE"""),"Rơ mooc gắn sau xe máy")</f>
        <v>Rơ mooc gắn sau xe máy</v>
      </c>
      <c r="C971" s="1076" t="str">
        <f>IFERROR(__xludf.DUMMYFUNCTION("""COMPUTED_VALUE"""),"XN Chuối DP2")</f>
        <v>XN Chuối DP2</v>
      </c>
      <c r="D971" s="1076" t="str">
        <f>IFERROR(__xludf.DUMMYFUNCTION("""COMPUTED_VALUE"""),"THACO AGRI")</f>
        <v>THACO AGRI</v>
      </c>
      <c r="E971" s="1076"/>
      <c r="F971" s="1076"/>
      <c r="G971" s="1076"/>
      <c r="H971" s="1076"/>
      <c r="I971" s="1076"/>
      <c r="J971" s="1076"/>
      <c r="K971" s="1076"/>
      <c r="L971" s="1076" t="str">
        <f>IFERROR(__xludf.DUMMYFUNCTION("""COMPUTED_VALUE"""),"KLH")</f>
        <v>KLH</v>
      </c>
    </row>
    <row r="972" customHeight="1" spans="1:12">
      <c r="A972" s="1089" t="str">
        <f>IFERROR(__xludf.DUMMYFUNCTION("""COMPUTED_VALUE"""),"XD2-MCL-001")</f>
        <v>XD2-MCL-001</v>
      </c>
      <c r="B972" s="1075" t="str">
        <f>IFERROR(__xludf.DUMMYFUNCTION("""COMPUTED_VALUE"""),"Rơ mooc clethon")</f>
        <v>Rơ mooc clethon</v>
      </c>
      <c r="C972" s="1076" t="str">
        <f>IFERROR(__xludf.DUMMYFUNCTION("""COMPUTED_VALUE"""),"XN Chuối DP2")</f>
        <v>XN Chuối DP2</v>
      </c>
      <c r="D972" s="1076" t="str">
        <f>IFERROR(__xludf.DUMMYFUNCTION("""COMPUTED_VALUE"""),"THACO AGRI")</f>
        <v>THACO AGRI</v>
      </c>
      <c r="E972" s="1076"/>
      <c r="F972" s="1076"/>
      <c r="G972" s="1076"/>
      <c r="H972" s="1076" t="str">
        <f>IFERROR(__xludf.DUMMYFUNCTION("""COMPUTED_VALUE"""),"4.5x2.5x1.4")</f>
        <v>4.5x2.5x1.4</v>
      </c>
      <c r="I972" s="1076"/>
      <c r="J972" s="1076"/>
      <c r="K972" s="1076"/>
      <c r="L972" s="1076" t="str">
        <f>IFERROR(__xludf.DUMMYFUNCTION("""COMPUTED_VALUE"""),"KLH")</f>
        <v>KLH</v>
      </c>
    </row>
    <row r="973" customHeight="1" spans="1:12">
      <c r="A973" s="1089" t="str">
        <f>IFERROR(__xludf.DUMMYFUNCTION("""COMPUTED_VALUE"""),"XD2-MCL-002")</f>
        <v>XD2-MCL-002</v>
      </c>
      <c r="B973" s="1075" t="str">
        <f>IFERROR(__xludf.DUMMYFUNCTION("""COMPUTED_VALUE"""),"Rơ mooc clethon")</f>
        <v>Rơ mooc clethon</v>
      </c>
      <c r="C973" s="1076" t="str">
        <f>IFERROR(__xludf.DUMMYFUNCTION("""COMPUTED_VALUE"""),"XN Chuối DP2")</f>
        <v>XN Chuối DP2</v>
      </c>
      <c r="D973" s="1076" t="str">
        <f>IFERROR(__xludf.DUMMYFUNCTION("""COMPUTED_VALUE"""),"THACO AGRI")</f>
        <v>THACO AGRI</v>
      </c>
      <c r="E973" s="1076"/>
      <c r="F973" s="1076"/>
      <c r="G973" s="1076"/>
      <c r="H973" s="1076" t="str">
        <f>IFERROR(__xludf.DUMMYFUNCTION("""COMPUTED_VALUE"""),"4.5x2.5x1.4")</f>
        <v>4.5x2.5x1.4</v>
      </c>
      <c r="I973" s="1076"/>
      <c r="J973" s="1076"/>
      <c r="K973" s="1076"/>
      <c r="L973" s="1076" t="str">
        <f>IFERROR(__xludf.DUMMYFUNCTION("""COMPUTED_VALUE"""),"KLH")</f>
        <v>KLH</v>
      </c>
    </row>
    <row r="974" customHeight="1" spans="1:12">
      <c r="A974" s="1089" t="str">
        <f>IFERROR(__xludf.DUMMYFUNCTION("""COMPUTED_VALUE"""),"XD2-MKC-001")</f>
        <v>XD2-MKC-001</v>
      </c>
      <c r="B974" s="1075" t="str">
        <f>IFERROR(__xludf.DUMMYFUNCTION("""COMPUTED_VALUE"""),"Máy kéo chuối (Xăng)")</f>
        <v>Máy kéo chuối (Xăng)</v>
      </c>
      <c r="C974" s="1076" t="str">
        <f>IFERROR(__xludf.DUMMYFUNCTION("""COMPUTED_VALUE"""),"XN Chuối DP2")</f>
        <v>XN Chuối DP2</v>
      </c>
      <c r="D974" s="1076" t="str">
        <f>IFERROR(__xludf.DUMMYFUNCTION("""COMPUTED_VALUE"""),"DREAM")</f>
        <v>DREAM</v>
      </c>
      <c r="E974" s="1076" t="str">
        <f>IFERROR(__xludf.DUMMYFUNCTION("""COMPUTED_VALUE"""),"CGH-MKC-DREAM")</f>
        <v>CGH-MKC-DREAM</v>
      </c>
      <c r="F974" s="1076"/>
      <c r="G974" s="1076" t="str">
        <f>IFERROR(__xludf.DUMMYFUNCTION("""COMPUTED_VALUE"""),"2024")</f>
        <v>2024</v>
      </c>
      <c r="H974" s="1076" t="str">
        <f>IFERROR(__xludf.DUMMYFUNCTION("""COMPUTED_VALUE"""),"9.25HP")</f>
        <v>9.25HP</v>
      </c>
      <c r="I974" s="1076" t="str">
        <f>IFERROR(__xludf.DUMMYFUNCTION("""COMPUTED_VALUE"""),"10H05075")</f>
        <v>10H05075</v>
      </c>
      <c r="J974" s="1076"/>
      <c r="K974" s="1076">
        <f>IFERROR(__xludf.DUMMYFUNCTION("""COMPUTED_VALUE"""),0.56)</f>
        <v>0.56</v>
      </c>
      <c r="L974" s="1076" t="str">
        <f>IFERROR(__xludf.DUMMYFUNCTION("""COMPUTED_VALUE"""),"KLH")</f>
        <v>KLH</v>
      </c>
    </row>
    <row r="975" customHeight="1" spans="1:12">
      <c r="A975" s="1089" t="str">
        <f>IFERROR(__xludf.DUMMYFUNCTION("""COMPUTED_VALUE"""),"XD2-MKC-002")</f>
        <v>XD2-MKC-002</v>
      </c>
      <c r="B975" s="1075" t="str">
        <f>IFERROR(__xludf.DUMMYFUNCTION("""COMPUTED_VALUE"""),"Máy kéo chuối (Xăng)")</f>
        <v>Máy kéo chuối (Xăng)</v>
      </c>
      <c r="C975" s="1076" t="str">
        <f>IFERROR(__xludf.DUMMYFUNCTION("""COMPUTED_VALUE"""),"XN Chuối DP2")</f>
        <v>XN Chuối DP2</v>
      </c>
      <c r="D975" s="1076" t="str">
        <f>IFERROR(__xludf.DUMMYFUNCTION("""COMPUTED_VALUE"""),"DREAM")</f>
        <v>DREAM</v>
      </c>
      <c r="E975" s="1076" t="str">
        <f>IFERROR(__xludf.DUMMYFUNCTION("""COMPUTED_VALUE"""),"CGH-MKC-DREAM")</f>
        <v>CGH-MKC-DREAM</v>
      </c>
      <c r="F975" s="1076"/>
      <c r="G975" s="1076" t="str">
        <f>IFERROR(__xludf.DUMMYFUNCTION("""COMPUTED_VALUE"""),"2024")</f>
        <v>2024</v>
      </c>
      <c r="H975" s="1076" t="str">
        <f>IFERROR(__xludf.DUMMYFUNCTION("""COMPUTED_VALUE"""),"9.25HP")</f>
        <v>9.25HP</v>
      </c>
      <c r="I975" s="1076" t="str">
        <f>IFERROR(__xludf.DUMMYFUNCTION("""COMPUTED_VALUE"""),"10D66471")</f>
        <v>10D66471</v>
      </c>
      <c r="J975" s="1076"/>
      <c r="K975" s="1076">
        <f>IFERROR(__xludf.DUMMYFUNCTION("""COMPUTED_VALUE"""),0.56)</f>
        <v>0.56</v>
      </c>
      <c r="L975" s="1076" t="str">
        <f>IFERROR(__xludf.DUMMYFUNCTION("""COMPUTED_VALUE"""),"KLH")</f>
        <v>KLH</v>
      </c>
    </row>
    <row r="976" customHeight="1" spans="1:12">
      <c r="A976" s="1089" t="str">
        <f>IFERROR(__xludf.DUMMYFUNCTION("""COMPUTED_VALUE"""),"XD2-MKC-003")</f>
        <v>XD2-MKC-003</v>
      </c>
      <c r="B976" s="1075" t="str">
        <f>IFERROR(__xludf.DUMMYFUNCTION("""COMPUTED_VALUE"""),"Máy kéo chuối (Xăng)")</f>
        <v>Máy kéo chuối (Xăng)</v>
      </c>
      <c r="C976" s="1076" t="str">
        <f>IFERROR(__xludf.DUMMYFUNCTION("""COMPUTED_VALUE"""),"XN Chuối DP2")</f>
        <v>XN Chuối DP2</v>
      </c>
      <c r="D976" s="1076" t="str">
        <f>IFERROR(__xludf.DUMMYFUNCTION("""COMPUTED_VALUE"""),"DREAM")</f>
        <v>DREAM</v>
      </c>
      <c r="E976" s="1076" t="str">
        <f>IFERROR(__xludf.DUMMYFUNCTION("""COMPUTED_VALUE"""),"CGH-MKC-DREAM")</f>
        <v>CGH-MKC-DREAM</v>
      </c>
      <c r="F976" s="1076"/>
      <c r="G976" s="1076" t="str">
        <f>IFERROR(__xludf.DUMMYFUNCTION("""COMPUTED_VALUE"""),"2025")</f>
        <v>2025</v>
      </c>
      <c r="H976" s="1076" t="str">
        <f>IFERROR(__xludf.DUMMYFUNCTION("""COMPUTED_VALUE"""),"9.25HP")</f>
        <v>9.25HP</v>
      </c>
      <c r="I976" s="1076" t="str">
        <f>IFERROR(__xludf.DUMMYFUNCTION("""COMPUTED_VALUE"""),"Mất sm")</f>
        <v>Mất sm</v>
      </c>
      <c r="J976" s="1076"/>
      <c r="K976" s="1076">
        <f>IFERROR(__xludf.DUMMYFUNCTION("""COMPUTED_VALUE"""),0.56)</f>
        <v>0.56</v>
      </c>
      <c r="L976" s="1076" t="str">
        <f>IFERROR(__xludf.DUMMYFUNCTION("""COMPUTED_VALUE"""),"KLH")</f>
        <v>KLH</v>
      </c>
    </row>
    <row r="977" customHeight="1" spans="1:12">
      <c r="A977" s="1089" t="str">
        <f>IFERROR(__xludf.DUMMYFUNCTION("""COMPUTED_VALUE"""),"XD2-MKC-004")</f>
        <v>XD2-MKC-004</v>
      </c>
      <c r="B977" s="1075" t="str">
        <f>IFERROR(__xludf.DUMMYFUNCTION("""COMPUTED_VALUE"""),"Máy kéo chuối (Xăng)")</f>
        <v>Máy kéo chuối (Xăng)</v>
      </c>
      <c r="C977" s="1076" t="str">
        <f>IFERROR(__xludf.DUMMYFUNCTION("""COMPUTED_VALUE"""),"XN Chuối DP2")</f>
        <v>XN Chuối DP2</v>
      </c>
      <c r="D977" s="1076" t="str">
        <f>IFERROR(__xludf.DUMMYFUNCTION("""COMPUTED_VALUE"""),"DREAM")</f>
        <v>DREAM</v>
      </c>
      <c r="E977" s="1076" t="str">
        <f>IFERROR(__xludf.DUMMYFUNCTION("""COMPUTED_VALUE"""),"CGH-MKC-DREAM")</f>
        <v>CGH-MKC-DREAM</v>
      </c>
      <c r="F977" s="1076"/>
      <c r="G977" s="1076" t="str">
        <f>IFERROR(__xludf.DUMMYFUNCTION("""COMPUTED_VALUE"""),"2025")</f>
        <v>2025</v>
      </c>
      <c r="H977" s="1076" t="str">
        <f>IFERROR(__xludf.DUMMYFUNCTION("""COMPUTED_VALUE"""),"9.25HP")</f>
        <v>9.25HP</v>
      </c>
      <c r="I977" s="1076" t="str">
        <f>IFERROR(__xludf.DUMMYFUNCTION("""COMPUTED_VALUE"""),"09H71220")</f>
        <v>09H71220</v>
      </c>
      <c r="J977" s="1076"/>
      <c r="K977" s="1076">
        <f>IFERROR(__xludf.DUMMYFUNCTION("""COMPUTED_VALUE"""),0.56)</f>
        <v>0.56</v>
      </c>
      <c r="L977" s="1076" t="str">
        <f>IFERROR(__xludf.DUMMYFUNCTION("""COMPUTED_VALUE"""),"KLH")</f>
        <v>KLH</v>
      </c>
    </row>
    <row r="978" customHeight="1" spans="1:12">
      <c r="A978" s="1089" t="str">
        <f>IFERROR(__xludf.DUMMYFUNCTION("""COMPUTED_VALUE"""),"XD2-MKC-005")</f>
        <v>XD2-MKC-005</v>
      </c>
      <c r="B978" s="1075" t="str">
        <f>IFERROR(__xludf.DUMMYFUNCTION("""COMPUTED_VALUE"""),"Máy kéo chuối (Xăng)")</f>
        <v>Máy kéo chuối (Xăng)</v>
      </c>
      <c r="C978" s="1076" t="str">
        <f>IFERROR(__xludf.DUMMYFUNCTION("""COMPUTED_VALUE"""),"XN Chuối DP2")</f>
        <v>XN Chuối DP2</v>
      </c>
      <c r="D978" s="1076" t="str">
        <f>IFERROR(__xludf.DUMMYFUNCTION("""COMPUTED_VALUE"""),"DREAM")</f>
        <v>DREAM</v>
      </c>
      <c r="E978" s="1076" t="str">
        <f>IFERROR(__xludf.DUMMYFUNCTION("""COMPUTED_VALUE"""),"XKC-25")</f>
        <v>XKC-25</v>
      </c>
      <c r="F978" s="1076"/>
      <c r="G978" s="1076" t="str">
        <f>IFERROR(__xludf.DUMMYFUNCTION("""COMPUTED_VALUE"""),"2025")</f>
        <v>2025</v>
      </c>
      <c r="H978" s="1076" t="str">
        <f>IFERROR(__xludf.DUMMYFUNCTION("""COMPUTED_VALUE"""),"9.25HP")</f>
        <v>9.25HP</v>
      </c>
      <c r="I978" s="1076" t="str">
        <f>IFERROR(__xludf.DUMMYFUNCTION("""COMPUTED_VALUE"""),"25")</f>
        <v>25</v>
      </c>
      <c r="J978" s="1076"/>
      <c r="K978" s="1076">
        <f>IFERROR(__xludf.DUMMYFUNCTION("""COMPUTED_VALUE"""),0.56)</f>
        <v>0.56</v>
      </c>
      <c r="L978" s="1076" t="str">
        <f>IFERROR(__xludf.DUMMYFUNCTION("""COMPUTED_VALUE"""),"KLH")</f>
        <v>KLH</v>
      </c>
    </row>
    <row r="979" customHeight="1" spans="1:12">
      <c r="A979" s="1089" t="str">
        <f>IFERROR(__xludf.DUMMYFUNCTION("""COMPUTED_VALUE"""),"XD2-MKC-006")</f>
        <v>XD2-MKC-006</v>
      </c>
      <c r="B979" s="1075" t="str">
        <f>IFERROR(__xludf.DUMMYFUNCTION("""COMPUTED_VALUE"""),"Máy kéo chuối (Xăng)")</f>
        <v>Máy kéo chuối (Xăng)</v>
      </c>
      <c r="C979" s="1076" t="str">
        <f>IFERROR(__xludf.DUMMYFUNCTION("""COMPUTED_VALUE"""),"XN Chuối DP2")</f>
        <v>XN Chuối DP2</v>
      </c>
      <c r="D979" s="1076" t="str">
        <f>IFERROR(__xludf.DUMMYFUNCTION("""COMPUTED_VALUE"""),"DREAM")</f>
        <v>DREAM</v>
      </c>
      <c r="E979" s="1076" t="str">
        <f>IFERROR(__xludf.DUMMYFUNCTION("""COMPUTED_VALUE"""),"XKC-27")</f>
        <v>XKC-27</v>
      </c>
      <c r="F979" s="1076"/>
      <c r="G979" s="1076" t="str">
        <f>IFERROR(__xludf.DUMMYFUNCTION("""COMPUTED_VALUE"""),"2025")</f>
        <v>2025</v>
      </c>
      <c r="H979" s="1076" t="str">
        <f>IFERROR(__xludf.DUMMYFUNCTION("""COMPUTED_VALUE"""),"9.25HP")</f>
        <v>9.25HP</v>
      </c>
      <c r="I979" s="1076" t="str">
        <f>IFERROR(__xludf.DUMMYFUNCTION("""COMPUTED_VALUE"""),"27")</f>
        <v>27</v>
      </c>
      <c r="J979" s="1076"/>
      <c r="K979" s="1076">
        <f>IFERROR(__xludf.DUMMYFUNCTION("""COMPUTED_VALUE"""),0.56)</f>
        <v>0.56</v>
      </c>
      <c r="L979" s="1076" t="str">
        <f>IFERROR(__xludf.DUMMYFUNCTION("""COMPUTED_VALUE"""),"KLH")</f>
        <v>KLH</v>
      </c>
    </row>
    <row r="980" customHeight="1" spans="1:12">
      <c r="A980" s="1089" t="str">
        <f>IFERROR(__xludf.DUMMYFUNCTION("""COMPUTED_VALUE"""),"XD2-MKC-007")</f>
        <v>XD2-MKC-007</v>
      </c>
      <c r="B980" s="1075" t="str">
        <f>IFERROR(__xludf.DUMMYFUNCTION("""COMPUTED_VALUE"""),"Máy kéo chuối (Xăng)")</f>
        <v>Máy kéo chuối (Xăng)</v>
      </c>
      <c r="C980" s="1076" t="str">
        <f>IFERROR(__xludf.DUMMYFUNCTION("""COMPUTED_VALUE"""),"XN Chuối DP2")</f>
        <v>XN Chuối DP2</v>
      </c>
      <c r="D980" s="1076" t="str">
        <f>IFERROR(__xludf.DUMMYFUNCTION("""COMPUTED_VALUE"""),"DREAM")</f>
        <v>DREAM</v>
      </c>
      <c r="E980" s="1076" t="str">
        <f>IFERROR(__xludf.DUMMYFUNCTION("""COMPUTED_VALUE"""),"XKC-37")</f>
        <v>XKC-37</v>
      </c>
      <c r="F980" s="1076"/>
      <c r="G980" s="1076" t="str">
        <f>IFERROR(__xludf.DUMMYFUNCTION("""COMPUTED_VALUE"""),"2025")</f>
        <v>2025</v>
      </c>
      <c r="H980" s="1076" t="str">
        <f>IFERROR(__xludf.DUMMYFUNCTION("""COMPUTED_VALUE"""),"9.25HP")</f>
        <v>9.25HP</v>
      </c>
      <c r="I980" s="1076"/>
      <c r="J980" s="1076"/>
      <c r="K980" s="1076">
        <f>IFERROR(__xludf.DUMMYFUNCTION("""COMPUTED_VALUE"""),0.56)</f>
        <v>0.56</v>
      </c>
      <c r="L980" s="1076" t="str">
        <f>IFERROR(__xludf.DUMMYFUNCTION("""COMPUTED_VALUE"""),"KLH")</f>
        <v>KLH</v>
      </c>
    </row>
    <row r="981" customHeight="1" spans="1:12">
      <c r="A981" s="1089" t="str">
        <f>IFERROR(__xludf.DUMMYFUNCTION("""COMPUTED_VALUE"""),"XD2-MKC-008")</f>
        <v>XD2-MKC-008</v>
      </c>
      <c r="B981" s="1075" t="str">
        <f>IFERROR(__xludf.DUMMYFUNCTION("""COMPUTED_VALUE"""),"Máy kéo chuối (Xăng)")</f>
        <v>Máy kéo chuối (Xăng)</v>
      </c>
      <c r="C981" s="1076" t="str">
        <f>IFERROR(__xludf.DUMMYFUNCTION("""COMPUTED_VALUE"""),"XN Chuối DP2")</f>
        <v>XN Chuối DP2</v>
      </c>
      <c r="D981" s="1076" t="str">
        <f>IFERROR(__xludf.DUMMYFUNCTION("""COMPUTED_VALUE"""),"DREAM")</f>
        <v>DREAM</v>
      </c>
      <c r="E981" s="1076" t="str">
        <f>IFERROR(__xludf.DUMMYFUNCTION("""COMPUTED_VALUE"""),"XKC-42")</f>
        <v>XKC-42</v>
      </c>
      <c r="F981" s="1076"/>
      <c r="G981" s="1076" t="str">
        <f>IFERROR(__xludf.DUMMYFUNCTION("""COMPUTED_VALUE"""),"2025")</f>
        <v>2025</v>
      </c>
      <c r="H981" s="1076" t="str">
        <f>IFERROR(__xludf.DUMMYFUNCTION("""COMPUTED_VALUE"""),"9.25HP")</f>
        <v>9.25HP</v>
      </c>
      <c r="I981" s="1076"/>
      <c r="J981" s="1076"/>
      <c r="K981" s="1076">
        <f>IFERROR(__xludf.DUMMYFUNCTION("""COMPUTED_VALUE"""),0.56)</f>
        <v>0.56</v>
      </c>
      <c r="L981" s="1076" t="str">
        <f>IFERROR(__xludf.DUMMYFUNCTION("""COMPUTED_VALUE"""),"KLH")</f>
        <v>KLH</v>
      </c>
    </row>
    <row r="982" customHeight="1" spans="1:12">
      <c r="A982" s="1089" t="str">
        <f>IFERROR(__xludf.DUMMYFUNCTION("""COMPUTED_VALUE"""),"XD2-MKC-009")</f>
        <v>XD2-MKC-009</v>
      </c>
      <c r="B982" s="1075" t="str">
        <f>IFERROR(__xludf.DUMMYFUNCTION("""COMPUTED_VALUE"""),"Máy kéo chuối (Xăng)")</f>
        <v>Máy kéo chuối (Xăng)</v>
      </c>
      <c r="C982" s="1076" t="str">
        <f>IFERROR(__xludf.DUMMYFUNCTION("""COMPUTED_VALUE"""),"XN Chuối DP2")</f>
        <v>XN Chuối DP2</v>
      </c>
      <c r="D982" s="1076" t="str">
        <f>IFERROR(__xludf.DUMMYFUNCTION("""COMPUTED_VALUE"""),"DREAM")</f>
        <v>DREAM</v>
      </c>
      <c r="E982" s="1076" t="str">
        <f>IFERROR(__xludf.DUMMYFUNCTION("""COMPUTED_VALUE"""),"XKC-43")</f>
        <v>XKC-43</v>
      </c>
      <c r="F982" s="1076"/>
      <c r="G982" s="1076" t="str">
        <f>IFERROR(__xludf.DUMMYFUNCTION("""COMPUTED_VALUE"""),"2025")</f>
        <v>2025</v>
      </c>
      <c r="H982" s="1076" t="str">
        <f>IFERROR(__xludf.DUMMYFUNCTION("""COMPUTED_VALUE"""),"9.25HP")</f>
        <v>9.25HP</v>
      </c>
      <c r="I982" s="1076"/>
      <c r="J982" s="1076"/>
      <c r="K982" s="1076">
        <f>IFERROR(__xludf.DUMMYFUNCTION("""COMPUTED_VALUE"""),0.56)</f>
        <v>0.56</v>
      </c>
      <c r="L982" s="1076" t="str">
        <f>IFERROR(__xludf.DUMMYFUNCTION("""COMPUTED_VALUE"""),"KLH")</f>
        <v>KLH</v>
      </c>
    </row>
    <row r="983" customHeight="1" spans="1:12">
      <c r="A983" s="1089" t="str">
        <f>IFERROR(__xludf.DUMMYFUNCTION("""COMPUTED_VALUE"""),"XD2-MKC-010")</f>
        <v>XD2-MKC-010</v>
      </c>
      <c r="B983" s="1075" t="str">
        <f>IFERROR(__xludf.DUMMYFUNCTION("""COMPUTED_VALUE"""),"Máy kéo chuối (Xăng)")</f>
        <v>Máy kéo chuối (Xăng)</v>
      </c>
      <c r="C983" s="1076" t="str">
        <f>IFERROR(__xludf.DUMMYFUNCTION("""COMPUTED_VALUE"""),"XN Chuối DP2")</f>
        <v>XN Chuối DP2</v>
      </c>
      <c r="D983" s="1076" t="str">
        <f>IFERROR(__xludf.DUMMYFUNCTION("""COMPUTED_VALUE"""),"DREAM")</f>
        <v>DREAM</v>
      </c>
      <c r="E983" s="1076" t="str">
        <f>IFERROR(__xludf.DUMMYFUNCTION("""COMPUTED_VALUE"""),"XKC-44")</f>
        <v>XKC-44</v>
      </c>
      <c r="F983" s="1076"/>
      <c r="G983" s="1076" t="str">
        <f>IFERROR(__xludf.DUMMYFUNCTION("""COMPUTED_VALUE"""),"2025")</f>
        <v>2025</v>
      </c>
      <c r="H983" s="1076" t="str">
        <f>IFERROR(__xludf.DUMMYFUNCTION("""COMPUTED_VALUE"""),"9.25HP")</f>
        <v>9.25HP</v>
      </c>
      <c r="I983" s="1076"/>
      <c r="J983" s="1076"/>
      <c r="K983" s="1076">
        <f>IFERROR(__xludf.DUMMYFUNCTION("""COMPUTED_VALUE"""),0.56)</f>
        <v>0.56</v>
      </c>
      <c r="L983" s="1076" t="str">
        <f>IFERROR(__xludf.DUMMYFUNCTION("""COMPUTED_VALUE"""),"KLH")</f>
        <v>KLH</v>
      </c>
    </row>
    <row r="984" customHeight="1" spans="1:12">
      <c r="A984" s="1089" t="str">
        <f>IFERROR(__xludf.DUMMYFUNCTION("""COMPUTED_VALUE"""),"XD2-MKC-011")</f>
        <v>XD2-MKC-011</v>
      </c>
      <c r="B984" s="1075" t="str">
        <f>IFERROR(__xludf.DUMMYFUNCTION("""COMPUTED_VALUE"""),"Máy kéo chuối (Xăng)")</f>
        <v>Máy kéo chuối (Xăng)</v>
      </c>
      <c r="C984" s="1076" t="str">
        <f>IFERROR(__xludf.DUMMYFUNCTION("""COMPUTED_VALUE"""),"XN Chuối DP2")</f>
        <v>XN Chuối DP2</v>
      </c>
      <c r="D984" s="1076" t="str">
        <f>IFERROR(__xludf.DUMMYFUNCTION("""COMPUTED_VALUE"""),"DREAM")</f>
        <v>DREAM</v>
      </c>
      <c r="E984" s="1076" t="str">
        <f>IFERROR(__xludf.DUMMYFUNCTION("""COMPUTED_VALUE"""),"XKC-45")</f>
        <v>XKC-45</v>
      </c>
      <c r="F984" s="1076"/>
      <c r="G984" s="1076" t="str">
        <f>IFERROR(__xludf.DUMMYFUNCTION("""COMPUTED_VALUE"""),"2025")</f>
        <v>2025</v>
      </c>
      <c r="H984" s="1076" t="str">
        <f>IFERROR(__xludf.DUMMYFUNCTION("""COMPUTED_VALUE"""),"9.25HP")</f>
        <v>9.25HP</v>
      </c>
      <c r="I984" s="1076"/>
      <c r="J984" s="1076"/>
      <c r="K984" s="1076">
        <f>IFERROR(__xludf.DUMMYFUNCTION("""COMPUTED_VALUE"""),0.56)</f>
        <v>0.56</v>
      </c>
      <c r="L984" s="1076" t="str">
        <f>IFERROR(__xludf.DUMMYFUNCTION("""COMPUTED_VALUE"""),"KLH")</f>
        <v>KLH</v>
      </c>
    </row>
    <row r="985" customHeight="1" spans="1:12">
      <c r="A985" s="1089" t="str">
        <f>IFERROR(__xludf.DUMMYFUNCTION("""COMPUTED_VALUE"""),"XD2-MKC-012")</f>
        <v>XD2-MKC-012</v>
      </c>
      <c r="B985" s="1075" t="str">
        <f>IFERROR(__xludf.DUMMYFUNCTION("""COMPUTED_VALUE"""),"Máy kéo chuối (Xăng)")</f>
        <v>Máy kéo chuối (Xăng)</v>
      </c>
      <c r="C985" s="1076" t="str">
        <f>IFERROR(__xludf.DUMMYFUNCTION("""COMPUTED_VALUE"""),"XN Chuối DP2")</f>
        <v>XN Chuối DP2</v>
      </c>
      <c r="D985" s="1076"/>
      <c r="E985" s="1076"/>
      <c r="F985" s="1076"/>
      <c r="G985" s="1076"/>
      <c r="H985" s="1076"/>
      <c r="I985" s="1076"/>
      <c r="J985" s="1076"/>
      <c r="K985" s="1076">
        <f>IFERROR(__xludf.DUMMYFUNCTION("""COMPUTED_VALUE"""),0.56)</f>
        <v>0.56</v>
      </c>
      <c r="L985" s="1076" t="str">
        <f>IFERROR(__xludf.DUMMYFUNCTION("""COMPUTED_VALUE"""),"KLH")</f>
        <v>KLH</v>
      </c>
    </row>
    <row r="986" customHeight="1" spans="1:12">
      <c r="A986" s="1089" t="str">
        <f>IFERROR(__xludf.DUMMYFUNCTION("""COMPUTED_VALUE"""),"XD2-MKC-013")</f>
        <v>XD2-MKC-013</v>
      </c>
      <c r="B986" s="1075" t="str">
        <f>IFERROR(__xludf.DUMMYFUNCTION("""COMPUTED_VALUE"""),"Máy kéo chuối (Xăng)")</f>
        <v>Máy kéo chuối (Xăng)</v>
      </c>
      <c r="C986" s="1076" t="str">
        <f>IFERROR(__xludf.DUMMYFUNCTION("""COMPUTED_VALUE"""),"XN Chuối DP2")</f>
        <v>XN Chuối DP2</v>
      </c>
      <c r="D986" s="1076"/>
      <c r="E986" s="1076"/>
      <c r="F986" s="1076"/>
      <c r="G986" s="1076"/>
      <c r="H986" s="1076"/>
      <c r="I986" s="1076"/>
      <c r="J986" s="1076"/>
      <c r="K986" s="1076">
        <f>IFERROR(__xludf.DUMMYFUNCTION("""COMPUTED_VALUE"""),0.56)</f>
        <v>0.56</v>
      </c>
      <c r="L986" s="1076" t="str">
        <f>IFERROR(__xludf.DUMMYFUNCTION("""COMPUTED_VALUE"""),"KLH")</f>
        <v>KLH</v>
      </c>
    </row>
    <row r="987" customHeight="1" spans="1:12">
      <c r="A987" s="1089" t="str">
        <f>IFERROR(__xludf.DUMMYFUNCTION("""COMPUTED_VALUE"""),"Xí nghiệp chuối DP3")</f>
        <v>Xí nghiệp chuối DP3</v>
      </c>
      <c r="B987" s="1075" t="str">
        <f>IFERROR(__xludf.DUMMYFUNCTION("""COMPUTED_VALUE"""),"16")</f>
        <v>16</v>
      </c>
      <c r="C987" s="1076"/>
      <c r="D987" s="1076"/>
      <c r="E987" s="1076"/>
      <c r="F987" s="1076"/>
      <c r="G987" s="1076"/>
      <c r="H987" s="1076"/>
      <c r="I987" s="1076"/>
      <c r="J987" s="1076"/>
      <c r="K987" s="1076"/>
      <c r="L987" s="1076" t="str">
        <f>IFERROR(__xludf.DUMMYFUNCTION("""COMPUTED_VALUE"""),"KLH")</f>
        <v>KLH</v>
      </c>
    </row>
    <row r="988" customHeight="1" spans="1:12">
      <c r="A988" s="1089" t="str">
        <f>IFERROR(__xludf.DUMMYFUNCTION("""COMPUTED_VALUE"""),"XD3-MCA-001")</f>
        <v>XD3-MCA-001</v>
      </c>
      <c r="B988" s="1075" t="str">
        <f>IFERROR(__xludf.DUMMYFUNCTION("""COMPUTED_VALUE"""),"Máy cao áp phun thuốc")</f>
        <v>Máy cao áp phun thuốc</v>
      </c>
      <c r="C988" s="1076" t="str">
        <f>IFERROR(__xludf.DUMMYFUNCTION("""COMPUTED_VALUE"""),"XN Chuối DP3")</f>
        <v>XN Chuối DP3</v>
      </c>
      <c r="D988" s="1076" t="str">
        <f>IFERROR(__xludf.DUMMYFUNCTION("""COMPUTED_VALUE"""),"CAMBODIA")</f>
        <v>CAMBODIA</v>
      </c>
      <c r="E988" s="1076" t="str">
        <f>IFERROR(__xludf.DUMMYFUNCTION("""COMPUTED_VALUE"""),"3HP")</f>
        <v>3HP</v>
      </c>
      <c r="F988" s="1076"/>
      <c r="G988" s="1076"/>
      <c r="H988" s="1076" t="str">
        <f>IFERROR(__xludf.DUMMYFUNCTION("""COMPUTED_VALUE"""),"3HP")</f>
        <v>3HP</v>
      </c>
      <c r="I988" s="1076"/>
      <c r="J988" s="1076"/>
      <c r="K988" s="1076"/>
      <c r="L988" s="1076" t="str">
        <f>IFERROR(__xludf.DUMMYFUNCTION("""COMPUTED_VALUE"""),"KLH")</f>
        <v>KLH</v>
      </c>
    </row>
    <row r="989" customHeight="1" spans="1:12">
      <c r="A989" s="1089" t="str">
        <f>IFERROR(__xludf.DUMMYFUNCTION("""COMPUTED_VALUE"""),"XD3-MCA-002")</f>
        <v>XD3-MCA-002</v>
      </c>
      <c r="B989" s="1075" t="str">
        <f>IFERROR(__xludf.DUMMYFUNCTION("""COMPUTED_VALUE"""),"Máy cao áp phun thuốc")</f>
        <v>Máy cao áp phun thuốc</v>
      </c>
      <c r="C989" s="1076" t="str">
        <f>IFERROR(__xludf.DUMMYFUNCTION("""COMPUTED_VALUE"""),"XN Chuối DP3")</f>
        <v>XN Chuối DP3</v>
      </c>
      <c r="D989" s="1076" t="str">
        <f>IFERROR(__xludf.DUMMYFUNCTION("""COMPUTED_VALUE"""),"CAMBODIA")</f>
        <v>CAMBODIA</v>
      </c>
      <c r="E989" s="1076" t="str">
        <f>IFERROR(__xludf.DUMMYFUNCTION("""COMPUTED_VALUE"""),"3HP")</f>
        <v>3HP</v>
      </c>
      <c r="F989" s="1076"/>
      <c r="G989" s="1076"/>
      <c r="H989" s="1076" t="str">
        <f>IFERROR(__xludf.DUMMYFUNCTION("""COMPUTED_VALUE"""),"3HP")</f>
        <v>3HP</v>
      </c>
      <c r="I989" s="1076"/>
      <c r="J989" s="1076"/>
      <c r="K989" s="1076"/>
      <c r="L989" s="1076" t="str">
        <f>IFERROR(__xludf.DUMMYFUNCTION("""COMPUTED_VALUE"""),"KLH")</f>
        <v>KLH</v>
      </c>
    </row>
    <row r="990" customHeight="1" spans="1:12">
      <c r="A990" s="1089" t="str">
        <f>IFERROR(__xludf.DUMMYFUNCTION("""COMPUTED_VALUE"""),"XD3-MCA-003")</f>
        <v>XD3-MCA-003</v>
      </c>
      <c r="B990" s="1075" t="str">
        <f>IFERROR(__xludf.DUMMYFUNCTION("""COMPUTED_VALUE"""),"Máy cao áp phun thuốc")</f>
        <v>Máy cao áp phun thuốc</v>
      </c>
      <c r="C990" s="1076" t="str">
        <f>IFERROR(__xludf.DUMMYFUNCTION("""COMPUTED_VALUE"""),"XN Chuối DP3")</f>
        <v>XN Chuối DP3</v>
      </c>
      <c r="D990" s="1076" t="str">
        <f>IFERROR(__xludf.DUMMYFUNCTION("""COMPUTED_VALUE"""),"CAMBODIA")</f>
        <v>CAMBODIA</v>
      </c>
      <c r="E990" s="1076" t="str">
        <f>IFERROR(__xludf.DUMMYFUNCTION("""COMPUTED_VALUE"""),"3HP")</f>
        <v>3HP</v>
      </c>
      <c r="F990" s="1076"/>
      <c r="G990" s="1076"/>
      <c r="H990" s="1076" t="str">
        <f>IFERROR(__xludf.DUMMYFUNCTION("""COMPUTED_VALUE"""),"3HP")</f>
        <v>3HP</v>
      </c>
      <c r="I990" s="1076"/>
      <c r="J990" s="1076"/>
      <c r="K990" s="1076"/>
      <c r="L990" s="1076" t="str">
        <f>IFERROR(__xludf.DUMMYFUNCTION("""COMPUTED_VALUE"""),"KLH")</f>
        <v>KLH</v>
      </c>
    </row>
    <row r="991" customHeight="1" spans="1:12">
      <c r="A991" s="1089" t="str">
        <f>IFERROR(__xludf.DUMMYFUNCTION("""COMPUTED_VALUE"""),"XD3-MCA-004")</f>
        <v>XD3-MCA-004</v>
      </c>
      <c r="B991" s="1075" t="str">
        <f>IFERROR(__xludf.DUMMYFUNCTION("""COMPUTED_VALUE"""),"Máy cao áp phun thuốc")</f>
        <v>Máy cao áp phun thuốc</v>
      </c>
      <c r="C991" s="1076" t="str">
        <f>IFERROR(__xludf.DUMMYFUNCTION("""COMPUTED_VALUE"""),"XN Chuối DP3")</f>
        <v>XN Chuối DP3</v>
      </c>
      <c r="D991" s="1076" t="str">
        <f>IFERROR(__xludf.DUMMYFUNCTION("""COMPUTED_VALUE"""),"CAMBODIA")</f>
        <v>CAMBODIA</v>
      </c>
      <c r="E991" s="1076" t="str">
        <f>IFERROR(__xludf.DUMMYFUNCTION("""COMPUTED_VALUE"""),"3HP")</f>
        <v>3HP</v>
      </c>
      <c r="F991" s="1076"/>
      <c r="G991" s="1076"/>
      <c r="H991" s="1076" t="str">
        <f>IFERROR(__xludf.DUMMYFUNCTION("""COMPUTED_VALUE"""),"3HP")</f>
        <v>3HP</v>
      </c>
      <c r="I991" s="1076"/>
      <c r="J991" s="1076"/>
      <c r="K991" s="1076"/>
      <c r="L991" s="1076" t="str">
        <f>IFERROR(__xludf.DUMMYFUNCTION("""COMPUTED_VALUE"""),"KLH")</f>
        <v>KLH</v>
      </c>
    </row>
    <row r="992" customHeight="1" spans="1:12">
      <c r="A992" s="1089" t="str">
        <f>IFERROR(__xludf.DUMMYFUNCTION("""COMPUTED_VALUE"""),"XD3-MCA-005")</f>
        <v>XD3-MCA-005</v>
      </c>
      <c r="B992" s="1075" t="str">
        <f>IFERROR(__xludf.DUMMYFUNCTION("""COMPUTED_VALUE"""),"Máy cao áp phun thuốc")</f>
        <v>Máy cao áp phun thuốc</v>
      </c>
      <c r="C992" s="1076" t="str">
        <f>IFERROR(__xludf.DUMMYFUNCTION("""COMPUTED_VALUE"""),"XN Chuối DP3")</f>
        <v>XN Chuối DP3</v>
      </c>
      <c r="D992" s="1076" t="str">
        <f>IFERROR(__xludf.DUMMYFUNCTION("""COMPUTED_VALUE"""),"CAMBODIA")</f>
        <v>CAMBODIA</v>
      </c>
      <c r="E992" s="1076" t="str">
        <f>IFERROR(__xludf.DUMMYFUNCTION("""COMPUTED_VALUE"""),"3HP")</f>
        <v>3HP</v>
      </c>
      <c r="F992" s="1076"/>
      <c r="G992" s="1076"/>
      <c r="H992" s="1076" t="str">
        <f>IFERROR(__xludf.DUMMYFUNCTION("""COMPUTED_VALUE"""),"3HP")</f>
        <v>3HP</v>
      </c>
      <c r="I992" s="1076"/>
      <c r="J992" s="1076"/>
      <c r="K992" s="1076"/>
      <c r="L992" s="1076" t="str">
        <f>IFERROR(__xludf.DUMMYFUNCTION("""COMPUTED_VALUE"""),"KLH")</f>
        <v>KLH</v>
      </c>
    </row>
    <row r="993" customHeight="1" spans="1:12">
      <c r="A993" s="1089" t="str">
        <f>IFERROR(__xludf.DUMMYFUNCTION("""COMPUTED_VALUE"""),"XD3-MCA-006")</f>
        <v>XD3-MCA-006</v>
      </c>
      <c r="B993" s="1075" t="str">
        <f>IFERROR(__xludf.DUMMYFUNCTION("""COMPUTED_VALUE"""),"Máy cao áp phun thuốc")</f>
        <v>Máy cao áp phun thuốc</v>
      </c>
      <c r="C993" s="1076" t="str">
        <f>IFERROR(__xludf.DUMMYFUNCTION("""COMPUTED_VALUE"""),"XN Chuối DP3")</f>
        <v>XN Chuối DP3</v>
      </c>
      <c r="D993" s="1076" t="str">
        <f>IFERROR(__xludf.DUMMYFUNCTION("""COMPUTED_VALUE"""),"CAMBODIA")</f>
        <v>CAMBODIA</v>
      </c>
      <c r="E993" s="1076" t="str">
        <f>IFERROR(__xludf.DUMMYFUNCTION("""COMPUTED_VALUE"""),"3HP")</f>
        <v>3HP</v>
      </c>
      <c r="F993" s="1076"/>
      <c r="G993" s="1076"/>
      <c r="H993" s="1076" t="str">
        <f>IFERROR(__xludf.DUMMYFUNCTION("""COMPUTED_VALUE"""),"3HP")</f>
        <v>3HP</v>
      </c>
      <c r="I993" s="1076"/>
      <c r="J993" s="1076"/>
      <c r="K993" s="1076"/>
      <c r="L993" s="1076" t="str">
        <f>IFERROR(__xludf.DUMMYFUNCTION("""COMPUTED_VALUE"""),"KLH")</f>
        <v>KLH</v>
      </c>
    </row>
    <row r="994" customHeight="1" spans="1:12">
      <c r="A994" s="1089" t="str">
        <f>IFERROR(__xludf.DUMMYFUNCTION("""COMPUTED_VALUE"""),"XD3-MCA-007")</f>
        <v>XD3-MCA-007</v>
      </c>
      <c r="B994" s="1075" t="str">
        <f>IFERROR(__xludf.DUMMYFUNCTION("""COMPUTED_VALUE"""),"Máy cao áp phun thuốc")</f>
        <v>Máy cao áp phun thuốc</v>
      </c>
      <c r="C994" s="1076" t="str">
        <f>IFERROR(__xludf.DUMMYFUNCTION("""COMPUTED_VALUE"""),"XN Chuối DP3")</f>
        <v>XN Chuối DP3</v>
      </c>
      <c r="D994" s="1076" t="str">
        <f>IFERROR(__xludf.DUMMYFUNCTION("""COMPUTED_VALUE"""),"CAMBODIA")</f>
        <v>CAMBODIA</v>
      </c>
      <c r="E994" s="1076" t="str">
        <f>IFERROR(__xludf.DUMMYFUNCTION("""COMPUTED_VALUE"""),"3HP")</f>
        <v>3HP</v>
      </c>
      <c r="F994" s="1076"/>
      <c r="G994" s="1076"/>
      <c r="H994" s="1076" t="str">
        <f>IFERROR(__xludf.DUMMYFUNCTION("""COMPUTED_VALUE"""),"3HP")</f>
        <v>3HP</v>
      </c>
      <c r="I994" s="1076"/>
      <c r="J994" s="1076"/>
      <c r="K994" s="1076"/>
      <c r="L994" s="1076" t="str">
        <f>IFERROR(__xludf.DUMMYFUNCTION("""COMPUTED_VALUE"""),"KLH")</f>
        <v>KLH</v>
      </c>
    </row>
    <row r="995" customHeight="1" spans="1:12">
      <c r="A995" s="1089" t="str">
        <f>IFERROR(__xludf.DUMMYFUNCTION("""COMPUTED_VALUE"""),"XD3-MCA-008")</f>
        <v>XD3-MCA-008</v>
      </c>
      <c r="B995" s="1075" t="str">
        <f>IFERROR(__xludf.DUMMYFUNCTION("""COMPUTED_VALUE"""),"Máy cao áp phun thuốc")</f>
        <v>Máy cao áp phun thuốc</v>
      </c>
      <c r="C995" s="1076" t="str">
        <f>IFERROR(__xludf.DUMMYFUNCTION("""COMPUTED_VALUE"""),"XN Chuối DP3")</f>
        <v>XN Chuối DP3</v>
      </c>
      <c r="D995" s="1076" t="str">
        <f>IFERROR(__xludf.DUMMYFUNCTION("""COMPUTED_VALUE"""),"CAMBODIA")</f>
        <v>CAMBODIA</v>
      </c>
      <c r="E995" s="1076" t="str">
        <f>IFERROR(__xludf.DUMMYFUNCTION("""COMPUTED_VALUE"""),"3HP")</f>
        <v>3HP</v>
      </c>
      <c r="F995" s="1076"/>
      <c r="G995" s="1076"/>
      <c r="H995" s="1076" t="str">
        <f>IFERROR(__xludf.DUMMYFUNCTION("""COMPUTED_VALUE"""),"3HP")</f>
        <v>3HP</v>
      </c>
      <c r="I995" s="1076"/>
      <c r="J995" s="1076"/>
      <c r="K995" s="1076"/>
      <c r="L995" s="1076" t="str">
        <f>IFERROR(__xludf.DUMMYFUNCTION("""COMPUTED_VALUE"""),"KLH")</f>
        <v>KLH</v>
      </c>
    </row>
    <row r="996" customHeight="1" spans="1:12">
      <c r="A996" s="1089" t="str">
        <f>IFERROR(__xludf.DUMMYFUNCTION("""COMPUTED_VALUE"""),"XD3-MCA-009")</f>
        <v>XD3-MCA-009</v>
      </c>
      <c r="B996" s="1075" t="str">
        <f>IFERROR(__xludf.DUMMYFUNCTION("""COMPUTED_VALUE"""),"Máy cao áp phun thuốc")</f>
        <v>Máy cao áp phun thuốc</v>
      </c>
      <c r="C996" s="1076" t="str">
        <f>IFERROR(__xludf.DUMMYFUNCTION("""COMPUTED_VALUE"""),"XN Chuối DP3")</f>
        <v>XN Chuối DP3</v>
      </c>
      <c r="D996" s="1076" t="str">
        <f>IFERROR(__xludf.DUMMYFUNCTION("""COMPUTED_VALUE"""),"CAMBODIA")</f>
        <v>CAMBODIA</v>
      </c>
      <c r="E996" s="1076" t="str">
        <f>IFERROR(__xludf.DUMMYFUNCTION("""COMPUTED_VALUE"""),"3HP")</f>
        <v>3HP</v>
      </c>
      <c r="F996" s="1076"/>
      <c r="G996" s="1076"/>
      <c r="H996" s="1076" t="str">
        <f>IFERROR(__xludf.DUMMYFUNCTION("""COMPUTED_VALUE"""),"3HP")</f>
        <v>3HP</v>
      </c>
      <c r="I996" s="1076"/>
      <c r="J996" s="1076"/>
      <c r="K996" s="1076"/>
      <c r="L996" s="1076" t="str">
        <f>IFERROR(__xludf.DUMMYFUNCTION("""COMPUTED_VALUE"""),"KLH")</f>
        <v>KLH</v>
      </c>
    </row>
    <row r="997" customHeight="1" spans="1:12">
      <c r="A997" s="1089" t="str">
        <f>IFERROR(__xludf.DUMMYFUNCTION("""COMPUTED_VALUE"""),"XD3-MCA-010")</f>
        <v>XD3-MCA-010</v>
      </c>
      <c r="B997" s="1075" t="str">
        <f>IFERROR(__xludf.DUMMYFUNCTION("""COMPUTED_VALUE"""),"Máy cao áp phun thuốc")</f>
        <v>Máy cao áp phun thuốc</v>
      </c>
      <c r="C997" s="1076" t="str">
        <f>IFERROR(__xludf.DUMMYFUNCTION("""COMPUTED_VALUE"""),"XN Chuối DP3")</f>
        <v>XN Chuối DP3</v>
      </c>
      <c r="D997" s="1076" t="str">
        <f>IFERROR(__xludf.DUMMYFUNCTION("""COMPUTED_VALUE"""),"CAMBODIA")</f>
        <v>CAMBODIA</v>
      </c>
      <c r="E997" s="1076" t="str">
        <f>IFERROR(__xludf.DUMMYFUNCTION("""COMPUTED_VALUE"""),"3HP")</f>
        <v>3HP</v>
      </c>
      <c r="F997" s="1076"/>
      <c r="G997" s="1076"/>
      <c r="H997" s="1076" t="str">
        <f>IFERROR(__xludf.DUMMYFUNCTION("""COMPUTED_VALUE"""),"3HP")</f>
        <v>3HP</v>
      </c>
      <c r="I997" s="1076"/>
      <c r="J997" s="1076"/>
      <c r="K997" s="1076"/>
      <c r="L997" s="1076" t="str">
        <f>IFERROR(__xludf.DUMMYFUNCTION("""COMPUTED_VALUE"""),"KLH")</f>
        <v>KLH</v>
      </c>
    </row>
    <row r="998" customHeight="1" spans="1:12">
      <c r="A998" s="1089" t="str">
        <f>IFERROR(__xludf.DUMMYFUNCTION("""COMPUTED_VALUE"""),"XD3-MCA-011")</f>
        <v>XD3-MCA-011</v>
      </c>
      <c r="B998" s="1075" t="str">
        <f>IFERROR(__xludf.DUMMYFUNCTION("""COMPUTED_VALUE"""),"Máy cao áp phun thuốc")</f>
        <v>Máy cao áp phun thuốc</v>
      </c>
      <c r="C998" s="1076" t="str">
        <f>IFERROR(__xludf.DUMMYFUNCTION("""COMPUTED_VALUE"""),"XN Chuối DP3")</f>
        <v>XN Chuối DP3</v>
      </c>
      <c r="D998" s="1076" t="str">
        <f>IFERROR(__xludf.DUMMYFUNCTION("""COMPUTED_VALUE"""),"CAMBODIA")</f>
        <v>CAMBODIA</v>
      </c>
      <c r="E998" s="1076" t="str">
        <f>IFERROR(__xludf.DUMMYFUNCTION("""COMPUTED_VALUE"""),"1.5HP")</f>
        <v>1.5HP</v>
      </c>
      <c r="F998" s="1076"/>
      <c r="G998" s="1076"/>
      <c r="H998" s="1076" t="str">
        <f>IFERROR(__xludf.DUMMYFUNCTION("""COMPUTED_VALUE"""),"1.5HP")</f>
        <v>1.5HP</v>
      </c>
      <c r="I998" s="1076"/>
      <c r="J998" s="1076"/>
      <c r="K998" s="1076"/>
      <c r="L998" s="1076" t="str">
        <f>IFERROR(__xludf.DUMMYFUNCTION("""COMPUTED_VALUE"""),"KLH")</f>
        <v>KLH</v>
      </c>
    </row>
    <row r="999" customHeight="1" spans="1:12">
      <c r="A999" s="1089" t="str">
        <f>IFERROR(__xludf.DUMMYFUNCTION("""COMPUTED_VALUE"""),"XD3-MCA-012")</f>
        <v>XD3-MCA-012</v>
      </c>
      <c r="B999" s="1075" t="str">
        <f>IFERROR(__xludf.DUMMYFUNCTION("""COMPUTED_VALUE"""),"Máy cao áp phun thuốc")</f>
        <v>Máy cao áp phun thuốc</v>
      </c>
      <c r="C999" s="1076" t="str">
        <f>IFERROR(__xludf.DUMMYFUNCTION("""COMPUTED_VALUE"""),"XN Chuối DP3")</f>
        <v>XN Chuối DP3</v>
      </c>
      <c r="D999" s="1076" t="str">
        <f>IFERROR(__xludf.DUMMYFUNCTION("""COMPUTED_VALUE"""),"CAMBODIA")</f>
        <v>CAMBODIA</v>
      </c>
      <c r="E999" s="1076" t="str">
        <f>IFERROR(__xludf.DUMMYFUNCTION("""COMPUTED_VALUE"""),"1.5HP")</f>
        <v>1.5HP</v>
      </c>
      <c r="F999" s="1076"/>
      <c r="G999" s="1076"/>
      <c r="H999" s="1076" t="str">
        <f>IFERROR(__xludf.DUMMYFUNCTION("""COMPUTED_VALUE"""),"1.5HP")</f>
        <v>1.5HP</v>
      </c>
      <c r="I999" s="1076"/>
      <c r="J999" s="1076"/>
      <c r="K999" s="1076"/>
      <c r="L999" s="1076" t="str">
        <f>IFERROR(__xludf.DUMMYFUNCTION("""COMPUTED_VALUE"""),"KLH")</f>
        <v>KLH</v>
      </c>
    </row>
    <row r="1000" customHeight="1" spans="1:12">
      <c r="A1000" s="1089" t="str">
        <f>IFERROR(__xludf.DUMMYFUNCTION("""COMPUTED_VALUE"""),"XD3-MCA-013")</f>
        <v>XD3-MCA-013</v>
      </c>
      <c r="B1000" s="1075" t="str">
        <f>IFERROR(__xludf.DUMMYFUNCTION("""COMPUTED_VALUE"""),"Máy cao áp phun thuốc")</f>
        <v>Máy cao áp phun thuốc</v>
      </c>
      <c r="C1000" s="1076" t="str">
        <f>IFERROR(__xludf.DUMMYFUNCTION("""COMPUTED_VALUE"""),"XN Chuối DP3")</f>
        <v>XN Chuối DP3</v>
      </c>
      <c r="D1000" s="1076" t="str">
        <f>IFERROR(__xludf.DUMMYFUNCTION("""COMPUTED_VALUE"""),"CAMBODIA")</f>
        <v>CAMBODIA</v>
      </c>
      <c r="E1000" s="1076" t="str">
        <f>IFERROR(__xludf.DUMMYFUNCTION("""COMPUTED_VALUE"""),"1.5HP")</f>
        <v>1.5HP</v>
      </c>
      <c r="F1000" s="1076"/>
      <c r="G1000" s="1076"/>
      <c r="H1000" s="1076" t="str">
        <f>IFERROR(__xludf.DUMMYFUNCTION("""COMPUTED_VALUE"""),"1.5HP")</f>
        <v>1.5HP</v>
      </c>
      <c r="I1000" s="1076"/>
      <c r="J1000" s="1076"/>
      <c r="K1000" s="1076"/>
      <c r="L1000" s="1076" t="str">
        <f>IFERROR(__xludf.DUMMYFUNCTION("""COMPUTED_VALUE"""),"KLH")</f>
        <v>KLH</v>
      </c>
    </row>
    <row r="1001" customHeight="1" spans="1:12">
      <c r="A1001" s="1089" t="str">
        <f>IFERROR(__xludf.DUMMYFUNCTION("""COMPUTED_VALUE"""),"XD3-MCA-014")</f>
        <v>XD3-MCA-014</v>
      </c>
      <c r="B1001" s="1075" t="str">
        <f>IFERROR(__xludf.DUMMYFUNCTION("""COMPUTED_VALUE"""),"Máy cao áp phun thuốc")</f>
        <v>Máy cao áp phun thuốc</v>
      </c>
      <c r="C1001" s="1076" t="str">
        <f>IFERROR(__xludf.DUMMYFUNCTION("""COMPUTED_VALUE"""),"XN Chuối DP3")</f>
        <v>XN Chuối DP3</v>
      </c>
      <c r="D1001" s="1076" t="str">
        <f>IFERROR(__xludf.DUMMYFUNCTION("""COMPUTED_VALUE"""),"CAMBODIA")</f>
        <v>CAMBODIA</v>
      </c>
      <c r="E1001" s="1076" t="str">
        <f>IFERROR(__xludf.DUMMYFUNCTION("""COMPUTED_VALUE"""),"1.5HP")</f>
        <v>1.5HP</v>
      </c>
      <c r="F1001" s="1076"/>
      <c r="G1001" s="1076"/>
      <c r="H1001" s="1076" t="str">
        <f>IFERROR(__xludf.DUMMYFUNCTION("""COMPUTED_VALUE"""),"1.5HP")</f>
        <v>1.5HP</v>
      </c>
      <c r="I1001" s="1076"/>
      <c r="J1001" s="1076"/>
      <c r="K1001" s="1076"/>
      <c r="L1001" s="1076" t="str">
        <f>IFERROR(__xludf.DUMMYFUNCTION("""COMPUTED_VALUE"""),"KLH")</f>
        <v>KLH</v>
      </c>
    </row>
    <row r="1002" customHeight="1" spans="1:12">
      <c r="A1002" s="1089" t="str">
        <f>IFERROR(__xludf.DUMMYFUNCTION("""COMPUTED_VALUE"""),"XD3-MCA-015")</f>
        <v>XD3-MCA-015</v>
      </c>
      <c r="B1002" s="1075" t="str">
        <f>IFERROR(__xludf.DUMMYFUNCTION("""COMPUTED_VALUE"""),"Máy cao áp phun thuốc")</f>
        <v>Máy cao áp phun thuốc</v>
      </c>
      <c r="C1002" s="1076" t="str">
        <f>IFERROR(__xludf.DUMMYFUNCTION("""COMPUTED_VALUE"""),"XN Chuối DP3")</f>
        <v>XN Chuối DP3</v>
      </c>
      <c r="D1002" s="1076" t="str">
        <f>IFERROR(__xludf.DUMMYFUNCTION("""COMPUTED_VALUE"""),"CAMBODIA")</f>
        <v>CAMBODIA</v>
      </c>
      <c r="E1002" s="1076" t="str">
        <f>IFERROR(__xludf.DUMMYFUNCTION("""COMPUTED_VALUE"""),"1.5HP")</f>
        <v>1.5HP</v>
      </c>
      <c r="F1002" s="1076"/>
      <c r="G1002" s="1076"/>
      <c r="H1002" s="1076" t="str">
        <f>IFERROR(__xludf.DUMMYFUNCTION("""COMPUTED_VALUE"""),"1.5HP")</f>
        <v>1.5HP</v>
      </c>
      <c r="I1002" s="1076"/>
      <c r="J1002" s="1076"/>
      <c r="K1002" s="1076"/>
      <c r="L1002" s="1076" t="str">
        <f>IFERROR(__xludf.DUMMYFUNCTION("""COMPUTED_VALUE"""),"KLH")</f>
        <v>KLH</v>
      </c>
    </row>
    <row r="1003" customHeight="1" spans="1:12">
      <c r="A1003" s="1089" t="str">
        <f>IFERROR(__xludf.DUMMYFUNCTION("""COMPUTED_VALUE"""),"XD3-MCA-016")</f>
        <v>XD3-MCA-016</v>
      </c>
      <c r="B1003" s="1075" t="str">
        <f>IFERROR(__xludf.DUMMYFUNCTION("""COMPUTED_VALUE"""),"Máy cao áp phun thuốc")</f>
        <v>Máy cao áp phun thuốc</v>
      </c>
      <c r="C1003" s="1076" t="str">
        <f>IFERROR(__xludf.DUMMYFUNCTION("""COMPUTED_VALUE"""),"XN Chuối DP3")</f>
        <v>XN Chuối DP3</v>
      </c>
      <c r="D1003" s="1076" t="str">
        <f>IFERROR(__xludf.DUMMYFUNCTION("""COMPUTED_VALUE"""),"CAMBODIA")</f>
        <v>CAMBODIA</v>
      </c>
      <c r="E1003" s="1076" t="str">
        <f>IFERROR(__xludf.DUMMYFUNCTION("""COMPUTED_VALUE"""),"1.5HP")</f>
        <v>1.5HP</v>
      </c>
      <c r="F1003" s="1076"/>
      <c r="G1003" s="1076"/>
      <c r="H1003" s="1076" t="str">
        <f>IFERROR(__xludf.DUMMYFUNCTION("""COMPUTED_VALUE"""),"1.5HP")</f>
        <v>1.5HP</v>
      </c>
      <c r="I1003" s="1076"/>
      <c r="J1003" s="1076"/>
      <c r="K1003" s="1076"/>
      <c r="L1003" s="1076" t="str">
        <f>IFERROR(__xludf.DUMMYFUNCTION("""COMPUTED_VALUE"""),"KLH")</f>
        <v>KLH</v>
      </c>
    </row>
    <row r="1004" customHeight="1" spans="1:12">
      <c r="A1004" s="1089" t="str">
        <f>IFERROR(__xludf.DUMMYFUNCTION("""COMPUTED_VALUE"""),"XD3-MCA-017")</f>
        <v>XD3-MCA-017</v>
      </c>
      <c r="B1004" s="1075" t="str">
        <f>IFERROR(__xludf.DUMMYFUNCTION("""COMPUTED_VALUE"""),"Máy cao áp phun thuốc")</f>
        <v>Máy cao áp phun thuốc</v>
      </c>
      <c r="C1004" s="1076" t="str">
        <f>IFERROR(__xludf.DUMMYFUNCTION("""COMPUTED_VALUE"""),"XN Chuối DP3")</f>
        <v>XN Chuối DP3</v>
      </c>
      <c r="D1004" s="1076" t="str">
        <f>IFERROR(__xludf.DUMMYFUNCTION("""COMPUTED_VALUE"""),"CAMBODIA")</f>
        <v>CAMBODIA</v>
      </c>
      <c r="E1004" s="1076" t="str">
        <f>IFERROR(__xludf.DUMMYFUNCTION("""COMPUTED_VALUE"""),"7HP")</f>
        <v>7HP</v>
      </c>
      <c r="F1004" s="1076"/>
      <c r="G1004" s="1076"/>
      <c r="H1004" s="1076"/>
      <c r="I1004" s="1076"/>
      <c r="J1004" s="1076"/>
      <c r="K1004" s="1076"/>
      <c r="L1004" s="1076" t="str">
        <f>IFERROR(__xludf.DUMMYFUNCTION("""COMPUTED_VALUE"""),"KLH")</f>
        <v>KLH</v>
      </c>
    </row>
    <row r="1005" customHeight="1" spans="1:12">
      <c r="A1005" s="1089" t="str">
        <f>IFERROR(__xludf.DUMMYFUNCTION("""COMPUTED_VALUE"""),"XD3-MPT-001")</f>
        <v>XD3-MPT-001</v>
      </c>
      <c r="B1005" s="1075" t="str">
        <f>IFERROR(__xludf.DUMMYFUNCTION("""COMPUTED_VALUE"""),"Máy phun thuốc RELOAD 7045")</f>
        <v>Máy phun thuốc RELOAD 7045</v>
      </c>
      <c r="C1005" s="1076" t="str">
        <f>IFERROR(__xludf.DUMMYFUNCTION("""COMPUTED_VALUE"""),"XN Chuối DP3")</f>
        <v>XN Chuối DP3</v>
      </c>
      <c r="D1005" s="1076" t="str">
        <f>IFERROR(__xludf.DUMMYFUNCTION("""COMPUTED_VALUE"""),"RELOAD")</f>
        <v>RELOAD</v>
      </c>
      <c r="E1005" s="1076" t="str">
        <f>IFERROR(__xludf.DUMMYFUNCTION("""COMPUTED_VALUE"""),"7045")</f>
        <v>7045</v>
      </c>
      <c r="F1005" s="1076"/>
      <c r="G1005" s="1076" t="str">
        <f>IFERROR(__xludf.DUMMYFUNCTION("""COMPUTED_VALUE"""),"2025")</f>
        <v>2025</v>
      </c>
      <c r="H1005" s="1076" t="str">
        <f>IFERROR(__xludf.DUMMYFUNCTION("""COMPUTED_VALUE"""),"7 Hp")</f>
        <v>7 Hp</v>
      </c>
      <c r="I1005" s="1076" t="str">
        <f>IFERROR(__xludf.DUMMYFUNCTION("""COMPUTED_VALUE"""),"H0058772")</f>
        <v>H0058772</v>
      </c>
      <c r="J1005" s="1076"/>
      <c r="K1005" s="1076">
        <f>IFERROR(__xludf.DUMMYFUNCTION("""COMPUTED_VALUE"""),1.2)</f>
        <v>1.2</v>
      </c>
      <c r="L1005" s="1076" t="str">
        <f>IFERROR(__xludf.DUMMYFUNCTION("""COMPUTED_VALUE"""),"KLH")</f>
        <v>KLH</v>
      </c>
    </row>
    <row r="1006" customHeight="1" spans="1:12">
      <c r="A1006" s="1089" t="str">
        <f>IFERROR(__xludf.DUMMYFUNCTION("""COMPUTED_VALUE"""),"XD3-MPT-002")</f>
        <v>XD3-MPT-002</v>
      </c>
      <c r="B1006" s="1075" t="str">
        <f>IFERROR(__xludf.DUMMYFUNCTION("""COMPUTED_VALUE"""),"Máy phun thuốc RELOAD 7045")</f>
        <v>Máy phun thuốc RELOAD 7045</v>
      </c>
      <c r="C1006" s="1076" t="str">
        <f>IFERROR(__xludf.DUMMYFUNCTION("""COMPUTED_VALUE"""),"XN Chuối DP3")</f>
        <v>XN Chuối DP3</v>
      </c>
      <c r="D1006" s="1076" t="str">
        <f>IFERROR(__xludf.DUMMYFUNCTION("""COMPUTED_VALUE"""),"RELOAD")</f>
        <v>RELOAD</v>
      </c>
      <c r="E1006" s="1076" t="str">
        <f>IFERROR(__xludf.DUMMYFUNCTION("""COMPUTED_VALUE"""),"7045")</f>
        <v>7045</v>
      </c>
      <c r="F1006" s="1076"/>
      <c r="G1006" s="1076" t="str">
        <f>IFERROR(__xludf.DUMMYFUNCTION("""COMPUTED_VALUE"""),"2025")</f>
        <v>2025</v>
      </c>
      <c r="H1006" s="1076" t="str">
        <f>IFERROR(__xludf.DUMMYFUNCTION("""COMPUTED_VALUE"""),"7 Hp")</f>
        <v>7 Hp</v>
      </c>
      <c r="I1006" s="1076" t="str">
        <f>IFERROR(__xludf.DUMMYFUNCTION("""COMPUTED_VALUE"""),"H0058807")</f>
        <v>H0058807</v>
      </c>
      <c r="J1006" s="1076"/>
      <c r="K1006" s="1076">
        <f>IFERROR(__xludf.DUMMYFUNCTION("""COMPUTED_VALUE"""),1.2)</f>
        <v>1.2</v>
      </c>
      <c r="L1006" s="1076" t="str">
        <f>IFERROR(__xludf.DUMMYFUNCTION("""COMPUTED_VALUE"""),"KLH")</f>
        <v>KLH</v>
      </c>
    </row>
    <row r="1007" customHeight="1" spans="1:12">
      <c r="A1007" s="1089" t="str">
        <f>IFERROR(__xludf.DUMMYFUNCTION("""COMPUTED_VALUE"""),"XD3-MPT-003")</f>
        <v>XD3-MPT-003</v>
      </c>
      <c r="B1007" s="1075" t="str">
        <f>IFERROR(__xludf.DUMMYFUNCTION("""COMPUTED_VALUE"""),"Máy phun thuốc RELOAD 7045")</f>
        <v>Máy phun thuốc RELOAD 7045</v>
      </c>
      <c r="C1007" s="1076" t="str">
        <f>IFERROR(__xludf.DUMMYFUNCTION("""COMPUTED_VALUE"""),"XN Chuối DP3")</f>
        <v>XN Chuối DP3</v>
      </c>
      <c r="D1007" s="1076" t="str">
        <f>IFERROR(__xludf.DUMMYFUNCTION("""COMPUTED_VALUE"""),"RELOAD")</f>
        <v>RELOAD</v>
      </c>
      <c r="E1007" s="1076" t="str">
        <f>IFERROR(__xludf.DUMMYFUNCTION("""COMPUTED_VALUE"""),"7045")</f>
        <v>7045</v>
      </c>
      <c r="F1007" s="1076"/>
      <c r="G1007" s="1076" t="str">
        <f>IFERROR(__xludf.DUMMYFUNCTION("""COMPUTED_VALUE"""),"2025")</f>
        <v>2025</v>
      </c>
      <c r="H1007" s="1076" t="str">
        <f>IFERROR(__xludf.DUMMYFUNCTION("""COMPUTED_VALUE"""),"7 Hp")</f>
        <v>7 Hp</v>
      </c>
      <c r="I1007" s="1076" t="str">
        <f>IFERROR(__xludf.DUMMYFUNCTION("""COMPUTED_VALUE"""),"H0058809")</f>
        <v>H0058809</v>
      </c>
      <c r="J1007" s="1076"/>
      <c r="K1007" s="1076">
        <f>IFERROR(__xludf.DUMMYFUNCTION("""COMPUTED_VALUE"""),1.2)</f>
        <v>1.2</v>
      </c>
      <c r="L1007" s="1076" t="str">
        <f>IFERROR(__xludf.DUMMYFUNCTION("""COMPUTED_VALUE"""),"KLH")</f>
        <v>KLH</v>
      </c>
    </row>
    <row r="1008" customHeight="1" spans="1:12">
      <c r="A1008" s="1089" t="str">
        <f>IFERROR(__xludf.DUMMYFUNCTION("""COMPUTED_VALUE"""),"XD3-MPT-004")</f>
        <v>XD3-MPT-004</v>
      </c>
      <c r="B1008" s="1075" t="str">
        <f>IFERROR(__xludf.DUMMYFUNCTION("""COMPUTED_VALUE"""),"Máy phun thuốc RELOAD 7045")</f>
        <v>Máy phun thuốc RELOAD 7045</v>
      </c>
      <c r="C1008" s="1076" t="str">
        <f>IFERROR(__xludf.DUMMYFUNCTION("""COMPUTED_VALUE"""),"XN Chuối DP3")</f>
        <v>XN Chuối DP3</v>
      </c>
      <c r="D1008" s="1076" t="str">
        <f>IFERROR(__xludf.DUMMYFUNCTION("""COMPUTED_VALUE"""),"RELOAD")</f>
        <v>RELOAD</v>
      </c>
      <c r="E1008" s="1076" t="str">
        <f>IFERROR(__xludf.DUMMYFUNCTION("""COMPUTED_VALUE"""),"7045")</f>
        <v>7045</v>
      </c>
      <c r="F1008" s="1076"/>
      <c r="G1008" s="1076" t="str">
        <f>IFERROR(__xludf.DUMMYFUNCTION("""COMPUTED_VALUE"""),"2025")</f>
        <v>2025</v>
      </c>
      <c r="H1008" s="1076" t="str">
        <f>IFERROR(__xludf.DUMMYFUNCTION("""COMPUTED_VALUE"""),"7 Hp")</f>
        <v>7 Hp</v>
      </c>
      <c r="I1008" s="1076" t="str">
        <f>IFERROR(__xludf.DUMMYFUNCTION("""COMPUTED_VALUE"""),"H0058817")</f>
        <v>H0058817</v>
      </c>
      <c r="J1008" s="1076"/>
      <c r="K1008" s="1076">
        <f>IFERROR(__xludf.DUMMYFUNCTION("""COMPUTED_VALUE"""),1.2)</f>
        <v>1.2</v>
      </c>
      <c r="L1008" s="1076" t="str">
        <f>IFERROR(__xludf.DUMMYFUNCTION("""COMPUTED_VALUE"""),"KLH")</f>
        <v>KLH</v>
      </c>
    </row>
    <row r="1009" customHeight="1" spans="1:12">
      <c r="A1009" s="1089" t="str">
        <f>IFERROR(__xludf.DUMMYFUNCTION("""COMPUTED_VALUE"""),"XD3-MPT-005")</f>
        <v>XD3-MPT-005</v>
      </c>
      <c r="B1009" s="1075" t="str">
        <f>IFERROR(__xludf.DUMMYFUNCTION("""COMPUTED_VALUE"""),"Máy phun thuốc RELOAD 7045")</f>
        <v>Máy phun thuốc RELOAD 7045</v>
      </c>
      <c r="C1009" s="1076" t="str">
        <f>IFERROR(__xludf.DUMMYFUNCTION("""COMPUTED_VALUE"""),"XN Chuối DP3")</f>
        <v>XN Chuối DP3</v>
      </c>
      <c r="D1009" s="1076" t="str">
        <f>IFERROR(__xludf.DUMMYFUNCTION("""COMPUTED_VALUE"""),"RELOAD")</f>
        <v>RELOAD</v>
      </c>
      <c r="E1009" s="1076" t="str">
        <f>IFERROR(__xludf.DUMMYFUNCTION("""COMPUTED_VALUE"""),"7045")</f>
        <v>7045</v>
      </c>
      <c r="F1009" s="1076"/>
      <c r="G1009" s="1076" t="str">
        <f>IFERROR(__xludf.DUMMYFUNCTION("""COMPUTED_VALUE"""),"2025")</f>
        <v>2025</v>
      </c>
      <c r="H1009" s="1076" t="str">
        <f>IFERROR(__xludf.DUMMYFUNCTION("""COMPUTED_VALUE"""),"7 Hp")</f>
        <v>7 Hp</v>
      </c>
      <c r="I1009" s="1076" t="str">
        <f>IFERROR(__xludf.DUMMYFUNCTION("""COMPUTED_VALUE"""),"H0058822")</f>
        <v>H0058822</v>
      </c>
      <c r="J1009" s="1076"/>
      <c r="K1009" s="1076">
        <f>IFERROR(__xludf.DUMMYFUNCTION("""COMPUTED_VALUE"""),1.2)</f>
        <v>1.2</v>
      </c>
      <c r="L1009" s="1076" t="str">
        <f>IFERROR(__xludf.DUMMYFUNCTION("""COMPUTED_VALUE"""),"KLH")</f>
        <v>KLH</v>
      </c>
    </row>
    <row r="1010" customHeight="1" spans="1:12">
      <c r="A1010" s="1089" t="str">
        <f>IFERROR(__xludf.DUMMYFUNCTION("""COMPUTED_VALUE"""),"XD3-SPT-001")</f>
        <v>XD3-SPT-001</v>
      </c>
      <c r="B1010" s="1075" t="str">
        <f>IFERROR(__xludf.DUMMYFUNCTION("""COMPUTED_VALUE"""),"Súng phun thuốc Hansung")</f>
        <v>Súng phun thuốc Hansung</v>
      </c>
      <c r="C1010" s="1076" t="str">
        <f>IFERROR(__xludf.DUMMYFUNCTION("""COMPUTED_VALUE"""),"XN Chuối DP3")</f>
        <v>XN Chuối DP3</v>
      </c>
      <c r="D1010" s="1076" t="str">
        <f>IFERROR(__xludf.DUMMYFUNCTION("""COMPUTED_VALUE"""),"HANSUNG")</f>
        <v>HANSUNG</v>
      </c>
      <c r="E1010" s="1076" t="str">
        <f>IFERROR(__xludf.DUMMYFUNCTION("""COMPUTED_VALUE"""),"THACO")</f>
        <v>THACO</v>
      </c>
      <c r="F1010" s="1076"/>
      <c r="G1010" s="1076"/>
      <c r="H1010" s="1076"/>
      <c r="I1010" s="1076" t="str">
        <f>IFERROR(__xludf.DUMMYFUNCTION("""COMPUTED_VALUE"""),"HS 128-DP342")</f>
        <v>HS 128-DP342</v>
      </c>
      <c r="J1010" s="1076"/>
      <c r="K1010" s="1076">
        <f>IFERROR(__xludf.DUMMYFUNCTION("""COMPUTED_VALUE"""),8.47)</f>
        <v>8.47</v>
      </c>
      <c r="L1010" s="1076" t="str">
        <f>IFERROR(__xludf.DUMMYFUNCTION("""COMPUTED_VALUE"""),"KLH")</f>
        <v>KLH</v>
      </c>
    </row>
    <row r="1011" customHeight="1" spans="1:12">
      <c r="A1011" s="1089" t="str">
        <f>IFERROR(__xludf.DUMMYFUNCTION("""COMPUTED_VALUE"""),"XD3-RMC-006")</f>
        <v>XD3-RMC-006</v>
      </c>
      <c r="B1011" s="1075" t="str">
        <f>IFERROR(__xludf.DUMMYFUNCTION("""COMPUTED_VALUE"""),"Rơ mooc thu hoạch")</f>
        <v>Rơ mooc thu hoạch</v>
      </c>
      <c r="C1011" s="1076" t="str">
        <f>IFERROR(__xludf.DUMMYFUNCTION("""COMPUTED_VALUE"""),"XN Chuối DP3")</f>
        <v>XN Chuối DP3</v>
      </c>
      <c r="D1011" s="1076" t="str">
        <f>IFERROR(__xludf.DUMMYFUNCTION("""COMPUTED_VALUE"""),"THACO AGRI")</f>
        <v>THACO AGRI</v>
      </c>
      <c r="E1011" s="1076"/>
      <c r="F1011" s="1076"/>
      <c r="G1011" s="1076"/>
      <c r="H1011" s="1076"/>
      <c r="I1011" s="1076" t="str">
        <f>IFERROR(__xludf.DUMMYFUNCTION("""COMPUTED_VALUE"""),"44")</f>
        <v>44</v>
      </c>
      <c r="J1011" s="1076"/>
      <c r="K1011" s="1076"/>
      <c r="L1011" s="1076" t="str">
        <f>IFERROR(__xludf.DUMMYFUNCTION("""COMPUTED_VALUE"""),"KLH")</f>
        <v>KLH</v>
      </c>
    </row>
    <row r="1012" customHeight="1" spans="1:12">
      <c r="A1012" s="1089" t="str">
        <f>IFERROR(__xludf.DUMMYFUNCTION("""COMPUTED_VALUE"""),"XD3-RMC-008")</f>
        <v>XD3-RMC-008</v>
      </c>
      <c r="B1012" s="1075" t="str">
        <f>IFERROR(__xludf.DUMMYFUNCTION("""COMPUTED_VALUE"""),"Rơ mooc thu hoạch")</f>
        <v>Rơ mooc thu hoạch</v>
      </c>
      <c r="C1012" s="1076" t="str">
        <f>IFERROR(__xludf.DUMMYFUNCTION("""COMPUTED_VALUE"""),"XN Chuối DP3")</f>
        <v>XN Chuối DP3</v>
      </c>
      <c r="D1012" s="1076" t="str">
        <f>IFERROR(__xludf.DUMMYFUNCTION("""COMPUTED_VALUE"""),"THACO AGRI")</f>
        <v>THACO AGRI</v>
      </c>
      <c r="E1012" s="1076"/>
      <c r="F1012" s="1076"/>
      <c r="G1012" s="1076"/>
      <c r="H1012" s="1076"/>
      <c r="I1012" s="1076" t="str">
        <f>IFERROR(__xludf.DUMMYFUNCTION("""COMPUTED_VALUE"""),"44")</f>
        <v>44</v>
      </c>
      <c r="J1012" s="1076"/>
      <c r="K1012" s="1076"/>
      <c r="L1012" s="1076" t="str">
        <f>IFERROR(__xludf.DUMMYFUNCTION("""COMPUTED_VALUE"""),"KLH")</f>
        <v>KLH</v>
      </c>
    </row>
    <row r="1013" customHeight="1" spans="1:12">
      <c r="A1013" s="1089" t="str">
        <f>IFERROR(__xludf.DUMMYFUNCTION("""COMPUTED_VALUE"""),"XD3-RMC-009")</f>
        <v>XD3-RMC-009</v>
      </c>
      <c r="B1013" s="1075" t="str">
        <f>IFERROR(__xludf.DUMMYFUNCTION("""COMPUTED_VALUE"""),"Rơ mooc thu hoạch")</f>
        <v>Rơ mooc thu hoạch</v>
      </c>
      <c r="C1013" s="1076" t="str">
        <f>IFERROR(__xludf.DUMMYFUNCTION("""COMPUTED_VALUE"""),"XN Chuối DP3")</f>
        <v>XN Chuối DP3</v>
      </c>
      <c r="D1013" s="1076" t="str">
        <f>IFERROR(__xludf.DUMMYFUNCTION("""COMPUTED_VALUE"""),"THACO AGRI")</f>
        <v>THACO AGRI</v>
      </c>
      <c r="E1013" s="1076"/>
      <c r="F1013" s="1076"/>
      <c r="G1013" s="1076"/>
      <c r="H1013" s="1076"/>
      <c r="I1013" s="1076" t="str">
        <f>IFERROR(__xludf.DUMMYFUNCTION("""COMPUTED_VALUE"""),"50")</f>
        <v>50</v>
      </c>
      <c r="J1013" s="1076"/>
      <c r="K1013" s="1076"/>
      <c r="L1013" s="1076" t="str">
        <f>IFERROR(__xludf.DUMMYFUNCTION("""COMPUTED_VALUE"""),"KLH")</f>
        <v>KLH</v>
      </c>
    </row>
    <row r="1014" customHeight="1" spans="1:12">
      <c r="A1014" s="1089" t="str">
        <f>IFERROR(__xludf.DUMMYFUNCTION("""COMPUTED_VALUE"""),"XD3-RMC-010")</f>
        <v>XD3-RMC-010</v>
      </c>
      <c r="B1014" s="1075" t="str">
        <f>IFERROR(__xludf.DUMMYFUNCTION("""COMPUTED_VALUE"""),"Rơ mooc thu hoạch")</f>
        <v>Rơ mooc thu hoạch</v>
      </c>
      <c r="C1014" s="1076" t="str">
        <f>IFERROR(__xludf.DUMMYFUNCTION("""COMPUTED_VALUE"""),"XN Chuối DP3")</f>
        <v>XN Chuối DP3</v>
      </c>
      <c r="D1014" s="1076" t="str">
        <f>IFERROR(__xludf.DUMMYFUNCTION("""COMPUTED_VALUE"""),"THACO AGRI")</f>
        <v>THACO AGRI</v>
      </c>
      <c r="E1014" s="1076"/>
      <c r="F1014" s="1076"/>
      <c r="G1014" s="1076"/>
      <c r="H1014" s="1076"/>
      <c r="I1014" s="1076" t="str">
        <f>IFERROR(__xludf.DUMMYFUNCTION("""COMPUTED_VALUE"""),"44")</f>
        <v>44</v>
      </c>
      <c r="J1014" s="1076"/>
      <c r="K1014" s="1076"/>
      <c r="L1014" s="1076" t="str">
        <f>IFERROR(__xludf.DUMMYFUNCTION("""COMPUTED_VALUE"""),"KLH")</f>
        <v>KLH</v>
      </c>
    </row>
    <row r="1015" customHeight="1" spans="1:12">
      <c r="A1015" s="1089" t="str">
        <f>IFERROR(__xludf.DUMMYFUNCTION("""COMPUTED_VALUE"""),"XD3-RMB-001")</f>
        <v>XD3-RMB-001</v>
      </c>
      <c r="B1015" s="1075" t="str">
        <f>IFERROR(__xludf.DUMMYFUNCTION("""COMPUTED_VALUE"""),"Rơ mooc thùng ben")</f>
        <v>Rơ mooc thùng ben</v>
      </c>
      <c r="C1015" s="1076" t="str">
        <f>IFERROR(__xludf.DUMMYFUNCTION("""COMPUTED_VALUE"""),"XN Chuối DP3")</f>
        <v>XN Chuối DP3</v>
      </c>
      <c r="D1015" s="1076" t="str">
        <f>IFERROR(__xludf.DUMMYFUNCTION("""COMPUTED_VALUE"""),"THACO AGRI")</f>
        <v>THACO AGRI</v>
      </c>
      <c r="E1015" s="1076"/>
      <c r="F1015" s="1076"/>
      <c r="G1015" s="1076"/>
      <c r="H1015" s="1076"/>
      <c r="I1015" s="1076" t="str">
        <f>IFERROR(__xludf.DUMMYFUNCTION("""COMPUTED_VALUE"""),"Thùng ben 2m3")</f>
        <v>Thùng ben 2m3</v>
      </c>
      <c r="J1015" s="1076"/>
      <c r="K1015" s="1076"/>
      <c r="L1015" s="1076" t="str">
        <f>IFERROR(__xludf.DUMMYFUNCTION("""COMPUTED_VALUE"""),"KLH")</f>
        <v>KLH</v>
      </c>
    </row>
    <row r="1016" customHeight="1" spans="1:12">
      <c r="A1016" s="1089" t="str">
        <f>IFERROR(__xludf.DUMMYFUNCTION("""COMPUTED_VALUE"""),"XD3-RMB-003")</f>
        <v>XD3-RMB-003</v>
      </c>
      <c r="B1016" s="1075" t="str">
        <f>IFERROR(__xludf.DUMMYFUNCTION("""COMPUTED_VALUE"""),"Rơ mooc thùng ben")</f>
        <v>Rơ mooc thùng ben</v>
      </c>
      <c r="C1016" s="1076" t="str">
        <f>IFERROR(__xludf.DUMMYFUNCTION("""COMPUTED_VALUE"""),"XN Chuối DP3")</f>
        <v>XN Chuối DP3</v>
      </c>
      <c r="D1016" s="1076" t="str">
        <f>IFERROR(__xludf.DUMMYFUNCTION("""COMPUTED_VALUE"""),"THACO AGRI")</f>
        <v>THACO AGRI</v>
      </c>
      <c r="E1016" s="1076"/>
      <c r="F1016" s="1076"/>
      <c r="G1016" s="1076"/>
      <c r="H1016" s="1076"/>
      <c r="I1016" s="1076" t="str">
        <f>IFERROR(__xludf.DUMMYFUNCTION("""COMPUTED_VALUE"""),"Thùng ben 2m3")</f>
        <v>Thùng ben 2m3</v>
      </c>
      <c r="J1016" s="1076"/>
      <c r="K1016" s="1076"/>
      <c r="L1016" s="1076" t="str">
        <f>IFERROR(__xludf.DUMMYFUNCTION("""COMPUTED_VALUE"""),"KLH")</f>
        <v>KLH</v>
      </c>
    </row>
    <row r="1017" customHeight="1" spans="1:12">
      <c r="A1017" s="1089" t="str">
        <f>IFERROR(__xludf.DUMMYFUNCTION("""COMPUTED_VALUE"""),"XD3-RMB-005")</f>
        <v>XD3-RMB-005</v>
      </c>
      <c r="B1017" s="1075" t="str">
        <f>IFERROR(__xludf.DUMMYFUNCTION("""COMPUTED_VALUE"""),"Rơ mooc thùng ben")</f>
        <v>Rơ mooc thùng ben</v>
      </c>
      <c r="C1017" s="1076" t="str">
        <f>IFERROR(__xludf.DUMMYFUNCTION("""COMPUTED_VALUE"""),"XN Chuối DP3")</f>
        <v>XN Chuối DP3</v>
      </c>
      <c r="D1017" s="1076" t="str">
        <f>IFERROR(__xludf.DUMMYFUNCTION("""COMPUTED_VALUE"""),"THACO AGRI")</f>
        <v>THACO AGRI</v>
      </c>
      <c r="E1017" s="1076"/>
      <c r="F1017" s="1076"/>
      <c r="G1017" s="1076"/>
      <c r="H1017" s="1076"/>
      <c r="I1017" s="1076" t="str">
        <f>IFERROR(__xludf.DUMMYFUNCTION("""COMPUTED_VALUE"""),"thùng ben 2m3")</f>
        <v>thùng ben 2m3</v>
      </c>
      <c r="J1017" s="1076"/>
      <c r="K1017" s="1076"/>
      <c r="L1017" s="1076" t="str">
        <f>IFERROR(__xludf.DUMMYFUNCTION("""COMPUTED_VALUE"""),"KLH")</f>
        <v>KLH</v>
      </c>
    </row>
    <row r="1018" customHeight="1" spans="1:12">
      <c r="A1018" s="1089" t="str">
        <f>IFERROR(__xludf.DUMMYFUNCTION("""COMPUTED_VALUE"""),"XD3-RMB-006")</f>
        <v>XD3-RMB-006</v>
      </c>
      <c r="B1018" s="1075" t="str">
        <f>IFERROR(__xludf.DUMMYFUNCTION("""COMPUTED_VALUE"""),"Rơ mooc thùng ben")</f>
        <v>Rơ mooc thùng ben</v>
      </c>
      <c r="C1018" s="1076" t="str">
        <f>IFERROR(__xludf.DUMMYFUNCTION("""COMPUTED_VALUE"""),"XN Chuối DP3")</f>
        <v>XN Chuối DP3</v>
      </c>
      <c r="D1018" s="1076" t="str">
        <f>IFERROR(__xludf.DUMMYFUNCTION("""COMPUTED_VALUE"""),"THACO AGRI")</f>
        <v>THACO AGRI</v>
      </c>
      <c r="E1018" s="1076"/>
      <c r="F1018" s="1076"/>
      <c r="G1018" s="1076"/>
      <c r="H1018" s="1076"/>
      <c r="I1018" s="1076" t="str">
        <f>IFERROR(__xludf.DUMMYFUNCTION("""COMPUTED_VALUE"""),"thùng ben 2m3")</f>
        <v>thùng ben 2m3</v>
      </c>
      <c r="J1018" s="1076"/>
      <c r="K1018" s="1076"/>
      <c r="L1018" s="1076" t="str">
        <f>IFERROR(__xludf.DUMMYFUNCTION("""COMPUTED_VALUE"""),"KLH")</f>
        <v>KLH</v>
      </c>
    </row>
    <row r="1019" customHeight="1" spans="1:12">
      <c r="A1019" s="1089" t="str">
        <f>IFERROR(__xludf.DUMMYFUNCTION("""COMPUTED_VALUE"""),"XD3-MXM-001")</f>
        <v>XD3-MXM-001</v>
      </c>
      <c r="B1019" s="1075" t="str">
        <f>IFERROR(__xludf.DUMMYFUNCTION("""COMPUTED_VALUE"""),"Rơ mooc gắn sau xe máy")</f>
        <v>Rơ mooc gắn sau xe máy</v>
      </c>
      <c r="C1019" s="1076" t="str">
        <f>IFERROR(__xludf.DUMMYFUNCTION("""COMPUTED_VALUE"""),"XN Chuối DP3")</f>
        <v>XN Chuối DP3</v>
      </c>
      <c r="D1019" s="1076" t="str">
        <f>IFERROR(__xludf.DUMMYFUNCTION("""COMPUTED_VALUE"""),"THACO AGRI")</f>
        <v>THACO AGRI</v>
      </c>
      <c r="E1019" s="1076"/>
      <c r="F1019" s="1076"/>
      <c r="G1019" s="1076"/>
      <c r="H1019" s="1076"/>
      <c r="I1019" s="1076"/>
      <c r="J1019" s="1076"/>
      <c r="K1019" s="1076"/>
      <c r="L1019" s="1076" t="str">
        <f>IFERROR(__xludf.DUMMYFUNCTION("""COMPUTED_VALUE"""),"KLH")</f>
        <v>KLH</v>
      </c>
    </row>
    <row r="1020" customHeight="1" spans="1:12">
      <c r="A1020" s="1089" t="str">
        <f>IFERROR(__xludf.DUMMYFUNCTION("""COMPUTED_VALUE"""),"XD3-MXM-002")</f>
        <v>XD3-MXM-002</v>
      </c>
      <c r="B1020" s="1075" t="str">
        <f>IFERROR(__xludf.DUMMYFUNCTION("""COMPUTED_VALUE"""),"Rơ mooc gắn sau xe máy")</f>
        <v>Rơ mooc gắn sau xe máy</v>
      </c>
      <c r="C1020" s="1076" t="str">
        <f>IFERROR(__xludf.DUMMYFUNCTION("""COMPUTED_VALUE"""),"XN Chuối DP3")</f>
        <v>XN Chuối DP3</v>
      </c>
      <c r="D1020" s="1076" t="str">
        <f>IFERROR(__xludf.DUMMYFUNCTION("""COMPUTED_VALUE"""),"THACO AGRI")</f>
        <v>THACO AGRI</v>
      </c>
      <c r="E1020" s="1076"/>
      <c r="F1020" s="1076"/>
      <c r="G1020" s="1076"/>
      <c r="H1020" s="1076"/>
      <c r="I1020" s="1076"/>
      <c r="J1020" s="1076"/>
      <c r="K1020" s="1076"/>
      <c r="L1020" s="1076" t="str">
        <f>IFERROR(__xludf.DUMMYFUNCTION("""COMPUTED_VALUE"""),"KLH")</f>
        <v>KLH</v>
      </c>
    </row>
    <row r="1021" customHeight="1" spans="1:12">
      <c r="A1021" s="1076" t="str">
        <f>IFERROR(__xludf.DUMMYFUNCTION("""COMPUTED_VALUE"""),"XD3-MXM-003")</f>
        <v>XD3-MXM-003</v>
      </c>
      <c r="B1021" s="1075" t="str">
        <f>IFERROR(__xludf.DUMMYFUNCTION("""COMPUTED_VALUE"""),"Rơ mooc gắn sau xe máy")</f>
        <v>Rơ mooc gắn sau xe máy</v>
      </c>
      <c r="C1021" s="1076" t="str">
        <f>IFERROR(__xludf.DUMMYFUNCTION("""COMPUTED_VALUE"""),"XN Chuối DP3")</f>
        <v>XN Chuối DP3</v>
      </c>
      <c r="D1021" s="1076" t="str">
        <f>IFERROR(__xludf.DUMMYFUNCTION("""COMPUTED_VALUE"""),"THACO AGRI")</f>
        <v>THACO AGRI</v>
      </c>
      <c r="E1021" s="1076"/>
      <c r="F1021" s="1076"/>
      <c r="G1021" s="1076"/>
      <c r="H1021" s="1076"/>
      <c r="I1021" s="1076"/>
      <c r="J1021" s="1076"/>
      <c r="K1021" s="1076"/>
      <c r="L1021" s="1076" t="str">
        <f>IFERROR(__xludf.DUMMYFUNCTION("""COMPUTED_VALUE"""),"KLH")</f>
        <v>KLH</v>
      </c>
    </row>
    <row r="1022" customHeight="1" spans="1:12">
      <c r="A1022" s="1076" t="str">
        <f>IFERROR(__xludf.DUMMYFUNCTION("""COMPUTED_VALUE"""),"XD3-MXM-004")</f>
        <v>XD3-MXM-004</v>
      </c>
      <c r="B1022" s="1075" t="str">
        <f>IFERROR(__xludf.DUMMYFUNCTION("""COMPUTED_VALUE"""),"Rơ mooc gắn sau xe máy")</f>
        <v>Rơ mooc gắn sau xe máy</v>
      </c>
      <c r="C1022" s="1076" t="str">
        <f>IFERROR(__xludf.DUMMYFUNCTION("""COMPUTED_VALUE"""),"XN Chuối DP3")</f>
        <v>XN Chuối DP3</v>
      </c>
      <c r="D1022" s="1076" t="str">
        <f>IFERROR(__xludf.DUMMYFUNCTION("""COMPUTED_VALUE"""),"THACO AGRI")</f>
        <v>THACO AGRI</v>
      </c>
      <c r="E1022" s="1076"/>
      <c r="F1022" s="1076"/>
      <c r="G1022" s="1076"/>
      <c r="H1022" s="1076"/>
      <c r="I1022" s="1076"/>
      <c r="J1022" s="1076"/>
      <c r="K1022" s="1076"/>
      <c r="L1022" s="1076" t="str">
        <f>IFERROR(__xludf.DUMMYFUNCTION("""COMPUTED_VALUE"""),"KLH")</f>
        <v>KLH</v>
      </c>
    </row>
    <row r="1023" customHeight="1" spans="1:12">
      <c r="A1023" s="1076" t="str">
        <f>IFERROR(__xludf.DUMMYFUNCTION("""COMPUTED_VALUE"""),"XD3-MXM-005")</f>
        <v>XD3-MXM-005</v>
      </c>
      <c r="B1023" s="1075" t="str">
        <f>IFERROR(__xludf.DUMMYFUNCTION("""COMPUTED_VALUE"""),"Rơ mooc gắn sau xe máy")</f>
        <v>Rơ mooc gắn sau xe máy</v>
      </c>
      <c r="C1023" s="1076" t="str">
        <f>IFERROR(__xludf.DUMMYFUNCTION("""COMPUTED_VALUE"""),"XN Chuối DP3")</f>
        <v>XN Chuối DP3</v>
      </c>
      <c r="D1023" s="1076" t="str">
        <f>IFERROR(__xludf.DUMMYFUNCTION("""COMPUTED_VALUE"""),"THACO AGRI")</f>
        <v>THACO AGRI</v>
      </c>
      <c r="E1023" s="1076"/>
      <c r="F1023" s="1076"/>
      <c r="G1023" s="1076"/>
      <c r="H1023" s="1076"/>
      <c r="I1023" s="1076"/>
      <c r="J1023" s="1076"/>
      <c r="K1023" s="1076"/>
      <c r="L1023" s="1076" t="str">
        <f>IFERROR(__xludf.DUMMYFUNCTION("""COMPUTED_VALUE"""),"KLH")</f>
        <v>KLH</v>
      </c>
    </row>
    <row r="1024" customHeight="1" spans="1:12">
      <c r="A1024" s="1076" t="str">
        <f>IFERROR(__xludf.DUMMYFUNCTION("""COMPUTED_VALUE"""),"XD3-MXM-006")</f>
        <v>XD3-MXM-006</v>
      </c>
      <c r="B1024" s="1075" t="str">
        <f>IFERROR(__xludf.DUMMYFUNCTION("""COMPUTED_VALUE"""),"Rơ mooc gắn sau xe máy")</f>
        <v>Rơ mooc gắn sau xe máy</v>
      </c>
      <c r="C1024" s="1076" t="str">
        <f>IFERROR(__xludf.DUMMYFUNCTION("""COMPUTED_VALUE"""),"XN Chuối DP3")</f>
        <v>XN Chuối DP3</v>
      </c>
      <c r="D1024" s="1076" t="str">
        <f>IFERROR(__xludf.DUMMYFUNCTION("""COMPUTED_VALUE"""),"THACO AGRI")</f>
        <v>THACO AGRI</v>
      </c>
      <c r="E1024" s="1076"/>
      <c r="F1024" s="1076"/>
      <c r="G1024" s="1076"/>
      <c r="H1024" s="1076"/>
      <c r="I1024" s="1076"/>
      <c r="J1024" s="1076"/>
      <c r="K1024" s="1076"/>
      <c r="L1024" s="1076" t="str">
        <f>IFERROR(__xludf.DUMMYFUNCTION("""COMPUTED_VALUE"""),"KLH")</f>
        <v>KLH</v>
      </c>
    </row>
    <row r="1025" customHeight="1" spans="1:12">
      <c r="A1025" s="1076" t="str">
        <f>IFERROR(__xludf.DUMMYFUNCTION("""COMPUTED_VALUE"""),"XD3-RMĐ-001")</f>
        <v>XD3-RMĐ-001</v>
      </c>
      <c r="B1025" s="1075" t="str">
        <f>IFERROR(__xludf.DUMMYFUNCTION("""COMPUTED_VALUE"""),"Rơ mooc vận chuyển M.đào 03")</f>
        <v>Rơ mooc vận chuyển M.đào 03</v>
      </c>
      <c r="C1025" s="1076" t="str">
        <f>IFERROR(__xludf.DUMMYFUNCTION("""COMPUTED_VALUE"""),"XN Chuối DP3")</f>
        <v>XN Chuối DP3</v>
      </c>
      <c r="D1025" s="1076" t="str">
        <f>IFERROR(__xludf.DUMMYFUNCTION("""COMPUTED_VALUE"""),"THACO AGRI")</f>
        <v>THACO AGRI</v>
      </c>
      <c r="E1025" s="1076"/>
      <c r="F1025" s="1076"/>
      <c r="G1025" s="1076"/>
      <c r="H1025" s="1076" t="str">
        <f>IFERROR(__xludf.DUMMYFUNCTION("""COMPUTED_VALUE"""),"DxRxC: 6.1x2.4x0.9m")</f>
        <v>DxRxC: 6.1x2.4x0.9m</v>
      </c>
      <c r="I1025" s="1076"/>
      <c r="J1025" s="1076"/>
      <c r="K1025" s="1076"/>
      <c r="L1025" s="1076" t="str">
        <f>IFERROR(__xludf.DUMMYFUNCTION("""COMPUTED_VALUE"""),"KLH")</f>
        <v>KLH</v>
      </c>
    </row>
    <row r="1026" customHeight="1" spans="1:12">
      <c r="A1026" s="1076" t="str">
        <f>IFERROR(__xludf.DUMMYFUNCTION("""COMPUTED_VALUE"""),"XD3-RML-001")</f>
        <v>XD3-RML-001</v>
      </c>
      <c r="B1026" s="1075" t="str">
        <f>IFERROR(__xludf.DUMMYFUNCTION("""COMPUTED_VALUE"""),"Rơ mooc lưới")</f>
        <v>Rơ mooc lưới</v>
      </c>
      <c r="C1026" s="1076" t="str">
        <f>IFERROR(__xludf.DUMMYFUNCTION("""COMPUTED_VALUE"""),"XN Chuối DP3")</f>
        <v>XN Chuối DP3</v>
      </c>
      <c r="D1026" s="1076" t="str">
        <f>IFERROR(__xludf.DUMMYFUNCTION("""COMPUTED_VALUE"""),"THACO AGRI")</f>
        <v>THACO AGRI</v>
      </c>
      <c r="E1026" s="1076" t="str">
        <f>IFERROR(__xludf.DUMMYFUNCTION("""COMPUTED_VALUE"""),"RM lưới")</f>
        <v>RM lưới</v>
      </c>
      <c r="F1026" s="1076"/>
      <c r="G1026" s="1076"/>
      <c r="H1026" s="1076"/>
      <c r="I1026" s="1076"/>
      <c r="J1026" s="1076"/>
      <c r="K1026" s="1076"/>
      <c r="L1026" s="1076" t="str">
        <f>IFERROR(__xludf.DUMMYFUNCTION("""COMPUTED_VALUE"""),"KLH")</f>
        <v>KLH</v>
      </c>
    </row>
    <row r="1027" customHeight="1" spans="1:12">
      <c r="A1027" s="1076" t="str">
        <f>IFERROR(__xludf.DUMMYFUNCTION("""COMPUTED_VALUE"""),"XD3-RMR-001")</f>
        <v>XD3-RMR-001</v>
      </c>
      <c r="B1027" s="1075" t="str">
        <f>IFERROR(__xludf.DUMMYFUNCTION("""COMPUTED_VALUE"""),"Rơ mooc thùng ben rải phân hữu cơ")</f>
        <v>Rơ mooc thùng ben rải phân hữu cơ</v>
      </c>
      <c r="C1027" s="1076" t="str">
        <f>IFERROR(__xludf.DUMMYFUNCTION("""COMPUTED_VALUE"""),"XN Chuối DP3")</f>
        <v>XN Chuối DP3</v>
      </c>
      <c r="D1027" s="1076" t="str">
        <f>IFERROR(__xludf.DUMMYFUNCTION("""COMPUTED_VALUE"""),"THACO AGRI")</f>
        <v>THACO AGRI</v>
      </c>
      <c r="E1027" s="1076"/>
      <c r="F1027" s="1076"/>
      <c r="G1027" s="1076"/>
      <c r="H1027" s="1076" t="str">
        <f>IFERROR(__xludf.DUMMYFUNCTION("""COMPUTED_VALUE"""),"4.5x2x1.5")</f>
        <v>4.5x2x1.5</v>
      </c>
      <c r="I1027" s="1076" t="str">
        <f>IFERROR(__xludf.DUMMYFUNCTION("""COMPUTED_VALUE"""),"Kèm trục ben(xy lanh phi 160mm)")</f>
        <v>Kèm trục ben(xy lanh phi 160mm)</v>
      </c>
      <c r="J1027" s="1076"/>
      <c r="K1027" s="1076"/>
      <c r="L1027" s="1076" t="str">
        <f>IFERROR(__xludf.DUMMYFUNCTION("""COMPUTED_VALUE"""),"KLH")</f>
        <v>KLH</v>
      </c>
    </row>
    <row r="1028" customHeight="1" spans="1:12">
      <c r="A1028" s="1076" t="str">
        <f>IFERROR(__xludf.DUMMYFUNCTION("""COMPUTED_VALUE"""),"XD3-MBC-001")</f>
        <v>XD3-MBC-001</v>
      </c>
      <c r="B1028" s="1075" t="str">
        <f>IFERROR(__xludf.DUMMYFUNCTION("""COMPUTED_VALUE"""),"Máy băm cố định")</f>
        <v>Máy băm cố định</v>
      </c>
      <c r="C1028" s="1076" t="str">
        <f>IFERROR(__xludf.DUMMYFUNCTION("""COMPUTED_VALUE"""),"XN Chuối DP3")</f>
        <v>XN Chuối DP3</v>
      </c>
      <c r="D1028" s="1076" t="str">
        <f>IFERROR(__xludf.DUMMYFUNCTION("""COMPUTED_VALUE"""),"THACO AGRI")</f>
        <v>THACO AGRI</v>
      </c>
      <c r="E1028" s="1076" t="str">
        <f>IFERROR(__xludf.DUMMYFUNCTION("""COMPUTED_VALUE"""),"CK-MB-23")</f>
        <v>CK-MB-23</v>
      </c>
      <c r="F1028" s="1076"/>
      <c r="G1028" s="1076" t="str">
        <f>IFERROR(__xludf.DUMMYFUNCTION("""COMPUTED_VALUE"""),"2024")</f>
        <v>2024</v>
      </c>
      <c r="H1028" s="1076" t="str">
        <f>IFERROR(__xludf.DUMMYFUNCTION("""COMPUTED_VALUE"""),"đcơ điện 380v")</f>
        <v>đcơ điện 380v</v>
      </c>
      <c r="I1028" s="1076"/>
      <c r="J1028" s="1076"/>
      <c r="K1028" s="1076"/>
      <c r="L1028" s="1076" t="str">
        <f>IFERROR(__xludf.DUMMYFUNCTION("""COMPUTED_VALUE"""),"KLH")</f>
        <v>KLH</v>
      </c>
    </row>
    <row r="1029" customHeight="1" spans="1:12">
      <c r="A1029" s="1076" t="str">
        <f>IFERROR(__xludf.DUMMYFUNCTION("""COMPUTED_VALUE"""),"XD3-MBC-002")</f>
        <v>XD3-MBC-002</v>
      </c>
      <c r="B1029" s="1075" t="str">
        <f>IFERROR(__xludf.DUMMYFUNCTION("""COMPUTED_VALUE"""),"Máy băm cố định")</f>
        <v>Máy băm cố định</v>
      </c>
      <c r="C1029" s="1076" t="str">
        <f>IFERROR(__xludf.DUMMYFUNCTION("""COMPUTED_VALUE"""),"XN Chuối DP3")</f>
        <v>XN Chuối DP3</v>
      </c>
      <c r="D1029" s="1076" t="str">
        <f>IFERROR(__xludf.DUMMYFUNCTION("""COMPUTED_VALUE"""),"THACO AGRI")</f>
        <v>THACO AGRI</v>
      </c>
      <c r="E1029" s="1076" t="str">
        <f>IFERROR(__xludf.DUMMYFUNCTION("""COMPUTED_VALUE"""),"CK-MB")</f>
        <v>CK-MB</v>
      </c>
      <c r="F1029" s="1076"/>
      <c r="G1029" s="1076" t="str">
        <f>IFERROR(__xludf.DUMMYFUNCTION("""COMPUTED_VALUE"""),"2025")</f>
        <v>2025</v>
      </c>
      <c r="H1029" s="1076"/>
      <c r="I1029" s="1076"/>
      <c r="J1029" s="1076"/>
      <c r="K1029" s="1076"/>
      <c r="L1029" s="1076" t="str">
        <f>IFERROR(__xludf.DUMMYFUNCTION("""COMPUTED_VALUE"""),"KLH")</f>
        <v>KLH</v>
      </c>
    </row>
    <row r="1030" customHeight="1" spans="1:12">
      <c r="A1030" s="1076" t="str">
        <f>IFERROR(__xludf.DUMMYFUNCTION("""COMPUTED_VALUE"""),"XD3-MKC-002")</f>
        <v>XD3-MKC-002</v>
      </c>
      <c r="B1030" s="1075" t="str">
        <f>IFERROR(__xludf.DUMMYFUNCTION("""COMPUTED_VALUE"""),"Máy kéo chuối (Xăng)")</f>
        <v>Máy kéo chuối (Xăng)</v>
      </c>
      <c r="C1030" s="1076" t="str">
        <f>IFERROR(__xludf.DUMMYFUNCTION("""COMPUTED_VALUE"""),"XN Chuối DP3")</f>
        <v>XN Chuối DP3</v>
      </c>
      <c r="D1030" s="1076" t="str">
        <f>IFERROR(__xludf.DUMMYFUNCTION("""COMPUTED_VALUE"""),"THACO AGRI")</f>
        <v>THACO AGRI</v>
      </c>
      <c r="E1030" s="1076" t="str">
        <f>IFERROR(__xludf.DUMMYFUNCTION("""COMPUTED_VALUE"""),"CGH-MKC-DREAM")</f>
        <v>CGH-MKC-DREAM</v>
      </c>
      <c r="F1030" s="1076"/>
      <c r="G1030" s="1076" t="str">
        <f>IFERROR(__xludf.DUMMYFUNCTION("""COMPUTED_VALUE"""),"2025")</f>
        <v>2025</v>
      </c>
      <c r="H1030" s="1076" t="str">
        <f>IFERROR(__xludf.DUMMYFUNCTION("""COMPUTED_VALUE"""),"9.25HP")</f>
        <v>9.25HP</v>
      </c>
      <c r="I1030" s="1076" t="str">
        <f>IFERROR(__xludf.DUMMYFUNCTION("""COMPUTED_VALUE"""),"Mất")</f>
        <v>Mất</v>
      </c>
      <c r="J1030" s="1076"/>
      <c r="K1030" s="1076">
        <f>IFERROR(__xludf.DUMMYFUNCTION("""COMPUTED_VALUE"""),0.56)</f>
        <v>0.56</v>
      </c>
      <c r="L1030" s="1076" t="str">
        <f>IFERROR(__xludf.DUMMYFUNCTION("""COMPUTED_VALUE"""),"KLH")</f>
        <v>KLH</v>
      </c>
    </row>
    <row r="1031" customHeight="1" spans="1:12">
      <c r="A1031" s="1076" t="str">
        <f>IFERROR(__xludf.DUMMYFUNCTION("""COMPUTED_VALUE"""),"XD3-MKC-003")</f>
        <v>XD3-MKC-003</v>
      </c>
      <c r="B1031" s="1075" t="str">
        <f>IFERROR(__xludf.DUMMYFUNCTION("""COMPUTED_VALUE"""),"Máy kéo chuối (Xăng)")</f>
        <v>Máy kéo chuối (Xăng)</v>
      </c>
      <c r="C1031" s="1076" t="str">
        <f>IFERROR(__xludf.DUMMYFUNCTION("""COMPUTED_VALUE"""),"XN Chuối DP3")</f>
        <v>XN Chuối DP3</v>
      </c>
      <c r="D1031" s="1076" t="str">
        <f>IFERROR(__xludf.DUMMYFUNCTION("""COMPUTED_VALUE"""),"THACO AGRI")</f>
        <v>THACO AGRI</v>
      </c>
      <c r="E1031" s="1076" t="str">
        <f>IFERROR(__xludf.DUMMYFUNCTION("""COMPUTED_VALUE"""),"CGH-MKC-DREAM")</f>
        <v>CGH-MKC-DREAM</v>
      </c>
      <c r="F1031" s="1076"/>
      <c r="G1031" s="1076" t="str">
        <f>IFERROR(__xludf.DUMMYFUNCTION("""COMPUTED_VALUE"""),"2025")</f>
        <v>2025</v>
      </c>
      <c r="H1031" s="1076" t="str">
        <f>IFERROR(__xludf.DUMMYFUNCTION("""COMPUTED_VALUE"""),"9.25HP")</f>
        <v>9.25HP</v>
      </c>
      <c r="I1031" s="1076"/>
      <c r="J1031" s="1076"/>
      <c r="K1031" s="1076">
        <f>IFERROR(__xludf.DUMMYFUNCTION("""COMPUTED_VALUE"""),0.56)</f>
        <v>0.56</v>
      </c>
      <c r="L1031" s="1076" t="str">
        <f>IFERROR(__xludf.DUMMYFUNCTION("""COMPUTED_VALUE"""),"KLH")</f>
        <v>KLH</v>
      </c>
    </row>
    <row r="1032" customHeight="1" spans="1:12">
      <c r="A1032" s="1076" t="str">
        <f>IFERROR(__xludf.DUMMYFUNCTION("""COMPUTED_VALUE"""),"XD3-MKC-004")</f>
        <v>XD3-MKC-004</v>
      </c>
      <c r="B1032" s="1075" t="str">
        <f>IFERROR(__xludf.DUMMYFUNCTION("""COMPUTED_VALUE"""),"Máy kéo chuối (Xăng)")</f>
        <v>Máy kéo chuối (Xăng)</v>
      </c>
      <c r="C1032" s="1076" t="str">
        <f>IFERROR(__xludf.DUMMYFUNCTION("""COMPUTED_VALUE"""),"XN Chuối DP3")</f>
        <v>XN Chuối DP3</v>
      </c>
      <c r="D1032" s="1076" t="str">
        <f>IFERROR(__xludf.DUMMYFUNCTION("""COMPUTED_VALUE"""),"THACO AGRI")</f>
        <v>THACO AGRI</v>
      </c>
      <c r="E1032" s="1076" t="str">
        <f>IFERROR(__xludf.DUMMYFUNCTION("""COMPUTED_VALUE"""),"CGH-MKC-DREAM")</f>
        <v>CGH-MKC-DREAM</v>
      </c>
      <c r="F1032" s="1076"/>
      <c r="G1032" s="1076" t="str">
        <f>IFERROR(__xludf.DUMMYFUNCTION("""COMPUTED_VALUE"""),"2025")</f>
        <v>2025</v>
      </c>
      <c r="H1032" s="1076" t="str">
        <f>IFERROR(__xludf.DUMMYFUNCTION("""COMPUTED_VALUE"""),"9.25HP")</f>
        <v>9.25HP</v>
      </c>
      <c r="I1032" s="1076"/>
      <c r="J1032" s="1076"/>
      <c r="K1032" s="1076">
        <f>IFERROR(__xludf.DUMMYFUNCTION("""COMPUTED_VALUE"""),0.56)</f>
        <v>0.56</v>
      </c>
      <c r="L1032" s="1076" t="str">
        <f>IFERROR(__xludf.DUMMYFUNCTION("""COMPUTED_VALUE"""),"KLH")</f>
        <v>KLH</v>
      </c>
    </row>
    <row r="1033" customHeight="1" spans="1:12">
      <c r="A1033" s="1076" t="str">
        <f>IFERROR(__xludf.DUMMYFUNCTION("""COMPUTED_VALUE"""),"XD3-MKC-005")</f>
        <v>XD3-MKC-005</v>
      </c>
      <c r="B1033" s="1075" t="str">
        <f>IFERROR(__xludf.DUMMYFUNCTION("""COMPUTED_VALUE"""),"Máy kéo chuối (Xăng)")</f>
        <v>Máy kéo chuối (Xăng)</v>
      </c>
      <c r="C1033" s="1076" t="str">
        <f>IFERROR(__xludf.DUMMYFUNCTION("""COMPUTED_VALUE"""),"XN Chuối DP3")</f>
        <v>XN Chuối DP3</v>
      </c>
      <c r="D1033" s="1076" t="str">
        <f>IFERROR(__xludf.DUMMYFUNCTION("""COMPUTED_VALUE"""),"THACO AGRI")</f>
        <v>THACO AGRI</v>
      </c>
      <c r="E1033" s="1076" t="str">
        <f>IFERROR(__xludf.DUMMYFUNCTION("""COMPUTED_VALUE"""),"XKC-12")</f>
        <v>XKC-12</v>
      </c>
      <c r="F1033" s="1076"/>
      <c r="G1033" s="1076" t="str">
        <f>IFERROR(__xludf.DUMMYFUNCTION("""COMPUTED_VALUE"""),"2025")</f>
        <v>2025</v>
      </c>
      <c r="H1033" s="1076" t="str">
        <f>IFERROR(__xludf.DUMMYFUNCTION("""COMPUTED_VALUE"""),"9.25HP")</f>
        <v>9.25HP</v>
      </c>
      <c r="I1033" s="1076" t="str">
        <f>IFERROR(__xludf.DUMMYFUNCTION("""COMPUTED_VALUE"""),"12")</f>
        <v>12</v>
      </c>
      <c r="J1033" s="1076"/>
      <c r="K1033" s="1076">
        <f>IFERROR(__xludf.DUMMYFUNCTION("""COMPUTED_VALUE"""),0.56)</f>
        <v>0.56</v>
      </c>
      <c r="L1033" s="1076" t="str">
        <f>IFERROR(__xludf.DUMMYFUNCTION("""COMPUTED_VALUE"""),"KLH")</f>
        <v>KLH</v>
      </c>
    </row>
    <row r="1034" customHeight="1" spans="1:12">
      <c r="A1034" s="1076" t="str">
        <f>IFERROR(__xludf.DUMMYFUNCTION("""COMPUTED_VALUE"""),"XD3-MKC-006")</f>
        <v>XD3-MKC-006</v>
      </c>
      <c r="B1034" s="1075" t="str">
        <f>IFERROR(__xludf.DUMMYFUNCTION("""COMPUTED_VALUE"""),"Máy kéo chuối (Xăng)")</f>
        <v>Máy kéo chuối (Xăng)</v>
      </c>
      <c r="C1034" s="1076" t="str">
        <f>IFERROR(__xludf.DUMMYFUNCTION("""COMPUTED_VALUE"""),"XN Chuối DP3")</f>
        <v>XN Chuối DP3</v>
      </c>
      <c r="D1034" s="1076" t="str">
        <f>IFERROR(__xludf.DUMMYFUNCTION("""COMPUTED_VALUE"""),"THACO AGRI")</f>
        <v>THACO AGRI</v>
      </c>
      <c r="E1034" s="1076" t="str">
        <f>IFERROR(__xludf.DUMMYFUNCTION("""COMPUTED_VALUE"""),"XKC-13")</f>
        <v>XKC-13</v>
      </c>
      <c r="F1034" s="1076"/>
      <c r="G1034" s="1076" t="str">
        <f>IFERROR(__xludf.DUMMYFUNCTION("""COMPUTED_VALUE"""),"2025")</f>
        <v>2025</v>
      </c>
      <c r="H1034" s="1076" t="str">
        <f>IFERROR(__xludf.DUMMYFUNCTION("""COMPUTED_VALUE"""),"9.25HP")</f>
        <v>9.25HP</v>
      </c>
      <c r="I1034" s="1076" t="str">
        <f>IFERROR(__xludf.DUMMYFUNCTION("""COMPUTED_VALUE"""),"13")</f>
        <v>13</v>
      </c>
      <c r="J1034" s="1076"/>
      <c r="K1034" s="1076">
        <f>IFERROR(__xludf.DUMMYFUNCTION("""COMPUTED_VALUE"""),0.56)</f>
        <v>0.56</v>
      </c>
      <c r="L1034" s="1076" t="str">
        <f>IFERROR(__xludf.DUMMYFUNCTION("""COMPUTED_VALUE"""),"KLH")</f>
        <v>KLH</v>
      </c>
    </row>
    <row r="1035" customHeight="1" spans="1:12">
      <c r="A1035" s="1076" t="str">
        <f>IFERROR(__xludf.DUMMYFUNCTION("""COMPUTED_VALUE"""),"XD3-MKC-007")</f>
        <v>XD3-MKC-007</v>
      </c>
      <c r="B1035" s="1075" t="str">
        <f>IFERROR(__xludf.DUMMYFUNCTION("""COMPUTED_VALUE"""),"Máy kéo chuối (Xăng)")</f>
        <v>Máy kéo chuối (Xăng)</v>
      </c>
      <c r="C1035" s="1076" t="str">
        <f>IFERROR(__xludf.DUMMYFUNCTION("""COMPUTED_VALUE"""),"XN Chuối DP3")</f>
        <v>XN Chuối DP3</v>
      </c>
      <c r="D1035" s="1076" t="str">
        <f>IFERROR(__xludf.DUMMYFUNCTION("""COMPUTED_VALUE"""),"THACO AGRI")</f>
        <v>THACO AGRI</v>
      </c>
      <c r="E1035" s="1076" t="str">
        <f>IFERROR(__xludf.DUMMYFUNCTION("""COMPUTED_VALUE"""),"XKC-13")</f>
        <v>XKC-13</v>
      </c>
      <c r="F1035" s="1076"/>
      <c r="G1035" s="1076" t="str">
        <f>IFERROR(__xludf.DUMMYFUNCTION("""COMPUTED_VALUE"""),"2025")</f>
        <v>2025</v>
      </c>
      <c r="H1035" s="1076" t="str">
        <f>IFERROR(__xludf.DUMMYFUNCTION("""COMPUTED_VALUE"""),"9,5 HP")</f>
        <v>9,5 HP</v>
      </c>
      <c r="I1035" s="1076"/>
      <c r="J1035" s="1076"/>
      <c r="K1035" s="1076">
        <f>IFERROR(__xludf.DUMMYFUNCTION("""COMPUTED_VALUE"""),0.56)</f>
        <v>0.56</v>
      </c>
      <c r="L1035" s="1076" t="str">
        <f>IFERROR(__xludf.DUMMYFUNCTION("""COMPUTED_VALUE"""),"KLH")</f>
        <v>KLH</v>
      </c>
    </row>
    <row r="1036" customHeight="1" spans="1:12">
      <c r="A1036" s="1076" t="str">
        <f>IFERROR(__xludf.DUMMYFUNCTION("""COMPUTED_VALUE"""),"XD3-MKC-008")</f>
        <v>XD3-MKC-008</v>
      </c>
      <c r="B1036" s="1075" t="str">
        <f>IFERROR(__xludf.DUMMYFUNCTION("""COMPUTED_VALUE"""),"Máy kéo chuối (Xăng)")</f>
        <v>Máy kéo chuối (Xăng)</v>
      </c>
      <c r="C1036" s="1076" t="str">
        <f>IFERROR(__xludf.DUMMYFUNCTION("""COMPUTED_VALUE"""),"XN Chuối DP3")</f>
        <v>XN Chuối DP3</v>
      </c>
      <c r="D1036" s="1076" t="str">
        <f>IFERROR(__xludf.DUMMYFUNCTION("""COMPUTED_VALUE"""),"THACO AGRI")</f>
        <v>THACO AGRI</v>
      </c>
      <c r="E1036" s="1076" t="str">
        <f>IFERROR(__xludf.DUMMYFUNCTION("""COMPUTED_VALUE"""),"XKC-23")</f>
        <v>XKC-23</v>
      </c>
      <c r="F1036" s="1076"/>
      <c r="G1036" s="1076" t="str">
        <f>IFERROR(__xludf.DUMMYFUNCTION("""COMPUTED_VALUE"""),"2025")</f>
        <v>2025</v>
      </c>
      <c r="H1036" s="1076" t="str">
        <f>IFERROR(__xludf.DUMMYFUNCTION("""COMPUTED_VALUE"""),"9,5 HP")</f>
        <v>9,5 HP</v>
      </c>
      <c r="I1036" s="1076"/>
      <c r="J1036" s="1076"/>
      <c r="K1036" s="1076">
        <f>IFERROR(__xludf.DUMMYFUNCTION("""COMPUTED_VALUE"""),0.56)</f>
        <v>0.56</v>
      </c>
      <c r="L1036" s="1076" t="str">
        <f>IFERROR(__xludf.DUMMYFUNCTION("""COMPUTED_VALUE"""),"KLH")</f>
        <v>KLH</v>
      </c>
    </row>
    <row r="1037" customHeight="1" spans="1:12">
      <c r="A1037" s="1076" t="str">
        <f>IFERROR(__xludf.DUMMYFUNCTION("""COMPUTED_VALUE"""),"XD3-MKC-009")</f>
        <v>XD3-MKC-009</v>
      </c>
      <c r="B1037" s="1075" t="str">
        <f>IFERROR(__xludf.DUMMYFUNCTION("""COMPUTED_VALUE"""),"Máy kéo chuối (Điện)")</f>
        <v>Máy kéo chuối (Điện)</v>
      </c>
      <c r="C1037" s="1076" t="str">
        <f>IFERROR(__xludf.DUMMYFUNCTION("""COMPUTED_VALUE"""),"XN Chuối DP3")</f>
        <v>XN Chuối DP3</v>
      </c>
      <c r="D1037" s="1076" t="str">
        <f>IFERROR(__xludf.DUMMYFUNCTION("""COMPUTED_VALUE"""),"THACO AGRI")</f>
        <v>THACO AGRI</v>
      </c>
      <c r="E1037" s="1076"/>
      <c r="F1037" s="1076"/>
      <c r="G1037" s="1076" t="str">
        <f>IFERROR(__xludf.DUMMYFUNCTION("""COMPUTED_VALUE"""),"2025")</f>
        <v>2025</v>
      </c>
      <c r="H1037" s="1076" t="str">
        <f>IFERROR(__xludf.DUMMYFUNCTION("""COMPUTED_VALUE"""),"1500W")</f>
        <v>1500W</v>
      </c>
      <c r="I1037" s="1076" t="str">
        <f>IFERROR(__xludf.DUMMYFUNCTION("""COMPUTED_VALUE"""),"60A-4CÁI")</f>
        <v>60A-4CÁI</v>
      </c>
      <c r="J1037" s="1076"/>
      <c r="K1037" s="1076"/>
      <c r="L1037" s="1076" t="str">
        <f>IFERROR(__xludf.DUMMYFUNCTION("""COMPUTED_VALUE"""),"KLH")</f>
        <v>KLH</v>
      </c>
    </row>
    <row r="1038" customHeight="1" spans="1:12">
      <c r="A1038" s="1076" t="str">
        <f>IFERROR(__xludf.DUMMYFUNCTION("""COMPUTED_VALUE"""),"XD3-MKC-010")</f>
        <v>XD3-MKC-010</v>
      </c>
      <c r="B1038" s="1075" t="str">
        <f>IFERROR(__xludf.DUMMYFUNCTION("""COMPUTED_VALUE"""),"Máy kéo chuối (Xăng)")</f>
        <v>Máy kéo chuối (Xăng)</v>
      </c>
      <c r="C1038" s="1076" t="str">
        <f>IFERROR(__xludf.DUMMYFUNCTION("""COMPUTED_VALUE"""),"XN Chuối DP3")</f>
        <v>XN Chuối DP3</v>
      </c>
      <c r="D1038" s="1076" t="str">
        <f>IFERROR(__xludf.DUMMYFUNCTION("""COMPUTED_VALUE"""),"THACO AGRI")</f>
        <v>THACO AGRI</v>
      </c>
      <c r="E1038" s="1076" t="str">
        <f>IFERROR(__xludf.DUMMYFUNCTION("""COMPUTED_VALUE"""),"XKC-26")</f>
        <v>XKC-26</v>
      </c>
      <c r="F1038" s="1076"/>
      <c r="G1038" s="1076" t="str">
        <f>IFERROR(__xludf.DUMMYFUNCTION("""COMPUTED_VALUE"""),"2025")</f>
        <v>2025</v>
      </c>
      <c r="H1038" s="1076"/>
      <c r="I1038" s="1076"/>
      <c r="J1038" s="1076"/>
      <c r="K1038" s="1076">
        <f>IFERROR(__xludf.DUMMYFUNCTION("""COMPUTED_VALUE"""),0.56)</f>
        <v>0.56</v>
      </c>
      <c r="L1038" s="1076" t="str">
        <f>IFERROR(__xludf.DUMMYFUNCTION("""COMPUTED_VALUE"""),"KLH")</f>
        <v>KLH</v>
      </c>
    </row>
    <row r="1039" customHeight="1" spans="1:12">
      <c r="A1039" s="1076" t="str">
        <f>IFERROR(__xludf.DUMMYFUNCTION("""COMPUTED_VALUE"""),"XD3-MKC-011")</f>
        <v>XD3-MKC-011</v>
      </c>
      <c r="B1039" s="1075" t="str">
        <f>IFERROR(__xludf.DUMMYFUNCTION("""COMPUTED_VALUE"""),"Máy kéo chuối (Xăng)")</f>
        <v>Máy kéo chuối (Xăng)</v>
      </c>
      <c r="C1039" s="1076" t="str">
        <f>IFERROR(__xludf.DUMMYFUNCTION("""COMPUTED_VALUE"""),"XN Chuối DP3")</f>
        <v>XN Chuối DP3</v>
      </c>
      <c r="D1039" s="1076" t="str">
        <f>IFERROR(__xludf.DUMMYFUNCTION("""COMPUTED_VALUE"""),"THACO AGRI")</f>
        <v>THACO AGRI</v>
      </c>
      <c r="E1039" s="1076" t="str">
        <f>IFERROR(__xludf.DUMMYFUNCTION("""COMPUTED_VALUE"""),"XKC-31")</f>
        <v>XKC-31</v>
      </c>
      <c r="F1039" s="1076"/>
      <c r="G1039" s="1076" t="str">
        <f>IFERROR(__xludf.DUMMYFUNCTION("""COMPUTED_VALUE"""),"2025")</f>
        <v>2025</v>
      </c>
      <c r="H1039" s="1076"/>
      <c r="I1039" s="1076"/>
      <c r="J1039" s="1076"/>
      <c r="K1039" s="1076">
        <f>IFERROR(__xludf.DUMMYFUNCTION("""COMPUTED_VALUE"""),0.56)</f>
        <v>0.56</v>
      </c>
      <c r="L1039" s="1076" t="str">
        <f>IFERROR(__xludf.DUMMYFUNCTION("""COMPUTED_VALUE"""),"KLH")</f>
        <v>KLH</v>
      </c>
    </row>
    <row r="1040" customHeight="1" spans="1:12">
      <c r="A1040" s="1076" t="str">
        <f>IFERROR(__xludf.DUMMYFUNCTION("""COMPUTED_VALUE"""),"XD3-MKC-012")</f>
        <v>XD3-MKC-012</v>
      </c>
      <c r="B1040" s="1075" t="str">
        <f>IFERROR(__xludf.DUMMYFUNCTION("""COMPUTED_VALUE"""),"Máy kéo chuối (Xăng)")</f>
        <v>Máy kéo chuối (Xăng)</v>
      </c>
      <c r="C1040" s="1076" t="str">
        <f>IFERROR(__xludf.DUMMYFUNCTION("""COMPUTED_VALUE"""),"XN Chuối DP3")</f>
        <v>XN Chuối DP3</v>
      </c>
      <c r="D1040" s="1076" t="str">
        <f>IFERROR(__xludf.DUMMYFUNCTION("""COMPUTED_VALUE"""),"THACO AGRI")</f>
        <v>THACO AGRI</v>
      </c>
      <c r="E1040" s="1076" t="str">
        <f>IFERROR(__xludf.DUMMYFUNCTION("""COMPUTED_VALUE"""),"XKC-034")</f>
        <v>XKC-034</v>
      </c>
      <c r="F1040" s="1076"/>
      <c r="G1040" s="1076" t="str">
        <f>IFERROR(__xludf.DUMMYFUNCTION("""COMPUTED_VALUE"""),"2025")</f>
        <v>2025</v>
      </c>
      <c r="H1040" s="1076"/>
      <c r="I1040" s="1076"/>
      <c r="J1040" s="1076"/>
      <c r="K1040" s="1076">
        <f>IFERROR(__xludf.DUMMYFUNCTION("""COMPUTED_VALUE"""),0.56)</f>
        <v>0.56</v>
      </c>
      <c r="L1040" s="1076" t="str">
        <f>IFERROR(__xludf.DUMMYFUNCTION("""COMPUTED_VALUE"""),"KLH")</f>
        <v>KLH</v>
      </c>
    </row>
    <row r="1041" customHeight="1" spans="1:12">
      <c r="A1041" s="1076" t="str">
        <f>IFERROR(__xludf.DUMMYFUNCTION("""COMPUTED_VALUE"""),"XD3-MKC-013")</f>
        <v>XD3-MKC-013</v>
      </c>
      <c r="B1041" s="1075" t="str">
        <f>IFERROR(__xludf.DUMMYFUNCTION("""COMPUTED_VALUE"""),"Máy kéo chuối (Xăng)")</f>
        <v>Máy kéo chuối (Xăng)</v>
      </c>
      <c r="C1041" s="1076" t="str">
        <f>IFERROR(__xludf.DUMMYFUNCTION("""COMPUTED_VALUE"""),"XN Chuối DP3")</f>
        <v>XN Chuối DP3</v>
      </c>
      <c r="D1041" s="1076" t="str">
        <f>IFERROR(__xludf.DUMMYFUNCTION("""COMPUTED_VALUE"""),"THACO AGRI")</f>
        <v>THACO AGRI</v>
      </c>
      <c r="E1041" s="1076" t="str">
        <f>IFERROR(__xludf.DUMMYFUNCTION("""COMPUTED_VALUE"""),"XKC-38")</f>
        <v>XKC-38</v>
      </c>
      <c r="F1041" s="1076"/>
      <c r="G1041" s="1076" t="str">
        <f>IFERROR(__xludf.DUMMYFUNCTION("""COMPUTED_VALUE"""),"2025")</f>
        <v>2025</v>
      </c>
      <c r="H1041" s="1076"/>
      <c r="I1041" s="1076"/>
      <c r="J1041" s="1076"/>
      <c r="K1041" s="1076">
        <f>IFERROR(__xludf.DUMMYFUNCTION("""COMPUTED_VALUE"""),0.56)</f>
        <v>0.56</v>
      </c>
      <c r="L1041" s="1076" t="str">
        <f>IFERROR(__xludf.DUMMYFUNCTION("""COMPUTED_VALUE"""),"KLH")</f>
        <v>KLH</v>
      </c>
    </row>
    <row r="1042" customHeight="1" spans="1:12">
      <c r="A1042" s="1076" t="str">
        <f>IFERROR(__xludf.DUMMYFUNCTION("""COMPUTED_VALUE"""),"XD3-MKC-014")</f>
        <v>XD3-MKC-014</v>
      </c>
      <c r="B1042" s="1075" t="str">
        <f>IFERROR(__xludf.DUMMYFUNCTION("""COMPUTED_VALUE"""),"Máy kéo chuối (Xăng)")</f>
        <v>Máy kéo chuối (Xăng)</v>
      </c>
      <c r="C1042" s="1076" t="str">
        <f>IFERROR(__xludf.DUMMYFUNCTION("""COMPUTED_VALUE"""),"XN Chuối DP3")</f>
        <v>XN Chuối DP3</v>
      </c>
      <c r="D1042" s="1076" t="str">
        <f>IFERROR(__xludf.DUMMYFUNCTION("""COMPUTED_VALUE"""),"THACO AGRI")</f>
        <v>THACO AGRI</v>
      </c>
      <c r="E1042" s="1076" t="str">
        <f>IFERROR(__xludf.DUMMYFUNCTION("""COMPUTED_VALUE"""),"XKC-40")</f>
        <v>XKC-40</v>
      </c>
      <c r="F1042" s="1076"/>
      <c r="G1042" s="1076" t="str">
        <f>IFERROR(__xludf.DUMMYFUNCTION("""COMPUTED_VALUE"""),"2025")</f>
        <v>2025</v>
      </c>
      <c r="H1042" s="1076"/>
      <c r="I1042" s="1076"/>
      <c r="J1042" s="1076"/>
      <c r="K1042" s="1076">
        <f>IFERROR(__xludf.DUMMYFUNCTION("""COMPUTED_VALUE"""),0.56)</f>
        <v>0.56</v>
      </c>
      <c r="L1042" s="1076" t="str">
        <f>IFERROR(__xludf.DUMMYFUNCTION("""COMPUTED_VALUE"""),"KLH")</f>
        <v>KLH</v>
      </c>
    </row>
    <row r="1043" customHeight="1" spans="1:12">
      <c r="A1043" s="1076" t="str">
        <f>IFERROR(__xludf.DUMMYFUNCTION("""COMPUTED_VALUE"""),"XD3-MKC-015")</f>
        <v>XD3-MKC-015</v>
      </c>
      <c r="B1043" s="1075" t="str">
        <f>IFERROR(__xludf.DUMMYFUNCTION("""COMPUTED_VALUE"""),"Máy kéo chuối (Xăng)")</f>
        <v>Máy kéo chuối (Xăng)</v>
      </c>
      <c r="C1043" s="1076" t="str">
        <f>IFERROR(__xludf.DUMMYFUNCTION("""COMPUTED_VALUE"""),"XN Chuối DP3")</f>
        <v>XN Chuối DP3</v>
      </c>
      <c r="D1043" s="1076" t="str">
        <f>IFERROR(__xludf.DUMMYFUNCTION("""COMPUTED_VALUE"""),"THACO AGRI")</f>
        <v>THACO AGRI</v>
      </c>
      <c r="E1043" s="1076" t="str">
        <f>IFERROR(__xludf.DUMMYFUNCTION("""COMPUTED_VALUE"""),"XKC-47")</f>
        <v>XKC-47</v>
      </c>
      <c r="F1043" s="1076"/>
      <c r="G1043" s="1076" t="str">
        <f>IFERROR(__xludf.DUMMYFUNCTION("""COMPUTED_VALUE"""),"2025")</f>
        <v>2025</v>
      </c>
      <c r="H1043" s="1076" t="str">
        <f>IFERROR(__xludf.DUMMYFUNCTION("""COMPUTED_VALUE"""),"9.5HP")</f>
        <v>9.5HP</v>
      </c>
      <c r="I1043" s="1076" t="str">
        <f>IFERROR(__xludf.DUMMYFUNCTION("""COMPUTED_VALUE"""),"47")</f>
        <v>47</v>
      </c>
      <c r="J1043" s="1076"/>
      <c r="K1043" s="1076">
        <f>IFERROR(__xludf.DUMMYFUNCTION("""COMPUTED_VALUE"""),0.56)</f>
        <v>0.56</v>
      </c>
      <c r="L1043" s="1076" t="str">
        <f>IFERROR(__xludf.DUMMYFUNCTION("""COMPUTED_VALUE"""),"KLH")</f>
        <v>KLH</v>
      </c>
    </row>
    <row r="1044" customHeight="1" spans="1:12">
      <c r="A1044" s="1076" t="str">
        <f>IFERROR(__xludf.DUMMYFUNCTION("""COMPUTED_VALUE"""),"XD3-MKC-016")</f>
        <v>XD3-MKC-016</v>
      </c>
      <c r="B1044" s="1075" t="str">
        <f>IFERROR(__xludf.DUMMYFUNCTION("""COMPUTED_VALUE"""),"Máy kéo chuối (Xăng)")</f>
        <v>Máy kéo chuối (Xăng)</v>
      </c>
      <c r="C1044" s="1076" t="str">
        <f>IFERROR(__xludf.DUMMYFUNCTION("""COMPUTED_VALUE"""),"XN Chuối DP3")</f>
        <v>XN Chuối DP3</v>
      </c>
      <c r="D1044" s="1076"/>
      <c r="E1044" s="1076"/>
      <c r="F1044" s="1076"/>
      <c r="G1044" s="1076"/>
      <c r="H1044" s="1076"/>
      <c r="I1044" s="1076"/>
      <c r="J1044" s="1076"/>
      <c r="K1044" s="1076">
        <f>IFERROR(__xludf.DUMMYFUNCTION("""COMPUTED_VALUE"""),0.56)</f>
        <v>0.56</v>
      </c>
      <c r="L1044" s="1076" t="str">
        <f>IFERROR(__xludf.DUMMYFUNCTION("""COMPUTED_VALUE"""),"KLH")</f>
        <v>KLH</v>
      </c>
    </row>
    <row r="1045" customHeight="1" spans="1:12">
      <c r="A1045" s="1076" t="str">
        <f>IFERROR(__xludf.DUMMYFUNCTION("""COMPUTED_VALUE"""),"XD3-MKC-017")</f>
        <v>XD3-MKC-017</v>
      </c>
      <c r="B1045" s="1075" t="str">
        <f>IFERROR(__xludf.DUMMYFUNCTION("""COMPUTED_VALUE"""),"Máy kéo chuối (Xăng)")</f>
        <v>Máy kéo chuối (Xăng)</v>
      </c>
      <c r="C1045" s="1076" t="str">
        <f>IFERROR(__xludf.DUMMYFUNCTION("""COMPUTED_VALUE"""),"XN Chuối DP3")</f>
        <v>XN Chuối DP3</v>
      </c>
      <c r="D1045" s="1076"/>
      <c r="E1045" s="1076"/>
      <c r="F1045" s="1076"/>
      <c r="G1045" s="1076"/>
      <c r="H1045" s="1076"/>
      <c r="I1045" s="1076"/>
      <c r="J1045" s="1076"/>
      <c r="K1045" s="1076">
        <f>IFERROR(__xludf.DUMMYFUNCTION("""COMPUTED_VALUE"""),0.56)</f>
        <v>0.56</v>
      </c>
      <c r="L1045" s="1076" t="str">
        <f>IFERROR(__xludf.DUMMYFUNCTION("""COMPUTED_VALUE"""),"KLH")</f>
        <v>KLH</v>
      </c>
    </row>
    <row r="1046" customHeight="1" spans="1:12">
      <c r="A1046" s="1076" t="str">
        <f>IFERROR(__xludf.DUMMYFUNCTION("""COMPUTED_VALUE"""),"XD3-GĐH-001")</f>
        <v>XD3-GĐH-001</v>
      </c>
      <c r="B1046" s="1075" t="str">
        <f>IFERROR(__xludf.DUMMYFUNCTION("""COMPUTED_VALUE"""),"Gàu định hình đào mương thoát nước")</f>
        <v>Gàu định hình đào mương thoát nước</v>
      </c>
      <c r="C1046" s="1076" t="str">
        <f>IFERROR(__xludf.DUMMYFUNCTION("""COMPUTED_VALUE"""),"XN Chuối DP3")</f>
        <v>XN Chuối DP3</v>
      </c>
      <c r="D1046" s="1076" t="str">
        <f>IFERROR(__xludf.DUMMYFUNCTION("""COMPUTED_VALUE"""),"THACO AGRI")</f>
        <v>THACO AGRI</v>
      </c>
      <c r="E1046" s="1076"/>
      <c r="F1046" s="1076"/>
      <c r="G1046" s="1076" t="str">
        <f>IFERROR(__xludf.DUMMYFUNCTION("""COMPUTED_VALUE"""),"2025")</f>
        <v>2025</v>
      </c>
      <c r="H1046" s="1076" t="str">
        <f>IFERROR(__xludf.DUMMYFUNCTION("""COMPUTED_VALUE"""),"350x200x400")</f>
        <v>350x200x400</v>
      </c>
      <c r="I1046" s="1076"/>
      <c r="J1046" s="1076"/>
      <c r="K1046" s="1076"/>
      <c r="L1046" s="1076" t="str">
        <f>IFERROR(__xludf.DUMMYFUNCTION("""COMPUTED_VALUE"""),"KLH")</f>
        <v>KLH</v>
      </c>
    </row>
    <row r="1047" customHeight="1" spans="1:12">
      <c r="A1047" s="1076" t="str">
        <f>IFERROR(__xludf.DUMMYFUNCTION("""COMPUTED_VALUE"""),"XD3-GĐH-002")</f>
        <v>XD3-GĐH-002</v>
      </c>
      <c r="B1047" s="1075" t="str">
        <f>IFERROR(__xludf.DUMMYFUNCTION("""COMPUTED_VALUE"""),"Gàu định hình đào mương thoát nước")</f>
        <v>Gàu định hình đào mương thoát nước</v>
      </c>
      <c r="C1047" s="1076" t="str">
        <f>IFERROR(__xludf.DUMMYFUNCTION("""COMPUTED_VALUE"""),"XN Chuối DP3")</f>
        <v>XN Chuối DP3</v>
      </c>
      <c r="D1047" s="1076" t="str">
        <f>IFERROR(__xludf.DUMMYFUNCTION("""COMPUTED_VALUE"""),"THACO AGRI")</f>
        <v>THACO AGRI</v>
      </c>
      <c r="E1047" s="1076"/>
      <c r="F1047" s="1076"/>
      <c r="G1047" s="1076" t="str">
        <f>IFERROR(__xludf.DUMMYFUNCTION("""COMPUTED_VALUE"""),"2025")</f>
        <v>2025</v>
      </c>
      <c r="H1047" s="1076" t="str">
        <f>IFERROR(__xludf.DUMMYFUNCTION("""COMPUTED_VALUE"""),"350x200x400")</f>
        <v>350x200x400</v>
      </c>
      <c r="I1047" s="1076"/>
      <c r="J1047" s="1076"/>
      <c r="K1047" s="1076"/>
      <c r="L1047" s="1076" t="str">
        <f>IFERROR(__xludf.DUMMYFUNCTION("""COMPUTED_VALUE"""),"KLH")</f>
        <v>KLH</v>
      </c>
    </row>
    <row r="1048" customHeight="1" spans="1:12">
      <c r="A1048" s="1076" t="str">
        <f>IFERROR(__xludf.DUMMYFUNCTION("""COMPUTED_VALUE"""),"XD3-GĐH-003")</f>
        <v>XD3-GĐH-003</v>
      </c>
      <c r="B1048" s="1075" t="str">
        <f>IFERROR(__xludf.DUMMYFUNCTION("""COMPUTED_VALUE"""),"Gàu định hình đào mương thoát nước")</f>
        <v>Gàu định hình đào mương thoát nước</v>
      </c>
      <c r="C1048" s="1076" t="str">
        <f>IFERROR(__xludf.DUMMYFUNCTION("""COMPUTED_VALUE"""),"XN Chuối DP3")</f>
        <v>XN Chuối DP3</v>
      </c>
      <c r="D1048" s="1076" t="str">
        <f>IFERROR(__xludf.DUMMYFUNCTION("""COMPUTED_VALUE"""),"THACO AGRI")</f>
        <v>THACO AGRI</v>
      </c>
      <c r="E1048" s="1076"/>
      <c r="F1048" s="1076"/>
      <c r="G1048" s="1076" t="str">
        <f>IFERROR(__xludf.DUMMYFUNCTION("""COMPUTED_VALUE"""),"2025")</f>
        <v>2025</v>
      </c>
      <c r="H1048" s="1076" t="str">
        <f>IFERROR(__xludf.DUMMYFUNCTION("""COMPUTED_VALUE"""),"350x200x400")</f>
        <v>350x200x400</v>
      </c>
      <c r="I1048" s="1076"/>
      <c r="J1048" s="1076"/>
      <c r="K1048" s="1076"/>
      <c r="L1048" s="1076" t="str">
        <f>IFERROR(__xludf.DUMMYFUNCTION("""COMPUTED_VALUE"""),"KLH")</f>
        <v>KLH</v>
      </c>
    </row>
    <row r="1049" customHeight="1" spans="1:12">
      <c r="A1049" s="1076" t="str">
        <f>IFERROR(__xludf.DUMMYFUNCTION("""COMPUTED_VALUE"""),"XD3-GĐH-004")</f>
        <v>XD3-GĐH-004</v>
      </c>
      <c r="B1049" s="1075" t="str">
        <f>IFERROR(__xludf.DUMMYFUNCTION("""COMPUTED_VALUE"""),"Gàu định hình đào mương thoát nước")</f>
        <v>Gàu định hình đào mương thoát nước</v>
      </c>
      <c r="C1049" s="1076" t="str">
        <f>IFERROR(__xludf.DUMMYFUNCTION("""COMPUTED_VALUE"""),"XN Chuối DP3")</f>
        <v>XN Chuối DP3</v>
      </c>
      <c r="D1049" s="1076" t="str">
        <f>IFERROR(__xludf.DUMMYFUNCTION("""COMPUTED_VALUE"""),"THACO AGRI")</f>
        <v>THACO AGRI</v>
      </c>
      <c r="E1049" s="1076"/>
      <c r="F1049" s="1076"/>
      <c r="G1049" s="1076" t="str">
        <f>IFERROR(__xludf.DUMMYFUNCTION("""COMPUTED_VALUE"""),"2025")</f>
        <v>2025</v>
      </c>
      <c r="H1049" s="1076" t="str">
        <f>IFERROR(__xludf.DUMMYFUNCTION("""COMPUTED_VALUE"""),"350x200x400")</f>
        <v>350x200x400</v>
      </c>
      <c r="I1049" s="1076"/>
      <c r="J1049" s="1076"/>
      <c r="K1049" s="1076"/>
      <c r="L1049" s="1076" t="str">
        <f>IFERROR(__xludf.DUMMYFUNCTION("""COMPUTED_VALUE"""),"KLH")</f>
        <v>KLH</v>
      </c>
    </row>
    <row r="1050" customHeight="1" spans="1:12">
      <c r="A1050" s="1076" t="str">
        <f>IFERROR(__xludf.DUMMYFUNCTION("""COMPUTED_VALUE"""),"CNN-TBC-001")</f>
        <v>CNN-TBC-001</v>
      </c>
      <c r="B1050" s="1075" t="str">
        <f>IFERROR(__xludf.DUMMYFUNCTION("""COMPUTED_VALUE"""),"Thiết bị cắt cỏ")</f>
        <v>Thiết bị cắt cỏ</v>
      </c>
      <c r="C1050" s="1076" t="str">
        <f>IFERROR(__xludf.DUMMYFUNCTION("""COMPUTED_VALUE"""),"XN Chuối DP3")</f>
        <v>XN Chuối DP3</v>
      </c>
      <c r="D1050" s="1076" t="str">
        <f>IFERROR(__xludf.DUMMYFUNCTION("""COMPUTED_VALUE"""),"AIO")</f>
        <v>AIO</v>
      </c>
      <c r="E1050" s="1076" t="str">
        <f>IFERROR(__xludf.DUMMYFUNCTION("""COMPUTED_VALUE"""),"AIO-CC01")</f>
        <v>AIO-CC01</v>
      </c>
      <c r="F1050" s="1076"/>
      <c r="G1050" s="1076"/>
      <c r="H1050" s="1076"/>
      <c r="I1050" s="1076" t="str">
        <f>IFERROR(__xludf.DUMMYFUNCTION("""COMPUTED_VALUE"""),"AIO-CC01")</f>
        <v>AIO-CC01</v>
      </c>
      <c r="J1050" s="1076"/>
      <c r="K1050" s="1076"/>
      <c r="L1050" s="1076" t="str">
        <f>IFERROR(__xludf.DUMMYFUNCTION("""COMPUTED_VALUE"""),"KLH")</f>
        <v>KLH</v>
      </c>
    </row>
    <row r="1051" customHeight="1" spans="1:12">
      <c r="A1051" s="1076" t="str">
        <f>IFERROR(__xludf.DUMMYFUNCTION("""COMPUTED_VALUE"""),"Xí nghiệp chuối LP1")</f>
        <v>Xí nghiệp chuối LP1</v>
      </c>
      <c r="B1051" s="1075"/>
      <c r="C1051" s="1076"/>
      <c r="D1051" s="1076"/>
      <c r="E1051" s="1076"/>
      <c r="F1051" s="1076"/>
      <c r="G1051" s="1076"/>
      <c r="H1051" s="1076"/>
      <c r="I1051" s="1076"/>
      <c r="J1051" s="1076"/>
      <c r="K1051" s="1076"/>
      <c r="L1051" s="1076" t="str">
        <f>IFERROR(__xludf.DUMMYFUNCTION("""COMPUTED_VALUE"""),"KLH")</f>
        <v>KLH</v>
      </c>
    </row>
    <row r="1052" customHeight="1" spans="1:12">
      <c r="A1052" s="1076" t="str">
        <f>IFERROR(__xludf.DUMMYFUNCTION("""COMPUTED_VALUE"""),"XL1-MNK-001")</f>
        <v>XL1-MNK-001</v>
      </c>
      <c r="B1052" s="1075" t="str">
        <f>IFERROR(__xludf.DUMMYFUNCTION("""COMPUTED_VALUE"""),"Máy nén khí 10HP")</f>
        <v>Máy nén khí 10HP</v>
      </c>
      <c r="C1052" s="1076" t="str">
        <f>IFERROR(__xludf.DUMMYFUNCTION("""COMPUTED_VALUE"""),"XN Chuối LP1")</f>
        <v>XN Chuối LP1</v>
      </c>
      <c r="D1052" s="1076" t="str">
        <f>IFERROR(__xludf.DUMMYFUNCTION("""COMPUTED_VALUE"""),"TRUNG QUỐC")</f>
        <v>TRUNG QUỐC</v>
      </c>
      <c r="E1052" s="1076" t="str">
        <f>IFERROR(__xludf.DUMMYFUNCTION("""COMPUTED_VALUE"""),"SVP205")</f>
        <v>SVP205</v>
      </c>
      <c r="F1052" s="1076"/>
      <c r="G1052" s="1076" t="str">
        <f>IFERROR(__xludf.DUMMYFUNCTION("""COMPUTED_VALUE"""),"2014")</f>
        <v>2014</v>
      </c>
      <c r="H1052" s="1076" t="str">
        <f>IFERROR(__xludf.DUMMYFUNCTION("""COMPUTED_VALUE"""),"Dung tích: 155")</f>
        <v>Dung tích: 155</v>
      </c>
      <c r="I1052" s="1076" t="str">
        <f>IFERROR(__xludf.DUMMYFUNCTION("""COMPUTED_VALUE"""),"14163379")</f>
        <v>14163379</v>
      </c>
      <c r="J1052" s="1076"/>
      <c r="K1052" s="1076"/>
      <c r="L1052" s="1076" t="str">
        <f>IFERROR(__xludf.DUMMYFUNCTION("""COMPUTED_VALUE"""),"KLH")</f>
        <v>KLH</v>
      </c>
    </row>
    <row r="1053" customHeight="1" spans="1:12">
      <c r="A1053" s="1076" t="str">
        <f>IFERROR(__xludf.DUMMYFUNCTION("""COMPUTED_VALUE"""),"XL1-TBL-001")</f>
        <v>XL1-TBL-001</v>
      </c>
      <c r="B1053" s="1075" t="str">
        <f>IFERROR(__xludf.DUMMYFUNCTION("""COMPUTED_VALUE"""),"Thiết bị lu")</f>
        <v>Thiết bị lu</v>
      </c>
      <c r="C1053" s="1076" t="str">
        <f>IFERROR(__xludf.DUMMYFUNCTION("""COMPUTED_VALUE"""),"XN Chuối LP1")</f>
        <v>XN Chuối LP1</v>
      </c>
      <c r="D1053" s="1076" t="str">
        <f>IFERROR(__xludf.DUMMYFUNCTION("""COMPUTED_VALUE"""),"THACO AGRI")</f>
        <v>THACO AGRI</v>
      </c>
      <c r="E1053" s="1076" t="str">
        <f>IFERROR(__xludf.DUMMYFUNCTION("""COMPUTED_VALUE"""),"CK-MPC-03")</f>
        <v>CK-MPC-03</v>
      </c>
      <c r="F1053" s="1076"/>
      <c r="G1053" s="1076" t="str">
        <f>IFERROR(__xludf.DUMMYFUNCTION("""COMPUTED_VALUE"""),"2024")</f>
        <v>2024</v>
      </c>
      <c r="H1053" s="1076" t="str">
        <f>IFERROR(__xludf.DUMMYFUNCTION("""COMPUTED_VALUE"""),"3x2.4x1.4m")</f>
        <v>3x2.4x1.4m</v>
      </c>
      <c r="I1053" s="1076"/>
      <c r="J1053" s="1076"/>
      <c r="K1053" s="1076"/>
      <c r="L1053" s="1076" t="str">
        <f>IFERROR(__xludf.DUMMYFUNCTION("""COMPUTED_VALUE"""),"KLH")</f>
        <v>KLH</v>
      </c>
    </row>
    <row r="1054" customHeight="1" spans="1:12">
      <c r="A1054" s="1076" t="str">
        <f>IFERROR(__xludf.DUMMYFUNCTION("""COMPUTED_VALUE"""),"XL1-MCO-001")</f>
        <v>XL1-MCO-001</v>
      </c>
      <c r="B1054" s="1075" t="str">
        <f>IFERROR(__xludf.DUMMYFUNCTION("""COMPUTED_VALUE"""),"Máy cuộn cỏ (gắn sau máy kéo)")</f>
        <v>Máy cuộn cỏ (gắn sau máy kéo)</v>
      </c>
      <c r="C1054" s="1076" t="str">
        <f>IFERROR(__xludf.DUMMYFUNCTION("""COMPUTED_VALUE"""),"XN Chuối LP1")</f>
        <v>XN Chuối LP1</v>
      </c>
      <c r="D1054" s="1076" t="str">
        <f>IFERROR(__xludf.DUMMYFUNCTION("""COMPUTED_VALUE"""),"TAMICO-S")</f>
        <v>TAMICO-S</v>
      </c>
      <c r="E1054" s="1076" t="str">
        <f>IFERROR(__xludf.DUMMYFUNCTION("""COMPUTED_VALUE"""),"YTAMI")</f>
        <v>YTAMI</v>
      </c>
      <c r="F1054" s="1076"/>
      <c r="G1054" s="1076" t="str">
        <f>IFERROR(__xludf.DUMMYFUNCTION("""COMPUTED_VALUE"""),"2023")</f>
        <v>2023</v>
      </c>
      <c r="H1054" s="1076"/>
      <c r="I1054" s="1076"/>
      <c r="J1054" s="1076"/>
      <c r="K1054" s="1076">
        <f>IFERROR(__xludf.DUMMYFUNCTION("""COMPUTED_VALUE"""),0.3)</f>
        <v>0.3</v>
      </c>
      <c r="L1054" s="1076" t="str">
        <f>IFERROR(__xludf.DUMMYFUNCTION("""COMPUTED_VALUE"""),"KLH")</f>
        <v>KLH</v>
      </c>
    </row>
    <row r="1055" customHeight="1" spans="1:12">
      <c r="A1055" s="1076" t="str">
        <f>IFERROR(__xludf.DUMMYFUNCTION("""COMPUTED_VALUE"""),"XL1-RMC-002")</f>
        <v>XL1-RMC-002</v>
      </c>
      <c r="B1055" s="1075" t="str">
        <f>IFERROR(__xludf.DUMMYFUNCTION("""COMPUTED_VALUE"""),"Rơ mooc thu hoạch")</f>
        <v>Rơ mooc thu hoạch</v>
      </c>
      <c r="C1055" s="1076" t="str">
        <f>IFERROR(__xludf.DUMMYFUNCTION("""COMPUTED_VALUE"""),"XN Chuối LP1")</f>
        <v>XN Chuối LP1</v>
      </c>
      <c r="D1055" s="1076" t="str">
        <f>IFERROR(__xludf.DUMMYFUNCTION("""COMPUTED_VALUE"""),"THACO AGRI")</f>
        <v>THACO AGRI</v>
      </c>
      <c r="E1055" s="1076"/>
      <c r="F1055" s="1076"/>
      <c r="G1055" s="1076"/>
      <c r="H1055" s="1076"/>
      <c r="I1055" s="1076"/>
      <c r="J1055" s="1076"/>
      <c r="K1055" s="1076"/>
      <c r="L1055" s="1076" t="str">
        <f>IFERROR(__xludf.DUMMYFUNCTION("""COMPUTED_VALUE"""),"KLH")</f>
        <v>KLH</v>
      </c>
    </row>
    <row r="1056" customHeight="1" spans="1:12">
      <c r="A1056" s="1076" t="str">
        <f>IFERROR(__xludf.DUMMYFUNCTION("""COMPUTED_VALUE"""),"XL1-RMC-003")</f>
        <v>XL1-RMC-003</v>
      </c>
      <c r="B1056" s="1075" t="str">
        <f>IFERROR(__xludf.DUMMYFUNCTION("""COMPUTED_VALUE"""),"Rơ mooc thu hoạch")</f>
        <v>Rơ mooc thu hoạch</v>
      </c>
      <c r="C1056" s="1076" t="str">
        <f>IFERROR(__xludf.DUMMYFUNCTION("""COMPUTED_VALUE"""),"XN Chuối LP1")</f>
        <v>XN Chuối LP1</v>
      </c>
      <c r="D1056" s="1076" t="str">
        <f>IFERROR(__xludf.DUMMYFUNCTION("""COMPUTED_VALUE"""),"THACO AGRI")</f>
        <v>THACO AGRI</v>
      </c>
      <c r="E1056" s="1076"/>
      <c r="F1056" s="1076"/>
      <c r="G1056" s="1076"/>
      <c r="H1056" s="1076"/>
      <c r="I1056" s="1076"/>
      <c r="J1056" s="1076"/>
      <c r="K1056" s="1076"/>
      <c r="L1056" s="1076" t="str">
        <f>IFERROR(__xludf.DUMMYFUNCTION("""COMPUTED_VALUE"""),"KLH")</f>
        <v>KLH</v>
      </c>
    </row>
    <row r="1057" customHeight="1" spans="1:12">
      <c r="A1057" s="1076" t="str">
        <f>IFERROR(__xludf.DUMMYFUNCTION("""COMPUTED_VALUE"""),"XL1-RMC-006")</f>
        <v>XL1-RMC-006</v>
      </c>
      <c r="B1057" s="1075" t="str">
        <f>IFERROR(__xludf.DUMMYFUNCTION("""COMPUTED_VALUE"""),"Rơ mooc thu hoạch")</f>
        <v>Rơ mooc thu hoạch</v>
      </c>
      <c r="C1057" s="1076" t="str">
        <f>IFERROR(__xludf.DUMMYFUNCTION("""COMPUTED_VALUE"""),"XN Chuối LP1")</f>
        <v>XN Chuối LP1</v>
      </c>
      <c r="D1057" s="1076" t="str">
        <f>IFERROR(__xludf.DUMMYFUNCTION("""COMPUTED_VALUE"""),"THACO AGRI")</f>
        <v>THACO AGRI</v>
      </c>
      <c r="E1057" s="1076"/>
      <c r="F1057" s="1076"/>
      <c r="G1057" s="1076"/>
      <c r="H1057" s="1076"/>
      <c r="I1057" s="1076" t="str">
        <f>IFERROR(__xludf.DUMMYFUNCTION("""COMPUTED_VALUE"""),"40 BUỒNG")</f>
        <v>40 BUỒNG</v>
      </c>
      <c r="J1057" s="1076"/>
      <c r="K1057" s="1076"/>
      <c r="L1057" s="1076" t="str">
        <f>IFERROR(__xludf.DUMMYFUNCTION("""COMPUTED_VALUE"""),"KLH")</f>
        <v>KLH</v>
      </c>
    </row>
    <row r="1058" customHeight="1" spans="1:12">
      <c r="A1058" s="1076" t="str">
        <f>IFERROR(__xludf.DUMMYFUNCTION("""COMPUTED_VALUE"""),"XL1-RMR-001")</f>
        <v>XL1-RMR-001</v>
      </c>
      <c r="B1058" s="1075" t="str">
        <f>IFERROR(__xludf.DUMMYFUNCTION("""COMPUTED_VALUE"""),"Rơ mooc ben rải phân")</f>
        <v>Rơ mooc ben rải phân</v>
      </c>
      <c r="C1058" s="1076" t="str">
        <f>IFERROR(__xludf.DUMMYFUNCTION("""COMPUTED_VALUE"""),"XN Chuối LP1")</f>
        <v>XN Chuối LP1</v>
      </c>
      <c r="D1058" s="1076" t="str">
        <f>IFERROR(__xludf.DUMMYFUNCTION("""COMPUTED_VALUE"""),"THACO AGRI")</f>
        <v>THACO AGRI</v>
      </c>
      <c r="E1058" s="1076"/>
      <c r="F1058" s="1076"/>
      <c r="G1058" s="1076"/>
      <c r="H1058" s="1076" t="str">
        <f>IFERROR(__xludf.DUMMYFUNCTION("""COMPUTED_VALUE"""),"Dài4m Rộng 2.4mx Cao 1.5m")</f>
        <v>Dài4m Rộng 2.4mx Cao 1.5m</v>
      </c>
      <c r="I1058" s="1076"/>
      <c r="J1058" s="1076"/>
      <c r="K1058" s="1076"/>
      <c r="L1058" s="1076" t="str">
        <f>IFERROR(__xludf.DUMMYFUNCTION("""COMPUTED_VALUE"""),"KLH")</f>
        <v>KLH</v>
      </c>
    </row>
    <row r="1059" customHeight="1" spans="1:12">
      <c r="A1059" s="1076" t="str">
        <f>IFERROR(__xludf.DUMMYFUNCTION("""COMPUTED_VALUE"""),"XL1-RML-001")</f>
        <v>XL1-RML-001</v>
      </c>
      <c r="B1059" s="1075" t="str">
        <f>IFERROR(__xludf.DUMMYFUNCTION("""COMPUTED_VALUE"""),"Rơ mooc lưới")</f>
        <v>Rơ mooc lưới</v>
      </c>
      <c r="C1059" s="1076" t="str">
        <f>IFERROR(__xludf.DUMMYFUNCTION("""COMPUTED_VALUE"""),"XN Chuối LP1")</f>
        <v>XN Chuối LP1</v>
      </c>
      <c r="D1059" s="1076" t="str">
        <f>IFERROR(__xludf.DUMMYFUNCTION("""COMPUTED_VALUE"""),"THACO AGRI")</f>
        <v>THACO AGRI</v>
      </c>
      <c r="E1059" s="1076"/>
      <c r="F1059" s="1076"/>
      <c r="G1059" s="1076"/>
      <c r="H1059" s="1076" t="str">
        <f>IFERROR(__xludf.DUMMYFUNCTION("""COMPUTED_VALUE"""),"5.5*2.5*2.4")</f>
        <v>5.5*2.5*2.4</v>
      </c>
      <c r="I1059" s="1076"/>
      <c r="J1059" s="1076"/>
      <c r="K1059" s="1076"/>
      <c r="L1059" s="1076" t="str">
        <f>IFERROR(__xludf.DUMMYFUNCTION("""COMPUTED_VALUE"""),"KLH")</f>
        <v>KLH</v>
      </c>
    </row>
    <row r="1060" customHeight="1" spans="1:12">
      <c r="A1060" s="1076" t="str">
        <f>IFERROR(__xludf.DUMMYFUNCTION("""COMPUTED_VALUE"""),"XL1-RMX-001")</f>
        <v>XL1-RMX-001</v>
      </c>
      <c r="B1060" s="1075" t="str">
        <f>IFERROR(__xludf.DUMMYFUNCTION("""COMPUTED_VALUE"""),"Rơ mooc chở xốp")</f>
        <v>Rơ mooc chở xốp</v>
      </c>
      <c r="C1060" s="1076" t="str">
        <f>IFERROR(__xludf.DUMMYFUNCTION("""COMPUTED_VALUE"""),"XN Chuối LP1")</f>
        <v>XN Chuối LP1</v>
      </c>
      <c r="D1060" s="1076" t="str">
        <f>IFERROR(__xludf.DUMMYFUNCTION("""COMPUTED_VALUE"""),"THACO AGRI")</f>
        <v>THACO AGRI</v>
      </c>
      <c r="E1060" s="1076"/>
      <c r="F1060" s="1076"/>
      <c r="G1060" s="1076"/>
      <c r="H1060" s="1076"/>
      <c r="I1060" s="1076"/>
      <c r="J1060" s="1076"/>
      <c r="K1060" s="1076"/>
      <c r="L1060" s="1076" t="str">
        <f>IFERROR(__xludf.DUMMYFUNCTION("""COMPUTED_VALUE"""),"KLH")</f>
        <v>KLH</v>
      </c>
    </row>
    <row r="1061" customHeight="1" spans="1:12">
      <c r="A1061" s="1076" t="str">
        <f>IFERROR(__xludf.DUMMYFUNCTION("""COMPUTED_VALUE"""),"XL1-RMĐ-001")</f>
        <v>XL1-RMĐ-001</v>
      </c>
      <c r="B1061" s="1075" t="str">
        <f>IFERROR(__xludf.DUMMYFUNCTION("""COMPUTED_VALUE"""),"Rơ mooc vận chuyển M.đào 03")</f>
        <v>Rơ mooc vận chuyển M.đào 03</v>
      </c>
      <c r="C1061" s="1076" t="str">
        <f>IFERROR(__xludf.DUMMYFUNCTION("""COMPUTED_VALUE"""),"XN Chuối LP1")</f>
        <v>XN Chuối LP1</v>
      </c>
      <c r="D1061" s="1076" t="str">
        <f>IFERROR(__xludf.DUMMYFUNCTION("""COMPUTED_VALUE"""),"THACO AGRI")</f>
        <v>THACO AGRI</v>
      </c>
      <c r="E1061" s="1076"/>
      <c r="F1061" s="1076"/>
      <c r="G1061" s="1076"/>
      <c r="H1061" s="1076"/>
      <c r="I1061" s="1076"/>
      <c r="J1061" s="1076"/>
      <c r="K1061" s="1076"/>
      <c r="L1061" s="1076" t="str">
        <f>IFERROR(__xludf.DUMMYFUNCTION("""COMPUTED_VALUE"""),"KLH")</f>
        <v>KLH</v>
      </c>
    </row>
    <row r="1062" customHeight="1" spans="1:12">
      <c r="A1062" s="1076" t="str">
        <f>IFERROR(__xludf.DUMMYFUNCTION("""COMPUTED_VALUE"""),"XL1-BLT-001")</f>
        <v>XL1-BLT-001</v>
      </c>
      <c r="B1062" s="1075" t="str">
        <f>IFERROR(__xludf.DUMMYFUNCTION("""COMPUTED_VALUE"""),"Bộ bánh lồng thép")</f>
        <v>Bộ bánh lồng thép</v>
      </c>
      <c r="C1062" s="1076" t="str">
        <f>IFERROR(__xludf.DUMMYFUNCTION("""COMPUTED_VALUE"""),"XN Chuối LP1")</f>
        <v>XN Chuối LP1</v>
      </c>
      <c r="D1062" s="1076" t="str">
        <f>IFERROR(__xludf.DUMMYFUNCTION("""COMPUTED_VALUE"""),"THACO AGRI")</f>
        <v>THACO AGRI</v>
      </c>
      <c r="E1062" s="1076" t="str">
        <f>IFERROR(__xludf.DUMMYFUNCTION("""COMPUTED_VALUE"""),"CLE-D85-R35")</f>
        <v>CLE-D85-R35</v>
      </c>
      <c r="F1062" s="1076"/>
      <c r="G1062" s="1076" t="str">
        <f>IFERROR(__xludf.DUMMYFUNCTION("""COMPUTED_VALUE"""),"2024")</f>
        <v>2024</v>
      </c>
      <c r="H1062" s="1076" t="str">
        <f>IFERROR(__xludf.DUMMYFUNCTION("""COMPUTED_VALUE"""),"D850xR350/Cái")</f>
        <v>D850xR350/Cái</v>
      </c>
      <c r="I1062" s="1076"/>
      <c r="J1062" s="1076"/>
      <c r="K1062" s="1076"/>
      <c r="L1062" s="1076" t="str">
        <f>IFERROR(__xludf.DUMMYFUNCTION("""COMPUTED_VALUE"""),"KLH")</f>
        <v>KLH</v>
      </c>
    </row>
    <row r="1063" customHeight="1" spans="1:12">
      <c r="A1063" s="1076" t="str">
        <f>IFERROR(__xludf.DUMMYFUNCTION("""COMPUTED_VALUE"""),"XL1-MXM-001")</f>
        <v>XL1-MXM-001</v>
      </c>
      <c r="B1063" s="1075" t="str">
        <f>IFERROR(__xludf.DUMMYFUNCTION("""COMPUTED_VALUE"""),"Rơ mooc gắn sau xe máy ")</f>
        <v>Rơ mooc gắn sau xe máy </v>
      </c>
      <c r="C1063" s="1076" t="str">
        <f>IFERROR(__xludf.DUMMYFUNCTION("""COMPUTED_VALUE"""),"XN Chuối LP1")</f>
        <v>XN Chuối LP1</v>
      </c>
      <c r="D1063" s="1076" t="str">
        <f>IFERROR(__xludf.DUMMYFUNCTION("""COMPUTED_VALUE"""),"THACO AGRI")</f>
        <v>THACO AGRI</v>
      </c>
      <c r="E1063" s="1076"/>
      <c r="F1063" s="1076"/>
      <c r="G1063" s="1076"/>
      <c r="H1063" s="1076"/>
      <c r="I1063" s="1076"/>
      <c r="J1063" s="1076"/>
      <c r="K1063" s="1076"/>
      <c r="L1063" s="1076" t="str">
        <f>IFERROR(__xludf.DUMMYFUNCTION("""COMPUTED_VALUE"""),"KLH")</f>
        <v>KLH</v>
      </c>
    </row>
    <row r="1064" customHeight="1" spans="1:12">
      <c r="A1064" s="1076" t="str">
        <f>IFERROR(__xludf.DUMMYFUNCTION("""COMPUTED_VALUE"""),"XL1-MXM-002")</f>
        <v>XL1-MXM-002</v>
      </c>
      <c r="B1064" s="1075" t="str">
        <f>IFERROR(__xludf.DUMMYFUNCTION("""COMPUTED_VALUE"""),"Rơ mooc gắn sau xe máy ")</f>
        <v>Rơ mooc gắn sau xe máy </v>
      </c>
      <c r="C1064" s="1076" t="str">
        <f>IFERROR(__xludf.DUMMYFUNCTION("""COMPUTED_VALUE"""),"XN Chuối LP1")</f>
        <v>XN Chuối LP1</v>
      </c>
      <c r="D1064" s="1076" t="str">
        <f>IFERROR(__xludf.DUMMYFUNCTION("""COMPUTED_VALUE"""),"THACO AGRI")</f>
        <v>THACO AGRI</v>
      </c>
      <c r="E1064" s="1076"/>
      <c r="F1064" s="1076"/>
      <c r="G1064" s="1076"/>
      <c r="H1064" s="1076"/>
      <c r="I1064" s="1076"/>
      <c r="J1064" s="1076"/>
      <c r="K1064" s="1076"/>
      <c r="L1064" s="1076" t="str">
        <f>IFERROR(__xludf.DUMMYFUNCTION("""COMPUTED_VALUE"""),"KLH")</f>
        <v>KLH</v>
      </c>
    </row>
    <row r="1065" customHeight="1" spans="1:12">
      <c r="A1065" s="1076" t="str">
        <f>IFERROR(__xludf.DUMMYFUNCTION("""COMPUTED_VALUE"""),"XL1-MXM-003")</f>
        <v>XL1-MXM-003</v>
      </c>
      <c r="B1065" s="1075" t="str">
        <f>IFERROR(__xludf.DUMMYFUNCTION("""COMPUTED_VALUE"""),"Rơ mooc gắn sau xe máy ")</f>
        <v>Rơ mooc gắn sau xe máy </v>
      </c>
      <c r="C1065" s="1076" t="str">
        <f>IFERROR(__xludf.DUMMYFUNCTION("""COMPUTED_VALUE"""),"XN Chuối LP1")</f>
        <v>XN Chuối LP1</v>
      </c>
      <c r="D1065" s="1076" t="str">
        <f>IFERROR(__xludf.DUMMYFUNCTION("""COMPUTED_VALUE"""),"THACO AGRI")</f>
        <v>THACO AGRI</v>
      </c>
      <c r="E1065" s="1076"/>
      <c r="F1065" s="1076"/>
      <c r="G1065" s="1076"/>
      <c r="H1065" s="1076"/>
      <c r="I1065" s="1076"/>
      <c r="J1065" s="1076"/>
      <c r="K1065" s="1076"/>
      <c r="L1065" s="1076" t="str">
        <f>IFERROR(__xludf.DUMMYFUNCTION("""COMPUTED_VALUE"""),"KLH")</f>
        <v>KLH</v>
      </c>
    </row>
    <row r="1066" customHeight="1" spans="1:12">
      <c r="A1066" s="1076" t="str">
        <f>IFERROR(__xludf.DUMMYFUNCTION("""COMPUTED_VALUE"""),"XL1-MXM-004")</f>
        <v>XL1-MXM-004</v>
      </c>
      <c r="B1066" s="1075" t="str">
        <f>IFERROR(__xludf.DUMMYFUNCTION("""COMPUTED_VALUE"""),"Rơ mooc gắn sau xe máy ")</f>
        <v>Rơ mooc gắn sau xe máy </v>
      </c>
      <c r="C1066" s="1076" t="str">
        <f>IFERROR(__xludf.DUMMYFUNCTION("""COMPUTED_VALUE"""),"XN Chuối LP1")</f>
        <v>XN Chuối LP1</v>
      </c>
      <c r="D1066" s="1076" t="str">
        <f>IFERROR(__xludf.DUMMYFUNCTION("""COMPUTED_VALUE"""),"THACO AGRI")</f>
        <v>THACO AGRI</v>
      </c>
      <c r="E1066" s="1076"/>
      <c r="F1066" s="1076"/>
      <c r="G1066" s="1076"/>
      <c r="H1066" s="1076"/>
      <c r="I1066" s="1076"/>
      <c r="J1066" s="1076"/>
      <c r="K1066" s="1076"/>
      <c r="L1066" s="1076" t="str">
        <f>IFERROR(__xludf.DUMMYFUNCTION("""COMPUTED_VALUE"""),"KLH")</f>
        <v>KLH</v>
      </c>
    </row>
    <row r="1067" customHeight="1" spans="1:12">
      <c r="A1067" s="1076" t="str">
        <f>IFERROR(__xludf.DUMMYFUNCTION("""COMPUTED_VALUE"""),"XL1-DPC-001")</f>
        <v>XL1-DPC-001</v>
      </c>
      <c r="B1067" s="1075" t="str">
        <f>IFERROR(__xludf.DUMMYFUNCTION("""COMPUTED_VALUE"""),"Thiết bị phay cỏ 1.5m")</f>
        <v>Thiết bị phay cỏ 1.5m</v>
      </c>
      <c r="C1067" s="1076" t="str">
        <f>IFERROR(__xludf.DUMMYFUNCTION("""COMPUTED_VALUE"""),"XN Chuối LP1")</f>
        <v>XN Chuối LP1</v>
      </c>
      <c r="D1067" s="1076" t="str">
        <f>IFERROR(__xludf.DUMMYFUNCTION("""COMPUTED_VALUE"""),"THACO AGRI")</f>
        <v>THACO AGRI</v>
      </c>
      <c r="E1067" s="1076" t="str">
        <f>IFERROR(__xludf.DUMMYFUNCTION("""COMPUTED_VALUE"""),"CK-MPC-03")</f>
        <v>CK-MPC-03</v>
      </c>
      <c r="F1067" s="1076"/>
      <c r="G1067" s="1076" t="str">
        <f>IFERROR(__xludf.DUMMYFUNCTION("""COMPUTED_VALUE"""),"2024")</f>
        <v>2024</v>
      </c>
      <c r="H1067" s="1076" t="str">
        <f>IFERROR(__xludf.DUMMYFUNCTION("""COMPUTED_VALUE"""),"1.7x1.5x1m")</f>
        <v>1.7x1.5x1m</v>
      </c>
      <c r="I1067" s="1076"/>
      <c r="J1067" s="1076"/>
      <c r="K1067" s="1076">
        <f>IFERROR(__xludf.DUMMYFUNCTION("""COMPUTED_VALUE"""),6.14)</f>
        <v>6.14</v>
      </c>
      <c r="L1067" s="1076" t="str">
        <f>IFERROR(__xludf.DUMMYFUNCTION("""COMPUTED_VALUE"""),"KLH")</f>
        <v>KLH</v>
      </c>
    </row>
    <row r="1068" customHeight="1" spans="1:12">
      <c r="A1068" s="1076" t="str">
        <f>IFERROR(__xludf.DUMMYFUNCTION("""COMPUTED_VALUE"""),"XL1-MKC-001")</f>
        <v>XL1-MKC-001</v>
      </c>
      <c r="B1068" s="1075" t="str">
        <f>IFERROR(__xludf.DUMMYFUNCTION("""COMPUTED_VALUE"""),"Máy kéo chuối (Xăng)")</f>
        <v>Máy kéo chuối (Xăng)</v>
      </c>
      <c r="C1068" s="1076" t="str">
        <f>IFERROR(__xludf.DUMMYFUNCTION("""COMPUTED_VALUE"""),"XN Chuối LP1")</f>
        <v>XN Chuối LP1</v>
      </c>
      <c r="D1068" s="1076" t="str">
        <f>IFERROR(__xludf.DUMMYFUNCTION("""COMPUTED_VALUE"""),"THACO AGRI")</f>
        <v>THACO AGRI</v>
      </c>
      <c r="E1068" s="1076" t="str">
        <f>IFERROR(__xludf.DUMMYFUNCTION("""COMPUTED_VALUE"""),"CGH-MKC-DREAM")</f>
        <v>CGH-MKC-DREAM</v>
      </c>
      <c r="F1068" s="1076"/>
      <c r="G1068" s="1076" t="str">
        <f>IFERROR(__xludf.DUMMYFUNCTION("""COMPUTED_VALUE"""),"2025")</f>
        <v>2025</v>
      </c>
      <c r="H1068" s="1076" t="str">
        <f>IFERROR(__xludf.DUMMYFUNCTION("""COMPUTED_VALUE"""),"9.25HP")</f>
        <v>9.25HP</v>
      </c>
      <c r="I1068" s="1076" t="str">
        <f>IFERROR(__xludf.DUMMYFUNCTION("""COMPUTED_VALUE"""),"14C04017")</f>
        <v>14C04017</v>
      </c>
      <c r="J1068" s="1076"/>
      <c r="K1068" s="1076">
        <f>IFERROR(__xludf.DUMMYFUNCTION("""COMPUTED_VALUE"""),0.56)</f>
        <v>0.56</v>
      </c>
      <c r="L1068" s="1076" t="str">
        <f>IFERROR(__xludf.DUMMYFUNCTION("""COMPUTED_VALUE"""),"KLH")</f>
        <v>KLH</v>
      </c>
    </row>
    <row r="1069" customHeight="1" spans="1:12">
      <c r="A1069" s="1076" t="str">
        <f>IFERROR(__xludf.DUMMYFUNCTION("""COMPUTED_VALUE"""),"XL1-MKC-002")</f>
        <v>XL1-MKC-002</v>
      </c>
      <c r="B1069" s="1075" t="str">
        <f>IFERROR(__xludf.DUMMYFUNCTION("""COMPUTED_VALUE"""),"Máy kéo chuối (Xăng)")</f>
        <v>Máy kéo chuối (Xăng)</v>
      </c>
      <c r="C1069" s="1076" t="str">
        <f>IFERROR(__xludf.DUMMYFUNCTION("""COMPUTED_VALUE"""),"XN Chuối LP1")</f>
        <v>XN Chuối LP1</v>
      </c>
      <c r="D1069" s="1076" t="str">
        <f>IFERROR(__xludf.DUMMYFUNCTION("""COMPUTED_VALUE"""),"THACO AGRI")</f>
        <v>THACO AGRI</v>
      </c>
      <c r="E1069" s="1076" t="str">
        <f>IFERROR(__xludf.DUMMYFUNCTION("""COMPUTED_VALUE"""),"CGH-MKC-DREAM")</f>
        <v>CGH-MKC-DREAM</v>
      </c>
      <c r="F1069" s="1076"/>
      <c r="G1069" s="1076" t="str">
        <f>IFERROR(__xludf.DUMMYFUNCTION("""COMPUTED_VALUE"""),"2025")</f>
        <v>2025</v>
      </c>
      <c r="H1069" s="1076" t="str">
        <f>IFERROR(__xludf.DUMMYFUNCTION("""COMPUTED_VALUE"""),"9.25HP")</f>
        <v>9.25HP</v>
      </c>
      <c r="I1069" s="1076" t="str">
        <f>IFERROR(__xludf.DUMMYFUNCTION("""COMPUTED_VALUE"""),"09G72821")</f>
        <v>09G72821</v>
      </c>
      <c r="J1069" s="1076"/>
      <c r="K1069" s="1076">
        <f>IFERROR(__xludf.DUMMYFUNCTION("""COMPUTED_VALUE"""),0.56)</f>
        <v>0.56</v>
      </c>
      <c r="L1069" s="1076" t="str">
        <f>IFERROR(__xludf.DUMMYFUNCTION("""COMPUTED_VALUE"""),"KLH")</f>
        <v>KLH</v>
      </c>
    </row>
    <row r="1070" customHeight="1" spans="1:12">
      <c r="A1070" s="1076" t="str">
        <f>IFERROR(__xludf.DUMMYFUNCTION("""COMPUTED_VALUE"""),"XL1-MKC-003")</f>
        <v>XL1-MKC-003</v>
      </c>
      <c r="B1070" s="1075" t="str">
        <f>IFERROR(__xludf.DUMMYFUNCTION("""COMPUTED_VALUE"""),"Máy kéo chuối (Xăng)")</f>
        <v>Máy kéo chuối (Xăng)</v>
      </c>
      <c r="C1070" s="1076" t="str">
        <f>IFERROR(__xludf.DUMMYFUNCTION("""COMPUTED_VALUE"""),"XN Chuối LP1")</f>
        <v>XN Chuối LP1</v>
      </c>
      <c r="D1070" s="1076" t="str">
        <f>IFERROR(__xludf.DUMMYFUNCTION("""COMPUTED_VALUE"""),"THACO AGRI")</f>
        <v>THACO AGRI</v>
      </c>
      <c r="E1070" s="1076"/>
      <c r="F1070" s="1076"/>
      <c r="G1070" s="1076" t="str">
        <f>IFERROR(__xludf.DUMMYFUNCTION("""COMPUTED_VALUE"""),"2025")</f>
        <v>2025</v>
      </c>
      <c r="H1070" s="1076"/>
      <c r="I1070" s="1076"/>
      <c r="J1070" s="1076"/>
      <c r="K1070" s="1076">
        <f>IFERROR(__xludf.DUMMYFUNCTION("""COMPUTED_VALUE"""),0.56)</f>
        <v>0.56</v>
      </c>
      <c r="L1070" s="1076" t="str">
        <f>IFERROR(__xludf.DUMMYFUNCTION("""COMPUTED_VALUE"""),"KLH")</f>
        <v>KLH</v>
      </c>
    </row>
    <row r="1071" customHeight="1" spans="1:12">
      <c r="A1071" s="1076" t="str">
        <f>IFERROR(__xludf.DUMMYFUNCTION("""COMPUTED_VALUE"""),"XL1-MKC-004")</f>
        <v>XL1-MKC-004</v>
      </c>
      <c r="B1071" s="1075" t="str">
        <f>IFERROR(__xludf.DUMMYFUNCTION("""COMPUTED_VALUE"""),"Máy kéo chuối (Xăng)")</f>
        <v>Máy kéo chuối (Xăng)</v>
      </c>
      <c r="C1071" s="1076" t="str">
        <f>IFERROR(__xludf.DUMMYFUNCTION("""COMPUTED_VALUE"""),"XN Chuối LP1")</f>
        <v>XN Chuối LP1</v>
      </c>
      <c r="D1071" s="1076" t="str">
        <f>IFERROR(__xludf.DUMMYFUNCTION("""COMPUTED_VALUE"""),"THACO AGRI")</f>
        <v>THACO AGRI</v>
      </c>
      <c r="E1071" s="1076" t="str">
        <f>IFERROR(__xludf.DUMMYFUNCTION("""COMPUTED_VALUE"""),"XKC-016")</f>
        <v>XKC-016</v>
      </c>
      <c r="F1071" s="1076"/>
      <c r="G1071" s="1076" t="str">
        <f>IFERROR(__xludf.DUMMYFUNCTION("""COMPUTED_VALUE"""),"2025")</f>
        <v>2025</v>
      </c>
      <c r="H1071" s="1076"/>
      <c r="I1071" s="1076" t="str">
        <f>IFERROR(__xludf.DUMMYFUNCTION("""COMPUTED_VALUE"""),"16")</f>
        <v>16</v>
      </c>
      <c r="J1071" s="1076"/>
      <c r="K1071" s="1076">
        <f>IFERROR(__xludf.DUMMYFUNCTION("""COMPUTED_VALUE"""),0.56)</f>
        <v>0.56</v>
      </c>
      <c r="L1071" s="1076" t="str">
        <f>IFERROR(__xludf.DUMMYFUNCTION("""COMPUTED_VALUE"""),"KLH")</f>
        <v>KLH</v>
      </c>
    </row>
    <row r="1072" customHeight="1" spans="1:12">
      <c r="A1072" s="1076" t="str">
        <f>IFERROR(__xludf.DUMMYFUNCTION("""COMPUTED_VALUE"""),"XL1-MKC-005")</f>
        <v>XL1-MKC-005</v>
      </c>
      <c r="B1072" s="1075" t="str">
        <f>IFERROR(__xludf.DUMMYFUNCTION("""COMPUTED_VALUE"""),"Máy kéo chuối (Xăng)")</f>
        <v>Máy kéo chuối (Xăng)</v>
      </c>
      <c r="C1072" s="1076" t="str">
        <f>IFERROR(__xludf.DUMMYFUNCTION("""COMPUTED_VALUE"""),"XN Chuối LP1")</f>
        <v>XN Chuối LP1</v>
      </c>
      <c r="D1072" s="1076" t="str">
        <f>IFERROR(__xludf.DUMMYFUNCTION("""COMPUTED_VALUE"""),"THACO AGRI")</f>
        <v>THACO AGRI</v>
      </c>
      <c r="E1072" s="1076" t="str">
        <f>IFERROR(__xludf.DUMMYFUNCTION("""COMPUTED_VALUE"""),"XKC-016")</f>
        <v>XKC-016</v>
      </c>
      <c r="F1072" s="1076"/>
      <c r="G1072" s="1076" t="str">
        <f>IFERROR(__xludf.DUMMYFUNCTION("""COMPUTED_VALUE"""),"2025")</f>
        <v>2025</v>
      </c>
      <c r="H1072" s="1076"/>
      <c r="I1072" s="1076" t="str">
        <f>IFERROR(__xludf.DUMMYFUNCTION("""COMPUTED_VALUE"""),"17")</f>
        <v>17</v>
      </c>
      <c r="J1072" s="1076"/>
      <c r="K1072" s="1076">
        <f>IFERROR(__xludf.DUMMYFUNCTION("""COMPUTED_VALUE"""),0.56)</f>
        <v>0.56</v>
      </c>
      <c r="L1072" s="1076" t="str">
        <f>IFERROR(__xludf.DUMMYFUNCTION("""COMPUTED_VALUE"""),"KLH")</f>
        <v>KLH</v>
      </c>
    </row>
    <row r="1073" customHeight="1" spans="1:12">
      <c r="A1073" s="1076" t="str">
        <f>IFERROR(__xludf.DUMMYFUNCTION("""COMPUTED_VALUE"""),"XL1-MKC-006")</f>
        <v>XL1-MKC-006</v>
      </c>
      <c r="B1073" s="1075" t="str">
        <f>IFERROR(__xludf.DUMMYFUNCTION("""COMPUTED_VALUE"""),"Máy kéo chuối (Xăng)")</f>
        <v>Máy kéo chuối (Xăng)</v>
      </c>
      <c r="C1073" s="1076" t="str">
        <f>IFERROR(__xludf.DUMMYFUNCTION("""COMPUTED_VALUE"""),"XN Chuối LP1")</f>
        <v>XN Chuối LP1</v>
      </c>
      <c r="D1073" s="1076" t="str">
        <f>IFERROR(__xludf.DUMMYFUNCTION("""COMPUTED_VALUE"""),"THACO AGRI")</f>
        <v>THACO AGRI</v>
      </c>
      <c r="E1073" s="1076" t="str">
        <f>IFERROR(__xludf.DUMMYFUNCTION("""COMPUTED_VALUE"""),"XKC-20")</f>
        <v>XKC-20</v>
      </c>
      <c r="F1073" s="1076"/>
      <c r="G1073" s="1076" t="str">
        <f>IFERROR(__xludf.DUMMYFUNCTION("""COMPUTED_VALUE"""),"2025")</f>
        <v>2025</v>
      </c>
      <c r="H1073" s="1076"/>
      <c r="I1073" s="1076"/>
      <c r="J1073" s="1076"/>
      <c r="K1073" s="1076">
        <f>IFERROR(__xludf.DUMMYFUNCTION("""COMPUTED_VALUE"""),0.56)</f>
        <v>0.56</v>
      </c>
      <c r="L1073" s="1076" t="str">
        <f>IFERROR(__xludf.DUMMYFUNCTION("""COMPUTED_VALUE"""),"KLH")</f>
        <v>KLH</v>
      </c>
    </row>
    <row r="1074" customHeight="1" spans="1:12">
      <c r="A1074" s="1076" t="str">
        <f>IFERROR(__xludf.DUMMYFUNCTION("""COMPUTED_VALUE"""),"XL1-MKC-007")</f>
        <v>XL1-MKC-007</v>
      </c>
      <c r="B1074" s="1075" t="str">
        <f>IFERROR(__xludf.DUMMYFUNCTION("""COMPUTED_VALUE"""),"Máy kéo chuối (Xăng)")</f>
        <v>Máy kéo chuối (Xăng)</v>
      </c>
      <c r="C1074" s="1076" t="str">
        <f>IFERROR(__xludf.DUMMYFUNCTION("""COMPUTED_VALUE"""),"XN Chuối LP1")</f>
        <v>XN Chuối LP1</v>
      </c>
      <c r="D1074" s="1076" t="str">
        <f>IFERROR(__xludf.DUMMYFUNCTION("""COMPUTED_VALUE"""),"THACO AGRI")</f>
        <v>THACO AGRI</v>
      </c>
      <c r="E1074" s="1076" t="str">
        <f>IFERROR(__xludf.DUMMYFUNCTION("""COMPUTED_VALUE"""),"XKC-21")</f>
        <v>XKC-21</v>
      </c>
      <c r="F1074" s="1076"/>
      <c r="G1074" s="1076" t="str">
        <f>IFERROR(__xludf.DUMMYFUNCTION("""COMPUTED_VALUE"""),"2025")</f>
        <v>2025</v>
      </c>
      <c r="H1074" s="1076"/>
      <c r="I1074" s="1076"/>
      <c r="J1074" s="1076"/>
      <c r="K1074" s="1076">
        <f>IFERROR(__xludf.DUMMYFUNCTION("""COMPUTED_VALUE"""),0.56)</f>
        <v>0.56</v>
      </c>
      <c r="L1074" s="1076" t="str">
        <f>IFERROR(__xludf.DUMMYFUNCTION("""COMPUTED_VALUE"""),"KLH")</f>
        <v>KLH</v>
      </c>
    </row>
    <row r="1075" customHeight="1" spans="1:12">
      <c r="A1075" s="1076" t="str">
        <f>IFERROR(__xludf.DUMMYFUNCTION("""COMPUTED_VALUE"""),"XL1-MKC-008")</f>
        <v>XL1-MKC-008</v>
      </c>
      <c r="B1075" s="1075" t="str">
        <f>IFERROR(__xludf.DUMMYFUNCTION("""COMPUTED_VALUE"""),"Máy kéo chuối (Xăng)")</f>
        <v>Máy kéo chuối (Xăng)</v>
      </c>
      <c r="C1075" s="1076" t="str">
        <f>IFERROR(__xludf.DUMMYFUNCTION("""COMPUTED_VALUE"""),"XN Chuối LP1")</f>
        <v>XN Chuối LP1</v>
      </c>
      <c r="D1075" s="1076" t="str">
        <f>IFERROR(__xludf.DUMMYFUNCTION("""COMPUTED_VALUE"""),"DREAM")</f>
        <v>DREAM</v>
      </c>
      <c r="E1075" s="1076" t="str">
        <f>IFERROR(__xludf.DUMMYFUNCTION("""COMPUTED_VALUE"""),"XKC-24")</f>
        <v>XKC-24</v>
      </c>
      <c r="F1075" s="1076"/>
      <c r="G1075" s="1076" t="str">
        <f>IFERROR(__xludf.DUMMYFUNCTION("""COMPUTED_VALUE"""),"2025")</f>
        <v>2025</v>
      </c>
      <c r="H1075" s="1076"/>
      <c r="I1075" s="1076"/>
      <c r="J1075" s="1076"/>
      <c r="K1075" s="1076">
        <f>IFERROR(__xludf.DUMMYFUNCTION("""COMPUTED_VALUE"""),0.56)</f>
        <v>0.56</v>
      </c>
      <c r="L1075" s="1076" t="str">
        <f>IFERROR(__xludf.DUMMYFUNCTION("""COMPUTED_VALUE"""),"KLH")</f>
        <v>KLH</v>
      </c>
    </row>
    <row r="1076" customHeight="1" spans="1:12">
      <c r="A1076" s="1076" t="str">
        <f>IFERROR(__xludf.DUMMYFUNCTION("""COMPUTED_VALUE"""),"XL1-MKC-009")</f>
        <v>XL1-MKC-009</v>
      </c>
      <c r="B1076" s="1075" t="str">
        <f>IFERROR(__xludf.DUMMYFUNCTION("""COMPUTED_VALUE"""),"Máy kéo chuối (Xăng)")</f>
        <v>Máy kéo chuối (Xăng)</v>
      </c>
      <c r="C1076" s="1076" t="str">
        <f>IFERROR(__xludf.DUMMYFUNCTION("""COMPUTED_VALUE"""),"XN Chuối LP1")</f>
        <v>XN Chuối LP1</v>
      </c>
      <c r="D1076" s="1076" t="str">
        <f>IFERROR(__xludf.DUMMYFUNCTION("""COMPUTED_VALUE"""),"DREAM")</f>
        <v>DREAM</v>
      </c>
      <c r="E1076" s="1076" t="str">
        <f>IFERROR(__xludf.DUMMYFUNCTION("""COMPUTED_VALUE"""),"XKC-32")</f>
        <v>XKC-32</v>
      </c>
      <c r="F1076" s="1076"/>
      <c r="G1076" s="1076" t="str">
        <f>IFERROR(__xludf.DUMMYFUNCTION("""COMPUTED_VALUE"""),"2025")</f>
        <v>2025</v>
      </c>
      <c r="H1076" s="1076"/>
      <c r="I1076" s="1076"/>
      <c r="J1076" s="1076"/>
      <c r="K1076" s="1076">
        <f>IFERROR(__xludf.DUMMYFUNCTION("""COMPUTED_VALUE"""),0.56)</f>
        <v>0.56</v>
      </c>
      <c r="L1076" s="1076" t="str">
        <f>IFERROR(__xludf.DUMMYFUNCTION("""COMPUTED_VALUE"""),"KLH")</f>
        <v>KLH</v>
      </c>
    </row>
    <row r="1077" customHeight="1" spans="1:12">
      <c r="A1077" s="1076" t="str">
        <f>IFERROR(__xludf.DUMMYFUNCTION("""COMPUTED_VALUE"""),"XL1-MKC-010")</f>
        <v>XL1-MKC-010</v>
      </c>
      <c r="B1077" s="1075" t="str">
        <f>IFERROR(__xludf.DUMMYFUNCTION("""COMPUTED_VALUE"""),"Máy kéo chuối (Xăng)")</f>
        <v>Máy kéo chuối (Xăng)</v>
      </c>
      <c r="C1077" s="1076" t="str">
        <f>IFERROR(__xludf.DUMMYFUNCTION("""COMPUTED_VALUE"""),"XN Chuối LP1")</f>
        <v>XN Chuối LP1</v>
      </c>
      <c r="D1077" s="1076" t="str">
        <f>IFERROR(__xludf.DUMMYFUNCTION("""COMPUTED_VALUE"""),"DREAM")</f>
        <v>DREAM</v>
      </c>
      <c r="E1077" s="1076" t="str">
        <f>IFERROR(__xludf.DUMMYFUNCTION("""COMPUTED_VALUE"""),"XKC-35")</f>
        <v>XKC-35</v>
      </c>
      <c r="F1077" s="1076"/>
      <c r="G1077" s="1076" t="str">
        <f>IFERROR(__xludf.DUMMYFUNCTION("""COMPUTED_VALUE"""),"2025")</f>
        <v>2025</v>
      </c>
      <c r="H1077" s="1076"/>
      <c r="I1077" s="1076"/>
      <c r="J1077" s="1076"/>
      <c r="K1077" s="1076">
        <f>IFERROR(__xludf.DUMMYFUNCTION("""COMPUTED_VALUE"""),0.56)</f>
        <v>0.56</v>
      </c>
      <c r="L1077" s="1076" t="str">
        <f>IFERROR(__xludf.DUMMYFUNCTION("""COMPUTED_VALUE"""),"KLH")</f>
        <v>KLH</v>
      </c>
    </row>
    <row r="1078" customHeight="1" spans="1:12">
      <c r="A1078" s="1076" t="str">
        <f>IFERROR(__xludf.DUMMYFUNCTION("""COMPUTED_VALUE"""),"XL1-MKC-011")</f>
        <v>XL1-MKC-011</v>
      </c>
      <c r="B1078" s="1075" t="str">
        <f>IFERROR(__xludf.DUMMYFUNCTION("""COMPUTED_VALUE"""),"Máy kéo chuối (Xăng)")</f>
        <v>Máy kéo chuối (Xăng)</v>
      </c>
      <c r="C1078" s="1076" t="str">
        <f>IFERROR(__xludf.DUMMYFUNCTION("""COMPUTED_VALUE"""),"XN Chuối LP1")</f>
        <v>XN Chuối LP1</v>
      </c>
      <c r="D1078" s="1076" t="str">
        <f>IFERROR(__xludf.DUMMYFUNCTION("""COMPUTED_VALUE"""),"DREAM")</f>
        <v>DREAM</v>
      </c>
      <c r="E1078" s="1076" t="str">
        <f>IFERROR(__xludf.DUMMYFUNCTION("""COMPUTED_VALUE"""),"XKC-36")</f>
        <v>XKC-36</v>
      </c>
      <c r="F1078" s="1076"/>
      <c r="G1078" s="1076" t="str">
        <f>IFERROR(__xludf.DUMMYFUNCTION("""COMPUTED_VALUE"""),"2025")</f>
        <v>2025</v>
      </c>
      <c r="H1078" s="1076"/>
      <c r="I1078" s="1076"/>
      <c r="J1078" s="1076"/>
      <c r="K1078" s="1076">
        <f>IFERROR(__xludf.DUMMYFUNCTION("""COMPUTED_VALUE"""),0.56)</f>
        <v>0.56</v>
      </c>
      <c r="L1078" s="1076" t="str">
        <f>IFERROR(__xludf.DUMMYFUNCTION("""COMPUTED_VALUE"""),"KLH")</f>
        <v>KLH</v>
      </c>
    </row>
    <row r="1079" customHeight="1" spans="1:12">
      <c r="A1079" s="1076" t="str">
        <f>IFERROR(__xludf.DUMMYFUNCTION("""COMPUTED_VALUE"""),"XL1-MKC-012")</f>
        <v>XL1-MKC-012</v>
      </c>
      <c r="B1079" s="1075" t="str">
        <f>IFERROR(__xludf.DUMMYFUNCTION("""COMPUTED_VALUE"""),"Máy kéo chuối (Xăng)")</f>
        <v>Máy kéo chuối (Xăng)</v>
      </c>
      <c r="C1079" s="1076" t="str">
        <f>IFERROR(__xludf.DUMMYFUNCTION("""COMPUTED_VALUE"""),"XN Chuối LP1")</f>
        <v>XN Chuối LP1</v>
      </c>
      <c r="D1079" s="1076" t="str">
        <f>IFERROR(__xludf.DUMMYFUNCTION("""COMPUTED_VALUE"""),"DREAM")</f>
        <v>DREAM</v>
      </c>
      <c r="E1079" s="1076" t="str">
        <f>IFERROR(__xludf.DUMMYFUNCTION("""COMPUTED_VALUE"""),"XKC-52")</f>
        <v>XKC-52</v>
      </c>
      <c r="F1079" s="1076"/>
      <c r="G1079" s="1076" t="str">
        <f>IFERROR(__xludf.DUMMYFUNCTION("""COMPUTED_VALUE"""),"2025")</f>
        <v>2025</v>
      </c>
      <c r="H1079" s="1076"/>
      <c r="I1079" s="1076"/>
      <c r="J1079" s="1076"/>
      <c r="K1079" s="1076">
        <f>IFERROR(__xludf.DUMMYFUNCTION("""COMPUTED_VALUE"""),0.56)</f>
        <v>0.56</v>
      </c>
      <c r="L1079" s="1076" t="str">
        <f>IFERROR(__xludf.DUMMYFUNCTION("""COMPUTED_VALUE"""),"KLH")</f>
        <v>KLH</v>
      </c>
    </row>
    <row r="1080" customHeight="1" spans="1:12">
      <c r="A1080" s="1076" t="str">
        <f>IFERROR(__xludf.DUMMYFUNCTION("""COMPUTED_VALUE"""),"XL1-MKC-013")</f>
        <v>XL1-MKC-013</v>
      </c>
      <c r="B1080" s="1075" t="str">
        <f>IFERROR(__xludf.DUMMYFUNCTION("""COMPUTED_VALUE"""),"Máy kéo chuối (Xăng)")</f>
        <v>Máy kéo chuối (Xăng)</v>
      </c>
      <c r="C1080" s="1076" t="str">
        <f>IFERROR(__xludf.DUMMYFUNCTION("""COMPUTED_VALUE"""),"XN Chuối LP1")</f>
        <v>XN Chuối LP1</v>
      </c>
      <c r="D1080" s="1076" t="str">
        <f>IFERROR(__xludf.DUMMYFUNCTION("""COMPUTED_VALUE"""),"DREAM")</f>
        <v>DREAM</v>
      </c>
      <c r="E1080" s="1076" t="str">
        <f>IFERROR(__xludf.DUMMYFUNCTION("""COMPUTED_VALUE"""),"XKC-53")</f>
        <v>XKC-53</v>
      </c>
      <c r="F1080" s="1076"/>
      <c r="G1080" s="1076" t="str">
        <f>IFERROR(__xludf.DUMMYFUNCTION("""COMPUTED_VALUE"""),"2025")</f>
        <v>2025</v>
      </c>
      <c r="H1080" s="1076"/>
      <c r="I1080" s="1076"/>
      <c r="J1080" s="1076"/>
      <c r="K1080" s="1076">
        <f>IFERROR(__xludf.DUMMYFUNCTION("""COMPUTED_VALUE"""),0.56)</f>
        <v>0.56</v>
      </c>
      <c r="L1080" s="1076" t="str">
        <f>IFERROR(__xludf.DUMMYFUNCTION("""COMPUTED_VALUE"""),"KLH")</f>
        <v>KLH</v>
      </c>
    </row>
    <row r="1081" customHeight="1" spans="1:12">
      <c r="A1081" s="1076" t="str">
        <f>IFERROR(__xludf.DUMMYFUNCTION("""COMPUTED_VALUE"""),"XL1-SPT-001")</f>
        <v>XL1-SPT-001</v>
      </c>
      <c r="B1081" s="1075" t="str">
        <f>IFERROR(__xludf.DUMMYFUNCTION("""COMPUTED_VALUE"""),"Súng phun thuốc Hansung")</f>
        <v>Súng phun thuốc Hansung</v>
      </c>
      <c r="C1081" s="1076" t="str">
        <f>IFERROR(__xludf.DUMMYFUNCTION("""COMPUTED_VALUE"""),"XN Chuối LP1")</f>
        <v>XN Chuối LP1</v>
      </c>
      <c r="D1081" s="1076" t="str">
        <f>IFERROR(__xludf.DUMMYFUNCTION("""COMPUTED_VALUE"""),"HÀN QUỐC")</f>
        <v>HÀN QUỐC</v>
      </c>
      <c r="E1081" s="1076" t="str">
        <f>IFERROR(__xludf.DUMMYFUNCTION("""COMPUTED_VALUE"""),"HANSUNG")</f>
        <v>HANSUNG</v>
      </c>
      <c r="F1081" s="1076"/>
      <c r="G1081" s="1076"/>
      <c r="H1081" s="1076"/>
      <c r="I1081" s="1076"/>
      <c r="J1081" s="1076"/>
      <c r="K1081" s="1076">
        <f>IFERROR(__xludf.DUMMYFUNCTION("""COMPUTED_VALUE"""),8.47)</f>
        <v>8.47</v>
      </c>
      <c r="L1081" s="1076" t="str">
        <f>IFERROR(__xludf.DUMMYFUNCTION("""COMPUTED_VALUE"""),"KLH")</f>
        <v>KLH</v>
      </c>
    </row>
    <row r="1082" customHeight="1" spans="1:12">
      <c r="A1082" s="1076" t="str">
        <f>IFERROR(__xludf.DUMMYFUNCTION("""COMPUTED_VALUE"""),"XL1-GĐH-001")</f>
        <v>XL1-GĐH-001</v>
      </c>
      <c r="B1082" s="1075" t="str">
        <f>IFERROR(__xludf.DUMMYFUNCTION("""COMPUTED_VALUE"""),"Gàu định hình đào mương thoát nước")</f>
        <v>Gàu định hình đào mương thoát nước</v>
      </c>
      <c r="C1082" s="1076" t="str">
        <f>IFERROR(__xludf.DUMMYFUNCTION("""COMPUTED_VALUE"""),"XN Chuối LP1")</f>
        <v>XN Chuối LP1</v>
      </c>
      <c r="D1082" s="1076" t="str">
        <f>IFERROR(__xludf.DUMMYFUNCTION("""COMPUTED_VALUE"""),"THACO AGRI")</f>
        <v>THACO AGRI</v>
      </c>
      <c r="E1082" s="1076"/>
      <c r="F1082" s="1076"/>
      <c r="G1082" s="1076"/>
      <c r="H1082" s="1076" t="str">
        <f>IFERROR(__xludf.DUMMYFUNCTION("""COMPUTED_VALUE"""),"350x200x400")</f>
        <v>350x200x400</v>
      </c>
      <c r="I1082" s="1076"/>
      <c r="J1082" s="1076"/>
      <c r="K1082" s="1076"/>
      <c r="L1082" s="1076" t="str">
        <f>IFERROR(__xludf.DUMMYFUNCTION("""COMPUTED_VALUE"""),"KLH")</f>
        <v>KLH</v>
      </c>
    </row>
    <row r="1083" customHeight="1" spans="1:12">
      <c r="A1083" s="1076" t="str">
        <f>IFERROR(__xludf.DUMMYFUNCTION("""COMPUTED_VALUE"""),"XL1-GĐH-002")</f>
        <v>XL1-GĐH-002</v>
      </c>
      <c r="B1083" s="1075" t="str">
        <f>IFERROR(__xludf.DUMMYFUNCTION("""COMPUTED_VALUE"""),"Gàu định hình đào mương thoát nước")</f>
        <v>Gàu định hình đào mương thoát nước</v>
      </c>
      <c r="C1083" s="1076" t="str">
        <f>IFERROR(__xludf.DUMMYFUNCTION("""COMPUTED_VALUE"""),"XN Chuối LP1")</f>
        <v>XN Chuối LP1</v>
      </c>
      <c r="D1083" s="1076" t="str">
        <f>IFERROR(__xludf.DUMMYFUNCTION("""COMPUTED_VALUE"""),"THACO AGRI")</f>
        <v>THACO AGRI</v>
      </c>
      <c r="E1083" s="1076"/>
      <c r="F1083" s="1076"/>
      <c r="G1083" s="1076"/>
      <c r="H1083" s="1076" t="str">
        <f>IFERROR(__xludf.DUMMYFUNCTION("""COMPUTED_VALUE"""),"350x200x400")</f>
        <v>350x200x400</v>
      </c>
      <c r="I1083" s="1076"/>
      <c r="J1083" s="1076"/>
      <c r="K1083" s="1076"/>
      <c r="L1083" s="1076" t="str">
        <f>IFERROR(__xludf.DUMMYFUNCTION("""COMPUTED_VALUE"""),"KLH")</f>
        <v>KLH</v>
      </c>
    </row>
    <row r="1084" customHeight="1" spans="1:12">
      <c r="A1084" s="1076" t="str">
        <f>IFERROR(__xludf.DUMMYFUNCTION("""COMPUTED_VALUE"""),"XL1-GĐH-003")</f>
        <v>XL1-GĐH-003</v>
      </c>
      <c r="B1084" s="1075" t="str">
        <f>IFERROR(__xludf.DUMMYFUNCTION("""COMPUTED_VALUE"""),"Gàu định hình đào mương thoát nước")</f>
        <v>Gàu định hình đào mương thoát nước</v>
      </c>
      <c r="C1084" s="1076" t="str">
        <f>IFERROR(__xludf.DUMMYFUNCTION("""COMPUTED_VALUE"""),"XN Chuối LP1")</f>
        <v>XN Chuối LP1</v>
      </c>
      <c r="D1084" s="1076" t="str">
        <f>IFERROR(__xludf.DUMMYFUNCTION("""COMPUTED_VALUE"""),"THACO AGRI")</f>
        <v>THACO AGRI</v>
      </c>
      <c r="E1084" s="1076"/>
      <c r="F1084" s="1076"/>
      <c r="G1084" s="1076"/>
      <c r="H1084" s="1076" t="str">
        <f>IFERROR(__xludf.DUMMYFUNCTION("""COMPUTED_VALUE"""),"350x200x400")</f>
        <v>350x200x400</v>
      </c>
      <c r="I1084" s="1076"/>
      <c r="J1084" s="1076"/>
      <c r="K1084" s="1076"/>
      <c r="L1084" s="1076" t="str">
        <f>IFERROR(__xludf.DUMMYFUNCTION("""COMPUTED_VALUE"""),"KLH")</f>
        <v>KLH</v>
      </c>
    </row>
    <row r="1085" customHeight="1" spans="1:12">
      <c r="A1085" s="1076" t="str">
        <f>IFERROR(__xludf.DUMMYFUNCTION("""COMPUTED_VALUE"""),"XL1-GĐH-004")</f>
        <v>XL1-GĐH-004</v>
      </c>
      <c r="B1085" s="1075" t="str">
        <f>IFERROR(__xludf.DUMMYFUNCTION("""COMPUTED_VALUE"""),"Gàu định hình đào mương thoát nước")</f>
        <v>Gàu định hình đào mương thoát nước</v>
      </c>
      <c r="C1085" s="1076" t="str">
        <f>IFERROR(__xludf.DUMMYFUNCTION("""COMPUTED_VALUE"""),"XN Chuối LP1")</f>
        <v>XN Chuối LP1</v>
      </c>
      <c r="D1085" s="1076" t="str">
        <f>IFERROR(__xludf.DUMMYFUNCTION("""COMPUTED_VALUE"""),"THACO AGRI")</f>
        <v>THACO AGRI</v>
      </c>
      <c r="E1085" s="1076"/>
      <c r="F1085" s="1076"/>
      <c r="G1085" s="1076"/>
      <c r="H1085" s="1076" t="str">
        <f>IFERROR(__xludf.DUMMYFUNCTION("""COMPUTED_VALUE"""),"350x200x400")</f>
        <v>350x200x400</v>
      </c>
      <c r="I1085" s="1076"/>
      <c r="J1085" s="1076"/>
      <c r="K1085" s="1076"/>
      <c r="L1085" s="1076" t="str">
        <f>IFERROR(__xludf.DUMMYFUNCTION("""COMPUTED_VALUE"""),"KLH")</f>
        <v>KLH</v>
      </c>
    </row>
    <row r="1086" customHeight="1" spans="1:12">
      <c r="A1086" s="1076" t="str">
        <f>IFERROR(__xludf.DUMMYFUNCTION("""COMPUTED_VALUE"""),"XL1-GĐH-005")</f>
        <v>XL1-GĐH-005</v>
      </c>
      <c r="B1086" s="1075" t="str">
        <f>IFERROR(__xludf.DUMMYFUNCTION("""COMPUTED_VALUE"""),"Gàu định hình đào mương thoát nước")</f>
        <v>Gàu định hình đào mương thoát nước</v>
      </c>
      <c r="C1086" s="1076" t="str">
        <f>IFERROR(__xludf.DUMMYFUNCTION("""COMPUTED_VALUE"""),"XN Chuối LP1")</f>
        <v>XN Chuối LP1</v>
      </c>
      <c r="D1086" s="1076" t="str">
        <f>IFERROR(__xludf.DUMMYFUNCTION("""COMPUTED_VALUE"""),"THACO AGRI")</f>
        <v>THACO AGRI</v>
      </c>
      <c r="E1086" s="1076"/>
      <c r="F1086" s="1076"/>
      <c r="G1086" s="1076"/>
      <c r="H1086" s="1076" t="str">
        <f>IFERROR(__xludf.DUMMYFUNCTION("""COMPUTED_VALUE"""),"350x200x400")</f>
        <v>350x200x400</v>
      </c>
      <c r="I1086" s="1076"/>
      <c r="J1086" s="1076"/>
      <c r="K1086" s="1076"/>
      <c r="L1086" s="1076" t="str">
        <f>IFERROR(__xludf.DUMMYFUNCTION("""COMPUTED_VALUE"""),"KLH")</f>
        <v>KLH</v>
      </c>
    </row>
    <row r="1087" customHeight="1" spans="1:12">
      <c r="A1087" s="1076" t="str">
        <f>IFERROR(__xludf.DUMMYFUNCTION("""COMPUTED_VALUE"""),"XL1-GĐH-006")</f>
        <v>XL1-GĐH-006</v>
      </c>
      <c r="B1087" s="1075" t="str">
        <f>IFERROR(__xludf.DUMMYFUNCTION("""COMPUTED_VALUE"""),"Gàu định hình đào mương thoát nước")</f>
        <v>Gàu định hình đào mương thoát nước</v>
      </c>
      <c r="C1087" s="1076" t="str">
        <f>IFERROR(__xludf.DUMMYFUNCTION("""COMPUTED_VALUE"""),"XN Chuối LP1")</f>
        <v>XN Chuối LP1</v>
      </c>
      <c r="D1087" s="1076" t="str">
        <f>IFERROR(__xludf.DUMMYFUNCTION("""COMPUTED_VALUE"""),"THACO AGRI")</f>
        <v>THACO AGRI</v>
      </c>
      <c r="E1087" s="1076"/>
      <c r="F1087" s="1076"/>
      <c r="G1087" s="1076"/>
      <c r="H1087" s="1076" t="str">
        <f>IFERROR(__xludf.DUMMYFUNCTION("""COMPUTED_VALUE"""),"350x200x400")</f>
        <v>350x200x400</v>
      </c>
      <c r="I1087" s="1076"/>
      <c r="J1087" s="1076"/>
      <c r="K1087" s="1076"/>
      <c r="L1087" s="1076" t="str">
        <f>IFERROR(__xludf.DUMMYFUNCTION("""COMPUTED_VALUE"""),"KLH")</f>
        <v>KLH</v>
      </c>
    </row>
    <row r="1088" customHeight="1" spans="1:12">
      <c r="A1088" s="1076" t="str">
        <f>IFERROR(__xludf.DUMMYFUNCTION("""COMPUTED_VALUE"""),"XL1-GĐH-007")</f>
        <v>XL1-GĐH-007</v>
      </c>
      <c r="B1088" s="1075" t="str">
        <f>IFERROR(__xludf.DUMMYFUNCTION("""COMPUTED_VALUE"""),"Gàu định hình đào mương thoát nước")</f>
        <v>Gàu định hình đào mương thoát nước</v>
      </c>
      <c r="C1088" s="1076" t="str">
        <f>IFERROR(__xludf.DUMMYFUNCTION("""COMPUTED_VALUE"""),"XN Chuối LP1")</f>
        <v>XN Chuối LP1</v>
      </c>
      <c r="D1088" s="1076" t="str">
        <f>IFERROR(__xludf.DUMMYFUNCTION("""COMPUTED_VALUE"""),"THACO AGRI")</f>
        <v>THACO AGRI</v>
      </c>
      <c r="E1088" s="1076"/>
      <c r="F1088" s="1076"/>
      <c r="G1088" s="1076"/>
      <c r="H1088" s="1076" t="str">
        <f>IFERROR(__xludf.DUMMYFUNCTION("""COMPUTED_VALUE"""),"350x200x400")</f>
        <v>350x200x400</v>
      </c>
      <c r="I1088" s="1076"/>
      <c r="J1088" s="1076"/>
      <c r="K1088" s="1076"/>
      <c r="L1088" s="1076" t="str">
        <f>IFERROR(__xludf.DUMMYFUNCTION("""COMPUTED_VALUE"""),"KLH")</f>
        <v>KLH</v>
      </c>
    </row>
    <row r="1089" customHeight="1" spans="1:12">
      <c r="A1089" s="1076" t="str">
        <f>IFERROR(__xludf.DUMMYFUNCTION("""COMPUTED_VALUE"""),"XL1-GĐH-008")</f>
        <v>XL1-GĐH-008</v>
      </c>
      <c r="B1089" s="1075" t="str">
        <f>IFERROR(__xludf.DUMMYFUNCTION("""COMPUTED_VALUE"""),"Gàu định hình đào mương thoát nước")</f>
        <v>Gàu định hình đào mương thoát nước</v>
      </c>
      <c r="C1089" s="1076" t="str">
        <f>IFERROR(__xludf.DUMMYFUNCTION("""COMPUTED_VALUE"""),"XN Chuối LP1")</f>
        <v>XN Chuối LP1</v>
      </c>
      <c r="D1089" s="1076" t="str">
        <f>IFERROR(__xludf.DUMMYFUNCTION("""COMPUTED_VALUE"""),"THACO AGRI")</f>
        <v>THACO AGRI</v>
      </c>
      <c r="E1089" s="1076"/>
      <c r="F1089" s="1076"/>
      <c r="G1089" s="1076"/>
      <c r="H1089" s="1076" t="str">
        <f>IFERROR(__xludf.DUMMYFUNCTION("""COMPUTED_VALUE"""),"350x200x400")</f>
        <v>350x200x400</v>
      </c>
      <c r="I1089" s="1076"/>
      <c r="J1089" s="1076"/>
      <c r="K1089" s="1076"/>
      <c r="L1089" s="1076" t="str">
        <f>IFERROR(__xludf.DUMMYFUNCTION("""COMPUTED_VALUE"""),"KLH")</f>
        <v>KLH</v>
      </c>
    </row>
    <row r="1090" customHeight="1" spans="1:12">
      <c r="A1090" s="1076" t="str">
        <f>IFERROR(__xludf.DUMMYFUNCTION("""COMPUTED_VALUE"""),"XL1-MPT-001")</f>
        <v>XL1-MPT-001</v>
      </c>
      <c r="B1090" s="1075" t="str">
        <f>IFERROR(__xludf.DUMMYFUNCTION("""COMPUTED_VALUE"""),"Máy phun thuốc RELOAD 7045")</f>
        <v>Máy phun thuốc RELOAD 7045</v>
      </c>
      <c r="C1090" s="1076" t="str">
        <f>IFERROR(__xludf.DUMMYFUNCTION("""COMPUTED_VALUE"""),"XN Chuối LP1")</f>
        <v>XN Chuối LP1</v>
      </c>
      <c r="D1090" s="1076" t="str">
        <f>IFERROR(__xludf.DUMMYFUNCTION("""COMPUTED_VALUE"""),"RELOAD")</f>
        <v>RELOAD</v>
      </c>
      <c r="E1090" s="1076" t="str">
        <f>IFERROR(__xludf.DUMMYFUNCTION("""COMPUTED_VALUE"""),"7045")</f>
        <v>7045</v>
      </c>
      <c r="F1090" s="1076"/>
      <c r="G1090" s="1076" t="str">
        <f>IFERROR(__xludf.DUMMYFUNCTION("""COMPUTED_VALUE"""),"2025")</f>
        <v>2025</v>
      </c>
      <c r="H1090" s="1076" t="str">
        <f>IFERROR(__xludf.DUMMYFUNCTION("""COMPUTED_VALUE"""),"7 Hp")</f>
        <v>7 Hp</v>
      </c>
      <c r="I1090" s="1076" t="str">
        <f>IFERROR(__xludf.DUMMYFUNCTION("""COMPUTED_VALUE"""),"H0058741")</f>
        <v>H0058741</v>
      </c>
      <c r="J1090" s="1076"/>
      <c r="K1090" s="1076">
        <f>IFERROR(__xludf.DUMMYFUNCTION("""COMPUTED_VALUE"""),1.2)</f>
        <v>1.2</v>
      </c>
      <c r="L1090" s="1076" t="str">
        <f>IFERROR(__xludf.DUMMYFUNCTION("""COMPUTED_VALUE"""),"KLH")</f>
        <v>KLH</v>
      </c>
    </row>
    <row r="1091" customHeight="1" spans="1:12">
      <c r="A1091" s="1076" t="str">
        <f>IFERROR(__xludf.DUMMYFUNCTION("""COMPUTED_VALUE"""),"XL1-MPT-002")</f>
        <v>XL1-MPT-002</v>
      </c>
      <c r="B1091" s="1075" t="str">
        <f>IFERROR(__xludf.DUMMYFUNCTION("""COMPUTED_VALUE"""),"Máy phun thuốc RELOAD 7045")</f>
        <v>Máy phun thuốc RELOAD 7045</v>
      </c>
      <c r="C1091" s="1076" t="str">
        <f>IFERROR(__xludf.DUMMYFUNCTION("""COMPUTED_VALUE"""),"XN Chuối LP1")</f>
        <v>XN Chuối LP1</v>
      </c>
      <c r="D1091" s="1076" t="str">
        <f>IFERROR(__xludf.DUMMYFUNCTION("""COMPUTED_VALUE"""),"RELOAD")</f>
        <v>RELOAD</v>
      </c>
      <c r="E1091" s="1076" t="str">
        <f>IFERROR(__xludf.DUMMYFUNCTION("""COMPUTED_VALUE"""),"7045")</f>
        <v>7045</v>
      </c>
      <c r="F1091" s="1076"/>
      <c r="G1091" s="1076" t="str">
        <f>IFERROR(__xludf.DUMMYFUNCTION("""COMPUTED_VALUE"""),"2025")</f>
        <v>2025</v>
      </c>
      <c r="H1091" s="1076" t="str">
        <f>IFERROR(__xludf.DUMMYFUNCTION("""COMPUTED_VALUE"""),"7 Hp")</f>
        <v>7 Hp</v>
      </c>
      <c r="I1091" s="1076" t="str">
        <f>IFERROR(__xludf.DUMMYFUNCTION("""COMPUTED_VALUE"""),"H0058808")</f>
        <v>H0058808</v>
      </c>
      <c r="J1091" s="1076"/>
      <c r="K1091" s="1076">
        <f>IFERROR(__xludf.DUMMYFUNCTION("""COMPUTED_VALUE"""),1.2)</f>
        <v>1.2</v>
      </c>
      <c r="L1091" s="1076" t="str">
        <f>IFERROR(__xludf.DUMMYFUNCTION("""COMPUTED_VALUE"""),"KLH")</f>
        <v>KLH</v>
      </c>
    </row>
    <row r="1092" customHeight="1" spans="1:12">
      <c r="A1092" s="1076" t="str">
        <f>IFERROR(__xludf.DUMMYFUNCTION("""COMPUTED_VALUE"""),"XL1-MPT-003")</f>
        <v>XL1-MPT-003</v>
      </c>
      <c r="B1092" s="1075" t="str">
        <f>IFERROR(__xludf.DUMMYFUNCTION("""COMPUTED_VALUE"""),"Máy phun thuốc RELOAD 7045")</f>
        <v>Máy phun thuốc RELOAD 7045</v>
      </c>
      <c r="C1092" s="1076" t="str">
        <f>IFERROR(__xludf.DUMMYFUNCTION("""COMPUTED_VALUE"""),"XN Chuối LP1")</f>
        <v>XN Chuối LP1</v>
      </c>
      <c r="D1092" s="1076" t="str">
        <f>IFERROR(__xludf.DUMMYFUNCTION("""COMPUTED_VALUE"""),"RELOAD")</f>
        <v>RELOAD</v>
      </c>
      <c r="E1092" s="1076" t="str">
        <f>IFERROR(__xludf.DUMMYFUNCTION("""COMPUTED_VALUE"""),"7045")</f>
        <v>7045</v>
      </c>
      <c r="F1092" s="1076"/>
      <c r="G1092" s="1076" t="str">
        <f>IFERROR(__xludf.DUMMYFUNCTION("""COMPUTED_VALUE"""),"2025")</f>
        <v>2025</v>
      </c>
      <c r="H1092" s="1076" t="str">
        <f>IFERROR(__xludf.DUMMYFUNCTION("""COMPUTED_VALUE"""),"7 Hp")</f>
        <v>7 Hp</v>
      </c>
      <c r="I1092" s="1076" t="str">
        <f>IFERROR(__xludf.DUMMYFUNCTION("""COMPUTED_VALUE"""),"H0058778")</f>
        <v>H0058778</v>
      </c>
      <c r="J1092" s="1076"/>
      <c r="K1092" s="1076">
        <f>IFERROR(__xludf.DUMMYFUNCTION("""COMPUTED_VALUE"""),1.2)</f>
        <v>1.2</v>
      </c>
      <c r="L1092" s="1076" t="str">
        <f>IFERROR(__xludf.DUMMYFUNCTION("""COMPUTED_VALUE"""),"KLH")</f>
        <v>KLH</v>
      </c>
    </row>
    <row r="1093" customHeight="1" spans="1:12">
      <c r="A1093" s="1076" t="str">
        <f>IFERROR(__xludf.DUMMYFUNCTION("""COMPUTED_VALUE"""),"XL1-MPT-004")</f>
        <v>XL1-MPT-004</v>
      </c>
      <c r="B1093" s="1075" t="str">
        <f>IFERROR(__xludf.DUMMYFUNCTION("""COMPUTED_VALUE"""),"Máy phun thuốc RELOAD 7045")</f>
        <v>Máy phun thuốc RELOAD 7045</v>
      </c>
      <c r="C1093" s="1076" t="str">
        <f>IFERROR(__xludf.DUMMYFUNCTION("""COMPUTED_VALUE"""),"XN Chuối LP1")</f>
        <v>XN Chuối LP1</v>
      </c>
      <c r="D1093" s="1076" t="str">
        <f>IFERROR(__xludf.DUMMYFUNCTION("""COMPUTED_VALUE"""),"RELOAD")</f>
        <v>RELOAD</v>
      </c>
      <c r="E1093" s="1076" t="str">
        <f>IFERROR(__xludf.DUMMYFUNCTION("""COMPUTED_VALUE"""),"7045")</f>
        <v>7045</v>
      </c>
      <c r="F1093" s="1076"/>
      <c r="G1093" s="1076" t="str">
        <f>IFERROR(__xludf.DUMMYFUNCTION("""COMPUTED_VALUE"""),"2025")</f>
        <v>2025</v>
      </c>
      <c r="H1093" s="1076" t="str">
        <f>IFERROR(__xludf.DUMMYFUNCTION("""COMPUTED_VALUE"""),"7 Hp")</f>
        <v>7 Hp</v>
      </c>
      <c r="I1093" s="1076" t="str">
        <f>IFERROR(__xludf.DUMMYFUNCTION("""COMPUTED_VALUE"""),"H0058732")</f>
        <v>H0058732</v>
      </c>
      <c r="J1093" s="1076"/>
      <c r="K1093" s="1076">
        <f>IFERROR(__xludf.DUMMYFUNCTION("""COMPUTED_VALUE"""),1.2)</f>
        <v>1.2</v>
      </c>
      <c r="L1093" s="1076" t="str">
        <f>IFERROR(__xludf.DUMMYFUNCTION("""COMPUTED_VALUE"""),"KLH")</f>
        <v>KLH</v>
      </c>
    </row>
    <row r="1094" customHeight="1" spans="1:12">
      <c r="A1094" s="1076" t="str">
        <f>IFERROR(__xludf.DUMMYFUNCTION("""COMPUTED_VALUE"""),"XL1-MBC-001")</f>
        <v>XL1-MBC-001</v>
      </c>
      <c r="B1094" s="1075" t="str">
        <f>IFERROR(__xludf.DUMMYFUNCTION("""COMPUTED_VALUE"""),"Máy băm cố định")</f>
        <v>Máy băm cố định</v>
      </c>
      <c r="C1094" s="1076" t="str">
        <f>IFERROR(__xludf.DUMMYFUNCTION("""COMPUTED_VALUE"""),"XN Chuối LP1")</f>
        <v>XN Chuối LP1</v>
      </c>
      <c r="D1094" s="1076" t="str">
        <f>IFERROR(__xludf.DUMMYFUNCTION("""COMPUTED_VALUE"""),"THACO AGRI")</f>
        <v>THACO AGRI</v>
      </c>
      <c r="E1094" s="1076" t="str">
        <f>IFERROR(__xludf.DUMMYFUNCTION("""COMPUTED_VALUE"""),"CK-MB")</f>
        <v>CK-MB</v>
      </c>
      <c r="F1094" s="1076"/>
      <c r="G1094" s="1076" t="str">
        <f>IFERROR(__xludf.DUMMYFUNCTION("""COMPUTED_VALUE"""),"2025")</f>
        <v>2025</v>
      </c>
      <c r="H1094" s="1076"/>
      <c r="I1094" s="1076"/>
      <c r="J1094" s="1076"/>
      <c r="K1094" s="1076"/>
      <c r="L1094" s="1076" t="str">
        <f>IFERROR(__xludf.DUMMYFUNCTION("""COMPUTED_VALUE"""),"KLH")</f>
        <v>KLH</v>
      </c>
    </row>
    <row r="1095" customHeight="1" spans="1:12">
      <c r="A1095" s="1076" t="str">
        <f>IFERROR(__xludf.DUMMYFUNCTION("""COMPUTED_VALUE"""),"XL1-MĐR-001")</f>
        <v>XL1-MĐR-001</v>
      </c>
      <c r="B1095" s="1075" t="str">
        <f>IFERROR(__xludf.DUMMYFUNCTION("""COMPUTED_VALUE"""),"Máy đào rảnh xích cầm tay")</f>
        <v>Máy đào rảnh xích cầm tay</v>
      </c>
      <c r="C1095" s="1076" t="str">
        <f>IFERROR(__xludf.DUMMYFUNCTION("""COMPUTED_VALUE"""),"XN Chuối LP1")</f>
        <v>XN Chuối LP1</v>
      </c>
      <c r="D1095" s="1076" t="str">
        <f>IFERROR(__xludf.DUMMYFUNCTION("""COMPUTED_VALUE"""),"TÂY NGUYÊN")</f>
        <v>TÂY NGUYÊN</v>
      </c>
      <c r="E1095" s="1076" t="str">
        <f>IFERROR(__xludf.DUMMYFUNCTION("""COMPUTED_VALUE"""),"VIỆT NAM")</f>
        <v>VIỆT NAM</v>
      </c>
      <c r="F1095" s="1076">
        <f>IFERROR(__xludf.DUMMYFUNCTION("""COMPUTED_VALUE"""),2024)</f>
        <v>2024</v>
      </c>
      <c r="G1095" s="1076" t="str">
        <f>IFERROR(__xludf.DUMMYFUNCTION("""COMPUTED_VALUE""")," CG195F")</f>
        <v> CG195F</v>
      </c>
      <c r="H1095" s="1076" t="str">
        <f>IFERROR(__xludf.DUMMYFUNCTION("""COMPUTED_VALUE"""),"12HP")</f>
        <v>12HP</v>
      </c>
      <c r="I1095" s="1076" t="str">
        <f>IFERROR(__xludf.DUMMYFUNCTION("""COMPUTED_VALUE"""),"210311293")</f>
        <v>210311293</v>
      </c>
      <c r="J1095" s="1076"/>
      <c r="K1095" s="1076"/>
      <c r="L1095" s="1076" t="str">
        <f>IFERROR(__xludf.DUMMYFUNCTION("""COMPUTED_VALUE"""),"KLH")</f>
        <v>KLH</v>
      </c>
    </row>
    <row r="1096" customHeight="1" spans="1:12">
      <c r="A1096" s="1076" t="str">
        <f>IFERROR(__xludf.DUMMYFUNCTION("""COMPUTED_VALUE"""),"Xí nghiệp chuối LP3")</f>
        <v>Xí nghiệp chuối LP3</v>
      </c>
      <c r="B1096" s="1075"/>
      <c r="C1096" s="1076"/>
      <c r="D1096" s="1076"/>
      <c r="E1096" s="1076"/>
      <c r="F1096" s="1076"/>
      <c r="G1096" s="1076"/>
      <c r="H1096" s="1076"/>
      <c r="I1096" s="1076"/>
      <c r="J1096" s="1076"/>
      <c r="K1096" s="1076"/>
      <c r="L1096" s="1076" t="str">
        <f>IFERROR(__xludf.DUMMYFUNCTION("""COMPUTED_VALUE"""),"KLH")</f>
        <v>KLH</v>
      </c>
    </row>
    <row r="1097" customHeight="1" spans="1:12">
      <c r="A1097" s="1076" t="str">
        <f>IFERROR(__xludf.DUMMYFUNCTION("""COMPUTED_VALUE"""),"XL3-DPC-002")</f>
        <v>XL3-DPC-002</v>
      </c>
      <c r="B1097" s="1075" t="str">
        <f>IFERROR(__xludf.DUMMYFUNCTION("""COMPUTED_VALUE"""),"Thiết bị phay cỏ 1.5m")</f>
        <v>Thiết bị phay cỏ 1.5m</v>
      </c>
      <c r="C1097" s="1076" t="str">
        <f>IFERROR(__xludf.DUMMYFUNCTION("""COMPUTED_VALUE"""),"XN Chuối LP3")</f>
        <v>XN Chuối LP3</v>
      </c>
      <c r="D1097" s="1076" t="str">
        <f>IFERROR(__xludf.DUMMYFUNCTION("""COMPUTED_VALUE"""),"THACO AGRI")</f>
        <v>THACO AGRI</v>
      </c>
      <c r="E1097" s="1076"/>
      <c r="F1097" s="1076"/>
      <c r="G1097" s="1076"/>
      <c r="H1097" s="1076" t="str">
        <f>IFERROR(__xludf.DUMMYFUNCTION("""COMPUTED_VALUE"""),"1.5*1.5*0.9m")</f>
        <v>1.5*1.5*0.9m</v>
      </c>
      <c r="I1097" s="1076"/>
      <c r="J1097" s="1076"/>
      <c r="K1097" s="1076">
        <f>IFERROR(__xludf.DUMMYFUNCTION("""COMPUTED_VALUE"""),6.14)</f>
        <v>6.14</v>
      </c>
      <c r="L1097" s="1076" t="str">
        <f>IFERROR(__xludf.DUMMYFUNCTION("""COMPUTED_VALUE"""),"KLH")</f>
        <v>KLH</v>
      </c>
    </row>
    <row r="1098" customHeight="1" spans="1:12">
      <c r="A1098" s="1076" t="str">
        <f>IFERROR(__xludf.DUMMYFUNCTION("""COMPUTED_VALUE"""),"XL3-GĐH-001")</f>
        <v>XL3-GĐH-001</v>
      </c>
      <c r="B1098" s="1075" t="str">
        <f>IFERROR(__xludf.DUMMYFUNCTION("""COMPUTED_VALUE"""),"Gàu định hình đào mương thoát nước")</f>
        <v>Gàu định hình đào mương thoát nước</v>
      </c>
      <c r="C1098" s="1076" t="str">
        <f>IFERROR(__xludf.DUMMYFUNCTION("""COMPUTED_VALUE"""),"XN Chuối LP3")</f>
        <v>XN Chuối LP3</v>
      </c>
      <c r="D1098" s="1076" t="str">
        <f>IFERROR(__xludf.DUMMYFUNCTION("""COMPUTED_VALUE"""),"THACO AGRI")</f>
        <v>THACO AGRI</v>
      </c>
      <c r="E1098" s="1076"/>
      <c r="F1098" s="1076"/>
      <c r="G1098" s="1076" t="str">
        <f>IFERROR(__xludf.DUMMYFUNCTION("""COMPUTED_VALUE"""),"2024")</f>
        <v>2024</v>
      </c>
      <c r="H1098" s="1076" t="str">
        <f>IFERROR(__xludf.DUMMYFUNCTION("""COMPUTED_VALUE"""),"350x200x400")</f>
        <v>350x200x400</v>
      </c>
      <c r="I1098" s="1076"/>
      <c r="J1098" s="1076"/>
      <c r="K1098" s="1076"/>
      <c r="L1098" s="1076" t="str">
        <f>IFERROR(__xludf.DUMMYFUNCTION("""COMPUTED_VALUE"""),"KLH")</f>
        <v>KLH</v>
      </c>
    </row>
    <row r="1099" customHeight="1" spans="1:12">
      <c r="A1099" s="1076" t="str">
        <f>IFERROR(__xludf.DUMMYFUNCTION("""COMPUTED_VALUE"""),"XL3-GĐH-002")</f>
        <v>XL3-GĐH-002</v>
      </c>
      <c r="B1099" s="1075" t="str">
        <f>IFERROR(__xludf.DUMMYFUNCTION("""COMPUTED_VALUE"""),"Gàu định hình đào mương thoát nước")</f>
        <v>Gàu định hình đào mương thoát nước</v>
      </c>
      <c r="C1099" s="1076" t="str">
        <f>IFERROR(__xludf.DUMMYFUNCTION("""COMPUTED_VALUE"""),"XN Chuối LP3")</f>
        <v>XN Chuối LP3</v>
      </c>
      <c r="D1099" s="1076" t="str">
        <f>IFERROR(__xludf.DUMMYFUNCTION("""COMPUTED_VALUE"""),"THACO AGRI")</f>
        <v>THACO AGRI</v>
      </c>
      <c r="E1099" s="1076"/>
      <c r="F1099" s="1076"/>
      <c r="G1099" s="1076" t="str">
        <f>IFERROR(__xludf.DUMMYFUNCTION("""COMPUTED_VALUE"""),"2024")</f>
        <v>2024</v>
      </c>
      <c r="H1099" s="1076" t="str">
        <f>IFERROR(__xludf.DUMMYFUNCTION("""COMPUTED_VALUE"""),"500x200x700")</f>
        <v>500x200x700</v>
      </c>
      <c r="I1099" s="1076"/>
      <c r="J1099" s="1076"/>
      <c r="K1099" s="1076"/>
      <c r="L1099" s="1076" t="str">
        <f>IFERROR(__xludf.DUMMYFUNCTION("""COMPUTED_VALUE"""),"KLH")</f>
        <v>KLH</v>
      </c>
    </row>
    <row r="1100" customHeight="1" spans="1:12">
      <c r="A1100" s="1076" t="str">
        <f>IFERROR(__xludf.DUMMYFUNCTION("""COMPUTED_VALUE"""),"XL3-GĐH-003")</f>
        <v>XL3-GĐH-003</v>
      </c>
      <c r="B1100" s="1075" t="str">
        <f>IFERROR(__xludf.DUMMYFUNCTION("""COMPUTED_VALUE"""),"Gàu định hình đào mương thoát nước")</f>
        <v>Gàu định hình đào mương thoát nước</v>
      </c>
      <c r="C1100" s="1076" t="str">
        <f>IFERROR(__xludf.DUMMYFUNCTION("""COMPUTED_VALUE"""),"XN Chuối LP3")</f>
        <v>XN Chuối LP3</v>
      </c>
      <c r="D1100" s="1076" t="str">
        <f>IFERROR(__xludf.DUMMYFUNCTION("""COMPUTED_VALUE"""),"THACO AGRI")</f>
        <v>THACO AGRI</v>
      </c>
      <c r="E1100" s="1076"/>
      <c r="F1100" s="1076"/>
      <c r="G1100" s="1076" t="str">
        <f>IFERROR(__xludf.DUMMYFUNCTION("""COMPUTED_VALUE"""),"2024")</f>
        <v>2024</v>
      </c>
      <c r="H1100" s="1076" t="str">
        <f>IFERROR(__xludf.DUMMYFUNCTION("""COMPUTED_VALUE"""),"500x200x700")</f>
        <v>500x200x700</v>
      </c>
      <c r="I1100" s="1076"/>
      <c r="J1100" s="1076"/>
      <c r="K1100" s="1076"/>
      <c r="L1100" s="1076" t="str">
        <f>IFERROR(__xludf.DUMMYFUNCTION("""COMPUTED_VALUE"""),"KLH")</f>
        <v>KLH</v>
      </c>
    </row>
    <row r="1101" customHeight="1" spans="1:12">
      <c r="A1101" s="1076" t="str">
        <f>IFERROR(__xludf.DUMMYFUNCTION("""COMPUTED_VALUE"""),"XL3-GĐH-004")</f>
        <v>XL3-GĐH-004</v>
      </c>
      <c r="B1101" s="1075" t="str">
        <f>IFERROR(__xludf.DUMMYFUNCTION("""COMPUTED_VALUE"""),"Gàu định hình đào mương thoát nước")</f>
        <v>Gàu định hình đào mương thoát nước</v>
      </c>
      <c r="C1101" s="1076" t="str">
        <f>IFERROR(__xludf.DUMMYFUNCTION("""COMPUTED_VALUE"""),"XN Chuối LP3")</f>
        <v>XN Chuối LP3</v>
      </c>
      <c r="D1101" s="1076" t="str">
        <f>IFERROR(__xludf.DUMMYFUNCTION("""COMPUTED_VALUE"""),"THACO AGRI")</f>
        <v>THACO AGRI</v>
      </c>
      <c r="E1101" s="1076"/>
      <c r="F1101" s="1076"/>
      <c r="G1101" s="1076" t="str">
        <f>IFERROR(__xludf.DUMMYFUNCTION("""COMPUTED_VALUE"""),"2025")</f>
        <v>2025</v>
      </c>
      <c r="H1101" s="1076" t="str">
        <f>IFERROR(__xludf.DUMMYFUNCTION("""COMPUTED_VALUE"""),"350*200*407")</f>
        <v>350*200*407</v>
      </c>
      <c r="I1101" s="1076"/>
      <c r="J1101" s="1076"/>
      <c r="K1101" s="1076"/>
      <c r="L1101" s="1076" t="str">
        <f>IFERROR(__xludf.DUMMYFUNCTION("""COMPUTED_VALUE"""),"KLH")</f>
        <v>KLH</v>
      </c>
    </row>
    <row r="1102" customHeight="1" spans="1:12">
      <c r="A1102" s="1076" t="str">
        <f>IFERROR(__xludf.DUMMYFUNCTION("""COMPUTED_VALUE"""),"XL3-GĐH-005")</f>
        <v>XL3-GĐH-005</v>
      </c>
      <c r="B1102" s="1075" t="str">
        <f>IFERROR(__xludf.DUMMYFUNCTION("""COMPUTED_VALUE"""),"Gàu định hình đào mương thoát nước")</f>
        <v>Gàu định hình đào mương thoát nước</v>
      </c>
      <c r="C1102" s="1076" t="str">
        <f>IFERROR(__xludf.DUMMYFUNCTION("""COMPUTED_VALUE"""),"XN Chuối LP3")</f>
        <v>XN Chuối LP3</v>
      </c>
      <c r="D1102" s="1076" t="str">
        <f>IFERROR(__xludf.DUMMYFUNCTION("""COMPUTED_VALUE"""),"THACO AGRI")</f>
        <v>THACO AGRI</v>
      </c>
      <c r="E1102" s="1076"/>
      <c r="F1102" s="1076"/>
      <c r="G1102" s="1076" t="str">
        <f>IFERROR(__xludf.DUMMYFUNCTION("""COMPUTED_VALUE"""),"2025")</f>
        <v>2025</v>
      </c>
      <c r="H1102" s="1076" t="str">
        <f>IFERROR(__xludf.DUMMYFUNCTION("""COMPUTED_VALUE"""),"350*200*407")</f>
        <v>350*200*407</v>
      </c>
      <c r="I1102" s="1076"/>
      <c r="J1102" s="1076"/>
      <c r="K1102" s="1076"/>
      <c r="L1102" s="1076" t="str">
        <f>IFERROR(__xludf.DUMMYFUNCTION("""COMPUTED_VALUE"""),"KLH")</f>
        <v>KLH</v>
      </c>
    </row>
    <row r="1103" customHeight="1" spans="1:12">
      <c r="A1103" s="1076" t="str">
        <f>IFERROR(__xludf.DUMMYFUNCTION("""COMPUTED_VALUE"""),"XL3-GĐH-006")</f>
        <v>XL3-GĐH-006</v>
      </c>
      <c r="B1103" s="1075" t="str">
        <f>IFERROR(__xludf.DUMMYFUNCTION("""COMPUTED_VALUE"""),"Gàu định hình đào mương thoát nước")</f>
        <v>Gàu định hình đào mương thoát nước</v>
      </c>
      <c r="C1103" s="1076" t="str">
        <f>IFERROR(__xludf.DUMMYFUNCTION("""COMPUTED_VALUE"""),"XN Chuối LP3")</f>
        <v>XN Chuối LP3</v>
      </c>
      <c r="D1103" s="1076" t="str">
        <f>IFERROR(__xludf.DUMMYFUNCTION("""COMPUTED_VALUE"""),"THACO AGRI")</f>
        <v>THACO AGRI</v>
      </c>
      <c r="E1103" s="1076"/>
      <c r="F1103" s="1076"/>
      <c r="G1103" s="1076" t="str">
        <f>IFERROR(__xludf.DUMMYFUNCTION("""COMPUTED_VALUE"""),"2025")</f>
        <v>2025</v>
      </c>
      <c r="H1103" s="1076" t="str">
        <f>IFERROR(__xludf.DUMMYFUNCTION("""COMPUTED_VALUE"""),"350*200*407")</f>
        <v>350*200*407</v>
      </c>
      <c r="I1103" s="1076"/>
      <c r="J1103" s="1076"/>
      <c r="K1103" s="1076"/>
      <c r="L1103" s="1076" t="str">
        <f>IFERROR(__xludf.DUMMYFUNCTION("""COMPUTED_VALUE"""),"KLH")</f>
        <v>KLH</v>
      </c>
    </row>
    <row r="1104" customHeight="1" spans="1:12">
      <c r="A1104" s="1076" t="str">
        <f>IFERROR(__xludf.DUMMYFUNCTION("""COMPUTED_VALUE"""),"XL3-RMC-001")</f>
        <v>XL3-RMC-001</v>
      </c>
      <c r="B1104" s="1075" t="str">
        <f>IFERROR(__xludf.DUMMYFUNCTION("""COMPUTED_VALUE"""),"Rơ mooc thu hoạch")</f>
        <v>Rơ mooc thu hoạch</v>
      </c>
      <c r="C1104" s="1076" t="str">
        <f>IFERROR(__xludf.DUMMYFUNCTION("""COMPUTED_VALUE"""),"XN Chuối LP3")</f>
        <v>XN Chuối LP3</v>
      </c>
      <c r="D1104" s="1076" t="str">
        <f>IFERROR(__xludf.DUMMYFUNCTION("""COMPUTED_VALUE"""),"THACO AGRI")</f>
        <v>THACO AGRI</v>
      </c>
      <c r="E1104" s="1076"/>
      <c r="F1104" s="1076"/>
      <c r="G1104" s="1076"/>
      <c r="H1104" s="1076"/>
      <c r="I1104" s="1076"/>
      <c r="J1104" s="1076"/>
      <c r="K1104" s="1076"/>
      <c r="L1104" s="1076" t="str">
        <f>IFERROR(__xludf.DUMMYFUNCTION("""COMPUTED_VALUE"""),"KLH")</f>
        <v>KLH</v>
      </c>
    </row>
    <row r="1105" customHeight="1" spans="1:12">
      <c r="A1105" s="1076" t="str">
        <f>IFERROR(__xludf.DUMMYFUNCTION("""COMPUTED_VALUE"""),"XL3-RMC-002")</f>
        <v>XL3-RMC-002</v>
      </c>
      <c r="B1105" s="1075" t="str">
        <f>IFERROR(__xludf.DUMMYFUNCTION("""COMPUTED_VALUE"""),"Rơ mooc thu hoạch")</f>
        <v>Rơ mooc thu hoạch</v>
      </c>
      <c r="C1105" s="1076" t="str">
        <f>IFERROR(__xludf.DUMMYFUNCTION("""COMPUTED_VALUE"""),"XN Chuối LP3")</f>
        <v>XN Chuối LP3</v>
      </c>
      <c r="D1105" s="1076" t="str">
        <f>IFERROR(__xludf.DUMMYFUNCTION("""COMPUTED_VALUE"""),"THACO AGRI")</f>
        <v>THACO AGRI</v>
      </c>
      <c r="E1105" s="1076"/>
      <c r="F1105" s="1076"/>
      <c r="G1105" s="1076"/>
      <c r="H1105" s="1076"/>
      <c r="I1105" s="1076"/>
      <c r="J1105" s="1076"/>
      <c r="K1105" s="1076"/>
      <c r="L1105" s="1076" t="str">
        <f>IFERROR(__xludf.DUMMYFUNCTION("""COMPUTED_VALUE"""),"KLH")</f>
        <v>KLH</v>
      </c>
    </row>
    <row r="1106" customHeight="1" spans="1:12">
      <c r="A1106" s="1076" t="str">
        <f>IFERROR(__xludf.DUMMYFUNCTION("""COMPUTED_VALUE"""),"XL3-RMC-003")</f>
        <v>XL3-RMC-003</v>
      </c>
      <c r="B1106" s="1075" t="str">
        <f>IFERROR(__xludf.DUMMYFUNCTION("""COMPUTED_VALUE"""),"Rơ mooc thu hoạch")</f>
        <v>Rơ mooc thu hoạch</v>
      </c>
      <c r="C1106" s="1076" t="str">
        <f>IFERROR(__xludf.DUMMYFUNCTION("""COMPUTED_VALUE"""),"XN Chuối LP3")</f>
        <v>XN Chuối LP3</v>
      </c>
      <c r="D1106" s="1076" t="str">
        <f>IFERROR(__xludf.DUMMYFUNCTION("""COMPUTED_VALUE"""),"THACO AGRI")</f>
        <v>THACO AGRI</v>
      </c>
      <c r="E1106" s="1076"/>
      <c r="F1106" s="1076"/>
      <c r="G1106" s="1076"/>
      <c r="H1106" s="1076"/>
      <c r="I1106" s="1076"/>
      <c r="J1106" s="1076"/>
      <c r="K1106" s="1076"/>
      <c r="L1106" s="1076" t="str">
        <f>IFERROR(__xludf.DUMMYFUNCTION("""COMPUTED_VALUE"""),"KLH")</f>
        <v>KLH</v>
      </c>
    </row>
    <row r="1107" customHeight="1" spans="1:12">
      <c r="A1107" s="1076" t="str">
        <f>IFERROR(__xludf.DUMMYFUNCTION("""COMPUTED_VALUE"""),"XL3-RMC-004")</f>
        <v>XL3-RMC-004</v>
      </c>
      <c r="B1107" s="1075" t="str">
        <f>IFERROR(__xludf.DUMMYFUNCTION("""COMPUTED_VALUE"""),"Rơ mooc thu hoạch")</f>
        <v>Rơ mooc thu hoạch</v>
      </c>
      <c r="C1107" s="1076" t="str">
        <f>IFERROR(__xludf.DUMMYFUNCTION("""COMPUTED_VALUE"""),"XN Chuối LP3")</f>
        <v>XN Chuối LP3</v>
      </c>
      <c r="D1107" s="1076" t="str">
        <f>IFERROR(__xludf.DUMMYFUNCTION("""COMPUTED_VALUE"""),"THACO AGRI")</f>
        <v>THACO AGRI</v>
      </c>
      <c r="E1107" s="1076"/>
      <c r="F1107" s="1076"/>
      <c r="G1107" s="1076"/>
      <c r="H1107" s="1076"/>
      <c r="I1107" s="1076"/>
      <c r="J1107" s="1076"/>
      <c r="K1107" s="1076"/>
      <c r="L1107" s="1076" t="str">
        <f>IFERROR(__xludf.DUMMYFUNCTION("""COMPUTED_VALUE"""),"KLH")</f>
        <v>KLH</v>
      </c>
    </row>
    <row r="1108" customHeight="1" spans="1:12">
      <c r="A1108" s="1076" t="str">
        <f>IFERROR(__xludf.DUMMYFUNCTION("""COMPUTED_VALUE"""),"XL3-RMC-005")</f>
        <v>XL3-RMC-005</v>
      </c>
      <c r="B1108" s="1075" t="str">
        <f>IFERROR(__xludf.DUMMYFUNCTION("""COMPUTED_VALUE"""),"Rơ mooc thu hoạch")</f>
        <v>Rơ mooc thu hoạch</v>
      </c>
      <c r="C1108" s="1076" t="str">
        <f>IFERROR(__xludf.DUMMYFUNCTION("""COMPUTED_VALUE"""),"XN Chuối LP3")</f>
        <v>XN Chuối LP3</v>
      </c>
      <c r="D1108" s="1076" t="str">
        <f>IFERROR(__xludf.DUMMYFUNCTION("""COMPUTED_VALUE"""),"THACO AGRI")</f>
        <v>THACO AGRI</v>
      </c>
      <c r="E1108" s="1076"/>
      <c r="F1108" s="1076"/>
      <c r="G1108" s="1076"/>
      <c r="H1108" s="1076"/>
      <c r="I1108" s="1076" t="str">
        <f>IFERROR(__xludf.DUMMYFUNCTION("""COMPUTED_VALUE"""),"44 buồng")</f>
        <v>44 buồng</v>
      </c>
      <c r="J1108" s="1076"/>
      <c r="K1108" s="1076"/>
      <c r="L1108" s="1076" t="str">
        <f>IFERROR(__xludf.DUMMYFUNCTION("""COMPUTED_VALUE"""),"KLH")</f>
        <v>KLH</v>
      </c>
    </row>
    <row r="1109" customHeight="1" spans="1:12">
      <c r="A1109" s="1076" t="str">
        <f>IFERROR(__xludf.DUMMYFUNCTION("""COMPUTED_VALUE"""),"XL3-RMC-006")</f>
        <v>XL3-RMC-006</v>
      </c>
      <c r="B1109" s="1075" t="str">
        <f>IFERROR(__xludf.DUMMYFUNCTION("""COMPUTED_VALUE"""),"Rơ mooc thu hoạch")</f>
        <v>Rơ mooc thu hoạch</v>
      </c>
      <c r="C1109" s="1076" t="str">
        <f>IFERROR(__xludf.DUMMYFUNCTION("""COMPUTED_VALUE"""),"XN Chuối LP3")</f>
        <v>XN Chuối LP3</v>
      </c>
      <c r="D1109" s="1076" t="str">
        <f>IFERROR(__xludf.DUMMYFUNCTION("""COMPUTED_VALUE"""),"THACO AGRI")</f>
        <v>THACO AGRI</v>
      </c>
      <c r="E1109" s="1076"/>
      <c r="F1109" s="1076"/>
      <c r="G1109" s="1076"/>
      <c r="H1109" s="1076"/>
      <c r="I1109" s="1076" t="str">
        <f>IFERROR(__xludf.DUMMYFUNCTION("""COMPUTED_VALUE"""),"44 buồng")</f>
        <v>44 buồng</v>
      </c>
      <c r="J1109" s="1076"/>
      <c r="K1109" s="1076"/>
      <c r="L1109" s="1076" t="str">
        <f>IFERROR(__xludf.DUMMYFUNCTION("""COMPUTED_VALUE"""),"KLH")</f>
        <v>KLH</v>
      </c>
    </row>
    <row r="1110" customHeight="1" spans="1:12">
      <c r="A1110" s="1076" t="str">
        <f>IFERROR(__xludf.DUMMYFUNCTION("""COMPUTED_VALUE"""),"XL3-RMĐ-001")</f>
        <v>XL3-RMĐ-001</v>
      </c>
      <c r="B1110" s="1075" t="str">
        <f>IFERROR(__xludf.DUMMYFUNCTION("""COMPUTED_VALUE"""),"Rơ mooc vận chuyển M.Đào 03")</f>
        <v>Rơ mooc vận chuyển M.Đào 03</v>
      </c>
      <c r="C1110" s="1076" t="str">
        <f>IFERROR(__xludf.DUMMYFUNCTION("""COMPUTED_VALUE"""),"XN Chuối LP3")</f>
        <v>XN Chuối LP3</v>
      </c>
      <c r="D1110" s="1076" t="str">
        <f>IFERROR(__xludf.DUMMYFUNCTION("""COMPUTED_VALUE"""),"THACO AGRI")</f>
        <v>THACO AGRI</v>
      </c>
      <c r="E1110" s="1076"/>
      <c r="F1110" s="1076"/>
      <c r="G1110" s="1076"/>
      <c r="H1110" s="1076"/>
      <c r="I1110" s="1076"/>
      <c r="J1110" s="1076"/>
      <c r="K1110" s="1076"/>
      <c r="L1110" s="1076" t="str">
        <f>IFERROR(__xludf.DUMMYFUNCTION("""COMPUTED_VALUE"""),"KLH")</f>
        <v>KLH</v>
      </c>
    </row>
    <row r="1111" customHeight="1" spans="1:12">
      <c r="A1111" s="1076" t="str">
        <f>IFERROR(__xludf.DUMMYFUNCTION("""COMPUTED_VALUE"""),"XL3-MCL-001")</f>
        <v>XL3-MCL-001</v>
      </c>
      <c r="B1111" s="1075" t="str">
        <f>IFERROR(__xludf.DUMMYFUNCTION("""COMPUTED_VALUE"""),"Rơ mooc clethon")</f>
        <v>Rơ mooc clethon</v>
      </c>
      <c r="C1111" s="1076" t="str">
        <f>IFERROR(__xludf.DUMMYFUNCTION("""COMPUTED_VALUE"""),"XN Chuối LP3")</f>
        <v>XN Chuối LP3</v>
      </c>
      <c r="D1111" s="1076" t="str">
        <f>IFERROR(__xludf.DUMMYFUNCTION("""COMPUTED_VALUE"""),"THACO AGRI")</f>
        <v>THACO AGRI</v>
      </c>
      <c r="E1111" s="1076" t="str">
        <f>IFERROR(__xludf.DUMMYFUNCTION("""COMPUTED_VALUE"""),"CK-MCL")</f>
        <v>CK-MCL</v>
      </c>
      <c r="F1111" s="1076"/>
      <c r="G1111" s="1076"/>
      <c r="H1111" s="1076"/>
      <c r="I1111" s="1076" t="str">
        <f>IFERROR(__xludf.DUMMYFUNCTION("""COMPUTED_VALUE"""),"5,4x1,8x0,9")</f>
        <v>5,4x1,8x0,9</v>
      </c>
      <c r="J1111" s="1076"/>
      <c r="K1111" s="1076"/>
      <c r="L1111" s="1076" t="str">
        <f>IFERROR(__xludf.DUMMYFUNCTION("""COMPUTED_VALUE"""),"KLH")</f>
        <v>KLH</v>
      </c>
    </row>
    <row r="1112" customHeight="1" spans="1:12">
      <c r="A1112" s="1076" t="str">
        <f>IFERROR(__xludf.DUMMYFUNCTION("""COMPUTED_VALUE"""),"XL3-MCL-002")</f>
        <v>XL3-MCL-002</v>
      </c>
      <c r="B1112" s="1075" t="str">
        <f>IFERROR(__xludf.DUMMYFUNCTION("""COMPUTED_VALUE"""),"Rơ mooc clethon")</f>
        <v>Rơ mooc clethon</v>
      </c>
      <c r="C1112" s="1076" t="str">
        <f>IFERROR(__xludf.DUMMYFUNCTION("""COMPUTED_VALUE"""),"XN Chuối LP3")</f>
        <v>XN Chuối LP3</v>
      </c>
      <c r="D1112" s="1076" t="str">
        <f>IFERROR(__xludf.DUMMYFUNCTION("""COMPUTED_VALUE"""),"THACO AGRI")</f>
        <v>THACO AGRI</v>
      </c>
      <c r="E1112" s="1076" t="str">
        <f>IFERROR(__xludf.DUMMYFUNCTION("""COMPUTED_VALUE"""),"CK-MCL")</f>
        <v>CK-MCL</v>
      </c>
      <c r="F1112" s="1076"/>
      <c r="G1112" s="1076"/>
      <c r="H1112" s="1076"/>
      <c r="I1112" s="1076"/>
      <c r="J1112" s="1076"/>
      <c r="K1112" s="1076"/>
      <c r="L1112" s="1076" t="str">
        <f>IFERROR(__xludf.DUMMYFUNCTION("""COMPUTED_VALUE"""),"KLH")</f>
        <v>KLH</v>
      </c>
    </row>
    <row r="1113" customHeight="1" spans="1:12">
      <c r="A1113" s="1076" t="str">
        <f>IFERROR(__xludf.DUMMYFUNCTION("""COMPUTED_VALUE"""),"XL3-MCL-003")</f>
        <v>XL3-MCL-003</v>
      </c>
      <c r="B1113" s="1075" t="str">
        <f>IFERROR(__xludf.DUMMYFUNCTION("""COMPUTED_VALUE"""),"Rơ mooc clethon")</f>
        <v>Rơ mooc clethon</v>
      </c>
      <c r="C1113" s="1076" t="str">
        <f>IFERROR(__xludf.DUMMYFUNCTION("""COMPUTED_VALUE"""),"XN Chuối LP3")</f>
        <v>XN Chuối LP3</v>
      </c>
      <c r="D1113" s="1076" t="str">
        <f>IFERROR(__xludf.DUMMYFUNCTION("""COMPUTED_VALUE"""),"THACO AGRI")</f>
        <v>THACO AGRI</v>
      </c>
      <c r="E1113" s="1076" t="str">
        <f>IFERROR(__xludf.DUMMYFUNCTION("""COMPUTED_VALUE"""),"CK-MCL")</f>
        <v>CK-MCL</v>
      </c>
      <c r="F1113" s="1076"/>
      <c r="G1113" s="1076"/>
      <c r="H1113" s="1076"/>
      <c r="I1113" s="1076"/>
      <c r="J1113" s="1076"/>
      <c r="K1113" s="1076"/>
      <c r="L1113" s="1076" t="str">
        <f>IFERROR(__xludf.DUMMYFUNCTION("""COMPUTED_VALUE"""),"KLH")</f>
        <v>KLH</v>
      </c>
    </row>
    <row r="1114" customHeight="1" spans="1:12">
      <c r="A1114" s="1076" t="str">
        <f>IFERROR(__xludf.DUMMYFUNCTION("""COMPUTED_VALUE"""),"XL3-MCL-004")</f>
        <v>XL3-MCL-004</v>
      </c>
      <c r="B1114" s="1075" t="str">
        <f>IFERROR(__xludf.DUMMYFUNCTION("""COMPUTED_VALUE"""),"Rơ mooc clethon")</f>
        <v>Rơ mooc clethon</v>
      </c>
      <c r="C1114" s="1076" t="str">
        <f>IFERROR(__xludf.DUMMYFUNCTION("""COMPUTED_VALUE"""),"XN Chuối LP3")</f>
        <v>XN Chuối LP3</v>
      </c>
      <c r="D1114" s="1076" t="str">
        <f>IFERROR(__xludf.DUMMYFUNCTION("""COMPUTED_VALUE"""),"THACO AGRI")</f>
        <v>THACO AGRI</v>
      </c>
      <c r="E1114" s="1076" t="str">
        <f>IFERROR(__xludf.DUMMYFUNCTION("""COMPUTED_VALUE"""),"CK-MCL")</f>
        <v>CK-MCL</v>
      </c>
      <c r="F1114" s="1076"/>
      <c r="G1114" s="1076"/>
      <c r="H1114" s="1076"/>
      <c r="I1114" s="1076"/>
      <c r="J1114" s="1076"/>
      <c r="K1114" s="1076"/>
      <c r="L1114" s="1076" t="str">
        <f>IFERROR(__xludf.DUMMYFUNCTION("""COMPUTED_VALUE"""),"KLH")</f>
        <v>KLH</v>
      </c>
    </row>
    <row r="1115" customHeight="1" spans="1:12">
      <c r="A1115" s="1076" t="str">
        <f>IFERROR(__xludf.DUMMYFUNCTION("""COMPUTED_VALUE"""),"XL3-SPT-001")</f>
        <v>XL3-SPT-001</v>
      </c>
      <c r="B1115" s="1075" t="str">
        <f>IFERROR(__xludf.DUMMYFUNCTION("""COMPUTED_VALUE"""),"Súng phun thuốc Hansung")</f>
        <v>Súng phun thuốc Hansung</v>
      </c>
      <c r="C1115" s="1076" t="str">
        <f>IFERROR(__xludf.DUMMYFUNCTION("""COMPUTED_VALUE"""),"XN Chuối LP3")</f>
        <v>XN Chuối LP3</v>
      </c>
      <c r="D1115" s="1076" t="str">
        <f>IFERROR(__xludf.DUMMYFUNCTION("""COMPUTED_VALUE"""),"HÀN QUỐC")</f>
        <v>HÀN QUỐC</v>
      </c>
      <c r="E1115" s="1076" t="str">
        <f>IFERROR(__xludf.DUMMYFUNCTION("""COMPUTED_VALUE"""),"HANSUNG")</f>
        <v>HANSUNG</v>
      </c>
      <c r="F1115" s="1076"/>
      <c r="G1115" s="1076"/>
      <c r="H1115" s="1076"/>
      <c r="I1115" s="1076" t="str">
        <f>IFERROR(__xludf.DUMMYFUNCTION("""COMPUTED_VALUE"""),"HS128-NS305")</f>
        <v>HS128-NS305</v>
      </c>
      <c r="J1115" s="1076"/>
      <c r="K1115" s="1076">
        <f>IFERROR(__xludf.DUMMYFUNCTION("""COMPUTED_VALUE"""),8.47)</f>
        <v>8.47</v>
      </c>
      <c r="L1115" s="1076" t="str">
        <f>IFERROR(__xludf.DUMMYFUNCTION("""COMPUTED_VALUE"""),"KLH")</f>
        <v>KLH</v>
      </c>
    </row>
    <row r="1116" customHeight="1" spans="1:12">
      <c r="A1116" s="1076" t="str">
        <f>IFERROR(__xludf.DUMMYFUNCTION("""COMPUTED_VALUE"""),"XL3-SPT-002")</f>
        <v>XL3-SPT-002</v>
      </c>
      <c r="B1116" s="1075" t="str">
        <f>IFERROR(__xludf.DUMMYFUNCTION("""COMPUTED_VALUE"""),"Súng phun thuốc Hansung")</f>
        <v>Súng phun thuốc Hansung</v>
      </c>
      <c r="C1116" s="1076" t="str">
        <f>IFERROR(__xludf.DUMMYFUNCTION("""COMPUTED_VALUE"""),"XN Chuối LP3")</f>
        <v>XN Chuối LP3</v>
      </c>
      <c r="D1116" s="1076" t="str">
        <f>IFERROR(__xludf.DUMMYFUNCTION("""COMPUTED_VALUE"""),"HÀN QUỐC")</f>
        <v>HÀN QUỐC</v>
      </c>
      <c r="E1116" s="1076" t="str">
        <f>IFERROR(__xludf.DUMMYFUNCTION("""COMPUTED_VALUE"""),"HANSUNG")</f>
        <v>HANSUNG</v>
      </c>
      <c r="F1116" s="1076"/>
      <c r="G1116" s="1076"/>
      <c r="H1116" s="1076"/>
      <c r="I1116" s="1076" t="str">
        <f>IFERROR(__xludf.DUMMYFUNCTION("""COMPUTED_VALUE"""),"HS128-DP343")</f>
        <v>HS128-DP343</v>
      </c>
      <c r="J1116" s="1076"/>
      <c r="K1116" s="1076">
        <f>IFERROR(__xludf.DUMMYFUNCTION("""COMPUTED_VALUE"""),8.47)</f>
        <v>8.47</v>
      </c>
      <c r="L1116" s="1076" t="str">
        <f>IFERROR(__xludf.DUMMYFUNCTION("""COMPUTED_VALUE"""),"KLH")</f>
        <v>KLH</v>
      </c>
    </row>
    <row r="1117" customHeight="1" spans="1:12">
      <c r="A1117" s="1076" t="str">
        <f>IFERROR(__xludf.DUMMYFUNCTION("""COMPUTED_VALUE"""),"XL3-RMG-001")</f>
        <v>XL3-RMG-001</v>
      </c>
      <c r="B1117" s="1075" t="str">
        <f>IFERROR(__xludf.DUMMYFUNCTION("""COMPUTED_VALUE"""),"Rơ mooc chở giống")</f>
        <v>Rơ mooc chở giống</v>
      </c>
      <c r="C1117" s="1076" t="str">
        <f>IFERROR(__xludf.DUMMYFUNCTION("""COMPUTED_VALUE"""),"XN Chuối LP3")</f>
        <v>XN Chuối LP3</v>
      </c>
      <c r="D1117" s="1076" t="str">
        <f>IFERROR(__xludf.DUMMYFUNCTION("""COMPUTED_VALUE"""),"THACO AGRI")</f>
        <v>THACO AGRI</v>
      </c>
      <c r="E1117" s="1076"/>
      <c r="F1117" s="1076"/>
      <c r="G1117" s="1076"/>
      <c r="H1117" s="1076" t="str">
        <f>IFERROR(__xludf.DUMMYFUNCTION("""COMPUTED_VALUE"""),"6.8*2.*2.2m")</f>
        <v>6.8*2.*2.2m</v>
      </c>
      <c r="I1117" s="1076" t="str">
        <f>IFERROR(__xludf.DUMMYFUNCTION("""COMPUTED_VALUE"""),"Chở giống")</f>
        <v>Chở giống</v>
      </c>
      <c r="J1117" s="1076"/>
      <c r="K1117" s="1076"/>
      <c r="L1117" s="1076" t="str">
        <f>IFERROR(__xludf.DUMMYFUNCTION("""COMPUTED_VALUE"""),"KLH")</f>
        <v>KLH</v>
      </c>
    </row>
    <row r="1118" customHeight="1" spans="1:12">
      <c r="A1118" s="1076" t="str">
        <f>IFERROR(__xludf.DUMMYFUNCTION("""COMPUTED_VALUE"""),"XL3-RMB-001")</f>
        <v>XL3-RMB-001</v>
      </c>
      <c r="B1118" s="1075" t="str">
        <f>IFERROR(__xludf.DUMMYFUNCTION("""COMPUTED_VALUE"""),"Rơ mooc thùng ben")</f>
        <v>Rơ mooc thùng ben</v>
      </c>
      <c r="C1118" s="1076" t="str">
        <f>IFERROR(__xludf.DUMMYFUNCTION("""COMPUTED_VALUE"""),"XN Chuối LP3")</f>
        <v>XN Chuối LP3</v>
      </c>
      <c r="D1118" s="1076" t="str">
        <f>IFERROR(__xludf.DUMMYFUNCTION("""COMPUTED_VALUE"""),"THACO AGRI")</f>
        <v>THACO AGRI</v>
      </c>
      <c r="E1118" s="1076"/>
      <c r="F1118" s="1076"/>
      <c r="G1118" s="1076"/>
      <c r="H1118" s="1076"/>
      <c r="I1118" s="1076" t="str">
        <f>IFERROR(__xludf.DUMMYFUNCTION("""COMPUTED_VALUE"""),"thùng ben 2m3")</f>
        <v>thùng ben 2m3</v>
      </c>
      <c r="J1118" s="1076"/>
      <c r="K1118" s="1076"/>
      <c r="L1118" s="1076" t="str">
        <f>IFERROR(__xludf.DUMMYFUNCTION("""COMPUTED_VALUE"""),"KLH")</f>
        <v>KLH</v>
      </c>
    </row>
    <row r="1119" customHeight="1" spans="1:12">
      <c r="A1119" s="1076" t="str">
        <f>IFERROR(__xludf.DUMMYFUNCTION("""COMPUTED_VALUE"""),"XL3-RMR-001")</f>
        <v>XL3-RMR-001</v>
      </c>
      <c r="B1119" s="1075" t="str">
        <f>IFERROR(__xludf.DUMMYFUNCTION("""COMPUTED_VALUE"""),"Rơ mooc thùng ben rải phân hữu cơ")</f>
        <v>Rơ mooc thùng ben rải phân hữu cơ</v>
      </c>
      <c r="C1119" s="1076" t="str">
        <f>IFERROR(__xludf.DUMMYFUNCTION("""COMPUTED_VALUE"""),"XN Chuối LP3")</f>
        <v>XN Chuối LP3</v>
      </c>
      <c r="D1119" s="1076" t="str">
        <f>IFERROR(__xludf.DUMMYFUNCTION("""COMPUTED_VALUE"""),"THACO AGRI")</f>
        <v>THACO AGRI</v>
      </c>
      <c r="E1119" s="1076"/>
      <c r="F1119" s="1076"/>
      <c r="G1119" s="1076"/>
      <c r="H1119" s="1076" t="str">
        <f>IFERROR(__xludf.DUMMYFUNCTION("""COMPUTED_VALUE"""),"4.5**1.5m")</f>
        <v>4.5**1.5m</v>
      </c>
      <c r="I1119" s="1076" t="str">
        <f>IFERROR(__xludf.DUMMYFUNCTION("""COMPUTED_VALUE"""),"Rải phân bò")</f>
        <v>Rải phân bò</v>
      </c>
      <c r="J1119" s="1076"/>
      <c r="K1119" s="1076"/>
      <c r="L1119" s="1076" t="str">
        <f>IFERROR(__xludf.DUMMYFUNCTION("""COMPUTED_VALUE"""),"KLH")</f>
        <v>KLH</v>
      </c>
    </row>
    <row r="1120" customHeight="1" spans="1:12">
      <c r="A1120" s="1076" t="str">
        <f>IFERROR(__xludf.DUMMYFUNCTION("""COMPUTED_VALUE"""),"XL3-MXM-001")</f>
        <v>XL3-MXM-001</v>
      </c>
      <c r="B1120" s="1075" t="str">
        <f>IFERROR(__xludf.DUMMYFUNCTION("""COMPUTED_VALUE"""),"Rơ mooc gắn sau xe máy ")</f>
        <v>Rơ mooc gắn sau xe máy </v>
      </c>
      <c r="C1120" s="1076" t="str">
        <f>IFERROR(__xludf.DUMMYFUNCTION("""COMPUTED_VALUE"""),"XN Chuối LP3")</f>
        <v>XN Chuối LP3</v>
      </c>
      <c r="D1120" s="1076" t="str">
        <f>IFERROR(__xludf.DUMMYFUNCTION("""COMPUTED_VALUE"""),"THACO AGRI")</f>
        <v>THACO AGRI</v>
      </c>
      <c r="E1120" s="1076"/>
      <c r="F1120" s="1076"/>
      <c r="G1120" s="1076"/>
      <c r="H1120" s="1076" t="str">
        <f>IFERROR(__xludf.DUMMYFUNCTION("""COMPUTED_VALUE"""),"DxRxC: 3m*1.6m*1.2m")</f>
        <v>DxRxC: 3m*1.6m*1.2m</v>
      </c>
      <c r="I1120" s="1076"/>
      <c r="J1120" s="1076"/>
      <c r="K1120" s="1076"/>
      <c r="L1120" s="1076" t="str">
        <f>IFERROR(__xludf.DUMMYFUNCTION("""COMPUTED_VALUE"""),"KLH")</f>
        <v>KLH</v>
      </c>
    </row>
    <row r="1121" customHeight="1" spans="1:12">
      <c r="A1121" s="1076" t="str">
        <f>IFERROR(__xludf.DUMMYFUNCTION("""COMPUTED_VALUE"""),"XL3-MXM-002")</f>
        <v>XL3-MXM-002</v>
      </c>
      <c r="B1121" s="1075" t="str">
        <f>IFERROR(__xludf.DUMMYFUNCTION("""COMPUTED_VALUE"""),"Rơ mooc gắn sau xe máy ")</f>
        <v>Rơ mooc gắn sau xe máy </v>
      </c>
      <c r="C1121" s="1076" t="str">
        <f>IFERROR(__xludf.DUMMYFUNCTION("""COMPUTED_VALUE"""),"XN Chuối LP3")</f>
        <v>XN Chuối LP3</v>
      </c>
      <c r="D1121" s="1076" t="str">
        <f>IFERROR(__xludf.DUMMYFUNCTION("""COMPUTED_VALUE"""),"THACO AGRI")</f>
        <v>THACO AGRI</v>
      </c>
      <c r="E1121" s="1076"/>
      <c r="F1121" s="1076"/>
      <c r="G1121" s="1076"/>
      <c r="H1121" s="1076" t="str">
        <f>IFERROR(__xludf.DUMMYFUNCTION("""COMPUTED_VALUE"""),"DxRxC: 3m*1.6m*1.2m")</f>
        <v>DxRxC: 3m*1.6m*1.2m</v>
      </c>
      <c r="I1121" s="1076"/>
      <c r="J1121" s="1076"/>
      <c r="K1121" s="1076"/>
      <c r="L1121" s="1076" t="str">
        <f>IFERROR(__xludf.DUMMYFUNCTION("""COMPUTED_VALUE"""),"KLH")</f>
        <v>KLH</v>
      </c>
    </row>
    <row r="1122" customHeight="1" spans="1:12">
      <c r="A1122" s="1076" t="str">
        <f>IFERROR(__xludf.DUMMYFUNCTION("""COMPUTED_VALUE"""),"XL3-MXM-003")</f>
        <v>XL3-MXM-003</v>
      </c>
      <c r="B1122" s="1075" t="str">
        <f>IFERROR(__xludf.DUMMYFUNCTION("""COMPUTED_VALUE"""),"Rơ mooc gắn sau xe máy ")</f>
        <v>Rơ mooc gắn sau xe máy </v>
      </c>
      <c r="C1122" s="1076" t="str">
        <f>IFERROR(__xludf.DUMMYFUNCTION("""COMPUTED_VALUE"""),"XN Chuối LP3")</f>
        <v>XN Chuối LP3</v>
      </c>
      <c r="D1122" s="1076" t="str">
        <f>IFERROR(__xludf.DUMMYFUNCTION("""COMPUTED_VALUE"""),"THACO AGRI")</f>
        <v>THACO AGRI</v>
      </c>
      <c r="E1122" s="1076"/>
      <c r="F1122" s="1076"/>
      <c r="G1122" s="1076"/>
      <c r="H1122" s="1076" t="str">
        <f>IFERROR(__xludf.DUMMYFUNCTION("""COMPUTED_VALUE"""),"DxRxC: 3m*1.6m*1.2m")</f>
        <v>DxRxC: 3m*1.6m*1.2m</v>
      </c>
      <c r="I1122" s="1076"/>
      <c r="J1122" s="1076"/>
      <c r="K1122" s="1076"/>
      <c r="L1122" s="1076" t="str">
        <f>IFERROR(__xludf.DUMMYFUNCTION("""COMPUTED_VALUE"""),"KLH")</f>
        <v>KLH</v>
      </c>
    </row>
    <row r="1123" customHeight="1" spans="1:12">
      <c r="A1123" s="1076" t="str">
        <f>IFERROR(__xludf.DUMMYFUNCTION("""COMPUTED_VALUE"""),"XL3-MXM-004")</f>
        <v>XL3-MXM-004</v>
      </c>
      <c r="B1123" s="1075" t="str">
        <f>IFERROR(__xludf.DUMMYFUNCTION("""COMPUTED_VALUE"""),"Rơ mooc gắn sau xe máy ")</f>
        <v>Rơ mooc gắn sau xe máy </v>
      </c>
      <c r="C1123" s="1076" t="str">
        <f>IFERROR(__xludf.DUMMYFUNCTION("""COMPUTED_VALUE"""),"XN Chuối LP3")</f>
        <v>XN Chuối LP3</v>
      </c>
      <c r="D1123" s="1076" t="str">
        <f>IFERROR(__xludf.DUMMYFUNCTION("""COMPUTED_VALUE"""),"THACO AGRI")</f>
        <v>THACO AGRI</v>
      </c>
      <c r="E1123" s="1076"/>
      <c r="F1123" s="1076"/>
      <c r="G1123" s="1076"/>
      <c r="H1123" s="1076" t="str">
        <f>IFERROR(__xludf.DUMMYFUNCTION("""COMPUTED_VALUE"""),"DxRxC: 3m*1.6m*1.2m")</f>
        <v>DxRxC: 3m*1.6m*1.2m</v>
      </c>
      <c r="I1123" s="1076"/>
      <c r="J1123" s="1076"/>
      <c r="K1123" s="1076"/>
      <c r="L1123" s="1076" t="str">
        <f>IFERROR(__xludf.DUMMYFUNCTION("""COMPUTED_VALUE"""),"KLH")</f>
        <v>KLH</v>
      </c>
    </row>
    <row r="1124" customHeight="1" spans="1:12">
      <c r="A1124" s="1076" t="str">
        <f>IFERROR(__xludf.DUMMYFUNCTION("""COMPUTED_VALUE"""),"XL3-MXM-005")</f>
        <v>XL3-MXM-005</v>
      </c>
      <c r="B1124" s="1075" t="str">
        <f>IFERROR(__xludf.DUMMYFUNCTION("""COMPUTED_VALUE"""),"Rơ mooc gắn sau xe máy ")</f>
        <v>Rơ mooc gắn sau xe máy </v>
      </c>
      <c r="C1124" s="1076" t="str">
        <f>IFERROR(__xludf.DUMMYFUNCTION("""COMPUTED_VALUE"""),"XN Chuối LP3")</f>
        <v>XN Chuối LP3</v>
      </c>
      <c r="D1124" s="1076" t="str">
        <f>IFERROR(__xludf.DUMMYFUNCTION("""COMPUTED_VALUE"""),"THACO AGRI")</f>
        <v>THACO AGRI</v>
      </c>
      <c r="E1124" s="1076"/>
      <c r="F1124" s="1076"/>
      <c r="G1124" s="1076"/>
      <c r="H1124" s="1076" t="str">
        <f>IFERROR(__xludf.DUMMYFUNCTION("""COMPUTED_VALUE"""),"DxRxC: 3m*1.6m*1.2m")</f>
        <v>DxRxC: 3m*1.6m*1.2m</v>
      </c>
      <c r="I1124" s="1076"/>
      <c r="J1124" s="1076"/>
      <c r="K1124" s="1076"/>
      <c r="L1124" s="1076" t="str">
        <f>IFERROR(__xludf.DUMMYFUNCTION("""COMPUTED_VALUE"""),"KLH")</f>
        <v>KLH</v>
      </c>
    </row>
    <row r="1125" customHeight="1" spans="1:12">
      <c r="A1125" s="1076" t="str">
        <f>IFERROR(__xludf.DUMMYFUNCTION("""COMPUTED_VALUE"""),"XL3-MXM-006")</f>
        <v>XL3-MXM-006</v>
      </c>
      <c r="B1125" s="1075" t="str">
        <f>IFERROR(__xludf.DUMMYFUNCTION("""COMPUTED_VALUE"""),"Rơ mooc gắn sau xe máy ")</f>
        <v>Rơ mooc gắn sau xe máy </v>
      </c>
      <c r="C1125" s="1076" t="str">
        <f>IFERROR(__xludf.DUMMYFUNCTION("""COMPUTED_VALUE"""),"XN Chuối LP3")</f>
        <v>XN Chuối LP3</v>
      </c>
      <c r="D1125" s="1076" t="str">
        <f>IFERROR(__xludf.DUMMYFUNCTION("""COMPUTED_VALUE"""),"THACO AGRI")</f>
        <v>THACO AGRI</v>
      </c>
      <c r="E1125" s="1076"/>
      <c r="F1125" s="1076"/>
      <c r="G1125" s="1076"/>
      <c r="H1125" s="1076" t="str">
        <f>IFERROR(__xludf.DUMMYFUNCTION("""COMPUTED_VALUE"""),"DxRxC: 3m*1.6m*1.2m")</f>
        <v>DxRxC: 3m*1.6m*1.2m</v>
      </c>
      <c r="I1125" s="1076"/>
      <c r="J1125" s="1076"/>
      <c r="K1125" s="1076"/>
      <c r="L1125" s="1076" t="str">
        <f>IFERROR(__xludf.DUMMYFUNCTION("""COMPUTED_VALUE"""),"KLH")</f>
        <v>KLH</v>
      </c>
    </row>
    <row r="1126" customHeight="1" spans="1:12">
      <c r="A1126" s="1076" t="str">
        <f>IFERROR(__xludf.DUMMYFUNCTION("""COMPUTED_VALUE"""),"XL3-MXM-007")</f>
        <v>XL3-MXM-007</v>
      </c>
      <c r="B1126" s="1075" t="str">
        <f>IFERROR(__xludf.DUMMYFUNCTION("""COMPUTED_VALUE"""),"Rơ mooc gắn sau xe máy ")</f>
        <v>Rơ mooc gắn sau xe máy </v>
      </c>
      <c r="C1126" s="1076" t="str">
        <f>IFERROR(__xludf.DUMMYFUNCTION("""COMPUTED_VALUE"""),"XN Chuối LP3")</f>
        <v>XN Chuối LP3</v>
      </c>
      <c r="D1126" s="1076" t="str">
        <f>IFERROR(__xludf.DUMMYFUNCTION("""COMPUTED_VALUE"""),"THACO AGRI")</f>
        <v>THACO AGRI</v>
      </c>
      <c r="E1126" s="1076"/>
      <c r="F1126" s="1076"/>
      <c r="G1126" s="1076"/>
      <c r="H1126" s="1076" t="str">
        <f>IFERROR(__xludf.DUMMYFUNCTION("""COMPUTED_VALUE"""),"DxRxC: 3m*1.6m*1.2m")</f>
        <v>DxRxC: 3m*1.6m*1.2m</v>
      </c>
      <c r="I1126" s="1076"/>
      <c r="J1126" s="1076"/>
      <c r="K1126" s="1076"/>
      <c r="L1126" s="1076" t="str">
        <f>IFERROR(__xludf.DUMMYFUNCTION("""COMPUTED_VALUE"""),"KLH")</f>
        <v>KLH</v>
      </c>
    </row>
    <row r="1127" customHeight="1" spans="1:12">
      <c r="A1127" s="1076" t="str">
        <f>IFERROR(__xludf.DUMMYFUNCTION("""COMPUTED_VALUE"""),"XL3-MXM-008")</f>
        <v>XL3-MXM-008</v>
      </c>
      <c r="B1127" s="1075" t="str">
        <f>IFERROR(__xludf.DUMMYFUNCTION("""COMPUTED_VALUE"""),"Rơ mooc gắn sau xe máy ")</f>
        <v>Rơ mooc gắn sau xe máy </v>
      </c>
      <c r="C1127" s="1076" t="str">
        <f>IFERROR(__xludf.DUMMYFUNCTION("""COMPUTED_VALUE"""),"XN Chuối LP3")</f>
        <v>XN Chuối LP3</v>
      </c>
      <c r="D1127" s="1076" t="str">
        <f>IFERROR(__xludf.DUMMYFUNCTION("""COMPUTED_VALUE"""),"THACO AGRI")</f>
        <v>THACO AGRI</v>
      </c>
      <c r="E1127" s="1076"/>
      <c r="F1127" s="1076"/>
      <c r="G1127" s="1076"/>
      <c r="H1127" s="1076" t="str">
        <f>IFERROR(__xludf.DUMMYFUNCTION("""COMPUTED_VALUE"""),"DxRxC: 3m*1.6m*1.2m")</f>
        <v>DxRxC: 3m*1.6m*1.2m</v>
      </c>
      <c r="I1127" s="1076"/>
      <c r="J1127" s="1076"/>
      <c r="K1127" s="1076"/>
      <c r="L1127" s="1076" t="str">
        <f>IFERROR(__xludf.DUMMYFUNCTION("""COMPUTED_VALUE"""),"KLH")</f>
        <v>KLH</v>
      </c>
    </row>
    <row r="1128" customHeight="1" spans="1:12">
      <c r="A1128" s="1076" t="str">
        <f>IFERROR(__xludf.DUMMYFUNCTION("""COMPUTED_VALUE"""),"XL3-GMĐ-001")</f>
        <v>XL3-GMĐ-001</v>
      </c>
      <c r="B1128" s="1075" t="str">
        <f>IFERROR(__xludf.DUMMYFUNCTION("""COMPUTED_VALUE"""),"Gàu máy đào 05 gia công quy cách 1M")</f>
        <v>Gàu máy đào 05 gia công quy cách 1M</v>
      </c>
      <c r="C1128" s="1076" t="str">
        <f>IFERROR(__xludf.DUMMYFUNCTION("""COMPUTED_VALUE"""),"XN Chuối LP3")</f>
        <v>XN Chuối LP3</v>
      </c>
      <c r="D1128" s="1076" t="str">
        <f>IFERROR(__xludf.DUMMYFUNCTION("""COMPUTED_VALUE"""),"THACO AGRI")</f>
        <v>THACO AGRI</v>
      </c>
      <c r="E1128" s="1076"/>
      <c r="F1128" s="1076"/>
      <c r="G1128" s="1076"/>
      <c r="H1128" s="1076" t="str">
        <f>IFERROR(__xludf.DUMMYFUNCTION("""COMPUTED_VALUE"""),"DxRxC: 1.5m*0.7m*1.3m")</f>
        <v>DxRxC: 1.5m*0.7m*1.3m</v>
      </c>
      <c r="I1128" s="1076"/>
      <c r="J1128" s="1076"/>
      <c r="K1128" s="1076"/>
      <c r="L1128" s="1076" t="str">
        <f>IFERROR(__xludf.DUMMYFUNCTION("""COMPUTED_VALUE"""),"KLH")</f>
        <v>KLH</v>
      </c>
    </row>
    <row r="1129" customHeight="1" spans="1:12">
      <c r="A1129" s="1076" t="str">
        <f>IFERROR(__xludf.DUMMYFUNCTION("""COMPUTED_VALUE"""),"XL3-MKC-001")</f>
        <v>XL3-MKC-001</v>
      </c>
      <c r="B1129" s="1075" t="str">
        <f>IFERROR(__xludf.DUMMYFUNCTION("""COMPUTED_VALUE"""),"Máy kéo chuối (Xăng)")</f>
        <v>Máy kéo chuối (Xăng)</v>
      </c>
      <c r="C1129" s="1076" t="str">
        <f>IFERROR(__xludf.DUMMYFUNCTION("""COMPUTED_VALUE"""),"XN Chuối LP3")</f>
        <v>XN Chuối LP3</v>
      </c>
      <c r="D1129" s="1076" t="str">
        <f>IFERROR(__xludf.DUMMYFUNCTION("""COMPUTED_VALUE"""),"DREAM")</f>
        <v>DREAM</v>
      </c>
      <c r="E1129" s="1076" t="str">
        <f>IFERROR(__xludf.DUMMYFUNCTION("""COMPUTED_VALUE"""),"CGH-MKC-DREAM")</f>
        <v>CGH-MKC-DREAM</v>
      </c>
      <c r="F1129" s="1076"/>
      <c r="G1129" s="1076" t="str">
        <f>IFERROR(__xludf.DUMMYFUNCTION("""COMPUTED_VALUE"""),"2024")</f>
        <v>2024</v>
      </c>
      <c r="H1129" s="1076" t="str">
        <f>IFERROR(__xludf.DUMMYFUNCTION("""COMPUTED_VALUE"""),"125CC-9.25HP")</f>
        <v>125CC-9.25HP</v>
      </c>
      <c r="I1129" s="1076"/>
      <c r="J1129" s="1076"/>
      <c r="K1129" s="1076">
        <f>IFERROR(__xludf.DUMMYFUNCTION("""COMPUTED_VALUE"""),0.56)</f>
        <v>0.56</v>
      </c>
      <c r="L1129" s="1076" t="str">
        <f>IFERROR(__xludf.DUMMYFUNCTION("""COMPUTED_VALUE"""),"KLH")</f>
        <v>KLH</v>
      </c>
    </row>
    <row r="1130" customHeight="1" spans="1:12">
      <c r="A1130" s="1076" t="str">
        <f>IFERROR(__xludf.DUMMYFUNCTION("""COMPUTED_VALUE"""),"XL3-MKC-002")</f>
        <v>XL3-MKC-002</v>
      </c>
      <c r="B1130" s="1075" t="str">
        <f>IFERROR(__xludf.DUMMYFUNCTION("""COMPUTED_VALUE"""),"Máy kéo chuối (Xăng)")</f>
        <v>Máy kéo chuối (Xăng)</v>
      </c>
      <c r="C1130" s="1076" t="str">
        <f>IFERROR(__xludf.DUMMYFUNCTION("""COMPUTED_VALUE"""),"XN Chuối LP3")</f>
        <v>XN Chuối LP3</v>
      </c>
      <c r="D1130" s="1076" t="str">
        <f>IFERROR(__xludf.DUMMYFUNCTION("""COMPUTED_VALUE"""),"DREAM")</f>
        <v>DREAM</v>
      </c>
      <c r="E1130" s="1076" t="str">
        <f>IFERROR(__xludf.DUMMYFUNCTION("""COMPUTED_VALUE"""),"CGH-MKC-DREAM")</f>
        <v>CGH-MKC-DREAM</v>
      </c>
      <c r="F1130" s="1076"/>
      <c r="G1130" s="1076" t="str">
        <f>IFERROR(__xludf.DUMMYFUNCTION("""COMPUTED_VALUE"""),"2024")</f>
        <v>2024</v>
      </c>
      <c r="H1130" s="1076" t="str">
        <f>IFERROR(__xludf.DUMMYFUNCTION("""COMPUTED_VALUE"""),"125CC-9.25HP")</f>
        <v>125CC-9.25HP</v>
      </c>
      <c r="I1130" s="1076" t="str">
        <f>IFERROR(__xludf.DUMMYFUNCTION("""COMPUTED_VALUE"""),"11F06426")</f>
        <v>11F06426</v>
      </c>
      <c r="J1130" s="1076"/>
      <c r="K1130" s="1076">
        <f>IFERROR(__xludf.DUMMYFUNCTION("""COMPUTED_VALUE"""),0.56)</f>
        <v>0.56</v>
      </c>
      <c r="L1130" s="1076" t="str">
        <f>IFERROR(__xludf.DUMMYFUNCTION("""COMPUTED_VALUE"""),"KLH")</f>
        <v>KLH</v>
      </c>
    </row>
    <row r="1131" customHeight="1" spans="1:12">
      <c r="A1131" s="1076" t="str">
        <f>IFERROR(__xludf.DUMMYFUNCTION("""COMPUTED_VALUE"""),"XL3-MKC-003")</f>
        <v>XL3-MKC-003</v>
      </c>
      <c r="B1131" s="1075" t="str">
        <f>IFERROR(__xludf.DUMMYFUNCTION("""COMPUTED_VALUE"""),"Máy kéo chuối (Xăng)")</f>
        <v>Máy kéo chuối (Xăng)</v>
      </c>
      <c r="C1131" s="1076" t="str">
        <f>IFERROR(__xludf.DUMMYFUNCTION("""COMPUTED_VALUE"""),"XN Chuối LP3")</f>
        <v>XN Chuối LP3</v>
      </c>
      <c r="D1131" s="1076" t="str">
        <f>IFERROR(__xludf.DUMMYFUNCTION("""COMPUTED_VALUE"""),"DREAM")</f>
        <v>DREAM</v>
      </c>
      <c r="E1131" s="1076" t="str">
        <f>IFERROR(__xludf.DUMMYFUNCTION("""COMPUTED_VALUE"""),"CGH-MKC-DREAM")</f>
        <v>CGH-MKC-DREAM</v>
      </c>
      <c r="F1131" s="1076"/>
      <c r="G1131" s="1076" t="str">
        <f>IFERROR(__xludf.DUMMYFUNCTION("""COMPUTED_VALUE"""),"2024")</f>
        <v>2024</v>
      </c>
      <c r="H1131" s="1076" t="str">
        <f>IFERROR(__xludf.DUMMYFUNCTION("""COMPUTED_VALUE"""),"125CC-9.25HP")</f>
        <v>125CC-9.25HP</v>
      </c>
      <c r="I1131" s="1076" t="str">
        <f>IFERROR(__xludf.DUMMYFUNCTION("""COMPUTED_VALUE"""),"13F05237")</f>
        <v>13F05237</v>
      </c>
      <c r="J1131" s="1076"/>
      <c r="K1131" s="1076">
        <f>IFERROR(__xludf.DUMMYFUNCTION("""COMPUTED_VALUE"""),0.56)</f>
        <v>0.56</v>
      </c>
      <c r="L1131" s="1076" t="str">
        <f>IFERROR(__xludf.DUMMYFUNCTION("""COMPUTED_VALUE"""),"KLH")</f>
        <v>KLH</v>
      </c>
    </row>
    <row r="1132" customHeight="1" spans="1:12">
      <c r="A1132" s="1076" t="str">
        <f>IFERROR(__xludf.DUMMYFUNCTION("""COMPUTED_VALUE"""),"XL3-MKC-004")</f>
        <v>XL3-MKC-004</v>
      </c>
      <c r="B1132" s="1075" t="str">
        <f>IFERROR(__xludf.DUMMYFUNCTION("""COMPUTED_VALUE"""),"Máy kéo chuối (Xăng)")</f>
        <v>Máy kéo chuối (Xăng)</v>
      </c>
      <c r="C1132" s="1076" t="str">
        <f>IFERROR(__xludf.DUMMYFUNCTION("""COMPUTED_VALUE"""),"XN Chuối LP3")</f>
        <v>XN Chuối LP3</v>
      </c>
      <c r="D1132" s="1076" t="str">
        <f>IFERROR(__xludf.DUMMYFUNCTION("""COMPUTED_VALUE"""),"DREAM")</f>
        <v>DREAM</v>
      </c>
      <c r="E1132" s="1076" t="str">
        <f>IFERROR(__xludf.DUMMYFUNCTION("""COMPUTED_VALUE"""),"CGH-MKC-DREAM")</f>
        <v>CGH-MKC-DREAM</v>
      </c>
      <c r="F1132" s="1076"/>
      <c r="G1132" s="1076" t="str">
        <f>IFERROR(__xludf.DUMMYFUNCTION("""COMPUTED_VALUE"""),"2024")</f>
        <v>2024</v>
      </c>
      <c r="H1132" s="1076" t="str">
        <f>IFERROR(__xludf.DUMMYFUNCTION("""COMPUTED_VALUE"""),"125CC-9.25HP")</f>
        <v>125CC-9.25HP</v>
      </c>
      <c r="I1132" s="1076" t="str">
        <f>IFERROR(__xludf.DUMMYFUNCTION("""COMPUTED_VALUE"""),"2D01842")</f>
        <v>2D01842</v>
      </c>
      <c r="J1132" s="1076"/>
      <c r="K1132" s="1076">
        <f>IFERROR(__xludf.DUMMYFUNCTION("""COMPUTED_VALUE"""),0.56)</f>
        <v>0.56</v>
      </c>
      <c r="L1132" s="1076" t="str">
        <f>IFERROR(__xludf.DUMMYFUNCTION("""COMPUTED_VALUE"""),"KLH")</f>
        <v>KLH</v>
      </c>
    </row>
    <row r="1133" customHeight="1" spans="1:12">
      <c r="A1133" s="1076" t="str">
        <f>IFERROR(__xludf.DUMMYFUNCTION("""COMPUTED_VALUE"""),"XL3-MKC-005")</f>
        <v>XL3-MKC-005</v>
      </c>
      <c r="B1133" s="1075" t="str">
        <f>IFERROR(__xludf.DUMMYFUNCTION("""COMPUTED_VALUE"""),"Máy kéo chuối (Xăng)")</f>
        <v>Máy kéo chuối (Xăng)</v>
      </c>
      <c r="C1133" s="1076" t="str">
        <f>IFERROR(__xludf.DUMMYFUNCTION("""COMPUTED_VALUE"""),"XN Chuối LP3")</f>
        <v>XN Chuối LP3</v>
      </c>
      <c r="D1133" s="1076" t="str">
        <f>IFERROR(__xludf.DUMMYFUNCTION("""COMPUTED_VALUE"""),"DREAM")</f>
        <v>DREAM</v>
      </c>
      <c r="E1133" s="1076" t="str">
        <f>IFERROR(__xludf.DUMMYFUNCTION("""COMPUTED_VALUE"""),"CGH-MKC-DREAM")</f>
        <v>CGH-MKC-DREAM</v>
      </c>
      <c r="F1133" s="1076"/>
      <c r="G1133" s="1076" t="str">
        <f>IFERROR(__xludf.DUMMYFUNCTION("""COMPUTED_VALUE"""),"2024")</f>
        <v>2024</v>
      </c>
      <c r="H1133" s="1076" t="str">
        <f>IFERROR(__xludf.DUMMYFUNCTION("""COMPUTED_VALUE"""),"125cc")</f>
        <v>125cc</v>
      </c>
      <c r="I1133" s="1076" t="str">
        <f>IFERROR(__xludf.DUMMYFUNCTION("""COMPUTED_VALUE"""),"lốc cũ: 12A07675
lốc mới 14.03.2025: 09G72821")</f>
        <v>lốc cũ: 12A07675
lốc mới 14.03.2025: 09G72821</v>
      </c>
      <c r="J1133" s="1076"/>
      <c r="K1133" s="1076">
        <f>IFERROR(__xludf.DUMMYFUNCTION("""COMPUTED_VALUE"""),0.56)</f>
        <v>0.56</v>
      </c>
      <c r="L1133" s="1076" t="str">
        <f>IFERROR(__xludf.DUMMYFUNCTION("""COMPUTED_VALUE"""),"KLH")</f>
        <v>KLH</v>
      </c>
    </row>
    <row r="1134" customHeight="1" spans="1:12">
      <c r="A1134" s="1076" t="str">
        <f>IFERROR(__xludf.DUMMYFUNCTION("""COMPUTED_VALUE"""),"XL3-MKC-006")</f>
        <v>XL3-MKC-006</v>
      </c>
      <c r="B1134" s="1075" t="str">
        <f>IFERROR(__xludf.DUMMYFUNCTION("""COMPUTED_VALUE"""),"Máy kéo chuối (Xăng)")</f>
        <v>Máy kéo chuối (Xăng)</v>
      </c>
      <c r="C1134" s="1076" t="str">
        <f>IFERROR(__xludf.DUMMYFUNCTION("""COMPUTED_VALUE"""),"XN Chuối LP3")</f>
        <v>XN Chuối LP3</v>
      </c>
      <c r="D1134" s="1076" t="str">
        <f>IFERROR(__xludf.DUMMYFUNCTION("""COMPUTED_VALUE"""),"DREAM")</f>
        <v>DREAM</v>
      </c>
      <c r="E1134" s="1076" t="str">
        <f>IFERROR(__xludf.DUMMYFUNCTION("""COMPUTED_VALUE"""),"CGH-MKC-DREAM")</f>
        <v>CGH-MKC-DREAM</v>
      </c>
      <c r="F1134" s="1076"/>
      <c r="G1134" s="1076" t="str">
        <f>IFERROR(__xludf.DUMMYFUNCTION("""COMPUTED_VALUE"""),"2025")</f>
        <v>2025</v>
      </c>
      <c r="H1134" s="1076" t="str">
        <f>IFERROR(__xludf.DUMMYFUNCTION("""COMPUTED_VALUE"""),"125cc")</f>
        <v>125cc</v>
      </c>
      <c r="I1134" s="1076" t="str">
        <f>IFERROR(__xludf.DUMMYFUNCTION("""COMPUTED_VALUE"""),"12K06124")</f>
        <v>12K06124</v>
      </c>
      <c r="J1134" s="1076"/>
      <c r="K1134" s="1076">
        <f>IFERROR(__xludf.DUMMYFUNCTION("""COMPUTED_VALUE"""),0.56)</f>
        <v>0.56</v>
      </c>
      <c r="L1134" s="1076" t="str">
        <f>IFERROR(__xludf.DUMMYFUNCTION("""COMPUTED_VALUE"""),"KLH")</f>
        <v>KLH</v>
      </c>
    </row>
    <row r="1135" customHeight="1" spans="1:12">
      <c r="A1135" s="1076" t="str">
        <f>IFERROR(__xludf.DUMMYFUNCTION("""COMPUTED_VALUE"""),"XL3-MKC-007")</f>
        <v>XL3-MKC-007</v>
      </c>
      <c r="B1135" s="1075" t="str">
        <f>IFERROR(__xludf.DUMMYFUNCTION("""COMPUTED_VALUE"""),"Máy kéo chuối (Xăng)")</f>
        <v>Máy kéo chuối (Xăng)</v>
      </c>
      <c r="C1135" s="1076" t="str">
        <f>IFERROR(__xludf.DUMMYFUNCTION("""COMPUTED_VALUE"""),"XN Chuối LP3")</f>
        <v>XN Chuối LP3</v>
      </c>
      <c r="D1135" s="1076" t="str">
        <f>IFERROR(__xludf.DUMMYFUNCTION("""COMPUTED_VALUE"""),"DREAM")</f>
        <v>DREAM</v>
      </c>
      <c r="E1135" s="1076" t="str">
        <f>IFERROR(__xludf.DUMMYFUNCTION("""COMPUTED_VALUE"""),"CGH-MKC-DREAM")</f>
        <v>CGH-MKC-DREAM</v>
      </c>
      <c r="F1135" s="1076"/>
      <c r="G1135" s="1076" t="str">
        <f>IFERROR(__xludf.DUMMYFUNCTION("""COMPUTED_VALUE"""),"2025")</f>
        <v>2025</v>
      </c>
      <c r="H1135" s="1076" t="str">
        <f>IFERROR(__xludf.DUMMYFUNCTION("""COMPUTED_VALUE"""),"125cc")</f>
        <v>125cc</v>
      </c>
      <c r="I1135" s="1076"/>
      <c r="J1135" s="1076"/>
      <c r="K1135" s="1076">
        <f>IFERROR(__xludf.DUMMYFUNCTION("""COMPUTED_VALUE"""),0.56)</f>
        <v>0.56</v>
      </c>
      <c r="L1135" s="1076" t="str">
        <f>IFERROR(__xludf.DUMMYFUNCTION("""COMPUTED_VALUE"""),"KLH")</f>
        <v>KLH</v>
      </c>
    </row>
    <row r="1136" customHeight="1" spans="1:12">
      <c r="A1136" s="1076" t="str">
        <f>IFERROR(__xludf.DUMMYFUNCTION("""COMPUTED_VALUE"""),"XL3-MKC-008")</f>
        <v>XL3-MKC-008</v>
      </c>
      <c r="B1136" s="1075" t="str">
        <f>IFERROR(__xludf.DUMMYFUNCTION("""COMPUTED_VALUE"""),"Máy kéo chuối (Xăng)")</f>
        <v>Máy kéo chuối (Xăng)</v>
      </c>
      <c r="C1136" s="1076" t="str">
        <f>IFERROR(__xludf.DUMMYFUNCTION("""COMPUTED_VALUE"""),"XN Chuối LP3")</f>
        <v>XN Chuối LP3</v>
      </c>
      <c r="D1136" s="1076" t="str">
        <f>IFERROR(__xludf.DUMMYFUNCTION("""COMPUTED_VALUE"""),"DREAM")</f>
        <v>DREAM</v>
      </c>
      <c r="E1136" s="1076" t="str">
        <f>IFERROR(__xludf.DUMMYFUNCTION("""COMPUTED_VALUE"""),"CGH-MKC-DREAM")</f>
        <v>CGH-MKC-DREAM</v>
      </c>
      <c r="F1136" s="1076"/>
      <c r="G1136" s="1076" t="str">
        <f>IFERROR(__xludf.DUMMYFUNCTION("""COMPUTED_VALUE"""),"2025")</f>
        <v>2025</v>
      </c>
      <c r="H1136" s="1076" t="str">
        <f>IFERROR(__xludf.DUMMYFUNCTION("""COMPUTED_VALUE"""),"125cc")</f>
        <v>125cc</v>
      </c>
      <c r="I1136" s="1076"/>
      <c r="J1136" s="1076"/>
      <c r="K1136" s="1076">
        <f>IFERROR(__xludf.DUMMYFUNCTION("""COMPUTED_VALUE"""),0.56)</f>
        <v>0.56</v>
      </c>
      <c r="L1136" s="1076" t="str">
        <f>IFERROR(__xludf.DUMMYFUNCTION("""COMPUTED_VALUE"""),"KLH")</f>
        <v>KLH</v>
      </c>
    </row>
    <row r="1137" customHeight="1" spans="1:12">
      <c r="A1137" s="1076" t="str">
        <f>IFERROR(__xludf.DUMMYFUNCTION("""COMPUTED_VALUE"""),"XL3-MKC-009")</f>
        <v>XL3-MKC-009</v>
      </c>
      <c r="B1137" s="1075" t="str">
        <f>IFERROR(__xludf.DUMMYFUNCTION("""COMPUTED_VALUE"""),"Máy kéo chuối (Xăng)")</f>
        <v>Máy kéo chuối (Xăng)</v>
      </c>
      <c r="C1137" s="1076" t="str">
        <f>IFERROR(__xludf.DUMMYFUNCTION("""COMPUTED_VALUE"""),"XN Chuối LP3")</f>
        <v>XN Chuối LP3</v>
      </c>
      <c r="D1137" s="1076" t="str">
        <f>IFERROR(__xludf.DUMMYFUNCTION("""COMPUTED_VALUE"""),"DREAM")</f>
        <v>DREAM</v>
      </c>
      <c r="E1137" s="1076" t="str">
        <f>IFERROR(__xludf.DUMMYFUNCTION("""COMPUTED_VALUE"""),"XKC-14")</f>
        <v>XKC-14</v>
      </c>
      <c r="F1137" s="1076"/>
      <c r="G1137" s="1076" t="str">
        <f>IFERROR(__xludf.DUMMYFUNCTION("""COMPUTED_VALUE"""),"2025")</f>
        <v>2025</v>
      </c>
      <c r="H1137" s="1076" t="str">
        <f>IFERROR(__xludf.DUMMYFUNCTION("""COMPUTED_VALUE"""),"125cc")</f>
        <v>125cc</v>
      </c>
      <c r="I1137" s="1076" t="str">
        <f>IFERROR(__xludf.DUMMYFUNCTION("""COMPUTED_VALUE"""),"14")</f>
        <v>14</v>
      </c>
      <c r="J1137" s="1076"/>
      <c r="K1137" s="1076">
        <f>IFERROR(__xludf.DUMMYFUNCTION("""COMPUTED_VALUE"""),0.56)</f>
        <v>0.56</v>
      </c>
      <c r="L1137" s="1076" t="str">
        <f>IFERROR(__xludf.DUMMYFUNCTION("""COMPUTED_VALUE"""),"KLH")</f>
        <v>KLH</v>
      </c>
    </row>
    <row r="1138" customHeight="1" spans="1:12">
      <c r="A1138" s="1076" t="str">
        <f>IFERROR(__xludf.DUMMYFUNCTION("""COMPUTED_VALUE"""),"XL3-MKC-010")</f>
        <v>XL3-MKC-010</v>
      </c>
      <c r="B1138" s="1075" t="str">
        <f>IFERROR(__xludf.DUMMYFUNCTION("""COMPUTED_VALUE"""),"Máy kéo chuối (Xăng)")</f>
        <v>Máy kéo chuối (Xăng)</v>
      </c>
      <c r="C1138" s="1076" t="str">
        <f>IFERROR(__xludf.DUMMYFUNCTION("""COMPUTED_VALUE"""),"XN Chuối LP3")</f>
        <v>XN Chuối LP3</v>
      </c>
      <c r="D1138" s="1076" t="str">
        <f>IFERROR(__xludf.DUMMYFUNCTION("""COMPUTED_VALUE"""),"DREAM")</f>
        <v>DREAM</v>
      </c>
      <c r="E1138" s="1076" t="str">
        <f>IFERROR(__xludf.DUMMYFUNCTION("""COMPUTED_VALUE"""),"XKC-22")</f>
        <v>XKC-22</v>
      </c>
      <c r="F1138" s="1076"/>
      <c r="G1138" s="1076" t="str">
        <f>IFERROR(__xludf.DUMMYFUNCTION("""COMPUTED_VALUE"""),"2025")</f>
        <v>2025</v>
      </c>
      <c r="H1138" s="1076" t="str">
        <f>IFERROR(__xludf.DUMMYFUNCTION("""COMPUTED_VALUE"""),"125cc")</f>
        <v>125cc</v>
      </c>
      <c r="I1138" s="1076"/>
      <c r="J1138" s="1076"/>
      <c r="K1138" s="1076">
        <f>IFERROR(__xludf.DUMMYFUNCTION("""COMPUTED_VALUE"""),0.56)</f>
        <v>0.56</v>
      </c>
      <c r="L1138" s="1076" t="str">
        <f>IFERROR(__xludf.DUMMYFUNCTION("""COMPUTED_VALUE"""),"KLH")</f>
        <v>KLH</v>
      </c>
    </row>
    <row r="1139" customHeight="1" spans="1:12">
      <c r="A1139" s="1076" t="str">
        <f>IFERROR(__xludf.DUMMYFUNCTION("""COMPUTED_VALUE"""),"XL3-MKC-011")</f>
        <v>XL3-MKC-011</v>
      </c>
      <c r="B1139" s="1075" t="str">
        <f>IFERROR(__xludf.DUMMYFUNCTION("""COMPUTED_VALUE"""),"Máy kéo chuối (Xăng)")</f>
        <v>Máy kéo chuối (Xăng)</v>
      </c>
      <c r="C1139" s="1076" t="str">
        <f>IFERROR(__xludf.DUMMYFUNCTION("""COMPUTED_VALUE"""),"XN Chuối LP3")</f>
        <v>XN Chuối LP3</v>
      </c>
      <c r="D1139" s="1076" t="str">
        <f>IFERROR(__xludf.DUMMYFUNCTION("""COMPUTED_VALUE"""),"DREAM")</f>
        <v>DREAM</v>
      </c>
      <c r="E1139" s="1076" t="str">
        <f>IFERROR(__xludf.DUMMYFUNCTION("""COMPUTED_VALUE"""),"XKC-29")</f>
        <v>XKC-29</v>
      </c>
      <c r="F1139" s="1076"/>
      <c r="G1139" s="1076" t="str">
        <f>IFERROR(__xludf.DUMMYFUNCTION("""COMPUTED_VALUE"""),"2025")</f>
        <v>2025</v>
      </c>
      <c r="H1139" s="1076" t="str">
        <f>IFERROR(__xludf.DUMMYFUNCTION("""COMPUTED_VALUE"""),"125cc")</f>
        <v>125cc</v>
      </c>
      <c r="I1139" s="1076"/>
      <c r="J1139" s="1076"/>
      <c r="K1139" s="1076">
        <f>IFERROR(__xludf.DUMMYFUNCTION("""COMPUTED_VALUE"""),0.56)</f>
        <v>0.56</v>
      </c>
      <c r="L1139" s="1076" t="str">
        <f>IFERROR(__xludf.DUMMYFUNCTION("""COMPUTED_VALUE"""),"KLH")</f>
        <v>KLH</v>
      </c>
    </row>
    <row r="1140" customHeight="1" spans="1:12">
      <c r="A1140" s="1076" t="str">
        <f>IFERROR(__xludf.DUMMYFUNCTION("""COMPUTED_VALUE"""),"XL3-MKC-012")</f>
        <v>XL3-MKC-012</v>
      </c>
      <c r="B1140" s="1075" t="str">
        <f>IFERROR(__xludf.DUMMYFUNCTION("""COMPUTED_VALUE"""),"Máy kéo chuối (Điện)")</f>
        <v>Máy kéo chuối (Điện)</v>
      </c>
      <c r="C1140" s="1076" t="str">
        <f>IFERROR(__xludf.DUMMYFUNCTION("""COMPUTED_VALUE"""),"XN Chuối LP3")</f>
        <v>XN Chuối LP3</v>
      </c>
      <c r="D1140" s="1076" t="str">
        <f>IFERROR(__xludf.DUMMYFUNCTION("""COMPUTED_VALUE"""),"ĐC ĐIỆN")</f>
        <v>ĐC ĐIỆN</v>
      </c>
      <c r="E1140" s="1076"/>
      <c r="F1140" s="1076"/>
      <c r="G1140" s="1076" t="str">
        <f>IFERROR(__xludf.DUMMYFUNCTION("""COMPUTED_VALUE"""),"2025")</f>
        <v>2025</v>
      </c>
      <c r="H1140" s="1076" t="str">
        <f>IFERROR(__xludf.DUMMYFUNCTION("""COMPUTED_VALUE"""),"1500W")</f>
        <v>1500W</v>
      </c>
      <c r="I1140" s="1076" t="str">
        <f>IFERROR(__xludf.DUMMYFUNCTION("""COMPUTED_VALUE"""),"60A-4CÁI")</f>
        <v>60A-4CÁI</v>
      </c>
      <c r="J1140" s="1076"/>
      <c r="K1140" s="1076"/>
      <c r="L1140" s="1076" t="str">
        <f>IFERROR(__xludf.DUMMYFUNCTION("""COMPUTED_VALUE"""),"KLH")</f>
        <v>KLH</v>
      </c>
    </row>
    <row r="1141" customHeight="1" spans="1:12">
      <c r="A1141" s="1076" t="str">
        <f>IFERROR(__xludf.DUMMYFUNCTION("""COMPUTED_VALUE"""),"XL3-MKC-013")</f>
        <v>XL3-MKC-013</v>
      </c>
      <c r="B1141" s="1075" t="str">
        <f>IFERROR(__xludf.DUMMYFUNCTION("""COMPUTED_VALUE"""),"Máy kéo chuối (Xăng)")</f>
        <v>Máy kéo chuối (Xăng)</v>
      </c>
      <c r="C1141" s="1076" t="str">
        <f>IFERROR(__xludf.DUMMYFUNCTION("""COMPUTED_VALUE"""),"XN Chuối LP3")</f>
        <v>XN Chuối LP3</v>
      </c>
      <c r="D1141" s="1076" t="str">
        <f>IFERROR(__xludf.DUMMYFUNCTION("""COMPUTED_VALUE"""),"DREAM")</f>
        <v>DREAM</v>
      </c>
      <c r="E1141" s="1076" t="str">
        <f>IFERROR(__xludf.DUMMYFUNCTION("""COMPUTED_VALUE"""),"XKC-41")</f>
        <v>XKC-41</v>
      </c>
      <c r="F1141" s="1076"/>
      <c r="G1141" s="1076" t="str">
        <f>IFERROR(__xludf.DUMMYFUNCTION("""COMPUTED_VALUE"""),"2025")</f>
        <v>2025</v>
      </c>
      <c r="H1141" s="1076" t="str">
        <f>IFERROR(__xludf.DUMMYFUNCTION("""COMPUTED_VALUE"""),"125cc")</f>
        <v>125cc</v>
      </c>
      <c r="I1141" s="1076"/>
      <c r="J1141" s="1076"/>
      <c r="K1141" s="1076">
        <f>IFERROR(__xludf.DUMMYFUNCTION("""COMPUTED_VALUE"""),0.56)</f>
        <v>0.56</v>
      </c>
      <c r="L1141" s="1076" t="str">
        <f>IFERROR(__xludf.DUMMYFUNCTION("""COMPUTED_VALUE"""),"KLH")</f>
        <v>KLH</v>
      </c>
    </row>
    <row r="1142" customHeight="1" spans="1:12">
      <c r="A1142" s="1076" t="str">
        <f>IFERROR(__xludf.DUMMYFUNCTION("""COMPUTED_VALUE"""),"XL3-MKC-014")</f>
        <v>XL3-MKC-014</v>
      </c>
      <c r="B1142" s="1075" t="str">
        <f>IFERROR(__xludf.DUMMYFUNCTION("""COMPUTED_VALUE"""),"Máy kéo chuối (Xăng)")</f>
        <v>Máy kéo chuối (Xăng)</v>
      </c>
      <c r="C1142" s="1076" t="str">
        <f>IFERROR(__xludf.DUMMYFUNCTION("""COMPUTED_VALUE"""),"XN Chuối LP3")</f>
        <v>XN Chuối LP3</v>
      </c>
      <c r="D1142" s="1076"/>
      <c r="E1142" s="1076" t="str">
        <f>IFERROR(__xludf.DUMMYFUNCTION("""COMPUTED_VALUE"""),"XKC-49")</f>
        <v>XKC-49</v>
      </c>
      <c r="F1142" s="1076"/>
      <c r="G1142" s="1076" t="str">
        <f>IFERROR(__xludf.DUMMYFUNCTION("""COMPUTED_VALUE"""),"2025")</f>
        <v>2025</v>
      </c>
      <c r="H1142" s="1076" t="str">
        <f>IFERROR(__xludf.DUMMYFUNCTION("""COMPUTED_VALUE"""),"125cc")</f>
        <v>125cc</v>
      </c>
      <c r="I1142" s="1076"/>
      <c r="J1142" s="1076"/>
      <c r="K1142" s="1076">
        <f>IFERROR(__xludf.DUMMYFUNCTION("""COMPUTED_VALUE"""),0.56)</f>
        <v>0.56</v>
      </c>
      <c r="L1142" s="1076" t="str">
        <f>IFERROR(__xludf.DUMMYFUNCTION("""COMPUTED_VALUE"""),"KLH")</f>
        <v>KLH</v>
      </c>
    </row>
    <row r="1143" customHeight="1" spans="1:12">
      <c r="A1143" s="1076" t="str">
        <f>IFERROR(__xludf.DUMMYFUNCTION("""COMPUTED_VALUE"""),"XL3-MKC-015")</f>
        <v>XL3-MKC-015</v>
      </c>
      <c r="B1143" s="1075" t="str">
        <f>IFERROR(__xludf.DUMMYFUNCTION("""COMPUTED_VALUE"""),"Máy kéo chuối (Xăng)")</f>
        <v>Máy kéo chuối (Xăng)</v>
      </c>
      <c r="C1143" s="1076" t="str">
        <f>IFERROR(__xludf.DUMMYFUNCTION("""COMPUTED_VALUE"""),"XN Chuối LP3")</f>
        <v>XN Chuối LP3</v>
      </c>
      <c r="D1143" s="1076"/>
      <c r="E1143" s="1076" t="str">
        <f>IFERROR(__xludf.DUMMYFUNCTION("""COMPUTED_VALUE"""),"XKC-50")</f>
        <v>XKC-50</v>
      </c>
      <c r="F1143" s="1076"/>
      <c r="G1143" s="1076" t="str">
        <f>IFERROR(__xludf.DUMMYFUNCTION("""COMPUTED_VALUE"""),"2025")</f>
        <v>2025</v>
      </c>
      <c r="H1143" s="1076" t="str">
        <f>IFERROR(__xludf.DUMMYFUNCTION("""COMPUTED_VALUE"""),"125cc")</f>
        <v>125cc</v>
      </c>
      <c r="I1143" s="1076"/>
      <c r="J1143" s="1076"/>
      <c r="K1143" s="1076">
        <f>IFERROR(__xludf.DUMMYFUNCTION("""COMPUTED_VALUE"""),0.56)</f>
        <v>0.56</v>
      </c>
      <c r="L1143" s="1076" t="str">
        <f>IFERROR(__xludf.DUMMYFUNCTION("""COMPUTED_VALUE"""),"KLH")</f>
        <v>KLH</v>
      </c>
    </row>
    <row r="1144" customHeight="1" spans="1:12">
      <c r="A1144" s="1076" t="str">
        <f>IFERROR(__xludf.DUMMYFUNCTION("""COMPUTED_VALUE"""),"XL3-MKC-016")</f>
        <v>XL3-MKC-016</v>
      </c>
      <c r="B1144" s="1075" t="str">
        <f>IFERROR(__xludf.DUMMYFUNCTION("""COMPUTED_VALUE"""),"Máy kéo chuối (Xăng)")</f>
        <v>Máy kéo chuối (Xăng)</v>
      </c>
      <c r="C1144" s="1076" t="str">
        <f>IFERROR(__xludf.DUMMYFUNCTION("""COMPUTED_VALUE"""),"XN Chuối LP3")</f>
        <v>XN Chuối LP3</v>
      </c>
      <c r="D1144" s="1076"/>
      <c r="E1144" s="1076"/>
      <c r="F1144" s="1076"/>
      <c r="G1144" s="1076"/>
      <c r="H1144" s="1076"/>
      <c r="I1144" s="1076"/>
      <c r="J1144" s="1076"/>
      <c r="K1144" s="1076">
        <f>IFERROR(__xludf.DUMMYFUNCTION("""COMPUTED_VALUE"""),0.56)</f>
        <v>0.56</v>
      </c>
      <c r="L1144" s="1076" t="str">
        <f>IFERROR(__xludf.DUMMYFUNCTION("""COMPUTED_VALUE"""),"KLH")</f>
        <v>KLH</v>
      </c>
    </row>
    <row r="1145" customHeight="1" spans="1:12">
      <c r="A1145" s="1076" t="str">
        <f>IFERROR(__xludf.DUMMYFUNCTION("""COMPUTED_VALUE"""),"XL3-MKC-017")</f>
        <v>XL3-MKC-017</v>
      </c>
      <c r="B1145" s="1075" t="str">
        <f>IFERROR(__xludf.DUMMYFUNCTION("""COMPUTED_VALUE"""),"Máy kéo chuối (Điện)")</f>
        <v>Máy kéo chuối (Điện)</v>
      </c>
      <c r="C1145" s="1076" t="str">
        <f>IFERROR(__xludf.DUMMYFUNCTION("""COMPUTED_VALUE"""),"XN Chuối LP3")</f>
        <v>XN Chuối LP3</v>
      </c>
      <c r="D1145" s="1076" t="str">
        <f>IFERROR(__xludf.DUMMYFUNCTION("""COMPUTED_VALUE"""),"ĐC ĐIỆN")</f>
        <v>ĐC ĐIỆN</v>
      </c>
      <c r="E1145" s="1076"/>
      <c r="F1145" s="1076"/>
      <c r="G1145" s="1076" t="str">
        <f>IFERROR(__xludf.DUMMYFUNCTION("""COMPUTED_VALUE"""),"2026")</f>
        <v>2026</v>
      </c>
      <c r="H1145" s="1076" t="str">
        <f>IFERROR(__xludf.DUMMYFUNCTION("""COMPUTED_VALUE"""),"1500W")</f>
        <v>1500W</v>
      </c>
      <c r="I1145" s="1076" t="str">
        <f>IFERROR(__xludf.DUMMYFUNCTION("""COMPUTED_VALUE"""),"60A-4CÁI")</f>
        <v>60A-4CÁI</v>
      </c>
      <c r="J1145" s="1076"/>
      <c r="K1145" s="1076"/>
      <c r="L1145" s="1076" t="str">
        <f>IFERROR(__xludf.DUMMYFUNCTION("""COMPUTED_VALUE"""),"KLH")</f>
        <v>KLH</v>
      </c>
    </row>
    <row r="1146" customHeight="1" spans="1:12">
      <c r="A1146" s="1076" t="str">
        <f>IFERROR(__xludf.DUMMYFUNCTION("""COMPUTED_VALUE"""),"XL3-MBC-002")</f>
        <v>XL3-MBC-002</v>
      </c>
      <c r="B1146" s="1075" t="str">
        <f>IFERROR(__xludf.DUMMYFUNCTION("""COMPUTED_VALUE"""),"Máy băm công nghiệp cố định 30Kw")</f>
        <v>Máy băm công nghiệp cố định 30Kw</v>
      </c>
      <c r="C1146" s="1076" t="str">
        <f>IFERROR(__xludf.DUMMYFUNCTION("""COMPUTED_VALUE"""),"XN Chuối LP3")</f>
        <v>XN Chuối LP3</v>
      </c>
      <c r="D1146" s="1076" t="str">
        <f>IFERROR(__xludf.DUMMYFUNCTION("""COMPUTED_VALUE"""),"THACO AGRI")</f>
        <v>THACO AGRI</v>
      </c>
      <c r="E1146" s="1076" t="str">
        <f>IFERROR(__xludf.DUMMYFUNCTION("""COMPUTED_VALUE"""),"30KW")</f>
        <v>30KW</v>
      </c>
      <c r="F1146" s="1076"/>
      <c r="G1146" s="1076"/>
      <c r="H1146" s="1076" t="str">
        <f>IFERROR(__xludf.DUMMYFUNCTION("""COMPUTED_VALUE"""),"3 dao băm, motor 30kw")</f>
        <v>3 dao băm, motor 30kw</v>
      </c>
      <c r="I1146" s="1076"/>
      <c r="J1146" s="1076"/>
      <c r="K1146" s="1076"/>
      <c r="L1146" s="1076" t="str">
        <f>IFERROR(__xludf.DUMMYFUNCTION("""COMPUTED_VALUE"""),"KLH")</f>
        <v>KLH</v>
      </c>
    </row>
    <row r="1147" customHeight="1" spans="1:12">
      <c r="A1147" s="1076" t="str">
        <f>IFERROR(__xludf.DUMMYFUNCTION("""COMPUTED_VALUE"""),"XL3-MBC-003")</f>
        <v>XL3-MBC-003</v>
      </c>
      <c r="B1147" s="1075" t="str">
        <f>IFERROR(__xludf.DUMMYFUNCTION("""COMPUTED_VALUE"""),"Máy băm công nghiệp cố định 30Kw")</f>
        <v>Máy băm công nghiệp cố định 30Kw</v>
      </c>
      <c r="C1147" s="1076" t="str">
        <f>IFERROR(__xludf.DUMMYFUNCTION("""COMPUTED_VALUE"""),"XN Chuối LP3")</f>
        <v>XN Chuối LP3</v>
      </c>
      <c r="D1147" s="1076" t="str">
        <f>IFERROR(__xludf.DUMMYFUNCTION("""COMPUTED_VALUE"""),"THACO AGRI")</f>
        <v>THACO AGRI</v>
      </c>
      <c r="E1147" s="1076" t="str">
        <f>IFERROR(__xludf.DUMMYFUNCTION("""COMPUTED_VALUE"""),"30KW")</f>
        <v>30KW</v>
      </c>
      <c r="F1147" s="1076"/>
      <c r="G1147" s="1076"/>
      <c r="H1147" s="1076" t="str">
        <f>IFERROR(__xludf.DUMMYFUNCTION("""COMPUTED_VALUE"""),"3 dao băm, motor 30kw")</f>
        <v>3 dao băm, motor 30kw</v>
      </c>
      <c r="I1147" s="1076"/>
      <c r="J1147" s="1076"/>
      <c r="K1147" s="1076"/>
      <c r="L1147" s="1076" t="str">
        <f>IFERROR(__xludf.DUMMYFUNCTION("""COMPUTED_VALUE"""),"KLH")</f>
        <v>KLH</v>
      </c>
    </row>
    <row r="1148" customHeight="1" spans="1:12">
      <c r="A1148" s="1076" t="str">
        <f>IFERROR(__xludf.DUMMYFUNCTION("""COMPUTED_VALUE"""),"XL3-MBC-004")</f>
        <v>XL3-MBC-004</v>
      </c>
      <c r="B1148" s="1075" t="str">
        <f>IFERROR(__xludf.DUMMYFUNCTION("""COMPUTED_VALUE"""),"Máy băm công nghiệp cố định 15Kw")</f>
        <v>Máy băm công nghiệp cố định 15Kw</v>
      </c>
      <c r="C1148" s="1076" t="str">
        <f>IFERROR(__xludf.DUMMYFUNCTION("""COMPUTED_VALUE"""),"XN Chuối LP3")</f>
        <v>XN Chuối LP3</v>
      </c>
      <c r="D1148" s="1076" t="str">
        <f>IFERROR(__xludf.DUMMYFUNCTION("""COMPUTED_VALUE"""),"THACO AGRI")</f>
        <v>THACO AGRI</v>
      </c>
      <c r="E1148" s="1076" t="str">
        <f>IFERROR(__xludf.DUMMYFUNCTION("""COMPUTED_VALUE"""),"15KW")</f>
        <v>15KW</v>
      </c>
      <c r="F1148" s="1076"/>
      <c r="G1148" s="1076" t="str">
        <f>IFERROR(__xludf.DUMMYFUNCTION("""COMPUTED_VALUE"""),"2023")</f>
        <v>2023</v>
      </c>
      <c r="H1148" s="1076" t="str">
        <f>IFERROR(__xludf.DUMMYFUNCTION("""COMPUTED_VALUE"""),"3 dao băm, motor 15kw")</f>
        <v>3 dao băm, motor 15kw</v>
      </c>
      <c r="I1148" s="1076"/>
      <c r="J1148" s="1076"/>
      <c r="K1148" s="1076"/>
      <c r="L1148" s="1076" t="str">
        <f>IFERROR(__xludf.DUMMYFUNCTION("""COMPUTED_VALUE"""),"KLH")</f>
        <v>KLH</v>
      </c>
    </row>
    <row r="1149" customHeight="1" spans="1:12">
      <c r="A1149" s="1076" t="str">
        <f>IFERROR(__xludf.DUMMYFUNCTION("""COMPUTED_VALUE"""),"XL3-MBC-005")</f>
        <v>XL3-MBC-005</v>
      </c>
      <c r="B1149" s="1075" t="str">
        <f>IFERROR(__xludf.DUMMYFUNCTION("""COMPUTED_VALUE"""),"Máy băm cố định")</f>
        <v>Máy băm cố định</v>
      </c>
      <c r="C1149" s="1076" t="str">
        <f>IFERROR(__xludf.DUMMYFUNCTION("""COMPUTED_VALUE"""),"XN Chuối LP3")</f>
        <v>XN Chuối LP3</v>
      </c>
      <c r="D1149" s="1076" t="str">
        <f>IFERROR(__xludf.DUMMYFUNCTION("""COMPUTED_VALUE"""),"THACO AGRI")</f>
        <v>THACO AGRI</v>
      </c>
      <c r="E1149" s="1076" t="str">
        <f>IFERROR(__xludf.DUMMYFUNCTION("""COMPUTED_VALUE"""),"CK-MB-19 ")</f>
        <v>CK-MB-19 </v>
      </c>
      <c r="F1149" s="1076"/>
      <c r="G1149" s="1076" t="str">
        <f>IFERROR(__xludf.DUMMYFUNCTION("""COMPUTED_VALUE"""),"2025")</f>
        <v>2025</v>
      </c>
      <c r="H1149" s="1076"/>
      <c r="I1149" s="1076"/>
      <c r="J1149" s="1076"/>
      <c r="K1149" s="1076"/>
      <c r="L1149" s="1076" t="str">
        <f>IFERROR(__xludf.DUMMYFUNCTION("""COMPUTED_VALUE"""),"KLH")</f>
        <v>KLH</v>
      </c>
    </row>
    <row r="1150" customHeight="1" spans="1:12">
      <c r="A1150" s="1076" t="str">
        <f>IFERROR(__xludf.DUMMYFUNCTION("""COMPUTED_VALUE"""),"XL3-MBC-006")</f>
        <v>XL3-MBC-006</v>
      </c>
      <c r="B1150" s="1075" t="str">
        <f>IFERROR(__xludf.DUMMYFUNCTION("""COMPUTED_VALUE"""),"Máy băm cố định")</f>
        <v>Máy băm cố định</v>
      </c>
      <c r="C1150" s="1076" t="str">
        <f>IFERROR(__xludf.DUMMYFUNCTION("""COMPUTED_VALUE"""),"XN Chuối LP3")</f>
        <v>XN Chuối LP3</v>
      </c>
      <c r="D1150" s="1076"/>
      <c r="E1150" s="1076"/>
      <c r="F1150" s="1076"/>
      <c r="G1150" s="1076"/>
      <c r="H1150" s="1076"/>
      <c r="I1150" s="1076"/>
      <c r="J1150" s="1076"/>
      <c r="K1150" s="1076"/>
      <c r="L1150" s="1076" t="str">
        <f>IFERROR(__xludf.DUMMYFUNCTION("""COMPUTED_VALUE"""),"KLH")</f>
        <v>KLH</v>
      </c>
    </row>
    <row r="1151" customHeight="1" spans="1:12">
      <c r="A1151" s="1076" t="str">
        <f>IFERROR(__xludf.DUMMYFUNCTION("""COMPUTED_VALUE"""),"XL3-MXL-001")</f>
        <v>XL3-MXL-001</v>
      </c>
      <c r="B1151" s="1075" t="str">
        <f>IFERROR(__xludf.DUMMYFUNCTION("""COMPUTED_VALUE"""),"Thiết bị xắt lát")</f>
        <v>Thiết bị xắt lát</v>
      </c>
      <c r="C1151" s="1076" t="str">
        <f>IFERROR(__xludf.DUMMYFUNCTION("""COMPUTED_VALUE"""),"XN Chuối LP3")</f>
        <v>XN Chuối LP3</v>
      </c>
      <c r="D1151" s="1076" t="str">
        <f>IFERROR(__xludf.DUMMYFUNCTION("""COMPUTED_VALUE"""),"THACO AGRI")</f>
        <v>THACO AGRI</v>
      </c>
      <c r="E1151" s="1076"/>
      <c r="F1151" s="1076"/>
      <c r="G1151" s="1076" t="str">
        <f>IFERROR(__xludf.DUMMYFUNCTION("""COMPUTED_VALUE"""),"2024")</f>
        <v>2024</v>
      </c>
      <c r="H1151" s="1076" t="str">
        <f>IFERROR(__xludf.DUMMYFUNCTION("""COMPUTED_VALUE"""),"0.9x1x1m")</f>
        <v>0.9x1x1m</v>
      </c>
      <c r="I1151" s="1076"/>
      <c r="J1151" s="1076"/>
      <c r="K1151" s="1076"/>
      <c r="L1151" s="1076" t="str">
        <f>IFERROR(__xludf.DUMMYFUNCTION("""COMPUTED_VALUE"""),"KLH")</f>
        <v>KLH</v>
      </c>
    </row>
    <row r="1152" customHeight="1" spans="1:12">
      <c r="A1152" s="1076" t="str">
        <f>IFERROR(__xludf.DUMMYFUNCTION("""COMPUTED_VALUE"""),"XL3-GXP-001")</f>
        <v>XL3-GXP-001</v>
      </c>
      <c r="B1152" s="1075" t="str">
        <f>IFERROR(__xludf.DUMMYFUNCTION("""COMPUTED_VALUE"""),"Gàu xúc phân")</f>
        <v>Gàu xúc phân</v>
      </c>
      <c r="C1152" s="1076" t="str">
        <f>IFERROR(__xludf.DUMMYFUNCTION("""COMPUTED_VALUE"""),"XN Chuối LP3")</f>
        <v>XN Chuối LP3</v>
      </c>
      <c r="D1152" s="1076" t="str">
        <f>IFERROR(__xludf.DUMMYFUNCTION("""COMPUTED_VALUE"""),"THACO AGRI")</f>
        <v>THACO AGRI</v>
      </c>
      <c r="E1152" s="1076"/>
      <c r="F1152" s="1076"/>
      <c r="G1152" s="1076" t="str">
        <f>IFERROR(__xludf.DUMMYFUNCTION("""COMPUTED_VALUE"""),"2025")</f>
        <v>2025</v>
      </c>
      <c r="H1152" s="1076"/>
      <c r="I1152" s="1076"/>
      <c r="J1152" s="1076"/>
      <c r="K1152" s="1076"/>
      <c r="L1152" s="1076" t="str">
        <f>IFERROR(__xludf.DUMMYFUNCTION("""COMPUTED_VALUE"""),"KLH")</f>
        <v>KLH</v>
      </c>
    </row>
    <row r="1153" customHeight="1" spans="1:12">
      <c r="A1153" s="1076" t="str">
        <f>IFERROR(__xludf.DUMMYFUNCTION("""COMPUTED_VALUE"""),"XL3-MPT-001")</f>
        <v>XL3-MPT-001</v>
      </c>
      <c r="B1153" s="1075" t="str">
        <f>IFERROR(__xludf.DUMMYFUNCTION("""COMPUTED_VALUE"""),"Máy phun thuốc RELOAD 7045")</f>
        <v>Máy phun thuốc RELOAD 7045</v>
      </c>
      <c r="C1153" s="1076" t="str">
        <f>IFERROR(__xludf.DUMMYFUNCTION("""COMPUTED_VALUE"""),"XN Chuối LP3")</f>
        <v>XN Chuối LP3</v>
      </c>
      <c r="D1153" s="1076" t="str">
        <f>IFERROR(__xludf.DUMMYFUNCTION("""COMPUTED_VALUE"""),"RELOAD")</f>
        <v>RELOAD</v>
      </c>
      <c r="E1153" s="1076" t="str">
        <f>IFERROR(__xludf.DUMMYFUNCTION("""COMPUTED_VALUE"""),"7045")</f>
        <v>7045</v>
      </c>
      <c r="F1153" s="1076"/>
      <c r="G1153" s="1076" t="str">
        <f>IFERROR(__xludf.DUMMYFUNCTION("""COMPUTED_VALUE"""),"2025")</f>
        <v>2025</v>
      </c>
      <c r="H1153" s="1076" t="str">
        <f>IFERROR(__xludf.DUMMYFUNCTION("""COMPUTED_VALUE"""),"7 Hp")</f>
        <v>7 Hp</v>
      </c>
      <c r="I1153" s="1076" t="str">
        <f>IFERROR(__xludf.DUMMYFUNCTION("""COMPUTED_VALUE"""),"2412094A0021")</f>
        <v>2412094A0021</v>
      </c>
      <c r="J1153" s="1076"/>
      <c r="K1153" s="1076"/>
      <c r="L1153" s="1076" t="str">
        <f>IFERROR(__xludf.DUMMYFUNCTION("""COMPUTED_VALUE"""),"KLH")</f>
        <v>KLH</v>
      </c>
    </row>
    <row r="1154" customHeight="1" spans="1:12">
      <c r="A1154" s="1076" t="str">
        <f>IFERROR(__xludf.DUMMYFUNCTION("""COMPUTED_VALUE"""),"XL3-MPT-002")</f>
        <v>XL3-MPT-002</v>
      </c>
      <c r="B1154" s="1075" t="str">
        <f>IFERROR(__xludf.DUMMYFUNCTION("""COMPUTED_VALUE"""),"Máy phun thuốc RELOAD 7045")</f>
        <v>Máy phun thuốc RELOAD 7045</v>
      </c>
      <c r="C1154" s="1076" t="str">
        <f>IFERROR(__xludf.DUMMYFUNCTION("""COMPUTED_VALUE"""),"XN Chuối LP3")</f>
        <v>XN Chuối LP3</v>
      </c>
      <c r="D1154" s="1076" t="str">
        <f>IFERROR(__xludf.DUMMYFUNCTION("""COMPUTED_VALUE"""),"RELOAD")</f>
        <v>RELOAD</v>
      </c>
      <c r="E1154" s="1076" t="str">
        <f>IFERROR(__xludf.DUMMYFUNCTION("""COMPUTED_VALUE"""),"7045")</f>
        <v>7045</v>
      </c>
      <c r="F1154" s="1076"/>
      <c r="G1154" s="1076" t="str">
        <f>IFERROR(__xludf.DUMMYFUNCTION("""COMPUTED_VALUE"""),"2025")</f>
        <v>2025</v>
      </c>
      <c r="H1154" s="1076" t="str">
        <f>IFERROR(__xludf.DUMMYFUNCTION("""COMPUTED_VALUE"""),"7 Hp")</f>
        <v>7 Hp</v>
      </c>
      <c r="I1154" s="1076" t="str">
        <f>IFERROR(__xludf.DUMMYFUNCTION("""COMPUTED_VALUE"""),"2412094A0014")</f>
        <v>2412094A0014</v>
      </c>
      <c r="J1154" s="1076"/>
      <c r="K1154" s="1076"/>
      <c r="L1154" s="1076" t="str">
        <f>IFERROR(__xludf.DUMMYFUNCTION("""COMPUTED_VALUE"""),"KLH")</f>
        <v>KLH</v>
      </c>
    </row>
    <row r="1155" customHeight="1" spans="1:12">
      <c r="A1155" s="1076" t="str">
        <f>IFERROR(__xludf.DUMMYFUNCTION("""COMPUTED_VALUE"""),"XL3-XLT-001")</f>
        <v>XL3-XLT-001</v>
      </c>
      <c r="B1155" s="1075" t="str">
        <f>IFERROR(__xludf.DUMMYFUNCTION("""COMPUTED_VALUE"""),"Xe lu tay")</f>
        <v>Xe lu tay</v>
      </c>
      <c r="C1155" s="1076" t="str">
        <f>IFERROR(__xludf.DUMMYFUNCTION("""COMPUTED_VALUE"""),"XN Chuối LP3")</f>
        <v>XN Chuối LP3</v>
      </c>
      <c r="D1155" s="1076" t="str">
        <f>IFERROR(__xludf.DUMMYFUNCTION("""COMPUTED_VALUE"""),"SAKAI")</f>
        <v>SAKAI</v>
      </c>
      <c r="E1155" s="1076" t="str">
        <f>IFERROR(__xludf.DUMMYFUNCTION("""COMPUTED_VALUE"""),"NHẬT BẢN")</f>
        <v>NHẬT BẢN</v>
      </c>
      <c r="F1155" s="1076"/>
      <c r="G1155" s="1076" t="str">
        <f>IFERROR(__xludf.DUMMYFUNCTION("""COMPUTED_VALUE"""),"HS67ST")</f>
        <v>HS67ST</v>
      </c>
      <c r="H1155" s="1076" t="str">
        <f>IFERROR(__xludf.DUMMYFUNCTION("""COMPUTED_VALUE"""),"710KG")</f>
        <v>710KG</v>
      </c>
      <c r="I1155" s="1076" t="str">
        <f>IFERROR(__xludf.DUMMYFUNCTION("""COMPUTED_VALUE"""),"5HS2-010439")</f>
        <v>5HS2-010439</v>
      </c>
      <c r="J1155" s="1076"/>
      <c r="K1155" s="1076"/>
      <c r="L1155" s="1076" t="str">
        <f>IFERROR(__xludf.DUMMYFUNCTION("""COMPUTED_VALUE"""),"KLH")</f>
        <v>KLH</v>
      </c>
    </row>
    <row r="1156" customHeight="1" spans="1:12">
      <c r="A1156" s="1076" t="str">
        <f>IFERROR(__xludf.DUMMYFUNCTION("""COMPUTED_VALUE"""),"Xí nghiệp chuối LP4")</f>
        <v>Xí nghiệp chuối LP4</v>
      </c>
      <c r="B1156" s="1075"/>
      <c r="C1156" s="1076"/>
      <c r="D1156" s="1076"/>
      <c r="E1156" s="1076"/>
      <c r="F1156" s="1076"/>
      <c r="G1156" s="1076"/>
      <c r="H1156" s="1076"/>
      <c r="I1156" s="1076"/>
      <c r="J1156" s="1076"/>
      <c r="K1156" s="1076"/>
      <c r="L1156" s="1076" t="str">
        <f>IFERROR(__xludf.DUMMYFUNCTION("""COMPUTED_VALUE"""),"KLH")</f>
        <v>KLH</v>
      </c>
    </row>
    <row r="1157" customHeight="1" spans="1:12">
      <c r="A1157" s="1076" t="str">
        <f>IFERROR(__xludf.DUMMYFUNCTION("""COMPUTED_VALUE"""),"XL4-RMC-002")</f>
        <v>XL4-RMC-002</v>
      </c>
      <c r="B1157" s="1075" t="str">
        <f>IFERROR(__xludf.DUMMYFUNCTION("""COMPUTED_VALUE"""),"Rơ mooc thu hoạch")</f>
        <v>Rơ mooc thu hoạch</v>
      </c>
      <c r="C1157" s="1076" t="str">
        <f>IFERROR(__xludf.DUMMYFUNCTION("""COMPUTED_VALUE"""),"XN Chuối LP4")</f>
        <v>XN Chuối LP4</v>
      </c>
      <c r="D1157" s="1076" t="str">
        <f>IFERROR(__xludf.DUMMYFUNCTION("""COMPUTED_VALUE"""),"THACO AGRI")</f>
        <v>THACO AGRI</v>
      </c>
      <c r="E1157" s="1076"/>
      <c r="F1157" s="1076"/>
      <c r="G1157" s="1076"/>
      <c r="H1157" s="1076"/>
      <c r="I1157" s="1076"/>
      <c r="J1157" s="1076"/>
      <c r="K1157" s="1076"/>
      <c r="L1157" s="1076" t="str">
        <f>IFERROR(__xludf.DUMMYFUNCTION("""COMPUTED_VALUE"""),"KLH")</f>
        <v>KLH</v>
      </c>
    </row>
    <row r="1158" customHeight="1" spans="1:12">
      <c r="A1158" s="1076" t="str">
        <f>IFERROR(__xludf.DUMMYFUNCTION("""COMPUTED_VALUE"""),"XL4-RMB-001")</f>
        <v>XL4-RMB-001</v>
      </c>
      <c r="B1158" s="1075" t="str">
        <f>IFERROR(__xludf.DUMMYFUNCTION("""COMPUTED_VALUE"""),"Rơ mooc thùng Ben")</f>
        <v>Rơ mooc thùng Ben</v>
      </c>
      <c r="C1158" s="1076" t="str">
        <f>IFERROR(__xludf.DUMMYFUNCTION("""COMPUTED_VALUE"""),"XN Chuối LP4")</f>
        <v>XN Chuối LP4</v>
      </c>
      <c r="D1158" s="1076" t="str">
        <f>IFERROR(__xludf.DUMMYFUNCTION("""COMPUTED_VALUE"""),"THACO AGRI")</f>
        <v>THACO AGRI</v>
      </c>
      <c r="E1158" s="1076"/>
      <c r="F1158" s="1076"/>
      <c r="G1158" s="1076"/>
      <c r="H1158" s="1076"/>
      <c r="I1158" s="1076"/>
      <c r="J1158" s="1076"/>
      <c r="K1158" s="1076"/>
      <c r="L1158" s="1076" t="str">
        <f>IFERROR(__xludf.DUMMYFUNCTION("""COMPUTED_VALUE"""),"KLH")</f>
        <v>KLH</v>
      </c>
    </row>
    <row r="1159" customHeight="1" spans="1:12">
      <c r="A1159" s="1076" t="str">
        <f>IFERROR(__xludf.DUMMYFUNCTION("""COMPUTED_VALUE"""),"XL4-RMB-002")</f>
        <v>XL4-RMB-002</v>
      </c>
      <c r="B1159" s="1075" t="str">
        <f>IFERROR(__xludf.DUMMYFUNCTION("""COMPUTED_VALUE"""),"Rơ mooc thùng ben")</f>
        <v>Rơ mooc thùng ben</v>
      </c>
      <c r="C1159" s="1076" t="str">
        <f>IFERROR(__xludf.DUMMYFUNCTION("""COMPUTED_VALUE"""),"XN Chuối LP4")</f>
        <v>XN Chuối LP4</v>
      </c>
      <c r="D1159" s="1076" t="str">
        <f>IFERROR(__xludf.DUMMYFUNCTION("""COMPUTED_VALUE"""),"THACO AGRI")</f>
        <v>THACO AGRI</v>
      </c>
      <c r="E1159" s="1076"/>
      <c r="F1159" s="1076"/>
      <c r="G1159" s="1076"/>
      <c r="H1159" s="1076"/>
      <c r="I1159" s="1076"/>
      <c r="J1159" s="1076"/>
      <c r="K1159" s="1076"/>
      <c r="L1159" s="1076" t="str">
        <f>IFERROR(__xludf.DUMMYFUNCTION("""COMPUTED_VALUE"""),"KLH")</f>
        <v>KLH</v>
      </c>
    </row>
    <row r="1160" customHeight="1" spans="1:12">
      <c r="A1160" s="1076" t="str">
        <f>IFERROR(__xludf.DUMMYFUNCTION("""COMPUTED_VALUE"""),"XL4-MXM-002")</f>
        <v>XL4-MXM-002</v>
      </c>
      <c r="B1160" s="1075" t="str">
        <f>IFERROR(__xludf.DUMMYFUNCTION("""COMPUTED_VALUE"""),"Rơ mooc gắn sau xe máy ")</f>
        <v>Rơ mooc gắn sau xe máy </v>
      </c>
      <c r="C1160" s="1076" t="str">
        <f>IFERROR(__xludf.DUMMYFUNCTION("""COMPUTED_VALUE"""),"XN Chuối LP4")</f>
        <v>XN Chuối LP4</v>
      </c>
      <c r="D1160" s="1076" t="str">
        <f>IFERROR(__xludf.DUMMYFUNCTION("""COMPUTED_VALUE"""),"THACO AGRI")</f>
        <v>THACO AGRI</v>
      </c>
      <c r="E1160" s="1076"/>
      <c r="F1160" s="1076"/>
      <c r="G1160" s="1076"/>
      <c r="H1160" s="1076"/>
      <c r="I1160" s="1076"/>
      <c r="J1160" s="1076"/>
      <c r="K1160" s="1076"/>
      <c r="L1160" s="1076" t="str">
        <f>IFERROR(__xludf.DUMMYFUNCTION("""COMPUTED_VALUE"""),"KLH")</f>
        <v>KLH</v>
      </c>
    </row>
    <row r="1161" customHeight="1" spans="1:12">
      <c r="A1161" s="1076" t="str">
        <f>IFERROR(__xludf.DUMMYFUNCTION("""COMPUTED_VALUE"""),"XL4-MXM-003")</f>
        <v>XL4-MXM-003</v>
      </c>
      <c r="B1161" s="1075" t="str">
        <f>IFERROR(__xludf.DUMMYFUNCTION("""COMPUTED_VALUE"""),"Rơ mooc gắn sau xe máy ")</f>
        <v>Rơ mooc gắn sau xe máy </v>
      </c>
      <c r="C1161" s="1076" t="str">
        <f>IFERROR(__xludf.DUMMYFUNCTION("""COMPUTED_VALUE"""),"XN Chuối LP4")</f>
        <v>XN Chuối LP4</v>
      </c>
      <c r="D1161" s="1076" t="str">
        <f>IFERROR(__xludf.DUMMYFUNCTION("""COMPUTED_VALUE"""),"THACO AGRI")</f>
        <v>THACO AGRI</v>
      </c>
      <c r="E1161" s="1076"/>
      <c r="F1161" s="1076"/>
      <c r="G1161" s="1076"/>
      <c r="H1161" s="1076"/>
      <c r="I1161" s="1076"/>
      <c r="J1161" s="1076"/>
      <c r="K1161" s="1076"/>
      <c r="L1161" s="1076" t="str">
        <f>IFERROR(__xludf.DUMMYFUNCTION("""COMPUTED_VALUE"""),"KLH")</f>
        <v>KLH</v>
      </c>
    </row>
    <row r="1162" customHeight="1" spans="1:12">
      <c r="A1162" s="1076" t="str">
        <f>IFERROR(__xludf.DUMMYFUNCTION("""COMPUTED_VALUE"""),"XL4-MXM-004")</f>
        <v>XL4-MXM-004</v>
      </c>
      <c r="B1162" s="1075" t="str">
        <f>IFERROR(__xludf.DUMMYFUNCTION("""COMPUTED_VALUE"""),"Rơ mooc gắn sau xe máy ")</f>
        <v>Rơ mooc gắn sau xe máy </v>
      </c>
      <c r="C1162" s="1076" t="str">
        <f>IFERROR(__xludf.DUMMYFUNCTION("""COMPUTED_VALUE"""),"XN Chuối LP4")</f>
        <v>XN Chuối LP4</v>
      </c>
      <c r="D1162" s="1076" t="str">
        <f>IFERROR(__xludf.DUMMYFUNCTION("""COMPUTED_VALUE"""),"THACO AGRI")</f>
        <v>THACO AGRI</v>
      </c>
      <c r="E1162" s="1076"/>
      <c r="F1162" s="1076"/>
      <c r="G1162" s="1076"/>
      <c r="H1162" s="1076"/>
      <c r="I1162" s="1076"/>
      <c r="J1162" s="1076"/>
      <c r="K1162" s="1076"/>
      <c r="L1162" s="1076" t="str">
        <f>IFERROR(__xludf.DUMMYFUNCTION("""COMPUTED_VALUE"""),"KLH")</f>
        <v>KLH</v>
      </c>
    </row>
    <row r="1163" customHeight="1" spans="1:12">
      <c r="A1163" s="1076" t="str">
        <f>IFERROR(__xludf.DUMMYFUNCTION("""COMPUTED_VALUE"""),"Cây ăn trái")</f>
        <v>Cây ăn trái</v>
      </c>
      <c r="B1163" s="1075"/>
      <c r="C1163" s="1076"/>
      <c r="D1163" s="1076"/>
      <c r="E1163" s="1076"/>
      <c r="F1163" s="1076"/>
      <c r="G1163" s="1076"/>
      <c r="H1163" s="1076"/>
      <c r="I1163" s="1076"/>
      <c r="J1163" s="1076"/>
      <c r="K1163" s="1076"/>
      <c r="L1163" s="1076" t="str">
        <f>IFERROR(__xludf.DUMMYFUNCTION("""COMPUTED_VALUE"""),"KLH")</f>
        <v>KLH</v>
      </c>
    </row>
    <row r="1164" customHeight="1" spans="1:12">
      <c r="A1164" s="1076" t="str">
        <f>IFERROR(__xludf.DUMMYFUNCTION("""COMPUTED_VALUE"""),"XOÀI AD")</f>
        <v>XOÀI AD</v>
      </c>
      <c r="B1164" s="1075"/>
      <c r="C1164" s="1076"/>
      <c r="D1164" s="1076"/>
      <c r="E1164" s="1076"/>
      <c r="F1164" s="1076"/>
      <c r="G1164" s="1076"/>
      <c r="H1164" s="1076"/>
      <c r="I1164" s="1076"/>
      <c r="J1164" s="1076"/>
      <c r="K1164" s="1076"/>
      <c r="L1164" s="1076" t="str">
        <f>IFERROR(__xludf.DUMMYFUNCTION("""COMPUTED_VALUE"""),"KLH")</f>
        <v>KLH</v>
      </c>
    </row>
    <row r="1165" customHeight="1" spans="1:12">
      <c r="A1165" s="1076" t="str">
        <f>IFERROR(__xludf.DUMMYFUNCTION("""COMPUTED_VALUE"""),"XXA-MNO-001")</f>
        <v>XXA-MNO-001</v>
      </c>
      <c r="B1165" s="1075" t="str">
        <f>IFERROR(__xludf.DUMMYFUNCTION("""COMPUTED_VALUE"""),"Máy nổ 140")</f>
        <v>Máy nổ 140</v>
      </c>
      <c r="C1165" s="1076" t="str">
        <f>IFERROR(__xludf.DUMMYFUNCTION("""COMPUTED_VALUE"""),"Xoài AD")</f>
        <v>Xoài AD</v>
      </c>
      <c r="D1165" s="1076" t="str">
        <f>IFERROR(__xludf.DUMMYFUNCTION("""COMPUTED_VALUE"""),"CAMBODIA")</f>
        <v>CAMBODIA</v>
      </c>
      <c r="E1165" s="1076" t="str">
        <f>IFERROR(__xludf.DUMMYFUNCTION("""COMPUTED_VALUE"""),"140")</f>
        <v>140</v>
      </c>
      <c r="F1165" s="1076"/>
      <c r="G1165" s="1076"/>
      <c r="H1165" s="1076"/>
      <c r="I1165" s="1076"/>
      <c r="J1165" s="1076"/>
      <c r="K1165" s="1076">
        <f>IFERROR(__xludf.DUMMYFUNCTION("""COMPUTED_VALUE"""),2)</f>
        <v>2</v>
      </c>
      <c r="L1165" s="1076" t="str">
        <f>IFERROR(__xludf.DUMMYFUNCTION("""COMPUTED_VALUE"""),"KLH")</f>
        <v>KLH</v>
      </c>
    </row>
    <row r="1166" customHeight="1" spans="1:12">
      <c r="A1166" s="1076" t="str">
        <f>IFERROR(__xludf.DUMMYFUNCTION("""COMPUTED_VALUE"""),"XXA-MNO-002")</f>
        <v>XXA-MNO-002</v>
      </c>
      <c r="B1166" s="1075" t="str">
        <f>IFERROR(__xludf.DUMMYFUNCTION("""COMPUTED_VALUE"""),"Máy nổ 140")</f>
        <v>Máy nổ 140</v>
      </c>
      <c r="C1166" s="1076" t="str">
        <f>IFERROR(__xludf.DUMMYFUNCTION("""COMPUTED_VALUE"""),"Xoài AD")</f>
        <v>Xoài AD</v>
      </c>
      <c r="D1166" s="1076" t="str">
        <f>IFERROR(__xludf.DUMMYFUNCTION("""COMPUTED_VALUE"""),"CAMBODIA")</f>
        <v>CAMBODIA</v>
      </c>
      <c r="E1166" s="1076" t="str">
        <f>IFERROR(__xludf.DUMMYFUNCTION("""COMPUTED_VALUE"""),"140")</f>
        <v>140</v>
      </c>
      <c r="F1166" s="1076"/>
      <c r="G1166" s="1076"/>
      <c r="H1166" s="1076"/>
      <c r="I1166" s="1076"/>
      <c r="J1166" s="1076"/>
      <c r="K1166" s="1076">
        <f>IFERROR(__xludf.DUMMYFUNCTION("""COMPUTED_VALUE"""),2)</f>
        <v>2</v>
      </c>
      <c r="L1166" s="1076" t="str">
        <f>IFERROR(__xludf.DUMMYFUNCTION("""COMPUTED_VALUE"""),"KLH")</f>
        <v>KLH</v>
      </c>
    </row>
    <row r="1167" customHeight="1" spans="1:12">
      <c r="A1167" s="1076" t="str">
        <f>IFERROR(__xludf.DUMMYFUNCTION("""COMPUTED_VALUE"""),"XXA-MNO-003")</f>
        <v>XXA-MNO-003</v>
      </c>
      <c r="B1167" s="1075" t="str">
        <f>IFERROR(__xludf.DUMMYFUNCTION("""COMPUTED_VALUE"""),"Máy nổ D8")</f>
        <v>Máy nổ D8</v>
      </c>
      <c r="C1167" s="1076" t="str">
        <f>IFERROR(__xludf.DUMMYFUNCTION("""COMPUTED_VALUE"""),"Xoài AD")</f>
        <v>Xoài AD</v>
      </c>
      <c r="D1167" s="1076" t="str">
        <f>IFERROR(__xludf.DUMMYFUNCTION("""COMPUTED_VALUE"""),"CAMBODIA")</f>
        <v>CAMBODIA</v>
      </c>
      <c r="E1167" s="1076" t="str">
        <f>IFERROR(__xludf.DUMMYFUNCTION("""COMPUTED_VALUE"""),"D8")</f>
        <v>D8</v>
      </c>
      <c r="F1167" s="1076"/>
      <c r="G1167" s="1076"/>
      <c r="H1167" s="1076"/>
      <c r="I1167" s="1076"/>
      <c r="J1167" s="1076"/>
      <c r="K1167" s="1076">
        <f>IFERROR(__xludf.DUMMYFUNCTION("""COMPUTED_VALUE"""),3)</f>
        <v>3</v>
      </c>
      <c r="L1167" s="1076" t="str">
        <f>IFERROR(__xludf.DUMMYFUNCTION("""COMPUTED_VALUE"""),"KLH")</f>
        <v>KLH</v>
      </c>
    </row>
    <row r="1168" customHeight="1" spans="1:12">
      <c r="A1168" s="1076" t="str">
        <f>IFERROR(__xludf.DUMMYFUNCTION("""COMPUTED_VALUE"""),"XXA-MNO-004")</f>
        <v>XXA-MNO-004</v>
      </c>
      <c r="B1168" s="1075" t="str">
        <f>IFERROR(__xludf.DUMMYFUNCTION("""COMPUTED_VALUE"""),"Máy nổ D8")</f>
        <v>Máy nổ D8</v>
      </c>
      <c r="C1168" s="1076" t="str">
        <f>IFERROR(__xludf.DUMMYFUNCTION("""COMPUTED_VALUE"""),"Xoài AD")</f>
        <v>Xoài AD</v>
      </c>
      <c r="D1168" s="1076" t="str">
        <f>IFERROR(__xludf.DUMMYFUNCTION("""COMPUTED_VALUE"""),"CAMBODIA")</f>
        <v>CAMBODIA</v>
      </c>
      <c r="E1168" s="1076" t="str">
        <f>IFERROR(__xludf.DUMMYFUNCTION("""COMPUTED_VALUE"""),"D8")</f>
        <v>D8</v>
      </c>
      <c r="F1168" s="1076"/>
      <c r="G1168" s="1076"/>
      <c r="H1168" s="1076"/>
      <c r="I1168" s="1076"/>
      <c r="J1168" s="1076"/>
      <c r="K1168" s="1076">
        <f>IFERROR(__xludf.DUMMYFUNCTION("""COMPUTED_VALUE"""),3)</f>
        <v>3</v>
      </c>
      <c r="L1168" s="1076" t="str">
        <f>IFERROR(__xludf.DUMMYFUNCTION("""COMPUTED_VALUE"""),"KLH")</f>
        <v>KLH</v>
      </c>
    </row>
    <row r="1169" customHeight="1" spans="1:12">
      <c r="A1169" s="1076" t="str">
        <f>IFERROR(__xludf.DUMMYFUNCTION("""COMPUTED_VALUE"""),"XXA-MNO-005")</f>
        <v>XXA-MNO-005</v>
      </c>
      <c r="B1169" s="1075" t="str">
        <f>IFERROR(__xludf.DUMMYFUNCTION("""COMPUTED_VALUE"""),"Máy nổ D8")</f>
        <v>Máy nổ D8</v>
      </c>
      <c r="C1169" s="1076" t="str">
        <f>IFERROR(__xludf.DUMMYFUNCTION("""COMPUTED_VALUE"""),"Xoài AD")</f>
        <v>Xoài AD</v>
      </c>
      <c r="D1169" s="1076" t="str">
        <f>IFERROR(__xludf.DUMMYFUNCTION("""COMPUTED_VALUE"""),"CAMBODIA")</f>
        <v>CAMBODIA</v>
      </c>
      <c r="E1169" s="1076" t="str">
        <f>IFERROR(__xludf.DUMMYFUNCTION("""COMPUTED_VALUE"""),"D8")</f>
        <v>D8</v>
      </c>
      <c r="F1169" s="1076"/>
      <c r="G1169" s="1076"/>
      <c r="H1169" s="1076"/>
      <c r="I1169" s="1076"/>
      <c r="J1169" s="1076"/>
      <c r="K1169" s="1076">
        <f>IFERROR(__xludf.DUMMYFUNCTION("""COMPUTED_VALUE"""),3)</f>
        <v>3</v>
      </c>
      <c r="L1169" s="1076" t="str">
        <f>IFERROR(__xludf.DUMMYFUNCTION("""COMPUTED_VALUE"""),"KLH")</f>
        <v>KLH</v>
      </c>
    </row>
    <row r="1170" customHeight="1" spans="1:12">
      <c r="A1170" s="1076" t="str">
        <f>IFERROR(__xludf.DUMMYFUNCTION("""COMPUTED_VALUE"""),"XXA-MNO-006")</f>
        <v>XXA-MNO-006</v>
      </c>
      <c r="B1170" s="1075" t="str">
        <f>IFERROR(__xludf.DUMMYFUNCTION("""COMPUTED_VALUE"""),"Máy nổ D8")</f>
        <v>Máy nổ D8</v>
      </c>
      <c r="C1170" s="1076" t="str">
        <f>IFERROR(__xludf.DUMMYFUNCTION("""COMPUTED_VALUE"""),"Xoài AD")</f>
        <v>Xoài AD</v>
      </c>
      <c r="D1170" s="1076" t="str">
        <f>IFERROR(__xludf.DUMMYFUNCTION("""COMPUTED_VALUE"""),"CAMBODIA")</f>
        <v>CAMBODIA</v>
      </c>
      <c r="E1170" s="1076" t="str">
        <f>IFERROR(__xludf.DUMMYFUNCTION("""COMPUTED_VALUE"""),"D8")</f>
        <v>D8</v>
      </c>
      <c r="F1170" s="1076"/>
      <c r="G1170" s="1076"/>
      <c r="H1170" s="1076"/>
      <c r="I1170" s="1076"/>
      <c r="J1170" s="1076"/>
      <c r="K1170" s="1076">
        <f>IFERROR(__xludf.DUMMYFUNCTION("""COMPUTED_VALUE"""),3)</f>
        <v>3</v>
      </c>
      <c r="L1170" s="1076" t="str">
        <f>IFERROR(__xludf.DUMMYFUNCTION("""COMPUTED_VALUE"""),"KLH")</f>
        <v>KLH</v>
      </c>
    </row>
    <row r="1171" customHeight="1" spans="1:12">
      <c r="A1171" s="1076" t="str">
        <f>IFERROR(__xludf.DUMMYFUNCTION("""COMPUTED_VALUE"""),"XXA-MNO-007")</f>
        <v>XXA-MNO-007</v>
      </c>
      <c r="B1171" s="1075" t="str">
        <f>IFERROR(__xludf.DUMMYFUNCTION("""COMPUTED_VALUE"""),"Máy nổ D8")</f>
        <v>Máy nổ D8</v>
      </c>
      <c r="C1171" s="1076" t="str">
        <f>IFERROR(__xludf.DUMMYFUNCTION("""COMPUTED_VALUE"""),"Xoài AD")</f>
        <v>Xoài AD</v>
      </c>
      <c r="D1171" s="1076" t="str">
        <f>IFERROR(__xludf.DUMMYFUNCTION("""COMPUTED_VALUE"""),"CAMBODIA")</f>
        <v>CAMBODIA</v>
      </c>
      <c r="E1171" s="1076" t="str">
        <f>IFERROR(__xludf.DUMMYFUNCTION("""COMPUTED_VALUE"""),"D8")</f>
        <v>D8</v>
      </c>
      <c r="F1171" s="1076"/>
      <c r="G1171" s="1076"/>
      <c r="H1171" s="1076"/>
      <c r="I1171" s="1076"/>
      <c r="J1171" s="1076"/>
      <c r="K1171" s="1076">
        <f>IFERROR(__xludf.DUMMYFUNCTION("""COMPUTED_VALUE"""),3)</f>
        <v>3</v>
      </c>
      <c r="L1171" s="1076" t="str">
        <f>IFERROR(__xludf.DUMMYFUNCTION("""COMPUTED_VALUE"""),"KLH")</f>
        <v>KLH</v>
      </c>
    </row>
    <row r="1172" customHeight="1" spans="1:12">
      <c r="A1172" s="1076" t="str">
        <f>IFERROR(__xludf.DUMMYFUNCTION("""COMPUTED_VALUE"""),"XXA-MNO-008")</f>
        <v>XXA-MNO-008</v>
      </c>
      <c r="B1172" s="1075" t="str">
        <f>IFERROR(__xludf.DUMMYFUNCTION("""COMPUTED_VALUE"""),"Máy nổ D8")</f>
        <v>Máy nổ D8</v>
      </c>
      <c r="C1172" s="1076" t="str">
        <f>IFERROR(__xludf.DUMMYFUNCTION("""COMPUTED_VALUE"""),"Xoài AD")</f>
        <v>Xoài AD</v>
      </c>
      <c r="D1172" s="1076" t="str">
        <f>IFERROR(__xludf.DUMMYFUNCTION("""COMPUTED_VALUE"""),"CAMBODIA")</f>
        <v>CAMBODIA</v>
      </c>
      <c r="E1172" s="1076" t="str">
        <f>IFERROR(__xludf.DUMMYFUNCTION("""COMPUTED_VALUE"""),"D8")</f>
        <v>D8</v>
      </c>
      <c r="F1172" s="1076"/>
      <c r="G1172" s="1076"/>
      <c r="H1172" s="1076"/>
      <c r="I1172" s="1076"/>
      <c r="J1172" s="1076"/>
      <c r="K1172" s="1076">
        <f>IFERROR(__xludf.DUMMYFUNCTION("""COMPUTED_VALUE"""),3)</f>
        <v>3</v>
      </c>
      <c r="L1172" s="1076" t="str">
        <f>IFERROR(__xludf.DUMMYFUNCTION("""COMPUTED_VALUE"""),"KLH")</f>
        <v>KLH</v>
      </c>
    </row>
    <row r="1173" customHeight="1" spans="1:12">
      <c r="A1173" s="1076" t="str">
        <f>IFERROR(__xludf.DUMMYFUNCTION("""COMPUTED_VALUE"""),"XL3-MNO-001")</f>
        <v>XL3-MNO-001</v>
      </c>
      <c r="B1173" s="1075" t="str">
        <f>IFERROR(__xludf.DUMMYFUNCTION("""COMPUTED_VALUE"""),"Máy nổ D8")</f>
        <v>Máy nổ D8</v>
      </c>
      <c r="C1173" s="1076" t="str">
        <f>IFERROR(__xludf.DUMMYFUNCTION("""COMPUTED_VALUE"""),"Xoài AD")</f>
        <v>Xoài AD</v>
      </c>
      <c r="D1173" s="1076" t="str">
        <f>IFERROR(__xludf.DUMMYFUNCTION("""COMPUTED_VALUE"""),"CAMBODIA")</f>
        <v>CAMBODIA</v>
      </c>
      <c r="E1173" s="1076" t="str">
        <f>IFERROR(__xludf.DUMMYFUNCTION("""COMPUTED_VALUE"""),"D8")</f>
        <v>D8</v>
      </c>
      <c r="F1173" s="1076"/>
      <c r="G1173" s="1076"/>
      <c r="H1173" s="1076"/>
      <c r="I1173" s="1076" t="str">
        <f>IFERROR(__xludf.DUMMYFUNCTION("""COMPUTED_VALUE"""),"281906170429")</f>
        <v>281906170429</v>
      </c>
      <c r="J1173" s="1076"/>
      <c r="K1173" s="1076">
        <f>IFERROR(__xludf.DUMMYFUNCTION("""COMPUTED_VALUE"""),3)</f>
        <v>3</v>
      </c>
      <c r="L1173" s="1076" t="str">
        <f>IFERROR(__xludf.DUMMYFUNCTION("""COMPUTED_VALUE"""),"KLH")</f>
        <v>KLH</v>
      </c>
    </row>
    <row r="1174" customHeight="1" spans="1:12">
      <c r="A1174" s="1076" t="str">
        <f>IFERROR(__xludf.DUMMYFUNCTION("""COMPUTED_VALUE"""),"XXA-MNO-010")</f>
        <v>XXA-MNO-010</v>
      </c>
      <c r="B1174" s="1075" t="str">
        <f>IFERROR(__xludf.DUMMYFUNCTION("""COMPUTED_VALUE"""),"Máy nổ D8")</f>
        <v>Máy nổ D8</v>
      </c>
      <c r="C1174" s="1076" t="str">
        <f>IFERROR(__xludf.DUMMYFUNCTION("""COMPUTED_VALUE"""),"Xoài AD")</f>
        <v>Xoài AD</v>
      </c>
      <c r="D1174" s="1076" t="str">
        <f>IFERROR(__xludf.DUMMYFUNCTION("""COMPUTED_VALUE"""),"CAMBODIA")</f>
        <v>CAMBODIA</v>
      </c>
      <c r="E1174" s="1076" t="str">
        <f>IFERROR(__xludf.DUMMYFUNCTION("""COMPUTED_VALUE"""),"D8")</f>
        <v>D8</v>
      </c>
      <c r="F1174" s="1076"/>
      <c r="G1174" s="1076"/>
      <c r="H1174" s="1076"/>
      <c r="I1174" s="1076"/>
      <c r="J1174" s="1076"/>
      <c r="K1174" s="1076">
        <f>IFERROR(__xludf.DUMMYFUNCTION("""COMPUTED_VALUE"""),3)</f>
        <v>3</v>
      </c>
      <c r="L1174" s="1076" t="str">
        <f>IFERROR(__xludf.DUMMYFUNCTION("""COMPUTED_VALUE"""),"KLH")</f>
        <v>KLH</v>
      </c>
    </row>
    <row r="1175" customHeight="1" spans="1:12">
      <c r="A1175" s="1076" t="str">
        <f>IFERROR(__xludf.DUMMYFUNCTION("""COMPUTED_VALUE"""),"XXA-CCO-001")</f>
        <v>XXA-CCO-001</v>
      </c>
      <c r="B1175" s="1075" t="str">
        <f>IFERROR(__xludf.DUMMYFUNCTION("""COMPUTED_VALUE"""),"Thiết bị phay cỏ")</f>
        <v>Thiết bị phay cỏ</v>
      </c>
      <c r="C1175" s="1076" t="str">
        <f>IFERROR(__xludf.DUMMYFUNCTION("""COMPUTED_VALUE"""),"Xoài AD")</f>
        <v>Xoài AD</v>
      </c>
      <c r="D1175" s="1076" t="str">
        <f>IFERROR(__xludf.DUMMYFUNCTION("""COMPUTED_VALUE"""),"CAMBODIA")</f>
        <v>CAMBODIA</v>
      </c>
      <c r="E1175" s="1076" t="str">
        <f>IFERROR(__xludf.DUMMYFUNCTION("""COMPUTED_VALUE"""),"SM140")</f>
        <v>SM140</v>
      </c>
      <c r="F1175" s="1076"/>
      <c r="G1175" s="1076"/>
      <c r="H1175" s="1076"/>
      <c r="I1175" s="1076" t="str">
        <f>IFERROR(__xludf.DUMMYFUNCTION("""COMPUTED_VALUE"""),"SM140")</f>
        <v>SM140</v>
      </c>
      <c r="J1175" s="1076"/>
      <c r="K1175" s="1076"/>
      <c r="L1175" s="1076" t="str">
        <f>IFERROR(__xludf.DUMMYFUNCTION("""COMPUTED_VALUE"""),"KLH")</f>
        <v>KLH</v>
      </c>
    </row>
    <row r="1176" customHeight="1" spans="1:12">
      <c r="A1176" s="1076" t="str">
        <f>IFERROR(__xludf.DUMMYFUNCTION("""COMPUTED_VALUE"""),"XXA-CCO-002")</f>
        <v>XXA-CCO-002</v>
      </c>
      <c r="B1176" s="1075" t="str">
        <f>IFERROR(__xludf.DUMMYFUNCTION("""COMPUTED_VALUE"""),"Thiết bị phay cỏ")</f>
        <v>Thiết bị phay cỏ</v>
      </c>
      <c r="C1176" s="1076" t="str">
        <f>IFERROR(__xludf.DUMMYFUNCTION("""COMPUTED_VALUE"""),"Xoài AD")</f>
        <v>Xoài AD</v>
      </c>
      <c r="D1176" s="1076" t="str">
        <f>IFERROR(__xludf.DUMMYFUNCTION("""COMPUTED_VALUE"""),"CAMBODIA")</f>
        <v>CAMBODIA</v>
      </c>
      <c r="E1176" s="1076" t="str">
        <f>IFERROR(__xludf.DUMMYFUNCTION("""COMPUTED_VALUE"""),"SM140")</f>
        <v>SM140</v>
      </c>
      <c r="F1176" s="1076"/>
      <c r="G1176" s="1076"/>
      <c r="H1176" s="1076"/>
      <c r="I1176" s="1076" t="str">
        <f>IFERROR(__xludf.DUMMYFUNCTION("""COMPUTED_VALUE"""),"SM140")</f>
        <v>SM140</v>
      </c>
      <c r="J1176" s="1076"/>
      <c r="K1176" s="1076"/>
      <c r="L1176" s="1076" t="str">
        <f>IFERROR(__xludf.DUMMYFUNCTION("""COMPUTED_VALUE"""),"KLH")</f>
        <v>KLH</v>
      </c>
    </row>
    <row r="1177" customHeight="1" spans="1:12">
      <c r="A1177" s="1076" t="str">
        <f>IFERROR(__xludf.DUMMYFUNCTION("""COMPUTED_VALUE"""),"XXA-RML-001")</f>
        <v>XXA-RML-001</v>
      </c>
      <c r="B1177" s="1075" t="str">
        <f>IFERROR(__xludf.DUMMYFUNCTION("""COMPUTED_VALUE"""),"Rơ mooc lưới")</f>
        <v>Rơ mooc lưới</v>
      </c>
      <c r="C1177" s="1076" t="str">
        <f>IFERROR(__xludf.DUMMYFUNCTION("""COMPUTED_VALUE"""),"Xoài AD")</f>
        <v>Xoài AD</v>
      </c>
      <c r="D1177" s="1076" t="str">
        <f>IFERROR(__xludf.DUMMYFUNCTION("""COMPUTED_VALUE"""),"THACO AGRI")</f>
        <v>THACO AGRI</v>
      </c>
      <c r="E1177" s="1076"/>
      <c r="F1177" s="1076"/>
      <c r="G1177" s="1076"/>
      <c r="H1177" s="1076"/>
      <c r="I1177" s="1076"/>
      <c r="J1177" s="1076"/>
      <c r="K1177" s="1076"/>
      <c r="L1177" s="1076" t="str">
        <f>IFERROR(__xludf.DUMMYFUNCTION("""COMPUTED_VALUE"""),"KLH")</f>
        <v>KLH</v>
      </c>
    </row>
    <row r="1178" customHeight="1" spans="1:12">
      <c r="A1178" s="1076" t="str">
        <f>IFERROR(__xludf.DUMMYFUNCTION("""COMPUTED_VALUE"""),"XXA-RML-002")</f>
        <v>XXA-RML-002</v>
      </c>
      <c r="B1178" s="1075" t="str">
        <f>IFERROR(__xludf.DUMMYFUNCTION("""COMPUTED_VALUE"""),"Rơ mooc lưới")</f>
        <v>Rơ mooc lưới</v>
      </c>
      <c r="C1178" s="1076" t="str">
        <f>IFERROR(__xludf.DUMMYFUNCTION("""COMPUTED_VALUE"""),"Xoài AD")</f>
        <v>Xoài AD</v>
      </c>
      <c r="D1178" s="1076" t="str">
        <f>IFERROR(__xludf.DUMMYFUNCTION("""COMPUTED_VALUE"""),"THACO AGRI")</f>
        <v>THACO AGRI</v>
      </c>
      <c r="E1178" s="1076"/>
      <c r="F1178" s="1076"/>
      <c r="G1178" s="1076"/>
      <c r="H1178" s="1076"/>
      <c r="I1178" s="1076"/>
      <c r="J1178" s="1076"/>
      <c r="K1178" s="1076"/>
      <c r="L1178" s="1076" t="str">
        <f>IFERROR(__xludf.DUMMYFUNCTION("""COMPUTED_VALUE"""),"KLH")</f>
        <v>KLH</v>
      </c>
    </row>
    <row r="1179" customHeight="1" spans="1:12">
      <c r="A1179" s="1076" t="str">
        <f>IFERROR(__xludf.DUMMYFUNCTION("""COMPUTED_VALUE"""),"XXA-RML-003")</f>
        <v>XXA-RML-003</v>
      </c>
      <c r="B1179" s="1075" t="str">
        <f>IFERROR(__xludf.DUMMYFUNCTION("""COMPUTED_VALUE"""),"Rơ mooc lưới")</f>
        <v>Rơ mooc lưới</v>
      </c>
      <c r="C1179" s="1076" t="str">
        <f>IFERROR(__xludf.DUMMYFUNCTION("""COMPUTED_VALUE"""),"Xoài AD")</f>
        <v>Xoài AD</v>
      </c>
      <c r="D1179" s="1076" t="str">
        <f>IFERROR(__xludf.DUMMYFUNCTION("""COMPUTED_VALUE"""),"THACO AGRI")</f>
        <v>THACO AGRI</v>
      </c>
      <c r="E1179" s="1076"/>
      <c r="F1179" s="1076"/>
      <c r="G1179" s="1076"/>
      <c r="H1179" s="1076" t="str">
        <f>IFERROR(__xludf.DUMMYFUNCTION("""COMPUTED_VALUE"""),"4.5x2.6x2m")</f>
        <v>4.5x2.6x2m</v>
      </c>
      <c r="I1179" s="1076"/>
      <c r="J1179" s="1076"/>
      <c r="K1179" s="1076"/>
      <c r="L1179" s="1076" t="str">
        <f>IFERROR(__xludf.DUMMYFUNCTION("""COMPUTED_VALUE"""),"KLH")</f>
        <v>KLH</v>
      </c>
    </row>
    <row r="1180" customHeight="1" spans="1:12">
      <c r="A1180" s="1076" t="str">
        <f>IFERROR(__xludf.DUMMYFUNCTION("""COMPUTED_VALUE"""),"XXA-RML-004")</f>
        <v>XXA-RML-004</v>
      </c>
      <c r="B1180" s="1075" t="str">
        <f>IFERROR(__xludf.DUMMYFUNCTION("""COMPUTED_VALUE"""),"Rơ mooc lưới")</f>
        <v>Rơ mooc lưới</v>
      </c>
      <c r="C1180" s="1076" t="str">
        <f>IFERROR(__xludf.DUMMYFUNCTION("""COMPUTED_VALUE"""),"Xoài AD")</f>
        <v>Xoài AD</v>
      </c>
      <c r="D1180" s="1076" t="str">
        <f>IFERROR(__xludf.DUMMYFUNCTION("""COMPUTED_VALUE"""),"THACO AGRI")</f>
        <v>THACO AGRI</v>
      </c>
      <c r="E1180" s="1076"/>
      <c r="F1180" s="1076"/>
      <c r="G1180" s="1076"/>
      <c r="H1180" s="1076" t="str">
        <f>IFERROR(__xludf.DUMMYFUNCTION("""COMPUTED_VALUE"""),"4.5x2.6x2m")</f>
        <v>4.5x2.6x2m</v>
      </c>
      <c r="I1180" s="1076"/>
      <c r="J1180" s="1076"/>
      <c r="K1180" s="1076"/>
      <c r="L1180" s="1076" t="str">
        <f>IFERROR(__xludf.DUMMYFUNCTION("""COMPUTED_VALUE"""),"KLH")</f>
        <v>KLH</v>
      </c>
    </row>
    <row r="1181" customHeight="1" spans="1:12">
      <c r="A1181" s="1076" t="str">
        <f>IFERROR(__xludf.DUMMYFUNCTION("""COMPUTED_VALUE"""),"XXA-RML-005")</f>
        <v>XXA-RML-005</v>
      </c>
      <c r="B1181" s="1075" t="str">
        <f>IFERROR(__xludf.DUMMYFUNCTION("""COMPUTED_VALUE"""),"Rơ mooc lưới")</f>
        <v>Rơ mooc lưới</v>
      </c>
      <c r="C1181" s="1076"/>
      <c r="D1181" s="1076" t="str">
        <f>IFERROR(__xludf.DUMMYFUNCTION("""COMPUTED_VALUE"""),"THACO AGRI")</f>
        <v>THACO AGRI</v>
      </c>
      <c r="E1181" s="1076"/>
      <c r="F1181" s="1076"/>
      <c r="G1181" s="1076"/>
      <c r="H1181" s="1076" t="str">
        <f>IFERROR(__xludf.DUMMYFUNCTION("""COMPUTED_VALUE"""),"4.5x2.6x2m")</f>
        <v>4.5x2.6x2m</v>
      </c>
      <c r="I1181" s="1076"/>
      <c r="J1181" s="1076"/>
      <c r="K1181" s="1076"/>
      <c r="L1181" s="1076" t="str">
        <f>IFERROR(__xludf.DUMMYFUNCTION("""COMPUTED_VALUE"""),"KLH")</f>
        <v>KLH</v>
      </c>
    </row>
    <row r="1182" customHeight="1" spans="1:12">
      <c r="A1182" s="1076" t="str">
        <f>IFERROR(__xludf.DUMMYFUNCTION("""COMPUTED_VALUE"""),"XXA-RML-006")</f>
        <v>XXA-RML-006</v>
      </c>
      <c r="B1182" s="1075" t="str">
        <f>IFERROR(__xludf.DUMMYFUNCTION("""COMPUTED_VALUE"""),"Rơ mooc lưới")</f>
        <v>Rơ mooc lưới</v>
      </c>
      <c r="C1182" s="1076"/>
      <c r="D1182" s="1076" t="str">
        <f>IFERROR(__xludf.DUMMYFUNCTION("""COMPUTED_VALUE"""),"THACO AGRI")</f>
        <v>THACO AGRI</v>
      </c>
      <c r="E1182" s="1076"/>
      <c r="F1182" s="1076"/>
      <c r="G1182" s="1076"/>
      <c r="H1182" s="1076" t="str">
        <f>IFERROR(__xludf.DUMMYFUNCTION("""COMPUTED_VALUE"""),"4.5x2.6x2m")</f>
        <v>4.5x2.6x2m</v>
      </c>
      <c r="I1182" s="1076"/>
      <c r="J1182" s="1076"/>
      <c r="K1182" s="1076"/>
      <c r="L1182" s="1076" t="str">
        <f>IFERROR(__xludf.DUMMYFUNCTION("""COMPUTED_VALUE"""),"KLH")</f>
        <v>KLH</v>
      </c>
    </row>
    <row r="1183" customHeight="1" spans="1:12">
      <c r="A1183" s="1076" t="str">
        <f>IFERROR(__xludf.DUMMYFUNCTION("""COMPUTED_VALUE"""),"XXA-RML-007")</f>
        <v>XXA-RML-007</v>
      </c>
      <c r="B1183" s="1075" t="str">
        <f>IFERROR(__xludf.DUMMYFUNCTION("""COMPUTED_VALUE"""),"Rơ mooc lưới")</f>
        <v>Rơ mooc lưới</v>
      </c>
      <c r="C1183" s="1076"/>
      <c r="D1183" s="1076" t="str">
        <f>IFERROR(__xludf.DUMMYFUNCTION("""COMPUTED_VALUE"""),"THACO AGRI")</f>
        <v>THACO AGRI</v>
      </c>
      <c r="E1183" s="1076"/>
      <c r="F1183" s="1076"/>
      <c r="G1183" s="1076"/>
      <c r="H1183" s="1076" t="str">
        <f>IFERROR(__xludf.DUMMYFUNCTION("""COMPUTED_VALUE"""),"4.5x2.6x2m")</f>
        <v>4.5x2.6x2m</v>
      </c>
      <c r="I1183" s="1076"/>
      <c r="J1183" s="1076"/>
      <c r="K1183" s="1076"/>
      <c r="L1183" s="1076" t="str">
        <f>IFERROR(__xludf.DUMMYFUNCTION("""COMPUTED_VALUE"""),"KLH")</f>
        <v>KLH</v>
      </c>
    </row>
    <row r="1184" customHeight="1" spans="1:12">
      <c r="A1184" s="1076" t="str">
        <f>IFERROR(__xludf.DUMMYFUNCTION("""COMPUTED_VALUE"""),"XXA-RML-008")</f>
        <v>XXA-RML-008</v>
      </c>
      <c r="B1184" s="1075" t="str">
        <f>IFERROR(__xludf.DUMMYFUNCTION("""COMPUTED_VALUE"""),"Rơ mooc lưới")</f>
        <v>Rơ mooc lưới</v>
      </c>
      <c r="C1184" s="1076"/>
      <c r="D1184" s="1076" t="str">
        <f>IFERROR(__xludf.DUMMYFUNCTION("""COMPUTED_VALUE"""),"THACO AGRI")</f>
        <v>THACO AGRI</v>
      </c>
      <c r="E1184" s="1076"/>
      <c r="F1184" s="1076"/>
      <c r="G1184" s="1076"/>
      <c r="H1184" s="1076" t="str">
        <f>IFERROR(__xludf.DUMMYFUNCTION("""COMPUTED_VALUE"""),"4.5x2.6x2m")</f>
        <v>4.5x2.6x2m</v>
      </c>
      <c r="I1184" s="1076"/>
      <c r="J1184" s="1076"/>
      <c r="K1184" s="1076"/>
      <c r="L1184" s="1076" t="str">
        <f>IFERROR(__xludf.DUMMYFUNCTION("""COMPUTED_VALUE"""),"KLH")</f>
        <v>KLH</v>
      </c>
    </row>
    <row r="1185" customHeight="1" spans="1:12">
      <c r="A1185" s="1076" t="str">
        <f>IFERROR(__xludf.DUMMYFUNCTION("""COMPUTED_VALUE"""),"XXA-RMC-001")</f>
        <v>XXA-RMC-001</v>
      </c>
      <c r="B1185" s="1075" t="str">
        <f>IFERROR(__xludf.DUMMYFUNCTION("""COMPUTED_VALUE"""),"Rơ mooc thu hoạch xoài")</f>
        <v>Rơ mooc thu hoạch xoài</v>
      </c>
      <c r="C1185" s="1076" t="str">
        <f>IFERROR(__xludf.DUMMYFUNCTION("""COMPUTED_VALUE"""),"Xoài AD")</f>
        <v>Xoài AD</v>
      </c>
      <c r="D1185" s="1076" t="str">
        <f>IFERROR(__xludf.DUMMYFUNCTION("""COMPUTED_VALUE"""),"THACO AGRI")</f>
        <v>THACO AGRI</v>
      </c>
      <c r="E1185" s="1076"/>
      <c r="F1185" s="1076"/>
      <c r="G1185" s="1076"/>
      <c r="H1185" s="1076"/>
      <c r="I1185" s="1076"/>
      <c r="J1185" s="1076"/>
      <c r="K1185" s="1076"/>
      <c r="L1185" s="1076" t="str">
        <f>IFERROR(__xludf.DUMMYFUNCTION("""COMPUTED_VALUE"""),"KLH")</f>
        <v>KLH</v>
      </c>
    </row>
    <row r="1186" customHeight="1" spans="1:12">
      <c r="A1186" s="1076" t="str">
        <f>IFERROR(__xludf.DUMMYFUNCTION("""COMPUTED_VALUE"""),"XXA-RNB-001")</f>
        <v>XXA-RNB-001</v>
      </c>
      <c r="B1186" s="1075" t="str">
        <f>IFERROR(__xludf.DUMMYFUNCTION("""COMPUTED_VALUE"""),"Rơ mooc chở bồn phun thuốc")</f>
        <v>Rơ mooc chở bồn phun thuốc</v>
      </c>
      <c r="C1186" s="1076" t="str">
        <f>IFERROR(__xludf.DUMMYFUNCTION("""COMPUTED_VALUE"""),"Xoài AD")</f>
        <v>Xoài AD</v>
      </c>
      <c r="D1186" s="1076" t="str">
        <f>IFERROR(__xludf.DUMMYFUNCTION("""COMPUTED_VALUE"""),"THACO AGRI")</f>
        <v>THACO AGRI</v>
      </c>
      <c r="E1186" s="1076"/>
      <c r="F1186" s="1076"/>
      <c r="G1186" s="1076"/>
      <c r="H1186" s="1076"/>
      <c r="I1186" s="1076"/>
      <c r="J1186" s="1076"/>
      <c r="K1186" s="1076"/>
      <c r="L1186" s="1076" t="str">
        <f>IFERROR(__xludf.DUMMYFUNCTION("""COMPUTED_VALUE"""),"KLH")</f>
        <v>KLH</v>
      </c>
    </row>
    <row r="1187" customHeight="1" spans="1:12">
      <c r="A1187" s="1076" t="str">
        <f>IFERROR(__xludf.DUMMYFUNCTION("""COMPUTED_VALUE"""),"XXA-RNB-002")</f>
        <v>XXA-RNB-002</v>
      </c>
      <c r="B1187" s="1075" t="str">
        <f>IFERROR(__xludf.DUMMYFUNCTION("""COMPUTED_VALUE"""),"Rơ mooc chở bồn phun thuốc")</f>
        <v>Rơ mooc chở bồn phun thuốc</v>
      </c>
      <c r="C1187" s="1076" t="str">
        <f>IFERROR(__xludf.DUMMYFUNCTION("""COMPUTED_VALUE"""),"Xoài AD")</f>
        <v>Xoài AD</v>
      </c>
      <c r="D1187" s="1076" t="str">
        <f>IFERROR(__xludf.DUMMYFUNCTION("""COMPUTED_VALUE"""),"THACO AGRI")</f>
        <v>THACO AGRI</v>
      </c>
      <c r="E1187" s="1076"/>
      <c r="F1187" s="1076"/>
      <c r="G1187" s="1076"/>
      <c r="H1187" s="1076"/>
      <c r="I1187" s="1076"/>
      <c r="J1187" s="1076"/>
      <c r="K1187" s="1076"/>
      <c r="L1187" s="1076" t="str">
        <f>IFERROR(__xludf.DUMMYFUNCTION("""COMPUTED_VALUE"""),"KLH")</f>
        <v>KLH</v>
      </c>
    </row>
    <row r="1188" customHeight="1" spans="1:12">
      <c r="A1188" s="1076" t="str">
        <f>IFERROR(__xludf.DUMMYFUNCTION("""COMPUTED_VALUE"""),"XXA-RNB-003")</f>
        <v>XXA-RNB-003</v>
      </c>
      <c r="B1188" s="1075" t="str">
        <f>IFERROR(__xludf.DUMMYFUNCTION("""COMPUTED_VALUE"""),"Rơ mooc chở bồn phun thuốc")</f>
        <v>Rơ mooc chở bồn phun thuốc</v>
      </c>
      <c r="C1188" s="1076" t="str">
        <f>IFERROR(__xludf.DUMMYFUNCTION("""COMPUTED_VALUE"""),"Xoài AD")</f>
        <v>Xoài AD</v>
      </c>
      <c r="D1188" s="1076" t="str">
        <f>IFERROR(__xludf.DUMMYFUNCTION("""COMPUTED_VALUE"""),"THACO AGRI")</f>
        <v>THACO AGRI</v>
      </c>
      <c r="E1188" s="1076"/>
      <c r="F1188" s="1076"/>
      <c r="G1188" s="1076" t="str">
        <f>IFERROR(__xludf.DUMMYFUNCTION("""COMPUTED_VALUE"""),"2024")</f>
        <v>2024</v>
      </c>
      <c r="H1188" s="1076" t="str">
        <f>IFERROR(__xludf.DUMMYFUNCTION("""COMPUTED_VALUE"""),"3x2.1x2.1m")</f>
        <v>3x2.1x2.1m</v>
      </c>
      <c r="I1188" s="1076" t="str">
        <f>IFERROR(__xludf.DUMMYFUNCTION("""COMPUTED_VALUE"""),"Kèm bồn 2000L")</f>
        <v>Kèm bồn 2000L</v>
      </c>
      <c r="J1188" s="1076"/>
      <c r="K1188" s="1076"/>
      <c r="L1188" s="1076" t="str">
        <f>IFERROR(__xludf.DUMMYFUNCTION("""COMPUTED_VALUE"""),"KLH")</f>
        <v>KLH</v>
      </c>
    </row>
    <row r="1189" customHeight="1" spans="1:12">
      <c r="A1189" s="1076" t="str">
        <f>IFERROR(__xludf.DUMMYFUNCTION("""COMPUTED_VALUE"""),"XXA-RNB-004")</f>
        <v>XXA-RNB-004</v>
      </c>
      <c r="B1189" s="1075" t="str">
        <f>IFERROR(__xludf.DUMMYFUNCTION("""COMPUTED_VALUE"""),"Rơ mooc chở bồn phun thuốc")</f>
        <v>Rơ mooc chở bồn phun thuốc</v>
      </c>
      <c r="C1189" s="1076" t="str">
        <f>IFERROR(__xludf.DUMMYFUNCTION("""COMPUTED_VALUE"""),"Xoài AD")</f>
        <v>Xoài AD</v>
      </c>
      <c r="D1189" s="1076" t="str">
        <f>IFERROR(__xludf.DUMMYFUNCTION("""COMPUTED_VALUE"""),"THACO AGRI")</f>
        <v>THACO AGRI</v>
      </c>
      <c r="E1189" s="1076"/>
      <c r="F1189" s="1076"/>
      <c r="G1189" s="1076" t="str">
        <f>IFERROR(__xludf.DUMMYFUNCTION("""COMPUTED_VALUE"""),"2024")</f>
        <v>2024</v>
      </c>
      <c r="H1189" s="1076" t="str">
        <f>IFERROR(__xludf.DUMMYFUNCTION("""COMPUTED_VALUE"""),"3.2X2.2X2.3m")</f>
        <v>3.2X2.2X2.3m</v>
      </c>
      <c r="I1189" s="1076"/>
      <c r="J1189" s="1076"/>
      <c r="K1189" s="1076"/>
      <c r="L1189" s="1076" t="str">
        <f>IFERROR(__xludf.DUMMYFUNCTION("""COMPUTED_VALUE"""),"KLH")</f>
        <v>KLH</v>
      </c>
    </row>
    <row r="1190" customHeight="1" spans="1:12">
      <c r="A1190" s="1076" t="str">
        <f>IFERROR(__xludf.DUMMYFUNCTION("""COMPUTED_VALUE"""),"XXA-MCA-001")</f>
        <v>XXA-MCA-001</v>
      </c>
      <c r="B1190" s="1075" t="str">
        <f>IFERROR(__xludf.DUMMYFUNCTION("""COMPUTED_VALUE"""),"Máy cao áp phun thuốc")</f>
        <v>Máy cao áp phun thuốc</v>
      </c>
      <c r="C1190" s="1076" t="str">
        <f>IFERROR(__xludf.DUMMYFUNCTION("""COMPUTED_VALUE"""),"Xoài AD")</f>
        <v>Xoài AD</v>
      </c>
      <c r="D1190" s="1076" t="str">
        <f>IFERROR(__xludf.DUMMYFUNCTION("""COMPUTED_VALUE"""),"CAMBODIA")</f>
        <v>CAMBODIA</v>
      </c>
      <c r="E1190" s="1076" t="str">
        <f>IFERROR(__xludf.DUMMYFUNCTION("""COMPUTED_VALUE"""),"3.5HP")</f>
        <v>3.5HP</v>
      </c>
      <c r="F1190" s="1076"/>
      <c r="G1190" s="1076"/>
      <c r="H1190" s="1076"/>
      <c r="I1190" s="1076"/>
      <c r="J1190" s="1076"/>
      <c r="K1190" s="1076"/>
      <c r="L1190" s="1076" t="str">
        <f>IFERROR(__xludf.DUMMYFUNCTION("""COMPUTED_VALUE"""),"KLH")</f>
        <v>KLH</v>
      </c>
    </row>
    <row r="1191" customHeight="1" spans="1:12">
      <c r="A1191" s="1076" t="str">
        <f>IFERROR(__xludf.DUMMYFUNCTION("""COMPUTED_VALUE"""),"XXA-MCA-002")</f>
        <v>XXA-MCA-002</v>
      </c>
      <c r="B1191" s="1075" t="str">
        <f>IFERROR(__xludf.DUMMYFUNCTION("""COMPUTED_VALUE"""),"Máy cao áp phun thuốc")</f>
        <v>Máy cao áp phun thuốc</v>
      </c>
      <c r="C1191" s="1076" t="str">
        <f>IFERROR(__xludf.DUMMYFUNCTION("""COMPUTED_VALUE"""),"Xoài AD")</f>
        <v>Xoài AD</v>
      </c>
      <c r="D1191" s="1076" t="str">
        <f>IFERROR(__xludf.DUMMYFUNCTION("""COMPUTED_VALUE"""),"CAMBODIA")</f>
        <v>CAMBODIA</v>
      </c>
      <c r="E1191" s="1076" t="str">
        <f>IFERROR(__xludf.DUMMYFUNCTION("""COMPUTED_VALUE"""),"7HP")</f>
        <v>7HP</v>
      </c>
      <c r="F1191" s="1076"/>
      <c r="G1191" s="1076"/>
      <c r="H1191" s="1076"/>
      <c r="I1191" s="1076"/>
      <c r="J1191" s="1076"/>
      <c r="K1191" s="1076"/>
      <c r="L1191" s="1076" t="str">
        <f>IFERROR(__xludf.DUMMYFUNCTION("""COMPUTED_VALUE"""),"KLH")</f>
        <v>KLH</v>
      </c>
    </row>
    <row r="1192" customHeight="1" spans="1:12">
      <c r="A1192" s="1076" t="str">
        <f>IFERROR(__xludf.DUMMYFUNCTION("""COMPUTED_VALUE"""),"XXA-MCA-003")</f>
        <v>XXA-MCA-003</v>
      </c>
      <c r="B1192" s="1075" t="str">
        <f>IFERROR(__xludf.DUMMYFUNCTION("""COMPUTED_VALUE"""),"Máy cao áp phun thuốc")</f>
        <v>Máy cao áp phun thuốc</v>
      </c>
      <c r="C1192" s="1076" t="str">
        <f>IFERROR(__xludf.DUMMYFUNCTION("""COMPUTED_VALUE"""),"Xoài AD")</f>
        <v>Xoài AD</v>
      </c>
      <c r="D1192" s="1076" t="str">
        <f>IFERROR(__xludf.DUMMYFUNCTION("""COMPUTED_VALUE"""),"CAMBODIA")</f>
        <v>CAMBODIA</v>
      </c>
      <c r="E1192" s="1076" t="str">
        <f>IFERROR(__xludf.DUMMYFUNCTION("""COMPUTED_VALUE"""),"3.5HP")</f>
        <v>3.5HP</v>
      </c>
      <c r="F1192" s="1076"/>
      <c r="G1192" s="1076"/>
      <c r="H1192" s="1076"/>
      <c r="I1192" s="1076"/>
      <c r="J1192" s="1076"/>
      <c r="K1192" s="1076"/>
      <c r="L1192" s="1076" t="str">
        <f>IFERROR(__xludf.DUMMYFUNCTION("""COMPUTED_VALUE"""),"KLH")</f>
        <v>KLH</v>
      </c>
    </row>
    <row r="1193" customHeight="1" spans="1:12">
      <c r="A1193" s="1076" t="str">
        <f>IFERROR(__xludf.DUMMYFUNCTION("""COMPUTED_VALUE"""),"XXA-MCA-004")</f>
        <v>XXA-MCA-004</v>
      </c>
      <c r="B1193" s="1075" t="str">
        <f>IFERROR(__xludf.DUMMYFUNCTION("""COMPUTED_VALUE"""),"Máy cao áp phun thuốc")</f>
        <v>Máy cao áp phun thuốc</v>
      </c>
      <c r="C1193" s="1076" t="str">
        <f>IFERROR(__xludf.DUMMYFUNCTION("""COMPUTED_VALUE"""),"Xoài AD")</f>
        <v>Xoài AD</v>
      </c>
      <c r="D1193" s="1076" t="str">
        <f>IFERROR(__xludf.DUMMYFUNCTION("""COMPUTED_VALUE"""),"CAMBODIA")</f>
        <v>CAMBODIA</v>
      </c>
      <c r="E1193" s="1076" t="str">
        <f>IFERROR(__xludf.DUMMYFUNCTION("""COMPUTED_VALUE"""),"3.5HP")</f>
        <v>3.5HP</v>
      </c>
      <c r="F1193" s="1076"/>
      <c r="G1193" s="1076"/>
      <c r="H1193" s="1076"/>
      <c r="I1193" s="1076"/>
      <c r="J1193" s="1076"/>
      <c r="K1193" s="1076"/>
      <c r="L1193" s="1076" t="str">
        <f>IFERROR(__xludf.DUMMYFUNCTION("""COMPUTED_VALUE"""),"KLH")</f>
        <v>KLH</v>
      </c>
    </row>
    <row r="1194" customHeight="1" spans="1:12">
      <c r="A1194" s="1076" t="str">
        <f>IFERROR(__xludf.DUMMYFUNCTION("""COMPUTED_VALUE"""),"XXA-MCA-005")</f>
        <v>XXA-MCA-005</v>
      </c>
      <c r="B1194" s="1075" t="str">
        <f>IFERROR(__xludf.DUMMYFUNCTION("""COMPUTED_VALUE"""),"Máy cao áp phun thuốc")</f>
        <v>Máy cao áp phun thuốc</v>
      </c>
      <c r="C1194" s="1076" t="str">
        <f>IFERROR(__xludf.DUMMYFUNCTION("""COMPUTED_VALUE"""),"Xoài AD")</f>
        <v>Xoài AD</v>
      </c>
      <c r="D1194" s="1076" t="str">
        <f>IFERROR(__xludf.DUMMYFUNCTION("""COMPUTED_VALUE"""),"CAMBODIA")</f>
        <v>CAMBODIA</v>
      </c>
      <c r="E1194" s="1076" t="str">
        <f>IFERROR(__xludf.DUMMYFUNCTION("""COMPUTED_VALUE"""),"3.5HP")</f>
        <v>3.5HP</v>
      </c>
      <c r="F1194" s="1076"/>
      <c r="G1194" s="1076"/>
      <c r="H1194" s="1076"/>
      <c r="I1194" s="1076"/>
      <c r="J1194" s="1076"/>
      <c r="K1194" s="1076"/>
      <c r="L1194" s="1076" t="str">
        <f>IFERROR(__xludf.DUMMYFUNCTION("""COMPUTED_VALUE"""),"KLH")</f>
        <v>KLH</v>
      </c>
    </row>
    <row r="1195" customHeight="1" spans="1:12">
      <c r="A1195" s="1076" t="str">
        <f>IFERROR(__xludf.DUMMYFUNCTION("""COMPUTED_VALUE"""),"XXA-MCO-001")</f>
        <v>XXA-MCO-001</v>
      </c>
      <c r="B1195" s="1075" t="str">
        <f>IFERROR(__xludf.DUMMYFUNCTION("""COMPUTED_VALUE"""),"Máy cuộn cỏ (gắn sau máy kéo)")</f>
        <v>Máy cuộn cỏ (gắn sau máy kéo)</v>
      </c>
      <c r="C1195" s="1076" t="str">
        <f>IFERROR(__xludf.DUMMYFUNCTION("""COMPUTED_VALUE"""),"Xoài AD")</f>
        <v>Xoài AD</v>
      </c>
      <c r="D1195" s="1076" t="str">
        <f>IFERROR(__xludf.DUMMYFUNCTION("""COMPUTED_VALUE"""),"TAMICO-S")</f>
        <v>TAMICO-S</v>
      </c>
      <c r="E1195" s="1076" t="str">
        <f>IFERROR(__xludf.DUMMYFUNCTION("""COMPUTED_VALUE"""),"YTAMI")</f>
        <v>YTAMI</v>
      </c>
      <c r="F1195" s="1076"/>
      <c r="G1195" s="1076" t="str">
        <f>IFERROR(__xludf.DUMMYFUNCTION("""COMPUTED_VALUE"""),"2024")</f>
        <v>2024</v>
      </c>
      <c r="H1195" s="1076" t="str">
        <f>IFERROR(__xludf.DUMMYFUNCTION("""COMPUTED_VALUE"""),"20-50HP")</f>
        <v>20-50HP</v>
      </c>
      <c r="I1195" s="1076" t="str">
        <f>IFERROR(__xludf.DUMMYFUNCTION("""COMPUTED_VALUE"""),"14290")</f>
        <v>14290</v>
      </c>
      <c r="J1195" s="1076"/>
      <c r="K1195" s="1076">
        <f>IFERROR(__xludf.DUMMYFUNCTION("""COMPUTED_VALUE"""),0.3)</f>
        <v>0.3</v>
      </c>
      <c r="L1195" s="1076" t="str">
        <f>IFERROR(__xludf.DUMMYFUNCTION("""COMPUTED_VALUE"""),"KLH")</f>
        <v>KLH</v>
      </c>
    </row>
    <row r="1196" customHeight="1" spans="1:12">
      <c r="A1196" s="1076" t="str">
        <f>IFERROR(__xludf.DUMMYFUNCTION("""COMPUTED_VALUE"""),"XXA-MCO-002")</f>
        <v>XXA-MCO-002</v>
      </c>
      <c r="B1196" s="1075" t="str">
        <f>IFERROR(__xludf.DUMMYFUNCTION("""COMPUTED_VALUE"""),"Máy cuộn cỏ (gắn sau máy kéo)")</f>
        <v>Máy cuộn cỏ (gắn sau máy kéo)</v>
      </c>
      <c r="C1196" s="1076" t="str">
        <f>IFERROR(__xludf.DUMMYFUNCTION("""COMPUTED_VALUE"""),"Xoài AD")</f>
        <v>Xoài AD</v>
      </c>
      <c r="D1196" s="1076" t="str">
        <f>IFERROR(__xludf.DUMMYFUNCTION("""COMPUTED_VALUE"""),"TAMICO-S")</f>
        <v>TAMICO-S</v>
      </c>
      <c r="E1196" s="1076" t="str">
        <f>IFERROR(__xludf.DUMMYFUNCTION("""COMPUTED_VALUE"""),"YTAMI")</f>
        <v>YTAMI</v>
      </c>
      <c r="F1196" s="1076"/>
      <c r="G1196" s="1076" t="str">
        <f>IFERROR(__xludf.DUMMYFUNCTION("""COMPUTED_VALUE"""),"2024")</f>
        <v>2024</v>
      </c>
      <c r="H1196" s="1076" t="str">
        <f>IFERROR(__xludf.DUMMYFUNCTION("""COMPUTED_VALUE"""),"20-50HP")</f>
        <v>20-50HP</v>
      </c>
      <c r="I1196" s="1076" t="str">
        <f>IFERROR(__xludf.DUMMYFUNCTION("""COMPUTED_VALUE"""),"630745")</f>
        <v>630745</v>
      </c>
      <c r="J1196" s="1076"/>
      <c r="K1196" s="1076">
        <f>IFERROR(__xludf.DUMMYFUNCTION("""COMPUTED_VALUE"""),0.3)</f>
        <v>0.3</v>
      </c>
      <c r="L1196" s="1076" t="str">
        <f>IFERROR(__xludf.DUMMYFUNCTION("""COMPUTED_VALUE"""),"KLH")</f>
        <v>KLH</v>
      </c>
    </row>
    <row r="1197" customHeight="1" spans="1:12">
      <c r="A1197" s="1076" t="str">
        <f>IFERROR(__xludf.DUMMYFUNCTION("""COMPUTED_VALUE"""),"XXA-XOI-001")</f>
        <v>XXA-XOI-001</v>
      </c>
      <c r="B1197" s="1075" t="str">
        <f>IFERROR(__xludf.DUMMYFUNCTION("""COMPUTED_VALUE"""),"Thiết bị xới đất 2.2m")</f>
        <v>Thiết bị xới đất 2.2m</v>
      </c>
      <c r="C1197" s="1076" t="str">
        <f>IFERROR(__xludf.DUMMYFUNCTION("""COMPUTED_VALUE"""),"Xoài AD")</f>
        <v>Xoài AD</v>
      </c>
      <c r="D1197" s="1076" t="str">
        <f>IFERROR(__xludf.DUMMYFUNCTION("""COMPUTED_VALUE"""),"CAMBODIA")</f>
        <v>CAMBODIA</v>
      </c>
      <c r="E1197" s="1076" t="str">
        <f>IFERROR(__xludf.DUMMYFUNCTION("""COMPUTED_VALUE"""),"2.2m")</f>
        <v>2.2m</v>
      </c>
      <c r="F1197" s="1076"/>
      <c r="G1197" s="1076"/>
      <c r="H1197" s="1076"/>
      <c r="I1197" s="1076"/>
      <c r="J1197" s="1076"/>
      <c r="K1197" s="1076"/>
      <c r="L1197" s="1076" t="str">
        <f>IFERROR(__xludf.DUMMYFUNCTION("""COMPUTED_VALUE"""),"KLH")</f>
        <v>KLH</v>
      </c>
    </row>
    <row r="1198" customHeight="1" spans="1:12">
      <c r="A1198" s="1076" t="str">
        <f>IFERROR(__xludf.DUMMYFUNCTION("""COMPUTED_VALUE"""),"XXA-DCR-001")</f>
        <v>XXA-DCR-001</v>
      </c>
      <c r="B1198" s="1075" t="str">
        <f>IFERROR(__xludf.DUMMYFUNCTION("""COMPUTED_VALUE"""),"Thiết bị cày đánh rãnh bón phân")</f>
        <v>Thiết bị cày đánh rãnh bón phân</v>
      </c>
      <c r="C1198" s="1076" t="str">
        <f>IFERROR(__xludf.DUMMYFUNCTION("""COMPUTED_VALUE"""),"Xoài AD")</f>
        <v>Xoài AD</v>
      </c>
      <c r="D1198" s="1076" t="str">
        <f>IFERROR(__xludf.DUMMYFUNCTION("""COMPUTED_VALUE"""),"THACO AGRI")</f>
        <v>THACO AGRI</v>
      </c>
      <c r="E1198" s="1076" t="str">
        <f>IFERROR(__xludf.DUMMYFUNCTION("""COMPUTED_VALUE"""),"CK-MLB-01")</f>
        <v>CK-MLB-01</v>
      </c>
      <c r="F1198" s="1076"/>
      <c r="G1198" s="1076" t="str">
        <f>IFERROR(__xludf.DUMMYFUNCTION("""COMPUTED_VALUE"""),"2024")</f>
        <v>2024</v>
      </c>
      <c r="H1198" s="1076" t="str">
        <f>IFERROR(__xludf.DUMMYFUNCTION("""COMPUTED_VALUE"""),"KT: 1x4x1.2 (DxRxC)")</f>
        <v>KT: 1x4x1.2 (DxRxC)</v>
      </c>
      <c r="I1198" s="1076"/>
      <c r="J1198" s="1076"/>
      <c r="K1198" s="1076"/>
      <c r="L1198" s="1076" t="str">
        <f>IFERROR(__xludf.DUMMYFUNCTION("""COMPUTED_VALUE"""),"KLH")</f>
        <v>KLH</v>
      </c>
    </row>
    <row r="1199" customHeight="1" spans="1:12">
      <c r="A1199" s="1076" t="str">
        <f>IFERROR(__xludf.DUMMYFUNCTION("""COMPUTED_VALUE"""),"XXA-MBX-001")</f>
        <v>XXA-MBX-001</v>
      </c>
      <c r="B1199" s="1075" t="str">
        <f>IFERROR(__xludf.DUMMYFUNCTION("""COMPUTED_VALUE"""),"Thiết bị băm cành xoài")</f>
        <v>Thiết bị băm cành xoài</v>
      </c>
      <c r="C1199" s="1076" t="str">
        <f>IFERROR(__xludf.DUMMYFUNCTION("""COMPUTED_VALUE"""),"Xoài AD")</f>
        <v>Xoài AD</v>
      </c>
      <c r="D1199" s="1076" t="str">
        <f>IFERROR(__xludf.DUMMYFUNCTION("""COMPUTED_VALUE"""),"THACO AGRI")</f>
        <v>THACO AGRI</v>
      </c>
      <c r="E1199" s="1076" t="str">
        <f>IFERROR(__xludf.DUMMYFUNCTION("""COMPUTED_VALUE"""),"CK-MBC-01")</f>
        <v>CK-MBC-01</v>
      </c>
      <c r="F1199" s="1076"/>
      <c r="G1199" s="1076" t="str">
        <f>IFERROR(__xludf.DUMMYFUNCTION("""COMPUTED_VALUE"""),"2024")</f>
        <v>2024</v>
      </c>
      <c r="H1199" s="1076" t="str">
        <f>IFERROR(__xludf.DUMMYFUNCTION("""COMPUTED_VALUE"""),"3x1.7x2.1 ")</f>
        <v>3x1.7x2.1 </v>
      </c>
      <c r="I1199" s="1076"/>
      <c r="J1199" s="1076"/>
      <c r="K1199" s="1076"/>
      <c r="L1199" s="1076" t="str">
        <f>IFERROR(__xludf.DUMMYFUNCTION("""COMPUTED_VALUE"""),"KLH")</f>
        <v>KLH</v>
      </c>
    </row>
    <row r="1200" customHeight="1" spans="1:12">
      <c r="A1200" s="1076" t="str">
        <f>IFERROR(__xludf.DUMMYFUNCTION("""COMPUTED_VALUE"""),"XXA-MLB-001")</f>
        <v>XXA-MLB-001</v>
      </c>
      <c r="B1200" s="1075" t="str">
        <f>IFERROR(__xludf.DUMMYFUNCTION("""COMPUTED_VALUE"""),"Rơ mooc lưới ben")</f>
        <v>Rơ mooc lưới ben</v>
      </c>
      <c r="C1200" s="1076" t="str">
        <f>IFERROR(__xludf.DUMMYFUNCTION("""COMPUTED_VALUE"""),"Xoài AD")</f>
        <v>Xoài AD</v>
      </c>
      <c r="D1200" s="1076" t="str">
        <f>IFERROR(__xludf.DUMMYFUNCTION("""COMPUTED_VALUE"""),"THACO AGRI")</f>
        <v>THACO AGRI</v>
      </c>
      <c r="E1200" s="1076" t="str">
        <f>IFERROR(__xludf.DUMMYFUNCTION("""COMPUTED_VALUE"""),"CK-MLB-01")</f>
        <v>CK-MLB-01</v>
      </c>
      <c r="F1200" s="1076"/>
      <c r="G1200" s="1076" t="str">
        <f>IFERROR(__xludf.DUMMYFUNCTION("""COMPUTED_VALUE"""),"2024")</f>
        <v>2024</v>
      </c>
      <c r="H1200" s="1076" t="str">
        <f>IFERROR(__xludf.DUMMYFUNCTION("""COMPUTED_VALUE"""),"5.4x2x2.5")</f>
        <v>5.4x2x2.5</v>
      </c>
      <c r="I1200" s="1076"/>
      <c r="J1200" s="1076"/>
      <c r="K1200" s="1076"/>
      <c r="L1200" s="1076" t="str">
        <f>IFERROR(__xludf.DUMMYFUNCTION("""COMPUTED_VALUE"""),"KLH")</f>
        <v>KLH</v>
      </c>
    </row>
    <row r="1201" customHeight="1" spans="1:12">
      <c r="A1201" s="1076" t="str">
        <f>IFERROR(__xludf.DUMMYFUNCTION("""COMPUTED_VALUE"""),"XXA-CPP-001")</f>
        <v>XXA-CPP-001</v>
      </c>
      <c r="B1201" s="1075" t="str">
        <f>IFERROR(__xludf.DUMMYFUNCTION("""COMPUTED_VALUE"""),"TB chở phụ phẩm")</f>
        <v>TB chở phụ phẩm</v>
      </c>
      <c r="C1201" s="1076" t="str">
        <f>IFERROR(__xludf.DUMMYFUNCTION("""COMPUTED_VALUE"""),"Xoài AD")</f>
        <v>Xoài AD</v>
      </c>
      <c r="D1201" s="1076" t="str">
        <f>IFERROR(__xludf.DUMMYFUNCTION("""COMPUTED_VALUE"""),"THACO AGRI")</f>
        <v>THACO AGRI</v>
      </c>
      <c r="E1201" s="1076" t="str">
        <f>IFERROR(__xludf.DUMMYFUNCTION("""COMPUTED_VALUE"""),"CGH")</f>
        <v>CGH</v>
      </c>
      <c r="F1201" s="1076"/>
      <c r="G1201" s="1076" t="str">
        <f>IFERROR(__xludf.DUMMYFUNCTION("""COMPUTED_VALUE"""),"2024")</f>
        <v>2024</v>
      </c>
      <c r="H1201" s="1076" t="str">
        <f>IFERROR(__xludf.DUMMYFUNCTION("""COMPUTED_VALUE"""),"2.3x0.65x1.05 (DxRxC)")</f>
        <v>2.3x0.65x1.05 (DxRxC)</v>
      </c>
      <c r="I1201" s="1076"/>
      <c r="J1201" s="1076"/>
      <c r="K1201" s="1076"/>
      <c r="L1201" s="1076" t="str">
        <f>IFERROR(__xludf.DUMMYFUNCTION("""COMPUTED_VALUE"""),"KLH")</f>
        <v>KLH</v>
      </c>
    </row>
    <row r="1202" customHeight="1" spans="1:12">
      <c r="A1202" s="1076" t="str">
        <f>IFERROR(__xludf.DUMMYFUNCTION("""COMPUTED_VALUE"""),"XXA-C1B-001")</f>
        <v>XXA-C1B-001</v>
      </c>
      <c r="B1202" s="1075" t="str">
        <f>IFERROR(__xludf.DUMMYFUNCTION("""COMPUTED_VALUE"""),"Thiết bị cắt cỏ 1 bên ")</f>
        <v>Thiết bị cắt cỏ 1 bên </v>
      </c>
      <c r="C1202" s="1076" t="str">
        <f>IFERROR(__xludf.DUMMYFUNCTION("""COMPUTED_VALUE"""),"Xoài AD")</f>
        <v>Xoài AD</v>
      </c>
      <c r="D1202" s="1076" t="str">
        <f>IFERROR(__xludf.DUMMYFUNCTION("""COMPUTED_VALUE"""),"GATTINI")</f>
        <v>GATTINI</v>
      </c>
      <c r="E1202" s="1076" t="str">
        <f>IFERROR(__xludf.DUMMYFUNCTION("""COMPUTED_VALUE"""),"BCRLI180")</f>
        <v>BCRLI180</v>
      </c>
      <c r="F1202" s="1076"/>
      <c r="G1202" s="1076" t="str">
        <f>IFERROR(__xludf.DUMMYFUNCTION("""COMPUTED_VALUE"""),"2024")</f>
        <v>2024</v>
      </c>
      <c r="H1202" s="1076"/>
      <c r="I1202" s="1076" t="str">
        <f>IFERROR(__xludf.DUMMYFUNCTION("""COMPUTED_VALUE"""),"202400390001")</f>
        <v>202400390001</v>
      </c>
      <c r="J1202" s="1076"/>
      <c r="K1202" s="1076"/>
      <c r="L1202" s="1076" t="str">
        <f>IFERROR(__xludf.DUMMYFUNCTION("""COMPUTED_VALUE"""),"KLH")</f>
        <v>KLH</v>
      </c>
    </row>
    <row r="1203" customHeight="1" spans="1:12">
      <c r="A1203" s="1076" t="str">
        <f>IFERROR(__xludf.DUMMYFUNCTION("""COMPUTED_VALUE"""),"XXA-CCH-001")</f>
        <v>XXA-CCH-001</v>
      </c>
      <c r="B1203" s="1075" t="str">
        <f>IFERROR(__xludf.DUMMYFUNCTION("""COMPUTED_VALUE"""),"Thiết Bị Cày 3 Chảo")</f>
        <v>Thiết Bị Cày 3 Chảo</v>
      </c>
      <c r="C1203" s="1076" t="str">
        <f>IFERROR(__xludf.DUMMYFUNCTION("""COMPUTED_VALUE"""),"Xoài AD")</f>
        <v>Xoài AD</v>
      </c>
      <c r="D1203" s="1076" t="str">
        <f>IFERROR(__xludf.DUMMYFUNCTION("""COMPUTED_VALUE"""),"CAMBODIA")</f>
        <v>CAMBODIA</v>
      </c>
      <c r="E1203" s="1076" t="str">
        <f>IFERROR(__xludf.DUMMYFUNCTION("""COMPUTED_VALUE"""),"3 chảo")</f>
        <v>3 chảo</v>
      </c>
      <c r="F1203" s="1076"/>
      <c r="G1203" s="1076"/>
      <c r="H1203" s="1076"/>
      <c r="I1203" s="1076"/>
      <c r="J1203" s="1076"/>
      <c r="K1203" s="1076"/>
      <c r="L1203" s="1076" t="str">
        <f>IFERROR(__xludf.DUMMYFUNCTION("""COMPUTED_VALUE"""),"KLH")</f>
        <v>KLH</v>
      </c>
    </row>
    <row r="1204" customHeight="1" spans="1:12">
      <c r="A1204" s="1076" t="str">
        <f>IFERROR(__xludf.DUMMYFUNCTION("""COMPUTED_VALUE"""),"XXA-PTX-001")</f>
        <v>XXA-PTX-001</v>
      </c>
      <c r="B1204" s="1075" t="str">
        <f>IFERROR(__xludf.DUMMYFUNCTION("""COMPUTED_VALUE"""),"Thiết bị phun thuốc Xoài")</f>
        <v>Thiết bị phun thuốc Xoài</v>
      </c>
      <c r="C1204" s="1076" t="str">
        <f>IFERROR(__xludf.DUMMYFUNCTION("""COMPUTED_VALUE"""),"Xoài AD")</f>
        <v>Xoài AD</v>
      </c>
      <c r="D1204" s="1076" t="str">
        <f>IFERROR(__xludf.DUMMYFUNCTION("""COMPUTED_VALUE"""),"THACO AGRI")</f>
        <v>THACO AGRI</v>
      </c>
      <c r="E1204" s="1076" t="str">
        <f>IFERROR(__xludf.DUMMYFUNCTION("""COMPUTED_VALUE"""),"NM Cơ khí KLH")</f>
        <v>NM Cơ khí KLH</v>
      </c>
      <c r="F1204" s="1076">
        <f>IFERROR(__xludf.DUMMYFUNCTION("""COMPUTED_VALUE"""),2026)</f>
        <v>2026</v>
      </c>
      <c r="G1204" s="1076" t="str">
        <f>IFERROR(__xludf.DUMMYFUNCTION("""COMPUTED_VALUE"""),"CK-PTX-01")</f>
        <v>CK-PTX-01</v>
      </c>
      <c r="H1204" s="1076" t="str">
        <f>IFERROR(__xludf.DUMMYFUNCTION("""COMPUTED_VALUE"""),"90 Hp")</f>
        <v>90 Hp</v>
      </c>
      <c r="I1204" s="1076"/>
      <c r="J1204" s="1076"/>
      <c r="K1204" s="1076"/>
      <c r="L1204" s="1076" t="str">
        <f>IFERROR(__xludf.DUMMYFUNCTION("""COMPUTED_VALUE"""),"KLH")</f>
        <v>KLH</v>
      </c>
    </row>
    <row r="1205" customHeight="1" spans="1:12">
      <c r="A1205" s="1076" t="str">
        <f>IFERROR(__xludf.DUMMYFUNCTION("""COMPUTED_VALUE"""),"XOÀI DP")</f>
        <v>XOÀI DP</v>
      </c>
      <c r="B1205" s="1075"/>
      <c r="C1205" s="1076"/>
      <c r="D1205" s="1076"/>
      <c r="E1205" s="1076"/>
      <c r="F1205" s="1076"/>
      <c r="G1205" s="1076"/>
      <c r="H1205" s="1076"/>
      <c r="I1205" s="1076"/>
      <c r="J1205" s="1076"/>
      <c r="K1205" s="1076"/>
      <c r="L1205" s="1076" t="str">
        <f>IFERROR(__xludf.DUMMYFUNCTION("""COMPUTED_VALUE"""),"KLH")</f>
        <v>KLH</v>
      </c>
    </row>
    <row r="1206" customHeight="1" spans="1:12">
      <c r="A1206" s="1076" t="str">
        <f>IFERROR(__xludf.DUMMYFUNCTION("""COMPUTED_VALUE"""),"XXD-RML-001")</f>
        <v>XXD-RML-001</v>
      </c>
      <c r="B1206" s="1075" t="str">
        <f>IFERROR(__xludf.DUMMYFUNCTION("""COMPUTED_VALUE"""),"Rơ mooc lưới")</f>
        <v>Rơ mooc lưới</v>
      </c>
      <c r="C1206" s="1076" t="str">
        <f>IFERROR(__xludf.DUMMYFUNCTION("""COMPUTED_VALUE"""),"Xoài DP")</f>
        <v>Xoài DP</v>
      </c>
      <c r="D1206" s="1076" t="str">
        <f>IFERROR(__xludf.DUMMYFUNCTION("""COMPUTED_VALUE"""),"THACO AGRI")</f>
        <v>THACO AGRI</v>
      </c>
      <c r="E1206" s="1076"/>
      <c r="F1206" s="1076"/>
      <c r="G1206" s="1076"/>
      <c r="H1206" s="1076" t="str">
        <f>IFERROR(__xludf.DUMMYFUNCTION("""COMPUTED_VALUE"""),"5,5x2.5x2.4")</f>
        <v>5,5x2.5x2.4</v>
      </c>
      <c r="I1206" s="1076"/>
      <c r="J1206" s="1076"/>
      <c r="K1206" s="1076"/>
      <c r="L1206" s="1076" t="str">
        <f>IFERROR(__xludf.DUMMYFUNCTION("""COMPUTED_VALUE"""),"KLH")</f>
        <v>KLH</v>
      </c>
    </row>
    <row r="1207" customHeight="1" spans="1:12">
      <c r="A1207" s="1076" t="str">
        <f>IFERROR(__xludf.DUMMYFUNCTION("""COMPUTED_VALUE"""),"XXD-RML-002")</f>
        <v>XXD-RML-002</v>
      </c>
      <c r="B1207" s="1075" t="str">
        <f>IFERROR(__xludf.DUMMYFUNCTION("""COMPUTED_VALUE"""),"Rơ mooc lưới")</f>
        <v>Rơ mooc lưới</v>
      </c>
      <c r="C1207" s="1076" t="str">
        <f>IFERROR(__xludf.DUMMYFUNCTION("""COMPUTED_VALUE"""),"Xoài DP")</f>
        <v>Xoài DP</v>
      </c>
      <c r="D1207" s="1076" t="str">
        <f>IFERROR(__xludf.DUMMYFUNCTION("""COMPUTED_VALUE"""),"THACO AGRI")</f>
        <v>THACO AGRI</v>
      </c>
      <c r="E1207" s="1076"/>
      <c r="F1207" s="1076"/>
      <c r="G1207" s="1076"/>
      <c r="H1207" s="1076" t="str">
        <f>IFERROR(__xludf.DUMMYFUNCTION("""COMPUTED_VALUE"""),"5,5x2.5x2.4")</f>
        <v>5,5x2.5x2.4</v>
      </c>
      <c r="I1207" s="1076"/>
      <c r="J1207" s="1076"/>
      <c r="K1207" s="1076"/>
      <c r="L1207" s="1076" t="str">
        <f>IFERROR(__xludf.DUMMYFUNCTION("""COMPUTED_VALUE"""),"KLH")</f>
        <v>KLH</v>
      </c>
    </row>
    <row r="1208" customHeight="1" spans="1:12">
      <c r="A1208" s="1076" t="str">
        <f>IFERROR(__xludf.DUMMYFUNCTION("""COMPUTED_VALUE"""),"XXD-MCA-001")</f>
        <v>XXD-MCA-001</v>
      </c>
      <c r="B1208" s="1075" t="str">
        <f>IFERROR(__xludf.DUMMYFUNCTION("""COMPUTED_VALUE"""),"Máy cao áp phun thuốc")</f>
        <v>Máy cao áp phun thuốc</v>
      </c>
      <c r="C1208" s="1076" t="str">
        <f>IFERROR(__xludf.DUMMYFUNCTION("""COMPUTED_VALUE"""),"Xoài DP")</f>
        <v>Xoài DP</v>
      </c>
      <c r="D1208" s="1076" t="str">
        <f>IFERROR(__xludf.DUMMYFUNCTION("""COMPUTED_VALUE"""),"CAMBODIA")</f>
        <v>CAMBODIA</v>
      </c>
      <c r="E1208" s="1076" t="str">
        <f>IFERROR(__xludf.DUMMYFUNCTION("""COMPUTED_VALUE"""),"3HP")</f>
        <v>3HP</v>
      </c>
      <c r="F1208" s="1076"/>
      <c r="G1208" s="1076"/>
      <c r="H1208" s="1076" t="str">
        <f>IFERROR(__xludf.DUMMYFUNCTION("""COMPUTED_VALUE"""),"3HP")</f>
        <v>3HP</v>
      </c>
      <c r="I1208" s="1076"/>
      <c r="J1208" s="1076"/>
      <c r="K1208" s="1076"/>
      <c r="L1208" s="1076" t="str">
        <f>IFERROR(__xludf.DUMMYFUNCTION("""COMPUTED_VALUE"""),"KLH")</f>
        <v>KLH</v>
      </c>
    </row>
    <row r="1209" customHeight="1" spans="1:12">
      <c r="A1209" s="1076" t="str">
        <f>IFERROR(__xludf.DUMMYFUNCTION("""COMPUTED_VALUE"""),"XXD-MCA-002")</f>
        <v>XXD-MCA-002</v>
      </c>
      <c r="B1209" s="1075" t="str">
        <f>IFERROR(__xludf.DUMMYFUNCTION("""COMPUTED_VALUE"""),"Máy cao áp phun thuốc")</f>
        <v>Máy cao áp phun thuốc</v>
      </c>
      <c r="C1209" s="1076" t="str">
        <f>IFERROR(__xludf.DUMMYFUNCTION("""COMPUTED_VALUE"""),"Xoài DP")</f>
        <v>Xoài DP</v>
      </c>
      <c r="D1209" s="1076" t="str">
        <f>IFERROR(__xludf.DUMMYFUNCTION("""COMPUTED_VALUE"""),"CAMBODIA")</f>
        <v>CAMBODIA</v>
      </c>
      <c r="E1209" s="1076" t="str">
        <f>IFERROR(__xludf.DUMMYFUNCTION("""COMPUTED_VALUE"""),"3HP")</f>
        <v>3HP</v>
      </c>
      <c r="F1209" s="1076"/>
      <c r="G1209" s="1076"/>
      <c r="H1209" s="1076" t="str">
        <f>IFERROR(__xludf.DUMMYFUNCTION("""COMPUTED_VALUE"""),"3HP")</f>
        <v>3HP</v>
      </c>
      <c r="I1209" s="1076"/>
      <c r="J1209" s="1076"/>
      <c r="K1209" s="1076"/>
      <c r="L1209" s="1076" t="str">
        <f>IFERROR(__xludf.DUMMYFUNCTION("""COMPUTED_VALUE"""),"KLH")</f>
        <v>KLH</v>
      </c>
    </row>
    <row r="1210" customHeight="1" spans="1:12">
      <c r="A1210" s="1076" t="str">
        <f>IFERROR(__xludf.DUMMYFUNCTION("""COMPUTED_VALUE"""),"XND-MCA-001")</f>
        <v>XND-MCA-001</v>
      </c>
      <c r="B1210" s="1075" t="str">
        <f>IFERROR(__xludf.DUMMYFUNCTION("""COMPUTED_VALUE"""),"Máy cao áp phun thuốc")</f>
        <v>Máy cao áp phun thuốc</v>
      </c>
      <c r="C1210" s="1076" t="str">
        <f>IFERROR(__xludf.DUMMYFUNCTION("""COMPUTED_VALUE"""),"Xoài DP")</f>
        <v>Xoài DP</v>
      </c>
      <c r="D1210" s="1076" t="str">
        <f>IFERROR(__xludf.DUMMYFUNCTION("""COMPUTED_VALUE"""),"CAMBODIA")</f>
        <v>CAMBODIA</v>
      </c>
      <c r="E1210" s="1076" t="str">
        <f>IFERROR(__xludf.DUMMYFUNCTION("""COMPUTED_VALUE"""),"3HP")</f>
        <v>3HP</v>
      </c>
      <c r="F1210" s="1076"/>
      <c r="G1210" s="1076"/>
      <c r="H1210" s="1076" t="str">
        <f>IFERROR(__xludf.DUMMYFUNCTION("""COMPUTED_VALUE"""),"3HP")</f>
        <v>3HP</v>
      </c>
      <c r="I1210" s="1076"/>
      <c r="J1210" s="1076"/>
      <c r="K1210" s="1076"/>
      <c r="L1210" s="1076" t="str">
        <f>IFERROR(__xludf.DUMMYFUNCTION("""COMPUTED_VALUE"""),"KLH")</f>
        <v>KLH</v>
      </c>
    </row>
    <row r="1211" customHeight="1" spans="1:12">
      <c r="A1211" s="1076" t="str">
        <f>IFERROR(__xludf.DUMMYFUNCTION("""COMPUTED_VALUE"""),"XND-MCA-002")</f>
        <v>XND-MCA-002</v>
      </c>
      <c r="B1211" s="1075" t="str">
        <f>IFERROR(__xludf.DUMMYFUNCTION("""COMPUTED_VALUE"""),"Máy cao áp phun thuốc")</f>
        <v>Máy cao áp phun thuốc</v>
      </c>
      <c r="C1211" s="1076" t="str">
        <f>IFERROR(__xludf.DUMMYFUNCTION("""COMPUTED_VALUE"""),"Xoài DP")</f>
        <v>Xoài DP</v>
      </c>
      <c r="D1211" s="1076" t="str">
        <f>IFERROR(__xludf.DUMMYFUNCTION("""COMPUTED_VALUE"""),"CAMBODIA")</f>
        <v>CAMBODIA</v>
      </c>
      <c r="E1211" s="1076" t="str">
        <f>IFERROR(__xludf.DUMMYFUNCTION("""COMPUTED_VALUE"""),"3HP")</f>
        <v>3HP</v>
      </c>
      <c r="F1211" s="1076"/>
      <c r="G1211" s="1076"/>
      <c r="H1211" s="1076" t="str">
        <f>IFERROR(__xludf.DUMMYFUNCTION("""COMPUTED_VALUE"""),"3HP")</f>
        <v>3HP</v>
      </c>
      <c r="I1211" s="1076"/>
      <c r="J1211" s="1076"/>
      <c r="K1211" s="1076"/>
      <c r="L1211" s="1076" t="str">
        <f>IFERROR(__xludf.DUMMYFUNCTION("""COMPUTED_VALUE"""),"KLH")</f>
        <v>KLH</v>
      </c>
    </row>
    <row r="1212" customHeight="1" spans="1:12">
      <c r="A1212" s="1076" t="str">
        <f>IFERROR(__xludf.DUMMYFUNCTION("""COMPUTED_VALUE"""),"CHĂN NUÔI BÒ")</f>
        <v>CHĂN NUÔI BÒ</v>
      </c>
      <c r="B1212" s="1075"/>
      <c r="C1212" s="1076"/>
      <c r="D1212" s="1076"/>
      <c r="E1212" s="1076"/>
      <c r="F1212" s="1076"/>
      <c r="G1212" s="1076"/>
      <c r="H1212" s="1076"/>
      <c r="I1212" s="1076"/>
      <c r="J1212" s="1076"/>
      <c r="K1212" s="1076"/>
      <c r="L1212" s="1076" t="str">
        <f>IFERROR(__xludf.DUMMYFUNCTION("""COMPUTED_VALUE"""),"KLH")</f>
        <v>KLH</v>
      </c>
    </row>
    <row r="1213" customHeight="1" spans="1:12">
      <c r="A1213" s="1076" t="str">
        <f>IFERROR(__xludf.DUMMYFUNCTION("""COMPUTED_VALUE"""),"XB1-THC-001")</f>
        <v>XB1-THC-001</v>
      </c>
      <c r="B1213" s="1075" t="str">
        <f>IFERROR(__xludf.DUMMYFUNCTION("""COMPUTED_VALUE"""),"Thiết bị thu hoạch cỏ CHALLENGER II")</f>
        <v>Thiết bị thu hoạch cỏ CHALLENGER II</v>
      </c>
      <c r="C1213" s="1076" t="str">
        <f>IFERROR(__xludf.DUMMYFUNCTION("""COMPUTED_VALUE"""),"XN Bò AD")</f>
        <v>XN Bò AD</v>
      </c>
      <c r="D1213" s="1076" t="str">
        <f>IFERROR(__xludf.DUMMYFUNCTION("""COMPUTED_VALUE"""),"CELIKEL")</f>
        <v>CELIKEL</v>
      </c>
      <c r="E1213" s="1076" t="str">
        <f>IFERROR(__xludf.DUMMYFUNCTION("""COMPUTED_VALUE"""),"CHALLENGER II")</f>
        <v>CHALLENGER II</v>
      </c>
      <c r="F1213" s="1076"/>
      <c r="G1213" s="1076" t="str">
        <f>IFERROR(__xludf.DUMMYFUNCTION("""COMPUTED_VALUE"""),"2019")</f>
        <v>2019</v>
      </c>
      <c r="H1213" s="1076"/>
      <c r="I1213" s="1076"/>
      <c r="J1213" s="1076"/>
      <c r="K1213" s="1076">
        <f>IFERROR(__xludf.DUMMYFUNCTION("""COMPUTED_VALUE"""),10)</f>
        <v>10</v>
      </c>
      <c r="L1213" s="1076" t="str">
        <f>IFERROR(__xludf.DUMMYFUNCTION("""COMPUTED_VALUE"""),"KLH")</f>
        <v>KLH</v>
      </c>
    </row>
    <row r="1214" customHeight="1" spans="1:12">
      <c r="A1214" s="1076" t="str">
        <f>IFERROR(__xludf.DUMMYFUNCTION("""COMPUTED_VALUE"""),"XB1-THC-002")</f>
        <v>XB1-THC-002</v>
      </c>
      <c r="B1214" s="1075" t="str">
        <f>IFERROR(__xludf.DUMMYFUNCTION("""COMPUTED_VALUE"""),"Thiết bị thu hoạch cỏ CHALLENGER II")</f>
        <v>Thiết bị thu hoạch cỏ CHALLENGER II</v>
      </c>
      <c r="C1214" s="1076" t="str">
        <f>IFERROR(__xludf.DUMMYFUNCTION("""COMPUTED_VALUE"""),"XN Bò AD")</f>
        <v>XN Bò AD</v>
      </c>
      <c r="D1214" s="1076" t="str">
        <f>IFERROR(__xludf.DUMMYFUNCTION("""COMPUTED_VALUE"""),"CELIKEL")</f>
        <v>CELIKEL</v>
      </c>
      <c r="E1214" s="1076" t="str">
        <f>IFERROR(__xludf.DUMMYFUNCTION("""COMPUTED_VALUE"""),"CHALLENGER II")</f>
        <v>CHALLENGER II</v>
      </c>
      <c r="F1214" s="1076"/>
      <c r="G1214" s="1076" t="str">
        <f>IFERROR(__xludf.DUMMYFUNCTION("""COMPUTED_VALUE"""),"2022")</f>
        <v>2022</v>
      </c>
      <c r="H1214" s="1076"/>
      <c r="I1214" s="1076" t="str">
        <f>IFERROR(__xludf.DUMMYFUNCTION("""COMPUTED_VALUE"""),"SBM-220038")</f>
        <v>SBM-220038</v>
      </c>
      <c r="J1214" s="1076"/>
      <c r="K1214" s="1076">
        <f>IFERROR(__xludf.DUMMYFUNCTION("""COMPUTED_VALUE"""),10)</f>
        <v>10</v>
      </c>
      <c r="L1214" s="1076" t="str">
        <f>IFERROR(__xludf.DUMMYFUNCTION("""COMPUTED_VALUE"""),"KLH")</f>
        <v>KLH</v>
      </c>
    </row>
    <row r="1215" customHeight="1" spans="1:12">
      <c r="A1215" s="1076" t="str">
        <f>IFERROR(__xludf.DUMMYFUNCTION("""COMPUTED_VALUE"""),"XB1-THC-003")</f>
        <v>XB1-THC-003</v>
      </c>
      <c r="B1215" s="1075" t="str">
        <f>IFERROR(__xludf.DUMMYFUNCTION("""COMPUTED_VALUE"""),"Thiết bị thu hoạch cỏ CHALLENGER II PLUS")</f>
        <v>Thiết bị thu hoạch cỏ CHALLENGER II PLUS</v>
      </c>
      <c r="C1215" s="1076" t="str">
        <f>IFERROR(__xludf.DUMMYFUNCTION("""COMPUTED_VALUE"""),"XN Bò AD")</f>
        <v>XN Bò AD</v>
      </c>
      <c r="D1215" s="1076" t="str">
        <f>IFERROR(__xludf.DUMMYFUNCTION("""COMPUTED_VALUE"""),"CELIKEL")</f>
        <v>CELIKEL</v>
      </c>
      <c r="E1215" s="1076" t="str">
        <f>IFERROR(__xludf.DUMMYFUNCTION("""COMPUTED_VALUE"""),"CHALLENGER II PLUS")</f>
        <v>CHALLENGER II PLUS</v>
      </c>
      <c r="F1215" s="1076"/>
      <c r="G1215" s="1076" t="str">
        <f>IFERROR(__xludf.DUMMYFUNCTION("""COMPUTED_VALUE"""),"2022")</f>
        <v>2022</v>
      </c>
      <c r="H1215" s="1076" t="str">
        <f>IFERROR(__xludf.DUMMYFUNCTION("""COMPUTED_VALUE"""),"- Kèm trục các đăng ")</f>
        <v>- Kèm trục các đăng </v>
      </c>
      <c r="I1215" s="1076" t="str">
        <f>IFERROR(__xludf.DUMMYFUNCTION("""COMPUTED_VALUE"""),"SBM-221203")</f>
        <v>SBM-221203</v>
      </c>
      <c r="J1215" s="1076"/>
      <c r="K1215" s="1076">
        <f>IFERROR(__xludf.DUMMYFUNCTION("""COMPUTED_VALUE"""),10)</f>
        <v>10</v>
      </c>
      <c r="L1215" s="1076" t="str">
        <f>IFERROR(__xludf.DUMMYFUNCTION("""COMPUTED_VALUE"""),"KLH")</f>
        <v>KLH</v>
      </c>
    </row>
    <row r="1216" customHeight="1" spans="1:12">
      <c r="A1216" s="1076" t="str">
        <f>IFERROR(__xludf.DUMMYFUNCTION("""COMPUTED_VALUE"""),"XB1-THC-004")</f>
        <v>XB1-THC-004</v>
      </c>
      <c r="B1216" s="1075" t="str">
        <f>IFERROR(__xludf.DUMMYFUNCTION("""COMPUTED_VALUE"""),"Thiết bị thu hoạch cỏ CHALLENGER II PLUS")</f>
        <v>Thiết bị thu hoạch cỏ CHALLENGER II PLUS</v>
      </c>
      <c r="C1216" s="1076" t="str">
        <f>IFERROR(__xludf.DUMMYFUNCTION("""COMPUTED_VALUE"""),"XN Bò AD")</f>
        <v>XN Bò AD</v>
      </c>
      <c r="D1216" s="1076" t="str">
        <f>IFERROR(__xludf.DUMMYFUNCTION("""COMPUTED_VALUE"""),"CELIKEL")</f>
        <v>CELIKEL</v>
      </c>
      <c r="E1216" s="1076" t="str">
        <f>IFERROR(__xludf.DUMMYFUNCTION("""COMPUTED_VALUE"""),"CHALLENGER II PLUS")</f>
        <v>CHALLENGER II PLUS</v>
      </c>
      <c r="F1216" s="1076"/>
      <c r="G1216" s="1076" t="str">
        <f>IFERROR(__xludf.DUMMYFUNCTION("""COMPUTED_VALUE"""),"2022")</f>
        <v>2022</v>
      </c>
      <c r="H1216" s="1076" t="str">
        <f>IFERROR(__xludf.DUMMYFUNCTION("""COMPUTED_VALUE"""),"- Kèm trục các đăng ")</f>
        <v>- Kèm trục các đăng </v>
      </c>
      <c r="I1216" s="1076" t="str">
        <f>IFERROR(__xludf.DUMMYFUNCTION("""COMPUTED_VALUE"""),"SBM-221211")</f>
        <v>SBM-221211</v>
      </c>
      <c r="J1216" s="1076"/>
      <c r="K1216" s="1076">
        <f>IFERROR(__xludf.DUMMYFUNCTION("""COMPUTED_VALUE"""),10)</f>
        <v>10</v>
      </c>
      <c r="L1216" s="1076" t="str">
        <f>IFERROR(__xludf.DUMMYFUNCTION("""COMPUTED_VALUE"""),"KLH")</f>
        <v>KLH</v>
      </c>
    </row>
    <row r="1217" customHeight="1" spans="1:12">
      <c r="A1217" s="1076" t="str">
        <f>IFERROR(__xludf.DUMMYFUNCTION("""COMPUTED_VALUE"""),"XB1-THC-005")</f>
        <v>XB1-THC-005</v>
      </c>
      <c r="B1217" s="1075" t="str">
        <f>IFERROR(__xludf.DUMMYFUNCTION("""COMPUTED_VALUE"""),"Thiết bị thu hoạch cỏ thân mềm Calabria 1800")</f>
        <v>Thiết bị thu hoạch cỏ thân mềm Calabria 1800</v>
      </c>
      <c r="C1217" s="1076" t="str">
        <f>IFERROR(__xludf.DUMMYFUNCTION("""COMPUTED_VALUE"""),"XN Bò AD")</f>
        <v>XN Bò AD</v>
      </c>
      <c r="D1217" s="1076" t="str">
        <f>IFERROR(__xludf.DUMMYFUNCTION("""COMPUTED_VALUE"""),"CELIKEL")</f>
        <v>CELIKEL</v>
      </c>
      <c r="E1217" s="1076" t="str">
        <f>IFERROR(__xludf.DUMMYFUNCTION("""COMPUTED_VALUE"""),"CALABRIA 1800")</f>
        <v>CALABRIA 1800</v>
      </c>
      <c r="F1217" s="1076"/>
      <c r="G1217" s="1076" t="str">
        <f>IFERROR(__xludf.DUMMYFUNCTION("""COMPUTED_VALUE"""),"2024")</f>
        <v>2024</v>
      </c>
      <c r="H1217" s="1076" t="str">
        <f>IFERROR(__xludf.DUMMYFUNCTION("""COMPUTED_VALUE"""),"- Kèm trục các đăng ")</f>
        <v>- Kèm trục các đăng </v>
      </c>
      <c r="I1217" s="1076" t="str">
        <f>IFERROR(__xludf.DUMMYFUNCTION("""COMPUTED_VALUE"""),"CKM-240010")</f>
        <v>CKM-240010</v>
      </c>
      <c r="J1217" s="1076"/>
      <c r="K1217" s="1076">
        <f>IFERROR(__xludf.DUMMYFUNCTION("""COMPUTED_VALUE"""),10)</f>
        <v>10</v>
      </c>
      <c r="L1217" s="1076" t="str">
        <f>IFERROR(__xludf.DUMMYFUNCTION("""COMPUTED_VALUE"""),"KLH")</f>
        <v>KLH</v>
      </c>
    </row>
    <row r="1218" customHeight="1" spans="1:12">
      <c r="A1218" s="1076" t="str">
        <f>IFERROR(__xludf.DUMMYFUNCTION("""COMPUTED_VALUE"""),"XB1-THC-006")</f>
        <v>XB1-THC-006</v>
      </c>
      <c r="B1218" s="1075" t="str">
        <f>IFERROR(__xludf.DUMMYFUNCTION("""COMPUTED_VALUE"""),"Thiết bị thu hoạch cỏ CHALLENGER IV")</f>
        <v>Thiết bị thu hoạch cỏ CHALLENGER IV</v>
      </c>
      <c r="C1218" s="1076" t="str">
        <f>IFERROR(__xludf.DUMMYFUNCTION("""COMPUTED_VALUE"""),"XN Bò AD")</f>
        <v>XN Bò AD</v>
      </c>
      <c r="D1218" s="1076" t="str">
        <f>IFERROR(__xludf.DUMMYFUNCTION("""COMPUTED_VALUE"""),"CELIKEL")</f>
        <v>CELIKEL</v>
      </c>
      <c r="E1218" s="1076" t="str">
        <f>IFERROR(__xludf.DUMMYFUNCTION("""COMPUTED_VALUE"""),"CHALLENGER IV")</f>
        <v>CHALLENGER IV</v>
      </c>
      <c r="F1218" s="1076"/>
      <c r="G1218" s="1076" t="str">
        <f>IFERROR(__xludf.DUMMYFUNCTION("""COMPUTED_VALUE"""),"2024")</f>
        <v>2024</v>
      </c>
      <c r="H1218" s="1076" t="str">
        <f>IFERROR(__xludf.DUMMYFUNCTION("""COMPUTED_VALUE"""),"- Kèm trục các đăng ")</f>
        <v>- Kèm trục các đăng </v>
      </c>
      <c r="I1218" s="1076" t="str">
        <f>IFERROR(__xludf.DUMMYFUNCTION("""COMPUTED_VALUE"""),"4SSM-240003")</f>
        <v>4SSM-240003</v>
      </c>
      <c r="J1218" s="1076"/>
      <c r="K1218" s="1076">
        <f>IFERROR(__xludf.DUMMYFUNCTION("""COMPUTED_VALUE"""),10)</f>
        <v>10</v>
      </c>
      <c r="L1218" s="1076" t="str">
        <f>IFERROR(__xludf.DUMMYFUNCTION("""COMPUTED_VALUE"""),"KLH")</f>
        <v>KLH</v>
      </c>
    </row>
    <row r="1219" customHeight="1" spans="1:12">
      <c r="A1219" s="1076" t="str">
        <f>IFERROR(__xludf.DUMMYFUNCTION("""COMPUTED_VALUE"""),"XB1-THC-007")</f>
        <v>XB1-THC-007</v>
      </c>
      <c r="B1219" s="1075" t="str">
        <f>IFERROR(__xludf.DUMMYFUNCTION("""COMPUTED_VALUE"""),"Thiết bị thu hoạch cỏ CHALLENGER IV")</f>
        <v>Thiết bị thu hoạch cỏ CHALLENGER IV</v>
      </c>
      <c r="C1219" s="1076" t="str">
        <f>IFERROR(__xludf.DUMMYFUNCTION("""COMPUTED_VALUE"""),"XN Bò AD")</f>
        <v>XN Bò AD</v>
      </c>
      <c r="D1219" s="1076" t="str">
        <f>IFERROR(__xludf.DUMMYFUNCTION("""COMPUTED_VALUE"""),"CELIKEL")</f>
        <v>CELIKEL</v>
      </c>
      <c r="E1219" s="1076" t="str">
        <f>IFERROR(__xludf.DUMMYFUNCTION("""COMPUTED_VALUE"""),"CHALLENGER IV")</f>
        <v>CHALLENGER IV</v>
      </c>
      <c r="F1219" s="1076"/>
      <c r="G1219" s="1076" t="str">
        <f>IFERROR(__xludf.DUMMYFUNCTION("""COMPUTED_VALUE"""),"2024")</f>
        <v>2024</v>
      </c>
      <c r="H1219" s="1076" t="str">
        <f>IFERROR(__xludf.DUMMYFUNCTION("""COMPUTED_VALUE"""),"- Kèm trục các đăng ")</f>
        <v>- Kèm trục các đăng </v>
      </c>
      <c r="I1219" s="1076" t="str">
        <f>IFERROR(__xludf.DUMMYFUNCTION("""COMPUTED_VALUE"""),"4SSM-240001")</f>
        <v>4SSM-240001</v>
      </c>
      <c r="J1219" s="1076"/>
      <c r="K1219" s="1076">
        <f>IFERROR(__xludf.DUMMYFUNCTION("""COMPUTED_VALUE"""),10)</f>
        <v>10</v>
      </c>
      <c r="L1219" s="1076" t="str">
        <f>IFERROR(__xludf.DUMMYFUNCTION("""COMPUTED_VALUE"""),"KLH")</f>
        <v>KLH</v>
      </c>
    </row>
    <row r="1220" customHeight="1" spans="1:12">
      <c r="A1220" s="1076" t="str">
        <f>IFERROR(__xludf.DUMMYFUNCTION("""COMPUTED_VALUE"""),"XB1-THC-008")</f>
        <v>XB1-THC-008</v>
      </c>
      <c r="B1220" s="1075" t="str">
        <f>IFERROR(__xludf.DUMMYFUNCTION("""COMPUTED_VALUE"""),"Thiết bị thu hoạch cỏ thân mềm Calabria 1800")</f>
        <v>Thiết bị thu hoạch cỏ thân mềm Calabria 1800</v>
      </c>
      <c r="C1220" s="1076" t="str">
        <f>IFERROR(__xludf.DUMMYFUNCTION("""COMPUTED_VALUE"""),"XN Bò AD")</f>
        <v>XN Bò AD</v>
      </c>
      <c r="D1220" s="1076" t="str">
        <f>IFERROR(__xludf.DUMMYFUNCTION("""COMPUTED_VALUE"""),"CELIKEL")</f>
        <v>CELIKEL</v>
      </c>
      <c r="E1220" s="1076" t="str">
        <f>IFERROR(__xludf.DUMMYFUNCTION("""COMPUTED_VALUE"""),"CALABRIA 1800")</f>
        <v>CALABRIA 1800</v>
      </c>
      <c r="F1220" s="1076"/>
      <c r="G1220" s="1076" t="str">
        <f>IFERROR(__xludf.DUMMYFUNCTION("""COMPUTED_VALUE"""),"2025")</f>
        <v>2025</v>
      </c>
      <c r="H1220" s="1076" t="str">
        <f>IFERROR(__xludf.DUMMYFUNCTION("""COMPUTED_VALUE"""),"- Kèm trục các đăng ")</f>
        <v>- Kèm trục các đăng </v>
      </c>
      <c r="I1220" s="1076" t="str">
        <f>IFERROR(__xludf.DUMMYFUNCTION("""COMPUTED_VALUE"""),"CKM-240063")</f>
        <v>CKM-240063</v>
      </c>
      <c r="J1220" s="1076"/>
      <c r="K1220" s="1076">
        <f>IFERROR(__xludf.DUMMYFUNCTION("""COMPUTED_VALUE"""),10)</f>
        <v>10</v>
      </c>
      <c r="L1220" s="1076" t="str">
        <f>IFERROR(__xludf.DUMMYFUNCTION("""COMPUTED_VALUE"""),"KLH")</f>
        <v>KLH</v>
      </c>
    </row>
    <row r="1221" customHeight="1" spans="1:12">
      <c r="A1221" s="1076" t="str">
        <f>IFERROR(__xludf.DUMMYFUNCTION("""COMPUTED_VALUE"""),"XB1-THC-009")</f>
        <v>XB1-THC-009</v>
      </c>
      <c r="B1221" s="1075" t="str">
        <f>IFERROR(__xludf.DUMMYFUNCTION("""COMPUTED_VALUE"""),"Thiết bị thu hoạch cỏ thân mềm Calabria 1800")</f>
        <v>Thiết bị thu hoạch cỏ thân mềm Calabria 1800</v>
      </c>
      <c r="C1221" s="1076" t="str">
        <f>IFERROR(__xludf.DUMMYFUNCTION("""COMPUTED_VALUE"""),"XN Bò AD")</f>
        <v>XN Bò AD</v>
      </c>
      <c r="D1221" s="1076" t="str">
        <f>IFERROR(__xludf.DUMMYFUNCTION("""COMPUTED_VALUE"""),"CELIKEL")</f>
        <v>CELIKEL</v>
      </c>
      <c r="E1221" s="1076" t="str">
        <f>IFERROR(__xludf.DUMMYFUNCTION("""COMPUTED_VALUE"""),"CALABRIA 1800")</f>
        <v>CALABRIA 1800</v>
      </c>
      <c r="F1221" s="1076"/>
      <c r="G1221" s="1076" t="str">
        <f>IFERROR(__xludf.DUMMYFUNCTION("""COMPUTED_VALUE"""),"2025")</f>
        <v>2025</v>
      </c>
      <c r="H1221" s="1076" t="str">
        <f>IFERROR(__xludf.DUMMYFUNCTION("""COMPUTED_VALUE"""),"- Kèm trục các đăng ")</f>
        <v>- Kèm trục các đăng </v>
      </c>
      <c r="I1221" s="1076" t="str">
        <f>IFERROR(__xludf.DUMMYFUNCTION("""COMPUTED_VALUE"""),"CKM-240064")</f>
        <v>CKM-240064</v>
      </c>
      <c r="J1221" s="1076"/>
      <c r="K1221" s="1076">
        <f>IFERROR(__xludf.DUMMYFUNCTION("""COMPUTED_VALUE"""),10)</f>
        <v>10</v>
      </c>
      <c r="L1221" s="1076" t="str">
        <f>IFERROR(__xludf.DUMMYFUNCTION("""COMPUTED_VALUE"""),"KLH")</f>
        <v>KLH</v>
      </c>
    </row>
    <row r="1222" customHeight="1" spans="1:12">
      <c r="A1222" s="1076" t="str">
        <f>IFERROR(__xludf.DUMMYFUNCTION("""COMPUTED_VALUE"""),"XB1-THC-010")</f>
        <v>XB1-THC-010</v>
      </c>
      <c r="B1222" s="1075" t="str">
        <f>IFERROR(__xludf.DUMMYFUNCTION("""COMPUTED_VALUE"""),"Thiết bị thu hoạch cỏ CHALLENGER IV")</f>
        <v>Thiết bị thu hoạch cỏ CHALLENGER IV</v>
      </c>
      <c r="C1222" s="1076" t="str">
        <f>IFERROR(__xludf.DUMMYFUNCTION("""COMPUTED_VALUE"""),"XN Bò AD")</f>
        <v>XN Bò AD</v>
      </c>
      <c r="D1222" s="1076" t="str">
        <f>IFERROR(__xludf.DUMMYFUNCTION("""COMPUTED_VALUE"""),"CELIKEL")</f>
        <v>CELIKEL</v>
      </c>
      <c r="E1222" s="1076" t="str">
        <f>IFERROR(__xludf.DUMMYFUNCTION("""COMPUTED_VALUE"""),"CHALLENGER IV")</f>
        <v>CHALLENGER IV</v>
      </c>
      <c r="F1222" s="1076"/>
      <c r="G1222" s="1076" t="str">
        <f>IFERROR(__xludf.DUMMYFUNCTION("""COMPUTED_VALUE"""),"2025")</f>
        <v>2025</v>
      </c>
      <c r="H1222" s="1076" t="str">
        <f>IFERROR(__xludf.DUMMYFUNCTION("""COMPUTED_VALUE"""),"- Kèm trục các đăng ")</f>
        <v>- Kèm trục các đăng </v>
      </c>
      <c r="I1222" s="1076" t="str">
        <f>IFERROR(__xludf.DUMMYFUNCTION("""COMPUTED_VALUE"""),"4SSM-250016")</f>
        <v>4SSM-250016</v>
      </c>
      <c r="J1222" s="1076"/>
      <c r="K1222" s="1076">
        <f>IFERROR(__xludf.DUMMYFUNCTION("""COMPUTED_VALUE"""),10)</f>
        <v>10</v>
      </c>
      <c r="L1222" s="1076" t="str">
        <f>IFERROR(__xludf.DUMMYFUNCTION("""COMPUTED_VALUE"""),"KLH")</f>
        <v>KLH</v>
      </c>
    </row>
    <row r="1223" customHeight="1" spans="1:12">
      <c r="A1223" s="1076" t="str">
        <f>IFERROR(__xludf.DUMMYFUNCTION("""COMPUTED_VALUE"""),"XB1-THC-011")</f>
        <v>XB1-THC-011</v>
      </c>
      <c r="B1223" s="1075" t="str">
        <f>IFERROR(__xludf.DUMMYFUNCTION("""COMPUTED_VALUE"""),"Thiết bị thu hoạch cỏ (KLH gia công)")</f>
        <v>Thiết bị thu hoạch cỏ (KLH gia công)</v>
      </c>
      <c r="C1223" s="1076" t="str">
        <f>IFERROR(__xludf.DUMMYFUNCTION("""COMPUTED_VALUE"""),"XN Bò AD")</f>
        <v>XN Bò AD</v>
      </c>
      <c r="D1223" s="1076"/>
      <c r="E1223" s="1076"/>
      <c r="F1223" s="1076"/>
      <c r="G1223" s="1076"/>
      <c r="H1223" s="1076"/>
      <c r="I1223" s="1076"/>
      <c r="J1223" s="1076"/>
      <c r="K1223" s="1076">
        <f>IFERROR(__xludf.DUMMYFUNCTION("""COMPUTED_VALUE"""),10)</f>
        <v>10</v>
      </c>
      <c r="L1223" s="1076" t="str">
        <f>IFERROR(__xludf.DUMMYFUNCTION("""COMPUTED_VALUE"""),"KLH")</f>
        <v>KLH</v>
      </c>
    </row>
    <row r="1224" customHeight="1" spans="1:12">
      <c r="A1224" s="1076" t="str">
        <f>IFERROR(__xludf.DUMMYFUNCTION("""COMPUTED_VALUE"""),"XB1-THC-012")</f>
        <v>XB1-THC-012</v>
      </c>
      <c r="B1224" s="1075" t="str">
        <f>IFERROR(__xludf.DUMMYFUNCTION("""COMPUTED_VALUE"""),"Thiết bị thu hoạch cỏ thân mềm Calabria 1800")</f>
        <v>Thiết bị thu hoạch cỏ thân mềm Calabria 1800</v>
      </c>
      <c r="C1224" s="1076" t="str">
        <f>IFERROR(__xludf.DUMMYFUNCTION("""COMPUTED_VALUE"""),"XN Bò AD")</f>
        <v>XN Bò AD</v>
      </c>
      <c r="D1224" s="1076" t="str">
        <f>IFERROR(__xludf.DUMMYFUNCTION("""COMPUTED_VALUE"""),"CELIKEL")</f>
        <v>CELIKEL</v>
      </c>
      <c r="E1224" s="1076" t="str">
        <f>IFERROR(__xludf.DUMMYFUNCTION("""COMPUTED_VALUE"""),"THỔ NHỈ KỲ")</f>
        <v>THỔ NHỈ KỲ</v>
      </c>
      <c r="F1224" s="1076">
        <f>IFERROR(__xludf.DUMMYFUNCTION("""COMPUTED_VALUE"""),2026)</f>
        <v>2026</v>
      </c>
      <c r="G1224" s="1076" t="str">
        <f>IFERROR(__xludf.DUMMYFUNCTION("""COMPUTED_VALUE"""),"CALABRIA 1800")</f>
        <v>CALABRIA 1800</v>
      </c>
      <c r="H1224" s="1076" t="str">
        <f>IFERROR(__xludf.DUMMYFUNCTION("""COMPUTED_VALUE"""),"90 HP ~")</f>
        <v>90 HP ~</v>
      </c>
      <c r="I1224" s="1076" t="str">
        <f>IFERROR(__xludf.DUMMYFUNCTION("""COMPUTED_VALUE"""),"CKM-260004")</f>
        <v>CKM-260004</v>
      </c>
      <c r="J1224" s="1076"/>
      <c r="K1224" s="1076">
        <f>IFERROR(__xludf.DUMMYFUNCTION("""COMPUTED_VALUE"""),10)</f>
        <v>10</v>
      </c>
      <c r="L1224" s="1076" t="str">
        <f>IFERROR(__xludf.DUMMYFUNCTION("""COMPUTED_VALUE"""),"KLH")</f>
        <v>KLH</v>
      </c>
    </row>
    <row r="1225" customHeight="1" spans="1:12">
      <c r="A1225" s="1076" t="str">
        <f>IFERROR(__xludf.DUMMYFUNCTION("""COMPUTED_VALUE"""),"XB1-THC-013")</f>
        <v>XB1-THC-013</v>
      </c>
      <c r="B1225" s="1075" t="str">
        <f>IFERROR(__xludf.DUMMYFUNCTION("""COMPUTED_VALUE"""),"Thiết bị thu hoạch cỏ thân mềm Calabria 2100")</f>
        <v>Thiết bị thu hoạch cỏ thân mềm Calabria 2100</v>
      </c>
      <c r="C1225" s="1076" t="str">
        <f>IFERROR(__xludf.DUMMYFUNCTION("""COMPUTED_VALUE"""),"XN Bò AD")</f>
        <v>XN Bò AD</v>
      </c>
      <c r="D1225" s="1076" t="str">
        <f>IFERROR(__xludf.DUMMYFUNCTION("""COMPUTED_VALUE"""),"CELIKEL")</f>
        <v>CELIKEL</v>
      </c>
      <c r="E1225" s="1076" t="str">
        <f>IFERROR(__xludf.DUMMYFUNCTION("""COMPUTED_VALUE"""),"THỔ NHỈ KỲ")</f>
        <v>THỔ NHỈ KỲ</v>
      </c>
      <c r="F1225" s="1076">
        <f>IFERROR(__xludf.DUMMYFUNCTION("""COMPUTED_VALUE"""),2026)</f>
        <v>2026</v>
      </c>
      <c r="G1225" s="1076" t="str">
        <f>IFERROR(__xludf.DUMMYFUNCTION("""COMPUTED_VALUE"""),"CALABRIA 2100")</f>
        <v>CALABRIA 2100</v>
      </c>
      <c r="H1225" s="1076" t="str">
        <f>IFERROR(__xludf.DUMMYFUNCTION("""COMPUTED_VALUE"""),"120 HP ~")</f>
        <v>120 HP ~</v>
      </c>
      <c r="I1225" s="1076" t="str">
        <f>IFERROR(__xludf.DUMMYFUNCTION("""COMPUTED_VALUE"""),"CKM-260004")</f>
        <v>CKM-260004</v>
      </c>
      <c r="J1225" s="1076"/>
      <c r="K1225" s="1076">
        <f>IFERROR(__xludf.DUMMYFUNCTION("""COMPUTED_VALUE"""),10)</f>
        <v>10</v>
      </c>
      <c r="L1225" s="1076" t="str">
        <f>IFERROR(__xludf.DUMMYFUNCTION("""COMPUTED_VALUE"""),"KLH")</f>
        <v>KLH</v>
      </c>
    </row>
    <row r="1226" customHeight="1" spans="1:12">
      <c r="A1226" s="1076" t="str">
        <f>IFERROR(__xludf.DUMMYFUNCTION("""COMPUTED_VALUE"""),"XB1-ĐBC-001")</f>
        <v>XB1-ĐBC-001</v>
      </c>
      <c r="B1226" s="1075" t="str">
        <f>IFERROR(__xludf.DUMMYFUNCTION("""COMPUTED_VALUE"""),"Thiết bị đóng bánh cỏ Balentine")</f>
        <v>Thiết bị đóng bánh cỏ Balentine</v>
      </c>
      <c r="C1226" s="1076" t="str">
        <f>IFERROR(__xludf.DUMMYFUNCTION("""COMPUTED_VALUE"""),"XN Bò AD")</f>
        <v>XN Bò AD</v>
      </c>
      <c r="D1226" s="1076" t="str">
        <f>IFERROR(__xludf.DUMMYFUNCTION("""COMPUTED_VALUE"""),"CELIKEL")</f>
        <v>CELIKEL</v>
      </c>
      <c r="E1226" s="1076" t="str">
        <f>IFERROR(__xludf.DUMMYFUNCTION("""COMPUTED_VALUE"""),"BALENTINE 4")</f>
        <v>BALENTINE 4</v>
      </c>
      <c r="F1226" s="1076"/>
      <c r="G1226" s="1076" t="str">
        <f>IFERROR(__xludf.DUMMYFUNCTION("""COMPUTED_VALUE"""),"2024")</f>
        <v>2024</v>
      </c>
      <c r="H1226" s="1076" t="str">
        <f>IFERROR(__xludf.DUMMYFUNCTION("""COMPUTED_VALUE"""),"100~150HP")</f>
        <v>100~150HP</v>
      </c>
      <c r="I1226" s="1076" t="str">
        <f>IFERROR(__xludf.DUMMYFUNCTION("""COMPUTED_VALUE"""),"PBM-240131")</f>
        <v>PBM-240131</v>
      </c>
      <c r="J1226" s="1076"/>
      <c r="K1226" s="1076"/>
      <c r="L1226" s="1076" t="str">
        <f>IFERROR(__xludf.DUMMYFUNCTION("""COMPUTED_VALUE"""),"KLH")</f>
        <v>KLH</v>
      </c>
    </row>
    <row r="1227" customHeight="1" spans="1:12">
      <c r="A1227" s="1076" t="str">
        <f>IFERROR(__xludf.DUMMYFUNCTION("""COMPUTED_VALUE"""),"XB1-MBG-001")</f>
        <v>XB1-MBG-001</v>
      </c>
      <c r="B1227" s="1075" t="str">
        <f>IFERROR(__xludf.DUMMYFUNCTION("""COMPUTED_VALUE"""),"Máy băm gỗ DIESEL-VMECH")</f>
        <v>Máy băm gỗ DIESEL-VMECH</v>
      </c>
      <c r="C1227" s="1076" t="str">
        <f>IFERROR(__xludf.DUMMYFUNCTION("""COMPUTED_VALUE"""),"XN Bò AD")</f>
        <v>XN Bò AD</v>
      </c>
      <c r="D1227" s="1076" t="str">
        <f>IFERROR(__xludf.DUMMYFUNCTION("""COMPUTED_VALUE"""),"CAMBODIA")</f>
        <v>CAMBODIA</v>
      </c>
      <c r="E1227" s="1076"/>
      <c r="F1227" s="1076"/>
      <c r="G1227" s="1076"/>
      <c r="H1227" s="1076"/>
      <c r="I1227" s="1076"/>
      <c r="J1227" s="1076"/>
      <c r="K1227" s="1076"/>
      <c r="L1227" s="1076" t="str">
        <f>IFERROR(__xludf.DUMMYFUNCTION("""COMPUTED_VALUE"""),"KLH")</f>
        <v>KLH</v>
      </c>
    </row>
    <row r="1228" customHeight="1" spans="1:12">
      <c r="A1228" s="1076" t="str">
        <f>IFERROR(__xludf.DUMMYFUNCTION("""COMPUTED_VALUE"""),"XB1-MBG-002")</f>
        <v>XB1-MBG-002</v>
      </c>
      <c r="B1228" s="1075" t="str">
        <f>IFERROR(__xludf.DUMMYFUNCTION("""COMPUTED_VALUE"""),"Máy băm gỗ cố định 185KW")</f>
        <v>Máy băm gỗ cố định 185KW</v>
      </c>
      <c r="C1228" s="1076" t="str">
        <f>IFERROR(__xludf.DUMMYFUNCTION("""COMPUTED_VALUE"""),"XN Bò AD")</f>
        <v>XN Bò AD</v>
      </c>
      <c r="D1228" s="1076" t="str">
        <f>IFERROR(__xludf.DUMMYFUNCTION("""COMPUTED_VALUE"""),"THACO AGRI")</f>
        <v>THACO AGRI</v>
      </c>
      <c r="E1228" s="1076" t="str">
        <f>IFERROR(__xludf.DUMMYFUNCTION("""COMPUTED_VALUE"""),"CK-MBG-01")</f>
        <v>CK-MBG-01</v>
      </c>
      <c r="F1228" s="1076"/>
      <c r="G1228" s="1076" t="str">
        <f>IFERROR(__xludf.DUMMYFUNCTION("""COMPUTED_VALUE"""),"2024")</f>
        <v>2024</v>
      </c>
      <c r="H1228" s="1076" t="str">
        <f>IFERROR(__xludf.DUMMYFUNCTION("""COMPUTED_VALUE"""),"3x3x2.4, 8 dao băm, motor 185 KW
-380V")</f>
        <v>3x3x2.4, 8 dao băm, motor 185 KW
-380V</v>
      </c>
      <c r="I1228" s="1076"/>
      <c r="J1228" s="1076"/>
      <c r="K1228" s="1076"/>
      <c r="L1228" s="1076" t="str">
        <f>IFERROR(__xludf.DUMMYFUNCTION("""COMPUTED_VALUE"""),"KLH")</f>
        <v>KLH</v>
      </c>
    </row>
    <row r="1229" customHeight="1" spans="1:12">
      <c r="A1229" s="1076" t="str">
        <f>IFERROR(__xludf.DUMMYFUNCTION("""COMPUTED_VALUE"""),"XB1-MBG-003")</f>
        <v>XB1-MBG-003</v>
      </c>
      <c r="B1229" s="1075" t="str">
        <f>IFERROR(__xludf.DUMMYFUNCTION("""COMPUTED_VALUE"""),"Máy băm gỗ")</f>
        <v>Máy băm gỗ</v>
      </c>
      <c r="C1229" s="1076" t="str">
        <f>IFERROR(__xludf.DUMMYFUNCTION("""COMPUTED_VALUE"""),"XN Bò AD")</f>
        <v>XN Bò AD</v>
      </c>
      <c r="D1229" s="1076" t="str">
        <f>IFERROR(__xludf.DUMMYFUNCTION("""COMPUTED_VALUE"""),"WEHAI")</f>
        <v>WEHAI</v>
      </c>
      <c r="E1229" s="1076" t="str">
        <f>IFERROR(__xludf.DUMMYFUNCTION("""COMPUTED_VALUE"""),"WP10D238E200")</f>
        <v>WP10D238E200</v>
      </c>
      <c r="F1229" s="1076"/>
      <c r="G1229" s="1076" t="str">
        <f>IFERROR(__xludf.DUMMYFUNCTION("""COMPUTED_VALUE"""),"2024")</f>
        <v>2024</v>
      </c>
      <c r="H1229" s="1076"/>
      <c r="I1229" s="1076" t="str">
        <f>IFERROR(__xludf.DUMMYFUNCTION("""COMPUTED_VALUE"""),"1624C014353")</f>
        <v>1624C014353</v>
      </c>
      <c r="J1229" s="1076"/>
      <c r="K1229" s="1076"/>
      <c r="L1229" s="1076" t="str">
        <f>IFERROR(__xludf.DUMMYFUNCTION("""COMPUTED_VALUE"""),"KLH")</f>
        <v>KLH</v>
      </c>
    </row>
    <row r="1230" customHeight="1" spans="1:12">
      <c r="A1230" s="1076" t="str">
        <f>IFERROR(__xludf.DUMMYFUNCTION("""COMPUTED_VALUE"""),"XB1-MBX-001")</f>
        <v>XB1-MBX-001</v>
      </c>
      <c r="B1230" s="1075" t="str">
        <f>IFERROR(__xludf.DUMMYFUNCTION("""COMPUTED_VALUE"""),"Thiết bị băm cành xoài")</f>
        <v>Thiết bị băm cành xoài</v>
      </c>
      <c r="C1230" s="1076" t="str">
        <f>IFERROR(__xludf.DUMMYFUNCTION("""COMPUTED_VALUE"""),"XN Bò AD")</f>
        <v>XN Bò AD</v>
      </c>
      <c r="D1230" s="1076" t="str">
        <f>IFERROR(__xludf.DUMMYFUNCTION("""COMPUTED_VALUE"""),"THACO AGRI")</f>
        <v>THACO AGRI</v>
      </c>
      <c r="E1230" s="1076" t="str">
        <f>IFERROR(__xludf.DUMMYFUNCTION("""COMPUTED_VALUE"""),"CK-MBC-01")</f>
        <v>CK-MBC-01</v>
      </c>
      <c r="F1230" s="1076"/>
      <c r="G1230" s="1076" t="str">
        <f>IFERROR(__xludf.DUMMYFUNCTION("""COMPUTED_VALUE"""),"2024")</f>
        <v>2024</v>
      </c>
      <c r="H1230" s="1076" t="str">
        <f>IFERROR(__xludf.DUMMYFUNCTION("""COMPUTED_VALUE"""),"3x1.7x2.1 ")</f>
        <v>3x1.7x2.1 </v>
      </c>
      <c r="I1230" s="1076"/>
      <c r="J1230" s="1076"/>
      <c r="K1230" s="1076"/>
      <c r="L1230" s="1076" t="str">
        <f>IFERROR(__xludf.DUMMYFUNCTION("""COMPUTED_VALUE"""),"KLH")</f>
        <v>KLH</v>
      </c>
    </row>
    <row r="1231" customHeight="1" spans="1:12">
      <c r="A1231" s="1076" t="str">
        <f>IFERROR(__xludf.DUMMYFUNCTION("""COMPUTED_VALUE"""),"XB1-TTA-001")</f>
        <v>XB1-TTA-001</v>
      </c>
      <c r="B1231" s="1075" t="str">
        <f>IFERROR(__xludf.DUMMYFUNCTION("""COMPUTED_VALUE"""),"Cối trộn thức ăn TMR")</f>
        <v>Cối trộn thức ăn TMR</v>
      </c>
      <c r="C1231" s="1076" t="str">
        <f>IFERROR(__xludf.DUMMYFUNCTION("""COMPUTED_VALUE"""),"XN Bò AD")</f>
        <v>XN Bò AD</v>
      </c>
      <c r="D1231" s="1076" t="str">
        <f>IFERROR(__xludf.DUMMYFUNCTION("""COMPUTED_VALUE"""),"CAMBODIA")</f>
        <v>CAMBODIA</v>
      </c>
      <c r="E1231" s="1076" t="str">
        <f>IFERROR(__xludf.DUMMYFUNCTION("""COMPUTED_VALUE"""),"TMR")</f>
        <v>TMR</v>
      </c>
      <c r="F1231" s="1076"/>
      <c r="G1231" s="1076"/>
      <c r="H1231" s="1076"/>
      <c r="I1231" s="1076"/>
      <c r="J1231" s="1076"/>
      <c r="K1231" s="1076"/>
      <c r="L1231" s="1076" t="str">
        <f>IFERROR(__xludf.DUMMYFUNCTION("""COMPUTED_VALUE"""),"KLH")</f>
        <v>KLH</v>
      </c>
    </row>
    <row r="1232" customHeight="1" spans="1:12">
      <c r="A1232" s="1076" t="str">
        <f>IFERROR(__xludf.DUMMYFUNCTION("""COMPUTED_VALUE"""),"XB1-TTA-002")</f>
        <v>XB1-TTA-002</v>
      </c>
      <c r="B1232" s="1075" t="str">
        <f>IFERROR(__xludf.DUMMYFUNCTION("""COMPUTED_VALUE"""),"Cối trộn thức ăn TMR")</f>
        <v>Cối trộn thức ăn TMR</v>
      </c>
      <c r="C1232" s="1076" t="str">
        <f>IFERROR(__xludf.DUMMYFUNCTION("""COMPUTED_VALUE"""),"XN Bò AD")</f>
        <v>XN Bò AD</v>
      </c>
      <c r="D1232" s="1076" t="str">
        <f>IFERROR(__xludf.DUMMYFUNCTION("""COMPUTED_VALUE"""),"CAMBODIA")</f>
        <v>CAMBODIA</v>
      </c>
      <c r="E1232" s="1076" t="str">
        <f>IFERROR(__xludf.DUMMYFUNCTION("""COMPUTED_VALUE"""),"TMR")</f>
        <v>TMR</v>
      </c>
      <c r="F1232" s="1076"/>
      <c r="G1232" s="1076"/>
      <c r="H1232" s="1076"/>
      <c r="I1232" s="1076"/>
      <c r="J1232" s="1076"/>
      <c r="K1232" s="1076"/>
      <c r="L1232" s="1076" t="str">
        <f>IFERROR(__xludf.DUMMYFUNCTION("""COMPUTED_VALUE"""),"KLH")</f>
        <v>KLH</v>
      </c>
    </row>
    <row r="1233" customHeight="1" spans="1:12">
      <c r="A1233" s="1076" t="str">
        <f>IFERROR(__xludf.DUMMYFUNCTION("""COMPUTED_VALUE"""),"XB1-TTA-003")</f>
        <v>XB1-TTA-003</v>
      </c>
      <c r="B1233" s="1075" t="str">
        <f>IFERROR(__xludf.DUMMYFUNCTION("""COMPUTED_VALUE"""),"Cối trộn thức ăn TMR")</f>
        <v>Cối trộn thức ăn TMR</v>
      </c>
      <c r="C1233" s="1076" t="str">
        <f>IFERROR(__xludf.DUMMYFUNCTION("""COMPUTED_VALUE"""),"XN Bò AD")</f>
        <v>XN Bò AD</v>
      </c>
      <c r="D1233" s="1076" t="str">
        <f>IFERROR(__xludf.DUMMYFUNCTION("""COMPUTED_VALUE"""),"CAMBODIA")</f>
        <v>CAMBODIA</v>
      </c>
      <c r="E1233" s="1076" t="str">
        <f>IFERROR(__xludf.DUMMYFUNCTION("""COMPUTED_VALUE"""),"TMR")</f>
        <v>TMR</v>
      </c>
      <c r="F1233" s="1076"/>
      <c r="G1233" s="1076"/>
      <c r="H1233" s="1076"/>
      <c r="I1233" s="1076"/>
      <c r="J1233" s="1076"/>
      <c r="K1233" s="1076"/>
      <c r="L1233" s="1076" t="str">
        <f>IFERROR(__xludf.DUMMYFUNCTION("""COMPUTED_VALUE"""),"KLH")</f>
        <v>KLH</v>
      </c>
    </row>
    <row r="1234" customHeight="1" spans="1:12">
      <c r="A1234" s="1076" t="str">
        <f>IFERROR(__xludf.DUMMYFUNCTION("""COMPUTED_VALUE"""),"XB1-MBC -002")</f>
        <v>XB1-MBC -002</v>
      </c>
      <c r="B1234" s="1075" t="str">
        <f>IFERROR(__xludf.DUMMYFUNCTION("""COMPUTED_VALUE"""),"Máy băm cỏ cố định")</f>
        <v>Máy băm cỏ cố định</v>
      </c>
      <c r="C1234" s="1076" t="str">
        <f>IFERROR(__xludf.DUMMYFUNCTION("""COMPUTED_VALUE"""),"XN Bò AD")</f>
        <v>XN Bò AD</v>
      </c>
      <c r="D1234" s="1076" t="str">
        <f>IFERROR(__xludf.DUMMYFUNCTION("""COMPUTED_VALUE"""),"THACO AGRI")</f>
        <v>THACO AGRI</v>
      </c>
      <c r="E1234" s="1076" t="str">
        <f>IFERROR(__xludf.DUMMYFUNCTION("""COMPUTED_VALUE"""),"Cố định")</f>
        <v>Cố định</v>
      </c>
      <c r="F1234" s="1076"/>
      <c r="G1234" s="1076"/>
      <c r="H1234" s="1076"/>
      <c r="I1234" s="1076"/>
      <c r="J1234" s="1076"/>
      <c r="K1234" s="1076"/>
      <c r="L1234" s="1076" t="str">
        <f>IFERROR(__xludf.DUMMYFUNCTION("""COMPUTED_VALUE"""),"KLH")</f>
        <v>KLH</v>
      </c>
    </row>
    <row r="1235" customHeight="1" spans="1:12">
      <c r="A1235" s="1076" t="str">
        <f>IFERROR(__xludf.DUMMYFUNCTION("""COMPUTED_VALUE"""),"XB1-MBC -003")</f>
        <v>XB1-MBC -003</v>
      </c>
      <c r="B1235" s="1075" t="str">
        <f>IFERROR(__xludf.DUMMYFUNCTION("""COMPUTED_VALUE"""),"Máy băm cỏ cố định")</f>
        <v>Máy băm cỏ cố định</v>
      </c>
      <c r="C1235" s="1076" t="str">
        <f>IFERROR(__xludf.DUMMYFUNCTION("""COMPUTED_VALUE"""),"XN Bò AD")</f>
        <v>XN Bò AD</v>
      </c>
      <c r="D1235" s="1076" t="str">
        <f>IFERROR(__xludf.DUMMYFUNCTION("""COMPUTED_VALUE"""),"THACO AGRI")</f>
        <v>THACO AGRI</v>
      </c>
      <c r="E1235" s="1076" t="str">
        <f>IFERROR(__xludf.DUMMYFUNCTION("""COMPUTED_VALUE"""),"Cố định")</f>
        <v>Cố định</v>
      </c>
      <c r="F1235" s="1076"/>
      <c r="G1235" s="1076"/>
      <c r="H1235" s="1076"/>
      <c r="I1235" s="1076"/>
      <c r="J1235" s="1076"/>
      <c r="K1235" s="1076"/>
      <c r="L1235" s="1076" t="str">
        <f>IFERROR(__xludf.DUMMYFUNCTION("""COMPUTED_VALUE"""),"KLH")</f>
        <v>KLH</v>
      </c>
    </row>
    <row r="1236" customHeight="1" spans="1:12">
      <c r="A1236" s="1076" t="str">
        <f>IFERROR(__xludf.DUMMYFUNCTION("""COMPUTED_VALUE"""),"XB1-MBC -005")</f>
        <v>XB1-MBC -005</v>
      </c>
      <c r="B1236" s="1075" t="str">
        <f>IFERROR(__xludf.DUMMYFUNCTION("""COMPUTED_VALUE"""),"Máy băm cỏ cố định")</f>
        <v>Máy băm cỏ cố định</v>
      </c>
      <c r="C1236" s="1076" t="str">
        <f>IFERROR(__xludf.DUMMYFUNCTION("""COMPUTED_VALUE"""),"XN Bò AD")</f>
        <v>XN Bò AD</v>
      </c>
      <c r="D1236" s="1076" t="str">
        <f>IFERROR(__xludf.DUMMYFUNCTION("""COMPUTED_VALUE"""),"THACO AGRI")</f>
        <v>THACO AGRI</v>
      </c>
      <c r="E1236" s="1076" t="str">
        <f>IFERROR(__xludf.DUMMYFUNCTION("""COMPUTED_VALUE"""),"Cố định")</f>
        <v>Cố định</v>
      </c>
      <c r="F1236" s="1076"/>
      <c r="G1236" s="1076"/>
      <c r="H1236" s="1076"/>
      <c r="I1236" s="1076"/>
      <c r="J1236" s="1076"/>
      <c r="K1236" s="1076"/>
      <c r="L1236" s="1076" t="str">
        <f>IFERROR(__xludf.DUMMYFUNCTION("""COMPUTED_VALUE"""),"KLH")</f>
        <v>KLH</v>
      </c>
    </row>
    <row r="1237" customHeight="1" spans="1:12">
      <c r="A1237" s="1076" t="str">
        <f>IFERROR(__xludf.DUMMYFUNCTION("""COMPUTED_VALUE"""),"XB1-MBC -011")</f>
        <v>XB1-MBC -011</v>
      </c>
      <c r="B1237" s="1075" t="str">
        <f>IFERROR(__xludf.DUMMYFUNCTION("""COMPUTED_VALUE"""),"Máy băm cỏ cố định")</f>
        <v>Máy băm cỏ cố định</v>
      </c>
      <c r="C1237" s="1076" t="str">
        <f>IFERROR(__xludf.DUMMYFUNCTION("""COMPUTED_VALUE"""),"XN Bò AD")</f>
        <v>XN Bò AD</v>
      </c>
      <c r="D1237" s="1076" t="str">
        <f>IFERROR(__xludf.DUMMYFUNCTION("""COMPUTED_VALUE"""),"THACO AGRI")</f>
        <v>THACO AGRI</v>
      </c>
      <c r="E1237" s="1076" t="str">
        <f>IFERROR(__xludf.DUMMYFUNCTION("""COMPUTED_VALUE"""),"Cố định")</f>
        <v>Cố định</v>
      </c>
      <c r="F1237" s="1076"/>
      <c r="G1237" s="1076"/>
      <c r="H1237" s="1076"/>
      <c r="I1237" s="1076"/>
      <c r="J1237" s="1076"/>
      <c r="K1237" s="1076"/>
      <c r="L1237" s="1076" t="str">
        <f>IFERROR(__xludf.DUMMYFUNCTION("""COMPUTED_VALUE"""),"KLH")</f>
        <v>KLH</v>
      </c>
    </row>
    <row r="1238" customHeight="1" spans="1:12">
      <c r="A1238" s="1076" t="str">
        <f>IFERROR(__xludf.DUMMYFUNCTION("""COMPUTED_VALUE"""),"XB1-MBC -018")</f>
        <v>XB1-MBC -018</v>
      </c>
      <c r="B1238" s="1075" t="str">
        <f>IFERROR(__xludf.DUMMYFUNCTION("""COMPUTED_VALUE"""),"Máy băm cỏ cố định")</f>
        <v>Máy băm cỏ cố định</v>
      </c>
      <c r="C1238" s="1076" t="str">
        <f>IFERROR(__xludf.DUMMYFUNCTION("""COMPUTED_VALUE"""),"XN Bò AD")</f>
        <v>XN Bò AD</v>
      </c>
      <c r="D1238" s="1076" t="str">
        <f>IFERROR(__xludf.DUMMYFUNCTION("""COMPUTED_VALUE"""),"THACO AGRI")</f>
        <v>THACO AGRI</v>
      </c>
      <c r="E1238" s="1076" t="str">
        <f>IFERROR(__xludf.DUMMYFUNCTION("""COMPUTED_VALUE"""),"Cố định")</f>
        <v>Cố định</v>
      </c>
      <c r="F1238" s="1076"/>
      <c r="G1238" s="1076"/>
      <c r="H1238" s="1076"/>
      <c r="I1238" s="1076"/>
      <c r="J1238" s="1076"/>
      <c r="K1238" s="1076"/>
      <c r="L1238" s="1076" t="str">
        <f>IFERROR(__xludf.DUMMYFUNCTION("""COMPUTED_VALUE"""),"KLH")</f>
        <v>KLH</v>
      </c>
    </row>
    <row r="1239" customHeight="1" spans="1:12">
      <c r="A1239" s="1076" t="str">
        <f>IFERROR(__xludf.DUMMYFUNCTION("""COMPUTED_VALUE"""),"XB1-MBC -019")</f>
        <v>XB1-MBC -019</v>
      </c>
      <c r="B1239" s="1075" t="str">
        <f>IFERROR(__xludf.DUMMYFUNCTION("""COMPUTED_VALUE"""),"Máy băm cố định")</f>
        <v>Máy băm cố định</v>
      </c>
      <c r="C1239" s="1076" t="str">
        <f>IFERROR(__xludf.DUMMYFUNCTION("""COMPUTED_VALUE"""),"XN Chuối DP2")</f>
        <v>XN Chuối DP2</v>
      </c>
      <c r="D1239" s="1076" t="str">
        <f>IFERROR(__xludf.DUMMYFUNCTION("""COMPUTED_VALUE"""),"THACO AGRI")</f>
        <v>THACO AGRI</v>
      </c>
      <c r="E1239" s="1076" t="str">
        <f>IFERROR(__xludf.DUMMYFUNCTION("""COMPUTED_VALUE"""),"CK-MB-22")</f>
        <v>CK-MB-22</v>
      </c>
      <c r="F1239" s="1076"/>
      <c r="G1239" s="1076" t="str">
        <f>IFERROR(__xludf.DUMMYFUNCTION("""COMPUTED_VALUE"""),"2024")</f>
        <v>2024</v>
      </c>
      <c r="H1239" s="1076" t="str">
        <f>IFERROR(__xludf.DUMMYFUNCTION("""COMPUTED_VALUE"""),"2,25x0,8x3,7m")</f>
        <v>2,25x0,8x3,7m</v>
      </c>
      <c r="I1239" s="1076"/>
      <c r="J1239" s="1076"/>
      <c r="K1239" s="1076"/>
      <c r="L1239" s="1076" t="str">
        <f>IFERROR(__xludf.DUMMYFUNCTION("""COMPUTED_VALUE"""),"KLH")</f>
        <v>KLH</v>
      </c>
    </row>
    <row r="1240" customHeight="1" spans="1:12">
      <c r="A1240" s="1076" t="str">
        <f>IFERROR(__xludf.DUMMYFUNCTION("""COMPUTED_VALUE"""),"XB1-MBD-001")</f>
        <v>XB1-MBD-001</v>
      </c>
      <c r="B1240" s="1075" t="str">
        <f>IFERROR(__xludf.DUMMYFUNCTION("""COMPUTED_VALUE"""),"Máy băm cỏ di động")</f>
        <v>Máy băm cỏ di động</v>
      </c>
      <c r="C1240" s="1076" t="str">
        <f>IFERROR(__xludf.DUMMYFUNCTION("""COMPUTED_VALUE"""),"XN Bò AD")</f>
        <v>XN Bò AD</v>
      </c>
      <c r="D1240" s="1076" t="str">
        <f>IFERROR(__xludf.DUMMYFUNCTION("""COMPUTED_VALUE"""),"THACO AGRI")</f>
        <v>THACO AGRI</v>
      </c>
      <c r="E1240" s="1076" t="str">
        <f>IFERROR(__xludf.DUMMYFUNCTION("""COMPUTED_VALUE"""),"Di động")</f>
        <v>Di động</v>
      </c>
      <c r="F1240" s="1076"/>
      <c r="G1240" s="1076"/>
      <c r="H1240" s="1076"/>
      <c r="I1240" s="1076"/>
      <c r="J1240" s="1076"/>
      <c r="K1240" s="1076"/>
      <c r="L1240" s="1076" t="str">
        <f>IFERROR(__xludf.DUMMYFUNCTION("""COMPUTED_VALUE"""),"KLH")</f>
        <v>KLH</v>
      </c>
    </row>
    <row r="1241" customHeight="1" spans="1:12">
      <c r="A1241" s="1076" t="str">
        <f>IFERROR(__xludf.DUMMYFUNCTION("""COMPUTED_VALUE"""),"XB1-MBD-002")</f>
        <v>XB1-MBD-002</v>
      </c>
      <c r="B1241" s="1075" t="str">
        <f>IFERROR(__xludf.DUMMYFUNCTION("""COMPUTED_VALUE"""),"Máy băm cỏ di động")</f>
        <v>Máy băm cỏ di động</v>
      </c>
      <c r="C1241" s="1076" t="str">
        <f>IFERROR(__xludf.DUMMYFUNCTION("""COMPUTED_VALUE"""),"XN Bò AD")</f>
        <v>XN Bò AD</v>
      </c>
      <c r="D1241" s="1076" t="str">
        <f>IFERROR(__xludf.DUMMYFUNCTION("""COMPUTED_VALUE"""),"THACO AGRI")</f>
        <v>THACO AGRI</v>
      </c>
      <c r="E1241" s="1076" t="str">
        <f>IFERROR(__xludf.DUMMYFUNCTION("""COMPUTED_VALUE"""),"Di động")</f>
        <v>Di động</v>
      </c>
      <c r="F1241" s="1076"/>
      <c r="G1241" s="1076"/>
      <c r="H1241" s="1076"/>
      <c r="I1241" s="1076"/>
      <c r="J1241" s="1076"/>
      <c r="K1241" s="1076"/>
      <c r="L1241" s="1076" t="str">
        <f>IFERROR(__xludf.DUMMYFUNCTION("""COMPUTED_VALUE"""),"KLH")</f>
        <v>KLH</v>
      </c>
    </row>
    <row r="1242" customHeight="1" spans="1:12">
      <c r="A1242" s="1076" t="str">
        <f>IFERROR(__xludf.DUMMYFUNCTION("""COMPUTED_VALUE"""),"XB1-PVS -001")</f>
        <v>XB1-PVS -001</v>
      </c>
      <c r="B1242" s="1075" t="str">
        <f>IFERROR(__xludf.DUMMYFUNCTION("""COMPUTED_VALUE"""),"Bồn phun vi sinh, khử trùng")</f>
        <v>Bồn phun vi sinh, khử trùng</v>
      </c>
      <c r="C1242" s="1076" t="str">
        <f>IFERROR(__xludf.DUMMYFUNCTION("""COMPUTED_VALUE"""),"XN Bò AD")</f>
        <v>XN Bò AD</v>
      </c>
      <c r="D1242" s="1076" t="str">
        <f>IFERROR(__xludf.DUMMYFUNCTION("""COMPUTED_VALUE"""),"CAMBODIA")</f>
        <v>CAMBODIA</v>
      </c>
      <c r="E1242" s="1076"/>
      <c r="F1242" s="1076"/>
      <c r="G1242" s="1076"/>
      <c r="H1242" s="1076"/>
      <c r="I1242" s="1076"/>
      <c r="J1242" s="1076"/>
      <c r="K1242" s="1076"/>
      <c r="L1242" s="1076" t="str">
        <f>IFERROR(__xludf.DUMMYFUNCTION("""COMPUTED_VALUE"""),"KLH")</f>
        <v>KLH</v>
      </c>
    </row>
    <row r="1243" customHeight="1" spans="1:12">
      <c r="A1243" s="1076" t="str">
        <f>IFERROR(__xludf.DUMMYFUNCTION("""COMPUTED_VALUE"""),"XB1-PVS -002")</f>
        <v>XB1-PVS -002</v>
      </c>
      <c r="B1243" s="1075" t="str">
        <f>IFERROR(__xludf.DUMMYFUNCTION("""COMPUTED_VALUE"""),"Bồn phun vi sinh, khử trùng")</f>
        <v>Bồn phun vi sinh, khử trùng</v>
      </c>
      <c r="C1243" s="1076" t="str">
        <f>IFERROR(__xludf.DUMMYFUNCTION("""COMPUTED_VALUE"""),"XN Bò AD")</f>
        <v>XN Bò AD</v>
      </c>
      <c r="D1243" s="1076" t="str">
        <f>IFERROR(__xludf.DUMMYFUNCTION("""COMPUTED_VALUE"""),"CAMBODIA")</f>
        <v>CAMBODIA</v>
      </c>
      <c r="E1243" s="1076"/>
      <c r="F1243" s="1076"/>
      <c r="G1243" s="1076"/>
      <c r="H1243" s="1076"/>
      <c r="I1243" s="1076"/>
      <c r="J1243" s="1076"/>
      <c r="K1243" s="1076"/>
      <c r="L1243" s="1076" t="str">
        <f>IFERROR(__xludf.DUMMYFUNCTION("""COMPUTED_VALUE"""),"KLH")</f>
        <v>KLH</v>
      </c>
    </row>
    <row r="1244" customHeight="1" spans="1:12">
      <c r="A1244" s="1076" t="str">
        <f>IFERROR(__xludf.DUMMYFUNCTION("""COMPUTED_VALUE"""),"XB1-RMO-001")</f>
        <v>XB1-RMO-001</v>
      </c>
      <c r="B1244" s="1075" t="str">
        <f>IFERROR(__xludf.DUMMYFUNCTION("""COMPUTED_VALUE"""),"Rơ mooc thùng")</f>
        <v>Rơ mooc thùng</v>
      </c>
      <c r="C1244" s="1076" t="str">
        <f>IFERROR(__xludf.DUMMYFUNCTION("""COMPUTED_VALUE"""),"XN Bò AD")</f>
        <v>XN Bò AD</v>
      </c>
      <c r="D1244" s="1076" t="str">
        <f>IFERROR(__xludf.DUMMYFUNCTION("""COMPUTED_VALUE"""),"THACO AGRI")</f>
        <v>THACO AGRI</v>
      </c>
      <c r="E1244" s="1076" t="str">
        <f>IFERROR(__xludf.DUMMYFUNCTION("""COMPUTED_VALUE"""),"RM thùng")</f>
        <v>RM thùng</v>
      </c>
      <c r="F1244" s="1076"/>
      <c r="G1244" s="1076"/>
      <c r="H1244" s="1076"/>
      <c r="I1244" s="1076"/>
      <c r="J1244" s="1076"/>
      <c r="K1244" s="1076"/>
      <c r="L1244" s="1076" t="str">
        <f>IFERROR(__xludf.DUMMYFUNCTION("""COMPUTED_VALUE"""),"KLH")</f>
        <v>KLH</v>
      </c>
    </row>
    <row r="1245" customHeight="1" spans="1:12">
      <c r="A1245" s="1076" t="str">
        <f>IFERROR(__xludf.DUMMYFUNCTION("""COMPUTED_VALUE"""),"XB1-RMO-002")</f>
        <v>XB1-RMO-002</v>
      </c>
      <c r="B1245" s="1075" t="str">
        <f>IFERROR(__xludf.DUMMYFUNCTION("""COMPUTED_VALUE"""),"Rơ mooc thùng")</f>
        <v>Rơ mooc thùng</v>
      </c>
      <c r="C1245" s="1076" t="str">
        <f>IFERROR(__xludf.DUMMYFUNCTION("""COMPUTED_VALUE"""),"XN Bò AD")</f>
        <v>XN Bò AD</v>
      </c>
      <c r="D1245" s="1076" t="str">
        <f>IFERROR(__xludf.DUMMYFUNCTION("""COMPUTED_VALUE"""),"THACO AGRI")</f>
        <v>THACO AGRI</v>
      </c>
      <c r="E1245" s="1076" t="str">
        <f>IFERROR(__xludf.DUMMYFUNCTION("""COMPUTED_VALUE"""),"RM thùng")</f>
        <v>RM thùng</v>
      </c>
      <c r="F1245" s="1076"/>
      <c r="G1245" s="1076"/>
      <c r="H1245" s="1076"/>
      <c r="I1245" s="1076"/>
      <c r="J1245" s="1076"/>
      <c r="K1245" s="1076"/>
      <c r="L1245" s="1076" t="str">
        <f>IFERROR(__xludf.DUMMYFUNCTION("""COMPUTED_VALUE"""),"KLH")</f>
        <v>KLH</v>
      </c>
    </row>
    <row r="1246" customHeight="1" spans="1:12">
      <c r="A1246" s="1076" t="str">
        <f>IFERROR(__xludf.DUMMYFUNCTION("""COMPUTED_VALUE"""),"XB1-RMO-003")</f>
        <v>XB1-RMO-003</v>
      </c>
      <c r="B1246" s="1075" t="str">
        <f>IFERROR(__xludf.DUMMYFUNCTION("""COMPUTED_VALUE"""),"Rơ mooc thùng")</f>
        <v>Rơ mooc thùng</v>
      </c>
      <c r="C1246" s="1076" t="str">
        <f>IFERROR(__xludf.DUMMYFUNCTION("""COMPUTED_VALUE"""),"XN Bò AD")</f>
        <v>XN Bò AD</v>
      </c>
      <c r="D1246" s="1076" t="str">
        <f>IFERROR(__xludf.DUMMYFUNCTION("""COMPUTED_VALUE"""),"THACO AGRI")</f>
        <v>THACO AGRI</v>
      </c>
      <c r="E1246" s="1076" t="str">
        <f>IFERROR(__xludf.DUMMYFUNCTION("""COMPUTED_VALUE"""),"RM thùng")</f>
        <v>RM thùng</v>
      </c>
      <c r="F1246" s="1076"/>
      <c r="G1246" s="1076"/>
      <c r="H1246" s="1076"/>
      <c r="I1246" s="1076"/>
      <c r="J1246" s="1076"/>
      <c r="K1246" s="1076"/>
      <c r="L1246" s="1076" t="str">
        <f>IFERROR(__xludf.DUMMYFUNCTION("""COMPUTED_VALUE"""),"KLH")</f>
        <v>KLH</v>
      </c>
    </row>
    <row r="1247" customHeight="1" spans="1:12">
      <c r="A1247" s="1076" t="str">
        <f>IFERROR(__xludf.DUMMYFUNCTION("""COMPUTED_VALUE"""),"XB1-RMO-004")</f>
        <v>XB1-RMO-004</v>
      </c>
      <c r="B1247" s="1075" t="str">
        <f>IFERROR(__xludf.DUMMYFUNCTION("""COMPUTED_VALUE"""),"Rơ mooc thùng")</f>
        <v>Rơ mooc thùng</v>
      </c>
      <c r="C1247" s="1076" t="str">
        <f>IFERROR(__xludf.DUMMYFUNCTION("""COMPUTED_VALUE"""),"XN Bò AD")</f>
        <v>XN Bò AD</v>
      </c>
      <c r="D1247" s="1076" t="str">
        <f>IFERROR(__xludf.DUMMYFUNCTION("""COMPUTED_VALUE"""),"THACO AGRI")</f>
        <v>THACO AGRI</v>
      </c>
      <c r="E1247" s="1076" t="str">
        <f>IFERROR(__xludf.DUMMYFUNCTION("""COMPUTED_VALUE"""),"RM thùng")</f>
        <v>RM thùng</v>
      </c>
      <c r="F1247" s="1076"/>
      <c r="G1247" s="1076"/>
      <c r="H1247" s="1076"/>
      <c r="I1247" s="1076"/>
      <c r="J1247" s="1076"/>
      <c r="K1247" s="1076"/>
      <c r="L1247" s="1076" t="str">
        <f>IFERROR(__xludf.DUMMYFUNCTION("""COMPUTED_VALUE"""),"KLH")</f>
        <v>KLH</v>
      </c>
    </row>
    <row r="1248" customHeight="1" spans="1:12">
      <c r="A1248" s="1076" t="str">
        <f>IFERROR(__xludf.DUMMYFUNCTION("""COMPUTED_VALUE"""),"XB1-RMO-005")</f>
        <v>XB1-RMO-005</v>
      </c>
      <c r="B1248" s="1075" t="str">
        <f>IFERROR(__xludf.DUMMYFUNCTION("""COMPUTED_VALUE"""),"Rơ mooc đi cùng shibaura")</f>
        <v>Rơ mooc đi cùng shibaura</v>
      </c>
      <c r="C1248" s="1076" t="str">
        <f>IFERROR(__xludf.DUMMYFUNCTION("""COMPUTED_VALUE"""),"XN Bò AD")</f>
        <v>XN Bò AD</v>
      </c>
      <c r="D1248" s="1076" t="str">
        <f>IFERROR(__xludf.DUMMYFUNCTION("""COMPUTED_VALUE"""),"THACO AGRI")</f>
        <v>THACO AGRI</v>
      </c>
      <c r="E1248" s="1076"/>
      <c r="F1248" s="1076"/>
      <c r="G1248" s="1076"/>
      <c r="H1248" s="1076"/>
      <c r="I1248" s="1076"/>
      <c r="J1248" s="1076"/>
      <c r="K1248" s="1076"/>
      <c r="L1248" s="1076" t="str">
        <f>IFERROR(__xludf.DUMMYFUNCTION("""COMPUTED_VALUE"""),"KLH")</f>
        <v>KLH</v>
      </c>
    </row>
    <row r="1249" customHeight="1" spans="1:12">
      <c r="A1249" s="1076" t="str">
        <f>IFERROR(__xludf.DUMMYFUNCTION("""COMPUTED_VALUE"""),"XB1-RMC-006")</f>
        <v>XB1-RMC-006</v>
      </c>
      <c r="B1249" s="1075" t="str">
        <f>IFERROR(__xludf.DUMMYFUNCTION("""COMPUTED_VALUE"""),"Rơ mooc thu hoạch")</f>
        <v>Rơ mooc thu hoạch</v>
      </c>
      <c r="C1249" s="1076" t="str">
        <f>IFERROR(__xludf.DUMMYFUNCTION("""COMPUTED_VALUE"""),"XN Bò AD")</f>
        <v>XN Bò AD</v>
      </c>
      <c r="D1249" s="1076" t="str">
        <f>IFERROR(__xludf.DUMMYFUNCTION("""COMPUTED_VALUE"""),"THACO AGRI")</f>
        <v>THACO AGRI</v>
      </c>
      <c r="E1249" s="1076" t="str">
        <f>IFERROR(__xludf.DUMMYFUNCTION("""COMPUTED_VALUE"""),"RM thu hoạch")</f>
        <v>RM thu hoạch</v>
      </c>
      <c r="F1249" s="1076"/>
      <c r="G1249" s="1076"/>
      <c r="H1249" s="1076"/>
      <c r="I1249" s="1076"/>
      <c r="J1249" s="1076"/>
      <c r="K1249" s="1076"/>
      <c r="L1249" s="1076" t="str">
        <f>IFERROR(__xludf.DUMMYFUNCTION("""COMPUTED_VALUE"""),"KLH")</f>
        <v>KLH</v>
      </c>
    </row>
    <row r="1250" customHeight="1" spans="1:12">
      <c r="A1250" s="1076" t="str">
        <f>IFERROR(__xludf.DUMMYFUNCTION("""COMPUTED_VALUE"""),"XB1-RMC-007")</f>
        <v>XB1-RMC-007</v>
      </c>
      <c r="B1250" s="1075" t="str">
        <f>IFERROR(__xludf.DUMMYFUNCTION("""COMPUTED_VALUE"""),"Rơ mooc thu hoạch")</f>
        <v>Rơ mooc thu hoạch</v>
      </c>
      <c r="C1250" s="1076" t="str">
        <f>IFERROR(__xludf.DUMMYFUNCTION("""COMPUTED_VALUE"""),"XN Bò AD")</f>
        <v>XN Bò AD</v>
      </c>
      <c r="D1250" s="1076" t="str">
        <f>IFERROR(__xludf.DUMMYFUNCTION("""COMPUTED_VALUE"""),"THACO AGRI")</f>
        <v>THACO AGRI</v>
      </c>
      <c r="E1250" s="1076" t="str">
        <f>IFERROR(__xludf.DUMMYFUNCTION("""COMPUTED_VALUE"""),"RM thu hoạch")</f>
        <v>RM thu hoạch</v>
      </c>
      <c r="F1250" s="1076"/>
      <c r="G1250" s="1076"/>
      <c r="H1250" s="1076"/>
      <c r="I1250" s="1076"/>
      <c r="J1250" s="1076"/>
      <c r="K1250" s="1076"/>
      <c r="L1250" s="1076" t="str">
        <f>IFERROR(__xludf.DUMMYFUNCTION("""COMPUTED_VALUE"""),"KLH")</f>
        <v>KLH</v>
      </c>
    </row>
    <row r="1251" customHeight="1" spans="1:12">
      <c r="A1251" s="1076" t="str">
        <f>IFERROR(__xludf.DUMMYFUNCTION("""COMPUTED_VALUE"""),"XB1-RMC-008")</f>
        <v>XB1-RMC-008</v>
      </c>
      <c r="B1251" s="1075" t="str">
        <f>IFERROR(__xludf.DUMMYFUNCTION("""COMPUTED_VALUE"""),"Rơ mooc thu hoạch")</f>
        <v>Rơ mooc thu hoạch</v>
      </c>
      <c r="C1251" s="1076" t="str">
        <f>IFERROR(__xludf.DUMMYFUNCTION("""COMPUTED_VALUE"""),"XN Bò AD")</f>
        <v>XN Bò AD</v>
      </c>
      <c r="D1251" s="1076" t="str">
        <f>IFERROR(__xludf.DUMMYFUNCTION("""COMPUTED_VALUE"""),"THACO AGRI")</f>
        <v>THACO AGRI</v>
      </c>
      <c r="E1251" s="1076" t="str">
        <f>IFERROR(__xludf.DUMMYFUNCTION("""COMPUTED_VALUE"""),"RM thu hoạch")</f>
        <v>RM thu hoạch</v>
      </c>
      <c r="F1251" s="1076"/>
      <c r="G1251" s="1076"/>
      <c r="H1251" s="1076"/>
      <c r="I1251" s="1076"/>
      <c r="J1251" s="1076"/>
      <c r="K1251" s="1076"/>
      <c r="L1251" s="1076" t="str">
        <f>IFERROR(__xludf.DUMMYFUNCTION("""COMPUTED_VALUE"""),"KLH")</f>
        <v>KLH</v>
      </c>
    </row>
    <row r="1252" customHeight="1" spans="1:12">
      <c r="A1252" s="1076" t="str">
        <f>IFERROR(__xludf.DUMMYFUNCTION("""COMPUTED_VALUE"""),"XB1-RMB-001")</f>
        <v>XB1-RMB-001</v>
      </c>
      <c r="B1252" s="1075" t="str">
        <f>IFERROR(__xludf.DUMMYFUNCTION("""COMPUTED_VALUE"""),"Rơ mooc thùng ben")</f>
        <v>Rơ mooc thùng ben</v>
      </c>
      <c r="C1252" s="1076" t="str">
        <f>IFERROR(__xludf.DUMMYFUNCTION("""COMPUTED_VALUE"""),"XN Bò AD")</f>
        <v>XN Bò AD</v>
      </c>
      <c r="D1252" s="1076" t="str">
        <f>IFERROR(__xludf.DUMMYFUNCTION("""COMPUTED_VALUE"""),"THACO AGRI")</f>
        <v>THACO AGRI</v>
      </c>
      <c r="E1252" s="1076" t="str">
        <f>IFERROR(__xludf.DUMMYFUNCTION("""COMPUTED_VALUE"""),"RM thùng ben")</f>
        <v>RM thùng ben</v>
      </c>
      <c r="F1252" s="1076"/>
      <c r="G1252" s="1076"/>
      <c r="H1252" s="1076"/>
      <c r="I1252" s="1076"/>
      <c r="J1252" s="1076"/>
      <c r="K1252" s="1076"/>
      <c r="L1252" s="1076" t="str">
        <f>IFERROR(__xludf.DUMMYFUNCTION("""COMPUTED_VALUE"""),"KLH")</f>
        <v>KLH</v>
      </c>
    </row>
    <row r="1253" customHeight="1" spans="1:12">
      <c r="A1253" s="1076" t="str">
        <f>IFERROR(__xludf.DUMMYFUNCTION("""COMPUTED_VALUE"""),"XB1-RMB-002")</f>
        <v>XB1-RMB-002</v>
      </c>
      <c r="B1253" s="1075" t="str">
        <f>IFERROR(__xludf.DUMMYFUNCTION("""COMPUTED_VALUE"""),"Rơ mooc thùng ben")</f>
        <v>Rơ mooc thùng ben</v>
      </c>
      <c r="C1253" s="1076" t="str">
        <f>IFERROR(__xludf.DUMMYFUNCTION("""COMPUTED_VALUE"""),"XN Bò AD")</f>
        <v>XN Bò AD</v>
      </c>
      <c r="D1253" s="1076" t="str">
        <f>IFERROR(__xludf.DUMMYFUNCTION("""COMPUTED_VALUE"""),"THACO AGRI")</f>
        <v>THACO AGRI</v>
      </c>
      <c r="E1253" s="1076" t="str">
        <f>IFERROR(__xludf.DUMMYFUNCTION("""COMPUTED_VALUE"""),"RM thùng ben")</f>
        <v>RM thùng ben</v>
      </c>
      <c r="F1253" s="1076"/>
      <c r="G1253" s="1076"/>
      <c r="H1253" s="1076"/>
      <c r="I1253" s="1076"/>
      <c r="J1253" s="1076"/>
      <c r="K1253" s="1076"/>
      <c r="L1253" s="1076" t="str">
        <f>IFERROR(__xludf.DUMMYFUNCTION("""COMPUTED_VALUE"""),"KLH")</f>
        <v>KLH</v>
      </c>
    </row>
    <row r="1254" customHeight="1" spans="1:12">
      <c r="A1254" s="1076" t="str">
        <f>IFERROR(__xludf.DUMMYFUNCTION("""COMPUTED_VALUE"""),"XB1-RML-001")</f>
        <v>XB1-RML-001</v>
      </c>
      <c r="B1254" s="1075" t="str">
        <f>IFERROR(__xludf.DUMMYFUNCTION("""COMPUTED_VALUE"""),"Rơ mooc lưới")</f>
        <v>Rơ mooc lưới</v>
      </c>
      <c r="C1254" s="1076" t="str">
        <f>IFERROR(__xludf.DUMMYFUNCTION("""COMPUTED_VALUE"""),"XN Bò AD")</f>
        <v>XN Bò AD</v>
      </c>
      <c r="D1254" s="1076" t="str">
        <f>IFERROR(__xludf.DUMMYFUNCTION("""COMPUTED_VALUE"""),"THACO AGRI")</f>
        <v>THACO AGRI</v>
      </c>
      <c r="E1254" s="1076" t="str">
        <f>IFERROR(__xludf.DUMMYFUNCTION("""COMPUTED_VALUE"""),"RM lưới")</f>
        <v>RM lưới</v>
      </c>
      <c r="F1254" s="1076"/>
      <c r="G1254" s="1076"/>
      <c r="H1254" s="1076"/>
      <c r="I1254" s="1076"/>
      <c r="J1254" s="1076"/>
      <c r="K1254" s="1076"/>
      <c r="L1254" s="1076" t="str">
        <f>IFERROR(__xludf.DUMMYFUNCTION("""COMPUTED_VALUE"""),"KLH")</f>
        <v>KLH</v>
      </c>
    </row>
    <row r="1255" customHeight="1" spans="1:12">
      <c r="A1255" s="1076" t="str">
        <f>IFERROR(__xludf.DUMMYFUNCTION("""COMPUTED_VALUE"""),"XB1-RML-003")</f>
        <v>XB1-RML-003</v>
      </c>
      <c r="B1255" s="1075" t="str">
        <f>IFERROR(__xludf.DUMMYFUNCTION("""COMPUTED_VALUE"""),"Rơ mooc lưới")</f>
        <v>Rơ mooc lưới</v>
      </c>
      <c r="C1255" s="1076" t="str">
        <f>IFERROR(__xludf.DUMMYFUNCTION("""COMPUTED_VALUE"""),"XN Bò AD")</f>
        <v>XN Bò AD</v>
      </c>
      <c r="D1255" s="1076" t="str">
        <f>IFERROR(__xludf.DUMMYFUNCTION("""COMPUTED_VALUE"""),"THACO AGRI")</f>
        <v>THACO AGRI</v>
      </c>
      <c r="E1255" s="1076" t="str">
        <f>IFERROR(__xludf.DUMMYFUNCTION("""COMPUTED_VALUE"""),"RM lưới")</f>
        <v>RM lưới</v>
      </c>
      <c r="F1255" s="1076"/>
      <c r="G1255" s="1076"/>
      <c r="H1255" s="1076"/>
      <c r="I1255" s="1076"/>
      <c r="J1255" s="1076"/>
      <c r="K1255" s="1076"/>
      <c r="L1255" s="1076" t="str">
        <f>IFERROR(__xludf.DUMMYFUNCTION("""COMPUTED_VALUE"""),"KLH")</f>
        <v>KLH</v>
      </c>
    </row>
    <row r="1256" customHeight="1" spans="1:12">
      <c r="A1256" s="1076" t="str">
        <f>IFERROR(__xludf.DUMMYFUNCTION("""COMPUTED_VALUE"""),"XB1-RML-004")</f>
        <v>XB1-RML-004</v>
      </c>
      <c r="B1256" s="1075" t="str">
        <f>IFERROR(__xludf.DUMMYFUNCTION("""COMPUTED_VALUE"""),"Rơ mooc lưới")</f>
        <v>Rơ mooc lưới</v>
      </c>
      <c r="C1256" s="1076" t="str">
        <f>IFERROR(__xludf.DUMMYFUNCTION("""COMPUTED_VALUE"""),"XN Bò AD")</f>
        <v>XN Bò AD</v>
      </c>
      <c r="D1256" s="1076" t="str">
        <f>IFERROR(__xludf.DUMMYFUNCTION("""COMPUTED_VALUE"""),"THACO AGRI")</f>
        <v>THACO AGRI</v>
      </c>
      <c r="E1256" s="1076" t="str">
        <f>IFERROR(__xludf.DUMMYFUNCTION("""COMPUTED_VALUE"""),"RM lưới")</f>
        <v>RM lưới</v>
      </c>
      <c r="F1256" s="1076"/>
      <c r="G1256" s="1076"/>
      <c r="H1256" s="1076"/>
      <c r="I1256" s="1076"/>
      <c r="J1256" s="1076"/>
      <c r="K1256" s="1076"/>
      <c r="L1256" s="1076" t="str">
        <f>IFERROR(__xludf.DUMMYFUNCTION("""COMPUTED_VALUE"""),"KLH")</f>
        <v>KLH</v>
      </c>
    </row>
    <row r="1257" customHeight="1" spans="1:12">
      <c r="A1257" s="1076" t="str">
        <f>IFERROR(__xludf.DUMMYFUNCTION("""COMPUTED_VALUE"""),"XB1-RML-005")</f>
        <v>XB1-RML-005</v>
      </c>
      <c r="B1257" s="1075" t="str">
        <f>IFERROR(__xludf.DUMMYFUNCTION("""COMPUTED_VALUE"""),"Rơ mooc lưới")</f>
        <v>Rơ mooc lưới</v>
      </c>
      <c r="C1257" s="1076" t="str">
        <f>IFERROR(__xludf.DUMMYFUNCTION("""COMPUTED_VALUE"""),"XN Bò AD")</f>
        <v>XN Bò AD</v>
      </c>
      <c r="D1257" s="1076" t="str">
        <f>IFERROR(__xludf.DUMMYFUNCTION("""COMPUTED_VALUE"""),"THACO AGRI")</f>
        <v>THACO AGRI</v>
      </c>
      <c r="E1257" s="1076" t="str">
        <f>IFERROR(__xludf.DUMMYFUNCTION("""COMPUTED_VALUE"""),"RM lưới")</f>
        <v>RM lưới</v>
      </c>
      <c r="F1257" s="1076"/>
      <c r="G1257" s="1076"/>
      <c r="H1257" s="1076"/>
      <c r="I1257" s="1076"/>
      <c r="J1257" s="1076"/>
      <c r="K1257" s="1076"/>
      <c r="L1257" s="1076" t="str">
        <f>IFERROR(__xludf.DUMMYFUNCTION("""COMPUTED_VALUE"""),"KLH")</f>
        <v>KLH</v>
      </c>
    </row>
    <row r="1258" customHeight="1" spans="1:12">
      <c r="A1258" s="1076" t="str">
        <f>IFERROR(__xludf.DUMMYFUNCTION("""COMPUTED_VALUE"""),"XB1-RML-006")</f>
        <v>XB1-RML-006</v>
      </c>
      <c r="B1258" s="1075" t="str">
        <f>IFERROR(__xludf.DUMMYFUNCTION("""COMPUTED_VALUE"""),"Rơ mooc lưới")</f>
        <v>Rơ mooc lưới</v>
      </c>
      <c r="C1258" s="1076" t="str">
        <f>IFERROR(__xludf.DUMMYFUNCTION("""COMPUTED_VALUE"""),"XN Bò AD")</f>
        <v>XN Bò AD</v>
      </c>
      <c r="D1258" s="1076" t="str">
        <f>IFERROR(__xludf.DUMMYFUNCTION("""COMPUTED_VALUE"""),"THACO AGRI")</f>
        <v>THACO AGRI</v>
      </c>
      <c r="E1258" s="1076" t="str">
        <f>IFERROR(__xludf.DUMMYFUNCTION("""COMPUTED_VALUE"""),"RM lưới")</f>
        <v>RM lưới</v>
      </c>
      <c r="F1258" s="1076"/>
      <c r="G1258" s="1076"/>
      <c r="H1258" s="1076"/>
      <c r="I1258" s="1076"/>
      <c r="J1258" s="1076"/>
      <c r="K1258" s="1076"/>
      <c r="L1258" s="1076" t="str">
        <f>IFERROR(__xludf.DUMMYFUNCTION("""COMPUTED_VALUE"""),"KLH")</f>
        <v>KLH</v>
      </c>
    </row>
    <row r="1259" customHeight="1" spans="1:12">
      <c r="A1259" s="1076" t="str">
        <f>IFERROR(__xludf.DUMMYFUNCTION("""COMPUTED_VALUE"""),"XB1-RML-008")</f>
        <v>XB1-RML-008</v>
      </c>
      <c r="B1259" s="1075" t="str">
        <f>IFERROR(__xludf.DUMMYFUNCTION("""COMPUTED_VALUE"""),"Rơ mooc lưới")</f>
        <v>Rơ mooc lưới</v>
      </c>
      <c r="C1259" s="1076" t="str">
        <f>IFERROR(__xludf.DUMMYFUNCTION("""COMPUTED_VALUE"""),"XN Bò AD")</f>
        <v>XN Bò AD</v>
      </c>
      <c r="D1259" s="1076" t="str">
        <f>IFERROR(__xludf.DUMMYFUNCTION("""COMPUTED_VALUE"""),"THACO AGRI")</f>
        <v>THACO AGRI</v>
      </c>
      <c r="E1259" s="1076" t="str">
        <f>IFERROR(__xludf.DUMMYFUNCTION("""COMPUTED_VALUE"""),"RM lưới")</f>
        <v>RM lưới</v>
      </c>
      <c r="F1259" s="1076"/>
      <c r="G1259" s="1076"/>
      <c r="H1259" s="1076" t="str">
        <f>IFERROR(__xludf.DUMMYFUNCTION("""COMPUTED_VALUE"""),"3.24x2.1x1.39")</f>
        <v>3.24x2.1x1.39</v>
      </c>
      <c r="I1259" s="1076" t="str">
        <f>IFERROR(__xludf.DUMMYFUNCTION("""COMPUTED_VALUE"""),"CK-RML-008")</f>
        <v>CK-RML-008</v>
      </c>
      <c r="J1259" s="1076"/>
      <c r="K1259" s="1076"/>
      <c r="L1259" s="1076" t="str">
        <f>IFERROR(__xludf.DUMMYFUNCTION("""COMPUTED_VALUE"""),"KLH")</f>
        <v>KLH</v>
      </c>
    </row>
    <row r="1260" customHeight="1" spans="1:12">
      <c r="A1260" s="1076" t="str">
        <f>IFERROR(__xludf.DUMMYFUNCTION("""COMPUTED_VALUE"""),"XB1-MLB-001")</f>
        <v>XB1-MLB-001</v>
      </c>
      <c r="B1260" s="1075" t="str">
        <f>IFERROR(__xludf.DUMMYFUNCTION("""COMPUTED_VALUE"""),"Rơ mooc lưới ben")</f>
        <v>Rơ mooc lưới ben</v>
      </c>
      <c r="C1260" s="1076" t="str">
        <f>IFERROR(__xludf.DUMMYFUNCTION("""COMPUTED_VALUE"""),"XN Bò AD")</f>
        <v>XN Bò AD</v>
      </c>
      <c r="D1260" s="1076" t="str">
        <f>IFERROR(__xludf.DUMMYFUNCTION("""COMPUTED_VALUE"""),"THACO AGRI")</f>
        <v>THACO AGRI</v>
      </c>
      <c r="E1260" s="1076" t="str">
        <f>IFERROR(__xludf.DUMMYFUNCTION("""COMPUTED_VALUE"""),"RM lưới")</f>
        <v>RM lưới</v>
      </c>
      <c r="F1260" s="1076"/>
      <c r="G1260" s="1076" t="str">
        <f>IFERROR(__xludf.DUMMYFUNCTION("""COMPUTED_VALUE"""),"2024")</f>
        <v>2024</v>
      </c>
      <c r="H1260" s="1076" t="str">
        <f>IFERROR(__xludf.DUMMYFUNCTION("""COMPUTED_VALUE"""),"3.9x2.3x2.5")</f>
        <v>3.9x2.3x2.5</v>
      </c>
      <c r="I1260" s="1076"/>
      <c r="J1260" s="1076"/>
      <c r="K1260" s="1076"/>
      <c r="L1260" s="1076" t="str">
        <f>IFERROR(__xludf.DUMMYFUNCTION("""COMPUTED_VALUE"""),"KLH")</f>
        <v>KLH</v>
      </c>
    </row>
    <row r="1261" customHeight="1" spans="1:12">
      <c r="A1261" s="1076" t="str">
        <f>IFERROR(__xludf.DUMMYFUNCTION("""COMPUTED_VALUE"""),"XB1-RMĐ-001")</f>
        <v>XB1-RMĐ-001</v>
      </c>
      <c r="B1261" s="1075" t="str">
        <f>IFERROR(__xludf.DUMMYFUNCTION("""COMPUTED_VALUE"""),"Rơ mooc vận chuyển M.đào 03")</f>
        <v>Rơ mooc vận chuyển M.đào 03</v>
      </c>
      <c r="C1261" s="1076" t="str">
        <f>IFERROR(__xludf.DUMMYFUNCTION("""COMPUTED_VALUE"""),"XN Bò AD")</f>
        <v>XN Bò AD</v>
      </c>
      <c r="D1261" s="1076" t="str">
        <f>IFERROR(__xludf.DUMMYFUNCTION("""COMPUTED_VALUE"""),"THACO AGRI")</f>
        <v>THACO AGRI</v>
      </c>
      <c r="E1261" s="1076" t="str">
        <f>IFERROR(__xludf.DUMMYFUNCTION("""COMPUTED_VALUE"""),"RM lưới ben")</f>
        <v>RM lưới ben</v>
      </c>
      <c r="F1261" s="1076"/>
      <c r="G1261" s="1076"/>
      <c r="H1261" s="1076"/>
      <c r="I1261" s="1076"/>
      <c r="J1261" s="1076"/>
      <c r="K1261" s="1076"/>
      <c r="L1261" s="1076" t="str">
        <f>IFERROR(__xludf.DUMMYFUNCTION("""COMPUTED_VALUE"""),"KLH")</f>
        <v>KLH</v>
      </c>
    </row>
    <row r="1262" customHeight="1" spans="1:12">
      <c r="A1262" s="1076" t="str">
        <f>IFERROR(__xludf.DUMMYFUNCTION("""COMPUTED_VALUE"""),"XB1-MCD-001")</f>
        <v>XB1-MCD-001</v>
      </c>
      <c r="B1262" s="1075" t="str">
        <f>IFERROR(__xludf.DUMMYFUNCTION("""COMPUTED_VALUE"""),"Rơ mooc chuyên dụng vận chuyển (MMTB)")</f>
        <v>Rơ mooc chuyên dụng vận chuyển (MMTB)</v>
      </c>
      <c r="C1262" s="1076" t="str">
        <f>IFERROR(__xludf.DUMMYFUNCTION("""COMPUTED_VALUE"""),"XN Bò AD")</f>
        <v>XN Bò AD</v>
      </c>
      <c r="D1262" s="1076" t="str">
        <f>IFERROR(__xludf.DUMMYFUNCTION("""COMPUTED_VALUE"""),"THACO AGRI")</f>
        <v>THACO AGRI</v>
      </c>
      <c r="E1262" s="1076" t="str">
        <f>IFERROR(__xludf.DUMMYFUNCTION("""COMPUTED_VALUE"""),"NM Cơ khí KLH")</f>
        <v>NM Cơ khí KLH</v>
      </c>
      <c r="F1262" s="1076">
        <f>IFERROR(__xludf.DUMMYFUNCTION("""COMPUTED_VALUE"""),2026)</f>
        <v>2026</v>
      </c>
      <c r="G1262" s="1076" t="str">
        <f>IFERROR(__xludf.DUMMYFUNCTION("""COMPUTED_VALUE"""),"Lốp đôi")</f>
        <v>Lốp đôi</v>
      </c>
      <c r="H1262" s="1076"/>
      <c r="I1262" s="1076"/>
      <c r="J1262" s="1076"/>
      <c r="K1262" s="1076"/>
      <c r="L1262" s="1076" t="str">
        <f>IFERROR(__xludf.DUMMYFUNCTION("""COMPUTED_VALUE"""),"KLH")</f>
        <v>KLH</v>
      </c>
    </row>
    <row r="1263" customHeight="1" spans="1:12">
      <c r="A1263" s="1076" t="str">
        <f>IFERROR(__xludf.DUMMYFUNCTION("""COMPUTED_VALUE"""),"XB1-SMR-001")</f>
        <v>XB1-SMR-001</v>
      </c>
      <c r="B1263" s="1075" t="str">
        <f>IFERROR(__xludf.DUMMYFUNCTION("""COMPUTED_VALUE"""),"SMRM vận chuyển 50M3")</f>
        <v>SMRM vận chuyển 50M3</v>
      </c>
      <c r="C1263" s="1076" t="str">
        <f>IFERROR(__xludf.DUMMYFUNCTION("""COMPUTED_VALUE"""),"XN Bò AD")</f>
        <v>XN Bò AD</v>
      </c>
      <c r="D1263" s="1076" t="str">
        <f>IFERROR(__xludf.DUMMYFUNCTION("""COMPUTED_VALUE"""),"INDUSTRY")</f>
        <v>INDUSTRY</v>
      </c>
      <c r="E1263" s="1076" t="str">
        <f>IFERROR(__xludf.DUMMYFUNCTION("""COMPUTED_VALUE"""),"50m3")</f>
        <v>50m3</v>
      </c>
      <c r="F1263" s="1076"/>
      <c r="G1263" s="1076" t="str">
        <f>IFERROR(__xludf.DUMMYFUNCTION("""COMPUTED_VALUE"""),"2017")</f>
        <v>2017</v>
      </c>
      <c r="H1263" s="1076" t="str">
        <f>IFERROR(__xludf.DUMMYFUNCTION("""COMPUTED_VALUE"""),"50M3")</f>
        <v>50M3</v>
      </c>
      <c r="I1263" s="1076" t="str">
        <f>IFERROR(__xludf.DUMMYFUNCTION("""COMPUTED_VALUE"""),"RN0GA339BK004311")</f>
        <v>RN0GA339BK004311</v>
      </c>
      <c r="J1263" s="1076"/>
      <c r="K1263" s="1076"/>
      <c r="L1263" s="1076" t="str">
        <f>IFERROR(__xludf.DUMMYFUNCTION("""COMPUTED_VALUE"""),"KLH")</f>
        <v>KLH</v>
      </c>
    </row>
    <row r="1264" customHeight="1" spans="1:12">
      <c r="A1264" s="1076" t="str">
        <f>IFERROR(__xludf.DUMMYFUNCTION("""COMPUTED_VALUE"""),"XB1-MRT-002")</f>
        <v>XB1-MRT-002</v>
      </c>
      <c r="B1264" s="1075" t="str">
        <f>IFERROR(__xludf.DUMMYFUNCTION("""COMPUTED_VALUE"""),"SMRM rải thức ăn TMR 50M3")</f>
        <v>SMRM rải thức ăn TMR 50M3</v>
      </c>
      <c r="C1264" s="1076" t="str">
        <f>IFERROR(__xludf.DUMMYFUNCTION("""COMPUTED_VALUE"""),"XN Bò AD")</f>
        <v>XN Bò AD</v>
      </c>
      <c r="D1264" s="1076" t="str">
        <f>IFERROR(__xludf.DUMMYFUNCTION("""COMPUTED_VALUE"""),"INDUSTRY")</f>
        <v>INDUSTRY</v>
      </c>
      <c r="E1264" s="1076" t="str">
        <f>IFERROR(__xludf.DUMMYFUNCTION("""COMPUTED_VALUE"""),"50m3")</f>
        <v>50m3</v>
      </c>
      <c r="F1264" s="1076"/>
      <c r="G1264" s="1076" t="str">
        <f>IFERROR(__xludf.DUMMYFUNCTION("""COMPUTED_VALUE"""),"2025")</f>
        <v>2025</v>
      </c>
      <c r="H1264" s="1076" t="str">
        <f>IFERROR(__xludf.DUMMYFUNCTION("""COMPUTED_VALUE"""),"50M3")</f>
        <v>50M3</v>
      </c>
      <c r="I1264" s="1076" t="str">
        <f>IFERROR(__xludf.DUMMYFUNCTION("""COMPUTED_VALUE"""),"RN0GA339BK1344231")</f>
        <v>RN0GA339BK1344231</v>
      </c>
      <c r="J1264" s="1076"/>
      <c r="K1264" s="1076">
        <f>IFERROR(__xludf.DUMMYFUNCTION("""COMPUTED_VALUE"""),5.25)</f>
        <v>5.25</v>
      </c>
      <c r="L1264" s="1076" t="str">
        <f>IFERROR(__xludf.DUMMYFUNCTION("""COMPUTED_VALUE"""),"KLH")</f>
        <v>KLH</v>
      </c>
    </row>
    <row r="1265" customHeight="1" spans="1:12">
      <c r="A1265" s="1076" t="str">
        <f>IFERROR(__xludf.DUMMYFUNCTION("""COMPUTED_VALUE"""),"XB1-MRT-003")</f>
        <v>XB1-MRT-003</v>
      </c>
      <c r="B1265" s="1075" t="str">
        <f>IFERROR(__xludf.DUMMYFUNCTION("""COMPUTED_VALUE"""),"SMRM rải thức ăn TMR 50M3")</f>
        <v>SMRM rải thức ăn TMR 50M3</v>
      </c>
      <c r="C1265" s="1076" t="str">
        <f>IFERROR(__xludf.DUMMYFUNCTION("""COMPUTED_VALUE"""),"XN Bò AD")</f>
        <v>XN Bò AD</v>
      </c>
      <c r="D1265" s="1076" t="str">
        <f>IFERROR(__xludf.DUMMYFUNCTION("""COMPUTED_VALUE"""),"INDUSTRY")</f>
        <v>INDUSTRY</v>
      </c>
      <c r="E1265" s="1076" t="str">
        <f>IFERROR(__xludf.DUMMYFUNCTION("""COMPUTED_VALUE"""),"50m3")</f>
        <v>50m3</v>
      </c>
      <c r="F1265" s="1076"/>
      <c r="G1265" s="1076" t="str">
        <f>IFERROR(__xludf.DUMMYFUNCTION("""COMPUTED_VALUE"""),"2025")</f>
        <v>2025</v>
      </c>
      <c r="H1265" s="1076" t="str">
        <f>IFERROR(__xludf.DUMMYFUNCTION("""COMPUTED_VALUE"""),"50M3")</f>
        <v>50M3</v>
      </c>
      <c r="I1265" s="1076" t="str">
        <f>IFERROR(__xludf.DUMMYFUNCTION("""COMPUTED_VALUE"""),"RMFLS232ASC001299")</f>
        <v>RMFLS232ASC001299</v>
      </c>
      <c r="J1265" s="1076"/>
      <c r="K1265" s="1076">
        <f>IFERROR(__xludf.DUMMYFUNCTION("""COMPUTED_VALUE"""),5.25)</f>
        <v>5.25</v>
      </c>
      <c r="L1265" s="1076" t="str">
        <f>IFERROR(__xludf.DUMMYFUNCTION("""COMPUTED_VALUE"""),"KLH")</f>
        <v>KLH</v>
      </c>
    </row>
    <row r="1266" customHeight="1" spans="1:12">
      <c r="A1266" s="1076" t="str">
        <f>IFERROR(__xludf.DUMMYFUNCTION("""COMPUTED_VALUE"""),"XB1-MRT-004")</f>
        <v>XB1-MRT-004</v>
      </c>
      <c r="B1266" s="1075" t="str">
        <f>IFERROR(__xludf.DUMMYFUNCTION("""COMPUTED_VALUE"""),"SMRM rải thức ăn TMR 50M3")</f>
        <v>SMRM rải thức ăn TMR 50M3</v>
      </c>
      <c r="C1266" s="1076" t="str">
        <f>IFERROR(__xludf.DUMMYFUNCTION("""COMPUTED_VALUE"""),"XN Bò AD")</f>
        <v>XN Bò AD</v>
      </c>
      <c r="D1266" s="1076" t="str">
        <f>IFERROR(__xludf.DUMMYFUNCTION("""COMPUTED_VALUE"""),"INDUSTRY")</f>
        <v>INDUSTRY</v>
      </c>
      <c r="E1266" s="1076" t="str">
        <f>IFERROR(__xludf.DUMMYFUNCTION("""COMPUTED_VALUE"""),"50m3")</f>
        <v>50m3</v>
      </c>
      <c r="F1266" s="1076"/>
      <c r="G1266" s="1076" t="str">
        <f>IFERROR(__xludf.DUMMYFUNCTION("""COMPUTED_VALUE"""),"2025")</f>
        <v>2025</v>
      </c>
      <c r="H1266" s="1076" t="str">
        <f>IFERROR(__xludf.DUMMYFUNCTION("""COMPUTED_VALUE"""),"50M3")</f>
        <v>50M3</v>
      </c>
      <c r="I1266" s="1076" t="str">
        <f>IFERROR(__xludf.DUMMYFUNCTION("""COMPUTED_VALUE"""),"RMFLS232ASC001303")</f>
        <v>RMFLS232ASC001303</v>
      </c>
      <c r="J1266" s="1076"/>
      <c r="K1266" s="1076">
        <f>IFERROR(__xludf.DUMMYFUNCTION("""COMPUTED_VALUE"""),5.25)</f>
        <v>5.25</v>
      </c>
      <c r="L1266" s="1076" t="str">
        <f>IFERROR(__xludf.DUMMYFUNCTION("""COMPUTED_VALUE"""),"KLH")</f>
        <v>KLH</v>
      </c>
    </row>
    <row r="1267" customHeight="1" spans="1:12">
      <c r="A1267" s="1076" t="str">
        <f>IFERROR(__xludf.DUMMYFUNCTION("""COMPUTED_VALUE"""),"XB1-MRT-005")</f>
        <v>XB1-MRT-005</v>
      </c>
      <c r="B1267" s="1075" t="str">
        <f>IFERROR(__xludf.DUMMYFUNCTION("""COMPUTED_VALUE"""),"SMRM rải thức ăn TMR 50M3")</f>
        <v>SMRM rải thức ăn TMR 50M3</v>
      </c>
      <c r="C1267" s="1076" t="str">
        <f>IFERROR(__xludf.DUMMYFUNCTION("""COMPUTED_VALUE"""),"XN Bò AD")</f>
        <v>XN Bò AD</v>
      </c>
      <c r="D1267" s="1076" t="str">
        <f>IFERROR(__xludf.DUMMYFUNCTION("""COMPUTED_VALUE"""),"INDUSTRY")</f>
        <v>INDUSTRY</v>
      </c>
      <c r="E1267" s="1076" t="str">
        <f>IFERROR(__xludf.DUMMYFUNCTION("""COMPUTED_VALUE"""),"50m3")</f>
        <v>50m3</v>
      </c>
      <c r="F1267" s="1076"/>
      <c r="G1267" s="1076" t="str">
        <f>IFERROR(__xludf.DUMMYFUNCTION("""COMPUTED_VALUE"""),"2025")</f>
        <v>2025</v>
      </c>
      <c r="H1267" s="1076" t="str">
        <f>IFERROR(__xludf.DUMMYFUNCTION("""COMPUTED_VALUE"""),"50M3")</f>
        <v>50M3</v>
      </c>
      <c r="I1267" s="1076" t="str">
        <f>IFERROR(__xludf.DUMMYFUNCTION("""COMPUTED_VALUE"""),"RMFLS232ASC001304")</f>
        <v>RMFLS232ASC001304</v>
      </c>
      <c r="J1267" s="1076"/>
      <c r="K1267" s="1076">
        <f>IFERROR(__xludf.DUMMYFUNCTION("""COMPUTED_VALUE"""),5.25)</f>
        <v>5.25</v>
      </c>
      <c r="L1267" s="1076" t="str">
        <f>IFERROR(__xludf.DUMMYFUNCTION("""COMPUTED_VALUE"""),"KLH")</f>
        <v>KLH</v>
      </c>
    </row>
    <row r="1268" customHeight="1" spans="1:12">
      <c r="A1268" s="1076" t="str">
        <f>IFERROR(__xludf.DUMMYFUNCTION("""COMPUTED_VALUE"""),"XB1-MRT-006")</f>
        <v>XB1-MRT-006</v>
      </c>
      <c r="B1268" s="1075" t="str">
        <f>IFERROR(__xludf.DUMMYFUNCTION("""COMPUTED_VALUE"""),"SMRM rải thức ăn TMR 50M3")</f>
        <v>SMRM rải thức ăn TMR 50M3</v>
      </c>
      <c r="C1268" s="1076" t="str">
        <f>IFERROR(__xludf.DUMMYFUNCTION("""COMPUTED_VALUE"""),"XN Bò AD")</f>
        <v>XN Bò AD</v>
      </c>
      <c r="D1268" s="1076" t="str">
        <f>IFERROR(__xludf.DUMMYFUNCTION("""COMPUTED_VALUE"""),"INDUSTRY")</f>
        <v>INDUSTRY</v>
      </c>
      <c r="E1268" s="1076" t="str">
        <f>IFERROR(__xludf.DUMMYFUNCTION("""COMPUTED_VALUE"""),"50m3")</f>
        <v>50m3</v>
      </c>
      <c r="F1268" s="1076"/>
      <c r="G1268" s="1076" t="str">
        <f>IFERROR(__xludf.DUMMYFUNCTION("""COMPUTED_VALUE"""),"2025")</f>
        <v>2025</v>
      </c>
      <c r="H1268" s="1076" t="str">
        <f>IFERROR(__xludf.DUMMYFUNCTION("""COMPUTED_VALUE"""),"50M3")</f>
        <v>50M3</v>
      </c>
      <c r="I1268" s="1076" t="str">
        <f>IFERROR(__xludf.DUMMYFUNCTION("""COMPUTED_VALUE"""),"RMFLS232ASC001305")</f>
        <v>RMFLS232ASC001305</v>
      </c>
      <c r="J1268" s="1076"/>
      <c r="K1268" s="1076">
        <f>IFERROR(__xludf.DUMMYFUNCTION("""COMPUTED_VALUE"""),5.25)</f>
        <v>5.25</v>
      </c>
      <c r="L1268" s="1076" t="str">
        <f>IFERROR(__xludf.DUMMYFUNCTION("""COMPUTED_VALUE"""),"KLH")</f>
        <v>KLH</v>
      </c>
    </row>
    <row r="1269" customHeight="1" spans="1:12">
      <c r="A1269" s="1076" t="str">
        <f>IFERROR(__xludf.DUMMYFUNCTION("""COMPUTED_VALUE"""),"XB1-MRT-007")</f>
        <v>XB1-MRT-007</v>
      </c>
      <c r="B1269" s="1075" t="str">
        <f>IFERROR(__xludf.DUMMYFUNCTION("""COMPUTED_VALUE"""),"SMRM rải thức ăn TMR 50M3")</f>
        <v>SMRM rải thức ăn TMR 50M3</v>
      </c>
      <c r="C1269" s="1076" t="str">
        <f>IFERROR(__xludf.DUMMYFUNCTION("""COMPUTED_VALUE"""),"XN Bò AD")</f>
        <v>XN Bò AD</v>
      </c>
      <c r="D1269" s="1076" t="str">
        <f>IFERROR(__xludf.DUMMYFUNCTION("""COMPUTED_VALUE"""),"INDUSTRY")</f>
        <v>INDUSTRY</v>
      </c>
      <c r="E1269" s="1076" t="str">
        <f>IFERROR(__xludf.DUMMYFUNCTION("""COMPUTED_VALUE"""),"50m3")</f>
        <v>50m3</v>
      </c>
      <c r="F1269" s="1076"/>
      <c r="G1269" s="1076" t="str">
        <f>IFERROR(__xludf.DUMMYFUNCTION("""COMPUTED_VALUE"""),"2025")</f>
        <v>2025</v>
      </c>
      <c r="H1269" s="1076" t="str">
        <f>IFERROR(__xludf.DUMMYFUNCTION("""COMPUTED_VALUE"""),"50M3")</f>
        <v>50M3</v>
      </c>
      <c r="I1269" s="1076" t="str">
        <f>IFERROR(__xludf.DUMMYFUNCTION("""COMPUTED_VALUE"""),"RMFLS232ASC001306")</f>
        <v>RMFLS232ASC001306</v>
      </c>
      <c r="J1269" s="1076"/>
      <c r="K1269" s="1076">
        <f>IFERROR(__xludf.DUMMYFUNCTION("""COMPUTED_VALUE"""),5.25)</f>
        <v>5.25</v>
      </c>
      <c r="L1269" s="1076" t="str">
        <f>IFERROR(__xludf.DUMMYFUNCTION("""COMPUTED_VALUE"""),"KLH")</f>
        <v>KLH</v>
      </c>
    </row>
    <row r="1270" customHeight="1" spans="1:12">
      <c r="A1270" s="1076" t="str">
        <f>IFERROR(__xludf.DUMMYFUNCTION("""COMPUTED_VALUE"""),"XB1-MRT-008")</f>
        <v>XB1-MRT-008</v>
      </c>
      <c r="B1270" s="1075" t="str">
        <f>IFERROR(__xludf.DUMMYFUNCTION("""COMPUTED_VALUE"""),"SMRM rải thức ăn TMR 50M3")</f>
        <v>SMRM rải thức ăn TMR 50M3</v>
      </c>
      <c r="C1270" s="1076" t="str">
        <f>IFERROR(__xludf.DUMMYFUNCTION("""COMPUTED_VALUE"""),"XN Bò AD")</f>
        <v>XN Bò AD</v>
      </c>
      <c r="D1270" s="1076" t="str">
        <f>IFERROR(__xludf.DUMMYFUNCTION("""COMPUTED_VALUE"""),"INDUSTRY")</f>
        <v>INDUSTRY</v>
      </c>
      <c r="E1270" s="1076" t="str">
        <f>IFERROR(__xludf.DUMMYFUNCTION("""COMPUTED_VALUE"""),"50m3")</f>
        <v>50m3</v>
      </c>
      <c r="F1270" s="1076"/>
      <c r="G1270" s="1076" t="str">
        <f>IFERROR(__xludf.DUMMYFUNCTION("""COMPUTED_VALUE"""),"2025")</f>
        <v>2025</v>
      </c>
      <c r="H1270" s="1076" t="str">
        <f>IFERROR(__xludf.DUMMYFUNCTION("""COMPUTED_VALUE"""),"50M3")</f>
        <v>50M3</v>
      </c>
      <c r="I1270" s="1076" t="str">
        <f>IFERROR(__xludf.DUMMYFUNCTION("""COMPUTED_VALUE"""),"RMFLS232ASC001309")</f>
        <v>RMFLS232ASC001309</v>
      </c>
      <c r="J1270" s="1076"/>
      <c r="K1270" s="1076">
        <f>IFERROR(__xludf.DUMMYFUNCTION("""COMPUTED_VALUE"""),5.25)</f>
        <v>5.25</v>
      </c>
      <c r="L1270" s="1076" t="str">
        <f>IFERROR(__xludf.DUMMYFUNCTION("""COMPUTED_VALUE"""),"KLH")</f>
        <v>KLH</v>
      </c>
    </row>
    <row r="1271" customHeight="1" spans="1:12">
      <c r="A1271" s="1076" t="str">
        <f>IFERROR(__xludf.DUMMYFUNCTION("""COMPUTED_VALUE"""),"XB1-MRT-009")</f>
        <v>XB1-MRT-009</v>
      </c>
      <c r="B1271" s="1075" t="str">
        <f>IFERROR(__xludf.DUMMYFUNCTION("""COMPUTED_VALUE"""),"SMRM rải thức ăn TMR 50M3")</f>
        <v>SMRM rải thức ăn TMR 50M3</v>
      </c>
      <c r="C1271" s="1076" t="str">
        <f>IFERROR(__xludf.DUMMYFUNCTION("""COMPUTED_VALUE"""),"XN Bò AD")</f>
        <v>XN Bò AD</v>
      </c>
      <c r="D1271" s="1076" t="str">
        <f>IFERROR(__xludf.DUMMYFUNCTION("""COMPUTED_VALUE"""),"INDUSTRY")</f>
        <v>INDUSTRY</v>
      </c>
      <c r="E1271" s="1076" t="str">
        <f>IFERROR(__xludf.DUMMYFUNCTION("""COMPUTED_VALUE"""),"50m3")</f>
        <v>50m3</v>
      </c>
      <c r="F1271" s="1076"/>
      <c r="G1271" s="1076" t="str">
        <f>IFERROR(__xludf.DUMMYFUNCTION("""COMPUTED_VALUE"""),"2025")</f>
        <v>2025</v>
      </c>
      <c r="H1271" s="1076" t="str">
        <f>IFERROR(__xludf.DUMMYFUNCTION("""COMPUTED_VALUE"""),"50M3")</f>
        <v>50M3</v>
      </c>
      <c r="I1271" s="1076" t="str">
        <f>IFERROR(__xludf.DUMMYFUNCTION("""COMPUTED_VALUE"""),"RMFLS232ASC001310")</f>
        <v>RMFLS232ASC001310</v>
      </c>
      <c r="J1271" s="1076"/>
      <c r="K1271" s="1076">
        <f>IFERROR(__xludf.DUMMYFUNCTION("""COMPUTED_VALUE"""),5.25)</f>
        <v>5.25</v>
      </c>
      <c r="L1271" s="1076" t="str">
        <f>IFERROR(__xludf.DUMMYFUNCTION("""COMPUTED_VALUE"""),"KLH")</f>
        <v>KLH</v>
      </c>
    </row>
    <row r="1272" customHeight="1" spans="1:12">
      <c r="A1272" s="1076" t="str">
        <f>IFERROR(__xludf.DUMMYFUNCTION("""COMPUTED_VALUE"""),"XB1-TPC-001")</f>
        <v>XB1-TPC-001</v>
      </c>
      <c r="B1272" s="1075" t="str">
        <f>IFERROR(__xludf.DUMMYFUNCTION("""COMPUTED_VALUE"""),"SMRM trung chuyển phân - CĐC 18/23M3")</f>
        <v>SMRM trung chuyển phân - CĐC 18/23M3</v>
      </c>
      <c r="C1272" s="1076" t="str">
        <f>IFERROR(__xludf.DUMMYFUNCTION("""COMPUTED_VALUE"""),"XN Bò AD")</f>
        <v>XN Bò AD</v>
      </c>
      <c r="D1272" s="1076" t="str">
        <f>IFERROR(__xludf.DUMMYFUNCTION("""COMPUTED_VALUE"""),"INDUSTRY")</f>
        <v>INDUSTRY</v>
      </c>
      <c r="E1272" s="1076" t="str">
        <f>IFERROR(__xludf.DUMMYFUNCTION("""COMPUTED_VALUE"""),"18/23M3")</f>
        <v>18/23M3</v>
      </c>
      <c r="F1272" s="1076"/>
      <c r="G1272" s="1076" t="str">
        <f>IFERROR(__xludf.DUMMYFUNCTION("""COMPUTED_VALUE"""),"2025")</f>
        <v>2025</v>
      </c>
      <c r="H1272" s="1076" t="str">
        <f>IFERROR(__xludf.DUMMYFUNCTION("""COMPUTED_VALUE"""),"18/23M3")</f>
        <v>18/23M3</v>
      </c>
      <c r="I1272" s="1076" t="str">
        <f>IFERROR(__xludf.DUMMYFUNCTION("""COMPUTED_VALUE"""),"202410001")</f>
        <v>202410001</v>
      </c>
      <c r="J1272" s="1076"/>
      <c r="K1272" s="1076"/>
      <c r="L1272" s="1076" t="str">
        <f>IFERROR(__xludf.DUMMYFUNCTION("""COMPUTED_VALUE"""),"KLH")</f>
        <v>KLH</v>
      </c>
    </row>
    <row r="1273" customHeight="1" spans="1:12">
      <c r="A1273" s="1076" t="str">
        <f>IFERROR(__xludf.DUMMYFUNCTION("""COMPUTED_VALUE"""),"XB1-TPC-002")</f>
        <v>XB1-TPC-002</v>
      </c>
      <c r="B1273" s="1075" t="str">
        <f>IFERROR(__xludf.DUMMYFUNCTION("""COMPUTED_VALUE"""),"SMRM trung chuyển phân - CĐC 45M3")</f>
        <v>SMRM trung chuyển phân - CĐC 45M3</v>
      </c>
      <c r="C1273" s="1076" t="str">
        <f>IFERROR(__xludf.DUMMYFUNCTION("""COMPUTED_VALUE"""),"XN Bò AD")</f>
        <v>XN Bò AD</v>
      </c>
      <c r="D1273" s="1076" t="str">
        <f>IFERROR(__xludf.DUMMYFUNCTION("""COMPUTED_VALUE"""),"INDUSTRY")</f>
        <v>INDUSTRY</v>
      </c>
      <c r="E1273" s="1076" t="str">
        <f>IFERROR(__xludf.DUMMYFUNCTION("""COMPUTED_VALUE"""),"45M3")</f>
        <v>45M3</v>
      </c>
      <c r="F1273" s="1076"/>
      <c r="G1273" s="1076" t="str">
        <f>IFERROR(__xludf.DUMMYFUNCTION("""COMPUTED_VALUE"""),"2025")</f>
        <v>2025</v>
      </c>
      <c r="H1273" s="1076" t="str">
        <f>IFERROR(__xludf.DUMMYFUNCTION("""COMPUTED_VALUE"""),"45M3")</f>
        <v>45M3</v>
      </c>
      <c r="I1273" s="1076" t="str">
        <f>IFERROR(__xludf.DUMMYFUNCTION("""COMPUTED_VALUE"""),"RMFNU241ASC001750")</f>
        <v>RMFNU241ASC001750</v>
      </c>
      <c r="J1273" s="1076"/>
      <c r="K1273" s="1076"/>
      <c r="L1273" s="1076" t="str">
        <f>IFERROR(__xludf.DUMMYFUNCTION("""COMPUTED_VALUE"""),"KLH")</f>
        <v>KLH</v>
      </c>
    </row>
    <row r="1274" customHeight="1" spans="1:12">
      <c r="A1274" s="1076" t="str">
        <f>IFERROR(__xludf.DUMMYFUNCTION("""COMPUTED_VALUE"""),"XB1-TPC-003")</f>
        <v>XB1-TPC-003</v>
      </c>
      <c r="B1274" s="1075" t="str">
        <f>IFERROR(__xludf.DUMMYFUNCTION("""COMPUTED_VALUE"""),"SMRM trung chuyển phân - CĐC 45M3")</f>
        <v>SMRM trung chuyển phân - CĐC 45M3</v>
      </c>
      <c r="C1274" s="1076" t="str">
        <f>IFERROR(__xludf.DUMMYFUNCTION("""COMPUTED_VALUE"""),"XN Bò AD")</f>
        <v>XN Bò AD</v>
      </c>
      <c r="D1274" s="1076" t="str">
        <f>IFERROR(__xludf.DUMMYFUNCTION("""COMPUTED_VALUE"""),"INDUSTRY")</f>
        <v>INDUSTRY</v>
      </c>
      <c r="E1274" s="1076" t="str">
        <f>IFERROR(__xludf.DUMMYFUNCTION("""COMPUTED_VALUE"""),"45M3")</f>
        <v>45M3</v>
      </c>
      <c r="F1274" s="1076"/>
      <c r="G1274" s="1076" t="str">
        <f>IFERROR(__xludf.DUMMYFUNCTION("""COMPUTED_VALUE"""),"2025")</f>
        <v>2025</v>
      </c>
      <c r="H1274" s="1076" t="str">
        <f>IFERROR(__xludf.DUMMYFUNCTION("""COMPUTED_VALUE"""),"45M3")</f>
        <v>45M3</v>
      </c>
      <c r="I1274" s="1076" t="str">
        <f>IFERROR(__xludf.DUMMYFUNCTION("""COMPUTED_VALUE"""),"RNONU241ASC002592")</f>
        <v>RNONU241ASC002592</v>
      </c>
      <c r="J1274" s="1076"/>
      <c r="K1274" s="1076"/>
      <c r="L1274" s="1076" t="str">
        <f>IFERROR(__xludf.DUMMYFUNCTION("""COMPUTED_VALUE"""),"KLH")</f>
        <v>KLH</v>
      </c>
    </row>
    <row r="1275" customHeight="1" spans="1:12">
      <c r="A1275" s="1076" t="str">
        <f>IFERROR(__xludf.DUMMYFUNCTION("""COMPUTED_VALUE"""),"XB1-TPC-004")</f>
        <v>XB1-TPC-004</v>
      </c>
      <c r="B1275" s="1075" t="str">
        <f>IFERROR(__xludf.DUMMYFUNCTION("""COMPUTED_VALUE"""),"SMRM trung chuyển phân - CĐC 45M3")</f>
        <v>SMRM trung chuyển phân - CĐC 45M3</v>
      </c>
      <c r="C1275" s="1076" t="str">
        <f>IFERROR(__xludf.DUMMYFUNCTION("""COMPUTED_VALUE"""),"XN Bò AD")</f>
        <v>XN Bò AD</v>
      </c>
      <c r="D1275" s="1076" t="str">
        <f>IFERROR(__xludf.DUMMYFUNCTION("""COMPUTED_VALUE"""),"INDUSTRY")</f>
        <v>INDUSTRY</v>
      </c>
      <c r="E1275" s="1076" t="str">
        <f>IFERROR(__xludf.DUMMYFUNCTION("""COMPUTED_VALUE"""),"45M3")</f>
        <v>45M3</v>
      </c>
      <c r="F1275" s="1076"/>
      <c r="G1275" s="1076" t="str">
        <f>IFERROR(__xludf.DUMMYFUNCTION("""COMPUTED_VALUE"""),"2025")</f>
        <v>2025</v>
      </c>
      <c r="H1275" s="1076" t="str">
        <f>IFERROR(__xludf.DUMMYFUNCTION("""COMPUTED_VALUE"""),"45M3")</f>
        <v>45M3</v>
      </c>
      <c r="I1275" s="1076" t="str">
        <f>IFERROR(__xludf.DUMMYFUNCTION("""COMPUTED_VALUE"""),"RNONU241ASC002593")</f>
        <v>RNONU241ASC002593</v>
      </c>
      <c r="J1275" s="1076"/>
      <c r="K1275" s="1076"/>
      <c r="L1275" s="1076" t="str">
        <f>IFERROR(__xludf.DUMMYFUNCTION("""COMPUTED_VALUE"""),"KLH")</f>
        <v>KLH</v>
      </c>
    </row>
    <row r="1276" customHeight="1" spans="1:12">
      <c r="A1276" s="1076" t="str">
        <f>IFERROR(__xludf.DUMMYFUNCTION("""COMPUTED_VALUE"""),"XB1-TPC-005")</f>
        <v>XB1-TPC-005</v>
      </c>
      <c r="B1276" s="1075" t="str">
        <f>IFERROR(__xludf.DUMMYFUNCTION("""COMPUTED_VALUE"""),"SMRM trung chuyển phân - CĐC 45M3")</f>
        <v>SMRM trung chuyển phân - CĐC 45M3</v>
      </c>
      <c r="C1276" s="1076" t="str">
        <f>IFERROR(__xludf.DUMMYFUNCTION("""COMPUTED_VALUE"""),"XN Bò AD")</f>
        <v>XN Bò AD</v>
      </c>
      <c r="D1276" s="1076" t="str">
        <f>IFERROR(__xludf.DUMMYFUNCTION("""COMPUTED_VALUE"""),"INDUSTRY")</f>
        <v>INDUSTRY</v>
      </c>
      <c r="E1276" s="1076" t="str">
        <f>IFERROR(__xludf.DUMMYFUNCTION("""COMPUTED_VALUE"""),"45M3")</f>
        <v>45M3</v>
      </c>
      <c r="F1276" s="1076"/>
      <c r="G1276" s="1076" t="str">
        <f>IFERROR(__xludf.DUMMYFUNCTION("""COMPUTED_VALUE"""),"2025")</f>
        <v>2025</v>
      </c>
      <c r="H1276" s="1076" t="str">
        <f>IFERROR(__xludf.DUMMYFUNCTION("""COMPUTED_VALUE"""),"45M3")</f>
        <v>45M3</v>
      </c>
      <c r="I1276" s="1076" t="str">
        <f>IFERROR(__xludf.DUMMYFUNCTION("""COMPUTED_VALUE"""),"RNONU241ASC002594")</f>
        <v>RNONU241ASC002594</v>
      </c>
      <c r="J1276" s="1076"/>
      <c r="K1276" s="1076"/>
      <c r="L1276" s="1076" t="str">
        <f>IFERROR(__xludf.DUMMYFUNCTION("""COMPUTED_VALUE"""),"KLH")</f>
        <v>KLH</v>
      </c>
    </row>
    <row r="1277" customHeight="1" spans="1:12">
      <c r="A1277" s="1076" t="str">
        <f>IFERROR(__xludf.DUMMYFUNCTION("""COMPUTED_VALUE"""),"XB1-TPC-006")</f>
        <v>XB1-TPC-006</v>
      </c>
      <c r="B1277" s="1075" t="str">
        <f>IFERROR(__xludf.DUMMYFUNCTION("""COMPUTED_VALUE"""),"SMRM trung chuyển phân - CĐC 45M3")</f>
        <v>SMRM trung chuyển phân - CĐC 45M3</v>
      </c>
      <c r="C1277" s="1076" t="str">
        <f>IFERROR(__xludf.DUMMYFUNCTION("""COMPUTED_VALUE"""),"XN Bò AD")</f>
        <v>XN Bò AD</v>
      </c>
      <c r="D1277" s="1076" t="str">
        <f>IFERROR(__xludf.DUMMYFUNCTION("""COMPUTED_VALUE"""),"INDUSTRY")</f>
        <v>INDUSTRY</v>
      </c>
      <c r="E1277" s="1076" t="str">
        <f>IFERROR(__xludf.DUMMYFUNCTION("""COMPUTED_VALUE"""),"45M3")</f>
        <v>45M3</v>
      </c>
      <c r="F1277" s="1076"/>
      <c r="G1277" s="1076" t="str">
        <f>IFERROR(__xludf.DUMMYFUNCTION("""COMPUTED_VALUE"""),"2025")</f>
        <v>2025</v>
      </c>
      <c r="H1277" s="1076" t="str">
        <f>IFERROR(__xludf.DUMMYFUNCTION("""COMPUTED_VALUE"""),"45M3")</f>
        <v>45M3</v>
      </c>
      <c r="I1277" s="1076" t="str">
        <f>IFERROR(__xludf.DUMMYFUNCTION("""COMPUTED_VALUE"""),"RNONU241ASC002595")</f>
        <v>RNONU241ASC002595</v>
      </c>
      <c r="J1277" s="1076"/>
      <c r="K1277" s="1076"/>
      <c r="L1277" s="1076" t="str">
        <f>IFERROR(__xludf.DUMMYFUNCTION("""COMPUTED_VALUE"""),"KLH")</f>
        <v>KLH</v>
      </c>
    </row>
    <row r="1278" customHeight="1" spans="1:12">
      <c r="A1278" s="1076" t="str">
        <f>IFERROR(__xludf.DUMMYFUNCTION("""COMPUTED_VALUE"""),"XB1-TPC-007")</f>
        <v>XB1-TPC-007</v>
      </c>
      <c r="B1278" s="1075" t="str">
        <f>IFERROR(__xludf.DUMMYFUNCTION("""COMPUTED_VALUE"""),"SMRM trung chuyển phân - CĐC 45M3")</f>
        <v>SMRM trung chuyển phân - CĐC 45M3</v>
      </c>
      <c r="C1278" s="1076" t="str">
        <f>IFERROR(__xludf.DUMMYFUNCTION("""COMPUTED_VALUE"""),"XN Bò AD")</f>
        <v>XN Bò AD</v>
      </c>
      <c r="D1278" s="1076" t="str">
        <f>IFERROR(__xludf.DUMMYFUNCTION("""COMPUTED_VALUE"""),"INDUSTRY")</f>
        <v>INDUSTRY</v>
      </c>
      <c r="E1278" s="1076" t="str">
        <f>IFERROR(__xludf.DUMMYFUNCTION("""COMPUTED_VALUE"""),"45M3")</f>
        <v>45M3</v>
      </c>
      <c r="F1278" s="1076"/>
      <c r="G1278" s="1076" t="str">
        <f>IFERROR(__xludf.DUMMYFUNCTION("""COMPUTED_VALUE"""),"2025")</f>
        <v>2025</v>
      </c>
      <c r="H1278" s="1076" t="str">
        <f>IFERROR(__xludf.DUMMYFUNCTION("""COMPUTED_VALUE"""),"45M3")</f>
        <v>45M3</v>
      </c>
      <c r="I1278" s="1076" t="str">
        <f>IFERROR(__xludf.DUMMYFUNCTION("""COMPUTED_VALUE"""),"RNONU241ASC002596")</f>
        <v>RNONU241ASC002596</v>
      </c>
      <c r="J1278" s="1076"/>
      <c r="K1278" s="1076"/>
      <c r="L1278" s="1076" t="str">
        <f>IFERROR(__xludf.DUMMYFUNCTION("""COMPUTED_VALUE"""),"KLH")</f>
        <v>KLH</v>
      </c>
    </row>
    <row r="1279" customHeight="1" spans="1:12">
      <c r="A1279" s="1076" t="str">
        <f>IFERROR(__xludf.DUMMYFUNCTION("""COMPUTED_VALUE"""),"XB1-TPC-008")</f>
        <v>XB1-TPC-008</v>
      </c>
      <c r="B1279" s="1075" t="str">
        <f>IFERROR(__xludf.DUMMYFUNCTION("""COMPUTED_VALUE"""),"SMRM trung chuyển phân - CĐC 45M3")</f>
        <v>SMRM trung chuyển phân - CĐC 45M3</v>
      </c>
      <c r="C1279" s="1076" t="str">
        <f>IFERROR(__xludf.DUMMYFUNCTION("""COMPUTED_VALUE"""),"XN Bò AD")</f>
        <v>XN Bò AD</v>
      </c>
      <c r="D1279" s="1076" t="str">
        <f>IFERROR(__xludf.DUMMYFUNCTION("""COMPUTED_VALUE"""),"INDUSTRY")</f>
        <v>INDUSTRY</v>
      </c>
      <c r="E1279" s="1076" t="str">
        <f>IFERROR(__xludf.DUMMYFUNCTION("""COMPUTED_VALUE"""),"45M3")</f>
        <v>45M3</v>
      </c>
      <c r="F1279" s="1076"/>
      <c r="G1279" s="1076" t="str">
        <f>IFERROR(__xludf.DUMMYFUNCTION("""COMPUTED_VALUE"""),"2025")</f>
        <v>2025</v>
      </c>
      <c r="H1279" s="1076" t="str">
        <f>IFERROR(__xludf.DUMMYFUNCTION("""COMPUTED_VALUE"""),"45M3")</f>
        <v>45M3</v>
      </c>
      <c r="I1279" s="1076" t="str">
        <f>IFERROR(__xludf.DUMMYFUNCTION("""COMPUTED_VALUE"""),"RNONU241ASC002598")</f>
        <v>RNONU241ASC002598</v>
      </c>
      <c r="J1279" s="1076"/>
      <c r="K1279" s="1076"/>
      <c r="L1279" s="1076" t="str">
        <f>IFERROR(__xludf.DUMMYFUNCTION("""COMPUTED_VALUE"""),"KLH")</f>
        <v>KLH</v>
      </c>
    </row>
    <row r="1280" customHeight="1" spans="1:12">
      <c r="A1280" s="1076" t="str">
        <f>IFERROR(__xludf.DUMMYFUNCTION("""COMPUTED_VALUE"""),"XB1-TPC-009")</f>
        <v>XB1-TPC-009</v>
      </c>
      <c r="B1280" s="1075" t="str">
        <f>IFERROR(__xludf.DUMMYFUNCTION("""COMPUTED_VALUE"""),"SMRM trung chuyển phân - CĐC 45M3")</f>
        <v>SMRM trung chuyển phân - CĐC 45M3</v>
      </c>
      <c r="C1280" s="1076" t="str">
        <f>IFERROR(__xludf.DUMMYFUNCTION("""COMPUTED_VALUE"""),"XN Bò AD")</f>
        <v>XN Bò AD</v>
      </c>
      <c r="D1280" s="1076" t="str">
        <f>IFERROR(__xludf.DUMMYFUNCTION("""COMPUTED_VALUE"""),"INDUSTRY")</f>
        <v>INDUSTRY</v>
      </c>
      <c r="E1280" s="1076" t="str">
        <f>IFERROR(__xludf.DUMMYFUNCTION("""COMPUTED_VALUE"""),"45M3")</f>
        <v>45M3</v>
      </c>
      <c r="F1280" s="1076"/>
      <c r="G1280" s="1076" t="str">
        <f>IFERROR(__xludf.DUMMYFUNCTION("""COMPUTED_VALUE"""),"2025")</f>
        <v>2025</v>
      </c>
      <c r="H1280" s="1076" t="str">
        <f>IFERROR(__xludf.DUMMYFUNCTION("""COMPUTED_VALUE"""),"45M3")</f>
        <v>45M3</v>
      </c>
      <c r="I1280" s="1076" t="str">
        <f>IFERROR(__xludf.DUMMYFUNCTION("""COMPUTED_VALUE"""),"RNONU241ASC002599")</f>
        <v>RNONU241ASC002599</v>
      </c>
      <c r="J1280" s="1076"/>
      <c r="K1280" s="1076"/>
      <c r="L1280" s="1076" t="str">
        <f>IFERROR(__xludf.DUMMYFUNCTION("""COMPUTED_VALUE"""),"KLH")</f>
        <v>KLH</v>
      </c>
    </row>
    <row r="1281" customHeight="1" spans="1:12">
      <c r="A1281" s="1076" t="str">
        <f>IFERROR(__xludf.DUMMYFUNCTION("""COMPUTED_VALUE"""),"XB1-TPC-010")</f>
        <v>XB1-TPC-010</v>
      </c>
      <c r="B1281" s="1075" t="str">
        <f>IFERROR(__xludf.DUMMYFUNCTION("""COMPUTED_VALUE"""),"SMRM trung chuyển phân - CĐC 45M3")</f>
        <v>SMRM trung chuyển phân - CĐC 45M3</v>
      </c>
      <c r="C1281" s="1076" t="str">
        <f>IFERROR(__xludf.DUMMYFUNCTION("""COMPUTED_VALUE"""),"XN Bò AD")</f>
        <v>XN Bò AD</v>
      </c>
      <c r="D1281" s="1076" t="str">
        <f>IFERROR(__xludf.DUMMYFUNCTION("""COMPUTED_VALUE"""),"INDUSTRY")</f>
        <v>INDUSTRY</v>
      </c>
      <c r="E1281" s="1076" t="str">
        <f>IFERROR(__xludf.DUMMYFUNCTION("""COMPUTED_VALUE"""),"45M3")</f>
        <v>45M3</v>
      </c>
      <c r="F1281" s="1076"/>
      <c r="G1281" s="1076" t="str">
        <f>IFERROR(__xludf.DUMMYFUNCTION("""COMPUTED_VALUE"""),"2025")</f>
        <v>2025</v>
      </c>
      <c r="H1281" s="1076" t="str">
        <f>IFERROR(__xludf.DUMMYFUNCTION("""COMPUTED_VALUE"""),"45M3")</f>
        <v>45M3</v>
      </c>
      <c r="I1281" s="1076" t="str">
        <f>IFERROR(__xludf.DUMMYFUNCTION("""COMPUTED_VALUE"""),"RNONU241ASC002600")</f>
        <v>RNONU241ASC002600</v>
      </c>
      <c r="J1281" s="1076"/>
      <c r="K1281" s="1076"/>
      <c r="L1281" s="1076" t="str">
        <f>IFERROR(__xludf.DUMMYFUNCTION("""COMPUTED_VALUE"""),"KLH")</f>
        <v>KLH</v>
      </c>
    </row>
    <row r="1282" customHeight="1" spans="1:12">
      <c r="A1282" s="1076" t="str">
        <f>IFERROR(__xludf.DUMMYFUNCTION("""COMPUTED_VALUE"""),"XB1-MRP-001")</f>
        <v>XB1-MRP-001</v>
      </c>
      <c r="B1282" s="1075" t="str">
        <f>IFERROR(__xludf.DUMMYFUNCTION("""COMPUTED_VALUE"""),"Thiết bị rải phân chuồng")</f>
        <v>Thiết bị rải phân chuồng</v>
      </c>
      <c r="C1282" s="1076" t="str">
        <f>IFERROR(__xludf.DUMMYFUNCTION("""COMPUTED_VALUE"""),"XN Bò AD")</f>
        <v>XN Bò AD</v>
      </c>
      <c r="D1282" s="1076" t="str">
        <f>IFERROR(__xludf.DUMMYFUNCTION("""COMPUTED_VALUE"""),"THACO AGRI")</f>
        <v>THACO AGRI</v>
      </c>
      <c r="E1282" s="1076"/>
      <c r="F1282" s="1076"/>
      <c r="G1282" s="1076"/>
      <c r="H1282" s="1076"/>
      <c r="I1282" s="1076"/>
      <c r="J1282" s="1076"/>
      <c r="K1282" s="1076"/>
      <c r="L1282" s="1076" t="str">
        <f>IFERROR(__xludf.DUMMYFUNCTION("""COMPUTED_VALUE"""),"KLH")</f>
        <v>KLH</v>
      </c>
    </row>
    <row r="1283" customHeight="1" spans="1:12">
      <c r="A1283" s="1076" t="str">
        <f>IFERROR(__xludf.DUMMYFUNCTION("""COMPUTED_VALUE"""),"XB1-RVO-001")</f>
        <v>XB1-RVO-001</v>
      </c>
      <c r="B1283" s="1075" t="str">
        <f>IFERROR(__xludf.DUMMYFUNCTION("""COMPUTED_VALUE"""),"Thiết bị phun vôi/rải vô cơ")</f>
        <v>Thiết bị phun vôi/rải vô cơ</v>
      </c>
      <c r="C1283" s="1076" t="str">
        <f>IFERROR(__xludf.DUMMYFUNCTION("""COMPUTED_VALUE"""),"XN Bò AD")</f>
        <v>XN Bò AD</v>
      </c>
      <c r="D1283" s="1076" t="str">
        <f>IFERROR(__xludf.DUMMYFUNCTION("""COMPUTED_VALUE"""),"THACO AGRI")</f>
        <v>THACO AGRI</v>
      </c>
      <c r="E1283" s="1076"/>
      <c r="F1283" s="1076"/>
      <c r="G1283" s="1076"/>
      <c r="H1283" s="1076"/>
      <c r="I1283" s="1076"/>
      <c r="J1283" s="1076"/>
      <c r="K1283" s="1076"/>
      <c r="L1283" s="1076" t="str">
        <f>IFERROR(__xludf.DUMMYFUNCTION("""COMPUTED_VALUE"""),"KLH")</f>
        <v>KLH</v>
      </c>
    </row>
    <row r="1284" customHeight="1" spans="1:12">
      <c r="A1284" s="1076" t="str">
        <f>IFERROR(__xludf.DUMMYFUNCTION("""COMPUTED_VALUE"""),"XB1-RVO-002")</f>
        <v>XB1-RVO-002</v>
      </c>
      <c r="B1284" s="1075" t="str">
        <f>IFERROR(__xludf.DUMMYFUNCTION("""COMPUTED_VALUE"""),"Thiết bị phun vôi/rải vô cơ")</f>
        <v>Thiết bị phun vôi/rải vô cơ</v>
      </c>
      <c r="C1284" s="1076" t="str">
        <f>IFERROR(__xludf.DUMMYFUNCTION("""COMPUTED_VALUE"""),"XN Bò AD")</f>
        <v>XN Bò AD</v>
      </c>
      <c r="D1284" s="1076" t="str">
        <f>IFERROR(__xludf.DUMMYFUNCTION("""COMPUTED_VALUE"""),"THACO AGRI")</f>
        <v>THACO AGRI</v>
      </c>
      <c r="E1284" s="1076"/>
      <c r="F1284" s="1076"/>
      <c r="G1284" s="1076"/>
      <c r="H1284" s="1076"/>
      <c r="I1284" s="1076"/>
      <c r="J1284" s="1076"/>
      <c r="K1284" s="1076"/>
      <c r="L1284" s="1076" t="str">
        <f>IFERROR(__xludf.DUMMYFUNCTION("""COMPUTED_VALUE"""),"KLH")</f>
        <v>KLH</v>
      </c>
    </row>
    <row r="1285" customHeight="1" spans="1:12">
      <c r="A1285" s="1076" t="str">
        <f>IFERROR(__xludf.DUMMYFUNCTION("""COMPUTED_VALUE"""),"XB1-RVO-003")</f>
        <v>XB1-RVO-003</v>
      </c>
      <c r="B1285" s="1075" t="str">
        <f>IFERROR(__xludf.DUMMYFUNCTION("""COMPUTED_VALUE"""),"Thiết bị phun vôi/rải vô cơ")</f>
        <v>Thiết bị phun vôi/rải vô cơ</v>
      </c>
      <c r="C1285" s="1076" t="str">
        <f>IFERROR(__xludf.DUMMYFUNCTION("""COMPUTED_VALUE"""),"XN Bò AD")</f>
        <v>XN Bò AD</v>
      </c>
      <c r="D1285" s="1076" t="str">
        <f>IFERROR(__xludf.DUMMYFUNCTION("""COMPUTED_VALUE"""),"THACO INDUSTRIES")</f>
        <v>THACO INDUSTRIES</v>
      </c>
      <c r="E1285" s="1076" t="str">
        <f>IFERROR(__xludf.DUMMYFUNCTION("""COMPUTED_VALUE"""),"0.8M3")</f>
        <v>0.8M3</v>
      </c>
      <c r="F1285" s="1076"/>
      <c r="G1285" s="1076" t="str">
        <f>IFERROR(__xludf.DUMMYFUNCTION("""COMPUTED_VALUE"""),"2025")</f>
        <v>2025</v>
      </c>
      <c r="H1285" s="1076"/>
      <c r="I1285" s="1076"/>
      <c r="J1285" s="1076"/>
      <c r="K1285" s="1076"/>
      <c r="L1285" s="1076" t="str">
        <f>IFERROR(__xludf.DUMMYFUNCTION("""COMPUTED_VALUE"""),"KLH")</f>
        <v>KLH</v>
      </c>
    </row>
    <row r="1286" customHeight="1" spans="1:12">
      <c r="A1286" s="1076" t="str">
        <f>IFERROR(__xludf.DUMMYFUNCTION("""COMPUTED_VALUE"""),"XB1-BRN-001")</f>
        <v>XB1-BRN-001</v>
      </c>
      <c r="B1286" s="1075" t="str">
        <f>IFERROR(__xludf.DUMMYFUNCTION("""COMPUTED_VALUE"""),"Bồn rỉ mật 5m3")</f>
        <v>Bồn rỉ mật 5m3</v>
      </c>
      <c r="C1286" s="1076" t="str">
        <f>IFERROR(__xludf.DUMMYFUNCTION("""COMPUTED_VALUE"""),"XN Bò AD")</f>
        <v>XN Bò AD</v>
      </c>
      <c r="D1286" s="1076" t="str">
        <f>IFERROR(__xludf.DUMMYFUNCTION("""COMPUTED_VALUE"""),"THACO AGRI")</f>
        <v>THACO AGRI</v>
      </c>
      <c r="E1286" s="1076" t="str">
        <f>IFERROR(__xludf.DUMMYFUNCTION("""COMPUTED_VALUE"""),"5M3")</f>
        <v>5M3</v>
      </c>
      <c r="F1286" s="1076"/>
      <c r="G1286" s="1076"/>
      <c r="H1286" s="1076"/>
      <c r="I1286" s="1076"/>
      <c r="J1286" s="1076"/>
      <c r="K1286" s="1076"/>
      <c r="L1286" s="1076" t="str">
        <f>IFERROR(__xludf.DUMMYFUNCTION("""COMPUTED_VALUE"""),"KLH")</f>
        <v>KLH</v>
      </c>
    </row>
    <row r="1287" customHeight="1" spans="1:12">
      <c r="A1287" s="1076" t="str">
        <f>IFERROR(__xludf.DUMMYFUNCTION("""COMPUTED_VALUE"""),"XB1-MDP-001")</f>
        <v>XB1-MDP-001</v>
      </c>
      <c r="B1287" s="1075" t="str">
        <f>IFERROR(__xludf.DUMMYFUNCTION("""COMPUTED_VALUE"""),"Máy đảo trộn phân hữu cơ")</f>
        <v>Máy đảo trộn phân hữu cơ</v>
      </c>
      <c r="C1287" s="1076" t="str">
        <f>IFERROR(__xludf.DUMMYFUNCTION("""COMPUTED_VALUE"""),"XN Bò AD")</f>
        <v>XN Bò AD</v>
      </c>
      <c r="D1287" s="1076" t="str">
        <f>IFERROR(__xludf.DUMMYFUNCTION("""COMPUTED_VALUE"""),"THACO AGRI")</f>
        <v>THACO AGRI</v>
      </c>
      <c r="E1287" s="1076"/>
      <c r="F1287" s="1076"/>
      <c r="G1287" s="1076"/>
      <c r="H1287" s="1076"/>
      <c r="I1287" s="1076"/>
      <c r="J1287" s="1076"/>
      <c r="K1287" s="1076"/>
      <c r="L1287" s="1076" t="str">
        <f>IFERROR(__xludf.DUMMYFUNCTION("""COMPUTED_VALUE"""),"KLH")</f>
        <v>KLH</v>
      </c>
    </row>
    <row r="1288" customHeight="1" spans="1:12">
      <c r="A1288" s="1076" t="str">
        <f>IFERROR(__xludf.DUMMYFUNCTION("""COMPUTED_VALUE"""),"XB1-RPC-001")</f>
        <v>XB1-RPC-001</v>
      </c>
      <c r="B1288" s="1075" t="str">
        <f>IFERROR(__xludf.DUMMYFUNCTION("""COMPUTED_VALUE"""),"Rải phân chuồng")</f>
        <v>Rải phân chuồng</v>
      </c>
      <c r="C1288" s="1076" t="str">
        <f>IFERROR(__xludf.DUMMYFUNCTION("""COMPUTED_VALUE"""),"XN Bò AD")</f>
        <v>XN Bò AD</v>
      </c>
      <c r="D1288" s="1076" t="str">
        <f>IFERROR(__xludf.DUMMYFUNCTION("""COMPUTED_VALUE"""),"THACO AGRI")</f>
        <v>THACO AGRI</v>
      </c>
      <c r="E1288" s="1076"/>
      <c r="F1288" s="1076"/>
      <c r="G1288" s="1076"/>
      <c r="H1288" s="1076"/>
      <c r="I1288" s="1076"/>
      <c r="J1288" s="1076"/>
      <c r="K1288" s="1076"/>
      <c r="L1288" s="1076" t="str">
        <f>IFERROR(__xludf.DUMMYFUNCTION("""COMPUTED_VALUE"""),"KLH")</f>
        <v>KLH</v>
      </c>
    </row>
    <row r="1289" customHeight="1" spans="1:12">
      <c r="A1289" s="1076" t="str">
        <f>IFERROR(__xludf.DUMMYFUNCTION("""COMPUTED_VALUE"""),"XB1-CRL-001")</f>
        <v>XB1-CRL-001</v>
      </c>
      <c r="B1289" s="1075" t="str">
        <f>IFERROR(__xludf.DUMMYFUNCTION("""COMPUTED_VALUE"""),"Cày rạch luống 4 rãnh")</f>
        <v>Cày rạch luống 4 rãnh</v>
      </c>
      <c r="C1289" s="1076" t="str">
        <f>IFERROR(__xludf.DUMMYFUNCTION("""COMPUTED_VALUE"""),"XN Bò AD")</f>
        <v>XN Bò AD</v>
      </c>
      <c r="D1289" s="1076" t="str">
        <f>IFERROR(__xludf.DUMMYFUNCTION("""COMPUTED_VALUE"""),"THACO AGRI")</f>
        <v>THACO AGRI</v>
      </c>
      <c r="E1289" s="1076" t="str">
        <f>IFERROR(__xludf.DUMMYFUNCTION("""COMPUTED_VALUE"""),"4 rãnh")</f>
        <v>4 rãnh</v>
      </c>
      <c r="F1289" s="1076"/>
      <c r="G1289" s="1076"/>
      <c r="H1289" s="1076"/>
      <c r="I1289" s="1076"/>
      <c r="J1289" s="1076"/>
      <c r="K1289" s="1076"/>
      <c r="L1289" s="1076" t="str">
        <f>IFERROR(__xludf.DUMMYFUNCTION("""COMPUTED_VALUE"""),"KLH")</f>
        <v>KLH</v>
      </c>
    </row>
    <row r="1290" customHeight="1" spans="1:12">
      <c r="A1290" s="1076" t="str">
        <f>IFERROR(__xludf.DUMMYFUNCTION("""COMPUTED_VALUE"""),"XB1-CRL-002")</f>
        <v>XB1-CRL-002</v>
      </c>
      <c r="B1290" s="1075" t="str">
        <f>IFERROR(__xludf.DUMMYFUNCTION("""COMPUTED_VALUE"""),"Cày rạch luống 2 rãnh")</f>
        <v>Cày rạch luống 2 rãnh</v>
      </c>
      <c r="C1290" s="1076" t="str">
        <f>IFERROR(__xludf.DUMMYFUNCTION("""COMPUTED_VALUE"""),"XN Bò AD")</f>
        <v>XN Bò AD</v>
      </c>
      <c r="D1290" s="1076" t="str">
        <f>IFERROR(__xludf.DUMMYFUNCTION("""COMPUTED_VALUE"""),"THACO AGRI")</f>
        <v>THACO AGRI</v>
      </c>
      <c r="E1290" s="1076" t="str">
        <f>IFERROR(__xludf.DUMMYFUNCTION("""COMPUTED_VALUE"""),"2 rãnh")</f>
        <v>2 rãnh</v>
      </c>
      <c r="F1290" s="1076"/>
      <c r="G1290" s="1076"/>
      <c r="H1290" s="1076"/>
      <c r="I1290" s="1076"/>
      <c r="J1290" s="1076"/>
      <c r="K1290" s="1076"/>
      <c r="L1290" s="1076" t="str">
        <f>IFERROR(__xludf.DUMMYFUNCTION("""COMPUTED_VALUE"""),"KLH")</f>
        <v>KLH</v>
      </c>
    </row>
    <row r="1291" customHeight="1" spans="1:12">
      <c r="A1291" s="1076" t="str">
        <f>IFERROR(__xludf.DUMMYFUNCTION("""COMPUTED_VALUE"""),"XB1-CCG-001")</f>
        <v>XB1-CCG-001</v>
      </c>
      <c r="B1291" s="1075" t="str">
        <f>IFERROR(__xludf.DUMMYFUNCTION("""COMPUTED_VALUE"""),"Cắt cỏ gốc")</f>
        <v>Cắt cỏ gốc</v>
      </c>
      <c r="C1291" s="1076" t="str">
        <f>IFERROR(__xludf.DUMMYFUNCTION("""COMPUTED_VALUE"""),"XN Bò AD")</f>
        <v>XN Bò AD</v>
      </c>
      <c r="D1291" s="1076" t="str">
        <f>IFERROR(__xludf.DUMMYFUNCTION("""COMPUTED_VALUE"""),"THACO AGRI")</f>
        <v>THACO AGRI</v>
      </c>
      <c r="E1291" s="1076"/>
      <c r="F1291" s="1076"/>
      <c r="G1291" s="1076"/>
      <c r="H1291" s="1076"/>
      <c r="I1291" s="1076"/>
      <c r="J1291" s="1076"/>
      <c r="K1291" s="1076"/>
      <c r="L1291" s="1076" t="str">
        <f>IFERROR(__xludf.DUMMYFUNCTION("""COMPUTED_VALUE"""),"KLH")</f>
        <v>KLH</v>
      </c>
    </row>
    <row r="1292" customHeight="1" spans="1:12">
      <c r="A1292" s="1076" t="str">
        <f>IFERROR(__xludf.DUMMYFUNCTION("""COMPUTED_VALUE"""),"XB1-CCG-002")</f>
        <v>XB1-CCG-002</v>
      </c>
      <c r="B1292" s="1075" t="str">
        <f>IFERROR(__xludf.DUMMYFUNCTION("""COMPUTED_VALUE"""),"Cắt cỏ gốc")</f>
        <v>Cắt cỏ gốc</v>
      </c>
      <c r="C1292" s="1076" t="str">
        <f>IFERROR(__xludf.DUMMYFUNCTION("""COMPUTED_VALUE"""),"XN Bò AD")</f>
        <v>XN Bò AD</v>
      </c>
      <c r="D1292" s="1076" t="str">
        <f>IFERROR(__xludf.DUMMYFUNCTION("""COMPUTED_VALUE"""),"THACO AGRI")</f>
        <v>THACO AGRI</v>
      </c>
      <c r="E1292" s="1076"/>
      <c r="F1292" s="1076"/>
      <c r="G1292" s="1076"/>
      <c r="H1292" s="1076"/>
      <c r="I1292" s="1076"/>
      <c r="J1292" s="1076"/>
      <c r="K1292" s="1076"/>
      <c r="L1292" s="1076" t="str">
        <f>IFERROR(__xludf.DUMMYFUNCTION("""COMPUTED_VALUE"""),"KLH")</f>
        <v>KLH</v>
      </c>
    </row>
    <row r="1293" customHeight="1" spans="1:12">
      <c r="A1293" s="1076" t="str">
        <f>IFERROR(__xludf.DUMMYFUNCTION("""COMPUTED_VALUE"""),"XB1-DGC-001")</f>
        <v>XB1-DGC-001</v>
      </c>
      <c r="B1293" s="1075" t="str">
        <f>IFERROR(__xludf.DUMMYFUNCTION("""COMPUTED_VALUE"""),"Gom cỏ,chuối")</f>
        <v>Gom cỏ,chuối</v>
      </c>
      <c r="C1293" s="1076" t="str">
        <f>IFERROR(__xludf.DUMMYFUNCTION("""COMPUTED_VALUE"""),"XN Bò AD")</f>
        <v>XN Bò AD</v>
      </c>
      <c r="D1293" s="1076" t="str">
        <f>IFERROR(__xludf.DUMMYFUNCTION("""COMPUTED_VALUE"""),"THACO AGRI")</f>
        <v>THACO AGRI</v>
      </c>
      <c r="E1293" s="1076"/>
      <c r="F1293" s="1076"/>
      <c r="G1293" s="1076"/>
      <c r="H1293" s="1076"/>
      <c r="I1293" s="1076"/>
      <c r="J1293" s="1076"/>
      <c r="K1293" s="1076"/>
      <c r="L1293" s="1076" t="str">
        <f>IFERROR(__xludf.DUMMYFUNCTION("""COMPUTED_VALUE"""),"KLH")</f>
        <v>KLH</v>
      </c>
    </row>
    <row r="1294" customHeight="1" spans="1:12">
      <c r="A1294" s="1076" t="str">
        <f>IFERROR(__xludf.DUMMYFUNCTION("""COMPUTED_VALUE"""),"XB1-GTB-001")</f>
        <v>XB1-GTB-001</v>
      </c>
      <c r="B1294" s="1075" t="str">
        <f>IFERROR(__xludf.DUMMYFUNCTION("""COMPUTED_VALUE"""),"Thiết bị tỉa bắp")</f>
        <v>Thiết bị tỉa bắp</v>
      </c>
      <c r="C1294" s="1076" t="str">
        <f>IFERROR(__xludf.DUMMYFUNCTION("""COMPUTED_VALUE"""),"XN Bò AD")</f>
        <v>XN Bò AD</v>
      </c>
      <c r="D1294" s="1076" t="str">
        <f>IFERROR(__xludf.DUMMYFUNCTION("""COMPUTED_VALUE"""),"THACO AGRI")</f>
        <v>THACO AGRI</v>
      </c>
      <c r="E1294" s="1076"/>
      <c r="F1294" s="1076"/>
      <c r="G1294" s="1076"/>
      <c r="H1294" s="1076"/>
      <c r="I1294" s="1076"/>
      <c r="J1294" s="1076"/>
      <c r="K1294" s="1076"/>
      <c r="L1294" s="1076" t="str">
        <f>IFERROR(__xludf.DUMMYFUNCTION("""COMPUTED_VALUE"""),"KLH")</f>
        <v>KLH</v>
      </c>
    </row>
    <row r="1295" customHeight="1" spans="1:12">
      <c r="A1295" s="1076" t="str">
        <f>IFERROR(__xludf.DUMMYFUNCTION("""COMPUTED_VALUE"""),"XB1-GTB-002")</f>
        <v>XB1-GTB-002</v>
      </c>
      <c r="B1295" s="1075" t="str">
        <f>IFERROR(__xludf.DUMMYFUNCTION("""COMPUTED_VALUE"""),"Thiết bị tỉa bắp")</f>
        <v>Thiết bị tỉa bắp</v>
      </c>
      <c r="C1295" s="1076" t="str">
        <f>IFERROR(__xludf.DUMMYFUNCTION("""COMPUTED_VALUE"""),"XN Bò AD")</f>
        <v>XN Bò AD</v>
      </c>
      <c r="D1295" s="1076" t="str">
        <f>IFERROR(__xludf.DUMMYFUNCTION("""COMPUTED_VALUE"""),"THACO AGRI")</f>
        <v>THACO AGRI</v>
      </c>
      <c r="E1295" s="1076"/>
      <c r="F1295" s="1076"/>
      <c r="G1295" s="1076"/>
      <c r="H1295" s="1076"/>
      <c r="I1295" s="1076"/>
      <c r="J1295" s="1076"/>
      <c r="K1295" s="1076"/>
      <c r="L1295" s="1076" t="str">
        <f>IFERROR(__xludf.DUMMYFUNCTION("""COMPUTED_VALUE"""),"KLH")</f>
        <v>KLH</v>
      </c>
    </row>
    <row r="1296" customHeight="1" spans="1:12">
      <c r="A1296" s="1076" t="str">
        <f>IFERROR(__xludf.DUMMYFUNCTION("""COMPUTED_VALUE"""),"XB1-MTP-001")</f>
        <v>XB1-MTP-001</v>
      </c>
      <c r="B1296" s="1075" t="str">
        <f>IFERROR(__xludf.DUMMYFUNCTION("""COMPUTED_VALUE"""),"Máy trộn premix ")</f>
        <v>Máy trộn premix </v>
      </c>
      <c r="C1296" s="1076" t="str">
        <f>IFERROR(__xludf.DUMMYFUNCTION("""COMPUTED_VALUE"""),"XN Bò AD")</f>
        <v>XN Bò AD</v>
      </c>
      <c r="D1296" s="1076" t="str">
        <f>IFERROR(__xludf.DUMMYFUNCTION("""COMPUTED_VALUE"""),"THACO AGRI")</f>
        <v>THACO AGRI</v>
      </c>
      <c r="E1296" s="1076" t="str">
        <f>IFERROR(__xludf.DUMMYFUNCTION("""COMPUTED_VALUE"""),"Premix")</f>
        <v>Premix</v>
      </c>
      <c r="F1296" s="1076"/>
      <c r="G1296" s="1076"/>
      <c r="H1296" s="1076"/>
      <c r="I1296" s="1076"/>
      <c r="J1296" s="1076"/>
      <c r="K1296" s="1076"/>
      <c r="L1296" s="1076" t="str">
        <f>IFERROR(__xludf.DUMMYFUNCTION("""COMPUTED_VALUE"""),"KLH")</f>
        <v>KLH</v>
      </c>
    </row>
    <row r="1297" customHeight="1" spans="1:12">
      <c r="A1297" s="1076" t="str">
        <f>IFERROR(__xludf.DUMMYFUNCTION("""COMPUTED_VALUE"""),"XB1-MTP-002")</f>
        <v>XB1-MTP-002</v>
      </c>
      <c r="B1297" s="1075" t="str">
        <f>IFERROR(__xludf.DUMMYFUNCTION("""COMPUTED_VALUE"""),"Máy trộn premix ")</f>
        <v>Máy trộn premix </v>
      </c>
      <c r="C1297" s="1076" t="str">
        <f>IFERROR(__xludf.DUMMYFUNCTION("""COMPUTED_VALUE"""),"XN Bò AD")</f>
        <v>XN Bò AD</v>
      </c>
      <c r="D1297" s="1076" t="str">
        <f>IFERROR(__xludf.DUMMYFUNCTION("""COMPUTED_VALUE"""),"THACO AGRI")</f>
        <v>THACO AGRI</v>
      </c>
      <c r="E1297" s="1076" t="str">
        <f>IFERROR(__xludf.DUMMYFUNCTION("""COMPUTED_VALUE"""),"Premix")</f>
        <v>Premix</v>
      </c>
      <c r="F1297" s="1076"/>
      <c r="G1297" s="1076"/>
      <c r="H1297" s="1076"/>
      <c r="I1297" s="1076"/>
      <c r="J1297" s="1076"/>
      <c r="K1297" s="1076"/>
      <c r="L1297" s="1076" t="str">
        <f>IFERROR(__xludf.DUMMYFUNCTION("""COMPUTED_VALUE"""),"KLH")</f>
        <v>KLH</v>
      </c>
    </row>
    <row r="1298" customHeight="1" spans="1:12">
      <c r="A1298" s="1076" t="str">
        <f>IFERROR(__xludf.DUMMYFUNCTION("""COMPUTED_VALUE"""),"XB1-TCT-001")</f>
        <v>XB1-TCT-001</v>
      </c>
      <c r="B1298" s="1075" t="str">
        <f>IFERROR(__xludf.DUMMYFUNCTION("""COMPUTED_VALUE"""),"Máy trộn thức ăn tinh ")</f>
        <v>Máy trộn thức ăn tinh </v>
      </c>
      <c r="C1298" s="1076" t="str">
        <f>IFERROR(__xludf.DUMMYFUNCTION("""COMPUTED_VALUE"""),"XN Bò AD")</f>
        <v>XN Bò AD</v>
      </c>
      <c r="D1298" s="1076" t="str">
        <f>IFERROR(__xludf.DUMMYFUNCTION("""COMPUTED_VALUE"""),"THACO AGRI")</f>
        <v>THACO AGRI</v>
      </c>
      <c r="E1298" s="1076"/>
      <c r="F1298" s="1076"/>
      <c r="G1298" s="1076"/>
      <c r="H1298" s="1076"/>
      <c r="I1298" s="1076"/>
      <c r="J1298" s="1076"/>
      <c r="K1298" s="1076"/>
      <c r="L1298" s="1076" t="str">
        <f>IFERROR(__xludf.DUMMYFUNCTION("""COMPUTED_VALUE"""),"KLH")</f>
        <v>KLH</v>
      </c>
    </row>
    <row r="1299" customHeight="1" spans="1:12">
      <c r="A1299" s="1076" t="str">
        <f>IFERROR(__xludf.DUMMYFUNCTION("""COMPUTED_VALUE"""),"XB1-TCT-002")</f>
        <v>XB1-TCT-002</v>
      </c>
      <c r="B1299" s="1075" t="str">
        <f>IFERROR(__xludf.DUMMYFUNCTION("""COMPUTED_VALUE"""),"Máy trộn thức ăn tinh")</f>
        <v>Máy trộn thức ăn tinh</v>
      </c>
      <c r="C1299" s="1076" t="str">
        <f>IFERROR(__xludf.DUMMYFUNCTION("""COMPUTED_VALUE"""),"XN Bò AD")</f>
        <v>XN Bò AD</v>
      </c>
      <c r="D1299" s="1076" t="str">
        <f>IFERROR(__xludf.DUMMYFUNCTION("""COMPUTED_VALUE"""),"THACO AGRI")</f>
        <v>THACO AGRI</v>
      </c>
      <c r="E1299" s="1076"/>
      <c r="F1299" s="1076"/>
      <c r="G1299" s="1076"/>
      <c r="H1299" s="1076"/>
      <c r="I1299" s="1076"/>
      <c r="J1299" s="1076"/>
      <c r="K1299" s="1076"/>
      <c r="L1299" s="1076" t="str">
        <f>IFERROR(__xludf.DUMMYFUNCTION("""COMPUTED_VALUE"""),"KLH")</f>
        <v>KLH</v>
      </c>
    </row>
    <row r="1300" customHeight="1" spans="1:12">
      <c r="A1300" s="1076" t="str">
        <f>IFERROR(__xludf.DUMMYFUNCTION("""COMPUTED_VALUE"""),"XB1-XĐL-002")</f>
        <v>XB1-XĐL-002</v>
      </c>
      <c r="B1300" s="1075" t="str">
        <f>IFERROR(__xludf.DUMMYFUNCTION("""COMPUTED_VALUE"""),"Máy xay đậu lupin")</f>
        <v>Máy xay đậu lupin</v>
      </c>
      <c r="C1300" s="1076" t="str">
        <f>IFERROR(__xludf.DUMMYFUNCTION("""COMPUTED_VALUE"""),"XN Bò AD")</f>
        <v>XN Bò AD</v>
      </c>
      <c r="D1300" s="1076" t="str">
        <f>IFERROR(__xludf.DUMMYFUNCTION("""COMPUTED_VALUE"""),"THACO AGRI")</f>
        <v>THACO AGRI</v>
      </c>
      <c r="E1300" s="1076"/>
      <c r="F1300" s="1076"/>
      <c r="G1300" s="1076"/>
      <c r="H1300" s="1076"/>
      <c r="I1300" s="1076"/>
      <c r="J1300" s="1076"/>
      <c r="K1300" s="1076"/>
      <c r="L1300" s="1076" t="str">
        <f>IFERROR(__xludf.DUMMYFUNCTION("""COMPUTED_VALUE"""),"KLH")</f>
        <v>KLH</v>
      </c>
    </row>
    <row r="1301" customHeight="1" spans="1:12">
      <c r="A1301" s="1076" t="str">
        <f>IFERROR(__xludf.DUMMYFUNCTION("""COMPUTED_VALUE"""),"XB1-GKM-001")</f>
        <v>XB1-GKM-001</v>
      </c>
      <c r="B1301" s="1075" t="str">
        <f>IFERROR(__xludf.DUMMYFUNCTION("""COMPUTED_VALUE"""),"Thiết bị khoan mẹ")</f>
        <v>Thiết bị khoan mẹ</v>
      </c>
      <c r="C1301" s="1076" t="str">
        <f>IFERROR(__xludf.DUMMYFUNCTION("""COMPUTED_VALUE"""),"XN Bò AD")</f>
        <v>XN Bò AD</v>
      </c>
      <c r="D1301" s="1076" t="str">
        <f>IFERROR(__xludf.DUMMYFUNCTION("""COMPUTED_VALUE"""),"THACO AGRI")</f>
        <v>THACO AGRI</v>
      </c>
      <c r="E1301" s="1076"/>
      <c r="F1301" s="1076"/>
      <c r="G1301" s="1076"/>
      <c r="H1301" s="1076"/>
      <c r="I1301" s="1076"/>
      <c r="J1301" s="1076"/>
      <c r="K1301" s="1076"/>
      <c r="L1301" s="1076" t="str">
        <f>IFERROR(__xludf.DUMMYFUNCTION("""COMPUTED_VALUE"""),"KLH")</f>
        <v>KLH</v>
      </c>
    </row>
    <row r="1302" customHeight="1" spans="1:12">
      <c r="A1302" s="1076" t="str">
        <f>IFERROR(__xludf.DUMMYFUNCTION("""COMPUTED_VALUE"""),"XB1-DKL-001")</f>
        <v>XB1-DKL-001</v>
      </c>
      <c r="B1302" s="1075" t="str">
        <f>IFERROR(__xludf.DUMMYFUNCTION("""COMPUTED_VALUE"""),"Thiết bị khoan lỗ")</f>
        <v>Thiết bị khoan lỗ</v>
      </c>
      <c r="C1302" s="1076" t="str">
        <f>IFERROR(__xludf.DUMMYFUNCTION("""COMPUTED_VALUE"""),"XN Bò AD")</f>
        <v>XN Bò AD</v>
      </c>
      <c r="D1302" s="1076" t="str">
        <f>IFERROR(__xludf.DUMMYFUNCTION("""COMPUTED_VALUE"""),"THACO AGRI")</f>
        <v>THACO AGRI</v>
      </c>
      <c r="E1302" s="1076"/>
      <c r="F1302" s="1076"/>
      <c r="G1302" s="1076"/>
      <c r="H1302" s="1076" t="str">
        <f>IFERROR(__xludf.DUMMYFUNCTION("""COMPUTED_VALUE"""),"DxRxC: 2.5m*0.8m*2.5m
1 bộ TB kèm cardang và mũi khoan phi 800*800mm")</f>
        <v>DxRxC: 2.5m*0.8m*2.5m
1 bộ TB kèm cardang và mũi khoan phi 800*800mm</v>
      </c>
      <c r="I1302" s="1076"/>
      <c r="J1302" s="1076"/>
      <c r="K1302" s="1076"/>
      <c r="L1302" s="1076" t="str">
        <f>IFERROR(__xludf.DUMMYFUNCTION("""COMPUTED_VALUE"""),"KLH")</f>
        <v>KLH</v>
      </c>
    </row>
    <row r="1303" customHeight="1" spans="1:12">
      <c r="A1303" s="1076" t="str">
        <f>IFERROR(__xludf.DUMMYFUNCTION("""COMPUTED_VALUE"""),"XB1-DKL-002")</f>
        <v>XB1-DKL-002</v>
      </c>
      <c r="B1303" s="1075" t="str">
        <f>IFERROR(__xludf.DUMMYFUNCTION("""COMPUTED_VALUE"""),"Thiết bị khoan lỗ")</f>
        <v>Thiết bị khoan lỗ</v>
      </c>
      <c r="C1303" s="1076" t="str">
        <f>IFERROR(__xludf.DUMMYFUNCTION("""COMPUTED_VALUE"""),"XN Bò AD")</f>
        <v>XN Bò AD</v>
      </c>
      <c r="D1303" s="1076" t="str">
        <f>IFERROR(__xludf.DUMMYFUNCTION("""COMPUTED_VALUE"""),"THACO AGRI")</f>
        <v>THACO AGRI</v>
      </c>
      <c r="E1303" s="1076"/>
      <c r="F1303" s="1076"/>
      <c r="G1303" s="1076"/>
      <c r="H1303" s="1076"/>
      <c r="I1303" s="1076"/>
      <c r="J1303" s="1076"/>
      <c r="K1303" s="1076"/>
      <c r="L1303" s="1076" t="str">
        <f>IFERROR(__xludf.DUMMYFUNCTION("""COMPUTED_VALUE"""),"KLH")</f>
        <v>KLH</v>
      </c>
    </row>
    <row r="1304" customHeight="1" spans="1:12">
      <c r="A1304" s="1076" t="str">
        <f>IFERROR(__xludf.DUMMYFUNCTION("""COMPUTED_VALUE"""),"XB1-MCC-001")</f>
        <v>XB1-MCC-001</v>
      </c>
      <c r="B1304" s="1075" t="str">
        <f>IFERROR(__xludf.DUMMYFUNCTION("""COMPUTED_VALUE"""),"Máy cắt lát chuối cho bê")</f>
        <v>Máy cắt lát chuối cho bê</v>
      </c>
      <c r="C1304" s="1076" t="str">
        <f>IFERROR(__xludf.DUMMYFUNCTION("""COMPUTED_VALUE"""),"XN Bò AD")</f>
        <v>XN Bò AD</v>
      </c>
      <c r="D1304" s="1076" t="str">
        <f>IFERROR(__xludf.DUMMYFUNCTION("""COMPUTED_VALUE"""),"THACO AGRI")</f>
        <v>THACO AGRI</v>
      </c>
      <c r="E1304" s="1076"/>
      <c r="F1304" s="1076"/>
      <c r="G1304" s="1076"/>
      <c r="H1304" s="1076"/>
      <c r="I1304" s="1076"/>
      <c r="J1304" s="1076"/>
      <c r="K1304" s="1076"/>
      <c r="L1304" s="1076" t="str">
        <f>IFERROR(__xludf.DUMMYFUNCTION("""COMPUTED_VALUE"""),"KLH")</f>
        <v>KLH</v>
      </c>
    </row>
    <row r="1305" customHeight="1" spans="1:12">
      <c r="A1305" s="1076" t="str">
        <f>IFERROR(__xludf.DUMMYFUNCTION("""COMPUTED_VALUE"""),"XB1-MCO-001")</f>
        <v>XB1-MCO-001</v>
      </c>
      <c r="B1305" s="1075" t="str">
        <f>IFERROR(__xludf.DUMMYFUNCTION("""COMPUTED_VALUE"""),"Máy cuộn cỏ (gắn sau máy kéo)")</f>
        <v>Máy cuộn cỏ (gắn sau máy kéo)</v>
      </c>
      <c r="C1305" s="1076" t="str">
        <f>IFERROR(__xludf.DUMMYFUNCTION("""COMPUTED_VALUE"""),"XN Bò AD")</f>
        <v>XN Bò AD</v>
      </c>
      <c r="D1305" s="1076" t="str">
        <f>IFERROR(__xludf.DUMMYFUNCTION("""COMPUTED_VALUE"""),"TAMICO-S")</f>
        <v>TAMICO-S</v>
      </c>
      <c r="E1305" s="1076" t="str">
        <f>IFERROR(__xludf.DUMMYFUNCTION("""COMPUTED_VALUE"""),"YTAMI")</f>
        <v>YTAMI</v>
      </c>
      <c r="F1305" s="1076"/>
      <c r="G1305" s="1076" t="str">
        <f>IFERROR(__xludf.DUMMYFUNCTION("""COMPUTED_VALUE"""),"2023")</f>
        <v>2023</v>
      </c>
      <c r="H1305" s="1076" t="str">
        <f>IFERROR(__xludf.DUMMYFUNCTION("""COMPUTED_VALUE"""),"- Công suất: 20-50HP
- YTAMI_0870")</f>
        <v>- Công suất: 20-50HP
- YTAMI_0870</v>
      </c>
      <c r="I1305" s="1076" t="str">
        <f>IFERROR(__xludf.DUMMYFUNCTION("""COMPUTED_VALUE"""),"YTAMI-MRB0870-03/CB-14290")</f>
        <v>YTAMI-MRB0870-03/CB-14290</v>
      </c>
      <c r="J1305" s="1076"/>
      <c r="K1305" s="1076">
        <f>IFERROR(__xludf.DUMMYFUNCTION("""COMPUTED_VALUE"""),0.3)</f>
        <v>0.3</v>
      </c>
      <c r="L1305" s="1076" t="str">
        <f>IFERROR(__xludf.DUMMYFUNCTION("""COMPUTED_VALUE"""),"KLH")</f>
        <v>KLH</v>
      </c>
    </row>
    <row r="1306" customHeight="1" spans="1:12">
      <c r="A1306" s="1076" t="str">
        <f>IFERROR(__xludf.DUMMYFUNCTION("""COMPUTED_VALUE"""),"XB1-MCO-002")</f>
        <v>XB1-MCO-002</v>
      </c>
      <c r="B1306" s="1075" t="str">
        <f>IFERROR(__xludf.DUMMYFUNCTION("""COMPUTED_VALUE"""),"Máy cuộn cỏ (gắn sau máy kéo)")</f>
        <v>Máy cuộn cỏ (gắn sau máy kéo)</v>
      </c>
      <c r="C1306" s="1076" t="str">
        <f>IFERROR(__xludf.DUMMYFUNCTION("""COMPUTED_VALUE"""),"XN Bò AD")</f>
        <v>XN Bò AD</v>
      </c>
      <c r="D1306" s="1076" t="str">
        <f>IFERROR(__xludf.DUMMYFUNCTION("""COMPUTED_VALUE"""),"TAMICO-S")</f>
        <v>TAMICO-S</v>
      </c>
      <c r="E1306" s="1076" t="str">
        <f>IFERROR(__xludf.DUMMYFUNCTION("""COMPUTED_VALUE"""),"YTAMI")</f>
        <v>YTAMI</v>
      </c>
      <c r="F1306" s="1076"/>
      <c r="G1306" s="1076" t="str">
        <f>IFERROR(__xludf.DUMMYFUNCTION("""COMPUTED_VALUE"""),"2023")</f>
        <v>2023</v>
      </c>
      <c r="H1306" s="1076" t="str">
        <f>IFERROR(__xludf.DUMMYFUNCTION("""COMPUTED_VALUE"""),"- Công suất: 20-50HP
- YTAMI_0870")</f>
        <v>- Công suất: 20-50HP
- YTAMI_0870</v>
      </c>
      <c r="I1306" s="1076" t="str">
        <f>IFERROR(__xludf.DUMMYFUNCTION("""COMPUTED_VALUE"""),"631513")</f>
        <v>631513</v>
      </c>
      <c r="J1306" s="1076"/>
      <c r="K1306" s="1076">
        <f>IFERROR(__xludf.DUMMYFUNCTION("""COMPUTED_VALUE"""),0.3)</f>
        <v>0.3</v>
      </c>
      <c r="L1306" s="1076" t="str">
        <f>IFERROR(__xludf.DUMMYFUNCTION("""COMPUTED_VALUE"""),"KLH")</f>
        <v>KLH</v>
      </c>
    </row>
    <row r="1307" customHeight="1" spans="1:12">
      <c r="A1307" s="1076" t="str">
        <f>IFERROR(__xludf.DUMMYFUNCTION("""COMPUTED_VALUE"""),"XB1-MCO-003")</f>
        <v>XB1-MCO-003</v>
      </c>
      <c r="B1307" s="1075" t="str">
        <f>IFERROR(__xludf.DUMMYFUNCTION("""COMPUTED_VALUE"""),"Máy cuộn cỏ (gắn sau máy kéo)")</f>
        <v>Máy cuộn cỏ (gắn sau máy kéo)</v>
      </c>
      <c r="C1307" s="1076" t="str">
        <f>IFERROR(__xludf.DUMMYFUNCTION("""COMPUTED_VALUE"""),"XN Bò AD")</f>
        <v>XN Bò AD</v>
      </c>
      <c r="D1307" s="1076" t="str">
        <f>IFERROR(__xludf.DUMMYFUNCTION("""COMPUTED_VALUE"""),"TAMICO-S")</f>
        <v>TAMICO-S</v>
      </c>
      <c r="E1307" s="1076" t="str">
        <f>IFERROR(__xludf.DUMMYFUNCTION("""COMPUTED_VALUE"""),"YTAMI")</f>
        <v>YTAMI</v>
      </c>
      <c r="F1307" s="1076"/>
      <c r="G1307" s="1076" t="str">
        <f>IFERROR(__xludf.DUMMYFUNCTION("""COMPUTED_VALUE"""),"2023")</f>
        <v>2023</v>
      </c>
      <c r="H1307" s="1076" t="str">
        <f>IFERROR(__xludf.DUMMYFUNCTION("""COMPUTED_VALUE"""),"- Công suất: 20-50HP
- YTAMI_0870")</f>
        <v>- Công suất: 20-50HP
- YTAMI_0870</v>
      </c>
      <c r="I1307" s="1076" t="str">
        <f>IFERROR(__xludf.DUMMYFUNCTION("""COMPUTED_VALUE"""),"631514")</f>
        <v>631514</v>
      </c>
      <c r="J1307" s="1076"/>
      <c r="K1307" s="1076">
        <f>IFERROR(__xludf.DUMMYFUNCTION("""COMPUTED_VALUE"""),0.3)</f>
        <v>0.3</v>
      </c>
      <c r="L1307" s="1076" t="str">
        <f>IFERROR(__xludf.DUMMYFUNCTION("""COMPUTED_VALUE"""),"KLH")</f>
        <v>KLH</v>
      </c>
    </row>
    <row r="1308" customHeight="1" spans="1:12">
      <c r="A1308" s="1076" t="str">
        <f>IFERROR(__xludf.DUMMYFUNCTION("""COMPUTED_VALUE"""),"XB1-MCO-004")</f>
        <v>XB1-MCO-004</v>
      </c>
      <c r="B1308" s="1075" t="str">
        <f>IFERROR(__xludf.DUMMYFUNCTION("""COMPUTED_VALUE"""),"Máy cuộn cỏ (gắn sau máy kéo)")</f>
        <v>Máy cuộn cỏ (gắn sau máy kéo)</v>
      </c>
      <c r="C1308" s="1076" t="str">
        <f>IFERROR(__xludf.DUMMYFUNCTION("""COMPUTED_VALUE"""),"XN Bò AD")</f>
        <v>XN Bò AD</v>
      </c>
      <c r="D1308" s="1076" t="str">
        <f>IFERROR(__xludf.DUMMYFUNCTION("""COMPUTED_VALUE"""),"TAMICO-S")</f>
        <v>TAMICO-S</v>
      </c>
      <c r="E1308" s="1076" t="str">
        <f>IFERROR(__xludf.DUMMYFUNCTION("""COMPUTED_VALUE"""),"YTAMI")</f>
        <v>YTAMI</v>
      </c>
      <c r="F1308" s="1076"/>
      <c r="G1308" s="1076" t="str">
        <f>IFERROR(__xludf.DUMMYFUNCTION("""COMPUTED_VALUE"""),"2024")</f>
        <v>2024</v>
      </c>
      <c r="H1308" s="1076" t="str">
        <f>IFERROR(__xludf.DUMMYFUNCTION("""COMPUTED_VALUE"""),"- Công suất: 20-50HP
- YTAMI_0870")</f>
        <v>- Công suất: 20-50HP
- YTAMI_0870</v>
      </c>
      <c r="I1308" s="1076" t="str">
        <f>IFERROR(__xludf.DUMMYFUNCTION("""COMPUTED_VALUE"""),"631512")</f>
        <v>631512</v>
      </c>
      <c r="J1308" s="1076"/>
      <c r="K1308" s="1076">
        <f>IFERROR(__xludf.DUMMYFUNCTION("""COMPUTED_VALUE"""),0.3)</f>
        <v>0.3</v>
      </c>
      <c r="L1308" s="1076" t="str">
        <f>IFERROR(__xludf.DUMMYFUNCTION("""COMPUTED_VALUE"""),"KLH")</f>
        <v>KLH</v>
      </c>
    </row>
    <row r="1309" customHeight="1" spans="1:12">
      <c r="A1309" s="1076" t="str">
        <f>IFERROR(__xludf.DUMMYFUNCTION("""COMPUTED_VALUE"""),"XB1-MCO-005")</f>
        <v>XB1-MCO-005</v>
      </c>
      <c r="B1309" s="1075" t="str">
        <f>IFERROR(__xludf.DUMMYFUNCTION("""COMPUTED_VALUE"""),"Máy cuộn cỏ (gắn sau máy kéo)")</f>
        <v>Máy cuộn cỏ (gắn sau máy kéo)</v>
      </c>
      <c r="C1309" s="1076" t="str">
        <f>IFERROR(__xludf.DUMMYFUNCTION("""COMPUTED_VALUE"""),"XN Bò AD")</f>
        <v>XN Bò AD</v>
      </c>
      <c r="D1309" s="1076" t="str">
        <f>IFERROR(__xludf.DUMMYFUNCTION("""COMPUTED_VALUE"""),"TAMICO-S")</f>
        <v>TAMICO-S</v>
      </c>
      <c r="E1309" s="1076" t="str">
        <f>IFERROR(__xludf.DUMMYFUNCTION("""COMPUTED_VALUE"""),"YTAMI")</f>
        <v>YTAMI</v>
      </c>
      <c r="F1309" s="1076"/>
      <c r="G1309" s="1076" t="str">
        <f>IFERROR(__xludf.DUMMYFUNCTION("""COMPUTED_VALUE"""),"2024")</f>
        <v>2024</v>
      </c>
      <c r="H1309" s="1076" t="str">
        <f>IFERROR(__xludf.DUMMYFUNCTION("""COMPUTED_VALUE"""),"20-50HP")</f>
        <v>20-50HP</v>
      </c>
      <c r="I1309" s="1076" t="str">
        <f>IFERROR(__xludf.DUMMYFUNCTION("""COMPUTED_VALUE"""),"631511")</f>
        <v>631511</v>
      </c>
      <c r="J1309" s="1076"/>
      <c r="K1309" s="1076">
        <f>IFERROR(__xludf.DUMMYFUNCTION("""COMPUTED_VALUE"""),0.3)</f>
        <v>0.3</v>
      </c>
      <c r="L1309" s="1076" t="str">
        <f>IFERROR(__xludf.DUMMYFUNCTION("""COMPUTED_VALUE"""),"KLH")</f>
        <v>KLH</v>
      </c>
    </row>
    <row r="1310" customHeight="1" spans="1:12">
      <c r="A1310" s="1076" t="str">
        <f>IFERROR(__xludf.DUMMYFUNCTION("""COMPUTED_VALUE"""),"XB1-MCO-006")</f>
        <v>XB1-MCO-006</v>
      </c>
      <c r="B1310" s="1075" t="str">
        <f>IFERROR(__xludf.DUMMYFUNCTION("""COMPUTED_VALUE"""),"Máy cuộn cỏ (gắn sau máy kéo)")</f>
        <v>Máy cuộn cỏ (gắn sau máy kéo)</v>
      </c>
      <c r="C1310" s="1076" t="str">
        <f>IFERROR(__xludf.DUMMYFUNCTION("""COMPUTED_VALUE"""),"XN Bò AD")</f>
        <v>XN Bò AD</v>
      </c>
      <c r="D1310" s="1076" t="str">
        <f>IFERROR(__xludf.DUMMYFUNCTION("""COMPUTED_VALUE"""),"TAMICO-S")</f>
        <v>TAMICO-S</v>
      </c>
      <c r="E1310" s="1076" t="str">
        <f>IFERROR(__xludf.DUMMYFUNCTION("""COMPUTED_VALUE"""),"YTAMI")</f>
        <v>YTAMI</v>
      </c>
      <c r="F1310" s="1076"/>
      <c r="G1310" s="1076" t="str">
        <f>IFERROR(__xludf.DUMMYFUNCTION("""COMPUTED_VALUE"""),"2024")</f>
        <v>2024</v>
      </c>
      <c r="H1310" s="1076" t="str">
        <f>IFERROR(__xludf.DUMMYFUNCTION("""COMPUTED_VALUE"""),"20-50HP")</f>
        <v>20-50HP</v>
      </c>
      <c r="I1310" s="1076" t="str">
        <f>IFERROR(__xludf.DUMMYFUNCTION("""COMPUTED_VALUE"""),"630745")</f>
        <v>630745</v>
      </c>
      <c r="J1310" s="1076"/>
      <c r="K1310" s="1076">
        <f>IFERROR(__xludf.DUMMYFUNCTION("""COMPUTED_VALUE"""),0.3)</f>
        <v>0.3</v>
      </c>
      <c r="L1310" s="1076" t="str">
        <f>IFERROR(__xludf.DUMMYFUNCTION("""COMPUTED_VALUE"""),"KLH")</f>
        <v>KLH</v>
      </c>
    </row>
    <row r="1311" customHeight="1" spans="1:12">
      <c r="A1311" s="1076" t="str">
        <f>IFERROR(__xludf.DUMMYFUNCTION("""COMPUTED_VALUE"""),"XB1-MTO-001")</f>
        <v>XB1-MTO-001</v>
      </c>
      <c r="B1311" s="1075" t="str">
        <f>IFERROR(__xludf.DUMMYFUNCTION("""COMPUTED_VALUE"""),"Máy tời xe máy 3.5T")</f>
        <v>Máy tời xe máy 3.5T</v>
      </c>
      <c r="C1311" s="1076" t="str">
        <f>IFERROR(__xludf.DUMMYFUNCTION("""COMPUTED_VALUE"""),"XN Bò AD")</f>
        <v>XN Bò AD</v>
      </c>
      <c r="D1311" s="1076" t="str">
        <f>IFERROR(__xludf.DUMMYFUNCTION("""COMPUTED_VALUE"""),"SYM")</f>
        <v>SYM</v>
      </c>
      <c r="E1311" s="1076" t="str">
        <f>IFERROR(__xludf.DUMMYFUNCTION("""COMPUTED_VALUE"""),"SANYANG MOTOR")</f>
        <v>SANYANG MOTOR</v>
      </c>
      <c r="F1311" s="1076"/>
      <c r="G1311" s="1076" t="str">
        <f>IFERROR(__xludf.DUMMYFUNCTION("""COMPUTED_VALUE"""),"-")</f>
        <v>-</v>
      </c>
      <c r="H1311" s="1076"/>
      <c r="I1311" s="1076" t="str">
        <f>IFERROR(__xludf.DUMMYFUNCTION("""COMPUTED_VALUE"""),"VAVLC152FMH009586")</f>
        <v>VAVLC152FMH009586</v>
      </c>
      <c r="J1311" s="1076"/>
      <c r="K1311" s="1076"/>
      <c r="L1311" s="1076" t="str">
        <f>IFERROR(__xludf.DUMMYFUNCTION("""COMPUTED_VALUE"""),"KLH")</f>
        <v>KLH</v>
      </c>
    </row>
    <row r="1312" customHeight="1" spans="1:12">
      <c r="A1312" s="1076" t="str">
        <f>IFERROR(__xludf.DUMMYFUNCTION("""COMPUTED_VALUE"""),"XB1-MTO-002")</f>
        <v>XB1-MTO-002</v>
      </c>
      <c r="B1312" s="1075" t="str">
        <f>IFERROR(__xludf.DUMMYFUNCTION("""COMPUTED_VALUE"""),"Máy tời xe máy 3.5T")</f>
        <v>Máy tời xe máy 3.5T</v>
      </c>
      <c r="C1312" s="1076" t="str">
        <f>IFERROR(__xludf.DUMMYFUNCTION("""COMPUTED_VALUE"""),"XN Bò AD")</f>
        <v>XN Bò AD</v>
      </c>
      <c r="D1312" s="1076" t="str">
        <f>IFERROR(__xludf.DUMMYFUNCTION("""COMPUTED_VALUE"""),"SYM")</f>
        <v>SYM</v>
      </c>
      <c r="E1312" s="1076" t="str">
        <f>IFERROR(__xludf.DUMMYFUNCTION("""COMPUTED_VALUE"""),"SANYANG MOTOR")</f>
        <v>SANYANG MOTOR</v>
      </c>
      <c r="F1312" s="1076"/>
      <c r="G1312" s="1076"/>
      <c r="H1312" s="1076" t="str">
        <f>IFERROR(__xludf.DUMMYFUNCTION("""COMPUTED_VALUE"""),"-")</f>
        <v>-</v>
      </c>
      <c r="I1312" s="1076" t="str">
        <f>IFERROR(__xludf.DUMMYFUNCTION("""COMPUTED_VALUE"""),"-")</f>
        <v>-</v>
      </c>
      <c r="J1312" s="1076"/>
      <c r="K1312" s="1076"/>
      <c r="L1312" s="1076" t="str">
        <f>IFERROR(__xludf.DUMMYFUNCTION("""COMPUTED_VALUE"""),"KLH")</f>
        <v>KLH</v>
      </c>
    </row>
    <row r="1313" customHeight="1" spans="1:12">
      <c r="A1313" s="1076" t="str">
        <f>IFERROR(__xludf.DUMMYFUNCTION("""COMPUTED_VALUE"""),"XB1-MTO-003")</f>
        <v>XB1-MTO-003</v>
      </c>
      <c r="B1313" s="1075" t="str">
        <f>IFERROR(__xludf.DUMMYFUNCTION("""COMPUTED_VALUE"""),"Máy tời xe máy 3.5T")</f>
        <v>Máy tời xe máy 3.5T</v>
      </c>
      <c r="C1313" s="1076" t="str">
        <f>IFERROR(__xludf.DUMMYFUNCTION("""COMPUTED_VALUE"""),"XN Bò AD")</f>
        <v>XN Bò AD</v>
      </c>
      <c r="D1313" s="1076" t="str">
        <f>IFERROR(__xludf.DUMMYFUNCTION("""COMPUTED_VALUE"""),"SYM")</f>
        <v>SYM</v>
      </c>
      <c r="E1313" s="1076" t="str">
        <f>IFERROR(__xludf.DUMMYFUNCTION("""COMPUTED_VALUE"""),"SANYANG MOTOR")</f>
        <v>SANYANG MOTOR</v>
      </c>
      <c r="F1313" s="1076"/>
      <c r="G1313" s="1076"/>
      <c r="H1313" s="1076"/>
      <c r="I1313" s="1076" t="str">
        <f>IFERROR(__xludf.DUMMYFUNCTION("""COMPUTED_VALUE"""),"LC150FM-00085896")</f>
        <v>LC150FM-00085896</v>
      </c>
      <c r="J1313" s="1076"/>
      <c r="K1313" s="1076"/>
      <c r="L1313" s="1076" t="str">
        <f>IFERROR(__xludf.DUMMYFUNCTION("""COMPUTED_VALUE"""),"KLH")</f>
        <v>KLH</v>
      </c>
    </row>
    <row r="1314" customHeight="1" spans="1:12">
      <c r="A1314" s="1076" t="str">
        <f>IFERROR(__xludf.DUMMYFUNCTION("""COMPUTED_VALUE"""),"XB1-MTO-004")</f>
        <v>XB1-MTO-004</v>
      </c>
      <c r="B1314" s="1075" t="str">
        <f>IFERROR(__xludf.DUMMYFUNCTION("""COMPUTED_VALUE"""),"Máy tời xe máy 3.5T")</f>
        <v>Máy tời xe máy 3.5T</v>
      </c>
      <c r="C1314" s="1076" t="str">
        <f>IFERROR(__xludf.DUMMYFUNCTION("""COMPUTED_VALUE"""),"XN Bò AD")</f>
        <v>XN Bò AD</v>
      </c>
      <c r="D1314" s="1076" t="str">
        <f>IFERROR(__xludf.DUMMYFUNCTION("""COMPUTED_VALUE"""),"SYM")</f>
        <v>SYM</v>
      </c>
      <c r="E1314" s="1076" t="str">
        <f>IFERROR(__xludf.DUMMYFUNCTION("""COMPUTED_VALUE"""),"SANYANG MOTOR")</f>
        <v>SANYANG MOTOR</v>
      </c>
      <c r="F1314" s="1076"/>
      <c r="G1314" s="1076"/>
      <c r="H1314" s="1076"/>
      <c r="I1314" s="1076" t="str">
        <f>IFERROR(__xludf.DUMMYFUNCTION("""COMPUTED_VALUE"""),"46200892")</f>
        <v>46200892</v>
      </c>
      <c r="J1314" s="1076"/>
      <c r="K1314" s="1076"/>
      <c r="L1314" s="1076" t="str">
        <f>IFERROR(__xludf.DUMMYFUNCTION("""COMPUTED_VALUE"""),"KLH")</f>
        <v>KLH</v>
      </c>
    </row>
    <row r="1315" customHeight="1" spans="1:12">
      <c r="A1315" s="1076" t="str">
        <f>IFERROR(__xludf.DUMMYFUNCTION("""COMPUTED_VALUE"""),"XB1-MTO-005")</f>
        <v>XB1-MTO-005</v>
      </c>
      <c r="B1315" s="1075" t="str">
        <f>IFERROR(__xludf.DUMMYFUNCTION("""COMPUTED_VALUE"""),"Máy tời xe máy 3.5T")</f>
        <v>Máy tời xe máy 3.5T</v>
      </c>
      <c r="C1315" s="1076" t="str">
        <f>IFERROR(__xludf.DUMMYFUNCTION("""COMPUTED_VALUE"""),"XN Bò AD")</f>
        <v>XN Bò AD</v>
      </c>
      <c r="D1315" s="1076" t="str">
        <f>IFERROR(__xludf.DUMMYFUNCTION("""COMPUTED_VALUE"""),"SYM")</f>
        <v>SYM</v>
      </c>
      <c r="E1315" s="1076" t="str">
        <f>IFERROR(__xludf.DUMMYFUNCTION("""COMPUTED_VALUE"""),"SANYANG MOTOR")</f>
        <v>SANYANG MOTOR</v>
      </c>
      <c r="F1315" s="1076"/>
      <c r="G1315" s="1076"/>
      <c r="H1315" s="1076"/>
      <c r="I1315" s="1076" t="str">
        <f>IFERROR(__xludf.DUMMYFUNCTION("""COMPUTED_VALUE"""),"VTTJL1P52FMH-E001739")</f>
        <v>VTTJL1P52FMH-E001739</v>
      </c>
      <c r="J1315" s="1076"/>
      <c r="K1315" s="1076"/>
      <c r="L1315" s="1076" t="str">
        <f>IFERROR(__xludf.DUMMYFUNCTION("""COMPUTED_VALUE"""),"KLH")</f>
        <v>KLH</v>
      </c>
    </row>
    <row r="1316" customHeight="1" spans="1:12">
      <c r="A1316" s="1076" t="str">
        <f>IFERROR(__xludf.DUMMYFUNCTION("""COMPUTED_VALUE"""),"XB1-MTO-006")</f>
        <v>XB1-MTO-006</v>
      </c>
      <c r="B1316" s="1075" t="str">
        <f>IFERROR(__xludf.DUMMYFUNCTION("""COMPUTED_VALUE"""),"Máy tời xe máy 3.5T")</f>
        <v>Máy tời xe máy 3.5T</v>
      </c>
      <c r="C1316" s="1076" t="str">
        <f>IFERROR(__xludf.DUMMYFUNCTION("""COMPUTED_VALUE"""),"XN Bò AD")</f>
        <v>XN Bò AD</v>
      </c>
      <c r="D1316" s="1076" t="str">
        <f>IFERROR(__xludf.DUMMYFUNCTION("""COMPUTED_VALUE"""),"SYM")</f>
        <v>SYM</v>
      </c>
      <c r="E1316" s="1076" t="str">
        <f>IFERROR(__xludf.DUMMYFUNCTION("""COMPUTED_VALUE"""),"SANYANG MOTOR")</f>
        <v>SANYANG MOTOR</v>
      </c>
      <c r="F1316" s="1076"/>
      <c r="G1316" s="1076"/>
      <c r="H1316" s="1076"/>
      <c r="I1316" s="1076" t="str">
        <f>IFERROR(__xludf.DUMMYFUNCTION("""COMPUTED_VALUE"""),"VTTJL1P52FMH-E4001768")</f>
        <v>VTTJL1P52FMH-E4001768</v>
      </c>
      <c r="J1316" s="1076"/>
      <c r="K1316" s="1076"/>
      <c r="L1316" s="1076" t="str">
        <f>IFERROR(__xludf.DUMMYFUNCTION("""COMPUTED_VALUE"""),"KLH")</f>
        <v>KLH</v>
      </c>
    </row>
    <row r="1317" customHeight="1" spans="1:12">
      <c r="A1317" s="1076" t="str">
        <f>IFERROR(__xludf.DUMMYFUNCTION("""COMPUTED_VALUE"""),"XB1-MCA-001")</f>
        <v>XB1-MCA-001</v>
      </c>
      <c r="B1317" s="1075" t="str">
        <f>IFERROR(__xludf.DUMMYFUNCTION("""COMPUTED_VALUE"""),"Máy cao áp phun thuốc")</f>
        <v>Máy cao áp phun thuốc</v>
      </c>
      <c r="C1317" s="1076" t="str">
        <f>IFERROR(__xludf.DUMMYFUNCTION("""COMPUTED_VALUE"""),"XN Bò AD")</f>
        <v>XN Bò AD</v>
      </c>
      <c r="D1317" s="1076" t="str">
        <f>IFERROR(__xludf.DUMMYFUNCTION("""COMPUTED_VALUE"""),"NILE")</f>
        <v>NILE</v>
      </c>
      <c r="E1317" s="1076" t="str">
        <f>IFERROR(__xludf.DUMMYFUNCTION("""COMPUTED_VALUE"""),"N680A")</f>
        <v>N680A</v>
      </c>
      <c r="F1317" s="1076"/>
      <c r="G1317" s="1076"/>
      <c r="H1317" s="1076"/>
      <c r="I1317" s="1076" t="str">
        <f>IFERROR(__xludf.DUMMYFUNCTION("""COMPUTED_VALUE"""),"N680A-240014")</f>
        <v>N680A-240014</v>
      </c>
      <c r="J1317" s="1076"/>
      <c r="K1317" s="1076"/>
      <c r="L1317" s="1076" t="str">
        <f>IFERROR(__xludf.DUMMYFUNCTION("""COMPUTED_VALUE"""),"KLH")</f>
        <v>KLH</v>
      </c>
    </row>
    <row r="1318" customHeight="1" spans="1:12">
      <c r="A1318" s="1076" t="str">
        <f>IFERROR(__xludf.DUMMYFUNCTION("""COMPUTED_VALUE"""),"XB1-MCA-002")</f>
        <v>XB1-MCA-002</v>
      </c>
      <c r="B1318" s="1075" t="str">
        <f>IFERROR(__xludf.DUMMYFUNCTION("""COMPUTED_VALUE"""),"Máy cao áp phun thuốc")</f>
        <v>Máy cao áp phun thuốc</v>
      </c>
      <c r="C1318" s="1076" t="str">
        <f>IFERROR(__xludf.DUMMYFUNCTION("""COMPUTED_VALUE"""),"XN Bò AD")</f>
        <v>XN Bò AD</v>
      </c>
      <c r="D1318" s="1076" t="str">
        <f>IFERROR(__xludf.DUMMYFUNCTION("""COMPUTED_VALUE"""),"NILE")</f>
        <v>NILE</v>
      </c>
      <c r="E1318" s="1076" t="str">
        <f>IFERROR(__xludf.DUMMYFUNCTION("""COMPUTED_VALUE"""),"N680A")</f>
        <v>N680A</v>
      </c>
      <c r="F1318" s="1076"/>
      <c r="G1318" s="1076"/>
      <c r="H1318" s="1076"/>
      <c r="I1318" s="1076" t="str">
        <f>IFERROR(__xludf.DUMMYFUNCTION("""COMPUTED_VALUE"""),"N680A-240012")</f>
        <v>N680A-240012</v>
      </c>
      <c r="J1318" s="1076"/>
      <c r="K1318" s="1076"/>
      <c r="L1318" s="1076" t="str">
        <f>IFERROR(__xludf.DUMMYFUNCTION("""COMPUTED_VALUE"""),"KLH")</f>
        <v>KLH</v>
      </c>
    </row>
    <row r="1319" customHeight="1" spans="1:12">
      <c r="A1319" s="1076" t="str">
        <f>IFERROR(__xludf.DUMMYFUNCTION("""COMPUTED_VALUE"""),"XB1-MCA-003")</f>
        <v>XB1-MCA-003</v>
      </c>
      <c r="B1319" s="1075" t="str">
        <f>IFERROR(__xludf.DUMMYFUNCTION("""COMPUTED_VALUE"""),"Máy cao áp phun thuốc")</f>
        <v>Máy cao áp phun thuốc</v>
      </c>
      <c r="C1319" s="1076" t="str">
        <f>IFERROR(__xludf.DUMMYFUNCTION("""COMPUTED_VALUE"""),"XN Bò AD")</f>
        <v>XN Bò AD</v>
      </c>
      <c r="D1319" s="1076" t="str">
        <f>IFERROR(__xludf.DUMMYFUNCTION("""COMPUTED_VALUE"""),"NILE")</f>
        <v>NILE</v>
      </c>
      <c r="E1319" s="1076" t="str">
        <f>IFERROR(__xludf.DUMMYFUNCTION("""COMPUTED_VALUE"""),"N680A")</f>
        <v>N680A</v>
      </c>
      <c r="F1319" s="1076"/>
      <c r="G1319" s="1076"/>
      <c r="H1319" s="1076"/>
      <c r="I1319" s="1076" t="str">
        <f>IFERROR(__xludf.DUMMYFUNCTION("""COMPUTED_VALUE"""),"N680A-240010")</f>
        <v>N680A-240010</v>
      </c>
      <c r="J1319" s="1076"/>
      <c r="K1319" s="1076"/>
      <c r="L1319" s="1076" t="str">
        <f>IFERROR(__xludf.DUMMYFUNCTION("""COMPUTED_VALUE"""),"KLH")</f>
        <v>KLH</v>
      </c>
    </row>
    <row r="1320" customHeight="1" spans="1:12">
      <c r="A1320" s="1076" t="str">
        <f>IFERROR(__xludf.DUMMYFUNCTION("""COMPUTED_VALUE"""),"XB1-BUA-001")</f>
        <v>XB1-BUA-001</v>
      </c>
      <c r="B1320" s="1075" t="str">
        <f>IFERROR(__xludf.DUMMYFUNCTION("""COMPUTED_VALUE"""),"Thiết bị bừa 32 chảo")</f>
        <v>Thiết bị bừa 32 chảo</v>
      </c>
      <c r="C1320" s="1076" t="str">
        <f>IFERROR(__xludf.DUMMYFUNCTION("""COMPUTED_VALUE"""),"XN Bò AD")</f>
        <v>XN Bò AD</v>
      </c>
      <c r="D1320" s="1076" t="str">
        <f>IFERROR(__xludf.DUMMYFUNCTION("""COMPUTED_VALUE"""),"NILE")</f>
        <v>NILE</v>
      </c>
      <c r="E1320" s="1076" t="str">
        <f>IFERROR(__xludf.DUMMYFUNCTION("""COMPUTED_VALUE"""),"N680A")</f>
        <v>N680A</v>
      </c>
      <c r="F1320" s="1076"/>
      <c r="G1320" s="1076"/>
      <c r="H1320" s="1076"/>
      <c r="I1320" s="1076"/>
      <c r="J1320" s="1076"/>
      <c r="K1320" s="1076"/>
      <c r="L1320" s="1076" t="str">
        <f>IFERROR(__xludf.DUMMYFUNCTION("""COMPUTED_VALUE"""),"KLH")</f>
        <v>KLH</v>
      </c>
    </row>
    <row r="1321" customHeight="1" spans="1:12">
      <c r="A1321" s="1076" t="str">
        <f>IFERROR(__xludf.DUMMYFUNCTION("""COMPUTED_VALUE"""),"XB1-BUA-002")</f>
        <v>XB1-BUA-002</v>
      </c>
      <c r="B1321" s="1075" t="str">
        <f>IFERROR(__xludf.DUMMYFUNCTION("""COMPUTED_VALUE"""),"Thiết bị bừa 24 chảo")</f>
        <v>Thiết bị bừa 24 chảo</v>
      </c>
      <c r="C1321" s="1076" t="str">
        <f>IFERROR(__xludf.DUMMYFUNCTION("""COMPUTED_VALUE"""),"XN Bò AD")</f>
        <v>XN Bò AD</v>
      </c>
      <c r="D1321" s="1076" t="str">
        <f>IFERROR(__xludf.DUMMYFUNCTION("""COMPUTED_VALUE"""),"INRODA")</f>
        <v>INRODA</v>
      </c>
      <c r="E1321" s="1076" t="str">
        <f>IFERROR(__xludf.DUMMYFUNCTION("""COMPUTED_VALUE"""),"GASP24235")</f>
        <v>GASP24235</v>
      </c>
      <c r="F1321" s="1076"/>
      <c r="G1321" s="1076" t="str">
        <f>IFERROR(__xludf.DUMMYFUNCTION("""COMPUTED_VALUE"""),"2024")</f>
        <v>2024</v>
      </c>
      <c r="H1321" s="1076"/>
      <c r="I1321" s="1076" t="str">
        <f>IFERROR(__xludf.DUMMYFUNCTION("""COMPUTED_VALUE"""),"3453782")</f>
        <v>3453782</v>
      </c>
      <c r="J1321" s="1076"/>
      <c r="K1321" s="1076"/>
      <c r="L1321" s="1076" t="str">
        <f>IFERROR(__xludf.DUMMYFUNCTION("""COMPUTED_VALUE"""),"KLH")</f>
        <v>KLH</v>
      </c>
    </row>
    <row r="1322" customHeight="1" spans="1:12">
      <c r="A1322" s="1076" t="str">
        <f>IFERROR(__xludf.DUMMYFUNCTION("""COMPUTED_VALUE"""),"XB1-BUA-003")</f>
        <v>XB1-BUA-003</v>
      </c>
      <c r="B1322" s="1075" t="str">
        <f>IFERROR(__xludf.DUMMYFUNCTION("""COMPUTED_VALUE"""),"Thiết bị bừa 24 chảo")</f>
        <v>Thiết bị bừa 24 chảo</v>
      </c>
      <c r="C1322" s="1076" t="str">
        <f>IFERROR(__xludf.DUMMYFUNCTION("""COMPUTED_VALUE"""),"XN Bò AD")</f>
        <v>XN Bò AD</v>
      </c>
      <c r="D1322" s="1076"/>
      <c r="E1322" s="1076"/>
      <c r="F1322" s="1076"/>
      <c r="G1322" s="1076" t="str">
        <f>IFERROR(__xludf.DUMMYFUNCTION("""COMPUTED_VALUE"""),"2025")</f>
        <v>2025</v>
      </c>
      <c r="H1322" s="1076"/>
      <c r="I1322" s="1076"/>
      <c r="J1322" s="1076"/>
      <c r="K1322" s="1076"/>
      <c r="L1322" s="1076" t="str">
        <f>IFERROR(__xludf.DUMMYFUNCTION("""COMPUTED_VALUE"""),"KLH")</f>
        <v>KLH</v>
      </c>
    </row>
    <row r="1323" customHeight="1" spans="1:12">
      <c r="A1323" s="1076" t="str">
        <f>IFERROR(__xludf.DUMMYFUNCTION("""COMPUTED_VALUE"""),"XB1-BUA-004")</f>
        <v>XB1-BUA-004</v>
      </c>
      <c r="B1323" s="1075" t="str">
        <f>IFERROR(__xludf.DUMMYFUNCTION("""COMPUTED_VALUE"""),"Thiết bị bừa 32 chảo")</f>
        <v>Thiết bị bừa 32 chảo</v>
      </c>
      <c r="C1323" s="1076" t="str">
        <f>IFERROR(__xludf.DUMMYFUNCTION("""COMPUTED_VALUE"""),"XN Bò AD")</f>
        <v>XN Bò AD</v>
      </c>
      <c r="D1323" s="1076"/>
      <c r="E1323" s="1076"/>
      <c r="F1323" s="1076"/>
      <c r="G1323" s="1076" t="str">
        <f>IFERROR(__xludf.DUMMYFUNCTION("""COMPUTED_VALUE"""),"2025")</f>
        <v>2025</v>
      </c>
      <c r="H1323" s="1076"/>
      <c r="I1323" s="1076"/>
      <c r="J1323" s="1076"/>
      <c r="K1323" s="1076"/>
      <c r="L1323" s="1076" t="str">
        <f>IFERROR(__xludf.DUMMYFUNCTION("""COMPUTED_VALUE"""),"KLH")</f>
        <v>KLH</v>
      </c>
    </row>
    <row r="1324" customHeight="1" spans="1:12">
      <c r="A1324" s="1076" t="str">
        <f>IFERROR(__xludf.DUMMYFUNCTION("""COMPUTED_VALUE"""),"XB1-DTP-001")</f>
        <v>XB1-DTP-001</v>
      </c>
      <c r="B1324" s="1075" t="str">
        <f>IFERROR(__xludf.DUMMYFUNCTION("""COMPUTED_VALUE"""),"Thiết bị tung phân hữu cơ")</f>
        <v>Thiết bị tung phân hữu cơ</v>
      </c>
      <c r="C1324" s="1076" t="str">
        <f>IFERROR(__xludf.DUMMYFUNCTION("""COMPUTED_VALUE"""),"XN Bò AD")</f>
        <v>XN Bò AD</v>
      </c>
      <c r="D1324" s="1076" t="str">
        <f>IFERROR(__xludf.DUMMYFUNCTION("""COMPUTED_VALUE"""),"THACO INDUSTRIES")</f>
        <v>THACO INDUSTRIES</v>
      </c>
      <c r="E1324" s="1076" t="str">
        <f>IFERROR(__xludf.DUMMYFUNCTION("""COMPUTED_VALUE"""),"10M3")</f>
        <v>10M3</v>
      </c>
      <c r="F1324" s="1076"/>
      <c r="G1324" s="1076" t="str">
        <f>IFERROR(__xludf.DUMMYFUNCTION("""COMPUTED_VALUE"""),"2023")</f>
        <v>2023</v>
      </c>
      <c r="H1324" s="1076"/>
      <c r="I1324" s="1076"/>
      <c r="J1324" s="1076"/>
      <c r="K1324" s="1076"/>
      <c r="L1324" s="1076" t="str">
        <f>IFERROR(__xludf.DUMMYFUNCTION("""COMPUTED_VALUE"""),"KLH")</f>
        <v>KLH</v>
      </c>
    </row>
    <row r="1325" customHeight="1" spans="1:12">
      <c r="A1325" s="1076" t="str">
        <f>IFERROR(__xludf.DUMMYFUNCTION("""COMPUTED_VALUE"""),"XB1-DTP-002")</f>
        <v>XB1-DTP-002</v>
      </c>
      <c r="B1325" s="1075" t="str">
        <f>IFERROR(__xludf.DUMMYFUNCTION("""COMPUTED_VALUE"""),"Thiết bị tung phân hữu cơ")</f>
        <v>Thiết bị tung phân hữu cơ</v>
      </c>
      <c r="C1325" s="1076" t="str">
        <f>IFERROR(__xludf.DUMMYFUNCTION("""COMPUTED_VALUE"""),"XN Bò AD")</f>
        <v>XN Bò AD</v>
      </c>
      <c r="D1325" s="1076" t="str">
        <f>IFERROR(__xludf.DUMMYFUNCTION("""COMPUTED_VALUE"""),"THACO INDUSTRIES")</f>
        <v>THACO INDUSTRIES</v>
      </c>
      <c r="E1325" s="1076" t="str">
        <f>IFERROR(__xludf.DUMMYFUNCTION("""COMPUTED_VALUE"""),"10M3")</f>
        <v>10M3</v>
      </c>
      <c r="F1325" s="1076"/>
      <c r="G1325" s="1076" t="str">
        <f>IFERROR(__xludf.DUMMYFUNCTION("""COMPUTED_VALUE"""),"2024")</f>
        <v>2024</v>
      </c>
      <c r="H1325" s="1076" t="str">
        <f>IFERROR(__xludf.DUMMYFUNCTION("""COMPUTED_VALUE"""),"&gt;= 90HP")</f>
        <v>&gt;= 90HP</v>
      </c>
      <c r="I1325" s="1076"/>
      <c r="J1325" s="1076"/>
      <c r="K1325" s="1076"/>
      <c r="L1325" s="1076" t="str">
        <f>IFERROR(__xludf.DUMMYFUNCTION("""COMPUTED_VALUE"""),"KLH")</f>
        <v>KLH</v>
      </c>
    </row>
    <row r="1326" customHeight="1" spans="1:12">
      <c r="A1326" s="1076" t="str">
        <f>IFERROR(__xludf.DUMMYFUNCTION("""COMPUTED_VALUE"""),"XB1-DTP-003")</f>
        <v>XB1-DTP-003</v>
      </c>
      <c r="B1326" s="1075" t="str">
        <f>IFERROR(__xludf.DUMMYFUNCTION("""COMPUTED_VALUE"""),"Thiết bị tung phân hữu cơ")</f>
        <v>Thiết bị tung phân hữu cơ</v>
      </c>
      <c r="C1326" s="1076" t="str">
        <f>IFERROR(__xludf.DUMMYFUNCTION("""COMPUTED_VALUE"""),"XN Bò AD")</f>
        <v>XN Bò AD</v>
      </c>
      <c r="D1326" s="1076" t="str">
        <f>IFERROR(__xludf.DUMMYFUNCTION("""COMPUTED_VALUE"""),"THACO INDUSTRIES")</f>
        <v>THACO INDUSTRIES</v>
      </c>
      <c r="E1326" s="1076" t="str">
        <f>IFERROR(__xludf.DUMMYFUNCTION("""COMPUTED_VALUE"""),"10M3")</f>
        <v>10M3</v>
      </c>
      <c r="F1326" s="1076"/>
      <c r="G1326" s="1076" t="str">
        <f>IFERROR(__xludf.DUMMYFUNCTION("""COMPUTED_VALUE"""),"2026")</f>
        <v>2026</v>
      </c>
      <c r="H1326" s="1076"/>
      <c r="I1326" s="1076" t="str">
        <f>IFERROR(__xludf.DUMMYFUNCTION("""COMPUTED_VALUE"""),"RMFNU109BTC002417")</f>
        <v>RMFNU109BTC002417</v>
      </c>
      <c r="J1326" s="1076"/>
      <c r="K1326" s="1076"/>
      <c r="L1326" s="1076" t="str">
        <f>IFERROR(__xludf.DUMMYFUNCTION("""COMPUTED_VALUE"""),"KLH")</f>
        <v>KLH</v>
      </c>
    </row>
    <row r="1327" customHeight="1" spans="1:12">
      <c r="A1327" s="1076" t="str">
        <f>IFERROR(__xludf.DUMMYFUNCTION("""COMPUTED_VALUE"""),"XB1-DRP-002")</f>
        <v>XB1-DRP-002</v>
      </c>
      <c r="B1327" s="1075" t="str">
        <f>IFERROR(__xludf.DUMMYFUNCTION("""COMPUTED_VALUE"""),"Dàn rải phân (10m3)")</f>
        <v>Dàn rải phân (10m3)</v>
      </c>
      <c r="C1327" s="1076" t="str">
        <f>IFERROR(__xludf.DUMMYFUNCTION("""COMPUTED_VALUE"""),"XN Bò AD")</f>
        <v>XN Bò AD</v>
      </c>
      <c r="D1327" s="1076" t="str">
        <f>IFERROR(__xludf.DUMMYFUNCTION("""COMPUTED_VALUE"""),"THACO INDUSTRIES")</f>
        <v>THACO INDUSTRIES</v>
      </c>
      <c r="E1327" s="1076" t="str">
        <f>IFERROR(__xludf.DUMMYFUNCTION("""COMPUTED_VALUE"""),"CHU LAI")</f>
        <v>CHU LAI</v>
      </c>
      <c r="F1327" s="1076">
        <f>IFERROR(__xludf.DUMMYFUNCTION("""COMPUTED_VALUE"""),2025)</f>
        <v>2025</v>
      </c>
      <c r="G1327" s="1076" t="str">
        <f>IFERROR(__xludf.DUMMYFUNCTION("""COMPUTED_VALUE"""),"14 (10m3)")</f>
        <v>14 (10m3)</v>
      </c>
      <c r="H1327" s="1076" t="str">
        <f>IFERROR(__xludf.DUMMYFUNCTION("""COMPUTED_VALUE"""),"90 HP ~")</f>
        <v>90 HP ~</v>
      </c>
      <c r="I1327" s="1076" t="str">
        <f>IFERROR(__xludf.DUMMYFUNCTION("""COMPUTED_VALUE"""),"RMFNUU109ASC001753")</f>
        <v>RMFNUU109ASC001753</v>
      </c>
      <c r="J1327" s="1076"/>
      <c r="K1327" s="1076"/>
      <c r="L1327" s="1076" t="str">
        <f>IFERROR(__xludf.DUMMYFUNCTION("""COMPUTED_VALUE"""),"KLH")</f>
        <v>KLH</v>
      </c>
    </row>
    <row r="1328" customHeight="1" spans="1:12">
      <c r="A1328" s="1076" t="str">
        <f>IFERROR(__xludf.DUMMYFUNCTION("""COMPUTED_VALUE"""),"XB1-DNL-001")</f>
        <v>XB1-DNL-001</v>
      </c>
      <c r="B1328" s="1075" t="str">
        <f>IFERROR(__xludf.DUMMYFUNCTION("""COMPUTED_VALUE"""),"Thiết bị nén lá chuối khô")</f>
        <v>Thiết bị nén lá chuối khô</v>
      </c>
      <c r="C1328" s="1076" t="str">
        <f>IFERROR(__xludf.DUMMYFUNCTION("""COMPUTED_VALUE"""),"XN Bò AD")</f>
        <v>XN Bò AD</v>
      </c>
      <c r="D1328" s="1076" t="str">
        <f>IFERROR(__xludf.DUMMYFUNCTION("""COMPUTED_VALUE"""),"THACO AGRI")</f>
        <v>THACO AGRI</v>
      </c>
      <c r="E1328" s="1076"/>
      <c r="F1328" s="1076"/>
      <c r="G1328" s="1076"/>
      <c r="H1328" s="1076" t="str">
        <f>IFERROR(__xludf.DUMMYFUNCTION("""COMPUTED_VALUE"""),"3.8*2*3.6")</f>
        <v>3.8*2*3.6</v>
      </c>
      <c r="I1328" s="1076"/>
      <c r="J1328" s="1076"/>
      <c r="K1328" s="1076"/>
      <c r="L1328" s="1076" t="str">
        <f>IFERROR(__xludf.DUMMYFUNCTION("""COMPUTED_VALUE"""),"KLH")</f>
        <v>KLH</v>
      </c>
    </row>
    <row r="1329" customHeight="1" spans="1:12">
      <c r="A1329" s="1076" t="str">
        <f>IFERROR(__xludf.DUMMYFUNCTION("""COMPUTED_VALUE"""),"XB1-TBT-001")</f>
        <v>XB1-TBT-001</v>
      </c>
      <c r="B1329" s="1075" t="str">
        <f>IFERROR(__xludf.DUMMYFUNCTION("""COMPUTED_VALUE"""),"Thiết bị trồng bắp")</f>
        <v>Thiết bị trồng bắp</v>
      </c>
      <c r="C1329" s="1076" t="str">
        <f>IFERROR(__xludf.DUMMYFUNCTION("""COMPUTED_VALUE"""),"XN Bò AD")</f>
        <v>XN Bò AD</v>
      </c>
      <c r="D1329" s="1076" t="str">
        <f>IFERROR(__xludf.DUMMYFUNCTION("""COMPUTED_VALUE"""),"THACO AGRI")</f>
        <v>THACO AGRI</v>
      </c>
      <c r="E1329" s="1076"/>
      <c r="F1329" s="1076"/>
      <c r="G1329" s="1076"/>
      <c r="H1329" s="1076"/>
      <c r="I1329" s="1076"/>
      <c r="J1329" s="1076"/>
      <c r="K1329" s="1076"/>
      <c r="L1329" s="1076" t="str">
        <f>IFERROR(__xludf.DUMMYFUNCTION("""COMPUTED_VALUE"""),"KLH")</f>
        <v>KLH</v>
      </c>
    </row>
    <row r="1330" customHeight="1" spans="1:12">
      <c r="A1330" s="1076" t="str">
        <f>IFERROR(__xludf.DUMMYFUNCTION("""COMPUTED_VALUE"""),"XB1-TBB-001")</f>
        <v>XB1-TBB-001</v>
      </c>
      <c r="B1330" s="1075" t="str">
        <f>IFERROR(__xludf.DUMMYFUNCTION("""COMPUTED_VALUE"""),"Máy băm công nghiệp")</f>
        <v>Máy băm công nghiệp</v>
      </c>
      <c r="C1330" s="1076" t="str">
        <f>IFERROR(__xludf.DUMMYFUNCTION("""COMPUTED_VALUE"""),"XN Bò AD")</f>
        <v>XN Bò AD</v>
      </c>
      <c r="D1330" s="1076" t="str">
        <f>IFERROR(__xludf.DUMMYFUNCTION("""COMPUTED_VALUE"""),"THACO AGRI")</f>
        <v>THACO AGRI</v>
      </c>
      <c r="E1330" s="1076"/>
      <c r="F1330" s="1076"/>
      <c r="G1330" s="1076"/>
      <c r="H1330" s="1076" t="str">
        <f>IFERROR(__xludf.DUMMYFUNCTION("""COMPUTED_VALUE"""),"DxRxC: 2.5m*1.8m*3m")</f>
        <v>DxRxC: 2.5m*1.8m*3m</v>
      </c>
      <c r="I1330" s="1076"/>
      <c r="J1330" s="1076"/>
      <c r="K1330" s="1076"/>
      <c r="L1330" s="1076" t="str">
        <f>IFERROR(__xludf.DUMMYFUNCTION("""COMPUTED_VALUE"""),"KLH")</f>
        <v>KLH</v>
      </c>
    </row>
    <row r="1331" customHeight="1" spans="1:12">
      <c r="A1331" s="1076" t="str">
        <f>IFERROR(__xludf.DUMMYFUNCTION("""COMPUTED_VALUE"""),"XB1-DPC-001")</f>
        <v>XB1-DPC-001</v>
      </c>
      <c r="B1331" s="1075" t="str">
        <f>IFERROR(__xludf.DUMMYFUNCTION("""COMPUTED_VALUE"""),"Thiết bị phay cỏ 1.5m")</f>
        <v>Thiết bị phay cỏ 1.5m</v>
      </c>
      <c r="C1331" s="1076" t="str">
        <f>IFERROR(__xludf.DUMMYFUNCTION("""COMPUTED_VALUE"""),"XN Bò AD")</f>
        <v>XN Bò AD</v>
      </c>
      <c r="D1331" s="1076" t="str">
        <f>IFERROR(__xludf.DUMMYFUNCTION("""COMPUTED_VALUE"""),"THACO AGRI")</f>
        <v>THACO AGRI</v>
      </c>
      <c r="E1331" s="1076" t="str">
        <f>IFERROR(__xludf.DUMMYFUNCTION("""COMPUTED_VALUE"""),"1.5m")</f>
        <v>1.5m</v>
      </c>
      <c r="F1331" s="1076"/>
      <c r="G1331" s="1076"/>
      <c r="H1331" s="1076" t="str">
        <f>IFERROR(__xludf.DUMMYFUNCTION("""COMPUTED_VALUE"""),"1.5*1.5m")</f>
        <v>1.5*1.5m</v>
      </c>
      <c r="I1331" s="1076"/>
      <c r="J1331" s="1076"/>
      <c r="K1331" s="1076">
        <f>IFERROR(__xludf.DUMMYFUNCTION("""COMPUTED_VALUE"""),6.14)</f>
        <v>6.14</v>
      </c>
      <c r="L1331" s="1076" t="str">
        <f>IFERROR(__xludf.DUMMYFUNCTION("""COMPUTED_VALUE"""),"KLH")</f>
        <v>KLH</v>
      </c>
    </row>
    <row r="1332" customHeight="1" spans="1:12">
      <c r="A1332" s="1076" t="str">
        <f>IFERROR(__xludf.DUMMYFUNCTION("""COMPUTED_VALUE"""),"XB1-DPC-002")</f>
        <v>XB1-DPC-002</v>
      </c>
      <c r="B1332" s="1075" t="str">
        <f>IFERROR(__xludf.DUMMYFUNCTION("""COMPUTED_VALUE"""),"Thiết bị phay cỏ (2 luống)")</f>
        <v>Thiết bị phay cỏ (2 luống)</v>
      </c>
      <c r="C1332" s="1076" t="str">
        <f>IFERROR(__xludf.DUMMYFUNCTION("""COMPUTED_VALUE"""),"XN Bò AD")</f>
        <v>XN Bò AD</v>
      </c>
      <c r="D1332" s="1076" t="str">
        <f>IFERROR(__xludf.DUMMYFUNCTION("""COMPUTED_VALUE"""),"THACO AGRI")</f>
        <v>THACO AGRI</v>
      </c>
      <c r="E1332" s="1076" t="str">
        <f>IFERROR(__xludf.DUMMYFUNCTION("""COMPUTED_VALUE"""),"2 luống")</f>
        <v>2 luống</v>
      </c>
      <c r="F1332" s="1076"/>
      <c r="G1332" s="1076" t="str">
        <f>IFERROR(__xludf.DUMMYFUNCTION("""COMPUTED_VALUE"""),"2024")</f>
        <v>2024</v>
      </c>
      <c r="H1332" s="1076" t="str">
        <f>IFERROR(__xludf.DUMMYFUNCTION("""COMPUTED_VALUE"""),"2100x800x1100(mm)")</f>
        <v>2100x800x1100(mm)</v>
      </c>
      <c r="I1332" s="1076" t="str">
        <f>IFERROR(__xludf.DUMMYFUNCTION("""COMPUTED_VALUE"""),"Bề rộng luống phay 500mm")</f>
        <v>Bề rộng luống phay 500mm</v>
      </c>
      <c r="J1332" s="1076"/>
      <c r="K1332" s="1076">
        <f>IFERROR(__xludf.DUMMYFUNCTION("""COMPUTED_VALUE"""),6.14)</f>
        <v>6.14</v>
      </c>
      <c r="L1332" s="1076" t="str">
        <f>IFERROR(__xludf.DUMMYFUNCTION("""COMPUTED_VALUE"""),"KLH")</f>
        <v>KLH</v>
      </c>
    </row>
    <row r="1333" customHeight="1" spans="1:12">
      <c r="A1333" s="1076" t="str">
        <f>IFERROR(__xludf.DUMMYFUNCTION("""COMPUTED_VALUE"""),"XB1-DPC-003")</f>
        <v>XB1-DPC-003</v>
      </c>
      <c r="B1333" s="1075" t="str">
        <f>IFERROR(__xludf.DUMMYFUNCTION("""COMPUTED_VALUE"""),"Thiết bị phay cỏ 1.5m")</f>
        <v>Thiết bị phay cỏ 1.5m</v>
      </c>
      <c r="C1333" s="1076" t="str">
        <f>IFERROR(__xludf.DUMMYFUNCTION("""COMPUTED_VALUE"""),"XN Bò AD")</f>
        <v>XN Bò AD</v>
      </c>
      <c r="D1333" s="1076" t="str">
        <f>IFERROR(__xludf.DUMMYFUNCTION("""COMPUTED_VALUE"""),"THACO AGRI")</f>
        <v>THACO AGRI</v>
      </c>
      <c r="E1333" s="1076" t="str">
        <f>IFERROR(__xludf.DUMMYFUNCTION("""COMPUTED_VALUE"""),"CK-MPC-04")</f>
        <v>CK-MPC-04</v>
      </c>
      <c r="F1333" s="1076"/>
      <c r="G1333" s="1076" t="str">
        <f>IFERROR(__xludf.DUMMYFUNCTION("""COMPUTED_VALUE"""),"2024")</f>
        <v>2024</v>
      </c>
      <c r="H1333" s="1076" t="str">
        <f>IFERROR(__xludf.DUMMYFUNCTION("""COMPUTED_VALUE"""),"1.4x1.4x1")</f>
        <v>1.4x1.4x1</v>
      </c>
      <c r="I1333" s="1076"/>
      <c r="J1333" s="1076"/>
      <c r="K1333" s="1076">
        <f>IFERROR(__xludf.DUMMYFUNCTION("""COMPUTED_VALUE"""),6.14)</f>
        <v>6.14</v>
      </c>
      <c r="L1333" s="1076" t="str">
        <f>IFERROR(__xludf.DUMMYFUNCTION("""COMPUTED_VALUE"""),"KLH")</f>
        <v>KLH</v>
      </c>
    </row>
    <row r="1334" customHeight="1" spans="1:12">
      <c r="A1334" s="1076" t="str">
        <f>IFERROR(__xludf.DUMMYFUNCTION("""COMPUTED_VALUE"""),"XB1-DPC-004")</f>
        <v>XB1-DPC-004</v>
      </c>
      <c r="B1334" s="1075" t="str">
        <f>IFERROR(__xludf.DUMMYFUNCTION("""COMPUTED_VALUE"""),"Thiết bị phay cỏ 1.5m")</f>
        <v>Thiết bị phay cỏ 1.5m</v>
      </c>
      <c r="C1334" s="1076" t="str">
        <f>IFERROR(__xludf.DUMMYFUNCTION("""COMPUTED_VALUE"""),"XN Bò AD")</f>
        <v>XN Bò AD</v>
      </c>
      <c r="D1334" s="1076" t="str">
        <f>IFERROR(__xludf.DUMMYFUNCTION("""COMPUTED_VALUE"""),"THACO AGRI")</f>
        <v>THACO AGRI</v>
      </c>
      <c r="E1334" s="1076" t="str">
        <f>IFERROR(__xludf.DUMMYFUNCTION("""COMPUTED_VALUE"""),"CK-MPC-05")</f>
        <v>CK-MPC-05</v>
      </c>
      <c r="F1334" s="1076"/>
      <c r="G1334" s="1076" t="str">
        <f>IFERROR(__xludf.DUMMYFUNCTION("""COMPUTED_VALUE"""),"2025")</f>
        <v>2025</v>
      </c>
      <c r="H1334" s="1076" t="str">
        <f>IFERROR(__xludf.DUMMYFUNCTION("""COMPUTED_VALUE"""),"1.4x1.4x1")</f>
        <v>1.4x1.4x1</v>
      </c>
      <c r="I1334" s="1076"/>
      <c r="J1334" s="1076"/>
      <c r="K1334" s="1076">
        <f>IFERROR(__xludf.DUMMYFUNCTION("""COMPUTED_VALUE"""),6.14)</f>
        <v>6.14</v>
      </c>
      <c r="L1334" s="1076" t="str">
        <f>IFERROR(__xludf.DUMMYFUNCTION("""COMPUTED_VALUE"""),"KLH")</f>
        <v>KLH</v>
      </c>
    </row>
    <row r="1335" customHeight="1" spans="1:12">
      <c r="A1335" s="1076" t="str">
        <f>IFERROR(__xludf.DUMMYFUNCTION("""COMPUTED_VALUE"""),"XB1-DPC-005")</f>
        <v>XB1-DPC-005</v>
      </c>
      <c r="B1335" s="1075" t="str">
        <f>IFERROR(__xludf.DUMMYFUNCTION("""COMPUTED_VALUE"""),"Thiết bị phay cỏ 1.5m")</f>
        <v>Thiết bị phay cỏ 1.5m</v>
      </c>
      <c r="C1335" s="1076" t="str">
        <f>IFERROR(__xludf.DUMMYFUNCTION("""COMPUTED_VALUE"""),"XN Bò AD")</f>
        <v>XN Bò AD</v>
      </c>
      <c r="D1335" s="1076" t="str">
        <f>IFERROR(__xludf.DUMMYFUNCTION("""COMPUTED_VALUE"""),"THACO AGRI")</f>
        <v>THACO AGRI</v>
      </c>
      <c r="E1335" s="1076" t="str">
        <f>IFERROR(__xludf.DUMMYFUNCTION("""COMPUTED_VALUE"""),"CK-MPC-06")</f>
        <v>CK-MPC-06</v>
      </c>
      <c r="F1335" s="1076"/>
      <c r="G1335" s="1076" t="str">
        <f>IFERROR(__xludf.DUMMYFUNCTION("""COMPUTED_VALUE"""),"2025")</f>
        <v>2025</v>
      </c>
      <c r="H1335" s="1076" t="str">
        <f>IFERROR(__xludf.DUMMYFUNCTION("""COMPUTED_VALUE"""),"1.4x1.4x1")</f>
        <v>1.4x1.4x1</v>
      </c>
      <c r="I1335" s="1076"/>
      <c r="J1335" s="1076"/>
      <c r="K1335" s="1076">
        <f>IFERROR(__xludf.DUMMYFUNCTION("""COMPUTED_VALUE"""),6.14)</f>
        <v>6.14</v>
      </c>
      <c r="L1335" s="1076" t="str">
        <f>IFERROR(__xludf.DUMMYFUNCTION("""COMPUTED_VALUE"""),"KLH")</f>
        <v>KLH</v>
      </c>
    </row>
    <row r="1336" customHeight="1" spans="1:12">
      <c r="A1336" s="1076" t="str">
        <f>IFERROR(__xludf.DUMMYFUNCTION("""COMPUTED_VALUE"""),"XB1-DPC-006")</f>
        <v>XB1-DPC-006</v>
      </c>
      <c r="B1336" s="1075" t="str">
        <f>IFERROR(__xludf.DUMMYFUNCTION("""COMPUTED_VALUE"""),"Thiết bị phay cỏ 1.5m")</f>
        <v>Thiết bị phay cỏ 1.5m</v>
      </c>
      <c r="C1336" s="1076" t="str">
        <f>IFERROR(__xludf.DUMMYFUNCTION("""COMPUTED_VALUE"""),"XN Bò AD")</f>
        <v>XN Bò AD</v>
      </c>
      <c r="D1336" s="1076" t="str">
        <f>IFERROR(__xludf.DUMMYFUNCTION("""COMPUTED_VALUE"""),"THACO AGRI")</f>
        <v>THACO AGRI</v>
      </c>
      <c r="E1336" s="1076" t="str">
        <f>IFERROR(__xludf.DUMMYFUNCTION("""COMPUTED_VALUE"""),"CK-MPC-07")</f>
        <v>CK-MPC-07</v>
      </c>
      <c r="F1336" s="1076"/>
      <c r="G1336" s="1076" t="str">
        <f>IFERROR(__xludf.DUMMYFUNCTION("""COMPUTED_VALUE"""),"2025")</f>
        <v>2025</v>
      </c>
      <c r="H1336" s="1076" t="str">
        <f>IFERROR(__xludf.DUMMYFUNCTION("""COMPUTED_VALUE"""),"1.4x1.4x1")</f>
        <v>1.4x1.4x1</v>
      </c>
      <c r="I1336" s="1076"/>
      <c r="J1336" s="1076"/>
      <c r="K1336" s="1076">
        <f>IFERROR(__xludf.DUMMYFUNCTION("""COMPUTED_VALUE"""),6.14)</f>
        <v>6.14</v>
      </c>
      <c r="L1336" s="1076" t="str">
        <f>IFERROR(__xludf.DUMMYFUNCTION("""COMPUTED_VALUE"""),"KLH")</f>
        <v>KLH</v>
      </c>
    </row>
    <row r="1337" customHeight="1" spans="1:12">
      <c r="A1337" s="1076" t="str">
        <f>IFERROR(__xludf.DUMMYFUNCTION("""COMPUTED_VALUE"""),"XB1-DPC-007")</f>
        <v>XB1-DPC-007</v>
      </c>
      <c r="B1337" s="1075" t="str">
        <f>IFERROR(__xludf.DUMMYFUNCTION("""COMPUTED_VALUE"""),"Thiết bị phay cỏ 1.5m")</f>
        <v>Thiết bị phay cỏ 1.5m</v>
      </c>
      <c r="C1337" s="1076" t="str">
        <f>IFERROR(__xludf.DUMMYFUNCTION("""COMPUTED_VALUE"""),"XN Bò AD")</f>
        <v>XN Bò AD</v>
      </c>
      <c r="D1337" s="1076" t="str">
        <f>IFERROR(__xludf.DUMMYFUNCTION("""COMPUTED_VALUE"""),"THACO AGRI")</f>
        <v>THACO AGRI</v>
      </c>
      <c r="E1337" s="1076" t="str">
        <f>IFERROR(__xludf.DUMMYFUNCTION("""COMPUTED_VALUE"""),"CK-MPC-08")</f>
        <v>CK-MPC-08</v>
      </c>
      <c r="F1337" s="1076"/>
      <c r="G1337" s="1076" t="str">
        <f>IFERROR(__xludf.DUMMYFUNCTION("""COMPUTED_VALUE"""),"2025")</f>
        <v>2025</v>
      </c>
      <c r="H1337" s="1076" t="str">
        <f>IFERROR(__xludf.DUMMYFUNCTION("""COMPUTED_VALUE"""),"1.4x1.4x1")</f>
        <v>1.4x1.4x1</v>
      </c>
      <c r="I1337" s="1076"/>
      <c r="J1337" s="1076"/>
      <c r="K1337" s="1076">
        <f>IFERROR(__xludf.DUMMYFUNCTION("""COMPUTED_VALUE"""),6.14)</f>
        <v>6.14</v>
      </c>
      <c r="L1337" s="1076" t="str">
        <f>IFERROR(__xludf.DUMMYFUNCTION("""COMPUTED_VALUE"""),"KLH")</f>
        <v>KLH</v>
      </c>
    </row>
    <row r="1338" customHeight="1" spans="1:12">
      <c r="A1338" s="1076" t="str">
        <f>IFERROR(__xludf.DUMMYFUNCTION("""COMPUTED_VALUE"""),"XB1-DPC-008")</f>
        <v>XB1-DPC-008</v>
      </c>
      <c r="B1338" s="1075" t="str">
        <f>IFERROR(__xludf.DUMMYFUNCTION("""COMPUTED_VALUE"""),"Thiết bị phay cỏ 1.5m")</f>
        <v>Thiết bị phay cỏ 1.5m</v>
      </c>
      <c r="C1338" s="1076" t="str">
        <f>IFERROR(__xludf.DUMMYFUNCTION("""COMPUTED_VALUE"""),"XN Bò AD")</f>
        <v>XN Bò AD</v>
      </c>
      <c r="D1338" s="1076" t="str">
        <f>IFERROR(__xludf.DUMMYFUNCTION("""COMPUTED_VALUE"""),"THACO AGRI")</f>
        <v>THACO AGRI</v>
      </c>
      <c r="E1338" s="1076" t="str">
        <f>IFERROR(__xludf.DUMMYFUNCTION("""COMPUTED_VALUE"""),"CK-MPC-09")</f>
        <v>CK-MPC-09</v>
      </c>
      <c r="F1338" s="1076"/>
      <c r="G1338" s="1076" t="str">
        <f>IFERROR(__xludf.DUMMYFUNCTION("""COMPUTED_VALUE"""),"2025")</f>
        <v>2025</v>
      </c>
      <c r="H1338" s="1076" t="str">
        <f>IFERROR(__xludf.DUMMYFUNCTION("""COMPUTED_VALUE"""),"1.4x1.4x1")</f>
        <v>1.4x1.4x1</v>
      </c>
      <c r="I1338" s="1076"/>
      <c r="J1338" s="1076"/>
      <c r="K1338" s="1076">
        <f>IFERROR(__xludf.DUMMYFUNCTION("""COMPUTED_VALUE"""),6.14)</f>
        <v>6.14</v>
      </c>
      <c r="L1338" s="1076" t="str">
        <f>IFERROR(__xludf.DUMMYFUNCTION("""COMPUTED_VALUE"""),"KLH")</f>
        <v>KLH</v>
      </c>
    </row>
    <row r="1339" customHeight="1" spans="1:12">
      <c r="A1339" s="1076" t="str">
        <f>IFERROR(__xludf.DUMMYFUNCTION("""COMPUTED_VALUE"""),"XB1-DPC-009")</f>
        <v>XB1-DPC-009</v>
      </c>
      <c r="B1339" s="1075" t="str">
        <f>IFERROR(__xludf.DUMMYFUNCTION("""COMPUTED_VALUE"""),"Thiết bị phay cỏ 1.5m")</f>
        <v>Thiết bị phay cỏ 1.5m</v>
      </c>
      <c r="C1339" s="1076" t="str">
        <f>IFERROR(__xludf.DUMMYFUNCTION("""COMPUTED_VALUE"""),"XN Bò AD")</f>
        <v>XN Bò AD</v>
      </c>
      <c r="D1339" s="1076"/>
      <c r="E1339" s="1076"/>
      <c r="F1339" s="1076"/>
      <c r="G1339" s="1076"/>
      <c r="H1339" s="1076"/>
      <c r="I1339" s="1076"/>
      <c r="J1339" s="1076"/>
      <c r="K1339" s="1076">
        <f>IFERROR(__xludf.DUMMYFUNCTION("""COMPUTED_VALUE"""),6.14)</f>
        <v>6.14</v>
      </c>
      <c r="L1339" s="1076" t="str">
        <f>IFERROR(__xludf.DUMMYFUNCTION("""COMPUTED_VALUE"""),"KLH")</f>
        <v>KLH</v>
      </c>
    </row>
    <row r="1340" customHeight="1" spans="1:12">
      <c r="A1340" s="1076" t="str">
        <f>IFERROR(__xludf.DUMMYFUNCTION("""COMPUTED_VALUE"""),"XB1-DPC-010")</f>
        <v>XB1-DPC-010</v>
      </c>
      <c r="B1340" s="1075" t="str">
        <f>IFERROR(__xludf.DUMMYFUNCTION("""COMPUTED_VALUE"""),"Thiết bị phay cỏ 1.5m")</f>
        <v>Thiết bị phay cỏ 1.5m</v>
      </c>
      <c r="C1340" s="1076" t="str">
        <f>IFERROR(__xludf.DUMMYFUNCTION("""COMPUTED_VALUE"""),"XN Bò AD")</f>
        <v>XN Bò AD</v>
      </c>
      <c r="D1340" s="1076"/>
      <c r="E1340" s="1076"/>
      <c r="F1340" s="1076"/>
      <c r="G1340" s="1076"/>
      <c r="H1340" s="1076"/>
      <c r="I1340" s="1076"/>
      <c r="J1340" s="1076"/>
      <c r="K1340" s="1076">
        <f>IFERROR(__xludf.DUMMYFUNCTION("""COMPUTED_VALUE"""),6.14)</f>
        <v>6.14</v>
      </c>
      <c r="L1340" s="1076" t="str">
        <f>IFERROR(__xludf.DUMMYFUNCTION("""COMPUTED_VALUE"""),"KLH")</f>
        <v>KLH</v>
      </c>
    </row>
    <row r="1341" customHeight="1" spans="1:12">
      <c r="A1341" s="1076" t="str">
        <f>IFERROR(__xludf.DUMMYFUNCTION("""COMPUTED_VALUE"""),"XB1-KGX-001")</f>
        <v>XB1-KGX-001</v>
      </c>
      <c r="B1341" s="1075" t="str">
        <f>IFERROR(__xludf.DUMMYFUNCTION("""COMPUTED_VALUE"""),"Kẹp gỗ xoay 360 độ")</f>
        <v>Kẹp gỗ xoay 360 độ</v>
      </c>
      <c r="C1341" s="1076" t="str">
        <f>IFERROR(__xludf.DUMMYFUNCTION("""COMPUTED_VALUE"""),"XN Bò AD")</f>
        <v>XN Bò AD</v>
      </c>
      <c r="D1341" s="1076" t="str">
        <f>IFERROR(__xludf.DUMMYFUNCTION("""COMPUTED_VALUE"""),"HÀN QUỐC")</f>
        <v>HÀN QUỐC</v>
      </c>
      <c r="E1341" s="1076" t="str">
        <f>IFERROR(__xludf.DUMMYFUNCTION("""COMPUTED_VALUE"""),"HYUNG JE")</f>
        <v>HYUNG JE</v>
      </c>
      <c r="F1341" s="1076"/>
      <c r="G1341" s="1076"/>
      <c r="H1341" s="1076" t="str">
        <f>IFERROR(__xludf.DUMMYFUNCTION("""COMPUTED_VALUE"""),"Có đường kim")</f>
        <v>Có đường kim</v>
      </c>
      <c r="I1341" s="1076"/>
      <c r="J1341" s="1076"/>
      <c r="K1341" s="1076"/>
      <c r="L1341" s="1076" t="str">
        <f>IFERROR(__xludf.DUMMYFUNCTION("""COMPUTED_VALUE"""),"KLH")</f>
        <v>KLH</v>
      </c>
    </row>
    <row r="1342" customHeight="1" spans="1:12">
      <c r="A1342" s="1076" t="str">
        <f>IFERROR(__xludf.DUMMYFUNCTION("""COMPUTED_VALUE"""),"XB1-MCL-001")</f>
        <v>XB1-MCL-001</v>
      </c>
      <c r="B1342" s="1075" t="str">
        <f>IFERROR(__xludf.DUMMYFUNCTION("""COMPUTED_VALUE"""),"Rơ mooc clethon")</f>
        <v>Rơ mooc clethon</v>
      </c>
      <c r="C1342" s="1076" t="str">
        <f>IFERROR(__xludf.DUMMYFUNCTION("""COMPUTED_VALUE"""),"XN Bò AD")</f>
        <v>XN Bò AD</v>
      </c>
      <c r="D1342" s="1076" t="str">
        <f>IFERROR(__xludf.DUMMYFUNCTION("""COMPUTED_VALUE"""),"THACO AGRI")</f>
        <v>THACO AGRI</v>
      </c>
      <c r="E1342" s="1076" t="str">
        <f>IFERROR(__xludf.DUMMYFUNCTION("""COMPUTED_VALUE"""),"CLT")</f>
        <v>CLT</v>
      </c>
      <c r="F1342" s="1076"/>
      <c r="G1342" s="1076" t="str">
        <f>IFERROR(__xludf.DUMMYFUNCTION("""COMPUTED_VALUE"""),"2024")</f>
        <v>2024</v>
      </c>
      <c r="H1342" s="1076" t="str">
        <f>IFERROR(__xludf.DUMMYFUNCTION("""COMPUTED_VALUE"""),"5,5x1,9x2,21m")</f>
        <v>5,5x1,9x2,21m</v>
      </c>
      <c r="I1342" s="1076"/>
      <c r="J1342" s="1076"/>
      <c r="K1342" s="1076"/>
      <c r="L1342" s="1076" t="str">
        <f>IFERROR(__xludf.DUMMYFUNCTION("""COMPUTED_VALUE"""),"KLH")</f>
        <v>KLH</v>
      </c>
    </row>
    <row r="1343" customHeight="1" spans="1:12">
      <c r="A1343" s="1076" t="str">
        <f>IFERROR(__xludf.DUMMYFUNCTION("""COMPUTED_VALUE"""),"XB1-MCL-002")</f>
        <v>XB1-MCL-002</v>
      </c>
      <c r="B1343" s="1075" t="str">
        <f>IFERROR(__xludf.DUMMYFUNCTION("""COMPUTED_VALUE"""),"Rơ mooc clethon")</f>
        <v>Rơ mooc clethon</v>
      </c>
      <c r="C1343" s="1076" t="str">
        <f>IFERROR(__xludf.DUMMYFUNCTION("""COMPUTED_VALUE"""),"XN Bò AD")</f>
        <v>XN Bò AD</v>
      </c>
      <c r="D1343" s="1076" t="str">
        <f>IFERROR(__xludf.DUMMYFUNCTION("""COMPUTED_VALUE"""),"THACO AGRI")</f>
        <v>THACO AGRI</v>
      </c>
      <c r="E1343" s="1076" t="str">
        <f>IFERROR(__xludf.DUMMYFUNCTION("""COMPUTED_VALUE"""),"CLT")</f>
        <v>CLT</v>
      </c>
      <c r="F1343" s="1076"/>
      <c r="G1343" s="1076" t="str">
        <f>IFERROR(__xludf.DUMMYFUNCTION("""COMPUTED_VALUE"""),"2024")</f>
        <v>2024</v>
      </c>
      <c r="H1343" s="1076" t="str">
        <f>IFERROR(__xludf.DUMMYFUNCTION("""COMPUTED_VALUE"""),"5,5x1,9x2,21m")</f>
        <v>5,5x1,9x2,21m</v>
      </c>
      <c r="I1343" s="1076"/>
      <c r="J1343" s="1076"/>
      <c r="K1343" s="1076"/>
      <c r="L1343" s="1076" t="str">
        <f>IFERROR(__xludf.DUMMYFUNCTION("""COMPUTED_VALUE"""),"KLH")</f>
        <v>KLH</v>
      </c>
    </row>
    <row r="1344" customHeight="1" spans="1:12">
      <c r="A1344" s="1076" t="str">
        <f>IFERROR(__xludf.DUMMYFUNCTION("""COMPUTED_VALUE"""),"XB1-DXC-001")</f>
        <v>XB1-DXC-001</v>
      </c>
      <c r="B1344" s="1075" t="str">
        <f>IFERROR(__xludf.DUMMYFUNCTION("""COMPUTED_VALUE"""),"Thiết bị xới cỏ")</f>
        <v>Thiết bị xới cỏ</v>
      </c>
      <c r="C1344" s="1076" t="str">
        <f>IFERROR(__xludf.DUMMYFUNCTION("""COMPUTED_VALUE"""),"XN Bò AD")</f>
        <v>XN Bò AD</v>
      </c>
      <c r="D1344" s="1076" t="str">
        <f>IFERROR(__xludf.DUMMYFUNCTION("""COMPUTED_VALUE"""),"THACO AGRI")</f>
        <v>THACO AGRI</v>
      </c>
      <c r="E1344" s="1076" t="str">
        <f>IFERROR(__xludf.DUMMYFUNCTION("""COMPUTED_VALUE"""),"CK-DXC-01")</f>
        <v>CK-DXC-01</v>
      </c>
      <c r="F1344" s="1076"/>
      <c r="G1344" s="1076" t="str">
        <f>IFERROR(__xludf.DUMMYFUNCTION("""COMPUTED_VALUE"""),"2024")</f>
        <v>2024</v>
      </c>
      <c r="H1344" s="1076" t="str">
        <f>IFERROR(__xludf.DUMMYFUNCTION("""COMPUTED_VALUE"""),"3x3x1,4m")</f>
        <v>3x3x1,4m</v>
      </c>
      <c r="I1344" s="1076"/>
      <c r="J1344" s="1076"/>
      <c r="K1344" s="1076"/>
      <c r="L1344" s="1076" t="str">
        <f>IFERROR(__xludf.DUMMYFUNCTION("""COMPUTED_VALUE"""),"KLH")</f>
        <v>KLH</v>
      </c>
    </row>
    <row r="1345" customHeight="1" spans="1:12">
      <c r="A1345" s="1076" t="str">
        <f>IFERROR(__xludf.DUMMYFUNCTION("""COMPUTED_VALUE"""),"XB1-DCC-001")</f>
        <v>XB1-DCC-001</v>
      </c>
      <c r="B1345" s="1075" t="str">
        <f>IFERROR(__xludf.DUMMYFUNCTION("""COMPUTED_VALUE"""),"Thiết bị cắt cỏ - Mower")</f>
        <v>Thiết bị cắt cỏ - Mower</v>
      </c>
      <c r="C1345" s="1076" t="str">
        <f>IFERROR(__xludf.DUMMYFUNCTION("""COMPUTED_VALUE"""),"XN Bò AD")</f>
        <v>XN Bò AD</v>
      </c>
      <c r="D1345" s="1076" t="str">
        <f>IFERROR(__xludf.DUMMYFUNCTION("""COMPUTED_VALUE"""),"TRUNG QUỐC")</f>
        <v>TRUNG QUỐC</v>
      </c>
      <c r="E1345" s="1076" t="str">
        <f>IFERROR(__xludf.DUMMYFUNCTION("""COMPUTED_VALUE"""),"Mower")</f>
        <v>Mower</v>
      </c>
      <c r="F1345" s="1076"/>
      <c r="G1345" s="1076" t="str">
        <f>IFERROR(__xludf.DUMMYFUNCTION("""COMPUTED_VALUE"""),"2024")</f>
        <v>2024</v>
      </c>
      <c r="H1345" s="1076" t="str">
        <f>IFERROR(__xludf.DUMMYFUNCTION("""COMPUTED_VALUE"""),"Bề rộng cắt cỏ 185-3210cm
Chiều rộng tạo hàng cỏ sau khi cắt 80-90cm
Công suất 60-90HP")</f>
        <v>Bề rộng cắt cỏ 185-3210cm
Chiều rộng tạo hàng cỏ sau khi cắt 80-90cm
Công suất 60-90HP</v>
      </c>
      <c r="I1345" s="1076"/>
      <c r="J1345" s="1076"/>
      <c r="K1345" s="1076"/>
      <c r="L1345" s="1076" t="str">
        <f>IFERROR(__xludf.DUMMYFUNCTION("""COMPUTED_VALUE"""),"KLH")</f>
        <v>KLH</v>
      </c>
    </row>
    <row r="1346" customHeight="1" spans="1:12">
      <c r="A1346" s="1076" t="str">
        <f>IFERROR(__xludf.DUMMYFUNCTION("""COMPUTED_VALUE"""),"XB1-DCC-002")</f>
        <v>XB1-DCC-002</v>
      </c>
      <c r="B1346" s="1075" t="str">
        <f>IFERROR(__xludf.DUMMYFUNCTION("""COMPUTED_VALUE"""),"Thiết bị cắt cỏ - Mower")</f>
        <v>Thiết bị cắt cỏ - Mower</v>
      </c>
      <c r="C1346" s="1076" t="str">
        <f>IFERROR(__xludf.DUMMYFUNCTION("""COMPUTED_VALUE"""),"XN Bò AD")</f>
        <v>XN Bò AD</v>
      </c>
      <c r="D1346" s="1076" t="str">
        <f>IFERROR(__xludf.DUMMYFUNCTION("""COMPUTED_VALUE"""),"TRUNG QUỐC")</f>
        <v>TRUNG QUỐC</v>
      </c>
      <c r="E1346" s="1076" t="str">
        <f>IFERROR(__xludf.DUMMYFUNCTION("""COMPUTED_VALUE"""),"Mower")</f>
        <v>Mower</v>
      </c>
      <c r="F1346" s="1076"/>
      <c r="G1346" s="1076" t="str">
        <f>IFERROR(__xludf.DUMMYFUNCTION("""COMPUTED_VALUE"""),"2024")</f>
        <v>2024</v>
      </c>
      <c r="H1346" s="1076" t="str">
        <f>IFERROR(__xludf.DUMMYFUNCTION("""COMPUTED_VALUE"""),"Bề rộng cắt cỏ 185-3210cm
Chiều rộng tạo hàng cỏ sau khi cắt 80-90cm
Công suất 60-90HP")</f>
        <v>Bề rộng cắt cỏ 185-3210cm
Chiều rộng tạo hàng cỏ sau khi cắt 80-90cm
Công suất 60-90HP</v>
      </c>
      <c r="I1346" s="1076"/>
      <c r="J1346" s="1076"/>
      <c r="K1346" s="1076"/>
      <c r="L1346" s="1076" t="str">
        <f>IFERROR(__xludf.DUMMYFUNCTION("""COMPUTED_VALUE"""),"KLH")</f>
        <v>KLH</v>
      </c>
    </row>
    <row r="1347" customHeight="1" spans="1:12">
      <c r="A1347" s="1076" t="str">
        <f>IFERROR(__xludf.DUMMYFUNCTION("""COMPUTED_VALUE"""),"XB1-TBN-001")</f>
        <v>XB1-TBN-001</v>
      </c>
      <c r="B1347" s="1075" t="str">
        <f>IFERROR(__xludf.DUMMYFUNCTION("""COMPUTED_VALUE"""),"Thiết bị nghiền dăm gỗ")</f>
        <v>Thiết bị nghiền dăm gỗ</v>
      </c>
      <c r="C1347" s="1076" t="str">
        <f>IFERROR(__xludf.DUMMYFUNCTION("""COMPUTED_VALUE"""),"XN Bò AD")</f>
        <v>XN Bò AD</v>
      </c>
      <c r="D1347" s="1076" t="str">
        <f>IFERROR(__xludf.DUMMYFUNCTION("""COMPUTED_VALUE"""),"THACO AGRI")</f>
        <v>THACO AGRI</v>
      </c>
      <c r="E1347" s="1076"/>
      <c r="F1347" s="1076"/>
      <c r="G1347" s="1076" t="str">
        <f>IFERROR(__xludf.DUMMYFUNCTION("""COMPUTED_VALUE"""),"2024")</f>
        <v>2024</v>
      </c>
      <c r="H1347" s="1076"/>
      <c r="I1347" s="1076"/>
      <c r="J1347" s="1076"/>
      <c r="K1347" s="1076"/>
      <c r="L1347" s="1076" t="str">
        <f>IFERROR(__xludf.DUMMYFUNCTION("""COMPUTED_VALUE"""),"KLH")</f>
        <v>KLH</v>
      </c>
    </row>
    <row r="1348" customHeight="1" spans="1:12">
      <c r="A1348" s="1076" t="str">
        <f>IFERROR(__xludf.DUMMYFUNCTION("""COMPUTED_VALUE"""),"XB1-CĐQ-001")</f>
        <v>XB1-CĐQ-001</v>
      </c>
      <c r="B1348" s="1075" t="str">
        <f>IFERROR(__xludf.DUMMYFUNCTION("""COMPUTED_VALUE"""),"Thiết bị cắt cỏ đĩa quay")</f>
        <v>Thiết bị cắt cỏ đĩa quay</v>
      </c>
      <c r="C1348" s="1076" t="str">
        <f>IFERROR(__xludf.DUMMYFUNCTION("""COMPUTED_VALUE"""),"XN Bò AD")</f>
        <v>XN Bò AD</v>
      </c>
      <c r="D1348" s="1076" t="str">
        <f>IFERROR(__xludf.DUMMYFUNCTION("""COMPUTED_VALUE"""),"THACO AGRI")</f>
        <v>THACO AGRI</v>
      </c>
      <c r="E1348" s="1076" t="str">
        <f>IFERROR(__xludf.DUMMYFUNCTION("""COMPUTED_VALUE"""),"Đĩa quay")</f>
        <v>Đĩa quay</v>
      </c>
      <c r="F1348" s="1076"/>
      <c r="G1348" s="1076" t="str">
        <f>IFERROR(__xludf.DUMMYFUNCTION("""COMPUTED_VALUE"""),"2024")</f>
        <v>2024</v>
      </c>
      <c r="H1348" s="1076" t="str">
        <f>IFERROR(__xludf.DUMMYFUNCTION("""COMPUTED_VALUE"""),"2x2.3x1.4")</f>
        <v>2x2.3x1.4</v>
      </c>
      <c r="I1348" s="1076"/>
      <c r="J1348" s="1076"/>
      <c r="K1348" s="1076"/>
      <c r="L1348" s="1076" t="str">
        <f>IFERROR(__xludf.DUMMYFUNCTION("""COMPUTED_VALUE"""),"KLH")</f>
        <v>KLH</v>
      </c>
    </row>
    <row r="1349" customHeight="1" spans="1:12">
      <c r="A1349" s="1076" t="str">
        <f>IFERROR(__xludf.DUMMYFUNCTION("""COMPUTED_VALUE"""),"XB1-CĐQ-002")</f>
        <v>XB1-CĐQ-002</v>
      </c>
      <c r="B1349" s="1075" t="str">
        <f>IFERROR(__xludf.DUMMYFUNCTION("""COMPUTED_VALUE"""),"Thiết bị cắt cỏ đĩa quay")</f>
        <v>Thiết bị cắt cỏ đĩa quay</v>
      </c>
      <c r="C1349" s="1076" t="str">
        <f>IFERROR(__xludf.DUMMYFUNCTION("""COMPUTED_VALUE"""),"XN Bò AD")</f>
        <v>XN Bò AD</v>
      </c>
      <c r="D1349" s="1076" t="str">
        <f>IFERROR(__xludf.DUMMYFUNCTION("""COMPUTED_VALUE"""),"THACO AGRI")</f>
        <v>THACO AGRI</v>
      </c>
      <c r="E1349" s="1076" t="str">
        <f>IFERROR(__xludf.DUMMYFUNCTION("""COMPUTED_VALUE"""),"Đĩa quay")</f>
        <v>Đĩa quay</v>
      </c>
      <c r="F1349" s="1076"/>
      <c r="G1349" s="1076"/>
      <c r="H1349" s="1076"/>
      <c r="I1349" s="1076"/>
      <c r="J1349" s="1076"/>
      <c r="K1349" s="1076"/>
      <c r="L1349" s="1076" t="str">
        <f>IFERROR(__xludf.DUMMYFUNCTION("""COMPUTED_VALUE"""),"KLH")</f>
        <v>KLH</v>
      </c>
    </row>
    <row r="1350" customHeight="1" spans="1:12">
      <c r="A1350" s="1076" t="str">
        <f>IFERROR(__xludf.DUMMYFUNCTION("""COMPUTED_VALUE"""),"XB1-CĐQ-003")</f>
        <v>XB1-CĐQ-003</v>
      </c>
      <c r="B1350" s="1075" t="str">
        <f>IFERROR(__xludf.DUMMYFUNCTION("""COMPUTED_VALUE"""),"Thiết bị cắt cỏ đĩa quay")</f>
        <v>Thiết bị cắt cỏ đĩa quay</v>
      </c>
      <c r="C1350" s="1076" t="str">
        <f>IFERROR(__xludf.DUMMYFUNCTION("""COMPUTED_VALUE"""),"XN Bò AD")</f>
        <v>XN Bò AD</v>
      </c>
      <c r="D1350" s="1076" t="str">
        <f>IFERROR(__xludf.DUMMYFUNCTION("""COMPUTED_VALUE"""),"THACO AGRI")</f>
        <v>THACO AGRI</v>
      </c>
      <c r="E1350" s="1076" t="str">
        <f>IFERROR(__xludf.DUMMYFUNCTION("""COMPUTED_VALUE"""),"CK-DCC-03")</f>
        <v>CK-DCC-03</v>
      </c>
      <c r="F1350" s="1076"/>
      <c r="G1350" s="1076" t="str">
        <f>IFERROR(__xludf.DUMMYFUNCTION("""COMPUTED_VALUE"""),"2024")</f>
        <v>2024</v>
      </c>
      <c r="H1350" s="1076" t="str">
        <f>IFERROR(__xludf.DUMMYFUNCTION("""COMPUTED_VALUE"""),"2x2.3x1.4m")</f>
        <v>2x2.3x1.4m</v>
      </c>
      <c r="I1350" s="1076"/>
      <c r="J1350" s="1076"/>
      <c r="K1350" s="1076"/>
      <c r="L1350" s="1076" t="str">
        <f>IFERROR(__xludf.DUMMYFUNCTION("""COMPUTED_VALUE"""),"KLH")</f>
        <v>KLH</v>
      </c>
    </row>
    <row r="1351" customHeight="1" spans="1:12">
      <c r="A1351" s="1076" t="str">
        <f>IFERROR(__xludf.DUMMYFUNCTION("""COMPUTED_VALUE"""),"XB1-CĐQ-004")</f>
        <v>XB1-CĐQ-004</v>
      </c>
      <c r="B1351" s="1075" t="str">
        <f>IFERROR(__xludf.DUMMYFUNCTION("""COMPUTED_VALUE"""),"Thiết bị cắt cỏ đĩa quay")</f>
        <v>Thiết bị cắt cỏ đĩa quay</v>
      </c>
      <c r="C1351" s="1076" t="str">
        <f>IFERROR(__xludf.DUMMYFUNCTION("""COMPUTED_VALUE"""),"XN Bò AD")</f>
        <v>XN Bò AD</v>
      </c>
      <c r="D1351" s="1076" t="str">
        <f>IFERROR(__xludf.DUMMYFUNCTION("""COMPUTED_VALUE"""),"THACO AGRI")</f>
        <v>THACO AGRI</v>
      </c>
      <c r="E1351" s="1076" t="str">
        <f>IFERROR(__xludf.DUMMYFUNCTION("""COMPUTED_VALUE"""),"CK-DCC-CLT-01")</f>
        <v>CK-DCC-CLT-01</v>
      </c>
      <c r="F1351" s="1076"/>
      <c r="G1351" s="1076" t="str">
        <f>IFERROR(__xludf.DUMMYFUNCTION("""COMPUTED_VALUE"""),"2024")</f>
        <v>2024</v>
      </c>
      <c r="H1351" s="1076"/>
      <c r="I1351" s="1076"/>
      <c r="J1351" s="1076"/>
      <c r="K1351" s="1076"/>
      <c r="L1351" s="1076" t="str">
        <f>IFERROR(__xludf.DUMMYFUNCTION("""COMPUTED_VALUE"""),"KLH")</f>
        <v>KLH</v>
      </c>
    </row>
    <row r="1352" customHeight="1" spans="1:12">
      <c r="A1352" s="1076" t="str">
        <f>IFERROR(__xludf.DUMMYFUNCTION("""COMPUTED_VALUE"""),"XB1-TBR-001")</f>
        <v>XB1-TBR-001</v>
      </c>
      <c r="B1352" s="1075" t="str">
        <f>IFERROR(__xludf.DUMMYFUNCTION("""COMPUTED_VALUE"""),"Thiết bị rãi phân hữu cơ")</f>
        <v>Thiết bị rãi phân hữu cơ</v>
      </c>
      <c r="C1352" s="1076" t="str">
        <f>IFERROR(__xludf.DUMMYFUNCTION("""COMPUTED_VALUE"""),"XN Bò AD")</f>
        <v>XN Bò AD</v>
      </c>
      <c r="D1352" s="1076" t="str">
        <f>IFERROR(__xludf.DUMMYFUNCTION("""COMPUTED_VALUE"""),"THACO AGRI")</f>
        <v>THACO AGRI</v>
      </c>
      <c r="E1352" s="1076" t="str">
        <f>IFERROR(__xludf.DUMMYFUNCTION("""COMPUTED_VALUE"""),"CK-TBBPX-01")</f>
        <v>CK-TBBPX-01</v>
      </c>
      <c r="F1352" s="1076"/>
      <c r="G1352" s="1076"/>
      <c r="H1352" s="1076" t="str">
        <f>IFERROR(__xludf.DUMMYFUNCTION("""COMPUTED_VALUE"""),"3.5x2.2x2.15 (DxRxC)")</f>
        <v>3.5x2.2x2.15 (DxRxC)</v>
      </c>
      <c r="I1352" s="1076"/>
      <c r="J1352" s="1076"/>
      <c r="K1352" s="1076"/>
      <c r="L1352" s="1076" t="str">
        <f>IFERROR(__xludf.DUMMYFUNCTION("""COMPUTED_VALUE"""),"KLH")</f>
        <v>KLH</v>
      </c>
    </row>
    <row r="1353" customHeight="1" spans="1:12">
      <c r="A1353" s="1076" t="str">
        <f>IFERROR(__xludf.DUMMYFUNCTION("""COMPUTED_VALUE"""),"XB1-RP4-001")</f>
        <v>XB1-RP4-001</v>
      </c>
      <c r="B1353" s="1075" t="str">
        <f>IFERROR(__xludf.DUMMYFUNCTION("""COMPUTED_VALUE"""),"Thiết bị rải phân hữu cơ 4 hàng")</f>
        <v>Thiết bị rải phân hữu cơ 4 hàng</v>
      </c>
      <c r="C1353" s="1076" t="str">
        <f>IFERROR(__xludf.DUMMYFUNCTION("""COMPUTED_VALUE"""),"XN Bò AD")</f>
        <v>XN Bò AD</v>
      </c>
      <c r="D1353" s="1076" t="str">
        <f>IFERROR(__xludf.DUMMYFUNCTION("""COMPUTED_VALUE"""),"THÀNH ĐẠT")</f>
        <v>THÀNH ĐẠT</v>
      </c>
      <c r="E1353" s="1076" t="str">
        <f>IFERROR(__xludf.DUMMYFUNCTION("""COMPUTED_VALUE"""),"4 HÀNG")</f>
        <v>4 HÀNG</v>
      </c>
      <c r="F1353" s="1076"/>
      <c r="G1353" s="1076" t="str">
        <f>IFERROR(__xludf.DUMMYFUNCTION("""COMPUTED_VALUE"""),"2024")</f>
        <v>2024</v>
      </c>
      <c r="H1353" s="1076"/>
      <c r="I1353" s="1076" t="str">
        <f>IFERROR(__xludf.DUMMYFUNCTION("""COMPUTED_VALUE"""),"RP4-01")</f>
        <v>RP4-01</v>
      </c>
      <c r="J1353" s="1076"/>
      <c r="K1353" s="1076"/>
      <c r="L1353" s="1076" t="str">
        <f>IFERROR(__xludf.DUMMYFUNCTION("""COMPUTED_VALUE"""),"KLH")</f>
        <v>KLH</v>
      </c>
    </row>
    <row r="1354" customHeight="1" spans="1:12">
      <c r="A1354" s="1076" t="str">
        <f>IFERROR(__xludf.DUMMYFUNCTION("""COMPUTED_VALUE"""),"XB1-RP4-002")</f>
        <v>XB1-RP4-002</v>
      </c>
      <c r="B1354" s="1075" t="str">
        <f>IFERROR(__xludf.DUMMYFUNCTION("""COMPUTED_VALUE"""),"Thiết bị rải phân hữu cơ 4 hàng")</f>
        <v>Thiết bị rải phân hữu cơ 4 hàng</v>
      </c>
      <c r="C1354" s="1076" t="str">
        <f>IFERROR(__xludf.DUMMYFUNCTION("""COMPUTED_VALUE"""),"XN Bò AD")</f>
        <v>XN Bò AD</v>
      </c>
      <c r="D1354" s="1076" t="str">
        <f>IFERROR(__xludf.DUMMYFUNCTION("""COMPUTED_VALUE"""),"THÀNH ĐẠT")</f>
        <v>THÀNH ĐẠT</v>
      </c>
      <c r="E1354" s="1076" t="str">
        <f>IFERROR(__xludf.DUMMYFUNCTION("""COMPUTED_VALUE"""),"4 HÀNG")</f>
        <v>4 HÀNG</v>
      </c>
      <c r="F1354" s="1076"/>
      <c r="G1354" s="1076" t="str">
        <f>IFERROR(__xludf.DUMMYFUNCTION("""COMPUTED_VALUE"""),"2024")</f>
        <v>2024</v>
      </c>
      <c r="H1354" s="1076"/>
      <c r="I1354" s="1076" t="str">
        <f>IFERROR(__xludf.DUMMYFUNCTION("""COMPUTED_VALUE"""),"RP4-02")</f>
        <v>RP4-02</v>
      </c>
      <c r="J1354" s="1076"/>
      <c r="K1354" s="1076"/>
      <c r="L1354" s="1076" t="str">
        <f>IFERROR(__xludf.DUMMYFUNCTION("""COMPUTED_VALUE"""),"KLH")</f>
        <v>KLH</v>
      </c>
    </row>
    <row r="1355" customHeight="1" spans="1:12">
      <c r="A1355" s="1076" t="str">
        <f>IFERROR(__xludf.DUMMYFUNCTION("""COMPUTED_VALUE"""),"XB1-XĐP-001")</f>
        <v>XB1-XĐP-001</v>
      </c>
      <c r="B1355" s="1075" t="str">
        <f>IFERROR(__xludf.DUMMYFUNCTION("""COMPUTED_VALUE"""),"Thiết bị xới đảo phân")</f>
        <v>Thiết bị xới đảo phân</v>
      </c>
      <c r="C1355" s="1076" t="str">
        <f>IFERROR(__xludf.DUMMYFUNCTION("""COMPUTED_VALUE"""),"XN Bò AD")</f>
        <v>XN Bò AD</v>
      </c>
      <c r="D1355" s="1076" t="str">
        <f>IFERROR(__xludf.DUMMYFUNCTION("""COMPUTED_VALUE"""),"THACO INDUSTRIES")</f>
        <v>THACO INDUSTRIES</v>
      </c>
      <c r="E1355" s="1076"/>
      <c r="F1355" s="1076"/>
      <c r="G1355" s="1076" t="str">
        <f>IFERROR(__xludf.DUMMYFUNCTION("""COMPUTED_VALUE"""),"2024")</f>
        <v>2024</v>
      </c>
      <c r="H1355" s="1076"/>
      <c r="I1355" s="1076"/>
      <c r="J1355" s="1076"/>
      <c r="K1355" s="1076"/>
      <c r="L1355" s="1076" t="str">
        <f>IFERROR(__xludf.DUMMYFUNCTION("""COMPUTED_VALUE"""),"KLH")</f>
        <v>KLH</v>
      </c>
    </row>
    <row r="1356" customHeight="1" spans="1:12">
      <c r="A1356" s="1076" t="str">
        <f>IFERROR(__xludf.DUMMYFUNCTION("""COMPUTED_VALUE"""),"XB1-RLT-001")</f>
        <v>XB1-RLT-001</v>
      </c>
      <c r="B1356" s="1075" t="str">
        <f>IFERROR(__xludf.DUMMYFUNCTION("""COMPUTED_VALUE"""),"Thiết bị rạch luống trồng cỏ (6 hàng)")</f>
        <v>Thiết bị rạch luống trồng cỏ (6 hàng)</v>
      </c>
      <c r="C1356" s="1076" t="str">
        <f>IFERROR(__xludf.DUMMYFUNCTION("""COMPUTED_VALUE"""),"XN Bò AD")</f>
        <v>XN Bò AD</v>
      </c>
      <c r="D1356" s="1076" t="str">
        <f>IFERROR(__xludf.DUMMYFUNCTION("""COMPUTED_VALUE"""),"THACO AGRI")</f>
        <v>THACO AGRI</v>
      </c>
      <c r="E1356" s="1076" t="str">
        <f>IFERROR(__xludf.DUMMYFUNCTION("""COMPUTED_VALUE"""),"6 hàng")</f>
        <v>6 hàng</v>
      </c>
      <c r="F1356" s="1076"/>
      <c r="G1356" s="1076"/>
      <c r="H1356" s="1076"/>
      <c r="I1356" s="1076"/>
      <c r="J1356" s="1076"/>
      <c r="K1356" s="1076"/>
      <c r="L1356" s="1076" t="str">
        <f>IFERROR(__xludf.DUMMYFUNCTION("""COMPUTED_VALUE"""),"KLH")</f>
        <v>KLH</v>
      </c>
    </row>
    <row r="1357" customHeight="1" spans="1:12">
      <c r="A1357" s="1076" t="str">
        <f>IFERROR(__xludf.DUMMYFUNCTION("""COMPUTED_VALUE"""),"XB1-RLT-002")</f>
        <v>XB1-RLT-002</v>
      </c>
      <c r="B1357" s="1075" t="str">
        <f>IFERROR(__xludf.DUMMYFUNCTION("""COMPUTED_VALUE"""),"Thiết bị rạch luống trồng cỏ (4 hàng)")</f>
        <v>Thiết bị rạch luống trồng cỏ (4 hàng)</v>
      </c>
      <c r="C1357" s="1076" t="str">
        <f>IFERROR(__xludf.DUMMYFUNCTION("""COMPUTED_VALUE"""),"XN Bò AD")</f>
        <v>XN Bò AD</v>
      </c>
      <c r="D1357" s="1076" t="str">
        <f>IFERROR(__xludf.DUMMYFUNCTION("""COMPUTED_VALUE"""),"THACO AGRI")</f>
        <v>THACO AGRI</v>
      </c>
      <c r="E1357" s="1076" t="str">
        <f>IFERROR(__xludf.DUMMYFUNCTION("""COMPUTED_VALUE"""),"CK-DTC-03")</f>
        <v>CK-DTC-03</v>
      </c>
      <c r="F1357" s="1076"/>
      <c r="G1357" s="1076" t="str">
        <f>IFERROR(__xludf.DUMMYFUNCTION("""COMPUTED_VALUE"""),"2025")</f>
        <v>2025</v>
      </c>
      <c r="H1357" s="1076" t="str">
        <f>IFERROR(__xludf.DUMMYFUNCTION("""COMPUTED_VALUE"""),"3.6x2.7x1.34")</f>
        <v>3.6x2.7x1.34</v>
      </c>
      <c r="I1357" s="1076" t="str">
        <f>IFERROR(__xludf.DUMMYFUNCTION("""COMPUTED_VALUE"""),"3")</f>
        <v>3</v>
      </c>
      <c r="J1357" s="1076"/>
      <c r="K1357" s="1076"/>
      <c r="L1357" s="1076" t="str">
        <f>IFERROR(__xludf.DUMMYFUNCTION("""COMPUTED_VALUE"""),"KLH")</f>
        <v>KLH</v>
      </c>
    </row>
    <row r="1358" customHeight="1" spans="1:12">
      <c r="A1358" s="1076" t="str">
        <f>IFERROR(__xludf.DUMMYFUNCTION("""COMPUTED_VALUE"""),"XB1-RLT-003")</f>
        <v>XB1-RLT-003</v>
      </c>
      <c r="B1358" s="1075" t="str">
        <f>IFERROR(__xludf.DUMMYFUNCTION("""COMPUTED_VALUE"""),"Thiết bị rạch luống trồng cỏ (4 hàng)")</f>
        <v>Thiết bị rạch luống trồng cỏ (4 hàng)</v>
      </c>
      <c r="C1358" s="1076" t="str">
        <f>IFERROR(__xludf.DUMMYFUNCTION("""COMPUTED_VALUE"""),"XN Bò AD")</f>
        <v>XN Bò AD</v>
      </c>
      <c r="D1358" s="1076" t="str">
        <f>IFERROR(__xludf.DUMMYFUNCTION("""COMPUTED_VALUE"""),"THACO AGRI")</f>
        <v>THACO AGRI</v>
      </c>
      <c r="E1358" s="1076" t="str">
        <f>IFERROR(__xludf.DUMMYFUNCTION("""COMPUTED_VALUE"""),"CK-DTC-04")</f>
        <v>CK-DTC-04</v>
      </c>
      <c r="F1358" s="1076"/>
      <c r="G1358" s="1076" t="str">
        <f>IFERROR(__xludf.DUMMYFUNCTION("""COMPUTED_VALUE"""),"2025")</f>
        <v>2025</v>
      </c>
      <c r="H1358" s="1076" t="str">
        <f>IFERROR(__xludf.DUMMYFUNCTION("""COMPUTED_VALUE"""),"3.6x2.7x1.34")</f>
        <v>3.6x2.7x1.34</v>
      </c>
      <c r="I1358" s="1076"/>
      <c r="J1358" s="1076"/>
      <c r="K1358" s="1076"/>
      <c r="L1358" s="1076" t="str">
        <f>IFERROR(__xludf.DUMMYFUNCTION("""COMPUTED_VALUE"""),"KLH")</f>
        <v>KLH</v>
      </c>
    </row>
    <row r="1359" customHeight="1" spans="1:12">
      <c r="A1359" s="1076" t="str">
        <f>IFERROR(__xludf.DUMMYFUNCTION("""COMPUTED_VALUE"""),"XB1-RLT-004")</f>
        <v>XB1-RLT-004</v>
      </c>
      <c r="B1359" s="1075" t="str">
        <f>IFERROR(__xludf.DUMMYFUNCTION("""COMPUTED_VALUE"""),"Thiết bị rạch luống trồng cỏ (4 hàng)")</f>
        <v>Thiết bị rạch luống trồng cỏ (4 hàng)</v>
      </c>
      <c r="C1359" s="1076" t="str">
        <f>IFERROR(__xludf.DUMMYFUNCTION("""COMPUTED_VALUE"""),"XN Bò AD")</f>
        <v>XN Bò AD</v>
      </c>
      <c r="D1359" s="1076" t="str">
        <f>IFERROR(__xludf.DUMMYFUNCTION("""COMPUTED_VALUE"""),"THACO AGRI")</f>
        <v>THACO AGRI</v>
      </c>
      <c r="E1359" s="1076" t="str">
        <f>IFERROR(__xludf.DUMMYFUNCTION("""COMPUTED_VALUE"""),"CK-DTC-05")</f>
        <v>CK-DTC-05</v>
      </c>
      <c r="F1359" s="1076"/>
      <c r="G1359" s="1076" t="str">
        <f>IFERROR(__xludf.DUMMYFUNCTION("""COMPUTED_VALUE"""),"2025")</f>
        <v>2025</v>
      </c>
      <c r="H1359" s="1076" t="str">
        <f>IFERROR(__xludf.DUMMYFUNCTION("""COMPUTED_VALUE"""),"3.6x2.7x1.34")</f>
        <v>3.6x2.7x1.34</v>
      </c>
      <c r="I1359" s="1076"/>
      <c r="J1359" s="1076"/>
      <c r="K1359" s="1076"/>
      <c r="L1359" s="1076" t="str">
        <f>IFERROR(__xludf.DUMMYFUNCTION("""COMPUTED_VALUE"""),"KLH")</f>
        <v>KLH</v>
      </c>
    </row>
    <row r="1360" customHeight="1" spans="1:12">
      <c r="A1360" s="1076" t="str">
        <f>IFERROR(__xludf.DUMMYFUNCTION("""COMPUTED_VALUE"""),"XB1-RLT-005")</f>
        <v>XB1-RLT-005</v>
      </c>
      <c r="B1360" s="1075" t="str">
        <f>IFERROR(__xludf.DUMMYFUNCTION("""COMPUTED_VALUE"""),"Thiết bị rạch luống trồng cỏ (2 hàng)")</f>
        <v>Thiết bị rạch luống trồng cỏ (2 hàng)</v>
      </c>
      <c r="C1360" s="1076" t="str">
        <f>IFERROR(__xludf.DUMMYFUNCTION("""COMPUTED_VALUE"""),"XN Bò AD")</f>
        <v>XN Bò AD</v>
      </c>
      <c r="D1360" s="1076" t="str">
        <f>IFERROR(__xludf.DUMMYFUNCTION("""COMPUTED_VALUE"""),"Kasetkollakarn Banpong")</f>
        <v>Kasetkollakarn Banpong</v>
      </c>
      <c r="E1360" s="1076" t="str">
        <f>IFERROR(__xludf.DUMMYFUNCTION("""COMPUTED_VALUE"""),"Thái Lan")</f>
        <v>Thái Lan</v>
      </c>
      <c r="F1360" s="1076">
        <f>IFERROR(__xludf.DUMMYFUNCTION("""COMPUTED_VALUE"""),2025)</f>
        <v>2025</v>
      </c>
      <c r="G1360" s="1076" t="str">
        <f>IFERROR(__xludf.DUMMYFUNCTION("""COMPUTED_VALUE"""),"SP-40C-SR")</f>
        <v>SP-40C-SR</v>
      </c>
      <c r="H1360" s="1076" t="str">
        <f>IFERROR(__xludf.DUMMYFUNCTION("""COMPUTED_VALUE"""),"60 HP ~")</f>
        <v>60 HP ~</v>
      </c>
      <c r="I1360" s="1076" t="str">
        <f>IFERROR(__xludf.DUMMYFUNCTION("""COMPUTED_VALUE"""),"1224-TZAU")</f>
        <v>1224-TZAU</v>
      </c>
      <c r="J1360" s="1076"/>
      <c r="K1360" s="1076"/>
      <c r="L1360" s="1076" t="str">
        <f>IFERROR(__xludf.DUMMYFUNCTION("""COMPUTED_VALUE"""),"KLH")</f>
        <v>KLH</v>
      </c>
    </row>
    <row r="1361" customHeight="1" spans="1:12">
      <c r="A1361" s="1076" t="str">
        <f>IFERROR(__xludf.DUMMYFUNCTION("""COMPUTED_VALUE"""),"XB1-MXM-001")</f>
        <v>XB1-MXM-001</v>
      </c>
      <c r="B1361" s="1075" t="str">
        <f>IFERROR(__xludf.DUMMYFUNCTION("""COMPUTED_VALUE"""),"Rơ mooc gắn sau xe máy ")</f>
        <v>Rơ mooc gắn sau xe máy </v>
      </c>
      <c r="C1361" s="1076" t="str">
        <f>IFERROR(__xludf.DUMMYFUNCTION("""COMPUTED_VALUE"""),"XN Bò AD")</f>
        <v>XN Bò AD</v>
      </c>
      <c r="D1361" s="1076" t="str">
        <f>IFERROR(__xludf.DUMMYFUNCTION("""COMPUTED_VALUE"""),"THACO AGRI")</f>
        <v>THACO AGRI</v>
      </c>
      <c r="E1361" s="1076"/>
      <c r="F1361" s="1076"/>
      <c r="G1361" s="1076"/>
      <c r="H1361" s="1076"/>
      <c r="I1361" s="1076"/>
      <c r="J1361" s="1076"/>
      <c r="K1361" s="1076"/>
      <c r="L1361" s="1076" t="str">
        <f>IFERROR(__xludf.DUMMYFUNCTION("""COMPUTED_VALUE"""),"KLH")</f>
        <v>KLH</v>
      </c>
    </row>
    <row r="1362" customHeight="1" spans="1:12">
      <c r="A1362" s="1076" t="str">
        <f>IFERROR(__xludf.DUMMYFUNCTION("""COMPUTED_VALUE"""),"XB1-MXM-002")</f>
        <v>XB1-MXM-002</v>
      </c>
      <c r="B1362" s="1075" t="str">
        <f>IFERROR(__xludf.DUMMYFUNCTION("""COMPUTED_VALUE"""),"Rơ mooc gắn sau xe máy ")</f>
        <v>Rơ mooc gắn sau xe máy </v>
      </c>
      <c r="C1362" s="1076" t="str">
        <f>IFERROR(__xludf.DUMMYFUNCTION("""COMPUTED_VALUE"""),"XN Bò AD")</f>
        <v>XN Bò AD</v>
      </c>
      <c r="D1362" s="1076" t="str">
        <f>IFERROR(__xludf.DUMMYFUNCTION("""COMPUTED_VALUE"""),"THACO AGRI")</f>
        <v>THACO AGRI</v>
      </c>
      <c r="E1362" s="1076"/>
      <c r="F1362" s="1076"/>
      <c r="G1362" s="1076"/>
      <c r="H1362" s="1076"/>
      <c r="I1362" s="1076"/>
      <c r="J1362" s="1076"/>
      <c r="K1362" s="1076"/>
      <c r="L1362" s="1076" t="str">
        <f>IFERROR(__xludf.DUMMYFUNCTION("""COMPUTED_VALUE"""),"KLH")</f>
        <v>KLH</v>
      </c>
    </row>
    <row r="1363" customHeight="1" spans="1:12">
      <c r="A1363" s="1076" t="str">
        <f>IFERROR(__xludf.DUMMYFUNCTION("""COMPUTED_VALUE"""),"XB1-CCB-001")</f>
        <v>XB1-CCB-001</v>
      </c>
      <c r="B1363" s="1075" t="str">
        <f>IFERROR(__xludf.DUMMYFUNCTION("""COMPUTED_VALUE"""),"Thiết bị cày chăm bắp")</f>
        <v>Thiết bị cày chăm bắp</v>
      </c>
      <c r="C1363" s="1076" t="str">
        <f>IFERROR(__xludf.DUMMYFUNCTION("""COMPUTED_VALUE"""),"XN Bò AD")</f>
        <v>XN Bò AD</v>
      </c>
      <c r="D1363" s="1076" t="str">
        <f>IFERROR(__xludf.DUMMYFUNCTION("""COMPUTED_VALUE"""),"THACO AGRI")</f>
        <v>THACO AGRI</v>
      </c>
      <c r="E1363" s="1076" t="str">
        <f>IFERROR(__xludf.DUMMYFUNCTION("""COMPUTED_VALUE"""),"CK-DX-01")</f>
        <v>CK-DX-01</v>
      </c>
      <c r="F1363" s="1076"/>
      <c r="G1363" s="1076" t="str">
        <f>IFERROR(__xludf.DUMMYFUNCTION("""COMPUTED_VALUE"""),"2025")</f>
        <v>2025</v>
      </c>
      <c r="H1363" s="1076" t="str">
        <f>IFERROR(__xludf.DUMMYFUNCTION("""COMPUTED_VALUE"""),"1.4x0.9x1.1")</f>
        <v>1.4x0.9x1.1</v>
      </c>
      <c r="I1363" s="1076"/>
      <c r="J1363" s="1076"/>
      <c r="K1363" s="1076"/>
      <c r="L1363" s="1076" t="str">
        <f>IFERROR(__xludf.DUMMYFUNCTION("""COMPUTED_VALUE"""),"KLH")</f>
        <v>KLH</v>
      </c>
    </row>
    <row r="1364" customHeight="1" spans="1:12">
      <c r="A1364" s="1076" t="str">
        <f>IFERROR(__xludf.DUMMYFUNCTION("""COMPUTED_VALUE"""),"XB1-PTB-001")</f>
        <v>XB1-PTB-001</v>
      </c>
      <c r="B1364" s="1075" t="str">
        <f>IFERROR(__xludf.DUMMYFUNCTION("""COMPUTED_VALUE"""),"Thiết bị phun thuốc bắp")</f>
        <v>Thiết bị phun thuốc bắp</v>
      </c>
      <c r="C1364" s="1076" t="str">
        <f>IFERROR(__xludf.DUMMYFUNCTION("""COMPUTED_VALUE"""),"XN Bò AD")</f>
        <v>XN Bò AD</v>
      </c>
      <c r="D1364" s="1076" t="str">
        <f>IFERROR(__xludf.DUMMYFUNCTION("""COMPUTED_VALUE"""),"CHOKTAWEE")</f>
        <v>CHOKTAWEE</v>
      </c>
      <c r="E1364" s="1076" t="str">
        <f>IFERROR(__xludf.DUMMYFUNCTION("""COMPUTED_VALUE"""),"ARN-SPY600")</f>
        <v>ARN-SPY600</v>
      </c>
      <c r="F1364" s="1076"/>
      <c r="G1364" s="1076" t="str">
        <f>IFERROR(__xludf.DUMMYFUNCTION("""COMPUTED_VALUE"""),"2025")</f>
        <v>2025</v>
      </c>
      <c r="H1364" s="1076" t="str">
        <f>IFERROR(__xludf.DUMMYFUNCTION("""COMPUTED_VALUE"""),"600 LÍT - 50HP")</f>
        <v>600 LÍT - 50HP</v>
      </c>
      <c r="I1364" s="1076"/>
      <c r="J1364" s="1076"/>
      <c r="K1364" s="1076"/>
      <c r="L1364" s="1076" t="str">
        <f>IFERROR(__xludf.DUMMYFUNCTION("""COMPUTED_VALUE"""),"KLH")</f>
        <v>KLH</v>
      </c>
    </row>
    <row r="1365" customHeight="1" spans="1:12">
      <c r="A1365" s="1076" t="str">
        <f>IFERROR(__xludf.DUMMYFUNCTION("""COMPUTED_VALUE"""),"XB1-PTB-002")</f>
        <v>XB1-PTB-002</v>
      </c>
      <c r="B1365" s="1075" t="str">
        <f>IFERROR(__xludf.DUMMYFUNCTION("""COMPUTED_VALUE"""),"Thiết bị phun thuốc bắp")</f>
        <v>Thiết bị phun thuốc bắp</v>
      </c>
      <c r="C1365" s="1076" t="str">
        <f>IFERROR(__xludf.DUMMYFUNCTION("""COMPUTED_VALUE"""),"XN Bò AD")</f>
        <v>XN Bò AD</v>
      </c>
      <c r="D1365" s="1076" t="str">
        <f>IFERROR(__xludf.DUMMYFUNCTION("""COMPUTED_VALUE"""),"CHOKTAWEE")</f>
        <v>CHOKTAWEE</v>
      </c>
      <c r="E1365" s="1076" t="str">
        <f>IFERROR(__xludf.DUMMYFUNCTION("""COMPUTED_VALUE"""),"ARN-SPY600")</f>
        <v>ARN-SPY600</v>
      </c>
      <c r="F1365" s="1076"/>
      <c r="G1365" s="1076" t="str">
        <f>IFERROR(__xludf.DUMMYFUNCTION("""COMPUTED_VALUE"""),"2025")</f>
        <v>2025</v>
      </c>
      <c r="H1365" s="1076" t="str">
        <f>IFERROR(__xludf.DUMMYFUNCTION("""COMPUTED_VALUE"""),"600 LÍT - 50HP")</f>
        <v>600 LÍT - 50HP</v>
      </c>
      <c r="I1365" s="1076"/>
      <c r="J1365" s="1076"/>
      <c r="K1365" s="1076"/>
      <c r="L1365" s="1076" t="str">
        <f>IFERROR(__xludf.DUMMYFUNCTION("""COMPUTED_VALUE"""),"KLH")</f>
        <v>KLH</v>
      </c>
    </row>
    <row r="1366" customHeight="1" spans="1:12">
      <c r="A1366" s="1076" t="str">
        <f>IFERROR(__xludf.DUMMYFUNCTION("""COMPUTED_VALUE"""),"XB1-GHC-001")</f>
        <v>XB1-GHC-001</v>
      </c>
      <c r="B1366" s="1075" t="str">
        <f>IFERROR(__xludf.DUMMYFUNCTION("""COMPUTED_VALUE"""),"Thiết bị gieo hạt cỏ")</f>
        <v>Thiết bị gieo hạt cỏ</v>
      </c>
      <c r="C1366" s="1076" t="str">
        <f>IFERROR(__xludf.DUMMYFUNCTION("""COMPUTED_VALUE"""),"XN Bò AD")</f>
        <v>XN Bò AD</v>
      </c>
      <c r="D1366" s="1076" t="str">
        <f>IFERROR(__xludf.DUMMYFUNCTION("""COMPUTED_VALUE"""),"VIRDI")</f>
        <v>VIRDI</v>
      </c>
      <c r="E1366" s="1076" t="str">
        <f>IFERROR(__xludf.DUMMYFUNCTION("""COMPUTED_VALUE"""),"GRASS MAESTRO")</f>
        <v>GRASS MAESTRO</v>
      </c>
      <c r="F1366" s="1076"/>
      <c r="G1366" s="1076" t="str">
        <f>IFERROR(__xludf.DUMMYFUNCTION("""COMPUTED_VALUE"""),"2025")</f>
        <v>2025</v>
      </c>
      <c r="H1366" s="1076" t="str">
        <f>IFERROR(__xludf.DUMMYFUNCTION("""COMPUTED_VALUE"""),"35HP")</f>
        <v>35HP</v>
      </c>
      <c r="I1366" s="1076" t="str">
        <f>IFERROR(__xludf.DUMMYFUNCTION("""COMPUTED_VALUE"""),"GM2502")</f>
        <v>GM2502</v>
      </c>
      <c r="J1366" s="1076"/>
      <c r="K1366" s="1076"/>
      <c r="L1366" s="1076" t="str">
        <f>IFERROR(__xludf.DUMMYFUNCTION("""COMPUTED_VALUE"""),"KLH")</f>
        <v>KLH</v>
      </c>
    </row>
    <row r="1367" customHeight="1" spans="1:12">
      <c r="A1367" s="1076" t="str">
        <f>IFERROR(__xludf.DUMMYFUNCTION("""COMPUTED_VALUE"""),"XB1-GHC-002")</f>
        <v>XB1-GHC-002</v>
      </c>
      <c r="B1367" s="1075" t="str">
        <f>IFERROR(__xludf.DUMMYFUNCTION("""COMPUTED_VALUE"""),"Thiết bị gieo hạt cỏ")</f>
        <v>Thiết bị gieo hạt cỏ</v>
      </c>
      <c r="C1367" s="1076" t="str">
        <f>IFERROR(__xludf.DUMMYFUNCTION("""COMPUTED_VALUE"""),"XN Bò AD")</f>
        <v>XN Bò AD</v>
      </c>
      <c r="D1367" s="1076" t="str">
        <f>IFERROR(__xludf.DUMMYFUNCTION("""COMPUTED_VALUE"""),"VIRDI")</f>
        <v>VIRDI</v>
      </c>
      <c r="E1367" s="1076" t="str">
        <f>IFERROR(__xludf.DUMMYFUNCTION("""COMPUTED_VALUE"""),"GRASS MAESTRO")</f>
        <v>GRASS MAESTRO</v>
      </c>
      <c r="F1367" s="1076"/>
      <c r="G1367" s="1076" t="str">
        <f>IFERROR(__xludf.DUMMYFUNCTION("""COMPUTED_VALUE"""),"2025")</f>
        <v>2025</v>
      </c>
      <c r="H1367" s="1076" t="str">
        <f>IFERROR(__xludf.DUMMYFUNCTION("""COMPUTED_VALUE"""),"35Hp ~")</f>
        <v>35Hp ~</v>
      </c>
      <c r="I1367" s="1076" t="str">
        <f>IFERROR(__xludf.DUMMYFUNCTION("""COMPUTED_VALUE"""),"GM2501")</f>
        <v>GM2501</v>
      </c>
      <c r="J1367" s="1076"/>
      <c r="K1367" s="1076"/>
      <c r="L1367" s="1076" t="str">
        <f>IFERROR(__xludf.DUMMYFUNCTION("""COMPUTED_VALUE"""),"KLH")</f>
        <v>KLH</v>
      </c>
    </row>
    <row r="1368" customHeight="1" spans="1:12">
      <c r="A1368" s="1076" t="str">
        <f>IFERROR(__xludf.DUMMYFUNCTION("""COMPUTED_VALUE"""),"XB1-RBP-001")</f>
        <v>XB1-RBP-001</v>
      </c>
      <c r="B1368" s="1075" t="str">
        <f>IFERROR(__xludf.DUMMYFUNCTION("""COMPUTED_VALUE"""),"Thiết bị rạch hàng bón phân vô cơ (6 hàng)")</f>
        <v>Thiết bị rạch hàng bón phân vô cơ (6 hàng)</v>
      </c>
      <c r="C1368" s="1076" t="str">
        <f>IFERROR(__xludf.DUMMYFUNCTION("""COMPUTED_VALUE"""),"XN Bò AD")</f>
        <v>XN Bò AD</v>
      </c>
      <c r="D1368" s="1076" t="str">
        <f>IFERROR(__xludf.DUMMYFUNCTION("""COMPUTED_VALUE"""),"THACO INDUSTRIES")</f>
        <v>THACO INDUSTRIES</v>
      </c>
      <c r="E1368" s="1076"/>
      <c r="F1368" s="1076"/>
      <c r="G1368" s="1076" t="str">
        <f>IFERROR(__xludf.DUMMYFUNCTION("""COMPUTED_VALUE"""),"2025")</f>
        <v>2025</v>
      </c>
      <c r="H1368" s="1076"/>
      <c r="I1368" s="1076"/>
      <c r="J1368" s="1076"/>
      <c r="K1368" s="1076"/>
      <c r="L1368" s="1076" t="str">
        <f>IFERROR(__xludf.DUMMYFUNCTION("""COMPUTED_VALUE"""),"KLH")</f>
        <v>KLH</v>
      </c>
    </row>
    <row r="1369" customHeight="1" spans="1:12">
      <c r="A1369" s="1076" t="str">
        <f>IFERROR(__xludf.DUMMYFUNCTION("""COMPUTED_VALUE"""),"XB1-RBP-002")</f>
        <v>XB1-RBP-002</v>
      </c>
      <c r="B1369" s="1075" t="str">
        <f>IFERROR(__xludf.DUMMYFUNCTION("""COMPUTED_VALUE"""),"Thiết bị rạch hàng bón phân vô cơ (6 hàng)")</f>
        <v>Thiết bị rạch hàng bón phân vô cơ (6 hàng)</v>
      </c>
      <c r="C1369" s="1076" t="str">
        <f>IFERROR(__xludf.DUMMYFUNCTION("""COMPUTED_VALUE"""),"XN Bò AD")</f>
        <v>XN Bò AD</v>
      </c>
      <c r="D1369" s="1076" t="str">
        <f>IFERROR(__xludf.DUMMYFUNCTION("""COMPUTED_VALUE"""),"THACO INDUSTRIES")</f>
        <v>THACO INDUSTRIES</v>
      </c>
      <c r="E1369" s="1076"/>
      <c r="F1369" s="1076"/>
      <c r="G1369" s="1076" t="str">
        <f>IFERROR(__xludf.DUMMYFUNCTION("""COMPUTED_VALUE"""),"2025")</f>
        <v>2025</v>
      </c>
      <c r="H1369" s="1076"/>
      <c r="I1369" s="1076"/>
      <c r="J1369" s="1076"/>
      <c r="K1369" s="1076"/>
      <c r="L1369" s="1076" t="str">
        <f>IFERROR(__xludf.DUMMYFUNCTION("""COMPUTED_VALUE"""),"KLH")</f>
        <v>KLH</v>
      </c>
    </row>
    <row r="1370" customHeight="1" spans="1:12">
      <c r="A1370" s="1076" t="str">
        <f>IFERROR(__xludf.DUMMYFUNCTION("""COMPUTED_VALUE"""),"XB1-RHC-001")</f>
        <v>XB1-RHC-001</v>
      </c>
      <c r="B1370" s="1075" t="str">
        <f>IFERROR(__xludf.DUMMYFUNCTION("""COMPUTED_VALUE"""),"Thiết bị ra hom cỏ giống")</f>
        <v>Thiết bị ra hom cỏ giống</v>
      </c>
      <c r="C1370" s="1076" t="str">
        <f>IFERROR(__xludf.DUMMYFUNCTION("""COMPUTED_VALUE"""),"XN Bò AD")</f>
        <v>XN Bò AD</v>
      </c>
      <c r="D1370" s="1076" t="str">
        <f>IFERROR(__xludf.DUMMYFUNCTION("""COMPUTED_VALUE"""),"THACO AGRI")</f>
        <v>THACO AGRI</v>
      </c>
      <c r="E1370" s="1076"/>
      <c r="F1370" s="1076"/>
      <c r="G1370" s="1076" t="str">
        <f>IFERROR(__xludf.DUMMYFUNCTION("""COMPUTED_VALUE"""),"2025")</f>
        <v>2025</v>
      </c>
      <c r="H1370" s="1076"/>
      <c r="I1370" s="1076"/>
      <c r="J1370" s="1076"/>
      <c r="K1370" s="1076"/>
      <c r="L1370" s="1076" t="str">
        <f>IFERROR(__xludf.DUMMYFUNCTION("""COMPUTED_VALUE"""),"KLH")</f>
        <v>KLH</v>
      </c>
    </row>
    <row r="1371" customHeight="1" spans="1:12">
      <c r="A1371" s="1076" t="str">
        <f>IFERROR(__xludf.DUMMYFUNCTION("""COMPUTED_VALUE"""),"XB1-CXV-001")</f>
        <v>XB1-CXV-001</v>
      </c>
      <c r="B1371" s="1075" t="str">
        <f>IFERROR(__xludf.DUMMYFUNCTION("""COMPUTED_VALUE"""),"Thiết bị cào xới váng")</f>
        <v>Thiết bị cào xới váng</v>
      </c>
      <c r="C1371" s="1076" t="str">
        <f>IFERROR(__xludf.DUMMYFUNCTION("""COMPUTED_VALUE"""),"XN Bò AD")</f>
        <v>XN Bò AD</v>
      </c>
      <c r="D1371" s="1076" t="str">
        <f>IFERROR(__xludf.DUMMYFUNCTION("""COMPUTED_VALUE"""),"THACO AGRI")</f>
        <v>THACO AGRI</v>
      </c>
      <c r="E1371" s="1076" t="str">
        <f>IFERROR(__xludf.DUMMYFUNCTION("""COMPUTED_VALUE"""),"CXV-01")</f>
        <v>CXV-01</v>
      </c>
      <c r="F1371" s="1076"/>
      <c r="G1371" s="1076" t="str">
        <f>IFERROR(__xludf.DUMMYFUNCTION("""COMPUTED_VALUE"""),"2025")</f>
        <v>2025</v>
      </c>
      <c r="H1371" s="1076" t="str">
        <f>IFERROR(__xludf.DUMMYFUNCTION("""COMPUTED_VALUE"""),"1.195x4.2x1.148")</f>
        <v>1.195x4.2x1.148</v>
      </c>
      <c r="I1371" s="1076" t="str">
        <f>IFERROR(__xludf.DUMMYFUNCTION("""COMPUTED_VALUE"""),"CK-CXV-01")</f>
        <v>CK-CXV-01</v>
      </c>
      <c r="J1371" s="1076"/>
      <c r="K1371" s="1076"/>
      <c r="L1371" s="1076" t="str">
        <f>IFERROR(__xludf.DUMMYFUNCTION("""COMPUTED_VALUE"""),"KLH")</f>
        <v>KLH</v>
      </c>
    </row>
    <row r="1372" customHeight="1" spans="1:12">
      <c r="A1372" s="1076" t="str">
        <f>IFERROR(__xludf.DUMMYFUNCTION("""COMPUTED_VALUE"""),"XB1-CXV-002")</f>
        <v>XB1-CXV-002</v>
      </c>
      <c r="B1372" s="1075" t="str">
        <f>IFERROR(__xludf.DUMMYFUNCTION("""COMPUTED_VALUE"""),"Thiết bị cào xới váng")</f>
        <v>Thiết bị cào xới váng</v>
      </c>
      <c r="C1372" s="1076" t="str">
        <f>IFERROR(__xludf.DUMMYFUNCTION("""COMPUTED_VALUE"""),"XN Bò AD")</f>
        <v>XN Bò AD</v>
      </c>
      <c r="D1372" s="1076" t="str">
        <f>IFERROR(__xludf.DUMMYFUNCTION("""COMPUTED_VALUE"""),"THACO AGRI")</f>
        <v>THACO AGRI</v>
      </c>
      <c r="E1372" s="1076" t="str">
        <f>IFERROR(__xludf.DUMMYFUNCTION("""COMPUTED_VALUE"""),"KLH SNUOL")</f>
        <v>KLH SNUOL</v>
      </c>
      <c r="F1372" s="1076">
        <f>IFERROR(__xludf.DUMMYFUNCTION("""COMPUTED_VALUE"""),2025)</f>
        <v>2025</v>
      </c>
      <c r="G1372" s="1076" t="str">
        <f>IFERROR(__xludf.DUMMYFUNCTION("""COMPUTED_VALUE"""),"4  lưỡi xới")</f>
        <v>4  lưỡi xới</v>
      </c>
      <c r="H1372" s="1076" t="str">
        <f>IFERROR(__xludf.DUMMYFUNCTION("""COMPUTED_VALUE"""),"90 HP ~")</f>
        <v>90 HP ~</v>
      </c>
      <c r="I1372" s="1076"/>
      <c r="J1372" s="1076"/>
      <c r="K1372" s="1076"/>
      <c r="L1372" s="1076" t="str">
        <f>IFERROR(__xludf.DUMMYFUNCTION("""COMPUTED_VALUE"""),"KLH")</f>
        <v>KLH</v>
      </c>
    </row>
    <row r="1373" customHeight="1" spans="1:12">
      <c r="A1373" s="1076" t="str">
        <f>IFERROR(__xludf.DUMMYFUNCTION("""COMPUTED_VALUE"""),"XB1-DRC-001")</f>
        <v>XB1-DRC-001</v>
      </c>
      <c r="B1373" s="1075" t="str">
        <f>IFERROR(__xludf.DUMMYFUNCTION("""COMPUTED_VALUE"""),"Thiết bị rạch - tung phân cỏ chăn thả")</f>
        <v>Thiết bị rạch - tung phân cỏ chăn thả</v>
      </c>
      <c r="C1373" s="1076" t="str">
        <f>IFERROR(__xludf.DUMMYFUNCTION("""COMPUTED_VALUE"""),"XN Bò AD")</f>
        <v>XN Bò AD</v>
      </c>
      <c r="D1373" s="1076" t="str">
        <f>IFERROR(__xludf.DUMMYFUNCTION("""COMPUTED_VALUE"""),"THACO AGRI")</f>
        <v>THACO AGRI</v>
      </c>
      <c r="E1373" s="1076" t="str">
        <f>IFERROR(__xludf.DUMMYFUNCTION("""COMPUTED_VALUE"""),"KLH SNUOL")</f>
        <v>KLH SNUOL</v>
      </c>
      <c r="F1373" s="1076">
        <f>IFERROR(__xludf.DUMMYFUNCTION("""COMPUTED_VALUE"""),2025)</f>
        <v>2025</v>
      </c>
      <c r="G1373" s="1076" t="str">
        <f>IFERROR(__xludf.DUMMYFUNCTION("""COMPUTED_VALUE"""),"6 đĩa rạch")</f>
        <v>6 đĩa rạch</v>
      </c>
      <c r="H1373" s="1076" t="str">
        <f>IFERROR(__xludf.DUMMYFUNCTION("""COMPUTED_VALUE"""),"90 HP ~")</f>
        <v>90 HP ~</v>
      </c>
      <c r="I1373" s="1076"/>
      <c r="J1373" s="1076"/>
      <c r="K1373" s="1076"/>
      <c r="L1373" s="1076" t="str">
        <f>IFERROR(__xludf.DUMMYFUNCTION("""COMPUTED_VALUE"""),"KLH")</f>
        <v>KLH</v>
      </c>
    </row>
    <row r="1374" customHeight="1" spans="1:12">
      <c r="A1374" s="1076" t="str">
        <f>IFERROR(__xludf.DUMMYFUNCTION("""COMPUTED_VALUE"""),"XB1-DRC-002")</f>
        <v>XB1-DRC-002</v>
      </c>
      <c r="B1374" s="1075" t="str">
        <f>IFERROR(__xludf.DUMMYFUNCTION("""COMPUTED_VALUE"""),"Thiết bị rạch - tung phân cỏ chăn thả")</f>
        <v>Thiết bị rạch - tung phân cỏ chăn thả</v>
      </c>
      <c r="C1374" s="1076" t="str">
        <f>IFERROR(__xludf.DUMMYFUNCTION("""COMPUTED_VALUE"""),"XN Bò AD")</f>
        <v>XN Bò AD</v>
      </c>
      <c r="D1374" s="1076" t="str">
        <f>IFERROR(__xludf.DUMMYFUNCTION("""COMPUTED_VALUE"""),"THACO AGRI")</f>
        <v>THACO AGRI</v>
      </c>
      <c r="E1374" s="1076" t="str">
        <f>IFERROR(__xludf.DUMMYFUNCTION("""COMPUTED_VALUE"""),"Xưởng GCM CGH")</f>
        <v>Xưởng GCM CGH</v>
      </c>
      <c r="F1374" s="1076">
        <f>IFERROR(__xludf.DUMMYFUNCTION("""COMPUTED_VALUE"""),2026)</f>
        <v>2026</v>
      </c>
      <c r="G1374" s="1076" t="str">
        <f>IFERROR(__xludf.DUMMYFUNCTION("""COMPUTED_VALUE"""),"11 đĩa rạch")</f>
        <v>11 đĩa rạch</v>
      </c>
      <c r="H1374" s="1076" t="str">
        <f>IFERROR(__xludf.DUMMYFUNCTION("""COMPUTED_VALUE"""),"90 Hp")</f>
        <v>90 Hp</v>
      </c>
      <c r="I1374" s="1076"/>
      <c r="J1374" s="1076"/>
      <c r="K1374" s="1076"/>
      <c r="L1374" s="1076" t="str">
        <f>IFERROR(__xludf.DUMMYFUNCTION("""COMPUTED_VALUE"""),"KLH")</f>
        <v>KLH</v>
      </c>
    </row>
    <row r="1375" customHeight="1" spans="1:12">
      <c r="A1375" s="1076" t="str">
        <f>IFERROR(__xludf.DUMMYFUNCTION("""COMPUTED_VALUE"""),"XB1-DRC-003")</f>
        <v>XB1-DRC-003</v>
      </c>
      <c r="B1375" s="1075" t="str">
        <f>IFERROR(__xludf.DUMMYFUNCTION("""COMPUTED_VALUE"""),"Thiết bị rạch - tung phân cỏ chăn thả")</f>
        <v>Thiết bị rạch - tung phân cỏ chăn thả</v>
      </c>
      <c r="C1375" s="1076" t="str">
        <f>IFERROR(__xludf.DUMMYFUNCTION("""COMPUTED_VALUE"""),"XN Bò AD")</f>
        <v>XN Bò AD</v>
      </c>
      <c r="D1375" s="1076" t="str">
        <f>IFERROR(__xludf.DUMMYFUNCTION("""COMPUTED_VALUE"""),"THACO AGRI")</f>
        <v>THACO AGRI</v>
      </c>
      <c r="E1375" s="1076" t="str">
        <f>IFERROR(__xludf.DUMMYFUNCTION("""COMPUTED_VALUE"""),"Xưởng GCM CGH")</f>
        <v>Xưởng GCM CGH</v>
      </c>
      <c r="F1375" s="1076">
        <f>IFERROR(__xludf.DUMMYFUNCTION("""COMPUTED_VALUE"""),2026)</f>
        <v>2026</v>
      </c>
      <c r="G1375" s="1076" t="str">
        <f>IFERROR(__xludf.DUMMYFUNCTION("""COMPUTED_VALUE"""),"11 đĩa rạch")</f>
        <v>11 đĩa rạch</v>
      </c>
      <c r="H1375" s="1076" t="str">
        <f>IFERROR(__xludf.DUMMYFUNCTION("""COMPUTED_VALUE"""),"90 Hp")</f>
        <v>90 Hp</v>
      </c>
      <c r="I1375" s="1076"/>
      <c r="J1375" s="1076"/>
      <c r="K1375" s="1076"/>
      <c r="L1375" s="1076" t="str">
        <f>IFERROR(__xludf.DUMMYFUNCTION("""COMPUTED_VALUE"""),"KLH")</f>
        <v>KLH</v>
      </c>
    </row>
    <row r="1376" customHeight="1" spans="1:12">
      <c r="A1376" s="1076" t="str">
        <f>IFERROR(__xludf.DUMMYFUNCTION("""COMPUTED_VALUE"""),"XB1-DRC-004")</f>
        <v>XB1-DRC-004</v>
      </c>
      <c r="B1376" s="1075" t="str">
        <f>IFERROR(__xludf.DUMMYFUNCTION("""COMPUTED_VALUE"""),"Thiết bị rạch - tung phân cỏ chăn thả")</f>
        <v>Thiết bị rạch - tung phân cỏ chăn thả</v>
      </c>
      <c r="C1376" s="1076" t="str">
        <f>IFERROR(__xludf.DUMMYFUNCTION("""COMPUTED_VALUE"""),"XN Bò AD")</f>
        <v>XN Bò AD</v>
      </c>
      <c r="D1376" s="1076" t="str">
        <f>IFERROR(__xludf.DUMMYFUNCTION("""COMPUTED_VALUE"""),"THACO AGRI")</f>
        <v>THACO AGRI</v>
      </c>
      <c r="E1376" s="1076" t="str">
        <f>IFERROR(__xludf.DUMMYFUNCTION("""COMPUTED_VALUE"""),"Xưởng GCM CGH")</f>
        <v>Xưởng GCM CGH</v>
      </c>
      <c r="F1376" s="1076">
        <f>IFERROR(__xludf.DUMMYFUNCTION("""COMPUTED_VALUE"""),2026)</f>
        <v>2026</v>
      </c>
      <c r="G1376" s="1076" t="str">
        <f>IFERROR(__xludf.DUMMYFUNCTION("""COMPUTED_VALUE"""),"11 đĩa rạch")</f>
        <v>11 đĩa rạch</v>
      </c>
      <c r="H1376" s="1076" t="str">
        <f>IFERROR(__xludf.DUMMYFUNCTION("""COMPUTED_VALUE"""),"90 Hp")</f>
        <v>90 Hp</v>
      </c>
      <c r="I1376" s="1076"/>
      <c r="J1376" s="1076"/>
      <c r="K1376" s="1076"/>
      <c r="L1376" s="1076" t="str">
        <f>IFERROR(__xludf.DUMMYFUNCTION("""COMPUTED_VALUE"""),"KLH")</f>
        <v>KLH</v>
      </c>
    </row>
    <row r="1377" customHeight="1" spans="1:12">
      <c r="A1377" s="1076" t="str">
        <f>IFERROR(__xludf.DUMMYFUNCTION("""COMPUTED_VALUE"""),"XB1-DRC-005")</f>
        <v>XB1-DRC-005</v>
      </c>
      <c r="B1377" s="1075" t="str">
        <f>IFERROR(__xludf.DUMMYFUNCTION("""COMPUTED_VALUE"""),"Thiết bị rạch - tung phân cỏ chăn thả")</f>
        <v>Thiết bị rạch - tung phân cỏ chăn thả</v>
      </c>
      <c r="C1377" s="1076" t="str">
        <f>IFERROR(__xludf.DUMMYFUNCTION("""COMPUTED_VALUE"""),"XN Bò AD")</f>
        <v>XN Bò AD</v>
      </c>
      <c r="D1377" s="1076" t="str">
        <f>IFERROR(__xludf.DUMMYFUNCTION("""COMPUTED_VALUE"""),"THACO AGRI")</f>
        <v>THACO AGRI</v>
      </c>
      <c r="E1377" s="1076" t="str">
        <f>IFERROR(__xludf.DUMMYFUNCTION("""COMPUTED_VALUE"""),"Xưởng GCM CGH")</f>
        <v>Xưởng GCM CGH</v>
      </c>
      <c r="F1377" s="1076">
        <f>IFERROR(__xludf.DUMMYFUNCTION("""COMPUTED_VALUE"""),2026)</f>
        <v>2026</v>
      </c>
      <c r="G1377" s="1076" t="str">
        <f>IFERROR(__xludf.DUMMYFUNCTION("""COMPUTED_VALUE"""),"11 đĩa rạch")</f>
        <v>11 đĩa rạch</v>
      </c>
      <c r="H1377" s="1076" t="str">
        <f>IFERROR(__xludf.DUMMYFUNCTION("""COMPUTED_VALUE"""),"90 Hp")</f>
        <v>90 Hp</v>
      </c>
      <c r="I1377" s="1076"/>
      <c r="J1377" s="1076"/>
      <c r="K1377" s="1076"/>
      <c r="L1377" s="1076" t="str">
        <f>IFERROR(__xludf.DUMMYFUNCTION("""COMPUTED_VALUE"""),"KLH")</f>
        <v>KLH</v>
      </c>
    </row>
    <row r="1378" customHeight="1" spans="1:12">
      <c r="A1378" s="1076" t="str">
        <f>IFERROR(__xludf.DUMMYFUNCTION("""COMPUTED_VALUE"""),"XB1-RRP-001")</f>
        <v>XB1-RRP-001</v>
      </c>
      <c r="B1378" s="1075" t="str">
        <f>IFERROR(__xludf.DUMMYFUNCTION("""COMPUTED_VALUE"""),"Thiết bị rạch - rải phân cỏ tập trung")</f>
        <v>Thiết bị rạch - rải phân cỏ tập trung</v>
      </c>
      <c r="C1378" s="1076" t="str">
        <f>IFERROR(__xludf.DUMMYFUNCTION("""COMPUTED_VALUE"""),"XN Bò AD")</f>
        <v>XN Bò AD</v>
      </c>
      <c r="D1378" s="1076" t="str">
        <f>IFERROR(__xludf.DUMMYFUNCTION("""COMPUTED_VALUE"""),"THACO AGRI")</f>
        <v>THACO AGRI</v>
      </c>
      <c r="E1378" s="1076" t="str">
        <f>IFERROR(__xludf.DUMMYFUNCTION("""COMPUTED_VALUE"""),"Xưởng GCM CGH")</f>
        <v>Xưởng GCM CGH</v>
      </c>
      <c r="F1378" s="1076">
        <f>IFERROR(__xludf.DUMMYFUNCTION("""COMPUTED_VALUE"""),2026)</f>
        <v>2026</v>
      </c>
      <c r="G1378" s="1076" t="str">
        <f>IFERROR(__xludf.DUMMYFUNCTION("""COMPUTED_VALUE"""),"1 đĩa 2 răng rạch")</f>
        <v>1 đĩa 2 răng rạch</v>
      </c>
      <c r="H1378" s="1076" t="str">
        <f>IFERROR(__xludf.DUMMYFUNCTION("""COMPUTED_VALUE"""),"90 Hp")</f>
        <v>90 Hp</v>
      </c>
      <c r="I1378" s="1076"/>
      <c r="J1378" s="1076"/>
      <c r="K1378" s="1076"/>
      <c r="L1378" s="1076" t="str">
        <f>IFERROR(__xludf.DUMMYFUNCTION("""COMPUTED_VALUE"""),"KLH")</f>
        <v>KLH</v>
      </c>
    </row>
    <row r="1379" customHeight="1" spans="1:12">
      <c r="A1379" s="1076" t="str">
        <f>IFERROR(__xludf.DUMMYFUNCTION("""COMPUTED_VALUE"""),"XB1-RRP-002")</f>
        <v>XB1-RRP-002</v>
      </c>
      <c r="B1379" s="1075" t="str">
        <f>IFERROR(__xludf.DUMMYFUNCTION("""COMPUTED_VALUE"""),"Thiết bị rạch - rải phân cỏ tập trung")</f>
        <v>Thiết bị rạch - rải phân cỏ tập trung</v>
      </c>
      <c r="C1379" s="1076" t="str">
        <f>IFERROR(__xludf.DUMMYFUNCTION("""COMPUTED_VALUE"""),"XN Bò AD")</f>
        <v>XN Bò AD</v>
      </c>
      <c r="D1379" s="1076" t="str">
        <f>IFERROR(__xludf.DUMMYFUNCTION("""COMPUTED_VALUE"""),"THACO AGRI")</f>
        <v>THACO AGRI</v>
      </c>
      <c r="E1379" s="1076" t="str">
        <f>IFERROR(__xludf.DUMMYFUNCTION("""COMPUTED_VALUE"""),"Xưởng GCM CGH")</f>
        <v>Xưởng GCM CGH</v>
      </c>
      <c r="F1379" s="1076">
        <f>IFERROR(__xludf.DUMMYFUNCTION("""COMPUTED_VALUE"""),2026)</f>
        <v>2026</v>
      </c>
      <c r="G1379" s="1076" t="str">
        <f>IFERROR(__xludf.DUMMYFUNCTION("""COMPUTED_VALUE"""),"1 đĩa 2 răng rạch")</f>
        <v>1 đĩa 2 răng rạch</v>
      </c>
      <c r="H1379" s="1076" t="str">
        <f>IFERROR(__xludf.DUMMYFUNCTION("""COMPUTED_VALUE"""),"90 Hp")</f>
        <v>90 Hp</v>
      </c>
      <c r="I1379" s="1076"/>
      <c r="J1379" s="1076"/>
      <c r="K1379" s="1076"/>
      <c r="L1379" s="1076"/>
    </row>
    <row r="1380" customHeight="1" spans="1:12">
      <c r="A1380" s="1076" t="str">
        <f>IFERROR(__xludf.DUMMYFUNCTION("""COMPUTED_VALUE"""),"XB1-TGC-001")</f>
        <v>XB1-TGC-001</v>
      </c>
      <c r="B1380" s="1075" t="str">
        <f>IFERROR(__xludf.DUMMYFUNCTION("""COMPUTED_VALUE"""),"Thiết bị tề gốc cỏ 3.5m")</f>
        <v>Thiết bị tề gốc cỏ 3.5m</v>
      </c>
      <c r="C1380" s="1076" t="str">
        <f>IFERROR(__xludf.DUMMYFUNCTION("""COMPUTED_VALUE"""),"XN Bò AD")</f>
        <v>XN Bò AD</v>
      </c>
      <c r="D1380" s="1076"/>
      <c r="E1380" s="1076" t="str">
        <f>IFERROR(__xludf.DUMMYFUNCTION("""COMPUTED_VALUE"""),"CHINA")</f>
        <v>CHINA</v>
      </c>
      <c r="F1380" s="1076">
        <f>IFERROR(__xludf.DUMMYFUNCTION("""COMPUTED_VALUE"""),2026)</f>
        <v>2026</v>
      </c>
      <c r="G1380" s="1076" t="str">
        <f>IFERROR(__xludf.DUMMYFUNCTION("""COMPUTED_VALUE"""),"9GXZ-3.5")</f>
        <v>9GXZ-3.5</v>
      </c>
      <c r="H1380" s="1076" t="str">
        <f>IFERROR(__xludf.DUMMYFUNCTION("""COMPUTED_VALUE"""),"100~150 Hp")</f>
        <v>100~150 Hp</v>
      </c>
      <c r="I1380" s="1076" t="str">
        <f>IFERROR(__xludf.DUMMYFUNCTION("""COMPUTED_VALUE"""),"XYJXCK-9GXZ-3.5-003")</f>
        <v>XYJXCK-9GXZ-3.5-003</v>
      </c>
      <c r="J1380" s="1076"/>
      <c r="K1380" s="1076"/>
      <c r="L1380" s="1076"/>
    </row>
    <row r="1381" customHeight="1" spans="1:12">
      <c r="A1381" s="1076" t="str">
        <f>IFERROR(__xludf.DUMMYFUNCTION("""COMPUTED_VALUE"""),"GIAO NHẬN VẬN CHUYẺN")</f>
        <v>GIAO NHẬN VẬN CHUYẺN</v>
      </c>
      <c r="B1381" s="1075"/>
      <c r="C1381" s="1076"/>
      <c r="D1381" s="1076"/>
      <c r="E1381" s="1076"/>
      <c r="F1381" s="1076"/>
      <c r="G1381" s="1076"/>
      <c r="H1381" s="1076"/>
      <c r="I1381" s="1076"/>
      <c r="J1381" s="1076"/>
      <c r="K1381" s="1076"/>
      <c r="L1381" s="1076"/>
    </row>
    <row r="1382" customHeight="1" spans="1:12">
      <c r="A1382" s="1076" t="str">
        <f>IFERROR(__xludf.DUMMYFUNCTION("""COMPUTED_VALUE"""),"TND-RML-001")</f>
        <v>TND-RML-001</v>
      </c>
      <c r="B1382" s="1075" t="str">
        <f>IFERROR(__xludf.DUMMYFUNCTION("""COMPUTED_VALUE"""),"SMRM LCD")</f>
        <v>SMRM LCD</v>
      </c>
      <c r="C1382" s="1076" t="str">
        <f>IFERROR(__xludf.DUMMYFUNCTION("""COMPUTED_VALUE"""),"Phòng GNVC")</f>
        <v>Phòng GNVC</v>
      </c>
      <c r="D1382" s="1076" t="str">
        <f>IFERROR(__xludf.DUMMYFUNCTION("""COMPUTED_VALUE"""),"CAMBODIA")</f>
        <v>CAMBODIA</v>
      </c>
      <c r="E1382" s="1076" t="str">
        <f>IFERROR(__xludf.DUMMYFUNCTION("""COMPUTED_VALUE"""),"Mooc LCD 2T")</f>
        <v>Mooc LCD 2T</v>
      </c>
      <c r="F1382" s="1076"/>
      <c r="G1382" s="1076"/>
      <c r="H1382" s="1076"/>
      <c r="I1382" s="1076" t="str">
        <f>IFERROR(__xludf.DUMMYFUNCTION("""COMPUTED_VALUE"""),"RN0PD230AKC000913")</f>
        <v>RN0PD230AKC000913</v>
      </c>
      <c r="J1382" s="1076"/>
      <c r="K1382" s="1076"/>
      <c r="L1382" s="1076"/>
    </row>
    <row r="1383" customHeight="1" spans="1:12">
      <c r="A1383" s="1076" t="str">
        <f>IFERROR(__xludf.DUMMYFUNCTION("""COMPUTED_VALUE"""),"TND-RML-003")</f>
        <v>TND-RML-003</v>
      </c>
      <c r="B1383" s="1075" t="str">
        <f>IFERROR(__xludf.DUMMYFUNCTION("""COMPUTED_VALUE"""),"SMRM LCD")</f>
        <v>SMRM LCD</v>
      </c>
      <c r="C1383" s="1076" t="str">
        <f>IFERROR(__xludf.DUMMYFUNCTION("""COMPUTED_VALUE"""),"Phòng GNVC")</f>
        <v>Phòng GNVC</v>
      </c>
      <c r="D1383" s="1076" t="str">
        <f>IFERROR(__xludf.DUMMYFUNCTION("""COMPUTED_VALUE"""),"CAMBODIA")</f>
        <v>CAMBODIA</v>
      </c>
      <c r="E1383" s="1076" t="str">
        <f>IFERROR(__xludf.DUMMYFUNCTION("""COMPUTED_VALUE"""),"Mooc LCD 2T")</f>
        <v>Mooc LCD 2T</v>
      </c>
      <c r="F1383" s="1076"/>
      <c r="G1383" s="1076"/>
      <c r="H1383" s="1076"/>
      <c r="I1383" s="1076" t="str">
        <f>IFERROR(__xludf.DUMMYFUNCTION("""COMPUTED_VALUE"""),"RN0PD230AKC000920")</f>
        <v>RN0PD230AKC000920</v>
      </c>
      <c r="J1383" s="1076"/>
      <c r="K1383" s="1076"/>
      <c r="L1383" s="1076"/>
    </row>
    <row r="1384" customHeight="1" spans="1:12">
      <c r="A1384" s="1076" t="str">
        <f>IFERROR(__xludf.DUMMYFUNCTION("""COMPUTED_VALUE"""),"TND-RML-005")</f>
        <v>TND-RML-005</v>
      </c>
      <c r="B1384" s="1075" t="str">
        <f>IFERROR(__xludf.DUMMYFUNCTION("""COMPUTED_VALUE"""),"SMRM LCD")</f>
        <v>SMRM LCD</v>
      </c>
      <c r="C1384" s="1076" t="str">
        <f>IFERROR(__xludf.DUMMYFUNCTION("""COMPUTED_VALUE"""),"Phòng GNVC")</f>
        <v>Phòng GNVC</v>
      </c>
      <c r="D1384" s="1076" t="str">
        <f>IFERROR(__xludf.DUMMYFUNCTION("""COMPUTED_VALUE"""),"CAMBODIA")</f>
        <v>CAMBODIA</v>
      </c>
      <c r="E1384" s="1076" t="str">
        <f>IFERROR(__xludf.DUMMYFUNCTION("""COMPUTED_VALUE"""),"Mooc LCD 2T")</f>
        <v>Mooc LCD 2T</v>
      </c>
      <c r="F1384" s="1076"/>
      <c r="G1384" s="1076"/>
      <c r="H1384" s="1076"/>
      <c r="I1384" s="1076" t="str">
        <f>IFERROR(__xludf.DUMMYFUNCTION("""COMPUTED_VALUE"""),"RN0PD230AKC000915")</f>
        <v>RN0PD230AKC000915</v>
      </c>
      <c r="J1384" s="1076"/>
      <c r="K1384" s="1076"/>
      <c r="L1384" s="1076"/>
    </row>
    <row r="1385" customHeight="1" spans="1:12">
      <c r="A1385" s="1076" t="str">
        <f>IFERROR(__xludf.DUMMYFUNCTION("""COMPUTED_VALUE"""),"TND-RML-006")</f>
        <v>TND-RML-006</v>
      </c>
      <c r="B1385" s="1075" t="str">
        <f>IFERROR(__xludf.DUMMYFUNCTION("""COMPUTED_VALUE"""),"SMRM LCD")</f>
        <v>SMRM LCD</v>
      </c>
      <c r="C1385" s="1076" t="str">
        <f>IFERROR(__xludf.DUMMYFUNCTION("""COMPUTED_VALUE"""),"Phòng GNVC")</f>
        <v>Phòng GNVC</v>
      </c>
      <c r="D1385" s="1076" t="str">
        <f>IFERROR(__xludf.DUMMYFUNCTION("""COMPUTED_VALUE"""),"CAMBODIA")</f>
        <v>CAMBODIA</v>
      </c>
      <c r="E1385" s="1076" t="str">
        <f>IFERROR(__xludf.DUMMYFUNCTION("""COMPUTED_VALUE"""),"Mooc LCD 2T")</f>
        <v>Mooc LCD 2T</v>
      </c>
      <c r="F1385" s="1076"/>
      <c r="G1385" s="1076"/>
      <c r="H1385" s="1076"/>
      <c r="I1385" s="1076" t="str">
        <f>IFERROR(__xludf.DUMMYFUNCTION("""COMPUTED_VALUE"""),"RN0PD230AKC000918")</f>
        <v>RN0PD230AKC000918</v>
      </c>
      <c r="J1385" s="1076"/>
      <c r="K1385" s="1076"/>
      <c r="L1385" s="1076"/>
    </row>
    <row r="1386" customHeight="1" spans="1:12">
      <c r="A1386" s="1076" t="str">
        <f>IFERROR(__xludf.DUMMYFUNCTION("""COMPUTED_VALUE"""),"TND-RML-007")</f>
        <v>TND-RML-007</v>
      </c>
      <c r="B1386" s="1075" t="str">
        <f>IFERROR(__xludf.DUMMYFUNCTION("""COMPUTED_VALUE"""),"SMRM LCD")</f>
        <v>SMRM LCD</v>
      </c>
      <c r="C1386" s="1076" t="str">
        <f>IFERROR(__xludf.DUMMYFUNCTION("""COMPUTED_VALUE"""),"Phòng GNVC")</f>
        <v>Phòng GNVC</v>
      </c>
      <c r="D1386" s="1076" t="str">
        <f>IFERROR(__xludf.DUMMYFUNCTION("""COMPUTED_VALUE"""),"CAMBODIA")</f>
        <v>CAMBODIA</v>
      </c>
      <c r="E1386" s="1076" t="str">
        <f>IFERROR(__xludf.DUMMYFUNCTION("""COMPUTED_VALUE"""),"Mooc LCD 2T")</f>
        <v>Mooc LCD 2T</v>
      </c>
      <c r="F1386" s="1076"/>
      <c r="G1386" s="1076"/>
      <c r="H1386" s="1076"/>
      <c r="I1386" s="1076" t="str">
        <f>IFERROR(__xludf.DUMMYFUNCTION("""COMPUTED_VALUE"""),"RN0PD230AKC000904")</f>
        <v>RN0PD230AKC000904</v>
      </c>
      <c r="J1386" s="1076"/>
      <c r="K1386" s="1076"/>
      <c r="L1386" s="1076"/>
    </row>
    <row r="1387" customHeight="1" spans="1:12">
      <c r="A1387" s="1076" t="str">
        <f>IFERROR(__xludf.DUMMYFUNCTION("""COMPUTED_VALUE"""),"TND-RML-008")</f>
        <v>TND-RML-008</v>
      </c>
      <c r="B1387" s="1075" t="str">
        <f>IFERROR(__xludf.DUMMYFUNCTION("""COMPUTED_VALUE"""),"SMRM LCD")</f>
        <v>SMRM LCD</v>
      </c>
      <c r="C1387" s="1076" t="str">
        <f>IFERROR(__xludf.DUMMYFUNCTION("""COMPUTED_VALUE"""),"Phòng GNVC")</f>
        <v>Phòng GNVC</v>
      </c>
      <c r="D1387" s="1076" t="str">
        <f>IFERROR(__xludf.DUMMYFUNCTION("""COMPUTED_VALUE"""),"CAMBODIA")</f>
        <v>CAMBODIA</v>
      </c>
      <c r="E1387" s="1076" t="str">
        <f>IFERROR(__xludf.DUMMYFUNCTION("""COMPUTED_VALUE"""),"Mooc LCD 2T")</f>
        <v>Mooc LCD 2T</v>
      </c>
      <c r="F1387" s="1076"/>
      <c r="G1387" s="1076"/>
      <c r="H1387" s="1076"/>
      <c r="I1387" s="1076" t="str">
        <f>IFERROR(__xludf.DUMMYFUNCTION("""COMPUTED_VALUE"""),"RN0PD230AKC000926")</f>
        <v>RN0PD230AKC000926</v>
      </c>
      <c r="J1387" s="1076"/>
      <c r="K1387" s="1076"/>
      <c r="L1387" s="1076"/>
    </row>
    <row r="1388" customHeight="1" spans="1:12">
      <c r="A1388" s="1076" t="str">
        <f>IFERROR(__xludf.DUMMYFUNCTION("""COMPUTED_VALUE"""),"TND-RML-009")</f>
        <v>TND-RML-009</v>
      </c>
      <c r="B1388" s="1075" t="str">
        <f>IFERROR(__xludf.DUMMYFUNCTION("""COMPUTED_VALUE"""),"SMRM LCD")</f>
        <v>SMRM LCD</v>
      </c>
      <c r="C1388" s="1076" t="str">
        <f>IFERROR(__xludf.DUMMYFUNCTION("""COMPUTED_VALUE"""),"Phòng GNVC")</f>
        <v>Phòng GNVC</v>
      </c>
      <c r="D1388" s="1076" t="str">
        <f>IFERROR(__xludf.DUMMYFUNCTION("""COMPUTED_VALUE"""),"CAMBODIA")</f>
        <v>CAMBODIA</v>
      </c>
      <c r="E1388" s="1076" t="str">
        <f>IFERROR(__xludf.DUMMYFUNCTION("""COMPUTED_VALUE"""),"Mooc LCD 2T")</f>
        <v>Mooc LCD 2T</v>
      </c>
      <c r="F1388" s="1076"/>
      <c r="G1388" s="1076"/>
      <c r="H1388" s="1076"/>
      <c r="I1388" s="1076" t="str">
        <f>IFERROR(__xludf.DUMMYFUNCTION("""COMPUTED_VALUE"""),"RN0PD230AKC000927")</f>
        <v>RN0PD230AKC000927</v>
      </c>
      <c r="J1388" s="1076"/>
      <c r="K1388" s="1076"/>
      <c r="L1388" s="1076"/>
    </row>
    <row r="1389" customHeight="1" spans="1:12">
      <c r="A1389" s="1076" t="str">
        <f>IFERROR(__xludf.DUMMYFUNCTION("""COMPUTED_VALUE"""),"TND-RML-014")</f>
        <v>TND-RML-014</v>
      </c>
      <c r="B1389" s="1075" t="str">
        <f>IFERROR(__xludf.DUMMYFUNCTION("""COMPUTED_VALUE"""),"SMRM xương sàn/mooc OPT")</f>
        <v>SMRM xương sàn/mooc OPT</v>
      </c>
      <c r="C1389" s="1076" t="str">
        <f>IFERROR(__xludf.DUMMYFUNCTION("""COMPUTED_VALUE"""),"Phòng GNVC")</f>
        <v>Phòng GNVC</v>
      </c>
      <c r="D1389" s="1076" t="str">
        <f>IFERROR(__xludf.DUMMYFUNCTION("""COMPUTED_VALUE"""),"CAMBODIA")</f>
        <v>CAMBODIA</v>
      </c>
      <c r="E1389" s="1076" t="str">
        <f>IFERROR(__xludf.DUMMYFUNCTION("""COMPUTED_VALUE"""),"SMRM 3T")</f>
        <v>SMRM 3T</v>
      </c>
      <c r="F1389" s="1076"/>
      <c r="G1389" s="1076"/>
      <c r="H1389" s="1076"/>
      <c r="I1389" s="1076" t="str">
        <f>IFERROR(__xludf.DUMMYFUNCTION("""COMPUTED_VALUE"""),"RN0P3800AFC063963")</f>
        <v>RN0P3800AFC063963</v>
      </c>
      <c r="J1389" s="1076"/>
      <c r="K1389" s="1076"/>
      <c r="L1389" s="1076"/>
    </row>
    <row r="1390" customHeight="1" spans="1:12">
      <c r="A1390" s="1076" t="str">
        <f>IFERROR(__xludf.DUMMYFUNCTION("""COMPUTED_VALUE"""),"TND-RML-015")</f>
        <v>TND-RML-015</v>
      </c>
      <c r="B1390" s="1075" t="str">
        <f>IFERROR(__xludf.DUMMYFUNCTION("""COMPUTED_VALUE"""),"SMRM xương sàn/mooc OPT")</f>
        <v>SMRM xương sàn/mooc OPT</v>
      </c>
      <c r="C1390" s="1076" t="str">
        <f>IFERROR(__xludf.DUMMYFUNCTION("""COMPUTED_VALUE"""),"Phòng GNVC")</f>
        <v>Phòng GNVC</v>
      </c>
      <c r="D1390" s="1076" t="str">
        <f>IFERROR(__xludf.DUMMYFUNCTION("""COMPUTED_VALUE"""),"CAMBODIA")</f>
        <v>CAMBODIA</v>
      </c>
      <c r="E1390" s="1076" t="str">
        <f>IFERROR(__xludf.DUMMYFUNCTION("""COMPUTED_VALUE"""),"SMRM 2T")</f>
        <v>SMRM 2T</v>
      </c>
      <c r="F1390" s="1076"/>
      <c r="G1390" s="1076"/>
      <c r="H1390" s="1076"/>
      <c r="I1390" s="1076" t="str">
        <f>IFERROR(__xludf.DUMMYFUNCTION("""COMPUTED_VALUE"""),"RN0AA232AKC000909")</f>
        <v>RN0AA232AKC000909</v>
      </c>
      <c r="J1390" s="1076"/>
      <c r="K1390" s="1076"/>
      <c r="L1390" s="1076"/>
    </row>
    <row r="1391" customHeight="1" spans="1:12">
      <c r="A1391" s="1076" t="str">
        <f>IFERROR(__xludf.DUMMYFUNCTION("""COMPUTED_VALUE"""),"TND-RML-017")</f>
        <v>TND-RML-017</v>
      </c>
      <c r="B1391" s="1075" t="str">
        <f>IFERROR(__xludf.DUMMYFUNCTION("""COMPUTED_VALUE"""),"SMRM LCD")</f>
        <v>SMRM LCD</v>
      </c>
      <c r="C1391" s="1076" t="str">
        <f>IFERROR(__xludf.DUMMYFUNCTION("""COMPUTED_VALUE"""),"Phòng GNVC")</f>
        <v>Phòng GNVC</v>
      </c>
      <c r="D1391" s="1076" t="str">
        <f>IFERROR(__xludf.DUMMYFUNCTION("""COMPUTED_VALUE"""),"CAMBODIA")</f>
        <v>CAMBODIA</v>
      </c>
      <c r="E1391" s="1076" t="str">
        <f>IFERROR(__xludf.DUMMYFUNCTION("""COMPUTED_VALUE"""),"Mooc LCD 2T")</f>
        <v>Mooc LCD 2T</v>
      </c>
      <c r="F1391" s="1076"/>
      <c r="G1391" s="1076"/>
      <c r="H1391" s="1076"/>
      <c r="I1391" s="1076" t="str">
        <f>IFERROR(__xludf.DUMMYFUNCTION("""COMPUTED_VALUE"""),"RN0PD230AKC000928")</f>
        <v>RN0PD230AKC000928</v>
      </c>
      <c r="J1391" s="1076"/>
      <c r="K1391" s="1076"/>
      <c r="L1391" s="1076"/>
    </row>
    <row r="1392" customHeight="1" spans="1:12">
      <c r="A1392" s="1076" t="str">
        <f>IFERROR(__xludf.DUMMYFUNCTION("""COMPUTED_VALUE"""),"TND-RML-020")</f>
        <v>TND-RML-020</v>
      </c>
      <c r="B1392" s="1075" t="str">
        <f>IFERROR(__xludf.DUMMYFUNCTION("""COMPUTED_VALUE"""),"SMRM xương sàn/mooc OPT")</f>
        <v>SMRM xương sàn/mooc OPT</v>
      </c>
      <c r="C1392" s="1076" t="str">
        <f>IFERROR(__xludf.DUMMYFUNCTION("""COMPUTED_VALUE"""),"Phòng GNVC")</f>
        <v>Phòng GNVC</v>
      </c>
      <c r="D1392" s="1076" t="str">
        <f>IFERROR(__xludf.DUMMYFUNCTION("""COMPUTED_VALUE"""),"CAMBODIA")</f>
        <v>CAMBODIA</v>
      </c>
      <c r="E1392" s="1076" t="str">
        <f>IFERROR(__xludf.DUMMYFUNCTION("""COMPUTED_VALUE"""),"SMRM 2T")</f>
        <v>SMRM 2T</v>
      </c>
      <c r="F1392" s="1076"/>
      <c r="G1392" s="1076"/>
      <c r="H1392" s="1076"/>
      <c r="I1392" s="1076" t="str">
        <f>IFERROR(__xludf.DUMMYFUNCTION("""COMPUTED_VALUE"""),"RN0AA232AKC000911")</f>
        <v>RN0AA232AKC000911</v>
      </c>
      <c r="J1392" s="1076"/>
      <c r="K1392" s="1076"/>
      <c r="L1392" s="1076"/>
    </row>
    <row r="1393" customHeight="1" spans="1:12">
      <c r="A1393" s="1076" t="str">
        <f>IFERROR(__xludf.DUMMYFUNCTION("""COMPUTED_VALUE"""),"TND-RML-021")</f>
        <v>TND-RML-021</v>
      </c>
      <c r="B1393" s="1075" t="str">
        <f>IFERROR(__xludf.DUMMYFUNCTION("""COMPUTED_VALUE"""),"SMRM xương sàn/mooc OPT")</f>
        <v>SMRM xương sàn/mooc OPT</v>
      </c>
      <c r="C1393" s="1076" t="str">
        <f>IFERROR(__xludf.DUMMYFUNCTION("""COMPUTED_VALUE"""),"Phòng GNVC")</f>
        <v>Phòng GNVC</v>
      </c>
      <c r="D1393" s="1076" t="str">
        <f>IFERROR(__xludf.DUMMYFUNCTION("""COMPUTED_VALUE"""),"CAMBODIA")</f>
        <v>CAMBODIA</v>
      </c>
      <c r="E1393" s="1076" t="str">
        <f>IFERROR(__xludf.DUMMYFUNCTION("""COMPUTED_VALUE"""),"SMRM 3T")</f>
        <v>SMRM 3T</v>
      </c>
      <c r="F1393" s="1076"/>
      <c r="G1393" s="1076"/>
      <c r="H1393" s="1076"/>
      <c r="I1393" s="1076" t="str">
        <f>IFERROR(__xludf.DUMMYFUNCTION("""COMPUTED_VALUE"""),"RN0AA339DJC000778")</f>
        <v>RN0AA339DJC000778</v>
      </c>
      <c r="J1393" s="1076"/>
      <c r="K1393" s="1076"/>
      <c r="L1393" s="1076"/>
    </row>
    <row r="1394" customHeight="1" spans="1:12">
      <c r="A1394" s="1076" t="str">
        <f>IFERROR(__xludf.DUMMYFUNCTION("""COMPUTED_VALUE"""),"TND-RML-022")</f>
        <v>TND-RML-022</v>
      </c>
      <c r="B1394" s="1075" t="str">
        <f>IFERROR(__xludf.DUMMYFUNCTION("""COMPUTED_VALUE"""),"SMRM xương sàn/mooc OPT")</f>
        <v>SMRM xương sàn/mooc OPT</v>
      </c>
      <c r="C1394" s="1076" t="str">
        <f>IFERROR(__xludf.DUMMYFUNCTION("""COMPUTED_VALUE"""),"Phòng GNVC")</f>
        <v>Phòng GNVC</v>
      </c>
      <c r="D1394" s="1076" t="str">
        <f>IFERROR(__xludf.DUMMYFUNCTION("""COMPUTED_VALUE"""),"CAMBODIA")</f>
        <v>CAMBODIA</v>
      </c>
      <c r="E1394" s="1076" t="str">
        <f>IFERROR(__xludf.DUMMYFUNCTION("""COMPUTED_VALUE"""),"SMRM 3T")</f>
        <v>SMRM 3T</v>
      </c>
      <c r="F1394" s="1076"/>
      <c r="G1394" s="1076"/>
      <c r="H1394" s="1076"/>
      <c r="I1394" s="1076" t="str">
        <f>IFERROR(__xludf.DUMMYFUNCTION("""COMPUTED_VALUE"""),"RN0AA339DJC000777")</f>
        <v>RN0AA339DJC000777</v>
      </c>
      <c r="J1394" s="1076"/>
      <c r="K1394" s="1076"/>
      <c r="L1394" s="1076"/>
    </row>
    <row r="1395" customHeight="1" spans="1:12">
      <c r="A1395" s="1076" t="str">
        <f>IFERROR(__xludf.DUMMYFUNCTION("""COMPUTED_VALUE"""),"TND-RML-023")</f>
        <v>TND-RML-023</v>
      </c>
      <c r="B1395" s="1075" t="str">
        <f>IFERROR(__xludf.DUMMYFUNCTION("""COMPUTED_VALUE"""),"SMRM xương sàn/mooc OPT")</f>
        <v>SMRM xương sàn/mooc OPT</v>
      </c>
      <c r="C1395" s="1076" t="str">
        <f>IFERROR(__xludf.DUMMYFUNCTION("""COMPUTED_VALUE"""),"Phòng GNVC")</f>
        <v>Phòng GNVC</v>
      </c>
      <c r="D1395" s="1076" t="str">
        <f>IFERROR(__xludf.DUMMYFUNCTION("""COMPUTED_VALUE"""),"CAMBODIA")</f>
        <v>CAMBODIA</v>
      </c>
      <c r="E1395" s="1076" t="str">
        <f>IFERROR(__xludf.DUMMYFUNCTION("""COMPUTED_VALUE"""),"SMRM 3T")</f>
        <v>SMRM 3T</v>
      </c>
      <c r="F1395" s="1076"/>
      <c r="G1395" s="1076"/>
      <c r="H1395" s="1076"/>
      <c r="I1395" s="1076" t="str">
        <f>IFERROR(__xludf.DUMMYFUNCTION("""COMPUTED_VALUE"""),"RNHR3910AGC063968")</f>
        <v>RNHR3910AGC063968</v>
      </c>
      <c r="J1395" s="1076"/>
      <c r="K1395" s="1076"/>
      <c r="L1395" s="1076"/>
    </row>
    <row r="1396" customHeight="1" spans="1:12">
      <c r="A1396" s="1076" t="str">
        <f>IFERROR(__xludf.DUMMYFUNCTION("""COMPUTED_VALUE"""),"TND-RML-024")</f>
        <v>TND-RML-024</v>
      </c>
      <c r="B1396" s="1075" t="str">
        <f>IFERROR(__xludf.DUMMYFUNCTION("""COMPUTED_VALUE"""),"SMRM LCD")</f>
        <v>SMRM LCD</v>
      </c>
      <c r="C1396" s="1076" t="str">
        <f>IFERROR(__xludf.DUMMYFUNCTION("""COMPUTED_VALUE"""),"Phòng GNVC")</f>
        <v>Phòng GNVC</v>
      </c>
      <c r="D1396" s="1076"/>
      <c r="E1396" s="1076" t="str">
        <f>IFERROR(__xludf.DUMMYFUNCTION("""COMPUTED_VALUE"""),"SMRM 3T")</f>
        <v>SMRM 3T</v>
      </c>
      <c r="F1396" s="1076"/>
      <c r="G1396" s="1076"/>
      <c r="H1396" s="1076"/>
      <c r="I1396" s="1076" t="str">
        <f>IFERROR(__xludf.DUMMYFUNCTION("""COMPUTED_VALUE"""),"RN0PD230AKC000973")</f>
        <v>RN0PD230AKC000973</v>
      </c>
      <c r="J1396" s="1076"/>
      <c r="K1396" s="1076"/>
      <c r="L1396" s="1076"/>
    </row>
    <row r="1397" customHeight="1" spans="1:12">
      <c r="A1397" s="1076" t="str">
        <f>IFERROR(__xludf.DUMMYFUNCTION("""COMPUTED_VALUE"""),"TND-RML-025")</f>
        <v>TND-RML-025</v>
      </c>
      <c r="B1397" s="1075" t="str">
        <f>IFERROR(__xludf.DUMMYFUNCTION("""COMPUTED_VALUE"""),"SMRM LCD")</f>
        <v>SMRM LCD</v>
      </c>
      <c r="C1397" s="1076" t="str">
        <f>IFERROR(__xludf.DUMMYFUNCTION("""COMPUTED_VALUE"""),"Phòng GNVC")</f>
        <v>Phòng GNVC</v>
      </c>
      <c r="D1397" s="1076"/>
      <c r="E1397" s="1076" t="str">
        <f>IFERROR(__xludf.DUMMYFUNCTION("""COMPUTED_VALUE"""),"SMRM 3T")</f>
        <v>SMRM 3T</v>
      </c>
      <c r="F1397" s="1076"/>
      <c r="G1397" s="1076"/>
      <c r="H1397" s="1076"/>
      <c r="I1397" s="1076" t="str">
        <f>IFERROR(__xludf.DUMMYFUNCTION("""COMPUTED_VALUE"""),"RN0PD230AKC000929")</f>
        <v>RN0PD230AKC000929</v>
      </c>
      <c r="J1397" s="1076"/>
      <c r="K1397" s="1076"/>
      <c r="L1397" s="1076"/>
    </row>
    <row r="1398" customHeight="1" spans="1:12">
      <c r="A1398" s="1076" t="str">
        <f>IFERROR(__xludf.DUMMYFUNCTION("""COMPUTED_VALUE"""),"TND-RML-026")</f>
        <v>TND-RML-026</v>
      </c>
      <c r="B1398" s="1075" t="str">
        <f>IFERROR(__xludf.DUMMYFUNCTION("""COMPUTED_VALUE"""),"SMRM LCD")</f>
        <v>SMRM LCD</v>
      </c>
      <c r="C1398" s="1076" t="str">
        <f>IFERROR(__xludf.DUMMYFUNCTION("""COMPUTED_VALUE"""),"Phòng GNVC")</f>
        <v>Phòng GNVC</v>
      </c>
      <c r="D1398" s="1076"/>
      <c r="E1398" s="1076" t="str">
        <f>IFERROR(__xludf.DUMMYFUNCTION("""COMPUTED_VALUE"""),"SMRM 2T")</f>
        <v>SMRM 2T</v>
      </c>
      <c r="F1398" s="1076"/>
      <c r="G1398" s="1076"/>
      <c r="H1398" s="1076"/>
      <c r="I1398" s="1076" t="str">
        <f>IFERROR(__xludf.DUMMYFUNCTION("""COMPUTED_VALUE"""),"RN0PD230AKC000923")</f>
        <v>RN0PD230AKC000923</v>
      </c>
      <c r="J1398" s="1076"/>
      <c r="K1398" s="1076"/>
      <c r="L1398" s="1076"/>
    </row>
    <row r="1399" customHeight="1" spans="1:12">
      <c r="A1399" s="1076" t="str">
        <f>IFERROR(__xludf.DUMMYFUNCTION("""COMPUTED_VALUE"""),"TND-RML-027")</f>
        <v>TND-RML-027</v>
      </c>
      <c r="B1399" s="1075" t="str">
        <f>IFERROR(__xludf.DUMMYFUNCTION("""COMPUTED_VALUE"""),"SMRM xương sàn/mooc OPT")</f>
        <v>SMRM xương sàn/mooc OPT</v>
      </c>
      <c r="C1399" s="1076" t="str">
        <f>IFERROR(__xludf.DUMMYFUNCTION("""COMPUTED_VALUE"""),"Phòng GNVC")</f>
        <v>Phòng GNVC</v>
      </c>
      <c r="D1399" s="1076"/>
      <c r="E1399" s="1076"/>
      <c r="F1399" s="1076"/>
      <c r="G1399" s="1076"/>
      <c r="H1399" s="1076"/>
      <c r="I1399" s="1076"/>
      <c r="J1399" s="1076"/>
      <c r="K1399" s="1076"/>
      <c r="L1399" s="1076"/>
    </row>
    <row r="1400" customHeight="1" spans="1:12">
      <c r="A1400" s="1076" t="str">
        <f>IFERROR(__xludf.DUMMYFUNCTION("""COMPUTED_VALUE"""),"MOOC THUÊ NGOÀI XN")</f>
        <v>MOOC THUÊ NGOÀI XN</v>
      </c>
      <c r="B1400" s="1075"/>
      <c r="C1400" s="1076"/>
      <c r="D1400" s="1076"/>
      <c r="E1400" s="1076"/>
      <c r="F1400" s="1076"/>
      <c r="G1400" s="1076"/>
      <c r="H1400" s="1076"/>
      <c r="I1400" s="1076"/>
      <c r="J1400" s="1076"/>
      <c r="K1400" s="1076"/>
      <c r="L1400" s="1076"/>
    </row>
    <row r="1401" customHeight="1" spans="1:12">
      <c r="A1401" s="1076" t="str">
        <f>IFERROR(__xludf.DUMMYFUNCTION("""COMPUTED_VALUE"""),"TND-RML-024")</f>
        <v>TND-RML-024</v>
      </c>
      <c r="B1401" s="1075" t="str">
        <f>IFERROR(__xludf.DUMMYFUNCTION("""COMPUTED_VALUE"""),"SMRM xương sàn/mooc OPT")</f>
        <v>SMRM xương sàn/mooc OPT</v>
      </c>
      <c r="C1401" s="1076" t="str">
        <f>IFERROR(__xludf.DUMMYFUNCTION("""COMPUTED_VALUE"""),"XN Chuối DP3")</f>
        <v>XN Chuối DP3</v>
      </c>
      <c r="D1401" s="1076" t="str">
        <f>IFERROR(__xludf.DUMMYFUNCTION("""COMPUTED_VALUE"""),"CAMBODIA")</f>
        <v>CAMBODIA</v>
      </c>
      <c r="E1401" s="1076" t="str">
        <f>IFERROR(__xludf.DUMMYFUNCTION("""COMPUTED_VALUE"""),"OPT")</f>
        <v>OPT</v>
      </c>
      <c r="F1401" s="1076"/>
      <c r="G1401" s="1076"/>
      <c r="H1401" s="1076"/>
      <c r="I1401" s="1076" t="str">
        <f>IFERROR(__xludf.DUMMYFUNCTION("""COMPUTED_VALUE"""),"RN0PD339AKC000990")</f>
        <v>RN0PD339AKC000990</v>
      </c>
      <c r="J1401" s="1076"/>
      <c r="K1401" s="1076"/>
      <c r="L1401" s="1076"/>
    </row>
    <row r="1402" customHeight="1" spans="1:12">
      <c r="A1402" s="1076" t="str">
        <f>IFERROR(__xludf.DUMMYFUNCTION("""COMPUTED_VALUE"""),"TND-RML-025")</f>
        <v>TND-RML-025</v>
      </c>
      <c r="B1402" s="1075" t="str">
        <f>IFERROR(__xludf.DUMMYFUNCTION("""COMPUTED_VALUE"""),"SMRM xương sàn/mooc OPT (ĐÔNG LẠNH)")</f>
        <v>SMRM xương sàn/mooc OPT (ĐÔNG LẠNH)</v>
      </c>
      <c r="C1402" s="1076" t="str">
        <f>IFERROR(__xludf.DUMMYFUNCTION("""COMPUTED_VALUE"""),"Hành chính KLH")</f>
        <v>Hành chính KLH</v>
      </c>
      <c r="D1402" s="1076" t="str">
        <f>IFERROR(__xludf.DUMMYFUNCTION("""COMPUTED_VALUE"""),"CAMBODIA")</f>
        <v>CAMBODIA</v>
      </c>
      <c r="E1402" s="1076" t="str">
        <f>IFERROR(__xludf.DUMMYFUNCTION("""COMPUTED_VALUE"""),"OPT")</f>
        <v>OPT</v>
      </c>
      <c r="F1402" s="1076"/>
      <c r="G1402" s="1076"/>
      <c r="H1402" s="1076"/>
      <c r="I1402" s="1076" t="str">
        <f>IFERROR(__xludf.DUMMYFUNCTION("""COMPUTED_VALUE"""),"RN0PD230AKC000925")</f>
        <v>RN0PD230AKC000925</v>
      </c>
      <c r="J1402" s="1076"/>
      <c r="K1402" s="1076"/>
      <c r="L1402" s="1076"/>
    </row>
    <row r="1403" customHeight="1" spans="1:12">
      <c r="A1403" s="1076" t="str">
        <f>IFERROR(__xludf.DUMMYFUNCTION("""COMPUTED_VALUE"""),"CÁC BỘ PHẬN KHÁC ")</f>
        <v>CÁC BỘ PHẬN KHÁC </v>
      </c>
      <c r="B1403" s="1075"/>
      <c r="C1403" s="1076"/>
      <c r="D1403" s="1076"/>
      <c r="E1403" s="1076"/>
      <c r="F1403" s="1076"/>
      <c r="G1403" s="1076"/>
      <c r="H1403" s="1076"/>
      <c r="I1403" s="1076"/>
      <c r="J1403" s="1076"/>
      <c r="K1403" s="1076"/>
      <c r="L1403" s="1076"/>
    </row>
    <row r="1404" customHeight="1" spans="1:12">
      <c r="A1404" s="1076" t="str">
        <f>IFERROR(__xludf.DUMMYFUNCTION("""COMPUTED_VALUE"""),"HCA-RMC-001")</f>
        <v>HCA-RMC-001</v>
      </c>
      <c r="B1404" s="1075" t="str">
        <f>IFERROR(__xludf.DUMMYFUNCTION("""COMPUTED_VALUE"""),"Rơ mooc gắn máy kéo")</f>
        <v>Rơ mooc gắn máy kéo</v>
      </c>
      <c r="C1404" s="1076" t="str">
        <f>IFERROR(__xludf.DUMMYFUNCTION("""COMPUTED_VALUE"""),"Hành chính KLH")</f>
        <v>Hành chính KLH</v>
      </c>
      <c r="D1404" s="1076" t="str">
        <f>IFERROR(__xludf.DUMMYFUNCTION("""COMPUTED_VALUE"""),"THACO AGRI")</f>
        <v>THACO AGRI</v>
      </c>
      <c r="E1404" s="1076"/>
      <c r="F1404" s="1076"/>
      <c r="G1404" s="1076"/>
      <c r="H1404" s="1076" t="str">
        <f>IFERROR(__xludf.DUMMYFUNCTION("""COMPUTED_VALUE"""),"2x4x0.7m")</f>
        <v>2x4x0.7m</v>
      </c>
      <c r="I1404" s="1076"/>
      <c r="J1404" s="1076"/>
      <c r="K1404" s="1076"/>
      <c r="L1404" s="1076"/>
    </row>
    <row r="1405" customHeight="1" spans="1:12">
      <c r="A1405" s="1076" t="str">
        <f>IFERROR(__xludf.DUMMYFUNCTION("""COMPUTED_VALUE"""),"CKD-RMC-001")</f>
        <v>CKD-RMC-001</v>
      </c>
      <c r="B1405" s="1075" t="str">
        <f>IFERROR(__xludf.DUMMYFUNCTION("""COMPUTED_VALUE"""),"Rơ mooc RMHA")</f>
        <v>Rơ mooc RMHA</v>
      </c>
      <c r="C1405" s="1076" t="str">
        <f>IFERROR(__xludf.DUMMYFUNCTION("""COMPUTED_VALUE"""),"Xưởng Cơ khí DP")</f>
        <v>Xưởng Cơ khí DP</v>
      </c>
      <c r="D1405" s="1076" t="str">
        <f>IFERROR(__xludf.DUMMYFUNCTION("""COMPUTED_VALUE"""),"THACO AGRI")</f>
        <v>THACO AGRI</v>
      </c>
      <c r="E1405" s="1076"/>
      <c r="F1405" s="1076"/>
      <c r="G1405" s="1076"/>
      <c r="H1405" s="1076"/>
      <c r="I1405" s="1076"/>
      <c r="J1405" s="1076"/>
      <c r="K1405" s="1076"/>
      <c r="L1405" s="1076"/>
    </row>
    <row r="1406" customHeight="1" spans="1:12">
      <c r="A1406" s="1076" t="str">
        <f>IFERROR(__xludf.DUMMYFUNCTION("""COMPUTED_VALUE"""),"CKD-RMC-002")</f>
        <v>CKD-RMC-002</v>
      </c>
      <c r="B1406" s="1075" t="str">
        <f>IFERROR(__xludf.DUMMYFUNCTION("""COMPUTED_VALUE"""),"Rơ mooc RMHA")</f>
        <v>Rơ mooc RMHA</v>
      </c>
      <c r="C1406" s="1076" t="str">
        <f>IFERROR(__xludf.DUMMYFUNCTION("""COMPUTED_VALUE"""),"Xưởng Cơ khí DP")</f>
        <v>Xưởng Cơ khí DP</v>
      </c>
      <c r="D1406" s="1076" t="str">
        <f>IFERROR(__xludf.DUMMYFUNCTION("""COMPUTED_VALUE"""),"THACO AGRI")</f>
        <v>THACO AGRI</v>
      </c>
      <c r="E1406" s="1076"/>
      <c r="F1406" s="1076"/>
      <c r="G1406" s="1076"/>
      <c r="H1406" s="1076"/>
      <c r="I1406" s="1076"/>
      <c r="J1406" s="1076"/>
      <c r="K1406" s="1076"/>
      <c r="L1406" s="1076"/>
    </row>
    <row r="1407" customHeight="1" spans="1:12">
      <c r="A1407" s="1076" t="str">
        <f>IFERROR(__xludf.DUMMYFUNCTION("""COMPUTED_VALUE"""),"CKD-RMC-003")</f>
        <v>CKD-RMC-003</v>
      </c>
      <c r="B1407" s="1075" t="str">
        <f>IFERROR(__xludf.DUMMYFUNCTION("""COMPUTED_VALUE"""),"Rơ mooc RMHA")</f>
        <v>Rơ mooc RMHA</v>
      </c>
      <c r="C1407" s="1076" t="str">
        <f>IFERROR(__xludf.DUMMYFUNCTION("""COMPUTED_VALUE"""),"Xưởng Cơ khí DP")</f>
        <v>Xưởng Cơ khí DP</v>
      </c>
      <c r="D1407" s="1076" t="str">
        <f>IFERROR(__xludf.DUMMYFUNCTION("""COMPUTED_VALUE"""),"THACO AGRI")</f>
        <v>THACO AGRI</v>
      </c>
      <c r="E1407" s="1076"/>
      <c r="F1407" s="1076"/>
      <c r="G1407" s="1076"/>
      <c r="H1407" s="1076"/>
      <c r="I1407" s="1076"/>
      <c r="J1407" s="1076"/>
      <c r="K1407" s="1076"/>
      <c r="L1407" s="1076"/>
    </row>
    <row r="1408" customHeight="1" spans="1:12">
      <c r="A1408" s="1076" t="str">
        <f>IFERROR(__xludf.DUMMYFUNCTION("""COMPUTED_VALUE"""),"CKD-RMC-004")</f>
        <v>CKD-RMC-004</v>
      </c>
      <c r="B1408" s="1075" t="str">
        <f>IFERROR(__xludf.DUMMYFUNCTION("""COMPUTED_VALUE"""),"Rơ mooc RMHA")</f>
        <v>Rơ mooc RMHA</v>
      </c>
      <c r="C1408" s="1076" t="str">
        <f>IFERROR(__xludf.DUMMYFUNCTION("""COMPUTED_VALUE"""),"Xưởng Cơ khí DP")</f>
        <v>Xưởng Cơ khí DP</v>
      </c>
      <c r="D1408" s="1076" t="str">
        <f>IFERROR(__xludf.DUMMYFUNCTION("""COMPUTED_VALUE"""),"THACO AGRI")</f>
        <v>THACO AGRI</v>
      </c>
      <c r="E1408" s="1076"/>
      <c r="F1408" s="1076"/>
      <c r="G1408" s="1076"/>
      <c r="H1408" s="1076"/>
      <c r="I1408" s="1076"/>
      <c r="J1408" s="1076"/>
      <c r="K1408" s="1076"/>
      <c r="L1408" s="1076"/>
    </row>
    <row r="1409" customHeight="1" spans="1:12">
      <c r="A1409" s="1076" t="str">
        <f>IFERROR(__xludf.DUMMYFUNCTION("""COMPUTED_VALUE"""),"CKD-MKC-001")</f>
        <v>CKD-MKC-001</v>
      </c>
      <c r="B1409" s="1075" t="str">
        <f>IFERROR(__xludf.DUMMYFUNCTION("""COMPUTED_VALUE"""),"Máy kéo chuối")</f>
        <v>Máy kéo chuối</v>
      </c>
      <c r="C1409" s="1076" t="str">
        <f>IFERROR(__xludf.DUMMYFUNCTION("""COMPUTED_VALUE"""),"Xưởng Cơ khí DP")</f>
        <v>Xưởng Cơ khí DP</v>
      </c>
      <c r="D1409" s="1076" t="str">
        <f>IFERROR(__xludf.DUMMYFUNCTION("""COMPUTED_VALUE"""),"THACO AGRI")</f>
        <v>THACO AGRI</v>
      </c>
      <c r="E1409" s="1076"/>
      <c r="F1409" s="1076"/>
      <c r="G1409" s="1076"/>
      <c r="H1409" s="1076"/>
      <c r="I1409" s="1076"/>
      <c r="J1409" s="1076"/>
      <c r="K1409" s="1076">
        <f>IFERROR(__xludf.DUMMYFUNCTION("""COMPUTED_VALUE"""),0.56)</f>
        <v>0.56</v>
      </c>
      <c r="L1409" s="1076"/>
    </row>
    <row r="1410" customHeight="1" spans="1:12">
      <c r="A1410" s="1076" t="str">
        <f>IFERROR(__xludf.DUMMYFUNCTION("""COMPUTED_VALUE"""),"ĐNA-RMC-002")</f>
        <v>ĐNA-RMC-002</v>
      </c>
      <c r="B1410" s="1075" t="str">
        <f>IFERROR(__xludf.DUMMYFUNCTION("""COMPUTED_VALUE"""),"Rơ mooc thu hoạch")</f>
        <v>Rơ mooc thu hoạch</v>
      </c>
      <c r="C1410" s="1076" t="str">
        <f>IFERROR(__xludf.DUMMYFUNCTION("""COMPUTED_VALUE"""),"XN Chuối AD2")</f>
        <v>XN Chuối AD2</v>
      </c>
      <c r="D1410" s="1076" t="str">
        <f>IFERROR(__xludf.DUMMYFUNCTION("""COMPUTED_VALUE"""),"THACO AGRI")</f>
        <v>THACO AGRI</v>
      </c>
      <c r="E1410" s="1076"/>
      <c r="F1410" s="1076"/>
      <c r="G1410" s="1076"/>
      <c r="H1410" s="1076"/>
      <c r="I1410" s="1076" t="str">
        <f>IFERROR(__xludf.DUMMYFUNCTION("""COMPUTED_VALUE"""),"40 BUỒNG")</f>
        <v>40 BUỒNG</v>
      </c>
      <c r="J1410" s="1076"/>
      <c r="K1410" s="1076"/>
      <c r="L1410" s="1076"/>
    </row>
    <row r="1411" customHeight="1" spans="1:12">
      <c r="A1411" s="1076" t="str">
        <f>IFERROR(__xludf.DUMMYFUNCTION("""COMPUTED_VALUE"""),"ĐNA-RMC-001")</f>
        <v>ĐNA-RMC-001</v>
      </c>
      <c r="B1411" s="1075" t="str">
        <f>IFERROR(__xludf.DUMMYFUNCTION("""COMPUTED_VALUE"""),"Rơ mooc RMHA")</f>
        <v>Rơ mooc RMHA</v>
      </c>
      <c r="C1411" s="1076" t="str">
        <f>IFERROR(__xludf.DUMMYFUNCTION("""COMPUTED_VALUE"""),"Ban Điện nước")</f>
        <v>Ban Điện nước</v>
      </c>
      <c r="D1411" s="1076" t="str">
        <f>IFERROR(__xludf.DUMMYFUNCTION("""COMPUTED_VALUE"""),"THACO AGRI")</f>
        <v>THACO AGRI</v>
      </c>
      <c r="E1411" s="1076"/>
      <c r="F1411" s="1076"/>
      <c r="G1411" s="1076"/>
      <c r="H1411" s="1076"/>
      <c r="I1411" s="1076"/>
      <c r="J1411" s="1076"/>
      <c r="K1411" s="1076"/>
      <c r="L1411" s="1076"/>
    </row>
    <row r="1412" customHeight="1" spans="1:12">
      <c r="A1412" s="1076" t="str">
        <f>IFERROR(__xludf.DUMMYFUNCTION("""COMPUTED_VALUE"""),"ĐNA-GĐH-001")</f>
        <v>ĐNA-GĐH-001</v>
      </c>
      <c r="B1412" s="1075" t="str">
        <f>IFERROR(__xludf.DUMMYFUNCTION("""COMPUTED_VALUE"""),"Gàu định hình đào rãnh bỏ ống nước")</f>
        <v>Gàu định hình đào rãnh bỏ ống nước</v>
      </c>
      <c r="C1412" s="1076" t="str">
        <f>IFERROR(__xludf.DUMMYFUNCTION("""COMPUTED_VALUE"""),"Ban Điện nước")</f>
        <v>Ban Điện nước</v>
      </c>
      <c r="D1412" s="1076" t="str">
        <f>IFERROR(__xludf.DUMMYFUNCTION("""COMPUTED_VALUE"""),"THACO AGRI")</f>
        <v>THACO AGRI</v>
      </c>
      <c r="E1412" s="1076"/>
      <c r="F1412" s="1076"/>
      <c r="G1412" s="1076" t="str">
        <f>IFERROR(__xludf.DUMMYFUNCTION("""COMPUTED_VALUE"""),"2024")</f>
        <v>2024</v>
      </c>
      <c r="H1412" s="1076" t="str">
        <f>IFERROR(__xludf.DUMMYFUNCTION("""COMPUTED_VALUE"""),"350x200x400")</f>
        <v>350x200x400</v>
      </c>
      <c r="I1412" s="1076"/>
      <c r="J1412" s="1076"/>
      <c r="K1412" s="1076"/>
      <c r="L1412" s="1076"/>
    </row>
    <row r="1413" customHeight="1" spans="1:12">
      <c r="A1413" s="1076" t="str">
        <f>IFERROR(__xludf.DUMMYFUNCTION("""COMPUTED_VALUE"""),"ĐNA-GĐH-002")</f>
        <v>ĐNA-GĐH-002</v>
      </c>
      <c r="B1413" s="1075" t="str">
        <f>IFERROR(__xludf.DUMMYFUNCTION("""COMPUTED_VALUE"""),"Gàu định hình đào rãnh bỏ ống nước")</f>
        <v>Gàu định hình đào rãnh bỏ ống nước</v>
      </c>
      <c r="C1413" s="1076" t="str">
        <f>IFERROR(__xludf.DUMMYFUNCTION("""COMPUTED_VALUE"""),"Ban Điện nước")</f>
        <v>Ban Điện nước</v>
      </c>
      <c r="D1413" s="1076" t="str">
        <f>IFERROR(__xludf.DUMMYFUNCTION("""COMPUTED_VALUE"""),"THACO AGRI")</f>
        <v>THACO AGRI</v>
      </c>
      <c r="E1413" s="1076"/>
      <c r="F1413" s="1076"/>
      <c r="G1413" s="1076" t="str">
        <f>IFERROR(__xludf.DUMMYFUNCTION("""COMPUTED_VALUE"""),"2024")</f>
        <v>2024</v>
      </c>
      <c r="H1413" s="1076" t="str">
        <f>IFERROR(__xludf.DUMMYFUNCTION("""COMPUTED_VALUE"""),"350x200x400")</f>
        <v>350x200x400</v>
      </c>
      <c r="I1413" s="1076"/>
      <c r="J1413" s="1076"/>
      <c r="K1413" s="1076"/>
      <c r="L1413" s="1076"/>
    </row>
    <row r="1414" customHeight="1" spans="1:12">
      <c r="A1414" s="1076" t="str">
        <f>IFERROR(__xludf.DUMMYFUNCTION("""COMPUTED_VALUE"""),"ĐNA-GĐH-003")</f>
        <v>ĐNA-GĐH-003</v>
      </c>
      <c r="B1414" s="1075" t="str">
        <f>IFERROR(__xludf.DUMMYFUNCTION("""COMPUTED_VALUE"""),"Gàu định hình đào rãnh bỏ ống nước")</f>
        <v>Gàu định hình đào rãnh bỏ ống nước</v>
      </c>
      <c r="C1414" s="1076" t="str">
        <f>IFERROR(__xludf.DUMMYFUNCTION("""COMPUTED_VALUE"""),"Ban Điện nước")</f>
        <v>Ban Điện nước</v>
      </c>
      <c r="D1414" s="1076" t="str">
        <f>IFERROR(__xludf.DUMMYFUNCTION("""COMPUTED_VALUE"""),"THACO AGRI")</f>
        <v>THACO AGRI</v>
      </c>
      <c r="E1414" s="1076"/>
      <c r="F1414" s="1076"/>
      <c r="G1414" s="1076" t="str">
        <f>IFERROR(__xludf.DUMMYFUNCTION("""COMPUTED_VALUE"""),"2024")</f>
        <v>2024</v>
      </c>
      <c r="H1414" s="1076" t="str">
        <f>IFERROR(__xludf.DUMMYFUNCTION("""COMPUTED_VALUE"""),"350x200x400")</f>
        <v>350x200x400</v>
      </c>
      <c r="I1414" s="1076"/>
      <c r="J1414" s="1076"/>
      <c r="K1414" s="1076"/>
      <c r="L1414" s="1076"/>
    </row>
    <row r="1415" customHeight="1" spans="1:12">
      <c r="A1415" s="1076" t="str">
        <f>IFERROR(__xludf.DUMMYFUNCTION("""COMPUTED_VALUE"""),"ĐNA-GĐH-004")</f>
        <v>ĐNA-GĐH-004</v>
      </c>
      <c r="B1415" s="1075" t="str">
        <f>IFERROR(__xludf.DUMMYFUNCTION("""COMPUTED_VALUE"""),"Gàu định hình đào rãnh bỏ ống nước")</f>
        <v>Gàu định hình đào rãnh bỏ ống nước</v>
      </c>
      <c r="C1415" s="1076" t="str">
        <f>IFERROR(__xludf.DUMMYFUNCTION("""COMPUTED_VALUE"""),"Ban Điện nước")</f>
        <v>Ban Điện nước</v>
      </c>
      <c r="D1415" s="1076" t="str">
        <f>IFERROR(__xludf.DUMMYFUNCTION("""COMPUTED_VALUE"""),"THACO AGRI")</f>
        <v>THACO AGRI</v>
      </c>
      <c r="E1415" s="1076"/>
      <c r="F1415" s="1076"/>
      <c r="G1415" s="1076" t="str">
        <f>IFERROR(__xludf.DUMMYFUNCTION("""COMPUTED_VALUE"""),"2024")</f>
        <v>2024</v>
      </c>
      <c r="H1415" s="1076" t="str">
        <f>IFERROR(__xludf.DUMMYFUNCTION("""COMPUTED_VALUE"""),"350x200x400")</f>
        <v>350x200x400</v>
      </c>
      <c r="I1415" s="1076"/>
      <c r="J1415" s="1076"/>
      <c r="K1415" s="1076"/>
      <c r="L1415" s="1076"/>
    </row>
    <row r="1416" customHeight="1" spans="1:12">
      <c r="A1416" s="1076" t="str">
        <f>IFERROR(__xludf.DUMMYFUNCTION("""COMPUTED_VALUE"""),"ĐNA-GĐH-005")</f>
        <v>ĐNA-GĐH-005</v>
      </c>
      <c r="B1416" s="1075" t="str">
        <f>IFERROR(__xludf.DUMMYFUNCTION("""COMPUTED_VALUE"""),"Gàu định hình đào rãnh bỏ ống nước")</f>
        <v>Gàu định hình đào rãnh bỏ ống nước</v>
      </c>
      <c r="C1416" s="1076" t="str">
        <f>IFERROR(__xludf.DUMMYFUNCTION("""COMPUTED_VALUE"""),"Ban Điện nước")</f>
        <v>Ban Điện nước</v>
      </c>
      <c r="D1416" s="1076" t="str">
        <f>IFERROR(__xludf.DUMMYFUNCTION("""COMPUTED_VALUE"""),"THACO AGRI")</f>
        <v>THACO AGRI</v>
      </c>
      <c r="E1416" s="1076"/>
      <c r="F1416" s="1076"/>
      <c r="G1416" s="1076" t="str">
        <f>IFERROR(__xludf.DUMMYFUNCTION("""COMPUTED_VALUE"""),"2024")</f>
        <v>2024</v>
      </c>
      <c r="H1416" s="1076" t="str">
        <f>IFERROR(__xludf.DUMMYFUNCTION("""COMPUTED_VALUE"""),"350x200x400")</f>
        <v>350x200x400</v>
      </c>
      <c r="I1416" s="1076"/>
      <c r="J1416" s="1076"/>
      <c r="K1416" s="1076"/>
      <c r="L1416" s="1076"/>
    </row>
    <row r="1417" customHeight="1" spans="1:12">
      <c r="A1417" s="1076" t="str">
        <f>IFERROR(__xludf.DUMMYFUNCTION("""COMPUTED_VALUE"""),"ĐNA-GĐH-006")</f>
        <v>ĐNA-GĐH-006</v>
      </c>
      <c r="B1417" s="1075" t="str">
        <f>IFERROR(__xludf.DUMMYFUNCTION("""COMPUTED_VALUE"""),"Gàu định hình đào rãnh bỏ ống nước")</f>
        <v>Gàu định hình đào rãnh bỏ ống nước</v>
      </c>
      <c r="C1417" s="1076" t="str">
        <f>IFERROR(__xludf.DUMMYFUNCTION("""COMPUTED_VALUE"""),"Ban Điện nước")</f>
        <v>Ban Điện nước</v>
      </c>
      <c r="D1417" s="1076" t="str">
        <f>IFERROR(__xludf.DUMMYFUNCTION("""COMPUTED_VALUE"""),"THACO AGRI")</f>
        <v>THACO AGRI</v>
      </c>
      <c r="E1417" s="1076"/>
      <c r="F1417" s="1076"/>
      <c r="G1417" s="1076" t="str">
        <f>IFERROR(__xludf.DUMMYFUNCTION("""COMPUTED_VALUE"""),"2024")</f>
        <v>2024</v>
      </c>
      <c r="H1417" s="1076" t="str">
        <f>IFERROR(__xludf.DUMMYFUNCTION("""COMPUTED_VALUE"""),"350x200x400")</f>
        <v>350x200x400</v>
      </c>
      <c r="I1417" s="1076"/>
      <c r="J1417" s="1076"/>
      <c r="K1417" s="1076"/>
      <c r="L1417" s="1076"/>
    </row>
    <row r="1418" customHeight="1" spans="1:12">
      <c r="A1418" s="1076" t="str">
        <f>IFERROR(__xludf.DUMMYFUNCTION("""COMPUTED_VALUE"""),"ĐNA-GĐH-007")</f>
        <v>ĐNA-GĐH-007</v>
      </c>
      <c r="B1418" s="1075" t="str">
        <f>IFERROR(__xludf.DUMMYFUNCTION("""COMPUTED_VALUE"""),"Gàu định hình đào rãnh bỏ ống nước")</f>
        <v>Gàu định hình đào rãnh bỏ ống nước</v>
      </c>
      <c r="C1418" s="1076" t="str">
        <f>IFERROR(__xludf.DUMMYFUNCTION("""COMPUTED_VALUE"""),"Ban Điện nước")</f>
        <v>Ban Điện nước</v>
      </c>
      <c r="D1418" s="1076" t="str">
        <f>IFERROR(__xludf.DUMMYFUNCTION("""COMPUTED_VALUE"""),"THACO AGRI")</f>
        <v>THACO AGRI</v>
      </c>
      <c r="E1418" s="1076"/>
      <c r="F1418" s="1076"/>
      <c r="G1418" s="1076" t="str">
        <f>IFERROR(__xludf.DUMMYFUNCTION("""COMPUTED_VALUE"""),"2024")</f>
        <v>2024</v>
      </c>
      <c r="H1418" s="1076" t="str">
        <f>IFERROR(__xludf.DUMMYFUNCTION("""COMPUTED_VALUE"""),"350x200x400")</f>
        <v>350x200x400</v>
      </c>
      <c r="I1418" s="1076"/>
      <c r="J1418" s="1076"/>
      <c r="K1418" s="1076"/>
      <c r="L1418" s="1076"/>
    </row>
    <row r="1419" customHeight="1" spans="1:12">
      <c r="A1419" s="1076" t="str">
        <f>IFERROR(__xludf.DUMMYFUNCTION("""COMPUTED_VALUE"""),"ĐNA-GĐH-008")</f>
        <v>ĐNA-GĐH-008</v>
      </c>
      <c r="B1419" s="1075" t="str">
        <f>IFERROR(__xludf.DUMMYFUNCTION("""COMPUTED_VALUE"""),"Gàu định hình đào rãnh bỏ ống nước")</f>
        <v>Gàu định hình đào rãnh bỏ ống nước</v>
      </c>
      <c r="C1419" s="1076" t="str">
        <f>IFERROR(__xludf.DUMMYFUNCTION("""COMPUTED_VALUE"""),"Ban Điện nước")</f>
        <v>Ban Điện nước</v>
      </c>
      <c r="D1419" s="1076" t="str">
        <f>IFERROR(__xludf.DUMMYFUNCTION("""COMPUTED_VALUE"""),"THACO AGRI")</f>
        <v>THACO AGRI</v>
      </c>
      <c r="E1419" s="1076"/>
      <c r="F1419" s="1076"/>
      <c r="G1419" s="1076" t="str">
        <f>IFERROR(__xludf.DUMMYFUNCTION("""COMPUTED_VALUE"""),"2024")</f>
        <v>2024</v>
      </c>
      <c r="H1419" s="1076" t="str">
        <f>IFERROR(__xludf.DUMMYFUNCTION("""COMPUTED_VALUE"""),"350x200x400")</f>
        <v>350x200x400</v>
      </c>
      <c r="I1419" s="1076"/>
      <c r="J1419" s="1076"/>
      <c r="K1419" s="1076"/>
      <c r="L1419" s="1076"/>
    </row>
    <row r="1420" customHeight="1" spans="1:12">
      <c r="A1420" s="1076" t="str">
        <f>IFERROR(__xludf.DUMMYFUNCTION("""COMPUTED_VALUE"""),"TDC-CBT-001")</f>
        <v>TDC-CBT-001</v>
      </c>
      <c r="B1420" s="1075" t="str">
        <f>IFERROR(__xludf.DUMMYFUNCTION("""COMPUTED_VALUE"""),"Máy cắt bê tông ZS1110")</f>
        <v>Máy cắt bê tông ZS1110</v>
      </c>
      <c r="C1420" s="1076" t="str">
        <f>IFERROR(__xludf.DUMMYFUNCTION("""COMPUTED_VALUE"""),"Thadicons A&amp;I")</f>
        <v>Thadicons A&amp;I</v>
      </c>
      <c r="D1420" s="1076" t="str">
        <f>IFERROR(__xludf.DUMMYFUNCTION("""COMPUTED_VALUE"""),"CHANGCHAI")</f>
        <v>CHANGCHAI</v>
      </c>
      <c r="E1420" s="1076" t="str">
        <f>IFERROR(__xludf.DUMMYFUNCTION("""COMPUTED_VALUE"""),"TRUNG QUỐC")</f>
        <v>TRUNG QUỐC</v>
      </c>
      <c r="F1420" s="1076"/>
      <c r="G1420" s="1076" t="str">
        <f>IFERROR(__xludf.DUMMYFUNCTION("""COMPUTED_VALUE"""),"ZS1110")</f>
        <v>ZS1110</v>
      </c>
      <c r="H1420" s="1076" t="str">
        <f>IFERROR(__xludf.DUMMYFUNCTION("""COMPUTED_VALUE"""),"15HP")</f>
        <v>15HP</v>
      </c>
      <c r="I1420" s="1076" t="str">
        <f>IFERROR(__xludf.DUMMYFUNCTION("""COMPUTED_VALUE"""),"216281")</f>
        <v>216281</v>
      </c>
      <c r="J1420" s="1076"/>
      <c r="K1420" s="1076"/>
      <c r="L1420" s="1076"/>
    </row>
    <row r="1421" customHeight="1" spans="1:12">
      <c r="A1421" s="1076" t="str">
        <f>IFERROR(__xludf.DUMMYFUNCTION("""COMPUTED_VALUE"""),"LƯU KHO MÁY MÓC CƠ GIỚI KHU LIÊN HỢP")</f>
        <v>LƯU KHO MÁY MÓC CƠ GIỚI KHU LIÊN HỢP</v>
      </c>
      <c r="B1421" s="1075"/>
      <c r="C1421" s="1076"/>
      <c r="D1421" s="1076"/>
      <c r="E1421" s="1076"/>
      <c r="F1421" s="1076"/>
      <c r="G1421" s="1076"/>
      <c r="H1421" s="1076"/>
      <c r="I1421" s="1076"/>
      <c r="J1421" s="1076"/>
      <c r="K1421" s="1076"/>
      <c r="L1421" s="1076"/>
    </row>
    <row r="1422" customHeight="1" spans="1:12">
      <c r="A1422" s="1076" t="str">
        <f>IFERROR(__xludf.DUMMYFUNCTION("""COMPUTED_VALUE"""),"THIẾT BỊ CHỜ PHÂN BỔ")</f>
        <v>THIẾT BỊ CHỜ PHÂN BỔ</v>
      </c>
      <c r="B1422" s="1075"/>
      <c r="C1422" s="1076"/>
      <c r="D1422" s="1076"/>
      <c r="E1422" s="1076"/>
      <c r="F1422" s="1076"/>
      <c r="G1422" s="1076"/>
      <c r="H1422" s="1076"/>
      <c r="I1422" s="1076"/>
      <c r="J1422" s="1076"/>
      <c r="K1422" s="1076"/>
      <c r="L1422" s="1076"/>
    </row>
    <row r="1423" customHeight="1" spans="1:12">
      <c r="A1423" s="1076" t="str">
        <f>IFERROR(__xludf.DUMMYFUNCTION("""COMPUTED_VALUE"""),"XD2-RMC-001")</f>
        <v>XD2-RMC-001</v>
      </c>
      <c r="B1423" s="1075" t="str">
        <f>IFERROR(__xludf.DUMMYFUNCTION("""COMPUTED_VALUE"""),"Rơ mooc thu hoạch")</f>
        <v>Rơ mooc thu hoạch</v>
      </c>
      <c r="C1423" s="1076" t="str">
        <f>IFERROR(__xludf.DUMMYFUNCTION("""COMPUTED_VALUE"""),"XN Chuối DP2")</f>
        <v>XN Chuối DP2</v>
      </c>
      <c r="D1423" s="1076" t="str">
        <f>IFERROR(__xludf.DUMMYFUNCTION("""COMPUTED_VALUE"""),"THACO AGRI")</f>
        <v>THACO AGRI</v>
      </c>
      <c r="E1423" s="1076"/>
      <c r="F1423" s="1076"/>
      <c r="G1423" s="1076"/>
      <c r="H1423" s="1076"/>
      <c r="I1423" s="1076"/>
      <c r="J1423" s="1076"/>
      <c r="K1423" s="1076"/>
      <c r="L1423" s="1076"/>
    </row>
    <row r="1424" customHeight="1" spans="1:12">
      <c r="A1424" s="1076" t="str">
        <f>IFERROR(__xludf.DUMMYFUNCTION("""COMPUTED_VALUE"""),"XD2-RMB-003")</f>
        <v>XD2-RMB-003</v>
      </c>
      <c r="B1424" s="1075" t="str">
        <f>IFERROR(__xludf.DUMMYFUNCTION("""COMPUTED_VALUE"""),"Rơ mooc thùng ben")</f>
        <v>Rơ mooc thùng ben</v>
      </c>
      <c r="C1424" s="1076" t="str">
        <f>IFERROR(__xludf.DUMMYFUNCTION("""COMPUTED_VALUE"""),"XN Chuối DP2")</f>
        <v>XN Chuối DP2</v>
      </c>
      <c r="D1424" s="1076" t="str">
        <f>IFERROR(__xludf.DUMMYFUNCTION("""COMPUTED_VALUE"""),"THACO AGRI")</f>
        <v>THACO AGRI</v>
      </c>
      <c r="E1424" s="1076"/>
      <c r="F1424" s="1076"/>
      <c r="G1424" s="1076"/>
      <c r="H1424" s="1076"/>
      <c r="I1424" s="1076"/>
      <c r="J1424" s="1076"/>
      <c r="K1424" s="1076"/>
      <c r="L1424" s="1076"/>
    </row>
    <row r="1425" customHeight="1" spans="1:12">
      <c r="A1425" s="1076" t="str">
        <f>IFERROR(__xludf.DUMMYFUNCTION("""COMPUTED_VALUE"""),"XD2-RMB-004")</f>
        <v>XD2-RMB-004</v>
      </c>
      <c r="B1425" s="1075" t="str">
        <f>IFERROR(__xludf.DUMMYFUNCTION("""COMPUTED_VALUE"""),"Rơ mooc thùng ben")</f>
        <v>Rơ mooc thùng ben</v>
      </c>
      <c r="C1425" s="1076" t="str">
        <f>IFERROR(__xludf.DUMMYFUNCTION("""COMPUTED_VALUE"""),"XN Chuối DP2")</f>
        <v>XN Chuối DP2</v>
      </c>
      <c r="D1425" s="1076" t="str">
        <f>IFERROR(__xludf.DUMMYFUNCTION("""COMPUTED_VALUE"""),"THACO AGRI")</f>
        <v>THACO AGRI</v>
      </c>
      <c r="E1425" s="1076"/>
      <c r="F1425" s="1076"/>
      <c r="G1425" s="1076"/>
      <c r="H1425" s="1076"/>
      <c r="I1425" s="1076"/>
      <c r="J1425" s="1076"/>
      <c r="K1425" s="1076"/>
      <c r="L1425" s="1076"/>
    </row>
    <row r="1426" customHeight="1" spans="1:12">
      <c r="A1426" s="1076" t="str">
        <f>IFERROR(__xludf.DUMMYFUNCTION("""COMPUTED_VALUE"""),"XD3-RMC-004")</f>
        <v>XD3-RMC-004</v>
      </c>
      <c r="B1426" s="1075" t="str">
        <f>IFERROR(__xludf.DUMMYFUNCTION("""COMPUTED_VALUE"""),"Rơ mooc thu hoạch")</f>
        <v>Rơ mooc thu hoạch</v>
      </c>
      <c r="C1426" s="1076" t="str">
        <f>IFERROR(__xludf.DUMMYFUNCTION("""COMPUTED_VALUE"""),"XN Chuối DP3")</f>
        <v>XN Chuối DP3</v>
      </c>
      <c r="D1426" s="1076" t="str">
        <f>IFERROR(__xludf.DUMMYFUNCTION("""COMPUTED_VALUE"""),"THACO AGRI")</f>
        <v>THACO AGRI</v>
      </c>
      <c r="E1426" s="1076"/>
      <c r="F1426" s="1076"/>
      <c r="G1426" s="1076"/>
      <c r="H1426" s="1076"/>
      <c r="I1426" s="1076"/>
      <c r="J1426" s="1076"/>
      <c r="K1426" s="1076"/>
      <c r="L1426" s="1076"/>
    </row>
    <row r="1427" customHeight="1" spans="1:12">
      <c r="A1427" s="1076" t="str">
        <f>IFERROR(__xludf.DUMMYFUNCTION("""COMPUTED_VALUE"""),"XD3-RMC-001")</f>
        <v>XD3-RMC-001</v>
      </c>
      <c r="B1427" s="1075" t="str">
        <f>IFERROR(__xludf.DUMMYFUNCTION("""COMPUTED_VALUE"""),"Rơ mooc thu hoạch")</f>
        <v>Rơ mooc thu hoạch</v>
      </c>
      <c r="C1427" s="1076" t="str">
        <f>IFERROR(__xludf.DUMMYFUNCTION("""COMPUTED_VALUE"""),"XN Chuối DP3")</f>
        <v>XN Chuối DP3</v>
      </c>
      <c r="D1427" s="1076" t="str">
        <f>IFERROR(__xludf.DUMMYFUNCTION("""COMPUTED_VALUE"""),"THACO AGRI")</f>
        <v>THACO AGRI</v>
      </c>
      <c r="E1427" s="1076"/>
      <c r="F1427" s="1076"/>
      <c r="G1427" s="1076"/>
      <c r="H1427" s="1076"/>
      <c r="I1427" s="1076"/>
      <c r="J1427" s="1076"/>
      <c r="K1427" s="1076"/>
      <c r="L1427" s="1076"/>
    </row>
    <row r="1428" customHeight="1" spans="1:12">
      <c r="A1428" s="1076" t="str">
        <f>IFERROR(__xludf.DUMMYFUNCTION("""COMPUTED_VALUE"""),"XD3-RMC-007")</f>
        <v>XD3-RMC-007</v>
      </c>
      <c r="B1428" s="1075" t="str">
        <f>IFERROR(__xludf.DUMMYFUNCTION("""COMPUTED_VALUE"""),"Rơ mooc thu hoạch")</f>
        <v>Rơ mooc thu hoạch</v>
      </c>
      <c r="C1428" s="1076" t="str">
        <f>IFERROR(__xludf.DUMMYFUNCTION("""COMPUTED_VALUE"""),"XN Chuối DP3")</f>
        <v>XN Chuối DP3</v>
      </c>
      <c r="D1428" s="1076" t="str">
        <f>IFERROR(__xludf.DUMMYFUNCTION("""COMPUTED_VALUE"""),"THACO AGRI")</f>
        <v>THACO AGRI</v>
      </c>
      <c r="E1428" s="1076"/>
      <c r="F1428" s="1076"/>
      <c r="G1428" s="1076"/>
      <c r="H1428" s="1076"/>
      <c r="I1428" s="1076"/>
      <c r="J1428" s="1076"/>
      <c r="K1428" s="1076"/>
      <c r="L1428" s="1076"/>
    </row>
    <row r="1429" customHeight="1" spans="1:12">
      <c r="A1429" s="1076" t="str">
        <f>IFERROR(__xludf.DUMMYFUNCTION("""COMPUTED_VALUE"""),"XD3-RMC-011")</f>
        <v>XD3-RMC-011</v>
      </c>
      <c r="B1429" s="1075" t="str">
        <f>IFERROR(__xludf.DUMMYFUNCTION("""COMPUTED_VALUE"""),"Rơ mooc thu hoạch")</f>
        <v>Rơ mooc thu hoạch</v>
      </c>
      <c r="C1429" s="1076" t="str">
        <f>IFERROR(__xludf.DUMMYFUNCTION("""COMPUTED_VALUE"""),"XN Chuối DP3")</f>
        <v>XN Chuối DP3</v>
      </c>
      <c r="D1429" s="1076" t="str">
        <f>IFERROR(__xludf.DUMMYFUNCTION("""COMPUTED_VALUE"""),"THACO AGRI")</f>
        <v>THACO AGRI</v>
      </c>
      <c r="E1429" s="1076" t="str">
        <f>IFERROR(__xludf.DUMMYFUNCTION("""COMPUTED_VALUE"""),"THACO")</f>
        <v>THACO</v>
      </c>
      <c r="F1429" s="1076"/>
      <c r="G1429" s="1076"/>
      <c r="H1429" s="1076"/>
      <c r="I1429" s="1076" t="str">
        <f>IFERROR(__xludf.DUMMYFUNCTION("""COMPUTED_VALUE"""),"44")</f>
        <v>44</v>
      </c>
      <c r="J1429" s="1076"/>
      <c r="K1429" s="1076"/>
      <c r="L1429" s="1076"/>
    </row>
    <row r="1430" customHeight="1" spans="1:12">
      <c r="A1430" s="1076" t="str">
        <f>IFERROR(__xludf.DUMMYFUNCTION("""COMPUTED_VALUE"""),"XD2-SPT-001")</f>
        <v>XD2-SPT-001</v>
      </c>
      <c r="B1430" s="1075" t="str">
        <f>IFERROR(__xludf.DUMMYFUNCTION("""COMPUTED_VALUE"""),"Súng phun thuốc Hansung")</f>
        <v>Súng phun thuốc Hansung</v>
      </c>
      <c r="C1430" s="1076" t="str">
        <f>IFERROR(__xludf.DUMMYFUNCTION("""COMPUTED_VALUE"""),"XN Chuối DP2")</f>
        <v>XN Chuối DP2</v>
      </c>
      <c r="D1430" s="1076"/>
      <c r="E1430" s="1076" t="str">
        <f>IFERROR(__xludf.DUMMYFUNCTION("""COMPUTED_VALUE"""),"THACO")</f>
        <v>THACO</v>
      </c>
      <c r="F1430" s="1076"/>
      <c r="G1430" s="1076"/>
      <c r="H1430" s="1076"/>
      <c r="I1430" s="1076" t="str">
        <f>IFERROR(__xludf.DUMMYFUNCTION("""COMPUTED_VALUE"""),"SK;HS128.DP344")</f>
        <v>SK;HS128.DP344</v>
      </c>
      <c r="J1430" s="1076"/>
      <c r="K1430" s="1076">
        <f>IFERROR(__xludf.DUMMYFUNCTION("""COMPUTED_VALUE"""),8.47)</f>
        <v>8.47</v>
      </c>
      <c r="L1430" s="1076"/>
    </row>
    <row r="1431" customHeight="1" spans="1:12">
      <c r="A1431" s="1076" t="str">
        <f>IFERROR(__xludf.DUMMYFUNCTION("""COMPUTED_VALUE"""),"XB1-CXL-001")</f>
        <v>XB1-CXL-001</v>
      </c>
      <c r="B1431" s="1075" t="str">
        <f>IFERROR(__xludf.DUMMYFUNCTION("""COMPUTED_VALUE"""),"Càng xúc lật gắn máy cày (0.68m3)")</f>
        <v>Càng xúc lật gắn máy cày (0.68m3)</v>
      </c>
      <c r="C1431" s="1076" t="str">
        <f>IFERROR(__xludf.DUMMYFUNCTION("""COMPUTED_VALUE"""),"XN Bò AD")</f>
        <v>XN Bò AD</v>
      </c>
      <c r="D1431" s="1076" t="str">
        <f>IFERROR(__xludf.DUMMYFUNCTION("""COMPUTED_VALUE"""),"THACO AGRI")</f>
        <v>THACO AGRI</v>
      </c>
      <c r="E1431" s="1076"/>
      <c r="F1431" s="1076"/>
      <c r="G1431" s="1076"/>
      <c r="H1431" s="1076"/>
      <c r="I1431" s="1076"/>
      <c r="J1431" s="1076"/>
      <c r="K1431" s="1076"/>
      <c r="L1431" s="1076"/>
    </row>
    <row r="1432" customHeight="1" spans="1:12">
      <c r="A1432" s="1076" t="str">
        <f>IFERROR(__xludf.DUMMYFUNCTION("""COMPUTED_VALUE"""),"XD3-RMB-002")</f>
        <v>XD3-RMB-002</v>
      </c>
      <c r="B1432" s="1075" t="str">
        <f>IFERROR(__xludf.DUMMYFUNCTION("""COMPUTED_VALUE"""),"Rơ mooc thùng ben")</f>
        <v>Rơ mooc thùng ben</v>
      </c>
      <c r="C1432" s="1076" t="str">
        <f>IFERROR(__xludf.DUMMYFUNCTION("""COMPUTED_VALUE"""),"XN Chuối DP3")</f>
        <v>XN Chuối DP3</v>
      </c>
      <c r="D1432" s="1076" t="str">
        <f>IFERROR(__xludf.DUMMYFUNCTION("""COMPUTED_VALUE"""),"THACO AGRI")</f>
        <v>THACO AGRI</v>
      </c>
      <c r="E1432" s="1076" t="str">
        <f>IFERROR(__xludf.DUMMYFUNCTION("""COMPUTED_VALUE"""),"THACO")</f>
        <v>THACO</v>
      </c>
      <c r="F1432" s="1076"/>
      <c r="G1432" s="1076"/>
      <c r="H1432" s="1076"/>
      <c r="I1432" s="1076" t="str">
        <f>IFERROR(__xludf.DUMMYFUNCTION("""COMPUTED_VALUE"""),"Thùng ben 2m3")</f>
        <v>Thùng ben 2m3</v>
      </c>
      <c r="J1432" s="1076"/>
      <c r="K1432" s="1076"/>
      <c r="L1432" s="1076"/>
    </row>
    <row r="1433" customHeight="1" spans="1:12">
      <c r="A1433" s="1076" t="str">
        <f>IFERROR(__xludf.DUMMYFUNCTION("""COMPUTED_VALUE"""),"XAD-RMC-017(XA2-RMC-004)")</f>
        <v>XAD-RMC-017(XA2-RMC-004)</v>
      </c>
      <c r="B1433" s="1075" t="str">
        <f>IFERROR(__xludf.DUMMYFUNCTION("""COMPUTED_VALUE"""),"Rơ mooc thu hoạch")</f>
        <v>Rơ mooc thu hoạch</v>
      </c>
      <c r="C1433" s="1076" t="str">
        <f>IFERROR(__xludf.DUMMYFUNCTION("""COMPUTED_VALUE"""),"XN Chuối AD2")</f>
        <v>XN Chuối AD2</v>
      </c>
      <c r="D1433" s="1076" t="str">
        <f>IFERROR(__xludf.DUMMYFUNCTION("""COMPUTED_VALUE"""),"THACO AGRI")</f>
        <v>THACO AGRI</v>
      </c>
      <c r="E1433" s="1076"/>
      <c r="F1433" s="1076"/>
      <c r="G1433" s="1076"/>
      <c r="H1433" s="1076"/>
      <c r="I1433" s="1076" t="str">
        <f>IFERROR(__xludf.DUMMYFUNCTION("""COMPUTED_VALUE"""),"40 BUỒNG")</f>
        <v>40 BUỒNG</v>
      </c>
      <c r="J1433" s="1076"/>
      <c r="K1433" s="1076"/>
      <c r="L1433" s="1076"/>
    </row>
    <row r="1434" customHeight="1" spans="1:12">
      <c r="A1434" s="1076" t="str">
        <f>IFERROR(__xludf.DUMMYFUNCTION("""COMPUTED_VALUE"""),"XA2-RMC-007")</f>
        <v>XA2-RMC-007</v>
      </c>
      <c r="B1434" s="1075" t="str">
        <f>IFERROR(__xludf.DUMMYFUNCTION("""COMPUTED_VALUE"""),"Rơ mooc thu hoạch")</f>
        <v>Rơ mooc thu hoạch</v>
      </c>
      <c r="C1434" s="1076" t="str">
        <f>IFERROR(__xludf.DUMMYFUNCTION("""COMPUTED_VALUE"""),"XN Chuối AD2")</f>
        <v>XN Chuối AD2</v>
      </c>
      <c r="D1434" s="1076" t="str">
        <f>IFERROR(__xludf.DUMMYFUNCTION("""COMPUTED_VALUE"""),"THACO AGRI")</f>
        <v>THACO AGRI</v>
      </c>
      <c r="E1434" s="1076"/>
      <c r="F1434" s="1076"/>
      <c r="G1434" s="1076"/>
      <c r="H1434" s="1076"/>
      <c r="I1434" s="1076" t="str">
        <f>IFERROR(__xludf.DUMMYFUNCTION("""COMPUTED_VALUE"""),"44 BUỒNG")</f>
        <v>44 BUỒNG</v>
      </c>
      <c r="J1434" s="1076"/>
      <c r="K1434" s="1076"/>
      <c r="L1434" s="1076"/>
    </row>
    <row r="1435" customHeight="1" spans="1:12">
      <c r="A1435" s="1076" t="str">
        <f>IFERROR(__xludf.DUMMYFUNCTION("""COMPUTED_VALUE"""),"XA2-SPT-001")</f>
        <v>XA2-SPT-001</v>
      </c>
      <c r="B1435" s="1075" t="str">
        <f>IFERROR(__xludf.DUMMYFUNCTION("""COMPUTED_VALUE"""),"Súng phun thuốc Hansung")</f>
        <v>Súng phun thuốc Hansung</v>
      </c>
      <c r="C1435" s="1076" t="str">
        <f>IFERROR(__xludf.DUMMYFUNCTION("""COMPUTED_VALUE"""),"XN Chuối AD2")</f>
        <v>XN Chuối AD2</v>
      </c>
      <c r="D1435" s="1076"/>
      <c r="E1435" s="1076"/>
      <c r="F1435" s="1076"/>
      <c r="G1435" s="1076"/>
      <c r="H1435" s="1076"/>
      <c r="I1435" s="1076" t="str">
        <f>IFERROR(__xludf.DUMMYFUNCTION("""COMPUTED_VALUE"""),"HS128-TH313")</f>
        <v>HS128-TH313</v>
      </c>
      <c r="J1435" s="1076"/>
      <c r="K1435" s="1076">
        <f>IFERROR(__xludf.DUMMYFUNCTION("""COMPUTED_VALUE"""),8.47)</f>
        <v>8.47</v>
      </c>
      <c r="L1435" s="1076"/>
    </row>
    <row r="1436" customHeight="1" spans="1:12">
      <c r="A1436" s="1076" t="str">
        <f>IFERROR(__xludf.DUMMYFUNCTION("""COMPUTED_VALUE"""),"HƯ HỎNG NẶNG LOẠI BIÊN")</f>
        <v>HƯ HỎNG NẶNG LOẠI BIÊN</v>
      </c>
      <c r="B1436" s="1075"/>
      <c r="C1436" s="1076"/>
      <c r="D1436" s="1076"/>
      <c r="E1436" s="1076"/>
      <c r="F1436" s="1076"/>
      <c r="G1436" s="1076"/>
      <c r="H1436" s="1076"/>
      <c r="I1436" s="1076"/>
      <c r="J1436" s="1076"/>
      <c r="K1436" s="1076"/>
      <c r="L1436" s="1076"/>
    </row>
    <row r="1437" customHeight="1" spans="1:12">
      <c r="A1437" s="1076" t="str">
        <f>IFERROR(__xludf.DUMMYFUNCTION("""COMPUTED_VALUE"""),"XXA-MCA-006")</f>
        <v>XXA-MCA-006</v>
      </c>
      <c r="B1437" s="1075" t="str">
        <f>IFERROR(__xludf.DUMMYFUNCTION("""COMPUTED_VALUE"""),"Máy cao áp 3.5HP")</f>
        <v>Máy cao áp 3.5HP</v>
      </c>
      <c r="C1437" s="1076" t="str">
        <f>IFERROR(__xludf.DUMMYFUNCTION("""COMPUTED_VALUE"""),"Loại biên")</f>
        <v>Loại biên</v>
      </c>
      <c r="D1437" s="1076" t="str">
        <f>IFERROR(__xludf.DUMMYFUNCTION("""COMPUTED_VALUE"""),"CAMBODIA")</f>
        <v>CAMBODIA</v>
      </c>
      <c r="E1437" s="1076" t="str">
        <f>IFERROR(__xludf.DUMMYFUNCTION("""COMPUTED_VALUE"""),"3.5HP")</f>
        <v>3.5HP</v>
      </c>
      <c r="F1437" s="1076"/>
      <c r="G1437" s="1076"/>
      <c r="H1437" s="1076"/>
      <c r="I1437" s="1076"/>
      <c r="J1437" s="1076"/>
      <c r="K1437" s="1076"/>
      <c r="L1437" s="1076"/>
    </row>
    <row r="1438" customHeight="1" spans="1:12">
      <c r="A1438" s="1076" t="str">
        <f>IFERROR(__xludf.DUMMYFUNCTION("""COMPUTED_VALUE"""),"XXA-MCA-007")</f>
        <v>XXA-MCA-007</v>
      </c>
      <c r="B1438" s="1075" t="str">
        <f>IFERROR(__xludf.DUMMYFUNCTION("""COMPUTED_VALUE"""),"Máy cao áp 3.5HP")</f>
        <v>Máy cao áp 3.5HP</v>
      </c>
      <c r="C1438" s="1076" t="str">
        <f>IFERROR(__xludf.DUMMYFUNCTION("""COMPUTED_VALUE"""),"Loại biên")</f>
        <v>Loại biên</v>
      </c>
      <c r="D1438" s="1076" t="str">
        <f>IFERROR(__xludf.DUMMYFUNCTION("""COMPUTED_VALUE"""),"CAMBODIA")</f>
        <v>CAMBODIA</v>
      </c>
      <c r="E1438" s="1076" t="str">
        <f>IFERROR(__xludf.DUMMYFUNCTION("""COMPUTED_VALUE"""),"3.5HP")</f>
        <v>3.5HP</v>
      </c>
      <c r="F1438" s="1076"/>
      <c r="G1438" s="1076"/>
      <c r="H1438" s="1076"/>
      <c r="I1438" s="1076"/>
      <c r="J1438" s="1076"/>
      <c r="K1438" s="1076"/>
      <c r="L1438" s="1076"/>
    </row>
    <row r="1439" customHeight="1" spans="1:12">
      <c r="A1439" s="1076" t="str">
        <f>IFERROR(__xludf.DUMMYFUNCTION("""COMPUTED_VALUE"""),"XXA-MCA-008")</f>
        <v>XXA-MCA-008</v>
      </c>
      <c r="B1439" s="1075" t="str">
        <f>IFERROR(__xludf.DUMMYFUNCTION("""COMPUTED_VALUE"""),"Máy cao áp 3.5HP")</f>
        <v>Máy cao áp 3.5HP</v>
      </c>
      <c r="C1439" s="1076" t="str">
        <f>IFERROR(__xludf.DUMMYFUNCTION("""COMPUTED_VALUE"""),"Loại biên")</f>
        <v>Loại biên</v>
      </c>
      <c r="D1439" s="1076" t="str">
        <f>IFERROR(__xludf.DUMMYFUNCTION("""COMPUTED_VALUE"""),"CAMBODIA")</f>
        <v>CAMBODIA</v>
      </c>
      <c r="E1439" s="1076" t="str">
        <f>IFERROR(__xludf.DUMMYFUNCTION("""COMPUTED_VALUE"""),"3.5HP")</f>
        <v>3.5HP</v>
      </c>
      <c r="F1439" s="1076"/>
      <c r="G1439" s="1076"/>
      <c r="H1439" s="1076"/>
      <c r="I1439" s="1076"/>
      <c r="J1439" s="1076"/>
      <c r="K1439" s="1076"/>
      <c r="L1439" s="1076"/>
    </row>
    <row r="1440" customHeight="1" spans="1:12">
      <c r="A1440" s="1076" t="str">
        <f>IFERROR(__xludf.DUMMYFUNCTION("""COMPUTED_VALUE"""),"XL3-DPC-001")</f>
        <v>XL3-DPC-001</v>
      </c>
      <c r="B1440" s="1075" t="str">
        <f>IFERROR(__xludf.DUMMYFUNCTION("""COMPUTED_VALUE"""),"Thiết bị phay cỏ")</f>
        <v>Thiết bị phay cỏ</v>
      </c>
      <c r="C1440" s="1076" t="str">
        <f>IFERROR(__xludf.DUMMYFUNCTION("""COMPUTED_VALUE"""),"Loại biên")</f>
        <v>Loại biên</v>
      </c>
      <c r="D1440" s="1076" t="str">
        <f>IFERROR(__xludf.DUMMYFUNCTION("""COMPUTED_VALUE"""),"THACO AGRI")</f>
        <v>THACO AGRI</v>
      </c>
      <c r="E1440" s="1076"/>
      <c r="F1440" s="1076"/>
      <c r="G1440" s="1076"/>
      <c r="H1440" s="1076" t="str">
        <f>IFERROR(__xludf.DUMMYFUNCTION("""COMPUTED_VALUE"""),"1.5*1.5*1.1m ")</f>
        <v>1.5*1.5*1.1m </v>
      </c>
      <c r="I1440" s="1076"/>
      <c r="J1440" s="1076"/>
      <c r="K1440" s="1076"/>
      <c r="L1440" s="1076"/>
    </row>
    <row r="1441" customHeight="1" spans="1:12">
      <c r="A1441" s="1076" t="str">
        <f>IFERROR(__xludf.DUMMYFUNCTION("""COMPUTED_VALUE"""),"XD1-RMC-003")</f>
        <v>XD1-RMC-003</v>
      </c>
      <c r="B1441" s="1075" t="str">
        <f>IFERROR(__xludf.DUMMYFUNCTION("""COMPUTED_VALUE"""),"Rơ mooc thu hoạch")</f>
        <v>Rơ mooc thu hoạch</v>
      </c>
      <c r="C1441" s="1076" t="str">
        <f>IFERROR(__xludf.DUMMYFUNCTION("""COMPUTED_VALUE"""),"Loại biên")</f>
        <v>Loại biên</v>
      </c>
      <c r="D1441" s="1076" t="str">
        <f>IFERROR(__xludf.DUMMYFUNCTION("""COMPUTED_VALUE"""),"THACO AGRI")</f>
        <v>THACO AGRI</v>
      </c>
      <c r="E1441" s="1076"/>
      <c r="F1441" s="1076"/>
      <c r="G1441" s="1076"/>
      <c r="H1441" s="1076"/>
      <c r="I1441" s="1076" t="str">
        <f>IFERROR(__xludf.DUMMYFUNCTION("""COMPUTED_VALUE"""),"40")</f>
        <v>40</v>
      </c>
      <c r="J1441" s="1076"/>
      <c r="K1441" s="1076"/>
      <c r="L1441" s="1076"/>
    </row>
    <row r="1442" customHeight="1" spans="1:12">
      <c r="A1442" s="1076" t="str">
        <f>IFERROR(__xludf.DUMMYFUNCTION("""COMPUTED_VALUE"""),"XD1-RMC-004")</f>
        <v>XD1-RMC-004</v>
      </c>
      <c r="B1442" s="1075" t="str">
        <f>IFERROR(__xludf.DUMMYFUNCTION("""COMPUTED_VALUE"""),"Rơ mooc thu hoạch")</f>
        <v>Rơ mooc thu hoạch</v>
      </c>
      <c r="C1442" s="1076" t="str">
        <f>IFERROR(__xludf.DUMMYFUNCTION("""COMPUTED_VALUE"""),"Loại biên")</f>
        <v>Loại biên</v>
      </c>
      <c r="D1442" s="1076" t="str">
        <f>IFERROR(__xludf.DUMMYFUNCTION("""COMPUTED_VALUE"""),"THACO AGRI")</f>
        <v>THACO AGRI</v>
      </c>
      <c r="E1442" s="1076"/>
      <c r="F1442" s="1076"/>
      <c r="G1442" s="1076"/>
      <c r="H1442" s="1076"/>
      <c r="I1442" s="1076" t="str">
        <f>IFERROR(__xludf.DUMMYFUNCTION("""COMPUTED_VALUE"""),"50")</f>
        <v>50</v>
      </c>
      <c r="J1442" s="1076"/>
      <c r="K1442" s="1076"/>
      <c r="L1442" s="1076"/>
    </row>
    <row r="1443" customHeight="1" spans="1:12">
      <c r="A1443" s="1076" t="str">
        <f>IFERROR(__xludf.DUMMYFUNCTION("""COMPUTED_VALUE"""),"CNN-RVO-002")</f>
        <v>CNN-RVO-002</v>
      </c>
      <c r="B1443" s="1075" t="str">
        <f>IFERROR(__xludf.DUMMYFUNCTION("""COMPUTED_VALUE"""),"Thiết bị phun vôi/rải vô cơ")</f>
        <v>Thiết bị phun vôi/rải vô cơ</v>
      </c>
      <c r="C1443" s="1076" t="str">
        <f>IFERROR(__xludf.DUMMYFUNCTION("""COMPUTED_VALUE"""),"Loại biên")</f>
        <v>Loại biên</v>
      </c>
      <c r="D1443" s="1076" t="str">
        <f>IFERROR(__xludf.DUMMYFUNCTION("""COMPUTED_VALUE"""),"TRUNG QUỐC")</f>
        <v>TRUNG QUỐC</v>
      </c>
      <c r="E1443" s="1076"/>
      <c r="F1443" s="1076"/>
      <c r="G1443" s="1076"/>
      <c r="H1443" s="1076"/>
      <c r="I1443" s="1076"/>
      <c r="J1443" s="1076"/>
      <c r="K1443" s="1076"/>
      <c r="L1443" s="1076"/>
    </row>
    <row r="1444" customHeight="1" spans="1:12">
      <c r="A1444" s="1076" t="str">
        <f>IFERROR(__xludf.DUMMYFUNCTION("""COMPUTED_VALUE"""),"TB ĐIỀU CHUYỂN ĐI KLH KHÁC")</f>
        <v>TB ĐIỀU CHUYỂN ĐI KLH KHÁC</v>
      </c>
      <c r="B1444" s="1075"/>
      <c r="C1444" s="1076"/>
      <c r="D1444" s="1076"/>
      <c r="E1444" s="1076"/>
      <c r="F1444" s="1076"/>
      <c r="G1444" s="1076"/>
      <c r="H1444" s="1076"/>
      <c r="I1444" s="1076"/>
      <c r="J1444" s="1076"/>
      <c r="K1444" s="1076"/>
      <c r="L1444" s="1076"/>
    </row>
    <row r="1445" customHeight="1" spans="1:12">
      <c r="A1445" s="1076" t="str">
        <f>IFERROR(__xludf.DUMMYFUNCTION("""COMPUTED_VALUE"""),"XD1-MBC-002")</f>
        <v>XD1-MBC-002</v>
      </c>
      <c r="B1445" s="1075" t="str">
        <f>IFERROR(__xludf.DUMMYFUNCTION("""COMPUTED_VALUE"""),"Máy băm công nghiệp cố định 30Kw")</f>
        <v>Máy băm công nghiệp cố định 30Kw</v>
      </c>
      <c r="C1445" s="1076" t="str">
        <f>IFERROR(__xludf.DUMMYFUNCTION("""COMPUTED_VALUE"""),"KLH SNOUL")</f>
        <v>KLH SNOUL</v>
      </c>
      <c r="D1445" s="1076"/>
      <c r="E1445" s="1076"/>
      <c r="F1445" s="1076"/>
      <c r="G1445" s="1076" t="str">
        <f>IFERROR(__xludf.DUMMYFUNCTION("""COMPUTED_VALUE"""),"2024")</f>
        <v>2024</v>
      </c>
      <c r="H1445" s="1076" t="str">
        <f>IFERROR(__xludf.DUMMYFUNCTION("""COMPUTED_VALUE"""),"2.5x1.8x3.6")</f>
        <v>2.5x1.8x3.6</v>
      </c>
      <c r="I1445" s="1076"/>
      <c r="J1445" s="1076"/>
      <c r="K1445" s="1076"/>
      <c r="L1445" s="1076"/>
    </row>
    <row r="1446" customHeight="1" spans="1:12">
      <c r="A1446" s="1076" t="str">
        <f>IFERROR(__xludf.DUMMYFUNCTION("""COMPUTED_VALUE"""),"XD1-XMA-003")</f>
        <v>XD1-XMA-003</v>
      </c>
      <c r="B1446" s="1075" t="str">
        <f>IFERROR(__xludf.DUMMYFUNCTION("""COMPUTED_VALUE"""),"Xe máy thu hoạch")</f>
        <v>Xe máy thu hoạch</v>
      </c>
      <c r="C1446" s="1076" t="str">
        <f>IFERROR(__xludf.DUMMYFUNCTION("""COMPUTED_VALUE"""),"XN Chuối DP1")</f>
        <v>XN Chuối DP1</v>
      </c>
      <c r="D1446" s="1076" t="str">
        <f>IFERROR(__xludf.DUMMYFUNCTION("""COMPUTED_VALUE"""),"HONDA")</f>
        <v>HONDA</v>
      </c>
      <c r="E1446" s="1076" t="str">
        <f>IFERROR(__xludf.DUMMYFUNCTION("""COMPUTED_VALUE"""),"VIỆT NAM")</f>
        <v>VIỆT NAM</v>
      </c>
      <c r="F1446" s="1076"/>
      <c r="G1446" s="1076" t="str">
        <f>IFERROR(__xludf.DUMMYFUNCTION("""COMPUTED_VALUE"""),"WAVE A")</f>
        <v>WAVE A</v>
      </c>
      <c r="H1446" s="1076" t="str">
        <f>IFERROR(__xludf.DUMMYFUNCTION("""COMPUTED_VALUE"""),"110cc")</f>
        <v>110cc</v>
      </c>
      <c r="I1446" s="1076" t="str">
        <f>IFERROR(__xludf.DUMMYFUNCTION("""COMPUTED_VALUE"""),"RLHJA3917KY439666")</f>
        <v>RLHJA3917KY439666</v>
      </c>
      <c r="J1446" s="1076" t="str">
        <f>IFERROR(__xludf.DUMMYFUNCTION("""COMPUTED_VALUE"""),"JA39E1310566")</f>
        <v>JA39E1310566</v>
      </c>
      <c r="K1446" s="1076">
        <f>IFERROR(__xludf.DUMMYFUNCTION("""COMPUTED_VALUE"""),0.5)</f>
        <v>0.5</v>
      </c>
      <c r="L1446" s="1076" t="str">
        <f>IFERROR(__xludf.DUMMYFUNCTION("""COMPUTED_VALUE"""),"KLH")</f>
        <v>KLH</v>
      </c>
    </row>
    <row r="1447" customHeight="1" spans="1:12">
      <c r="A1447" s="1076" t="str">
        <f>IFERROR(__xludf.DUMMYFUNCTION("""COMPUTED_VALUE"""),"XD1-XMA-004")</f>
        <v>XD1-XMA-004</v>
      </c>
      <c r="B1447" s="1075" t="str">
        <f>IFERROR(__xludf.DUMMYFUNCTION("""COMPUTED_VALUE"""),"Xe máy thu hoạch")</f>
        <v>Xe máy thu hoạch</v>
      </c>
      <c r="C1447" s="1076" t="str">
        <f>IFERROR(__xludf.DUMMYFUNCTION("""COMPUTED_VALUE"""),"XN Chuối DP1")</f>
        <v>XN Chuối DP1</v>
      </c>
      <c r="D1447" s="1076" t="str">
        <f>IFERROR(__xludf.DUMMYFUNCTION("""COMPUTED_VALUE"""),"HONDA")</f>
        <v>HONDA</v>
      </c>
      <c r="E1447" s="1076" t="str">
        <f>IFERROR(__xludf.DUMMYFUNCTION("""COMPUTED_VALUE"""),"VIỆT NAM")</f>
        <v>VIỆT NAM</v>
      </c>
      <c r="F1447" s="1076"/>
      <c r="G1447" s="1076" t="str">
        <f>IFERROR(__xludf.DUMMYFUNCTION("""COMPUTED_VALUE"""),"WAVE A")</f>
        <v>WAVE A</v>
      </c>
      <c r="H1447" s="1076" t="str">
        <f>IFERROR(__xludf.DUMMYFUNCTION("""COMPUTED_VALUE"""),"110cc")</f>
        <v>110cc</v>
      </c>
      <c r="I1447" s="1076" t="str">
        <f>IFERROR(__xludf.DUMMYFUNCTION("""COMPUTED_VALUE"""),"RLHJA3902HY618732")</f>
        <v>RLHJA3902HY618732</v>
      </c>
      <c r="J1447" s="1076" t="str">
        <f>IFERROR(__xludf.DUMMYFUNCTION("""COMPUTED_VALUE"""),"JA39E0589870")</f>
        <v>JA39E0589870</v>
      </c>
      <c r="K1447" s="1076">
        <f>IFERROR(__xludf.DUMMYFUNCTION("""COMPUTED_VALUE"""),0.5)</f>
        <v>0.5</v>
      </c>
      <c r="L1447" s="1076" t="str">
        <f>IFERROR(__xludf.DUMMYFUNCTION("""COMPUTED_VALUE"""),"KLH")</f>
        <v>KLH</v>
      </c>
    </row>
    <row r="1448" customHeight="1" spans="1:12">
      <c r="A1448" s="1076" t="str">
        <f>IFERROR(__xludf.DUMMYFUNCTION("""COMPUTED_VALUE"""),"XD1-XMA-005")</f>
        <v>XD1-XMA-005</v>
      </c>
      <c r="B1448" s="1075" t="str">
        <f>IFERROR(__xludf.DUMMYFUNCTION("""COMPUTED_VALUE"""),"Xe máy thu hoạch")</f>
        <v>Xe máy thu hoạch</v>
      </c>
      <c r="C1448" s="1076" t="str">
        <f>IFERROR(__xludf.DUMMYFUNCTION("""COMPUTED_VALUE"""),"XN Chuối DP1")</f>
        <v>XN Chuối DP1</v>
      </c>
      <c r="D1448" s="1076" t="str">
        <f>IFERROR(__xludf.DUMMYFUNCTION("""COMPUTED_VALUE"""),"HONDA")</f>
        <v>HONDA</v>
      </c>
      <c r="E1448" s="1076" t="str">
        <f>IFERROR(__xludf.DUMMYFUNCTION("""COMPUTED_VALUE"""),"VIỆT NAM")</f>
        <v>VIỆT NAM</v>
      </c>
      <c r="F1448" s="1076"/>
      <c r="G1448" s="1076" t="str">
        <f>IFERROR(__xludf.DUMMYFUNCTION("""COMPUTED_VALUE"""),"WAVE A")</f>
        <v>WAVE A</v>
      </c>
      <c r="H1448" s="1076" t="str">
        <f>IFERROR(__xludf.DUMMYFUNCTION("""COMPUTED_VALUE"""),"110cc")</f>
        <v>110cc</v>
      </c>
      <c r="I1448" s="1076" t="str">
        <f>IFERROR(__xludf.DUMMYFUNCTION("""COMPUTED_VALUE"""),"RLHJA3915KY114711")</f>
        <v>RLHJA3915KY114711</v>
      </c>
      <c r="J1448" s="1076" t="str">
        <f>IFERROR(__xludf.DUMMYFUNCTION("""COMPUTED_VALUE"""),"JA39E0971106")</f>
        <v>JA39E0971106</v>
      </c>
      <c r="K1448" s="1076">
        <f>IFERROR(__xludf.DUMMYFUNCTION("""COMPUTED_VALUE"""),0.5)</f>
        <v>0.5</v>
      </c>
      <c r="L1448" s="1076" t="str">
        <f>IFERROR(__xludf.DUMMYFUNCTION("""COMPUTED_VALUE"""),"KLH")</f>
        <v>KLH</v>
      </c>
    </row>
    <row r="1449" customHeight="1" spans="1:12">
      <c r="A1449" s="1076" t="str">
        <f>IFERROR(__xludf.DUMMYFUNCTION("""COMPUTED_VALUE"""),"XD1-XMA-006")</f>
        <v>XD1-XMA-006</v>
      </c>
      <c r="B1449" s="1075" t="str">
        <f>IFERROR(__xludf.DUMMYFUNCTION("""COMPUTED_VALUE"""),"Xe máy thu hoạch")</f>
        <v>Xe máy thu hoạch</v>
      </c>
      <c r="C1449" s="1076" t="str">
        <f>IFERROR(__xludf.DUMMYFUNCTION("""COMPUTED_VALUE"""),"XN Chuối DP1")</f>
        <v>XN Chuối DP1</v>
      </c>
      <c r="D1449" s="1076" t="str">
        <f>IFERROR(__xludf.DUMMYFUNCTION("""COMPUTED_VALUE"""),"HONDA")</f>
        <v>HONDA</v>
      </c>
      <c r="E1449" s="1076" t="str">
        <f>IFERROR(__xludf.DUMMYFUNCTION("""COMPUTED_VALUE"""),"VIỆT NAM")</f>
        <v>VIỆT NAM</v>
      </c>
      <c r="F1449" s="1076"/>
      <c r="G1449" s="1076" t="str">
        <f>IFERROR(__xludf.DUMMYFUNCTION("""COMPUTED_VALUE"""),"WAVE A")</f>
        <v>WAVE A</v>
      </c>
      <c r="H1449" s="1076" t="str">
        <f>IFERROR(__xludf.DUMMYFUNCTION("""COMPUTED_VALUE"""),"110cc")</f>
        <v>110cc</v>
      </c>
      <c r="I1449" s="1076" t="str">
        <f>IFERROR(__xludf.DUMMYFUNCTION("""COMPUTED_VALUE"""),"RLHJA3928NY234676")</f>
        <v>RLHJA3928NY234676</v>
      </c>
      <c r="J1449" s="1076" t="str">
        <f>IFERROR(__xludf.DUMMYFUNCTION("""COMPUTED_VALUE"""),"JA39E2731736")</f>
        <v>JA39E2731736</v>
      </c>
      <c r="K1449" s="1076">
        <f>IFERROR(__xludf.DUMMYFUNCTION("""COMPUTED_VALUE"""),0.5)</f>
        <v>0.5</v>
      </c>
      <c r="L1449" s="1076" t="str">
        <f>IFERROR(__xludf.DUMMYFUNCTION("""COMPUTED_VALUE"""),"KLH")</f>
        <v>KLH</v>
      </c>
    </row>
    <row r="1450" customHeight="1" spans="1:12">
      <c r="A1450" s="1076" t="str">
        <f>IFERROR(__xludf.DUMMYFUNCTION("""COMPUTED_VALUE"""),"XD1-XMA-007")</f>
        <v>XD1-XMA-007</v>
      </c>
      <c r="B1450" s="1075" t="str">
        <f>IFERROR(__xludf.DUMMYFUNCTION("""COMPUTED_VALUE"""),"Xe máy thu hoạch")</f>
        <v>Xe máy thu hoạch</v>
      </c>
      <c r="C1450" s="1076" t="str">
        <f>IFERROR(__xludf.DUMMYFUNCTION("""COMPUTED_VALUE"""),"XN Chuối DP1")</f>
        <v>XN Chuối DP1</v>
      </c>
      <c r="D1450" s="1076" t="str">
        <f>IFERROR(__xludf.DUMMYFUNCTION("""COMPUTED_VALUE"""),"HONDA")</f>
        <v>HONDA</v>
      </c>
      <c r="E1450" s="1076" t="str">
        <f>IFERROR(__xludf.DUMMYFUNCTION("""COMPUTED_VALUE"""),"VIỆT NAM")</f>
        <v>VIỆT NAM</v>
      </c>
      <c r="F1450" s="1076"/>
      <c r="G1450" s="1076" t="str">
        <f>IFERROR(__xludf.DUMMYFUNCTION("""COMPUTED_VALUE"""),"WAVE A")</f>
        <v>WAVE A</v>
      </c>
      <c r="H1450" s="1076" t="str">
        <f>IFERROR(__xludf.DUMMYFUNCTION("""COMPUTED_VALUE"""),"110cc")</f>
        <v>110cc</v>
      </c>
      <c r="I1450" s="1076" t="str">
        <f>IFERROR(__xludf.DUMMYFUNCTION("""COMPUTED_VALUE"""),"RLHJA3910KY340347")</f>
        <v>RLHJA3910KY340347</v>
      </c>
      <c r="J1450" s="1076" t="str">
        <f>IFERROR(__xludf.DUMMYFUNCTION("""COMPUTED_VALUE"""),"JA3951206095")</f>
        <v>JA3951206095</v>
      </c>
      <c r="K1450" s="1076">
        <f>IFERROR(__xludf.DUMMYFUNCTION("""COMPUTED_VALUE"""),0.5)</f>
        <v>0.5</v>
      </c>
      <c r="L1450" s="1076" t="str">
        <f>IFERROR(__xludf.DUMMYFUNCTION("""COMPUTED_VALUE"""),"KLH")</f>
        <v>KLH</v>
      </c>
    </row>
    <row r="1451" customHeight="1" spans="1:12">
      <c r="A1451" s="1076" t="str">
        <f>IFERROR(__xludf.DUMMYFUNCTION("""COMPUTED_VALUE"""),"XD1-XMA-008")</f>
        <v>XD1-XMA-008</v>
      </c>
      <c r="B1451" s="1075" t="str">
        <f>IFERROR(__xludf.DUMMYFUNCTION("""COMPUTED_VALUE"""),"Xe máy thu hoạch")</f>
        <v>Xe máy thu hoạch</v>
      </c>
      <c r="C1451" s="1076" t="str">
        <f>IFERROR(__xludf.DUMMYFUNCTION("""COMPUTED_VALUE"""),"XN Chuối DP1")</f>
        <v>XN Chuối DP1</v>
      </c>
      <c r="D1451" s="1076" t="str">
        <f>IFERROR(__xludf.DUMMYFUNCTION("""COMPUTED_VALUE"""),"HONDA")</f>
        <v>HONDA</v>
      </c>
      <c r="E1451" s="1076" t="str">
        <f>IFERROR(__xludf.DUMMYFUNCTION("""COMPUTED_VALUE"""),"VIỆT NAM")</f>
        <v>VIỆT NAM</v>
      </c>
      <c r="F1451" s="1076"/>
      <c r="G1451" s="1076" t="str">
        <f>IFERROR(__xludf.DUMMYFUNCTION("""COMPUTED_VALUE"""),"WAVE A")</f>
        <v>WAVE A</v>
      </c>
      <c r="H1451" s="1076" t="str">
        <f>IFERROR(__xludf.DUMMYFUNCTION("""COMPUTED_VALUE"""),"110cc")</f>
        <v>110cc</v>
      </c>
      <c r="I1451" s="1076" t="str">
        <f>IFERROR(__xludf.DUMMYFUNCTION("""COMPUTED_VALUE"""),"RLHJA390GHY276699")</f>
        <v>RLHJA390GHY276699</v>
      </c>
      <c r="J1451" s="1076" t="str">
        <f>IFERROR(__xludf.DUMMYFUNCTION("""COMPUTED_VALUE"""),"JAS9E-0276691")</f>
        <v>JAS9E-0276691</v>
      </c>
      <c r="K1451" s="1076">
        <f>IFERROR(__xludf.DUMMYFUNCTION("""COMPUTED_VALUE"""),0.5)</f>
        <v>0.5</v>
      </c>
      <c r="L1451" s="1076" t="str">
        <f>IFERROR(__xludf.DUMMYFUNCTION("""COMPUTED_VALUE"""),"KLH")</f>
        <v>KLH</v>
      </c>
    </row>
    <row r="1452" customHeight="1" spans="1:12">
      <c r="A1452" s="1076" t="str">
        <f>IFERROR(__xludf.DUMMYFUNCTION("""COMPUTED_VALUE"""),"XD1-XMA-011")</f>
        <v>XD1-XMA-011</v>
      </c>
      <c r="B1452" s="1075" t="str">
        <f>IFERROR(__xludf.DUMMYFUNCTION("""COMPUTED_VALUE"""),"Xe máy thu hoạch")</f>
        <v>Xe máy thu hoạch</v>
      </c>
      <c r="C1452" s="1076" t="str">
        <f>IFERROR(__xludf.DUMMYFUNCTION("""COMPUTED_VALUE"""),"XN Chuối DP1")</f>
        <v>XN Chuối DP1</v>
      </c>
      <c r="D1452" s="1076" t="str">
        <f>IFERROR(__xludf.DUMMYFUNCTION("""COMPUTED_VALUE"""),"HONDA")</f>
        <v>HONDA</v>
      </c>
      <c r="E1452" s="1076" t="str">
        <f>IFERROR(__xludf.DUMMYFUNCTION("""COMPUTED_VALUE"""),"VIỆT NAM")</f>
        <v>VIỆT NAM</v>
      </c>
      <c r="F1452" s="1076"/>
      <c r="G1452" s="1076" t="str">
        <f>IFERROR(__xludf.DUMMYFUNCTION("""COMPUTED_VALUE"""),"WAVE A")</f>
        <v>WAVE A</v>
      </c>
      <c r="H1452" s="1076" t="str">
        <f>IFERROR(__xludf.DUMMYFUNCTION("""COMPUTED_VALUE"""),"110cc")</f>
        <v>110cc</v>
      </c>
      <c r="I1452" s="1076" t="str">
        <f>IFERROR(__xludf.DUMMYFUNCTION("""COMPUTED_VALUE"""),"RLHJA391XLY039134")</f>
        <v>RLHJA391XLY039134</v>
      </c>
      <c r="J1452" s="1076" t="str">
        <f>IFERROR(__xludf.DUMMYFUNCTION("""COMPUTED_VALUE"""),"JAS9E-1373865")</f>
        <v>JAS9E-1373865</v>
      </c>
      <c r="K1452" s="1076">
        <f>IFERROR(__xludf.DUMMYFUNCTION("""COMPUTED_VALUE"""),0.5)</f>
        <v>0.5</v>
      </c>
      <c r="L1452" s="1076" t="str">
        <f>IFERROR(__xludf.DUMMYFUNCTION("""COMPUTED_VALUE"""),"KLH")</f>
        <v>KLH</v>
      </c>
    </row>
    <row r="1453" customHeight="1" spans="1:12">
      <c r="A1453" s="1076" t="str">
        <f>IFERROR(__xludf.DUMMYFUNCTION("""COMPUTED_VALUE"""),"XD1-XMA-015")</f>
        <v>XD1-XMA-015</v>
      </c>
      <c r="B1453" s="1075" t="str">
        <f>IFERROR(__xludf.DUMMYFUNCTION("""COMPUTED_VALUE"""),"Xe máy thu hoạch")</f>
        <v>Xe máy thu hoạch</v>
      </c>
      <c r="C1453" s="1076" t="str">
        <f>IFERROR(__xludf.DUMMYFUNCTION("""COMPUTED_VALUE"""),"XN Chuối DP1")</f>
        <v>XN Chuối DP1</v>
      </c>
      <c r="D1453" s="1076" t="str">
        <f>IFERROR(__xludf.DUMMYFUNCTION("""COMPUTED_VALUE"""),"HONDA")</f>
        <v>HONDA</v>
      </c>
      <c r="E1453" s="1076" t="str">
        <f>IFERROR(__xludf.DUMMYFUNCTION("""COMPUTED_VALUE"""),"VIỆT NAM")</f>
        <v>VIỆT NAM</v>
      </c>
      <c r="F1453" s="1076"/>
      <c r="G1453" s="1076" t="str">
        <f>IFERROR(__xludf.DUMMYFUNCTION("""COMPUTED_VALUE"""),"WAVE A")</f>
        <v>WAVE A</v>
      </c>
      <c r="H1453" s="1076" t="str">
        <f>IFERROR(__xludf.DUMMYFUNCTION("""COMPUTED_VALUE"""),"110cc")</f>
        <v>110cc</v>
      </c>
      <c r="I1453" s="1076" t="str">
        <f>IFERROR(__xludf.DUMMYFUNCTION("""COMPUTED_VALUE"""),"RLHJA39HY-582682")</f>
        <v>RLHJA39HY-582682</v>
      </c>
      <c r="J1453" s="1076" t="str">
        <f>IFERROR(__xludf.DUMMYFUNCTION("""COMPUTED_VALUE"""),"JA39E-0557832")</f>
        <v>JA39E-0557832</v>
      </c>
      <c r="K1453" s="1076">
        <f>IFERROR(__xludf.DUMMYFUNCTION("""COMPUTED_VALUE"""),0.5)</f>
        <v>0.5</v>
      </c>
      <c r="L1453" s="1076" t="str">
        <f>IFERROR(__xludf.DUMMYFUNCTION("""COMPUTED_VALUE"""),"KLH")</f>
        <v>KLH</v>
      </c>
    </row>
    <row r="1454" customHeight="1" spans="1:12">
      <c r="A1454" s="1076" t="str">
        <f>IFERROR(__xludf.DUMMYFUNCTION("""COMPUTED_VALUE"""),"XN DP2")</f>
        <v>XN DP2</v>
      </c>
      <c r="B1454" s="1075"/>
      <c r="C1454" s="1076"/>
      <c r="D1454" s="1076"/>
      <c r="E1454" s="1076"/>
      <c r="F1454" s="1076"/>
      <c r="G1454" s="1076"/>
      <c r="H1454" s="1076"/>
      <c r="I1454" s="1076"/>
      <c r="J1454" s="1076"/>
      <c r="K1454" s="1076"/>
      <c r="L1454" s="1076" t="str">
        <f>IFERROR(__xludf.DUMMYFUNCTION("""COMPUTED_VALUE"""),"KLH")</f>
        <v>KLH</v>
      </c>
    </row>
    <row r="1455" customHeight="1" spans="1:12">
      <c r="A1455" s="1076" t="str">
        <f>IFERROR(__xludf.DUMMYFUNCTION("""COMPUTED_VALUE"""),"XD2-XMA-003")</f>
        <v>XD2-XMA-003</v>
      </c>
      <c r="B1455" s="1075" t="str">
        <f>IFERROR(__xludf.DUMMYFUNCTION("""COMPUTED_VALUE"""),"Xe máy thu hoạch")</f>
        <v>Xe máy thu hoạch</v>
      </c>
      <c r="C1455" s="1076" t="str">
        <f>IFERROR(__xludf.DUMMYFUNCTION("""COMPUTED_VALUE"""),"XN Chuối DP2")</f>
        <v>XN Chuối DP2</v>
      </c>
      <c r="D1455" s="1076" t="str">
        <f>IFERROR(__xludf.DUMMYFUNCTION("""COMPUTED_VALUE"""),"HONDA")</f>
        <v>HONDA</v>
      </c>
      <c r="E1455" s="1076" t="str">
        <f>IFERROR(__xludf.DUMMYFUNCTION("""COMPUTED_VALUE"""),"VIỆT NAM")</f>
        <v>VIỆT NAM</v>
      </c>
      <c r="F1455" s="1076"/>
      <c r="G1455" s="1076" t="str">
        <f>IFERROR(__xludf.DUMMYFUNCTION("""COMPUTED_VALUE"""),"WAVE A")</f>
        <v>WAVE A</v>
      </c>
      <c r="H1455" s="1076" t="str">
        <f>IFERROR(__xludf.DUMMYFUNCTION("""COMPUTED_VALUE"""),"110cc")</f>
        <v>110cc</v>
      </c>
      <c r="I1455" s="1076" t="str">
        <f>IFERROR(__xludf.DUMMYFUNCTION("""COMPUTED_VALUE"""),"RLA139251023176")</f>
        <v>RLA139251023176</v>
      </c>
      <c r="J1455" s="1076" t="str">
        <f>IFERROR(__xludf.DUMMYFUNCTION("""COMPUTED_VALUE"""),"JA39E-2163180")</f>
        <v>JA39E-2163180</v>
      </c>
      <c r="K1455" s="1076">
        <f>IFERROR(__xludf.DUMMYFUNCTION("""COMPUTED_VALUE"""),0.5)</f>
        <v>0.5</v>
      </c>
      <c r="L1455" s="1076" t="str">
        <f>IFERROR(__xludf.DUMMYFUNCTION("""COMPUTED_VALUE"""),"KLH")</f>
        <v>KLH</v>
      </c>
    </row>
    <row r="1456" customHeight="1" spans="1:12">
      <c r="A1456" s="1076" t="str">
        <f>IFERROR(__xludf.DUMMYFUNCTION("""COMPUTED_VALUE"""),"XD2-XMA-005")</f>
        <v>XD2-XMA-005</v>
      </c>
      <c r="B1456" s="1075" t="str">
        <f>IFERROR(__xludf.DUMMYFUNCTION("""COMPUTED_VALUE"""),"Xe máy thu hoạch")</f>
        <v>Xe máy thu hoạch</v>
      </c>
      <c r="C1456" s="1076" t="str">
        <f>IFERROR(__xludf.DUMMYFUNCTION("""COMPUTED_VALUE"""),"XN Chuối DP2")</f>
        <v>XN Chuối DP2</v>
      </c>
      <c r="D1456" s="1076" t="str">
        <f>IFERROR(__xludf.DUMMYFUNCTION("""COMPUTED_VALUE"""),"HONDA")</f>
        <v>HONDA</v>
      </c>
      <c r="E1456" s="1076" t="str">
        <f>IFERROR(__xludf.DUMMYFUNCTION("""COMPUTED_VALUE"""),"VIỆT NAM")</f>
        <v>VIỆT NAM</v>
      </c>
      <c r="F1456" s="1076"/>
      <c r="G1456" s="1076" t="str">
        <f>IFERROR(__xludf.DUMMYFUNCTION("""COMPUTED_VALUE"""),"WAVE A")</f>
        <v>WAVE A</v>
      </c>
      <c r="H1456" s="1076" t="str">
        <f>IFERROR(__xludf.DUMMYFUNCTION("""COMPUTED_VALUE"""),"110cc")</f>
        <v>110cc</v>
      </c>
      <c r="I1456" s="1076" t="str">
        <f>IFERROR(__xludf.DUMMYFUNCTION("""COMPUTED_VALUE"""),"RLHJA13924LY002900")</f>
        <v>RLHJA13924LY002900</v>
      </c>
      <c r="J1456" s="1076" t="str">
        <f>IFERROR(__xludf.DUMMYFUNCTION("""COMPUTED_VALUE"""),"JA39E-2002957")</f>
        <v>JA39E-2002957</v>
      </c>
      <c r="K1456" s="1076">
        <f>IFERROR(__xludf.DUMMYFUNCTION("""COMPUTED_VALUE"""),0.5)</f>
        <v>0.5</v>
      </c>
      <c r="L1456" s="1076" t="str">
        <f>IFERROR(__xludf.DUMMYFUNCTION("""COMPUTED_VALUE"""),"KLH")</f>
        <v>KLH</v>
      </c>
    </row>
    <row r="1457" customHeight="1" spans="1:12">
      <c r="A1457" s="1076" t="str">
        <f>IFERROR(__xludf.DUMMYFUNCTION("""COMPUTED_VALUE"""),"XD2-XMA-006")</f>
        <v>XD2-XMA-006</v>
      </c>
      <c r="B1457" s="1075" t="str">
        <f>IFERROR(__xludf.DUMMYFUNCTION("""COMPUTED_VALUE"""),"Xe máy thu hoạch")</f>
        <v>Xe máy thu hoạch</v>
      </c>
      <c r="C1457" s="1076" t="str">
        <f>IFERROR(__xludf.DUMMYFUNCTION("""COMPUTED_VALUE"""),"XN Chuối DP2")</f>
        <v>XN Chuối DP2</v>
      </c>
      <c r="D1457" s="1076" t="str">
        <f>IFERROR(__xludf.DUMMYFUNCTION("""COMPUTED_VALUE"""),"HONDA")</f>
        <v>HONDA</v>
      </c>
      <c r="E1457" s="1076" t="str">
        <f>IFERROR(__xludf.DUMMYFUNCTION("""COMPUTED_VALUE"""),"VIỆT NAM")</f>
        <v>VIỆT NAM</v>
      </c>
      <c r="F1457" s="1076"/>
      <c r="G1457" s="1076" t="str">
        <f>IFERROR(__xludf.DUMMYFUNCTION("""COMPUTED_VALUE"""),"WAVE A")</f>
        <v>WAVE A</v>
      </c>
      <c r="H1457" s="1076" t="str">
        <f>IFERROR(__xludf.DUMMYFUNCTION("""COMPUTED_VALUE"""),"110cc")</f>
        <v>110cc</v>
      </c>
      <c r="I1457" s="1076" t="str">
        <f>IFERROR(__xludf.DUMMYFUNCTION("""COMPUTED_VALUE"""),"RLHJA3901HY174923")</f>
        <v>RLHJA3901HY174923</v>
      </c>
      <c r="J1457" s="1076" t="str">
        <f>IFERROR(__xludf.DUMMYFUNCTION("""COMPUTED_VALUE"""),"JA39E-'0174954")</f>
        <v>JA39E-'0174954</v>
      </c>
      <c r="K1457" s="1076">
        <f>IFERROR(__xludf.DUMMYFUNCTION("""COMPUTED_VALUE"""),0.5)</f>
        <v>0.5</v>
      </c>
      <c r="L1457" s="1076" t="str">
        <f>IFERROR(__xludf.DUMMYFUNCTION("""COMPUTED_VALUE"""),"KLH")</f>
        <v>KLH</v>
      </c>
    </row>
    <row r="1458" customHeight="1" spans="1:12">
      <c r="A1458" s="1076" t="str">
        <f>IFERROR(__xludf.DUMMYFUNCTION("""COMPUTED_VALUE"""),"XD2-XMA-009")</f>
        <v>XD2-XMA-009</v>
      </c>
      <c r="B1458" s="1075" t="str">
        <f>IFERROR(__xludf.DUMMYFUNCTION("""COMPUTED_VALUE"""),"Xe máy thu hoạch")</f>
        <v>Xe máy thu hoạch</v>
      </c>
      <c r="C1458" s="1076" t="str">
        <f>IFERROR(__xludf.DUMMYFUNCTION("""COMPUTED_VALUE"""),"XN Chuối DP2")</f>
        <v>XN Chuối DP2</v>
      </c>
      <c r="D1458" s="1076" t="str">
        <f>IFERROR(__xludf.DUMMYFUNCTION("""COMPUTED_VALUE"""),"HONDA")</f>
        <v>HONDA</v>
      </c>
      <c r="E1458" s="1076" t="str">
        <f>IFERROR(__xludf.DUMMYFUNCTION("""COMPUTED_VALUE"""),"VIỆT NAM")</f>
        <v>VIỆT NAM</v>
      </c>
      <c r="F1458" s="1076"/>
      <c r="G1458" s="1076" t="str">
        <f>IFERROR(__xludf.DUMMYFUNCTION("""COMPUTED_VALUE"""),"WAVE A")</f>
        <v>WAVE A</v>
      </c>
      <c r="H1458" s="1076" t="str">
        <f>IFERROR(__xludf.DUMMYFUNCTION("""COMPUTED_VALUE"""),"110cc")</f>
        <v>110cc</v>
      </c>
      <c r="I1458" s="1076" t="str">
        <f>IFERROR(__xludf.DUMMYFUNCTION("""COMPUTED_VALUE"""),"RLHJ3907HY88986")</f>
        <v>RLHJ3907HY88986</v>
      </c>
      <c r="J1458" s="1076" t="str">
        <f>IFERROR(__xludf.DUMMYFUNCTION("""COMPUTED_VALUE"""),"JA39E-'0189341")</f>
        <v>JA39E-'0189341</v>
      </c>
      <c r="K1458" s="1076">
        <f>IFERROR(__xludf.DUMMYFUNCTION("""COMPUTED_VALUE"""),0.5)</f>
        <v>0.5</v>
      </c>
      <c r="L1458" s="1076" t="str">
        <f>IFERROR(__xludf.DUMMYFUNCTION("""COMPUTED_VALUE"""),"KLH")</f>
        <v>KLH</v>
      </c>
    </row>
    <row r="1459" customHeight="1" spans="1:12">
      <c r="A1459" s="1076" t="str">
        <f>IFERROR(__xludf.DUMMYFUNCTION("""COMPUTED_VALUE"""),"XD2-XMA-010")</f>
        <v>XD2-XMA-010</v>
      </c>
      <c r="B1459" s="1075" t="str">
        <f>IFERROR(__xludf.DUMMYFUNCTION("""COMPUTED_VALUE"""),"Xe máy thu hoạch")</f>
        <v>Xe máy thu hoạch</v>
      </c>
      <c r="C1459" s="1076" t="str">
        <f>IFERROR(__xludf.DUMMYFUNCTION("""COMPUTED_VALUE"""),"XN Chuối DP2")</f>
        <v>XN Chuối DP2</v>
      </c>
      <c r="D1459" s="1076" t="str">
        <f>IFERROR(__xludf.DUMMYFUNCTION("""COMPUTED_VALUE"""),"HONDA")</f>
        <v>HONDA</v>
      </c>
      <c r="E1459" s="1076" t="str">
        <f>IFERROR(__xludf.DUMMYFUNCTION("""COMPUTED_VALUE"""),"VIỆT NAM")</f>
        <v>VIỆT NAM</v>
      </c>
      <c r="F1459" s="1076"/>
      <c r="G1459" s="1076" t="str">
        <f>IFERROR(__xludf.DUMMYFUNCTION("""COMPUTED_VALUE"""),"WAVE A")</f>
        <v>WAVE A</v>
      </c>
      <c r="H1459" s="1076" t="str">
        <f>IFERROR(__xludf.DUMMYFUNCTION("""COMPUTED_VALUE"""),"110cc")</f>
        <v>110cc</v>
      </c>
      <c r="I1459" s="1076" t="str">
        <f>IFERROR(__xludf.DUMMYFUNCTION("""COMPUTED_VALUE"""),"RLHJA3924HY22080")</f>
        <v>RLHJA3924HY22080</v>
      </c>
      <c r="J1459" s="1076" t="str">
        <f>IFERROR(__xludf.DUMMYFUNCTION("""COMPUTED_VALUE"""),"JA39E-'022080")</f>
        <v>JA39E-'022080</v>
      </c>
      <c r="K1459" s="1076">
        <f>IFERROR(__xludf.DUMMYFUNCTION("""COMPUTED_VALUE"""),0.5)</f>
        <v>0.5</v>
      </c>
      <c r="L1459" s="1076" t="str">
        <f>IFERROR(__xludf.DUMMYFUNCTION("""COMPUTED_VALUE"""),"KLH")</f>
        <v>KLH</v>
      </c>
    </row>
    <row r="1460" customHeight="1" spans="1:12">
      <c r="A1460" s="1076" t="str">
        <f>IFERROR(__xludf.DUMMYFUNCTION("""COMPUTED_VALUE"""),"XD2-XMA-011")</f>
        <v>XD2-XMA-011</v>
      </c>
      <c r="B1460" s="1075" t="str">
        <f>IFERROR(__xludf.DUMMYFUNCTION("""COMPUTED_VALUE"""),"Xe máy thu hoạch")</f>
        <v>Xe máy thu hoạch</v>
      </c>
      <c r="C1460" s="1076" t="str">
        <f>IFERROR(__xludf.DUMMYFUNCTION("""COMPUTED_VALUE"""),"XN Chuối DP2")</f>
        <v>XN Chuối DP2</v>
      </c>
      <c r="D1460" s="1076" t="str">
        <f>IFERROR(__xludf.DUMMYFUNCTION("""COMPUTED_VALUE"""),"HONDA")</f>
        <v>HONDA</v>
      </c>
      <c r="E1460" s="1076" t="str">
        <f>IFERROR(__xludf.DUMMYFUNCTION("""COMPUTED_VALUE"""),"VIỆT NAM")</f>
        <v>VIỆT NAM</v>
      </c>
      <c r="F1460" s="1076"/>
      <c r="G1460" s="1076" t="str">
        <f>IFERROR(__xludf.DUMMYFUNCTION("""COMPUTED_VALUE"""),"WAVE A")</f>
        <v>WAVE A</v>
      </c>
      <c r="H1460" s="1076" t="str">
        <f>IFERROR(__xludf.DUMMYFUNCTION("""COMPUTED_VALUE"""),"110cc")</f>
        <v>110cc</v>
      </c>
      <c r="I1460" s="1076" t="str">
        <f>IFERROR(__xludf.DUMMYFUNCTION("""COMPUTED_VALUE"""),"RLHJA3908HY135231")</f>
        <v>RLHJA3908HY135231</v>
      </c>
      <c r="J1460" s="1076" t="str">
        <f>IFERROR(__xludf.DUMMYFUNCTION("""COMPUTED_VALUE"""),"JA39E-'013523")</f>
        <v>JA39E-'013523</v>
      </c>
      <c r="K1460" s="1076">
        <f>IFERROR(__xludf.DUMMYFUNCTION("""COMPUTED_VALUE"""),0.5)</f>
        <v>0.5</v>
      </c>
      <c r="L1460" s="1076" t="str">
        <f>IFERROR(__xludf.DUMMYFUNCTION("""COMPUTED_VALUE"""),"KLH")</f>
        <v>KLH</v>
      </c>
    </row>
    <row r="1461" customHeight="1" spans="1:12">
      <c r="A1461" s="1076" t="str">
        <f>IFERROR(__xludf.DUMMYFUNCTION("""COMPUTED_VALUE"""),"XD2-XMA-013")</f>
        <v>XD2-XMA-013</v>
      </c>
      <c r="B1461" s="1075" t="str">
        <f>IFERROR(__xludf.DUMMYFUNCTION("""COMPUTED_VALUE"""),"Xe máy thu hoạch")</f>
        <v>Xe máy thu hoạch</v>
      </c>
      <c r="C1461" s="1076" t="str">
        <f>IFERROR(__xludf.DUMMYFUNCTION("""COMPUTED_VALUE"""),"XN Chuối DP2")</f>
        <v>XN Chuối DP2</v>
      </c>
      <c r="D1461" s="1076" t="str">
        <f>IFERROR(__xludf.DUMMYFUNCTION("""COMPUTED_VALUE"""),"HONDA")</f>
        <v>HONDA</v>
      </c>
      <c r="E1461" s="1076" t="str">
        <f>IFERROR(__xludf.DUMMYFUNCTION("""COMPUTED_VALUE"""),"VIỆT NAM")</f>
        <v>VIỆT NAM</v>
      </c>
      <c r="F1461" s="1076"/>
      <c r="G1461" s="1076" t="str">
        <f>IFERROR(__xludf.DUMMYFUNCTION("""COMPUTED_VALUE"""),"WAVE A")</f>
        <v>WAVE A</v>
      </c>
      <c r="H1461" s="1076" t="str">
        <f>IFERROR(__xludf.DUMMYFUNCTION("""COMPUTED_VALUE"""),"110cc")</f>
        <v>110cc</v>
      </c>
      <c r="I1461" s="1076" t="str">
        <f>IFERROR(__xludf.DUMMYFUNCTION("""COMPUTED_VALUE"""),"RLHJA13923HY066928")</f>
        <v>RLHJA13923HY066928</v>
      </c>
      <c r="J1461" s="1076" t="str">
        <f>IFERROR(__xludf.DUMMYFUNCTION("""COMPUTED_VALUE"""),"JA39E-2184232")</f>
        <v>JA39E-2184232</v>
      </c>
      <c r="K1461" s="1076">
        <f>IFERROR(__xludf.DUMMYFUNCTION("""COMPUTED_VALUE"""),0.5)</f>
        <v>0.5</v>
      </c>
      <c r="L1461" s="1076" t="str">
        <f>IFERROR(__xludf.DUMMYFUNCTION("""COMPUTED_VALUE"""),"KLH")</f>
        <v>KLH</v>
      </c>
    </row>
    <row r="1462" customHeight="1" spans="1:12">
      <c r="A1462" s="1076" t="str">
        <f>IFERROR(__xludf.DUMMYFUNCTION("""COMPUTED_VALUE"""),"XD2-XMA-014")</f>
        <v>XD2-XMA-014</v>
      </c>
      <c r="B1462" s="1075" t="str">
        <f>IFERROR(__xludf.DUMMYFUNCTION("""COMPUTED_VALUE"""),"Xe máy thu hoạch")</f>
        <v>Xe máy thu hoạch</v>
      </c>
      <c r="C1462" s="1076" t="str">
        <f>IFERROR(__xludf.DUMMYFUNCTION("""COMPUTED_VALUE"""),"XN Chuối DP2")</f>
        <v>XN Chuối DP2</v>
      </c>
      <c r="D1462" s="1076" t="str">
        <f>IFERROR(__xludf.DUMMYFUNCTION("""COMPUTED_VALUE"""),"HONDA")</f>
        <v>HONDA</v>
      </c>
      <c r="E1462" s="1076" t="str">
        <f>IFERROR(__xludf.DUMMYFUNCTION("""COMPUTED_VALUE"""),"VIỆT NAM")</f>
        <v>VIỆT NAM</v>
      </c>
      <c r="F1462" s="1076"/>
      <c r="G1462" s="1076" t="str">
        <f>IFERROR(__xludf.DUMMYFUNCTION("""COMPUTED_VALUE"""),"WAVE A")</f>
        <v>WAVE A</v>
      </c>
      <c r="H1462" s="1076" t="str">
        <f>IFERROR(__xludf.DUMMYFUNCTION("""COMPUTED_VALUE"""),"110cc")</f>
        <v>110cc</v>
      </c>
      <c r="I1462" s="1076" t="str">
        <f>IFERROR(__xludf.DUMMYFUNCTION("""COMPUTED_VALUE"""),"RLHJA391XKY3991273")</f>
        <v>RLHJA391XKY3991273</v>
      </c>
      <c r="J1462" s="1076" t="str">
        <f>IFERROR(__xludf.DUMMYFUNCTION("""COMPUTED_VALUE"""),"JA39E -1259607")</f>
        <v>JA39E -1259607</v>
      </c>
      <c r="K1462" s="1076">
        <f>IFERROR(__xludf.DUMMYFUNCTION("""COMPUTED_VALUE"""),0.5)</f>
        <v>0.5</v>
      </c>
      <c r="L1462" s="1076" t="str">
        <f>IFERROR(__xludf.DUMMYFUNCTION("""COMPUTED_VALUE"""),"KLH")</f>
        <v>KLH</v>
      </c>
    </row>
    <row r="1463" customHeight="1" spans="1:12">
      <c r="A1463" s="1076" t="str">
        <f>IFERROR(__xludf.DUMMYFUNCTION("""COMPUTED_VALUE"""),"XN DP3")</f>
        <v>XN DP3</v>
      </c>
      <c r="B1463" s="1075"/>
      <c r="C1463" s="1076"/>
      <c r="D1463" s="1076"/>
      <c r="E1463" s="1076"/>
      <c r="F1463" s="1076"/>
      <c r="G1463" s="1076"/>
      <c r="H1463" s="1076"/>
      <c r="I1463" s="1076"/>
      <c r="J1463" s="1076"/>
      <c r="K1463" s="1076"/>
      <c r="L1463" s="1076" t="str">
        <f>IFERROR(__xludf.DUMMYFUNCTION("""COMPUTED_VALUE"""),"KLH")</f>
        <v>KLH</v>
      </c>
    </row>
    <row r="1464" customHeight="1" spans="1:12">
      <c r="A1464" s="1076" t="str">
        <f>IFERROR(__xludf.DUMMYFUNCTION("""COMPUTED_VALUE"""),"XD3-XMA-001")</f>
        <v>XD3-XMA-001</v>
      </c>
      <c r="B1464" s="1075" t="str">
        <f>IFERROR(__xludf.DUMMYFUNCTION("""COMPUTED_VALUE"""),"Xe máy thu hoạch")</f>
        <v>Xe máy thu hoạch</v>
      </c>
      <c r="C1464" s="1076" t="str">
        <f>IFERROR(__xludf.DUMMYFUNCTION("""COMPUTED_VALUE"""),"XN Chuối DP3")</f>
        <v>XN Chuối DP3</v>
      </c>
      <c r="D1464" s="1076" t="str">
        <f>IFERROR(__xludf.DUMMYFUNCTION("""COMPUTED_VALUE"""),"HONDA")</f>
        <v>HONDA</v>
      </c>
      <c r="E1464" s="1076" t="str">
        <f>IFERROR(__xludf.DUMMYFUNCTION("""COMPUTED_VALUE"""),"VIỆT NAM")</f>
        <v>VIỆT NAM</v>
      </c>
      <c r="F1464" s="1076"/>
      <c r="G1464" s="1076" t="str">
        <f>IFERROR(__xludf.DUMMYFUNCTION("""COMPUTED_VALUE"""),"WAVE A")</f>
        <v>WAVE A</v>
      </c>
      <c r="H1464" s="1076" t="str">
        <f>IFERROR(__xludf.DUMMYFUNCTION("""COMPUTED_VALUE"""),"110cc")</f>
        <v>110cc</v>
      </c>
      <c r="I1464" s="1076" t="str">
        <f>IFERROR(__xludf.DUMMYFUNCTION("""COMPUTED_VALUE"""),"RLHJA3923NY298611")</f>
        <v>RLHJA3923NY298611</v>
      </c>
      <c r="J1464" s="1076" t="str">
        <f>IFERROR(__xludf.DUMMYFUNCTION("""COMPUTED_VALUE"""),"JA39E- 2795538")</f>
        <v>JA39E- 2795538</v>
      </c>
      <c r="K1464" s="1076">
        <f>IFERROR(__xludf.DUMMYFUNCTION("""COMPUTED_VALUE"""),0.5)</f>
        <v>0.5</v>
      </c>
      <c r="L1464" s="1076" t="str">
        <f>IFERROR(__xludf.DUMMYFUNCTION("""COMPUTED_VALUE"""),"KLH")</f>
        <v>KLH</v>
      </c>
    </row>
    <row r="1465" customHeight="1" spans="1:12">
      <c r="A1465" s="1076" t="str">
        <f>IFERROR(__xludf.DUMMYFUNCTION("""COMPUTED_VALUE"""),"XD3-XMA-002")</f>
        <v>XD3-XMA-002</v>
      </c>
      <c r="B1465" s="1075" t="str">
        <f>IFERROR(__xludf.DUMMYFUNCTION("""COMPUTED_VALUE"""),"Xe máy thu hoạch")</f>
        <v>Xe máy thu hoạch</v>
      </c>
      <c r="C1465" s="1076" t="str">
        <f>IFERROR(__xludf.DUMMYFUNCTION("""COMPUTED_VALUE"""),"XN Chuối DP3")</f>
        <v>XN Chuối DP3</v>
      </c>
      <c r="D1465" s="1076" t="str">
        <f>IFERROR(__xludf.DUMMYFUNCTION("""COMPUTED_VALUE"""),"HONDA")</f>
        <v>HONDA</v>
      </c>
      <c r="E1465" s="1076" t="str">
        <f>IFERROR(__xludf.DUMMYFUNCTION("""COMPUTED_VALUE"""),"VIỆT NAM")</f>
        <v>VIỆT NAM</v>
      </c>
      <c r="F1465" s="1076"/>
      <c r="G1465" s="1076" t="str">
        <f>IFERROR(__xludf.DUMMYFUNCTION("""COMPUTED_VALUE"""),"WAVE A")</f>
        <v>WAVE A</v>
      </c>
      <c r="H1465" s="1076" t="str">
        <f>IFERROR(__xludf.DUMMYFUNCTION("""COMPUTED_VALUE"""),"110cc")</f>
        <v>110cc</v>
      </c>
      <c r="I1465" s="1076" t="str">
        <f>IFERROR(__xludf.DUMMYFUNCTION("""COMPUTED_VALUE"""),"RLHJA3913KY391096")</f>
        <v>RLHJA3913KY391096</v>
      </c>
      <c r="J1465" s="1076" t="str">
        <f>IFERROR(__xludf.DUMMYFUNCTION("""COMPUTED_VALUE"""),"JA39E- 1259486")</f>
        <v>JA39E- 1259486</v>
      </c>
      <c r="K1465" s="1076">
        <f>IFERROR(__xludf.DUMMYFUNCTION("""COMPUTED_VALUE"""),0.5)</f>
        <v>0.5</v>
      </c>
      <c r="L1465" s="1076" t="str">
        <f>IFERROR(__xludf.DUMMYFUNCTION("""COMPUTED_VALUE"""),"KLH")</f>
        <v>KLH</v>
      </c>
    </row>
    <row r="1466" customHeight="1" spans="1:12">
      <c r="A1466" s="1076" t="str">
        <f>IFERROR(__xludf.DUMMYFUNCTION("""COMPUTED_VALUE"""),"XD3-XMA-005")</f>
        <v>XD3-XMA-005</v>
      </c>
      <c r="B1466" s="1075" t="str">
        <f>IFERROR(__xludf.DUMMYFUNCTION("""COMPUTED_VALUE"""),"Xe máy thu hoạch")</f>
        <v>Xe máy thu hoạch</v>
      </c>
      <c r="C1466" s="1076" t="str">
        <f>IFERROR(__xludf.DUMMYFUNCTION("""COMPUTED_VALUE"""),"XN Chuối DP3")</f>
        <v>XN Chuối DP3</v>
      </c>
      <c r="D1466" s="1076" t="str">
        <f>IFERROR(__xludf.DUMMYFUNCTION("""COMPUTED_VALUE"""),"HONDA")</f>
        <v>HONDA</v>
      </c>
      <c r="E1466" s="1076" t="str">
        <f>IFERROR(__xludf.DUMMYFUNCTION("""COMPUTED_VALUE"""),"VIỆT NAM")</f>
        <v>VIỆT NAM</v>
      </c>
      <c r="F1466" s="1076"/>
      <c r="G1466" s="1076" t="str">
        <f>IFERROR(__xludf.DUMMYFUNCTION("""COMPUTED_VALUE"""),"WAVE A")</f>
        <v>WAVE A</v>
      </c>
      <c r="H1466" s="1076" t="str">
        <f>IFERROR(__xludf.DUMMYFUNCTION("""COMPUTED_VALUE"""),"110cc")</f>
        <v>110cc</v>
      </c>
      <c r="I1466" s="1076" t="str">
        <f>IFERROR(__xludf.DUMMYFUNCTION("""COMPUTED_VALUE"""),"RLHJA3909HY203553")</f>
        <v>RLHJA3909HY203553</v>
      </c>
      <c r="J1466" s="1076" t="str">
        <f>IFERROR(__xludf.DUMMYFUNCTION("""COMPUTED_VALUE"""),"JA39E- 0203613")</f>
        <v>JA39E- 0203613</v>
      </c>
      <c r="K1466" s="1076">
        <f>IFERROR(__xludf.DUMMYFUNCTION("""COMPUTED_VALUE"""),0.5)</f>
        <v>0.5</v>
      </c>
      <c r="L1466" s="1076" t="str">
        <f>IFERROR(__xludf.DUMMYFUNCTION("""COMPUTED_VALUE"""),"KLH")</f>
        <v>KLH</v>
      </c>
    </row>
    <row r="1467" customHeight="1" spans="1:12">
      <c r="A1467" s="1076" t="str">
        <f>IFERROR(__xludf.DUMMYFUNCTION("""COMPUTED_VALUE"""),"XD3-XMA-006")</f>
        <v>XD3-XMA-006</v>
      </c>
      <c r="B1467" s="1075" t="str">
        <f>IFERROR(__xludf.DUMMYFUNCTION("""COMPUTED_VALUE"""),"Xe máy thu hoạch")</f>
        <v>Xe máy thu hoạch</v>
      </c>
      <c r="C1467" s="1076" t="str">
        <f>IFERROR(__xludf.DUMMYFUNCTION("""COMPUTED_VALUE"""),"XN Chuối DP3")</f>
        <v>XN Chuối DP3</v>
      </c>
      <c r="D1467" s="1076" t="str">
        <f>IFERROR(__xludf.DUMMYFUNCTION("""COMPUTED_VALUE"""),"HONDA")</f>
        <v>HONDA</v>
      </c>
      <c r="E1467" s="1076" t="str">
        <f>IFERROR(__xludf.DUMMYFUNCTION("""COMPUTED_VALUE"""),"VIỆT NAM")</f>
        <v>VIỆT NAM</v>
      </c>
      <c r="F1467" s="1076"/>
      <c r="G1467" s="1076" t="str">
        <f>IFERROR(__xludf.DUMMYFUNCTION("""COMPUTED_VALUE"""),"WAVE A")</f>
        <v>WAVE A</v>
      </c>
      <c r="H1467" s="1076" t="str">
        <f>IFERROR(__xludf.DUMMYFUNCTION("""COMPUTED_VALUE"""),"110cc")</f>
        <v>110cc</v>
      </c>
      <c r="I1467" s="1076" t="str">
        <f>IFERROR(__xludf.DUMMYFUNCTION("""COMPUTED_VALUE"""),"RLHGA3915KY189229")</f>
        <v>RLHGA3915KY189229</v>
      </c>
      <c r="J1467" s="1076" t="str">
        <f>IFERROR(__xludf.DUMMYFUNCTION("""COMPUTED_VALUE"""),"JA39E- 1046928")</f>
        <v>JA39E- 1046928</v>
      </c>
      <c r="K1467" s="1076">
        <f>IFERROR(__xludf.DUMMYFUNCTION("""COMPUTED_VALUE"""),0.5)</f>
        <v>0.5</v>
      </c>
      <c r="L1467" s="1076" t="str">
        <f>IFERROR(__xludf.DUMMYFUNCTION("""COMPUTED_VALUE"""),"KLH")</f>
        <v>KLH</v>
      </c>
    </row>
    <row r="1468" customHeight="1" spans="1:12">
      <c r="A1468" s="1076" t="str">
        <f>IFERROR(__xludf.DUMMYFUNCTION("""COMPUTED_VALUE"""),"XD3-XMA-009")</f>
        <v>XD3-XMA-009</v>
      </c>
      <c r="B1468" s="1075" t="str">
        <f>IFERROR(__xludf.DUMMYFUNCTION("""COMPUTED_VALUE"""),"Xe máy thu hoạch")</f>
        <v>Xe máy thu hoạch</v>
      </c>
      <c r="C1468" s="1076" t="str">
        <f>IFERROR(__xludf.DUMMYFUNCTION("""COMPUTED_VALUE"""),"XN Chuối DP3")</f>
        <v>XN Chuối DP3</v>
      </c>
      <c r="D1468" s="1076" t="str">
        <f>IFERROR(__xludf.DUMMYFUNCTION("""COMPUTED_VALUE"""),"HONDA")</f>
        <v>HONDA</v>
      </c>
      <c r="E1468" s="1076" t="str">
        <f>IFERROR(__xludf.DUMMYFUNCTION("""COMPUTED_VALUE"""),"VIỆT NAM")</f>
        <v>VIỆT NAM</v>
      </c>
      <c r="F1468" s="1076"/>
      <c r="G1468" s="1076" t="str">
        <f>IFERROR(__xludf.DUMMYFUNCTION("""COMPUTED_VALUE"""),"WAVE A")</f>
        <v>WAVE A</v>
      </c>
      <c r="H1468" s="1076" t="str">
        <f>IFERROR(__xludf.DUMMYFUNCTION("""COMPUTED_VALUE"""),"110cc")</f>
        <v>110cc</v>
      </c>
      <c r="I1468" s="1076" t="str">
        <f>IFERROR(__xludf.DUMMYFUNCTION("""COMPUTED_VALUE"""),"RLHJA3923MY182260")</f>
        <v>RLHJA3923MY182260</v>
      </c>
      <c r="J1468" s="1076" t="str">
        <f>IFERROR(__xludf.DUMMYFUNCTION("""COMPUTED_VALUE"""),"JA39E- 2300426")</f>
        <v>JA39E- 2300426</v>
      </c>
      <c r="K1468" s="1076">
        <f>IFERROR(__xludf.DUMMYFUNCTION("""COMPUTED_VALUE"""),0.5)</f>
        <v>0.5</v>
      </c>
      <c r="L1468" s="1076" t="str">
        <f>IFERROR(__xludf.DUMMYFUNCTION("""COMPUTED_VALUE"""),"KLH")</f>
        <v>KLH</v>
      </c>
    </row>
    <row r="1469" customHeight="1" spans="1:12">
      <c r="A1469" s="1076" t="str">
        <f>IFERROR(__xludf.DUMMYFUNCTION("""COMPUTED_VALUE"""),"XD3-XMA-013")</f>
        <v>XD3-XMA-013</v>
      </c>
      <c r="B1469" s="1075" t="str">
        <f>IFERROR(__xludf.DUMMYFUNCTION("""COMPUTED_VALUE"""),"Xe máy thu hoạch")</f>
        <v>Xe máy thu hoạch</v>
      </c>
      <c r="C1469" s="1076" t="str">
        <f>IFERROR(__xludf.DUMMYFUNCTION("""COMPUTED_VALUE"""),"XN Chuối DP3")</f>
        <v>XN Chuối DP3</v>
      </c>
      <c r="D1469" s="1076" t="str">
        <f>IFERROR(__xludf.DUMMYFUNCTION("""COMPUTED_VALUE"""),"HONDA")</f>
        <v>HONDA</v>
      </c>
      <c r="E1469" s="1076" t="str">
        <f>IFERROR(__xludf.DUMMYFUNCTION("""COMPUTED_VALUE"""),"VIỆT NAM")</f>
        <v>VIỆT NAM</v>
      </c>
      <c r="F1469" s="1076"/>
      <c r="G1469" s="1076" t="str">
        <f>IFERROR(__xludf.DUMMYFUNCTION("""COMPUTED_VALUE"""),"WAVE A")</f>
        <v>WAVE A</v>
      </c>
      <c r="H1469" s="1076" t="str">
        <f>IFERROR(__xludf.DUMMYFUNCTION("""COMPUTED_VALUE"""),"110cc")</f>
        <v>110cc</v>
      </c>
      <c r="I1469" s="1076" t="str">
        <f>IFERROR(__xludf.DUMMYFUNCTION("""COMPUTED_VALUE"""),"RLHJA3926NY123625")</f>
        <v>RLHJA3926NY123625</v>
      </c>
      <c r="J1469" s="1076" t="str">
        <f>IFERROR(__xludf.DUMMYFUNCTION("""COMPUTED_VALUE"""),"JA39E- 2620533")</f>
        <v>JA39E- 2620533</v>
      </c>
      <c r="K1469" s="1076">
        <f>IFERROR(__xludf.DUMMYFUNCTION("""COMPUTED_VALUE"""),0.5)</f>
        <v>0.5</v>
      </c>
      <c r="L1469" s="1076" t="str">
        <f>IFERROR(__xludf.DUMMYFUNCTION("""COMPUTED_VALUE"""),"KLH")</f>
        <v>KLH</v>
      </c>
    </row>
    <row r="1470" customHeight="1" spans="1:12">
      <c r="A1470" s="1076" t="str">
        <f>IFERROR(__xludf.DUMMYFUNCTION("""COMPUTED_VALUE"""),"XD3-XMA-016")</f>
        <v>XD3-XMA-016</v>
      </c>
      <c r="B1470" s="1075" t="str">
        <f>IFERROR(__xludf.DUMMYFUNCTION("""COMPUTED_VALUE"""),"Xe máy thu hoạch")</f>
        <v>Xe máy thu hoạch</v>
      </c>
      <c r="C1470" s="1076" t="str">
        <f>IFERROR(__xludf.DUMMYFUNCTION("""COMPUTED_VALUE"""),"XN Chuối DP3")</f>
        <v>XN Chuối DP3</v>
      </c>
      <c r="D1470" s="1076" t="str">
        <f>IFERROR(__xludf.DUMMYFUNCTION("""COMPUTED_VALUE"""),"HONDA")</f>
        <v>HONDA</v>
      </c>
      <c r="E1470" s="1076" t="str">
        <f>IFERROR(__xludf.DUMMYFUNCTION("""COMPUTED_VALUE"""),"VIỆT NAM")</f>
        <v>VIỆT NAM</v>
      </c>
      <c r="F1470" s="1076"/>
      <c r="G1470" s="1076" t="str">
        <f>IFERROR(__xludf.DUMMYFUNCTION("""COMPUTED_VALUE"""),"WAVE A")</f>
        <v>WAVE A</v>
      </c>
      <c r="H1470" s="1076" t="str">
        <f>IFERROR(__xludf.DUMMYFUNCTION("""COMPUTED_VALUE"""),"110cc")</f>
        <v>110cc</v>
      </c>
      <c r="I1470" s="1076" t="str">
        <f>IFERROR(__xludf.DUMMYFUNCTION("""COMPUTED_VALUE"""),"RLHJA3905HY412319")</f>
        <v>RLHJA3905HY412319</v>
      </c>
      <c r="J1470" s="1076" t="str">
        <f>IFERROR(__xludf.DUMMYFUNCTION("""COMPUTED_VALUE"""),"JA39E- 0387468")</f>
        <v>JA39E- 0387468</v>
      </c>
      <c r="K1470" s="1076">
        <f>IFERROR(__xludf.DUMMYFUNCTION("""COMPUTED_VALUE"""),0.5)</f>
        <v>0.5</v>
      </c>
      <c r="L1470" s="1076" t="str">
        <f>IFERROR(__xludf.DUMMYFUNCTION("""COMPUTED_VALUE"""),"KLH")</f>
        <v>KLH</v>
      </c>
    </row>
    <row r="1471" customHeight="1" spans="1:12">
      <c r="A1471" s="1076" t="str">
        <f>IFERROR(__xludf.DUMMYFUNCTION("""COMPUTED_VALUE"""),"XD3-XMA-017")</f>
        <v>XD3-XMA-017</v>
      </c>
      <c r="B1471" s="1075" t="str">
        <f>IFERROR(__xludf.DUMMYFUNCTION("""COMPUTED_VALUE"""),"Xe máy thu hoạch")</f>
        <v>Xe máy thu hoạch</v>
      </c>
      <c r="C1471" s="1076" t="str">
        <f>IFERROR(__xludf.DUMMYFUNCTION("""COMPUTED_VALUE"""),"XN Chuối DP3")</f>
        <v>XN Chuối DP3</v>
      </c>
      <c r="D1471" s="1076" t="str">
        <f>IFERROR(__xludf.DUMMYFUNCTION("""COMPUTED_VALUE"""),"HONDA")</f>
        <v>HONDA</v>
      </c>
      <c r="E1471" s="1076" t="str">
        <f>IFERROR(__xludf.DUMMYFUNCTION("""COMPUTED_VALUE"""),"VIỆT NAM")</f>
        <v>VIỆT NAM</v>
      </c>
      <c r="F1471" s="1076"/>
      <c r="G1471" s="1076" t="str">
        <f>IFERROR(__xludf.DUMMYFUNCTION("""COMPUTED_VALUE"""),"WAVE A")</f>
        <v>WAVE A</v>
      </c>
      <c r="H1471" s="1076" t="str">
        <f>IFERROR(__xludf.DUMMYFUNCTION("""COMPUTED_VALUE"""),"110cc")</f>
        <v>110cc</v>
      </c>
      <c r="I1471" s="1076" t="str">
        <f>IFERROR(__xludf.DUMMYFUNCTION("""COMPUTED_VALUE"""),"RLHJA6928MY089626")</f>
        <v>RLHJA6928MY089626</v>
      </c>
      <c r="J1471" s="1076" t="str">
        <f>IFERROR(__xludf.DUMMYFUNCTION("""COMPUTED_VALUE"""),"JH69E-2206942")</f>
        <v>JH69E-2206942</v>
      </c>
      <c r="K1471" s="1076">
        <f>IFERROR(__xludf.DUMMYFUNCTION("""COMPUTED_VALUE"""),0.5)</f>
        <v>0.5</v>
      </c>
      <c r="L1471" s="1076" t="str">
        <f>IFERROR(__xludf.DUMMYFUNCTION("""COMPUTED_VALUE"""),"KLH")</f>
        <v>KLH</v>
      </c>
    </row>
    <row r="1472" customHeight="1" spans="1:12">
      <c r="A1472" s="1076" t="str">
        <f>IFERROR(__xludf.DUMMYFUNCTION("""COMPUTED_VALUE"""),"CAT DP")</f>
        <v>CAT DP</v>
      </c>
      <c r="B1472" s="1075"/>
      <c r="C1472" s="1076"/>
      <c r="D1472" s="1076"/>
      <c r="E1472" s="1076"/>
      <c r="F1472" s="1076"/>
      <c r="G1472" s="1076"/>
      <c r="H1472" s="1076"/>
      <c r="I1472" s="1076"/>
      <c r="J1472" s="1076"/>
      <c r="K1472" s="1076"/>
      <c r="L1472" s="1076" t="str">
        <f>IFERROR(__xludf.DUMMYFUNCTION("""COMPUTED_VALUE"""),"KLH")</f>
        <v>KLH</v>
      </c>
    </row>
    <row r="1473" customHeight="1" spans="1:12">
      <c r="A1473" s="1076" t="str">
        <f>IFERROR(__xludf.DUMMYFUNCTION("""COMPUTED_VALUE"""),"LUMPHAT")</f>
        <v>LUMPHAT</v>
      </c>
      <c r="B1473" s="1075"/>
      <c r="C1473" s="1076"/>
      <c r="D1473" s="1076"/>
      <c r="E1473" s="1076"/>
      <c r="F1473" s="1076"/>
      <c r="G1473" s="1076"/>
      <c r="H1473" s="1076"/>
      <c r="I1473" s="1076"/>
      <c r="J1473" s="1076"/>
      <c r="K1473" s="1076"/>
      <c r="L1473" s="1076" t="str">
        <f>IFERROR(__xludf.DUMMYFUNCTION("""COMPUTED_VALUE"""),"KLH")</f>
        <v>KLH</v>
      </c>
    </row>
    <row r="1474" customHeight="1" spans="1:12">
      <c r="A1474" s="1076" t="str">
        <f>IFERROR(__xludf.DUMMYFUNCTION("""COMPUTED_VALUE"""),"LP1")</f>
        <v>LP1</v>
      </c>
      <c r="B1474" s="1075"/>
      <c r="C1474" s="1076"/>
      <c r="D1474" s="1076"/>
      <c r="E1474" s="1076"/>
      <c r="F1474" s="1076"/>
      <c r="G1474" s="1076"/>
      <c r="H1474" s="1076"/>
      <c r="I1474" s="1076"/>
      <c r="J1474" s="1076"/>
      <c r="K1474" s="1076"/>
      <c r="L1474" s="1076" t="str">
        <f>IFERROR(__xludf.DUMMYFUNCTION("""COMPUTED_VALUE"""),"KLH")</f>
        <v>KLH</v>
      </c>
    </row>
    <row r="1475" customHeight="1" spans="1:12">
      <c r="A1475" s="1076" t="str">
        <f>IFERROR(__xludf.DUMMYFUNCTION("""COMPUTED_VALUE"""),"XL1-XMA-005")</f>
        <v>XL1-XMA-005</v>
      </c>
      <c r="B1475" s="1075" t="str">
        <f>IFERROR(__xludf.DUMMYFUNCTION("""COMPUTED_VALUE"""),"Xe máy thu hoạch")</f>
        <v>Xe máy thu hoạch</v>
      </c>
      <c r="C1475" s="1076" t="str">
        <f>IFERROR(__xludf.DUMMYFUNCTION("""COMPUTED_VALUE"""),"XN Chuối LP1")</f>
        <v>XN Chuối LP1</v>
      </c>
      <c r="D1475" s="1076" t="str">
        <f>IFERROR(__xludf.DUMMYFUNCTION("""COMPUTED_VALUE"""),"HONDA")</f>
        <v>HONDA</v>
      </c>
      <c r="E1475" s="1076" t="str">
        <f>IFERROR(__xludf.DUMMYFUNCTION("""COMPUTED_VALUE"""),"VIỆT NAM")</f>
        <v>VIỆT NAM</v>
      </c>
      <c r="F1475" s="1076"/>
      <c r="G1475" s="1076" t="str">
        <f>IFERROR(__xludf.DUMMYFUNCTION("""COMPUTED_VALUE"""),"WAVE A")</f>
        <v>WAVE A</v>
      </c>
      <c r="H1475" s="1076" t="str">
        <f>IFERROR(__xludf.DUMMYFUNCTION("""COMPUTED_VALUE"""),"110cc")</f>
        <v>110cc</v>
      </c>
      <c r="I1475" s="1076" t="str">
        <f>IFERROR(__xludf.DUMMYFUNCTION("""COMPUTED_VALUE"""),"RLHJA391XKY384792")</f>
        <v>RLHJA391XKY384792</v>
      </c>
      <c r="J1475" s="1076" t="str">
        <f>IFERROR(__xludf.DUMMYFUNCTION("""COMPUTED_VALUE"""),"JA39E1252802")</f>
        <v>JA39E1252802</v>
      </c>
      <c r="K1475" s="1076">
        <f>IFERROR(__xludf.DUMMYFUNCTION("""COMPUTED_VALUE"""),0.5)</f>
        <v>0.5</v>
      </c>
      <c r="L1475" s="1076" t="str">
        <f>IFERROR(__xludf.DUMMYFUNCTION("""COMPUTED_VALUE"""),"KLH")</f>
        <v>KLH</v>
      </c>
    </row>
    <row r="1476" customHeight="1" spans="1:12">
      <c r="A1476" s="1076" t="str">
        <f>IFERROR(__xludf.DUMMYFUNCTION("""COMPUTED_VALUE"""),"XL1-XMA-006")</f>
        <v>XL1-XMA-006</v>
      </c>
      <c r="B1476" s="1075" t="str">
        <f>IFERROR(__xludf.DUMMYFUNCTION("""COMPUTED_VALUE"""),"Xe máy thu hoạch")</f>
        <v>Xe máy thu hoạch</v>
      </c>
      <c r="C1476" s="1076" t="str">
        <f>IFERROR(__xludf.DUMMYFUNCTION("""COMPUTED_VALUE"""),"XN Chuối LP1")</f>
        <v>XN Chuối LP1</v>
      </c>
      <c r="D1476" s="1076" t="str">
        <f>IFERROR(__xludf.DUMMYFUNCTION("""COMPUTED_VALUE"""),"HONDA")</f>
        <v>HONDA</v>
      </c>
      <c r="E1476" s="1076" t="str">
        <f>IFERROR(__xludf.DUMMYFUNCTION("""COMPUTED_VALUE"""),"VIỆT NAM")</f>
        <v>VIỆT NAM</v>
      </c>
      <c r="F1476" s="1076"/>
      <c r="G1476" s="1076" t="str">
        <f>IFERROR(__xludf.DUMMYFUNCTION("""COMPUTED_VALUE"""),"WAVE A")</f>
        <v>WAVE A</v>
      </c>
      <c r="H1476" s="1076" t="str">
        <f>IFERROR(__xludf.DUMMYFUNCTION("""COMPUTED_VALUE"""),"110cc")</f>
        <v>110cc</v>
      </c>
      <c r="I1476" s="1076" t="str">
        <f>IFERROR(__xludf.DUMMYFUNCTION("""COMPUTED_VALUE"""),"RLHJA3909HY071023")</f>
        <v>RLHJA3909HY071023</v>
      </c>
      <c r="J1476" s="1076" t="str">
        <f>IFERROR(__xludf.DUMMYFUNCTION("""COMPUTED_VALUE"""),"JA39E0071005")</f>
        <v>JA39E0071005</v>
      </c>
      <c r="K1476" s="1076">
        <f>IFERROR(__xludf.DUMMYFUNCTION("""COMPUTED_VALUE"""),0.5)</f>
        <v>0.5</v>
      </c>
      <c r="L1476" s="1076" t="str">
        <f>IFERROR(__xludf.DUMMYFUNCTION("""COMPUTED_VALUE"""),"KLH")</f>
        <v>KLH</v>
      </c>
    </row>
    <row r="1477" customHeight="1" spans="1:12">
      <c r="A1477" s="1076" t="str">
        <f>IFERROR(__xludf.DUMMYFUNCTION("""COMPUTED_VALUE"""),"XL1-XMA-007")</f>
        <v>XL1-XMA-007</v>
      </c>
      <c r="B1477" s="1075" t="str">
        <f>IFERROR(__xludf.DUMMYFUNCTION("""COMPUTED_VALUE"""),"Xe máy thu hoạch")</f>
        <v>Xe máy thu hoạch</v>
      </c>
      <c r="C1477" s="1076" t="str">
        <f>IFERROR(__xludf.DUMMYFUNCTION("""COMPUTED_VALUE"""),"XN Chuối LP1")</f>
        <v>XN Chuối LP1</v>
      </c>
      <c r="D1477" s="1076" t="str">
        <f>IFERROR(__xludf.DUMMYFUNCTION("""COMPUTED_VALUE"""),"HONDA")</f>
        <v>HONDA</v>
      </c>
      <c r="E1477" s="1076" t="str">
        <f>IFERROR(__xludf.DUMMYFUNCTION("""COMPUTED_VALUE"""),"VIỆT NAM")</f>
        <v>VIỆT NAM</v>
      </c>
      <c r="F1477" s="1076"/>
      <c r="G1477" s="1076" t="str">
        <f>IFERROR(__xludf.DUMMYFUNCTION("""COMPUTED_VALUE"""),"WAVE A")</f>
        <v>WAVE A</v>
      </c>
      <c r="H1477" s="1076" t="str">
        <f>IFERROR(__xludf.DUMMYFUNCTION("""COMPUTED_VALUE"""),"110cc")</f>
        <v>110cc</v>
      </c>
      <c r="I1477" s="1076" t="str">
        <f>IFERROR(__xludf.DUMMYFUNCTION("""COMPUTED_VALUE"""),"RLHJA392XMY130611")</f>
        <v>RLHJA392XMY130611</v>
      </c>
      <c r="J1477" s="1076" t="str">
        <f>IFERROR(__xludf.DUMMYFUNCTION("""COMPUTED_VALUE"""),"JA39E2247937")</f>
        <v>JA39E2247937</v>
      </c>
      <c r="K1477" s="1076">
        <f>IFERROR(__xludf.DUMMYFUNCTION("""COMPUTED_VALUE"""),0.5)</f>
        <v>0.5</v>
      </c>
      <c r="L1477" s="1076" t="str">
        <f>IFERROR(__xludf.DUMMYFUNCTION("""COMPUTED_VALUE"""),"KLH")</f>
        <v>KLH</v>
      </c>
    </row>
    <row r="1478" customHeight="1" spans="1:12">
      <c r="A1478" s="1076" t="str">
        <f>IFERROR(__xludf.DUMMYFUNCTION("""COMPUTED_VALUE"""),"XL1-XMA-008")</f>
        <v>XL1-XMA-008</v>
      </c>
      <c r="B1478" s="1075" t="str">
        <f>IFERROR(__xludf.DUMMYFUNCTION("""COMPUTED_VALUE"""),"Xe máy thu hoạch")</f>
        <v>Xe máy thu hoạch</v>
      </c>
      <c r="C1478" s="1076" t="str">
        <f>IFERROR(__xludf.DUMMYFUNCTION("""COMPUTED_VALUE"""),"XN Chuối LP1")</f>
        <v>XN Chuối LP1</v>
      </c>
      <c r="D1478" s="1076" t="str">
        <f>IFERROR(__xludf.DUMMYFUNCTION("""COMPUTED_VALUE"""),"HONDA")</f>
        <v>HONDA</v>
      </c>
      <c r="E1478" s="1076" t="str">
        <f>IFERROR(__xludf.DUMMYFUNCTION("""COMPUTED_VALUE"""),"VIỆT NAM")</f>
        <v>VIỆT NAM</v>
      </c>
      <c r="F1478" s="1076"/>
      <c r="G1478" s="1076" t="str">
        <f>IFERROR(__xludf.DUMMYFUNCTION("""COMPUTED_VALUE"""),"WAVE A")</f>
        <v>WAVE A</v>
      </c>
      <c r="H1478" s="1076" t="str">
        <f>IFERROR(__xludf.DUMMYFUNCTION("""COMPUTED_VALUE"""),"110cc")</f>
        <v>110cc</v>
      </c>
      <c r="I1478" s="1076" t="str">
        <f>IFERROR(__xludf.DUMMYFUNCTION("""COMPUTED_VALUE"""),"GLHJA39 03HI838879")</f>
        <v>GLHJA39 03HI838879</v>
      </c>
      <c r="J1478" s="1076" t="str">
        <f>IFERROR(__xludf.DUMMYFUNCTION("""COMPUTED_VALUE"""),"JA39E- 0819006")</f>
        <v>JA39E- 0819006</v>
      </c>
      <c r="K1478" s="1076">
        <f>IFERROR(__xludf.DUMMYFUNCTION("""COMPUTED_VALUE"""),0.5)</f>
        <v>0.5</v>
      </c>
      <c r="L1478" s="1076" t="str">
        <f>IFERROR(__xludf.DUMMYFUNCTION("""COMPUTED_VALUE"""),"KLH")</f>
        <v>KLH</v>
      </c>
    </row>
    <row r="1479" customHeight="1" spans="1:12">
      <c r="A1479" s="1076" t="str">
        <f>IFERROR(__xludf.DUMMYFUNCTION("""COMPUTED_VALUE"""),"XL1-XMA-009")</f>
        <v>XL1-XMA-009</v>
      </c>
      <c r="B1479" s="1075" t="str">
        <f>IFERROR(__xludf.DUMMYFUNCTION("""COMPUTED_VALUE"""),"Xe máy thu hoạch")</f>
        <v>Xe máy thu hoạch</v>
      </c>
      <c r="C1479" s="1076" t="str">
        <f>IFERROR(__xludf.DUMMYFUNCTION("""COMPUTED_VALUE"""),"XN Chuối LP1")</f>
        <v>XN Chuối LP1</v>
      </c>
      <c r="D1479" s="1076" t="str">
        <f>IFERROR(__xludf.DUMMYFUNCTION("""COMPUTED_VALUE"""),"HONDA")</f>
        <v>HONDA</v>
      </c>
      <c r="E1479" s="1076" t="str">
        <f>IFERROR(__xludf.DUMMYFUNCTION("""COMPUTED_VALUE"""),"VIỆT NAM")</f>
        <v>VIỆT NAM</v>
      </c>
      <c r="F1479" s="1076"/>
      <c r="G1479" s="1076" t="str">
        <f>IFERROR(__xludf.DUMMYFUNCTION("""COMPUTED_VALUE"""),"WAVE A")</f>
        <v>WAVE A</v>
      </c>
      <c r="H1479" s="1076" t="str">
        <f>IFERROR(__xludf.DUMMYFUNCTION("""COMPUTED_VALUE"""),"110cc")</f>
        <v>110cc</v>
      </c>
      <c r="I1479" s="1076" t="str">
        <f>IFERROR(__xludf.DUMMYFUNCTION("""COMPUTED_VALUE"""),"RLHJA3917KY085020")</f>
        <v>RLHJA3917KY085020</v>
      </c>
      <c r="J1479" s="1076" t="str">
        <f>IFERROR(__xludf.DUMMYFUNCTION("""COMPUTED_VALUE"""),"JA39E0941401")</f>
        <v>JA39E0941401</v>
      </c>
      <c r="K1479" s="1076">
        <f>IFERROR(__xludf.DUMMYFUNCTION("""COMPUTED_VALUE"""),0.5)</f>
        <v>0.5</v>
      </c>
      <c r="L1479" s="1076" t="str">
        <f>IFERROR(__xludf.DUMMYFUNCTION("""COMPUTED_VALUE"""),"KLH")</f>
        <v>KLH</v>
      </c>
    </row>
    <row r="1480" customHeight="1" spans="1:12">
      <c r="A1480" s="1076" t="str">
        <f>IFERROR(__xludf.DUMMYFUNCTION("""COMPUTED_VALUE"""),"XL1-XMA-010")</f>
        <v>XL1-XMA-010</v>
      </c>
      <c r="B1480" s="1075" t="str">
        <f>IFERROR(__xludf.DUMMYFUNCTION("""COMPUTED_VALUE"""),"Xe máy thu hoạch")</f>
        <v>Xe máy thu hoạch</v>
      </c>
      <c r="C1480" s="1076" t="str">
        <f>IFERROR(__xludf.DUMMYFUNCTION("""COMPUTED_VALUE"""),"XN Chuối LP1")</f>
        <v>XN Chuối LP1</v>
      </c>
      <c r="D1480" s="1076" t="str">
        <f>IFERROR(__xludf.DUMMYFUNCTION("""COMPUTED_VALUE"""),"HONDA")</f>
        <v>HONDA</v>
      </c>
      <c r="E1480" s="1076" t="str">
        <f>IFERROR(__xludf.DUMMYFUNCTION("""COMPUTED_VALUE"""),"VIỆT NAM")</f>
        <v>VIỆT NAM</v>
      </c>
      <c r="F1480" s="1076"/>
      <c r="G1480" s="1076" t="str">
        <f>IFERROR(__xludf.DUMMYFUNCTION("""COMPUTED_VALUE"""),"WAVE A")</f>
        <v>WAVE A</v>
      </c>
      <c r="H1480" s="1076" t="str">
        <f>IFERROR(__xludf.DUMMYFUNCTION("""COMPUTED_VALUE"""),"110cc")</f>
        <v>110cc</v>
      </c>
      <c r="I1480" s="1076" t="str">
        <f>IFERROR(__xludf.DUMMYFUNCTION("""COMPUTED_VALUE"""),"GLHJA39 19LI038864")</f>
        <v>GLHJA39 19LI038864</v>
      </c>
      <c r="J1480" s="1076" t="str">
        <f>IFERROR(__xludf.DUMMYFUNCTION("""COMPUTED_VALUE"""),"JA39E- 1373550")</f>
        <v>JA39E- 1373550</v>
      </c>
      <c r="K1480" s="1076">
        <f>IFERROR(__xludf.DUMMYFUNCTION("""COMPUTED_VALUE"""),0.5)</f>
        <v>0.5</v>
      </c>
      <c r="L1480" s="1076" t="str">
        <f>IFERROR(__xludf.DUMMYFUNCTION("""COMPUTED_VALUE"""),"KLH")</f>
        <v>KLH</v>
      </c>
    </row>
    <row r="1481" customHeight="1" spans="1:12">
      <c r="A1481" s="1076" t="str">
        <f>IFERROR(__xludf.DUMMYFUNCTION("""COMPUTED_VALUE"""),"XL1-XMA-011")</f>
        <v>XL1-XMA-011</v>
      </c>
      <c r="B1481" s="1075" t="str">
        <f>IFERROR(__xludf.DUMMYFUNCTION("""COMPUTED_VALUE"""),"Xe máy thu hoạch")</f>
        <v>Xe máy thu hoạch</v>
      </c>
      <c r="C1481" s="1076" t="str">
        <f>IFERROR(__xludf.DUMMYFUNCTION("""COMPUTED_VALUE"""),"XN Chuối LP1")</f>
        <v>XN Chuối LP1</v>
      </c>
      <c r="D1481" s="1076" t="str">
        <f>IFERROR(__xludf.DUMMYFUNCTION("""COMPUTED_VALUE"""),"HONDA")</f>
        <v>HONDA</v>
      </c>
      <c r="E1481" s="1076" t="str">
        <f>IFERROR(__xludf.DUMMYFUNCTION("""COMPUTED_VALUE"""),"VIỆT NAM")</f>
        <v>VIỆT NAM</v>
      </c>
      <c r="F1481" s="1076"/>
      <c r="G1481" s="1076" t="str">
        <f>IFERROR(__xludf.DUMMYFUNCTION("""COMPUTED_VALUE"""),"WAVE A")</f>
        <v>WAVE A</v>
      </c>
      <c r="H1481" s="1076" t="str">
        <f>IFERROR(__xludf.DUMMYFUNCTION("""COMPUTED_VALUE"""),"110cc")</f>
        <v>110cc</v>
      </c>
      <c r="I1481" s="1076" t="str">
        <f>IFERROR(__xludf.DUMMYFUNCTION("""COMPUTED_VALUE"""),"GLHJA39 12KI033889")</f>
        <v>GLHJA39 12KI033889</v>
      </c>
      <c r="J1481" s="1076" t="str">
        <f>IFERROR(__xludf.DUMMYFUNCTION("""COMPUTED_VALUE"""),"JA39E- 0889883")</f>
        <v>JA39E- 0889883</v>
      </c>
      <c r="K1481" s="1076">
        <f>IFERROR(__xludf.DUMMYFUNCTION("""COMPUTED_VALUE"""),0.5)</f>
        <v>0.5</v>
      </c>
      <c r="L1481" s="1076" t="str">
        <f>IFERROR(__xludf.DUMMYFUNCTION("""COMPUTED_VALUE"""),"KLH")</f>
        <v>KLH</v>
      </c>
    </row>
    <row r="1482" customHeight="1" spans="1:12">
      <c r="A1482" s="1076" t="str">
        <f>IFERROR(__xludf.DUMMYFUNCTION("""COMPUTED_VALUE"""),"XL1-XMA-012")</f>
        <v>XL1-XMA-012</v>
      </c>
      <c r="B1482" s="1075" t="str">
        <f>IFERROR(__xludf.DUMMYFUNCTION("""COMPUTED_VALUE"""),"Xe máy thu hoạch")</f>
        <v>Xe máy thu hoạch</v>
      </c>
      <c r="C1482" s="1076" t="str">
        <f>IFERROR(__xludf.DUMMYFUNCTION("""COMPUTED_VALUE"""),"XN Chuối LP1")</f>
        <v>XN Chuối LP1</v>
      </c>
      <c r="D1482" s="1076" t="str">
        <f>IFERROR(__xludf.DUMMYFUNCTION("""COMPUTED_VALUE"""),"HONDA")</f>
        <v>HONDA</v>
      </c>
      <c r="E1482" s="1076" t="str">
        <f>IFERROR(__xludf.DUMMYFUNCTION("""COMPUTED_VALUE"""),"VIỆT NAM")</f>
        <v>VIỆT NAM</v>
      </c>
      <c r="F1482" s="1076"/>
      <c r="G1482" s="1076" t="str">
        <f>IFERROR(__xludf.DUMMYFUNCTION("""COMPUTED_VALUE"""),"WAVE A")</f>
        <v>WAVE A</v>
      </c>
      <c r="H1482" s="1076" t="str">
        <f>IFERROR(__xludf.DUMMYFUNCTION("""COMPUTED_VALUE"""),"110cc")</f>
        <v>110cc</v>
      </c>
      <c r="I1482" s="1076" t="str">
        <f>IFERROR(__xludf.DUMMYFUNCTION("""COMPUTED_VALUE"""),"RLHJA3915LY021205")</f>
        <v>RLHJA3915LY021205</v>
      </c>
      <c r="J1482" s="1076" t="str">
        <f>IFERROR(__xludf.DUMMYFUNCTION("""COMPUTED_VALUE"""),"3A39E1354794")</f>
        <v>3A39E1354794</v>
      </c>
      <c r="K1482" s="1076">
        <f>IFERROR(__xludf.DUMMYFUNCTION("""COMPUTED_VALUE"""),0.5)</f>
        <v>0.5</v>
      </c>
      <c r="L1482" s="1076" t="str">
        <f>IFERROR(__xludf.DUMMYFUNCTION("""COMPUTED_VALUE"""),"KLH")</f>
        <v>KLH</v>
      </c>
    </row>
    <row r="1483" customHeight="1" spans="1:12">
      <c r="A1483" s="1076" t="str">
        <f>IFERROR(__xludf.DUMMYFUNCTION("""COMPUTED_VALUE"""),"XL1-XMA-013")</f>
        <v>XL1-XMA-013</v>
      </c>
      <c r="B1483" s="1075" t="str">
        <f>IFERROR(__xludf.DUMMYFUNCTION("""COMPUTED_VALUE"""),"Xe máy thu hoạch")</f>
        <v>Xe máy thu hoạch</v>
      </c>
      <c r="C1483" s="1076" t="str">
        <f>IFERROR(__xludf.DUMMYFUNCTION("""COMPUTED_VALUE"""),"XN Chuối LP1")</f>
        <v>XN Chuối LP1</v>
      </c>
      <c r="D1483" s="1076" t="str">
        <f>IFERROR(__xludf.DUMMYFUNCTION("""COMPUTED_VALUE"""),"HONDA")</f>
        <v>HONDA</v>
      </c>
      <c r="E1483" s="1076" t="str">
        <f>IFERROR(__xludf.DUMMYFUNCTION("""COMPUTED_VALUE"""),"VIỆT NAM")</f>
        <v>VIỆT NAM</v>
      </c>
      <c r="F1483" s="1076"/>
      <c r="G1483" s="1076" t="str">
        <f>IFERROR(__xludf.DUMMYFUNCTION("""COMPUTED_VALUE"""),"WAVE A")</f>
        <v>WAVE A</v>
      </c>
      <c r="H1483" s="1076" t="str">
        <f>IFERROR(__xludf.DUMMYFUNCTION("""COMPUTED_VALUE"""),"110cc")</f>
        <v>110cc</v>
      </c>
      <c r="I1483" s="1076" t="str">
        <f>IFERROR(__xludf.DUMMYFUNCTION("""COMPUTED_VALUE"""),"RLHJA3912KY-132342")</f>
        <v>RLHJA3912KY-132342</v>
      </c>
      <c r="J1483" s="1076" t="str">
        <f>IFERROR(__xludf.DUMMYFUNCTION("""COMPUTED_VALUE"""),"JA39E-0989374")</f>
        <v>JA39E-0989374</v>
      </c>
      <c r="K1483" s="1076">
        <f>IFERROR(__xludf.DUMMYFUNCTION("""COMPUTED_VALUE"""),0.5)</f>
        <v>0.5</v>
      </c>
      <c r="L1483" s="1076" t="str">
        <f>IFERROR(__xludf.DUMMYFUNCTION("""COMPUTED_VALUE"""),"KLH")</f>
        <v>KLH</v>
      </c>
    </row>
    <row r="1484" customHeight="1" spans="1:12">
      <c r="A1484" s="1076" t="str">
        <f>IFERROR(__xludf.DUMMYFUNCTION("""COMPUTED_VALUE"""),"XL1-XMA-014")</f>
        <v>XL1-XMA-014</v>
      </c>
      <c r="B1484" s="1075" t="str">
        <f>IFERROR(__xludf.DUMMYFUNCTION("""COMPUTED_VALUE"""),"Xe máy thu hoạch")</f>
        <v>Xe máy thu hoạch</v>
      </c>
      <c r="C1484" s="1076" t="str">
        <f>IFERROR(__xludf.DUMMYFUNCTION("""COMPUTED_VALUE"""),"XN Chuối LP1")</f>
        <v>XN Chuối LP1</v>
      </c>
      <c r="D1484" s="1076" t="str">
        <f>IFERROR(__xludf.DUMMYFUNCTION("""COMPUTED_VALUE"""),"HONDA")</f>
        <v>HONDA</v>
      </c>
      <c r="E1484" s="1076" t="str">
        <f>IFERROR(__xludf.DUMMYFUNCTION("""COMPUTED_VALUE"""),"VIỆT NAM")</f>
        <v>VIỆT NAM</v>
      </c>
      <c r="F1484" s="1076"/>
      <c r="G1484" s="1076" t="str">
        <f>IFERROR(__xludf.DUMMYFUNCTION("""COMPUTED_VALUE"""),"WAVE A")</f>
        <v>WAVE A</v>
      </c>
      <c r="H1484" s="1076" t="str">
        <f>IFERROR(__xludf.DUMMYFUNCTION("""COMPUTED_VALUE"""),"110cc")</f>
        <v>110cc</v>
      </c>
      <c r="I1484" s="1076" t="str">
        <f>IFERROR(__xludf.DUMMYFUNCTION("""COMPUTED_VALUE"""),"RLHJA3908HY-031953")</f>
        <v>RLHJA3908HY-031953</v>
      </c>
      <c r="J1484" s="1076" t="str">
        <f>IFERROR(__xludf.DUMMYFUNCTION("""COMPUTED_VALUE"""),"JA39E-0032012")</f>
        <v>JA39E-0032012</v>
      </c>
      <c r="K1484" s="1076">
        <f>IFERROR(__xludf.DUMMYFUNCTION("""COMPUTED_VALUE"""),0.5)</f>
        <v>0.5</v>
      </c>
      <c r="L1484" s="1076" t="str">
        <f>IFERROR(__xludf.DUMMYFUNCTION("""COMPUTED_VALUE"""),"KLH")</f>
        <v>KLH</v>
      </c>
    </row>
    <row r="1485" customHeight="1" spans="1:12">
      <c r="A1485" s="1076" t="str">
        <f>IFERROR(__xludf.DUMMYFUNCTION("""COMPUTED_VALUE"""),"XL1-XMA-015")</f>
        <v>XL1-XMA-015</v>
      </c>
      <c r="B1485" s="1075" t="str">
        <f>IFERROR(__xludf.DUMMYFUNCTION("""COMPUTED_VALUE"""),"Xe máy thu hoạch")</f>
        <v>Xe máy thu hoạch</v>
      </c>
      <c r="C1485" s="1076" t="str">
        <f>IFERROR(__xludf.DUMMYFUNCTION("""COMPUTED_VALUE"""),"XN Chuối LP1")</f>
        <v>XN Chuối LP1</v>
      </c>
      <c r="D1485" s="1076" t="str">
        <f>IFERROR(__xludf.DUMMYFUNCTION("""COMPUTED_VALUE"""),"HONDA")</f>
        <v>HONDA</v>
      </c>
      <c r="E1485" s="1076" t="str">
        <f>IFERROR(__xludf.DUMMYFUNCTION("""COMPUTED_VALUE"""),"VIỆT NAM")</f>
        <v>VIỆT NAM</v>
      </c>
      <c r="F1485" s="1076"/>
      <c r="G1485" s="1076" t="str">
        <f>IFERROR(__xludf.DUMMYFUNCTION("""COMPUTED_VALUE"""),"WAVE A")</f>
        <v>WAVE A</v>
      </c>
      <c r="H1485" s="1076" t="str">
        <f>IFERROR(__xludf.DUMMYFUNCTION("""COMPUTED_VALUE"""),"110cc")</f>
        <v>110cc</v>
      </c>
      <c r="I1485" s="1076" t="str">
        <f>IFERROR(__xludf.DUMMYFUNCTION("""COMPUTED_VALUE"""),"RLHJA3913KY-204763")</f>
        <v>RLHJA3913KY-204763</v>
      </c>
      <c r="J1485" s="1076" t="str">
        <f>IFERROR(__xludf.DUMMYFUNCTION("""COMPUTED_VALUE"""),"JA39E-1062607")</f>
        <v>JA39E-1062607</v>
      </c>
      <c r="K1485" s="1076">
        <f>IFERROR(__xludf.DUMMYFUNCTION("""COMPUTED_VALUE"""),0.5)</f>
        <v>0.5</v>
      </c>
      <c r="L1485" s="1076" t="str">
        <f>IFERROR(__xludf.DUMMYFUNCTION("""COMPUTED_VALUE"""),"KLH")</f>
        <v>KLH</v>
      </c>
    </row>
    <row r="1486" customHeight="1" spans="1:12">
      <c r="A1486" s="1076" t="str">
        <f>IFERROR(__xludf.DUMMYFUNCTION("""COMPUTED_VALUE"""),"LP3")</f>
        <v>LP3</v>
      </c>
      <c r="B1486" s="1075"/>
      <c r="C1486" s="1076"/>
      <c r="D1486" s="1076"/>
      <c r="E1486" s="1076"/>
      <c r="F1486" s="1076"/>
      <c r="G1486" s="1076"/>
      <c r="H1486" s="1076"/>
      <c r="I1486" s="1076"/>
      <c r="J1486" s="1076"/>
      <c r="K1486" s="1076"/>
      <c r="L1486" s="1076" t="str">
        <f>IFERROR(__xludf.DUMMYFUNCTION("""COMPUTED_VALUE"""),"KLH")</f>
        <v>KLH</v>
      </c>
    </row>
    <row r="1487" customHeight="1" spans="1:12">
      <c r="A1487" s="1076" t="str">
        <f>IFERROR(__xludf.DUMMYFUNCTION("""COMPUTED_VALUE"""),"XL3-XMA-001")</f>
        <v>XL3-XMA-001</v>
      </c>
      <c r="B1487" s="1075" t="str">
        <f>IFERROR(__xludf.DUMMYFUNCTION("""COMPUTED_VALUE"""),"Xe máy thu hoạch")</f>
        <v>Xe máy thu hoạch</v>
      </c>
      <c r="C1487" s="1076" t="str">
        <f>IFERROR(__xludf.DUMMYFUNCTION("""COMPUTED_VALUE"""),"XN Chuối LP3")</f>
        <v>XN Chuối LP3</v>
      </c>
      <c r="D1487" s="1076" t="str">
        <f>IFERROR(__xludf.DUMMYFUNCTION("""COMPUTED_VALUE"""),"HONDA")</f>
        <v>HONDA</v>
      </c>
      <c r="E1487" s="1076" t="str">
        <f>IFERROR(__xludf.DUMMYFUNCTION("""COMPUTED_VALUE"""),"VIỆT NAM")</f>
        <v>VIỆT NAM</v>
      </c>
      <c r="F1487" s="1076"/>
      <c r="G1487" s="1076" t="str">
        <f>IFERROR(__xludf.DUMMYFUNCTION("""COMPUTED_VALUE"""),"WAVE A")</f>
        <v>WAVE A</v>
      </c>
      <c r="H1487" s="1076" t="str">
        <f>IFERROR(__xludf.DUMMYFUNCTION("""COMPUTED_VALUE"""),"110cc")</f>
        <v>110cc</v>
      </c>
      <c r="I1487" s="1076" t="str">
        <f>IFERROR(__xludf.DUMMYFUNCTION("""COMPUTED_VALUE"""),"RLHJA3914KY139020")</f>
        <v>RLHJA3914KY139020</v>
      </c>
      <c r="J1487" s="1076" t="str">
        <f>IFERROR(__xludf.DUMMYFUNCTION("""COMPUTED_VALUE"""),"JA39E099626")</f>
        <v>JA39E099626</v>
      </c>
      <c r="K1487" s="1076">
        <f>IFERROR(__xludf.DUMMYFUNCTION("""COMPUTED_VALUE"""),0.5)</f>
        <v>0.5</v>
      </c>
      <c r="L1487" s="1076" t="str">
        <f>IFERROR(__xludf.DUMMYFUNCTION("""COMPUTED_VALUE"""),"KLH")</f>
        <v>KLH</v>
      </c>
    </row>
    <row r="1488" customHeight="1" spans="1:12">
      <c r="A1488" s="1076" t="str">
        <f>IFERROR(__xludf.DUMMYFUNCTION("""COMPUTED_VALUE"""),"XL3-XMA-002")</f>
        <v>XL3-XMA-002</v>
      </c>
      <c r="B1488" s="1075" t="str">
        <f>IFERROR(__xludf.DUMMYFUNCTION("""COMPUTED_VALUE"""),"Xe máy thu hoạch")</f>
        <v>Xe máy thu hoạch</v>
      </c>
      <c r="C1488" s="1076" t="str">
        <f>IFERROR(__xludf.DUMMYFUNCTION("""COMPUTED_VALUE"""),"XN Chuối LP3")</f>
        <v>XN Chuối LP3</v>
      </c>
      <c r="D1488" s="1076" t="str">
        <f>IFERROR(__xludf.DUMMYFUNCTION("""COMPUTED_VALUE"""),"HONDA")</f>
        <v>HONDA</v>
      </c>
      <c r="E1488" s="1076" t="str">
        <f>IFERROR(__xludf.DUMMYFUNCTION("""COMPUTED_VALUE"""),"VIỆT NAM")</f>
        <v>VIỆT NAM</v>
      </c>
      <c r="F1488" s="1076"/>
      <c r="G1488" s="1076" t="str">
        <f>IFERROR(__xludf.DUMMYFUNCTION("""COMPUTED_VALUE"""),"WAVE A")</f>
        <v>WAVE A</v>
      </c>
      <c r="H1488" s="1076" t="str">
        <f>IFERROR(__xludf.DUMMYFUNCTION("""COMPUTED_VALUE"""),"110cc")</f>
        <v>110cc</v>
      </c>
      <c r="I1488" s="1076" t="str">
        <f>IFERROR(__xludf.DUMMYFUNCTION("""COMPUTED_VALUE"""),"RLHJA3929MY402890")</f>
        <v>RLHJA3929MY402890</v>
      </c>
      <c r="J1488" s="1076" t="str">
        <f>IFERROR(__xludf.DUMMYFUNCTION("""COMPUTED_VALUE"""),"JA39E2428102")</f>
        <v>JA39E2428102</v>
      </c>
      <c r="K1488" s="1076">
        <f>IFERROR(__xludf.DUMMYFUNCTION("""COMPUTED_VALUE"""),0.5)</f>
        <v>0.5</v>
      </c>
      <c r="L1488" s="1076" t="str">
        <f>IFERROR(__xludf.DUMMYFUNCTION("""COMPUTED_VALUE"""),"KLH")</f>
        <v>KLH</v>
      </c>
    </row>
    <row r="1489" customHeight="1" spans="1:12">
      <c r="A1489" s="1076" t="str">
        <f>IFERROR(__xludf.DUMMYFUNCTION("""COMPUTED_VALUE"""),"XL3-XMA-003")</f>
        <v>XL3-XMA-003</v>
      </c>
      <c r="B1489" s="1075" t="str">
        <f>IFERROR(__xludf.DUMMYFUNCTION("""COMPUTED_VALUE"""),"Xe máy thu hoạch")</f>
        <v>Xe máy thu hoạch</v>
      </c>
      <c r="C1489" s="1076" t="str">
        <f>IFERROR(__xludf.DUMMYFUNCTION("""COMPUTED_VALUE"""),"XN Chuối LP3")</f>
        <v>XN Chuối LP3</v>
      </c>
      <c r="D1489" s="1076" t="str">
        <f>IFERROR(__xludf.DUMMYFUNCTION("""COMPUTED_VALUE"""),"HONDA")</f>
        <v>HONDA</v>
      </c>
      <c r="E1489" s="1076" t="str">
        <f>IFERROR(__xludf.DUMMYFUNCTION("""COMPUTED_VALUE"""),"VIỆT NAM")</f>
        <v>VIỆT NAM</v>
      </c>
      <c r="F1489" s="1076"/>
      <c r="G1489" s="1076" t="str">
        <f>IFERROR(__xludf.DUMMYFUNCTION("""COMPUTED_VALUE"""),"WAVE A")</f>
        <v>WAVE A</v>
      </c>
      <c r="H1489" s="1076" t="str">
        <f>IFERROR(__xludf.DUMMYFUNCTION("""COMPUTED_VALUE"""),"110cc")</f>
        <v>110cc</v>
      </c>
      <c r="I1489" s="1076" t="str">
        <f>IFERROR(__xludf.DUMMYFUNCTION("""COMPUTED_VALUE"""),"RLHJA390XHY264944")</f>
        <v>RLHJA390XHY264944</v>
      </c>
      <c r="J1489" s="1076" t="str">
        <f>IFERROR(__xludf.DUMMYFUNCTION("""COMPUTED_VALUE"""),"JAS9E0264795")</f>
        <v>JAS9E0264795</v>
      </c>
      <c r="K1489" s="1076">
        <f>IFERROR(__xludf.DUMMYFUNCTION("""COMPUTED_VALUE"""),0.5)</f>
        <v>0.5</v>
      </c>
      <c r="L1489" s="1076" t="str">
        <f>IFERROR(__xludf.DUMMYFUNCTION("""COMPUTED_VALUE"""),"KLH")</f>
        <v>KLH</v>
      </c>
    </row>
    <row r="1490" customHeight="1" spans="1:12">
      <c r="A1490" s="1076" t="str">
        <f>IFERROR(__xludf.DUMMYFUNCTION("""COMPUTED_VALUE"""),"XL3-XMA-004")</f>
        <v>XL3-XMA-004</v>
      </c>
      <c r="B1490" s="1075" t="str">
        <f>IFERROR(__xludf.DUMMYFUNCTION("""COMPUTED_VALUE"""),"Xe máy thu hoạch")</f>
        <v>Xe máy thu hoạch</v>
      </c>
      <c r="C1490" s="1076" t="str">
        <f>IFERROR(__xludf.DUMMYFUNCTION("""COMPUTED_VALUE"""),"XN Chuối LP3")</f>
        <v>XN Chuối LP3</v>
      </c>
      <c r="D1490" s="1076" t="str">
        <f>IFERROR(__xludf.DUMMYFUNCTION("""COMPUTED_VALUE"""),"HONDA")</f>
        <v>HONDA</v>
      </c>
      <c r="E1490" s="1076" t="str">
        <f>IFERROR(__xludf.DUMMYFUNCTION("""COMPUTED_VALUE"""),"VIỆT NAM")</f>
        <v>VIỆT NAM</v>
      </c>
      <c r="F1490" s="1076"/>
      <c r="G1490" s="1076" t="str">
        <f>IFERROR(__xludf.DUMMYFUNCTION("""COMPUTED_VALUE"""),"WAVE A")</f>
        <v>WAVE A</v>
      </c>
      <c r="H1490" s="1076" t="str">
        <f>IFERROR(__xludf.DUMMYFUNCTION("""COMPUTED_VALUE"""),"110cc")</f>
        <v>110cc</v>
      </c>
      <c r="I1490" s="1076" t="str">
        <f>IFERROR(__xludf.DUMMYFUNCTION("""COMPUTED_VALUE"""),"RLHJA391XKY316394")</f>
        <v>RLHJA391XKY316394</v>
      </c>
      <c r="J1490" s="1076" t="str">
        <f>IFERROR(__xludf.DUMMYFUNCTION("""COMPUTED_VALUE"""),"JAS9E1180159")</f>
        <v>JAS9E1180159</v>
      </c>
      <c r="K1490" s="1076">
        <f>IFERROR(__xludf.DUMMYFUNCTION("""COMPUTED_VALUE"""),0.5)</f>
        <v>0.5</v>
      </c>
      <c r="L1490" s="1076" t="str">
        <f>IFERROR(__xludf.DUMMYFUNCTION("""COMPUTED_VALUE"""),"KLH")</f>
        <v>KLH</v>
      </c>
    </row>
    <row r="1491" customHeight="1" spans="1:12">
      <c r="A1491" s="1076" t="str">
        <f>IFERROR(__xludf.DUMMYFUNCTION("""COMPUTED_VALUE"""),"XL3-XMA-005")</f>
        <v>XL3-XMA-005</v>
      </c>
      <c r="B1491" s="1075" t="str">
        <f>IFERROR(__xludf.DUMMYFUNCTION("""COMPUTED_VALUE"""),"Xe máy thu hoạch")</f>
        <v>Xe máy thu hoạch</v>
      </c>
      <c r="C1491" s="1076" t="str">
        <f>IFERROR(__xludf.DUMMYFUNCTION("""COMPUTED_VALUE"""),"XN Chuối LP3")</f>
        <v>XN Chuối LP3</v>
      </c>
      <c r="D1491" s="1076" t="str">
        <f>IFERROR(__xludf.DUMMYFUNCTION("""COMPUTED_VALUE"""),"HONDA")</f>
        <v>HONDA</v>
      </c>
      <c r="E1491" s="1076" t="str">
        <f>IFERROR(__xludf.DUMMYFUNCTION("""COMPUTED_VALUE"""),"VIỆT NAM")</f>
        <v>VIỆT NAM</v>
      </c>
      <c r="F1491" s="1076"/>
      <c r="G1491" s="1076" t="str">
        <f>IFERROR(__xludf.DUMMYFUNCTION("""COMPUTED_VALUE"""),"WAVE A")</f>
        <v>WAVE A</v>
      </c>
      <c r="H1491" s="1076" t="str">
        <f>IFERROR(__xludf.DUMMYFUNCTION("""COMPUTED_VALUE"""),"110cc")</f>
        <v>110cc</v>
      </c>
      <c r="I1491" s="1076" t="str">
        <f>IFERROR(__xludf.DUMMYFUNCTION("""COMPUTED_VALUE"""),"RLHJA3900HX167090")</f>
        <v>RLHJA3900HX167090</v>
      </c>
      <c r="J1491" s="1076" t="str">
        <f>IFERROR(__xludf.DUMMYFUNCTION("""COMPUTED_VALUE"""),"JA39E0167142")</f>
        <v>JA39E0167142</v>
      </c>
      <c r="K1491" s="1076">
        <f>IFERROR(__xludf.DUMMYFUNCTION("""COMPUTED_VALUE"""),0.5)</f>
        <v>0.5</v>
      </c>
      <c r="L1491" s="1076" t="str">
        <f>IFERROR(__xludf.DUMMYFUNCTION("""COMPUTED_VALUE"""),"KLH")</f>
        <v>KLH</v>
      </c>
    </row>
    <row r="1492" customHeight="1" spans="1:12">
      <c r="A1492" s="1076" t="str">
        <f>IFERROR(__xludf.DUMMYFUNCTION("""COMPUTED_VALUE"""),"XL3-XMA-006")</f>
        <v>XL3-XMA-006</v>
      </c>
      <c r="B1492" s="1075" t="str">
        <f>IFERROR(__xludf.DUMMYFUNCTION("""COMPUTED_VALUE"""),"Xe máy thu hoạch")</f>
        <v>Xe máy thu hoạch</v>
      </c>
      <c r="C1492" s="1076" t="str">
        <f>IFERROR(__xludf.DUMMYFUNCTION("""COMPUTED_VALUE"""),"XN Chuối LP3")</f>
        <v>XN Chuối LP3</v>
      </c>
      <c r="D1492" s="1076" t="str">
        <f>IFERROR(__xludf.DUMMYFUNCTION("""COMPUTED_VALUE"""),"HONDA")</f>
        <v>HONDA</v>
      </c>
      <c r="E1492" s="1076" t="str">
        <f>IFERROR(__xludf.DUMMYFUNCTION("""COMPUTED_VALUE"""),"VIỆT NAM")</f>
        <v>VIỆT NAM</v>
      </c>
      <c r="F1492" s="1076"/>
      <c r="G1492" s="1076" t="str">
        <f>IFERROR(__xludf.DUMMYFUNCTION("""COMPUTED_VALUE"""),"WAVE A")</f>
        <v>WAVE A</v>
      </c>
      <c r="H1492" s="1076" t="str">
        <f>IFERROR(__xludf.DUMMYFUNCTION("""COMPUTED_VALUE"""),"110cc")</f>
        <v>110cc</v>
      </c>
      <c r="I1492" s="1076" t="str">
        <f>IFERROR(__xludf.DUMMYFUNCTION("""COMPUTED_VALUE"""),"RLHJA3914KY116255")</f>
        <v>RLHJA3914KY116255</v>
      </c>
      <c r="J1492" s="1076" t="str">
        <f>IFERROR(__xludf.DUMMYFUNCTION("""COMPUTED_VALUE"""),"JA39E0972655")</f>
        <v>JA39E0972655</v>
      </c>
      <c r="K1492" s="1076">
        <f>IFERROR(__xludf.DUMMYFUNCTION("""COMPUTED_VALUE"""),0.5)</f>
        <v>0.5</v>
      </c>
      <c r="L1492" s="1076" t="str">
        <f>IFERROR(__xludf.DUMMYFUNCTION("""COMPUTED_VALUE"""),"KLH")</f>
        <v>KLH</v>
      </c>
    </row>
    <row r="1493" customHeight="1" spans="1:12">
      <c r="A1493" s="1076" t="str">
        <f>IFERROR(__xludf.DUMMYFUNCTION("""COMPUTED_VALUE"""),"XL3-XMA-007")</f>
        <v>XL3-XMA-007</v>
      </c>
      <c r="B1493" s="1075" t="str">
        <f>IFERROR(__xludf.DUMMYFUNCTION("""COMPUTED_VALUE"""),"Xe máy thu hoạch")</f>
        <v>Xe máy thu hoạch</v>
      </c>
      <c r="C1493" s="1076" t="str">
        <f>IFERROR(__xludf.DUMMYFUNCTION("""COMPUTED_VALUE"""),"XN Chuối LP3")</f>
        <v>XN Chuối LP3</v>
      </c>
      <c r="D1493" s="1076" t="str">
        <f>IFERROR(__xludf.DUMMYFUNCTION("""COMPUTED_VALUE"""),"HONDA")</f>
        <v>HONDA</v>
      </c>
      <c r="E1493" s="1076" t="str">
        <f>IFERROR(__xludf.DUMMYFUNCTION("""COMPUTED_VALUE"""),"VIỆT NAM")</f>
        <v>VIỆT NAM</v>
      </c>
      <c r="F1493" s="1076"/>
      <c r="G1493" s="1076" t="str">
        <f>IFERROR(__xludf.DUMMYFUNCTION("""COMPUTED_VALUE"""),"WAVE A")</f>
        <v>WAVE A</v>
      </c>
      <c r="H1493" s="1076" t="str">
        <f>IFERROR(__xludf.DUMMYFUNCTION("""COMPUTED_VALUE"""),"110cc")</f>
        <v>110cc</v>
      </c>
      <c r="I1493" s="1076" t="str">
        <f>IFERROR(__xludf.DUMMYFUNCTION("""COMPUTED_VALUE"""),"RLHJA3917KY410040")</f>
        <v>RLHJA3917KY410040</v>
      </c>
      <c r="J1493" s="1076" t="str">
        <f>IFERROR(__xludf.DUMMYFUNCTION("""COMPUTED_VALUE"""),"JA39E1279621")</f>
        <v>JA39E1279621</v>
      </c>
      <c r="K1493" s="1076">
        <f>IFERROR(__xludf.DUMMYFUNCTION("""COMPUTED_VALUE"""),0.5)</f>
        <v>0.5</v>
      </c>
      <c r="L1493" s="1076" t="str">
        <f>IFERROR(__xludf.DUMMYFUNCTION("""COMPUTED_VALUE"""),"KLH")</f>
        <v>KLH</v>
      </c>
    </row>
    <row r="1494" customHeight="1" spans="1:12">
      <c r="A1494" s="1076" t="str">
        <f>IFERROR(__xludf.DUMMYFUNCTION("""COMPUTED_VALUE"""),"XL3-XMA-008")</f>
        <v>XL3-XMA-008</v>
      </c>
      <c r="B1494" s="1075" t="str">
        <f>IFERROR(__xludf.DUMMYFUNCTION("""COMPUTED_VALUE"""),"Xe máy thu hoạch")</f>
        <v>Xe máy thu hoạch</v>
      </c>
      <c r="C1494" s="1076" t="str">
        <f>IFERROR(__xludf.DUMMYFUNCTION("""COMPUTED_VALUE"""),"XN Chuối LP3")</f>
        <v>XN Chuối LP3</v>
      </c>
      <c r="D1494" s="1076" t="str">
        <f>IFERROR(__xludf.DUMMYFUNCTION("""COMPUTED_VALUE"""),"HONDA")</f>
        <v>HONDA</v>
      </c>
      <c r="E1494" s="1076" t="str">
        <f>IFERROR(__xludf.DUMMYFUNCTION("""COMPUTED_VALUE"""),"VIỆT NAM")</f>
        <v>VIỆT NAM</v>
      </c>
      <c r="F1494" s="1076"/>
      <c r="G1494" s="1076" t="str">
        <f>IFERROR(__xludf.DUMMYFUNCTION("""COMPUTED_VALUE"""),"WAVE A")</f>
        <v>WAVE A</v>
      </c>
      <c r="H1494" s="1076" t="str">
        <f>IFERROR(__xludf.DUMMYFUNCTION("""COMPUTED_VALUE"""),"110cc")</f>
        <v>110cc</v>
      </c>
      <c r="I1494" s="1076" t="str">
        <f>IFERROR(__xludf.DUMMYFUNCTION("""COMPUTED_VALUE"""),"RLHJA3922MY130361")</f>
        <v>RLHJA3922MY130361</v>
      </c>
      <c r="J1494" s="1076" t="str">
        <f>IFERROR(__xludf.DUMMYFUNCTION("""COMPUTED_VALUE"""),"JA39E2247683")</f>
        <v>JA39E2247683</v>
      </c>
      <c r="K1494" s="1076">
        <f>IFERROR(__xludf.DUMMYFUNCTION("""COMPUTED_VALUE"""),0.5)</f>
        <v>0.5</v>
      </c>
      <c r="L1494" s="1076" t="str">
        <f>IFERROR(__xludf.DUMMYFUNCTION("""COMPUTED_VALUE"""),"KLH")</f>
        <v>KLH</v>
      </c>
    </row>
    <row r="1495" customHeight="1" spans="1:12">
      <c r="A1495" s="1076" t="str">
        <f>IFERROR(__xludf.DUMMYFUNCTION("""COMPUTED_VALUE"""),"XL3-XMA-009")</f>
        <v>XL3-XMA-009</v>
      </c>
      <c r="B1495" s="1075" t="str">
        <f>IFERROR(__xludf.DUMMYFUNCTION("""COMPUTED_VALUE"""),"Xe máy thu hoạch")</f>
        <v>Xe máy thu hoạch</v>
      </c>
      <c r="C1495" s="1076" t="str">
        <f>IFERROR(__xludf.DUMMYFUNCTION("""COMPUTED_VALUE"""),"XN Chuối LP3")</f>
        <v>XN Chuối LP3</v>
      </c>
      <c r="D1495" s="1076" t="str">
        <f>IFERROR(__xludf.DUMMYFUNCTION("""COMPUTED_VALUE"""),"HONDA")</f>
        <v>HONDA</v>
      </c>
      <c r="E1495" s="1076" t="str">
        <f>IFERROR(__xludf.DUMMYFUNCTION("""COMPUTED_VALUE"""),"VIỆT NAM")</f>
        <v>VIỆT NAM</v>
      </c>
      <c r="F1495" s="1076"/>
      <c r="G1495" s="1076" t="str">
        <f>IFERROR(__xludf.DUMMYFUNCTION("""COMPUTED_VALUE"""),"WAVE A")</f>
        <v>WAVE A</v>
      </c>
      <c r="H1495" s="1076" t="str">
        <f>IFERROR(__xludf.DUMMYFUNCTION("""COMPUTED_VALUE"""),"110cc")</f>
        <v>110cc</v>
      </c>
      <c r="I1495" s="1076" t="str">
        <f>IFERROR(__xludf.DUMMYFUNCTION("""COMPUTED_VALUE"""),"RLHJA3915LY190446")</f>
        <v>RLHJA3915LY190446</v>
      </c>
      <c r="J1495" s="1076" t="str">
        <f>IFERROR(__xludf.DUMMYFUNCTION("""COMPUTED_VALUE"""),"JA39E1528276")</f>
        <v>JA39E1528276</v>
      </c>
      <c r="K1495" s="1076">
        <f>IFERROR(__xludf.DUMMYFUNCTION("""COMPUTED_VALUE"""),0.5)</f>
        <v>0.5</v>
      </c>
      <c r="L1495" s="1076" t="str">
        <f>IFERROR(__xludf.DUMMYFUNCTION("""COMPUTED_VALUE"""),"KLH")</f>
        <v>KLH</v>
      </c>
    </row>
    <row r="1496" customHeight="1" spans="1:12">
      <c r="A1496" s="1076" t="str">
        <f>IFERROR(__xludf.DUMMYFUNCTION("""COMPUTED_VALUE"""),"XL3-XMA-010")</f>
        <v>XL3-XMA-010</v>
      </c>
      <c r="B1496" s="1075" t="str">
        <f>IFERROR(__xludf.DUMMYFUNCTION("""COMPUTED_VALUE"""),"Xe máy thu hoạch")</f>
        <v>Xe máy thu hoạch</v>
      </c>
      <c r="C1496" s="1076" t="str">
        <f>IFERROR(__xludf.DUMMYFUNCTION("""COMPUTED_VALUE"""),"XN Chuối LP3")</f>
        <v>XN Chuối LP3</v>
      </c>
      <c r="D1496" s="1076" t="str">
        <f>IFERROR(__xludf.DUMMYFUNCTION("""COMPUTED_VALUE"""),"HONDA")</f>
        <v>HONDA</v>
      </c>
      <c r="E1496" s="1076" t="str">
        <f>IFERROR(__xludf.DUMMYFUNCTION("""COMPUTED_VALUE"""),"VIỆT NAM")</f>
        <v>VIỆT NAM</v>
      </c>
      <c r="F1496" s="1076"/>
      <c r="G1496" s="1076" t="str">
        <f>IFERROR(__xludf.DUMMYFUNCTION("""COMPUTED_VALUE"""),"WAVE A")</f>
        <v>WAVE A</v>
      </c>
      <c r="H1496" s="1076" t="str">
        <f>IFERROR(__xludf.DUMMYFUNCTION("""COMPUTED_VALUE"""),"110cc")</f>
        <v>110cc</v>
      </c>
      <c r="I1496" s="1076" t="str">
        <f>IFERROR(__xludf.DUMMYFUNCTION("""COMPUTED_VALUE"""),"RLHJA3911LY16899")</f>
        <v>RLHJA3911LY16899</v>
      </c>
      <c r="J1496" s="1076" t="str">
        <f>IFERROR(__xludf.DUMMYFUNCTION("""COMPUTED_VALUE"""),"JA39E1506840")</f>
        <v>JA39E1506840</v>
      </c>
      <c r="K1496" s="1076">
        <f>IFERROR(__xludf.DUMMYFUNCTION("""COMPUTED_VALUE"""),0.5)</f>
        <v>0.5</v>
      </c>
      <c r="L1496" s="1076" t="str">
        <f>IFERROR(__xludf.DUMMYFUNCTION("""COMPUTED_VALUE"""),"KLH")</f>
        <v>KLH</v>
      </c>
    </row>
    <row r="1497" customHeight="1" spans="1:12">
      <c r="A1497" s="1076" t="str">
        <f>IFERROR(__xludf.DUMMYFUNCTION("""COMPUTED_VALUE"""),"XL3-XMA-011")</f>
        <v>XL3-XMA-011</v>
      </c>
      <c r="B1497" s="1075" t="str">
        <f>IFERROR(__xludf.DUMMYFUNCTION("""COMPUTED_VALUE"""),"Xe máy thu hoạch")</f>
        <v>Xe máy thu hoạch</v>
      </c>
      <c r="C1497" s="1076" t="str">
        <f>IFERROR(__xludf.DUMMYFUNCTION("""COMPUTED_VALUE"""),"XN Chuối LP3")</f>
        <v>XN Chuối LP3</v>
      </c>
      <c r="D1497" s="1076" t="str">
        <f>IFERROR(__xludf.DUMMYFUNCTION("""COMPUTED_VALUE"""),"HONDA")</f>
        <v>HONDA</v>
      </c>
      <c r="E1497" s="1076" t="str">
        <f>IFERROR(__xludf.DUMMYFUNCTION("""COMPUTED_VALUE"""),"VIỆT NAM")</f>
        <v>VIỆT NAM</v>
      </c>
      <c r="F1497" s="1076"/>
      <c r="G1497" s="1076" t="str">
        <f>IFERROR(__xludf.DUMMYFUNCTION("""COMPUTED_VALUE"""),"WAVE A")</f>
        <v>WAVE A</v>
      </c>
      <c r="H1497" s="1076" t="str">
        <f>IFERROR(__xludf.DUMMYFUNCTION("""COMPUTED_VALUE"""),"110cc")</f>
        <v>110cc</v>
      </c>
      <c r="I1497" s="1076" t="str">
        <f>IFERROR(__xludf.DUMMYFUNCTION("""COMPUTED_VALUE"""),"RLHJA391XKY204081")</f>
        <v>RLHJA391XKY204081</v>
      </c>
      <c r="J1497" s="1076" t="str">
        <f>IFERROR(__xludf.DUMMYFUNCTION("""COMPUTED_VALUE"""),"JA39E-1061910")</f>
        <v>JA39E-1061910</v>
      </c>
      <c r="K1497" s="1076"/>
      <c r="L1497" s="1076" t="str">
        <f>IFERROR(__xludf.DUMMYFUNCTION("""COMPUTED_VALUE"""),"KLH")</f>
        <v>KLH</v>
      </c>
    </row>
    <row r="1498" customHeight="1" spans="1:12">
      <c r="A1498" s="1076" t="str">
        <f>IFERROR(__xludf.DUMMYFUNCTION("""COMPUTED_VALUE"""),"XL3-XMA-012")</f>
        <v>XL3-XMA-012</v>
      </c>
      <c r="B1498" s="1075" t="str">
        <f>IFERROR(__xludf.DUMMYFUNCTION("""COMPUTED_VALUE"""),"Xe máy thu hoạch")</f>
        <v>Xe máy thu hoạch</v>
      </c>
      <c r="C1498" s="1076" t="str">
        <f>IFERROR(__xludf.DUMMYFUNCTION("""COMPUTED_VALUE"""),"XN Chuối LP3")</f>
        <v>XN Chuối LP3</v>
      </c>
      <c r="D1498" s="1076" t="str">
        <f>IFERROR(__xludf.DUMMYFUNCTION("""COMPUTED_VALUE"""),"HONDA")</f>
        <v>HONDA</v>
      </c>
      <c r="E1498" s="1076" t="str">
        <f>IFERROR(__xludf.DUMMYFUNCTION("""COMPUTED_VALUE"""),"VIỆT NAM")</f>
        <v>VIỆT NAM</v>
      </c>
      <c r="F1498" s="1076"/>
      <c r="G1498" s="1076" t="str">
        <f>IFERROR(__xludf.DUMMYFUNCTION("""COMPUTED_VALUE"""),"WAVE A")</f>
        <v>WAVE A</v>
      </c>
      <c r="H1498" s="1076" t="str">
        <f>IFERROR(__xludf.DUMMYFUNCTION("""COMPUTED_VALUE"""),"110cc")</f>
        <v>110cc</v>
      </c>
      <c r="I1498" s="1076" t="str">
        <f>IFERROR(__xludf.DUMMYFUNCTION("""COMPUTED_VALUE"""),"RLH3A3905HY477232")</f>
        <v>RLH3A3905HY477232</v>
      </c>
      <c r="J1498" s="1076"/>
      <c r="K1498" s="1076"/>
      <c r="L1498" s="1076" t="str">
        <f>IFERROR(__xludf.DUMMYFUNCTION("""COMPUTED_VALUE"""),"KLH")</f>
        <v>KLH</v>
      </c>
    </row>
    <row r="1499" customHeight="1" spans="1:12">
      <c r="A1499" s="1076" t="str">
        <f>IFERROR(__xludf.DUMMYFUNCTION("""COMPUTED_VALUE"""),"XL3-XMA-013")</f>
        <v>XL3-XMA-013</v>
      </c>
      <c r="B1499" s="1075" t="str">
        <f>IFERROR(__xludf.DUMMYFUNCTION("""COMPUTED_VALUE"""),"Xe máy thu hoạch")</f>
        <v>Xe máy thu hoạch</v>
      </c>
      <c r="C1499" s="1076" t="str">
        <f>IFERROR(__xludf.DUMMYFUNCTION("""COMPUTED_VALUE"""),"XN Chuối LP3")</f>
        <v>XN Chuối LP3</v>
      </c>
      <c r="D1499" s="1076" t="str">
        <f>IFERROR(__xludf.DUMMYFUNCTION("""COMPUTED_VALUE"""),"HONDA")</f>
        <v>HONDA</v>
      </c>
      <c r="E1499" s="1076" t="str">
        <f>IFERROR(__xludf.DUMMYFUNCTION("""COMPUTED_VALUE"""),"VIỆT NAM")</f>
        <v>VIỆT NAM</v>
      </c>
      <c r="F1499" s="1076"/>
      <c r="G1499" s="1076" t="str">
        <f>IFERROR(__xludf.DUMMYFUNCTION("""COMPUTED_VALUE"""),"WAVE A")</f>
        <v>WAVE A</v>
      </c>
      <c r="H1499" s="1076" t="str">
        <f>IFERROR(__xludf.DUMMYFUNCTION("""COMPUTED_VALUE"""),"110cc")</f>
        <v>110cc</v>
      </c>
      <c r="I1499" s="1076" t="str">
        <f>IFERROR(__xludf.DUMMYFUNCTION("""COMPUTED_VALUE"""),"RLHLUJA3913KY306760")</f>
        <v>RLHLUJA3913KY306760</v>
      </c>
      <c r="J1499" s="1076"/>
      <c r="K1499" s="1076"/>
      <c r="L1499" s="1076" t="str">
        <f>IFERROR(__xludf.DUMMYFUNCTION("""COMPUTED_VALUE"""),"KLH")</f>
        <v>KLH</v>
      </c>
    </row>
    <row r="1500" customHeight="1" spans="1:12">
      <c r="A1500" s="1076" t="str">
        <f>IFERROR(__xludf.DUMMYFUNCTION("""COMPUTED_VALUE"""),"XL3-XMA-014")</f>
        <v>XL3-XMA-014</v>
      </c>
      <c r="B1500" s="1075" t="str">
        <f>IFERROR(__xludf.DUMMYFUNCTION("""COMPUTED_VALUE"""),"Xe máy thu hoạch")</f>
        <v>Xe máy thu hoạch</v>
      </c>
      <c r="C1500" s="1076" t="str">
        <f>IFERROR(__xludf.DUMMYFUNCTION("""COMPUTED_VALUE"""),"XN Chuối LP3")</f>
        <v>XN Chuối LP3</v>
      </c>
      <c r="D1500" s="1076" t="str">
        <f>IFERROR(__xludf.DUMMYFUNCTION("""COMPUTED_VALUE"""),"HONDA")</f>
        <v>HONDA</v>
      </c>
      <c r="E1500" s="1076" t="str">
        <f>IFERROR(__xludf.DUMMYFUNCTION("""COMPUTED_VALUE"""),"VIỆT NAM")</f>
        <v>VIỆT NAM</v>
      </c>
      <c r="F1500" s="1076"/>
      <c r="G1500" s="1076" t="str">
        <f>IFERROR(__xludf.DUMMYFUNCTION("""COMPUTED_VALUE"""),"WAVE A")</f>
        <v>WAVE A</v>
      </c>
      <c r="H1500" s="1076" t="str">
        <f>IFERROR(__xludf.DUMMYFUNCTION("""COMPUTED_VALUE"""),"110cc")</f>
        <v>110cc</v>
      </c>
      <c r="I1500" s="1076" t="str">
        <f>IFERROR(__xludf.DUMMYFUNCTION("""COMPUTED_VALUE"""),"RLHJA3913KY291211")</f>
        <v>RLHJA3913KY291211</v>
      </c>
      <c r="J1500" s="1076" t="str">
        <f>IFERROR(__xludf.DUMMYFUNCTION("""COMPUTED_VALUE"""),"JA39E-1153196")</f>
        <v>JA39E-1153196</v>
      </c>
      <c r="K1500" s="1076"/>
      <c r="L1500" s="1076" t="str">
        <f>IFERROR(__xludf.DUMMYFUNCTION("""COMPUTED_VALUE"""),"KLH")</f>
        <v>KLH</v>
      </c>
    </row>
    <row r="1501" customHeight="1" spans="1:12">
      <c r="A1501" s="1076" t="str">
        <f>IFERROR(__xludf.DUMMYFUNCTION("""COMPUTED_VALUE"""),"LP4")</f>
        <v>LP4</v>
      </c>
      <c r="B1501" s="1075"/>
      <c r="C1501" s="1076"/>
      <c r="D1501" s="1076"/>
      <c r="E1501" s="1076"/>
      <c r="F1501" s="1076"/>
      <c r="G1501" s="1076"/>
      <c r="H1501" s="1076"/>
      <c r="I1501" s="1076"/>
      <c r="J1501" s="1076"/>
      <c r="K1501" s="1076"/>
      <c r="L1501" s="1076" t="str">
        <f>IFERROR(__xludf.DUMMYFUNCTION("""COMPUTED_VALUE"""),"KLH")</f>
        <v>KLH</v>
      </c>
    </row>
    <row r="1502" customHeight="1" spans="1:12">
      <c r="A1502" s="1076" t="str">
        <f>IFERROR(__xludf.DUMMYFUNCTION("""COMPUTED_VALUE"""),"XL4-XMA-001")</f>
        <v>XL4-XMA-001</v>
      </c>
      <c r="B1502" s="1075" t="str">
        <f>IFERROR(__xludf.DUMMYFUNCTION("""COMPUTED_VALUE"""),"Xe máy thu hoạch")</f>
        <v>Xe máy thu hoạch</v>
      </c>
      <c r="C1502" s="1076" t="str">
        <f>IFERROR(__xludf.DUMMYFUNCTION("""COMPUTED_VALUE"""),"XN Chuối LP4")</f>
        <v>XN Chuối LP4</v>
      </c>
      <c r="D1502" s="1076" t="str">
        <f>IFERROR(__xludf.DUMMYFUNCTION("""COMPUTED_VALUE"""),"HONDA")</f>
        <v>HONDA</v>
      </c>
      <c r="E1502" s="1076" t="str">
        <f>IFERROR(__xludf.DUMMYFUNCTION("""COMPUTED_VALUE"""),"VIỆT NAM")</f>
        <v>VIỆT NAM</v>
      </c>
      <c r="F1502" s="1076"/>
      <c r="G1502" s="1076" t="str">
        <f>IFERROR(__xludf.DUMMYFUNCTION("""COMPUTED_VALUE"""),"WAVE A")</f>
        <v>WAVE A</v>
      </c>
      <c r="H1502" s="1076" t="str">
        <f>IFERROR(__xludf.DUMMYFUNCTION("""COMPUTED_VALUE"""),"110cc")</f>
        <v>110cc</v>
      </c>
      <c r="I1502" s="1076" t="str">
        <f>IFERROR(__xludf.DUMMYFUNCTION("""COMPUTED_VALUE"""),"GLHJA39 16LI197793")</f>
        <v>GLHJA39 16LI197793</v>
      </c>
      <c r="J1502" s="1076" t="str">
        <f>IFERROR(__xludf.DUMMYFUNCTION("""COMPUTED_VALUE"""),"JA39E-1535675")</f>
        <v>JA39E-1535675</v>
      </c>
      <c r="K1502" s="1076">
        <f>IFERROR(__xludf.DUMMYFUNCTION("""COMPUTED_VALUE"""),0.5)</f>
        <v>0.5</v>
      </c>
      <c r="L1502" s="1076" t="str">
        <f>IFERROR(__xludf.DUMMYFUNCTION("""COMPUTED_VALUE"""),"KLH")</f>
        <v>KLH</v>
      </c>
    </row>
    <row r="1503" customHeight="1" spans="1:12">
      <c r="A1503" s="1076" t="str">
        <f>IFERROR(__xludf.DUMMYFUNCTION("""COMPUTED_VALUE"""),"XL4-XMA-002")</f>
        <v>XL4-XMA-002</v>
      </c>
      <c r="B1503" s="1075" t="str">
        <f>IFERROR(__xludf.DUMMYFUNCTION("""COMPUTED_VALUE"""),"Xe máy thu hoạch")</f>
        <v>Xe máy thu hoạch</v>
      </c>
      <c r="C1503" s="1076" t="str">
        <f>IFERROR(__xludf.DUMMYFUNCTION("""COMPUTED_VALUE"""),"XN Chuối LP4")</f>
        <v>XN Chuối LP4</v>
      </c>
      <c r="D1503" s="1076" t="str">
        <f>IFERROR(__xludf.DUMMYFUNCTION("""COMPUTED_VALUE"""),"HONDA")</f>
        <v>HONDA</v>
      </c>
      <c r="E1503" s="1076" t="str">
        <f>IFERROR(__xludf.DUMMYFUNCTION("""COMPUTED_VALUE"""),"VIỆT NAM")</f>
        <v>VIỆT NAM</v>
      </c>
      <c r="F1503" s="1076"/>
      <c r="G1503" s="1076" t="str">
        <f>IFERROR(__xludf.DUMMYFUNCTION("""COMPUTED_VALUE"""),"WAVE A")</f>
        <v>WAVE A</v>
      </c>
      <c r="H1503" s="1076" t="str">
        <f>IFERROR(__xludf.DUMMYFUNCTION("""COMPUTED_VALUE"""),"110cc")</f>
        <v>110cc</v>
      </c>
      <c r="I1503" s="1076" t="str">
        <f>IFERROR(__xludf.DUMMYFUNCTION("""COMPUTED_VALUE"""),"GLHJA39 00HI028447")</f>
        <v>GLHJA39 00HI028447</v>
      </c>
      <c r="J1503" s="1076" t="str">
        <f>IFERROR(__xludf.DUMMYFUNCTION("""COMPUTED_VALUE"""),"JA39E-0028489")</f>
        <v>JA39E-0028489</v>
      </c>
      <c r="K1503" s="1076">
        <f>IFERROR(__xludf.DUMMYFUNCTION("""COMPUTED_VALUE"""),0.5)</f>
        <v>0.5</v>
      </c>
      <c r="L1503" s="1076" t="str">
        <f>IFERROR(__xludf.DUMMYFUNCTION("""COMPUTED_VALUE"""),"KLH")</f>
        <v>KLH</v>
      </c>
    </row>
    <row r="1504" customHeight="1" spans="1:12">
      <c r="A1504" s="1076" t="str">
        <f>IFERROR(__xludf.DUMMYFUNCTION("""COMPUTED_VALUE"""),"XL4-XMA-007")</f>
        <v>XL4-XMA-007</v>
      </c>
      <c r="B1504" s="1075" t="str">
        <f>IFERROR(__xludf.DUMMYFUNCTION("""COMPUTED_VALUE"""),"Xe máy thu hoạch")</f>
        <v>Xe máy thu hoạch</v>
      </c>
      <c r="C1504" s="1076" t="str">
        <f>IFERROR(__xludf.DUMMYFUNCTION("""COMPUTED_VALUE"""),"XN Chuối LP4")</f>
        <v>XN Chuối LP4</v>
      </c>
      <c r="D1504" s="1076" t="str">
        <f>IFERROR(__xludf.DUMMYFUNCTION("""COMPUTED_VALUE"""),"HONDA")</f>
        <v>HONDA</v>
      </c>
      <c r="E1504" s="1076" t="str">
        <f>IFERROR(__xludf.DUMMYFUNCTION("""COMPUTED_VALUE"""),"VIỆT NAM")</f>
        <v>VIỆT NAM</v>
      </c>
      <c r="F1504" s="1076"/>
      <c r="G1504" s="1076" t="str">
        <f>IFERROR(__xludf.DUMMYFUNCTION("""COMPUTED_VALUE"""),"WAVE A")</f>
        <v>WAVE A</v>
      </c>
      <c r="H1504" s="1076" t="str">
        <f>IFERROR(__xludf.DUMMYFUNCTION("""COMPUTED_VALUE"""),"110cc")</f>
        <v>110cc</v>
      </c>
      <c r="I1504" s="1076" t="str">
        <f>IFERROR(__xludf.DUMMYFUNCTION("""COMPUTED_VALUE"""),"GLHJA39 08HI707513")</f>
        <v>GLHJA39 08HI707513</v>
      </c>
      <c r="J1504" s="1076" t="str">
        <f>IFERROR(__xludf.DUMMYFUNCTION("""COMPUTED_VALUE"""),"JA39E- 0687658")</f>
        <v>JA39E- 0687658</v>
      </c>
      <c r="K1504" s="1076">
        <f>IFERROR(__xludf.DUMMYFUNCTION("""COMPUTED_VALUE"""),0.5)</f>
        <v>0.5</v>
      </c>
      <c r="L1504" s="1076" t="str">
        <f>IFERROR(__xludf.DUMMYFUNCTION("""COMPUTED_VALUE"""),"KLH")</f>
        <v>KLH</v>
      </c>
    </row>
    <row r="1505" customHeight="1" spans="1:12">
      <c r="A1505" s="1076" t="str">
        <f>IFERROR(__xludf.DUMMYFUNCTION("""COMPUTED_VALUE"""),"XL4-XMA-008")</f>
        <v>XL4-XMA-008</v>
      </c>
      <c r="B1505" s="1075" t="str">
        <f>IFERROR(__xludf.DUMMYFUNCTION("""COMPUTED_VALUE"""),"Xe máy thu hoạch")</f>
        <v>Xe máy thu hoạch</v>
      </c>
      <c r="C1505" s="1076" t="str">
        <f>IFERROR(__xludf.DUMMYFUNCTION("""COMPUTED_VALUE"""),"XN Chuối LP4")</f>
        <v>XN Chuối LP4</v>
      </c>
      <c r="D1505" s="1076" t="str">
        <f>IFERROR(__xludf.DUMMYFUNCTION("""COMPUTED_VALUE"""),"HONDA")</f>
        <v>HONDA</v>
      </c>
      <c r="E1505" s="1076" t="str">
        <f>IFERROR(__xludf.DUMMYFUNCTION("""COMPUTED_VALUE"""),"VIỆT NAM")</f>
        <v>VIỆT NAM</v>
      </c>
      <c r="F1505" s="1076"/>
      <c r="G1505" s="1076" t="str">
        <f>IFERROR(__xludf.DUMMYFUNCTION("""COMPUTED_VALUE"""),"WAVE A")</f>
        <v>WAVE A</v>
      </c>
      <c r="H1505" s="1076" t="str">
        <f>IFERROR(__xludf.DUMMYFUNCTION("""COMPUTED_VALUE"""),"110cc")</f>
        <v>110cc</v>
      </c>
      <c r="I1505" s="1076" t="str">
        <f>IFERROR(__xludf.DUMMYFUNCTION("""COMPUTED_VALUE"""),"RLHJA3912LY166024")</f>
        <v>RLHJA3912LY166024</v>
      </c>
      <c r="J1505" s="1076" t="str">
        <f>IFERROR(__xludf.DUMMYFUNCTION("""COMPUTED_VALUE"""),"JA39E1503930")</f>
        <v>JA39E1503930</v>
      </c>
      <c r="K1505" s="1076">
        <f>IFERROR(__xludf.DUMMYFUNCTION("""COMPUTED_VALUE"""),0.5)</f>
        <v>0.5</v>
      </c>
      <c r="L1505" s="1076" t="str">
        <f>IFERROR(__xludf.DUMMYFUNCTION("""COMPUTED_VALUE"""),"KLH")</f>
        <v>KLH</v>
      </c>
    </row>
    <row r="1506" customHeight="1" spans="1:12">
      <c r="A1506" s="1076" t="str">
        <f>IFERROR(__xludf.DUMMYFUNCTION("""COMPUTED_VALUE"""),"ANDONGMEAS")</f>
        <v>ANDONGMEAS</v>
      </c>
      <c r="B1506" s="1075"/>
      <c r="C1506" s="1076"/>
      <c r="D1506" s="1076"/>
      <c r="E1506" s="1076"/>
      <c r="F1506" s="1076"/>
      <c r="G1506" s="1076"/>
      <c r="H1506" s="1076"/>
      <c r="I1506" s="1076"/>
      <c r="J1506" s="1076"/>
      <c r="K1506" s="1076"/>
      <c r="L1506" s="1076" t="str">
        <f>IFERROR(__xludf.DUMMYFUNCTION("""COMPUTED_VALUE"""),"KLH")</f>
        <v>KLH</v>
      </c>
    </row>
    <row r="1507" customHeight="1" spans="1:12">
      <c r="A1507" s="1076" t="str">
        <f>IFERROR(__xludf.DUMMYFUNCTION("""COMPUTED_VALUE"""),"XN AD2")</f>
        <v>XN AD2</v>
      </c>
      <c r="B1507" s="1075"/>
      <c r="C1507" s="1076"/>
      <c r="D1507" s="1076"/>
      <c r="E1507" s="1076"/>
      <c r="F1507" s="1076"/>
      <c r="G1507" s="1076"/>
      <c r="H1507" s="1076"/>
      <c r="I1507" s="1076"/>
      <c r="J1507" s="1076"/>
      <c r="K1507" s="1076"/>
      <c r="L1507" s="1076" t="str">
        <f>IFERROR(__xludf.DUMMYFUNCTION("""COMPUTED_VALUE"""),"KLH")</f>
        <v>KLH</v>
      </c>
    </row>
    <row r="1508" customHeight="1" spans="1:12">
      <c r="A1508" s="1076" t="str">
        <f>IFERROR(__xludf.DUMMYFUNCTION("""COMPUTED_VALUE"""),"XA2-XMA-001")</f>
        <v>XA2-XMA-001</v>
      </c>
      <c r="B1508" s="1075" t="str">
        <f>IFERROR(__xludf.DUMMYFUNCTION("""COMPUTED_VALUE"""),"Xe máy thu hoạch")</f>
        <v>Xe máy thu hoạch</v>
      </c>
      <c r="C1508" s="1076" t="str">
        <f>IFERROR(__xludf.DUMMYFUNCTION("""COMPUTED_VALUE"""),"XN Chuối AD2")</f>
        <v>XN Chuối AD2</v>
      </c>
      <c r="D1508" s="1076" t="str">
        <f>IFERROR(__xludf.DUMMYFUNCTION("""COMPUTED_VALUE"""),"HONDA")</f>
        <v>HONDA</v>
      </c>
      <c r="E1508" s="1076" t="str">
        <f>IFERROR(__xludf.DUMMYFUNCTION("""COMPUTED_VALUE"""),"VIỆT NAM")</f>
        <v>VIỆT NAM</v>
      </c>
      <c r="F1508" s="1076"/>
      <c r="G1508" s="1076" t="str">
        <f>IFERROR(__xludf.DUMMYFUNCTION("""COMPUTED_VALUE"""),"WAVE A")</f>
        <v>WAVE A</v>
      </c>
      <c r="H1508" s="1076" t="str">
        <f>IFERROR(__xludf.DUMMYFUNCTION("""COMPUTED_VALUE"""),"110cc")</f>
        <v>110cc</v>
      </c>
      <c r="I1508" s="1076" t="str">
        <f>IFERROR(__xludf.DUMMYFUNCTION("""COMPUTED_VALUE"""),"RLHHC1204AY200315")</f>
        <v>RLHHC1204AY200315</v>
      </c>
      <c r="J1508" s="1076" t="str">
        <f>IFERROR(__xludf.DUMMYFUNCTION("""COMPUTED_VALUE"""),"HC12E-2700316")</f>
        <v>HC12E-2700316</v>
      </c>
      <c r="K1508" s="1076">
        <f>IFERROR(__xludf.DUMMYFUNCTION("""COMPUTED_VALUE"""),0.5)</f>
        <v>0.5</v>
      </c>
      <c r="L1508" s="1076" t="str">
        <f>IFERROR(__xludf.DUMMYFUNCTION("""COMPUTED_VALUE"""),"KLH")</f>
        <v>KLH</v>
      </c>
    </row>
    <row r="1509" customHeight="1" spans="1:12">
      <c r="A1509" s="1076" t="str">
        <f>IFERROR(__xludf.DUMMYFUNCTION("""COMPUTED_VALUE"""),"XA2-XMA-002")</f>
        <v>XA2-XMA-002</v>
      </c>
      <c r="B1509" s="1075" t="str">
        <f>IFERROR(__xludf.DUMMYFUNCTION("""COMPUTED_VALUE"""),"Xe máy thu hoạch")</f>
        <v>Xe máy thu hoạch</v>
      </c>
      <c r="C1509" s="1076" t="str">
        <f>IFERROR(__xludf.DUMMYFUNCTION("""COMPUTED_VALUE"""),"XN Chuối AD2")</f>
        <v>XN Chuối AD2</v>
      </c>
      <c r="D1509" s="1076" t="str">
        <f>IFERROR(__xludf.DUMMYFUNCTION("""COMPUTED_VALUE"""),"HONDA")</f>
        <v>HONDA</v>
      </c>
      <c r="E1509" s="1076" t="str">
        <f>IFERROR(__xludf.DUMMYFUNCTION("""COMPUTED_VALUE"""),"VIỆT NAM")</f>
        <v>VIỆT NAM</v>
      </c>
      <c r="F1509" s="1076"/>
      <c r="G1509" s="1076" t="str">
        <f>IFERROR(__xludf.DUMMYFUNCTION("""COMPUTED_VALUE"""),"WAVE A")</f>
        <v>WAVE A</v>
      </c>
      <c r="H1509" s="1076" t="str">
        <f>IFERROR(__xludf.DUMMYFUNCTION("""COMPUTED_VALUE"""),"110cc")</f>
        <v>110cc</v>
      </c>
      <c r="I1509" s="1076" t="str">
        <f>IFERROR(__xludf.DUMMYFUNCTION("""COMPUTED_VALUE"""),"RLHJA3918KYI48402")</f>
        <v>RLHJA3918KYI48402</v>
      </c>
      <c r="J1509" s="1076" t="str">
        <f>IFERROR(__xludf.DUMMYFUNCTION("""COMPUTED_VALUE"""),"JA39E1005640")</f>
        <v>JA39E1005640</v>
      </c>
      <c r="K1509" s="1076">
        <f>IFERROR(__xludf.DUMMYFUNCTION("""COMPUTED_VALUE"""),0.5)</f>
        <v>0.5</v>
      </c>
      <c r="L1509" s="1076" t="str">
        <f>IFERROR(__xludf.DUMMYFUNCTION("""COMPUTED_VALUE"""),"KLH")</f>
        <v>KLH</v>
      </c>
    </row>
    <row r="1510" customHeight="1" spans="1:12">
      <c r="A1510" s="1076" t="str">
        <f>IFERROR(__xludf.DUMMYFUNCTION("""COMPUTED_VALUE"""),"XA2-XMA-004")</f>
        <v>XA2-XMA-004</v>
      </c>
      <c r="B1510" s="1075" t="str">
        <f>IFERROR(__xludf.DUMMYFUNCTION("""COMPUTED_VALUE"""),"Xe máy thu hoạch")</f>
        <v>Xe máy thu hoạch</v>
      </c>
      <c r="C1510" s="1076" t="str">
        <f>IFERROR(__xludf.DUMMYFUNCTION("""COMPUTED_VALUE"""),"XN Chuối AD2")</f>
        <v>XN Chuối AD2</v>
      </c>
      <c r="D1510" s="1076" t="str">
        <f>IFERROR(__xludf.DUMMYFUNCTION("""COMPUTED_VALUE"""),"HONDA")</f>
        <v>HONDA</v>
      </c>
      <c r="E1510" s="1076" t="str">
        <f>IFERROR(__xludf.DUMMYFUNCTION("""COMPUTED_VALUE"""),"VIỆT NAM")</f>
        <v>VIỆT NAM</v>
      </c>
      <c r="F1510" s="1076"/>
      <c r="G1510" s="1076" t="str">
        <f>IFERROR(__xludf.DUMMYFUNCTION("""COMPUTED_VALUE"""),"WAVE A")</f>
        <v>WAVE A</v>
      </c>
      <c r="H1510" s="1076" t="str">
        <f>IFERROR(__xludf.DUMMYFUNCTION("""COMPUTED_VALUE"""),"110cc")</f>
        <v>110cc</v>
      </c>
      <c r="I1510" s="1076" t="str">
        <f>IFERROR(__xludf.DUMMYFUNCTION("""COMPUTED_VALUE"""),"RLHJC43119Y635265")</f>
        <v>RLHJC43119Y635265</v>
      </c>
      <c r="J1510" s="1076" t="str">
        <f>IFERROR(__xludf.DUMMYFUNCTION("""COMPUTED_VALUE"""),"JC43E-0612013")</f>
        <v>JC43E-0612013</v>
      </c>
      <c r="K1510" s="1076">
        <f>IFERROR(__xludf.DUMMYFUNCTION("""COMPUTED_VALUE"""),0.5)</f>
        <v>0.5</v>
      </c>
      <c r="L1510" s="1076" t="str">
        <f>IFERROR(__xludf.DUMMYFUNCTION("""COMPUTED_VALUE"""),"KLH")</f>
        <v>KLH</v>
      </c>
    </row>
    <row r="1511" customHeight="1" spans="1:12">
      <c r="A1511" s="1076" t="str">
        <f>IFERROR(__xludf.DUMMYFUNCTION("""COMPUTED_VALUE"""),"XA2-XMA-012")</f>
        <v>XA2-XMA-012</v>
      </c>
      <c r="B1511" s="1075" t="str">
        <f>IFERROR(__xludf.DUMMYFUNCTION("""COMPUTED_VALUE"""),"Xe máy thu hoạch")</f>
        <v>Xe máy thu hoạch</v>
      </c>
      <c r="C1511" s="1076" t="str">
        <f>IFERROR(__xludf.DUMMYFUNCTION("""COMPUTED_VALUE"""),"XN Chuối AD2")</f>
        <v>XN Chuối AD2</v>
      </c>
      <c r="D1511" s="1076" t="str">
        <f>IFERROR(__xludf.DUMMYFUNCTION("""COMPUTED_VALUE"""),"HONDA")</f>
        <v>HONDA</v>
      </c>
      <c r="E1511" s="1076" t="str">
        <f>IFERROR(__xludf.DUMMYFUNCTION("""COMPUTED_VALUE"""),"VIỆT NAM")</f>
        <v>VIỆT NAM</v>
      </c>
      <c r="F1511" s="1076"/>
      <c r="G1511" s="1076" t="str">
        <f>IFERROR(__xludf.DUMMYFUNCTION("""COMPUTED_VALUE"""),"WAVE A")</f>
        <v>WAVE A</v>
      </c>
      <c r="H1511" s="1076" t="str">
        <f>IFERROR(__xludf.DUMMYFUNCTION("""COMPUTED_VALUE"""),"110cc")</f>
        <v>110cc</v>
      </c>
      <c r="I1511" s="1076" t="str">
        <f>IFERROR(__xludf.DUMMYFUNCTION("""COMPUTED_VALUE"""),"RLHJA3907HY030321")</f>
        <v>RLHJA3907HY030321</v>
      </c>
      <c r="J1511" s="1076" t="str">
        <f>IFERROR(__xludf.DUMMYFUNCTION("""COMPUTED_VALUE"""),"JA39E-0030568")</f>
        <v>JA39E-0030568</v>
      </c>
      <c r="K1511" s="1076">
        <f>IFERROR(__xludf.DUMMYFUNCTION("""COMPUTED_VALUE"""),0.5)</f>
        <v>0.5</v>
      </c>
      <c r="L1511" s="1076" t="str">
        <f>IFERROR(__xludf.DUMMYFUNCTION("""COMPUTED_VALUE"""),"KLH")</f>
        <v>KLH</v>
      </c>
    </row>
    <row r="1512" customHeight="1" spans="1:12">
      <c r="A1512" s="1076" t="str">
        <f>IFERROR(__xludf.DUMMYFUNCTION("""COMPUTED_VALUE"""),"XA2-XMA-014")</f>
        <v>XA2-XMA-014</v>
      </c>
      <c r="B1512" s="1075" t="str">
        <f>IFERROR(__xludf.DUMMYFUNCTION("""COMPUTED_VALUE"""),"Xe máy thu hoạch")</f>
        <v>Xe máy thu hoạch</v>
      </c>
      <c r="C1512" s="1076" t="str">
        <f>IFERROR(__xludf.DUMMYFUNCTION("""COMPUTED_VALUE"""),"XN Chuối AD2")</f>
        <v>XN Chuối AD2</v>
      </c>
      <c r="D1512" s="1076" t="str">
        <f>IFERROR(__xludf.DUMMYFUNCTION("""COMPUTED_VALUE"""),"HONDA")</f>
        <v>HONDA</v>
      </c>
      <c r="E1512" s="1076" t="str">
        <f>IFERROR(__xludf.DUMMYFUNCTION("""COMPUTED_VALUE"""),"VIỆT NAM")</f>
        <v>VIỆT NAM</v>
      </c>
      <c r="F1512" s="1076"/>
      <c r="G1512" s="1076" t="str">
        <f>IFERROR(__xludf.DUMMYFUNCTION("""COMPUTED_VALUE"""),"WAVE A")</f>
        <v>WAVE A</v>
      </c>
      <c r="H1512" s="1076" t="str">
        <f>IFERROR(__xludf.DUMMYFUNCTION("""COMPUTED_VALUE"""),"110cc")</f>
        <v>110cc</v>
      </c>
      <c r="I1512" s="1076" t="str">
        <f>IFERROR(__xludf.DUMMYFUNCTION("""COMPUTED_VALUE"""),"RLHJA3904HY069180")</f>
        <v>RLHJA3904HY069180</v>
      </c>
      <c r="J1512" s="1076" t="str">
        <f>IFERROR(__xludf.DUMMYFUNCTION("""COMPUTED_VALUE"""),"JA39E-0069213")</f>
        <v>JA39E-0069213</v>
      </c>
      <c r="K1512" s="1076">
        <f>IFERROR(__xludf.DUMMYFUNCTION("""COMPUTED_VALUE"""),0.5)</f>
        <v>0.5</v>
      </c>
      <c r="L1512" s="1076" t="str">
        <f>IFERROR(__xludf.DUMMYFUNCTION("""COMPUTED_VALUE"""),"KLH")</f>
        <v>KLH</v>
      </c>
    </row>
    <row r="1513" customHeight="1" spans="1:12">
      <c r="A1513" s="1076" t="str">
        <f>IFERROR(__xludf.DUMMYFUNCTION("""COMPUTED_VALUE"""),"XA2-XMA-016")</f>
        <v>XA2-XMA-016</v>
      </c>
      <c r="B1513" s="1075" t="str">
        <f>IFERROR(__xludf.DUMMYFUNCTION("""COMPUTED_VALUE"""),"Xe máy thu hoạch")</f>
        <v>Xe máy thu hoạch</v>
      </c>
      <c r="C1513" s="1076" t="str">
        <f>IFERROR(__xludf.DUMMYFUNCTION("""COMPUTED_VALUE"""),"XN Chuối AD2")</f>
        <v>XN Chuối AD2</v>
      </c>
      <c r="D1513" s="1076" t="str">
        <f>IFERROR(__xludf.DUMMYFUNCTION("""COMPUTED_VALUE"""),"HONDA")</f>
        <v>HONDA</v>
      </c>
      <c r="E1513" s="1076" t="str">
        <f>IFERROR(__xludf.DUMMYFUNCTION("""COMPUTED_VALUE"""),"VIỆT NAM")</f>
        <v>VIỆT NAM</v>
      </c>
      <c r="F1513" s="1076"/>
      <c r="G1513" s="1076" t="str">
        <f>IFERROR(__xludf.DUMMYFUNCTION("""COMPUTED_VALUE"""),"WAVE A")</f>
        <v>WAVE A</v>
      </c>
      <c r="H1513" s="1076" t="str">
        <f>IFERROR(__xludf.DUMMYFUNCTION("""COMPUTED_VALUE"""),"110cc")</f>
        <v>110cc</v>
      </c>
      <c r="I1513" s="1076" t="str">
        <f>IFERROR(__xludf.DUMMYFUNCTION("""COMPUTED_VALUE"""),"RLHJA3906HY-751817")</f>
        <v>RLHJA3906HY-751817</v>
      </c>
      <c r="J1513" s="1076" t="str">
        <f>IFERROR(__xludf.DUMMYFUNCTION("""COMPUTED_VALUE"""),"JA39E-0731967")</f>
        <v>JA39E-0731967</v>
      </c>
      <c r="K1513" s="1076">
        <f>IFERROR(__xludf.DUMMYFUNCTION("""COMPUTED_VALUE"""),0.5)</f>
        <v>0.5</v>
      </c>
      <c r="L1513" s="1076" t="str">
        <f>IFERROR(__xludf.DUMMYFUNCTION("""COMPUTED_VALUE"""),"KLH")</f>
        <v>KLH</v>
      </c>
    </row>
    <row r="1514" customHeight="1" spans="1:12">
      <c r="A1514" s="1076" t="str">
        <f>IFERROR(__xludf.DUMMYFUNCTION("""COMPUTED_VALUE"""),"XA2-XMA-019")</f>
        <v>XA2-XMA-019</v>
      </c>
      <c r="B1514" s="1075" t="str">
        <f>IFERROR(__xludf.DUMMYFUNCTION("""COMPUTED_VALUE"""),"Xe máy thu hoạch")</f>
        <v>Xe máy thu hoạch</v>
      </c>
      <c r="C1514" s="1076" t="str">
        <f>IFERROR(__xludf.DUMMYFUNCTION("""COMPUTED_VALUE"""),"XN Chuối AD2")</f>
        <v>XN Chuối AD2</v>
      </c>
      <c r="D1514" s="1076" t="str">
        <f>IFERROR(__xludf.DUMMYFUNCTION("""COMPUTED_VALUE"""),"HONDA")</f>
        <v>HONDA</v>
      </c>
      <c r="E1514" s="1076" t="str">
        <f>IFERROR(__xludf.DUMMYFUNCTION("""COMPUTED_VALUE"""),"VIỆT NAM")</f>
        <v>VIỆT NAM</v>
      </c>
      <c r="F1514" s="1076"/>
      <c r="G1514" s="1076" t="str">
        <f>IFERROR(__xludf.DUMMYFUNCTION("""COMPUTED_VALUE"""),"WAVE A")</f>
        <v>WAVE A</v>
      </c>
      <c r="H1514" s="1076" t="str">
        <f>IFERROR(__xludf.DUMMYFUNCTION("""COMPUTED_VALUE"""),"110cc")</f>
        <v>110cc</v>
      </c>
      <c r="I1514" s="1076" t="str">
        <f>IFERROR(__xludf.DUMMYFUNCTION("""COMPUTED_VALUE"""),"RLHJA3900HY-490331")</f>
        <v>RLHJA3900HY-490331</v>
      </c>
      <c r="J1514" s="1076" t="str">
        <f>IFERROR(__xludf.DUMMYFUNCTION("""COMPUTED_VALUE"""),"JA39E-0465461")</f>
        <v>JA39E-0465461</v>
      </c>
      <c r="K1514" s="1076">
        <f>IFERROR(__xludf.DUMMYFUNCTION("""COMPUTED_VALUE"""),0.5)</f>
        <v>0.5</v>
      </c>
      <c r="L1514" s="1076" t="str">
        <f>IFERROR(__xludf.DUMMYFUNCTION("""COMPUTED_VALUE"""),"KLH")</f>
        <v>KLH</v>
      </c>
    </row>
    <row r="1515" customHeight="1" spans="1:12">
      <c r="A1515" s="1076" t="str">
        <f>IFERROR(__xludf.DUMMYFUNCTION("""COMPUTED_VALUE"""),"CAT AD")</f>
        <v>CAT AD</v>
      </c>
      <c r="B1515" s="1075"/>
      <c r="C1515" s="1076"/>
      <c r="D1515" s="1076"/>
      <c r="E1515" s="1076"/>
      <c r="F1515" s="1076"/>
      <c r="G1515" s="1076"/>
      <c r="H1515" s="1076"/>
      <c r="I1515" s="1076"/>
      <c r="J1515" s="1076"/>
      <c r="K1515" s="1076"/>
      <c r="L1515" s="1076" t="str">
        <f>IFERROR(__xludf.DUMMYFUNCTION("""COMPUTED_VALUE"""),"KLH")</f>
        <v>KLH</v>
      </c>
    </row>
    <row r="1516" customHeight="1" spans="1:12">
      <c r="A1516" s="1076" t="str">
        <f>IFERROR(__xludf.DUMMYFUNCTION("""COMPUTED_VALUE"""),"XN BÒ")</f>
        <v>XN BÒ</v>
      </c>
      <c r="B1516" s="1075"/>
      <c r="C1516" s="1076"/>
      <c r="D1516" s="1076"/>
      <c r="E1516" s="1076"/>
      <c r="F1516" s="1076"/>
      <c r="G1516" s="1076"/>
      <c r="H1516" s="1076"/>
      <c r="I1516" s="1076"/>
      <c r="J1516" s="1076"/>
      <c r="K1516" s="1076"/>
      <c r="L1516" s="1076" t="str">
        <f>IFERROR(__xludf.DUMMYFUNCTION("""COMPUTED_VALUE"""),"KLH")</f>
        <v>KLH</v>
      </c>
    </row>
    <row r="1517" customHeight="1" spans="1:12">
      <c r="A1517" s="1076" t="str">
        <f>IFERROR(__xludf.DUMMYFUNCTION("""COMPUTED_VALUE"""),"XB1-XMA-001")</f>
        <v>XB1-XMA-001</v>
      </c>
      <c r="B1517" s="1075" t="str">
        <f>IFERROR(__xludf.DUMMYFUNCTION("""COMPUTED_VALUE"""),"Xe máy thu hoạch")</f>
        <v>Xe máy thu hoạch</v>
      </c>
      <c r="C1517" s="1076" t="str">
        <f>IFERROR(__xludf.DUMMYFUNCTION("""COMPUTED_VALUE"""),"XN Bò AD")</f>
        <v>XN Bò AD</v>
      </c>
      <c r="D1517" s="1076" t="str">
        <f>IFERROR(__xludf.DUMMYFUNCTION("""COMPUTED_VALUE"""),"HONDA")</f>
        <v>HONDA</v>
      </c>
      <c r="E1517" s="1076" t="str">
        <f>IFERROR(__xludf.DUMMYFUNCTION("""COMPUTED_VALUE"""),"VIỆT NAM")</f>
        <v>VIỆT NAM</v>
      </c>
      <c r="F1517" s="1076"/>
      <c r="G1517" s="1076" t="str">
        <f>IFERROR(__xludf.DUMMYFUNCTION("""COMPUTED_VALUE"""),"WAVE A")</f>
        <v>WAVE A</v>
      </c>
      <c r="H1517" s="1076" t="str">
        <f>IFERROR(__xludf.DUMMYFUNCTION("""COMPUTED_VALUE"""),"110cc")</f>
        <v>110cc</v>
      </c>
      <c r="I1517" s="1076" t="str">
        <f>IFERROR(__xludf.DUMMYFUNCTION("""COMPUTED_VALUE"""),"RLHJA3905HY-353370")</f>
        <v>RLHJA3905HY-353370</v>
      </c>
      <c r="J1517" s="1076" t="str">
        <f>IFERROR(__xludf.DUMMYFUNCTION("""COMPUTED_VALUE"""),"JA39E-0353405")</f>
        <v>JA39E-0353405</v>
      </c>
      <c r="K1517" s="1076">
        <f>IFERROR(__xludf.DUMMYFUNCTION("""COMPUTED_VALUE"""),0.5)</f>
        <v>0.5</v>
      </c>
      <c r="L1517" s="1076" t="str">
        <f>IFERROR(__xludf.DUMMYFUNCTION("""COMPUTED_VALUE"""),"KLH")</f>
        <v>KLH</v>
      </c>
    </row>
    <row r="1518" customHeight="1" spans="1:12">
      <c r="A1518" s="1076" t="str">
        <f>IFERROR(__xludf.DUMMYFUNCTION("""COMPUTED_VALUE"""),"NM CƠ KHÍ")</f>
        <v>NM CƠ KHÍ</v>
      </c>
      <c r="B1518" s="1075"/>
      <c r="C1518" s="1076"/>
      <c r="D1518" s="1076"/>
      <c r="E1518" s="1076"/>
      <c r="F1518" s="1076"/>
      <c r="G1518" s="1076"/>
      <c r="H1518" s="1076"/>
      <c r="I1518" s="1076"/>
      <c r="J1518" s="1076"/>
      <c r="K1518" s="1076"/>
      <c r="L1518" s="1076" t="str">
        <f>IFERROR(__xludf.DUMMYFUNCTION("""COMPUTED_VALUE"""),"KLH")</f>
        <v>KLH</v>
      </c>
    </row>
    <row r="1519" customHeight="1" spans="1:12">
      <c r="A1519" s="1076" t="str">
        <f>IFERROR(__xludf.DUMMYFUNCTION("""COMPUTED_VALUE"""),"XA2-XMA-011")</f>
        <v>XA2-XMA-011</v>
      </c>
      <c r="B1519" s="1075" t="str">
        <f>IFERROR(__xludf.DUMMYFUNCTION("""COMPUTED_VALUE"""),"Xe máy thu hoạch")</f>
        <v>Xe máy thu hoạch</v>
      </c>
      <c r="C1519" s="1076" t="str">
        <f>IFERROR(__xludf.DUMMYFUNCTION("""COMPUTED_VALUE"""),"XN Chuối AD2")</f>
        <v>XN Chuối AD2</v>
      </c>
      <c r="D1519" s="1076" t="str">
        <f>IFERROR(__xludf.DUMMYFUNCTION("""COMPUTED_VALUE"""),"HONDA")</f>
        <v>HONDA</v>
      </c>
      <c r="E1519" s="1076" t="str">
        <f>IFERROR(__xludf.DUMMYFUNCTION("""COMPUTED_VALUE"""),"VIỆT NAM")</f>
        <v>VIỆT NAM</v>
      </c>
      <c r="F1519" s="1076"/>
      <c r="G1519" s="1076" t="str">
        <f>IFERROR(__xludf.DUMMYFUNCTION("""COMPUTED_VALUE"""),"WAVE A")</f>
        <v>WAVE A</v>
      </c>
      <c r="H1519" s="1076" t="str">
        <f>IFERROR(__xludf.DUMMYFUNCTION("""COMPUTED_VALUE"""),"HONDA")</f>
        <v>HONDA</v>
      </c>
      <c r="I1519" s="1076" t="str">
        <f>IFERROR(__xludf.DUMMYFUNCTION("""COMPUTED_VALUE"""),"RLHJA3915KY170258")</f>
        <v>RLHJA3915KY170258</v>
      </c>
      <c r="J1519" s="1076" t="str">
        <f>IFERROR(__xludf.DUMMYFUNCTION("""COMPUTED_VALUE"""),"JA39E-1027928")</f>
        <v>JA39E-1027928</v>
      </c>
      <c r="K1519" s="1076">
        <f>IFERROR(__xludf.DUMMYFUNCTION("""COMPUTED_VALUE"""),0.5)</f>
        <v>0.5</v>
      </c>
      <c r="L1519" s="1076" t="str">
        <f>IFERROR(__xludf.DUMMYFUNCTION("""COMPUTED_VALUE"""),"KLH")</f>
        <v>KLH</v>
      </c>
    </row>
    <row r="1520" customHeight="1" spans="1:12">
      <c r="A1520" s="1076" t="str">
        <f>IFERROR(__xludf.DUMMYFUNCTION("""COMPUTED_VALUE"""),"XA2-XMA-013")</f>
        <v>XA2-XMA-013</v>
      </c>
      <c r="B1520" s="1075" t="str">
        <f>IFERROR(__xludf.DUMMYFUNCTION("""COMPUTED_VALUE"""),"Xe máy thu hoạch")</f>
        <v>Xe máy thu hoạch</v>
      </c>
      <c r="C1520" s="1076" t="str">
        <f>IFERROR(__xludf.DUMMYFUNCTION("""COMPUTED_VALUE"""),"XN Chuối AD2")</f>
        <v>XN Chuối AD2</v>
      </c>
      <c r="D1520" s="1076" t="str">
        <f>IFERROR(__xludf.DUMMYFUNCTION("""COMPUTED_VALUE"""),"HONDA")</f>
        <v>HONDA</v>
      </c>
      <c r="E1520" s="1076" t="str">
        <f>IFERROR(__xludf.DUMMYFUNCTION("""COMPUTED_VALUE"""),"VIỆT NAM")</f>
        <v>VIỆT NAM</v>
      </c>
      <c r="F1520" s="1076"/>
      <c r="G1520" s="1076" t="str">
        <f>IFERROR(__xludf.DUMMYFUNCTION("""COMPUTED_VALUE"""),"WAVE A")</f>
        <v>WAVE A</v>
      </c>
      <c r="H1520" s="1076" t="str">
        <f>IFERROR(__xludf.DUMMYFUNCTION("""COMPUTED_VALUE"""),"110cc")</f>
        <v>110cc</v>
      </c>
      <c r="I1520" s="1076" t="str">
        <f>IFERROR(__xludf.DUMMYFUNCTION("""COMPUTED_VALUE"""),"RLHJA3929MY087704")</f>
        <v>RLHJA3929MY087704</v>
      </c>
      <c r="J1520" s="1076" t="str">
        <f>IFERROR(__xludf.DUMMYFUNCTION("""COMPUTED_VALUE"""),"JA39E-2205040")</f>
        <v>JA39E-2205040</v>
      </c>
      <c r="K1520" s="1076">
        <f>IFERROR(__xludf.DUMMYFUNCTION("""COMPUTED_VALUE"""),0.5)</f>
        <v>0.5</v>
      </c>
      <c r="L1520" s="1076" t="str">
        <f>IFERROR(__xludf.DUMMYFUNCTION("""COMPUTED_VALUE"""),"KLH")</f>
        <v>KLH</v>
      </c>
    </row>
    <row r="1521" customHeight="1" spans="1:12">
      <c r="A1521" s="1076" t="str">
        <f>IFERROR(__xludf.DUMMYFUNCTION("""COMPUTED_VALUE"""),"XE MÁY LOẠI BIÊN")</f>
        <v>XE MÁY LOẠI BIÊN</v>
      </c>
      <c r="B1521" s="1075"/>
      <c r="C1521" s="1076"/>
      <c r="D1521" s="1076"/>
      <c r="E1521" s="1076"/>
      <c r="F1521" s="1076"/>
      <c r="G1521" s="1076"/>
      <c r="H1521" s="1076"/>
      <c r="I1521" s="1076"/>
      <c r="J1521" s="1076"/>
      <c r="K1521" s="1076"/>
      <c r="L1521" s="1076" t="str">
        <f>IFERROR(__xludf.DUMMYFUNCTION("""COMPUTED_VALUE"""),"KLH")</f>
        <v>KLH</v>
      </c>
    </row>
    <row r="1522" customHeight="1" spans="1:12">
      <c r="A1522" s="1076" t="str">
        <f>IFERROR(__xludf.DUMMYFUNCTION("""COMPUTED_VALUE"""),"XD1-XMA-001")</f>
        <v>XD1-XMA-001</v>
      </c>
      <c r="B1522" s="1075" t="str">
        <f>IFERROR(__xludf.DUMMYFUNCTION("""COMPUTED_VALUE"""),"Xe máy thu hoạch")</f>
        <v>Xe máy thu hoạch</v>
      </c>
      <c r="C1522" s="1076" t="str">
        <f>IFERROR(__xludf.DUMMYFUNCTION("""COMPUTED_VALUE"""),"Loại biên")</f>
        <v>Loại biên</v>
      </c>
      <c r="D1522" s="1076" t="str">
        <f>IFERROR(__xludf.DUMMYFUNCTION("""COMPUTED_VALUE"""),"HONDA")</f>
        <v>HONDA</v>
      </c>
      <c r="E1522" s="1076" t="str">
        <f>IFERROR(__xludf.DUMMYFUNCTION("""COMPUTED_VALUE"""),"VIỆT NAM")</f>
        <v>VIỆT NAM</v>
      </c>
      <c r="F1522" s="1076"/>
      <c r="G1522" s="1076" t="str">
        <f>IFERROR(__xludf.DUMMYFUNCTION("""COMPUTED_VALUE"""),"WAVE A")</f>
        <v>WAVE A</v>
      </c>
      <c r="H1522" s="1076" t="str">
        <f>IFERROR(__xludf.DUMMYFUNCTION("""COMPUTED_VALUE"""),"110cc")</f>
        <v>110cc</v>
      </c>
      <c r="I1522" s="1076" t="str">
        <f>IFERROR(__xludf.DUMMYFUNCTION("""COMPUTED_VALUE"""),"RLHJA3900HY033079")</f>
        <v>RLHJA3900HY033079</v>
      </c>
      <c r="J1522" s="1076" t="str">
        <f>IFERROR(__xludf.DUMMYFUNCTION("""COMPUTED_VALUE"""),"JA39E-0033093")</f>
        <v>JA39E-0033093</v>
      </c>
      <c r="K1522" s="1076">
        <f>IFERROR(__xludf.DUMMYFUNCTION("""COMPUTED_VALUE"""),0.5)</f>
        <v>0.5</v>
      </c>
      <c r="L1522" s="1076" t="str">
        <f>IFERROR(__xludf.DUMMYFUNCTION("""COMPUTED_VALUE"""),"Loại biên")</f>
        <v>Loại biên</v>
      </c>
    </row>
    <row r="1523" customHeight="1" spans="1:12">
      <c r="A1523" s="1076" t="str">
        <f>IFERROR(__xludf.DUMMYFUNCTION("""COMPUTED_VALUE"""),"XD1-XMA-002")</f>
        <v>XD1-XMA-002</v>
      </c>
      <c r="B1523" s="1075" t="str">
        <f>IFERROR(__xludf.DUMMYFUNCTION("""COMPUTED_VALUE"""),"Xe máy thu hoạch")</f>
        <v>Xe máy thu hoạch</v>
      </c>
      <c r="C1523" s="1076" t="str">
        <f>IFERROR(__xludf.DUMMYFUNCTION("""COMPUTED_VALUE"""),"Loại biên")</f>
        <v>Loại biên</v>
      </c>
      <c r="D1523" s="1076" t="str">
        <f>IFERROR(__xludf.DUMMYFUNCTION("""COMPUTED_VALUE"""),"HONDA")</f>
        <v>HONDA</v>
      </c>
      <c r="E1523" s="1076" t="str">
        <f>IFERROR(__xludf.DUMMYFUNCTION("""COMPUTED_VALUE"""),"VIỆT NAM")</f>
        <v>VIỆT NAM</v>
      </c>
      <c r="F1523" s="1076"/>
      <c r="G1523" s="1076" t="str">
        <f>IFERROR(__xludf.DUMMYFUNCTION("""COMPUTED_VALUE"""),"WAVE A")</f>
        <v>WAVE A</v>
      </c>
      <c r="H1523" s="1076" t="str">
        <f>IFERROR(__xludf.DUMMYFUNCTION("""COMPUTED_VALUE"""),"110cc")</f>
        <v>110cc</v>
      </c>
      <c r="I1523" s="1076" t="str">
        <f>IFERROR(__xludf.DUMMYFUNCTION("""COMPUTED_VALUE"""),"REHHC121XDY137597")</f>
        <v>REHHC121XDY137597</v>
      </c>
      <c r="J1523" s="1076" t="str">
        <f>IFERROR(__xludf.DUMMYFUNCTION("""COMPUTED_VALUE"""),"HC12E-6187662")</f>
        <v>HC12E-6187662</v>
      </c>
      <c r="K1523" s="1076">
        <f>IFERROR(__xludf.DUMMYFUNCTION("""COMPUTED_VALUE"""),0.5)</f>
        <v>0.5</v>
      </c>
      <c r="L1523" s="1076" t="str">
        <f>IFERROR(__xludf.DUMMYFUNCTION("""COMPUTED_VALUE"""),"Loại biên")</f>
        <v>Loại biên</v>
      </c>
    </row>
    <row r="1524" customHeight="1" spans="1:12">
      <c r="A1524" s="1076" t="str">
        <f>IFERROR(__xludf.DUMMYFUNCTION("""COMPUTED_VALUE"""),"XD1-XMA-009")</f>
        <v>XD1-XMA-009</v>
      </c>
      <c r="B1524" s="1075" t="str">
        <f>IFERROR(__xludf.DUMMYFUNCTION("""COMPUTED_VALUE"""),"Xe máy thu hoạch")</f>
        <v>Xe máy thu hoạch</v>
      </c>
      <c r="C1524" s="1076" t="str">
        <f>IFERROR(__xludf.DUMMYFUNCTION("""COMPUTED_VALUE"""),"Loại biên")</f>
        <v>Loại biên</v>
      </c>
      <c r="D1524" s="1076" t="str">
        <f>IFERROR(__xludf.DUMMYFUNCTION("""COMPUTED_VALUE"""),"HONDA")</f>
        <v>HONDA</v>
      </c>
      <c r="E1524" s="1076" t="str">
        <f>IFERROR(__xludf.DUMMYFUNCTION("""COMPUTED_VALUE"""),"VIỆT NAM")</f>
        <v>VIỆT NAM</v>
      </c>
      <c r="F1524" s="1076"/>
      <c r="G1524" s="1076" t="str">
        <f>IFERROR(__xludf.DUMMYFUNCTION("""COMPUTED_VALUE"""),"WAVE A")</f>
        <v>WAVE A</v>
      </c>
      <c r="H1524" s="1076" t="str">
        <f>IFERROR(__xludf.DUMMYFUNCTION("""COMPUTED_VALUE"""),"110cc")</f>
        <v>110cc</v>
      </c>
      <c r="I1524" s="1076" t="str">
        <f>IFERROR(__xludf.DUMMYFUNCTION("""COMPUTED_VALUE"""),"RLHJA391GLY082756")</f>
        <v>RLHJA391GLY082756</v>
      </c>
      <c r="J1524" s="1076" t="str">
        <f>IFERROR(__xludf.DUMMYFUNCTION("""COMPUTED_VALUE"""),"JAG9E-1419680")</f>
        <v>JAG9E-1419680</v>
      </c>
      <c r="K1524" s="1076">
        <f>IFERROR(__xludf.DUMMYFUNCTION("""COMPUTED_VALUE"""),0.5)</f>
        <v>0.5</v>
      </c>
      <c r="L1524" s="1076" t="str">
        <f>IFERROR(__xludf.DUMMYFUNCTION("""COMPUTED_VALUE"""),"Loại biên")</f>
        <v>Loại biên</v>
      </c>
    </row>
    <row r="1525" customHeight="1" spans="1:12">
      <c r="A1525" s="1076" t="str">
        <f>IFERROR(__xludf.DUMMYFUNCTION("""COMPUTED_VALUE"""),"XD1-XMA-010")</f>
        <v>XD1-XMA-010</v>
      </c>
      <c r="B1525" s="1075" t="str">
        <f>IFERROR(__xludf.DUMMYFUNCTION("""COMPUTED_VALUE"""),"Xe máy thu hoạch")</f>
        <v>Xe máy thu hoạch</v>
      </c>
      <c r="C1525" s="1076" t="str">
        <f>IFERROR(__xludf.DUMMYFUNCTION("""COMPUTED_VALUE"""),"Loại biên")</f>
        <v>Loại biên</v>
      </c>
      <c r="D1525" s="1076" t="str">
        <f>IFERROR(__xludf.DUMMYFUNCTION("""COMPUTED_VALUE"""),"HONDA")</f>
        <v>HONDA</v>
      </c>
      <c r="E1525" s="1076" t="str">
        <f>IFERROR(__xludf.DUMMYFUNCTION("""COMPUTED_VALUE"""),"VIỆT NAM")</f>
        <v>VIỆT NAM</v>
      </c>
      <c r="F1525" s="1076"/>
      <c r="G1525" s="1076" t="str">
        <f>IFERROR(__xludf.DUMMYFUNCTION("""COMPUTED_VALUE"""),"WAVE A")</f>
        <v>WAVE A</v>
      </c>
      <c r="H1525" s="1076" t="str">
        <f>IFERROR(__xludf.DUMMYFUNCTION("""COMPUTED_VALUE"""),"110cc")</f>
        <v>110cc</v>
      </c>
      <c r="I1525" s="1076" t="str">
        <f>IFERROR(__xludf.DUMMYFUNCTION("""COMPUTED_VALUE"""),"RLHJA3901HY299937")</f>
        <v>RLHJA3901HY299937</v>
      </c>
      <c r="J1525" s="1076" t="str">
        <f>IFERROR(__xludf.DUMMYFUNCTION("""COMPUTED_VALUE"""),"JA39E-0299960")</f>
        <v>JA39E-0299960</v>
      </c>
      <c r="K1525" s="1076">
        <f>IFERROR(__xludf.DUMMYFUNCTION("""COMPUTED_VALUE"""),0.5)</f>
        <v>0.5</v>
      </c>
      <c r="L1525" s="1076" t="str">
        <f>IFERROR(__xludf.DUMMYFUNCTION("""COMPUTED_VALUE"""),"Loại biên")</f>
        <v>Loại biên</v>
      </c>
    </row>
    <row r="1526" customHeight="1" spans="1:12">
      <c r="A1526" s="1076" t="str">
        <f>IFERROR(__xludf.DUMMYFUNCTION("""COMPUTED_VALUE"""),"XD1-XMA-012")</f>
        <v>XD1-XMA-012</v>
      </c>
      <c r="B1526" s="1075" t="str">
        <f>IFERROR(__xludf.DUMMYFUNCTION("""COMPUTED_VALUE"""),"Xe máy thu hoạch")</f>
        <v>Xe máy thu hoạch</v>
      </c>
      <c r="C1526" s="1076" t="str">
        <f>IFERROR(__xludf.DUMMYFUNCTION("""COMPUTED_VALUE"""),"Loại biên")</f>
        <v>Loại biên</v>
      </c>
      <c r="D1526" s="1076" t="str">
        <f>IFERROR(__xludf.DUMMYFUNCTION("""COMPUTED_VALUE"""),"HONDA")</f>
        <v>HONDA</v>
      </c>
      <c r="E1526" s="1076" t="str">
        <f>IFERROR(__xludf.DUMMYFUNCTION("""COMPUTED_VALUE"""),"VIỆT NAM")</f>
        <v>VIỆT NAM</v>
      </c>
      <c r="F1526" s="1076"/>
      <c r="G1526" s="1076" t="str">
        <f>IFERROR(__xludf.DUMMYFUNCTION("""COMPUTED_VALUE"""),"WAVE A")</f>
        <v>WAVE A</v>
      </c>
      <c r="H1526" s="1076" t="str">
        <f>IFERROR(__xludf.DUMMYFUNCTION("""COMPUTED_VALUE"""),"110cc")</f>
        <v>110cc</v>
      </c>
      <c r="I1526" s="1076" t="str">
        <f>IFERROR(__xludf.DUMMYFUNCTION("""COMPUTED_VALUE"""),"RLHJA3918LY123162")</f>
        <v>RLHJA3918LY123162</v>
      </c>
      <c r="J1526" s="1076" t="str">
        <f>IFERROR(__xludf.DUMMYFUNCTION("""COMPUTED_VALUE"""),"JA39E-1461012")</f>
        <v>JA39E-1461012</v>
      </c>
      <c r="K1526" s="1076">
        <f>IFERROR(__xludf.DUMMYFUNCTION("""COMPUTED_VALUE"""),0.5)</f>
        <v>0.5</v>
      </c>
      <c r="L1526" s="1076" t="str">
        <f>IFERROR(__xludf.DUMMYFUNCTION("""COMPUTED_VALUE"""),"Loại biên")</f>
        <v>Loại biên</v>
      </c>
    </row>
    <row r="1527" customHeight="1" spans="1:12">
      <c r="A1527" s="1076" t="str">
        <f>IFERROR(__xludf.DUMMYFUNCTION("""COMPUTED_VALUE"""),"XD1-XMA-013")</f>
        <v>XD1-XMA-013</v>
      </c>
      <c r="B1527" s="1075" t="str">
        <f>IFERROR(__xludf.DUMMYFUNCTION("""COMPUTED_VALUE"""),"Xe máy thu hoạch")</f>
        <v>Xe máy thu hoạch</v>
      </c>
      <c r="C1527" s="1076" t="str">
        <f>IFERROR(__xludf.DUMMYFUNCTION("""COMPUTED_VALUE"""),"Loại biên")</f>
        <v>Loại biên</v>
      </c>
      <c r="D1527" s="1076" t="str">
        <f>IFERROR(__xludf.DUMMYFUNCTION("""COMPUTED_VALUE"""),"HONDA")</f>
        <v>HONDA</v>
      </c>
      <c r="E1527" s="1076" t="str">
        <f>IFERROR(__xludf.DUMMYFUNCTION("""COMPUTED_VALUE"""),"VIỆT NAM")</f>
        <v>VIỆT NAM</v>
      </c>
      <c r="F1527" s="1076"/>
      <c r="G1527" s="1076" t="str">
        <f>IFERROR(__xludf.DUMMYFUNCTION("""COMPUTED_VALUE"""),"WAVE A")</f>
        <v>WAVE A</v>
      </c>
      <c r="H1527" s="1076" t="str">
        <f>IFERROR(__xludf.DUMMYFUNCTION("""COMPUTED_VALUE"""),"110cc")</f>
        <v>110cc</v>
      </c>
      <c r="I1527" s="1076" t="str">
        <f>IFERROR(__xludf.DUMMYFUNCTION("""COMPUTED_VALUE"""),"RLHJA3906HY524672")</f>
        <v>RLHJA3906HY524672</v>
      </c>
      <c r="J1527" s="1076" t="str">
        <f>IFERROR(__xludf.DUMMYFUNCTION("""COMPUTED_VALUE"""),"JA39E0509834")</f>
        <v>JA39E0509834</v>
      </c>
      <c r="K1527" s="1076">
        <f>IFERROR(__xludf.DUMMYFUNCTION("""COMPUTED_VALUE"""),0.5)</f>
        <v>0.5</v>
      </c>
      <c r="L1527" s="1076" t="str">
        <f>IFERROR(__xludf.DUMMYFUNCTION("""COMPUTED_VALUE"""),"Loại biên")</f>
        <v>Loại biên</v>
      </c>
    </row>
    <row r="1528" customHeight="1" spans="1:12">
      <c r="A1528" s="1076" t="str">
        <f>IFERROR(__xludf.DUMMYFUNCTION("""COMPUTED_VALUE"""),"XD2-XMA-001")</f>
        <v>XD2-XMA-001</v>
      </c>
      <c r="B1528" s="1075" t="str">
        <f>IFERROR(__xludf.DUMMYFUNCTION("""COMPUTED_VALUE"""),"Xe máy thu hoạch")</f>
        <v>Xe máy thu hoạch</v>
      </c>
      <c r="C1528" s="1076" t="str">
        <f>IFERROR(__xludf.DUMMYFUNCTION("""COMPUTED_VALUE"""),"Loại biên")</f>
        <v>Loại biên</v>
      </c>
      <c r="D1528" s="1076" t="str">
        <f>IFERROR(__xludf.DUMMYFUNCTION("""COMPUTED_VALUE"""),"HONDA")</f>
        <v>HONDA</v>
      </c>
      <c r="E1528" s="1076" t="str">
        <f>IFERROR(__xludf.DUMMYFUNCTION("""COMPUTED_VALUE"""),"VIỆT NAM")</f>
        <v>VIỆT NAM</v>
      </c>
      <c r="F1528" s="1076"/>
      <c r="G1528" s="1076" t="str">
        <f>IFERROR(__xludf.DUMMYFUNCTION("""COMPUTED_VALUE"""),"WAVE A")</f>
        <v>WAVE A</v>
      </c>
      <c r="H1528" s="1076" t="str">
        <f>IFERROR(__xludf.DUMMYFUNCTION("""COMPUTED_VALUE"""),"110cc")</f>
        <v>110cc</v>
      </c>
      <c r="I1528" s="1076" t="str">
        <f>IFERROR(__xludf.DUMMYFUNCTION("""COMPUTED_VALUE"""),"RLHJA3915KY199579")</f>
        <v>RLHJA3915KY199579</v>
      </c>
      <c r="J1528" s="1076" t="str">
        <f>IFERROR(__xludf.DUMMYFUNCTION("""COMPUTED_VALUE"""),"JA39E-1057287")</f>
        <v>JA39E-1057287</v>
      </c>
      <c r="K1528" s="1076">
        <f>IFERROR(__xludf.DUMMYFUNCTION("""COMPUTED_VALUE"""),0.5)</f>
        <v>0.5</v>
      </c>
      <c r="L1528" s="1076" t="str">
        <f>IFERROR(__xludf.DUMMYFUNCTION("""COMPUTED_VALUE"""),"Loại biên")</f>
        <v>Loại biên</v>
      </c>
    </row>
    <row r="1529" customHeight="1" spans="1:12">
      <c r="A1529" s="1076" t="str">
        <f>IFERROR(__xludf.DUMMYFUNCTION("""COMPUTED_VALUE"""),"XD2-XMA-002")</f>
        <v>XD2-XMA-002</v>
      </c>
      <c r="B1529" s="1075" t="str">
        <f>IFERROR(__xludf.DUMMYFUNCTION("""COMPUTED_VALUE"""),"Xe máy thu hoạch")</f>
        <v>Xe máy thu hoạch</v>
      </c>
      <c r="C1529" s="1076" t="str">
        <f>IFERROR(__xludf.DUMMYFUNCTION("""COMPUTED_VALUE"""),"Loại biên")</f>
        <v>Loại biên</v>
      </c>
      <c r="D1529" s="1076" t="str">
        <f>IFERROR(__xludf.DUMMYFUNCTION("""COMPUTED_VALUE"""),"HONDA")</f>
        <v>HONDA</v>
      </c>
      <c r="E1529" s="1076" t="str">
        <f>IFERROR(__xludf.DUMMYFUNCTION("""COMPUTED_VALUE"""),"VIỆT NAM")</f>
        <v>VIỆT NAM</v>
      </c>
      <c r="F1529" s="1076"/>
      <c r="G1529" s="1076" t="str">
        <f>IFERROR(__xludf.DUMMYFUNCTION("""COMPUTED_VALUE"""),"WAVE A")</f>
        <v>WAVE A</v>
      </c>
      <c r="H1529" s="1076" t="str">
        <f>IFERROR(__xludf.DUMMYFUNCTION("""COMPUTED_VALUE"""),"110cc")</f>
        <v>110cc</v>
      </c>
      <c r="I1529" s="1076" t="str">
        <f>IFERROR(__xludf.DUMMYFUNCTION("""COMPUTED_VALUE"""),"RLHJA3526M726524")</f>
        <v>RLHJA3526M726524</v>
      </c>
      <c r="J1529" s="1076" t="str">
        <f>IFERROR(__xludf.DUMMYFUNCTION("""COMPUTED_VALUE"""),"JA39E-8243855")</f>
        <v>JA39E-8243855</v>
      </c>
      <c r="K1529" s="1076">
        <f>IFERROR(__xludf.DUMMYFUNCTION("""COMPUTED_VALUE"""),0.5)</f>
        <v>0.5</v>
      </c>
      <c r="L1529" s="1076" t="str">
        <f>IFERROR(__xludf.DUMMYFUNCTION("""COMPUTED_VALUE"""),"Loại biên")</f>
        <v>Loại biên</v>
      </c>
    </row>
    <row r="1530" customHeight="1" spans="1:12">
      <c r="A1530" s="1076" t="str">
        <f>IFERROR(__xludf.DUMMYFUNCTION("""COMPUTED_VALUE"""),"XD2-XMA-007")</f>
        <v>XD2-XMA-007</v>
      </c>
      <c r="B1530" s="1075" t="str">
        <f>IFERROR(__xludf.DUMMYFUNCTION("""COMPUTED_VALUE"""),"Xe máy thu hoạch")</f>
        <v>Xe máy thu hoạch</v>
      </c>
      <c r="C1530" s="1076" t="str">
        <f>IFERROR(__xludf.DUMMYFUNCTION("""COMPUTED_VALUE"""),"Loại biên")</f>
        <v>Loại biên</v>
      </c>
      <c r="D1530" s="1076" t="str">
        <f>IFERROR(__xludf.DUMMYFUNCTION("""COMPUTED_VALUE"""),"HONDA")</f>
        <v>HONDA</v>
      </c>
      <c r="E1530" s="1076" t="str">
        <f>IFERROR(__xludf.DUMMYFUNCTION("""COMPUTED_VALUE"""),"VIỆT NAM")</f>
        <v>VIỆT NAM</v>
      </c>
      <c r="F1530" s="1076"/>
      <c r="G1530" s="1076" t="str">
        <f>IFERROR(__xludf.DUMMYFUNCTION("""COMPUTED_VALUE"""),"WAVE A")</f>
        <v>WAVE A</v>
      </c>
      <c r="H1530" s="1076" t="str">
        <f>IFERROR(__xludf.DUMMYFUNCTION("""COMPUTED_VALUE"""),"110cc")</f>
        <v>110cc</v>
      </c>
      <c r="I1530" s="1076" t="str">
        <f>IFERROR(__xludf.DUMMYFUNCTION("""COMPUTED_VALUE"""),"RLHJA3907HY285508")</f>
        <v>RLHJA3907HY285508</v>
      </c>
      <c r="J1530" s="1076" t="str">
        <f>IFERROR(__xludf.DUMMYFUNCTION("""COMPUTED_VALUE"""),"JA39E-'0285560")</f>
        <v>JA39E-'0285560</v>
      </c>
      <c r="K1530" s="1076">
        <f>IFERROR(__xludf.DUMMYFUNCTION("""COMPUTED_VALUE"""),0.5)</f>
        <v>0.5</v>
      </c>
      <c r="L1530" s="1076" t="str">
        <f>IFERROR(__xludf.DUMMYFUNCTION("""COMPUTED_VALUE"""),"Loại biên")</f>
        <v>Loại biên</v>
      </c>
    </row>
    <row r="1531" customHeight="1" spans="1:12">
      <c r="A1531" s="1076" t="str">
        <f>IFERROR(__xludf.DUMMYFUNCTION("""COMPUTED_VALUE"""),"XD2-XMA-008")</f>
        <v>XD2-XMA-008</v>
      </c>
      <c r="B1531" s="1075" t="str">
        <f>IFERROR(__xludf.DUMMYFUNCTION("""COMPUTED_VALUE"""),"Xe máy thu hoạch")</f>
        <v>Xe máy thu hoạch</v>
      </c>
      <c r="C1531" s="1076" t="str">
        <f>IFERROR(__xludf.DUMMYFUNCTION("""COMPUTED_VALUE"""),"Loại biên")</f>
        <v>Loại biên</v>
      </c>
      <c r="D1531" s="1076" t="str">
        <f>IFERROR(__xludf.DUMMYFUNCTION("""COMPUTED_VALUE"""),"HONDA")</f>
        <v>HONDA</v>
      </c>
      <c r="E1531" s="1076" t="str">
        <f>IFERROR(__xludf.DUMMYFUNCTION("""COMPUTED_VALUE"""),"VIỆT NAM")</f>
        <v>VIỆT NAM</v>
      </c>
      <c r="F1531" s="1076"/>
      <c r="G1531" s="1076" t="str">
        <f>IFERROR(__xludf.DUMMYFUNCTION("""COMPUTED_VALUE"""),"WAVE A")</f>
        <v>WAVE A</v>
      </c>
      <c r="H1531" s="1076" t="str">
        <f>IFERROR(__xludf.DUMMYFUNCTION("""COMPUTED_VALUE"""),"110cc")</f>
        <v>110cc</v>
      </c>
      <c r="I1531" s="1076" t="str">
        <f>IFERROR(__xludf.DUMMYFUNCTION("""COMPUTED_VALUE"""),"RLHJA3901HY756228")</f>
        <v>RLHJA3901HY756228</v>
      </c>
      <c r="J1531" s="1076" t="str">
        <f>IFERROR(__xludf.DUMMYFUNCTION("""COMPUTED_VALUE"""),"JA39E-'0736387")</f>
        <v>JA39E-'0736387</v>
      </c>
      <c r="K1531" s="1076">
        <f>IFERROR(__xludf.DUMMYFUNCTION("""COMPUTED_VALUE"""),0.5)</f>
        <v>0.5</v>
      </c>
      <c r="L1531" s="1076" t="str">
        <f>IFERROR(__xludf.DUMMYFUNCTION("""COMPUTED_VALUE"""),"Loại biên")</f>
        <v>Loại biên</v>
      </c>
    </row>
    <row r="1532" customHeight="1" spans="1:12">
      <c r="A1532" s="1076" t="str">
        <f>IFERROR(__xludf.DUMMYFUNCTION("""COMPUTED_VALUE"""),"XD2-XMA-004")</f>
        <v>XD2-XMA-004</v>
      </c>
      <c r="B1532" s="1075" t="str">
        <f>IFERROR(__xludf.DUMMYFUNCTION("""COMPUTED_VALUE"""),"Xe máy thu hoạch")</f>
        <v>Xe máy thu hoạch</v>
      </c>
      <c r="C1532" s="1076" t="str">
        <f>IFERROR(__xludf.DUMMYFUNCTION("""COMPUTED_VALUE"""),"Loại biên")</f>
        <v>Loại biên</v>
      </c>
      <c r="D1532" s="1076" t="str">
        <f>IFERROR(__xludf.DUMMYFUNCTION("""COMPUTED_VALUE"""),"HONDA")</f>
        <v>HONDA</v>
      </c>
      <c r="E1532" s="1076" t="str">
        <f>IFERROR(__xludf.DUMMYFUNCTION("""COMPUTED_VALUE"""),"VIỆT NAM")</f>
        <v>VIỆT NAM</v>
      </c>
      <c r="F1532" s="1076"/>
      <c r="G1532" s="1076" t="str">
        <f>IFERROR(__xludf.DUMMYFUNCTION("""COMPUTED_VALUE"""),"WAVE A")</f>
        <v>WAVE A</v>
      </c>
      <c r="H1532" s="1076" t="str">
        <f>IFERROR(__xludf.DUMMYFUNCTION("""COMPUTED_VALUE"""),"110cc")</f>
        <v>110cc</v>
      </c>
      <c r="I1532" s="1076" t="str">
        <f>IFERROR(__xludf.DUMMYFUNCTION("""COMPUTED_VALUE"""),"RLHJA3916LY025909")</f>
        <v>RLHJA3916LY025909</v>
      </c>
      <c r="J1532" s="1076" t="str">
        <f>IFERROR(__xludf.DUMMYFUNCTION("""COMPUTED_VALUE"""),"JA39E-1360043")</f>
        <v>JA39E-1360043</v>
      </c>
      <c r="K1532" s="1076">
        <f>IFERROR(__xludf.DUMMYFUNCTION("""COMPUTED_VALUE"""),0.5)</f>
        <v>0.5</v>
      </c>
      <c r="L1532" s="1076" t="str">
        <f>IFERROR(__xludf.DUMMYFUNCTION("""COMPUTED_VALUE"""),"Loại biên")</f>
        <v>Loại biên</v>
      </c>
    </row>
    <row r="1533" customHeight="1" spans="1:12">
      <c r="A1533" s="1076" t="str">
        <f>IFERROR(__xludf.DUMMYFUNCTION("""COMPUTED_VALUE"""),"XD2-XMA-012")</f>
        <v>XD2-XMA-012</v>
      </c>
      <c r="B1533" s="1075" t="str">
        <f>IFERROR(__xludf.DUMMYFUNCTION("""COMPUTED_VALUE"""),"Xe máy thu hoạch")</f>
        <v>Xe máy thu hoạch</v>
      </c>
      <c r="C1533" s="1076" t="str">
        <f>IFERROR(__xludf.DUMMYFUNCTION("""COMPUTED_VALUE"""),"Loại biên")</f>
        <v>Loại biên</v>
      </c>
      <c r="D1533" s="1076" t="str">
        <f>IFERROR(__xludf.DUMMYFUNCTION("""COMPUTED_VALUE"""),"HONDA")</f>
        <v>HONDA</v>
      </c>
      <c r="E1533" s="1076" t="str">
        <f>IFERROR(__xludf.DUMMYFUNCTION("""COMPUTED_VALUE"""),"VIỆT NAM")</f>
        <v>VIỆT NAM</v>
      </c>
      <c r="F1533" s="1076"/>
      <c r="G1533" s="1076" t="str">
        <f>IFERROR(__xludf.DUMMYFUNCTION("""COMPUTED_VALUE"""),"WAVE A")</f>
        <v>WAVE A</v>
      </c>
      <c r="H1533" s="1076" t="str">
        <f>IFERROR(__xludf.DUMMYFUNCTION("""COMPUTED_VALUE"""),"110cc")</f>
        <v>110cc</v>
      </c>
      <c r="I1533" s="1076" t="str">
        <f>IFERROR(__xludf.DUMMYFUNCTION("""COMPUTED_VALUE"""),"RLHJA3954HY09815")</f>
        <v>RLHJA3954HY09815</v>
      </c>
      <c r="J1533" s="1076" t="str">
        <f>IFERROR(__xludf.DUMMYFUNCTION("""COMPUTED_VALUE"""),"JA39E-'000804")</f>
        <v>JA39E-'000804</v>
      </c>
      <c r="K1533" s="1076">
        <f>IFERROR(__xludf.DUMMYFUNCTION("""COMPUTED_VALUE"""),0.5)</f>
        <v>0.5</v>
      </c>
      <c r="L1533" s="1076" t="str">
        <f>IFERROR(__xludf.DUMMYFUNCTION("""COMPUTED_VALUE"""),"Loại biên")</f>
        <v>Loại biên</v>
      </c>
    </row>
    <row r="1534" customHeight="1" spans="1:12">
      <c r="A1534" s="1076" t="str">
        <f>IFERROR(__xludf.DUMMYFUNCTION("""COMPUTED_VALUE"""),"XD3-XMA-003")</f>
        <v>XD3-XMA-003</v>
      </c>
      <c r="B1534" s="1075" t="str">
        <f>IFERROR(__xludf.DUMMYFUNCTION("""COMPUTED_VALUE"""),"Xe máy thu hoạch")</f>
        <v>Xe máy thu hoạch</v>
      </c>
      <c r="C1534" s="1076" t="str">
        <f>IFERROR(__xludf.DUMMYFUNCTION("""COMPUTED_VALUE"""),"Loại biên")</f>
        <v>Loại biên</v>
      </c>
      <c r="D1534" s="1076" t="str">
        <f>IFERROR(__xludf.DUMMYFUNCTION("""COMPUTED_VALUE"""),"HONDA")</f>
        <v>HONDA</v>
      </c>
      <c r="E1534" s="1076" t="str">
        <f>IFERROR(__xludf.DUMMYFUNCTION("""COMPUTED_VALUE"""),"VIỆT NAM")</f>
        <v>VIỆT NAM</v>
      </c>
      <c r="F1534" s="1076"/>
      <c r="G1534" s="1076" t="str">
        <f>IFERROR(__xludf.DUMMYFUNCTION("""COMPUTED_VALUE"""),"WAVE A")</f>
        <v>WAVE A</v>
      </c>
      <c r="H1534" s="1076" t="str">
        <f>IFERROR(__xludf.DUMMYFUNCTION("""COMPUTED_VALUE"""),"110cc")</f>
        <v>110cc</v>
      </c>
      <c r="I1534" s="1076" t="str">
        <f>IFERROR(__xludf.DUMMYFUNCTION("""COMPUTED_VALUE"""),"RLHJA3925MY105258")</f>
        <v>RLHJA3925MY105258</v>
      </c>
      <c r="J1534" s="1076" t="str">
        <f>IFERROR(__xludf.DUMMYFUNCTION("""COMPUTED_VALUE"""),"JA39E- 2222553")</f>
        <v>JA39E- 2222553</v>
      </c>
      <c r="K1534" s="1076">
        <f>IFERROR(__xludf.DUMMYFUNCTION("""COMPUTED_VALUE"""),0.5)</f>
        <v>0.5</v>
      </c>
      <c r="L1534" s="1076" t="str">
        <f>IFERROR(__xludf.DUMMYFUNCTION("""COMPUTED_VALUE"""),"Loại biên")</f>
        <v>Loại biên</v>
      </c>
    </row>
    <row r="1535" customHeight="1" spans="1:12">
      <c r="A1535" s="1076" t="str">
        <f>IFERROR(__xludf.DUMMYFUNCTION("""COMPUTED_VALUE"""),"XD3-XMA-004")</f>
        <v>XD3-XMA-004</v>
      </c>
      <c r="B1535" s="1075" t="str">
        <f>IFERROR(__xludf.DUMMYFUNCTION("""COMPUTED_VALUE"""),"Xe máy thu hoạch")</f>
        <v>Xe máy thu hoạch</v>
      </c>
      <c r="C1535" s="1076" t="str">
        <f>IFERROR(__xludf.DUMMYFUNCTION("""COMPUTED_VALUE"""),"Loại biên")</f>
        <v>Loại biên</v>
      </c>
      <c r="D1535" s="1076" t="str">
        <f>IFERROR(__xludf.DUMMYFUNCTION("""COMPUTED_VALUE"""),"HONDA")</f>
        <v>HONDA</v>
      </c>
      <c r="E1535" s="1076" t="str">
        <f>IFERROR(__xludf.DUMMYFUNCTION("""COMPUTED_VALUE"""),"VIỆT NAM")</f>
        <v>VIỆT NAM</v>
      </c>
      <c r="F1535" s="1076"/>
      <c r="G1535" s="1076" t="str">
        <f>IFERROR(__xludf.DUMMYFUNCTION("""COMPUTED_VALUE"""),"WAVE A")</f>
        <v>WAVE A</v>
      </c>
      <c r="H1535" s="1076" t="str">
        <f>IFERROR(__xludf.DUMMYFUNCTION("""COMPUTED_VALUE"""),"110cc")</f>
        <v>110cc</v>
      </c>
      <c r="I1535" s="1076" t="str">
        <f>IFERROR(__xludf.DUMMYFUNCTION("""COMPUTED_VALUE"""),"RLHJA3900HY622634")</f>
        <v>RLHJA3900HY622634</v>
      </c>
      <c r="J1535" s="1076" t="str">
        <f>IFERROR(__xludf.DUMMYFUNCTION("""COMPUTED_VALUE"""),"JA39E- 0597757")</f>
        <v>JA39E- 0597757</v>
      </c>
      <c r="K1535" s="1076">
        <f>IFERROR(__xludf.DUMMYFUNCTION("""COMPUTED_VALUE"""),0.5)</f>
        <v>0.5</v>
      </c>
      <c r="L1535" s="1076" t="str">
        <f>IFERROR(__xludf.DUMMYFUNCTION("""COMPUTED_VALUE"""),"Loại biên")</f>
        <v>Loại biên</v>
      </c>
    </row>
    <row r="1536" customHeight="1" spans="1:12">
      <c r="A1536" s="1076" t="str">
        <f>IFERROR(__xludf.DUMMYFUNCTION("""COMPUTED_VALUE"""),"XD3-XMA-007")</f>
        <v>XD3-XMA-007</v>
      </c>
      <c r="B1536" s="1075" t="str">
        <f>IFERROR(__xludf.DUMMYFUNCTION("""COMPUTED_VALUE"""),"Xe máy thu hoạch")</f>
        <v>Xe máy thu hoạch</v>
      </c>
      <c r="C1536" s="1076" t="str">
        <f>IFERROR(__xludf.DUMMYFUNCTION("""COMPUTED_VALUE"""),"Loại biên")</f>
        <v>Loại biên</v>
      </c>
      <c r="D1536" s="1076" t="str">
        <f>IFERROR(__xludf.DUMMYFUNCTION("""COMPUTED_VALUE"""),"HONDA")</f>
        <v>HONDA</v>
      </c>
      <c r="E1536" s="1076" t="str">
        <f>IFERROR(__xludf.DUMMYFUNCTION("""COMPUTED_VALUE"""),"VIỆT NAM")</f>
        <v>VIỆT NAM</v>
      </c>
      <c r="F1536" s="1076"/>
      <c r="G1536" s="1076" t="str">
        <f>IFERROR(__xludf.DUMMYFUNCTION("""COMPUTED_VALUE"""),"WAVE A")</f>
        <v>WAVE A</v>
      </c>
      <c r="H1536" s="1076" t="str">
        <f>IFERROR(__xludf.DUMMYFUNCTION("""COMPUTED_VALUE"""),"110cc")</f>
        <v>110cc</v>
      </c>
      <c r="I1536" s="1076" t="str">
        <f>IFERROR(__xludf.DUMMYFUNCTION("""COMPUTED_VALUE"""),"RLHJA3907HY729888")</f>
        <v>RLHJA3907HY729888</v>
      </c>
      <c r="J1536" s="1076" t="str">
        <f>IFERROR(__xludf.DUMMYFUNCTION("""COMPUTED_VALUE"""),"JA39E- 0710044")</f>
        <v>JA39E- 0710044</v>
      </c>
      <c r="K1536" s="1076">
        <f>IFERROR(__xludf.DUMMYFUNCTION("""COMPUTED_VALUE"""),0.5)</f>
        <v>0.5</v>
      </c>
      <c r="L1536" s="1076" t="str">
        <f>IFERROR(__xludf.DUMMYFUNCTION("""COMPUTED_VALUE"""),"Loại biên")</f>
        <v>Loại biên</v>
      </c>
    </row>
    <row r="1537" customHeight="1" spans="1:12">
      <c r="A1537" s="1076" t="str">
        <f>IFERROR(__xludf.DUMMYFUNCTION("""COMPUTED_VALUE"""),"XD3-XMA-008")</f>
        <v>XD3-XMA-008</v>
      </c>
      <c r="B1537" s="1075" t="str">
        <f>IFERROR(__xludf.DUMMYFUNCTION("""COMPUTED_VALUE"""),"Xe máy thu hoạch")</f>
        <v>Xe máy thu hoạch</v>
      </c>
      <c r="C1537" s="1076" t="str">
        <f>IFERROR(__xludf.DUMMYFUNCTION("""COMPUTED_VALUE"""),"Loại biên")</f>
        <v>Loại biên</v>
      </c>
      <c r="D1537" s="1076" t="str">
        <f>IFERROR(__xludf.DUMMYFUNCTION("""COMPUTED_VALUE"""),"HONDA")</f>
        <v>HONDA</v>
      </c>
      <c r="E1537" s="1076" t="str">
        <f>IFERROR(__xludf.DUMMYFUNCTION("""COMPUTED_VALUE"""),"VIỆT NAM")</f>
        <v>VIỆT NAM</v>
      </c>
      <c r="F1537" s="1076"/>
      <c r="G1537" s="1076" t="str">
        <f>IFERROR(__xludf.DUMMYFUNCTION("""COMPUTED_VALUE"""),"WAVE A")</f>
        <v>WAVE A</v>
      </c>
      <c r="H1537" s="1076" t="str">
        <f>IFERROR(__xludf.DUMMYFUNCTION("""COMPUTED_VALUE"""),"110cc")</f>
        <v>110cc</v>
      </c>
      <c r="I1537" s="1076" t="str">
        <f>IFERROR(__xludf.DUMMYFUNCTION("""COMPUTED_VALUE"""),"RLHJA3918KY151008")</f>
        <v>RLHJA3918KY151008</v>
      </c>
      <c r="J1537" s="1076" t="str">
        <f>IFERROR(__xludf.DUMMYFUNCTION("""COMPUTED_VALUE"""),"JA39E- 1008288")</f>
        <v>JA39E- 1008288</v>
      </c>
      <c r="K1537" s="1076">
        <f>IFERROR(__xludf.DUMMYFUNCTION("""COMPUTED_VALUE"""),0.5)</f>
        <v>0.5</v>
      </c>
      <c r="L1537" s="1076" t="str">
        <f>IFERROR(__xludf.DUMMYFUNCTION("""COMPUTED_VALUE"""),"Loại biên")</f>
        <v>Loại biên</v>
      </c>
    </row>
    <row r="1538" customHeight="1" spans="1:12">
      <c r="A1538" s="1076" t="str">
        <f>IFERROR(__xludf.DUMMYFUNCTION("""COMPUTED_VALUE"""),"XD3-XMA-010")</f>
        <v>XD3-XMA-010</v>
      </c>
      <c r="B1538" s="1075" t="str">
        <f>IFERROR(__xludf.DUMMYFUNCTION("""COMPUTED_VALUE"""),"Xe máy thu hoạch")</f>
        <v>Xe máy thu hoạch</v>
      </c>
      <c r="C1538" s="1076" t="str">
        <f>IFERROR(__xludf.DUMMYFUNCTION("""COMPUTED_VALUE"""),"Loại biên")</f>
        <v>Loại biên</v>
      </c>
      <c r="D1538" s="1076" t="str">
        <f>IFERROR(__xludf.DUMMYFUNCTION("""COMPUTED_VALUE"""),"HONDA")</f>
        <v>HONDA</v>
      </c>
      <c r="E1538" s="1076" t="str">
        <f>IFERROR(__xludf.DUMMYFUNCTION("""COMPUTED_VALUE"""),"VIỆT NAM")</f>
        <v>VIỆT NAM</v>
      </c>
      <c r="F1538" s="1076"/>
      <c r="G1538" s="1076" t="str">
        <f>IFERROR(__xludf.DUMMYFUNCTION("""COMPUTED_VALUE"""),"WAVE A")</f>
        <v>WAVE A</v>
      </c>
      <c r="H1538" s="1076" t="str">
        <f>IFERROR(__xludf.DUMMYFUNCTION("""COMPUTED_VALUE"""),"110cc")</f>
        <v>110cc</v>
      </c>
      <c r="I1538" s="1076" t="str">
        <f>IFERROR(__xludf.DUMMYFUNCTION("""COMPUTED_VALUE"""),"RLHJA3921MY025097")</f>
        <v>RLHJA3921MY025097</v>
      </c>
      <c r="J1538" s="1076" t="str">
        <f>IFERROR(__xludf.DUMMYFUNCTION("""COMPUTED_VALUE"""),"JA39E- 2140082")</f>
        <v>JA39E- 2140082</v>
      </c>
      <c r="K1538" s="1076">
        <f>IFERROR(__xludf.DUMMYFUNCTION("""COMPUTED_VALUE"""),0.5)</f>
        <v>0.5</v>
      </c>
      <c r="L1538" s="1076" t="str">
        <f>IFERROR(__xludf.DUMMYFUNCTION("""COMPUTED_VALUE"""),"Loại biên")</f>
        <v>Loại biên</v>
      </c>
    </row>
    <row r="1539" customHeight="1" spans="1:12">
      <c r="A1539" s="1076" t="str">
        <f>IFERROR(__xludf.DUMMYFUNCTION("""COMPUTED_VALUE"""),"XD3-XMA-011")</f>
        <v>XD3-XMA-011</v>
      </c>
      <c r="B1539" s="1075" t="str">
        <f>IFERROR(__xludf.DUMMYFUNCTION("""COMPUTED_VALUE"""),"Xe máy thu hoạch")</f>
        <v>Xe máy thu hoạch</v>
      </c>
      <c r="C1539" s="1076" t="str">
        <f>IFERROR(__xludf.DUMMYFUNCTION("""COMPUTED_VALUE"""),"Loại biên")</f>
        <v>Loại biên</v>
      </c>
      <c r="D1539" s="1076" t="str">
        <f>IFERROR(__xludf.DUMMYFUNCTION("""COMPUTED_VALUE"""),"HONDA")</f>
        <v>HONDA</v>
      </c>
      <c r="E1539" s="1076" t="str">
        <f>IFERROR(__xludf.DUMMYFUNCTION("""COMPUTED_VALUE"""),"VIỆT NAM")</f>
        <v>VIỆT NAM</v>
      </c>
      <c r="F1539" s="1076"/>
      <c r="G1539" s="1076" t="str">
        <f>IFERROR(__xludf.DUMMYFUNCTION("""COMPUTED_VALUE"""),"WAVE A")</f>
        <v>WAVE A</v>
      </c>
      <c r="H1539" s="1076" t="str">
        <f>IFERROR(__xludf.DUMMYFUNCTION("""COMPUTED_VALUE"""),"110cc")</f>
        <v>110cc</v>
      </c>
      <c r="I1539" s="1076" t="str">
        <f>IFERROR(__xludf.DUMMYFUNCTION("""COMPUTED_VALUE"""),"RLHJA3927MY142893")</f>
        <v>RLHJA3927MY142893</v>
      </c>
      <c r="J1539" s="1076" t="str">
        <f>IFERROR(__xludf.DUMMYFUNCTION("""COMPUTED_VALUE"""),"JA39E- 2260197")</f>
        <v>JA39E- 2260197</v>
      </c>
      <c r="K1539" s="1076">
        <f>IFERROR(__xludf.DUMMYFUNCTION("""COMPUTED_VALUE"""),0.5)</f>
        <v>0.5</v>
      </c>
      <c r="L1539" s="1076" t="str">
        <f>IFERROR(__xludf.DUMMYFUNCTION("""COMPUTED_VALUE"""),"Loại biên")</f>
        <v>Loại biên</v>
      </c>
    </row>
    <row r="1540" customHeight="1" spans="1:12">
      <c r="A1540" s="1076" t="str">
        <f>IFERROR(__xludf.DUMMYFUNCTION("""COMPUTED_VALUE"""),"XD3-XMA-012")</f>
        <v>XD3-XMA-012</v>
      </c>
      <c r="B1540" s="1075" t="str">
        <f>IFERROR(__xludf.DUMMYFUNCTION("""COMPUTED_VALUE"""),"Xe máy thu hoạch")</f>
        <v>Xe máy thu hoạch</v>
      </c>
      <c r="C1540" s="1076" t="str">
        <f>IFERROR(__xludf.DUMMYFUNCTION("""COMPUTED_VALUE"""),"Loại biên")</f>
        <v>Loại biên</v>
      </c>
      <c r="D1540" s="1076" t="str">
        <f>IFERROR(__xludf.DUMMYFUNCTION("""COMPUTED_VALUE"""),"HONDA")</f>
        <v>HONDA</v>
      </c>
      <c r="E1540" s="1076" t="str">
        <f>IFERROR(__xludf.DUMMYFUNCTION("""COMPUTED_VALUE"""),"VIỆT NAM")</f>
        <v>VIỆT NAM</v>
      </c>
      <c r="F1540" s="1076"/>
      <c r="G1540" s="1076" t="str">
        <f>IFERROR(__xludf.DUMMYFUNCTION("""COMPUTED_VALUE"""),"WAVE A")</f>
        <v>WAVE A</v>
      </c>
      <c r="H1540" s="1076" t="str">
        <f>IFERROR(__xludf.DUMMYFUNCTION("""COMPUTED_VALUE"""),"110cc")</f>
        <v>110cc</v>
      </c>
      <c r="I1540" s="1076" t="str">
        <f>IFERROR(__xludf.DUMMYFUNCTION("""COMPUTED_VALUE"""),"RLHJA3900HY612315")</f>
        <v>RLHJA3900HY612315</v>
      </c>
      <c r="J1540" s="1076" t="str">
        <f>IFERROR(__xludf.DUMMYFUNCTION("""COMPUTED_VALUE"""),"JA39E- 0587469")</f>
        <v>JA39E- 0587469</v>
      </c>
      <c r="K1540" s="1076">
        <f>IFERROR(__xludf.DUMMYFUNCTION("""COMPUTED_VALUE"""),0.5)</f>
        <v>0.5</v>
      </c>
      <c r="L1540" s="1076" t="str">
        <f>IFERROR(__xludf.DUMMYFUNCTION("""COMPUTED_VALUE"""),"Loại biên")</f>
        <v>Loại biên</v>
      </c>
    </row>
    <row r="1541" customHeight="1" spans="1:12">
      <c r="A1541" s="1076" t="str">
        <f>IFERROR(__xludf.DUMMYFUNCTION("""COMPUTED_VALUE"""),"XD3-XMA-014")</f>
        <v>XD3-XMA-014</v>
      </c>
      <c r="B1541" s="1075" t="str">
        <f>IFERROR(__xludf.DUMMYFUNCTION("""COMPUTED_VALUE"""),"Xe máy thu hoạch")</f>
        <v>Xe máy thu hoạch</v>
      </c>
      <c r="C1541" s="1076" t="str">
        <f>IFERROR(__xludf.DUMMYFUNCTION("""COMPUTED_VALUE"""),"Loại biên")</f>
        <v>Loại biên</v>
      </c>
      <c r="D1541" s="1076" t="str">
        <f>IFERROR(__xludf.DUMMYFUNCTION("""COMPUTED_VALUE"""),"HONDA")</f>
        <v>HONDA</v>
      </c>
      <c r="E1541" s="1076" t="str">
        <f>IFERROR(__xludf.DUMMYFUNCTION("""COMPUTED_VALUE"""),"VIỆT NAM")</f>
        <v>VIỆT NAM</v>
      </c>
      <c r="F1541" s="1076"/>
      <c r="G1541" s="1076" t="str">
        <f>IFERROR(__xludf.DUMMYFUNCTION("""COMPUTED_VALUE"""),"WAVE A")</f>
        <v>WAVE A</v>
      </c>
      <c r="H1541" s="1076" t="str">
        <f>IFERROR(__xludf.DUMMYFUNCTION("""COMPUTED_VALUE"""),"110cc")</f>
        <v>110cc</v>
      </c>
      <c r="I1541" s="1076" t="str">
        <f>IFERROR(__xludf.DUMMYFUNCTION("""COMPUTED_VALUE"""),"RLHJA3906HY161018")</f>
        <v>RLHJA3906HY161018</v>
      </c>
      <c r="J1541" s="1076" t="str">
        <f>IFERROR(__xludf.DUMMYFUNCTION("""COMPUTED_VALUE"""),"JA39E- 0160916")</f>
        <v>JA39E- 0160916</v>
      </c>
      <c r="K1541" s="1076">
        <f>IFERROR(__xludf.DUMMYFUNCTION("""COMPUTED_VALUE"""),0.5)</f>
        <v>0.5</v>
      </c>
      <c r="L1541" s="1076" t="str">
        <f>IFERROR(__xludf.DUMMYFUNCTION("""COMPUTED_VALUE"""),"Loại biên")</f>
        <v>Loại biên</v>
      </c>
    </row>
    <row r="1542" customHeight="1" spans="1:12">
      <c r="A1542" s="1076" t="str">
        <f>IFERROR(__xludf.DUMMYFUNCTION("""COMPUTED_VALUE"""),"XD3-XMA-015")</f>
        <v>XD3-XMA-015</v>
      </c>
      <c r="B1542" s="1075" t="str">
        <f>IFERROR(__xludf.DUMMYFUNCTION("""COMPUTED_VALUE"""),"Xe máy thu hoạch")</f>
        <v>Xe máy thu hoạch</v>
      </c>
      <c r="C1542" s="1076" t="str">
        <f>IFERROR(__xludf.DUMMYFUNCTION("""COMPUTED_VALUE"""),"Loại biên")</f>
        <v>Loại biên</v>
      </c>
      <c r="D1542" s="1076" t="str">
        <f>IFERROR(__xludf.DUMMYFUNCTION("""COMPUTED_VALUE"""),"HONDA")</f>
        <v>HONDA</v>
      </c>
      <c r="E1542" s="1076" t="str">
        <f>IFERROR(__xludf.DUMMYFUNCTION("""COMPUTED_VALUE"""),"VIỆT NAM")</f>
        <v>VIỆT NAM</v>
      </c>
      <c r="F1542" s="1076"/>
      <c r="G1542" s="1076" t="str">
        <f>IFERROR(__xludf.DUMMYFUNCTION("""COMPUTED_VALUE"""),"WAVE A")</f>
        <v>WAVE A</v>
      </c>
      <c r="H1542" s="1076" t="str">
        <f>IFERROR(__xludf.DUMMYFUNCTION("""COMPUTED_VALUE"""),"110cc")</f>
        <v>110cc</v>
      </c>
      <c r="I1542" s="1076" t="str">
        <f>IFERROR(__xludf.DUMMYFUNCTION("""COMPUTED_VALUE"""),"RLHJA3924LY046265")</f>
        <v>RLHJA3924LY046265</v>
      </c>
      <c r="J1542" s="1076" t="str">
        <f>IFERROR(__xludf.DUMMYFUNCTION("""COMPUTED_VALUE"""),"JA39E- 2049217")</f>
        <v>JA39E- 2049217</v>
      </c>
      <c r="K1542" s="1076">
        <f>IFERROR(__xludf.DUMMYFUNCTION("""COMPUTED_VALUE"""),0.5)</f>
        <v>0.5</v>
      </c>
      <c r="L1542" s="1076" t="str">
        <f>IFERROR(__xludf.DUMMYFUNCTION("""COMPUTED_VALUE"""),"Loại biên")</f>
        <v>Loại biên</v>
      </c>
    </row>
    <row r="1543" customHeight="1" spans="1:12">
      <c r="A1543" s="1076" t="str">
        <f>IFERROR(__xludf.DUMMYFUNCTION("""COMPUTED_VALUE"""),"TỔNG KLH")</f>
        <v>TỔNG KLH</v>
      </c>
      <c r="B1543" s="1075"/>
      <c r="C1543" s="1076"/>
      <c r="D1543" s="1076"/>
      <c r="E1543" s="1076"/>
      <c r="F1543" s="1076"/>
      <c r="G1543" s="1076"/>
      <c r="H1543" s="1076"/>
      <c r="I1543" s="1076"/>
      <c r="J1543" s="1076"/>
      <c r="K1543" s="1076"/>
      <c r="L1543" s="1076" t="str">
        <f>IFERROR(__xludf.DUMMYFUNCTION("""COMPUTED_VALUE"""),"KLH")</f>
        <v>KLH</v>
      </c>
    </row>
    <row r="1544" customHeight="1" spans="1:12">
      <c r="A1544" s="1076" t="str">
        <f>IFERROR(__xludf.DUMMYFUNCTION("""COMPUTED_VALUE"""),"XB1-MPC-027")</f>
        <v>XB1-MPC-027</v>
      </c>
      <c r="B1544" s="1075" t="str">
        <f>IFERROR(__xludf.DUMMYFUNCTION("""COMPUTED_VALUE"""),"Máy phát cỏ 2 thì")</f>
        <v>Máy phát cỏ 2 thì</v>
      </c>
      <c r="C1544" s="1076" t="str">
        <f>IFERROR(__xludf.DUMMYFUNCTION("""COMPUTED_VALUE"""),"XN Bò AD")</f>
        <v>XN Bò AD</v>
      </c>
      <c r="D1544" s="1076" t="str">
        <f>IFERROR(__xludf.DUMMYFUNCTION("""COMPUTED_VALUE"""),"NAGATA")</f>
        <v>NAGATA</v>
      </c>
      <c r="E1544" s="1076" t="str">
        <f>IFERROR(__xludf.DUMMYFUNCTION("""COMPUTED_VALUE"""),"TRUNG QUỐC")</f>
        <v>TRUNG QUỐC</v>
      </c>
      <c r="F1544" s="1076"/>
      <c r="G1544" s="1076" t="str">
        <f>IFERROR(__xludf.DUMMYFUNCTION("""COMPUTED_VALUE"""),"CG411")</f>
        <v>CG411</v>
      </c>
      <c r="H1544" s="1076" t="str">
        <f>IFERROR(__xludf.DUMMYFUNCTION("""COMPUTED_VALUE"""),"1.8HP")</f>
        <v>1.8HP</v>
      </c>
      <c r="I1544" s="1076"/>
      <c r="J1544" s="1076"/>
      <c r="K1544" s="1076">
        <f>IFERROR(__xludf.DUMMYFUNCTION("""COMPUTED_VALUE"""),1)</f>
        <v>1</v>
      </c>
      <c r="L1544" s="1076" t="str">
        <f>IFERROR(__xludf.DUMMYFUNCTION("""COMPUTED_VALUE"""),"KLH")</f>
        <v>KLH</v>
      </c>
    </row>
    <row r="1545" customHeight="1" spans="1:12">
      <c r="A1545" s="1076" t="str">
        <f>IFERROR(__xludf.DUMMYFUNCTION("""COMPUTED_VALUE"""),"XB1-MPC-028")</f>
        <v>XB1-MPC-028</v>
      </c>
      <c r="B1545" s="1075" t="str">
        <f>IFERROR(__xludf.DUMMYFUNCTION("""COMPUTED_VALUE"""),"Máy phát cỏ 2 thì")</f>
        <v>Máy phát cỏ 2 thì</v>
      </c>
      <c r="C1545" s="1076" t="str">
        <f>IFERROR(__xludf.DUMMYFUNCTION("""COMPUTED_VALUE"""),"XN Bò AD")</f>
        <v>XN Bò AD</v>
      </c>
      <c r="D1545" s="1076" t="str">
        <f>IFERROR(__xludf.DUMMYFUNCTION("""COMPUTED_VALUE"""),"NAGATA")</f>
        <v>NAGATA</v>
      </c>
      <c r="E1545" s="1076" t="str">
        <f>IFERROR(__xludf.DUMMYFUNCTION("""COMPUTED_VALUE"""),"TRUNG QUỐC")</f>
        <v>TRUNG QUỐC</v>
      </c>
      <c r="F1545" s="1076"/>
      <c r="G1545" s="1076" t="str">
        <f>IFERROR(__xludf.DUMMYFUNCTION("""COMPUTED_VALUE"""),"CG411")</f>
        <v>CG411</v>
      </c>
      <c r="H1545" s="1076" t="str">
        <f>IFERROR(__xludf.DUMMYFUNCTION("""COMPUTED_VALUE"""),"1.8HP")</f>
        <v>1.8HP</v>
      </c>
      <c r="I1545" s="1076"/>
      <c r="J1545" s="1076"/>
      <c r="K1545" s="1076">
        <f>IFERROR(__xludf.DUMMYFUNCTION("""COMPUTED_VALUE"""),1)</f>
        <v>1</v>
      </c>
      <c r="L1545" s="1076" t="str">
        <f>IFERROR(__xludf.DUMMYFUNCTION("""COMPUTED_VALUE"""),"KLH")</f>
        <v>KLH</v>
      </c>
    </row>
    <row r="1546" customHeight="1" spans="1:12">
      <c r="A1546" s="1076" t="str">
        <f>IFERROR(__xludf.DUMMYFUNCTION("""COMPUTED_VALUE"""),"XB1-MPC-029")</f>
        <v>XB1-MPC-029</v>
      </c>
      <c r="B1546" s="1075" t="str">
        <f>IFERROR(__xludf.DUMMYFUNCTION("""COMPUTED_VALUE"""),"Máy phát cỏ 2 thì")</f>
        <v>Máy phát cỏ 2 thì</v>
      </c>
      <c r="C1546" s="1076" t="str">
        <f>IFERROR(__xludf.DUMMYFUNCTION("""COMPUTED_VALUE"""),"XN Bò AD")</f>
        <v>XN Bò AD</v>
      </c>
      <c r="D1546" s="1076" t="str">
        <f>IFERROR(__xludf.DUMMYFUNCTION("""COMPUTED_VALUE"""),"NAGATA")</f>
        <v>NAGATA</v>
      </c>
      <c r="E1546" s="1076" t="str">
        <f>IFERROR(__xludf.DUMMYFUNCTION("""COMPUTED_VALUE"""),"TRUNG QUỐC")</f>
        <v>TRUNG QUỐC</v>
      </c>
      <c r="F1546" s="1076"/>
      <c r="G1546" s="1076" t="str">
        <f>IFERROR(__xludf.DUMMYFUNCTION("""COMPUTED_VALUE"""),"CG411")</f>
        <v>CG411</v>
      </c>
      <c r="H1546" s="1076" t="str">
        <f>IFERROR(__xludf.DUMMYFUNCTION("""COMPUTED_VALUE"""),"1.8HP")</f>
        <v>1.8HP</v>
      </c>
      <c r="I1546" s="1076"/>
      <c r="J1546" s="1076"/>
      <c r="K1546" s="1076">
        <f>IFERROR(__xludf.DUMMYFUNCTION("""COMPUTED_VALUE"""),1)</f>
        <v>1</v>
      </c>
      <c r="L1546" s="1076" t="str">
        <f>IFERROR(__xludf.DUMMYFUNCTION("""COMPUTED_VALUE"""),"KLH")</f>
        <v>KLH</v>
      </c>
    </row>
    <row r="1547" customHeight="1" spans="1:12">
      <c r="A1547" s="1076" t="str">
        <f>IFERROR(__xludf.DUMMYFUNCTION("""COMPUTED_VALUE"""),"XB1-MPC-030")</f>
        <v>XB1-MPC-030</v>
      </c>
      <c r="B1547" s="1075" t="str">
        <f>IFERROR(__xludf.DUMMYFUNCTION("""COMPUTED_VALUE"""),"Máy phát cỏ 2 thì")</f>
        <v>Máy phát cỏ 2 thì</v>
      </c>
      <c r="C1547" s="1076" t="str">
        <f>IFERROR(__xludf.DUMMYFUNCTION("""COMPUTED_VALUE"""),"XN Bò AD")</f>
        <v>XN Bò AD</v>
      </c>
      <c r="D1547" s="1076" t="str">
        <f>IFERROR(__xludf.DUMMYFUNCTION("""COMPUTED_VALUE"""),"NAGATA")</f>
        <v>NAGATA</v>
      </c>
      <c r="E1547" s="1076" t="str">
        <f>IFERROR(__xludf.DUMMYFUNCTION("""COMPUTED_VALUE"""),"TRUNG QUỐC")</f>
        <v>TRUNG QUỐC</v>
      </c>
      <c r="F1547" s="1076"/>
      <c r="G1547" s="1076" t="str">
        <f>IFERROR(__xludf.DUMMYFUNCTION("""COMPUTED_VALUE"""),"CG411")</f>
        <v>CG411</v>
      </c>
      <c r="H1547" s="1076" t="str">
        <f>IFERROR(__xludf.DUMMYFUNCTION("""COMPUTED_VALUE"""),"1.8HP")</f>
        <v>1.8HP</v>
      </c>
      <c r="I1547" s="1076"/>
      <c r="J1547" s="1076"/>
      <c r="K1547" s="1076">
        <f>IFERROR(__xludf.DUMMYFUNCTION("""COMPUTED_VALUE"""),1)</f>
        <v>1</v>
      </c>
      <c r="L1547" s="1076" t="str">
        <f>IFERROR(__xludf.DUMMYFUNCTION("""COMPUTED_VALUE"""),"KLH")</f>
        <v>KLH</v>
      </c>
    </row>
    <row r="1548" customHeight="1" spans="1:12">
      <c r="A1548" s="1076" t="str">
        <f>IFERROR(__xludf.DUMMYFUNCTION("""COMPUTED_VALUE"""),"XB1-MPC-032")</f>
        <v>XB1-MPC-032</v>
      </c>
      <c r="B1548" s="1075" t="str">
        <f>IFERROR(__xludf.DUMMYFUNCTION("""COMPUTED_VALUE"""),"Máy phát cỏ 2 thì")</f>
        <v>Máy phát cỏ 2 thì</v>
      </c>
      <c r="C1548" s="1076" t="str">
        <f>IFERROR(__xludf.DUMMYFUNCTION("""COMPUTED_VALUE"""),"XN Bò AD")</f>
        <v>XN Bò AD</v>
      </c>
      <c r="D1548" s="1076" t="str">
        <f>IFERROR(__xludf.DUMMYFUNCTION("""COMPUTED_VALUE"""),"NAGATA")</f>
        <v>NAGATA</v>
      </c>
      <c r="E1548" s="1076" t="str">
        <f>IFERROR(__xludf.DUMMYFUNCTION("""COMPUTED_VALUE"""),"TRUNG QUỐC")</f>
        <v>TRUNG QUỐC</v>
      </c>
      <c r="F1548" s="1076"/>
      <c r="G1548" s="1076" t="str">
        <f>IFERROR(__xludf.DUMMYFUNCTION("""COMPUTED_VALUE"""),"CG411")</f>
        <v>CG411</v>
      </c>
      <c r="H1548" s="1076" t="str">
        <f>IFERROR(__xludf.DUMMYFUNCTION("""COMPUTED_VALUE"""),"1.8HP")</f>
        <v>1.8HP</v>
      </c>
      <c r="I1548" s="1076"/>
      <c r="J1548" s="1076"/>
      <c r="K1548" s="1076">
        <f>IFERROR(__xludf.DUMMYFUNCTION("""COMPUTED_VALUE"""),1)</f>
        <v>1</v>
      </c>
      <c r="L1548" s="1076" t="str">
        <f>IFERROR(__xludf.DUMMYFUNCTION("""COMPUTED_VALUE"""),"KLH")</f>
        <v>KLH</v>
      </c>
    </row>
    <row r="1549" customHeight="1" spans="1:12">
      <c r="A1549" s="1076" t="str">
        <f>IFERROR(__xludf.DUMMYFUNCTION("""COMPUTED_VALUE"""),"XB1-MPC-033")</f>
        <v>XB1-MPC-033</v>
      </c>
      <c r="B1549" s="1075" t="str">
        <f>IFERROR(__xludf.DUMMYFUNCTION("""COMPUTED_VALUE"""),"Máy phát cỏ 2 thì")</f>
        <v>Máy phát cỏ 2 thì</v>
      </c>
      <c r="C1549" s="1076" t="str">
        <f>IFERROR(__xludf.DUMMYFUNCTION("""COMPUTED_VALUE"""),"XN Bò AD")</f>
        <v>XN Bò AD</v>
      </c>
      <c r="D1549" s="1076" t="str">
        <f>IFERROR(__xludf.DUMMYFUNCTION("""COMPUTED_VALUE"""),"NAGATA")</f>
        <v>NAGATA</v>
      </c>
      <c r="E1549" s="1076" t="str">
        <f>IFERROR(__xludf.DUMMYFUNCTION("""COMPUTED_VALUE"""),"TRUNG QUỐC")</f>
        <v>TRUNG QUỐC</v>
      </c>
      <c r="F1549" s="1076"/>
      <c r="G1549" s="1076" t="str">
        <f>IFERROR(__xludf.DUMMYFUNCTION("""COMPUTED_VALUE"""),"CG411")</f>
        <v>CG411</v>
      </c>
      <c r="H1549" s="1076" t="str">
        <f>IFERROR(__xludf.DUMMYFUNCTION("""COMPUTED_VALUE"""),"1.8HP")</f>
        <v>1.8HP</v>
      </c>
      <c r="I1549" s="1076"/>
      <c r="J1549" s="1076"/>
      <c r="K1549" s="1076">
        <f>IFERROR(__xludf.DUMMYFUNCTION("""COMPUTED_VALUE"""),1)</f>
        <v>1</v>
      </c>
      <c r="L1549" s="1076" t="str">
        <f>IFERROR(__xludf.DUMMYFUNCTION("""COMPUTED_VALUE"""),"KLH")</f>
        <v>KLH</v>
      </c>
    </row>
    <row r="1550" customHeight="1" spans="1:12">
      <c r="A1550" s="1076" t="str">
        <f>IFERROR(__xludf.DUMMYFUNCTION("""COMPUTED_VALUE"""),"XB1-MPC-035")</f>
        <v>XB1-MPC-035</v>
      </c>
      <c r="B1550" s="1075" t="str">
        <f>IFERROR(__xludf.DUMMYFUNCTION("""COMPUTED_VALUE"""),"Máy phát cỏ 2 thì")</f>
        <v>Máy phát cỏ 2 thì</v>
      </c>
      <c r="C1550" s="1076" t="str">
        <f>IFERROR(__xludf.DUMMYFUNCTION("""COMPUTED_VALUE"""),"XN Bò AD")</f>
        <v>XN Bò AD</v>
      </c>
      <c r="D1550" s="1076" t="str">
        <f>IFERROR(__xludf.DUMMYFUNCTION("""COMPUTED_VALUE"""),"NAGATA")</f>
        <v>NAGATA</v>
      </c>
      <c r="E1550" s="1076" t="str">
        <f>IFERROR(__xludf.DUMMYFUNCTION("""COMPUTED_VALUE"""),"TRUNG QUỐC")</f>
        <v>TRUNG QUỐC</v>
      </c>
      <c r="F1550" s="1076"/>
      <c r="G1550" s="1076" t="str">
        <f>IFERROR(__xludf.DUMMYFUNCTION("""COMPUTED_VALUE"""),"CG411")</f>
        <v>CG411</v>
      </c>
      <c r="H1550" s="1076" t="str">
        <f>IFERROR(__xludf.DUMMYFUNCTION("""COMPUTED_VALUE"""),"1.8HP")</f>
        <v>1.8HP</v>
      </c>
      <c r="I1550" s="1076"/>
      <c r="J1550" s="1076"/>
      <c r="K1550" s="1076">
        <f>IFERROR(__xludf.DUMMYFUNCTION("""COMPUTED_VALUE"""),1)</f>
        <v>1</v>
      </c>
      <c r="L1550" s="1076" t="str">
        <f>IFERROR(__xludf.DUMMYFUNCTION("""COMPUTED_VALUE"""),"KLH")</f>
        <v>KLH</v>
      </c>
    </row>
    <row r="1551" customHeight="1" spans="1:12">
      <c r="A1551" s="1076" t="str">
        <f>IFERROR(__xludf.DUMMYFUNCTION("""COMPUTED_VALUE"""),"XB1-MPC-036")</f>
        <v>XB1-MPC-036</v>
      </c>
      <c r="B1551" s="1075" t="str">
        <f>IFERROR(__xludf.DUMMYFUNCTION("""COMPUTED_VALUE"""),"Máy phát cỏ 2 thì")</f>
        <v>Máy phát cỏ 2 thì</v>
      </c>
      <c r="C1551" s="1076" t="str">
        <f>IFERROR(__xludf.DUMMYFUNCTION("""COMPUTED_VALUE"""),"XN Bò AD")</f>
        <v>XN Bò AD</v>
      </c>
      <c r="D1551" s="1076" t="str">
        <f>IFERROR(__xludf.DUMMYFUNCTION("""COMPUTED_VALUE"""),"NAGATA")</f>
        <v>NAGATA</v>
      </c>
      <c r="E1551" s="1076" t="str">
        <f>IFERROR(__xludf.DUMMYFUNCTION("""COMPUTED_VALUE"""),"TRUNG QUỐC")</f>
        <v>TRUNG QUỐC</v>
      </c>
      <c r="F1551" s="1076"/>
      <c r="G1551" s="1076" t="str">
        <f>IFERROR(__xludf.DUMMYFUNCTION("""COMPUTED_VALUE"""),"CG411")</f>
        <v>CG411</v>
      </c>
      <c r="H1551" s="1076" t="str">
        <f>IFERROR(__xludf.DUMMYFUNCTION("""COMPUTED_VALUE"""),"1.8HP")</f>
        <v>1.8HP</v>
      </c>
      <c r="I1551" s="1076"/>
      <c r="J1551" s="1076"/>
      <c r="K1551" s="1076">
        <f>IFERROR(__xludf.DUMMYFUNCTION("""COMPUTED_VALUE"""),1)</f>
        <v>1</v>
      </c>
      <c r="L1551" s="1076" t="str">
        <f>IFERROR(__xludf.DUMMYFUNCTION("""COMPUTED_VALUE"""),"KLH")</f>
        <v>KLH</v>
      </c>
    </row>
    <row r="1552" customHeight="1" spans="1:12">
      <c r="A1552" s="1076" t="str">
        <f>IFERROR(__xludf.DUMMYFUNCTION("""COMPUTED_VALUE"""),"XB1-MPC-037")</f>
        <v>XB1-MPC-037</v>
      </c>
      <c r="B1552" s="1075" t="str">
        <f>IFERROR(__xludf.DUMMYFUNCTION("""COMPUTED_VALUE"""),"Máy phát cỏ 2 thì")</f>
        <v>Máy phát cỏ 2 thì</v>
      </c>
      <c r="C1552" s="1076" t="str">
        <f>IFERROR(__xludf.DUMMYFUNCTION("""COMPUTED_VALUE"""),"XN Bò AD")</f>
        <v>XN Bò AD</v>
      </c>
      <c r="D1552" s="1076" t="str">
        <f>IFERROR(__xludf.DUMMYFUNCTION("""COMPUTED_VALUE"""),"NAGATA")</f>
        <v>NAGATA</v>
      </c>
      <c r="E1552" s="1076" t="str">
        <f>IFERROR(__xludf.DUMMYFUNCTION("""COMPUTED_VALUE"""),"TRUNG QUỐC")</f>
        <v>TRUNG QUỐC</v>
      </c>
      <c r="F1552" s="1076"/>
      <c r="G1552" s="1076" t="str">
        <f>IFERROR(__xludf.DUMMYFUNCTION("""COMPUTED_VALUE"""),"CG411")</f>
        <v>CG411</v>
      </c>
      <c r="H1552" s="1076" t="str">
        <f>IFERROR(__xludf.DUMMYFUNCTION("""COMPUTED_VALUE"""),"1.8HP")</f>
        <v>1.8HP</v>
      </c>
      <c r="I1552" s="1076"/>
      <c r="J1552" s="1076"/>
      <c r="K1552" s="1076">
        <f>IFERROR(__xludf.DUMMYFUNCTION("""COMPUTED_VALUE"""),1)</f>
        <v>1</v>
      </c>
      <c r="L1552" s="1076" t="str">
        <f>IFERROR(__xludf.DUMMYFUNCTION("""COMPUTED_VALUE"""),"KLH")</f>
        <v>KLH</v>
      </c>
    </row>
    <row r="1553" customHeight="1" spans="1:12">
      <c r="A1553" s="1076" t="str">
        <f>IFERROR(__xludf.DUMMYFUNCTION("""COMPUTED_VALUE"""),"XB1-MPC-038")</f>
        <v>XB1-MPC-038</v>
      </c>
      <c r="B1553" s="1075" t="str">
        <f>IFERROR(__xludf.DUMMYFUNCTION("""COMPUTED_VALUE"""),"Máy phát cỏ 2 thì")</f>
        <v>Máy phát cỏ 2 thì</v>
      </c>
      <c r="C1553" s="1076" t="str">
        <f>IFERROR(__xludf.DUMMYFUNCTION("""COMPUTED_VALUE"""),"XN Bò AD")</f>
        <v>XN Bò AD</v>
      </c>
      <c r="D1553" s="1076" t="str">
        <f>IFERROR(__xludf.DUMMYFUNCTION("""COMPUTED_VALUE"""),"NAGATA")</f>
        <v>NAGATA</v>
      </c>
      <c r="E1553" s="1076" t="str">
        <f>IFERROR(__xludf.DUMMYFUNCTION("""COMPUTED_VALUE"""),"TRUNG QUỐC")</f>
        <v>TRUNG QUỐC</v>
      </c>
      <c r="F1553" s="1076"/>
      <c r="G1553" s="1076" t="str">
        <f>IFERROR(__xludf.DUMMYFUNCTION("""COMPUTED_VALUE"""),"CG411")</f>
        <v>CG411</v>
      </c>
      <c r="H1553" s="1076" t="str">
        <f>IFERROR(__xludf.DUMMYFUNCTION("""COMPUTED_VALUE"""),"1.8HP")</f>
        <v>1.8HP</v>
      </c>
      <c r="I1553" s="1076"/>
      <c r="J1553" s="1076"/>
      <c r="K1553" s="1076">
        <f>IFERROR(__xludf.DUMMYFUNCTION("""COMPUTED_VALUE"""),1)</f>
        <v>1</v>
      </c>
      <c r="L1553" s="1076" t="str">
        <f>IFERROR(__xludf.DUMMYFUNCTION("""COMPUTED_VALUE"""),"KLH")</f>
        <v>KLH</v>
      </c>
    </row>
    <row r="1554" customHeight="1" spans="1:12">
      <c r="A1554" s="1076" t="str">
        <f>IFERROR(__xludf.DUMMYFUNCTION("""COMPUTED_VALUE"""),"XB1-MPC-039")</f>
        <v>XB1-MPC-039</v>
      </c>
      <c r="B1554" s="1075" t="str">
        <f>IFERROR(__xludf.DUMMYFUNCTION("""COMPUTED_VALUE"""),"Máy phát cỏ 2 thì")</f>
        <v>Máy phát cỏ 2 thì</v>
      </c>
      <c r="C1554" s="1076" t="str">
        <f>IFERROR(__xludf.DUMMYFUNCTION("""COMPUTED_VALUE"""),"XN Bò AD")</f>
        <v>XN Bò AD</v>
      </c>
      <c r="D1554" s="1076" t="str">
        <f>IFERROR(__xludf.DUMMYFUNCTION("""COMPUTED_VALUE"""),"NAGATA")</f>
        <v>NAGATA</v>
      </c>
      <c r="E1554" s="1076" t="str">
        <f>IFERROR(__xludf.DUMMYFUNCTION("""COMPUTED_VALUE"""),"TRUNG QUỐC")</f>
        <v>TRUNG QUỐC</v>
      </c>
      <c r="F1554" s="1076"/>
      <c r="G1554" s="1076" t="str">
        <f>IFERROR(__xludf.DUMMYFUNCTION("""COMPUTED_VALUE"""),"CG411")</f>
        <v>CG411</v>
      </c>
      <c r="H1554" s="1076" t="str">
        <f>IFERROR(__xludf.DUMMYFUNCTION("""COMPUTED_VALUE"""),"1.8HP")</f>
        <v>1.8HP</v>
      </c>
      <c r="I1554" s="1076"/>
      <c r="J1554" s="1076"/>
      <c r="K1554" s="1076">
        <f>IFERROR(__xludf.DUMMYFUNCTION("""COMPUTED_VALUE"""),1)</f>
        <v>1</v>
      </c>
      <c r="L1554" s="1076" t="str">
        <f>IFERROR(__xludf.DUMMYFUNCTION("""COMPUTED_VALUE"""),"KLH")</f>
        <v>KLH</v>
      </c>
    </row>
    <row r="1555" customHeight="1" spans="1:12">
      <c r="A1555" s="1076" t="str">
        <f>IFERROR(__xludf.DUMMYFUNCTION("""COMPUTED_VALUE"""),"XB1-MPC-040")</f>
        <v>XB1-MPC-040</v>
      </c>
      <c r="B1555" s="1075" t="str">
        <f>IFERROR(__xludf.DUMMYFUNCTION("""COMPUTED_VALUE"""),"Máy phát cỏ 2 thì")</f>
        <v>Máy phát cỏ 2 thì</v>
      </c>
      <c r="C1555" s="1076" t="str">
        <f>IFERROR(__xludf.DUMMYFUNCTION("""COMPUTED_VALUE"""),"XN Bò AD")</f>
        <v>XN Bò AD</v>
      </c>
      <c r="D1555" s="1076" t="str">
        <f>IFERROR(__xludf.DUMMYFUNCTION("""COMPUTED_VALUE"""),"NAGATA")</f>
        <v>NAGATA</v>
      </c>
      <c r="E1555" s="1076" t="str">
        <f>IFERROR(__xludf.DUMMYFUNCTION("""COMPUTED_VALUE"""),"TRUNG QUỐC")</f>
        <v>TRUNG QUỐC</v>
      </c>
      <c r="F1555" s="1076"/>
      <c r="G1555" s="1076" t="str">
        <f>IFERROR(__xludf.DUMMYFUNCTION("""COMPUTED_VALUE"""),"CG411")</f>
        <v>CG411</v>
      </c>
      <c r="H1555" s="1076" t="str">
        <f>IFERROR(__xludf.DUMMYFUNCTION("""COMPUTED_VALUE"""),"1.8HP")</f>
        <v>1.8HP</v>
      </c>
      <c r="I1555" s="1076"/>
      <c r="J1555" s="1076"/>
      <c r="K1555" s="1076">
        <f>IFERROR(__xludf.DUMMYFUNCTION("""COMPUTED_VALUE"""),1)</f>
        <v>1</v>
      </c>
      <c r="L1555" s="1076" t="str">
        <f>IFERROR(__xludf.DUMMYFUNCTION("""COMPUTED_VALUE"""),"KLH")</f>
        <v>KLH</v>
      </c>
    </row>
    <row r="1556" customHeight="1" spans="1:12">
      <c r="A1556" s="1076" t="str">
        <f>IFERROR(__xludf.DUMMYFUNCTION("""COMPUTED_VALUE"""),"XB1-MPC-041")</f>
        <v>XB1-MPC-041</v>
      </c>
      <c r="B1556" s="1075" t="str">
        <f>IFERROR(__xludf.DUMMYFUNCTION("""COMPUTED_VALUE"""),"Máy phát cỏ 2 thì")</f>
        <v>Máy phát cỏ 2 thì</v>
      </c>
      <c r="C1556" s="1076" t="str">
        <f>IFERROR(__xludf.DUMMYFUNCTION("""COMPUTED_VALUE"""),"XN Bò AD")</f>
        <v>XN Bò AD</v>
      </c>
      <c r="D1556" s="1076" t="str">
        <f>IFERROR(__xludf.DUMMYFUNCTION("""COMPUTED_VALUE"""),"NAGATA")</f>
        <v>NAGATA</v>
      </c>
      <c r="E1556" s="1076" t="str">
        <f>IFERROR(__xludf.DUMMYFUNCTION("""COMPUTED_VALUE"""),"TRUNG QUỐC")</f>
        <v>TRUNG QUỐC</v>
      </c>
      <c r="F1556" s="1076"/>
      <c r="G1556" s="1076" t="str">
        <f>IFERROR(__xludf.DUMMYFUNCTION("""COMPUTED_VALUE"""),"CG411")</f>
        <v>CG411</v>
      </c>
      <c r="H1556" s="1076" t="str">
        <f>IFERROR(__xludf.DUMMYFUNCTION("""COMPUTED_VALUE"""),"1.8HP")</f>
        <v>1.8HP</v>
      </c>
      <c r="I1556" s="1076"/>
      <c r="J1556" s="1076"/>
      <c r="K1556" s="1076">
        <f>IFERROR(__xludf.DUMMYFUNCTION("""COMPUTED_VALUE"""),1)</f>
        <v>1</v>
      </c>
      <c r="L1556" s="1076" t="str">
        <f>IFERROR(__xludf.DUMMYFUNCTION("""COMPUTED_VALUE"""),"KLH")</f>
        <v>KLH</v>
      </c>
    </row>
    <row r="1557" customHeight="1" spans="1:12">
      <c r="A1557" s="1076" t="str">
        <f>IFERROR(__xludf.DUMMYFUNCTION("""COMPUTED_VALUE"""),"XB1-MPC-042")</f>
        <v>XB1-MPC-042</v>
      </c>
      <c r="B1557" s="1075" t="str">
        <f>IFERROR(__xludf.DUMMYFUNCTION("""COMPUTED_VALUE"""),"Máy phát cỏ 2 thì")</f>
        <v>Máy phát cỏ 2 thì</v>
      </c>
      <c r="C1557" s="1076" t="str">
        <f>IFERROR(__xludf.DUMMYFUNCTION("""COMPUTED_VALUE"""),"XN Bò AD")</f>
        <v>XN Bò AD</v>
      </c>
      <c r="D1557" s="1076" t="str">
        <f>IFERROR(__xludf.DUMMYFUNCTION("""COMPUTED_VALUE"""),"NAGATA")</f>
        <v>NAGATA</v>
      </c>
      <c r="E1557" s="1076" t="str">
        <f>IFERROR(__xludf.DUMMYFUNCTION("""COMPUTED_VALUE"""),"TRUNG QUỐC")</f>
        <v>TRUNG QUỐC</v>
      </c>
      <c r="F1557" s="1076"/>
      <c r="G1557" s="1076" t="str">
        <f>IFERROR(__xludf.DUMMYFUNCTION("""COMPUTED_VALUE"""),"CG411")</f>
        <v>CG411</v>
      </c>
      <c r="H1557" s="1076" t="str">
        <f>IFERROR(__xludf.DUMMYFUNCTION("""COMPUTED_VALUE"""),"1.8HP")</f>
        <v>1.8HP</v>
      </c>
      <c r="I1557" s="1076"/>
      <c r="J1557" s="1076"/>
      <c r="K1557" s="1076">
        <f>IFERROR(__xludf.DUMMYFUNCTION("""COMPUTED_VALUE"""),1)</f>
        <v>1</v>
      </c>
      <c r="L1557" s="1076" t="str">
        <f>IFERROR(__xludf.DUMMYFUNCTION("""COMPUTED_VALUE"""),"KLH")</f>
        <v>KLH</v>
      </c>
    </row>
    <row r="1558" customHeight="1" spans="1:12">
      <c r="A1558" s="1076" t="str">
        <f>IFERROR(__xludf.DUMMYFUNCTION("""COMPUTED_VALUE"""),"XB1-MPC-043")</f>
        <v>XB1-MPC-043</v>
      </c>
      <c r="B1558" s="1075" t="str">
        <f>IFERROR(__xludf.DUMMYFUNCTION("""COMPUTED_VALUE"""),"Máy phát cỏ 2 thì")</f>
        <v>Máy phát cỏ 2 thì</v>
      </c>
      <c r="C1558" s="1076" t="str">
        <f>IFERROR(__xludf.DUMMYFUNCTION("""COMPUTED_VALUE"""),"XN Bò AD")</f>
        <v>XN Bò AD</v>
      </c>
      <c r="D1558" s="1076" t="str">
        <f>IFERROR(__xludf.DUMMYFUNCTION("""COMPUTED_VALUE"""),"NAGATA")</f>
        <v>NAGATA</v>
      </c>
      <c r="E1558" s="1076" t="str">
        <f>IFERROR(__xludf.DUMMYFUNCTION("""COMPUTED_VALUE"""),"TRUNG QUỐC")</f>
        <v>TRUNG QUỐC</v>
      </c>
      <c r="F1558" s="1076"/>
      <c r="G1558" s="1076" t="str">
        <f>IFERROR(__xludf.DUMMYFUNCTION("""COMPUTED_VALUE"""),"CG411")</f>
        <v>CG411</v>
      </c>
      <c r="H1558" s="1076" t="str">
        <f>IFERROR(__xludf.DUMMYFUNCTION("""COMPUTED_VALUE"""),"1.8HP")</f>
        <v>1.8HP</v>
      </c>
      <c r="I1558" s="1076"/>
      <c r="J1558" s="1076"/>
      <c r="K1558" s="1076">
        <f>IFERROR(__xludf.DUMMYFUNCTION("""COMPUTED_VALUE"""),1)</f>
        <v>1</v>
      </c>
      <c r="L1558" s="1076" t="str">
        <f>IFERROR(__xludf.DUMMYFUNCTION("""COMPUTED_VALUE"""),"KLH")</f>
        <v>KLH</v>
      </c>
    </row>
    <row r="1559" customHeight="1" spans="1:12">
      <c r="A1559" s="1076" t="str">
        <f>IFERROR(__xludf.DUMMYFUNCTION("""COMPUTED_VALUE"""),"XB1-MPC-044")</f>
        <v>XB1-MPC-044</v>
      </c>
      <c r="B1559" s="1075" t="str">
        <f>IFERROR(__xludf.DUMMYFUNCTION("""COMPUTED_VALUE"""),"Máy phát cỏ 2 thì")</f>
        <v>Máy phát cỏ 2 thì</v>
      </c>
      <c r="C1559" s="1076" t="str">
        <f>IFERROR(__xludf.DUMMYFUNCTION("""COMPUTED_VALUE"""),"XN Bò AD")</f>
        <v>XN Bò AD</v>
      </c>
      <c r="D1559" s="1076" t="str">
        <f>IFERROR(__xludf.DUMMYFUNCTION("""COMPUTED_VALUE"""),"NAGATA")</f>
        <v>NAGATA</v>
      </c>
      <c r="E1559" s="1076" t="str">
        <f>IFERROR(__xludf.DUMMYFUNCTION("""COMPUTED_VALUE"""),"TRUNG QUỐC")</f>
        <v>TRUNG QUỐC</v>
      </c>
      <c r="F1559" s="1076"/>
      <c r="G1559" s="1076" t="str">
        <f>IFERROR(__xludf.DUMMYFUNCTION("""COMPUTED_VALUE"""),"CG411")</f>
        <v>CG411</v>
      </c>
      <c r="H1559" s="1076" t="str">
        <f>IFERROR(__xludf.DUMMYFUNCTION("""COMPUTED_VALUE"""),"1.8HP")</f>
        <v>1.8HP</v>
      </c>
      <c r="I1559" s="1076"/>
      <c r="J1559" s="1076"/>
      <c r="K1559" s="1076">
        <f>IFERROR(__xludf.DUMMYFUNCTION("""COMPUTED_VALUE"""),1)</f>
        <v>1</v>
      </c>
      <c r="L1559" s="1076" t="str">
        <f>IFERROR(__xludf.DUMMYFUNCTION("""COMPUTED_VALUE"""),"KLH")</f>
        <v>KLH</v>
      </c>
    </row>
    <row r="1560" customHeight="1" spans="1:12">
      <c r="A1560" s="1076" t="str">
        <f>IFERROR(__xludf.DUMMYFUNCTION("""COMPUTED_VALUE"""),"XB1-MPC-045")</f>
        <v>XB1-MPC-045</v>
      </c>
      <c r="B1560" s="1075" t="str">
        <f>IFERROR(__xludf.DUMMYFUNCTION("""COMPUTED_VALUE"""),"Máy phát cỏ 2 thì")</f>
        <v>Máy phát cỏ 2 thì</v>
      </c>
      <c r="C1560" s="1076" t="str">
        <f>IFERROR(__xludf.DUMMYFUNCTION("""COMPUTED_VALUE"""),"XN Bò AD")</f>
        <v>XN Bò AD</v>
      </c>
      <c r="D1560" s="1076" t="str">
        <f>IFERROR(__xludf.DUMMYFUNCTION("""COMPUTED_VALUE"""),"NAGATA")</f>
        <v>NAGATA</v>
      </c>
      <c r="E1560" s="1076" t="str">
        <f>IFERROR(__xludf.DUMMYFUNCTION("""COMPUTED_VALUE"""),"TRUNG QUỐC")</f>
        <v>TRUNG QUỐC</v>
      </c>
      <c r="F1560" s="1076"/>
      <c r="G1560" s="1076" t="str">
        <f>IFERROR(__xludf.DUMMYFUNCTION("""COMPUTED_VALUE"""),"CG411")</f>
        <v>CG411</v>
      </c>
      <c r="H1560" s="1076" t="str">
        <f>IFERROR(__xludf.DUMMYFUNCTION("""COMPUTED_VALUE"""),"1.8HP")</f>
        <v>1.8HP</v>
      </c>
      <c r="I1560" s="1076"/>
      <c r="J1560" s="1076"/>
      <c r="K1560" s="1076">
        <f>IFERROR(__xludf.DUMMYFUNCTION("""COMPUTED_VALUE"""),1)</f>
        <v>1</v>
      </c>
      <c r="L1560" s="1076" t="str">
        <f>IFERROR(__xludf.DUMMYFUNCTION("""COMPUTED_VALUE"""),"KLH")</f>
        <v>KLH</v>
      </c>
    </row>
    <row r="1561" customHeight="1" spans="1:12">
      <c r="A1561" s="1076" t="str">
        <f>IFERROR(__xludf.DUMMYFUNCTION("""COMPUTED_VALUE"""),"XB1-MPC-046")</f>
        <v>XB1-MPC-046</v>
      </c>
      <c r="B1561" s="1075" t="str">
        <f>IFERROR(__xludf.DUMMYFUNCTION("""COMPUTED_VALUE"""),"Máy phát cỏ 2 thì")</f>
        <v>Máy phát cỏ 2 thì</v>
      </c>
      <c r="C1561" s="1076" t="str">
        <f>IFERROR(__xludf.DUMMYFUNCTION("""COMPUTED_VALUE"""),"XN Bò AD")</f>
        <v>XN Bò AD</v>
      </c>
      <c r="D1561" s="1076" t="str">
        <f>IFERROR(__xludf.DUMMYFUNCTION("""COMPUTED_VALUE"""),"NAGATA")</f>
        <v>NAGATA</v>
      </c>
      <c r="E1561" s="1076" t="str">
        <f>IFERROR(__xludf.DUMMYFUNCTION("""COMPUTED_VALUE"""),"TRUNG QUỐC")</f>
        <v>TRUNG QUỐC</v>
      </c>
      <c r="F1561" s="1076"/>
      <c r="G1561" s="1076" t="str">
        <f>IFERROR(__xludf.DUMMYFUNCTION("""COMPUTED_VALUE"""),"CG411")</f>
        <v>CG411</v>
      </c>
      <c r="H1561" s="1076" t="str">
        <f>IFERROR(__xludf.DUMMYFUNCTION("""COMPUTED_VALUE"""),"1.8HP")</f>
        <v>1.8HP</v>
      </c>
      <c r="I1561" s="1076"/>
      <c r="J1561" s="1076"/>
      <c r="K1561" s="1076">
        <f>IFERROR(__xludf.DUMMYFUNCTION("""COMPUTED_VALUE"""),1)</f>
        <v>1</v>
      </c>
      <c r="L1561" s="1076" t="str">
        <f>IFERROR(__xludf.DUMMYFUNCTION("""COMPUTED_VALUE"""),"KLH")</f>
        <v>KLH</v>
      </c>
    </row>
    <row r="1562" customHeight="1" spans="1:12">
      <c r="A1562" s="1076" t="str">
        <f>IFERROR(__xludf.DUMMYFUNCTION("""COMPUTED_VALUE"""),"XB1-MPC-047")</f>
        <v>XB1-MPC-047</v>
      </c>
      <c r="B1562" s="1075" t="str">
        <f>IFERROR(__xludf.DUMMYFUNCTION("""COMPUTED_VALUE"""),"Máy phát cỏ 2 thì")</f>
        <v>Máy phát cỏ 2 thì</v>
      </c>
      <c r="C1562" s="1076" t="str">
        <f>IFERROR(__xludf.DUMMYFUNCTION("""COMPUTED_VALUE"""),"XN Bò AD")</f>
        <v>XN Bò AD</v>
      </c>
      <c r="D1562" s="1076" t="str">
        <f>IFERROR(__xludf.DUMMYFUNCTION("""COMPUTED_VALUE"""),"NAGATA")</f>
        <v>NAGATA</v>
      </c>
      <c r="E1562" s="1076" t="str">
        <f>IFERROR(__xludf.DUMMYFUNCTION("""COMPUTED_VALUE"""),"TRUNG QUỐC")</f>
        <v>TRUNG QUỐC</v>
      </c>
      <c r="F1562" s="1076"/>
      <c r="G1562" s="1076" t="str">
        <f>IFERROR(__xludf.DUMMYFUNCTION("""COMPUTED_VALUE"""),"CG411")</f>
        <v>CG411</v>
      </c>
      <c r="H1562" s="1076" t="str">
        <f>IFERROR(__xludf.DUMMYFUNCTION("""COMPUTED_VALUE"""),"1.8HP")</f>
        <v>1.8HP</v>
      </c>
      <c r="I1562" s="1076"/>
      <c r="J1562" s="1076"/>
      <c r="K1562" s="1076">
        <f>IFERROR(__xludf.DUMMYFUNCTION("""COMPUTED_VALUE"""),1)</f>
        <v>1</v>
      </c>
      <c r="L1562" s="1076" t="str">
        <f>IFERROR(__xludf.DUMMYFUNCTION("""COMPUTED_VALUE"""),"KLH")</f>
        <v>KLH</v>
      </c>
    </row>
    <row r="1563" customHeight="1" spans="1:12">
      <c r="A1563" s="1076" t="str">
        <f>IFERROR(__xludf.DUMMYFUNCTION("""COMPUTED_VALUE"""),"XB1-MPC-048")</f>
        <v>XB1-MPC-048</v>
      </c>
      <c r="B1563" s="1075" t="str">
        <f>IFERROR(__xludf.DUMMYFUNCTION("""COMPUTED_VALUE"""),"Máy phát cỏ 2 thì")</f>
        <v>Máy phát cỏ 2 thì</v>
      </c>
      <c r="C1563" s="1076" t="str">
        <f>IFERROR(__xludf.DUMMYFUNCTION("""COMPUTED_VALUE"""),"XN Bò AD")</f>
        <v>XN Bò AD</v>
      </c>
      <c r="D1563" s="1076" t="str">
        <f>IFERROR(__xludf.DUMMYFUNCTION("""COMPUTED_VALUE"""),"NAGATA")</f>
        <v>NAGATA</v>
      </c>
      <c r="E1563" s="1076" t="str">
        <f>IFERROR(__xludf.DUMMYFUNCTION("""COMPUTED_VALUE"""),"TRUNG QUỐC")</f>
        <v>TRUNG QUỐC</v>
      </c>
      <c r="F1563" s="1076"/>
      <c r="G1563" s="1076" t="str">
        <f>IFERROR(__xludf.DUMMYFUNCTION("""COMPUTED_VALUE"""),"CG411")</f>
        <v>CG411</v>
      </c>
      <c r="H1563" s="1076" t="str">
        <f>IFERROR(__xludf.DUMMYFUNCTION("""COMPUTED_VALUE"""),"1.8HP")</f>
        <v>1.8HP</v>
      </c>
      <c r="I1563" s="1076"/>
      <c r="J1563" s="1076"/>
      <c r="K1563" s="1076">
        <f>IFERROR(__xludf.DUMMYFUNCTION("""COMPUTED_VALUE"""),1)</f>
        <v>1</v>
      </c>
      <c r="L1563" s="1076" t="str">
        <f>IFERROR(__xludf.DUMMYFUNCTION("""COMPUTED_VALUE"""),"KLH")</f>
        <v>KLH</v>
      </c>
    </row>
    <row r="1564" customHeight="1" spans="1:12">
      <c r="A1564" s="1076" t="str">
        <f>IFERROR(__xludf.DUMMYFUNCTION("""COMPUTED_VALUE"""),"XB1-MPC-049")</f>
        <v>XB1-MPC-049</v>
      </c>
      <c r="B1564" s="1075" t="str">
        <f>IFERROR(__xludf.DUMMYFUNCTION("""COMPUTED_VALUE"""),"Máy phát cỏ 2 thì")</f>
        <v>Máy phát cỏ 2 thì</v>
      </c>
      <c r="C1564" s="1076" t="str">
        <f>IFERROR(__xludf.DUMMYFUNCTION("""COMPUTED_VALUE"""),"XN Bò AD")</f>
        <v>XN Bò AD</v>
      </c>
      <c r="D1564" s="1076" t="str">
        <f>IFERROR(__xludf.DUMMYFUNCTION("""COMPUTED_VALUE"""),"NAGATA")</f>
        <v>NAGATA</v>
      </c>
      <c r="E1564" s="1076" t="str">
        <f>IFERROR(__xludf.DUMMYFUNCTION("""COMPUTED_VALUE"""),"TRUNG QUỐC")</f>
        <v>TRUNG QUỐC</v>
      </c>
      <c r="F1564" s="1076"/>
      <c r="G1564" s="1076" t="str">
        <f>IFERROR(__xludf.DUMMYFUNCTION("""COMPUTED_VALUE"""),"CG411")</f>
        <v>CG411</v>
      </c>
      <c r="H1564" s="1076" t="str">
        <f>IFERROR(__xludf.DUMMYFUNCTION("""COMPUTED_VALUE"""),"1.8HP")</f>
        <v>1.8HP</v>
      </c>
      <c r="I1564" s="1076"/>
      <c r="J1564" s="1076"/>
      <c r="K1564" s="1076">
        <f>IFERROR(__xludf.DUMMYFUNCTION("""COMPUTED_VALUE"""),1)</f>
        <v>1</v>
      </c>
      <c r="L1564" s="1076" t="str">
        <f>IFERROR(__xludf.DUMMYFUNCTION("""COMPUTED_VALUE"""),"KLH")</f>
        <v>KLH</v>
      </c>
    </row>
    <row r="1565" customHeight="1" spans="1:12">
      <c r="A1565" s="1076" t="str">
        <f>IFERROR(__xludf.DUMMYFUNCTION("""COMPUTED_VALUE"""),"XB1-MPC-050")</f>
        <v>XB1-MPC-050</v>
      </c>
      <c r="B1565" s="1075" t="str">
        <f>IFERROR(__xludf.DUMMYFUNCTION("""COMPUTED_VALUE"""),"Máy phát cỏ 2 thì")</f>
        <v>Máy phát cỏ 2 thì</v>
      </c>
      <c r="C1565" s="1076" t="str">
        <f>IFERROR(__xludf.DUMMYFUNCTION("""COMPUTED_VALUE"""),"XN Bò AD")</f>
        <v>XN Bò AD</v>
      </c>
      <c r="D1565" s="1076" t="str">
        <f>IFERROR(__xludf.DUMMYFUNCTION("""COMPUTED_VALUE"""),"NAGATA")</f>
        <v>NAGATA</v>
      </c>
      <c r="E1565" s="1076" t="str">
        <f>IFERROR(__xludf.DUMMYFUNCTION("""COMPUTED_VALUE"""),"TRUNG QUỐC")</f>
        <v>TRUNG QUỐC</v>
      </c>
      <c r="F1565" s="1076"/>
      <c r="G1565" s="1076" t="str">
        <f>IFERROR(__xludf.DUMMYFUNCTION("""COMPUTED_VALUE"""),"CG411")</f>
        <v>CG411</v>
      </c>
      <c r="H1565" s="1076" t="str">
        <f>IFERROR(__xludf.DUMMYFUNCTION("""COMPUTED_VALUE"""),"1.8HP")</f>
        <v>1.8HP</v>
      </c>
      <c r="I1565" s="1076"/>
      <c r="J1565" s="1076"/>
      <c r="K1565" s="1076">
        <f>IFERROR(__xludf.DUMMYFUNCTION("""COMPUTED_VALUE"""),1)</f>
        <v>1</v>
      </c>
      <c r="L1565" s="1076" t="str">
        <f>IFERROR(__xludf.DUMMYFUNCTION("""COMPUTED_VALUE"""),"KLH")</f>
        <v>KLH</v>
      </c>
    </row>
    <row r="1566" customHeight="1" spans="1:12">
      <c r="A1566" s="1076" t="str">
        <f>IFERROR(__xludf.DUMMYFUNCTION("""COMPUTED_VALUE"""),"XB1-MPC-051")</f>
        <v>XB1-MPC-051</v>
      </c>
      <c r="B1566" s="1075" t="str">
        <f>IFERROR(__xludf.DUMMYFUNCTION("""COMPUTED_VALUE"""),"Máy phát cỏ 2 thì")</f>
        <v>Máy phát cỏ 2 thì</v>
      </c>
      <c r="C1566" s="1076" t="str">
        <f>IFERROR(__xludf.DUMMYFUNCTION("""COMPUTED_VALUE"""),"XN Bò AD")</f>
        <v>XN Bò AD</v>
      </c>
      <c r="D1566" s="1076" t="str">
        <f>IFERROR(__xludf.DUMMYFUNCTION("""COMPUTED_VALUE"""),"NAGATA")</f>
        <v>NAGATA</v>
      </c>
      <c r="E1566" s="1076" t="str">
        <f>IFERROR(__xludf.DUMMYFUNCTION("""COMPUTED_VALUE"""),"TRUNG QUỐC")</f>
        <v>TRUNG QUỐC</v>
      </c>
      <c r="F1566" s="1076"/>
      <c r="G1566" s="1076" t="str">
        <f>IFERROR(__xludf.DUMMYFUNCTION("""COMPUTED_VALUE"""),"CG411")</f>
        <v>CG411</v>
      </c>
      <c r="H1566" s="1076" t="str">
        <f>IFERROR(__xludf.DUMMYFUNCTION("""COMPUTED_VALUE"""),"1.8HP")</f>
        <v>1.8HP</v>
      </c>
      <c r="I1566" s="1076"/>
      <c r="J1566" s="1076"/>
      <c r="K1566" s="1076">
        <f>IFERROR(__xludf.DUMMYFUNCTION("""COMPUTED_VALUE"""),1)</f>
        <v>1</v>
      </c>
      <c r="L1566" s="1076" t="str">
        <f>IFERROR(__xludf.DUMMYFUNCTION("""COMPUTED_VALUE"""),"KLH")</f>
        <v>KLH</v>
      </c>
    </row>
    <row r="1567" customHeight="1" spans="1:12">
      <c r="A1567" s="1076" t="str">
        <f>IFERROR(__xludf.DUMMYFUNCTION("""COMPUTED_VALUE"""),"XB1-MPC-052")</f>
        <v>XB1-MPC-052</v>
      </c>
      <c r="B1567" s="1075" t="str">
        <f>IFERROR(__xludf.DUMMYFUNCTION("""COMPUTED_VALUE"""),"Máy phát cỏ 2 thì")</f>
        <v>Máy phát cỏ 2 thì</v>
      </c>
      <c r="C1567" s="1076" t="str">
        <f>IFERROR(__xludf.DUMMYFUNCTION("""COMPUTED_VALUE"""),"XN Bò AD")</f>
        <v>XN Bò AD</v>
      </c>
      <c r="D1567" s="1076" t="str">
        <f>IFERROR(__xludf.DUMMYFUNCTION("""COMPUTED_VALUE"""),"NAGATA")</f>
        <v>NAGATA</v>
      </c>
      <c r="E1567" s="1076" t="str">
        <f>IFERROR(__xludf.DUMMYFUNCTION("""COMPUTED_VALUE"""),"TRUNG QUỐC")</f>
        <v>TRUNG QUỐC</v>
      </c>
      <c r="F1567" s="1076"/>
      <c r="G1567" s="1076" t="str">
        <f>IFERROR(__xludf.DUMMYFUNCTION("""COMPUTED_VALUE"""),"CG411")</f>
        <v>CG411</v>
      </c>
      <c r="H1567" s="1076" t="str">
        <f>IFERROR(__xludf.DUMMYFUNCTION("""COMPUTED_VALUE"""),"1.8HP")</f>
        <v>1.8HP</v>
      </c>
      <c r="I1567" s="1076"/>
      <c r="J1567" s="1076"/>
      <c r="K1567" s="1076">
        <f>IFERROR(__xludf.DUMMYFUNCTION("""COMPUTED_VALUE"""),1)</f>
        <v>1</v>
      </c>
      <c r="L1567" s="1076" t="str">
        <f>IFERROR(__xludf.DUMMYFUNCTION("""COMPUTED_VALUE"""),"KLH")</f>
        <v>KLH</v>
      </c>
    </row>
    <row r="1568" customHeight="1" spans="1:12">
      <c r="A1568" s="1076" t="str">
        <f>IFERROR(__xludf.DUMMYFUNCTION("""COMPUTED_VALUE"""),"XB1-MPC-053")</f>
        <v>XB1-MPC-053</v>
      </c>
      <c r="B1568" s="1075" t="str">
        <f>IFERROR(__xludf.DUMMYFUNCTION("""COMPUTED_VALUE"""),"Máy phát cỏ 2 thì")</f>
        <v>Máy phát cỏ 2 thì</v>
      </c>
      <c r="C1568" s="1076" t="str">
        <f>IFERROR(__xludf.DUMMYFUNCTION("""COMPUTED_VALUE"""),"XN Bò AD")</f>
        <v>XN Bò AD</v>
      </c>
      <c r="D1568" s="1076" t="str">
        <f>IFERROR(__xludf.DUMMYFUNCTION("""COMPUTED_VALUE"""),"NAGATA")</f>
        <v>NAGATA</v>
      </c>
      <c r="E1568" s="1076" t="str">
        <f>IFERROR(__xludf.DUMMYFUNCTION("""COMPUTED_VALUE"""),"TRUNG QUỐC")</f>
        <v>TRUNG QUỐC</v>
      </c>
      <c r="F1568" s="1076"/>
      <c r="G1568" s="1076" t="str">
        <f>IFERROR(__xludf.DUMMYFUNCTION("""COMPUTED_VALUE"""),"CG411")</f>
        <v>CG411</v>
      </c>
      <c r="H1568" s="1076" t="str">
        <f>IFERROR(__xludf.DUMMYFUNCTION("""COMPUTED_VALUE"""),"1.8HP")</f>
        <v>1.8HP</v>
      </c>
      <c r="I1568" s="1076"/>
      <c r="J1568" s="1076"/>
      <c r="K1568" s="1076">
        <f>IFERROR(__xludf.DUMMYFUNCTION("""COMPUTED_VALUE"""),1)</f>
        <v>1</v>
      </c>
      <c r="L1568" s="1076" t="str">
        <f>IFERROR(__xludf.DUMMYFUNCTION("""COMPUTED_VALUE"""),"KLH")</f>
        <v>KLH</v>
      </c>
    </row>
    <row r="1569" customHeight="1" spans="1:12">
      <c r="A1569" s="1076" t="str">
        <f>IFERROR(__xludf.DUMMYFUNCTION("""COMPUTED_VALUE"""),"XB1-MPC-054")</f>
        <v>XB1-MPC-054</v>
      </c>
      <c r="B1569" s="1075" t="str">
        <f>IFERROR(__xludf.DUMMYFUNCTION("""COMPUTED_VALUE"""),"Máy phát cỏ 2 thì")</f>
        <v>Máy phát cỏ 2 thì</v>
      </c>
      <c r="C1569" s="1076" t="str">
        <f>IFERROR(__xludf.DUMMYFUNCTION("""COMPUTED_VALUE"""),"XN Bò AD")</f>
        <v>XN Bò AD</v>
      </c>
      <c r="D1569" s="1076" t="str">
        <f>IFERROR(__xludf.DUMMYFUNCTION("""COMPUTED_VALUE"""),"NAGATA")</f>
        <v>NAGATA</v>
      </c>
      <c r="E1569" s="1076" t="str">
        <f>IFERROR(__xludf.DUMMYFUNCTION("""COMPUTED_VALUE"""),"TRUNG QUỐC")</f>
        <v>TRUNG QUỐC</v>
      </c>
      <c r="F1569" s="1076"/>
      <c r="G1569" s="1076" t="str">
        <f>IFERROR(__xludf.DUMMYFUNCTION("""COMPUTED_VALUE"""),"CG411")</f>
        <v>CG411</v>
      </c>
      <c r="H1569" s="1076" t="str">
        <f>IFERROR(__xludf.DUMMYFUNCTION("""COMPUTED_VALUE"""),"1.8HP")</f>
        <v>1.8HP</v>
      </c>
      <c r="I1569" s="1076"/>
      <c r="J1569" s="1076"/>
      <c r="K1569" s="1076">
        <f>IFERROR(__xludf.DUMMYFUNCTION("""COMPUTED_VALUE"""),1)</f>
        <v>1</v>
      </c>
      <c r="L1569" s="1076" t="str">
        <f>IFERROR(__xludf.DUMMYFUNCTION("""COMPUTED_VALUE"""),"KLH")</f>
        <v>KLH</v>
      </c>
    </row>
    <row r="1570" customHeight="1" spans="1:12">
      <c r="A1570" s="1076" t="str">
        <f>IFERROR(__xludf.DUMMYFUNCTION("""COMPUTED_VALUE"""),"XB1-MPC-055")</f>
        <v>XB1-MPC-055</v>
      </c>
      <c r="B1570" s="1075" t="str">
        <f>IFERROR(__xludf.DUMMYFUNCTION("""COMPUTED_VALUE"""),"Máy phát cỏ 2 thì")</f>
        <v>Máy phát cỏ 2 thì</v>
      </c>
      <c r="C1570" s="1076" t="str">
        <f>IFERROR(__xludf.DUMMYFUNCTION("""COMPUTED_VALUE"""),"XN Bò AD")</f>
        <v>XN Bò AD</v>
      </c>
      <c r="D1570" s="1076" t="str">
        <f>IFERROR(__xludf.DUMMYFUNCTION("""COMPUTED_VALUE"""),"NAGATA")</f>
        <v>NAGATA</v>
      </c>
      <c r="E1570" s="1076" t="str">
        <f>IFERROR(__xludf.DUMMYFUNCTION("""COMPUTED_VALUE"""),"TRUNG QUỐC")</f>
        <v>TRUNG QUỐC</v>
      </c>
      <c r="F1570" s="1076"/>
      <c r="G1570" s="1076" t="str">
        <f>IFERROR(__xludf.DUMMYFUNCTION("""COMPUTED_VALUE"""),"CG411")</f>
        <v>CG411</v>
      </c>
      <c r="H1570" s="1076" t="str">
        <f>IFERROR(__xludf.DUMMYFUNCTION("""COMPUTED_VALUE"""),"1.8HP")</f>
        <v>1.8HP</v>
      </c>
      <c r="I1570" s="1076"/>
      <c r="J1570" s="1076"/>
      <c r="K1570" s="1076">
        <f>IFERROR(__xludf.DUMMYFUNCTION("""COMPUTED_VALUE"""),1)</f>
        <v>1</v>
      </c>
      <c r="L1570" s="1076" t="str">
        <f>IFERROR(__xludf.DUMMYFUNCTION("""COMPUTED_VALUE"""),"KLH")</f>
        <v>KLH</v>
      </c>
    </row>
    <row r="1571" customHeight="1" spans="1:12">
      <c r="A1571" s="1076" t="str">
        <f>IFERROR(__xludf.DUMMYFUNCTION("""COMPUTED_VALUE"""),"XB1-MPC-056")</f>
        <v>XB1-MPC-056</v>
      </c>
      <c r="B1571" s="1075" t="str">
        <f>IFERROR(__xludf.DUMMYFUNCTION("""COMPUTED_VALUE"""),"Máy phát cỏ 2 thì")</f>
        <v>Máy phát cỏ 2 thì</v>
      </c>
      <c r="C1571" s="1076" t="str">
        <f>IFERROR(__xludf.DUMMYFUNCTION("""COMPUTED_VALUE"""),"XN Bò AD")</f>
        <v>XN Bò AD</v>
      </c>
      <c r="D1571" s="1076" t="str">
        <f>IFERROR(__xludf.DUMMYFUNCTION("""COMPUTED_VALUE"""),"NAGATA")</f>
        <v>NAGATA</v>
      </c>
      <c r="E1571" s="1076" t="str">
        <f>IFERROR(__xludf.DUMMYFUNCTION("""COMPUTED_VALUE"""),"TRUNG QUỐC")</f>
        <v>TRUNG QUỐC</v>
      </c>
      <c r="F1571" s="1076"/>
      <c r="G1571" s="1076" t="str">
        <f>IFERROR(__xludf.DUMMYFUNCTION("""COMPUTED_VALUE"""),"CG411")</f>
        <v>CG411</v>
      </c>
      <c r="H1571" s="1076" t="str">
        <f>IFERROR(__xludf.DUMMYFUNCTION("""COMPUTED_VALUE"""),"1.8HP")</f>
        <v>1.8HP</v>
      </c>
      <c r="I1571" s="1076"/>
      <c r="J1571" s="1076"/>
      <c r="K1571" s="1076">
        <f>IFERROR(__xludf.DUMMYFUNCTION("""COMPUTED_VALUE"""),1)</f>
        <v>1</v>
      </c>
      <c r="L1571" s="1076" t="str">
        <f>IFERROR(__xludf.DUMMYFUNCTION("""COMPUTED_VALUE"""),"KLH")</f>
        <v>KLH</v>
      </c>
    </row>
    <row r="1572" customHeight="1" spans="1:12">
      <c r="A1572" s="1076" t="str">
        <f>IFERROR(__xludf.DUMMYFUNCTION("""COMPUTED_VALUE"""),"XB1-MPC-057")</f>
        <v>XB1-MPC-057</v>
      </c>
      <c r="B1572" s="1075" t="str">
        <f>IFERROR(__xludf.DUMMYFUNCTION("""COMPUTED_VALUE"""),"Máy phát cỏ 2 thì")</f>
        <v>Máy phát cỏ 2 thì</v>
      </c>
      <c r="C1572" s="1076" t="str">
        <f>IFERROR(__xludf.DUMMYFUNCTION("""COMPUTED_VALUE"""),"XN Bò AD")</f>
        <v>XN Bò AD</v>
      </c>
      <c r="D1572" s="1076" t="str">
        <f>IFERROR(__xludf.DUMMYFUNCTION("""COMPUTED_VALUE"""),"NAGATA")</f>
        <v>NAGATA</v>
      </c>
      <c r="E1572" s="1076" t="str">
        <f>IFERROR(__xludf.DUMMYFUNCTION("""COMPUTED_VALUE"""),"TRUNG QUỐC")</f>
        <v>TRUNG QUỐC</v>
      </c>
      <c r="F1572" s="1076"/>
      <c r="G1572" s="1076" t="str">
        <f>IFERROR(__xludf.DUMMYFUNCTION("""COMPUTED_VALUE"""),"CG411")</f>
        <v>CG411</v>
      </c>
      <c r="H1572" s="1076" t="str">
        <f>IFERROR(__xludf.DUMMYFUNCTION("""COMPUTED_VALUE"""),"1.8HP")</f>
        <v>1.8HP</v>
      </c>
      <c r="I1572" s="1076"/>
      <c r="J1572" s="1076"/>
      <c r="K1572" s="1076">
        <f>IFERROR(__xludf.DUMMYFUNCTION("""COMPUTED_VALUE"""),1)</f>
        <v>1</v>
      </c>
      <c r="L1572" s="1076" t="str">
        <f>IFERROR(__xludf.DUMMYFUNCTION("""COMPUTED_VALUE"""),"KLH")</f>
        <v>KLH</v>
      </c>
    </row>
    <row r="1573" customHeight="1" spans="1:12">
      <c r="A1573" s="1076" t="str">
        <f>IFERROR(__xludf.DUMMYFUNCTION("""COMPUTED_VALUE"""),"XB1-MPC-058")</f>
        <v>XB1-MPC-058</v>
      </c>
      <c r="B1573" s="1075" t="str">
        <f>IFERROR(__xludf.DUMMYFUNCTION("""COMPUTED_VALUE"""),"Máy phát cỏ 2 thì")</f>
        <v>Máy phát cỏ 2 thì</v>
      </c>
      <c r="C1573" s="1076" t="str">
        <f>IFERROR(__xludf.DUMMYFUNCTION("""COMPUTED_VALUE"""),"XN Bò AD")</f>
        <v>XN Bò AD</v>
      </c>
      <c r="D1573" s="1076" t="str">
        <f>IFERROR(__xludf.DUMMYFUNCTION("""COMPUTED_VALUE"""),"NAGATA")</f>
        <v>NAGATA</v>
      </c>
      <c r="E1573" s="1076" t="str">
        <f>IFERROR(__xludf.DUMMYFUNCTION("""COMPUTED_VALUE"""),"TRUNG QUỐC")</f>
        <v>TRUNG QUỐC</v>
      </c>
      <c r="F1573" s="1076"/>
      <c r="G1573" s="1076" t="str">
        <f>IFERROR(__xludf.DUMMYFUNCTION("""COMPUTED_VALUE"""),"CG411")</f>
        <v>CG411</v>
      </c>
      <c r="H1573" s="1076" t="str">
        <f>IFERROR(__xludf.DUMMYFUNCTION("""COMPUTED_VALUE"""),"1.8HP")</f>
        <v>1.8HP</v>
      </c>
      <c r="I1573" s="1076"/>
      <c r="J1573" s="1076"/>
      <c r="K1573" s="1076">
        <f>IFERROR(__xludf.DUMMYFUNCTION("""COMPUTED_VALUE"""),1)</f>
        <v>1</v>
      </c>
      <c r="L1573" s="1076" t="str">
        <f>IFERROR(__xludf.DUMMYFUNCTION("""COMPUTED_VALUE"""),"KLH")</f>
        <v>KLH</v>
      </c>
    </row>
    <row r="1574" customHeight="1" spans="1:12">
      <c r="A1574" s="1076" t="str">
        <f>IFERROR(__xludf.DUMMYFUNCTION("""COMPUTED_VALUE"""),"XB1-MPC-059")</f>
        <v>XB1-MPC-059</v>
      </c>
      <c r="B1574" s="1075" t="str">
        <f>IFERROR(__xludf.DUMMYFUNCTION("""COMPUTED_VALUE"""),"Máy phát cỏ 2 thì")</f>
        <v>Máy phát cỏ 2 thì</v>
      </c>
      <c r="C1574" s="1076" t="str">
        <f>IFERROR(__xludf.DUMMYFUNCTION("""COMPUTED_VALUE"""),"XN Bò AD")</f>
        <v>XN Bò AD</v>
      </c>
      <c r="D1574" s="1076" t="str">
        <f>IFERROR(__xludf.DUMMYFUNCTION("""COMPUTED_VALUE"""),"NAGATA")</f>
        <v>NAGATA</v>
      </c>
      <c r="E1574" s="1076" t="str">
        <f>IFERROR(__xludf.DUMMYFUNCTION("""COMPUTED_VALUE"""),"TRUNG QUỐC")</f>
        <v>TRUNG QUỐC</v>
      </c>
      <c r="F1574" s="1076"/>
      <c r="G1574" s="1076" t="str">
        <f>IFERROR(__xludf.DUMMYFUNCTION("""COMPUTED_VALUE"""),"CG411")</f>
        <v>CG411</v>
      </c>
      <c r="H1574" s="1076" t="str">
        <f>IFERROR(__xludf.DUMMYFUNCTION("""COMPUTED_VALUE"""),"1.8HP")</f>
        <v>1.8HP</v>
      </c>
      <c r="I1574" s="1076"/>
      <c r="J1574" s="1076"/>
      <c r="K1574" s="1076">
        <f>IFERROR(__xludf.DUMMYFUNCTION("""COMPUTED_VALUE"""),1)</f>
        <v>1</v>
      </c>
      <c r="L1574" s="1076" t="str">
        <f>IFERROR(__xludf.DUMMYFUNCTION("""COMPUTED_VALUE"""),"KLH")</f>
        <v>KLH</v>
      </c>
    </row>
    <row r="1575" customHeight="1" spans="1:12">
      <c r="A1575" s="1076" t="str">
        <f>IFERROR(__xludf.DUMMYFUNCTION("""COMPUTED_VALUE"""),"XB1-MPC-060")</f>
        <v>XB1-MPC-060</v>
      </c>
      <c r="B1575" s="1075" t="str">
        <f>IFERROR(__xludf.DUMMYFUNCTION("""COMPUTED_VALUE"""),"Máy phát cỏ 2 thì")</f>
        <v>Máy phát cỏ 2 thì</v>
      </c>
      <c r="C1575" s="1076" t="str">
        <f>IFERROR(__xludf.DUMMYFUNCTION("""COMPUTED_VALUE"""),"XN Bò AD")</f>
        <v>XN Bò AD</v>
      </c>
      <c r="D1575" s="1076" t="str">
        <f>IFERROR(__xludf.DUMMYFUNCTION("""COMPUTED_VALUE"""),"NAGATA")</f>
        <v>NAGATA</v>
      </c>
      <c r="E1575" s="1076" t="str">
        <f>IFERROR(__xludf.DUMMYFUNCTION("""COMPUTED_VALUE"""),"TRUNG QUỐC")</f>
        <v>TRUNG QUỐC</v>
      </c>
      <c r="F1575" s="1076"/>
      <c r="G1575" s="1076" t="str">
        <f>IFERROR(__xludf.DUMMYFUNCTION("""COMPUTED_VALUE"""),"CG411")</f>
        <v>CG411</v>
      </c>
      <c r="H1575" s="1076" t="str">
        <f>IFERROR(__xludf.DUMMYFUNCTION("""COMPUTED_VALUE"""),"1.8HP")</f>
        <v>1.8HP</v>
      </c>
      <c r="I1575" s="1076"/>
      <c r="J1575" s="1076"/>
      <c r="K1575" s="1076">
        <f>IFERROR(__xludf.DUMMYFUNCTION("""COMPUTED_VALUE"""),1)</f>
        <v>1</v>
      </c>
      <c r="L1575" s="1076" t="str">
        <f>IFERROR(__xludf.DUMMYFUNCTION("""COMPUTED_VALUE"""),"KLH")</f>
        <v>KLH</v>
      </c>
    </row>
    <row r="1576" customHeight="1" spans="1:12">
      <c r="A1576" s="1076" t="str">
        <f>IFERROR(__xludf.DUMMYFUNCTION("""COMPUTED_VALUE"""),"XB1-MPC-061")</f>
        <v>XB1-MPC-061</v>
      </c>
      <c r="B1576" s="1075" t="str">
        <f>IFERROR(__xludf.DUMMYFUNCTION("""COMPUTED_VALUE"""),"Máy phát cỏ 2 thì")</f>
        <v>Máy phát cỏ 2 thì</v>
      </c>
      <c r="C1576" s="1076" t="str">
        <f>IFERROR(__xludf.DUMMYFUNCTION("""COMPUTED_VALUE"""),"XN Bò AD")</f>
        <v>XN Bò AD</v>
      </c>
      <c r="D1576" s="1076" t="str">
        <f>IFERROR(__xludf.DUMMYFUNCTION("""COMPUTED_VALUE"""),"NAGATA")</f>
        <v>NAGATA</v>
      </c>
      <c r="E1576" s="1076" t="str">
        <f>IFERROR(__xludf.DUMMYFUNCTION("""COMPUTED_VALUE"""),"TRUNG QUỐC")</f>
        <v>TRUNG QUỐC</v>
      </c>
      <c r="F1576" s="1076"/>
      <c r="G1576" s="1076" t="str">
        <f>IFERROR(__xludf.DUMMYFUNCTION("""COMPUTED_VALUE"""),"CG411")</f>
        <v>CG411</v>
      </c>
      <c r="H1576" s="1076" t="str">
        <f>IFERROR(__xludf.DUMMYFUNCTION("""COMPUTED_VALUE"""),"1.8HP")</f>
        <v>1.8HP</v>
      </c>
      <c r="I1576" s="1076"/>
      <c r="J1576" s="1076"/>
      <c r="K1576" s="1076">
        <f>IFERROR(__xludf.DUMMYFUNCTION("""COMPUTED_VALUE"""),1)</f>
        <v>1</v>
      </c>
      <c r="L1576" s="1076" t="str">
        <f>IFERROR(__xludf.DUMMYFUNCTION("""COMPUTED_VALUE"""),"KLH")</f>
        <v>KLH</v>
      </c>
    </row>
    <row r="1577" customHeight="1" spans="1:12">
      <c r="A1577" s="1076" t="str">
        <f>IFERROR(__xludf.DUMMYFUNCTION("""COMPUTED_VALUE"""),"XB1-MPC-062")</f>
        <v>XB1-MPC-062</v>
      </c>
      <c r="B1577" s="1075" t="str">
        <f>IFERROR(__xludf.DUMMYFUNCTION("""COMPUTED_VALUE"""),"Máy phát cỏ 2 thì")</f>
        <v>Máy phát cỏ 2 thì</v>
      </c>
      <c r="C1577" s="1076" t="str">
        <f>IFERROR(__xludf.DUMMYFUNCTION("""COMPUTED_VALUE"""),"XN Bò AD")</f>
        <v>XN Bò AD</v>
      </c>
      <c r="D1577" s="1076" t="str">
        <f>IFERROR(__xludf.DUMMYFUNCTION("""COMPUTED_VALUE"""),"NAGATA")</f>
        <v>NAGATA</v>
      </c>
      <c r="E1577" s="1076" t="str">
        <f>IFERROR(__xludf.DUMMYFUNCTION("""COMPUTED_VALUE"""),"TRUNG QUỐC")</f>
        <v>TRUNG QUỐC</v>
      </c>
      <c r="F1577" s="1076"/>
      <c r="G1577" s="1076" t="str">
        <f>IFERROR(__xludf.DUMMYFUNCTION("""COMPUTED_VALUE"""),"CG411")</f>
        <v>CG411</v>
      </c>
      <c r="H1577" s="1076" t="str">
        <f>IFERROR(__xludf.DUMMYFUNCTION("""COMPUTED_VALUE"""),"1.8HP")</f>
        <v>1.8HP</v>
      </c>
      <c r="I1577" s="1076"/>
      <c r="J1577" s="1076"/>
      <c r="K1577" s="1076">
        <f>IFERROR(__xludf.DUMMYFUNCTION("""COMPUTED_VALUE"""),1)</f>
        <v>1</v>
      </c>
      <c r="L1577" s="1076" t="str">
        <f>IFERROR(__xludf.DUMMYFUNCTION("""COMPUTED_VALUE"""),"KLH")</f>
        <v>KLH</v>
      </c>
    </row>
    <row r="1578" customHeight="1" spans="1:12">
      <c r="A1578" s="1076" t="str">
        <f>IFERROR(__xludf.DUMMYFUNCTION("""COMPUTED_VALUE"""),"XB1-MPC-063")</f>
        <v>XB1-MPC-063</v>
      </c>
      <c r="B1578" s="1075" t="str">
        <f>IFERROR(__xludf.DUMMYFUNCTION("""COMPUTED_VALUE"""),"Máy phát cỏ 2 thì")</f>
        <v>Máy phát cỏ 2 thì</v>
      </c>
      <c r="C1578" s="1076" t="str">
        <f>IFERROR(__xludf.DUMMYFUNCTION("""COMPUTED_VALUE"""),"XN Bò AD")</f>
        <v>XN Bò AD</v>
      </c>
      <c r="D1578" s="1076" t="str">
        <f>IFERROR(__xludf.DUMMYFUNCTION("""COMPUTED_VALUE"""),"NAGATA")</f>
        <v>NAGATA</v>
      </c>
      <c r="E1578" s="1076" t="str">
        <f>IFERROR(__xludf.DUMMYFUNCTION("""COMPUTED_VALUE"""),"TRUNG QUỐC")</f>
        <v>TRUNG QUỐC</v>
      </c>
      <c r="F1578" s="1076"/>
      <c r="G1578" s="1076" t="str">
        <f>IFERROR(__xludf.DUMMYFUNCTION("""COMPUTED_VALUE"""),"CG411")</f>
        <v>CG411</v>
      </c>
      <c r="H1578" s="1076" t="str">
        <f>IFERROR(__xludf.DUMMYFUNCTION("""COMPUTED_VALUE"""),"1.8HP")</f>
        <v>1.8HP</v>
      </c>
      <c r="I1578" s="1076"/>
      <c r="J1578" s="1076"/>
      <c r="K1578" s="1076">
        <f>IFERROR(__xludf.DUMMYFUNCTION("""COMPUTED_VALUE"""),1)</f>
        <v>1</v>
      </c>
      <c r="L1578" s="1076" t="str">
        <f>IFERROR(__xludf.DUMMYFUNCTION("""COMPUTED_VALUE"""),"KLH")</f>
        <v>KLH</v>
      </c>
    </row>
    <row r="1579" customHeight="1" spans="1:12">
      <c r="A1579" s="1076" t="str">
        <f>IFERROR(__xludf.DUMMYFUNCTION("""COMPUTED_VALUE"""),"XB1-MPC-064")</f>
        <v>XB1-MPC-064</v>
      </c>
      <c r="B1579" s="1075" t="str">
        <f>IFERROR(__xludf.DUMMYFUNCTION("""COMPUTED_VALUE"""),"Máy phát cỏ 2 thì")</f>
        <v>Máy phát cỏ 2 thì</v>
      </c>
      <c r="C1579" s="1076" t="str">
        <f>IFERROR(__xludf.DUMMYFUNCTION("""COMPUTED_VALUE"""),"XN Bò AD")</f>
        <v>XN Bò AD</v>
      </c>
      <c r="D1579" s="1076" t="str">
        <f>IFERROR(__xludf.DUMMYFUNCTION("""COMPUTED_VALUE"""),"NAGATA")</f>
        <v>NAGATA</v>
      </c>
      <c r="E1579" s="1076" t="str">
        <f>IFERROR(__xludf.DUMMYFUNCTION("""COMPUTED_VALUE"""),"TRUNG QUỐC")</f>
        <v>TRUNG QUỐC</v>
      </c>
      <c r="F1579" s="1076"/>
      <c r="G1579" s="1076" t="str">
        <f>IFERROR(__xludf.DUMMYFUNCTION("""COMPUTED_VALUE"""),"CG411")</f>
        <v>CG411</v>
      </c>
      <c r="H1579" s="1076" t="str">
        <f>IFERROR(__xludf.DUMMYFUNCTION("""COMPUTED_VALUE"""),"1.8HP")</f>
        <v>1.8HP</v>
      </c>
      <c r="I1579" s="1076"/>
      <c r="J1579" s="1076"/>
      <c r="K1579" s="1076">
        <f>IFERROR(__xludf.DUMMYFUNCTION("""COMPUTED_VALUE"""),1)</f>
        <v>1</v>
      </c>
      <c r="L1579" s="1076" t="str">
        <f>IFERROR(__xludf.DUMMYFUNCTION("""COMPUTED_VALUE"""),"KLH")</f>
        <v>KLH</v>
      </c>
    </row>
    <row r="1580" customHeight="1" spans="1:12">
      <c r="A1580" s="1076" t="str">
        <f>IFERROR(__xludf.DUMMYFUNCTION("""COMPUTED_VALUE"""),"XB1-MPC-065")</f>
        <v>XB1-MPC-065</v>
      </c>
      <c r="B1580" s="1075" t="str">
        <f>IFERROR(__xludf.DUMMYFUNCTION("""COMPUTED_VALUE"""),"Máy phát cỏ 2 thì")</f>
        <v>Máy phát cỏ 2 thì</v>
      </c>
      <c r="C1580" s="1076" t="str">
        <f>IFERROR(__xludf.DUMMYFUNCTION("""COMPUTED_VALUE"""),"XN Bò AD")</f>
        <v>XN Bò AD</v>
      </c>
      <c r="D1580" s="1076" t="str">
        <f>IFERROR(__xludf.DUMMYFUNCTION("""COMPUTED_VALUE"""),"NAGATA")</f>
        <v>NAGATA</v>
      </c>
      <c r="E1580" s="1076" t="str">
        <f>IFERROR(__xludf.DUMMYFUNCTION("""COMPUTED_VALUE"""),"TRUNG QUỐC")</f>
        <v>TRUNG QUỐC</v>
      </c>
      <c r="F1580" s="1076"/>
      <c r="G1580" s="1076" t="str">
        <f>IFERROR(__xludf.DUMMYFUNCTION("""COMPUTED_VALUE"""),"CG411")</f>
        <v>CG411</v>
      </c>
      <c r="H1580" s="1076" t="str">
        <f>IFERROR(__xludf.DUMMYFUNCTION("""COMPUTED_VALUE"""),"1.8HP")</f>
        <v>1.8HP</v>
      </c>
      <c r="I1580" s="1076"/>
      <c r="J1580" s="1076"/>
      <c r="K1580" s="1076">
        <f>IFERROR(__xludf.DUMMYFUNCTION("""COMPUTED_VALUE"""),1)</f>
        <v>1</v>
      </c>
      <c r="L1580" s="1076" t="str">
        <f>IFERROR(__xludf.DUMMYFUNCTION("""COMPUTED_VALUE"""),"KLH")</f>
        <v>KLH</v>
      </c>
    </row>
    <row r="1581" customHeight="1" spans="1:12">
      <c r="A1581" s="1076" t="str">
        <f>IFERROR(__xludf.DUMMYFUNCTION("""COMPUTED_VALUE"""),"XB1-MPC-066")</f>
        <v>XB1-MPC-066</v>
      </c>
      <c r="B1581" s="1075" t="str">
        <f>IFERROR(__xludf.DUMMYFUNCTION("""COMPUTED_VALUE"""),"Máy phát cỏ 2 thì")</f>
        <v>Máy phát cỏ 2 thì</v>
      </c>
      <c r="C1581" s="1076" t="str">
        <f>IFERROR(__xludf.DUMMYFUNCTION("""COMPUTED_VALUE"""),"XN Bò AD")</f>
        <v>XN Bò AD</v>
      </c>
      <c r="D1581" s="1076" t="str">
        <f>IFERROR(__xludf.DUMMYFUNCTION("""COMPUTED_VALUE"""),"NAGATA")</f>
        <v>NAGATA</v>
      </c>
      <c r="E1581" s="1076" t="str">
        <f>IFERROR(__xludf.DUMMYFUNCTION("""COMPUTED_VALUE"""),"TRUNG QUỐC")</f>
        <v>TRUNG QUỐC</v>
      </c>
      <c r="F1581" s="1076"/>
      <c r="G1581" s="1076" t="str">
        <f>IFERROR(__xludf.DUMMYFUNCTION("""COMPUTED_VALUE"""),"CG411")</f>
        <v>CG411</v>
      </c>
      <c r="H1581" s="1076" t="str">
        <f>IFERROR(__xludf.DUMMYFUNCTION("""COMPUTED_VALUE"""),"1.8HP")</f>
        <v>1.8HP</v>
      </c>
      <c r="I1581" s="1076"/>
      <c r="J1581" s="1076"/>
      <c r="K1581" s="1076">
        <f>IFERROR(__xludf.DUMMYFUNCTION("""COMPUTED_VALUE"""),1)</f>
        <v>1</v>
      </c>
      <c r="L1581" s="1076" t="str">
        <f>IFERROR(__xludf.DUMMYFUNCTION("""COMPUTED_VALUE"""),"KLH")</f>
        <v>KLH</v>
      </c>
    </row>
    <row r="1582" customHeight="1" spans="1:12">
      <c r="A1582" s="1076" t="str">
        <f>IFERROR(__xludf.DUMMYFUNCTION("""COMPUTED_VALUE"""),"XB1-MPC-067")</f>
        <v>XB1-MPC-067</v>
      </c>
      <c r="B1582" s="1075" t="str">
        <f>IFERROR(__xludf.DUMMYFUNCTION("""COMPUTED_VALUE"""),"Máy phát cỏ 2 thì")</f>
        <v>Máy phát cỏ 2 thì</v>
      </c>
      <c r="C1582" s="1076" t="str">
        <f>IFERROR(__xludf.DUMMYFUNCTION("""COMPUTED_VALUE"""),"XN Bò AD")</f>
        <v>XN Bò AD</v>
      </c>
      <c r="D1582" s="1076" t="str">
        <f>IFERROR(__xludf.DUMMYFUNCTION("""COMPUTED_VALUE"""),"NAGATA")</f>
        <v>NAGATA</v>
      </c>
      <c r="E1582" s="1076" t="str">
        <f>IFERROR(__xludf.DUMMYFUNCTION("""COMPUTED_VALUE"""),"TRUNG QUỐC")</f>
        <v>TRUNG QUỐC</v>
      </c>
      <c r="F1582" s="1076"/>
      <c r="G1582" s="1076" t="str">
        <f>IFERROR(__xludf.DUMMYFUNCTION("""COMPUTED_VALUE"""),"CG411")</f>
        <v>CG411</v>
      </c>
      <c r="H1582" s="1076" t="str">
        <f>IFERROR(__xludf.DUMMYFUNCTION("""COMPUTED_VALUE"""),"1.8HP")</f>
        <v>1.8HP</v>
      </c>
      <c r="I1582" s="1076"/>
      <c r="J1582" s="1076"/>
      <c r="K1582" s="1076">
        <f>IFERROR(__xludf.DUMMYFUNCTION("""COMPUTED_VALUE"""),1)</f>
        <v>1</v>
      </c>
      <c r="L1582" s="1076" t="str">
        <f>IFERROR(__xludf.DUMMYFUNCTION("""COMPUTED_VALUE"""),"KLH")</f>
        <v>KLH</v>
      </c>
    </row>
    <row r="1583" customHeight="1" spans="1:12">
      <c r="A1583" s="1076" t="str">
        <f>IFERROR(__xludf.DUMMYFUNCTION("""COMPUTED_VALUE"""),"XB1-MPC-068")</f>
        <v>XB1-MPC-068</v>
      </c>
      <c r="B1583" s="1075" t="str">
        <f>IFERROR(__xludf.DUMMYFUNCTION("""COMPUTED_VALUE"""),"Máy phát cỏ 2 thì")</f>
        <v>Máy phát cỏ 2 thì</v>
      </c>
      <c r="C1583" s="1076" t="str">
        <f>IFERROR(__xludf.DUMMYFUNCTION("""COMPUTED_VALUE"""),"XN Bò AD")</f>
        <v>XN Bò AD</v>
      </c>
      <c r="D1583" s="1076" t="str">
        <f>IFERROR(__xludf.DUMMYFUNCTION("""COMPUTED_VALUE"""),"NAGATA")</f>
        <v>NAGATA</v>
      </c>
      <c r="E1583" s="1076" t="str">
        <f>IFERROR(__xludf.DUMMYFUNCTION("""COMPUTED_VALUE"""),"TRUNG QUỐC")</f>
        <v>TRUNG QUỐC</v>
      </c>
      <c r="F1583" s="1076"/>
      <c r="G1583" s="1076" t="str">
        <f>IFERROR(__xludf.DUMMYFUNCTION("""COMPUTED_VALUE"""),"CG411")</f>
        <v>CG411</v>
      </c>
      <c r="H1583" s="1076" t="str">
        <f>IFERROR(__xludf.DUMMYFUNCTION("""COMPUTED_VALUE"""),"1.8HP")</f>
        <v>1.8HP</v>
      </c>
      <c r="I1583" s="1076"/>
      <c r="J1583" s="1076"/>
      <c r="K1583" s="1076">
        <f>IFERROR(__xludf.DUMMYFUNCTION("""COMPUTED_VALUE"""),1)</f>
        <v>1</v>
      </c>
      <c r="L1583" s="1076" t="str">
        <f>IFERROR(__xludf.DUMMYFUNCTION("""COMPUTED_VALUE"""),"KLH")</f>
        <v>KLH</v>
      </c>
    </row>
    <row r="1584" customHeight="1" spans="1:12">
      <c r="A1584" s="1076" t="str">
        <f>IFERROR(__xludf.DUMMYFUNCTION("""COMPUTED_VALUE"""),"XB1-MPC-069")</f>
        <v>XB1-MPC-069</v>
      </c>
      <c r="B1584" s="1075" t="str">
        <f>IFERROR(__xludf.DUMMYFUNCTION("""COMPUTED_VALUE"""),"Máy phát cỏ 2 thì")</f>
        <v>Máy phát cỏ 2 thì</v>
      </c>
      <c r="C1584" s="1076" t="str">
        <f>IFERROR(__xludf.DUMMYFUNCTION("""COMPUTED_VALUE"""),"XN Bò AD")</f>
        <v>XN Bò AD</v>
      </c>
      <c r="D1584" s="1076" t="str">
        <f>IFERROR(__xludf.DUMMYFUNCTION("""COMPUTED_VALUE"""),"NAGATA")</f>
        <v>NAGATA</v>
      </c>
      <c r="E1584" s="1076" t="str">
        <f>IFERROR(__xludf.DUMMYFUNCTION("""COMPUTED_VALUE"""),"TRUNG QUỐC")</f>
        <v>TRUNG QUỐC</v>
      </c>
      <c r="F1584" s="1076"/>
      <c r="G1584" s="1076" t="str">
        <f>IFERROR(__xludf.DUMMYFUNCTION("""COMPUTED_VALUE"""),"CG411")</f>
        <v>CG411</v>
      </c>
      <c r="H1584" s="1076" t="str">
        <f>IFERROR(__xludf.DUMMYFUNCTION("""COMPUTED_VALUE"""),"1.8HP")</f>
        <v>1.8HP</v>
      </c>
      <c r="I1584" s="1076"/>
      <c r="J1584" s="1076"/>
      <c r="K1584" s="1076">
        <f>IFERROR(__xludf.DUMMYFUNCTION("""COMPUTED_VALUE"""),1)</f>
        <v>1</v>
      </c>
      <c r="L1584" s="1076" t="str">
        <f>IFERROR(__xludf.DUMMYFUNCTION("""COMPUTED_VALUE"""),"KLH")</f>
        <v>KLH</v>
      </c>
    </row>
    <row r="1585" customHeight="1" spans="1:12">
      <c r="A1585" s="1076" t="str">
        <f>IFERROR(__xludf.DUMMYFUNCTION("""COMPUTED_VALUE"""),"XB1-MPC-070")</f>
        <v>XB1-MPC-070</v>
      </c>
      <c r="B1585" s="1075" t="str">
        <f>IFERROR(__xludf.DUMMYFUNCTION("""COMPUTED_VALUE"""),"Máy phát cỏ 2 thì")</f>
        <v>Máy phát cỏ 2 thì</v>
      </c>
      <c r="C1585" s="1076" t="str">
        <f>IFERROR(__xludf.DUMMYFUNCTION("""COMPUTED_VALUE"""),"XN Bò AD")</f>
        <v>XN Bò AD</v>
      </c>
      <c r="D1585" s="1076" t="str">
        <f>IFERROR(__xludf.DUMMYFUNCTION("""COMPUTED_VALUE"""),"NAGATA")</f>
        <v>NAGATA</v>
      </c>
      <c r="E1585" s="1076" t="str">
        <f>IFERROR(__xludf.DUMMYFUNCTION("""COMPUTED_VALUE"""),"TRUNG QUỐC")</f>
        <v>TRUNG QUỐC</v>
      </c>
      <c r="F1585" s="1076"/>
      <c r="G1585" s="1076" t="str">
        <f>IFERROR(__xludf.DUMMYFUNCTION("""COMPUTED_VALUE"""),"CG411")</f>
        <v>CG411</v>
      </c>
      <c r="H1585" s="1076" t="str">
        <f>IFERROR(__xludf.DUMMYFUNCTION("""COMPUTED_VALUE"""),"1.8HP")</f>
        <v>1.8HP</v>
      </c>
      <c r="I1585" s="1076"/>
      <c r="J1585" s="1076"/>
      <c r="K1585" s="1076">
        <f>IFERROR(__xludf.DUMMYFUNCTION("""COMPUTED_VALUE"""),1)</f>
        <v>1</v>
      </c>
      <c r="L1585" s="1076" t="str">
        <f>IFERROR(__xludf.DUMMYFUNCTION("""COMPUTED_VALUE"""),"KLH")</f>
        <v>KLH</v>
      </c>
    </row>
    <row r="1586" customHeight="1" spans="1:12">
      <c r="A1586" s="1076" t="str">
        <f>IFERROR(__xludf.DUMMYFUNCTION("""COMPUTED_VALUE"""),"XB1-MPC-071")</f>
        <v>XB1-MPC-071</v>
      </c>
      <c r="B1586" s="1075" t="str">
        <f>IFERROR(__xludf.DUMMYFUNCTION("""COMPUTED_VALUE"""),"Máy phát cỏ 2 thì")</f>
        <v>Máy phát cỏ 2 thì</v>
      </c>
      <c r="C1586" s="1076" t="str">
        <f>IFERROR(__xludf.DUMMYFUNCTION("""COMPUTED_VALUE"""),"XN Bò AD")</f>
        <v>XN Bò AD</v>
      </c>
      <c r="D1586" s="1076" t="str">
        <f>IFERROR(__xludf.DUMMYFUNCTION("""COMPUTED_VALUE"""),"NAGATA")</f>
        <v>NAGATA</v>
      </c>
      <c r="E1586" s="1076" t="str">
        <f>IFERROR(__xludf.DUMMYFUNCTION("""COMPUTED_VALUE"""),"TRUNG QUỐC")</f>
        <v>TRUNG QUỐC</v>
      </c>
      <c r="F1586" s="1076"/>
      <c r="G1586" s="1076" t="str">
        <f>IFERROR(__xludf.DUMMYFUNCTION("""COMPUTED_VALUE"""),"CG411")</f>
        <v>CG411</v>
      </c>
      <c r="H1586" s="1076" t="str">
        <f>IFERROR(__xludf.DUMMYFUNCTION("""COMPUTED_VALUE"""),"1.8HP")</f>
        <v>1.8HP</v>
      </c>
      <c r="I1586" s="1076"/>
      <c r="J1586" s="1076"/>
      <c r="K1586" s="1076">
        <f>IFERROR(__xludf.DUMMYFUNCTION("""COMPUTED_VALUE"""),1)</f>
        <v>1</v>
      </c>
      <c r="L1586" s="1076" t="str">
        <f>IFERROR(__xludf.DUMMYFUNCTION("""COMPUTED_VALUE"""),"KLH")</f>
        <v>KLH</v>
      </c>
    </row>
    <row r="1587" customHeight="1" spans="1:12">
      <c r="A1587" s="1076" t="str">
        <f>IFERROR(__xludf.DUMMYFUNCTION("""COMPUTED_VALUE"""),"XB1-MPC-072")</f>
        <v>XB1-MPC-072</v>
      </c>
      <c r="B1587" s="1075" t="str">
        <f>IFERROR(__xludf.DUMMYFUNCTION("""COMPUTED_VALUE"""),"Máy phát cỏ 2 thì")</f>
        <v>Máy phát cỏ 2 thì</v>
      </c>
      <c r="C1587" s="1076" t="str">
        <f>IFERROR(__xludf.DUMMYFUNCTION("""COMPUTED_VALUE"""),"XN Bò AD")</f>
        <v>XN Bò AD</v>
      </c>
      <c r="D1587" s="1076" t="str">
        <f>IFERROR(__xludf.DUMMYFUNCTION("""COMPUTED_VALUE"""),"NAGATA")</f>
        <v>NAGATA</v>
      </c>
      <c r="E1587" s="1076" t="str">
        <f>IFERROR(__xludf.DUMMYFUNCTION("""COMPUTED_VALUE"""),"TRUNG QUỐC")</f>
        <v>TRUNG QUỐC</v>
      </c>
      <c r="F1587" s="1076"/>
      <c r="G1587" s="1076" t="str">
        <f>IFERROR(__xludf.DUMMYFUNCTION("""COMPUTED_VALUE"""),"CG411")</f>
        <v>CG411</v>
      </c>
      <c r="H1587" s="1076" t="str">
        <f>IFERROR(__xludf.DUMMYFUNCTION("""COMPUTED_VALUE"""),"1.8HP")</f>
        <v>1.8HP</v>
      </c>
      <c r="I1587" s="1076"/>
      <c r="J1587" s="1076"/>
      <c r="K1587" s="1076">
        <f>IFERROR(__xludf.DUMMYFUNCTION("""COMPUTED_VALUE"""),1)</f>
        <v>1</v>
      </c>
      <c r="L1587" s="1076" t="str">
        <f>IFERROR(__xludf.DUMMYFUNCTION("""COMPUTED_VALUE"""),"KLH")</f>
        <v>KLH</v>
      </c>
    </row>
    <row r="1588" customHeight="1" spans="1:12">
      <c r="A1588" s="1076" t="str">
        <f>IFERROR(__xludf.DUMMYFUNCTION("""COMPUTED_VALUE"""),"XB1-MPC-073")</f>
        <v>XB1-MPC-073</v>
      </c>
      <c r="B1588" s="1075" t="str">
        <f>IFERROR(__xludf.DUMMYFUNCTION("""COMPUTED_VALUE"""),"Máy phát cỏ 2 thì")</f>
        <v>Máy phát cỏ 2 thì</v>
      </c>
      <c r="C1588" s="1076" t="str">
        <f>IFERROR(__xludf.DUMMYFUNCTION("""COMPUTED_VALUE"""),"XN Bò AD")</f>
        <v>XN Bò AD</v>
      </c>
      <c r="D1588" s="1076" t="str">
        <f>IFERROR(__xludf.DUMMYFUNCTION("""COMPUTED_VALUE"""),"NAGATA")</f>
        <v>NAGATA</v>
      </c>
      <c r="E1588" s="1076" t="str">
        <f>IFERROR(__xludf.DUMMYFUNCTION("""COMPUTED_VALUE"""),"TRUNG QUỐC")</f>
        <v>TRUNG QUỐC</v>
      </c>
      <c r="F1588" s="1076"/>
      <c r="G1588" s="1076" t="str">
        <f>IFERROR(__xludf.DUMMYFUNCTION("""COMPUTED_VALUE"""),"CG411")</f>
        <v>CG411</v>
      </c>
      <c r="H1588" s="1076" t="str">
        <f>IFERROR(__xludf.DUMMYFUNCTION("""COMPUTED_VALUE"""),"1.8HP")</f>
        <v>1.8HP</v>
      </c>
      <c r="I1588" s="1076"/>
      <c r="J1588" s="1076"/>
      <c r="K1588" s="1076">
        <f>IFERROR(__xludf.DUMMYFUNCTION("""COMPUTED_VALUE"""),1)</f>
        <v>1</v>
      </c>
      <c r="L1588" s="1076" t="str">
        <f>IFERROR(__xludf.DUMMYFUNCTION("""COMPUTED_VALUE"""),"KLH")</f>
        <v>KLH</v>
      </c>
    </row>
    <row r="1589" customHeight="1" spans="1:12">
      <c r="A1589" s="1076" t="str">
        <f>IFERROR(__xludf.DUMMYFUNCTION("""COMPUTED_VALUE"""),"XB1-MPC-074")</f>
        <v>XB1-MPC-074</v>
      </c>
      <c r="B1589" s="1075" t="str">
        <f>IFERROR(__xludf.DUMMYFUNCTION("""COMPUTED_VALUE"""),"Máy phát cỏ 2 thì")</f>
        <v>Máy phát cỏ 2 thì</v>
      </c>
      <c r="C1589" s="1076" t="str">
        <f>IFERROR(__xludf.DUMMYFUNCTION("""COMPUTED_VALUE"""),"XN Bò AD")</f>
        <v>XN Bò AD</v>
      </c>
      <c r="D1589" s="1076" t="str">
        <f>IFERROR(__xludf.DUMMYFUNCTION("""COMPUTED_VALUE"""),"NAGATA")</f>
        <v>NAGATA</v>
      </c>
      <c r="E1589" s="1076" t="str">
        <f>IFERROR(__xludf.DUMMYFUNCTION("""COMPUTED_VALUE"""),"TRUNG QUỐC")</f>
        <v>TRUNG QUỐC</v>
      </c>
      <c r="F1589" s="1076"/>
      <c r="G1589" s="1076" t="str">
        <f>IFERROR(__xludf.DUMMYFUNCTION("""COMPUTED_VALUE"""),"CG411")</f>
        <v>CG411</v>
      </c>
      <c r="H1589" s="1076" t="str">
        <f>IFERROR(__xludf.DUMMYFUNCTION("""COMPUTED_VALUE"""),"1.8HP")</f>
        <v>1.8HP</v>
      </c>
      <c r="I1589" s="1076"/>
      <c r="J1589" s="1076"/>
      <c r="K1589" s="1076">
        <f>IFERROR(__xludf.DUMMYFUNCTION("""COMPUTED_VALUE"""),1)</f>
        <v>1</v>
      </c>
      <c r="L1589" s="1076" t="str">
        <f>IFERROR(__xludf.DUMMYFUNCTION("""COMPUTED_VALUE"""),"KLH")</f>
        <v>KLH</v>
      </c>
    </row>
    <row r="1590" customHeight="1" spans="1:12">
      <c r="A1590" s="1076" t="str">
        <f>IFERROR(__xludf.DUMMYFUNCTION("""COMPUTED_VALUE"""),"XB1-MPC-075")</f>
        <v>XB1-MPC-075</v>
      </c>
      <c r="B1590" s="1075" t="str">
        <f>IFERROR(__xludf.DUMMYFUNCTION("""COMPUTED_VALUE"""),"Máy phát cỏ 2 thì")</f>
        <v>Máy phát cỏ 2 thì</v>
      </c>
      <c r="C1590" s="1076" t="str">
        <f>IFERROR(__xludf.DUMMYFUNCTION("""COMPUTED_VALUE"""),"XN Bò AD")</f>
        <v>XN Bò AD</v>
      </c>
      <c r="D1590" s="1076" t="str">
        <f>IFERROR(__xludf.DUMMYFUNCTION("""COMPUTED_VALUE"""),"NAGATA")</f>
        <v>NAGATA</v>
      </c>
      <c r="E1590" s="1076" t="str">
        <f>IFERROR(__xludf.DUMMYFUNCTION("""COMPUTED_VALUE"""),"TRUNG QUỐC")</f>
        <v>TRUNG QUỐC</v>
      </c>
      <c r="F1590" s="1076"/>
      <c r="G1590" s="1076" t="str">
        <f>IFERROR(__xludf.DUMMYFUNCTION("""COMPUTED_VALUE"""),"CG411")</f>
        <v>CG411</v>
      </c>
      <c r="H1590" s="1076" t="str">
        <f>IFERROR(__xludf.DUMMYFUNCTION("""COMPUTED_VALUE"""),"1.8HP")</f>
        <v>1.8HP</v>
      </c>
      <c r="I1590" s="1076"/>
      <c r="J1590" s="1076"/>
      <c r="K1590" s="1076">
        <f>IFERROR(__xludf.DUMMYFUNCTION("""COMPUTED_VALUE"""),1)</f>
        <v>1</v>
      </c>
      <c r="L1590" s="1076" t="str">
        <f>IFERROR(__xludf.DUMMYFUNCTION("""COMPUTED_VALUE"""),"KLH")</f>
        <v>KLH</v>
      </c>
    </row>
    <row r="1591" customHeight="1" spans="1:12">
      <c r="A1591" s="1076" t="str">
        <f>IFERROR(__xludf.DUMMYFUNCTION("""COMPUTED_VALUE"""),"XB1-MPC-076")</f>
        <v>XB1-MPC-076</v>
      </c>
      <c r="B1591" s="1075" t="str">
        <f>IFERROR(__xludf.DUMMYFUNCTION("""COMPUTED_VALUE"""),"Máy phát cỏ 2 thì")</f>
        <v>Máy phát cỏ 2 thì</v>
      </c>
      <c r="C1591" s="1076" t="str">
        <f>IFERROR(__xludf.DUMMYFUNCTION("""COMPUTED_VALUE"""),"XN Bò AD")</f>
        <v>XN Bò AD</v>
      </c>
      <c r="D1591" s="1076" t="str">
        <f>IFERROR(__xludf.DUMMYFUNCTION("""COMPUTED_VALUE"""),"NAGATA")</f>
        <v>NAGATA</v>
      </c>
      <c r="E1591" s="1076" t="str">
        <f>IFERROR(__xludf.DUMMYFUNCTION("""COMPUTED_VALUE"""),"TRUNG QUỐC")</f>
        <v>TRUNG QUỐC</v>
      </c>
      <c r="F1591" s="1076"/>
      <c r="G1591" s="1076" t="str">
        <f>IFERROR(__xludf.DUMMYFUNCTION("""COMPUTED_VALUE"""),"CG411")</f>
        <v>CG411</v>
      </c>
      <c r="H1591" s="1076" t="str">
        <f>IFERROR(__xludf.DUMMYFUNCTION("""COMPUTED_VALUE"""),"1.8HP")</f>
        <v>1.8HP</v>
      </c>
      <c r="I1591" s="1076"/>
      <c r="J1591" s="1076"/>
      <c r="K1591" s="1076">
        <f>IFERROR(__xludf.DUMMYFUNCTION("""COMPUTED_VALUE"""),1)</f>
        <v>1</v>
      </c>
      <c r="L1591" s="1076" t="str">
        <f>IFERROR(__xludf.DUMMYFUNCTION("""COMPUTED_VALUE"""),"KLH")</f>
        <v>KLH</v>
      </c>
    </row>
    <row r="1592" customHeight="1" spans="1:12">
      <c r="A1592" s="1076" t="str">
        <f>IFERROR(__xludf.DUMMYFUNCTION("""COMPUTED_VALUE"""),"XB1-MPC-077")</f>
        <v>XB1-MPC-077</v>
      </c>
      <c r="B1592" s="1075" t="str">
        <f>IFERROR(__xludf.DUMMYFUNCTION("""COMPUTED_VALUE"""),"Máy phát cỏ 2 thì")</f>
        <v>Máy phát cỏ 2 thì</v>
      </c>
      <c r="C1592" s="1076" t="str">
        <f>IFERROR(__xludf.DUMMYFUNCTION("""COMPUTED_VALUE"""),"XN Bò AD")</f>
        <v>XN Bò AD</v>
      </c>
      <c r="D1592" s="1076" t="str">
        <f>IFERROR(__xludf.DUMMYFUNCTION("""COMPUTED_VALUE"""),"NAGATA")</f>
        <v>NAGATA</v>
      </c>
      <c r="E1592" s="1076" t="str">
        <f>IFERROR(__xludf.DUMMYFUNCTION("""COMPUTED_VALUE"""),"TRUNG QUỐC")</f>
        <v>TRUNG QUỐC</v>
      </c>
      <c r="F1592" s="1076"/>
      <c r="G1592" s="1076" t="str">
        <f>IFERROR(__xludf.DUMMYFUNCTION("""COMPUTED_VALUE"""),"CG411")</f>
        <v>CG411</v>
      </c>
      <c r="H1592" s="1076" t="str">
        <f>IFERROR(__xludf.DUMMYFUNCTION("""COMPUTED_VALUE"""),"1.8HP")</f>
        <v>1.8HP</v>
      </c>
      <c r="I1592" s="1076"/>
      <c r="J1592" s="1076"/>
      <c r="K1592" s="1076">
        <f>IFERROR(__xludf.DUMMYFUNCTION("""COMPUTED_VALUE"""),1)</f>
        <v>1</v>
      </c>
      <c r="L1592" s="1076" t="str">
        <f>IFERROR(__xludf.DUMMYFUNCTION("""COMPUTED_VALUE"""),"KLH")</f>
        <v>KLH</v>
      </c>
    </row>
    <row r="1593" customHeight="1" spans="1:12">
      <c r="A1593" s="1076" t="str">
        <f>IFERROR(__xludf.DUMMYFUNCTION("""COMPUTED_VALUE"""),"XB1-MPC-078")</f>
        <v>XB1-MPC-078</v>
      </c>
      <c r="B1593" s="1075" t="str">
        <f>IFERROR(__xludf.DUMMYFUNCTION("""COMPUTED_VALUE"""),"Máy phát cỏ 2 thì")</f>
        <v>Máy phát cỏ 2 thì</v>
      </c>
      <c r="C1593" s="1076" t="str">
        <f>IFERROR(__xludf.DUMMYFUNCTION("""COMPUTED_VALUE"""),"XN Bò AD")</f>
        <v>XN Bò AD</v>
      </c>
      <c r="D1593" s="1076" t="str">
        <f>IFERROR(__xludf.DUMMYFUNCTION("""COMPUTED_VALUE"""),"NAGATA")</f>
        <v>NAGATA</v>
      </c>
      <c r="E1593" s="1076" t="str">
        <f>IFERROR(__xludf.DUMMYFUNCTION("""COMPUTED_VALUE"""),"TRUNG QUỐC")</f>
        <v>TRUNG QUỐC</v>
      </c>
      <c r="F1593" s="1076"/>
      <c r="G1593" s="1076" t="str">
        <f>IFERROR(__xludf.DUMMYFUNCTION("""COMPUTED_VALUE"""),"CG411")</f>
        <v>CG411</v>
      </c>
      <c r="H1593" s="1076" t="str">
        <f>IFERROR(__xludf.DUMMYFUNCTION("""COMPUTED_VALUE"""),"1.8HP")</f>
        <v>1.8HP</v>
      </c>
      <c r="I1593" s="1076"/>
      <c r="J1593" s="1076"/>
      <c r="K1593" s="1076">
        <f>IFERROR(__xludf.DUMMYFUNCTION("""COMPUTED_VALUE"""),1)</f>
        <v>1</v>
      </c>
      <c r="L1593" s="1076" t="str">
        <f>IFERROR(__xludf.DUMMYFUNCTION("""COMPUTED_VALUE"""),"KLH")</f>
        <v>KLH</v>
      </c>
    </row>
    <row r="1594" customHeight="1" spans="1:12">
      <c r="A1594" s="1076" t="str">
        <f>IFERROR(__xludf.DUMMYFUNCTION("""COMPUTED_VALUE"""),"XB1-MPC-079")</f>
        <v>XB1-MPC-079</v>
      </c>
      <c r="B1594" s="1075" t="str">
        <f>IFERROR(__xludf.DUMMYFUNCTION("""COMPUTED_VALUE"""),"Máy phát cỏ 2 thì")</f>
        <v>Máy phát cỏ 2 thì</v>
      </c>
      <c r="C1594" s="1076" t="str">
        <f>IFERROR(__xludf.DUMMYFUNCTION("""COMPUTED_VALUE"""),"XN Bò AD")</f>
        <v>XN Bò AD</v>
      </c>
      <c r="D1594" s="1076" t="str">
        <f>IFERROR(__xludf.DUMMYFUNCTION("""COMPUTED_VALUE"""),"NAGATA")</f>
        <v>NAGATA</v>
      </c>
      <c r="E1594" s="1076" t="str">
        <f>IFERROR(__xludf.DUMMYFUNCTION("""COMPUTED_VALUE"""),"TRUNG QUỐC")</f>
        <v>TRUNG QUỐC</v>
      </c>
      <c r="F1594" s="1076"/>
      <c r="G1594" s="1076" t="str">
        <f>IFERROR(__xludf.DUMMYFUNCTION("""COMPUTED_VALUE"""),"CG411")</f>
        <v>CG411</v>
      </c>
      <c r="H1594" s="1076" t="str">
        <f>IFERROR(__xludf.DUMMYFUNCTION("""COMPUTED_VALUE"""),"1.8HP")</f>
        <v>1.8HP</v>
      </c>
      <c r="I1594" s="1076"/>
      <c r="J1594" s="1076"/>
      <c r="K1594" s="1076">
        <f>IFERROR(__xludf.DUMMYFUNCTION("""COMPUTED_VALUE"""),1)</f>
        <v>1</v>
      </c>
      <c r="L1594" s="1076" t="str">
        <f>IFERROR(__xludf.DUMMYFUNCTION("""COMPUTED_VALUE"""),"KLH")</f>
        <v>KLH</v>
      </c>
    </row>
    <row r="1595" customHeight="1" spans="1:12">
      <c r="A1595" s="1076" t="str">
        <f>IFERROR(__xludf.DUMMYFUNCTION("""COMPUTED_VALUE"""),"XB1-MPC-080")</f>
        <v>XB1-MPC-080</v>
      </c>
      <c r="B1595" s="1075" t="str">
        <f>IFERROR(__xludf.DUMMYFUNCTION("""COMPUTED_VALUE"""),"Máy phát cỏ 2 thì")</f>
        <v>Máy phát cỏ 2 thì</v>
      </c>
      <c r="C1595" s="1076" t="str">
        <f>IFERROR(__xludf.DUMMYFUNCTION("""COMPUTED_VALUE"""),"XN Bò AD")</f>
        <v>XN Bò AD</v>
      </c>
      <c r="D1595" s="1076" t="str">
        <f>IFERROR(__xludf.DUMMYFUNCTION("""COMPUTED_VALUE"""),"NAGATA")</f>
        <v>NAGATA</v>
      </c>
      <c r="E1595" s="1076" t="str">
        <f>IFERROR(__xludf.DUMMYFUNCTION("""COMPUTED_VALUE"""),"TRUNG QUỐC")</f>
        <v>TRUNG QUỐC</v>
      </c>
      <c r="F1595" s="1076"/>
      <c r="G1595" s="1076" t="str">
        <f>IFERROR(__xludf.DUMMYFUNCTION("""COMPUTED_VALUE"""),"CG411")</f>
        <v>CG411</v>
      </c>
      <c r="H1595" s="1076" t="str">
        <f>IFERROR(__xludf.DUMMYFUNCTION("""COMPUTED_VALUE"""),"1.8HP")</f>
        <v>1.8HP</v>
      </c>
      <c r="I1595" s="1076"/>
      <c r="J1595" s="1076"/>
      <c r="K1595" s="1076">
        <f>IFERROR(__xludf.DUMMYFUNCTION("""COMPUTED_VALUE"""),1)</f>
        <v>1</v>
      </c>
      <c r="L1595" s="1076" t="str">
        <f>IFERROR(__xludf.DUMMYFUNCTION("""COMPUTED_VALUE"""),"KLH")</f>
        <v>KLH</v>
      </c>
    </row>
    <row r="1596" customHeight="1" spans="1:12">
      <c r="A1596" s="1076" t="str">
        <f>IFERROR(__xludf.DUMMYFUNCTION("""COMPUTED_VALUE"""),"XB1-MPC-081")</f>
        <v>XB1-MPC-081</v>
      </c>
      <c r="B1596" s="1075" t="str">
        <f>IFERROR(__xludf.DUMMYFUNCTION("""COMPUTED_VALUE"""),"Máy phát cỏ 4 thì")</f>
        <v>Máy phát cỏ 4 thì</v>
      </c>
      <c r="C1596" s="1076" t="str">
        <f>IFERROR(__xludf.DUMMYFUNCTION("""COMPUTED_VALUE"""),"XN Bò AD")</f>
        <v>XN Bò AD</v>
      </c>
      <c r="D1596" s="1076" t="str">
        <f>IFERROR(__xludf.DUMMYFUNCTION("""COMPUTED_VALUE"""),"HINOTA")</f>
        <v>HINOTA</v>
      </c>
      <c r="E1596" s="1076" t="str">
        <f>IFERROR(__xludf.DUMMYFUNCTION("""COMPUTED_VALUE"""),"Nhật Bản")</f>
        <v>Nhật Bản</v>
      </c>
      <c r="F1596" s="1076"/>
      <c r="G1596" s="1076" t="str">
        <f>IFERROR(__xludf.DUMMYFUNCTION("""COMPUTED_VALUE"""),"CG435")</f>
        <v>CG435</v>
      </c>
      <c r="H1596" s="1076" t="str">
        <f>IFERROR(__xludf.DUMMYFUNCTION("""COMPUTED_VALUE"""),"1.2HP")</f>
        <v>1.2HP</v>
      </c>
      <c r="I1596" s="1076"/>
      <c r="J1596" s="1076"/>
      <c r="K1596" s="1076">
        <f>IFERROR(__xludf.DUMMYFUNCTION("""COMPUTED_VALUE"""),0.5)</f>
        <v>0.5</v>
      </c>
      <c r="L1596" s="1076" t="str">
        <f>IFERROR(__xludf.DUMMYFUNCTION("""COMPUTED_VALUE"""),"KLH")</f>
        <v>KLH</v>
      </c>
    </row>
    <row r="1597" customHeight="1" spans="1:12">
      <c r="A1597" s="1076" t="str">
        <f>IFERROR(__xludf.DUMMYFUNCTION("""COMPUTED_VALUE"""),"XB1-MPC-082")</f>
        <v>XB1-MPC-082</v>
      </c>
      <c r="B1597" s="1075" t="str">
        <f>IFERROR(__xludf.DUMMYFUNCTION("""COMPUTED_VALUE"""),"Máy phát cỏ 4 thì")</f>
        <v>Máy phát cỏ 4 thì</v>
      </c>
      <c r="C1597" s="1076" t="str">
        <f>IFERROR(__xludf.DUMMYFUNCTION("""COMPUTED_VALUE"""),"XN Bò AD")</f>
        <v>XN Bò AD</v>
      </c>
      <c r="D1597" s="1076" t="str">
        <f>IFERROR(__xludf.DUMMYFUNCTION("""COMPUTED_VALUE"""),"HINOTA")</f>
        <v>HINOTA</v>
      </c>
      <c r="E1597" s="1076" t="str">
        <f>IFERROR(__xludf.DUMMYFUNCTION("""COMPUTED_VALUE"""),"Nhật Bản")</f>
        <v>Nhật Bản</v>
      </c>
      <c r="F1597" s="1076"/>
      <c r="G1597" s="1076" t="str">
        <f>IFERROR(__xludf.DUMMYFUNCTION("""COMPUTED_VALUE"""),"CG435")</f>
        <v>CG435</v>
      </c>
      <c r="H1597" s="1076" t="str">
        <f>IFERROR(__xludf.DUMMYFUNCTION("""COMPUTED_VALUE"""),"1.2HP")</f>
        <v>1.2HP</v>
      </c>
      <c r="I1597" s="1076"/>
      <c r="J1597" s="1076"/>
      <c r="K1597" s="1076">
        <f>IFERROR(__xludf.DUMMYFUNCTION("""COMPUTED_VALUE"""),0.5)</f>
        <v>0.5</v>
      </c>
      <c r="L1597" s="1076" t="str">
        <f>IFERROR(__xludf.DUMMYFUNCTION("""COMPUTED_VALUE"""),"KLH")</f>
        <v>KLH</v>
      </c>
    </row>
    <row r="1598" customHeight="1" spans="1:12">
      <c r="A1598" s="1076" t="str">
        <f>IFERROR(__xludf.DUMMYFUNCTION("""COMPUTED_VALUE"""),"XB1-MPC-083")</f>
        <v>XB1-MPC-083</v>
      </c>
      <c r="B1598" s="1075" t="str">
        <f>IFERROR(__xludf.DUMMYFUNCTION("""COMPUTED_VALUE"""),"Máy phát cỏ 4 thì")</f>
        <v>Máy phát cỏ 4 thì</v>
      </c>
      <c r="C1598" s="1076" t="str">
        <f>IFERROR(__xludf.DUMMYFUNCTION("""COMPUTED_VALUE"""),"XN Bò AD")</f>
        <v>XN Bò AD</v>
      </c>
      <c r="D1598" s="1076" t="str">
        <f>IFERROR(__xludf.DUMMYFUNCTION("""COMPUTED_VALUE"""),"HINOTA")</f>
        <v>HINOTA</v>
      </c>
      <c r="E1598" s="1076" t="str">
        <f>IFERROR(__xludf.DUMMYFUNCTION("""COMPUTED_VALUE"""),"Nhật Bản")</f>
        <v>Nhật Bản</v>
      </c>
      <c r="F1598" s="1076"/>
      <c r="G1598" s="1076" t="str">
        <f>IFERROR(__xludf.DUMMYFUNCTION("""COMPUTED_VALUE"""),"CG435")</f>
        <v>CG435</v>
      </c>
      <c r="H1598" s="1076" t="str">
        <f>IFERROR(__xludf.DUMMYFUNCTION("""COMPUTED_VALUE"""),"1.2HP")</f>
        <v>1.2HP</v>
      </c>
      <c r="I1598" s="1076"/>
      <c r="J1598" s="1076"/>
      <c r="K1598" s="1076">
        <f>IFERROR(__xludf.DUMMYFUNCTION("""COMPUTED_VALUE"""),0.5)</f>
        <v>0.5</v>
      </c>
      <c r="L1598" s="1076" t="str">
        <f>IFERROR(__xludf.DUMMYFUNCTION("""COMPUTED_VALUE"""),"KLH")</f>
        <v>KLH</v>
      </c>
    </row>
    <row r="1599" customHeight="1" spans="1:12">
      <c r="A1599" s="1076" t="str">
        <f>IFERROR(__xludf.DUMMYFUNCTION("""COMPUTED_VALUE"""),"XB1-MPC-084")</f>
        <v>XB1-MPC-084</v>
      </c>
      <c r="B1599" s="1075" t="str">
        <f>IFERROR(__xludf.DUMMYFUNCTION("""COMPUTED_VALUE"""),"Máy phát cỏ 4 thì")</f>
        <v>Máy phát cỏ 4 thì</v>
      </c>
      <c r="C1599" s="1076" t="str">
        <f>IFERROR(__xludf.DUMMYFUNCTION("""COMPUTED_VALUE"""),"XN Bò AD")</f>
        <v>XN Bò AD</v>
      </c>
      <c r="D1599" s="1076" t="str">
        <f>IFERROR(__xludf.DUMMYFUNCTION("""COMPUTED_VALUE"""),"HINOTA")</f>
        <v>HINOTA</v>
      </c>
      <c r="E1599" s="1076" t="str">
        <f>IFERROR(__xludf.DUMMYFUNCTION("""COMPUTED_VALUE"""),"Nhật Bản")</f>
        <v>Nhật Bản</v>
      </c>
      <c r="F1599" s="1076"/>
      <c r="G1599" s="1076" t="str">
        <f>IFERROR(__xludf.DUMMYFUNCTION("""COMPUTED_VALUE"""),"CG435")</f>
        <v>CG435</v>
      </c>
      <c r="H1599" s="1076" t="str">
        <f>IFERROR(__xludf.DUMMYFUNCTION("""COMPUTED_VALUE"""),"1.2HP")</f>
        <v>1.2HP</v>
      </c>
      <c r="I1599" s="1076"/>
      <c r="J1599" s="1076"/>
      <c r="K1599" s="1076">
        <f>IFERROR(__xludf.DUMMYFUNCTION("""COMPUTED_VALUE"""),0.5)</f>
        <v>0.5</v>
      </c>
      <c r="L1599" s="1076" t="str">
        <f>IFERROR(__xludf.DUMMYFUNCTION("""COMPUTED_VALUE"""),"KLH")</f>
        <v>KLH</v>
      </c>
    </row>
    <row r="1600" customHeight="1" spans="1:12">
      <c r="A1600" s="1076" t="str">
        <f>IFERROR(__xludf.DUMMYFUNCTION("""COMPUTED_VALUE"""),"XB1-MPC-085")</f>
        <v>XB1-MPC-085</v>
      </c>
      <c r="B1600" s="1075" t="str">
        <f>IFERROR(__xludf.DUMMYFUNCTION("""COMPUTED_VALUE"""),"Máy phát cỏ 2 thì")</f>
        <v>Máy phát cỏ 2 thì</v>
      </c>
      <c r="C1600" s="1076" t="str">
        <f>IFERROR(__xludf.DUMMYFUNCTION("""COMPUTED_VALUE"""),"XN Bò AD")</f>
        <v>XN Bò AD</v>
      </c>
      <c r="D1600" s="1076" t="str">
        <f>IFERROR(__xludf.DUMMYFUNCTION("""COMPUTED_VALUE"""),"WASAKI")</f>
        <v>WASAKI</v>
      </c>
      <c r="E1600" s="1076" t="str">
        <f>IFERROR(__xludf.DUMMYFUNCTION("""COMPUTED_VALUE"""),"Nhật Bản")</f>
        <v>Nhật Bản</v>
      </c>
      <c r="F1600" s="1076"/>
      <c r="G1600" s="1076" t="str">
        <f>IFERROR(__xludf.DUMMYFUNCTION("""COMPUTED_VALUE"""),"RBC411")</f>
        <v>RBC411</v>
      </c>
      <c r="H1600" s="1076" t="str">
        <f>IFERROR(__xludf.DUMMYFUNCTION("""COMPUTED_VALUE"""),"1.9HP")</f>
        <v>1.9HP</v>
      </c>
      <c r="I1600" s="1076"/>
      <c r="J1600" s="1076"/>
      <c r="K1600" s="1076">
        <f>IFERROR(__xludf.DUMMYFUNCTION("""COMPUTED_VALUE"""),1)</f>
        <v>1</v>
      </c>
      <c r="L1600" s="1076" t="str">
        <f>IFERROR(__xludf.DUMMYFUNCTION("""COMPUTED_VALUE"""),"KLH")</f>
        <v>KLH</v>
      </c>
    </row>
    <row r="1601" customHeight="1" spans="1:12">
      <c r="A1601" s="1076" t="str">
        <f>IFERROR(__xludf.DUMMYFUNCTION("""COMPUTED_VALUE"""),"XB1-MPC-086")</f>
        <v>XB1-MPC-086</v>
      </c>
      <c r="B1601" s="1075" t="str">
        <f>IFERROR(__xludf.DUMMYFUNCTION("""COMPUTED_VALUE"""),"Máy phát cỏ 2 thì")</f>
        <v>Máy phát cỏ 2 thì</v>
      </c>
      <c r="C1601" s="1076" t="str">
        <f>IFERROR(__xludf.DUMMYFUNCTION("""COMPUTED_VALUE"""),"XN Bò AD")</f>
        <v>XN Bò AD</v>
      </c>
      <c r="D1601" s="1076" t="str">
        <f>IFERROR(__xludf.DUMMYFUNCTION("""COMPUTED_VALUE"""),"WASAKI")</f>
        <v>WASAKI</v>
      </c>
      <c r="E1601" s="1076" t="str">
        <f>IFERROR(__xludf.DUMMYFUNCTION("""COMPUTED_VALUE"""),"Nhật Bản")</f>
        <v>Nhật Bản</v>
      </c>
      <c r="F1601" s="1076"/>
      <c r="G1601" s="1076" t="str">
        <f>IFERROR(__xludf.DUMMYFUNCTION("""COMPUTED_VALUE"""),"RBC411")</f>
        <v>RBC411</v>
      </c>
      <c r="H1601" s="1076" t="str">
        <f>IFERROR(__xludf.DUMMYFUNCTION("""COMPUTED_VALUE"""),"1.9HP")</f>
        <v>1.9HP</v>
      </c>
      <c r="I1601" s="1076"/>
      <c r="J1601" s="1076"/>
      <c r="K1601" s="1076">
        <f>IFERROR(__xludf.DUMMYFUNCTION("""COMPUTED_VALUE"""),1)</f>
        <v>1</v>
      </c>
      <c r="L1601" s="1076" t="str">
        <f>IFERROR(__xludf.DUMMYFUNCTION("""COMPUTED_VALUE"""),"KLH")</f>
        <v>KLH</v>
      </c>
    </row>
    <row r="1602" customHeight="1" spans="1:12">
      <c r="A1602" s="1076" t="str">
        <f>IFERROR(__xludf.DUMMYFUNCTION("""COMPUTED_VALUE"""),"XB1-MPC-087")</f>
        <v>XB1-MPC-087</v>
      </c>
      <c r="B1602" s="1075" t="str">
        <f>IFERROR(__xludf.DUMMYFUNCTION("""COMPUTED_VALUE"""),"Máy phát cỏ 2 thì")</f>
        <v>Máy phát cỏ 2 thì</v>
      </c>
      <c r="C1602" s="1076" t="str">
        <f>IFERROR(__xludf.DUMMYFUNCTION("""COMPUTED_VALUE"""),"XN Bò AD")</f>
        <v>XN Bò AD</v>
      </c>
      <c r="D1602" s="1076" t="str">
        <f>IFERROR(__xludf.DUMMYFUNCTION("""COMPUTED_VALUE"""),"WASAKI")</f>
        <v>WASAKI</v>
      </c>
      <c r="E1602" s="1076" t="str">
        <f>IFERROR(__xludf.DUMMYFUNCTION("""COMPUTED_VALUE"""),"Nhật Bản")</f>
        <v>Nhật Bản</v>
      </c>
      <c r="F1602" s="1076"/>
      <c r="G1602" s="1076" t="str">
        <f>IFERROR(__xludf.DUMMYFUNCTION("""COMPUTED_VALUE"""),"RBC411")</f>
        <v>RBC411</v>
      </c>
      <c r="H1602" s="1076" t="str">
        <f>IFERROR(__xludf.DUMMYFUNCTION("""COMPUTED_VALUE"""),"1.9HP")</f>
        <v>1.9HP</v>
      </c>
      <c r="I1602" s="1076"/>
      <c r="J1602" s="1076"/>
      <c r="K1602" s="1076">
        <f>IFERROR(__xludf.DUMMYFUNCTION("""COMPUTED_VALUE"""),1)</f>
        <v>1</v>
      </c>
      <c r="L1602" s="1076" t="str">
        <f>IFERROR(__xludf.DUMMYFUNCTION("""COMPUTED_VALUE"""),"KLH")</f>
        <v>KLH</v>
      </c>
    </row>
    <row r="1603" customHeight="1" spans="1:12">
      <c r="A1603" s="1076" t="str">
        <f>IFERROR(__xludf.DUMMYFUNCTION("""COMPUTED_VALUE"""),"XB1-MPC-088")</f>
        <v>XB1-MPC-088</v>
      </c>
      <c r="B1603" s="1075" t="str">
        <f>IFERROR(__xludf.DUMMYFUNCTION("""COMPUTED_VALUE"""),"Máy phát cỏ 2 thì")</f>
        <v>Máy phát cỏ 2 thì</v>
      </c>
      <c r="C1603" s="1076" t="str">
        <f>IFERROR(__xludf.DUMMYFUNCTION("""COMPUTED_VALUE"""),"XN Bò AD")</f>
        <v>XN Bò AD</v>
      </c>
      <c r="D1603" s="1076" t="str">
        <f>IFERROR(__xludf.DUMMYFUNCTION("""COMPUTED_VALUE"""),"WASAKI")</f>
        <v>WASAKI</v>
      </c>
      <c r="E1603" s="1076" t="str">
        <f>IFERROR(__xludf.DUMMYFUNCTION("""COMPUTED_VALUE"""),"Nhật Bản")</f>
        <v>Nhật Bản</v>
      </c>
      <c r="F1603" s="1076"/>
      <c r="G1603" s="1076" t="str">
        <f>IFERROR(__xludf.DUMMYFUNCTION("""COMPUTED_VALUE"""),"RBC411")</f>
        <v>RBC411</v>
      </c>
      <c r="H1603" s="1076" t="str">
        <f>IFERROR(__xludf.DUMMYFUNCTION("""COMPUTED_VALUE"""),"1.9HP")</f>
        <v>1.9HP</v>
      </c>
      <c r="I1603" s="1076"/>
      <c r="J1603" s="1076"/>
      <c r="K1603" s="1076">
        <f>IFERROR(__xludf.DUMMYFUNCTION("""COMPUTED_VALUE"""),1)</f>
        <v>1</v>
      </c>
      <c r="L1603" s="1076" t="str">
        <f>IFERROR(__xludf.DUMMYFUNCTION("""COMPUTED_VALUE"""),"KLH")</f>
        <v>KLH</v>
      </c>
    </row>
    <row r="1604" customHeight="1" spans="1:12">
      <c r="A1604" s="1076" t="str">
        <f>IFERROR(__xludf.DUMMYFUNCTION("""COMPUTED_VALUE"""),"XB1-MPC-089")</f>
        <v>XB1-MPC-089</v>
      </c>
      <c r="B1604" s="1075" t="str">
        <f>IFERROR(__xludf.DUMMYFUNCTION("""COMPUTED_VALUE"""),"Máy phát cỏ 2 thì")</f>
        <v>Máy phát cỏ 2 thì</v>
      </c>
      <c r="C1604" s="1076" t="str">
        <f>IFERROR(__xludf.DUMMYFUNCTION("""COMPUTED_VALUE"""),"XN Bò AD")</f>
        <v>XN Bò AD</v>
      </c>
      <c r="D1604" s="1076" t="str">
        <f>IFERROR(__xludf.DUMMYFUNCTION("""COMPUTED_VALUE"""),"WASAKI")</f>
        <v>WASAKI</v>
      </c>
      <c r="E1604" s="1076" t="str">
        <f>IFERROR(__xludf.DUMMYFUNCTION("""COMPUTED_VALUE"""),"Nhật Bản")</f>
        <v>Nhật Bản</v>
      </c>
      <c r="F1604" s="1076"/>
      <c r="G1604" s="1076" t="str">
        <f>IFERROR(__xludf.DUMMYFUNCTION("""COMPUTED_VALUE"""),"RBC411")</f>
        <v>RBC411</v>
      </c>
      <c r="H1604" s="1076" t="str">
        <f>IFERROR(__xludf.DUMMYFUNCTION("""COMPUTED_VALUE"""),"1.9HP")</f>
        <v>1.9HP</v>
      </c>
      <c r="I1604" s="1076"/>
      <c r="J1604" s="1076"/>
      <c r="K1604" s="1076">
        <f>IFERROR(__xludf.DUMMYFUNCTION("""COMPUTED_VALUE"""),1)</f>
        <v>1</v>
      </c>
      <c r="L1604" s="1076" t="str">
        <f>IFERROR(__xludf.DUMMYFUNCTION("""COMPUTED_VALUE"""),"KLH")</f>
        <v>KLH</v>
      </c>
    </row>
    <row r="1605" customHeight="1" spans="1:12">
      <c r="A1605" s="1076" t="str">
        <f>IFERROR(__xludf.DUMMYFUNCTION("""COMPUTED_VALUE"""),"XB1-MPC-090")</f>
        <v>XB1-MPC-090</v>
      </c>
      <c r="B1605" s="1075" t="str">
        <f>IFERROR(__xludf.DUMMYFUNCTION("""COMPUTED_VALUE"""),"Máy phát cỏ 2 thì")</f>
        <v>Máy phát cỏ 2 thì</v>
      </c>
      <c r="C1605" s="1076" t="str">
        <f>IFERROR(__xludf.DUMMYFUNCTION("""COMPUTED_VALUE"""),"XN Bò AD")</f>
        <v>XN Bò AD</v>
      </c>
      <c r="D1605" s="1076" t="str">
        <f>IFERROR(__xludf.DUMMYFUNCTION("""COMPUTED_VALUE"""),"WASAKI")</f>
        <v>WASAKI</v>
      </c>
      <c r="E1605" s="1076" t="str">
        <f>IFERROR(__xludf.DUMMYFUNCTION("""COMPUTED_VALUE"""),"Nhật Bản")</f>
        <v>Nhật Bản</v>
      </c>
      <c r="F1605" s="1076"/>
      <c r="G1605" s="1076" t="str">
        <f>IFERROR(__xludf.DUMMYFUNCTION("""COMPUTED_VALUE"""),"RBC411")</f>
        <v>RBC411</v>
      </c>
      <c r="H1605" s="1076" t="str">
        <f>IFERROR(__xludf.DUMMYFUNCTION("""COMPUTED_VALUE"""),"1.9HP")</f>
        <v>1.9HP</v>
      </c>
      <c r="I1605" s="1076"/>
      <c r="J1605" s="1076"/>
      <c r="K1605" s="1076">
        <f>IFERROR(__xludf.DUMMYFUNCTION("""COMPUTED_VALUE"""),1)</f>
        <v>1</v>
      </c>
      <c r="L1605" s="1076" t="str">
        <f>IFERROR(__xludf.DUMMYFUNCTION("""COMPUTED_VALUE"""),"KLH")</f>
        <v>KLH</v>
      </c>
    </row>
    <row r="1606" customHeight="1" spans="1:12">
      <c r="A1606" s="1076" t="str">
        <f>IFERROR(__xludf.DUMMYFUNCTION("""COMPUTED_VALUE"""),"XB1-MPC-091")</f>
        <v>XB1-MPC-091</v>
      </c>
      <c r="B1606" s="1075" t="str">
        <f>IFERROR(__xludf.DUMMYFUNCTION("""COMPUTED_VALUE"""),"Máy phát cỏ 2 thì")</f>
        <v>Máy phát cỏ 2 thì</v>
      </c>
      <c r="C1606" s="1076" t="str">
        <f>IFERROR(__xludf.DUMMYFUNCTION("""COMPUTED_VALUE"""),"XN Bò AD")</f>
        <v>XN Bò AD</v>
      </c>
      <c r="D1606" s="1076" t="str">
        <f>IFERROR(__xludf.DUMMYFUNCTION("""COMPUTED_VALUE"""),"WASAKI")</f>
        <v>WASAKI</v>
      </c>
      <c r="E1606" s="1076" t="str">
        <f>IFERROR(__xludf.DUMMYFUNCTION("""COMPUTED_VALUE"""),"Nhật Bản")</f>
        <v>Nhật Bản</v>
      </c>
      <c r="F1606" s="1076"/>
      <c r="G1606" s="1076" t="str">
        <f>IFERROR(__xludf.DUMMYFUNCTION("""COMPUTED_VALUE"""),"RBC411")</f>
        <v>RBC411</v>
      </c>
      <c r="H1606" s="1076" t="str">
        <f>IFERROR(__xludf.DUMMYFUNCTION("""COMPUTED_VALUE"""),"1.9HP")</f>
        <v>1.9HP</v>
      </c>
      <c r="I1606" s="1076"/>
      <c r="J1606" s="1076"/>
      <c r="K1606" s="1076">
        <f>IFERROR(__xludf.DUMMYFUNCTION("""COMPUTED_VALUE"""),1)</f>
        <v>1</v>
      </c>
      <c r="L1606" s="1076" t="str">
        <f>IFERROR(__xludf.DUMMYFUNCTION("""COMPUTED_VALUE"""),"KLH")</f>
        <v>KLH</v>
      </c>
    </row>
    <row r="1607" customHeight="1" spans="1:12">
      <c r="A1607" s="1076" t="str">
        <f>IFERROR(__xludf.DUMMYFUNCTION("""COMPUTED_VALUE"""),"XB1-MPC-092")</f>
        <v>XB1-MPC-092</v>
      </c>
      <c r="B1607" s="1075" t="str">
        <f>IFERROR(__xludf.DUMMYFUNCTION("""COMPUTED_VALUE"""),"Máy phát cỏ 2 thì")</f>
        <v>Máy phát cỏ 2 thì</v>
      </c>
      <c r="C1607" s="1076" t="str">
        <f>IFERROR(__xludf.DUMMYFUNCTION("""COMPUTED_VALUE"""),"XN Bò AD")</f>
        <v>XN Bò AD</v>
      </c>
      <c r="D1607" s="1076" t="str">
        <f>IFERROR(__xludf.DUMMYFUNCTION("""COMPUTED_VALUE"""),"WASAKI")</f>
        <v>WASAKI</v>
      </c>
      <c r="E1607" s="1076" t="str">
        <f>IFERROR(__xludf.DUMMYFUNCTION("""COMPUTED_VALUE"""),"Nhật Bản")</f>
        <v>Nhật Bản</v>
      </c>
      <c r="F1607" s="1076"/>
      <c r="G1607" s="1076" t="str">
        <f>IFERROR(__xludf.DUMMYFUNCTION("""COMPUTED_VALUE"""),"RBC411")</f>
        <v>RBC411</v>
      </c>
      <c r="H1607" s="1076" t="str">
        <f>IFERROR(__xludf.DUMMYFUNCTION("""COMPUTED_VALUE"""),"1.9HP")</f>
        <v>1.9HP</v>
      </c>
      <c r="I1607" s="1076"/>
      <c r="J1607" s="1076"/>
      <c r="K1607" s="1076">
        <f>IFERROR(__xludf.DUMMYFUNCTION("""COMPUTED_VALUE"""),1)</f>
        <v>1</v>
      </c>
      <c r="L1607" s="1076" t="str">
        <f>IFERROR(__xludf.DUMMYFUNCTION("""COMPUTED_VALUE"""),"KLH")</f>
        <v>KLH</v>
      </c>
    </row>
    <row r="1608" customHeight="1" spans="1:12">
      <c r="A1608" s="1076" t="str">
        <f>IFERROR(__xludf.DUMMYFUNCTION("""COMPUTED_VALUE"""),"XB1-MPC-093")</f>
        <v>XB1-MPC-093</v>
      </c>
      <c r="B1608" s="1075" t="str">
        <f>IFERROR(__xludf.DUMMYFUNCTION("""COMPUTED_VALUE"""),"Máy phát cỏ 2 thì")</f>
        <v>Máy phát cỏ 2 thì</v>
      </c>
      <c r="C1608" s="1076" t="str">
        <f>IFERROR(__xludf.DUMMYFUNCTION("""COMPUTED_VALUE"""),"XN Bò AD")</f>
        <v>XN Bò AD</v>
      </c>
      <c r="D1608" s="1076" t="str">
        <f>IFERROR(__xludf.DUMMYFUNCTION("""COMPUTED_VALUE"""),"WASAKI")</f>
        <v>WASAKI</v>
      </c>
      <c r="E1608" s="1076" t="str">
        <f>IFERROR(__xludf.DUMMYFUNCTION("""COMPUTED_VALUE"""),"Nhật Bản")</f>
        <v>Nhật Bản</v>
      </c>
      <c r="F1608" s="1076"/>
      <c r="G1608" s="1076" t="str">
        <f>IFERROR(__xludf.DUMMYFUNCTION("""COMPUTED_VALUE"""),"RBC411")</f>
        <v>RBC411</v>
      </c>
      <c r="H1608" s="1076" t="str">
        <f>IFERROR(__xludf.DUMMYFUNCTION("""COMPUTED_VALUE"""),"1.9HP")</f>
        <v>1.9HP</v>
      </c>
      <c r="I1608" s="1076"/>
      <c r="J1608" s="1076"/>
      <c r="K1608" s="1076">
        <f>IFERROR(__xludf.DUMMYFUNCTION("""COMPUTED_VALUE"""),1)</f>
        <v>1</v>
      </c>
      <c r="L1608" s="1076" t="str">
        <f>IFERROR(__xludf.DUMMYFUNCTION("""COMPUTED_VALUE"""),"KLH")</f>
        <v>KLH</v>
      </c>
    </row>
    <row r="1609" customHeight="1" spans="1:12">
      <c r="A1609" s="1076" t="str">
        <f>IFERROR(__xludf.DUMMYFUNCTION("""COMPUTED_VALUE"""),"XB1-MPC-094")</f>
        <v>XB1-MPC-094</v>
      </c>
      <c r="B1609" s="1075" t="str">
        <f>IFERROR(__xludf.DUMMYFUNCTION("""COMPUTED_VALUE"""),"Máy phát cỏ 2 thì")</f>
        <v>Máy phát cỏ 2 thì</v>
      </c>
      <c r="C1609" s="1076" t="str">
        <f>IFERROR(__xludf.DUMMYFUNCTION("""COMPUTED_VALUE"""),"XN Bò AD")</f>
        <v>XN Bò AD</v>
      </c>
      <c r="D1609" s="1076" t="str">
        <f>IFERROR(__xludf.DUMMYFUNCTION("""COMPUTED_VALUE"""),"WASAKI")</f>
        <v>WASAKI</v>
      </c>
      <c r="E1609" s="1076" t="str">
        <f>IFERROR(__xludf.DUMMYFUNCTION("""COMPUTED_VALUE"""),"Nhật Bản")</f>
        <v>Nhật Bản</v>
      </c>
      <c r="F1609" s="1076"/>
      <c r="G1609" s="1076" t="str">
        <f>IFERROR(__xludf.DUMMYFUNCTION("""COMPUTED_VALUE"""),"RBC411")</f>
        <v>RBC411</v>
      </c>
      <c r="H1609" s="1076" t="str">
        <f>IFERROR(__xludf.DUMMYFUNCTION("""COMPUTED_VALUE"""),"1.9HP")</f>
        <v>1.9HP</v>
      </c>
      <c r="I1609" s="1076"/>
      <c r="J1609" s="1076"/>
      <c r="K1609" s="1076">
        <f>IFERROR(__xludf.DUMMYFUNCTION("""COMPUTED_VALUE"""),1)</f>
        <v>1</v>
      </c>
      <c r="L1609" s="1076" t="str">
        <f>IFERROR(__xludf.DUMMYFUNCTION("""COMPUTED_VALUE"""),"KLH")</f>
        <v>KLH</v>
      </c>
    </row>
    <row r="1610" customHeight="1" spans="1:12">
      <c r="A1610" s="1076" t="str">
        <f>IFERROR(__xludf.DUMMYFUNCTION("""COMPUTED_VALUE"""),"XB1-MPC-095")</f>
        <v>XB1-MPC-095</v>
      </c>
      <c r="B1610" s="1075" t="str">
        <f>IFERROR(__xludf.DUMMYFUNCTION("""COMPUTED_VALUE"""),"Máy phát cỏ 2 thì")</f>
        <v>Máy phát cỏ 2 thì</v>
      </c>
      <c r="C1610" s="1076" t="str">
        <f>IFERROR(__xludf.DUMMYFUNCTION("""COMPUTED_VALUE"""),"XN Bò AD")</f>
        <v>XN Bò AD</v>
      </c>
      <c r="D1610" s="1076" t="str">
        <f>IFERROR(__xludf.DUMMYFUNCTION("""COMPUTED_VALUE"""),"WASAKI")</f>
        <v>WASAKI</v>
      </c>
      <c r="E1610" s="1076" t="str">
        <f>IFERROR(__xludf.DUMMYFUNCTION("""COMPUTED_VALUE"""),"Nhật Bản")</f>
        <v>Nhật Bản</v>
      </c>
      <c r="F1610" s="1076"/>
      <c r="G1610" s="1076" t="str">
        <f>IFERROR(__xludf.DUMMYFUNCTION("""COMPUTED_VALUE"""),"RBC411")</f>
        <v>RBC411</v>
      </c>
      <c r="H1610" s="1076" t="str">
        <f>IFERROR(__xludf.DUMMYFUNCTION("""COMPUTED_VALUE"""),"1.9HP")</f>
        <v>1.9HP</v>
      </c>
      <c r="I1610" s="1076"/>
      <c r="J1610" s="1076"/>
      <c r="K1610" s="1076">
        <f>IFERROR(__xludf.DUMMYFUNCTION("""COMPUTED_VALUE"""),1)</f>
        <v>1</v>
      </c>
      <c r="L1610" s="1076" t="str">
        <f>IFERROR(__xludf.DUMMYFUNCTION("""COMPUTED_VALUE"""),"KLH")</f>
        <v>KLH</v>
      </c>
    </row>
    <row r="1611" customHeight="1" spans="1:12">
      <c r="A1611" s="1076" t="str">
        <f>IFERROR(__xludf.DUMMYFUNCTION("""COMPUTED_VALUE"""),"XB1-MPC-096")</f>
        <v>XB1-MPC-096</v>
      </c>
      <c r="B1611" s="1075" t="str">
        <f>IFERROR(__xludf.DUMMYFUNCTION("""COMPUTED_VALUE"""),"Máy phát cỏ 2 thì")</f>
        <v>Máy phát cỏ 2 thì</v>
      </c>
      <c r="C1611" s="1076" t="str">
        <f>IFERROR(__xludf.DUMMYFUNCTION("""COMPUTED_VALUE"""),"XN Bò AD")</f>
        <v>XN Bò AD</v>
      </c>
      <c r="D1611" s="1076" t="str">
        <f>IFERROR(__xludf.DUMMYFUNCTION("""COMPUTED_VALUE"""),"WASAKI")</f>
        <v>WASAKI</v>
      </c>
      <c r="E1611" s="1076" t="str">
        <f>IFERROR(__xludf.DUMMYFUNCTION("""COMPUTED_VALUE"""),"Nhật Bản")</f>
        <v>Nhật Bản</v>
      </c>
      <c r="F1611" s="1076"/>
      <c r="G1611" s="1076" t="str">
        <f>IFERROR(__xludf.DUMMYFUNCTION("""COMPUTED_VALUE"""),"RBC411")</f>
        <v>RBC411</v>
      </c>
      <c r="H1611" s="1076" t="str">
        <f>IFERROR(__xludf.DUMMYFUNCTION("""COMPUTED_VALUE"""),"1.9HP")</f>
        <v>1.9HP</v>
      </c>
      <c r="I1611" s="1076"/>
      <c r="J1611" s="1076"/>
      <c r="K1611" s="1076">
        <f>IFERROR(__xludf.DUMMYFUNCTION("""COMPUTED_VALUE"""),1)</f>
        <v>1</v>
      </c>
      <c r="L1611" s="1076" t="str">
        <f>IFERROR(__xludf.DUMMYFUNCTION("""COMPUTED_VALUE"""),"KLH")</f>
        <v>KLH</v>
      </c>
    </row>
    <row r="1612" customHeight="1" spans="1:12">
      <c r="A1612" s="1076" t="str">
        <f>IFERROR(__xludf.DUMMYFUNCTION("""COMPUTED_VALUE"""),"XB1-MPC-097")</f>
        <v>XB1-MPC-097</v>
      </c>
      <c r="B1612" s="1075" t="str">
        <f>IFERROR(__xludf.DUMMYFUNCTION("""COMPUTED_VALUE"""),"Máy phát cỏ 2 thì")</f>
        <v>Máy phát cỏ 2 thì</v>
      </c>
      <c r="C1612" s="1076" t="str">
        <f>IFERROR(__xludf.DUMMYFUNCTION("""COMPUTED_VALUE"""),"XN Bò AD")</f>
        <v>XN Bò AD</v>
      </c>
      <c r="D1612" s="1076" t="str">
        <f>IFERROR(__xludf.DUMMYFUNCTION("""COMPUTED_VALUE"""),"WASAKI")</f>
        <v>WASAKI</v>
      </c>
      <c r="E1612" s="1076" t="str">
        <f>IFERROR(__xludf.DUMMYFUNCTION("""COMPUTED_VALUE"""),"Nhật Bản")</f>
        <v>Nhật Bản</v>
      </c>
      <c r="F1612" s="1076"/>
      <c r="G1612" s="1076" t="str">
        <f>IFERROR(__xludf.DUMMYFUNCTION("""COMPUTED_VALUE"""),"RBC411")</f>
        <v>RBC411</v>
      </c>
      <c r="H1612" s="1076" t="str">
        <f>IFERROR(__xludf.DUMMYFUNCTION("""COMPUTED_VALUE"""),"1.9HP")</f>
        <v>1.9HP</v>
      </c>
      <c r="I1612" s="1076"/>
      <c r="J1612" s="1076"/>
      <c r="K1612" s="1076">
        <f>IFERROR(__xludf.DUMMYFUNCTION("""COMPUTED_VALUE"""),1)</f>
        <v>1</v>
      </c>
      <c r="L1612" s="1076" t="str">
        <f>IFERROR(__xludf.DUMMYFUNCTION("""COMPUTED_VALUE"""),"KLH")</f>
        <v>KLH</v>
      </c>
    </row>
    <row r="1613" customHeight="1" spans="1:12">
      <c r="A1613" s="1076" t="str">
        <f>IFERROR(__xludf.DUMMYFUNCTION("""COMPUTED_VALUE"""),"XB1-MPC-098")</f>
        <v>XB1-MPC-098</v>
      </c>
      <c r="B1613" s="1075" t="str">
        <f>IFERROR(__xludf.DUMMYFUNCTION("""COMPUTED_VALUE"""),"Máy phát cỏ 2 thì")</f>
        <v>Máy phát cỏ 2 thì</v>
      </c>
      <c r="C1613" s="1076" t="str">
        <f>IFERROR(__xludf.DUMMYFUNCTION("""COMPUTED_VALUE"""),"XN Bò AD")</f>
        <v>XN Bò AD</v>
      </c>
      <c r="D1613" s="1076" t="str">
        <f>IFERROR(__xludf.DUMMYFUNCTION("""COMPUTED_VALUE"""),"WASAKI")</f>
        <v>WASAKI</v>
      </c>
      <c r="E1613" s="1076" t="str">
        <f>IFERROR(__xludf.DUMMYFUNCTION("""COMPUTED_VALUE"""),"Nhật Bản")</f>
        <v>Nhật Bản</v>
      </c>
      <c r="F1613" s="1076"/>
      <c r="G1613" s="1076" t="str">
        <f>IFERROR(__xludf.DUMMYFUNCTION("""COMPUTED_VALUE"""),"RBC411")</f>
        <v>RBC411</v>
      </c>
      <c r="H1613" s="1076" t="str">
        <f>IFERROR(__xludf.DUMMYFUNCTION("""COMPUTED_VALUE"""),"1.9HP")</f>
        <v>1.9HP</v>
      </c>
      <c r="I1613" s="1076"/>
      <c r="J1613" s="1076"/>
      <c r="K1613" s="1076">
        <f>IFERROR(__xludf.DUMMYFUNCTION("""COMPUTED_VALUE"""),1)</f>
        <v>1</v>
      </c>
      <c r="L1613" s="1076" t="str">
        <f>IFERROR(__xludf.DUMMYFUNCTION("""COMPUTED_VALUE"""),"KLH")</f>
        <v>KLH</v>
      </c>
    </row>
    <row r="1614" customHeight="1" spans="1:12">
      <c r="A1614" s="1076" t="str">
        <f>IFERROR(__xludf.DUMMYFUNCTION("""COMPUTED_VALUE"""),"XB1-MPC-099")</f>
        <v>XB1-MPC-099</v>
      </c>
      <c r="B1614" s="1075" t="str">
        <f>IFERROR(__xludf.DUMMYFUNCTION("""COMPUTED_VALUE"""),"Máy phát cỏ 2 thì")</f>
        <v>Máy phát cỏ 2 thì</v>
      </c>
      <c r="C1614" s="1076" t="str">
        <f>IFERROR(__xludf.DUMMYFUNCTION("""COMPUTED_VALUE"""),"XN Bò AD")</f>
        <v>XN Bò AD</v>
      </c>
      <c r="D1614" s="1076" t="str">
        <f>IFERROR(__xludf.DUMMYFUNCTION("""COMPUTED_VALUE"""),"WASAKI")</f>
        <v>WASAKI</v>
      </c>
      <c r="E1614" s="1076" t="str">
        <f>IFERROR(__xludf.DUMMYFUNCTION("""COMPUTED_VALUE"""),"Nhật Bản")</f>
        <v>Nhật Bản</v>
      </c>
      <c r="F1614" s="1076"/>
      <c r="G1614" s="1076" t="str">
        <f>IFERROR(__xludf.DUMMYFUNCTION("""COMPUTED_VALUE"""),"RBC411")</f>
        <v>RBC411</v>
      </c>
      <c r="H1614" s="1076" t="str">
        <f>IFERROR(__xludf.DUMMYFUNCTION("""COMPUTED_VALUE"""),"1.9HP")</f>
        <v>1.9HP</v>
      </c>
      <c r="I1614" s="1076"/>
      <c r="J1614" s="1076"/>
      <c r="K1614" s="1076">
        <f>IFERROR(__xludf.DUMMYFUNCTION("""COMPUTED_VALUE"""),1)</f>
        <v>1</v>
      </c>
      <c r="L1614" s="1076" t="str">
        <f>IFERROR(__xludf.DUMMYFUNCTION("""COMPUTED_VALUE"""),"KLH")</f>
        <v>KLH</v>
      </c>
    </row>
    <row r="1615" customHeight="1" spans="1:12">
      <c r="A1615" s="1076" t="str">
        <f>IFERROR(__xludf.DUMMYFUNCTION("""COMPUTED_VALUE"""),"XB1-MPC-100")</f>
        <v>XB1-MPC-100</v>
      </c>
      <c r="B1615" s="1075" t="str">
        <f>IFERROR(__xludf.DUMMYFUNCTION("""COMPUTED_VALUE"""),"Máy phát cỏ 2 thì")</f>
        <v>Máy phát cỏ 2 thì</v>
      </c>
      <c r="C1615" s="1076" t="str">
        <f>IFERROR(__xludf.DUMMYFUNCTION("""COMPUTED_VALUE"""),"XN Bò AD")</f>
        <v>XN Bò AD</v>
      </c>
      <c r="D1615" s="1076" t="str">
        <f>IFERROR(__xludf.DUMMYFUNCTION("""COMPUTED_VALUE"""),"MARATA")</f>
        <v>MARATA</v>
      </c>
      <c r="E1615" s="1076" t="str">
        <f>IFERROR(__xludf.DUMMYFUNCTION("""COMPUTED_VALUE"""),"TRUNG QUỐC")</f>
        <v>TRUNG QUỐC</v>
      </c>
      <c r="F1615" s="1076"/>
      <c r="G1615" s="1076" t="str">
        <f>IFERROR(__xludf.DUMMYFUNCTION("""COMPUTED_VALUE"""),"CG412")</f>
        <v>CG412</v>
      </c>
      <c r="H1615" s="1076" t="str">
        <f>IFERROR(__xludf.DUMMYFUNCTION("""COMPUTED_VALUE"""),"1.8HP")</f>
        <v>1.8HP</v>
      </c>
      <c r="I1615" s="1076"/>
      <c r="J1615" s="1076"/>
      <c r="K1615" s="1076">
        <f>IFERROR(__xludf.DUMMYFUNCTION("""COMPUTED_VALUE"""),1)</f>
        <v>1</v>
      </c>
      <c r="L1615" s="1076" t="str">
        <f>IFERROR(__xludf.DUMMYFUNCTION("""COMPUTED_VALUE"""),"KLH")</f>
        <v>KLH</v>
      </c>
    </row>
    <row r="1616" customHeight="1" spans="1:12">
      <c r="A1616" s="1076" t="str">
        <f>IFERROR(__xludf.DUMMYFUNCTION("""COMPUTED_VALUE"""),"XB1-MPC-101")</f>
        <v>XB1-MPC-101</v>
      </c>
      <c r="B1616" s="1075" t="str">
        <f>IFERROR(__xludf.DUMMYFUNCTION("""COMPUTED_VALUE"""),"Máy phát cỏ 2 thì")</f>
        <v>Máy phát cỏ 2 thì</v>
      </c>
      <c r="C1616" s="1076" t="str">
        <f>IFERROR(__xludf.DUMMYFUNCTION("""COMPUTED_VALUE"""),"XN Bò AD")</f>
        <v>XN Bò AD</v>
      </c>
      <c r="D1616" s="1076" t="str">
        <f>IFERROR(__xludf.DUMMYFUNCTION("""COMPUTED_VALUE"""),"MARATA")</f>
        <v>MARATA</v>
      </c>
      <c r="E1616" s="1076" t="str">
        <f>IFERROR(__xludf.DUMMYFUNCTION("""COMPUTED_VALUE"""),"TRUNG QUỐC")</f>
        <v>TRUNG QUỐC</v>
      </c>
      <c r="F1616" s="1076"/>
      <c r="G1616" s="1076" t="str">
        <f>IFERROR(__xludf.DUMMYFUNCTION("""COMPUTED_VALUE"""),"CG412")</f>
        <v>CG412</v>
      </c>
      <c r="H1616" s="1076" t="str">
        <f>IFERROR(__xludf.DUMMYFUNCTION("""COMPUTED_VALUE"""),"1.8HP")</f>
        <v>1.8HP</v>
      </c>
      <c r="I1616" s="1076"/>
      <c r="J1616" s="1076"/>
      <c r="K1616" s="1076">
        <f>IFERROR(__xludf.DUMMYFUNCTION("""COMPUTED_VALUE"""),1)</f>
        <v>1</v>
      </c>
      <c r="L1616" s="1076" t="str">
        <f>IFERROR(__xludf.DUMMYFUNCTION("""COMPUTED_VALUE"""),"KLH")</f>
        <v>KLH</v>
      </c>
    </row>
    <row r="1617" customHeight="1" spans="1:12">
      <c r="A1617" s="1076" t="str">
        <f>IFERROR(__xludf.DUMMYFUNCTION("""COMPUTED_VALUE"""),"XB1-MPC-102")</f>
        <v>XB1-MPC-102</v>
      </c>
      <c r="B1617" s="1075" t="str">
        <f>IFERROR(__xludf.DUMMYFUNCTION("""COMPUTED_VALUE"""),"Máy phát cỏ 2 thì")</f>
        <v>Máy phát cỏ 2 thì</v>
      </c>
      <c r="C1617" s="1076" t="str">
        <f>IFERROR(__xludf.DUMMYFUNCTION("""COMPUTED_VALUE"""),"XN Bò AD")</f>
        <v>XN Bò AD</v>
      </c>
      <c r="D1617" s="1076" t="str">
        <f>IFERROR(__xludf.DUMMYFUNCTION("""COMPUTED_VALUE"""),"MARATA")</f>
        <v>MARATA</v>
      </c>
      <c r="E1617" s="1076" t="str">
        <f>IFERROR(__xludf.DUMMYFUNCTION("""COMPUTED_VALUE"""),"TRUNG QUỐC")</f>
        <v>TRUNG QUỐC</v>
      </c>
      <c r="F1617" s="1076"/>
      <c r="G1617" s="1076" t="str">
        <f>IFERROR(__xludf.DUMMYFUNCTION("""COMPUTED_VALUE"""),"CG412")</f>
        <v>CG412</v>
      </c>
      <c r="H1617" s="1076" t="str">
        <f>IFERROR(__xludf.DUMMYFUNCTION("""COMPUTED_VALUE"""),"1.8HP")</f>
        <v>1.8HP</v>
      </c>
      <c r="I1617" s="1076"/>
      <c r="J1617" s="1076"/>
      <c r="K1617" s="1076">
        <f>IFERROR(__xludf.DUMMYFUNCTION("""COMPUTED_VALUE"""),1)</f>
        <v>1</v>
      </c>
      <c r="L1617" s="1076" t="str">
        <f>IFERROR(__xludf.DUMMYFUNCTION("""COMPUTED_VALUE"""),"KLH")</f>
        <v>KLH</v>
      </c>
    </row>
    <row r="1618" customHeight="1" spans="1:12">
      <c r="A1618" s="1076" t="str">
        <f>IFERROR(__xludf.DUMMYFUNCTION("""COMPUTED_VALUE"""),"XB1-MPC-103")</f>
        <v>XB1-MPC-103</v>
      </c>
      <c r="B1618" s="1075" t="str">
        <f>IFERROR(__xludf.DUMMYFUNCTION("""COMPUTED_VALUE"""),"Máy phát cỏ 2 thì")</f>
        <v>Máy phát cỏ 2 thì</v>
      </c>
      <c r="C1618" s="1076" t="str">
        <f>IFERROR(__xludf.DUMMYFUNCTION("""COMPUTED_VALUE"""),"XN Bò AD")</f>
        <v>XN Bò AD</v>
      </c>
      <c r="D1618" s="1076" t="str">
        <f>IFERROR(__xludf.DUMMYFUNCTION("""COMPUTED_VALUE"""),"MARATA")</f>
        <v>MARATA</v>
      </c>
      <c r="E1618" s="1076" t="str">
        <f>IFERROR(__xludf.DUMMYFUNCTION("""COMPUTED_VALUE"""),"TRUNG QUỐC")</f>
        <v>TRUNG QUỐC</v>
      </c>
      <c r="F1618" s="1076"/>
      <c r="G1618" s="1076" t="str">
        <f>IFERROR(__xludf.DUMMYFUNCTION("""COMPUTED_VALUE"""),"CG412")</f>
        <v>CG412</v>
      </c>
      <c r="H1618" s="1076" t="str">
        <f>IFERROR(__xludf.DUMMYFUNCTION("""COMPUTED_VALUE"""),"1.8HP")</f>
        <v>1.8HP</v>
      </c>
      <c r="I1618" s="1076"/>
      <c r="J1618" s="1076"/>
      <c r="K1618" s="1076">
        <f>IFERROR(__xludf.DUMMYFUNCTION("""COMPUTED_VALUE"""),1)</f>
        <v>1</v>
      </c>
      <c r="L1618" s="1076" t="str">
        <f>IFERROR(__xludf.DUMMYFUNCTION("""COMPUTED_VALUE"""),"KLH")</f>
        <v>KLH</v>
      </c>
    </row>
    <row r="1619" customHeight="1" spans="1:12">
      <c r="A1619" s="1076" t="str">
        <f>IFERROR(__xludf.DUMMYFUNCTION("""COMPUTED_VALUE"""),"XB1-MPC-104")</f>
        <v>XB1-MPC-104</v>
      </c>
      <c r="B1619" s="1075" t="str">
        <f>IFERROR(__xludf.DUMMYFUNCTION("""COMPUTED_VALUE"""),"Máy phát cỏ 2 thì")</f>
        <v>Máy phát cỏ 2 thì</v>
      </c>
      <c r="C1619" s="1076" t="str">
        <f>IFERROR(__xludf.DUMMYFUNCTION("""COMPUTED_VALUE"""),"XN Bò AD")</f>
        <v>XN Bò AD</v>
      </c>
      <c r="D1619" s="1076" t="str">
        <f>IFERROR(__xludf.DUMMYFUNCTION("""COMPUTED_VALUE"""),"MARATA")</f>
        <v>MARATA</v>
      </c>
      <c r="E1619" s="1076" t="str">
        <f>IFERROR(__xludf.DUMMYFUNCTION("""COMPUTED_VALUE"""),"TRUNG QUỐC")</f>
        <v>TRUNG QUỐC</v>
      </c>
      <c r="F1619" s="1076"/>
      <c r="G1619" s="1076" t="str">
        <f>IFERROR(__xludf.DUMMYFUNCTION("""COMPUTED_VALUE"""),"CG412")</f>
        <v>CG412</v>
      </c>
      <c r="H1619" s="1076" t="str">
        <f>IFERROR(__xludf.DUMMYFUNCTION("""COMPUTED_VALUE"""),"1.8HP")</f>
        <v>1.8HP</v>
      </c>
      <c r="I1619" s="1076"/>
      <c r="J1619" s="1076"/>
      <c r="K1619" s="1076">
        <f>IFERROR(__xludf.DUMMYFUNCTION("""COMPUTED_VALUE"""),1)</f>
        <v>1</v>
      </c>
      <c r="L1619" s="1076" t="str">
        <f>IFERROR(__xludf.DUMMYFUNCTION("""COMPUTED_VALUE"""),"KLH")</f>
        <v>KLH</v>
      </c>
    </row>
    <row r="1620" customHeight="1" spans="1:12">
      <c r="A1620" s="1076" t="str">
        <f>IFERROR(__xludf.DUMMYFUNCTION("""COMPUTED_VALUE"""),"XB1-MPC-105")</f>
        <v>XB1-MPC-105</v>
      </c>
      <c r="B1620" s="1075" t="str">
        <f>IFERROR(__xludf.DUMMYFUNCTION("""COMPUTED_VALUE"""),"Máy phát cỏ 2 thì")</f>
        <v>Máy phát cỏ 2 thì</v>
      </c>
      <c r="C1620" s="1076" t="str">
        <f>IFERROR(__xludf.DUMMYFUNCTION("""COMPUTED_VALUE"""),"XN Bò AD")</f>
        <v>XN Bò AD</v>
      </c>
      <c r="D1620" s="1076" t="str">
        <f>IFERROR(__xludf.DUMMYFUNCTION("""COMPUTED_VALUE"""),"MARATA")</f>
        <v>MARATA</v>
      </c>
      <c r="E1620" s="1076" t="str">
        <f>IFERROR(__xludf.DUMMYFUNCTION("""COMPUTED_VALUE"""),"TRUNG QUỐC")</f>
        <v>TRUNG QUỐC</v>
      </c>
      <c r="F1620" s="1076"/>
      <c r="G1620" s="1076" t="str">
        <f>IFERROR(__xludf.DUMMYFUNCTION("""COMPUTED_VALUE"""),"CG412")</f>
        <v>CG412</v>
      </c>
      <c r="H1620" s="1076" t="str">
        <f>IFERROR(__xludf.DUMMYFUNCTION("""COMPUTED_VALUE"""),"1.8HP")</f>
        <v>1.8HP</v>
      </c>
      <c r="I1620" s="1076"/>
      <c r="J1620" s="1076"/>
      <c r="K1620" s="1076">
        <f>IFERROR(__xludf.DUMMYFUNCTION("""COMPUTED_VALUE"""),1)</f>
        <v>1</v>
      </c>
      <c r="L1620" s="1076" t="str">
        <f>IFERROR(__xludf.DUMMYFUNCTION("""COMPUTED_VALUE"""),"KLH")</f>
        <v>KLH</v>
      </c>
    </row>
    <row r="1621" customHeight="1" spans="1:12">
      <c r="A1621" s="1076" t="str">
        <f>IFERROR(__xludf.DUMMYFUNCTION("""COMPUTED_VALUE"""),"XB1-MPC-106")</f>
        <v>XB1-MPC-106</v>
      </c>
      <c r="B1621" s="1075" t="str">
        <f>IFERROR(__xludf.DUMMYFUNCTION("""COMPUTED_VALUE"""),"Máy phát cỏ 2 thì")</f>
        <v>Máy phát cỏ 2 thì</v>
      </c>
      <c r="C1621" s="1076" t="str">
        <f>IFERROR(__xludf.DUMMYFUNCTION("""COMPUTED_VALUE"""),"XN Bò AD")</f>
        <v>XN Bò AD</v>
      </c>
      <c r="D1621" s="1076" t="str">
        <f>IFERROR(__xludf.DUMMYFUNCTION("""COMPUTED_VALUE"""),"MARATA")</f>
        <v>MARATA</v>
      </c>
      <c r="E1621" s="1076" t="str">
        <f>IFERROR(__xludf.DUMMYFUNCTION("""COMPUTED_VALUE"""),"TRUNG QUỐC")</f>
        <v>TRUNG QUỐC</v>
      </c>
      <c r="F1621" s="1076"/>
      <c r="G1621" s="1076" t="str">
        <f>IFERROR(__xludf.DUMMYFUNCTION("""COMPUTED_VALUE"""),"CG412")</f>
        <v>CG412</v>
      </c>
      <c r="H1621" s="1076" t="str">
        <f>IFERROR(__xludf.DUMMYFUNCTION("""COMPUTED_VALUE"""),"1.8HP")</f>
        <v>1.8HP</v>
      </c>
      <c r="I1621" s="1076"/>
      <c r="J1621" s="1076"/>
      <c r="K1621" s="1076">
        <f>IFERROR(__xludf.DUMMYFUNCTION("""COMPUTED_VALUE"""),1)</f>
        <v>1</v>
      </c>
      <c r="L1621" s="1076" t="str">
        <f>IFERROR(__xludf.DUMMYFUNCTION("""COMPUTED_VALUE"""),"KLH")</f>
        <v>KLH</v>
      </c>
    </row>
    <row r="1622" customHeight="1" spans="1:12">
      <c r="A1622" s="1076" t="str">
        <f>IFERROR(__xludf.DUMMYFUNCTION("""COMPUTED_VALUE"""),"XB1-MPC-107")</f>
        <v>XB1-MPC-107</v>
      </c>
      <c r="B1622" s="1075" t="str">
        <f>IFERROR(__xludf.DUMMYFUNCTION("""COMPUTED_VALUE"""),"Máy phát cỏ 2 thì")</f>
        <v>Máy phát cỏ 2 thì</v>
      </c>
      <c r="C1622" s="1076" t="str">
        <f>IFERROR(__xludf.DUMMYFUNCTION("""COMPUTED_VALUE"""),"XN Bò AD")</f>
        <v>XN Bò AD</v>
      </c>
      <c r="D1622" s="1076" t="str">
        <f>IFERROR(__xludf.DUMMYFUNCTION("""COMPUTED_VALUE"""),"MARATA")</f>
        <v>MARATA</v>
      </c>
      <c r="E1622" s="1076" t="str">
        <f>IFERROR(__xludf.DUMMYFUNCTION("""COMPUTED_VALUE"""),"TRUNG QUỐC")</f>
        <v>TRUNG QUỐC</v>
      </c>
      <c r="F1622" s="1076"/>
      <c r="G1622" s="1076" t="str">
        <f>IFERROR(__xludf.DUMMYFUNCTION("""COMPUTED_VALUE"""),"CG412")</f>
        <v>CG412</v>
      </c>
      <c r="H1622" s="1076" t="str">
        <f>IFERROR(__xludf.DUMMYFUNCTION("""COMPUTED_VALUE"""),"1.8HP")</f>
        <v>1.8HP</v>
      </c>
      <c r="I1622" s="1076"/>
      <c r="J1622" s="1076"/>
      <c r="K1622" s="1076">
        <f>IFERROR(__xludf.DUMMYFUNCTION("""COMPUTED_VALUE"""),1)</f>
        <v>1</v>
      </c>
      <c r="L1622" s="1076" t="str">
        <f>IFERROR(__xludf.DUMMYFUNCTION("""COMPUTED_VALUE"""),"KLH")</f>
        <v>KLH</v>
      </c>
    </row>
    <row r="1623" customHeight="1" spans="1:12">
      <c r="A1623" s="1076" t="str">
        <f>IFERROR(__xludf.DUMMYFUNCTION("""COMPUTED_VALUE"""),"XB1-MPC-108")</f>
        <v>XB1-MPC-108</v>
      </c>
      <c r="B1623" s="1075" t="str">
        <f>IFERROR(__xludf.DUMMYFUNCTION("""COMPUTED_VALUE"""),"Máy phát cỏ 2 thì")</f>
        <v>Máy phát cỏ 2 thì</v>
      </c>
      <c r="C1623" s="1076" t="str">
        <f>IFERROR(__xludf.DUMMYFUNCTION("""COMPUTED_VALUE"""),"XN Bò AD")</f>
        <v>XN Bò AD</v>
      </c>
      <c r="D1623" s="1076" t="str">
        <f>IFERROR(__xludf.DUMMYFUNCTION("""COMPUTED_VALUE"""),"MARATA")</f>
        <v>MARATA</v>
      </c>
      <c r="E1623" s="1076" t="str">
        <f>IFERROR(__xludf.DUMMYFUNCTION("""COMPUTED_VALUE"""),"TRUNG QUỐC")</f>
        <v>TRUNG QUỐC</v>
      </c>
      <c r="F1623" s="1076"/>
      <c r="G1623" s="1076" t="str">
        <f>IFERROR(__xludf.DUMMYFUNCTION("""COMPUTED_VALUE"""),"CG412")</f>
        <v>CG412</v>
      </c>
      <c r="H1623" s="1076" t="str">
        <f>IFERROR(__xludf.DUMMYFUNCTION("""COMPUTED_VALUE"""),"1.8HP")</f>
        <v>1.8HP</v>
      </c>
      <c r="I1623" s="1076"/>
      <c r="J1623" s="1076"/>
      <c r="K1623" s="1076">
        <f>IFERROR(__xludf.DUMMYFUNCTION("""COMPUTED_VALUE"""),1)</f>
        <v>1</v>
      </c>
      <c r="L1623" s="1076" t="str">
        <f>IFERROR(__xludf.DUMMYFUNCTION("""COMPUTED_VALUE"""),"KLH")</f>
        <v>KLH</v>
      </c>
    </row>
    <row r="1624" customHeight="1" spans="1:12">
      <c r="A1624" s="1076" t="str">
        <f>IFERROR(__xludf.DUMMYFUNCTION("""COMPUTED_VALUE"""),"XB1-MPC-109")</f>
        <v>XB1-MPC-109</v>
      </c>
      <c r="B1624" s="1075" t="str">
        <f>IFERROR(__xludf.DUMMYFUNCTION("""COMPUTED_VALUE"""),"Máy phát cỏ 2 thì")</f>
        <v>Máy phát cỏ 2 thì</v>
      </c>
      <c r="C1624" s="1076" t="str">
        <f>IFERROR(__xludf.DUMMYFUNCTION("""COMPUTED_VALUE"""),"XN Bò AD")</f>
        <v>XN Bò AD</v>
      </c>
      <c r="D1624" s="1076" t="str">
        <f>IFERROR(__xludf.DUMMYFUNCTION("""COMPUTED_VALUE"""),"MARATA")</f>
        <v>MARATA</v>
      </c>
      <c r="E1624" s="1076" t="str">
        <f>IFERROR(__xludf.DUMMYFUNCTION("""COMPUTED_VALUE"""),"TRUNG QUỐC")</f>
        <v>TRUNG QUỐC</v>
      </c>
      <c r="F1624" s="1076"/>
      <c r="G1624" s="1076" t="str">
        <f>IFERROR(__xludf.DUMMYFUNCTION("""COMPUTED_VALUE"""),"CG412")</f>
        <v>CG412</v>
      </c>
      <c r="H1624" s="1076" t="str">
        <f>IFERROR(__xludf.DUMMYFUNCTION("""COMPUTED_VALUE"""),"1.8HP")</f>
        <v>1.8HP</v>
      </c>
      <c r="I1624" s="1076"/>
      <c r="J1624" s="1076"/>
      <c r="K1624" s="1076">
        <f>IFERROR(__xludf.DUMMYFUNCTION("""COMPUTED_VALUE"""),1)</f>
        <v>1</v>
      </c>
      <c r="L1624" s="1076" t="str">
        <f>IFERROR(__xludf.DUMMYFUNCTION("""COMPUTED_VALUE"""),"KLH")</f>
        <v>KLH</v>
      </c>
    </row>
    <row r="1625" customHeight="1" spans="1:12">
      <c r="A1625" s="1076" t="str">
        <f>IFERROR(__xludf.DUMMYFUNCTION("""COMPUTED_VALUE"""),"XB1-MPC-110")</f>
        <v>XB1-MPC-110</v>
      </c>
      <c r="B1625" s="1075" t="str">
        <f>IFERROR(__xludf.DUMMYFUNCTION("""COMPUTED_VALUE"""),"Máy phát cỏ 2 thì")</f>
        <v>Máy phát cỏ 2 thì</v>
      </c>
      <c r="C1625" s="1076" t="str">
        <f>IFERROR(__xludf.DUMMYFUNCTION("""COMPUTED_VALUE"""),"XN Bò AD")</f>
        <v>XN Bò AD</v>
      </c>
      <c r="D1625" s="1076" t="str">
        <f>IFERROR(__xludf.DUMMYFUNCTION("""COMPUTED_VALUE"""),"MARATA")</f>
        <v>MARATA</v>
      </c>
      <c r="E1625" s="1076" t="str">
        <f>IFERROR(__xludf.DUMMYFUNCTION("""COMPUTED_VALUE"""),"TRUNG QUỐC")</f>
        <v>TRUNG QUỐC</v>
      </c>
      <c r="F1625" s="1076"/>
      <c r="G1625" s="1076" t="str">
        <f>IFERROR(__xludf.DUMMYFUNCTION("""COMPUTED_VALUE"""),"CG412")</f>
        <v>CG412</v>
      </c>
      <c r="H1625" s="1076" t="str">
        <f>IFERROR(__xludf.DUMMYFUNCTION("""COMPUTED_VALUE"""),"1.8HP")</f>
        <v>1.8HP</v>
      </c>
      <c r="I1625" s="1076"/>
      <c r="J1625" s="1076"/>
      <c r="K1625" s="1076">
        <f>IFERROR(__xludf.DUMMYFUNCTION("""COMPUTED_VALUE"""),1)</f>
        <v>1</v>
      </c>
      <c r="L1625" s="1076" t="str">
        <f>IFERROR(__xludf.DUMMYFUNCTION("""COMPUTED_VALUE"""),"KLH")</f>
        <v>KLH</v>
      </c>
    </row>
    <row r="1626" customHeight="1" spans="1:12">
      <c r="A1626" s="1076" t="str">
        <f>IFERROR(__xludf.DUMMYFUNCTION("""COMPUTED_VALUE"""),"XB1-MPC-111")</f>
        <v>XB1-MPC-111</v>
      </c>
      <c r="B1626" s="1075" t="str">
        <f>IFERROR(__xludf.DUMMYFUNCTION("""COMPUTED_VALUE"""),"Máy phát cỏ 2 thì")</f>
        <v>Máy phát cỏ 2 thì</v>
      </c>
      <c r="C1626" s="1076" t="str">
        <f>IFERROR(__xludf.DUMMYFUNCTION("""COMPUTED_VALUE"""),"XN Bò AD")</f>
        <v>XN Bò AD</v>
      </c>
      <c r="D1626" s="1076" t="str">
        <f>IFERROR(__xludf.DUMMYFUNCTION("""COMPUTED_VALUE"""),"MARATA")</f>
        <v>MARATA</v>
      </c>
      <c r="E1626" s="1076" t="str">
        <f>IFERROR(__xludf.DUMMYFUNCTION("""COMPUTED_VALUE"""),"TRUNG QUỐC")</f>
        <v>TRUNG QUỐC</v>
      </c>
      <c r="F1626" s="1076"/>
      <c r="G1626" s="1076" t="str">
        <f>IFERROR(__xludf.DUMMYFUNCTION("""COMPUTED_VALUE"""),"CG412")</f>
        <v>CG412</v>
      </c>
      <c r="H1626" s="1076" t="str">
        <f>IFERROR(__xludf.DUMMYFUNCTION("""COMPUTED_VALUE"""),"1.8HP")</f>
        <v>1.8HP</v>
      </c>
      <c r="I1626" s="1076"/>
      <c r="J1626" s="1076"/>
      <c r="K1626" s="1076">
        <f>IFERROR(__xludf.DUMMYFUNCTION("""COMPUTED_VALUE"""),1)</f>
        <v>1</v>
      </c>
      <c r="L1626" s="1076" t="str">
        <f>IFERROR(__xludf.DUMMYFUNCTION("""COMPUTED_VALUE"""),"KLH")</f>
        <v>KLH</v>
      </c>
    </row>
    <row r="1627" customHeight="1" spans="1:12">
      <c r="A1627" s="1076" t="str">
        <f>IFERROR(__xludf.DUMMYFUNCTION("""COMPUTED_VALUE"""),"XB1-MPC-112")</f>
        <v>XB1-MPC-112</v>
      </c>
      <c r="B1627" s="1075" t="str">
        <f>IFERROR(__xludf.DUMMYFUNCTION("""COMPUTED_VALUE"""),"Máy phát cỏ 2 thì")</f>
        <v>Máy phát cỏ 2 thì</v>
      </c>
      <c r="C1627" s="1076" t="str">
        <f>IFERROR(__xludf.DUMMYFUNCTION("""COMPUTED_VALUE"""),"XN Bò AD")</f>
        <v>XN Bò AD</v>
      </c>
      <c r="D1627" s="1076" t="str">
        <f>IFERROR(__xludf.DUMMYFUNCTION("""COMPUTED_VALUE"""),"MARATA")</f>
        <v>MARATA</v>
      </c>
      <c r="E1627" s="1076" t="str">
        <f>IFERROR(__xludf.DUMMYFUNCTION("""COMPUTED_VALUE"""),"TRUNG QUỐC")</f>
        <v>TRUNG QUỐC</v>
      </c>
      <c r="F1627" s="1076"/>
      <c r="G1627" s="1076" t="str">
        <f>IFERROR(__xludf.DUMMYFUNCTION("""COMPUTED_VALUE"""),"CG412")</f>
        <v>CG412</v>
      </c>
      <c r="H1627" s="1076" t="str">
        <f>IFERROR(__xludf.DUMMYFUNCTION("""COMPUTED_VALUE"""),"1.8HP")</f>
        <v>1.8HP</v>
      </c>
      <c r="I1627" s="1076"/>
      <c r="J1627" s="1076"/>
      <c r="K1627" s="1076">
        <f>IFERROR(__xludf.DUMMYFUNCTION("""COMPUTED_VALUE"""),1)</f>
        <v>1</v>
      </c>
      <c r="L1627" s="1076" t="str">
        <f>IFERROR(__xludf.DUMMYFUNCTION("""COMPUTED_VALUE"""),"KLH")</f>
        <v>KLH</v>
      </c>
    </row>
    <row r="1628" customHeight="1" spans="1:12">
      <c r="A1628" s="1076" t="str">
        <f>IFERROR(__xludf.DUMMYFUNCTION("""COMPUTED_VALUE"""),"XB1-MPC-113")</f>
        <v>XB1-MPC-113</v>
      </c>
      <c r="B1628" s="1075" t="str">
        <f>IFERROR(__xludf.DUMMYFUNCTION("""COMPUTED_VALUE"""),"Máy phát cỏ 2 thì")</f>
        <v>Máy phát cỏ 2 thì</v>
      </c>
      <c r="C1628" s="1076" t="str">
        <f>IFERROR(__xludf.DUMMYFUNCTION("""COMPUTED_VALUE"""),"XN Bò AD")</f>
        <v>XN Bò AD</v>
      </c>
      <c r="D1628" s="1076" t="str">
        <f>IFERROR(__xludf.DUMMYFUNCTION("""COMPUTED_VALUE"""),"MARATA")</f>
        <v>MARATA</v>
      </c>
      <c r="E1628" s="1076" t="str">
        <f>IFERROR(__xludf.DUMMYFUNCTION("""COMPUTED_VALUE"""),"TRUNG QUỐC")</f>
        <v>TRUNG QUỐC</v>
      </c>
      <c r="F1628" s="1076"/>
      <c r="G1628" s="1076" t="str">
        <f>IFERROR(__xludf.DUMMYFUNCTION("""COMPUTED_VALUE"""),"CG412")</f>
        <v>CG412</v>
      </c>
      <c r="H1628" s="1076" t="str">
        <f>IFERROR(__xludf.DUMMYFUNCTION("""COMPUTED_VALUE"""),"1.8HP")</f>
        <v>1.8HP</v>
      </c>
      <c r="I1628" s="1076"/>
      <c r="J1628" s="1076"/>
      <c r="K1628" s="1076">
        <f>IFERROR(__xludf.DUMMYFUNCTION("""COMPUTED_VALUE"""),1)</f>
        <v>1</v>
      </c>
      <c r="L1628" s="1076" t="str">
        <f>IFERROR(__xludf.DUMMYFUNCTION("""COMPUTED_VALUE"""),"KLH")</f>
        <v>KLH</v>
      </c>
    </row>
    <row r="1629" customHeight="1" spans="1:12">
      <c r="A1629" s="1076" t="str">
        <f>IFERROR(__xludf.DUMMYFUNCTION("""COMPUTED_VALUE"""),"XB1-MPC-114")</f>
        <v>XB1-MPC-114</v>
      </c>
      <c r="B1629" s="1075" t="str">
        <f>IFERROR(__xludf.DUMMYFUNCTION("""COMPUTED_VALUE"""),"Máy phát cỏ 2 thì")</f>
        <v>Máy phát cỏ 2 thì</v>
      </c>
      <c r="C1629" s="1076" t="str">
        <f>IFERROR(__xludf.DUMMYFUNCTION("""COMPUTED_VALUE"""),"XN Bò AD")</f>
        <v>XN Bò AD</v>
      </c>
      <c r="D1629" s="1076" t="str">
        <f>IFERROR(__xludf.DUMMYFUNCTION("""COMPUTED_VALUE"""),"MARATA")</f>
        <v>MARATA</v>
      </c>
      <c r="E1629" s="1076" t="str">
        <f>IFERROR(__xludf.DUMMYFUNCTION("""COMPUTED_VALUE"""),"TRUNG QUỐC")</f>
        <v>TRUNG QUỐC</v>
      </c>
      <c r="F1629" s="1076"/>
      <c r="G1629" s="1076" t="str">
        <f>IFERROR(__xludf.DUMMYFUNCTION("""COMPUTED_VALUE"""),"CG412")</f>
        <v>CG412</v>
      </c>
      <c r="H1629" s="1076" t="str">
        <f>IFERROR(__xludf.DUMMYFUNCTION("""COMPUTED_VALUE"""),"1.8HP")</f>
        <v>1.8HP</v>
      </c>
      <c r="I1629" s="1076"/>
      <c r="J1629" s="1076"/>
      <c r="K1629" s="1076">
        <f>IFERROR(__xludf.DUMMYFUNCTION("""COMPUTED_VALUE"""),1)</f>
        <v>1</v>
      </c>
      <c r="L1629" s="1076" t="str">
        <f>IFERROR(__xludf.DUMMYFUNCTION("""COMPUTED_VALUE"""),"KLH")</f>
        <v>KLH</v>
      </c>
    </row>
    <row r="1630" customHeight="1" spans="1:12">
      <c r="A1630" s="1076" t="str">
        <f>IFERROR(__xludf.DUMMYFUNCTION("""COMPUTED_VALUE"""),"XB1-MPC-115")</f>
        <v>XB1-MPC-115</v>
      </c>
      <c r="B1630" s="1075" t="str">
        <f>IFERROR(__xludf.DUMMYFUNCTION("""COMPUTED_VALUE"""),"Máy phát cỏ 2 thì")</f>
        <v>Máy phát cỏ 2 thì</v>
      </c>
      <c r="C1630" s="1076" t="str">
        <f>IFERROR(__xludf.DUMMYFUNCTION("""COMPUTED_VALUE"""),"XN Bò AD")</f>
        <v>XN Bò AD</v>
      </c>
      <c r="D1630" s="1076" t="str">
        <f>IFERROR(__xludf.DUMMYFUNCTION("""COMPUTED_VALUE"""),"MARATA")</f>
        <v>MARATA</v>
      </c>
      <c r="E1630" s="1076" t="str">
        <f>IFERROR(__xludf.DUMMYFUNCTION("""COMPUTED_VALUE"""),"TRUNG QUỐC")</f>
        <v>TRUNG QUỐC</v>
      </c>
      <c r="F1630" s="1076"/>
      <c r="G1630" s="1076" t="str">
        <f>IFERROR(__xludf.DUMMYFUNCTION("""COMPUTED_VALUE"""),"CG412")</f>
        <v>CG412</v>
      </c>
      <c r="H1630" s="1076" t="str">
        <f>IFERROR(__xludf.DUMMYFUNCTION("""COMPUTED_VALUE"""),"1.8HP")</f>
        <v>1.8HP</v>
      </c>
      <c r="I1630" s="1076"/>
      <c r="J1630" s="1076"/>
      <c r="K1630" s="1076">
        <f>IFERROR(__xludf.DUMMYFUNCTION("""COMPUTED_VALUE"""),1)</f>
        <v>1</v>
      </c>
      <c r="L1630" s="1076" t="str">
        <f>IFERROR(__xludf.DUMMYFUNCTION("""COMPUTED_VALUE"""),"KLH")</f>
        <v>KLH</v>
      </c>
    </row>
    <row r="1631" customHeight="1" spans="1:12">
      <c r="A1631" s="1076" t="str">
        <f>IFERROR(__xludf.DUMMYFUNCTION("""COMPUTED_VALUE"""),"XB1-MPC-116")</f>
        <v>XB1-MPC-116</v>
      </c>
      <c r="B1631" s="1075" t="str">
        <f>IFERROR(__xludf.DUMMYFUNCTION("""COMPUTED_VALUE"""),"Máy phát cỏ 2 thì")</f>
        <v>Máy phát cỏ 2 thì</v>
      </c>
      <c r="C1631" s="1076" t="str">
        <f>IFERROR(__xludf.DUMMYFUNCTION("""COMPUTED_VALUE"""),"XN Bò AD")</f>
        <v>XN Bò AD</v>
      </c>
      <c r="D1631" s="1076" t="str">
        <f>IFERROR(__xludf.DUMMYFUNCTION("""COMPUTED_VALUE"""),"MARATA")</f>
        <v>MARATA</v>
      </c>
      <c r="E1631" s="1076" t="str">
        <f>IFERROR(__xludf.DUMMYFUNCTION("""COMPUTED_VALUE"""),"TRUNG QUỐC")</f>
        <v>TRUNG QUỐC</v>
      </c>
      <c r="F1631" s="1076"/>
      <c r="G1631" s="1076" t="str">
        <f>IFERROR(__xludf.DUMMYFUNCTION("""COMPUTED_VALUE"""),"CG412")</f>
        <v>CG412</v>
      </c>
      <c r="H1631" s="1076" t="str">
        <f>IFERROR(__xludf.DUMMYFUNCTION("""COMPUTED_VALUE"""),"1.8HP")</f>
        <v>1.8HP</v>
      </c>
      <c r="I1631" s="1076"/>
      <c r="J1631" s="1076"/>
      <c r="K1631" s="1076">
        <f>IFERROR(__xludf.DUMMYFUNCTION("""COMPUTED_VALUE"""),1)</f>
        <v>1</v>
      </c>
      <c r="L1631" s="1076" t="str">
        <f>IFERROR(__xludf.DUMMYFUNCTION("""COMPUTED_VALUE"""),"KLH")</f>
        <v>KLH</v>
      </c>
    </row>
    <row r="1632" customHeight="1" spans="1:12">
      <c r="A1632" s="1076" t="str">
        <f>IFERROR(__xludf.DUMMYFUNCTION("""COMPUTED_VALUE"""),"XB1-MPC-117")</f>
        <v>XB1-MPC-117</v>
      </c>
      <c r="B1632" s="1075" t="str">
        <f>IFERROR(__xludf.DUMMYFUNCTION("""COMPUTED_VALUE"""),"Máy phát cỏ 2 thì")</f>
        <v>Máy phát cỏ 2 thì</v>
      </c>
      <c r="C1632" s="1076" t="str">
        <f>IFERROR(__xludf.DUMMYFUNCTION("""COMPUTED_VALUE"""),"XN Bò AD")</f>
        <v>XN Bò AD</v>
      </c>
      <c r="D1632" s="1076" t="str">
        <f>IFERROR(__xludf.DUMMYFUNCTION("""COMPUTED_VALUE"""),"MARATA")</f>
        <v>MARATA</v>
      </c>
      <c r="E1632" s="1076" t="str">
        <f>IFERROR(__xludf.DUMMYFUNCTION("""COMPUTED_VALUE"""),"TRUNG QUỐC")</f>
        <v>TRUNG QUỐC</v>
      </c>
      <c r="F1632" s="1076"/>
      <c r="G1632" s="1076" t="str">
        <f>IFERROR(__xludf.DUMMYFUNCTION("""COMPUTED_VALUE"""),"CG412")</f>
        <v>CG412</v>
      </c>
      <c r="H1632" s="1076" t="str">
        <f>IFERROR(__xludf.DUMMYFUNCTION("""COMPUTED_VALUE"""),"1.8HP")</f>
        <v>1.8HP</v>
      </c>
      <c r="I1632" s="1076"/>
      <c r="J1632" s="1076"/>
      <c r="K1632" s="1076">
        <f>IFERROR(__xludf.DUMMYFUNCTION("""COMPUTED_VALUE"""),1)</f>
        <v>1</v>
      </c>
      <c r="L1632" s="1076" t="str">
        <f>IFERROR(__xludf.DUMMYFUNCTION("""COMPUTED_VALUE"""),"KLH")</f>
        <v>KLH</v>
      </c>
    </row>
    <row r="1633" customHeight="1" spans="1:12">
      <c r="A1633" s="1076" t="str">
        <f>IFERROR(__xludf.DUMMYFUNCTION("""COMPUTED_VALUE"""),"XB1-MPC-118")</f>
        <v>XB1-MPC-118</v>
      </c>
      <c r="B1633" s="1075" t="str">
        <f>IFERROR(__xludf.DUMMYFUNCTION("""COMPUTED_VALUE"""),"Máy phát cỏ 2 thì")</f>
        <v>Máy phát cỏ 2 thì</v>
      </c>
      <c r="C1633" s="1076" t="str">
        <f>IFERROR(__xludf.DUMMYFUNCTION("""COMPUTED_VALUE"""),"XN Bò AD")</f>
        <v>XN Bò AD</v>
      </c>
      <c r="D1633" s="1076" t="str">
        <f>IFERROR(__xludf.DUMMYFUNCTION("""COMPUTED_VALUE"""),"MARATA")</f>
        <v>MARATA</v>
      </c>
      <c r="E1633" s="1076" t="str">
        <f>IFERROR(__xludf.DUMMYFUNCTION("""COMPUTED_VALUE"""),"TRUNG QUỐC")</f>
        <v>TRUNG QUỐC</v>
      </c>
      <c r="F1633" s="1076"/>
      <c r="G1633" s="1076" t="str">
        <f>IFERROR(__xludf.DUMMYFUNCTION("""COMPUTED_VALUE"""),"CG412")</f>
        <v>CG412</v>
      </c>
      <c r="H1633" s="1076" t="str">
        <f>IFERROR(__xludf.DUMMYFUNCTION("""COMPUTED_VALUE"""),"1.8HP")</f>
        <v>1.8HP</v>
      </c>
      <c r="I1633" s="1076"/>
      <c r="J1633" s="1076"/>
      <c r="K1633" s="1076">
        <f>IFERROR(__xludf.DUMMYFUNCTION("""COMPUTED_VALUE"""),1)</f>
        <v>1</v>
      </c>
      <c r="L1633" s="1076" t="str">
        <f>IFERROR(__xludf.DUMMYFUNCTION("""COMPUTED_VALUE"""),"KLH")</f>
        <v>KLH</v>
      </c>
    </row>
    <row r="1634" customHeight="1" spans="1:12">
      <c r="A1634" s="1076" t="str">
        <f>IFERROR(__xludf.DUMMYFUNCTION("""COMPUTED_VALUE"""),"XB1-MPC-119")</f>
        <v>XB1-MPC-119</v>
      </c>
      <c r="B1634" s="1075" t="str">
        <f>IFERROR(__xludf.DUMMYFUNCTION("""COMPUTED_VALUE"""),"Máy phát cỏ 2 thì")</f>
        <v>Máy phát cỏ 2 thì</v>
      </c>
      <c r="C1634" s="1076" t="str">
        <f>IFERROR(__xludf.DUMMYFUNCTION("""COMPUTED_VALUE"""),"XN Bò AD")</f>
        <v>XN Bò AD</v>
      </c>
      <c r="D1634" s="1076" t="str">
        <f>IFERROR(__xludf.DUMMYFUNCTION("""COMPUTED_VALUE"""),"MARATA")</f>
        <v>MARATA</v>
      </c>
      <c r="E1634" s="1076" t="str">
        <f>IFERROR(__xludf.DUMMYFUNCTION("""COMPUTED_VALUE"""),"TRUNG QUỐC")</f>
        <v>TRUNG QUỐC</v>
      </c>
      <c r="F1634" s="1076"/>
      <c r="G1634" s="1076" t="str">
        <f>IFERROR(__xludf.DUMMYFUNCTION("""COMPUTED_VALUE"""),"CG412")</f>
        <v>CG412</v>
      </c>
      <c r="H1634" s="1076" t="str">
        <f>IFERROR(__xludf.DUMMYFUNCTION("""COMPUTED_VALUE"""),"1.8HP")</f>
        <v>1.8HP</v>
      </c>
      <c r="I1634" s="1076"/>
      <c r="J1634" s="1076"/>
      <c r="K1634" s="1076">
        <f>IFERROR(__xludf.DUMMYFUNCTION("""COMPUTED_VALUE"""),1)</f>
        <v>1</v>
      </c>
      <c r="L1634" s="1076" t="str">
        <f>IFERROR(__xludf.DUMMYFUNCTION("""COMPUTED_VALUE"""),"KLH")</f>
        <v>KLH</v>
      </c>
    </row>
    <row r="1635" customHeight="1" spans="1:12">
      <c r="A1635" s="1076" t="str">
        <f>IFERROR(__xludf.DUMMYFUNCTION("""COMPUTED_VALUE"""),"XB1-MPC-120")</f>
        <v>XB1-MPC-120</v>
      </c>
      <c r="B1635" s="1075" t="str">
        <f>IFERROR(__xludf.DUMMYFUNCTION("""COMPUTED_VALUE"""),"Máy phát cỏ 2 thì")</f>
        <v>Máy phát cỏ 2 thì</v>
      </c>
      <c r="C1635" s="1076" t="str">
        <f>IFERROR(__xludf.DUMMYFUNCTION("""COMPUTED_VALUE"""),"XN Bò AD")</f>
        <v>XN Bò AD</v>
      </c>
      <c r="D1635" s="1076" t="str">
        <f>IFERROR(__xludf.DUMMYFUNCTION("""COMPUTED_VALUE"""),"MARATA")</f>
        <v>MARATA</v>
      </c>
      <c r="E1635" s="1076" t="str">
        <f>IFERROR(__xludf.DUMMYFUNCTION("""COMPUTED_VALUE"""),"TRUNG QUỐC")</f>
        <v>TRUNG QUỐC</v>
      </c>
      <c r="F1635" s="1076"/>
      <c r="G1635" s="1076" t="str">
        <f>IFERROR(__xludf.DUMMYFUNCTION("""COMPUTED_VALUE"""),"CG412")</f>
        <v>CG412</v>
      </c>
      <c r="H1635" s="1076" t="str">
        <f>IFERROR(__xludf.DUMMYFUNCTION("""COMPUTED_VALUE"""),"1.8HP")</f>
        <v>1.8HP</v>
      </c>
      <c r="I1635" s="1076"/>
      <c r="J1635" s="1076"/>
      <c r="K1635" s="1076">
        <f>IFERROR(__xludf.DUMMYFUNCTION("""COMPUTED_VALUE"""),1)</f>
        <v>1</v>
      </c>
      <c r="L1635" s="1076" t="str">
        <f>IFERROR(__xludf.DUMMYFUNCTION("""COMPUTED_VALUE"""),"KLH")</f>
        <v>KLH</v>
      </c>
    </row>
    <row r="1636" customHeight="1" spans="1:12">
      <c r="A1636" s="1076" t="str">
        <f>IFERROR(__xludf.DUMMYFUNCTION("""COMPUTED_VALUE"""),"XB1-MPC-121")</f>
        <v>XB1-MPC-121</v>
      </c>
      <c r="B1636" s="1075" t="str">
        <f>IFERROR(__xludf.DUMMYFUNCTION("""COMPUTED_VALUE"""),"Máy phát cỏ 2 thì")</f>
        <v>Máy phát cỏ 2 thì</v>
      </c>
      <c r="C1636" s="1076" t="str">
        <f>IFERROR(__xludf.DUMMYFUNCTION("""COMPUTED_VALUE"""),"XN Bò AD")</f>
        <v>XN Bò AD</v>
      </c>
      <c r="D1636" s="1076" t="str">
        <f>IFERROR(__xludf.DUMMYFUNCTION("""COMPUTED_VALUE"""),"MARATA")</f>
        <v>MARATA</v>
      </c>
      <c r="E1636" s="1076" t="str">
        <f>IFERROR(__xludf.DUMMYFUNCTION("""COMPUTED_VALUE"""),"TRUNG QUỐC")</f>
        <v>TRUNG QUỐC</v>
      </c>
      <c r="F1636" s="1076"/>
      <c r="G1636" s="1076" t="str">
        <f>IFERROR(__xludf.DUMMYFUNCTION("""COMPUTED_VALUE"""),"CG412")</f>
        <v>CG412</v>
      </c>
      <c r="H1636" s="1076" t="str">
        <f>IFERROR(__xludf.DUMMYFUNCTION("""COMPUTED_VALUE"""),"1.8HP")</f>
        <v>1.8HP</v>
      </c>
      <c r="I1636" s="1076"/>
      <c r="J1636" s="1076"/>
      <c r="K1636" s="1076">
        <f>IFERROR(__xludf.DUMMYFUNCTION("""COMPUTED_VALUE"""),1)</f>
        <v>1</v>
      </c>
      <c r="L1636" s="1076" t="str">
        <f>IFERROR(__xludf.DUMMYFUNCTION("""COMPUTED_VALUE"""),"KLH")</f>
        <v>KLH</v>
      </c>
    </row>
    <row r="1637" customHeight="1" spans="1:12">
      <c r="A1637" s="1076" t="str">
        <f>IFERROR(__xludf.DUMMYFUNCTION("""COMPUTED_VALUE"""),"XB1-MPC-122")</f>
        <v>XB1-MPC-122</v>
      </c>
      <c r="B1637" s="1075" t="str">
        <f>IFERROR(__xludf.DUMMYFUNCTION("""COMPUTED_VALUE"""),"Máy phát cỏ 2 thì")</f>
        <v>Máy phát cỏ 2 thì</v>
      </c>
      <c r="C1637" s="1076" t="str">
        <f>IFERROR(__xludf.DUMMYFUNCTION("""COMPUTED_VALUE"""),"XN Bò AD")</f>
        <v>XN Bò AD</v>
      </c>
      <c r="D1637" s="1076" t="str">
        <f>IFERROR(__xludf.DUMMYFUNCTION("""COMPUTED_VALUE"""),"MARATA")</f>
        <v>MARATA</v>
      </c>
      <c r="E1637" s="1076" t="str">
        <f>IFERROR(__xludf.DUMMYFUNCTION("""COMPUTED_VALUE"""),"TRUNG QUỐC")</f>
        <v>TRUNG QUỐC</v>
      </c>
      <c r="F1637" s="1076"/>
      <c r="G1637" s="1076" t="str">
        <f>IFERROR(__xludf.DUMMYFUNCTION("""COMPUTED_VALUE"""),"CG412")</f>
        <v>CG412</v>
      </c>
      <c r="H1637" s="1076" t="str">
        <f>IFERROR(__xludf.DUMMYFUNCTION("""COMPUTED_VALUE"""),"1.8HP")</f>
        <v>1.8HP</v>
      </c>
      <c r="I1637" s="1076"/>
      <c r="J1637" s="1076"/>
      <c r="K1637" s="1076">
        <f>IFERROR(__xludf.DUMMYFUNCTION("""COMPUTED_VALUE"""),1)</f>
        <v>1</v>
      </c>
      <c r="L1637" s="1076" t="str">
        <f>IFERROR(__xludf.DUMMYFUNCTION("""COMPUTED_VALUE"""),"KLH")</f>
        <v>KLH</v>
      </c>
    </row>
    <row r="1638" customHeight="1" spans="1:12">
      <c r="A1638" s="1076" t="str">
        <f>IFERROR(__xludf.DUMMYFUNCTION("""COMPUTED_VALUE"""),"XB1-MPC-123")</f>
        <v>XB1-MPC-123</v>
      </c>
      <c r="B1638" s="1075" t="str">
        <f>IFERROR(__xludf.DUMMYFUNCTION("""COMPUTED_VALUE"""),"Máy phát cỏ 2 thì")</f>
        <v>Máy phát cỏ 2 thì</v>
      </c>
      <c r="C1638" s="1076" t="str">
        <f>IFERROR(__xludf.DUMMYFUNCTION("""COMPUTED_VALUE"""),"XN Bò AD")</f>
        <v>XN Bò AD</v>
      </c>
      <c r="D1638" s="1076" t="str">
        <f>IFERROR(__xludf.DUMMYFUNCTION("""COMPUTED_VALUE"""),"MARATA")</f>
        <v>MARATA</v>
      </c>
      <c r="E1638" s="1076" t="str">
        <f>IFERROR(__xludf.DUMMYFUNCTION("""COMPUTED_VALUE"""),"TRUNG QUỐC")</f>
        <v>TRUNG QUỐC</v>
      </c>
      <c r="F1638" s="1076"/>
      <c r="G1638" s="1076" t="str">
        <f>IFERROR(__xludf.DUMMYFUNCTION("""COMPUTED_VALUE"""),"CG412")</f>
        <v>CG412</v>
      </c>
      <c r="H1638" s="1076" t="str">
        <f>IFERROR(__xludf.DUMMYFUNCTION("""COMPUTED_VALUE"""),"1.8HP")</f>
        <v>1.8HP</v>
      </c>
      <c r="I1638" s="1076"/>
      <c r="J1638" s="1076"/>
      <c r="K1638" s="1076">
        <f>IFERROR(__xludf.DUMMYFUNCTION("""COMPUTED_VALUE"""),1)</f>
        <v>1</v>
      </c>
      <c r="L1638" s="1076" t="str">
        <f>IFERROR(__xludf.DUMMYFUNCTION("""COMPUTED_VALUE"""),"KLH")</f>
        <v>KLH</v>
      </c>
    </row>
    <row r="1639" customHeight="1" spans="1:12">
      <c r="A1639" s="1076" t="str">
        <f>IFERROR(__xludf.DUMMYFUNCTION("""COMPUTED_VALUE"""),"XB1-MPC-124")</f>
        <v>XB1-MPC-124</v>
      </c>
      <c r="B1639" s="1075" t="str">
        <f>IFERROR(__xludf.DUMMYFUNCTION("""COMPUTED_VALUE"""),"Máy phát cỏ 2 thì")</f>
        <v>Máy phát cỏ 2 thì</v>
      </c>
      <c r="C1639" s="1076" t="str">
        <f>IFERROR(__xludf.DUMMYFUNCTION("""COMPUTED_VALUE"""),"XN Bò AD")</f>
        <v>XN Bò AD</v>
      </c>
      <c r="D1639" s="1076" t="str">
        <f>IFERROR(__xludf.DUMMYFUNCTION("""COMPUTED_VALUE"""),"MARATA")</f>
        <v>MARATA</v>
      </c>
      <c r="E1639" s="1076" t="str">
        <f>IFERROR(__xludf.DUMMYFUNCTION("""COMPUTED_VALUE"""),"TRUNG QUỐC")</f>
        <v>TRUNG QUỐC</v>
      </c>
      <c r="F1639" s="1076"/>
      <c r="G1639" s="1076" t="str">
        <f>IFERROR(__xludf.DUMMYFUNCTION("""COMPUTED_VALUE"""),"CG412")</f>
        <v>CG412</v>
      </c>
      <c r="H1639" s="1076" t="str">
        <f>IFERROR(__xludf.DUMMYFUNCTION("""COMPUTED_VALUE"""),"1.8HP")</f>
        <v>1.8HP</v>
      </c>
      <c r="I1639" s="1076"/>
      <c r="J1639" s="1076"/>
      <c r="K1639" s="1076">
        <f>IFERROR(__xludf.DUMMYFUNCTION("""COMPUTED_VALUE"""),1)</f>
        <v>1</v>
      </c>
      <c r="L1639" s="1076" t="str">
        <f>IFERROR(__xludf.DUMMYFUNCTION("""COMPUTED_VALUE"""),"KLH")</f>
        <v>KLH</v>
      </c>
    </row>
    <row r="1640" customHeight="1" spans="1:12">
      <c r="A1640" s="1076" t="str">
        <f>IFERROR(__xludf.DUMMYFUNCTION("""COMPUTED_VALUE"""),"XB1-MPC-125")</f>
        <v>XB1-MPC-125</v>
      </c>
      <c r="B1640" s="1075" t="str">
        <f>IFERROR(__xludf.DUMMYFUNCTION("""COMPUTED_VALUE"""),"Máy phát cỏ 2 thì")</f>
        <v>Máy phát cỏ 2 thì</v>
      </c>
      <c r="C1640" s="1076" t="str">
        <f>IFERROR(__xludf.DUMMYFUNCTION("""COMPUTED_VALUE"""),"XN Bò AD")</f>
        <v>XN Bò AD</v>
      </c>
      <c r="D1640" s="1076" t="str">
        <f>IFERROR(__xludf.DUMMYFUNCTION("""COMPUTED_VALUE"""),"MARATA")</f>
        <v>MARATA</v>
      </c>
      <c r="E1640" s="1076" t="str">
        <f>IFERROR(__xludf.DUMMYFUNCTION("""COMPUTED_VALUE"""),"TRUNG QUỐC")</f>
        <v>TRUNG QUỐC</v>
      </c>
      <c r="F1640" s="1076"/>
      <c r="G1640" s="1076" t="str">
        <f>IFERROR(__xludf.DUMMYFUNCTION("""COMPUTED_VALUE"""),"CG412")</f>
        <v>CG412</v>
      </c>
      <c r="H1640" s="1076" t="str">
        <f>IFERROR(__xludf.DUMMYFUNCTION("""COMPUTED_VALUE"""),"1.8HP")</f>
        <v>1.8HP</v>
      </c>
      <c r="I1640" s="1076"/>
      <c r="J1640" s="1076"/>
      <c r="K1640" s="1076">
        <f>IFERROR(__xludf.DUMMYFUNCTION("""COMPUTED_VALUE"""),1)</f>
        <v>1</v>
      </c>
      <c r="L1640" s="1076" t="str">
        <f>IFERROR(__xludf.DUMMYFUNCTION("""COMPUTED_VALUE"""),"KLH")</f>
        <v>KLH</v>
      </c>
    </row>
    <row r="1641" customHeight="1" spans="1:12">
      <c r="A1641" s="1076" t="str">
        <f>IFERROR(__xludf.DUMMYFUNCTION("""COMPUTED_VALUE"""),"XB1-MPC-126")</f>
        <v>XB1-MPC-126</v>
      </c>
      <c r="B1641" s="1075" t="str">
        <f>IFERROR(__xludf.DUMMYFUNCTION("""COMPUTED_VALUE"""),"Máy phát cỏ 2 thì")</f>
        <v>Máy phát cỏ 2 thì</v>
      </c>
      <c r="C1641" s="1076" t="str">
        <f>IFERROR(__xludf.DUMMYFUNCTION("""COMPUTED_VALUE"""),"XN Bò AD")</f>
        <v>XN Bò AD</v>
      </c>
      <c r="D1641" s="1076" t="str">
        <f>IFERROR(__xludf.DUMMYFUNCTION("""COMPUTED_VALUE"""),"MARATA")</f>
        <v>MARATA</v>
      </c>
      <c r="E1641" s="1076" t="str">
        <f>IFERROR(__xludf.DUMMYFUNCTION("""COMPUTED_VALUE"""),"TRUNG QUỐC")</f>
        <v>TRUNG QUỐC</v>
      </c>
      <c r="F1641" s="1076"/>
      <c r="G1641" s="1076" t="str">
        <f>IFERROR(__xludf.DUMMYFUNCTION("""COMPUTED_VALUE"""),"CG412")</f>
        <v>CG412</v>
      </c>
      <c r="H1641" s="1076" t="str">
        <f>IFERROR(__xludf.DUMMYFUNCTION("""COMPUTED_VALUE"""),"1.8HP")</f>
        <v>1.8HP</v>
      </c>
      <c r="I1641" s="1076"/>
      <c r="J1641" s="1076"/>
      <c r="K1641" s="1076">
        <f>IFERROR(__xludf.DUMMYFUNCTION("""COMPUTED_VALUE"""),1)</f>
        <v>1</v>
      </c>
      <c r="L1641" s="1076" t="str">
        <f>IFERROR(__xludf.DUMMYFUNCTION("""COMPUTED_VALUE"""),"KLH")</f>
        <v>KLH</v>
      </c>
    </row>
    <row r="1642" customHeight="1" spans="1:12">
      <c r="A1642" s="1076" t="str">
        <f>IFERROR(__xludf.DUMMYFUNCTION("""COMPUTED_VALUE"""),"XB1-MPC-127")</f>
        <v>XB1-MPC-127</v>
      </c>
      <c r="B1642" s="1075" t="str">
        <f>IFERROR(__xludf.DUMMYFUNCTION("""COMPUTED_VALUE"""),"Máy phát cỏ 2 thì")</f>
        <v>Máy phát cỏ 2 thì</v>
      </c>
      <c r="C1642" s="1076" t="str">
        <f>IFERROR(__xludf.DUMMYFUNCTION("""COMPUTED_VALUE"""),"XN Bò AD")</f>
        <v>XN Bò AD</v>
      </c>
      <c r="D1642" s="1076" t="str">
        <f>IFERROR(__xludf.DUMMYFUNCTION("""COMPUTED_VALUE"""),"MARATA")</f>
        <v>MARATA</v>
      </c>
      <c r="E1642" s="1076" t="str">
        <f>IFERROR(__xludf.DUMMYFUNCTION("""COMPUTED_VALUE"""),"TRUNG QUỐC")</f>
        <v>TRUNG QUỐC</v>
      </c>
      <c r="F1642" s="1076"/>
      <c r="G1642" s="1076" t="str">
        <f>IFERROR(__xludf.DUMMYFUNCTION("""COMPUTED_VALUE"""),"CG412")</f>
        <v>CG412</v>
      </c>
      <c r="H1642" s="1076" t="str">
        <f>IFERROR(__xludf.DUMMYFUNCTION("""COMPUTED_VALUE"""),"1.8HP")</f>
        <v>1.8HP</v>
      </c>
      <c r="I1642" s="1076"/>
      <c r="J1642" s="1076"/>
      <c r="K1642" s="1076">
        <f>IFERROR(__xludf.DUMMYFUNCTION("""COMPUTED_VALUE"""),1)</f>
        <v>1</v>
      </c>
      <c r="L1642" s="1076" t="str">
        <f>IFERROR(__xludf.DUMMYFUNCTION("""COMPUTED_VALUE"""),"KLH")</f>
        <v>KLH</v>
      </c>
    </row>
    <row r="1643" customHeight="1" spans="1:12">
      <c r="A1643" s="1076" t="str">
        <f>IFERROR(__xludf.DUMMYFUNCTION("""COMPUTED_VALUE"""),"XB1-MPC-128")</f>
        <v>XB1-MPC-128</v>
      </c>
      <c r="B1643" s="1075" t="str">
        <f>IFERROR(__xludf.DUMMYFUNCTION("""COMPUTED_VALUE"""),"Máy phát cỏ 2 thì")</f>
        <v>Máy phát cỏ 2 thì</v>
      </c>
      <c r="C1643" s="1076" t="str">
        <f>IFERROR(__xludf.DUMMYFUNCTION("""COMPUTED_VALUE"""),"XN Bò AD")</f>
        <v>XN Bò AD</v>
      </c>
      <c r="D1643" s="1076" t="str">
        <f>IFERROR(__xludf.DUMMYFUNCTION("""COMPUTED_VALUE"""),"MARATA")</f>
        <v>MARATA</v>
      </c>
      <c r="E1643" s="1076" t="str">
        <f>IFERROR(__xludf.DUMMYFUNCTION("""COMPUTED_VALUE"""),"TRUNG QUỐC")</f>
        <v>TRUNG QUỐC</v>
      </c>
      <c r="F1643" s="1076"/>
      <c r="G1643" s="1076" t="str">
        <f>IFERROR(__xludf.DUMMYFUNCTION("""COMPUTED_VALUE"""),"CG412")</f>
        <v>CG412</v>
      </c>
      <c r="H1643" s="1076" t="str">
        <f>IFERROR(__xludf.DUMMYFUNCTION("""COMPUTED_VALUE"""),"1.8HP")</f>
        <v>1.8HP</v>
      </c>
      <c r="I1643" s="1076"/>
      <c r="J1643" s="1076"/>
      <c r="K1643" s="1076">
        <f>IFERROR(__xludf.DUMMYFUNCTION("""COMPUTED_VALUE"""),1)</f>
        <v>1</v>
      </c>
      <c r="L1643" s="1076" t="str">
        <f>IFERROR(__xludf.DUMMYFUNCTION("""COMPUTED_VALUE"""),"KLH")</f>
        <v>KLH</v>
      </c>
    </row>
    <row r="1644" customHeight="1" spans="1:12">
      <c r="A1644" s="1076" t="str">
        <f>IFERROR(__xludf.DUMMYFUNCTION("""COMPUTED_VALUE"""),"XB1-MPC-129")</f>
        <v>XB1-MPC-129</v>
      </c>
      <c r="B1644" s="1075" t="str">
        <f>IFERROR(__xludf.DUMMYFUNCTION("""COMPUTED_VALUE"""),"Máy phát cỏ 2 thì")</f>
        <v>Máy phát cỏ 2 thì</v>
      </c>
      <c r="C1644" s="1076" t="str">
        <f>IFERROR(__xludf.DUMMYFUNCTION("""COMPUTED_VALUE"""),"XN Bò AD")</f>
        <v>XN Bò AD</v>
      </c>
      <c r="D1644" s="1076" t="str">
        <f>IFERROR(__xludf.DUMMYFUNCTION("""COMPUTED_VALUE"""),"MARATA")</f>
        <v>MARATA</v>
      </c>
      <c r="E1644" s="1076" t="str">
        <f>IFERROR(__xludf.DUMMYFUNCTION("""COMPUTED_VALUE"""),"TRUNG QUỐC")</f>
        <v>TRUNG QUỐC</v>
      </c>
      <c r="F1644" s="1076"/>
      <c r="G1644" s="1076" t="str">
        <f>IFERROR(__xludf.DUMMYFUNCTION("""COMPUTED_VALUE"""),"CG412")</f>
        <v>CG412</v>
      </c>
      <c r="H1644" s="1076" t="str">
        <f>IFERROR(__xludf.DUMMYFUNCTION("""COMPUTED_VALUE"""),"1.8HP")</f>
        <v>1.8HP</v>
      </c>
      <c r="I1644" s="1076"/>
      <c r="J1644" s="1076"/>
      <c r="K1644" s="1076">
        <f>IFERROR(__xludf.DUMMYFUNCTION("""COMPUTED_VALUE"""),1)</f>
        <v>1</v>
      </c>
      <c r="L1644" s="1076" t="str">
        <f>IFERROR(__xludf.DUMMYFUNCTION("""COMPUTED_VALUE"""),"KLH")</f>
        <v>KLH</v>
      </c>
    </row>
    <row r="1645" customHeight="1" spans="1:12">
      <c r="A1645" s="1076" t="str">
        <f>IFERROR(__xludf.DUMMYFUNCTION("""COMPUTED_VALUE"""),"XB1-MPC-130")</f>
        <v>XB1-MPC-130</v>
      </c>
      <c r="B1645" s="1075" t="str">
        <f>IFERROR(__xludf.DUMMYFUNCTION("""COMPUTED_VALUE"""),"Máy phát cỏ 2 thì")</f>
        <v>Máy phát cỏ 2 thì</v>
      </c>
      <c r="C1645" s="1076" t="str">
        <f>IFERROR(__xludf.DUMMYFUNCTION("""COMPUTED_VALUE"""),"XN Bò AD")</f>
        <v>XN Bò AD</v>
      </c>
      <c r="D1645" s="1076" t="str">
        <f>IFERROR(__xludf.DUMMYFUNCTION("""COMPUTED_VALUE"""),"MARATA")</f>
        <v>MARATA</v>
      </c>
      <c r="E1645" s="1076" t="str">
        <f>IFERROR(__xludf.DUMMYFUNCTION("""COMPUTED_VALUE"""),"TRUNG QUỐC")</f>
        <v>TRUNG QUỐC</v>
      </c>
      <c r="F1645" s="1076"/>
      <c r="G1645" s="1076" t="str">
        <f>IFERROR(__xludf.DUMMYFUNCTION("""COMPUTED_VALUE"""),"CG412")</f>
        <v>CG412</v>
      </c>
      <c r="H1645" s="1076" t="str">
        <f>IFERROR(__xludf.DUMMYFUNCTION("""COMPUTED_VALUE"""),"1.8HP")</f>
        <v>1.8HP</v>
      </c>
      <c r="I1645" s="1076"/>
      <c r="J1645" s="1076"/>
      <c r="K1645" s="1076"/>
      <c r="L1645" s="1076" t="str">
        <f>IFERROR(__xludf.DUMMYFUNCTION("""COMPUTED_VALUE"""),"KLH")</f>
        <v>KLH</v>
      </c>
    </row>
    <row r="1646" customHeight="1" spans="1:12">
      <c r="A1646" s="1076" t="str">
        <f>IFERROR(__xludf.DUMMYFUNCTION("""COMPUTED_VALUE"""),"XB1-MPC-131")</f>
        <v>XB1-MPC-131</v>
      </c>
      <c r="B1646" s="1075" t="str">
        <f>IFERROR(__xludf.DUMMYFUNCTION("""COMPUTED_VALUE"""),"Máy phát cỏ 2 thì")</f>
        <v>Máy phát cỏ 2 thì</v>
      </c>
      <c r="C1646" s="1076" t="str">
        <f>IFERROR(__xludf.DUMMYFUNCTION("""COMPUTED_VALUE"""),"XN Bò AD")</f>
        <v>XN Bò AD</v>
      </c>
      <c r="D1646" s="1076" t="str">
        <f>IFERROR(__xludf.DUMMYFUNCTION("""COMPUTED_VALUE"""),"MARATA")</f>
        <v>MARATA</v>
      </c>
      <c r="E1646" s="1076" t="str">
        <f>IFERROR(__xludf.DUMMYFUNCTION("""COMPUTED_VALUE"""),"TRUNG QUỐC")</f>
        <v>TRUNG QUỐC</v>
      </c>
      <c r="F1646" s="1076"/>
      <c r="G1646" s="1076" t="str">
        <f>IFERROR(__xludf.DUMMYFUNCTION("""COMPUTED_VALUE"""),"CG412")</f>
        <v>CG412</v>
      </c>
      <c r="H1646" s="1076" t="str">
        <f>IFERROR(__xludf.DUMMYFUNCTION("""COMPUTED_VALUE"""),"1.8HP")</f>
        <v>1.8HP</v>
      </c>
      <c r="I1646" s="1076"/>
      <c r="J1646" s="1076"/>
      <c r="K1646" s="1076"/>
      <c r="L1646" s="1076" t="str">
        <f>IFERROR(__xludf.DUMMYFUNCTION("""COMPUTED_VALUE"""),"KLH")</f>
        <v>KLH</v>
      </c>
    </row>
    <row r="1647" customHeight="1" spans="1:12">
      <c r="A1647" s="1076" t="str">
        <f>IFERROR(__xludf.DUMMYFUNCTION("""COMPUTED_VALUE"""),"XB1-MPC-132")</f>
        <v>XB1-MPC-132</v>
      </c>
      <c r="B1647" s="1075" t="str">
        <f>IFERROR(__xludf.DUMMYFUNCTION("""COMPUTED_VALUE"""),"Máy phát cỏ 2 thì")</f>
        <v>Máy phát cỏ 2 thì</v>
      </c>
      <c r="C1647" s="1076" t="str">
        <f>IFERROR(__xludf.DUMMYFUNCTION("""COMPUTED_VALUE"""),"XN Bò AD")</f>
        <v>XN Bò AD</v>
      </c>
      <c r="D1647" s="1076" t="str">
        <f>IFERROR(__xludf.DUMMYFUNCTION("""COMPUTED_VALUE"""),"MARATA")</f>
        <v>MARATA</v>
      </c>
      <c r="E1647" s="1076" t="str">
        <f>IFERROR(__xludf.DUMMYFUNCTION("""COMPUTED_VALUE"""),"TRUNG QUỐC")</f>
        <v>TRUNG QUỐC</v>
      </c>
      <c r="F1647" s="1076"/>
      <c r="G1647" s="1076" t="str">
        <f>IFERROR(__xludf.DUMMYFUNCTION("""COMPUTED_VALUE"""),"CG412")</f>
        <v>CG412</v>
      </c>
      <c r="H1647" s="1076" t="str">
        <f>IFERROR(__xludf.DUMMYFUNCTION("""COMPUTED_VALUE"""),"1.8HP")</f>
        <v>1.8HP</v>
      </c>
      <c r="I1647" s="1076"/>
      <c r="J1647" s="1076"/>
      <c r="K1647" s="1076"/>
      <c r="L1647" s="1076" t="str">
        <f>IFERROR(__xludf.DUMMYFUNCTION("""COMPUTED_VALUE"""),"KLH")</f>
        <v>KLH</v>
      </c>
    </row>
    <row r="1648" customHeight="1" spans="1:12">
      <c r="A1648" s="1076" t="str">
        <f>IFERROR(__xludf.DUMMYFUNCTION("""COMPUTED_VALUE"""),"XB1-MPC-133")</f>
        <v>XB1-MPC-133</v>
      </c>
      <c r="B1648" s="1075" t="str">
        <f>IFERROR(__xludf.DUMMYFUNCTION("""COMPUTED_VALUE"""),"Máy phát cỏ 2 thì")</f>
        <v>Máy phát cỏ 2 thì</v>
      </c>
      <c r="C1648" s="1076" t="str">
        <f>IFERROR(__xludf.DUMMYFUNCTION("""COMPUTED_VALUE"""),"XN Bò AD")</f>
        <v>XN Bò AD</v>
      </c>
      <c r="D1648" s="1076" t="str">
        <f>IFERROR(__xludf.DUMMYFUNCTION("""COMPUTED_VALUE"""),"MARATA")</f>
        <v>MARATA</v>
      </c>
      <c r="E1648" s="1076" t="str">
        <f>IFERROR(__xludf.DUMMYFUNCTION("""COMPUTED_VALUE"""),"TRUNG QUỐC")</f>
        <v>TRUNG QUỐC</v>
      </c>
      <c r="F1648" s="1076"/>
      <c r="G1648" s="1076" t="str">
        <f>IFERROR(__xludf.DUMMYFUNCTION("""COMPUTED_VALUE"""),"CG412")</f>
        <v>CG412</v>
      </c>
      <c r="H1648" s="1076" t="str">
        <f>IFERROR(__xludf.DUMMYFUNCTION("""COMPUTED_VALUE"""),"1.8HP")</f>
        <v>1.8HP</v>
      </c>
      <c r="I1648" s="1076"/>
      <c r="J1648" s="1076"/>
      <c r="K1648" s="1076"/>
      <c r="L1648" s="1076" t="str">
        <f>IFERROR(__xludf.DUMMYFUNCTION("""COMPUTED_VALUE"""),"KLH")</f>
        <v>KLH</v>
      </c>
    </row>
    <row r="1649" customHeight="1" spans="1:12">
      <c r="A1649" s="1076" t="str">
        <f>IFERROR(__xludf.DUMMYFUNCTION("""COMPUTED_VALUE"""),"XB1-MPC-134")</f>
        <v>XB1-MPC-134</v>
      </c>
      <c r="B1649" s="1075" t="str">
        <f>IFERROR(__xludf.DUMMYFUNCTION("""COMPUTED_VALUE"""),"Máy phát cỏ 2 thì")</f>
        <v>Máy phát cỏ 2 thì</v>
      </c>
      <c r="C1649" s="1076" t="str">
        <f>IFERROR(__xludf.DUMMYFUNCTION("""COMPUTED_VALUE"""),"XN Bò AD")</f>
        <v>XN Bò AD</v>
      </c>
      <c r="D1649" s="1076" t="str">
        <f>IFERROR(__xludf.DUMMYFUNCTION("""COMPUTED_VALUE"""),"MARATA")</f>
        <v>MARATA</v>
      </c>
      <c r="E1649" s="1076" t="str">
        <f>IFERROR(__xludf.DUMMYFUNCTION("""COMPUTED_VALUE"""),"TRUNG QUỐC")</f>
        <v>TRUNG QUỐC</v>
      </c>
      <c r="F1649" s="1076"/>
      <c r="G1649" s="1076" t="str">
        <f>IFERROR(__xludf.DUMMYFUNCTION("""COMPUTED_VALUE"""),"CG412")</f>
        <v>CG412</v>
      </c>
      <c r="H1649" s="1076" t="str">
        <f>IFERROR(__xludf.DUMMYFUNCTION("""COMPUTED_VALUE"""),"1.8HP")</f>
        <v>1.8HP</v>
      </c>
      <c r="I1649" s="1076"/>
      <c r="J1649" s="1076"/>
      <c r="K1649" s="1076"/>
      <c r="L1649" s="1076" t="str">
        <f>IFERROR(__xludf.DUMMYFUNCTION("""COMPUTED_VALUE"""),"KLH")</f>
        <v>KLH</v>
      </c>
    </row>
    <row r="1650" customHeight="1" spans="1:12">
      <c r="A1650" s="1076" t="str">
        <f>IFERROR(__xludf.DUMMYFUNCTION("""COMPUTED_VALUE"""),"XB1-MPC-135")</f>
        <v>XB1-MPC-135</v>
      </c>
      <c r="B1650" s="1075" t="str">
        <f>IFERROR(__xludf.DUMMYFUNCTION("""COMPUTED_VALUE"""),"Máy phát cỏ 2 thì")</f>
        <v>Máy phát cỏ 2 thì</v>
      </c>
      <c r="C1650" s="1076" t="str">
        <f>IFERROR(__xludf.DUMMYFUNCTION("""COMPUTED_VALUE"""),"XN Bò AD")</f>
        <v>XN Bò AD</v>
      </c>
      <c r="D1650" s="1076" t="str">
        <f>IFERROR(__xludf.DUMMYFUNCTION("""COMPUTED_VALUE"""),"MARATA")</f>
        <v>MARATA</v>
      </c>
      <c r="E1650" s="1076" t="str">
        <f>IFERROR(__xludf.DUMMYFUNCTION("""COMPUTED_VALUE"""),"TRUNG QUỐC")</f>
        <v>TRUNG QUỐC</v>
      </c>
      <c r="F1650" s="1076"/>
      <c r="G1650" s="1076" t="str">
        <f>IFERROR(__xludf.DUMMYFUNCTION("""COMPUTED_VALUE"""),"CG412")</f>
        <v>CG412</v>
      </c>
      <c r="H1650" s="1076" t="str">
        <f>IFERROR(__xludf.DUMMYFUNCTION("""COMPUTED_VALUE"""),"1.8HP")</f>
        <v>1.8HP</v>
      </c>
      <c r="I1650" s="1076"/>
      <c r="J1650" s="1076"/>
      <c r="K1650" s="1076"/>
      <c r="L1650" s="1076" t="str">
        <f>IFERROR(__xludf.DUMMYFUNCTION("""COMPUTED_VALUE"""),"KLH")</f>
        <v>KLH</v>
      </c>
    </row>
    <row r="1651" customHeight="1" spans="1:12">
      <c r="A1651" s="1076" t="str">
        <f>IFERROR(__xludf.DUMMYFUNCTION("""COMPUTED_VALUE"""),"XB1-MPC-136")</f>
        <v>XB1-MPC-136</v>
      </c>
      <c r="B1651" s="1075" t="str">
        <f>IFERROR(__xludf.DUMMYFUNCTION("""COMPUTED_VALUE"""),"Máy phát cỏ 2 thì")</f>
        <v>Máy phát cỏ 2 thì</v>
      </c>
      <c r="C1651" s="1076" t="str">
        <f>IFERROR(__xludf.DUMMYFUNCTION("""COMPUTED_VALUE"""),"XN Bò AD")</f>
        <v>XN Bò AD</v>
      </c>
      <c r="D1651" s="1076" t="str">
        <f>IFERROR(__xludf.DUMMYFUNCTION("""COMPUTED_VALUE"""),"MARATA")</f>
        <v>MARATA</v>
      </c>
      <c r="E1651" s="1076" t="str">
        <f>IFERROR(__xludf.DUMMYFUNCTION("""COMPUTED_VALUE"""),"TRUNG QUỐC")</f>
        <v>TRUNG QUỐC</v>
      </c>
      <c r="F1651" s="1076"/>
      <c r="G1651" s="1076" t="str">
        <f>IFERROR(__xludf.DUMMYFUNCTION("""COMPUTED_VALUE"""),"CG412")</f>
        <v>CG412</v>
      </c>
      <c r="H1651" s="1076" t="str">
        <f>IFERROR(__xludf.DUMMYFUNCTION("""COMPUTED_VALUE"""),"1.8HP")</f>
        <v>1.8HP</v>
      </c>
      <c r="I1651" s="1076"/>
      <c r="J1651" s="1076"/>
      <c r="K1651" s="1076"/>
      <c r="L1651" s="1076" t="str">
        <f>IFERROR(__xludf.DUMMYFUNCTION("""COMPUTED_VALUE"""),"KLH")</f>
        <v>KLH</v>
      </c>
    </row>
    <row r="1652" customHeight="1" spans="1:12">
      <c r="A1652" s="1076" t="str">
        <f>IFERROR(__xludf.DUMMYFUNCTION("""COMPUTED_VALUE"""),"XB1-MPC-137")</f>
        <v>XB1-MPC-137</v>
      </c>
      <c r="B1652" s="1075" t="str">
        <f>IFERROR(__xludf.DUMMYFUNCTION("""COMPUTED_VALUE"""),"Máy phát cỏ 2 thì")</f>
        <v>Máy phát cỏ 2 thì</v>
      </c>
      <c r="C1652" s="1076" t="str">
        <f>IFERROR(__xludf.DUMMYFUNCTION("""COMPUTED_VALUE"""),"XN Bò AD")</f>
        <v>XN Bò AD</v>
      </c>
      <c r="D1652" s="1076" t="str">
        <f>IFERROR(__xludf.DUMMYFUNCTION("""COMPUTED_VALUE"""),"MARATA")</f>
        <v>MARATA</v>
      </c>
      <c r="E1652" s="1076" t="str">
        <f>IFERROR(__xludf.DUMMYFUNCTION("""COMPUTED_VALUE"""),"TRUNG QUỐC")</f>
        <v>TRUNG QUỐC</v>
      </c>
      <c r="F1652" s="1076"/>
      <c r="G1652" s="1076" t="str">
        <f>IFERROR(__xludf.DUMMYFUNCTION("""COMPUTED_VALUE"""),"CG412")</f>
        <v>CG412</v>
      </c>
      <c r="H1652" s="1076" t="str">
        <f>IFERROR(__xludf.DUMMYFUNCTION("""COMPUTED_VALUE"""),"1.8HP")</f>
        <v>1.8HP</v>
      </c>
      <c r="I1652" s="1076"/>
      <c r="J1652" s="1076"/>
      <c r="K1652" s="1076"/>
      <c r="L1652" s="1076" t="str">
        <f>IFERROR(__xludf.DUMMYFUNCTION("""COMPUTED_VALUE"""),"KLH")</f>
        <v>KLH</v>
      </c>
    </row>
    <row r="1653" customHeight="1" spans="1:12">
      <c r="A1653" s="1076" t="str">
        <f>IFERROR(__xludf.DUMMYFUNCTION("""COMPUTED_VALUE"""),"XB1-MPC-138")</f>
        <v>XB1-MPC-138</v>
      </c>
      <c r="B1653" s="1075" t="str">
        <f>IFERROR(__xludf.DUMMYFUNCTION("""COMPUTED_VALUE"""),"Máy phát cỏ 2 thì")</f>
        <v>Máy phát cỏ 2 thì</v>
      </c>
      <c r="C1653" s="1076" t="str">
        <f>IFERROR(__xludf.DUMMYFUNCTION("""COMPUTED_VALUE"""),"XN Bò AD")</f>
        <v>XN Bò AD</v>
      </c>
      <c r="D1653" s="1076" t="str">
        <f>IFERROR(__xludf.DUMMYFUNCTION("""COMPUTED_VALUE"""),"MARATA")</f>
        <v>MARATA</v>
      </c>
      <c r="E1653" s="1076" t="str">
        <f>IFERROR(__xludf.DUMMYFUNCTION("""COMPUTED_VALUE"""),"TRUNG QUỐC")</f>
        <v>TRUNG QUỐC</v>
      </c>
      <c r="F1653" s="1076"/>
      <c r="G1653" s="1076" t="str">
        <f>IFERROR(__xludf.DUMMYFUNCTION("""COMPUTED_VALUE"""),"CG412")</f>
        <v>CG412</v>
      </c>
      <c r="H1653" s="1076" t="str">
        <f>IFERROR(__xludf.DUMMYFUNCTION("""COMPUTED_VALUE"""),"1.8HP")</f>
        <v>1.8HP</v>
      </c>
      <c r="I1653" s="1076"/>
      <c r="J1653" s="1076"/>
      <c r="K1653" s="1076"/>
      <c r="L1653" s="1076" t="str">
        <f>IFERROR(__xludf.DUMMYFUNCTION("""COMPUTED_VALUE"""),"KLH")</f>
        <v>KLH</v>
      </c>
    </row>
    <row r="1654" customHeight="1" spans="1:12">
      <c r="A1654" s="1076" t="str">
        <f>IFERROR(__xludf.DUMMYFUNCTION("""COMPUTED_VALUE"""),"XB1-MPC-139")</f>
        <v>XB1-MPC-139</v>
      </c>
      <c r="B1654" s="1075" t="str">
        <f>IFERROR(__xludf.DUMMYFUNCTION("""COMPUTED_VALUE"""),"Máy phát cỏ 2 thì")</f>
        <v>Máy phát cỏ 2 thì</v>
      </c>
      <c r="C1654" s="1076" t="str">
        <f>IFERROR(__xludf.DUMMYFUNCTION("""COMPUTED_VALUE"""),"XN Bò AD")</f>
        <v>XN Bò AD</v>
      </c>
      <c r="D1654" s="1076" t="str">
        <f>IFERROR(__xludf.DUMMYFUNCTION("""COMPUTED_VALUE"""),"MARATA")</f>
        <v>MARATA</v>
      </c>
      <c r="E1654" s="1076" t="str">
        <f>IFERROR(__xludf.DUMMYFUNCTION("""COMPUTED_VALUE"""),"TRUNG QUỐC")</f>
        <v>TRUNG QUỐC</v>
      </c>
      <c r="F1654" s="1076"/>
      <c r="G1654" s="1076" t="str">
        <f>IFERROR(__xludf.DUMMYFUNCTION("""COMPUTED_VALUE"""),"CG412")</f>
        <v>CG412</v>
      </c>
      <c r="H1654" s="1076" t="str">
        <f>IFERROR(__xludf.DUMMYFUNCTION("""COMPUTED_VALUE"""),"1.8HP")</f>
        <v>1.8HP</v>
      </c>
      <c r="I1654" s="1076"/>
      <c r="J1654" s="1076"/>
      <c r="K1654" s="1076"/>
      <c r="L1654" s="1076" t="str">
        <f>IFERROR(__xludf.DUMMYFUNCTION("""COMPUTED_VALUE"""),"KLH")</f>
        <v>KLH</v>
      </c>
    </row>
    <row r="1655" customHeight="1" spans="1:12">
      <c r="A1655" s="1076" t="str">
        <f>IFERROR(__xludf.DUMMYFUNCTION("""COMPUTED_VALUE"""),"XB1-MPC-140")</f>
        <v>XB1-MPC-140</v>
      </c>
      <c r="B1655" s="1075" t="str">
        <f>IFERROR(__xludf.DUMMYFUNCTION("""COMPUTED_VALUE"""),"Máy phát cỏ 2 thì")</f>
        <v>Máy phát cỏ 2 thì</v>
      </c>
      <c r="C1655" s="1076" t="str">
        <f>IFERROR(__xludf.DUMMYFUNCTION("""COMPUTED_VALUE"""),"XN Bò AD")</f>
        <v>XN Bò AD</v>
      </c>
      <c r="D1655" s="1076" t="str">
        <f>IFERROR(__xludf.DUMMYFUNCTION("""COMPUTED_VALUE"""),"MARATA")</f>
        <v>MARATA</v>
      </c>
      <c r="E1655" s="1076" t="str">
        <f>IFERROR(__xludf.DUMMYFUNCTION("""COMPUTED_VALUE"""),"TRUNG QUỐC")</f>
        <v>TRUNG QUỐC</v>
      </c>
      <c r="F1655" s="1076"/>
      <c r="G1655" s="1076" t="str">
        <f>IFERROR(__xludf.DUMMYFUNCTION("""COMPUTED_VALUE"""),"CG412")</f>
        <v>CG412</v>
      </c>
      <c r="H1655" s="1076" t="str">
        <f>IFERROR(__xludf.DUMMYFUNCTION("""COMPUTED_VALUE"""),"1.8HP")</f>
        <v>1.8HP</v>
      </c>
      <c r="I1655" s="1076"/>
      <c r="J1655" s="1076"/>
      <c r="K1655" s="1076"/>
      <c r="L1655" s="1076" t="str">
        <f>IFERROR(__xludf.DUMMYFUNCTION("""COMPUTED_VALUE"""),"KLH")</f>
        <v>KLH</v>
      </c>
    </row>
    <row r="1656" customHeight="1" spans="1:12">
      <c r="A1656" s="1076" t="str">
        <f>IFERROR(__xludf.DUMMYFUNCTION("""COMPUTED_VALUE"""),"XB1-MPC-141")</f>
        <v>XB1-MPC-141</v>
      </c>
      <c r="B1656" s="1075" t="str">
        <f>IFERROR(__xludf.DUMMYFUNCTION("""COMPUTED_VALUE"""),"Máy phát cỏ 2 thì")</f>
        <v>Máy phát cỏ 2 thì</v>
      </c>
      <c r="C1656" s="1076" t="str">
        <f>IFERROR(__xludf.DUMMYFUNCTION("""COMPUTED_VALUE"""),"XN Bò AD")</f>
        <v>XN Bò AD</v>
      </c>
      <c r="D1656" s="1076" t="str">
        <f>IFERROR(__xludf.DUMMYFUNCTION("""COMPUTED_VALUE"""),"MARATA")</f>
        <v>MARATA</v>
      </c>
      <c r="E1656" s="1076" t="str">
        <f>IFERROR(__xludf.DUMMYFUNCTION("""COMPUTED_VALUE"""),"TRUNG QUỐC")</f>
        <v>TRUNG QUỐC</v>
      </c>
      <c r="F1656" s="1076"/>
      <c r="G1656" s="1076" t="str">
        <f>IFERROR(__xludf.DUMMYFUNCTION("""COMPUTED_VALUE"""),"CG412")</f>
        <v>CG412</v>
      </c>
      <c r="H1656" s="1076" t="str">
        <f>IFERROR(__xludf.DUMMYFUNCTION("""COMPUTED_VALUE"""),"1.8HP")</f>
        <v>1.8HP</v>
      </c>
      <c r="I1656" s="1076"/>
      <c r="J1656" s="1076"/>
      <c r="K1656" s="1076"/>
      <c r="L1656" s="1076" t="str">
        <f>IFERROR(__xludf.DUMMYFUNCTION("""COMPUTED_VALUE"""),"KLH")</f>
        <v>KLH</v>
      </c>
    </row>
    <row r="1657" customHeight="1" spans="1:12">
      <c r="A1657" s="1076" t="str">
        <f>IFERROR(__xludf.DUMMYFUNCTION("""COMPUTED_VALUE"""),"XB1-MPC-142")</f>
        <v>XB1-MPC-142</v>
      </c>
      <c r="B1657" s="1075" t="str">
        <f>IFERROR(__xludf.DUMMYFUNCTION("""COMPUTED_VALUE"""),"Máy phát cỏ 2 thì")</f>
        <v>Máy phát cỏ 2 thì</v>
      </c>
      <c r="C1657" s="1076" t="str">
        <f>IFERROR(__xludf.DUMMYFUNCTION("""COMPUTED_VALUE"""),"XN Bò AD")</f>
        <v>XN Bò AD</v>
      </c>
      <c r="D1657" s="1076" t="str">
        <f>IFERROR(__xludf.DUMMYFUNCTION("""COMPUTED_VALUE"""),"MARATA")</f>
        <v>MARATA</v>
      </c>
      <c r="E1657" s="1076" t="str">
        <f>IFERROR(__xludf.DUMMYFUNCTION("""COMPUTED_VALUE"""),"TRUNG QUỐC")</f>
        <v>TRUNG QUỐC</v>
      </c>
      <c r="F1657" s="1076"/>
      <c r="G1657" s="1076" t="str">
        <f>IFERROR(__xludf.DUMMYFUNCTION("""COMPUTED_VALUE"""),"CG412")</f>
        <v>CG412</v>
      </c>
      <c r="H1657" s="1076" t="str">
        <f>IFERROR(__xludf.DUMMYFUNCTION("""COMPUTED_VALUE"""),"1.8HP")</f>
        <v>1.8HP</v>
      </c>
      <c r="I1657" s="1076"/>
      <c r="J1657" s="1076"/>
      <c r="K1657" s="1076"/>
      <c r="L1657" s="1076" t="str">
        <f>IFERROR(__xludf.DUMMYFUNCTION("""COMPUTED_VALUE"""),"KLH")</f>
        <v>KLH</v>
      </c>
    </row>
    <row r="1658" customHeight="1" spans="1:12">
      <c r="A1658" s="1076" t="str">
        <f>IFERROR(__xludf.DUMMYFUNCTION("""COMPUTED_VALUE"""),"XB1-MPC-143")</f>
        <v>XB1-MPC-143</v>
      </c>
      <c r="B1658" s="1075" t="str">
        <f>IFERROR(__xludf.DUMMYFUNCTION("""COMPUTED_VALUE"""),"Máy phát cỏ 2 thì")</f>
        <v>Máy phát cỏ 2 thì</v>
      </c>
      <c r="C1658" s="1076" t="str">
        <f>IFERROR(__xludf.DUMMYFUNCTION("""COMPUTED_VALUE"""),"XN Bò AD")</f>
        <v>XN Bò AD</v>
      </c>
      <c r="D1658" s="1076" t="str">
        <f>IFERROR(__xludf.DUMMYFUNCTION("""COMPUTED_VALUE"""),"MARATA")</f>
        <v>MARATA</v>
      </c>
      <c r="E1658" s="1076" t="str">
        <f>IFERROR(__xludf.DUMMYFUNCTION("""COMPUTED_VALUE"""),"TRUNG QUỐC")</f>
        <v>TRUNG QUỐC</v>
      </c>
      <c r="F1658" s="1076"/>
      <c r="G1658" s="1076" t="str">
        <f>IFERROR(__xludf.DUMMYFUNCTION("""COMPUTED_VALUE"""),"CG412")</f>
        <v>CG412</v>
      </c>
      <c r="H1658" s="1076" t="str">
        <f>IFERROR(__xludf.DUMMYFUNCTION("""COMPUTED_VALUE"""),"1.8HP")</f>
        <v>1.8HP</v>
      </c>
      <c r="I1658" s="1076"/>
      <c r="J1658" s="1076"/>
      <c r="K1658" s="1076"/>
      <c r="L1658" s="1076" t="str">
        <f>IFERROR(__xludf.DUMMYFUNCTION("""COMPUTED_VALUE"""),"KLH")</f>
        <v>KLH</v>
      </c>
    </row>
    <row r="1659" customHeight="1" spans="1:12">
      <c r="A1659" s="1076" t="str">
        <f>IFERROR(__xludf.DUMMYFUNCTION("""COMPUTED_VALUE"""),"XB1-MPC-144")</f>
        <v>XB1-MPC-144</v>
      </c>
      <c r="B1659" s="1075" t="str">
        <f>IFERROR(__xludf.DUMMYFUNCTION("""COMPUTED_VALUE"""),"Máy phát cỏ 2 thì")</f>
        <v>Máy phát cỏ 2 thì</v>
      </c>
      <c r="C1659" s="1076" t="str">
        <f>IFERROR(__xludf.DUMMYFUNCTION("""COMPUTED_VALUE"""),"XN Bò AD")</f>
        <v>XN Bò AD</v>
      </c>
      <c r="D1659" s="1076" t="str">
        <f>IFERROR(__xludf.DUMMYFUNCTION("""COMPUTED_VALUE"""),"MARATA")</f>
        <v>MARATA</v>
      </c>
      <c r="E1659" s="1076" t="str">
        <f>IFERROR(__xludf.DUMMYFUNCTION("""COMPUTED_VALUE"""),"TRUNG QUỐC")</f>
        <v>TRUNG QUỐC</v>
      </c>
      <c r="F1659" s="1076"/>
      <c r="G1659" s="1076" t="str">
        <f>IFERROR(__xludf.DUMMYFUNCTION("""COMPUTED_VALUE"""),"CG412")</f>
        <v>CG412</v>
      </c>
      <c r="H1659" s="1076" t="str">
        <f>IFERROR(__xludf.DUMMYFUNCTION("""COMPUTED_VALUE"""),"1.8HP")</f>
        <v>1.8HP</v>
      </c>
      <c r="I1659" s="1076"/>
      <c r="J1659" s="1076"/>
      <c r="K1659" s="1076"/>
      <c r="L1659" s="1076" t="str">
        <f>IFERROR(__xludf.DUMMYFUNCTION("""COMPUTED_VALUE"""),"KLH")</f>
        <v>KLH</v>
      </c>
    </row>
    <row r="1660" customHeight="1" spans="1:12">
      <c r="A1660" s="1076" t="str">
        <f>IFERROR(__xludf.DUMMYFUNCTION("""COMPUTED_VALUE"""),"XB1-MPC-145")</f>
        <v>XB1-MPC-145</v>
      </c>
      <c r="B1660" s="1075" t="str">
        <f>IFERROR(__xludf.DUMMYFUNCTION("""COMPUTED_VALUE"""),"Máy phát cỏ 2 thì")</f>
        <v>Máy phát cỏ 2 thì</v>
      </c>
      <c r="C1660" s="1076" t="str">
        <f>IFERROR(__xludf.DUMMYFUNCTION("""COMPUTED_VALUE"""),"XN Bò AD")</f>
        <v>XN Bò AD</v>
      </c>
      <c r="D1660" s="1076" t="str">
        <f>IFERROR(__xludf.DUMMYFUNCTION("""COMPUTED_VALUE"""),"MARATA")</f>
        <v>MARATA</v>
      </c>
      <c r="E1660" s="1076" t="str">
        <f>IFERROR(__xludf.DUMMYFUNCTION("""COMPUTED_VALUE"""),"TRUNG QUỐC")</f>
        <v>TRUNG QUỐC</v>
      </c>
      <c r="F1660" s="1076"/>
      <c r="G1660" s="1076" t="str">
        <f>IFERROR(__xludf.DUMMYFUNCTION("""COMPUTED_VALUE"""),"CG412")</f>
        <v>CG412</v>
      </c>
      <c r="H1660" s="1076" t="str">
        <f>IFERROR(__xludf.DUMMYFUNCTION("""COMPUTED_VALUE"""),"1.8HP")</f>
        <v>1.8HP</v>
      </c>
      <c r="I1660" s="1076"/>
      <c r="J1660" s="1076"/>
      <c r="K1660" s="1076"/>
      <c r="L1660" s="1076" t="str">
        <f>IFERROR(__xludf.DUMMYFUNCTION("""COMPUTED_VALUE"""),"KLH")</f>
        <v>KLH</v>
      </c>
    </row>
    <row r="1661" customHeight="1" spans="1:12">
      <c r="A1661" s="1076" t="str">
        <f>IFERROR(__xludf.DUMMYFUNCTION("""COMPUTED_VALUE"""),"XB1-MPC-146")</f>
        <v>XB1-MPC-146</v>
      </c>
      <c r="B1661" s="1075" t="str">
        <f>IFERROR(__xludf.DUMMYFUNCTION("""COMPUTED_VALUE"""),"Máy phát cỏ 2 thì")</f>
        <v>Máy phát cỏ 2 thì</v>
      </c>
      <c r="C1661" s="1076" t="str">
        <f>IFERROR(__xludf.DUMMYFUNCTION("""COMPUTED_VALUE"""),"XN Bò AD")</f>
        <v>XN Bò AD</v>
      </c>
      <c r="D1661" s="1076" t="str">
        <f>IFERROR(__xludf.DUMMYFUNCTION("""COMPUTED_VALUE"""),"MARATA")</f>
        <v>MARATA</v>
      </c>
      <c r="E1661" s="1076" t="str">
        <f>IFERROR(__xludf.DUMMYFUNCTION("""COMPUTED_VALUE"""),"TRUNG QUỐC")</f>
        <v>TRUNG QUỐC</v>
      </c>
      <c r="F1661" s="1076"/>
      <c r="G1661" s="1076" t="str">
        <f>IFERROR(__xludf.DUMMYFUNCTION("""COMPUTED_VALUE"""),"CG412")</f>
        <v>CG412</v>
      </c>
      <c r="H1661" s="1076" t="str">
        <f>IFERROR(__xludf.DUMMYFUNCTION("""COMPUTED_VALUE"""),"1.8HP")</f>
        <v>1.8HP</v>
      </c>
      <c r="I1661" s="1076"/>
      <c r="J1661" s="1076"/>
      <c r="K1661" s="1076"/>
      <c r="L1661" s="1076" t="str">
        <f>IFERROR(__xludf.DUMMYFUNCTION("""COMPUTED_VALUE"""),"KLH")</f>
        <v>KLH</v>
      </c>
    </row>
    <row r="1662" customHeight="1" spans="1:12">
      <c r="A1662" s="1076" t="str">
        <f>IFERROR(__xludf.DUMMYFUNCTION("""COMPUTED_VALUE"""),"XB1-MPC-147")</f>
        <v>XB1-MPC-147</v>
      </c>
      <c r="B1662" s="1075" t="str">
        <f>IFERROR(__xludf.DUMMYFUNCTION("""COMPUTED_VALUE"""),"Máy phát cỏ 2 thì")</f>
        <v>Máy phát cỏ 2 thì</v>
      </c>
      <c r="C1662" s="1076" t="str">
        <f>IFERROR(__xludf.DUMMYFUNCTION("""COMPUTED_VALUE"""),"XN Bò AD")</f>
        <v>XN Bò AD</v>
      </c>
      <c r="D1662" s="1076" t="str">
        <f>IFERROR(__xludf.DUMMYFUNCTION("""COMPUTED_VALUE"""),"MARATA")</f>
        <v>MARATA</v>
      </c>
      <c r="E1662" s="1076" t="str">
        <f>IFERROR(__xludf.DUMMYFUNCTION("""COMPUTED_VALUE"""),"TRUNG QUỐC")</f>
        <v>TRUNG QUỐC</v>
      </c>
      <c r="F1662" s="1076"/>
      <c r="G1662" s="1076" t="str">
        <f>IFERROR(__xludf.DUMMYFUNCTION("""COMPUTED_VALUE"""),"CG412")</f>
        <v>CG412</v>
      </c>
      <c r="H1662" s="1076" t="str">
        <f>IFERROR(__xludf.DUMMYFUNCTION("""COMPUTED_VALUE"""),"1.8HP")</f>
        <v>1.8HP</v>
      </c>
      <c r="I1662" s="1076"/>
      <c r="J1662" s="1076"/>
      <c r="K1662" s="1076"/>
      <c r="L1662" s="1076" t="str">
        <f>IFERROR(__xludf.DUMMYFUNCTION("""COMPUTED_VALUE"""),"KLH")</f>
        <v>KLH</v>
      </c>
    </row>
    <row r="1663" customHeight="1" spans="1:12">
      <c r="A1663" s="1076" t="str">
        <f>IFERROR(__xludf.DUMMYFUNCTION("""COMPUTED_VALUE"""),"XB1-MPC-148")</f>
        <v>XB1-MPC-148</v>
      </c>
      <c r="B1663" s="1075" t="str">
        <f>IFERROR(__xludf.DUMMYFUNCTION("""COMPUTED_VALUE"""),"Máy phát cỏ 2 thì")</f>
        <v>Máy phát cỏ 2 thì</v>
      </c>
      <c r="C1663" s="1076" t="str">
        <f>IFERROR(__xludf.DUMMYFUNCTION("""COMPUTED_VALUE"""),"XN Bò AD")</f>
        <v>XN Bò AD</v>
      </c>
      <c r="D1663" s="1076" t="str">
        <f>IFERROR(__xludf.DUMMYFUNCTION("""COMPUTED_VALUE"""),"MARATA")</f>
        <v>MARATA</v>
      </c>
      <c r="E1663" s="1076" t="str">
        <f>IFERROR(__xludf.DUMMYFUNCTION("""COMPUTED_VALUE"""),"TRUNG QUỐC")</f>
        <v>TRUNG QUỐC</v>
      </c>
      <c r="F1663" s="1076"/>
      <c r="G1663" s="1076" t="str">
        <f>IFERROR(__xludf.DUMMYFUNCTION("""COMPUTED_VALUE"""),"CG412")</f>
        <v>CG412</v>
      </c>
      <c r="H1663" s="1076" t="str">
        <f>IFERROR(__xludf.DUMMYFUNCTION("""COMPUTED_VALUE"""),"1.8HP")</f>
        <v>1.8HP</v>
      </c>
      <c r="I1663" s="1076"/>
      <c r="J1663" s="1076"/>
      <c r="K1663" s="1076"/>
      <c r="L1663" s="1076" t="str">
        <f>IFERROR(__xludf.DUMMYFUNCTION("""COMPUTED_VALUE"""),"KLH")</f>
        <v>KLH</v>
      </c>
    </row>
    <row r="1664" customHeight="1" spans="1:12">
      <c r="A1664" s="1076" t="str">
        <f>IFERROR(__xludf.DUMMYFUNCTION("""COMPUTED_VALUE"""),"XB1-MPC-149")</f>
        <v>XB1-MPC-149</v>
      </c>
      <c r="B1664" s="1075" t="str">
        <f>IFERROR(__xludf.DUMMYFUNCTION("""COMPUTED_VALUE"""),"Máy phát cỏ 2 thì")</f>
        <v>Máy phát cỏ 2 thì</v>
      </c>
      <c r="C1664" s="1076" t="str">
        <f>IFERROR(__xludf.DUMMYFUNCTION("""COMPUTED_VALUE"""),"XN Bò AD")</f>
        <v>XN Bò AD</v>
      </c>
      <c r="D1664" s="1076" t="str">
        <f>IFERROR(__xludf.DUMMYFUNCTION("""COMPUTED_VALUE"""),"MARATA")</f>
        <v>MARATA</v>
      </c>
      <c r="E1664" s="1076" t="str">
        <f>IFERROR(__xludf.DUMMYFUNCTION("""COMPUTED_VALUE"""),"TRUNG QUỐC")</f>
        <v>TRUNG QUỐC</v>
      </c>
      <c r="F1664" s="1076"/>
      <c r="G1664" s="1076" t="str">
        <f>IFERROR(__xludf.DUMMYFUNCTION("""COMPUTED_VALUE"""),"CG412")</f>
        <v>CG412</v>
      </c>
      <c r="H1664" s="1076" t="str">
        <f>IFERROR(__xludf.DUMMYFUNCTION("""COMPUTED_VALUE"""),"1.8HP")</f>
        <v>1.8HP</v>
      </c>
      <c r="I1664" s="1076"/>
      <c r="J1664" s="1076"/>
      <c r="K1664" s="1076"/>
      <c r="L1664" s="1076" t="str">
        <f>IFERROR(__xludf.DUMMYFUNCTION("""COMPUTED_VALUE"""),"KLH")</f>
        <v>KLH</v>
      </c>
    </row>
    <row r="1665" customHeight="1" spans="1:12">
      <c r="A1665" s="1076" t="str">
        <f>IFERROR(__xludf.DUMMYFUNCTION("""COMPUTED_VALUE"""),"XB1-MPC-150")</f>
        <v>XB1-MPC-150</v>
      </c>
      <c r="B1665" s="1075" t="str">
        <f>IFERROR(__xludf.DUMMYFUNCTION("""COMPUTED_VALUE"""),"Máy phát cỏ 2 thì")</f>
        <v>Máy phát cỏ 2 thì</v>
      </c>
      <c r="C1665" s="1076" t="str">
        <f>IFERROR(__xludf.DUMMYFUNCTION("""COMPUTED_VALUE"""),"XN Bò AD")</f>
        <v>XN Bò AD</v>
      </c>
      <c r="D1665" s="1076" t="str">
        <f>IFERROR(__xludf.DUMMYFUNCTION("""COMPUTED_VALUE"""),"MARATA")</f>
        <v>MARATA</v>
      </c>
      <c r="E1665" s="1076" t="str">
        <f>IFERROR(__xludf.DUMMYFUNCTION("""COMPUTED_VALUE"""),"TRUNG QUỐC")</f>
        <v>TRUNG QUỐC</v>
      </c>
      <c r="F1665" s="1076"/>
      <c r="G1665" s="1076" t="str">
        <f>IFERROR(__xludf.DUMMYFUNCTION("""COMPUTED_VALUE"""),"CG412")</f>
        <v>CG412</v>
      </c>
      <c r="H1665" s="1076" t="str">
        <f>IFERROR(__xludf.DUMMYFUNCTION("""COMPUTED_VALUE"""),"1.8HP")</f>
        <v>1.8HP</v>
      </c>
      <c r="I1665" s="1076"/>
      <c r="J1665" s="1076"/>
      <c r="K1665" s="1076"/>
      <c r="L1665" s="1076" t="str">
        <f>IFERROR(__xludf.DUMMYFUNCTION("""COMPUTED_VALUE"""),"KLH")</f>
        <v>KLH</v>
      </c>
    </row>
    <row r="1666" customHeight="1" spans="1:12">
      <c r="A1666" s="1076" t="str">
        <f>IFERROR(__xludf.DUMMYFUNCTION("""COMPUTED_VALUE"""),"XB1-MPC-151")</f>
        <v>XB1-MPC-151</v>
      </c>
      <c r="B1666" s="1075" t="str">
        <f>IFERROR(__xludf.DUMMYFUNCTION("""COMPUTED_VALUE"""),"Máy phát cỏ 2 thì")</f>
        <v>Máy phát cỏ 2 thì</v>
      </c>
      <c r="C1666" s="1076" t="str">
        <f>IFERROR(__xludf.DUMMYFUNCTION("""COMPUTED_VALUE"""),"XN Bò AD")</f>
        <v>XN Bò AD</v>
      </c>
      <c r="D1666" s="1076" t="str">
        <f>IFERROR(__xludf.DUMMYFUNCTION("""COMPUTED_VALUE"""),"MARATA")</f>
        <v>MARATA</v>
      </c>
      <c r="E1666" s="1076" t="str">
        <f>IFERROR(__xludf.DUMMYFUNCTION("""COMPUTED_VALUE"""),"TRUNG QUỐC")</f>
        <v>TRUNG QUỐC</v>
      </c>
      <c r="F1666" s="1076"/>
      <c r="G1666" s="1076" t="str">
        <f>IFERROR(__xludf.DUMMYFUNCTION("""COMPUTED_VALUE"""),"CG412")</f>
        <v>CG412</v>
      </c>
      <c r="H1666" s="1076" t="str">
        <f>IFERROR(__xludf.DUMMYFUNCTION("""COMPUTED_VALUE"""),"1.8HP")</f>
        <v>1.8HP</v>
      </c>
      <c r="I1666" s="1076"/>
      <c r="J1666" s="1076"/>
      <c r="K1666" s="1076"/>
      <c r="L1666" s="1076" t="str">
        <f>IFERROR(__xludf.DUMMYFUNCTION("""COMPUTED_VALUE"""),"KLH")</f>
        <v>KLH</v>
      </c>
    </row>
    <row r="1667" customHeight="1" spans="1:12">
      <c r="A1667" s="1076" t="str">
        <f>IFERROR(__xludf.DUMMYFUNCTION("""COMPUTED_VALUE"""),"XB1-MPC-152")</f>
        <v>XB1-MPC-152</v>
      </c>
      <c r="B1667" s="1075" t="str">
        <f>IFERROR(__xludf.DUMMYFUNCTION("""COMPUTED_VALUE"""),"Máy phát cỏ 2 thì")</f>
        <v>Máy phát cỏ 2 thì</v>
      </c>
      <c r="C1667" s="1076" t="str">
        <f>IFERROR(__xludf.DUMMYFUNCTION("""COMPUTED_VALUE"""),"XN Bò AD")</f>
        <v>XN Bò AD</v>
      </c>
      <c r="D1667" s="1076" t="str">
        <f>IFERROR(__xludf.DUMMYFUNCTION("""COMPUTED_VALUE"""),"MARATA")</f>
        <v>MARATA</v>
      </c>
      <c r="E1667" s="1076" t="str">
        <f>IFERROR(__xludf.DUMMYFUNCTION("""COMPUTED_VALUE"""),"TRUNG QUỐC")</f>
        <v>TRUNG QUỐC</v>
      </c>
      <c r="F1667" s="1076"/>
      <c r="G1667" s="1076" t="str">
        <f>IFERROR(__xludf.DUMMYFUNCTION("""COMPUTED_VALUE"""),"CG412")</f>
        <v>CG412</v>
      </c>
      <c r="H1667" s="1076" t="str">
        <f>IFERROR(__xludf.DUMMYFUNCTION("""COMPUTED_VALUE"""),"1.8HP")</f>
        <v>1.8HP</v>
      </c>
      <c r="I1667" s="1076"/>
      <c r="J1667" s="1076"/>
      <c r="K1667" s="1076"/>
      <c r="L1667" s="1076" t="str">
        <f>IFERROR(__xludf.DUMMYFUNCTION("""COMPUTED_VALUE"""),"KLH")</f>
        <v>KLH</v>
      </c>
    </row>
    <row r="1668" customHeight="1" spans="1:12">
      <c r="A1668" s="1076" t="str">
        <f>IFERROR(__xludf.DUMMYFUNCTION("""COMPUTED_VALUE"""),"XB1-MPC-153")</f>
        <v>XB1-MPC-153</v>
      </c>
      <c r="B1668" s="1075" t="str">
        <f>IFERROR(__xludf.DUMMYFUNCTION("""COMPUTED_VALUE"""),"Máy phát cỏ 2 thì")</f>
        <v>Máy phát cỏ 2 thì</v>
      </c>
      <c r="C1668" s="1076" t="str">
        <f>IFERROR(__xludf.DUMMYFUNCTION("""COMPUTED_VALUE"""),"XN Bò AD")</f>
        <v>XN Bò AD</v>
      </c>
      <c r="D1668" s="1076" t="str">
        <f>IFERROR(__xludf.DUMMYFUNCTION("""COMPUTED_VALUE"""),"MARATA")</f>
        <v>MARATA</v>
      </c>
      <c r="E1668" s="1076" t="str">
        <f>IFERROR(__xludf.DUMMYFUNCTION("""COMPUTED_VALUE"""),"TRUNG QUỐC")</f>
        <v>TRUNG QUỐC</v>
      </c>
      <c r="F1668" s="1076"/>
      <c r="G1668" s="1076" t="str">
        <f>IFERROR(__xludf.DUMMYFUNCTION("""COMPUTED_VALUE"""),"CG412")</f>
        <v>CG412</v>
      </c>
      <c r="H1668" s="1076" t="str">
        <f>IFERROR(__xludf.DUMMYFUNCTION("""COMPUTED_VALUE"""),"1.8HP")</f>
        <v>1.8HP</v>
      </c>
      <c r="I1668" s="1076"/>
      <c r="J1668" s="1076"/>
      <c r="K1668" s="1076"/>
      <c r="L1668" s="1076" t="str">
        <f>IFERROR(__xludf.DUMMYFUNCTION("""COMPUTED_VALUE"""),"KLH")</f>
        <v>KLH</v>
      </c>
    </row>
    <row r="1669" customHeight="1" spans="1:12">
      <c r="A1669" s="1076" t="str">
        <f>IFERROR(__xludf.DUMMYFUNCTION("""COMPUTED_VALUE"""),"XB1-MPC-154")</f>
        <v>XB1-MPC-154</v>
      </c>
      <c r="B1669" s="1075" t="str">
        <f>IFERROR(__xludf.DUMMYFUNCTION("""COMPUTED_VALUE"""),"Máy phát cỏ 2 thì")</f>
        <v>Máy phát cỏ 2 thì</v>
      </c>
      <c r="C1669" s="1076" t="str">
        <f>IFERROR(__xludf.DUMMYFUNCTION("""COMPUTED_VALUE"""),"XN Bò AD")</f>
        <v>XN Bò AD</v>
      </c>
      <c r="D1669" s="1076" t="str">
        <f>IFERROR(__xludf.DUMMYFUNCTION("""COMPUTED_VALUE"""),"MARATA")</f>
        <v>MARATA</v>
      </c>
      <c r="E1669" s="1076" t="str">
        <f>IFERROR(__xludf.DUMMYFUNCTION("""COMPUTED_VALUE"""),"TRUNG QUỐC")</f>
        <v>TRUNG QUỐC</v>
      </c>
      <c r="F1669" s="1076"/>
      <c r="G1669" s="1076" t="str">
        <f>IFERROR(__xludf.DUMMYFUNCTION("""COMPUTED_VALUE"""),"CG412")</f>
        <v>CG412</v>
      </c>
      <c r="H1669" s="1076" t="str">
        <f>IFERROR(__xludf.DUMMYFUNCTION("""COMPUTED_VALUE"""),"1.8HP")</f>
        <v>1.8HP</v>
      </c>
      <c r="I1669" s="1076"/>
      <c r="J1669" s="1076"/>
      <c r="K1669" s="1076"/>
      <c r="L1669" s="1076" t="str">
        <f>IFERROR(__xludf.DUMMYFUNCTION("""COMPUTED_VALUE"""),"KLH")</f>
        <v>KLH</v>
      </c>
    </row>
    <row r="1670" customHeight="1" spans="1:12">
      <c r="A1670" s="1076" t="str">
        <f>IFERROR(__xludf.DUMMYFUNCTION("""COMPUTED_VALUE"""),"XB1-MPC-155")</f>
        <v>XB1-MPC-155</v>
      </c>
      <c r="B1670" s="1075" t="str">
        <f>IFERROR(__xludf.DUMMYFUNCTION("""COMPUTED_VALUE"""),"Máy phát cỏ 2 thì")</f>
        <v>Máy phát cỏ 2 thì</v>
      </c>
      <c r="C1670" s="1076" t="str">
        <f>IFERROR(__xludf.DUMMYFUNCTION("""COMPUTED_VALUE"""),"XN Bò AD")</f>
        <v>XN Bò AD</v>
      </c>
      <c r="D1670" s="1076" t="str">
        <f>IFERROR(__xludf.DUMMYFUNCTION("""COMPUTED_VALUE"""),"MARATA")</f>
        <v>MARATA</v>
      </c>
      <c r="E1670" s="1076" t="str">
        <f>IFERROR(__xludf.DUMMYFUNCTION("""COMPUTED_VALUE"""),"TRUNG QUỐC")</f>
        <v>TRUNG QUỐC</v>
      </c>
      <c r="F1670" s="1076"/>
      <c r="G1670" s="1076" t="str">
        <f>IFERROR(__xludf.DUMMYFUNCTION("""COMPUTED_VALUE"""),"CG412")</f>
        <v>CG412</v>
      </c>
      <c r="H1670" s="1076" t="str">
        <f>IFERROR(__xludf.DUMMYFUNCTION("""COMPUTED_VALUE"""),"1.8HP")</f>
        <v>1.8HP</v>
      </c>
      <c r="I1670" s="1076"/>
      <c r="J1670" s="1076"/>
      <c r="K1670" s="1076"/>
      <c r="L1670" s="1076" t="str">
        <f>IFERROR(__xludf.DUMMYFUNCTION("""COMPUTED_VALUE"""),"KLH")</f>
        <v>KLH</v>
      </c>
    </row>
    <row r="1671" customHeight="1" spans="1:12">
      <c r="A1671" s="1076" t="str">
        <f>IFERROR(__xludf.DUMMYFUNCTION("""COMPUTED_VALUE"""),"XB1-MPC-156")</f>
        <v>XB1-MPC-156</v>
      </c>
      <c r="B1671" s="1075" t="str">
        <f>IFERROR(__xludf.DUMMYFUNCTION("""COMPUTED_VALUE"""),"Máy phát cỏ 2 thì")</f>
        <v>Máy phát cỏ 2 thì</v>
      </c>
      <c r="C1671" s="1076" t="str">
        <f>IFERROR(__xludf.DUMMYFUNCTION("""COMPUTED_VALUE"""),"XN Bò AD")</f>
        <v>XN Bò AD</v>
      </c>
      <c r="D1671" s="1076" t="str">
        <f>IFERROR(__xludf.DUMMYFUNCTION("""COMPUTED_VALUE"""),"MARATA")</f>
        <v>MARATA</v>
      </c>
      <c r="E1671" s="1076" t="str">
        <f>IFERROR(__xludf.DUMMYFUNCTION("""COMPUTED_VALUE"""),"TRUNG QUỐC")</f>
        <v>TRUNG QUỐC</v>
      </c>
      <c r="F1671" s="1076"/>
      <c r="G1671" s="1076" t="str">
        <f>IFERROR(__xludf.DUMMYFUNCTION("""COMPUTED_VALUE"""),"CG412")</f>
        <v>CG412</v>
      </c>
      <c r="H1671" s="1076" t="str">
        <f>IFERROR(__xludf.DUMMYFUNCTION("""COMPUTED_VALUE"""),"1.8HP")</f>
        <v>1.8HP</v>
      </c>
      <c r="I1671" s="1076"/>
      <c r="J1671" s="1076"/>
      <c r="K1671" s="1076"/>
      <c r="L1671" s="1076" t="str">
        <f>IFERROR(__xludf.DUMMYFUNCTION("""COMPUTED_VALUE"""),"KLH")</f>
        <v>KLH</v>
      </c>
    </row>
    <row r="1672" customHeight="1" spans="1:12">
      <c r="A1672" s="1076" t="str">
        <f>IFERROR(__xludf.DUMMYFUNCTION("""COMPUTED_VALUE"""),"XB1-MPC-157")</f>
        <v>XB1-MPC-157</v>
      </c>
      <c r="B1672" s="1075" t="str">
        <f>IFERROR(__xludf.DUMMYFUNCTION("""COMPUTED_VALUE"""),"Máy phát cỏ 2 thì")</f>
        <v>Máy phát cỏ 2 thì</v>
      </c>
      <c r="C1672" s="1076" t="str">
        <f>IFERROR(__xludf.DUMMYFUNCTION("""COMPUTED_VALUE"""),"XN Bò AD")</f>
        <v>XN Bò AD</v>
      </c>
      <c r="D1672" s="1076" t="str">
        <f>IFERROR(__xludf.DUMMYFUNCTION("""COMPUTED_VALUE"""),"MARATA")</f>
        <v>MARATA</v>
      </c>
      <c r="E1672" s="1076" t="str">
        <f>IFERROR(__xludf.DUMMYFUNCTION("""COMPUTED_VALUE"""),"TRUNG QUỐC")</f>
        <v>TRUNG QUỐC</v>
      </c>
      <c r="F1672" s="1076"/>
      <c r="G1672" s="1076" t="str">
        <f>IFERROR(__xludf.DUMMYFUNCTION("""COMPUTED_VALUE"""),"CG412")</f>
        <v>CG412</v>
      </c>
      <c r="H1672" s="1076" t="str">
        <f>IFERROR(__xludf.DUMMYFUNCTION("""COMPUTED_VALUE"""),"1.8HP")</f>
        <v>1.8HP</v>
      </c>
      <c r="I1672" s="1076"/>
      <c r="J1672" s="1076"/>
      <c r="K1672" s="1076"/>
      <c r="L1672" s="1076" t="str">
        <f>IFERROR(__xludf.DUMMYFUNCTION("""COMPUTED_VALUE"""),"KLH")</f>
        <v>KLH</v>
      </c>
    </row>
    <row r="1673" customHeight="1" spans="1:12">
      <c r="A1673" s="1076" t="str">
        <f>IFERROR(__xludf.DUMMYFUNCTION("""COMPUTED_VALUE"""),"XB1-MPC-158")</f>
        <v>XB1-MPC-158</v>
      </c>
      <c r="B1673" s="1075" t="str">
        <f>IFERROR(__xludf.DUMMYFUNCTION("""COMPUTED_VALUE"""),"Máy phát cỏ 2 thì")</f>
        <v>Máy phát cỏ 2 thì</v>
      </c>
      <c r="C1673" s="1076" t="str">
        <f>IFERROR(__xludf.DUMMYFUNCTION("""COMPUTED_VALUE"""),"XN Bò AD")</f>
        <v>XN Bò AD</v>
      </c>
      <c r="D1673" s="1076" t="str">
        <f>IFERROR(__xludf.DUMMYFUNCTION("""COMPUTED_VALUE"""),"MARATA")</f>
        <v>MARATA</v>
      </c>
      <c r="E1673" s="1076" t="str">
        <f>IFERROR(__xludf.DUMMYFUNCTION("""COMPUTED_VALUE"""),"TRUNG QUỐC")</f>
        <v>TRUNG QUỐC</v>
      </c>
      <c r="F1673" s="1076"/>
      <c r="G1673" s="1076" t="str">
        <f>IFERROR(__xludf.DUMMYFUNCTION("""COMPUTED_VALUE"""),"CG412")</f>
        <v>CG412</v>
      </c>
      <c r="H1673" s="1076" t="str">
        <f>IFERROR(__xludf.DUMMYFUNCTION("""COMPUTED_VALUE"""),"1.8HP")</f>
        <v>1.8HP</v>
      </c>
      <c r="I1673" s="1076"/>
      <c r="J1673" s="1076"/>
      <c r="K1673" s="1076"/>
      <c r="L1673" s="1076" t="str">
        <f>IFERROR(__xludf.DUMMYFUNCTION("""COMPUTED_VALUE"""),"KLH")</f>
        <v>KLH</v>
      </c>
    </row>
    <row r="1674" customHeight="1" spans="1:12">
      <c r="A1674" s="1076" t="str">
        <f>IFERROR(__xludf.DUMMYFUNCTION("""COMPUTED_VALUE"""),"XB1-MPC-159")</f>
        <v>XB1-MPC-159</v>
      </c>
      <c r="B1674" s="1075" t="str">
        <f>IFERROR(__xludf.DUMMYFUNCTION("""COMPUTED_VALUE"""),"Máy phát cỏ 2 thì")</f>
        <v>Máy phát cỏ 2 thì</v>
      </c>
      <c r="C1674" s="1076" t="str">
        <f>IFERROR(__xludf.DUMMYFUNCTION("""COMPUTED_VALUE"""),"XN Bò AD")</f>
        <v>XN Bò AD</v>
      </c>
      <c r="D1674" s="1076" t="str">
        <f>IFERROR(__xludf.DUMMYFUNCTION("""COMPUTED_VALUE"""),"MARATA")</f>
        <v>MARATA</v>
      </c>
      <c r="E1674" s="1076" t="str">
        <f>IFERROR(__xludf.DUMMYFUNCTION("""COMPUTED_VALUE"""),"TRUNG QUỐC")</f>
        <v>TRUNG QUỐC</v>
      </c>
      <c r="F1674" s="1076"/>
      <c r="G1674" s="1076" t="str">
        <f>IFERROR(__xludf.DUMMYFUNCTION("""COMPUTED_VALUE"""),"CG412")</f>
        <v>CG412</v>
      </c>
      <c r="H1674" s="1076" t="str">
        <f>IFERROR(__xludf.DUMMYFUNCTION("""COMPUTED_VALUE"""),"1.8HP")</f>
        <v>1.8HP</v>
      </c>
      <c r="I1674" s="1076"/>
      <c r="J1674" s="1076"/>
      <c r="K1674" s="1076"/>
      <c r="L1674" s="1076" t="str">
        <f>IFERROR(__xludf.DUMMYFUNCTION("""COMPUTED_VALUE"""),"KLH")</f>
        <v>KLH</v>
      </c>
    </row>
    <row r="1675" customHeight="1" spans="1:12">
      <c r="A1675" s="1076" t="str">
        <f>IFERROR(__xludf.DUMMYFUNCTION("""COMPUTED_VALUE"""),"NT XOÀI AD")</f>
        <v>NT XOÀI AD</v>
      </c>
      <c r="B1675" s="1075"/>
      <c r="C1675" s="1076"/>
      <c r="D1675" s="1076"/>
      <c r="E1675" s="1076"/>
      <c r="F1675" s="1076"/>
      <c r="G1675" s="1076"/>
      <c r="H1675" s="1076"/>
      <c r="I1675" s="1076"/>
      <c r="J1675" s="1076"/>
      <c r="K1675" s="1076"/>
      <c r="L1675" s="1076" t="str">
        <f>IFERROR(__xludf.DUMMYFUNCTION("""COMPUTED_VALUE"""),"KLH")</f>
        <v>KLH</v>
      </c>
    </row>
    <row r="1676" customHeight="1" spans="1:12">
      <c r="A1676" s="1076" t="str">
        <f>IFERROR(__xludf.DUMMYFUNCTION("""COMPUTED_VALUE"""),"XXA-MPC-017")</f>
        <v>XXA-MPC-017</v>
      </c>
      <c r="B1676" s="1075" t="str">
        <f>IFERROR(__xludf.DUMMYFUNCTION("""COMPUTED_VALUE"""),"Máy phát cỏ 4 thì")</f>
        <v>Máy phát cỏ 4 thì</v>
      </c>
      <c r="C1676" s="1076" t="str">
        <f>IFERROR(__xludf.DUMMYFUNCTION("""COMPUTED_VALUE"""),"XOÀI AD")</f>
        <v>XOÀI AD</v>
      </c>
      <c r="D1676" s="1076" t="str">
        <f>IFERROR(__xludf.DUMMYFUNCTION("""COMPUTED_VALUE"""),"HINOTA  ")</f>
        <v>HINOTA  </v>
      </c>
      <c r="E1676" s="1076" t="str">
        <f>IFERROR(__xludf.DUMMYFUNCTION("""COMPUTED_VALUE"""),"Trung Quốc")</f>
        <v>Trung Quốc</v>
      </c>
      <c r="F1676" s="1076"/>
      <c r="G1676" s="1076" t="str">
        <f>IFERROR(__xludf.DUMMYFUNCTION("""COMPUTED_VALUE"""),"CG435")</f>
        <v>CG435</v>
      </c>
      <c r="H1676" s="1076" t="str">
        <f>IFERROR(__xludf.DUMMYFUNCTION("""COMPUTED_VALUE"""),"1.2HP")</f>
        <v>1.2HP</v>
      </c>
      <c r="I1676" s="1076" t="str">
        <f>IFERROR(__xludf.DUMMYFUNCTION("""COMPUTED_VALUE"""),"220511/ZOZC1-1M")</f>
        <v>220511/ZOZC1-1M</v>
      </c>
      <c r="J1676" s="1076"/>
      <c r="K1676" s="1076">
        <f>IFERROR(__xludf.DUMMYFUNCTION("""COMPUTED_VALUE"""),0.5)</f>
        <v>0.5</v>
      </c>
      <c r="L1676" s="1076" t="str">
        <f>IFERROR(__xludf.DUMMYFUNCTION("""COMPUTED_VALUE"""),"KLH")</f>
        <v>KLH</v>
      </c>
    </row>
    <row r="1677" customHeight="1" spans="1:12">
      <c r="A1677" s="1076" t="str">
        <f>IFERROR(__xludf.DUMMYFUNCTION("""COMPUTED_VALUE"""),"XXA-MPC-018")</f>
        <v>XXA-MPC-018</v>
      </c>
      <c r="B1677" s="1075" t="str">
        <f>IFERROR(__xludf.DUMMYFUNCTION("""COMPUTED_VALUE"""),"Máy phát cỏ 4 thì")</f>
        <v>Máy phát cỏ 4 thì</v>
      </c>
      <c r="C1677" s="1076" t="str">
        <f>IFERROR(__xludf.DUMMYFUNCTION("""COMPUTED_VALUE"""),"XOÀI AD")</f>
        <v>XOÀI AD</v>
      </c>
      <c r="D1677" s="1076" t="str">
        <f>IFERROR(__xludf.DUMMYFUNCTION("""COMPUTED_VALUE"""),"HINOTA  ")</f>
        <v>HINOTA  </v>
      </c>
      <c r="E1677" s="1076" t="str">
        <f>IFERROR(__xludf.DUMMYFUNCTION("""COMPUTED_VALUE"""),"Trung Quốc")</f>
        <v>Trung Quốc</v>
      </c>
      <c r="F1677" s="1076"/>
      <c r="G1677" s="1076" t="str">
        <f>IFERROR(__xludf.DUMMYFUNCTION("""COMPUTED_VALUE"""),"CG435")</f>
        <v>CG435</v>
      </c>
      <c r="H1677" s="1076" t="str">
        <f>IFERROR(__xludf.DUMMYFUNCTION("""COMPUTED_VALUE"""),"1.2HP")</f>
        <v>1.2HP</v>
      </c>
      <c r="I1677" s="1076" t="str">
        <f>IFERROR(__xludf.DUMMYFUNCTION("""COMPUTED_VALUE"""),"220511/ZOZC1-1M")</f>
        <v>220511/ZOZC1-1M</v>
      </c>
      <c r="J1677" s="1076"/>
      <c r="K1677" s="1076">
        <f>IFERROR(__xludf.DUMMYFUNCTION("""COMPUTED_VALUE"""),0.5)</f>
        <v>0.5</v>
      </c>
      <c r="L1677" s="1076" t="str">
        <f>IFERROR(__xludf.DUMMYFUNCTION("""COMPUTED_VALUE"""),"KLH")</f>
        <v>KLH</v>
      </c>
    </row>
    <row r="1678" customHeight="1" spans="1:12">
      <c r="A1678" s="1076" t="str">
        <f>IFERROR(__xludf.DUMMYFUNCTION("""COMPUTED_VALUE"""),"XXA-MPC-044")</f>
        <v>XXA-MPC-044</v>
      </c>
      <c r="B1678" s="1075" t="str">
        <f>IFERROR(__xludf.DUMMYFUNCTION("""COMPUTED_VALUE"""),"Máy phát cỏ 4 thì")</f>
        <v>Máy phát cỏ 4 thì</v>
      </c>
      <c r="C1678" s="1076" t="str">
        <f>IFERROR(__xludf.DUMMYFUNCTION("""COMPUTED_VALUE"""),"XOÀI AD")</f>
        <v>XOÀI AD</v>
      </c>
      <c r="D1678" s="1076" t="str">
        <f>IFERROR(__xludf.DUMMYFUNCTION("""COMPUTED_VALUE"""),"HONDA")</f>
        <v>HONDA</v>
      </c>
      <c r="E1678" s="1076" t="str">
        <f>IFERROR(__xludf.DUMMYFUNCTION("""COMPUTED_VALUE"""),"TRUNG QUỐC")</f>
        <v>TRUNG QUỐC</v>
      </c>
      <c r="F1678" s="1076"/>
      <c r="G1678" s="1076" t="str">
        <f>IFERROR(__xludf.DUMMYFUNCTION("""COMPUTED_VALUE"""),"GX35")</f>
        <v>GX35</v>
      </c>
      <c r="H1678" s="1076" t="str">
        <f>IFERROR(__xludf.DUMMYFUNCTION("""COMPUTED_VALUE"""),"1.6HP")</f>
        <v>1.6HP</v>
      </c>
      <c r="I1678" s="1076" t="str">
        <f>IFERROR(__xludf.DUMMYFUNCTION("""COMPUTED_VALUE"""),"GCAMT-7677939")</f>
        <v>GCAMT-7677939</v>
      </c>
      <c r="J1678" s="1076"/>
      <c r="K1678" s="1076">
        <f>IFERROR(__xludf.DUMMYFUNCTION("""COMPUTED_VALUE"""),0.5)</f>
        <v>0.5</v>
      </c>
      <c r="L1678" s="1076" t="str">
        <f>IFERROR(__xludf.DUMMYFUNCTION("""COMPUTED_VALUE"""),"KLH")</f>
        <v>KLH</v>
      </c>
    </row>
    <row r="1679" customHeight="1" spans="1:12">
      <c r="A1679" s="1076" t="str">
        <f>IFERROR(__xludf.DUMMYFUNCTION("""COMPUTED_VALUE"""),"XXA-MPC-045")</f>
        <v>XXA-MPC-045</v>
      </c>
      <c r="B1679" s="1075" t="str">
        <f>IFERROR(__xludf.DUMMYFUNCTION("""COMPUTED_VALUE"""),"Máy phát cỏ 4 thì")</f>
        <v>Máy phát cỏ 4 thì</v>
      </c>
      <c r="C1679" s="1076" t="str">
        <f>IFERROR(__xludf.DUMMYFUNCTION("""COMPUTED_VALUE"""),"XOÀI AD")</f>
        <v>XOÀI AD</v>
      </c>
      <c r="D1679" s="1076" t="str">
        <f>IFERROR(__xludf.DUMMYFUNCTION("""COMPUTED_VALUE"""),"HONDA")</f>
        <v>HONDA</v>
      </c>
      <c r="E1679" s="1076" t="str">
        <f>IFERROR(__xludf.DUMMYFUNCTION("""COMPUTED_VALUE"""),"TRUNG QUỐC")</f>
        <v>TRUNG QUỐC</v>
      </c>
      <c r="F1679" s="1076"/>
      <c r="G1679" s="1076" t="str">
        <f>IFERROR(__xludf.DUMMYFUNCTION("""COMPUTED_VALUE"""),"GX35")</f>
        <v>GX35</v>
      </c>
      <c r="H1679" s="1076" t="str">
        <f>IFERROR(__xludf.DUMMYFUNCTION("""COMPUTED_VALUE"""),"1.6HP")</f>
        <v>1.6HP</v>
      </c>
      <c r="I1679" s="1076" t="str">
        <f>IFERROR(__xludf.DUMMYFUNCTION("""COMPUTED_VALUE"""),"GCAMT-7676251")</f>
        <v>GCAMT-7676251</v>
      </c>
      <c r="J1679" s="1076"/>
      <c r="K1679" s="1076">
        <f>IFERROR(__xludf.DUMMYFUNCTION("""COMPUTED_VALUE"""),0.5)</f>
        <v>0.5</v>
      </c>
      <c r="L1679" s="1076" t="str">
        <f>IFERROR(__xludf.DUMMYFUNCTION("""COMPUTED_VALUE"""),"KLH")</f>
        <v>KLH</v>
      </c>
    </row>
    <row r="1680" customHeight="1" spans="1:12">
      <c r="A1680" s="1076" t="str">
        <f>IFERROR(__xludf.DUMMYFUNCTION("""COMPUTED_VALUE"""),"XXA-MPC-046")</f>
        <v>XXA-MPC-046</v>
      </c>
      <c r="B1680" s="1075" t="str">
        <f>IFERROR(__xludf.DUMMYFUNCTION("""COMPUTED_VALUE"""),"Máy phát cỏ 4 thì")</f>
        <v>Máy phát cỏ 4 thì</v>
      </c>
      <c r="C1680" s="1076" t="str">
        <f>IFERROR(__xludf.DUMMYFUNCTION("""COMPUTED_VALUE"""),"XOÀI AD")</f>
        <v>XOÀI AD</v>
      </c>
      <c r="D1680" s="1076" t="str">
        <f>IFERROR(__xludf.DUMMYFUNCTION("""COMPUTED_VALUE"""),"HONDA")</f>
        <v>HONDA</v>
      </c>
      <c r="E1680" s="1076" t="str">
        <f>IFERROR(__xludf.DUMMYFUNCTION("""COMPUTED_VALUE"""),"TRUNG QUỐC")</f>
        <v>TRUNG QUỐC</v>
      </c>
      <c r="F1680" s="1076"/>
      <c r="G1680" s="1076" t="str">
        <f>IFERROR(__xludf.DUMMYFUNCTION("""COMPUTED_VALUE"""),"GX35")</f>
        <v>GX35</v>
      </c>
      <c r="H1680" s="1076" t="str">
        <f>IFERROR(__xludf.DUMMYFUNCTION("""COMPUTED_VALUE"""),"1.6HP")</f>
        <v>1.6HP</v>
      </c>
      <c r="I1680" s="1076" t="str">
        <f>IFERROR(__xludf.DUMMYFUNCTION("""COMPUTED_VALUE"""),"GCAMT-7677960")</f>
        <v>GCAMT-7677960</v>
      </c>
      <c r="J1680" s="1076"/>
      <c r="K1680" s="1076">
        <f>IFERROR(__xludf.DUMMYFUNCTION("""COMPUTED_VALUE"""),0.5)</f>
        <v>0.5</v>
      </c>
      <c r="L1680" s="1076" t="str">
        <f>IFERROR(__xludf.DUMMYFUNCTION("""COMPUTED_VALUE"""),"KLH")</f>
        <v>KLH</v>
      </c>
    </row>
    <row r="1681" customHeight="1" spans="1:12">
      <c r="A1681" s="1076" t="str">
        <f>IFERROR(__xludf.DUMMYFUNCTION("""COMPUTED_VALUE"""),"XXA-MPC-047")</f>
        <v>XXA-MPC-047</v>
      </c>
      <c r="B1681" s="1075" t="str">
        <f>IFERROR(__xludf.DUMMYFUNCTION("""COMPUTED_VALUE"""),"Máy phát cỏ 4 thì")</f>
        <v>Máy phát cỏ 4 thì</v>
      </c>
      <c r="C1681" s="1076" t="str">
        <f>IFERROR(__xludf.DUMMYFUNCTION("""COMPUTED_VALUE"""),"XOÀI AD")</f>
        <v>XOÀI AD</v>
      </c>
      <c r="D1681" s="1076" t="str">
        <f>IFERROR(__xludf.DUMMYFUNCTION("""COMPUTED_VALUE"""),"HONDA")</f>
        <v>HONDA</v>
      </c>
      <c r="E1681" s="1076" t="str">
        <f>IFERROR(__xludf.DUMMYFUNCTION("""COMPUTED_VALUE"""),"TRUNG QUỐC")</f>
        <v>TRUNG QUỐC</v>
      </c>
      <c r="F1681" s="1076"/>
      <c r="G1681" s="1076" t="str">
        <f>IFERROR(__xludf.DUMMYFUNCTION("""COMPUTED_VALUE"""),"GX35")</f>
        <v>GX35</v>
      </c>
      <c r="H1681" s="1076" t="str">
        <f>IFERROR(__xludf.DUMMYFUNCTION("""COMPUTED_VALUE"""),"1.6HP")</f>
        <v>1.6HP</v>
      </c>
      <c r="I1681" s="1076" t="str">
        <f>IFERROR(__xludf.DUMMYFUNCTION("""COMPUTED_VALUE"""),"GCAMT-7655192")</f>
        <v>GCAMT-7655192</v>
      </c>
      <c r="J1681" s="1076"/>
      <c r="K1681" s="1076">
        <f>IFERROR(__xludf.DUMMYFUNCTION("""COMPUTED_VALUE"""),0.5)</f>
        <v>0.5</v>
      </c>
      <c r="L1681" s="1076" t="str">
        <f>IFERROR(__xludf.DUMMYFUNCTION("""COMPUTED_VALUE"""),"KLH")</f>
        <v>KLH</v>
      </c>
    </row>
    <row r="1682" customHeight="1" spans="1:12">
      <c r="A1682" s="1076" t="str">
        <f>IFERROR(__xludf.DUMMYFUNCTION("""COMPUTED_VALUE"""),"XXA-MPC-048")</f>
        <v>XXA-MPC-048</v>
      </c>
      <c r="B1682" s="1075" t="str">
        <f>IFERROR(__xludf.DUMMYFUNCTION("""COMPUTED_VALUE"""),"Máy phát cỏ 4 thì")</f>
        <v>Máy phát cỏ 4 thì</v>
      </c>
      <c r="C1682" s="1076" t="str">
        <f>IFERROR(__xludf.DUMMYFUNCTION("""COMPUTED_VALUE"""),"XOÀI AD")</f>
        <v>XOÀI AD</v>
      </c>
      <c r="D1682" s="1076" t="str">
        <f>IFERROR(__xludf.DUMMYFUNCTION("""COMPUTED_VALUE"""),"HONDA")</f>
        <v>HONDA</v>
      </c>
      <c r="E1682" s="1076" t="str">
        <f>IFERROR(__xludf.DUMMYFUNCTION("""COMPUTED_VALUE"""),"TRUNG QUỐC")</f>
        <v>TRUNG QUỐC</v>
      </c>
      <c r="F1682" s="1076"/>
      <c r="G1682" s="1076" t="str">
        <f>IFERROR(__xludf.DUMMYFUNCTION("""COMPUTED_VALUE"""),"GX35")</f>
        <v>GX35</v>
      </c>
      <c r="H1682" s="1076" t="str">
        <f>IFERROR(__xludf.DUMMYFUNCTION("""COMPUTED_VALUE"""),"1.6HP")</f>
        <v>1.6HP</v>
      </c>
      <c r="I1682" s="1076" t="str">
        <f>IFERROR(__xludf.DUMMYFUNCTION("""COMPUTED_VALUE"""),"GCAMT-7655158")</f>
        <v>GCAMT-7655158</v>
      </c>
      <c r="J1682" s="1076"/>
      <c r="K1682" s="1076">
        <f>IFERROR(__xludf.DUMMYFUNCTION("""COMPUTED_VALUE"""),0.5)</f>
        <v>0.5</v>
      </c>
      <c r="L1682" s="1076" t="str">
        <f>IFERROR(__xludf.DUMMYFUNCTION("""COMPUTED_VALUE"""),"KLH")</f>
        <v>KLH</v>
      </c>
    </row>
    <row r="1683" customHeight="1" spans="1:12">
      <c r="A1683" s="1076" t="str">
        <f>IFERROR(__xludf.DUMMYFUNCTION("""COMPUTED_VALUE"""),"XXA-MPC-049")</f>
        <v>XXA-MPC-049</v>
      </c>
      <c r="B1683" s="1075" t="str">
        <f>IFERROR(__xludf.DUMMYFUNCTION("""COMPUTED_VALUE"""),"Máy phát cỏ 4 thì")</f>
        <v>Máy phát cỏ 4 thì</v>
      </c>
      <c r="C1683" s="1076" t="str">
        <f>IFERROR(__xludf.DUMMYFUNCTION("""COMPUTED_VALUE"""),"XOÀI AD")</f>
        <v>XOÀI AD</v>
      </c>
      <c r="D1683" s="1076" t="str">
        <f>IFERROR(__xludf.DUMMYFUNCTION("""COMPUTED_VALUE"""),"HONDA")</f>
        <v>HONDA</v>
      </c>
      <c r="E1683" s="1076" t="str">
        <f>IFERROR(__xludf.DUMMYFUNCTION("""COMPUTED_VALUE"""),"TRUNG QUỐC")</f>
        <v>TRUNG QUỐC</v>
      </c>
      <c r="F1683" s="1076"/>
      <c r="G1683" s="1076" t="str">
        <f>IFERROR(__xludf.DUMMYFUNCTION("""COMPUTED_VALUE"""),"GX35")</f>
        <v>GX35</v>
      </c>
      <c r="H1683" s="1076" t="str">
        <f>IFERROR(__xludf.DUMMYFUNCTION("""COMPUTED_VALUE"""),"1.6HP")</f>
        <v>1.6HP</v>
      </c>
      <c r="I1683" s="1076" t="str">
        <f>IFERROR(__xludf.DUMMYFUNCTION("""COMPUTED_VALUE"""),"GCAMT-7657287")</f>
        <v>GCAMT-7657287</v>
      </c>
      <c r="J1683" s="1076"/>
      <c r="K1683" s="1076">
        <f>IFERROR(__xludf.DUMMYFUNCTION("""COMPUTED_VALUE"""),0.5)</f>
        <v>0.5</v>
      </c>
      <c r="L1683" s="1076" t="str">
        <f>IFERROR(__xludf.DUMMYFUNCTION("""COMPUTED_VALUE"""),"KLH")</f>
        <v>KLH</v>
      </c>
    </row>
    <row r="1684" customHeight="1" spans="1:12">
      <c r="A1684" s="1076" t="str">
        <f>IFERROR(__xludf.DUMMYFUNCTION("""COMPUTED_VALUE"""),"XXA-MPC-050")</f>
        <v>XXA-MPC-050</v>
      </c>
      <c r="B1684" s="1075" t="str">
        <f>IFERROR(__xludf.DUMMYFUNCTION("""COMPUTED_VALUE"""),"Máy phát cỏ 4 thì")</f>
        <v>Máy phát cỏ 4 thì</v>
      </c>
      <c r="C1684" s="1076" t="str">
        <f>IFERROR(__xludf.DUMMYFUNCTION("""COMPUTED_VALUE"""),"XOÀI AD")</f>
        <v>XOÀI AD</v>
      </c>
      <c r="D1684" s="1076" t="str">
        <f>IFERROR(__xludf.DUMMYFUNCTION("""COMPUTED_VALUE"""),"HONDA")</f>
        <v>HONDA</v>
      </c>
      <c r="E1684" s="1076" t="str">
        <f>IFERROR(__xludf.DUMMYFUNCTION("""COMPUTED_VALUE"""),"TRUNG QUỐC")</f>
        <v>TRUNG QUỐC</v>
      </c>
      <c r="F1684" s="1076"/>
      <c r="G1684" s="1076" t="str">
        <f>IFERROR(__xludf.DUMMYFUNCTION("""COMPUTED_VALUE"""),"GX35")</f>
        <v>GX35</v>
      </c>
      <c r="H1684" s="1076" t="str">
        <f>IFERROR(__xludf.DUMMYFUNCTION("""COMPUTED_VALUE"""),"1.6HP")</f>
        <v>1.6HP</v>
      </c>
      <c r="I1684" s="1076" t="str">
        <f>IFERROR(__xludf.DUMMYFUNCTION("""COMPUTED_VALUE"""),"GCAMT-7655395")</f>
        <v>GCAMT-7655395</v>
      </c>
      <c r="J1684" s="1076"/>
      <c r="K1684" s="1076">
        <f>IFERROR(__xludf.DUMMYFUNCTION("""COMPUTED_VALUE"""),0.5)</f>
        <v>0.5</v>
      </c>
      <c r="L1684" s="1076" t="str">
        <f>IFERROR(__xludf.DUMMYFUNCTION("""COMPUTED_VALUE"""),"KLH")</f>
        <v>KLH</v>
      </c>
    </row>
    <row r="1685" customHeight="1" spans="1:12">
      <c r="A1685" s="1076" t="str">
        <f>IFERROR(__xludf.DUMMYFUNCTION("""COMPUTED_VALUE"""),"XXA-MPC-051")</f>
        <v>XXA-MPC-051</v>
      </c>
      <c r="B1685" s="1075" t="str">
        <f>IFERROR(__xludf.DUMMYFUNCTION("""COMPUTED_VALUE"""),"Máy phát cỏ 2 thì")</f>
        <v>Máy phát cỏ 2 thì</v>
      </c>
      <c r="C1685" s="1076" t="str">
        <f>IFERROR(__xludf.DUMMYFUNCTION("""COMPUTED_VALUE"""),"XOÀI AD")</f>
        <v>XOÀI AD</v>
      </c>
      <c r="D1685" s="1076" t="str">
        <f>IFERROR(__xludf.DUMMYFUNCTION("""COMPUTED_VALUE"""),"MARATA")</f>
        <v>MARATA</v>
      </c>
      <c r="E1685" s="1076" t="str">
        <f>IFERROR(__xludf.DUMMYFUNCTION("""COMPUTED_VALUE"""),"TRUNG QUỐC")</f>
        <v>TRUNG QUỐC</v>
      </c>
      <c r="F1685" s="1076"/>
      <c r="G1685" s="1076" t="str">
        <f>IFERROR(__xludf.DUMMYFUNCTION("""COMPUTED_VALUE"""),"CG411")</f>
        <v>CG411</v>
      </c>
      <c r="H1685" s="1076" t="str">
        <f>IFERROR(__xludf.DUMMYFUNCTION("""COMPUTED_VALUE"""),"1.8HP")</f>
        <v>1.8HP</v>
      </c>
      <c r="I1685" s="1076"/>
      <c r="J1685" s="1076"/>
      <c r="K1685" s="1076"/>
      <c r="L1685" s="1076" t="str">
        <f>IFERROR(__xludf.DUMMYFUNCTION("""COMPUTED_VALUE"""),"KLH")</f>
        <v>KLH</v>
      </c>
    </row>
    <row r="1686" customHeight="1" spans="1:12">
      <c r="A1686" s="1076" t="str">
        <f>IFERROR(__xludf.DUMMYFUNCTION("""COMPUTED_VALUE"""),"XXA-MPC-052")</f>
        <v>XXA-MPC-052</v>
      </c>
      <c r="B1686" s="1075" t="str">
        <f>IFERROR(__xludf.DUMMYFUNCTION("""COMPUTED_VALUE"""),"Máy phát cỏ 2 thì")</f>
        <v>Máy phát cỏ 2 thì</v>
      </c>
      <c r="C1686" s="1076" t="str">
        <f>IFERROR(__xludf.DUMMYFUNCTION("""COMPUTED_VALUE"""),"XOÀI AD")</f>
        <v>XOÀI AD</v>
      </c>
      <c r="D1686" s="1076" t="str">
        <f>IFERROR(__xludf.DUMMYFUNCTION("""COMPUTED_VALUE"""),"MARATA")</f>
        <v>MARATA</v>
      </c>
      <c r="E1686" s="1076" t="str">
        <f>IFERROR(__xludf.DUMMYFUNCTION("""COMPUTED_VALUE"""),"TRUNG QUỐC")</f>
        <v>TRUNG QUỐC</v>
      </c>
      <c r="F1686" s="1076"/>
      <c r="G1686" s="1076" t="str">
        <f>IFERROR(__xludf.DUMMYFUNCTION("""COMPUTED_VALUE"""),"CG411")</f>
        <v>CG411</v>
      </c>
      <c r="H1686" s="1076" t="str">
        <f>IFERROR(__xludf.DUMMYFUNCTION("""COMPUTED_VALUE"""),"1.8HP")</f>
        <v>1.8HP</v>
      </c>
      <c r="I1686" s="1076"/>
      <c r="J1686" s="1076"/>
      <c r="K1686" s="1076"/>
      <c r="L1686" s="1076" t="str">
        <f>IFERROR(__xludf.DUMMYFUNCTION("""COMPUTED_VALUE"""),"KLH")</f>
        <v>KLH</v>
      </c>
    </row>
    <row r="1687" customHeight="1" spans="1:12">
      <c r="A1687" s="1076" t="str">
        <f>IFERROR(__xludf.DUMMYFUNCTION("""COMPUTED_VALUE"""),"XXA-MPC-053")</f>
        <v>XXA-MPC-053</v>
      </c>
      <c r="B1687" s="1075" t="str">
        <f>IFERROR(__xludf.DUMMYFUNCTION("""COMPUTED_VALUE"""),"Máy phát cỏ 2 thì")</f>
        <v>Máy phát cỏ 2 thì</v>
      </c>
      <c r="C1687" s="1076" t="str">
        <f>IFERROR(__xludf.DUMMYFUNCTION("""COMPUTED_VALUE"""),"XOÀI AD")</f>
        <v>XOÀI AD</v>
      </c>
      <c r="D1687" s="1076" t="str">
        <f>IFERROR(__xludf.DUMMYFUNCTION("""COMPUTED_VALUE"""),"MARATA")</f>
        <v>MARATA</v>
      </c>
      <c r="E1687" s="1076" t="str">
        <f>IFERROR(__xludf.DUMMYFUNCTION("""COMPUTED_VALUE"""),"TRUNG QUỐC")</f>
        <v>TRUNG QUỐC</v>
      </c>
      <c r="F1687" s="1076"/>
      <c r="G1687" s="1076" t="str">
        <f>IFERROR(__xludf.DUMMYFUNCTION("""COMPUTED_VALUE"""),"CG411")</f>
        <v>CG411</v>
      </c>
      <c r="H1687" s="1076" t="str">
        <f>IFERROR(__xludf.DUMMYFUNCTION("""COMPUTED_VALUE"""),"1.8HP")</f>
        <v>1.8HP</v>
      </c>
      <c r="I1687" s="1076"/>
      <c r="J1687" s="1076"/>
      <c r="K1687" s="1076"/>
      <c r="L1687" s="1076" t="str">
        <f>IFERROR(__xludf.DUMMYFUNCTION("""COMPUTED_VALUE"""),"KLH")</f>
        <v>KLH</v>
      </c>
    </row>
    <row r="1688" customHeight="1" spans="1:12">
      <c r="A1688" s="1076" t="str">
        <f>IFERROR(__xludf.DUMMYFUNCTION("""COMPUTED_VALUE"""),"XXA-MPC-054")</f>
        <v>XXA-MPC-054</v>
      </c>
      <c r="B1688" s="1075" t="str">
        <f>IFERROR(__xludf.DUMMYFUNCTION("""COMPUTED_VALUE"""),"Máy phát cỏ 2 thì")</f>
        <v>Máy phát cỏ 2 thì</v>
      </c>
      <c r="C1688" s="1076" t="str">
        <f>IFERROR(__xludf.DUMMYFUNCTION("""COMPUTED_VALUE"""),"XOÀI AD")</f>
        <v>XOÀI AD</v>
      </c>
      <c r="D1688" s="1076" t="str">
        <f>IFERROR(__xludf.DUMMYFUNCTION("""COMPUTED_VALUE"""),"MARATA")</f>
        <v>MARATA</v>
      </c>
      <c r="E1688" s="1076" t="str">
        <f>IFERROR(__xludf.DUMMYFUNCTION("""COMPUTED_VALUE"""),"TRUNG QUỐC")</f>
        <v>TRUNG QUỐC</v>
      </c>
      <c r="F1688" s="1076"/>
      <c r="G1688" s="1076" t="str">
        <f>IFERROR(__xludf.DUMMYFUNCTION("""COMPUTED_VALUE"""),"CG411")</f>
        <v>CG411</v>
      </c>
      <c r="H1688" s="1076" t="str">
        <f>IFERROR(__xludf.DUMMYFUNCTION("""COMPUTED_VALUE"""),"1.8HP")</f>
        <v>1.8HP</v>
      </c>
      <c r="I1688" s="1076"/>
      <c r="J1688" s="1076"/>
      <c r="K1688" s="1076"/>
      <c r="L1688" s="1076" t="str">
        <f>IFERROR(__xludf.DUMMYFUNCTION("""COMPUTED_VALUE"""),"KLH")</f>
        <v>KLH</v>
      </c>
    </row>
    <row r="1689" customHeight="1" spans="1:12">
      <c r="A1689" s="1076" t="str">
        <f>IFERROR(__xludf.DUMMYFUNCTION("""COMPUTED_VALUE"""),"XXA-MPC-055")</f>
        <v>XXA-MPC-055</v>
      </c>
      <c r="B1689" s="1075" t="str">
        <f>IFERROR(__xludf.DUMMYFUNCTION("""COMPUTED_VALUE"""),"Máy phát cỏ 2 thì")</f>
        <v>Máy phát cỏ 2 thì</v>
      </c>
      <c r="C1689" s="1076" t="str">
        <f>IFERROR(__xludf.DUMMYFUNCTION("""COMPUTED_VALUE"""),"XOÀI AD")</f>
        <v>XOÀI AD</v>
      </c>
      <c r="D1689" s="1076" t="str">
        <f>IFERROR(__xludf.DUMMYFUNCTION("""COMPUTED_VALUE"""),"MARATA")</f>
        <v>MARATA</v>
      </c>
      <c r="E1689" s="1076" t="str">
        <f>IFERROR(__xludf.DUMMYFUNCTION("""COMPUTED_VALUE"""),"TRUNG QUỐC")</f>
        <v>TRUNG QUỐC</v>
      </c>
      <c r="F1689" s="1076"/>
      <c r="G1689" s="1076" t="str">
        <f>IFERROR(__xludf.DUMMYFUNCTION("""COMPUTED_VALUE"""),"CG411")</f>
        <v>CG411</v>
      </c>
      <c r="H1689" s="1076" t="str">
        <f>IFERROR(__xludf.DUMMYFUNCTION("""COMPUTED_VALUE"""),"1.8HP")</f>
        <v>1.8HP</v>
      </c>
      <c r="I1689" s="1076"/>
      <c r="J1689" s="1076"/>
      <c r="K1689" s="1076"/>
      <c r="L1689" s="1076" t="str">
        <f>IFERROR(__xludf.DUMMYFUNCTION("""COMPUTED_VALUE"""),"KLH")</f>
        <v>KLH</v>
      </c>
    </row>
    <row r="1690" customHeight="1" spans="1:12">
      <c r="A1690" s="1076" t="str">
        <f>IFERROR(__xludf.DUMMYFUNCTION("""COMPUTED_VALUE"""),"XXA-MPC-056")</f>
        <v>XXA-MPC-056</v>
      </c>
      <c r="B1690" s="1075" t="str">
        <f>IFERROR(__xludf.DUMMYFUNCTION("""COMPUTED_VALUE"""),"Máy phát cỏ 2 thì")</f>
        <v>Máy phát cỏ 2 thì</v>
      </c>
      <c r="C1690" s="1076" t="str">
        <f>IFERROR(__xludf.DUMMYFUNCTION("""COMPUTED_VALUE"""),"XOÀI AD")</f>
        <v>XOÀI AD</v>
      </c>
      <c r="D1690" s="1076" t="str">
        <f>IFERROR(__xludf.DUMMYFUNCTION("""COMPUTED_VALUE"""),"MARATA")</f>
        <v>MARATA</v>
      </c>
      <c r="E1690" s="1076" t="str">
        <f>IFERROR(__xludf.DUMMYFUNCTION("""COMPUTED_VALUE"""),"TRUNG QUỐC")</f>
        <v>TRUNG QUỐC</v>
      </c>
      <c r="F1690" s="1076"/>
      <c r="G1690" s="1076" t="str">
        <f>IFERROR(__xludf.DUMMYFUNCTION("""COMPUTED_VALUE"""),"CG411")</f>
        <v>CG411</v>
      </c>
      <c r="H1690" s="1076" t="str">
        <f>IFERROR(__xludf.DUMMYFUNCTION("""COMPUTED_VALUE"""),"1.8HP")</f>
        <v>1.8HP</v>
      </c>
      <c r="I1690" s="1076"/>
      <c r="J1690" s="1076"/>
      <c r="K1690" s="1076"/>
      <c r="L1690" s="1076" t="str">
        <f>IFERROR(__xludf.DUMMYFUNCTION("""COMPUTED_VALUE"""),"KLH")</f>
        <v>KLH</v>
      </c>
    </row>
    <row r="1691" customHeight="1" spans="1:12">
      <c r="A1691" s="1076" t="str">
        <f>IFERROR(__xludf.DUMMYFUNCTION("""COMPUTED_VALUE"""),"XXA-MPC-057")</f>
        <v>XXA-MPC-057</v>
      </c>
      <c r="B1691" s="1075" t="str">
        <f>IFERROR(__xludf.DUMMYFUNCTION("""COMPUTED_VALUE"""),"Máy phát cỏ 2 thì")</f>
        <v>Máy phát cỏ 2 thì</v>
      </c>
      <c r="C1691" s="1076" t="str">
        <f>IFERROR(__xludf.DUMMYFUNCTION("""COMPUTED_VALUE"""),"XOÀI AD")</f>
        <v>XOÀI AD</v>
      </c>
      <c r="D1691" s="1076" t="str">
        <f>IFERROR(__xludf.DUMMYFUNCTION("""COMPUTED_VALUE"""),"MARATA")</f>
        <v>MARATA</v>
      </c>
      <c r="E1691" s="1076" t="str">
        <f>IFERROR(__xludf.DUMMYFUNCTION("""COMPUTED_VALUE"""),"TRUNG QUỐC")</f>
        <v>TRUNG QUỐC</v>
      </c>
      <c r="F1691" s="1076"/>
      <c r="G1691" s="1076" t="str">
        <f>IFERROR(__xludf.DUMMYFUNCTION("""COMPUTED_VALUE"""),"CG411")</f>
        <v>CG411</v>
      </c>
      <c r="H1691" s="1076" t="str">
        <f>IFERROR(__xludf.DUMMYFUNCTION("""COMPUTED_VALUE"""),"1.8HP")</f>
        <v>1.8HP</v>
      </c>
      <c r="I1691" s="1076"/>
      <c r="J1691" s="1076"/>
      <c r="K1691" s="1076"/>
      <c r="L1691" s="1076" t="str">
        <f>IFERROR(__xludf.DUMMYFUNCTION("""COMPUTED_VALUE"""),"KLH")</f>
        <v>KLH</v>
      </c>
    </row>
    <row r="1692" customHeight="1" spans="1:12">
      <c r="A1692" s="1076" t="str">
        <f>IFERROR(__xludf.DUMMYFUNCTION("""COMPUTED_VALUE"""),"XXA-MPC-058")</f>
        <v>XXA-MPC-058</v>
      </c>
      <c r="B1692" s="1075" t="str">
        <f>IFERROR(__xludf.DUMMYFUNCTION("""COMPUTED_VALUE"""),"Máy phát cỏ 2 thì")</f>
        <v>Máy phát cỏ 2 thì</v>
      </c>
      <c r="C1692" s="1076" t="str">
        <f>IFERROR(__xludf.DUMMYFUNCTION("""COMPUTED_VALUE"""),"XOÀI AD")</f>
        <v>XOÀI AD</v>
      </c>
      <c r="D1692" s="1076" t="str">
        <f>IFERROR(__xludf.DUMMYFUNCTION("""COMPUTED_VALUE"""),"MARATA")</f>
        <v>MARATA</v>
      </c>
      <c r="E1692" s="1076" t="str">
        <f>IFERROR(__xludf.DUMMYFUNCTION("""COMPUTED_VALUE"""),"TRUNG QUỐC")</f>
        <v>TRUNG QUỐC</v>
      </c>
      <c r="F1692" s="1076"/>
      <c r="G1692" s="1076" t="str">
        <f>IFERROR(__xludf.DUMMYFUNCTION("""COMPUTED_VALUE"""),"CG411")</f>
        <v>CG411</v>
      </c>
      <c r="H1692" s="1076" t="str">
        <f>IFERROR(__xludf.DUMMYFUNCTION("""COMPUTED_VALUE"""),"1.8HP")</f>
        <v>1.8HP</v>
      </c>
      <c r="I1692" s="1076"/>
      <c r="J1692" s="1076"/>
      <c r="K1692" s="1076"/>
      <c r="L1692" s="1076" t="str">
        <f>IFERROR(__xludf.DUMMYFUNCTION("""COMPUTED_VALUE"""),"KLH")</f>
        <v>KLH</v>
      </c>
    </row>
    <row r="1693" customHeight="1" spans="1:12">
      <c r="A1693" s="1076" t="str">
        <f>IFERROR(__xludf.DUMMYFUNCTION("""COMPUTED_VALUE"""),"XXA-MPC-059")</f>
        <v>XXA-MPC-059</v>
      </c>
      <c r="B1693" s="1075" t="str">
        <f>IFERROR(__xludf.DUMMYFUNCTION("""COMPUTED_VALUE"""),"Máy phát cỏ 2 thì")</f>
        <v>Máy phát cỏ 2 thì</v>
      </c>
      <c r="C1693" s="1076" t="str">
        <f>IFERROR(__xludf.DUMMYFUNCTION("""COMPUTED_VALUE"""),"XOÀI AD")</f>
        <v>XOÀI AD</v>
      </c>
      <c r="D1693" s="1076" t="str">
        <f>IFERROR(__xludf.DUMMYFUNCTION("""COMPUTED_VALUE"""),"MARATA")</f>
        <v>MARATA</v>
      </c>
      <c r="E1693" s="1076" t="str">
        <f>IFERROR(__xludf.DUMMYFUNCTION("""COMPUTED_VALUE"""),"TRUNG QUỐC")</f>
        <v>TRUNG QUỐC</v>
      </c>
      <c r="F1693" s="1076"/>
      <c r="G1693" s="1076" t="str">
        <f>IFERROR(__xludf.DUMMYFUNCTION("""COMPUTED_VALUE"""),"CG411")</f>
        <v>CG411</v>
      </c>
      <c r="H1693" s="1076" t="str">
        <f>IFERROR(__xludf.DUMMYFUNCTION("""COMPUTED_VALUE"""),"1.8HP")</f>
        <v>1.8HP</v>
      </c>
      <c r="I1693" s="1076"/>
      <c r="J1693" s="1076"/>
      <c r="K1693" s="1076"/>
      <c r="L1693" s="1076" t="str">
        <f>IFERROR(__xludf.DUMMYFUNCTION("""COMPUTED_VALUE"""),"KLH")</f>
        <v>KLH</v>
      </c>
    </row>
    <row r="1694" customHeight="1" spans="1:12">
      <c r="A1694" s="1076" t="str">
        <f>IFERROR(__xludf.DUMMYFUNCTION("""COMPUTED_VALUE"""),"XXA-MPC-060")</f>
        <v>XXA-MPC-060</v>
      </c>
      <c r="B1694" s="1075" t="str">
        <f>IFERROR(__xludf.DUMMYFUNCTION("""COMPUTED_VALUE"""),"Máy phát cỏ 2 thì")</f>
        <v>Máy phát cỏ 2 thì</v>
      </c>
      <c r="C1694" s="1076" t="str">
        <f>IFERROR(__xludf.DUMMYFUNCTION("""COMPUTED_VALUE"""),"XOÀI AD")</f>
        <v>XOÀI AD</v>
      </c>
      <c r="D1694" s="1076" t="str">
        <f>IFERROR(__xludf.DUMMYFUNCTION("""COMPUTED_VALUE"""),"MARATA")</f>
        <v>MARATA</v>
      </c>
      <c r="E1694" s="1076" t="str">
        <f>IFERROR(__xludf.DUMMYFUNCTION("""COMPUTED_VALUE"""),"TRUNG QUỐC")</f>
        <v>TRUNG QUỐC</v>
      </c>
      <c r="F1694" s="1076"/>
      <c r="G1694" s="1076" t="str">
        <f>IFERROR(__xludf.DUMMYFUNCTION("""COMPUTED_VALUE"""),"CG411")</f>
        <v>CG411</v>
      </c>
      <c r="H1694" s="1076" t="str">
        <f>IFERROR(__xludf.DUMMYFUNCTION("""COMPUTED_VALUE"""),"1.8HP")</f>
        <v>1.8HP</v>
      </c>
      <c r="I1694" s="1076"/>
      <c r="J1694" s="1076"/>
      <c r="K1694" s="1076"/>
      <c r="L1694" s="1076" t="str">
        <f>IFERROR(__xludf.DUMMYFUNCTION("""COMPUTED_VALUE"""),"KLH")</f>
        <v>KLH</v>
      </c>
    </row>
    <row r="1695" customHeight="1" spans="1:12">
      <c r="A1695" s="1076" t="str">
        <f>IFERROR(__xludf.DUMMYFUNCTION("""COMPUTED_VALUE"""),"XXA-MPC-061")</f>
        <v>XXA-MPC-061</v>
      </c>
      <c r="B1695" s="1075" t="str">
        <f>IFERROR(__xludf.DUMMYFUNCTION("""COMPUTED_VALUE"""),"Máy phát cỏ 2 thì")</f>
        <v>Máy phát cỏ 2 thì</v>
      </c>
      <c r="C1695" s="1076" t="str">
        <f>IFERROR(__xludf.DUMMYFUNCTION("""COMPUTED_VALUE"""),"XOÀI AD")</f>
        <v>XOÀI AD</v>
      </c>
      <c r="D1695" s="1076" t="str">
        <f>IFERROR(__xludf.DUMMYFUNCTION("""COMPUTED_VALUE"""),"MARATA")</f>
        <v>MARATA</v>
      </c>
      <c r="E1695" s="1076" t="str">
        <f>IFERROR(__xludf.DUMMYFUNCTION("""COMPUTED_VALUE"""),"TRUNG QUỐC")</f>
        <v>TRUNG QUỐC</v>
      </c>
      <c r="F1695" s="1076"/>
      <c r="G1695" s="1076" t="str">
        <f>IFERROR(__xludf.DUMMYFUNCTION("""COMPUTED_VALUE"""),"CG411")</f>
        <v>CG411</v>
      </c>
      <c r="H1695" s="1076" t="str">
        <f>IFERROR(__xludf.DUMMYFUNCTION("""COMPUTED_VALUE"""),"1.8HP")</f>
        <v>1.8HP</v>
      </c>
      <c r="I1695" s="1076"/>
      <c r="J1695" s="1076"/>
      <c r="K1695" s="1076"/>
      <c r="L1695" s="1076" t="str">
        <f>IFERROR(__xludf.DUMMYFUNCTION("""COMPUTED_VALUE"""),"KLH")</f>
        <v>KLH</v>
      </c>
    </row>
    <row r="1696" customHeight="1" spans="1:12">
      <c r="A1696" s="1076" t="str">
        <f>IFERROR(__xludf.DUMMYFUNCTION("""COMPUTED_VALUE"""),"XXA-MPC-062")</f>
        <v>XXA-MPC-062</v>
      </c>
      <c r="B1696" s="1075" t="str">
        <f>IFERROR(__xludf.DUMMYFUNCTION("""COMPUTED_VALUE"""),"Máy phát cỏ 2 thì")</f>
        <v>Máy phát cỏ 2 thì</v>
      </c>
      <c r="C1696" s="1076" t="str">
        <f>IFERROR(__xludf.DUMMYFUNCTION("""COMPUTED_VALUE"""),"XOÀI AD")</f>
        <v>XOÀI AD</v>
      </c>
      <c r="D1696" s="1076" t="str">
        <f>IFERROR(__xludf.DUMMYFUNCTION("""COMPUTED_VALUE"""),"MARATA")</f>
        <v>MARATA</v>
      </c>
      <c r="E1696" s="1076" t="str">
        <f>IFERROR(__xludf.DUMMYFUNCTION("""COMPUTED_VALUE"""),"TRUNG QUỐC")</f>
        <v>TRUNG QUỐC</v>
      </c>
      <c r="F1696" s="1076"/>
      <c r="G1696" s="1076" t="str">
        <f>IFERROR(__xludf.DUMMYFUNCTION("""COMPUTED_VALUE"""),"CG411")</f>
        <v>CG411</v>
      </c>
      <c r="H1696" s="1076" t="str">
        <f>IFERROR(__xludf.DUMMYFUNCTION("""COMPUTED_VALUE"""),"1.8HP")</f>
        <v>1.8HP</v>
      </c>
      <c r="I1696" s="1076"/>
      <c r="J1696" s="1076"/>
      <c r="K1696" s="1076"/>
      <c r="L1696" s="1076" t="str">
        <f>IFERROR(__xludf.DUMMYFUNCTION("""COMPUTED_VALUE"""),"KLH")</f>
        <v>KLH</v>
      </c>
    </row>
    <row r="1697" customHeight="1" spans="1:12">
      <c r="A1697" s="1076" t="str">
        <f>IFERROR(__xludf.DUMMYFUNCTION("""COMPUTED_VALUE"""),"XXA-MPC-063")</f>
        <v>XXA-MPC-063</v>
      </c>
      <c r="B1697" s="1075" t="str">
        <f>IFERROR(__xludf.DUMMYFUNCTION("""COMPUTED_VALUE"""),"Máy phát cỏ 2 thì")</f>
        <v>Máy phát cỏ 2 thì</v>
      </c>
      <c r="C1697" s="1076" t="str">
        <f>IFERROR(__xludf.DUMMYFUNCTION("""COMPUTED_VALUE"""),"XOÀI AD")</f>
        <v>XOÀI AD</v>
      </c>
      <c r="D1697" s="1076" t="str">
        <f>IFERROR(__xludf.DUMMYFUNCTION("""COMPUTED_VALUE"""),"MARATA")</f>
        <v>MARATA</v>
      </c>
      <c r="E1697" s="1076" t="str">
        <f>IFERROR(__xludf.DUMMYFUNCTION("""COMPUTED_VALUE"""),"TRUNG QUỐC")</f>
        <v>TRUNG QUỐC</v>
      </c>
      <c r="F1697" s="1076"/>
      <c r="G1697" s="1076" t="str">
        <f>IFERROR(__xludf.DUMMYFUNCTION("""COMPUTED_VALUE"""),"CG411")</f>
        <v>CG411</v>
      </c>
      <c r="H1697" s="1076" t="str">
        <f>IFERROR(__xludf.DUMMYFUNCTION("""COMPUTED_VALUE"""),"1.8HP")</f>
        <v>1.8HP</v>
      </c>
      <c r="I1697" s="1076"/>
      <c r="J1697" s="1076"/>
      <c r="K1697" s="1076"/>
      <c r="L1697" s="1076" t="str">
        <f>IFERROR(__xludf.DUMMYFUNCTION("""COMPUTED_VALUE"""),"KLH")</f>
        <v>KLH</v>
      </c>
    </row>
    <row r="1698" customHeight="1" spans="1:12">
      <c r="A1698" s="1076" t="str">
        <f>IFERROR(__xludf.DUMMYFUNCTION("""COMPUTED_VALUE"""),"XXA-MPC-064")</f>
        <v>XXA-MPC-064</v>
      </c>
      <c r="B1698" s="1075" t="str">
        <f>IFERROR(__xludf.DUMMYFUNCTION("""COMPUTED_VALUE"""),"Máy phát cỏ 2 thì")</f>
        <v>Máy phát cỏ 2 thì</v>
      </c>
      <c r="C1698" s="1076" t="str">
        <f>IFERROR(__xludf.DUMMYFUNCTION("""COMPUTED_VALUE"""),"XOÀI AD")</f>
        <v>XOÀI AD</v>
      </c>
      <c r="D1698" s="1076" t="str">
        <f>IFERROR(__xludf.DUMMYFUNCTION("""COMPUTED_VALUE"""),"MARATA")</f>
        <v>MARATA</v>
      </c>
      <c r="E1698" s="1076" t="str">
        <f>IFERROR(__xludf.DUMMYFUNCTION("""COMPUTED_VALUE"""),"TRUNG QUỐC")</f>
        <v>TRUNG QUỐC</v>
      </c>
      <c r="F1698" s="1076"/>
      <c r="G1698" s="1076" t="str">
        <f>IFERROR(__xludf.DUMMYFUNCTION("""COMPUTED_VALUE"""),"CG411")</f>
        <v>CG411</v>
      </c>
      <c r="H1698" s="1076" t="str">
        <f>IFERROR(__xludf.DUMMYFUNCTION("""COMPUTED_VALUE"""),"1.8HP")</f>
        <v>1.8HP</v>
      </c>
      <c r="I1698" s="1076"/>
      <c r="J1698" s="1076"/>
      <c r="K1698" s="1076"/>
      <c r="L1698" s="1076" t="str">
        <f>IFERROR(__xludf.DUMMYFUNCTION("""COMPUTED_VALUE"""),"KLH")</f>
        <v>KLH</v>
      </c>
    </row>
    <row r="1699" customHeight="1" spans="1:12">
      <c r="A1699" s="1076" t="str">
        <f>IFERROR(__xludf.DUMMYFUNCTION("""COMPUTED_VALUE"""),"XXA-MPC-065")</f>
        <v>XXA-MPC-065</v>
      </c>
      <c r="B1699" s="1075" t="str">
        <f>IFERROR(__xludf.DUMMYFUNCTION("""COMPUTED_VALUE"""),"Máy phát cỏ 2 thì")</f>
        <v>Máy phát cỏ 2 thì</v>
      </c>
      <c r="C1699" s="1076" t="str">
        <f>IFERROR(__xludf.DUMMYFUNCTION("""COMPUTED_VALUE"""),"XOÀI AD")</f>
        <v>XOÀI AD</v>
      </c>
      <c r="D1699" s="1076" t="str">
        <f>IFERROR(__xludf.DUMMYFUNCTION("""COMPUTED_VALUE"""),"MARATA")</f>
        <v>MARATA</v>
      </c>
      <c r="E1699" s="1076" t="str">
        <f>IFERROR(__xludf.DUMMYFUNCTION("""COMPUTED_VALUE"""),"TRUNG QUỐC")</f>
        <v>TRUNG QUỐC</v>
      </c>
      <c r="F1699" s="1076"/>
      <c r="G1699" s="1076" t="str">
        <f>IFERROR(__xludf.DUMMYFUNCTION("""COMPUTED_VALUE"""),"CG411")</f>
        <v>CG411</v>
      </c>
      <c r="H1699" s="1076" t="str">
        <f>IFERROR(__xludf.DUMMYFUNCTION("""COMPUTED_VALUE"""),"1.8HP")</f>
        <v>1.8HP</v>
      </c>
      <c r="I1699" s="1076"/>
      <c r="J1699" s="1076"/>
      <c r="K1699" s="1076"/>
      <c r="L1699" s="1076" t="str">
        <f>IFERROR(__xludf.DUMMYFUNCTION("""COMPUTED_VALUE"""),"KLH")</f>
        <v>KLH</v>
      </c>
    </row>
    <row r="1700" customHeight="1" spans="1:12">
      <c r="A1700" s="1076" t="str">
        <f>IFERROR(__xludf.DUMMYFUNCTION("""COMPUTED_VALUE"""),"XXA-MPC-066")</f>
        <v>XXA-MPC-066</v>
      </c>
      <c r="B1700" s="1075" t="str">
        <f>IFERROR(__xludf.DUMMYFUNCTION("""COMPUTED_VALUE"""),"Máy phát cỏ 2 thì")</f>
        <v>Máy phát cỏ 2 thì</v>
      </c>
      <c r="C1700" s="1076" t="str">
        <f>IFERROR(__xludf.DUMMYFUNCTION("""COMPUTED_VALUE"""),"XOÀI AD")</f>
        <v>XOÀI AD</v>
      </c>
      <c r="D1700" s="1076" t="str">
        <f>IFERROR(__xludf.DUMMYFUNCTION("""COMPUTED_VALUE"""),"MARATA")</f>
        <v>MARATA</v>
      </c>
      <c r="E1700" s="1076" t="str">
        <f>IFERROR(__xludf.DUMMYFUNCTION("""COMPUTED_VALUE"""),"TRUNG QUỐC")</f>
        <v>TRUNG QUỐC</v>
      </c>
      <c r="F1700" s="1076"/>
      <c r="G1700" s="1076" t="str">
        <f>IFERROR(__xludf.DUMMYFUNCTION("""COMPUTED_VALUE"""),"CG411")</f>
        <v>CG411</v>
      </c>
      <c r="H1700" s="1076" t="str">
        <f>IFERROR(__xludf.DUMMYFUNCTION("""COMPUTED_VALUE"""),"1.8HP")</f>
        <v>1.8HP</v>
      </c>
      <c r="I1700" s="1076"/>
      <c r="J1700" s="1076"/>
      <c r="K1700" s="1076"/>
      <c r="L1700" s="1076" t="str">
        <f>IFERROR(__xludf.DUMMYFUNCTION("""COMPUTED_VALUE"""),"KLH")</f>
        <v>KLH</v>
      </c>
    </row>
    <row r="1701" customHeight="1" spans="1:12">
      <c r="A1701" s="1076" t="str">
        <f>IFERROR(__xludf.DUMMYFUNCTION("""COMPUTED_VALUE"""),"XXA-MPC-067")</f>
        <v>XXA-MPC-067</v>
      </c>
      <c r="B1701" s="1075" t="str">
        <f>IFERROR(__xludf.DUMMYFUNCTION("""COMPUTED_VALUE"""),"Máy phát cỏ 2 thì")</f>
        <v>Máy phát cỏ 2 thì</v>
      </c>
      <c r="C1701" s="1076" t="str">
        <f>IFERROR(__xludf.DUMMYFUNCTION("""COMPUTED_VALUE"""),"XOÀI AD")</f>
        <v>XOÀI AD</v>
      </c>
      <c r="D1701" s="1076" t="str">
        <f>IFERROR(__xludf.DUMMYFUNCTION("""COMPUTED_VALUE"""),"MARATA")</f>
        <v>MARATA</v>
      </c>
      <c r="E1701" s="1076" t="str">
        <f>IFERROR(__xludf.DUMMYFUNCTION("""COMPUTED_VALUE"""),"TRUNG QUỐC")</f>
        <v>TRUNG QUỐC</v>
      </c>
      <c r="F1701" s="1076"/>
      <c r="G1701" s="1076" t="str">
        <f>IFERROR(__xludf.DUMMYFUNCTION("""COMPUTED_VALUE"""),"CG411")</f>
        <v>CG411</v>
      </c>
      <c r="H1701" s="1076" t="str">
        <f>IFERROR(__xludf.DUMMYFUNCTION("""COMPUTED_VALUE"""),"1.8HP")</f>
        <v>1.8HP</v>
      </c>
      <c r="I1701" s="1076"/>
      <c r="J1701" s="1076"/>
      <c r="K1701" s="1076"/>
      <c r="L1701" s="1076" t="str">
        <f>IFERROR(__xludf.DUMMYFUNCTION("""COMPUTED_VALUE"""),"KLH")</f>
        <v>KLH</v>
      </c>
    </row>
    <row r="1702" customHeight="1" spans="1:12">
      <c r="A1702" s="1076" t="str">
        <f>IFERROR(__xludf.DUMMYFUNCTION("""COMPUTED_VALUE"""),"XXA-MPC-068")</f>
        <v>XXA-MPC-068</v>
      </c>
      <c r="B1702" s="1075" t="str">
        <f>IFERROR(__xludf.DUMMYFUNCTION("""COMPUTED_VALUE"""),"Máy phát cỏ 2 thì")</f>
        <v>Máy phát cỏ 2 thì</v>
      </c>
      <c r="C1702" s="1076" t="str">
        <f>IFERROR(__xludf.DUMMYFUNCTION("""COMPUTED_VALUE"""),"XOÀI AD")</f>
        <v>XOÀI AD</v>
      </c>
      <c r="D1702" s="1076" t="str">
        <f>IFERROR(__xludf.DUMMYFUNCTION("""COMPUTED_VALUE"""),"MARATA")</f>
        <v>MARATA</v>
      </c>
      <c r="E1702" s="1076" t="str">
        <f>IFERROR(__xludf.DUMMYFUNCTION("""COMPUTED_VALUE"""),"TRUNG QUỐC")</f>
        <v>TRUNG QUỐC</v>
      </c>
      <c r="F1702" s="1076"/>
      <c r="G1702" s="1076" t="str">
        <f>IFERROR(__xludf.DUMMYFUNCTION("""COMPUTED_VALUE"""),"CG412")</f>
        <v>CG412</v>
      </c>
      <c r="H1702" s="1076" t="str">
        <f>IFERROR(__xludf.DUMMYFUNCTION("""COMPUTED_VALUE"""),"1.8HP")</f>
        <v>1.8HP</v>
      </c>
      <c r="I1702" s="1076"/>
      <c r="J1702" s="1076"/>
      <c r="K1702" s="1076"/>
      <c r="L1702" s="1076" t="str">
        <f>IFERROR(__xludf.DUMMYFUNCTION("""COMPUTED_VALUE"""),"KLH")</f>
        <v>KLH</v>
      </c>
    </row>
    <row r="1703" customHeight="1" spans="1:12">
      <c r="A1703" s="1076" t="str">
        <f>IFERROR(__xludf.DUMMYFUNCTION("""COMPUTED_VALUE"""),"NT BƯỞI AD")</f>
        <v>NT BƯỞI AD</v>
      </c>
      <c r="B1703" s="1075"/>
      <c r="C1703" s="1076"/>
      <c r="D1703" s="1076"/>
      <c r="E1703" s="1076"/>
      <c r="F1703" s="1076"/>
      <c r="G1703" s="1076"/>
      <c r="H1703" s="1076"/>
      <c r="I1703" s="1076"/>
      <c r="J1703" s="1076"/>
      <c r="K1703" s="1076"/>
      <c r="L1703" s="1076" t="str">
        <f>IFERROR(__xludf.DUMMYFUNCTION("""COMPUTED_VALUE"""),"KLH")</f>
        <v>KLH</v>
      </c>
    </row>
    <row r="1704" customHeight="1" spans="1:12">
      <c r="A1704" s="1076" t="str">
        <f>IFERROR(__xludf.DUMMYFUNCTION("""COMPUTED_VALUE"""),"XBA-MPC-012")</f>
        <v>XBA-MPC-012</v>
      </c>
      <c r="B1704" s="1075" t="str">
        <f>IFERROR(__xludf.DUMMYFUNCTION("""COMPUTED_VALUE"""),"Máy phát cỏ 4 thì")</f>
        <v>Máy phát cỏ 4 thì</v>
      </c>
      <c r="C1704" s="1076" t="str">
        <f>IFERROR(__xludf.DUMMYFUNCTION("""COMPUTED_VALUE"""),"BƯỞI AD")</f>
        <v>BƯỞI AD</v>
      </c>
      <c r="D1704" s="1076" t="str">
        <f>IFERROR(__xludf.DUMMYFUNCTION("""COMPUTED_VALUE"""),"HONDA")</f>
        <v>HONDA</v>
      </c>
      <c r="E1704" s="1076" t="str">
        <f>IFERROR(__xludf.DUMMYFUNCTION("""COMPUTED_VALUE"""),"TRUNG QUỐC")</f>
        <v>TRUNG QUỐC</v>
      </c>
      <c r="F1704" s="1076"/>
      <c r="G1704" s="1076" t="str">
        <f>IFERROR(__xludf.DUMMYFUNCTION("""COMPUTED_VALUE"""),"GX35")</f>
        <v>GX35</v>
      </c>
      <c r="H1704" s="1076" t="str">
        <f>IFERROR(__xludf.DUMMYFUNCTION("""COMPUTED_VALUE"""),"1.6HP")</f>
        <v>1.6HP</v>
      </c>
      <c r="I1704" s="1076" t="str">
        <f>IFERROR(__xludf.DUMMYFUNCTION("""COMPUTED_VALUE"""),"GCAMT-4487493")</f>
        <v>GCAMT-4487493</v>
      </c>
      <c r="J1704" s="1076"/>
      <c r="K1704" s="1076">
        <f>IFERROR(__xludf.DUMMYFUNCTION("""COMPUTED_VALUE"""),0.5)</f>
        <v>0.5</v>
      </c>
      <c r="L1704" s="1076" t="str">
        <f>IFERROR(__xludf.DUMMYFUNCTION("""COMPUTED_VALUE"""),"KLH")</f>
        <v>KLH</v>
      </c>
    </row>
    <row r="1705" customHeight="1" spans="1:12">
      <c r="A1705" s="1076" t="str">
        <f>IFERROR(__xludf.DUMMYFUNCTION("""COMPUTED_VALUE"""),"XBA-MPC-016")</f>
        <v>XBA-MPC-016</v>
      </c>
      <c r="B1705" s="1075" t="str">
        <f>IFERROR(__xludf.DUMMYFUNCTION("""COMPUTED_VALUE"""),"Máy phát cỏ 4 thì")</f>
        <v>Máy phát cỏ 4 thì</v>
      </c>
      <c r="C1705" s="1076" t="str">
        <f>IFERROR(__xludf.DUMMYFUNCTION("""COMPUTED_VALUE"""),"BƯỞI AD")</f>
        <v>BƯỞI AD</v>
      </c>
      <c r="D1705" s="1076" t="str">
        <f>IFERROR(__xludf.DUMMYFUNCTION("""COMPUTED_VALUE"""),"HONDA")</f>
        <v>HONDA</v>
      </c>
      <c r="E1705" s="1076" t="str">
        <f>IFERROR(__xludf.DUMMYFUNCTION("""COMPUTED_VALUE"""),"TRUNG QUỐC")</f>
        <v>TRUNG QUỐC</v>
      </c>
      <c r="F1705" s="1076"/>
      <c r="G1705" s="1076" t="str">
        <f>IFERROR(__xludf.DUMMYFUNCTION("""COMPUTED_VALUE"""),"GX35")</f>
        <v>GX35</v>
      </c>
      <c r="H1705" s="1076" t="str">
        <f>IFERROR(__xludf.DUMMYFUNCTION("""COMPUTED_VALUE"""),"1.6HP")</f>
        <v>1.6HP</v>
      </c>
      <c r="I1705" s="1076" t="str">
        <f>IFERROR(__xludf.DUMMYFUNCTION("""COMPUTED_VALUE"""),"GCAMT-7676279")</f>
        <v>GCAMT-7676279</v>
      </c>
      <c r="J1705" s="1076"/>
      <c r="K1705" s="1076">
        <f>IFERROR(__xludf.DUMMYFUNCTION("""COMPUTED_VALUE"""),0.5)</f>
        <v>0.5</v>
      </c>
      <c r="L1705" s="1076" t="str">
        <f>IFERROR(__xludf.DUMMYFUNCTION("""COMPUTED_VALUE"""),"KLH")</f>
        <v>KLH</v>
      </c>
    </row>
    <row r="1706" customHeight="1" spans="1:12">
      <c r="A1706" s="1076" t="str">
        <f>IFERROR(__xludf.DUMMYFUNCTION("""COMPUTED_VALUE"""),"XBA-MPC-017")</f>
        <v>XBA-MPC-017</v>
      </c>
      <c r="B1706" s="1075" t="str">
        <f>IFERROR(__xludf.DUMMYFUNCTION("""COMPUTED_VALUE"""),"Máy phát cỏ 4 thì")</f>
        <v>Máy phát cỏ 4 thì</v>
      </c>
      <c r="C1706" s="1076" t="str">
        <f>IFERROR(__xludf.DUMMYFUNCTION("""COMPUTED_VALUE"""),"BƯỞI AD")</f>
        <v>BƯỞI AD</v>
      </c>
      <c r="D1706" s="1076" t="str">
        <f>IFERROR(__xludf.DUMMYFUNCTION("""COMPUTED_VALUE"""),"HONDA")</f>
        <v>HONDA</v>
      </c>
      <c r="E1706" s="1076" t="str">
        <f>IFERROR(__xludf.DUMMYFUNCTION("""COMPUTED_VALUE"""),"TRUNG QUỐC")</f>
        <v>TRUNG QUỐC</v>
      </c>
      <c r="F1706" s="1076"/>
      <c r="G1706" s="1076" t="str">
        <f>IFERROR(__xludf.DUMMYFUNCTION("""COMPUTED_VALUE"""),"GX35")</f>
        <v>GX35</v>
      </c>
      <c r="H1706" s="1076" t="str">
        <f>IFERROR(__xludf.DUMMYFUNCTION("""COMPUTED_VALUE"""),"1.6HP")</f>
        <v>1.6HP</v>
      </c>
      <c r="I1706" s="1076" t="str">
        <f>IFERROR(__xludf.DUMMYFUNCTION("""COMPUTED_VALUE"""),"GCAMT-765534")</f>
        <v>GCAMT-765534</v>
      </c>
      <c r="J1706" s="1076"/>
      <c r="K1706" s="1076">
        <f>IFERROR(__xludf.DUMMYFUNCTION("""COMPUTED_VALUE"""),0.5)</f>
        <v>0.5</v>
      </c>
      <c r="L1706" s="1076" t="str">
        <f>IFERROR(__xludf.DUMMYFUNCTION("""COMPUTED_VALUE"""),"KLH")</f>
        <v>KLH</v>
      </c>
    </row>
    <row r="1707" customHeight="1" spans="1:12">
      <c r="A1707" s="1076" t="str">
        <f>IFERROR(__xludf.DUMMYFUNCTION("""COMPUTED_VALUE"""),"XBA-MPC-018")</f>
        <v>XBA-MPC-018</v>
      </c>
      <c r="B1707" s="1075" t="str">
        <f>IFERROR(__xludf.DUMMYFUNCTION("""COMPUTED_VALUE"""),"Máy phát cỏ 2 thì")</f>
        <v>Máy phát cỏ 2 thì</v>
      </c>
      <c r="C1707" s="1076" t="str">
        <f>IFERROR(__xludf.DUMMYFUNCTION("""COMPUTED_VALUE"""),"BƯỞI AD")</f>
        <v>BƯỞI AD</v>
      </c>
      <c r="D1707" s="1076" t="str">
        <f>IFERROR(__xludf.DUMMYFUNCTION("""COMPUTED_VALUE"""),"MARATA")</f>
        <v>MARATA</v>
      </c>
      <c r="E1707" s="1076" t="str">
        <f>IFERROR(__xludf.DUMMYFUNCTION("""COMPUTED_VALUE"""),"TRUNG QUỐC")</f>
        <v>TRUNG QUỐC</v>
      </c>
      <c r="F1707" s="1076"/>
      <c r="G1707" s="1076" t="str">
        <f>IFERROR(__xludf.DUMMYFUNCTION("""COMPUTED_VALUE"""),"CG411")</f>
        <v>CG411</v>
      </c>
      <c r="H1707" s="1076" t="str">
        <f>IFERROR(__xludf.DUMMYFUNCTION("""COMPUTED_VALUE"""),"1.8HP")</f>
        <v>1.8HP</v>
      </c>
      <c r="I1707" s="1076"/>
      <c r="J1707" s="1076"/>
      <c r="K1707" s="1076"/>
      <c r="L1707" s="1076" t="str">
        <f>IFERROR(__xludf.DUMMYFUNCTION("""COMPUTED_VALUE"""),"KLH")</f>
        <v>KLH</v>
      </c>
    </row>
    <row r="1708" customHeight="1" spans="1:12">
      <c r="A1708" s="1076" t="str">
        <f>IFERROR(__xludf.DUMMYFUNCTION("""COMPUTED_VALUE"""),"XBA-MPC-019")</f>
        <v>XBA-MPC-019</v>
      </c>
      <c r="B1708" s="1075" t="str">
        <f>IFERROR(__xludf.DUMMYFUNCTION("""COMPUTED_VALUE"""),"Máy phát cỏ 2 thì")</f>
        <v>Máy phát cỏ 2 thì</v>
      </c>
      <c r="C1708" s="1076" t="str">
        <f>IFERROR(__xludf.DUMMYFUNCTION("""COMPUTED_VALUE"""),"BƯỞI AD")</f>
        <v>BƯỞI AD</v>
      </c>
      <c r="D1708" s="1076" t="str">
        <f>IFERROR(__xludf.DUMMYFUNCTION("""COMPUTED_VALUE"""),"MARATA")</f>
        <v>MARATA</v>
      </c>
      <c r="E1708" s="1076" t="str">
        <f>IFERROR(__xludf.DUMMYFUNCTION("""COMPUTED_VALUE"""),"TRUNG QUỐC")</f>
        <v>TRUNG QUỐC</v>
      </c>
      <c r="F1708" s="1076"/>
      <c r="G1708" s="1076" t="str">
        <f>IFERROR(__xludf.DUMMYFUNCTION("""COMPUTED_VALUE"""),"CG411")</f>
        <v>CG411</v>
      </c>
      <c r="H1708" s="1076" t="str">
        <f>IFERROR(__xludf.DUMMYFUNCTION("""COMPUTED_VALUE"""),"1.8HP")</f>
        <v>1.8HP</v>
      </c>
      <c r="I1708" s="1076"/>
      <c r="J1708" s="1076"/>
      <c r="K1708" s="1076"/>
      <c r="L1708" s="1076" t="str">
        <f>IFERROR(__xludf.DUMMYFUNCTION("""COMPUTED_VALUE"""),"KLH")</f>
        <v>KLH</v>
      </c>
    </row>
    <row r="1709" customHeight="1" spans="1:12">
      <c r="A1709" s="1076" t="str">
        <f>IFERROR(__xludf.DUMMYFUNCTION("""COMPUTED_VALUE"""),"XBA-MPC-020")</f>
        <v>XBA-MPC-020</v>
      </c>
      <c r="B1709" s="1075" t="str">
        <f>IFERROR(__xludf.DUMMYFUNCTION("""COMPUTED_VALUE"""),"Máy phát cỏ 2 thì")</f>
        <v>Máy phát cỏ 2 thì</v>
      </c>
      <c r="C1709" s="1076" t="str">
        <f>IFERROR(__xludf.DUMMYFUNCTION("""COMPUTED_VALUE"""),"BƯỞI AD")</f>
        <v>BƯỞI AD</v>
      </c>
      <c r="D1709" s="1076" t="str">
        <f>IFERROR(__xludf.DUMMYFUNCTION("""COMPUTED_VALUE"""),"MARATA")</f>
        <v>MARATA</v>
      </c>
      <c r="E1709" s="1076" t="str">
        <f>IFERROR(__xludf.DUMMYFUNCTION("""COMPUTED_VALUE"""),"TRUNG QUỐC")</f>
        <v>TRUNG QUỐC</v>
      </c>
      <c r="F1709" s="1076"/>
      <c r="G1709" s="1076" t="str">
        <f>IFERROR(__xludf.DUMMYFUNCTION("""COMPUTED_VALUE"""),"CG411")</f>
        <v>CG411</v>
      </c>
      <c r="H1709" s="1076" t="str">
        <f>IFERROR(__xludf.DUMMYFUNCTION("""COMPUTED_VALUE"""),"1.8HP")</f>
        <v>1.8HP</v>
      </c>
      <c r="I1709" s="1076"/>
      <c r="J1709" s="1076"/>
      <c r="K1709" s="1076"/>
      <c r="L1709" s="1076" t="str">
        <f>IFERROR(__xludf.DUMMYFUNCTION("""COMPUTED_VALUE"""),"KLH")</f>
        <v>KLH</v>
      </c>
    </row>
    <row r="1710" customHeight="1" spans="1:12">
      <c r="A1710" s="1076" t="str">
        <f>IFERROR(__xludf.DUMMYFUNCTION("""COMPUTED_VALUE"""),"XBA-MPC-021")</f>
        <v>XBA-MPC-021</v>
      </c>
      <c r="B1710" s="1075" t="str">
        <f>IFERROR(__xludf.DUMMYFUNCTION("""COMPUTED_VALUE"""),"Máy phát cỏ 2 thì")</f>
        <v>Máy phát cỏ 2 thì</v>
      </c>
      <c r="C1710" s="1076" t="str">
        <f>IFERROR(__xludf.DUMMYFUNCTION("""COMPUTED_VALUE"""),"BƯỞI AD")</f>
        <v>BƯỞI AD</v>
      </c>
      <c r="D1710" s="1076" t="str">
        <f>IFERROR(__xludf.DUMMYFUNCTION("""COMPUTED_VALUE"""),"MARATA")</f>
        <v>MARATA</v>
      </c>
      <c r="E1710" s="1076" t="str">
        <f>IFERROR(__xludf.DUMMYFUNCTION("""COMPUTED_VALUE"""),"TRUNG QUỐC")</f>
        <v>TRUNG QUỐC</v>
      </c>
      <c r="F1710" s="1076"/>
      <c r="G1710" s="1076" t="str">
        <f>IFERROR(__xludf.DUMMYFUNCTION("""COMPUTED_VALUE"""),"CG411")</f>
        <v>CG411</v>
      </c>
      <c r="H1710" s="1076" t="str">
        <f>IFERROR(__xludf.DUMMYFUNCTION("""COMPUTED_VALUE"""),"1.8HP")</f>
        <v>1.8HP</v>
      </c>
      <c r="I1710" s="1076"/>
      <c r="J1710" s="1076"/>
      <c r="K1710" s="1076"/>
      <c r="L1710" s="1076" t="str">
        <f>IFERROR(__xludf.DUMMYFUNCTION("""COMPUTED_VALUE"""),"KLH")</f>
        <v>KLH</v>
      </c>
    </row>
    <row r="1711" customHeight="1" spans="1:12">
      <c r="A1711" s="1076" t="str">
        <f>IFERROR(__xludf.DUMMYFUNCTION("""COMPUTED_VALUE"""),"XBA-MPC-022")</f>
        <v>XBA-MPC-022</v>
      </c>
      <c r="B1711" s="1075" t="str">
        <f>IFERROR(__xludf.DUMMYFUNCTION("""COMPUTED_VALUE"""),"Máy phát cỏ 2 thì")</f>
        <v>Máy phát cỏ 2 thì</v>
      </c>
      <c r="C1711" s="1076" t="str">
        <f>IFERROR(__xludf.DUMMYFUNCTION("""COMPUTED_VALUE"""),"BƯỞI AD")</f>
        <v>BƯỞI AD</v>
      </c>
      <c r="D1711" s="1076" t="str">
        <f>IFERROR(__xludf.DUMMYFUNCTION("""COMPUTED_VALUE"""),"MARATA")</f>
        <v>MARATA</v>
      </c>
      <c r="E1711" s="1076" t="str">
        <f>IFERROR(__xludf.DUMMYFUNCTION("""COMPUTED_VALUE"""),"TRUNG QUỐC")</f>
        <v>TRUNG QUỐC</v>
      </c>
      <c r="F1711" s="1076"/>
      <c r="G1711" s="1076" t="str">
        <f>IFERROR(__xludf.DUMMYFUNCTION("""COMPUTED_VALUE"""),"CG411")</f>
        <v>CG411</v>
      </c>
      <c r="H1711" s="1076" t="str">
        <f>IFERROR(__xludf.DUMMYFUNCTION("""COMPUTED_VALUE"""),"1.8HP")</f>
        <v>1.8HP</v>
      </c>
      <c r="I1711" s="1076"/>
      <c r="J1711" s="1076"/>
      <c r="K1711" s="1076"/>
      <c r="L1711" s="1076" t="str">
        <f>IFERROR(__xludf.DUMMYFUNCTION("""COMPUTED_VALUE"""),"KLH")</f>
        <v>KLH</v>
      </c>
    </row>
    <row r="1712" customHeight="1" spans="1:12">
      <c r="A1712" s="1076" t="str">
        <f>IFERROR(__xludf.DUMMYFUNCTION("""COMPUTED_VALUE"""),"XBA-MPC-023")</f>
        <v>XBA-MPC-023</v>
      </c>
      <c r="B1712" s="1075" t="str">
        <f>IFERROR(__xludf.DUMMYFUNCTION("""COMPUTED_VALUE"""),"Máy phát cỏ 2 thì")</f>
        <v>Máy phát cỏ 2 thì</v>
      </c>
      <c r="C1712" s="1076" t="str">
        <f>IFERROR(__xludf.DUMMYFUNCTION("""COMPUTED_VALUE"""),"BƯỞI AD")</f>
        <v>BƯỞI AD</v>
      </c>
      <c r="D1712" s="1076" t="str">
        <f>IFERROR(__xludf.DUMMYFUNCTION("""COMPUTED_VALUE"""),"MARATA")</f>
        <v>MARATA</v>
      </c>
      <c r="E1712" s="1076" t="str">
        <f>IFERROR(__xludf.DUMMYFUNCTION("""COMPUTED_VALUE"""),"TRUNG QUỐC")</f>
        <v>TRUNG QUỐC</v>
      </c>
      <c r="F1712" s="1076"/>
      <c r="G1712" s="1076" t="str">
        <f>IFERROR(__xludf.DUMMYFUNCTION("""COMPUTED_VALUE"""),"CG411")</f>
        <v>CG411</v>
      </c>
      <c r="H1712" s="1076" t="str">
        <f>IFERROR(__xludf.DUMMYFUNCTION("""COMPUTED_VALUE"""),"1.8HP")</f>
        <v>1.8HP</v>
      </c>
      <c r="I1712" s="1076"/>
      <c r="J1712" s="1076"/>
      <c r="K1712" s="1076"/>
      <c r="L1712" s="1076" t="str">
        <f>IFERROR(__xludf.DUMMYFUNCTION("""COMPUTED_VALUE"""),"KLH")</f>
        <v>KLH</v>
      </c>
    </row>
    <row r="1713" customHeight="1" spans="1:12">
      <c r="A1713" s="1076" t="str">
        <f>IFERROR(__xludf.DUMMYFUNCTION("""COMPUTED_VALUE"""),"XBA-MPC-024")</f>
        <v>XBA-MPC-024</v>
      </c>
      <c r="B1713" s="1075" t="str">
        <f>IFERROR(__xludf.DUMMYFUNCTION("""COMPUTED_VALUE"""),"Máy phát cỏ 2 thì")</f>
        <v>Máy phát cỏ 2 thì</v>
      </c>
      <c r="C1713" s="1076" t="str">
        <f>IFERROR(__xludf.DUMMYFUNCTION("""COMPUTED_VALUE"""),"BƯỞI AD")</f>
        <v>BƯỞI AD</v>
      </c>
      <c r="D1713" s="1076" t="str">
        <f>IFERROR(__xludf.DUMMYFUNCTION("""COMPUTED_VALUE"""),"MARATA")</f>
        <v>MARATA</v>
      </c>
      <c r="E1713" s="1076" t="str">
        <f>IFERROR(__xludf.DUMMYFUNCTION("""COMPUTED_VALUE"""),"TRUNG QUỐC")</f>
        <v>TRUNG QUỐC</v>
      </c>
      <c r="F1713" s="1076"/>
      <c r="G1713" s="1076" t="str">
        <f>IFERROR(__xludf.DUMMYFUNCTION("""COMPUTED_VALUE"""),"CG411")</f>
        <v>CG411</v>
      </c>
      <c r="H1713" s="1076" t="str">
        <f>IFERROR(__xludf.DUMMYFUNCTION("""COMPUTED_VALUE"""),"1.8HP")</f>
        <v>1.8HP</v>
      </c>
      <c r="I1713" s="1076"/>
      <c r="J1713" s="1076"/>
      <c r="K1713" s="1076"/>
      <c r="L1713" s="1076" t="str">
        <f>IFERROR(__xludf.DUMMYFUNCTION("""COMPUTED_VALUE"""),"KLH")</f>
        <v>KLH</v>
      </c>
    </row>
    <row r="1714" customHeight="1" spans="1:12">
      <c r="A1714" s="1076" t="str">
        <f>IFERROR(__xludf.DUMMYFUNCTION("""COMPUTED_VALUE"""),"XBA-MPC-025")</f>
        <v>XBA-MPC-025</v>
      </c>
      <c r="B1714" s="1075" t="str">
        <f>IFERROR(__xludf.DUMMYFUNCTION("""COMPUTED_VALUE"""),"Máy phát cỏ 2 thì")</f>
        <v>Máy phát cỏ 2 thì</v>
      </c>
      <c r="C1714" s="1076" t="str">
        <f>IFERROR(__xludf.DUMMYFUNCTION("""COMPUTED_VALUE"""),"BƯỞI AD")</f>
        <v>BƯỞI AD</v>
      </c>
      <c r="D1714" s="1076" t="str">
        <f>IFERROR(__xludf.DUMMYFUNCTION("""COMPUTED_VALUE"""),"MARATA")</f>
        <v>MARATA</v>
      </c>
      <c r="E1714" s="1076" t="str">
        <f>IFERROR(__xludf.DUMMYFUNCTION("""COMPUTED_VALUE"""),"TRUNG QUỐC")</f>
        <v>TRUNG QUỐC</v>
      </c>
      <c r="F1714" s="1076"/>
      <c r="G1714" s="1076" t="str">
        <f>IFERROR(__xludf.DUMMYFUNCTION("""COMPUTED_VALUE"""),"CG411")</f>
        <v>CG411</v>
      </c>
      <c r="H1714" s="1076" t="str">
        <f>IFERROR(__xludf.DUMMYFUNCTION("""COMPUTED_VALUE"""),"1.8HP")</f>
        <v>1.8HP</v>
      </c>
      <c r="I1714" s="1076"/>
      <c r="J1714" s="1076"/>
      <c r="K1714" s="1076"/>
      <c r="L1714" s="1076" t="str">
        <f>IFERROR(__xludf.DUMMYFUNCTION("""COMPUTED_VALUE"""),"KLH")</f>
        <v>KLH</v>
      </c>
    </row>
    <row r="1715" customHeight="1" spans="1:12">
      <c r="A1715" s="1076" t="str">
        <f>IFERROR(__xludf.DUMMYFUNCTION("""COMPUTED_VALUE"""),"XBA-MPC-026")</f>
        <v>XBA-MPC-026</v>
      </c>
      <c r="B1715" s="1075" t="str">
        <f>IFERROR(__xludf.DUMMYFUNCTION("""COMPUTED_VALUE"""),"Máy phát cỏ 2 thì")</f>
        <v>Máy phát cỏ 2 thì</v>
      </c>
      <c r="C1715" s="1076" t="str">
        <f>IFERROR(__xludf.DUMMYFUNCTION("""COMPUTED_VALUE"""),"BƯỞI AD")</f>
        <v>BƯỞI AD</v>
      </c>
      <c r="D1715" s="1076" t="str">
        <f>IFERROR(__xludf.DUMMYFUNCTION("""COMPUTED_VALUE"""),"MARATA")</f>
        <v>MARATA</v>
      </c>
      <c r="E1715" s="1076" t="str">
        <f>IFERROR(__xludf.DUMMYFUNCTION("""COMPUTED_VALUE"""),"TRUNG QUỐC")</f>
        <v>TRUNG QUỐC</v>
      </c>
      <c r="F1715" s="1076"/>
      <c r="G1715" s="1076" t="str">
        <f>IFERROR(__xludf.DUMMYFUNCTION("""COMPUTED_VALUE"""),"CG411")</f>
        <v>CG411</v>
      </c>
      <c r="H1715" s="1076" t="str">
        <f>IFERROR(__xludf.DUMMYFUNCTION("""COMPUTED_VALUE"""),"1.8HP")</f>
        <v>1.8HP</v>
      </c>
      <c r="I1715" s="1076"/>
      <c r="J1715" s="1076"/>
      <c r="K1715" s="1076"/>
      <c r="L1715" s="1076" t="str">
        <f>IFERROR(__xludf.DUMMYFUNCTION("""COMPUTED_VALUE"""),"KLH")</f>
        <v>KLH</v>
      </c>
    </row>
    <row r="1716" customHeight="1" spans="1:12">
      <c r="A1716" s="1076" t="str">
        <f>IFERROR(__xludf.DUMMYFUNCTION("""COMPUTED_VALUE"""),"XBA-MPC-027")</f>
        <v>XBA-MPC-027</v>
      </c>
      <c r="B1716" s="1075" t="str">
        <f>IFERROR(__xludf.DUMMYFUNCTION("""COMPUTED_VALUE"""),"Máy phát cỏ 2 thì")</f>
        <v>Máy phát cỏ 2 thì</v>
      </c>
      <c r="C1716" s="1076" t="str">
        <f>IFERROR(__xludf.DUMMYFUNCTION("""COMPUTED_VALUE"""),"BƯỞI AD")</f>
        <v>BƯỞI AD</v>
      </c>
      <c r="D1716" s="1076" t="str">
        <f>IFERROR(__xludf.DUMMYFUNCTION("""COMPUTED_VALUE"""),"MARATA")</f>
        <v>MARATA</v>
      </c>
      <c r="E1716" s="1076" t="str">
        <f>IFERROR(__xludf.DUMMYFUNCTION("""COMPUTED_VALUE"""),"TRUNG QUỐC")</f>
        <v>TRUNG QUỐC</v>
      </c>
      <c r="F1716" s="1076"/>
      <c r="G1716" s="1076" t="str">
        <f>IFERROR(__xludf.DUMMYFUNCTION("""COMPUTED_VALUE"""),"CG411")</f>
        <v>CG411</v>
      </c>
      <c r="H1716" s="1076" t="str">
        <f>IFERROR(__xludf.DUMMYFUNCTION("""COMPUTED_VALUE"""),"1.8HP")</f>
        <v>1.8HP</v>
      </c>
      <c r="I1716" s="1076"/>
      <c r="J1716" s="1076"/>
      <c r="K1716" s="1076"/>
      <c r="L1716" s="1076" t="str">
        <f>IFERROR(__xludf.DUMMYFUNCTION("""COMPUTED_VALUE"""),"KLH")</f>
        <v>KLH</v>
      </c>
    </row>
    <row r="1717" customHeight="1" spans="1:12">
      <c r="A1717" s="1076" t="str">
        <f>IFERROR(__xludf.DUMMYFUNCTION("""COMPUTED_VALUE"""),"LUMPHAT")</f>
        <v>LUMPHAT</v>
      </c>
      <c r="B1717" s="1075"/>
      <c r="C1717" s="1076"/>
      <c r="D1717" s="1076"/>
      <c r="E1717" s="1076"/>
      <c r="F1717" s="1076"/>
      <c r="G1717" s="1076"/>
      <c r="H1717" s="1076"/>
      <c r="I1717" s="1076"/>
      <c r="J1717" s="1076"/>
      <c r="K1717" s="1076"/>
      <c r="L1717" s="1076" t="str">
        <f>IFERROR(__xludf.DUMMYFUNCTION("""COMPUTED_VALUE"""),"KLH")</f>
        <v>KLH</v>
      </c>
    </row>
    <row r="1718" customHeight="1" spans="1:12">
      <c r="A1718" s="1076" t="str">
        <f>IFERROR(__xludf.DUMMYFUNCTION("""COMPUTED_VALUE"""),"XN LP1")</f>
        <v>XN LP1</v>
      </c>
      <c r="B1718" s="1075"/>
      <c r="C1718" s="1076"/>
      <c r="D1718" s="1076"/>
      <c r="E1718" s="1076"/>
      <c r="F1718" s="1076"/>
      <c r="G1718" s="1076"/>
      <c r="H1718" s="1076"/>
      <c r="I1718" s="1076"/>
      <c r="J1718" s="1076"/>
      <c r="K1718" s="1076"/>
      <c r="L1718" s="1076" t="str">
        <f>IFERROR(__xludf.DUMMYFUNCTION("""COMPUTED_VALUE"""),"KLH")</f>
        <v>KLH</v>
      </c>
    </row>
    <row r="1719" customHeight="1" spans="1:12">
      <c r="A1719" s="1076" t="str">
        <f>IFERROR(__xludf.DUMMYFUNCTION("""COMPUTED_VALUE"""),"XL1-MPC-045")</f>
        <v>XL1-MPC-045</v>
      </c>
      <c r="B1719" s="1075" t="str">
        <f>IFERROR(__xludf.DUMMYFUNCTION("""COMPUTED_VALUE"""),"Máy phát cỏ 4 thì")</f>
        <v>Máy phát cỏ 4 thì</v>
      </c>
      <c r="C1719" s="1076" t="str">
        <f>IFERROR(__xludf.DUMMYFUNCTION("""COMPUTED_VALUE"""),"XN Chuối LP1")</f>
        <v>XN Chuối LP1</v>
      </c>
      <c r="D1719" s="1076" t="str">
        <f>IFERROR(__xludf.DUMMYFUNCTION("""COMPUTED_VALUE"""),"HONDA")</f>
        <v>HONDA</v>
      </c>
      <c r="E1719" s="1076" t="str">
        <f>IFERROR(__xludf.DUMMYFUNCTION("""COMPUTED_VALUE"""),"NHật Bản")</f>
        <v>NHật Bản</v>
      </c>
      <c r="F1719" s="1076"/>
      <c r="G1719" s="1076" t="str">
        <f>IFERROR(__xludf.DUMMYFUNCTION("""COMPUTED_VALUE"""),"GX35")</f>
        <v>GX35</v>
      </c>
      <c r="H1719" s="1076" t="str">
        <f>IFERROR(__xludf.DUMMYFUNCTION("""COMPUTED_VALUE"""),"1.6HP")</f>
        <v>1.6HP</v>
      </c>
      <c r="I1719" s="1076"/>
      <c r="J1719" s="1076"/>
      <c r="K1719" s="1076">
        <f>IFERROR(__xludf.DUMMYFUNCTION("""COMPUTED_VALUE"""),0.5)</f>
        <v>0.5</v>
      </c>
      <c r="L1719" s="1076" t="str">
        <f>IFERROR(__xludf.DUMMYFUNCTION("""COMPUTED_VALUE"""),"KLH")</f>
        <v>KLH</v>
      </c>
    </row>
    <row r="1720" customHeight="1" spans="1:12">
      <c r="A1720" s="1076" t="str">
        <f>IFERROR(__xludf.DUMMYFUNCTION("""COMPUTED_VALUE"""),"XL1-MPC-046")</f>
        <v>XL1-MPC-046</v>
      </c>
      <c r="B1720" s="1075" t="str">
        <f>IFERROR(__xludf.DUMMYFUNCTION("""COMPUTED_VALUE"""),"Máy phát cỏ 4 thì")</f>
        <v>Máy phát cỏ 4 thì</v>
      </c>
      <c r="C1720" s="1076" t="str">
        <f>IFERROR(__xludf.DUMMYFUNCTION("""COMPUTED_VALUE"""),"XN Chuối LP1")</f>
        <v>XN Chuối LP1</v>
      </c>
      <c r="D1720" s="1076" t="str">
        <f>IFERROR(__xludf.DUMMYFUNCTION("""COMPUTED_VALUE"""),"HONDA")</f>
        <v>HONDA</v>
      </c>
      <c r="E1720" s="1076" t="str">
        <f>IFERROR(__xludf.DUMMYFUNCTION("""COMPUTED_VALUE"""),"NHật Bản")</f>
        <v>NHật Bản</v>
      </c>
      <c r="F1720" s="1076"/>
      <c r="G1720" s="1076" t="str">
        <f>IFERROR(__xludf.DUMMYFUNCTION("""COMPUTED_VALUE"""),"GX35")</f>
        <v>GX35</v>
      </c>
      <c r="H1720" s="1076" t="str">
        <f>IFERROR(__xludf.DUMMYFUNCTION("""COMPUTED_VALUE"""),"1.6HP")</f>
        <v>1.6HP</v>
      </c>
      <c r="I1720" s="1076"/>
      <c r="J1720" s="1076"/>
      <c r="K1720" s="1076">
        <f>IFERROR(__xludf.DUMMYFUNCTION("""COMPUTED_VALUE"""),0.5)</f>
        <v>0.5</v>
      </c>
      <c r="L1720" s="1076" t="str">
        <f>IFERROR(__xludf.DUMMYFUNCTION("""COMPUTED_VALUE"""),"KLH")</f>
        <v>KLH</v>
      </c>
    </row>
    <row r="1721" customHeight="1" spans="1:12">
      <c r="A1721" s="1076" t="str">
        <f>IFERROR(__xludf.DUMMYFUNCTION("""COMPUTED_VALUE"""),"XL1-MPC-047")</f>
        <v>XL1-MPC-047</v>
      </c>
      <c r="B1721" s="1075" t="str">
        <f>IFERROR(__xludf.DUMMYFUNCTION("""COMPUTED_VALUE"""),"Máy phát cỏ 4 thì")</f>
        <v>Máy phát cỏ 4 thì</v>
      </c>
      <c r="C1721" s="1076" t="str">
        <f>IFERROR(__xludf.DUMMYFUNCTION("""COMPUTED_VALUE"""),"XN Chuối LP1")</f>
        <v>XN Chuối LP1</v>
      </c>
      <c r="D1721" s="1076" t="str">
        <f>IFERROR(__xludf.DUMMYFUNCTION("""COMPUTED_VALUE"""),"HONDA")</f>
        <v>HONDA</v>
      </c>
      <c r="E1721" s="1076" t="str">
        <f>IFERROR(__xludf.DUMMYFUNCTION("""COMPUTED_VALUE"""),"NHật Bản")</f>
        <v>NHật Bản</v>
      </c>
      <c r="F1721" s="1076"/>
      <c r="G1721" s="1076" t="str">
        <f>IFERROR(__xludf.DUMMYFUNCTION("""COMPUTED_VALUE"""),"GX35")</f>
        <v>GX35</v>
      </c>
      <c r="H1721" s="1076" t="str">
        <f>IFERROR(__xludf.DUMMYFUNCTION("""COMPUTED_VALUE"""),"1.6HP")</f>
        <v>1.6HP</v>
      </c>
      <c r="I1721" s="1076"/>
      <c r="J1721" s="1076"/>
      <c r="K1721" s="1076">
        <f>IFERROR(__xludf.DUMMYFUNCTION("""COMPUTED_VALUE"""),0.5)</f>
        <v>0.5</v>
      </c>
      <c r="L1721" s="1076" t="str">
        <f>IFERROR(__xludf.DUMMYFUNCTION("""COMPUTED_VALUE"""),"KLH")</f>
        <v>KLH</v>
      </c>
    </row>
    <row r="1722" customHeight="1" spans="1:12">
      <c r="A1722" s="1076" t="str">
        <f>IFERROR(__xludf.DUMMYFUNCTION("""COMPUTED_VALUE"""),"XL1-MPC-048")</f>
        <v>XL1-MPC-048</v>
      </c>
      <c r="B1722" s="1075" t="str">
        <f>IFERROR(__xludf.DUMMYFUNCTION("""COMPUTED_VALUE"""),"Máy phát cỏ 4 thì")</f>
        <v>Máy phát cỏ 4 thì</v>
      </c>
      <c r="C1722" s="1076" t="str">
        <f>IFERROR(__xludf.DUMMYFUNCTION("""COMPUTED_VALUE"""),"XN Chuối LP1")</f>
        <v>XN Chuối LP1</v>
      </c>
      <c r="D1722" s="1076" t="str">
        <f>IFERROR(__xludf.DUMMYFUNCTION("""COMPUTED_VALUE"""),"HONDA")</f>
        <v>HONDA</v>
      </c>
      <c r="E1722" s="1076" t="str">
        <f>IFERROR(__xludf.DUMMYFUNCTION("""COMPUTED_VALUE"""),"NHật Bản")</f>
        <v>NHật Bản</v>
      </c>
      <c r="F1722" s="1076"/>
      <c r="G1722" s="1076" t="str">
        <f>IFERROR(__xludf.DUMMYFUNCTION("""COMPUTED_VALUE"""),"GX35")</f>
        <v>GX35</v>
      </c>
      <c r="H1722" s="1076" t="str">
        <f>IFERROR(__xludf.DUMMYFUNCTION("""COMPUTED_VALUE"""),"1.6HP")</f>
        <v>1.6HP</v>
      </c>
      <c r="I1722" s="1076"/>
      <c r="J1722" s="1076"/>
      <c r="K1722" s="1076">
        <f>IFERROR(__xludf.DUMMYFUNCTION("""COMPUTED_VALUE"""),0.5)</f>
        <v>0.5</v>
      </c>
      <c r="L1722" s="1076" t="str">
        <f>IFERROR(__xludf.DUMMYFUNCTION("""COMPUTED_VALUE"""),"KLH")</f>
        <v>KLH</v>
      </c>
    </row>
    <row r="1723" customHeight="1" spans="1:12">
      <c r="A1723" s="1076" t="str">
        <f>IFERROR(__xludf.DUMMYFUNCTION("""COMPUTED_VALUE"""),"XL1-MPC-049")</f>
        <v>XL1-MPC-049</v>
      </c>
      <c r="B1723" s="1075" t="str">
        <f>IFERROR(__xludf.DUMMYFUNCTION("""COMPUTED_VALUE"""),"Máy phát cỏ 4 thì")</f>
        <v>Máy phát cỏ 4 thì</v>
      </c>
      <c r="C1723" s="1076" t="str">
        <f>IFERROR(__xludf.DUMMYFUNCTION("""COMPUTED_VALUE"""),"XN Chuối LP1")</f>
        <v>XN Chuối LP1</v>
      </c>
      <c r="D1723" s="1076" t="str">
        <f>IFERROR(__xludf.DUMMYFUNCTION("""COMPUTED_VALUE"""),"HONDA")</f>
        <v>HONDA</v>
      </c>
      <c r="E1723" s="1076" t="str">
        <f>IFERROR(__xludf.DUMMYFUNCTION("""COMPUTED_VALUE"""),"NHật Bản")</f>
        <v>NHật Bản</v>
      </c>
      <c r="F1723" s="1076"/>
      <c r="G1723" s="1076" t="str">
        <f>IFERROR(__xludf.DUMMYFUNCTION("""COMPUTED_VALUE"""),"GX35")</f>
        <v>GX35</v>
      </c>
      <c r="H1723" s="1076" t="str">
        <f>IFERROR(__xludf.DUMMYFUNCTION("""COMPUTED_VALUE"""),"1.6HP")</f>
        <v>1.6HP</v>
      </c>
      <c r="I1723" s="1076"/>
      <c r="J1723" s="1076"/>
      <c r="K1723" s="1076">
        <f>IFERROR(__xludf.DUMMYFUNCTION("""COMPUTED_VALUE"""),0.5)</f>
        <v>0.5</v>
      </c>
      <c r="L1723" s="1076" t="str">
        <f>IFERROR(__xludf.DUMMYFUNCTION("""COMPUTED_VALUE"""),"KLH")</f>
        <v>KLH</v>
      </c>
    </row>
    <row r="1724" customHeight="1" spans="1:12">
      <c r="A1724" s="1076" t="str">
        <f>IFERROR(__xludf.DUMMYFUNCTION("""COMPUTED_VALUE"""),"XL1-MPC-050")</f>
        <v>XL1-MPC-050</v>
      </c>
      <c r="B1724" s="1075" t="str">
        <f>IFERROR(__xludf.DUMMYFUNCTION("""COMPUTED_VALUE"""),"Máy phát cỏ 4 thì")</f>
        <v>Máy phát cỏ 4 thì</v>
      </c>
      <c r="C1724" s="1076" t="str">
        <f>IFERROR(__xludf.DUMMYFUNCTION("""COMPUTED_VALUE"""),"XN Chuối LP1")</f>
        <v>XN Chuối LP1</v>
      </c>
      <c r="D1724" s="1076" t="str">
        <f>IFERROR(__xludf.DUMMYFUNCTION("""COMPUTED_VALUE"""),"HONDA")</f>
        <v>HONDA</v>
      </c>
      <c r="E1724" s="1076" t="str">
        <f>IFERROR(__xludf.DUMMYFUNCTION("""COMPUTED_VALUE"""),"NHật Bản")</f>
        <v>NHật Bản</v>
      </c>
      <c r="F1724" s="1076"/>
      <c r="G1724" s="1076" t="str">
        <f>IFERROR(__xludf.DUMMYFUNCTION("""COMPUTED_VALUE"""),"GX35")</f>
        <v>GX35</v>
      </c>
      <c r="H1724" s="1076" t="str">
        <f>IFERROR(__xludf.DUMMYFUNCTION("""COMPUTED_VALUE"""),"1.6HP")</f>
        <v>1.6HP</v>
      </c>
      <c r="I1724" s="1076"/>
      <c r="J1724" s="1076"/>
      <c r="K1724" s="1076">
        <f>IFERROR(__xludf.DUMMYFUNCTION("""COMPUTED_VALUE"""),0.5)</f>
        <v>0.5</v>
      </c>
      <c r="L1724" s="1076" t="str">
        <f>IFERROR(__xludf.DUMMYFUNCTION("""COMPUTED_VALUE"""),"KLH")</f>
        <v>KLH</v>
      </c>
    </row>
    <row r="1725" customHeight="1" spans="1:12">
      <c r="A1725" s="1076" t="str">
        <f>IFERROR(__xludf.DUMMYFUNCTION("""COMPUTED_VALUE"""),"XL1-MPC-051")</f>
        <v>XL1-MPC-051</v>
      </c>
      <c r="B1725" s="1075" t="str">
        <f>IFERROR(__xludf.DUMMYFUNCTION("""COMPUTED_VALUE"""),"Máy phát cỏ 4 thì")</f>
        <v>Máy phát cỏ 4 thì</v>
      </c>
      <c r="C1725" s="1076" t="str">
        <f>IFERROR(__xludf.DUMMYFUNCTION("""COMPUTED_VALUE"""),"XN Chuối LP1")</f>
        <v>XN Chuối LP1</v>
      </c>
      <c r="D1725" s="1076" t="str">
        <f>IFERROR(__xludf.DUMMYFUNCTION("""COMPUTED_VALUE"""),"HONDA")</f>
        <v>HONDA</v>
      </c>
      <c r="E1725" s="1076" t="str">
        <f>IFERROR(__xludf.DUMMYFUNCTION("""COMPUTED_VALUE"""),"NHật Bản")</f>
        <v>NHật Bản</v>
      </c>
      <c r="F1725" s="1076"/>
      <c r="G1725" s="1076" t="str">
        <f>IFERROR(__xludf.DUMMYFUNCTION("""COMPUTED_VALUE"""),"GX35")</f>
        <v>GX35</v>
      </c>
      <c r="H1725" s="1076" t="str">
        <f>IFERROR(__xludf.DUMMYFUNCTION("""COMPUTED_VALUE"""),"1.6HP")</f>
        <v>1.6HP</v>
      </c>
      <c r="I1725" s="1076"/>
      <c r="J1725" s="1076"/>
      <c r="K1725" s="1076">
        <f>IFERROR(__xludf.DUMMYFUNCTION("""COMPUTED_VALUE"""),0.5)</f>
        <v>0.5</v>
      </c>
      <c r="L1725" s="1076" t="str">
        <f>IFERROR(__xludf.DUMMYFUNCTION("""COMPUTED_VALUE"""),"KLH")</f>
        <v>KLH</v>
      </c>
    </row>
    <row r="1726" customHeight="1" spans="1:12">
      <c r="A1726" s="1076" t="str">
        <f>IFERROR(__xludf.DUMMYFUNCTION("""COMPUTED_VALUE"""),"XL1-MPC-052")</f>
        <v>XL1-MPC-052</v>
      </c>
      <c r="B1726" s="1075" t="str">
        <f>IFERROR(__xludf.DUMMYFUNCTION("""COMPUTED_VALUE"""),"Máy phát cỏ 4 thì")</f>
        <v>Máy phát cỏ 4 thì</v>
      </c>
      <c r="C1726" s="1076" t="str">
        <f>IFERROR(__xludf.DUMMYFUNCTION("""COMPUTED_VALUE"""),"XN Chuối LP1")</f>
        <v>XN Chuối LP1</v>
      </c>
      <c r="D1726" s="1076" t="str">
        <f>IFERROR(__xludf.DUMMYFUNCTION("""COMPUTED_VALUE"""),"HONDA")</f>
        <v>HONDA</v>
      </c>
      <c r="E1726" s="1076" t="str">
        <f>IFERROR(__xludf.DUMMYFUNCTION("""COMPUTED_VALUE"""),"NHật Bản")</f>
        <v>NHật Bản</v>
      </c>
      <c r="F1726" s="1076"/>
      <c r="G1726" s="1076" t="str">
        <f>IFERROR(__xludf.DUMMYFUNCTION("""COMPUTED_VALUE"""),"GX35")</f>
        <v>GX35</v>
      </c>
      <c r="H1726" s="1076" t="str">
        <f>IFERROR(__xludf.DUMMYFUNCTION("""COMPUTED_VALUE"""),"1.6HP")</f>
        <v>1.6HP</v>
      </c>
      <c r="I1726" s="1076"/>
      <c r="J1726" s="1076"/>
      <c r="K1726" s="1076">
        <f>IFERROR(__xludf.DUMMYFUNCTION("""COMPUTED_VALUE"""),0.5)</f>
        <v>0.5</v>
      </c>
      <c r="L1726" s="1076" t="str">
        <f>IFERROR(__xludf.DUMMYFUNCTION("""COMPUTED_VALUE"""),"KLH")</f>
        <v>KLH</v>
      </c>
    </row>
    <row r="1727" customHeight="1" spans="1:12">
      <c r="A1727" s="1076" t="str">
        <f>IFERROR(__xludf.DUMMYFUNCTION("""COMPUTED_VALUE"""),"XL1-MPC-053")</f>
        <v>XL1-MPC-053</v>
      </c>
      <c r="B1727" s="1075" t="str">
        <f>IFERROR(__xludf.DUMMYFUNCTION("""COMPUTED_VALUE"""),"Máy phát cỏ 4 thì")</f>
        <v>Máy phát cỏ 4 thì</v>
      </c>
      <c r="C1727" s="1076" t="str">
        <f>IFERROR(__xludf.DUMMYFUNCTION("""COMPUTED_VALUE"""),"XN Chuối LP1")</f>
        <v>XN Chuối LP1</v>
      </c>
      <c r="D1727" s="1076" t="str">
        <f>IFERROR(__xludf.DUMMYFUNCTION("""COMPUTED_VALUE"""),"HONDA")</f>
        <v>HONDA</v>
      </c>
      <c r="E1727" s="1076" t="str">
        <f>IFERROR(__xludf.DUMMYFUNCTION("""COMPUTED_VALUE"""),"NHật Bản")</f>
        <v>NHật Bản</v>
      </c>
      <c r="F1727" s="1076"/>
      <c r="G1727" s="1076" t="str">
        <f>IFERROR(__xludf.DUMMYFUNCTION("""COMPUTED_VALUE"""),"GX35")</f>
        <v>GX35</v>
      </c>
      <c r="H1727" s="1076" t="str">
        <f>IFERROR(__xludf.DUMMYFUNCTION("""COMPUTED_VALUE"""),"1.6HP")</f>
        <v>1.6HP</v>
      </c>
      <c r="I1727" s="1076"/>
      <c r="J1727" s="1076"/>
      <c r="K1727" s="1076">
        <f>IFERROR(__xludf.DUMMYFUNCTION("""COMPUTED_VALUE"""),0.5)</f>
        <v>0.5</v>
      </c>
      <c r="L1727" s="1076" t="str">
        <f>IFERROR(__xludf.DUMMYFUNCTION("""COMPUTED_VALUE"""),"KLH")</f>
        <v>KLH</v>
      </c>
    </row>
    <row r="1728" customHeight="1" spans="1:12">
      <c r="A1728" s="1076" t="str">
        <f>IFERROR(__xludf.DUMMYFUNCTION("""COMPUTED_VALUE"""),"XL1-MPC-054")</f>
        <v>XL1-MPC-054</v>
      </c>
      <c r="B1728" s="1075" t="str">
        <f>IFERROR(__xludf.DUMMYFUNCTION("""COMPUTED_VALUE"""),"Máy phát cỏ 4 thì")</f>
        <v>Máy phát cỏ 4 thì</v>
      </c>
      <c r="C1728" s="1076" t="str">
        <f>IFERROR(__xludf.DUMMYFUNCTION("""COMPUTED_VALUE"""),"XN Chuối LP1")</f>
        <v>XN Chuối LP1</v>
      </c>
      <c r="D1728" s="1076" t="str">
        <f>IFERROR(__xludf.DUMMYFUNCTION("""COMPUTED_VALUE"""),"HONDA")</f>
        <v>HONDA</v>
      </c>
      <c r="E1728" s="1076" t="str">
        <f>IFERROR(__xludf.DUMMYFUNCTION("""COMPUTED_VALUE"""),"NHật Bản")</f>
        <v>NHật Bản</v>
      </c>
      <c r="F1728" s="1076"/>
      <c r="G1728" s="1076" t="str">
        <f>IFERROR(__xludf.DUMMYFUNCTION("""COMPUTED_VALUE"""),"GX35")</f>
        <v>GX35</v>
      </c>
      <c r="H1728" s="1076" t="str">
        <f>IFERROR(__xludf.DUMMYFUNCTION("""COMPUTED_VALUE"""),"1.6HP")</f>
        <v>1.6HP</v>
      </c>
      <c r="I1728" s="1076"/>
      <c r="J1728" s="1076"/>
      <c r="K1728" s="1076">
        <f>IFERROR(__xludf.DUMMYFUNCTION("""COMPUTED_VALUE"""),0.5)</f>
        <v>0.5</v>
      </c>
      <c r="L1728" s="1076" t="str">
        <f>IFERROR(__xludf.DUMMYFUNCTION("""COMPUTED_VALUE"""),"KLH")</f>
        <v>KLH</v>
      </c>
    </row>
    <row r="1729" customHeight="1" spans="1:12">
      <c r="A1729" s="1076" t="str">
        <f>IFERROR(__xludf.DUMMYFUNCTION("""COMPUTED_VALUE"""),"XL1-MPC-055")</f>
        <v>XL1-MPC-055</v>
      </c>
      <c r="B1729" s="1075" t="str">
        <f>IFERROR(__xludf.DUMMYFUNCTION("""COMPUTED_VALUE"""),"Máy phát cỏ 4 thì")</f>
        <v>Máy phát cỏ 4 thì</v>
      </c>
      <c r="C1729" s="1076" t="str">
        <f>IFERROR(__xludf.DUMMYFUNCTION("""COMPUTED_VALUE"""),"XN Chuối LP1")</f>
        <v>XN Chuối LP1</v>
      </c>
      <c r="D1729" s="1076" t="str">
        <f>IFERROR(__xludf.DUMMYFUNCTION("""COMPUTED_VALUE"""),"HONDA")</f>
        <v>HONDA</v>
      </c>
      <c r="E1729" s="1076" t="str">
        <f>IFERROR(__xludf.DUMMYFUNCTION("""COMPUTED_VALUE"""),"NHật Bản")</f>
        <v>NHật Bản</v>
      </c>
      <c r="F1729" s="1076"/>
      <c r="G1729" s="1076" t="str">
        <f>IFERROR(__xludf.DUMMYFUNCTION("""COMPUTED_VALUE"""),"GX35")</f>
        <v>GX35</v>
      </c>
      <c r="H1729" s="1076" t="str">
        <f>IFERROR(__xludf.DUMMYFUNCTION("""COMPUTED_VALUE"""),"1.6HP")</f>
        <v>1.6HP</v>
      </c>
      <c r="I1729" s="1076"/>
      <c r="J1729" s="1076"/>
      <c r="K1729" s="1076">
        <f>IFERROR(__xludf.DUMMYFUNCTION("""COMPUTED_VALUE"""),0.5)</f>
        <v>0.5</v>
      </c>
      <c r="L1729" s="1076" t="str">
        <f>IFERROR(__xludf.DUMMYFUNCTION("""COMPUTED_VALUE"""),"KLH")</f>
        <v>KLH</v>
      </c>
    </row>
    <row r="1730" customHeight="1" spans="1:12">
      <c r="A1730" s="1076" t="str">
        <f>IFERROR(__xludf.DUMMYFUNCTION("""COMPUTED_VALUE"""),"XL1-MPC-056")</f>
        <v>XL1-MPC-056</v>
      </c>
      <c r="B1730" s="1075" t="str">
        <f>IFERROR(__xludf.DUMMYFUNCTION("""COMPUTED_VALUE"""),"Máy phát cỏ 4 thì")</f>
        <v>Máy phát cỏ 4 thì</v>
      </c>
      <c r="C1730" s="1076" t="str">
        <f>IFERROR(__xludf.DUMMYFUNCTION("""COMPUTED_VALUE"""),"XN Chuối LP1")</f>
        <v>XN Chuối LP1</v>
      </c>
      <c r="D1730" s="1076" t="str">
        <f>IFERROR(__xludf.DUMMYFUNCTION("""COMPUTED_VALUE"""),"HONDA")</f>
        <v>HONDA</v>
      </c>
      <c r="E1730" s="1076" t="str">
        <f>IFERROR(__xludf.DUMMYFUNCTION("""COMPUTED_VALUE"""),"NHật Bản")</f>
        <v>NHật Bản</v>
      </c>
      <c r="F1730" s="1076"/>
      <c r="G1730" s="1076" t="str">
        <f>IFERROR(__xludf.DUMMYFUNCTION("""COMPUTED_VALUE"""),"GX35")</f>
        <v>GX35</v>
      </c>
      <c r="H1730" s="1076" t="str">
        <f>IFERROR(__xludf.DUMMYFUNCTION("""COMPUTED_VALUE"""),"1.6HP")</f>
        <v>1.6HP</v>
      </c>
      <c r="I1730" s="1076"/>
      <c r="J1730" s="1076"/>
      <c r="K1730" s="1076">
        <f>IFERROR(__xludf.DUMMYFUNCTION("""COMPUTED_VALUE"""),0.5)</f>
        <v>0.5</v>
      </c>
      <c r="L1730" s="1076" t="str">
        <f>IFERROR(__xludf.DUMMYFUNCTION("""COMPUTED_VALUE"""),"KLH")</f>
        <v>KLH</v>
      </c>
    </row>
    <row r="1731" customHeight="1" spans="1:12">
      <c r="A1731" s="1076" t="str">
        <f>IFERROR(__xludf.DUMMYFUNCTION("""COMPUTED_VALUE"""),"XL1-MPC-057")</f>
        <v>XL1-MPC-057</v>
      </c>
      <c r="B1731" s="1075" t="str">
        <f>IFERROR(__xludf.DUMMYFUNCTION("""COMPUTED_VALUE"""),"Máy phát cỏ 2 thì")</f>
        <v>Máy phát cỏ 2 thì</v>
      </c>
      <c r="C1731" s="1076" t="str">
        <f>IFERROR(__xludf.DUMMYFUNCTION("""COMPUTED_VALUE"""),"XN Chuối LP1")</f>
        <v>XN Chuối LP1</v>
      </c>
      <c r="D1731" s="1076" t="str">
        <f>IFERROR(__xludf.DUMMYFUNCTION("""COMPUTED_VALUE"""),"MARRATA")</f>
        <v>MARRATA</v>
      </c>
      <c r="E1731" s="1076"/>
      <c r="F1731" s="1076"/>
      <c r="G1731" s="1076" t="str">
        <f>IFERROR(__xludf.DUMMYFUNCTION("""COMPUTED_VALUE"""),"CG411")</f>
        <v>CG411</v>
      </c>
      <c r="H1731" s="1076" t="str">
        <f>IFERROR(__xludf.DUMMYFUNCTION("""COMPUTED_VALUE"""),"1.8HP")</f>
        <v>1.8HP</v>
      </c>
      <c r="I1731" s="1076"/>
      <c r="J1731" s="1076"/>
      <c r="K1731" s="1076">
        <f>IFERROR(__xludf.DUMMYFUNCTION("""COMPUTED_VALUE"""),1)</f>
        <v>1</v>
      </c>
      <c r="L1731" s="1076" t="str">
        <f>IFERROR(__xludf.DUMMYFUNCTION("""COMPUTED_VALUE"""),"KLH")</f>
        <v>KLH</v>
      </c>
    </row>
    <row r="1732" customHeight="1" spans="1:12">
      <c r="A1732" s="1076" t="str">
        <f>IFERROR(__xludf.DUMMYFUNCTION("""COMPUTED_VALUE"""),"XL1-MPC-058")</f>
        <v>XL1-MPC-058</v>
      </c>
      <c r="B1732" s="1075" t="str">
        <f>IFERROR(__xludf.DUMMYFUNCTION("""COMPUTED_VALUE"""),"Máy phát cỏ 2 thì")</f>
        <v>Máy phát cỏ 2 thì</v>
      </c>
      <c r="C1732" s="1076" t="str">
        <f>IFERROR(__xludf.DUMMYFUNCTION("""COMPUTED_VALUE"""),"XN Chuối LP1")</f>
        <v>XN Chuối LP1</v>
      </c>
      <c r="D1732" s="1076" t="str">
        <f>IFERROR(__xludf.DUMMYFUNCTION("""COMPUTED_VALUE"""),"MARRATA")</f>
        <v>MARRATA</v>
      </c>
      <c r="E1732" s="1076"/>
      <c r="F1732" s="1076"/>
      <c r="G1732" s="1076" t="str">
        <f>IFERROR(__xludf.DUMMYFUNCTION("""COMPUTED_VALUE"""),"CG411")</f>
        <v>CG411</v>
      </c>
      <c r="H1732" s="1076" t="str">
        <f>IFERROR(__xludf.DUMMYFUNCTION("""COMPUTED_VALUE"""),"1.8HP")</f>
        <v>1.8HP</v>
      </c>
      <c r="I1732" s="1076"/>
      <c r="J1732" s="1076"/>
      <c r="K1732" s="1076">
        <f>IFERROR(__xludf.DUMMYFUNCTION("""COMPUTED_VALUE"""),1)</f>
        <v>1</v>
      </c>
      <c r="L1732" s="1076" t="str">
        <f>IFERROR(__xludf.DUMMYFUNCTION("""COMPUTED_VALUE"""),"KLH")</f>
        <v>KLH</v>
      </c>
    </row>
    <row r="1733" customHeight="1" spans="1:12">
      <c r="A1733" s="1076" t="str">
        <f>IFERROR(__xludf.DUMMYFUNCTION("""COMPUTED_VALUE"""),"XL1-MPC-059")</f>
        <v>XL1-MPC-059</v>
      </c>
      <c r="B1733" s="1075" t="str">
        <f>IFERROR(__xludf.DUMMYFUNCTION("""COMPUTED_VALUE"""),"Máy phát cỏ 2 thì")</f>
        <v>Máy phát cỏ 2 thì</v>
      </c>
      <c r="C1733" s="1076" t="str">
        <f>IFERROR(__xludf.DUMMYFUNCTION("""COMPUTED_VALUE"""),"XN Chuối LP1")</f>
        <v>XN Chuối LP1</v>
      </c>
      <c r="D1733" s="1076" t="str">
        <f>IFERROR(__xludf.DUMMYFUNCTION("""COMPUTED_VALUE"""),"MARRATA")</f>
        <v>MARRATA</v>
      </c>
      <c r="E1733" s="1076"/>
      <c r="F1733" s="1076"/>
      <c r="G1733" s="1076" t="str">
        <f>IFERROR(__xludf.DUMMYFUNCTION("""COMPUTED_VALUE"""),"CG411")</f>
        <v>CG411</v>
      </c>
      <c r="H1733" s="1076" t="str">
        <f>IFERROR(__xludf.DUMMYFUNCTION("""COMPUTED_VALUE"""),"1.8HP")</f>
        <v>1.8HP</v>
      </c>
      <c r="I1733" s="1076"/>
      <c r="J1733" s="1076"/>
      <c r="K1733" s="1076">
        <f>IFERROR(__xludf.DUMMYFUNCTION("""COMPUTED_VALUE"""),1)</f>
        <v>1</v>
      </c>
      <c r="L1733" s="1076" t="str">
        <f>IFERROR(__xludf.DUMMYFUNCTION("""COMPUTED_VALUE"""),"KLH")</f>
        <v>KLH</v>
      </c>
    </row>
    <row r="1734" customHeight="1" spans="1:12">
      <c r="A1734" s="1076" t="str">
        <f>IFERROR(__xludf.DUMMYFUNCTION("""COMPUTED_VALUE"""),"XL1-MPC-060")</f>
        <v>XL1-MPC-060</v>
      </c>
      <c r="B1734" s="1075" t="str">
        <f>IFERROR(__xludf.DUMMYFUNCTION("""COMPUTED_VALUE"""),"Máy phát cỏ 2 thì")</f>
        <v>Máy phát cỏ 2 thì</v>
      </c>
      <c r="C1734" s="1076" t="str">
        <f>IFERROR(__xludf.DUMMYFUNCTION("""COMPUTED_VALUE"""),"XN Chuối LP1")</f>
        <v>XN Chuối LP1</v>
      </c>
      <c r="D1734" s="1076" t="str">
        <f>IFERROR(__xludf.DUMMYFUNCTION("""COMPUTED_VALUE"""),"MARRATA")</f>
        <v>MARRATA</v>
      </c>
      <c r="E1734" s="1076"/>
      <c r="F1734" s="1076"/>
      <c r="G1734" s="1076" t="str">
        <f>IFERROR(__xludf.DUMMYFUNCTION("""COMPUTED_VALUE"""),"CG411")</f>
        <v>CG411</v>
      </c>
      <c r="H1734" s="1076" t="str">
        <f>IFERROR(__xludf.DUMMYFUNCTION("""COMPUTED_VALUE"""),"1.8HP")</f>
        <v>1.8HP</v>
      </c>
      <c r="I1734" s="1076"/>
      <c r="J1734" s="1076"/>
      <c r="K1734" s="1076">
        <f>IFERROR(__xludf.DUMMYFUNCTION("""COMPUTED_VALUE"""),1)</f>
        <v>1</v>
      </c>
      <c r="L1734" s="1076" t="str">
        <f>IFERROR(__xludf.DUMMYFUNCTION("""COMPUTED_VALUE"""),"KLH")</f>
        <v>KLH</v>
      </c>
    </row>
    <row r="1735" customHeight="1" spans="1:12">
      <c r="A1735" s="1076" t="str">
        <f>IFERROR(__xludf.DUMMYFUNCTION("""COMPUTED_VALUE"""),"XL1-MPC-061")</f>
        <v>XL1-MPC-061</v>
      </c>
      <c r="B1735" s="1075" t="str">
        <f>IFERROR(__xludf.DUMMYFUNCTION("""COMPUTED_VALUE"""),"Máy phát cỏ 2 thì")</f>
        <v>Máy phát cỏ 2 thì</v>
      </c>
      <c r="C1735" s="1076" t="str">
        <f>IFERROR(__xludf.DUMMYFUNCTION("""COMPUTED_VALUE"""),"XN Chuối LP1")</f>
        <v>XN Chuối LP1</v>
      </c>
      <c r="D1735" s="1076" t="str">
        <f>IFERROR(__xludf.DUMMYFUNCTION("""COMPUTED_VALUE"""),"MARRATA")</f>
        <v>MARRATA</v>
      </c>
      <c r="E1735" s="1076"/>
      <c r="F1735" s="1076"/>
      <c r="G1735" s="1076" t="str">
        <f>IFERROR(__xludf.DUMMYFUNCTION("""COMPUTED_VALUE"""),"CG411")</f>
        <v>CG411</v>
      </c>
      <c r="H1735" s="1076" t="str">
        <f>IFERROR(__xludf.DUMMYFUNCTION("""COMPUTED_VALUE"""),"1.8HP")</f>
        <v>1.8HP</v>
      </c>
      <c r="I1735" s="1076"/>
      <c r="J1735" s="1076"/>
      <c r="K1735" s="1076">
        <f>IFERROR(__xludf.DUMMYFUNCTION("""COMPUTED_VALUE"""),1)</f>
        <v>1</v>
      </c>
      <c r="L1735" s="1076" t="str">
        <f>IFERROR(__xludf.DUMMYFUNCTION("""COMPUTED_VALUE"""),"KLH")</f>
        <v>KLH</v>
      </c>
    </row>
    <row r="1736" customHeight="1" spans="1:12">
      <c r="A1736" s="1076" t="str">
        <f>IFERROR(__xludf.DUMMYFUNCTION("""COMPUTED_VALUE"""),"XL1-MPC-062")</f>
        <v>XL1-MPC-062</v>
      </c>
      <c r="B1736" s="1075" t="str">
        <f>IFERROR(__xludf.DUMMYFUNCTION("""COMPUTED_VALUE"""),"Máy phát cỏ 2 thì")</f>
        <v>Máy phát cỏ 2 thì</v>
      </c>
      <c r="C1736" s="1076" t="str">
        <f>IFERROR(__xludf.DUMMYFUNCTION("""COMPUTED_VALUE"""),"XN Chuối LP1")</f>
        <v>XN Chuối LP1</v>
      </c>
      <c r="D1736" s="1076" t="str">
        <f>IFERROR(__xludf.DUMMYFUNCTION("""COMPUTED_VALUE"""),"MARRATA")</f>
        <v>MARRATA</v>
      </c>
      <c r="E1736" s="1076"/>
      <c r="F1736" s="1076"/>
      <c r="G1736" s="1076" t="str">
        <f>IFERROR(__xludf.DUMMYFUNCTION("""COMPUTED_VALUE"""),"CG411")</f>
        <v>CG411</v>
      </c>
      <c r="H1736" s="1076" t="str">
        <f>IFERROR(__xludf.DUMMYFUNCTION("""COMPUTED_VALUE"""),"1.8HP")</f>
        <v>1.8HP</v>
      </c>
      <c r="I1736" s="1076"/>
      <c r="J1736" s="1076"/>
      <c r="K1736" s="1076">
        <f>IFERROR(__xludf.DUMMYFUNCTION("""COMPUTED_VALUE"""),1)</f>
        <v>1</v>
      </c>
      <c r="L1736" s="1076" t="str">
        <f>IFERROR(__xludf.DUMMYFUNCTION("""COMPUTED_VALUE"""),"KLH")</f>
        <v>KLH</v>
      </c>
    </row>
    <row r="1737" customHeight="1" spans="1:12">
      <c r="A1737" s="1076" t="str">
        <f>IFERROR(__xludf.DUMMYFUNCTION("""COMPUTED_VALUE"""),"XL1-MPC-063")</f>
        <v>XL1-MPC-063</v>
      </c>
      <c r="B1737" s="1075" t="str">
        <f>IFERROR(__xludf.DUMMYFUNCTION("""COMPUTED_VALUE"""),"Máy phát cỏ 2 thì")</f>
        <v>Máy phát cỏ 2 thì</v>
      </c>
      <c r="C1737" s="1076" t="str">
        <f>IFERROR(__xludf.DUMMYFUNCTION("""COMPUTED_VALUE"""),"XN Chuối LP1")</f>
        <v>XN Chuối LP1</v>
      </c>
      <c r="D1737" s="1076" t="str">
        <f>IFERROR(__xludf.DUMMYFUNCTION("""COMPUTED_VALUE"""),"MARRATA")</f>
        <v>MARRATA</v>
      </c>
      <c r="E1737" s="1076"/>
      <c r="F1737" s="1076"/>
      <c r="G1737" s="1076" t="str">
        <f>IFERROR(__xludf.DUMMYFUNCTION("""COMPUTED_VALUE"""),"CG411")</f>
        <v>CG411</v>
      </c>
      <c r="H1737" s="1076" t="str">
        <f>IFERROR(__xludf.DUMMYFUNCTION("""COMPUTED_VALUE"""),"1.8HP")</f>
        <v>1.8HP</v>
      </c>
      <c r="I1737" s="1076"/>
      <c r="J1737" s="1076"/>
      <c r="K1737" s="1076">
        <f>IFERROR(__xludf.DUMMYFUNCTION("""COMPUTED_VALUE"""),1)</f>
        <v>1</v>
      </c>
      <c r="L1737" s="1076" t="str">
        <f>IFERROR(__xludf.DUMMYFUNCTION("""COMPUTED_VALUE"""),"KLH")</f>
        <v>KLH</v>
      </c>
    </row>
    <row r="1738" customHeight="1" spans="1:12">
      <c r="A1738" s="1076" t="str">
        <f>IFERROR(__xludf.DUMMYFUNCTION("""COMPUTED_VALUE"""),"XL1-MPC-064")</f>
        <v>XL1-MPC-064</v>
      </c>
      <c r="B1738" s="1075" t="str">
        <f>IFERROR(__xludf.DUMMYFUNCTION("""COMPUTED_VALUE"""),"Máy phát cỏ 2 thì")</f>
        <v>Máy phát cỏ 2 thì</v>
      </c>
      <c r="C1738" s="1076" t="str">
        <f>IFERROR(__xludf.DUMMYFUNCTION("""COMPUTED_VALUE"""),"XN Chuối LP1")</f>
        <v>XN Chuối LP1</v>
      </c>
      <c r="D1738" s="1076" t="str">
        <f>IFERROR(__xludf.DUMMYFUNCTION("""COMPUTED_VALUE"""),"MARRATA")</f>
        <v>MARRATA</v>
      </c>
      <c r="E1738" s="1076"/>
      <c r="F1738" s="1076"/>
      <c r="G1738" s="1076" t="str">
        <f>IFERROR(__xludf.DUMMYFUNCTION("""COMPUTED_VALUE"""),"CG411")</f>
        <v>CG411</v>
      </c>
      <c r="H1738" s="1076" t="str">
        <f>IFERROR(__xludf.DUMMYFUNCTION("""COMPUTED_VALUE"""),"1.8HP")</f>
        <v>1.8HP</v>
      </c>
      <c r="I1738" s="1076"/>
      <c r="J1738" s="1076"/>
      <c r="K1738" s="1076">
        <f>IFERROR(__xludf.DUMMYFUNCTION("""COMPUTED_VALUE"""),1)</f>
        <v>1</v>
      </c>
      <c r="L1738" s="1076" t="str">
        <f>IFERROR(__xludf.DUMMYFUNCTION("""COMPUTED_VALUE"""),"KLH")</f>
        <v>KLH</v>
      </c>
    </row>
    <row r="1739" customHeight="1" spans="1:12">
      <c r="A1739" s="1076" t="str">
        <f>IFERROR(__xludf.DUMMYFUNCTION("""COMPUTED_VALUE"""),"XL1-MPC-065")</f>
        <v>XL1-MPC-065</v>
      </c>
      <c r="B1739" s="1075" t="str">
        <f>IFERROR(__xludf.DUMMYFUNCTION("""COMPUTED_VALUE"""),"Máy phát cỏ 2 thì")</f>
        <v>Máy phát cỏ 2 thì</v>
      </c>
      <c r="C1739" s="1076" t="str">
        <f>IFERROR(__xludf.DUMMYFUNCTION("""COMPUTED_VALUE"""),"XN Chuối LP1")</f>
        <v>XN Chuối LP1</v>
      </c>
      <c r="D1739" s="1076" t="str">
        <f>IFERROR(__xludf.DUMMYFUNCTION("""COMPUTED_VALUE"""),"MARRATA")</f>
        <v>MARRATA</v>
      </c>
      <c r="E1739" s="1076"/>
      <c r="F1739" s="1076"/>
      <c r="G1739" s="1076" t="str">
        <f>IFERROR(__xludf.DUMMYFUNCTION("""COMPUTED_VALUE"""),"CG411")</f>
        <v>CG411</v>
      </c>
      <c r="H1739" s="1076" t="str">
        <f>IFERROR(__xludf.DUMMYFUNCTION("""COMPUTED_VALUE"""),"1.8HP")</f>
        <v>1.8HP</v>
      </c>
      <c r="I1739" s="1076"/>
      <c r="J1739" s="1076"/>
      <c r="K1739" s="1076">
        <f>IFERROR(__xludf.DUMMYFUNCTION("""COMPUTED_VALUE"""),1)</f>
        <v>1</v>
      </c>
      <c r="L1739" s="1076" t="str">
        <f>IFERROR(__xludf.DUMMYFUNCTION("""COMPUTED_VALUE"""),"KLH")</f>
        <v>KLH</v>
      </c>
    </row>
    <row r="1740" customHeight="1" spans="1:12">
      <c r="A1740" s="1076" t="str">
        <f>IFERROR(__xludf.DUMMYFUNCTION("""COMPUTED_VALUE"""),"XL1-MPC-066")</f>
        <v>XL1-MPC-066</v>
      </c>
      <c r="B1740" s="1075" t="str">
        <f>IFERROR(__xludf.DUMMYFUNCTION("""COMPUTED_VALUE"""),"Máy phát cỏ 2 thì")</f>
        <v>Máy phát cỏ 2 thì</v>
      </c>
      <c r="C1740" s="1076" t="str">
        <f>IFERROR(__xludf.DUMMYFUNCTION("""COMPUTED_VALUE"""),"XN Chuối LP1")</f>
        <v>XN Chuối LP1</v>
      </c>
      <c r="D1740" s="1076" t="str">
        <f>IFERROR(__xludf.DUMMYFUNCTION("""COMPUTED_VALUE"""),"MARRATA")</f>
        <v>MARRATA</v>
      </c>
      <c r="E1740" s="1076"/>
      <c r="F1740" s="1076"/>
      <c r="G1740" s="1076" t="str">
        <f>IFERROR(__xludf.DUMMYFUNCTION("""COMPUTED_VALUE"""),"CG411")</f>
        <v>CG411</v>
      </c>
      <c r="H1740" s="1076" t="str">
        <f>IFERROR(__xludf.DUMMYFUNCTION("""COMPUTED_VALUE"""),"1.8HP")</f>
        <v>1.8HP</v>
      </c>
      <c r="I1740" s="1076"/>
      <c r="J1740" s="1076"/>
      <c r="K1740" s="1076">
        <f>IFERROR(__xludf.DUMMYFUNCTION("""COMPUTED_VALUE"""),1)</f>
        <v>1</v>
      </c>
      <c r="L1740" s="1076" t="str">
        <f>IFERROR(__xludf.DUMMYFUNCTION("""COMPUTED_VALUE"""),"KLH")</f>
        <v>KLH</v>
      </c>
    </row>
    <row r="1741" customHeight="1" spans="1:12">
      <c r="A1741" s="1076" t="str">
        <f>IFERROR(__xludf.DUMMYFUNCTION("""COMPUTED_VALUE"""),"XL1-MPC-067")</f>
        <v>XL1-MPC-067</v>
      </c>
      <c r="B1741" s="1075" t="str">
        <f>IFERROR(__xludf.DUMMYFUNCTION("""COMPUTED_VALUE"""),"Máy phát cỏ 2 thì")</f>
        <v>Máy phát cỏ 2 thì</v>
      </c>
      <c r="C1741" s="1076" t="str">
        <f>IFERROR(__xludf.DUMMYFUNCTION("""COMPUTED_VALUE"""),"XN Chuối LP1")</f>
        <v>XN Chuối LP1</v>
      </c>
      <c r="D1741" s="1076" t="str">
        <f>IFERROR(__xludf.DUMMYFUNCTION("""COMPUTED_VALUE"""),"MARRATA")</f>
        <v>MARRATA</v>
      </c>
      <c r="E1741" s="1076"/>
      <c r="F1741" s="1076"/>
      <c r="G1741" s="1076" t="str">
        <f>IFERROR(__xludf.DUMMYFUNCTION("""COMPUTED_VALUE"""),"CG411")</f>
        <v>CG411</v>
      </c>
      <c r="H1741" s="1076" t="str">
        <f>IFERROR(__xludf.DUMMYFUNCTION("""COMPUTED_VALUE"""),"1.8HP")</f>
        <v>1.8HP</v>
      </c>
      <c r="I1741" s="1076"/>
      <c r="J1741" s="1076"/>
      <c r="K1741" s="1076">
        <f>IFERROR(__xludf.DUMMYFUNCTION("""COMPUTED_VALUE"""),1)</f>
        <v>1</v>
      </c>
      <c r="L1741" s="1076" t="str">
        <f>IFERROR(__xludf.DUMMYFUNCTION("""COMPUTED_VALUE"""),"KLH")</f>
        <v>KLH</v>
      </c>
    </row>
    <row r="1742" customHeight="1" spans="1:12">
      <c r="A1742" s="1076" t="str">
        <f>IFERROR(__xludf.DUMMYFUNCTION("""COMPUTED_VALUE"""),"XL1-MPC-068")</f>
        <v>XL1-MPC-068</v>
      </c>
      <c r="B1742" s="1075" t="str">
        <f>IFERROR(__xludf.DUMMYFUNCTION("""COMPUTED_VALUE"""),"Máy phát cỏ 2 thì")</f>
        <v>Máy phát cỏ 2 thì</v>
      </c>
      <c r="C1742" s="1076" t="str">
        <f>IFERROR(__xludf.DUMMYFUNCTION("""COMPUTED_VALUE"""),"XN Chuối LP1")</f>
        <v>XN Chuối LP1</v>
      </c>
      <c r="D1742" s="1076" t="str">
        <f>IFERROR(__xludf.DUMMYFUNCTION("""COMPUTED_VALUE"""),"MARRATA")</f>
        <v>MARRATA</v>
      </c>
      <c r="E1742" s="1076"/>
      <c r="F1742" s="1076"/>
      <c r="G1742" s="1076" t="str">
        <f>IFERROR(__xludf.DUMMYFUNCTION("""COMPUTED_VALUE"""),"CG411")</f>
        <v>CG411</v>
      </c>
      <c r="H1742" s="1076" t="str">
        <f>IFERROR(__xludf.DUMMYFUNCTION("""COMPUTED_VALUE"""),"1.8HP")</f>
        <v>1.8HP</v>
      </c>
      <c r="I1742" s="1076"/>
      <c r="J1742" s="1076"/>
      <c r="K1742" s="1076">
        <f>IFERROR(__xludf.DUMMYFUNCTION("""COMPUTED_VALUE"""),1)</f>
        <v>1</v>
      </c>
      <c r="L1742" s="1076" t="str">
        <f>IFERROR(__xludf.DUMMYFUNCTION("""COMPUTED_VALUE"""),"KLH")</f>
        <v>KLH</v>
      </c>
    </row>
    <row r="1743" customHeight="1" spans="1:12">
      <c r="A1743" s="1076" t="str">
        <f>IFERROR(__xludf.DUMMYFUNCTION("""COMPUTED_VALUE"""),"XL1-MPC-069")</f>
        <v>XL1-MPC-069</v>
      </c>
      <c r="B1743" s="1075" t="str">
        <f>IFERROR(__xludf.DUMMYFUNCTION("""COMPUTED_VALUE"""),"Máy phát cỏ 2 thì")</f>
        <v>Máy phát cỏ 2 thì</v>
      </c>
      <c r="C1743" s="1076" t="str">
        <f>IFERROR(__xludf.DUMMYFUNCTION("""COMPUTED_VALUE"""),"XN Chuối LP1")</f>
        <v>XN Chuối LP1</v>
      </c>
      <c r="D1743" s="1076" t="str">
        <f>IFERROR(__xludf.DUMMYFUNCTION("""COMPUTED_VALUE"""),"MARRATA")</f>
        <v>MARRATA</v>
      </c>
      <c r="E1743" s="1076"/>
      <c r="F1743" s="1076"/>
      <c r="G1743" s="1076" t="str">
        <f>IFERROR(__xludf.DUMMYFUNCTION("""COMPUTED_VALUE"""),"CG411")</f>
        <v>CG411</v>
      </c>
      <c r="H1743" s="1076" t="str">
        <f>IFERROR(__xludf.DUMMYFUNCTION("""COMPUTED_VALUE"""),"1.8HP")</f>
        <v>1.8HP</v>
      </c>
      <c r="I1743" s="1076"/>
      <c r="J1743" s="1076"/>
      <c r="K1743" s="1076"/>
      <c r="L1743" s="1076" t="str">
        <f>IFERROR(__xludf.DUMMYFUNCTION("""COMPUTED_VALUE"""),"KLH")</f>
        <v>KLH</v>
      </c>
    </row>
    <row r="1744" customHeight="1" spans="1:12">
      <c r="A1744" s="1076" t="str">
        <f>IFERROR(__xludf.DUMMYFUNCTION("""COMPUTED_VALUE"""),"XL1-MPC-070")</f>
        <v>XL1-MPC-070</v>
      </c>
      <c r="B1744" s="1075" t="str">
        <f>IFERROR(__xludf.DUMMYFUNCTION("""COMPUTED_VALUE"""),"Máy phát cỏ 2 thì")</f>
        <v>Máy phát cỏ 2 thì</v>
      </c>
      <c r="C1744" s="1076" t="str">
        <f>IFERROR(__xludf.DUMMYFUNCTION("""COMPUTED_VALUE"""),"XN Chuối LP1")</f>
        <v>XN Chuối LP1</v>
      </c>
      <c r="D1744" s="1076" t="str">
        <f>IFERROR(__xludf.DUMMYFUNCTION("""COMPUTED_VALUE"""),"MARRATA")</f>
        <v>MARRATA</v>
      </c>
      <c r="E1744" s="1076"/>
      <c r="F1744" s="1076"/>
      <c r="G1744" s="1076" t="str">
        <f>IFERROR(__xludf.DUMMYFUNCTION("""COMPUTED_VALUE"""),"CG411")</f>
        <v>CG411</v>
      </c>
      <c r="H1744" s="1076" t="str">
        <f>IFERROR(__xludf.DUMMYFUNCTION("""COMPUTED_VALUE"""),"1.8HP")</f>
        <v>1.8HP</v>
      </c>
      <c r="I1744" s="1076"/>
      <c r="J1744" s="1076"/>
      <c r="K1744" s="1076"/>
      <c r="L1744" s="1076" t="str">
        <f>IFERROR(__xludf.DUMMYFUNCTION("""COMPUTED_VALUE"""),"KLH")</f>
        <v>KLH</v>
      </c>
    </row>
    <row r="1745" customHeight="1" spans="1:12">
      <c r="A1745" s="1076" t="str">
        <f>IFERROR(__xludf.DUMMYFUNCTION("""COMPUTED_VALUE"""),"XL1-MPC-071")</f>
        <v>XL1-MPC-071</v>
      </c>
      <c r="B1745" s="1075" t="str">
        <f>IFERROR(__xludf.DUMMYFUNCTION("""COMPUTED_VALUE"""),"Máy phát cỏ 2 thì")</f>
        <v>Máy phát cỏ 2 thì</v>
      </c>
      <c r="C1745" s="1076" t="str">
        <f>IFERROR(__xludf.DUMMYFUNCTION("""COMPUTED_VALUE"""),"XN Chuối LP1")</f>
        <v>XN Chuối LP1</v>
      </c>
      <c r="D1745" s="1076" t="str">
        <f>IFERROR(__xludf.DUMMYFUNCTION("""COMPUTED_VALUE"""),"MARRATA")</f>
        <v>MARRATA</v>
      </c>
      <c r="E1745" s="1076"/>
      <c r="F1745" s="1076"/>
      <c r="G1745" s="1076" t="str">
        <f>IFERROR(__xludf.DUMMYFUNCTION("""COMPUTED_VALUE"""),"CG411")</f>
        <v>CG411</v>
      </c>
      <c r="H1745" s="1076" t="str">
        <f>IFERROR(__xludf.DUMMYFUNCTION("""COMPUTED_VALUE"""),"1.8HP")</f>
        <v>1.8HP</v>
      </c>
      <c r="I1745" s="1076"/>
      <c r="J1745" s="1076"/>
      <c r="K1745" s="1076"/>
      <c r="L1745" s="1076" t="str">
        <f>IFERROR(__xludf.DUMMYFUNCTION("""COMPUTED_VALUE"""),"KLH")</f>
        <v>KLH</v>
      </c>
    </row>
    <row r="1746" customHeight="1" spans="1:12">
      <c r="A1746" s="1076" t="str">
        <f>IFERROR(__xludf.DUMMYFUNCTION("""COMPUTED_VALUE"""),"XL1-MPC-072")</f>
        <v>XL1-MPC-072</v>
      </c>
      <c r="B1746" s="1075" t="str">
        <f>IFERROR(__xludf.DUMMYFUNCTION("""COMPUTED_VALUE"""),"Máy phát cỏ 2 thì")</f>
        <v>Máy phát cỏ 2 thì</v>
      </c>
      <c r="C1746" s="1076" t="str">
        <f>IFERROR(__xludf.DUMMYFUNCTION("""COMPUTED_VALUE"""),"XN Chuối LP1")</f>
        <v>XN Chuối LP1</v>
      </c>
      <c r="D1746" s="1076" t="str">
        <f>IFERROR(__xludf.DUMMYFUNCTION("""COMPUTED_VALUE"""),"MARRATA")</f>
        <v>MARRATA</v>
      </c>
      <c r="E1746" s="1076"/>
      <c r="F1746" s="1076"/>
      <c r="G1746" s="1076" t="str">
        <f>IFERROR(__xludf.DUMMYFUNCTION("""COMPUTED_VALUE"""),"CG411")</f>
        <v>CG411</v>
      </c>
      <c r="H1746" s="1076" t="str">
        <f>IFERROR(__xludf.DUMMYFUNCTION("""COMPUTED_VALUE"""),"1.8HP")</f>
        <v>1.8HP</v>
      </c>
      <c r="I1746" s="1076"/>
      <c r="J1746" s="1076"/>
      <c r="K1746" s="1076"/>
      <c r="L1746" s="1076" t="str">
        <f>IFERROR(__xludf.DUMMYFUNCTION("""COMPUTED_VALUE"""),"KLH")</f>
        <v>KLH</v>
      </c>
    </row>
    <row r="1747" customHeight="1" spans="1:12">
      <c r="A1747" s="1076" t="str">
        <f>IFERROR(__xludf.DUMMYFUNCTION("""COMPUTED_VALUE"""),"XL1-MPC-073")</f>
        <v>XL1-MPC-073</v>
      </c>
      <c r="B1747" s="1075" t="str">
        <f>IFERROR(__xludf.DUMMYFUNCTION("""COMPUTED_VALUE"""),"Máy phát cỏ 2 thì")</f>
        <v>Máy phát cỏ 2 thì</v>
      </c>
      <c r="C1747" s="1076" t="str">
        <f>IFERROR(__xludf.DUMMYFUNCTION("""COMPUTED_VALUE"""),"XN Chuối LP1")</f>
        <v>XN Chuối LP1</v>
      </c>
      <c r="D1747" s="1076" t="str">
        <f>IFERROR(__xludf.DUMMYFUNCTION("""COMPUTED_VALUE"""),"MARRATA")</f>
        <v>MARRATA</v>
      </c>
      <c r="E1747" s="1076"/>
      <c r="F1747" s="1076"/>
      <c r="G1747" s="1076" t="str">
        <f>IFERROR(__xludf.DUMMYFUNCTION("""COMPUTED_VALUE"""),"CG411")</f>
        <v>CG411</v>
      </c>
      <c r="H1747" s="1076" t="str">
        <f>IFERROR(__xludf.DUMMYFUNCTION("""COMPUTED_VALUE"""),"1.8HP")</f>
        <v>1.8HP</v>
      </c>
      <c r="I1747" s="1076"/>
      <c r="J1747" s="1076"/>
      <c r="K1747" s="1076"/>
      <c r="L1747" s="1076" t="str">
        <f>IFERROR(__xludf.DUMMYFUNCTION("""COMPUTED_VALUE"""),"KLH")</f>
        <v>KLH</v>
      </c>
    </row>
    <row r="1748" customHeight="1" spans="1:12">
      <c r="A1748" s="1076" t="str">
        <f>IFERROR(__xludf.DUMMYFUNCTION("""COMPUTED_VALUE"""),"XL1-MPC-074")</f>
        <v>XL1-MPC-074</v>
      </c>
      <c r="B1748" s="1075" t="str">
        <f>IFERROR(__xludf.DUMMYFUNCTION("""COMPUTED_VALUE"""),"Máy phát cỏ 2 thì")</f>
        <v>Máy phát cỏ 2 thì</v>
      </c>
      <c r="C1748" s="1076" t="str">
        <f>IFERROR(__xludf.DUMMYFUNCTION("""COMPUTED_VALUE"""),"XN Chuối LP1")</f>
        <v>XN Chuối LP1</v>
      </c>
      <c r="D1748" s="1076" t="str">
        <f>IFERROR(__xludf.DUMMYFUNCTION("""COMPUTED_VALUE"""),"MARRATA")</f>
        <v>MARRATA</v>
      </c>
      <c r="E1748" s="1076"/>
      <c r="F1748" s="1076"/>
      <c r="G1748" s="1076" t="str">
        <f>IFERROR(__xludf.DUMMYFUNCTION("""COMPUTED_VALUE"""),"CG411")</f>
        <v>CG411</v>
      </c>
      <c r="H1748" s="1076" t="str">
        <f>IFERROR(__xludf.DUMMYFUNCTION("""COMPUTED_VALUE"""),"1.8HP")</f>
        <v>1.8HP</v>
      </c>
      <c r="I1748" s="1076"/>
      <c r="J1748" s="1076"/>
      <c r="K1748" s="1076"/>
      <c r="L1748" s="1076" t="str">
        <f>IFERROR(__xludf.DUMMYFUNCTION("""COMPUTED_VALUE"""),"KLH")</f>
        <v>KLH</v>
      </c>
    </row>
    <row r="1749" customHeight="1" spans="1:12">
      <c r="A1749" s="1076" t="str">
        <f>IFERROR(__xludf.DUMMYFUNCTION("""COMPUTED_VALUE"""),"XL1-MPC-075")</f>
        <v>XL1-MPC-075</v>
      </c>
      <c r="B1749" s="1075" t="str">
        <f>IFERROR(__xludf.DUMMYFUNCTION("""COMPUTED_VALUE"""),"Máy phát cỏ 2 thì")</f>
        <v>Máy phát cỏ 2 thì</v>
      </c>
      <c r="C1749" s="1076" t="str">
        <f>IFERROR(__xludf.DUMMYFUNCTION("""COMPUTED_VALUE"""),"XN Chuối LP1")</f>
        <v>XN Chuối LP1</v>
      </c>
      <c r="D1749" s="1076" t="str">
        <f>IFERROR(__xludf.DUMMYFUNCTION("""COMPUTED_VALUE"""),"MARRATA")</f>
        <v>MARRATA</v>
      </c>
      <c r="E1749" s="1076"/>
      <c r="F1749" s="1076"/>
      <c r="G1749" s="1076" t="str">
        <f>IFERROR(__xludf.DUMMYFUNCTION("""COMPUTED_VALUE"""),"CG411")</f>
        <v>CG411</v>
      </c>
      <c r="H1749" s="1076" t="str">
        <f>IFERROR(__xludf.DUMMYFUNCTION("""COMPUTED_VALUE"""),"1.8HP")</f>
        <v>1.8HP</v>
      </c>
      <c r="I1749" s="1076"/>
      <c r="J1749" s="1076"/>
      <c r="K1749" s="1076"/>
      <c r="L1749" s="1076" t="str">
        <f>IFERROR(__xludf.DUMMYFUNCTION("""COMPUTED_VALUE"""),"KLH")</f>
        <v>KLH</v>
      </c>
    </row>
    <row r="1750" customHeight="1" spans="1:12">
      <c r="A1750" s="1076" t="str">
        <f>IFERROR(__xludf.DUMMYFUNCTION("""COMPUTED_VALUE"""),"XL1-MPC-076")</f>
        <v>XL1-MPC-076</v>
      </c>
      <c r="B1750" s="1075" t="str">
        <f>IFERROR(__xludf.DUMMYFUNCTION("""COMPUTED_VALUE"""),"Máy phát cỏ 2 thì")</f>
        <v>Máy phát cỏ 2 thì</v>
      </c>
      <c r="C1750" s="1076" t="str">
        <f>IFERROR(__xludf.DUMMYFUNCTION("""COMPUTED_VALUE"""),"XN Chuối LP1")</f>
        <v>XN Chuối LP1</v>
      </c>
      <c r="D1750" s="1076" t="str">
        <f>IFERROR(__xludf.DUMMYFUNCTION("""COMPUTED_VALUE"""),"MARRATA")</f>
        <v>MARRATA</v>
      </c>
      <c r="E1750" s="1076"/>
      <c r="F1750" s="1076"/>
      <c r="G1750" s="1076" t="str">
        <f>IFERROR(__xludf.DUMMYFUNCTION("""COMPUTED_VALUE"""),"CG411")</f>
        <v>CG411</v>
      </c>
      <c r="H1750" s="1076" t="str">
        <f>IFERROR(__xludf.DUMMYFUNCTION("""COMPUTED_VALUE"""),"1.8HP")</f>
        <v>1.8HP</v>
      </c>
      <c r="I1750" s="1076"/>
      <c r="J1750" s="1076"/>
      <c r="K1750" s="1076"/>
      <c r="L1750" s="1076" t="str">
        <f>IFERROR(__xludf.DUMMYFUNCTION("""COMPUTED_VALUE"""),"KLH")</f>
        <v>KLH</v>
      </c>
    </row>
    <row r="1751" customHeight="1" spans="1:12">
      <c r="A1751" s="1076" t="str">
        <f>IFERROR(__xludf.DUMMYFUNCTION("""COMPUTED_VALUE"""),"XL1-MPC-077")</f>
        <v>XL1-MPC-077</v>
      </c>
      <c r="B1751" s="1075" t="str">
        <f>IFERROR(__xludf.DUMMYFUNCTION("""COMPUTED_VALUE"""),"Máy phát cỏ 2 thì")</f>
        <v>Máy phát cỏ 2 thì</v>
      </c>
      <c r="C1751" s="1076" t="str">
        <f>IFERROR(__xludf.DUMMYFUNCTION("""COMPUTED_VALUE"""),"XN Chuối LP1")</f>
        <v>XN Chuối LP1</v>
      </c>
      <c r="D1751" s="1076" t="str">
        <f>IFERROR(__xludf.DUMMYFUNCTION("""COMPUTED_VALUE"""),"MARRATA")</f>
        <v>MARRATA</v>
      </c>
      <c r="E1751" s="1076"/>
      <c r="F1751" s="1076"/>
      <c r="G1751" s="1076" t="str">
        <f>IFERROR(__xludf.DUMMYFUNCTION("""COMPUTED_VALUE"""),"CG411")</f>
        <v>CG411</v>
      </c>
      <c r="H1751" s="1076" t="str">
        <f>IFERROR(__xludf.DUMMYFUNCTION("""COMPUTED_VALUE"""),"1.8HP")</f>
        <v>1.8HP</v>
      </c>
      <c r="I1751" s="1076"/>
      <c r="J1751" s="1076"/>
      <c r="K1751" s="1076"/>
      <c r="L1751" s="1076" t="str">
        <f>IFERROR(__xludf.DUMMYFUNCTION("""COMPUTED_VALUE"""),"KLH")</f>
        <v>KLH</v>
      </c>
    </row>
    <row r="1752" customHeight="1" spans="1:12">
      <c r="A1752" s="1076" t="str">
        <f>IFERROR(__xludf.DUMMYFUNCTION("""COMPUTED_VALUE"""),"XL1-MPC-078")</f>
        <v>XL1-MPC-078</v>
      </c>
      <c r="B1752" s="1075" t="str">
        <f>IFERROR(__xludf.DUMMYFUNCTION("""COMPUTED_VALUE"""),"Máy phát cỏ 2 thì")</f>
        <v>Máy phát cỏ 2 thì</v>
      </c>
      <c r="C1752" s="1076" t="str">
        <f>IFERROR(__xludf.DUMMYFUNCTION("""COMPUTED_VALUE"""),"XN Chuối LP1")</f>
        <v>XN Chuối LP1</v>
      </c>
      <c r="D1752" s="1076" t="str">
        <f>IFERROR(__xludf.DUMMYFUNCTION("""COMPUTED_VALUE"""),"MARRATA")</f>
        <v>MARRATA</v>
      </c>
      <c r="E1752" s="1076"/>
      <c r="F1752" s="1076"/>
      <c r="G1752" s="1076" t="str">
        <f>IFERROR(__xludf.DUMMYFUNCTION("""COMPUTED_VALUE"""),"CG411")</f>
        <v>CG411</v>
      </c>
      <c r="H1752" s="1076" t="str">
        <f>IFERROR(__xludf.DUMMYFUNCTION("""COMPUTED_VALUE"""),"1.8HP")</f>
        <v>1.8HP</v>
      </c>
      <c r="I1752" s="1076"/>
      <c r="J1752" s="1076"/>
      <c r="K1752" s="1076"/>
      <c r="L1752" s="1076" t="str">
        <f>IFERROR(__xludf.DUMMYFUNCTION("""COMPUTED_VALUE"""),"KLH")</f>
        <v>KLH</v>
      </c>
    </row>
    <row r="1753" customHeight="1" spans="1:12">
      <c r="A1753" s="1076" t="str">
        <f>IFERROR(__xludf.DUMMYFUNCTION("""COMPUTED_VALUE"""),"XL1-MPC-079")</f>
        <v>XL1-MPC-079</v>
      </c>
      <c r="B1753" s="1075" t="str">
        <f>IFERROR(__xludf.DUMMYFUNCTION("""COMPUTED_VALUE"""),"Máy phát cỏ 2 thì")</f>
        <v>Máy phát cỏ 2 thì</v>
      </c>
      <c r="C1753" s="1076" t="str">
        <f>IFERROR(__xludf.DUMMYFUNCTION("""COMPUTED_VALUE"""),"XN Chuối LP1")</f>
        <v>XN Chuối LP1</v>
      </c>
      <c r="D1753" s="1076" t="str">
        <f>IFERROR(__xludf.DUMMYFUNCTION("""COMPUTED_VALUE"""),"MARRATA")</f>
        <v>MARRATA</v>
      </c>
      <c r="E1753" s="1076"/>
      <c r="F1753" s="1076"/>
      <c r="G1753" s="1076" t="str">
        <f>IFERROR(__xludf.DUMMYFUNCTION("""COMPUTED_VALUE"""),"CG411")</f>
        <v>CG411</v>
      </c>
      <c r="H1753" s="1076" t="str">
        <f>IFERROR(__xludf.DUMMYFUNCTION("""COMPUTED_VALUE"""),"1.8HP")</f>
        <v>1.8HP</v>
      </c>
      <c r="I1753" s="1076"/>
      <c r="J1753" s="1076"/>
      <c r="K1753" s="1076"/>
      <c r="L1753" s="1076" t="str">
        <f>IFERROR(__xludf.DUMMYFUNCTION("""COMPUTED_VALUE"""),"KLH")</f>
        <v>KLH</v>
      </c>
    </row>
    <row r="1754" customHeight="1" spans="1:12">
      <c r="A1754" s="1076" t="str">
        <f>IFERROR(__xludf.DUMMYFUNCTION("""COMPUTED_VALUE"""),"XL1-MPC-080")</f>
        <v>XL1-MPC-080</v>
      </c>
      <c r="B1754" s="1075" t="str">
        <f>IFERROR(__xludf.DUMMYFUNCTION("""COMPUTED_VALUE"""),"Máy phát cỏ 2 thì")</f>
        <v>Máy phát cỏ 2 thì</v>
      </c>
      <c r="C1754" s="1076" t="str">
        <f>IFERROR(__xludf.DUMMYFUNCTION("""COMPUTED_VALUE"""),"XN Chuối LP1")</f>
        <v>XN Chuối LP1</v>
      </c>
      <c r="D1754" s="1076" t="str">
        <f>IFERROR(__xludf.DUMMYFUNCTION("""COMPUTED_VALUE"""),"MARRATA")</f>
        <v>MARRATA</v>
      </c>
      <c r="E1754" s="1076"/>
      <c r="F1754" s="1076"/>
      <c r="G1754" s="1076" t="str">
        <f>IFERROR(__xludf.DUMMYFUNCTION("""COMPUTED_VALUE"""),"CG411")</f>
        <v>CG411</v>
      </c>
      <c r="H1754" s="1076" t="str">
        <f>IFERROR(__xludf.DUMMYFUNCTION("""COMPUTED_VALUE"""),"1.8HP")</f>
        <v>1.8HP</v>
      </c>
      <c r="I1754" s="1076"/>
      <c r="J1754" s="1076"/>
      <c r="K1754" s="1076"/>
      <c r="L1754" s="1076" t="str">
        <f>IFERROR(__xludf.DUMMYFUNCTION("""COMPUTED_VALUE"""),"KLH")</f>
        <v>KLH</v>
      </c>
    </row>
    <row r="1755" customHeight="1" spans="1:12">
      <c r="A1755" s="1076" t="str">
        <f>IFERROR(__xludf.DUMMYFUNCTION("""COMPUTED_VALUE"""),"XL1-MPC-081")</f>
        <v>XL1-MPC-081</v>
      </c>
      <c r="B1755" s="1075" t="str">
        <f>IFERROR(__xludf.DUMMYFUNCTION("""COMPUTED_VALUE"""),"Máy phát cỏ 2 thì")</f>
        <v>Máy phát cỏ 2 thì</v>
      </c>
      <c r="C1755" s="1076" t="str">
        <f>IFERROR(__xludf.DUMMYFUNCTION("""COMPUTED_VALUE"""),"XN Chuối LP1")</f>
        <v>XN Chuối LP1</v>
      </c>
      <c r="D1755" s="1076" t="str">
        <f>IFERROR(__xludf.DUMMYFUNCTION("""COMPUTED_VALUE"""),"MARRATA")</f>
        <v>MARRATA</v>
      </c>
      <c r="E1755" s="1076"/>
      <c r="F1755" s="1076"/>
      <c r="G1755" s="1076" t="str">
        <f>IFERROR(__xludf.DUMMYFUNCTION("""COMPUTED_VALUE"""),"CG411")</f>
        <v>CG411</v>
      </c>
      <c r="H1755" s="1076" t="str">
        <f>IFERROR(__xludf.DUMMYFUNCTION("""COMPUTED_VALUE"""),"1.8HP")</f>
        <v>1.8HP</v>
      </c>
      <c r="I1755" s="1076"/>
      <c r="J1755" s="1076"/>
      <c r="K1755" s="1076"/>
      <c r="L1755" s="1076" t="str">
        <f>IFERROR(__xludf.DUMMYFUNCTION("""COMPUTED_VALUE"""),"KLH")</f>
        <v>KLH</v>
      </c>
    </row>
    <row r="1756" customHeight="1" spans="1:12">
      <c r="A1756" s="1076" t="str">
        <f>IFERROR(__xludf.DUMMYFUNCTION("""COMPUTED_VALUE"""),"XL1-MPC-082")</f>
        <v>XL1-MPC-082</v>
      </c>
      <c r="B1756" s="1075" t="str">
        <f>IFERROR(__xludf.DUMMYFUNCTION("""COMPUTED_VALUE"""),"Máy phát cỏ 2 thì")</f>
        <v>Máy phát cỏ 2 thì</v>
      </c>
      <c r="C1756" s="1076" t="str">
        <f>IFERROR(__xludf.DUMMYFUNCTION("""COMPUTED_VALUE"""),"XN Chuối LP1")</f>
        <v>XN Chuối LP1</v>
      </c>
      <c r="D1756" s="1076" t="str">
        <f>IFERROR(__xludf.DUMMYFUNCTION("""COMPUTED_VALUE"""),"MARRATA")</f>
        <v>MARRATA</v>
      </c>
      <c r="E1756" s="1076"/>
      <c r="F1756" s="1076"/>
      <c r="G1756" s="1076" t="str">
        <f>IFERROR(__xludf.DUMMYFUNCTION("""COMPUTED_VALUE"""),"CG411")</f>
        <v>CG411</v>
      </c>
      <c r="H1756" s="1076" t="str">
        <f>IFERROR(__xludf.DUMMYFUNCTION("""COMPUTED_VALUE"""),"1.8HP")</f>
        <v>1.8HP</v>
      </c>
      <c r="I1756" s="1076"/>
      <c r="J1756" s="1076"/>
      <c r="K1756" s="1076"/>
      <c r="L1756" s="1076" t="str">
        <f>IFERROR(__xludf.DUMMYFUNCTION("""COMPUTED_VALUE"""),"KLH")</f>
        <v>KLH</v>
      </c>
    </row>
    <row r="1757" customHeight="1" spans="1:12">
      <c r="A1757" s="1076" t="str">
        <f>IFERROR(__xludf.DUMMYFUNCTION("""COMPUTED_VALUE"""),"XL1-MPC-083")</f>
        <v>XL1-MPC-083</v>
      </c>
      <c r="B1757" s="1075" t="str">
        <f>IFERROR(__xludf.DUMMYFUNCTION("""COMPUTED_VALUE"""),"Máy phát cỏ 2 thì")</f>
        <v>Máy phát cỏ 2 thì</v>
      </c>
      <c r="C1757" s="1076" t="str">
        <f>IFERROR(__xludf.DUMMYFUNCTION("""COMPUTED_VALUE"""),"XN Chuối LP1")</f>
        <v>XN Chuối LP1</v>
      </c>
      <c r="D1757" s="1076" t="str">
        <f>IFERROR(__xludf.DUMMYFUNCTION("""COMPUTED_VALUE"""),"MARRATA")</f>
        <v>MARRATA</v>
      </c>
      <c r="E1757" s="1076"/>
      <c r="F1757" s="1076"/>
      <c r="G1757" s="1076" t="str">
        <f>IFERROR(__xludf.DUMMYFUNCTION("""COMPUTED_VALUE"""),"CG411")</f>
        <v>CG411</v>
      </c>
      <c r="H1757" s="1076" t="str">
        <f>IFERROR(__xludf.DUMMYFUNCTION("""COMPUTED_VALUE"""),"1.8HP")</f>
        <v>1.8HP</v>
      </c>
      <c r="I1757" s="1076"/>
      <c r="J1757" s="1076"/>
      <c r="K1757" s="1076"/>
      <c r="L1757" s="1076" t="str">
        <f>IFERROR(__xludf.DUMMYFUNCTION("""COMPUTED_VALUE"""),"KLH")</f>
        <v>KLH</v>
      </c>
    </row>
    <row r="1758" customHeight="1" spans="1:12">
      <c r="A1758" s="1076" t="str">
        <f>IFERROR(__xludf.DUMMYFUNCTION("""COMPUTED_VALUE"""),"XL1-MPC-084")</f>
        <v>XL1-MPC-084</v>
      </c>
      <c r="B1758" s="1075" t="str">
        <f>IFERROR(__xludf.DUMMYFUNCTION("""COMPUTED_VALUE"""),"Máy phát cỏ 2 thì")</f>
        <v>Máy phát cỏ 2 thì</v>
      </c>
      <c r="C1758" s="1076" t="str">
        <f>IFERROR(__xludf.DUMMYFUNCTION("""COMPUTED_VALUE"""),"XN Chuối LP1")</f>
        <v>XN Chuối LP1</v>
      </c>
      <c r="D1758" s="1076" t="str">
        <f>IFERROR(__xludf.DUMMYFUNCTION("""COMPUTED_VALUE"""),"MARRATA")</f>
        <v>MARRATA</v>
      </c>
      <c r="E1758" s="1076"/>
      <c r="F1758" s="1076"/>
      <c r="G1758" s="1076" t="str">
        <f>IFERROR(__xludf.DUMMYFUNCTION("""COMPUTED_VALUE"""),"CG411")</f>
        <v>CG411</v>
      </c>
      <c r="H1758" s="1076" t="str">
        <f>IFERROR(__xludf.DUMMYFUNCTION("""COMPUTED_VALUE"""),"1.8HP")</f>
        <v>1.8HP</v>
      </c>
      <c r="I1758" s="1076"/>
      <c r="J1758" s="1076"/>
      <c r="K1758" s="1076"/>
      <c r="L1758" s="1076" t="str">
        <f>IFERROR(__xludf.DUMMYFUNCTION("""COMPUTED_VALUE"""),"KLH")</f>
        <v>KLH</v>
      </c>
    </row>
    <row r="1759" customHeight="1" spans="1:12">
      <c r="A1759" s="1076" t="str">
        <f>IFERROR(__xludf.DUMMYFUNCTION("""COMPUTED_VALUE"""),"XL1-MPC-085")</f>
        <v>XL1-MPC-085</v>
      </c>
      <c r="B1759" s="1075" t="str">
        <f>IFERROR(__xludf.DUMMYFUNCTION("""COMPUTED_VALUE"""),"Máy phát cỏ 2 thì")</f>
        <v>Máy phát cỏ 2 thì</v>
      </c>
      <c r="C1759" s="1076" t="str">
        <f>IFERROR(__xludf.DUMMYFUNCTION("""COMPUTED_VALUE"""),"XN Chuối LP1")</f>
        <v>XN Chuối LP1</v>
      </c>
      <c r="D1759" s="1076" t="str">
        <f>IFERROR(__xludf.DUMMYFUNCTION("""COMPUTED_VALUE"""),"MARRATA")</f>
        <v>MARRATA</v>
      </c>
      <c r="E1759" s="1076"/>
      <c r="F1759" s="1076"/>
      <c r="G1759" s="1076" t="str">
        <f>IFERROR(__xludf.DUMMYFUNCTION("""COMPUTED_VALUE"""),"CG411")</f>
        <v>CG411</v>
      </c>
      <c r="H1759" s="1076" t="str">
        <f>IFERROR(__xludf.DUMMYFUNCTION("""COMPUTED_VALUE"""),"1.8HP")</f>
        <v>1.8HP</v>
      </c>
      <c r="I1759" s="1076"/>
      <c r="J1759" s="1076"/>
      <c r="K1759" s="1076"/>
      <c r="L1759" s="1076" t="str">
        <f>IFERROR(__xludf.DUMMYFUNCTION("""COMPUTED_VALUE"""),"KLH")</f>
        <v>KLH</v>
      </c>
    </row>
    <row r="1760" customHeight="1" spans="1:12">
      <c r="A1760" s="1076" t="str">
        <f>IFERROR(__xludf.DUMMYFUNCTION("""COMPUTED_VALUE"""),"XL1-MPC-086")</f>
        <v>XL1-MPC-086</v>
      </c>
      <c r="B1760" s="1075" t="str">
        <f>IFERROR(__xludf.DUMMYFUNCTION("""COMPUTED_VALUE"""),"Máy phát cỏ 2 thì")</f>
        <v>Máy phát cỏ 2 thì</v>
      </c>
      <c r="C1760" s="1076" t="str">
        <f>IFERROR(__xludf.DUMMYFUNCTION("""COMPUTED_VALUE"""),"XN Chuối LP1")</f>
        <v>XN Chuối LP1</v>
      </c>
      <c r="D1760" s="1076" t="str">
        <f>IFERROR(__xludf.DUMMYFUNCTION("""COMPUTED_VALUE"""),"MARRATA")</f>
        <v>MARRATA</v>
      </c>
      <c r="E1760" s="1076"/>
      <c r="F1760" s="1076"/>
      <c r="G1760" s="1076" t="str">
        <f>IFERROR(__xludf.DUMMYFUNCTION("""COMPUTED_VALUE"""),"CG411")</f>
        <v>CG411</v>
      </c>
      <c r="H1760" s="1076" t="str">
        <f>IFERROR(__xludf.DUMMYFUNCTION("""COMPUTED_VALUE"""),"1.8HP")</f>
        <v>1.8HP</v>
      </c>
      <c r="I1760" s="1076"/>
      <c r="J1760" s="1076"/>
      <c r="K1760" s="1076"/>
      <c r="L1760" s="1076" t="str">
        <f>IFERROR(__xludf.DUMMYFUNCTION("""COMPUTED_VALUE"""),"KLH")</f>
        <v>KLH</v>
      </c>
    </row>
    <row r="1761" customHeight="1" spans="1:12">
      <c r="A1761" s="1076" t="str">
        <f>IFERROR(__xludf.DUMMYFUNCTION("""COMPUTED_VALUE"""),"XL1-MPC-087")</f>
        <v>XL1-MPC-087</v>
      </c>
      <c r="B1761" s="1075" t="str">
        <f>IFERROR(__xludf.DUMMYFUNCTION("""COMPUTED_VALUE"""),"Máy phát cỏ 2 thì")</f>
        <v>Máy phát cỏ 2 thì</v>
      </c>
      <c r="C1761" s="1076" t="str">
        <f>IFERROR(__xludf.DUMMYFUNCTION("""COMPUTED_VALUE"""),"XN Chuối LP1")</f>
        <v>XN Chuối LP1</v>
      </c>
      <c r="D1761" s="1076" t="str">
        <f>IFERROR(__xludf.DUMMYFUNCTION("""COMPUTED_VALUE"""),"MARRATA")</f>
        <v>MARRATA</v>
      </c>
      <c r="E1761" s="1076"/>
      <c r="F1761" s="1076"/>
      <c r="G1761" s="1076" t="str">
        <f>IFERROR(__xludf.DUMMYFUNCTION("""COMPUTED_VALUE"""),"CG411")</f>
        <v>CG411</v>
      </c>
      <c r="H1761" s="1076" t="str">
        <f>IFERROR(__xludf.DUMMYFUNCTION("""COMPUTED_VALUE"""),"1.8HP")</f>
        <v>1.8HP</v>
      </c>
      <c r="I1761" s="1076"/>
      <c r="J1761" s="1076"/>
      <c r="K1761" s="1076"/>
      <c r="L1761" s="1076" t="str">
        <f>IFERROR(__xludf.DUMMYFUNCTION("""COMPUTED_VALUE"""),"KLH")</f>
        <v>KLH</v>
      </c>
    </row>
    <row r="1762" customHeight="1" spans="1:12">
      <c r="A1762" s="1076" t="str">
        <f>IFERROR(__xludf.DUMMYFUNCTION("""COMPUTED_VALUE"""),"XL1-MPC-088")</f>
        <v>XL1-MPC-088</v>
      </c>
      <c r="B1762" s="1075" t="str">
        <f>IFERROR(__xludf.DUMMYFUNCTION("""COMPUTED_VALUE"""),"Máy phát cỏ 2 thì")</f>
        <v>Máy phát cỏ 2 thì</v>
      </c>
      <c r="C1762" s="1076" t="str">
        <f>IFERROR(__xludf.DUMMYFUNCTION("""COMPUTED_VALUE"""),"XN Chuối LP1")</f>
        <v>XN Chuối LP1</v>
      </c>
      <c r="D1762" s="1076" t="str">
        <f>IFERROR(__xludf.DUMMYFUNCTION("""COMPUTED_VALUE"""),"MARRATA")</f>
        <v>MARRATA</v>
      </c>
      <c r="E1762" s="1076"/>
      <c r="F1762" s="1076"/>
      <c r="G1762" s="1076" t="str">
        <f>IFERROR(__xludf.DUMMYFUNCTION("""COMPUTED_VALUE"""),"CG411")</f>
        <v>CG411</v>
      </c>
      <c r="H1762" s="1076" t="str">
        <f>IFERROR(__xludf.DUMMYFUNCTION("""COMPUTED_VALUE"""),"1.8HP")</f>
        <v>1.8HP</v>
      </c>
      <c r="I1762" s="1076"/>
      <c r="J1762" s="1076"/>
      <c r="K1762" s="1076"/>
      <c r="L1762" s="1076" t="str">
        <f>IFERROR(__xludf.DUMMYFUNCTION("""COMPUTED_VALUE"""),"KLH")</f>
        <v>KLH</v>
      </c>
    </row>
    <row r="1763" customHeight="1" spans="1:12">
      <c r="A1763" s="1076" t="str">
        <f>IFERROR(__xludf.DUMMYFUNCTION("""COMPUTED_VALUE"""),"XN LP3")</f>
        <v>XN LP3</v>
      </c>
      <c r="B1763" s="1075"/>
      <c r="C1763" s="1076"/>
      <c r="D1763" s="1076"/>
      <c r="E1763" s="1076"/>
      <c r="F1763" s="1076"/>
      <c r="G1763" s="1076"/>
      <c r="H1763" s="1076"/>
      <c r="I1763" s="1076"/>
      <c r="J1763" s="1076"/>
      <c r="K1763" s="1076"/>
      <c r="L1763" s="1076" t="str">
        <f>IFERROR(__xludf.DUMMYFUNCTION("""COMPUTED_VALUE"""),"KLH")</f>
        <v>KLH</v>
      </c>
    </row>
    <row r="1764" customHeight="1" spans="1:12">
      <c r="A1764" s="1076" t="str">
        <f>IFERROR(__xludf.DUMMYFUNCTION("""COMPUTED_VALUE"""),"XL3-MPC-013")</f>
        <v>XL3-MPC-013</v>
      </c>
      <c r="B1764" s="1075" t="str">
        <f>IFERROR(__xludf.DUMMYFUNCTION("""COMPUTED_VALUE"""),"Máy phát cỏ 4 thì")</f>
        <v>Máy phát cỏ 4 thì</v>
      </c>
      <c r="C1764" s="1076" t="str">
        <f>IFERROR(__xludf.DUMMYFUNCTION("""COMPUTED_VALUE"""),"XN Chuối LP3")</f>
        <v>XN Chuối LP3</v>
      </c>
      <c r="D1764" s="1076" t="str">
        <f>IFERROR(__xludf.DUMMYFUNCTION("""COMPUTED_VALUE"""),"HONDA")</f>
        <v>HONDA</v>
      </c>
      <c r="E1764" s="1076" t="str">
        <f>IFERROR(__xludf.DUMMYFUNCTION("""COMPUTED_VALUE"""),"THÁI LAN")</f>
        <v>THÁI LAN</v>
      </c>
      <c r="F1764" s="1076"/>
      <c r="G1764" s="1076" t="str">
        <f>IFERROR(__xludf.DUMMYFUNCTION("""COMPUTED_VALUE"""),"GX35")</f>
        <v>GX35</v>
      </c>
      <c r="H1764" s="1076" t="str">
        <f>IFERROR(__xludf.DUMMYFUNCTION("""COMPUTED_VALUE"""),"1.6HP")</f>
        <v>1.6HP</v>
      </c>
      <c r="I1764" s="1076" t="str">
        <f>IFERROR(__xludf.DUMMYFUNCTION("""COMPUTED_VALUE"""),"GCAMT-7676873")</f>
        <v>GCAMT-7676873</v>
      </c>
      <c r="J1764" s="1076"/>
      <c r="K1764" s="1076">
        <f>IFERROR(__xludf.DUMMYFUNCTION("""COMPUTED_VALUE"""),0.5)</f>
        <v>0.5</v>
      </c>
      <c r="L1764" s="1076" t="str">
        <f>IFERROR(__xludf.DUMMYFUNCTION("""COMPUTED_VALUE"""),"KLH")</f>
        <v>KLH</v>
      </c>
    </row>
    <row r="1765" customHeight="1" spans="1:12">
      <c r="A1765" s="1076" t="str">
        <f>IFERROR(__xludf.DUMMYFUNCTION("""COMPUTED_VALUE"""),"XL3-MPC-014")</f>
        <v>XL3-MPC-014</v>
      </c>
      <c r="B1765" s="1075" t="str">
        <f>IFERROR(__xludf.DUMMYFUNCTION("""COMPUTED_VALUE"""),"Máy phát cỏ 4 thì")</f>
        <v>Máy phát cỏ 4 thì</v>
      </c>
      <c r="C1765" s="1076" t="str">
        <f>IFERROR(__xludf.DUMMYFUNCTION("""COMPUTED_VALUE"""),"XN Chuối LP3")</f>
        <v>XN Chuối LP3</v>
      </c>
      <c r="D1765" s="1076" t="str">
        <f>IFERROR(__xludf.DUMMYFUNCTION("""COMPUTED_VALUE"""),"HONDA")</f>
        <v>HONDA</v>
      </c>
      <c r="E1765" s="1076" t="str">
        <f>IFERROR(__xludf.DUMMYFUNCTION("""COMPUTED_VALUE"""),"THÁI LAN")</f>
        <v>THÁI LAN</v>
      </c>
      <c r="F1765" s="1076"/>
      <c r="G1765" s="1076" t="str">
        <f>IFERROR(__xludf.DUMMYFUNCTION("""COMPUTED_VALUE"""),"GX35")</f>
        <v>GX35</v>
      </c>
      <c r="H1765" s="1076" t="str">
        <f>IFERROR(__xludf.DUMMYFUNCTION("""COMPUTED_VALUE"""),"1.6HP")</f>
        <v>1.6HP</v>
      </c>
      <c r="I1765" s="1076" t="str">
        <f>IFERROR(__xludf.DUMMYFUNCTION("""COMPUTED_VALUE"""),"GCAMT-7674881")</f>
        <v>GCAMT-7674881</v>
      </c>
      <c r="J1765" s="1076"/>
      <c r="K1765" s="1076">
        <f>IFERROR(__xludf.DUMMYFUNCTION("""COMPUTED_VALUE"""),0.5)</f>
        <v>0.5</v>
      </c>
      <c r="L1765" s="1076" t="str">
        <f>IFERROR(__xludf.DUMMYFUNCTION("""COMPUTED_VALUE"""),"KLH")</f>
        <v>KLH</v>
      </c>
    </row>
    <row r="1766" customHeight="1" spans="1:12">
      <c r="A1766" s="1076" t="str">
        <f>IFERROR(__xludf.DUMMYFUNCTION("""COMPUTED_VALUE"""),"XL3-MPC-017")</f>
        <v>XL3-MPC-017</v>
      </c>
      <c r="B1766" s="1075" t="str">
        <f>IFERROR(__xludf.DUMMYFUNCTION("""COMPUTED_VALUE"""),"Máy phát cỏ 4 thì")</f>
        <v>Máy phát cỏ 4 thì</v>
      </c>
      <c r="C1766" s="1076" t="str">
        <f>IFERROR(__xludf.DUMMYFUNCTION("""COMPUTED_VALUE"""),"XN Chuối LP3")</f>
        <v>XN Chuối LP3</v>
      </c>
      <c r="D1766" s="1076" t="str">
        <f>IFERROR(__xludf.DUMMYFUNCTION("""COMPUTED_VALUE"""),"HONDA")</f>
        <v>HONDA</v>
      </c>
      <c r="E1766" s="1076" t="str">
        <f>IFERROR(__xludf.DUMMYFUNCTION("""COMPUTED_VALUE"""),"THÁI LAN")</f>
        <v>THÁI LAN</v>
      </c>
      <c r="F1766" s="1076"/>
      <c r="G1766" s="1076" t="str">
        <f>IFERROR(__xludf.DUMMYFUNCTION("""COMPUTED_VALUE"""),"GX35")</f>
        <v>GX35</v>
      </c>
      <c r="H1766" s="1076" t="str">
        <f>IFERROR(__xludf.DUMMYFUNCTION("""COMPUTED_VALUE"""),"1.6HP")</f>
        <v>1.6HP</v>
      </c>
      <c r="I1766" s="1076" t="str">
        <f>IFERROR(__xludf.DUMMYFUNCTION("""COMPUTED_VALUE"""),"GCAMT-7656192")</f>
        <v>GCAMT-7656192</v>
      </c>
      <c r="J1766" s="1076"/>
      <c r="K1766" s="1076">
        <f>IFERROR(__xludf.DUMMYFUNCTION("""COMPUTED_VALUE"""),0.5)</f>
        <v>0.5</v>
      </c>
      <c r="L1766" s="1076" t="str">
        <f>IFERROR(__xludf.DUMMYFUNCTION("""COMPUTED_VALUE"""),"KLH")</f>
        <v>KLH</v>
      </c>
    </row>
    <row r="1767" customHeight="1" spans="1:12">
      <c r="A1767" s="1076" t="str">
        <f>IFERROR(__xludf.DUMMYFUNCTION("""COMPUTED_VALUE"""),"XL3-MPC-018")</f>
        <v>XL3-MPC-018</v>
      </c>
      <c r="B1767" s="1075" t="str">
        <f>IFERROR(__xludf.DUMMYFUNCTION("""COMPUTED_VALUE"""),"Máy phát cỏ 4 thì")</f>
        <v>Máy phát cỏ 4 thì</v>
      </c>
      <c r="C1767" s="1076" t="str">
        <f>IFERROR(__xludf.DUMMYFUNCTION("""COMPUTED_VALUE"""),"XN Chuối LP3")</f>
        <v>XN Chuối LP3</v>
      </c>
      <c r="D1767" s="1076" t="str">
        <f>IFERROR(__xludf.DUMMYFUNCTION("""COMPUTED_VALUE"""),"HONDA")</f>
        <v>HONDA</v>
      </c>
      <c r="E1767" s="1076" t="str">
        <f>IFERROR(__xludf.DUMMYFUNCTION("""COMPUTED_VALUE"""),"THÁI LAN")</f>
        <v>THÁI LAN</v>
      </c>
      <c r="F1767" s="1076"/>
      <c r="G1767" s="1076" t="str">
        <f>IFERROR(__xludf.DUMMYFUNCTION("""COMPUTED_VALUE"""),"GX35")</f>
        <v>GX35</v>
      </c>
      <c r="H1767" s="1076" t="str">
        <f>IFERROR(__xludf.DUMMYFUNCTION("""COMPUTED_VALUE"""),"1.6HP")</f>
        <v>1.6HP</v>
      </c>
      <c r="I1767" s="1076" t="str">
        <f>IFERROR(__xludf.DUMMYFUNCTION("""COMPUTED_VALUE"""),"GCAMT-7656214")</f>
        <v>GCAMT-7656214</v>
      </c>
      <c r="J1767" s="1076"/>
      <c r="K1767" s="1076">
        <f>IFERROR(__xludf.DUMMYFUNCTION("""COMPUTED_VALUE"""),0.5)</f>
        <v>0.5</v>
      </c>
      <c r="L1767" s="1076" t="str">
        <f>IFERROR(__xludf.DUMMYFUNCTION("""COMPUTED_VALUE"""),"KLH")</f>
        <v>KLH</v>
      </c>
    </row>
    <row r="1768" customHeight="1" spans="1:12">
      <c r="A1768" s="1076" t="str">
        <f>IFERROR(__xludf.DUMMYFUNCTION("""COMPUTED_VALUE"""),"XL3-MPC-019")</f>
        <v>XL3-MPC-019</v>
      </c>
      <c r="B1768" s="1075" t="str">
        <f>IFERROR(__xludf.DUMMYFUNCTION("""COMPUTED_VALUE"""),"Máy phát cỏ 4 thì")</f>
        <v>Máy phát cỏ 4 thì</v>
      </c>
      <c r="C1768" s="1076" t="str">
        <f>IFERROR(__xludf.DUMMYFUNCTION("""COMPUTED_VALUE"""),"XN Chuối LP3")</f>
        <v>XN Chuối LP3</v>
      </c>
      <c r="D1768" s="1076" t="str">
        <f>IFERROR(__xludf.DUMMYFUNCTION("""COMPUTED_VALUE"""),"HONDA")</f>
        <v>HONDA</v>
      </c>
      <c r="E1768" s="1076" t="str">
        <f>IFERROR(__xludf.DUMMYFUNCTION("""COMPUTED_VALUE"""),"THÁI LAN")</f>
        <v>THÁI LAN</v>
      </c>
      <c r="F1768" s="1076"/>
      <c r="G1768" s="1076" t="str">
        <f>IFERROR(__xludf.DUMMYFUNCTION("""COMPUTED_VALUE"""),"GX35")</f>
        <v>GX35</v>
      </c>
      <c r="H1768" s="1076" t="str">
        <f>IFERROR(__xludf.DUMMYFUNCTION("""COMPUTED_VALUE"""),"1.6HP")</f>
        <v>1.6HP</v>
      </c>
      <c r="I1768" s="1076" t="str">
        <f>IFERROR(__xludf.DUMMYFUNCTION("""COMPUTED_VALUE"""),"GCAMT-7656163")</f>
        <v>GCAMT-7656163</v>
      </c>
      <c r="J1768" s="1076"/>
      <c r="K1768" s="1076">
        <f>IFERROR(__xludf.DUMMYFUNCTION("""COMPUTED_VALUE"""),0.5)</f>
        <v>0.5</v>
      </c>
      <c r="L1768" s="1076" t="str">
        <f>IFERROR(__xludf.DUMMYFUNCTION("""COMPUTED_VALUE"""),"KLH")</f>
        <v>KLH</v>
      </c>
    </row>
    <row r="1769" customHeight="1" spans="1:12">
      <c r="A1769" s="1076" t="str">
        <f>IFERROR(__xludf.DUMMYFUNCTION("""COMPUTED_VALUE"""),"XL3-MPC-022")</f>
        <v>XL3-MPC-022</v>
      </c>
      <c r="B1769" s="1075" t="str">
        <f>IFERROR(__xludf.DUMMYFUNCTION("""COMPUTED_VALUE"""),"Máy phát cỏ 4 thì")</f>
        <v>Máy phát cỏ 4 thì</v>
      </c>
      <c r="C1769" s="1076" t="str">
        <f>IFERROR(__xludf.DUMMYFUNCTION("""COMPUTED_VALUE"""),"XN Chuối LP3")</f>
        <v>XN Chuối LP3</v>
      </c>
      <c r="D1769" s="1076" t="str">
        <f>IFERROR(__xludf.DUMMYFUNCTION("""COMPUTED_VALUE"""),"HONDA")</f>
        <v>HONDA</v>
      </c>
      <c r="E1769" s="1076" t="str">
        <f>IFERROR(__xludf.DUMMYFUNCTION("""COMPUTED_VALUE"""),"THÁI LAN")</f>
        <v>THÁI LAN</v>
      </c>
      <c r="F1769" s="1076"/>
      <c r="G1769" s="1076" t="str">
        <f>IFERROR(__xludf.DUMMYFUNCTION("""COMPUTED_VALUE"""),"GX35")</f>
        <v>GX35</v>
      </c>
      <c r="H1769" s="1076" t="str">
        <f>IFERROR(__xludf.DUMMYFUNCTION("""COMPUTED_VALUE"""),"1.6HP")</f>
        <v>1.6HP</v>
      </c>
      <c r="I1769" s="1076" t="str">
        <f>IFERROR(__xludf.DUMMYFUNCTION("""COMPUTED_VALUE"""),"GCAMT-7659035")</f>
        <v>GCAMT-7659035</v>
      </c>
      <c r="J1769" s="1076"/>
      <c r="K1769" s="1076">
        <f>IFERROR(__xludf.DUMMYFUNCTION("""COMPUTED_VALUE"""),0.5)</f>
        <v>0.5</v>
      </c>
      <c r="L1769" s="1076" t="str">
        <f>IFERROR(__xludf.DUMMYFUNCTION("""COMPUTED_VALUE"""),"KLH")</f>
        <v>KLH</v>
      </c>
    </row>
    <row r="1770" customHeight="1" spans="1:12">
      <c r="A1770" s="1076" t="str">
        <f>IFERROR(__xludf.DUMMYFUNCTION("""COMPUTED_VALUE"""),"XL3-MPC-023")</f>
        <v>XL3-MPC-023</v>
      </c>
      <c r="B1770" s="1075" t="str">
        <f>IFERROR(__xludf.DUMMYFUNCTION("""COMPUTED_VALUE"""),"Máy phát cỏ 4 thì")</f>
        <v>Máy phát cỏ 4 thì</v>
      </c>
      <c r="C1770" s="1076" t="str">
        <f>IFERROR(__xludf.DUMMYFUNCTION("""COMPUTED_VALUE"""),"XN Chuối LP3")</f>
        <v>XN Chuối LP3</v>
      </c>
      <c r="D1770" s="1076" t="str">
        <f>IFERROR(__xludf.DUMMYFUNCTION("""COMPUTED_VALUE"""),"HONDA")</f>
        <v>HONDA</v>
      </c>
      <c r="E1770" s="1076" t="str">
        <f>IFERROR(__xludf.DUMMYFUNCTION("""COMPUTED_VALUE"""),"THÁI LAN")</f>
        <v>THÁI LAN</v>
      </c>
      <c r="F1770" s="1076"/>
      <c r="G1770" s="1076" t="str">
        <f>IFERROR(__xludf.DUMMYFUNCTION("""COMPUTED_VALUE"""),"GX35")</f>
        <v>GX35</v>
      </c>
      <c r="H1770" s="1076" t="str">
        <f>IFERROR(__xludf.DUMMYFUNCTION("""COMPUTED_VALUE"""),"1.6HP")</f>
        <v>1.6HP</v>
      </c>
      <c r="I1770" s="1076" t="str">
        <f>IFERROR(__xludf.DUMMYFUNCTION("""COMPUTED_VALUE"""),"GCAMT-7674893")</f>
        <v>GCAMT-7674893</v>
      </c>
      <c r="J1770" s="1076"/>
      <c r="K1770" s="1076">
        <f>IFERROR(__xludf.DUMMYFUNCTION("""COMPUTED_VALUE"""),0.5)</f>
        <v>0.5</v>
      </c>
      <c r="L1770" s="1076" t="str">
        <f>IFERROR(__xludf.DUMMYFUNCTION("""COMPUTED_VALUE"""),"KLH")</f>
        <v>KLH</v>
      </c>
    </row>
    <row r="1771" customHeight="1" spans="1:12">
      <c r="A1771" s="1076" t="str">
        <f>IFERROR(__xludf.DUMMYFUNCTION("""COMPUTED_VALUE"""),"XL3-MPC-024")</f>
        <v>XL3-MPC-024</v>
      </c>
      <c r="B1771" s="1075" t="str">
        <f>IFERROR(__xludf.DUMMYFUNCTION("""COMPUTED_VALUE"""),"Máy phát cỏ 4 thì")</f>
        <v>Máy phát cỏ 4 thì</v>
      </c>
      <c r="C1771" s="1076" t="str">
        <f>IFERROR(__xludf.DUMMYFUNCTION("""COMPUTED_VALUE"""),"XN Chuối LP3")</f>
        <v>XN Chuối LP3</v>
      </c>
      <c r="D1771" s="1076" t="str">
        <f>IFERROR(__xludf.DUMMYFUNCTION("""COMPUTED_VALUE"""),"HONDA")</f>
        <v>HONDA</v>
      </c>
      <c r="E1771" s="1076" t="str">
        <f>IFERROR(__xludf.DUMMYFUNCTION("""COMPUTED_VALUE"""),"THÁI LAN")</f>
        <v>THÁI LAN</v>
      </c>
      <c r="F1771" s="1076"/>
      <c r="G1771" s="1076" t="str">
        <f>IFERROR(__xludf.DUMMYFUNCTION("""COMPUTED_VALUE"""),"GX35")</f>
        <v>GX35</v>
      </c>
      <c r="H1771" s="1076" t="str">
        <f>IFERROR(__xludf.DUMMYFUNCTION("""COMPUTED_VALUE"""),"1.6HP")</f>
        <v>1.6HP</v>
      </c>
      <c r="I1771" s="1076" t="str">
        <f>IFERROR(__xludf.DUMMYFUNCTION("""COMPUTED_VALUE"""),"GCAMT-7624376")</f>
        <v>GCAMT-7624376</v>
      </c>
      <c r="J1771" s="1076"/>
      <c r="K1771" s="1076">
        <f>IFERROR(__xludf.DUMMYFUNCTION("""COMPUTED_VALUE"""),0.5)</f>
        <v>0.5</v>
      </c>
      <c r="L1771" s="1076" t="str">
        <f>IFERROR(__xludf.DUMMYFUNCTION("""COMPUTED_VALUE"""),"KLH")</f>
        <v>KLH</v>
      </c>
    </row>
    <row r="1772" customHeight="1" spans="1:12">
      <c r="A1772" s="1076" t="str">
        <f>IFERROR(__xludf.DUMMYFUNCTION("""COMPUTED_VALUE"""),"XL3-MPC-025")</f>
        <v>XL3-MPC-025</v>
      </c>
      <c r="B1772" s="1075" t="str">
        <f>IFERROR(__xludf.DUMMYFUNCTION("""COMPUTED_VALUE"""),"Máy phát cỏ 4 thì")</f>
        <v>Máy phát cỏ 4 thì</v>
      </c>
      <c r="C1772" s="1076" t="str">
        <f>IFERROR(__xludf.DUMMYFUNCTION("""COMPUTED_VALUE"""),"XN Chuối LP3")</f>
        <v>XN Chuối LP3</v>
      </c>
      <c r="D1772" s="1076" t="str">
        <f>IFERROR(__xludf.DUMMYFUNCTION("""COMPUTED_VALUE"""),"HONDA")</f>
        <v>HONDA</v>
      </c>
      <c r="E1772" s="1076" t="str">
        <f>IFERROR(__xludf.DUMMYFUNCTION("""COMPUTED_VALUE"""),"THÁI LAN")</f>
        <v>THÁI LAN</v>
      </c>
      <c r="F1772" s="1076"/>
      <c r="G1772" s="1076" t="str">
        <f>IFERROR(__xludf.DUMMYFUNCTION("""COMPUTED_VALUE"""),"GX35")</f>
        <v>GX35</v>
      </c>
      <c r="H1772" s="1076" t="str">
        <f>IFERROR(__xludf.DUMMYFUNCTION("""COMPUTED_VALUE"""),"1.6HP")</f>
        <v>1.6HP</v>
      </c>
      <c r="I1772" s="1076" t="str">
        <f>IFERROR(__xludf.DUMMYFUNCTION("""COMPUTED_VALUE"""),"GCAMT-7624445")</f>
        <v>GCAMT-7624445</v>
      </c>
      <c r="J1772" s="1076"/>
      <c r="K1772" s="1076">
        <f>IFERROR(__xludf.DUMMYFUNCTION("""COMPUTED_VALUE"""),0.5)</f>
        <v>0.5</v>
      </c>
      <c r="L1772" s="1076" t="str">
        <f>IFERROR(__xludf.DUMMYFUNCTION("""COMPUTED_VALUE"""),"KLH")</f>
        <v>KLH</v>
      </c>
    </row>
    <row r="1773" customHeight="1" spans="1:12">
      <c r="A1773" s="1076" t="str">
        <f>IFERROR(__xludf.DUMMYFUNCTION("""COMPUTED_VALUE"""),"XL3-MPC-026")</f>
        <v>XL3-MPC-026</v>
      </c>
      <c r="B1773" s="1075" t="str">
        <f>IFERROR(__xludf.DUMMYFUNCTION("""COMPUTED_VALUE"""),"Máy phát cỏ 4 thì")</f>
        <v>Máy phát cỏ 4 thì</v>
      </c>
      <c r="C1773" s="1076" t="str">
        <f>IFERROR(__xludf.DUMMYFUNCTION("""COMPUTED_VALUE"""),"XN Chuối LP3")</f>
        <v>XN Chuối LP3</v>
      </c>
      <c r="D1773" s="1076" t="str">
        <f>IFERROR(__xludf.DUMMYFUNCTION("""COMPUTED_VALUE"""),"HONDA")</f>
        <v>HONDA</v>
      </c>
      <c r="E1773" s="1076" t="str">
        <f>IFERROR(__xludf.DUMMYFUNCTION("""COMPUTED_VALUE"""),"THÁI LAN")</f>
        <v>THÁI LAN</v>
      </c>
      <c r="F1773" s="1076"/>
      <c r="G1773" s="1076" t="str">
        <f>IFERROR(__xludf.DUMMYFUNCTION("""COMPUTED_VALUE"""),"GX35")</f>
        <v>GX35</v>
      </c>
      <c r="H1773" s="1076" t="str">
        <f>IFERROR(__xludf.DUMMYFUNCTION("""COMPUTED_VALUE"""),"1.6HP")</f>
        <v>1.6HP</v>
      </c>
      <c r="I1773" s="1076" t="str">
        <f>IFERROR(__xludf.DUMMYFUNCTION("""COMPUTED_VALUE"""),"GCAMT-7646574")</f>
        <v>GCAMT-7646574</v>
      </c>
      <c r="J1773" s="1076"/>
      <c r="K1773" s="1076">
        <f>IFERROR(__xludf.DUMMYFUNCTION("""COMPUTED_VALUE"""),0.5)</f>
        <v>0.5</v>
      </c>
      <c r="L1773" s="1076" t="str">
        <f>IFERROR(__xludf.DUMMYFUNCTION("""COMPUTED_VALUE"""),"KLH")</f>
        <v>KLH</v>
      </c>
    </row>
    <row r="1774" customHeight="1" spans="1:12">
      <c r="A1774" s="1076" t="str">
        <f>IFERROR(__xludf.DUMMYFUNCTION("""COMPUTED_VALUE"""),"XL3-MPC-029")</f>
        <v>XL3-MPC-029</v>
      </c>
      <c r="B1774" s="1075" t="str">
        <f>IFERROR(__xludf.DUMMYFUNCTION("""COMPUTED_VALUE"""),"Máy phát cỏ 4 thì")</f>
        <v>Máy phát cỏ 4 thì</v>
      </c>
      <c r="C1774" s="1076" t="str">
        <f>IFERROR(__xludf.DUMMYFUNCTION("""COMPUTED_VALUE"""),"XN Chuối LP3")</f>
        <v>XN Chuối LP3</v>
      </c>
      <c r="D1774" s="1076" t="str">
        <f>IFERROR(__xludf.DUMMYFUNCTION("""COMPUTED_VALUE"""),"HONDA")</f>
        <v>HONDA</v>
      </c>
      <c r="E1774" s="1076" t="str">
        <f>IFERROR(__xludf.DUMMYFUNCTION("""COMPUTED_VALUE"""),"THÁI LAN")</f>
        <v>THÁI LAN</v>
      </c>
      <c r="F1774" s="1076"/>
      <c r="G1774" s="1076" t="str">
        <f>IFERROR(__xludf.DUMMYFUNCTION("""COMPUTED_VALUE"""),"GX35")</f>
        <v>GX35</v>
      </c>
      <c r="H1774" s="1076" t="str">
        <f>IFERROR(__xludf.DUMMYFUNCTION("""COMPUTED_VALUE"""),"1.6HP")</f>
        <v>1.6HP</v>
      </c>
      <c r="I1774" s="1076" t="str">
        <f>IFERROR(__xludf.DUMMYFUNCTION("""COMPUTED_VALUE"""),"GCAMT-7674892")</f>
        <v>GCAMT-7674892</v>
      </c>
      <c r="J1774" s="1076"/>
      <c r="K1774" s="1076">
        <f>IFERROR(__xludf.DUMMYFUNCTION("""COMPUTED_VALUE"""),0.5)</f>
        <v>0.5</v>
      </c>
      <c r="L1774" s="1076" t="str">
        <f>IFERROR(__xludf.DUMMYFUNCTION("""COMPUTED_VALUE"""),"KLH")</f>
        <v>KLH</v>
      </c>
    </row>
    <row r="1775" customHeight="1" spans="1:12">
      <c r="A1775" s="1076" t="str">
        <f>IFERROR(__xludf.DUMMYFUNCTION("""COMPUTED_VALUE"""),"XL3-MPC-030")</f>
        <v>XL3-MPC-030</v>
      </c>
      <c r="B1775" s="1075" t="str">
        <f>IFERROR(__xludf.DUMMYFUNCTION("""COMPUTED_VALUE"""),"Máy phát cỏ 4 thì")</f>
        <v>Máy phát cỏ 4 thì</v>
      </c>
      <c r="C1775" s="1076" t="str">
        <f>IFERROR(__xludf.DUMMYFUNCTION("""COMPUTED_VALUE"""),"XN Chuối LP3")</f>
        <v>XN Chuối LP3</v>
      </c>
      <c r="D1775" s="1076" t="str">
        <f>IFERROR(__xludf.DUMMYFUNCTION("""COMPUTED_VALUE"""),"HONDA")</f>
        <v>HONDA</v>
      </c>
      <c r="E1775" s="1076" t="str">
        <f>IFERROR(__xludf.DUMMYFUNCTION("""COMPUTED_VALUE"""),"THÁI LAN")</f>
        <v>THÁI LAN</v>
      </c>
      <c r="F1775" s="1076"/>
      <c r="G1775" s="1076" t="str">
        <f>IFERROR(__xludf.DUMMYFUNCTION("""COMPUTED_VALUE"""),"GX35")</f>
        <v>GX35</v>
      </c>
      <c r="H1775" s="1076" t="str">
        <f>IFERROR(__xludf.DUMMYFUNCTION("""COMPUTED_VALUE"""),"1.6HP")</f>
        <v>1.6HP</v>
      </c>
      <c r="I1775" s="1076" t="str">
        <f>IFERROR(__xludf.DUMMYFUNCTION("""COMPUTED_VALUE"""),"GCAMT-7659063")</f>
        <v>GCAMT-7659063</v>
      </c>
      <c r="J1775" s="1076"/>
      <c r="K1775" s="1076">
        <f>IFERROR(__xludf.DUMMYFUNCTION("""COMPUTED_VALUE"""),0.5)</f>
        <v>0.5</v>
      </c>
      <c r="L1775" s="1076" t="str">
        <f>IFERROR(__xludf.DUMMYFUNCTION("""COMPUTED_VALUE"""),"KLH")</f>
        <v>KLH</v>
      </c>
    </row>
    <row r="1776" customHeight="1" spans="1:12">
      <c r="A1776" s="1076" t="str">
        <f>IFERROR(__xludf.DUMMYFUNCTION("""COMPUTED_VALUE"""),"XL3-MPC-032")</f>
        <v>XL3-MPC-032</v>
      </c>
      <c r="B1776" s="1075" t="str">
        <f>IFERROR(__xludf.DUMMYFUNCTION("""COMPUTED_VALUE"""),"Máy phát cỏ 4 thì")</f>
        <v>Máy phát cỏ 4 thì</v>
      </c>
      <c r="C1776" s="1076" t="str">
        <f>IFERROR(__xludf.DUMMYFUNCTION("""COMPUTED_VALUE"""),"XN Chuối LP3")</f>
        <v>XN Chuối LP3</v>
      </c>
      <c r="D1776" s="1076" t="str">
        <f>IFERROR(__xludf.DUMMYFUNCTION("""COMPUTED_VALUE"""),"HONDA")</f>
        <v>HONDA</v>
      </c>
      <c r="E1776" s="1076" t="str">
        <f>IFERROR(__xludf.DUMMYFUNCTION("""COMPUTED_VALUE"""),"THÁI LAN")</f>
        <v>THÁI LAN</v>
      </c>
      <c r="F1776" s="1076"/>
      <c r="G1776" s="1076" t="str">
        <f>IFERROR(__xludf.DUMMYFUNCTION("""COMPUTED_VALUE"""),"GX35")</f>
        <v>GX35</v>
      </c>
      <c r="H1776" s="1076" t="str">
        <f>IFERROR(__xludf.DUMMYFUNCTION("""COMPUTED_VALUE"""),"1.6HP")</f>
        <v>1.6HP</v>
      </c>
      <c r="I1776" s="1076" t="str">
        <f>IFERROR(__xludf.DUMMYFUNCTION("""COMPUTED_VALUE"""),"GCAMT-7674876")</f>
        <v>GCAMT-7674876</v>
      </c>
      <c r="J1776" s="1076"/>
      <c r="K1776" s="1076">
        <f>IFERROR(__xludf.DUMMYFUNCTION("""COMPUTED_VALUE"""),0.5)</f>
        <v>0.5</v>
      </c>
      <c r="L1776" s="1076" t="str">
        <f>IFERROR(__xludf.DUMMYFUNCTION("""COMPUTED_VALUE"""),"KLH")</f>
        <v>KLH</v>
      </c>
    </row>
    <row r="1777" customHeight="1" spans="1:12">
      <c r="A1777" s="1076" t="str">
        <f>IFERROR(__xludf.DUMMYFUNCTION("""COMPUTED_VALUE"""),"XL3-MPC-033")</f>
        <v>XL3-MPC-033</v>
      </c>
      <c r="B1777" s="1075" t="str">
        <f>IFERROR(__xludf.DUMMYFUNCTION("""COMPUTED_VALUE"""),"Máy phát cỏ 4 thì")</f>
        <v>Máy phát cỏ 4 thì</v>
      </c>
      <c r="C1777" s="1076" t="str">
        <f>IFERROR(__xludf.DUMMYFUNCTION("""COMPUTED_VALUE"""),"XN Chuối LP3")</f>
        <v>XN Chuối LP3</v>
      </c>
      <c r="D1777" s="1076" t="str">
        <f>IFERROR(__xludf.DUMMYFUNCTION("""COMPUTED_VALUE"""),"HONDA")</f>
        <v>HONDA</v>
      </c>
      <c r="E1777" s="1076" t="str">
        <f>IFERROR(__xludf.DUMMYFUNCTION("""COMPUTED_VALUE"""),"THÁI LAN")</f>
        <v>THÁI LAN</v>
      </c>
      <c r="F1777" s="1076"/>
      <c r="G1777" s="1076" t="str">
        <f>IFERROR(__xludf.DUMMYFUNCTION("""COMPUTED_VALUE"""),"GX35")</f>
        <v>GX35</v>
      </c>
      <c r="H1777" s="1076" t="str">
        <f>IFERROR(__xludf.DUMMYFUNCTION("""COMPUTED_VALUE"""),"1.6HP")</f>
        <v>1.6HP</v>
      </c>
      <c r="I1777" s="1076" t="str">
        <f>IFERROR(__xludf.DUMMYFUNCTION("""COMPUTED_VALUE"""),"GCAMT-7656212")</f>
        <v>GCAMT-7656212</v>
      </c>
      <c r="J1777" s="1076"/>
      <c r="K1777" s="1076">
        <f>IFERROR(__xludf.DUMMYFUNCTION("""COMPUTED_VALUE"""),0.5)</f>
        <v>0.5</v>
      </c>
      <c r="L1777" s="1076" t="str">
        <f>IFERROR(__xludf.DUMMYFUNCTION("""COMPUTED_VALUE"""),"KLH")</f>
        <v>KLH</v>
      </c>
    </row>
    <row r="1778" customHeight="1" spans="1:12">
      <c r="A1778" s="1076" t="str">
        <f>IFERROR(__xludf.DUMMYFUNCTION("""COMPUTED_VALUE"""),"XL3-MPC-034")</f>
        <v>XL3-MPC-034</v>
      </c>
      <c r="B1778" s="1075" t="str">
        <f>IFERROR(__xludf.DUMMYFUNCTION("""COMPUTED_VALUE"""),"Máy phát cỏ 4 thì")</f>
        <v>Máy phát cỏ 4 thì</v>
      </c>
      <c r="C1778" s="1076" t="str">
        <f>IFERROR(__xludf.DUMMYFUNCTION("""COMPUTED_VALUE"""),"XN Chuối LP3")</f>
        <v>XN Chuối LP3</v>
      </c>
      <c r="D1778" s="1076" t="str">
        <f>IFERROR(__xludf.DUMMYFUNCTION("""COMPUTED_VALUE"""),"HONDA")</f>
        <v>HONDA</v>
      </c>
      <c r="E1778" s="1076" t="str">
        <f>IFERROR(__xludf.DUMMYFUNCTION("""COMPUTED_VALUE"""),"THÁI LAN")</f>
        <v>THÁI LAN</v>
      </c>
      <c r="F1778" s="1076"/>
      <c r="G1778" s="1076" t="str">
        <f>IFERROR(__xludf.DUMMYFUNCTION("""COMPUTED_VALUE"""),"GX35")</f>
        <v>GX35</v>
      </c>
      <c r="H1778" s="1076" t="str">
        <f>IFERROR(__xludf.DUMMYFUNCTION("""COMPUTED_VALUE"""),"1.6HP")</f>
        <v>1.6HP</v>
      </c>
      <c r="I1778" s="1076" t="str">
        <f>IFERROR(__xludf.DUMMYFUNCTION("""COMPUTED_VALUE"""),"GCAMT-7717575")</f>
        <v>GCAMT-7717575</v>
      </c>
      <c r="J1778" s="1076"/>
      <c r="K1778" s="1076">
        <f>IFERROR(__xludf.DUMMYFUNCTION("""COMPUTED_VALUE"""),0.5)</f>
        <v>0.5</v>
      </c>
      <c r="L1778" s="1076" t="str">
        <f>IFERROR(__xludf.DUMMYFUNCTION("""COMPUTED_VALUE"""),"KLH")</f>
        <v>KLH</v>
      </c>
    </row>
    <row r="1779" customHeight="1" spans="1:12">
      <c r="A1779" s="1076" t="str">
        <f>IFERROR(__xludf.DUMMYFUNCTION("""COMPUTED_VALUE"""),"XL3-MPC-036")</f>
        <v>XL3-MPC-036</v>
      </c>
      <c r="B1779" s="1075" t="str">
        <f>IFERROR(__xludf.DUMMYFUNCTION("""COMPUTED_VALUE"""),"Máy phát cỏ 4 thì")</f>
        <v>Máy phát cỏ 4 thì</v>
      </c>
      <c r="C1779" s="1076" t="str">
        <f>IFERROR(__xludf.DUMMYFUNCTION("""COMPUTED_VALUE"""),"XN Chuối LP3")</f>
        <v>XN Chuối LP3</v>
      </c>
      <c r="D1779" s="1076" t="str">
        <f>IFERROR(__xludf.DUMMYFUNCTION("""COMPUTED_VALUE"""),"HONDA")</f>
        <v>HONDA</v>
      </c>
      <c r="E1779" s="1076" t="str">
        <f>IFERROR(__xludf.DUMMYFUNCTION("""COMPUTED_VALUE"""),"THÁI LAN")</f>
        <v>THÁI LAN</v>
      </c>
      <c r="F1779" s="1076"/>
      <c r="G1779" s="1076" t="str">
        <f>IFERROR(__xludf.DUMMYFUNCTION("""COMPUTED_VALUE"""),"GX35")</f>
        <v>GX35</v>
      </c>
      <c r="H1779" s="1076" t="str">
        <f>IFERROR(__xludf.DUMMYFUNCTION("""COMPUTED_VALUE"""),"1.6HP")</f>
        <v>1.6HP</v>
      </c>
      <c r="I1779" s="1076" t="str">
        <f>IFERROR(__xludf.DUMMYFUNCTION("""COMPUTED_VALUE"""),"GCAMT-7716999")</f>
        <v>GCAMT-7716999</v>
      </c>
      <c r="J1779" s="1076"/>
      <c r="K1779" s="1076">
        <f>IFERROR(__xludf.DUMMYFUNCTION("""COMPUTED_VALUE"""),0.5)</f>
        <v>0.5</v>
      </c>
      <c r="L1779" s="1076" t="str">
        <f>IFERROR(__xludf.DUMMYFUNCTION("""COMPUTED_VALUE"""),"KLH")</f>
        <v>KLH</v>
      </c>
    </row>
    <row r="1780" customHeight="1" spans="1:12">
      <c r="A1780" s="1076" t="str">
        <f>IFERROR(__xludf.DUMMYFUNCTION("""COMPUTED_VALUE"""),"XL3-MPC-041")</f>
        <v>XL3-MPC-041</v>
      </c>
      <c r="B1780" s="1075" t="str">
        <f>IFERROR(__xludf.DUMMYFUNCTION("""COMPUTED_VALUE"""),"Máy phát cỏ 2 thì")</f>
        <v>Máy phát cỏ 2 thì</v>
      </c>
      <c r="C1780" s="1076" t="str">
        <f>IFERROR(__xludf.DUMMYFUNCTION("""COMPUTED_VALUE"""),"XN Chuối LP3")</f>
        <v>XN Chuối LP3</v>
      </c>
      <c r="D1780" s="1076" t="str">
        <f>IFERROR(__xludf.DUMMYFUNCTION("""COMPUTED_VALUE"""),"WASAKI")</f>
        <v>WASAKI</v>
      </c>
      <c r="E1780" s="1076" t="str">
        <f>IFERROR(__xludf.DUMMYFUNCTION("""COMPUTED_VALUE"""),"Nhật Bản")</f>
        <v>Nhật Bản</v>
      </c>
      <c r="F1780" s="1076"/>
      <c r="G1780" s="1076" t="str">
        <f>IFERROR(__xludf.DUMMYFUNCTION("""COMPUTED_VALUE"""),"RBC411")</f>
        <v>RBC411</v>
      </c>
      <c r="H1780" s="1076" t="str">
        <f>IFERROR(__xludf.DUMMYFUNCTION("""COMPUTED_VALUE"""),"1.9HP")</f>
        <v>1.9HP</v>
      </c>
      <c r="I1780" s="1076"/>
      <c r="J1780" s="1076"/>
      <c r="K1780" s="1076">
        <f>IFERROR(__xludf.DUMMYFUNCTION("""COMPUTED_VALUE"""),1)</f>
        <v>1</v>
      </c>
      <c r="L1780" s="1076" t="str">
        <f>IFERROR(__xludf.DUMMYFUNCTION("""COMPUTED_VALUE"""),"KLH")</f>
        <v>KLH</v>
      </c>
    </row>
    <row r="1781" customHeight="1" spans="1:12">
      <c r="A1781" s="1076" t="str">
        <f>IFERROR(__xludf.DUMMYFUNCTION("""COMPUTED_VALUE"""),"XL3-MPC-042")</f>
        <v>XL3-MPC-042</v>
      </c>
      <c r="B1781" s="1075" t="str">
        <f>IFERROR(__xludf.DUMMYFUNCTION("""COMPUTED_VALUE"""),"Máy phát cỏ 2 thì")</f>
        <v>Máy phát cỏ 2 thì</v>
      </c>
      <c r="C1781" s="1076" t="str">
        <f>IFERROR(__xludf.DUMMYFUNCTION("""COMPUTED_VALUE"""),"XN Chuối LP3")</f>
        <v>XN Chuối LP3</v>
      </c>
      <c r="D1781" s="1076" t="str">
        <f>IFERROR(__xludf.DUMMYFUNCTION("""COMPUTED_VALUE"""),"WASAKI")</f>
        <v>WASAKI</v>
      </c>
      <c r="E1781" s="1076" t="str">
        <f>IFERROR(__xludf.DUMMYFUNCTION("""COMPUTED_VALUE"""),"Nhật Bản")</f>
        <v>Nhật Bản</v>
      </c>
      <c r="F1781" s="1076"/>
      <c r="G1781" s="1076" t="str">
        <f>IFERROR(__xludf.DUMMYFUNCTION("""COMPUTED_VALUE"""),"RBC411")</f>
        <v>RBC411</v>
      </c>
      <c r="H1781" s="1076" t="str">
        <f>IFERROR(__xludf.DUMMYFUNCTION("""COMPUTED_VALUE"""),"1.9HP")</f>
        <v>1.9HP</v>
      </c>
      <c r="I1781" s="1076"/>
      <c r="J1781" s="1076"/>
      <c r="K1781" s="1076">
        <f>IFERROR(__xludf.DUMMYFUNCTION("""COMPUTED_VALUE"""),1)</f>
        <v>1</v>
      </c>
      <c r="L1781" s="1076" t="str">
        <f>IFERROR(__xludf.DUMMYFUNCTION("""COMPUTED_VALUE"""),"KLH")</f>
        <v>KLH</v>
      </c>
    </row>
    <row r="1782" customHeight="1" spans="1:12">
      <c r="A1782" s="1076" t="str">
        <f>IFERROR(__xludf.DUMMYFUNCTION("""COMPUTED_VALUE"""),"XL3-MPC-043")</f>
        <v>XL3-MPC-043</v>
      </c>
      <c r="B1782" s="1075" t="str">
        <f>IFERROR(__xludf.DUMMYFUNCTION("""COMPUTED_VALUE"""),"Máy phát cỏ 2 thì")</f>
        <v>Máy phát cỏ 2 thì</v>
      </c>
      <c r="C1782" s="1076" t="str">
        <f>IFERROR(__xludf.DUMMYFUNCTION("""COMPUTED_VALUE"""),"XN Chuối LP3")</f>
        <v>XN Chuối LP3</v>
      </c>
      <c r="D1782" s="1076" t="str">
        <f>IFERROR(__xludf.DUMMYFUNCTION("""COMPUTED_VALUE"""),"WASAKI")</f>
        <v>WASAKI</v>
      </c>
      <c r="E1782" s="1076" t="str">
        <f>IFERROR(__xludf.DUMMYFUNCTION("""COMPUTED_VALUE"""),"Nhật Bản")</f>
        <v>Nhật Bản</v>
      </c>
      <c r="F1782" s="1076"/>
      <c r="G1782" s="1076" t="str">
        <f>IFERROR(__xludf.DUMMYFUNCTION("""COMPUTED_VALUE"""),"RBC411")</f>
        <v>RBC411</v>
      </c>
      <c r="H1782" s="1076" t="str">
        <f>IFERROR(__xludf.DUMMYFUNCTION("""COMPUTED_VALUE"""),"1.9HP")</f>
        <v>1.9HP</v>
      </c>
      <c r="I1782" s="1076"/>
      <c r="J1782" s="1076"/>
      <c r="K1782" s="1076">
        <f>IFERROR(__xludf.DUMMYFUNCTION("""COMPUTED_VALUE"""),1)</f>
        <v>1</v>
      </c>
      <c r="L1782" s="1076" t="str">
        <f>IFERROR(__xludf.DUMMYFUNCTION("""COMPUTED_VALUE"""),"KLH")</f>
        <v>KLH</v>
      </c>
    </row>
    <row r="1783" customHeight="1" spans="1:12">
      <c r="A1783" s="1076" t="str">
        <f>IFERROR(__xludf.DUMMYFUNCTION("""COMPUTED_VALUE"""),"XL3-MPC-044")</f>
        <v>XL3-MPC-044</v>
      </c>
      <c r="B1783" s="1075" t="str">
        <f>IFERROR(__xludf.DUMMYFUNCTION("""COMPUTED_VALUE"""),"Máy phát cỏ 2 thì")</f>
        <v>Máy phát cỏ 2 thì</v>
      </c>
      <c r="C1783" s="1076" t="str">
        <f>IFERROR(__xludf.DUMMYFUNCTION("""COMPUTED_VALUE"""),"XN Chuối LP3")</f>
        <v>XN Chuối LP3</v>
      </c>
      <c r="D1783" s="1076" t="str">
        <f>IFERROR(__xludf.DUMMYFUNCTION("""COMPUTED_VALUE"""),"WASAKI")</f>
        <v>WASAKI</v>
      </c>
      <c r="E1783" s="1076" t="str">
        <f>IFERROR(__xludf.DUMMYFUNCTION("""COMPUTED_VALUE"""),"Nhật Bản")</f>
        <v>Nhật Bản</v>
      </c>
      <c r="F1783" s="1076"/>
      <c r="G1783" s="1076" t="str">
        <f>IFERROR(__xludf.DUMMYFUNCTION("""COMPUTED_VALUE"""),"RBC411")</f>
        <v>RBC411</v>
      </c>
      <c r="H1783" s="1076" t="str">
        <f>IFERROR(__xludf.DUMMYFUNCTION("""COMPUTED_VALUE"""),"1.9HP")</f>
        <v>1.9HP</v>
      </c>
      <c r="I1783" s="1076"/>
      <c r="J1783" s="1076"/>
      <c r="K1783" s="1076">
        <f>IFERROR(__xludf.DUMMYFUNCTION("""COMPUTED_VALUE"""),1)</f>
        <v>1</v>
      </c>
      <c r="L1783" s="1076" t="str">
        <f>IFERROR(__xludf.DUMMYFUNCTION("""COMPUTED_VALUE"""),"KLH")</f>
        <v>KLH</v>
      </c>
    </row>
    <row r="1784" customHeight="1" spans="1:12">
      <c r="A1784" s="1076" t="str">
        <f>IFERROR(__xludf.DUMMYFUNCTION("""COMPUTED_VALUE"""),"XL3-MPC-045")</f>
        <v>XL3-MPC-045</v>
      </c>
      <c r="B1784" s="1075" t="str">
        <f>IFERROR(__xludf.DUMMYFUNCTION("""COMPUTED_VALUE"""),"Máy phát cỏ 2 thì")</f>
        <v>Máy phát cỏ 2 thì</v>
      </c>
      <c r="C1784" s="1076" t="str">
        <f>IFERROR(__xludf.DUMMYFUNCTION("""COMPUTED_VALUE"""),"XN Chuối LP3")</f>
        <v>XN Chuối LP3</v>
      </c>
      <c r="D1784" s="1076" t="str">
        <f>IFERROR(__xludf.DUMMYFUNCTION("""COMPUTED_VALUE"""),"WASAKI")</f>
        <v>WASAKI</v>
      </c>
      <c r="E1784" s="1076" t="str">
        <f>IFERROR(__xludf.DUMMYFUNCTION("""COMPUTED_VALUE"""),"Nhật Bản")</f>
        <v>Nhật Bản</v>
      </c>
      <c r="F1784" s="1076"/>
      <c r="G1784" s="1076" t="str">
        <f>IFERROR(__xludf.DUMMYFUNCTION("""COMPUTED_VALUE"""),"RBC411")</f>
        <v>RBC411</v>
      </c>
      <c r="H1784" s="1076" t="str">
        <f>IFERROR(__xludf.DUMMYFUNCTION("""COMPUTED_VALUE"""),"1.9HP")</f>
        <v>1.9HP</v>
      </c>
      <c r="I1784" s="1076"/>
      <c r="J1784" s="1076"/>
      <c r="K1784" s="1076">
        <f>IFERROR(__xludf.DUMMYFUNCTION("""COMPUTED_VALUE"""),1)</f>
        <v>1</v>
      </c>
      <c r="L1784" s="1076" t="str">
        <f>IFERROR(__xludf.DUMMYFUNCTION("""COMPUTED_VALUE"""),"KLH")</f>
        <v>KLH</v>
      </c>
    </row>
    <row r="1785" customHeight="1" spans="1:12">
      <c r="A1785" s="1076" t="str">
        <f>IFERROR(__xludf.DUMMYFUNCTION("""COMPUTED_VALUE"""),"XL3-MPC-046")</f>
        <v>XL3-MPC-046</v>
      </c>
      <c r="B1785" s="1075" t="str">
        <f>IFERROR(__xludf.DUMMYFUNCTION("""COMPUTED_VALUE"""),"Máy phát cỏ 2 thì")</f>
        <v>Máy phát cỏ 2 thì</v>
      </c>
      <c r="C1785" s="1076" t="str">
        <f>IFERROR(__xludf.DUMMYFUNCTION("""COMPUTED_VALUE"""),"XN Chuối LP3")</f>
        <v>XN Chuối LP3</v>
      </c>
      <c r="D1785" s="1076" t="str">
        <f>IFERROR(__xludf.DUMMYFUNCTION("""COMPUTED_VALUE"""),"WASAKI")</f>
        <v>WASAKI</v>
      </c>
      <c r="E1785" s="1076" t="str">
        <f>IFERROR(__xludf.DUMMYFUNCTION("""COMPUTED_VALUE"""),"Nhật Bản")</f>
        <v>Nhật Bản</v>
      </c>
      <c r="F1785" s="1076"/>
      <c r="G1785" s="1076" t="str">
        <f>IFERROR(__xludf.DUMMYFUNCTION("""COMPUTED_VALUE"""),"RBC411")</f>
        <v>RBC411</v>
      </c>
      <c r="H1785" s="1076" t="str">
        <f>IFERROR(__xludf.DUMMYFUNCTION("""COMPUTED_VALUE"""),"1.9HP")</f>
        <v>1.9HP</v>
      </c>
      <c r="I1785" s="1076"/>
      <c r="J1785" s="1076"/>
      <c r="K1785" s="1076">
        <f>IFERROR(__xludf.DUMMYFUNCTION("""COMPUTED_VALUE"""),1)</f>
        <v>1</v>
      </c>
      <c r="L1785" s="1076" t="str">
        <f>IFERROR(__xludf.DUMMYFUNCTION("""COMPUTED_VALUE"""),"KLH")</f>
        <v>KLH</v>
      </c>
    </row>
    <row r="1786" customHeight="1" spans="1:12">
      <c r="A1786" s="1076" t="str">
        <f>IFERROR(__xludf.DUMMYFUNCTION("""COMPUTED_VALUE"""),"XL3-MPC-047")</f>
        <v>XL3-MPC-047</v>
      </c>
      <c r="B1786" s="1075" t="str">
        <f>IFERROR(__xludf.DUMMYFUNCTION("""COMPUTED_VALUE"""),"Máy phát cỏ 2 thì")</f>
        <v>Máy phát cỏ 2 thì</v>
      </c>
      <c r="C1786" s="1076" t="str">
        <f>IFERROR(__xludf.DUMMYFUNCTION("""COMPUTED_VALUE"""),"XN Chuối LP3")</f>
        <v>XN Chuối LP3</v>
      </c>
      <c r="D1786" s="1076" t="str">
        <f>IFERROR(__xludf.DUMMYFUNCTION("""COMPUTED_VALUE"""),"WASAKI")</f>
        <v>WASAKI</v>
      </c>
      <c r="E1786" s="1076" t="str">
        <f>IFERROR(__xludf.DUMMYFUNCTION("""COMPUTED_VALUE"""),"Nhật Bản")</f>
        <v>Nhật Bản</v>
      </c>
      <c r="F1786" s="1076"/>
      <c r="G1786" s="1076" t="str">
        <f>IFERROR(__xludf.DUMMYFUNCTION("""COMPUTED_VALUE"""),"RBC411")</f>
        <v>RBC411</v>
      </c>
      <c r="H1786" s="1076" t="str">
        <f>IFERROR(__xludf.DUMMYFUNCTION("""COMPUTED_VALUE"""),"1.9HP")</f>
        <v>1.9HP</v>
      </c>
      <c r="I1786" s="1076"/>
      <c r="J1786" s="1076"/>
      <c r="K1786" s="1076">
        <f>IFERROR(__xludf.DUMMYFUNCTION("""COMPUTED_VALUE"""),1)</f>
        <v>1</v>
      </c>
      <c r="L1786" s="1076" t="str">
        <f>IFERROR(__xludf.DUMMYFUNCTION("""COMPUTED_VALUE"""),"KLH")</f>
        <v>KLH</v>
      </c>
    </row>
    <row r="1787" customHeight="1" spans="1:12">
      <c r="A1787" s="1076" t="str">
        <f>IFERROR(__xludf.DUMMYFUNCTION("""COMPUTED_VALUE"""),"XL3-MPC-048")</f>
        <v>XL3-MPC-048</v>
      </c>
      <c r="B1787" s="1075" t="str">
        <f>IFERROR(__xludf.DUMMYFUNCTION("""COMPUTED_VALUE"""),"Máy phát cỏ 2 thì")</f>
        <v>Máy phát cỏ 2 thì</v>
      </c>
      <c r="C1787" s="1076" t="str">
        <f>IFERROR(__xludf.DUMMYFUNCTION("""COMPUTED_VALUE"""),"XN Chuối LP3")</f>
        <v>XN Chuối LP3</v>
      </c>
      <c r="D1787" s="1076" t="str">
        <f>IFERROR(__xludf.DUMMYFUNCTION("""COMPUTED_VALUE"""),"WASAKI")</f>
        <v>WASAKI</v>
      </c>
      <c r="E1787" s="1076" t="str">
        <f>IFERROR(__xludf.DUMMYFUNCTION("""COMPUTED_VALUE"""),"Nhật Bản")</f>
        <v>Nhật Bản</v>
      </c>
      <c r="F1787" s="1076"/>
      <c r="G1787" s="1076" t="str">
        <f>IFERROR(__xludf.DUMMYFUNCTION("""COMPUTED_VALUE"""),"RBC411")</f>
        <v>RBC411</v>
      </c>
      <c r="H1787" s="1076" t="str">
        <f>IFERROR(__xludf.DUMMYFUNCTION("""COMPUTED_VALUE"""),"1.9HP")</f>
        <v>1.9HP</v>
      </c>
      <c r="I1787" s="1076"/>
      <c r="J1787" s="1076"/>
      <c r="K1787" s="1076">
        <f>IFERROR(__xludf.DUMMYFUNCTION("""COMPUTED_VALUE"""),1)</f>
        <v>1</v>
      </c>
      <c r="L1787" s="1076" t="str">
        <f>IFERROR(__xludf.DUMMYFUNCTION("""COMPUTED_VALUE"""),"KLH")</f>
        <v>KLH</v>
      </c>
    </row>
    <row r="1788" customHeight="1" spans="1:12">
      <c r="A1788" s="1076" t="str">
        <f>IFERROR(__xludf.DUMMYFUNCTION("""COMPUTED_VALUE"""),"XL3-MPC-049")</f>
        <v>XL3-MPC-049</v>
      </c>
      <c r="B1788" s="1075" t="str">
        <f>IFERROR(__xludf.DUMMYFUNCTION("""COMPUTED_VALUE"""),"Máy phát cỏ 2 thì")</f>
        <v>Máy phát cỏ 2 thì</v>
      </c>
      <c r="C1788" s="1076" t="str">
        <f>IFERROR(__xludf.DUMMYFUNCTION("""COMPUTED_VALUE"""),"XN Chuối LP3")</f>
        <v>XN Chuối LP3</v>
      </c>
      <c r="D1788" s="1076" t="str">
        <f>IFERROR(__xludf.DUMMYFUNCTION("""COMPUTED_VALUE"""),"WASAKI")</f>
        <v>WASAKI</v>
      </c>
      <c r="E1788" s="1076" t="str">
        <f>IFERROR(__xludf.DUMMYFUNCTION("""COMPUTED_VALUE"""),"Nhật Bản")</f>
        <v>Nhật Bản</v>
      </c>
      <c r="F1788" s="1076"/>
      <c r="G1788" s="1076" t="str">
        <f>IFERROR(__xludf.DUMMYFUNCTION("""COMPUTED_VALUE"""),"RBC411")</f>
        <v>RBC411</v>
      </c>
      <c r="H1788" s="1076" t="str">
        <f>IFERROR(__xludf.DUMMYFUNCTION("""COMPUTED_VALUE"""),"1.9HP")</f>
        <v>1.9HP</v>
      </c>
      <c r="I1788" s="1076"/>
      <c r="J1788" s="1076"/>
      <c r="K1788" s="1076">
        <f>IFERROR(__xludf.DUMMYFUNCTION("""COMPUTED_VALUE"""),1)</f>
        <v>1</v>
      </c>
      <c r="L1788" s="1076" t="str">
        <f>IFERROR(__xludf.DUMMYFUNCTION("""COMPUTED_VALUE"""),"KLH")</f>
        <v>KLH</v>
      </c>
    </row>
    <row r="1789" customHeight="1" spans="1:12">
      <c r="A1789" s="1076" t="str">
        <f>IFERROR(__xludf.DUMMYFUNCTION("""COMPUTED_VALUE"""),"XL3-MPC-050")</f>
        <v>XL3-MPC-050</v>
      </c>
      <c r="B1789" s="1075" t="str">
        <f>IFERROR(__xludf.DUMMYFUNCTION("""COMPUTED_VALUE"""),"Máy phát cỏ 2 thì")</f>
        <v>Máy phát cỏ 2 thì</v>
      </c>
      <c r="C1789" s="1076" t="str">
        <f>IFERROR(__xludf.DUMMYFUNCTION("""COMPUTED_VALUE"""),"XN Chuối LP3")</f>
        <v>XN Chuối LP3</v>
      </c>
      <c r="D1789" s="1076" t="str">
        <f>IFERROR(__xludf.DUMMYFUNCTION("""COMPUTED_VALUE"""),"WASAKI")</f>
        <v>WASAKI</v>
      </c>
      <c r="E1789" s="1076" t="str">
        <f>IFERROR(__xludf.DUMMYFUNCTION("""COMPUTED_VALUE"""),"Nhật Bản")</f>
        <v>Nhật Bản</v>
      </c>
      <c r="F1789" s="1076"/>
      <c r="G1789" s="1076" t="str">
        <f>IFERROR(__xludf.DUMMYFUNCTION("""COMPUTED_VALUE"""),"RBC411")</f>
        <v>RBC411</v>
      </c>
      <c r="H1789" s="1076" t="str">
        <f>IFERROR(__xludf.DUMMYFUNCTION("""COMPUTED_VALUE"""),"1.9HP")</f>
        <v>1.9HP</v>
      </c>
      <c r="I1789" s="1076"/>
      <c r="J1789" s="1076"/>
      <c r="K1789" s="1076">
        <f>IFERROR(__xludf.DUMMYFUNCTION("""COMPUTED_VALUE"""),1)</f>
        <v>1</v>
      </c>
      <c r="L1789" s="1076" t="str">
        <f>IFERROR(__xludf.DUMMYFUNCTION("""COMPUTED_VALUE"""),"KLH")</f>
        <v>KLH</v>
      </c>
    </row>
    <row r="1790" customHeight="1" spans="1:12">
      <c r="A1790" s="1076" t="str">
        <f>IFERROR(__xludf.DUMMYFUNCTION("""COMPUTED_VALUE"""),"XL3-MPC-051")</f>
        <v>XL3-MPC-051</v>
      </c>
      <c r="B1790" s="1075" t="str">
        <f>IFERROR(__xludf.DUMMYFUNCTION("""COMPUTED_VALUE"""),"Máy phát cỏ 2 thì")</f>
        <v>Máy phát cỏ 2 thì</v>
      </c>
      <c r="C1790" s="1076" t="str">
        <f>IFERROR(__xludf.DUMMYFUNCTION("""COMPUTED_VALUE"""),"XN Chuối LP3")</f>
        <v>XN Chuối LP3</v>
      </c>
      <c r="D1790" s="1076" t="str">
        <f>IFERROR(__xludf.DUMMYFUNCTION("""COMPUTED_VALUE"""),"NAGATA")</f>
        <v>NAGATA</v>
      </c>
      <c r="E1790" s="1076"/>
      <c r="F1790" s="1076"/>
      <c r="G1790" s="1076" t="str">
        <f>IFERROR(__xludf.DUMMYFUNCTION("""COMPUTED_VALUE"""),"CG411")</f>
        <v>CG411</v>
      </c>
      <c r="H1790" s="1076" t="str">
        <f>IFERROR(__xludf.DUMMYFUNCTION("""COMPUTED_VALUE"""),"1.8HP")</f>
        <v>1.8HP</v>
      </c>
      <c r="I1790" s="1076"/>
      <c r="J1790" s="1076"/>
      <c r="K1790" s="1076">
        <f>IFERROR(__xludf.DUMMYFUNCTION("""COMPUTED_VALUE"""),1)</f>
        <v>1</v>
      </c>
      <c r="L1790" s="1076" t="str">
        <f>IFERROR(__xludf.DUMMYFUNCTION("""COMPUTED_VALUE"""),"KLH")</f>
        <v>KLH</v>
      </c>
    </row>
    <row r="1791" customHeight="1" spans="1:12">
      <c r="A1791" s="1076" t="str">
        <f>IFERROR(__xludf.DUMMYFUNCTION("""COMPUTED_VALUE"""),"XL3-MPC-052")</f>
        <v>XL3-MPC-052</v>
      </c>
      <c r="B1791" s="1075" t="str">
        <f>IFERROR(__xludf.DUMMYFUNCTION("""COMPUTED_VALUE"""),"Máy phát cỏ 2 thì")</f>
        <v>Máy phát cỏ 2 thì</v>
      </c>
      <c r="C1791" s="1076" t="str">
        <f>IFERROR(__xludf.DUMMYFUNCTION("""COMPUTED_VALUE"""),"XN Chuối LP3")</f>
        <v>XN Chuối LP3</v>
      </c>
      <c r="D1791" s="1076" t="str">
        <f>IFERROR(__xludf.DUMMYFUNCTION("""COMPUTED_VALUE"""),"NAGATA")</f>
        <v>NAGATA</v>
      </c>
      <c r="E1791" s="1076"/>
      <c r="F1791" s="1076"/>
      <c r="G1791" s="1076" t="str">
        <f>IFERROR(__xludf.DUMMYFUNCTION("""COMPUTED_VALUE"""),"CG411")</f>
        <v>CG411</v>
      </c>
      <c r="H1791" s="1076" t="str">
        <f>IFERROR(__xludf.DUMMYFUNCTION("""COMPUTED_VALUE"""),"1.8HP")</f>
        <v>1.8HP</v>
      </c>
      <c r="I1791" s="1076"/>
      <c r="J1791" s="1076"/>
      <c r="K1791" s="1076">
        <f>IFERROR(__xludf.DUMMYFUNCTION("""COMPUTED_VALUE"""),1)</f>
        <v>1</v>
      </c>
      <c r="L1791" s="1076" t="str">
        <f>IFERROR(__xludf.DUMMYFUNCTION("""COMPUTED_VALUE"""),"KLH")</f>
        <v>KLH</v>
      </c>
    </row>
    <row r="1792" customHeight="1" spans="1:12">
      <c r="A1792" s="1076" t="str">
        <f>IFERROR(__xludf.DUMMYFUNCTION("""COMPUTED_VALUE"""),"XL3-MPC-053")</f>
        <v>XL3-MPC-053</v>
      </c>
      <c r="B1792" s="1075" t="str">
        <f>IFERROR(__xludf.DUMMYFUNCTION("""COMPUTED_VALUE"""),"Máy phát cỏ 2 thì")</f>
        <v>Máy phát cỏ 2 thì</v>
      </c>
      <c r="C1792" s="1076" t="str">
        <f>IFERROR(__xludf.DUMMYFUNCTION("""COMPUTED_VALUE"""),"XN Chuối LP3")</f>
        <v>XN Chuối LP3</v>
      </c>
      <c r="D1792" s="1076" t="str">
        <f>IFERROR(__xludf.DUMMYFUNCTION("""COMPUTED_VALUE"""),"NAGATA")</f>
        <v>NAGATA</v>
      </c>
      <c r="E1792" s="1076"/>
      <c r="F1792" s="1076"/>
      <c r="G1792" s="1076" t="str">
        <f>IFERROR(__xludf.DUMMYFUNCTION("""COMPUTED_VALUE"""),"CG411")</f>
        <v>CG411</v>
      </c>
      <c r="H1792" s="1076" t="str">
        <f>IFERROR(__xludf.DUMMYFUNCTION("""COMPUTED_VALUE"""),"1.8HP")</f>
        <v>1.8HP</v>
      </c>
      <c r="I1792" s="1076"/>
      <c r="J1792" s="1076"/>
      <c r="K1792" s="1076">
        <f>IFERROR(__xludf.DUMMYFUNCTION("""COMPUTED_VALUE"""),1)</f>
        <v>1</v>
      </c>
      <c r="L1792" s="1076" t="str">
        <f>IFERROR(__xludf.DUMMYFUNCTION("""COMPUTED_VALUE"""),"KLH")</f>
        <v>KLH</v>
      </c>
    </row>
    <row r="1793" customHeight="1" spans="1:12">
      <c r="A1793" s="1076" t="str">
        <f>IFERROR(__xludf.DUMMYFUNCTION("""COMPUTED_VALUE"""),"XL3-MPC-054")</f>
        <v>XL3-MPC-054</v>
      </c>
      <c r="B1793" s="1075" t="str">
        <f>IFERROR(__xludf.DUMMYFUNCTION("""COMPUTED_VALUE"""),"Máy phát cỏ 2 thì")</f>
        <v>Máy phát cỏ 2 thì</v>
      </c>
      <c r="C1793" s="1076" t="str">
        <f>IFERROR(__xludf.DUMMYFUNCTION("""COMPUTED_VALUE"""),"XN Chuối LP3")</f>
        <v>XN Chuối LP3</v>
      </c>
      <c r="D1793" s="1076" t="str">
        <f>IFERROR(__xludf.DUMMYFUNCTION("""COMPUTED_VALUE"""),"NAGATA")</f>
        <v>NAGATA</v>
      </c>
      <c r="E1793" s="1076"/>
      <c r="F1793" s="1076"/>
      <c r="G1793" s="1076" t="str">
        <f>IFERROR(__xludf.DUMMYFUNCTION("""COMPUTED_VALUE"""),"CG411")</f>
        <v>CG411</v>
      </c>
      <c r="H1793" s="1076" t="str">
        <f>IFERROR(__xludf.DUMMYFUNCTION("""COMPUTED_VALUE"""),"1.8HP")</f>
        <v>1.8HP</v>
      </c>
      <c r="I1793" s="1076"/>
      <c r="J1793" s="1076"/>
      <c r="K1793" s="1076">
        <f>IFERROR(__xludf.DUMMYFUNCTION("""COMPUTED_VALUE"""),1)</f>
        <v>1</v>
      </c>
      <c r="L1793" s="1076" t="str">
        <f>IFERROR(__xludf.DUMMYFUNCTION("""COMPUTED_VALUE"""),"KLH")</f>
        <v>KLH</v>
      </c>
    </row>
    <row r="1794" customHeight="1" spans="1:12">
      <c r="A1794" s="1076" t="str">
        <f>IFERROR(__xludf.DUMMYFUNCTION("""COMPUTED_VALUE"""),"XL3-MPC-055")</f>
        <v>XL3-MPC-055</v>
      </c>
      <c r="B1794" s="1075" t="str">
        <f>IFERROR(__xludf.DUMMYFUNCTION("""COMPUTED_VALUE"""),"Máy phát cỏ 2 thì")</f>
        <v>Máy phát cỏ 2 thì</v>
      </c>
      <c r="C1794" s="1076" t="str">
        <f>IFERROR(__xludf.DUMMYFUNCTION("""COMPUTED_VALUE"""),"XN Chuối LP3")</f>
        <v>XN Chuối LP3</v>
      </c>
      <c r="D1794" s="1076" t="str">
        <f>IFERROR(__xludf.DUMMYFUNCTION("""COMPUTED_VALUE"""),"NAGATA")</f>
        <v>NAGATA</v>
      </c>
      <c r="E1794" s="1076"/>
      <c r="F1794" s="1076"/>
      <c r="G1794" s="1076" t="str">
        <f>IFERROR(__xludf.DUMMYFUNCTION("""COMPUTED_VALUE"""),"CG411")</f>
        <v>CG411</v>
      </c>
      <c r="H1794" s="1076" t="str">
        <f>IFERROR(__xludf.DUMMYFUNCTION("""COMPUTED_VALUE"""),"1.8HP")</f>
        <v>1.8HP</v>
      </c>
      <c r="I1794" s="1076"/>
      <c r="J1794" s="1076"/>
      <c r="K1794" s="1076">
        <f>IFERROR(__xludf.DUMMYFUNCTION("""COMPUTED_VALUE"""),1)</f>
        <v>1</v>
      </c>
      <c r="L1794" s="1076" t="str">
        <f>IFERROR(__xludf.DUMMYFUNCTION("""COMPUTED_VALUE"""),"KLH")</f>
        <v>KLH</v>
      </c>
    </row>
    <row r="1795" customHeight="1" spans="1:12">
      <c r="A1795" s="1076" t="str">
        <f>IFERROR(__xludf.DUMMYFUNCTION("""COMPUTED_VALUE"""),"XL3-MPC-056")</f>
        <v>XL3-MPC-056</v>
      </c>
      <c r="B1795" s="1075" t="str">
        <f>IFERROR(__xludf.DUMMYFUNCTION("""COMPUTED_VALUE"""),"Máy phát cỏ 2 thì")</f>
        <v>Máy phát cỏ 2 thì</v>
      </c>
      <c r="C1795" s="1076" t="str">
        <f>IFERROR(__xludf.DUMMYFUNCTION("""COMPUTED_VALUE"""),"XN Chuối LP3")</f>
        <v>XN Chuối LP3</v>
      </c>
      <c r="D1795" s="1076" t="str">
        <f>IFERROR(__xludf.DUMMYFUNCTION("""COMPUTED_VALUE"""),"NAGATA")</f>
        <v>NAGATA</v>
      </c>
      <c r="E1795" s="1076"/>
      <c r="F1795" s="1076"/>
      <c r="G1795" s="1076" t="str">
        <f>IFERROR(__xludf.DUMMYFUNCTION("""COMPUTED_VALUE"""),"CG411")</f>
        <v>CG411</v>
      </c>
      <c r="H1795" s="1076" t="str">
        <f>IFERROR(__xludf.DUMMYFUNCTION("""COMPUTED_VALUE"""),"1.8HP")</f>
        <v>1.8HP</v>
      </c>
      <c r="I1795" s="1076"/>
      <c r="J1795" s="1076"/>
      <c r="K1795" s="1076">
        <f>IFERROR(__xludf.DUMMYFUNCTION("""COMPUTED_VALUE"""),1)</f>
        <v>1</v>
      </c>
      <c r="L1795" s="1076" t="str">
        <f>IFERROR(__xludf.DUMMYFUNCTION("""COMPUTED_VALUE"""),"KLH")</f>
        <v>KLH</v>
      </c>
    </row>
    <row r="1796" customHeight="1" spans="1:12">
      <c r="A1796" s="1076" t="str">
        <f>IFERROR(__xludf.DUMMYFUNCTION("""COMPUTED_VALUE"""),"XL3-MPC-057")</f>
        <v>XL3-MPC-057</v>
      </c>
      <c r="B1796" s="1075" t="str">
        <f>IFERROR(__xludf.DUMMYFUNCTION("""COMPUTED_VALUE"""),"Máy phát cỏ 2 thì")</f>
        <v>Máy phát cỏ 2 thì</v>
      </c>
      <c r="C1796" s="1076" t="str">
        <f>IFERROR(__xludf.DUMMYFUNCTION("""COMPUTED_VALUE"""),"XN Chuối LP3")</f>
        <v>XN Chuối LP3</v>
      </c>
      <c r="D1796" s="1076" t="str">
        <f>IFERROR(__xludf.DUMMYFUNCTION("""COMPUTED_VALUE"""),"NAGATA")</f>
        <v>NAGATA</v>
      </c>
      <c r="E1796" s="1076"/>
      <c r="F1796" s="1076"/>
      <c r="G1796" s="1076" t="str">
        <f>IFERROR(__xludf.DUMMYFUNCTION("""COMPUTED_VALUE"""),"CG411")</f>
        <v>CG411</v>
      </c>
      <c r="H1796" s="1076" t="str">
        <f>IFERROR(__xludf.DUMMYFUNCTION("""COMPUTED_VALUE"""),"1.8HP")</f>
        <v>1.8HP</v>
      </c>
      <c r="I1796" s="1076"/>
      <c r="J1796" s="1076"/>
      <c r="K1796" s="1076">
        <f>IFERROR(__xludf.DUMMYFUNCTION("""COMPUTED_VALUE"""),1)</f>
        <v>1</v>
      </c>
      <c r="L1796" s="1076" t="str">
        <f>IFERROR(__xludf.DUMMYFUNCTION("""COMPUTED_VALUE"""),"KLH")</f>
        <v>KLH</v>
      </c>
    </row>
    <row r="1797" customHeight="1" spans="1:12">
      <c r="A1797" s="1076" t="str">
        <f>IFERROR(__xludf.DUMMYFUNCTION("""COMPUTED_VALUE"""),"XL3-MPC-058")</f>
        <v>XL3-MPC-058</v>
      </c>
      <c r="B1797" s="1075" t="str">
        <f>IFERROR(__xludf.DUMMYFUNCTION("""COMPUTED_VALUE"""),"Máy phát cỏ 2 thì")</f>
        <v>Máy phát cỏ 2 thì</v>
      </c>
      <c r="C1797" s="1076" t="str">
        <f>IFERROR(__xludf.DUMMYFUNCTION("""COMPUTED_VALUE"""),"XN Chuối LP3")</f>
        <v>XN Chuối LP3</v>
      </c>
      <c r="D1797" s="1076" t="str">
        <f>IFERROR(__xludf.DUMMYFUNCTION("""COMPUTED_VALUE"""),"NAGATA")</f>
        <v>NAGATA</v>
      </c>
      <c r="E1797" s="1076"/>
      <c r="F1797" s="1076"/>
      <c r="G1797" s="1076" t="str">
        <f>IFERROR(__xludf.DUMMYFUNCTION("""COMPUTED_VALUE"""),"CG411")</f>
        <v>CG411</v>
      </c>
      <c r="H1797" s="1076" t="str">
        <f>IFERROR(__xludf.DUMMYFUNCTION("""COMPUTED_VALUE"""),"1.8HP")</f>
        <v>1.8HP</v>
      </c>
      <c r="I1797" s="1076"/>
      <c r="J1797" s="1076"/>
      <c r="K1797" s="1076">
        <f>IFERROR(__xludf.DUMMYFUNCTION("""COMPUTED_VALUE"""),1)</f>
        <v>1</v>
      </c>
      <c r="L1797" s="1076" t="str">
        <f>IFERROR(__xludf.DUMMYFUNCTION("""COMPUTED_VALUE"""),"KLH")</f>
        <v>KLH</v>
      </c>
    </row>
    <row r="1798" customHeight="1" spans="1:12">
      <c r="A1798" s="1076" t="str">
        <f>IFERROR(__xludf.DUMMYFUNCTION("""COMPUTED_VALUE"""),"XL3-MPC-059")</f>
        <v>XL3-MPC-059</v>
      </c>
      <c r="B1798" s="1075" t="str">
        <f>IFERROR(__xludf.DUMMYFUNCTION("""COMPUTED_VALUE"""),"Máy phát cỏ 2 thì")</f>
        <v>Máy phát cỏ 2 thì</v>
      </c>
      <c r="C1798" s="1076" t="str">
        <f>IFERROR(__xludf.DUMMYFUNCTION("""COMPUTED_VALUE"""),"XN Chuối LP3")</f>
        <v>XN Chuối LP3</v>
      </c>
      <c r="D1798" s="1076" t="str">
        <f>IFERROR(__xludf.DUMMYFUNCTION("""COMPUTED_VALUE"""),"NAGATA")</f>
        <v>NAGATA</v>
      </c>
      <c r="E1798" s="1076"/>
      <c r="F1798" s="1076"/>
      <c r="G1798" s="1076" t="str">
        <f>IFERROR(__xludf.DUMMYFUNCTION("""COMPUTED_VALUE"""),"CG411")</f>
        <v>CG411</v>
      </c>
      <c r="H1798" s="1076" t="str">
        <f>IFERROR(__xludf.DUMMYFUNCTION("""COMPUTED_VALUE"""),"1.8HP")</f>
        <v>1.8HP</v>
      </c>
      <c r="I1798" s="1076"/>
      <c r="J1798" s="1076"/>
      <c r="K1798" s="1076">
        <f>IFERROR(__xludf.DUMMYFUNCTION("""COMPUTED_VALUE"""),1)</f>
        <v>1</v>
      </c>
      <c r="L1798" s="1076" t="str">
        <f>IFERROR(__xludf.DUMMYFUNCTION("""COMPUTED_VALUE"""),"KLH")</f>
        <v>KLH</v>
      </c>
    </row>
    <row r="1799" customHeight="1" spans="1:12">
      <c r="A1799" s="1076" t="str">
        <f>IFERROR(__xludf.DUMMYFUNCTION("""COMPUTED_VALUE"""),"XL3-MPC-060")</f>
        <v>XL3-MPC-060</v>
      </c>
      <c r="B1799" s="1075" t="str">
        <f>IFERROR(__xludf.DUMMYFUNCTION("""COMPUTED_VALUE"""),"Máy phát cỏ 2 thì")</f>
        <v>Máy phát cỏ 2 thì</v>
      </c>
      <c r="C1799" s="1076" t="str">
        <f>IFERROR(__xludf.DUMMYFUNCTION("""COMPUTED_VALUE"""),"XN Chuối LP3")</f>
        <v>XN Chuối LP3</v>
      </c>
      <c r="D1799" s="1076" t="str">
        <f>IFERROR(__xludf.DUMMYFUNCTION("""COMPUTED_VALUE"""),"NAGATA")</f>
        <v>NAGATA</v>
      </c>
      <c r="E1799" s="1076"/>
      <c r="F1799" s="1076"/>
      <c r="G1799" s="1076" t="str">
        <f>IFERROR(__xludf.DUMMYFUNCTION("""COMPUTED_VALUE"""),"CG411")</f>
        <v>CG411</v>
      </c>
      <c r="H1799" s="1076" t="str">
        <f>IFERROR(__xludf.DUMMYFUNCTION("""COMPUTED_VALUE"""),"1.8HP")</f>
        <v>1.8HP</v>
      </c>
      <c r="I1799" s="1076"/>
      <c r="J1799" s="1076"/>
      <c r="K1799" s="1076">
        <f>IFERROR(__xludf.DUMMYFUNCTION("""COMPUTED_VALUE"""),1)</f>
        <v>1</v>
      </c>
      <c r="L1799" s="1076" t="str">
        <f>IFERROR(__xludf.DUMMYFUNCTION("""COMPUTED_VALUE"""),"KLH")</f>
        <v>KLH</v>
      </c>
    </row>
    <row r="1800" customHeight="1" spans="1:12">
      <c r="A1800" s="1076" t="str">
        <f>IFERROR(__xludf.DUMMYFUNCTION("""COMPUTED_VALUE"""),"XL3-MPC-061")</f>
        <v>XL3-MPC-061</v>
      </c>
      <c r="B1800" s="1075" t="str">
        <f>IFERROR(__xludf.DUMMYFUNCTION("""COMPUTED_VALUE"""),"Máy phát cỏ 2 thì")</f>
        <v>Máy phát cỏ 2 thì</v>
      </c>
      <c r="C1800" s="1076" t="str">
        <f>IFERROR(__xludf.DUMMYFUNCTION("""COMPUTED_VALUE"""),"XN Chuối LP3")</f>
        <v>XN Chuối LP3</v>
      </c>
      <c r="D1800" s="1076" t="str">
        <f>IFERROR(__xludf.DUMMYFUNCTION("""COMPUTED_VALUE"""),"NAGATA")</f>
        <v>NAGATA</v>
      </c>
      <c r="E1800" s="1076"/>
      <c r="F1800" s="1076"/>
      <c r="G1800" s="1076" t="str">
        <f>IFERROR(__xludf.DUMMYFUNCTION("""COMPUTED_VALUE"""),"CG411")</f>
        <v>CG411</v>
      </c>
      <c r="H1800" s="1076" t="str">
        <f>IFERROR(__xludf.DUMMYFUNCTION("""COMPUTED_VALUE"""),"1.8HP")</f>
        <v>1.8HP</v>
      </c>
      <c r="I1800" s="1076"/>
      <c r="J1800" s="1076"/>
      <c r="K1800" s="1076">
        <f>IFERROR(__xludf.DUMMYFUNCTION("""COMPUTED_VALUE"""),1)</f>
        <v>1</v>
      </c>
      <c r="L1800" s="1076" t="str">
        <f>IFERROR(__xludf.DUMMYFUNCTION("""COMPUTED_VALUE"""),"KLH")</f>
        <v>KLH</v>
      </c>
    </row>
    <row r="1801" customHeight="1" spans="1:12">
      <c r="A1801" s="1076" t="str">
        <f>IFERROR(__xludf.DUMMYFUNCTION("""COMPUTED_VALUE"""),"XL3-MPC-062")</f>
        <v>XL3-MPC-062</v>
      </c>
      <c r="B1801" s="1075" t="str">
        <f>IFERROR(__xludf.DUMMYFUNCTION("""COMPUTED_VALUE"""),"Máy phát cỏ 2 thì")</f>
        <v>Máy phát cỏ 2 thì</v>
      </c>
      <c r="C1801" s="1076" t="str">
        <f>IFERROR(__xludf.DUMMYFUNCTION("""COMPUTED_VALUE"""),"XN Chuối LP3")</f>
        <v>XN Chuối LP3</v>
      </c>
      <c r="D1801" s="1076" t="str">
        <f>IFERROR(__xludf.DUMMYFUNCTION("""COMPUTED_VALUE"""),"NAGATA")</f>
        <v>NAGATA</v>
      </c>
      <c r="E1801" s="1076"/>
      <c r="F1801" s="1076"/>
      <c r="G1801" s="1076" t="str">
        <f>IFERROR(__xludf.DUMMYFUNCTION("""COMPUTED_VALUE"""),"CG411")</f>
        <v>CG411</v>
      </c>
      <c r="H1801" s="1076" t="str">
        <f>IFERROR(__xludf.DUMMYFUNCTION("""COMPUTED_VALUE"""),"1.8HP")</f>
        <v>1.8HP</v>
      </c>
      <c r="I1801" s="1076"/>
      <c r="J1801" s="1076"/>
      <c r="K1801" s="1076">
        <f>IFERROR(__xludf.DUMMYFUNCTION("""COMPUTED_VALUE"""),1)</f>
        <v>1</v>
      </c>
      <c r="L1801" s="1076" t="str">
        <f>IFERROR(__xludf.DUMMYFUNCTION("""COMPUTED_VALUE"""),"KLH")</f>
        <v>KLH</v>
      </c>
    </row>
    <row r="1802" customHeight="1" spans="1:12">
      <c r="A1802" s="1076" t="str">
        <f>IFERROR(__xludf.DUMMYFUNCTION("""COMPUTED_VALUE"""),"XL3-MPC-063")</f>
        <v>XL3-MPC-063</v>
      </c>
      <c r="B1802" s="1075" t="str">
        <f>IFERROR(__xludf.DUMMYFUNCTION("""COMPUTED_VALUE"""),"Máy phát cỏ 2 thì")</f>
        <v>Máy phát cỏ 2 thì</v>
      </c>
      <c r="C1802" s="1076" t="str">
        <f>IFERROR(__xludf.DUMMYFUNCTION("""COMPUTED_VALUE"""),"XN Chuối LP3")</f>
        <v>XN Chuối LP3</v>
      </c>
      <c r="D1802" s="1076" t="str">
        <f>IFERROR(__xludf.DUMMYFUNCTION("""COMPUTED_VALUE"""),"NAGATA")</f>
        <v>NAGATA</v>
      </c>
      <c r="E1802" s="1076"/>
      <c r="F1802" s="1076"/>
      <c r="G1802" s="1076" t="str">
        <f>IFERROR(__xludf.DUMMYFUNCTION("""COMPUTED_VALUE"""),"CG411")</f>
        <v>CG411</v>
      </c>
      <c r="H1802" s="1076" t="str">
        <f>IFERROR(__xludf.DUMMYFUNCTION("""COMPUTED_VALUE"""),"1.8HP")</f>
        <v>1.8HP</v>
      </c>
      <c r="I1802" s="1076"/>
      <c r="J1802" s="1076"/>
      <c r="K1802" s="1076">
        <f>IFERROR(__xludf.DUMMYFUNCTION("""COMPUTED_VALUE"""),1)</f>
        <v>1</v>
      </c>
      <c r="L1802" s="1076" t="str">
        <f>IFERROR(__xludf.DUMMYFUNCTION("""COMPUTED_VALUE"""),"KLH")</f>
        <v>KLH</v>
      </c>
    </row>
    <row r="1803" customHeight="1" spans="1:12">
      <c r="A1803" s="1076" t="str">
        <f>IFERROR(__xludf.DUMMYFUNCTION("""COMPUTED_VALUE"""),"XL3-MPC-064")</f>
        <v>XL3-MPC-064</v>
      </c>
      <c r="B1803" s="1075" t="str">
        <f>IFERROR(__xludf.DUMMYFUNCTION("""COMPUTED_VALUE"""),"Máy phát cỏ 2 thì")</f>
        <v>Máy phát cỏ 2 thì</v>
      </c>
      <c r="C1803" s="1076" t="str">
        <f>IFERROR(__xludf.DUMMYFUNCTION("""COMPUTED_VALUE"""),"XN Chuối LP3")</f>
        <v>XN Chuối LP3</v>
      </c>
      <c r="D1803" s="1076" t="str">
        <f>IFERROR(__xludf.DUMMYFUNCTION("""COMPUTED_VALUE"""),"NAGATA")</f>
        <v>NAGATA</v>
      </c>
      <c r="E1803" s="1076"/>
      <c r="F1803" s="1076"/>
      <c r="G1803" s="1076" t="str">
        <f>IFERROR(__xludf.DUMMYFUNCTION("""COMPUTED_VALUE"""),"CG411")</f>
        <v>CG411</v>
      </c>
      <c r="H1803" s="1076" t="str">
        <f>IFERROR(__xludf.DUMMYFUNCTION("""COMPUTED_VALUE"""),"1.8HP")</f>
        <v>1.8HP</v>
      </c>
      <c r="I1803" s="1076"/>
      <c r="J1803" s="1076"/>
      <c r="K1803" s="1076">
        <f>IFERROR(__xludf.DUMMYFUNCTION("""COMPUTED_VALUE"""),1)</f>
        <v>1</v>
      </c>
      <c r="L1803" s="1076" t="str">
        <f>IFERROR(__xludf.DUMMYFUNCTION("""COMPUTED_VALUE"""),"KLH")</f>
        <v>KLH</v>
      </c>
    </row>
    <row r="1804" customHeight="1" spans="1:12">
      <c r="A1804" s="1076" t="str">
        <f>IFERROR(__xludf.DUMMYFUNCTION("""COMPUTED_VALUE"""),"XL3-MPC-065")</f>
        <v>XL3-MPC-065</v>
      </c>
      <c r="B1804" s="1075" t="str">
        <f>IFERROR(__xludf.DUMMYFUNCTION("""COMPUTED_VALUE"""),"Máy phát cỏ 2 thì")</f>
        <v>Máy phát cỏ 2 thì</v>
      </c>
      <c r="C1804" s="1076" t="str">
        <f>IFERROR(__xludf.DUMMYFUNCTION("""COMPUTED_VALUE"""),"XN Chuối LP3")</f>
        <v>XN Chuối LP3</v>
      </c>
      <c r="D1804" s="1076" t="str">
        <f>IFERROR(__xludf.DUMMYFUNCTION("""COMPUTED_VALUE"""),"NAGATA")</f>
        <v>NAGATA</v>
      </c>
      <c r="E1804" s="1076"/>
      <c r="F1804" s="1076"/>
      <c r="G1804" s="1076" t="str">
        <f>IFERROR(__xludf.DUMMYFUNCTION("""COMPUTED_VALUE"""),"CG411")</f>
        <v>CG411</v>
      </c>
      <c r="H1804" s="1076" t="str">
        <f>IFERROR(__xludf.DUMMYFUNCTION("""COMPUTED_VALUE"""),"1.8HP")</f>
        <v>1.8HP</v>
      </c>
      <c r="I1804" s="1076"/>
      <c r="J1804" s="1076"/>
      <c r="K1804" s="1076">
        <f>IFERROR(__xludf.DUMMYFUNCTION("""COMPUTED_VALUE"""),1)</f>
        <v>1</v>
      </c>
      <c r="L1804" s="1076" t="str">
        <f>IFERROR(__xludf.DUMMYFUNCTION("""COMPUTED_VALUE"""),"KLH")</f>
        <v>KLH</v>
      </c>
    </row>
    <row r="1805" customHeight="1" spans="1:12">
      <c r="A1805" s="1076" t="str">
        <f>IFERROR(__xludf.DUMMYFUNCTION("""COMPUTED_VALUE"""),"XL3-MPC-066")</f>
        <v>XL3-MPC-066</v>
      </c>
      <c r="B1805" s="1075" t="str">
        <f>IFERROR(__xludf.DUMMYFUNCTION("""COMPUTED_VALUE"""),"Máy phát cỏ 2 thì")</f>
        <v>Máy phát cỏ 2 thì</v>
      </c>
      <c r="C1805" s="1076" t="str">
        <f>IFERROR(__xludf.DUMMYFUNCTION("""COMPUTED_VALUE"""),"XN Chuối LP3")</f>
        <v>XN Chuối LP3</v>
      </c>
      <c r="D1805" s="1076" t="str">
        <f>IFERROR(__xludf.DUMMYFUNCTION("""COMPUTED_VALUE"""),"NAGATA")</f>
        <v>NAGATA</v>
      </c>
      <c r="E1805" s="1076"/>
      <c r="F1805" s="1076"/>
      <c r="G1805" s="1076" t="str">
        <f>IFERROR(__xludf.DUMMYFUNCTION("""COMPUTED_VALUE"""),"CG411")</f>
        <v>CG411</v>
      </c>
      <c r="H1805" s="1076" t="str">
        <f>IFERROR(__xludf.DUMMYFUNCTION("""COMPUTED_VALUE"""),"1.8HP")</f>
        <v>1.8HP</v>
      </c>
      <c r="I1805" s="1076"/>
      <c r="J1805" s="1076"/>
      <c r="K1805" s="1076">
        <f>IFERROR(__xludf.DUMMYFUNCTION("""COMPUTED_VALUE"""),1)</f>
        <v>1</v>
      </c>
      <c r="L1805" s="1076" t="str">
        <f>IFERROR(__xludf.DUMMYFUNCTION("""COMPUTED_VALUE"""),"KLH")</f>
        <v>KLH</v>
      </c>
    </row>
    <row r="1806" customHeight="1" spans="1:12">
      <c r="A1806" s="1076" t="str">
        <f>IFERROR(__xludf.DUMMYFUNCTION("""COMPUTED_VALUE"""),"XL3-MPC-067")</f>
        <v>XL3-MPC-067</v>
      </c>
      <c r="B1806" s="1075" t="str">
        <f>IFERROR(__xludf.DUMMYFUNCTION("""COMPUTED_VALUE"""),"Máy phát cỏ 2 thì")</f>
        <v>Máy phát cỏ 2 thì</v>
      </c>
      <c r="C1806" s="1076" t="str">
        <f>IFERROR(__xludf.DUMMYFUNCTION("""COMPUTED_VALUE"""),"XN Chuối LP3")</f>
        <v>XN Chuối LP3</v>
      </c>
      <c r="D1806" s="1076" t="str">
        <f>IFERROR(__xludf.DUMMYFUNCTION("""COMPUTED_VALUE"""),"NAGATA")</f>
        <v>NAGATA</v>
      </c>
      <c r="E1806" s="1076"/>
      <c r="F1806" s="1076"/>
      <c r="G1806" s="1076" t="str">
        <f>IFERROR(__xludf.DUMMYFUNCTION("""COMPUTED_VALUE"""),"CG411")</f>
        <v>CG411</v>
      </c>
      <c r="H1806" s="1076" t="str">
        <f>IFERROR(__xludf.DUMMYFUNCTION("""COMPUTED_VALUE"""),"1.8HP")</f>
        <v>1.8HP</v>
      </c>
      <c r="I1806" s="1076"/>
      <c r="J1806" s="1076"/>
      <c r="K1806" s="1076">
        <f>IFERROR(__xludf.DUMMYFUNCTION("""COMPUTED_VALUE"""),1)</f>
        <v>1</v>
      </c>
      <c r="L1806" s="1076" t="str">
        <f>IFERROR(__xludf.DUMMYFUNCTION("""COMPUTED_VALUE"""),"KLH")</f>
        <v>KLH</v>
      </c>
    </row>
    <row r="1807" customHeight="1" spans="1:12">
      <c r="A1807" s="1076" t="str">
        <f>IFERROR(__xludf.DUMMYFUNCTION("""COMPUTED_VALUE"""),"XL3-MPC-068")</f>
        <v>XL3-MPC-068</v>
      </c>
      <c r="B1807" s="1075" t="str">
        <f>IFERROR(__xludf.DUMMYFUNCTION("""COMPUTED_VALUE"""),"Máy phát cỏ 2 thì")</f>
        <v>Máy phát cỏ 2 thì</v>
      </c>
      <c r="C1807" s="1076" t="str">
        <f>IFERROR(__xludf.DUMMYFUNCTION("""COMPUTED_VALUE"""),"XN Chuối LP3")</f>
        <v>XN Chuối LP3</v>
      </c>
      <c r="D1807" s="1076" t="str">
        <f>IFERROR(__xludf.DUMMYFUNCTION("""COMPUTED_VALUE"""),"NAGATA")</f>
        <v>NAGATA</v>
      </c>
      <c r="E1807" s="1076"/>
      <c r="F1807" s="1076"/>
      <c r="G1807" s="1076" t="str">
        <f>IFERROR(__xludf.DUMMYFUNCTION("""COMPUTED_VALUE"""),"CG411")</f>
        <v>CG411</v>
      </c>
      <c r="H1807" s="1076" t="str">
        <f>IFERROR(__xludf.DUMMYFUNCTION("""COMPUTED_VALUE"""),"1.8HP")</f>
        <v>1.8HP</v>
      </c>
      <c r="I1807" s="1076"/>
      <c r="J1807" s="1076"/>
      <c r="K1807" s="1076">
        <f>IFERROR(__xludf.DUMMYFUNCTION("""COMPUTED_VALUE"""),1)</f>
        <v>1</v>
      </c>
      <c r="L1807" s="1076" t="str">
        <f>IFERROR(__xludf.DUMMYFUNCTION("""COMPUTED_VALUE"""),"KLH")</f>
        <v>KLH</v>
      </c>
    </row>
    <row r="1808" customHeight="1" spans="1:12">
      <c r="A1808" s="1076" t="str">
        <f>IFERROR(__xludf.DUMMYFUNCTION("""COMPUTED_VALUE"""),"XL3-MPC-069")</f>
        <v>XL3-MPC-069</v>
      </c>
      <c r="B1808" s="1075" t="str">
        <f>IFERROR(__xludf.DUMMYFUNCTION("""COMPUTED_VALUE"""),"Máy phát cỏ 2 thì")</f>
        <v>Máy phát cỏ 2 thì</v>
      </c>
      <c r="C1808" s="1076" t="str">
        <f>IFERROR(__xludf.DUMMYFUNCTION("""COMPUTED_VALUE"""),"XN Chuối LP3")</f>
        <v>XN Chuối LP3</v>
      </c>
      <c r="D1808" s="1076" t="str">
        <f>IFERROR(__xludf.DUMMYFUNCTION("""COMPUTED_VALUE"""),"NAGATA")</f>
        <v>NAGATA</v>
      </c>
      <c r="E1808" s="1076"/>
      <c r="F1808" s="1076"/>
      <c r="G1808" s="1076" t="str">
        <f>IFERROR(__xludf.DUMMYFUNCTION("""COMPUTED_VALUE"""),"CG411")</f>
        <v>CG411</v>
      </c>
      <c r="H1808" s="1076" t="str">
        <f>IFERROR(__xludf.DUMMYFUNCTION("""COMPUTED_VALUE"""),"1.8HP")</f>
        <v>1.8HP</v>
      </c>
      <c r="I1808" s="1076"/>
      <c r="J1808" s="1076"/>
      <c r="K1808" s="1076">
        <f>IFERROR(__xludf.DUMMYFUNCTION("""COMPUTED_VALUE"""),1)</f>
        <v>1</v>
      </c>
      <c r="L1808" s="1076" t="str">
        <f>IFERROR(__xludf.DUMMYFUNCTION("""COMPUTED_VALUE"""),"KLH")</f>
        <v>KLH</v>
      </c>
    </row>
    <row r="1809" customHeight="1" spans="1:12">
      <c r="A1809" s="1076" t="str">
        <f>IFERROR(__xludf.DUMMYFUNCTION("""COMPUTED_VALUE"""),"XL3-MPC-070")</f>
        <v>XL3-MPC-070</v>
      </c>
      <c r="B1809" s="1075" t="str">
        <f>IFERROR(__xludf.DUMMYFUNCTION("""COMPUTED_VALUE"""),"Máy phát cỏ 2 thì")</f>
        <v>Máy phát cỏ 2 thì</v>
      </c>
      <c r="C1809" s="1076" t="str">
        <f>IFERROR(__xludf.DUMMYFUNCTION("""COMPUTED_VALUE"""),"XN Chuối LP3")</f>
        <v>XN Chuối LP3</v>
      </c>
      <c r="D1809" s="1076" t="str">
        <f>IFERROR(__xludf.DUMMYFUNCTION("""COMPUTED_VALUE"""),"NAGATA")</f>
        <v>NAGATA</v>
      </c>
      <c r="E1809" s="1076"/>
      <c r="F1809" s="1076"/>
      <c r="G1809" s="1076" t="str">
        <f>IFERROR(__xludf.DUMMYFUNCTION("""COMPUTED_VALUE"""),"CG411")</f>
        <v>CG411</v>
      </c>
      <c r="H1809" s="1076" t="str">
        <f>IFERROR(__xludf.DUMMYFUNCTION("""COMPUTED_VALUE"""),"1.8HP")</f>
        <v>1.8HP</v>
      </c>
      <c r="I1809" s="1076"/>
      <c r="J1809" s="1076"/>
      <c r="K1809" s="1076">
        <f>IFERROR(__xludf.DUMMYFUNCTION("""COMPUTED_VALUE"""),1)</f>
        <v>1</v>
      </c>
      <c r="L1809" s="1076" t="str">
        <f>IFERROR(__xludf.DUMMYFUNCTION("""COMPUTED_VALUE"""),"KLH")</f>
        <v>KLH</v>
      </c>
    </row>
    <row r="1810" customHeight="1" spans="1:12">
      <c r="A1810" s="1076" t="str">
        <f>IFERROR(__xludf.DUMMYFUNCTION("""COMPUTED_VALUE"""),"DAUNPENH")</f>
        <v>DAUNPENH</v>
      </c>
      <c r="B1810" s="1075"/>
      <c r="C1810" s="1076"/>
      <c r="D1810" s="1076"/>
      <c r="E1810" s="1076"/>
      <c r="F1810" s="1076"/>
      <c r="G1810" s="1076"/>
      <c r="H1810" s="1076"/>
      <c r="I1810" s="1076"/>
      <c r="J1810" s="1076"/>
      <c r="K1810" s="1076"/>
      <c r="L1810" s="1076" t="str">
        <f>IFERROR(__xludf.DUMMYFUNCTION("""COMPUTED_VALUE"""),"KLH")</f>
        <v>KLH</v>
      </c>
    </row>
    <row r="1811" customHeight="1" spans="1:12">
      <c r="A1811" s="1076" t="str">
        <f>IFERROR(__xludf.DUMMYFUNCTION("""COMPUTED_VALUE"""),"XN DP1")</f>
        <v>XN DP1</v>
      </c>
      <c r="B1811" s="1075"/>
      <c r="C1811" s="1076"/>
      <c r="D1811" s="1076"/>
      <c r="E1811" s="1076"/>
      <c r="F1811" s="1076"/>
      <c r="G1811" s="1076"/>
      <c r="H1811" s="1076"/>
      <c r="I1811" s="1076"/>
      <c r="J1811" s="1076"/>
      <c r="K1811" s="1076"/>
      <c r="L1811" s="1076" t="str">
        <f>IFERROR(__xludf.DUMMYFUNCTION("""COMPUTED_VALUE"""),"KLH")</f>
        <v>KLH</v>
      </c>
    </row>
    <row r="1812" customHeight="1" spans="1:12">
      <c r="A1812" s="1076" t="str">
        <f>IFERROR(__xludf.DUMMYFUNCTION("""COMPUTED_VALUE"""),"XD1-MPC-020")</f>
        <v>XD1-MPC-020</v>
      </c>
      <c r="B1812" s="1075" t="str">
        <f>IFERROR(__xludf.DUMMYFUNCTION("""COMPUTED_VALUE"""),"Máy phát cỏ 4 thì")</f>
        <v>Máy phát cỏ 4 thì</v>
      </c>
      <c r="C1812" s="1076" t="str">
        <f>IFERROR(__xludf.DUMMYFUNCTION("""COMPUTED_VALUE"""),"XN Chuối DP1")</f>
        <v>XN Chuối DP1</v>
      </c>
      <c r="D1812" s="1076" t="str">
        <f>IFERROR(__xludf.DUMMYFUNCTION("""COMPUTED_VALUE"""),"HONDA")</f>
        <v>HONDA</v>
      </c>
      <c r="E1812" s="1076" t="str">
        <f>IFERROR(__xludf.DUMMYFUNCTION("""COMPUTED_VALUE"""),"Trung Quốc")</f>
        <v>Trung Quốc</v>
      </c>
      <c r="F1812" s="1076"/>
      <c r="G1812" s="1076" t="str">
        <f>IFERROR(__xludf.DUMMYFUNCTION("""COMPUTED_VALUE"""),"GX35")</f>
        <v>GX35</v>
      </c>
      <c r="H1812" s="1076" t="str">
        <f>IFERROR(__xludf.DUMMYFUNCTION("""COMPUTED_VALUE"""),"1.6HP")</f>
        <v>1.6HP</v>
      </c>
      <c r="I1812" s="1076"/>
      <c r="J1812" s="1076"/>
      <c r="K1812" s="1076">
        <f>IFERROR(__xludf.DUMMYFUNCTION("""COMPUTED_VALUE"""),0.5)</f>
        <v>0.5</v>
      </c>
      <c r="L1812" s="1076" t="str">
        <f>IFERROR(__xludf.DUMMYFUNCTION("""COMPUTED_VALUE"""),"KLH")</f>
        <v>KLH</v>
      </c>
    </row>
    <row r="1813" customHeight="1" spans="1:12">
      <c r="A1813" s="1076" t="str">
        <f>IFERROR(__xludf.DUMMYFUNCTION("""COMPUTED_VALUE"""),"XD1-MPC-021")</f>
        <v>XD1-MPC-021</v>
      </c>
      <c r="B1813" s="1075" t="str">
        <f>IFERROR(__xludf.DUMMYFUNCTION("""COMPUTED_VALUE"""),"Máy phát cỏ 4 thì")</f>
        <v>Máy phát cỏ 4 thì</v>
      </c>
      <c r="C1813" s="1076" t="str">
        <f>IFERROR(__xludf.DUMMYFUNCTION("""COMPUTED_VALUE"""),"XN Chuối DP1")</f>
        <v>XN Chuối DP1</v>
      </c>
      <c r="D1813" s="1076" t="str">
        <f>IFERROR(__xludf.DUMMYFUNCTION("""COMPUTED_VALUE"""),"HONDA")</f>
        <v>HONDA</v>
      </c>
      <c r="E1813" s="1076" t="str">
        <f>IFERROR(__xludf.DUMMYFUNCTION("""COMPUTED_VALUE"""),"Trung Quốc")</f>
        <v>Trung Quốc</v>
      </c>
      <c r="F1813" s="1076"/>
      <c r="G1813" s="1076" t="str">
        <f>IFERROR(__xludf.DUMMYFUNCTION("""COMPUTED_VALUE"""),"GX35")</f>
        <v>GX35</v>
      </c>
      <c r="H1813" s="1076" t="str">
        <f>IFERROR(__xludf.DUMMYFUNCTION("""COMPUTED_VALUE"""),"1.6HP")</f>
        <v>1.6HP</v>
      </c>
      <c r="I1813" s="1076"/>
      <c r="J1813" s="1076"/>
      <c r="K1813" s="1076">
        <f>IFERROR(__xludf.DUMMYFUNCTION("""COMPUTED_VALUE"""),0.5)</f>
        <v>0.5</v>
      </c>
      <c r="L1813" s="1076" t="str">
        <f>IFERROR(__xludf.DUMMYFUNCTION("""COMPUTED_VALUE"""),"KLH")</f>
        <v>KLH</v>
      </c>
    </row>
    <row r="1814" customHeight="1" spans="1:12">
      <c r="A1814" s="1076" t="str">
        <f>IFERROR(__xludf.DUMMYFUNCTION("""COMPUTED_VALUE"""),"XD1-MPC-022")</f>
        <v>XD1-MPC-022</v>
      </c>
      <c r="B1814" s="1075" t="str">
        <f>IFERROR(__xludf.DUMMYFUNCTION("""COMPUTED_VALUE"""),"Máy phát cỏ 4 thì")</f>
        <v>Máy phát cỏ 4 thì</v>
      </c>
      <c r="C1814" s="1076" t="str">
        <f>IFERROR(__xludf.DUMMYFUNCTION("""COMPUTED_VALUE"""),"XN Chuối DP1")</f>
        <v>XN Chuối DP1</v>
      </c>
      <c r="D1814" s="1076" t="str">
        <f>IFERROR(__xludf.DUMMYFUNCTION("""COMPUTED_VALUE"""),"HONDA")</f>
        <v>HONDA</v>
      </c>
      <c r="E1814" s="1076" t="str">
        <f>IFERROR(__xludf.DUMMYFUNCTION("""COMPUTED_VALUE"""),"Trung Quốc")</f>
        <v>Trung Quốc</v>
      </c>
      <c r="F1814" s="1076"/>
      <c r="G1814" s="1076" t="str">
        <f>IFERROR(__xludf.DUMMYFUNCTION("""COMPUTED_VALUE"""),"GX35")</f>
        <v>GX35</v>
      </c>
      <c r="H1814" s="1076" t="str">
        <f>IFERROR(__xludf.DUMMYFUNCTION("""COMPUTED_VALUE"""),"1.6HP")</f>
        <v>1.6HP</v>
      </c>
      <c r="I1814" s="1076"/>
      <c r="J1814" s="1076"/>
      <c r="K1814" s="1076">
        <f>IFERROR(__xludf.DUMMYFUNCTION("""COMPUTED_VALUE"""),0.5)</f>
        <v>0.5</v>
      </c>
      <c r="L1814" s="1076" t="str">
        <f>IFERROR(__xludf.DUMMYFUNCTION("""COMPUTED_VALUE"""),"KLH")</f>
        <v>KLH</v>
      </c>
    </row>
    <row r="1815" customHeight="1" spans="1:12">
      <c r="A1815" s="1076" t="str">
        <f>IFERROR(__xludf.DUMMYFUNCTION("""COMPUTED_VALUE"""),"XD1-MPC-023")</f>
        <v>XD1-MPC-023</v>
      </c>
      <c r="B1815" s="1075" t="str">
        <f>IFERROR(__xludf.DUMMYFUNCTION("""COMPUTED_VALUE"""),"Máy phát cỏ 4 thì")</f>
        <v>Máy phát cỏ 4 thì</v>
      </c>
      <c r="C1815" s="1076" t="str">
        <f>IFERROR(__xludf.DUMMYFUNCTION("""COMPUTED_VALUE"""),"XN Chuối DP1")</f>
        <v>XN Chuối DP1</v>
      </c>
      <c r="D1815" s="1076" t="str">
        <f>IFERROR(__xludf.DUMMYFUNCTION("""COMPUTED_VALUE"""),"HONDA")</f>
        <v>HONDA</v>
      </c>
      <c r="E1815" s="1076" t="str">
        <f>IFERROR(__xludf.DUMMYFUNCTION("""COMPUTED_VALUE"""),"Trung Quốc")</f>
        <v>Trung Quốc</v>
      </c>
      <c r="F1815" s="1076"/>
      <c r="G1815" s="1076" t="str">
        <f>IFERROR(__xludf.DUMMYFUNCTION("""COMPUTED_VALUE"""),"GX35")</f>
        <v>GX35</v>
      </c>
      <c r="H1815" s="1076" t="str">
        <f>IFERROR(__xludf.DUMMYFUNCTION("""COMPUTED_VALUE"""),"1.6HP")</f>
        <v>1.6HP</v>
      </c>
      <c r="I1815" s="1076"/>
      <c r="J1815" s="1076"/>
      <c r="K1815" s="1076">
        <f>IFERROR(__xludf.DUMMYFUNCTION("""COMPUTED_VALUE"""),0.5)</f>
        <v>0.5</v>
      </c>
      <c r="L1815" s="1076" t="str">
        <f>IFERROR(__xludf.DUMMYFUNCTION("""COMPUTED_VALUE"""),"KLH")</f>
        <v>KLH</v>
      </c>
    </row>
    <row r="1816" customHeight="1" spans="1:12">
      <c r="A1816" s="1076" t="str">
        <f>IFERROR(__xludf.DUMMYFUNCTION("""COMPUTED_VALUE"""),"XD1-MPC-024")</f>
        <v>XD1-MPC-024</v>
      </c>
      <c r="B1816" s="1075" t="str">
        <f>IFERROR(__xludf.DUMMYFUNCTION("""COMPUTED_VALUE"""),"Máy phát cỏ 4 thì")</f>
        <v>Máy phát cỏ 4 thì</v>
      </c>
      <c r="C1816" s="1076" t="str">
        <f>IFERROR(__xludf.DUMMYFUNCTION("""COMPUTED_VALUE"""),"XN Chuối DP1")</f>
        <v>XN Chuối DP1</v>
      </c>
      <c r="D1816" s="1076" t="str">
        <f>IFERROR(__xludf.DUMMYFUNCTION("""COMPUTED_VALUE"""),"HONDA")</f>
        <v>HONDA</v>
      </c>
      <c r="E1816" s="1076" t="str">
        <f>IFERROR(__xludf.DUMMYFUNCTION("""COMPUTED_VALUE"""),"Trung Quốc")</f>
        <v>Trung Quốc</v>
      </c>
      <c r="F1816" s="1076"/>
      <c r="G1816" s="1076" t="str">
        <f>IFERROR(__xludf.DUMMYFUNCTION("""COMPUTED_VALUE"""),"GX35")</f>
        <v>GX35</v>
      </c>
      <c r="H1816" s="1076" t="str">
        <f>IFERROR(__xludf.DUMMYFUNCTION("""COMPUTED_VALUE"""),"1.6HP")</f>
        <v>1.6HP</v>
      </c>
      <c r="I1816" s="1076"/>
      <c r="J1816" s="1076"/>
      <c r="K1816" s="1076">
        <f>IFERROR(__xludf.DUMMYFUNCTION("""COMPUTED_VALUE"""),0.5)</f>
        <v>0.5</v>
      </c>
      <c r="L1816" s="1076" t="str">
        <f>IFERROR(__xludf.DUMMYFUNCTION("""COMPUTED_VALUE"""),"KLH")</f>
        <v>KLH</v>
      </c>
    </row>
    <row r="1817" customHeight="1" spans="1:12">
      <c r="A1817" s="1076" t="str">
        <f>IFERROR(__xludf.DUMMYFUNCTION("""COMPUTED_VALUE"""),"XD1-MPC-025")</f>
        <v>XD1-MPC-025</v>
      </c>
      <c r="B1817" s="1075" t="str">
        <f>IFERROR(__xludf.DUMMYFUNCTION("""COMPUTED_VALUE"""),"Máy phát cỏ 4 thì")</f>
        <v>Máy phát cỏ 4 thì</v>
      </c>
      <c r="C1817" s="1076" t="str">
        <f>IFERROR(__xludf.DUMMYFUNCTION("""COMPUTED_VALUE"""),"XN Chuối DP1")</f>
        <v>XN Chuối DP1</v>
      </c>
      <c r="D1817" s="1076" t="str">
        <f>IFERROR(__xludf.DUMMYFUNCTION("""COMPUTED_VALUE"""),"HONDA")</f>
        <v>HONDA</v>
      </c>
      <c r="E1817" s="1076" t="str">
        <f>IFERROR(__xludf.DUMMYFUNCTION("""COMPUTED_VALUE"""),"Trung Quốc")</f>
        <v>Trung Quốc</v>
      </c>
      <c r="F1817" s="1076"/>
      <c r="G1817" s="1076" t="str">
        <f>IFERROR(__xludf.DUMMYFUNCTION("""COMPUTED_VALUE"""),"GX35")</f>
        <v>GX35</v>
      </c>
      <c r="H1817" s="1076" t="str">
        <f>IFERROR(__xludf.DUMMYFUNCTION("""COMPUTED_VALUE"""),"1.6HP")</f>
        <v>1.6HP</v>
      </c>
      <c r="I1817" s="1076"/>
      <c r="J1817" s="1076"/>
      <c r="K1817" s="1076">
        <f>IFERROR(__xludf.DUMMYFUNCTION("""COMPUTED_VALUE"""),0.5)</f>
        <v>0.5</v>
      </c>
      <c r="L1817" s="1076" t="str">
        <f>IFERROR(__xludf.DUMMYFUNCTION("""COMPUTED_VALUE"""),"KLH")</f>
        <v>KLH</v>
      </c>
    </row>
    <row r="1818" customHeight="1" spans="1:12">
      <c r="A1818" s="1076" t="str">
        <f>IFERROR(__xludf.DUMMYFUNCTION("""COMPUTED_VALUE"""),"XD1-MPC-026")</f>
        <v>XD1-MPC-026</v>
      </c>
      <c r="B1818" s="1075" t="str">
        <f>IFERROR(__xludf.DUMMYFUNCTION("""COMPUTED_VALUE"""),"Máy phát cỏ 4 thì")</f>
        <v>Máy phát cỏ 4 thì</v>
      </c>
      <c r="C1818" s="1076" t="str">
        <f>IFERROR(__xludf.DUMMYFUNCTION("""COMPUTED_VALUE"""),"XN Chuối DP1")</f>
        <v>XN Chuối DP1</v>
      </c>
      <c r="D1818" s="1076" t="str">
        <f>IFERROR(__xludf.DUMMYFUNCTION("""COMPUTED_VALUE"""),"HONDA")</f>
        <v>HONDA</v>
      </c>
      <c r="E1818" s="1076" t="str">
        <f>IFERROR(__xludf.DUMMYFUNCTION("""COMPUTED_VALUE"""),"Trung Quốc")</f>
        <v>Trung Quốc</v>
      </c>
      <c r="F1818" s="1076"/>
      <c r="G1818" s="1076" t="str">
        <f>IFERROR(__xludf.DUMMYFUNCTION("""COMPUTED_VALUE"""),"GX35")</f>
        <v>GX35</v>
      </c>
      <c r="H1818" s="1076" t="str">
        <f>IFERROR(__xludf.DUMMYFUNCTION("""COMPUTED_VALUE"""),"1.6HP")</f>
        <v>1.6HP</v>
      </c>
      <c r="I1818" s="1076"/>
      <c r="J1818" s="1076"/>
      <c r="K1818" s="1076">
        <f>IFERROR(__xludf.DUMMYFUNCTION("""COMPUTED_VALUE"""),0.5)</f>
        <v>0.5</v>
      </c>
      <c r="L1818" s="1076" t="str">
        <f>IFERROR(__xludf.DUMMYFUNCTION("""COMPUTED_VALUE"""),"KLH")</f>
        <v>KLH</v>
      </c>
    </row>
    <row r="1819" customHeight="1" spans="1:12">
      <c r="A1819" s="1076" t="str">
        <f>IFERROR(__xludf.DUMMYFUNCTION("""COMPUTED_VALUE"""),"XD1-MPC-027")</f>
        <v>XD1-MPC-027</v>
      </c>
      <c r="B1819" s="1075" t="str">
        <f>IFERROR(__xludf.DUMMYFUNCTION("""COMPUTED_VALUE"""),"Máy phát cỏ 4 thì")</f>
        <v>Máy phát cỏ 4 thì</v>
      </c>
      <c r="C1819" s="1076" t="str">
        <f>IFERROR(__xludf.DUMMYFUNCTION("""COMPUTED_VALUE"""),"XN Chuối DP1")</f>
        <v>XN Chuối DP1</v>
      </c>
      <c r="D1819" s="1076" t="str">
        <f>IFERROR(__xludf.DUMMYFUNCTION("""COMPUTED_VALUE"""),"HONDA")</f>
        <v>HONDA</v>
      </c>
      <c r="E1819" s="1076" t="str">
        <f>IFERROR(__xludf.DUMMYFUNCTION("""COMPUTED_VALUE"""),"Trung Quốc")</f>
        <v>Trung Quốc</v>
      </c>
      <c r="F1819" s="1076"/>
      <c r="G1819" s="1076" t="str">
        <f>IFERROR(__xludf.DUMMYFUNCTION("""COMPUTED_VALUE"""),"GX35")</f>
        <v>GX35</v>
      </c>
      <c r="H1819" s="1076" t="str">
        <f>IFERROR(__xludf.DUMMYFUNCTION("""COMPUTED_VALUE"""),"1.6HP")</f>
        <v>1.6HP</v>
      </c>
      <c r="I1819" s="1076"/>
      <c r="J1819" s="1076"/>
      <c r="K1819" s="1076">
        <f>IFERROR(__xludf.DUMMYFUNCTION("""COMPUTED_VALUE"""),0.5)</f>
        <v>0.5</v>
      </c>
      <c r="L1819" s="1076" t="str">
        <f>IFERROR(__xludf.DUMMYFUNCTION("""COMPUTED_VALUE"""),"KLH")</f>
        <v>KLH</v>
      </c>
    </row>
    <row r="1820" customHeight="1" spans="1:12">
      <c r="A1820" s="1076" t="str">
        <f>IFERROR(__xludf.DUMMYFUNCTION("""COMPUTED_VALUE"""),"XD1-MPC-028")</f>
        <v>XD1-MPC-028</v>
      </c>
      <c r="B1820" s="1075" t="str">
        <f>IFERROR(__xludf.DUMMYFUNCTION("""COMPUTED_VALUE"""),"Máy phát cỏ 4 thì")</f>
        <v>Máy phát cỏ 4 thì</v>
      </c>
      <c r="C1820" s="1076" t="str">
        <f>IFERROR(__xludf.DUMMYFUNCTION("""COMPUTED_VALUE"""),"XN Chuối DP1")</f>
        <v>XN Chuối DP1</v>
      </c>
      <c r="D1820" s="1076" t="str">
        <f>IFERROR(__xludf.DUMMYFUNCTION("""COMPUTED_VALUE"""),"HONDA")</f>
        <v>HONDA</v>
      </c>
      <c r="E1820" s="1076" t="str">
        <f>IFERROR(__xludf.DUMMYFUNCTION("""COMPUTED_VALUE"""),"Trung Quốc")</f>
        <v>Trung Quốc</v>
      </c>
      <c r="F1820" s="1076"/>
      <c r="G1820" s="1076" t="str">
        <f>IFERROR(__xludf.DUMMYFUNCTION("""COMPUTED_VALUE"""),"GX35")</f>
        <v>GX35</v>
      </c>
      <c r="H1820" s="1076" t="str">
        <f>IFERROR(__xludf.DUMMYFUNCTION("""COMPUTED_VALUE"""),"1.6HP")</f>
        <v>1.6HP</v>
      </c>
      <c r="I1820" s="1076"/>
      <c r="J1820" s="1076"/>
      <c r="K1820" s="1076">
        <f>IFERROR(__xludf.DUMMYFUNCTION("""COMPUTED_VALUE"""),0.5)</f>
        <v>0.5</v>
      </c>
      <c r="L1820" s="1076" t="str">
        <f>IFERROR(__xludf.DUMMYFUNCTION("""COMPUTED_VALUE"""),"KLH")</f>
        <v>KLH</v>
      </c>
    </row>
    <row r="1821" customHeight="1" spans="1:12">
      <c r="A1821" s="1076" t="str">
        <f>IFERROR(__xludf.DUMMYFUNCTION("""COMPUTED_VALUE"""),"XD1-MPC-029")</f>
        <v>XD1-MPC-029</v>
      </c>
      <c r="B1821" s="1075" t="str">
        <f>IFERROR(__xludf.DUMMYFUNCTION("""COMPUTED_VALUE"""),"Máy phát cỏ 4 thì")</f>
        <v>Máy phát cỏ 4 thì</v>
      </c>
      <c r="C1821" s="1076" t="str">
        <f>IFERROR(__xludf.DUMMYFUNCTION("""COMPUTED_VALUE"""),"XN Chuối DP1")</f>
        <v>XN Chuối DP1</v>
      </c>
      <c r="D1821" s="1076" t="str">
        <f>IFERROR(__xludf.DUMMYFUNCTION("""COMPUTED_VALUE"""),"HONDA")</f>
        <v>HONDA</v>
      </c>
      <c r="E1821" s="1076" t="str">
        <f>IFERROR(__xludf.DUMMYFUNCTION("""COMPUTED_VALUE"""),"Trung Quốc")</f>
        <v>Trung Quốc</v>
      </c>
      <c r="F1821" s="1076"/>
      <c r="G1821" s="1076" t="str">
        <f>IFERROR(__xludf.DUMMYFUNCTION("""COMPUTED_VALUE"""),"GX35")</f>
        <v>GX35</v>
      </c>
      <c r="H1821" s="1076" t="str">
        <f>IFERROR(__xludf.DUMMYFUNCTION("""COMPUTED_VALUE"""),"1.6HP")</f>
        <v>1.6HP</v>
      </c>
      <c r="I1821" s="1076"/>
      <c r="J1821" s="1076"/>
      <c r="K1821" s="1076">
        <f>IFERROR(__xludf.DUMMYFUNCTION("""COMPUTED_VALUE"""),0.5)</f>
        <v>0.5</v>
      </c>
      <c r="L1821" s="1076" t="str">
        <f>IFERROR(__xludf.DUMMYFUNCTION("""COMPUTED_VALUE"""),"KLH")</f>
        <v>KLH</v>
      </c>
    </row>
    <row r="1822" customHeight="1" spans="1:12">
      <c r="A1822" s="1076" t="str">
        <f>IFERROR(__xludf.DUMMYFUNCTION("""COMPUTED_VALUE"""),"XD1-MPC-030")</f>
        <v>XD1-MPC-030</v>
      </c>
      <c r="B1822" s="1075" t="str">
        <f>IFERROR(__xludf.DUMMYFUNCTION("""COMPUTED_VALUE"""),"Máy phát cỏ 4 thì")</f>
        <v>Máy phát cỏ 4 thì</v>
      </c>
      <c r="C1822" s="1076" t="str">
        <f>IFERROR(__xludf.DUMMYFUNCTION("""COMPUTED_VALUE"""),"XN Chuối DP1")</f>
        <v>XN Chuối DP1</v>
      </c>
      <c r="D1822" s="1076" t="str">
        <f>IFERROR(__xludf.DUMMYFUNCTION("""COMPUTED_VALUE"""),"HONDA")</f>
        <v>HONDA</v>
      </c>
      <c r="E1822" s="1076" t="str">
        <f>IFERROR(__xludf.DUMMYFUNCTION("""COMPUTED_VALUE"""),"Trung Quốc")</f>
        <v>Trung Quốc</v>
      </c>
      <c r="F1822" s="1076"/>
      <c r="G1822" s="1076" t="str">
        <f>IFERROR(__xludf.DUMMYFUNCTION("""COMPUTED_VALUE"""),"GX35")</f>
        <v>GX35</v>
      </c>
      <c r="H1822" s="1076" t="str">
        <f>IFERROR(__xludf.DUMMYFUNCTION("""COMPUTED_VALUE"""),"1.6HP")</f>
        <v>1.6HP</v>
      </c>
      <c r="I1822" s="1076"/>
      <c r="J1822" s="1076"/>
      <c r="K1822" s="1076">
        <f>IFERROR(__xludf.DUMMYFUNCTION("""COMPUTED_VALUE"""),0.5)</f>
        <v>0.5</v>
      </c>
      <c r="L1822" s="1076" t="str">
        <f>IFERROR(__xludf.DUMMYFUNCTION("""COMPUTED_VALUE"""),"KLH")</f>
        <v>KLH</v>
      </c>
    </row>
    <row r="1823" customHeight="1" spans="1:12">
      <c r="A1823" s="1076" t="str">
        <f>IFERROR(__xludf.DUMMYFUNCTION("""COMPUTED_VALUE"""),"XD1-MPC-031")</f>
        <v>XD1-MPC-031</v>
      </c>
      <c r="B1823" s="1075" t="str">
        <f>IFERROR(__xludf.DUMMYFUNCTION("""COMPUTED_VALUE"""),"Máy phát cỏ 4 thì")</f>
        <v>Máy phát cỏ 4 thì</v>
      </c>
      <c r="C1823" s="1076" t="str">
        <f>IFERROR(__xludf.DUMMYFUNCTION("""COMPUTED_VALUE"""),"XN Chuối DP1")</f>
        <v>XN Chuối DP1</v>
      </c>
      <c r="D1823" s="1076" t="str">
        <f>IFERROR(__xludf.DUMMYFUNCTION("""COMPUTED_VALUE"""),"HONDA")</f>
        <v>HONDA</v>
      </c>
      <c r="E1823" s="1076" t="str">
        <f>IFERROR(__xludf.DUMMYFUNCTION("""COMPUTED_VALUE"""),"Trung Quốc")</f>
        <v>Trung Quốc</v>
      </c>
      <c r="F1823" s="1076"/>
      <c r="G1823" s="1076" t="str">
        <f>IFERROR(__xludf.DUMMYFUNCTION("""COMPUTED_VALUE"""),"GX35")</f>
        <v>GX35</v>
      </c>
      <c r="H1823" s="1076" t="str">
        <f>IFERROR(__xludf.DUMMYFUNCTION("""COMPUTED_VALUE"""),"1.6HP")</f>
        <v>1.6HP</v>
      </c>
      <c r="I1823" s="1076"/>
      <c r="J1823" s="1076"/>
      <c r="K1823" s="1076">
        <f>IFERROR(__xludf.DUMMYFUNCTION("""COMPUTED_VALUE"""),0.5)</f>
        <v>0.5</v>
      </c>
      <c r="L1823" s="1076" t="str">
        <f>IFERROR(__xludf.DUMMYFUNCTION("""COMPUTED_VALUE"""),"KLH")</f>
        <v>KLH</v>
      </c>
    </row>
    <row r="1824" customHeight="1" spans="1:12">
      <c r="A1824" s="1076" t="str">
        <f>IFERROR(__xludf.DUMMYFUNCTION("""COMPUTED_VALUE"""),"XD1-MPC-032")</f>
        <v>XD1-MPC-032</v>
      </c>
      <c r="B1824" s="1075" t="str">
        <f>IFERROR(__xludf.DUMMYFUNCTION("""COMPUTED_VALUE"""),"Máy phát cỏ 4 thì")</f>
        <v>Máy phát cỏ 4 thì</v>
      </c>
      <c r="C1824" s="1076" t="str">
        <f>IFERROR(__xludf.DUMMYFUNCTION("""COMPUTED_VALUE"""),"XN Chuối DP1")</f>
        <v>XN Chuối DP1</v>
      </c>
      <c r="D1824" s="1076" t="str">
        <f>IFERROR(__xludf.DUMMYFUNCTION("""COMPUTED_VALUE"""),"HONDA")</f>
        <v>HONDA</v>
      </c>
      <c r="E1824" s="1076" t="str">
        <f>IFERROR(__xludf.DUMMYFUNCTION("""COMPUTED_VALUE"""),"Trung Quốc")</f>
        <v>Trung Quốc</v>
      </c>
      <c r="F1824" s="1076"/>
      <c r="G1824" s="1076" t="str">
        <f>IFERROR(__xludf.DUMMYFUNCTION("""COMPUTED_VALUE"""),"GX35")</f>
        <v>GX35</v>
      </c>
      <c r="H1824" s="1076" t="str">
        <f>IFERROR(__xludf.DUMMYFUNCTION("""COMPUTED_VALUE"""),"1.6HP")</f>
        <v>1.6HP</v>
      </c>
      <c r="I1824" s="1076"/>
      <c r="J1824" s="1076"/>
      <c r="K1824" s="1076">
        <f>IFERROR(__xludf.DUMMYFUNCTION("""COMPUTED_VALUE"""),0.5)</f>
        <v>0.5</v>
      </c>
      <c r="L1824" s="1076" t="str">
        <f>IFERROR(__xludf.DUMMYFUNCTION("""COMPUTED_VALUE"""),"KLH")</f>
        <v>KLH</v>
      </c>
    </row>
    <row r="1825" customHeight="1" spans="1:12">
      <c r="A1825" s="1076" t="str">
        <f>IFERROR(__xludf.DUMMYFUNCTION("""COMPUTED_VALUE"""),"XD1-MPC-033")</f>
        <v>XD1-MPC-033</v>
      </c>
      <c r="B1825" s="1075" t="str">
        <f>IFERROR(__xludf.DUMMYFUNCTION("""COMPUTED_VALUE"""),"Máy phát cỏ 4 thì")</f>
        <v>Máy phát cỏ 4 thì</v>
      </c>
      <c r="C1825" s="1076" t="str">
        <f>IFERROR(__xludf.DUMMYFUNCTION("""COMPUTED_VALUE"""),"XN Chuối DP1")</f>
        <v>XN Chuối DP1</v>
      </c>
      <c r="D1825" s="1076" t="str">
        <f>IFERROR(__xludf.DUMMYFUNCTION("""COMPUTED_VALUE"""),"HONDA")</f>
        <v>HONDA</v>
      </c>
      <c r="E1825" s="1076" t="str">
        <f>IFERROR(__xludf.DUMMYFUNCTION("""COMPUTED_VALUE"""),"Trung Quốc")</f>
        <v>Trung Quốc</v>
      </c>
      <c r="F1825" s="1076"/>
      <c r="G1825" s="1076" t="str">
        <f>IFERROR(__xludf.DUMMYFUNCTION("""COMPUTED_VALUE"""),"GX35")</f>
        <v>GX35</v>
      </c>
      <c r="H1825" s="1076" t="str">
        <f>IFERROR(__xludf.DUMMYFUNCTION("""COMPUTED_VALUE"""),"1.6HP")</f>
        <v>1.6HP</v>
      </c>
      <c r="I1825" s="1076"/>
      <c r="J1825" s="1076"/>
      <c r="K1825" s="1076">
        <f>IFERROR(__xludf.DUMMYFUNCTION("""COMPUTED_VALUE"""),0.5)</f>
        <v>0.5</v>
      </c>
      <c r="L1825" s="1076" t="str">
        <f>IFERROR(__xludf.DUMMYFUNCTION("""COMPUTED_VALUE"""),"KLH")</f>
        <v>KLH</v>
      </c>
    </row>
    <row r="1826" customHeight="1" spans="1:12">
      <c r="A1826" s="1076" t="str">
        <f>IFERROR(__xludf.DUMMYFUNCTION("""COMPUTED_VALUE"""),"XD1-MPC-034")</f>
        <v>XD1-MPC-034</v>
      </c>
      <c r="B1826" s="1075" t="str">
        <f>IFERROR(__xludf.DUMMYFUNCTION("""COMPUTED_VALUE"""),"Máy phát cỏ 4 thì")</f>
        <v>Máy phát cỏ 4 thì</v>
      </c>
      <c r="C1826" s="1076" t="str">
        <f>IFERROR(__xludf.DUMMYFUNCTION("""COMPUTED_VALUE"""),"XN Chuối DP1")</f>
        <v>XN Chuối DP1</v>
      </c>
      <c r="D1826" s="1076" t="str">
        <f>IFERROR(__xludf.DUMMYFUNCTION("""COMPUTED_VALUE"""),"HONDA")</f>
        <v>HONDA</v>
      </c>
      <c r="E1826" s="1076" t="str">
        <f>IFERROR(__xludf.DUMMYFUNCTION("""COMPUTED_VALUE"""),"Trung Quốc")</f>
        <v>Trung Quốc</v>
      </c>
      <c r="F1826" s="1076"/>
      <c r="G1826" s="1076" t="str">
        <f>IFERROR(__xludf.DUMMYFUNCTION("""COMPUTED_VALUE"""),"GX35")</f>
        <v>GX35</v>
      </c>
      <c r="H1826" s="1076" t="str">
        <f>IFERROR(__xludf.DUMMYFUNCTION("""COMPUTED_VALUE"""),"1.6HP")</f>
        <v>1.6HP</v>
      </c>
      <c r="I1826" s="1076"/>
      <c r="J1826" s="1076"/>
      <c r="K1826" s="1076">
        <f>IFERROR(__xludf.DUMMYFUNCTION("""COMPUTED_VALUE"""),0.5)</f>
        <v>0.5</v>
      </c>
      <c r="L1826" s="1076" t="str">
        <f>IFERROR(__xludf.DUMMYFUNCTION("""COMPUTED_VALUE"""),"KLH")</f>
        <v>KLH</v>
      </c>
    </row>
    <row r="1827" customHeight="1" spans="1:12">
      <c r="A1827" s="1076" t="str">
        <f>IFERROR(__xludf.DUMMYFUNCTION("""COMPUTED_VALUE"""),"XD1-MPC-035")</f>
        <v>XD1-MPC-035</v>
      </c>
      <c r="B1827" s="1075" t="str">
        <f>IFERROR(__xludf.DUMMYFUNCTION("""COMPUTED_VALUE"""),"Máy phát cỏ 4 thì")</f>
        <v>Máy phát cỏ 4 thì</v>
      </c>
      <c r="C1827" s="1076" t="str">
        <f>IFERROR(__xludf.DUMMYFUNCTION("""COMPUTED_VALUE"""),"XN Chuối DP1")</f>
        <v>XN Chuối DP1</v>
      </c>
      <c r="D1827" s="1076" t="str">
        <f>IFERROR(__xludf.DUMMYFUNCTION("""COMPUTED_VALUE"""),"HONDA")</f>
        <v>HONDA</v>
      </c>
      <c r="E1827" s="1076" t="str">
        <f>IFERROR(__xludf.DUMMYFUNCTION("""COMPUTED_VALUE"""),"Trung Quốc")</f>
        <v>Trung Quốc</v>
      </c>
      <c r="F1827" s="1076"/>
      <c r="G1827" s="1076" t="str">
        <f>IFERROR(__xludf.DUMMYFUNCTION("""COMPUTED_VALUE"""),"GX35")</f>
        <v>GX35</v>
      </c>
      <c r="H1827" s="1076" t="str">
        <f>IFERROR(__xludf.DUMMYFUNCTION("""COMPUTED_VALUE"""),"1.6HP")</f>
        <v>1.6HP</v>
      </c>
      <c r="I1827" s="1076"/>
      <c r="J1827" s="1076"/>
      <c r="K1827" s="1076">
        <f>IFERROR(__xludf.DUMMYFUNCTION("""COMPUTED_VALUE"""),0.5)</f>
        <v>0.5</v>
      </c>
      <c r="L1827" s="1076" t="str">
        <f>IFERROR(__xludf.DUMMYFUNCTION("""COMPUTED_VALUE"""),"KLH")</f>
        <v>KLH</v>
      </c>
    </row>
    <row r="1828" customHeight="1" spans="1:12">
      <c r="A1828" s="1076" t="str">
        <f>IFERROR(__xludf.DUMMYFUNCTION("""COMPUTED_VALUE"""),"XD1-MPC-036")</f>
        <v>XD1-MPC-036</v>
      </c>
      <c r="B1828" s="1075" t="str">
        <f>IFERROR(__xludf.DUMMYFUNCTION("""COMPUTED_VALUE"""),"Máy phát cỏ 4 thì")</f>
        <v>Máy phát cỏ 4 thì</v>
      </c>
      <c r="C1828" s="1076" t="str">
        <f>IFERROR(__xludf.DUMMYFUNCTION("""COMPUTED_VALUE"""),"XN Chuối DP1")</f>
        <v>XN Chuối DP1</v>
      </c>
      <c r="D1828" s="1076" t="str">
        <f>IFERROR(__xludf.DUMMYFUNCTION("""COMPUTED_VALUE"""),"HONDA")</f>
        <v>HONDA</v>
      </c>
      <c r="E1828" s="1076" t="str">
        <f>IFERROR(__xludf.DUMMYFUNCTION("""COMPUTED_VALUE"""),"Trung Quốc")</f>
        <v>Trung Quốc</v>
      </c>
      <c r="F1828" s="1076"/>
      <c r="G1828" s="1076" t="str">
        <f>IFERROR(__xludf.DUMMYFUNCTION("""COMPUTED_VALUE"""),"GX35")</f>
        <v>GX35</v>
      </c>
      <c r="H1828" s="1076" t="str">
        <f>IFERROR(__xludf.DUMMYFUNCTION("""COMPUTED_VALUE"""),"1.6HP")</f>
        <v>1.6HP</v>
      </c>
      <c r="I1828" s="1076"/>
      <c r="J1828" s="1076"/>
      <c r="K1828" s="1076">
        <f>IFERROR(__xludf.DUMMYFUNCTION("""COMPUTED_VALUE"""),0.5)</f>
        <v>0.5</v>
      </c>
      <c r="L1828" s="1076" t="str">
        <f>IFERROR(__xludf.DUMMYFUNCTION("""COMPUTED_VALUE"""),"KLH")</f>
        <v>KLH</v>
      </c>
    </row>
    <row r="1829" customHeight="1" spans="1:12">
      <c r="A1829" s="1076" t="str">
        <f>IFERROR(__xludf.DUMMYFUNCTION("""COMPUTED_VALUE"""),"XD1-MPC-037")</f>
        <v>XD1-MPC-037</v>
      </c>
      <c r="B1829" s="1075" t="str">
        <f>IFERROR(__xludf.DUMMYFUNCTION("""COMPUTED_VALUE"""),"Máy phát cỏ 4 thì")</f>
        <v>Máy phát cỏ 4 thì</v>
      </c>
      <c r="C1829" s="1076" t="str">
        <f>IFERROR(__xludf.DUMMYFUNCTION("""COMPUTED_VALUE"""),"XN Chuối DP1")</f>
        <v>XN Chuối DP1</v>
      </c>
      <c r="D1829" s="1076" t="str">
        <f>IFERROR(__xludf.DUMMYFUNCTION("""COMPUTED_VALUE"""),"HONDA")</f>
        <v>HONDA</v>
      </c>
      <c r="E1829" s="1076" t="str">
        <f>IFERROR(__xludf.DUMMYFUNCTION("""COMPUTED_VALUE"""),"Trung Quốc")</f>
        <v>Trung Quốc</v>
      </c>
      <c r="F1829" s="1076"/>
      <c r="G1829" s="1076" t="str">
        <f>IFERROR(__xludf.DUMMYFUNCTION("""COMPUTED_VALUE"""),"GX35")</f>
        <v>GX35</v>
      </c>
      <c r="H1829" s="1076" t="str">
        <f>IFERROR(__xludf.DUMMYFUNCTION("""COMPUTED_VALUE"""),"1.6HP")</f>
        <v>1.6HP</v>
      </c>
      <c r="I1829" s="1076"/>
      <c r="J1829" s="1076"/>
      <c r="K1829" s="1076">
        <f>IFERROR(__xludf.DUMMYFUNCTION("""COMPUTED_VALUE"""),0.5)</f>
        <v>0.5</v>
      </c>
      <c r="L1829" s="1076" t="str">
        <f>IFERROR(__xludf.DUMMYFUNCTION("""COMPUTED_VALUE"""),"KLH")</f>
        <v>KLH</v>
      </c>
    </row>
    <row r="1830" customHeight="1" spans="1:12">
      <c r="A1830" s="1076" t="str">
        <f>IFERROR(__xludf.DUMMYFUNCTION("""COMPUTED_VALUE"""),"XD1-MPC-038")</f>
        <v>XD1-MPC-038</v>
      </c>
      <c r="B1830" s="1075" t="str">
        <f>IFERROR(__xludf.DUMMYFUNCTION("""COMPUTED_VALUE"""),"Máy phát cỏ 2 thì")</f>
        <v>Máy phát cỏ 2 thì</v>
      </c>
      <c r="C1830" s="1076" t="str">
        <f>IFERROR(__xludf.DUMMYFUNCTION("""COMPUTED_VALUE"""),"XN Chuối DP1")</f>
        <v>XN Chuối DP1</v>
      </c>
      <c r="D1830" s="1076" t="str">
        <f>IFERROR(__xludf.DUMMYFUNCTION("""COMPUTED_VALUE"""),"MARRATA")</f>
        <v>MARRATA</v>
      </c>
      <c r="E1830" s="1076"/>
      <c r="F1830" s="1076"/>
      <c r="G1830" s="1076" t="str">
        <f>IFERROR(__xludf.DUMMYFUNCTION("""COMPUTED_VALUE"""),"CG411")</f>
        <v>CG411</v>
      </c>
      <c r="H1830" s="1076" t="str">
        <f>IFERROR(__xludf.DUMMYFUNCTION("""COMPUTED_VALUE"""),"1.8HP")</f>
        <v>1.8HP</v>
      </c>
      <c r="I1830" s="1076"/>
      <c r="J1830" s="1076"/>
      <c r="K1830" s="1076">
        <f>IFERROR(__xludf.DUMMYFUNCTION("""COMPUTED_VALUE"""),1)</f>
        <v>1</v>
      </c>
      <c r="L1830" s="1076" t="str">
        <f>IFERROR(__xludf.DUMMYFUNCTION("""COMPUTED_VALUE"""),"KLH")</f>
        <v>KLH</v>
      </c>
    </row>
    <row r="1831" customHeight="1" spans="1:12">
      <c r="A1831" s="1076" t="str">
        <f>IFERROR(__xludf.DUMMYFUNCTION("""COMPUTED_VALUE"""),"XD1-MPC-039")</f>
        <v>XD1-MPC-039</v>
      </c>
      <c r="B1831" s="1075" t="str">
        <f>IFERROR(__xludf.DUMMYFUNCTION("""COMPUTED_VALUE"""),"Máy phát cỏ 2 thì")</f>
        <v>Máy phát cỏ 2 thì</v>
      </c>
      <c r="C1831" s="1076" t="str">
        <f>IFERROR(__xludf.DUMMYFUNCTION("""COMPUTED_VALUE"""),"XN Chuối DP1")</f>
        <v>XN Chuối DP1</v>
      </c>
      <c r="D1831" s="1076" t="str">
        <f>IFERROR(__xludf.DUMMYFUNCTION("""COMPUTED_VALUE"""),"MARRATA")</f>
        <v>MARRATA</v>
      </c>
      <c r="E1831" s="1076"/>
      <c r="F1831" s="1076"/>
      <c r="G1831" s="1076" t="str">
        <f>IFERROR(__xludf.DUMMYFUNCTION("""COMPUTED_VALUE"""),"CG411")</f>
        <v>CG411</v>
      </c>
      <c r="H1831" s="1076" t="str">
        <f>IFERROR(__xludf.DUMMYFUNCTION("""COMPUTED_VALUE"""),"1.8HP")</f>
        <v>1.8HP</v>
      </c>
      <c r="I1831" s="1076"/>
      <c r="J1831" s="1076"/>
      <c r="K1831" s="1076">
        <f>IFERROR(__xludf.DUMMYFUNCTION("""COMPUTED_VALUE"""),1)</f>
        <v>1</v>
      </c>
      <c r="L1831" s="1076" t="str">
        <f>IFERROR(__xludf.DUMMYFUNCTION("""COMPUTED_VALUE"""),"KLH")</f>
        <v>KLH</v>
      </c>
    </row>
    <row r="1832" customHeight="1" spans="1:12">
      <c r="A1832" s="1076" t="str">
        <f>IFERROR(__xludf.DUMMYFUNCTION("""COMPUTED_VALUE"""),"XD1-MPC-040")</f>
        <v>XD1-MPC-040</v>
      </c>
      <c r="B1832" s="1075" t="str">
        <f>IFERROR(__xludf.DUMMYFUNCTION("""COMPUTED_VALUE"""),"Máy phát cỏ 2 thì")</f>
        <v>Máy phát cỏ 2 thì</v>
      </c>
      <c r="C1832" s="1076" t="str">
        <f>IFERROR(__xludf.DUMMYFUNCTION("""COMPUTED_VALUE"""),"XN Chuối DP1")</f>
        <v>XN Chuối DP1</v>
      </c>
      <c r="D1832" s="1076" t="str">
        <f>IFERROR(__xludf.DUMMYFUNCTION("""COMPUTED_VALUE"""),"MARRATA")</f>
        <v>MARRATA</v>
      </c>
      <c r="E1832" s="1076"/>
      <c r="F1832" s="1076"/>
      <c r="G1832" s="1076" t="str">
        <f>IFERROR(__xludf.DUMMYFUNCTION("""COMPUTED_VALUE"""),"CG411")</f>
        <v>CG411</v>
      </c>
      <c r="H1832" s="1076" t="str">
        <f>IFERROR(__xludf.DUMMYFUNCTION("""COMPUTED_VALUE"""),"1.8HP")</f>
        <v>1.8HP</v>
      </c>
      <c r="I1832" s="1076"/>
      <c r="J1832" s="1076"/>
      <c r="K1832" s="1076">
        <f>IFERROR(__xludf.DUMMYFUNCTION("""COMPUTED_VALUE"""),1)</f>
        <v>1</v>
      </c>
      <c r="L1832" s="1076" t="str">
        <f>IFERROR(__xludf.DUMMYFUNCTION("""COMPUTED_VALUE"""),"KLH")</f>
        <v>KLH</v>
      </c>
    </row>
    <row r="1833" customHeight="1" spans="1:12">
      <c r="A1833" s="1076" t="str">
        <f>IFERROR(__xludf.DUMMYFUNCTION("""COMPUTED_VALUE"""),"XD1-MPC-041")</f>
        <v>XD1-MPC-041</v>
      </c>
      <c r="B1833" s="1075" t="str">
        <f>IFERROR(__xludf.DUMMYFUNCTION("""COMPUTED_VALUE"""),"Máy phát cỏ 2 thì")</f>
        <v>Máy phát cỏ 2 thì</v>
      </c>
      <c r="C1833" s="1076" t="str">
        <f>IFERROR(__xludf.DUMMYFUNCTION("""COMPUTED_VALUE"""),"XN Chuối DP1")</f>
        <v>XN Chuối DP1</v>
      </c>
      <c r="D1833" s="1076" t="str">
        <f>IFERROR(__xludf.DUMMYFUNCTION("""COMPUTED_VALUE"""),"MARRATA")</f>
        <v>MARRATA</v>
      </c>
      <c r="E1833" s="1076"/>
      <c r="F1833" s="1076"/>
      <c r="G1833" s="1076" t="str">
        <f>IFERROR(__xludf.DUMMYFUNCTION("""COMPUTED_VALUE"""),"CG411")</f>
        <v>CG411</v>
      </c>
      <c r="H1833" s="1076" t="str">
        <f>IFERROR(__xludf.DUMMYFUNCTION("""COMPUTED_VALUE"""),"1.8HP")</f>
        <v>1.8HP</v>
      </c>
      <c r="I1833" s="1076"/>
      <c r="J1833" s="1076"/>
      <c r="K1833" s="1076">
        <f>IFERROR(__xludf.DUMMYFUNCTION("""COMPUTED_VALUE"""),1)</f>
        <v>1</v>
      </c>
      <c r="L1833" s="1076" t="str">
        <f>IFERROR(__xludf.DUMMYFUNCTION("""COMPUTED_VALUE"""),"KLH")</f>
        <v>KLH</v>
      </c>
    </row>
    <row r="1834" customHeight="1" spans="1:12">
      <c r="A1834" s="1076" t="str">
        <f>IFERROR(__xludf.DUMMYFUNCTION("""COMPUTED_VALUE"""),"XD1-MPC-042")</f>
        <v>XD1-MPC-042</v>
      </c>
      <c r="B1834" s="1075" t="str">
        <f>IFERROR(__xludf.DUMMYFUNCTION("""COMPUTED_VALUE"""),"Máy phát cỏ 2 thì")</f>
        <v>Máy phát cỏ 2 thì</v>
      </c>
      <c r="C1834" s="1076" t="str">
        <f>IFERROR(__xludf.DUMMYFUNCTION("""COMPUTED_VALUE"""),"XN Chuối DP1")</f>
        <v>XN Chuối DP1</v>
      </c>
      <c r="D1834" s="1076" t="str">
        <f>IFERROR(__xludf.DUMMYFUNCTION("""COMPUTED_VALUE"""),"MARRATA")</f>
        <v>MARRATA</v>
      </c>
      <c r="E1834" s="1076"/>
      <c r="F1834" s="1076"/>
      <c r="G1834" s="1076" t="str">
        <f>IFERROR(__xludf.DUMMYFUNCTION("""COMPUTED_VALUE"""),"CG411")</f>
        <v>CG411</v>
      </c>
      <c r="H1834" s="1076" t="str">
        <f>IFERROR(__xludf.DUMMYFUNCTION("""COMPUTED_VALUE"""),"1.8HP")</f>
        <v>1.8HP</v>
      </c>
      <c r="I1834" s="1076"/>
      <c r="J1834" s="1076"/>
      <c r="K1834" s="1076">
        <f>IFERROR(__xludf.DUMMYFUNCTION("""COMPUTED_VALUE"""),1)</f>
        <v>1</v>
      </c>
      <c r="L1834" s="1076" t="str">
        <f>IFERROR(__xludf.DUMMYFUNCTION("""COMPUTED_VALUE"""),"KLH")</f>
        <v>KLH</v>
      </c>
    </row>
    <row r="1835" customHeight="1" spans="1:12">
      <c r="A1835" s="1076" t="str">
        <f>IFERROR(__xludf.DUMMYFUNCTION("""COMPUTED_VALUE"""),"XD1-MPC-043")</f>
        <v>XD1-MPC-043</v>
      </c>
      <c r="B1835" s="1075" t="str">
        <f>IFERROR(__xludf.DUMMYFUNCTION("""COMPUTED_VALUE"""),"Máy phát cỏ 2 thì")</f>
        <v>Máy phát cỏ 2 thì</v>
      </c>
      <c r="C1835" s="1076" t="str">
        <f>IFERROR(__xludf.DUMMYFUNCTION("""COMPUTED_VALUE"""),"XN Chuối DP1")</f>
        <v>XN Chuối DP1</v>
      </c>
      <c r="D1835" s="1076" t="str">
        <f>IFERROR(__xludf.DUMMYFUNCTION("""COMPUTED_VALUE"""),"MARRATA")</f>
        <v>MARRATA</v>
      </c>
      <c r="E1835" s="1076"/>
      <c r="F1835" s="1076"/>
      <c r="G1835" s="1076" t="str">
        <f>IFERROR(__xludf.DUMMYFUNCTION("""COMPUTED_VALUE"""),"CG411")</f>
        <v>CG411</v>
      </c>
      <c r="H1835" s="1076" t="str">
        <f>IFERROR(__xludf.DUMMYFUNCTION("""COMPUTED_VALUE"""),"1.8HP")</f>
        <v>1.8HP</v>
      </c>
      <c r="I1835" s="1076"/>
      <c r="J1835" s="1076"/>
      <c r="K1835" s="1076">
        <f>IFERROR(__xludf.DUMMYFUNCTION("""COMPUTED_VALUE"""),1)</f>
        <v>1</v>
      </c>
      <c r="L1835" s="1076" t="str">
        <f>IFERROR(__xludf.DUMMYFUNCTION("""COMPUTED_VALUE"""),"KLH")</f>
        <v>KLH</v>
      </c>
    </row>
    <row r="1836" customHeight="1" spans="1:12">
      <c r="A1836" s="1076" t="str">
        <f>IFERROR(__xludf.DUMMYFUNCTION("""COMPUTED_VALUE"""),"XD1-MPC-044")</f>
        <v>XD1-MPC-044</v>
      </c>
      <c r="B1836" s="1075" t="str">
        <f>IFERROR(__xludf.DUMMYFUNCTION("""COMPUTED_VALUE"""),"Máy phát cỏ 2 thì")</f>
        <v>Máy phát cỏ 2 thì</v>
      </c>
      <c r="C1836" s="1076" t="str">
        <f>IFERROR(__xludf.DUMMYFUNCTION("""COMPUTED_VALUE"""),"XN Chuối DP1")</f>
        <v>XN Chuối DP1</v>
      </c>
      <c r="D1836" s="1076" t="str">
        <f>IFERROR(__xludf.DUMMYFUNCTION("""COMPUTED_VALUE"""),"MARRATA")</f>
        <v>MARRATA</v>
      </c>
      <c r="E1836" s="1076"/>
      <c r="F1836" s="1076"/>
      <c r="G1836" s="1076" t="str">
        <f>IFERROR(__xludf.DUMMYFUNCTION("""COMPUTED_VALUE"""),"CG411")</f>
        <v>CG411</v>
      </c>
      <c r="H1836" s="1076" t="str">
        <f>IFERROR(__xludf.DUMMYFUNCTION("""COMPUTED_VALUE"""),"1.8HP")</f>
        <v>1.8HP</v>
      </c>
      <c r="I1836" s="1076"/>
      <c r="J1836" s="1076"/>
      <c r="K1836" s="1076">
        <f>IFERROR(__xludf.DUMMYFUNCTION("""COMPUTED_VALUE"""),1)</f>
        <v>1</v>
      </c>
      <c r="L1836" s="1076" t="str">
        <f>IFERROR(__xludf.DUMMYFUNCTION("""COMPUTED_VALUE"""),"KLH")</f>
        <v>KLH</v>
      </c>
    </row>
    <row r="1837" customHeight="1" spans="1:12">
      <c r="A1837" s="1076" t="str">
        <f>IFERROR(__xludf.DUMMYFUNCTION("""COMPUTED_VALUE"""),"XD1-MPC-045")</f>
        <v>XD1-MPC-045</v>
      </c>
      <c r="B1837" s="1075" t="str">
        <f>IFERROR(__xludf.DUMMYFUNCTION("""COMPUTED_VALUE"""),"Máy phát cỏ 2 thì")</f>
        <v>Máy phát cỏ 2 thì</v>
      </c>
      <c r="C1837" s="1076" t="str">
        <f>IFERROR(__xludf.DUMMYFUNCTION("""COMPUTED_VALUE"""),"XN Chuối DP1")</f>
        <v>XN Chuối DP1</v>
      </c>
      <c r="D1837" s="1076" t="str">
        <f>IFERROR(__xludf.DUMMYFUNCTION("""COMPUTED_VALUE"""),"MARRATA")</f>
        <v>MARRATA</v>
      </c>
      <c r="E1837" s="1076"/>
      <c r="F1837" s="1076"/>
      <c r="G1837" s="1076" t="str">
        <f>IFERROR(__xludf.DUMMYFUNCTION("""COMPUTED_VALUE"""),"CG411")</f>
        <v>CG411</v>
      </c>
      <c r="H1837" s="1076" t="str">
        <f>IFERROR(__xludf.DUMMYFUNCTION("""COMPUTED_VALUE"""),"1.8HP")</f>
        <v>1.8HP</v>
      </c>
      <c r="I1837" s="1076"/>
      <c r="J1837" s="1076"/>
      <c r="K1837" s="1076">
        <f>IFERROR(__xludf.DUMMYFUNCTION("""COMPUTED_VALUE"""),1)</f>
        <v>1</v>
      </c>
      <c r="L1837" s="1076" t="str">
        <f>IFERROR(__xludf.DUMMYFUNCTION("""COMPUTED_VALUE"""),"KLH")</f>
        <v>KLH</v>
      </c>
    </row>
    <row r="1838" customHeight="1" spans="1:12">
      <c r="A1838" s="1076" t="str">
        <f>IFERROR(__xludf.DUMMYFUNCTION("""COMPUTED_VALUE"""),"XD1-MPC-046")</f>
        <v>XD1-MPC-046</v>
      </c>
      <c r="B1838" s="1075" t="str">
        <f>IFERROR(__xludf.DUMMYFUNCTION("""COMPUTED_VALUE"""),"Máy phát cỏ 2 thì")</f>
        <v>Máy phát cỏ 2 thì</v>
      </c>
      <c r="C1838" s="1076" t="str">
        <f>IFERROR(__xludf.DUMMYFUNCTION("""COMPUTED_VALUE"""),"XN Chuối DP1")</f>
        <v>XN Chuối DP1</v>
      </c>
      <c r="D1838" s="1076" t="str">
        <f>IFERROR(__xludf.DUMMYFUNCTION("""COMPUTED_VALUE"""),"MARRATA")</f>
        <v>MARRATA</v>
      </c>
      <c r="E1838" s="1076"/>
      <c r="F1838" s="1076"/>
      <c r="G1838" s="1076" t="str">
        <f>IFERROR(__xludf.DUMMYFUNCTION("""COMPUTED_VALUE"""),"CG411")</f>
        <v>CG411</v>
      </c>
      <c r="H1838" s="1076" t="str">
        <f>IFERROR(__xludf.DUMMYFUNCTION("""COMPUTED_VALUE"""),"1.8HP")</f>
        <v>1.8HP</v>
      </c>
      <c r="I1838" s="1076"/>
      <c r="J1838" s="1076"/>
      <c r="K1838" s="1076">
        <f>IFERROR(__xludf.DUMMYFUNCTION("""COMPUTED_VALUE"""),1)</f>
        <v>1</v>
      </c>
      <c r="L1838" s="1076" t="str">
        <f>IFERROR(__xludf.DUMMYFUNCTION("""COMPUTED_VALUE"""),"KLH")</f>
        <v>KLH</v>
      </c>
    </row>
    <row r="1839" customHeight="1" spans="1:12">
      <c r="A1839" s="1076" t="str">
        <f>IFERROR(__xludf.DUMMYFUNCTION("""COMPUTED_VALUE"""),"XD1-MPC-047")</f>
        <v>XD1-MPC-047</v>
      </c>
      <c r="B1839" s="1075" t="str">
        <f>IFERROR(__xludf.DUMMYFUNCTION("""COMPUTED_VALUE"""),"Máy phát cỏ 2 thì")</f>
        <v>Máy phát cỏ 2 thì</v>
      </c>
      <c r="C1839" s="1076" t="str">
        <f>IFERROR(__xludf.DUMMYFUNCTION("""COMPUTED_VALUE"""),"XN Chuối DP1")</f>
        <v>XN Chuối DP1</v>
      </c>
      <c r="D1839" s="1076" t="str">
        <f>IFERROR(__xludf.DUMMYFUNCTION("""COMPUTED_VALUE"""),"MARRATA")</f>
        <v>MARRATA</v>
      </c>
      <c r="E1839" s="1076"/>
      <c r="F1839" s="1076"/>
      <c r="G1839" s="1076" t="str">
        <f>IFERROR(__xludf.DUMMYFUNCTION("""COMPUTED_VALUE"""),"CG411")</f>
        <v>CG411</v>
      </c>
      <c r="H1839" s="1076" t="str">
        <f>IFERROR(__xludf.DUMMYFUNCTION("""COMPUTED_VALUE"""),"1.8HP")</f>
        <v>1.8HP</v>
      </c>
      <c r="I1839" s="1076"/>
      <c r="J1839" s="1076"/>
      <c r="K1839" s="1076">
        <f>IFERROR(__xludf.DUMMYFUNCTION("""COMPUTED_VALUE"""),1)</f>
        <v>1</v>
      </c>
      <c r="L1839" s="1076" t="str">
        <f>IFERROR(__xludf.DUMMYFUNCTION("""COMPUTED_VALUE"""),"KLH")</f>
        <v>KLH</v>
      </c>
    </row>
    <row r="1840" customHeight="1" spans="1:12">
      <c r="A1840" s="1076" t="str">
        <f>IFERROR(__xludf.DUMMYFUNCTION("""COMPUTED_VALUE"""),"XD1-MPC-048")</f>
        <v>XD1-MPC-048</v>
      </c>
      <c r="B1840" s="1075" t="str">
        <f>IFERROR(__xludf.DUMMYFUNCTION("""COMPUTED_VALUE"""),"Máy phát cỏ 2 thì")</f>
        <v>Máy phát cỏ 2 thì</v>
      </c>
      <c r="C1840" s="1076" t="str">
        <f>IFERROR(__xludf.DUMMYFUNCTION("""COMPUTED_VALUE"""),"XN Chuối DP1")</f>
        <v>XN Chuối DP1</v>
      </c>
      <c r="D1840" s="1076" t="str">
        <f>IFERROR(__xludf.DUMMYFUNCTION("""COMPUTED_VALUE"""),"MARRATA")</f>
        <v>MARRATA</v>
      </c>
      <c r="E1840" s="1076"/>
      <c r="F1840" s="1076"/>
      <c r="G1840" s="1076" t="str">
        <f>IFERROR(__xludf.DUMMYFUNCTION("""COMPUTED_VALUE"""),"CG411")</f>
        <v>CG411</v>
      </c>
      <c r="H1840" s="1076" t="str">
        <f>IFERROR(__xludf.DUMMYFUNCTION("""COMPUTED_VALUE"""),"1.8HP")</f>
        <v>1.8HP</v>
      </c>
      <c r="I1840" s="1076"/>
      <c r="J1840" s="1076"/>
      <c r="K1840" s="1076">
        <f>IFERROR(__xludf.DUMMYFUNCTION("""COMPUTED_VALUE"""),1)</f>
        <v>1</v>
      </c>
      <c r="L1840" s="1076" t="str">
        <f>IFERROR(__xludf.DUMMYFUNCTION("""COMPUTED_VALUE"""),"KLH")</f>
        <v>KLH</v>
      </c>
    </row>
    <row r="1841" customHeight="1" spans="1:12">
      <c r="A1841" s="1076" t="str">
        <f>IFERROR(__xludf.DUMMYFUNCTION("""COMPUTED_VALUE"""),"XD1-MPC-049")</f>
        <v>XD1-MPC-049</v>
      </c>
      <c r="B1841" s="1075" t="str">
        <f>IFERROR(__xludf.DUMMYFUNCTION("""COMPUTED_VALUE"""),"Máy phát cỏ 2 thì")</f>
        <v>Máy phát cỏ 2 thì</v>
      </c>
      <c r="C1841" s="1076" t="str">
        <f>IFERROR(__xludf.DUMMYFUNCTION("""COMPUTED_VALUE"""),"XN Chuối DP1")</f>
        <v>XN Chuối DP1</v>
      </c>
      <c r="D1841" s="1076" t="str">
        <f>IFERROR(__xludf.DUMMYFUNCTION("""COMPUTED_VALUE"""),"MARRATA")</f>
        <v>MARRATA</v>
      </c>
      <c r="E1841" s="1076"/>
      <c r="F1841" s="1076"/>
      <c r="G1841" s="1076" t="str">
        <f>IFERROR(__xludf.DUMMYFUNCTION("""COMPUTED_VALUE"""),"CG411")</f>
        <v>CG411</v>
      </c>
      <c r="H1841" s="1076" t="str">
        <f>IFERROR(__xludf.DUMMYFUNCTION("""COMPUTED_VALUE"""),"1.8HP")</f>
        <v>1.8HP</v>
      </c>
      <c r="I1841" s="1076"/>
      <c r="J1841" s="1076"/>
      <c r="K1841" s="1076">
        <f>IFERROR(__xludf.DUMMYFUNCTION("""COMPUTED_VALUE"""),1)</f>
        <v>1</v>
      </c>
      <c r="L1841" s="1076" t="str">
        <f>IFERROR(__xludf.DUMMYFUNCTION("""COMPUTED_VALUE"""),"KLH")</f>
        <v>KLH</v>
      </c>
    </row>
    <row r="1842" customHeight="1" spans="1:12">
      <c r="A1842" s="1076" t="str">
        <f>IFERROR(__xludf.DUMMYFUNCTION("""COMPUTED_VALUE"""),"XD1-MPC-050")</f>
        <v>XD1-MPC-050</v>
      </c>
      <c r="B1842" s="1075" t="str">
        <f>IFERROR(__xludf.DUMMYFUNCTION("""COMPUTED_VALUE"""),"Máy phát cỏ 2 thì")</f>
        <v>Máy phát cỏ 2 thì</v>
      </c>
      <c r="C1842" s="1076" t="str">
        <f>IFERROR(__xludf.DUMMYFUNCTION("""COMPUTED_VALUE"""),"XN Chuối DP1")</f>
        <v>XN Chuối DP1</v>
      </c>
      <c r="D1842" s="1076" t="str">
        <f>IFERROR(__xludf.DUMMYFUNCTION("""COMPUTED_VALUE"""),"MARRATA")</f>
        <v>MARRATA</v>
      </c>
      <c r="E1842" s="1076"/>
      <c r="F1842" s="1076"/>
      <c r="G1842" s="1076" t="str">
        <f>IFERROR(__xludf.DUMMYFUNCTION("""COMPUTED_VALUE"""),"CG411")</f>
        <v>CG411</v>
      </c>
      <c r="H1842" s="1076" t="str">
        <f>IFERROR(__xludf.DUMMYFUNCTION("""COMPUTED_VALUE"""),"1.8HP")</f>
        <v>1.8HP</v>
      </c>
      <c r="I1842" s="1076"/>
      <c r="J1842" s="1076"/>
      <c r="K1842" s="1076">
        <f>IFERROR(__xludf.DUMMYFUNCTION("""COMPUTED_VALUE"""),1)</f>
        <v>1</v>
      </c>
      <c r="L1842" s="1076" t="str">
        <f>IFERROR(__xludf.DUMMYFUNCTION("""COMPUTED_VALUE"""),"KLH")</f>
        <v>KLH</v>
      </c>
    </row>
    <row r="1843" customHeight="1" spans="1:12">
      <c r="A1843" s="1076" t="str">
        <f>IFERROR(__xludf.DUMMYFUNCTION("""COMPUTED_VALUE"""),"XD1-MPC-051")</f>
        <v>XD1-MPC-051</v>
      </c>
      <c r="B1843" s="1075" t="str">
        <f>IFERROR(__xludf.DUMMYFUNCTION("""COMPUTED_VALUE"""),"Máy phát cỏ 2 thì")</f>
        <v>Máy phát cỏ 2 thì</v>
      </c>
      <c r="C1843" s="1076" t="str">
        <f>IFERROR(__xludf.DUMMYFUNCTION("""COMPUTED_VALUE"""),"XN Chuối DP1")</f>
        <v>XN Chuối DP1</v>
      </c>
      <c r="D1843" s="1076" t="str">
        <f>IFERROR(__xludf.DUMMYFUNCTION("""COMPUTED_VALUE"""),"MARRATA")</f>
        <v>MARRATA</v>
      </c>
      <c r="E1843" s="1076"/>
      <c r="F1843" s="1076"/>
      <c r="G1843" s="1076" t="str">
        <f>IFERROR(__xludf.DUMMYFUNCTION("""COMPUTED_VALUE"""),"CG411")</f>
        <v>CG411</v>
      </c>
      <c r="H1843" s="1076" t="str">
        <f>IFERROR(__xludf.DUMMYFUNCTION("""COMPUTED_VALUE"""),"1.8HP")</f>
        <v>1.8HP</v>
      </c>
      <c r="I1843" s="1076"/>
      <c r="J1843" s="1076"/>
      <c r="K1843" s="1076">
        <f>IFERROR(__xludf.DUMMYFUNCTION("""COMPUTED_VALUE"""),1)</f>
        <v>1</v>
      </c>
      <c r="L1843" s="1076" t="str">
        <f>IFERROR(__xludf.DUMMYFUNCTION("""COMPUTED_VALUE"""),"KLH")</f>
        <v>KLH</v>
      </c>
    </row>
    <row r="1844" customHeight="1" spans="1:12">
      <c r="A1844" s="1076" t="str">
        <f>IFERROR(__xludf.DUMMYFUNCTION("""COMPUTED_VALUE"""),"XD1-MPC-052")</f>
        <v>XD1-MPC-052</v>
      </c>
      <c r="B1844" s="1075" t="str">
        <f>IFERROR(__xludf.DUMMYFUNCTION("""COMPUTED_VALUE"""),"Máy phát cỏ 2 thì")</f>
        <v>Máy phát cỏ 2 thì</v>
      </c>
      <c r="C1844" s="1076" t="str">
        <f>IFERROR(__xludf.DUMMYFUNCTION("""COMPUTED_VALUE"""),"XN Chuối DP1")</f>
        <v>XN Chuối DP1</v>
      </c>
      <c r="D1844" s="1076" t="str">
        <f>IFERROR(__xludf.DUMMYFUNCTION("""COMPUTED_VALUE"""),"MARRATA")</f>
        <v>MARRATA</v>
      </c>
      <c r="E1844" s="1076"/>
      <c r="F1844" s="1076"/>
      <c r="G1844" s="1076" t="str">
        <f>IFERROR(__xludf.DUMMYFUNCTION("""COMPUTED_VALUE"""),"CG411")</f>
        <v>CG411</v>
      </c>
      <c r="H1844" s="1076" t="str">
        <f>IFERROR(__xludf.DUMMYFUNCTION("""COMPUTED_VALUE"""),"1.8HP")</f>
        <v>1.8HP</v>
      </c>
      <c r="I1844" s="1076"/>
      <c r="J1844" s="1076"/>
      <c r="K1844" s="1076">
        <f>IFERROR(__xludf.DUMMYFUNCTION("""COMPUTED_VALUE"""),1)</f>
        <v>1</v>
      </c>
      <c r="L1844" s="1076" t="str">
        <f>IFERROR(__xludf.DUMMYFUNCTION("""COMPUTED_VALUE"""),"KLH")</f>
        <v>KLH</v>
      </c>
    </row>
    <row r="1845" customHeight="1" spans="1:12">
      <c r="A1845" s="1076" t="str">
        <f>IFERROR(__xludf.DUMMYFUNCTION("""COMPUTED_VALUE"""),"XD1-MPC-053")</f>
        <v>XD1-MPC-053</v>
      </c>
      <c r="B1845" s="1075" t="str">
        <f>IFERROR(__xludf.DUMMYFUNCTION("""COMPUTED_VALUE"""),"Máy phát cỏ 2 thì")</f>
        <v>Máy phát cỏ 2 thì</v>
      </c>
      <c r="C1845" s="1076" t="str">
        <f>IFERROR(__xludf.DUMMYFUNCTION("""COMPUTED_VALUE"""),"XN Chuối DP1")</f>
        <v>XN Chuối DP1</v>
      </c>
      <c r="D1845" s="1076" t="str">
        <f>IFERROR(__xludf.DUMMYFUNCTION("""COMPUTED_VALUE"""),"MARRATA")</f>
        <v>MARRATA</v>
      </c>
      <c r="E1845" s="1076"/>
      <c r="F1845" s="1076"/>
      <c r="G1845" s="1076" t="str">
        <f>IFERROR(__xludf.DUMMYFUNCTION("""COMPUTED_VALUE"""),"CG411")</f>
        <v>CG411</v>
      </c>
      <c r="H1845" s="1076" t="str">
        <f>IFERROR(__xludf.DUMMYFUNCTION("""COMPUTED_VALUE"""),"1.8HP")</f>
        <v>1.8HP</v>
      </c>
      <c r="I1845" s="1076"/>
      <c r="J1845" s="1076"/>
      <c r="K1845" s="1076">
        <f>IFERROR(__xludf.DUMMYFUNCTION("""COMPUTED_VALUE"""),1)</f>
        <v>1</v>
      </c>
      <c r="L1845" s="1076" t="str">
        <f>IFERROR(__xludf.DUMMYFUNCTION("""COMPUTED_VALUE"""),"KLH")</f>
        <v>KLH</v>
      </c>
    </row>
    <row r="1846" customHeight="1" spans="1:12">
      <c r="A1846" s="1076" t="str">
        <f>IFERROR(__xludf.DUMMYFUNCTION("""COMPUTED_VALUE"""),"XD1-MPC-054")</f>
        <v>XD1-MPC-054</v>
      </c>
      <c r="B1846" s="1075" t="str">
        <f>IFERROR(__xludf.DUMMYFUNCTION("""COMPUTED_VALUE"""),"Máy phát cỏ 2 thì")</f>
        <v>Máy phát cỏ 2 thì</v>
      </c>
      <c r="C1846" s="1076" t="str">
        <f>IFERROR(__xludf.DUMMYFUNCTION("""COMPUTED_VALUE"""),"XN Chuối DP1")</f>
        <v>XN Chuối DP1</v>
      </c>
      <c r="D1846" s="1076" t="str">
        <f>IFERROR(__xludf.DUMMYFUNCTION("""COMPUTED_VALUE"""),"MARRATA")</f>
        <v>MARRATA</v>
      </c>
      <c r="E1846" s="1076"/>
      <c r="F1846" s="1076"/>
      <c r="G1846" s="1076" t="str">
        <f>IFERROR(__xludf.DUMMYFUNCTION("""COMPUTED_VALUE"""),"CG411")</f>
        <v>CG411</v>
      </c>
      <c r="H1846" s="1076" t="str">
        <f>IFERROR(__xludf.DUMMYFUNCTION("""COMPUTED_VALUE"""),"1.8HP")</f>
        <v>1.8HP</v>
      </c>
      <c r="I1846" s="1076"/>
      <c r="J1846" s="1076"/>
      <c r="K1846" s="1076">
        <f>IFERROR(__xludf.DUMMYFUNCTION("""COMPUTED_VALUE"""),1)</f>
        <v>1</v>
      </c>
      <c r="L1846" s="1076" t="str">
        <f>IFERROR(__xludf.DUMMYFUNCTION("""COMPUTED_VALUE"""),"KLH")</f>
        <v>KLH</v>
      </c>
    </row>
    <row r="1847" customHeight="1" spans="1:12">
      <c r="A1847" s="1076" t="str">
        <f>IFERROR(__xludf.DUMMYFUNCTION("""COMPUTED_VALUE"""),"XD1-MPC-055")</f>
        <v>XD1-MPC-055</v>
      </c>
      <c r="B1847" s="1075" t="str">
        <f>IFERROR(__xludf.DUMMYFUNCTION("""COMPUTED_VALUE"""),"Máy phát cỏ 2 thì")</f>
        <v>Máy phát cỏ 2 thì</v>
      </c>
      <c r="C1847" s="1076" t="str">
        <f>IFERROR(__xludf.DUMMYFUNCTION("""COMPUTED_VALUE"""),"XN Chuối DP1")</f>
        <v>XN Chuối DP1</v>
      </c>
      <c r="D1847" s="1076" t="str">
        <f>IFERROR(__xludf.DUMMYFUNCTION("""COMPUTED_VALUE"""),"MARRATA")</f>
        <v>MARRATA</v>
      </c>
      <c r="E1847" s="1076"/>
      <c r="F1847" s="1076"/>
      <c r="G1847" s="1076" t="str">
        <f>IFERROR(__xludf.DUMMYFUNCTION("""COMPUTED_VALUE"""),"CG411")</f>
        <v>CG411</v>
      </c>
      <c r="H1847" s="1076" t="str">
        <f>IFERROR(__xludf.DUMMYFUNCTION("""COMPUTED_VALUE"""),"1.8HP")</f>
        <v>1.8HP</v>
      </c>
      <c r="I1847" s="1076"/>
      <c r="J1847" s="1076"/>
      <c r="K1847" s="1076"/>
      <c r="L1847" s="1076" t="str">
        <f>IFERROR(__xludf.DUMMYFUNCTION("""COMPUTED_VALUE"""),"KLH")</f>
        <v>KLH</v>
      </c>
    </row>
    <row r="1848" customHeight="1" spans="1:12">
      <c r="A1848" s="1076" t="str">
        <f>IFERROR(__xludf.DUMMYFUNCTION("""COMPUTED_VALUE"""),"XD1-MPC-056")</f>
        <v>XD1-MPC-056</v>
      </c>
      <c r="B1848" s="1075" t="str">
        <f>IFERROR(__xludf.DUMMYFUNCTION("""COMPUTED_VALUE"""),"Máy phát cỏ 2 thì")</f>
        <v>Máy phát cỏ 2 thì</v>
      </c>
      <c r="C1848" s="1076" t="str">
        <f>IFERROR(__xludf.DUMMYFUNCTION("""COMPUTED_VALUE"""),"XN Chuối DP1")</f>
        <v>XN Chuối DP1</v>
      </c>
      <c r="D1848" s="1076" t="str">
        <f>IFERROR(__xludf.DUMMYFUNCTION("""COMPUTED_VALUE"""),"MARRATA")</f>
        <v>MARRATA</v>
      </c>
      <c r="E1848" s="1076"/>
      <c r="F1848" s="1076"/>
      <c r="G1848" s="1076" t="str">
        <f>IFERROR(__xludf.DUMMYFUNCTION("""COMPUTED_VALUE"""),"CG411")</f>
        <v>CG411</v>
      </c>
      <c r="H1848" s="1076" t="str">
        <f>IFERROR(__xludf.DUMMYFUNCTION("""COMPUTED_VALUE"""),"1.8HP")</f>
        <v>1.8HP</v>
      </c>
      <c r="I1848" s="1076"/>
      <c r="J1848" s="1076"/>
      <c r="K1848" s="1076"/>
      <c r="L1848" s="1076" t="str">
        <f>IFERROR(__xludf.DUMMYFUNCTION("""COMPUTED_VALUE"""),"KLH")</f>
        <v>KLH</v>
      </c>
    </row>
    <row r="1849" customHeight="1" spans="1:12">
      <c r="A1849" s="1076" t="str">
        <f>IFERROR(__xludf.DUMMYFUNCTION("""COMPUTED_VALUE"""),"XD1-MPC-057")</f>
        <v>XD1-MPC-057</v>
      </c>
      <c r="B1849" s="1075" t="str">
        <f>IFERROR(__xludf.DUMMYFUNCTION("""COMPUTED_VALUE"""),"Máy phát cỏ 2 thì")</f>
        <v>Máy phát cỏ 2 thì</v>
      </c>
      <c r="C1849" s="1076" t="str">
        <f>IFERROR(__xludf.DUMMYFUNCTION("""COMPUTED_VALUE"""),"XN Chuối DP1")</f>
        <v>XN Chuối DP1</v>
      </c>
      <c r="D1849" s="1076" t="str">
        <f>IFERROR(__xludf.DUMMYFUNCTION("""COMPUTED_VALUE"""),"MARRATA")</f>
        <v>MARRATA</v>
      </c>
      <c r="E1849" s="1076"/>
      <c r="F1849" s="1076"/>
      <c r="G1849" s="1076" t="str">
        <f>IFERROR(__xludf.DUMMYFUNCTION("""COMPUTED_VALUE"""),"CG411")</f>
        <v>CG411</v>
      </c>
      <c r="H1849" s="1076" t="str">
        <f>IFERROR(__xludf.DUMMYFUNCTION("""COMPUTED_VALUE"""),"1.8HP")</f>
        <v>1.8HP</v>
      </c>
      <c r="I1849" s="1076"/>
      <c r="J1849" s="1076"/>
      <c r="K1849" s="1076"/>
      <c r="L1849" s="1076" t="str">
        <f>IFERROR(__xludf.DUMMYFUNCTION("""COMPUTED_VALUE"""),"KLH")</f>
        <v>KLH</v>
      </c>
    </row>
    <row r="1850" customHeight="1" spans="1:12">
      <c r="A1850" s="1076" t="str">
        <f>IFERROR(__xludf.DUMMYFUNCTION("""COMPUTED_VALUE"""),"XD1-MPC-058")</f>
        <v>XD1-MPC-058</v>
      </c>
      <c r="B1850" s="1075" t="str">
        <f>IFERROR(__xludf.DUMMYFUNCTION("""COMPUTED_VALUE"""),"Máy phát cỏ 2 thì")</f>
        <v>Máy phát cỏ 2 thì</v>
      </c>
      <c r="C1850" s="1076" t="str">
        <f>IFERROR(__xludf.DUMMYFUNCTION("""COMPUTED_VALUE"""),"XN Chuối DP1")</f>
        <v>XN Chuối DP1</v>
      </c>
      <c r="D1850" s="1076" t="str">
        <f>IFERROR(__xludf.DUMMYFUNCTION("""COMPUTED_VALUE"""),"MARRATA")</f>
        <v>MARRATA</v>
      </c>
      <c r="E1850" s="1076"/>
      <c r="F1850" s="1076"/>
      <c r="G1850" s="1076" t="str">
        <f>IFERROR(__xludf.DUMMYFUNCTION("""COMPUTED_VALUE"""),"CG411")</f>
        <v>CG411</v>
      </c>
      <c r="H1850" s="1076" t="str">
        <f>IFERROR(__xludf.DUMMYFUNCTION("""COMPUTED_VALUE"""),"1.8HP")</f>
        <v>1.8HP</v>
      </c>
      <c r="I1850" s="1076"/>
      <c r="J1850" s="1076"/>
      <c r="K1850" s="1076"/>
      <c r="L1850" s="1076" t="str">
        <f>IFERROR(__xludf.DUMMYFUNCTION("""COMPUTED_VALUE"""),"KLH")</f>
        <v>KLH</v>
      </c>
    </row>
    <row r="1851" customHeight="1" spans="1:12">
      <c r="A1851" s="1076" t="str">
        <f>IFERROR(__xludf.DUMMYFUNCTION("""COMPUTED_VALUE"""),"XD1-MPC-059")</f>
        <v>XD1-MPC-059</v>
      </c>
      <c r="B1851" s="1075" t="str">
        <f>IFERROR(__xludf.DUMMYFUNCTION("""COMPUTED_VALUE"""),"Máy phát cỏ 2 thì")</f>
        <v>Máy phát cỏ 2 thì</v>
      </c>
      <c r="C1851" s="1076" t="str">
        <f>IFERROR(__xludf.DUMMYFUNCTION("""COMPUTED_VALUE"""),"XN Chuối DP1")</f>
        <v>XN Chuối DP1</v>
      </c>
      <c r="D1851" s="1076" t="str">
        <f>IFERROR(__xludf.DUMMYFUNCTION("""COMPUTED_VALUE"""),"MARRATA")</f>
        <v>MARRATA</v>
      </c>
      <c r="E1851" s="1076"/>
      <c r="F1851" s="1076"/>
      <c r="G1851" s="1076" t="str">
        <f>IFERROR(__xludf.DUMMYFUNCTION("""COMPUTED_VALUE"""),"CG411")</f>
        <v>CG411</v>
      </c>
      <c r="H1851" s="1076" t="str">
        <f>IFERROR(__xludf.DUMMYFUNCTION("""COMPUTED_VALUE"""),"1.8HP")</f>
        <v>1.8HP</v>
      </c>
      <c r="I1851" s="1076"/>
      <c r="J1851" s="1076"/>
      <c r="K1851" s="1076"/>
      <c r="L1851" s="1076" t="str">
        <f>IFERROR(__xludf.DUMMYFUNCTION("""COMPUTED_VALUE"""),"KLH")</f>
        <v>KLH</v>
      </c>
    </row>
    <row r="1852" customHeight="1" spans="1:12">
      <c r="A1852" s="1076" t="str">
        <f>IFERROR(__xludf.DUMMYFUNCTION("""COMPUTED_VALUE"""),"XD1-MPC-060")</f>
        <v>XD1-MPC-060</v>
      </c>
      <c r="B1852" s="1075" t="str">
        <f>IFERROR(__xludf.DUMMYFUNCTION("""COMPUTED_VALUE"""),"Máy phát cỏ 2 thì")</f>
        <v>Máy phát cỏ 2 thì</v>
      </c>
      <c r="C1852" s="1076" t="str">
        <f>IFERROR(__xludf.DUMMYFUNCTION("""COMPUTED_VALUE"""),"XN Chuối DP1")</f>
        <v>XN Chuối DP1</v>
      </c>
      <c r="D1852" s="1076" t="str">
        <f>IFERROR(__xludf.DUMMYFUNCTION("""COMPUTED_VALUE"""),"MARRATA")</f>
        <v>MARRATA</v>
      </c>
      <c r="E1852" s="1076"/>
      <c r="F1852" s="1076"/>
      <c r="G1852" s="1076" t="str">
        <f>IFERROR(__xludf.DUMMYFUNCTION("""COMPUTED_VALUE"""),"CG411")</f>
        <v>CG411</v>
      </c>
      <c r="H1852" s="1076" t="str">
        <f>IFERROR(__xludf.DUMMYFUNCTION("""COMPUTED_VALUE"""),"1.8HP")</f>
        <v>1.8HP</v>
      </c>
      <c r="I1852" s="1076"/>
      <c r="J1852" s="1076"/>
      <c r="K1852" s="1076"/>
      <c r="L1852" s="1076" t="str">
        <f>IFERROR(__xludf.DUMMYFUNCTION("""COMPUTED_VALUE"""),"KLH")</f>
        <v>KLH</v>
      </c>
    </row>
    <row r="1853" customHeight="1" spans="1:12">
      <c r="A1853" s="1076" t="str">
        <f>IFERROR(__xludf.DUMMYFUNCTION("""COMPUTED_VALUE"""),"XD1-MPC-061")</f>
        <v>XD1-MPC-061</v>
      </c>
      <c r="B1853" s="1075" t="str">
        <f>IFERROR(__xludf.DUMMYFUNCTION("""COMPUTED_VALUE"""),"Máy phát cỏ 2 thì")</f>
        <v>Máy phát cỏ 2 thì</v>
      </c>
      <c r="C1853" s="1076" t="str">
        <f>IFERROR(__xludf.DUMMYFUNCTION("""COMPUTED_VALUE"""),"XN Chuối DP1")</f>
        <v>XN Chuối DP1</v>
      </c>
      <c r="D1853" s="1076" t="str">
        <f>IFERROR(__xludf.DUMMYFUNCTION("""COMPUTED_VALUE"""),"MARRATA")</f>
        <v>MARRATA</v>
      </c>
      <c r="E1853" s="1076"/>
      <c r="F1853" s="1076"/>
      <c r="G1853" s="1076" t="str">
        <f>IFERROR(__xludf.DUMMYFUNCTION("""COMPUTED_VALUE"""),"CG411")</f>
        <v>CG411</v>
      </c>
      <c r="H1853" s="1076" t="str">
        <f>IFERROR(__xludf.DUMMYFUNCTION("""COMPUTED_VALUE"""),"1.8HP")</f>
        <v>1.8HP</v>
      </c>
      <c r="I1853" s="1076"/>
      <c r="J1853" s="1076"/>
      <c r="K1853" s="1076"/>
      <c r="L1853" s="1076" t="str">
        <f>IFERROR(__xludf.DUMMYFUNCTION("""COMPUTED_VALUE"""),"KLH")</f>
        <v>KLH</v>
      </c>
    </row>
    <row r="1854" customHeight="1" spans="1:12">
      <c r="A1854" s="1076" t="str">
        <f>IFERROR(__xludf.DUMMYFUNCTION("""COMPUTED_VALUE"""),"XD1-MPC-062")</f>
        <v>XD1-MPC-062</v>
      </c>
      <c r="B1854" s="1075" t="str">
        <f>IFERROR(__xludf.DUMMYFUNCTION("""COMPUTED_VALUE"""),"Máy phát cỏ 2 thì")</f>
        <v>Máy phát cỏ 2 thì</v>
      </c>
      <c r="C1854" s="1076" t="str">
        <f>IFERROR(__xludf.DUMMYFUNCTION("""COMPUTED_VALUE"""),"XN Chuối DP1")</f>
        <v>XN Chuối DP1</v>
      </c>
      <c r="D1854" s="1076" t="str">
        <f>IFERROR(__xludf.DUMMYFUNCTION("""COMPUTED_VALUE"""),"MARRATA")</f>
        <v>MARRATA</v>
      </c>
      <c r="E1854" s="1076"/>
      <c r="F1854" s="1076"/>
      <c r="G1854" s="1076" t="str">
        <f>IFERROR(__xludf.DUMMYFUNCTION("""COMPUTED_VALUE"""),"CG411")</f>
        <v>CG411</v>
      </c>
      <c r="H1854" s="1076" t="str">
        <f>IFERROR(__xludf.DUMMYFUNCTION("""COMPUTED_VALUE"""),"1.8HP")</f>
        <v>1.8HP</v>
      </c>
      <c r="I1854" s="1076"/>
      <c r="J1854" s="1076"/>
      <c r="K1854" s="1076"/>
      <c r="L1854" s="1076" t="str">
        <f>IFERROR(__xludf.DUMMYFUNCTION("""COMPUTED_VALUE"""),"KLH")</f>
        <v>KLH</v>
      </c>
    </row>
    <row r="1855" customHeight="1" spans="1:12">
      <c r="A1855" s="1076" t="str">
        <f>IFERROR(__xludf.DUMMYFUNCTION("""COMPUTED_VALUE"""),"XD1-MPC-063")</f>
        <v>XD1-MPC-063</v>
      </c>
      <c r="B1855" s="1075" t="str">
        <f>IFERROR(__xludf.DUMMYFUNCTION("""COMPUTED_VALUE"""),"Máy phát cỏ 2 thì")</f>
        <v>Máy phát cỏ 2 thì</v>
      </c>
      <c r="C1855" s="1076" t="str">
        <f>IFERROR(__xludf.DUMMYFUNCTION("""COMPUTED_VALUE"""),"XN Chuối DP1")</f>
        <v>XN Chuối DP1</v>
      </c>
      <c r="D1855" s="1076" t="str">
        <f>IFERROR(__xludf.DUMMYFUNCTION("""COMPUTED_VALUE"""),"MARRATA")</f>
        <v>MARRATA</v>
      </c>
      <c r="E1855" s="1076"/>
      <c r="F1855" s="1076"/>
      <c r="G1855" s="1076" t="str">
        <f>IFERROR(__xludf.DUMMYFUNCTION("""COMPUTED_VALUE"""),"CG411")</f>
        <v>CG411</v>
      </c>
      <c r="H1855" s="1076" t="str">
        <f>IFERROR(__xludf.DUMMYFUNCTION("""COMPUTED_VALUE"""),"1.8HP")</f>
        <v>1.8HP</v>
      </c>
      <c r="I1855" s="1076"/>
      <c r="J1855" s="1076"/>
      <c r="K1855" s="1076"/>
      <c r="L1855" s="1076" t="str">
        <f>IFERROR(__xludf.DUMMYFUNCTION("""COMPUTED_VALUE"""),"KLH")</f>
        <v>KLH</v>
      </c>
    </row>
    <row r="1856" customHeight="1" spans="1:12">
      <c r="A1856" s="1076" t="str">
        <f>IFERROR(__xludf.DUMMYFUNCTION("""COMPUTED_VALUE"""),"XD1-MPC-064")</f>
        <v>XD1-MPC-064</v>
      </c>
      <c r="B1856" s="1075" t="str">
        <f>IFERROR(__xludf.DUMMYFUNCTION("""COMPUTED_VALUE"""),"Máy phát cỏ 2 thì")</f>
        <v>Máy phát cỏ 2 thì</v>
      </c>
      <c r="C1856" s="1076" t="str">
        <f>IFERROR(__xludf.DUMMYFUNCTION("""COMPUTED_VALUE"""),"XN Chuối DP1")</f>
        <v>XN Chuối DP1</v>
      </c>
      <c r="D1856" s="1076" t="str">
        <f>IFERROR(__xludf.DUMMYFUNCTION("""COMPUTED_VALUE"""),"MARRATA")</f>
        <v>MARRATA</v>
      </c>
      <c r="E1856" s="1076"/>
      <c r="F1856" s="1076"/>
      <c r="G1856" s="1076" t="str">
        <f>IFERROR(__xludf.DUMMYFUNCTION("""COMPUTED_VALUE"""),"CG411")</f>
        <v>CG411</v>
      </c>
      <c r="H1856" s="1076" t="str">
        <f>IFERROR(__xludf.DUMMYFUNCTION("""COMPUTED_VALUE"""),"1.8HP")</f>
        <v>1.8HP</v>
      </c>
      <c r="I1856" s="1076"/>
      <c r="J1856" s="1076"/>
      <c r="K1856" s="1076"/>
      <c r="L1856" s="1076" t="str">
        <f>IFERROR(__xludf.DUMMYFUNCTION("""COMPUTED_VALUE"""),"KLH")</f>
        <v>KLH</v>
      </c>
    </row>
    <row r="1857" customHeight="1" spans="1:12">
      <c r="A1857" s="1076" t="str">
        <f>IFERROR(__xludf.DUMMYFUNCTION("""COMPUTED_VALUE"""),"XD1-MPC-065")</f>
        <v>XD1-MPC-065</v>
      </c>
      <c r="B1857" s="1075" t="str">
        <f>IFERROR(__xludf.DUMMYFUNCTION("""COMPUTED_VALUE"""),"Máy phát cỏ 2 thì")</f>
        <v>Máy phát cỏ 2 thì</v>
      </c>
      <c r="C1857" s="1076" t="str">
        <f>IFERROR(__xludf.DUMMYFUNCTION("""COMPUTED_VALUE"""),"XN Chuối DP1")</f>
        <v>XN Chuối DP1</v>
      </c>
      <c r="D1857" s="1076" t="str">
        <f>IFERROR(__xludf.DUMMYFUNCTION("""COMPUTED_VALUE"""),"MARRATA")</f>
        <v>MARRATA</v>
      </c>
      <c r="E1857" s="1076"/>
      <c r="F1857" s="1076"/>
      <c r="G1857" s="1076" t="str">
        <f>IFERROR(__xludf.DUMMYFUNCTION("""COMPUTED_VALUE"""),"CG411")</f>
        <v>CG411</v>
      </c>
      <c r="H1857" s="1076" t="str">
        <f>IFERROR(__xludf.DUMMYFUNCTION("""COMPUTED_VALUE"""),"1.8HP")</f>
        <v>1.8HP</v>
      </c>
      <c r="I1857" s="1076"/>
      <c r="J1857" s="1076"/>
      <c r="K1857" s="1076"/>
      <c r="L1857" s="1076" t="str">
        <f>IFERROR(__xludf.DUMMYFUNCTION("""COMPUTED_VALUE"""),"KLH")</f>
        <v>KLH</v>
      </c>
    </row>
    <row r="1858" customHeight="1" spans="1:12">
      <c r="A1858" s="1076" t="str">
        <f>IFERROR(__xludf.DUMMYFUNCTION("""COMPUTED_VALUE"""),"XD1-MPC-066")</f>
        <v>XD1-MPC-066</v>
      </c>
      <c r="B1858" s="1075" t="str">
        <f>IFERROR(__xludf.DUMMYFUNCTION("""COMPUTED_VALUE"""),"Máy phát cỏ 2 thì")</f>
        <v>Máy phát cỏ 2 thì</v>
      </c>
      <c r="C1858" s="1076" t="str">
        <f>IFERROR(__xludf.DUMMYFUNCTION("""COMPUTED_VALUE"""),"XN Chuối DP1")</f>
        <v>XN Chuối DP1</v>
      </c>
      <c r="D1858" s="1076" t="str">
        <f>IFERROR(__xludf.DUMMYFUNCTION("""COMPUTED_VALUE"""),"MARRATA")</f>
        <v>MARRATA</v>
      </c>
      <c r="E1858" s="1076"/>
      <c r="F1858" s="1076"/>
      <c r="G1858" s="1076" t="str">
        <f>IFERROR(__xludf.DUMMYFUNCTION("""COMPUTED_VALUE"""),"CG411")</f>
        <v>CG411</v>
      </c>
      <c r="H1858" s="1076" t="str">
        <f>IFERROR(__xludf.DUMMYFUNCTION("""COMPUTED_VALUE"""),"1.8HP")</f>
        <v>1.8HP</v>
      </c>
      <c r="I1858" s="1076"/>
      <c r="J1858" s="1076"/>
      <c r="K1858" s="1076"/>
      <c r="L1858" s="1076" t="str">
        <f>IFERROR(__xludf.DUMMYFUNCTION("""COMPUTED_VALUE"""),"KLH")</f>
        <v>KLH</v>
      </c>
    </row>
    <row r="1859" customHeight="1" spans="1:12">
      <c r="A1859" s="1076" t="str">
        <f>IFERROR(__xludf.DUMMYFUNCTION("""COMPUTED_VALUE"""),"XD1-MPC-067")</f>
        <v>XD1-MPC-067</v>
      </c>
      <c r="B1859" s="1075" t="str">
        <f>IFERROR(__xludf.DUMMYFUNCTION("""COMPUTED_VALUE"""),"Máy phát cỏ 2 thì")</f>
        <v>Máy phát cỏ 2 thì</v>
      </c>
      <c r="C1859" s="1076" t="str">
        <f>IFERROR(__xludf.DUMMYFUNCTION("""COMPUTED_VALUE"""),"XN Chuối DP1")</f>
        <v>XN Chuối DP1</v>
      </c>
      <c r="D1859" s="1076" t="str">
        <f>IFERROR(__xludf.DUMMYFUNCTION("""COMPUTED_VALUE"""),"MARRATA")</f>
        <v>MARRATA</v>
      </c>
      <c r="E1859" s="1076"/>
      <c r="F1859" s="1076"/>
      <c r="G1859" s="1076" t="str">
        <f>IFERROR(__xludf.DUMMYFUNCTION("""COMPUTED_VALUE"""),"CG411")</f>
        <v>CG411</v>
      </c>
      <c r="H1859" s="1076" t="str">
        <f>IFERROR(__xludf.DUMMYFUNCTION("""COMPUTED_VALUE"""),"1.8HP")</f>
        <v>1.8HP</v>
      </c>
      <c r="I1859" s="1076"/>
      <c r="J1859" s="1076"/>
      <c r="K1859" s="1076"/>
      <c r="L1859" s="1076" t="str">
        <f>IFERROR(__xludf.DUMMYFUNCTION("""COMPUTED_VALUE"""),"KLH")</f>
        <v>KLH</v>
      </c>
    </row>
    <row r="1860" customHeight="1" spans="1:12">
      <c r="A1860" s="1076" t="str">
        <f>IFERROR(__xludf.DUMMYFUNCTION("""COMPUTED_VALUE"""),"XD1-MPC-068")</f>
        <v>XD1-MPC-068</v>
      </c>
      <c r="B1860" s="1075" t="str">
        <f>IFERROR(__xludf.DUMMYFUNCTION("""COMPUTED_VALUE"""),"Máy phát cỏ 2 thì")</f>
        <v>Máy phát cỏ 2 thì</v>
      </c>
      <c r="C1860" s="1076" t="str">
        <f>IFERROR(__xludf.DUMMYFUNCTION("""COMPUTED_VALUE"""),"XN Chuối DP1")</f>
        <v>XN Chuối DP1</v>
      </c>
      <c r="D1860" s="1076" t="str">
        <f>IFERROR(__xludf.DUMMYFUNCTION("""COMPUTED_VALUE"""),"MARRATA")</f>
        <v>MARRATA</v>
      </c>
      <c r="E1860" s="1076"/>
      <c r="F1860" s="1076"/>
      <c r="G1860" s="1076" t="str">
        <f>IFERROR(__xludf.DUMMYFUNCTION("""COMPUTED_VALUE"""),"CG411")</f>
        <v>CG411</v>
      </c>
      <c r="H1860" s="1076" t="str">
        <f>IFERROR(__xludf.DUMMYFUNCTION("""COMPUTED_VALUE"""),"1.8HP")</f>
        <v>1.8HP</v>
      </c>
      <c r="I1860" s="1076"/>
      <c r="J1860" s="1076"/>
      <c r="K1860" s="1076"/>
      <c r="L1860" s="1076" t="str">
        <f>IFERROR(__xludf.DUMMYFUNCTION("""COMPUTED_VALUE"""),"KLH")</f>
        <v>KLH</v>
      </c>
    </row>
    <row r="1861" customHeight="1" spans="1:12">
      <c r="A1861" s="1076" t="str">
        <f>IFERROR(__xludf.DUMMYFUNCTION("""COMPUTED_VALUE"""),"XD1-MPC-069")</f>
        <v>XD1-MPC-069</v>
      </c>
      <c r="B1861" s="1075" t="str">
        <f>IFERROR(__xludf.DUMMYFUNCTION("""COMPUTED_VALUE"""),"Máy phát cỏ 2 thì")</f>
        <v>Máy phát cỏ 2 thì</v>
      </c>
      <c r="C1861" s="1076" t="str">
        <f>IFERROR(__xludf.DUMMYFUNCTION("""COMPUTED_VALUE"""),"XN Chuối DP1")</f>
        <v>XN Chuối DP1</v>
      </c>
      <c r="D1861" s="1076" t="str">
        <f>IFERROR(__xludf.DUMMYFUNCTION("""COMPUTED_VALUE"""),"MARRATA")</f>
        <v>MARRATA</v>
      </c>
      <c r="E1861" s="1076"/>
      <c r="F1861" s="1076"/>
      <c r="G1861" s="1076" t="str">
        <f>IFERROR(__xludf.DUMMYFUNCTION("""COMPUTED_VALUE"""),"CG411")</f>
        <v>CG411</v>
      </c>
      <c r="H1861" s="1076" t="str">
        <f>IFERROR(__xludf.DUMMYFUNCTION("""COMPUTED_VALUE"""),"1.8HP")</f>
        <v>1.8HP</v>
      </c>
      <c r="I1861" s="1076"/>
      <c r="J1861" s="1076"/>
      <c r="K1861" s="1076"/>
      <c r="L1861" s="1076" t="str">
        <f>IFERROR(__xludf.DUMMYFUNCTION("""COMPUTED_VALUE"""),"KLH")</f>
        <v>KLH</v>
      </c>
    </row>
    <row r="1862" customHeight="1" spans="1:12">
      <c r="A1862" s="1076" t="str">
        <f>IFERROR(__xludf.DUMMYFUNCTION("""COMPUTED_VALUE"""),"XD1-MPC-070")</f>
        <v>XD1-MPC-070</v>
      </c>
      <c r="B1862" s="1075" t="str">
        <f>IFERROR(__xludf.DUMMYFUNCTION("""COMPUTED_VALUE"""),"Máy phát cỏ 2 thì")</f>
        <v>Máy phát cỏ 2 thì</v>
      </c>
      <c r="C1862" s="1076" t="str">
        <f>IFERROR(__xludf.DUMMYFUNCTION("""COMPUTED_VALUE"""),"XN Chuối DP1")</f>
        <v>XN Chuối DP1</v>
      </c>
      <c r="D1862" s="1076" t="str">
        <f>IFERROR(__xludf.DUMMYFUNCTION("""COMPUTED_VALUE"""),"MARRATA")</f>
        <v>MARRATA</v>
      </c>
      <c r="E1862" s="1076"/>
      <c r="F1862" s="1076"/>
      <c r="G1862" s="1076" t="str">
        <f>IFERROR(__xludf.DUMMYFUNCTION("""COMPUTED_VALUE"""),"CG411")</f>
        <v>CG411</v>
      </c>
      <c r="H1862" s="1076" t="str">
        <f>IFERROR(__xludf.DUMMYFUNCTION("""COMPUTED_VALUE"""),"1.8HP")</f>
        <v>1.8HP</v>
      </c>
      <c r="I1862" s="1076"/>
      <c r="J1862" s="1076"/>
      <c r="K1862" s="1076"/>
      <c r="L1862" s="1076" t="str">
        <f>IFERROR(__xludf.DUMMYFUNCTION("""COMPUTED_VALUE"""),"KLH")</f>
        <v>KLH</v>
      </c>
    </row>
    <row r="1863" customHeight="1" spans="1:12">
      <c r="A1863" s="1076" t="str">
        <f>IFERROR(__xludf.DUMMYFUNCTION("""COMPUTED_VALUE"""),"XD1-MPC-071")</f>
        <v>XD1-MPC-071</v>
      </c>
      <c r="B1863" s="1075" t="str">
        <f>IFERROR(__xludf.DUMMYFUNCTION("""COMPUTED_VALUE"""),"Máy phát cỏ 2 thì")</f>
        <v>Máy phát cỏ 2 thì</v>
      </c>
      <c r="C1863" s="1076" t="str">
        <f>IFERROR(__xludf.DUMMYFUNCTION("""COMPUTED_VALUE"""),"XN Chuối DP1")</f>
        <v>XN Chuối DP1</v>
      </c>
      <c r="D1863" s="1076" t="str">
        <f>IFERROR(__xludf.DUMMYFUNCTION("""COMPUTED_VALUE"""),"MARRATA")</f>
        <v>MARRATA</v>
      </c>
      <c r="E1863" s="1076"/>
      <c r="F1863" s="1076"/>
      <c r="G1863" s="1076" t="str">
        <f>IFERROR(__xludf.DUMMYFUNCTION("""COMPUTED_VALUE"""),"CG411")</f>
        <v>CG411</v>
      </c>
      <c r="H1863" s="1076" t="str">
        <f>IFERROR(__xludf.DUMMYFUNCTION("""COMPUTED_VALUE"""),"1.8HP")</f>
        <v>1.8HP</v>
      </c>
      <c r="I1863" s="1076"/>
      <c r="J1863" s="1076"/>
      <c r="K1863" s="1076"/>
      <c r="L1863" s="1076" t="str">
        <f>IFERROR(__xludf.DUMMYFUNCTION("""COMPUTED_VALUE"""),"KLH")</f>
        <v>KLH</v>
      </c>
    </row>
    <row r="1864" customHeight="1" spans="1:12">
      <c r="A1864" s="1076" t="str">
        <f>IFERROR(__xludf.DUMMYFUNCTION("""COMPUTED_VALUE"""),"XD1-MPC-072")</f>
        <v>XD1-MPC-072</v>
      </c>
      <c r="B1864" s="1075" t="str">
        <f>IFERROR(__xludf.DUMMYFUNCTION("""COMPUTED_VALUE"""),"Máy phát cỏ 2 thì")</f>
        <v>Máy phát cỏ 2 thì</v>
      </c>
      <c r="C1864" s="1076" t="str">
        <f>IFERROR(__xludf.DUMMYFUNCTION("""COMPUTED_VALUE"""),"XN Chuối DP1")</f>
        <v>XN Chuối DP1</v>
      </c>
      <c r="D1864" s="1076" t="str">
        <f>IFERROR(__xludf.DUMMYFUNCTION("""COMPUTED_VALUE"""),"MARRATA")</f>
        <v>MARRATA</v>
      </c>
      <c r="E1864" s="1076"/>
      <c r="F1864" s="1076"/>
      <c r="G1864" s="1076" t="str">
        <f>IFERROR(__xludf.DUMMYFUNCTION("""COMPUTED_VALUE"""),"CG411")</f>
        <v>CG411</v>
      </c>
      <c r="H1864" s="1076" t="str">
        <f>IFERROR(__xludf.DUMMYFUNCTION("""COMPUTED_VALUE"""),"1.8HP")</f>
        <v>1.8HP</v>
      </c>
      <c r="I1864" s="1076"/>
      <c r="J1864" s="1076"/>
      <c r="K1864" s="1076"/>
      <c r="L1864" s="1076" t="str">
        <f>IFERROR(__xludf.DUMMYFUNCTION("""COMPUTED_VALUE"""),"KLH")</f>
        <v>KLH</v>
      </c>
    </row>
    <row r="1865" customHeight="1" spans="1:12">
      <c r="A1865" s="1076" t="str">
        <f>IFERROR(__xludf.DUMMYFUNCTION("""COMPUTED_VALUE"""),"XD1-MPC-073")</f>
        <v>XD1-MPC-073</v>
      </c>
      <c r="B1865" s="1075" t="str">
        <f>IFERROR(__xludf.DUMMYFUNCTION("""COMPUTED_VALUE"""),"Máy phát cỏ 2 thì")</f>
        <v>Máy phát cỏ 2 thì</v>
      </c>
      <c r="C1865" s="1076" t="str">
        <f>IFERROR(__xludf.DUMMYFUNCTION("""COMPUTED_VALUE"""),"XN Chuối DP1")</f>
        <v>XN Chuối DP1</v>
      </c>
      <c r="D1865" s="1076" t="str">
        <f>IFERROR(__xludf.DUMMYFUNCTION("""COMPUTED_VALUE"""),"MARRATA")</f>
        <v>MARRATA</v>
      </c>
      <c r="E1865" s="1076"/>
      <c r="F1865" s="1076"/>
      <c r="G1865" s="1076" t="str">
        <f>IFERROR(__xludf.DUMMYFUNCTION("""COMPUTED_VALUE"""),"CG411")</f>
        <v>CG411</v>
      </c>
      <c r="H1865" s="1076" t="str">
        <f>IFERROR(__xludf.DUMMYFUNCTION("""COMPUTED_VALUE"""),"1.8HP")</f>
        <v>1.8HP</v>
      </c>
      <c r="I1865" s="1076"/>
      <c r="J1865" s="1076"/>
      <c r="K1865" s="1076"/>
      <c r="L1865" s="1076" t="str">
        <f>IFERROR(__xludf.DUMMYFUNCTION("""COMPUTED_VALUE"""),"KLH")</f>
        <v>KLH</v>
      </c>
    </row>
    <row r="1866" customHeight="1" spans="1:12">
      <c r="A1866" s="1076" t="str">
        <f>IFERROR(__xludf.DUMMYFUNCTION("""COMPUTED_VALUE"""),"XD1-MPC-074")</f>
        <v>XD1-MPC-074</v>
      </c>
      <c r="B1866" s="1075" t="str">
        <f>IFERROR(__xludf.DUMMYFUNCTION("""COMPUTED_VALUE"""),"Máy phát cỏ 2 thì")</f>
        <v>Máy phát cỏ 2 thì</v>
      </c>
      <c r="C1866" s="1076" t="str">
        <f>IFERROR(__xludf.DUMMYFUNCTION("""COMPUTED_VALUE"""),"XN Chuối DP1")</f>
        <v>XN Chuối DP1</v>
      </c>
      <c r="D1866" s="1076" t="str">
        <f>IFERROR(__xludf.DUMMYFUNCTION("""COMPUTED_VALUE"""),"MARRATA")</f>
        <v>MARRATA</v>
      </c>
      <c r="E1866" s="1076"/>
      <c r="F1866" s="1076"/>
      <c r="G1866" s="1076" t="str">
        <f>IFERROR(__xludf.DUMMYFUNCTION("""COMPUTED_VALUE"""),"CG411")</f>
        <v>CG411</v>
      </c>
      <c r="H1866" s="1076" t="str">
        <f>IFERROR(__xludf.DUMMYFUNCTION("""COMPUTED_VALUE"""),"1.8HP")</f>
        <v>1.8HP</v>
      </c>
      <c r="I1866" s="1076"/>
      <c r="J1866" s="1076"/>
      <c r="K1866" s="1076"/>
      <c r="L1866" s="1076" t="str">
        <f>IFERROR(__xludf.DUMMYFUNCTION("""COMPUTED_VALUE"""),"KLH")</f>
        <v>KLH</v>
      </c>
    </row>
    <row r="1867" customHeight="1" spans="1:12">
      <c r="A1867" s="1076" t="str">
        <f>IFERROR(__xludf.DUMMYFUNCTION("""COMPUTED_VALUE"""),"XN DP2")</f>
        <v>XN DP2</v>
      </c>
      <c r="B1867" s="1075"/>
      <c r="C1867" s="1076"/>
      <c r="D1867" s="1076"/>
      <c r="E1867" s="1076"/>
      <c r="F1867" s="1076"/>
      <c r="G1867" s="1076"/>
      <c r="H1867" s="1076"/>
      <c r="I1867" s="1076"/>
      <c r="J1867" s="1076"/>
      <c r="K1867" s="1076"/>
      <c r="L1867" s="1076" t="str">
        <f>IFERROR(__xludf.DUMMYFUNCTION("""COMPUTED_VALUE"""),"KLH")</f>
        <v>KLH</v>
      </c>
    </row>
    <row r="1868" customHeight="1" spans="1:12">
      <c r="A1868" s="1076" t="str">
        <f>IFERROR(__xludf.DUMMYFUNCTION("""COMPUTED_VALUE"""),"XD2-MPC-005")</f>
        <v>XD2-MPC-005</v>
      </c>
      <c r="B1868" s="1075" t="str">
        <f>IFERROR(__xludf.DUMMYFUNCTION("""COMPUTED_VALUE"""),"Máy phát cỏ 4 thì")</f>
        <v>Máy phát cỏ 4 thì</v>
      </c>
      <c r="C1868" s="1076" t="str">
        <f>IFERROR(__xludf.DUMMYFUNCTION("""COMPUTED_VALUE"""),"XN Chuối DP2")</f>
        <v>XN Chuối DP2</v>
      </c>
      <c r="D1868" s="1076" t="str">
        <f>IFERROR(__xludf.DUMMYFUNCTION("""COMPUTED_VALUE"""),"HINOTA")</f>
        <v>HINOTA</v>
      </c>
      <c r="E1868" s="1076" t="str">
        <f>IFERROR(__xludf.DUMMYFUNCTION("""COMPUTED_VALUE"""),"Trung Quốc")</f>
        <v>Trung Quốc</v>
      </c>
      <c r="F1868" s="1076"/>
      <c r="G1868" s="1076" t="str">
        <f>IFERROR(__xludf.DUMMYFUNCTION("""COMPUTED_VALUE"""),"CG435")</f>
        <v>CG435</v>
      </c>
      <c r="H1868" s="1076" t="str">
        <f>IFERROR(__xludf.DUMMYFUNCTION("""COMPUTED_VALUE"""),"1.2HP")</f>
        <v>1.2HP</v>
      </c>
      <c r="I1868" s="1076"/>
      <c r="J1868" s="1076"/>
      <c r="K1868" s="1076">
        <f>IFERROR(__xludf.DUMMYFUNCTION("""COMPUTED_VALUE"""),0.5)</f>
        <v>0.5</v>
      </c>
      <c r="L1868" s="1076" t="str">
        <f>IFERROR(__xludf.DUMMYFUNCTION("""COMPUTED_VALUE"""),"KLH")</f>
        <v>KLH</v>
      </c>
    </row>
    <row r="1869" customHeight="1" spans="1:12">
      <c r="A1869" s="1076" t="str">
        <f>IFERROR(__xludf.DUMMYFUNCTION("""COMPUTED_VALUE"""),"XD2-MPC-012")</f>
        <v>XD2-MPC-012</v>
      </c>
      <c r="B1869" s="1075" t="str">
        <f>IFERROR(__xludf.DUMMYFUNCTION("""COMPUTED_VALUE"""),"Máy phát cỏ 4 thì")</f>
        <v>Máy phát cỏ 4 thì</v>
      </c>
      <c r="C1869" s="1076" t="str">
        <f>IFERROR(__xludf.DUMMYFUNCTION("""COMPUTED_VALUE"""),"XN Chuối DP2")</f>
        <v>XN Chuối DP2</v>
      </c>
      <c r="D1869" s="1076" t="str">
        <f>IFERROR(__xludf.DUMMYFUNCTION("""COMPUTED_VALUE"""),"HINOTA")</f>
        <v>HINOTA</v>
      </c>
      <c r="E1869" s="1076" t="str">
        <f>IFERROR(__xludf.DUMMYFUNCTION("""COMPUTED_VALUE"""),"Trung Quốc")</f>
        <v>Trung Quốc</v>
      </c>
      <c r="F1869" s="1076"/>
      <c r="G1869" s="1076" t="str">
        <f>IFERROR(__xludf.DUMMYFUNCTION("""COMPUTED_VALUE"""),"CG435")</f>
        <v>CG435</v>
      </c>
      <c r="H1869" s="1076" t="str">
        <f>IFERROR(__xludf.DUMMYFUNCTION("""COMPUTED_VALUE"""),"1.2HP")</f>
        <v>1.2HP</v>
      </c>
      <c r="I1869" s="1076"/>
      <c r="J1869" s="1076"/>
      <c r="K1869" s="1076">
        <f>IFERROR(__xludf.DUMMYFUNCTION("""COMPUTED_VALUE"""),0.5)</f>
        <v>0.5</v>
      </c>
      <c r="L1869" s="1076" t="str">
        <f>IFERROR(__xludf.DUMMYFUNCTION("""COMPUTED_VALUE"""),"KLH")</f>
        <v>KLH</v>
      </c>
    </row>
    <row r="1870" customHeight="1" spans="1:12">
      <c r="A1870" s="1076" t="str">
        <f>IFERROR(__xludf.DUMMYFUNCTION("""COMPUTED_VALUE"""),"XD2-MPC-013")</f>
        <v>XD2-MPC-013</v>
      </c>
      <c r="B1870" s="1075" t="str">
        <f>IFERROR(__xludf.DUMMYFUNCTION("""COMPUTED_VALUE"""),"Máy phát cỏ 4 thì")</f>
        <v>Máy phát cỏ 4 thì</v>
      </c>
      <c r="C1870" s="1076" t="str">
        <f>IFERROR(__xludf.DUMMYFUNCTION("""COMPUTED_VALUE"""),"XN Chuối DP2")</f>
        <v>XN Chuối DP2</v>
      </c>
      <c r="D1870" s="1076" t="str">
        <f>IFERROR(__xludf.DUMMYFUNCTION("""COMPUTED_VALUE"""),"HINOTA")</f>
        <v>HINOTA</v>
      </c>
      <c r="E1870" s="1076" t="str">
        <f>IFERROR(__xludf.DUMMYFUNCTION("""COMPUTED_VALUE"""),"Trung Quốc")</f>
        <v>Trung Quốc</v>
      </c>
      <c r="F1870" s="1076"/>
      <c r="G1870" s="1076" t="str">
        <f>IFERROR(__xludf.DUMMYFUNCTION("""COMPUTED_VALUE"""),"CG435")</f>
        <v>CG435</v>
      </c>
      <c r="H1870" s="1076" t="str">
        <f>IFERROR(__xludf.DUMMYFUNCTION("""COMPUTED_VALUE"""),"1.2HP")</f>
        <v>1.2HP</v>
      </c>
      <c r="I1870" s="1076"/>
      <c r="J1870" s="1076"/>
      <c r="K1870" s="1076">
        <f>IFERROR(__xludf.DUMMYFUNCTION("""COMPUTED_VALUE"""),0.5)</f>
        <v>0.5</v>
      </c>
      <c r="L1870" s="1076" t="str">
        <f>IFERROR(__xludf.DUMMYFUNCTION("""COMPUTED_VALUE"""),"KLH")</f>
        <v>KLH</v>
      </c>
    </row>
    <row r="1871" customHeight="1" spans="1:12">
      <c r="A1871" s="1076" t="str">
        <f>IFERROR(__xludf.DUMMYFUNCTION("""COMPUTED_VALUE"""),"XD2-MPC-019")</f>
        <v>XD2-MPC-019</v>
      </c>
      <c r="B1871" s="1075" t="str">
        <f>IFERROR(__xludf.DUMMYFUNCTION("""COMPUTED_VALUE"""),"Máy phát cỏ 4 thì")</f>
        <v>Máy phát cỏ 4 thì</v>
      </c>
      <c r="C1871" s="1076" t="str">
        <f>IFERROR(__xludf.DUMMYFUNCTION("""COMPUTED_VALUE"""),"XN Chuối DP2")</f>
        <v>XN Chuối DP2</v>
      </c>
      <c r="D1871" s="1076" t="str">
        <f>IFERROR(__xludf.DUMMYFUNCTION("""COMPUTED_VALUE"""),"HINOTA")</f>
        <v>HINOTA</v>
      </c>
      <c r="E1871" s="1076" t="str">
        <f>IFERROR(__xludf.DUMMYFUNCTION("""COMPUTED_VALUE"""),"Trung Quốc")</f>
        <v>Trung Quốc</v>
      </c>
      <c r="F1871" s="1076"/>
      <c r="G1871" s="1076" t="str">
        <f>IFERROR(__xludf.DUMMYFUNCTION("""COMPUTED_VALUE"""),"CG435")</f>
        <v>CG435</v>
      </c>
      <c r="H1871" s="1076" t="str">
        <f>IFERROR(__xludf.DUMMYFUNCTION("""COMPUTED_VALUE"""),"1.2HP")</f>
        <v>1.2HP</v>
      </c>
      <c r="I1871" s="1076"/>
      <c r="J1871" s="1076"/>
      <c r="K1871" s="1076">
        <f>IFERROR(__xludf.DUMMYFUNCTION("""COMPUTED_VALUE"""),0.5)</f>
        <v>0.5</v>
      </c>
      <c r="L1871" s="1076" t="str">
        <f>IFERROR(__xludf.DUMMYFUNCTION("""COMPUTED_VALUE"""),"KLH")</f>
        <v>KLH</v>
      </c>
    </row>
    <row r="1872" customHeight="1" spans="1:12">
      <c r="A1872" s="1076" t="str">
        <f>IFERROR(__xludf.DUMMYFUNCTION("""COMPUTED_VALUE"""),"XD2-MPC-024")</f>
        <v>XD2-MPC-024</v>
      </c>
      <c r="B1872" s="1075" t="str">
        <f>IFERROR(__xludf.DUMMYFUNCTION("""COMPUTED_VALUE"""),"Máy phát cỏ 4 thì")</f>
        <v>Máy phát cỏ 4 thì</v>
      </c>
      <c r="C1872" s="1076" t="str">
        <f>IFERROR(__xludf.DUMMYFUNCTION("""COMPUTED_VALUE"""),"XN Chuối DP2")</f>
        <v>XN Chuối DP2</v>
      </c>
      <c r="D1872" s="1076" t="str">
        <f>IFERROR(__xludf.DUMMYFUNCTION("""COMPUTED_VALUE"""),"HINOTA")</f>
        <v>HINOTA</v>
      </c>
      <c r="E1872" s="1076" t="str">
        <f>IFERROR(__xludf.DUMMYFUNCTION("""COMPUTED_VALUE"""),"Trung Quốc")</f>
        <v>Trung Quốc</v>
      </c>
      <c r="F1872" s="1076"/>
      <c r="G1872" s="1076" t="str">
        <f>IFERROR(__xludf.DUMMYFUNCTION("""COMPUTED_VALUE"""),"CG435")</f>
        <v>CG435</v>
      </c>
      <c r="H1872" s="1076" t="str">
        <f>IFERROR(__xludf.DUMMYFUNCTION("""COMPUTED_VALUE"""),"1.2HP")</f>
        <v>1.2HP</v>
      </c>
      <c r="I1872" s="1076"/>
      <c r="J1872" s="1076"/>
      <c r="K1872" s="1076">
        <f>IFERROR(__xludf.DUMMYFUNCTION("""COMPUTED_VALUE"""),0.5)</f>
        <v>0.5</v>
      </c>
      <c r="L1872" s="1076" t="str">
        <f>IFERROR(__xludf.DUMMYFUNCTION("""COMPUTED_VALUE"""),"KLH")</f>
        <v>KLH</v>
      </c>
    </row>
    <row r="1873" customHeight="1" spans="1:12">
      <c r="A1873" s="1076" t="str">
        <f>IFERROR(__xludf.DUMMYFUNCTION("""COMPUTED_VALUE"""),"XD2-MPC-027")</f>
        <v>XD2-MPC-027</v>
      </c>
      <c r="B1873" s="1075" t="str">
        <f>IFERROR(__xludf.DUMMYFUNCTION("""COMPUTED_VALUE"""),"Máy phát cỏ 4 thì")</f>
        <v>Máy phát cỏ 4 thì</v>
      </c>
      <c r="C1873" s="1076" t="str">
        <f>IFERROR(__xludf.DUMMYFUNCTION("""COMPUTED_VALUE"""),"XN Chuối DP2")</f>
        <v>XN Chuối DP2</v>
      </c>
      <c r="D1873" s="1076" t="str">
        <f>IFERROR(__xludf.DUMMYFUNCTION("""COMPUTED_VALUE"""),"HONDA")</f>
        <v>HONDA</v>
      </c>
      <c r="E1873" s="1076" t="str">
        <f>IFERROR(__xludf.DUMMYFUNCTION("""COMPUTED_VALUE"""),"THÁI LAN")</f>
        <v>THÁI LAN</v>
      </c>
      <c r="F1873" s="1076"/>
      <c r="G1873" s="1076" t="str">
        <f>IFERROR(__xludf.DUMMYFUNCTION("""COMPUTED_VALUE"""),"GX35")</f>
        <v>GX35</v>
      </c>
      <c r="H1873" s="1076" t="str">
        <f>IFERROR(__xludf.DUMMYFUNCTION("""COMPUTED_VALUE"""),"1.6HP")</f>
        <v>1.6HP</v>
      </c>
      <c r="I1873" s="1076"/>
      <c r="J1873" s="1076"/>
      <c r="K1873" s="1076">
        <f>IFERROR(__xludf.DUMMYFUNCTION("""COMPUTED_VALUE"""),0.5)</f>
        <v>0.5</v>
      </c>
      <c r="L1873" s="1076" t="str">
        <f>IFERROR(__xludf.DUMMYFUNCTION("""COMPUTED_VALUE"""),"KLH")</f>
        <v>KLH</v>
      </c>
    </row>
    <row r="1874" customHeight="1" spans="1:12">
      <c r="A1874" s="1076" t="str">
        <f>IFERROR(__xludf.DUMMYFUNCTION("""COMPUTED_VALUE"""),"XD2-MPC-028")</f>
        <v>XD2-MPC-028</v>
      </c>
      <c r="B1874" s="1075" t="str">
        <f>IFERROR(__xludf.DUMMYFUNCTION("""COMPUTED_VALUE"""),"Máy phát cỏ 4 thì")</f>
        <v>Máy phát cỏ 4 thì</v>
      </c>
      <c r="C1874" s="1076" t="str">
        <f>IFERROR(__xludf.DUMMYFUNCTION("""COMPUTED_VALUE"""),"XN Chuối DP2")</f>
        <v>XN Chuối DP2</v>
      </c>
      <c r="D1874" s="1076" t="str">
        <f>IFERROR(__xludf.DUMMYFUNCTION("""COMPUTED_VALUE"""),"HONDA")</f>
        <v>HONDA</v>
      </c>
      <c r="E1874" s="1076" t="str">
        <f>IFERROR(__xludf.DUMMYFUNCTION("""COMPUTED_VALUE"""),"THÁI LAN")</f>
        <v>THÁI LAN</v>
      </c>
      <c r="F1874" s="1076"/>
      <c r="G1874" s="1076" t="str">
        <f>IFERROR(__xludf.DUMMYFUNCTION("""COMPUTED_VALUE"""),"GX35")</f>
        <v>GX35</v>
      </c>
      <c r="H1874" s="1076" t="str">
        <f>IFERROR(__xludf.DUMMYFUNCTION("""COMPUTED_VALUE"""),"1.6HP")</f>
        <v>1.6HP</v>
      </c>
      <c r="I1874" s="1076"/>
      <c r="J1874" s="1076"/>
      <c r="K1874" s="1076">
        <f>IFERROR(__xludf.DUMMYFUNCTION("""COMPUTED_VALUE"""),0.5)</f>
        <v>0.5</v>
      </c>
      <c r="L1874" s="1076" t="str">
        <f>IFERROR(__xludf.DUMMYFUNCTION("""COMPUTED_VALUE"""),"KLH")</f>
        <v>KLH</v>
      </c>
    </row>
    <row r="1875" customHeight="1" spans="1:12">
      <c r="A1875" s="1076" t="str">
        <f>IFERROR(__xludf.DUMMYFUNCTION("""COMPUTED_VALUE"""),"XD2-MPC-029")</f>
        <v>XD2-MPC-029</v>
      </c>
      <c r="B1875" s="1075" t="str">
        <f>IFERROR(__xludf.DUMMYFUNCTION("""COMPUTED_VALUE"""),"Máy phát cỏ 4 thì")</f>
        <v>Máy phát cỏ 4 thì</v>
      </c>
      <c r="C1875" s="1076" t="str">
        <f>IFERROR(__xludf.DUMMYFUNCTION("""COMPUTED_VALUE"""),"XN Chuối DP2")</f>
        <v>XN Chuối DP2</v>
      </c>
      <c r="D1875" s="1076" t="str">
        <f>IFERROR(__xludf.DUMMYFUNCTION("""COMPUTED_VALUE"""),"HONDA")</f>
        <v>HONDA</v>
      </c>
      <c r="E1875" s="1076" t="str">
        <f>IFERROR(__xludf.DUMMYFUNCTION("""COMPUTED_VALUE"""),"THÁI LAN")</f>
        <v>THÁI LAN</v>
      </c>
      <c r="F1875" s="1076"/>
      <c r="G1875" s="1076" t="str">
        <f>IFERROR(__xludf.DUMMYFUNCTION("""COMPUTED_VALUE"""),"GX35")</f>
        <v>GX35</v>
      </c>
      <c r="H1875" s="1076" t="str">
        <f>IFERROR(__xludf.DUMMYFUNCTION("""COMPUTED_VALUE"""),"1.6HP")</f>
        <v>1.6HP</v>
      </c>
      <c r="I1875" s="1076"/>
      <c r="J1875" s="1076"/>
      <c r="K1875" s="1076">
        <f>IFERROR(__xludf.DUMMYFUNCTION("""COMPUTED_VALUE"""),0.5)</f>
        <v>0.5</v>
      </c>
      <c r="L1875" s="1076" t="str">
        <f>IFERROR(__xludf.DUMMYFUNCTION("""COMPUTED_VALUE"""),"KLH")</f>
        <v>KLH</v>
      </c>
    </row>
    <row r="1876" customHeight="1" spans="1:12">
      <c r="A1876" s="1076" t="str">
        <f>IFERROR(__xludf.DUMMYFUNCTION("""COMPUTED_VALUE"""),"XD2-MPC-030")</f>
        <v>XD2-MPC-030</v>
      </c>
      <c r="B1876" s="1075" t="str">
        <f>IFERROR(__xludf.DUMMYFUNCTION("""COMPUTED_VALUE"""),"Máy phát cỏ 4 thì")</f>
        <v>Máy phát cỏ 4 thì</v>
      </c>
      <c r="C1876" s="1076" t="str">
        <f>IFERROR(__xludf.DUMMYFUNCTION("""COMPUTED_VALUE"""),"XN Chuối DP2")</f>
        <v>XN Chuối DP2</v>
      </c>
      <c r="D1876" s="1076" t="str">
        <f>IFERROR(__xludf.DUMMYFUNCTION("""COMPUTED_VALUE"""),"HONDA")</f>
        <v>HONDA</v>
      </c>
      <c r="E1876" s="1076" t="str">
        <f>IFERROR(__xludf.DUMMYFUNCTION("""COMPUTED_VALUE"""),"THÁI LAN")</f>
        <v>THÁI LAN</v>
      </c>
      <c r="F1876" s="1076"/>
      <c r="G1876" s="1076" t="str">
        <f>IFERROR(__xludf.DUMMYFUNCTION("""COMPUTED_VALUE"""),"GX35")</f>
        <v>GX35</v>
      </c>
      <c r="H1876" s="1076" t="str">
        <f>IFERROR(__xludf.DUMMYFUNCTION("""COMPUTED_VALUE"""),"1.6HP")</f>
        <v>1.6HP</v>
      </c>
      <c r="I1876" s="1076"/>
      <c r="J1876" s="1076"/>
      <c r="K1876" s="1076">
        <f>IFERROR(__xludf.DUMMYFUNCTION("""COMPUTED_VALUE"""),0.5)</f>
        <v>0.5</v>
      </c>
      <c r="L1876" s="1076" t="str">
        <f>IFERROR(__xludf.DUMMYFUNCTION("""COMPUTED_VALUE"""),"KLH")</f>
        <v>KLH</v>
      </c>
    </row>
    <row r="1877" customHeight="1" spans="1:12">
      <c r="A1877" s="1076" t="str">
        <f>IFERROR(__xludf.DUMMYFUNCTION("""COMPUTED_VALUE"""),"XD2-MPC-031")</f>
        <v>XD2-MPC-031</v>
      </c>
      <c r="B1877" s="1075" t="str">
        <f>IFERROR(__xludf.DUMMYFUNCTION("""COMPUTED_VALUE"""),"Máy phát cỏ 4 thì")</f>
        <v>Máy phát cỏ 4 thì</v>
      </c>
      <c r="C1877" s="1076" t="str">
        <f>IFERROR(__xludf.DUMMYFUNCTION("""COMPUTED_VALUE"""),"XN Chuối DP2")</f>
        <v>XN Chuối DP2</v>
      </c>
      <c r="D1877" s="1076" t="str">
        <f>IFERROR(__xludf.DUMMYFUNCTION("""COMPUTED_VALUE"""),"HONDA")</f>
        <v>HONDA</v>
      </c>
      <c r="E1877" s="1076" t="str">
        <f>IFERROR(__xludf.DUMMYFUNCTION("""COMPUTED_VALUE"""),"THÁI LAN")</f>
        <v>THÁI LAN</v>
      </c>
      <c r="F1877" s="1076"/>
      <c r="G1877" s="1076" t="str">
        <f>IFERROR(__xludf.DUMMYFUNCTION("""COMPUTED_VALUE"""),"GX35")</f>
        <v>GX35</v>
      </c>
      <c r="H1877" s="1076" t="str">
        <f>IFERROR(__xludf.DUMMYFUNCTION("""COMPUTED_VALUE"""),"1.6HP")</f>
        <v>1.6HP</v>
      </c>
      <c r="I1877" s="1076"/>
      <c r="J1877" s="1076"/>
      <c r="K1877" s="1076">
        <f>IFERROR(__xludf.DUMMYFUNCTION("""COMPUTED_VALUE"""),0.5)</f>
        <v>0.5</v>
      </c>
      <c r="L1877" s="1076" t="str">
        <f>IFERROR(__xludf.DUMMYFUNCTION("""COMPUTED_VALUE"""),"KLH")</f>
        <v>KLH</v>
      </c>
    </row>
    <row r="1878" customHeight="1" spans="1:12">
      <c r="A1878" s="1076" t="str">
        <f>IFERROR(__xludf.DUMMYFUNCTION("""COMPUTED_VALUE"""),"XD2-MPC-032")</f>
        <v>XD2-MPC-032</v>
      </c>
      <c r="B1878" s="1075" t="str">
        <f>IFERROR(__xludf.DUMMYFUNCTION("""COMPUTED_VALUE"""),"Máy phát cỏ 4 thì")</f>
        <v>Máy phát cỏ 4 thì</v>
      </c>
      <c r="C1878" s="1076" t="str">
        <f>IFERROR(__xludf.DUMMYFUNCTION("""COMPUTED_VALUE"""),"XN Chuối DP2")</f>
        <v>XN Chuối DP2</v>
      </c>
      <c r="D1878" s="1076" t="str">
        <f>IFERROR(__xludf.DUMMYFUNCTION("""COMPUTED_VALUE"""),"HONDA")</f>
        <v>HONDA</v>
      </c>
      <c r="E1878" s="1076" t="str">
        <f>IFERROR(__xludf.DUMMYFUNCTION("""COMPUTED_VALUE"""),"THÁI LAN")</f>
        <v>THÁI LAN</v>
      </c>
      <c r="F1878" s="1076"/>
      <c r="G1878" s="1076" t="str">
        <f>IFERROR(__xludf.DUMMYFUNCTION("""COMPUTED_VALUE"""),"GX35")</f>
        <v>GX35</v>
      </c>
      <c r="H1878" s="1076" t="str">
        <f>IFERROR(__xludf.DUMMYFUNCTION("""COMPUTED_VALUE"""),"1.6HP")</f>
        <v>1.6HP</v>
      </c>
      <c r="I1878" s="1076"/>
      <c r="J1878" s="1076"/>
      <c r="K1878" s="1076">
        <f>IFERROR(__xludf.DUMMYFUNCTION("""COMPUTED_VALUE"""),0.5)</f>
        <v>0.5</v>
      </c>
      <c r="L1878" s="1076" t="str">
        <f>IFERROR(__xludf.DUMMYFUNCTION("""COMPUTED_VALUE"""),"KLH")</f>
        <v>KLH</v>
      </c>
    </row>
    <row r="1879" customHeight="1" spans="1:12">
      <c r="A1879" s="1076" t="str">
        <f>IFERROR(__xludf.DUMMYFUNCTION("""COMPUTED_VALUE"""),"XD2-MPC-033")</f>
        <v>XD2-MPC-033</v>
      </c>
      <c r="B1879" s="1075" t="str">
        <f>IFERROR(__xludf.DUMMYFUNCTION("""COMPUTED_VALUE"""),"Máy phát cỏ 2 thì")</f>
        <v>Máy phát cỏ 2 thì</v>
      </c>
      <c r="C1879" s="1076" t="str">
        <f>IFERROR(__xludf.DUMMYFUNCTION("""COMPUTED_VALUE"""),"XN Chuối DP2")</f>
        <v>XN Chuối DP2</v>
      </c>
      <c r="D1879" s="1076" t="str">
        <f>IFERROR(__xludf.DUMMYFUNCTION("""COMPUTED_VALUE"""),"MARRATA")</f>
        <v>MARRATA</v>
      </c>
      <c r="E1879" s="1076"/>
      <c r="F1879" s="1076"/>
      <c r="G1879" s="1076" t="str">
        <f>IFERROR(__xludf.DUMMYFUNCTION("""COMPUTED_VALUE"""),"CG411")</f>
        <v>CG411</v>
      </c>
      <c r="H1879" s="1076" t="str">
        <f>IFERROR(__xludf.DUMMYFUNCTION("""COMPUTED_VALUE"""),"1.8HP")</f>
        <v>1.8HP</v>
      </c>
      <c r="I1879" s="1076"/>
      <c r="J1879" s="1076"/>
      <c r="K1879" s="1076">
        <f>IFERROR(__xludf.DUMMYFUNCTION("""COMPUTED_VALUE"""),1)</f>
        <v>1</v>
      </c>
      <c r="L1879" s="1076" t="str">
        <f>IFERROR(__xludf.DUMMYFUNCTION("""COMPUTED_VALUE"""),"KLH")</f>
        <v>KLH</v>
      </c>
    </row>
    <row r="1880" customHeight="1" spans="1:12">
      <c r="A1880" s="1076" t="str">
        <f>IFERROR(__xludf.DUMMYFUNCTION("""COMPUTED_VALUE"""),"XD2-MPC-034")</f>
        <v>XD2-MPC-034</v>
      </c>
      <c r="B1880" s="1075" t="str">
        <f>IFERROR(__xludf.DUMMYFUNCTION("""COMPUTED_VALUE"""),"Máy phát cỏ 2 thì")</f>
        <v>Máy phát cỏ 2 thì</v>
      </c>
      <c r="C1880" s="1076" t="str">
        <f>IFERROR(__xludf.DUMMYFUNCTION("""COMPUTED_VALUE"""),"XN Chuối DP2")</f>
        <v>XN Chuối DP2</v>
      </c>
      <c r="D1880" s="1076" t="str">
        <f>IFERROR(__xludf.DUMMYFUNCTION("""COMPUTED_VALUE"""),"MARRATA")</f>
        <v>MARRATA</v>
      </c>
      <c r="E1880" s="1076"/>
      <c r="F1880" s="1076"/>
      <c r="G1880" s="1076" t="str">
        <f>IFERROR(__xludf.DUMMYFUNCTION("""COMPUTED_VALUE"""),"CG411")</f>
        <v>CG411</v>
      </c>
      <c r="H1880" s="1076" t="str">
        <f>IFERROR(__xludf.DUMMYFUNCTION("""COMPUTED_VALUE"""),"1.8HP")</f>
        <v>1.8HP</v>
      </c>
      <c r="I1880" s="1076"/>
      <c r="J1880" s="1076"/>
      <c r="K1880" s="1076">
        <f>IFERROR(__xludf.DUMMYFUNCTION("""COMPUTED_VALUE"""),1)</f>
        <v>1</v>
      </c>
      <c r="L1880" s="1076" t="str">
        <f>IFERROR(__xludf.DUMMYFUNCTION("""COMPUTED_VALUE"""),"KLH")</f>
        <v>KLH</v>
      </c>
    </row>
    <row r="1881" customHeight="1" spans="1:12">
      <c r="A1881" s="1076" t="str">
        <f>IFERROR(__xludf.DUMMYFUNCTION("""COMPUTED_VALUE"""),"XD2-MPC-035")</f>
        <v>XD2-MPC-035</v>
      </c>
      <c r="B1881" s="1075" t="str">
        <f>IFERROR(__xludf.DUMMYFUNCTION("""COMPUTED_VALUE"""),"Máy phát cỏ 2 thì")</f>
        <v>Máy phát cỏ 2 thì</v>
      </c>
      <c r="C1881" s="1076" t="str">
        <f>IFERROR(__xludf.DUMMYFUNCTION("""COMPUTED_VALUE"""),"XN Chuối DP2")</f>
        <v>XN Chuối DP2</v>
      </c>
      <c r="D1881" s="1076" t="str">
        <f>IFERROR(__xludf.DUMMYFUNCTION("""COMPUTED_VALUE"""),"MARRATA")</f>
        <v>MARRATA</v>
      </c>
      <c r="E1881" s="1076"/>
      <c r="F1881" s="1076"/>
      <c r="G1881" s="1076" t="str">
        <f>IFERROR(__xludf.DUMMYFUNCTION("""COMPUTED_VALUE"""),"CG411")</f>
        <v>CG411</v>
      </c>
      <c r="H1881" s="1076" t="str">
        <f>IFERROR(__xludf.DUMMYFUNCTION("""COMPUTED_VALUE"""),"1.8HP")</f>
        <v>1.8HP</v>
      </c>
      <c r="I1881" s="1076"/>
      <c r="J1881" s="1076"/>
      <c r="K1881" s="1076">
        <f>IFERROR(__xludf.DUMMYFUNCTION("""COMPUTED_VALUE"""),1)</f>
        <v>1</v>
      </c>
      <c r="L1881" s="1076" t="str">
        <f>IFERROR(__xludf.DUMMYFUNCTION("""COMPUTED_VALUE"""),"KLH")</f>
        <v>KLH</v>
      </c>
    </row>
    <row r="1882" customHeight="1" spans="1:12">
      <c r="A1882" s="1076" t="str">
        <f>IFERROR(__xludf.DUMMYFUNCTION("""COMPUTED_VALUE"""),"XD2-MPC-036")</f>
        <v>XD2-MPC-036</v>
      </c>
      <c r="B1882" s="1075" t="str">
        <f>IFERROR(__xludf.DUMMYFUNCTION("""COMPUTED_VALUE"""),"Máy phát cỏ 2 thì")</f>
        <v>Máy phát cỏ 2 thì</v>
      </c>
      <c r="C1882" s="1076" t="str">
        <f>IFERROR(__xludf.DUMMYFUNCTION("""COMPUTED_VALUE"""),"XN Chuối DP2")</f>
        <v>XN Chuối DP2</v>
      </c>
      <c r="D1882" s="1076" t="str">
        <f>IFERROR(__xludf.DUMMYFUNCTION("""COMPUTED_VALUE"""),"MARRATA")</f>
        <v>MARRATA</v>
      </c>
      <c r="E1882" s="1076"/>
      <c r="F1882" s="1076"/>
      <c r="G1882" s="1076" t="str">
        <f>IFERROR(__xludf.DUMMYFUNCTION("""COMPUTED_VALUE"""),"CG411")</f>
        <v>CG411</v>
      </c>
      <c r="H1882" s="1076" t="str">
        <f>IFERROR(__xludf.DUMMYFUNCTION("""COMPUTED_VALUE"""),"1.8HP")</f>
        <v>1.8HP</v>
      </c>
      <c r="I1882" s="1076"/>
      <c r="J1882" s="1076"/>
      <c r="K1882" s="1076">
        <f>IFERROR(__xludf.DUMMYFUNCTION("""COMPUTED_VALUE"""),1)</f>
        <v>1</v>
      </c>
      <c r="L1882" s="1076" t="str">
        <f>IFERROR(__xludf.DUMMYFUNCTION("""COMPUTED_VALUE"""),"KLH")</f>
        <v>KLH</v>
      </c>
    </row>
    <row r="1883" customHeight="1" spans="1:12">
      <c r="A1883" s="1076" t="str">
        <f>IFERROR(__xludf.DUMMYFUNCTION("""COMPUTED_VALUE"""),"XD2-MPC-037")</f>
        <v>XD2-MPC-037</v>
      </c>
      <c r="B1883" s="1075" t="str">
        <f>IFERROR(__xludf.DUMMYFUNCTION("""COMPUTED_VALUE"""),"Máy phát cỏ 2 thì")</f>
        <v>Máy phát cỏ 2 thì</v>
      </c>
      <c r="C1883" s="1076" t="str">
        <f>IFERROR(__xludf.DUMMYFUNCTION("""COMPUTED_VALUE"""),"XN Chuối DP2")</f>
        <v>XN Chuối DP2</v>
      </c>
      <c r="D1883" s="1076" t="str">
        <f>IFERROR(__xludf.DUMMYFUNCTION("""COMPUTED_VALUE"""),"MARRATA")</f>
        <v>MARRATA</v>
      </c>
      <c r="E1883" s="1076"/>
      <c r="F1883" s="1076"/>
      <c r="G1883" s="1076" t="str">
        <f>IFERROR(__xludf.DUMMYFUNCTION("""COMPUTED_VALUE"""),"CG411")</f>
        <v>CG411</v>
      </c>
      <c r="H1883" s="1076" t="str">
        <f>IFERROR(__xludf.DUMMYFUNCTION("""COMPUTED_VALUE"""),"1.8HP")</f>
        <v>1.8HP</v>
      </c>
      <c r="I1883" s="1076"/>
      <c r="J1883" s="1076"/>
      <c r="K1883" s="1076">
        <f>IFERROR(__xludf.DUMMYFUNCTION("""COMPUTED_VALUE"""),1)</f>
        <v>1</v>
      </c>
      <c r="L1883" s="1076" t="str">
        <f>IFERROR(__xludf.DUMMYFUNCTION("""COMPUTED_VALUE"""),"KLH")</f>
        <v>KLH</v>
      </c>
    </row>
    <row r="1884" customHeight="1" spans="1:12">
      <c r="A1884" s="1076" t="str">
        <f>IFERROR(__xludf.DUMMYFUNCTION("""COMPUTED_VALUE"""),"XD2-MPC-038")</f>
        <v>XD2-MPC-038</v>
      </c>
      <c r="B1884" s="1075" t="str">
        <f>IFERROR(__xludf.DUMMYFUNCTION("""COMPUTED_VALUE"""),"Máy phát cỏ 2 thì")</f>
        <v>Máy phát cỏ 2 thì</v>
      </c>
      <c r="C1884" s="1076" t="str">
        <f>IFERROR(__xludf.DUMMYFUNCTION("""COMPUTED_VALUE"""),"XN Chuối DP2")</f>
        <v>XN Chuối DP2</v>
      </c>
      <c r="D1884" s="1076" t="str">
        <f>IFERROR(__xludf.DUMMYFUNCTION("""COMPUTED_VALUE"""),"MARRATA")</f>
        <v>MARRATA</v>
      </c>
      <c r="E1884" s="1076"/>
      <c r="F1884" s="1076"/>
      <c r="G1884" s="1076" t="str">
        <f>IFERROR(__xludf.DUMMYFUNCTION("""COMPUTED_VALUE"""),"CG411")</f>
        <v>CG411</v>
      </c>
      <c r="H1884" s="1076" t="str">
        <f>IFERROR(__xludf.DUMMYFUNCTION("""COMPUTED_VALUE"""),"1.8HP")</f>
        <v>1.8HP</v>
      </c>
      <c r="I1884" s="1076"/>
      <c r="J1884" s="1076"/>
      <c r="K1884" s="1076">
        <f>IFERROR(__xludf.DUMMYFUNCTION("""COMPUTED_VALUE"""),1)</f>
        <v>1</v>
      </c>
      <c r="L1884" s="1076" t="str">
        <f>IFERROR(__xludf.DUMMYFUNCTION("""COMPUTED_VALUE"""),"KLH")</f>
        <v>KLH</v>
      </c>
    </row>
    <row r="1885" customHeight="1" spans="1:12">
      <c r="A1885" s="1076" t="str">
        <f>IFERROR(__xludf.DUMMYFUNCTION("""COMPUTED_VALUE"""),"XD2-MPC-039")</f>
        <v>XD2-MPC-039</v>
      </c>
      <c r="B1885" s="1075" t="str">
        <f>IFERROR(__xludf.DUMMYFUNCTION("""COMPUTED_VALUE"""),"Máy phát cỏ 2 thì")</f>
        <v>Máy phát cỏ 2 thì</v>
      </c>
      <c r="C1885" s="1076" t="str">
        <f>IFERROR(__xludf.DUMMYFUNCTION("""COMPUTED_VALUE"""),"XN Chuối DP2")</f>
        <v>XN Chuối DP2</v>
      </c>
      <c r="D1885" s="1076" t="str">
        <f>IFERROR(__xludf.DUMMYFUNCTION("""COMPUTED_VALUE"""),"MARRATA")</f>
        <v>MARRATA</v>
      </c>
      <c r="E1885" s="1076"/>
      <c r="F1885" s="1076"/>
      <c r="G1885" s="1076" t="str">
        <f>IFERROR(__xludf.DUMMYFUNCTION("""COMPUTED_VALUE"""),"CG411")</f>
        <v>CG411</v>
      </c>
      <c r="H1885" s="1076" t="str">
        <f>IFERROR(__xludf.DUMMYFUNCTION("""COMPUTED_VALUE"""),"1.8HP")</f>
        <v>1.8HP</v>
      </c>
      <c r="I1885" s="1076"/>
      <c r="J1885" s="1076"/>
      <c r="K1885" s="1076">
        <f>IFERROR(__xludf.DUMMYFUNCTION("""COMPUTED_VALUE"""),1)</f>
        <v>1</v>
      </c>
      <c r="L1885" s="1076" t="str">
        <f>IFERROR(__xludf.DUMMYFUNCTION("""COMPUTED_VALUE"""),"KLH")</f>
        <v>KLH</v>
      </c>
    </row>
    <row r="1886" customHeight="1" spans="1:12">
      <c r="A1886" s="1076" t="str">
        <f>IFERROR(__xludf.DUMMYFUNCTION("""COMPUTED_VALUE"""),"XD2-MPC-040")</f>
        <v>XD2-MPC-040</v>
      </c>
      <c r="B1886" s="1075" t="str">
        <f>IFERROR(__xludf.DUMMYFUNCTION("""COMPUTED_VALUE"""),"Máy phát cỏ 2 thì")</f>
        <v>Máy phát cỏ 2 thì</v>
      </c>
      <c r="C1886" s="1076" t="str">
        <f>IFERROR(__xludf.DUMMYFUNCTION("""COMPUTED_VALUE"""),"XN Chuối DP2")</f>
        <v>XN Chuối DP2</v>
      </c>
      <c r="D1886" s="1076" t="str">
        <f>IFERROR(__xludf.DUMMYFUNCTION("""COMPUTED_VALUE"""),"MARRATA")</f>
        <v>MARRATA</v>
      </c>
      <c r="E1886" s="1076"/>
      <c r="F1886" s="1076"/>
      <c r="G1886" s="1076" t="str">
        <f>IFERROR(__xludf.DUMMYFUNCTION("""COMPUTED_VALUE"""),"CG411")</f>
        <v>CG411</v>
      </c>
      <c r="H1886" s="1076" t="str">
        <f>IFERROR(__xludf.DUMMYFUNCTION("""COMPUTED_VALUE"""),"1.8HP")</f>
        <v>1.8HP</v>
      </c>
      <c r="I1886" s="1076"/>
      <c r="J1886" s="1076"/>
      <c r="K1886" s="1076">
        <f>IFERROR(__xludf.DUMMYFUNCTION("""COMPUTED_VALUE"""),1)</f>
        <v>1</v>
      </c>
      <c r="L1886" s="1076" t="str">
        <f>IFERROR(__xludf.DUMMYFUNCTION("""COMPUTED_VALUE"""),"KLH")</f>
        <v>KLH</v>
      </c>
    </row>
    <row r="1887" customHeight="1" spans="1:12">
      <c r="A1887" s="1076" t="str">
        <f>IFERROR(__xludf.DUMMYFUNCTION("""COMPUTED_VALUE"""),"XD2-MPC-041")</f>
        <v>XD2-MPC-041</v>
      </c>
      <c r="B1887" s="1075" t="str">
        <f>IFERROR(__xludf.DUMMYFUNCTION("""COMPUTED_VALUE"""),"Máy phát cỏ 2 thì")</f>
        <v>Máy phát cỏ 2 thì</v>
      </c>
      <c r="C1887" s="1076" t="str">
        <f>IFERROR(__xludf.DUMMYFUNCTION("""COMPUTED_VALUE"""),"XN Chuối DP2")</f>
        <v>XN Chuối DP2</v>
      </c>
      <c r="D1887" s="1076" t="str">
        <f>IFERROR(__xludf.DUMMYFUNCTION("""COMPUTED_VALUE"""),"MARRATA")</f>
        <v>MARRATA</v>
      </c>
      <c r="E1887" s="1076"/>
      <c r="F1887" s="1076"/>
      <c r="G1887" s="1076" t="str">
        <f>IFERROR(__xludf.DUMMYFUNCTION("""COMPUTED_VALUE"""),"CG411")</f>
        <v>CG411</v>
      </c>
      <c r="H1887" s="1076" t="str">
        <f>IFERROR(__xludf.DUMMYFUNCTION("""COMPUTED_VALUE"""),"1.8HP")</f>
        <v>1.8HP</v>
      </c>
      <c r="I1887" s="1076"/>
      <c r="J1887" s="1076"/>
      <c r="K1887" s="1076">
        <f>IFERROR(__xludf.DUMMYFUNCTION("""COMPUTED_VALUE"""),1)</f>
        <v>1</v>
      </c>
      <c r="L1887" s="1076" t="str">
        <f>IFERROR(__xludf.DUMMYFUNCTION("""COMPUTED_VALUE"""),"KLH")</f>
        <v>KLH</v>
      </c>
    </row>
    <row r="1888" customHeight="1" spans="1:12">
      <c r="A1888" s="1076" t="str">
        <f>IFERROR(__xludf.DUMMYFUNCTION("""COMPUTED_VALUE"""),"XD2-MPC-042")</f>
        <v>XD2-MPC-042</v>
      </c>
      <c r="B1888" s="1075" t="str">
        <f>IFERROR(__xludf.DUMMYFUNCTION("""COMPUTED_VALUE"""),"Máy phát cỏ 2 thì")</f>
        <v>Máy phát cỏ 2 thì</v>
      </c>
      <c r="C1888" s="1076" t="str">
        <f>IFERROR(__xludf.DUMMYFUNCTION("""COMPUTED_VALUE"""),"XN Chuối DP2")</f>
        <v>XN Chuối DP2</v>
      </c>
      <c r="D1888" s="1076" t="str">
        <f>IFERROR(__xludf.DUMMYFUNCTION("""COMPUTED_VALUE"""),"MARRATA")</f>
        <v>MARRATA</v>
      </c>
      <c r="E1888" s="1076"/>
      <c r="F1888" s="1076"/>
      <c r="G1888" s="1076" t="str">
        <f>IFERROR(__xludf.DUMMYFUNCTION("""COMPUTED_VALUE"""),"CG411")</f>
        <v>CG411</v>
      </c>
      <c r="H1888" s="1076" t="str">
        <f>IFERROR(__xludf.DUMMYFUNCTION("""COMPUTED_VALUE"""),"1.8HP")</f>
        <v>1.8HP</v>
      </c>
      <c r="I1888" s="1076"/>
      <c r="J1888" s="1076"/>
      <c r="K1888" s="1076">
        <f>IFERROR(__xludf.DUMMYFUNCTION("""COMPUTED_VALUE"""),1)</f>
        <v>1</v>
      </c>
      <c r="L1888" s="1076" t="str">
        <f>IFERROR(__xludf.DUMMYFUNCTION("""COMPUTED_VALUE"""),"KLH")</f>
        <v>KLH</v>
      </c>
    </row>
    <row r="1889" customHeight="1" spans="1:12">
      <c r="A1889" s="1076" t="str">
        <f>IFERROR(__xludf.DUMMYFUNCTION("""COMPUTED_VALUE"""),"XD2-MPC-043")</f>
        <v>XD2-MPC-043</v>
      </c>
      <c r="B1889" s="1075" t="str">
        <f>IFERROR(__xludf.DUMMYFUNCTION("""COMPUTED_VALUE"""),"Máy phát cỏ 2 thì")</f>
        <v>Máy phát cỏ 2 thì</v>
      </c>
      <c r="C1889" s="1076" t="str">
        <f>IFERROR(__xludf.DUMMYFUNCTION("""COMPUTED_VALUE"""),"XN Chuối DP2")</f>
        <v>XN Chuối DP2</v>
      </c>
      <c r="D1889" s="1076" t="str">
        <f>IFERROR(__xludf.DUMMYFUNCTION("""COMPUTED_VALUE"""),"MARRATA")</f>
        <v>MARRATA</v>
      </c>
      <c r="E1889" s="1076"/>
      <c r="F1889" s="1076"/>
      <c r="G1889" s="1076" t="str">
        <f>IFERROR(__xludf.DUMMYFUNCTION("""COMPUTED_VALUE"""),"CG411")</f>
        <v>CG411</v>
      </c>
      <c r="H1889" s="1076" t="str">
        <f>IFERROR(__xludf.DUMMYFUNCTION("""COMPUTED_VALUE"""),"1.8HP")</f>
        <v>1.8HP</v>
      </c>
      <c r="I1889" s="1076"/>
      <c r="J1889" s="1076"/>
      <c r="K1889" s="1076">
        <f>IFERROR(__xludf.DUMMYFUNCTION("""COMPUTED_VALUE"""),1)</f>
        <v>1</v>
      </c>
      <c r="L1889" s="1076" t="str">
        <f>IFERROR(__xludf.DUMMYFUNCTION("""COMPUTED_VALUE"""),"KLH")</f>
        <v>KLH</v>
      </c>
    </row>
    <row r="1890" customHeight="1" spans="1:12">
      <c r="A1890" s="1076" t="str">
        <f>IFERROR(__xludf.DUMMYFUNCTION("""COMPUTED_VALUE"""),"XD2-MPC-044")</f>
        <v>XD2-MPC-044</v>
      </c>
      <c r="B1890" s="1075" t="str">
        <f>IFERROR(__xludf.DUMMYFUNCTION("""COMPUTED_VALUE"""),"Máy phát cỏ 2 thì")</f>
        <v>Máy phát cỏ 2 thì</v>
      </c>
      <c r="C1890" s="1076" t="str">
        <f>IFERROR(__xludf.DUMMYFUNCTION("""COMPUTED_VALUE"""),"XN Chuối DP2")</f>
        <v>XN Chuối DP2</v>
      </c>
      <c r="D1890" s="1076" t="str">
        <f>IFERROR(__xludf.DUMMYFUNCTION("""COMPUTED_VALUE"""),"MARRATA")</f>
        <v>MARRATA</v>
      </c>
      <c r="E1890" s="1076"/>
      <c r="F1890" s="1076"/>
      <c r="G1890" s="1076" t="str">
        <f>IFERROR(__xludf.DUMMYFUNCTION("""COMPUTED_VALUE"""),"CG411")</f>
        <v>CG411</v>
      </c>
      <c r="H1890" s="1076" t="str">
        <f>IFERROR(__xludf.DUMMYFUNCTION("""COMPUTED_VALUE"""),"1.8HP")</f>
        <v>1.8HP</v>
      </c>
      <c r="I1890" s="1076"/>
      <c r="J1890" s="1076"/>
      <c r="K1890" s="1076">
        <f>IFERROR(__xludf.DUMMYFUNCTION("""COMPUTED_VALUE"""),1)</f>
        <v>1</v>
      </c>
      <c r="L1890" s="1076" t="str">
        <f>IFERROR(__xludf.DUMMYFUNCTION("""COMPUTED_VALUE"""),"KLH")</f>
        <v>KLH</v>
      </c>
    </row>
    <row r="1891" customHeight="1" spans="1:12">
      <c r="A1891" s="1076" t="str">
        <f>IFERROR(__xludf.DUMMYFUNCTION("""COMPUTED_VALUE"""),"XD2-MPC-045")</f>
        <v>XD2-MPC-045</v>
      </c>
      <c r="B1891" s="1075" t="str">
        <f>IFERROR(__xludf.DUMMYFUNCTION("""COMPUTED_VALUE"""),"Máy phát cỏ 2 thì")</f>
        <v>Máy phát cỏ 2 thì</v>
      </c>
      <c r="C1891" s="1076" t="str">
        <f>IFERROR(__xludf.DUMMYFUNCTION("""COMPUTED_VALUE"""),"XN Chuối DP2")</f>
        <v>XN Chuối DP2</v>
      </c>
      <c r="D1891" s="1076" t="str">
        <f>IFERROR(__xludf.DUMMYFUNCTION("""COMPUTED_VALUE"""),"MARRATA")</f>
        <v>MARRATA</v>
      </c>
      <c r="E1891" s="1076"/>
      <c r="F1891" s="1076"/>
      <c r="G1891" s="1076" t="str">
        <f>IFERROR(__xludf.DUMMYFUNCTION("""COMPUTED_VALUE"""),"CG411")</f>
        <v>CG411</v>
      </c>
      <c r="H1891" s="1076" t="str">
        <f>IFERROR(__xludf.DUMMYFUNCTION("""COMPUTED_VALUE"""),"1.8HP")</f>
        <v>1.8HP</v>
      </c>
      <c r="I1891" s="1076"/>
      <c r="J1891" s="1076"/>
      <c r="K1891" s="1076"/>
      <c r="L1891" s="1076" t="str">
        <f>IFERROR(__xludf.DUMMYFUNCTION("""COMPUTED_VALUE"""),"KLH")</f>
        <v>KLH</v>
      </c>
    </row>
    <row r="1892" customHeight="1" spans="1:12">
      <c r="A1892" s="1076" t="str">
        <f>IFERROR(__xludf.DUMMYFUNCTION("""COMPUTED_VALUE"""),"XD2-MPC-046")</f>
        <v>XD2-MPC-046</v>
      </c>
      <c r="B1892" s="1075" t="str">
        <f>IFERROR(__xludf.DUMMYFUNCTION("""COMPUTED_VALUE"""),"Máy phát cỏ 2 thì")</f>
        <v>Máy phát cỏ 2 thì</v>
      </c>
      <c r="C1892" s="1076" t="str">
        <f>IFERROR(__xludf.DUMMYFUNCTION("""COMPUTED_VALUE"""),"XN Chuối DP2")</f>
        <v>XN Chuối DP2</v>
      </c>
      <c r="D1892" s="1076" t="str">
        <f>IFERROR(__xludf.DUMMYFUNCTION("""COMPUTED_VALUE"""),"MARRATA")</f>
        <v>MARRATA</v>
      </c>
      <c r="E1892" s="1076"/>
      <c r="F1892" s="1076"/>
      <c r="G1892" s="1076" t="str">
        <f>IFERROR(__xludf.DUMMYFUNCTION("""COMPUTED_VALUE"""),"CG411")</f>
        <v>CG411</v>
      </c>
      <c r="H1892" s="1076" t="str">
        <f>IFERROR(__xludf.DUMMYFUNCTION("""COMPUTED_VALUE"""),"1.8HP")</f>
        <v>1.8HP</v>
      </c>
      <c r="I1892" s="1076"/>
      <c r="J1892" s="1076"/>
      <c r="K1892" s="1076"/>
      <c r="L1892" s="1076" t="str">
        <f>IFERROR(__xludf.DUMMYFUNCTION("""COMPUTED_VALUE"""),"KLH")</f>
        <v>KLH</v>
      </c>
    </row>
    <row r="1893" customHeight="1" spans="1:12">
      <c r="A1893" s="1076" t="str">
        <f>IFERROR(__xludf.DUMMYFUNCTION("""COMPUTED_VALUE"""),"XD2-MPC-047")</f>
        <v>XD2-MPC-047</v>
      </c>
      <c r="B1893" s="1075" t="str">
        <f>IFERROR(__xludf.DUMMYFUNCTION("""COMPUTED_VALUE"""),"Máy phát cỏ 2 thì")</f>
        <v>Máy phát cỏ 2 thì</v>
      </c>
      <c r="C1893" s="1076" t="str">
        <f>IFERROR(__xludf.DUMMYFUNCTION("""COMPUTED_VALUE"""),"XN Chuối DP2")</f>
        <v>XN Chuối DP2</v>
      </c>
      <c r="D1893" s="1076" t="str">
        <f>IFERROR(__xludf.DUMMYFUNCTION("""COMPUTED_VALUE"""),"MARRATA")</f>
        <v>MARRATA</v>
      </c>
      <c r="E1893" s="1076"/>
      <c r="F1893" s="1076"/>
      <c r="G1893" s="1076" t="str">
        <f>IFERROR(__xludf.DUMMYFUNCTION("""COMPUTED_VALUE"""),"CG411")</f>
        <v>CG411</v>
      </c>
      <c r="H1893" s="1076" t="str">
        <f>IFERROR(__xludf.DUMMYFUNCTION("""COMPUTED_VALUE"""),"1.8HP")</f>
        <v>1.8HP</v>
      </c>
      <c r="I1893" s="1076"/>
      <c r="J1893" s="1076"/>
      <c r="K1893" s="1076"/>
      <c r="L1893" s="1076" t="str">
        <f>IFERROR(__xludf.DUMMYFUNCTION("""COMPUTED_VALUE"""),"KLH")</f>
        <v>KLH</v>
      </c>
    </row>
    <row r="1894" customHeight="1" spans="1:12">
      <c r="A1894" s="1076" t="str">
        <f>IFERROR(__xludf.DUMMYFUNCTION("""COMPUTED_VALUE"""),"XD2-MPC-048")</f>
        <v>XD2-MPC-048</v>
      </c>
      <c r="B1894" s="1075" t="str">
        <f>IFERROR(__xludf.DUMMYFUNCTION("""COMPUTED_VALUE"""),"Máy phát cỏ 2 thì")</f>
        <v>Máy phát cỏ 2 thì</v>
      </c>
      <c r="C1894" s="1076" t="str">
        <f>IFERROR(__xludf.DUMMYFUNCTION("""COMPUTED_VALUE"""),"XN Chuối DP2")</f>
        <v>XN Chuối DP2</v>
      </c>
      <c r="D1894" s="1076" t="str">
        <f>IFERROR(__xludf.DUMMYFUNCTION("""COMPUTED_VALUE"""),"MARRATA")</f>
        <v>MARRATA</v>
      </c>
      <c r="E1894" s="1076"/>
      <c r="F1894" s="1076"/>
      <c r="G1894" s="1076" t="str">
        <f>IFERROR(__xludf.DUMMYFUNCTION("""COMPUTED_VALUE"""),"CG411")</f>
        <v>CG411</v>
      </c>
      <c r="H1894" s="1076" t="str">
        <f>IFERROR(__xludf.DUMMYFUNCTION("""COMPUTED_VALUE"""),"1.8HP")</f>
        <v>1.8HP</v>
      </c>
      <c r="I1894" s="1076"/>
      <c r="J1894" s="1076"/>
      <c r="K1894" s="1076"/>
      <c r="L1894" s="1076" t="str">
        <f>IFERROR(__xludf.DUMMYFUNCTION("""COMPUTED_VALUE"""),"KLH")</f>
        <v>KLH</v>
      </c>
    </row>
    <row r="1895" customHeight="1" spans="1:12">
      <c r="A1895" s="1076" t="str">
        <f>IFERROR(__xludf.DUMMYFUNCTION("""COMPUTED_VALUE"""),"XD2-MPC-049")</f>
        <v>XD2-MPC-049</v>
      </c>
      <c r="B1895" s="1075" t="str">
        <f>IFERROR(__xludf.DUMMYFUNCTION("""COMPUTED_VALUE"""),"Máy phát cỏ 2 thì")</f>
        <v>Máy phát cỏ 2 thì</v>
      </c>
      <c r="C1895" s="1076" t="str">
        <f>IFERROR(__xludf.DUMMYFUNCTION("""COMPUTED_VALUE"""),"XN Chuối DP2")</f>
        <v>XN Chuối DP2</v>
      </c>
      <c r="D1895" s="1076" t="str">
        <f>IFERROR(__xludf.DUMMYFUNCTION("""COMPUTED_VALUE"""),"MARRATA")</f>
        <v>MARRATA</v>
      </c>
      <c r="E1895" s="1076"/>
      <c r="F1895" s="1076"/>
      <c r="G1895" s="1076" t="str">
        <f>IFERROR(__xludf.DUMMYFUNCTION("""COMPUTED_VALUE"""),"CG411")</f>
        <v>CG411</v>
      </c>
      <c r="H1895" s="1076" t="str">
        <f>IFERROR(__xludf.DUMMYFUNCTION("""COMPUTED_VALUE"""),"1.8HP")</f>
        <v>1.8HP</v>
      </c>
      <c r="I1895" s="1076"/>
      <c r="J1895" s="1076"/>
      <c r="K1895" s="1076"/>
      <c r="L1895" s="1076" t="str">
        <f>IFERROR(__xludf.DUMMYFUNCTION("""COMPUTED_VALUE"""),"KLH")</f>
        <v>KLH</v>
      </c>
    </row>
    <row r="1896" customHeight="1" spans="1:12">
      <c r="A1896" s="1076" t="str">
        <f>IFERROR(__xludf.DUMMYFUNCTION("""COMPUTED_VALUE"""),"XD2-MPC-050")</f>
        <v>XD2-MPC-050</v>
      </c>
      <c r="B1896" s="1075" t="str">
        <f>IFERROR(__xludf.DUMMYFUNCTION("""COMPUTED_VALUE"""),"Máy phát cỏ 2 thì")</f>
        <v>Máy phát cỏ 2 thì</v>
      </c>
      <c r="C1896" s="1076" t="str">
        <f>IFERROR(__xludf.DUMMYFUNCTION("""COMPUTED_VALUE"""),"XN Chuối DP2")</f>
        <v>XN Chuối DP2</v>
      </c>
      <c r="D1896" s="1076" t="str">
        <f>IFERROR(__xludf.DUMMYFUNCTION("""COMPUTED_VALUE"""),"MARRATA")</f>
        <v>MARRATA</v>
      </c>
      <c r="E1896" s="1076"/>
      <c r="F1896" s="1076"/>
      <c r="G1896" s="1076" t="str">
        <f>IFERROR(__xludf.DUMMYFUNCTION("""COMPUTED_VALUE"""),"CG411")</f>
        <v>CG411</v>
      </c>
      <c r="H1896" s="1076" t="str">
        <f>IFERROR(__xludf.DUMMYFUNCTION("""COMPUTED_VALUE"""),"1.8HP")</f>
        <v>1.8HP</v>
      </c>
      <c r="I1896" s="1076"/>
      <c r="J1896" s="1076"/>
      <c r="K1896" s="1076"/>
      <c r="L1896" s="1076" t="str">
        <f>IFERROR(__xludf.DUMMYFUNCTION("""COMPUTED_VALUE"""),"KLH")</f>
        <v>KLH</v>
      </c>
    </row>
    <row r="1897" customHeight="1" spans="1:12">
      <c r="A1897" s="1076" t="str">
        <f>IFERROR(__xludf.DUMMYFUNCTION("""COMPUTED_VALUE"""),"XD2-MPC-051")</f>
        <v>XD2-MPC-051</v>
      </c>
      <c r="B1897" s="1075" t="str">
        <f>IFERROR(__xludf.DUMMYFUNCTION("""COMPUTED_VALUE"""),"Máy phát cỏ 2 thì")</f>
        <v>Máy phát cỏ 2 thì</v>
      </c>
      <c r="C1897" s="1076" t="str">
        <f>IFERROR(__xludf.DUMMYFUNCTION("""COMPUTED_VALUE"""),"XN Chuối DP2")</f>
        <v>XN Chuối DP2</v>
      </c>
      <c r="D1897" s="1076" t="str">
        <f>IFERROR(__xludf.DUMMYFUNCTION("""COMPUTED_VALUE"""),"MARRATA")</f>
        <v>MARRATA</v>
      </c>
      <c r="E1897" s="1076"/>
      <c r="F1897" s="1076"/>
      <c r="G1897" s="1076" t="str">
        <f>IFERROR(__xludf.DUMMYFUNCTION("""COMPUTED_VALUE"""),"CG411")</f>
        <v>CG411</v>
      </c>
      <c r="H1897" s="1076" t="str">
        <f>IFERROR(__xludf.DUMMYFUNCTION("""COMPUTED_VALUE"""),"1.8HP")</f>
        <v>1.8HP</v>
      </c>
      <c r="I1897" s="1076"/>
      <c r="J1897" s="1076"/>
      <c r="K1897" s="1076"/>
      <c r="L1897" s="1076" t="str">
        <f>IFERROR(__xludf.DUMMYFUNCTION("""COMPUTED_VALUE"""),"KLH")</f>
        <v>KLH</v>
      </c>
    </row>
    <row r="1898" customHeight="1" spans="1:12">
      <c r="A1898" s="1076" t="str">
        <f>IFERROR(__xludf.DUMMYFUNCTION("""COMPUTED_VALUE"""),"XD2-MPC-052")</f>
        <v>XD2-MPC-052</v>
      </c>
      <c r="B1898" s="1075" t="str">
        <f>IFERROR(__xludf.DUMMYFUNCTION("""COMPUTED_VALUE"""),"Máy phát cỏ 2 thì")</f>
        <v>Máy phát cỏ 2 thì</v>
      </c>
      <c r="C1898" s="1076" t="str">
        <f>IFERROR(__xludf.DUMMYFUNCTION("""COMPUTED_VALUE"""),"XN Chuối DP2")</f>
        <v>XN Chuối DP2</v>
      </c>
      <c r="D1898" s="1076" t="str">
        <f>IFERROR(__xludf.DUMMYFUNCTION("""COMPUTED_VALUE"""),"MARRATA")</f>
        <v>MARRATA</v>
      </c>
      <c r="E1898" s="1076"/>
      <c r="F1898" s="1076"/>
      <c r="G1898" s="1076" t="str">
        <f>IFERROR(__xludf.DUMMYFUNCTION("""COMPUTED_VALUE"""),"CG411")</f>
        <v>CG411</v>
      </c>
      <c r="H1898" s="1076" t="str">
        <f>IFERROR(__xludf.DUMMYFUNCTION("""COMPUTED_VALUE"""),"1.8HP")</f>
        <v>1.8HP</v>
      </c>
      <c r="I1898" s="1076"/>
      <c r="J1898" s="1076"/>
      <c r="K1898" s="1076"/>
      <c r="L1898" s="1076" t="str">
        <f>IFERROR(__xludf.DUMMYFUNCTION("""COMPUTED_VALUE"""),"KLH")</f>
        <v>KLH</v>
      </c>
    </row>
    <row r="1899" customHeight="1" spans="1:12">
      <c r="A1899" s="1076" t="str">
        <f>IFERROR(__xludf.DUMMYFUNCTION("""COMPUTED_VALUE"""),"XD2-MPC-053")</f>
        <v>XD2-MPC-053</v>
      </c>
      <c r="B1899" s="1075" t="str">
        <f>IFERROR(__xludf.DUMMYFUNCTION("""COMPUTED_VALUE"""),"Máy phát cỏ 2 thì")</f>
        <v>Máy phát cỏ 2 thì</v>
      </c>
      <c r="C1899" s="1076" t="str">
        <f>IFERROR(__xludf.DUMMYFUNCTION("""COMPUTED_VALUE"""),"XN Chuối DP2")</f>
        <v>XN Chuối DP2</v>
      </c>
      <c r="D1899" s="1076" t="str">
        <f>IFERROR(__xludf.DUMMYFUNCTION("""COMPUTED_VALUE"""),"MARRATA")</f>
        <v>MARRATA</v>
      </c>
      <c r="E1899" s="1076"/>
      <c r="F1899" s="1076"/>
      <c r="G1899" s="1076" t="str">
        <f>IFERROR(__xludf.DUMMYFUNCTION("""COMPUTED_VALUE"""),"CG411")</f>
        <v>CG411</v>
      </c>
      <c r="H1899" s="1076" t="str">
        <f>IFERROR(__xludf.DUMMYFUNCTION("""COMPUTED_VALUE"""),"1.8HP")</f>
        <v>1.8HP</v>
      </c>
      <c r="I1899" s="1076"/>
      <c r="J1899" s="1076"/>
      <c r="K1899" s="1076"/>
      <c r="L1899" s="1076" t="str">
        <f>IFERROR(__xludf.DUMMYFUNCTION("""COMPUTED_VALUE"""),"KLH")</f>
        <v>KLH</v>
      </c>
    </row>
    <row r="1900" customHeight="1" spans="1:12">
      <c r="A1900" s="1076" t="str">
        <f>IFERROR(__xludf.DUMMYFUNCTION("""COMPUTED_VALUE"""),"XD2-MPC-054")</f>
        <v>XD2-MPC-054</v>
      </c>
      <c r="B1900" s="1075" t="str">
        <f>IFERROR(__xludf.DUMMYFUNCTION("""COMPUTED_VALUE"""),"Máy phát cỏ 2 thì")</f>
        <v>Máy phát cỏ 2 thì</v>
      </c>
      <c r="C1900" s="1076" t="str">
        <f>IFERROR(__xludf.DUMMYFUNCTION("""COMPUTED_VALUE"""),"XN Chuối DP2")</f>
        <v>XN Chuối DP2</v>
      </c>
      <c r="D1900" s="1076" t="str">
        <f>IFERROR(__xludf.DUMMYFUNCTION("""COMPUTED_VALUE"""),"MARRATA")</f>
        <v>MARRATA</v>
      </c>
      <c r="E1900" s="1076"/>
      <c r="F1900" s="1076"/>
      <c r="G1900" s="1076" t="str">
        <f>IFERROR(__xludf.DUMMYFUNCTION("""COMPUTED_VALUE"""),"CG411")</f>
        <v>CG411</v>
      </c>
      <c r="H1900" s="1076" t="str">
        <f>IFERROR(__xludf.DUMMYFUNCTION("""COMPUTED_VALUE"""),"1.8HP")</f>
        <v>1.8HP</v>
      </c>
      <c r="I1900" s="1076"/>
      <c r="J1900" s="1076"/>
      <c r="K1900" s="1076"/>
      <c r="L1900" s="1076" t="str">
        <f>IFERROR(__xludf.DUMMYFUNCTION("""COMPUTED_VALUE"""),"KLH")</f>
        <v>KLH</v>
      </c>
    </row>
    <row r="1901" customHeight="1" spans="1:12">
      <c r="A1901" s="1076" t="str">
        <f>IFERROR(__xludf.DUMMYFUNCTION("""COMPUTED_VALUE"""),"XD2-MPC-055")</f>
        <v>XD2-MPC-055</v>
      </c>
      <c r="B1901" s="1075" t="str">
        <f>IFERROR(__xludf.DUMMYFUNCTION("""COMPUTED_VALUE"""),"Máy phát cỏ 2 thì")</f>
        <v>Máy phát cỏ 2 thì</v>
      </c>
      <c r="C1901" s="1076" t="str">
        <f>IFERROR(__xludf.DUMMYFUNCTION("""COMPUTED_VALUE"""),"XN Chuối DP2")</f>
        <v>XN Chuối DP2</v>
      </c>
      <c r="D1901" s="1076" t="str">
        <f>IFERROR(__xludf.DUMMYFUNCTION("""COMPUTED_VALUE"""),"MARRATA")</f>
        <v>MARRATA</v>
      </c>
      <c r="E1901" s="1076"/>
      <c r="F1901" s="1076"/>
      <c r="G1901" s="1076" t="str">
        <f>IFERROR(__xludf.DUMMYFUNCTION("""COMPUTED_VALUE"""),"CG411")</f>
        <v>CG411</v>
      </c>
      <c r="H1901" s="1076" t="str">
        <f>IFERROR(__xludf.DUMMYFUNCTION("""COMPUTED_VALUE"""),"1.8HP")</f>
        <v>1.8HP</v>
      </c>
      <c r="I1901" s="1076"/>
      <c r="J1901" s="1076"/>
      <c r="K1901" s="1076"/>
      <c r="L1901" s="1076" t="str">
        <f>IFERROR(__xludf.DUMMYFUNCTION("""COMPUTED_VALUE"""),"KLH")</f>
        <v>KLH</v>
      </c>
    </row>
    <row r="1902" customHeight="1" spans="1:12">
      <c r="A1902" s="1076" t="str">
        <f>IFERROR(__xludf.DUMMYFUNCTION("""COMPUTED_VALUE"""),"XD2-MPC-056")</f>
        <v>XD2-MPC-056</v>
      </c>
      <c r="B1902" s="1075" t="str">
        <f>IFERROR(__xludf.DUMMYFUNCTION("""COMPUTED_VALUE"""),"Máy phát cỏ 2 thì")</f>
        <v>Máy phát cỏ 2 thì</v>
      </c>
      <c r="C1902" s="1076" t="str">
        <f>IFERROR(__xludf.DUMMYFUNCTION("""COMPUTED_VALUE"""),"XN Chuối DP2")</f>
        <v>XN Chuối DP2</v>
      </c>
      <c r="D1902" s="1076" t="str">
        <f>IFERROR(__xludf.DUMMYFUNCTION("""COMPUTED_VALUE"""),"MARRATA")</f>
        <v>MARRATA</v>
      </c>
      <c r="E1902" s="1076"/>
      <c r="F1902" s="1076"/>
      <c r="G1902" s="1076" t="str">
        <f>IFERROR(__xludf.DUMMYFUNCTION("""COMPUTED_VALUE"""),"CG411")</f>
        <v>CG411</v>
      </c>
      <c r="H1902" s="1076" t="str">
        <f>IFERROR(__xludf.DUMMYFUNCTION("""COMPUTED_VALUE"""),"1.8HP")</f>
        <v>1.8HP</v>
      </c>
      <c r="I1902" s="1076"/>
      <c r="J1902" s="1076"/>
      <c r="K1902" s="1076"/>
      <c r="L1902" s="1076" t="str">
        <f>IFERROR(__xludf.DUMMYFUNCTION("""COMPUTED_VALUE"""),"KLH")</f>
        <v>KLH</v>
      </c>
    </row>
    <row r="1903" customHeight="1" spans="1:12">
      <c r="A1903" s="1076" t="str">
        <f>IFERROR(__xludf.DUMMYFUNCTION("""COMPUTED_VALUE"""),"XD2-MPC-057")</f>
        <v>XD2-MPC-057</v>
      </c>
      <c r="B1903" s="1075" t="str">
        <f>IFERROR(__xludf.DUMMYFUNCTION("""COMPUTED_VALUE"""),"Máy phát cỏ 2 thì")</f>
        <v>Máy phát cỏ 2 thì</v>
      </c>
      <c r="C1903" s="1076" t="str">
        <f>IFERROR(__xludf.DUMMYFUNCTION("""COMPUTED_VALUE"""),"XN Chuối DP2")</f>
        <v>XN Chuối DP2</v>
      </c>
      <c r="D1903" s="1076" t="str">
        <f>IFERROR(__xludf.DUMMYFUNCTION("""COMPUTED_VALUE"""),"MARRATA")</f>
        <v>MARRATA</v>
      </c>
      <c r="E1903" s="1076"/>
      <c r="F1903" s="1076"/>
      <c r="G1903" s="1076" t="str">
        <f>IFERROR(__xludf.DUMMYFUNCTION("""COMPUTED_VALUE"""),"CG411")</f>
        <v>CG411</v>
      </c>
      <c r="H1903" s="1076" t="str">
        <f>IFERROR(__xludf.DUMMYFUNCTION("""COMPUTED_VALUE"""),"1.8HP")</f>
        <v>1.8HP</v>
      </c>
      <c r="I1903" s="1076"/>
      <c r="J1903" s="1076"/>
      <c r="K1903" s="1076"/>
      <c r="L1903" s="1076" t="str">
        <f>IFERROR(__xludf.DUMMYFUNCTION("""COMPUTED_VALUE"""),"KLH")</f>
        <v>KLH</v>
      </c>
    </row>
    <row r="1904" customHeight="1" spans="1:12">
      <c r="A1904" s="1076" t="str">
        <f>IFERROR(__xludf.DUMMYFUNCTION("""COMPUTED_VALUE"""),"XD2-MPC-058")</f>
        <v>XD2-MPC-058</v>
      </c>
      <c r="B1904" s="1075" t="str">
        <f>IFERROR(__xludf.DUMMYFUNCTION("""COMPUTED_VALUE"""),"Máy phát cỏ 2 thì")</f>
        <v>Máy phát cỏ 2 thì</v>
      </c>
      <c r="C1904" s="1076" t="str">
        <f>IFERROR(__xludf.DUMMYFUNCTION("""COMPUTED_VALUE"""),"XN Chuối DP2")</f>
        <v>XN Chuối DP2</v>
      </c>
      <c r="D1904" s="1076" t="str">
        <f>IFERROR(__xludf.DUMMYFUNCTION("""COMPUTED_VALUE"""),"MARRATA")</f>
        <v>MARRATA</v>
      </c>
      <c r="E1904" s="1076"/>
      <c r="F1904" s="1076"/>
      <c r="G1904" s="1076" t="str">
        <f>IFERROR(__xludf.DUMMYFUNCTION("""COMPUTED_VALUE"""),"CG411")</f>
        <v>CG411</v>
      </c>
      <c r="H1904" s="1076" t="str">
        <f>IFERROR(__xludf.DUMMYFUNCTION("""COMPUTED_VALUE"""),"1.8HP")</f>
        <v>1.8HP</v>
      </c>
      <c r="I1904" s="1076"/>
      <c r="J1904" s="1076"/>
      <c r="K1904" s="1076"/>
      <c r="L1904" s="1076" t="str">
        <f>IFERROR(__xludf.DUMMYFUNCTION("""COMPUTED_VALUE"""),"KLH")</f>
        <v>KLH</v>
      </c>
    </row>
    <row r="1905" customHeight="1" spans="1:12">
      <c r="A1905" s="1076" t="str">
        <f>IFERROR(__xludf.DUMMYFUNCTION("""COMPUTED_VALUE"""),"XD2-MPC-059")</f>
        <v>XD2-MPC-059</v>
      </c>
      <c r="B1905" s="1075" t="str">
        <f>IFERROR(__xludf.DUMMYFUNCTION("""COMPUTED_VALUE"""),"Máy phát cỏ 2 thì")</f>
        <v>Máy phát cỏ 2 thì</v>
      </c>
      <c r="C1905" s="1076" t="str">
        <f>IFERROR(__xludf.DUMMYFUNCTION("""COMPUTED_VALUE"""),"XN Chuối DP2")</f>
        <v>XN Chuối DP2</v>
      </c>
      <c r="D1905" s="1076" t="str">
        <f>IFERROR(__xludf.DUMMYFUNCTION("""COMPUTED_VALUE"""),"MARRATA")</f>
        <v>MARRATA</v>
      </c>
      <c r="E1905" s="1076"/>
      <c r="F1905" s="1076"/>
      <c r="G1905" s="1076" t="str">
        <f>IFERROR(__xludf.DUMMYFUNCTION("""COMPUTED_VALUE"""),"CG411")</f>
        <v>CG411</v>
      </c>
      <c r="H1905" s="1076" t="str">
        <f>IFERROR(__xludf.DUMMYFUNCTION("""COMPUTED_VALUE"""),"1.8HP")</f>
        <v>1.8HP</v>
      </c>
      <c r="I1905" s="1076"/>
      <c r="J1905" s="1076"/>
      <c r="K1905" s="1076"/>
      <c r="L1905" s="1076" t="str">
        <f>IFERROR(__xludf.DUMMYFUNCTION("""COMPUTED_VALUE"""),"KLH")</f>
        <v>KLH</v>
      </c>
    </row>
    <row r="1906" customHeight="1" spans="1:12">
      <c r="A1906" s="1076" t="str">
        <f>IFERROR(__xludf.DUMMYFUNCTION("""COMPUTED_VALUE"""),"XN DP3")</f>
        <v>XN DP3</v>
      </c>
      <c r="B1906" s="1075"/>
      <c r="C1906" s="1076"/>
      <c r="D1906" s="1076"/>
      <c r="E1906" s="1076"/>
      <c r="F1906" s="1076"/>
      <c r="G1906" s="1076"/>
      <c r="H1906" s="1076"/>
      <c r="I1906" s="1076"/>
      <c r="J1906" s="1076"/>
      <c r="K1906" s="1076"/>
      <c r="L1906" s="1076" t="str">
        <f>IFERROR(__xludf.DUMMYFUNCTION("""COMPUTED_VALUE"""),"KLH")</f>
        <v>KLH</v>
      </c>
    </row>
    <row r="1907" customHeight="1" spans="1:12">
      <c r="A1907" s="1076" t="str">
        <f>IFERROR(__xludf.DUMMYFUNCTION("""COMPUTED_VALUE"""),"XD3-MPC-008")</f>
        <v>XD3-MPC-008</v>
      </c>
      <c r="B1907" s="1075" t="str">
        <f>IFERROR(__xludf.DUMMYFUNCTION("""COMPUTED_VALUE"""),"Máy phát cỏ 4 thì")</f>
        <v>Máy phát cỏ 4 thì</v>
      </c>
      <c r="C1907" s="1076" t="str">
        <f>IFERROR(__xludf.DUMMYFUNCTION("""COMPUTED_VALUE"""),"XN Chuối DP3")</f>
        <v>XN Chuối DP3</v>
      </c>
      <c r="D1907" s="1076" t="str">
        <f>IFERROR(__xludf.DUMMYFUNCTION("""COMPUTED_VALUE"""),"HINOTA")</f>
        <v>HINOTA</v>
      </c>
      <c r="E1907" s="1076" t="str">
        <f>IFERROR(__xludf.DUMMYFUNCTION("""COMPUTED_VALUE"""),"Trung Quốc")</f>
        <v>Trung Quốc</v>
      </c>
      <c r="F1907" s="1076"/>
      <c r="G1907" s="1076" t="str">
        <f>IFERROR(__xludf.DUMMYFUNCTION("""COMPUTED_VALUE"""),"CG435")</f>
        <v>CG435</v>
      </c>
      <c r="H1907" s="1076" t="str">
        <f>IFERROR(__xludf.DUMMYFUNCTION("""COMPUTED_VALUE"""),"1.2HP")</f>
        <v>1.2HP</v>
      </c>
      <c r="I1907" s="1076"/>
      <c r="J1907" s="1076"/>
      <c r="K1907" s="1076">
        <f>IFERROR(__xludf.DUMMYFUNCTION("""COMPUTED_VALUE"""),0.5)</f>
        <v>0.5</v>
      </c>
      <c r="L1907" s="1076" t="str">
        <f>IFERROR(__xludf.DUMMYFUNCTION("""COMPUTED_VALUE"""),"KLH")</f>
        <v>KLH</v>
      </c>
    </row>
    <row r="1908" customHeight="1" spans="1:12">
      <c r="A1908" s="1076" t="str">
        <f>IFERROR(__xludf.DUMMYFUNCTION("""COMPUTED_VALUE"""),"XD3-MPC-022")</f>
        <v>XD3-MPC-022</v>
      </c>
      <c r="B1908" s="1075" t="str">
        <f>IFERROR(__xludf.DUMMYFUNCTION("""COMPUTED_VALUE"""),"Máy phát cỏ 4 thì")</f>
        <v>Máy phát cỏ 4 thì</v>
      </c>
      <c r="C1908" s="1076" t="str">
        <f>IFERROR(__xludf.DUMMYFUNCTION("""COMPUTED_VALUE"""),"XN Chuối DP3")</f>
        <v>XN Chuối DP3</v>
      </c>
      <c r="D1908" s="1076" t="str">
        <f>IFERROR(__xludf.DUMMYFUNCTION("""COMPUTED_VALUE"""),"HINOTA")</f>
        <v>HINOTA</v>
      </c>
      <c r="E1908" s="1076" t="str">
        <f>IFERROR(__xludf.DUMMYFUNCTION("""COMPUTED_VALUE"""),"Trung Quốc")</f>
        <v>Trung Quốc</v>
      </c>
      <c r="F1908" s="1076"/>
      <c r="G1908" s="1076" t="str">
        <f>IFERROR(__xludf.DUMMYFUNCTION("""COMPUTED_VALUE"""),"CG435")</f>
        <v>CG435</v>
      </c>
      <c r="H1908" s="1076" t="str">
        <f>IFERROR(__xludf.DUMMYFUNCTION("""COMPUTED_VALUE"""),"1.2HP")</f>
        <v>1.2HP</v>
      </c>
      <c r="I1908" s="1076"/>
      <c r="J1908" s="1076"/>
      <c r="K1908" s="1076">
        <f>IFERROR(__xludf.DUMMYFUNCTION("""COMPUTED_VALUE"""),0.5)</f>
        <v>0.5</v>
      </c>
      <c r="L1908" s="1076" t="str">
        <f>IFERROR(__xludf.DUMMYFUNCTION("""COMPUTED_VALUE"""),"KLH")</f>
        <v>KLH</v>
      </c>
    </row>
    <row r="1909" customHeight="1" spans="1:12">
      <c r="A1909" s="1076" t="str">
        <f>IFERROR(__xludf.DUMMYFUNCTION("""COMPUTED_VALUE"""),"XD3-MPC-029")</f>
        <v>XD3-MPC-029</v>
      </c>
      <c r="B1909" s="1075" t="str">
        <f>IFERROR(__xludf.DUMMYFUNCTION("""COMPUTED_VALUE"""),"Máy phát cỏ 4 thì")</f>
        <v>Máy phát cỏ 4 thì</v>
      </c>
      <c r="C1909" s="1076" t="str">
        <f>IFERROR(__xludf.DUMMYFUNCTION("""COMPUTED_VALUE"""),"XN Chuối DP3")</f>
        <v>XN Chuối DP3</v>
      </c>
      <c r="D1909" s="1076" t="str">
        <f>IFERROR(__xludf.DUMMYFUNCTION("""COMPUTED_VALUE"""),"HINOTA")</f>
        <v>HINOTA</v>
      </c>
      <c r="E1909" s="1076" t="str">
        <f>IFERROR(__xludf.DUMMYFUNCTION("""COMPUTED_VALUE"""),"Trung Quốc")</f>
        <v>Trung Quốc</v>
      </c>
      <c r="F1909" s="1076"/>
      <c r="G1909" s="1076" t="str">
        <f>IFERROR(__xludf.DUMMYFUNCTION("""COMPUTED_VALUE"""),"CG435")</f>
        <v>CG435</v>
      </c>
      <c r="H1909" s="1076" t="str">
        <f>IFERROR(__xludf.DUMMYFUNCTION("""COMPUTED_VALUE"""),"1.2HP")</f>
        <v>1.2HP</v>
      </c>
      <c r="I1909" s="1076"/>
      <c r="J1909" s="1076"/>
      <c r="K1909" s="1076">
        <f>IFERROR(__xludf.DUMMYFUNCTION("""COMPUTED_VALUE"""),0.5)</f>
        <v>0.5</v>
      </c>
      <c r="L1909" s="1076" t="str">
        <f>IFERROR(__xludf.DUMMYFUNCTION("""COMPUTED_VALUE"""),"KLH")</f>
        <v>KLH</v>
      </c>
    </row>
    <row r="1910" customHeight="1" spans="1:12">
      <c r="A1910" s="1076" t="str">
        <f>IFERROR(__xludf.DUMMYFUNCTION("""COMPUTED_VALUE"""),"XD3-MPC-030")</f>
        <v>XD3-MPC-030</v>
      </c>
      <c r="B1910" s="1075" t="str">
        <f>IFERROR(__xludf.DUMMYFUNCTION("""COMPUTED_VALUE"""),"Máy phát cỏ 4 thì")</f>
        <v>Máy phát cỏ 4 thì</v>
      </c>
      <c r="C1910" s="1076" t="str">
        <f>IFERROR(__xludf.DUMMYFUNCTION("""COMPUTED_VALUE"""),"XN Chuối DP3")</f>
        <v>XN Chuối DP3</v>
      </c>
      <c r="D1910" s="1076" t="str">
        <f>IFERROR(__xludf.DUMMYFUNCTION("""COMPUTED_VALUE"""),"HONDA")</f>
        <v>HONDA</v>
      </c>
      <c r="E1910" s="1076" t="str">
        <f>IFERROR(__xludf.DUMMYFUNCTION("""COMPUTED_VALUE"""),"THÁI LAN")</f>
        <v>THÁI LAN</v>
      </c>
      <c r="F1910" s="1076"/>
      <c r="G1910" s="1076" t="str">
        <f>IFERROR(__xludf.DUMMYFUNCTION("""COMPUTED_VALUE"""),"GX35")</f>
        <v>GX35</v>
      </c>
      <c r="H1910" s="1076" t="str">
        <f>IFERROR(__xludf.DUMMYFUNCTION("""COMPUTED_VALUE"""),"1.6HP")</f>
        <v>1.6HP</v>
      </c>
      <c r="I1910" s="1076"/>
      <c r="J1910" s="1076"/>
      <c r="K1910" s="1076">
        <f>IFERROR(__xludf.DUMMYFUNCTION("""COMPUTED_VALUE"""),0.5)</f>
        <v>0.5</v>
      </c>
      <c r="L1910" s="1076" t="str">
        <f>IFERROR(__xludf.DUMMYFUNCTION("""COMPUTED_VALUE"""),"KLH")</f>
        <v>KLH</v>
      </c>
    </row>
    <row r="1911" customHeight="1" spans="1:12">
      <c r="A1911" s="1076" t="str">
        <f>IFERROR(__xludf.DUMMYFUNCTION("""COMPUTED_VALUE"""),"XD3-MPC-031")</f>
        <v>XD3-MPC-031</v>
      </c>
      <c r="B1911" s="1075" t="str">
        <f>IFERROR(__xludf.DUMMYFUNCTION("""COMPUTED_VALUE"""),"Máy phát cỏ 4 thì")</f>
        <v>Máy phát cỏ 4 thì</v>
      </c>
      <c r="C1911" s="1076" t="str">
        <f>IFERROR(__xludf.DUMMYFUNCTION("""COMPUTED_VALUE"""),"XN Chuối DP3")</f>
        <v>XN Chuối DP3</v>
      </c>
      <c r="D1911" s="1076" t="str">
        <f>IFERROR(__xludf.DUMMYFUNCTION("""COMPUTED_VALUE"""),"HONDA")</f>
        <v>HONDA</v>
      </c>
      <c r="E1911" s="1076" t="str">
        <f>IFERROR(__xludf.DUMMYFUNCTION("""COMPUTED_VALUE"""),"THÁI LAN")</f>
        <v>THÁI LAN</v>
      </c>
      <c r="F1911" s="1076"/>
      <c r="G1911" s="1076" t="str">
        <f>IFERROR(__xludf.DUMMYFUNCTION("""COMPUTED_VALUE"""),"GX35")</f>
        <v>GX35</v>
      </c>
      <c r="H1911" s="1076" t="str">
        <f>IFERROR(__xludf.DUMMYFUNCTION("""COMPUTED_VALUE"""),"1.6HP")</f>
        <v>1.6HP</v>
      </c>
      <c r="I1911" s="1076"/>
      <c r="J1911" s="1076"/>
      <c r="K1911" s="1076">
        <f>IFERROR(__xludf.DUMMYFUNCTION("""COMPUTED_VALUE"""),0.5)</f>
        <v>0.5</v>
      </c>
      <c r="L1911" s="1076" t="str">
        <f>IFERROR(__xludf.DUMMYFUNCTION("""COMPUTED_VALUE"""),"KLH")</f>
        <v>KLH</v>
      </c>
    </row>
    <row r="1912" customHeight="1" spans="1:12">
      <c r="A1912" s="1076" t="str">
        <f>IFERROR(__xludf.DUMMYFUNCTION("""COMPUTED_VALUE"""),"XD3-MPC-036")</f>
        <v>XD3-MPC-036</v>
      </c>
      <c r="B1912" s="1075" t="str">
        <f>IFERROR(__xludf.DUMMYFUNCTION("""COMPUTED_VALUE"""),"Máy phát cỏ 4 thì")</f>
        <v>Máy phát cỏ 4 thì</v>
      </c>
      <c r="C1912" s="1076" t="str">
        <f>IFERROR(__xludf.DUMMYFUNCTION("""COMPUTED_VALUE"""),"XN Chuối DP3")</f>
        <v>XN Chuối DP3</v>
      </c>
      <c r="D1912" s="1076" t="str">
        <f>IFERROR(__xludf.DUMMYFUNCTION("""COMPUTED_VALUE"""),"HONDA")</f>
        <v>HONDA</v>
      </c>
      <c r="E1912" s="1076" t="str">
        <f>IFERROR(__xludf.DUMMYFUNCTION("""COMPUTED_VALUE"""),"THÁI LAN")</f>
        <v>THÁI LAN</v>
      </c>
      <c r="F1912" s="1076"/>
      <c r="G1912" s="1076" t="str">
        <f>IFERROR(__xludf.DUMMYFUNCTION("""COMPUTED_VALUE"""),"GX35")</f>
        <v>GX35</v>
      </c>
      <c r="H1912" s="1076" t="str">
        <f>IFERROR(__xludf.DUMMYFUNCTION("""COMPUTED_VALUE"""),"1.6HP")</f>
        <v>1.6HP</v>
      </c>
      <c r="I1912" s="1076"/>
      <c r="J1912" s="1076"/>
      <c r="K1912" s="1076">
        <f>IFERROR(__xludf.DUMMYFUNCTION("""COMPUTED_VALUE"""),0.5)</f>
        <v>0.5</v>
      </c>
      <c r="L1912" s="1076" t="str">
        <f>IFERROR(__xludf.DUMMYFUNCTION("""COMPUTED_VALUE"""),"KLH")</f>
        <v>KLH</v>
      </c>
    </row>
    <row r="1913" customHeight="1" spans="1:12">
      <c r="A1913" s="1076" t="str">
        <f>IFERROR(__xludf.DUMMYFUNCTION("""COMPUTED_VALUE"""),"XD3-MPC-037")</f>
        <v>XD3-MPC-037</v>
      </c>
      <c r="B1913" s="1075" t="str">
        <f>IFERROR(__xludf.DUMMYFUNCTION("""COMPUTED_VALUE"""),"Máy phát cỏ 4 thì")</f>
        <v>Máy phát cỏ 4 thì</v>
      </c>
      <c r="C1913" s="1076" t="str">
        <f>IFERROR(__xludf.DUMMYFUNCTION("""COMPUTED_VALUE"""),"XN Chuối DP3")</f>
        <v>XN Chuối DP3</v>
      </c>
      <c r="D1913" s="1076" t="str">
        <f>IFERROR(__xludf.DUMMYFUNCTION("""COMPUTED_VALUE"""),"HONDA")</f>
        <v>HONDA</v>
      </c>
      <c r="E1913" s="1076" t="str">
        <f>IFERROR(__xludf.DUMMYFUNCTION("""COMPUTED_VALUE"""),"THÁI LAN")</f>
        <v>THÁI LAN</v>
      </c>
      <c r="F1913" s="1076"/>
      <c r="G1913" s="1076" t="str">
        <f>IFERROR(__xludf.DUMMYFUNCTION("""COMPUTED_VALUE"""),"GX35")</f>
        <v>GX35</v>
      </c>
      <c r="H1913" s="1076" t="str">
        <f>IFERROR(__xludf.DUMMYFUNCTION("""COMPUTED_VALUE"""),"1.6HP")</f>
        <v>1.6HP</v>
      </c>
      <c r="I1913" s="1076" t="str">
        <f>IFERROR(__xludf.DUMMYFUNCTION("""COMPUTED_VALUE"""),"GCAMT-7717017")</f>
        <v>GCAMT-7717017</v>
      </c>
      <c r="J1913" s="1076"/>
      <c r="K1913" s="1076">
        <f>IFERROR(__xludf.DUMMYFUNCTION("""COMPUTED_VALUE"""),0.5)</f>
        <v>0.5</v>
      </c>
      <c r="L1913" s="1076" t="str">
        <f>IFERROR(__xludf.DUMMYFUNCTION("""COMPUTED_VALUE"""),"KLH")</f>
        <v>KLH</v>
      </c>
    </row>
    <row r="1914" customHeight="1" spans="1:12">
      <c r="A1914" s="1076" t="str">
        <f>IFERROR(__xludf.DUMMYFUNCTION("""COMPUTED_VALUE"""),"XD3-MPC-040")</f>
        <v>XD3-MPC-040</v>
      </c>
      <c r="B1914" s="1075" t="str">
        <f>IFERROR(__xludf.DUMMYFUNCTION("""COMPUTED_VALUE"""),"Máy phát cỏ 4 thì")</f>
        <v>Máy phát cỏ 4 thì</v>
      </c>
      <c r="C1914" s="1076" t="str">
        <f>IFERROR(__xludf.DUMMYFUNCTION("""COMPUTED_VALUE"""),"XN Chuối DP3")</f>
        <v>XN Chuối DP3</v>
      </c>
      <c r="D1914" s="1076" t="str">
        <f>IFERROR(__xludf.DUMMYFUNCTION("""COMPUTED_VALUE"""),"HONDA")</f>
        <v>HONDA</v>
      </c>
      <c r="E1914" s="1076" t="str">
        <f>IFERROR(__xludf.DUMMYFUNCTION("""COMPUTED_VALUE"""),"THÁI LAN")</f>
        <v>THÁI LAN</v>
      </c>
      <c r="F1914" s="1076"/>
      <c r="G1914" s="1076" t="str">
        <f>IFERROR(__xludf.DUMMYFUNCTION("""COMPUTED_VALUE"""),"GX35")</f>
        <v>GX35</v>
      </c>
      <c r="H1914" s="1076" t="str">
        <f>IFERROR(__xludf.DUMMYFUNCTION("""COMPUTED_VALUE"""),"1.6HP")</f>
        <v>1.6HP</v>
      </c>
      <c r="I1914" s="1076" t="str">
        <f>IFERROR(__xludf.DUMMYFUNCTION("""COMPUTED_VALUE"""),"GCAMT-7717631")</f>
        <v>GCAMT-7717631</v>
      </c>
      <c r="J1914" s="1076"/>
      <c r="K1914" s="1076">
        <f>IFERROR(__xludf.DUMMYFUNCTION("""COMPUTED_VALUE"""),0.5)</f>
        <v>0.5</v>
      </c>
      <c r="L1914" s="1076" t="str">
        <f>IFERROR(__xludf.DUMMYFUNCTION("""COMPUTED_VALUE"""),"KLH")</f>
        <v>KLH</v>
      </c>
    </row>
    <row r="1915" customHeight="1" spans="1:12">
      <c r="A1915" s="1076" t="str">
        <f>IFERROR(__xludf.DUMMYFUNCTION("""COMPUTED_VALUE"""),"XD3-MPC-041")</f>
        <v>XD3-MPC-041</v>
      </c>
      <c r="B1915" s="1075" t="str">
        <f>IFERROR(__xludf.DUMMYFUNCTION("""COMPUTED_VALUE"""),"Máy phát cỏ 4 thì")</f>
        <v>Máy phát cỏ 4 thì</v>
      </c>
      <c r="C1915" s="1076" t="str">
        <f>IFERROR(__xludf.DUMMYFUNCTION("""COMPUTED_VALUE"""),"XN Chuối DP3")</f>
        <v>XN Chuối DP3</v>
      </c>
      <c r="D1915" s="1076" t="str">
        <f>IFERROR(__xludf.DUMMYFUNCTION("""COMPUTED_VALUE"""),"HONDA")</f>
        <v>HONDA</v>
      </c>
      <c r="E1915" s="1076" t="str">
        <f>IFERROR(__xludf.DUMMYFUNCTION("""COMPUTED_VALUE"""),"THÁI LAN")</f>
        <v>THÁI LAN</v>
      </c>
      <c r="F1915" s="1076"/>
      <c r="G1915" s="1076" t="str">
        <f>IFERROR(__xludf.DUMMYFUNCTION("""COMPUTED_VALUE"""),"GX35")</f>
        <v>GX35</v>
      </c>
      <c r="H1915" s="1076" t="str">
        <f>IFERROR(__xludf.DUMMYFUNCTION("""COMPUTED_VALUE"""),"1.6HP")</f>
        <v>1.6HP</v>
      </c>
      <c r="I1915" s="1076" t="str">
        <f>IFERROR(__xludf.DUMMYFUNCTION("""COMPUTED_VALUE"""),"GCAMT-7716974")</f>
        <v>GCAMT-7716974</v>
      </c>
      <c r="J1915" s="1076"/>
      <c r="K1915" s="1076">
        <f>IFERROR(__xludf.DUMMYFUNCTION("""COMPUTED_VALUE"""),0.5)</f>
        <v>0.5</v>
      </c>
      <c r="L1915" s="1076" t="str">
        <f>IFERROR(__xludf.DUMMYFUNCTION("""COMPUTED_VALUE"""),"KLH")</f>
        <v>KLH</v>
      </c>
    </row>
    <row r="1916" customHeight="1" spans="1:12">
      <c r="A1916" s="1076" t="str">
        <f>IFERROR(__xludf.DUMMYFUNCTION("""COMPUTED_VALUE"""),"XD3-MPC-042")</f>
        <v>XD3-MPC-042</v>
      </c>
      <c r="B1916" s="1075" t="str">
        <f>IFERROR(__xludf.DUMMYFUNCTION("""COMPUTED_VALUE"""),"Máy phát cỏ 4 thì")</f>
        <v>Máy phát cỏ 4 thì</v>
      </c>
      <c r="C1916" s="1076" t="str">
        <f>IFERROR(__xludf.DUMMYFUNCTION("""COMPUTED_VALUE"""),"XN Chuối DP3")</f>
        <v>XN Chuối DP3</v>
      </c>
      <c r="D1916" s="1076" t="str">
        <f>IFERROR(__xludf.DUMMYFUNCTION("""COMPUTED_VALUE"""),"HONDA")</f>
        <v>HONDA</v>
      </c>
      <c r="E1916" s="1076" t="str">
        <f>IFERROR(__xludf.DUMMYFUNCTION("""COMPUTED_VALUE"""),"THÁI LAN")</f>
        <v>THÁI LAN</v>
      </c>
      <c r="F1916" s="1076"/>
      <c r="G1916" s="1076" t="str">
        <f>IFERROR(__xludf.DUMMYFUNCTION("""COMPUTED_VALUE"""),"GX35")</f>
        <v>GX35</v>
      </c>
      <c r="H1916" s="1076" t="str">
        <f>IFERROR(__xludf.DUMMYFUNCTION("""COMPUTED_VALUE"""),"1.6HP")</f>
        <v>1.6HP</v>
      </c>
      <c r="I1916" s="1076" t="str">
        <f>IFERROR(__xludf.DUMMYFUNCTION("""COMPUTED_VALUE"""),"GCAMT-7717594")</f>
        <v>GCAMT-7717594</v>
      </c>
      <c r="J1916" s="1076"/>
      <c r="K1916" s="1076">
        <f>IFERROR(__xludf.DUMMYFUNCTION("""COMPUTED_VALUE"""),0.5)</f>
        <v>0.5</v>
      </c>
      <c r="L1916" s="1076" t="str">
        <f>IFERROR(__xludf.DUMMYFUNCTION("""COMPUTED_VALUE"""),"KLH")</f>
        <v>KLH</v>
      </c>
    </row>
    <row r="1917" customHeight="1" spans="1:12">
      <c r="A1917" s="1076" t="str">
        <f>IFERROR(__xludf.DUMMYFUNCTION("""COMPUTED_VALUE"""),"XD3-MPC-043")</f>
        <v>XD3-MPC-043</v>
      </c>
      <c r="B1917" s="1075" t="str">
        <f>IFERROR(__xludf.DUMMYFUNCTION("""COMPUTED_VALUE"""),"Máy phát cỏ 4 thì")</f>
        <v>Máy phát cỏ 4 thì</v>
      </c>
      <c r="C1917" s="1076" t="str">
        <f>IFERROR(__xludf.DUMMYFUNCTION("""COMPUTED_VALUE"""),"XN Chuối DP3")</f>
        <v>XN Chuối DP3</v>
      </c>
      <c r="D1917" s="1076" t="str">
        <f>IFERROR(__xludf.DUMMYFUNCTION("""COMPUTED_VALUE"""),"HONDA")</f>
        <v>HONDA</v>
      </c>
      <c r="E1917" s="1076" t="str">
        <f>IFERROR(__xludf.DUMMYFUNCTION("""COMPUTED_VALUE"""),"THÁI LAN")</f>
        <v>THÁI LAN</v>
      </c>
      <c r="F1917" s="1076"/>
      <c r="G1917" s="1076" t="str">
        <f>IFERROR(__xludf.DUMMYFUNCTION("""COMPUTED_VALUE"""),"GX35")</f>
        <v>GX35</v>
      </c>
      <c r="H1917" s="1076" t="str">
        <f>IFERROR(__xludf.DUMMYFUNCTION("""COMPUTED_VALUE"""),"1.6HP")</f>
        <v>1.6HP</v>
      </c>
      <c r="I1917" s="1076" t="str">
        <f>IFERROR(__xludf.DUMMYFUNCTION("""COMPUTED_VALUE"""),"GCAMT-7717610")</f>
        <v>GCAMT-7717610</v>
      </c>
      <c r="J1917" s="1076"/>
      <c r="K1917" s="1076">
        <f>IFERROR(__xludf.DUMMYFUNCTION("""COMPUTED_VALUE"""),0.5)</f>
        <v>0.5</v>
      </c>
      <c r="L1917" s="1076" t="str">
        <f>IFERROR(__xludf.DUMMYFUNCTION("""COMPUTED_VALUE"""),"KLH")</f>
        <v>KLH</v>
      </c>
    </row>
    <row r="1918" customHeight="1" spans="1:12">
      <c r="A1918" s="1076" t="str">
        <f>IFERROR(__xludf.DUMMYFUNCTION("""COMPUTED_VALUE"""),"XD3-MPC-044")</f>
        <v>XD3-MPC-044</v>
      </c>
      <c r="B1918" s="1075" t="str">
        <f>IFERROR(__xludf.DUMMYFUNCTION("""COMPUTED_VALUE"""),"Máy phát cỏ 4 thì")</f>
        <v>Máy phát cỏ 4 thì</v>
      </c>
      <c r="C1918" s="1076" t="str">
        <f>IFERROR(__xludf.DUMMYFUNCTION("""COMPUTED_VALUE"""),"XN Chuối DP3")</f>
        <v>XN Chuối DP3</v>
      </c>
      <c r="D1918" s="1076" t="str">
        <f>IFERROR(__xludf.DUMMYFUNCTION("""COMPUTED_VALUE"""),"HONDA")</f>
        <v>HONDA</v>
      </c>
      <c r="E1918" s="1076" t="str">
        <f>IFERROR(__xludf.DUMMYFUNCTION("""COMPUTED_VALUE"""),"THÁI LAN")</f>
        <v>THÁI LAN</v>
      </c>
      <c r="F1918" s="1076"/>
      <c r="G1918" s="1076" t="str">
        <f>IFERROR(__xludf.DUMMYFUNCTION("""COMPUTED_VALUE"""),"GX35")</f>
        <v>GX35</v>
      </c>
      <c r="H1918" s="1076" t="str">
        <f>IFERROR(__xludf.DUMMYFUNCTION("""COMPUTED_VALUE"""),"1.6HP")</f>
        <v>1.6HP</v>
      </c>
      <c r="I1918" s="1076"/>
      <c r="J1918" s="1076"/>
      <c r="K1918" s="1076">
        <f>IFERROR(__xludf.DUMMYFUNCTION("""COMPUTED_VALUE"""),0.5)</f>
        <v>0.5</v>
      </c>
      <c r="L1918" s="1076" t="str">
        <f>IFERROR(__xludf.DUMMYFUNCTION("""COMPUTED_VALUE"""),"KLH")</f>
        <v>KLH</v>
      </c>
    </row>
    <row r="1919" customHeight="1" spans="1:12">
      <c r="A1919" s="1076" t="str">
        <f>IFERROR(__xludf.DUMMYFUNCTION("""COMPUTED_VALUE"""),"XD3-MPC-045")</f>
        <v>XD3-MPC-045</v>
      </c>
      <c r="B1919" s="1075" t="str">
        <f>IFERROR(__xludf.DUMMYFUNCTION("""COMPUTED_VALUE"""),"Máy phát cỏ 4 thì")</f>
        <v>Máy phát cỏ 4 thì</v>
      </c>
      <c r="C1919" s="1076" t="str">
        <f>IFERROR(__xludf.DUMMYFUNCTION("""COMPUTED_VALUE"""),"XN Chuối DP3")</f>
        <v>XN Chuối DP3</v>
      </c>
      <c r="D1919" s="1076" t="str">
        <f>IFERROR(__xludf.DUMMYFUNCTION("""COMPUTED_VALUE"""),"HONDA")</f>
        <v>HONDA</v>
      </c>
      <c r="E1919" s="1076" t="str">
        <f>IFERROR(__xludf.DUMMYFUNCTION("""COMPUTED_VALUE"""),"THÁI LAN")</f>
        <v>THÁI LAN</v>
      </c>
      <c r="F1919" s="1076"/>
      <c r="G1919" s="1076" t="str">
        <f>IFERROR(__xludf.DUMMYFUNCTION("""COMPUTED_VALUE"""),"GX35")</f>
        <v>GX35</v>
      </c>
      <c r="H1919" s="1076" t="str">
        <f>IFERROR(__xludf.DUMMYFUNCTION("""COMPUTED_VALUE"""),"1.6HP")</f>
        <v>1.6HP</v>
      </c>
      <c r="I1919" s="1076"/>
      <c r="J1919" s="1076"/>
      <c r="K1919" s="1076">
        <f>IFERROR(__xludf.DUMMYFUNCTION("""COMPUTED_VALUE"""),0.5)</f>
        <v>0.5</v>
      </c>
      <c r="L1919" s="1076" t="str">
        <f>IFERROR(__xludf.DUMMYFUNCTION("""COMPUTED_VALUE"""),"KLH")</f>
        <v>KLH</v>
      </c>
    </row>
    <row r="1920" customHeight="1" spans="1:12">
      <c r="A1920" s="1076" t="str">
        <f>IFERROR(__xludf.DUMMYFUNCTION("""COMPUTED_VALUE"""),"XD3-MPC-046")</f>
        <v>XD3-MPC-046</v>
      </c>
      <c r="B1920" s="1075" t="str">
        <f>IFERROR(__xludf.DUMMYFUNCTION("""COMPUTED_VALUE"""),"Máy phát cỏ 4 thì")</f>
        <v>Máy phát cỏ 4 thì</v>
      </c>
      <c r="C1920" s="1076" t="str">
        <f>IFERROR(__xludf.DUMMYFUNCTION("""COMPUTED_VALUE"""),"XN Chuối DP3")</f>
        <v>XN Chuối DP3</v>
      </c>
      <c r="D1920" s="1076" t="str">
        <f>IFERROR(__xludf.DUMMYFUNCTION("""COMPUTED_VALUE"""),"HONDA")</f>
        <v>HONDA</v>
      </c>
      <c r="E1920" s="1076" t="str">
        <f>IFERROR(__xludf.DUMMYFUNCTION("""COMPUTED_VALUE"""),"THÁI LAN")</f>
        <v>THÁI LAN</v>
      </c>
      <c r="F1920" s="1076"/>
      <c r="G1920" s="1076" t="str">
        <f>IFERROR(__xludf.DUMMYFUNCTION("""COMPUTED_VALUE"""),"GX35")</f>
        <v>GX35</v>
      </c>
      <c r="H1920" s="1076" t="str">
        <f>IFERROR(__xludf.DUMMYFUNCTION("""COMPUTED_VALUE"""),"1.6HP")</f>
        <v>1.6HP</v>
      </c>
      <c r="I1920" s="1076"/>
      <c r="J1920" s="1076"/>
      <c r="K1920" s="1076">
        <f>IFERROR(__xludf.DUMMYFUNCTION("""COMPUTED_VALUE"""),0.5)</f>
        <v>0.5</v>
      </c>
      <c r="L1920" s="1076" t="str">
        <f>IFERROR(__xludf.DUMMYFUNCTION("""COMPUTED_VALUE"""),"KLH")</f>
        <v>KLH</v>
      </c>
    </row>
    <row r="1921" customHeight="1" spans="1:12">
      <c r="A1921" s="1076" t="str">
        <f>IFERROR(__xludf.DUMMYFUNCTION("""COMPUTED_VALUE"""),"XD3-MPC-047")</f>
        <v>XD3-MPC-047</v>
      </c>
      <c r="B1921" s="1075" t="str">
        <f>IFERROR(__xludf.DUMMYFUNCTION("""COMPUTED_VALUE"""),"Máy phát cỏ 4 thì")</f>
        <v>Máy phát cỏ 4 thì</v>
      </c>
      <c r="C1921" s="1076" t="str">
        <f>IFERROR(__xludf.DUMMYFUNCTION("""COMPUTED_VALUE"""),"XN Chuối DP3")</f>
        <v>XN Chuối DP3</v>
      </c>
      <c r="D1921" s="1076" t="str">
        <f>IFERROR(__xludf.DUMMYFUNCTION("""COMPUTED_VALUE"""),"HONDA")</f>
        <v>HONDA</v>
      </c>
      <c r="E1921" s="1076" t="str">
        <f>IFERROR(__xludf.DUMMYFUNCTION("""COMPUTED_VALUE"""),"THÁI LAN")</f>
        <v>THÁI LAN</v>
      </c>
      <c r="F1921" s="1076"/>
      <c r="G1921" s="1076" t="str">
        <f>IFERROR(__xludf.DUMMYFUNCTION("""COMPUTED_VALUE"""),"GX35")</f>
        <v>GX35</v>
      </c>
      <c r="H1921" s="1076" t="str">
        <f>IFERROR(__xludf.DUMMYFUNCTION("""COMPUTED_VALUE"""),"1.6HP")</f>
        <v>1.6HP</v>
      </c>
      <c r="I1921" s="1076"/>
      <c r="J1921" s="1076"/>
      <c r="K1921" s="1076">
        <f>IFERROR(__xludf.DUMMYFUNCTION("""COMPUTED_VALUE"""),0.5)</f>
        <v>0.5</v>
      </c>
      <c r="L1921" s="1076" t="str">
        <f>IFERROR(__xludf.DUMMYFUNCTION("""COMPUTED_VALUE"""),"KLH")</f>
        <v>KLH</v>
      </c>
    </row>
    <row r="1922" customHeight="1" spans="1:12">
      <c r="A1922" s="1076" t="str">
        <f>IFERROR(__xludf.DUMMYFUNCTION("""COMPUTED_VALUE"""),"XD3-MPC-048")</f>
        <v>XD3-MPC-048</v>
      </c>
      <c r="B1922" s="1075" t="str">
        <f>IFERROR(__xludf.DUMMYFUNCTION("""COMPUTED_VALUE"""),"Máy phát cỏ 4 thì")</f>
        <v>Máy phát cỏ 4 thì</v>
      </c>
      <c r="C1922" s="1076" t="str">
        <f>IFERROR(__xludf.DUMMYFUNCTION("""COMPUTED_VALUE"""),"XN Chuối DP3")</f>
        <v>XN Chuối DP3</v>
      </c>
      <c r="D1922" s="1076" t="str">
        <f>IFERROR(__xludf.DUMMYFUNCTION("""COMPUTED_VALUE"""),"HONDA")</f>
        <v>HONDA</v>
      </c>
      <c r="E1922" s="1076" t="str">
        <f>IFERROR(__xludf.DUMMYFUNCTION("""COMPUTED_VALUE"""),"THÁI LAN")</f>
        <v>THÁI LAN</v>
      </c>
      <c r="F1922" s="1076"/>
      <c r="G1922" s="1076" t="str">
        <f>IFERROR(__xludf.DUMMYFUNCTION("""COMPUTED_VALUE"""),"GX35")</f>
        <v>GX35</v>
      </c>
      <c r="H1922" s="1076" t="str">
        <f>IFERROR(__xludf.DUMMYFUNCTION("""COMPUTED_VALUE"""),"1.6HP")</f>
        <v>1.6HP</v>
      </c>
      <c r="I1922" s="1076"/>
      <c r="J1922" s="1076"/>
      <c r="K1922" s="1076">
        <f>IFERROR(__xludf.DUMMYFUNCTION("""COMPUTED_VALUE"""),0.5)</f>
        <v>0.5</v>
      </c>
      <c r="L1922" s="1076" t="str">
        <f>IFERROR(__xludf.DUMMYFUNCTION("""COMPUTED_VALUE"""),"KLH")</f>
        <v>KLH</v>
      </c>
    </row>
    <row r="1923" customHeight="1" spans="1:12">
      <c r="A1923" s="1076" t="str">
        <f>IFERROR(__xludf.DUMMYFUNCTION("""COMPUTED_VALUE"""),"XD3-MPC-049")</f>
        <v>XD3-MPC-049</v>
      </c>
      <c r="B1923" s="1075" t="str">
        <f>IFERROR(__xludf.DUMMYFUNCTION("""COMPUTED_VALUE"""),"Máy phát cỏ 4 thì")</f>
        <v>Máy phát cỏ 4 thì</v>
      </c>
      <c r="C1923" s="1076" t="str">
        <f>IFERROR(__xludf.DUMMYFUNCTION("""COMPUTED_VALUE"""),"XN Chuối DP3")</f>
        <v>XN Chuối DP3</v>
      </c>
      <c r="D1923" s="1076" t="str">
        <f>IFERROR(__xludf.DUMMYFUNCTION("""COMPUTED_VALUE"""),"HONDA")</f>
        <v>HONDA</v>
      </c>
      <c r="E1923" s="1076" t="str">
        <f>IFERROR(__xludf.DUMMYFUNCTION("""COMPUTED_VALUE"""),"THÁI LAN")</f>
        <v>THÁI LAN</v>
      </c>
      <c r="F1923" s="1076"/>
      <c r="G1923" s="1076" t="str">
        <f>IFERROR(__xludf.DUMMYFUNCTION("""COMPUTED_VALUE"""),"GX35")</f>
        <v>GX35</v>
      </c>
      <c r="H1923" s="1076" t="str">
        <f>IFERROR(__xludf.DUMMYFUNCTION("""COMPUTED_VALUE"""),"1.6HP")</f>
        <v>1.6HP</v>
      </c>
      <c r="I1923" s="1076"/>
      <c r="J1923" s="1076"/>
      <c r="K1923" s="1076">
        <f>IFERROR(__xludf.DUMMYFUNCTION("""COMPUTED_VALUE"""),0.5)</f>
        <v>0.5</v>
      </c>
      <c r="L1923" s="1076" t="str">
        <f>IFERROR(__xludf.DUMMYFUNCTION("""COMPUTED_VALUE"""),"KLH")</f>
        <v>KLH</v>
      </c>
    </row>
    <row r="1924" customHeight="1" spans="1:12">
      <c r="A1924" s="1076" t="str">
        <f>IFERROR(__xludf.DUMMYFUNCTION("""COMPUTED_VALUE"""),"XD3-MPC-050")</f>
        <v>XD3-MPC-050</v>
      </c>
      <c r="B1924" s="1075" t="str">
        <f>IFERROR(__xludf.DUMMYFUNCTION("""COMPUTED_VALUE"""),"Máy phát cỏ 4 thì")</f>
        <v>Máy phát cỏ 4 thì</v>
      </c>
      <c r="C1924" s="1076" t="str">
        <f>IFERROR(__xludf.DUMMYFUNCTION("""COMPUTED_VALUE"""),"XN Chuối DP3")</f>
        <v>XN Chuối DP3</v>
      </c>
      <c r="D1924" s="1076" t="str">
        <f>IFERROR(__xludf.DUMMYFUNCTION("""COMPUTED_VALUE"""),"HONDA")</f>
        <v>HONDA</v>
      </c>
      <c r="E1924" s="1076" t="str">
        <f>IFERROR(__xludf.DUMMYFUNCTION("""COMPUTED_VALUE"""),"THÁI LAN")</f>
        <v>THÁI LAN</v>
      </c>
      <c r="F1924" s="1076"/>
      <c r="G1924" s="1076" t="str">
        <f>IFERROR(__xludf.DUMMYFUNCTION("""COMPUTED_VALUE"""),"GX35")</f>
        <v>GX35</v>
      </c>
      <c r="H1924" s="1076" t="str">
        <f>IFERROR(__xludf.DUMMYFUNCTION("""COMPUTED_VALUE"""),"1.6HP")</f>
        <v>1.6HP</v>
      </c>
      <c r="I1924" s="1076"/>
      <c r="J1924" s="1076"/>
      <c r="K1924" s="1076">
        <f>IFERROR(__xludf.DUMMYFUNCTION("""COMPUTED_VALUE"""),0.5)</f>
        <v>0.5</v>
      </c>
      <c r="L1924" s="1076" t="str">
        <f>IFERROR(__xludf.DUMMYFUNCTION("""COMPUTED_VALUE"""),"KLH")</f>
        <v>KLH</v>
      </c>
    </row>
    <row r="1925" customHeight="1" spans="1:12">
      <c r="A1925" s="1076" t="str">
        <f>IFERROR(__xludf.DUMMYFUNCTION("""COMPUTED_VALUE"""),"XD3-MPC-051")</f>
        <v>XD3-MPC-051</v>
      </c>
      <c r="B1925" s="1075" t="str">
        <f>IFERROR(__xludf.DUMMYFUNCTION("""COMPUTED_VALUE"""),"Máy phát cỏ 4 thì")</f>
        <v>Máy phát cỏ 4 thì</v>
      </c>
      <c r="C1925" s="1076" t="str">
        <f>IFERROR(__xludf.DUMMYFUNCTION("""COMPUTED_VALUE"""),"XN Chuối DP3")</f>
        <v>XN Chuối DP3</v>
      </c>
      <c r="D1925" s="1076" t="str">
        <f>IFERROR(__xludf.DUMMYFUNCTION("""COMPUTED_VALUE"""),"HONDA")</f>
        <v>HONDA</v>
      </c>
      <c r="E1925" s="1076" t="str">
        <f>IFERROR(__xludf.DUMMYFUNCTION("""COMPUTED_VALUE"""),"THÁI LAN")</f>
        <v>THÁI LAN</v>
      </c>
      <c r="F1925" s="1076"/>
      <c r="G1925" s="1076" t="str">
        <f>IFERROR(__xludf.DUMMYFUNCTION("""COMPUTED_VALUE"""),"GX35")</f>
        <v>GX35</v>
      </c>
      <c r="H1925" s="1076" t="str">
        <f>IFERROR(__xludf.DUMMYFUNCTION("""COMPUTED_VALUE"""),"1.6HP")</f>
        <v>1.6HP</v>
      </c>
      <c r="I1925" s="1076"/>
      <c r="J1925" s="1076"/>
      <c r="K1925" s="1076">
        <f>IFERROR(__xludf.DUMMYFUNCTION("""COMPUTED_VALUE"""),0.5)</f>
        <v>0.5</v>
      </c>
      <c r="L1925" s="1076" t="str">
        <f>IFERROR(__xludf.DUMMYFUNCTION("""COMPUTED_VALUE"""),"KLH")</f>
        <v>KLH</v>
      </c>
    </row>
    <row r="1926" customHeight="1" spans="1:12">
      <c r="A1926" s="1076" t="str">
        <f>IFERROR(__xludf.DUMMYFUNCTION("""COMPUTED_VALUE"""),"XD3-MPC-052")</f>
        <v>XD3-MPC-052</v>
      </c>
      <c r="B1926" s="1075" t="str">
        <f>IFERROR(__xludf.DUMMYFUNCTION("""COMPUTED_VALUE"""),"Máy phát cỏ 4 thì")</f>
        <v>Máy phát cỏ 4 thì</v>
      </c>
      <c r="C1926" s="1076" t="str">
        <f>IFERROR(__xludf.DUMMYFUNCTION("""COMPUTED_VALUE"""),"XN Chuối DP3")</f>
        <v>XN Chuối DP3</v>
      </c>
      <c r="D1926" s="1076" t="str">
        <f>IFERROR(__xludf.DUMMYFUNCTION("""COMPUTED_VALUE"""),"HONDA")</f>
        <v>HONDA</v>
      </c>
      <c r="E1926" s="1076" t="str">
        <f>IFERROR(__xludf.DUMMYFUNCTION("""COMPUTED_VALUE"""),"THÁI LAN")</f>
        <v>THÁI LAN</v>
      </c>
      <c r="F1926" s="1076"/>
      <c r="G1926" s="1076" t="str">
        <f>IFERROR(__xludf.DUMMYFUNCTION("""COMPUTED_VALUE"""),"GX35")</f>
        <v>GX35</v>
      </c>
      <c r="H1926" s="1076" t="str">
        <f>IFERROR(__xludf.DUMMYFUNCTION("""COMPUTED_VALUE"""),"1.6HP")</f>
        <v>1.6HP</v>
      </c>
      <c r="I1926" s="1076"/>
      <c r="J1926" s="1076"/>
      <c r="K1926" s="1076">
        <f>IFERROR(__xludf.DUMMYFUNCTION("""COMPUTED_VALUE"""),0.5)</f>
        <v>0.5</v>
      </c>
      <c r="L1926" s="1076" t="str">
        <f>IFERROR(__xludf.DUMMYFUNCTION("""COMPUTED_VALUE"""),"KLH")</f>
        <v>KLH</v>
      </c>
    </row>
    <row r="1927" customHeight="1" spans="1:12">
      <c r="A1927" s="1076" t="str">
        <f>IFERROR(__xludf.DUMMYFUNCTION("""COMPUTED_VALUE"""),"XD3-MPC-053")</f>
        <v>XD3-MPC-053</v>
      </c>
      <c r="B1927" s="1075" t="str">
        <f>IFERROR(__xludf.DUMMYFUNCTION("""COMPUTED_VALUE"""),"Máy phát cỏ 4 thì")</f>
        <v>Máy phát cỏ 4 thì</v>
      </c>
      <c r="C1927" s="1076" t="str">
        <f>IFERROR(__xludf.DUMMYFUNCTION("""COMPUTED_VALUE"""),"XN Chuối DP3")</f>
        <v>XN Chuối DP3</v>
      </c>
      <c r="D1927" s="1076" t="str">
        <f>IFERROR(__xludf.DUMMYFUNCTION("""COMPUTED_VALUE"""),"HONDA")</f>
        <v>HONDA</v>
      </c>
      <c r="E1927" s="1076" t="str">
        <f>IFERROR(__xludf.DUMMYFUNCTION("""COMPUTED_VALUE"""),"THÁI LAN")</f>
        <v>THÁI LAN</v>
      </c>
      <c r="F1927" s="1076"/>
      <c r="G1927" s="1076" t="str">
        <f>IFERROR(__xludf.DUMMYFUNCTION("""COMPUTED_VALUE"""),"GX35")</f>
        <v>GX35</v>
      </c>
      <c r="H1927" s="1076" t="str">
        <f>IFERROR(__xludf.DUMMYFUNCTION("""COMPUTED_VALUE"""),"1.6HP")</f>
        <v>1.6HP</v>
      </c>
      <c r="I1927" s="1076"/>
      <c r="J1927" s="1076"/>
      <c r="K1927" s="1076">
        <f>IFERROR(__xludf.DUMMYFUNCTION("""COMPUTED_VALUE"""),0.5)</f>
        <v>0.5</v>
      </c>
      <c r="L1927" s="1076" t="str">
        <f>IFERROR(__xludf.DUMMYFUNCTION("""COMPUTED_VALUE"""),"KLH")</f>
        <v>KLH</v>
      </c>
    </row>
    <row r="1928" customHeight="1" spans="1:12">
      <c r="A1928" s="1076" t="str">
        <f>IFERROR(__xludf.DUMMYFUNCTION("""COMPUTED_VALUE"""),"XD3-MPC-054")</f>
        <v>XD3-MPC-054</v>
      </c>
      <c r="B1928" s="1075" t="str">
        <f>IFERROR(__xludf.DUMMYFUNCTION("""COMPUTED_VALUE"""),"Máy phát cỏ 4 thì")</f>
        <v>Máy phát cỏ 4 thì</v>
      </c>
      <c r="C1928" s="1076" t="str">
        <f>IFERROR(__xludf.DUMMYFUNCTION("""COMPUTED_VALUE"""),"XN Chuối DP3")</f>
        <v>XN Chuối DP3</v>
      </c>
      <c r="D1928" s="1076" t="str">
        <f>IFERROR(__xludf.DUMMYFUNCTION("""COMPUTED_VALUE"""),"HONDA")</f>
        <v>HONDA</v>
      </c>
      <c r="E1928" s="1076" t="str">
        <f>IFERROR(__xludf.DUMMYFUNCTION("""COMPUTED_VALUE"""),"THÁI LAN")</f>
        <v>THÁI LAN</v>
      </c>
      <c r="F1928" s="1076"/>
      <c r="G1928" s="1076" t="str">
        <f>IFERROR(__xludf.DUMMYFUNCTION("""COMPUTED_VALUE"""),"GX35")</f>
        <v>GX35</v>
      </c>
      <c r="H1928" s="1076" t="str">
        <f>IFERROR(__xludf.DUMMYFUNCTION("""COMPUTED_VALUE"""),"1.6HP")</f>
        <v>1.6HP</v>
      </c>
      <c r="I1928" s="1076"/>
      <c r="J1928" s="1076"/>
      <c r="K1928" s="1076">
        <f>IFERROR(__xludf.DUMMYFUNCTION("""COMPUTED_VALUE"""),0.5)</f>
        <v>0.5</v>
      </c>
      <c r="L1928" s="1076" t="str">
        <f>IFERROR(__xludf.DUMMYFUNCTION("""COMPUTED_VALUE"""),"KLH")</f>
        <v>KLH</v>
      </c>
    </row>
    <row r="1929" customHeight="1" spans="1:12">
      <c r="A1929" s="1076" t="str">
        <f>IFERROR(__xludf.DUMMYFUNCTION("""COMPUTED_VALUE"""),"XD3-MPC-055")</f>
        <v>XD3-MPC-055</v>
      </c>
      <c r="B1929" s="1075" t="str">
        <f>IFERROR(__xludf.DUMMYFUNCTION("""COMPUTED_VALUE"""),"Máy phát cỏ 4 thì")</f>
        <v>Máy phát cỏ 4 thì</v>
      </c>
      <c r="C1929" s="1076" t="str">
        <f>IFERROR(__xludf.DUMMYFUNCTION("""COMPUTED_VALUE"""),"XN Chuối DP3")</f>
        <v>XN Chuối DP3</v>
      </c>
      <c r="D1929" s="1076" t="str">
        <f>IFERROR(__xludf.DUMMYFUNCTION("""COMPUTED_VALUE"""),"HONDA")</f>
        <v>HONDA</v>
      </c>
      <c r="E1929" s="1076" t="str">
        <f>IFERROR(__xludf.DUMMYFUNCTION("""COMPUTED_VALUE"""),"THÁI LAN")</f>
        <v>THÁI LAN</v>
      </c>
      <c r="F1929" s="1076"/>
      <c r="G1929" s="1076" t="str">
        <f>IFERROR(__xludf.DUMMYFUNCTION("""COMPUTED_VALUE"""),"GX35")</f>
        <v>GX35</v>
      </c>
      <c r="H1929" s="1076" t="str">
        <f>IFERROR(__xludf.DUMMYFUNCTION("""COMPUTED_VALUE"""),"1.6HP")</f>
        <v>1.6HP</v>
      </c>
      <c r="I1929" s="1076"/>
      <c r="J1929" s="1076"/>
      <c r="K1929" s="1076">
        <f>IFERROR(__xludf.DUMMYFUNCTION("""COMPUTED_VALUE"""),0.5)</f>
        <v>0.5</v>
      </c>
      <c r="L1929" s="1076" t="str">
        <f>IFERROR(__xludf.DUMMYFUNCTION("""COMPUTED_VALUE"""),"KLH")</f>
        <v>KLH</v>
      </c>
    </row>
    <row r="1930" customHeight="1" spans="1:12">
      <c r="A1930" s="1076" t="str">
        <f>IFERROR(__xludf.DUMMYFUNCTION("""COMPUTED_VALUE"""),"XD3-MPC-056")</f>
        <v>XD3-MPC-056</v>
      </c>
      <c r="B1930" s="1075" t="str">
        <f>IFERROR(__xludf.DUMMYFUNCTION("""COMPUTED_VALUE"""),"Máy phát cỏ 2 thì")</f>
        <v>Máy phát cỏ 2 thì</v>
      </c>
      <c r="C1930" s="1076" t="str">
        <f>IFERROR(__xludf.DUMMYFUNCTION("""COMPUTED_VALUE"""),"XN Chuối DP3")</f>
        <v>XN Chuối DP3</v>
      </c>
      <c r="D1930" s="1076" t="str">
        <f>IFERROR(__xludf.DUMMYFUNCTION("""COMPUTED_VALUE"""),"MARRATA")</f>
        <v>MARRATA</v>
      </c>
      <c r="E1930" s="1076"/>
      <c r="F1930" s="1076"/>
      <c r="G1930" s="1076" t="str">
        <f>IFERROR(__xludf.DUMMYFUNCTION("""COMPUTED_VALUE"""),"CG411")</f>
        <v>CG411</v>
      </c>
      <c r="H1930" s="1076" t="str">
        <f>IFERROR(__xludf.DUMMYFUNCTION("""COMPUTED_VALUE"""),"1.8HP")</f>
        <v>1.8HP</v>
      </c>
      <c r="I1930" s="1076"/>
      <c r="J1930" s="1076"/>
      <c r="K1930" s="1076">
        <f>IFERROR(__xludf.DUMMYFUNCTION("""COMPUTED_VALUE"""),1)</f>
        <v>1</v>
      </c>
      <c r="L1930" s="1076" t="str">
        <f>IFERROR(__xludf.DUMMYFUNCTION("""COMPUTED_VALUE"""),"KLH")</f>
        <v>KLH</v>
      </c>
    </row>
    <row r="1931" customHeight="1" spans="1:12">
      <c r="A1931" s="1076" t="str">
        <f>IFERROR(__xludf.DUMMYFUNCTION("""COMPUTED_VALUE"""),"XD3-MPC-057")</f>
        <v>XD3-MPC-057</v>
      </c>
      <c r="B1931" s="1075" t="str">
        <f>IFERROR(__xludf.DUMMYFUNCTION("""COMPUTED_VALUE"""),"Máy phát cỏ 2 thì")</f>
        <v>Máy phát cỏ 2 thì</v>
      </c>
      <c r="C1931" s="1076" t="str">
        <f>IFERROR(__xludf.DUMMYFUNCTION("""COMPUTED_VALUE"""),"XN Chuối DP3")</f>
        <v>XN Chuối DP3</v>
      </c>
      <c r="D1931" s="1076" t="str">
        <f>IFERROR(__xludf.DUMMYFUNCTION("""COMPUTED_VALUE"""),"MARRATA")</f>
        <v>MARRATA</v>
      </c>
      <c r="E1931" s="1076"/>
      <c r="F1931" s="1076"/>
      <c r="G1931" s="1076" t="str">
        <f>IFERROR(__xludf.DUMMYFUNCTION("""COMPUTED_VALUE"""),"CG411")</f>
        <v>CG411</v>
      </c>
      <c r="H1931" s="1076" t="str">
        <f>IFERROR(__xludf.DUMMYFUNCTION("""COMPUTED_VALUE"""),"1.8HP")</f>
        <v>1.8HP</v>
      </c>
      <c r="I1931" s="1076"/>
      <c r="J1931" s="1076"/>
      <c r="K1931" s="1076">
        <f>IFERROR(__xludf.DUMMYFUNCTION("""COMPUTED_VALUE"""),1)</f>
        <v>1</v>
      </c>
      <c r="L1931" s="1076" t="str">
        <f>IFERROR(__xludf.DUMMYFUNCTION("""COMPUTED_VALUE"""),"KLH")</f>
        <v>KLH</v>
      </c>
    </row>
    <row r="1932" customHeight="1" spans="1:12">
      <c r="A1932" s="1076" t="str">
        <f>IFERROR(__xludf.DUMMYFUNCTION("""COMPUTED_VALUE"""),"XD3-MPC-058")</f>
        <v>XD3-MPC-058</v>
      </c>
      <c r="B1932" s="1075" t="str">
        <f>IFERROR(__xludf.DUMMYFUNCTION("""COMPUTED_VALUE"""),"Máy phát cỏ 2 thì")</f>
        <v>Máy phát cỏ 2 thì</v>
      </c>
      <c r="C1932" s="1076" t="str">
        <f>IFERROR(__xludf.DUMMYFUNCTION("""COMPUTED_VALUE"""),"XN Chuối DP3")</f>
        <v>XN Chuối DP3</v>
      </c>
      <c r="D1932" s="1076" t="str">
        <f>IFERROR(__xludf.DUMMYFUNCTION("""COMPUTED_VALUE"""),"MARRATA")</f>
        <v>MARRATA</v>
      </c>
      <c r="E1932" s="1076"/>
      <c r="F1932" s="1076"/>
      <c r="G1932" s="1076" t="str">
        <f>IFERROR(__xludf.DUMMYFUNCTION("""COMPUTED_VALUE"""),"CG411")</f>
        <v>CG411</v>
      </c>
      <c r="H1932" s="1076" t="str">
        <f>IFERROR(__xludf.DUMMYFUNCTION("""COMPUTED_VALUE"""),"1.8HP")</f>
        <v>1.8HP</v>
      </c>
      <c r="I1932" s="1076"/>
      <c r="J1932" s="1076"/>
      <c r="K1932" s="1076">
        <f>IFERROR(__xludf.DUMMYFUNCTION("""COMPUTED_VALUE"""),1)</f>
        <v>1</v>
      </c>
      <c r="L1932" s="1076" t="str">
        <f>IFERROR(__xludf.DUMMYFUNCTION("""COMPUTED_VALUE"""),"KLH")</f>
        <v>KLH</v>
      </c>
    </row>
    <row r="1933" customHeight="1" spans="1:12">
      <c r="A1933" s="1076" t="str">
        <f>IFERROR(__xludf.DUMMYFUNCTION("""COMPUTED_VALUE"""),"XD3-MPC-059")</f>
        <v>XD3-MPC-059</v>
      </c>
      <c r="B1933" s="1075" t="str">
        <f>IFERROR(__xludf.DUMMYFUNCTION("""COMPUTED_VALUE"""),"Máy phát cỏ 2 thì")</f>
        <v>Máy phát cỏ 2 thì</v>
      </c>
      <c r="C1933" s="1076" t="str">
        <f>IFERROR(__xludf.DUMMYFUNCTION("""COMPUTED_VALUE"""),"XN Chuối DP3")</f>
        <v>XN Chuối DP3</v>
      </c>
      <c r="D1933" s="1076" t="str">
        <f>IFERROR(__xludf.DUMMYFUNCTION("""COMPUTED_VALUE"""),"MARRATA")</f>
        <v>MARRATA</v>
      </c>
      <c r="E1933" s="1076"/>
      <c r="F1933" s="1076"/>
      <c r="G1933" s="1076" t="str">
        <f>IFERROR(__xludf.DUMMYFUNCTION("""COMPUTED_VALUE"""),"CG411")</f>
        <v>CG411</v>
      </c>
      <c r="H1933" s="1076" t="str">
        <f>IFERROR(__xludf.DUMMYFUNCTION("""COMPUTED_VALUE"""),"1.8HP")</f>
        <v>1.8HP</v>
      </c>
      <c r="I1933" s="1076"/>
      <c r="J1933" s="1076"/>
      <c r="K1933" s="1076">
        <f>IFERROR(__xludf.DUMMYFUNCTION("""COMPUTED_VALUE"""),1)</f>
        <v>1</v>
      </c>
      <c r="L1933" s="1076" t="str">
        <f>IFERROR(__xludf.DUMMYFUNCTION("""COMPUTED_VALUE"""),"KLH")</f>
        <v>KLH</v>
      </c>
    </row>
    <row r="1934" customHeight="1" spans="1:12">
      <c r="A1934" s="1076" t="str">
        <f>IFERROR(__xludf.DUMMYFUNCTION("""COMPUTED_VALUE"""),"XD3-MPC-060")</f>
        <v>XD3-MPC-060</v>
      </c>
      <c r="B1934" s="1075" t="str">
        <f>IFERROR(__xludf.DUMMYFUNCTION("""COMPUTED_VALUE"""),"Máy phát cỏ 2 thì")</f>
        <v>Máy phát cỏ 2 thì</v>
      </c>
      <c r="C1934" s="1076" t="str">
        <f>IFERROR(__xludf.DUMMYFUNCTION("""COMPUTED_VALUE"""),"XN Chuối DP3")</f>
        <v>XN Chuối DP3</v>
      </c>
      <c r="D1934" s="1076" t="str">
        <f>IFERROR(__xludf.DUMMYFUNCTION("""COMPUTED_VALUE"""),"MARRATA")</f>
        <v>MARRATA</v>
      </c>
      <c r="E1934" s="1076"/>
      <c r="F1934" s="1076"/>
      <c r="G1934" s="1076" t="str">
        <f>IFERROR(__xludf.DUMMYFUNCTION("""COMPUTED_VALUE"""),"CG411")</f>
        <v>CG411</v>
      </c>
      <c r="H1934" s="1076" t="str">
        <f>IFERROR(__xludf.DUMMYFUNCTION("""COMPUTED_VALUE"""),"1.8HP")</f>
        <v>1.8HP</v>
      </c>
      <c r="I1934" s="1076"/>
      <c r="J1934" s="1076"/>
      <c r="K1934" s="1076">
        <f>IFERROR(__xludf.DUMMYFUNCTION("""COMPUTED_VALUE"""),1)</f>
        <v>1</v>
      </c>
      <c r="L1934" s="1076" t="str">
        <f>IFERROR(__xludf.DUMMYFUNCTION("""COMPUTED_VALUE"""),"KLH")</f>
        <v>KLH</v>
      </c>
    </row>
    <row r="1935" customHeight="1" spans="1:12">
      <c r="A1935" s="1076" t="str">
        <f>IFERROR(__xludf.DUMMYFUNCTION("""COMPUTED_VALUE"""),"XD3-MPC-061")</f>
        <v>XD3-MPC-061</v>
      </c>
      <c r="B1935" s="1075" t="str">
        <f>IFERROR(__xludf.DUMMYFUNCTION("""COMPUTED_VALUE"""),"Máy phát cỏ 2 thì")</f>
        <v>Máy phát cỏ 2 thì</v>
      </c>
      <c r="C1935" s="1076" t="str">
        <f>IFERROR(__xludf.DUMMYFUNCTION("""COMPUTED_VALUE"""),"XN Chuối DP3")</f>
        <v>XN Chuối DP3</v>
      </c>
      <c r="D1935" s="1076" t="str">
        <f>IFERROR(__xludf.DUMMYFUNCTION("""COMPUTED_VALUE"""),"MARRATA")</f>
        <v>MARRATA</v>
      </c>
      <c r="E1935" s="1076"/>
      <c r="F1935" s="1076"/>
      <c r="G1935" s="1076" t="str">
        <f>IFERROR(__xludf.DUMMYFUNCTION("""COMPUTED_VALUE"""),"CG411")</f>
        <v>CG411</v>
      </c>
      <c r="H1935" s="1076" t="str">
        <f>IFERROR(__xludf.DUMMYFUNCTION("""COMPUTED_VALUE"""),"1.8HP")</f>
        <v>1.8HP</v>
      </c>
      <c r="I1935" s="1076"/>
      <c r="J1935" s="1076"/>
      <c r="K1935" s="1076">
        <f>IFERROR(__xludf.DUMMYFUNCTION("""COMPUTED_VALUE"""),1)</f>
        <v>1</v>
      </c>
      <c r="L1935" s="1076" t="str">
        <f>IFERROR(__xludf.DUMMYFUNCTION("""COMPUTED_VALUE"""),"KLH")</f>
        <v>KLH</v>
      </c>
    </row>
    <row r="1936" customHeight="1" spans="1:12">
      <c r="A1936" s="1076" t="str">
        <f>IFERROR(__xludf.DUMMYFUNCTION("""COMPUTED_VALUE"""),"XD3-MPC-062")</f>
        <v>XD3-MPC-062</v>
      </c>
      <c r="B1936" s="1075" t="str">
        <f>IFERROR(__xludf.DUMMYFUNCTION("""COMPUTED_VALUE"""),"Máy phát cỏ 2 thì")</f>
        <v>Máy phát cỏ 2 thì</v>
      </c>
      <c r="C1936" s="1076" t="str">
        <f>IFERROR(__xludf.DUMMYFUNCTION("""COMPUTED_VALUE"""),"XN Chuối DP3")</f>
        <v>XN Chuối DP3</v>
      </c>
      <c r="D1936" s="1076" t="str">
        <f>IFERROR(__xludf.DUMMYFUNCTION("""COMPUTED_VALUE"""),"MARRATA")</f>
        <v>MARRATA</v>
      </c>
      <c r="E1936" s="1076"/>
      <c r="F1936" s="1076"/>
      <c r="G1936" s="1076" t="str">
        <f>IFERROR(__xludf.DUMMYFUNCTION("""COMPUTED_VALUE"""),"CG411")</f>
        <v>CG411</v>
      </c>
      <c r="H1936" s="1076" t="str">
        <f>IFERROR(__xludf.DUMMYFUNCTION("""COMPUTED_VALUE"""),"1.8HP")</f>
        <v>1.8HP</v>
      </c>
      <c r="I1936" s="1076"/>
      <c r="J1936" s="1076"/>
      <c r="K1936" s="1076">
        <f>IFERROR(__xludf.DUMMYFUNCTION("""COMPUTED_VALUE"""),1)</f>
        <v>1</v>
      </c>
      <c r="L1936" s="1076" t="str">
        <f>IFERROR(__xludf.DUMMYFUNCTION("""COMPUTED_VALUE"""),"KLH")</f>
        <v>KLH</v>
      </c>
    </row>
    <row r="1937" customHeight="1" spans="1:12">
      <c r="A1937" s="1076" t="str">
        <f>IFERROR(__xludf.DUMMYFUNCTION("""COMPUTED_VALUE"""),"XD3-MPC-063")</f>
        <v>XD3-MPC-063</v>
      </c>
      <c r="B1937" s="1075" t="str">
        <f>IFERROR(__xludf.DUMMYFUNCTION("""COMPUTED_VALUE"""),"Máy phát cỏ 2 thì")</f>
        <v>Máy phát cỏ 2 thì</v>
      </c>
      <c r="C1937" s="1076" t="str">
        <f>IFERROR(__xludf.DUMMYFUNCTION("""COMPUTED_VALUE"""),"XN Chuối DP3")</f>
        <v>XN Chuối DP3</v>
      </c>
      <c r="D1937" s="1076" t="str">
        <f>IFERROR(__xludf.DUMMYFUNCTION("""COMPUTED_VALUE"""),"MARRATA")</f>
        <v>MARRATA</v>
      </c>
      <c r="E1937" s="1076"/>
      <c r="F1937" s="1076"/>
      <c r="G1937" s="1076" t="str">
        <f>IFERROR(__xludf.DUMMYFUNCTION("""COMPUTED_VALUE"""),"CG411")</f>
        <v>CG411</v>
      </c>
      <c r="H1937" s="1076" t="str">
        <f>IFERROR(__xludf.DUMMYFUNCTION("""COMPUTED_VALUE"""),"1.8HP")</f>
        <v>1.8HP</v>
      </c>
      <c r="I1937" s="1076"/>
      <c r="J1937" s="1076"/>
      <c r="K1937" s="1076">
        <f>IFERROR(__xludf.DUMMYFUNCTION("""COMPUTED_VALUE"""),1)</f>
        <v>1</v>
      </c>
      <c r="L1937" s="1076" t="str">
        <f>IFERROR(__xludf.DUMMYFUNCTION("""COMPUTED_VALUE"""),"KLH")</f>
        <v>KLH</v>
      </c>
    </row>
    <row r="1938" customHeight="1" spans="1:12">
      <c r="A1938" s="1076" t="str">
        <f>IFERROR(__xludf.DUMMYFUNCTION("""COMPUTED_VALUE"""),"XD3-MPC-064")</f>
        <v>XD3-MPC-064</v>
      </c>
      <c r="B1938" s="1075" t="str">
        <f>IFERROR(__xludf.DUMMYFUNCTION("""COMPUTED_VALUE"""),"Máy phát cỏ 2 thì")</f>
        <v>Máy phát cỏ 2 thì</v>
      </c>
      <c r="C1938" s="1076" t="str">
        <f>IFERROR(__xludf.DUMMYFUNCTION("""COMPUTED_VALUE"""),"XN Chuối DP3")</f>
        <v>XN Chuối DP3</v>
      </c>
      <c r="D1938" s="1076" t="str">
        <f>IFERROR(__xludf.DUMMYFUNCTION("""COMPUTED_VALUE"""),"MARRATA")</f>
        <v>MARRATA</v>
      </c>
      <c r="E1938" s="1076"/>
      <c r="F1938" s="1076"/>
      <c r="G1938" s="1076" t="str">
        <f>IFERROR(__xludf.DUMMYFUNCTION("""COMPUTED_VALUE"""),"CG411")</f>
        <v>CG411</v>
      </c>
      <c r="H1938" s="1076" t="str">
        <f>IFERROR(__xludf.DUMMYFUNCTION("""COMPUTED_VALUE"""),"1.8HP")</f>
        <v>1.8HP</v>
      </c>
      <c r="I1938" s="1076"/>
      <c r="J1938" s="1076"/>
      <c r="K1938" s="1076">
        <f>IFERROR(__xludf.DUMMYFUNCTION("""COMPUTED_VALUE"""),1)</f>
        <v>1</v>
      </c>
      <c r="L1938" s="1076" t="str">
        <f>IFERROR(__xludf.DUMMYFUNCTION("""COMPUTED_VALUE"""),"KLH")</f>
        <v>KLH</v>
      </c>
    </row>
    <row r="1939" customHeight="1" spans="1:12">
      <c r="A1939" s="1076" t="str">
        <f>IFERROR(__xludf.DUMMYFUNCTION("""COMPUTED_VALUE"""),"XD3-MPC-065")</f>
        <v>XD3-MPC-065</v>
      </c>
      <c r="B1939" s="1075" t="str">
        <f>IFERROR(__xludf.DUMMYFUNCTION("""COMPUTED_VALUE"""),"Máy phát cỏ 2 thì")</f>
        <v>Máy phát cỏ 2 thì</v>
      </c>
      <c r="C1939" s="1076" t="str">
        <f>IFERROR(__xludf.DUMMYFUNCTION("""COMPUTED_VALUE"""),"XN Chuối DP3")</f>
        <v>XN Chuối DP3</v>
      </c>
      <c r="D1939" s="1076" t="str">
        <f>IFERROR(__xludf.DUMMYFUNCTION("""COMPUTED_VALUE"""),"MARRATA")</f>
        <v>MARRATA</v>
      </c>
      <c r="E1939" s="1076"/>
      <c r="F1939" s="1076"/>
      <c r="G1939" s="1076" t="str">
        <f>IFERROR(__xludf.DUMMYFUNCTION("""COMPUTED_VALUE"""),"CG411")</f>
        <v>CG411</v>
      </c>
      <c r="H1939" s="1076" t="str">
        <f>IFERROR(__xludf.DUMMYFUNCTION("""COMPUTED_VALUE"""),"1.8HP")</f>
        <v>1.8HP</v>
      </c>
      <c r="I1939" s="1076"/>
      <c r="J1939" s="1076"/>
      <c r="K1939" s="1076">
        <f>IFERROR(__xludf.DUMMYFUNCTION("""COMPUTED_VALUE"""),1)</f>
        <v>1</v>
      </c>
      <c r="L1939" s="1076" t="str">
        <f>IFERROR(__xludf.DUMMYFUNCTION("""COMPUTED_VALUE"""),"KLH")</f>
        <v>KLH</v>
      </c>
    </row>
    <row r="1940" customHeight="1" spans="1:12">
      <c r="A1940" s="1076" t="str">
        <f>IFERROR(__xludf.DUMMYFUNCTION("""COMPUTED_VALUE"""),"XD3-MPC-066")</f>
        <v>XD3-MPC-066</v>
      </c>
      <c r="B1940" s="1075" t="str">
        <f>IFERROR(__xludf.DUMMYFUNCTION("""COMPUTED_VALUE"""),"Máy phát cỏ 2 thì")</f>
        <v>Máy phát cỏ 2 thì</v>
      </c>
      <c r="C1940" s="1076" t="str">
        <f>IFERROR(__xludf.DUMMYFUNCTION("""COMPUTED_VALUE"""),"XN Chuối DP3")</f>
        <v>XN Chuối DP3</v>
      </c>
      <c r="D1940" s="1076" t="str">
        <f>IFERROR(__xludf.DUMMYFUNCTION("""COMPUTED_VALUE"""),"NAGATA")</f>
        <v>NAGATA</v>
      </c>
      <c r="E1940" s="1076"/>
      <c r="F1940" s="1076"/>
      <c r="G1940" s="1076" t="str">
        <f>IFERROR(__xludf.DUMMYFUNCTION("""COMPUTED_VALUE"""),"CG411")</f>
        <v>CG411</v>
      </c>
      <c r="H1940" s="1076" t="str">
        <f>IFERROR(__xludf.DUMMYFUNCTION("""COMPUTED_VALUE"""),"1.8HP")</f>
        <v>1.8HP</v>
      </c>
      <c r="I1940" s="1076"/>
      <c r="J1940" s="1076"/>
      <c r="K1940" s="1076">
        <f>IFERROR(__xludf.DUMMYFUNCTION("""COMPUTED_VALUE"""),1)</f>
        <v>1</v>
      </c>
      <c r="L1940" s="1076" t="str">
        <f>IFERROR(__xludf.DUMMYFUNCTION("""COMPUTED_VALUE"""),"KLH")</f>
        <v>KLH</v>
      </c>
    </row>
    <row r="1941" customHeight="1" spans="1:12">
      <c r="A1941" s="1076" t="str">
        <f>IFERROR(__xludf.DUMMYFUNCTION("""COMPUTED_VALUE"""),"XD3-MPC-067")</f>
        <v>XD3-MPC-067</v>
      </c>
      <c r="B1941" s="1075" t="str">
        <f>IFERROR(__xludf.DUMMYFUNCTION("""COMPUTED_VALUE"""),"Máy phát cỏ 2 thì")</f>
        <v>Máy phát cỏ 2 thì</v>
      </c>
      <c r="C1941" s="1076" t="str">
        <f>IFERROR(__xludf.DUMMYFUNCTION("""COMPUTED_VALUE"""),"XN Chuối DP3")</f>
        <v>XN Chuối DP3</v>
      </c>
      <c r="D1941" s="1076" t="str">
        <f>IFERROR(__xludf.DUMMYFUNCTION("""COMPUTED_VALUE"""),"NAGATA")</f>
        <v>NAGATA</v>
      </c>
      <c r="E1941" s="1076"/>
      <c r="F1941" s="1076"/>
      <c r="G1941" s="1076" t="str">
        <f>IFERROR(__xludf.DUMMYFUNCTION("""COMPUTED_VALUE"""),"CG411")</f>
        <v>CG411</v>
      </c>
      <c r="H1941" s="1076" t="str">
        <f>IFERROR(__xludf.DUMMYFUNCTION("""COMPUTED_VALUE"""),"1.8HP")</f>
        <v>1.8HP</v>
      </c>
      <c r="I1941" s="1076"/>
      <c r="J1941" s="1076"/>
      <c r="K1941" s="1076"/>
      <c r="L1941" s="1076" t="str">
        <f>IFERROR(__xludf.DUMMYFUNCTION("""COMPUTED_VALUE"""),"KLH")</f>
        <v>KLH</v>
      </c>
    </row>
    <row r="1942" customHeight="1" spans="1:12">
      <c r="A1942" s="1076" t="str">
        <f>IFERROR(__xludf.DUMMYFUNCTION("""COMPUTED_VALUE"""),"XD3-MPC-068")</f>
        <v>XD3-MPC-068</v>
      </c>
      <c r="B1942" s="1075" t="str">
        <f>IFERROR(__xludf.DUMMYFUNCTION("""COMPUTED_VALUE"""),"Máy phát cỏ 2 thì")</f>
        <v>Máy phát cỏ 2 thì</v>
      </c>
      <c r="C1942" s="1076" t="str">
        <f>IFERROR(__xludf.DUMMYFUNCTION("""COMPUTED_VALUE"""),"XN Chuối DP3")</f>
        <v>XN Chuối DP3</v>
      </c>
      <c r="D1942" s="1076" t="str">
        <f>IFERROR(__xludf.DUMMYFUNCTION("""COMPUTED_VALUE"""),"NAGATA")</f>
        <v>NAGATA</v>
      </c>
      <c r="E1942" s="1076"/>
      <c r="F1942" s="1076"/>
      <c r="G1942" s="1076" t="str">
        <f>IFERROR(__xludf.DUMMYFUNCTION("""COMPUTED_VALUE"""),"CG411")</f>
        <v>CG411</v>
      </c>
      <c r="H1942" s="1076" t="str">
        <f>IFERROR(__xludf.DUMMYFUNCTION("""COMPUTED_VALUE"""),"1.8HP")</f>
        <v>1.8HP</v>
      </c>
      <c r="I1942" s="1076"/>
      <c r="J1942" s="1076"/>
      <c r="K1942" s="1076"/>
      <c r="L1942" s="1076" t="str">
        <f>IFERROR(__xludf.DUMMYFUNCTION("""COMPUTED_VALUE"""),"KLH")</f>
        <v>KLH</v>
      </c>
    </row>
    <row r="1943" customHeight="1" spans="1:12">
      <c r="A1943" s="1076" t="str">
        <f>IFERROR(__xludf.DUMMYFUNCTION("""COMPUTED_VALUE"""),"XD3-MPC-069")</f>
        <v>XD3-MPC-069</v>
      </c>
      <c r="B1943" s="1075" t="str">
        <f>IFERROR(__xludf.DUMMYFUNCTION("""COMPUTED_VALUE"""),"Máy phát cỏ 2 thì")</f>
        <v>Máy phát cỏ 2 thì</v>
      </c>
      <c r="C1943" s="1076" t="str">
        <f>IFERROR(__xludf.DUMMYFUNCTION("""COMPUTED_VALUE"""),"XN Chuối DP3")</f>
        <v>XN Chuối DP3</v>
      </c>
      <c r="D1943" s="1076" t="str">
        <f>IFERROR(__xludf.DUMMYFUNCTION("""COMPUTED_VALUE"""),"NAGATA")</f>
        <v>NAGATA</v>
      </c>
      <c r="E1943" s="1076"/>
      <c r="F1943" s="1076"/>
      <c r="G1943" s="1076" t="str">
        <f>IFERROR(__xludf.DUMMYFUNCTION("""COMPUTED_VALUE"""),"CG411")</f>
        <v>CG411</v>
      </c>
      <c r="H1943" s="1076" t="str">
        <f>IFERROR(__xludf.DUMMYFUNCTION("""COMPUTED_VALUE"""),"1.8HP")</f>
        <v>1.8HP</v>
      </c>
      <c r="I1943" s="1076"/>
      <c r="J1943" s="1076"/>
      <c r="K1943" s="1076"/>
      <c r="L1943" s="1076" t="str">
        <f>IFERROR(__xludf.DUMMYFUNCTION("""COMPUTED_VALUE"""),"KLH")</f>
        <v>KLH</v>
      </c>
    </row>
    <row r="1944" customHeight="1" spans="1:12">
      <c r="A1944" s="1076" t="str">
        <f>IFERROR(__xludf.DUMMYFUNCTION("""COMPUTED_VALUE"""),"XD3-MPC-070")</f>
        <v>XD3-MPC-070</v>
      </c>
      <c r="B1944" s="1075" t="str">
        <f>IFERROR(__xludf.DUMMYFUNCTION("""COMPUTED_VALUE"""),"Máy phát cỏ 2 thì")</f>
        <v>Máy phát cỏ 2 thì</v>
      </c>
      <c r="C1944" s="1076" t="str">
        <f>IFERROR(__xludf.DUMMYFUNCTION("""COMPUTED_VALUE"""),"XN Chuối DP3")</f>
        <v>XN Chuối DP3</v>
      </c>
      <c r="D1944" s="1076" t="str">
        <f>IFERROR(__xludf.DUMMYFUNCTION("""COMPUTED_VALUE"""),"NAGATA")</f>
        <v>NAGATA</v>
      </c>
      <c r="E1944" s="1076"/>
      <c r="F1944" s="1076"/>
      <c r="G1944" s="1076" t="str">
        <f>IFERROR(__xludf.DUMMYFUNCTION("""COMPUTED_VALUE"""),"CG411")</f>
        <v>CG411</v>
      </c>
      <c r="H1944" s="1076" t="str">
        <f>IFERROR(__xludf.DUMMYFUNCTION("""COMPUTED_VALUE"""),"1.8HP")</f>
        <v>1.8HP</v>
      </c>
      <c r="I1944" s="1076"/>
      <c r="J1944" s="1076"/>
      <c r="K1944" s="1076"/>
      <c r="L1944" s="1076" t="str">
        <f>IFERROR(__xludf.DUMMYFUNCTION("""COMPUTED_VALUE"""),"KLH")</f>
        <v>KLH</v>
      </c>
    </row>
    <row r="1945" customHeight="1" spans="1:12">
      <c r="A1945" s="1076" t="str">
        <f>IFERROR(__xludf.DUMMYFUNCTION("""COMPUTED_VALUE"""),"XD3-MPC-071")</f>
        <v>XD3-MPC-071</v>
      </c>
      <c r="B1945" s="1075" t="str">
        <f>IFERROR(__xludf.DUMMYFUNCTION("""COMPUTED_VALUE"""),"Máy phát cỏ 2 thì")</f>
        <v>Máy phát cỏ 2 thì</v>
      </c>
      <c r="C1945" s="1076" t="str">
        <f>IFERROR(__xludf.DUMMYFUNCTION("""COMPUTED_VALUE"""),"XN Chuối DP3")</f>
        <v>XN Chuối DP3</v>
      </c>
      <c r="D1945" s="1076" t="str">
        <f>IFERROR(__xludf.DUMMYFUNCTION("""COMPUTED_VALUE"""),"NAGATA")</f>
        <v>NAGATA</v>
      </c>
      <c r="E1945" s="1076"/>
      <c r="F1945" s="1076"/>
      <c r="G1945" s="1076" t="str">
        <f>IFERROR(__xludf.DUMMYFUNCTION("""COMPUTED_VALUE"""),"CG411")</f>
        <v>CG411</v>
      </c>
      <c r="H1945" s="1076" t="str">
        <f>IFERROR(__xludf.DUMMYFUNCTION("""COMPUTED_VALUE"""),"1.8HP")</f>
        <v>1.8HP</v>
      </c>
      <c r="I1945" s="1076"/>
      <c r="J1945" s="1076"/>
      <c r="K1945" s="1076"/>
      <c r="L1945" s="1076" t="str">
        <f>IFERROR(__xludf.DUMMYFUNCTION("""COMPUTED_VALUE"""),"KLH")</f>
        <v>KLH</v>
      </c>
    </row>
    <row r="1946" customHeight="1" spans="1:12">
      <c r="A1946" s="1076" t="str">
        <f>IFERROR(__xludf.DUMMYFUNCTION("""COMPUTED_VALUE"""),"XD3-MPC-072")</f>
        <v>XD3-MPC-072</v>
      </c>
      <c r="B1946" s="1075" t="str">
        <f>IFERROR(__xludf.DUMMYFUNCTION("""COMPUTED_VALUE"""),"Máy phát cỏ 2 thì")</f>
        <v>Máy phát cỏ 2 thì</v>
      </c>
      <c r="C1946" s="1076" t="str">
        <f>IFERROR(__xludf.DUMMYFUNCTION("""COMPUTED_VALUE"""),"XN Chuối DP3")</f>
        <v>XN Chuối DP3</v>
      </c>
      <c r="D1946" s="1076" t="str">
        <f>IFERROR(__xludf.DUMMYFUNCTION("""COMPUTED_VALUE"""),"NAGATA")</f>
        <v>NAGATA</v>
      </c>
      <c r="E1946" s="1076"/>
      <c r="F1946" s="1076"/>
      <c r="G1946" s="1076" t="str">
        <f>IFERROR(__xludf.DUMMYFUNCTION("""COMPUTED_VALUE"""),"CG411")</f>
        <v>CG411</v>
      </c>
      <c r="H1946" s="1076" t="str">
        <f>IFERROR(__xludf.DUMMYFUNCTION("""COMPUTED_VALUE"""),"1.8HP")</f>
        <v>1.8HP</v>
      </c>
      <c r="I1946" s="1076"/>
      <c r="J1946" s="1076"/>
      <c r="K1946" s="1076"/>
      <c r="L1946" s="1076" t="str">
        <f>IFERROR(__xludf.DUMMYFUNCTION("""COMPUTED_VALUE"""),"KLH")</f>
        <v>KLH</v>
      </c>
    </row>
    <row r="1947" customHeight="1" spans="1:12">
      <c r="A1947" s="1076" t="str">
        <f>IFERROR(__xludf.DUMMYFUNCTION("""COMPUTED_VALUE"""),"XD3-MPC-073")</f>
        <v>XD3-MPC-073</v>
      </c>
      <c r="B1947" s="1075" t="str">
        <f>IFERROR(__xludf.DUMMYFUNCTION("""COMPUTED_VALUE"""),"Máy phát cỏ 2 thì")</f>
        <v>Máy phát cỏ 2 thì</v>
      </c>
      <c r="C1947" s="1076" t="str">
        <f>IFERROR(__xludf.DUMMYFUNCTION("""COMPUTED_VALUE"""),"XN Chuối DP3")</f>
        <v>XN Chuối DP3</v>
      </c>
      <c r="D1947" s="1076" t="str">
        <f>IFERROR(__xludf.DUMMYFUNCTION("""COMPUTED_VALUE"""),"NAGATA")</f>
        <v>NAGATA</v>
      </c>
      <c r="E1947" s="1076"/>
      <c r="F1947" s="1076"/>
      <c r="G1947" s="1076" t="str">
        <f>IFERROR(__xludf.DUMMYFUNCTION("""COMPUTED_VALUE"""),"CG411")</f>
        <v>CG411</v>
      </c>
      <c r="H1947" s="1076" t="str">
        <f>IFERROR(__xludf.DUMMYFUNCTION("""COMPUTED_VALUE"""),"1.8HP")</f>
        <v>1.8HP</v>
      </c>
      <c r="I1947" s="1076"/>
      <c r="J1947" s="1076"/>
      <c r="K1947" s="1076"/>
      <c r="L1947" s="1076" t="str">
        <f>IFERROR(__xludf.DUMMYFUNCTION("""COMPUTED_VALUE"""),"KLH")</f>
        <v>KLH</v>
      </c>
    </row>
    <row r="1948" customHeight="1" spans="1:12">
      <c r="A1948" s="1076" t="str">
        <f>IFERROR(__xludf.DUMMYFUNCTION("""COMPUTED_VALUE"""),"XD3-MPC-074")</f>
        <v>XD3-MPC-074</v>
      </c>
      <c r="B1948" s="1075" t="str">
        <f>IFERROR(__xludf.DUMMYFUNCTION("""COMPUTED_VALUE"""),"Máy phát cỏ 2 thì")</f>
        <v>Máy phát cỏ 2 thì</v>
      </c>
      <c r="C1948" s="1076" t="str">
        <f>IFERROR(__xludf.DUMMYFUNCTION("""COMPUTED_VALUE"""),"XN Chuối DP3")</f>
        <v>XN Chuối DP3</v>
      </c>
      <c r="D1948" s="1076" t="str">
        <f>IFERROR(__xludf.DUMMYFUNCTION("""COMPUTED_VALUE"""),"NAGATA")</f>
        <v>NAGATA</v>
      </c>
      <c r="E1948" s="1076"/>
      <c r="F1948" s="1076"/>
      <c r="G1948" s="1076" t="str">
        <f>IFERROR(__xludf.DUMMYFUNCTION("""COMPUTED_VALUE"""),"CG411")</f>
        <v>CG411</v>
      </c>
      <c r="H1948" s="1076" t="str">
        <f>IFERROR(__xludf.DUMMYFUNCTION("""COMPUTED_VALUE"""),"1.8HP")</f>
        <v>1.8HP</v>
      </c>
      <c r="I1948" s="1076"/>
      <c r="J1948" s="1076"/>
      <c r="K1948" s="1076"/>
      <c r="L1948" s="1076" t="str">
        <f>IFERROR(__xludf.DUMMYFUNCTION("""COMPUTED_VALUE"""),"KLH")</f>
        <v>KLH</v>
      </c>
    </row>
    <row r="1949" customHeight="1" spans="1:12">
      <c r="A1949" s="1076" t="str">
        <f>IFERROR(__xludf.DUMMYFUNCTION("""COMPUTED_VALUE"""),"XD3-MPC-075")</f>
        <v>XD3-MPC-075</v>
      </c>
      <c r="B1949" s="1075" t="str">
        <f>IFERROR(__xludf.DUMMYFUNCTION("""COMPUTED_VALUE"""),"Máy phát cỏ 2 thì")</f>
        <v>Máy phát cỏ 2 thì</v>
      </c>
      <c r="C1949" s="1076" t="str">
        <f>IFERROR(__xludf.DUMMYFUNCTION("""COMPUTED_VALUE"""),"XN Chuối DP3")</f>
        <v>XN Chuối DP3</v>
      </c>
      <c r="D1949" s="1076" t="str">
        <f>IFERROR(__xludf.DUMMYFUNCTION("""COMPUTED_VALUE"""),"NAGATA")</f>
        <v>NAGATA</v>
      </c>
      <c r="E1949" s="1076"/>
      <c r="F1949" s="1076"/>
      <c r="G1949" s="1076" t="str">
        <f>IFERROR(__xludf.DUMMYFUNCTION("""COMPUTED_VALUE"""),"CG411")</f>
        <v>CG411</v>
      </c>
      <c r="H1949" s="1076" t="str">
        <f>IFERROR(__xludf.DUMMYFUNCTION("""COMPUTED_VALUE"""),"1.8HP")</f>
        <v>1.8HP</v>
      </c>
      <c r="I1949" s="1076"/>
      <c r="J1949" s="1076"/>
      <c r="K1949" s="1076"/>
      <c r="L1949" s="1076" t="str">
        <f>IFERROR(__xludf.DUMMYFUNCTION("""COMPUTED_VALUE"""),"KLH")</f>
        <v>KLH</v>
      </c>
    </row>
    <row r="1950" customHeight="1" spans="1:12">
      <c r="A1950" s="1076" t="str">
        <f>IFERROR(__xludf.DUMMYFUNCTION("""COMPUTED_VALUE"""),"XD3-MPC-076")</f>
        <v>XD3-MPC-076</v>
      </c>
      <c r="B1950" s="1075" t="str">
        <f>IFERROR(__xludf.DUMMYFUNCTION("""COMPUTED_VALUE"""),"Máy phát cỏ 2 thì")</f>
        <v>Máy phát cỏ 2 thì</v>
      </c>
      <c r="C1950" s="1076" t="str">
        <f>IFERROR(__xludf.DUMMYFUNCTION("""COMPUTED_VALUE"""),"XN Chuối DP3")</f>
        <v>XN Chuối DP3</v>
      </c>
      <c r="D1950" s="1076" t="str">
        <f>IFERROR(__xludf.DUMMYFUNCTION("""COMPUTED_VALUE"""),"NAGATA")</f>
        <v>NAGATA</v>
      </c>
      <c r="E1950" s="1076"/>
      <c r="F1950" s="1076"/>
      <c r="G1950" s="1076" t="str">
        <f>IFERROR(__xludf.DUMMYFUNCTION("""COMPUTED_VALUE"""),"CG411")</f>
        <v>CG411</v>
      </c>
      <c r="H1950" s="1076" t="str">
        <f>IFERROR(__xludf.DUMMYFUNCTION("""COMPUTED_VALUE"""),"1.8HP")</f>
        <v>1.8HP</v>
      </c>
      <c r="I1950" s="1076"/>
      <c r="J1950" s="1076"/>
      <c r="K1950" s="1076"/>
      <c r="L1950" s="1076" t="str">
        <f>IFERROR(__xludf.DUMMYFUNCTION("""COMPUTED_VALUE"""),"KLH")</f>
        <v>KLH</v>
      </c>
    </row>
    <row r="1951" customHeight="1" spans="1:12">
      <c r="A1951" s="1076" t="str">
        <f>IFERROR(__xludf.DUMMYFUNCTION("""COMPUTED_VALUE"""),"XD3-MPC-077")</f>
        <v>XD3-MPC-077</v>
      </c>
      <c r="B1951" s="1075" t="str">
        <f>IFERROR(__xludf.DUMMYFUNCTION("""COMPUTED_VALUE"""),"Máy phát cỏ 2 thì")</f>
        <v>Máy phát cỏ 2 thì</v>
      </c>
      <c r="C1951" s="1076" t="str">
        <f>IFERROR(__xludf.DUMMYFUNCTION("""COMPUTED_VALUE"""),"XN Chuối DP3")</f>
        <v>XN Chuối DP3</v>
      </c>
      <c r="D1951" s="1076" t="str">
        <f>IFERROR(__xludf.DUMMYFUNCTION("""COMPUTED_VALUE"""),"NAGATA")</f>
        <v>NAGATA</v>
      </c>
      <c r="E1951" s="1076"/>
      <c r="F1951" s="1076"/>
      <c r="G1951" s="1076" t="str">
        <f>IFERROR(__xludf.DUMMYFUNCTION("""COMPUTED_VALUE"""),"CG411")</f>
        <v>CG411</v>
      </c>
      <c r="H1951" s="1076" t="str">
        <f>IFERROR(__xludf.DUMMYFUNCTION("""COMPUTED_VALUE"""),"1.8HP")</f>
        <v>1.8HP</v>
      </c>
      <c r="I1951" s="1076"/>
      <c r="J1951" s="1076"/>
      <c r="K1951" s="1076"/>
      <c r="L1951" s="1076" t="str">
        <f>IFERROR(__xludf.DUMMYFUNCTION("""COMPUTED_VALUE"""),"KLH")</f>
        <v>KLH</v>
      </c>
    </row>
    <row r="1952" customHeight="1" spans="1:12">
      <c r="A1952" s="1076" t="str">
        <f>IFERROR(__xludf.DUMMYFUNCTION("""COMPUTED_VALUE"""),"XD3-MPC-078")</f>
        <v>XD3-MPC-078</v>
      </c>
      <c r="B1952" s="1075" t="str">
        <f>IFERROR(__xludf.DUMMYFUNCTION("""COMPUTED_VALUE"""),"Máy phát cỏ 2 thì")</f>
        <v>Máy phát cỏ 2 thì</v>
      </c>
      <c r="C1952" s="1076" t="str">
        <f>IFERROR(__xludf.DUMMYFUNCTION("""COMPUTED_VALUE"""),"XN Chuối DP3")</f>
        <v>XN Chuối DP3</v>
      </c>
      <c r="D1952" s="1076" t="str">
        <f>IFERROR(__xludf.DUMMYFUNCTION("""COMPUTED_VALUE"""),"NAGATA")</f>
        <v>NAGATA</v>
      </c>
      <c r="E1952" s="1076"/>
      <c r="F1952" s="1076"/>
      <c r="G1952" s="1076" t="str">
        <f>IFERROR(__xludf.DUMMYFUNCTION("""COMPUTED_VALUE"""),"CG411")</f>
        <v>CG411</v>
      </c>
      <c r="H1952" s="1076" t="str">
        <f>IFERROR(__xludf.DUMMYFUNCTION("""COMPUTED_VALUE"""),"1.8HP")</f>
        <v>1.8HP</v>
      </c>
      <c r="I1952" s="1076"/>
      <c r="J1952" s="1076"/>
      <c r="K1952" s="1076"/>
      <c r="L1952" s="1076" t="str">
        <f>IFERROR(__xludf.DUMMYFUNCTION("""COMPUTED_VALUE"""),"KLH")</f>
        <v>KLH</v>
      </c>
    </row>
    <row r="1953" customHeight="1" spans="1:12">
      <c r="A1953" s="1076" t="str">
        <f>IFERROR(__xludf.DUMMYFUNCTION("""COMPUTED_VALUE"""),"XD3-MPC-079")</f>
        <v>XD3-MPC-079</v>
      </c>
      <c r="B1953" s="1075" t="str">
        <f>IFERROR(__xludf.DUMMYFUNCTION("""COMPUTED_VALUE"""),"Máy phát cỏ 2 thì")</f>
        <v>Máy phát cỏ 2 thì</v>
      </c>
      <c r="C1953" s="1076" t="str">
        <f>IFERROR(__xludf.DUMMYFUNCTION("""COMPUTED_VALUE"""),"XN Chuối DP3")</f>
        <v>XN Chuối DP3</v>
      </c>
      <c r="D1953" s="1076" t="str">
        <f>IFERROR(__xludf.DUMMYFUNCTION("""COMPUTED_VALUE"""),"NAGATA")</f>
        <v>NAGATA</v>
      </c>
      <c r="E1953" s="1076"/>
      <c r="F1953" s="1076"/>
      <c r="G1953" s="1076" t="str">
        <f>IFERROR(__xludf.DUMMYFUNCTION("""COMPUTED_VALUE"""),"CG411")</f>
        <v>CG411</v>
      </c>
      <c r="H1953" s="1076" t="str">
        <f>IFERROR(__xludf.DUMMYFUNCTION("""COMPUTED_VALUE"""),"1.8HP")</f>
        <v>1.8HP</v>
      </c>
      <c r="I1953" s="1076"/>
      <c r="J1953" s="1076"/>
      <c r="K1953" s="1076"/>
      <c r="L1953" s="1076" t="str">
        <f>IFERROR(__xludf.DUMMYFUNCTION("""COMPUTED_VALUE"""),"KLH")</f>
        <v>KLH</v>
      </c>
    </row>
    <row r="1954" customHeight="1" spans="1:12">
      <c r="A1954" s="1076" t="str">
        <f>IFERROR(__xludf.DUMMYFUNCTION("""COMPUTED_VALUE"""),"XD3-MPC-080")</f>
        <v>XD3-MPC-080</v>
      </c>
      <c r="B1954" s="1075" t="str">
        <f>IFERROR(__xludf.DUMMYFUNCTION("""COMPUTED_VALUE"""),"Máy phát cỏ 2 thì")</f>
        <v>Máy phát cỏ 2 thì</v>
      </c>
      <c r="C1954" s="1076" t="str">
        <f>IFERROR(__xludf.DUMMYFUNCTION("""COMPUTED_VALUE"""),"XN Chuối DP3")</f>
        <v>XN Chuối DP3</v>
      </c>
      <c r="D1954" s="1076" t="str">
        <f>IFERROR(__xludf.DUMMYFUNCTION("""COMPUTED_VALUE"""),"NAGATA")</f>
        <v>NAGATA</v>
      </c>
      <c r="E1954" s="1076"/>
      <c r="F1954" s="1076"/>
      <c r="G1954" s="1076" t="str">
        <f>IFERROR(__xludf.DUMMYFUNCTION("""COMPUTED_VALUE"""),"CG411")</f>
        <v>CG411</v>
      </c>
      <c r="H1954" s="1076" t="str">
        <f>IFERROR(__xludf.DUMMYFUNCTION("""COMPUTED_VALUE"""),"1.8HP")</f>
        <v>1.8HP</v>
      </c>
      <c r="I1954" s="1076"/>
      <c r="J1954" s="1076"/>
      <c r="K1954" s="1076"/>
      <c r="L1954" s="1076" t="str">
        <f>IFERROR(__xludf.DUMMYFUNCTION("""COMPUTED_VALUE"""),"KLH")</f>
        <v>KLH</v>
      </c>
    </row>
    <row r="1955" customHeight="1" spans="1:12">
      <c r="A1955" s="1076" t="str">
        <f>IFERROR(__xludf.DUMMYFUNCTION("""COMPUTED_VALUE"""),"XD3-MPC-081")</f>
        <v>XD3-MPC-081</v>
      </c>
      <c r="B1955" s="1075" t="str">
        <f>IFERROR(__xludf.DUMMYFUNCTION("""COMPUTED_VALUE"""),"Máy phát cỏ 2 thì")</f>
        <v>Máy phát cỏ 2 thì</v>
      </c>
      <c r="C1955" s="1076" t="str">
        <f>IFERROR(__xludf.DUMMYFUNCTION("""COMPUTED_VALUE"""),"XN Chuối DP3")</f>
        <v>XN Chuối DP3</v>
      </c>
      <c r="D1955" s="1076" t="str">
        <f>IFERROR(__xludf.DUMMYFUNCTION("""COMPUTED_VALUE"""),"NAGATA")</f>
        <v>NAGATA</v>
      </c>
      <c r="E1955" s="1076"/>
      <c r="F1955" s="1076"/>
      <c r="G1955" s="1076" t="str">
        <f>IFERROR(__xludf.DUMMYFUNCTION("""COMPUTED_VALUE"""),"CG411")</f>
        <v>CG411</v>
      </c>
      <c r="H1955" s="1076" t="str">
        <f>IFERROR(__xludf.DUMMYFUNCTION("""COMPUTED_VALUE"""),"1.8HP")</f>
        <v>1.8HP</v>
      </c>
      <c r="I1955" s="1076"/>
      <c r="J1955" s="1076"/>
      <c r="K1955" s="1076"/>
      <c r="L1955" s="1076" t="str">
        <f>IFERROR(__xludf.DUMMYFUNCTION("""COMPUTED_VALUE"""),"KLH")</f>
        <v>KLH</v>
      </c>
    </row>
    <row r="1956" customHeight="1" spans="1:12">
      <c r="A1956" s="1076" t="str">
        <f>IFERROR(__xludf.DUMMYFUNCTION("""COMPUTED_VALUE"""),"XD3-MPC-082")</f>
        <v>XD3-MPC-082</v>
      </c>
      <c r="B1956" s="1075" t="str">
        <f>IFERROR(__xludf.DUMMYFUNCTION("""COMPUTED_VALUE"""),"Máy phát cỏ 2 thì")</f>
        <v>Máy phát cỏ 2 thì</v>
      </c>
      <c r="C1956" s="1076" t="str">
        <f>IFERROR(__xludf.DUMMYFUNCTION("""COMPUTED_VALUE"""),"XN Chuối DP3")</f>
        <v>XN Chuối DP3</v>
      </c>
      <c r="D1956" s="1076" t="str">
        <f>IFERROR(__xludf.DUMMYFUNCTION("""COMPUTED_VALUE"""),"NAGATA")</f>
        <v>NAGATA</v>
      </c>
      <c r="E1956" s="1076"/>
      <c r="F1956" s="1076"/>
      <c r="G1956" s="1076" t="str">
        <f>IFERROR(__xludf.DUMMYFUNCTION("""COMPUTED_VALUE"""),"CG411")</f>
        <v>CG411</v>
      </c>
      <c r="H1956" s="1076" t="str">
        <f>IFERROR(__xludf.DUMMYFUNCTION("""COMPUTED_VALUE"""),"1.8HP")</f>
        <v>1.8HP</v>
      </c>
      <c r="I1956" s="1076"/>
      <c r="J1956" s="1076"/>
      <c r="K1956" s="1076"/>
      <c r="L1956" s="1076" t="str">
        <f>IFERROR(__xludf.DUMMYFUNCTION("""COMPUTED_VALUE"""),"KLH")</f>
        <v>KLH</v>
      </c>
    </row>
    <row r="1957" customHeight="1" spans="1:12">
      <c r="A1957" s="1076" t="str">
        <f>IFERROR(__xludf.DUMMYFUNCTION("""COMPUTED_VALUE"""),"XD3-MPC-083")</f>
        <v>XD3-MPC-083</v>
      </c>
      <c r="B1957" s="1075" t="str">
        <f>IFERROR(__xludf.DUMMYFUNCTION("""COMPUTED_VALUE"""),"Máy phát cỏ 2 thì")</f>
        <v>Máy phát cỏ 2 thì</v>
      </c>
      <c r="C1957" s="1076" t="str">
        <f>IFERROR(__xludf.DUMMYFUNCTION("""COMPUTED_VALUE"""),"XN Chuối DP3")</f>
        <v>XN Chuối DP3</v>
      </c>
      <c r="D1957" s="1076" t="str">
        <f>IFERROR(__xludf.DUMMYFUNCTION("""COMPUTED_VALUE"""),"NAGATA")</f>
        <v>NAGATA</v>
      </c>
      <c r="E1957" s="1076"/>
      <c r="F1957" s="1076"/>
      <c r="G1957" s="1076" t="str">
        <f>IFERROR(__xludf.DUMMYFUNCTION("""COMPUTED_VALUE"""),"CG411")</f>
        <v>CG411</v>
      </c>
      <c r="H1957" s="1076" t="str">
        <f>IFERROR(__xludf.DUMMYFUNCTION("""COMPUTED_VALUE"""),"1.8HP")</f>
        <v>1.8HP</v>
      </c>
      <c r="I1957" s="1076"/>
      <c r="J1957" s="1076"/>
      <c r="K1957" s="1076"/>
      <c r="L1957" s="1076" t="str">
        <f>IFERROR(__xludf.DUMMYFUNCTION("""COMPUTED_VALUE"""),"KLH")</f>
        <v>KLH</v>
      </c>
    </row>
    <row r="1958" customHeight="1" spans="1:12">
      <c r="A1958" s="1076" t="str">
        <f>IFERROR(__xludf.DUMMYFUNCTION("""COMPUTED_VALUE"""),"XD3-MPC-084")</f>
        <v>XD3-MPC-084</v>
      </c>
      <c r="B1958" s="1075" t="str">
        <f>IFERROR(__xludf.DUMMYFUNCTION("""COMPUTED_VALUE"""),"Máy phát cỏ 2 thì")</f>
        <v>Máy phát cỏ 2 thì</v>
      </c>
      <c r="C1958" s="1076" t="str">
        <f>IFERROR(__xludf.DUMMYFUNCTION("""COMPUTED_VALUE"""),"XN Chuối DP3")</f>
        <v>XN Chuối DP3</v>
      </c>
      <c r="D1958" s="1076" t="str">
        <f>IFERROR(__xludf.DUMMYFUNCTION("""COMPUTED_VALUE"""),"NAGATA")</f>
        <v>NAGATA</v>
      </c>
      <c r="E1958" s="1076"/>
      <c r="F1958" s="1076"/>
      <c r="G1958" s="1076" t="str">
        <f>IFERROR(__xludf.DUMMYFUNCTION("""COMPUTED_VALUE"""),"CG411")</f>
        <v>CG411</v>
      </c>
      <c r="H1958" s="1076" t="str">
        <f>IFERROR(__xludf.DUMMYFUNCTION("""COMPUTED_VALUE"""),"1.8HP")</f>
        <v>1.8HP</v>
      </c>
      <c r="I1958" s="1076"/>
      <c r="J1958" s="1076"/>
      <c r="K1958" s="1076"/>
      <c r="L1958" s="1076" t="str">
        <f>IFERROR(__xludf.DUMMYFUNCTION("""COMPUTED_VALUE"""),"KLH")</f>
        <v>KLH</v>
      </c>
    </row>
    <row r="1959" customHeight="1" spans="1:12">
      <c r="A1959" s="1076" t="str">
        <f>IFERROR(__xludf.DUMMYFUNCTION("""COMPUTED_VALUE"""),"XD3-MPC-085")</f>
        <v>XD3-MPC-085</v>
      </c>
      <c r="B1959" s="1075" t="str">
        <f>IFERROR(__xludf.DUMMYFUNCTION("""COMPUTED_VALUE"""),"Máy phát cỏ 4 thì")</f>
        <v>Máy phát cỏ 4 thì</v>
      </c>
      <c r="C1959" s="1076" t="str">
        <f>IFERROR(__xludf.DUMMYFUNCTION("""COMPUTED_VALUE"""),"XN Chuối DP3")</f>
        <v>XN Chuối DP3</v>
      </c>
      <c r="D1959" s="1076" t="str">
        <f>IFERROR(__xludf.DUMMYFUNCTION("""COMPUTED_VALUE"""),"HONDA")</f>
        <v>HONDA</v>
      </c>
      <c r="E1959" s="1076"/>
      <c r="F1959" s="1076"/>
      <c r="G1959" s="1076" t="str">
        <f>IFERROR(__xludf.DUMMYFUNCTION("""COMPUTED_VALUE"""),"GX35")</f>
        <v>GX35</v>
      </c>
      <c r="H1959" s="1076" t="str">
        <f>IFERROR(__xludf.DUMMYFUNCTION("""COMPUTED_VALUE"""),"1.6HP")</f>
        <v>1.6HP</v>
      </c>
      <c r="I1959" s="1076" t="str">
        <f>IFERROR(__xludf.DUMMYFUNCTION("""COMPUTED_VALUE"""),"GCAMT-7784135")</f>
        <v>GCAMT-7784135</v>
      </c>
      <c r="J1959" s="1076"/>
      <c r="K1959" s="1076"/>
      <c r="L1959" s="1076" t="str">
        <f>IFERROR(__xludf.DUMMYFUNCTION("""COMPUTED_VALUE"""),"KLH")</f>
        <v>KLH</v>
      </c>
    </row>
    <row r="1960" customHeight="1" spans="1:12">
      <c r="A1960" s="1076" t="str">
        <f>IFERROR(__xludf.DUMMYFUNCTION("""COMPUTED_VALUE"""),"XD3-MPC-086")</f>
        <v>XD3-MPC-086</v>
      </c>
      <c r="B1960" s="1075" t="str">
        <f>IFERROR(__xludf.DUMMYFUNCTION("""COMPUTED_VALUE"""),"Máy phát cỏ 4 thì")</f>
        <v>Máy phát cỏ 4 thì</v>
      </c>
      <c r="C1960" s="1076" t="str">
        <f>IFERROR(__xludf.DUMMYFUNCTION("""COMPUTED_VALUE"""),"XN Chuối DP3")</f>
        <v>XN Chuối DP3</v>
      </c>
      <c r="D1960" s="1076" t="str">
        <f>IFERROR(__xludf.DUMMYFUNCTION("""COMPUTED_VALUE"""),"HONDA")</f>
        <v>HONDA</v>
      </c>
      <c r="E1960" s="1076"/>
      <c r="F1960" s="1076"/>
      <c r="G1960" s="1076" t="str">
        <f>IFERROR(__xludf.DUMMYFUNCTION("""COMPUTED_VALUE"""),"GX35")</f>
        <v>GX35</v>
      </c>
      <c r="H1960" s="1076" t="str">
        <f>IFERROR(__xludf.DUMMYFUNCTION("""COMPUTED_VALUE"""),"1.6HP")</f>
        <v>1.6HP</v>
      </c>
      <c r="I1960" s="1076" t="str">
        <f>IFERROR(__xludf.DUMMYFUNCTION("""COMPUTED_VALUE"""),"GCAMT-7784268")</f>
        <v>GCAMT-7784268</v>
      </c>
      <c r="J1960" s="1076"/>
      <c r="K1960" s="1076"/>
      <c r="L1960" s="1076" t="str">
        <f>IFERROR(__xludf.DUMMYFUNCTION("""COMPUTED_VALUE"""),"KLH")</f>
        <v>KLH</v>
      </c>
    </row>
    <row r="1961" customHeight="1" spans="1:12">
      <c r="A1961" s="1076" t="str">
        <f>IFERROR(__xludf.DUMMYFUNCTION("""COMPUTED_VALUE"""),"XD3-MPC-087")</f>
        <v>XD3-MPC-087</v>
      </c>
      <c r="B1961" s="1075" t="str">
        <f>IFERROR(__xludf.DUMMYFUNCTION("""COMPUTED_VALUE"""),"Máy phát cỏ 4 thì")</f>
        <v>Máy phát cỏ 4 thì</v>
      </c>
      <c r="C1961" s="1076" t="str">
        <f>IFERROR(__xludf.DUMMYFUNCTION("""COMPUTED_VALUE"""),"XN Chuối DP3")</f>
        <v>XN Chuối DP3</v>
      </c>
      <c r="D1961" s="1076" t="str">
        <f>IFERROR(__xludf.DUMMYFUNCTION("""COMPUTED_VALUE"""),"HONDA")</f>
        <v>HONDA</v>
      </c>
      <c r="E1961" s="1076"/>
      <c r="F1961" s="1076"/>
      <c r="G1961" s="1076" t="str">
        <f>IFERROR(__xludf.DUMMYFUNCTION("""COMPUTED_VALUE"""),"GX35")</f>
        <v>GX35</v>
      </c>
      <c r="H1961" s="1076" t="str">
        <f>IFERROR(__xludf.DUMMYFUNCTION("""COMPUTED_VALUE"""),"1.6HP")</f>
        <v>1.6HP</v>
      </c>
      <c r="I1961" s="1076" t="str">
        <f>IFERROR(__xludf.DUMMYFUNCTION("""COMPUTED_VALUE"""),"GCAMT-7783570")</f>
        <v>GCAMT-7783570</v>
      </c>
      <c r="J1961" s="1076"/>
      <c r="K1961" s="1076"/>
      <c r="L1961" s="1076" t="str">
        <f>IFERROR(__xludf.DUMMYFUNCTION("""COMPUTED_VALUE"""),"KLH")</f>
        <v>KLH</v>
      </c>
    </row>
    <row r="1962" customHeight="1" spans="1:12">
      <c r="A1962" s="1076" t="str">
        <f>IFERROR(__xludf.DUMMYFUNCTION("""COMPUTED_VALUE"""),"XD3-MPC-088")</f>
        <v>XD3-MPC-088</v>
      </c>
      <c r="B1962" s="1075" t="str">
        <f>IFERROR(__xludf.DUMMYFUNCTION("""COMPUTED_VALUE"""),"Máy phát cỏ 4 thì")</f>
        <v>Máy phát cỏ 4 thì</v>
      </c>
      <c r="C1962" s="1076" t="str">
        <f>IFERROR(__xludf.DUMMYFUNCTION("""COMPUTED_VALUE"""),"XN Chuối DP3")</f>
        <v>XN Chuối DP3</v>
      </c>
      <c r="D1962" s="1076" t="str">
        <f>IFERROR(__xludf.DUMMYFUNCTION("""COMPUTED_VALUE"""),"HONDA")</f>
        <v>HONDA</v>
      </c>
      <c r="E1962" s="1076"/>
      <c r="F1962" s="1076"/>
      <c r="G1962" s="1076" t="str">
        <f>IFERROR(__xludf.DUMMYFUNCTION("""COMPUTED_VALUE"""),"GX35")</f>
        <v>GX35</v>
      </c>
      <c r="H1962" s="1076" t="str">
        <f>IFERROR(__xludf.DUMMYFUNCTION("""COMPUTED_VALUE"""),"1.6HP")</f>
        <v>1.6HP</v>
      </c>
      <c r="I1962" s="1076" t="str">
        <f>IFERROR(__xludf.DUMMYFUNCTION("""COMPUTED_VALUE"""),"GCAMT-7782021")</f>
        <v>GCAMT-7782021</v>
      </c>
      <c r="J1962" s="1076"/>
      <c r="K1962" s="1076"/>
      <c r="L1962" s="1076" t="str">
        <f>IFERROR(__xludf.DUMMYFUNCTION("""COMPUTED_VALUE"""),"KLH")</f>
        <v>KLH</v>
      </c>
    </row>
    <row r="1963" customHeight="1" spans="1:12">
      <c r="A1963" s="1076" t="str">
        <f>IFERROR(__xludf.DUMMYFUNCTION("""COMPUTED_VALUE"""),"XD3-MPC-089")</f>
        <v>XD3-MPC-089</v>
      </c>
      <c r="B1963" s="1075" t="str">
        <f>IFERROR(__xludf.DUMMYFUNCTION("""COMPUTED_VALUE"""),"Máy phát cỏ 4 thì")</f>
        <v>Máy phát cỏ 4 thì</v>
      </c>
      <c r="C1963" s="1076" t="str">
        <f>IFERROR(__xludf.DUMMYFUNCTION("""COMPUTED_VALUE"""),"XN Chuối DP3")</f>
        <v>XN Chuối DP3</v>
      </c>
      <c r="D1963" s="1076" t="str">
        <f>IFERROR(__xludf.DUMMYFUNCTION("""COMPUTED_VALUE"""),"HONDA")</f>
        <v>HONDA</v>
      </c>
      <c r="E1963" s="1076"/>
      <c r="F1963" s="1076"/>
      <c r="G1963" s="1076" t="str">
        <f>IFERROR(__xludf.DUMMYFUNCTION("""COMPUTED_VALUE"""),"GX35")</f>
        <v>GX35</v>
      </c>
      <c r="H1963" s="1076" t="str">
        <f>IFERROR(__xludf.DUMMYFUNCTION("""COMPUTED_VALUE"""),"1.6HP")</f>
        <v>1.6HP</v>
      </c>
      <c r="I1963" s="1076" t="str">
        <f>IFERROR(__xludf.DUMMYFUNCTION("""COMPUTED_VALUE"""),"GCAMT-7768188")</f>
        <v>GCAMT-7768188</v>
      </c>
      <c r="J1963" s="1076"/>
      <c r="K1963" s="1076"/>
      <c r="L1963" s="1076" t="str">
        <f>IFERROR(__xludf.DUMMYFUNCTION("""COMPUTED_VALUE"""),"KLH")</f>
        <v>KLH</v>
      </c>
    </row>
    <row r="1964" customHeight="1" spans="1:12">
      <c r="A1964" s="1076" t="str">
        <f>IFERROR(__xludf.DUMMYFUNCTION("""COMPUTED_VALUE"""),"XD3-MPC-090")</f>
        <v>XD3-MPC-090</v>
      </c>
      <c r="B1964" s="1075" t="str">
        <f>IFERROR(__xludf.DUMMYFUNCTION("""COMPUTED_VALUE"""),"Máy phát cỏ 4 thì")</f>
        <v>Máy phát cỏ 4 thì</v>
      </c>
      <c r="C1964" s="1076" t="str">
        <f>IFERROR(__xludf.DUMMYFUNCTION("""COMPUTED_VALUE"""),"XN Chuối DP3")</f>
        <v>XN Chuối DP3</v>
      </c>
      <c r="D1964" s="1076" t="str">
        <f>IFERROR(__xludf.DUMMYFUNCTION("""COMPUTED_VALUE"""),"HONDA")</f>
        <v>HONDA</v>
      </c>
      <c r="E1964" s="1076"/>
      <c r="F1964" s="1076"/>
      <c r="G1964" s="1076" t="str">
        <f>IFERROR(__xludf.DUMMYFUNCTION("""COMPUTED_VALUE"""),"GX35")</f>
        <v>GX35</v>
      </c>
      <c r="H1964" s="1076" t="str">
        <f>IFERROR(__xludf.DUMMYFUNCTION("""COMPUTED_VALUE"""),"1.6HP")</f>
        <v>1.6HP</v>
      </c>
      <c r="I1964" s="1076" t="str">
        <f>IFERROR(__xludf.DUMMYFUNCTION("""COMPUTED_VALUE"""),"GCAMT-7767017")</f>
        <v>GCAMT-7767017</v>
      </c>
      <c r="J1964" s="1076"/>
      <c r="K1964" s="1076"/>
      <c r="L1964" s="1076" t="str">
        <f>IFERROR(__xludf.DUMMYFUNCTION("""COMPUTED_VALUE"""),"KLH")</f>
        <v>KLH</v>
      </c>
    </row>
    <row r="1965" customHeight="1" spans="1:12">
      <c r="A1965" s="1076" t="str">
        <f>IFERROR(__xludf.DUMMYFUNCTION("""COMPUTED_VALUE"""),"XD3-MPC-091")</f>
        <v>XD3-MPC-091</v>
      </c>
      <c r="B1965" s="1075" t="str">
        <f>IFERROR(__xludf.DUMMYFUNCTION("""COMPUTED_VALUE"""),"Máy phát cỏ 4 thì")</f>
        <v>Máy phát cỏ 4 thì</v>
      </c>
      <c r="C1965" s="1076" t="str">
        <f>IFERROR(__xludf.DUMMYFUNCTION("""COMPUTED_VALUE"""),"XN Chuối DP3")</f>
        <v>XN Chuối DP3</v>
      </c>
      <c r="D1965" s="1076" t="str">
        <f>IFERROR(__xludf.DUMMYFUNCTION("""COMPUTED_VALUE"""),"HONDA")</f>
        <v>HONDA</v>
      </c>
      <c r="E1965" s="1076"/>
      <c r="F1965" s="1076"/>
      <c r="G1965" s="1076" t="str">
        <f>IFERROR(__xludf.DUMMYFUNCTION("""COMPUTED_VALUE"""),"GX35")</f>
        <v>GX35</v>
      </c>
      <c r="H1965" s="1076" t="str">
        <f>IFERROR(__xludf.DUMMYFUNCTION("""COMPUTED_VALUE"""),"1.6HP")</f>
        <v>1.6HP</v>
      </c>
      <c r="I1965" s="1076" t="str">
        <f>IFERROR(__xludf.DUMMYFUNCTION("""COMPUTED_VALUE"""),"GCAMT-7783525")</f>
        <v>GCAMT-7783525</v>
      </c>
      <c r="J1965" s="1076"/>
      <c r="K1965" s="1076"/>
      <c r="L1965" s="1076" t="str">
        <f>IFERROR(__xludf.DUMMYFUNCTION("""COMPUTED_VALUE"""),"KLH")</f>
        <v>KLH</v>
      </c>
    </row>
    <row r="1966" customHeight="1" spans="1:12">
      <c r="A1966" s="1076" t="str">
        <f>IFERROR(__xludf.DUMMYFUNCTION("""COMPUTED_VALUE"""),"XD3-MPC-092")</f>
        <v>XD3-MPC-092</v>
      </c>
      <c r="B1966" s="1075" t="str">
        <f>IFERROR(__xludf.DUMMYFUNCTION("""COMPUTED_VALUE"""),"Máy phát cỏ 4 thì")</f>
        <v>Máy phát cỏ 4 thì</v>
      </c>
      <c r="C1966" s="1076" t="str">
        <f>IFERROR(__xludf.DUMMYFUNCTION("""COMPUTED_VALUE"""),"XN Chuối DP3")</f>
        <v>XN Chuối DP3</v>
      </c>
      <c r="D1966" s="1076" t="str">
        <f>IFERROR(__xludf.DUMMYFUNCTION("""COMPUTED_VALUE"""),"HONDA")</f>
        <v>HONDA</v>
      </c>
      <c r="E1966" s="1076"/>
      <c r="F1966" s="1076"/>
      <c r="G1966" s="1076" t="str">
        <f>IFERROR(__xludf.DUMMYFUNCTION("""COMPUTED_VALUE"""),"GX35")</f>
        <v>GX35</v>
      </c>
      <c r="H1966" s="1076" t="str">
        <f>IFERROR(__xludf.DUMMYFUNCTION("""COMPUTED_VALUE"""),"1.6HP")</f>
        <v>1.6HP</v>
      </c>
      <c r="I1966" s="1076" t="str">
        <f>IFERROR(__xludf.DUMMYFUNCTION("""COMPUTED_VALUE"""),"GCAMT-7811396")</f>
        <v>GCAMT-7811396</v>
      </c>
      <c r="J1966" s="1076"/>
      <c r="K1966" s="1076"/>
      <c r="L1966" s="1076" t="str">
        <f>IFERROR(__xludf.DUMMYFUNCTION("""COMPUTED_VALUE"""),"KLH")</f>
        <v>KLH</v>
      </c>
    </row>
    <row r="1967" customHeight="1" spans="1:12">
      <c r="A1967" s="1076" t="str">
        <f>IFERROR(__xludf.DUMMYFUNCTION("""COMPUTED_VALUE"""),"XD3-MPC-093")</f>
        <v>XD3-MPC-093</v>
      </c>
      <c r="B1967" s="1075" t="str">
        <f>IFERROR(__xludf.DUMMYFUNCTION("""COMPUTED_VALUE"""),"Máy phát cỏ 4 thì")</f>
        <v>Máy phát cỏ 4 thì</v>
      </c>
      <c r="C1967" s="1076" t="str">
        <f>IFERROR(__xludf.DUMMYFUNCTION("""COMPUTED_VALUE"""),"XN Chuối DP3")</f>
        <v>XN Chuối DP3</v>
      </c>
      <c r="D1967" s="1076" t="str">
        <f>IFERROR(__xludf.DUMMYFUNCTION("""COMPUTED_VALUE"""),"HONDA")</f>
        <v>HONDA</v>
      </c>
      <c r="E1967" s="1076"/>
      <c r="F1967" s="1076"/>
      <c r="G1967" s="1076" t="str">
        <f>IFERROR(__xludf.DUMMYFUNCTION("""COMPUTED_VALUE"""),"GX35")</f>
        <v>GX35</v>
      </c>
      <c r="H1967" s="1076" t="str">
        <f>IFERROR(__xludf.DUMMYFUNCTION("""COMPUTED_VALUE"""),"1.6HP")</f>
        <v>1.6HP</v>
      </c>
      <c r="I1967" s="1076" t="str">
        <f>IFERROR(__xludf.DUMMYFUNCTION("""COMPUTED_VALUE"""),"GCAMT-7782003")</f>
        <v>GCAMT-7782003</v>
      </c>
      <c r="J1967" s="1076"/>
      <c r="K1967" s="1076"/>
      <c r="L1967" s="1076" t="str">
        <f>IFERROR(__xludf.DUMMYFUNCTION("""COMPUTED_VALUE"""),"KLH")</f>
        <v>KLH</v>
      </c>
    </row>
    <row r="1968" customHeight="1" spans="1:12">
      <c r="A1968" s="1076" t="str">
        <f>IFERROR(__xludf.DUMMYFUNCTION("""COMPUTED_VALUE"""),"XD3-MPC-094")</f>
        <v>XD3-MPC-094</v>
      </c>
      <c r="B1968" s="1075" t="str">
        <f>IFERROR(__xludf.DUMMYFUNCTION("""COMPUTED_VALUE"""),"Máy phát cỏ 4 thì")</f>
        <v>Máy phát cỏ 4 thì</v>
      </c>
      <c r="C1968" s="1076" t="str">
        <f>IFERROR(__xludf.DUMMYFUNCTION("""COMPUTED_VALUE"""),"XN Chuối DP3")</f>
        <v>XN Chuối DP3</v>
      </c>
      <c r="D1968" s="1076" t="str">
        <f>IFERROR(__xludf.DUMMYFUNCTION("""COMPUTED_VALUE"""),"HONDA")</f>
        <v>HONDA</v>
      </c>
      <c r="E1968" s="1076"/>
      <c r="F1968" s="1076"/>
      <c r="G1968" s="1076" t="str">
        <f>IFERROR(__xludf.DUMMYFUNCTION("""COMPUTED_VALUE"""),"GX35")</f>
        <v>GX35</v>
      </c>
      <c r="H1968" s="1076" t="str">
        <f>IFERROR(__xludf.DUMMYFUNCTION("""COMPUTED_VALUE"""),"1.6HP")</f>
        <v>1.6HP</v>
      </c>
      <c r="I1968" s="1076" t="str">
        <f>IFERROR(__xludf.DUMMYFUNCTION("""COMPUTED_VALUE"""),"GCAMT-7782005")</f>
        <v>GCAMT-7782005</v>
      </c>
      <c r="J1968" s="1076"/>
      <c r="K1968" s="1076"/>
      <c r="L1968" s="1076" t="str">
        <f>IFERROR(__xludf.DUMMYFUNCTION("""COMPUTED_VALUE"""),"KLH")</f>
        <v>KLH</v>
      </c>
    </row>
    <row r="1969" customHeight="1" spans="1:12">
      <c r="A1969" s="1076" t="str">
        <f>IFERROR(__xludf.DUMMYFUNCTION("""COMPUTED_VALUE"""),"XD3-MPC-095")</f>
        <v>XD3-MPC-095</v>
      </c>
      <c r="B1969" s="1075" t="str">
        <f>IFERROR(__xludf.DUMMYFUNCTION("""COMPUTED_VALUE"""),"Máy phát cỏ 4 thì")</f>
        <v>Máy phát cỏ 4 thì</v>
      </c>
      <c r="C1969" s="1076" t="str">
        <f>IFERROR(__xludf.DUMMYFUNCTION("""COMPUTED_VALUE"""),"XN Chuối DP3")</f>
        <v>XN Chuối DP3</v>
      </c>
      <c r="D1969" s="1076" t="str">
        <f>IFERROR(__xludf.DUMMYFUNCTION("""COMPUTED_VALUE"""),"HONDA")</f>
        <v>HONDA</v>
      </c>
      <c r="E1969" s="1076"/>
      <c r="F1969" s="1076"/>
      <c r="G1969" s="1076" t="str">
        <f>IFERROR(__xludf.DUMMYFUNCTION("""COMPUTED_VALUE"""),"GX35")</f>
        <v>GX35</v>
      </c>
      <c r="H1969" s="1076" t="str">
        <f>IFERROR(__xludf.DUMMYFUNCTION("""COMPUTED_VALUE"""),"1.6HP")</f>
        <v>1.6HP</v>
      </c>
      <c r="I1969" s="1076" t="str">
        <f>IFERROR(__xludf.DUMMYFUNCTION("""COMPUTED_VALUE"""),"GCAMT-7783544")</f>
        <v>GCAMT-7783544</v>
      </c>
      <c r="J1969" s="1076"/>
      <c r="K1969" s="1076"/>
      <c r="L1969" s="1076" t="str">
        <f>IFERROR(__xludf.DUMMYFUNCTION("""COMPUTED_VALUE"""),"KLH")</f>
        <v>KLH</v>
      </c>
    </row>
    <row r="1970" customHeight="1" spans="1:12">
      <c r="A1970" s="1076" t="str">
        <f>IFERROR(__xludf.DUMMYFUNCTION("""COMPUTED_VALUE"""),"NT XOÀI DP")</f>
        <v>NT XOÀI DP</v>
      </c>
      <c r="B1970" s="1075"/>
      <c r="C1970" s="1076"/>
      <c r="D1970" s="1076"/>
      <c r="E1970" s="1076"/>
      <c r="F1970" s="1076"/>
      <c r="G1970" s="1076"/>
      <c r="H1970" s="1076"/>
      <c r="I1970" s="1076"/>
      <c r="J1970" s="1076"/>
      <c r="K1970" s="1076"/>
      <c r="L1970" s="1076" t="str">
        <f>IFERROR(__xludf.DUMMYFUNCTION("""COMPUTED_VALUE"""),"KLH")</f>
        <v>KLH</v>
      </c>
    </row>
    <row r="1971" customHeight="1" spans="1:12">
      <c r="A1971" s="1076" t="str">
        <f>IFERROR(__xludf.DUMMYFUNCTION("""COMPUTED_VALUE"""),"XXD-MPC-009")</f>
        <v>XXD-MPC-009</v>
      </c>
      <c r="B1971" s="1075" t="str">
        <f>IFERROR(__xludf.DUMMYFUNCTION("""COMPUTED_VALUE"""),"Máy phát cỏ 4 thì")</f>
        <v>Máy phát cỏ 4 thì</v>
      </c>
      <c r="C1971" s="1076" t="str">
        <f>IFERROR(__xludf.DUMMYFUNCTION("""COMPUTED_VALUE"""),"Xoài DP")</f>
        <v>Xoài DP</v>
      </c>
      <c r="D1971" s="1076" t="str">
        <f>IFERROR(__xludf.DUMMYFUNCTION("""COMPUTED_VALUE"""),"HINOTA")</f>
        <v>HINOTA</v>
      </c>
      <c r="E1971" s="1076" t="str">
        <f>IFERROR(__xludf.DUMMYFUNCTION("""COMPUTED_VALUE"""),"Trung Quốc")</f>
        <v>Trung Quốc</v>
      </c>
      <c r="F1971" s="1076"/>
      <c r="G1971" s="1076" t="str">
        <f>IFERROR(__xludf.DUMMYFUNCTION("""COMPUTED_VALUE"""),"CG435")</f>
        <v>CG435</v>
      </c>
      <c r="H1971" s="1076" t="str">
        <f>IFERROR(__xludf.DUMMYFUNCTION("""COMPUTED_VALUE"""),"1.2HP")</f>
        <v>1.2HP</v>
      </c>
      <c r="I1971" s="1076" t="str">
        <f>IFERROR(__xludf.DUMMYFUNCTION("""COMPUTED_VALUE"""),"220317")</f>
        <v>220317</v>
      </c>
      <c r="J1971" s="1076"/>
      <c r="K1971" s="1076">
        <f>IFERROR(__xludf.DUMMYFUNCTION("""COMPUTED_VALUE"""),0.5)</f>
        <v>0.5</v>
      </c>
      <c r="L1971" s="1076" t="str">
        <f>IFERROR(__xludf.DUMMYFUNCTION("""COMPUTED_VALUE"""),"KLH")</f>
        <v>KLH</v>
      </c>
    </row>
    <row r="1972" customHeight="1" spans="1:12">
      <c r="A1972" s="1076" t="str">
        <f>IFERROR(__xludf.DUMMYFUNCTION("""COMPUTED_VALUE"""),"XXD-MPC-010")</f>
        <v>XXD-MPC-010</v>
      </c>
      <c r="B1972" s="1075" t="str">
        <f>IFERROR(__xludf.DUMMYFUNCTION("""COMPUTED_VALUE"""),"Máy phát cỏ 4 thì")</f>
        <v>Máy phát cỏ 4 thì</v>
      </c>
      <c r="C1972" s="1076" t="str">
        <f>IFERROR(__xludf.DUMMYFUNCTION("""COMPUTED_VALUE"""),"Xoài DP")</f>
        <v>Xoài DP</v>
      </c>
      <c r="D1972" s="1076" t="str">
        <f>IFERROR(__xludf.DUMMYFUNCTION("""COMPUTED_VALUE"""),"HINOTA")</f>
        <v>HINOTA</v>
      </c>
      <c r="E1972" s="1076" t="str">
        <f>IFERROR(__xludf.DUMMYFUNCTION("""COMPUTED_VALUE"""),"Trung Quốc")</f>
        <v>Trung Quốc</v>
      </c>
      <c r="F1972" s="1076"/>
      <c r="G1972" s="1076" t="str">
        <f>IFERROR(__xludf.DUMMYFUNCTION("""COMPUTED_VALUE"""),"CG435")</f>
        <v>CG435</v>
      </c>
      <c r="H1972" s="1076" t="str">
        <f>IFERROR(__xludf.DUMMYFUNCTION("""COMPUTED_VALUE"""),"1.2HP")</f>
        <v>1.2HP</v>
      </c>
      <c r="I1972" s="1076" t="str">
        <f>IFERROR(__xludf.DUMMYFUNCTION("""COMPUTED_VALUE"""),"201511")</f>
        <v>201511</v>
      </c>
      <c r="J1972" s="1076"/>
      <c r="K1972" s="1076">
        <f>IFERROR(__xludf.DUMMYFUNCTION("""COMPUTED_VALUE"""),0.5)</f>
        <v>0.5</v>
      </c>
      <c r="L1972" s="1076" t="str">
        <f>IFERROR(__xludf.DUMMYFUNCTION("""COMPUTED_VALUE"""),"KLH")</f>
        <v>KLH</v>
      </c>
    </row>
    <row r="1973" customHeight="1" spans="1:12">
      <c r="A1973" s="1076" t="str">
        <f>IFERROR(__xludf.DUMMYFUNCTION("""COMPUTED_VALUE"""),"XXD-MPC-011")</f>
        <v>XXD-MPC-011</v>
      </c>
      <c r="B1973" s="1075" t="str">
        <f>IFERROR(__xludf.DUMMYFUNCTION("""COMPUTED_VALUE"""),"Máy phát cỏ 4 thì")</f>
        <v>Máy phát cỏ 4 thì</v>
      </c>
      <c r="C1973" s="1076" t="str">
        <f>IFERROR(__xludf.DUMMYFUNCTION("""COMPUTED_VALUE"""),"Xoài DP")</f>
        <v>Xoài DP</v>
      </c>
      <c r="D1973" s="1076" t="str">
        <f>IFERROR(__xludf.DUMMYFUNCTION("""COMPUTED_VALUE"""),"HINOTA")</f>
        <v>HINOTA</v>
      </c>
      <c r="E1973" s="1076" t="str">
        <f>IFERROR(__xludf.DUMMYFUNCTION("""COMPUTED_VALUE"""),"Trung Quốc")</f>
        <v>Trung Quốc</v>
      </c>
      <c r="F1973" s="1076"/>
      <c r="G1973" s="1076" t="str">
        <f>IFERROR(__xludf.DUMMYFUNCTION("""COMPUTED_VALUE"""),"CG435")</f>
        <v>CG435</v>
      </c>
      <c r="H1973" s="1076" t="str">
        <f>IFERROR(__xludf.DUMMYFUNCTION("""COMPUTED_VALUE"""),"1.2HP")</f>
        <v>1.2HP</v>
      </c>
      <c r="I1973" s="1076" t="str">
        <f>IFERROR(__xludf.DUMMYFUNCTION("""COMPUTED_VALUE"""),"220330")</f>
        <v>220330</v>
      </c>
      <c r="J1973" s="1076"/>
      <c r="K1973" s="1076">
        <f>IFERROR(__xludf.DUMMYFUNCTION("""COMPUTED_VALUE"""),0.5)</f>
        <v>0.5</v>
      </c>
      <c r="L1973" s="1076" t="str">
        <f>IFERROR(__xludf.DUMMYFUNCTION("""COMPUTED_VALUE"""),"KLH")</f>
        <v>KLH</v>
      </c>
    </row>
    <row r="1974" customHeight="1" spans="1:12">
      <c r="A1974" s="1076" t="str">
        <f>IFERROR(__xludf.DUMMYFUNCTION("""COMPUTED_VALUE"""),"XXD-MPC-012")</f>
        <v>XXD-MPC-012</v>
      </c>
      <c r="B1974" s="1075" t="str">
        <f>IFERROR(__xludf.DUMMYFUNCTION("""COMPUTED_VALUE"""),"Máy phát cỏ 4 thì")</f>
        <v>Máy phát cỏ 4 thì</v>
      </c>
      <c r="C1974" s="1076" t="str">
        <f>IFERROR(__xludf.DUMMYFUNCTION("""COMPUTED_VALUE"""),"Xoài DP")</f>
        <v>Xoài DP</v>
      </c>
      <c r="D1974" s="1076" t="str">
        <f>IFERROR(__xludf.DUMMYFUNCTION("""COMPUTED_VALUE"""),"HINOTA")</f>
        <v>HINOTA</v>
      </c>
      <c r="E1974" s="1076" t="str">
        <f>IFERROR(__xludf.DUMMYFUNCTION("""COMPUTED_VALUE"""),"Trung Quốc")</f>
        <v>Trung Quốc</v>
      </c>
      <c r="F1974" s="1076"/>
      <c r="G1974" s="1076" t="str">
        <f>IFERROR(__xludf.DUMMYFUNCTION("""COMPUTED_VALUE"""),"CG435")</f>
        <v>CG435</v>
      </c>
      <c r="H1974" s="1076" t="str">
        <f>IFERROR(__xludf.DUMMYFUNCTION("""COMPUTED_VALUE"""),"1.2HP")</f>
        <v>1.2HP</v>
      </c>
      <c r="I1974" s="1076" t="str">
        <f>IFERROR(__xludf.DUMMYFUNCTION("""COMPUTED_VALUE"""),"220330")</f>
        <v>220330</v>
      </c>
      <c r="J1974" s="1076"/>
      <c r="K1974" s="1076">
        <f>IFERROR(__xludf.DUMMYFUNCTION("""COMPUTED_VALUE"""),0.5)</f>
        <v>0.5</v>
      </c>
      <c r="L1974" s="1076" t="str">
        <f>IFERROR(__xludf.DUMMYFUNCTION("""COMPUTED_VALUE"""),"KLH")</f>
        <v>KLH</v>
      </c>
    </row>
    <row r="1975" customHeight="1" spans="1:12">
      <c r="A1975" s="1076" t="str">
        <f>IFERROR(__xludf.DUMMYFUNCTION("""COMPUTED_VALUE"""),"XXD-MPC-013")</f>
        <v>XXD-MPC-013</v>
      </c>
      <c r="B1975" s="1075" t="str">
        <f>IFERROR(__xludf.DUMMYFUNCTION("""COMPUTED_VALUE"""),"Máy phát cỏ 4 thì")</f>
        <v>Máy phát cỏ 4 thì</v>
      </c>
      <c r="C1975" s="1076" t="str">
        <f>IFERROR(__xludf.DUMMYFUNCTION("""COMPUTED_VALUE"""),"Xoài DP")</f>
        <v>Xoài DP</v>
      </c>
      <c r="D1975" s="1076" t="str">
        <f>IFERROR(__xludf.DUMMYFUNCTION("""COMPUTED_VALUE"""),"HONDA")</f>
        <v>HONDA</v>
      </c>
      <c r="E1975" s="1076" t="str">
        <f>IFERROR(__xludf.DUMMYFUNCTION("""COMPUTED_VALUE"""),"Trung Quốc")</f>
        <v>Trung Quốc</v>
      </c>
      <c r="F1975" s="1076"/>
      <c r="G1975" s="1076" t="str">
        <f>IFERROR(__xludf.DUMMYFUNCTION("""COMPUTED_VALUE"""),"GX35")</f>
        <v>GX35</v>
      </c>
      <c r="H1975" s="1076" t="str">
        <f>IFERROR(__xludf.DUMMYFUNCTION("""COMPUTED_VALUE"""),"1.6HP")</f>
        <v>1.6HP</v>
      </c>
      <c r="I1975" s="1076" t="str">
        <f>IFERROR(__xludf.DUMMYFUNCTION("""COMPUTED_VALUE"""),"220112")</f>
        <v>220112</v>
      </c>
      <c r="J1975" s="1076"/>
      <c r="K1975" s="1076">
        <f>IFERROR(__xludf.DUMMYFUNCTION("""COMPUTED_VALUE"""),0.5)</f>
        <v>0.5</v>
      </c>
      <c r="L1975" s="1076" t="str">
        <f>IFERROR(__xludf.DUMMYFUNCTION("""COMPUTED_VALUE"""),"KLH")</f>
        <v>KLH</v>
      </c>
    </row>
    <row r="1976" customHeight="1" spans="1:12">
      <c r="A1976" s="1076" t="str">
        <f>IFERROR(__xludf.DUMMYFUNCTION("""COMPUTED_VALUE"""),"XXD-MPC-015")</f>
        <v>XXD-MPC-015</v>
      </c>
      <c r="B1976" s="1075" t="str">
        <f>IFERROR(__xludf.DUMMYFUNCTION("""COMPUTED_VALUE"""),"Máy phát cỏ 4 thì")</f>
        <v>Máy phát cỏ 4 thì</v>
      </c>
      <c r="C1976" s="1076" t="str">
        <f>IFERROR(__xludf.DUMMYFUNCTION("""COMPUTED_VALUE"""),"Xoài DP")</f>
        <v>Xoài DP</v>
      </c>
      <c r="D1976" s="1076" t="str">
        <f>IFERROR(__xludf.DUMMYFUNCTION("""COMPUTED_VALUE"""),"HONDA")</f>
        <v>HONDA</v>
      </c>
      <c r="E1976" s="1076" t="str">
        <f>IFERROR(__xludf.DUMMYFUNCTION("""COMPUTED_VALUE"""),"Trung Quốc")</f>
        <v>Trung Quốc</v>
      </c>
      <c r="F1976" s="1076"/>
      <c r="G1976" s="1076" t="str">
        <f>IFERROR(__xludf.DUMMYFUNCTION("""COMPUTED_VALUE"""),"GX35")</f>
        <v>GX35</v>
      </c>
      <c r="H1976" s="1076" t="str">
        <f>IFERROR(__xludf.DUMMYFUNCTION("""COMPUTED_VALUE"""),"1.6HP")</f>
        <v>1.6HP</v>
      </c>
      <c r="I1976" s="1076"/>
      <c r="J1976" s="1076"/>
      <c r="K1976" s="1076">
        <f>IFERROR(__xludf.DUMMYFUNCTION("""COMPUTED_VALUE"""),0.5)</f>
        <v>0.5</v>
      </c>
      <c r="L1976" s="1076" t="str">
        <f>IFERROR(__xludf.DUMMYFUNCTION("""COMPUTED_VALUE"""),"KLH")</f>
        <v>KLH</v>
      </c>
    </row>
    <row r="1977" customHeight="1" spans="1:12">
      <c r="A1977" s="1076" t="str">
        <f>IFERROR(__xludf.DUMMYFUNCTION("""COMPUTED_VALUE"""),"XXD-MPC-017")</f>
        <v>XXD-MPC-017</v>
      </c>
      <c r="B1977" s="1075" t="str">
        <f>IFERROR(__xludf.DUMMYFUNCTION("""COMPUTED_VALUE"""),"Máy phát cỏ 4 thì")</f>
        <v>Máy phát cỏ 4 thì</v>
      </c>
      <c r="C1977" s="1076" t="str">
        <f>IFERROR(__xludf.DUMMYFUNCTION("""COMPUTED_VALUE"""),"Xoài DP")</f>
        <v>Xoài DP</v>
      </c>
      <c r="D1977" s="1076" t="str">
        <f>IFERROR(__xludf.DUMMYFUNCTION("""COMPUTED_VALUE"""),"HONDA")</f>
        <v>HONDA</v>
      </c>
      <c r="E1977" s="1076" t="str">
        <f>IFERROR(__xludf.DUMMYFUNCTION("""COMPUTED_VALUE"""),"Trung Quốc")</f>
        <v>Trung Quốc</v>
      </c>
      <c r="F1977" s="1076"/>
      <c r="G1977" s="1076" t="str">
        <f>IFERROR(__xludf.DUMMYFUNCTION("""COMPUTED_VALUE"""),"GX35")</f>
        <v>GX35</v>
      </c>
      <c r="H1977" s="1076" t="str">
        <f>IFERROR(__xludf.DUMMYFUNCTION("""COMPUTED_VALUE"""),"1.6HP")</f>
        <v>1.6HP</v>
      </c>
      <c r="I1977" s="1076" t="str">
        <f>IFERROR(__xludf.DUMMYFUNCTION("""COMPUTED_VALUE"""),"100124")</f>
        <v>100124</v>
      </c>
      <c r="J1977" s="1076"/>
      <c r="K1977" s="1076">
        <f>IFERROR(__xludf.DUMMYFUNCTION("""COMPUTED_VALUE"""),0.5)</f>
        <v>0.5</v>
      </c>
      <c r="L1977" s="1076" t="str">
        <f>IFERROR(__xludf.DUMMYFUNCTION("""COMPUTED_VALUE"""),"KLH")</f>
        <v>KLH</v>
      </c>
    </row>
    <row r="1978" customHeight="1" spans="1:12">
      <c r="A1978" s="1076" t="str">
        <f>IFERROR(__xludf.DUMMYFUNCTION("""COMPUTED_VALUE"""),"XXD-MPC-022")</f>
        <v>XXD-MPC-022</v>
      </c>
      <c r="B1978" s="1075" t="str">
        <f>IFERROR(__xludf.DUMMYFUNCTION("""COMPUTED_VALUE"""),"Máy phát cỏ 4 thì")</f>
        <v>Máy phát cỏ 4 thì</v>
      </c>
      <c r="C1978" s="1076" t="str">
        <f>IFERROR(__xludf.DUMMYFUNCTION("""COMPUTED_VALUE"""),"Xoài DP")</f>
        <v>Xoài DP</v>
      </c>
      <c r="D1978" s="1076" t="str">
        <f>IFERROR(__xludf.DUMMYFUNCTION("""COMPUTED_VALUE"""),"HONDA")</f>
        <v>HONDA</v>
      </c>
      <c r="E1978" s="1076" t="str">
        <f>IFERROR(__xludf.DUMMYFUNCTION("""COMPUTED_VALUE"""),"Trung Quốc")</f>
        <v>Trung Quốc</v>
      </c>
      <c r="F1978" s="1076"/>
      <c r="G1978" s="1076" t="str">
        <f>IFERROR(__xludf.DUMMYFUNCTION("""COMPUTED_VALUE"""),"GX35")</f>
        <v>GX35</v>
      </c>
      <c r="H1978" s="1076" t="str">
        <f>IFERROR(__xludf.DUMMYFUNCTION("""COMPUTED_VALUE"""),"1.6HP")</f>
        <v>1.6HP</v>
      </c>
      <c r="I1978" s="1076" t="str">
        <f>IFERROR(__xludf.DUMMYFUNCTION("""COMPUTED_VALUE"""),"GCAMT-7708410")</f>
        <v>GCAMT-7708410</v>
      </c>
      <c r="J1978" s="1076"/>
      <c r="K1978" s="1076">
        <f>IFERROR(__xludf.DUMMYFUNCTION("""COMPUTED_VALUE"""),0.5)</f>
        <v>0.5</v>
      </c>
      <c r="L1978" s="1076" t="str">
        <f>IFERROR(__xludf.DUMMYFUNCTION("""COMPUTED_VALUE"""),"KLH")</f>
        <v>KLH</v>
      </c>
    </row>
    <row r="1979" customHeight="1" spans="1:12">
      <c r="A1979" s="1076" t="str">
        <f>IFERROR(__xludf.DUMMYFUNCTION("""COMPUTED_VALUE"""),"XXD-MPC-023")</f>
        <v>XXD-MPC-023</v>
      </c>
      <c r="B1979" s="1075" t="str">
        <f>IFERROR(__xludf.DUMMYFUNCTION("""COMPUTED_VALUE"""),"Máy phát cỏ 4 thì")</f>
        <v>Máy phát cỏ 4 thì</v>
      </c>
      <c r="C1979" s="1076" t="str">
        <f>IFERROR(__xludf.DUMMYFUNCTION("""COMPUTED_VALUE"""),"Xoài DP")</f>
        <v>Xoài DP</v>
      </c>
      <c r="D1979" s="1076" t="str">
        <f>IFERROR(__xludf.DUMMYFUNCTION("""COMPUTED_VALUE"""),"HONDA")</f>
        <v>HONDA</v>
      </c>
      <c r="E1979" s="1076" t="str">
        <f>IFERROR(__xludf.DUMMYFUNCTION("""COMPUTED_VALUE"""),"Trung Quốc")</f>
        <v>Trung Quốc</v>
      </c>
      <c r="F1979" s="1076"/>
      <c r="G1979" s="1076" t="str">
        <f>IFERROR(__xludf.DUMMYFUNCTION("""COMPUTED_VALUE"""),"GX35")</f>
        <v>GX35</v>
      </c>
      <c r="H1979" s="1076" t="str">
        <f>IFERROR(__xludf.DUMMYFUNCTION("""COMPUTED_VALUE"""),"1.6HP")</f>
        <v>1.6HP</v>
      </c>
      <c r="I1979" s="1076" t="str">
        <f>IFERROR(__xludf.DUMMYFUNCTION("""COMPUTED_VALUE"""),"GCAMT-7707551")</f>
        <v>GCAMT-7707551</v>
      </c>
      <c r="J1979" s="1076"/>
      <c r="K1979" s="1076">
        <f>IFERROR(__xludf.DUMMYFUNCTION("""COMPUTED_VALUE"""),0.5)</f>
        <v>0.5</v>
      </c>
      <c r="L1979" s="1076" t="str">
        <f>IFERROR(__xludf.DUMMYFUNCTION("""COMPUTED_VALUE"""),"KLH")</f>
        <v>KLH</v>
      </c>
    </row>
    <row r="1980" customHeight="1" spans="1:12">
      <c r="A1980" s="1076" t="str">
        <f>IFERROR(__xludf.DUMMYFUNCTION("""COMPUTED_VALUE"""),"XXD-MPC-028")</f>
        <v>XXD-MPC-028</v>
      </c>
      <c r="B1980" s="1075" t="str">
        <f>IFERROR(__xludf.DUMMYFUNCTION("""COMPUTED_VALUE"""),"Máy phát cỏ 2 thì")</f>
        <v>Máy phát cỏ 2 thì</v>
      </c>
      <c r="C1980" s="1076" t="str">
        <f>IFERROR(__xludf.DUMMYFUNCTION("""COMPUTED_VALUE"""),"Xoài DP")</f>
        <v>Xoài DP</v>
      </c>
      <c r="D1980" s="1076" t="str">
        <f>IFERROR(__xludf.DUMMYFUNCTION("""COMPUTED_VALUE"""),"MARRATA")</f>
        <v>MARRATA</v>
      </c>
      <c r="E1980" s="1076"/>
      <c r="F1980" s="1076"/>
      <c r="G1980" s="1076" t="str">
        <f>IFERROR(__xludf.DUMMYFUNCTION("""COMPUTED_VALUE"""),"CG411")</f>
        <v>CG411</v>
      </c>
      <c r="H1980" s="1076" t="str">
        <f>IFERROR(__xludf.DUMMYFUNCTION("""COMPUTED_VALUE"""),"1.8HP")</f>
        <v>1.8HP</v>
      </c>
      <c r="I1980" s="1076"/>
      <c r="J1980" s="1076"/>
      <c r="K1980" s="1076"/>
      <c r="L1980" s="1076" t="str">
        <f>IFERROR(__xludf.DUMMYFUNCTION("""COMPUTED_VALUE"""),"KLH")</f>
        <v>KLH</v>
      </c>
    </row>
    <row r="1981" customHeight="1" spans="1:12">
      <c r="A1981" s="1076" t="str">
        <f>IFERROR(__xludf.DUMMYFUNCTION("""COMPUTED_VALUE"""),"XXD-MPC-029")</f>
        <v>XXD-MPC-029</v>
      </c>
      <c r="B1981" s="1075" t="str">
        <f>IFERROR(__xludf.DUMMYFUNCTION("""COMPUTED_VALUE"""),"Máy phát cỏ 2 thì")</f>
        <v>Máy phát cỏ 2 thì</v>
      </c>
      <c r="C1981" s="1076" t="str">
        <f>IFERROR(__xludf.DUMMYFUNCTION("""COMPUTED_VALUE"""),"Xoài DP")</f>
        <v>Xoài DP</v>
      </c>
      <c r="D1981" s="1076" t="str">
        <f>IFERROR(__xludf.DUMMYFUNCTION("""COMPUTED_VALUE"""),"MARRATA")</f>
        <v>MARRATA</v>
      </c>
      <c r="E1981" s="1076"/>
      <c r="F1981" s="1076"/>
      <c r="G1981" s="1076" t="str">
        <f>IFERROR(__xludf.DUMMYFUNCTION("""COMPUTED_VALUE"""),"CG411")</f>
        <v>CG411</v>
      </c>
      <c r="H1981" s="1076" t="str">
        <f>IFERROR(__xludf.DUMMYFUNCTION("""COMPUTED_VALUE"""),"1.8HP")</f>
        <v>1.8HP</v>
      </c>
      <c r="I1981" s="1076"/>
      <c r="J1981" s="1076"/>
      <c r="K1981" s="1076"/>
      <c r="L1981" s="1076" t="str">
        <f>IFERROR(__xludf.DUMMYFUNCTION("""COMPUTED_VALUE"""),"KLH")</f>
        <v>KLH</v>
      </c>
    </row>
    <row r="1982" customHeight="1" spans="1:12">
      <c r="A1982" s="1076" t="str">
        <f>IFERROR(__xludf.DUMMYFUNCTION("""COMPUTED_VALUE"""),"NT NHÃN DP")</f>
        <v>NT NHÃN DP</v>
      </c>
      <c r="B1982" s="1075"/>
      <c r="C1982" s="1076"/>
      <c r="D1982" s="1076"/>
      <c r="E1982" s="1076"/>
      <c r="F1982" s="1076"/>
      <c r="G1982" s="1076"/>
      <c r="H1982" s="1076"/>
      <c r="I1982" s="1076"/>
      <c r="J1982" s="1076"/>
      <c r="K1982" s="1076"/>
      <c r="L1982" s="1076" t="str">
        <f>IFERROR(__xludf.DUMMYFUNCTION("""COMPUTED_VALUE"""),"KLH")</f>
        <v>KLH</v>
      </c>
    </row>
    <row r="1983" customHeight="1" spans="1:12">
      <c r="A1983" s="1076" t="str">
        <f>IFERROR(__xludf.DUMMYFUNCTION("""COMPUTED_VALUE"""),"XND-MPC-001")</f>
        <v>XND-MPC-001</v>
      </c>
      <c r="B1983" s="1075" t="str">
        <f>IFERROR(__xludf.DUMMYFUNCTION("""COMPUTED_VALUE"""),"Máy phát cỏ 4 thì")</f>
        <v>Máy phát cỏ 4 thì</v>
      </c>
      <c r="C1983" s="1076" t="str">
        <f>IFERROR(__xludf.DUMMYFUNCTION("""COMPUTED_VALUE"""),"Nhãn DP")</f>
        <v>Nhãn DP</v>
      </c>
      <c r="D1983" s="1076" t="str">
        <f>IFERROR(__xludf.DUMMYFUNCTION("""COMPUTED_VALUE"""),"HINOTA")</f>
        <v>HINOTA</v>
      </c>
      <c r="E1983" s="1076" t="str">
        <f>IFERROR(__xludf.DUMMYFUNCTION("""COMPUTED_VALUE"""),"Trung Quốc")</f>
        <v>Trung Quốc</v>
      </c>
      <c r="F1983" s="1076"/>
      <c r="G1983" s="1076" t="str">
        <f>IFERROR(__xludf.DUMMYFUNCTION("""COMPUTED_VALUE"""),"CG435")</f>
        <v>CG435</v>
      </c>
      <c r="H1983" s="1076" t="str">
        <f>IFERROR(__xludf.DUMMYFUNCTION("""COMPUTED_VALUE"""),"1.2HP")</f>
        <v>1.2HP</v>
      </c>
      <c r="I1983" s="1076" t="str">
        <f>IFERROR(__xludf.DUMMYFUNCTION("""COMPUTED_VALUE"""),"220330")</f>
        <v>220330</v>
      </c>
      <c r="J1983" s="1076"/>
      <c r="K1983" s="1076">
        <f>IFERROR(__xludf.DUMMYFUNCTION("""COMPUTED_VALUE"""),0.5)</f>
        <v>0.5</v>
      </c>
      <c r="L1983" s="1076" t="str">
        <f>IFERROR(__xludf.DUMMYFUNCTION("""COMPUTED_VALUE"""),"KLH")</f>
        <v>KLH</v>
      </c>
    </row>
    <row r="1984" customHeight="1" spans="1:12">
      <c r="A1984" s="1076" t="str">
        <f>IFERROR(__xludf.DUMMYFUNCTION("""COMPUTED_VALUE"""),"XND-MPC-002")</f>
        <v>XND-MPC-002</v>
      </c>
      <c r="B1984" s="1075" t="str">
        <f>IFERROR(__xludf.DUMMYFUNCTION("""COMPUTED_VALUE"""),"Máy phát cỏ 4 thì")</f>
        <v>Máy phát cỏ 4 thì</v>
      </c>
      <c r="C1984" s="1076" t="str">
        <f>IFERROR(__xludf.DUMMYFUNCTION("""COMPUTED_VALUE"""),"Nhãn DP")</f>
        <v>Nhãn DP</v>
      </c>
      <c r="D1984" s="1076" t="str">
        <f>IFERROR(__xludf.DUMMYFUNCTION("""COMPUTED_VALUE"""),"HINOTA")</f>
        <v>HINOTA</v>
      </c>
      <c r="E1984" s="1076" t="str">
        <f>IFERROR(__xludf.DUMMYFUNCTION("""COMPUTED_VALUE"""),"Trung Quốc")</f>
        <v>Trung Quốc</v>
      </c>
      <c r="F1984" s="1076"/>
      <c r="G1984" s="1076" t="str">
        <f>IFERROR(__xludf.DUMMYFUNCTION("""COMPUTED_VALUE"""),"CG435")</f>
        <v>CG435</v>
      </c>
      <c r="H1984" s="1076" t="str">
        <f>IFERROR(__xludf.DUMMYFUNCTION("""COMPUTED_VALUE"""),"1.2HP")</f>
        <v>1.2HP</v>
      </c>
      <c r="I1984" s="1076" t="str">
        <f>IFERROR(__xludf.DUMMYFUNCTION("""COMPUTED_VALUE"""),"220112")</f>
        <v>220112</v>
      </c>
      <c r="J1984" s="1076"/>
      <c r="K1984" s="1076">
        <f>IFERROR(__xludf.DUMMYFUNCTION("""COMPUTED_VALUE"""),0.5)</f>
        <v>0.5</v>
      </c>
      <c r="L1984" s="1076" t="str">
        <f>IFERROR(__xludf.DUMMYFUNCTION("""COMPUTED_VALUE"""),"KLH")</f>
        <v>KLH</v>
      </c>
    </row>
    <row r="1985" customHeight="1" spans="1:12">
      <c r="A1985" s="1076" t="str">
        <f>IFERROR(__xludf.DUMMYFUNCTION("""COMPUTED_VALUE"""),"XND-MPC-003")</f>
        <v>XND-MPC-003</v>
      </c>
      <c r="B1985" s="1075" t="str">
        <f>IFERROR(__xludf.DUMMYFUNCTION("""COMPUTED_VALUE"""),"Máy phát cỏ 4 thì")</f>
        <v>Máy phát cỏ 4 thì</v>
      </c>
      <c r="C1985" s="1076" t="str">
        <f>IFERROR(__xludf.DUMMYFUNCTION("""COMPUTED_VALUE"""),"Nhãn DP")</f>
        <v>Nhãn DP</v>
      </c>
      <c r="D1985" s="1076" t="str">
        <f>IFERROR(__xludf.DUMMYFUNCTION("""COMPUTED_VALUE"""),"HINOTA")</f>
        <v>HINOTA</v>
      </c>
      <c r="E1985" s="1076" t="str">
        <f>IFERROR(__xludf.DUMMYFUNCTION("""COMPUTED_VALUE"""),"Trung Quốc")</f>
        <v>Trung Quốc</v>
      </c>
      <c r="F1985" s="1076"/>
      <c r="G1985" s="1076" t="str">
        <f>IFERROR(__xludf.DUMMYFUNCTION("""COMPUTED_VALUE"""),"CG435")</f>
        <v>CG435</v>
      </c>
      <c r="H1985" s="1076" t="str">
        <f>IFERROR(__xludf.DUMMYFUNCTION("""COMPUTED_VALUE"""),"1.2HP")</f>
        <v>1.2HP</v>
      </c>
      <c r="I1985" s="1076" t="str">
        <f>IFERROR(__xludf.DUMMYFUNCTION("""COMPUTED_VALUE"""),"220511")</f>
        <v>220511</v>
      </c>
      <c r="J1985" s="1076"/>
      <c r="K1985" s="1076">
        <f>IFERROR(__xludf.DUMMYFUNCTION("""COMPUTED_VALUE"""),0.5)</f>
        <v>0.5</v>
      </c>
      <c r="L1985" s="1076" t="str">
        <f>IFERROR(__xludf.DUMMYFUNCTION("""COMPUTED_VALUE"""),"KLH")</f>
        <v>KLH</v>
      </c>
    </row>
    <row r="1986" customHeight="1" spans="1:12">
      <c r="A1986" s="1076" t="str">
        <f>IFERROR(__xludf.DUMMYFUNCTION("""COMPUTED_VALUE"""),"XND-MPC-004")</f>
        <v>XND-MPC-004</v>
      </c>
      <c r="B1986" s="1075" t="str">
        <f>IFERROR(__xludf.DUMMYFUNCTION("""COMPUTED_VALUE"""),"Máy phát cỏ 4 thì")</f>
        <v>Máy phát cỏ 4 thì</v>
      </c>
      <c r="C1986" s="1076" t="str">
        <f>IFERROR(__xludf.DUMMYFUNCTION("""COMPUTED_VALUE"""),"Nhãn DP")</f>
        <v>Nhãn DP</v>
      </c>
      <c r="D1986" s="1076" t="str">
        <f>IFERROR(__xludf.DUMMYFUNCTION("""COMPUTED_VALUE"""),"HINOTA")</f>
        <v>HINOTA</v>
      </c>
      <c r="E1986" s="1076" t="str">
        <f>IFERROR(__xludf.DUMMYFUNCTION("""COMPUTED_VALUE"""),"Trung Quốc")</f>
        <v>Trung Quốc</v>
      </c>
      <c r="F1986" s="1076"/>
      <c r="G1986" s="1076" t="str">
        <f>IFERROR(__xludf.DUMMYFUNCTION("""COMPUTED_VALUE"""),"CG435")</f>
        <v>CG435</v>
      </c>
      <c r="H1986" s="1076" t="str">
        <f>IFERROR(__xludf.DUMMYFUNCTION("""COMPUTED_VALUE"""),"1.2HP")</f>
        <v>1.2HP</v>
      </c>
      <c r="I1986" s="1076" t="str">
        <f>IFERROR(__xludf.DUMMYFUNCTION("""COMPUTED_VALUE"""),"220330")</f>
        <v>220330</v>
      </c>
      <c r="J1986" s="1076"/>
      <c r="K1986" s="1076">
        <f>IFERROR(__xludf.DUMMYFUNCTION("""COMPUTED_VALUE"""),0.5)</f>
        <v>0.5</v>
      </c>
      <c r="L1986" s="1076" t="str">
        <f>IFERROR(__xludf.DUMMYFUNCTION("""COMPUTED_VALUE"""),"KLH")</f>
        <v>KLH</v>
      </c>
    </row>
    <row r="1987" customHeight="1" spans="1:12">
      <c r="A1987" s="1076" t="str">
        <f>IFERROR(__xludf.DUMMYFUNCTION("""COMPUTED_VALUE"""),"XND-MPC-005")</f>
        <v>XND-MPC-005</v>
      </c>
      <c r="B1987" s="1075" t="str">
        <f>IFERROR(__xludf.DUMMYFUNCTION("""COMPUTED_VALUE"""),"Máy phát cỏ 4 thì")</f>
        <v>Máy phát cỏ 4 thì</v>
      </c>
      <c r="C1987" s="1076" t="str">
        <f>IFERROR(__xludf.DUMMYFUNCTION("""COMPUTED_VALUE"""),"Nhãn DP")</f>
        <v>Nhãn DP</v>
      </c>
      <c r="D1987" s="1076" t="str">
        <f>IFERROR(__xludf.DUMMYFUNCTION("""COMPUTED_VALUE"""),"HINOTA")</f>
        <v>HINOTA</v>
      </c>
      <c r="E1987" s="1076" t="str">
        <f>IFERROR(__xludf.DUMMYFUNCTION("""COMPUTED_VALUE"""),"Trung Quốc")</f>
        <v>Trung Quốc</v>
      </c>
      <c r="F1987" s="1076"/>
      <c r="G1987" s="1076" t="str">
        <f>IFERROR(__xludf.DUMMYFUNCTION("""COMPUTED_VALUE"""),"CG435")</f>
        <v>CG435</v>
      </c>
      <c r="H1987" s="1076" t="str">
        <f>IFERROR(__xludf.DUMMYFUNCTION("""COMPUTED_VALUE"""),"1.2HP")</f>
        <v>1.2HP</v>
      </c>
      <c r="I1987" s="1076" t="str">
        <f>IFERROR(__xludf.DUMMYFUNCTION("""COMPUTED_VALUE"""),"220317")</f>
        <v>220317</v>
      </c>
      <c r="J1987" s="1076"/>
      <c r="K1987" s="1076">
        <f>IFERROR(__xludf.DUMMYFUNCTION("""COMPUTED_VALUE"""),0.5)</f>
        <v>0.5</v>
      </c>
      <c r="L1987" s="1076" t="str">
        <f>IFERROR(__xludf.DUMMYFUNCTION("""COMPUTED_VALUE"""),"KLH")</f>
        <v>KLH</v>
      </c>
    </row>
    <row r="1988" customHeight="1" spans="1:12">
      <c r="A1988" s="1076" t="str">
        <f>IFERROR(__xludf.DUMMYFUNCTION("""COMPUTED_VALUE"""),"XND-MPC-006")</f>
        <v>XND-MPC-006</v>
      </c>
      <c r="B1988" s="1075" t="str">
        <f>IFERROR(__xludf.DUMMYFUNCTION("""COMPUTED_VALUE"""),"Máy phát cỏ 4 thì")</f>
        <v>Máy phát cỏ 4 thì</v>
      </c>
      <c r="C1988" s="1076" t="str">
        <f>IFERROR(__xludf.DUMMYFUNCTION("""COMPUTED_VALUE"""),"Nhãn DP")</f>
        <v>Nhãn DP</v>
      </c>
      <c r="D1988" s="1076" t="str">
        <f>IFERROR(__xludf.DUMMYFUNCTION("""COMPUTED_VALUE"""),"HINOTA")</f>
        <v>HINOTA</v>
      </c>
      <c r="E1988" s="1076" t="str">
        <f>IFERROR(__xludf.DUMMYFUNCTION("""COMPUTED_VALUE"""),"Trung Quốc")</f>
        <v>Trung Quốc</v>
      </c>
      <c r="F1988" s="1076"/>
      <c r="G1988" s="1076" t="str">
        <f>IFERROR(__xludf.DUMMYFUNCTION("""COMPUTED_VALUE"""),"CG435")</f>
        <v>CG435</v>
      </c>
      <c r="H1988" s="1076" t="str">
        <f>IFERROR(__xludf.DUMMYFUNCTION("""COMPUTED_VALUE"""),"1.2HP")</f>
        <v>1.2HP</v>
      </c>
      <c r="I1988" s="1076" t="str">
        <f>IFERROR(__xludf.DUMMYFUNCTION("""COMPUTED_VALUE"""),"220112")</f>
        <v>220112</v>
      </c>
      <c r="J1988" s="1076"/>
      <c r="K1988" s="1076">
        <f>IFERROR(__xludf.DUMMYFUNCTION("""COMPUTED_VALUE"""),0.5)</f>
        <v>0.5</v>
      </c>
      <c r="L1988" s="1076" t="str">
        <f>IFERROR(__xludf.DUMMYFUNCTION("""COMPUTED_VALUE"""),"KLH")</f>
        <v>KLH</v>
      </c>
    </row>
    <row r="1989" customHeight="1" spans="1:12">
      <c r="A1989" s="1076" t="str">
        <f>IFERROR(__xludf.DUMMYFUNCTION("""COMPUTED_VALUE"""),"CÁC ĐƠN VỊ KHÁC'")</f>
        <v>CÁC ĐƠN VỊ KHÁC'</v>
      </c>
      <c r="B1989" s="1075"/>
      <c r="C1989" s="1076"/>
      <c r="D1989" s="1076"/>
      <c r="E1989" s="1076"/>
      <c r="F1989" s="1076"/>
      <c r="G1989" s="1076"/>
      <c r="H1989" s="1076"/>
      <c r="I1989" s="1076"/>
      <c r="J1989" s="1076"/>
      <c r="K1989" s="1076"/>
      <c r="L1989" s="1076" t="str">
        <f>IFERROR(__xludf.DUMMYFUNCTION("""COMPUTED_VALUE"""),"KLH")</f>
        <v>KLH</v>
      </c>
    </row>
    <row r="1990" customHeight="1" spans="1:12">
      <c r="A1990" s="1076" t="str">
        <f>IFERROR(__xludf.DUMMYFUNCTION("""COMPUTED_VALUE"""),"P.HÀNH CHÍNH")</f>
        <v>P.HÀNH CHÍNH</v>
      </c>
      <c r="B1990" s="1075"/>
      <c r="C1990" s="1076"/>
      <c r="D1990" s="1076"/>
      <c r="E1990" s="1076"/>
      <c r="F1990" s="1076"/>
      <c r="G1990" s="1076"/>
      <c r="H1990" s="1076"/>
      <c r="I1990" s="1076"/>
      <c r="J1990" s="1076"/>
      <c r="K1990" s="1076"/>
      <c r="L1990" s="1076" t="str">
        <f>IFERROR(__xludf.DUMMYFUNCTION("""COMPUTED_VALUE"""),"KLH")</f>
        <v>KLH</v>
      </c>
    </row>
    <row r="1991" customHeight="1" spans="1:12">
      <c r="A1991" s="1076" t="str">
        <f>IFERROR(__xludf.DUMMYFUNCTION("""COMPUTED_VALUE"""),"HCD-MPC-001")</f>
        <v>HCD-MPC-001</v>
      </c>
      <c r="B1991" s="1075" t="str">
        <f>IFERROR(__xludf.DUMMYFUNCTION("""COMPUTED_VALUE"""),"Máy phát cỏ 2 thì")</f>
        <v>Máy phát cỏ 2 thì</v>
      </c>
      <c r="C1991" s="1076" t="str">
        <f>IFERROR(__xludf.DUMMYFUNCTION("""COMPUTED_VALUE"""),"HÀNH CHÍNH KLH")</f>
        <v>HÀNH CHÍNH KLH</v>
      </c>
      <c r="D1991" s="1076" t="str">
        <f>IFERROR(__xludf.DUMMYFUNCTION("""COMPUTED_VALUE"""),"KAMASTSU")</f>
        <v>KAMASTSU</v>
      </c>
      <c r="E1991" s="1076"/>
      <c r="F1991" s="1076"/>
      <c r="G1991" s="1076" t="str">
        <f>IFERROR(__xludf.DUMMYFUNCTION("""COMPUTED_VALUE"""),"KM430")</f>
        <v>KM430</v>
      </c>
      <c r="H1991" s="1076" t="str">
        <f>IFERROR(__xludf.DUMMYFUNCTION("""COMPUTED_VALUE"""),"1.7HP")</f>
        <v>1.7HP</v>
      </c>
      <c r="I1991" s="1076"/>
      <c r="J1991" s="1076"/>
      <c r="K1991" s="1076">
        <f>IFERROR(__xludf.DUMMYFUNCTION("""COMPUTED_VALUE"""),1)</f>
        <v>1</v>
      </c>
      <c r="L1991" s="1076" t="str">
        <f>IFERROR(__xludf.DUMMYFUNCTION("""COMPUTED_VALUE"""),"KLH")</f>
        <v>KLH</v>
      </c>
    </row>
    <row r="1992" customHeight="1" spans="1:12">
      <c r="A1992" s="1076" t="str">
        <f>IFERROR(__xludf.DUMMYFUNCTION("""COMPUTED_VALUE"""),"HCD-MPC-002")</f>
        <v>HCD-MPC-002</v>
      </c>
      <c r="B1992" s="1075" t="str">
        <f>IFERROR(__xludf.DUMMYFUNCTION("""COMPUTED_VALUE"""),"Máy phát cỏ 2 thì")</f>
        <v>Máy phát cỏ 2 thì</v>
      </c>
      <c r="C1992" s="1076" t="str">
        <f>IFERROR(__xludf.DUMMYFUNCTION("""COMPUTED_VALUE"""),"HÀNH CHÍNH KLH")</f>
        <v>HÀNH CHÍNH KLH</v>
      </c>
      <c r="D1992" s="1076" t="str">
        <f>IFERROR(__xludf.DUMMYFUNCTION("""COMPUTED_VALUE"""),"KAMASTSU")</f>
        <v>KAMASTSU</v>
      </c>
      <c r="E1992" s="1076"/>
      <c r="F1992" s="1076"/>
      <c r="G1992" s="1076" t="str">
        <f>IFERROR(__xludf.DUMMYFUNCTION("""COMPUTED_VALUE"""),"KM430")</f>
        <v>KM430</v>
      </c>
      <c r="H1992" s="1076" t="str">
        <f>IFERROR(__xludf.DUMMYFUNCTION("""COMPUTED_VALUE"""),"1.7HP")</f>
        <v>1.7HP</v>
      </c>
      <c r="I1992" s="1076"/>
      <c r="J1992" s="1076"/>
      <c r="K1992" s="1076">
        <f>IFERROR(__xludf.DUMMYFUNCTION("""COMPUTED_VALUE"""),1)</f>
        <v>1</v>
      </c>
      <c r="L1992" s="1076" t="str">
        <f>IFERROR(__xludf.DUMMYFUNCTION("""COMPUTED_VALUE"""),"KLH")</f>
        <v>KLH</v>
      </c>
    </row>
    <row r="1993" customHeight="1" spans="1:12">
      <c r="A1993" s="1076" t="str">
        <f>IFERROR(__xludf.DUMMYFUNCTION("""COMPUTED_VALUE"""),"HCA-MPC-001")</f>
        <v>HCA-MPC-001</v>
      </c>
      <c r="B1993" s="1075" t="str">
        <f>IFERROR(__xludf.DUMMYFUNCTION("""COMPUTED_VALUE"""),"Máy phát cỏ 2 thì")</f>
        <v>Máy phát cỏ 2 thì</v>
      </c>
      <c r="C1993" s="1076" t="str">
        <f>IFERROR(__xludf.DUMMYFUNCTION("""COMPUTED_VALUE"""),"HÀNH CHÍNH KLH")</f>
        <v>HÀNH CHÍNH KLH</v>
      </c>
      <c r="D1993" s="1076" t="str">
        <f>IFERROR(__xludf.DUMMYFUNCTION("""COMPUTED_VALUE"""),"TASCO")</f>
        <v>TASCO</v>
      </c>
      <c r="E1993" s="1076" t="str">
        <f>IFERROR(__xludf.DUMMYFUNCTION("""COMPUTED_VALUE"""),"TRUNG QUỐC")</f>
        <v>TRUNG QUỐC</v>
      </c>
      <c r="F1993" s="1076"/>
      <c r="G1993" s="1076" t="str">
        <f>IFERROR(__xludf.DUMMYFUNCTION("""COMPUTED_VALUE"""),"T-338")</f>
        <v>T-338</v>
      </c>
      <c r="H1993" s="1076" t="str">
        <f>IFERROR(__xludf.DUMMYFUNCTION("""COMPUTED_VALUE"""),"1.1HP")</f>
        <v>1.1HP</v>
      </c>
      <c r="I1993" s="1076"/>
      <c r="J1993" s="1076"/>
      <c r="K1993" s="1076">
        <f>IFERROR(__xludf.DUMMYFUNCTION("""COMPUTED_VALUE"""),1)</f>
        <v>1</v>
      </c>
      <c r="L1993" s="1076" t="str">
        <f>IFERROR(__xludf.DUMMYFUNCTION("""COMPUTED_VALUE"""),"KLH")</f>
        <v>KLH</v>
      </c>
    </row>
    <row r="1994" customHeight="1" spans="1:12">
      <c r="A1994" s="1076" t="str">
        <f>IFERROR(__xludf.DUMMYFUNCTION("""COMPUTED_VALUE"""),"HCA-MPC-002")</f>
        <v>HCA-MPC-002</v>
      </c>
      <c r="B1994" s="1075" t="str">
        <f>IFERROR(__xludf.DUMMYFUNCTION("""COMPUTED_VALUE"""),"Máy phát cỏ 2 thì")</f>
        <v>Máy phát cỏ 2 thì</v>
      </c>
      <c r="C1994" s="1076" t="str">
        <f>IFERROR(__xludf.DUMMYFUNCTION("""COMPUTED_VALUE"""),"HÀNH CHÍNH KLH")</f>
        <v>HÀNH CHÍNH KLH</v>
      </c>
      <c r="D1994" s="1076" t="str">
        <f>IFERROR(__xludf.DUMMYFUNCTION("""COMPUTED_VALUE"""),"TASCO")</f>
        <v>TASCO</v>
      </c>
      <c r="E1994" s="1076" t="str">
        <f>IFERROR(__xludf.DUMMYFUNCTION("""COMPUTED_VALUE"""),"TRUNG QUỐC")</f>
        <v>TRUNG QUỐC</v>
      </c>
      <c r="F1994" s="1076"/>
      <c r="G1994" s="1076" t="str">
        <f>IFERROR(__xludf.DUMMYFUNCTION("""COMPUTED_VALUE"""),"T-338")</f>
        <v>T-338</v>
      </c>
      <c r="H1994" s="1076" t="str">
        <f>IFERROR(__xludf.DUMMYFUNCTION("""COMPUTED_VALUE"""),"1.1HP")</f>
        <v>1.1HP</v>
      </c>
      <c r="I1994" s="1076"/>
      <c r="J1994" s="1076"/>
      <c r="K1994" s="1076">
        <f>IFERROR(__xludf.DUMMYFUNCTION("""COMPUTED_VALUE"""),1)</f>
        <v>1</v>
      </c>
      <c r="L1994" s="1076" t="str">
        <f>IFERROR(__xludf.DUMMYFUNCTION("""COMPUTED_VALUE"""),"KLH")</f>
        <v>KLH</v>
      </c>
    </row>
    <row r="1995" customHeight="1" spans="1:12">
      <c r="A1995" s="1076" t="str">
        <f>IFERROR(__xludf.DUMMYFUNCTION("""COMPUTED_VALUE"""),"BAN ĐIỆN NƯỚC")</f>
        <v>BAN ĐIỆN NƯỚC</v>
      </c>
      <c r="B1995" s="1075"/>
      <c r="C1995" s="1076"/>
      <c r="D1995" s="1076"/>
      <c r="E1995" s="1076"/>
      <c r="F1995" s="1076"/>
      <c r="G1995" s="1076"/>
      <c r="H1995" s="1076"/>
      <c r="I1995" s="1076"/>
      <c r="J1995" s="1076"/>
      <c r="K1995" s="1076"/>
      <c r="L1995" s="1076" t="str">
        <f>IFERROR(__xludf.DUMMYFUNCTION("""COMPUTED_VALUE"""),"KLH")</f>
        <v>KLH</v>
      </c>
    </row>
    <row r="1996" customHeight="1" spans="1:12">
      <c r="A1996" s="1076" t="str">
        <f>IFERROR(__xludf.DUMMYFUNCTION("""COMPUTED_VALUE"""),"ĐNA-MPC-001")</f>
        <v>ĐNA-MPC-001</v>
      </c>
      <c r="B1996" s="1075" t="str">
        <f>IFERROR(__xludf.DUMMYFUNCTION("""COMPUTED_VALUE"""),"Máy phát cỏ 4 thì")</f>
        <v>Máy phát cỏ 4 thì</v>
      </c>
      <c r="C1996" s="1076" t="str">
        <f>IFERROR(__xludf.DUMMYFUNCTION("""COMPUTED_VALUE"""),"BAN ĐIỆN NƯỚC")</f>
        <v>BAN ĐIỆN NƯỚC</v>
      </c>
      <c r="D1996" s="1076" t="str">
        <f>IFERROR(__xludf.DUMMYFUNCTION("""COMPUTED_VALUE"""),"HONDA")</f>
        <v>HONDA</v>
      </c>
      <c r="E1996" s="1076"/>
      <c r="F1996" s="1076"/>
      <c r="G1996" s="1076" t="str">
        <f>IFERROR(__xludf.DUMMYFUNCTION("""COMPUTED_VALUE"""),"GX35")</f>
        <v>GX35</v>
      </c>
      <c r="H1996" s="1076" t="str">
        <f>IFERROR(__xludf.DUMMYFUNCTION("""COMPUTED_VALUE"""),"1.6HP")</f>
        <v>1.6HP</v>
      </c>
      <c r="I1996" s="1076"/>
      <c r="J1996" s="1076"/>
      <c r="K1996" s="1076">
        <f>IFERROR(__xludf.DUMMYFUNCTION("""COMPUTED_VALUE"""),0.5)</f>
        <v>0.5</v>
      </c>
      <c r="L1996" s="1076" t="str">
        <f>IFERROR(__xludf.DUMMYFUNCTION("""COMPUTED_VALUE"""),"KLH")</f>
        <v>KLH</v>
      </c>
    </row>
    <row r="1997" customHeight="1" spans="1:12">
      <c r="A1997" s="1076" t="str">
        <f>IFERROR(__xludf.DUMMYFUNCTION("""COMPUTED_VALUE"""),"ĐNA-MPC-002")</f>
        <v>ĐNA-MPC-002</v>
      </c>
      <c r="B1997" s="1075" t="str">
        <f>IFERROR(__xludf.DUMMYFUNCTION("""COMPUTED_VALUE"""),"Máy phát cỏ 4 thì")</f>
        <v>Máy phát cỏ 4 thì</v>
      </c>
      <c r="C1997" s="1076" t="str">
        <f>IFERROR(__xludf.DUMMYFUNCTION("""COMPUTED_VALUE"""),"BAN ĐIỆN NƯỚC")</f>
        <v>BAN ĐIỆN NƯỚC</v>
      </c>
      <c r="D1997" s="1076" t="str">
        <f>IFERROR(__xludf.DUMMYFUNCTION("""COMPUTED_VALUE"""),"HONDA")</f>
        <v>HONDA</v>
      </c>
      <c r="E1997" s="1076"/>
      <c r="F1997" s="1076"/>
      <c r="G1997" s="1076" t="str">
        <f>IFERROR(__xludf.DUMMYFUNCTION("""COMPUTED_VALUE"""),"GX35")</f>
        <v>GX35</v>
      </c>
      <c r="H1997" s="1076" t="str">
        <f>IFERROR(__xludf.DUMMYFUNCTION("""COMPUTED_VALUE"""),"1.6HP")</f>
        <v>1.6HP</v>
      </c>
      <c r="I1997" s="1076"/>
      <c r="J1997" s="1076"/>
      <c r="K1997" s="1076">
        <f>IFERROR(__xludf.DUMMYFUNCTION("""COMPUTED_VALUE"""),0.5)</f>
        <v>0.5</v>
      </c>
      <c r="L1997" s="1076" t="str">
        <f>IFERROR(__xludf.DUMMYFUNCTION("""COMPUTED_VALUE"""),"KLH")</f>
        <v>KLH</v>
      </c>
    </row>
    <row r="1998" customHeight="1" spans="1:12">
      <c r="A1998" s="1076" t="str">
        <f>IFERROR(__xludf.DUMMYFUNCTION("""COMPUTED_VALUE"""),"ĐNA-MPC-003")</f>
        <v>ĐNA-MPC-003</v>
      </c>
      <c r="B1998" s="1075" t="str">
        <f>IFERROR(__xludf.DUMMYFUNCTION("""COMPUTED_VALUE"""),"Máy phát cỏ 4 thì")</f>
        <v>Máy phát cỏ 4 thì</v>
      </c>
      <c r="C1998" s="1076" t="str">
        <f>IFERROR(__xludf.DUMMYFUNCTION("""COMPUTED_VALUE"""),"BAN ĐIỆN NƯỚC")</f>
        <v>BAN ĐIỆN NƯỚC</v>
      </c>
      <c r="D1998" s="1076" t="str">
        <f>IFERROR(__xludf.DUMMYFUNCTION("""COMPUTED_VALUE"""),"HONDA")</f>
        <v>HONDA</v>
      </c>
      <c r="E1998" s="1076"/>
      <c r="F1998" s="1076"/>
      <c r="G1998" s="1076" t="str">
        <f>IFERROR(__xludf.DUMMYFUNCTION("""COMPUTED_VALUE"""),"GX35")</f>
        <v>GX35</v>
      </c>
      <c r="H1998" s="1076" t="str">
        <f>IFERROR(__xludf.DUMMYFUNCTION("""COMPUTED_VALUE"""),"1.6HP")</f>
        <v>1.6HP</v>
      </c>
      <c r="I1998" s="1076"/>
      <c r="J1998" s="1076"/>
      <c r="K1998" s="1076">
        <f>IFERROR(__xludf.DUMMYFUNCTION("""COMPUTED_VALUE"""),0.5)</f>
        <v>0.5</v>
      </c>
      <c r="L1998" s="1076" t="str">
        <f>IFERROR(__xludf.DUMMYFUNCTION("""COMPUTED_VALUE"""),"KLH")</f>
        <v>KLH</v>
      </c>
    </row>
    <row r="1999" customHeight="1" spans="1:12">
      <c r="A1999" s="1076" t="str">
        <f>IFERROR(__xludf.DUMMYFUNCTION("""COMPUTED_VALUE"""),"ĐNA-MPC-004")</f>
        <v>ĐNA-MPC-004</v>
      </c>
      <c r="B1999" s="1075" t="str">
        <f>IFERROR(__xludf.DUMMYFUNCTION("""COMPUTED_VALUE"""),"Máy phát cỏ 4 thì")</f>
        <v>Máy phát cỏ 4 thì</v>
      </c>
      <c r="C1999" s="1076" t="str">
        <f>IFERROR(__xludf.DUMMYFUNCTION("""COMPUTED_VALUE"""),"BAN ĐIỆN NƯỚC")</f>
        <v>BAN ĐIỆN NƯỚC</v>
      </c>
      <c r="D1999" s="1076" t="str">
        <f>IFERROR(__xludf.DUMMYFUNCTION("""COMPUTED_VALUE"""),"HONDA")</f>
        <v>HONDA</v>
      </c>
      <c r="E1999" s="1076"/>
      <c r="F1999" s="1076"/>
      <c r="G1999" s="1076" t="str">
        <f>IFERROR(__xludf.DUMMYFUNCTION("""COMPUTED_VALUE"""),"GX35")</f>
        <v>GX35</v>
      </c>
      <c r="H1999" s="1076" t="str">
        <f>IFERROR(__xludf.DUMMYFUNCTION("""COMPUTED_VALUE"""),"1.6HP")</f>
        <v>1.6HP</v>
      </c>
      <c r="I1999" s="1076"/>
      <c r="J1999" s="1076"/>
      <c r="K1999" s="1076">
        <f>IFERROR(__xludf.DUMMYFUNCTION("""COMPUTED_VALUE"""),0.5)</f>
        <v>0.5</v>
      </c>
      <c r="L1999" s="1076" t="str">
        <f>IFERROR(__xludf.DUMMYFUNCTION("""COMPUTED_VALUE"""),"KLH")</f>
        <v>KLH</v>
      </c>
    </row>
    <row r="2000" customHeight="1" spans="1:12">
      <c r="A2000" s="1076" t="str">
        <f>IFERROR(__xludf.DUMMYFUNCTION("""COMPUTED_VALUE"""),"KLH")</f>
        <v>KLH</v>
      </c>
      <c r="B2000" s="1075"/>
      <c r="C2000" s="1076"/>
      <c r="D2000" s="1076"/>
      <c r="E2000" s="1076"/>
      <c r="F2000" s="1076"/>
      <c r="G2000" s="1076"/>
      <c r="H2000" s="1076"/>
      <c r="I2000" s="1076"/>
      <c r="J2000" s="1076"/>
      <c r="K2000" s="1076"/>
      <c r="L2000" s="1076" t="str">
        <f>IFERROR(__xludf.DUMMYFUNCTION("""COMPUTED_VALUE"""),"KLH")</f>
        <v>KLH</v>
      </c>
    </row>
    <row r="2001" customHeight="1" spans="1:12">
      <c r="A2001" s="1076" t="str">
        <f>IFERROR(__xludf.DUMMYFUNCTION("""COMPUTED_VALUE"""),"KLH")</f>
        <v>KLH</v>
      </c>
      <c r="B2001" s="1075"/>
      <c r="C2001" s="1076"/>
      <c r="D2001" s="1076"/>
      <c r="E2001" s="1076"/>
      <c r="F2001" s="1076"/>
      <c r="G2001" s="1076"/>
      <c r="H2001" s="1076"/>
      <c r="I2001" s="1076"/>
      <c r="J2001" s="1076"/>
      <c r="K2001" s="1076"/>
      <c r="L2001" s="1076" t="str">
        <f>IFERROR(__xludf.DUMMYFUNCTION("""COMPUTED_VALUE"""),"KLH")</f>
        <v>KLH</v>
      </c>
    </row>
    <row r="2002" customHeight="1" spans="1:12">
      <c r="A2002" s="1076" t="str">
        <f>IFERROR(__xludf.DUMMYFUNCTION("""COMPUTED_VALUE"""),"XD3-MPC-001")</f>
        <v>XD3-MPC-001</v>
      </c>
      <c r="B2002" s="1075" t="str">
        <f>IFERROR(__xludf.DUMMYFUNCTION("""COMPUTED_VALUE"""),"Máy phát cỏ 4 thì")</f>
        <v>Máy phát cỏ 4 thì</v>
      </c>
      <c r="C2002" s="1076" t="str">
        <f>IFERROR(__xludf.DUMMYFUNCTION("""COMPUTED_VALUE"""),"Loại biên")</f>
        <v>Loại biên</v>
      </c>
      <c r="D2002" s="1076" t="str">
        <f>IFERROR(__xludf.DUMMYFUNCTION("""COMPUTED_VALUE"""),"HINOTA")</f>
        <v>HINOTA</v>
      </c>
      <c r="E2002" s="1076" t="str">
        <f>IFERROR(__xludf.DUMMYFUNCTION("""COMPUTED_VALUE"""),"Trung Quốc")</f>
        <v>Trung Quốc</v>
      </c>
      <c r="F2002" s="1076"/>
      <c r="G2002" s="1076" t="str">
        <f>IFERROR(__xludf.DUMMYFUNCTION("""COMPUTED_VALUE"""),"CG435")</f>
        <v>CG435</v>
      </c>
      <c r="H2002" s="1076" t="str">
        <f>IFERROR(__xludf.DUMMYFUNCTION("""COMPUTED_VALUE"""),"1.2HP")</f>
        <v>1.2HP</v>
      </c>
      <c r="I2002" s="1076"/>
      <c r="J2002" s="1076"/>
      <c r="K2002" s="1076">
        <f>IFERROR(__xludf.DUMMYFUNCTION("""COMPUTED_VALUE"""),0.5)</f>
        <v>0.5</v>
      </c>
      <c r="L2002" s="1076" t="str">
        <f>IFERROR(__xludf.DUMMYFUNCTION("""COMPUTED_VALUE"""),"Loại biên")</f>
        <v>Loại biên</v>
      </c>
    </row>
    <row r="2003" customHeight="1" spans="1:12">
      <c r="A2003" s="1076" t="str">
        <f>IFERROR(__xludf.DUMMYFUNCTION("""COMPUTED_VALUE"""),"XD3-MPC-002")</f>
        <v>XD3-MPC-002</v>
      </c>
      <c r="B2003" s="1075" t="str">
        <f>IFERROR(__xludf.DUMMYFUNCTION("""COMPUTED_VALUE"""),"Máy phát cỏ 4 thì")</f>
        <v>Máy phát cỏ 4 thì</v>
      </c>
      <c r="C2003" s="1076" t="str">
        <f>IFERROR(__xludf.DUMMYFUNCTION("""COMPUTED_VALUE"""),"Loại biên")</f>
        <v>Loại biên</v>
      </c>
      <c r="D2003" s="1076" t="str">
        <f>IFERROR(__xludf.DUMMYFUNCTION("""COMPUTED_VALUE"""),"HINOTA")</f>
        <v>HINOTA</v>
      </c>
      <c r="E2003" s="1076" t="str">
        <f>IFERROR(__xludf.DUMMYFUNCTION("""COMPUTED_VALUE"""),"Trung Quốc")</f>
        <v>Trung Quốc</v>
      </c>
      <c r="F2003" s="1076"/>
      <c r="G2003" s="1076" t="str">
        <f>IFERROR(__xludf.DUMMYFUNCTION("""COMPUTED_VALUE"""),"CG435")</f>
        <v>CG435</v>
      </c>
      <c r="H2003" s="1076" t="str">
        <f>IFERROR(__xludf.DUMMYFUNCTION("""COMPUTED_VALUE"""),"1.2HP")</f>
        <v>1.2HP</v>
      </c>
      <c r="I2003" s="1076"/>
      <c r="J2003" s="1076"/>
      <c r="K2003" s="1076">
        <f>IFERROR(__xludf.DUMMYFUNCTION("""COMPUTED_VALUE"""),0.5)</f>
        <v>0.5</v>
      </c>
      <c r="L2003" s="1076" t="str">
        <f>IFERROR(__xludf.DUMMYFUNCTION("""COMPUTED_VALUE"""),"Loại biên")</f>
        <v>Loại biên</v>
      </c>
    </row>
    <row r="2004" customHeight="1" spans="1:12">
      <c r="A2004" s="1076" t="str">
        <f>IFERROR(__xludf.DUMMYFUNCTION("""COMPUTED_VALUE"""),"XD3-MPC-003")</f>
        <v>XD3-MPC-003</v>
      </c>
      <c r="B2004" s="1075" t="str">
        <f>IFERROR(__xludf.DUMMYFUNCTION("""COMPUTED_VALUE"""),"Máy phát cỏ 4 thì")</f>
        <v>Máy phát cỏ 4 thì</v>
      </c>
      <c r="C2004" s="1076" t="str">
        <f>IFERROR(__xludf.DUMMYFUNCTION("""COMPUTED_VALUE"""),"Loại biên")</f>
        <v>Loại biên</v>
      </c>
      <c r="D2004" s="1076" t="str">
        <f>IFERROR(__xludf.DUMMYFUNCTION("""COMPUTED_VALUE"""),"HINOTA")</f>
        <v>HINOTA</v>
      </c>
      <c r="E2004" s="1076" t="str">
        <f>IFERROR(__xludf.DUMMYFUNCTION("""COMPUTED_VALUE"""),"Trung Quốc")</f>
        <v>Trung Quốc</v>
      </c>
      <c r="F2004" s="1076"/>
      <c r="G2004" s="1076" t="str">
        <f>IFERROR(__xludf.DUMMYFUNCTION("""COMPUTED_VALUE"""),"CG435")</f>
        <v>CG435</v>
      </c>
      <c r="H2004" s="1076" t="str">
        <f>IFERROR(__xludf.DUMMYFUNCTION("""COMPUTED_VALUE"""),"1.2HP")</f>
        <v>1.2HP</v>
      </c>
      <c r="I2004" s="1076"/>
      <c r="J2004" s="1076"/>
      <c r="K2004" s="1076">
        <f>IFERROR(__xludf.DUMMYFUNCTION("""COMPUTED_VALUE"""),0.5)</f>
        <v>0.5</v>
      </c>
      <c r="L2004" s="1076" t="str">
        <f>IFERROR(__xludf.DUMMYFUNCTION("""COMPUTED_VALUE"""),"Loại biên")</f>
        <v>Loại biên</v>
      </c>
    </row>
    <row r="2005" customHeight="1" spans="1:12">
      <c r="A2005" s="1076" t="str">
        <f>IFERROR(__xludf.DUMMYFUNCTION("""COMPUTED_VALUE"""),"XD3-MPC-004")</f>
        <v>XD3-MPC-004</v>
      </c>
      <c r="B2005" s="1075" t="str">
        <f>IFERROR(__xludf.DUMMYFUNCTION("""COMPUTED_VALUE"""),"Máy phát cỏ 4 thì")</f>
        <v>Máy phát cỏ 4 thì</v>
      </c>
      <c r="C2005" s="1076" t="str">
        <f>IFERROR(__xludf.DUMMYFUNCTION("""COMPUTED_VALUE"""),"Loại biên")</f>
        <v>Loại biên</v>
      </c>
      <c r="D2005" s="1076" t="str">
        <f>IFERROR(__xludf.DUMMYFUNCTION("""COMPUTED_VALUE"""),"HINOTA")</f>
        <v>HINOTA</v>
      </c>
      <c r="E2005" s="1076" t="str">
        <f>IFERROR(__xludf.DUMMYFUNCTION("""COMPUTED_VALUE"""),"Trung Quốc")</f>
        <v>Trung Quốc</v>
      </c>
      <c r="F2005" s="1076"/>
      <c r="G2005" s="1076" t="str">
        <f>IFERROR(__xludf.DUMMYFUNCTION("""COMPUTED_VALUE"""),"CG435")</f>
        <v>CG435</v>
      </c>
      <c r="H2005" s="1076" t="str">
        <f>IFERROR(__xludf.DUMMYFUNCTION("""COMPUTED_VALUE"""),"1.2HP")</f>
        <v>1.2HP</v>
      </c>
      <c r="I2005" s="1076"/>
      <c r="J2005" s="1076"/>
      <c r="K2005" s="1076">
        <f>IFERROR(__xludf.DUMMYFUNCTION("""COMPUTED_VALUE"""),0.5)</f>
        <v>0.5</v>
      </c>
      <c r="L2005" s="1076" t="str">
        <f>IFERROR(__xludf.DUMMYFUNCTION("""COMPUTED_VALUE"""),"Loại biên")</f>
        <v>Loại biên</v>
      </c>
    </row>
    <row r="2006" customHeight="1" spans="1:12">
      <c r="A2006" s="1076" t="str">
        <f>IFERROR(__xludf.DUMMYFUNCTION("""COMPUTED_VALUE"""),"XD3-MPC-005")</f>
        <v>XD3-MPC-005</v>
      </c>
      <c r="B2006" s="1075" t="str">
        <f>IFERROR(__xludf.DUMMYFUNCTION("""COMPUTED_VALUE"""),"Máy phát cỏ 4 thì")</f>
        <v>Máy phát cỏ 4 thì</v>
      </c>
      <c r="C2006" s="1076" t="str">
        <f>IFERROR(__xludf.DUMMYFUNCTION("""COMPUTED_VALUE"""),"Loại biên")</f>
        <v>Loại biên</v>
      </c>
      <c r="D2006" s="1076" t="str">
        <f>IFERROR(__xludf.DUMMYFUNCTION("""COMPUTED_VALUE"""),"HINOTA")</f>
        <v>HINOTA</v>
      </c>
      <c r="E2006" s="1076" t="str">
        <f>IFERROR(__xludf.DUMMYFUNCTION("""COMPUTED_VALUE"""),"Trung Quốc")</f>
        <v>Trung Quốc</v>
      </c>
      <c r="F2006" s="1076"/>
      <c r="G2006" s="1076" t="str">
        <f>IFERROR(__xludf.DUMMYFUNCTION("""COMPUTED_VALUE"""),"CG435")</f>
        <v>CG435</v>
      </c>
      <c r="H2006" s="1076" t="str">
        <f>IFERROR(__xludf.DUMMYFUNCTION("""COMPUTED_VALUE"""),"1.2HP")</f>
        <v>1.2HP</v>
      </c>
      <c r="I2006" s="1076"/>
      <c r="J2006" s="1076"/>
      <c r="K2006" s="1076">
        <f>IFERROR(__xludf.DUMMYFUNCTION("""COMPUTED_VALUE"""),0.5)</f>
        <v>0.5</v>
      </c>
      <c r="L2006" s="1076" t="str">
        <f>IFERROR(__xludf.DUMMYFUNCTION("""COMPUTED_VALUE"""),"Loại biên")</f>
        <v>Loại biên</v>
      </c>
    </row>
    <row r="2007" customHeight="1" spans="1:12">
      <c r="A2007" s="1076" t="str">
        <f>IFERROR(__xludf.DUMMYFUNCTION("""COMPUTED_VALUE"""),"XD3-MPC-012")</f>
        <v>XD3-MPC-012</v>
      </c>
      <c r="B2007" s="1075" t="str">
        <f>IFERROR(__xludf.DUMMYFUNCTION("""COMPUTED_VALUE"""),"Máy phát cỏ 4 thì")</f>
        <v>Máy phát cỏ 4 thì</v>
      </c>
      <c r="C2007" s="1076" t="str">
        <f>IFERROR(__xludf.DUMMYFUNCTION("""COMPUTED_VALUE"""),"Loại biên")</f>
        <v>Loại biên</v>
      </c>
      <c r="D2007" s="1076" t="str">
        <f>IFERROR(__xludf.DUMMYFUNCTION("""COMPUTED_VALUE"""),"HINOTA")</f>
        <v>HINOTA</v>
      </c>
      <c r="E2007" s="1076" t="str">
        <f>IFERROR(__xludf.DUMMYFUNCTION("""COMPUTED_VALUE"""),"Trung Quốc")</f>
        <v>Trung Quốc</v>
      </c>
      <c r="F2007" s="1076"/>
      <c r="G2007" s="1076" t="str">
        <f>IFERROR(__xludf.DUMMYFUNCTION("""COMPUTED_VALUE"""),"CG435")</f>
        <v>CG435</v>
      </c>
      <c r="H2007" s="1076" t="str">
        <f>IFERROR(__xludf.DUMMYFUNCTION("""COMPUTED_VALUE"""),"1.2HP")</f>
        <v>1.2HP</v>
      </c>
      <c r="I2007" s="1076"/>
      <c r="J2007" s="1076"/>
      <c r="K2007" s="1076">
        <f>IFERROR(__xludf.DUMMYFUNCTION("""COMPUTED_VALUE"""),0.5)</f>
        <v>0.5</v>
      </c>
      <c r="L2007" s="1076" t="str">
        <f>IFERROR(__xludf.DUMMYFUNCTION("""COMPUTED_VALUE"""),"Loại biên")</f>
        <v>Loại biên</v>
      </c>
    </row>
    <row r="2008" customHeight="1" spans="1:12">
      <c r="A2008" s="1076" t="str">
        <f>IFERROR(__xludf.DUMMYFUNCTION("""COMPUTED_VALUE"""),"XD3-MPC-013")</f>
        <v>XD3-MPC-013</v>
      </c>
      <c r="B2008" s="1075" t="str">
        <f>IFERROR(__xludf.DUMMYFUNCTION("""COMPUTED_VALUE"""),"Máy phát cỏ 4 thì")</f>
        <v>Máy phát cỏ 4 thì</v>
      </c>
      <c r="C2008" s="1076" t="str">
        <f>IFERROR(__xludf.DUMMYFUNCTION("""COMPUTED_VALUE"""),"Loại biên")</f>
        <v>Loại biên</v>
      </c>
      <c r="D2008" s="1076" t="str">
        <f>IFERROR(__xludf.DUMMYFUNCTION("""COMPUTED_VALUE"""),"HINOTA")</f>
        <v>HINOTA</v>
      </c>
      <c r="E2008" s="1076" t="str">
        <f>IFERROR(__xludf.DUMMYFUNCTION("""COMPUTED_VALUE"""),"Trung Quốc")</f>
        <v>Trung Quốc</v>
      </c>
      <c r="F2008" s="1076"/>
      <c r="G2008" s="1076" t="str">
        <f>IFERROR(__xludf.DUMMYFUNCTION("""COMPUTED_VALUE"""),"CG435")</f>
        <v>CG435</v>
      </c>
      <c r="H2008" s="1076" t="str">
        <f>IFERROR(__xludf.DUMMYFUNCTION("""COMPUTED_VALUE"""),"1.2HP")</f>
        <v>1.2HP</v>
      </c>
      <c r="I2008" s="1076"/>
      <c r="J2008" s="1076"/>
      <c r="K2008" s="1076">
        <f>IFERROR(__xludf.DUMMYFUNCTION("""COMPUTED_VALUE"""),0.5)</f>
        <v>0.5</v>
      </c>
      <c r="L2008" s="1076" t="str">
        <f>IFERROR(__xludf.DUMMYFUNCTION("""COMPUTED_VALUE"""),"Loại biên")</f>
        <v>Loại biên</v>
      </c>
    </row>
    <row r="2009" customHeight="1" spans="1:12">
      <c r="A2009" s="1076" t="str">
        <f>IFERROR(__xludf.DUMMYFUNCTION("""COMPUTED_VALUE"""),"XD3-MPC-015")</f>
        <v>XD3-MPC-015</v>
      </c>
      <c r="B2009" s="1075" t="str">
        <f>IFERROR(__xludf.DUMMYFUNCTION("""COMPUTED_VALUE"""),"Máy phát cỏ 4 thì")</f>
        <v>Máy phát cỏ 4 thì</v>
      </c>
      <c r="C2009" s="1076" t="str">
        <f>IFERROR(__xludf.DUMMYFUNCTION("""COMPUTED_VALUE"""),"Loại biên")</f>
        <v>Loại biên</v>
      </c>
      <c r="D2009" s="1076" t="str">
        <f>IFERROR(__xludf.DUMMYFUNCTION("""COMPUTED_VALUE"""),"HINOTA")</f>
        <v>HINOTA</v>
      </c>
      <c r="E2009" s="1076" t="str">
        <f>IFERROR(__xludf.DUMMYFUNCTION("""COMPUTED_VALUE"""),"Trung Quốc")</f>
        <v>Trung Quốc</v>
      </c>
      <c r="F2009" s="1076"/>
      <c r="G2009" s="1076" t="str">
        <f>IFERROR(__xludf.DUMMYFUNCTION("""COMPUTED_VALUE"""),"CG435")</f>
        <v>CG435</v>
      </c>
      <c r="H2009" s="1076" t="str">
        <f>IFERROR(__xludf.DUMMYFUNCTION("""COMPUTED_VALUE"""),"1.2HP")</f>
        <v>1.2HP</v>
      </c>
      <c r="I2009" s="1076"/>
      <c r="J2009" s="1076"/>
      <c r="K2009" s="1076">
        <f>IFERROR(__xludf.DUMMYFUNCTION("""COMPUTED_VALUE"""),0.5)</f>
        <v>0.5</v>
      </c>
      <c r="L2009" s="1076" t="str">
        <f>IFERROR(__xludf.DUMMYFUNCTION("""COMPUTED_VALUE"""),"Loại biên")</f>
        <v>Loại biên</v>
      </c>
    </row>
    <row r="2010" customHeight="1" spans="1:12">
      <c r="A2010" s="1076" t="str">
        <f>IFERROR(__xludf.DUMMYFUNCTION("""COMPUTED_VALUE"""),"XD3-MPC-017")</f>
        <v>XD3-MPC-017</v>
      </c>
      <c r="B2010" s="1075" t="str">
        <f>IFERROR(__xludf.DUMMYFUNCTION("""COMPUTED_VALUE"""),"Máy phát cỏ 4 thì")</f>
        <v>Máy phát cỏ 4 thì</v>
      </c>
      <c r="C2010" s="1076" t="str">
        <f>IFERROR(__xludf.DUMMYFUNCTION("""COMPUTED_VALUE"""),"Loại biên")</f>
        <v>Loại biên</v>
      </c>
      <c r="D2010" s="1076" t="str">
        <f>IFERROR(__xludf.DUMMYFUNCTION("""COMPUTED_VALUE"""),"HINOTA")</f>
        <v>HINOTA</v>
      </c>
      <c r="E2010" s="1076" t="str">
        <f>IFERROR(__xludf.DUMMYFUNCTION("""COMPUTED_VALUE"""),"Trung Quốc")</f>
        <v>Trung Quốc</v>
      </c>
      <c r="F2010" s="1076"/>
      <c r="G2010" s="1076" t="str">
        <f>IFERROR(__xludf.DUMMYFUNCTION("""COMPUTED_VALUE"""),"CG435")</f>
        <v>CG435</v>
      </c>
      <c r="H2010" s="1076" t="str">
        <f>IFERROR(__xludf.DUMMYFUNCTION("""COMPUTED_VALUE"""),"1.2HP")</f>
        <v>1.2HP</v>
      </c>
      <c r="I2010" s="1076"/>
      <c r="J2010" s="1076"/>
      <c r="K2010" s="1076">
        <f>IFERROR(__xludf.DUMMYFUNCTION("""COMPUTED_VALUE"""),0.5)</f>
        <v>0.5</v>
      </c>
      <c r="L2010" s="1076" t="str">
        <f>IFERROR(__xludf.DUMMYFUNCTION("""COMPUTED_VALUE"""),"Loại biên")</f>
        <v>Loại biên</v>
      </c>
    </row>
    <row r="2011" customHeight="1" spans="1:12">
      <c r="A2011" s="1076" t="str">
        <f>IFERROR(__xludf.DUMMYFUNCTION("""COMPUTED_VALUE"""),"XD3-MPC-021")</f>
        <v>XD3-MPC-021</v>
      </c>
      <c r="B2011" s="1075" t="str">
        <f>IFERROR(__xludf.DUMMYFUNCTION("""COMPUTED_VALUE"""),"Máy phát cỏ 4 thì")</f>
        <v>Máy phát cỏ 4 thì</v>
      </c>
      <c r="C2011" s="1076" t="str">
        <f>IFERROR(__xludf.DUMMYFUNCTION("""COMPUTED_VALUE"""),"Loại biên")</f>
        <v>Loại biên</v>
      </c>
      <c r="D2011" s="1076" t="str">
        <f>IFERROR(__xludf.DUMMYFUNCTION("""COMPUTED_VALUE"""),"HINOTA")</f>
        <v>HINOTA</v>
      </c>
      <c r="E2011" s="1076" t="str">
        <f>IFERROR(__xludf.DUMMYFUNCTION("""COMPUTED_VALUE"""),"Trung Quốc")</f>
        <v>Trung Quốc</v>
      </c>
      <c r="F2011" s="1076"/>
      <c r="G2011" s="1076" t="str">
        <f>IFERROR(__xludf.DUMMYFUNCTION("""COMPUTED_VALUE"""),"CG435")</f>
        <v>CG435</v>
      </c>
      <c r="H2011" s="1076" t="str">
        <f>IFERROR(__xludf.DUMMYFUNCTION("""COMPUTED_VALUE"""),"1.2HP")</f>
        <v>1.2HP</v>
      </c>
      <c r="I2011" s="1076"/>
      <c r="J2011" s="1076"/>
      <c r="K2011" s="1076">
        <f>IFERROR(__xludf.DUMMYFUNCTION("""COMPUTED_VALUE"""),0.5)</f>
        <v>0.5</v>
      </c>
      <c r="L2011" s="1076" t="str">
        <f>IFERROR(__xludf.DUMMYFUNCTION("""COMPUTED_VALUE"""),"Loại biên")</f>
        <v>Loại biên</v>
      </c>
    </row>
    <row r="2012" customHeight="1" spans="1:12">
      <c r="A2012" s="1076" t="str">
        <f>IFERROR(__xludf.DUMMYFUNCTION("""COMPUTED_VALUE"""),"XD3-MPC-024")</f>
        <v>XD3-MPC-024</v>
      </c>
      <c r="B2012" s="1075" t="str">
        <f>IFERROR(__xludf.DUMMYFUNCTION("""COMPUTED_VALUE"""),"Máy phát cỏ 4 thì")</f>
        <v>Máy phát cỏ 4 thì</v>
      </c>
      <c r="C2012" s="1076" t="str">
        <f>IFERROR(__xludf.DUMMYFUNCTION("""COMPUTED_VALUE"""),"Loại biên")</f>
        <v>Loại biên</v>
      </c>
      <c r="D2012" s="1076" t="str">
        <f>IFERROR(__xludf.DUMMYFUNCTION("""COMPUTED_VALUE"""),"HINOTA")</f>
        <v>HINOTA</v>
      </c>
      <c r="E2012" s="1076" t="str">
        <f>IFERROR(__xludf.DUMMYFUNCTION("""COMPUTED_VALUE"""),"Trung Quốc")</f>
        <v>Trung Quốc</v>
      </c>
      <c r="F2012" s="1076"/>
      <c r="G2012" s="1076" t="str">
        <f>IFERROR(__xludf.DUMMYFUNCTION("""COMPUTED_VALUE"""),"CG435")</f>
        <v>CG435</v>
      </c>
      <c r="H2012" s="1076" t="str">
        <f>IFERROR(__xludf.DUMMYFUNCTION("""COMPUTED_VALUE"""),"1.2HP")</f>
        <v>1.2HP</v>
      </c>
      <c r="I2012" s="1076"/>
      <c r="J2012" s="1076"/>
      <c r="K2012" s="1076">
        <f>IFERROR(__xludf.DUMMYFUNCTION("""COMPUTED_VALUE"""),0.5)</f>
        <v>0.5</v>
      </c>
      <c r="L2012" s="1076" t="str">
        <f>IFERROR(__xludf.DUMMYFUNCTION("""COMPUTED_VALUE"""),"Loại biên")</f>
        <v>Loại biên</v>
      </c>
    </row>
    <row r="2013" customHeight="1" spans="1:12">
      <c r="A2013" s="1076" t="str">
        <f>IFERROR(__xludf.DUMMYFUNCTION("""COMPUTED_VALUE"""),"XD3-MPC-025")</f>
        <v>XD3-MPC-025</v>
      </c>
      <c r="B2013" s="1075" t="str">
        <f>IFERROR(__xludf.DUMMYFUNCTION("""COMPUTED_VALUE"""),"Máy phát cỏ 4 thì")</f>
        <v>Máy phát cỏ 4 thì</v>
      </c>
      <c r="C2013" s="1076" t="str">
        <f>IFERROR(__xludf.DUMMYFUNCTION("""COMPUTED_VALUE"""),"Loại biên")</f>
        <v>Loại biên</v>
      </c>
      <c r="D2013" s="1076" t="str">
        <f>IFERROR(__xludf.DUMMYFUNCTION("""COMPUTED_VALUE"""),"HINOTA")</f>
        <v>HINOTA</v>
      </c>
      <c r="E2013" s="1076" t="str">
        <f>IFERROR(__xludf.DUMMYFUNCTION("""COMPUTED_VALUE"""),"Trung Quốc")</f>
        <v>Trung Quốc</v>
      </c>
      <c r="F2013" s="1076"/>
      <c r="G2013" s="1076" t="str">
        <f>IFERROR(__xludf.DUMMYFUNCTION("""COMPUTED_VALUE"""),"CG435")</f>
        <v>CG435</v>
      </c>
      <c r="H2013" s="1076" t="str">
        <f>IFERROR(__xludf.DUMMYFUNCTION("""COMPUTED_VALUE"""),"1.2HP")</f>
        <v>1.2HP</v>
      </c>
      <c r="I2013" s="1076"/>
      <c r="J2013" s="1076"/>
      <c r="K2013" s="1076">
        <f>IFERROR(__xludf.DUMMYFUNCTION("""COMPUTED_VALUE"""),0.5)</f>
        <v>0.5</v>
      </c>
      <c r="L2013" s="1076" t="str">
        <f>IFERROR(__xludf.DUMMYFUNCTION("""COMPUTED_VALUE"""),"Loại biên")</f>
        <v>Loại biên</v>
      </c>
    </row>
    <row r="2014" customHeight="1" spans="1:12">
      <c r="A2014" s="1076" t="str">
        <f>IFERROR(__xludf.DUMMYFUNCTION("""COMPUTED_VALUE"""),"XD2-MPC-006")</f>
        <v>XD2-MPC-006</v>
      </c>
      <c r="B2014" s="1075" t="str">
        <f>IFERROR(__xludf.DUMMYFUNCTION("""COMPUTED_VALUE"""),"Máy phát cỏ 4 thì")</f>
        <v>Máy phát cỏ 4 thì</v>
      </c>
      <c r="C2014" s="1076" t="str">
        <f>IFERROR(__xludf.DUMMYFUNCTION("""COMPUTED_VALUE"""),"Loại biên")</f>
        <v>Loại biên</v>
      </c>
      <c r="D2014" s="1076" t="str">
        <f>IFERROR(__xludf.DUMMYFUNCTION("""COMPUTED_VALUE"""),"HINOTA")</f>
        <v>HINOTA</v>
      </c>
      <c r="E2014" s="1076" t="str">
        <f>IFERROR(__xludf.DUMMYFUNCTION("""COMPUTED_VALUE"""),"Trung Quốc")</f>
        <v>Trung Quốc</v>
      </c>
      <c r="F2014" s="1076"/>
      <c r="G2014" s="1076" t="str">
        <f>IFERROR(__xludf.DUMMYFUNCTION("""COMPUTED_VALUE"""),"CG435")</f>
        <v>CG435</v>
      </c>
      <c r="H2014" s="1076" t="str">
        <f>IFERROR(__xludf.DUMMYFUNCTION("""COMPUTED_VALUE"""),"1.2HP")</f>
        <v>1.2HP</v>
      </c>
      <c r="I2014" s="1076"/>
      <c r="J2014" s="1076"/>
      <c r="K2014" s="1076">
        <f>IFERROR(__xludf.DUMMYFUNCTION("""COMPUTED_VALUE"""),0.5)</f>
        <v>0.5</v>
      </c>
      <c r="L2014" s="1076" t="str">
        <f>IFERROR(__xludf.DUMMYFUNCTION("""COMPUTED_VALUE"""),"Loại biên")</f>
        <v>Loại biên</v>
      </c>
    </row>
    <row r="2015" customHeight="1" spans="1:12">
      <c r="A2015" s="1076" t="str">
        <f>IFERROR(__xludf.DUMMYFUNCTION("""COMPUTED_VALUE"""),"XD2-MPC-007")</f>
        <v>XD2-MPC-007</v>
      </c>
      <c r="B2015" s="1075" t="str">
        <f>IFERROR(__xludf.DUMMYFUNCTION("""COMPUTED_VALUE"""),"Máy phát cỏ 4 thì")</f>
        <v>Máy phát cỏ 4 thì</v>
      </c>
      <c r="C2015" s="1076" t="str">
        <f>IFERROR(__xludf.DUMMYFUNCTION("""COMPUTED_VALUE"""),"Loại biên")</f>
        <v>Loại biên</v>
      </c>
      <c r="D2015" s="1076" t="str">
        <f>IFERROR(__xludf.DUMMYFUNCTION("""COMPUTED_VALUE"""),"HINOTA")</f>
        <v>HINOTA</v>
      </c>
      <c r="E2015" s="1076" t="str">
        <f>IFERROR(__xludf.DUMMYFUNCTION("""COMPUTED_VALUE"""),"Trung Quốc")</f>
        <v>Trung Quốc</v>
      </c>
      <c r="F2015" s="1076"/>
      <c r="G2015" s="1076" t="str">
        <f>IFERROR(__xludf.DUMMYFUNCTION("""COMPUTED_VALUE"""),"CG435")</f>
        <v>CG435</v>
      </c>
      <c r="H2015" s="1076" t="str">
        <f>IFERROR(__xludf.DUMMYFUNCTION("""COMPUTED_VALUE"""),"1.2HP")</f>
        <v>1.2HP</v>
      </c>
      <c r="I2015" s="1076"/>
      <c r="J2015" s="1076"/>
      <c r="K2015" s="1076">
        <f>IFERROR(__xludf.DUMMYFUNCTION("""COMPUTED_VALUE"""),0.5)</f>
        <v>0.5</v>
      </c>
      <c r="L2015" s="1076" t="str">
        <f>IFERROR(__xludf.DUMMYFUNCTION("""COMPUTED_VALUE"""),"Loại biên")</f>
        <v>Loại biên</v>
      </c>
    </row>
    <row r="2016" customHeight="1" spans="1:12">
      <c r="A2016" s="1076" t="str">
        <f>IFERROR(__xludf.DUMMYFUNCTION("""COMPUTED_VALUE"""),"XD2-MPC-008")</f>
        <v>XD2-MPC-008</v>
      </c>
      <c r="B2016" s="1075" t="str">
        <f>IFERROR(__xludf.DUMMYFUNCTION("""COMPUTED_VALUE"""),"Máy phát cỏ 4 thì")</f>
        <v>Máy phát cỏ 4 thì</v>
      </c>
      <c r="C2016" s="1076" t="str">
        <f>IFERROR(__xludf.DUMMYFUNCTION("""COMPUTED_VALUE"""),"Loại biên")</f>
        <v>Loại biên</v>
      </c>
      <c r="D2016" s="1076" t="str">
        <f>IFERROR(__xludf.DUMMYFUNCTION("""COMPUTED_VALUE"""),"HINOTA")</f>
        <v>HINOTA</v>
      </c>
      <c r="E2016" s="1076" t="str">
        <f>IFERROR(__xludf.DUMMYFUNCTION("""COMPUTED_VALUE"""),"Trung Quốc")</f>
        <v>Trung Quốc</v>
      </c>
      <c r="F2016" s="1076"/>
      <c r="G2016" s="1076" t="str">
        <f>IFERROR(__xludf.DUMMYFUNCTION("""COMPUTED_VALUE"""),"CG435")</f>
        <v>CG435</v>
      </c>
      <c r="H2016" s="1076" t="str">
        <f>IFERROR(__xludf.DUMMYFUNCTION("""COMPUTED_VALUE"""),"1.2HP")</f>
        <v>1.2HP</v>
      </c>
      <c r="I2016" s="1076"/>
      <c r="J2016" s="1076"/>
      <c r="K2016" s="1076">
        <f>IFERROR(__xludf.DUMMYFUNCTION("""COMPUTED_VALUE"""),0.5)</f>
        <v>0.5</v>
      </c>
      <c r="L2016" s="1076" t="str">
        <f>IFERROR(__xludf.DUMMYFUNCTION("""COMPUTED_VALUE"""),"Loại biên")</f>
        <v>Loại biên</v>
      </c>
    </row>
    <row r="2017" customHeight="1" spans="1:12">
      <c r="A2017" s="1076" t="str">
        <f>IFERROR(__xludf.DUMMYFUNCTION("""COMPUTED_VALUE"""),"XD2-MPC-010")</f>
        <v>XD2-MPC-010</v>
      </c>
      <c r="B2017" s="1075" t="str">
        <f>IFERROR(__xludf.DUMMYFUNCTION("""COMPUTED_VALUE"""),"Máy phát cỏ 4 thì")</f>
        <v>Máy phát cỏ 4 thì</v>
      </c>
      <c r="C2017" s="1076" t="str">
        <f>IFERROR(__xludf.DUMMYFUNCTION("""COMPUTED_VALUE"""),"Loại biên")</f>
        <v>Loại biên</v>
      </c>
      <c r="D2017" s="1076" t="str">
        <f>IFERROR(__xludf.DUMMYFUNCTION("""COMPUTED_VALUE"""),"HINOTA")</f>
        <v>HINOTA</v>
      </c>
      <c r="E2017" s="1076" t="str">
        <f>IFERROR(__xludf.DUMMYFUNCTION("""COMPUTED_VALUE"""),"Trung Quốc")</f>
        <v>Trung Quốc</v>
      </c>
      <c r="F2017" s="1076"/>
      <c r="G2017" s="1076" t="str">
        <f>IFERROR(__xludf.DUMMYFUNCTION("""COMPUTED_VALUE"""),"CG435")</f>
        <v>CG435</v>
      </c>
      <c r="H2017" s="1076" t="str">
        <f>IFERROR(__xludf.DUMMYFUNCTION("""COMPUTED_VALUE"""),"1.2HP")</f>
        <v>1.2HP</v>
      </c>
      <c r="I2017" s="1076"/>
      <c r="J2017" s="1076"/>
      <c r="K2017" s="1076">
        <f>IFERROR(__xludf.DUMMYFUNCTION("""COMPUTED_VALUE"""),0.5)</f>
        <v>0.5</v>
      </c>
      <c r="L2017" s="1076" t="str">
        <f>IFERROR(__xludf.DUMMYFUNCTION("""COMPUTED_VALUE"""),"Loại biên")</f>
        <v>Loại biên</v>
      </c>
    </row>
    <row r="2018" customHeight="1" spans="1:12">
      <c r="A2018" s="1076" t="str">
        <f>IFERROR(__xludf.DUMMYFUNCTION("""COMPUTED_VALUE"""),"XD2-MPC-017")</f>
        <v>XD2-MPC-017</v>
      </c>
      <c r="B2018" s="1075" t="str">
        <f>IFERROR(__xludf.DUMMYFUNCTION("""COMPUTED_VALUE"""),"Máy phát cỏ 4 thì")</f>
        <v>Máy phát cỏ 4 thì</v>
      </c>
      <c r="C2018" s="1076" t="str">
        <f>IFERROR(__xludf.DUMMYFUNCTION("""COMPUTED_VALUE"""),"Loại biên")</f>
        <v>Loại biên</v>
      </c>
      <c r="D2018" s="1076" t="str">
        <f>IFERROR(__xludf.DUMMYFUNCTION("""COMPUTED_VALUE"""),"HINOTA")</f>
        <v>HINOTA</v>
      </c>
      <c r="E2018" s="1076" t="str">
        <f>IFERROR(__xludf.DUMMYFUNCTION("""COMPUTED_VALUE"""),"Trung Quốc")</f>
        <v>Trung Quốc</v>
      </c>
      <c r="F2018" s="1076"/>
      <c r="G2018" s="1076" t="str">
        <f>IFERROR(__xludf.DUMMYFUNCTION("""COMPUTED_VALUE"""),"CG435")</f>
        <v>CG435</v>
      </c>
      <c r="H2018" s="1076" t="str">
        <f>IFERROR(__xludf.DUMMYFUNCTION("""COMPUTED_VALUE"""),"1.2HP")</f>
        <v>1.2HP</v>
      </c>
      <c r="I2018" s="1076"/>
      <c r="J2018" s="1076"/>
      <c r="K2018" s="1076">
        <f>IFERROR(__xludf.DUMMYFUNCTION("""COMPUTED_VALUE"""),0.5)</f>
        <v>0.5</v>
      </c>
      <c r="L2018" s="1076" t="str">
        <f>IFERROR(__xludf.DUMMYFUNCTION("""COMPUTED_VALUE"""),"Loại biên")</f>
        <v>Loại biên</v>
      </c>
    </row>
    <row r="2019" customHeight="1" spans="1:12">
      <c r="A2019" s="1076" t="str">
        <f>IFERROR(__xludf.DUMMYFUNCTION("""COMPUTED_VALUE"""),"XD2-MPC-021")</f>
        <v>XD2-MPC-021</v>
      </c>
      <c r="B2019" s="1075" t="str">
        <f>IFERROR(__xludf.DUMMYFUNCTION("""COMPUTED_VALUE"""),"Máy phát cỏ 4 thì")</f>
        <v>Máy phát cỏ 4 thì</v>
      </c>
      <c r="C2019" s="1076" t="str">
        <f>IFERROR(__xludf.DUMMYFUNCTION("""COMPUTED_VALUE"""),"Loại biên")</f>
        <v>Loại biên</v>
      </c>
      <c r="D2019" s="1076" t="str">
        <f>IFERROR(__xludf.DUMMYFUNCTION("""COMPUTED_VALUE"""),"HINOTA")</f>
        <v>HINOTA</v>
      </c>
      <c r="E2019" s="1076" t="str">
        <f>IFERROR(__xludf.DUMMYFUNCTION("""COMPUTED_VALUE"""),"Trung Quốc")</f>
        <v>Trung Quốc</v>
      </c>
      <c r="F2019" s="1076"/>
      <c r="G2019" s="1076" t="str">
        <f>IFERROR(__xludf.DUMMYFUNCTION("""COMPUTED_VALUE"""),"CG435")</f>
        <v>CG435</v>
      </c>
      <c r="H2019" s="1076" t="str">
        <f>IFERROR(__xludf.DUMMYFUNCTION("""COMPUTED_VALUE"""),"1.2HP")</f>
        <v>1.2HP</v>
      </c>
      <c r="I2019" s="1076"/>
      <c r="J2019" s="1076"/>
      <c r="K2019" s="1076">
        <f>IFERROR(__xludf.DUMMYFUNCTION("""COMPUTED_VALUE"""),0.5)</f>
        <v>0.5</v>
      </c>
      <c r="L2019" s="1076" t="str">
        <f>IFERROR(__xludf.DUMMYFUNCTION("""COMPUTED_VALUE"""),"Loại biên")</f>
        <v>Loại biên</v>
      </c>
    </row>
    <row r="2020" customHeight="1" spans="1:12">
      <c r="A2020" s="1076" t="str">
        <f>IFERROR(__xludf.DUMMYFUNCTION("""COMPUTED_VALUE"""),"XD1-MPC-006")</f>
        <v>XD1-MPC-006</v>
      </c>
      <c r="B2020" s="1075" t="str">
        <f>IFERROR(__xludf.DUMMYFUNCTION("""COMPUTED_VALUE"""),"Máy phát cỏ 4 thì")</f>
        <v>Máy phát cỏ 4 thì</v>
      </c>
      <c r="C2020" s="1076" t="str">
        <f>IFERROR(__xludf.DUMMYFUNCTION("""COMPUTED_VALUE"""),"Loại biên")</f>
        <v>Loại biên</v>
      </c>
      <c r="D2020" s="1076" t="str">
        <f>IFERROR(__xludf.DUMMYFUNCTION("""COMPUTED_VALUE"""),"HINOTA")</f>
        <v>HINOTA</v>
      </c>
      <c r="E2020" s="1076" t="str">
        <f>IFERROR(__xludf.DUMMYFUNCTION("""COMPUTED_VALUE"""),"Trung Quốc")</f>
        <v>Trung Quốc</v>
      </c>
      <c r="F2020" s="1076"/>
      <c r="G2020" s="1076" t="str">
        <f>IFERROR(__xludf.DUMMYFUNCTION("""COMPUTED_VALUE"""),"CG435")</f>
        <v>CG435</v>
      </c>
      <c r="H2020" s="1076" t="str">
        <f>IFERROR(__xludf.DUMMYFUNCTION("""COMPUTED_VALUE"""),"1.2HP")</f>
        <v>1.2HP</v>
      </c>
      <c r="I2020" s="1076"/>
      <c r="J2020" s="1076"/>
      <c r="K2020" s="1076">
        <f>IFERROR(__xludf.DUMMYFUNCTION("""COMPUTED_VALUE"""),0.5)</f>
        <v>0.5</v>
      </c>
      <c r="L2020" s="1076" t="str">
        <f>IFERROR(__xludf.DUMMYFUNCTION("""COMPUTED_VALUE"""),"Loại biên")</f>
        <v>Loại biên</v>
      </c>
    </row>
    <row r="2021" customHeight="1" spans="1:12">
      <c r="A2021" s="1076" t="str">
        <f>IFERROR(__xludf.DUMMYFUNCTION("""COMPUTED_VALUE"""),"XD1-MPC-007")</f>
        <v>XD1-MPC-007</v>
      </c>
      <c r="B2021" s="1075" t="str">
        <f>IFERROR(__xludf.DUMMYFUNCTION("""COMPUTED_VALUE"""),"Máy phát cỏ 4 thì")</f>
        <v>Máy phát cỏ 4 thì</v>
      </c>
      <c r="C2021" s="1076" t="str">
        <f>IFERROR(__xludf.DUMMYFUNCTION("""COMPUTED_VALUE"""),"Loại biên")</f>
        <v>Loại biên</v>
      </c>
      <c r="D2021" s="1076" t="str">
        <f>IFERROR(__xludf.DUMMYFUNCTION("""COMPUTED_VALUE"""),"HINOTA")</f>
        <v>HINOTA</v>
      </c>
      <c r="E2021" s="1076" t="str">
        <f>IFERROR(__xludf.DUMMYFUNCTION("""COMPUTED_VALUE"""),"Trung Quốc")</f>
        <v>Trung Quốc</v>
      </c>
      <c r="F2021" s="1076"/>
      <c r="G2021" s="1076" t="str">
        <f>IFERROR(__xludf.DUMMYFUNCTION("""COMPUTED_VALUE"""),"CG435")</f>
        <v>CG435</v>
      </c>
      <c r="H2021" s="1076" t="str">
        <f>IFERROR(__xludf.DUMMYFUNCTION("""COMPUTED_VALUE"""),"1.2HP")</f>
        <v>1.2HP</v>
      </c>
      <c r="I2021" s="1076"/>
      <c r="J2021" s="1076"/>
      <c r="K2021" s="1076">
        <f>IFERROR(__xludf.DUMMYFUNCTION("""COMPUTED_VALUE"""),0.5)</f>
        <v>0.5</v>
      </c>
      <c r="L2021" s="1076" t="str">
        <f>IFERROR(__xludf.DUMMYFUNCTION("""COMPUTED_VALUE"""),"Loại biên")</f>
        <v>Loại biên</v>
      </c>
    </row>
    <row r="2022" customHeight="1" spans="1:12">
      <c r="A2022" s="1076" t="str">
        <f>IFERROR(__xludf.DUMMYFUNCTION("""COMPUTED_VALUE"""),"XD1-MPC-008")</f>
        <v>XD1-MPC-008</v>
      </c>
      <c r="B2022" s="1075" t="str">
        <f>IFERROR(__xludf.DUMMYFUNCTION("""COMPUTED_VALUE"""),"Máy phát cỏ 4 thì")</f>
        <v>Máy phát cỏ 4 thì</v>
      </c>
      <c r="C2022" s="1076" t="str">
        <f>IFERROR(__xludf.DUMMYFUNCTION("""COMPUTED_VALUE"""),"Loại biên")</f>
        <v>Loại biên</v>
      </c>
      <c r="D2022" s="1076" t="str">
        <f>IFERROR(__xludf.DUMMYFUNCTION("""COMPUTED_VALUE"""),"HINOTA")</f>
        <v>HINOTA</v>
      </c>
      <c r="E2022" s="1076" t="str">
        <f>IFERROR(__xludf.DUMMYFUNCTION("""COMPUTED_VALUE"""),"Trung Quốc")</f>
        <v>Trung Quốc</v>
      </c>
      <c r="F2022" s="1076"/>
      <c r="G2022" s="1076" t="str">
        <f>IFERROR(__xludf.DUMMYFUNCTION("""COMPUTED_VALUE"""),"CG435")</f>
        <v>CG435</v>
      </c>
      <c r="H2022" s="1076" t="str">
        <f>IFERROR(__xludf.DUMMYFUNCTION("""COMPUTED_VALUE"""),"1.2HP")</f>
        <v>1.2HP</v>
      </c>
      <c r="I2022" s="1076"/>
      <c r="J2022" s="1076"/>
      <c r="K2022" s="1076">
        <f>IFERROR(__xludf.DUMMYFUNCTION("""COMPUTED_VALUE"""),0.5)</f>
        <v>0.5</v>
      </c>
      <c r="L2022" s="1076" t="str">
        <f>IFERROR(__xludf.DUMMYFUNCTION("""COMPUTED_VALUE"""),"Loại biên")</f>
        <v>Loại biên</v>
      </c>
    </row>
    <row r="2023" customHeight="1" spans="1:12">
      <c r="A2023" s="1076" t="str">
        <f>IFERROR(__xludf.DUMMYFUNCTION("""COMPUTED_VALUE"""),"XD1-MPC-009")</f>
        <v>XD1-MPC-009</v>
      </c>
      <c r="B2023" s="1075" t="str">
        <f>IFERROR(__xludf.DUMMYFUNCTION("""COMPUTED_VALUE"""),"Máy phát cỏ 4 thì")</f>
        <v>Máy phát cỏ 4 thì</v>
      </c>
      <c r="C2023" s="1076" t="str">
        <f>IFERROR(__xludf.DUMMYFUNCTION("""COMPUTED_VALUE"""),"Loại biên")</f>
        <v>Loại biên</v>
      </c>
      <c r="D2023" s="1076" t="str">
        <f>IFERROR(__xludf.DUMMYFUNCTION("""COMPUTED_VALUE"""),"HINOTA")</f>
        <v>HINOTA</v>
      </c>
      <c r="E2023" s="1076" t="str">
        <f>IFERROR(__xludf.DUMMYFUNCTION("""COMPUTED_VALUE"""),"Trung Quốc")</f>
        <v>Trung Quốc</v>
      </c>
      <c r="F2023" s="1076"/>
      <c r="G2023" s="1076" t="str">
        <f>IFERROR(__xludf.DUMMYFUNCTION("""COMPUTED_VALUE"""),"CG435")</f>
        <v>CG435</v>
      </c>
      <c r="H2023" s="1076" t="str">
        <f>IFERROR(__xludf.DUMMYFUNCTION("""COMPUTED_VALUE"""),"1.2HP")</f>
        <v>1.2HP</v>
      </c>
      <c r="I2023" s="1076"/>
      <c r="J2023" s="1076"/>
      <c r="K2023" s="1076">
        <f>IFERROR(__xludf.DUMMYFUNCTION("""COMPUTED_VALUE"""),0.5)</f>
        <v>0.5</v>
      </c>
      <c r="L2023" s="1076" t="str">
        <f>IFERROR(__xludf.DUMMYFUNCTION("""COMPUTED_VALUE"""),"Loại biên")</f>
        <v>Loại biên</v>
      </c>
    </row>
    <row r="2024" customHeight="1" spans="1:12">
      <c r="A2024" s="1076" t="str">
        <f>IFERROR(__xludf.DUMMYFUNCTION("""COMPUTED_VALUE"""),"XD1-MPC-010")</f>
        <v>XD1-MPC-010</v>
      </c>
      <c r="B2024" s="1075" t="str">
        <f>IFERROR(__xludf.DUMMYFUNCTION("""COMPUTED_VALUE"""),"Máy phát cỏ 4 thì")</f>
        <v>Máy phát cỏ 4 thì</v>
      </c>
      <c r="C2024" s="1076" t="str">
        <f>IFERROR(__xludf.DUMMYFUNCTION("""COMPUTED_VALUE"""),"Loại biên")</f>
        <v>Loại biên</v>
      </c>
      <c r="D2024" s="1076" t="str">
        <f>IFERROR(__xludf.DUMMYFUNCTION("""COMPUTED_VALUE"""),"HINOTA")</f>
        <v>HINOTA</v>
      </c>
      <c r="E2024" s="1076" t="str">
        <f>IFERROR(__xludf.DUMMYFUNCTION("""COMPUTED_VALUE"""),"Trung Quốc")</f>
        <v>Trung Quốc</v>
      </c>
      <c r="F2024" s="1076"/>
      <c r="G2024" s="1076" t="str">
        <f>IFERROR(__xludf.DUMMYFUNCTION("""COMPUTED_VALUE"""),"CG435")</f>
        <v>CG435</v>
      </c>
      <c r="H2024" s="1076" t="str">
        <f>IFERROR(__xludf.DUMMYFUNCTION("""COMPUTED_VALUE"""),"1.2HP")</f>
        <v>1.2HP</v>
      </c>
      <c r="I2024" s="1076"/>
      <c r="J2024" s="1076"/>
      <c r="K2024" s="1076">
        <f>IFERROR(__xludf.DUMMYFUNCTION("""COMPUTED_VALUE"""),0.5)</f>
        <v>0.5</v>
      </c>
      <c r="L2024" s="1076" t="str">
        <f>IFERROR(__xludf.DUMMYFUNCTION("""COMPUTED_VALUE"""),"Loại biên")</f>
        <v>Loại biên</v>
      </c>
    </row>
    <row r="2025" customHeight="1" spans="1:12">
      <c r="A2025" s="1076" t="str">
        <f>IFERROR(__xludf.DUMMYFUNCTION("""COMPUTED_VALUE"""),"XD1-MPC-012")</f>
        <v>XD1-MPC-012</v>
      </c>
      <c r="B2025" s="1075" t="str">
        <f>IFERROR(__xludf.DUMMYFUNCTION("""COMPUTED_VALUE"""),"Máy phát cỏ 4 thì")</f>
        <v>Máy phát cỏ 4 thì</v>
      </c>
      <c r="C2025" s="1076" t="str">
        <f>IFERROR(__xludf.DUMMYFUNCTION("""COMPUTED_VALUE"""),"Loại biên")</f>
        <v>Loại biên</v>
      </c>
      <c r="D2025" s="1076" t="str">
        <f>IFERROR(__xludf.DUMMYFUNCTION("""COMPUTED_VALUE"""),"HINOTA")</f>
        <v>HINOTA</v>
      </c>
      <c r="E2025" s="1076" t="str">
        <f>IFERROR(__xludf.DUMMYFUNCTION("""COMPUTED_VALUE"""),"Trung Quốc")</f>
        <v>Trung Quốc</v>
      </c>
      <c r="F2025" s="1076"/>
      <c r="G2025" s="1076" t="str">
        <f>IFERROR(__xludf.DUMMYFUNCTION("""COMPUTED_VALUE"""),"CG435")</f>
        <v>CG435</v>
      </c>
      <c r="H2025" s="1076" t="str">
        <f>IFERROR(__xludf.DUMMYFUNCTION("""COMPUTED_VALUE"""),"1.2HP")</f>
        <v>1.2HP</v>
      </c>
      <c r="I2025" s="1076"/>
      <c r="J2025" s="1076"/>
      <c r="K2025" s="1076">
        <f>IFERROR(__xludf.DUMMYFUNCTION("""COMPUTED_VALUE"""),0.5)</f>
        <v>0.5</v>
      </c>
      <c r="L2025" s="1076" t="str">
        <f>IFERROR(__xludf.DUMMYFUNCTION("""COMPUTED_VALUE"""),"Loại biên")</f>
        <v>Loại biên</v>
      </c>
    </row>
    <row r="2026" customHeight="1" spans="1:12">
      <c r="A2026" s="1076" t="str">
        <f>IFERROR(__xludf.DUMMYFUNCTION("""COMPUTED_VALUE"""),"XD1-MPC-013")</f>
        <v>XD1-MPC-013</v>
      </c>
      <c r="B2026" s="1075" t="str">
        <f>IFERROR(__xludf.DUMMYFUNCTION("""COMPUTED_VALUE"""),"Máy phát cỏ 4 thì")</f>
        <v>Máy phát cỏ 4 thì</v>
      </c>
      <c r="C2026" s="1076" t="str">
        <f>IFERROR(__xludf.DUMMYFUNCTION("""COMPUTED_VALUE"""),"Loại biên")</f>
        <v>Loại biên</v>
      </c>
      <c r="D2026" s="1076" t="str">
        <f>IFERROR(__xludf.DUMMYFUNCTION("""COMPUTED_VALUE"""),"HINOTA")</f>
        <v>HINOTA</v>
      </c>
      <c r="E2026" s="1076" t="str">
        <f>IFERROR(__xludf.DUMMYFUNCTION("""COMPUTED_VALUE"""),"Trung Quốc")</f>
        <v>Trung Quốc</v>
      </c>
      <c r="F2026" s="1076"/>
      <c r="G2026" s="1076" t="str">
        <f>IFERROR(__xludf.DUMMYFUNCTION("""COMPUTED_VALUE"""),"CG435")</f>
        <v>CG435</v>
      </c>
      <c r="H2026" s="1076" t="str">
        <f>IFERROR(__xludf.DUMMYFUNCTION("""COMPUTED_VALUE"""),"1.2HP")</f>
        <v>1.2HP</v>
      </c>
      <c r="I2026" s="1076"/>
      <c r="J2026" s="1076"/>
      <c r="K2026" s="1076">
        <f>IFERROR(__xludf.DUMMYFUNCTION("""COMPUTED_VALUE"""),0.5)</f>
        <v>0.5</v>
      </c>
      <c r="L2026" s="1076" t="str">
        <f>IFERROR(__xludf.DUMMYFUNCTION("""COMPUTED_VALUE"""),"Loại biên")</f>
        <v>Loại biên</v>
      </c>
    </row>
    <row r="2027" customHeight="1" spans="1:12">
      <c r="A2027" s="1076" t="str">
        <f>IFERROR(__xludf.DUMMYFUNCTION("""COMPUTED_VALUE"""),"XD1-MPC-014")</f>
        <v>XD1-MPC-014</v>
      </c>
      <c r="B2027" s="1075" t="str">
        <f>IFERROR(__xludf.DUMMYFUNCTION("""COMPUTED_VALUE"""),"Máy phát cỏ 4 thì")</f>
        <v>Máy phát cỏ 4 thì</v>
      </c>
      <c r="C2027" s="1076" t="str">
        <f>IFERROR(__xludf.DUMMYFUNCTION("""COMPUTED_VALUE"""),"Loại biên")</f>
        <v>Loại biên</v>
      </c>
      <c r="D2027" s="1076" t="str">
        <f>IFERROR(__xludf.DUMMYFUNCTION("""COMPUTED_VALUE"""),"HINOTA")</f>
        <v>HINOTA</v>
      </c>
      <c r="E2027" s="1076" t="str">
        <f>IFERROR(__xludf.DUMMYFUNCTION("""COMPUTED_VALUE"""),"Trung Quốc")</f>
        <v>Trung Quốc</v>
      </c>
      <c r="F2027" s="1076"/>
      <c r="G2027" s="1076" t="str">
        <f>IFERROR(__xludf.DUMMYFUNCTION("""COMPUTED_VALUE"""),"CG435")</f>
        <v>CG435</v>
      </c>
      <c r="H2027" s="1076" t="str">
        <f>IFERROR(__xludf.DUMMYFUNCTION("""COMPUTED_VALUE"""),"1.2HP")</f>
        <v>1.2HP</v>
      </c>
      <c r="I2027" s="1076"/>
      <c r="J2027" s="1076"/>
      <c r="K2027" s="1076">
        <f>IFERROR(__xludf.DUMMYFUNCTION("""COMPUTED_VALUE"""),0.5)</f>
        <v>0.5</v>
      </c>
      <c r="L2027" s="1076" t="str">
        <f>IFERROR(__xludf.DUMMYFUNCTION("""COMPUTED_VALUE"""),"Loại biên")</f>
        <v>Loại biên</v>
      </c>
    </row>
    <row r="2028" customHeight="1" spans="1:12">
      <c r="A2028" s="1076" t="str">
        <f>IFERROR(__xludf.DUMMYFUNCTION("""COMPUTED_VALUE"""),"XD1-MPC-015")</f>
        <v>XD1-MPC-015</v>
      </c>
      <c r="B2028" s="1075" t="str">
        <f>IFERROR(__xludf.DUMMYFUNCTION("""COMPUTED_VALUE"""),"Máy phát cỏ 4 thì")</f>
        <v>Máy phát cỏ 4 thì</v>
      </c>
      <c r="C2028" s="1076" t="str">
        <f>IFERROR(__xludf.DUMMYFUNCTION("""COMPUTED_VALUE"""),"Loại biên")</f>
        <v>Loại biên</v>
      </c>
      <c r="D2028" s="1076" t="str">
        <f>IFERROR(__xludf.DUMMYFUNCTION("""COMPUTED_VALUE"""),"HINOTA")</f>
        <v>HINOTA</v>
      </c>
      <c r="E2028" s="1076" t="str">
        <f>IFERROR(__xludf.DUMMYFUNCTION("""COMPUTED_VALUE"""),"Trung Quốc")</f>
        <v>Trung Quốc</v>
      </c>
      <c r="F2028" s="1076"/>
      <c r="G2028" s="1076" t="str">
        <f>IFERROR(__xludf.DUMMYFUNCTION("""COMPUTED_VALUE"""),"CG435")</f>
        <v>CG435</v>
      </c>
      <c r="H2028" s="1076" t="str">
        <f>IFERROR(__xludf.DUMMYFUNCTION("""COMPUTED_VALUE"""),"1.2HP")</f>
        <v>1.2HP</v>
      </c>
      <c r="I2028" s="1076"/>
      <c r="J2028" s="1076"/>
      <c r="K2028" s="1076">
        <f>IFERROR(__xludf.DUMMYFUNCTION("""COMPUTED_VALUE"""),0.5)</f>
        <v>0.5</v>
      </c>
      <c r="L2028" s="1076" t="str">
        <f>IFERROR(__xludf.DUMMYFUNCTION("""COMPUTED_VALUE"""),"Loại biên")</f>
        <v>Loại biên</v>
      </c>
    </row>
    <row r="2029" customHeight="1" spans="1:12">
      <c r="A2029" s="1076" t="str">
        <f>IFERROR(__xludf.DUMMYFUNCTION("""COMPUTED_VALUE"""),"XD1-MPC-016")</f>
        <v>XD1-MPC-016</v>
      </c>
      <c r="B2029" s="1075" t="str">
        <f>IFERROR(__xludf.DUMMYFUNCTION("""COMPUTED_VALUE"""),"Máy phát cỏ 4 thì")</f>
        <v>Máy phát cỏ 4 thì</v>
      </c>
      <c r="C2029" s="1076" t="str">
        <f>IFERROR(__xludf.DUMMYFUNCTION("""COMPUTED_VALUE"""),"Loại biên")</f>
        <v>Loại biên</v>
      </c>
      <c r="D2029" s="1076" t="str">
        <f>IFERROR(__xludf.DUMMYFUNCTION("""COMPUTED_VALUE"""),"HINOTA")</f>
        <v>HINOTA</v>
      </c>
      <c r="E2029" s="1076" t="str">
        <f>IFERROR(__xludf.DUMMYFUNCTION("""COMPUTED_VALUE"""),"Trung Quốc")</f>
        <v>Trung Quốc</v>
      </c>
      <c r="F2029" s="1076"/>
      <c r="G2029" s="1076" t="str">
        <f>IFERROR(__xludf.DUMMYFUNCTION("""COMPUTED_VALUE"""),"CG435")</f>
        <v>CG435</v>
      </c>
      <c r="H2029" s="1076" t="str">
        <f>IFERROR(__xludf.DUMMYFUNCTION("""COMPUTED_VALUE"""),"1.2HP")</f>
        <v>1.2HP</v>
      </c>
      <c r="I2029" s="1076"/>
      <c r="J2029" s="1076"/>
      <c r="K2029" s="1076">
        <f>IFERROR(__xludf.DUMMYFUNCTION("""COMPUTED_VALUE"""),0.5)</f>
        <v>0.5</v>
      </c>
      <c r="L2029" s="1076" t="str">
        <f>IFERROR(__xludf.DUMMYFUNCTION("""COMPUTED_VALUE"""),"Loại biên")</f>
        <v>Loại biên</v>
      </c>
    </row>
    <row r="2030" customHeight="1" spans="1:12">
      <c r="A2030" s="1076" t="str">
        <f>IFERROR(__xludf.DUMMYFUNCTION("""COMPUTED_VALUE"""),"XD1-MPC-020")</f>
        <v>XD1-MPC-020</v>
      </c>
      <c r="B2030" s="1075" t="str">
        <f>IFERROR(__xludf.DUMMYFUNCTION("""COMPUTED_VALUE"""),"Máy phát cỏ 4 thì")</f>
        <v>Máy phát cỏ 4 thì</v>
      </c>
      <c r="C2030" s="1076" t="str">
        <f>IFERROR(__xludf.DUMMYFUNCTION("""COMPUTED_VALUE"""),"Loại biên")</f>
        <v>Loại biên</v>
      </c>
      <c r="D2030" s="1076" t="str">
        <f>IFERROR(__xludf.DUMMYFUNCTION("""COMPUTED_VALUE"""),"HONDA")</f>
        <v>HONDA</v>
      </c>
      <c r="E2030" s="1076" t="str">
        <f>IFERROR(__xludf.DUMMYFUNCTION("""COMPUTED_VALUE"""),"Trung Quốc")</f>
        <v>Trung Quốc</v>
      </c>
      <c r="F2030" s="1076"/>
      <c r="G2030" s="1076" t="str">
        <f>IFERROR(__xludf.DUMMYFUNCTION("""COMPUTED_VALUE"""),"GX35")</f>
        <v>GX35</v>
      </c>
      <c r="H2030" s="1076" t="str">
        <f>IFERROR(__xludf.DUMMYFUNCTION("""COMPUTED_VALUE"""),"1.6HP")</f>
        <v>1.6HP</v>
      </c>
      <c r="I2030" s="1076" t="str">
        <f>IFERROR(__xludf.DUMMYFUNCTION("""COMPUTED_VALUE"""),"ZOZC1-1M-0511")</f>
        <v>ZOZC1-1M-0511</v>
      </c>
      <c r="J2030" s="1076"/>
      <c r="K2030" s="1076">
        <f>IFERROR(__xludf.DUMMYFUNCTION("""COMPUTED_VALUE"""),0.5)</f>
        <v>0.5</v>
      </c>
      <c r="L2030" s="1076" t="str">
        <f>IFERROR(__xludf.DUMMYFUNCTION("""COMPUTED_VALUE"""),"Loại biên")</f>
        <v>Loại biên</v>
      </c>
    </row>
    <row r="2031" customHeight="1" spans="1:12">
      <c r="A2031" s="1076" t="str">
        <f>IFERROR(__xludf.DUMMYFUNCTION("""COMPUTED_VALUE"""),"XD1-MPC-021")</f>
        <v>XD1-MPC-021</v>
      </c>
      <c r="B2031" s="1075" t="str">
        <f>IFERROR(__xludf.DUMMYFUNCTION("""COMPUTED_VALUE"""),"Máy phát cỏ 4 thì")</f>
        <v>Máy phát cỏ 4 thì</v>
      </c>
      <c r="C2031" s="1076" t="str">
        <f>IFERROR(__xludf.DUMMYFUNCTION("""COMPUTED_VALUE"""),"Loại biên")</f>
        <v>Loại biên</v>
      </c>
      <c r="D2031" s="1076" t="str">
        <f>IFERROR(__xludf.DUMMYFUNCTION("""COMPUTED_VALUE"""),"HONDA")</f>
        <v>HONDA</v>
      </c>
      <c r="E2031" s="1076" t="str">
        <f>IFERROR(__xludf.DUMMYFUNCTION("""COMPUTED_VALUE"""),"Trung Quốc")</f>
        <v>Trung Quốc</v>
      </c>
      <c r="F2031" s="1076"/>
      <c r="G2031" s="1076" t="str">
        <f>IFERROR(__xludf.DUMMYFUNCTION("""COMPUTED_VALUE"""),"GX35")</f>
        <v>GX35</v>
      </c>
      <c r="H2031" s="1076" t="str">
        <f>IFERROR(__xludf.DUMMYFUNCTION("""COMPUTED_VALUE"""),"1.6HP")</f>
        <v>1.6HP</v>
      </c>
      <c r="I2031" s="1076" t="str">
        <f>IFERROR(__xludf.DUMMYFUNCTION("""COMPUTED_VALUE"""),"ZOZC1-1M-0511")</f>
        <v>ZOZC1-1M-0511</v>
      </c>
      <c r="J2031" s="1076"/>
      <c r="K2031" s="1076">
        <f>IFERROR(__xludf.DUMMYFUNCTION("""COMPUTED_VALUE"""),0.5)</f>
        <v>0.5</v>
      </c>
      <c r="L2031" s="1076" t="str">
        <f>IFERROR(__xludf.DUMMYFUNCTION("""COMPUTED_VALUE"""),"Loại biên")</f>
        <v>Loại biên</v>
      </c>
    </row>
    <row r="2032" customHeight="1" spans="1:12">
      <c r="A2032" s="1076" t="str">
        <f>IFERROR(__xludf.DUMMYFUNCTION("""COMPUTED_VALUE"""),"XD1-MPC-022")</f>
        <v>XD1-MPC-022</v>
      </c>
      <c r="B2032" s="1075" t="str">
        <f>IFERROR(__xludf.DUMMYFUNCTION("""COMPUTED_VALUE"""),"Máy phát cỏ 4 thì")</f>
        <v>Máy phát cỏ 4 thì</v>
      </c>
      <c r="C2032" s="1076" t="str">
        <f>IFERROR(__xludf.DUMMYFUNCTION("""COMPUTED_VALUE"""),"Loại biên")</f>
        <v>Loại biên</v>
      </c>
      <c r="D2032" s="1076" t="str">
        <f>IFERROR(__xludf.DUMMYFUNCTION("""COMPUTED_VALUE"""),"HONDA")</f>
        <v>HONDA</v>
      </c>
      <c r="E2032" s="1076" t="str">
        <f>IFERROR(__xludf.DUMMYFUNCTION("""COMPUTED_VALUE"""),"Trung Quốc")</f>
        <v>Trung Quốc</v>
      </c>
      <c r="F2032" s="1076"/>
      <c r="G2032" s="1076" t="str">
        <f>IFERROR(__xludf.DUMMYFUNCTION("""COMPUTED_VALUE"""),"GX35")</f>
        <v>GX35</v>
      </c>
      <c r="H2032" s="1076" t="str">
        <f>IFERROR(__xludf.DUMMYFUNCTION("""COMPUTED_VALUE"""),"1.6HP")</f>
        <v>1.6HP</v>
      </c>
      <c r="I2032" s="1076" t="str">
        <f>IFERROR(__xludf.DUMMYFUNCTION("""COMPUTED_VALUE"""),"ZOZC1-1M-0511")</f>
        <v>ZOZC1-1M-0511</v>
      </c>
      <c r="J2032" s="1076"/>
      <c r="K2032" s="1076">
        <f>IFERROR(__xludf.DUMMYFUNCTION("""COMPUTED_VALUE"""),0.5)</f>
        <v>0.5</v>
      </c>
      <c r="L2032" s="1076" t="str">
        <f>IFERROR(__xludf.DUMMYFUNCTION("""COMPUTED_VALUE"""),"Loại biên")</f>
        <v>Loại biên</v>
      </c>
    </row>
    <row r="2033" customHeight="1" spans="1:12">
      <c r="A2033" s="1076" t="str">
        <f>IFERROR(__xludf.DUMMYFUNCTION("""COMPUTED_VALUE"""),"XD1-MPC-023")</f>
        <v>XD1-MPC-023</v>
      </c>
      <c r="B2033" s="1075" t="str">
        <f>IFERROR(__xludf.DUMMYFUNCTION("""COMPUTED_VALUE"""),"Máy phát cỏ 4 thì")</f>
        <v>Máy phát cỏ 4 thì</v>
      </c>
      <c r="C2033" s="1076" t="str">
        <f>IFERROR(__xludf.DUMMYFUNCTION("""COMPUTED_VALUE"""),"Loại biên")</f>
        <v>Loại biên</v>
      </c>
      <c r="D2033" s="1076" t="str">
        <f>IFERROR(__xludf.DUMMYFUNCTION("""COMPUTED_VALUE"""),"HONDA")</f>
        <v>HONDA</v>
      </c>
      <c r="E2033" s="1076" t="str">
        <f>IFERROR(__xludf.DUMMYFUNCTION("""COMPUTED_VALUE"""),"Trung Quốc")</f>
        <v>Trung Quốc</v>
      </c>
      <c r="F2033" s="1076"/>
      <c r="G2033" s="1076" t="str">
        <f>IFERROR(__xludf.DUMMYFUNCTION("""COMPUTED_VALUE"""),"GX35")</f>
        <v>GX35</v>
      </c>
      <c r="H2033" s="1076" t="str">
        <f>IFERROR(__xludf.DUMMYFUNCTION("""COMPUTED_VALUE"""),"1.6HP")</f>
        <v>1.6HP</v>
      </c>
      <c r="I2033" s="1076" t="str">
        <f>IFERROR(__xludf.DUMMYFUNCTION("""COMPUTED_VALUE"""),"ZOZC1-1M-0511")</f>
        <v>ZOZC1-1M-0511</v>
      </c>
      <c r="J2033" s="1076"/>
      <c r="K2033" s="1076">
        <f>IFERROR(__xludf.DUMMYFUNCTION("""COMPUTED_VALUE"""),0.5)</f>
        <v>0.5</v>
      </c>
      <c r="L2033" s="1076" t="str">
        <f>IFERROR(__xludf.DUMMYFUNCTION("""COMPUTED_VALUE"""),"Loại biên")</f>
        <v>Loại biên</v>
      </c>
    </row>
    <row r="2034" customHeight="1" spans="1:12">
      <c r="A2034" s="1076" t="str">
        <f>IFERROR(__xludf.DUMMYFUNCTION("""COMPUTED_VALUE"""),"XD1-MPC-024")</f>
        <v>XD1-MPC-024</v>
      </c>
      <c r="B2034" s="1075" t="str">
        <f>IFERROR(__xludf.DUMMYFUNCTION("""COMPUTED_VALUE"""),"Máy phát cỏ 4 thì")</f>
        <v>Máy phát cỏ 4 thì</v>
      </c>
      <c r="C2034" s="1076" t="str">
        <f>IFERROR(__xludf.DUMMYFUNCTION("""COMPUTED_VALUE"""),"Loại biên")</f>
        <v>Loại biên</v>
      </c>
      <c r="D2034" s="1076" t="str">
        <f>IFERROR(__xludf.DUMMYFUNCTION("""COMPUTED_VALUE"""),"HONDA")</f>
        <v>HONDA</v>
      </c>
      <c r="E2034" s="1076" t="str">
        <f>IFERROR(__xludf.DUMMYFUNCTION("""COMPUTED_VALUE"""),"Trung Quốc")</f>
        <v>Trung Quốc</v>
      </c>
      <c r="F2034" s="1076"/>
      <c r="G2034" s="1076" t="str">
        <f>IFERROR(__xludf.DUMMYFUNCTION("""COMPUTED_VALUE"""),"GX35")</f>
        <v>GX35</v>
      </c>
      <c r="H2034" s="1076" t="str">
        <f>IFERROR(__xludf.DUMMYFUNCTION("""COMPUTED_VALUE"""),"1.6HP")</f>
        <v>1.6HP</v>
      </c>
      <c r="I2034" s="1076" t="str">
        <f>IFERROR(__xludf.DUMMYFUNCTION("""COMPUTED_VALUE"""),"ZOZC1-1M-0511")</f>
        <v>ZOZC1-1M-0511</v>
      </c>
      <c r="J2034" s="1076"/>
      <c r="K2034" s="1076">
        <f>IFERROR(__xludf.DUMMYFUNCTION("""COMPUTED_VALUE"""),0.5)</f>
        <v>0.5</v>
      </c>
      <c r="L2034" s="1076" t="str">
        <f>IFERROR(__xludf.DUMMYFUNCTION("""COMPUTED_VALUE"""),"Loại biên")</f>
        <v>Loại biên</v>
      </c>
    </row>
    <row r="2035" customHeight="1" spans="1:12">
      <c r="A2035" s="1076" t="str">
        <f>IFERROR(__xludf.DUMMYFUNCTION("""COMPUTED_VALUE"""),"XL3-MPC-001")</f>
        <v>XL3-MPC-001</v>
      </c>
      <c r="B2035" s="1075" t="str">
        <f>IFERROR(__xludf.DUMMYFUNCTION("""COMPUTED_VALUE"""),"Máy phát cỏ 4 thì")</f>
        <v>Máy phát cỏ 4 thì</v>
      </c>
      <c r="C2035" s="1076" t="str">
        <f>IFERROR(__xludf.DUMMYFUNCTION("""COMPUTED_VALUE"""),"Loại biên")</f>
        <v>Loại biên</v>
      </c>
      <c r="D2035" s="1076" t="str">
        <f>IFERROR(__xludf.DUMMYFUNCTION("""COMPUTED_VALUE"""),"HINOTA")</f>
        <v>HINOTA</v>
      </c>
      <c r="E2035" s="1076" t="str">
        <f>IFERROR(__xludf.DUMMYFUNCTION("""COMPUTED_VALUE"""),"Trung Quốc")</f>
        <v>Trung Quốc</v>
      </c>
      <c r="F2035" s="1076"/>
      <c r="G2035" s="1076" t="str">
        <f>IFERROR(__xludf.DUMMYFUNCTION("""COMPUTED_VALUE"""),"CG435")</f>
        <v>CG435</v>
      </c>
      <c r="H2035" s="1076" t="str">
        <f>IFERROR(__xludf.DUMMYFUNCTION("""COMPUTED_VALUE"""),"1.2HP")</f>
        <v>1.2HP</v>
      </c>
      <c r="I2035" s="1076"/>
      <c r="J2035" s="1076"/>
      <c r="K2035" s="1076">
        <f>IFERROR(__xludf.DUMMYFUNCTION("""COMPUTED_VALUE"""),0.5)</f>
        <v>0.5</v>
      </c>
      <c r="L2035" s="1076" t="str">
        <f>IFERROR(__xludf.DUMMYFUNCTION("""COMPUTED_VALUE"""),"Loại biên")</f>
        <v>Loại biên</v>
      </c>
    </row>
    <row r="2036" customHeight="1" spans="1:12">
      <c r="A2036" s="1076" t="str">
        <f>IFERROR(__xludf.DUMMYFUNCTION("""COMPUTED_VALUE"""),"XL3-MPC-002")</f>
        <v>XL3-MPC-002</v>
      </c>
      <c r="B2036" s="1075" t="str">
        <f>IFERROR(__xludf.DUMMYFUNCTION("""COMPUTED_VALUE"""),"Máy phát cỏ 4 thì")</f>
        <v>Máy phát cỏ 4 thì</v>
      </c>
      <c r="C2036" s="1076" t="str">
        <f>IFERROR(__xludf.DUMMYFUNCTION("""COMPUTED_VALUE"""),"Loại biên")</f>
        <v>Loại biên</v>
      </c>
      <c r="D2036" s="1076" t="str">
        <f>IFERROR(__xludf.DUMMYFUNCTION("""COMPUTED_VALUE"""),"HINOTA")</f>
        <v>HINOTA</v>
      </c>
      <c r="E2036" s="1076" t="str">
        <f>IFERROR(__xludf.DUMMYFUNCTION("""COMPUTED_VALUE"""),"Trung Quốc")</f>
        <v>Trung Quốc</v>
      </c>
      <c r="F2036" s="1076"/>
      <c r="G2036" s="1076" t="str">
        <f>IFERROR(__xludf.DUMMYFUNCTION("""COMPUTED_VALUE"""),"CG435")</f>
        <v>CG435</v>
      </c>
      <c r="H2036" s="1076" t="str">
        <f>IFERROR(__xludf.DUMMYFUNCTION("""COMPUTED_VALUE"""),"1.2HP")</f>
        <v>1.2HP</v>
      </c>
      <c r="I2036" s="1076"/>
      <c r="J2036" s="1076"/>
      <c r="K2036" s="1076">
        <f>IFERROR(__xludf.DUMMYFUNCTION("""COMPUTED_VALUE"""),0.5)</f>
        <v>0.5</v>
      </c>
      <c r="L2036" s="1076" t="str">
        <f>IFERROR(__xludf.DUMMYFUNCTION("""COMPUTED_VALUE"""),"Loại biên")</f>
        <v>Loại biên</v>
      </c>
    </row>
    <row r="2037" customHeight="1" spans="1:12">
      <c r="A2037" s="1076" t="str">
        <f>IFERROR(__xludf.DUMMYFUNCTION("""COMPUTED_VALUE"""),"XL3-MPC-003")</f>
        <v>XL3-MPC-003</v>
      </c>
      <c r="B2037" s="1075" t="str">
        <f>IFERROR(__xludf.DUMMYFUNCTION("""COMPUTED_VALUE"""),"Máy phát cỏ 4 thì")</f>
        <v>Máy phát cỏ 4 thì</v>
      </c>
      <c r="C2037" s="1076" t="str">
        <f>IFERROR(__xludf.DUMMYFUNCTION("""COMPUTED_VALUE"""),"Loại biên")</f>
        <v>Loại biên</v>
      </c>
      <c r="D2037" s="1076" t="str">
        <f>IFERROR(__xludf.DUMMYFUNCTION("""COMPUTED_VALUE"""),"HINOTA")</f>
        <v>HINOTA</v>
      </c>
      <c r="E2037" s="1076" t="str">
        <f>IFERROR(__xludf.DUMMYFUNCTION("""COMPUTED_VALUE"""),"Trung Quốc")</f>
        <v>Trung Quốc</v>
      </c>
      <c r="F2037" s="1076"/>
      <c r="G2037" s="1076" t="str">
        <f>IFERROR(__xludf.DUMMYFUNCTION("""COMPUTED_VALUE"""),"CG435")</f>
        <v>CG435</v>
      </c>
      <c r="H2037" s="1076" t="str">
        <f>IFERROR(__xludf.DUMMYFUNCTION("""COMPUTED_VALUE"""),"1.2HP")</f>
        <v>1.2HP</v>
      </c>
      <c r="I2037" s="1076"/>
      <c r="J2037" s="1076"/>
      <c r="K2037" s="1076">
        <f>IFERROR(__xludf.DUMMYFUNCTION("""COMPUTED_VALUE"""),0.5)</f>
        <v>0.5</v>
      </c>
      <c r="L2037" s="1076" t="str">
        <f>IFERROR(__xludf.DUMMYFUNCTION("""COMPUTED_VALUE"""),"Loại biên")</f>
        <v>Loại biên</v>
      </c>
    </row>
    <row r="2038" customHeight="1" spans="1:12">
      <c r="A2038" s="1076" t="str">
        <f>IFERROR(__xludf.DUMMYFUNCTION("""COMPUTED_VALUE"""),"XL3-MPC-004")</f>
        <v>XL3-MPC-004</v>
      </c>
      <c r="B2038" s="1075" t="str">
        <f>IFERROR(__xludf.DUMMYFUNCTION("""COMPUTED_VALUE"""),"Máy phát cỏ 4 thì")</f>
        <v>Máy phát cỏ 4 thì</v>
      </c>
      <c r="C2038" s="1076" t="str">
        <f>IFERROR(__xludf.DUMMYFUNCTION("""COMPUTED_VALUE"""),"Loại biên")</f>
        <v>Loại biên</v>
      </c>
      <c r="D2038" s="1076" t="str">
        <f>IFERROR(__xludf.DUMMYFUNCTION("""COMPUTED_VALUE"""),"HINOTA")</f>
        <v>HINOTA</v>
      </c>
      <c r="E2038" s="1076" t="str">
        <f>IFERROR(__xludf.DUMMYFUNCTION("""COMPUTED_VALUE"""),"Trung Quốc")</f>
        <v>Trung Quốc</v>
      </c>
      <c r="F2038" s="1076"/>
      <c r="G2038" s="1076" t="str">
        <f>IFERROR(__xludf.DUMMYFUNCTION("""COMPUTED_VALUE"""),"CG435")</f>
        <v>CG435</v>
      </c>
      <c r="H2038" s="1076" t="str">
        <f>IFERROR(__xludf.DUMMYFUNCTION("""COMPUTED_VALUE"""),"1.2HP")</f>
        <v>1.2HP</v>
      </c>
      <c r="I2038" s="1076"/>
      <c r="J2038" s="1076"/>
      <c r="K2038" s="1076">
        <f>IFERROR(__xludf.DUMMYFUNCTION("""COMPUTED_VALUE"""),0.5)</f>
        <v>0.5</v>
      </c>
      <c r="L2038" s="1076" t="str">
        <f>IFERROR(__xludf.DUMMYFUNCTION("""COMPUTED_VALUE"""),"Loại biên")</f>
        <v>Loại biên</v>
      </c>
    </row>
    <row r="2039" customHeight="1" spans="1:12">
      <c r="A2039" s="1076" t="str">
        <f>IFERROR(__xludf.DUMMYFUNCTION("""COMPUTED_VALUE"""),"XL3-MPC-005")</f>
        <v>XL3-MPC-005</v>
      </c>
      <c r="B2039" s="1075" t="str">
        <f>IFERROR(__xludf.DUMMYFUNCTION("""COMPUTED_VALUE"""),"Máy phát cỏ 4 thì")</f>
        <v>Máy phát cỏ 4 thì</v>
      </c>
      <c r="C2039" s="1076" t="str">
        <f>IFERROR(__xludf.DUMMYFUNCTION("""COMPUTED_VALUE"""),"Loại biên")</f>
        <v>Loại biên</v>
      </c>
      <c r="D2039" s="1076" t="str">
        <f>IFERROR(__xludf.DUMMYFUNCTION("""COMPUTED_VALUE"""),"HINOTA")</f>
        <v>HINOTA</v>
      </c>
      <c r="E2039" s="1076" t="str">
        <f>IFERROR(__xludf.DUMMYFUNCTION("""COMPUTED_VALUE"""),"Trung Quốc")</f>
        <v>Trung Quốc</v>
      </c>
      <c r="F2039" s="1076"/>
      <c r="G2039" s="1076" t="str">
        <f>IFERROR(__xludf.DUMMYFUNCTION("""COMPUTED_VALUE"""),"CG435")</f>
        <v>CG435</v>
      </c>
      <c r="H2039" s="1076" t="str">
        <f>IFERROR(__xludf.DUMMYFUNCTION("""COMPUTED_VALUE"""),"1.2HP")</f>
        <v>1.2HP</v>
      </c>
      <c r="I2039" s="1076"/>
      <c r="J2039" s="1076"/>
      <c r="K2039" s="1076">
        <f>IFERROR(__xludf.DUMMYFUNCTION("""COMPUTED_VALUE"""),0.5)</f>
        <v>0.5</v>
      </c>
      <c r="L2039" s="1076" t="str">
        <f>IFERROR(__xludf.DUMMYFUNCTION("""COMPUTED_VALUE"""),"Loại biên")</f>
        <v>Loại biên</v>
      </c>
    </row>
    <row r="2040" customHeight="1" spans="1:12">
      <c r="A2040" s="1076" t="str">
        <f>IFERROR(__xludf.DUMMYFUNCTION("""COMPUTED_VALUE"""),"XL3-MPC-006")</f>
        <v>XL3-MPC-006</v>
      </c>
      <c r="B2040" s="1075" t="str">
        <f>IFERROR(__xludf.DUMMYFUNCTION("""COMPUTED_VALUE"""),"Máy phát cỏ 4 thì")</f>
        <v>Máy phát cỏ 4 thì</v>
      </c>
      <c r="C2040" s="1076" t="str">
        <f>IFERROR(__xludf.DUMMYFUNCTION("""COMPUTED_VALUE"""),"Loại biên")</f>
        <v>Loại biên</v>
      </c>
      <c r="D2040" s="1076" t="str">
        <f>IFERROR(__xludf.DUMMYFUNCTION("""COMPUTED_VALUE"""),"HINOTA")</f>
        <v>HINOTA</v>
      </c>
      <c r="E2040" s="1076" t="str">
        <f>IFERROR(__xludf.DUMMYFUNCTION("""COMPUTED_VALUE"""),"Trung Quốc")</f>
        <v>Trung Quốc</v>
      </c>
      <c r="F2040" s="1076"/>
      <c r="G2040" s="1076" t="str">
        <f>IFERROR(__xludf.DUMMYFUNCTION("""COMPUTED_VALUE"""),"CG435")</f>
        <v>CG435</v>
      </c>
      <c r="H2040" s="1076" t="str">
        <f>IFERROR(__xludf.DUMMYFUNCTION("""COMPUTED_VALUE"""),"1.2HP")</f>
        <v>1.2HP</v>
      </c>
      <c r="I2040" s="1076"/>
      <c r="J2040" s="1076"/>
      <c r="K2040" s="1076">
        <f>IFERROR(__xludf.DUMMYFUNCTION("""COMPUTED_VALUE"""),0.5)</f>
        <v>0.5</v>
      </c>
      <c r="L2040" s="1076" t="str">
        <f>IFERROR(__xludf.DUMMYFUNCTION("""COMPUTED_VALUE"""),"Loại biên")</f>
        <v>Loại biên</v>
      </c>
    </row>
    <row r="2041" customHeight="1" spans="1:12">
      <c r="A2041" s="1076" t="str">
        <f>IFERROR(__xludf.DUMMYFUNCTION("""COMPUTED_VALUE"""),"XL3-MPC-007")</f>
        <v>XL3-MPC-007</v>
      </c>
      <c r="B2041" s="1075" t="str">
        <f>IFERROR(__xludf.DUMMYFUNCTION("""COMPUTED_VALUE"""),"Máy phát cỏ 4 thì")</f>
        <v>Máy phát cỏ 4 thì</v>
      </c>
      <c r="C2041" s="1076" t="str">
        <f>IFERROR(__xludf.DUMMYFUNCTION("""COMPUTED_VALUE"""),"Loại biên")</f>
        <v>Loại biên</v>
      </c>
      <c r="D2041" s="1076" t="str">
        <f>IFERROR(__xludf.DUMMYFUNCTION("""COMPUTED_VALUE"""),"HINOTA")</f>
        <v>HINOTA</v>
      </c>
      <c r="E2041" s="1076" t="str">
        <f>IFERROR(__xludf.DUMMYFUNCTION("""COMPUTED_VALUE"""),"Trung Quốc")</f>
        <v>Trung Quốc</v>
      </c>
      <c r="F2041" s="1076"/>
      <c r="G2041" s="1076" t="str">
        <f>IFERROR(__xludf.DUMMYFUNCTION("""COMPUTED_VALUE"""),"CG435")</f>
        <v>CG435</v>
      </c>
      <c r="H2041" s="1076" t="str">
        <f>IFERROR(__xludf.DUMMYFUNCTION("""COMPUTED_VALUE"""),"1.2HP")</f>
        <v>1.2HP</v>
      </c>
      <c r="I2041" s="1076"/>
      <c r="J2041" s="1076"/>
      <c r="K2041" s="1076">
        <f>IFERROR(__xludf.DUMMYFUNCTION("""COMPUTED_VALUE"""),0.5)</f>
        <v>0.5</v>
      </c>
      <c r="L2041" s="1076" t="str">
        <f>IFERROR(__xludf.DUMMYFUNCTION("""COMPUTED_VALUE"""),"Loại biên")</f>
        <v>Loại biên</v>
      </c>
    </row>
    <row r="2042" customHeight="1" spans="1:12">
      <c r="A2042" s="1076" t="str">
        <f>IFERROR(__xludf.DUMMYFUNCTION("""COMPUTED_VALUE"""),"XL3-MPC-008")</f>
        <v>XL3-MPC-008</v>
      </c>
      <c r="B2042" s="1075" t="str">
        <f>IFERROR(__xludf.DUMMYFUNCTION("""COMPUTED_VALUE"""),"Máy phát cỏ 4 thì")</f>
        <v>Máy phát cỏ 4 thì</v>
      </c>
      <c r="C2042" s="1076" t="str">
        <f>IFERROR(__xludf.DUMMYFUNCTION("""COMPUTED_VALUE"""),"Loại biên")</f>
        <v>Loại biên</v>
      </c>
      <c r="D2042" s="1076" t="str">
        <f>IFERROR(__xludf.DUMMYFUNCTION("""COMPUTED_VALUE"""),"HINOTA")</f>
        <v>HINOTA</v>
      </c>
      <c r="E2042" s="1076" t="str">
        <f>IFERROR(__xludf.DUMMYFUNCTION("""COMPUTED_VALUE"""),"Trung Quốc")</f>
        <v>Trung Quốc</v>
      </c>
      <c r="F2042" s="1076"/>
      <c r="G2042" s="1076" t="str">
        <f>IFERROR(__xludf.DUMMYFUNCTION("""COMPUTED_VALUE"""),"CG435")</f>
        <v>CG435</v>
      </c>
      <c r="H2042" s="1076" t="str">
        <f>IFERROR(__xludf.DUMMYFUNCTION("""COMPUTED_VALUE"""),"1.2HP")</f>
        <v>1.2HP</v>
      </c>
      <c r="I2042" s="1076"/>
      <c r="J2042" s="1076"/>
      <c r="K2042" s="1076">
        <f>IFERROR(__xludf.DUMMYFUNCTION("""COMPUTED_VALUE"""),0.5)</f>
        <v>0.5</v>
      </c>
      <c r="L2042" s="1076" t="str">
        <f>IFERROR(__xludf.DUMMYFUNCTION("""COMPUTED_VALUE"""),"Loại biên")</f>
        <v>Loại biên</v>
      </c>
    </row>
    <row r="2043" customHeight="1" spans="1:12">
      <c r="A2043" s="1076" t="str">
        <f>IFERROR(__xludf.DUMMYFUNCTION("""COMPUTED_VALUE"""),"XL3-MPC-009")</f>
        <v>XL3-MPC-009</v>
      </c>
      <c r="B2043" s="1075" t="str">
        <f>IFERROR(__xludf.DUMMYFUNCTION("""COMPUTED_VALUE"""),"Máy phát cỏ 4 thì")</f>
        <v>Máy phát cỏ 4 thì</v>
      </c>
      <c r="C2043" s="1076" t="str">
        <f>IFERROR(__xludf.DUMMYFUNCTION("""COMPUTED_VALUE"""),"Loại biên")</f>
        <v>Loại biên</v>
      </c>
      <c r="D2043" s="1076" t="str">
        <f>IFERROR(__xludf.DUMMYFUNCTION("""COMPUTED_VALUE"""),"HINOTA")</f>
        <v>HINOTA</v>
      </c>
      <c r="E2043" s="1076" t="str">
        <f>IFERROR(__xludf.DUMMYFUNCTION("""COMPUTED_VALUE"""),"Trung Quốc")</f>
        <v>Trung Quốc</v>
      </c>
      <c r="F2043" s="1076"/>
      <c r="G2043" s="1076" t="str">
        <f>IFERROR(__xludf.DUMMYFUNCTION("""COMPUTED_VALUE"""),"CG435")</f>
        <v>CG435</v>
      </c>
      <c r="H2043" s="1076" t="str">
        <f>IFERROR(__xludf.DUMMYFUNCTION("""COMPUTED_VALUE"""),"1.2HP")</f>
        <v>1.2HP</v>
      </c>
      <c r="I2043" s="1076"/>
      <c r="J2043" s="1076"/>
      <c r="K2043" s="1076">
        <f>IFERROR(__xludf.DUMMYFUNCTION("""COMPUTED_VALUE"""),0.5)</f>
        <v>0.5</v>
      </c>
      <c r="L2043" s="1076" t="str">
        <f>IFERROR(__xludf.DUMMYFUNCTION("""COMPUTED_VALUE"""),"Loại biên")</f>
        <v>Loại biên</v>
      </c>
    </row>
    <row r="2044" customHeight="1" spans="1:12">
      <c r="A2044" s="1076" t="str">
        <f>IFERROR(__xludf.DUMMYFUNCTION("""COMPUTED_VALUE"""),"XL3-MPC-010")</f>
        <v>XL3-MPC-010</v>
      </c>
      <c r="B2044" s="1075" t="str">
        <f>IFERROR(__xludf.DUMMYFUNCTION("""COMPUTED_VALUE"""),"Máy phát cỏ 4 thì")</f>
        <v>Máy phát cỏ 4 thì</v>
      </c>
      <c r="C2044" s="1076" t="str">
        <f>IFERROR(__xludf.DUMMYFUNCTION("""COMPUTED_VALUE"""),"Loại biên")</f>
        <v>Loại biên</v>
      </c>
      <c r="D2044" s="1076" t="str">
        <f>IFERROR(__xludf.DUMMYFUNCTION("""COMPUTED_VALUE"""),"HINOTA")</f>
        <v>HINOTA</v>
      </c>
      <c r="E2044" s="1076" t="str">
        <f>IFERROR(__xludf.DUMMYFUNCTION("""COMPUTED_VALUE"""),"Trung Quốc")</f>
        <v>Trung Quốc</v>
      </c>
      <c r="F2044" s="1076"/>
      <c r="G2044" s="1076" t="str">
        <f>IFERROR(__xludf.DUMMYFUNCTION("""COMPUTED_VALUE"""),"CG435")</f>
        <v>CG435</v>
      </c>
      <c r="H2044" s="1076" t="str">
        <f>IFERROR(__xludf.DUMMYFUNCTION("""COMPUTED_VALUE"""),"1.2HP")</f>
        <v>1.2HP</v>
      </c>
      <c r="I2044" s="1076"/>
      <c r="J2044" s="1076"/>
      <c r="K2044" s="1076">
        <f>IFERROR(__xludf.DUMMYFUNCTION("""COMPUTED_VALUE"""),0.5)</f>
        <v>0.5</v>
      </c>
      <c r="L2044" s="1076" t="str">
        <f>IFERROR(__xludf.DUMMYFUNCTION("""COMPUTED_VALUE"""),"Loại biên")</f>
        <v>Loại biên</v>
      </c>
    </row>
    <row r="2045" customHeight="1" spans="1:12">
      <c r="A2045" s="1076" t="str">
        <f>IFERROR(__xludf.DUMMYFUNCTION("""COMPUTED_VALUE"""),"XL3-MPC-011")</f>
        <v>XL3-MPC-011</v>
      </c>
      <c r="B2045" s="1075" t="str">
        <f>IFERROR(__xludf.DUMMYFUNCTION("""COMPUTED_VALUE"""),"Máy phát cỏ 4 thì")</f>
        <v>Máy phát cỏ 4 thì</v>
      </c>
      <c r="C2045" s="1076" t="str">
        <f>IFERROR(__xludf.DUMMYFUNCTION("""COMPUTED_VALUE"""),"Loại biên")</f>
        <v>Loại biên</v>
      </c>
      <c r="D2045" s="1076" t="str">
        <f>IFERROR(__xludf.DUMMYFUNCTION("""COMPUTED_VALUE"""),"HINOTA")</f>
        <v>HINOTA</v>
      </c>
      <c r="E2045" s="1076" t="str">
        <f>IFERROR(__xludf.DUMMYFUNCTION("""COMPUTED_VALUE"""),"Trung Quốc")</f>
        <v>Trung Quốc</v>
      </c>
      <c r="F2045" s="1076"/>
      <c r="G2045" s="1076" t="str">
        <f>IFERROR(__xludf.DUMMYFUNCTION("""COMPUTED_VALUE"""),"CG435")</f>
        <v>CG435</v>
      </c>
      <c r="H2045" s="1076" t="str">
        <f>IFERROR(__xludf.DUMMYFUNCTION("""COMPUTED_VALUE"""),"1.2HP")</f>
        <v>1.2HP</v>
      </c>
      <c r="I2045" s="1076"/>
      <c r="J2045" s="1076"/>
      <c r="K2045" s="1076">
        <f>IFERROR(__xludf.DUMMYFUNCTION("""COMPUTED_VALUE"""),0.5)</f>
        <v>0.5</v>
      </c>
      <c r="L2045" s="1076" t="str">
        <f>IFERROR(__xludf.DUMMYFUNCTION("""COMPUTED_VALUE"""),"Loại biên")</f>
        <v>Loại biên</v>
      </c>
    </row>
    <row r="2046" customHeight="1" spans="1:12">
      <c r="A2046" s="1076" t="str">
        <f>IFERROR(__xludf.DUMMYFUNCTION("""COMPUTED_VALUE"""),"XL3-MPC-012")</f>
        <v>XL3-MPC-012</v>
      </c>
      <c r="B2046" s="1075" t="str">
        <f>IFERROR(__xludf.DUMMYFUNCTION("""COMPUTED_VALUE"""),"Máy phát cỏ 4 thì")</f>
        <v>Máy phát cỏ 4 thì</v>
      </c>
      <c r="C2046" s="1076" t="str">
        <f>IFERROR(__xludf.DUMMYFUNCTION("""COMPUTED_VALUE"""),"Loại biên")</f>
        <v>Loại biên</v>
      </c>
      <c r="D2046" s="1076" t="str">
        <f>IFERROR(__xludf.DUMMYFUNCTION("""COMPUTED_VALUE"""),"HINOTA")</f>
        <v>HINOTA</v>
      </c>
      <c r="E2046" s="1076" t="str">
        <f>IFERROR(__xludf.DUMMYFUNCTION("""COMPUTED_VALUE"""),"Trung Quốc")</f>
        <v>Trung Quốc</v>
      </c>
      <c r="F2046" s="1076"/>
      <c r="G2046" s="1076" t="str">
        <f>IFERROR(__xludf.DUMMYFUNCTION("""COMPUTED_VALUE"""),"CG435")</f>
        <v>CG435</v>
      </c>
      <c r="H2046" s="1076" t="str">
        <f>IFERROR(__xludf.DUMMYFUNCTION("""COMPUTED_VALUE"""),"1.2HP")</f>
        <v>1.2HP</v>
      </c>
      <c r="I2046" s="1076"/>
      <c r="J2046" s="1076"/>
      <c r="K2046" s="1076">
        <f>IFERROR(__xludf.DUMMYFUNCTION("""COMPUTED_VALUE"""),0.5)</f>
        <v>0.5</v>
      </c>
      <c r="L2046" s="1076" t="str">
        <f>IFERROR(__xludf.DUMMYFUNCTION("""COMPUTED_VALUE"""),"Loại biên")</f>
        <v>Loại biên</v>
      </c>
    </row>
    <row r="2047" customHeight="1" spans="1:12">
      <c r="A2047" s="1076" t="str">
        <f>IFERROR(__xludf.DUMMYFUNCTION("""COMPUTED_VALUE"""),"XL3-MPC-015")</f>
        <v>XL3-MPC-015</v>
      </c>
      <c r="B2047" s="1075" t="str">
        <f>IFERROR(__xludf.DUMMYFUNCTION("""COMPUTED_VALUE"""),"Máy phát cỏ 4 thì")</f>
        <v>Máy phát cỏ 4 thì</v>
      </c>
      <c r="C2047" s="1076" t="str">
        <f>IFERROR(__xludf.DUMMYFUNCTION("""COMPUTED_VALUE"""),"Loại biên")</f>
        <v>Loại biên</v>
      </c>
      <c r="D2047" s="1076" t="str">
        <f>IFERROR(__xludf.DUMMYFUNCTION("""COMPUTED_VALUE"""),"HONDA")</f>
        <v>HONDA</v>
      </c>
      <c r="E2047" s="1076" t="str">
        <f>IFERROR(__xludf.DUMMYFUNCTION("""COMPUTED_VALUE"""),"THÁI LAN")</f>
        <v>THÁI LAN</v>
      </c>
      <c r="F2047" s="1076"/>
      <c r="G2047" s="1076" t="str">
        <f>IFERROR(__xludf.DUMMYFUNCTION("""COMPUTED_VALUE"""),"GX35")</f>
        <v>GX35</v>
      </c>
      <c r="H2047" s="1076" t="str">
        <f>IFERROR(__xludf.DUMMYFUNCTION("""COMPUTED_VALUE"""),"1.6HP")</f>
        <v>1.6HP</v>
      </c>
      <c r="I2047" s="1076" t="str">
        <f>IFERROR(__xludf.DUMMYFUNCTION("""COMPUTED_VALUE"""),"GCAMT-7623984")</f>
        <v>GCAMT-7623984</v>
      </c>
      <c r="J2047" s="1076"/>
      <c r="K2047" s="1076">
        <f>IFERROR(__xludf.DUMMYFUNCTION("""COMPUTED_VALUE"""),0.5)</f>
        <v>0.5</v>
      </c>
      <c r="L2047" s="1076" t="str">
        <f>IFERROR(__xludf.DUMMYFUNCTION("""COMPUTED_VALUE"""),"Loại biên")</f>
        <v>Loại biên</v>
      </c>
    </row>
    <row r="2048" customHeight="1" spans="1:12">
      <c r="A2048" s="1076" t="str">
        <f>IFERROR(__xludf.DUMMYFUNCTION("""COMPUTED_VALUE"""),"XL3-MPC-016")</f>
        <v>XL3-MPC-016</v>
      </c>
      <c r="B2048" s="1075" t="str">
        <f>IFERROR(__xludf.DUMMYFUNCTION("""COMPUTED_VALUE"""),"Máy phát cỏ 4 thì")</f>
        <v>Máy phát cỏ 4 thì</v>
      </c>
      <c r="C2048" s="1076" t="str">
        <f>IFERROR(__xludf.DUMMYFUNCTION("""COMPUTED_VALUE"""),"Loại biên")</f>
        <v>Loại biên</v>
      </c>
      <c r="D2048" s="1076" t="str">
        <f>IFERROR(__xludf.DUMMYFUNCTION("""COMPUTED_VALUE"""),"HONDA")</f>
        <v>HONDA</v>
      </c>
      <c r="E2048" s="1076" t="str">
        <f>IFERROR(__xludf.DUMMYFUNCTION("""COMPUTED_VALUE"""),"THÁI LAN")</f>
        <v>THÁI LAN</v>
      </c>
      <c r="F2048" s="1076"/>
      <c r="G2048" s="1076" t="str">
        <f>IFERROR(__xludf.DUMMYFUNCTION("""COMPUTED_VALUE"""),"GX35")</f>
        <v>GX35</v>
      </c>
      <c r="H2048" s="1076" t="str">
        <f>IFERROR(__xludf.DUMMYFUNCTION("""COMPUTED_VALUE"""),"1.6HP")</f>
        <v>1.6HP</v>
      </c>
      <c r="I2048" s="1076" t="str">
        <f>IFERROR(__xludf.DUMMYFUNCTION("""COMPUTED_VALUE"""),"GCAMT-7659061")</f>
        <v>GCAMT-7659061</v>
      </c>
      <c r="J2048" s="1076"/>
      <c r="K2048" s="1076">
        <f>IFERROR(__xludf.DUMMYFUNCTION("""COMPUTED_VALUE"""),0.5)</f>
        <v>0.5</v>
      </c>
      <c r="L2048" s="1076" t="str">
        <f>IFERROR(__xludf.DUMMYFUNCTION("""COMPUTED_VALUE"""),"Loại biên")</f>
        <v>Loại biên</v>
      </c>
    </row>
    <row r="2049" customHeight="1" spans="1:12">
      <c r="A2049" s="1076" t="str">
        <f>IFERROR(__xludf.DUMMYFUNCTION("""COMPUTED_VALUE"""),"XL3-MPC-020")</f>
        <v>XL3-MPC-020</v>
      </c>
      <c r="B2049" s="1075" t="str">
        <f>IFERROR(__xludf.DUMMYFUNCTION("""COMPUTED_VALUE"""),"Máy phát cỏ 4 thì")</f>
        <v>Máy phát cỏ 4 thì</v>
      </c>
      <c r="C2049" s="1076" t="str">
        <f>IFERROR(__xludf.DUMMYFUNCTION("""COMPUTED_VALUE"""),"Loại biên")</f>
        <v>Loại biên</v>
      </c>
      <c r="D2049" s="1076" t="str">
        <f>IFERROR(__xludf.DUMMYFUNCTION("""COMPUTED_VALUE"""),"HONDA")</f>
        <v>HONDA</v>
      </c>
      <c r="E2049" s="1076" t="str">
        <f>IFERROR(__xludf.DUMMYFUNCTION("""COMPUTED_VALUE"""),"THÁI LAN")</f>
        <v>THÁI LAN</v>
      </c>
      <c r="F2049" s="1076"/>
      <c r="G2049" s="1076" t="str">
        <f>IFERROR(__xludf.DUMMYFUNCTION("""COMPUTED_VALUE"""),"GX35")</f>
        <v>GX35</v>
      </c>
      <c r="H2049" s="1076" t="str">
        <f>IFERROR(__xludf.DUMMYFUNCTION("""COMPUTED_VALUE"""),"1.6HP")</f>
        <v>1.6HP</v>
      </c>
      <c r="I2049" s="1076" t="str">
        <f>IFERROR(__xludf.DUMMYFUNCTION("""COMPUTED_VALUE"""),"GCAMT-7674856")</f>
        <v>GCAMT-7674856</v>
      </c>
      <c r="J2049" s="1076"/>
      <c r="K2049" s="1076">
        <f>IFERROR(__xludf.DUMMYFUNCTION("""COMPUTED_VALUE"""),0.5)</f>
        <v>0.5</v>
      </c>
      <c r="L2049" s="1076" t="str">
        <f>IFERROR(__xludf.DUMMYFUNCTION("""COMPUTED_VALUE"""),"Loại biên")</f>
        <v>Loại biên</v>
      </c>
    </row>
    <row r="2050" customHeight="1" spans="1:12">
      <c r="A2050" s="1076" t="str">
        <f>IFERROR(__xludf.DUMMYFUNCTION("""COMPUTED_VALUE"""),"XL3-MPC-021")</f>
        <v>XL3-MPC-021</v>
      </c>
      <c r="B2050" s="1075" t="str">
        <f>IFERROR(__xludf.DUMMYFUNCTION("""COMPUTED_VALUE"""),"Máy phát cỏ 4 thì")</f>
        <v>Máy phát cỏ 4 thì</v>
      </c>
      <c r="C2050" s="1076" t="str">
        <f>IFERROR(__xludf.DUMMYFUNCTION("""COMPUTED_VALUE"""),"Loại biên")</f>
        <v>Loại biên</v>
      </c>
      <c r="D2050" s="1076" t="str">
        <f>IFERROR(__xludf.DUMMYFUNCTION("""COMPUTED_VALUE"""),"HONDA")</f>
        <v>HONDA</v>
      </c>
      <c r="E2050" s="1076" t="str">
        <f>IFERROR(__xludf.DUMMYFUNCTION("""COMPUTED_VALUE"""),"THÁI LAN")</f>
        <v>THÁI LAN</v>
      </c>
      <c r="F2050" s="1076"/>
      <c r="G2050" s="1076" t="str">
        <f>IFERROR(__xludf.DUMMYFUNCTION("""COMPUTED_VALUE"""),"GX35")</f>
        <v>GX35</v>
      </c>
      <c r="H2050" s="1076" t="str">
        <f>IFERROR(__xludf.DUMMYFUNCTION("""COMPUTED_VALUE"""),"1.6HP")</f>
        <v>1.6HP</v>
      </c>
      <c r="I2050" s="1076" t="str">
        <f>IFERROR(__xludf.DUMMYFUNCTION("""COMPUTED_VALUE"""),"GCAMT-7674867")</f>
        <v>GCAMT-7674867</v>
      </c>
      <c r="J2050" s="1076"/>
      <c r="K2050" s="1076">
        <f>IFERROR(__xludf.DUMMYFUNCTION("""COMPUTED_VALUE"""),0.5)</f>
        <v>0.5</v>
      </c>
      <c r="L2050" s="1076" t="str">
        <f>IFERROR(__xludf.DUMMYFUNCTION("""COMPUTED_VALUE"""),"Loại biên")</f>
        <v>Loại biên</v>
      </c>
    </row>
    <row r="2051" customHeight="1" spans="1:12">
      <c r="A2051" s="1076" t="str">
        <f>IFERROR(__xludf.DUMMYFUNCTION("""COMPUTED_VALUE"""),"XL3-MPC-027")</f>
        <v>XL3-MPC-027</v>
      </c>
      <c r="B2051" s="1075" t="str">
        <f>IFERROR(__xludf.DUMMYFUNCTION("""COMPUTED_VALUE"""),"Máy phát cỏ 4 thì")</f>
        <v>Máy phát cỏ 4 thì</v>
      </c>
      <c r="C2051" s="1076" t="str">
        <f>IFERROR(__xludf.DUMMYFUNCTION("""COMPUTED_VALUE"""),"Loại biên")</f>
        <v>Loại biên</v>
      </c>
      <c r="D2051" s="1076" t="str">
        <f>IFERROR(__xludf.DUMMYFUNCTION("""COMPUTED_VALUE"""),"HONDA")</f>
        <v>HONDA</v>
      </c>
      <c r="E2051" s="1076" t="str">
        <f>IFERROR(__xludf.DUMMYFUNCTION("""COMPUTED_VALUE"""),"THÁI LAN")</f>
        <v>THÁI LAN</v>
      </c>
      <c r="F2051" s="1076"/>
      <c r="G2051" s="1076" t="str">
        <f>IFERROR(__xludf.DUMMYFUNCTION("""COMPUTED_VALUE"""),"GX35")</f>
        <v>GX35</v>
      </c>
      <c r="H2051" s="1076" t="str">
        <f>IFERROR(__xludf.DUMMYFUNCTION("""COMPUTED_VALUE"""),"1.6HP")</f>
        <v>1.6HP</v>
      </c>
      <c r="I2051" s="1076" t="str">
        <f>IFERROR(__xludf.DUMMYFUNCTION("""COMPUTED_VALUE"""),"GCAMT-764888")</f>
        <v>GCAMT-764888</v>
      </c>
      <c r="J2051" s="1076"/>
      <c r="K2051" s="1076">
        <f>IFERROR(__xludf.DUMMYFUNCTION("""COMPUTED_VALUE"""),0.5)</f>
        <v>0.5</v>
      </c>
      <c r="L2051" s="1076" t="str">
        <f>IFERROR(__xludf.DUMMYFUNCTION("""COMPUTED_VALUE"""),"Loại biên")</f>
        <v>Loại biên</v>
      </c>
    </row>
    <row r="2052" customHeight="1" spans="1:12">
      <c r="A2052" s="1076" t="str">
        <f>IFERROR(__xludf.DUMMYFUNCTION("""COMPUTED_VALUE"""),"XL3-MPC-028")</f>
        <v>XL3-MPC-028</v>
      </c>
      <c r="B2052" s="1075" t="str">
        <f>IFERROR(__xludf.DUMMYFUNCTION("""COMPUTED_VALUE"""),"Máy phát cỏ 4 thì")</f>
        <v>Máy phát cỏ 4 thì</v>
      </c>
      <c r="C2052" s="1076" t="str">
        <f>IFERROR(__xludf.DUMMYFUNCTION("""COMPUTED_VALUE"""),"Loại biên")</f>
        <v>Loại biên</v>
      </c>
      <c r="D2052" s="1076" t="str">
        <f>IFERROR(__xludf.DUMMYFUNCTION("""COMPUTED_VALUE"""),"HONDA")</f>
        <v>HONDA</v>
      </c>
      <c r="E2052" s="1076" t="str">
        <f>IFERROR(__xludf.DUMMYFUNCTION("""COMPUTED_VALUE"""),"THÁI LAN")</f>
        <v>THÁI LAN</v>
      </c>
      <c r="F2052" s="1076"/>
      <c r="G2052" s="1076" t="str">
        <f>IFERROR(__xludf.DUMMYFUNCTION("""COMPUTED_VALUE"""),"GX35")</f>
        <v>GX35</v>
      </c>
      <c r="H2052" s="1076" t="str">
        <f>IFERROR(__xludf.DUMMYFUNCTION("""COMPUTED_VALUE"""),"1.6HP")</f>
        <v>1.6HP</v>
      </c>
      <c r="I2052" s="1076" t="str">
        <f>IFERROR(__xludf.DUMMYFUNCTION("""COMPUTED_VALUE"""),"GCAMT-7656178")</f>
        <v>GCAMT-7656178</v>
      </c>
      <c r="J2052" s="1076"/>
      <c r="K2052" s="1076">
        <f>IFERROR(__xludf.DUMMYFUNCTION("""COMPUTED_VALUE"""),0.5)</f>
        <v>0.5</v>
      </c>
      <c r="L2052" s="1076" t="str">
        <f>IFERROR(__xludf.DUMMYFUNCTION("""COMPUTED_VALUE"""),"Loại biên")</f>
        <v>Loại biên</v>
      </c>
    </row>
    <row r="2053" customHeight="1" spans="1:12">
      <c r="A2053" s="1076" t="str">
        <f>IFERROR(__xludf.DUMMYFUNCTION("""COMPUTED_VALUE"""),"XL3-MPC-031")</f>
        <v>XL3-MPC-031</v>
      </c>
      <c r="B2053" s="1075" t="str">
        <f>IFERROR(__xludf.DUMMYFUNCTION("""COMPUTED_VALUE"""),"Máy phát cỏ 4 thì")</f>
        <v>Máy phát cỏ 4 thì</v>
      </c>
      <c r="C2053" s="1076" t="str">
        <f>IFERROR(__xludf.DUMMYFUNCTION("""COMPUTED_VALUE"""),"Loại biên")</f>
        <v>Loại biên</v>
      </c>
      <c r="D2053" s="1076" t="str">
        <f>IFERROR(__xludf.DUMMYFUNCTION("""COMPUTED_VALUE"""),"HONDA")</f>
        <v>HONDA</v>
      </c>
      <c r="E2053" s="1076" t="str">
        <f>IFERROR(__xludf.DUMMYFUNCTION("""COMPUTED_VALUE"""),"THÁI LAN")</f>
        <v>THÁI LAN</v>
      </c>
      <c r="F2053" s="1076"/>
      <c r="G2053" s="1076" t="str">
        <f>IFERROR(__xludf.DUMMYFUNCTION("""COMPUTED_VALUE"""),"GX35")</f>
        <v>GX35</v>
      </c>
      <c r="H2053" s="1076" t="str">
        <f>IFERROR(__xludf.DUMMYFUNCTION("""COMPUTED_VALUE"""),"1.6HP")</f>
        <v>1.6HP</v>
      </c>
      <c r="I2053" s="1076" t="str">
        <f>IFERROR(__xludf.DUMMYFUNCTION("""COMPUTED_VALUE"""),"GCAMT-7674889")</f>
        <v>GCAMT-7674889</v>
      </c>
      <c r="J2053" s="1076"/>
      <c r="K2053" s="1076">
        <f>IFERROR(__xludf.DUMMYFUNCTION("""COMPUTED_VALUE"""),0.5)</f>
        <v>0.5</v>
      </c>
      <c r="L2053" s="1076" t="str">
        <f>IFERROR(__xludf.DUMMYFUNCTION("""COMPUTED_VALUE"""),"Loại biên")</f>
        <v>Loại biên</v>
      </c>
    </row>
    <row r="2054" customHeight="1" spans="1:12">
      <c r="A2054" s="1076" t="str">
        <f>IFERROR(__xludf.DUMMYFUNCTION("""COMPUTED_VALUE"""),"XL3-MPC-035")</f>
        <v>XL3-MPC-035</v>
      </c>
      <c r="B2054" s="1075" t="str">
        <f>IFERROR(__xludf.DUMMYFUNCTION("""COMPUTED_VALUE"""),"Máy phát cỏ 4 thì")</f>
        <v>Máy phát cỏ 4 thì</v>
      </c>
      <c r="C2054" s="1076" t="str">
        <f>IFERROR(__xludf.DUMMYFUNCTION("""COMPUTED_VALUE"""),"Loại biên")</f>
        <v>Loại biên</v>
      </c>
      <c r="D2054" s="1076" t="str">
        <f>IFERROR(__xludf.DUMMYFUNCTION("""COMPUTED_VALUE"""),"HONDA")</f>
        <v>HONDA</v>
      </c>
      <c r="E2054" s="1076" t="str">
        <f>IFERROR(__xludf.DUMMYFUNCTION("""COMPUTED_VALUE"""),"THÁI LAN")</f>
        <v>THÁI LAN</v>
      </c>
      <c r="F2054" s="1076"/>
      <c r="G2054" s="1076" t="str">
        <f>IFERROR(__xludf.DUMMYFUNCTION("""COMPUTED_VALUE"""),"GX35")</f>
        <v>GX35</v>
      </c>
      <c r="H2054" s="1076" t="str">
        <f>IFERROR(__xludf.DUMMYFUNCTION("""COMPUTED_VALUE"""),"1.6HP")</f>
        <v>1.6HP</v>
      </c>
      <c r="I2054" s="1076" t="str">
        <f>IFERROR(__xludf.DUMMYFUNCTION("""COMPUTED_VALUE"""),"GCAMT-7716944")</f>
        <v>GCAMT-7716944</v>
      </c>
      <c r="J2054" s="1076"/>
      <c r="K2054" s="1076">
        <f>IFERROR(__xludf.DUMMYFUNCTION("""COMPUTED_VALUE"""),0.5)</f>
        <v>0.5</v>
      </c>
      <c r="L2054" s="1076" t="str">
        <f>IFERROR(__xludf.DUMMYFUNCTION("""COMPUTED_VALUE"""),"Loại biên")</f>
        <v>Loại biên</v>
      </c>
    </row>
    <row r="2055" customHeight="1" spans="1:12">
      <c r="A2055" s="1076" t="str">
        <f>IFERROR(__xludf.DUMMYFUNCTION("""COMPUTED_VALUE"""),"XL3-MPC-037")</f>
        <v>XL3-MPC-037</v>
      </c>
      <c r="B2055" s="1075" t="str">
        <f>IFERROR(__xludf.DUMMYFUNCTION("""COMPUTED_VALUE"""),"Máy phát cỏ 4 thì")</f>
        <v>Máy phát cỏ 4 thì</v>
      </c>
      <c r="C2055" s="1076" t="str">
        <f>IFERROR(__xludf.DUMMYFUNCTION("""COMPUTED_VALUE"""),"Loại biên")</f>
        <v>Loại biên</v>
      </c>
      <c r="D2055" s="1076" t="str">
        <f>IFERROR(__xludf.DUMMYFUNCTION("""COMPUTED_VALUE"""),"HONDA")</f>
        <v>HONDA</v>
      </c>
      <c r="E2055" s="1076" t="str">
        <f>IFERROR(__xludf.DUMMYFUNCTION("""COMPUTED_VALUE"""),"THÁI LAN")</f>
        <v>THÁI LAN</v>
      </c>
      <c r="F2055" s="1076"/>
      <c r="G2055" s="1076" t="str">
        <f>IFERROR(__xludf.DUMMYFUNCTION("""COMPUTED_VALUE"""),"GX35")</f>
        <v>GX35</v>
      </c>
      <c r="H2055" s="1076" t="str">
        <f>IFERROR(__xludf.DUMMYFUNCTION("""COMPUTED_VALUE"""),"1.6HP")</f>
        <v>1.6HP</v>
      </c>
      <c r="I2055" s="1076" t="str">
        <f>IFERROR(__xludf.DUMMYFUNCTION("""COMPUTED_VALUE"""),"GCAMT-7716990")</f>
        <v>GCAMT-7716990</v>
      </c>
      <c r="J2055" s="1076"/>
      <c r="K2055" s="1076">
        <f>IFERROR(__xludf.DUMMYFUNCTION("""COMPUTED_VALUE"""),0.5)</f>
        <v>0.5</v>
      </c>
      <c r="L2055" s="1076" t="str">
        <f>IFERROR(__xludf.DUMMYFUNCTION("""COMPUTED_VALUE"""),"Loại biên")</f>
        <v>Loại biên</v>
      </c>
    </row>
    <row r="2056" customHeight="1" spans="1:12">
      <c r="A2056" s="1076" t="str">
        <f>IFERROR(__xludf.DUMMYFUNCTION("""COMPUTED_VALUE"""),"XL3-MPC-038")</f>
        <v>XL3-MPC-038</v>
      </c>
      <c r="B2056" s="1075" t="str">
        <f>IFERROR(__xludf.DUMMYFUNCTION("""COMPUTED_VALUE"""),"Máy phát cỏ 4 thì")</f>
        <v>Máy phát cỏ 4 thì</v>
      </c>
      <c r="C2056" s="1076" t="str">
        <f>IFERROR(__xludf.DUMMYFUNCTION("""COMPUTED_VALUE"""),"Loại biên")</f>
        <v>Loại biên</v>
      </c>
      <c r="D2056" s="1076" t="str">
        <f>IFERROR(__xludf.DUMMYFUNCTION("""COMPUTED_VALUE"""),"HINOTA")</f>
        <v>HINOTA</v>
      </c>
      <c r="E2056" s="1076" t="str">
        <f>IFERROR(__xludf.DUMMYFUNCTION("""COMPUTED_VALUE"""),"Nhật Bản")</f>
        <v>Nhật Bản</v>
      </c>
      <c r="F2056" s="1076"/>
      <c r="G2056" s="1076" t="str">
        <f>IFERROR(__xludf.DUMMYFUNCTION("""COMPUTED_VALUE"""),"CG435")</f>
        <v>CG435</v>
      </c>
      <c r="H2056" s="1076" t="str">
        <f>IFERROR(__xludf.DUMMYFUNCTION("""COMPUTED_VALUE"""),"1.2HP")</f>
        <v>1.2HP</v>
      </c>
      <c r="I2056" s="1076"/>
      <c r="J2056" s="1076"/>
      <c r="K2056" s="1076">
        <f>IFERROR(__xludf.DUMMYFUNCTION("""COMPUTED_VALUE"""),0.5)</f>
        <v>0.5</v>
      </c>
      <c r="L2056" s="1076" t="str">
        <f>IFERROR(__xludf.DUMMYFUNCTION("""COMPUTED_VALUE"""),"Loại biên")</f>
        <v>Loại biên</v>
      </c>
    </row>
    <row r="2057" customHeight="1" spans="1:12">
      <c r="A2057" s="1076" t="str">
        <f>IFERROR(__xludf.DUMMYFUNCTION("""COMPUTED_VALUE"""),"XL3-MPC-039")</f>
        <v>XL3-MPC-039</v>
      </c>
      <c r="B2057" s="1075" t="str">
        <f>IFERROR(__xludf.DUMMYFUNCTION("""COMPUTED_VALUE"""),"Máy phát cỏ 4 thì")</f>
        <v>Máy phát cỏ 4 thì</v>
      </c>
      <c r="C2057" s="1076" t="str">
        <f>IFERROR(__xludf.DUMMYFUNCTION("""COMPUTED_VALUE"""),"Loại biên")</f>
        <v>Loại biên</v>
      </c>
      <c r="D2057" s="1076" t="str">
        <f>IFERROR(__xludf.DUMMYFUNCTION("""COMPUTED_VALUE"""),"HINOTA")</f>
        <v>HINOTA</v>
      </c>
      <c r="E2057" s="1076" t="str">
        <f>IFERROR(__xludf.DUMMYFUNCTION("""COMPUTED_VALUE"""),"Nhật Bản")</f>
        <v>Nhật Bản</v>
      </c>
      <c r="F2057" s="1076"/>
      <c r="G2057" s="1076" t="str">
        <f>IFERROR(__xludf.DUMMYFUNCTION("""COMPUTED_VALUE"""),"CG435")</f>
        <v>CG435</v>
      </c>
      <c r="H2057" s="1076" t="str">
        <f>IFERROR(__xludf.DUMMYFUNCTION("""COMPUTED_VALUE"""),"1.2HP")</f>
        <v>1.2HP</v>
      </c>
      <c r="I2057" s="1076"/>
      <c r="J2057" s="1076"/>
      <c r="K2057" s="1076">
        <f>IFERROR(__xludf.DUMMYFUNCTION("""COMPUTED_VALUE"""),0.5)</f>
        <v>0.5</v>
      </c>
      <c r="L2057" s="1076" t="str">
        <f>IFERROR(__xludf.DUMMYFUNCTION("""COMPUTED_VALUE"""),"Loại biên")</f>
        <v>Loại biên</v>
      </c>
    </row>
    <row r="2058" customHeight="1" spans="1:12">
      <c r="A2058" s="1076" t="str">
        <f>IFERROR(__xludf.DUMMYFUNCTION("""COMPUTED_VALUE"""),"XL3-MPC-040")</f>
        <v>XL3-MPC-040</v>
      </c>
      <c r="B2058" s="1075" t="str">
        <f>IFERROR(__xludf.DUMMYFUNCTION("""COMPUTED_VALUE"""),"Máy phát cỏ 4 thì")</f>
        <v>Máy phát cỏ 4 thì</v>
      </c>
      <c r="C2058" s="1076" t="str">
        <f>IFERROR(__xludf.DUMMYFUNCTION("""COMPUTED_VALUE"""),"Loại biên")</f>
        <v>Loại biên</v>
      </c>
      <c r="D2058" s="1076" t="str">
        <f>IFERROR(__xludf.DUMMYFUNCTION("""COMPUTED_VALUE"""),"HINOTA")</f>
        <v>HINOTA</v>
      </c>
      <c r="E2058" s="1076" t="str">
        <f>IFERROR(__xludf.DUMMYFUNCTION("""COMPUTED_VALUE"""),"Nhật Bản")</f>
        <v>Nhật Bản</v>
      </c>
      <c r="F2058" s="1076"/>
      <c r="G2058" s="1076" t="str">
        <f>IFERROR(__xludf.DUMMYFUNCTION("""COMPUTED_VALUE"""),"CG435")</f>
        <v>CG435</v>
      </c>
      <c r="H2058" s="1076" t="str">
        <f>IFERROR(__xludf.DUMMYFUNCTION("""COMPUTED_VALUE"""),"1.2HP")</f>
        <v>1.2HP</v>
      </c>
      <c r="I2058" s="1076"/>
      <c r="J2058" s="1076"/>
      <c r="K2058" s="1076">
        <f>IFERROR(__xludf.DUMMYFUNCTION("""COMPUTED_VALUE"""),0.5)</f>
        <v>0.5</v>
      </c>
      <c r="L2058" s="1076" t="str">
        <f>IFERROR(__xludf.DUMMYFUNCTION("""COMPUTED_VALUE"""),"Loại biên")</f>
        <v>Loại biên</v>
      </c>
    </row>
    <row r="2059" customHeight="1" spans="1:12">
      <c r="A2059" s="1076" t="str">
        <f>IFERROR(__xludf.DUMMYFUNCTION("""COMPUTED_VALUE"""),"XB1-MPC-001")</f>
        <v>XB1-MPC-001</v>
      </c>
      <c r="B2059" s="1075" t="str">
        <f>IFERROR(__xludf.DUMMYFUNCTION("""COMPUTED_VALUE"""),"Máy phát cỏ 2 thì")</f>
        <v>Máy phát cỏ 2 thì</v>
      </c>
      <c r="C2059" s="1076" t="str">
        <f>IFERROR(__xludf.DUMMYFUNCTION("""COMPUTED_VALUE"""),"Loại biên")</f>
        <v>Loại biên</v>
      </c>
      <c r="D2059" s="1076" t="str">
        <f>IFERROR(__xludf.DUMMYFUNCTION("""COMPUTED_VALUE"""),"NAGATA")</f>
        <v>NAGATA</v>
      </c>
      <c r="E2059" s="1076" t="str">
        <f>IFERROR(__xludf.DUMMYFUNCTION("""COMPUTED_VALUE"""),"TRUNG QUỐC")</f>
        <v>TRUNG QUỐC</v>
      </c>
      <c r="F2059" s="1076"/>
      <c r="G2059" s="1076" t="str">
        <f>IFERROR(__xludf.DUMMYFUNCTION("""COMPUTED_VALUE"""),"CG411")</f>
        <v>CG411</v>
      </c>
      <c r="H2059" s="1076" t="str">
        <f>IFERROR(__xludf.DUMMYFUNCTION("""COMPUTED_VALUE"""),"1.8HP")</f>
        <v>1.8HP</v>
      </c>
      <c r="I2059" s="1076"/>
      <c r="J2059" s="1076"/>
      <c r="K2059" s="1076">
        <f>IFERROR(__xludf.DUMMYFUNCTION("""COMPUTED_VALUE"""),1)</f>
        <v>1</v>
      </c>
      <c r="L2059" s="1076" t="str">
        <f>IFERROR(__xludf.DUMMYFUNCTION("""COMPUTED_VALUE"""),"Loại biên")</f>
        <v>Loại biên</v>
      </c>
    </row>
    <row r="2060" customHeight="1" spans="1:12">
      <c r="A2060" s="1076" t="str">
        <f>IFERROR(__xludf.DUMMYFUNCTION("""COMPUTED_VALUE"""),"XB1-MPC-002")</f>
        <v>XB1-MPC-002</v>
      </c>
      <c r="B2060" s="1075" t="str">
        <f>IFERROR(__xludf.DUMMYFUNCTION("""COMPUTED_VALUE"""),"Máy phát cỏ 2 thì")</f>
        <v>Máy phát cỏ 2 thì</v>
      </c>
      <c r="C2060" s="1076" t="str">
        <f>IFERROR(__xludf.DUMMYFUNCTION("""COMPUTED_VALUE"""),"Loại biên")</f>
        <v>Loại biên</v>
      </c>
      <c r="D2060" s="1076" t="str">
        <f>IFERROR(__xludf.DUMMYFUNCTION("""COMPUTED_VALUE"""),"NAGATA")</f>
        <v>NAGATA</v>
      </c>
      <c r="E2060" s="1076" t="str">
        <f>IFERROR(__xludf.DUMMYFUNCTION("""COMPUTED_VALUE"""),"TRUNG QUỐC")</f>
        <v>TRUNG QUỐC</v>
      </c>
      <c r="F2060" s="1076"/>
      <c r="G2060" s="1076" t="str">
        <f>IFERROR(__xludf.DUMMYFUNCTION("""COMPUTED_VALUE"""),"CG411")</f>
        <v>CG411</v>
      </c>
      <c r="H2060" s="1076" t="str">
        <f>IFERROR(__xludf.DUMMYFUNCTION("""COMPUTED_VALUE"""),"1.8HP")</f>
        <v>1.8HP</v>
      </c>
      <c r="I2060" s="1076"/>
      <c r="J2060" s="1076"/>
      <c r="K2060" s="1076">
        <f>IFERROR(__xludf.DUMMYFUNCTION("""COMPUTED_VALUE"""),1)</f>
        <v>1</v>
      </c>
      <c r="L2060" s="1076" t="str">
        <f>IFERROR(__xludf.DUMMYFUNCTION("""COMPUTED_VALUE"""),"Loại biên")</f>
        <v>Loại biên</v>
      </c>
    </row>
    <row r="2061" customHeight="1" spans="1:12">
      <c r="A2061" s="1076" t="str">
        <f>IFERROR(__xludf.DUMMYFUNCTION("""COMPUTED_VALUE"""),"XB1-MPC-003")</f>
        <v>XB1-MPC-003</v>
      </c>
      <c r="B2061" s="1075" t="str">
        <f>IFERROR(__xludf.DUMMYFUNCTION("""COMPUTED_VALUE"""),"Máy phát cỏ 2 thì")</f>
        <v>Máy phát cỏ 2 thì</v>
      </c>
      <c r="C2061" s="1076" t="str">
        <f>IFERROR(__xludf.DUMMYFUNCTION("""COMPUTED_VALUE"""),"Loại biên")</f>
        <v>Loại biên</v>
      </c>
      <c r="D2061" s="1076" t="str">
        <f>IFERROR(__xludf.DUMMYFUNCTION("""COMPUTED_VALUE"""),"NAGATA")</f>
        <v>NAGATA</v>
      </c>
      <c r="E2061" s="1076" t="str">
        <f>IFERROR(__xludf.DUMMYFUNCTION("""COMPUTED_VALUE"""),"TRUNG QUỐC")</f>
        <v>TRUNG QUỐC</v>
      </c>
      <c r="F2061" s="1076"/>
      <c r="G2061" s="1076" t="str">
        <f>IFERROR(__xludf.DUMMYFUNCTION("""COMPUTED_VALUE"""),"CG411")</f>
        <v>CG411</v>
      </c>
      <c r="H2061" s="1076" t="str">
        <f>IFERROR(__xludf.DUMMYFUNCTION("""COMPUTED_VALUE"""),"1.8HP")</f>
        <v>1.8HP</v>
      </c>
      <c r="I2061" s="1076"/>
      <c r="J2061" s="1076"/>
      <c r="K2061" s="1076">
        <f>IFERROR(__xludf.DUMMYFUNCTION("""COMPUTED_VALUE"""),1)</f>
        <v>1</v>
      </c>
      <c r="L2061" s="1076" t="str">
        <f>IFERROR(__xludf.DUMMYFUNCTION("""COMPUTED_VALUE"""),"Loại biên")</f>
        <v>Loại biên</v>
      </c>
    </row>
    <row r="2062" customHeight="1" spans="1:12">
      <c r="A2062" s="1076" t="str">
        <f>IFERROR(__xludf.DUMMYFUNCTION("""COMPUTED_VALUE"""),"XB1-MPC-004")</f>
        <v>XB1-MPC-004</v>
      </c>
      <c r="B2062" s="1075" t="str">
        <f>IFERROR(__xludf.DUMMYFUNCTION("""COMPUTED_VALUE"""),"Máy phát cỏ 2 thì")</f>
        <v>Máy phát cỏ 2 thì</v>
      </c>
      <c r="C2062" s="1076" t="str">
        <f>IFERROR(__xludf.DUMMYFUNCTION("""COMPUTED_VALUE"""),"Loại biên")</f>
        <v>Loại biên</v>
      </c>
      <c r="D2062" s="1076" t="str">
        <f>IFERROR(__xludf.DUMMYFUNCTION("""COMPUTED_VALUE"""),"NAGATA")</f>
        <v>NAGATA</v>
      </c>
      <c r="E2062" s="1076" t="str">
        <f>IFERROR(__xludf.DUMMYFUNCTION("""COMPUTED_VALUE"""),"TRUNG QUỐC")</f>
        <v>TRUNG QUỐC</v>
      </c>
      <c r="F2062" s="1076"/>
      <c r="G2062" s="1076" t="str">
        <f>IFERROR(__xludf.DUMMYFUNCTION("""COMPUTED_VALUE"""),"CG411")</f>
        <v>CG411</v>
      </c>
      <c r="H2062" s="1076" t="str">
        <f>IFERROR(__xludf.DUMMYFUNCTION("""COMPUTED_VALUE"""),"1.8HP")</f>
        <v>1.8HP</v>
      </c>
      <c r="I2062" s="1076"/>
      <c r="J2062" s="1076"/>
      <c r="K2062" s="1076">
        <f>IFERROR(__xludf.DUMMYFUNCTION("""COMPUTED_VALUE"""),1)</f>
        <v>1</v>
      </c>
      <c r="L2062" s="1076" t="str">
        <f>IFERROR(__xludf.DUMMYFUNCTION("""COMPUTED_VALUE"""),"Loại biên")</f>
        <v>Loại biên</v>
      </c>
    </row>
    <row r="2063" customHeight="1" spans="1:12">
      <c r="A2063" s="1076" t="str">
        <f>IFERROR(__xludf.DUMMYFUNCTION("""COMPUTED_VALUE"""),"XB1-MPC-005")</f>
        <v>XB1-MPC-005</v>
      </c>
      <c r="B2063" s="1075" t="str">
        <f>IFERROR(__xludf.DUMMYFUNCTION("""COMPUTED_VALUE"""),"Máy phát cỏ 2 thì")</f>
        <v>Máy phát cỏ 2 thì</v>
      </c>
      <c r="C2063" s="1076" t="str">
        <f>IFERROR(__xludf.DUMMYFUNCTION("""COMPUTED_VALUE"""),"Loại biên")</f>
        <v>Loại biên</v>
      </c>
      <c r="D2063" s="1076" t="str">
        <f>IFERROR(__xludf.DUMMYFUNCTION("""COMPUTED_VALUE"""),"NAGATA")</f>
        <v>NAGATA</v>
      </c>
      <c r="E2063" s="1076" t="str">
        <f>IFERROR(__xludf.DUMMYFUNCTION("""COMPUTED_VALUE"""),"TRUNG QUỐC")</f>
        <v>TRUNG QUỐC</v>
      </c>
      <c r="F2063" s="1076"/>
      <c r="G2063" s="1076" t="str">
        <f>IFERROR(__xludf.DUMMYFUNCTION("""COMPUTED_VALUE"""),"CG411")</f>
        <v>CG411</v>
      </c>
      <c r="H2063" s="1076" t="str">
        <f>IFERROR(__xludf.DUMMYFUNCTION("""COMPUTED_VALUE"""),"1.8HP")</f>
        <v>1.8HP</v>
      </c>
      <c r="I2063" s="1076"/>
      <c r="J2063" s="1076"/>
      <c r="K2063" s="1076">
        <f>IFERROR(__xludf.DUMMYFUNCTION("""COMPUTED_VALUE"""),1)</f>
        <v>1</v>
      </c>
      <c r="L2063" s="1076" t="str">
        <f>IFERROR(__xludf.DUMMYFUNCTION("""COMPUTED_VALUE"""),"Loại biên")</f>
        <v>Loại biên</v>
      </c>
    </row>
    <row r="2064" customHeight="1" spans="1:12">
      <c r="A2064" s="1076" t="str">
        <f>IFERROR(__xludf.DUMMYFUNCTION("""COMPUTED_VALUE"""),"XB1-MPC-006")</f>
        <v>XB1-MPC-006</v>
      </c>
      <c r="B2064" s="1075" t="str">
        <f>IFERROR(__xludf.DUMMYFUNCTION("""COMPUTED_VALUE"""),"Máy phát cỏ 2 thì")</f>
        <v>Máy phát cỏ 2 thì</v>
      </c>
      <c r="C2064" s="1076" t="str">
        <f>IFERROR(__xludf.DUMMYFUNCTION("""COMPUTED_VALUE"""),"Loại biên")</f>
        <v>Loại biên</v>
      </c>
      <c r="D2064" s="1076" t="str">
        <f>IFERROR(__xludf.DUMMYFUNCTION("""COMPUTED_VALUE"""),"NAGATA")</f>
        <v>NAGATA</v>
      </c>
      <c r="E2064" s="1076" t="str">
        <f>IFERROR(__xludf.DUMMYFUNCTION("""COMPUTED_VALUE"""),"TRUNG QUỐC")</f>
        <v>TRUNG QUỐC</v>
      </c>
      <c r="F2064" s="1076"/>
      <c r="G2064" s="1076" t="str">
        <f>IFERROR(__xludf.DUMMYFUNCTION("""COMPUTED_VALUE"""),"CG411")</f>
        <v>CG411</v>
      </c>
      <c r="H2064" s="1076" t="str">
        <f>IFERROR(__xludf.DUMMYFUNCTION("""COMPUTED_VALUE"""),"1.8HP")</f>
        <v>1.8HP</v>
      </c>
      <c r="I2064" s="1076"/>
      <c r="J2064" s="1076"/>
      <c r="K2064" s="1076">
        <f>IFERROR(__xludf.DUMMYFUNCTION("""COMPUTED_VALUE"""),1)</f>
        <v>1</v>
      </c>
      <c r="L2064" s="1076" t="str">
        <f>IFERROR(__xludf.DUMMYFUNCTION("""COMPUTED_VALUE"""),"Loại biên")</f>
        <v>Loại biên</v>
      </c>
    </row>
    <row r="2065" customHeight="1" spans="1:12">
      <c r="A2065" s="1076" t="str">
        <f>IFERROR(__xludf.DUMMYFUNCTION("""COMPUTED_VALUE"""),"XB1-MPC-007")</f>
        <v>XB1-MPC-007</v>
      </c>
      <c r="B2065" s="1075" t="str">
        <f>IFERROR(__xludf.DUMMYFUNCTION("""COMPUTED_VALUE"""),"Máy phát cỏ 2 thì")</f>
        <v>Máy phát cỏ 2 thì</v>
      </c>
      <c r="C2065" s="1076" t="str">
        <f>IFERROR(__xludf.DUMMYFUNCTION("""COMPUTED_VALUE"""),"Loại biên")</f>
        <v>Loại biên</v>
      </c>
      <c r="D2065" s="1076" t="str">
        <f>IFERROR(__xludf.DUMMYFUNCTION("""COMPUTED_VALUE"""),"NAGATA")</f>
        <v>NAGATA</v>
      </c>
      <c r="E2065" s="1076" t="str">
        <f>IFERROR(__xludf.DUMMYFUNCTION("""COMPUTED_VALUE"""),"TRUNG QUỐC")</f>
        <v>TRUNG QUỐC</v>
      </c>
      <c r="F2065" s="1076"/>
      <c r="G2065" s="1076" t="str">
        <f>IFERROR(__xludf.DUMMYFUNCTION("""COMPUTED_VALUE"""),"CG411")</f>
        <v>CG411</v>
      </c>
      <c r="H2065" s="1076" t="str">
        <f>IFERROR(__xludf.DUMMYFUNCTION("""COMPUTED_VALUE"""),"1.8HP")</f>
        <v>1.8HP</v>
      </c>
      <c r="I2065" s="1076"/>
      <c r="J2065" s="1076"/>
      <c r="K2065" s="1076">
        <f>IFERROR(__xludf.DUMMYFUNCTION("""COMPUTED_VALUE"""),1)</f>
        <v>1</v>
      </c>
      <c r="L2065" s="1076" t="str">
        <f>IFERROR(__xludf.DUMMYFUNCTION("""COMPUTED_VALUE"""),"Loại biên")</f>
        <v>Loại biên</v>
      </c>
    </row>
    <row r="2066" customHeight="1" spans="1:12">
      <c r="A2066" s="1076" t="str">
        <f>IFERROR(__xludf.DUMMYFUNCTION("""COMPUTED_VALUE"""),"XB1-MPC-008")</f>
        <v>XB1-MPC-008</v>
      </c>
      <c r="B2066" s="1075" t="str">
        <f>IFERROR(__xludf.DUMMYFUNCTION("""COMPUTED_VALUE"""),"Máy phát cỏ 2 thì")</f>
        <v>Máy phát cỏ 2 thì</v>
      </c>
      <c r="C2066" s="1076" t="str">
        <f>IFERROR(__xludf.DUMMYFUNCTION("""COMPUTED_VALUE"""),"Loại biên")</f>
        <v>Loại biên</v>
      </c>
      <c r="D2066" s="1076" t="str">
        <f>IFERROR(__xludf.DUMMYFUNCTION("""COMPUTED_VALUE"""),"NAGATA")</f>
        <v>NAGATA</v>
      </c>
      <c r="E2066" s="1076" t="str">
        <f>IFERROR(__xludf.DUMMYFUNCTION("""COMPUTED_VALUE"""),"TRUNG QUỐC")</f>
        <v>TRUNG QUỐC</v>
      </c>
      <c r="F2066" s="1076"/>
      <c r="G2066" s="1076" t="str">
        <f>IFERROR(__xludf.DUMMYFUNCTION("""COMPUTED_VALUE"""),"CG411")</f>
        <v>CG411</v>
      </c>
      <c r="H2066" s="1076" t="str">
        <f>IFERROR(__xludf.DUMMYFUNCTION("""COMPUTED_VALUE"""),"1.8HP")</f>
        <v>1.8HP</v>
      </c>
      <c r="I2066" s="1076"/>
      <c r="J2066" s="1076"/>
      <c r="K2066" s="1076">
        <f>IFERROR(__xludf.DUMMYFUNCTION("""COMPUTED_VALUE"""),1)</f>
        <v>1</v>
      </c>
      <c r="L2066" s="1076" t="str">
        <f>IFERROR(__xludf.DUMMYFUNCTION("""COMPUTED_VALUE"""),"Loại biên")</f>
        <v>Loại biên</v>
      </c>
    </row>
    <row r="2067" customHeight="1" spans="1:12">
      <c r="A2067" s="1076" t="str">
        <f>IFERROR(__xludf.DUMMYFUNCTION("""COMPUTED_VALUE"""),"XB1-MPC-009")</f>
        <v>XB1-MPC-009</v>
      </c>
      <c r="B2067" s="1075" t="str">
        <f>IFERROR(__xludf.DUMMYFUNCTION("""COMPUTED_VALUE"""),"Máy phát cỏ 2 thì")</f>
        <v>Máy phát cỏ 2 thì</v>
      </c>
      <c r="C2067" s="1076" t="str">
        <f>IFERROR(__xludf.DUMMYFUNCTION("""COMPUTED_VALUE"""),"Loại biên")</f>
        <v>Loại biên</v>
      </c>
      <c r="D2067" s="1076" t="str">
        <f>IFERROR(__xludf.DUMMYFUNCTION("""COMPUTED_VALUE"""),"NAGATA")</f>
        <v>NAGATA</v>
      </c>
      <c r="E2067" s="1076" t="str">
        <f>IFERROR(__xludf.DUMMYFUNCTION("""COMPUTED_VALUE"""),"TRUNG QUỐC")</f>
        <v>TRUNG QUỐC</v>
      </c>
      <c r="F2067" s="1076"/>
      <c r="G2067" s="1076" t="str">
        <f>IFERROR(__xludf.DUMMYFUNCTION("""COMPUTED_VALUE"""),"CG411")</f>
        <v>CG411</v>
      </c>
      <c r="H2067" s="1076" t="str">
        <f>IFERROR(__xludf.DUMMYFUNCTION("""COMPUTED_VALUE"""),"1.8HP")</f>
        <v>1.8HP</v>
      </c>
      <c r="I2067" s="1076"/>
      <c r="J2067" s="1076"/>
      <c r="K2067" s="1076">
        <f>IFERROR(__xludf.DUMMYFUNCTION("""COMPUTED_VALUE"""),1)</f>
        <v>1</v>
      </c>
      <c r="L2067" s="1076" t="str">
        <f>IFERROR(__xludf.DUMMYFUNCTION("""COMPUTED_VALUE"""),"Loại biên")</f>
        <v>Loại biên</v>
      </c>
    </row>
    <row r="2068" customHeight="1" spans="1:12">
      <c r="A2068" s="1076" t="str">
        <f>IFERROR(__xludf.DUMMYFUNCTION("""COMPUTED_VALUE"""),"XB1-MPC-010")</f>
        <v>XB1-MPC-010</v>
      </c>
      <c r="B2068" s="1075" t="str">
        <f>IFERROR(__xludf.DUMMYFUNCTION("""COMPUTED_VALUE"""),"Máy phát cỏ 2 thì")</f>
        <v>Máy phát cỏ 2 thì</v>
      </c>
      <c r="C2068" s="1076" t="str">
        <f>IFERROR(__xludf.DUMMYFUNCTION("""COMPUTED_VALUE"""),"Loại biên")</f>
        <v>Loại biên</v>
      </c>
      <c r="D2068" s="1076" t="str">
        <f>IFERROR(__xludf.DUMMYFUNCTION("""COMPUTED_VALUE"""),"NAGATA")</f>
        <v>NAGATA</v>
      </c>
      <c r="E2068" s="1076" t="str">
        <f>IFERROR(__xludf.DUMMYFUNCTION("""COMPUTED_VALUE"""),"TRUNG QUỐC")</f>
        <v>TRUNG QUỐC</v>
      </c>
      <c r="F2068" s="1076"/>
      <c r="G2068" s="1076" t="str">
        <f>IFERROR(__xludf.DUMMYFUNCTION("""COMPUTED_VALUE"""),"CG411")</f>
        <v>CG411</v>
      </c>
      <c r="H2068" s="1076" t="str">
        <f>IFERROR(__xludf.DUMMYFUNCTION("""COMPUTED_VALUE"""),"1.8HP")</f>
        <v>1.8HP</v>
      </c>
      <c r="I2068" s="1076"/>
      <c r="J2068" s="1076"/>
      <c r="K2068" s="1076">
        <f>IFERROR(__xludf.DUMMYFUNCTION("""COMPUTED_VALUE"""),1)</f>
        <v>1</v>
      </c>
      <c r="L2068" s="1076" t="str">
        <f>IFERROR(__xludf.DUMMYFUNCTION("""COMPUTED_VALUE"""),"Loại biên")</f>
        <v>Loại biên</v>
      </c>
    </row>
    <row r="2069" customHeight="1" spans="1:12">
      <c r="A2069" s="1076" t="str">
        <f>IFERROR(__xludf.DUMMYFUNCTION("""COMPUTED_VALUE"""),"XB1-MPC-011")</f>
        <v>XB1-MPC-011</v>
      </c>
      <c r="B2069" s="1075" t="str">
        <f>IFERROR(__xludf.DUMMYFUNCTION("""COMPUTED_VALUE"""),"Máy phát cỏ 2 thì")</f>
        <v>Máy phát cỏ 2 thì</v>
      </c>
      <c r="C2069" s="1076" t="str">
        <f>IFERROR(__xludf.DUMMYFUNCTION("""COMPUTED_VALUE"""),"Loại biên")</f>
        <v>Loại biên</v>
      </c>
      <c r="D2069" s="1076" t="str">
        <f>IFERROR(__xludf.DUMMYFUNCTION("""COMPUTED_VALUE"""),"NAGATA")</f>
        <v>NAGATA</v>
      </c>
      <c r="E2069" s="1076" t="str">
        <f>IFERROR(__xludf.DUMMYFUNCTION("""COMPUTED_VALUE"""),"TRUNG QUỐC")</f>
        <v>TRUNG QUỐC</v>
      </c>
      <c r="F2069" s="1076"/>
      <c r="G2069" s="1076" t="str">
        <f>IFERROR(__xludf.DUMMYFUNCTION("""COMPUTED_VALUE"""),"CG411")</f>
        <v>CG411</v>
      </c>
      <c r="H2069" s="1076" t="str">
        <f>IFERROR(__xludf.DUMMYFUNCTION("""COMPUTED_VALUE"""),"1.8HP")</f>
        <v>1.8HP</v>
      </c>
      <c r="I2069" s="1076"/>
      <c r="J2069" s="1076"/>
      <c r="K2069" s="1076">
        <f>IFERROR(__xludf.DUMMYFUNCTION("""COMPUTED_VALUE"""),1)</f>
        <v>1</v>
      </c>
      <c r="L2069" s="1076" t="str">
        <f>IFERROR(__xludf.DUMMYFUNCTION("""COMPUTED_VALUE"""),"Loại biên")</f>
        <v>Loại biên</v>
      </c>
    </row>
    <row r="2070" customHeight="1" spans="1:12">
      <c r="A2070" s="1076" t="str">
        <f>IFERROR(__xludf.DUMMYFUNCTION("""COMPUTED_VALUE"""),"XB1-MPC-012")</f>
        <v>XB1-MPC-012</v>
      </c>
      <c r="B2070" s="1075" t="str">
        <f>IFERROR(__xludf.DUMMYFUNCTION("""COMPUTED_VALUE"""),"Máy phát cỏ 2 thì")</f>
        <v>Máy phát cỏ 2 thì</v>
      </c>
      <c r="C2070" s="1076" t="str">
        <f>IFERROR(__xludf.DUMMYFUNCTION("""COMPUTED_VALUE"""),"Loại biên")</f>
        <v>Loại biên</v>
      </c>
      <c r="D2070" s="1076" t="str">
        <f>IFERROR(__xludf.DUMMYFUNCTION("""COMPUTED_VALUE"""),"NAGATA")</f>
        <v>NAGATA</v>
      </c>
      <c r="E2070" s="1076" t="str">
        <f>IFERROR(__xludf.DUMMYFUNCTION("""COMPUTED_VALUE"""),"TRUNG QUỐC")</f>
        <v>TRUNG QUỐC</v>
      </c>
      <c r="F2070" s="1076"/>
      <c r="G2070" s="1076" t="str">
        <f>IFERROR(__xludf.DUMMYFUNCTION("""COMPUTED_VALUE"""),"CG411")</f>
        <v>CG411</v>
      </c>
      <c r="H2070" s="1076" t="str">
        <f>IFERROR(__xludf.DUMMYFUNCTION("""COMPUTED_VALUE"""),"1.8HP")</f>
        <v>1.8HP</v>
      </c>
      <c r="I2070" s="1076"/>
      <c r="J2070" s="1076"/>
      <c r="K2070" s="1076">
        <f>IFERROR(__xludf.DUMMYFUNCTION("""COMPUTED_VALUE"""),1)</f>
        <v>1</v>
      </c>
      <c r="L2070" s="1076" t="str">
        <f>IFERROR(__xludf.DUMMYFUNCTION("""COMPUTED_VALUE"""),"Loại biên")</f>
        <v>Loại biên</v>
      </c>
    </row>
    <row r="2071" customHeight="1" spans="1:12">
      <c r="A2071" s="1076" t="str">
        <f>IFERROR(__xludf.DUMMYFUNCTION("""COMPUTED_VALUE"""),"XB1-MPC-013")</f>
        <v>XB1-MPC-013</v>
      </c>
      <c r="B2071" s="1075" t="str">
        <f>IFERROR(__xludf.DUMMYFUNCTION("""COMPUTED_VALUE"""),"Máy phát cỏ 2 thì")</f>
        <v>Máy phát cỏ 2 thì</v>
      </c>
      <c r="C2071" s="1076" t="str">
        <f>IFERROR(__xludf.DUMMYFUNCTION("""COMPUTED_VALUE"""),"Loại biên")</f>
        <v>Loại biên</v>
      </c>
      <c r="D2071" s="1076" t="str">
        <f>IFERROR(__xludf.DUMMYFUNCTION("""COMPUTED_VALUE"""),"NAGATA")</f>
        <v>NAGATA</v>
      </c>
      <c r="E2071" s="1076" t="str">
        <f>IFERROR(__xludf.DUMMYFUNCTION("""COMPUTED_VALUE"""),"TRUNG QUỐC")</f>
        <v>TRUNG QUỐC</v>
      </c>
      <c r="F2071" s="1076"/>
      <c r="G2071" s="1076" t="str">
        <f>IFERROR(__xludf.DUMMYFUNCTION("""COMPUTED_VALUE"""),"CG411")</f>
        <v>CG411</v>
      </c>
      <c r="H2071" s="1076" t="str">
        <f>IFERROR(__xludf.DUMMYFUNCTION("""COMPUTED_VALUE"""),"1.8HP")</f>
        <v>1.8HP</v>
      </c>
      <c r="I2071" s="1076"/>
      <c r="J2071" s="1076"/>
      <c r="K2071" s="1076">
        <f>IFERROR(__xludf.DUMMYFUNCTION("""COMPUTED_VALUE"""),1)</f>
        <v>1</v>
      </c>
      <c r="L2071" s="1076" t="str">
        <f>IFERROR(__xludf.DUMMYFUNCTION("""COMPUTED_VALUE"""),"Loại biên")</f>
        <v>Loại biên</v>
      </c>
    </row>
    <row r="2072" customHeight="1" spans="1:12">
      <c r="A2072" s="1076" t="str">
        <f>IFERROR(__xludf.DUMMYFUNCTION("""COMPUTED_VALUE"""),"XB1-MPC-014")</f>
        <v>XB1-MPC-014</v>
      </c>
      <c r="B2072" s="1075" t="str">
        <f>IFERROR(__xludf.DUMMYFUNCTION("""COMPUTED_VALUE"""),"Máy phát cỏ 2 thì")</f>
        <v>Máy phát cỏ 2 thì</v>
      </c>
      <c r="C2072" s="1076" t="str">
        <f>IFERROR(__xludf.DUMMYFUNCTION("""COMPUTED_VALUE"""),"Loại biên")</f>
        <v>Loại biên</v>
      </c>
      <c r="D2072" s="1076" t="str">
        <f>IFERROR(__xludf.DUMMYFUNCTION("""COMPUTED_VALUE"""),"NAGATA")</f>
        <v>NAGATA</v>
      </c>
      <c r="E2072" s="1076" t="str">
        <f>IFERROR(__xludf.DUMMYFUNCTION("""COMPUTED_VALUE"""),"TRUNG QUỐC")</f>
        <v>TRUNG QUỐC</v>
      </c>
      <c r="F2072" s="1076"/>
      <c r="G2072" s="1076" t="str">
        <f>IFERROR(__xludf.DUMMYFUNCTION("""COMPUTED_VALUE"""),"CG411")</f>
        <v>CG411</v>
      </c>
      <c r="H2072" s="1076" t="str">
        <f>IFERROR(__xludf.DUMMYFUNCTION("""COMPUTED_VALUE"""),"1.8HP")</f>
        <v>1.8HP</v>
      </c>
      <c r="I2072" s="1076"/>
      <c r="J2072" s="1076"/>
      <c r="K2072" s="1076">
        <f>IFERROR(__xludf.DUMMYFUNCTION("""COMPUTED_VALUE"""),1)</f>
        <v>1</v>
      </c>
      <c r="L2072" s="1076" t="str">
        <f>IFERROR(__xludf.DUMMYFUNCTION("""COMPUTED_VALUE"""),"Loại biên")</f>
        <v>Loại biên</v>
      </c>
    </row>
    <row r="2073" customHeight="1" spans="1:12">
      <c r="A2073" s="1076" t="str">
        <f>IFERROR(__xludf.DUMMYFUNCTION("""COMPUTED_VALUE"""),"XB1-MPC-015")</f>
        <v>XB1-MPC-015</v>
      </c>
      <c r="B2073" s="1075" t="str">
        <f>IFERROR(__xludf.DUMMYFUNCTION("""COMPUTED_VALUE"""),"Máy phát cỏ 2 thì")</f>
        <v>Máy phát cỏ 2 thì</v>
      </c>
      <c r="C2073" s="1076" t="str">
        <f>IFERROR(__xludf.DUMMYFUNCTION("""COMPUTED_VALUE"""),"Loại biên")</f>
        <v>Loại biên</v>
      </c>
      <c r="D2073" s="1076" t="str">
        <f>IFERROR(__xludf.DUMMYFUNCTION("""COMPUTED_VALUE"""),"NAGATA")</f>
        <v>NAGATA</v>
      </c>
      <c r="E2073" s="1076" t="str">
        <f>IFERROR(__xludf.DUMMYFUNCTION("""COMPUTED_VALUE"""),"TRUNG QUỐC")</f>
        <v>TRUNG QUỐC</v>
      </c>
      <c r="F2073" s="1076"/>
      <c r="G2073" s="1076" t="str">
        <f>IFERROR(__xludf.DUMMYFUNCTION("""COMPUTED_VALUE"""),"CG411")</f>
        <v>CG411</v>
      </c>
      <c r="H2073" s="1076" t="str">
        <f>IFERROR(__xludf.DUMMYFUNCTION("""COMPUTED_VALUE"""),"1.8HP")</f>
        <v>1.8HP</v>
      </c>
      <c r="I2073" s="1076"/>
      <c r="J2073" s="1076"/>
      <c r="K2073" s="1076">
        <f>IFERROR(__xludf.DUMMYFUNCTION("""COMPUTED_VALUE"""),1)</f>
        <v>1</v>
      </c>
      <c r="L2073" s="1076" t="str">
        <f>IFERROR(__xludf.DUMMYFUNCTION("""COMPUTED_VALUE"""),"Loại biên")</f>
        <v>Loại biên</v>
      </c>
    </row>
    <row r="2074" customHeight="1" spans="1:12">
      <c r="A2074" s="1076" t="str">
        <f>IFERROR(__xludf.DUMMYFUNCTION("""COMPUTED_VALUE"""),"XB1-MPC-016")</f>
        <v>XB1-MPC-016</v>
      </c>
      <c r="B2074" s="1075" t="str">
        <f>IFERROR(__xludf.DUMMYFUNCTION("""COMPUTED_VALUE"""),"Máy phát cỏ 2 thì")</f>
        <v>Máy phát cỏ 2 thì</v>
      </c>
      <c r="C2074" s="1076" t="str">
        <f>IFERROR(__xludf.DUMMYFUNCTION("""COMPUTED_VALUE"""),"Loại biên")</f>
        <v>Loại biên</v>
      </c>
      <c r="D2074" s="1076" t="str">
        <f>IFERROR(__xludf.DUMMYFUNCTION("""COMPUTED_VALUE"""),"NAGATA")</f>
        <v>NAGATA</v>
      </c>
      <c r="E2074" s="1076" t="str">
        <f>IFERROR(__xludf.DUMMYFUNCTION("""COMPUTED_VALUE"""),"TRUNG QUỐC")</f>
        <v>TRUNG QUỐC</v>
      </c>
      <c r="F2074" s="1076"/>
      <c r="G2074" s="1076" t="str">
        <f>IFERROR(__xludf.DUMMYFUNCTION("""COMPUTED_VALUE"""),"CG411")</f>
        <v>CG411</v>
      </c>
      <c r="H2074" s="1076" t="str">
        <f>IFERROR(__xludf.DUMMYFUNCTION("""COMPUTED_VALUE"""),"1.8HP")</f>
        <v>1.8HP</v>
      </c>
      <c r="I2074" s="1076"/>
      <c r="J2074" s="1076"/>
      <c r="K2074" s="1076">
        <f>IFERROR(__xludf.DUMMYFUNCTION("""COMPUTED_VALUE"""),1)</f>
        <v>1</v>
      </c>
      <c r="L2074" s="1076" t="str">
        <f>IFERROR(__xludf.DUMMYFUNCTION("""COMPUTED_VALUE"""),"Loại biên")</f>
        <v>Loại biên</v>
      </c>
    </row>
    <row r="2075" customHeight="1" spans="1:12">
      <c r="A2075" s="1076" t="str">
        <f>IFERROR(__xludf.DUMMYFUNCTION("""COMPUTED_VALUE"""),"XB1-MPC-017")</f>
        <v>XB1-MPC-017</v>
      </c>
      <c r="B2075" s="1075" t="str">
        <f>IFERROR(__xludf.DUMMYFUNCTION("""COMPUTED_VALUE"""),"Máy phát cỏ 2 thì")</f>
        <v>Máy phát cỏ 2 thì</v>
      </c>
      <c r="C2075" s="1076" t="str">
        <f>IFERROR(__xludf.DUMMYFUNCTION("""COMPUTED_VALUE"""),"Loại biên")</f>
        <v>Loại biên</v>
      </c>
      <c r="D2075" s="1076" t="str">
        <f>IFERROR(__xludf.DUMMYFUNCTION("""COMPUTED_VALUE"""),"NAGATA")</f>
        <v>NAGATA</v>
      </c>
      <c r="E2075" s="1076" t="str">
        <f>IFERROR(__xludf.DUMMYFUNCTION("""COMPUTED_VALUE"""),"TRUNG QUỐC")</f>
        <v>TRUNG QUỐC</v>
      </c>
      <c r="F2075" s="1076"/>
      <c r="G2075" s="1076" t="str">
        <f>IFERROR(__xludf.DUMMYFUNCTION("""COMPUTED_VALUE"""),"CG411")</f>
        <v>CG411</v>
      </c>
      <c r="H2075" s="1076" t="str">
        <f>IFERROR(__xludf.DUMMYFUNCTION("""COMPUTED_VALUE"""),"1.8HP")</f>
        <v>1.8HP</v>
      </c>
      <c r="I2075" s="1076"/>
      <c r="J2075" s="1076"/>
      <c r="K2075" s="1076">
        <f>IFERROR(__xludf.DUMMYFUNCTION("""COMPUTED_VALUE"""),1)</f>
        <v>1</v>
      </c>
      <c r="L2075" s="1076" t="str">
        <f>IFERROR(__xludf.DUMMYFUNCTION("""COMPUTED_VALUE"""),"Loại biên")</f>
        <v>Loại biên</v>
      </c>
    </row>
    <row r="2076" customHeight="1" spans="1:12">
      <c r="A2076" s="1076" t="str">
        <f>IFERROR(__xludf.DUMMYFUNCTION("""COMPUTED_VALUE"""),"XB1-MPC-018")</f>
        <v>XB1-MPC-018</v>
      </c>
      <c r="B2076" s="1075" t="str">
        <f>IFERROR(__xludf.DUMMYFUNCTION("""COMPUTED_VALUE"""),"Máy phát cỏ 2 thì")</f>
        <v>Máy phát cỏ 2 thì</v>
      </c>
      <c r="C2076" s="1076" t="str">
        <f>IFERROR(__xludf.DUMMYFUNCTION("""COMPUTED_VALUE"""),"Loại biên")</f>
        <v>Loại biên</v>
      </c>
      <c r="D2076" s="1076" t="str">
        <f>IFERROR(__xludf.DUMMYFUNCTION("""COMPUTED_VALUE"""),"NAGATA")</f>
        <v>NAGATA</v>
      </c>
      <c r="E2076" s="1076" t="str">
        <f>IFERROR(__xludf.DUMMYFUNCTION("""COMPUTED_VALUE"""),"TRUNG QUỐC")</f>
        <v>TRUNG QUỐC</v>
      </c>
      <c r="F2076" s="1076"/>
      <c r="G2076" s="1076" t="str">
        <f>IFERROR(__xludf.DUMMYFUNCTION("""COMPUTED_VALUE"""),"CG411")</f>
        <v>CG411</v>
      </c>
      <c r="H2076" s="1076" t="str">
        <f>IFERROR(__xludf.DUMMYFUNCTION("""COMPUTED_VALUE"""),"1.8HP")</f>
        <v>1.8HP</v>
      </c>
      <c r="I2076" s="1076"/>
      <c r="J2076" s="1076"/>
      <c r="K2076" s="1076">
        <f>IFERROR(__xludf.DUMMYFUNCTION("""COMPUTED_VALUE"""),1)</f>
        <v>1</v>
      </c>
      <c r="L2076" s="1076" t="str">
        <f>IFERROR(__xludf.DUMMYFUNCTION("""COMPUTED_VALUE"""),"Loại biên")</f>
        <v>Loại biên</v>
      </c>
    </row>
    <row r="2077" customHeight="1" spans="1:12">
      <c r="A2077" s="1076" t="str">
        <f>IFERROR(__xludf.DUMMYFUNCTION("""COMPUTED_VALUE"""),"XB1-MPC-019")</f>
        <v>XB1-MPC-019</v>
      </c>
      <c r="B2077" s="1075" t="str">
        <f>IFERROR(__xludf.DUMMYFUNCTION("""COMPUTED_VALUE"""),"Máy phát cỏ 2 thì")</f>
        <v>Máy phát cỏ 2 thì</v>
      </c>
      <c r="C2077" s="1076" t="str">
        <f>IFERROR(__xludf.DUMMYFUNCTION("""COMPUTED_VALUE"""),"Loại biên")</f>
        <v>Loại biên</v>
      </c>
      <c r="D2077" s="1076" t="str">
        <f>IFERROR(__xludf.DUMMYFUNCTION("""COMPUTED_VALUE"""),"NAGATA")</f>
        <v>NAGATA</v>
      </c>
      <c r="E2077" s="1076" t="str">
        <f>IFERROR(__xludf.DUMMYFUNCTION("""COMPUTED_VALUE"""),"TRUNG QUỐC")</f>
        <v>TRUNG QUỐC</v>
      </c>
      <c r="F2077" s="1076"/>
      <c r="G2077" s="1076" t="str">
        <f>IFERROR(__xludf.DUMMYFUNCTION("""COMPUTED_VALUE"""),"CG411")</f>
        <v>CG411</v>
      </c>
      <c r="H2077" s="1076" t="str">
        <f>IFERROR(__xludf.DUMMYFUNCTION("""COMPUTED_VALUE"""),"1.8HP")</f>
        <v>1.8HP</v>
      </c>
      <c r="I2077" s="1076"/>
      <c r="J2077" s="1076"/>
      <c r="K2077" s="1076">
        <f>IFERROR(__xludf.DUMMYFUNCTION("""COMPUTED_VALUE"""),1)</f>
        <v>1</v>
      </c>
      <c r="L2077" s="1076" t="str">
        <f>IFERROR(__xludf.DUMMYFUNCTION("""COMPUTED_VALUE"""),"Loại biên")</f>
        <v>Loại biên</v>
      </c>
    </row>
    <row r="2078" customHeight="1" spans="1:12">
      <c r="A2078" s="1076" t="str">
        <f>IFERROR(__xludf.DUMMYFUNCTION("""COMPUTED_VALUE"""),"XB1-MPC-020")</f>
        <v>XB1-MPC-020</v>
      </c>
      <c r="B2078" s="1075" t="str">
        <f>IFERROR(__xludf.DUMMYFUNCTION("""COMPUTED_VALUE"""),"Máy phát cỏ 2 thì")</f>
        <v>Máy phát cỏ 2 thì</v>
      </c>
      <c r="C2078" s="1076" t="str">
        <f>IFERROR(__xludf.DUMMYFUNCTION("""COMPUTED_VALUE"""),"Loại biên")</f>
        <v>Loại biên</v>
      </c>
      <c r="D2078" s="1076" t="str">
        <f>IFERROR(__xludf.DUMMYFUNCTION("""COMPUTED_VALUE"""),"NAGATA")</f>
        <v>NAGATA</v>
      </c>
      <c r="E2078" s="1076" t="str">
        <f>IFERROR(__xludf.DUMMYFUNCTION("""COMPUTED_VALUE"""),"TRUNG QUỐC")</f>
        <v>TRUNG QUỐC</v>
      </c>
      <c r="F2078" s="1076"/>
      <c r="G2078" s="1076" t="str">
        <f>IFERROR(__xludf.DUMMYFUNCTION("""COMPUTED_VALUE"""),"CG411")</f>
        <v>CG411</v>
      </c>
      <c r="H2078" s="1076" t="str">
        <f>IFERROR(__xludf.DUMMYFUNCTION("""COMPUTED_VALUE"""),"1.8HP")</f>
        <v>1.8HP</v>
      </c>
      <c r="I2078" s="1076"/>
      <c r="J2078" s="1076"/>
      <c r="K2078" s="1076">
        <f>IFERROR(__xludf.DUMMYFUNCTION("""COMPUTED_VALUE"""),1)</f>
        <v>1</v>
      </c>
      <c r="L2078" s="1076" t="str">
        <f>IFERROR(__xludf.DUMMYFUNCTION("""COMPUTED_VALUE"""),"Loại biên")</f>
        <v>Loại biên</v>
      </c>
    </row>
    <row r="2079" customHeight="1" spans="1:12">
      <c r="A2079" s="1076" t="str">
        <f>IFERROR(__xludf.DUMMYFUNCTION("""COMPUTED_VALUE"""),"XB1-MPC-021")</f>
        <v>XB1-MPC-021</v>
      </c>
      <c r="B2079" s="1075" t="str">
        <f>IFERROR(__xludf.DUMMYFUNCTION("""COMPUTED_VALUE"""),"Máy phát cỏ 2 thì")</f>
        <v>Máy phát cỏ 2 thì</v>
      </c>
      <c r="C2079" s="1076" t="str">
        <f>IFERROR(__xludf.DUMMYFUNCTION("""COMPUTED_VALUE"""),"Loại biên")</f>
        <v>Loại biên</v>
      </c>
      <c r="D2079" s="1076" t="str">
        <f>IFERROR(__xludf.DUMMYFUNCTION("""COMPUTED_VALUE"""),"NAGATA")</f>
        <v>NAGATA</v>
      </c>
      <c r="E2079" s="1076" t="str">
        <f>IFERROR(__xludf.DUMMYFUNCTION("""COMPUTED_VALUE"""),"TRUNG QUỐC")</f>
        <v>TRUNG QUỐC</v>
      </c>
      <c r="F2079" s="1076"/>
      <c r="G2079" s="1076" t="str">
        <f>IFERROR(__xludf.DUMMYFUNCTION("""COMPUTED_VALUE"""),"CG411")</f>
        <v>CG411</v>
      </c>
      <c r="H2079" s="1076" t="str">
        <f>IFERROR(__xludf.DUMMYFUNCTION("""COMPUTED_VALUE"""),"1.8HP")</f>
        <v>1.8HP</v>
      </c>
      <c r="I2079" s="1076"/>
      <c r="J2079" s="1076"/>
      <c r="K2079" s="1076">
        <f>IFERROR(__xludf.DUMMYFUNCTION("""COMPUTED_VALUE"""),1)</f>
        <v>1</v>
      </c>
      <c r="L2079" s="1076" t="str">
        <f>IFERROR(__xludf.DUMMYFUNCTION("""COMPUTED_VALUE"""),"Loại biên")</f>
        <v>Loại biên</v>
      </c>
    </row>
    <row r="2080" customHeight="1" spans="1:12">
      <c r="A2080" s="1076" t="str">
        <f>IFERROR(__xludf.DUMMYFUNCTION("""COMPUTED_VALUE"""),"XB1-MPC-022")</f>
        <v>XB1-MPC-022</v>
      </c>
      <c r="B2080" s="1075" t="str">
        <f>IFERROR(__xludf.DUMMYFUNCTION("""COMPUTED_VALUE"""),"Máy phát cỏ 2 thì")</f>
        <v>Máy phát cỏ 2 thì</v>
      </c>
      <c r="C2080" s="1076" t="str">
        <f>IFERROR(__xludf.DUMMYFUNCTION("""COMPUTED_VALUE"""),"Loại biên")</f>
        <v>Loại biên</v>
      </c>
      <c r="D2080" s="1076" t="str">
        <f>IFERROR(__xludf.DUMMYFUNCTION("""COMPUTED_VALUE"""),"NAGATA")</f>
        <v>NAGATA</v>
      </c>
      <c r="E2080" s="1076" t="str">
        <f>IFERROR(__xludf.DUMMYFUNCTION("""COMPUTED_VALUE"""),"TRUNG QUỐC")</f>
        <v>TRUNG QUỐC</v>
      </c>
      <c r="F2080" s="1076"/>
      <c r="G2080" s="1076" t="str">
        <f>IFERROR(__xludf.DUMMYFUNCTION("""COMPUTED_VALUE"""),"CG411")</f>
        <v>CG411</v>
      </c>
      <c r="H2080" s="1076" t="str">
        <f>IFERROR(__xludf.DUMMYFUNCTION("""COMPUTED_VALUE"""),"1.8HP")</f>
        <v>1.8HP</v>
      </c>
      <c r="I2080" s="1076"/>
      <c r="J2080" s="1076"/>
      <c r="K2080" s="1076">
        <f>IFERROR(__xludf.DUMMYFUNCTION("""COMPUTED_VALUE"""),1)</f>
        <v>1</v>
      </c>
      <c r="L2080" s="1076" t="str">
        <f>IFERROR(__xludf.DUMMYFUNCTION("""COMPUTED_VALUE"""),"Loại biên")</f>
        <v>Loại biên</v>
      </c>
    </row>
    <row r="2081" customHeight="1" spans="1:12">
      <c r="A2081" s="1076" t="str">
        <f>IFERROR(__xludf.DUMMYFUNCTION("""COMPUTED_VALUE"""),"XB1-MPC-023")</f>
        <v>XB1-MPC-023</v>
      </c>
      <c r="B2081" s="1075" t="str">
        <f>IFERROR(__xludf.DUMMYFUNCTION("""COMPUTED_VALUE"""),"Máy phát cỏ 2 thì")</f>
        <v>Máy phát cỏ 2 thì</v>
      </c>
      <c r="C2081" s="1076" t="str">
        <f>IFERROR(__xludf.DUMMYFUNCTION("""COMPUTED_VALUE"""),"Loại biên")</f>
        <v>Loại biên</v>
      </c>
      <c r="D2081" s="1076" t="str">
        <f>IFERROR(__xludf.DUMMYFUNCTION("""COMPUTED_VALUE"""),"NAGATA")</f>
        <v>NAGATA</v>
      </c>
      <c r="E2081" s="1076" t="str">
        <f>IFERROR(__xludf.DUMMYFUNCTION("""COMPUTED_VALUE"""),"TRUNG QUỐC")</f>
        <v>TRUNG QUỐC</v>
      </c>
      <c r="F2081" s="1076"/>
      <c r="G2081" s="1076" t="str">
        <f>IFERROR(__xludf.DUMMYFUNCTION("""COMPUTED_VALUE"""),"CG411")</f>
        <v>CG411</v>
      </c>
      <c r="H2081" s="1076" t="str">
        <f>IFERROR(__xludf.DUMMYFUNCTION("""COMPUTED_VALUE"""),"1.8HP")</f>
        <v>1.8HP</v>
      </c>
      <c r="I2081" s="1076"/>
      <c r="J2081" s="1076"/>
      <c r="K2081" s="1076">
        <f>IFERROR(__xludf.DUMMYFUNCTION("""COMPUTED_VALUE"""),1)</f>
        <v>1</v>
      </c>
      <c r="L2081" s="1076" t="str">
        <f>IFERROR(__xludf.DUMMYFUNCTION("""COMPUTED_VALUE"""),"Loại biên")</f>
        <v>Loại biên</v>
      </c>
    </row>
    <row r="2082" customHeight="1" spans="1:12">
      <c r="A2082" s="1076" t="str">
        <f>IFERROR(__xludf.DUMMYFUNCTION("""COMPUTED_VALUE"""),"XB1-MPC-024")</f>
        <v>XB1-MPC-024</v>
      </c>
      <c r="B2082" s="1075" t="str">
        <f>IFERROR(__xludf.DUMMYFUNCTION("""COMPUTED_VALUE"""),"Máy phát cỏ 2 thì")</f>
        <v>Máy phát cỏ 2 thì</v>
      </c>
      <c r="C2082" s="1076" t="str">
        <f>IFERROR(__xludf.DUMMYFUNCTION("""COMPUTED_VALUE"""),"Loại biên")</f>
        <v>Loại biên</v>
      </c>
      <c r="D2082" s="1076" t="str">
        <f>IFERROR(__xludf.DUMMYFUNCTION("""COMPUTED_VALUE"""),"NAGATA")</f>
        <v>NAGATA</v>
      </c>
      <c r="E2082" s="1076" t="str">
        <f>IFERROR(__xludf.DUMMYFUNCTION("""COMPUTED_VALUE"""),"TRUNG QUỐC")</f>
        <v>TRUNG QUỐC</v>
      </c>
      <c r="F2082" s="1076"/>
      <c r="G2082" s="1076" t="str">
        <f>IFERROR(__xludf.DUMMYFUNCTION("""COMPUTED_VALUE"""),"CG411")</f>
        <v>CG411</v>
      </c>
      <c r="H2082" s="1076" t="str">
        <f>IFERROR(__xludf.DUMMYFUNCTION("""COMPUTED_VALUE"""),"1.8HP")</f>
        <v>1.8HP</v>
      </c>
      <c r="I2082" s="1076"/>
      <c r="J2082" s="1076"/>
      <c r="K2082" s="1076">
        <f>IFERROR(__xludf.DUMMYFUNCTION("""COMPUTED_VALUE"""),1)</f>
        <v>1</v>
      </c>
      <c r="L2082" s="1076" t="str">
        <f>IFERROR(__xludf.DUMMYFUNCTION("""COMPUTED_VALUE"""),"Loại biên")</f>
        <v>Loại biên</v>
      </c>
    </row>
    <row r="2083" customHeight="1" spans="1:12">
      <c r="A2083" s="1076" t="str">
        <f>IFERROR(__xludf.DUMMYFUNCTION("""COMPUTED_VALUE"""),"XB1-MPC-025")</f>
        <v>XB1-MPC-025</v>
      </c>
      <c r="B2083" s="1075" t="str">
        <f>IFERROR(__xludf.DUMMYFUNCTION("""COMPUTED_VALUE"""),"Máy phát cỏ 2 thì")</f>
        <v>Máy phát cỏ 2 thì</v>
      </c>
      <c r="C2083" s="1076"/>
      <c r="D2083" s="1076" t="str">
        <f>IFERROR(__xludf.DUMMYFUNCTION("""COMPUTED_VALUE"""),"NAGATA")</f>
        <v>NAGATA</v>
      </c>
      <c r="E2083" s="1076" t="str">
        <f>IFERROR(__xludf.DUMMYFUNCTION("""COMPUTED_VALUE"""),"TRUNG QUỐC")</f>
        <v>TRUNG QUỐC</v>
      </c>
      <c r="F2083" s="1076"/>
      <c r="G2083" s="1076" t="str">
        <f>IFERROR(__xludf.DUMMYFUNCTION("""COMPUTED_VALUE"""),"CG411")</f>
        <v>CG411</v>
      </c>
      <c r="H2083" s="1076" t="str">
        <f>IFERROR(__xludf.DUMMYFUNCTION("""COMPUTED_VALUE"""),"1.8HP")</f>
        <v>1.8HP</v>
      </c>
      <c r="I2083" s="1076"/>
      <c r="J2083" s="1076"/>
      <c r="K2083" s="1076">
        <f>IFERROR(__xludf.DUMMYFUNCTION("""COMPUTED_VALUE"""),1)</f>
        <v>1</v>
      </c>
      <c r="L2083" s="1076" t="str">
        <f>IFERROR(__xludf.DUMMYFUNCTION("""COMPUTED_VALUE"""),"KLH")</f>
        <v>KLH</v>
      </c>
    </row>
    <row r="2084" customHeight="1" spans="1:12">
      <c r="A2084" s="1076" t="str">
        <f>IFERROR(__xludf.DUMMYFUNCTION("""COMPUTED_VALUE"""),"XB1-MPC-031")</f>
        <v>XB1-MPC-031</v>
      </c>
      <c r="B2084" s="1075" t="str">
        <f>IFERROR(__xludf.DUMMYFUNCTION("""COMPUTED_VALUE"""),"Máy phát cỏ 2 thì")</f>
        <v>Máy phát cỏ 2 thì</v>
      </c>
      <c r="C2084" s="1076" t="str">
        <f>IFERROR(__xludf.DUMMYFUNCTION("""COMPUTED_VALUE"""),"Loại biên")</f>
        <v>Loại biên</v>
      </c>
      <c r="D2084" s="1076" t="str">
        <f>IFERROR(__xludf.DUMMYFUNCTION("""COMPUTED_VALUE"""),"NAGATA")</f>
        <v>NAGATA</v>
      </c>
      <c r="E2084" s="1076" t="str">
        <f>IFERROR(__xludf.DUMMYFUNCTION("""COMPUTED_VALUE"""),"TRUNG QUỐC")</f>
        <v>TRUNG QUỐC</v>
      </c>
      <c r="F2084" s="1076"/>
      <c r="G2084" s="1076" t="str">
        <f>IFERROR(__xludf.DUMMYFUNCTION("""COMPUTED_VALUE"""),"CG411")</f>
        <v>CG411</v>
      </c>
      <c r="H2084" s="1076" t="str">
        <f>IFERROR(__xludf.DUMMYFUNCTION("""COMPUTED_VALUE"""),"1.8HP")</f>
        <v>1.8HP</v>
      </c>
      <c r="I2084" s="1076"/>
      <c r="J2084" s="1076"/>
      <c r="K2084" s="1076">
        <f>IFERROR(__xludf.DUMMYFUNCTION("""COMPUTED_VALUE"""),1)</f>
        <v>1</v>
      </c>
      <c r="L2084" s="1076" t="str">
        <f>IFERROR(__xludf.DUMMYFUNCTION("""COMPUTED_VALUE"""),"Loại biên")</f>
        <v>Loại biên</v>
      </c>
    </row>
    <row r="2085" customHeight="1" spans="1:12">
      <c r="A2085" s="1076" t="str">
        <f>IFERROR(__xludf.DUMMYFUNCTION("""COMPUTED_VALUE"""),"XB1-MPC-034")</f>
        <v>XB1-MPC-034</v>
      </c>
      <c r="B2085" s="1075" t="str">
        <f>IFERROR(__xludf.DUMMYFUNCTION("""COMPUTED_VALUE"""),"Máy phát cỏ 2 thì")</f>
        <v>Máy phát cỏ 2 thì</v>
      </c>
      <c r="C2085" s="1076" t="str">
        <f>IFERROR(__xludf.DUMMYFUNCTION("""COMPUTED_VALUE"""),"Loại biên")</f>
        <v>Loại biên</v>
      </c>
      <c r="D2085" s="1076" t="str">
        <f>IFERROR(__xludf.DUMMYFUNCTION("""COMPUTED_VALUE"""),"NAGATA")</f>
        <v>NAGATA</v>
      </c>
      <c r="E2085" s="1076" t="str">
        <f>IFERROR(__xludf.DUMMYFUNCTION("""COMPUTED_VALUE"""),"TRUNG QUỐC")</f>
        <v>TRUNG QUỐC</v>
      </c>
      <c r="F2085" s="1076"/>
      <c r="G2085" s="1076" t="str">
        <f>IFERROR(__xludf.DUMMYFUNCTION("""COMPUTED_VALUE"""),"CG411")</f>
        <v>CG411</v>
      </c>
      <c r="H2085" s="1076" t="str">
        <f>IFERROR(__xludf.DUMMYFUNCTION("""COMPUTED_VALUE"""),"1.8HP")</f>
        <v>1.8HP</v>
      </c>
      <c r="I2085" s="1076"/>
      <c r="J2085" s="1076"/>
      <c r="K2085" s="1076">
        <f>IFERROR(__xludf.DUMMYFUNCTION("""COMPUTED_VALUE"""),1)</f>
        <v>1</v>
      </c>
      <c r="L2085" s="1076" t="str">
        <f>IFERROR(__xludf.DUMMYFUNCTION("""COMPUTED_VALUE"""),"Loại biên")</f>
        <v>Loại biên</v>
      </c>
    </row>
    <row r="2086" customHeight="1" spans="1:12">
      <c r="A2086" s="1076" t="str">
        <f>IFERROR(__xludf.DUMMYFUNCTION("""COMPUTED_VALUE"""),"XB1-MPC-026")</f>
        <v>XB1-MPC-026</v>
      </c>
      <c r="B2086" s="1075" t="str">
        <f>IFERROR(__xludf.DUMMYFUNCTION("""COMPUTED_VALUE"""),"Máy phát cỏ 2 thì")</f>
        <v>Máy phát cỏ 2 thì</v>
      </c>
      <c r="C2086" s="1076" t="str">
        <f>IFERROR(__xludf.DUMMYFUNCTION("""COMPUTED_VALUE"""),"Loại biên")</f>
        <v>Loại biên</v>
      </c>
      <c r="D2086" s="1076" t="str">
        <f>IFERROR(__xludf.DUMMYFUNCTION("""COMPUTED_VALUE"""),"NAGATA")</f>
        <v>NAGATA</v>
      </c>
      <c r="E2086" s="1076" t="str">
        <f>IFERROR(__xludf.DUMMYFUNCTION("""COMPUTED_VALUE"""),"TRUNG QUỐC")</f>
        <v>TRUNG QUỐC</v>
      </c>
      <c r="F2086" s="1076"/>
      <c r="G2086" s="1076" t="str">
        <f>IFERROR(__xludf.DUMMYFUNCTION("""COMPUTED_VALUE"""),"CG411")</f>
        <v>CG411</v>
      </c>
      <c r="H2086" s="1076" t="str">
        <f>IFERROR(__xludf.DUMMYFUNCTION("""COMPUTED_VALUE"""),"1.8HP")</f>
        <v>1.8HP</v>
      </c>
      <c r="I2086" s="1076"/>
      <c r="J2086" s="1076"/>
      <c r="K2086" s="1076">
        <f>IFERROR(__xludf.DUMMYFUNCTION("""COMPUTED_VALUE"""),1)</f>
        <v>1</v>
      </c>
      <c r="L2086" s="1076" t="str">
        <f>IFERROR(__xludf.DUMMYFUNCTION("""COMPUTED_VALUE"""),"Loại biên")</f>
        <v>Loại biên</v>
      </c>
    </row>
    <row r="2087" customHeight="1" spans="1:12">
      <c r="A2087" s="1076" t="str">
        <f>IFERROR(__xludf.DUMMYFUNCTION("""COMPUTED_VALUE"""),"XXD-MPC-001")</f>
        <v>XXD-MPC-001</v>
      </c>
      <c r="B2087" s="1075" t="str">
        <f>IFERROR(__xludf.DUMMYFUNCTION("""COMPUTED_VALUE"""),"Máy phát cỏ 4 thì")</f>
        <v>Máy phát cỏ 4 thì</v>
      </c>
      <c r="C2087" s="1076" t="str">
        <f>IFERROR(__xludf.DUMMYFUNCTION("""COMPUTED_VALUE"""),"Loại biên")</f>
        <v>Loại biên</v>
      </c>
      <c r="D2087" s="1076" t="str">
        <f>IFERROR(__xludf.DUMMYFUNCTION("""COMPUTED_VALUE"""),"HINOTA")</f>
        <v>HINOTA</v>
      </c>
      <c r="E2087" s="1076" t="str">
        <f>IFERROR(__xludf.DUMMYFUNCTION("""COMPUTED_VALUE"""),"Trung Quốc")</f>
        <v>Trung Quốc</v>
      </c>
      <c r="F2087" s="1076"/>
      <c r="G2087" s="1076" t="str">
        <f>IFERROR(__xludf.DUMMYFUNCTION("""COMPUTED_VALUE"""),"CG435")</f>
        <v>CG435</v>
      </c>
      <c r="H2087" s="1076" t="str">
        <f>IFERROR(__xludf.DUMMYFUNCTION("""COMPUTED_VALUE"""),"1.2HP")</f>
        <v>1.2HP</v>
      </c>
      <c r="I2087" s="1076" t="str">
        <f>IFERROR(__xludf.DUMMYFUNCTION("""COMPUTED_VALUE"""),"220330")</f>
        <v>220330</v>
      </c>
      <c r="J2087" s="1076"/>
      <c r="K2087" s="1076">
        <f>IFERROR(__xludf.DUMMYFUNCTION("""COMPUTED_VALUE"""),0.5)</f>
        <v>0.5</v>
      </c>
      <c r="L2087" s="1076" t="str">
        <f>IFERROR(__xludf.DUMMYFUNCTION("""COMPUTED_VALUE"""),"Loại biên")</f>
        <v>Loại biên</v>
      </c>
    </row>
    <row r="2088" customHeight="1" spans="1:12">
      <c r="A2088" s="1076" t="str">
        <f>IFERROR(__xludf.DUMMYFUNCTION("""COMPUTED_VALUE"""),"XXD-MPC-002")</f>
        <v>XXD-MPC-002</v>
      </c>
      <c r="B2088" s="1075" t="str">
        <f>IFERROR(__xludf.DUMMYFUNCTION("""COMPUTED_VALUE"""),"Máy phát cỏ 4 thì")</f>
        <v>Máy phát cỏ 4 thì</v>
      </c>
      <c r="C2088" s="1076" t="str">
        <f>IFERROR(__xludf.DUMMYFUNCTION("""COMPUTED_VALUE"""),"Loại biên")</f>
        <v>Loại biên</v>
      </c>
      <c r="D2088" s="1076" t="str">
        <f>IFERROR(__xludf.DUMMYFUNCTION("""COMPUTED_VALUE"""),"HINOTA")</f>
        <v>HINOTA</v>
      </c>
      <c r="E2088" s="1076" t="str">
        <f>IFERROR(__xludf.DUMMYFUNCTION("""COMPUTED_VALUE"""),"Trung Quốc")</f>
        <v>Trung Quốc</v>
      </c>
      <c r="F2088" s="1076"/>
      <c r="G2088" s="1076" t="str">
        <f>IFERROR(__xludf.DUMMYFUNCTION("""COMPUTED_VALUE"""),"CG435")</f>
        <v>CG435</v>
      </c>
      <c r="H2088" s="1076" t="str">
        <f>IFERROR(__xludf.DUMMYFUNCTION("""COMPUTED_VALUE"""),"1.2HP")</f>
        <v>1.2HP</v>
      </c>
      <c r="I2088" s="1076" t="str">
        <f>IFERROR(__xludf.DUMMYFUNCTION("""COMPUTED_VALUE"""),"201511")</f>
        <v>201511</v>
      </c>
      <c r="J2088" s="1076"/>
      <c r="K2088" s="1076">
        <f>IFERROR(__xludf.DUMMYFUNCTION("""COMPUTED_VALUE"""),0.5)</f>
        <v>0.5</v>
      </c>
      <c r="L2088" s="1076" t="str">
        <f>IFERROR(__xludf.DUMMYFUNCTION("""COMPUTED_VALUE"""),"Loại biên")</f>
        <v>Loại biên</v>
      </c>
    </row>
    <row r="2089" customHeight="1" spans="1:12">
      <c r="A2089" s="1076" t="str">
        <f>IFERROR(__xludf.DUMMYFUNCTION("""COMPUTED_VALUE"""),"XXD-MPC-003")</f>
        <v>XXD-MPC-003</v>
      </c>
      <c r="B2089" s="1075" t="str">
        <f>IFERROR(__xludf.DUMMYFUNCTION("""COMPUTED_VALUE"""),"Máy phát cỏ 4 thì")</f>
        <v>Máy phát cỏ 4 thì</v>
      </c>
      <c r="C2089" s="1076" t="str">
        <f>IFERROR(__xludf.DUMMYFUNCTION("""COMPUTED_VALUE"""),"Loại biên")</f>
        <v>Loại biên</v>
      </c>
      <c r="D2089" s="1076" t="str">
        <f>IFERROR(__xludf.DUMMYFUNCTION("""COMPUTED_VALUE"""),"HINOTA")</f>
        <v>HINOTA</v>
      </c>
      <c r="E2089" s="1076" t="str">
        <f>IFERROR(__xludf.DUMMYFUNCTION("""COMPUTED_VALUE"""),"Trung Quốc")</f>
        <v>Trung Quốc</v>
      </c>
      <c r="F2089" s="1076"/>
      <c r="G2089" s="1076" t="str">
        <f>IFERROR(__xludf.DUMMYFUNCTION("""COMPUTED_VALUE"""),"CG435")</f>
        <v>CG435</v>
      </c>
      <c r="H2089" s="1076" t="str">
        <f>IFERROR(__xludf.DUMMYFUNCTION("""COMPUTED_VALUE"""),"1.2HP")</f>
        <v>1.2HP</v>
      </c>
      <c r="I2089" s="1076" t="str">
        <f>IFERROR(__xludf.DUMMYFUNCTION("""COMPUTED_VALUE"""),"230317")</f>
        <v>230317</v>
      </c>
      <c r="J2089" s="1076"/>
      <c r="K2089" s="1076">
        <f>IFERROR(__xludf.DUMMYFUNCTION("""COMPUTED_VALUE"""),0.5)</f>
        <v>0.5</v>
      </c>
      <c r="L2089" s="1076" t="str">
        <f>IFERROR(__xludf.DUMMYFUNCTION("""COMPUTED_VALUE"""),"Loại biên")</f>
        <v>Loại biên</v>
      </c>
    </row>
    <row r="2090" customHeight="1" spans="1:12">
      <c r="A2090" s="1076" t="str">
        <f>IFERROR(__xludf.DUMMYFUNCTION("""COMPUTED_VALUE"""),"XXD-MPC-004")</f>
        <v>XXD-MPC-004</v>
      </c>
      <c r="B2090" s="1075" t="str">
        <f>IFERROR(__xludf.DUMMYFUNCTION("""COMPUTED_VALUE"""),"Máy phát cỏ 4 thì")</f>
        <v>Máy phát cỏ 4 thì</v>
      </c>
      <c r="C2090" s="1076" t="str">
        <f>IFERROR(__xludf.DUMMYFUNCTION("""COMPUTED_VALUE"""),"Loại biên")</f>
        <v>Loại biên</v>
      </c>
      <c r="D2090" s="1076" t="str">
        <f>IFERROR(__xludf.DUMMYFUNCTION("""COMPUTED_VALUE"""),"HINOTA")</f>
        <v>HINOTA</v>
      </c>
      <c r="E2090" s="1076" t="str">
        <f>IFERROR(__xludf.DUMMYFUNCTION("""COMPUTED_VALUE"""),"Trung Quốc")</f>
        <v>Trung Quốc</v>
      </c>
      <c r="F2090" s="1076"/>
      <c r="G2090" s="1076" t="str">
        <f>IFERROR(__xludf.DUMMYFUNCTION("""COMPUTED_VALUE"""),"CG435")</f>
        <v>CG435</v>
      </c>
      <c r="H2090" s="1076" t="str">
        <f>IFERROR(__xludf.DUMMYFUNCTION("""COMPUTED_VALUE"""),"1.2HP")</f>
        <v>1.2HP</v>
      </c>
      <c r="I2090" s="1076" t="str">
        <f>IFERROR(__xludf.DUMMYFUNCTION("""COMPUTED_VALUE"""),"220330")</f>
        <v>220330</v>
      </c>
      <c r="J2090" s="1076"/>
      <c r="K2090" s="1076">
        <f>IFERROR(__xludf.DUMMYFUNCTION("""COMPUTED_VALUE"""),0.5)</f>
        <v>0.5</v>
      </c>
      <c r="L2090" s="1076" t="str">
        <f>IFERROR(__xludf.DUMMYFUNCTION("""COMPUTED_VALUE"""),"Loại biên")</f>
        <v>Loại biên</v>
      </c>
    </row>
    <row r="2091" customHeight="1" spans="1:12">
      <c r="A2091" s="1076" t="str">
        <f>IFERROR(__xludf.DUMMYFUNCTION("""COMPUTED_VALUE"""),"XXD-MPC-005")</f>
        <v>XXD-MPC-005</v>
      </c>
      <c r="B2091" s="1075" t="str">
        <f>IFERROR(__xludf.DUMMYFUNCTION("""COMPUTED_VALUE"""),"Máy phát cỏ 4 thì")</f>
        <v>Máy phát cỏ 4 thì</v>
      </c>
      <c r="C2091" s="1076" t="str">
        <f>IFERROR(__xludf.DUMMYFUNCTION("""COMPUTED_VALUE"""),"Loại biên")</f>
        <v>Loại biên</v>
      </c>
      <c r="D2091" s="1076" t="str">
        <f>IFERROR(__xludf.DUMMYFUNCTION("""COMPUTED_VALUE"""),"HINOTA")</f>
        <v>HINOTA</v>
      </c>
      <c r="E2091" s="1076" t="str">
        <f>IFERROR(__xludf.DUMMYFUNCTION("""COMPUTED_VALUE"""),"Trung Quốc")</f>
        <v>Trung Quốc</v>
      </c>
      <c r="F2091" s="1076"/>
      <c r="G2091" s="1076" t="str">
        <f>IFERROR(__xludf.DUMMYFUNCTION("""COMPUTED_VALUE"""),"CG435")</f>
        <v>CG435</v>
      </c>
      <c r="H2091" s="1076" t="str">
        <f>IFERROR(__xludf.DUMMYFUNCTION("""COMPUTED_VALUE"""),"1.2HP")</f>
        <v>1.2HP</v>
      </c>
      <c r="I2091" s="1076" t="str">
        <f>IFERROR(__xludf.DUMMYFUNCTION("""COMPUTED_VALUE"""),"201511")</f>
        <v>201511</v>
      </c>
      <c r="J2091" s="1076"/>
      <c r="K2091" s="1076">
        <f>IFERROR(__xludf.DUMMYFUNCTION("""COMPUTED_VALUE"""),0.5)</f>
        <v>0.5</v>
      </c>
      <c r="L2091" s="1076" t="str">
        <f>IFERROR(__xludf.DUMMYFUNCTION("""COMPUTED_VALUE"""),"Loại biên")</f>
        <v>Loại biên</v>
      </c>
    </row>
    <row r="2092" customHeight="1" spans="1:12">
      <c r="A2092" s="1076" t="str">
        <f>IFERROR(__xludf.DUMMYFUNCTION("""COMPUTED_VALUE"""),"XXD-MPC-006")</f>
        <v>XXD-MPC-006</v>
      </c>
      <c r="B2092" s="1075" t="str">
        <f>IFERROR(__xludf.DUMMYFUNCTION("""COMPUTED_VALUE"""),"Máy phát cỏ 4 thì")</f>
        <v>Máy phát cỏ 4 thì</v>
      </c>
      <c r="C2092" s="1076" t="str">
        <f>IFERROR(__xludf.DUMMYFUNCTION("""COMPUTED_VALUE"""),"Loại biên")</f>
        <v>Loại biên</v>
      </c>
      <c r="D2092" s="1076" t="str">
        <f>IFERROR(__xludf.DUMMYFUNCTION("""COMPUTED_VALUE"""),"HINOTA")</f>
        <v>HINOTA</v>
      </c>
      <c r="E2092" s="1076" t="str">
        <f>IFERROR(__xludf.DUMMYFUNCTION("""COMPUTED_VALUE"""),"Trung Quốc")</f>
        <v>Trung Quốc</v>
      </c>
      <c r="F2092" s="1076"/>
      <c r="G2092" s="1076" t="str">
        <f>IFERROR(__xludf.DUMMYFUNCTION("""COMPUTED_VALUE"""),"CG435")</f>
        <v>CG435</v>
      </c>
      <c r="H2092" s="1076" t="str">
        <f>IFERROR(__xludf.DUMMYFUNCTION("""COMPUTED_VALUE"""),"1.2HP")</f>
        <v>1.2HP</v>
      </c>
      <c r="I2092" s="1076" t="str">
        <f>IFERROR(__xludf.DUMMYFUNCTION("""COMPUTED_VALUE"""),"220317")</f>
        <v>220317</v>
      </c>
      <c r="J2092" s="1076"/>
      <c r="K2092" s="1076">
        <f>IFERROR(__xludf.DUMMYFUNCTION("""COMPUTED_VALUE"""),0.5)</f>
        <v>0.5</v>
      </c>
      <c r="L2092" s="1076" t="str">
        <f>IFERROR(__xludf.DUMMYFUNCTION("""COMPUTED_VALUE"""),"Loại biên")</f>
        <v>Loại biên</v>
      </c>
    </row>
    <row r="2093" customHeight="1" spans="1:12">
      <c r="A2093" s="1076" t="str">
        <f>IFERROR(__xludf.DUMMYFUNCTION("""COMPUTED_VALUE"""),"XXD-MPC-007")</f>
        <v>XXD-MPC-007</v>
      </c>
      <c r="B2093" s="1075" t="str">
        <f>IFERROR(__xludf.DUMMYFUNCTION("""COMPUTED_VALUE"""),"Máy phát cỏ 4 thì")</f>
        <v>Máy phát cỏ 4 thì</v>
      </c>
      <c r="C2093" s="1076" t="str">
        <f>IFERROR(__xludf.DUMMYFUNCTION("""COMPUTED_VALUE"""),"Loại biên")</f>
        <v>Loại biên</v>
      </c>
      <c r="D2093" s="1076" t="str">
        <f>IFERROR(__xludf.DUMMYFUNCTION("""COMPUTED_VALUE"""),"HINOTA")</f>
        <v>HINOTA</v>
      </c>
      <c r="E2093" s="1076" t="str">
        <f>IFERROR(__xludf.DUMMYFUNCTION("""COMPUTED_VALUE"""),"Trung Quốc")</f>
        <v>Trung Quốc</v>
      </c>
      <c r="F2093" s="1076"/>
      <c r="G2093" s="1076" t="str">
        <f>IFERROR(__xludf.DUMMYFUNCTION("""COMPUTED_VALUE"""),"CG435")</f>
        <v>CG435</v>
      </c>
      <c r="H2093" s="1076" t="str">
        <f>IFERROR(__xludf.DUMMYFUNCTION("""COMPUTED_VALUE"""),"1.2HP")</f>
        <v>1.2HP</v>
      </c>
      <c r="I2093" s="1076" t="str">
        <f>IFERROR(__xludf.DUMMYFUNCTION("""COMPUTED_VALUE"""),"220317")</f>
        <v>220317</v>
      </c>
      <c r="J2093" s="1076"/>
      <c r="K2093" s="1076">
        <f>IFERROR(__xludf.DUMMYFUNCTION("""COMPUTED_VALUE"""),0.5)</f>
        <v>0.5</v>
      </c>
      <c r="L2093" s="1076" t="str">
        <f>IFERROR(__xludf.DUMMYFUNCTION("""COMPUTED_VALUE"""),"Loại biên")</f>
        <v>Loại biên</v>
      </c>
    </row>
    <row r="2094" customHeight="1" spans="1:12">
      <c r="A2094" s="1076" t="str">
        <f>IFERROR(__xludf.DUMMYFUNCTION("""COMPUTED_VALUE"""),"XXD-MPC-008")</f>
        <v>XXD-MPC-008</v>
      </c>
      <c r="B2094" s="1075" t="str">
        <f>IFERROR(__xludf.DUMMYFUNCTION("""COMPUTED_VALUE"""),"Máy phát cỏ 4 thì")</f>
        <v>Máy phát cỏ 4 thì</v>
      </c>
      <c r="C2094" s="1076" t="str">
        <f>IFERROR(__xludf.DUMMYFUNCTION("""COMPUTED_VALUE"""),"Loại biên")</f>
        <v>Loại biên</v>
      </c>
      <c r="D2094" s="1076" t="str">
        <f>IFERROR(__xludf.DUMMYFUNCTION("""COMPUTED_VALUE"""),"HINOTA")</f>
        <v>HINOTA</v>
      </c>
      <c r="E2094" s="1076" t="str">
        <f>IFERROR(__xludf.DUMMYFUNCTION("""COMPUTED_VALUE"""),"Trung Quốc")</f>
        <v>Trung Quốc</v>
      </c>
      <c r="F2094" s="1076"/>
      <c r="G2094" s="1076" t="str">
        <f>IFERROR(__xludf.DUMMYFUNCTION("""COMPUTED_VALUE"""),"CG435")</f>
        <v>CG435</v>
      </c>
      <c r="H2094" s="1076" t="str">
        <f>IFERROR(__xludf.DUMMYFUNCTION("""COMPUTED_VALUE"""),"1.2HP")</f>
        <v>1.2HP</v>
      </c>
      <c r="I2094" s="1076" t="str">
        <f>IFERROR(__xludf.DUMMYFUNCTION("""COMPUTED_VALUE"""),"220317")</f>
        <v>220317</v>
      </c>
      <c r="J2094" s="1076"/>
      <c r="K2094" s="1076">
        <f>IFERROR(__xludf.DUMMYFUNCTION("""COMPUTED_VALUE"""),0.5)</f>
        <v>0.5</v>
      </c>
      <c r="L2094" s="1076" t="str">
        <f>IFERROR(__xludf.DUMMYFUNCTION("""COMPUTED_VALUE"""),"Loại biên")</f>
        <v>Loại biên</v>
      </c>
    </row>
    <row r="2095" customHeight="1" spans="1:12">
      <c r="A2095" s="1076" t="str">
        <f>IFERROR(__xludf.DUMMYFUNCTION("""COMPUTED_VALUE"""),"XXD-MPC-024")</f>
        <v>XXD-MPC-024</v>
      </c>
      <c r="B2095" s="1075" t="str">
        <f>IFERROR(__xludf.DUMMYFUNCTION("""COMPUTED_VALUE"""),"Máy phát cỏ 4 thì")</f>
        <v>Máy phát cỏ 4 thì</v>
      </c>
      <c r="C2095" s="1076" t="str">
        <f>IFERROR(__xludf.DUMMYFUNCTION("""COMPUTED_VALUE"""),"Loại biên")</f>
        <v>Loại biên</v>
      </c>
      <c r="D2095" s="1076" t="str">
        <f>IFERROR(__xludf.DUMMYFUNCTION("""COMPUTED_VALUE"""),"HONDA")</f>
        <v>HONDA</v>
      </c>
      <c r="E2095" s="1076" t="str">
        <f>IFERROR(__xludf.DUMMYFUNCTION("""COMPUTED_VALUE"""),"Trung Quốc")</f>
        <v>Trung Quốc</v>
      </c>
      <c r="F2095" s="1076"/>
      <c r="G2095" s="1076" t="str">
        <f>IFERROR(__xludf.DUMMYFUNCTION("""COMPUTED_VALUE"""),"GX35")</f>
        <v>GX35</v>
      </c>
      <c r="H2095" s="1076" t="str">
        <f>IFERROR(__xludf.DUMMYFUNCTION("""COMPUTED_VALUE"""),"1.6HP")</f>
        <v>1.6HP</v>
      </c>
      <c r="I2095" s="1076" t="str">
        <f>IFERROR(__xludf.DUMMYFUNCTION("""COMPUTED_VALUE"""),"GCAMT-7635885")</f>
        <v>GCAMT-7635885</v>
      </c>
      <c r="J2095" s="1076"/>
      <c r="K2095" s="1076">
        <f>IFERROR(__xludf.DUMMYFUNCTION("""COMPUTED_VALUE"""),0.5)</f>
        <v>0.5</v>
      </c>
      <c r="L2095" s="1076" t="str">
        <f>IFERROR(__xludf.DUMMYFUNCTION("""COMPUTED_VALUE"""),"Loại biên")</f>
        <v>Loại biên</v>
      </c>
    </row>
    <row r="2096" customHeight="1" spans="1:12">
      <c r="A2096" s="1076" t="str">
        <f>IFERROR(__xludf.DUMMYFUNCTION("""COMPUTED_VALUE"""),"XXD-MPC-025")</f>
        <v>XXD-MPC-025</v>
      </c>
      <c r="B2096" s="1075" t="str">
        <f>IFERROR(__xludf.DUMMYFUNCTION("""COMPUTED_VALUE"""),"Máy phát cỏ 4 thì")</f>
        <v>Máy phát cỏ 4 thì</v>
      </c>
      <c r="C2096" s="1076" t="str">
        <f>IFERROR(__xludf.DUMMYFUNCTION("""COMPUTED_VALUE"""),"Loại biên")</f>
        <v>Loại biên</v>
      </c>
      <c r="D2096" s="1076" t="str">
        <f>IFERROR(__xludf.DUMMYFUNCTION("""COMPUTED_VALUE"""),"HONDA")</f>
        <v>HONDA</v>
      </c>
      <c r="E2096" s="1076" t="str">
        <f>IFERROR(__xludf.DUMMYFUNCTION("""COMPUTED_VALUE"""),"Trung Quốc")</f>
        <v>Trung Quốc</v>
      </c>
      <c r="F2096" s="1076"/>
      <c r="G2096" s="1076" t="str">
        <f>IFERROR(__xludf.DUMMYFUNCTION("""COMPUTED_VALUE"""),"GX35")</f>
        <v>GX35</v>
      </c>
      <c r="H2096" s="1076" t="str">
        <f>IFERROR(__xludf.DUMMYFUNCTION("""COMPUTED_VALUE"""),"1.6HP")</f>
        <v>1.6HP</v>
      </c>
      <c r="I2096" s="1076" t="str">
        <f>IFERROR(__xludf.DUMMYFUNCTION("""COMPUTED_VALUE"""),"GCAMT-7654048")</f>
        <v>GCAMT-7654048</v>
      </c>
      <c r="J2096" s="1076"/>
      <c r="K2096" s="1076">
        <f>IFERROR(__xludf.DUMMYFUNCTION("""COMPUTED_VALUE"""),0.5)</f>
        <v>0.5</v>
      </c>
      <c r="L2096" s="1076" t="str">
        <f>IFERROR(__xludf.DUMMYFUNCTION("""COMPUTED_VALUE"""),"Loại biên")</f>
        <v>Loại biên</v>
      </c>
    </row>
    <row r="2097" customHeight="1" spans="1:12">
      <c r="A2097" s="1076" t="str">
        <f>IFERROR(__xludf.DUMMYFUNCTION("""COMPUTED_VALUE"""),"XXD-MPC-026")</f>
        <v>XXD-MPC-026</v>
      </c>
      <c r="B2097" s="1075" t="str">
        <f>IFERROR(__xludf.DUMMYFUNCTION("""COMPUTED_VALUE"""),"Máy phát cỏ 4 thì")</f>
        <v>Máy phát cỏ 4 thì</v>
      </c>
      <c r="C2097" s="1076" t="str">
        <f>IFERROR(__xludf.DUMMYFUNCTION("""COMPUTED_VALUE"""),"Loại biên")</f>
        <v>Loại biên</v>
      </c>
      <c r="D2097" s="1076" t="str">
        <f>IFERROR(__xludf.DUMMYFUNCTION("""COMPUTED_VALUE"""),"HONDA")</f>
        <v>HONDA</v>
      </c>
      <c r="E2097" s="1076" t="str">
        <f>IFERROR(__xludf.DUMMYFUNCTION("""COMPUTED_VALUE"""),"Trung Quốc")</f>
        <v>Trung Quốc</v>
      </c>
      <c r="F2097" s="1076"/>
      <c r="G2097" s="1076" t="str">
        <f>IFERROR(__xludf.DUMMYFUNCTION("""COMPUTED_VALUE"""),"GX35")</f>
        <v>GX35</v>
      </c>
      <c r="H2097" s="1076" t="str">
        <f>IFERROR(__xludf.DUMMYFUNCTION("""COMPUTED_VALUE"""),"1.6HP")</f>
        <v>1.6HP</v>
      </c>
      <c r="I2097" s="1076" t="str">
        <f>IFERROR(__xludf.DUMMYFUNCTION("""COMPUTED_VALUE"""),"GCAMT-7707916")</f>
        <v>GCAMT-7707916</v>
      </c>
      <c r="J2097" s="1076"/>
      <c r="K2097" s="1076">
        <f>IFERROR(__xludf.DUMMYFUNCTION("""COMPUTED_VALUE"""),0.5)</f>
        <v>0.5</v>
      </c>
      <c r="L2097" s="1076" t="str">
        <f>IFERROR(__xludf.DUMMYFUNCTION("""COMPUTED_VALUE"""),"Loại biên")</f>
        <v>Loại biên</v>
      </c>
    </row>
    <row r="2098" customHeight="1" spans="1:12">
      <c r="A2098" s="1076" t="str">
        <f>IFERROR(__xludf.DUMMYFUNCTION("""COMPUTED_VALUE"""),"XXD-MPC-027")</f>
        <v>XXD-MPC-027</v>
      </c>
      <c r="B2098" s="1075" t="str">
        <f>IFERROR(__xludf.DUMMYFUNCTION("""COMPUTED_VALUE"""),"Máy phát cỏ 4 thì")</f>
        <v>Máy phát cỏ 4 thì</v>
      </c>
      <c r="C2098" s="1076" t="str">
        <f>IFERROR(__xludf.DUMMYFUNCTION("""COMPUTED_VALUE"""),"Loại biên")</f>
        <v>Loại biên</v>
      </c>
      <c r="D2098" s="1076" t="str">
        <f>IFERROR(__xludf.DUMMYFUNCTION("""COMPUTED_VALUE"""),"HONDA")</f>
        <v>HONDA</v>
      </c>
      <c r="E2098" s="1076" t="str">
        <f>IFERROR(__xludf.DUMMYFUNCTION("""COMPUTED_VALUE"""),"Trung Quốc")</f>
        <v>Trung Quốc</v>
      </c>
      <c r="F2098" s="1076"/>
      <c r="G2098" s="1076" t="str">
        <f>IFERROR(__xludf.DUMMYFUNCTION("""COMPUTED_VALUE"""),"GX35")</f>
        <v>GX35</v>
      </c>
      <c r="H2098" s="1076" t="str">
        <f>IFERROR(__xludf.DUMMYFUNCTION("""COMPUTED_VALUE"""),"1.6HP")</f>
        <v>1.6HP</v>
      </c>
      <c r="I2098" s="1076" t="str">
        <f>IFERROR(__xludf.DUMMYFUNCTION("""COMPUTED_VALUE"""),"GCAMT-7707913")</f>
        <v>GCAMT-7707913</v>
      </c>
      <c r="J2098" s="1076"/>
      <c r="K2098" s="1076">
        <f>IFERROR(__xludf.DUMMYFUNCTION("""COMPUTED_VALUE"""),0.5)</f>
        <v>0.5</v>
      </c>
      <c r="L2098" s="1076" t="str">
        <f>IFERROR(__xludf.DUMMYFUNCTION("""COMPUTED_VALUE"""),"Loại biên")</f>
        <v>Loại biên</v>
      </c>
    </row>
    <row r="2099" customHeight="1" spans="1:12">
      <c r="A2099" s="1076" t="str">
        <f>IFERROR(__xludf.DUMMYFUNCTION("""COMPUTED_VALUE"""),"XXD-MPC-018")</f>
        <v>XXD-MPC-018</v>
      </c>
      <c r="B2099" s="1075" t="str">
        <f>IFERROR(__xludf.DUMMYFUNCTION("""COMPUTED_VALUE"""),"Máy phát cỏ 4 thì")</f>
        <v>Máy phát cỏ 4 thì</v>
      </c>
      <c r="C2099" s="1076" t="str">
        <f>IFERROR(__xludf.DUMMYFUNCTION("""COMPUTED_VALUE"""),"Loại biên")</f>
        <v>Loại biên</v>
      </c>
      <c r="D2099" s="1076" t="str">
        <f>IFERROR(__xludf.DUMMYFUNCTION("""COMPUTED_VALUE"""),"HONDA")</f>
        <v>HONDA</v>
      </c>
      <c r="E2099" s="1076" t="str">
        <f>IFERROR(__xludf.DUMMYFUNCTION("""COMPUTED_VALUE"""),"Trung Quốc")</f>
        <v>Trung Quốc</v>
      </c>
      <c r="F2099" s="1076"/>
      <c r="G2099" s="1076" t="str">
        <f>IFERROR(__xludf.DUMMYFUNCTION("""COMPUTED_VALUE"""),"GX35")</f>
        <v>GX35</v>
      </c>
      <c r="H2099" s="1076" t="str">
        <f>IFERROR(__xludf.DUMMYFUNCTION("""COMPUTED_VALUE"""),"1.6HP")</f>
        <v>1.6HP</v>
      </c>
      <c r="I2099" s="1076"/>
      <c r="J2099" s="1076"/>
      <c r="K2099" s="1076">
        <f>IFERROR(__xludf.DUMMYFUNCTION("""COMPUTED_VALUE"""),0.5)</f>
        <v>0.5</v>
      </c>
      <c r="L2099" s="1076" t="str">
        <f>IFERROR(__xludf.DUMMYFUNCTION("""COMPUTED_VALUE"""),"Loại biên")</f>
        <v>Loại biên</v>
      </c>
    </row>
    <row r="2100" customHeight="1" spans="1:12">
      <c r="A2100" s="1076" t="str">
        <f>IFERROR(__xludf.DUMMYFUNCTION("""COMPUTED_VALUE"""),"XXD-MPC-019")</f>
        <v>XXD-MPC-019</v>
      </c>
      <c r="B2100" s="1075" t="str">
        <f>IFERROR(__xludf.DUMMYFUNCTION("""COMPUTED_VALUE"""),"Máy phát cỏ 4 thì")</f>
        <v>Máy phát cỏ 4 thì</v>
      </c>
      <c r="C2100" s="1076" t="str">
        <f>IFERROR(__xludf.DUMMYFUNCTION("""COMPUTED_VALUE"""),"Loại biên")</f>
        <v>Loại biên</v>
      </c>
      <c r="D2100" s="1076" t="str">
        <f>IFERROR(__xludf.DUMMYFUNCTION("""COMPUTED_VALUE"""),"HONDA")</f>
        <v>HONDA</v>
      </c>
      <c r="E2100" s="1076" t="str">
        <f>IFERROR(__xludf.DUMMYFUNCTION("""COMPUTED_VALUE"""),"Trung Quốc")</f>
        <v>Trung Quốc</v>
      </c>
      <c r="F2100" s="1076"/>
      <c r="G2100" s="1076" t="str">
        <f>IFERROR(__xludf.DUMMYFUNCTION("""COMPUTED_VALUE"""),"GX35")</f>
        <v>GX35</v>
      </c>
      <c r="H2100" s="1076" t="str">
        <f>IFERROR(__xludf.DUMMYFUNCTION("""COMPUTED_VALUE"""),"1.6HP")</f>
        <v>1.6HP</v>
      </c>
      <c r="I2100" s="1076"/>
      <c r="J2100" s="1076"/>
      <c r="K2100" s="1076">
        <f>IFERROR(__xludf.DUMMYFUNCTION("""COMPUTED_VALUE"""),0.5)</f>
        <v>0.5</v>
      </c>
      <c r="L2100" s="1076" t="str">
        <f>IFERROR(__xludf.DUMMYFUNCTION("""COMPUTED_VALUE"""),"Loại biên")</f>
        <v>Loại biên</v>
      </c>
    </row>
    <row r="2101" customHeight="1" spans="1:12">
      <c r="A2101" s="1076" t="str">
        <f>IFERROR(__xludf.DUMMYFUNCTION("""COMPUTED_VALUE"""),"XXD-MPC-020")</f>
        <v>XXD-MPC-020</v>
      </c>
      <c r="B2101" s="1075" t="str">
        <f>IFERROR(__xludf.DUMMYFUNCTION("""COMPUTED_VALUE"""),"Máy phát cỏ 4 thì")</f>
        <v>Máy phát cỏ 4 thì</v>
      </c>
      <c r="C2101" s="1076" t="str">
        <f>IFERROR(__xludf.DUMMYFUNCTION("""COMPUTED_VALUE"""),"Loại biên")</f>
        <v>Loại biên</v>
      </c>
      <c r="D2101" s="1076" t="str">
        <f>IFERROR(__xludf.DUMMYFUNCTION("""COMPUTED_VALUE"""),"HINOTA")</f>
        <v>HINOTA</v>
      </c>
      <c r="E2101" s="1076" t="str">
        <f>IFERROR(__xludf.DUMMYFUNCTION("""COMPUTED_VALUE"""),"Trung Quốc")</f>
        <v>Trung Quốc</v>
      </c>
      <c r="F2101" s="1076"/>
      <c r="G2101" s="1076" t="str">
        <f>IFERROR(__xludf.DUMMYFUNCTION("""COMPUTED_VALUE"""),"CG435")</f>
        <v>CG435</v>
      </c>
      <c r="H2101" s="1076" t="str">
        <f>IFERROR(__xludf.DUMMYFUNCTION("""COMPUTED_VALUE"""),"1.2HP")</f>
        <v>1.2HP</v>
      </c>
      <c r="I2101" s="1076"/>
      <c r="J2101" s="1076"/>
      <c r="K2101" s="1076">
        <f>IFERROR(__xludf.DUMMYFUNCTION("""COMPUTED_VALUE"""),0.5)</f>
        <v>0.5</v>
      </c>
      <c r="L2101" s="1076" t="str">
        <f>IFERROR(__xludf.DUMMYFUNCTION("""COMPUTED_VALUE"""),"Loại biên")</f>
        <v>Loại biên</v>
      </c>
    </row>
    <row r="2102" customHeight="1" spans="1:12">
      <c r="A2102" s="1076" t="str">
        <f>IFERROR(__xludf.DUMMYFUNCTION("""COMPUTED_VALUE"""),"XXD-MPC-021")</f>
        <v>XXD-MPC-021</v>
      </c>
      <c r="B2102" s="1075" t="str">
        <f>IFERROR(__xludf.DUMMYFUNCTION("""COMPUTED_VALUE"""),"Máy phát cỏ 4 thì")</f>
        <v>Máy phát cỏ 4 thì</v>
      </c>
      <c r="C2102" s="1076" t="str">
        <f>IFERROR(__xludf.DUMMYFUNCTION("""COMPUTED_VALUE"""),"Loại biên")</f>
        <v>Loại biên</v>
      </c>
      <c r="D2102" s="1076" t="str">
        <f>IFERROR(__xludf.DUMMYFUNCTION("""COMPUTED_VALUE"""),"HONDA")</f>
        <v>HONDA</v>
      </c>
      <c r="E2102" s="1076" t="str">
        <f>IFERROR(__xludf.DUMMYFUNCTION("""COMPUTED_VALUE"""),"Trung Quốc")</f>
        <v>Trung Quốc</v>
      </c>
      <c r="F2102" s="1076"/>
      <c r="G2102" s="1076" t="str">
        <f>IFERROR(__xludf.DUMMYFUNCTION("""COMPUTED_VALUE"""),"GX35")</f>
        <v>GX35</v>
      </c>
      <c r="H2102" s="1076" t="str">
        <f>IFERROR(__xludf.DUMMYFUNCTION("""COMPUTED_VALUE"""),"1.6HP")</f>
        <v>1.6HP</v>
      </c>
      <c r="I2102" s="1076" t="str">
        <f>IFERROR(__xludf.DUMMYFUNCTION("""COMPUTED_VALUE"""),"GCAMT-7708416")</f>
        <v>GCAMT-7708416</v>
      </c>
      <c r="J2102" s="1076"/>
      <c r="K2102" s="1076">
        <f>IFERROR(__xludf.DUMMYFUNCTION("""COMPUTED_VALUE"""),0.5)</f>
        <v>0.5</v>
      </c>
      <c r="L2102" s="1076" t="str">
        <f>IFERROR(__xludf.DUMMYFUNCTION("""COMPUTED_VALUE"""),"Loại biên")</f>
        <v>Loại biên</v>
      </c>
    </row>
    <row r="2103" customHeight="1" spans="1:12">
      <c r="A2103" s="1076" t="str">
        <f>IFERROR(__xludf.DUMMYFUNCTION("""COMPUTED_VALUE"""),"XXD-MPC-014")</f>
        <v>XXD-MPC-014</v>
      </c>
      <c r="B2103" s="1075" t="str">
        <f>IFERROR(__xludf.DUMMYFUNCTION("""COMPUTED_VALUE"""),"Máy phát cỏ 4 thì")</f>
        <v>Máy phát cỏ 4 thì</v>
      </c>
      <c r="C2103" s="1076" t="str">
        <f>IFERROR(__xludf.DUMMYFUNCTION("""COMPUTED_VALUE"""),"Loại biên")</f>
        <v>Loại biên</v>
      </c>
      <c r="D2103" s="1076" t="str">
        <f>IFERROR(__xludf.DUMMYFUNCTION("""COMPUTED_VALUE"""),"HONDA")</f>
        <v>HONDA</v>
      </c>
      <c r="E2103" s="1076" t="str">
        <f>IFERROR(__xludf.DUMMYFUNCTION("""COMPUTED_VALUE"""),"Trung Quốc")</f>
        <v>Trung Quốc</v>
      </c>
      <c r="F2103" s="1076"/>
      <c r="G2103" s="1076" t="str">
        <f>IFERROR(__xludf.DUMMYFUNCTION("""COMPUTED_VALUE"""),"GX35")</f>
        <v>GX35</v>
      </c>
      <c r="H2103" s="1076" t="str">
        <f>IFERROR(__xludf.DUMMYFUNCTION("""COMPUTED_VALUE"""),"1.6HP")</f>
        <v>1.6HP</v>
      </c>
      <c r="I2103" s="1076"/>
      <c r="J2103" s="1076"/>
      <c r="K2103" s="1076">
        <f>IFERROR(__xludf.DUMMYFUNCTION("""COMPUTED_VALUE"""),0.5)</f>
        <v>0.5</v>
      </c>
      <c r="L2103" s="1076" t="str">
        <f>IFERROR(__xludf.DUMMYFUNCTION("""COMPUTED_VALUE"""),"Loại biên")</f>
        <v>Loại biên</v>
      </c>
    </row>
    <row r="2104" customHeight="1" spans="1:12">
      <c r="A2104" s="1076" t="str">
        <f>IFERROR(__xludf.DUMMYFUNCTION("""COMPUTED_VALUE"""),"XXD-MPC-016")</f>
        <v>XXD-MPC-016</v>
      </c>
      <c r="B2104" s="1075" t="str">
        <f>IFERROR(__xludf.DUMMYFUNCTION("""COMPUTED_VALUE"""),"Máy phát cỏ 4 thì")</f>
        <v>Máy phát cỏ 4 thì</v>
      </c>
      <c r="C2104" s="1076" t="str">
        <f>IFERROR(__xludf.DUMMYFUNCTION("""COMPUTED_VALUE"""),"Loại biên")</f>
        <v>Loại biên</v>
      </c>
      <c r="D2104" s="1076" t="str">
        <f>IFERROR(__xludf.DUMMYFUNCTION("""COMPUTED_VALUE"""),"HONDA")</f>
        <v>HONDA</v>
      </c>
      <c r="E2104" s="1076" t="str">
        <f>IFERROR(__xludf.DUMMYFUNCTION("""COMPUTED_VALUE"""),"Trung Quốc")</f>
        <v>Trung Quốc</v>
      </c>
      <c r="F2104" s="1076"/>
      <c r="G2104" s="1076" t="str">
        <f>IFERROR(__xludf.DUMMYFUNCTION("""COMPUTED_VALUE"""),"GX35")</f>
        <v>GX35</v>
      </c>
      <c r="H2104" s="1076" t="str">
        <f>IFERROR(__xludf.DUMMYFUNCTION("""COMPUTED_VALUE"""),"1.6HP")</f>
        <v>1.6HP</v>
      </c>
      <c r="I2104" s="1076" t="str">
        <f>IFERROR(__xludf.DUMMYFUNCTION("""COMPUTED_VALUE"""),"120124")</f>
        <v>120124</v>
      </c>
      <c r="J2104" s="1076"/>
      <c r="K2104" s="1076">
        <f>IFERROR(__xludf.DUMMYFUNCTION("""COMPUTED_VALUE"""),0.5)</f>
        <v>0.5</v>
      </c>
      <c r="L2104" s="1076" t="str">
        <f>IFERROR(__xludf.DUMMYFUNCTION("""COMPUTED_VALUE"""),"Loại biên")</f>
        <v>Loại biên</v>
      </c>
    </row>
    <row r="2105" customHeight="1" spans="1:12">
      <c r="A2105" s="1076" t="str">
        <f>IFERROR(__xludf.DUMMYFUNCTION("""COMPUTED_VALUE"""),"XL1-MPC-013")</f>
        <v>XL1-MPC-013</v>
      </c>
      <c r="B2105" s="1075" t="str">
        <f>IFERROR(__xludf.DUMMYFUNCTION("""COMPUTED_VALUE"""),"Máy phát cỏ 4 thì")</f>
        <v>Máy phát cỏ 4 thì</v>
      </c>
      <c r="C2105" s="1076" t="str">
        <f>IFERROR(__xludf.DUMMYFUNCTION("""COMPUTED_VALUE"""),"Loại biên")</f>
        <v>Loại biên</v>
      </c>
      <c r="D2105" s="1076" t="str">
        <f>IFERROR(__xludf.DUMMYFUNCTION("""COMPUTED_VALUE"""),"HINOTA")</f>
        <v>HINOTA</v>
      </c>
      <c r="E2105" s="1076" t="str">
        <f>IFERROR(__xludf.DUMMYFUNCTION("""COMPUTED_VALUE"""),"Trung Quốc")</f>
        <v>Trung Quốc</v>
      </c>
      <c r="F2105" s="1076"/>
      <c r="G2105" s="1076" t="str">
        <f>IFERROR(__xludf.DUMMYFUNCTION("""COMPUTED_VALUE"""),"CG435")</f>
        <v>CG435</v>
      </c>
      <c r="H2105" s="1076" t="str">
        <f>IFERROR(__xludf.DUMMYFUNCTION("""COMPUTED_VALUE"""),"1.2HP")</f>
        <v>1.2HP</v>
      </c>
      <c r="I2105" s="1076"/>
      <c r="J2105" s="1076"/>
      <c r="K2105" s="1076">
        <f>IFERROR(__xludf.DUMMYFUNCTION("""COMPUTED_VALUE"""),0.5)</f>
        <v>0.5</v>
      </c>
      <c r="L2105" s="1076" t="str">
        <f>IFERROR(__xludf.DUMMYFUNCTION("""COMPUTED_VALUE"""),"Loại biên")</f>
        <v>Loại biên</v>
      </c>
    </row>
    <row r="2106" customHeight="1" spans="1:12">
      <c r="A2106" s="1076" t="str">
        <f>IFERROR(__xludf.DUMMYFUNCTION("""COMPUTED_VALUE"""),"XL1-MPC-014")</f>
        <v>XL1-MPC-014</v>
      </c>
      <c r="B2106" s="1075" t="str">
        <f>IFERROR(__xludf.DUMMYFUNCTION("""COMPUTED_VALUE"""),"Máy phát cỏ 4 thì")</f>
        <v>Máy phát cỏ 4 thì</v>
      </c>
      <c r="C2106" s="1076" t="str">
        <f>IFERROR(__xludf.DUMMYFUNCTION("""COMPUTED_VALUE"""),"Loại biên")</f>
        <v>Loại biên</v>
      </c>
      <c r="D2106" s="1076" t="str">
        <f>IFERROR(__xludf.DUMMYFUNCTION("""COMPUTED_VALUE"""),"HINOTA")</f>
        <v>HINOTA</v>
      </c>
      <c r="E2106" s="1076" t="str">
        <f>IFERROR(__xludf.DUMMYFUNCTION("""COMPUTED_VALUE"""),"Trung Quốc")</f>
        <v>Trung Quốc</v>
      </c>
      <c r="F2106" s="1076"/>
      <c r="G2106" s="1076" t="str">
        <f>IFERROR(__xludf.DUMMYFUNCTION("""COMPUTED_VALUE"""),"CG435")</f>
        <v>CG435</v>
      </c>
      <c r="H2106" s="1076" t="str">
        <f>IFERROR(__xludf.DUMMYFUNCTION("""COMPUTED_VALUE"""),"1.2HP")</f>
        <v>1.2HP</v>
      </c>
      <c r="I2106" s="1076"/>
      <c r="J2106" s="1076"/>
      <c r="K2106" s="1076">
        <f>IFERROR(__xludf.DUMMYFUNCTION("""COMPUTED_VALUE"""),0.5)</f>
        <v>0.5</v>
      </c>
      <c r="L2106" s="1076" t="str">
        <f>IFERROR(__xludf.DUMMYFUNCTION("""COMPUTED_VALUE"""),"Loại biên")</f>
        <v>Loại biên</v>
      </c>
    </row>
    <row r="2107" customHeight="1" spans="1:12">
      <c r="A2107" s="1076" t="str">
        <f>IFERROR(__xludf.DUMMYFUNCTION("""COMPUTED_VALUE"""),"XL1-MPC-015")</f>
        <v>XL1-MPC-015</v>
      </c>
      <c r="B2107" s="1075" t="str">
        <f>IFERROR(__xludf.DUMMYFUNCTION("""COMPUTED_VALUE"""),"Máy phát cỏ 4 thì")</f>
        <v>Máy phát cỏ 4 thì</v>
      </c>
      <c r="C2107" s="1076" t="str">
        <f>IFERROR(__xludf.DUMMYFUNCTION("""COMPUTED_VALUE"""),"Loại biên")</f>
        <v>Loại biên</v>
      </c>
      <c r="D2107" s="1076" t="str">
        <f>IFERROR(__xludf.DUMMYFUNCTION("""COMPUTED_VALUE"""),"HINOTA")</f>
        <v>HINOTA</v>
      </c>
      <c r="E2107" s="1076" t="str">
        <f>IFERROR(__xludf.DUMMYFUNCTION("""COMPUTED_VALUE"""),"Trung Quốc")</f>
        <v>Trung Quốc</v>
      </c>
      <c r="F2107" s="1076"/>
      <c r="G2107" s="1076" t="str">
        <f>IFERROR(__xludf.DUMMYFUNCTION("""COMPUTED_VALUE"""),"CG435")</f>
        <v>CG435</v>
      </c>
      <c r="H2107" s="1076" t="str">
        <f>IFERROR(__xludf.DUMMYFUNCTION("""COMPUTED_VALUE"""),"1.2HP")</f>
        <v>1.2HP</v>
      </c>
      <c r="I2107" s="1076"/>
      <c r="J2107" s="1076"/>
      <c r="K2107" s="1076">
        <f>IFERROR(__xludf.DUMMYFUNCTION("""COMPUTED_VALUE"""),0.5)</f>
        <v>0.5</v>
      </c>
      <c r="L2107" s="1076" t="str">
        <f>IFERROR(__xludf.DUMMYFUNCTION("""COMPUTED_VALUE"""),"Loại biên")</f>
        <v>Loại biên</v>
      </c>
    </row>
    <row r="2108" customHeight="1" spans="1:12">
      <c r="A2108" s="1076" t="str">
        <f>IFERROR(__xludf.DUMMYFUNCTION("""COMPUTED_VALUE"""),"XL1-MPC-016")</f>
        <v>XL1-MPC-016</v>
      </c>
      <c r="B2108" s="1075" t="str">
        <f>IFERROR(__xludf.DUMMYFUNCTION("""COMPUTED_VALUE"""),"Máy phát cỏ 4 thì")</f>
        <v>Máy phát cỏ 4 thì</v>
      </c>
      <c r="C2108" s="1076" t="str">
        <f>IFERROR(__xludf.DUMMYFUNCTION("""COMPUTED_VALUE"""),"Loại biên")</f>
        <v>Loại biên</v>
      </c>
      <c r="D2108" s="1076" t="str">
        <f>IFERROR(__xludf.DUMMYFUNCTION("""COMPUTED_VALUE"""),"HINOTA")</f>
        <v>HINOTA</v>
      </c>
      <c r="E2108" s="1076" t="str">
        <f>IFERROR(__xludf.DUMMYFUNCTION("""COMPUTED_VALUE"""),"Trung Quốc")</f>
        <v>Trung Quốc</v>
      </c>
      <c r="F2108" s="1076"/>
      <c r="G2108" s="1076" t="str">
        <f>IFERROR(__xludf.DUMMYFUNCTION("""COMPUTED_VALUE"""),"CG435")</f>
        <v>CG435</v>
      </c>
      <c r="H2108" s="1076" t="str">
        <f>IFERROR(__xludf.DUMMYFUNCTION("""COMPUTED_VALUE"""),"1.2HP")</f>
        <v>1.2HP</v>
      </c>
      <c r="I2108" s="1076"/>
      <c r="J2108" s="1076"/>
      <c r="K2108" s="1076">
        <f>IFERROR(__xludf.DUMMYFUNCTION("""COMPUTED_VALUE"""),0.5)</f>
        <v>0.5</v>
      </c>
      <c r="L2108" s="1076" t="str">
        <f>IFERROR(__xludf.DUMMYFUNCTION("""COMPUTED_VALUE"""),"Loại biên")</f>
        <v>Loại biên</v>
      </c>
    </row>
    <row r="2109" customHeight="1" spans="1:12">
      <c r="A2109" s="1076" t="str">
        <f>IFERROR(__xludf.DUMMYFUNCTION("""COMPUTED_VALUE"""),"XL1-MPC-017")</f>
        <v>XL1-MPC-017</v>
      </c>
      <c r="B2109" s="1075" t="str">
        <f>IFERROR(__xludf.DUMMYFUNCTION("""COMPUTED_VALUE"""),"Máy phát cỏ 4 thì")</f>
        <v>Máy phát cỏ 4 thì</v>
      </c>
      <c r="C2109" s="1076" t="str">
        <f>IFERROR(__xludf.DUMMYFUNCTION("""COMPUTED_VALUE"""),"Loại biên")</f>
        <v>Loại biên</v>
      </c>
      <c r="D2109" s="1076" t="str">
        <f>IFERROR(__xludf.DUMMYFUNCTION("""COMPUTED_VALUE"""),"HINOTA")</f>
        <v>HINOTA</v>
      </c>
      <c r="E2109" s="1076" t="str">
        <f>IFERROR(__xludf.DUMMYFUNCTION("""COMPUTED_VALUE"""),"Trung Quốc")</f>
        <v>Trung Quốc</v>
      </c>
      <c r="F2109" s="1076"/>
      <c r="G2109" s="1076" t="str">
        <f>IFERROR(__xludf.DUMMYFUNCTION("""COMPUTED_VALUE"""),"CG435")</f>
        <v>CG435</v>
      </c>
      <c r="H2109" s="1076" t="str">
        <f>IFERROR(__xludf.DUMMYFUNCTION("""COMPUTED_VALUE"""),"1.2HP")</f>
        <v>1.2HP</v>
      </c>
      <c r="I2109" s="1076"/>
      <c r="J2109" s="1076"/>
      <c r="K2109" s="1076">
        <f>IFERROR(__xludf.DUMMYFUNCTION("""COMPUTED_VALUE"""),0.5)</f>
        <v>0.5</v>
      </c>
      <c r="L2109" s="1076" t="str">
        <f>IFERROR(__xludf.DUMMYFUNCTION("""COMPUTED_VALUE"""),"Loại biên")</f>
        <v>Loại biên</v>
      </c>
    </row>
    <row r="2110" customHeight="1" spans="1:12">
      <c r="A2110" s="1076" t="str">
        <f>IFERROR(__xludf.DUMMYFUNCTION("""COMPUTED_VALUE"""),"XL1-MPC-018")</f>
        <v>XL1-MPC-018</v>
      </c>
      <c r="B2110" s="1075" t="str">
        <f>IFERROR(__xludf.DUMMYFUNCTION("""COMPUTED_VALUE"""),"Máy phát cỏ 4 thì")</f>
        <v>Máy phát cỏ 4 thì</v>
      </c>
      <c r="C2110" s="1076" t="str">
        <f>IFERROR(__xludf.DUMMYFUNCTION("""COMPUTED_VALUE"""),"Loại biên")</f>
        <v>Loại biên</v>
      </c>
      <c r="D2110" s="1076" t="str">
        <f>IFERROR(__xludf.DUMMYFUNCTION("""COMPUTED_VALUE"""),"HINOTA")</f>
        <v>HINOTA</v>
      </c>
      <c r="E2110" s="1076" t="str">
        <f>IFERROR(__xludf.DUMMYFUNCTION("""COMPUTED_VALUE"""),"Trung Quốc")</f>
        <v>Trung Quốc</v>
      </c>
      <c r="F2110" s="1076"/>
      <c r="G2110" s="1076" t="str">
        <f>IFERROR(__xludf.DUMMYFUNCTION("""COMPUTED_VALUE"""),"CG435")</f>
        <v>CG435</v>
      </c>
      <c r="H2110" s="1076" t="str">
        <f>IFERROR(__xludf.DUMMYFUNCTION("""COMPUTED_VALUE"""),"1.2HP")</f>
        <v>1.2HP</v>
      </c>
      <c r="I2110" s="1076"/>
      <c r="J2110" s="1076"/>
      <c r="K2110" s="1076">
        <f>IFERROR(__xludf.DUMMYFUNCTION("""COMPUTED_VALUE"""),0.5)</f>
        <v>0.5</v>
      </c>
      <c r="L2110" s="1076" t="str">
        <f>IFERROR(__xludf.DUMMYFUNCTION("""COMPUTED_VALUE"""),"Loại biên")</f>
        <v>Loại biên</v>
      </c>
    </row>
    <row r="2111" customHeight="1" spans="1:12">
      <c r="A2111" s="1076" t="str">
        <f>IFERROR(__xludf.DUMMYFUNCTION("""COMPUTED_VALUE"""),"XL1-MPC-019")</f>
        <v>XL1-MPC-019</v>
      </c>
      <c r="B2111" s="1075" t="str">
        <f>IFERROR(__xludf.DUMMYFUNCTION("""COMPUTED_VALUE"""),"Máy phát cỏ 4 thì")</f>
        <v>Máy phát cỏ 4 thì</v>
      </c>
      <c r="C2111" s="1076" t="str">
        <f>IFERROR(__xludf.DUMMYFUNCTION("""COMPUTED_VALUE"""),"Loại biên")</f>
        <v>Loại biên</v>
      </c>
      <c r="D2111" s="1076" t="str">
        <f>IFERROR(__xludf.DUMMYFUNCTION("""COMPUTED_VALUE"""),"HINOTA")</f>
        <v>HINOTA</v>
      </c>
      <c r="E2111" s="1076" t="str">
        <f>IFERROR(__xludf.DUMMYFUNCTION("""COMPUTED_VALUE"""),"Trung Quốc")</f>
        <v>Trung Quốc</v>
      </c>
      <c r="F2111" s="1076"/>
      <c r="G2111" s="1076" t="str">
        <f>IFERROR(__xludf.DUMMYFUNCTION("""COMPUTED_VALUE"""),"CG435")</f>
        <v>CG435</v>
      </c>
      <c r="H2111" s="1076" t="str">
        <f>IFERROR(__xludf.DUMMYFUNCTION("""COMPUTED_VALUE"""),"1.2HP")</f>
        <v>1.2HP</v>
      </c>
      <c r="I2111" s="1076"/>
      <c r="J2111" s="1076"/>
      <c r="K2111" s="1076">
        <f>IFERROR(__xludf.DUMMYFUNCTION("""COMPUTED_VALUE"""),0.5)</f>
        <v>0.5</v>
      </c>
      <c r="L2111" s="1076" t="str">
        <f>IFERROR(__xludf.DUMMYFUNCTION("""COMPUTED_VALUE"""),"Loại biên")</f>
        <v>Loại biên</v>
      </c>
    </row>
    <row r="2112" customHeight="1" spans="1:12">
      <c r="A2112" s="1076" t="str">
        <f>IFERROR(__xludf.DUMMYFUNCTION("""COMPUTED_VALUE"""),"XL1-MPC-020")</f>
        <v>XL1-MPC-020</v>
      </c>
      <c r="B2112" s="1075" t="str">
        <f>IFERROR(__xludf.DUMMYFUNCTION("""COMPUTED_VALUE"""),"Máy phát cỏ 4 thì")</f>
        <v>Máy phát cỏ 4 thì</v>
      </c>
      <c r="C2112" s="1076" t="str">
        <f>IFERROR(__xludf.DUMMYFUNCTION("""COMPUTED_VALUE"""),"Loại biên")</f>
        <v>Loại biên</v>
      </c>
      <c r="D2112" s="1076" t="str">
        <f>IFERROR(__xludf.DUMMYFUNCTION("""COMPUTED_VALUE"""),"HINOTA")</f>
        <v>HINOTA</v>
      </c>
      <c r="E2112" s="1076" t="str">
        <f>IFERROR(__xludf.DUMMYFUNCTION("""COMPUTED_VALUE"""),"Trung Quốc")</f>
        <v>Trung Quốc</v>
      </c>
      <c r="F2112" s="1076"/>
      <c r="G2112" s="1076" t="str">
        <f>IFERROR(__xludf.DUMMYFUNCTION("""COMPUTED_VALUE"""),"CG435")</f>
        <v>CG435</v>
      </c>
      <c r="H2112" s="1076" t="str">
        <f>IFERROR(__xludf.DUMMYFUNCTION("""COMPUTED_VALUE"""),"1.2HP")</f>
        <v>1.2HP</v>
      </c>
      <c r="I2112" s="1076"/>
      <c r="J2112" s="1076"/>
      <c r="K2112" s="1076">
        <f>IFERROR(__xludf.DUMMYFUNCTION("""COMPUTED_VALUE"""),0.5)</f>
        <v>0.5</v>
      </c>
      <c r="L2112" s="1076" t="str">
        <f>IFERROR(__xludf.DUMMYFUNCTION("""COMPUTED_VALUE"""),"Loại biên")</f>
        <v>Loại biên</v>
      </c>
    </row>
    <row r="2113" customHeight="1" spans="1:12">
      <c r="A2113" s="1076" t="str">
        <f>IFERROR(__xludf.DUMMYFUNCTION("""COMPUTED_VALUE"""),"XL1-MPC-021")</f>
        <v>XL1-MPC-021</v>
      </c>
      <c r="B2113" s="1075" t="str">
        <f>IFERROR(__xludf.DUMMYFUNCTION("""COMPUTED_VALUE"""),"Máy phát cỏ 4 thì")</f>
        <v>Máy phát cỏ 4 thì</v>
      </c>
      <c r="C2113" s="1076" t="str">
        <f>IFERROR(__xludf.DUMMYFUNCTION("""COMPUTED_VALUE"""),"Loại biên")</f>
        <v>Loại biên</v>
      </c>
      <c r="D2113" s="1076" t="str">
        <f>IFERROR(__xludf.DUMMYFUNCTION("""COMPUTED_VALUE"""),"HINOTA")</f>
        <v>HINOTA</v>
      </c>
      <c r="E2113" s="1076" t="str">
        <f>IFERROR(__xludf.DUMMYFUNCTION("""COMPUTED_VALUE"""),"Trung Quốc")</f>
        <v>Trung Quốc</v>
      </c>
      <c r="F2113" s="1076"/>
      <c r="G2113" s="1076" t="str">
        <f>IFERROR(__xludf.DUMMYFUNCTION("""COMPUTED_VALUE"""),"CG435")</f>
        <v>CG435</v>
      </c>
      <c r="H2113" s="1076" t="str">
        <f>IFERROR(__xludf.DUMMYFUNCTION("""COMPUTED_VALUE"""),"1.2HP")</f>
        <v>1.2HP</v>
      </c>
      <c r="I2113" s="1076"/>
      <c r="J2113" s="1076"/>
      <c r="K2113" s="1076">
        <f>IFERROR(__xludf.DUMMYFUNCTION("""COMPUTED_VALUE"""),0.5)</f>
        <v>0.5</v>
      </c>
      <c r="L2113" s="1076" t="str">
        <f>IFERROR(__xludf.DUMMYFUNCTION("""COMPUTED_VALUE"""),"Loại biên")</f>
        <v>Loại biên</v>
      </c>
    </row>
    <row r="2114" customHeight="1" spans="1:12">
      <c r="A2114" s="1076" t="str">
        <f>IFERROR(__xludf.DUMMYFUNCTION("""COMPUTED_VALUE"""),"XL1-MPC-022")</f>
        <v>XL1-MPC-022</v>
      </c>
      <c r="B2114" s="1075" t="str">
        <f>IFERROR(__xludf.DUMMYFUNCTION("""COMPUTED_VALUE"""),"Máy phát cỏ 4 thì")</f>
        <v>Máy phát cỏ 4 thì</v>
      </c>
      <c r="C2114" s="1076" t="str">
        <f>IFERROR(__xludf.DUMMYFUNCTION("""COMPUTED_VALUE"""),"Loại biên")</f>
        <v>Loại biên</v>
      </c>
      <c r="D2114" s="1076" t="str">
        <f>IFERROR(__xludf.DUMMYFUNCTION("""COMPUTED_VALUE"""),"HINOTA")</f>
        <v>HINOTA</v>
      </c>
      <c r="E2114" s="1076" t="str">
        <f>IFERROR(__xludf.DUMMYFUNCTION("""COMPUTED_VALUE"""),"Trung Quốc")</f>
        <v>Trung Quốc</v>
      </c>
      <c r="F2114" s="1076"/>
      <c r="G2114" s="1076" t="str">
        <f>IFERROR(__xludf.DUMMYFUNCTION("""COMPUTED_VALUE"""),"CG435")</f>
        <v>CG435</v>
      </c>
      <c r="H2114" s="1076" t="str">
        <f>IFERROR(__xludf.DUMMYFUNCTION("""COMPUTED_VALUE"""),"1.2HP")</f>
        <v>1.2HP</v>
      </c>
      <c r="I2114" s="1076"/>
      <c r="J2114" s="1076"/>
      <c r="K2114" s="1076">
        <f>IFERROR(__xludf.DUMMYFUNCTION("""COMPUTED_VALUE"""),0.5)</f>
        <v>0.5</v>
      </c>
      <c r="L2114" s="1076" t="str">
        <f>IFERROR(__xludf.DUMMYFUNCTION("""COMPUTED_VALUE"""),"Loại biên")</f>
        <v>Loại biên</v>
      </c>
    </row>
    <row r="2115" customHeight="1" spans="1:12">
      <c r="A2115" s="1076" t="str">
        <f>IFERROR(__xludf.DUMMYFUNCTION("""COMPUTED_VALUE"""),"XL1-MPC-023")</f>
        <v>XL1-MPC-023</v>
      </c>
      <c r="B2115" s="1075" t="str">
        <f>IFERROR(__xludf.DUMMYFUNCTION("""COMPUTED_VALUE"""),"Máy phát cỏ 4 thì")</f>
        <v>Máy phát cỏ 4 thì</v>
      </c>
      <c r="C2115" s="1076" t="str">
        <f>IFERROR(__xludf.DUMMYFUNCTION("""COMPUTED_VALUE"""),"Loại biên")</f>
        <v>Loại biên</v>
      </c>
      <c r="D2115" s="1076" t="str">
        <f>IFERROR(__xludf.DUMMYFUNCTION("""COMPUTED_VALUE"""),"HINOTA")</f>
        <v>HINOTA</v>
      </c>
      <c r="E2115" s="1076" t="str">
        <f>IFERROR(__xludf.DUMMYFUNCTION("""COMPUTED_VALUE"""),"Trung Quốc")</f>
        <v>Trung Quốc</v>
      </c>
      <c r="F2115" s="1076"/>
      <c r="G2115" s="1076" t="str">
        <f>IFERROR(__xludf.DUMMYFUNCTION("""COMPUTED_VALUE"""),"CG435")</f>
        <v>CG435</v>
      </c>
      <c r="H2115" s="1076" t="str">
        <f>IFERROR(__xludf.DUMMYFUNCTION("""COMPUTED_VALUE"""),"1.2HP")</f>
        <v>1.2HP</v>
      </c>
      <c r="I2115" s="1076"/>
      <c r="J2115" s="1076"/>
      <c r="K2115" s="1076">
        <f>IFERROR(__xludf.DUMMYFUNCTION("""COMPUTED_VALUE"""),0.5)</f>
        <v>0.5</v>
      </c>
      <c r="L2115" s="1076" t="str">
        <f>IFERROR(__xludf.DUMMYFUNCTION("""COMPUTED_VALUE"""),"Loại biên")</f>
        <v>Loại biên</v>
      </c>
    </row>
    <row r="2116" customHeight="1" spans="1:12">
      <c r="A2116" s="1076" t="str">
        <f>IFERROR(__xludf.DUMMYFUNCTION("""COMPUTED_VALUE"""),"XL1-MPC-024")</f>
        <v>XL1-MPC-024</v>
      </c>
      <c r="B2116" s="1075" t="str">
        <f>IFERROR(__xludf.DUMMYFUNCTION("""COMPUTED_VALUE"""),"Máy phát cỏ 4 thì")</f>
        <v>Máy phát cỏ 4 thì</v>
      </c>
      <c r="C2116" s="1076" t="str">
        <f>IFERROR(__xludf.DUMMYFUNCTION("""COMPUTED_VALUE"""),"Loại biên")</f>
        <v>Loại biên</v>
      </c>
      <c r="D2116" s="1076" t="str">
        <f>IFERROR(__xludf.DUMMYFUNCTION("""COMPUTED_VALUE"""),"HINOTA")</f>
        <v>HINOTA</v>
      </c>
      <c r="E2116" s="1076" t="str">
        <f>IFERROR(__xludf.DUMMYFUNCTION("""COMPUTED_VALUE"""),"Trung Quốc")</f>
        <v>Trung Quốc</v>
      </c>
      <c r="F2116" s="1076"/>
      <c r="G2116" s="1076" t="str">
        <f>IFERROR(__xludf.DUMMYFUNCTION("""COMPUTED_VALUE"""),"CG435")</f>
        <v>CG435</v>
      </c>
      <c r="H2116" s="1076" t="str">
        <f>IFERROR(__xludf.DUMMYFUNCTION("""COMPUTED_VALUE"""),"1.2HP")</f>
        <v>1.2HP</v>
      </c>
      <c r="I2116" s="1076"/>
      <c r="J2116" s="1076"/>
      <c r="K2116" s="1076">
        <f>IFERROR(__xludf.DUMMYFUNCTION("""COMPUTED_VALUE"""),0.5)</f>
        <v>0.5</v>
      </c>
      <c r="L2116" s="1076" t="str">
        <f>IFERROR(__xludf.DUMMYFUNCTION("""COMPUTED_VALUE"""),"Loại biên")</f>
        <v>Loại biên</v>
      </c>
    </row>
    <row r="2117" customHeight="1" spans="1:12">
      <c r="A2117" s="1076" t="str">
        <f>IFERROR(__xludf.DUMMYFUNCTION("""COMPUTED_VALUE"""),"XL1-MPC-025")</f>
        <v>XL1-MPC-025</v>
      </c>
      <c r="B2117" s="1075" t="str">
        <f>IFERROR(__xludf.DUMMYFUNCTION("""COMPUTED_VALUE"""),"Máy phát cỏ 4 thì")</f>
        <v>Máy phát cỏ 4 thì</v>
      </c>
      <c r="C2117" s="1076" t="str">
        <f>IFERROR(__xludf.DUMMYFUNCTION("""COMPUTED_VALUE"""),"Loại biên")</f>
        <v>Loại biên</v>
      </c>
      <c r="D2117" s="1076" t="str">
        <f>IFERROR(__xludf.DUMMYFUNCTION("""COMPUTED_VALUE"""),"HINOTA")</f>
        <v>HINOTA</v>
      </c>
      <c r="E2117" s="1076" t="str">
        <f>IFERROR(__xludf.DUMMYFUNCTION("""COMPUTED_VALUE"""),"Trung Quốc")</f>
        <v>Trung Quốc</v>
      </c>
      <c r="F2117" s="1076"/>
      <c r="G2117" s="1076" t="str">
        <f>IFERROR(__xludf.DUMMYFUNCTION("""COMPUTED_VALUE"""),"CG435")</f>
        <v>CG435</v>
      </c>
      <c r="H2117" s="1076" t="str">
        <f>IFERROR(__xludf.DUMMYFUNCTION("""COMPUTED_VALUE"""),"1.2HP")</f>
        <v>1.2HP</v>
      </c>
      <c r="I2117" s="1076"/>
      <c r="J2117" s="1076"/>
      <c r="K2117" s="1076">
        <f>IFERROR(__xludf.DUMMYFUNCTION("""COMPUTED_VALUE"""),0.5)</f>
        <v>0.5</v>
      </c>
      <c r="L2117" s="1076" t="str">
        <f>IFERROR(__xludf.DUMMYFUNCTION("""COMPUTED_VALUE"""),"Loại biên")</f>
        <v>Loại biên</v>
      </c>
    </row>
    <row r="2118" customHeight="1" spans="1:12">
      <c r="A2118" s="1076" t="str">
        <f>IFERROR(__xludf.DUMMYFUNCTION("""COMPUTED_VALUE"""),"XL1-MPC-026")</f>
        <v>XL1-MPC-026</v>
      </c>
      <c r="B2118" s="1075" t="str">
        <f>IFERROR(__xludf.DUMMYFUNCTION("""COMPUTED_VALUE"""),"Máy phát cỏ 4 thì")</f>
        <v>Máy phát cỏ 4 thì</v>
      </c>
      <c r="C2118" s="1076" t="str">
        <f>IFERROR(__xludf.DUMMYFUNCTION("""COMPUTED_VALUE"""),"Loại biên")</f>
        <v>Loại biên</v>
      </c>
      <c r="D2118" s="1076" t="str">
        <f>IFERROR(__xludf.DUMMYFUNCTION("""COMPUTED_VALUE"""),"HINOTA")</f>
        <v>HINOTA</v>
      </c>
      <c r="E2118" s="1076" t="str">
        <f>IFERROR(__xludf.DUMMYFUNCTION("""COMPUTED_VALUE"""),"Trung Quốc")</f>
        <v>Trung Quốc</v>
      </c>
      <c r="F2118" s="1076"/>
      <c r="G2118" s="1076" t="str">
        <f>IFERROR(__xludf.DUMMYFUNCTION("""COMPUTED_VALUE"""),"CG435")</f>
        <v>CG435</v>
      </c>
      <c r="H2118" s="1076" t="str">
        <f>IFERROR(__xludf.DUMMYFUNCTION("""COMPUTED_VALUE"""),"1.2HP")</f>
        <v>1.2HP</v>
      </c>
      <c r="I2118" s="1076"/>
      <c r="J2118" s="1076"/>
      <c r="K2118" s="1076">
        <f>IFERROR(__xludf.DUMMYFUNCTION("""COMPUTED_VALUE"""),0.5)</f>
        <v>0.5</v>
      </c>
      <c r="L2118" s="1076" t="str">
        <f>IFERROR(__xludf.DUMMYFUNCTION("""COMPUTED_VALUE"""),"Loại biên")</f>
        <v>Loại biên</v>
      </c>
    </row>
    <row r="2119" customHeight="1" spans="1:12">
      <c r="A2119" s="1076" t="str">
        <f>IFERROR(__xludf.DUMMYFUNCTION("""COMPUTED_VALUE"""),"XL1-MPC-027")</f>
        <v>XL1-MPC-027</v>
      </c>
      <c r="B2119" s="1075" t="str">
        <f>IFERROR(__xludf.DUMMYFUNCTION("""COMPUTED_VALUE"""),"Máy phát cỏ 4 thì")</f>
        <v>Máy phát cỏ 4 thì</v>
      </c>
      <c r="C2119" s="1076" t="str">
        <f>IFERROR(__xludf.DUMMYFUNCTION("""COMPUTED_VALUE"""),"Loại biên")</f>
        <v>Loại biên</v>
      </c>
      <c r="D2119" s="1076" t="str">
        <f>IFERROR(__xludf.DUMMYFUNCTION("""COMPUTED_VALUE"""),"HINOTA")</f>
        <v>HINOTA</v>
      </c>
      <c r="E2119" s="1076" t="str">
        <f>IFERROR(__xludf.DUMMYFUNCTION("""COMPUTED_VALUE"""),"Trung Quốc")</f>
        <v>Trung Quốc</v>
      </c>
      <c r="F2119" s="1076"/>
      <c r="G2119" s="1076" t="str">
        <f>IFERROR(__xludf.DUMMYFUNCTION("""COMPUTED_VALUE"""),"CG435")</f>
        <v>CG435</v>
      </c>
      <c r="H2119" s="1076" t="str">
        <f>IFERROR(__xludf.DUMMYFUNCTION("""COMPUTED_VALUE"""),"1.2HP")</f>
        <v>1.2HP</v>
      </c>
      <c r="I2119" s="1076"/>
      <c r="J2119" s="1076"/>
      <c r="K2119" s="1076">
        <f>IFERROR(__xludf.DUMMYFUNCTION("""COMPUTED_VALUE"""),0.5)</f>
        <v>0.5</v>
      </c>
      <c r="L2119" s="1076" t="str">
        <f>IFERROR(__xludf.DUMMYFUNCTION("""COMPUTED_VALUE"""),"Loại biên")</f>
        <v>Loại biên</v>
      </c>
    </row>
    <row r="2120" customHeight="1" spans="1:12">
      <c r="A2120" s="1076" t="str">
        <f>IFERROR(__xludf.DUMMYFUNCTION("""COMPUTED_VALUE"""),"XL1-MPC-028")</f>
        <v>XL1-MPC-028</v>
      </c>
      <c r="B2120" s="1075" t="str">
        <f>IFERROR(__xludf.DUMMYFUNCTION("""COMPUTED_VALUE"""),"Máy phát cỏ 4 thì")</f>
        <v>Máy phát cỏ 4 thì</v>
      </c>
      <c r="C2120" s="1076" t="str">
        <f>IFERROR(__xludf.DUMMYFUNCTION("""COMPUTED_VALUE"""),"Loại biên")</f>
        <v>Loại biên</v>
      </c>
      <c r="D2120" s="1076" t="str">
        <f>IFERROR(__xludf.DUMMYFUNCTION("""COMPUTED_VALUE"""),"HINOTA")</f>
        <v>HINOTA</v>
      </c>
      <c r="E2120" s="1076" t="str">
        <f>IFERROR(__xludf.DUMMYFUNCTION("""COMPUTED_VALUE"""),"Trung Quốc")</f>
        <v>Trung Quốc</v>
      </c>
      <c r="F2120" s="1076"/>
      <c r="G2120" s="1076" t="str">
        <f>IFERROR(__xludf.DUMMYFUNCTION("""COMPUTED_VALUE"""),"CG435")</f>
        <v>CG435</v>
      </c>
      <c r="H2120" s="1076" t="str">
        <f>IFERROR(__xludf.DUMMYFUNCTION("""COMPUTED_VALUE"""),"1.2HP")</f>
        <v>1.2HP</v>
      </c>
      <c r="I2120" s="1076"/>
      <c r="J2120" s="1076"/>
      <c r="K2120" s="1076">
        <f>IFERROR(__xludf.DUMMYFUNCTION("""COMPUTED_VALUE"""),0.5)</f>
        <v>0.5</v>
      </c>
      <c r="L2120" s="1076" t="str">
        <f>IFERROR(__xludf.DUMMYFUNCTION("""COMPUTED_VALUE"""),"Loại biên")</f>
        <v>Loại biên</v>
      </c>
    </row>
    <row r="2121" customHeight="1" spans="1:12">
      <c r="A2121" s="1076" t="str">
        <f>IFERROR(__xludf.DUMMYFUNCTION("""COMPUTED_VALUE"""),"XL1-MPC-029")</f>
        <v>XL1-MPC-029</v>
      </c>
      <c r="B2121" s="1075" t="str">
        <f>IFERROR(__xludf.DUMMYFUNCTION("""COMPUTED_VALUE"""),"Máy phát cỏ 4 thì")</f>
        <v>Máy phát cỏ 4 thì</v>
      </c>
      <c r="C2121" s="1076" t="str">
        <f>IFERROR(__xludf.DUMMYFUNCTION("""COMPUTED_VALUE"""),"Loại biên")</f>
        <v>Loại biên</v>
      </c>
      <c r="D2121" s="1076" t="str">
        <f>IFERROR(__xludf.DUMMYFUNCTION("""COMPUTED_VALUE"""),"HINOTA")</f>
        <v>HINOTA</v>
      </c>
      <c r="E2121" s="1076" t="str">
        <f>IFERROR(__xludf.DUMMYFUNCTION("""COMPUTED_VALUE"""),"Trung Quốc")</f>
        <v>Trung Quốc</v>
      </c>
      <c r="F2121" s="1076"/>
      <c r="G2121" s="1076" t="str">
        <f>IFERROR(__xludf.DUMMYFUNCTION("""COMPUTED_VALUE"""),"CG435")</f>
        <v>CG435</v>
      </c>
      <c r="H2121" s="1076" t="str">
        <f>IFERROR(__xludf.DUMMYFUNCTION("""COMPUTED_VALUE"""),"1.2HP")</f>
        <v>1.2HP</v>
      </c>
      <c r="I2121" s="1076" t="str">
        <f>IFERROR(__xludf.DUMMYFUNCTION("""COMPUTED_VALUE"""),"ZOZC11M1")</f>
        <v>ZOZC11M1</v>
      </c>
      <c r="J2121" s="1076"/>
      <c r="K2121" s="1076">
        <f>IFERROR(__xludf.DUMMYFUNCTION("""COMPUTED_VALUE"""),0.5)</f>
        <v>0.5</v>
      </c>
      <c r="L2121" s="1076" t="str">
        <f>IFERROR(__xludf.DUMMYFUNCTION("""COMPUTED_VALUE"""),"Loại biên")</f>
        <v>Loại biên</v>
      </c>
    </row>
    <row r="2122" customHeight="1" spans="1:12">
      <c r="A2122" s="1076" t="str">
        <f>IFERROR(__xludf.DUMMYFUNCTION("""COMPUTED_VALUE"""),"XL1-MPC-030")</f>
        <v>XL1-MPC-030</v>
      </c>
      <c r="B2122" s="1075" t="str">
        <f>IFERROR(__xludf.DUMMYFUNCTION("""COMPUTED_VALUE"""),"Máy phát cỏ 4 thì")</f>
        <v>Máy phát cỏ 4 thì</v>
      </c>
      <c r="C2122" s="1076" t="str">
        <f>IFERROR(__xludf.DUMMYFUNCTION("""COMPUTED_VALUE"""),"Loại biên")</f>
        <v>Loại biên</v>
      </c>
      <c r="D2122" s="1076" t="str">
        <f>IFERROR(__xludf.DUMMYFUNCTION("""COMPUTED_VALUE"""),"HINOTA")</f>
        <v>HINOTA</v>
      </c>
      <c r="E2122" s="1076" t="str">
        <f>IFERROR(__xludf.DUMMYFUNCTION("""COMPUTED_VALUE"""),"Trung Quốc")</f>
        <v>Trung Quốc</v>
      </c>
      <c r="F2122" s="1076"/>
      <c r="G2122" s="1076" t="str">
        <f>IFERROR(__xludf.DUMMYFUNCTION("""COMPUTED_VALUE"""),"CG435")</f>
        <v>CG435</v>
      </c>
      <c r="H2122" s="1076" t="str">
        <f>IFERROR(__xludf.DUMMYFUNCTION("""COMPUTED_VALUE"""),"1.2HP")</f>
        <v>1.2HP</v>
      </c>
      <c r="I2122" s="1076" t="str">
        <f>IFERROR(__xludf.DUMMYFUNCTION("""COMPUTED_VALUE"""),"ZOZC11M2")</f>
        <v>ZOZC11M2</v>
      </c>
      <c r="J2122" s="1076"/>
      <c r="K2122" s="1076">
        <f>IFERROR(__xludf.DUMMYFUNCTION("""COMPUTED_VALUE"""),0.5)</f>
        <v>0.5</v>
      </c>
      <c r="L2122" s="1076" t="str">
        <f>IFERROR(__xludf.DUMMYFUNCTION("""COMPUTED_VALUE"""),"Loại biên")</f>
        <v>Loại biên</v>
      </c>
    </row>
    <row r="2123" customHeight="1" spans="1:12">
      <c r="A2123" s="1076" t="str">
        <f>IFERROR(__xludf.DUMMYFUNCTION("""COMPUTED_VALUE"""),"XL1-MPC-031")</f>
        <v>XL1-MPC-031</v>
      </c>
      <c r="B2123" s="1075" t="str">
        <f>IFERROR(__xludf.DUMMYFUNCTION("""COMPUTED_VALUE"""),"Máy phát cỏ 4 thì")</f>
        <v>Máy phát cỏ 4 thì</v>
      </c>
      <c r="C2123" s="1076" t="str">
        <f>IFERROR(__xludf.DUMMYFUNCTION("""COMPUTED_VALUE"""),"Loại biên")</f>
        <v>Loại biên</v>
      </c>
      <c r="D2123" s="1076" t="str">
        <f>IFERROR(__xludf.DUMMYFUNCTION("""COMPUTED_VALUE"""),"HINOTA")</f>
        <v>HINOTA</v>
      </c>
      <c r="E2123" s="1076" t="str">
        <f>IFERROR(__xludf.DUMMYFUNCTION("""COMPUTED_VALUE"""),"Trung Quốc")</f>
        <v>Trung Quốc</v>
      </c>
      <c r="F2123" s="1076"/>
      <c r="G2123" s="1076" t="str">
        <f>IFERROR(__xludf.DUMMYFUNCTION("""COMPUTED_VALUE"""),"CG435")</f>
        <v>CG435</v>
      </c>
      <c r="H2123" s="1076" t="str">
        <f>IFERROR(__xludf.DUMMYFUNCTION("""COMPUTED_VALUE"""),"1.2HP")</f>
        <v>1.2HP</v>
      </c>
      <c r="I2123" s="1076" t="str">
        <f>IFERROR(__xludf.DUMMYFUNCTION("""COMPUTED_VALUE"""),"ZOZC11M3")</f>
        <v>ZOZC11M3</v>
      </c>
      <c r="J2123" s="1076"/>
      <c r="K2123" s="1076">
        <f>IFERROR(__xludf.DUMMYFUNCTION("""COMPUTED_VALUE"""),0.5)</f>
        <v>0.5</v>
      </c>
      <c r="L2123" s="1076" t="str">
        <f>IFERROR(__xludf.DUMMYFUNCTION("""COMPUTED_VALUE"""),"Loại biên")</f>
        <v>Loại biên</v>
      </c>
    </row>
    <row r="2124" customHeight="1" spans="1:12">
      <c r="A2124" s="1076" t="str">
        <f>IFERROR(__xludf.DUMMYFUNCTION("""COMPUTED_VALUE"""),"XL1-MPC-032")</f>
        <v>XL1-MPC-032</v>
      </c>
      <c r="B2124" s="1075" t="str">
        <f>IFERROR(__xludf.DUMMYFUNCTION("""COMPUTED_VALUE"""),"Máy phát cỏ 4 thì")</f>
        <v>Máy phát cỏ 4 thì</v>
      </c>
      <c r="C2124" s="1076" t="str">
        <f>IFERROR(__xludf.DUMMYFUNCTION("""COMPUTED_VALUE"""),"Loại biên")</f>
        <v>Loại biên</v>
      </c>
      <c r="D2124" s="1076" t="str">
        <f>IFERROR(__xludf.DUMMYFUNCTION("""COMPUTED_VALUE"""),"HINOTA")</f>
        <v>HINOTA</v>
      </c>
      <c r="E2124" s="1076" t="str">
        <f>IFERROR(__xludf.DUMMYFUNCTION("""COMPUTED_VALUE"""),"Trung Quốc")</f>
        <v>Trung Quốc</v>
      </c>
      <c r="F2124" s="1076"/>
      <c r="G2124" s="1076" t="str">
        <f>IFERROR(__xludf.DUMMYFUNCTION("""COMPUTED_VALUE"""),"CG435")</f>
        <v>CG435</v>
      </c>
      <c r="H2124" s="1076" t="str">
        <f>IFERROR(__xludf.DUMMYFUNCTION("""COMPUTED_VALUE"""),"1.2HP")</f>
        <v>1.2HP</v>
      </c>
      <c r="I2124" s="1076" t="str">
        <f>IFERROR(__xludf.DUMMYFUNCTION("""COMPUTED_VALUE"""),"ZOZC11M4")</f>
        <v>ZOZC11M4</v>
      </c>
      <c r="J2124" s="1076"/>
      <c r="K2124" s="1076">
        <f>IFERROR(__xludf.DUMMYFUNCTION("""COMPUTED_VALUE"""),0.5)</f>
        <v>0.5</v>
      </c>
      <c r="L2124" s="1076" t="str">
        <f>IFERROR(__xludf.DUMMYFUNCTION("""COMPUTED_VALUE"""),"Loại biên")</f>
        <v>Loại biên</v>
      </c>
    </row>
    <row r="2125" customHeight="1" spans="1:12">
      <c r="A2125" s="1076" t="str">
        <f>IFERROR(__xludf.DUMMYFUNCTION("""COMPUTED_VALUE"""),"XL1-MPC-033")</f>
        <v>XL1-MPC-033</v>
      </c>
      <c r="B2125" s="1075" t="str">
        <f>IFERROR(__xludf.DUMMYFUNCTION("""COMPUTED_VALUE"""),"Máy phát cỏ 4 thì")</f>
        <v>Máy phát cỏ 4 thì</v>
      </c>
      <c r="C2125" s="1076" t="str">
        <f>IFERROR(__xludf.DUMMYFUNCTION("""COMPUTED_VALUE"""),"Loại biên")</f>
        <v>Loại biên</v>
      </c>
      <c r="D2125" s="1076" t="str">
        <f>IFERROR(__xludf.DUMMYFUNCTION("""COMPUTED_VALUE"""),"HINOTA")</f>
        <v>HINOTA</v>
      </c>
      <c r="E2125" s="1076" t="str">
        <f>IFERROR(__xludf.DUMMYFUNCTION("""COMPUTED_VALUE"""),"Nhật Bản")</f>
        <v>Nhật Bản</v>
      </c>
      <c r="F2125" s="1076"/>
      <c r="G2125" s="1076" t="str">
        <f>IFERROR(__xludf.DUMMYFUNCTION("""COMPUTED_VALUE"""),"CG435")</f>
        <v>CG435</v>
      </c>
      <c r="H2125" s="1076" t="str">
        <f>IFERROR(__xludf.DUMMYFUNCTION("""COMPUTED_VALUE"""),"1.2HP")</f>
        <v>1.2HP</v>
      </c>
      <c r="I2125" s="1076"/>
      <c r="J2125" s="1076"/>
      <c r="K2125" s="1076">
        <f>IFERROR(__xludf.DUMMYFUNCTION("""COMPUTED_VALUE"""),0.5)</f>
        <v>0.5</v>
      </c>
      <c r="L2125" s="1076" t="str">
        <f>IFERROR(__xludf.DUMMYFUNCTION("""COMPUTED_VALUE"""),"Loại biên")</f>
        <v>Loại biên</v>
      </c>
    </row>
    <row r="2126" customHeight="1" spans="1:12">
      <c r="A2126" s="1076" t="str">
        <f>IFERROR(__xludf.DUMMYFUNCTION("""COMPUTED_VALUE"""),"XL1-MPC-034")</f>
        <v>XL1-MPC-034</v>
      </c>
      <c r="B2126" s="1075" t="str">
        <f>IFERROR(__xludf.DUMMYFUNCTION("""COMPUTED_VALUE"""),"Máy phát cỏ 4 thì")</f>
        <v>Máy phát cỏ 4 thì</v>
      </c>
      <c r="C2126" s="1076" t="str">
        <f>IFERROR(__xludf.DUMMYFUNCTION("""COMPUTED_VALUE"""),"Loại biên")</f>
        <v>Loại biên</v>
      </c>
      <c r="D2126" s="1076" t="str">
        <f>IFERROR(__xludf.DUMMYFUNCTION("""COMPUTED_VALUE"""),"HINOTA")</f>
        <v>HINOTA</v>
      </c>
      <c r="E2126" s="1076" t="str">
        <f>IFERROR(__xludf.DUMMYFUNCTION("""COMPUTED_VALUE"""),"Nhật Bản")</f>
        <v>Nhật Bản</v>
      </c>
      <c r="F2126" s="1076"/>
      <c r="G2126" s="1076" t="str">
        <f>IFERROR(__xludf.DUMMYFUNCTION("""COMPUTED_VALUE"""),"CG435")</f>
        <v>CG435</v>
      </c>
      <c r="H2126" s="1076" t="str">
        <f>IFERROR(__xludf.DUMMYFUNCTION("""COMPUTED_VALUE"""),"1.2HP")</f>
        <v>1.2HP</v>
      </c>
      <c r="I2126" s="1076"/>
      <c r="J2126" s="1076"/>
      <c r="K2126" s="1076">
        <f>IFERROR(__xludf.DUMMYFUNCTION("""COMPUTED_VALUE"""),0.5)</f>
        <v>0.5</v>
      </c>
      <c r="L2126" s="1076" t="str">
        <f>IFERROR(__xludf.DUMMYFUNCTION("""COMPUTED_VALUE"""),"Loại biên")</f>
        <v>Loại biên</v>
      </c>
    </row>
    <row r="2127" customHeight="1" spans="1:12">
      <c r="A2127" s="1076" t="str">
        <f>IFERROR(__xludf.DUMMYFUNCTION("""COMPUTED_VALUE"""),"XL1-MPC-035")</f>
        <v>XL1-MPC-035</v>
      </c>
      <c r="B2127" s="1075" t="str">
        <f>IFERROR(__xludf.DUMMYFUNCTION("""COMPUTED_VALUE"""),"Máy phát cỏ 4 thì")</f>
        <v>Máy phát cỏ 4 thì</v>
      </c>
      <c r="C2127" s="1076" t="str">
        <f>IFERROR(__xludf.DUMMYFUNCTION("""COMPUTED_VALUE"""),"Loại biên")</f>
        <v>Loại biên</v>
      </c>
      <c r="D2127" s="1076" t="str">
        <f>IFERROR(__xludf.DUMMYFUNCTION("""COMPUTED_VALUE"""),"HINOTA")</f>
        <v>HINOTA</v>
      </c>
      <c r="E2127" s="1076" t="str">
        <f>IFERROR(__xludf.DUMMYFUNCTION("""COMPUTED_VALUE"""),"Nhật Bản")</f>
        <v>Nhật Bản</v>
      </c>
      <c r="F2127" s="1076"/>
      <c r="G2127" s="1076" t="str">
        <f>IFERROR(__xludf.DUMMYFUNCTION("""COMPUTED_VALUE"""),"CG435")</f>
        <v>CG435</v>
      </c>
      <c r="H2127" s="1076" t="str">
        <f>IFERROR(__xludf.DUMMYFUNCTION("""COMPUTED_VALUE"""),"1.2HP")</f>
        <v>1.2HP</v>
      </c>
      <c r="I2127" s="1076"/>
      <c r="J2127" s="1076"/>
      <c r="K2127" s="1076">
        <f>IFERROR(__xludf.DUMMYFUNCTION("""COMPUTED_VALUE"""),0.5)</f>
        <v>0.5</v>
      </c>
      <c r="L2127" s="1076" t="str">
        <f>IFERROR(__xludf.DUMMYFUNCTION("""COMPUTED_VALUE"""),"Loại biên")</f>
        <v>Loại biên</v>
      </c>
    </row>
    <row r="2128" customHeight="1" spans="1:12">
      <c r="A2128" s="1076" t="str">
        <f>IFERROR(__xludf.DUMMYFUNCTION("""COMPUTED_VALUE"""),"XL1-MPC-036")</f>
        <v>XL1-MPC-036</v>
      </c>
      <c r="B2128" s="1075" t="str">
        <f>IFERROR(__xludf.DUMMYFUNCTION("""COMPUTED_VALUE"""),"Máy phát cỏ 4 thì")</f>
        <v>Máy phát cỏ 4 thì</v>
      </c>
      <c r="C2128" s="1076" t="str">
        <f>IFERROR(__xludf.DUMMYFUNCTION("""COMPUTED_VALUE"""),"Loại biên")</f>
        <v>Loại biên</v>
      </c>
      <c r="D2128" s="1076" t="str">
        <f>IFERROR(__xludf.DUMMYFUNCTION("""COMPUTED_VALUE"""),"HONDA")</f>
        <v>HONDA</v>
      </c>
      <c r="E2128" s="1076" t="str">
        <f>IFERROR(__xludf.DUMMYFUNCTION("""COMPUTED_VALUE"""),"Nhật Bản")</f>
        <v>Nhật Bản</v>
      </c>
      <c r="F2128" s="1076"/>
      <c r="G2128" s="1076" t="str">
        <f>IFERROR(__xludf.DUMMYFUNCTION("""COMPUTED_VALUE"""),"GX35")</f>
        <v>GX35</v>
      </c>
      <c r="H2128" s="1076" t="str">
        <f>IFERROR(__xludf.DUMMYFUNCTION("""COMPUTED_VALUE"""),"1.6HP")</f>
        <v>1.6HP</v>
      </c>
      <c r="I2128" s="1076"/>
      <c r="J2128" s="1076" t="str">
        <f>IFERROR(__xludf.DUMMYFUNCTION("""COMPUTED_VALUE"""),"GCAMT-7646514")</f>
        <v>GCAMT-7646514</v>
      </c>
      <c r="K2128" s="1076">
        <f>IFERROR(__xludf.DUMMYFUNCTION("""COMPUTED_VALUE"""),0.5)</f>
        <v>0.5</v>
      </c>
      <c r="L2128" s="1076" t="str">
        <f>IFERROR(__xludf.DUMMYFUNCTION("""COMPUTED_VALUE"""),"Loại biên")</f>
        <v>Loại biên</v>
      </c>
    </row>
    <row r="2129" customHeight="1" spans="1:12">
      <c r="A2129" s="1076" t="str">
        <f>IFERROR(__xludf.DUMMYFUNCTION("""COMPUTED_VALUE"""),"XL1-MPC-037")</f>
        <v>XL1-MPC-037</v>
      </c>
      <c r="B2129" s="1075" t="str">
        <f>IFERROR(__xludf.DUMMYFUNCTION("""COMPUTED_VALUE"""),"Máy phát cỏ 4 thì")</f>
        <v>Máy phát cỏ 4 thì</v>
      </c>
      <c r="C2129" s="1076" t="str">
        <f>IFERROR(__xludf.DUMMYFUNCTION("""COMPUTED_VALUE"""),"Loại biên")</f>
        <v>Loại biên</v>
      </c>
      <c r="D2129" s="1076" t="str">
        <f>IFERROR(__xludf.DUMMYFUNCTION("""COMPUTED_VALUE"""),"HONDA")</f>
        <v>HONDA</v>
      </c>
      <c r="E2129" s="1076" t="str">
        <f>IFERROR(__xludf.DUMMYFUNCTION("""COMPUTED_VALUE"""),"Nhật Bản")</f>
        <v>Nhật Bản</v>
      </c>
      <c r="F2129" s="1076"/>
      <c r="G2129" s="1076" t="str">
        <f>IFERROR(__xludf.DUMMYFUNCTION("""COMPUTED_VALUE"""),"GX35")</f>
        <v>GX35</v>
      </c>
      <c r="H2129" s="1076" t="str">
        <f>IFERROR(__xludf.DUMMYFUNCTION("""COMPUTED_VALUE"""),"1.6HP")</f>
        <v>1.6HP</v>
      </c>
      <c r="I2129" s="1076"/>
      <c r="J2129" s="1076" t="str">
        <f>IFERROR(__xludf.DUMMYFUNCTION("""COMPUTED_VALUE"""),"GCAMT-7589271")</f>
        <v>GCAMT-7589271</v>
      </c>
      <c r="K2129" s="1076">
        <f>IFERROR(__xludf.DUMMYFUNCTION("""COMPUTED_VALUE"""),0.5)</f>
        <v>0.5</v>
      </c>
      <c r="L2129" s="1076" t="str">
        <f>IFERROR(__xludf.DUMMYFUNCTION("""COMPUTED_VALUE"""),"Loại biên")</f>
        <v>Loại biên</v>
      </c>
    </row>
    <row r="2130" customHeight="1" spans="1:12">
      <c r="A2130" s="1076" t="str">
        <f>IFERROR(__xludf.DUMMYFUNCTION("""COMPUTED_VALUE"""),"XL1-MPC-038")</f>
        <v>XL1-MPC-038</v>
      </c>
      <c r="B2130" s="1075" t="str">
        <f>IFERROR(__xludf.DUMMYFUNCTION("""COMPUTED_VALUE"""),"Máy phát cỏ 4 thì")</f>
        <v>Máy phát cỏ 4 thì</v>
      </c>
      <c r="C2130" s="1076" t="str">
        <f>IFERROR(__xludf.DUMMYFUNCTION("""COMPUTED_VALUE"""),"Loại biên")</f>
        <v>Loại biên</v>
      </c>
      <c r="D2130" s="1076" t="str">
        <f>IFERROR(__xludf.DUMMYFUNCTION("""COMPUTED_VALUE"""),"HONDA")</f>
        <v>HONDA</v>
      </c>
      <c r="E2130" s="1076" t="str">
        <f>IFERROR(__xludf.DUMMYFUNCTION("""COMPUTED_VALUE"""),"Nhật Bản")</f>
        <v>Nhật Bản</v>
      </c>
      <c r="F2130" s="1076"/>
      <c r="G2130" s="1076" t="str">
        <f>IFERROR(__xludf.DUMMYFUNCTION("""COMPUTED_VALUE"""),"GX35")</f>
        <v>GX35</v>
      </c>
      <c r="H2130" s="1076" t="str">
        <f>IFERROR(__xludf.DUMMYFUNCTION("""COMPUTED_VALUE"""),"1.6HP")</f>
        <v>1.6HP</v>
      </c>
      <c r="I2130" s="1076"/>
      <c r="J2130" s="1076" t="str">
        <f>IFERROR(__xludf.DUMMYFUNCTION("""COMPUTED_VALUE"""),"GCAMT-7589275")</f>
        <v>GCAMT-7589275</v>
      </c>
      <c r="K2130" s="1076">
        <f>IFERROR(__xludf.DUMMYFUNCTION("""COMPUTED_VALUE"""),0.5)</f>
        <v>0.5</v>
      </c>
      <c r="L2130" s="1076" t="str">
        <f>IFERROR(__xludf.DUMMYFUNCTION("""COMPUTED_VALUE"""),"Loại biên")</f>
        <v>Loại biên</v>
      </c>
    </row>
    <row r="2131" customHeight="1" spans="1:12">
      <c r="A2131" s="1076" t="str">
        <f>IFERROR(__xludf.DUMMYFUNCTION("""COMPUTED_VALUE"""),"XL1-MPC-039")</f>
        <v>XL1-MPC-039</v>
      </c>
      <c r="B2131" s="1075" t="str">
        <f>IFERROR(__xludf.DUMMYFUNCTION("""COMPUTED_VALUE"""),"Máy phát cỏ 4 thì")</f>
        <v>Máy phát cỏ 4 thì</v>
      </c>
      <c r="C2131" s="1076" t="str">
        <f>IFERROR(__xludf.DUMMYFUNCTION("""COMPUTED_VALUE"""),"Loại biên")</f>
        <v>Loại biên</v>
      </c>
      <c r="D2131" s="1076" t="str">
        <f>IFERROR(__xludf.DUMMYFUNCTION("""COMPUTED_VALUE"""),"HONDA")</f>
        <v>HONDA</v>
      </c>
      <c r="E2131" s="1076" t="str">
        <f>IFERROR(__xludf.DUMMYFUNCTION("""COMPUTED_VALUE"""),"Nhật Bản")</f>
        <v>Nhật Bản</v>
      </c>
      <c r="F2131" s="1076"/>
      <c r="G2131" s="1076" t="str">
        <f>IFERROR(__xludf.DUMMYFUNCTION("""COMPUTED_VALUE"""),"GX35")</f>
        <v>GX35</v>
      </c>
      <c r="H2131" s="1076" t="str">
        <f>IFERROR(__xludf.DUMMYFUNCTION("""COMPUTED_VALUE"""),"1.6HP")</f>
        <v>1.6HP</v>
      </c>
      <c r="I2131" s="1076"/>
      <c r="J2131" s="1076" t="str">
        <f>IFERROR(__xludf.DUMMYFUNCTION("""COMPUTED_VALUE"""),"GCAMT-7589282")</f>
        <v>GCAMT-7589282</v>
      </c>
      <c r="K2131" s="1076">
        <f>IFERROR(__xludf.DUMMYFUNCTION("""COMPUTED_VALUE"""),0.5)</f>
        <v>0.5</v>
      </c>
      <c r="L2131" s="1076" t="str">
        <f>IFERROR(__xludf.DUMMYFUNCTION("""COMPUTED_VALUE"""),"Loại biên")</f>
        <v>Loại biên</v>
      </c>
    </row>
    <row r="2132" customHeight="1" spans="1:12">
      <c r="A2132" s="1076" t="str">
        <f>IFERROR(__xludf.DUMMYFUNCTION("""COMPUTED_VALUE"""),"XL1-MPC-040")</f>
        <v>XL1-MPC-040</v>
      </c>
      <c r="B2132" s="1075" t="str">
        <f>IFERROR(__xludf.DUMMYFUNCTION("""COMPUTED_VALUE"""),"Máy phát cỏ 4 thì")</f>
        <v>Máy phát cỏ 4 thì</v>
      </c>
      <c r="C2132" s="1076" t="str">
        <f>IFERROR(__xludf.DUMMYFUNCTION("""COMPUTED_VALUE"""),"Loại biên")</f>
        <v>Loại biên</v>
      </c>
      <c r="D2132" s="1076" t="str">
        <f>IFERROR(__xludf.DUMMYFUNCTION("""COMPUTED_VALUE"""),"HONDA")</f>
        <v>HONDA</v>
      </c>
      <c r="E2132" s="1076" t="str">
        <f>IFERROR(__xludf.DUMMYFUNCTION("""COMPUTED_VALUE"""),"Nhật Bản")</f>
        <v>Nhật Bản</v>
      </c>
      <c r="F2132" s="1076"/>
      <c r="G2132" s="1076" t="str">
        <f>IFERROR(__xludf.DUMMYFUNCTION("""COMPUTED_VALUE"""),"GX35")</f>
        <v>GX35</v>
      </c>
      <c r="H2132" s="1076" t="str">
        <f>IFERROR(__xludf.DUMMYFUNCTION("""COMPUTED_VALUE"""),"1.6HP")</f>
        <v>1.6HP</v>
      </c>
      <c r="I2132" s="1076"/>
      <c r="J2132" s="1076" t="str">
        <f>IFERROR(__xludf.DUMMYFUNCTION("""COMPUTED_VALUE"""),"GCAMT-7635278")</f>
        <v>GCAMT-7635278</v>
      </c>
      <c r="K2132" s="1076">
        <f>IFERROR(__xludf.DUMMYFUNCTION("""COMPUTED_VALUE"""),0.5)</f>
        <v>0.5</v>
      </c>
      <c r="L2132" s="1076" t="str">
        <f>IFERROR(__xludf.DUMMYFUNCTION("""COMPUTED_VALUE"""),"Loại biên")</f>
        <v>Loại biên</v>
      </c>
    </row>
    <row r="2133" customHeight="1" spans="1:12">
      <c r="A2133" s="1076" t="str">
        <f>IFERROR(__xludf.DUMMYFUNCTION("""COMPUTED_VALUE"""),"XL1-MPC-041")</f>
        <v>XL1-MPC-041</v>
      </c>
      <c r="B2133" s="1075" t="str">
        <f>IFERROR(__xludf.DUMMYFUNCTION("""COMPUTED_VALUE"""),"Máy phát cỏ 4 thì")</f>
        <v>Máy phát cỏ 4 thì</v>
      </c>
      <c r="C2133" s="1076" t="str">
        <f>IFERROR(__xludf.DUMMYFUNCTION("""COMPUTED_VALUE"""),"Loại biên")</f>
        <v>Loại biên</v>
      </c>
      <c r="D2133" s="1076" t="str">
        <f>IFERROR(__xludf.DUMMYFUNCTION("""COMPUTED_VALUE"""),"HONDA")</f>
        <v>HONDA</v>
      </c>
      <c r="E2133" s="1076" t="str">
        <f>IFERROR(__xludf.DUMMYFUNCTION("""COMPUTED_VALUE"""),"Nhật Bản")</f>
        <v>Nhật Bản</v>
      </c>
      <c r="F2133" s="1076"/>
      <c r="G2133" s="1076" t="str">
        <f>IFERROR(__xludf.DUMMYFUNCTION("""COMPUTED_VALUE"""),"GX35")</f>
        <v>GX35</v>
      </c>
      <c r="H2133" s="1076" t="str">
        <f>IFERROR(__xludf.DUMMYFUNCTION("""COMPUTED_VALUE"""),"1.6HP")</f>
        <v>1.6HP</v>
      </c>
      <c r="I2133" s="1076"/>
      <c r="J2133" s="1076" t="str">
        <f>IFERROR(__xludf.DUMMYFUNCTION("""COMPUTED_VALUE"""),"GCAMT-7633997")</f>
        <v>GCAMT-7633997</v>
      </c>
      <c r="K2133" s="1076">
        <f>IFERROR(__xludf.DUMMYFUNCTION("""COMPUTED_VALUE"""),0.5)</f>
        <v>0.5</v>
      </c>
      <c r="L2133" s="1076" t="str">
        <f>IFERROR(__xludf.DUMMYFUNCTION("""COMPUTED_VALUE"""),"Loại biên")</f>
        <v>Loại biên</v>
      </c>
    </row>
    <row r="2134" customHeight="1" spans="1:12">
      <c r="A2134" s="1076" t="str">
        <f>IFERROR(__xludf.DUMMYFUNCTION("""COMPUTED_VALUE"""),"XL1-MPC-042")</f>
        <v>XL1-MPC-042</v>
      </c>
      <c r="B2134" s="1075" t="str">
        <f>IFERROR(__xludf.DUMMYFUNCTION("""COMPUTED_VALUE"""),"Máy phát cỏ 4 thì")</f>
        <v>Máy phát cỏ 4 thì</v>
      </c>
      <c r="C2134" s="1076" t="str">
        <f>IFERROR(__xludf.DUMMYFUNCTION("""COMPUTED_VALUE"""),"Loại biên")</f>
        <v>Loại biên</v>
      </c>
      <c r="D2134" s="1076" t="str">
        <f>IFERROR(__xludf.DUMMYFUNCTION("""COMPUTED_VALUE"""),"HINOTA")</f>
        <v>HINOTA</v>
      </c>
      <c r="E2134" s="1076" t="str">
        <f>IFERROR(__xludf.DUMMYFUNCTION("""COMPUTED_VALUE"""),"Nhật Bản")</f>
        <v>Nhật Bản</v>
      </c>
      <c r="F2134" s="1076"/>
      <c r="G2134" s="1076" t="str">
        <f>IFERROR(__xludf.DUMMYFUNCTION("""COMPUTED_VALUE"""),"CG435")</f>
        <v>CG435</v>
      </c>
      <c r="H2134" s="1076" t="str">
        <f>IFERROR(__xludf.DUMMYFUNCTION("""COMPUTED_VALUE"""),"1.2HP")</f>
        <v>1.2HP</v>
      </c>
      <c r="I2134" s="1076"/>
      <c r="J2134" s="1076"/>
      <c r="K2134" s="1076">
        <f>IFERROR(__xludf.DUMMYFUNCTION("""COMPUTED_VALUE"""),0.5)</f>
        <v>0.5</v>
      </c>
      <c r="L2134" s="1076" t="str">
        <f>IFERROR(__xludf.DUMMYFUNCTION("""COMPUTED_VALUE"""),"Loại biên")</f>
        <v>Loại biên</v>
      </c>
    </row>
    <row r="2135" customHeight="1" spans="1:12">
      <c r="A2135" s="1076" t="str">
        <f>IFERROR(__xludf.DUMMYFUNCTION("""COMPUTED_VALUE"""),"XL1-MPC-043")</f>
        <v>XL1-MPC-043</v>
      </c>
      <c r="B2135" s="1075" t="str">
        <f>IFERROR(__xludf.DUMMYFUNCTION("""COMPUTED_VALUE"""),"Máy phát cỏ 4 thì")</f>
        <v>Máy phát cỏ 4 thì</v>
      </c>
      <c r="C2135" s="1076" t="str">
        <f>IFERROR(__xludf.DUMMYFUNCTION("""COMPUTED_VALUE"""),"Loại biên")</f>
        <v>Loại biên</v>
      </c>
      <c r="D2135" s="1076" t="str">
        <f>IFERROR(__xludf.DUMMYFUNCTION("""COMPUTED_VALUE"""),"HINOTA")</f>
        <v>HINOTA</v>
      </c>
      <c r="E2135" s="1076" t="str">
        <f>IFERROR(__xludf.DUMMYFUNCTION("""COMPUTED_VALUE"""),"Nhật Bản")</f>
        <v>Nhật Bản</v>
      </c>
      <c r="F2135" s="1076"/>
      <c r="G2135" s="1076" t="str">
        <f>IFERROR(__xludf.DUMMYFUNCTION("""COMPUTED_VALUE"""),"CG435")</f>
        <v>CG435</v>
      </c>
      <c r="H2135" s="1076" t="str">
        <f>IFERROR(__xludf.DUMMYFUNCTION("""COMPUTED_VALUE"""),"1.2HP")</f>
        <v>1.2HP</v>
      </c>
      <c r="I2135" s="1076"/>
      <c r="J2135" s="1076"/>
      <c r="K2135" s="1076">
        <f>IFERROR(__xludf.DUMMYFUNCTION("""COMPUTED_VALUE"""),0.5)</f>
        <v>0.5</v>
      </c>
      <c r="L2135" s="1076" t="str">
        <f>IFERROR(__xludf.DUMMYFUNCTION("""COMPUTED_VALUE"""),"Loại biên")</f>
        <v>Loại biên</v>
      </c>
    </row>
    <row r="2136" customHeight="1" spans="1:12">
      <c r="A2136" s="1076" t="str">
        <f>IFERROR(__xludf.DUMMYFUNCTION("""COMPUTED_VALUE"""),"XL1-MPC-044")</f>
        <v>XL1-MPC-044</v>
      </c>
      <c r="B2136" s="1075" t="str">
        <f>IFERROR(__xludf.DUMMYFUNCTION("""COMPUTED_VALUE"""),"Máy phát cỏ 4 thì")</f>
        <v>Máy phát cỏ 4 thì</v>
      </c>
      <c r="C2136" s="1076" t="str">
        <f>IFERROR(__xludf.DUMMYFUNCTION("""COMPUTED_VALUE"""),"Loại biên")</f>
        <v>Loại biên</v>
      </c>
      <c r="D2136" s="1076" t="str">
        <f>IFERROR(__xludf.DUMMYFUNCTION("""COMPUTED_VALUE"""),"HINOTA")</f>
        <v>HINOTA</v>
      </c>
      <c r="E2136" s="1076" t="str">
        <f>IFERROR(__xludf.DUMMYFUNCTION("""COMPUTED_VALUE"""),"Nhật Bản")</f>
        <v>Nhật Bản</v>
      </c>
      <c r="F2136" s="1076"/>
      <c r="G2136" s="1076" t="str">
        <f>IFERROR(__xludf.DUMMYFUNCTION("""COMPUTED_VALUE"""),"CG435")</f>
        <v>CG435</v>
      </c>
      <c r="H2136" s="1076" t="str">
        <f>IFERROR(__xludf.DUMMYFUNCTION("""COMPUTED_VALUE"""),"1.2HP")</f>
        <v>1.2HP</v>
      </c>
      <c r="I2136" s="1076"/>
      <c r="J2136" s="1076"/>
      <c r="K2136" s="1076">
        <f>IFERROR(__xludf.DUMMYFUNCTION("""COMPUTED_VALUE"""),0.5)</f>
        <v>0.5</v>
      </c>
      <c r="L2136" s="1076" t="str">
        <f>IFERROR(__xludf.DUMMYFUNCTION("""COMPUTED_VALUE"""),"Loại biên")</f>
        <v>Loại biên</v>
      </c>
    </row>
    <row r="2137" customHeight="1" spans="1:12">
      <c r="A2137" s="1076" t="str">
        <f>IFERROR(__xludf.DUMMYFUNCTION("""COMPUTED_VALUE"""),"XD1-MPC-001")</f>
        <v>XD1-MPC-001</v>
      </c>
      <c r="B2137" s="1075" t="str">
        <f>IFERROR(__xludf.DUMMYFUNCTION("""COMPUTED_VALUE"""),"Máy phát cỏ 4 thì")</f>
        <v>Máy phát cỏ 4 thì</v>
      </c>
      <c r="C2137" s="1076" t="str">
        <f>IFERROR(__xludf.DUMMYFUNCTION("""COMPUTED_VALUE"""),"Loại biên")</f>
        <v>Loại biên</v>
      </c>
      <c r="D2137" s="1076" t="str">
        <f>IFERROR(__xludf.DUMMYFUNCTION("""COMPUTED_VALUE"""),"HINOTA")</f>
        <v>HINOTA</v>
      </c>
      <c r="E2137" s="1076" t="str">
        <f>IFERROR(__xludf.DUMMYFUNCTION("""COMPUTED_VALUE"""),"Trung Quốc")</f>
        <v>Trung Quốc</v>
      </c>
      <c r="F2137" s="1076"/>
      <c r="G2137" s="1076" t="str">
        <f>IFERROR(__xludf.DUMMYFUNCTION("""COMPUTED_VALUE"""),"CG435")</f>
        <v>CG435</v>
      </c>
      <c r="H2137" s="1076" t="str">
        <f>IFERROR(__xludf.DUMMYFUNCTION("""COMPUTED_VALUE"""),"1.2HP")</f>
        <v>1.2HP</v>
      </c>
      <c r="I2137" s="1076"/>
      <c r="J2137" s="1076"/>
      <c r="K2137" s="1076">
        <f>IFERROR(__xludf.DUMMYFUNCTION("""COMPUTED_VALUE"""),0.5)</f>
        <v>0.5</v>
      </c>
      <c r="L2137" s="1076" t="str">
        <f>IFERROR(__xludf.DUMMYFUNCTION("""COMPUTED_VALUE"""),"Loại biên")</f>
        <v>Loại biên</v>
      </c>
    </row>
    <row r="2138" customHeight="1" spans="1:12">
      <c r="A2138" s="1076" t="str">
        <f>IFERROR(__xludf.DUMMYFUNCTION("""COMPUTED_VALUE"""),"XD1-MPC-002")</f>
        <v>XD1-MPC-002</v>
      </c>
      <c r="B2138" s="1075" t="str">
        <f>IFERROR(__xludf.DUMMYFUNCTION("""COMPUTED_VALUE"""),"Máy phát cỏ 4 thì")</f>
        <v>Máy phát cỏ 4 thì</v>
      </c>
      <c r="C2138" s="1076" t="str">
        <f>IFERROR(__xludf.DUMMYFUNCTION("""COMPUTED_VALUE"""),"Loại biên")</f>
        <v>Loại biên</v>
      </c>
      <c r="D2138" s="1076" t="str">
        <f>IFERROR(__xludf.DUMMYFUNCTION("""COMPUTED_VALUE"""),"HINOTA")</f>
        <v>HINOTA</v>
      </c>
      <c r="E2138" s="1076" t="str">
        <f>IFERROR(__xludf.DUMMYFUNCTION("""COMPUTED_VALUE"""),"Trung Quốc")</f>
        <v>Trung Quốc</v>
      </c>
      <c r="F2138" s="1076"/>
      <c r="G2138" s="1076" t="str">
        <f>IFERROR(__xludf.DUMMYFUNCTION("""COMPUTED_VALUE"""),"CG435")</f>
        <v>CG435</v>
      </c>
      <c r="H2138" s="1076" t="str">
        <f>IFERROR(__xludf.DUMMYFUNCTION("""COMPUTED_VALUE"""),"1.2HP")</f>
        <v>1.2HP</v>
      </c>
      <c r="I2138" s="1076"/>
      <c r="J2138" s="1076"/>
      <c r="K2138" s="1076">
        <f>IFERROR(__xludf.DUMMYFUNCTION("""COMPUTED_VALUE"""),0.5)</f>
        <v>0.5</v>
      </c>
      <c r="L2138" s="1076" t="str">
        <f>IFERROR(__xludf.DUMMYFUNCTION("""COMPUTED_VALUE"""),"Loại biên")</f>
        <v>Loại biên</v>
      </c>
    </row>
    <row r="2139" customHeight="1" spans="1:12">
      <c r="A2139" s="1076" t="str">
        <f>IFERROR(__xludf.DUMMYFUNCTION("""COMPUTED_VALUE"""),"XD1-MPC-003")</f>
        <v>XD1-MPC-003</v>
      </c>
      <c r="B2139" s="1075" t="str">
        <f>IFERROR(__xludf.DUMMYFUNCTION("""COMPUTED_VALUE"""),"Máy phát cỏ 4 thì")</f>
        <v>Máy phát cỏ 4 thì</v>
      </c>
      <c r="C2139" s="1076" t="str">
        <f>IFERROR(__xludf.DUMMYFUNCTION("""COMPUTED_VALUE"""),"Loại biên")</f>
        <v>Loại biên</v>
      </c>
      <c r="D2139" s="1076" t="str">
        <f>IFERROR(__xludf.DUMMYFUNCTION("""COMPUTED_VALUE"""),"HINOTA")</f>
        <v>HINOTA</v>
      </c>
      <c r="E2139" s="1076" t="str">
        <f>IFERROR(__xludf.DUMMYFUNCTION("""COMPUTED_VALUE"""),"Trung Quốc")</f>
        <v>Trung Quốc</v>
      </c>
      <c r="F2139" s="1076"/>
      <c r="G2139" s="1076" t="str">
        <f>IFERROR(__xludf.DUMMYFUNCTION("""COMPUTED_VALUE"""),"CG435")</f>
        <v>CG435</v>
      </c>
      <c r="H2139" s="1076" t="str">
        <f>IFERROR(__xludf.DUMMYFUNCTION("""COMPUTED_VALUE"""),"1.2HP")</f>
        <v>1.2HP</v>
      </c>
      <c r="I2139" s="1076"/>
      <c r="J2139" s="1076"/>
      <c r="K2139" s="1076">
        <f>IFERROR(__xludf.DUMMYFUNCTION("""COMPUTED_VALUE"""),0.5)</f>
        <v>0.5</v>
      </c>
      <c r="L2139" s="1076" t="str">
        <f>IFERROR(__xludf.DUMMYFUNCTION("""COMPUTED_VALUE"""),"Loại biên")</f>
        <v>Loại biên</v>
      </c>
    </row>
    <row r="2140" customHeight="1" spans="1:12">
      <c r="A2140" s="1076" t="str">
        <f>IFERROR(__xludf.DUMMYFUNCTION("""COMPUTED_VALUE"""),"XD1-MPC-004")</f>
        <v>XD1-MPC-004</v>
      </c>
      <c r="B2140" s="1075" t="str">
        <f>IFERROR(__xludf.DUMMYFUNCTION("""COMPUTED_VALUE"""),"Máy phát cỏ 4 thì")</f>
        <v>Máy phát cỏ 4 thì</v>
      </c>
      <c r="C2140" s="1076" t="str">
        <f>IFERROR(__xludf.DUMMYFUNCTION("""COMPUTED_VALUE"""),"Loại biên")</f>
        <v>Loại biên</v>
      </c>
      <c r="D2140" s="1076" t="str">
        <f>IFERROR(__xludf.DUMMYFUNCTION("""COMPUTED_VALUE"""),"HINOTA")</f>
        <v>HINOTA</v>
      </c>
      <c r="E2140" s="1076" t="str">
        <f>IFERROR(__xludf.DUMMYFUNCTION("""COMPUTED_VALUE"""),"Trung Quốc")</f>
        <v>Trung Quốc</v>
      </c>
      <c r="F2140" s="1076"/>
      <c r="G2140" s="1076" t="str">
        <f>IFERROR(__xludf.DUMMYFUNCTION("""COMPUTED_VALUE"""),"CG435")</f>
        <v>CG435</v>
      </c>
      <c r="H2140" s="1076" t="str">
        <f>IFERROR(__xludf.DUMMYFUNCTION("""COMPUTED_VALUE"""),"1.2HP")</f>
        <v>1.2HP</v>
      </c>
      <c r="I2140" s="1076"/>
      <c r="J2140" s="1076"/>
      <c r="K2140" s="1076">
        <f>IFERROR(__xludf.DUMMYFUNCTION("""COMPUTED_VALUE"""),0.5)</f>
        <v>0.5</v>
      </c>
      <c r="L2140" s="1076" t="str">
        <f>IFERROR(__xludf.DUMMYFUNCTION("""COMPUTED_VALUE"""),"Loại biên")</f>
        <v>Loại biên</v>
      </c>
    </row>
    <row r="2141" customHeight="1" spans="1:12">
      <c r="A2141" s="1076" t="str">
        <f>IFERROR(__xludf.DUMMYFUNCTION("""COMPUTED_VALUE"""),"XD1-MPC-005")</f>
        <v>XD1-MPC-005</v>
      </c>
      <c r="B2141" s="1075" t="str">
        <f>IFERROR(__xludf.DUMMYFUNCTION("""COMPUTED_VALUE"""),"Máy phát cỏ 4 thì")</f>
        <v>Máy phát cỏ 4 thì</v>
      </c>
      <c r="C2141" s="1076" t="str">
        <f>IFERROR(__xludf.DUMMYFUNCTION("""COMPUTED_VALUE"""),"Loại biên")</f>
        <v>Loại biên</v>
      </c>
      <c r="D2141" s="1076" t="str">
        <f>IFERROR(__xludf.DUMMYFUNCTION("""COMPUTED_VALUE"""),"HINOTA")</f>
        <v>HINOTA</v>
      </c>
      <c r="E2141" s="1076" t="str">
        <f>IFERROR(__xludf.DUMMYFUNCTION("""COMPUTED_VALUE"""),"Trung Quốc")</f>
        <v>Trung Quốc</v>
      </c>
      <c r="F2141" s="1076"/>
      <c r="G2141" s="1076" t="str">
        <f>IFERROR(__xludf.DUMMYFUNCTION("""COMPUTED_VALUE"""),"CG435")</f>
        <v>CG435</v>
      </c>
      <c r="H2141" s="1076" t="str">
        <f>IFERROR(__xludf.DUMMYFUNCTION("""COMPUTED_VALUE"""),"1.2HP")</f>
        <v>1.2HP</v>
      </c>
      <c r="I2141" s="1076"/>
      <c r="J2141" s="1076"/>
      <c r="K2141" s="1076">
        <f>IFERROR(__xludf.DUMMYFUNCTION("""COMPUTED_VALUE"""),0.5)</f>
        <v>0.5</v>
      </c>
      <c r="L2141" s="1076" t="str">
        <f>IFERROR(__xludf.DUMMYFUNCTION("""COMPUTED_VALUE"""),"Loại biên")</f>
        <v>Loại biên</v>
      </c>
    </row>
    <row r="2142" customHeight="1" spans="1:12">
      <c r="A2142" s="1076" t="str">
        <f>IFERROR(__xludf.DUMMYFUNCTION("""COMPUTED_VALUE"""),"XD1-MPC-011")</f>
        <v>XD1-MPC-011</v>
      </c>
      <c r="B2142" s="1075" t="str">
        <f>IFERROR(__xludf.DUMMYFUNCTION("""COMPUTED_VALUE"""),"Máy phát cỏ 4 thì")</f>
        <v>Máy phát cỏ 4 thì</v>
      </c>
      <c r="C2142" s="1076" t="str">
        <f>IFERROR(__xludf.DUMMYFUNCTION("""COMPUTED_VALUE"""),"Loại biên")</f>
        <v>Loại biên</v>
      </c>
      <c r="D2142" s="1076" t="str">
        <f>IFERROR(__xludf.DUMMYFUNCTION("""COMPUTED_VALUE"""),"HINOTA")</f>
        <v>HINOTA</v>
      </c>
      <c r="E2142" s="1076" t="str">
        <f>IFERROR(__xludf.DUMMYFUNCTION("""COMPUTED_VALUE"""),"Trung Quốc")</f>
        <v>Trung Quốc</v>
      </c>
      <c r="F2142" s="1076"/>
      <c r="G2142" s="1076" t="str">
        <f>IFERROR(__xludf.DUMMYFUNCTION("""COMPUTED_VALUE"""),"CG435")</f>
        <v>CG435</v>
      </c>
      <c r="H2142" s="1076" t="str">
        <f>IFERROR(__xludf.DUMMYFUNCTION("""COMPUTED_VALUE"""),"1.2HP")</f>
        <v>1.2HP</v>
      </c>
      <c r="I2142" s="1076"/>
      <c r="J2142" s="1076"/>
      <c r="K2142" s="1076">
        <f>IFERROR(__xludf.DUMMYFUNCTION("""COMPUTED_VALUE"""),0.5)</f>
        <v>0.5</v>
      </c>
      <c r="L2142" s="1076" t="str">
        <f>IFERROR(__xludf.DUMMYFUNCTION("""COMPUTED_VALUE"""),"Loại biên")</f>
        <v>Loại biên</v>
      </c>
    </row>
    <row r="2143" customHeight="1" spans="1:12">
      <c r="A2143" s="1076" t="str">
        <f>IFERROR(__xludf.DUMMYFUNCTION("""COMPUTED_VALUE"""),"XD1-MPC-017")</f>
        <v>XD1-MPC-017</v>
      </c>
      <c r="B2143" s="1075" t="str">
        <f>IFERROR(__xludf.DUMMYFUNCTION("""COMPUTED_VALUE"""),"Máy phát cỏ 4 thì")</f>
        <v>Máy phát cỏ 4 thì</v>
      </c>
      <c r="C2143" s="1076" t="str">
        <f>IFERROR(__xludf.DUMMYFUNCTION("""COMPUTED_VALUE"""),"Loại biên")</f>
        <v>Loại biên</v>
      </c>
      <c r="D2143" s="1076" t="str">
        <f>IFERROR(__xludf.DUMMYFUNCTION("""COMPUTED_VALUE"""),"HONDA")</f>
        <v>HONDA</v>
      </c>
      <c r="E2143" s="1076" t="str">
        <f>IFERROR(__xludf.DUMMYFUNCTION("""COMPUTED_VALUE"""),"Trung Quốc")</f>
        <v>Trung Quốc</v>
      </c>
      <c r="F2143" s="1076"/>
      <c r="G2143" s="1076" t="str">
        <f>IFERROR(__xludf.DUMMYFUNCTION("""COMPUTED_VALUE"""),"GX35")</f>
        <v>GX35</v>
      </c>
      <c r="H2143" s="1076" t="str">
        <f>IFERROR(__xludf.DUMMYFUNCTION("""COMPUTED_VALUE"""),"1.6HP")</f>
        <v>1.6HP</v>
      </c>
      <c r="I2143" s="1076" t="str">
        <f>IFERROR(__xludf.DUMMYFUNCTION("""COMPUTED_VALUE"""),"ZOZC1-1M-0511")</f>
        <v>ZOZC1-1M-0511</v>
      </c>
      <c r="J2143" s="1076"/>
      <c r="K2143" s="1076">
        <f>IFERROR(__xludf.DUMMYFUNCTION("""COMPUTED_VALUE"""),0.5)</f>
        <v>0.5</v>
      </c>
      <c r="L2143" s="1076" t="str">
        <f>IFERROR(__xludf.DUMMYFUNCTION("""COMPUTED_VALUE"""),"Loại biên")</f>
        <v>Loại biên</v>
      </c>
    </row>
    <row r="2144" customHeight="1" spans="1:12">
      <c r="A2144" s="1076" t="str">
        <f>IFERROR(__xludf.DUMMYFUNCTION("""COMPUTED_VALUE"""),"XD1-MPC-018")</f>
        <v>XD1-MPC-018</v>
      </c>
      <c r="B2144" s="1075" t="str">
        <f>IFERROR(__xludf.DUMMYFUNCTION("""COMPUTED_VALUE"""),"Máy phát cỏ 4 thì")</f>
        <v>Máy phát cỏ 4 thì</v>
      </c>
      <c r="C2144" s="1076" t="str">
        <f>IFERROR(__xludf.DUMMYFUNCTION("""COMPUTED_VALUE"""),"Loại biên")</f>
        <v>Loại biên</v>
      </c>
      <c r="D2144" s="1076" t="str">
        <f>IFERROR(__xludf.DUMMYFUNCTION("""COMPUTED_VALUE"""),"HONDA")</f>
        <v>HONDA</v>
      </c>
      <c r="E2144" s="1076" t="str">
        <f>IFERROR(__xludf.DUMMYFUNCTION("""COMPUTED_VALUE"""),"Trung Quốc")</f>
        <v>Trung Quốc</v>
      </c>
      <c r="F2144" s="1076"/>
      <c r="G2144" s="1076" t="str">
        <f>IFERROR(__xludf.DUMMYFUNCTION("""COMPUTED_VALUE"""),"GX35")</f>
        <v>GX35</v>
      </c>
      <c r="H2144" s="1076" t="str">
        <f>IFERROR(__xludf.DUMMYFUNCTION("""COMPUTED_VALUE"""),"1.6HP")</f>
        <v>1.6HP</v>
      </c>
      <c r="I2144" s="1076" t="str">
        <f>IFERROR(__xludf.DUMMYFUNCTION("""COMPUTED_VALUE"""),"ZOZC1-1M-0511")</f>
        <v>ZOZC1-1M-0511</v>
      </c>
      <c r="J2144" s="1076"/>
      <c r="K2144" s="1076">
        <f>IFERROR(__xludf.DUMMYFUNCTION("""COMPUTED_VALUE"""),0.5)</f>
        <v>0.5</v>
      </c>
      <c r="L2144" s="1076" t="str">
        <f>IFERROR(__xludf.DUMMYFUNCTION("""COMPUTED_VALUE"""),"Loại biên")</f>
        <v>Loại biên</v>
      </c>
    </row>
    <row r="2145" customHeight="1" spans="1:12">
      <c r="A2145" s="1076" t="str">
        <f>IFERROR(__xludf.DUMMYFUNCTION("""COMPUTED_VALUE"""),"XD1-MPC-019")</f>
        <v>XD1-MPC-019</v>
      </c>
      <c r="B2145" s="1075" t="str">
        <f>IFERROR(__xludf.DUMMYFUNCTION("""COMPUTED_VALUE"""),"Máy phát cỏ 4 thì")</f>
        <v>Máy phát cỏ 4 thì</v>
      </c>
      <c r="C2145" s="1076" t="str">
        <f>IFERROR(__xludf.DUMMYFUNCTION("""COMPUTED_VALUE"""),"Loại biên")</f>
        <v>Loại biên</v>
      </c>
      <c r="D2145" s="1076" t="str">
        <f>IFERROR(__xludf.DUMMYFUNCTION("""COMPUTED_VALUE"""),"HONDA")</f>
        <v>HONDA</v>
      </c>
      <c r="E2145" s="1076" t="str">
        <f>IFERROR(__xludf.DUMMYFUNCTION("""COMPUTED_VALUE"""),"Trung Quốc")</f>
        <v>Trung Quốc</v>
      </c>
      <c r="F2145" s="1076"/>
      <c r="G2145" s="1076" t="str">
        <f>IFERROR(__xludf.DUMMYFUNCTION("""COMPUTED_VALUE"""),"GX35")</f>
        <v>GX35</v>
      </c>
      <c r="H2145" s="1076" t="str">
        <f>IFERROR(__xludf.DUMMYFUNCTION("""COMPUTED_VALUE"""),"1.6HP")</f>
        <v>1.6HP</v>
      </c>
      <c r="I2145" s="1076" t="str">
        <f>IFERROR(__xludf.DUMMYFUNCTION("""COMPUTED_VALUE"""),"ZOZC1-1M-0511")</f>
        <v>ZOZC1-1M-0511</v>
      </c>
      <c r="J2145" s="1076"/>
      <c r="K2145" s="1076">
        <f>IFERROR(__xludf.DUMMYFUNCTION("""COMPUTED_VALUE"""),0.5)</f>
        <v>0.5</v>
      </c>
      <c r="L2145" s="1076" t="str">
        <f>IFERROR(__xludf.DUMMYFUNCTION("""COMPUTED_VALUE"""),"Loại biên")</f>
        <v>Loại biên</v>
      </c>
    </row>
    <row r="2146" customHeight="1" spans="1:12">
      <c r="A2146" s="1076" t="str">
        <f>IFERROR(__xludf.DUMMYFUNCTION("""COMPUTED_VALUE"""),"XD2-MPC-001")</f>
        <v>XD2-MPC-001</v>
      </c>
      <c r="B2146" s="1075" t="str">
        <f>IFERROR(__xludf.DUMMYFUNCTION("""COMPUTED_VALUE"""),"Máy phát cỏ 4 thì")</f>
        <v>Máy phát cỏ 4 thì</v>
      </c>
      <c r="C2146" s="1076" t="str">
        <f>IFERROR(__xludf.DUMMYFUNCTION("""COMPUTED_VALUE"""),"Loại biên")</f>
        <v>Loại biên</v>
      </c>
      <c r="D2146" s="1076" t="str">
        <f>IFERROR(__xludf.DUMMYFUNCTION("""COMPUTED_VALUE"""),"HINOTA")</f>
        <v>HINOTA</v>
      </c>
      <c r="E2146" s="1076" t="str">
        <f>IFERROR(__xludf.DUMMYFUNCTION("""COMPUTED_VALUE"""),"Trung Quốc")</f>
        <v>Trung Quốc</v>
      </c>
      <c r="F2146" s="1076"/>
      <c r="G2146" s="1076" t="str">
        <f>IFERROR(__xludf.DUMMYFUNCTION("""COMPUTED_VALUE"""),"CG435")</f>
        <v>CG435</v>
      </c>
      <c r="H2146" s="1076" t="str">
        <f>IFERROR(__xludf.DUMMYFUNCTION("""COMPUTED_VALUE"""),"1.2HP")</f>
        <v>1.2HP</v>
      </c>
      <c r="I2146" s="1076"/>
      <c r="J2146" s="1076"/>
      <c r="K2146" s="1076">
        <f>IFERROR(__xludf.DUMMYFUNCTION("""COMPUTED_VALUE"""),0.5)</f>
        <v>0.5</v>
      </c>
      <c r="L2146" s="1076" t="str">
        <f>IFERROR(__xludf.DUMMYFUNCTION("""COMPUTED_VALUE"""),"Loại biên")</f>
        <v>Loại biên</v>
      </c>
    </row>
    <row r="2147" customHeight="1" spans="1:12">
      <c r="A2147" s="1076" t="str">
        <f>IFERROR(__xludf.DUMMYFUNCTION("""COMPUTED_VALUE"""),"XD2-MPC-002")</f>
        <v>XD2-MPC-002</v>
      </c>
      <c r="B2147" s="1075" t="str">
        <f>IFERROR(__xludf.DUMMYFUNCTION("""COMPUTED_VALUE"""),"Máy phát cỏ 4 thì")</f>
        <v>Máy phát cỏ 4 thì</v>
      </c>
      <c r="C2147" s="1076" t="str">
        <f>IFERROR(__xludf.DUMMYFUNCTION("""COMPUTED_VALUE"""),"Loại biên")</f>
        <v>Loại biên</v>
      </c>
      <c r="D2147" s="1076" t="str">
        <f>IFERROR(__xludf.DUMMYFUNCTION("""COMPUTED_VALUE"""),"HINOTA")</f>
        <v>HINOTA</v>
      </c>
      <c r="E2147" s="1076" t="str">
        <f>IFERROR(__xludf.DUMMYFUNCTION("""COMPUTED_VALUE"""),"Trung Quốc")</f>
        <v>Trung Quốc</v>
      </c>
      <c r="F2147" s="1076"/>
      <c r="G2147" s="1076" t="str">
        <f>IFERROR(__xludf.DUMMYFUNCTION("""COMPUTED_VALUE"""),"CG435")</f>
        <v>CG435</v>
      </c>
      <c r="H2147" s="1076" t="str">
        <f>IFERROR(__xludf.DUMMYFUNCTION("""COMPUTED_VALUE"""),"1.2HP")</f>
        <v>1.2HP</v>
      </c>
      <c r="I2147" s="1076"/>
      <c r="J2147" s="1076"/>
      <c r="K2147" s="1076">
        <f>IFERROR(__xludf.DUMMYFUNCTION("""COMPUTED_VALUE"""),0.5)</f>
        <v>0.5</v>
      </c>
      <c r="L2147" s="1076" t="str">
        <f>IFERROR(__xludf.DUMMYFUNCTION("""COMPUTED_VALUE"""),"Loại biên")</f>
        <v>Loại biên</v>
      </c>
    </row>
    <row r="2148" customHeight="1" spans="1:12">
      <c r="A2148" s="1076" t="str">
        <f>IFERROR(__xludf.DUMMYFUNCTION("""COMPUTED_VALUE"""),"XD2-MPC-003")</f>
        <v>XD2-MPC-003</v>
      </c>
      <c r="B2148" s="1075" t="str">
        <f>IFERROR(__xludf.DUMMYFUNCTION("""COMPUTED_VALUE"""),"Máy phát cỏ 4 thì")</f>
        <v>Máy phát cỏ 4 thì</v>
      </c>
      <c r="C2148" s="1076" t="str">
        <f>IFERROR(__xludf.DUMMYFUNCTION("""COMPUTED_VALUE"""),"Loại biên")</f>
        <v>Loại biên</v>
      </c>
      <c r="D2148" s="1076" t="str">
        <f>IFERROR(__xludf.DUMMYFUNCTION("""COMPUTED_VALUE"""),"HINOTA")</f>
        <v>HINOTA</v>
      </c>
      <c r="E2148" s="1076" t="str">
        <f>IFERROR(__xludf.DUMMYFUNCTION("""COMPUTED_VALUE"""),"Trung Quốc")</f>
        <v>Trung Quốc</v>
      </c>
      <c r="F2148" s="1076"/>
      <c r="G2148" s="1076" t="str">
        <f>IFERROR(__xludf.DUMMYFUNCTION("""COMPUTED_VALUE"""),"CG435")</f>
        <v>CG435</v>
      </c>
      <c r="H2148" s="1076" t="str">
        <f>IFERROR(__xludf.DUMMYFUNCTION("""COMPUTED_VALUE"""),"1.2HP")</f>
        <v>1.2HP</v>
      </c>
      <c r="I2148" s="1076"/>
      <c r="J2148" s="1076"/>
      <c r="K2148" s="1076">
        <f>IFERROR(__xludf.DUMMYFUNCTION("""COMPUTED_VALUE"""),0.5)</f>
        <v>0.5</v>
      </c>
      <c r="L2148" s="1076" t="str">
        <f>IFERROR(__xludf.DUMMYFUNCTION("""COMPUTED_VALUE"""),"Loại biên")</f>
        <v>Loại biên</v>
      </c>
    </row>
    <row r="2149" customHeight="1" spans="1:12">
      <c r="A2149" s="1076" t="str">
        <f>IFERROR(__xludf.DUMMYFUNCTION("""COMPUTED_VALUE"""),"XD2-MPC-004")</f>
        <v>XD2-MPC-004</v>
      </c>
      <c r="B2149" s="1075" t="str">
        <f>IFERROR(__xludf.DUMMYFUNCTION("""COMPUTED_VALUE"""),"Máy phát cỏ 4 thì")</f>
        <v>Máy phát cỏ 4 thì</v>
      </c>
      <c r="C2149" s="1076" t="str">
        <f>IFERROR(__xludf.DUMMYFUNCTION("""COMPUTED_VALUE"""),"Loại biên")</f>
        <v>Loại biên</v>
      </c>
      <c r="D2149" s="1076" t="str">
        <f>IFERROR(__xludf.DUMMYFUNCTION("""COMPUTED_VALUE"""),"HINOTA")</f>
        <v>HINOTA</v>
      </c>
      <c r="E2149" s="1076" t="str">
        <f>IFERROR(__xludf.DUMMYFUNCTION("""COMPUTED_VALUE"""),"Trung Quốc")</f>
        <v>Trung Quốc</v>
      </c>
      <c r="F2149" s="1076"/>
      <c r="G2149" s="1076" t="str">
        <f>IFERROR(__xludf.DUMMYFUNCTION("""COMPUTED_VALUE"""),"CG435")</f>
        <v>CG435</v>
      </c>
      <c r="H2149" s="1076" t="str">
        <f>IFERROR(__xludf.DUMMYFUNCTION("""COMPUTED_VALUE"""),"1.2HP")</f>
        <v>1.2HP</v>
      </c>
      <c r="I2149" s="1076"/>
      <c r="J2149" s="1076"/>
      <c r="K2149" s="1076">
        <f>IFERROR(__xludf.DUMMYFUNCTION("""COMPUTED_VALUE"""),0.5)</f>
        <v>0.5</v>
      </c>
      <c r="L2149" s="1076" t="str">
        <f>IFERROR(__xludf.DUMMYFUNCTION("""COMPUTED_VALUE"""),"Loại biên")</f>
        <v>Loại biên</v>
      </c>
    </row>
    <row r="2150" customHeight="1" spans="1:12">
      <c r="A2150" s="1076" t="str">
        <f>IFERROR(__xludf.DUMMYFUNCTION("""COMPUTED_VALUE"""),"XD2-MPC-009")</f>
        <v>XD2-MPC-009</v>
      </c>
      <c r="B2150" s="1075" t="str">
        <f>IFERROR(__xludf.DUMMYFUNCTION("""COMPUTED_VALUE"""),"Máy phát cỏ 4 thì")</f>
        <v>Máy phát cỏ 4 thì</v>
      </c>
      <c r="C2150" s="1076" t="str">
        <f>IFERROR(__xludf.DUMMYFUNCTION("""COMPUTED_VALUE"""),"Loại biên")</f>
        <v>Loại biên</v>
      </c>
      <c r="D2150" s="1076" t="str">
        <f>IFERROR(__xludf.DUMMYFUNCTION("""COMPUTED_VALUE"""),"HINOTA")</f>
        <v>HINOTA</v>
      </c>
      <c r="E2150" s="1076" t="str">
        <f>IFERROR(__xludf.DUMMYFUNCTION("""COMPUTED_VALUE"""),"Trung Quốc")</f>
        <v>Trung Quốc</v>
      </c>
      <c r="F2150" s="1076"/>
      <c r="G2150" s="1076" t="str">
        <f>IFERROR(__xludf.DUMMYFUNCTION("""COMPUTED_VALUE"""),"CG435")</f>
        <v>CG435</v>
      </c>
      <c r="H2150" s="1076" t="str">
        <f>IFERROR(__xludf.DUMMYFUNCTION("""COMPUTED_VALUE"""),"1.2HP")</f>
        <v>1.2HP</v>
      </c>
      <c r="I2150" s="1076"/>
      <c r="J2150" s="1076"/>
      <c r="K2150" s="1076">
        <f>IFERROR(__xludf.DUMMYFUNCTION("""COMPUTED_VALUE"""),0.5)</f>
        <v>0.5</v>
      </c>
      <c r="L2150" s="1076" t="str">
        <f>IFERROR(__xludf.DUMMYFUNCTION("""COMPUTED_VALUE"""),"Loại biên")</f>
        <v>Loại biên</v>
      </c>
    </row>
    <row r="2151" customHeight="1" spans="1:12">
      <c r="A2151" s="1076" t="str">
        <f>IFERROR(__xludf.DUMMYFUNCTION("""COMPUTED_VALUE"""),"XD2-MPC-011")</f>
        <v>XD2-MPC-011</v>
      </c>
      <c r="B2151" s="1075" t="str">
        <f>IFERROR(__xludf.DUMMYFUNCTION("""COMPUTED_VALUE"""),"Máy phát cỏ 4 thì")</f>
        <v>Máy phát cỏ 4 thì</v>
      </c>
      <c r="C2151" s="1076" t="str">
        <f>IFERROR(__xludf.DUMMYFUNCTION("""COMPUTED_VALUE"""),"Loại biên")</f>
        <v>Loại biên</v>
      </c>
      <c r="D2151" s="1076" t="str">
        <f>IFERROR(__xludf.DUMMYFUNCTION("""COMPUTED_VALUE"""),"HINOTA")</f>
        <v>HINOTA</v>
      </c>
      <c r="E2151" s="1076" t="str">
        <f>IFERROR(__xludf.DUMMYFUNCTION("""COMPUTED_VALUE"""),"Trung Quốc")</f>
        <v>Trung Quốc</v>
      </c>
      <c r="F2151" s="1076"/>
      <c r="G2151" s="1076" t="str">
        <f>IFERROR(__xludf.DUMMYFUNCTION("""COMPUTED_VALUE"""),"CG435")</f>
        <v>CG435</v>
      </c>
      <c r="H2151" s="1076" t="str">
        <f>IFERROR(__xludf.DUMMYFUNCTION("""COMPUTED_VALUE"""),"1.2HP")</f>
        <v>1.2HP</v>
      </c>
      <c r="I2151" s="1076"/>
      <c r="J2151" s="1076"/>
      <c r="K2151" s="1076">
        <f>IFERROR(__xludf.DUMMYFUNCTION("""COMPUTED_VALUE"""),0.5)</f>
        <v>0.5</v>
      </c>
      <c r="L2151" s="1076" t="str">
        <f>IFERROR(__xludf.DUMMYFUNCTION("""COMPUTED_VALUE"""),"Loại biên")</f>
        <v>Loại biên</v>
      </c>
    </row>
    <row r="2152" customHeight="1" spans="1:12">
      <c r="A2152" s="1076" t="str">
        <f>IFERROR(__xludf.DUMMYFUNCTION("""COMPUTED_VALUE"""),"XD2-MPC-014")</f>
        <v>XD2-MPC-014</v>
      </c>
      <c r="B2152" s="1075" t="str">
        <f>IFERROR(__xludf.DUMMYFUNCTION("""COMPUTED_VALUE"""),"Máy phát cỏ 4 thì")</f>
        <v>Máy phát cỏ 4 thì</v>
      </c>
      <c r="C2152" s="1076" t="str">
        <f>IFERROR(__xludf.DUMMYFUNCTION("""COMPUTED_VALUE"""),"Loại biên")</f>
        <v>Loại biên</v>
      </c>
      <c r="D2152" s="1076" t="str">
        <f>IFERROR(__xludf.DUMMYFUNCTION("""COMPUTED_VALUE"""),"HINOTA")</f>
        <v>HINOTA</v>
      </c>
      <c r="E2152" s="1076" t="str">
        <f>IFERROR(__xludf.DUMMYFUNCTION("""COMPUTED_VALUE"""),"Trung Quốc")</f>
        <v>Trung Quốc</v>
      </c>
      <c r="F2152" s="1076"/>
      <c r="G2152" s="1076" t="str">
        <f>IFERROR(__xludf.DUMMYFUNCTION("""COMPUTED_VALUE"""),"CG435")</f>
        <v>CG435</v>
      </c>
      <c r="H2152" s="1076" t="str">
        <f>IFERROR(__xludf.DUMMYFUNCTION("""COMPUTED_VALUE"""),"1.2HP")</f>
        <v>1.2HP</v>
      </c>
      <c r="I2152" s="1076"/>
      <c r="J2152" s="1076"/>
      <c r="K2152" s="1076">
        <f>IFERROR(__xludf.DUMMYFUNCTION("""COMPUTED_VALUE"""),0.5)</f>
        <v>0.5</v>
      </c>
      <c r="L2152" s="1076" t="str">
        <f>IFERROR(__xludf.DUMMYFUNCTION("""COMPUTED_VALUE"""),"Loại biên")</f>
        <v>Loại biên</v>
      </c>
    </row>
    <row r="2153" customHeight="1" spans="1:12">
      <c r="A2153" s="1076" t="str">
        <f>IFERROR(__xludf.DUMMYFUNCTION("""COMPUTED_VALUE"""),"XD2-MPC-015")</f>
        <v>XD2-MPC-015</v>
      </c>
      <c r="B2153" s="1075" t="str">
        <f>IFERROR(__xludf.DUMMYFUNCTION("""COMPUTED_VALUE"""),"Máy phát cỏ 4 thì")</f>
        <v>Máy phát cỏ 4 thì</v>
      </c>
      <c r="C2153" s="1076" t="str">
        <f>IFERROR(__xludf.DUMMYFUNCTION("""COMPUTED_VALUE"""),"Loại biên")</f>
        <v>Loại biên</v>
      </c>
      <c r="D2153" s="1076" t="str">
        <f>IFERROR(__xludf.DUMMYFUNCTION("""COMPUTED_VALUE"""),"HINOTA")</f>
        <v>HINOTA</v>
      </c>
      <c r="E2153" s="1076" t="str">
        <f>IFERROR(__xludf.DUMMYFUNCTION("""COMPUTED_VALUE"""),"Trung Quốc")</f>
        <v>Trung Quốc</v>
      </c>
      <c r="F2153" s="1076"/>
      <c r="G2153" s="1076" t="str">
        <f>IFERROR(__xludf.DUMMYFUNCTION("""COMPUTED_VALUE"""),"CG435")</f>
        <v>CG435</v>
      </c>
      <c r="H2153" s="1076" t="str">
        <f>IFERROR(__xludf.DUMMYFUNCTION("""COMPUTED_VALUE"""),"1.2HP")</f>
        <v>1.2HP</v>
      </c>
      <c r="I2153" s="1076"/>
      <c r="J2153" s="1076"/>
      <c r="K2153" s="1076">
        <f>IFERROR(__xludf.DUMMYFUNCTION("""COMPUTED_VALUE"""),0.5)</f>
        <v>0.5</v>
      </c>
      <c r="L2153" s="1076" t="str">
        <f>IFERROR(__xludf.DUMMYFUNCTION("""COMPUTED_VALUE"""),"Loại biên")</f>
        <v>Loại biên</v>
      </c>
    </row>
    <row r="2154" customHeight="1" spans="1:12">
      <c r="A2154" s="1076" t="str">
        <f>IFERROR(__xludf.DUMMYFUNCTION("""COMPUTED_VALUE"""),"XD2-MPC-016")</f>
        <v>XD2-MPC-016</v>
      </c>
      <c r="B2154" s="1075" t="str">
        <f>IFERROR(__xludf.DUMMYFUNCTION("""COMPUTED_VALUE"""),"Máy phát cỏ 4 thì")</f>
        <v>Máy phát cỏ 4 thì</v>
      </c>
      <c r="C2154" s="1076" t="str">
        <f>IFERROR(__xludf.DUMMYFUNCTION("""COMPUTED_VALUE"""),"Loại biên")</f>
        <v>Loại biên</v>
      </c>
      <c r="D2154" s="1076" t="str">
        <f>IFERROR(__xludf.DUMMYFUNCTION("""COMPUTED_VALUE"""),"HINOTA")</f>
        <v>HINOTA</v>
      </c>
      <c r="E2154" s="1076" t="str">
        <f>IFERROR(__xludf.DUMMYFUNCTION("""COMPUTED_VALUE"""),"Trung Quốc")</f>
        <v>Trung Quốc</v>
      </c>
      <c r="F2154" s="1076"/>
      <c r="G2154" s="1076" t="str">
        <f>IFERROR(__xludf.DUMMYFUNCTION("""COMPUTED_VALUE"""),"CG435")</f>
        <v>CG435</v>
      </c>
      <c r="H2154" s="1076" t="str">
        <f>IFERROR(__xludf.DUMMYFUNCTION("""COMPUTED_VALUE"""),"1.2HP")</f>
        <v>1.2HP</v>
      </c>
      <c r="I2154" s="1076"/>
      <c r="J2154" s="1076"/>
      <c r="K2154" s="1076">
        <f>IFERROR(__xludf.DUMMYFUNCTION("""COMPUTED_VALUE"""),0.5)</f>
        <v>0.5</v>
      </c>
      <c r="L2154" s="1076" t="str">
        <f>IFERROR(__xludf.DUMMYFUNCTION("""COMPUTED_VALUE"""),"Loại biên")</f>
        <v>Loại biên</v>
      </c>
    </row>
    <row r="2155" customHeight="1" spans="1:12">
      <c r="A2155" s="1076" t="str">
        <f>IFERROR(__xludf.DUMMYFUNCTION("""COMPUTED_VALUE"""),"XD2-MPC-018")</f>
        <v>XD2-MPC-018</v>
      </c>
      <c r="B2155" s="1075" t="str">
        <f>IFERROR(__xludf.DUMMYFUNCTION("""COMPUTED_VALUE"""),"Máy phát cỏ 4 thì")</f>
        <v>Máy phát cỏ 4 thì</v>
      </c>
      <c r="C2155" s="1076" t="str">
        <f>IFERROR(__xludf.DUMMYFUNCTION("""COMPUTED_VALUE"""),"Loại biên")</f>
        <v>Loại biên</v>
      </c>
      <c r="D2155" s="1076" t="str">
        <f>IFERROR(__xludf.DUMMYFUNCTION("""COMPUTED_VALUE"""),"HINOTA")</f>
        <v>HINOTA</v>
      </c>
      <c r="E2155" s="1076" t="str">
        <f>IFERROR(__xludf.DUMMYFUNCTION("""COMPUTED_VALUE"""),"Trung Quốc")</f>
        <v>Trung Quốc</v>
      </c>
      <c r="F2155" s="1076"/>
      <c r="G2155" s="1076" t="str">
        <f>IFERROR(__xludf.DUMMYFUNCTION("""COMPUTED_VALUE"""),"CG435")</f>
        <v>CG435</v>
      </c>
      <c r="H2155" s="1076" t="str">
        <f>IFERROR(__xludf.DUMMYFUNCTION("""COMPUTED_VALUE"""),"1.2HP")</f>
        <v>1.2HP</v>
      </c>
      <c r="I2155" s="1076"/>
      <c r="J2155" s="1076"/>
      <c r="K2155" s="1076">
        <f>IFERROR(__xludf.DUMMYFUNCTION("""COMPUTED_VALUE"""),0.5)</f>
        <v>0.5</v>
      </c>
      <c r="L2155" s="1076" t="str">
        <f>IFERROR(__xludf.DUMMYFUNCTION("""COMPUTED_VALUE"""),"Loại biên")</f>
        <v>Loại biên</v>
      </c>
    </row>
    <row r="2156" customHeight="1" spans="1:12">
      <c r="A2156" s="1076" t="str">
        <f>IFERROR(__xludf.DUMMYFUNCTION("""COMPUTED_VALUE"""),"XD2-MPC-020")</f>
        <v>XD2-MPC-020</v>
      </c>
      <c r="B2156" s="1075" t="str">
        <f>IFERROR(__xludf.DUMMYFUNCTION("""COMPUTED_VALUE"""),"Máy phát cỏ 4 thì")</f>
        <v>Máy phát cỏ 4 thì</v>
      </c>
      <c r="C2156" s="1076" t="str">
        <f>IFERROR(__xludf.DUMMYFUNCTION("""COMPUTED_VALUE"""),"Loại biên")</f>
        <v>Loại biên</v>
      </c>
      <c r="D2156" s="1076" t="str">
        <f>IFERROR(__xludf.DUMMYFUNCTION("""COMPUTED_VALUE"""),"HINOTA")</f>
        <v>HINOTA</v>
      </c>
      <c r="E2156" s="1076" t="str">
        <f>IFERROR(__xludf.DUMMYFUNCTION("""COMPUTED_VALUE"""),"Trung Quốc")</f>
        <v>Trung Quốc</v>
      </c>
      <c r="F2156" s="1076"/>
      <c r="G2156" s="1076" t="str">
        <f>IFERROR(__xludf.DUMMYFUNCTION("""COMPUTED_VALUE"""),"CG435")</f>
        <v>CG435</v>
      </c>
      <c r="H2156" s="1076" t="str">
        <f>IFERROR(__xludf.DUMMYFUNCTION("""COMPUTED_VALUE"""),"1.2HP")</f>
        <v>1.2HP</v>
      </c>
      <c r="I2156" s="1076"/>
      <c r="J2156" s="1076"/>
      <c r="K2156" s="1076">
        <f>IFERROR(__xludf.DUMMYFUNCTION("""COMPUTED_VALUE"""),0.5)</f>
        <v>0.5</v>
      </c>
      <c r="L2156" s="1076" t="str">
        <f>IFERROR(__xludf.DUMMYFUNCTION("""COMPUTED_VALUE"""),"Loại biên")</f>
        <v>Loại biên</v>
      </c>
    </row>
    <row r="2157" customHeight="1" spans="1:12">
      <c r="A2157" s="1076" t="str">
        <f>IFERROR(__xludf.DUMMYFUNCTION("""COMPUTED_VALUE"""),"XD2-MPC-022")</f>
        <v>XD2-MPC-022</v>
      </c>
      <c r="B2157" s="1075" t="str">
        <f>IFERROR(__xludf.DUMMYFUNCTION("""COMPUTED_VALUE"""),"Máy phát cỏ 4 thì")</f>
        <v>Máy phát cỏ 4 thì</v>
      </c>
      <c r="C2157" s="1076" t="str">
        <f>IFERROR(__xludf.DUMMYFUNCTION("""COMPUTED_VALUE"""),"Loại biên")</f>
        <v>Loại biên</v>
      </c>
      <c r="D2157" s="1076" t="str">
        <f>IFERROR(__xludf.DUMMYFUNCTION("""COMPUTED_VALUE"""),"HINOTA")</f>
        <v>HINOTA</v>
      </c>
      <c r="E2157" s="1076" t="str">
        <f>IFERROR(__xludf.DUMMYFUNCTION("""COMPUTED_VALUE"""),"Trung Quốc")</f>
        <v>Trung Quốc</v>
      </c>
      <c r="F2157" s="1076"/>
      <c r="G2157" s="1076" t="str">
        <f>IFERROR(__xludf.DUMMYFUNCTION("""COMPUTED_VALUE"""),"CG435")</f>
        <v>CG435</v>
      </c>
      <c r="H2157" s="1076" t="str">
        <f>IFERROR(__xludf.DUMMYFUNCTION("""COMPUTED_VALUE"""),"1.2HP")</f>
        <v>1.2HP</v>
      </c>
      <c r="I2157" s="1076"/>
      <c r="J2157" s="1076"/>
      <c r="K2157" s="1076">
        <f>IFERROR(__xludf.DUMMYFUNCTION("""COMPUTED_VALUE"""),0.5)</f>
        <v>0.5</v>
      </c>
      <c r="L2157" s="1076" t="str">
        <f>IFERROR(__xludf.DUMMYFUNCTION("""COMPUTED_VALUE"""),"Loại biên")</f>
        <v>Loại biên</v>
      </c>
    </row>
    <row r="2158" customHeight="1" spans="1:12">
      <c r="A2158" s="1076" t="str">
        <f>IFERROR(__xludf.DUMMYFUNCTION("""COMPUTED_VALUE"""),"XD2-MPC-023")</f>
        <v>XD2-MPC-023</v>
      </c>
      <c r="B2158" s="1075" t="str">
        <f>IFERROR(__xludf.DUMMYFUNCTION("""COMPUTED_VALUE"""),"Máy phát cỏ 4 thì")</f>
        <v>Máy phát cỏ 4 thì</v>
      </c>
      <c r="C2158" s="1076" t="str">
        <f>IFERROR(__xludf.DUMMYFUNCTION("""COMPUTED_VALUE"""),"Loại biên")</f>
        <v>Loại biên</v>
      </c>
      <c r="D2158" s="1076" t="str">
        <f>IFERROR(__xludf.DUMMYFUNCTION("""COMPUTED_VALUE"""),"HINOTA")</f>
        <v>HINOTA</v>
      </c>
      <c r="E2158" s="1076" t="str">
        <f>IFERROR(__xludf.DUMMYFUNCTION("""COMPUTED_VALUE"""),"Trung Quốc")</f>
        <v>Trung Quốc</v>
      </c>
      <c r="F2158" s="1076"/>
      <c r="G2158" s="1076" t="str">
        <f>IFERROR(__xludf.DUMMYFUNCTION("""COMPUTED_VALUE"""),"CG435")</f>
        <v>CG435</v>
      </c>
      <c r="H2158" s="1076" t="str">
        <f>IFERROR(__xludf.DUMMYFUNCTION("""COMPUTED_VALUE"""),"1.2HP")</f>
        <v>1.2HP</v>
      </c>
      <c r="I2158" s="1076"/>
      <c r="J2158" s="1076"/>
      <c r="K2158" s="1076">
        <f>IFERROR(__xludf.DUMMYFUNCTION("""COMPUTED_VALUE"""),0.5)</f>
        <v>0.5</v>
      </c>
      <c r="L2158" s="1076" t="str">
        <f>IFERROR(__xludf.DUMMYFUNCTION("""COMPUTED_VALUE"""),"Loại biên")</f>
        <v>Loại biên</v>
      </c>
    </row>
    <row r="2159" customHeight="1" spans="1:12">
      <c r="A2159" s="1076" t="str">
        <f>IFERROR(__xludf.DUMMYFUNCTION("""COMPUTED_VALUE"""),"XD3-MPC-006")</f>
        <v>XD3-MPC-006</v>
      </c>
      <c r="B2159" s="1075" t="str">
        <f>IFERROR(__xludf.DUMMYFUNCTION("""COMPUTED_VALUE"""),"Máy phát cỏ 4 thì")</f>
        <v>Máy phát cỏ 4 thì</v>
      </c>
      <c r="C2159" s="1076" t="str">
        <f>IFERROR(__xludf.DUMMYFUNCTION("""COMPUTED_VALUE"""),"Loại biên")</f>
        <v>Loại biên</v>
      </c>
      <c r="D2159" s="1076" t="str">
        <f>IFERROR(__xludf.DUMMYFUNCTION("""COMPUTED_VALUE"""),"HINOTA")</f>
        <v>HINOTA</v>
      </c>
      <c r="E2159" s="1076" t="str">
        <f>IFERROR(__xludf.DUMMYFUNCTION("""COMPUTED_VALUE"""),"Trung Quốc")</f>
        <v>Trung Quốc</v>
      </c>
      <c r="F2159" s="1076"/>
      <c r="G2159" s="1076" t="str">
        <f>IFERROR(__xludf.DUMMYFUNCTION("""COMPUTED_VALUE"""),"CG435")</f>
        <v>CG435</v>
      </c>
      <c r="H2159" s="1076" t="str">
        <f>IFERROR(__xludf.DUMMYFUNCTION("""COMPUTED_VALUE"""),"1.2HP")</f>
        <v>1.2HP</v>
      </c>
      <c r="I2159" s="1076"/>
      <c r="J2159" s="1076"/>
      <c r="K2159" s="1076">
        <f>IFERROR(__xludf.DUMMYFUNCTION("""COMPUTED_VALUE"""),0.5)</f>
        <v>0.5</v>
      </c>
      <c r="L2159" s="1076" t="str">
        <f>IFERROR(__xludf.DUMMYFUNCTION("""COMPUTED_VALUE"""),"Loại biên")</f>
        <v>Loại biên</v>
      </c>
    </row>
    <row r="2160" customHeight="1" spans="1:12">
      <c r="A2160" s="1076" t="str">
        <f>IFERROR(__xludf.DUMMYFUNCTION("""COMPUTED_VALUE"""),"XD3-MPC-007")</f>
        <v>XD3-MPC-007</v>
      </c>
      <c r="B2160" s="1075" t="str">
        <f>IFERROR(__xludf.DUMMYFUNCTION("""COMPUTED_VALUE"""),"Máy phát cỏ 4 thì")</f>
        <v>Máy phát cỏ 4 thì</v>
      </c>
      <c r="C2160" s="1076" t="str">
        <f>IFERROR(__xludf.DUMMYFUNCTION("""COMPUTED_VALUE"""),"Loại biên")</f>
        <v>Loại biên</v>
      </c>
      <c r="D2160" s="1076" t="str">
        <f>IFERROR(__xludf.DUMMYFUNCTION("""COMPUTED_VALUE"""),"HINOTA")</f>
        <v>HINOTA</v>
      </c>
      <c r="E2160" s="1076" t="str">
        <f>IFERROR(__xludf.DUMMYFUNCTION("""COMPUTED_VALUE"""),"Trung Quốc")</f>
        <v>Trung Quốc</v>
      </c>
      <c r="F2160" s="1076"/>
      <c r="G2160" s="1076" t="str">
        <f>IFERROR(__xludf.DUMMYFUNCTION("""COMPUTED_VALUE"""),"CG435")</f>
        <v>CG435</v>
      </c>
      <c r="H2160" s="1076" t="str">
        <f>IFERROR(__xludf.DUMMYFUNCTION("""COMPUTED_VALUE"""),"1.2HP")</f>
        <v>1.2HP</v>
      </c>
      <c r="I2160" s="1076"/>
      <c r="J2160" s="1076"/>
      <c r="K2160" s="1076">
        <f>IFERROR(__xludf.DUMMYFUNCTION("""COMPUTED_VALUE"""),0.5)</f>
        <v>0.5</v>
      </c>
      <c r="L2160" s="1076" t="str">
        <f>IFERROR(__xludf.DUMMYFUNCTION("""COMPUTED_VALUE"""),"Loại biên")</f>
        <v>Loại biên</v>
      </c>
    </row>
    <row r="2161" customHeight="1" spans="1:12">
      <c r="A2161" s="1076" t="str">
        <f>IFERROR(__xludf.DUMMYFUNCTION("""COMPUTED_VALUE"""),"XD3-MPC-009")</f>
        <v>XD3-MPC-009</v>
      </c>
      <c r="B2161" s="1075" t="str">
        <f>IFERROR(__xludf.DUMMYFUNCTION("""COMPUTED_VALUE"""),"Máy phát cỏ 4 thì")</f>
        <v>Máy phát cỏ 4 thì</v>
      </c>
      <c r="C2161" s="1076" t="str">
        <f>IFERROR(__xludf.DUMMYFUNCTION("""COMPUTED_VALUE"""),"Loại biên")</f>
        <v>Loại biên</v>
      </c>
      <c r="D2161" s="1076" t="str">
        <f>IFERROR(__xludf.DUMMYFUNCTION("""COMPUTED_VALUE"""),"HINOTA")</f>
        <v>HINOTA</v>
      </c>
      <c r="E2161" s="1076" t="str">
        <f>IFERROR(__xludf.DUMMYFUNCTION("""COMPUTED_VALUE"""),"Trung Quốc")</f>
        <v>Trung Quốc</v>
      </c>
      <c r="F2161" s="1076"/>
      <c r="G2161" s="1076" t="str">
        <f>IFERROR(__xludf.DUMMYFUNCTION("""COMPUTED_VALUE"""),"CG435")</f>
        <v>CG435</v>
      </c>
      <c r="H2161" s="1076" t="str">
        <f>IFERROR(__xludf.DUMMYFUNCTION("""COMPUTED_VALUE"""),"1.2HP")</f>
        <v>1.2HP</v>
      </c>
      <c r="I2161" s="1076"/>
      <c r="J2161" s="1076"/>
      <c r="K2161" s="1076">
        <f>IFERROR(__xludf.DUMMYFUNCTION("""COMPUTED_VALUE"""),0.5)</f>
        <v>0.5</v>
      </c>
      <c r="L2161" s="1076" t="str">
        <f>IFERROR(__xludf.DUMMYFUNCTION("""COMPUTED_VALUE"""),"Loại biên")</f>
        <v>Loại biên</v>
      </c>
    </row>
    <row r="2162" customHeight="1" spans="1:12">
      <c r="A2162" s="1076" t="str">
        <f>IFERROR(__xludf.DUMMYFUNCTION("""COMPUTED_VALUE"""),"XD3-MPC-010")</f>
        <v>XD3-MPC-010</v>
      </c>
      <c r="B2162" s="1075" t="str">
        <f>IFERROR(__xludf.DUMMYFUNCTION("""COMPUTED_VALUE"""),"Máy phát cỏ 4 thì")</f>
        <v>Máy phát cỏ 4 thì</v>
      </c>
      <c r="C2162" s="1076" t="str">
        <f>IFERROR(__xludf.DUMMYFUNCTION("""COMPUTED_VALUE"""),"Loại biên")</f>
        <v>Loại biên</v>
      </c>
      <c r="D2162" s="1076" t="str">
        <f>IFERROR(__xludf.DUMMYFUNCTION("""COMPUTED_VALUE"""),"HINOTA")</f>
        <v>HINOTA</v>
      </c>
      <c r="E2162" s="1076" t="str">
        <f>IFERROR(__xludf.DUMMYFUNCTION("""COMPUTED_VALUE"""),"Trung Quốc")</f>
        <v>Trung Quốc</v>
      </c>
      <c r="F2162" s="1076"/>
      <c r="G2162" s="1076" t="str">
        <f>IFERROR(__xludf.DUMMYFUNCTION("""COMPUTED_VALUE"""),"CG435")</f>
        <v>CG435</v>
      </c>
      <c r="H2162" s="1076" t="str">
        <f>IFERROR(__xludf.DUMMYFUNCTION("""COMPUTED_VALUE"""),"1.2HP")</f>
        <v>1.2HP</v>
      </c>
      <c r="I2162" s="1076"/>
      <c r="J2162" s="1076"/>
      <c r="K2162" s="1076">
        <f>IFERROR(__xludf.DUMMYFUNCTION("""COMPUTED_VALUE"""),0.5)</f>
        <v>0.5</v>
      </c>
      <c r="L2162" s="1076" t="str">
        <f>IFERROR(__xludf.DUMMYFUNCTION("""COMPUTED_VALUE"""),"Loại biên")</f>
        <v>Loại biên</v>
      </c>
    </row>
    <row r="2163" customHeight="1" spans="1:12">
      <c r="A2163" s="1076" t="str">
        <f>IFERROR(__xludf.DUMMYFUNCTION("""COMPUTED_VALUE"""),"XD3-MPC-011")</f>
        <v>XD3-MPC-011</v>
      </c>
      <c r="B2163" s="1075" t="str">
        <f>IFERROR(__xludf.DUMMYFUNCTION("""COMPUTED_VALUE"""),"Máy phát cỏ 4 thì")</f>
        <v>Máy phát cỏ 4 thì</v>
      </c>
      <c r="C2163" s="1076" t="str">
        <f>IFERROR(__xludf.DUMMYFUNCTION("""COMPUTED_VALUE"""),"Loại biên")</f>
        <v>Loại biên</v>
      </c>
      <c r="D2163" s="1076" t="str">
        <f>IFERROR(__xludf.DUMMYFUNCTION("""COMPUTED_VALUE"""),"HINOTA")</f>
        <v>HINOTA</v>
      </c>
      <c r="E2163" s="1076" t="str">
        <f>IFERROR(__xludf.DUMMYFUNCTION("""COMPUTED_VALUE"""),"Trung Quốc")</f>
        <v>Trung Quốc</v>
      </c>
      <c r="F2163" s="1076"/>
      <c r="G2163" s="1076" t="str">
        <f>IFERROR(__xludf.DUMMYFUNCTION("""COMPUTED_VALUE"""),"CG435")</f>
        <v>CG435</v>
      </c>
      <c r="H2163" s="1076" t="str">
        <f>IFERROR(__xludf.DUMMYFUNCTION("""COMPUTED_VALUE"""),"1.2HP")</f>
        <v>1.2HP</v>
      </c>
      <c r="I2163" s="1076"/>
      <c r="J2163" s="1076"/>
      <c r="K2163" s="1076">
        <f>IFERROR(__xludf.DUMMYFUNCTION("""COMPUTED_VALUE"""),0.5)</f>
        <v>0.5</v>
      </c>
      <c r="L2163" s="1076" t="str">
        <f>IFERROR(__xludf.DUMMYFUNCTION("""COMPUTED_VALUE"""),"Loại biên")</f>
        <v>Loại biên</v>
      </c>
    </row>
    <row r="2164" customHeight="1" spans="1:12">
      <c r="A2164" s="1076" t="str">
        <f>IFERROR(__xludf.DUMMYFUNCTION("""COMPUTED_VALUE"""),"XD3-MPC-014")</f>
        <v>XD3-MPC-014</v>
      </c>
      <c r="B2164" s="1075" t="str">
        <f>IFERROR(__xludf.DUMMYFUNCTION("""COMPUTED_VALUE"""),"Máy phát cỏ 4 thì")</f>
        <v>Máy phát cỏ 4 thì</v>
      </c>
      <c r="C2164" s="1076" t="str">
        <f>IFERROR(__xludf.DUMMYFUNCTION("""COMPUTED_VALUE"""),"Loại biên")</f>
        <v>Loại biên</v>
      </c>
      <c r="D2164" s="1076" t="str">
        <f>IFERROR(__xludf.DUMMYFUNCTION("""COMPUTED_VALUE"""),"HINOTA")</f>
        <v>HINOTA</v>
      </c>
      <c r="E2164" s="1076" t="str">
        <f>IFERROR(__xludf.DUMMYFUNCTION("""COMPUTED_VALUE"""),"Trung Quốc")</f>
        <v>Trung Quốc</v>
      </c>
      <c r="F2164" s="1076"/>
      <c r="G2164" s="1076" t="str">
        <f>IFERROR(__xludf.DUMMYFUNCTION("""COMPUTED_VALUE"""),"CG435")</f>
        <v>CG435</v>
      </c>
      <c r="H2164" s="1076" t="str">
        <f>IFERROR(__xludf.DUMMYFUNCTION("""COMPUTED_VALUE"""),"1.2HP")</f>
        <v>1.2HP</v>
      </c>
      <c r="I2164" s="1076"/>
      <c r="J2164" s="1076"/>
      <c r="K2164" s="1076">
        <f>IFERROR(__xludf.DUMMYFUNCTION("""COMPUTED_VALUE"""),0.5)</f>
        <v>0.5</v>
      </c>
      <c r="L2164" s="1076" t="str">
        <f>IFERROR(__xludf.DUMMYFUNCTION("""COMPUTED_VALUE"""),"Loại biên")</f>
        <v>Loại biên</v>
      </c>
    </row>
    <row r="2165" customHeight="1" spans="1:12">
      <c r="A2165" s="1076" t="str">
        <f>IFERROR(__xludf.DUMMYFUNCTION("""COMPUTED_VALUE"""),"XD3-MPC-016")</f>
        <v>XD3-MPC-016</v>
      </c>
      <c r="B2165" s="1075" t="str">
        <f>IFERROR(__xludf.DUMMYFUNCTION("""COMPUTED_VALUE"""),"Máy phát cỏ 4 thì")</f>
        <v>Máy phát cỏ 4 thì</v>
      </c>
      <c r="C2165" s="1076" t="str">
        <f>IFERROR(__xludf.DUMMYFUNCTION("""COMPUTED_VALUE"""),"Loại biên")</f>
        <v>Loại biên</v>
      </c>
      <c r="D2165" s="1076" t="str">
        <f>IFERROR(__xludf.DUMMYFUNCTION("""COMPUTED_VALUE"""),"HINOTA")</f>
        <v>HINOTA</v>
      </c>
      <c r="E2165" s="1076" t="str">
        <f>IFERROR(__xludf.DUMMYFUNCTION("""COMPUTED_VALUE"""),"Trung Quốc")</f>
        <v>Trung Quốc</v>
      </c>
      <c r="F2165" s="1076"/>
      <c r="G2165" s="1076" t="str">
        <f>IFERROR(__xludf.DUMMYFUNCTION("""COMPUTED_VALUE"""),"CG435")</f>
        <v>CG435</v>
      </c>
      <c r="H2165" s="1076" t="str">
        <f>IFERROR(__xludf.DUMMYFUNCTION("""COMPUTED_VALUE"""),"1.2HP")</f>
        <v>1.2HP</v>
      </c>
      <c r="I2165" s="1076"/>
      <c r="J2165" s="1076"/>
      <c r="K2165" s="1076">
        <f>IFERROR(__xludf.DUMMYFUNCTION("""COMPUTED_VALUE"""),0.5)</f>
        <v>0.5</v>
      </c>
      <c r="L2165" s="1076" t="str">
        <f>IFERROR(__xludf.DUMMYFUNCTION("""COMPUTED_VALUE"""),"Loại biên")</f>
        <v>Loại biên</v>
      </c>
    </row>
    <row r="2166" customHeight="1" spans="1:12">
      <c r="A2166" s="1076" t="str">
        <f>IFERROR(__xludf.DUMMYFUNCTION("""COMPUTED_VALUE"""),"XD3-MPC-018")</f>
        <v>XD3-MPC-018</v>
      </c>
      <c r="B2166" s="1075" t="str">
        <f>IFERROR(__xludf.DUMMYFUNCTION("""COMPUTED_VALUE"""),"Máy phát cỏ 4 thì")</f>
        <v>Máy phát cỏ 4 thì</v>
      </c>
      <c r="C2166" s="1076" t="str">
        <f>IFERROR(__xludf.DUMMYFUNCTION("""COMPUTED_VALUE"""),"Loại biên")</f>
        <v>Loại biên</v>
      </c>
      <c r="D2166" s="1076" t="str">
        <f>IFERROR(__xludf.DUMMYFUNCTION("""COMPUTED_VALUE"""),"HINOTA")</f>
        <v>HINOTA</v>
      </c>
      <c r="E2166" s="1076" t="str">
        <f>IFERROR(__xludf.DUMMYFUNCTION("""COMPUTED_VALUE"""),"Trung Quốc")</f>
        <v>Trung Quốc</v>
      </c>
      <c r="F2166" s="1076"/>
      <c r="G2166" s="1076" t="str">
        <f>IFERROR(__xludf.DUMMYFUNCTION("""COMPUTED_VALUE"""),"CG435")</f>
        <v>CG435</v>
      </c>
      <c r="H2166" s="1076" t="str">
        <f>IFERROR(__xludf.DUMMYFUNCTION("""COMPUTED_VALUE"""),"1.2HP")</f>
        <v>1.2HP</v>
      </c>
      <c r="I2166" s="1076"/>
      <c r="J2166" s="1076"/>
      <c r="K2166" s="1076">
        <f>IFERROR(__xludf.DUMMYFUNCTION("""COMPUTED_VALUE"""),0.5)</f>
        <v>0.5</v>
      </c>
      <c r="L2166" s="1076" t="str">
        <f>IFERROR(__xludf.DUMMYFUNCTION("""COMPUTED_VALUE"""),"Loại biên")</f>
        <v>Loại biên</v>
      </c>
    </row>
    <row r="2167" customHeight="1" spans="1:12">
      <c r="A2167" s="1076" t="str">
        <f>IFERROR(__xludf.DUMMYFUNCTION("""COMPUTED_VALUE"""),"XD3-MPC-019")</f>
        <v>XD3-MPC-019</v>
      </c>
      <c r="B2167" s="1075" t="str">
        <f>IFERROR(__xludf.DUMMYFUNCTION("""COMPUTED_VALUE"""),"Máy phát cỏ 4 thì")</f>
        <v>Máy phát cỏ 4 thì</v>
      </c>
      <c r="C2167" s="1076" t="str">
        <f>IFERROR(__xludf.DUMMYFUNCTION("""COMPUTED_VALUE"""),"Loại biên")</f>
        <v>Loại biên</v>
      </c>
      <c r="D2167" s="1076" t="str">
        <f>IFERROR(__xludf.DUMMYFUNCTION("""COMPUTED_VALUE"""),"HINOTA")</f>
        <v>HINOTA</v>
      </c>
      <c r="E2167" s="1076" t="str">
        <f>IFERROR(__xludf.DUMMYFUNCTION("""COMPUTED_VALUE"""),"Trung Quốc")</f>
        <v>Trung Quốc</v>
      </c>
      <c r="F2167" s="1076"/>
      <c r="G2167" s="1076" t="str">
        <f>IFERROR(__xludf.DUMMYFUNCTION("""COMPUTED_VALUE"""),"CG435")</f>
        <v>CG435</v>
      </c>
      <c r="H2167" s="1076" t="str">
        <f>IFERROR(__xludf.DUMMYFUNCTION("""COMPUTED_VALUE"""),"1.2HP")</f>
        <v>1.2HP</v>
      </c>
      <c r="I2167" s="1076"/>
      <c r="J2167" s="1076"/>
      <c r="K2167" s="1076">
        <f>IFERROR(__xludf.DUMMYFUNCTION("""COMPUTED_VALUE"""),0.5)</f>
        <v>0.5</v>
      </c>
      <c r="L2167" s="1076" t="str">
        <f>IFERROR(__xludf.DUMMYFUNCTION("""COMPUTED_VALUE"""),"Loại biên")</f>
        <v>Loại biên</v>
      </c>
    </row>
    <row r="2168" customHeight="1" spans="1:12">
      <c r="A2168" s="1076" t="str">
        <f>IFERROR(__xludf.DUMMYFUNCTION("""COMPUTED_VALUE"""),"XD3-MPC-020")</f>
        <v>XD3-MPC-020</v>
      </c>
      <c r="B2168" s="1075" t="str">
        <f>IFERROR(__xludf.DUMMYFUNCTION("""COMPUTED_VALUE"""),"Máy phát cỏ 4 thì")</f>
        <v>Máy phát cỏ 4 thì</v>
      </c>
      <c r="C2168" s="1076" t="str">
        <f>IFERROR(__xludf.DUMMYFUNCTION("""COMPUTED_VALUE"""),"Loại biên")</f>
        <v>Loại biên</v>
      </c>
      <c r="D2168" s="1076" t="str">
        <f>IFERROR(__xludf.DUMMYFUNCTION("""COMPUTED_VALUE"""),"HINOTA")</f>
        <v>HINOTA</v>
      </c>
      <c r="E2168" s="1076" t="str">
        <f>IFERROR(__xludf.DUMMYFUNCTION("""COMPUTED_VALUE"""),"Trung Quốc")</f>
        <v>Trung Quốc</v>
      </c>
      <c r="F2168" s="1076"/>
      <c r="G2168" s="1076" t="str">
        <f>IFERROR(__xludf.DUMMYFUNCTION("""COMPUTED_VALUE"""),"CG435")</f>
        <v>CG435</v>
      </c>
      <c r="H2168" s="1076" t="str">
        <f>IFERROR(__xludf.DUMMYFUNCTION("""COMPUTED_VALUE"""),"1.2HP")</f>
        <v>1.2HP</v>
      </c>
      <c r="I2168" s="1076"/>
      <c r="J2168" s="1076"/>
      <c r="K2168" s="1076">
        <f>IFERROR(__xludf.DUMMYFUNCTION("""COMPUTED_VALUE"""),0.5)</f>
        <v>0.5</v>
      </c>
      <c r="L2168" s="1076" t="str">
        <f>IFERROR(__xludf.DUMMYFUNCTION("""COMPUTED_VALUE"""),"Loại biên")</f>
        <v>Loại biên</v>
      </c>
    </row>
    <row r="2169" customHeight="1" spans="1:12">
      <c r="A2169" s="1076" t="str">
        <f>IFERROR(__xludf.DUMMYFUNCTION("""COMPUTED_VALUE"""),"XD3-MPC-023")</f>
        <v>XD3-MPC-023</v>
      </c>
      <c r="B2169" s="1075" t="str">
        <f>IFERROR(__xludf.DUMMYFUNCTION("""COMPUTED_VALUE"""),"Máy phát cỏ 4 thì")</f>
        <v>Máy phát cỏ 4 thì</v>
      </c>
      <c r="C2169" s="1076" t="str">
        <f>IFERROR(__xludf.DUMMYFUNCTION("""COMPUTED_VALUE"""),"Loại biên")</f>
        <v>Loại biên</v>
      </c>
      <c r="D2169" s="1076" t="str">
        <f>IFERROR(__xludf.DUMMYFUNCTION("""COMPUTED_VALUE"""),"HINOTA")</f>
        <v>HINOTA</v>
      </c>
      <c r="E2169" s="1076" t="str">
        <f>IFERROR(__xludf.DUMMYFUNCTION("""COMPUTED_VALUE"""),"Trung Quốc")</f>
        <v>Trung Quốc</v>
      </c>
      <c r="F2169" s="1076"/>
      <c r="G2169" s="1076" t="str">
        <f>IFERROR(__xludf.DUMMYFUNCTION("""COMPUTED_VALUE"""),"CG435")</f>
        <v>CG435</v>
      </c>
      <c r="H2169" s="1076" t="str">
        <f>IFERROR(__xludf.DUMMYFUNCTION("""COMPUTED_VALUE"""),"1.2HP")</f>
        <v>1.2HP</v>
      </c>
      <c r="I2169" s="1076"/>
      <c r="J2169" s="1076"/>
      <c r="K2169" s="1076">
        <f>IFERROR(__xludf.DUMMYFUNCTION("""COMPUTED_VALUE"""),0.5)</f>
        <v>0.5</v>
      </c>
      <c r="L2169" s="1076"/>
    </row>
    <row r="2170" customHeight="1" spans="1:12">
      <c r="A2170" s="1076" t="str">
        <f>IFERROR(__xludf.DUMMYFUNCTION("""COMPUTED_VALUE"""),"XD3-MPC-026")</f>
        <v>XD3-MPC-026</v>
      </c>
      <c r="B2170" s="1075" t="str">
        <f>IFERROR(__xludf.DUMMYFUNCTION("""COMPUTED_VALUE"""),"Máy phát cỏ 4 thì")</f>
        <v>Máy phát cỏ 4 thì</v>
      </c>
      <c r="C2170" s="1076" t="str">
        <f>IFERROR(__xludf.DUMMYFUNCTION("""COMPUTED_VALUE"""),"Loại biên")</f>
        <v>Loại biên</v>
      </c>
      <c r="D2170" s="1076" t="str">
        <f>IFERROR(__xludf.DUMMYFUNCTION("""COMPUTED_VALUE"""),"HINOTA")</f>
        <v>HINOTA</v>
      </c>
      <c r="E2170" s="1076" t="str">
        <f>IFERROR(__xludf.DUMMYFUNCTION("""COMPUTED_VALUE"""),"Trung Quốc")</f>
        <v>Trung Quốc</v>
      </c>
      <c r="F2170" s="1076"/>
      <c r="G2170" s="1076" t="str">
        <f>IFERROR(__xludf.DUMMYFUNCTION("""COMPUTED_VALUE"""),"CG435")</f>
        <v>CG435</v>
      </c>
      <c r="H2170" s="1076" t="str">
        <f>IFERROR(__xludf.DUMMYFUNCTION("""COMPUTED_VALUE"""),"1.2HP")</f>
        <v>1.2HP</v>
      </c>
      <c r="I2170" s="1076"/>
      <c r="J2170" s="1076"/>
      <c r="K2170" s="1076">
        <f>IFERROR(__xludf.DUMMYFUNCTION("""COMPUTED_VALUE"""),0.5)</f>
        <v>0.5</v>
      </c>
      <c r="L2170" s="1076"/>
    </row>
    <row r="2171" customHeight="1" spans="1:12">
      <c r="A2171" s="1076" t="str">
        <f>IFERROR(__xludf.DUMMYFUNCTION("""COMPUTED_VALUE"""),"XD3-MPC-027")</f>
        <v>XD3-MPC-027</v>
      </c>
      <c r="B2171" s="1075" t="str">
        <f>IFERROR(__xludf.DUMMYFUNCTION("""COMPUTED_VALUE"""),"Máy phát cỏ 4 thì")</f>
        <v>Máy phát cỏ 4 thì</v>
      </c>
      <c r="C2171" s="1076" t="str">
        <f>IFERROR(__xludf.DUMMYFUNCTION("""COMPUTED_VALUE"""),"Loại biên")</f>
        <v>Loại biên</v>
      </c>
      <c r="D2171" s="1076" t="str">
        <f>IFERROR(__xludf.DUMMYFUNCTION("""COMPUTED_VALUE"""),"HINOTA")</f>
        <v>HINOTA</v>
      </c>
      <c r="E2171" s="1076" t="str">
        <f>IFERROR(__xludf.DUMMYFUNCTION("""COMPUTED_VALUE"""),"Trung Quốc")</f>
        <v>Trung Quốc</v>
      </c>
      <c r="F2171" s="1076"/>
      <c r="G2171" s="1076" t="str">
        <f>IFERROR(__xludf.DUMMYFUNCTION("""COMPUTED_VALUE"""),"CG435")</f>
        <v>CG435</v>
      </c>
      <c r="H2171" s="1076" t="str">
        <f>IFERROR(__xludf.DUMMYFUNCTION("""COMPUTED_VALUE"""),"1.2HP")</f>
        <v>1.2HP</v>
      </c>
      <c r="I2171" s="1076"/>
      <c r="J2171" s="1076"/>
      <c r="K2171" s="1076">
        <f>IFERROR(__xludf.DUMMYFUNCTION("""COMPUTED_VALUE"""),0.5)</f>
        <v>0.5</v>
      </c>
      <c r="L2171" s="1076"/>
    </row>
    <row r="2172" customHeight="1" spans="1:12">
      <c r="A2172" s="1076" t="str">
        <f>IFERROR(__xludf.DUMMYFUNCTION("""COMPUTED_VALUE"""),"XD3-MPC-028")</f>
        <v>XD3-MPC-028</v>
      </c>
      <c r="B2172" s="1075" t="str">
        <f>IFERROR(__xludf.DUMMYFUNCTION("""COMPUTED_VALUE"""),"Máy phát cỏ 4 thì")</f>
        <v>Máy phát cỏ 4 thì</v>
      </c>
      <c r="C2172" s="1076" t="str">
        <f>IFERROR(__xludf.DUMMYFUNCTION("""COMPUTED_VALUE"""),"Loại biên")</f>
        <v>Loại biên</v>
      </c>
      <c r="D2172" s="1076" t="str">
        <f>IFERROR(__xludf.DUMMYFUNCTION("""COMPUTED_VALUE"""),"HINOTA")</f>
        <v>HINOTA</v>
      </c>
      <c r="E2172" s="1076" t="str">
        <f>IFERROR(__xludf.DUMMYFUNCTION("""COMPUTED_VALUE"""),"Trung Quốc")</f>
        <v>Trung Quốc</v>
      </c>
      <c r="F2172" s="1076"/>
      <c r="G2172" s="1076" t="str">
        <f>IFERROR(__xludf.DUMMYFUNCTION("""COMPUTED_VALUE"""),"CG435")</f>
        <v>CG435</v>
      </c>
      <c r="H2172" s="1076" t="str">
        <f>IFERROR(__xludf.DUMMYFUNCTION("""COMPUTED_VALUE"""),"1.2HP")</f>
        <v>1.2HP</v>
      </c>
      <c r="I2172" s="1076"/>
      <c r="J2172" s="1076"/>
      <c r="K2172" s="1076">
        <f>IFERROR(__xludf.DUMMYFUNCTION("""COMPUTED_VALUE"""),0.5)</f>
        <v>0.5</v>
      </c>
      <c r="L2172" s="1076"/>
    </row>
    <row r="2173" customHeight="1" spans="1:12">
      <c r="A2173" s="1076" t="str">
        <f>IFERROR(__xludf.DUMMYFUNCTION("""COMPUTED_VALUE"""),"XD3-MPC-032")</f>
        <v>XD3-MPC-032</v>
      </c>
      <c r="B2173" s="1075" t="str">
        <f>IFERROR(__xludf.DUMMYFUNCTION("""COMPUTED_VALUE"""),"Máy phát cỏ 4 thì")</f>
        <v>Máy phát cỏ 4 thì</v>
      </c>
      <c r="C2173" s="1076" t="str">
        <f>IFERROR(__xludf.DUMMYFUNCTION("""COMPUTED_VALUE"""),"Loại biên")</f>
        <v>Loại biên</v>
      </c>
      <c r="D2173" s="1076" t="str">
        <f>IFERROR(__xludf.DUMMYFUNCTION("""COMPUTED_VALUE"""),"HONDA")</f>
        <v>HONDA</v>
      </c>
      <c r="E2173" s="1076" t="str">
        <f>IFERROR(__xludf.DUMMYFUNCTION("""COMPUTED_VALUE"""),"THÁI LAN")</f>
        <v>THÁI LAN</v>
      </c>
      <c r="F2173" s="1076"/>
      <c r="G2173" s="1076" t="str">
        <f>IFERROR(__xludf.DUMMYFUNCTION("""COMPUTED_VALUE"""),"GX35")</f>
        <v>GX35</v>
      </c>
      <c r="H2173" s="1076" t="str">
        <f>IFERROR(__xludf.DUMMYFUNCTION("""COMPUTED_VALUE"""),"1.6HP")</f>
        <v>1.6HP</v>
      </c>
      <c r="I2173" s="1076"/>
      <c r="J2173" s="1076"/>
      <c r="K2173" s="1076">
        <f>IFERROR(__xludf.DUMMYFUNCTION("""COMPUTED_VALUE"""),0.5)</f>
        <v>0.5</v>
      </c>
      <c r="L2173" s="1076"/>
    </row>
    <row r="2174" customHeight="1" spans="1:12">
      <c r="A2174" s="1076" t="str">
        <f>IFERROR(__xludf.DUMMYFUNCTION("""COMPUTED_VALUE"""),"XD3-MPC-033")</f>
        <v>XD3-MPC-033</v>
      </c>
      <c r="B2174" s="1075" t="str">
        <f>IFERROR(__xludf.DUMMYFUNCTION("""COMPUTED_VALUE"""),"Máy phát cỏ 4 thì")</f>
        <v>Máy phát cỏ 4 thì</v>
      </c>
      <c r="C2174" s="1076" t="str">
        <f>IFERROR(__xludf.DUMMYFUNCTION("""COMPUTED_VALUE"""),"Loại biên")</f>
        <v>Loại biên</v>
      </c>
      <c r="D2174" s="1076" t="str">
        <f>IFERROR(__xludf.DUMMYFUNCTION("""COMPUTED_VALUE"""),"HONDA")</f>
        <v>HONDA</v>
      </c>
      <c r="E2174" s="1076" t="str">
        <f>IFERROR(__xludf.DUMMYFUNCTION("""COMPUTED_VALUE"""),"THÁI LAN")</f>
        <v>THÁI LAN</v>
      </c>
      <c r="F2174" s="1076"/>
      <c r="G2174" s="1076" t="str">
        <f>IFERROR(__xludf.DUMMYFUNCTION("""COMPUTED_VALUE"""),"GX35")</f>
        <v>GX35</v>
      </c>
      <c r="H2174" s="1076" t="str">
        <f>IFERROR(__xludf.DUMMYFUNCTION("""COMPUTED_VALUE"""),"1.6HP")</f>
        <v>1.6HP</v>
      </c>
      <c r="I2174" s="1076"/>
      <c r="J2174" s="1076"/>
      <c r="K2174" s="1076">
        <f>IFERROR(__xludf.DUMMYFUNCTION("""COMPUTED_VALUE"""),0.5)</f>
        <v>0.5</v>
      </c>
      <c r="L2174" s="1076"/>
    </row>
    <row r="2175" customHeight="1" spans="1:12">
      <c r="A2175" s="1076" t="str">
        <f>IFERROR(__xludf.DUMMYFUNCTION("""COMPUTED_VALUE"""),"XD3-MPC-034")</f>
        <v>XD3-MPC-034</v>
      </c>
      <c r="B2175" s="1075" t="str">
        <f>IFERROR(__xludf.DUMMYFUNCTION("""COMPUTED_VALUE"""),"Máy phát cỏ 4 thì")</f>
        <v>Máy phát cỏ 4 thì</v>
      </c>
      <c r="C2175" s="1076" t="str">
        <f>IFERROR(__xludf.DUMMYFUNCTION("""COMPUTED_VALUE"""),"Loại biên")</f>
        <v>Loại biên</v>
      </c>
      <c r="D2175" s="1076" t="str">
        <f>IFERROR(__xludf.DUMMYFUNCTION("""COMPUTED_VALUE"""),"HONDA")</f>
        <v>HONDA</v>
      </c>
      <c r="E2175" s="1076" t="str">
        <f>IFERROR(__xludf.DUMMYFUNCTION("""COMPUTED_VALUE"""),"THÁI LAN")</f>
        <v>THÁI LAN</v>
      </c>
      <c r="F2175" s="1076"/>
      <c r="G2175" s="1076" t="str">
        <f>IFERROR(__xludf.DUMMYFUNCTION("""COMPUTED_VALUE"""),"GX35")</f>
        <v>GX35</v>
      </c>
      <c r="H2175" s="1076" t="str">
        <f>IFERROR(__xludf.DUMMYFUNCTION("""COMPUTED_VALUE"""),"1.6HP")</f>
        <v>1.6HP</v>
      </c>
      <c r="I2175" s="1076"/>
      <c r="J2175" s="1076"/>
      <c r="K2175" s="1076">
        <f>IFERROR(__xludf.DUMMYFUNCTION("""COMPUTED_VALUE"""),0.5)</f>
        <v>0.5</v>
      </c>
      <c r="L2175" s="1076"/>
    </row>
    <row r="2176" customHeight="1" spans="1:12">
      <c r="A2176" s="1076" t="str">
        <f>IFERROR(__xludf.DUMMYFUNCTION("""COMPUTED_VALUE"""),"XD3-MPC-035")</f>
        <v>XD3-MPC-035</v>
      </c>
      <c r="B2176" s="1075" t="str">
        <f>IFERROR(__xludf.DUMMYFUNCTION("""COMPUTED_VALUE"""),"Máy phát cỏ 4 thì")</f>
        <v>Máy phát cỏ 4 thì</v>
      </c>
      <c r="C2176" s="1076" t="str">
        <f>IFERROR(__xludf.DUMMYFUNCTION("""COMPUTED_VALUE"""),"Loại biên")</f>
        <v>Loại biên</v>
      </c>
      <c r="D2176" s="1076" t="str">
        <f>IFERROR(__xludf.DUMMYFUNCTION("""COMPUTED_VALUE"""),"HONDA")</f>
        <v>HONDA</v>
      </c>
      <c r="E2176" s="1076" t="str">
        <f>IFERROR(__xludf.DUMMYFUNCTION("""COMPUTED_VALUE"""),"THÁI LAN")</f>
        <v>THÁI LAN</v>
      </c>
      <c r="F2176" s="1076"/>
      <c r="G2176" s="1076" t="str">
        <f>IFERROR(__xludf.DUMMYFUNCTION("""COMPUTED_VALUE"""),"GX35")</f>
        <v>GX35</v>
      </c>
      <c r="H2176" s="1076" t="str">
        <f>IFERROR(__xludf.DUMMYFUNCTION("""COMPUTED_VALUE"""),"1.6HP")</f>
        <v>1.6HP</v>
      </c>
      <c r="I2176" s="1076"/>
      <c r="J2176" s="1076"/>
      <c r="K2176" s="1076">
        <f>IFERROR(__xludf.DUMMYFUNCTION("""COMPUTED_VALUE"""),0.5)</f>
        <v>0.5</v>
      </c>
      <c r="L2176" s="1076"/>
    </row>
    <row r="2177" customHeight="1" spans="1:12">
      <c r="A2177" s="1076" t="str">
        <f>IFERROR(__xludf.DUMMYFUNCTION("""COMPUTED_VALUE"""),"XD3-MPC-038")</f>
        <v>XD3-MPC-038</v>
      </c>
      <c r="B2177" s="1075" t="str">
        <f>IFERROR(__xludf.DUMMYFUNCTION("""COMPUTED_VALUE"""),"Máy phát cỏ 4 thì")</f>
        <v>Máy phát cỏ 4 thì</v>
      </c>
      <c r="C2177" s="1076" t="str">
        <f>IFERROR(__xludf.DUMMYFUNCTION("""COMPUTED_VALUE"""),"Loại biên")</f>
        <v>Loại biên</v>
      </c>
      <c r="D2177" s="1076" t="str">
        <f>IFERROR(__xludf.DUMMYFUNCTION("""COMPUTED_VALUE"""),"HONDA")</f>
        <v>HONDA</v>
      </c>
      <c r="E2177" s="1076" t="str">
        <f>IFERROR(__xludf.DUMMYFUNCTION("""COMPUTED_VALUE"""),"THÁI LAN")</f>
        <v>THÁI LAN</v>
      </c>
      <c r="F2177" s="1076"/>
      <c r="G2177" s="1076" t="str">
        <f>IFERROR(__xludf.DUMMYFUNCTION("""COMPUTED_VALUE"""),"GX35")</f>
        <v>GX35</v>
      </c>
      <c r="H2177" s="1076" t="str">
        <f>IFERROR(__xludf.DUMMYFUNCTION("""COMPUTED_VALUE"""),"1.6HP")</f>
        <v>1.6HP</v>
      </c>
      <c r="I2177" s="1076" t="str">
        <f>IFERROR(__xludf.DUMMYFUNCTION("""COMPUTED_VALUE"""),"GCAMT-7717622")</f>
        <v>GCAMT-7717622</v>
      </c>
      <c r="J2177" s="1076"/>
      <c r="K2177" s="1076">
        <f>IFERROR(__xludf.DUMMYFUNCTION("""COMPUTED_VALUE"""),0.5)</f>
        <v>0.5</v>
      </c>
      <c r="L2177" s="1076"/>
    </row>
    <row r="2178" customHeight="1" spans="1:12">
      <c r="A2178" s="1076" t="str">
        <f>IFERROR(__xludf.DUMMYFUNCTION("""COMPUTED_VALUE"""),"XD3-MPC-039")</f>
        <v>XD3-MPC-039</v>
      </c>
      <c r="B2178" s="1075" t="str">
        <f>IFERROR(__xludf.DUMMYFUNCTION("""COMPUTED_VALUE"""),"Máy phát cỏ 4 thì")</f>
        <v>Máy phát cỏ 4 thì</v>
      </c>
      <c r="C2178" s="1076" t="str">
        <f>IFERROR(__xludf.DUMMYFUNCTION("""COMPUTED_VALUE"""),"Loại biên")</f>
        <v>Loại biên</v>
      </c>
      <c r="D2178" s="1076" t="str">
        <f>IFERROR(__xludf.DUMMYFUNCTION("""COMPUTED_VALUE"""),"HONDA")</f>
        <v>HONDA</v>
      </c>
      <c r="E2178" s="1076" t="str">
        <f>IFERROR(__xludf.DUMMYFUNCTION("""COMPUTED_VALUE"""),"THÁI LAN")</f>
        <v>THÁI LAN</v>
      </c>
      <c r="F2178" s="1076"/>
      <c r="G2178" s="1076" t="str">
        <f>IFERROR(__xludf.DUMMYFUNCTION("""COMPUTED_VALUE"""),"GX35")</f>
        <v>GX35</v>
      </c>
      <c r="H2178" s="1076" t="str">
        <f>IFERROR(__xludf.DUMMYFUNCTION("""COMPUTED_VALUE"""),"1.6HP")</f>
        <v>1.6HP</v>
      </c>
      <c r="I2178" s="1076" t="str">
        <f>IFERROR(__xludf.DUMMYFUNCTION("""COMPUTED_VALUE"""),"GCAMT-7716575")</f>
        <v>GCAMT-7716575</v>
      </c>
      <c r="J2178" s="1076"/>
      <c r="K2178" s="1076">
        <f>IFERROR(__xludf.DUMMYFUNCTION("""COMPUTED_VALUE"""),0.5)</f>
        <v>0.5</v>
      </c>
      <c r="L2178" s="1076"/>
    </row>
    <row r="2179" customHeight="1" spans="1:12">
      <c r="A2179" s="1076" t="str">
        <f>IFERROR(__xludf.DUMMYFUNCTION("""COMPUTED_VALUE"""),"XN LP4")</f>
        <v>XN LP4</v>
      </c>
      <c r="B2179" s="1075"/>
      <c r="C2179" s="1076"/>
      <c r="D2179" s="1076"/>
      <c r="E2179" s="1076"/>
      <c r="F2179" s="1076"/>
      <c r="G2179" s="1076"/>
      <c r="H2179" s="1076"/>
      <c r="I2179" s="1076"/>
      <c r="J2179" s="1076"/>
      <c r="K2179" s="1076"/>
      <c r="L2179" s="1076"/>
    </row>
    <row r="2180" customHeight="1" spans="1:12">
      <c r="A2180" s="1076" t="str">
        <f>IFERROR(__xludf.DUMMYFUNCTION("""COMPUTED_VALUE"""),"XL4-MPC-003")</f>
        <v>XL4-MPC-003</v>
      </c>
      <c r="B2180" s="1075" t="str">
        <f>IFERROR(__xludf.DUMMYFUNCTION("""COMPUTED_VALUE"""),"Máy phát cỏ 4 thì")</f>
        <v>Máy phát cỏ 4 thì</v>
      </c>
      <c r="C2180" s="1076" t="str">
        <f>IFERROR(__xludf.DUMMYFUNCTION("""COMPUTED_VALUE"""),"Loại biên")</f>
        <v>Loại biên</v>
      </c>
      <c r="D2180" s="1076" t="str">
        <f>IFERROR(__xludf.DUMMYFUNCTION("""COMPUTED_VALUE"""),"HINOTA")</f>
        <v>HINOTA</v>
      </c>
      <c r="E2180" s="1076" t="str">
        <f>IFERROR(__xludf.DUMMYFUNCTION("""COMPUTED_VALUE"""),"Trung Quốc")</f>
        <v>Trung Quốc</v>
      </c>
      <c r="F2180" s="1076"/>
      <c r="G2180" s="1076" t="str">
        <f>IFERROR(__xludf.DUMMYFUNCTION("""COMPUTED_VALUE"""),"CG435")</f>
        <v>CG435</v>
      </c>
      <c r="H2180" s="1076" t="str">
        <f>IFERROR(__xludf.DUMMYFUNCTION("""COMPUTED_VALUE"""),"1.2HP")</f>
        <v>1.2HP</v>
      </c>
      <c r="I2180" s="1076"/>
      <c r="J2180" s="1076"/>
      <c r="K2180" s="1076">
        <f>IFERROR(__xludf.DUMMYFUNCTION("""COMPUTED_VALUE"""),0.5)</f>
        <v>0.5</v>
      </c>
      <c r="L2180" s="1076"/>
    </row>
    <row r="2181" customHeight="1" spans="1:12">
      <c r="A2181" s="1076" t="str">
        <f>IFERROR(__xludf.DUMMYFUNCTION("""COMPUTED_VALUE"""),"XL4-MPC-005")</f>
        <v>XL4-MPC-005</v>
      </c>
      <c r="B2181" s="1075" t="str">
        <f>IFERROR(__xludf.DUMMYFUNCTION("""COMPUTED_VALUE"""),"Máy phát cỏ 4 thì")</f>
        <v>Máy phát cỏ 4 thì</v>
      </c>
      <c r="C2181" s="1076" t="str">
        <f>IFERROR(__xludf.DUMMYFUNCTION("""COMPUTED_VALUE"""),"Loại biên")</f>
        <v>Loại biên</v>
      </c>
      <c r="D2181" s="1076" t="str">
        <f>IFERROR(__xludf.DUMMYFUNCTION("""COMPUTED_VALUE"""),"HINOTA")</f>
        <v>HINOTA</v>
      </c>
      <c r="E2181" s="1076" t="str">
        <f>IFERROR(__xludf.DUMMYFUNCTION("""COMPUTED_VALUE"""),"Trung Quốc")</f>
        <v>Trung Quốc</v>
      </c>
      <c r="F2181" s="1076"/>
      <c r="G2181" s="1076" t="str">
        <f>IFERROR(__xludf.DUMMYFUNCTION("""COMPUTED_VALUE"""),"CG435")</f>
        <v>CG435</v>
      </c>
      <c r="H2181" s="1076" t="str">
        <f>IFERROR(__xludf.DUMMYFUNCTION("""COMPUTED_VALUE"""),"1.2HP")</f>
        <v>1.2HP</v>
      </c>
      <c r="I2181" s="1076"/>
      <c r="J2181" s="1076"/>
      <c r="K2181" s="1076">
        <f>IFERROR(__xludf.DUMMYFUNCTION("""COMPUTED_VALUE"""),0.5)</f>
        <v>0.5</v>
      </c>
      <c r="L2181" s="1076"/>
    </row>
    <row r="2182" customHeight="1" spans="1:12">
      <c r="A2182" s="1076" t="str">
        <f>IFERROR(__xludf.DUMMYFUNCTION("""COMPUTED_VALUE"""),"XL4-MPC-006")</f>
        <v>XL4-MPC-006</v>
      </c>
      <c r="B2182" s="1075" t="str">
        <f>IFERROR(__xludf.DUMMYFUNCTION("""COMPUTED_VALUE"""),"Máy phát cỏ 4 thì")</f>
        <v>Máy phát cỏ 4 thì</v>
      </c>
      <c r="C2182" s="1076" t="str">
        <f>IFERROR(__xludf.DUMMYFUNCTION("""COMPUTED_VALUE"""),"Loại biên")</f>
        <v>Loại biên</v>
      </c>
      <c r="D2182" s="1076" t="str">
        <f>IFERROR(__xludf.DUMMYFUNCTION("""COMPUTED_VALUE"""),"HINOTA")</f>
        <v>HINOTA</v>
      </c>
      <c r="E2182" s="1076" t="str">
        <f>IFERROR(__xludf.DUMMYFUNCTION("""COMPUTED_VALUE"""),"Trung Quốc")</f>
        <v>Trung Quốc</v>
      </c>
      <c r="F2182" s="1076"/>
      <c r="G2182" s="1076" t="str">
        <f>IFERROR(__xludf.DUMMYFUNCTION("""COMPUTED_VALUE"""),"CG435")</f>
        <v>CG435</v>
      </c>
      <c r="H2182" s="1076" t="str">
        <f>IFERROR(__xludf.DUMMYFUNCTION("""COMPUTED_VALUE"""),"1.2HP")</f>
        <v>1.2HP</v>
      </c>
      <c r="I2182" s="1076"/>
      <c r="J2182" s="1076"/>
      <c r="K2182" s="1076">
        <f>IFERROR(__xludf.DUMMYFUNCTION("""COMPUTED_VALUE"""),0.5)</f>
        <v>0.5</v>
      </c>
      <c r="L2182" s="1076"/>
    </row>
    <row r="2183" customHeight="1" spans="1:12">
      <c r="A2183" s="1076" t="str">
        <f>IFERROR(__xludf.DUMMYFUNCTION("""COMPUTED_VALUE"""),"XL4-MPC-009")</f>
        <v>XL4-MPC-009</v>
      </c>
      <c r="B2183" s="1075" t="str">
        <f>IFERROR(__xludf.DUMMYFUNCTION("""COMPUTED_VALUE"""),"Máy phát cỏ 4 thì")</f>
        <v>Máy phát cỏ 4 thì</v>
      </c>
      <c r="C2183" s="1076" t="str">
        <f>IFERROR(__xludf.DUMMYFUNCTION("""COMPUTED_VALUE"""),"Loại biên")</f>
        <v>Loại biên</v>
      </c>
      <c r="D2183" s="1076" t="str">
        <f>IFERROR(__xludf.DUMMYFUNCTION("""COMPUTED_VALUE"""),"HINOTA")</f>
        <v>HINOTA</v>
      </c>
      <c r="E2183" s="1076" t="str">
        <f>IFERROR(__xludf.DUMMYFUNCTION("""COMPUTED_VALUE"""),"Trung Quốc")</f>
        <v>Trung Quốc</v>
      </c>
      <c r="F2183" s="1076"/>
      <c r="G2183" s="1076" t="str">
        <f>IFERROR(__xludf.DUMMYFUNCTION("""COMPUTED_VALUE"""),"CG435")</f>
        <v>CG435</v>
      </c>
      <c r="H2183" s="1076" t="str">
        <f>IFERROR(__xludf.DUMMYFUNCTION("""COMPUTED_VALUE"""),"1.2HP")</f>
        <v>1.2HP</v>
      </c>
      <c r="I2183" s="1076"/>
      <c r="J2183" s="1076"/>
      <c r="K2183" s="1076">
        <f>IFERROR(__xludf.DUMMYFUNCTION("""COMPUTED_VALUE"""),0.5)</f>
        <v>0.5</v>
      </c>
      <c r="L2183" s="1076"/>
    </row>
    <row r="2184" customHeight="1" spans="1:12">
      <c r="A2184" s="1076" t="str">
        <f>IFERROR(__xludf.DUMMYFUNCTION("""COMPUTED_VALUE"""),"XL4-MPC-011")</f>
        <v>XL4-MPC-011</v>
      </c>
      <c r="B2184" s="1075" t="str">
        <f>IFERROR(__xludf.DUMMYFUNCTION("""COMPUTED_VALUE"""),"Máy phát cỏ 4 thì")</f>
        <v>Máy phát cỏ 4 thì</v>
      </c>
      <c r="C2184" s="1076" t="str">
        <f>IFERROR(__xludf.DUMMYFUNCTION("""COMPUTED_VALUE"""),"Loại biên")</f>
        <v>Loại biên</v>
      </c>
      <c r="D2184" s="1076" t="str">
        <f>IFERROR(__xludf.DUMMYFUNCTION("""COMPUTED_VALUE"""),"HINOTA")</f>
        <v>HINOTA</v>
      </c>
      <c r="E2184" s="1076" t="str">
        <f>IFERROR(__xludf.DUMMYFUNCTION("""COMPUTED_VALUE"""),"Trung Quốc")</f>
        <v>Trung Quốc</v>
      </c>
      <c r="F2184" s="1076"/>
      <c r="G2184" s="1076" t="str">
        <f>IFERROR(__xludf.DUMMYFUNCTION("""COMPUTED_VALUE"""),"CG435")</f>
        <v>CG435</v>
      </c>
      <c r="H2184" s="1076" t="str">
        <f>IFERROR(__xludf.DUMMYFUNCTION("""COMPUTED_VALUE"""),"1.2HP")</f>
        <v>1.2HP</v>
      </c>
      <c r="I2184" s="1076"/>
      <c r="J2184" s="1076"/>
      <c r="K2184" s="1076">
        <f>IFERROR(__xludf.DUMMYFUNCTION("""COMPUTED_VALUE"""),0.5)</f>
        <v>0.5</v>
      </c>
      <c r="L2184" s="1076"/>
    </row>
    <row r="2185" customHeight="1" spans="1:12">
      <c r="A2185" s="1076" t="str">
        <f>IFERROR(__xludf.DUMMYFUNCTION("""COMPUTED_VALUE"""),"XL4-MPC-014")</f>
        <v>XL4-MPC-014</v>
      </c>
      <c r="B2185" s="1075" t="str">
        <f>IFERROR(__xludf.DUMMYFUNCTION("""COMPUTED_VALUE"""),"Máy phát cỏ 4 thì")</f>
        <v>Máy phát cỏ 4 thì</v>
      </c>
      <c r="C2185" s="1076" t="str">
        <f>IFERROR(__xludf.DUMMYFUNCTION("""COMPUTED_VALUE"""),"Loại biên")</f>
        <v>Loại biên</v>
      </c>
      <c r="D2185" s="1076" t="str">
        <f>IFERROR(__xludf.DUMMYFUNCTION("""COMPUTED_VALUE"""),"HINOTA")</f>
        <v>HINOTA</v>
      </c>
      <c r="E2185" s="1076" t="str">
        <f>IFERROR(__xludf.DUMMYFUNCTION("""COMPUTED_VALUE"""),"Trung Quốc")</f>
        <v>Trung Quốc</v>
      </c>
      <c r="F2185" s="1076"/>
      <c r="G2185" s="1076" t="str">
        <f>IFERROR(__xludf.DUMMYFUNCTION("""COMPUTED_VALUE"""),"CG435")</f>
        <v>CG435</v>
      </c>
      <c r="H2185" s="1076" t="str">
        <f>IFERROR(__xludf.DUMMYFUNCTION("""COMPUTED_VALUE"""),"1.2HP")</f>
        <v>1.2HP</v>
      </c>
      <c r="I2185" s="1076"/>
      <c r="J2185" s="1076"/>
      <c r="K2185" s="1076">
        <f>IFERROR(__xludf.DUMMYFUNCTION("""COMPUTED_VALUE"""),0.5)</f>
        <v>0.5</v>
      </c>
      <c r="L2185" s="1076"/>
    </row>
    <row r="2186" customHeight="1" spans="1:12">
      <c r="A2186" s="1076" t="str">
        <f>IFERROR(__xludf.DUMMYFUNCTION("""COMPUTED_VALUE"""),"XL4-MPC-015")</f>
        <v>XL4-MPC-015</v>
      </c>
      <c r="B2186" s="1075" t="str">
        <f>IFERROR(__xludf.DUMMYFUNCTION("""COMPUTED_VALUE"""),"Máy phát cỏ 4 thì")</f>
        <v>Máy phát cỏ 4 thì</v>
      </c>
      <c r="C2186" s="1076" t="str">
        <f>IFERROR(__xludf.DUMMYFUNCTION("""COMPUTED_VALUE"""),"Loại biên")</f>
        <v>Loại biên</v>
      </c>
      <c r="D2186" s="1076" t="str">
        <f>IFERROR(__xludf.DUMMYFUNCTION("""COMPUTED_VALUE"""),"HINOTA")</f>
        <v>HINOTA</v>
      </c>
      <c r="E2186" s="1076" t="str">
        <f>IFERROR(__xludf.DUMMYFUNCTION("""COMPUTED_VALUE"""),"Trung Quốc")</f>
        <v>Trung Quốc</v>
      </c>
      <c r="F2186" s="1076"/>
      <c r="G2186" s="1076" t="str">
        <f>IFERROR(__xludf.DUMMYFUNCTION("""COMPUTED_VALUE"""),"CG435")</f>
        <v>CG435</v>
      </c>
      <c r="H2186" s="1076" t="str">
        <f>IFERROR(__xludf.DUMMYFUNCTION("""COMPUTED_VALUE"""),"1.2HP")</f>
        <v>1.2HP</v>
      </c>
      <c r="I2186" s="1076"/>
      <c r="J2186" s="1076"/>
      <c r="K2186" s="1076">
        <f>IFERROR(__xludf.DUMMYFUNCTION("""COMPUTED_VALUE"""),0.5)</f>
        <v>0.5</v>
      </c>
      <c r="L2186" s="1076"/>
    </row>
    <row r="2187" customHeight="1" spans="1:12">
      <c r="A2187" s="1076" t="str">
        <f>IFERROR(__xludf.DUMMYFUNCTION("""COMPUTED_VALUE"""),"XL4-MPC-017")</f>
        <v>XL4-MPC-017</v>
      </c>
      <c r="B2187" s="1075" t="str">
        <f>IFERROR(__xludf.DUMMYFUNCTION("""COMPUTED_VALUE"""),"Máy phát cỏ 4 thì")</f>
        <v>Máy phát cỏ 4 thì</v>
      </c>
      <c r="C2187" s="1076" t="str">
        <f>IFERROR(__xludf.DUMMYFUNCTION("""COMPUTED_VALUE"""),"Loại biên")</f>
        <v>Loại biên</v>
      </c>
      <c r="D2187" s="1076" t="str">
        <f>IFERROR(__xludf.DUMMYFUNCTION("""COMPUTED_VALUE"""),"HINOTA")</f>
        <v>HINOTA</v>
      </c>
      <c r="E2187" s="1076" t="str">
        <f>IFERROR(__xludf.DUMMYFUNCTION("""COMPUTED_VALUE"""),"Trung Quốc")</f>
        <v>Trung Quốc</v>
      </c>
      <c r="F2187" s="1076"/>
      <c r="G2187" s="1076" t="str">
        <f>IFERROR(__xludf.DUMMYFUNCTION("""COMPUTED_VALUE"""),"CG435")</f>
        <v>CG435</v>
      </c>
      <c r="H2187" s="1076" t="str">
        <f>IFERROR(__xludf.DUMMYFUNCTION("""COMPUTED_VALUE"""),"1.2HP")</f>
        <v>1.2HP</v>
      </c>
      <c r="I2187" s="1076"/>
      <c r="J2187" s="1076"/>
      <c r="K2187" s="1076">
        <f>IFERROR(__xludf.DUMMYFUNCTION("""COMPUTED_VALUE"""),0.5)</f>
        <v>0.5</v>
      </c>
      <c r="L2187" s="1076"/>
    </row>
    <row r="2188" customHeight="1" spans="1:12">
      <c r="A2188" s="1076" t="str">
        <f>IFERROR(__xludf.DUMMYFUNCTION("""COMPUTED_VALUE"""),"XL4-MPC-019")</f>
        <v>XL4-MPC-019</v>
      </c>
      <c r="B2188" s="1075" t="str">
        <f>IFERROR(__xludf.DUMMYFUNCTION("""COMPUTED_VALUE"""),"Máy phát cỏ 4 thì")</f>
        <v>Máy phát cỏ 4 thì</v>
      </c>
      <c r="C2188" s="1076" t="str">
        <f>IFERROR(__xludf.DUMMYFUNCTION("""COMPUTED_VALUE"""),"Loại biên")</f>
        <v>Loại biên</v>
      </c>
      <c r="D2188" s="1076" t="str">
        <f>IFERROR(__xludf.DUMMYFUNCTION("""COMPUTED_VALUE"""),"HINOTA")</f>
        <v>HINOTA</v>
      </c>
      <c r="E2188" s="1076" t="str">
        <f>IFERROR(__xludf.DUMMYFUNCTION("""COMPUTED_VALUE"""),"Trung Quốc")</f>
        <v>Trung Quốc</v>
      </c>
      <c r="F2188" s="1076"/>
      <c r="G2188" s="1076" t="str">
        <f>IFERROR(__xludf.DUMMYFUNCTION("""COMPUTED_VALUE"""),"CG435")</f>
        <v>CG435</v>
      </c>
      <c r="H2188" s="1076" t="str">
        <f>IFERROR(__xludf.DUMMYFUNCTION("""COMPUTED_VALUE"""),"1.2HP")</f>
        <v>1.2HP</v>
      </c>
      <c r="I2188" s="1076"/>
      <c r="J2188" s="1076"/>
      <c r="K2188" s="1076">
        <f>IFERROR(__xludf.DUMMYFUNCTION("""COMPUTED_VALUE"""),0.5)</f>
        <v>0.5</v>
      </c>
      <c r="L2188" s="1076"/>
    </row>
    <row r="2189" customHeight="1" spans="1:12">
      <c r="A2189" s="1076" t="str">
        <f>IFERROR(__xludf.DUMMYFUNCTION("""COMPUTED_VALUE"""),"XL4-MPC-021")</f>
        <v>XL4-MPC-021</v>
      </c>
      <c r="B2189" s="1075" t="str">
        <f>IFERROR(__xludf.DUMMYFUNCTION("""COMPUTED_VALUE"""),"Máy phát cỏ 4 thì")</f>
        <v>Máy phát cỏ 4 thì</v>
      </c>
      <c r="C2189" s="1076" t="str">
        <f>IFERROR(__xludf.DUMMYFUNCTION("""COMPUTED_VALUE"""),"Loại biên")</f>
        <v>Loại biên</v>
      </c>
      <c r="D2189" s="1076" t="str">
        <f>IFERROR(__xludf.DUMMYFUNCTION("""COMPUTED_VALUE"""),"HINOTA")</f>
        <v>HINOTA</v>
      </c>
      <c r="E2189" s="1076" t="str">
        <f>IFERROR(__xludf.DUMMYFUNCTION("""COMPUTED_VALUE"""),"Trung Quốc")</f>
        <v>Trung Quốc</v>
      </c>
      <c r="F2189" s="1076"/>
      <c r="G2189" s="1076" t="str">
        <f>IFERROR(__xludf.DUMMYFUNCTION("""COMPUTED_VALUE"""),"CG435")</f>
        <v>CG435</v>
      </c>
      <c r="H2189" s="1076" t="str">
        <f>IFERROR(__xludf.DUMMYFUNCTION("""COMPUTED_VALUE"""),"1.2HP")</f>
        <v>1.2HP</v>
      </c>
      <c r="I2189" s="1076"/>
      <c r="J2189" s="1076"/>
      <c r="K2189" s="1076">
        <f>IFERROR(__xludf.DUMMYFUNCTION("""COMPUTED_VALUE"""),0.5)</f>
        <v>0.5</v>
      </c>
      <c r="L2189" s="1076"/>
    </row>
    <row r="2190" customHeight="1" spans="1:12">
      <c r="A2190" s="1076" t="str">
        <f>IFERROR(__xludf.DUMMYFUNCTION("""COMPUTED_VALUE"""),"XL4-MPC-023")</f>
        <v>XL4-MPC-023</v>
      </c>
      <c r="B2190" s="1075" t="str">
        <f>IFERROR(__xludf.DUMMYFUNCTION("""COMPUTED_VALUE"""),"Máy phát cỏ 4 thì")</f>
        <v>Máy phát cỏ 4 thì</v>
      </c>
      <c r="C2190" s="1076" t="str">
        <f>IFERROR(__xludf.DUMMYFUNCTION("""COMPUTED_VALUE"""),"Loại biên")</f>
        <v>Loại biên</v>
      </c>
      <c r="D2190" s="1076" t="str">
        <f>IFERROR(__xludf.DUMMYFUNCTION("""COMPUTED_VALUE"""),"HINOTA")</f>
        <v>HINOTA</v>
      </c>
      <c r="E2190" s="1076" t="str">
        <f>IFERROR(__xludf.DUMMYFUNCTION("""COMPUTED_VALUE"""),"Trung Quốc")</f>
        <v>Trung Quốc</v>
      </c>
      <c r="F2190" s="1076"/>
      <c r="G2190" s="1076" t="str">
        <f>IFERROR(__xludf.DUMMYFUNCTION("""COMPUTED_VALUE"""),"CG435")</f>
        <v>CG435</v>
      </c>
      <c r="H2190" s="1076" t="str">
        <f>IFERROR(__xludf.DUMMYFUNCTION("""COMPUTED_VALUE"""),"1.2HP")</f>
        <v>1.2HP</v>
      </c>
      <c r="I2190" s="1076"/>
      <c r="J2190" s="1076"/>
      <c r="K2190" s="1076">
        <f>IFERROR(__xludf.DUMMYFUNCTION("""COMPUTED_VALUE"""),0.5)</f>
        <v>0.5</v>
      </c>
      <c r="L2190" s="1076"/>
    </row>
    <row r="2191" customHeight="1" spans="1:12">
      <c r="A2191" s="1076" t="str">
        <f>IFERROR(__xludf.DUMMYFUNCTION("""COMPUTED_VALUE"""),"XL4-MPC-029")</f>
        <v>XL4-MPC-029</v>
      </c>
      <c r="B2191" s="1075" t="str">
        <f>IFERROR(__xludf.DUMMYFUNCTION("""COMPUTED_VALUE"""),"Máy phát cỏ 4 thì")</f>
        <v>Máy phát cỏ 4 thì</v>
      </c>
      <c r="C2191" s="1076" t="str">
        <f>IFERROR(__xludf.DUMMYFUNCTION("""COMPUTED_VALUE"""),"Loại biên")</f>
        <v>Loại biên</v>
      </c>
      <c r="D2191" s="1076" t="str">
        <f>IFERROR(__xludf.DUMMYFUNCTION("""COMPUTED_VALUE"""),"HINOTA")</f>
        <v>HINOTA</v>
      </c>
      <c r="E2191" s="1076" t="str">
        <f>IFERROR(__xludf.DUMMYFUNCTION("""COMPUTED_VALUE"""),"Trung Quốc")</f>
        <v>Trung Quốc</v>
      </c>
      <c r="F2191" s="1076"/>
      <c r="G2191" s="1076" t="str">
        <f>IFERROR(__xludf.DUMMYFUNCTION("""COMPUTED_VALUE"""),"CG435")</f>
        <v>CG435</v>
      </c>
      <c r="H2191" s="1076" t="str">
        <f>IFERROR(__xludf.DUMMYFUNCTION("""COMPUTED_VALUE"""),"1.2HP")</f>
        <v>1.2HP</v>
      </c>
      <c r="I2191" s="1076"/>
      <c r="J2191" s="1076"/>
      <c r="K2191" s="1076">
        <f>IFERROR(__xludf.DUMMYFUNCTION("""COMPUTED_VALUE"""),0.5)</f>
        <v>0.5</v>
      </c>
      <c r="L2191" s="1076"/>
    </row>
    <row r="2192" customHeight="1" spans="1:12">
      <c r="A2192" s="1076" t="str">
        <f>IFERROR(__xludf.DUMMYFUNCTION("""COMPUTED_VALUE"""),"XL4-MPC-030")</f>
        <v>XL4-MPC-030</v>
      </c>
      <c r="B2192" s="1075" t="str">
        <f>IFERROR(__xludf.DUMMYFUNCTION("""COMPUTED_VALUE"""),"Máy phát cỏ 4 thì")</f>
        <v>Máy phát cỏ 4 thì</v>
      </c>
      <c r="C2192" s="1076" t="str">
        <f>IFERROR(__xludf.DUMMYFUNCTION("""COMPUTED_VALUE"""),"Loại biên")</f>
        <v>Loại biên</v>
      </c>
      <c r="D2192" s="1076" t="str">
        <f>IFERROR(__xludf.DUMMYFUNCTION("""COMPUTED_VALUE"""),"HINOTA")</f>
        <v>HINOTA</v>
      </c>
      <c r="E2192" s="1076" t="str">
        <f>IFERROR(__xludf.DUMMYFUNCTION("""COMPUTED_VALUE"""),"Trung Quốc")</f>
        <v>Trung Quốc</v>
      </c>
      <c r="F2192" s="1076"/>
      <c r="G2192" s="1076" t="str">
        <f>IFERROR(__xludf.DUMMYFUNCTION("""COMPUTED_VALUE"""),"CG435")</f>
        <v>CG435</v>
      </c>
      <c r="H2192" s="1076" t="str">
        <f>IFERROR(__xludf.DUMMYFUNCTION("""COMPUTED_VALUE"""),"1.2HP")</f>
        <v>1.2HP</v>
      </c>
      <c r="I2192" s="1076"/>
      <c r="J2192" s="1076"/>
      <c r="K2192" s="1076">
        <f>IFERROR(__xludf.DUMMYFUNCTION("""COMPUTED_VALUE"""),0.5)</f>
        <v>0.5</v>
      </c>
      <c r="L2192" s="1076"/>
    </row>
    <row r="2193" customHeight="1" spans="1:12">
      <c r="A2193" s="1076" t="str">
        <f>IFERROR(__xludf.DUMMYFUNCTION("""COMPUTED_VALUE"""),"XN CHUỐI AD2")</f>
        <v>XN CHUỐI AD2</v>
      </c>
      <c r="B2193" s="1075"/>
      <c r="C2193" s="1076" t="str">
        <f>IFERROR(__xludf.DUMMYFUNCTION("""COMPUTED_VALUE"""),"Loại biên")</f>
        <v>Loại biên</v>
      </c>
      <c r="D2193" s="1076"/>
      <c r="E2193" s="1076"/>
      <c r="F2193" s="1076"/>
      <c r="G2193" s="1076"/>
      <c r="H2193" s="1076"/>
      <c r="I2193" s="1076"/>
      <c r="J2193" s="1076"/>
      <c r="K2193" s="1076"/>
      <c r="L2193" s="1076"/>
    </row>
    <row r="2194" customHeight="1" spans="1:12">
      <c r="A2194" s="1076" t="str">
        <f>IFERROR(__xludf.DUMMYFUNCTION("""COMPUTED_VALUE"""),"XA2-MPC-001")</f>
        <v>XA2-MPC-001</v>
      </c>
      <c r="B2194" s="1075" t="str">
        <f>IFERROR(__xludf.DUMMYFUNCTION("""COMPUTED_VALUE"""),"Máy phát cỏ 4 thì")</f>
        <v>Máy phát cỏ 4 thì</v>
      </c>
      <c r="C2194" s="1076" t="str">
        <f>IFERROR(__xludf.DUMMYFUNCTION("""COMPUTED_VALUE"""),"Loại biên")</f>
        <v>Loại biên</v>
      </c>
      <c r="D2194" s="1076" t="str">
        <f>IFERROR(__xludf.DUMMYFUNCTION("""COMPUTED_VALUE"""),"HINOTA")</f>
        <v>HINOTA</v>
      </c>
      <c r="E2194" s="1076" t="str">
        <f>IFERROR(__xludf.DUMMYFUNCTION("""COMPUTED_VALUE"""),"Nhật Bản")</f>
        <v>Nhật Bản</v>
      </c>
      <c r="F2194" s="1076"/>
      <c r="G2194" s="1076" t="str">
        <f>IFERROR(__xludf.DUMMYFUNCTION("""COMPUTED_VALUE"""),"CG435")</f>
        <v>CG435</v>
      </c>
      <c r="H2194" s="1076" t="str">
        <f>IFERROR(__xludf.DUMMYFUNCTION("""COMPUTED_VALUE"""),"1.2HP")</f>
        <v>1.2HP</v>
      </c>
      <c r="I2194" s="1076"/>
      <c r="J2194" s="1076"/>
      <c r="K2194" s="1076">
        <f>IFERROR(__xludf.DUMMYFUNCTION("""COMPUTED_VALUE"""),0.5)</f>
        <v>0.5</v>
      </c>
      <c r="L2194" s="1076"/>
    </row>
    <row r="2195" customHeight="1" spans="1:12">
      <c r="A2195" s="1076" t="str">
        <f>IFERROR(__xludf.DUMMYFUNCTION("""COMPUTED_VALUE"""),"XA2-MPC-002")</f>
        <v>XA2-MPC-002</v>
      </c>
      <c r="B2195" s="1075" t="str">
        <f>IFERROR(__xludf.DUMMYFUNCTION("""COMPUTED_VALUE"""),"Máy phát cỏ 4 thì")</f>
        <v>Máy phát cỏ 4 thì</v>
      </c>
      <c r="C2195" s="1076" t="str">
        <f>IFERROR(__xludf.DUMMYFUNCTION("""COMPUTED_VALUE"""),"Loại biên")</f>
        <v>Loại biên</v>
      </c>
      <c r="D2195" s="1076" t="str">
        <f>IFERROR(__xludf.DUMMYFUNCTION("""COMPUTED_VALUE"""),"HINOTA")</f>
        <v>HINOTA</v>
      </c>
      <c r="E2195" s="1076" t="str">
        <f>IFERROR(__xludf.DUMMYFUNCTION("""COMPUTED_VALUE"""),"Nhật Bản")</f>
        <v>Nhật Bản</v>
      </c>
      <c r="F2195" s="1076"/>
      <c r="G2195" s="1076" t="str">
        <f>IFERROR(__xludf.DUMMYFUNCTION("""COMPUTED_VALUE"""),"CG435")</f>
        <v>CG435</v>
      </c>
      <c r="H2195" s="1076" t="str">
        <f>IFERROR(__xludf.DUMMYFUNCTION("""COMPUTED_VALUE"""),"1.2HP")</f>
        <v>1.2HP</v>
      </c>
      <c r="I2195" s="1076"/>
      <c r="J2195" s="1076"/>
      <c r="K2195" s="1076">
        <f>IFERROR(__xludf.DUMMYFUNCTION("""COMPUTED_VALUE"""),0.5)</f>
        <v>0.5</v>
      </c>
      <c r="L2195" s="1076"/>
    </row>
    <row r="2196" customHeight="1" spans="1:12">
      <c r="A2196" s="1076" t="str">
        <f>IFERROR(__xludf.DUMMYFUNCTION("""COMPUTED_VALUE"""),"XA2-MPC-003")</f>
        <v>XA2-MPC-003</v>
      </c>
      <c r="B2196" s="1075" t="str">
        <f>IFERROR(__xludf.DUMMYFUNCTION("""COMPUTED_VALUE"""),"Máy phát cỏ 4 thì")</f>
        <v>Máy phát cỏ 4 thì</v>
      </c>
      <c r="C2196" s="1076" t="str">
        <f>IFERROR(__xludf.DUMMYFUNCTION("""COMPUTED_VALUE"""),"Loại biên")</f>
        <v>Loại biên</v>
      </c>
      <c r="D2196" s="1076" t="str">
        <f>IFERROR(__xludf.DUMMYFUNCTION("""COMPUTED_VALUE"""),"HINOTA")</f>
        <v>HINOTA</v>
      </c>
      <c r="E2196" s="1076" t="str">
        <f>IFERROR(__xludf.DUMMYFUNCTION("""COMPUTED_VALUE"""),"Nhật Bản")</f>
        <v>Nhật Bản</v>
      </c>
      <c r="F2196" s="1076"/>
      <c r="G2196" s="1076" t="str">
        <f>IFERROR(__xludf.DUMMYFUNCTION("""COMPUTED_VALUE"""),"CG435")</f>
        <v>CG435</v>
      </c>
      <c r="H2196" s="1076" t="str">
        <f>IFERROR(__xludf.DUMMYFUNCTION("""COMPUTED_VALUE"""),"1.2HP")</f>
        <v>1.2HP</v>
      </c>
      <c r="I2196" s="1076"/>
      <c r="J2196" s="1076"/>
      <c r="K2196" s="1076">
        <f>IFERROR(__xludf.DUMMYFUNCTION("""COMPUTED_VALUE"""),0.5)</f>
        <v>0.5</v>
      </c>
      <c r="L2196" s="1076"/>
    </row>
    <row r="2197" customHeight="1" spans="1:12">
      <c r="A2197" s="1076" t="str">
        <f>IFERROR(__xludf.DUMMYFUNCTION("""COMPUTED_VALUE"""),"XA2-MPC-004")</f>
        <v>XA2-MPC-004</v>
      </c>
      <c r="B2197" s="1075" t="str">
        <f>IFERROR(__xludf.DUMMYFUNCTION("""COMPUTED_VALUE"""),"Máy phát cỏ 4 thì")</f>
        <v>Máy phát cỏ 4 thì</v>
      </c>
      <c r="C2197" s="1076" t="str">
        <f>IFERROR(__xludf.DUMMYFUNCTION("""COMPUTED_VALUE"""),"Loại biên")</f>
        <v>Loại biên</v>
      </c>
      <c r="D2197" s="1076" t="str">
        <f>IFERROR(__xludf.DUMMYFUNCTION("""COMPUTED_VALUE"""),"HINOTA")</f>
        <v>HINOTA</v>
      </c>
      <c r="E2197" s="1076" t="str">
        <f>IFERROR(__xludf.DUMMYFUNCTION("""COMPUTED_VALUE"""),"Nhật Bản")</f>
        <v>Nhật Bản</v>
      </c>
      <c r="F2197" s="1076"/>
      <c r="G2197" s="1076" t="str">
        <f>IFERROR(__xludf.DUMMYFUNCTION("""COMPUTED_VALUE"""),"CG435")</f>
        <v>CG435</v>
      </c>
      <c r="H2197" s="1076" t="str">
        <f>IFERROR(__xludf.DUMMYFUNCTION("""COMPUTED_VALUE"""),"1.2HP")</f>
        <v>1.2HP</v>
      </c>
      <c r="I2197" s="1076"/>
      <c r="J2197" s="1076"/>
      <c r="K2197" s="1076">
        <f>IFERROR(__xludf.DUMMYFUNCTION("""COMPUTED_VALUE"""),0.5)</f>
        <v>0.5</v>
      </c>
      <c r="L2197" s="1076"/>
    </row>
    <row r="2198" customHeight="1" spans="1:12">
      <c r="A2198" s="1076" t="str">
        <f>IFERROR(__xludf.DUMMYFUNCTION("""COMPUTED_VALUE"""),"XA2-MPC-013")</f>
        <v>XA2-MPC-013</v>
      </c>
      <c r="B2198" s="1075" t="str">
        <f>IFERROR(__xludf.DUMMYFUNCTION("""COMPUTED_VALUE"""),"Máy phát cỏ 4 thì")</f>
        <v>Máy phát cỏ 4 thì</v>
      </c>
      <c r="C2198" s="1076" t="str">
        <f>IFERROR(__xludf.DUMMYFUNCTION("""COMPUTED_VALUE"""),"Loại biên")</f>
        <v>Loại biên</v>
      </c>
      <c r="D2198" s="1076" t="str">
        <f>IFERROR(__xludf.DUMMYFUNCTION("""COMPUTED_VALUE"""),"HINOTA")</f>
        <v>HINOTA</v>
      </c>
      <c r="E2198" s="1076" t="str">
        <f>IFERROR(__xludf.DUMMYFUNCTION("""COMPUTED_VALUE"""),"Nhật Bản")</f>
        <v>Nhật Bản</v>
      </c>
      <c r="F2198" s="1076"/>
      <c r="G2198" s="1076" t="str">
        <f>IFERROR(__xludf.DUMMYFUNCTION("""COMPUTED_VALUE"""),"CG435")</f>
        <v>CG435</v>
      </c>
      <c r="H2198" s="1076" t="str">
        <f>IFERROR(__xludf.DUMMYFUNCTION("""COMPUTED_VALUE"""),"1.2HP")</f>
        <v>1.2HP</v>
      </c>
      <c r="I2198" s="1076"/>
      <c r="J2198" s="1076"/>
      <c r="K2198" s="1076">
        <f>IFERROR(__xludf.DUMMYFUNCTION("""COMPUTED_VALUE"""),0.5)</f>
        <v>0.5</v>
      </c>
      <c r="L2198" s="1076"/>
    </row>
    <row r="2199" customHeight="1" spans="1:12">
      <c r="A2199" s="1076" t="str">
        <f>IFERROR(__xludf.DUMMYFUNCTION("""COMPUTED_VALUE"""),"XA2-MPC-014")</f>
        <v>XA2-MPC-014</v>
      </c>
      <c r="B2199" s="1075" t="str">
        <f>IFERROR(__xludf.DUMMYFUNCTION("""COMPUTED_VALUE"""),"Máy phát cỏ 4 thì")</f>
        <v>Máy phát cỏ 4 thì</v>
      </c>
      <c r="C2199" s="1076" t="str">
        <f>IFERROR(__xludf.DUMMYFUNCTION("""COMPUTED_VALUE"""),"Loại biên")</f>
        <v>Loại biên</v>
      </c>
      <c r="D2199" s="1076" t="str">
        <f>IFERROR(__xludf.DUMMYFUNCTION("""COMPUTED_VALUE"""),"HINOTA")</f>
        <v>HINOTA</v>
      </c>
      <c r="E2199" s="1076" t="str">
        <f>IFERROR(__xludf.DUMMYFUNCTION("""COMPUTED_VALUE"""),"Nhật Bản")</f>
        <v>Nhật Bản</v>
      </c>
      <c r="F2199" s="1076"/>
      <c r="G2199" s="1076" t="str">
        <f>IFERROR(__xludf.DUMMYFUNCTION("""COMPUTED_VALUE"""),"CG435")</f>
        <v>CG435</v>
      </c>
      <c r="H2199" s="1076" t="str">
        <f>IFERROR(__xludf.DUMMYFUNCTION("""COMPUTED_VALUE"""),"1.2HP")</f>
        <v>1.2HP</v>
      </c>
      <c r="I2199" s="1076"/>
      <c r="J2199" s="1076"/>
      <c r="K2199" s="1076">
        <f>IFERROR(__xludf.DUMMYFUNCTION("""COMPUTED_VALUE"""),0.5)</f>
        <v>0.5</v>
      </c>
      <c r="L2199" s="1076"/>
    </row>
    <row r="2200" customHeight="1" spans="1:12">
      <c r="A2200" s="1076" t="str">
        <f>IFERROR(__xludf.DUMMYFUNCTION("""COMPUTED_VALUE"""),"XA2-MPC-015")</f>
        <v>XA2-MPC-015</v>
      </c>
      <c r="B2200" s="1075" t="str">
        <f>IFERROR(__xludf.DUMMYFUNCTION("""COMPUTED_VALUE"""),"Máy phát cỏ 4 thì")</f>
        <v>Máy phát cỏ 4 thì</v>
      </c>
      <c r="C2200" s="1076" t="str">
        <f>IFERROR(__xludf.DUMMYFUNCTION("""COMPUTED_VALUE"""),"Loại biên")</f>
        <v>Loại biên</v>
      </c>
      <c r="D2200" s="1076" t="str">
        <f>IFERROR(__xludf.DUMMYFUNCTION("""COMPUTED_VALUE"""),"HINOTA")</f>
        <v>HINOTA</v>
      </c>
      <c r="E2200" s="1076" t="str">
        <f>IFERROR(__xludf.DUMMYFUNCTION("""COMPUTED_VALUE"""),"Nhật Bản")</f>
        <v>Nhật Bản</v>
      </c>
      <c r="F2200" s="1076"/>
      <c r="G2200" s="1076" t="str">
        <f>IFERROR(__xludf.DUMMYFUNCTION("""COMPUTED_VALUE"""),"CG435")</f>
        <v>CG435</v>
      </c>
      <c r="H2200" s="1076" t="str">
        <f>IFERROR(__xludf.DUMMYFUNCTION("""COMPUTED_VALUE"""),"1.2HP")</f>
        <v>1.2HP</v>
      </c>
      <c r="I2200" s="1076"/>
      <c r="J2200" s="1076"/>
      <c r="K2200" s="1076">
        <f>IFERROR(__xludf.DUMMYFUNCTION("""COMPUTED_VALUE"""),0.5)</f>
        <v>0.5</v>
      </c>
      <c r="L2200" s="1076"/>
    </row>
    <row r="2201" customHeight="1" spans="1:12">
      <c r="A2201" s="1076" t="str">
        <f>IFERROR(__xludf.DUMMYFUNCTION("""COMPUTED_VALUE"""),"XA2-MPC-018")</f>
        <v>XA2-MPC-018</v>
      </c>
      <c r="B2201" s="1075" t="str">
        <f>IFERROR(__xludf.DUMMYFUNCTION("""COMPUTED_VALUE"""),"Máy phát cỏ 4 thì")</f>
        <v>Máy phát cỏ 4 thì</v>
      </c>
      <c r="C2201" s="1076" t="str">
        <f>IFERROR(__xludf.DUMMYFUNCTION("""COMPUTED_VALUE"""),"Loại biên")</f>
        <v>Loại biên</v>
      </c>
      <c r="D2201" s="1076" t="str">
        <f>IFERROR(__xludf.DUMMYFUNCTION("""COMPUTED_VALUE"""),"HINOTA")</f>
        <v>HINOTA</v>
      </c>
      <c r="E2201" s="1076" t="str">
        <f>IFERROR(__xludf.DUMMYFUNCTION("""COMPUTED_VALUE"""),"Nhật Bản")</f>
        <v>Nhật Bản</v>
      </c>
      <c r="F2201" s="1076"/>
      <c r="G2201" s="1076" t="str">
        <f>IFERROR(__xludf.DUMMYFUNCTION("""COMPUTED_VALUE"""),"CG435")</f>
        <v>CG435</v>
      </c>
      <c r="H2201" s="1076" t="str">
        <f>IFERROR(__xludf.DUMMYFUNCTION("""COMPUTED_VALUE"""),"1.2HP")</f>
        <v>1.2HP</v>
      </c>
      <c r="I2201" s="1076"/>
      <c r="J2201" s="1076"/>
      <c r="K2201" s="1076">
        <f>IFERROR(__xludf.DUMMYFUNCTION("""COMPUTED_VALUE"""),0.5)</f>
        <v>0.5</v>
      </c>
      <c r="L2201" s="1076"/>
    </row>
    <row r="2202" customHeight="1" spans="1:12">
      <c r="A2202" s="1076" t="str">
        <f>IFERROR(__xludf.DUMMYFUNCTION("""COMPUTED_VALUE"""),"XA2-MPC-019")</f>
        <v>XA2-MPC-019</v>
      </c>
      <c r="B2202" s="1075" t="str">
        <f>IFERROR(__xludf.DUMMYFUNCTION("""COMPUTED_VALUE"""),"Máy phát cỏ 4 thì")</f>
        <v>Máy phát cỏ 4 thì</v>
      </c>
      <c r="C2202" s="1076" t="str">
        <f>IFERROR(__xludf.DUMMYFUNCTION("""COMPUTED_VALUE"""),"Loại biên")</f>
        <v>Loại biên</v>
      </c>
      <c r="D2202" s="1076" t="str">
        <f>IFERROR(__xludf.DUMMYFUNCTION("""COMPUTED_VALUE"""),"HINOTA")</f>
        <v>HINOTA</v>
      </c>
      <c r="E2202" s="1076" t="str">
        <f>IFERROR(__xludf.DUMMYFUNCTION("""COMPUTED_VALUE"""),"Nhật Bản")</f>
        <v>Nhật Bản</v>
      </c>
      <c r="F2202" s="1076"/>
      <c r="G2202" s="1076" t="str">
        <f>IFERROR(__xludf.DUMMYFUNCTION("""COMPUTED_VALUE"""),"CG435")</f>
        <v>CG435</v>
      </c>
      <c r="H2202" s="1076" t="str">
        <f>IFERROR(__xludf.DUMMYFUNCTION("""COMPUTED_VALUE"""),"1.2HP")</f>
        <v>1.2HP</v>
      </c>
      <c r="I2202" s="1076"/>
      <c r="J2202" s="1076"/>
      <c r="K2202" s="1076">
        <f>IFERROR(__xludf.DUMMYFUNCTION("""COMPUTED_VALUE"""),0.5)</f>
        <v>0.5</v>
      </c>
      <c r="L2202" s="1076"/>
    </row>
    <row r="2203" customHeight="1" spans="1:12">
      <c r="A2203" s="1076" t="str">
        <f>IFERROR(__xludf.DUMMYFUNCTION("""COMPUTED_VALUE"""),"XA2-MPC-020")</f>
        <v>XA2-MPC-020</v>
      </c>
      <c r="B2203" s="1075" t="str">
        <f>IFERROR(__xludf.DUMMYFUNCTION("""COMPUTED_VALUE"""),"Máy phát cỏ 4 thì")</f>
        <v>Máy phát cỏ 4 thì</v>
      </c>
      <c r="C2203" s="1076" t="str">
        <f>IFERROR(__xludf.DUMMYFUNCTION("""COMPUTED_VALUE"""),"Loại biên")</f>
        <v>Loại biên</v>
      </c>
      <c r="D2203" s="1076" t="str">
        <f>IFERROR(__xludf.DUMMYFUNCTION("""COMPUTED_VALUE"""),"HINOTA")</f>
        <v>HINOTA</v>
      </c>
      <c r="E2203" s="1076" t="str">
        <f>IFERROR(__xludf.DUMMYFUNCTION("""COMPUTED_VALUE"""),"Nhật Bản")</f>
        <v>Nhật Bản</v>
      </c>
      <c r="F2203" s="1076"/>
      <c r="G2203" s="1076" t="str">
        <f>IFERROR(__xludf.DUMMYFUNCTION("""COMPUTED_VALUE"""),"CG435")</f>
        <v>CG435</v>
      </c>
      <c r="H2203" s="1076" t="str">
        <f>IFERROR(__xludf.DUMMYFUNCTION("""COMPUTED_VALUE"""),"1.2HP")</f>
        <v>1.2HP</v>
      </c>
      <c r="I2203" s="1076"/>
      <c r="J2203" s="1076"/>
      <c r="K2203" s="1076">
        <f>IFERROR(__xludf.DUMMYFUNCTION("""COMPUTED_VALUE"""),0.5)</f>
        <v>0.5</v>
      </c>
      <c r="L2203" s="1076"/>
    </row>
    <row r="2204" customHeight="1" spans="1:12">
      <c r="A2204" s="1076" t="str">
        <f>IFERROR(__xludf.DUMMYFUNCTION("""COMPUTED_VALUE"""),"XA2-MPC-024")</f>
        <v>XA2-MPC-024</v>
      </c>
      <c r="B2204" s="1075" t="str">
        <f>IFERROR(__xludf.DUMMYFUNCTION("""COMPUTED_VALUE"""),"Máy phát cỏ 4 thì")</f>
        <v>Máy phát cỏ 4 thì</v>
      </c>
      <c r="C2204" s="1076" t="str">
        <f>IFERROR(__xludf.DUMMYFUNCTION("""COMPUTED_VALUE"""),"Loại biên")</f>
        <v>Loại biên</v>
      </c>
      <c r="D2204" s="1076" t="str">
        <f>IFERROR(__xludf.DUMMYFUNCTION("""COMPUTED_VALUE"""),"HONDA")</f>
        <v>HONDA</v>
      </c>
      <c r="E2204" s="1076" t="str">
        <f>IFERROR(__xludf.DUMMYFUNCTION("""COMPUTED_VALUE"""),"Nhật Bản")</f>
        <v>Nhật Bản</v>
      </c>
      <c r="F2204" s="1076"/>
      <c r="G2204" s="1076" t="str">
        <f>IFERROR(__xludf.DUMMYFUNCTION("""COMPUTED_VALUE"""),"GX35")</f>
        <v>GX35</v>
      </c>
      <c r="H2204" s="1076" t="str">
        <f>IFERROR(__xludf.DUMMYFUNCTION("""COMPUTED_VALUE"""),"1.6HP")</f>
        <v>1.6HP</v>
      </c>
      <c r="I2204" s="1076" t="str">
        <f>IFERROR(__xludf.DUMMYFUNCTION("""COMPUTED_VALUE"""),"HAAT-2478499")</f>
        <v>HAAT-2478499</v>
      </c>
      <c r="J2204" s="1076" t="str">
        <f>IFERROR(__xludf.DUMMYFUNCTION("""COMPUTED_VALUE"""),"GCAMT-7573879")</f>
        <v>GCAMT-7573879</v>
      </c>
      <c r="K2204" s="1076">
        <f>IFERROR(__xludf.DUMMYFUNCTION("""COMPUTED_VALUE"""),0.5)</f>
        <v>0.5</v>
      </c>
      <c r="L2204" s="1076"/>
    </row>
    <row r="2205" customHeight="1" spans="1:12">
      <c r="A2205" s="1076" t="str">
        <f>IFERROR(__xludf.DUMMYFUNCTION("""COMPUTED_VALUE"""),"XA2-MPC-025")</f>
        <v>XA2-MPC-025</v>
      </c>
      <c r="B2205" s="1075" t="str">
        <f>IFERROR(__xludf.DUMMYFUNCTION("""COMPUTED_VALUE"""),"Máy phát cỏ 4 thì")</f>
        <v>Máy phát cỏ 4 thì</v>
      </c>
      <c r="C2205" s="1076" t="str">
        <f>IFERROR(__xludf.DUMMYFUNCTION("""COMPUTED_VALUE"""),"Loại biên")</f>
        <v>Loại biên</v>
      </c>
      <c r="D2205" s="1076" t="str">
        <f>IFERROR(__xludf.DUMMYFUNCTION("""COMPUTED_VALUE"""),"HONDA")</f>
        <v>HONDA</v>
      </c>
      <c r="E2205" s="1076" t="str">
        <f>IFERROR(__xludf.DUMMYFUNCTION("""COMPUTED_VALUE"""),"Nhật Bản")</f>
        <v>Nhật Bản</v>
      </c>
      <c r="F2205" s="1076"/>
      <c r="G2205" s="1076" t="str">
        <f>IFERROR(__xludf.DUMMYFUNCTION("""COMPUTED_VALUE"""),"GX35")</f>
        <v>GX35</v>
      </c>
      <c r="H2205" s="1076" t="str">
        <f>IFERROR(__xludf.DUMMYFUNCTION("""COMPUTED_VALUE"""),"1.6HP")</f>
        <v>1.6HP</v>
      </c>
      <c r="I2205" s="1076" t="str">
        <f>IFERROR(__xludf.DUMMYFUNCTION("""COMPUTED_VALUE"""),"HAAT-2478502")</f>
        <v>HAAT-2478502</v>
      </c>
      <c r="J2205" s="1076" t="str">
        <f>IFERROR(__xludf.DUMMYFUNCTION("""COMPUTED_VALUE"""),"GCAMT-7573882")</f>
        <v>GCAMT-7573882</v>
      </c>
      <c r="K2205" s="1076">
        <f>IFERROR(__xludf.DUMMYFUNCTION("""COMPUTED_VALUE"""),0.5)</f>
        <v>0.5</v>
      </c>
      <c r="L2205" s="1076"/>
    </row>
    <row r="2206" customHeight="1" spans="1:12">
      <c r="A2206" s="1076" t="str">
        <f>IFERROR(__xludf.DUMMYFUNCTION("""COMPUTED_VALUE"""),"XA2-MPC-026")</f>
        <v>XA2-MPC-026</v>
      </c>
      <c r="B2206" s="1075" t="str">
        <f>IFERROR(__xludf.DUMMYFUNCTION("""COMPUTED_VALUE"""),"Máy phát cỏ 4 thì")</f>
        <v>Máy phát cỏ 4 thì</v>
      </c>
      <c r="C2206" s="1076" t="str">
        <f>IFERROR(__xludf.DUMMYFUNCTION("""COMPUTED_VALUE"""),"Loại biên")</f>
        <v>Loại biên</v>
      </c>
      <c r="D2206" s="1076" t="str">
        <f>IFERROR(__xludf.DUMMYFUNCTION("""COMPUTED_VALUE"""),"HONDA")</f>
        <v>HONDA</v>
      </c>
      <c r="E2206" s="1076" t="str">
        <f>IFERROR(__xludf.DUMMYFUNCTION("""COMPUTED_VALUE"""),"Nhật Bản")</f>
        <v>Nhật Bản</v>
      </c>
      <c r="F2206" s="1076"/>
      <c r="G2206" s="1076" t="str">
        <f>IFERROR(__xludf.DUMMYFUNCTION("""COMPUTED_VALUE"""),"GX35")</f>
        <v>GX35</v>
      </c>
      <c r="H2206" s="1076" t="str">
        <f>IFERROR(__xludf.DUMMYFUNCTION("""COMPUTED_VALUE"""),"1.6HP")</f>
        <v>1.6HP</v>
      </c>
      <c r="I2206" s="1076" t="str">
        <f>IFERROR(__xludf.DUMMYFUNCTION("""COMPUTED_VALUE"""),"HAAT-2478494")</f>
        <v>HAAT-2478494</v>
      </c>
      <c r="J2206" s="1076" t="str">
        <f>IFERROR(__xludf.DUMMYFUNCTION("""COMPUTED_VALUE"""),"GCAMT-7573874")</f>
        <v>GCAMT-7573874</v>
      </c>
      <c r="K2206" s="1076">
        <f>IFERROR(__xludf.DUMMYFUNCTION("""COMPUTED_VALUE"""),0.5)</f>
        <v>0.5</v>
      </c>
      <c r="L2206" s="1076"/>
    </row>
    <row r="2207" customHeight="1" spans="1:12">
      <c r="A2207" s="1076" t="str">
        <f>IFERROR(__xludf.DUMMYFUNCTION("""COMPUTED_VALUE"""),"XA2-MPC-027")</f>
        <v>XA2-MPC-027</v>
      </c>
      <c r="B2207" s="1075" t="str">
        <f>IFERROR(__xludf.DUMMYFUNCTION("""COMPUTED_VALUE"""),"Máy phát cỏ 4 thì")</f>
        <v>Máy phát cỏ 4 thì</v>
      </c>
      <c r="C2207" s="1076" t="str">
        <f>IFERROR(__xludf.DUMMYFUNCTION("""COMPUTED_VALUE"""),"Loại biên")</f>
        <v>Loại biên</v>
      </c>
      <c r="D2207" s="1076" t="str">
        <f>IFERROR(__xludf.DUMMYFUNCTION("""COMPUTED_VALUE"""),"HONDA")</f>
        <v>HONDA</v>
      </c>
      <c r="E2207" s="1076" t="str">
        <f>IFERROR(__xludf.DUMMYFUNCTION("""COMPUTED_VALUE"""),"Nhật Bản")</f>
        <v>Nhật Bản</v>
      </c>
      <c r="F2207" s="1076"/>
      <c r="G2207" s="1076" t="str">
        <f>IFERROR(__xludf.DUMMYFUNCTION("""COMPUTED_VALUE"""),"GX35")</f>
        <v>GX35</v>
      </c>
      <c r="H2207" s="1076" t="str">
        <f>IFERROR(__xludf.DUMMYFUNCTION("""COMPUTED_VALUE"""),"1.6HP")</f>
        <v>1.6HP</v>
      </c>
      <c r="I2207" s="1076" t="str">
        <f>IFERROR(__xludf.DUMMYFUNCTION("""COMPUTED_VALUE"""),"HAAT-2478558")</f>
        <v>HAAT-2478558</v>
      </c>
      <c r="J2207" s="1076" t="str">
        <f>IFERROR(__xludf.DUMMYFUNCTION("""COMPUTED_VALUE"""),"GCAMT-7573938")</f>
        <v>GCAMT-7573938</v>
      </c>
      <c r="K2207" s="1076">
        <f>IFERROR(__xludf.DUMMYFUNCTION("""COMPUTED_VALUE"""),0.5)</f>
        <v>0.5</v>
      </c>
      <c r="L2207" s="1076"/>
    </row>
    <row r="2208" customHeight="1" spans="1:12">
      <c r="A2208" s="1076" t="str">
        <f>IFERROR(__xludf.DUMMYFUNCTION("""COMPUTED_VALUE"""),"XA2-MPC-028")</f>
        <v>XA2-MPC-028</v>
      </c>
      <c r="B2208" s="1075" t="str">
        <f>IFERROR(__xludf.DUMMYFUNCTION("""COMPUTED_VALUE"""),"Máy phát cỏ 4 thì")</f>
        <v>Máy phát cỏ 4 thì</v>
      </c>
      <c r="C2208" s="1076" t="str">
        <f>IFERROR(__xludf.DUMMYFUNCTION("""COMPUTED_VALUE"""),"Loại biên")</f>
        <v>Loại biên</v>
      </c>
      <c r="D2208" s="1076" t="str">
        <f>IFERROR(__xludf.DUMMYFUNCTION("""COMPUTED_VALUE"""),"HONDA")</f>
        <v>HONDA</v>
      </c>
      <c r="E2208" s="1076" t="str">
        <f>IFERROR(__xludf.DUMMYFUNCTION("""COMPUTED_VALUE"""),"Nhật Bản")</f>
        <v>Nhật Bản</v>
      </c>
      <c r="F2208" s="1076"/>
      <c r="G2208" s="1076" t="str">
        <f>IFERROR(__xludf.DUMMYFUNCTION("""COMPUTED_VALUE"""),"GX35")</f>
        <v>GX35</v>
      </c>
      <c r="H2208" s="1076" t="str">
        <f>IFERROR(__xludf.DUMMYFUNCTION("""COMPUTED_VALUE"""),"1.6HP")</f>
        <v>1.6HP</v>
      </c>
      <c r="I2208" s="1076"/>
      <c r="J2208" s="1076" t="str">
        <f>IFERROR(__xludf.DUMMYFUNCTION("""COMPUTED_VALUE"""),"GCAMT-7573900")</f>
        <v>GCAMT-7573900</v>
      </c>
      <c r="K2208" s="1076">
        <f>IFERROR(__xludf.DUMMYFUNCTION("""COMPUTED_VALUE"""),0.5)</f>
        <v>0.5</v>
      </c>
      <c r="L2208" s="1076"/>
    </row>
    <row r="2209" customHeight="1" spans="1:12">
      <c r="A2209" s="1076" t="str">
        <f>IFERROR(__xludf.DUMMYFUNCTION("""COMPUTED_VALUE"""),"XA2-MPC-031")</f>
        <v>XA2-MPC-031</v>
      </c>
      <c r="B2209" s="1075" t="str">
        <f>IFERROR(__xludf.DUMMYFUNCTION("""COMPUTED_VALUE"""),"Máy phát cỏ 4 thì")</f>
        <v>Máy phát cỏ 4 thì</v>
      </c>
      <c r="C2209" s="1076" t="str">
        <f>IFERROR(__xludf.DUMMYFUNCTION("""COMPUTED_VALUE"""),"Loại biên")</f>
        <v>Loại biên</v>
      </c>
      <c r="D2209" s="1076" t="str">
        <f>IFERROR(__xludf.DUMMYFUNCTION("""COMPUTED_VALUE"""),"HONDA")</f>
        <v>HONDA</v>
      </c>
      <c r="E2209" s="1076" t="str">
        <f>IFERROR(__xludf.DUMMYFUNCTION("""COMPUTED_VALUE"""),"Nhật Bản")</f>
        <v>Nhật Bản</v>
      </c>
      <c r="F2209" s="1076"/>
      <c r="G2209" s="1076" t="str">
        <f>IFERROR(__xludf.DUMMYFUNCTION("""COMPUTED_VALUE"""),"GX35")</f>
        <v>GX35</v>
      </c>
      <c r="H2209" s="1076" t="str">
        <f>IFERROR(__xludf.DUMMYFUNCTION("""COMPUTED_VALUE"""),"1.6HP")</f>
        <v>1.6HP</v>
      </c>
      <c r="I2209" s="1076"/>
      <c r="J2209" s="1076" t="str">
        <f>IFERROR(__xludf.DUMMYFUNCTION("""COMPUTED_VALUE"""),"GCAMT-7633975")</f>
        <v>GCAMT-7633975</v>
      </c>
      <c r="K2209" s="1076">
        <f>IFERROR(__xludf.DUMMYFUNCTION("""COMPUTED_VALUE"""),0.5)</f>
        <v>0.5</v>
      </c>
      <c r="L2209" s="1076"/>
    </row>
    <row r="2210" customHeight="1" spans="1:12">
      <c r="A2210" s="1076" t="str">
        <f>IFERROR(__xludf.DUMMYFUNCTION("""COMPUTED_VALUE"""),"XA2-MPC-033")</f>
        <v>XA2-MPC-033</v>
      </c>
      <c r="B2210" s="1075" t="str">
        <f>IFERROR(__xludf.DUMMYFUNCTION("""COMPUTED_VALUE"""),"Máy phát cỏ 4 thì")</f>
        <v>Máy phát cỏ 4 thì</v>
      </c>
      <c r="C2210" s="1076" t="str">
        <f>IFERROR(__xludf.DUMMYFUNCTION("""COMPUTED_VALUE"""),"Loại biên")</f>
        <v>Loại biên</v>
      </c>
      <c r="D2210" s="1076" t="str">
        <f>IFERROR(__xludf.DUMMYFUNCTION("""COMPUTED_VALUE"""),"HONDA")</f>
        <v>HONDA</v>
      </c>
      <c r="E2210" s="1076" t="str">
        <f>IFERROR(__xludf.DUMMYFUNCTION("""COMPUTED_VALUE"""),"Nhật Bản")</f>
        <v>Nhật Bản</v>
      </c>
      <c r="F2210" s="1076"/>
      <c r="G2210" s="1076" t="str">
        <f>IFERROR(__xludf.DUMMYFUNCTION("""COMPUTED_VALUE"""),"GX35")</f>
        <v>GX35</v>
      </c>
      <c r="H2210" s="1076" t="str">
        <f>IFERROR(__xludf.DUMMYFUNCTION("""COMPUTED_VALUE"""),"1.6HP")</f>
        <v>1.6HP</v>
      </c>
      <c r="I2210" s="1076"/>
      <c r="J2210" s="1076" t="str">
        <f>IFERROR(__xludf.DUMMYFUNCTION("""COMPUTED_VALUE"""),"GCAMT-7589300")</f>
        <v>GCAMT-7589300</v>
      </c>
      <c r="K2210" s="1076">
        <f>IFERROR(__xludf.DUMMYFUNCTION("""COMPUTED_VALUE"""),0.5)</f>
        <v>0.5</v>
      </c>
      <c r="L2210" s="1076"/>
    </row>
    <row r="2211" customHeight="1" spans="1:12">
      <c r="A2211" s="1076" t="str">
        <f>IFERROR(__xludf.DUMMYFUNCTION("""COMPUTED_VALUE"""),"XA2-MPC-034")</f>
        <v>XA2-MPC-034</v>
      </c>
      <c r="B2211" s="1075" t="str">
        <f>IFERROR(__xludf.DUMMYFUNCTION("""COMPUTED_VALUE"""),"Máy phát cỏ 4 thì")</f>
        <v>Máy phát cỏ 4 thì</v>
      </c>
      <c r="C2211" s="1076" t="str">
        <f>IFERROR(__xludf.DUMMYFUNCTION("""COMPUTED_VALUE"""),"Loại biên")</f>
        <v>Loại biên</v>
      </c>
      <c r="D2211" s="1076" t="str">
        <f>IFERROR(__xludf.DUMMYFUNCTION("""COMPUTED_VALUE"""),"HONDA")</f>
        <v>HONDA</v>
      </c>
      <c r="E2211" s="1076" t="str">
        <f>IFERROR(__xludf.DUMMYFUNCTION("""COMPUTED_VALUE"""),"Nhật Bản")</f>
        <v>Nhật Bản</v>
      </c>
      <c r="F2211" s="1076"/>
      <c r="G2211" s="1076" t="str">
        <f>IFERROR(__xludf.DUMMYFUNCTION("""COMPUTED_VALUE"""),"GX35")</f>
        <v>GX35</v>
      </c>
      <c r="H2211" s="1076" t="str">
        <f>IFERROR(__xludf.DUMMYFUNCTION("""COMPUTED_VALUE"""),"1.6HP")</f>
        <v>1.6HP</v>
      </c>
      <c r="I2211" s="1076"/>
      <c r="J2211" s="1076" t="str">
        <f>IFERROR(__xludf.DUMMYFUNCTION("""COMPUTED_VALUE"""),"GCAMT-7633984")</f>
        <v>GCAMT-7633984</v>
      </c>
      <c r="K2211" s="1076">
        <f>IFERROR(__xludf.DUMMYFUNCTION("""COMPUTED_VALUE"""),0.5)</f>
        <v>0.5</v>
      </c>
      <c r="L2211" s="1076"/>
    </row>
    <row r="2212" customHeight="1" spans="1:12">
      <c r="A2212" s="1076" t="str">
        <f>IFERROR(__xludf.DUMMYFUNCTION("""COMPUTED_VALUE"""),"XA2-MPC-035")</f>
        <v>XA2-MPC-035</v>
      </c>
      <c r="B2212" s="1075" t="str">
        <f>IFERROR(__xludf.DUMMYFUNCTION("""COMPUTED_VALUE"""),"Máy phát cỏ 4 thì")</f>
        <v>Máy phát cỏ 4 thì</v>
      </c>
      <c r="C2212" s="1076" t="str">
        <f>IFERROR(__xludf.DUMMYFUNCTION("""COMPUTED_VALUE"""),"Loại biên")</f>
        <v>Loại biên</v>
      </c>
      <c r="D2212" s="1076" t="str">
        <f>IFERROR(__xludf.DUMMYFUNCTION("""COMPUTED_VALUE"""),"HONDA")</f>
        <v>HONDA</v>
      </c>
      <c r="E2212" s="1076" t="str">
        <f>IFERROR(__xludf.DUMMYFUNCTION("""COMPUTED_VALUE"""),"Nhật Bản")</f>
        <v>Nhật Bản</v>
      </c>
      <c r="F2212" s="1076"/>
      <c r="G2212" s="1076" t="str">
        <f>IFERROR(__xludf.DUMMYFUNCTION("""COMPUTED_VALUE"""),"GX35")</f>
        <v>GX35</v>
      </c>
      <c r="H2212" s="1076" t="str">
        <f>IFERROR(__xludf.DUMMYFUNCTION("""COMPUTED_VALUE"""),"1.6HP")</f>
        <v>1.6HP</v>
      </c>
      <c r="I2212" s="1076"/>
      <c r="J2212" s="1076" t="str">
        <f>IFERROR(__xludf.DUMMYFUNCTION("""COMPUTED_VALUE"""),"GCAMT-7635285")</f>
        <v>GCAMT-7635285</v>
      </c>
      <c r="K2212" s="1076">
        <f>IFERROR(__xludf.DUMMYFUNCTION("""COMPUTED_VALUE"""),0.5)</f>
        <v>0.5</v>
      </c>
      <c r="L2212" s="1076"/>
    </row>
    <row r="2213" customHeight="1" spans="1:12">
      <c r="A2213" s="1076" t="str">
        <f>IFERROR(__xludf.DUMMYFUNCTION("""COMPUTED_VALUE"""),"XA2-MPC-038")</f>
        <v>XA2-MPC-038</v>
      </c>
      <c r="B2213" s="1075" t="str">
        <f>IFERROR(__xludf.DUMMYFUNCTION("""COMPUTED_VALUE"""),"Máy phát cỏ 4 thì")</f>
        <v>Máy phát cỏ 4 thì</v>
      </c>
      <c r="C2213" s="1076" t="str">
        <f>IFERROR(__xludf.DUMMYFUNCTION("""COMPUTED_VALUE"""),"Loại biên")</f>
        <v>Loại biên</v>
      </c>
      <c r="D2213" s="1076" t="str">
        <f>IFERROR(__xludf.DUMMYFUNCTION("""COMPUTED_VALUE"""),"HONDA")</f>
        <v>HONDA</v>
      </c>
      <c r="E2213" s="1076" t="str">
        <f>IFERROR(__xludf.DUMMYFUNCTION("""COMPUTED_VALUE"""),"Nhật Bản")</f>
        <v>Nhật Bản</v>
      </c>
      <c r="F2213" s="1076"/>
      <c r="G2213" s="1076" t="str">
        <f>IFERROR(__xludf.DUMMYFUNCTION("""COMPUTED_VALUE"""),"GX35")</f>
        <v>GX35</v>
      </c>
      <c r="H2213" s="1076" t="str">
        <f>IFERROR(__xludf.DUMMYFUNCTION("""COMPUTED_VALUE"""),"1.6HP")</f>
        <v>1.6HP</v>
      </c>
      <c r="I2213" s="1076"/>
      <c r="J2213" s="1076" t="str">
        <f>IFERROR(__xludf.DUMMYFUNCTION("""COMPUTED_VALUE"""),"GCAMT-7631719")</f>
        <v>GCAMT-7631719</v>
      </c>
      <c r="K2213" s="1076">
        <f>IFERROR(__xludf.DUMMYFUNCTION("""COMPUTED_VALUE"""),0.5)</f>
        <v>0.5</v>
      </c>
      <c r="L2213" s="1076"/>
    </row>
    <row r="2214" customHeight="1" spans="1:12">
      <c r="A2214" s="1076" t="str">
        <f>IFERROR(__xludf.DUMMYFUNCTION("""COMPUTED_VALUE"""),"XXA-MPC-001")</f>
        <v>XXA-MPC-001</v>
      </c>
      <c r="B2214" s="1075" t="str">
        <f>IFERROR(__xludf.DUMMYFUNCTION("""COMPUTED_VALUE"""),"Máy phát cỏ 4 thì")</f>
        <v>Máy phát cỏ 4 thì</v>
      </c>
      <c r="C2214" s="1076" t="str">
        <f>IFERROR(__xludf.DUMMYFUNCTION("""COMPUTED_VALUE"""),"Loại biên")</f>
        <v>Loại biên</v>
      </c>
      <c r="D2214" s="1076" t="str">
        <f>IFERROR(__xludf.DUMMYFUNCTION("""COMPUTED_VALUE"""),"HINOTA  ")</f>
        <v>HINOTA  </v>
      </c>
      <c r="E2214" s="1076" t="str">
        <f>IFERROR(__xludf.DUMMYFUNCTION("""COMPUTED_VALUE"""),"Trung Quốc")</f>
        <v>Trung Quốc</v>
      </c>
      <c r="F2214" s="1076"/>
      <c r="G2214" s="1076" t="str">
        <f>IFERROR(__xludf.DUMMYFUNCTION("""COMPUTED_VALUE"""),"CG435")</f>
        <v>CG435</v>
      </c>
      <c r="H2214" s="1076" t="str">
        <f>IFERROR(__xludf.DUMMYFUNCTION("""COMPUTED_VALUE"""),"1.2HP")</f>
        <v>1.2HP</v>
      </c>
      <c r="I2214" s="1076" t="str">
        <f>IFERROR(__xludf.DUMMYFUNCTION("""COMPUTED_VALUE"""),"220511/ZOZC1-1M")</f>
        <v>220511/ZOZC1-1M</v>
      </c>
      <c r="J2214" s="1076"/>
      <c r="K2214" s="1076">
        <f>IFERROR(__xludf.DUMMYFUNCTION("""COMPUTED_VALUE"""),0.5)</f>
        <v>0.5</v>
      </c>
      <c r="L2214" s="1076"/>
    </row>
    <row r="2215" customHeight="1" spans="1:12">
      <c r="A2215" s="1076" t="str">
        <f>IFERROR(__xludf.DUMMYFUNCTION("""COMPUTED_VALUE"""),"XXA-MPC-002")</f>
        <v>XXA-MPC-002</v>
      </c>
      <c r="B2215" s="1075" t="str">
        <f>IFERROR(__xludf.DUMMYFUNCTION("""COMPUTED_VALUE"""),"Máy phát cỏ 4 thì")</f>
        <v>Máy phát cỏ 4 thì</v>
      </c>
      <c r="C2215" s="1076" t="str">
        <f>IFERROR(__xludf.DUMMYFUNCTION("""COMPUTED_VALUE"""),"Loại biên")</f>
        <v>Loại biên</v>
      </c>
      <c r="D2215" s="1076" t="str">
        <f>IFERROR(__xludf.DUMMYFUNCTION("""COMPUTED_VALUE"""),"HINOTA  ")</f>
        <v>HINOTA  </v>
      </c>
      <c r="E2215" s="1076" t="str">
        <f>IFERROR(__xludf.DUMMYFUNCTION("""COMPUTED_VALUE"""),"Trung Quốc")</f>
        <v>Trung Quốc</v>
      </c>
      <c r="F2215" s="1076"/>
      <c r="G2215" s="1076" t="str">
        <f>IFERROR(__xludf.DUMMYFUNCTION("""COMPUTED_VALUE"""),"CG435")</f>
        <v>CG435</v>
      </c>
      <c r="H2215" s="1076" t="str">
        <f>IFERROR(__xludf.DUMMYFUNCTION("""COMPUTED_VALUE"""),"1.2HP")</f>
        <v>1.2HP</v>
      </c>
      <c r="I2215" s="1076" t="str">
        <f>IFERROR(__xludf.DUMMYFUNCTION("""COMPUTED_VALUE"""),"220511/ZOZC1-1M")</f>
        <v>220511/ZOZC1-1M</v>
      </c>
      <c r="J2215" s="1076"/>
      <c r="K2215" s="1076">
        <f>IFERROR(__xludf.DUMMYFUNCTION("""COMPUTED_VALUE"""),0.5)</f>
        <v>0.5</v>
      </c>
      <c r="L2215" s="1076"/>
    </row>
    <row r="2216" customHeight="1" spans="1:12">
      <c r="A2216" s="1076" t="str">
        <f>IFERROR(__xludf.DUMMYFUNCTION("""COMPUTED_VALUE"""),"XXA-MPC-003")</f>
        <v>XXA-MPC-003</v>
      </c>
      <c r="B2216" s="1075" t="str">
        <f>IFERROR(__xludf.DUMMYFUNCTION("""COMPUTED_VALUE"""),"Máy phát cỏ 4 thì")</f>
        <v>Máy phát cỏ 4 thì</v>
      </c>
      <c r="C2216" s="1076" t="str">
        <f>IFERROR(__xludf.DUMMYFUNCTION("""COMPUTED_VALUE"""),"Loại biên")</f>
        <v>Loại biên</v>
      </c>
      <c r="D2216" s="1076" t="str">
        <f>IFERROR(__xludf.DUMMYFUNCTION("""COMPUTED_VALUE"""),"HINOTA  ")</f>
        <v>HINOTA  </v>
      </c>
      <c r="E2216" s="1076" t="str">
        <f>IFERROR(__xludf.DUMMYFUNCTION("""COMPUTED_VALUE"""),"Trung Quốc")</f>
        <v>Trung Quốc</v>
      </c>
      <c r="F2216" s="1076"/>
      <c r="G2216" s="1076" t="str">
        <f>IFERROR(__xludf.DUMMYFUNCTION("""COMPUTED_VALUE"""),"CG435")</f>
        <v>CG435</v>
      </c>
      <c r="H2216" s="1076" t="str">
        <f>IFERROR(__xludf.DUMMYFUNCTION("""COMPUTED_VALUE"""),"1.2HP")</f>
        <v>1.2HP</v>
      </c>
      <c r="I2216" s="1076" t="str">
        <f>IFERROR(__xludf.DUMMYFUNCTION("""COMPUTED_VALUE"""),"220511/ZOZC1-1M")</f>
        <v>220511/ZOZC1-1M</v>
      </c>
      <c r="J2216" s="1076"/>
      <c r="K2216" s="1076">
        <f>IFERROR(__xludf.DUMMYFUNCTION("""COMPUTED_VALUE"""),0.5)</f>
        <v>0.5</v>
      </c>
      <c r="L2216" s="1076"/>
    </row>
    <row r="2217" customHeight="1" spans="1:12">
      <c r="A2217" s="1076" t="str">
        <f>IFERROR(__xludf.DUMMYFUNCTION("""COMPUTED_VALUE"""),"XXA-MPC-004")</f>
        <v>XXA-MPC-004</v>
      </c>
      <c r="B2217" s="1075" t="str">
        <f>IFERROR(__xludf.DUMMYFUNCTION("""COMPUTED_VALUE"""),"Máy phát cỏ 4 thì")</f>
        <v>Máy phát cỏ 4 thì</v>
      </c>
      <c r="C2217" s="1076" t="str">
        <f>IFERROR(__xludf.DUMMYFUNCTION("""COMPUTED_VALUE"""),"Loại biên")</f>
        <v>Loại biên</v>
      </c>
      <c r="D2217" s="1076" t="str">
        <f>IFERROR(__xludf.DUMMYFUNCTION("""COMPUTED_VALUE"""),"HINOTA  ")</f>
        <v>HINOTA  </v>
      </c>
      <c r="E2217" s="1076" t="str">
        <f>IFERROR(__xludf.DUMMYFUNCTION("""COMPUTED_VALUE"""),"Trung Quốc")</f>
        <v>Trung Quốc</v>
      </c>
      <c r="F2217" s="1076"/>
      <c r="G2217" s="1076" t="str">
        <f>IFERROR(__xludf.DUMMYFUNCTION("""COMPUTED_VALUE"""),"CG435")</f>
        <v>CG435</v>
      </c>
      <c r="H2217" s="1076" t="str">
        <f>IFERROR(__xludf.DUMMYFUNCTION("""COMPUTED_VALUE"""),"1.2HP")</f>
        <v>1.2HP</v>
      </c>
      <c r="I2217" s="1076" t="str">
        <f>IFERROR(__xludf.DUMMYFUNCTION("""COMPUTED_VALUE"""),"220511/ZOZC1-1M")</f>
        <v>220511/ZOZC1-1M</v>
      </c>
      <c r="J2217" s="1076"/>
      <c r="K2217" s="1076">
        <f>IFERROR(__xludf.DUMMYFUNCTION("""COMPUTED_VALUE"""),0.5)</f>
        <v>0.5</v>
      </c>
      <c r="L2217" s="1076"/>
    </row>
    <row r="2218" customHeight="1" spans="1:12">
      <c r="A2218" s="1076" t="str">
        <f>IFERROR(__xludf.DUMMYFUNCTION("""COMPUTED_VALUE"""),"XXA-MPC-005")</f>
        <v>XXA-MPC-005</v>
      </c>
      <c r="B2218" s="1075" t="str">
        <f>IFERROR(__xludf.DUMMYFUNCTION("""COMPUTED_VALUE"""),"Máy phát cỏ 4 thì")</f>
        <v>Máy phát cỏ 4 thì</v>
      </c>
      <c r="C2218" s="1076" t="str">
        <f>IFERROR(__xludf.DUMMYFUNCTION("""COMPUTED_VALUE"""),"Loại biên")</f>
        <v>Loại biên</v>
      </c>
      <c r="D2218" s="1076" t="str">
        <f>IFERROR(__xludf.DUMMYFUNCTION("""COMPUTED_VALUE"""),"HINOTA  ")</f>
        <v>HINOTA  </v>
      </c>
      <c r="E2218" s="1076" t="str">
        <f>IFERROR(__xludf.DUMMYFUNCTION("""COMPUTED_VALUE"""),"Trung Quốc")</f>
        <v>Trung Quốc</v>
      </c>
      <c r="F2218" s="1076"/>
      <c r="G2218" s="1076" t="str">
        <f>IFERROR(__xludf.DUMMYFUNCTION("""COMPUTED_VALUE"""),"CG435")</f>
        <v>CG435</v>
      </c>
      <c r="H2218" s="1076" t="str">
        <f>IFERROR(__xludf.DUMMYFUNCTION("""COMPUTED_VALUE"""),"1.2HP")</f>
        <v>1.2HP</v>
      </c>
      <c r="I2218" s="1076" t="str">
        <f>IFERROR(__xludf.DUMMYFUNCTION("""COMPUTED_VALUE"""),"220511/ZOZC1-1M")</f>
        <v>220511/ZOZC1-1M</v>
      </c>
      <c r="J2218" s="1076"/>
      <c r="K2218" s="1076">
        <f>IFERROR(__xludf.DUMMYFUNCTION("""COMPUTED_VALUE"""),0.5)</f>
        <v>0.5</v>
      </c>
      <c r="L2218" s="1076"/>
    </row>
    <row r="2219" customHeight="1" spans="1:12">
      <c r="A2219" s="1076" t="str">
        <f>IFERROR(__xludf.DUMMYFUNCTION("""COMPUTED_VALUE"""),"XXA-MPC-006")</f>
        <v>XXA-MPC-006</v>
      </c>
      <c r="B2219" s="1075" t="str">
        <f>IFERROR(__xludf.DUMMYFUNCTION("""COMPUTED_VALUE"""),"Máy phát cỏ 4 thì")</f>
        <v>Máy phát cỏ 4 thì</v>
      </c>
      <c r="C2219" s="1076" t="str">
        <f>IFERROR(__xludf.DUMMYFUNCTION("""COMPUTED_VALUE"""),"Loại biên")</f>
        <v>Loại biên</v>
      </c>
      <c r="D2219" s="1076" t="str">
        <f>IFERROR(__xludf.DUMMYFUNCTION("""COMPUTED_VALUE"""),"HINOTA  ")</f>
        <v>HINOTA  </v>
      </c>
      <c r="E2219" s="1076" t="str">
        <f>IFERROR(__xludf.DUMMYFUNCTION("""COMPUTED_VALUE"""),"Trung Quốc")</f>
        <v>Trung Quốc</v>
      </c>
      <c r="F2219" s="1076"/>
      <c r="G2219" s="1076" t="str">
        <f>IFERROR(__xludf.DUMMYFUNCTION("""COMPUTED_VALUE"""),"CG435")</f>
        <v>CG435</v>
      </c>
      <c r="H2219" s="1076" t="str">
        <f>IFERROR(__xludf.DUMMYFUNCTION("""COMPUTED_VALUE"""),"1.2HP")</f>
        <v>1.2HP</v>
      </c>
      <c r="I2219" s="1076" t="str">
        <f>IFERROR(__xludf.DUMMYFUNCTION("""COMPUTED_VALUE"""),"220511/ZOZC1-1M")</f>
        <v>220511/ZOZC1-1M</v>
      </c>
      <c r="J2219" s="1076"/>
      <c r="K2219" s="1076">
        <f>IFERROR(__xludf.DUMMYFUNCTION("""COMPUTED_VALUE"""),0.5)</f>
        <v>0.5</v>
      </c>
      <c r="L2219" s="1076"/>
    </row>
    <row r="2220" customHeight="1" spans="1:12">
      <c r="A2220" s="1076" t="str">
        <f>IFERROR(__xludf.DUMMYFUNCTION("""COMPUTED_VALUE"""),"XXA-MPC-007")</f>
        <v>XXA-MPC-007</v>
      </c>
      <c r="B2220" s="1075" t="str">
        <f>IFERROR(__xludf.DUMMYFUNCTION("""COMPUTED_VALUE"""),"Máy phát cỏ 4 thì")</f>
        <v>Máy phát cỏ 4 thì</v>
      </c>
      <c r="C2220" s="1076" t="str">
        <f>IFERROR(__xludf.DUMMYFUNCTION("""COMPUTED_VALUE"""),"Loại biên")</f>
        <v>Loại biên</v>
      </c>
      <c r="D2220" s="1076" t="str">
        <f>IFERROR(__xludf.DUMMYFUNCTION("""COMPUTED_VALUE"""),"HINOTA  ")</f>
        <v>HINOTA  </v>
      </c>
      <c r="E2220" s="1076" t="str">
        <f>IFERROR(__xludf.DUMMYFUNCTION("""COMPUTED_VALUE"""),"Trung Quốc")</f>
        <v>Trung Quốc</v>
      </c>
      <c r="F2220" s="1076"/>
      <c r="G2220" s="1076" t="str">
        <f>IFERROR(__xludf.DUMMYFUNCTION("""COMPUTED_VALUE"""),"CG435")</f>
        <v>CG435</v>
      </c>
      <c r="H2220" s="1076" t="str">
        <f>IFERROR(__xludf.DUMMYFUNCTION("""COMPUTED_VALUE"""),"1.2HP")</f>
        <v>1.2HP</v>
      </c>
      <c r="I2220" s="1076" t="str">
        <f>IFERROR(__xludf.DUMMYFUNCTION("""COMPUTED_VALUE"""),"220511/ZOZC1-1M")</f>
        <v>220511/ZOZC1-1M</v>
      </c>
      <c r="J2220" s="1076"/>
      <c r="K2220" s="1076">
        <f>IFERROR(__xludf.DUMMYFUNCTION("""COMPUTED_VALUE"""),0.5)</f>
        <v>0.5</v>
      </c>
      <c r="L2220" s="1076"/>
    </row>
    <row r="2221" customHeight="1" spans="1:12">
      <c r="A2221" s="1076" t="str">
        <f>IFERROR(__xludf.DUMMYFUNCTION("""COMPUTED_VALUE"""),"XXA-MPC-008")</f>
        <v>XXA-MPC-008</v>
      </c>
      <c r="B2221" s="1075" t="str">
        <f>IFERROR(__xludf.DUMMYFUNCTION("""COMPUTED_VALUE"""),"Máy phát cỏ 4 thì")</f>
        <v>Máy phát cỏ 4 thì</v>
      </c>
      <c r="C2221" s="1076" t="str">
        <f>IFERROR(__xludf.DUMMYFUNCTION("""COMPUTED_VALUE"""),"Loại biên")</f>
        <v>Loại biên</v>
      </c>
      <c r="D2221" s="1076" t="str">
        <f>IFERROR(__xludf.DUMMYFUNCTION("""COMPUTED_VALUE"""),"HINOTA  ")</f>
        <v>HINOTA  </v>
      </c>
      <c r="E2221" s="1076" t="str">
        <f>IFERROR(__xludf.DUMMYFUNCTION("""COMPUTED_VALUE"""),"Trung Quốc")</f>
        <v>Trung Quốc</v>
      </c>
      <c r="F2221" s="1076"/>
      <c r="G2221" s="1076" t="str">
        <f>IFERROR(__xludf.DUMMYFUNCTION("""COMPUTED_VALUE"""),"CG435")</f>
        <v>CG435</v>
      </c>
      <c r="H2221" s="1076" t="str">
        <f>IFERROR(__xludf.DUMMYFUNCTION("""COMPUTED_VALUE"""),"1.2HP")</f>
        <v>1.2HP</v>
      </c>
      <c r="I2221" s="1076" t="str">
        <f>IFERROR(__xludf.DUMMYFUNCTION("""COMPUTED_VALUE"""),"220511/ZOZC1-1M")</f>
        <v>220511/ZOZC1-1M</v>
      </c>
      <c r="J2221" s="1076"/>
      <c r="K2221" s="1076">
        <f>IFERROR(__xludf.DUMMYFUNCTION("""COMPUTED_VALUE"""),0.5)</f>
        <v>0.5</v>
      </c>
      <c r="L2221" s="1076"/>
    </row>
    <row r="2222" customHeight="1" spans="1:12">
      <c r="A2222" s="1076" t="str">
        <f>IFERROR(__xludf.DUMMYFUNCTION("""COMPUTED_VALUE"""),"XXA-MPC-009")</f>
        <v>XXA-MPC-009</v>
      </c>
      <c r="B2222" s="1075" t="str">
        <f>IFERROR(__xludf.DUMMYFUNCTION("""COMPUTED_VALUE"""),"Máy phát cỏ 4 thì")</f>
        <v>Máy phát cỏ 4 thì</v>
      </c>
      <c r="C2222" s="1076" t="str">
        <f>IFERROR(__xludf.DUMMYFUNCTION("""COMPUTED_VALUE"""),"Loại biên")</f>
        <v>Loại biên</v>
      </c>
      <c r="D2222" s="1076" t="str">
        <f>IFERROR(__xludf.DUMMYFUNCTION("""COMPUTED_VALUE"""),"HINOTA  ")</f>
        <v>HINOTA  </v>
      </c>
      <c r="E2222" s="1076" t="str">
        <f>IFERROR(__xludf.DUMMYFUNCTION("""COMPUTED_VALUE"""),"Trung Quốc")</f>
        <v>Trung Quốc</v>
      </c>
      <c r="F2222" s="1076"/>
      <c r="G2222" s="1076" t="str">
        <f>IFERROR(__xludf.DUMMYFUNCTION("""COMPUTED_VALUE"""),"CG435")</f>
        <v>CG435</v>
      </c>
      <c r="H2222" s="1076" t="str">
        <f>IFERROR(__xludf.DUMMYFUNCTION("""COMPUTED_VALUE"""),"1.2HP")</f>
        <v>1.2HP</v>
      </c>
      <c r="I2222" s="1076" t="str">
        <f>IFERROR(__xludf.DUMMYFUNCTION("""COMPUTED_VALUE"""),"220511/ZOZC1-1M")</f>
        <v>220511/ZOZC1-1M</v>
      </c>
      <c r="J2222" s="1076"/>
      <c r="K2222" s="1076">
        <f>IFERROR(__xludf.DUMMYFUNCTION("""COMPUTED_VALUE"""),0.5)</f>
        <v>0.5</v>
      </c>
      <c r="L2222" s="1076"/>
    </row>
    <row r="2223" customHeight="1" spans="1:12">
      <c r="A2223" s="1076" t="str">
        <f>IFERROR(__xludf.DUMMYFUNCTION("""COMPUTED_VALUE"""),"XXA-MPC-010")</f>
        <v>XXA-MPC-010</v>
      </c>
      <c r="B2223" s="1075" t="str">
        <f>IFERROR(__xludf.DUMMYFUNCTION("""COMPUTED_VALUE"""),"Máy phát cỏ 4 thì")</f>
        <v>Máy phát cỏ 4 thì</v>
      </c>
      <c r="C2223" s="1076" t="str">
        <f>IFERROR(__xludf.DUMMYFUNCTION("""COMPUTED_VALUE"""),"Loại biên")</f>
        <v>Loại biên</v>
      </c>
      <c r="D2223" s="1076" t="str">
        <f>IFERROR(__xludf.DUMMYFUNCTION("""COMPUTED_VALUE"""),"HINOTA  ")</f>
        <v>HINOTA  </v>
      </c>
      <c r="E2223" s="1076" t="str">
        <f>IFERROR(__xludf.DUMMYFUNCTION("""COMPUTED_VALUE"""),"Trung Quốc")</f>
        <v>Trung Quốc</v>
      </c>
      <c r="F2223" s="1076"/>
      <c r="G2223" s="1076" t="str">
        <f>IFERROR(__xludf.DUMMYFUNCTION("""COMPUTED_VALUE"""),"CG435")</f>
        <v>CG435</v>
      </c>
      <c r="H2223" s="1076" t="str">
        <f>IFERROR(__xludf.DUMMYFUNCTION("""COMPUTED_VALUE"""),"1.2HP")</f>
        <v>1.2HP</v>
      </c>
      <c r="I2223" s="1076" t="str">
        <f>IFERROR(__xludf.DUMMYFUNCTION("""COMPUTED_VALUE"""),"220511/ZOZC1-1M")</f>
        <v>220511/ZOZC1-1M</v>
      </c>
      <c r="J2223" s="1076"/>
      <c r="K2223" s="1076">
        <f>IFERROR(__xludf.DUMMYFUNCTION("""COMPUTED_VALUE"""),0.5)</f>
        <v>0.5</v>
      </c>
      <c r="L2223" s="1076"/>
    </row>
    <row r="2224" customHeight="1" spans="1:12">
      <c r="A2224" s="1076" t="str">
        <f>IFERROR(__xludf.DUMMYFUNCTION("""COMPUTED_VALUE"""),"XXA-MPC-011")</f>
        <v>XXA-MPC-011</v>
      </c>
      <c r="B2224" s="1075" t="str">
        <f>IFERROR(__xludf.DUMMYFUNCTION("""COMPUTED_VALUE"""),"Máy phát cỏ 4 thì")</f>
        <v>Máy phát cỏ 4 thì</v>
      </c>
      <c r="C2224" s="1076" t="str">
        <f>IFERROR(__xludf.DUMMYFUNCTION("""COMPUTED_VALUE"""),"Loại biên")</f>
        <v>Loại biên</v>
      </c>
      <c r="D2224" s="1076" t="str">
        <f>IFERROR(__xludf.DUMMYFUNCTION("""COMPUTED_VALUE"""),"HINOTA  ")</f>
        <v>HINOTA  </v>
      </c>
      <c r="E2224" s="1076" t="str">
        <f>IFERROR(__xludf.DUMMYFUNCTION("""COMPUTED_VALUE"""),"Trung Quốc")</f>
        <v>Trung Quốc</v>
      </c>
      <c r="F2224" s="1076"/>
      <c r="G2224" s="1076" t="str">
        <f>IFERROR(__xludf.DUMMYFUNCTION("""COMPUTED_VALUE"""),"CG435")</f>
        <v>CG435</v>
      </c>
      <c r="H2224" s="1076" t="str">
        <f>IFERROR(__xludf.DUMMYFUNCTION("""COMPUTED_VALUE"""),"1.2HP")</f>
        <v>1.2HP</v>
      </c>
      <c r="I2224" s="1076" t="str">
        <f>IFERROR(__xludf.DUMMYFUNCTION("""COMPUTED_VALUE"""),"220511/ZOZC1-1M")</f>
        <v>220511/ZOZC1-1M</v>
      </c>
      <c r="J2224" s="1076"/>
      <c r="K2224" s="1076">
        <f>IFERROR(__xludf.DUMMYFUNCTION("""COMPUTED_VALUE"""),0.5)</f>
        <v>0.5</v>
      </c>
      <c r="L2224" s="1076"/>
    </row>
    <row r="2225" customHeight="1" spans="1:12">
      <c r="A2225" s="1076" t="str">
        <f>IFERROR(__xludf.DUMMYFUNCTION("""COMPUTED_VALUE"""),"XXA-MPC-012")</f>
        <v>XXA-MPC-012</v>
      </c>
      <c r="B2225" s="1075" t="str">
        <f>IFERROR(__xludf.DUMMYFUNCTION("""COMPUTED_VALUE"""),"Máy phát cỏ 4 thì")</f>
        <v>Máy phát cỏ 4 thì</v>
      </c>
      <c r="C2225" s="1076" t="str">
        <f>IFERROR(__xludf.DUMMYFUNCTION("""COMPUTED_VALUE"""),"Loại biên")</f>
        <v>Loại biên</v>
      </c>
      <c r="D2225" s="1076" t="str">
        <f>IFERROR(__xludf.DUMMYFUNCTION("""COMPUTED_VALUE"""),"HINOTA  ")</f>
        <v>HINOTA  </v>
      </c>
      <c r="E2225" s="1076" t="str">
        <f>IFERROR(__xludf.DUMMYFUNCTION("""COMPUTED_VALUE"""),"Trung Quốc")</f>
        <v>Trung Quốc</v>
      </c>
      <c r="F2225" s="1076"/>
      <c r="G2225" s="1076" t="str">
        <f>IFERROR(__xludf.DUMMYFUNCTION("""COMPUTED_VALUE"""),"CG435")</f>
        <v>CG435</v>
      </c>
      <c r="H2225" s="1076" t="str">
        <f>IFERROR(__xludf.DUMMYFUNCTION("""COMPUTED_VALUE"""),"1.2HP")</f>
        <v>1.2HP</v>
      </c>
      <c r="I2225" s="1076" t="str">
        <f>IFERROR(__xludf.DUMMYFUNCTION("""COMPUTED_VALUE"""),"220511/ZOZC1-1M")</f>
        <v>220511/ZOZC1-1M</v>
      </c>
      <c r="J2225" s="1076"/>
      <c r="K2225" s="1076">
        <f>IFERROR(__xludf.DUMMYFUNCTION("""COMPUTED_VALUE"""),0.5)</f>
        <v>0.5</v>
      </c>
      <c r="L2225" s="1076"/>
    </row>
    <row r="2226" customHeight="1" spans="1:12">
      <c r="A2226" s="1076" t="str">
        <f>IFERROR(__xludf.DUMMYFUNCTION("""COMPUTED_VALUE"""),"XXA-MPC-013")</f>
        <v>XXA-MPC-013</v>
      </c>
      <c r="B2226" s="1075" t="str">
        <f>IFERROR(__xludf.DUMMYFUNCTION("""COMPUTED_VALUE"""),"Máy phát cỏ 4 thì")</f>
        <v>Máy phát cỏ 4 thì</v>
      </c>
      <c r="C2226" s="1076" t="str">
        <f>IFERROR(__xludf.DUMMYFUNCTION("""COMPUTED_VALUE"""),"Loại biên")</f>
        <v>Loại biên</v>
      </c>
      <c r="D2226" s="1076" t="str">
        <f>IFERROR(__xludf.DUMMYFUNCTION("""COMPUTED_VALUE"""),"HINOTA  ")</f>
        <v>HINOTA  </v>
      </c>
      <c r="E2226" s="1076" t="str">
        <f>IFERROR(__xludf.DUMMYFUNCTION("""COMPUTED_VALUE"""),"Trung Quốc")</f>
        <v>Trung Quốc</v>
      </c>
      <c r="F2226" s="1076"/>
      <c r="G2226" s="1076" t="str">
        <f>IFERROR(__xludf.DUMMYFUNCTION("""COMPUTED_VALUE"""),"CG435")</f>
        <v>CG435</v>
      </c>
      <c r="H2226" s="1076" t="str">
        <f>IFERROR(__xludf.DUMMYFUNCTION("""COMPUTED_VALUE"""),"1.2HP")</f>
        <v>1.2HP</v>
      </c>
      <c r="I2226" s="1076" t="str">
        <f>IFERROR(__xludf.DUMMYFUNCTION("""COMPUTED_VALUE"""),"220511/ZOZC1-1M")</f>
        <v>220511/ZOZC1-1M</v>
      </c>
      <c r="J2226" s="1076"/>
      <c r="K2226" s="1076">
        <f>IFERROR(__xludf.DUMMYFUNCTION("""COMPUTED_VALUE"""),0.5)</f>
        <v>0.5</v>
      </c>
      <c r="L2226" s="1076"/>
    </row>
    <row r="2227" customHeight="1" spans="1:12">
      <c r="A2227" s="1076" t="str">
        <f>IFERROR(__xludf.DUMMYFUNCTION("""COMPUTED_VALUE"""),"XXA-MPC-014")</f>
        <v>XXA-MPC-014</v>
      </c>
      <c r="B2227" s="1075" t="str">
        <f>IFERROR(__xludf.DUMMYFUNCTION("""COMPUTED_VALUE"""),"Máy phát cỏ 4 thì")</f>
        <v>Máy phát cỏ 4 thì</v>
      </c>
      <c r="C2227" s="1076" t="str">
        <f>IFERROR(__xludf.DUMMYFUNCTION("""COMPUTED_VALUE"""),"Loại biên")</f>
        <v>Loại biên</v>
      </c>
      <c r="D2227" s="1076" t="str">
        <f>IFERROR(__xludf.DUMMYFUNCTION("""COMPUTED_VALUE"""),"HINOTA  ")</f>
        <v>HINOTA  </v>
      </c>
      <c r="E2227" s="1076" t="str">
        <f>IFERROR(__xludf.DUMMYFUNCTION("""COMPUTED_VALUE"""),"Trung Quốc")</f>
        <v>Trung Quốc</v>
      </c>
      <c r="F2227" s="1076"/>
      <c r="G2227" s="1076" t="str">
        <f>IFERROR(__xludf.DUMMYFUNCTION("""COMPUTED_VALUE"""),"CG435")</f>
        <v>CG435</v>
      </c>
      <c r="H2227" s="1076" t="str">
        <f>IFERROR(__xludf.DUMMYFUNCTION("""COMPUTED_VALUE"""),"1.2HP")</f>
        <v>1.2HP</v>
      </c>
      <c r="I2227" s="1076" t="str">
        <f>IFERROR(__xludf.DUMMYFUNCTION("""COMPUTED_VALUE"""),"220511/ZOZC1-1M")</f>
        <v>220511/ZOZC1-1M</v>
      </c>
      <c r="J2227" s="1076"/>
      <c r="K2227" s="1076">
        <f>IFERROR(__xludf.DUMMYFUNCTION("""COMPUTED_VALUE"""),0.5)</f>
        <v>0.5</v>
      </c>
      <c r="L2227" s="1076"/>
    </row>
    <row r="2228" customHeight="1" spans="1:12">
      <c r="A2228" s="1076" t="str">
        <f>IFERROR(__xludf.DUMMYFUNCTION("""COMPUTED_VALUE"""),"XXA-MPC-015")</f>
        <v>XXA-MPC-015</v>
      </c>
      <c r="B2228" s="1075" t="str">
        <f>IFERROR(__xludf.DUMMYFUNCTION("""COMPUTED_VALUE"""),"Máy phát cỏ 4 thì")</f>
        <v>Máy phát cỏ 4 thì</v>
      </c>
      <c r="C2228" s="1076" t="str">
        <f>IFERROR(__xludf.DUMMYFUNCTION("""COMPUTED_VALUE"""),"Loại biên")</f>
        <v>Loại biên</v>
      </c>
      <c r="D2228" s="1076" t="str">
        <f>IFERROR(__xludf.DUMMYFUNCTION("""COMPUTED_VALUE"""),"HINOTA  ")</f>
        <v>HINOTA  </v>
      </c>
      <c r="E2228" s="1076" t="str">
        <f>IFERROR(__xludf.DUMMYFUNCTION("""COMPUTED_VALUE"""),"Trung Quốc")</f>
        <v>Trung Quốc</v>
      </c>
      <c r="F2228" s="1076"/>
      <c r="G2228" s="1076" t="str">
        <f>IFERROR(__xludf.DUMMYFUNCTION("""COMPUTED_VALUE"""),"CG435")</f>
        <v>CG435</v>
      </c>
      <c r="H2228" s="1076" t="str">
        <f>IFERROR(__xludf.DUMMYFUNCTION("""COMPUTED_VALUE"""),"1.2HP")</f>
        <v>1.2HP</v>
      </c>
      <c r="I2228" s="1076" t="str">
        <f>IFERROR(__xludf.DUMMYFUNCTION("""COMPUTED_VALUE"""),"220511/ZOZC1-1M")</f>
        <v>220511/ZOZC1-1M</v>
      </c>
      <c r="J2228" s="1076"/>
      <c r="K2228" s="1076">
        <f>IFERROR(__xludf.DUMMYFUNCTION("""COMPUTED_VALUE"""),0.5)</f>
        <v>0.5</v>
      </c>
      <c r="L2228" s="1076"/>
    </row>
    <row r="2229" customHeight="1" spans="1:12">
      <c r="A2229" s="1076" t="str">
        <f>IFERROR(__xludf.DUMMYFUNCTION("""COMPUTED_VALUE"""),"XXA-MPC-016")</f>
        <v>XXA-MPC-016</v>
      </c>
      <c r="B2229" s="1075" t="str">
        <f>IFERROR(__xludf.DUMMYFUNCTION("""COMPUTED_VALUE"""),"Máy phát cỏ 4 thì")</f>
        <v>Máy phát cỏ 4 thì</v>
      </c>
      <c r="C2229" s="1076" t="str">
        <f>IFERROR(__xludf.DUMMYFUNCTION("""COMPUTED_VALUE"""),"Loại biên")</f>
        <v>Loại biên</v>
      </c>
      <c r="D2229" s="1076" t="str">
        <f>IFERROR(__xludf.DUMMYFUNCTION("""COMPUTED_VALUE"""),"HINOTA  ")</f>
        <v>HINOTA  </v>
      </c>
      <c r="E2229" s="1076" t="str">
        <f>IFERROR(__xludf.DUMMYFUNCTION("""COMPUTED_VALUE"""),"Trung Quốc")</f>
        <v>Trung Quốc</v>
      </c>
      <c r="F2229" s="1076"/>
      <c r="G2229" s="1076" t="str">
        <f>IFERROR(__xludf.DUMMYFUNCTION("""COMPUTED_VALUE"""),"CG435")</f>
        <v>CG435</v>
      </c>
      <c r="H2229" s="1076" t="str">
        <f>IFERROR(__xludf.DUMMYFUNCTION("""COMPUTED_VALUE"""),"1.2HP")</f>
        <v>1.2HP</v>
      </c>
      <c r="I2229" s="1076" t="str">
        <f>IFERROR(__xludf.DUMMYFUNCTION("""COMPUTED_VALUE"""),"220511/ZOZC1-1M")</f>
        <v>220511/ZOZC1-1M</v>
      </c>
      <c r="J2229" s="1076"/>
      <c r="K2229" s="1076">
        <f>IFERROR(__xludf.DUMMYFUNCTION("""COMPUTED_VALUE"""),0.5)</f>
        <v>0.5</v>
      </c>
      <c r="L2229" s="1076"/>
    </row>
    <row r="2230" customHeight="1" spans="1:12">
      <c r="A2230" s="1076" t="str">
        <f>IFERROR(__xludf.DUMMYFUNCTION("""COMPUTED_VALUE"""),"XXA-MPC-019")</f>
        <v>XXA-MPC-019</v>
      </c>
      <c r="B2230" s="1075" t="str">
        <f>IFERROR(__xludf.DUMMYFUNCTION("""COMPUTED_VALUE"""),"Máy phát cỏ 4 thì")</f>
        <v>Máy phát cỏ 4 thì</v>
      </c>
      <c r="C2230" s="1076" t="str">
        <f>IFERROR(__xludf.DUMMYFUNCTION("""COMPUTED_VALUE"""),"Loại biên")</f>
        <v>Loại biên</v>
      </c>
      <c r="D2230" s="1076" t="str">
        <f>IFERROR(__xludf.DUMMYFUNCTION("""COMPUTED_VALUE"""),"HONDA")</f>
        <v>HONDA</v>
      </c>
      <c r="E2230" s="1076" t="str">
        <f>IFERROR(__xludf.DUMMYFUNCTION("""COMPUTED_VALUE"""),"TRUNG QUỐC")</f>
        <v>TRUNG QUỐC</v>
      </c>
      <c r="F2230" s="1076"/>
      <c r="G2230" s="1076" t="str">
        <f>IFERROR(__xludf.DUMMYFUNCTION("""COMPUTED_VALUE"""),"GX35")</f>
        <v>GX35</v>
      </c>
      <c r="H2230" s="1076" t="str">
        <f>IFERROR(__xludf.DUMMYFUNCTION("""COMPUTED_VALUE"""),"1.6HP")</f>
        <v>1.6HP</v>
      </c>
      <c r="I2230" s="1076" t="str">
        <f>IFERROR(__xludf.DUMMYFUNCTION("""COMPUTED_VALUE"""),"GCAMT-4478384")</f>
        <v>GCAMT-4478384</v>
      </c>
      <c r="J2230" s="1076"/>
      <c r="K2230" s="1076">
        <f>IFERROR(__xludf.DUMMYFUNCTION("""COMPUTED_VALUE"""),0.5)</f>
        <v>0.5</v>
      </c>
      <c r="L2230" s="1076"/>
    </row>
    <row r="2231" customHeight="1" spans="1:12">
      <c r="A2231" s="1076" t="str">
        <f>IFERROR(__xludf.DUMMYFUNCTION("""COMPUTED_VALUE"""),"XXA-MPC-020")</f>
        <v>XXA-MPC-020</v>
      </c>
      <c r="B2231" s="1075" t="str">
        <f>IFERROR(__xludf.DUMMYFUNCTION("""COMPUTED_VALUE"""),"Máy phát cỏ 4 thì")</f>
        <v>Máy phát cỏ 4 thì</v>
      </c>
      <c r="C2231" s="1076" t="str">
        <f>IFERROR(__xludf.DUMMYFUNCTION("""COMPUTED_VALUE"""),"Loại biên")</f>
        <v>Loại biên</v>
      </c>
      <c r="D2231" s="1076" t="str">
        <f>IFERROR(__xludf.DUMMYFUNCTION("""COMPUTED_VALUE"""),"HONDA")</f>
        <v>HONDA</v>
      </c>
      <c r="E2231" s="1076" t="str">
        <f>IFERROR(__xludf.DUMMYFUNCTION("""COMPUTED_VALUE"""),"TRUNG QUỐC")</f>
        <v>TRUNG QUỐC</v>
      </c>
      <c r="F2231" s="1076"/>
      <c r="G2231" s="1076" t="str">
        <f>IFERROR(__xludf.DUMMYFUNCTION("""COMPUTED_VALUE"""),"GX35")</f>
        <v>GX35</v>
      </c>
      <c r="H2231" s="1076" t="str">
        <f>IFERROR(__xludf.DUMMYFUNCTION("""COMPUTED_VALUE"""),"1.6HP")</f>
        <v>1.6HP</v>
      </c>
      <c r="I2231" s="1076" t="str">
        <f>IFERROR(__xludf.DUMMYFUNCTION("""COMPUTED_VALUE"""),"GCAMT-4487062")</f>
        <v>GCAMT-4487062</v>
      </c>
      <c r="J2231" s="1076"/>
      <c r="K2231" s="1076">
        <f>IFERROR(__xludf.DUMMYFUNCTION("""COMPUTED_VALUE"""),0.5)</f>
        <v>0.5</v>
      </c>
      <c r="L2231" s="1076"/>
    </row>
    <row r="2232" customHeight="1" spans="1:12">
      <c r="A2232" s="1076" t="str">
        <f>IFERROR(__xludf.DUMMYFUNCTION("""COMPUTED_VALUE"""),"XXA-MPC-021")</f>
        <v>XXA-MPC-021</v>
      </c>
      <c r="B2232" s="1075" t="str">
        <f>IFERROR(__xludf.DUMMYFUNCTION("""COMPUTED_VALUE"""),"Máy phát cỏ 4 thì")</f>
        <v>Máy phát cỏ 4 thì</v>
      </c>
      <c r="C2232" s="1076" t="str">
        <f>IFERROR(__xludf.DUMMYFUNCTION("""COMPUTED_VALUE"""),"Loại biên")</f>
        <v>Loại biên</v>
      </c>
      <c r="D2232" s="1076" t="str">
        <f>IFERROR(__xludf.DUMMYFUNCTION("""COMPUTED_VALUE"""),"HONDA")</f>
        <v>HONDA</v>
      </c>
      <c r="E2232" s="1076" t="str">
        <f>IFERROR(__xludf.DUMMYFUNCTION("""COMPUTED_VALUE"""),"TRUNG QUỐC")</f>
        <v>TRUNG QUỐC</v>
      </c>
      <c r="F2232" s="1076"/>
      <c r="G2232" s="1076" t="str">
        <f>IFERROR(__xludf.DUMMYFUNCTION("""COMPUTED_VALUE"""),"GX35")</f>
        <v>GX35</v>
      </c>
      <c r="H2232" s="1076" t="str">
        <f>IFERROR(__xludf.DUMMYFUNCTION("""COMPUTED_VALUE"""),"1.6HP")</f>
        <v>1.6HP</v>
      </c>
      <c r="I2232" s="1076" t="str">
        <f>IFERROR(__xludf.DUMMYFUNCTION("""COMPUTED_VALUE"""),"GCAMT-4487469")</f>
        <v>GCAMT-4487469</v>
      </c>
      <c r="J2232" s="1076"/>
      <c r="K2232" s="1076">
        <f>IFERROR(__xludf.DUMMYFUNCTION("""COMPUTED_VALUE"""),0.5)</f>
        <v>0.5</v>
      </c>
      <c r="L2232" s="1076"/>
    </row>
    <row r="2233" customHeight="1" spans="1:12">
      <c r="A2233" s="1076" t="str">
        <f>IFERROR(__xludf.DUMMYFUNCTION("""COMPUTED_VALUE"""),"XXA-MPC-022")</f>
        <v>XXA-MPC-022</v>
      </c>
      <c r="B2233" s="1075" t="str">
        <f>IFERROR(__xludf.DUMMYFUNCTION("""COMPUTED_VALUE"""),"Máy phát cỏ 4 thì")</f>
        <v>Máy phát cỏ 4 thì</v>
      </c>
      <c r="C2233" s="1076" t="str">
        <f>IFERROR(__xludf.DUMMYFUNCTION("""COMPUTED_VALUE"""),"Loại biên")</f>
        <v>Loại biên</v>
      </c>
      <c r="D2233" s="1076" t="str">
        <f>IFERROR(__xludf.DUMMYFUNCTION("""COMPUTED_VALUE"""),"HONDA")</f>
        <v>HONDA</v>
      </c>
      <c r="E2233" s="1076" t="str">
        <f>IFERROR(__xludf.DUMMYFUNCTION("""COMPUTED_VALUE"""),"TRUNG QUỐC")</f>
        <v>TRUNG QUỐC</v>
      </c>
      <c r="F2233" s="1076"/>
      <c r="G2233" s="1076" t="str">
        <f>IFERROR(__xludf.DUMMYFUNCTION("""COMPUTED_VALUE"""),"GX35")</f>
        <v>GX35</v>
      </c>
      <c r="H2233" s="1076" t="str">
        <f>IFERROR(__xludf.DUMMYFUNCTION("""COMPUTED_VALUE"""),"1.6HP")</f>
        <v>1.6HP</v>
      </c>
      <c r="I2233" s="1076" t="str">
        <f>IFERROR(__xludf.DUMMYFUNCTION("""COMPUTED_VALUE"""),"GCAMT-4487083")</f>
        <v>GCAMT-4487083</v>
      </c>
      <c r="J2233" s="1076"/>
      <c r="K2233" s="1076">
        <f>IFERROR(__xludf.DUMMYFUNCTION("""COMPUTED_VALUE"""),0.5)</f>
        <v>0.5</v>
      </c>
      <c r="L2233" s="1076"/>
    </row>
    <row r="2234" customHeight="1" spans="1:12">
      <c r="A2234" s="1076" t="str">
        <f>IFERROR(__xludf.DUMMYFUNCTION("""COMPUTED_VALUE"""),"XXA-MPC-023")</f>
        <v>XXA-MPC-023</v>
      </c>
      <c r="B2234" s="1075" t="str">
        <f>IFERROR(__xludf.DUMMYFUNCTION("""COMPUTED_VALUE"""),"Máy phát cỏ 4 thì")</f>
        <v>Máy phát cỏ 4 thì</v>
      </c>
      <c r="C2234" s="1076" t="str">
        <f>IFERROR(__xludf.DUMMYFUNCTION("""COMPUTED_VALUE"""),"Loại biên")</f>
        <v>Loại biên</v>
      </c>
      <c r="D2234" s="1076" t="str">
        <f>IFERROR(__xludf.DUMMYFUNCTION("""COMPUTED_VALUE"""),"HONDA")</f>
        <v>HONDA</v>
      </c>
      <c r="E2234" s="1076" t="str">
        <f>IFERROR(__xludf.DUMMYFUNCTION("""COMPUTED_VALUE"""),"TRUNG QUỐC")</f>
        <v>TRUNG QUỐC</v>
      </c>
      <c r="F2234" s="1076"/>
      <c r="G2234" s="1076" t="str">
        <f>IFERROR(__xludf.DUMMYFUNCTION("""COMPUTED_VALUE"""),"GX35")</f>
        <v>GX35</v>
      </c>
      <c r="H2234" s="1076" t="str">
        <f>IFERROR(__xludf.DUMMYFUNCTION("""COMPUTED_VALUE"""),"1.6HP")</f>
        <v>1.6HP</v>
      </c>
      <c r="I2234" s="1076" t="str">
        <f>IFERROR(__xludf.DUMMYFUNCTION("""COMPUTED_VALUE"""),"GCAMT-4487399")</f>
        <v>GCAMT-4487399</v>
      </c>
      <c r="J2234" s="1076"/>
      <c r="K2234" s="1076">
        <f>IFERROR(__xludf.DUMMYFUNCTION("""COMPUTED_VALUE"""),0.5)</f>
        <v>0.5</v>
      </c>
      <c r="L2234" s="1076"/>
    </row>
    <row r="2235" customHeight="1" spans="1:12">
      <c r="A2235" s="1076" t="str">
        <f>IFERROR(__xludf.DUMMYFUNCTION("""COMPUTED_VALUE"""),"XXA-MPC-024")</f>
        <v>XXA-MPC-024</v>
      </c>
      <c r="B2235" s="1075" t="str">
        <f>IFERROR(__xludf.DUMMYFUNCTION("""COMPUTED_VALUE"""),"Máy phát cỏ 4 thì")</f>
        <v>Máy phát cỏ 4 thì</v>
      </c>
      <c r="C2235" s="1076" t="str">
        <f>IFERROR(__xludf.DUMMYFUNCTION("""COMPUTED_VALUE"""),"Loại biên")</f>
        <v>Loại biên</v>
      </c>
      <c r="D2235" s="1076" t="str">
        <f>IFERROR(__xludf.DUMMYFUNCTION("""COMPUTED_VALUE"""),"HONDA")</f>
        <v>HONDA</v>
      </c>
      <c r="E2235" s="1076" t="str">
        <f>IFERROR(__xludf.DUMMYFUNCTION("""COMPUTED_VALUE"""),"TRUNG QUỐC")</f>
        <v>TRUNG QUỐC</v>
      </c>
      <c r="F2235" s="1076"/>
      <c r="G2235" s="1076" t="str">
        <f>IFERROR(__xludf.DUMMYFUNCTION("""COMPUTED_VALUE"""),"GX35")</f>
        <v>GX35</v>
      </c>
      <c r="H2235" s="1076" t="str">
        <f>IFERROR(__xludf.DUMMYFUNCTION("""COMPUTED_VALUE"""),"1.6HP")</f>
        <v>1.6HP</v>
      </c>
      <c r="I2235" s="1076" t="str">
        <f>IFERROR(__xludf.DUMMYFUNCTION("""COMPUTED_VALUE"""),"GCAMT-4487117")</f>
        <v>GCAMT-4487117</v>
      </c>
      <c r="J2235" s="1076"/>
      <c r="K2235" s="1076">
        <f>IFERROR(__xludf.DUMMYFUNCTION("""COMPUTED_VALUE"""),0.5)</f>
        <v>0.5</v>
      </c>
      <c r="L2235" s="1076"/>
    </row>
    <row r="2236" customHeight="1" spans="1:12">
      <c r="A2236" s="1076" t="str">
        <f>IFERROR(__xludf.DUMMYFUNCTION("""COMPUTED_VALUE"""),"XXA-MPC-025")</f>
        <v>XXA-MPC-025</v>
      </c>
      <c r="B2236" s="1075" t="str">
        <f>IFERROR(__xludf.DUMMYFUNCTION("""COMPUTED_VALUE"""),"Máy phát cỏ 4 thì")</f>
        <v>Máy phát cỏ 4 thì</v>
      </c>
      <c r="C2236" s="1076" t="str">
        <f>IFERROR(__xludf.DUMMYFUNCTION("""COMPUTED_VALUE"""),"Loại biên")</f>
        <v>Loại biên</v>
      </c>
      <c r="D2236" s="1076" t="str">
        <f>IFERROR(__xludf.DUMMYFUNCTION("""COMPUTED_VALUE"""),"HONDA")</f>
        <v>HONDA</v>
      </c>
      <c r="E2236" s="1076" t="str">
        <f>IFERROR(__xludf.DUMMYFUNCTION("""COMPUTED_VALUE"""),"TRUNG QUỐC")</f>
        <v>TRUNG QUỐC</v>
      </c>
      <c r="F2236" s="1076"/>
      <c r="G2236" s="1076" t="str">
        <f>IFERROR(__xludf.DUMMYFUNCTION("""COMPUTED_VALUE"""),"GX35")</f>
        <v>GX35</v>
      </c>
      <c r="H2236" s="1076" t="str">
        <f>IFERROR(__xludf.DUMMYFUNCTION("""COMPUTED_VALUE"""),"1.6HP")</f>
        <v>1.6HP</v>
      </c>
      <c r="I2236" s="1076" t="str">
        <f>IFERROR(__xludf.DUMMYFUNCTION("""COMPUTED_VALUE"""),"GCAMT-4487116")</f>
        <v>GCAMT-4487116</v>
      </c>
      <c r="J2236" s="1076"/>
      <c r="K2236" s="1076">
        <f>IFERROR(__xludf.DUMMYFUNCTION("""COMPUTED_VALUE"""),0.5)</f>
        <v>0.5</v>
      </c>
      <c r="L2236" s="1076"/>
    </row>
    <row r="2237" customHeight="1" spans="1:12">
      <c r="A2237" s="1076" t="str">
        <f>IFERROR(__xludf.DUMMYFUNCTION("""COMPUTED_VALUE"""),"XXA-MPC-026")</f>
        <v>XXA-MPC-026</v>
      </c>
      <c r="B2237" s="1075" t="str">
        <f>IFERROR(__xludf.DUMMYFUNCTION("""COMPUTED_VALUE"""),"Máy phát cỏ 4 thì")</f>
        <v>Máy phát cỏ 4 thì</v>
      </c>
      <c r="C2237" s="1076" t="str">
        <f>IFERROR(__xludf.DUMMYFUNCTION("""COMPUTED_VALUE"""),"Loại biên")</f>
        <v>Loại biên</v>
      </c>
      <c r="D2237" s="1076" t="str">
        <f>IFERROR(__xludf.DUMMYFUNCTION("""COMPUTED_VALUE"""),"HONDA")</f>
        <v>HONDA</v>
      </c>
      <c r="E2237" s="1076" t="str">
        <f>IFERROR(__xludf.DUMMYFUNCTION("""COMPUTED_VALUE"""),"TRUNG QUỐC")</f>
        <v>TRUNG QUỐC</v>
      </c>
      <c r="F2237" s="1076"/>
      <c r="G2237" s="1076" t="str">
        <f>IFERROR(__xludf.DUMMYFUNCTION("""COMPUTED_VALUE"""),"GX35")</f>
        <v>GX35</v>
      </c>
      <c r="H2237" s="1076" t="str">
        <f>IFERROR(__xludf.DUMMYFUNCTION("""COMPUTED_VALUE"""),"1.6HP")</f>
        <v>1.6HP</v>
      </c>
      <c r="I2237" s="1076" t="str">
        <f>IFERROR(__xludf.DUMMYFUNCTION("""COMPUTED_VALUE"""),"GCAMT-4487480")</f>
        <v>GCAMT-4487480</v>
      </c>
      <c r="J2237" s="1076"/>
      <c r="K2237" s="1076">
        <f>IFERROR(__xludf.DUMMYFUNCTION("""COMPUTED_VALUE"""),0.5)</f>
        <v>0.5</v>
      </c>
      <c r="L2237" s="1076"/>
    </row>
    <row r="2238" customHeight="1" spans="1:12">
      <c r="A2238" s="1076" t="str">
        <f>IFERROR(__xludf.DUMMYFUNCTION("""COMPUTED_VALUE"""),"XXA-MPC-027")</f>
        <v>XXA-MPC-027</v>
      </c>
      <c r="B2238" s="1075" t="str">
        <f>IFERROR(__xludf.DUMMYFUNCTION("""COMPUTED_VALUE"""),"Máy phát cỏ 4 thì")</f>
        <v>Máy phát cỏ 4 thì</v>
      </c>
      <c r="C2238" s="1076" t="str">
        <f>IFERROR(__xludf.DUMMYFUNCTION("""COMPUTED_VALUE"""),"Loại biên")</f>
        <v>Loại biên</v>
      </c>
      <c r="D2238" s="1076" t="str">
        <f>IFERROR(__xludf.DUMMYFUNCTION("""COMPUTED_VALUE"""),"HONDA")</f>
        <v>HONDA</v>
      </c>
      <c r="E2238" s="1076" t="str">
        <f>IFERROR(__xludf.DUMMYFUNCTION("""COMPUTED_VALUE"""),"TRUNG QUỐC")</f>
        <v>TRUNG QUỐC</v>
      </c>
      <c r="F2238" s="1076"/>
      <c r="G2238" s="1076" t="str">
        <f>IFERROR(__xludf.DUMMYFUNCTION("""COMPUTED_VALUE"""),"GX35")</f>
        <v>GX35</v>
      </c>
      <c r="H2238" s="1076" t="str">
        <f>IFERROR(__xludf.DUMMYFUNCTION("""COMPUTED_VALUE"""),"1.6HP")</f>
        <v>1.6HP</v>
      </c>
      <c r="I2238" s="1076" t="str">
        <f>IFERROR(__xludf.DUMMYFUNCTION("""COMPUTED_VALUE"""),"GCAMT-4487001")</f>
        <v>GCAMT-4487001</v>
      </c>
      <c r="J2238" s="1076"/>
      <c r="K2238" s="1076">
        <f>IFERROR(__xludf.DUMMYFUNCTION("""COMPUTED_VALUE"""),0.5)</f>
        <v>0.5</v>
      </c>
      <c r="L2238" s="1076"/>
    </row>
    <row r="2239" customHeight="1" spans="1:12">
      <c r="A2239" s="1076" t="str">
        <f>IFERROR(__xludf.DUMMYFUNCTION("""COMPUTED_VALUE"""),"XXA-MPC-028")</f>
        <v>XXA-MPC-028</v>
      </c>
      <c r="B2239" s="1075" t="str">
        <f>IFERROR(__xludf.DUMMYFUNCTION("""COMPUTED_VALUE"""),"Máy phát cỏ 4 thì")</f>
        <v>Máy phát cỏ 4 thì</v>
      </c>
      <c r="C2239" s="1076" t="str">
        <f>IFERROR(__xludf.DUMMYFUNCTION("""COMPUTED_VALUE"""),"Loại biên")</f>
        <v>Loại biên</v>
      </c>
      <c r="D2239" s="1076" t="str">
        <f>IFERROR(__xludf.DUMMYFUNCTION("""COMPUTED_VALUE"""),"HONDA")</f>
        <v>HONDA</v>
      </c>
      <c r="E2239" s="1076" t="str">
        <f>IFERROR(__xludf.DUMMYFUNCTION("""COMPUTED_VALUE"""),"TRUNG QUỐC")</f>
        <v>TRUNG QUỐC</v>
      </c>
      <c r="F2239" s="1076"/>
      <c r="G2239" s="1076" t="str">
        <f>IFERROR(__xludf.DUMMYFUNCTION("""COMPUTED_VALUE"""),"GX35")</f>
        <v>GX35</v>
      </c>
      <c r="H2239" s="1076" t="str">
        <f>IFERROR(__xludf.DUMMYFUNCTION("""COMPUTED_VALUE"""),"1.6HP")</f>
        <v>1.6HP</v>
      </c>
      <c r="I2239" s="1076" t="str">
        <f>IFERROR(__xludf.DUMMYFUNCTION("""COMPUTED_VALUE"""),"GCAMT-4487023")</f>
        <v>GCAMT-4487023</v>
      </c>
      <c r="J2239" s="1076"/>
      <c r="K2239" s="1076">
        <f>IFERROR(__xludf.DUMMYFUNCTION("""COMPUTED_VALUE"""),0.5)</f>
        <v>0.5</v>
      </c>
      <c r="L2239" s="1076"/>
    </row>
    <row r="2240" customHeight="1" spans="1:12">
      <c r="A2240" s="1076" t="str">
        <f>IFERROR(__xludf.DUMMYFUNCTION("""COMPUTED_VALUE"""),"XXA-MPC-029")</f>
        <v>XXA-MPC-029</v>
      </c>
      <c r="B2240" s="1075" t="str">
        <f>IFERROR(__xludf.DUMMYFUNCTION("""COMPUTED_VALUE"""),"Máy phát cỏ 4 thì")</f>
        <v>Máy phát cỏ 4 thì</v>
      </c>
      <c r="C2240" s="1076" t="str">
        <f>IFERROR(__xludf.DUMMYFUNCTION("""COMPUTED_VALUE"""),"Loại biên")</f>
        <v>Loại biên</v>
      </c>
      <c r="D2240" s="1076" t="str">
        <f>IFERROR(__xludf.DUMMYFUNCTION("""COMPUTED_VALUE"""),"HONDA")</f>
        <v>HONDA</v>
      </c>
      <c r="E2240" s="1076" t="str">
        <f>IFERROR(__xludf.DUMMYFUNCTION("""COMPUTED_VALUE"""),"TRUNG QUỐC")</f>
        <v>TRUNG QUỐC</v>
      </c>
      <c r="F2240" s="1076"/>
      <c r="G2240" s="1076" t="str">
        <f>IFERROR(__xludf.DUMMYFUNCTION("""COMPUTED_VALUE"""),"GX35")</f>
        <v>GX35</v>
      </c>
      <c r="H2240" s="1076" t="str">
        <f>IFERROR(__xludf.DUMMYFUNCTION("""COMPUTED_VALUE"""),"1.6HP")</f>
        <v>1.6HP</v>
      </c>
      <c r="I2240" s="1076" t="str">
        <f>IFERROR(__xludf.DUMMYFUNCTION("""COMPUTED_VALUE"""),"GCAMT-4487082")</f>
        <v>GCAMT-4487082</v>
      </c>
      <c r="J2240" s="1076"/>
      <c r="K2240" s="1076">
        <f>IFERROR(__xludf.DUMMYFUNCTION("""COMPUTED_VALUE"""),0.5)</f>
        <v>0.5</v>
      </c>
      <c r="L2240" s="1076"/>
    </row>
    <row r="2241" customHeight="1" spans="1:12">
      <c r="A2241" s="1076" t="str">
        <f>IFERROR(__xludf.DUMMYFUNCTION("""COMPUTED_VALUE"""),"XXA-MPC-030")</f>
        <v>XXA-MPC-030</v>
      </c>
      <c r="B2241" s="1075" t="str">
        <f>IFERROR(__xludf.DUMMYFUNCTION("""COMPUTED_VALUE"""),"Máy phát cỏ 4 thì")</f>
        <v>Máy phát cỏ 4 thì</v>
      </c>
      <c r="C2241" s="1076" t="str">
        <f>IFERROR(__xludf.DUMMYFUNCTION("""COMPUTED_VALUE"""),"Loại biên")</f>
        <v>Loại biên</v>
      </c>
      <c r="D2241" s="1076" t="str">
        <f>IFERROR(__xludf.DUMMYFUNCTION("""COMPUTED_VALUE"""),"HONDA")</f>
        <v>HONDA</v>
      </c>
      <c r="E2241" s="1076" t="str">
        <f>IFERROR(__xludf.DUMMYFUNCTION("""COMPUTED_VALUE"""),"TRUNG QUỐC")</f>
        <v>TRUNG QUỐC</v>
      </c>
      <c r="F2241" s="1076"/>
      <c r="G2241" s="1076" t="str">
        <f>IFERROR(__xludf.DUMMYFUNCTION("""COMPUTED_VALUE"""),"GX35")</f>
        <v>GX35</v>
      </c>
      <c r="H2241" s="1076" t="str">
        <f>IFERROR(__xludf.DUMMYFUNCTION("""COMPUTED_VALUE"""),"1.6HP")</f>
        <v>1.6HP</v>
      </c>
      <c r="I2241" s="1076" t="str">
        <f>IFERROR(__xludf.DUMMYFUNCTION("""COMPUTED_VALUE"""),"GCAMT-4487276")</f>
        <v>GCAMT-4487276</v>
      </c>
      <c r="J2241" s="1076"/>
      <c r="K2241" s="1076">
        <f>IFERROR(__xludf.DUMMYFUNCTION("""COMPUTED_VALUE"""),0.5)</f>
        <v>0.5</v>
      </c>
      <c r="L2241" s="1076"/>
    </row>
    <row r="2242" customHeight="1" spans="1:12">
      <c r="A2242" s="1076" t="str">
        <f>IFERROR(__xludf.DUMMYFUNCTION("""COMPUTED_VALUE"""),"XXA-MPC-031")</f>
        <v>XXA-MPC-031</v>
      </c>
      <c r="B2242" s="1075" t="str">
        <f>IFERROR(__xludf.DUMMYFUNCTION("""COMPUTED_VALUE"""),"Máy phát cỏ 4 thì")</f>
        <v>Máy phát cỏ 4 thì</v>
      </c>
      <c r="C2242" s="1076" t="str">
        <f>IFERROR(__xludf.DUMMYFUNCTION("""COMPUTED_VALUE"""),"Loại biên")</f>
        <v>Loại biên</v>
      </c>
      <c r="D2242" s="1076" t="str">
        <f>IFERROR(__xludf.DUMMYFUNCTION("""COMPUTED_VALUE"""),"HONDA")</f>
        <v>HONDA</v>
      </c>
      <c r="E2242" s="1076" t="str">
        <f>IFERROR(__xludf.DUMMYFUNCTION("""COMPUTED_VALUE"""),"TRUNG QUỐC")</f>
        <v>TRUNG QUỐC</v>
      </c>
      <c r="F2242" s="1076"/>
      <c r="G2242" s="1076" t="str">
        <f>IFERROR(__xludf.DUMMYFUNCTION("""COMPUTED_VALUE"""),"GX35")</f>
        <v>GX35</v>
      </c>
      <c r="H2242" s="1076" t="str">
        <f>IFERROR(__xludf.DUMMYFUNCTION("""COMPUTED_VALUE"""),"1.6HP")</f>
        <v>1.6HP</v>
      </c>
      <c r="I2242" s="1076" t="str">
        <f>IFERROR(__xludf.DUMMYFUNCTION("""COMPUTED_VALUE"""),"GCAMT-4487271")</f>
        <v>GCAMT-4487271</v>
      </c>
      <c r="J2242" s="1076"/>
      <c r="K2242" s="1076">
        <f>IFERROR(__xludf.DUMMYFUNCTION("""COMPUTED_VALUE"""),0.5)</f>
        <v>0.5</v>
      </c>
      <c r="L2242" s="1076"/>
    </row>
    <row r="2243" customHeight="1" spans="1:12">
      <c r="A2243" s="1076" t="str">
        <f>IFERROR(__xludf.DUMMYFUNCTION("""COMPUTED_VALUE"""),"XXA-MPC-032")</f>
        <v>XXA-MPC-032</v>
      </c>
      <c r="B2243" s="1075" t="str">
        <f>IFERROR(__xludf.DUMMYFUNCTION("""COMPUTED_VALUE"""),"Máy phát cỏ 4 thì")</f>
        <v>Máy phát cỏ 4 thì</v>
      </c>
      <c r="C2243" s="1076" t="str">
        <f>IFERROR(__xludf.DUMMYFUNCTION("""COMPUTED_VALUE"""),"Loại biên")</f>
        <v>Loại biên</v>
      </c>
      <c r="D2243" s="1076" t="str">
        <f>IFERROR(__xludf.DUMMYFUNCTION("""COMPUTED_VALUE"""),"HONDA")</f>
        <v>HONDA</v>
      </c>
      <c r="E2243" s="1076" t="str">
        <f>IFERROR(__xludf.DUMMYFUNCTION("""COMPUTED_VALUE"""),"TRUNG QUỐC")</f>
        <v>TRUNG QUỐC</v>
      </c>
      <c r="F2243" s="1076"/>
      <c r="G2243" s="1076" t="str">
        <f>IFERROR(__xludf.DUMMYFUNCTION("""COMPUTED_VALUE"""),"GX35")</f>
        <v>GX35</v>
      </c>
      <c r="H2243" s="1076" t="str">
        <f>IFERROR(__xludf.DUMMYFUNCTION("""COMPUTED_VALUE"""),"1.6HP")</f>
        <v>1.6HP</v>
      </c>
      <c r="I2243" s="1076" t="str">
        <f>IFERROR(__xludf.DUMMYFUNCTION("""COMPUTED_VALUE"""),"GCAMT-4487296")</f>
        <v>GCAMT-4487296</v>
      </c>
      <c r="J2243" s="1076"/>
      <c r="K2243" s="1076">
        <f>IFERROR(__xludf.DUMMYFUNCTION("""COMPUTED_VALUE"""),0.5)</f>
        <v>0.5</v>
      </c>
      <c r="L2243" s="1076"/>
    </row>
    <row r="2244" customHeight="1" spans="1:12">
      <c r="A2244" s="1076" t="str">
        <f>IFERROR(__xludf.DUMMYFUNCTION("""COMPUTED_VALUE"""),"XXA-MPC-033")</f>
        <v>XXA-MPC-033</v>
      </c>
      <c r="B2244" s="1075" t="str">
        <f>IFERROR(__xludf.DUMMYFUNCTION("""COMPUTED_VALUE"""),"Máy phát cỏ 4 thì")</f>
        <v>Máy phát cỏ 4 thì</v>
      </c>
      <c r="C2244" s="1076" t="str">
        <f>IFERROR(__xludf.DUMMYFUNCTION("""COMPUTED_VALUE"""),"Loại biên")</f>
        <v>Loại biên</v>
      </c>
      <c r="D2244" s="1076" t="str">
        <f>IFERROR(__xludf.DUMMYFUNCTION("""COMPUTED_VALUE"""),"HONDA")</f>
        <v>HONDA</v>
      </c>
      <c r="E2244" s="1076" t="str">
        <f>IFERROR(__xludf.DUMMYFUNCTION("""COMPUTED_VALUE"""),"TRUNG QUỐC")</f>
        <v>TRUNG QUỐC</v>
      </c>
      <c r="F2244" s="1076"/>
      <c r="G2244" s="1076" t="str">
        <f>IFERROR(__xludf.DUMMYFUNCTION("""COMPUTED_VALUE"""),"GX35")</f>
        <v>GX35</v>
      </c>
      <c r="H2244" s="1076" t="str">
        <f>IFERROR(__xludf.DUMMYFUNCTION("""COMPUTED_VALUE"""),"1.6HP")</f>
        <v>1.6HP</v>
      </c>
      <c r="I2244" s="1076" t="str">
        <f>IFERROR(__xludf.DUMMYFUNCTION("""COMPUTED_VALUE"""),"GCAMT-4487485")</f>
        <v>GCAMT-4487485</v>
      </c>
      <c r="J2244" s="1076"/>
      <c r="K2244" s="1076">
        <f>IFERROR(__xludf.DUMMYFUNCTION("""COMPUTED_VALUE"""),0.5)</f>
        <v>0.5</v>
      </c>
      <c r="L2244" s="1076"/>
    </row>
    <row r="2245" customHeight="1" spans="1:12">
      <c r="A2245" s="1076" t="str">
        <f>IFERROR(__xludf.DUMMYFUNCTION("""COMPUTED_VALUE"""),"XXA-MPC-034")</f>
        <v>XXA-MPC-034</v>
      </c>
      <c r="B2245" s="1075" t="str">
        <f>IFERROR(__xludf.DUMMYFUNCTION("""COMPUTED_VALUE"""),"Máy phát cỏ 4 thì")</f>
        <v>Máy phát cỏ 4 thì</v>
      </c>
      <c r="C2245" s="1076" t="str">
        <f>IFERROR(__xludf.DUMMYFUNCTION("""COMPUTED_VALUE"""),"Loại biên")</f>
        <v>Loại biên</v>
      </c>
      <c r="D2245" s="1076" t="str">
        <f>IFERROR(__xludf.DUMMYFUNCTION("""COMPUTED_VALUE"""),"HONDA")</f>
        <v>HONDA</v>
      </c>
      <c r="E2245" s="1076" t="str">
        <f>IFERROR(__xludf.DUMMYFUNCTION("""COMPUTED_VALUE"""),"TRUNG QUỐC")</f>
        <v>TRUNG QUỐC</v>
      </c>
      <c r="F2245" s="1076"/>
      <c r="G2245" s="1076" t="str">
        <f>IFERROR(__xludf.DUMMYFUNCTION("""COMPUTED_VALUE"""),"GX35")</f>
        <v>GX35</v>
      </c>
      <c r="H2245" s="1076" t="str">
        <f>IFERROR(__xludf.DUMMYFUNCTION("""COMPUTED_VALUE"""),"1.6HP")</f>
        <v>1.6HP</v>
      </c>
      <c r="I2245" s="1076" t="str">
        <f>IFERROR(__xludf.DUMMYFUNCTION("""COMPUTED_VALUE"""),"GCAMT-7657284")</f>
        <v>GCAMT-7657284</v>
      </c>
      <c r="J2245" s="1076"/>
      <c r="K2245" s="1076">
        <f>IFERROR(__xludf.DUMMYFUNCTION("""COMPUTED_VALUE"""),0.5)</f>
        <v>0.5</v>
      </c>
      <c r="L2245" s="1076"/>
    </row>
    <row r="2246" customHeight="1" spans="1:12">
      <c r="A2246" s="1076" t="str">
        <f>IFERROR(__xludf.DUMMYFUNCTION("""COMPUTED_VALUE"""),"XXA-MPC-035")</f>
        <v>XXA-MPC-035</v>
      </c>
      <c r="B2246" s="1075" t="str">
        <f>IFERROR(__xludf.DUMMYFUNCTION("""COMPUTED_VALUE"""),"Máy phát cỏ 4 thì")</f>
        <v>Máy phát cỏ 4 thì</v>
      </c>
      <c r="C2246" s="1076" t="str">
        <f>IFERROR(__xludf.DUMMYFUNCTION("""COMPUTED_VALUE"""),"Loại biên")</f>
        <v>Loại biên</v>
      </c>
      <c r="D2246" s="1076" t="str">
        <f>IFERROR(__xludf.DUMMYFUNCTION("""COMPUTED_VALUE"""),"HONDA")</f>
        <v>HONDA</v>
      </c>
      <c r="E2246" s="1076" t="str">
        <f>IFERROR(__xludf.DUMMYFUNCTION("""COMPUTED_VALUE"""),"TRUNG QUỐC")</f>
        <v>TRUNG QUỐC</v>
      </c>
      <c r="F2246" s="1076"/>
      <c r="G2246" s="1076" t="str">
        <f>IFERROR(__xludf.DUMMYFUNCTION("""COMPUTED_VALUE"""),"GX35")</f>
        <v>GX35</v>
      </c>
      <c r="H2246" s="1076" t="str">
        <f>IFERROR(__xludf.DUMMYFUNCTION("""COMPUTED_VALUE"""),"1.6HP")</f>
        <v>1.6HP</v>
      </c>
      <c r="I2246" s="1076" t="str">
        <f>IFERROR(__xludf.DUMMYFUNCTION("""COMPUTED_VALUE"""),"GCAMT-7676275")</f>
        <v>GCAMT-7676275</v>
      </c>
      <c r="J2246" s="1076"/>
      <c r="K2246" s="1076">
        <f>IFERROR(__xludf.DUMMYFUNCTION("""COMPUTED_VALUE"""),0.5)</f>
        <v>0.5</v>
      </c>
      <c r="L2246" s="1076"/>
    </row>
    <row r="2247" customHeight="1" spans="1:12">
      <c r="A2247" s="1076" t="str">
        <f>IFERROR(__xludf.DUMMYFUNCTION("""COMPUTED_VALUE"""),"XXA-MPC-036")</f>
        <v>XXA-MPC-036</v>
      </c>
      <c r="B2247" s="1075" t="str">
        <f>IFERROR(__xludf.DUMMYFUNCTION("""COMPUTED_VALUE"""),"Máy phát cỏ 4 thì")</f>
        <v>Máy phát cỏ 4 thì</v>
      </c>
      <c r="C2247" s="1076" t="str">
        <f>IFERROR(__xludf.DUMMYFUNCTION("""COMPUTED_VALUE"""),"Loại biên")</f>
        <v>Loại biên</v>
      </c>
      <c r="D2247" s="1076" t="str">
        <f>IFERROR(__xludf.DUMMYFUNCTION("""COMPUTED_VALUE"""),"HONDA")</f>
        <v>HONDA</v>
      </c>
      <c r="E2247" s="1076" t="str">
        <f>IFERROR(__xludf.DUMMYFUNCTION("""COMPUTED_VALUE"""),"TRUNG QUỐC")</f>
        <v>TRUNG QUỐC</v>
      </c>
      <c r="F2247" s="1076"/>
      <c r="G2247" s="1076" t="str">
        <f>IFERROR(__xludf.DUMMYFUNCTION("""COMPUTED_VALUE"""),"GX35")</f>
        <v>GX35</v>
      </c>
      <c r="H2247" s="1076" t="str">
        <f>IFERROR(__xludf.DUMMYFUNCTION("""COMPUTED_VALUE"""),"1.6HP")</f>
        <v>1.6HP</v>
      </c>
      <c r="I2247" s="1076" t="str">
        <f>IFERROR(__xludf.DUMMYFUNCTION("""COMPUTED_VALUE"""),"GCAMT-7676395")</f>
        <v>GCAMT-7676395</v>
      </c>
      <c r="J2247" s="1076"/>
      <c r="K2247" s="1076">
        <f>IFERROR(__xludf.DUMMYFUNCTION("""COMPUTED_VALUE"""),0.5)</f>
        <v>0.5</v>
      </c>
      <c r="L2247" s="1076"/>
    </row>
    <row r="2248" customHeight="1" spans="1:12">
      <c r="A2248" s="1076" t="str">
        <f>IFERROR(__xludf.DUMMYFUNCTION("""COMPUTED_VALUE"""),"XXA-MPC-037")</f>
        <v>XXA-MPC-037</v>
      </c>
      <c r="B2248" s="1075" t="str">
        <f>IFERROR(__xludf.DUMMYFUNCTION("""COMPUTED_VALUE"""),"Máy phát cỏ 4 thì")</f>
        <v>Máy phát cỏ 4 thì</v>
      </c>
      <c r="C2248" s="1076" t="str">
        <f>IFERROR(__xludf.DUMMYFUNCTION("""COMPUTED_VALUE"""),"Loại biên")</f>
        <v>Loại biên</v>
      </c>
      <c r="D2248" s="1076" t="str">
        <f>IFERROR(__xludf.DUMMYFUNCTION("""COMPUTED_VALUE"""),"HONDA")</f>
        <v>HONDA</v>
      </c>
      <c r="E2248" s="1076" t="str">
        <f>IFERROR(__xludf.DUMMYFUNCTION("""COMPUTED_VALUE"""),"TRUNG QUỐC")</f>
        <v>TRUNG QUỐC</v>
      </c>
      <c r="F2248" s="1076"/>
      <c r="G2248" s="1076" t="str">
        <f>IFERROR(__xludf.DUMMYFUNCTION("""COMPUTED_VALUE"""),"GX35")</f>
        <v>GX35</v>
      </c>
      <c r="H2248" s="1076" t="str">
        <f>IFERROR(__xludf.DUMMYFUNCTION("""COMPUTED_VALUE"""),"1.6HP")</f>
        <v>1.6HP</v>
      </c>
      <c r="I2248" s="1076" t="str">
        <f>IFERROR(__xludf.DUMMYFUNCTION("""COMPUTED_VALUE"""),"GCAMT-7676316")</f>
        <v>GCAMT-7676316</v>
      </c>
      <c r="J2248" s="1076"/>
      <c r="K2248" s="1076">
        <f>IFERROR(__xludf.DUMMYFUNCTION("""COMPUTED_VALUE"""),0.5)</f>
        <v>0.5</v>
      </c>
      <c r="L2248" s="1076"/>
    </row>
    <row r="2249" customHeight="1" spans="1:12">
      <c r="A2249" s="1076" t="str">
        <f>IFERROR(__xludf.DUMMYFUNCTION("""COMPUTED_VALUE"""),"XXA-MPC-038")</f>
        <v>XXA-MPC-038</v>
      </c>
      <c r="B2249" s="1075" t="str">
        <f>IFERROR(__xludf.DUMMYFUNCTION("""COMPUTED_VALUE"""),"Máy phát cỏ 4 thì")</f>
        <v>Máy phát cỏ 4 thì</v>
      </c>
      <c r="C2249" s="1076" t="str">
        <f>IFERROR(__xludf.DUMMYFUNCTION("""COMPUTED_VALUE"""),"Loại biên")</f>
        <v>Loại biên</v>
      </c>
      <c r="D2249" s="1076" t="str">
        <f>IFERROR(__xludf.DUMMYFUNCTION("""COMPUTED_VALUE"""),"HONDA")</f>
        <v>HONDA</v>
      </c>
      <c r="E2249" s="1076" t="str">
        <f>IFERROR(__xludf.DUMMYFUNCTION("""COMPUTED_VALUE"""),"TRUNG QUỐC")</f>
        <v>TRUNG QUỐC</v>
      </c>
      <c r="F2249" s="1076"/>
      <c r="G2249" s="1076" t="str">
        <f>IFERROR(__xludf.DUMMYFUNCTION("""COMPUTED_VALUE"""),"GX35")</f>
        <v>GX35</v>
      </c>
      <c r="H2249" s="1076" t="str">
        <f>IFERROR(__xludf.DUMMYFUNCTION("""COMPUTED_VALUE"""),"1.6HP")</f>
        <v>1.6HP</v>
      </c>
      <c r="I2249" s="1076" t="str">
        <f>IFERROR(__xludf.DUMMYFUNCTION("""COMPUTED_VALUE"""),"GCAMT-7676264")</f>
        <v>GCAMT-7676264</v>
      </c>
      <c r="J2249" s="1076"/>
      <c r="K2249" s="1076">
        <f>IFERROR(__xludf.DUMMYFUNCTION("""COMPUTED_VALUE"""),0.5)</f>
        <v>0.5</v>
      </c>
      <c r="L2249" s="1076"/>
    </row>
    <row r="2250" customHeight="1" spans="1:12">
      <c r="A2250" s="1076" t="str">
        <f>IFERROR(__xludf.DUMMYFUNCTION("""COMPUTED_VALUE"""),"XXA-MPC-039")</f>
        <v>XXA-MPC-039</v>
      </c>
      <c r="B2250" s="1075" t="str">
        <f>IFERROR(__xludf.DUMMYFUNCTION("""COMPUTED_VALUE"""),"Máy phát cỏ 4 thì")</f>
        <v>Máy phát cỏ 4 thì</v>
      </c>
      <c r="C2250" s="1076" t="str">
        <f>IFERROR(__xludf.DUMMYFUNCTION("""COMPUTED_VALUE"""),"Loại biên")</f>
        <v>Loại biên</v>
      </c>
      <c r="D2250" s="1076" t="str">
        <f>IFERROR(__xludf.DUMMYFUNCTION("""COMPUTED_VALUE"""),"HONDA")</f>
        <v>HONDA</v>
      </c>
      <c r="E2250" s="1076" t="str">
        <f>IFERROR(__xludf.DUMMYFUNCTION("""COMPUTED_VALUE"""),"TRUNG QUỐC")</f>
        <v>TRUNG QUỐC</v>
      </c>
      <c r="F2250" s="1076"/>
      <c r="G2250" s="1076" t="str">
        <f>IFERROR(__xludf.DUMMYFUNCTION("""COMPUTED_VALUE"""),"GX35")</f>
        <v>GX35</v>
      </c>
      <c r="H2250" s="1076" t="str">
        <f>IFERROR(__xludf.DUMMYFUNCTION("""COMPUTED_VALUE"""),"1.6HP")</f>
        <v>1.6HP</v>
      </c>
      <c r="I2250" s="1076" t="str">
        <f>IFERROR(__xludf.DUMMYFUNCTION("""COMPUTED_VALUE"""),"GCAMT-7677968")</f>
        <v>GCAMT-7677968</v>
      </c>
      <c r="J2250" s="1076"/>
      <c r="K2250" s="1076">
        <f>IFERROR(__xludf.DUMMYFUNCTION("""COMPUTED_VALUE"""),0.5)</f>
        <v>0.5</v>
      </c>
      <c r="L2250" s="1076"/>
    </row>
    <row r="2251" customHeight="1" spans="1:12">
      <c r="A2251" s="1076" t="str">
        <f>IFERROR(__xludf.DUMMYFUNCTION("""COMPUTED_VALUE"""),"XXA-MPC-040")</f>
        <v>XXA-MPC-040</v>
      </c>
      <c r="B2251" s="1075" t="str">
        <f>IFERROR(__xludf.DUMMYFUNCTION("""COMPUTED_VALUE"""),"Máy phát cỏ 4 thì")</f>
        <v>Máy phát cỏ 4 thì</v>
      </c>
      <c r="C2251" s="1076" t="str">
        <f>IFERROR(__xludf.DUMMYFUNCTION("""COMPUTED_VALUE"""),"Loại biên")</f>
        <v>Loại biên</v>
      </c>
      <c r="D2251" s="1076" t="str">
        <f>IFERROR(__xludf.DUMMYFUNCTION("""COMPUTED_VALUE"""),"HONDA")</f>
        <v>HONDA</v>
      </c>
      <c r="E2251" s="1076" t="str">
        <f>IFERROR(__xludf.DUMMYFUNCTION("""COMPUTED_VALUE"""),"TRUNG QUỐC")</f>
        <v>TRUNG QUỐC</v>
      </c>
      <c r="F2251" s="1076"/>
      <c r="G2251" s="1076" t="str">
        <f>IFERROR(__xludf.DUMMYFUNCTION("""COMPUTED_VALUE"""),"GX35")</f>
        <v>GX35</v>
      </c>
      <c r="H2251" s="1076" t="str">
        <f>IFERROR(__xludf.DUMMYFUNCTION("""COMPUTED_VALUE"""),"1.6HP")</f>
        <v>1.6HP</v>
      </c>
      <c r="I2251" s="1076" t="str">
        <f>IFERROR(__xludf.DUMMYFUNCTION("""COMPUTED_VALUE"""),"GCAMT-7655347")</f>
        <v>GCAMT-7655347</v>
      </c>
      <c r="J2251" s="1076"/>
      <c r="K2251" s="1076">
        <f>IFERROR(__xludf.DUMMYFUNCTION("""COMPUTED_VALUE"""),0.5)</f>
        <v>0.5</v>
      </c>
      <c r="L2251" s="1076"/>
    </row>
    <row r="2252" customHeight="1" spans="1:12">
      <c r="A2252" s="1076" t="str">
        <f>IFERROR(__xludf.DUMMYFUNCTION("""COMPUTED_VALUE"""),"XXA-MPC-041")</f>
        <v>XXA-MPC-041</v>
      </c>
      <c r="B2252" s="1075" t="str">
        <f>IFERROR(__xludf.DUMMYFUNCTION("""COMPUTED_VALUE"""),"Máy phát cỏ 4 thì")</f>
        <v>Máy phát cỏ 4 thì</v>
      </c>
      <c r="C2252" s="1076" t="str">
        <f>IFERROR(__xludf.DUMMYFUNCTION("""COMPUTED_VALUE"""),"Loại biên")</f>
        <v>Loại biên</v>
      </c>
      <c r="D2252" s="1076" t="str">
        <f>IFERROR(__xludf.DUMMYFUNCTION("""COMPUTED_VALUE"""),"HONDA")</f>
        <v>HONDA</v>
      </c>
      <c r="E2252" s="1076" t="str">
        <f>IFERROR(__xludf.DUMMYFUNCTION("""COMPUTED_VALUE"""),"TRUNG QUỐC")</f>
        <v>TRUNG QUỐC</v>
      </c>
      <c r="F2252" s="1076"/>
      <c r="G2252" s="1076" t="str">
        <f>IFERROR(__xludf.DUMMYFUNCTION("""COMPUTED_VALUE"""),"GX35")</f>
        <v>GX35</v>
      </c>
      <c r="H2252" s="1076" t="str">
        <f>IFERROR(__xludf.DUMMYFUNCTION("""COMPUTED_VALUE"""),"1.6HP")</f>
        <v>1.6HP</v>
      </c>
      <c r="I2252" s="1076" t="str">
        <f>IFERROR(__xludf.DUMMYFUNCTION("""COMPUTED_VALUE"""),"GCAMT-7655401")</f>
        <v>GCAMT-7655401</v>
      </c>
      <c r="J2252" s="1076"/>
      <c r="K2252" s="1076">
        <f>IFERROR(__xludf.DUMMYFUNCTION("""COMPUTED_VALUE"""),0.5)</f>
        <v>0.5</v>
      </c>
      <c r="L2252" s="1076"/>
    </row>
    <row r="2253" customHeight="1" spans="1:12">
      <c r="A2253" s="1076" t="str">
        <f>IFERROR(__xludf.DUMMYFUNCTION("""COMPUTED_VALUE"""),"XXA-MPC-042")</f>
        <v>XXA-MPC-042</v>
      </c>
      <c r="B2253" s="1075" t="str">
        <f>IFERROR(__xludf.DUMMYFUNCTION("""COMPUTED_VALUE"""),"Máy phát cỏ 4 thì")</f>
        <v>Máy phát cỏ 4 thì</v>
      </c>
      <c r="C2253" s="1076" t="str">
        <f>IFERROR(__xludf.DUMMYFUNCTION("""COMPUTED_VALUE"""),"Loại biên")</f>
        <v>Loại biên</v>
      </c>
      <c r="D2253" s="1076" t="str">
        <f>IFERROR(__xludf.DUMMYFUNCTION("""COMPUTED_VALUE"""),"HONDA")</f>
        <v>HONDA</v>
      </c>
      <c r="E2253" s="1076" t="str">
        <f>IFERROR(__xludf.DUMMYFUNCTION("""COMPUTED_VALUE"""),"TRUNG QUỐC")</f>
        <v>TRUNG QUỐC</v>
      </c>
      <c r="F2253" s="1076"/>
      <c r="G2253" s="1076" t="str">
        <f>IFERROR(__xludf.DUMMYFUNCTION("""COMPUTED_VALUE"""),"GX35")</f>
        <v>GX35</v>
      </c>
      <c r="H2253" s="1076" t="str">
        <f>IFERROR(__xludf.DUMMYFUNCTION("""COMPUTED_VALUE"""),"1.6HP")</f>
        <v>1.6HP</v>
      </c>
      <c r="I2253" s="1076" t="str">
        <f>IFERROR(__xludf.DUMMYFUNCTION("""COMPUTED_VALUE"""),"GCAMT-7676273")</f>
        <v>GCAMT-7676273</v>
      </c>
      <c r="J2253" s="1076"/>
      <c r="K2253" s="1076">
        <f>IFERROR(__xludf.DUMMYFUNCTION("""COMPUTED_VALUE"""),0.5)</f>
        <v>0.5</v>
      </c>
      <c r="L2253" s="1076"/>
    </row>
    <row r="2254" customHeight="1" spans="1:12">
      <c r="A2254" s="1076" t="str">
        <f>IFERROR(__xludf.DUMMYFUNCTION("""COMPUTED_VALUE"""),"XXA-MPC-043")</f>
        <v>XXA-MPC-043</v>
      </c>
      <c r="B2254" s="1075" t="str">
        <f>IFERROR(__xludf.DUMMYFUNCTION("""COMPUTED_VALUE"""),"Máy phát cỏ 4 thì")</f>
        <v>Máy phát cỏ 4 thì</v>
      </c>
      <c r="C2254" s="1076" t="str">
        <f>IFERROR(__xludf.DUMMYFUNCTION("""COMPUTED_VALUE"""),"Loại biên")</f>
        <v>Loại biên</v>
      </c>
      <c r="D2254" s="1076" t="str">
        <f>IFERROR(__xludf.DUMMYFUNCTION("""COMPUTED_VALUE"""),"HONDA")</f>
        <v>HONDA</v>
      </c>
      <c r="E2254" s="1076" t="str">
        <f>IFERROR(__xludf.DUMMYFUNCTION("""COMPUTED_VALUE"""),"TRUNG QUỐC")</f>
        <v>TRUNG QUỐC</v>
      </c>
      <c r="F2254" s="1076"/>
      <c r="G2254" s="1076" t="str">
        <f>IFERROR(__xludf.DUMMYFUNCTION("""COMPUTED_VALUE"""),"GX35")</f>
        <v>GX35</v>
      </c>
      <c r="H2254" s="1076" t="str">
        <f>IFERROR(__xludf.DUMMYFUNCTION("""COMPUTED_VALUE"""),"1.6HP")</f>
        <v>1.6HP</v>
      </c>
      <c r="I2254" s="1076" t="str">
        <f>IFERROR(__xludf.DUMMYFUNCTION("""COMPUTED_VALUE"""),"GCAMT-7676367")</f>
        <v>GCAMT-7676367</v>
      </c>
      <c r="J2254" s="1076"/>
      <c r="K2254" s="1076">
        <f>IFERROR(__xludf.DUMMYFUNCTION("""COMPUTED_VALUE"""),0.5)</f>
        <v>0.5</v>
      </c>
      <c r="L2254" s="1076"/>
    </row>
    <row r="2255" customHeight="1" spans="1:12">
      <c r="A2255" s="1076" t="str">
        <f>IFERROR(__xludf.DUMMYFUNCTION("""COMPUTED_VALUE"""),"XBA-MPC-001")</f>
        <v>XBA-MPC-001</v>
      </c>
      <c r="B2255" s="1075" t="str">
        <f>IFERROR(__xludf.DUMMYFUNCTION("""COMPUTED_VALUE"""),"Máy phát cỏ 4 thì")</f>
        <v>Máy phát cỏ 4 thì</v>
      </c>
      <c r="C2255" s="1076" t="str">
        <f>IFERROR(__xludf.DUMMYFUNCTION("""COMPUTED_VALUE"""),"Loại biên")</f>
        <v>Loại biên</v>
      </c>
      <c r="D2255" s="1076" t="str">
        <f>IFERROR(__xludf.DUMMYFUNCTION("""COMPUTED_VALUE"""),"HINOTA  ")</f>
        <v>HINOTA  </v>
      </c>
      <c r="E2255" s="1076" t="str">
        <f>IFERROR(__xludf.DUMMYFUNCTION("""COMPUTED_VALUE"""),"Trung Quốc")</f>
        <v>Trung Quốc</v>
      </c>
      <c r="F2255" s="1076"/>
      <c r="G2255" s="1076" t="str">
        <f>IFERROR(__xludf.DUMMYFUNCTION("""COMPUTED_VALUE"""),"CG435")</f>
        <v>CG435</v>
      </c>
      <c r="H2255" s="1076" t="str">
        <f>IFERROR(__xludf.DUMMYFUNCTION("""COMPUTED_VALUE"""),"1.2HP")</f>
        <v>1.2HP</v>
      </c>
      <c r="I2255" s="1076" t="str">
        <f>IFERROR(__xludf.DUMMYFUNCTION("""COMPUTED_VALUE"""),"220511/ZOZC1-1M")</f>
        <v>220511/ZOZC1-1M</v>
      </c>
      <c r="J2255" s="1076"/>
      <c r="K2255" s="1076">
        <f>IFERROR(__xludf.DUMMYFUNCTION("""COMPUTED_VALUE"""),0.5)</f>
        <v>0.5</v>
      </c>
      <c r="L2255" s="1076"/>
    </row>
    <row r="2256" customHeight="1" spans="1:12">
      <c r="A2256" s="1076" t="str">
        <f>IFERROR(__xludf.DUMMYFUNCTION("""COMPUTED_VALUE"""),"XBA-MPC-002")</f>
        <v>XBA-MPC-002</v>
      </c>
      <c r="B2256" s="1075" t="str">
        <f>IFERROR(__xludf.DUMMYFUNCTION("""COMPUTED_VALUE"""),"Máy phát cỏ 4 thì")</f>
        <v>Máy phát cỏ 4 thì</v>
      </c>
      <c r="C2256" s="1076" t="str">
        <f>IFERROR(__xludf.DUMMYFUNCTION("""COMPUTED_VALUE"""),"Loại biên")</f>
        <v>Loại biên</v>
      </c>
      <c r="D2256" s="1076" t="str">
        <f>IFERROR(__xludf.DUMMYFUNCTION("""COMPUTED_VALUE"""),"HINOTA  ")</f>
        <v>HINOTA  </v>
      </c>
      <c r="E2256" s="1076" t="str">
        <f>IFERROR(__xludf.DUMMYFUNCTION("""COMPUTED_VALUE"""),"Trung Quốc")</f>
        <v>Trung Quốc</v>
      </c>
      <c r="F2256" s="1076"/>
      <c r="G2256" s="1076" t="str">
        <f>IFERROR(__xludf.DUMMYFUNCTION("""COMPUTED_VALUE"""),"CG435")</f>
        <v>CG435</v>
      </c>
      <c r="H2256" s="1076" t="str">
        <f>IFERROR(__xludf.DUMMYFUNCTION("""COMPUTED_VALUE"""),"1.2HP")</f>
        <v>1.2HP</v>
      </c>
      <c r="I2256" s="1076" t="str">
        <f>IFERROR(__xludf.DUMMYFUNCTION("""COMPUTED_VALUE"""),"220511/ZOZC1-1M")</f>
        <v>220511/ZOZC1-1M</v>
      </c>
      <c r="J2256" s="1076"/>
      <c r="K2256" s="1076">
        <f>IFERROR(__xludf.DUMMYFUNCTION("""COMPUTED_VALUE"""),0.5)</f>
        <v>0.5</v>
      </c>
      <c r="L2256" s="1076"/>
    </row>
    <row r="2257" customHeight="1" spans="1:12">
      <c r="A2257" s="1076" t="str">
        <f>IFERROR(__xludf.DUMMYFUNCTION("""COMPUTED_VALUE"""),"XBA-MPC-003")</f>
        <v>XBA-MPC-003</v>
      </c>
      <c r="B2257" s="1075" t="str">
        <f>IFERROR(__xludf.DUMMYFUNCTION("""COMPUTED_VALUE"""),"Máy phát cỏ 4 thì")</f>
        <v>Máy phát cỏ 4 thì</v>
      </c>
      <c r="C2257" s="1076" t="str">
        <f>IFERROR(__xludf.DUMMYFUNCTION("""COMPUTED_VALUE"""),"Loại biên")</f>
        <v>Loại biên</v>
      </c>
      <c r="D2257" s="1076" t="str">
        <f>IFERROR(__xludf.DUMMYFUNCTION("""COMPUTED_VALUE"""),"HINOTA  ")</f>
        <v>HINOTA  </v>
      </c>
      <c r="E2257" s="1076" t="str">
        <f>IFERROR(__xludf.DUMMYFUNCTION("""COMPUTED_VALUE"""),"Trung Quốc")</f>
        <v>Trung Quốc</v>
      </c>
      <c r="F2257" s="1076"/>
      <c r="G2257" s="1076" t="str">
        <f>IFERROR(__xludf.DUMMYFUNCTION("""COMPUTED_VALUE"""),"CG435")</f>
        <v>CG435</v>
      </c>
      <c r="H2257" s="1076" t="str">
        <f>IFERROR(__xludf.DUMMYFUNCTION("""COMPUTED_VALUE"""),"1.2HP")</f>
        <v>1.2HP</v>
      </c>
      <c r="I2257" s="1076" t="str">
        <f>IFERROR(__xludf.DUMMYFUNCTION("""COMPUTED_VALUE"""),"220511/ZOZC1-1M")</f>
        <v>220511/ZOZC1-1M</v>
      </c>
      <c r="J2257" s="1076"/>
      <c r="K2257" s="1076">
        <f>IFERROR(__xludf.DUMMYFUNCTION("""COMPUTED_VALUE"""),0.5)</f>
        <v>0.5</v>
      </c>
      <c r="L2257" s="1076"/>
    </row>
    <row r="2258" customHeight="1" spans="1:12">
      <c r="A2258" s="1076" t="str">
        <f>IFERROR(__xludf.DUMMYFUNCTION("""COMPUTED_VALUE"""),"XBA-MPC-004")</f>
        <v>XBA-MPC-004</v>
      </c>
      <c r="B2258" s="1075" t="str">
        <f>IFERROR(__xludf.DUMMYFUNCTION("""COMPUTED_VALUE"""),"Máy phát cỏ 4 thì")</f>
        <v>Máy phát cỏ 4 thì</v>
      </c>
      <c r="C2258" s="1076" t="str">
        <f>IFERROR(__xludf.DUMMYFUNCTION("""COMPUTED_VALUE"""),"Loại biên")</f>
        <v>Loại biên</v>
      </c>
      <c r="D2258" s="1076" t="str">
        <f>IFERROR(__xludf.DUMMYFUNCTION("""COMPUTED_VALUE"""),"HINOTA  ")</f>
        <v>HINOTA  </v>
      </c>
      <c r="E2258" s="1076" t="str">
        <f>IFERROR(__xludf.DUMMYFUNCTION("""COMPUTED_VALUE"""),"Trung Quốc")</f>
        <v>Trung Quốc</v>
      </c>
      <c r="F2258" s="1076"/>
      <c r="G2258" s="1076" t="str">
        <f>IFERROR(__xludf.DUMMYFUNCTION("""COMPUTED_VALUE"""),"CG435")</f>
        <v>CG435</v>
      </c>
      <c r="H2258" s="1076" t="str">
        <f>IFERROR(__xludf.DUMMYFUNCTION("""COMPUTED_VALUE"""),"1.2HP")</f>
        <v>1.2HP</v>
      </c>
      <c r="I2258" s="1076" t="str">
        <f>IFERROR(__xludf.DUMMYFUNCTION("""COMPUTED_VALUE"""),"220511/ZOZC1-1M")</f>
        <v>220511/ZOZC1-1M</v>
      </c>
      <c r="J2258" s="1076"/>
      <c r="K2258" s="1076">
        <f>IFERROR(__xludf.DUMMYFUNCTION("""COMPUTED_VALUE"""),0.5)</f>
        <v>0.5</v>
      </c>
      <c r="L2258" s="1076"/>
    </row>
    <row r="2259" customHeight="1" spans="1:12">
      <c r="A2259" s="1076" t="str">
        <f>IFERROR(__xludf.DUMMYFUNCTION("""COMPUTED_VALUE"""),"XBA-MPC-005")</f>
        <v>XBA-MPC-005</v>
      </c>
      <c r="B2259" s="1075" t="str">
        <f>IFERROR(__xludf.DUMMYFUNCTION("""COMPUTED_VALUE"""),"Máy phát cỏ 4 thì")</f>
        <v>Máy phát cỏ 4 thì</v>
      </c>
      <c r="C2259" s="1076" t="str">
        <f>IFERROR(__xludf.DUMMYFUNCTION("""COMPUTED_VALUE"""),"Loại biên")</f>
        <v>Loại biên</v>
      </c>
      <c r="D2259" s="1076" t="str">
        <f>IFERROR(__xludf.DUMMYFUNCTION("""COMPUTED_VALUE"""),"HINOTA  ")</f>
        <v>HINOTA  </v>
      </c>
      <c r="E2259" s="1076" t="str">
        <f>IFERROR(__xludf.DUMMYFUNCTION("""COMPUTED_VALUE"""),"Trung Quốc")</f>
        <v>Trung Quốc</v>
      </c>
      <c r="F2259" s="1076"/>
      <c r="G2259" s="1076" t="str">
        <f>IFERROR(__xludf.DUMMYFUNCTION("""COMPUTED_VALUE"""),"CG435")</f>
        <v>CG435</v>
      </c>
      <c r="H2259" s="1076" t="str">
        <f>IFERROR(__xludf.DUMMYFUNCTION("""COMPUTED_VALUE"""),"1.2HP")</f>
        <v>1.2HP</v>
      </c>
      <c r="I2259" s="1076" t="str">
        <f>IFERROR(__xludf.DUMMYFUNCTION("""COMPUTED_VALUE"""),"220511/ZOZC1-1M")</f>
        <v>220511/ZOZC1-1M</v>
      </c>
      <c r="J2259" s="1076"/>
      <c r="K2259" s="1076">
        <f>IFERROR(__xludf.DUMMYFUNCTION("""COMPUTED_VALUE"""),0.5)</f>
        <v>0.5</v>
      </c>
      <c r="L2259" s="1076"/>
    </row>
    <row r="2260" customHeight="1" spans="1:12">
      <c r="A2260" s="1076" t="str">
        <f>IFERROR(__xludf.DUMMYFUNCTION("""COMPUTED_VALUE"""),"XBA-MPC-006")</f>
        <v>XBA-MPC-006</v>
      </c>
      <c r="B2260" s="1075" t="str">
        <f>IFERROR(__xludf.DUMMYFUNCTION("""COMPUTED_VALUE"""),"Máy phát cỏ 4 thì")</f>
        <v>Máy phát cỏ 4 thì</v>
      </c>
      <c r="C2260" s="1076" t="str">
        <f>IFERROR(__xludf.DUMMYFUNCTION("""COMPUTED_VALUE"""),"Loại biên")</f>
        <v>Loại biên</v>
      </c>
      <c r="D2260" s="1076" t="str">
        <f>IFERROR(__xludf.DUMMYFUNCTION("""COMPUTED_VALUE"""),"HINOTA  ")</f>
        <v>HINOTA  </v>
      </c>
      <c r="E2260" s="1076" t="str">
        <f>IFERROR(__xludf.DUMMYFUNCTION("""COMPUTED_VALUE"""),"Trung Quốc")</f>
        <v>Trung Quốc</v>
      </c>
      <c r="F2260" s="1076"/>
      <c r="G2260" s="1076" t="str">
        <f>IFERROR(__xludf.DUMMYFUNCTION("""COMPUTED_VALUE"""),"CG435")</f>
        <v>CG435</v>
      </c>
      <c r="H2260" s="1076" t="str">
        <f>IFERROR(__xludf.DUMMYFUNCTION("""COMPUTED_VALUE"""),"1.2HP")</f>
        <v>1.2HP</v>
      </c>
      <c r="I2260" s="1076" t="str">
        <f>IFERROR(__xludf.DUMMYFUNCTION("""COMPUTED_VALUE"""),"220511/ZOZC1-1M")</f>
        <v>220511/ZOZC1-1M</v>
      </c>
      <c r="J2260" s="1076"/>
      <c r="K2260" s="1076">
        <f>IFERROR(__xludf.DUMMYFUNCTION("""COMPUTED_VALUE"""),0.5)</f>
        <v>0.5</v>
      </c>
      <c r="L2260" s="1076"/>
    </row>
    <row r="2261" customHeight="1" spans="1:12">
      <c r="A2261" s="1076" t="str">
        <f>IFERROR(__xludf.DUMMYFUNCTION("""COMPUTED_VALUE"""),"XBA-MPC-007")</f>
        <v>XBA-MPC-007</v>
      </c>
      <c r="B2261" s="1075" t="str">
        <f>IFERROR(__xludf.DUMMYFUNCTION("""COMPUTED_VALUE"""),"Máy phát cỏ 4 thì")</f>
        <v>Máy phát cỏ 4 thì</v>
      </c>
      <c r="C2261" s="1076" t="str">
        <f>IFERROR(__xludf.DUMMYFUNCTION("""COMPUTED_VALUE"""),"Loại biên")</f>
        <v>Loại biên</v>
      </c>
      <c r="D2261" s="1076" t="str">
        <f>IFERROR(__xludf.DUMMYFUNCTION("""COMPUTED_VALUE"""),"HONDA")</f>
        <v>HONDA</v>
      </c>
      <c r="E2261" s="1076" t="str">
        <f>IFERROR(__xludf.DUMMYFUNCTION("""COMPUTED_VALUE"""),"TRUNG QUỐC")</f>
        <v>TRUNG QUỐC</v>
      </c>
      <c r="F2261" s="1076"/>
      <c r="G2261" s="1076" t="str">
        <f>IFERROR(__xludf.DUMMYFUNCTION("""COMPUTED_VALUE"""),"GX35")</f>
        <v>GX35</v>
      </c>
      <c r="H2261" s="1076" t="str">
        <f>IFERROR(__xludf.DUMMYFUNCTION("""COMPUTED_VALUE"""),"1.6HP")</f>
        <v>1.6HP</v>
      </c>
      <c r="I2261" s="1076" t="str">
        <f>IFERROR(__xludf.DUMMYFUNCTION("""COMPUTED_VALUE"""),"GCAMT-4487275")</f>
        <v>GCAMT-4487275</v>
      </c>
      <c r="J2261" s="1076"/>
      <c r="K2261" s="1076">
        <f>IFERROR(__xludf.DUMMYFUNCTION("""COMPUTED_VALUE"""),0.5)</f>
        <v>0.5</v>
      </c>
      <c r="L2261" s="1076"/>
    </row>
    <row r="2262" customHeight="1" spans="1:12">
      <c r="A2262" s="1076" t="str">
        <f>IFERROR(__xludf.DUMMYFUNCTION("""COMPUTED_VALUE"""),"XBA-MPC-008")</f>
        <v>XBA-MPC-008</v>
      </c>
      <c r="B2262" s="1075" t="str">
        <f>IFERROR(__xludf.DUMMYFUNCTION("""COMPUTED_VALUE"""),"Máy phát cỏ 4 thì")</f>
        <v>Máy phát cỏ 4 thì</v>
      </c>
      <c r="C2262" s="1076" t="str">
        <f>IFERROR(__xludf.DUMMYFUNCTION("""COMPUTED_VALUE"""),"Loại biên")</f>
        <v>Loại biên</v>
      </c>
      <c r="D2262" s="1076" t="str">
        <f>IFERROR(__xludf.DUMMYFUNCTION("""COMPUTED_VALUE"""),"HONDA")</f>
        <v>HONDA</v>
      </c>
      <c r="E2262" s="1076" t="str">
        <f>IFERROR(__xludf.DUMMYFUNCTION("""COMPUTED_VALUE"""),"TRUNG QUỐC")</f>
        <v>TRUNG QUỐC</v>
      </c>
      <c r="F2262" s="1076"/>
      <c r="G2262" s="1076" t="str">
        <f>IFERROR(__xludf.DUMMYFUNCTION("""COMPUTED_VALUE"""),"GX35")</f>
        <v>GX35</v>
      </c>
      <c r="H2262" s="1076" t="str">
        <f>IFERROR(__xludf.DUMMYFUNCTION("""COMPUTED_VALUE"""),"1.6HP")</f>
        <v>1.6HP</v>
      </c>
      <c r="I2262" s="1076" t="str">
        <f>IFERROR(__xludf.DUMMYFUNCTION("""COMPUTED_VALUE"""),"GCAMT-4487389")</f>
        <v>GCAMT-4487389</v>
      </c>
      <c r="J2262" s="1076"/>
      <c r="K2262" s="1076">
        <f>IFERROR(__xludf.DUMMYFUNCTION("""COMPUTED_VALUE"""),0.5)</f>
        <v>0.5</v>
      </c>
      <c r="L2262" s="1076"/>
    </row>
    <row r="2263" customHeight="1" spans="1:12">
      <c r="A2263" s="1076" t="str">
        <f>IFERROR(__xludf.DUMMYFUNCTION("""COMPUTED_VALUE"""),"XBA-MPC-009")</f>
        <v>XBA-MPC-009</v>
      </c>
      <c r="B2263" s="1075" t="str">
        <f>IFERROR(__xludf.DUMMYFUNCTION("""COMPUTED_VALUE"""),"Máy phát cỏ 4 thì")</f>
        <v>Máy phát cỏ 4 thì</v>
      </c>
      <c r="C2263" s="1076" t="str">
        <f>IFERROR(__xludf.DUMMYFUNCTION("""COMPUTED_VALUE"""),"Loại biên")</f>
        <v>Loại biên</v>
      </c>
      <c r="D2263" s="1076" t="str">
        <f>IFERROR(__xludf.DUMMYFUNCTION("""COMPUTED_VALUE"""),"HONDA")</f>
        <v>HONDA</v>
      </c>
      <c r="E2263" s="1076" t="str">
        <f>IFERROR(__xludf.DUMMYFUNCTION("""COMPUTED_VALUE"""),"TRUNG QUỐC")</f>
        <v>TRUNG QUỐC</v>
      </c>
      <c r="F2263" s="1076"/>
      <c r="G2263" s="1076" t="str">
        <f>IFERROR(__xludf.DUMMYFUNCTION("""COMPUTED_VALUE"""),"GX35")</f>
        <v>GX35</v>
      </c>
      <c r="H2263" s="1076" t="str">
        <f>IFERROR(__xludf.DUMMYFUNCTION("""COMPUTED_VALUE"""),"1.6HP")</f>
        <v>1.6HP</v>
      </c>
      <c r="I2263" s="1076" t="str">
        <f>IFERROR(__xludf.DUMMYFUNCTION("""COMPUTED_VALUE"""),"GCAMT-4487022")</f>
        <v>GCAMT-4487022</v>
      </c>
      <c r="J2263" s="1076"/>
      <c r="K2263" s="1076">
        <f>IFERROR(__xludf.DUMMYFUNCTION("""COMPUTED_VALUE"""),0.5)</f>
        <v>0.5</v>
      </c>
      <c r="L2263" s="1076"/>
    </row>
    <row r="2264" customHeight="1" spans="1:12">
      <c r="A2264" s="1076" t="str">
        <f>IFERROR(__xludf.DUMMYFUNCTION("""COMPUTED_VALUE"""),"XBA-MPC-010")</f>
        <v>XBA-MPC-010</v>
      </c>
      <c r="B2264" s="1075" t="str">
        <f>IFERROR(__xludf.DUMMYFUNCTION("""COMPUTED_VALUE"""),"Máy phát cỏ 4 thì")</f>
        <v>Máy phát cỏ 4 thì</v>
      </c>
      <c r="C2264" s="1076" t="str">
        <f>IFERROR(__xludf.DUMMYFUNCTION("""COMPUTED_VALUE"""),"Loại biên")</f>
        <v>Loại biên</v>
      </c>
      <c r="D2264" s="1076" t="str">
        <f>IFERROR(__xludf.DUMMYFUNCTION("""COMPUTED_VALUE"""),"HONDA")</f>
        <v>HONDA</v>
      </c>
      <c r="E2264" s="1076" t="str">
        <f>IFERROR(__xludf.DUMMYFUNCTION("""COMPUTED_VALUE"""),"TRUNG QUỐC")</f>
        <v>TRUNG QUỐC</v>
      </c>
      <c r="F2264" s="1076"/>
      <c r="G2264" s="1076" t="str">
        <f>IFERROR(__xludf.DUMMYFUNCTION("""COMPUTED_VALUE"""),"GX35")</f>
        <v>GX35</v>
      </c>
      <c r="H2264" s="1076" t="str">
        <f>IFERROR(__xludf.DUMMYFUNCTION("""COMPUTED_VALUE"""),"1.6HP")</f>
        <v>1.6HP</v>
      </c>
      <c r="I2264" s="1076" t="str">
        <f>IFERROR(__xludf.DUMMYFUNCTION("""COMPUTED_VALUE"""),"GCAMT-4487009")</f>
        <v>GCAMT-4487009</v>
      </c>
      <c r="J2264" s="1076"/>
      <c r="K2264" s="1076">
        <f>IFERROR(__xludf.DUMMYFUNCTION("""COMPUTED_VALUE"""),0.5)</f>
        <v>0.5</v>
      </c>
      <c r="L2264" s="1076"/>
    </row>
    <row r="2265" customHeight="1" spans="1:12">
      <c r="A2265" s="1076" t="str">
        <f>IFERROR(__xludf.DUMMYFUNCTION("""COMPUTED_VALUE"""),"XBA-MPC-011")</f>
        <v>XBA-MPC-011</v>
      </c>
      <c r="B2265" s="1075" t="str">
        <f>IFERROR(__xludf.DUMMYFUNCTION("""COMPUTED_VALUE"""),"Máy phát cỏ 4 thì")</f>
        <v>Máy phát cỏ 4 thì</v>
      </c>
      <c r="C2265" s="1076" t="str">
        <f>IFERROR(__xludf.DUMMYFUNCTION("""COMPUTED_VALUE"""),"Loại biên")</f>
        <v>Loại biên</v>
      </c>
      <c r="D2265" s="1076" t="str">
        <f>IFERROR(__xludf.DUMMYFUNCTION("""COMPUTED_VALUE"""),"HONDA")</f>
        <v>HONDA</v>
      </c>
      <c r="E2265" s="1076" t="str">
        <f>IFERROR(__xludf.DUMMYFUNCTION("""COMPUTED_VALUE"""),"TRUNG QUỐC")</f>
        <v>TRUNG QUỐC</v>
      </c>
      <c r="F2265" s="1076"/>
      <c r="G2265" s="1076" t="str">
        <f>IFERROR(__xludf.DUMMYFUNCTION("""COMPUTED_VALUE"""),"GX35")</f>
        <v>GX35</v>
      </c>
      <c r="H2265" s="1076" t="str">
        <f>IFERROR(__xludf.DUMMYFUNCTION("""COMPUTED_VALUE"""),"1.6HP")</f>
        <v>1.6HP</v>
      </c>
      <c r="I2265" s="1076" t="str">
        <f>IFERROR(__xludf.DUMMYFUNCTION("""COMPUTED_VALUE"""),"GCAMT-4487449")</f>
        <v>GCAMT-4487449</v>
      </c>
      <c r="J2265" s="1076"/>
      <c r="K2265" s="1076">
        <f>IFERROR(__xludf.DUMMYFUNCTION("""COMPUTED_VALUE"""),0.5)</f>
        <v>0.5</v>
      </c>
      <c r="L2265" s="1076"/>
    </row>
    <row r="2266" customHeight="1" spans="1:12">
      <c r="A2266" s="1076" t="str">
        <f>IFERROR(__xludf.DUMMYFUNCTION("""COMPUTED_VALUE"""),"XBA-MPC-013")</f>
        <v>XBA-MPC-013</v>
      </c>
      <c r="B2266" s="1075" t="str">
        <f>IFERROR(__xludf.DUMMYFUNCTION("""COMPUTED_VALUE"""),"Máy phát cỏ 4 thì")</f>
        <v>Máy phát cỏ 4 thì</v>
      </c>
      <c r="C2266" s="1076" t="str">
        <f>IFERROR(__xludf.DUMMYFUNCTION("""COMPUTED_VALUE"""),"Loại biên")</f>
        <v>Loại biên</v>
      </c>
      <c r="D2266" s="1076" t="str">
        <f>IFERROR(__xludf.DUMMYFUNCTION("""COMPUTED_VALUE"""),"HONDA")</f>
        <v>HONDA</v>
      </c>
      <c r="E2266" s="1076" t="str">
        <f>IFERROR(__xludf.DUMMYFUNCTION("""COMPUTED_VALUE"""),"TRUNG QUỐC")</f>
        <v>TRUNG QUỐC</v>
      </c>
      <c r="F2266" s="1076"/>
      <c r="G2266" s="1076" t="str">
        <f>IFERROR(__xludf.DUMMYFUNCTION("""COMPUTED_VALUE"""),"GX35")</f>
        <v>GX35</v>
      </c>
      <c r="H2266" s="1076" t="str">
        <f>IFERROR(__xludf.DUMMYFUNCTION("""COMPUTED_VALUE"""),"1.6HP")</f>
        <v>1.6HP</v>
      </c>
      <c r="I2266" s="1076" t="str">
        <f>IFERROR(__xludf.DUMMYFUNCTION("""COMPUTED_VALUE"""),"GCAMT-7676330")</f>
        <v>GCAMT-7676330</v>
      </c>
      <c r="J2266" s="1076"/>
      <c r="K2266" s="1076">
        <f>IFERROR(__xludf.DUMMYFUNCTION("""COMPUTED_VALUE"""),0.5)</f>
        <v>0.5</v>
      </c>
      <c r="L2266" s="1076"/>
    </row>
    <row r="2267" customHeight="1" spans="1:12">
      <c r="A2267" s="1076" t="str">
        <f>IFERROR(__xludf.DUMMYFUNCTION("""COMPUTED_VALUE"""),"XBA-MPC-014")</f>
        <v>XBA-MPC-014</v>
      </c>
      <c r="B2267" s="1075" t="str">
        <f>IFERROR(__xludf.DUMMYFUNCTION("""COMPUTED_VALUE"""),"Máy phát cỏ 4 thì")</f>
        <v>Máy phát cỏ 4 thì</v>
      </c>
      <c r="C2267" s="1076" t="str">
        <f>IFERROR(__xludf.DUMMYFUNCTION("""COMPUTED_VALUE"""),"Loại biên")</f>
        <v>Loại biên</v>
      </c>
      <c r="D2267" s="1076" t="str">
        <f>IFERROR(__xludf.DUMMYFUNCTION("""COMPUTED_VALUE"""),"HONDA")</f>
        <v>HONDA</v>
      </c>
      <c r="E2267" s="1076" t="str">
        <f>IFERROR(__xludf.DUMMYFUNCTION("""COMPUTED_VALUE"""),"TRUNG QUỐC")</f>
        <v>TRUNG QUỐC</v>
      </c>
      <c r="F2267" s="1076"/>
      <c r="G2267" s="1076" t="str">
        <f>IFERROR(__xludf.DUMMYFUNCTION("""COMPUTED_VALUE"""),"GX35")</f>
        <v>GX35</v>
      </c>
      <c r="H2267" s="1076" t="str">
        <f>IFERROR(__xludf.DUMMYFUNCTION("""COMPUTED_VALUE"""),"1.6HP")</f>
        <v>1.6HP</v>
      </c>
      <c r="I2267" s="1076" t="str">
        <f>IFERROR(__xludf.DUMMYFUNCTION("""COMPUTED_VALUE"""),"GCAMT-7655299")</f>
        <v>GCAMT-7655299</v>
      </c>
      <c r="J2267" s="1076"/>
      <c r="K2267" s="1076">
        <f>IFERROR(__xludf.DUMMYFUNCTION("""COMPUTED_VALUE"""),0.5)</f>
        <v>0.5</v>
      </c>
      <c r="L2267" s="1076"/>
    </row>
    <row r="2268" customHeight="1" spans="1:12">
      <c r="A2268" s="1076" t="str">
        <f>IFERROR(__xludf.DUMMYFUNCTION("""COMPUTED_VALUE"""),"XBA-MPC-015")</f>
        <v>XBA-MPC-015</v>
      </c>
      <c r="B2268" s="1075" t="str">
        <f>IFERROR(__xludf.DUMMYFUNCTION("""COMPUTED_VALUE"""),"Máy phát cỏ 4 thì")</f>
        <v>Máy phát cỏ 4 thì</v>
      </c>
      <c r="C2268" s="1076" t="str">
        <f>IFERROR(__xludf.DUMMYFUNCTION("""COMPUTED_VALUE"""),"Loại biên")</f>
        <v>Loại biên</v>
      </c>
      <c r="D2268" s="1076" t="str">
        <f>IFERROR(__xludf.DUMMYFUNCTION("""COMPUTED_VALUE"""),"HONDA")</f>
        <v>HONDA</v>
      </c>
      <c r="E2268" s="1076" t="str">
        <f>IFERROR(__xludf.DUMMYFUNCTION("""COMPUTED_VALUE"""),"TRUNG QUỐC")</f>
        <v>TRUNG QUỐC</v>
      </c>
      <c r="F2268" s="1076"/>
      <c r="G2268" s="1076" t="str">
        <f>IFERROR(__xludf.DUMMYFUNCTION("""COMPUTED_VALUE"""),"GX35")</f>
        <v>GX35</v>
      </c>
      <c r="H2268" s="1076" t="str">
        <f>IFERROR(__xludf.DUMMYFUNCTION("""COMPUTED_VALUE"""),"1.6HP")</f>
        <v>1.6HP</v>
      </c>
      <c r="I2268" s="1076" t="str">
        <f>IFERROR(__xludf.DUMMYFUNCTION("""COMPUTED_VALUE"""),"GCAMT-7677905")</f>
        <v>GCAMT-7677905</v>
      </c>
      <c r="J2268" s="1076"/>
      <c r="K2268" s="1076">
        <f>IFERROR(__xludf.DUMMYFUNCTION("""COMPUTED_VALUE"""),0.5)</f>
        <v>0.5</v>
      </c>
      <c r="L2268" s="1076"/>
    </row>
    <row r="2269" customHeight="1" spans="1:12">
      <c r="A2269" s="1076" t="str">
        <f>IFERROR(__xludf.DUMMYFUNCTION("""COMPUTED_VALUE"""),"XD2-MPC-025")</f>
        <v>XD2-MPC-025</v>
      </c>
      <c r="B2269" s="1075" t="str">
        <f>IFERROR(__xludf.DUMMYFUNCTION("""COMPUTED_VALUE"""),"Máy phát cỏ 4 thì")</f>
        <v>Máy phát cỏ 4 thì</v>
      </c>
      <c r="C2269" s="1076" t="str">
        <f>IFERROR(__xludf.DUMMYFUNCTION("""COMPUTED_VALUE"""),"Loại biên")</f>
        <v>Loại biên</v>
      </c>
      <c r="D2269" s="1076" t="str">
        <f>IFERROR(__xludf.DUMMYFUNCTION("""COMPUTED_VALUE"""),"HINOTA")</f>
        <v>HINOTA</v>
      </c>
      <c r="E2269" s="1076" t="str">
        <f>IFERROR(__xludf.DUMMYFUNCTION("""COMPUTED_VALUE"""),"Trung Quốc")</f>
        <v>Trung Quốc</v>
      </c>
      <c r="F2269" s="1076"/>
      <c r="G2269" s="1076" t="str">
        <f>IFERROR(__xludf.DUMMYFUNCTION("""COMPUTED_VALUE"""),"CG435")</f>
        <v>CG435</v>
      </c>
      <c r="H2269" s="1076" t="str">
        <f>IFERROR(__xludf.DUMMYFUNCTION("""COMPUTED_VALUE"""),"1.2HP")</f>
        <v>1.2HP</v>
      </c>
      <c r="I2269" s="1076"/>
      <c r="J2269" s="1076"/>
      <c r="K2269" s="1076">
        <f>IFERROR(__xludf.DUMMYFUNCTION("""COMPUTED_VALUE"""),0.5)</f>
        <v>0.5</v>
      </c>
      <c r="L2269" s="1076"/>
    </row>
    <row r="2270" customHeight="1" spans="1:12">
      <c r="A2270" s="1076" t="str">
        <f>IFERROR(__xludf.DUMMYFUNCTION("""COMPUTED_VALUE"""),"XD2-MPC-026")</f>
        <v>XD2-MPC-026</v>
      </c>
      <c r="B2270" s="1075" t="str">
        <f>IFERROR(__xludf.DUMMYFUNCTION("""COMPUTED_VALUE"""),"Máy phát cỏ 4 thì")</f>
        <v>Máy phát cỏ 4 thì</v>
      </c>
      <c r="C2270" s="1076" t="str">
        <f>IFERROR(__xludf.DUMMYFUNCTION("""COMPUTED_VALUE"""),"Loại biên")</f>
        <v>Loại biên</v>
      </c>
      <c r="D2270" s="1076" t="str">
        <f>IFERROR(__xludf.DUMMYFUNCTION("""COMPUTED_VALUE"""),"HINOTA")</f>
        <v>HINOTA</v>
      </c>
      <c r="E2270" s="1076" t="str">
        <f>IFERROR(__xludf.DUMMYFUNCTION("""COMPUTED_VALUE"""),"Trung Quốc")</f>
        <v>Trung Quốc</v>
      </c>
      <c r="F2270" s="1076"/>
      <c r="G2270" s="1076" t="str">
        <f>IFERROR(__xludf.DUMMYFUNCTION("""COMPUTED_VALUE"""),"CG435")</f>
        <v>CG435</v>
      </c>
      <c r="H2270" s="1076" t="str">
        <f>IFERROR(__xludf.DUMMYFUNCTION("""COMPUTED_VALUE"""),"1.2HP")</f>
        <v>1.2HP</v>
      </c>
      <c r="I2270" s="1076"/>
      <c r="J2270" s="1076"/>
      <c r="K2270" s="1076">
        <f>IFERROR(__xludf.DUMMYFUNCTION("""COMPUTED_VALUE"""),0.5)</f>
        <v>0.5</v>
      </c>
      <c r="L2270" s="1076"/>
    </row>
    <row r="2271" customHeight="1" spans="1:12">
      <c r="A2271" s="1076" t="str">
        <f>IFERROR(__xludf.DUMMYFUNCTION("""COMPUTED_VALUE"""),"DP1")</f>
        <v>DP1</v>
      </c>
      <c r="B2271" s="1075"/>
      <c r="C2271" s="1076"/>
      <c r="D2271" s="1076"/>
      <c r="E2271" s="1076"/>
      <c r="F2271" s="1076"/>
      <c r="G2271" s="1076"/>
      <c r="H2271" s="1076"/>
      <c r="I2271" s="1076"/>
      <c r="J2271" s="1076"/>
      <c r="K2271" s="1076"/>
      <c r="L2271" s="1076" t="str">
        <f>IFERROR(__xludf.DUMMYFUNCTION("""COMPUTED_VALUE"""),"KLH")</f>
        <v>KLH</v>
      </c>
    </row>
    <row r="2272" customHeight="1" spans="1:12">
      <c r="A2272" s="1076" t="str">
        <f>IFERROR(__xludf.DUMMYFUNCTION("""COMPUTED_VALUE"""),"XD1-MCG-001")</f>
        <v>XD1-MCG-001</v>
      </c>
      <c r="B2272" s="1075" t="str">
        <f>IFERROR(__xludf.DUMMYFUNCTION("""COMPUTED_VALUE"""),"Máy cưa gỗ")</f>
        <v>Máy cưa gỗ</v>
      </c>
      <c r="C2272" s="1076" t="str">
        <f>IFERROR(__xludf.DUMMYFUNCTION("""COMPUTED_VALUE"""),"XN Chuối DP1")</f>
        <v>XN Chuối DP1</v>
      </c>
      <c r="D2272" s="1076" t="str">
        <f>IFERROR(__xludf.DUMMYFUNCTION("""COMPUTED_VALUE"""),"STIHL")</f>
        <v>STIHL</v>
      </c>
      <c r="E2272" s="1076" t="str">
        <f>IFERROR(__xludf.DUMMYFUNCTION("""COMPUTED_VALUE"""),"Trung Quốc")</f>
        <v>Trung Quốc</v>
      </c>
      <c r="F2272" s="1076"/>
      <c r="G2272" s="1076" t="str">
        <f>IFERROR(__xludf.DUMMYFUNCTION("""COMPUTED_VALUE"""),"MS382")</f>
        <v>MS382</v>
      </c>
      <c r="H2272" s="1076" t="str">
        <f>IFERROR(__xludf.DUMMYFUNCTION("""COMPUTED_VALUE"""),"3.9HP")</f>
        <v>3.9HP</v>
      </c>
      <c r="I2272" s="1076"/>
      <c r="J2272" s="1076"/>
      <c r="K2272" s="1076">
        <f>IFERROR(__xludf.DUMMYFUNCTION("""COMPUTED_VALUE"""),0.63)</f>
        <v>0.63</v>
      </c>
      <c r="L2272" s="1076" t="str">
        <f>IFERROR(__xludf.DUMMYFUNCTION("""COMPUTED_VALUE"""),"KLH")</f>
        <v>KLH</v>
      </c>
    </row>
    <row r="2273" customHeight="1" spans="1:12">
      <c r="A2273" s="1076" t="str">
        <f>IFERROR(__xludf.DUMMYFUNCTION("""COMPUTED_VALUE"""),"DP2")</f>
        <v>DP2</v>
      </c>
      <c r="B2273" s="1075"/>
      <c r="C2273" s="1076"/>
      <c r="D2273" s="1076"/>
      <c r="E2273" s="1076"/>
      <c r="F2273" s="1076"/>
      <c r="G2273" s="1076"/>
      <c r="H2273" s="1076"/>
      <c r="I2273" s="1076"/>
      <c r="J2273" s="1076"/>
      <c r="K2273" s="1076"/>
      <c r="L2273" s="1076" t="str">
        <f>IFERROR(__xludf.DUMMYFUNCTION("""COMPUTED_VALUE"""),"KLH")</f>
        <v>KLH</v>
      </c>
    </row>
    <row r="2274" customHeight="1" spans="1:12">
      <c r="A2274" s="1076" t="str">
        <f>IFERROR(__xludf.DUMMYFUNCTION("""COMPUTED_VALUE"""),"DP3")</f>
        <v>DP3</v>
      </c>
      <c r="B2274" s="1075"/>
      <c r="C2274" s="1076"/>
      <c r="D2274" s="1076"/>
      <c r="E2274" s="1076"/>
      <c r="F2274" s="1076"/>
      <c r="G2274" s="1076"/>
      <c r="H2274" s="1076"/>
      <c r="I2274" s="1076"/>
      <c r="J2274" s="1076"/>
      <c r="K2274" s="1076"/>
      <c r="L2274" s="1076" t="str">
        <f>IFERROR(__xludf.DUMMYFUNCTION("""COMPUTED_VALUE"""),"KLH")</f>
        <v>KLH</v>
      </c>
    </row>
    <row r="2275" customHeight="1" spans="1:12">
      <c r="A2275" s="1076" t="str">
        <f>IFERROR(__xludf.DUMMYFUNCTION("""COMPUTED_VALUE"""),"CAT DP")</f>
        <v>CAT DP</v>
      </c>
      <c r="B2275" s="1075"/>
      <c r="C2275" s="1076"/>
      <c r="D2275" s="1076"/>
      <c r="E2275" s="1076"/>
      <c r="F2275" s="1076"/>
      <c r="G2275" s="1076"/>
      <c r="H2275" s="1076"/>
      <c r="I2275" s="1076"/>
      <c r="J2275" s="1076"/>
      <c r="K2275" s="1076"/>
      <c r="L2275" s="1076" t="str">
        <f>IFERROR(__xludf.DUMMYFUNCTION("""COMPUTED_VALUE"""),"KLH")</f>
        <v>KLH</v>
      </c>
    </row>
    <row r="2276" customHeight="1" spans="1:12">
      <c r="A2276" s="1076" t="str">
        <f>IFERROR(__xludf.DUMMYFUNCTION("""COMPUTED_VALUE"""),"XXD-MCG-001")</f>
        <v>XXD-MCG-001</v>
      </c>
      <c r="B2276" s="1075" t="str">
        <f>IFERROR(__xludf.DUMMYFUNCTION("""COMPUTED_VALUE"""),"Máy cưa gỗ")</f>
        <v>Máy cưa gỗ</v>
      </c>
      <c r="C2276" s="1076" t="str">
        <f>IFERROR(__xludf.DUMMYFUNCTION("""COMPUTED_VALUE"""),"Xoài DP")</f>
        <v>Xoài DP</v>
      </c>
      <c r="D2276" s="1076" t="str">
        <f>IFERROR(__xludf.DUMMYFUNCTION("""COMPUTED_VALUE"""),"STIHL")</f>
        <v>STIHL</v>
      </c>
      <c r="E2276" s="1076" t="str">
        <f>IFERROR(__xludf.DUMMYFUNCTION("""COMPUTED_VALUE"""),"Trung Quốc")</f>
        <v>Trung Quốc</v>
      </c>
      <c r="F2276" s="1076"/>
      <c r="G2276" s="1076" t="str">
        <f>IFERROR(__xludf.DUMMYFUNCTION("""COMPUTED_VALUE"""),"MS-182")</f>
        <v>MS-182</v>
      </c>
      <c r="H2276" s="1076" t="str">
        <f>IFERROR(__xludf.DUMMYFUNCTION("""COMPUTED_VALUE"""),"2.1HP")</f>
        <v>2.1HP</v>
      </c>
      <c r="I2276" s="1076" t="str">
        <f>IFERROR(__xludf.DUMMYFUNCTION("""COMPUTED_VALUE"""),"837566473")</f>
        <v>837566473</v>
      </c>
      <c r="J2276" s="1076" t="str">
        <f>IFERROR(__xludf.DUMMYFUNCTION("""COMPUTED_VALUE"""),"134")</f>
        <v>134</v>
      </c>
      <c r="K2276" s="1076">
        <f>IFERROR(__xludf.DUMMYFUNCTION("""COMPUTED_VALUE"""),0.63)</f>
        <v>0.63</v>
      </c>
      <c r="L2276" s="1076" t="str">
        <f>IFERROR(__xludf.DUMMYFUNCTION("""COMPUTED_VALUE"""),"KLH")</f>
        <v>KLH</v>
      </c>
    </row>
    <row r="2277" customHeight="1" spans="1:12">
      <c r="A2277" s="1076" t="str">
        <f>IFERROR(__xludf.DUMMYFUNCTION("""COMPUTED_VALUE"""),"XXD-MCG-002")</f>
        <v>XXD-MCG-002</v>
      </c>
      <c r="B2277" s="1075" t="str">
        <f>IFERROR(__xludf.DUMMYFUNCTION("""COMPUTED_VALUE"""),"Máy cưa gỗ")</f>
        <v>Máy cưa gỗ</v>
      </c>
      <c r="C2277" s="1076" t="str">
        <f>IFERROR(__xludf.DUMMYFUNCTION("""COMPUTED_VALUE"""),"Xoài DP")</f>
        <v>Xoài DP</v>
      </c>
      <c r="D2277" s="1076" t="str">
        <f>IFERROR(__xludf.DUMMYFUNCTION("""COMPUTED_VALUE"""),"STIHL")</f>
        <v>STIHL</v>
      </c>
      <c r="E2277" s="1076" t="str">
        <f>IFERROR(__xludf.DUMMYFUNCTION("""COMPUTED_VALUE"""),"Trung Quốc")</f>
        <v>Trung Quốc</v>
      </c>
      <c r="F2277" s="1076"/>
      <c r="G2277" s="1076" t="str">
        <f>IFERROR(__xludf.DUMMYFUNCTION("""COMPUTED_VALUE"""),"MS-182")</f>
        <v>MS-182</v>
      </c>
      <c r="H2277" s="1076" t="str">
        <f>IFERROR(__xludf.DUMMYFUNCTION("""COMPUTED_VALUE"""),"2.1HP")</f>
        <v>2.1HP</v>
      </c>
      <c r="I2277" s="1076" t="str">
        <f>IFERROR(__xludf.DUMMYFUNCTION("""COMPUTED_VALUE"""),"837566474")</f>
        <v>837566474</v>
      </c>
      <c r="J2277" s="1076" t="str">
        <f>IFERROR(__xludf.DUMMYFUNCTION("""COMPUTED_VALUE"""),"135")</f>
        <v>135</v>
      </c>
      <c r="K2277" s="1076">
        <f>IFERROR(__xludf.DUMMYFUNCTION("""COMPUTED_VALUE"""),0.63)</f>
        <v>0.63</v>
      </c>
      <c r="L2277" s="1076" t="str">
        <f>IFERROR(__xludf.DUMMYFUNCTION("""COMPUTED_VALUE"""),"KLH")</f>
        <v>KLH</v>
      </c>
    </row>
    <row r="2278" customHeight="1" spans="1:12">
      <c r="A2278" s="1076" t="str">
        <f>IFERROR(__xludf.DUMMYFUNCTION("""COMPUTED_VALUE"""),"XXD-MCG-003")</f>
        <v>XXD-MCG-003</v>
      </c>
      <c r="B2278" s="1075" t="str">
        <f>IFERROR(__xludf.DUMMYFUNCTION("""COMPUTED_VALUE"""),"Máy cưa gỗ")</f>
        <v>Máy cưa gỗ</v>
      </c>
      <c r="C2278" s="1076" t="str">
        <f>IFERROR(__xludf.DUMMYFUNCTION("""COMPUTED_VALUE"""),"Xoài DP")</f>
        <v>Xoài DP</v>
      </c>
      <c r="D2278" s="1076" t="str">
        <f>IFERROR(__xludf.DUMMYFUNCTION("""COMPUTED_VALUE"""),"STIHL")</f>
        <v>STIHL</v>
      </c>
      <c r="E2278" s="1076" t="str">
        <f>IFERROR(__xludf.DUMMYFUNCTION("""COMPUTED_VALUE"""),"Trung Quốc")</f>
        <v>Trung Quốc</v>
      </c>
      <c r="F2278" s="1076"/>
      <c r="G2278" s="1076" t="str">
        <f>IFERROR(__xludf.DUMMYFUNCTION("""COMPUTED_VALUE"""),"MS-182")</f>
        <v>MS-182</v>
      </c>
      <c r="H2278" s="1076" t="str">
        <f>IFERROR(__xludf.DUMMYFUNCTION("""COMPUTED_VALUE"""),"2.1HP")</f>
        <v>2.1HP</v>
      </c>
      <c r="I2278" s="1076" t="str">
        <f>IFERROR(__xludf.DUMMYFUNCTION("""COMPUTED_VALUE"""),"837566439")</f>
        <v>837566439</v>
      </c>
      <c r="J2278" s="1076" t="str">
        <f>IFERROR(__xludf.DUMMYFUNCTION("""COMPUTED_VALUE"""),"100")</f>
        <v>100</v>
      </c>
      <c r="K2278" s="1076">
        <f>IFERROR(__xludf.DUMMYFUNCTION("""COMPUTED_VALUE"""),0.63)</f>
        <v>0.63</v>
      </c>
      <c r="L2278" s="1076" t="str">
        <f>IFERROR(__xludf.DUMMYFUNCTION("""COMPUTED_VALUE"""),"KLH")</f>
        <v>KLH</v>
      </c>
    </row>
    <row r="2279" customHeight="1" spans="1:12">
      <c r="A2279" s="1076" t="str">
        <f>IFERROR(__xludf.DUMMYFUNCTION("""COMPUTED_VALUE"""),"XXD-MCG-004")</f>
        <v>XXD-MCG-004</v>
      </c>
      <c r="B2279" s="1075" t="str">
        <f>IFERROR(__xludf.DUMMYFUNCTION("""COMPUTED_VALUE"""),"Máy cưa gỗ")</f>
        <v>Máy cưa gỗ</v>
      </c>
      <c r="C2279" s="1076" t="str">
        <f>IFERROR(__xludf.DUMMYFUNCTION("""COMPUTED_VALUE"""),"Xoài DP")</f>
        <v>Xoài DP</v>
      </c>
      <c r="D2279" s="1076" t="str">
        <f>IFERROR(__xludf.DUMMYFUNCTION("""COMPUTED_VALUE"""),"STIHL")</f>
        <v>STIHL</v>
      </c>
      <c r="E2279" s="1076" t="str">
        <f>IFERROR(__xludf.DUMMYFUNCTION("""COMPUTED_VALUE"""),"Trung Quốc")</f>
        <v>Trung Quốc</v>
      </c>
      <c r="F2279" s="1076"/>
      <c r="G2279" s="1076" t="str">
        <f>IFERROR(__xludf.DUMMYFUNCTION("""COMPUTED_VALUE"""),"MS-182")</f>
        <v>MS-182</v>
      </c>
      <c r="H2279" s="1076" t="str">
        <f>IFERROR(__xludf.DUMMYFUNCTION("""COMPUTED_VALUE"""),"2.1HP")</f>
        <v>2.1HP</v>
      </c>
      <c r="I2279" s="1076" t="str">
        <f>IFERROR(__xludf.DUMMYFUNCTION("""COMPUTED_VALUE"""),"837566434")</f>
        <v>837566434</v>
      </c>
      <c r="J2279" s="1076" t="str">
        <f>IFERROR(__xludf.DUMMYFUNCTION("""COMPUTED_VALUE"""),"95")</f>
        <v>95</v>
      </c>
      <c r="K2279" s="1076">
        <f>IFERROR(__xludf.DUMMYFUNCTION("""COMPUTED_VALUE"""),0.63)</f>
        <v>0.63</v>
      </c>
      <c r="L2279" s="1076" t="str">
        <f>IFERROR(__xludf.DUMMYFUNCTION("""COMPUTED_VALUE"""),"KLH")</f>
        <v>KLH</v>
      </c>
    </row>
    <row r="2280" customHeight="1" spans="1:12">
      <c r="A2280" s="1076" t="str">
        <f>IFERROR(__xludf.DUMMYFUNCTION("""COMPUTED_VALUE"""),"LUMPHAT")</f>
        <v>LUMPHAT</v>
      </c>
      <c r="B2280" s="1075"/>
      <c r="C2280" s="1076"/>
      <c r="D2280" s="1076"/>
      <c r="E2280" s="1076"/>
      <c r="F2280" s="1076"/>
      <c r="G2280" s="1076"/>
      <c r="H2280" s="1076"/>
      <c r="I2280" s="1076"/>
      <c r="J2280" s="1076"/>
      <c r="K2280" s="1076"/>
      <c r="L2280" s="1076" t="str">
        <f>IFERROR(__xludf.DUMMYFUNCTION("""COMPUTED_VALUE"""),"KLH")</f>
        <v>KLH</v>
      </c>
    </row>
    <row r="2281" customHeight="1" spans="1:12">
      <c r="A2281" s="1076" t="str">
        <f>IFERROR(__xludf.DUMMYFUNCTION("""COMPUTED_VALUE"""),"LP1")</f>
        <v>LP1</v>
      </c>
      <c r="B2281" s="1075"/>
      <c r="C2281" s="1076"/>
      <c r="D2281" s="1076"/>
      <c r="E2281" s="1076"/>
      <c r="F2281" s="1076"/>
      <c r="G2281" s="1076"/>
      <c r="H2281" s="1076"/>
      <c r="I2281" s="1076"/>
      <c r="J2281" s="1076"/>
      <c r="K2281" s="1076"/>
      <c r="L2281" s="1076" t="str">
        <f>IFERROR(__xludf.DUMMYFUNCTION("""COMPUTED_VALUE"""),"KLH")</f>
        <v>KLH</v>
      </c>
    </row>
    <row r="2282" customHeight="1" spans="1:12">
      <c r="A2282" s="1076" t="str">
        <f>IFERROR(__xludf.DUMMYFUNCTION("""COMPUTED_VALUE"""),"XL1-MCG-001")</f>
        <v>XL1-MCG-001</v>
      </c>
      <c r="B2282" s="1075" t="str">
        <f>IFERROR(__xludf.DUMMYFUNCTION("""COMPUTED_VALUE"""),"Máy cưa gỗ")</f>
        <v>Máy cưa gỗ</v>
      </c>
      <c r="C2282" s="1076" t="str">
        <f>IFERROR(__xludf.DUMMYFUNCTION("""COMPUTED_VALUE"""),"XN Chuối LP1")</f>
        <v>XN Chuối LP1</v>
      </c>
      <c r="D2282" s="1076" t="str">
        <f>IFERROR(__xludf.DUMMYFUNCTION("""COMPUTED_VALUE"""),"STIHL")</f>
        <v>STIHL</v>
      </c>
      <c r="E2282" s="1076" t="str">
        <f>IFERROR(__xludf.DUMMYFUNCTION("""COMPUTED_VALUE"""),"Trung Quốc")</f>
        <v>Trung Quốc</v>
      </c>
      <c r="F2282" s="1076"/>
      <c r="G2282" s="1076" t="str">
        <f>IFERROR(__xludf.DUMMYFUNCTION("""COMPUTED_VALUE"""),"MS382")</f>
        <v>MS382</v>
      </c>
      <c r="H2282" s="1076" t="str">
        <f>IFERROR(__xludf.DUMMYFUNCTION("""COMPUTED_VALUE"""),"3.9HP")</f>
        <v>3.9HP</v>
      </c>
      <c r="I2282" s="1076"/>
      <c r="J2282" s="1076"/>
      <c r="K2282" s="1076">
        <f>IFERROR(__xludf.DUMMYFUNCTION("""COMPUTED_VALUE"""),0.63)</f>
        <v>0.63</v>
      </c>
      <c r="L2282" s="1076" t="str">
        <f>IFERROR(__xludf.DUMMYFUNCTION("""COMPUTED_VALUE"""),"KLH")</f>
        <v>KLH</v>
      </c>
    </row>
    <row r="2283" customHeight="1" spans="1:12">
      <c r="A2283" s="1076" t="str">
        <f>IFERROR(__xludf.DUMMYFUNCTION("""COMPUTED_VALUE"""),"LP3")</f>
        <v>LP3</v>
      </c>
      <c r="B2283" s="1075"/>
      <c r="C2283" s="1076"/>
      <c r="D2283" s="1076"/>
      <c r="E2283" s="1076"/>
      <c r="F2283" s="1076"/>
      <c r="G2283" s="1076"/>
      <c r="H2283" s="1076"/>
      <c r="I2283" s="1076"/>
      <c r="J2283" s="1076"/>
      <c r="K2283" s="1076"/>
      <c r="L2283" s="1076" t="str">
        <f>IFERROR(__xludf.DUMMYFUNCTION("""COMPUTED_VALUE"""),"KLH")</f>
        <v>KLH</v>
      </c>
    </row>
    <row r="2284" customHeight="1" spans="1:12">
      <c r="A2284" s="1076" t="str">
        <f>IFERROR(__xludf.DUMMYFUNCTION("""COMPUTED_VALUE"""),"ANDONGMEAS")</f>
        <v>ANDONGMEAS</v>
      </c>
      <c r="B2284" s="1075"/>
      <c r="C2284" s="1076"/>
      <c r="D2284" s="1076"/>
      <c r="E2284" s="1076"/>
      <c r="F2284" s="1076"/>
      <c r="G2284" s="1076"/>
      <c r="H2284" s="1076"/>
      <c r="I2284" s="1076"/>
      <c r="J2284" s="1076"/>
      <c r="K2284" s="1076"/>
      <c r="L2284" s="1076" t="str">
        <f>IFERROR(__xludf.DUMMYFUNCTION("""COMPUTED_VALUE"""),"KLH")</f>
        <v>KLH</v>
      </c>
    </row>
    <row r="2285" customHeight="1" spans="1:12">
      <c r="A2285" s="1076" t="str">
        <f>IFERROR(__xludf.DUMMYFUNCTION("""COMPUTED_VALUE"""),"XN AD2")</f>
        <v>XN AD2</v>
      </c>
      <c r="B2285" s="1075"/>
      <c r="C2285" s="1076"/>
      <c r="D2285" s="1076"/>
      <c r="E2285" s="1076"/>
      <c r="F2285" s="1076"/>
      <c r="G2285" s="1076"/>
      <c r="H2285" s="1076"/>
      <c r="I2285" s="1076"/>
      <c r="J2285" s="1076"/>
      <c r="K2285" s="1076"/>
      <c r="L2285" s="1076" t="str">
        <f>IFERROR(__xludf.DUMMYFUNCTION("""COMPUTED_VALUE"""),"KLH")</f>
        <v>KLH</v>
      </c>
    </row>
    <row r="2286" customHeight="1" spans="1:12">
      <c r="A2286" s="1076" t="str">
        <f>IFERROR(__xludf.DUMMYFUNCTION("""COMPUTED_VALUE"""),"CAT AD")</f>
        <v>CAT AD</v>
      </c>
      <c r="B2286" s="1075"/>
      <c r="C2286" s="1076"/>
      <c r="D2286" s="1076"/>
      <c r="E2286" s="1076"/>
      <c r="F2286" s="1076"/>
      <c r="G2286" s="1076"/>
      <c r="H2286" s="1076"/>
      <c r="I2286" s="1076"/>
      <c r="J2286" s="1076"/>
      <c r="K2286" s="1076"/>
      <c r="L2286" s="1076" t="str">
        <f>IFERROR(__xludf.DUMMYFUNCTION("""COMPUTED_VALUE"""),"KLH")</f>
        <v>KLH</v>
      </c>
    </row>
    <row r="2287" customHeight="1" spans="1:12">
      <c r="A2287" s="1076" t="str">
        <f>IFERROR(__xludf.DUMMYFUNCTION("""COMPUTED_VALUE"""),"XXA-MCG-001")</f>
        <v>XXA-MCG-001</v>
      </c>
      <c r="B2287" s="1075" t="str">
        <f>IFERROR(__xludf.DUMMYFUNCTION("""COMPUTED_VALUE"""),"Máy cưa gỗ")</f>
        <v>Máy cưa gỗ</v>
      </c>
      <c r="C2287" s="1076" t="str">
        <f>IFERROR(__xludf.DUMMYFUNCTION("""COMPUTED_VALUE"""),"Xoài AD")</f>
        <v>Xoài AD</v>
      </c>
      <c r="D2287" s="1076" t="str">
        <f>IFERROR(__xludf.DUMMYFUNCTION("""COMPUTED_VALUE"""),"MAKITA")</f>
        <v>MAKITA</v>
      </c>
      <c r="E2287" s="1076"/>
      <c r="F2287" s="1076"/>
      <c r="G2287" s="1076" t="str">
        <f>IFERROR(__xludf.DUMMYFUNCTION("""COMPUTED_VALUE"""),"EA3200S40B")</f>
        <v>EA3200S40B</v>
      </c>
      <c r="H2287" s="1076" t="str">
        <f>IFERROR(__xludf.DUMMYFUNCTION("""COMPUTED_VALUE"""),"1.8HP")</f>
        <v>1.8HP</v>
      </c>
      <c r="I2287" s="1076" t="str">
        <f>IFERROR(__xludf.DUMMYFUNCTION("""COMPUTED_VALUE"""),"0A232A322")</f>
        <v>0A232A322</v>
      </c>
      <c r="J2287" s="1076" t="str">
        <f>IFERROR(__xludf.DUMMYFUNCTION("""COMPUTED_VALUE"""),"M2377569")</f>
        <v>M2377569</v>
      </c>
      <c r="K2287" s="1076">
        <f>IFERROR(__xludf.DUMMYFUNCTION("""COMPUTED_VALUE"""),0.63)</f>
        <v>0.63</v>
      </c>
      <c r="L2287" s="1076" t="str">
        <f>IFERROR(__xludf.DUMMYFUNCTION("""COMPUTED_VALUE"""),"KLH")</f>
        <v>KLH</v>
      </c>
    </row>
    <row r="2288" customHeight="1" spans="1:12">
      <c r="A2288" s="1076" t="str">
        <f>IFERROR(__xludf.DUMMYFUNCTION("""COMPUTED_VALUE"""),"XXA-MCG-002")</f>
        <v>XXA-MCG-002</v>
      </c>
      <c r="B2288" s="1075" t="str">
        <f>IFERROR(__xludf.DUMMYFUNCTION("""COMPUTED_VALUE"""),"Máy cưa gỗ")</f>
        <v>Máy cưa gỗ</v>
      </c>
      <c r="C2288" s="1076" t="str">
        <f>IFERROR(__xludf.DUMMYFUNCTION("""COMPUTED_VALUE"""),"Xoài AD")</f>
        <v>Xoài AD</v>
      </c>
      <c r="D2288" s="1076" t="str">
        <f>IFERROR(__xludf.DUMMYFUNCTION("""COMPUTED_VALUE"""),"MAKITA")</f>
        <v>MAKITA</v>
      </c>
      <c r="E2288" s="1076"/>
      <c r="F2288" s="1076"/>
      <c r="G2288" s="1076" t="str">
        <f>IFERROR(__xludf.DUMMYFUNCTION("""COMPUTED_VALUE"""),"EA3200S40B")</f>
        <v>EA3200S40B</v>
      </c>
      <c r="H2288" s="1076" t="str">
        <f>IFERROR(__xludf.DUMMYFUNCTION("""COMPUTED_VALUE"""),"1.8HP")</f>
        <v>1.8HP</v>
      </c>
      <c r="I2288" s="1076" t="str">
        <f>IFERROR(__xludf.DUMMYFUNCTION("""COMPUTED_VALUE"""),"0A232A32X")</f>
        <v>0A232A32X</v>
      </c>
      <c r="J2288" s="1076" t="str">
        <f>IFERROR(__xludf.DUMMYFUNCTION("""COMPUTED_VALUE"""),"M2377562")</f>
        <v>M2377562</v>
      </c>
      <c r="K2288" s="1076">
        <f>IFERROR(__xludf.DUMMYFUNCTION("""COMPUTED_VALUE"""),0.63)</f>
        <v>0.63</v>
      </c>
      <c r="L2288" s="1076" t="str">
        <f>IFERROR(__xludf.DUMMYFUNCTION("""COMPUTED_VALUE"""),"KLH")</f>
        <v>KLH</v>
      </c>
    </row>
    <row r="2289" customHeight="1" spans="1:12">
      <c r="A2289" s="1076" t="str">
        <f>IFERROR(__xludf.DUMMYFUNCTION("""COMPUTED_VALUE"""),"XXA-MCG-003")</f>
        <v>XXA-MCG-003</v>
      </c>
      <c r="B2289" s="1075" t="str">
        <f>IFERROR(__xludf.DUMMYFUNCTION("""COMPUTED_VALUE"""),"Máy cưa gỗ")</f>
        <v>Máy cưa gỗ</v>
      </c>
      <c r="C2289" s="1076" t="str">
        <f>IFERROR(__xludf.DUMMYFUNCTION("""COMPUTED_VALUE"""),"Xoài AD")</f>
        <v>Xoài AD</v>
      </c>
      <c r="D2289" s="1076" t="str">
        <f>IFERROR(__xludf.DUMMYFUNCTION("""COMPUTED_VALUE"""),"MAKITA")</f>
        <v>MAKITA</v>
      </c>
      <c r="E2289" s="1076"/>
      <c r="F2289" s="1076"/>
      <c r="G2289" s="1076" t="str">
        <f>IFERROR(__xludf.DUMMYFUNCTION("""COMPUTED_VALUE"""),"EA3200S40B")</f>
        <v>EA3200S40B</v>
      </c>
      <c r="H2289" s="1076" t="str">
        <f>IFERROR(__xludf.DUMMYFUNCTION("""COMPUTED_VALUE"""),"1.8HP")</f>
        <v>1.8HP</v>
      </c>
      <c r="I2289" s="1076" t="str">
        <f>IFERROR(__xludf.DUMMYFUNCTION("""COMPUTED_VALUE"""),"0A232A328")</f>
        <v>0A232A328</v>
      </c>
      <c r="J2289" s="1076" t="str">
        <f>IFERROR(__xludf.DUMMYFUNCTION("""COMPUTED_VALUE"""),"M2377561")</f>
        <v>M2377561</v>
      </c>
      <c r="K2289" s="1076">
        <f>IFERROR(__xludf.DUMMYFUNCTION("""COMPUTED_VALUE"""),0.63)</f>
        <v>0.63</v>
      </c>
      <c r="L2289" s="1076" t="str">
        <f>IFERROR(__xludf.DUMMYFUNCTION("""COMPUTED_VALUE"""),"KLH")</f>
        <v>KLH</v>
      </c>
    </row>
    <row r="2290" customHeight="1" spans="1:12">
      <c r="A2290" s="1076" t="str">
        <f>IFERROR(__xludf.DUMMYFUNCTION("""COMPUTED_VALUE"""),"XXA-MCG-004")</f>
        <v>XXA-MCG-004</v>
      </c>
      <c r="B2290" s="1075" t="str">
        <f>IFERROR(__xludf.DUMMYFUNCTION("""COMPUTED_VALUE"""),"Máy cưa gỗ")</f>
        <v>Máy cưa gỗ</v>
      </c>
      <c r="C2290" s="1076" t="str">
        <f>IFERROR(__xludf.DUMMYFUNCTION("""COMPUTED_VALUE"""),"Xoài AD")</f>
        <v>Xoài AD</v>
      </c>
      <c r="D2290" s="1076" t="str">
        <f>IFERROR(__xludf.DUMMYFUNCTION("""COMPUTED_VALUE"""),"MAKITA")</f>
        <v>MAKITA</v>
      </c>
      <c r="E2290" s="1076"/>
      <c r="F2290" s="1076"/>
      <c r="G2290" s="1076" t="str">
        <f>IFERROR(__xludf.DUMMYFUNCTION("""COMPUTED_VALUE"""),"EA3200S40B")</f>
        <v>EA3200S40B</v>
      </c>
      <c r="H2290" s="1076" t="str">
        <f>IFERROR(__xludf.DUMMYFUNCTION("""COMPUTED_VALUE"""),"1.8HP")</f>
        <v>1.8HP</v>
      </c>
      <c r="I2290" s="1076" t="str">
        <f>IFERROR(__xludf.DUMMYFUNCTION("""COMPUTED_VALUE"""),"0A232A329")</f>
        <v>0A232A329</v>
      </c>
      <c r="J2290" s="1076" t="str">
        <f>IFERROR(__xludf.DUMMYFUNCTION("""COMPUTED_VALUE"""),"M2377584")</f>
        <v>M2377584</v>
      </c>
      <c r="K2290" s="1076">
        <f>IFERROR(__xludf.DUMMYFUNCTION("""COMPUTED_VALUE"""),0.63)</f>
        <v>0.63</v>
      </c>
      <c r="L2290" s="1076" t="str">
        <f>IFERROR(__xludf.DUMMYFUNCTION("""COMPUTED_VALUE"""),"KLH")</f>
        <v>KLH</v>
      </c>
    </row>
    <row r="2291" customHeight="1" spans="1:12">
      <c r="A2291" s="1076" t="str">
        <f>IFERROR(__xludf.DUMMYFUNCTION("""COMPUTED_VALUE"""),"XXA-MCG-005")</f>
        <v>XXA-MCG-005</v>
      </c>
      <c r="B2291" s="1075" t="str">
        <f>IFERROR(__xludf.DUMMYFUNCTION("""COMPUTED_VALUE"""),"Máy cưa gỗ")</f>
        <v>Máy cưa gỗ</v>
      </c>
      <c r="C2291" s="1076" t="str">
        <f>IFERROR(__xludf.DUMMYFUNCTION("""COMPUTED_VALUE"""),"Xoài AD")</f>
        <v>Xoài AD</v>
      </c>
      <c r="D2291" s="1076" t="str">
        <f>IFERROR(__xludf.DUMMYFUNCTION("""COMPUTED_VALUE"""),"MAKITA")</f>
        <v>MAKITA</v>
      </c>
      <c r="E2291" s="1076"/>
      <c r="F2291" s="1076"/>
      <c r="G2291" s="1076" t="str">
        <f>IFERROR(__xludf.DUMMYFUNCTION("""COMPUTED_VALUE"""),"EA3200S40B")</f>
        <v>EA3200S40B</v>
      </c>
      <c r="H2291" s="1076" t="str">
        <f>IFERROR(__xludf.DUMMYFUNCTION("""COMPUTED_VALUE"""),"1.8HP")</f>
        <v>1.8HP</v>
      </c>
      <c r="I2291" s="1076" t="str">
        <f>IFERROR(__xludf.DUMMYFUNCTION("""COMPUTED_VALUE"""),"0A232A328")</f>
        <v>0A232A328</v>
      </c>
      <c r="J2291" s="1076" t="str">
        <f>IFERROR(__xludf.DUMMYFUNCTION("""COMPUTED_VALUE"""),"M2377608")</f>
        <v>M2377608</v>
      </c>
      <c r="K2291" s="1076">
        <f>IFERROR(__xludf.DUMMYFUNCTION("""COMPUTED_VALUE"""),0.63)</f>
        <v>0.63</v>
      </c>
      <c r="L2291" s="1076" t="str">
        <f>IFERROR(__xludf.DUMMYFUNCTION("""COMPUTED_VALUE"""),"KLH")</f>
        <v>KLH</v>
      </c>
    </row>
    <row r="2292" customHeight="1" spans="1:12">
      <c r="A2292" s="1076" t="str">
        <f>IFERROR(__xludf.DUMMYFUNCTION("""COMPUTED_VALUE"""),"XÍ NGHIỆP BÒ")</f>
        <v>XÍ NGHIỆP BÒ</v>
      </c>
      <c r="B2292" s="1075"/>
      <c r="C2292" s="1076"/>
      <c r="D2292" s="1076"/>
      <c r="E2292" s="1076"/>
      <c r="F2292" s="1076"/>
      <c r="G2292" s="1076"/>
      <c r="H2292" s="1076"/>
      <c r="I2292" s="1076"/>
      <c r="J2292" s="1076"/>
      <c r="K2292" s="1076"/>
      <c r="L2292" s="1076" t="str">
        <f>IFERROR(__xludf.DUMMYFUNCTION("""COMPUTED_VALUE"""),"KLH")</f>
        <v>KLH</v>
      </c>
    </row>
    <row r="2293" customHeight="1" spans="1:12">
      <c r="A2293" s="1076" t="str">
        <f>IFERROR(__xludf.DUMMYFUNCTION("""COMPUTED_VALUE"""),"XB1-MCG-001")</f>
        <v>XB1-MCG-001</v>
      </c>
      <c r="B2293" s="1075" t="str">
        <f>IFERROR(__xludf.DUMMYFUNCTION("""COMPUTED_VALUE"""),"Máy cưa gỗ")</f>
        <v>Máy cưa gỗ</v>
      </c>
      <c r="C2293" s="1076" t="str">
        <f>IFERROR(__xludf.DUMMYFUNCTION("""COMPUTED_VALUE"""),"XN Bò AD")</f>
        <v>XN Bò AD</v>
      </c>
      <c r="D2293" s="1076" t="str">
        <f>IFERROR(__xludf.DUMMYFUNCTION("""COMPUTED_VALUE"""),"Motso")</f>
        <v>Motso</v>
      </c>
      <c r="E2293" s="1076"/>
      <c r="F2293" s="1076"/>
      <c r="G2293" s="1076"/>
      <c r="H2293" s="1076"/>
      <c r="I2293" s="1076"/>
      <c r="J2293" s="1076"/>
      <c r="K2293" s="1076">
        <f>IFERROR(__xludf.DUMMYFUNCTION("""COMPUTED_VALUE"""),0.63)</f>
        <v>0.63</v>
      </c>
      <c r="L2293" s="1076" t="str">
        <f>IFERROR(__xludf.DUMMYFUNCTION("""COMPUTED_VALUE"""),"KLH")</f>
        <v>KLH</v>
      </c>
    </row>
    <row r="2294" customHeight="1" spans="1:12">
      <c r="A2294" s="1076" t="str">
        <f>IFERROR(__xludf.DUMMYFUNCTION("""COMPUTED_VALUE"""),"XB1-MCG-002")</f>
        <v>XB1-MCG-002</v>
      </c>
      <c r="B2294" s="1075" t="str">
        <f>IFERROR(__xludf.DUMMYFUNCTION("""COMPUTED_VALUE"""),"Máy cưa gỗ")</f>
        <v>Máy cưa gỗ</v>
      </c>
      <c r="C2294" s="1076" t="str">
        <f>IFERROR(__xludf.DUMMYFUNCTION("""COMPUTED_VALUE"""),"XN Bò AD")</f>
        <v>XN Bò AD</v>
      </c>
      <c r="D2294" s="1076" t="str">
        <f>IFERROR(__xludf.DUMMYFUNCTION("""COMPUTED_VALUE"""),"Motso")</f>
        <v>Motso</v>
      </c>
      <c r="E2294" s="1076"/>
      <c r="F2294" s="1076"/>
      <c r="G2294" s="1076"/>
      <c r="H2294" s="1076"/>
      <c r="I2294" s="1076"/>
      <c r="J2294" s="1076"/>
      <c r="K2294" s="1076">
        <f>IFERROR(__xludf.DUMMYFUNCTION("""COMPUTED_VALUE"""),0.63)</f>
        <v>0.63</v>
      </c>
      <c r="L2294" s="1076" t="str">
        <f>IFERROR(__xludf.DUMMYFUNCTION("""COMPUTED_VALUE"""),"KLH")</f>
        <v>KLH</v>
      </c>
    </row>
    <row r="2295" customHeight="1" spans="1:12">
      <c r="A2295" s="1076" t="str">
        <f>IFERROR(__xludf.DUMMYFUNCTION("""COMPUTED_VALUE"""),"XB1-MCG-003")</f>
        <v>XB1-MCG-003</v>
      </c>
      <c r="B2295" s="1075" t="str">
        <f>IFERROR(__xludf.DUMMYFUNCTION("""COMPUTED_VALUE"""),"Máy cưa gỗ")</f>
        <v>Máy cưa gỗ</v>
      </c>
      <c r="C2295" s="1076" t="str">
        <f>IFERROR(__xludf.DUMMYFUNCTION("""COMPUTED_VALUE"""),"XN Bò AD")</f>
        <v>XN Bò AD</v>
      </c>
      <c r="D2295" s="1076" t="str">
        <f>IFERROR(__xludf.DUMMYFUNCTION("""COMPUTED_VALUE"""),"Motso")</f>
        <v>Motso</v>
      </c>
      <c r="E2295" s="1076"/>
      <c r="F2295" s="1076"/>
      <c r="G2295" s="1076"/>
      <c r="H2295" s="1076"/>
      <c r="I2295" s="1076"/>
      <c r="J2295" s="1076"/>
      <c r="K2295" s="1076">
        <f>IFERROR(__xludf.DUMMYFUNCTION("""COMPUTED_VALUE"""),0.63)</f>
        <v>0.63</v>
      </c>
      <c r="L2295" s="1076" t="str">
        <f>IFERROR(__xludf.DUMMYFUNCTION("""COMPUTED_VALUE"""),"KLH")</f>
        <v>KLH</v>
      </c>
    </row>
    <row r="2296" customHeight="1" spans="1:12">
      <c r="A2296" s="1076" t="str">
        <f>IFERROR(__xludf.DUMMYFUNCTION("""COMPUTED_VALUE"""),"XB1-MCG-004")</f>
        <v>XB1-MCG-004</v>
      </c>
      <c r="B2296" s="1075" t="str">
        <f>IFERROR(__xludf.DUMMYFUNCTION("""COMPUTED_VALUE"""),"Máy cưa gỗ")</f>
        <v>Máy cưa gỗ</v>
      </c>
      <c r="C2296" s="1076" t="str">
        <f>IFERROR(__xludf.DUMMYFUNCTION("""COMPUTED_VALUE"""),"XN Bò AD")</f>
        <v>XN Bò AD</v>
      </c>
      <c r="D2296" s="1076" t="str">
        <f>IFERROR(__xludf.DUMMYFUNCTION("""COMPUTED_VALUE"""),"Motso")</f>
        <v>Motso</v>
      </c>
      <c r="E2296" s="1076"/>
      <c r="F2296" s="1076"/>
      <c r="G2296" s="1076"/>
      <c r="H2296" s="1076"/>
      <c r="I2296" s="1076"/>
      <c r="J2296" s="1076"/>
      <c r="K2296" s="1076">
        <f>IFERROR(__xludf.DUMMYFUNCTION("""COMPUTED_VALUE"""),0.63)</f>
        <v>0.63</v>
      </c>
      <c r="L2296" s="1076" t="str">
        <f>IFERROR(__xludf.DUMMYFUNCTION("""COMPUTED_VALUE"""),"KLH")</f>
        <v>KLH</v>
      </c>
    </row>
    <row r="2297" customHeight="1" spans="1:12">
      <c r="A2297" s="1076" t="str">
        <f>IFERROR(__xludf.DUMMYFUNCTION("""COMPUTED_VALUE"""),"XB1-MCG-005")</f>
        <v>XB1-MCG-005</v>
      </c>
      <c r="B2297" s="1075" t="str">
        <f>IFERROR(__xludf.DUMMYFUNCTION("""COMPUTED_VALUE"""),"Máy cưa gỗ")</f>
        <v>Máy cưa gỗ</v>
      </c>
      <c r="C2297" s="1076" t="str">
        <f>IFERROR(__xludf.DUMMYFUNCTION("""COMPUTED_VALUE"""),"XN Bò AD")</f>
        <v>XN Bò AD</v>
      </c>
      <c r="D2297" s="1076" t="str">
        <f>IFERROR(__xludf.DUMMYFUNCTION("""COMPUTED_VALUE"""),"Motso")</f>
        <v>Motso</v>
      </c>
      <c r="E2297" s="1076"/>
      <c r="F2297" s="1076"/>
      <c r="G2297" s="1076"/>
      <c r="H2297" s="1076"/>
      <c r="I2297" s="1076"/>
      <c r="J2297" s="1076"/>
      <c r="K2297" s="1076">
        <f>IFERROR(__xludf.DUMMYFUNCTION("""COMPUTED_VALUE"""),0.63)</f>
        <v>0.63</v>
      </c>
      <c r="L2297" s="1076" t="str">
        <f>IFERROR(__xludf.DUMMYFUNCTION("""COMPUTED_VALUE"""),"KLH")</f>
        <v>KLH</v>
      </c>
    </row>
    <row r="2298" customHeight="1" spans="1:12">
      <c r="A2298" s="1076" t="str">
        <f>IFERROR(__xludf.DUMMYFUNCTION("""COMPUTED_VALUE"""),"XB1-MCG-006")</f>
        <v>XB1-MCG-006</v>
      </c>
      <c r="B2298" s="1075" t="str">
        <f>IFERROR(__xludf.DUMMYFUNCTION("""COMPUTED_VALUE"""),"Máy cưa gỗ")</f>
        <v>Máy cưa gỗ</v>
      </c>
      <c r="C2298" s="1076" t="str">
        <f>IFERROR(__xludf.DUMMYFUNCTION("""COMPUTED_VALUE"""),"XN Bò AD")</f>
        <v>XN Bò AD</v>
      </c>
      <c r="D2298" s="1076"/>
      <c r="E2298" s="1076"/>
      <c r="F2298" s="1076"/>
      <c r="G2298" s="1076"/>
      <c r="H2298" s="1076"/>
      <c r="I2298" s="1076"/>
      <c r="J2298" s="1076"/>
      <c r="K2298" s="1076">
        <f>IFERROR(__xludf.DUMMYFUNCTION("""COMPUTED_VALUE"""),0.63)</f>
        <v>0.63</v>
      </c>
      <c r="L2298" s="1076" t="str">
        <f>IFERROR(__xludf.DUMMYFUNCTION("""COMPUTED_VALUE"""),"KLH")</f>
        <v>KLH</v>
      </c>
    </row>
    <row r="2299" customHeight="1" spans="1:12">
      <c r="A2299" s="1076" t="str">
        <f>IFERROR(__xludf.DUMMYFUNCTION("""COMPUTED_VALUE"""),"XB1-MCG-007")</f>
        <v>XB1-MCG-007</v>
      </c>
      <c r="B2299" s="1075" t="str">
        <f>IFERROR(__xludf.DUMMYFUNCTION("""COMPUTED_VALUE"""),"Máy cưa gỗ")</f>
        <v>Máy cưa gỗ</v>
      </c>
      <c r="C2299" s="1076" t="str">
        <f>IFERROR(__xludf.DUMMYFUNCTION("""COMPUTED_VALUE"""),"XN Bò AD")</f>
        <v>XN Bò AD</v>
      </c>
      <c r="D2299" s="1076"/>
      <c r="E2299" s="1076"/>
      <c r="F2299" s="1076"/>
      <c r="G2299" s="1076"/>
      <c r="H2299" s="1076"/>
      <c r="I2299" s="1076"/>
      <c r="J2299" s="1076"/>
      <c r="K2299" s="1076">
        <f>IFERROR(__xludf.DUMMYFUNCTION("""COMPUTED_VALUE"""),0.63)</f>
        <v>0.63</v>
      </c>
      <c r="L2299" s="1076" t="str">
        <f>IFERROR(__xludf.DUMMYFUNCTION("""COMPUTED_VALUE"""),"KLH")</f>
        <v>KLH</v>
      </c>
    </row>
    <row r="2300" customHeight="1" spans="1:12">
      <c r="A2300" s="1076" t="str">
        <f>IFERROR(__xludf.DUMMYFUNCTION("""COMPUTED_VALUE"""),"XB1-MCG-008")</f>
        <v>XB1-MCG-008</v>
      </c>
      <c r="B2300" s="1075" t="str">
        <f>IFERROR(__xludf.DUMMYFUNCTION("""COMPUTED_VALUE"""),"Máy cưa gỗ")</f>
        <v>Máy cưa gỗ</v>
      </c>
      <c r="C2300" s="1076" t="str">
        <f>IFERROR(__xludf.DUMMYFUNCTION("""COMPUTED_VALUE"""),"XN Bò AD")</f>
        <v>XN Bò AD</v>
      </c>
      <c r="D2300" s="1076" t="str">
        <f>IFERROR(__xludf.DUMMYFUNCTION("""COMPUTED_VALUE"""),"STIHL")</f>
        <v>STIHL</v>
      </c>
      <c r="E2300" s="1076" t="str">
        <f>IFERROR(__xludf.DUMMYFUNCTION("""COMPUTED_VALUE"""),"Trung Quốc")</f>
        <v>Trung Quốc</v>
      </c>
      <c r="F2300" s="1076"/>
      <c r="G2300" s="1076" t="str">
        <f>IFERROR(__xludf.DUMMYFUNCTION("""COMPUTED_VALUE"""),"MS382")</f>
        <v>MS382</v>
      </c>
      <c r="H2300" s="1076" t="str">
        <f>IFERROR(__xludf.DUMMYFUNCTION("""COMPUTED_VALUE"""),"3.9HP")</f>
        <v>3.9HP</v>
      </c>
      <c r="I2300" s="1076"/>
      <c r="J2300" s="1076" t="str">
        <f>IFERROR(__xludf.DUMMYFUNCTION("""COMPUTED_VALUE"""),"372768383")</f>
        <v>372768383</v>
      </c>
      <c r="K2300" s="1076">
        <f>IFERROR(__xludf.DUMMYFUNCTION("""COMPUTED_VALUE"""),0.63)</f>
        <v>0.63</v>
      </c>
      <c r="L2300" s="1076" t="str">
        <f>IFERROR(__xludf.DUMMYFUNCTION("""COMPUTED_VALUE"""),"KLH")</f>
        <v>KLH</v>
      </c>
    </row>
    <row r="2301" customHeight="1" spans="1:12">
      <c r="A2301" s="1076" t="str">
        <f>IFERROR(__xludf.DUMMYFUNCTION("""COMPUTED_VALUE"""),"XB1-MCG-009")</f>
        <v>XB1-MCG-009</v>
      </c>
      <c r="B2301" s="1075" t="str">
        <f>IFERROR(__xludf.DUMMYFUNCTION("""COMPUTED_VALUE"""),"Máy cưa gỗ")</f>
        <v>Máy cưa gỗ</v>
      </c>
      <c r="C2301" s="1076" t="str">
        <f>IFERROR(__xludf.DUMMYFUNCTION("""COMPUTED_VALUE"""),"XN Bò AD")</f>
        <v>XN Bò AD</v>
      </c>
      <c r="D2301" s="1076" t="str">
        <f>IFERROR(__xludf.DUMMYFUNCTION("""COMPUTED_VALUE"""),"STIHL")</f>
        <v>STIHL</v>
      </c>
      <c r="E2301" s="1076" t="str">
        <f>IFERROR(__xludf.DUMMYFUNCTION("""COMPUTED_VALUE"""),"Trung Quốc")</f>
        <v>Trung Quốc</v>
      </c>
      <c r="F2301" s="1076"/>
      <c r="G2301" s="1076" t="str">
        <f>IFERROR(__xludf.DUMMYFUNCTION("""COMPUTED_VALUE"""),"MS382")</f>
        <v>MS382</v>
      </c>
      <c r="H2301" s="1076" t="str">
        <f>IFERROR(__xludf.DUMMYFUNCTION("""COMPUTED_VALUE"""),"3.9HP")</f>
        <v>3.9HP</v>
      </c>
      <c r="I2301" s="1076"/>
      <c r="J2301" s="1076" t="str">
        <f>IFERROR(__xludf.DUMMYFUNCTION("""COMPUTED_VALUE"""),"372768436")</f>
        <v>372768436</v>
      </c>
      <c r="K2301" s="1076">
        <f>IFERROR(__xludf.DUMMYFUNCTION("""COMPUTED_VALUE"""),0.63)</f>
        <v>0.63</v>
      </c>
      <c r="L2301" s="1076" t="str">
        <f>IFERROR(__xludf.DUMMYFUNCTION("""COMPUTED_VALUE"""),"KLH")</f>
        <v>KLH</v>
      </c>
    </row>
    <row r="2302" customHeight="1" spans="1:12">
      <c r="A2302" s="1076" t="str">
        <f>IFERROR(__xludf.DUMMYFUNCTION("""COMPUTED_VALUE"""),"XB1-MCG-010")</f>
        <v>XB1-MCG-010</v>
      </c>
      <c r="B2302" s="1075" t="str">
        <f>IFERROR(__xludf.DUMMYFUNCTION("""COMPUTED_VALUE"""),"Máy cưa gỗ")</f>
        <v>Máy cưa gỗ</v>
      </c>
      <c r="C2302" s="1076" t="str">
        <f>IFERROR(__xludf.DUMMYFUNCTION("""COMPUTED_VALUE"""),"XN Bò AD")</f>
        <v>XN Bò AD</v>
      </c>
      <c r="D2302" s="1076" t="str">
        <f>IFERROR(__xludf.DUMMYFUNCTION("""COMPUTED_VALUE"""),"STIHL")</f>
        <v>STIHL</v>
      </c>
      <c r="E2302" s="1076" t="str">
        <f>IFERROR(__xludf.DUMMYFUNCTION("""COMPUTED_VALUE"""),"Trung Quốc")</f>
        <v>Trung Quốc</v>
      </c>
      <c r="F2302" s="1076"/>
      <c r="G2302" s="1076" t="str">
        <f>IFERROR(__xludf.DUMMYFUNCTION("""COMPUTED_VALUE"""),"MS382")</f>
        <v>MS382</v>
      </c>
      <c r="H2302" s="1076" t="str">
        <f>IFERROR(__xludf.DUMMYFUNCTION("""COMPUTED_VALUE"""),"3.9HP")</f>
        <v>3.9HP</v>
      </c>
      <c r="I2302" s="1076"/>
      <c r="J2302" s="1076" t="str">
        <f>IFERROR(__xludf.DUMMYFUNCTION("""COMPUTED_VALUE"""),"372733522")</f>
        <v>372733522</v>
      </c>
      <c r="K2302" s="1076">
        <f>IFERROR(__xludf.DUMMYFUNCTION("""COMPUTED_VALUE"""),0.63)</f>
        <v>0.63</v>
      </c>
      <c r="L2302" s="1076" t="str">
        <f>IFERROR(__xludf.DUMMYFUNCTION("""COMPUTED_VALUE"""),"KLH")</f>
        <v>KLH</v>
      </c>
    </row>
    <row r="2303" customHeight="1" spans="1:12">
      <c r="A2303" s="1076" t="str">
        <f>IFERROR(__xludf.DUMMYFUNCTION("""COMPUTED_VALUE"""),"XB1-MCG-011")</f>
        <v>XB1-MCG-011</v>
      </c>
      <c r="B2303" s="1075" t="str">
        <f>IFERROR(__xludf.DUMMYFUNCTION("""COMPUTED_VALUE"""),"Máy cưa gỗ")</f>
        <v>Máy cưa gỗ</v>
      </c>
      <c r="C2303" s="1076" t="str">
        <f>IFERROR(__xludf.DUMMYFUNCTION("""COMPUTED_VALUE"""),"XN Bò AD")</f>
        <v>XN Bò AD</v>
      </c>
      <c r="D2303" s="1076" t="str">
        <f>IFERROR(__xludf.DUMMYFUNCTION("""COMPUTED_VALUE"""),"STIHL")</f>
        <v>STIHL</v>
      </c>
      <c r="E2303" s="1076" t="str">
        <f>IFERROR(__xludf.DUMMYFUNCTION("""COMPUTED_VALUE"""),"Trung Quốc")</f>
        <v>Trung Quốc</v>
      </c>
      <c r="F2303" s="1076"/>
      <c r="G2303" s="1076" t="str">
        <f>IFERROR(__xludf.DUMMYFUNCTION("""COMPUTED_VALUE"""),"MS382")</f>
        <v>MS382</v>
      </c>
      <c r="H2303" s="1076" t="str">
        <f>IFERROR(__xludf.DUMMYFUNCTION("""COMPUTED_VALUE"""),"3.9HP")</f>
        <v>3.9HP</v>
      </c>
      <c r="I2303" s="1076"/>
      <c r="J2303" s="1076" t="str">
        <f>IFERROR(__xludf.DUMMYFUNCTION("""COMPUTED_VALUE"""),"372733505")</f>
        <v>372733505</v>
      </c>
      <c r="K2303" s="1076">
        <f>IFERROR(__xludf.DUMMYFUNCTION("""COMPUTED_VALUE"""),0.63)</f>
        <v>0.63</v>
      </c>
      <c r="L2303" s="1076" t="str">
        <f>IFERROR(__xludf.DUMMYFUNCTION("""COMPUTED_VALUE"""),"KLH")</f>
        <v>KLH</v>
      </c>
    </row>
    <row r="2304" customHeight="1" spans="1:12">
      <c r="A2304" s="1076" t="str">
        <f>IFERROR(__xludf.DUMMYFUNCTION("""COMPUTED_VALUE"""),"XB1-MCG-012")</f>
        <v>XB1-MCG-012</v>
      </c>
      <c r="B2304" s="1075" t="str">
        <f>IFERROR(__xludf.DUMMYFUNCTION("""COMPUTED_VALUE"""),"Máy cưa gỗ")</f>
        <v>Máy cưa gỗ</v>
      </c>
      <c r="C2304" s="1076" t="str">
        <f>IFERROR(__xludf.DUMMYFUNCTION("""COMPUTED_VALUE"""),"XN Bò AD")</f>
        <v>XN Bò AD</v>
      </c>
      <c r="D2304" s="1076" t="str">
        <f>IFERROR(__xludf.DUMMYFUNCTION("""COMPUTED_VALUE"""),"STIHL")</f>
        <v>STIHL</v>
      </c>
      <c r="E2304" s="1076" t="str">
        <f>IFERROR(__xludf.DUMMYFUNCTION("""COMPUTED_VALUE"""),"BRAZIL")</f>
        <v>BRAZIL</v>
      </c>
      <c r="F2304" s="1076">
        <f>IFERROR(__xludf.DUMMYFUNCTION("""COMPUTED_VALUE"""),2025)</f>
        <v>2025</v>
      </c>
      <c r="G2304" s="1076" t="str">
        <f>IFERROR(__xludf.DUMMYFUNCTION("""COMPUTED_VALUE"""),"MS 382")</f>
        <v>MS 382</v>
      </c>
      <c r="H2304" s="1076" t="str">
        <f>IFERROR(__xludf.DUMMYFUNCTION("""COMPUTED_VALUE"""),"5.3 Hp")</f>
        <v>5.3 Hp</v>
      </c>
      <c r="I2304" s="1076"/>
      <c r="J2304" s="1076" t="str">
        <f>IFERROR(__xludf.DUMMYFUNCTION("""COMPUTED_VALUE"""),"374308719")</f>
        <v>374308719</v>
      </c>
      <c r="K2304" s="1076"/>
      <c r="L2304" s="1076" t="str">
        <f>IFERROR(__xludf.DUMMYFUNCTION("""COMPUTED_VALUE"""),"KLH")</f>
        <v>KLH</v>
      </c>
    </row>
    <row r="2305" customHeight="1" spans="1:12">
      <c r="A2305" s="1076" t="str">
        <f>IFERROR(__xludf.DUMMYFUNCTION("""COMPUTED_VALUE"""),"XB1-MCG-013")</f>
        <v>XB1-MCG-013</v>
      </c>
      <c r="B2305" s="1075" t="str">
        <f>IFERROR(__xludf.DUMMYFUNCTION("""COMPUTED_VALUE"""),"Máy cưa gỗ")</f>
        <v>Máy cưa gỗ</v>
      </c>
      <c r="C2305" s="1076" t="str">
        <f>IFERROR(__xludf.DUMMYFUNCTION("""COMPUTED_VALUE"""),"XN Bò AD")</f>
        <v>XN Bò AD</v>
      </c>
      <c r="D2305" s="1076" t="str">
        <f>IFERROR(__xludf.DUMMYFUNCTION("""COMPUTED_VALUE"""),"STIHL")</f>
        <v>STIHL</v>
      </c>
      <c r="E2305" s="1076" t="str">
        <f>IFERROR(__xludf.DUMMYFUNCTION("""COMPUTED_VALUE"""),"BRAZIL")</f>
        <v>BRAZIL</v>
      </c>
      <c r="F2305" s="1076">
        <f>IFERROR(__xludf.DUMMYFUNCTION("""COMPUTED_VALUE"""),2025)</f>
        <v>2025</v>
      </c>
      <c r="G2305" s="1076" t="str">
        <f>IFERROR(__xludf.DUMMYFUNCTION("""COMPUTED_VALUE"""),"MS 382")</f>
        <v>MS 382</v>
      </c>
      <c r="H2305" s="1076" t="str">
        <f>IFERROR(__xludf.DUMMYFUNCTION("""COMPUTED_VALUE"""),"5.3 Hp")</f>
        <v>5.3 Hp</v>
      </c>
      <c r="I2305" s="1076"/>
      <c r="J2305" s="1076" t="str">
        <f>IFERROR(__xludf.DUMMYFUNCTION("""COMPUTED_VALUE"""),"374500128")</f>
        <v>374500128</v>
      </c>
      <c r="K2305" s="1076"/>
      <c r="L2305" s="1076" t="str">
        <f>IFERROR(__xludf.DUMMYFUNCTION("""COMPUTED_VALUE"""),"KLH")</f>
        <v>KLH</v>
      </c>
    </row>
    <row r="2306" customHeight="1" spans="1:12">
      <c r="A2306" s="1076" t="str">
        <f>IFERROR(__xludf.DUMMYFUNCTION("""COMPUTED_VALUE"""),"XB1-MCG-014")</f>
        <v>XB1-MCG-014</v>
      </c>
      <c r="B2306" s="1075" t="str">
        <f>IFERROR(__xludf.DUMMYFUNCTION("""COMPUTED_VALUE"""),"Máy cưa gỗ")</f>
        <v>Máy cưa gỗ</v>
      </c>
      <c r="C2306" s="1076" t="str">
        <f>IFERROR(__xludf.DUMMYFUNCTION("""COMPUTED_VALUE"""),"XN Bò AD")</f>
        <v>XN Bò AD</v>
      </c>
      <c r="D2306" s="1076" t="str">
        <f>IFERROR(__xludf.DUMMYFUNCTION("""COMPUTED_VALUE"""),"STIHL")</f>
        <v>STIHL</v>
      </c>
      <c r="E2306" s="1076" t="str">
        <f>IFERROR(__xludf.DUMMYFUNCTION("""COMPUTED_VALUE"""),"BRAZIL")</f>
        <v>BRAZIL</v>
      </c>
      <c r="F2306" s="1076">
        <f>IFERROR(__xludf.DUMMYFUNCTION("""COMPUTED_VALUE"""),2025)</f>
        <v>2025</v>
      </c>
      <c r="G2306" s="1076" t="str">
        <f>IFERROR(__xludf.DUMMYFUNCTION("""COMPUTED_VALUE"""),"MS 382")</f>
        <v>MS 382</v>
      </c>
      <c r="H2306" s="1076" t="str">
        <f>IFERROR(__xludf.DUMMYFUNCTION("""COMPUTED_VALUE"""),"5.3 Hp")</f>
        <v>5.3 Hp</v>
      </c>
      <c r="I2306" s="1076"/>
      <c r="J2306" s="1076" t="str">
        <f>IFERROR(__xludf.DUMMYFUNCTION("""COMPUTED_VALUE"""),"374500138")</f>
        <v>374500138</v>
      </c>
      <c r="K2306" s="1076"/>
      <c r="L2306" s="1076" t="str">
        <f>IFERROR(__xludf.DUMMYFUNCTION("""COMPUTED_VALUE"""),"KLH")</f>
        <v>KLH</v>
      </c>
    </row>
    <row r="2307" customHeight="1" spans="1:12">
      <c r="A2307" s="1076" t="str">
        <f>IFERROR(__xludf.DUMMYFUNCTION("""COMPUTED_VALUE"""),"XB1-MCG-015")</f>
        <v>XB1-MCG-015</v>
      </c>
      <c r="B2307" s="1075" t="str">
        <f>IFERROR(__xludf.DUMMYFUNCTION("""COMPUTED_VALUE"""),"Máy cưa gỗ")</f>
        <v>Máy cưa gỗ</v>
      </c>
      <c r="C2307" s="1076" t="str">
        <f>IFERROR(__xludf.DUMMYFUNCTION("""COMPUTED_VALUE"""),"XN Bò AD")</f>
        <v>XN Bò AD</v>
      </c>
      <c r="D2307" s="1076" t="str">
        <f>IFERROR(__xludf.DUMMYFUNCTION("""COMPUTED_VALUE"""),"STIHL")</f>
        <v>STIHL</v>
      </c>
      <c r="E2307" s="1076" t="str">
        <f>IFERROR(__xludf.DUMMYFUNCTION("""COMPUTED_VALUE"""),"BRAZIL")</f>
        <v>BRAZIL</v>
      </c>
      <c r="F2307" s="1076">
        <f>IFERROR(__xludf.DUMMYFUNCTION("""COMPUTED_VALUE"""),2025)</f>
        <v>2025</v>
      </c>
      <c r="G2307" s="1076" t="str">
        <f>IFERROR(__xludf.DUMMYFUNCTION("""COMPUTED_VALUE"""),"MS 382")</f>
        <v>MS 382</v>
      </c>
      <c r="H2307" s="1076" t="str">
        <f>IFERROR(__xludf.DUMMYFUNCTION("""COMPUTED_VALUE"""),"5.3 Hp")</f>
        <v>5.3 Hp</v>
      </c>
      <c r="I2307" s="1076"/>
      <c r="J2307" s="1076" t="str">
        <f>IFERROR(__xludf.DUMMYFUNCTION("""COMPUTED_VALUE"""),"374450480")</f>
        <v>374450480</v>
      </c>
      <c r="K2307" s="1076"/>
      <c r="L2307" s="1076" t="str">
        <f>IFERROR(__xludf.DUMMYFUNCTION("""COMPUTED_VALUE"""),"KLH")</f>
        <v>KLH</v>
      </c>
    </row>
    <row r="2308" customHeight="1" spans="1:12">
      <c r="A2308" s="1076" t="str">
        <f>IFERROR(__xludf.DUMMYFUNCTION("""COMPUTED_VALUE"""),"XB1-MCG-016")</f>
        <v>XB1-MCG-016</v>
      </c>
      <c r="B2308" s="1075" t="str">
        <f>IFERROR(__xludf.DUMMYFUNCTION("""COMPUTED_VALUE"""),"Máy cưa gỗ")</f>
        <v>Máy cưa gỗ</v>
      </c>
      <c r="C2308" s="1076" t="str">
        <f>IFERROR(__xludf.DUMMYFUNCTION("""COMPUTED_VALUE"""),"XN Bò AD")</f>
        <v>XN Bò AD</v>
      </c>
      <c r="D2308" s="1076" t="str">
        <f>IFERROR(__xludf.DUMMYFUNCTION("""COMPUTED_VALUE"""),"STIHL")</f>
        <v>STIHL</v>
      </c>
      <c r="E2308" s="1076" t="str">
        <f>IFERROR(__xludf.DUMMYFUNCTION("""COMPUTED_VALUE"""),"BRAZIL")</f>
        <v>BRAZIL</v>
      </c>
      <c r="F2308" s="1076">
        <f>IFERROR(__xludf.DUMMYFUNCTION("""COMPUTED_VALUE"""),2025)</f>
        <v>2025</v>
      </c>
      <c r="G2308" s="1076" t="str">
        <f>IFERROR(__xludf.DUMMYFUNCTION("""COMPUTED_VALUE"""),"MS 382")</f>
        <v>MS 382</v>
      </c>
      <c r="H2308" s="1076" t="str">
        <f>IFERROR(__xludf.DUMMYFUNCTION("""COMPUTED_VALUE"""),"5.3 Hp")</f>
        <v>5.3 Hp</v>
      </c>
      <c r="I2308" s="1076"/>
      <c r="J2308" s="1076" t="str">
        <f>IFERROR(__xludf.DUMMYFUNCTION("""COMPUTED_VALUE"""),"374450513")</f>
        <v>374450513</v>
      </c>
      <c r="K2308" s="1076"/>
      <c r="L2308" s="1076" t="str">
        <f>IFERROR(__xludf.DUMMYFUNCTION("""COMPUTED_VALUE"""),"KLH")</f>
        <v>KLH</v>
      </c>
    </row>
    <row r="2309" customHeight="1" spans="1:12">
      <c r="A2309" s="1076" t="str">
        <f>IFERROR(__xludf.DUMMYFUNCTION("""COMPUTED_VALUE"""),"ĐƠN VỊ KHÁC")</f>
        <v>ĐƠN VỊ KHÁC</v>
      </c>
      <c r="B2309" s="1075"/>
      <c r="C2309" s="1076"/>
      <c r="D2309" s="1076"/>
      <c r="E2309" s="1076"/>
      <c r="F2309" s="1076"/>
      <c r="G2309" s="1076"/>
      <c r="H2309" s="1076"/>
      <c r="I2309" s="1076"/>
      <c r="J2309" s="1076"/>
      <c r="K2309" s="1076"/>
      <c r="L2309" s="1076" t="str">
        <f>IFERROR(__xludf.DUMMYFUNCTION("""COMPUTED_VALUE"""),"KLH")</f>
        <v>KLH</v>
      </c>
    </row>
    <row r="2310" customHeight="1" spans="1:12">
      <c r="A2310" s="1076" t="str">
        <f>IFERROR(__xludf.DUMMYFUNCTION("""COMPUTED_VALUE"""),"BAN ĐIỆN NƯỚC")</f>
        <v>BAN ĐIỆN NƯỚC</v>
      </c>
      <c r="B2310" s="1075"/>
      <c r="C2310" s="1076"/>
      <c r="D2310" s="1076"/>
      <c r="E2310" s="1076"/>
      <c r="F2310" s="1076"/>
      <c r="G2310" s="1076"/>
      <c r="H2310" s="1076"/>
      <c r="I2310" s="1076"/>
      <c r="J2310" s="1076"/>
      <c r="K2310" s="1076"/>
      <c r="L2310" s="1076" t="str">
        <f>IFERROR(__xludf.DUMMYFUNCTION("""COMPUTED_VALUE"""),"KLH")</f>
        <v>KLH</v>
      </c>
    </row>
    <row r="2311" customHeight="1" spans="1:12">
      <c r="A2311" s="1076" t="str">
        <f>IFERROR(__xludf.DUMMYFUNCTION("""COMPUTED_VALUE"""),"ĐNA-MCG-001")</f>
        <v>ĐNA-MCG-001</v>
      </c>
      <c r="B2311" s="1075" t="str">
        <f>IFERROR(__xludf.DUMMYFUNCTION("""COMPUTED_VALUE"""),"Máy cưa gỗ")</f>
        <v>Máy cưa gỗ</v>
      </c>
      <c r="C2311" s="1076" t="str">
        <f>IFERROR(__xludf.DUMMYFUNCTION("""COMPUTED_VALUE"""),"Ban điện nước")</f>
        <v>Ban điện nước</v>
      </c>
      <c r="D2311" s="1076" t="str">
        <f>IFERROR(__xludf.DUMMYFUNCTION("""COMPUTED_VALUE"""),"STIHL")</f>
        <v>STIHL</v>
      </c>
      <c r="E2311" s="1076" t="str">
        <f>IFERROR(__xludf.DUMMYFUNCTION("""COMPUTED_VALUE"""),"Trung Quốc")</f>
        <v>Trung Quốc</v>
      </c>
      <c r="F2311" s="1076"/>
      <c r="G2311" s="1076" t="str">
        <f>IFERROR(__xludf.DUMMYFUNCTION("""COMPUTED_VALUE"""),"MS382")</f>
        <v>MS382</v>
      </c>
      <c r="H2311" s="1076" t="str">
        <f>IFERROR(__xludf.DUMMYFUNCTION("""COMPUTED_VALUE"""),"3.9HP")</f>
        <v>3.9HP</v>
      </c>
      <c r="I2311" s="1076"/>
      <c r="J2311" s="1076"/>
      <c r="K2311" s="1076">
        <f>IFERROR(__xludf.DUMMYFUNCTION("""COMPUTED_VALUE"""),0.63)</f>
        <v>0.63</v>
      </c>
      <c r="L2311" s="1076" t="str">
        <f>IFERROR(__xludf.DUMMYFUNCTION("""COMPUTED_VALUE"""),"KLH")</f>
        <v>KLH</v>
      </c>
    </row>
    <row r="2312" customHeight="1" spans="1:12">
      <c r="A2312" s="1076" t="str">
        <f>IFERROR(__xludf.DUMMYFUNCTION("""COMPUTED_VALUE"""),"ĐNA-MCG-002")</f>
        <v>ĐNA-MCG-002</v>
      </c>
      <c r="B2312" s="1075" t="str">
        <f>IFERROR(__xludf.DUMMYFUNCTION("""COMPUTED_VALUE"""),"Máy cưa gỗ")</f>
        <v>Máy cưa gỗ</v>
      </c>
      <c r="C2312" s="1076" t="str">
        <f>IFERROR(__xludf.DUMMYFUNCTION("""COMPUTED_VALUE"""),"Ban điện nước")</f>
        <v>Ban điện nước</v>
      </c>
      <c r="D2312" s="1076" t="str">
        <f>IFERROR(__xludf.DUMMYFUNCTION("""COMPUTED_VALUE"""),"TOTAL")</f>
        <v>TOTAL</v>
      </c>
      <c r="E2312" s="1076" t="str">
        <f>IFERROR(__xludf.DUMMYFUNCTION("""COMPUTED_VALUE"""),"Trung Quốc")</f>
        <v>Trung Quốc</v>
      </c>
      <c r="F2312" s="1076"/>
      <c r="G2312" s="1076" t="str">
        <f>IFERROR(__xludf.DUMMYFUNCTION("""COMPUTED_VALUE"""),"TG5602411")</f>
        <v>TG5602411</v>
      </c>
      <c r="H2312" s="1076" t="str">
        <f>IFERROR(__xludf.DUMMYFUNCTION("""COMPUTED_VALUE"""),"2.6HP")</f>
        <v>2.6HP</v>
      </c>
      <c r="I2312" s="1076"/>
      <c r="J2312" s="1076"/>
      <c r="K2312" s="1076">
        <f>IFERROR(__xludf.DUMMYFUNCTION("""COMPUTED_VALUE"""),0.63)</f>
        <v>0.63</v>
      </c>
      <c r="L2312" s="1076" t="str">
        <f>IFERROR(__xludf.DUMMYFUNCTION("""COMPUTED_VALUE"""),"KLH")</f>
        <v>KLH</v>
      </c>
    </row>
    <row r="2313" customHeight="1" spans="1:12">
      <c r="A2313" s="1076" t="str">
        <f>IFERROR(__xludf.DUMMYFUNCTION("""COMPUTED_VALUE"""),"ĐNA-MCG-003")</f>
        <v>ĐNA-MCG-003</v>
      </c>
      <c r="B2313" s="1075" t="str">
        <f>IFERROR(__xludf.DUMMYFUNCTION("""COMPUTED_VALUE"""),"Máy cưa gỗ")</f>
        <v>Máy cưa gỗ</v>
      </c>
      <c r="C2313" s="1076" t="str">
        <f>IFERROR(__xludf.DUMMYFUNCTION("""COMPUTED_VALUE"""),"Ban điện nước")</f>
        <v>Ban điện nước</v>
      </c>
      <c r="D2313" s="1076" t="str">
        <f>IFERROR(__xludf.DUMMYFUNCTION("""COMPUTED_VALUE"""),"STIHL")</f>
        <v>STIHL</v>
      </c>
      <c r="E2313" s="1076" t="str">
        <f>IFERROR(__xludf.DUMMYFUNCTION("""COMPUTED_VALUE"""),"Trung Quốc")</f>
        <v>Trung Quốc</v>
      </c>
      <c r="F2313" s="1076"/>
      <c r="G2313" s="1076" t="str">
        <f>IFERROR(__xludf.DUMMYFUNCTION("""COMPUTED_VALUE"""),"MS382")</f>
        <v>MS382</v>
      </c>
      <c r="H2313" s="1076" t="str">
        <f>IFERROR(__xludf.DUMMYFUNCTION("""COMPUTED_VALUE"""),"3.9HP")</f>
        <v>3.9HP</v>
      </c>
      <c r="I2313" s="1076"/>
      <c r="J2313" s="1076"/>
      <c r="K2313" s="1076">
        <f>IFERROR(__xludf.DUMMYFUNCTION("""COMPUTED_VALUE"""),0.63)</f>
        <v>0.63</v>
      </c>
      <c r="L2313" s="1076" t="str">
        <f>IFERROR(__xludf.DUMMYFUNCTION("""COMPUTED_VALUE"""),"KLH")</f>
        <v>KLH</v>
      </c>
    </row>
    <row r="2314" customHeight="1" spans="1:12">
      <c r="A2314" s="1076" t="str">
        <f>IFERROR(__xludf.DUMMYFUNCTION("""COMPUTED_VALUE"""),"MÁY KHOAN HỐ")</f>
        <v>MÁY KHOAN HỐ</v>
      </c>
      <c r="B2314" s="1075"/>
      <c r="C2314" s="1076"/>
      <c r="D2314" s="1076"/>
      <c r="E2314" s="1076"/>
      <c r="F2314" s="1076"/>
      <c r="G2314" s="1076"/>
      <c r="H2314" s="1076"/>
      <c r="I2314" s="1076"/>
      <c r="J2314" s="1076"/>
      <c r="K2314" s="1076"/>
      <c r="L2314" s="1076" t="str">
        <f>IFERROR(__xludf.DUMMYFUNCTION("""COMPUTED_VALUE"""),"KLH")</f>
        <v>KLH</v>
      </c>
    </row>
    <row r="2315" customHeight="1" spans="1:12">
      <c r="A2315" s="1076" t="str">
        <f>IFERROR(__xludf.DUMMYFUNCTION("""COMPUTED_VALUE"""),"DAUN PENH")</f>
        <v>DAUN PENH</v>
      </c>
      <c r="B2315" s="1075"/>
      <c r="C2315" s="1076"/>
      <c r="D2315" s="1076"/>
      <c r="E2315" s="1076"/>
      <c r="F2315" s="1076"/>
      <c r="G2315" s="1076"/>
      <c r="H2315" s="1076"/>
      <c r="I2315" s="1076"/>
      <c r="J2315" s="1076"/>
      <c r="K2315" s="1076"/>
      <c r="L2315" s="1076" t="str">
        <f>IFERROR(__xludf.DUMMYFUNCTION("""COMPUTED_VALUE"""),"KLH")</f>
        <v>KLH</v>
      </c>
    </row>
    <row r="2316" customHeight="1" spans="1:12">
      <c r="A2316" s="1076" t="str">
        <f>IFERROR(__xludf.DUMMYFUNCTION("""COMPUTED_VALUE"""),"DP1")</f>
        <v>DP1</v>
      </c>
      <c r="B2316" s="1075"/>
      <c r="C2316" s="1076"/>
      <c r="D2316" s="1076"/>
      <c r="E2316" s="1076"/>
      <c r="F2316" s="1076"/>
      <c r="G2316" s="1076"/>
      <c r="H2316" s="1076"/>
      <c r="I2316" s="1076"/>
      <c r="J2316" s="1076"/>
      <c r="K2316" s="1076"/>
      <c r="L2316" s="1076" t="str">
        <f>IFERROR(__xludf.DUMMYFUNCTION("""COMPUTED_VALUE"""),"KLH")</f>
        <v>KLH</v>
      </c>
    </row>
    <row r="2317" customHeight="1" spans="1:12">
      <c r="A2317" s="1076" t="str">
        <f>IFERROR(__xludf.DUMMYFUNCTION("""COMPUTED_VALUE"""),"XD1-MKH-001")</f>
        <v>XD1-MKH-001</v>
      </c>
      <c r="B2317" s="1075" t="str">
        <f>IFERROR(__xludf.DUMMYFUNCTION("""COMPUTED_VALUE"""),"Máy khoan hố cầm tay")</f>
        <v>Máy khoan hố cầm tay</v>
      </c>
      <c r="C2317" s="1076" t="str">
        <f>IFERROR(__xludf.DUMMYFUNCTION("""COMPUTED_VALUE"""),"XN Chuối DP1")</f>
        <v>XN Chuối DP1</v>
      </c>
      <c r="D2317" s="1076" t="str">
        <f>IFERROR(__xludf.DUMMYFUNCTION("""COMPUTED_VALUE"""),"HINOTA")</f>
        <v>HINOTA</v>
      </c>
      <c r="E2317" s="1076" t="str">
        <f>IFERROR(__xludf.DUMMYFUNCTION("""COMPUTED_VALUE"""),"TRUNG QUỐC")</f>
        <v>TRUNG QUỐC</v>
      </c>
      <c r="F2317" s="1076">
        <f>IFERROR(__xludf.DUMMYFUNCTION("""COMPUTED_VALUE"""),2022)</f>
        <v>2022</v>
      </c>
      <c r="G2317" s="1076" t="str">
        <f>IFERROR(__xludf.DUMMYFUNCTION("""COMPUTED_VALUE"""),"AG-52")</f>
        <v>AG-52</v>
      </c>
      <c r="H2317" s="1076" t="str">
        <f>IFERROR(__xludf.DUMMYFUNCTION("""COMPUTED_VALUE"""),"2.4HP")</f>
        <v>2.4HP</v>
      </c>
      <c r="I2317" s="1076"/>
      <c r="J2317" s="1076"/>
      <c r="K2317" s="1076">
        <f>IFERROR(__xludf.DUMMYFUNCTION("""COMPUTED_VALUE"""),1.2)</f>
        <v>1.2</v>
      </c>
      <c r="L2317" s="1076" t="str">
        <f>IFERROR(__xludf.DUMMYFUNCTION("""COMPUTED_VALUE"""),"KLH")</f>
        <v>KLH</v>
      </c>
    </row>
    <row r="2318" customHeight="1" spans="1:12">
      <c r="A2318" s="1076" t="str">
        <f>IFERROR(__xludf.DUMMYFUNCTION("""COMPUTED_VALUE"""),"XD1-MKH-002")</f>
        <v>XD1-MKH-002</v>
      </c>
      <c r="B2318" s="1075" t="str">
        <f>IFERROR(__xludf.DUMMYFUNCTION("""COMPUTED_VALUE"""),"Máy khoan hố cầm tay")</f>
        <v>Máy khoan hố cầm tay</v>
      </c>
      <c r="C2318" s="1076" t="str">
        <f>IFERROR(__xludf.DUMMYFUNCTION("""COMPUTED_VALUE"""),"XN Chuối DP1")</f>
        <v>XN Chuối DP1</v>
      </c>
      <c r="D2318" s="1076" t="str">
        <f>IFERROR(__xludf.DUMMYFUNCTION("""COMPUTED_VALUE"""),"HINOTA")</f>
        <v>HINOTA</v>
      </c>
      <c r="E2318" s="1076" t="str">
        <f>IFERROR(__xludf.DUMMYFUNCTION("""COMPUTED_VALUE"""),"TRUNG QUỐC")</f>
        <v>TRUNG QUỐC</v>
      </c>
      <c r="F2318" s="1076">
        <f>IFERROR(__xludf.DUMMYFUNCTION("""COMPUTED_VALUE"""),2022)</f>
        <v>2022</v>
      </c>
      <c r="G2318" s="1076" t="str">
        <f>IFERROR(__xludf.DUMMYFUNCTION("""COMPUTED_VALUE"""),"AG-52")</f>
        <v>AG-52</v>
      </c>
      <c r="H2318" s="1076" t="str">
        <f>IFERROR(__xludf.DUMMYFUNCTION("""COMPUTED_VALUE"""),"2.4HP")</f>
        <v>2.4HP</v>
      </c>
      <c r="I2318" s="1076"/>
      <c r="J2318" s="1076"/>
      <c r="K2318" s="1076">
        <f>IFERROR(__xludf.DUMMYFUNCTION("""COMPUTED_VALUE"""),1.2)</f>
        <v>1.2</v>
      </c>
      <c r="L2318" s="1076" t="str">
        <f>IFERROR(__xludf.DUMMYFUNCTION("""COMPUTED_VALUE"""),"KLH")</f>
        <v>KLH</v>
      </c>
    </row>
    <row r="2319" customHeight="1" spans="1:12">
      <c r="A2319" s="1076" t="str">
        <f>IFERROR(__xludf.DUMMYFUNCTION("""COMPUTED_VALUE"""),"XD1-MKH-003")</f>
        <v>XD1-MKH-003</v>
      </c>
      <c r="B2319" s="1075" t="str">
        <f>IFERROR(__xludf.DUMMYFUNCTION("""COMPUTED_VALUE"""),"Máy khoan hố cầm tay")</f>
        <v>Máy khoan hố cầm tay</v>
      </c>
      <c r="C2319" s="1076" t="str">
        <f>IFERROR(__xludf.DUMMYFUNCTION("""COMPUTED_VALUE"""),"XN Chuối DP1")</f>
        <v>XN Chuối DP1</v>
      </c>
      <c r="D2319" s="1076" t="str">
        <f>IFERROR(__xludf.DUMMYFUNCTION("""COMPUTED_VALUE"""),"HINOTA")</f>
        <v>HINOTA</v>
      </c>
      <c r="E2319" s="1076" t="str">
        <f>IFERROR(__xludf.DUMMYFUNCTION("""COMPUTED_VALUE"""),"TRUNG QUỐC")</f>
        <v>TRUNG QUỐC</v>
      </c>
      <c r="F2319" s="1076">
        <f>IFERROR(__xludf.DUMMYFUNCTION("""COMPUTED_VALUE"""),2022)</f>
        <v>2022</v>
      </c>
      <c r="G2319" s="1076" t="str">
        <f>IFERROR(__xludf.DUMMYFUNCTION("""COMPUTED_VALUE"""),"AG-52")</f>
        <v>AG-52</v>
      </c>
      <c r="H2319" s="1076" t="str">
        <f>IFERROR(__xludf.DUMMYFUNCTION("""COMPUTED_VALUE"""),"2.4HP")</f>
        <v>2.4HP</v>
      </c>
      <c r="I2319" s="1076"/>
      <c r="J2319" s="1076"/>
      <c r="K2319" s="1076">
        <f>IFERROR(__xludf.DUMMYFUNCTION("""COMPUTED_VALUE"""),1.2)</f>
        <v>1.2</v>
      </c>
      <c r="L2319" s="1076" t="str">
        <f>IFERROR(__xludf.DUMMYFUNCTION("""COMPUTED_VALUE"""),"KLH")</f>
        <v>KLH</v>
      </c>
    </row>
    <row r="2320" customHeight="1" spans="1:12">
      <c r="A2320" s="1076" t="str">
        <f>IFERROR(__xludf.DUMMYFUNCTION("""COMPUTED_VALUE"""),"XD1-MKH-004")</f>
        <v>XD1-MKH-004</v>
      </c>
      <c r="B2320" s="1075" t="str">
        <f>IFERROR(__xludf.DUMMYFUNCTION("""COMPUTED_VALUE"""),"Máy khoan hố cầm tay")</f>
        <v>Máy khoan hố cầm tay</v>
      </c>
      <c r="C2320" s="1076" t="str">
        <f>IFERROR(__xludf.DUMMYFUNCTION("""COMPUTED_VALUE"""),"XN Chuối DP1")</f>
        <v>XN Chuối DP1</v>
      </c>
      <c r="D2320" s="1076" t="str">
        <f>IFERROR(__xludf.DUMMYFUNCTION("""COMPUTED_VALUE"""),"HINOTA")</f>
        <v>HINOTA</v>
      </c>
      <c r="E2320" s="1076" t="str">
        <f>IFERROR(__xludf.DUMMYFUNCTION("""COMPUTED_VALUE"""),"TRUNG QUỐC")</f>
        <v>TRUNG QUỐC</v>
      </c>
      <c r="F2320" s="1076">
        <f>IFERROR(__xludf.DUMMYFUNCTION("""COMPUTED_VALUE"""),2022)</f>
        <v>2022</v>
      </c>
      <c r="G2320" s="1076" t="str">
        <f>IFERROR(__xludf.DUMMYFUNCTION("""COMPUTED_VALUE"""),"AG-52")</f>
        <v>AG-52</v>
      </c>
      <c r="H2320" s="1076" t="str">
        <f>IFERROR(__xludf.DUMMYFUNCTION("""COMPUTED_VALUE"""),"2.4HP")</f>
        <v>2.4HP</v>
      </c>
      <c r="I2320" s="1076"/>
      <c r="J2320" s="1076"/>
      <c r="K2320" s="1076">
        <f>IFERROR(__xludf.DUMMYFUNCTION("""COMPUTED_VALUE"""),1.2)</f>
        <v>1.2</v>
      </c>
      <c r="L2320" s="1076" t="str">
        <f>IFERROR(__xludf.DUMMYFUNCTION("""COMPUTED_VALUE"""),"KLH")</f>
        <v>KLH</v>
      </c>
    </row>
    <row r="2321" customHeight="1" spans="1:12">
      <c r="A2321" s="1076" t="str">
        <f>IFERROR(__xludf.DUMMYFUNCTION("""COMPUTED_VALUE"""),"XD1-MKH-005")</f>
        <v>XD1-MKH-005</v>
      </c>
      <c r="B2321" s="1075" t="str">
        <f>IFERROR(__xludf.DUMMYFUNCTION("""COMPUTED_VALUE"""),"Máy khoan hố cầm tay")</f>
        <v>Máy khoan hố cầm tay</v>
      </c>
      <c r="C2321" s="1076" t="str">
        <f>IFERROR(__xludf.DUMMYFUNCTION("""COMPUTED_VALUE"""),"XN Chuối DP1")</f>
        <v>XN Chuối DP1</v>
      </c>
      <c r="D2321" s="1076" t="str">
        <f>IFERROR(__xludf.DUMMYFUNCTION("""COMPUTED_VALUE"""),"HINOTA")</f>
        <v>HINOTA</v>
      </c>
      <c r="E2321" s="1076" t="str">
        <f>IFERROR(__xludf.DUMMYFUNCTION("""COMPUTED_VALUE"""),"TRUNG QUỐC")</f>
        <v>TRUNG QUỐC</v>
      </c>
      <c r="F2321" s="1076">
        <f>IFERROR(__xludf.DUMMYFUNCTION("""COMPUTED_VALUE"""),2022)</f>
        <v>2022</v>
      </c>
      <c r="G2321" s="1076" t="str">
        <f>IFERROR(__xludf.DUMMYFUNCTION("""COMPUTED_VALUE"""),"AG-52")</f>
        <v>AG-52</v>
      </c>
      <c r="H2321" s="1076" t="str">
        <f>IFERROR(__xludf.DUMMYFUNCTION("""COMPUTED_VALUE"""),"2.4HP")</f>
        <v>2.4HP</v>
      </c>
      <c r="I2321" s="1076"/>
      <c r="J2321" s="1076"/>
      <c r="K2321" s="1076">
        <f>IFERROR(__xludf.DUMMYFUNCTION("""COMPUTED_VALUE"""),1.2)</f>
        <v>1.2</v>
      </c>
      <c r="L2321" s="1076" t="str">
        <f>IFERROR(__xludf.DUMMYFUNCTION("""COMPUTED_VALUE"""),"KLH")</f>
        <v>KLH</v>
      </c>
    </row>
    <row r="2322" customHeight="1" spans="1:12">
      <c r="A2322" s="1076" t="str">
        <f>IFERROR(__xludf.DUMMYFUNCTION("""COMPUTED_VALUE"""),"XD1-MKH-006")</f>
        <v>XD1-MKH-006</v>
      </c>
      <c r="B2322" s="1075" t="str">
        <f>IFERROR(__xludf.DUMMYFUNCTION("""COMPUTED_VALUE"""),"Máy khoan hố cầm tay")</f>
        <v>Máy khoan hố cầm tay</v>
      </c>
      <c r="C2322" s="1076" t="str">
        <f>IFERROR(__xludf.DUMMYFUNCTION("""COMPUTED_VALUE"""),"XN Chuối DP1")</f>
        <v>XN Chuối DP1</v>
      </c>
      <c r="D2322" s="1076" t="str">
        <f>IFERROR(__xludf.DUMMYFUNCTION("""COMPUTED_VALUE"""),"HINOTA")</f>
        <v>HINOTA</v>
      </c>
      <c r="E2322" s="1076" t="str">
        <f>IFERROR(__xludf.DUMMYFUNCTION("""COMPUTED_VALUE"""),"TRUNG QUỐC")</f>
        <v>TRUNG QUỐC</v>
      </c>
      <c r="F2322" s="1076">
        <f>IFERROR(__xludf.DUMMYFUNCTION("""COMPUTED_VALUE"""),2022)</f>
        <v>2022</v>
      </c>
      <c r="G2322" s="1076" t="str">
        <f>IFERROR(__xludf.DUMMYFUNCTION("""COMPUTED_VALUE"""),"AG-52")</f>
        <v>AG-52</v>
      </c>
      <c r="H2322" s="1076" t="str">
        <f>IFERROR(__xludf.DUMMYFUNCTION("""COMPUTED_VALUE"""),"2.4HP")</f>
        <v>2.4HP</v>
      </c>
      <c r="I2322" s="1076"/>
      <c r="J2322" s="1076"/>
      <c r="K2322" s="1076">
        <f>IFERROR(__xludf.DUMMYFUNCTION("""COMPUTED_VALUE"""),1.2)</f>
        <v>1.2</v>
      </c>
      <c r="L2322" s="1076" t="str">
        <f>IFERROR(__xludf.DUMMYFUNCTION("""COMPUTED_VALUE"""),"KLH")</f>
        <v>KLH</v>
      </c>
    </row>
    <row r="2323" customHeight="1" spans="1:12">
      <c r="A2323" s="1076" t="str">
        <f>IFERROR(__xludf.DUMMYFUNCTION("""COMPUTED_VALUE"""),"DP2")</f>
        <v>DP2</v>
      </c>
      <c r="B2323" s="1075"/>
      <c r="C2323" s="1076"/>
      <c r="D2323" s="1076"/>
      <c r="E2323" s="1076"/>
      <c r="F2323" s="1076"/>
      <c r="G2323" s="1076"/>
      <c r="H2323" s="1076"/>
      <c r="I2323" s="1076"/>
      <c r="J2323" s="1076"/>
      <c r="K2323" s="1076"/>
      <c r="L2323" s="1076" t="str">
        <f>IFERROR(__xludf.DUMMYFUNCTION("""COMPUTED_VALUE"""),"KLH")</f>
        <v>KLH</v>
      </c>
    </row>
    <row r="2324" customHeight="1" spans="1:12">
      <c r="A2324" s="1076" t="str">
        <f>IFERROR(__xludf.DUMMYFUNCTION("""COMPUTED_VALUE"""),"XD2-MKH-001")</f>
        <v>XD2-MKH-001</v>
      </c>
      <c r="B2324" s="1075" t="str">
        <f>IFERROR(__xludf.DUMMYFUNCTION("""COMPUTED_VALUE"""),"Máy khoan hố cầm tay")</f>
        <v>Máy khoan hố cầm tay</v>
      </c>
      <c r="C2324" s="1076" t="str">
        <f>IFERROR(__xludf.DUMMYFUNCTION("""COMPUTED_VALUE"""),"XN Chuối DP2")</f>
        <v>XN Chuối DP2</v>
      </c>
      <c r="D2324" s="1076" t="str">
        <f>IFERROR(__xludf.DUMMYFUNCTION("""COMPUTED_VALUE"""),"OSHIMA")</f>
        <v>OSHIMA</v>
      </c>
      <c r="E2324" s="1076" t="str">
        <f>IFERROR(__xludf.DUMMYFUNCTION("""COMPUTED_VALUE"""),"TRUNG QUỐC")</f>
        <v>TRUNG QUỐC</v>
      </c>
      <c r="F2324" s="1076">
        <f>IFERROR(__xludf.DUMMYFUNCTION("""COMPUTED_VALUE"""),2022)</f>
        <v>2022</v>
      </c>
      <c r="G2324" s="1076" t="str">
        <f>IFERROR(__xludf.DUMMYFUNCTION("""COMPUTED_VALUE"""),"2PS")</f>
        <v>2PS</v>
      </c>
      <c r="H2324" s="1076" t="str">
        <f>IFERROR(__xludf.DUMMYFUNCTION("""COMPUTED_VALUE"""),"2.4HP")</f>
        <v>2.4HP</v>
      </c>
      <c r="I2324" s="1076"/>
      <c r="J2324" s="1076"/>
      <c r="K2324" s="1076">
        <f>IFERROR(__xludf.DUMMYFUNCTION("""COMPUTED_VALUE"""),1.2)</f>
        <v>1.2</v>
      </c>
      <c r="L2324" s="1076" t="str">
        <f>IFERROR(__xludf.DUMMYFUNCTION("""COMPUTED_VALUE"""),"KLH")</f>
        <v>KLH</v>
      </c>
    </row>
    <row r="2325" customHeight="1" spans="1:12">
      <c r="A2325" s="1076" t="str">
        <f>IFERROR(__xludf.DUMMYFUNCTION("""COMPUTED_VALUE"""),"XD2-MKH-002")</f>
        <v>XD2-MKH-002</v>
      </c>
      <c r="B2325" s="1075" t="str">
        <f>IFERROR(__xludf.DUMMYFUNCTION("""COMPUTED_VALUE"""),"Máy khoan hố cầm tay")</f>
        <v>Máy khoan hố cầm tay</v>
      </c>
      <c r="C2325" s="1076" t="str">
        <f>IFERROR(__xludf.DUMMYFUNCTION("""COMPUTED_VALUE"""),"XN Chuối DP2")</f>
        <v>XN Chuối DP2</v>
      </c>
      <c r="D2325" s="1076" t="str">
        <f>IFERROR(__xludf.DUMMYFUNCTION("""COMPUTED_VALUE"""),"OSHIMA")</f>
        <v>OSHIMA</v>
      </c>
      <c r="E2325" s="1076" t="str">
        <f>IFERROR(__xludf.DUMMYFUNCTION("""COMPUTED_VALUE"""),"TRUNG QUỐC")</f>
        <v>TRUNG QUỐC</v>
      </c>
      <c r="F2325" s="1076">
        <f>IFERROR(__xludf.DUMMYFUNCTION("""COMPUTED_VALUE"""),2022)</f>
        <v>2022</v>
      </c>
      <c r="G2325" s="1076" t="str">
        <f>IFERROR(__xludf.DUMMYFUNCTION("""COMPUTED_VALUE"""),"2PS")</f>
        <v>2PS</v>
      </c>
      <c r="H2325" s="1076" t="str">
        <f>IFERROR(__xludf.DUMMYFUNCTION("""COMPUTED_VALUE"""),"2.4HP")</f>
        <v>2.4HP</v>
      </c>
      <c r="I2325" s="1076"/>
      <c r="J2325" s="1076"/>
      <c r="K2325" s="1076">
        <f>IFERROR(__xludf.DUMMYFUNCTION("""COMPUTED_VALUE"""),1.2)</f>
        <v>1.2</v>
      </c>
      <c r="L2325" s="1076" t="str">
        <f>IFERROR(__xludf.DUMMYFUNCTION("""COMPUTED_VALUE"""),"KLH")</f>
        <v>KLH</v>
      </c>
    </row>
    <row r="2326" customHeight="1" spans="1:12">
      <c r="A2326" s="1076" t="str">
        <f>IFERROR(__xludf.DUMMYFUNCTION("""COMPUTED_VALUE"""),"DP3")</f>
        <v>DP3</v>
      </c>
      <c r="B2326" s="1075"/>
      <c r="C2326" s="1076"/>
      <c r="D2326" s="1076"/>
      <c r="E2326" s="1076"/>
      <c r="F2326" s="1076"/>
      <c r="G2326" s="1076"/>
      <c r="H2326" s="1076"/>
      <c r="I2326" s="1076"/>
      <c r="J2326" s="1076"/>
      <c r="K2326" s="1076"/>
      <c r="L2326" s="1076" t="str">
        <f>IFERROR(__xludf.DUMMYFUNCTION("""COMPUTED_VALUE"""),"KLH")</f>
        <v>KLH</v>
      </c>
    </row>
    <row r="2327" customHeight="1" spans="1:12">
      <c r="A2327" s="1076" t="str">
        <f>IFERROR(__xludf.DUMMYFUNCTION("""COMPUTED_VALUE"""),"XD3-MKH-001")</f>
        <v>XD3-MKH-001</v>
      </c>
      <c r="B2327" s="1075" t="str">
        <f>IFERROR(__xludf.DUMMYFUNCTION("""COMPUTED_VALUE"""),"Máy khoan hố cầm tay")</f>
        <v>Máy khoan hố cầm tay</v>
      </c>
      <c r="C2327" s="1076" t="str">
        <f>IFERROR(__xludf.DUMMYFUNCTION("""COMPUTED_VALUE"""),"XN Chuối DP3")</f>
        <v>XN Chuối DP3</v>
      </c>
      <c r="D2327" s="1076" t="str">
        <f>IFERROR(__xludf.DUMMYFUNCTION("""COMPUTED_VALUE"""),"HINOTA")</f>
        <v>HINOTA</v>
      </c>
      <c r="E2327" s="1076" t="str">
        <f>IFERROR(__xludf.DUMMYFUNCTION("""COMPUTED_VALUE"""),"TRUNG QUỐC")</f>
        <v>TRUNG QUỐC</v>
      </c>
      <c r="F2327" s="1076">
        <f>IFERROR(__xludf.DUMMYFUNCTION("""COMPUTED_VALUE"""),2022)</f>
        <v>2022</v>
      </c>
      <c r="G2327" s="1076" t="str">
        <f>IFERROR(__xludf.DUMMYFUNCTION("""COMPUTED_VALUE"""),"AG-52")</f>
        <v>AG-52</v>
      </c>
      <c r="H2327" s="1076" t="str">
        <f>IFERROR(__xludf.DUMMYFUNCTION("""COMPUTED_VALUE"""),"2.4HP")</f>
        <v>2.4HP</v>
      </c>
      <c r="I2327" s="1076"/>
      <c r="J2327" s="1076"/>
      <c r="K2327" s="1076">
        <f>IFERROR(__xludf.DUMMYFUNCTION("""COMPUTED_VALUE"""),1.2)</f>
        <v>1.2</v>
      </c>
      <c r="L2327" s="1076" t="str">
        <f>IFERROR(__xludf.DUMMYFUNCTION("""COMPUTED_VALUE"""),"KLH")</f>
        <v>KLH</v>
      </c>
    </row>
    <row r="2328" customHeight="1" spans="1:12">
      <c r="A2328" s="1076" t="str">
        <f>IFERROR(__xludf.DUMMYFUNCTION("""COMPUTED_VALUE"""),"XD3-MKH-002")</f>
        <v>XD3-MKH-002</v>
      </c>
      <c r="B2328" s="1075" t="str">
        <f>IFERROR(__xludf.DUMMYFUNCTION("""COMPUTED_VALUE"""),"Máy khoan hố cầm tay")</f>
        <v>Máy khoan hố cầm tay</v>
      </c>
      <c r="C2328" s="1076" t="str">
        <f>IFERROR(__xludf.DUMMYFUNCTION("""COMPUTED_VALUE"""),"XN Chuối DP3")</f>
        <v>XN Chuối DP3</v>
      </c>
      <c r="D2328" s="1076" t="str">
        <f>IFERROR(__xludf.DUMMYFUNCTION("""COMPUTED_VALUE"""),"HINOTA")</f>
        <v>HINOTA</v>
      </c>
      <c r="E2328" s="1076" t="str">
        <f>IFERROR(__xludf.DUMMYFUNCTION("""COMPUTED_VALUE"""),"TRUNG QUỐC")</f>
        <v>TRUNG QUỐC</v>
      </c>
      <c r="F2328" s="1076">
        <f>IFERROR(__xludf.DUMMYFUNCTION("""COMPUTED_VALUE"""),2022)</f>
        <v>2022</v>
      </c>
      <c r="G2328" s="1076" t="str">
        <f>IFERROR(__xludf.DUMMYFUNCTION("""COMPUTED_VALUE"""),"AG-52")</f>
        <v>AG-52</v>
      </c>
      <c r="H2328" s="1076" t="str">
        <f>IFERROR(__xludf.DUMMYFUNCTION("""COMPUTED_VALUE"""),"2.4HP")</f>
        <v>2.4HP</v>
      </c>
      <c r="I2328" s="1076"/>
      <c r="J2328" s="1076"/>
      <c r="K2328" s="1076">
        <f>IFERROR(__xludf.DUMMYFUNCTION("""COMPUTED_VALUE"""),1.2)</f>
        <v>1.2</v>
      </c>
      <c r="L2328" s="1076" t="str">
        <f>IFERROR(__xludf.DUMMYFUNCTION("""COMPUTED_VALUE"""),"KLH")</f>
        <v>KLH</v>
      </c>
    </row>
    <row r="2329" customHeight="1" spans="1:12">
      <c r="A2329" s="1076" t="str">
        <f>IFERROR(__xludf.DUMMYFUNCTION("""COMPUTED_VALUE"""),"XD3-MKH-003")</f>
        <v>XD3-MKH-003</v>
      </c>
      <c r="B2329" s="1075" t="str">
        <f>IFERROR(__xludf.DUMMYFUNCTION("""COMPUTED_VALUE"""),"Máy khoan hố cầm tay")</f>
        <v>Máy khoan hố cầm tay</v>
      </c>
      <c r="C2329" s="1076" t="str">
        <f>IFERROR(__xludf.DUMMYFUNCTION("""COMPUTED_VALUE"""),"XN Chuối DP3")</f>
        <v>XN Chuối DP3</v>
      </c>
      <c r="D2329" s="1076" t="str">
        <f>IFERROR(__xludf.DUMMYFUNCTION("""COMPUTED_VALUE"""),"HINOTA")</f>
        <v>HINOTA</v>
      </c>
      <c r="E2329" s="1076" t="str">
        <f>IFERROR(__xludf.DUMMYFUNCTION("""COMPUTED_VALUE"""),"TRUNG QUỐC")</f>
        <v>TRUNG QUỐC</v>
      </c>
      <c r="F2329" s="1076">
        <f>IFERROR(__xludf.DUMMYFUNCTION("""COMPUTED_VALUE"""),2022)</f>
        <v>2022</v>
      </c>
      <c r="G2329" s="1076" t="str">
        <f>IFERROR(__xludf.DUMMYFUNCTION("""COMPUTED_VALUE"""),"AG-52")</f>
        <v>AG-52</v>
      </c>
      <c r="H2329" s="1076" t="str">
        <f>IFERROR(__xludf.DUMMYFUNCTION("""COMPUTED_VALUE"""),"2.4HP")</f>
        <v>2.4HP</v>
      </c>
      <c r="I2329" s="1076"/>
      <c r="J2329" s="1076"/>
      <c r="K2329" s="1076">
        <f>IFERROR(__xludf.DUMMYFUNCTION("""COMPUTED_VALUE"""),1.2)</f>
        <v>1.2</v>
      </c>
      <c r="L2329" s="1076" t="str">
        <f>IFERROR(__xludf.DUMMYFUNCTION("""COMPUTED_VALUE"""),"KLH")</f>
        <v>KLH</v>
      </c>
    </row>
    <row r="2330" customHeight="1" spans="1:12">
      <c r="A2330" s="1076" t="str">
        <f>IFERROR(__xludf.DUMMYFUNCTION("""COMPUTED_VALUE"""),"CAT DP")</f>
        <v>CAT DP</v>
      </c>
      <c r="B2330" s="1075"/>
      <c r="C2330" s="1076"/>
      <c r="D2330" s="1076"/>
      <c r="E2330" s="1076"/>
      <c r="F2330" s="1076"/>
      <c r="G2330" s="1076"/>
      <c r="H2330" s="1076"/>
      <c r="I2330" s="1076"/>
      <c r="J2330" s="1076"/>
      <c r="K2330" s="1076"/>
      <c r="L2330" s="1076" t="str">
        <f>IFERROR(__xludf.DUMMYFUNCTION("""COMPUTED_VALUE"""),"KLH")</f>
        <v>KLH</v>
      </c>
    </row>
    <row r="2331" customHeight="1" spans="1:12">
      <c r="A2331" s="1076" t="str">
        <f>IFERROR(__xludf.DUMMYFUNCTION("""COMPUTED_VALUE"""),"LUMPHAT")</f>
        <v>LUMPHAT</v>
      </c>
      <c r="B2331" s="1075"/>
      <c r="C2331" s="1076"/>
      <c r="D2331" s="1076"/>
      <c r="E2331" s="1076"/>
      <c r="F2331" s="1076"/>
      <c r="G2331" s="1076"/>
      <c r="H2331" s="1076"/>
      <c r="I2331" s="1076"/>
      <c r="J2331" s="1076"/>
      <c r="K2331" s="1076"/>
      <c r="L2331" s="1076" t="str">
        <f>IFERROR(__xludf.DUMMYFUNCTION("""COMPUTED_VALUE"""),"KLH")</f>
        <v>KLH</v>
      </c>
    </row>
    <row r="2332" customHeight="1" spans="1:12">
      <c r="A2332" s="1076" t="str">
        <f>IFERROR(__xludf.DUMMYFUNCTION("""COMPUTED_VALUE"""),"LP1")</f>
        <v>LP1</v>
      </c>
      <c r="B2332" s="1075"/>
      <c r="C2332" s="1076"/>
      <c r="D2332" s="1076"/>
      <c r="E2332" s="1076"/>
      <c r="F2332" s="1076"/>
      <c r="G2332" s="1076"/>
      <c r="H2332" s="1076"/>
      <c r="I2332" s="1076"/>
      <c r="J2332" s="1076"/>
      <c r="K2332" s="1076"/>
      <c r="L2332" s="1076" t="str">
        <f>IFERROR(__xludf.DUMMYFUNCTION("""COMPUTED_VALUE"""),"KLH")</f>
        <v>KLH</v>
      </c>
    </row>
    <row r="2333" customHeight="1" spans="1:12">
      <c r="A2333" s="1076" t="str">
        <f>IFERROR(__xludf.DUMMYFUNCTION("""COMPUTED_VALUE"""),"XL1-MKH-001")</f>
        <v>XL1-MKH-001</v>
      </c>
      <c r="B2333" s="1075" t="str">
        <f>IFERROR(__xludf.DUMMYFUNCTION("""COMPUTED_VALUE"""),"Máy khoan hố cầm tay")</f>
        <v>Máy khoan hố cầm tay</v>
      </c>
      <c r="C2333" s="1076" t="str">
        <f>IFERROR(__xludf.DUMMYFUNCTION("""COMPUTED_VALUE"""),"XN Chuối LP1")</f>
        <v>XN Chuối LP1</v>
      </c>
      <c r="D2333" s="1076" t="str">
        <f>IFERROR(__xludf.DUMMYFUNCTION("""COMPUTED_VALUE"""),"HINOTA")</f>
        <v>HINOTA</v>
      </c>
      <c r="E2333" s="1076" t="str">
        <f>IFERROR(__xludf.DUMMYFUNCTION("""COMPUTED_VALUE"""),"TRUNG QUỐC")</f>
        <v>TRUNG QUỐC</v>
      </c>
      <c r="F2333" s="1076"/>
      <c r="G2333" s="1076" t="str">
        <f>IFERROR(__xludf.DUMMYFUNCTION("""COMPUTED_VALUE"""),"AG-52")</f>
        <v>AG-52</v>
      </c>
      <c r="H2333" s="1076" t="str">
        <f>IFERROR(__xludf.DUMMYFUNCTION("""COMPUTED_VALUE"""),"2.4HP")</f>
        <v>2.4HP</v>
      </c>
      <c r="I2333" s="1076"/>
      <c r="J2333" s="1076"/>
      <c r="K2333" s="1076">
        <f>IFERROR(__xludf.DUMMYFUNCTION("""COMPUTED_VALUE"""),1.2)</f>
        <v>1.2</v>
      </c>
      <c r="L2333" s="1076" t="str">
        <f>IFERROR(__xludf.DUMMYFUNCTION("""COMPUTED_VALUE"""),"KLH")</f>
        <v>KLH</v>
      </c>
    </row>
    <row r="2334" customHeight="1" spans="1:12">
      <c r="A2334" s="1076" t="str">
        <f>IFERROR(__xludf.DUMMYFUNCTION("""COMPUTED_VALUE"""),"XL1-MKH-002")</f>
        <v>XL1-MKH-002</v>
      </c>
      <c r="B2334" s="1075" t="str">
        <f>IFERROR(__xludf.DUMMYFUNCTION("""COMPUTED_VALUE"""),"Máy khoan hố cầm tay")</f>
        <v>Máy khoan hố cầm tay</v>
      </c>
      <c r="C2334" s="1076" t="str">
        <f>IFERROR(__xludf.DUMMYFUNCTION("""COMPUTED_VALUE"""),"XN Chuối LP1")</f>
        <v>XN Chuối LP1</v>
      </c>
      <c r="D2334" s="1076" t="str">
        <f>IFERROR(__xludf.DUMMYFUNCTION("""COMPUTED_VALUE"""),"HINOTA")</f>
        <v>HINOTA</v>
      </c>
      <c r="E2334" s="1076" t="str">
        <f>IFERROR(__xludf.DUMMYFUNCTION("""COMPUTED_VALUE"""),"TRUNG QUỐC")</f>
        <v>TRUNG QUỐC</v>
      </c>
      <c r="F2334" s="1076"/>
      <c r="G2334" s="1076" t="str">
        <f>IFERROR(__xludf.DUMMYFUNCTION("""COMPUTED_VALUE"""),"AG-52")</f>
        <v>AG-52</v>
      </c>
      <c r="H2334" s="1076" t="str">
        <f>IFERROR(__xludf.DUMMYFUNCTION("""COMPUTED_VALUE"""),"2.4HP")</f>
        <v>2.4HP</v>
      </c>
      <c r="I2334" s="1076"/>
      <c r="J2334" s="1076"/>
      <c r="K2334" s="1076">
        <f>IFERROR(__xludf.DUMMYFUNCTION("""COMPUTED_VALUE"""),1.2)</f>
        <v>1.2</v>
      </c>
      <c r="L2334" s="1076" t="str">
        <f>IFERROR(__xludf.DUMMYFUNCTION("""COMPUTED_VALUE"""),"KLH")</f>
        <v>KLH</v>
      </c>
    </row>
    <row r="2335" customHeight="1" spans="1:12">
      <c r="A2335" s="1076" t="str">
        <f>IFERROR(__xludf.DUMMYFUNCTION("""COMPUTED_VALUE"""),"XL1-MKH-003")</f>
        <v>XL1-MKH-003</v>
      </c>
      <c r="B2335" s="1075" t="str">
        <f>IFERROR(__xludf.DUMMYFUNCTION("""COMPUTED_VALUE"""),"Máy khoan hố cầm tay")</f>
        <v>Máy khoan hố cầm tay</v>
      </c>
      <c r="C2335" s="1076" t="str">
        <f>IFERROR(__xludf.DUMMYFUNCTION("""COMPUTED_VALUE"""),"XN Chuối LP1")</f>
        <v>XN Chuối LP1</v>
      </c>
      <c r="D2335" s="1076" t="str">
        <f>IFERROR(__xludf.DUMMYFUNCTION("""COMPUTED_VALUE"""),"HINOTA")</f>
        <v>HINOTA</v>
      </c>
      <c r="E2335" s="1076" t="str">
        <f>IFERROR(__xludf.DUMMYFUNCTION("""COMPUTED_VALUE"""),"TRUNG QUỐC")</f>
        <v>TRUNG QUỐC</v>
      </c>
      <c r="F2335" s="1076"/>
      <c r="G2335" s="1076" t="str">
        <f>IFERROR(__xludf.DUMMYFUNCTION("""COMPUTED_VALUE"""),"AG-52")</f>
        <v>AG-52</v>
      </c>
      <c r="H2335" s="1076" t="str">
        <f>IFERROR(__xludf.DUMMYFUNCTION("""COMPUTED_VALUE"""),"2.4HP")</f>
        <v>2.4HP</v>
      </c>
      <c r="I2335" s="1076"/>
      <c r="J2335" s="1076"/>
      <c r="K2335" s="1076">
        <f>IFERROR(__xludf.DUMMYFUNCTION("""COMPUTED_VALUE"""),1.2)</f>
        <v>1.2</v>
      </c>
      <c r="L2335" s="1076" t="str">
        <f>IFERROR(__xludf.DUMMYFUNCTION("""COMPUTED_VALUE"""),"KLH")</f>
        <v>KLH</v>
      </c>
    </row>
    <row r="2336" customHeight="1" spans="1:12">
      <c r="A2336" s="1076" t="str">
        <f>IFERROR(__xludf.DUMMYFUNCTION("""COMPUTED_VALUE"""),"LP3")</f>
        <v>LP3</v>
      </c>
      <c r="B2336" s="1075"/>
      <c r="C2336" s="1076"/>
      <c r="D2336" s="1076"/>
      <c r="E2336" s="1076"/>
      <c r="F2336" s="1076"/>
      <c r="G2336" s="1076"/>
      <c r="H2336" s="1076"/>
      <c r="I2336" s="1076"/>
      <c r="J2336" s="1076"/>
      <c r="K2336" s="1076"/>
      <c r="L2336" s="1076" t="str">
        <f>IFERROR(__xludf.DUMMYFUNCTION("""COMPUTED_VALUE"""),"KLH")</f>
        <v>KLH</v>
      </c>
    </row>
    <row r="2337" customHeight="1" spans="1:12">
      <c r="A2337" s="1076" t="str">
        <f>IFERROR(__xludf.DUMMYFUNCTION("""COMPUTED_VALUE"""),"XL3-MKH-001")</f>
        <v>XL3-MKH-001</v>
      </c>
      <c r="B2337" s="1075" t="str">
        <f>IFERROR(__xludf.DUMMYFUNCTION("""COMPUTED_VALUE"""),"Máy khoan hố cầm tay")</f>
        <v>Máy khoan hố cầm tay</v>
      </c>
      <c r="C2337" s="1076" t="str">
        <f>IFERROR(__xludf.DUMMYFUNCTION("""COMPUTED_VALUE"""),"XN Chuối LP3")</f>
        <v>XN Chuối LP3</v>
      </c>
      <c r="D2337" s="1076" t="str">
        <f>IFERROR(__xludf.DUMMYFUNCTION("""COMPUTED_VALUE"""),"HINOTA")</f>
        <v>HINOTA</v>
      </c>
      <c r="E2337" s="1076" t="str">
        <f>IFERROR(__xludf.DUMMYFUNCTION("""COMPUTED_VALUE"""),"TRUNG QUỐC")</f>
        <v>TRUNG QUỐC</v>
      </c>
      <c r="F2337" s="1076"/>
      <c r="G2337" s="1076" t="str">
        <f>IFERROR(__xludf.DUMMYFUNCTION("""COMPUTED_VALUE"""),"AG-52")</f>
        <v>AG-52</v>
      </c>
      <c r="H2337" s="1076" t="str">
        <f>IFERROR(__xludf.DUMMYFUNCTION("""COMPUTED_VALUE"""),"2.4HP")</f>
        <v>2.4HP</v>
      </c>
      <c r="I2337" s="1076"/>
      <c r="J2337" s="1076"/>
      <c r="K2337" s="1076">
        <f>IFERROR(__xludf.DUMMYFUNCTION("""COMPUTED_VALUE"""),1.2)</f>
        <v>1.2</v>
      </c>
      <c r="L2337" s="1076" t="str">
        <f>IFERROR(__xludf.DUMMYFUNCTION("""COMPUTED_VALUE"""),"KLH")</f>
        <v>KLH</v>
      </c>
    </row>
    <row r="2338" customHeight="1" spans="1:12">
      <c r="A2338" s="1076" t="str">
        <f>IFERROR(__xludf.DUMMYFUNCTION("""COMPUTED_VALUE"""),"XL3-MKH-002")</f>
        <v>XL3-MKH-002</v>
      </c>
      <c r="B2338" s="1075" t="str">
        <f>IFERROR(__xludf.DUMMYFUNCTION("""COMPUTED_VALUE"""),"Máy khoan hố cầm tay")</f>
        <v>Máy khoan hố cầm tay</v>
      </c>
      <c r="C2338" s="1076" t="str">
        <f>IFERROR(__xludf.DUMMYFUNCTION("""COMPUTED_VALUE"""),"XN Chuối LP3")</f>
        <v>XN Chuối LP3</v>
      </c>
      <c r="D2338" s="1076" t="str">
        <f>IFERROR(__xludf.DUMMYFUNCTION("""COMPUTED_VALUE"""),"HINOTA")</f>
        <v>HINOTA</v>
      </c>
      <c r="E2338" s="1076" t="str">
        <f>IFERROR(__xludf.DUMMYFUNCTION("""COMPUTED_VALUE"""),"TRUNG QUỐC")</f>
        <v>TRUNG QUỐC</v>
      </c>
      <c r="F2338" s="1076"/>
      <c r="G2338" s="1076" t="str">
        <f>IFERROR(__xludf.DUMMYFUNCTION("""COMPUTED_VALUE"""),"AG-52")</f>
        <v>AG-52</v>
      </c>
      <c r="H2338" s="1076" t="str">
        <f>IFERROR(__xludf.DUMMYFUNCTION("""COMPUTED_VALUE"""),"2.4HP")</f>
        <v>2.4HP</v>
      </c>
      <c r="I2338" s="1076"/>
      <c r="J2338" s="1076"/>
      <c r="K2338" s="1076">
        <f>IFERROR(__xludf.DUMMYFUNCTION("""COMPUTED_VALUE"""),1.2)</f>
        <v>1.2</v>
      </c>
      <c r="L2338" s="1076" t="str">
        <f>IFERROR(__xludf.DUMMYFUNCTION("""COMPUTED_VALUE"""),"KLH")</f>
        <v>KLH</v>
      </c>
    </row>
    <row r="2339" customHeight="1" spans="1:12">
      <c r="A2339" s="1076" t="str">
        <f>IFERROR(__xludf.DUMMYFUNCTION("""COMPUTED_VALUE"""),"LP4")</f>
        <v>LP4</v>
      </c>
      <c r="B2339" s="1075"/>
      <c r="C2339" s="1076"/>
      <c r="D2339" s="1076"/>
      <c r="E2339" s="1076"/>
      <c r="F2339" s="1076"/>
      <c r="G2339" s="1076"/>
      <c r="H2339" s="1076"/>
      <c r="I2339" s="1076"/>
      <c r="J2339" s="1076"/>
      <c r="K2339" s="1076"/>
      <c r="L2339" s="1076" t="str">
        <f>IFERROR(__xludf.DUMMYFUNCTION("""COMPUTED_VALUE"""),"KLH")</f>
        <v>KLH</v>
      </c>
    </row>
    <row r="2340" customHeight="1" spans="1:12">
      <c r="A2340" s="1076" t="str">
        <f>IFERROR(__xludf.DUMMYFUNCTION("""COMPUTED_VALUE"""),"XL4-MKH-001")</f>
        <v>XL4-MKH-001</v>
      </c>
      <c r="B2340" s="1075" t="str">
        <f>IFERROR(__xludf.DUMMYFUNCTION("""COMPUTED_VALUE"""),"Máy khoan hố cầm tay")</f>
        <v>Máy khoan hố cầm tay</v>
      </c>
      <c r="C2340" s="1076" t="str">
        <f>IFERROR(__xludf.DUMMYFUNCTION("""COMPUTED_VALUE"""),"XN Chuối LP4")</f>
        <v>XN Chuối LP4</v>
      </c>
      <c r="D2340" s="1076" t="str">
        <f>IFERROR(__xludf.DUMMYFUNCTION("""COMPUTED_VALUE"""),"OSHIMA")</f>
        <v>OSHIMA</v>
      </c>
      <c r="E2340" s="1076" t="str">
        <f>IFERROR(__xludf.DUMMYFUNCTION("""COMPUTED_VALUE"""),"TRUNG QUỐC")</f>
        <v>TRUNG QUỐC</v>
      </c>
      <c r="F2340" s="1076">
        <f>IFERROR(__xludf.DUMMYFUNCTION("""COMPUTED_VALUE"""),2022)</f>
        <v>2022</v>
      </c>
      <c r="G2340" s="1076" t="str">
        <f>IFERROR(__xludf.DUMMYFUNCTION("""COMPUTED_VALUE"""),"2PS")</f>
        <v>2PS</v>
      </c>
      <c r="H2340" s="1076" t="str">
        <f>IFERROR(__xludf.DUMMYFUNCTION("""COMPUTED_VALUE"""),"2.4HP")</f>
        <v>2.4HP</v>
      </c>
      <c r="I2340" s="1076"/>
      <c r="J2340" s="1076"/>
      <c r="K2340" s="1076">
        <f>IFERROR(__xludf.DUMMYFUNCTION("""COMPUTED_VALUE"""),1.2)</f>
        <v>1.2</v>
      </c>
      <c r="L2340" s="1076" t="str">
        <f>IFERROR(__xludf.DUMMYFUNCTION("""COMPUTED_VALUE"""),"KLH")</f>
        <v>KLH</v>
      </c>
    </row>
    <row r="2341" customHeight="1" spans="1:12">
      <c r="A2341" s="1076" t="str">
        <f>IFERROR(__xludf.DUMMYFUNCTION("""COMPUTED_VALUE"""),"XL4-MKH-002")</f>
        <v>XL4-MKH-002</v>
      </c>
      <c r="B2341" s="1075" t="str">
        <f>IFERROR(__xludf.DUMMYFUNCTION("""COMPUTED_VALUE"""),"Máy khoan hố cầm tay")</f>
        <v>Máy khoan hố cầm tay</v>
      </c>
      <c r="C2341" s="1076" t="str">
        <f>IFERROR(__xludf.DUMMYFUNCTION("""COMPUTED_VALUE"""),"XN Chuối LP4")</f>
        <v>XN Chuối LP4</v>
      </c>
      <c r="D2341" s="1076" t="str">
        <f>IFERROR(__xludf.DUMMYFUNCTION("""COMPUTED_VALUE"""),"OSHIMA")</f>
        <v>OSHIMA</v>
      </c>
      <c r="E2341" s="1076" t="str">
        <f>IFERROR(__xludf.DUMMYFUNCTION("""COMPUTED_VALUE"""),"TRUNG QUỐC")</f>
        <v>TRUNG QUỐC</v>
      </c>
      <c r="F2341" s="1076">
        <f>IFERROR(__xludf.DUMMYFUNCTION("""COMPUTED_VALUE"""),2022)</f>
        <v>2022</v>
      </c>
      <c r="G2341" s="1076" t="str">
        <f>IFERROR(__xludf.DUMMYFUNCTION("""COMPUTED_VALUE"""),"2PS")</f>
        <v>2PS</v>
      </c>
      <c r="H2341" s="1076" t="str">
        <f>IFERROR(__xludf.DUMMYFUNCTION("""COMPUTED_VALUE"""),"2.4HP")</f>
        <v>2.4HP</v>
      </c>
      <c r="I2341" s="1076"/>
      <c r="J2341" s="1076"/>
      <c r="K2341" s="1076">
        <f>IFERROR(__xludf.DUMMYFUNCTION("""COMPUTED_VALUE"""),1.2)</f>
        <v>1.2</v>
      </c>
      <c r="L2341" s="1076" t="str">
        <f>IFERROR(__xludf.DUMMYFUNCTION("""COMPUTED_VALUE"""),"KLH")</f>
        <v>KLH</v>
      </c>
    </row>
    <row r="2342" customHeight="1" spans="1:12">
      <c r="A2342" s="1076" t="str">
        <f>IFERROR(__xludf.DUMMYFUNCTION("""COMPUTED_VALUE"""),"XL4-MKH-003")</f>
        <v>XL4-MKH-003</v>
      </c>
      <c r="B2342" s="1075" t="str">
        <f>IFERROR(__xludf.DUMMYFUNCTION("""COMPUTED_VALUE"""),"Máy khoan hố cầm tay")</f>
        <v>Máy khoan hố cầm tay</v>
      </c>
      <c r="C2342" s="1076" t="str">
        <f>IFERROR(__xludf.DUMMYFUNCTION("""COMPUTED_VALUE"""),"XN Chuối LP4")</f>
        <v>XN Chuối LP4</v>
      </c>
      <c r="D2342" s="1076" t="str">
        <f>IFERROR(__xludf.DUMMYFUNCTION("""COMPUTED_VALUE"""),"OSHIMA")</f>
        <v>OSHIMA</v>
      </c>
      <c r="E2342" s="1076" t="str">
        <f>IFERROR(__xludf.DUMMYFUNCTION("""COMPUTED_VALUE"""),"TRUNG QUỐC")</f>
        <v>TRUNG QUỐC</v>
      </c>
      <c r="F2342" s="1076">
        <f>IFERROR(__xludf.DUMMYFUNCTION("""COMPUTED_VALUE"""),2022)</f>
        <v>2022</v>
      </c>
      <c r="G2342" s="1076" t="str">
        <f>IFERROR(__xludf.DUMMYFUNCTION("""COMPUTED_VALUE"""),"2PS")</f>
        <v>2PS</v>
      </c>
      <c r="H2342" s="1076" t="str">
        <f>IFERROR(__xludf.DUMMYFUNCTION("""COMPUTED_VALUE"""),"2.4HP")</f>
        <v>2.4HP</v>
      </c>
      <c r="I2342" s="1076"/>
      <c r="J2342" s="1076"/>
      <c r="K2342" s="1076">
        <f>IFERROR(__xludf.DUMMYFUNCTION("""COMPUTED_VALUE"""),1.2)</f>
        <v>1.2</v>
      </c>
      <c r="L2342" s="1076" t="str">
        <f>IFERROR(__xludf.DUMMYFUNCTION("""COMPUTED_VALUE"""),"KLH")</f>
        <v>KLH</v>
      </c>
    </row>
    <row r="2343" customHeight="1" spans="1:12">
      <c r="A2343" s="1076" t="str">
        <f>IFERROR(__xludf.DUMMYFUNCTION("""COMPUTED_VALUE"""),"XL4-MKH-004")</f>
        <v>XL4-MKH-004</v>
      </c>
      <c r="B2343" s="1075" t="str">
        <f>IFERROR(__xludf.DUMMYFUNCTION("""COMPUTED_VALUE"""),"Máy khoan hố cầm tay")</f>
        <v>Máy khoan hố cầm tay</v>
      </c>
      <c r="C2343" s="1076" t="str">
        <f>IFERROR(__xludf.DUMMYFUNCTION("""COMPUTED_VALUE"""),"XN Chuối LP4")</f>
        <v>XN Chuối LP4</v>
      </c>
      <c r="D2343" s="1076" t="str">
        <f>IFERROR(__xludf.DUMMYFUNCTION("""COMPUTED_VALUE"""),"OSHIMA")</f>
        <v>OSHIMA</v>
      </c>
      <c r="E2343" s="1076" t="str">
        <f>IFERROR(__xludf.DUMMYFUNCTION("""COMPUTED_VALUE"""),"TRUNG QUỐC")</f>
        <v>TRUNG QUỐC</v>
      </c>
      <c r="F2343" s="1076">
        <f>IFERROR(__xludf.DUMMYFUNCTION("""COMPUTED_VALUE"""),2022)</f>
        <v>2022</v>
      </c>
      <c r="G2343" s="1076" t="str">
        <f>IFERROR(__xludf.DUMMYFUNCTION("""COMPUTED_VALUE"""),"2PS")</f>
        <v>2PS</v>
      </c>
      <c r="H2343" s="1076" t="str">
        <f>IFERROR(__xludf.DUMMYFUNCTION("""COMPUTED_VALUE"""),"2.4HP")</f>
        <v>2.4HP</v>
      </c>
      <c r="I2343" s="1076"/>
      <c r="J2343" s="1076"/>
      <c r="K2343" s="1076">
        <f>IFERROR(__xludf.DUMMYFUNCTION("""COMPUTED_VALUE"""),1.2)</f>
        <v>1.2</v>
      </c>
      <c r="L2343" s="1076" t="str">
        <f>IFERROR(__xludf.DUMMYFUNCTION("""COMPUTED_VALUE"""),"KLH")</f>
        <v>KLH</v>
      </c>
    </row>
    <row r="2344" customHeight="1" spans="1:12">
      <c r="A2344" s="1076" t="str">
        <f>IFERROR(__xludf.DUMMYFUNCTION("""COMPUTED_VALUE"""),"XL4-MKH-005")</f>
        <v>XL4-MKH-005</v>
      </c>
      <c r="B2344" s="1075" t="str">
        <f>IFERROR(__xludf.DUMMYFUNCTION("""COMPUTED_VALUE"""),"Máy khoan hố cầm tay")</f>
        <v>Máy khoan hố cầm tay</v>
      </c>
      <c r="C2344" s="1076" t="str">
        <f>IFERROR(__xludf.DUMMYFUNCTION("""COMPUTED_VALUE"""),"XN Chuối LP4")</f>
        <v>XN Chuối LP4</v>
      </c>
      <c r="D2344" s="1076" t="str">
        <f>IFERROR(__xludf.DUMMYFUNCTION("""COMPUTED_VALUE"""),"OSHIMA")</f>
        <v>OSHIMA</v>
      </c>
      <c r="E2344" s="1076" t="str">
        <f>IFERROR(__xludf.DUMMYFUNCTION("""COMPUTED_VALUE"""),"TRUNG QUỐC")</f>
        <v>TRUNG QUỐC</v>
      </c>
      <c r="F2344" s="1076">
        <f>IFERROR(__xludf.DUMMYFUNCTION("""COMPUTED_VALUE"""),2022)</f>
        <v>2022</v>
      </c>
      <c r="G2344" s="1076" t="str">
        <f>IFERROR(__xludf.DUMMYFUNCTION("""COMPUTED_VALUE"""),"2PS")</f>
        <v>2PS</v>
      </c>
      <c r="H2344" s="1076" t="str">
        <f>IFERROR(__xludf.DUMMYFUNCTION("""COMPUTED_VALUE"""),"2.4HP")</f>
        <v>2.4HP</v>
      </c>
      <c r="I2344" s="1076"/>
      <c r="J2344" s="1076"/>
      <c r="K2344" s="1076">
        <f>IFERROR(__xludf.DUMMYFUNCTION("""COMPUTED_VALUE"""),1.2)</f>
        <v>1.2</v>
      </c>
      <c r="L2344" s="1076"/>
    </row>
    <row r="2345" customHeight="1" spans="1:12">
      <c r="A2345" s="1076" t="str">
        <f>IFERROR(__xludf.DUMMYFUNCTION("""COMPUTED_VALUE"""),"ANDONG MEAS")</f>
        <v>ANDONG MEAS</v>
      </c>
      <c r="B2345" s="1075"/>
      <c r="C2345" s="1076"/>
      <c r="D2345" s="1076"/>
      <c r="E2345" s="1076"/>
      <c r="F2345" s="1076"/>
      <c r="G2345" s="1076"/>
      <c r="H2345" s="1076"/>
      <c r="I2345" s="1076"/>
      <c r="J2345" s="1076"/>
      <c r="K2345" s="1076"/>
      <c r="L2345" s="1076"/>
    </row>
    <row r="2346" customHeight="1" spans="1:12">
      <c r="A2346" s="1076" t="str">
        <f>IFERROR(__xludf.DUMMYFUNCTION("""COMPUTED_VALUE"""),"XN AD2")</f>
        <v>XN AD2</v>
      </c>
      <c r="B2346" s="1075"/>
      <c r="C2346" s="1076"/>
      <c r="D2346" s="1076"/>
      <c r="E2346" s="1076"/>
      <c r="F2346" s="1076"/>
      <c r="G2346" s="1076"/>
      <c r="H2346" s="1076"/>
      <c r="I2346" s="1076"/>
      <c r="J2346" s="1076"/>
      <c r="K2346" s="1076"/>
      <c r="L2346" s="1076"/>
    </row>
    <row r="2347" customHeight="1" spans="1:12">
      <c r="A2347" s="1076" t="str">
        <f>IFERROR(__xludf.DUMMYFUNCTION("""COMPUTED_VALUE"""),"XA2-MKH-001")</f>
        <v>XA2-MKH-001</v>
      </c>
      <c r="B2347" s="1075" t="str">
        <f>IFERROR(__xludf.DUMMYFUNCTION("""COMPUTED_VALUE"""),"Máy khoan hố cầm tay")</f>
        <v>Máy khoan hố cầm tay</v>
      </c>
      <c r="C2347" s="1076" t="str">
        <f>IFERROR(__xludf.DUMMYFUNCTION("""COMPUTED_VALUE"""),"XN Chuối AD2")</f>
        <v>XN Chuối AD2</v>
      </c>
      <c r="D2347" s="1076" t="str">
        <f>IFERROR(__xludf.DUMMYFUNCTION("""COMPUTED_VALUE"""),"HINOTA")</f>
        <v>HINOTA</v>
      </c>
      <c r="E2347" s="1076" t="str">
        <f>IFERROR(__xludf.DUMMYFUNCTION("""COMPUTED_VALUE"""),"TRUNG QUỐC")</f>
        <v>TRUNG QUỐC</v>
      </c>
      <c r="F2347" s="1076">
        <f>IFERROR(__xludf.DUMMYFUNCTION("""COMPUTED_VALUE"""),2022)</f>
        <v>2022</v>
      </c>
      <c r="G2347" s="1076" t="str">
        <f>IFERROR(__xludf.DUMMYFUNCTION("""COMPUTED_VALUE"""),"AG-52")</f>
        <v>AG-52</v>
      </c>
      <c r="H2347" s="1076" t="str">
        <f>IFERROR(__xludf.DUMMYFUNCTION("""COMPUTED_VALUE"""),"2.4HP")</f>
        <v>2.4HP</v>
      </c>
      <c r="I2347" s="1076"/>
      <c r="J2347" s="1076"/>
      <c r="K2347" s="1076">
        <f>IFERROR(__xludf.DUMMYFUNCTION("""COMPUTED_VALUE"""),1.2)</f>
        <v>1.2</v>
      </c>
      <c r="L2347" s="1076"/>
    </row>
    <row r="2348" customHeight="1" spans="1:12">
      <c r="A2348" s="1076" t="str">
        <f>IFERROR(__xludf.DUMMYFUNCTION("""COMPUTED_VALUE"""),"CAT AD")</f>
        <v>CAT AD</v>
      </c>
      <c r="B2348" s="1075"/>
      <c r="C2348" s="1076"/>
      <c r="D2348" s="1076"/>
      <c r="E2348" s="1076"/>
      <c r="F2348" s="1076"/>
      <c r="G2348" s="1076"/>
      <c r="H2348" s="1076"/>
      <c r="I2348" s="1076"/>
      <c r="J2348" s="1076"/>
      <c r="K2348" s="1076"/>
      <c r="L2348" s="1076"/>
    </row>
    <row r="2349" customHeight="1" spans="1:12">
      <c r="A2349" s="1076" t="str">
        <f>IFERROR(__xludf.DUMMYFUNCTION("""COMPUTED_VALUE"""),"XN BÒ")</f>
        <v>XN BÒ</v>
      </c>
      <c r="B2349" s="1075"/>
      <c r="C2349" s="1076"/>
      <c r="D2349" s="1076"/>
      <c r="E2349" s="1076"/>
      <c r="F2349" s="1076"/>
      <c r="G2349" s="1076"/>
      <c r="H2349" s="1076"/>
      <c r="I2349" s="1076"/>
      <c r="J2349" s="1076"/>
      <c r="K2349" s="1076"/>
      <c r="L2349" s="1076"/>
    </row>
    <row r="2350" customHeight="1" spans="1:12">
      <c r="A2350" s="1076" t="str">
        <f>IFERROR(__xludf.DUMMYFUNCTION("""COMPUTED_VALUE"""),"ĐƠN VỊ KHÁC")</f>
        <v>ĐƠN VỊ KHÁC</v>
      </c>
      <c r="B2350" s="1075"/>
      <c r="C2350" s="1076"/>
      <c r="D2350" s="1076"/>
      <c r="E2350" s="1076"/>
      <c r="F2350" s="1076"/>
      <c r="G2350" s="1076"/>
      <c r="H2350" s="1076"/>
      <c r="I2350" s="1076"/>
      <c r="J2350" s="1076"/>
      <c r="K2350" s="1076"/>
      <c r="L2350" s="1076"/>
    </row>
    <row r="2351" customHeight="1" spans="1:12">
      <c r="A2351" s="1076" t="str">
        <f>IFERROR(__xludf.DUMMYFUNCTION("""COMPUTED_VALUE"""),"TNA-MĐA-001")</f>
        <v>TNA-MĐA-001</v>
      </c>
      <c r="B2351" s="1075" t="str">
        <f>IFERROR(__xludf.DUMMYFUNCTION("""COMPUTED_VALUE"""),"Máy đào gàu 0.7m3")</f>
        <v>Máy đào gàu 0.7m3</v>
      </c>
      <c r="C2351" s="1076" t="str">
        <f>IFERROR(__xludf.DUMMYFUNCTION("""COMPUTED_VALUE"""),"B.ĐTXD AD")</f>
        <v>B.ĐTXD AD</v>
      </c>
      <c r="D2351" s="1076" t="str">
        <f>IFERROR(__xludf.DUMMYFUNCTION("""COMPUTED_VALUE"""),"CATERPILLAR")</f>
        <v>CATERPILLAR</v>
      </c>
      <c r="E2351" s="1076"/>
      <c r="F2351" s="1076">
        <f>IFERROR(__xludf.DUMMYFUNCTION("""COMPUTED_VALUE"""),1987)</f>
        <v>1987</v>
      </c>
      <c r="G2351" s="1076" t="str">
        <f>IFERROR(__xludf.DUMMYFUNCTION("""COMPUTED_VALUE"""),"E200")</f>
        <v>E200</v>
      </c>
      <c r="H2351" s="1076" t="str">
        <f>IFERROR(__xludf.DUMMYFUNCTION("""COMPUTED_VALUE"""),"118HP")</f>
        <v>118HP</v>
      </c>
      <c r="I2351" s="1076" t="str">
        <f>IFERROR(__xludf.DUMMYFUNCTION("""COMPUTED_VALUE"""),"10190")</f>
        <v>10190</v>
      </c>
      <c r="J2351" s="1076" t="str">
        <f>IFERROR(__xludf.DUMMYFUNCTION("""COMPUTED_VALUE"""),"4GS08329")</f>
        <v>4GS08329</v>
      </c>
      <c r="K2351" s="1076"/>
      <c r="L2351" s="1076" t="str">
        <f>IFERROR(__xludf.DUMMYFUNCTION("""COMPUTED_VALUE"""),"-")</f>
        <v>-</v>
      </c>
    </row>
    <row r="2352" customHeight="1" spans="1:12">
      <c r="A2352" s="1076" t="str">
        <f>IFERROR(__xludf.DUMMYFUNCTION("""COMPUTED_VALUE"""),"TNA-MĐA-002")</f>
        <v>TNA-MĐA-002</v>
      </c>
      <c r="B2352" s="1075" t="str">
        <f>IFERROR(__xludf.DUMMYFUNCTION("""COMPUTED_VALUE"""),"Máy đào gàu 0.7m3")</f>
        <v>Máy đào gàu 0.7m3</v>
      </c>
      <c r="C2352" s="1076" t="str">
        <f>IFERROR(__xludf.DUMMYFUNCTION("""COMPUTED_VALUE"""),"B.ĐTXD AD")</f>
        <v>B.ĐTXD AD</v>
      </c>
      <c r="D2352" s="1076" t="str">
        <f>IFERROR(__xludf.DUMMYFUNCTION("""COMPUTED_VALUE"""),"CATERPILLAR")</f>
        <v>CATERPILLAR</v>
      </c>
      <c r="E2352" s="1076"/>
      <c r="F2352" s="1076"/>
      <c r="G2352" s="1076"/>
      <c r="H2352" s="1076" t="str">
        <f>IFERROR(__xludf.DUMMYFUNCTION("""COMPUTED_VALUE"""),"165HP")</f>
        <v>165HP</v>
      </c>
      <c r="I2352" s="1076" t="str">
        <f>IFERROR(__xludf.DUMMYFUNCTION("""COMPUTED_VALUE"""),"86SE21EWNK0000579")</f>
        <v>86SE21EWNK0000579</v>
      </c>
      <c r="J2352" s="1076" t="str">
        <f>IFERROR(__xludf.DUMMYFUNCTION("""COMPUTED_VALUE"""),"1019B004")</f>
        <v>1019B004</v>
      </c>
      <c r="K2352" s="1076"/>
      <c r="L2352" s="1076" t="str">
        <f>IFERROR(__xludf.DUMMYFUNCTION("""COMPUTED_VALUE"""),"-")</f>
        <v>-</v>
      </c>
    </row>
    <row r="2353" customHeight="1" spans="1:12">
      <c r="A2353" s="1076" t="str">
        <f>IFERROR(__xludf.DUMMYFUNCTION("""COMPUTED_VALUE"""),"TNA-MĐA-003")</f>
        <v>TNA-MĐA-003</v>
      </c>
      <c r="B2353" s="1075" t="str">
        <f>IFERROR(__xludf.DUMMYFUNCTION("""COMPUTED_VALUE"""),"Máy đào gàu 0.7m3")</f>
        <v>Máy đào gàu 0.7m3</v>
      </c>
      <c r="C2353" s="1076" t="str">
        <f>IFERROR(__xludf.DUMMYFUNCTION("""COMPUTED_VALUE"""),"B.ĐTXD AD")</f>
        <v>B.ĐTXD AD</v>
      </c>
      <c r="D2353" s="1076" t="str">
        <f>IFERROR(__xludf.DUMMYFUNCTION("""COMPUTED_VALUE"""),"VOLVO")</f>
        <v>VOLVO</v>
      </c>
      <c r="E2353" s="1076"/>
      <c r="F2353" s="1076">
        <f>IFERROR(__xludf.DUMMYFUNCTION("""COMPUTED_VALUE"""),2020)</f>
        <v>2020</v>
      </c>
      <c r="G2353" s="1076" t="str">
        <f>IFERROR(__xludf.DUMMYFUNCTION("""COMPUTED_VALUE"""),"EC210DL")</f>
        <v>EC210DL</v>
      </c>
      <c r="H2353" s="1076" t="str">
        <f>IFERROR(__xludf.DUMMYFUNCTION("""COMPUTED_VALUE"""),"165HP")</f>
        <v>165HP</v>
      </c>
      <c r="I2353" s="1076" t="str">
        <f>IFERROR(__xludf.DUMMYFUNCTION("""COMPUTED_VALUE"""),"VCEC210DL00251710")</f>
        <v>VCEC210DL00251710</v>
      </c>
      <c r="J2353" s="1076"/>
      <c r="K2353" s="1076"/>
      <c r="L2353" s="1076" t="str">
        <f>IFERROR(__xludf.DUMMYFUNCTION("""COMPUTED_VALUE"""),"-")</f>
        <v>-</v>
      </c>
    </row>
    <row r="2354" customHeight="1" spans="1:12">
      <c r="A2354" s="1076" t="str">
        <f>IFERROR(__xludf.DUMMYFUNCTION("""COMPUTED_VALUE"""),"TNA-MĐA-004")</f>
        <v>TNA-MĐA-004</v>
      </c>
      <c r="B2354" s="1075" t="str">
        <f>IFERROR(__xludf.DUMMYFUNCTION("""COMPUTED_VALUE"""),"Máy đào gàu 0.9m3")</f>
        <v>Máy đào gàu 0.9m3</v>
      </c>
      <c r="C2354" s="1076" t="str">
        <f>IFERROR(__xludf.DUMMYFUNCTION("""COMPUTED_VALUE"""),"B.ĐTXD AD")</f>
        <v>B.ĐTXD AD</v>
      </c>
      <c r="D2354" s="1076" t="str">
        <f>IFERROR(__xludf.DUMMYFUNCTION("""COMPUTED_VALUE"""),"CATERPILLAR")</f>
        <v>CATERPILLAR</v>
      </c>
      <c r="E2354" s="1076"/>
      <c r="F2354" s="1076">
        <f>IFERROR(__xludf.DUMMYFUNCTION("""COMPUTED_VALUE"""),1991)</f>
        <v>1991</v>
      </c>
      <c r="G2354" s="1076" t="str">
        <f>IFERROR(__xludf.DUMMYFUNCTION("""COMPUTED_VALUE"""),"320")</f>
        <v>320</v>
      </c>
      <c r="H2354" s="1076" t="str">
        <f>IFERROR(__xludf.DUMMYFUNCTION("""COMPUTED_VALUE"""),"130HP")</f>
        <v>130HP</v>
      </c>
      <c r="I2354" s="1076" t="str">
        <f>IFERROR(__xludf.DUMMYFUNCTION("""COMPUTED_VALUE"""),"2DL-01634")</f>
        <v>2DL-01634</v>
      </c>
      <c r="J2354" s="1076" t="str">
        <f>IFERROR(__xludf.DUMMYFUNCTION("""COMPUTED_VALUE"""),"7JK-17607")</f>
        <v>7JK-17607</v>
      </c>
      <c r="K2354" s="1076"/>
      <c r="L2354" s="1076" t="str">
        <f>IFERROR(__xludf.DUMMYFUNCTION("""COMPUTED_VALUE"""),"-")</f>
        <v>-</v>
      </c>
    </row>
    <row r="2355" customHeight="1" spans="1:12">
      <c r="A2355" s="1076" t="str">
        <f>IFERROR(__xludf.DUMMYFUNCTION("""COMPUTED_VALUE"""),"TNA-MĐA-005")</f>
        <v>TNA-MĐA-005</v>
      </c>
      <c r="B2355" s="1075" t="str">
        <f>IFERROR(__xludf.DUMMYFUNCTION("""COMPUTED_VALUE"""),"Máy đào gàu 0.9m3")</f>
        <v>Máy đào gàu 0.9m3</v>
      </c>
      <c r="C2355" s="1076" t="str">
        <f>IFERROR(__xludf.DUMMYFUNCTION("""COMPUTED_VALUE"""),"B.ĐTXD AD")</f>
        <v>B.ĐTXD AD</v>
      </c>
      <c r="D2355" s="1076" t="str">
        <f>IFERROR(__xludf.DUMMYFUNCTION("""COMPUTED_VALUE"""),"CATERPILLAR")</f>
        <v>CATERPILLAR</v>
      </c>
      <c r="E2355" s="1076"/>
      <c r="F2355" s="1076">
        <f>IFERROR(__xludf.DUMMYFUNCTION("""COMPUTED_VALUE"""),1990)</f>
        <v>1990</v>
      </c>
      <c r="G2355" s="1076" t="str">
        <f>IFERROR(__xludf.DUMMYFUNCTION("""COMPUTED_VALUE"""),"320B")</f>
        <v>320B</v>
      </c>
      <c r="H2355" s="1076" t="str">
        <f>IFERROR(__xludf.DUMMYFUNCTION("""COMPUTED_VALUE"""),"130HP")</f>
        <v>130HP</v>
      </c>
      <c r="I2355" s="1076"/>
      <c r="J2355" s="1076" t="str">
        <f>IFERROR(__xludf.DUMMYFUNCTION("""COMPUTED_VALUE"""),"3MR03398")</f>
        <v>3MR03398</v>
      </c>
      <c r="K2355" s="1076"/>
      <c r="L2355" s="1076" t="str">
        <f>IFERROR(__xludf.DUMMYFUNCTION("""COMPUTED_VALUE"""),"-")</f>
        <v>-</v>
      </c>
    </row>
    <row r="2356" customHeight="1" spans="1:12">
      <c r="A2356" s="1076" t="str">
        <f>IFERROR(__xludf.DUMMYFUNCTION("""COMPUTED_VALUE"""),"TNA-MĐA-006")</f>
        <v>TNA-MĐA-006</v>
      </c>
      <c r="B2356" s="1075" t="str">
        <f>IFERROR(__xludf.DUMMYFUNCTION("""COMPUTED_VALUE"""),"Máy đào gàu 0.9m3")</f>
        <v>Máy đào gàu 0.9m3</v>
      </c>
      <c r="C2356" s="1076" t="str">
        <f>IFERROR(__xludf.DUMMYFUNCTION("""COMPUTED_VALUE"""),"B.ĐTXD AD")</f>
        <v>B.ĐTXD AD</v>
      </c>
      <c r="D2356" s="1076" t="str">
        <f>IFERROR(__xludf.DUMMYFUNCTION("""COMPUTED_VALUE"""),"CATERPILLAR")</f>
        <v>CATERPILLAR</v>
      </c>
      <c r="E2356" s="1076"/>
      <c r="F2356" s="1076">
        <f>IFERROR(__xludf.DUMMYFUNCTION("""COMPUTED_VALUE"""),1990)</f>
        <v>1990</v>
      </c>
      <c r="G2356" s="1076" t="str">
        <f>IFERROR(__xludf.DUMMYFUNCTION("""COMPUTED_VALUE"""),"320BL")</f>
        <v>320BL</v>
      </c>
      <c r="H2356" s="1076" t="str">
        <f>IFERROR(__xludf.DUMMYFUNCTION("""COMPUTED_VALUE"""),"134HP")</f>
        <v>134HP</v>
      </c>
      <c r="I2356" s="1076"/>
      <c r="J2356" s="1076" t="str">
        <f>IFERROR(__xludf.DUMMYFUNCTION("""COMPUTED_VALUE"""),"MAE22338")</f>
        <v>MAE22338</v>
      </c>
      <c r="K2356" s="1076"/>
      <c r="L2356" s="1076" t="str">
        <f>IFERROR(__xludf.DUMMYFUNCTION("""COMPUTED_VALUE"""),"-")</f>
        <v>-</v>
      </c>
    </row>
    <row r="2357" customHeight="1" spans="1:12">
      <c r="A2357" s="1076" t="str">
        <f>IFERROR(__xludf.DUMMYFUNCTION("""COMPUTED_VALUE"""),"TNA-MĐA-007")</f>
        <v>TNA-MĐA-007</v>
      </c>
      <c r="B2357" s="1075" t="str">
        <f>IFERROR(__xludf.DUMMYFUNCTION("""COMPUTED_VALUE"""),"Máy đào gàu 0.8m3")</f>
        <v>Máy đào gàu 0.8m3</v>
      </c>
      <c r="C2357" s="1076" t="str">
        <f>IFERROR(__xludf.DUMMYFUNCTION("""COMPUTED_VALUE"""),"B.ĐTXD AD")</f>
        <v>B.ĐTXD AD</v>
      </c>
      <c r="D2357" s="1076" t="str">
        <f>IFERROR(__xludf.DUMMYFUNCTION("""COMPUTED_VALUE"""),"XCMG")</f>
        <v>XCMG</v>
      </c>
      <c r="E2357" s="1076"/>
      <c r="F2357" s="1076">
        <f>IFERROR(__xludf.DUMMYFUNCTION("""COMPUTED_VALUE"""),2017)</f>
        <v>2017</v>
      </c>
      <c r="G2357" s="1076" t="str">
        <f>IFERROR(__xludf.DUMMYFUNCTION("""COMPUTED_VALUE"""),"XE215C")</f>
        <v>XE215C</v>
      </c>
      <c r="H2357" s="1076" t="str">
        <f>IFERROR(__xludf.DUMMYFUNCTION("""COMPUTED_VALUE"""),"172HP")</f>
        <v>172HP</v>
      </c>
      <c r="I2357" s="1076" t="str">
        <f>IFERROR(__xludf.DUMMYFUNCTION("""COMPUTED_VALUE"""),"XUG0215ACHKA00838")</f>
        <v>XUG0215ACHKA00838</v>
      </c>
      <c r="J2357" s="1076" t="str">
        <f>IFERROR(__xludf.DUMMYFUNCTION("""COMPUTED_VALUE"""),"GBG1-368736")</f>
        <v>GBG1-368736</v>
      </c>
      <c r="K2357" s="1076"/>
      <c r="L2357" s="1076" t="str">
        <f>IFERROR(__xludf.DUMMYFUNCTION("""COMPUTED_VALUE"""),"-")</f>
        <v>-</v>
      </c>
    </row>
    <row r="2358" customHeight="1" spans="1:12">
      <c r="A2358" s="1076" t="str">
        <f>IFERROR(__xludf.DUMMYFUNCTION("""COMPUTED_VALUE"""),"TNA-MĐA-008")</f>
        <v>TNA-MĐA-008</v>
      </c>
      <c r="B2358" s="1075" t="str">
        <f>IFERROR(__xludf.DUMMYFUNCTION("""COMPUTED_VALUE"""),"Máy đào gàu 0.8m3")</f>
        <v>Máy đào gàu 0.8m3</v>
      </c>
      <c r="C2358" s="1076" t="str">
        <f>IFERROR(__xludf.DUMMYFUNCTION("""COMPUTED_VALUE"""),"B.ĐTXD AD")</f>
        <v>B.ĐTXD AD</v>
      </c>
      <c r="D2358" s="1076" t="str">
        <f>IFERROR(__xludf.DUMMYFUNCTION("""COMPUTED_VALUE"""),"XCMG")</f>
        <v>XCMG</v>
      </c>
      <c r="E2358" s="1076"/>
      <c r="F2358" s="1076">
        <f>IFERROR(__xludf.DUMMYFUNCTION("""COMPUTED_VALUE"""),2017)</f>
        <v>2017</v>
      </c>
      <c r="G2358" s="1076" t="str">
        <f>IFERROR(__xludf.DUMMYFUNCTION("""COMPUTED_VALUE"""),"XE215C")</f>
        <v>XE215C</v>
      </c>
      <c r="H2358" s="1076" t="str">
        <f>IFERROR(__xludf.DUMMYFUNCTION("""COMPUTED_VALUE"""),"172HP")</f>
        <v>172HP</v>
      </c>
      <c r="I2358" s="1076" t="str">
        <f>IFERROR(__xludf.DUMMYFUNCTION("""COMPUTED_VALUE"""),"XUG0215ATHKA00839")</f>
        <v>XUG0215ATHKA00839</v>
      </c>
      <c r="J2358" s="1076" t="str">
        <f>IFERROR(__xludf.DUMMYFUNCTION("""COMPUTED_VALUE"""),"6BG1-368737")</f>
        <v>6BG1-368737</v>
      </c>
      <c r="K2358" s="1076"/>
      <c r="L2358" s="1076" t="str">
        <f>IFERROR(__xludf.DUMMYFUNCTION("""COMPUTED_VALUE"""),"-")</f>
        <v>-</v>
      </c>
    </row>
    <row r="2359" customHeight="1" spans="1:12">
      <c r="A2359" s="1076" t="str">
        <f>IFERROR(__xludf.DUMMYFUNCTION("""COMPUTED_VALUE"""),"TNA-MĐA-009")</f>
        <v>TNA-MĐA-009</v>
      </c>
      <c r="B2359" s="1075" t="str">
        <f>IFERROR(__xludf.DUMMYFUNCTION("""COMPUTED_VALUE"""),"Máy đào gàu 1.2m3")</f>
        <v>Máy đào gàu 1.2m3</v>
      </c>
      <c r="C2359" s="1076" t="str">
        <f>IFERROR(__xludf.DUMMYFUNCTION("""COMPUTED_VALUE"""),"B.ĐTXD AD")</f>
        <v>B.ĐTXD AD</v>
      </c>
      <c r="D2359" s="1076" t="str">
        <f>IFERROR(__xludf.DUMMYFUNCTION("""COMPUTED_VALUE"""),"KOBELCO")</f>
        <v>KOBELCO</v>
      </c>
      <c r="E2359" s="1076"/>
      <c r="F2359" s="1076">
        <f>IFERROR(__xludf.DUMMYFUNCTION("""COMPUTED_VALUE"""),2021)</f>
        <v>2021</v>
      </c>
      <c r="G2359" s="1076" t="str">
        <f>IFERROR(__xludf.DUMMYFUNCTION("""COMPUTED_VALUE"""),"SK200")</f>
        <v>SK200</v>
      </c>
      <c r="H2359" s="1076" t="str">
        <f>IFERROR(__xludf.DUMMYFUNCTION("""COMPUTED_VALUE"""),"159HP")</f>
        <v>159HP</v>
      </c>
      <c r="I2359" s="1076" t="str">
        <f>IFERROR(__xludf.DUMMYFUNCTION("""COMPUTED_VALUE"""),"IN15429723")</f>
        <v>IN15429723</v>
      </c>
      <c r="J2359" s="1076" t="str">
        <f>IFERROR(__xludf.DUMMYFUNCTION("""COMPUTED_VALUE"""),"J05ETG47005")</f>
        <v>J05ETG47005</v>
      </c>
      <c r="K2359" s="1076"/>
      <c r="L2359" s="1076" t="str">
        <f>IFERROR(__xludf.DUMMYFUNCTION("""COMPUTED_VALUE"""),"-")</f>
        <v>-</v>
      </c>
    </row>
    <row r="2360" customHeight="1" spans="1:12">
      <c r="A2360" s="1076" t="str">
        <f>IFERROR(__xludf.DUMMYFUNCTION("""COMPUTED_VALUE"""),"TNA-MĐA-010")</f>
        <v>TNA-MĐA-010</v>
      </c>
      <c r="B2360" s="1075" t="str">
        <f>IFERROR(__xludf.DUMMYFUNCTION("""COMPUTED_VALUE"""),"Máy đào gàu 0.5m3")</f>
        <v>Máy đào gàu 0.5m3</v>
      </c>
      <c r="C2360" s="1076" t="str">
        <f>IFERROR(__xludf.DUMMYFUNCTION("""COMPUTED_VALUE"""),"B.ĐTXD AD")</f>
        <v>B.ĐTXD AD</v>
      </c>
      <c r="D2360" s="1076" t="str">
        <f>IFERROR(__xludf.DUMMYFUNCTION("""COMPUTED_VALUE"""),"KOMATSU")</f>
        <v>KOMATSU</v>
      </c>
      <c r="E2360" s="1076"/>
      <c r="F2360" s="1076">
        <f>IFERROR(__xludf.DUMMYFUNCTION("""COMPUTED_VALUE"""),2018)</f>
        <v>2018</v>
      </c>
      <c r="G2360" s="1076" t="str">
        <f>IFERROR(__xludf.DUMMYFUNCTION("""COMPUTED_VALUE"""),"312B")</f>
        <v>312B</v>
      </c>
      <c r="H2360" s="1076" t="str">
        <f>IFERROR(__xludf.DUMMYFUNCTION("""COMPUTED_VALUE"""),"84HP")</f>
        <v>84HP</v>
      </c>
      <c r="I2360" s="1076" t="str">
        <f>IFERROR(__xludf.DUMMYFUNCTION("""COMPUTED_VALUE"""),"9HR01664")</f>
        <v>9HR01664</v>
      </c>
      <c r="J2360" s="1076" t="str">
        <f>IFERROR(__xludf.DUMMYFUNCTION("""COMPUTED_VALUE"""),"6LK15322")</f>
        <v>6LK15322</v>
      </c>
      <c r="K2360" s="1076"/>
      <c r="L2360" s="1076" t="str">
        <f>IFERROR(__xludf.DUMMYFUNCTION("""COMPUTED_VALUE"""),"-")</f>
        <v>-</v>
      </c>
    </row>
    <row r="2361" customHeight="1" spans="1:12">
      <c r="A2361" s="1076" t="str">
        <f>IFERROR(__xludf.DUMMYFUNCTION("""COMPUTED_VALUE"""),"TNA-MĐA-011")</f>
        <v>TNA-MĐA-011</v>
      </c>
      <c r="B2361" s="1075" t="str">
        <f>IFERROR(__xludf.DUMMYFUNCTION("""COMPUTED_VALUE"""),"Máy đào gàu 0.8m3")</f>
        <v>Máy đào gàu 0.8m3</v>
      </c>
      <c r="C2361" s="1076" t="str">
        <f>IFERROR(__xludf.DUMMYFUNCTION("""COMPUTED_VALUE"""),"B.ĐTXD AD")</f>
        <v>B.ĐTXD AD</v>
      </c>
      <c r="D2361" s="1076" t="str">
        <f>IFERROR(__xludf.DUMMYFUNCTION("""COMPUTED_VALUE"""),"KOBELCO")</f>
        <v>KOBELCO</v>
      </c>
      <c r="E2361" s="1076"/>
      <c r="F2361" s="1076">
        <f>IFERROR(__xludf.DUMMYFUNCTION("""COMPUTED_VALUE"""),2021)</f>
        <v>2021</v>
      </c>
      <c r="G2361" s="1076" t="str">
        <f>IFERROR(__xludf.DUMMYFUNCTION("""COMPUTED_VALUE"""),"SK210LC")</f>
        <v>SK210LC</v>
      </c>
      <c r="H2361" s="1076" t="str">
        <f>IFERROR(__xludf.DUMMYFUNCTION("""COMPUTED_VALUE"""),"159HP")</f>
        <v>159HP</v>
      </c>
      <c r="I2361" s="1076" t="str">
        <f>IFERROR(__xludf.DUMMYFUNCTION("""COMPUTED_VALUE"""),"YQ15405443")</f>
        <v>YQ15405443</v>
      </c>
      <c r="J2361" s="1076" t="str">
        <f>IFERROR(__xludf.DUMMYFUNCTION("""COMPUTED_VALUE"""),"J05ETG46460")</f>
        <v>J05ETG46460</v>
      </c>
      <c r="K2361" s="1076"/>
      <c r="L2361" s="1076" t="str">
        <f>IFERROR(__xludf.DUMMYFUNCTION("""COMPUTED_VALUE"""),"-")</f>
        <v>-</v>
      </c>
    </row>
    <row r="2362" customHeight="1" spans="1:12">
      <c r="A2362" s="1076" t="str">
        <f>IFERROR(__xludf.DUMMYFUNCTION("""COMPUTED_VALUE"""),"TNA-MĐA-012")</f>
        <v>TNA-MĐA-012</v>
      </c>
      <c r="B2362" s="1075" t="str">
        <f>IFERROR(__xludf.DUMMYFUNCTION("""COMPUTED_VALUE"""),"Máy đào gàu 1.2m3")</f>
        <v>Máy đào gàu 1.2m3</v>
      </c>
      <c r="C2362" s="1076" t="str">
        <f>IFERROR(__xludf.DUMMYFUNCTION("""COMPUTED_VALUE"""),"B.ĐTXD AD")</f>
        <v>B.ĐTXD AD</v>
      </c>
      <c r="D2362" s="1076" t="str">
        <f>IFERROR(__xludf.DUMMYFUNCTION("""COMPUTED_VALUE"""),"CATERPILLAR")</f>
        <v>CATERPILLAR</v>
      </c>
      <c r="E2362" s="1076"/>
      <c r="F2362" s="1076">
        <f>IFERROR(__xludf.DUMMYFUNCTION("""COMPUTED_VALUE"""),2007)</f>
        <v>2007</v>
      </c>
      <c r="G2362" s="1076" t="str">
        <f>IFERROR(__xludf.DUMMYFUNCTION("""COMPUTED_VALUE"""),"320D")</f>
        <v>320D</v>
      </c>
      <c r="H2362" s="1076" t="str">
        <f>IFERROR(__xludf.DUMMYFUNCTION("""COMPUTED_VALUE"""),"150HP")</f>
        <v>150HP</v>
      </c>
      <c r="I2362" s="1076" t="str">
        <f>IFERROR(__xludf.DUMMYFUNCTION("""COMPUTED_VALUE"""),"CAT0320DHBWZ01545")</f>
        <v>CAT0320DHBWZ01545</v>
      </c>
      <c r="J2362" s="1076" t="str">
        <f>IFERROR(__xludf.DUMMYFUNCTION("""COMPUTED_VALUE"""),"GDC06601")</f>
        <v>GDC06601</v>
      </c>
      <c r="K2362" s="1076"/>
      <c r="L2362" s="1076" t="str">
        <f>IFERROR(__xludf.DUMMYFUNCTION("""COMPUTED_VALUE"""),"-")</f>
        <v>-</v>
      </c>
    </row>
    <row r="2363" customHeight="1" spans="1:12">
      <c r="A2363" s="1076" t="str">
        <f>IFERROR(__xludf.DUMMYFUNCTION("""COMPUTED_VALUE"""),"TNA-MĐA-013")</f>
        <v>TNA-MĐA-013</v>
      </c>
      <c r="B2363" s="1075" t="str">
        <f>IFERROR(__xludf.DUMMYFUNCTION("""COMPUTED_VALUE"""),"Máy đào gàu 0.5m3")</f>
        <v>Máy đào gàu 0.5m3</v>
      </c>
      <c r="C2363" s="1076" t="str">
        <f>IFERROR(__xludf.DUMMYFUNCTION("""COMPUTED_VALUE"""),"B.ĐTXD AD")</f>
        <v>B.ĐTXD AD</v>
      </c>
      <c r="D2363" s="1076" t="str">
        <f>IFERROR(__xludf.DUMMYFUNCTION("""COMPUTED_VALUE"""),"CATERPILLAR")</f>
        <v>CATERPILLAR</v>
      </c>
      <c r="E2363" s="1076"/>
      <c r="F2363" s="1076">
        <f>IFERROR(__xludf.DUMMYFUNCTION("""COMPUTED_VALUE"""),1995)</f>
        <v>1995</v>
      </c>
      <c r="G2363" s="1076" t="str">
        <f>IFERROR(__xludf.DUMMYFUNCTION("""COMPUTED_VALUE"""),"315BL")</f>
        <v>315BL</v>
      </c>
      <c r="H2363" s="1076" t="str">
        <f>IFERROR(__xludf.DUMMYFUNCTION("""COMPUTED_VALUE"""),"113HP")</f>
        <v>113HP</v>
      </c>
      <c r="I2363" s="1076" t="str">
        <f>IFERROR(__xludf.DUMMYFUNCTION("""COMPUTED_VALUE"""),"6RM00698")</f>
        <v>6RM00698</v>
      </c>
      <c r="J2363" s="1076" t="str">
        <f>IFERROR(__xludf.DUMMYFUNCTION("""COMPUTED_VALUE"""),"5XK05500")</f>
        <v>5XK05500</v>
      </c>
      <c r="K2363" s="1076"/>
      <c r="L2363" s="1076" t="str">
        <f>IFERROR(__xludf.DUMMYFUNCTION("""COMPUTED_VALUE"""),"-")</f>
        <v>-</v>
      </c>
    </row>
    <row r="2364" customHeight="1" spans="1:12">
      <c r="A2364" s="1076" t="str">
        <f>IFERROR(__xludf.DUMMYFUNCTION("""COMPUTED_VALUE"""),"TNA-MĐA-014")</f>
        <v>TNA-MĐA-014</v>
      </c>
      <c r="B2364" s="1075" t="str">
        <f>IFERROR(__xludf.DUMMYFUNCTION("""COMPUTED_VALUE"""),"Máy đào gàu 0.5m3")</f>
        <v>Máy đào gàu 0.5m3</v>
      </c>
      <c r="C2364" s="1076" t="str">
        <f>IFERROR(__xludf.DUMMYFUNCTION("""COMPUTED_VALUE"""),"B.ĐTXD AD")</f>
        <v>B.ĐTXD AD</v>
      </c>
      <c r="D2364" s="1076" t="str">
        <f>IFERROR(__xludf.DUMMYFUNCTION("""COMPUTED_VALUE"""),"CATERPILLAR")</f>
        <v>CATERPILLAR</v>
      </c>
      <c r="E2364" s="1076"/>
      <c r="F2364" s="1076">
        <f>IFERROR(__xludf.DUMMYFUNCTION("""COMPUTED_VALUE"""),1994)</f>
        <v>1994</v>
      </c>
      <c r="G2364" s="1076" t="str">
        <f>IFERROR(__xludf.DUMMYFUNCTION("""COMPUTED_VALUE"""),"315BL")</f>
        <v>315BL</v>
      </c>
      <c r="H2364" s="1076" t="str">
        <f>IFERROR(__xludf.DUMMYFUNCTION("""COMPUTED_VALUE"""),"113HP")</f>
        <v>113HP</v>
      </c>
      <c r="I2364" s="1076" t="str">
        <f>IFERROR(__xludf.DUMMYFUNCTION("""COMPUTED_VALUE"""),"6RM00912")</f>
        <v>6RM00912</v>
      </c>
      <c r="J2364" s="1076" t="str">
        <f>IFERROR(__xludf.DUMMYFUNCTION("""COMPUTED_VALUE"""),"5XK06041")</f>
        <v>5XK06041</v>
      </c>
      <c r="K2364" s="1076"/>
      <c r="L2364" s="1076" t="str">
        <f>IFERROR(__xludf.DUMMYFUNCTION("""COMPUTED_VALUE"""),"-")</f>
        <v>-</v>
      </c>
    </row>
    <row r="2365" customHeight="1" spans="1:12">
      <c r="A2365" s="1076" t="str">
        <f>IFERROR(__xludf.DUMMYFUNCTION("""COMPUTED_VALUE"""),"TNA-MĐA-015")</f>
        <v>TNA-MĐA-015</v>
      </c>
      <c r="B2365" s="1075" t="str">
        <f>IFERROR(__xludf.DUMMYFUNCTION("""COMPUTED_VALUE"""),"Máy đào gàu 0.5m3")</f>
        <v>Máy đào gàu 0.5m3</v>
      </c>
      <c r="C2365" s="1076" t="str">
        <f>IFERROR(__xludf.DUMMYFUNCTION("""COMPUTED_VALUE"""),"B.ĐTXD AD")</f>
        <v>B.ĐTXD AD</v>
      </c>
      <c r="D2365" s="1076" t="str">
        <f>IFERROR(__xludf.DUMMYFUNCTION("""COMPUTED_VALUE"""),"CATERPILLAR")</f>
        <v>CATERPILLAR</v>
      </c>
      <c r="E2365" s="1076"/>
      <c r="F2365" s="1076">
        <f>IFERROR(__xludf.DUMMYFUNCTION("""COMPUTED_VALUE"""),2021)</f>
        <v>2021</v>
      </c>
      <c r="G2365" s="1076" t="str">
        <f>IFERROR(__xludf.DUMMYFUNCTION("""COMPUTED_VALUE"""),"313D")</f>
        <v>313D</v>
      </c>
      <c r="H2365" s="1076" t="str">
        <f>IFERROR(__xludf.DUMMYFUNCTION("""COMPUTED_VALUE"""),"100HP")</f>
        <v>100HP</v>
      </c>
      <c r="I2365" s="1076" t="str">
        <f>IFERROR(__xludf.DUMMYFUNCTION("""COMPUTED_VALUE"""),"CAT0313DV GAP17549")</f>
        <v>CAT0313DV GAP17549</v>
      </c>
      <c r="J2365" s="1076" t="str">
        <f>IFERROR(__xludf.DUMMYFUNCTION("""COMPUTED_VALUE"""),"MFX11725")</f>
        <v>MFX11725</v>
      </c>
      <c r="K2365" s="1076"/>
      <c r="L2365" s="1076" t="str">
        <f>IFERROR(__xludf.DUMMYFUNCTION("""COMPUTED_VALUE"""),"-")</f>
        <v>-</v>
      </c>
    </row>
    <row r="2366" customHeight="1" spans="1:12">
      <c r="A2366" s="1076" t="str">
        <f>IFERROR(__xludf.DUMMYFUNCTION("""COMPUTED_VALUE"""),"TNA-MĐA-016")</f>
        <v>TNA-MĐA-016</v>
      </c>
      <c r="B2366" s="1075" t="str">
        <f>IFERROR(__xludf.DUMMYFUNCTION("""COMPUTED_VALUE"""),"Máy đào gàu 0.8m3")</f>
        <v>Máy đào gàu 0.8m3</v>
      </c>
      <c r="C2366" s="1076" t="str">
        <f>IFERROR(__xludf.DUMMYFUNCTION("""COMPUTED_VALUE"""),"B.ĐTXD AD")</f>
        <v>B.ĐTXD AD</v>
      </c>
      <c r="D2366" s="1076" t="str">
        <f>IFERROR(__xludf.DUMMYFUNCTION("""COMPUTED_VALUE"""),"KOMATSU")</f>
        <v>KOMATSU</v>
      </c>
      <c r="E2366" s="1076"/>
      <c r="F2366" s="1076">
        <f>IFERROR(__xludf.DUMMYFUNCTION("""COMPUTED_VALUE"""),2020)</f>
        <v>2020</v>
      </c>
      <c r="G2366" s="1076" t="str">
        <f>IFERROR(__xludf.DUMMYFUNCTION("""COMPUTED_VALUE"""),"PC210-10M0")</f>
        <v>PC210-10M0</v>
      </c>
      <c r="H2366" s="1076" t="str">
        <f>IFERROR(__xludf.DUMMYFUNCTION("""COMPUTED_VALUE"""),"165HP")</f>
        <v>165HP</v>
      </c>
      <c r="I2366" s="1076" t="str">
        <f>IFERROR(__xludf.DUMMYFUNCTION("""COMPUTED_VALUE"""),"KMTPC282KLTC02817")</f>
        <v>KMTPC282KLTC02817</v>
      </c>
      <c r="J2366" s="1076" t="str">
        <f>IFERROR(__xludf.DUMMYFUNCTION("""COMPUTED_VALUE"""),"6D107-26729616")</f>
        <v>6D107-26729616</v>
      </c>
      <c r="K2366" s="1076"/>
      <c r="L2366" s="1076" t="str">
        <f>IFERROR(__xludf.DUMMYFUNCTION("""COMPUTED_VALUE"""),"-")</f>
        <v>-</v>
      </c>
    </row>
    <row r="2367" customHeight="1" spans="1:12">
      <c r="A2367" s="1076" t="str">
        <f>IFERROR(__xludf.DUMMYFUNCTION("""COMPUTED_VALUE"""),"TNA-MĐA-017")</f>
        <v>TNA-MĐA-017</v>
      </c>
      <c r="B2367" s="1075" t="str">
        <f>IFERROR(__xludf.DUMMYFUNCTION("""COMPUTED_VALUE"""),"Máy đào gàu 0.9m3")</f>
        <v>Máy đào gàu 0.9m3</v>
      </c>
      <c r="C2367" s="1076" t="str">
        <f>IFERROR(__xludf.DUMMYFUNCTION("""COMPUTED_VALUE"""),"B.ĐTXD AD")</f>
        <v>B.ĐTXD AD</v>
      </c>
      <c r="D2367" s="1076" t="str">
        <f>IFERROR(__xludf.DUMMYFUNCTION("""COMPUTED_VALUE"""),"CATERPILLAR")</f>
        <v>CATERPILLAR</v>
      </c>
      <c r="E2367" s="1076"/>
      <c r="F2367" s="1076">
        <f>IFERROR(__xludf.DUMMYFUNCTION("""COMPUTED_VALUE"""),2019)</f>
        <v>2019</v>
      </c>
      <c r="G2367" s="1076" t="str">
        <f>IFERROR(__xludf.DUMMYFUNCTION("""COMPUTED_VALUE"""),"320D")</f>
        <v>320D</v>
      </c>
      <c r="H2367" s="1076" t="str">
        <f>IFERROR(__xludf.DUMMYFUNCTION("""COMPUTED_VALUE"""),"150HP")</f>
        <v>150HP</v>
      </c>
      <c r="I2367" s="1076" t="str">
        <f>IFERROR(__xludf.DUMMYFUNCTION("""COMPUTED_VALUE"""),"CAT00320V2BN12250")</f>
        <v>CAT00320V2BN12250</v>
      </c>
      <c r="J2367" s="1076" t="str">
        <f>IFERROR(__xludf.DUMMYFUNCTION("""COMPUTED_VALUE"""),"E7A29507")</f>
        <v>E7A29507</v>
      </c>
      <c r="K2367" s="1076"/>
      <c r="L2367" s="1076" t="str">
        <f>IFERROR(__xludf.DUMMYFUNCTION("""COMPUTED_VALUE"""),"-")</f>
        <v>-</v>
      </c>
    </row>
    <row r="2368" customHeight="1" spans="1:12">
      <c r="A2368" s="1076" t="str">
        <f>IFERROR(__xludf.DUMMYFUNCTION("""COMPUTED_VALUE"""),"TNA-MĐA-018")</f>
        <v>TNA-MĐA-018</v>
      </c>
      <c r="B2368" s="1075" t="str">
        <f>IFERROR(__xludf.DUMMYFUNCTION("""COMPUTED_VALUE"""),"Máy đào gàu 0.9m3")</f>
        <v>Máy đào gàu 0.9m3</v>
      </c>
      <c r="C2368" s="1076" t="str">
        <f>IFERROR(__xludf.DUMMYFUNCTION("""COMPUTED_VALUE"""),"B.ĐTXD AD")</f>
        <v>B.ĐTXD AD</v>
      </c>
      <c r="D2368" s="1076" t="str">
        <f>IFERROR(__xludf.DUMMYFUNCTION("""COMPUTED_VALUE"""),"CATERPILLAR")</f>
        <v>CATERPILLAR</v>
      </c>
      <c r="E2368" s="1076"/>
      <c r="F2368" s="1076">
        <f>IFERROR(__xludf.DUMMYFUNCTION("""COMPUTED_VALUE"""),2009)</f>
        <v>2009</v>
      </c>
      <c r="G2368" s="1076" t="str">
        <f>IFERROR(__xludf.DUMMYFUNCTION("""COMPUTED_VALUE"""),"320D")</f>
        <v>320D</v>
      </c>
      <c r="H2368" s="1076" t="str">
        <f>IFERROR(__xludf.DUMMYFUNCTION("""COMPUTED_VALUE"""),"150HP")</f>
        <v>150HP</v>
      </c>
      <c r="I2368" s="1076" t="str">
        <f>IFERROR(__xludf.DUMMYFUNCTION("""COMPUTED_VALUE"""),"CAT0320DCSN300472")</f>
        <v>CAT0320DCSN300472</v>
      </c>
      <c r="J2368" s="1076" t="str">
        <f>IFERROR(__xludf.DUMMYFUNCTION("""COMPUTED_VALUE"""),"GDC62121")</f>
        <v>GDC62121</v>
      </c>
      <c r="K2368" s="1076"/>
      <c r="L2368" s="1076" t="str">
        <f>IFERROR(__xludf.DUMMYFUNCTION("""COMPUTED_VALUE"""),"-")</f>
        <v>-</v>
      </c>
    </row>
    <row r="2369" customHeight="1" spans="1:12">
      <c r="A2369" s="1076" t="str">
        <f>IFERROR(__xludf.DUMMYFUNCTION("""COMPUTED_VALUE"""),"TNA-MĐA-019")</f>
        <v>TNA-MĐA-019</v>
      </c>
      <c r="B2369" s="1075" t="str">
        <f>IFERROR(__xludf.DUMMYFUNCTION("""COMPUTED_VALUE"""),"Máy đào gàu 0.9m3")</f>
        <v>Máy đào gàu 0.9m3</v>
      </c>
      <c r="C2369" s="1076" t="str">
        <f>IFERROR(__xludf.DUMMYFUNCTION("""COMPUTED_VALUE"""),"B.ĐTXD AD")</f>
        <v>B.ĐTXD AD</v>
      </c>
      <c r="D2369" s="1076" t="str">
        <f>IFERROR(__xludf.DUMMYFUNCTION("""COMPUTED_VALUE"""),"MATADOR")</f>
        <v>MATADOR</v>
      </c>
      <c r="E2369" s="1076"/>
      <c r="F2369" s="1076">
        <f>IFERROR(__xludf.DUMMYFUNCTION("""COMPUTED_VALUE"""),2019)</f>
        <v>2019</v>
      </c>
      <c r="G2369" s="1076" t="str">
        <f>IFERROR(__xludf.DUMMYFUNCTION("""COMPUTED_VALUE"""),"ME220")</f>
        <v>ME220</v>
      </c>
      <c r="H2369" s="1076" t="str">
        <f>IFERROR(__xludf.DUMMYFUNCTION("""COMPUTED_VALUE"""),"150HP")</f>
        <v>150HP</v>
      </c>
      <c r="I2369" s="1076" t="str">
        <f>IFERROR(__xludf.DUMMYFUNCTION("""COMPUTED_VALUE"""),"86SE21EW NK0000575")</f>
        <v>86SE21EW NK0000575</v>
      </c>
      <c r="J2369" s="1076" t="str">
        <f>IFERROR(__xludf.DUMMYFUNCTION("""COMPUTED_VALUE"""),"1019B 005278")</f>
        <v>1019B 005278</v>
      </c>
      <c r="K2369" s="1076"/>
      <c r="L2369" s="1076" t="str">
        <f>IFERROR(__xludf.DUMMYFUNCTION("""COMPUTED_VALUE"""),"-")</f>
        <v>-</v>
      </c>
    </row>
    <row r="2370" customHeight="1" spans="1:12">
      <c r="A2370" s="1076" t="str">
        <f>IFERROR(__xludf.DUMMYFUNCTION("""COMPUTED_VALUE"""),"TNA-MĐA-020")</f>
        <v>TNA-MĐA-020</v>
      </c>
      <c r="B2370" s="1075" t="str">
        <f>IFERROR(__xludf.DUMMYFUNCTION("""COMPUTED_VALUE"""),"Máy đào gàu 0.8m3")</f>
        <v>Máy đào gàu 0.8m3</v>
      </c>
      <c r="C2370" s="1076" t="str">
        <f>IFERROR(__xludf.DUMMYFUNCTION("""COMPUTED_VALUE"""),"B.ĐTXD AD")</f>
        <v>B.ĐTXD AD</v>
      </c>
      <c r="D2370" s="1076" t="str">
        <f>IFERROR(__xludf.DUMMYFUNCTION("""COMPUTED_VALUE"""),"CATERPILLAR")</f>
        <v>CATERPILLAR</v>
      </c>
      <c r="E2370" s="1076"/>
      <c r="F2370" s="1076">
        <f>IFERROR(__xludf.DUMMYFUNCTION("""COMPUTED_VALUE"""),1990)</f>
        <v>1990</v>
      </c>
      <c r="G2370" s="1076" t="str">
        <f>IFERROR(__xludf.DUMMYFUNCTION("""COMPUTED_VALUE"""),"320BL")</f>
        <v>320BL</v>
      </c>
      <c r="H2370" s="1076" t="str">
        <f>IFERROR(__xludf.DUMMYFUNCTION("""COMPUTED_VALUE"""),"134HP")</f>
        <v>134HP</v>
      </c>
      <c r="I2370" s="1076" t="str">
        <f>IFERROR(__xludf.DUMMYFUNCTION("""COMPUTED_VALUE"""),"6CR02736")</f>
        <v>6CR02736</v>
      </c>
      <c r="J2370" s="1076" t="str">
        <f>IFERROR(__xludf.DUMMYFUNCTION("""COMPUTED_VALUE"""),"MAE22338")</f>
        <v>MAE22338</v>
      </c>
      <c r="K2370" s="1076"/>
      <c r="L2370" s="1076" t="str">
        <f>IFERROR(__xludf.DUMMYFUNCTION("""COMPUTED_VALUE"""),"-")</f>
        <v>-</v>
      </c>
    </row>
    <row r="2371" customHeight="1" spans="1:12">
      <c r="A2371" s="1076" t="str">
        <f>IFERROR(__xludf.DUMMYFUNCTION("""COMPUTED_VALUE"""),"TNA-MĐA-021")</f>
        <v>TNA-MĐA-021</v>
      </c>
      <c r="B2371" s="1075"/>
      <c r="C2371" s="1076" t="str">
        <f>IFERROR(__xludf.DUMMYFUNCTION("""COMPUTED_VALUE"""),"B.ĐTXD AD")</f>
        <v>B.ĐTXD AD</v>
      </c>
      <c r="D2371" s="1076" t="str">
        <f>IFERROR(__xludf.DUMMYFUNCTION("""COMPUTED_VALUE"""),"MATADOR")</f>
        <v>MATADOR</v>
      </c>
      <c r="E2371" s="1076"/>
      <c r="F2371" s="1076">
        <f>IFERROR(__xludf.DUMMYFUNCTION("""COMPUTED_VALUE"""),2019)</f>
        <v>2019</v>
      </c>
      <c r="G2371" s="1076" t="str">
        <f>IFERROR(__xludf.DUMMYFUNCTION("""COMPUTED_VALUE"""),"ME220")</f>
        <v>ME220</v>
      </c>
      <c r="H2371" s="1076" t="str">
        <f>IFERROR(__xludf.DUMMYFUNCTION("""COMPUTED_VALUE"""),"150HP")</f>
        <v>150HP</v>
      </c>
      <c r="I2371" s="1076" t="str">
        <f>IFERROR(__xludf.DUMMYFUNCTION("""COMPUTED_VALUE"""),"579")</f>
        <v>579</v>
      </c>
      <c r="J2371" s="1076"/>
      <c r="K2371" s="1076"/>
      <c r="L2371" s="1076" t="str">
        <f>IFERROR(__xludf.DUMMYFUNCTION("""COMPUTED_VALUE"""),"-")</f>
        <v>-</v>
      </c>
    </row>
    <row r="2372" customHeight="1" spans="1:12">
      <c r="A2372" s="1076" t="str">
        <f>IFERROR(__xludf.DUMMYFUNCTION("""COMPUTED_VALUE"""),"TNA-MĐA-022")</f>
        <v>TNA-MĐA-022</v>
      </c>
      <c r="B2372" s="1075" t="str">
        <f>IFERROR(__xludf.DUMMYFUNCTION("""COMPUTED_VALUE"""),"Máy đào gàu 0.5m3")</f>
        <v>Máy đào gàu 0.5m3</v>
      </c>
      <c r="C2372" s="1076" t="str">
        <f>IFERROR(__xludf.DUMMYFUNCTION("""COMPUTED_VALUE"""),"NT BƯỞI AD")</f>
        <v>NT BƯỞI AD</v>
      </c>
      <c r="D2372" s="1076" t="str">
        <f>IFERROR(__xludf.DUMMYFUNCTION("""COMPUTED_VALUE"""),"CAT")</f>
        <v>CAT</v>
      </c>
      <c r="E2372" s="1076" t="str">
        <f>IFERROR(__xludf.DUMMYFUNCTION("""COMPUTED_VALUE"""),"NHẬT BẢN")</f>
        <v>NHẬT BẢN</v>
      </c>
      <c r="F2372" s="1076">
        <f>IFERROR(__xludf.DUMMYFUNCTION("""COMPUTED_VALUE"""),2005)</f>
        <v>2005</v>
      </c>
      <c r="G2372" s="1076" t="str">
        <f>IFERROR(__xludf.DUMMYFUNCTION("""COMPUTED_VALUE"""),"312C")</f>
        <v>312C</v>
      </c>
      <c r="H2372" s="1076" t="str">
        <f>IFERROR(__xludf.DUMMYFUNCTION("""COMPUTED_VALUE"""),"94HP")</f>
        <v>94HP</v>
      </c>
      <c r="I2372" s="1076" t="str">
        <f>IFERROR(__xludf.DUMMYFUNCTION("""COMPUTED_VALUE"""),"CAT0312CCFDS00398")</f>
        <v>CAT0312CCFDS00398</v>
      </c>
      <c r="J2372" s="1076" t="str">
        <f>IFERROR(__xludf.DUMMYFUNCTION("""COMPUTED_VALUE"""),"6LK36262")</f>
        <v>6LK36262</v>
      </c>
      <c r="K2372" s="1076">
        <f>IFERROR(__xludf.DUMMYFUNCTION("""COMPUTED_VALUE"""),11)</f>
        <v>11</v>
      </c>
      <c r="L2372" s="1076" t="str">
        <f>IFERROR(__xludf.DUMMYFUNCTION("""COMPUTED_VALUE"""),"-")</f>
        <v>-</v>
      </c>
    </row>
    <row r="2373" customHeight="1" spans="1:12">
      <c r="A2373" s="1076" t="str">
        <f>IFERROR(__xludf.DUMMYFUNCTION("""COMPUTED_VALUE"""),"TNA-MĐA-023")</f>
        <v>TNA-MĐA-023</v>
      </c>
      <c r="B2373" s="1075" t="str">
        <f>IFERROR(__xludf.DUMMYFUNCTION("""COMPUTED_VALUE"""),"Máy đào gàu 0.5m3")</f>
        <v>Máy đào gàu 0.5m3</v>
      </c>
      <c r="C2373" s="1076" t="str">
        <f>IFERROR(__xludf.DUMMYFUNCTION("""COMPUTED_VALUE"""),"THACO ID ME")</f>
        <v>THACO ID ME</v>
      </c>
      <c r="D2373" s="1076" t="str">
        <f>IFERROR(__xludf.DUMMYFUNCTION("""COMPUTED_VALUE"""),"HYUNDAI")</f>
        <v>HYUNDAI</v>
      </c>
      <c r="E2373" s="1076" t="str">
        <f>IFERROR(__xludf.DUMMYFUNCTION("""COMPUTED_VALUE"""),"HÀN QUỐC")</f>
        <v>HÀN QUỐC</v>
      </c>
      <c r="F2373" s="1076">
        <f>IFERROR(__xludf.DUMMYFUNCTION("""COMPUTED_VALUE"""),2014)</f>
        <v>2014</v>
      </c>
      <c r="G2373" s="1076" t="str">
        <f>IFERROR(__xludf.DUMMYFUNCTION("""COMPUTED_VALUE"""),"R140W-9S")</f>
        <v>R140W-9S</v>
      </c>
      <c r="H2373" s="1076" t="str">
        <f>IFERROR(__xludf.DUMMYFUNCTION("""COMPUTED_VALUE"""),"113HP")</f>
        <v>113HP</v>
      </c>
      <c r="I2373" s="1076" t="str">
        <f>IFERROR(__xludf.DUMMYFUNCTION("""COMPUTED_VALUE"""),"HHKHZ412HE0000480")</f>
        <v>HHKHZ412HE0000480</v>
      </c>
      <c r="J2373" s="1076" t="str">
        <f>IFERROR(__xludf.DUMMYFUNCTION("""COMPUTED_VALUE"""),"26494405")</f>
        <v>26494405</v>
      </c>
      <c r="K2373" s="1076">
        <f>IFERROR(__xludf.DUMMYFUNCTION("""COMPUTED_VALUE"""),12)</f>
        <v>12</v>
      </c>
      <c r="L2373" s="1076" t="str">
        <f>IFERROR(__xludf.DUMMYFUNCTION("""COMPUTED_VALUE"""),"-")</f>
        <v>-</v>
      </c>
    </row>
    <row r="2374" customHeight="1" spans="1:12">
      <c r="A2374" s="1076" t="str">
        <f>IFERROR(__xludf.DUMMYFUNCTION("""COMPUTED_VALUE"""),"TNA-MĐA-024")</f>
        <v>TNA-MĐA-024</v>
      </c>
      <c r="B2374" s="1075" t="str">
        <f>IFERROR(__xludf.DUMMYFUNCTION("""COMPUTED_VALUE"""),"Máy đào gàu 0.4m3")</f>
        <v>Máy đào gàu 0.4m3</v>
      </c>
      <c r="C2374" s="1076" t="str">
        <f>IFERROR(__xludf.DUMMYFUNCTION("""COMPUTED_VALUE"""),"THACO ID ME")</f>
        <v>THACO ID ME</v>
      </c>
      <c r="D2374" s="1076" t="str">
        <f>IFERROR(__xludf.DUMMYFUNCTION("""COMPUTED_VALUE"""),"HITACHI")</f>
        <v>HITACHI</v>
      </c>
      <c r="E2374" s="1076" t="str">
        <f>IFERROR(__xludf.DUMMYFUNCTION("""COMPUTED_VALUE"""),"HÀN QUỐC")</f>
        <v>HÀN QUỐC</v>
      </c>
      <c r="F2374" s="1076">
        <f>IFERROR(__xludf.DUMMYFUNCTION("""COMPUTED_VALUE"""),2004)</f>
        <v>2004</v>
      </c>
      <c r="G2374" s="1076" t="str">
        <f>IFERROR(__xludf.DUMMYFUNCTION("""COMPUTED_VALUE"""),"ZX75US-A")</f>
        <v>ZX75US-A</v>
      </c>
      <c r="H2374" s="1076" t="str">
        <f>IFERROR(__xludf.DUMMYFUNCTION("""COMPUTED_VALUE"""),"54HP")</f>
        <v>54HP</v>
      </c>
      <c r="I2374" s="1076" t="str">
        <f>IFERROR(__xludf.DUMMYFUNCTION("""COMPUTED_VALUE"""),"HCM1CG00100042071")</f>
        <v>HCM1CG00100042071</v>
      </c>
      <c r="J2374" s="1076" t="str">
        <f>IFERROR(__xludf.DUMMYFUNCTION("""COMPUTED_VALUE"""),"45G1261514")</f>
        <v>45G1261514</v>
      </c>
      <c r="K2374" s="1076">
        <f>IFERROR(__xludf.DUMMYFUNCTION("""COMPUTED_VALUE"""),4.5)</f>
        <v>4.5</v>
      </c>
      <c r="L2374" s="1076" t="str">
        <f>IFERROR(__xludf.DUMMYFUNCTION("""COMPUTED_VALUE"""),"-")</f>
        <v>-</v>
      </c>
    </row>
    <row r="2375" customHeight="1" spans="1:12">
      <c r="A2375" s="1076" t="str">
        <f>IFERROR(__xludf.DUMMYFUNCTION("""COMPUTED_VALUE"""),"TNA-MĐA-025")</f>
        <v>TNA-MĐA-025</v>
      </c>
      <c r="B2375" s="1075" t="str">
        <f>IFERROR(__xludf.DUMMYFUNCTION("""COMPUTED_VALUE"""),"Máy đào gàu 0.5m3")</f>
        <v>Máy đào gàu 0.5m3</v>
      </c>
      <c r="C2375" s="1076" t="str">
        <f>IFERROR(__xludf.DUMMYFUNCTION("""COMPUTED_VALUE"""),"Ban điện nước")</f>
        <v>Ban điện nước</v>
      </c>
      <c r="D2375" s="1076" t="str">
        <f>IFERROR(__xludf.DUMMYFUNCTION("""COMPUTED_VALUE"""),"CAT")</f>
        <v>CAT</v>
      </c>
      <c r="E2375" s="1076"/>
      <c r="F2375" s="1076">
        <f>IFERROR(__xludf.DUMMYFUNCTION("""COMPUTED_VALUE"""),1992)</f>
        <v>1992</v>
      </c>
      <c r="G2375" s="1076" t="str">
        <f>IFERROR(__xludf.DUMMYFUNCTION("""COMPUTED_VALUE"""),"CAT 312")</f>
        <v>CAT 312</v>
      </c>
      <c r="H2375" s="1076" t="str">
        <f>IFERROR(__xludf.DUMMYFUNCTION("""COMPUTED_VALUE"""),"94HP")</f>
        <v>94HP</v>
      </c>
      <c r="I2375" s="1076" t="str">
        <f>IFERROR(__xludf.DUMMYFUNCTION("""COMPUTED_VALUE"""),"7DK00524")</f>
        <v>7DK00524</v>
      </c>
      <c r="J2375" s="1076" t="str">
        <f>IFERROR(__xludf.DUMMYFUNCTION("""COMPUTED_VALUE"""),"6LK00543")</f>
        <v>6LK00543</v>
      </c>
      <c r="K2375" s="1076">
        <f>IFERROR(__xludf.DUMMYFUNCTION("""COMPUTED_VALUE"""),7)</f>
        <v>7</v>
      </c>
      <c r="L2375" s="1076" t="str">
        <f>IFERROR(__xludf.DUMMYFUNCTION("""COMPUTED_VALUE"""),"Đang thuê")</f>
        <v>Đang thuê</v>
      </c>
    </row>
    <row r="2376" customHeight="1" spans="1:12">
      <c r="A2376" s="1076" t="str">
        <f>IFERROR(__xludf.DUMMYFUNCTION("""COMPUTED_VALUE"""),"TNA-MĐA-026")</f>
        <v>TNA-MĐA-026</v>
      </c>
      <c r="B2376" s="1075" t="str">
        <f>IFERROR(__xludf.DUMMYFUNCTION("""COMPUTED_VALUE"""),"Máy đào gàu 0.5m3")</f>
        <v>Máy đào gàu 0.5m3</v>
      </c>
      <c r="C2376" s="1076" t="str">
        <f>IFERROR(__xludf.DUMMYFUNCTION("""COMPUTED_VALUE"""),"CGTC AD")</f>
        <v>CGTC AD</v>
      </c>
      <c r="D2376" s="1076" t="str">
        <f>IFERROR(__xludf.DUMMYFUNCTION("""COMPUTED_VALUE"""),"CAT")</f>
        <v>CAT</v>
      </c>
      <c r="E2376" s="1076"/>
      <c r="F2376" s="1076">
        <f>IFERROR(__xludf.DUMMYFUNCTION("""COMPUTED_VALUE"""),2003)</f>
        <v>2003</v>
      </c>
      <c r="G2376" s="1076" t="str">
        <f>IFERROR(__xludf.DUMMYFUNCTION("""COMPUTED_VALUE"""),"CAT 312C")</f>
        <v>CAT 312C</v>
      </c>
      <c r="H2376" s="1076" t="str">
        <f>IFERROR(__xludf.DUMMYFUNCTION("""COMPUTED_VALUE"""),"89HP")</f>
        <v>89HP</v>
      </c>
      <c r="I2376" s="1076" t="str">
        <f>IFERROR(__xludf.DUMMYFUNCTION("""COMPUTED_VALUE"""),"CAE00352")</f>
        <v>CAE00352</v>
      </c>
      <c r="J2376" s="1076" t="str">
        <f>IFERROR(__xludf.DUMMYFUNCTION("""COMPUTED_VALUE"""),"6LK27451")</f>
        <v>6LK27451</v>
      </c>
      <c r="K2376" s="1076">
        <f>IFERROR(__xludf.DUMMYFUNCTION("""COMPUTED_VALUE"""),11.5)</f>
        <v>11.5</v>
      </c>
      <c r="L2376" s="1076" t="str">
        <f>IFERROR(__xludf.DUMMYFUNCTION("""COMPUTED_VALUE"""),"-")</f>
        <v>-</v>
      </c>
    </row>
    <row r="2377" customHeight="1" spans="1:12">
      <c r="A2377" s="1076" t="str">
        <f>IFERROR(__xludf.DUMMYFUNCTION("""COMPUTED_VALUE"""),"TNA-MĐA-027")</f>
        <v>TNA-MĐA-027</v>
      </c>
      <c r="B2377" s="1075" t="str">
        <f>IFERROR(__xludf.DUMMYFUNCTION("""COMPUTED_VALUE"""),"Máy đào gàu 0.5m3")</f>
        <v>Máy đào gàu 0.5m3</v>
      </c>
      <c r="C2377" s="1076" t="str">
        <f>IFERROR(__xludf.DUMMYFUNCTION("""COMPUTED_VALUE"""),"Ban điện nước")</f>
        <v>Ban điện nước</v>
      </c>
      <c r="D2377" s="1076" t="str">
        <f>IFERROR(__xludf.DUMMYFUNCTION("""COMPUTED_VALUE"""),"KOMATSU")</f>
        <v>KOMATSU</v>
      </c>
      <c r="E2377" s="1076"/>
      <c r="F2377" s="1076">
        <f>IFERROR(__xludf.DUMMYFUNCTION("""COMPUTED_VALUE"""),2000)</f>
        <v>2000</v>
      </c>
      <c r="G2377" s="1076" t="str">
        <f>IFERROR(__xludf.DUMMYFUNCTION("""COMPUTED_VALUE"""),"PC100")</f>
        <v>PC100</v>
      </c>
      <c r="H2377" s="1076" t="str">
        <f>IFERROR(__xludf.DUMMYFUNCTION("""COMPUTED_VALUE"""),"85HP")</f>
        <v>85HP</v>
      </c>
      <c r="I2377" s="1076" t="str">
        <f>IFERROR(__xludf.DUMMYFUNCTION("""COMPUTED_VALUE"""),"PC10029884")</f>
        <v>PC10029884</v>
      </c>
      <c r="J2377" s="1076" t="str">
        <f>IFERROR(__xludf.DUMMYFUNCTION("""COMPUTED_VALUE"""),"4D9S-71613")</f>
        <v>4D9S-71613</v>
      </c>
      <c r="K2377" s="1076">
        <f>IFERROR(__xludf.DUMMYFUNCTION("""COMPUTED_VALUE"""),8)</f>
        <v>8</v>
      </c>
      <c r="L2377" s="1076" t="str">
        <f>IFERROR(__xludf.DUMMYFUNCTION("""COMPUTED_VALUE"""),"-")</f>
        <v>-</v>
      </c>
    </row>
    <row r="2378" customHeight="1" spans="1:12">
      <c r="A2378" s="1076" t="str">
        <f>IFERROR(__xludf.DUMMYFUNCTION("""COMPUTED_VALUE"""),"TNA-MĐA-028")</f>
        <v>TNA-MĐA-028</v>
      </c>
      <c r="B2378" s="1075" t="str">
        <f>IFERROR(__xludf.DUMMYFUNCTION("""COMPUTED_VALUE"""),"Máy đào gàu 0.5m3")</f>
        <v>Máy đào gàu 0.5m3</v>
      </c>
      <c r="C2378" s="1076" t="str">
        <f>IFERROR(__xludf.DUMMYFUNCTION("""COMPUTED_VALUE"""),"Ban điện nước")</f>
        <v>Ban điện nước</v>
      </c>
      <c r="D2378" s="1076" t="str">
        <f>IFERROR(__xludf.DUMMYFUNCTION("""COMPUTED_VALUE"""),"CAT")</f>
        <v>CAT</v>
      </c>
      <c r="E2378" s="1076"/>
      <c r="F2378" s="1076">
        <f>IFERROR(__xludf.DUMMYFUNCTION("""COMPUTED_VALUE"""),1990)</f>
        <v>1990</v>
      </c>
      <c r="G2378" s="1076" t="str">
        <f>IFERROR(__xludf.DUMMYFUNCTION("""COMPUTED_VALUE"""),"E120B")</f>
        <v>E120B</v>
      </c>
      <c r="H2378" s="1076" t="str">
        <f>IFERROR(__xludf.DUMMYFUNCTION("""COMPUTED_VALUE"""),"84HP")</f>
        <v>84HP</v>
      </c>
      <c r="I2378" s="1076" t="str">
        <f>IFERROR(__xludf.DUMMYFUNCTION("""COMPUTED_VALUE"""),"7NF03720")</f>
        <v>7NF03720</v>
      </c>
      <c r="J2378" s="1076" t="str">
        <f>IFERROR(__xludf.DUMMYFUNCTION("""COMPUTED_VALUE"""),"NIL")</f>
        <v>NIL</v>
      </c>
      <c r="K2378" s="1076">
        <f>IFERROR(__xludf.DUMMYFUNCTION("""COMPUTED_VALUE"""),8)</f>
        <v>8</v>
      </c>
      <c r="L2378" s="1076" t="str">
        <f>IFERROR(__xludf.DUMMYFUNCTION("""COMPUTED_VALUE"""),"Đang thuê")</f>
        <v>Đang thuê</v>
      </c>
    </row>
    <row r="2379" customHeight="1" spans="1:12">
      <c r="A2379" s="1076" t="str">
        <f>IFERROR(__xludf.DUMMYFUNCTION("""COMPUTED_VALUE"""),"TNA-MĐA-029")</f>
        <v>TNA-MĐA-029</v>
      </c>
      <c r="B2379" s="1075" t="str">
        <f>IFERROR(__xludf.DUMMYFUNCTION("""COMPUTED_VALUE"""),"Máy đào gàu 0.5m3")</f>
        <v>Máy đào gàu 0.5m3</v>
      </c>
      <c r="C2379" s="1076" t="str">
        <f>IFERROR(__xludf.DUMMYFUNCTION("""COMPUTED_VALUE"""),"Ban điện nước")</f>
        <v>Ban điện nước</v>
      </c>
      <c r="D2379" s="1076" t="str">
        <f>IFERROR(__xludf.DUMMYFUNCTION("""COMPUTED_VALUE"""),"CAT")</f>
        <v>CAT</v>
      </c>
      <c r="E2379" s="1076"/>
      <c r="F2379" s="1076">
        <f>IFERROR(__xludf.DUMMYFUNCTION("""COMPUTED_VALUE"""),2002)</f>
        <v>2002</v>
      </c>
      <c r="G2379" s="1076" t="str">
        <f>IFERROR(__xludf.DUMMYFUNCTION("""COMPUTED_VALUE"""),"312")</f>
        <v>312</v>
      </c>
      <c r="H2379" s="1076" t="str">
        <f>IFERROR(__xludf.DUMMYFUNCTION("""COMPUTED_VALUE"""),"94HP")</f>
        <v>94HP</v>
      </c>
      <c r="I2379" s="1076" t="str">
        <f>IFERROR(__xludf.DUMMYFUNCTION("""COMPUTED_VALUE"""),"6GK00804")</f>
        <v>6GK00804</v>
      </c>
      <c r="J2379" s="1076" t="str">
        <f>IFERROR(__xludf.DUMMYFUNCTION("""COMPUTED_VALUE"""),"6LK05285")</f>
        <v>6LK05285</v>
      </c>
      <c r="K2379" s="1076">
        <f>IFERROR(__xludf.DUMMYFUNCTION("""COMPUTED_VALUE"""),9)</f>
        <v>9</v>
      </c>
      <c r="L2379" s="1076" t="str">
        <f>IFERROR(__xludf.DUMMYFUNCTION("""COMPUTED_VALUE"""),"Đang thuê")</f>
        <v>Đang thuê</v>
      </c>
    </row>
    <row r="2380" customHeight="1" spans="1:12">
      <c r="A2380" s="1076" t="str">
        <f>IFERROR(__xludf.DUMMYFUNCTION("""COMPUTED_VALUE"""),"TNA-MĐA-030")</f>
        <v>TNA-MĐA-030</v>
      </c>
      <c r="B2380" s="1075" t="str">
        <f>IFERROR(__xludf.DUMMYFUNCTION("""COMPUTED_VALUE"""),"Máy đào gàu 1.2m3")</f>
        <v>Máy đào gàu 1.2m3</v>
      </c>
      <c r="C2380" s="1076" t="str">
        <f>IFERROR(__xludf.DUMMYFUNCTION("""COMPUTED_VALUE"""),"B.ĐTXD AD")</f>
        <v>B.ĐTXD AD</v>
      </c>
      <c r="D2380" s="1076" t="str">
        <f>IFERROR(__xludf.DUMMYFUNCTION("""COMPUTED_VALUE"""),"CAT")</f>
        <v>CAT</v>
      </c>
      <c r="E2380" s="1076"/>
      <c r="F2380" s="1076">
        <f>IFERROR(__xludf.DUMMYFUNCTION("""COMPUTED_VALUE"""),2001)</f>
        <v>2001</v>
      </c>
      <c r="G2380" s="1076" t="str">
        <f>IFERROR(__xludf.DUMMYFUNCTION("""COMPUTED_VALUE"""),"320C")</f>
        <v>320C</v>
      </c>
      <c r="H2380" s="1076"/>
      <c r="I2380" s="1076" t="str">
        <f>IFERROR(__xludf.DUMMYFUNCTION("""COMPUTED_VALUE"""),"CAT0320CCBCB00216")</f>
        <v>CAT0320CCBCB00216</v>
      </c>
      <c r="J2380" s="1076" t="str">
        <f>IFERROR(__xludf.DUMMYFUNCTION("""COMPUTED_VALUE"""),"7JK49472")</f>
        <v>7JK49472</v>
      </c>
      <c r="K2380" s="1076">
        <f>IFERROR(__xludf.DUMMYFUNCTION("""COMPUTED_VALUE"""),16)</f>
        <v>16</v>
      </c>
      <c r="L2380" s="1076" t="str">
        <f>IFERROR(__xludf.DUMMYFUNCTION("""COMPUTED_VALUE"""),"-")</f>
        <v>-</v>
      </c>
    </row>
    <row r="2381" customHeight="1" spans="1:12">
      <c r="A2381" s="1076" t="str">
        <f>IFERROR(__xludf.DUMMYFUNCTION("""COMPUTED_VALUE"""),"TNA-MĐA-031")</f>
        <v>TNA-MĐA-031</v>
      </c>
      <c r="B2381" s="1075" t="str">
        <f>IFERROR(__xludf.DUMMYFUNCTION("""COMPUTED_VALUE"""),"Máy đào gàu 1.2m3")</f>
        <v>Máy đào gàu 1.2m3</v>
      </c>
      <c r="C2381" s="1076" t="str">
        <f>IFERROR(__xludf.DUMMYFUNCTION("""COMPUTED_VALUE"""),"B.ĐTXD AD")</f>
        <v>B.ĐTXD AD</v>
      </c>
      <c r="D2381" s="1076" t="str">
        <f>IFERROR(__xludf.DUMMYFUNCTION("""COMPUTED_VALUE"""),"CAT")</f>
        <v>CAT</v>
      </c>
      <c r="E2381" s="1076"/>
      <c r="F2381" s="1076">
        <f>IFERROR(__xludf.DUMMYFUNCTION("""COMPUTED_VALUE"""),2005)</f>
        <v>2005</v>
      </c>
      <c r="G2381" s="1076" t="str">
        <f>IFERROR(__xludf.DUMMYFUNCTION("""COMPUTED_VALUE"""),"320C")</f>
        <v>320C</v>
      </c>
      <c r="H2381" s="1076"/>
      <c r="I2381" s="1076" t="str">
        <f>IFERROR(__xludf.DUMMYFUNCTION("""COMPUTED_VALUE"""),"ANB01002")</f>
        <v>ANB01002</v>
      </c>
      <c r="J2381" s="1076" t="str">
        <f>IFERROR(__xludf.DUMMYFUNCTION("""COMPUTED_VALUE"""),"7JK47738")</f>
        <v>7JK47738</v>
      </c>
      <c r="K2381" s="1076">
        <f>IFERROR(__xludf.DUMMYFUNCTION("""COMPUTED_VALUE"""),16)</f>
        <v>16</v>
      </c>
      <c r="L2381" s="1076" t="str">
        <f>IFERROR(__xludf.DUMMYFUNCTION("""COMPUTED_VALUE"""),"-")</f>
        <v>-</v>
      </c>
    </row>
    <row r="2382" customHeight="1" spans="1:12">
      <c r="A2382" s="1076" t="str">
        <f>IFERROR(__xludf.DUMMYFUNCTION("""COMPUTED_VALUE"""),"TNA-MĐA-032")</f>
        <v>TNA-MĐA-032</v>
      </c>
      <c r="B2382" s="1075" t="str">
        <f>IFERROR(__xludf.DUMMYFUNCTION("""COMPUTED_VALUE"""),"Máy đào gàu 0.9m3")</f>
        <v>Máy đào gàu 0.9m3</v>
      </c>
      <c r="C2382" s="1076" t="str">
        <f>IFERROR(__xludf.DUMMYFUNCTION("""COMPUTED_VALUE"""),"B.ĐTXD AD")</f>
        <v>B.ĐTXD AD</v>
      </c>
      <c r="D2382" s="1076" t="str">
        <f>IFERROR(__xludf.DUMMYFUNCTION("""COMPUTED_VALUE"""),"CAT")</f>
        <v>CAT</v>
      </c>
      <c r="E2382" s="1076"/>
      <c r="F2382" s="1076"/>
      <c r="G2382" s="1076"/>
      <c r="H2382" s="1076"/>
      <c r="I2382" s="1076" t="str">
        <f>IFERROR(__xludf.DUMMYFUNCTION("""COMPUTED_VALUE"""),"7GJ01435")</f>
        <v>7GJ01435</v>
      </c>
      <c r="J2382" s="1076"/>
      <c r="K2382" s="1076">
        <f>IFERROR(__xludf.DUMMYFUNCTION("""COMPUTED_VALUE"""),13.5)</f>
        <v>13.5</v>
      </c>
      <c r="L2382" s="1076" t="str">
        <f>IFERROR(__xludf.DUMMYFUNCTION("""COMPUTED_VALUE"""),"-")</f>
        <v>-</v>
      </c>
    </row>
    <row r="2383" customHeight="1" spans="1:12">
      <c r="A2383" s="1076" t="str">
        <f>IFERROR(__xludf.DUMMYFUNCTION("""COMPUTED_VALUE"""),"TNA-MĐA-033")</f>
        <v>TNA-MĐA-033</v>
      </c>
      <c r="B2383" s="1075" t="str">
        <f>IFERROR(__xludf.DUMMYFUNCTION("""COMPUTED_VALUE"""),"Máy đào gàu 0.5m3")</f>
        <v>Máy đào gàu 0.5m3</v>
      </c>
      <c r="C2383" s="1076" t="str">
        <f>IFERROR(__xludf.DUMMYFUNCTION("""COMPUTED_VALUE"""),"Ban điện nước")</f>
        <v>Ban điện nước</v>
      </c>
      <c r="D2383" s="1076" t="str">
        <f>IFERROR(__xludf.DUMMYFUNCTION("""COMPUTED_VALUE"""),"CAT")</f>
        <v>CAT</v>
      </c>
      <c r="E2383" s="1076"/>
      <c r="F2383" s="1076">
        <f>IFERROR(__xludf.DUMMYFUNCTION("""COMPUTED_VALUE"""),1989)</f>
        <v>1989</v>
      </c>
      <c r="G2383" s="1076" t="str">
        <f>IFERROR(__xludf.DUMMYFUNCTION("""COMPUTED_VALUE"""),"E110B")</f>
        <v>E110B</v>
      </c>
      <c r="H2383" s="1076"/>
      <c r="I2383" s="1076" t="str">
        <f>IFERROR(__xludf.DUMMYFUNCTION("""COMPUTED_VALUE"""),"9HF03")</f>
        <v>9HF03</v>
      </c>
      <c r="J2383" s="1076" t="str">
        <f>IFERROR(__xludf.DUMMYFUNCTION("""COMPUTED_VALUE"""),"213231")</f>
        <v>213231</v>
      </c>
      <c r="K2383" s="1076">
        <f>IFERROR(__xludf.DUMMYFUNCTION("""COMPUTED_VALUE"""),9)</f>
        <v>9</v>
      </c>
      <c r="L2383" s="1076" t="str">
        <f>IFERROR(__xludf.DUMMYFUNCTION("""COMPUTED_VALUE"""),"-")</f>
        <v>-</v>
      </c>
    </row>
    <row r="2384" customHeight="1" spans="1:12">
      <c r="A2384" s="1076" t="str">
        <f>IFERROR(__xludf.DUMMYFUNCTION("""COMPUTED_VALUE"""),"TNA-MĐA-034")</f>
        <v>TNA-MĐA-034</v>
      </c>
      <c r="B2384" s="1075" t="str">
        <f>IFERROR(__xludf.DUMMYFUNCTION("""COMPUTED_VALUE"""),"Máy đào gàu 0.5m3")</f>
        <v>Máy đào gàu 0.5m3</v>
      </c>
      <c r="C2384" s="1076" t="str">
        <f>IFERROR(__xludf.DUMMYFUNCTION("""COMPUTED_VALUE"""),"Ban điện nước")</f>
        <v>Ban điện nước</v>
      </c>
      <c r="D2384" s="1076" t="str">
        <f>IFERROR(__xludf.DUMMYFUNCTION("""COMPUTED_VALUE"""),"CAT")</f>
        <v>CAT</v>
      </c>
      <c r="E2384" s="1076"/>
      <c r="F2384" s="1076">
        <f>IFERROR(__xludf.DUMMYFUNCTION("""COMPUTED_VALUE"""),2005)</f>
        <v>2005</v>
      </c>
      <c r="G2384" s="1076" t="str">
        <f>IFERROR(__xludf.DUMMYFUNCTION("""COMPUTED_VALUE"""),"312C")</f>
        <v>312C</v>
      </c>
      <c r="H2384" s="1076"/>
      <c r="I2384" s="1076" t="str">
        <f>IFERROR(__xludf.DUMMYFUNCTION("""COMPUTED_VALUE"""),"CAT0312CCCAEO2876")</f>
        <v>CAT0312CCCAEO2876</v>
      </c>
      <c r="J2384" s="1076" t="str">
        <f>IFERROR(__xludf.DUMMYFUNCTION("""COMPUTED_VALUE"""),"6LK37380")</f>
        <v>6LK37380</v>
      </c>
      <c r="K2384" s="1076">
        <f>IFERROR(__xludf.DUMMYFUNCTION("""COMPUTED_VALUE"""),10)</f>
        <v>10</v>
      </c>
      <c r="L2384" s="1076" t="str">
        <f>IFERROR(__xludf.DUMMYFUNCTION("""COMPUTED_VALUE"""),"-")</f>
        <v>-</v>
      </c>
    </row>
    <row r="2385" customHeight="1" spans="1:12">
      <c r="A2385" s="1076" t="str">
        <f>IFERROR(__xludf.DUMMYFUNCTION("""COMPUTED_VALUE"""),"TNA-MĐA-035")</f>
        <v>TNA-MĐA-035</v>
      </c>
      <c r="B2385" s="1075" t="str">
        <f>IFERROR(__xludf.DUMMYFUNCTION("""COMPUTED_VALUE"""),"Máy đào gàu 1.2m3")</f>
        <v>Máy đào gàu 1.2m3</v>
      </c>
      <c r="C2385" s="1076" t="str">
        <f>IFERROR(__xludf.DUMMYFUNCTION("""COMPUTED_VALUE"""),"B.ĐTXD AD")</f>
        <v>B.ĐTXD AD</v>
      </c>
      <c r="D2385" s="1076" t="str">
        <f>IFERROR(__xludf.DUMMYFUNCTION("""COMPUTED_VALUE"""),"CAT")</f>
        <v>CAT</v>
      </c>
      <c r="E2385" s="1076"/>
      <c r="F2385" s="1076">
        <f>IFERROR(__xludf.DUMMYFUNCTION("""COMPUTED_VALUE"""),1992)</f>
        <v>1992</v>
      </c>
      <c r="G2385" s="1076" t="str">
        <f>IFERROR(__xludf.DUMMYFUNCTION("""COMPUTED_VALUE"""),"CAT 320")</f>
        <v>CAT 320</v>
      </c>
      <c r="H2385" s="1076" t="str">
        <f>IFERROR(__xludf.DUMMYFUNCTION("""COMPUTED_VALUE"""),"140HP")</f>
        <v>140HP</v>
      </c>
      <c r="I2385" s="1076" t="str">
        <f>IFERROR(__xludf.DUMMYFUNCTION("""COMPUTED_VALUE"""),"7GJ01435")</f>
        <v>7GJ01435</v>
      </c>
      <c r="J2385" s="1076" t="str">
        <f>IFERROR(__xludf.DUMMYFUNCTION("""COMPUTED_VALUE"""),"7JK01351")</f>
        <v>7JK01351</v>
      </c>
      <c r="K2385" s="1076">
        <f>IFERROR(__xludf.DUMMYFUNCTION("""COMPUTED_VALUE"""),14)</f>
        <v>14</v>
      </c>
      <c r="L2385" s="1076" t="str">
        <f>IFERROR(__xludf.DUMMYFUNCTION("""COMPUTED_VALUE"""),"-")</f>
        <v>-</v>
      </c>
    </row>
    <row r="2386" customHeight="1" spans="1:12">
      <c r="A2386" s="1076" t="str">
        <f>IFERROR(__xludf.DUMMYFUNCTION("""COMPUTED_VALUE"""),"TNA-MĐA-036")</f>
        <v>TNA-MĐA-036</v>
      </c>
      <c r="B2386" s="1075" t="str">
        <f>IFERROR(__xludf.DUMMYFUNCTION("""COMPUTED_VALUE"""),"Máy đào gàu 0.9 m3")</f>
        <v>Máy đào gàu 0.9 m3</v>
      </c>
      <c r="C2386" s="1076" t="str">
        <f>IFERROR(__xludf.DUMMYFUNCTION("""COMPUTED_VALUE"""),"B.ĐTXD AD")</f>
        <v>B.ĐTXD AD</v>
      </c>
      <c r="D2386" s="1076" t="str">
        <f>IFERROR(__xludf.DUMMYFUNCTION("""COMPUTED_VALUE"""),"JCB")</f>
        <v>JCB</v>
      </c>
      <c r="E2386" s="1076" t="str">
        <f>IFERROR(__xludf.DUMMYFUNCTION("""COMPUTED_VALUE"""),"TRUNG QUỐC")</f>
        <v>TRUNG QUỐC</v>
      </c>
      <c r="F2386" s="1076">
        <f>IFERROR(__xludf.DUMMYFUNCTION("""COMPUTED_VALUE"""),2018)</f>
        <v>2018</v>
      </c>
      <c r="G2386" s="1076" t="str">
        <f>IFERROR(__xludf.DUMMYFUNCTION("""COMPUTED_VALUE"""),"JS205LC")</f>
        <v>JS205LC</v>
      </c>
      <c r="H2386" s="1076" t="str">
        <f>IFERROR(__xludf.DUMMYFUNCTION("""COMPUTED_VALUE"""),"168 HP")</f>
        <v>168 HP</v>
      </c>
      <c r="I2386" s="1076" t="str">
        <f>IFERROR(__xludf.DUMMYFUNCTION("""COMPUTED_VALUE"""),"SHAJE20BAJ2750418")</f>
        <v>SHAJE20BAJ2750418</v>
      </c>
      <c r="J2386" s="1076" t="str">
        <f>IFERROR(__xludf.DUMMYFUNCTION("""COMPUTED_VALUE"""),"84818733")</f>
        <v>84818733</v>
      </c>
      <c r="K2386" s="1076">
        <f>IFERROR(__xludf.DUMMYFUNCTION("""COMPUTED_VALUE"""),13)</f>
        <v>13</v>
      </c>
      <c r="L2386" s="1076" t="str">
        <f>IFERROR(__xludf.DUMMYFUNCTION("""COMPUTED_VALUE"""),"Đang thuê")</f>
        <v>Đang thuê</v>
      </c>
    </row>
    <row r="2387" customHeight="1" spans="1:12">
      <c r="A2387" s="1076" t="str">
        <f>IFERROR(__xludf.DUMMYFUNCTION("""COMPUTED_VALUE"""),"TNA-MĐA-037")</f>
        <v>TNA-MĐA-037</v>
      </c>
      <c r="B2387" s="1075" t="str">
        <f>IFERROR(__xludf.DUMMYFUNCTION("""COMPUTED_VALUE"""),"Máy đào gàu 1.0m3")</f>
        <v>Máy đào gàu 1.0m3</v>
      </c>
      <c r="C2387" s="1076" t="str">
        <f>IFERROR(__xludf.DUMMYFUNCTION("""COMPUTED_VALUE"""),"B.ĐTXD AD")</f>
        <v>B.ĐTXD AD</v>
      </c>
      <c r="D2387" s="1076" t="str">
        <f>IFERROR(__xludf.DUMMYFUNCTION("""COMPUTED_VALUE"""),"CAT")</f>
        <v>CAT</v>
      </c>
      <c r="E2387" s="1076" t="str">
        <f>IFERROR(__xludf.DUMMYFUNCTION("""COMPUTED_VALUE"""),"NHẬT BẢN")</f>
        <v>NHẬT BẢN</v>
      </c>
      <c r="F2387" s="1076">
        <f>IFERROR(__xludf.DUMMYFUNCTION("""COMPUTED_VALUE"""),2008)</f>
        <v>2008</v>
      </c>
      <c r="G2387" s="1076" t="str">
        <f>IFERROR(__xludf.DUMMYFUNCTION("""COMPUTED_VALUE"""),"320D")</f>
        <v>320D</v>
      </c>
      <c r="H2387" s="1076" t="str">
        <f>IFERROR(__xludf.DUMMYFUNCTION("""COMPUTED_VALUE"""),"138HP")</f>
        <v>138HP</v>
      </c>
      <c r="I2387" s="1076" t="str">
        <f>IFERROR(__xludf.DUMMYFUNCTION("""COMPUTED_VALUE"""),"CAT0320DTBWZ02487")</f>
        <v>CAT0320DTBWZ02487</v>
      </c>
      <c r="J2387" s="1076" t="str">
        <f>IFERROR(__xludf.DUMMYFUNCTION("""COMPUTED_VALUE"""),"GDC11790")</f>
        <v>GDC11790</v>
      </c>
      <c r="K2387" s="1076">
        <f>IFERROR(__xludf.DUMMYFUNCTION("""COMPUTED_VALUE"""),13.5)</f>
        <v>13.5</v>
      </c>
      <c r="L2387" s="1076" t="str">
        <f>IFERROR(__xludf.DUMMYFUNCTION("""COMPUTED_VALUE"""),"Đang thuê")</f>
        <v>Đang thuê</v>
      </c>
    </row>
    <row r="2388" customHeight="1" spans="1:12">
      <c r="A2388" s="1076" t="str">
        <f>IFERROR(__xludf.DUMMYFUNCTION("""COMPUTED_VALUE"""),"TNA-MĐA-038")</f>
        <v>TNA-MĐA-038</v>
      </c>
      <c r="B2388" s="1075" t="str">
        <f>IFERROR(__xludf.DUMMYFUNCTION("""COMPUTED_VALUE"""),"Máy đào gàu 1.0m3")</f>
        <v>Máy đào gàu 1.0m3</v>
      </c>
      <c r="C2388" s="1076" t="str">
        <f>IFERROR(__xludf.DUMMYFUNCTION("""COMPUTED_VALUE"""),"B.ĐTXD AD")</f>
        <v>B.ĐTXD AD</v>
      </c>
      <c r="D2388" s="1076" t="str">
        <f>IFERROR(__xludf.DUMMYFUNCTION("""COMPUTED_VALUE"""),"CAT")</f>
        <v>CAT</v>
      </c>
      <c r="E2388" s="1076" t="str">
        <f>IFERROR(__xludf.DUMMYFUNCTION("""COMPUTED_VALUE"""),"NHẬT BẢN")</f>
        <v>NHẬT BẢN</v>
      </c>
      <c r="F2388" s="1076">
        <f>IFERROR(__xludf.DUMMYFUNCTION("""COMPUTED_VALUE"""),2009)</f>
        <v>2009</v>
      </c>
      <c r="G2388" s="1076" t="str">
        <f>IFERROR(__xludf.DUMMYFUNCTION("""COMPUTED_VALUE"""),"320D")</f>
        <v>320D</v>
      </c>
      <c r="H2388" s="1076" t="str">
        <f>IFERROR(__xludf.DUMMYFUNCTION("""COMPUTED_VALUE"""),"138HP")</f>
        <v>138HP</v>
      </c>
      <c r="I2388" s="1076" t="str">
        <f>IFERROR(__xludf.DUMMYFUNCTION("""COMPUTED_VALUE"""),"CAT0320DHBWZ04199")</f>
        <v>CAT0320DHBWZ04199</v>
      </c>
      <c r="J2388" s="1076" t="str">
        <f>IFERROR(__xludf.DUMMYFUNCTION("""COMPUTED_VALUE"""),"GDC27586")</f>
        <v>GDC27586</v>
      </c>
      <c r="K2388" s="1076">
        <f>IFERROR(__xludf.DUMMYFUNCTION("""COMPUTED_VALUE"""),13)</f>
        <v>13</v>
      </c>
      <c r="L2388" s="1076" t="str">
        <f>IFERROR(__xludf.DUMMYFUNCTION("""COMPUTED_VALUE"""),"Đang thuê")</f>
        <v>Đang thuê</v>
      </c>
    </row>
    <row r="2389" customHeight="1" spans="1:12">
      <c r="A2389" s="1076" t="str">
        <f>IFERROR(__xludf.DUMMYFUNCTION("""COMPUTED_VALUE"""),"TNA-MĐA-039")</f>
        <v>TNA-MĐA-039</v>
      </c>
      <c r="B2389" s="1075" t="str">
        <f>IFERROR(__xludf.DUMMYFUNCTION("""COMPUTED_VALUE"""),"Máy đào gàu 1.1m3")</f>
        <v>Máy đào gàu 1.1m3</v>
      </c>
      <c r="C2389" s="1076" t="str">
        <f>IFERROR(__xludf.DUMMYFUNCTION("""COMPUTED_VALUE"""),"B.ĐTXD AD")</f>
        <v>B.ĐTXD AD</v>
      </c>
      <c r="D2389" s="1076" t="str">
        <f>IFERROR(__xludf.DUMMYFUNCTION("""COMPUTED_VALUE"""),"JCB")</f>
        <v>JCB</v>
      </c>
      <c r="E2389" s="1076"/>
      <c r="F2389" s="1076"/>
      <c r="G2389" s="1076"/>
      <c r="H2389" s="1076"/>
      <c r="I2389" s="1076"/>
      <c r="J2389" s="1076"/>
      <c r="K2389" s="1076">
        <f>IFERROR(__xludf.DUMMYFUNCTION("""COMPUTED_VALUE"""),16)</f>
        <v>16</v>
      </c>
      <c r="L2389" s="1076" t="str">
        <f>IFERROR(__xludf.DUMMYFUNCTION("""COMPUTED_VALUE"""),"Đang thuê")</f>
        <v>Đang thuê</v>
      </c>
    </row>
    <row r="2390" customHeight="1" spans="1:12">
      <c r="A2390" s="1076" t="str">
        <f>IFERROR(__xludf.DUMMYFUNCTION("""COMPUTED_VALUE"""),"TNA-MĐA-040")</f>
        <v>TNA-MĐA-040</v>
      </c>
      <c r="B2390" s="1075" t="str">
        <f>IFERROR(__xludf.DUMMYFUNCTION("""COMPUTED_VALUE"""),"Máy đào gàu 1.2m3")</f>
        <v>Máy đào gàu 1.2m3</v>
      </c>
      <c r="C2390" s="1076" t="str">
        <f>IFERROR(__xludf.DUMMYFUNCTION("""COMPUTED_VALUE"""),"B.ĐTXD AD")</f>
        <v>B.ĐTXD AD</v>
      </c>
      <c r="D2390" s="1076" t="str">
        <f>IFERROR(__xludf.DUMMYFUNCTION("""COMPUTED_VALUE"""),"CAT")</f>
        <v>CAT</v>
      </c>
      <c r="E2390" s="1076" t="str">
        <f>IFERROR(__xludf.DUMMYFUNCTION("""COMPUTED_VALUE"""),"NHẬT BẢN")</f>
        <v>NHẬT BẢN</v>
      </c>
      <c r="F2390" s="1076">
        <f>IFERROR(__xludf.DUMMYFUNCTION("""COMPUTED_VALUE"""),2008)</f>
        <v>2008</v>
      </c>
      <c r="G2390" s="1076" t="str">
        <f>IFERROR(__xludf.DUMMYFUNCTION("""COMPUTED_VALUE"""),"320D")</f>
        <v>320D</v>
      </c>
      <c r="H2390" s="1076" t="str">
        <f>IFERROR(__xludf.DUMMYFUNCTION("""COMPUTED_VALUE"""),"150 HP")</f>
        <v>150 HP</v>
      </c>
      <c r="I2390" s="1076" t="str">
        <f>IFERROR(__xludf.DUMMYFUNCTION("""COMPUTED_VALUE"""),"CAT0320DJBWZ03000")</f>
        <v>CAT0320DJBWZ03000</v>
      </c>
      <c r="J2390" s="1076" t="str">
        <f>IFERROR(__xludf.DUMMYFUNCTION("""COMPUTED_VALUE"""),"GDC17752")</f>
        <v>GDC17752</v>
      </c>
      <c r="K2390" s="1076">
        <f>IFERROR(__xludf.DUMMYFUNCTION("""COMPUTED_VALUE"""),16)</f>
        <v>16</v>
      </c>
      <c r="L2390" s="1076" t="str">
        <f>IFERROR(__xludf.DUMMYFUNCTION("""COMPUTED_VALUE"""),"Đang thuê")</f>
        <v>Đang thuê</v>
      </c>
    </row>
    <row r="2391" customHeight="1" spans="1:12">
      <c r="A2391" s="1076" t="str">
        <f>IFERROR(__xludf.DUMMYFUNCTION("""COMPUTED_VALUE"""),"TNA-MĐA-041")</f>
        <v>TNA-MĐA-041</v>
      </c>
      <c r="B2391" s="1075" t="str">
        <f>IFERROR(__xludf.DUMMYFUNCTION("""COMPUTED_VALUE"""),"Máy đào gàu 1.2m3")</f>
        <v>Máy đào gàu 1.2m3</v>
      </c>
      <c r="C2391" s="1076" t="str">
        <f>IFERROR(__xludf.DUMMYFUNCTION("""COMPUTED_VALUE"""),"B.ĐTXD AD")</f>
        <v>B.ĐTXD AD</v>
      </c>
      <c r="D2391" s="1076" t="str">
        <f>IFERROR(__xludf.DUMMYFUNCTION("""COMPUTED_VALUE"""),"JCB")</f>
        <v>JCB</v>
      </c>
      <c r="E2391" s="1076"/>
      <c r="F2391" s="1076">
        <f>IFERROR(__xludf.DUMMYFUNCTION("""COMPUTED_VALUE"""),2016)</f>
        <v>2016</v>
      </c>
      <c r="G2391" s="1076" t="str">
        <f>IFERROR(__xludf.DUMMYFUNCTION("""COMPUTED_VALUE"""),"JS205LC")</f>
        <v>JS205LC</v>
      </c>
      <c r="H2391" s="1076" t="str">
        <f>IFERROR(__xludf.DUMMYFUNCTION("""COMPUTED_VALUE"""),"140 HP")</f>
        <v>140 HP</v>
      </c>
      <c r="I2391" s="1076" t="str">
        <f>IFERROR(__xludf.DUMMYFUNCTION("""COMPUTED_VALUE"""),"SHAJE20BVG2473194")</f>
        <v>SHAJE20BVG2473194</v>
      </c>
      <c r="J2391" s="1076" t="str">
        <f>IFERROR(__xludf.DUMMYFUNCTION("""COMPUTED_VALUE"""),"84316624")</f>
        <v>84316624</v>
      </c>
      <c r="K2391" s="1076">
        <f>IFERROR(__xludf.DUMMYFUNCTION("""COMPUTED_VALUE"""),15)</f>
        <v>15</v>
      </c>
      <c r="L2391" s="1076" t="str">
        <f>IFERROR(__xludf.DUMMYFUNCTION("""COMPUTED_VALUE"""),"Đang thuê")</f>
        <v>Đang thuê</v>
      </c>
    </row>
    <row r="2392" customHeight="1" spans="1:12">
      <c r="A2392" s="1076" t="str">
        <f>IFERROR(__xludf.DUMMYFUNCTION("""COMPUTED_VALUE"""),"TNA-MĐA-042")</f>
        <v>TNA-MĐA-042</v>
      </c>
      <c r="B2392" s="1075" t="str">
        <f>IFERROR(__xludf.DUMMYFUNCTION("""COMPUTED_VALUE"""),"Máy đào gàu 1m3")</f>
        <v>Máy đào gàu 1m3</v>
      </c>
      <c r="C2392" s="1076" t="str">
        <f>IFERROR(__xludf.DUMMYFUNCTION("""COMPUTED_VALUE"""),"B.ĐTXD AD")</f>
        <v>B.ĐTXD AD</v>
      </c>
      <c r="D2392" s="1076" t="str">
        <f>IFERROR(__xludf.DUMMYFUNCTION("""COMPUTED_VALUE"""),"CAT")</f>
        <v>CAT</v>
      </c>
      <c r="E2392" s="1076"/>
      <c r="F2392" s="1076">
        <f>IFERROR(__xludf.DUMMYFUNCTION("""COMPUTED_VALUE"""),2006)</f>
        <v>2006</v>
      </c>
      <c r="G2392" s="1076" t="str">
        <f>IFERROR(__xludf.DUMMYFUNCTION("""COMPUTED_VALUE"""),"320B")</f>
        <v>320B</v>
      </c>
      <c r="H2392" s="1076" t="str">
        <f>IFERROR(__xludf.DUMMYFUNCTION("""COMPUTED_VALUE"""),"128 HP")</f>
        <v>128 HP</v>
      </c>
      <c r="I2392" s="1076" t="str">
        <f>IFERROR(__xludf.DUMMYFUNCTION("""COMPUTED_VALUE"""),"3MR04504")</f>
        <v>3MR04504</v>
      </c>
      <c r="J2392" s="1076" t="str">
        <f>IFERROR(__xludf.DUMMYFUNCTION("""COMPUTED_VALUE"""),"7JK32089")</f>
        <v>7JK32089</v>
      </c>
      <c r="K2392" s="1076"/>
      <c r="L2392" s="1076" t="str">
        <f>IFERROR(__xludf.DUMMYFUNCTION("""COMPUTED_VALUE"""),"Đang thuê")</f>
        <v>Đang thuê</v>
      </c>
    </row>
    <row r="2393" customHeight="1" spans="1:12">
      <c r="A2393" s="1076" t="str">
        <f>IFERROR(__xludf.DUMMYFUNCTION("""COMPUTED_VALUE"""),"TNA-MĐA-043")</f>
        <v>TNA-MĐA-043</v>
      </c>
      <c r="B2393" s="1075" t="str">
        <f>IFERROR(__xludf.DUMMYFUNCTION("""COMPUTED_VALUE"""),"Máy đào gàu 1m3")</f>
        <v>Máy đào gàu 1m3</v>
      </c>
      <c r="C2393" s="1076" t="str">
        <f>IFERROR(__xludf.DUMMYFUNCTION("""COMPUTED_VALUE"""),"B.ĐTXD AD")</f>
        <v>B.ĐTXD AD</v>
      </c>
      <c r="D2393" s="1076" t="str">
        <f>IFERROR(__xludf.DUMMYFUNCTION("""COMPUTED_VALUE"""),"CAT")</f>
        <v>CAT</v>
      </c>
      <c r="E2393" s="1076"/>
      <c r="F2393" s="1076">
        <f>IFERROR(__xludf.DUMMYFUNCTION("""COMPUTED_VALUE"""),2006)</f>
        <v>2006</v>
      </c>
      <c r="G2393" s="1076" t="str">
        <f>IFERROR(__xludf.DUMMYFUNCTION("""COMPUTED_VALUE"""),"320C")</f>
        <v>320C</v>
      </c>
      <c r="H2393" s="1076" t="str">
        <f>IFERROR(__xludf.DUMMYFUNCTION("""COMPUTED_VALUE"""),"138 HP")</f>
        <v>138 HP</v>
      </c>
      <c r="I2393" s="1076" t="str">
        <f>IFERROR(__xludf.DUMMYFUNCTION("""COMPUTED_VALUE"""),"CAT0320CLGNG01610")</f>
        <v>CAT0320CLGNG01610</v>
      </c>
      <c r="J2393" s="1076" t="str">
        <f>IFERROR(__xludf.DUMMYFUNCTION("""COMPUTED_VALUE"""),"7JK96955")</f>
        <v>7JK96955</v>
      </c>
      <c r="K2393" s="1076"/>
      <c r="L2393" s="1076" t="str">
        <f>IFERROR(__xludf.DUMMYFUNCTION("""COMPUTED_VALUE"""),"Đang thuê")</f>
        <v>Đang thuê</v>
      </c>
    </row>
    <row r="2394" customHeight="1" spans="1:12">
      <c r="A2394" s="1076" t="str">
        <f>IFERROR(__xludf.DUMMYFUNCTION("""COMPUTED_VALUE"""),"TNA-MĐA-044")</f>
        <v>TNA-MĐA-044</v>
      </c>
      <c r="B2394" s="1075" t="str">
        <f>IFERROR(__xludf.DUMMYFUNCTION("""COMPUTED_VALUE"""),"Máy đào gàu 1.2m3")</f>
        <v>Máy đào gàu 1.2m3</v>
      </c>
      <c r="C2394" s="1076" t="str">
        <f>IFERROR(__xludf.DUMMYFUNCTION("""COMPUTED_VALUE"""),"B.ĐTXD AD")</f>
        <v>B.ĐTXD AD</v>
      </c>
      <c r="D2394" s="1076" t="str">
        <f>IFERROR(__xludf.DUMMYFUNCTION("""COMPUTED_VALUE"""),"KOMATSU")</f>
        <v>KOMATSU</v>
      </c>
      <c r="E2394" s="1076"/>
      <c r="F2394" s="1076">
        <f>IFERROR(__xludf.DUMMYFUNCTION("""COMPUTED_VALUE"""),2020)</f>
        <v>2020</v>
      </c>
      <c r="G2394" s="1076" t="str">
        <f>IFERROR(__xludf.DUMMYFUNCTION("""COMPUTED_VALUE"""),"PC210-10MO")</f>
        <v>PC210-10MO</v>
      </c>
      <c r="H2394" s="1076" t="str">
        <f>IFERROR(__xludf.DUMMYFUNCTION("""COMPUTED_VALUE"""),"165 HP")</f>
        <v>165 HP</v>
      </c>
      <c r="I2394" s="1076" t="str">
        <f>IFERROR(__xludf.DUMMYFUNCTION("""COMPUTED_VALUE"""),"KMTPC28CLTC02447")</f>
        <v>KMTPC28CLTC02447</v>
      </c>
      <c r="J2394" s="1076" t="str">
        <f>IFERROR(__xludf.DUMMYFUNCTION("""COMPUTED_VALUE"""),"6D107-2672453")</f>
        <v>6D107-2672453</v>
      </c>
      <c r="K2394" s="1076">
        <f>IFERROR(__xludf.DUMMYFUNCTION("""COMPUTED_VALUE"""),12.8)</f>
        <v>12.8</v>
      </c>
      <c r="L2394" s="1076" t="str">
        <f>IFERROR(__xludf.DUMMYFUNCTION("""COMPUTED_VALUE"""),"Đang thuê")</f>
        <v>Đang thuê</v>
      </c>
    </row>
    <row r="2395" customHeight="1" spans="1:12">
      <c r="A2395" s="1076" t="str">
        <f>IFERROR(__xludf.DUMMYFUNCTION("""COMPUTED_VALUE"""),"TNA-MĐA-045")</f>
        <v>TNA-MĐA-045</v>
      </c>
      <c r="B2395" s="1075" t="str">
        <f>IFERROR(__xludf.DUMMYFUNCTION("""COMPUTED_VALUE"""),"Máy đào gàu 0,8m3")</f>
        <v>Máy đào gàu 0,8m3</v>
      </c>
      <c r="C2395" s="1076" t="str">
        <f>IFERROR(__xludf.DUMMYFUNCTION("""COMPUTED_VALUE"""),"B.ĐTXD AD")</f>
        <v>B.ĐTXD AD</v>
      </c>
      <c r="D2395" s="1076" t="str">
        <f>IFERROR(__xludf.DUMMYFUNCTION("""COMPUTED_VALUE"""),"JCB")</f>
        <v>JCB</v>
      </c>
      <c r="E2395" s="1076"/>
      <c r="F2395" s="1076">
        <f>IFERROR(__xludf.DUMMYFUNCTION("""COMPUTED_VALUE"""),2007)</f>
        <v>2007</v>
      </c>
      <c r="G2395" s="1076" t="str">
        <f>IFERROR(__xludf.DUMMYFUNCTION("""COMPUTED_VALUE"""),"JS180LC")</f>
        <v>JS180LC</v>
      </c>
      <c r="H2395" s="1076" t="str">
        <f>IFERROR(__xludf.DUMMYFUNCTION("""COMPUTED_VALUE"""),"123 HP")</f>
        <v>123 HP</v>
      </c>
      <c r="I2395" s="1076" t="str">
        <f>IFERROR(__xludf.DUMMYFUNCTION("""COMPUTED_VALUE"""),"JCBJS1L6V71059554")</f>
        <v>JCBJS1L6V71059554</v>
      </c>
      <c r="J2395" s="1076" t="str">
        <f>IFERROR(__xludf.DUMMYFUNCTION("""COMPUTED_VALUE"""),"NIL")</f>
        <v>NIL</v>
      </c>
      <c r="K2395" s="1076">
        <f>IFERROR(__xludf.DUMMYFUNCTION("""COMPUTED_VALUE"""),10.8)</f>
        <v>10.8</v>
      </c>
      <c r="L2395" s="1076" t="str">
        <f>IFERROR(__xludf.DUMMYFUNCTION("""COMPUTED_VALUE"""),"Đang thuê")</f>
        <v>Đang thuê</v>
      </c>
    </row>
    <row r="2396" customHeight="1" spans="1:12">
      <c r="A2396" s="1076" t="str">
        <f>IFERROR(__xludf.DUMMYFUNCTION("""COMPUTED_VALUE"""),"Máy ủi")</f>
        <v>Máy ủi</v>
      </c>
      <c r="B2396" s="1075" t="str">
        <f>IFERROR(__xludf.DUMMYFUNCTION("""COMPUTED_VALUE"""),"6")</f>
        <v>6</v>
      </c>
      <c r="C2396" s="1076"/>
      <c r="D2396" s="1076"/>
      <c r="E2396" s="1076"/>
      <c r="F2396" s="1076"/>
      <c r="G2396" s="1076"/>
      <c r="H2396" s="1076"/>
      <c r="I2396" s="1076"/>
      <c r="J2396" s="1076"/>
      <c r="K2396" s="1076"/>
      <c r="L2396" s="1076" t="str">
        <f>IFERROR(__xludf.DUMMYFUNCTION("""COMPUTED_VALUE"""),"0")</f>
        <v>0</v>
      </c>
    </row>
    <row r="2397" customHeight="1" spans="1:12">
      <c r="A2397" s="1076" t="str">
        <f>IFERROR(__xludf.DUMMYFUNCTION("""COMPUTED_VALUE"""),"TNA-MUI-001")</f>
        <v>TNA-MUI-001</v>
      </c>
      <c r="B2397" s="1075" t="str">
        <f>IFERROR(__xludf.DUMMYFUNCTION("""COMPUTED_VALUE"""),"Máy ủi KOMATSU D31")</f>
        <v>Máy ủi KOMATSU D31</v>
      </c>
      <c r="C2397" s="1076" t="str">
        <f>IFERROR(__xludf.DUMMYFUNCTION("""COMPUTED_VALUE"""),"B.ĐTXD AD")</f>
        <v>B.ĐTXD AD</v>
      </c>
      <c r="D2397" s="1076" t="str">
        <f>IFERROR(__xludf.DUMMYFUNCTION("""COMPUTED_VALUE"""),"KOMATSU")</f>
        <v>KOMATSU</v>
      </c>
      <c r="E2397" s="1076"/>
      <c r="F2397" s="1076">
        <f>IFERROR(__xludf.DUMMYFUNCTION("""COMPUTED_VALUE"""),1997)</f>
        <v>1997</v>
      </c>
      <c r="G2397" s="1076" t="str">
        <f>IFERROR(__xludf.DUMMYFUNCTION("""COMPUTED_VALUE"""),"D31")</f>
        <v>D31</v>
      </c>
      <c r="H2397" s="1076"/>
      <c r="I2397" s="1076" t="str">
        <f>IFERROR(__xludf.DUMMYFUNCTION("""COMPUTED_VALUE"""),"D31S18-40205")</f>
        <v>D31S18-40205</v>
      </c>
      <c r="J2397" s="1076" t="str">
        <f>IFERROR(__xludf.DUMMYFUNCTION("""COMPUTED_VALUE"""),"6D952-455518")</f>
        <v>6D952-455518</v>
      </c>
      <c r="K2397" s="1076"/>
      <c r="L2397" s="1076"/>
    </row>
    <row r="2398" customHeight="1" spans="1:12">
      <c r="A2398" s="1076" t="str">
        <f>IFERROR(__xludf.DUMMYFUNCTION("""COMPUTED_VALUE"""),"TNA-MUI-002")</f>
        <v>TNA-MUI-002</v>
      </c>
      <c r="B2398" s="1075" t="str">
        <f>IFERROR(__xludf.DUMMYFUNCTION("""COMPUTED_VALUE"""),"Máy ủi CAT D5")</f>
        <v>Máy ủi CAT D5</v>
      </c>
      <c r="C2398" s="1076" t="str">
        <f>IFERROR(__xludf.DUMMYFUNCTION("""COMPUTED_VALUE"""),"B.ĐTXD AD")</f>
        <v>B.ĐTXD AD</v>
      </c>
      <c r="D2398" s="1076" t="str">
        <f>IFERROR(__xludf.DUMMYFUNCTION("""COMPUTED_VALUE"""),"CAT")</f>
        <v>CAT</v>
      </c>
      <c r="E2398" s="1076"/>
      <c r="F2398" s="1076">
        <f>IFERROR(__xludf.DUMMYFUNCTION("""COMPUTED_VALUE"""),1980)</f>
        <v>1980</v>
      </c>
      <c r="G2398" s="1076" t="str">
        <f>IFERROR(__xludf.DUMMYFUNCTION("""COMPUTED_VALUE"""),"D5")</f>
        <v>D5</v>
      </c>
      <c r="H2398" s="1076"/>
      <c r="I2398" s="1076" t="str">
        <f>IFERROR(__xludf.DUMMYFUNCTION("""COMPUTED_VALUE"""),"68J441")</f>
        <v>68J441</v>
      </c>
      <c r="J2398" s="1076" t="str">
        <f>IFERROR(__xludf.DUMMYFUNCTION("""COMPUTED_VALUE"""),"LN330644")</f>
        <v>LN330644</v>
      </c>
      <c r="K2398" s="1076"/>
      <c r="L2398" s="1076"/>
    </row>
    <row r="2399" customHeight="1" spans="1:12">
      <c r="A2399" s="1076" t="str">
        <f>IFERROR(__xludf.DUMMYFUNCTION("""COMPUTED_VALUE"""),"TNA-MUI-003")</f>
        <v>TNA-MUI-003</v>
      </c>
      <c r="B2399" s="1075" t="str">
        <f>IFERROR(__xludf.DUMMYFUNCTION("""COMPUTED_VALUE"""),"Máy ủi KOMATSU D31")</f>
        <v>Máy ủi KOMATSU D31</v>
      </c>
      <c r="C2399" s="1076" t="str">
        <f>IFERROR(__xludf.DUMMYFUNCTION("""COMPUTED_VALUE"""),"B.ĐTXD AD")</f>
        <v>B.ĐTXD AD</v>
      </c>
      <c r="D2399" s="1076" t="str">
        <f>IFERROR(__xludf.DUMMYFUNCTION("""COMPUTED_VALUE"""),"KOMATSU")</f>
        <v>KOMATSU</v>
      </c>
      <c r="E2399" s="1076" t="str">
        <f>IFERROR(__xludf.DUMMYFUNCTION("""COMPUTED_VALUE"""),"NHẬT BẢN")</f>
        <v>NHẬT BẢN</v>
      </c>
      <c r="F2399" s="1076"/>
      <c r="G2399" s="1076" t="str">
        <f>IFERROR(__xludf.DUMMYFUNCTION("""COMPUTED_VALUE"""),"D31P-8")</f>
        <v>D31P-8</v>
      </c>
      <c r="H2399" s="1076" t="str">
        <f>IFERROR(__xludf.DUMMYFUNCTION("""COMPUTED_VALUE"""),"52HP")</f>
        <v>52HP</v>
      </c>
      <c r="I2399" s="1076" t="str">
        <f>IFERROR(__xludf.DUMMYFUNCTION("""COMPUTED_VALUE"""),"44736")</f>
        <v>44736</v>
      </c>
      <c r="J2399" s="1076" t="str">
        <f>IFERROR(__xludf.DUMMYFUNCTION("""COMPUTED_VALUE"""),"32479")</f>
        <v>32479</v>
      </c>
      <c r="K2399" s="1076"/>
      <c r="L2399" s="1076"/>
    </row>
    <row r="2400" customHeight="1" spans="1:12">
      <c r="A2400" s="1076" t="str">
        <f>IFERROR(__xludf.DUMMYFUNCTION("""COMPUTED_VALUE"""),"TNA-MUI-004")</f>
        <v>TNA-MUI-004</v>
      </c>
      <c r="B2400" s="1075" t="str">
        <f>IFERROR(__xludf.DUMMYFUNCTION("""COMPUTED_VALUE"""),"Máy ủi D40P")</f>
        <v>Máy ủi D40P</v>
      </c>
      <c r="C2400" s="1076" t="str">
        <f>IFERROR(__xludf.DUMMYFUNCTION("""COMPUTED_VALUE"""),"B.ĐTXD AD")</f>
        <v>B.ĐTXD AD</v>
      </c>
      <c r="D2400" s="1076" t="str">
        <f>IFERROR(__xludf.DUMMYFUNCTION("""COMPUTED_VALUE"""),"KOMATSU")</f>
        <v>KOMATSU</v>
      </c>
      <c r="E2400" s="1076"/>
      <c r="F2400" s="1076">
        <f>IFERROR(__xludf.DUMMYFUNCTION("""COMPUTED_VALUE"""),1980)</f>
        <v>1980</v>
      </c>
      <c r="G2400" s="1076" t="str">
        <f>IFERROR(__xludf.DUMMYFUNCTION("""COMPUTED_VALUE"""),"D40P")</f>
        <v>D40P</v>
      </c>
      <c r="H2400" s="1076"/>
      <c r="I2400" s="1076" t="str">
        <f>IFERROR(__xludf.DUMMYFUNCTION("""COMPUTED_VALUE"""),"D40P-1-33202")</f>
        <v>D40P-1-33202</v>
      </c>
      <c r="J2400" s="1076" t="str">
        <f>IFERROR(__xludf.DUMMYFUNCTION("""COMPUTED_VALUE"""),"NIL")</f>
        <v>NIL</v>
      </c>
      <c r="K2400" s="1076">
        <f>IFERROR(__xludf.DUMMYFUNCTION("""COMPUTED_VALUE"""),12)</f>
        <v>12</v>
      </c>
      <c r="L2400" s="1076"/>
    </row>
    <row r="2401" customHeight="1" spans="1:12">
      <c r="A2401" s="1076" t="str">
        <f>IFERROR(__xludf.DUMMYFUNCTION("""COMPUTED_VALUE"""),"TNA-MUI-005")</f>
        <v>TNA-MUI-005</v>
      </c>
      <c r="B2401" s="1075" t="str">
        <f>IFERROR(__xludf.DUMMYFUNCTION("""COMPUTED_VALUE"""),"Máy ủi D31-P")</f>
        <v>Máy ủi D31-P</v>
      </c>
      <c r="C2401" s="1076" t="str">
        <f>IFERROR(__xludf.DUMMYFUNCTION("""COMPUTED_VALUE"""),"B.ĐTXD AD")</f>
        <v>B.ĐTXD AD</v>
      </c>
      <c r="D2401" s="1076" t="str">
        <f>IFERROR(__xludf.DUMMYFUNCTION("""COMPUTED_VALUE"""),"KOMATSU")</f>
        <v>KOMATSU</v>
      </c>
      <c r="E2401" s="1076"/>
      <c r="F2401" s="1076">
        <f>IFERROR(__xludf.DUMMYFUNCTION("""COMPUTED_VALUE"""),1995)</f>
        <v>1995</v>
      </c>
      <c r="G2401" s="1076" t="str">
        <f>IFERROR(__xludf.DUMMYFUNCTION("""COMPUTED_VALUE"""),"D31-P")</f>
        <v>D31-P</v>
      </c>
      <c r="H2401" s="1076"/>
      <c r="I2401" s="1076" t="str">
        <f>IFERROR(__xludf.DUMMYFUNCTION("""COMPUTED_VALUE"""),"40203")</f>
        <v>40203</v>
      </c>
      <c r="J2401" s="1076" t="str">
        <f>IFERROR(__xludf.DUMMYFUNCTION("""COMPUTED_VALUE"""),"32404")</f>
        <v>32404</v>
      </c>
      <c r="K2401" s="1076"/>
      <c r="L2401" s="1076"/>
    </row>
    <row r="2402" customHeight="1" spans="1:12">
      <c r="A2402" s="1076" t="str">
        <f>IFERROR(__xludf.DUMMYFUNCTION("""COMPUTED_VALUE"""),"TNA-MUI-006")</f>
        <v>TNA-MUI-006</v>
      </c>
      <c r="B2402" s="1075" t="str">
        <f>IFERROR(__xludf.DUMMYFUNCTION("""COMPUTED_VALUE"""),"Máy ủi D3")</f>
        <v>Máy ủi D3</v>
      </c>
      <c r="C2402" s="1076" t="str">
        <f>IFERROR(__xludf.DUMMYFUNCTION("""COMPUTED_VALUE"""),"B.ĐTXD AD")</f>
        <v>B.ĐTXD AD</v>
      </c>
      <c r="D2402" s="1076" t="str">
        <f>IFERROR(__xludf.DUMMYFUNCTION("""COMPUTED_VALUE"""),"CAT")</f>
        <v>CAT</v>
      </c>
      <c r="E2402" s="1076"/>
      <c r="F2402" s="1076">
        <f>IFERROR(__xludf.DUMMYFUNCTION("""COMPUTED_VALUE"""),1986)</f>
        <v>1986</v>
      </c>
      <c r="G2402" s="1076" t="str">
        <f>IFERROR(__xludf.DUMMYFUNCTION("""COMPUTED_VALUE"""),"D3")</f>
        <v>D3</v>
      </c>
      <c r="H2402" s="1076"/>
      <c r="I2402" s="1076" t="str">
        <f>IFERROR(__xludf.DUMMYFUNCTION("""COMPUTED_VALUE"""),"26N0940")</f>
        <v>26N0940</v>
      </c>
      <c r="J2402" s="1076" t="str">
        <f>IFERROR(__xludf.DUMMYFUNCTION("""COMPUTED_VALUE"""),"4SV17621")</f>
        <v>4SV17621</v>
      </c>
      <c r="K2402" s="1076">
        <f>IFERROR(__xludf.DUMMYFUNCTION("""COMPUTED_VALUE"""),7)</f>
        <v>7</v>
      </c>
      <c r="L2402" s="1076"/>
    </row>
    <row r="2403" customHeight="1" spans="1:12">
      <c r="A2403" s="1076" t="str">
        <f>IFERROR(__xludf.DUMMYFUNCTION("""COMPUTED_VALUE"""),"Xe lu")</f>
        <v>Xe lu</v>
      </c>
      <c r="B2403" s="1075" t="str">
        <f>IFERROR(__xludf.DUMMYFUNCTION("""COMPUTED_VALUE"""),"1")</f>
        <v>1</v>
      </c>
      <c r="C2403" s="1076"/>
      <c r="D2403" s="1076"/>
      <c r="E2403" s="1076"/>
      <c r="F2403" s="1076"/>
      <c r="G2403" s="1076"/>
      <c r="H2403" s="1076"/>
      <c r="I2403" s="1076"/>
      <c r="J2403" s="1076"/>
      <c r="K2403" s="1076"/>
      <c r="L2403" s="1076" t="str">
        <f>IFERROR(__xludf.DUMMYFUNCTION("""COMPUTED_VALUE"""),"0")</f>
        <v>0</v>
      </c>
    </row>
    <row r="2404" customHeight="1" spans="1:12">
      <c r="A2404" s="1076" t="str">
        <f>IFERROR(__xludf.DUMMYFUNCTION("""COMPUTED_VALUE"""),"TNA-XLU-001")</f>
        <v>TNA-XLU-001</v>
      </c>
      <c r="B2404" s="1075" t="str">
        <f>IFERROR(__xludf.DUMMYFUNCTION("""COMPUTED_VALUE"""),"Xe Lu 14 tấn")</f>
        <v>Xe Lu 14 tấn</v>
      </c>
      <c r="C2404" s="1076" t="str">
        <f>IFERROR(__xludf.DUMMYFUNCTION("""COMPUTED_VALUE"""),"B.ĐTXD AD")</f>
        <v>B.ĐTXD AD</v>
      </c>
      <c r="D2404" s="1076" t="str">
        <f>IFERROR(__xludf.DUMMYFUNCTION("""COMPUTED_VALUE"""),"KOMATSU")</f>
        <v>KOMATSU</v>
      </c>
      <c r="E2404" s="1076"/>
      <c r="F2404" s="1076">
        <f>IFERROR(__xludf.DUMMYFUNCTION("""COMPUTED_VALUE"""),2019)</f>
        <v>2019</v>
      </c>
      <c r="G2404" s="1076" t="str">
        <f>IFERROR(__xludf.DUMMYFUNCTION("""COMPUTED_VALUE"""),"HAMM31")</f>
        <v>HAMM31</v>
      </c>
      <c r="H2404" s="1076" t="str">
        <f>IFERROR(__xludf.DUMMYFUNCTION("""COMPUTED_VALUE"""),"130HP")</f>
        <v>130HP</v>
      </c>
      <c r="I2404" s="1076" t="str">
        <f>IFERROR(__xludf.DUMMYFUNCTION("""COMPUTED_VALUE"""),"WHB0H216 CJ0003734")</f>
        <v>WHB0H216 CJ0003734</v>
      </c>
      <c r="J2404" s="1076" t="str">
        <f>IFERROR(__xludf.DUMMYFUNCTION("""COMPUTED_VALUE"""),"81M84-84-70-77")</f>
        <v>81M84-84-70-77</v>
      </c>
      <c r="K2404" s="1076">
        <f>IFERROR(__xludf.DUMMYFUNCTION("""COMPUTED_VALUE"""),7.15)</f>
        <v>7.15</v>
      </c>
      <c r="L2404" s="1076" t="str">
        <f>IFERROR(__xludf.DUMMYFUNCTION("""COMPUTED_VALUE"""),"-")</f>
        <v>-</v>
      </c>
    </row>
    <row r="2405" customHeight="1" spans="1:12">
      <c r="A2405" s="1076" t="str">
        <f>IFERROR(__xludf.DUMMYFUNCTION("""COMPUTED_VALUE"""),"Xe ben")</f>
        <v>Xe ben</v>
      </c>
      <c r="B2405" s="1075" t="str">
        <f>IFERROR(__xludf.DUMMYFUNCTION("""COMPUTED_VALUE"""),"73")</f>
        <v>73</v>
      </c>
      <c r="C2405" s="1076"/>
      <c r="D2405" s="1076"/>
      <c r="E2405" s="1076"/>
      <c r="F2405" s="1076"/>
      <c r="G2405" s="1076"/>
      <c r="H2405" s="1076"/>
      <c r="I2405" s="1076"/>
      <c r="J2405" s="1076"/>
      <c r="K2405" s="1076"/>
      <c r="L2405" s="1076" t="str">
        <f>IFERROR(__xludf.DUMMYFUNCTION("""COMPUTED_VALUE"""),"8")</f>
        <v>8</v>
      </c>
    </row>
    <row r="2406" customHeight="1" spans="1:12">
      <c r="A2406" s="1076" t="str">
        <f>IFERROR(__xludf.DUMMYFUNCTION("""COMPUTED_VALUE"""),"TNA-XTA-001")</f>
        <v>TNA-XTA-001</v>
      </c>
      <c r="B2406" s="1075" t="str">
        <f>IFERROR(__xludf.DUMMYFUNCTION("""COMPUTED_VALUE"""),"Xe ben 15 tấn")</f>
        <v>Xe ben 15 tấn</v>
      </c>
      <c r="C2406" s="1076" t="str">
        <f>IFERROR(__xludf.DUMMYFUNCTION("""COMPUTED_VALUE"""),"B.ĐTXD AD")</f>
        <v>B.ĐTXD AD</v>
      </c>
      <c r="D2406" s="1076" t="str">
        <f>IFERROR(__xludf.DUMMYFUNCTION("""COMPUTED_VALUE"""),"HYUNDAI")</f>
        <v>HYUNDAI</v>
      </c>
      <c r="E2406" s="1076"/>
      <c r="F2406" s="1076">
        <f>IFERROR(__xludf.DUMMYFUNCTION("""COMPUTED_VALUE"""),1995)</f>
        <v>1995</v>
      </c>
      <c r="G2406" s="1076"/>
      <c r="H2406" s="1076" t="str">
        <f>IFERROR(__xludf.DUMMYFUNCTION("""COMPUTED_VALUE"""),"320HP")</f>
        <v>320HP</v>
      </c>
      <c r="I2406" s="1076" t="str">
        <f>IFERROR(__xludf.DUMMYFUNCTION("""COMPUTED_VALUE"""),"N/A")</f>
        <v>N/A</v>
      </c>
      <c r="J2406" s="1076" t="str">
        <f>IFERROR(__xludf.DUMMYFUNCTION("""COMPUTED_VALUE"""),"D8AYS133292")</f>
        <v>D8AYS133292</v>
      </c>
      <c r="K2406" s="1076"/>
      <c r="L2406" s="1076" t="str">
        <f>IFERROR(__xludf.DUMMYFUNCTION("""COMPUTED_VALUE"""),"-")</f>
        <v>-</v>
      </c>
    </row>
    <row r="2407" customHeight="1" spans="1:12">
      <c r="A2407" s="1076" t="str">
        <f>IFERROR(__xludf.DUMMYFUNCTION("""COMPUTED_VALUE"""),"TNA-XTA-002")</f>
        <v>TNA-XTA-002</v>
      </c>
      <c r="B2407" s="1075" t="str">
        <f>IFERROR(__xludf.DUMMYFUNCTION("""COMPUTED_VALUE"""),"Xe ben 15 tấn")</f>
        <v>Xe ben 15 tấn</v>
      </c>
      <c r="C2407" s="1076" t="str">
        <f>IFERROR(__xludf.DUMMYFUNCTION("""COMPUTED_VALUE"""),"B.ĐTXD AD")</f>
        <v>B.ĐTXD AD</v>
      </c>
      <c r="D2407" s="1076" t="str">
        <f>IFERROR(__xludf.DUMMYFUNCTION("""COMPUTED_VALUE"""),"HYUNDAI")</f>
        <v>HYUNDAI</v>
      </c>
      <c r="E2407" s="1076"/>
      <c r="F2407" s="1076">
        <f>IFERROR(__xludf.DUMMYFUNCTION("""COMPUTED_VALUE"""),1996)</f>
        <v>1996</v>
      </c>
      <c r="G2407" s="1076"/>
      <c r="H2407" s="1076" t="str">
        <f>IFERROR(__xludf.DUMMYFUNCTION("""COMPUTED_VALUE"""),"320HP")</f>
        <v>320HP</v>
      </c>
      <c r="I2407" s="1076" t="str">
        <f>IFERROR(__xludf.DUMMYFUNCTION("""COMPUTED_VALUE"""),"N/A")</f>
        <v>N/A</v>
      </c>
      <c r="J2407" s="1076" t="str">
        <f>IFERROR(__xludf.DUMMYFUNCTION("""COMPUTED_VALUE"""),"D8AYT000324")</f>
        <v>D8AYT000324</v>
      </c>
      <c r="K2407" s="1076"/>
      <c r="L2407" s="1076" t="str">
        <f>IFERROR(__xludf.DUMMYFUNCTION("""COMPUTED_VALUE"""),"-")</f>
        <v>-</v>
      </c>
    </row>
    <row r="2408" customHeight="1" spans="1:12">
      <c r="A2408" s="1076" t="str">
        <f>IFERROR(__xludf.DUMMYFUNCTION("""COMPUTED_VALUE"""),"TNA-XTA-003")</f>
        <v>TNA-XTA-003</v>
      </c>
      <c r="B2408" s="1075" t="str">
        <f>IFERROR(__xludf.DUMMYFUNCTION("""COMPUTED_VALUE"""),"Xe ben 15 tấn")</f>
        <v>Xe ben 15 tấn</v>
      </c>
      <c r="C2408" s="1076" t="str">
        <f>IFERROR(__xludf.DUMMYFUNCTION("""COMPUTED_VALUE"""),"B.ĐTXD AD")</f>
        <v>B.ĐTXD AD</v>
      </c>
      <c r="D2408" s="1076" t="str">
        <f>IFERROR(__xludf.DUMMYFUNCTION("""COMPUTED_VALUE"""),"DAEWOO")</f>
        <v>DAEWOO</v>
      </c>
      <c r="E2408" s="1076"/>
      <c r="F2408" s="1076">
        <f>IFERROR(__xludf.DUMMYFUNCTION("""COMPUTED_VALUE"""),2007)</f>
        <v>2007</v>
      </c>
      <c r="G2408" s="1076"/>
      <c r="H2408" s="1076" t="str">
        <f>IFERROR(__xludf.DUMMYFUNCTION("""COMPUTED_VALUE"""),"335HP")</f>
        <v>335HP</v>
      </c>
      <c r="I2408" s="1076" t="str">
        <f>IFERROR(__xludf.DUMMYFUNCTION("""COMPUTED_VALUE"""),"N/A")</f>
        <v>N/A</v>
      </c>
      <c r="J2408" s="1076" t="str">
        <f>IFERROR(__xludf.DUMMYFUNCTION("""COMPUTED_VALUE"""),"KL3N8ENF 17K000670")</f>
        <v>KL3N8ENF 17K000670</v>
      </c>
      <c r="K2408" s="1076"/>
      <c r="L2408" s="1076" t="str">
        <f>IFERROR(__xludf.DUMMYFUNCTION("""COMPUTED_VALUE"""),"-")</f>
        <v>-</v>
      </c>
    </row>
    <row r="2409" customHeight="1" spans="1:12">
      <c r="A2409" s="1076" t="str">
        <f>IFERROR(__xludf.DUMMYFUNCTION("""COMPUTED_VALUE"""),"TNA-XTA-004")</f>
        <v>TNA-XTA-004</v>
      </c>
      <c r="B2409" s="1075" t="str">
        <f>IFERROR(__xludf.DUMMYFUNCTION("""COMPUTED_VALUE"""),"Xe ben 15 tấn")</f>
        <v>Xe ben 15 tấn</v>
      </c>
      <c r="C2409" s="1076" t="str">
        <f>IFERROR(__xludf.DUMMYFUNCTION("""COMPUTED_VALUE"""),"B.ĐTXD AD")</f>
        <v>B.ĐTXD AD</v>
      </c>
      <c r="D2409" s="1076" t="str">
        <f>IFERROR(__xludf.DUMMYFUNCTION("""COMPUTED_VALUE"""),"SCANIA")</f>
        <v>SCANIA</v>
      </c>
      <c r="E2409" s="1076"/>
      <c r="F2409" s="1076">
        <f>IFERROR(__xludf.DUMMYFUNCTION("""COMPUTED_VALUE"""),2003)</f>
        <v>2003</v>
      </c>
      <c r="G2409" s="1076"/>
      <c r="H2409" s="1076" t="str">
        <f>IFERROR(__xludf.DUMMYFUNCTION("""COMPUTED_VALUE"""),"340HP")</f>
        <v>340HP</v>
      </c>
      <c r="I2409" s="1076" t="str">
        <f>IFERROR(__xludf.DUMMYFUNCTION("""COMPUTED_VALUE"""),"9BSP8X40033541459")</f>
        <v>9BSP8X40033541459</v>
      </c>
      <c r="J2409" s="1076" t="str">
        <f>IFERROR(__xludf.DUMMYFUNCTION("""COMPUTED_VALUE"""),"DC1104L018021777")</f>
        <v>DC1104L018021777</v>
      </c>
      <c r="K2409" s="1076"/>
      <c r="L2409" s="1076" t="str">
        <f>IFERROR(__xludf.DUMMYFUNCTION("""COMPUTED_VALUE"""),"-")</f>
        <v>-</v>
      </c>
    </row>
    <row r="2410" customHeight="1" spans="1:12">
      <c r="A2410" s="1076" t="str">
        <f>IFERROR(__xludf.DUMMYFUNCTION("""COMPUTED_VALUE"""),"TNA-XTA-005")</f>
        <v>TNA-XTA-005</v>
      </c>
      <c r="B2410" s="1075" t="str">
        <f>IFERROR(__xludf.DUMMYFUNCTION("""COMPUTED_VALUE"""),"Xe ben 15 tấn")</f>
        <v>Xe ben 15 tấn</v>
      </c>
      <c r="C2410" s="1076" t="str">
        <f>IFERROR(__xludf.DUMMYFUNCTION("""COMPUTED_VALUE"""),"B.ĐTXD AD")</f>
        <v>B.ĐTXD AD</v>
      </c>
      <c r="D2410" s="1076" t="str">
        <f>IFERROR(__xludf.DUMMYFUNCTION("""COMPUTED_VALUE"""),"ASIAGBANTO")</f>
        <v>ASIAGBANTO</v>
      </c>
      <c r="E2410" s="1076"/>
      <c r="F2410" s="1076">
        <f>IFERROR(__xludf.DUMMYFUNCTION("""COMPUTED_VALUE"""),1995)</f>
        <v>1995</v>
      </c>
      <c r="G2410" s="1076"/>
      <c r="H2410" s="1076" t="str">
        <f>IFERROR(__xludf.DUMMYFUNCTION("""COMPUTED_VALUE"""),"320HP")</f>
        <v>320HP</v>
      </c>
      <c r="I2410" s="1076" t="str">
        <f>IFERROR(__xludf.DUMMYFUNCTION("""COMPUTED_VALUE"""),"N/A")</f>
        <v>N/A</v>
      </c>
      <c r="J2410" s="1076" t="str">
        <f>IFERROR(__xludf.DUMMYFUNCTION("""COMPUTED_VALUE"""),"EE750005700")</f>
        <v>EE750005700</v>
      </c>
      <c r="K2410" s="1076"/>
      <c r="L2410" s="1076" t="str">
        <f>IFERROR(__xludf.DUMMYFUNCTION("""COMPUTED_VALUE"""),"-")</f>
        <v>-</v>
      </c>
    </row>
    <row r="2411" customHeight="1" spans="1:12">
      <c r="A2411" s="1076" t="str">
        <f>IFERROR(__xludf.DUMMYFUNCTION("""COMPUTED_VALUE"""),"TNA-XTA-006")</f>
        <v>TNA-XTA-006</v>
      </c>
      <c r="B2411" s="1075" t="str">
        <f>IFERROR(__xludf.DUMMYFUNCTION("""COMPUTED_VALUE"""),"Xe ben 15 tấn")</f>
        <v>Xe ben 15 tấn</v>
      </c>
      <c r="C2411" s="1076" t="str">
        <f>IFERROR(__xludf.DUMMYFUNCTION("""COMPUTED_VALUE"""),"B.ĐTXD AD")</f>
        <v>B.ĐTXD AD</v>
      </c>
      <c r="D2411" s="1076" t="str">
        <f>IFERROR(__xludf.DUMMYFUNCTION("""COMPUTED_VALUE"""),"HYUNDAI")</f>
        <v>HYUNDAI</v>
      </c>
      <c r="E2411" s="1076"/>
      <c r="F2411" s="1076">
        <f>IFERROR(__xludf.DUMMYFUNCTION("""COMPUTED_VALUE"""),1995)</f>
        <v>1995</v>
      </c>
      <c r="G2411" s="1076"/>
      <c r="H2411" s="1076" t="str">
        <f>IFERROR(__xludf.DUMMYFUNCTION("""COMPUTED_VALUE"""),"320HP")</f>
        <v>320HP</v>
      </c>
      <c r="I2411" s="1076" t="str">
        <f>IFERROR(__xludf.DUMMYFUNCTION("""COMPUTED_VALUE"""),"N/A")</f>
        <v>N/A</v>
      </c>
      <c r="J2411" s="1076" t="str">
        <f>IFERROR(__xludf.DUMMYFUNCTION("""COMPUTED_VALUE"""),"D8AVS138219")</f>
        <v>D8AVS138219</v>
      </c>
      <c r="K2411" s="1076"/>
      <c r="L2411" s="1076" t="str">
        <f>IFERROR(__xludf.DUMMYFUNCTION("""COMPUTED_VALUE"""),"-")</f>
        <v>-</v>
      </c>
    </row>
    <row r="2412" customHeight="1" spans="1:12">
      <c r="A2412" s="1076" t="str">
        <f>IFERROR(__xludf.DUMMYFUNCTION("""COMPUTED_VALUE"""),"TNA-XTA-007")</f>
        <v>TNA-XTA-007</v>
      </c>
      <c r="B2412" s="1075" t="str">
        <f>IFERROR(__xludf.DUMMYFUNCTION("""COMPUTED_VALUE"""),"Xe ben 25 tấn")</f>
        <v>Xe ben 25 tấn</v>
      </c>
      <c r="C2412" s="1076" t="str">
        <f>IFERROR(__xludf.DUMMYFUNCTION("""COMPUTED_VALUE"""),"B.ĐTXD AD")</f>
        <v>B.ĐTXD AD</v>
      </c>
      <c r="D2412" s="1076" t="str">
        <f>IFERROR(__xludf.DUMMYFUNCTION("""COMPUTED_VALUE"""),"HYUNDAI")</f>
        <v>HYUNDAI</v>
      </c>
      <c r="E2412" s="1076"/>
      <c r="F2412" s="1076">
        <f>IFERROR(__xludf.DUMMYFUNCTION("""COMPUTED_VALUE"""),2008)</f>
        <v>2008</v>
      </c>
      <c r="G2412" s="1076"/>
      <c r="H2412" s="1076" t="str">
        <f>IFERROR(__xludf.DUMMYFUNCTION("""COMPUTED_VALUE"""),"320HP")</f>
        <v>320HP</v>
      </c>
      <c r="I2412" s="1076" t="str">
        <f>IFERROR(__xludf.DUMMYFUNCTION("""COMPUTED_VALUE"""),"N/A")</f>
        <v>N/A</v>
      </c>
      <c r="J2412" s="1076" t="str">
        <f>IFERROR(__xludf.DUMMYFUNCTION("""COMPUTED_VALUE"""),"D6CC8159236")</f>
        <v>D6CC8159236</v>
      </c>
      <c r="K2412" s="1076"/>
      <c r="L2412" s="1076" t="str">
        <f>IFERROR(__xludf.DUMMYFUNCTION("""COMPUTED_VALUE"""),"-")</f>
        <v>-</v>
      </c>
    </row>
    <row r="2413" customHeight="1" spans="1:12">
      <c r="A2413" s="1076" t="str">
        <f>IFERROR(__xludf.DUMMYFUNCTION("""COMPUTED_VALUE"""),"TNA-XTA-008")</f>
        <v>TNA-XTA-008</v>
      </c>
      <c r="B2413" s="1075" t="str">
        <f>IFERROR(__xludf.DUMMYFUNCTION("""COMPUTED_VALUE"""),"Xe ben 25 tấn")</f>
        <v>Xe ben 25 tấn</v>
      </c>
      <c r="C2413" s="1076" t="str">
        <f>IFERROR(__xludf.DUMMYFUNCTION("""COMPUTED_VALUE"""),"B.ĐTXD AD")</f>
        <v>B.ĐTXD AD</v>
      </c>
      <c r="D2413" s="1076" t="str">
        <f>IFERROR(__xludf.DUMMYFUNCTION("""COMPUTED_VALUE"""),"HYUNDAI")</f>
        <v>HYUNDAI</v>
      </c>
      <c r="E2413" s="1076"/>
      <c r="F2413" s="1076">
        <f>IFERROR(__xludf.DUMMYFUNCTION("""COMPUTED_VALUE"""),2007)</f>
        <v>2007</v>
      </c>
      <c r="G2413" s="1076"/>
      <c r="H2413" s="1076" t="str">
        <f>IFERROR(__xludf.DUMMYFUNCTION("""COMPUTED_VALUE"""),"320HP")</f>
        <v>320HP</v>
      </c>
      <c r="I2413" s="1076" t="str">
        <f>IFERROR(__xludf.DUMMYFUNCTION("""COMPUTED_VALUE"""),"N/A")</f>
        <v>N/A</v>
      </c>
      <c r="J2413" s="1076" t="str">
        <f>IFERROR(__xludf.DUMMYFUNCTION("""COMPUTED_VALUE"""),"D6CB7142467")</f>
        <v>D6CB7142467</v>
      </c>
      <c r="K2413" s="1076"/>
      <c r="L2413" s="1076" t="str">
        <f>IFERROR(__xludf.DUMMYFUNCTION("""COMPUTED_VALUE"""),"-")</f>
        <v>-</v>
      </c>
    </row>
    <row r="2414" customHeight="1" spans="1:12">
      <c r="A2414" s="1076" t="str">
        <f>IFERROR(__xludf.DUMMYFUNCTION("""COMPUTED_VALUE"""),"TNA-XTA-009")</f>
        <v>TNA-XTA-009</v>
      </c>
      <c r="B2414" s="1075" t="str">
        <f>IFERROR(__xludf.DUMMYFUNCTION("""COMPUTED_VALUE"""),"Xe ben 05 tấn")</f>
        <v>Xe ben 05 tấn</v>
      </c>
      <c r="C2414" s="1076" t="str">
        <f>IFERROR(__xludf.DUMMYFUNCTION("""COMPUTED_VALUE"""),"B.ĐTXD AD")</f>
        <v>B.ĐTXD AD</v>
      </c>
      <c r="D2414" s="1076" t="str">
        <f>IFERROR(__xludf.DUMMYFUNCTION("""COMPUTED_VALUE"""),"HYUNDAI")</f>
        <v>HYUNDAI</v>
      </c>
      <c r="E2414" s="1076"/>
      <c r="F2414" s="1076">
        <f>IFERROR(__xludf.DUMMYFUNCTION("""COMPUTED_VALUE"""),2004)</f>
        <v>2004</v>
      </c>
      <c r="G2414" s="1076"/>
      <c r="H2414" s="1076" t="str">
        <f>IFERROR(__xludf.DUMMYFUNCTION("""COMPUTED_VALUE"""),"130HP")</f>
        <v>130HP</v>
      </c>
      <c r="I2414" s="1076" t="str">
        <f>IFERROR(__xludf.DUMMYFUNCTION("""COMPUTED_VALUE"""),"KMFLA19AP4C045174")</f>
        <v>KMFLA19AP4C045174</v>
      </c>
      <c r="J2414" s="1076" t="str">
        <f>IFERROR(__xludf.DUMMYFUNCTION("""COMPUTED_VALUE"""),"D6BRV011808")</f>
        <v>D6BRV011808</v>
      </c>
      <c r="K2414" s="1076"/>
      <c r="L2414" s="1076" t="str">
        <f>IFERROR(__xludf.DUMMYFUNCTION("""COMPUTED_VALUE"""),"-")</f>
        <v>-</v>
      </c>
    </row>
    <row r="2415" customHeight="1" spans="1:12">
      <c r="A2415" s="1076" t="str">
        <f>IFERROR(__xludf.DUMMYFUNCTION("""COMPUTED_VALUE"""),"TNA-XTA-010")</f>
        <v>TNA-XTA-010</v>
      </c>
      <c r="B2415" s="1075" t="str">
        <f>IFERROR(__xludf.DUMMYFUNCTION("""COMPUTED_VALUE"""),"Xe ben 05 tấn")</f>
        <v>Xe ben 05 tấn</v>
      </c>
      <c r="C2415" s="1076" t="str">
        <f>IFERROR(__xludf.DUMMYFUNCTION("""COMPUTED_VALUE"""),"B.ĐTXD AD")</f>
        <v>B.ĐTXD AD</v>
      </c>
      <c r="D2415" s="1076" t="str">
        <f>IFERROR(__xludf.DUMMYFUNCTION("""COMPUTED_VALUE"""),"HYUNDAI ")</f>
        <v>HYUNDAI </v>
      </c>
      <c r="E2415" s="1076"/>
      <c r="F2415" s="1076">
        <f>IFERROR(__xludf.DUMMYFUNCTION("""COMPUTED_VALUE"""),2000)</f>
        <v>2000</v>
      </c>
      <c r="G2415" s="1076"/>
      <c r="H2415" s="1076" t="str">
        <f>IFERROR(__xludf.DUMMYFUNCTION("""COMPUTED_VALUE"""),"130HP")</f>
        <v>130HP</v>
      </c>
      <c r="I2415" s="1076" t="str">
        <f>IFERROR(__xludf.DUMMYFUNCTION("""COMPUTED_VALUE"""),"N/A")</f>
        <v>N/A</v>
      </c>
      <c r="J2415" s="1076" t="str">
        <f>IFERROR(__xludf.DUMMYFUNCTION("""COMPUTED_VALUE"""),"DG8RV012993")</f>
        <v>DG8RV012993</v>
      </c>
      <c r="K2415" s="1076"/>
      <c r="L2415" s="1076" t="str">
        <f>IFERROR(__xludf.DUMMYFUNCTION("""COMPUTED_VALUE"""),"-")</f>
        <v>-</v>
      </c>
    </row>
    <row r="2416" customHeight="1" spans="1:12">
      <c r="A2416" s="1076" t="str">
        <f>IFERROR(__xludf.DUMMYFUNCTION("""COMPUTED_VALUE"""),"TNA-XTA-012")</f>
        <v>TNA-XTA-012</v>
      </c>
      <c r="B2416" s="1075" t="str">
        <f>IFERROR(__xludf.DUMMYFUNCTION("""COMPUTED_VALUE"""),"Xe ben 05 tấn")</f>
        <v>Xe ben 05 tấn</v>
      </c>
      <c r="C2416" s="1076" t="str">
        <f>IFERROR(__xludf.DUMMYFUNCTION("""COMPUTED_VALUE"""),"B.ĐTXD AD")</f>
        <v>B.ĐTXD AD</v>
      </c>
      <c r="D2416" s="1076" t="str">
        <f>IFERROR(__xludf.DUMMYFUNCTION("""COMPUTED_VALUE"""),"HYUNDAI ")</f>
        <v>HYUNDAI </v>
      </c>
      <c r="E2416" s="1076"/>
      <c r="F2416" s="1076">
        <f>IFERROR(__xludf.DUMMYFUNCTION("""COMPUTED_VALUE"""),2000)</f>
        <v>2000</v>
      </c>
      <c r="G2416" s="1076"/>
      <c r="H2416" s="1076" t="str">
        <f>IFERROR(__xludf.DUMMYFUNCTION("""COMPUTED_VALUE"""),"130HP")</f>
        <v>130HP</v>
      </c>
      <c r="I2416" s="1076" t="str">
        <f>IFERROR(__xludf.DUMMYFUNCTION("""COMPUTED_VALUE"""),"N/A")</f>
        <v>N/A</v>
      </c>
      <c r="J2416" s="1076" t="str">
        <f>IFERROR(__xludf.DUMMYFUNCTION("""COMPUTED_VALUE"""),"D6BRY030962")</f>
        <v>D6BRY030962</v>
      </c>
      <c r="K2416" s="1076"/>
      <c r="L2416" s="1076" t="str">
        <f>IFERROR(__xludf.DUMMYFUNCTION("""COMPUTED_VALUE"""),"-")</f>
        <v>-</v>
      </c>
    </row>
    <row r="2417" customHeight="1" spans="1:12">
      <c r="A2417" s="1076" t="str">
        <f>IFERROR(__xludf.DUMMYFUNCTION("""COMPUTED_VALUE"""),"TNA-XTA-011")</f>
        <v>TNA-XTA-011</v>
      </c>
      <c r="B2417" s="1075" t="str">
        <f>IFERROR(__xludf.DUMMYFUNCTION("""COMPUTED_VALUE"""),"Xe ben 05 tấn")</f>
        <v>Xe ben 05 tấn</v>
      </c>
      <c r="C2417" s="1076" t="str">
        <f>IFERROR(__xludf.DUMMYFUNCTION("""COMPUTED_VALUE"""),"B.ĐTXD AD")</f>
        <v>B.ĐTXD AD</v>
      </c>
      <c r="D2417" s="1076" t="str">
        <f>IFERROR(__xludf.DUMMYFUNCTION("""COMPUTED_VALUE"""),"HYUNDAI")</f>
        <v>HYUNDAI</v>
      </c>
      <c r="E2417" s="1076"/>
      <c r="F2417" s="1076">
        <f>IFERROR(__xludf.DUMMYFUNCTION("""COMPUTED_VALUE"""),1998)</f>
        <v>1998</v>
      </c>
      <c r="G2417" s="1076"/>
      <c r="H2417" s="1076" t="str">
        <f>IFERROR(__xludf.DUMMYFUNCTION("""COMPUTED_VALUE"""),"130HP")</f>
        <v>130HP</v>
      </c>
      <c r="I2417" s="1076" t="str">
        <f>IFERROR(__xludf.DUMMYFUNCTION("""COMPUTED_VALUE"""),"HYUNDAI (3A-8592)")</f>
        <v>HYUNDAI (3A-8592)</v>
      </c>
      <c r="J2417" s="1076" t="str">
        <f>IFERROR(__xludf.DUMMYFUNCTION("""COMPUTED_VALUE"""),"D6BRL045676")</f>
        <v>D6BRL045676</v>
      </c>
      <c r="K2417" s="1076"/>
      <c r="L2417" s="1076" t="str">
        <f>IFERROR(__xludf.DUMMYFUNCTION("""COMPUTED_VALUE"""),"-")</f>
        <v>-</v>
      </c>
    </row>
    <row r="2418" customHeight="1" spans="1:12">
      <c r="A2418" s="1076" t="str">
        <f>IFERROR(__xludf.DUMMYFUNCTION("""COMPUTED_VALUE"""),"TNA-XTA-013")</f>
        <v>TNA-XTA-013</v>
      </c>
      <c r="B2418" s="1075" t="str">
        <f>IFERROR(__xludf.DUMMYFUNCTION("""COMPUTED_VALUE"""),"Xe ben 05 tấn")</f>
        <v>Xe ben 05 tấn</v>
      </c>
      <c r="C2418" s="1076" t="str">
        <f>IFERROR(__xludf.DUMMYFUNCTION("""COMPUTED_VALUE"""),"B.ĐTXD AD")</f>
        <v>B.ĐTXD AD</v>
      </c>
      <c r="D2418" s="1076" t="str">
        <f>IFERROR(__xludf.DUMMYFUNCTION("""COMPUTED_VALUE"""),"HYUNDAI")</f>
        <v>HYUNDAI</v>
      </c>
      <c r="E2418" s="1076"/>
      <c r="F2418" s="1076">
        <f>IFERROR(__xludf.DUMMYFUNCTION("""COMPUTED_VALUE"""),1997)</f>
        <v>1997</v>
      </c>
      <c r="G2418" s="1076"/>
      <c r="H2418" s="1076" t="str">
        <f>IFERROR(__xludf.DUMMYFUNCTION("""COMPUTED_VALUE"""),"130HP")</f>
        <v>130HP</v>
      </c>
      <c r="I2418" s="1076" t="str">
        <f>IFERROR(__xludf.DUMMYFUNCTION("""COMPUTED_VALUE"""),"KMFLA19JP VC102473")</f>
        <v>KMFLA19JP VC102473</v>
      </c>
      <c r="J2418" s="1076" t="str">
        <f>IFERROR(__xludf.DUMMYFUNCTION("""COMPUTED_VALUE"""),"7545CC")</f>
        <v>7545CC</v>
      </c>
      <c r="K2418" s="1076"/>
      <c r="L2418" s="1076" t="str">
        <f>IFERROR(__xludf.DUMMYFUNCTION("""COMPUTED_VALUE"""),"-")</f>
        <v>-</v>
      </c>
    </row>
    <row r="2419" customHeight="1" spans="1:12">
      <c r="A2419" s="1076" t="str">
        <f>IFERROR(__xludf.DUMMYFUNCTION("""COMPUTED_VALUE"""),"TNA-XTA-014")</f>
        <v>TNA-XTA-014</v>
      </c>
      <c r="B2419" s="1075" t="str">
        <f>IFERROR(__xludf.DUMMYFUNCTION("""COMPUTED_VALUE"""),"Xe ben 05 tấn")</f>
        <v>Xe ben 05 tấn</v>
      </c>
      <c r="C2419" s="1076" t="str">
        <f>IFERROR(__xludf.DUMMYFUNCTION("""COMPUTED_VALUE"""),"B.ĐTXD AD")</f>
        <v>B.ĐTXD AD</v>
      </c>
      <c r="D2419" s="1076" t="str">
        <f>IFERROR(__xludf.DUMMYFUNCTION("""COMPUTED_VALUE"""),"HYUNDAI")</f>
        <v>HYUNDAI</v>
      </c>
      <c r="E2419" s="1076"/>
      <c r="F2419" s="1076">
        <f>IFERROR(__xludf.DUMMYFUNCTION("""COMPUTED_VALUE"""),1997)</f>
        <v>1997</v>
      </c>
      <c r="G2419" s="1076"/>
      <c r="H2419" s="1076" t="str">
        <f>IFERROR(__xludf.DUMMYFUNCTION("""COMPUTED_VALUE"""),"130HP")</f>
        <v>130HP</v>
      </c>
      <c r="I2419" s="1076" t="str">
        <f>IFERROR(__xludf.DUMMYFUNCTION("""COMPUTED_VALUE"""),"N/A")</f>
        <v>N/A</v>
      </c>
      <c r="J2419" s="1076" t="str">
        <f>IFERROR(__xludf.DUMMYFUNCTION("""COMPUTED_VALUE"""),"D6BRV011805")</f>
        <v>D6BRV011805</v>
      </c>
      <c r="K2419" s="1076"/>
      <c r="L2419" s="1076" t="str">
        <f>IFERROR(__xludf.DUMMYFUNCTION("""COMPUTED_VALUE"""),"-")</f>
        <v>-</v>
      </c>
    </row>
    <row r="2420" customHeight="1" spans="1:12">
      <c r="A2420" s="1076" t="str">
        <f>IFERROR(__xludf.DUMMYFUNCTION("""COMPUTED_VALUE"""),"TNA-XTA-015")</f>
        <v>TNA-XTA-015</v>
      </c>
      <c r="B2420" s="1075" t="str">
        <f>IFERROR(__xludf.DUMMYFUNCTION("""COMPUTED_VALUE"""),"Xe ben 05 tấn")</f>
        <v>Xe ben 05 tấn</v>
      </c>
      <c r="C2420" s="1076" t="str">
        <f>IFERROR(__xludf.DUMMYFUNCTION("""COMPUTED_VALUE"""),"B.ĐTXD AD")</f>
        <v>B.ĐTXD AD</v>
      </c>
      <c r="D2420" s="1076" t="str">
        <f>IFERROR(__xludf.DUMMYFUNCTION("""COMPUTED_VALUE"""),"HYUNDAI ")</f>
        <v>HYUNDAI </v>
      </c>
      <c r="E2420" s="1076"/>
      <c r="F2420" s="1076">
        <f>IFERROR(__xludf.DUMMYFUNCTION("""COMPUTED_VALUE"""),1997)</f>
        <v>1997</v>
      </c>
      <c r="G2420" s="1076"/>
      <c r="H2420" s="1076" t="str">
        <f>IFERROR(__xludf.DUMMYFUNCTION("""COMPUTED_VALUE"""),"130HP")</f>
        <v>130HP</v>
      </c>
      <c r="I2420" s="1076" t="str">
        <f>IFERROR(__xludf.DUMMYFUNCTION("""COMPUTED_VALUE"""),"KMFLA19RP VC103783")</f>
        <v>KMFLA19RP VC103783</v>
      </c>
      <c r="J2420" s="1076" t="str">
        <f>IFERROR(__xludf.DUMMYFUNCTION("""COMPUTED_VALUE"""),"D6BRV011807")</f>
        <v>D6BRV011807</v>
      </c>
      <c r="K2420" s="1076"/>
      <c r="L2420" s="1076" t="str">
        <f>IFERROR(__xludf.DUMMYFUNCTION("""COMPUTED_VALUE"""),"-")</f>
        <v>-</v>
      </c>
    </row>
    <row r="2421" customHeight="1" spans="1:12">
      <c r="A2421" s="1076" t="str">
        <f>IFERROR(__xludf.DUMMYFUNCTION("""COMPUTED_VALUE"""),"TNA-XTA-016")</f>
        <v>TNA-XTA-016</v>
      </c>
      <c r="B2421" s="1075" t="str">
        <f>IFERROR(__xludf.DUMMYFUNCTION("""COMPUTED_VALUE"""),"Xe ben 05 tấn")</f>
        <v>Xe ben 05 tấn</v>
      </c>
      <c r="C2421" s="1076" t="str">
        <f>IFERROR(__xludf.DUMMYFUNCTION("""COMPUTED_VALUE"""),"B.ĐTXD AD")</f>
        <v>B.ĐTXD AD</v>
      </c>
      <c r="D2421" s="1076" t="str">
        <f>IFERROR(__xludf.DUMMYFUNCTION("""COMPUTED_VALUE"""),"HYUNDAI ")</f>
        <v>HYUNDAI </v>
      </c>
      <c r="E2421" s="1076"/>
      <c r="F2421" s="1076">
        <f>IFERROR(__xludf.DUMMYFUNCTION("""COMPUTED_VALUE"""),1995)</f>
        <v>1995</v>
      </c>
      <c r="G2421" s="1076"/>
      <c r="H2421" s="1076" t="str">
        <f>IFERROR(__xludf.DUMMYFUNCTION("""COMPUTED_VALUE"""),"130HP")</f>
        <v>130HP</v>
      </c>
      <c r="I2421" s="1076" t="str">
        <f>IFERROR(__xludf.DUMMYFUNCTION("""COMPUTED_VALUE"""),"N/A")</f>
        <v>N/A</v>
      </c>
      <c r="J2421" s="1076" t="str">
        <f>IFERROR(__xludf.DUMMYFUNCTION("""COMPUTED_VALUE"""),"D195")</f>
        <v>D195</v>
      </c>
      <c r="K2421" s="1076"/>
      <c r="L2421" s="1076" t="str">
        <f>IFERROR(__xludf.DUMMYFUNCTION("""COMPUTED_VALUE"""),"-")</f>
        <v>-</v>
      </c>
    </row>
    <row r="2422" customHeight="1" spans="1:12">
      <c r="A2422" s="1076" t="str">
        <f>IFERROR(__xludf.DUMMYFUNCTION("""COMPUTED_VALUE"""),"TNA-XTA-017")</f>
        <v>TNA-XTA-017</v>
      </c>
      <c r="B2422" s="1075" t="str">
        <f>IFERROR(__xludf.DUMMYFUNCTION("""COMPUTED_VALUE"""),"Xe ben 05 tấn")</f>
        <v>Xe ben 05 tấn</v>
      </c>
      <c r="C2422" s="1076" t="str">
        <f>IFERROR(__xludf.DUMMYFUNCTION("""COMPUTED_VALUE"""),"B.ĐTXD AD")</f>
        <v>B.ĐTXD AD</v>
      </c>
      <c r="D2422" s="1076" t="str">
        <f>IFERROR(__xludf.DUMMYFUNCTION("""COMPUTED_VALUE"""),"HYUNDAI ")</f>
        <v>HYUNDAI </v>
      </c>
      <c r="E2422" s="1076"/>
      <c r="F2422" s="1076">
        <f>IFERROR(__xludf.DUMMYFUNCTION("""COMPUTED_VALUE"""),1999)</f>
        <v>1999</v>
      </c>
      <c r="G2422" s="1076"/>
      <c r="H2422" s="1076" t="str">
        <f>IFERROR(__xludf.DUMMYFUNCTION("""COMPUTED_VALUE"""),"130HP")</f>
        <v>130HP</v>
      </c>
      <c r="I2422" s="1076" t="str">
        <f>IFERROR(__xludf.DUMMYFUNCTION("""COMPUTED_VALUE"""),"KMFLA19RPXC007554")</f>
        <v>KMFLA19RPXC007554</v>
      </c>
      <c r="J2422" s="1076" t="str">
        <f>IFERROR(__xludf.DUMMYFUNCTION("""COMPUTED_VALUE"""),"D6BRX025292")</f>
        <v>D6BRX025292</v>
      </c>
      <c r="K2422" s="1076"/>
      <c r="L2422" s="1076" t="str">
        <f>IFERROR(__xludf.DUMMYFUNCTION("""COMPUTED_VALUE"""),"-")</f>
        <v>-</v>
      </c>
    </row>
    <row r="2423" customHeight="1" spans="1:12">
      <c r="A2423" s="1076" t="str">
        <f>IFERROR(__xludf.DUMMYFUNCTION("""COMPUTED_VALUE"""),"TNA-XTA-018")</f>
        <v>TNA-XTA-018</v>
      </c>
      <c r="B2423" s="1075" t="str">
        <f>IFERROR(__xludf.DUMMYFUNCTION("""COMPUTED_VALUE"""),"Xe ben 05 tấn")</f>
        <v>Xe ben 05 tấn</v>
      </c>
      <c r="C2423" s="1076" t="str">
        <f>IFERROR(__xludf.DUMMYFUNCTION("""COMPUTED_VALUE"""),"B.ĐTXD AD")</f>
        <v>B.ĐTXD AD</v>
      </c>
      <c r="D2423" s="1076" t="str">
        <f>IFERROR(__xludf.DUMMYFUNCTION("""COMPUTED_VALUE"""),"HYUNDAI ")</f>
        <v>HYUNDAI </v>
      </c>
      <c r="E2423" s="1076"/>
      <c r="F2423" s="1076">
        <f>IFERROR(__xludf.DUMMYFUNCTION("""COMPUTED_VALUE"""),2004)</f>
        <v>2004</v>
      </c>
      <c r="G2423" s="1076"/>
      <c r="H2423" s="1076" t="str">
        <f>IFERROR(__xludf.DUMMYFUNCTION("""COMPUTED_VALUE"""),"130HP")</f>
        <v>130HP</v>
      </c>
      <c r="I2423" s="1076" t="str">
        <f>IFERROR(__xludf.DUMMYFUNCTION("""COMPUTED_VALUE"""),"N/A")</f>
        <v>N/A</v>
      </c>
      <c r="J2423" s="1076" t="str">
        <f>IFERROR(__xludf.DUMMYFUNCTION("""COMPUTED_VALUE"""),"D6DA1202988")</f>
        <v>D6DA1202988</v>
      </c>
      <c r="K2423" s="1076"/>
      <c r="L2423" s="1076" t="str">
        <f>IFERROR(__xludf.DUMMYFUNCTION("""COMPUTED_VALUE"""),"-")</f>
        <v>-</v>
      </c>
    </row>
    <row r="2424" customHeight="1" spans="1:12">
      <c r="A2424" s="1076" t="str">
        <f>IFERROR(__xludf.DUMMYFUNCTION("""COMPUTED_VALUE"""),"TNA-XTA-019")</f>
        <v>TNA-XTA-019</v>
      </c>
      <c r="B2424" s="1075" t="str">
        <f>IFERROR(__xludf.DUMMYFUNCTION("""COMPUTED_VALUE"""),"Xe ben 05 tấn")</f>
        <v>Xe ben 05 tấn</v>
      </c>
      <c r="C2424" s="1076" t="str">
        <f>IFERROR(__xludf.DUMMYFUNCTION("""COMPUTED_VALUE"""),"B.ĐTXD AD")</f>
        <v>B.ĐTXD AD</v>
      </c>
      <c r="D2424" s="1076" t="str">
        <f>IFERROR(__xludf.DUMMYFUNCTION("""COMPUTED_VALUE"""),"HYUNDAI ")</f>
        <v>HYUNDAI </v>
      </c>
      <c r="E2424" s="1076"/>
      <c r="F2424" s="1076">
        <f>IFERROR(__xludf.DUMMYFUNCTION("""COMPUTED_VALUE"""),1997)</f>
        <v>1997</v>
      </c>
      <c r="G2424" s="1076"/>
      <c r="H2424" s="1076" t="str">
        <f>IFERROR(__xludf.DUMMYFUNCTION("""COMPUTED_VALUE"""),"130HP")</f>
        <v>130HP</v>
      </c>
      <c r="I2424" s="1076" t="str">
        <f>IFERROR(__xludf.DUMMYFUNCTION("""COMPUTED_VALUE"""),"KMFLA19RPVC117915")</f>
        <v>KMFLA19RPVC117915</v>
      </c>
      <c r="J2424" s="1076" t="str">
        <f>IFERROR(__xludf.DUMMYFUNCTION("""COMPUTED_VALUE"""),"D6BRT164430")</f>
        <v>D6BRT164430</v>
      </c>
      <c r="K2424" s="1076"/>
      <c r="L2424" s="1076" t="str">
        <f>IFERROR(__xludf.DUMMYFUNCTION("""COMPUTED_VALUE"""),"-")</f>
        <v>-</v>
      </c>
    </row>
    <row r="2425" customHeight="1" spans="1:12">
      <c r="A2425" s="1076" t="str">
        <f>IFERROR(__xludf.DUMMYFUNCTION("""COMPUTED_VALUE"""),"TNA-XTA-020")</f>
        <v>TNA-XTA-020</v>
      </c>
      <c r="B2425" s="1075" t="str">
        <f>IFERROR(__xludf.DUMMYFUNCTION("""COMPUTED_VALUE"""),"Xe ben 05 tấn")</f>
        <v>Xe ben 05 tấn</v>
      </c>
      <c r="C2425" s="1076" t="str">
        <f>IFERROR(__xludf.DUMMYFUNCTION("""COMPUTED_VALUE"""),"B.ĐTXD AD")</f>
        <v>B.ĐTXD AD</v>
      </c>
      <c r="D2425" s="1076" t="str">
        <f>IFERROR(__xludf.DUMMYFUNCTION("""COMPUTED_VALUE"""),"HYUNDAI ")</f>
        <v>HYUNDAI </v>
      </c>
      <c r="E2425" s="1076"/>
      <c r="F2425" s="1076">
        <f>IFERROR(__xludf.DUMMYFUNCTION("""COMPUTED_VALUE"""),1998)</f>
        <v>1998</v>
      </c>
      <c r="G2425" s="1076"/>
      <c r="H2425" s="1076" t="str">
        <f>IFERROR(__xludf.DUMMYFUNCTION("""COMPUTED_VALUE"""),"130HP")</f>
        <v>130HP</v>
      </c>
      <c r="I2425" s="1076" t="str">
        <f>IFERROR(__xludf.DUMMYFUNCTION("""COMPUTED_VALUE"""),"KMFLA19RPWC000464")</f>
        <v>KMFLA19RPWC000464</v>
      </c>
      <c r="J2425" s="1076" t="str">
        <f>IFERROR(__xludf.DUMMYFUNCTION("""COMPUTED_VALUE"""),"D6BP064602")</f>
        <v>D6BP064602</v>
      </c>
      <c r="K2425" s="1076"/>
      <c r="L2425" s="1076" t="str">
        <f>IFERROR(__xludf.DUMMYFUNCTION("""COMPUTED_VALUE"""),"-")</f>
        <v>-</v>
      </c>
    </row>
    <row r="2426" customHeight="1" spans="1:12">
      <c r="A2426" s="1076" t="str">
        <f>IFERROR(__xludf.DUMMYFUNCTION("""COMPUTED_VALUE"""),"TNA-XTA-021")</f>
        <v>TNA-XTA-021</v>
      </c>
      <c r="B2426" s="1075" t="str">
        <f>IFERROR(__xludf.DUMMYFUNCTION("""COMPUTED_VALUE"""),"Xe ben 25 tấn")</f>
        <v>Xe ben 25 tấn</v>
      </c>
      <c r="C2426" s="1076" t="str">
        <f>IFERROR(__xludf.DUMMYFUNCTION("""COMPUTED_VALUE"""),"B.ĐTXD AD")</f>
        <v>B.ĐTXD AD</v>
      </c>
      <c r="D2426" s="1076" t="str">
        <f>IFERROR(__xludf.DUMMYFUNCTION("""COMPUTED_VALUE"""),"DEAWOO")</f>
        <v>DEAWOO</v>
      </c>
      <c r="E2426" s="1076"/>
      <c r="F2426" s="1076">
        <f>IFERROR(__xludf.DUMMYFUNCTION("""COMPUTED_VALUE"""),2006)</f>
        <v>2006</v>
      </c>
      <c r="G2426" s="1076"/>
      <c r="H2426" s="1076" t="str">
        <f>IFERROR(__xludf.DUMMYFUNCTION("""COMPUTED_VALUE"""),"335HP")</f>
        <v>335HP</v>
      </c>
      <c r="I2426" s="1076" t="str">
        <f>IFERROR(__xludf.DUMMYFUNCTION("""COMPUTED_VALUE"""),"KL3N8ENP 16K000587")</f>
        <v>KL3N8ENP 16K000587</v>
      </c>
      <c r="J2426" s="1076" t="str">
        <f>IFERROR(__xludf.DUMMYFUNCTION("""COMPUTED_VALUE"""),"35158365")</f>
        <v>35158365</v>
      </c>
      <c r="K2426" s="1076"/>
      <c r="L2426" s="1076" t="str">
        <f>IFERROR(__xludf.DUMMYFUNCTION("""COMPUTED_VALUE"""),"-")</f>
        <v>-</v>
      </c>
    </row>
    <row r="2427" customHeight="1" spans="1:12">
      <c r="A2427" s="1076" t="str">
        <f>IFERROR(__xludf.DUMMYFUNCTION("""COMPUTED_VALUE"""),"TNA-XTA-022")</f>
        <v>TNA-XTA-022</v>
      </c>
      <c r="B2427" s="1075" t="str">
        <f>IFERROR(__xludf.DUMMYFUNCTION("""COMPUTED_VALUE"""),"Xe ben 25 tấn")</f>
        <v>Xe ben 25 tấn</v>
      </c>
      <c r="C2427" s="1076" t="str">
        <f>IFERROR(__xludf.DUMMYFUNCTION("""COMPUTED_VALUE"""),"CGTC LP")</f>
        <v>CGTC LP</v>
      </c>
      <c r="D2427" s="1076" t="str">
        <f>IFERROR(__xludf.DUMMYFUNCTION("""COMPUTED_VALUE"""),"HYUNDAI")</f>
        <v>HYUNDAI</v>
      </c>
      <c r="E2427" s="1076"/>
      <c r="F2427" s="1076">
        <f>IFERROR(__xludf.DUMMYFUNCTION("""COMPUTED_VALUE"""),2002)</f>
        <v>2002</v>
      </c>
      <c r="G2427" s="1076"/>
      <c r="H2427" s="1076" t="str">
        <f>IFERROR(__xludf.DUMMYFUNCTION("""COMPUTED_VALUE"""),"335HP")</f>
        <v>335HP</v>
      </c>
      <c r="I2427" s="1076" t="str">
        <f>IFERROR(__xludf.DUMMYFUNCTION("""COMPUTED_VALUE"""),"KMCPB185 P2C019827")</f>
        <v>KMCPB185 P2C019827</v>
      </c>
      <c r="J2427" s="1076" t="str">
        <f>IFERROR(__xludf.DUMMYFUNCTION("""COMPUTED_VALUE"""),"2063911 D6CA")</f>
        <v>2063911 D6CA</v>
      </c>
      <c r="K2427" s="1076"/>
      <c r="L2427" s="1076" t="str">
        <f>IFERROR(__xludf.DUMMYFUNCTION("""COMPUTED_VALUE"""),"-")</f>
        <v>-</v>
      </c>
    </row>
    <row r="2428" customHeight="1" spans="1:12">
      <c r="A2428" s="1076" t="str">
        <f>IFERROR(__xludf.DUMMYFUNCTION("""COMPUTED_VALUE"""),"TNA-XTA-023")</f>
        <v>TNA-XTA-023</v>
      </c>
      <c r="B2428" s="1075" t="str">
        <f>IFERROR(__xludf.DUMMYFUNCTION("""COMPUTED_VALUE"""),"Xe ben 25 tấn")</f>
        <v>Xe ben 25 tấn</v>
      </c>
      <c r="C2428" s="1076" t="str">
        <f>IFERROR(__xludf.DUMMYFUNCTION("""COMPUTED_VALUE"""),"CGTC LP")</f>
        <v>CGTC LP</v>
      </c>
      <c r="D2428" s="1076" t="str">
        <f>IFERROR(__xludf.DUMMYFUNCTION("""COMPUTED_VALUE"""),"SCANIA")</f>
        <v>SCANIA</v>
      </c>
      <c r="E2428" s="1076"/>
      <c r="F2428" s="1076">
        <f>IFERROR(__xludf.DUMMYFUNCTION("""COMPUTED_VALUE"""),2002)</f>
        <v>2002</v>
      </c>
      <c r="G2428" s="1076"/>
      <c r="H2428" s="1076" t="str">
        <f>IFERROR(__xludf.DUMMYFUNCTION("""COMPUTED_VALUE"""),"335HP")</f>
        <v>335HP</v>
      </c>
      <c r="I2428" s="1076" t="str">
        <f>IFERROR(__xludf.DUMMYFUNCTION("""COMPUTED_VALUE"""),"0024467942 XLEP8X4")</f>
        <v>0024467942 XLEP8X4</v>
      </c>
      <c r="J2428" s="1076" t="str">
        <f>IFERROR(__xludf.DUMMYFUNCTION("""COMPUTED_VALUE"""),"L016158035 DC1209")</f>
        <v>L016158035 DC1209</v>
      </c>
      <c r="K2428" s="1076"/>
      <c r="L2428" s="1076" t="str">
        <f>IFERROR(__xludf.DUMMYFUNCTION("""COMPUTED_VALUE"""),"-")</f>
        <v>-</v>
      </c>
    </row>
    <row r="2429" customHeight="1" spans="1:12">
      <c r="A2429" s="1076" t="str">
        <f>IFERROR(__xludf.DUMMYFUNCTION("""COMPUTED_VALUE"""),"TNA-XTA-024")</f>
        <v>TNA-XTA-024</v>
      </c>
      <c r="B2429" s="1075" t="str">
        <f>IFERROR(__xludf.DUMMYFUNCTION("""COMPUTED_VALUE"""),"Xe ben 25 tấn")</f>
        <v>Xe ben 25 tấn</v>
      </c>
      <c r="C2429" s="1076" t="str">
        <f>IFERROR(__xludf.DUMMYFUNCTION("""COMPUTED_VALUE"""),"B.ĐTXD AD")</f>
        <v>B.ĐTXD AD</v>
      </c>
      <c r="D2429" s="1076" t="str">
        <f>IFERROR(__xludf.DUMMYFUNCTION("""COMPUTED_VALUE"""),"SCANIA")</f>
        <v>SCANIA</v>
      </c>
      <c r="E2429" s="1076"/>
      <c r="F2429" s="1076">
        <f>IFERROR(__xludf.DUMMYFUNCTION("""COMPUTED_VALUE"""),2004)</f>
        <v>2004</v>
      </c>
      <c r="G2429" s="1076"/>
      <c r="H2429" s="1076" t="str">
        <f>IFERROR(__xludf.DUMMYFUNCTION("""COMPUTED_VALUE"""),"335HP")</f>
        <v>335HP</v>
      </c>
      <c r="I2429" s="1076" t="str">
        <f>IFERROR(__xludf.DUMMYFUNCTION("""COMPUTED_VALUE"""),"0043548673 XLEP8X4")</f>
        <v>0043548673 XLEP8X4</v>
      </c>
      <c r="J2429" s="1076" t="str">
        <f>IFERROR(__xludf.DUMMYFUNCTION("""COMPUTED_VALUE"""),"DC114921490 75912")</f>
        <v>DC114921490 75912</v>
      </c>
      <c r="K2429" s="1076"/>
      <c r="L2429" s="1076" t="str">
        <f>IFERROR(__xludf.DUMMYFUNCTION("""COMPUTED_VALUE"""),"-")</f>
        <v>-</v>
      </c>
    </row>
    <row r="2430" customHeight="1" spans="1:12">
      <c r="A2430" s="1076" t="str">
        <f>IFERROR(__xludf.DUMMYFUNCTION("""COMPUTED_VALUE"""),"TNA-XTA-025")</f>
        <v>TNA-XTA-025</v>
      </c>
      <c r="B2430" s="1075" t="str">
        <f>IFERROR(__xludf.DUMMYFUNCTION("""COMPUTED_VALUE"""),"Xe ben 15 tấn")</f>
        <v>Xe ben 15 tấn</v>
      </c>
      <c r="C2430" s="1076" t="str">
        <f>IFERROR(__xludf.DUMMYFUNCTION("""COMPUTED_VALUE"""),"B.ĐTXD AD")</f>
        <v>B.ĐTXD AD</v>
      </c>
      <c r="D2430" s="1076" t="str">
        <f>IFERROR(__xludf.DUMMYFUNCTION("""COMPUTED_VALUE"""),"HYUNDAI")</f>
        <v>HYUNDAI</v>
      </c>
      <c r="E2430" s="1076"/>
      <c r="F2430" s="1076">
        <f>IFERROR(__xludf.DUMMYFUNCTION("""COMPUTED_VALUE"""),1991)</f>
        <v>1991</v>
      </c>
      <c r="G2430" s="1076"/>
      <c r="H2430" s="1076" t="str">
        <f>IFERROR(__xludf.DUMMYFUNCTION("""COMPUTED_VALUE"""),"320HP")</f>
        <v>320HP</v>
      </c>
      <c r="I2430" s="1076"/>
      <c r="J2430" s="1076" t="str">
        <f>IFERROR(__xludf.DUMMYFUNCTION("""COMPUTED_VALUE"""),"D8AYH016027")</f>
        <v>D8AYH016027</v>
      </c>
      <c r="K2430" s="1076"/>
      <c r="L2430" s="1076" t="str">
        <f>IFERROR(__xludf.DUMMYFUNCTION("""COMPUTED_VALUE"""),"-")</f>
        <v>-</v>
      </c>
    </row>
    <row r="2431" customHeight="1" spans="1:12">
      <c r="A2431" s="1076" t="str">
        <f>IFERROR(__xludf.DUMMYFUNCTION("""COMPUTED_VALUE"""),"TNA-XTA-026")</f>
        <v>TNA-XTA-026</v>
      </c>
      <c r="B2431" s="1075" t="str">
        <f>IFERROR(__xludf.DUMMYFUNCTION("""COMPUTED_VALUE"""),"Xe ben 15 tấn")</f>
        <v>Xe ben 15 tấn</v>
      </c>
      <c r="C2431" s="1076" t="str">
        <f>IFERROR(__xludf.DUMMYFUNCTION("""COMPUTED_VALUE"""),"B.ĐTXD AD")</f>
        <v>B.ĐTXD AD</v>
      </c>
      <c r="D2431" s="1076" t="str">
        <f>IFERROR(__xludf.DUMMYFUNCTION("""COMPUTED_VALUE"""),"HYUNDAI")</f>
        <v>HYUNDAI</v>
      </c>
      <c r="E2431" s="1076"/>
      <c r="F2431" s="1076">
        <f>IFERROR(__xludf.DUMMYFUNCTION("""COMPUTED_VALUE"""),2000)</f>
        <v>2000</v>
      </c>
      <c r="G2431" s="1076"/>
      <c r="H2431" s="1076" t="str">
        <f>IFERROR(__xludf.DUMMYFUNCTION("""COMPUTED_VALUE"""),"235HP")</f>
        <v>235HP</v>
      </c>
      <c r="I2431" s="1076" t="str">
        <f>IFERROR(__xludf.DUMMYFUNCTION("""COMPUTED_VALUE"""),"KMFDA19VPYC008457")</f>
        <v>KMFDA19VPYC008457</v>
      </c>
      <c r="J2431" s="1076"/>
      <c r="K2431" s="1076"/>
      <c r="L2431" s="1076" t="str">
        <f>IFERROR(__xludf.DUMMYFUNCTION("""COMPUTED_VALUE"""),"-")</f>
        <v>-</v>
      </c>
    </row>
    <row r="2432" customHeight="1" spans="1:12">
      <c r="A2432" s="1076" t="str">
        <f>IFERROR(__xludf.DUMMYFUNCTION("""COMPUTED_VALUE"""),"TNA-XTA-027")</f>
        <v>TNA-XTA-027</v>
      </c>
      <c r="B2432" s="1075" t="str">
        <f>IFERROR(__xludf.DUMMYFUNCTION("""COMPUTED_VALUE"""),"Xe ben 15 tấn")</f>
        <v>Xe ben 15 tấn</v>
      </c>
      <c r="C2432" s="1076" t="str">
        <f>IFERROR(__xludf.DUMMYFUNCTION("""COMPUTED_VALUE"""),"B.ĐTXD AD")</f>
        <v>B.ĐTXD AD</v>
      </c>
      <c r="D2432" s="1076" t="str">
        <f>IFERROR(__xludf.DUMMYFUNCTION("""COMPUTED_VALUE"""),"HYUNDAI")</f>
        <v>HYUNDAI</v>
      </c>
      <c r="E2432" s="1076"/>
      <c r="F2432" s="1076">
        <f>IFERROR(__xludf.DUMMYFUNCTION("""COMPUTED_VALUE"""),2004)</f>
        <v>2004</v>
      </c>
      <c r="G2432" s="1076"/>
      <c r="H2432" s="1076" t="str">
        <f>IFERROR(__xludf.DUMMYFUNCTION("""COMPUTED_VALUE"""),"240HP")</f>
        <v>240HP</v>
      </c>
      <c r="I2432" s="1076" t="str">
        <f>IFERROR(__xludf.DUMMYFUNCTION("""COMPUTED_VALUE"""),"KMCPB18TP4C001944")</f>
        <v>KMCPB18TP4C001944</v>
      </c>
      <c r="J2432" s="1076"/>
      <c r="K2432" s="1076"/>
      <c r="L2432" s="1076" t="str">
        <f>IFERROR(__xludf.DUMMYFUNCTION("""COMPUTED_VALUE"""),"-")</f>
        <v>-</v>
      </c>
    </row>
    <row r="2433" customHeight="1" spans="1:12">
      <c r="A2433" s="1076" t="str">
        <f>IFERROR(__xludf.DUMMYFUNCTION("""COMPUTED_VALUE"""),"TNA-XTA-028")</f>
        <v>TNA-XTA-028</v>
      </c>
      <c r="B2433" s="1075" t="str">
        <f>IFERROR(__xludf.DUMMYFUNCTION("""COMPUTED_VALUE"""),"Xe ben 15 tấn")</f>
        <v>Xe ben 15 tấn</v>
      </c>
      <c r="C2433" s="1076" t="str">
        <f>IFERROR(__xludf.DUMMYFUNCTION("""COMPUTED_VALUE"""),"B.ĐTXD AD")</f>
        <v>B.ĐTXD AD</v>
      </c>
      <c r="D2433" s="1076" t="str">
        <f>IFERROR(__xludf.DUMMYFUNCTION("""COMPUTED_VALUE"""),"HYUNDAI")</f>
        <v>HYUNDAI</v>
      </c>
      <c r="E2433" s="1076"/>
      <c r="F2433" s="1076">
        <f>IFERROR(__xludf.DUMMYFUNCTION("""COMPUTED_VALUE"""),1994)</f>
        <v>1994</v>
      </c>
      <c r="G2433" s="1076"/>
      <c r="H2433" s="1076" t="str">
        <f>IFERROR(__xludf.DUMMYFUNCTION("""COMPUTED_VALUE"""),"320HP")</f>
        <v>320HP</v>
      </c>
      <c r="I2433" s="1076" t="str">
        <f>IFERROR(__xludf.DUMMYFUNCTION("""COMPUTED_VALUE"""),"D8AYR127675")</f>
        <v>D8AYR127675</v>
      </c>
      <c r="J2433" s="1076"/>
      <c r="K2433" s="1076"/>
      <c r="L2433" s="1076" t="str">
        <f>IFERROR(__xludf.DUMMYFUNCTION("""COMPUTED_VALUE"""),"-")</f>
        <v>-</v>
      </c>
    </row>
    <row r="2434" customHeight="1" spans="1:12">
      <c r="A2434" s="1076" t="str">
        <f>IFERROR(__xludf.DUMMYFUNCTION("""COMPUTED_VALUE"""),"TNA-XTA-029")</f>
        <v>TNA-XTA-029</v>
      </c>
      <c r="B2434" s="1075" t="str">
        <f>IFERROR(__xludf.DUMMYFUNCTION("""COMPUTED_VALUE"""),"Xe ben 15 tấn")</f>
        <v>Xe ben 15 tấn</v>
      </c>
      <c r="C2434" s="1076" t="str">
        <f>IFERROR(__xludf.DUMMYFUNCTION("""COMPUTED_VALUE"""),"B.ĐTXD AD")</f>
        <v>B.ĐTXD AD</v>
      </c>
      <c r="D2434" s="1076" t="str">
        <f>IFERROR(__xludf.DUMMYFUNCTION("""COMPUTED_VALUE"""),"HYUNDAI")</f>
        <v>HYUNDAI</v>
      </c>
      <c r="E2434" s="1076"/>
      <c r="F2434" s="1076">
        <f>IFERROR(__xludf.DUMMYFUNCTION("""COMPUTED_VALUE"""),1989)</f>
        <v>1989</v>
      </c>
      <c r="G2434" s="1076"/>
      <c r="H2434" s="1076" t="str">
        <f>IFERROR(__xludf.DUMMYFUNCTION("""COMPUTED_VALUE"""),"320HP")</f>
        <v>320HP</v>
      </c>
      <c r="I2434" s="1076" t="str">
        <f>IFERROR(__xludf.DUMMYFUNCTION("""COMPUTED_VALUE"""),"D8AYL046495")</f>
        <v>D8AYL046495</v>
      </c>
      <c r="J2434" s="1076"/>
      <c r="K2434" s="1076"/>
      <c r="L2434" s="1076" t="str">
        <f>IFERROR(__xludf.DUMMYFUNCTION("""COMPUTED_VALUE"""),"-")</f>
        <v>-</v>
      </c>
    </row>
    <row r="2435" customHeight="1" spans="1:12">
      <c r="A2435" s="1076" t="str">
        <f>IFERROR(__xludf.DUMMYFUNCTION("""COMPUTED_VALUE"""),"TNA-XTA-030")</f>
        <v>TNA-XTA-030</v>
      </c>
      <c r="B2435" s="1075" t="str">
        <f>IFERROR(__xludf.DUMMYFUNCTION("""COMPUTED_VALUE"""),"Xe ben 15 tấn")</f>
        <v>Xe ben 15 tấn</v>
      </c>
      <c r="C2435" s="1076" t="str">
        <f>IFERROR(__xludf.DUMMYFUNCTION("""COMPUTED_VALUE"""),"B.ĐTXD AD")</f>
        <v>B.ĐTXD AD</v>
      </c>
      <c r="D2435" s="1076" t="str">
        <f>IFERROR(__xludf.DUMMYFUNCTION("""COMPUTED_VALUE"""),"HYUNDAI")</f>
        <v>HYUNDAI</v>
      </c>
      <c r="E2435" s="1076"/>
      <c r="F2435" s="1076">
        <f>IFERROR(__xludf.DUMMYFUNCTION("""COMPUTED_VALUE"""),1995)</f>
        <v>1995</v>
      </c>
      <c r="G2435" s="1076"/>
      <c r="H2435" s="1076" t="str">
        <f>IFERROR(__xludf.DUMMYFUNCTION("""COMPUTED_VALUE"""),"320HP")</f>
        <v>320HP</v>
      </c>
      <c r="I2435" s="1076"/>
      <c r="J2435" s="1076" t="str">
        <f>IFERROR(__xludf.DUMMYFUNCTION("""COMPUTED_VALUE"""),"D8AY5132518")</f>
        <v>D8AY5132518</v>
      </c>
      <c r="K2435" s="1076"/>
      <c r="L2435" s="1076" t="str">
        <f>IFERROR(__xludf.DUMMYFUNCTION("""COMPUTED_VALUE"""),"-")</f>
        <v>-</v>
      </c>
    </row>
    <row r="2436" customHeight="1" spans="1:12">
      <c r="A2436" s="1076" t="str">
        <f>IFERROR(__xludf.DUMMYFUNCTION("""COMPUTED_VALUE"""),"TNA-XTA-031")</f>
        <v>TNA-XTA-031</v>
      </c>
      <c r="B2436" s="1075" t="str">
        <f>IFERROR(__xludf.DUMMYFUNCTION("""COMPUTED_VALUE"""),"Xe ben 15 tấn")</f>
        <v>Xe ben 15 tấn</v>
      </c>
      <c r="C2436" s="1076" t="str">
        <f>IFERROR(__xludf.DUMMYFUNCTION("""COMPUTED_VALUE"""),"B.ĐTXD AD")</f>
        <v>B.ĐTXD AD</v>
      </c>
      <c r="D2436" s="1076" t="str">
        <f>IFERROR(__xludf.DUMMYFUNCTION("""COMPUTED_VALUE"""),"HYUNDAI")</f>
        <v>HYUNDAI</v>
      </c>
      <c r="E2436" s="1076"/>
      <c r="F2436" s="1076">
        <f>IFERROR(__xludf.DUMMYFUNCTION("""COMPUTED_VALUE"""),2002)</f>
        <v>2002</v>
      </c>
      <c r="G2436" s="1076"/>
      <c r="H2436" s="1076" t="str">
        <f>IFERROR(__xludf.DUMMYFUNCTION("""COMPUTED_VALUE"""),"340HP")</f>
        <v>340HP</v>
      </c>
      <c r="I2436" s="1076" t="str">
        <f>IFERROR(__xludf.DUMMYFUNCTION("""COMPUTED_VALUE"""),"D6CA2067638")</f>
        <v>D6CA2067638</v>
      </c>
      <c r="J2436" s="1076"/>
      <c r="K2436" s="1076"/>
      <c r="L2436" s="1076" t="str">
        <f>IFERROR(__xludf.DUMMYFUNCTION("""COMPUTED_VALUE"""),"-")</f>
        <v>-</v>
      </c>
    </row>
    <row r="2437" customHeight="1" spans="1:12">
      <c r="A2437" s="1076" t="str">
        <f>IFERROR(__xludf.DUMMYFUNCTION("""COMPUTED_VALUE"""),"TNA-XTA-032")</f>
        <v>TNA-XTA-032</v>
      </c>
      <c r="B2437" s="1075" t="str">
        <f>IFERROR(__xludf.DUMMYFUNCTION("""COMPUTED_VALUE"""),"Xe ben 05 tấn")</f>
        <v>Xe ben 05 tấn</v>
      </c>
      <c r="C2437" s="1076" t="str">
        <f>IFERROR(__xludf.DUMMYFUNCTION("""COMPUTED_VALUE"""),"CGTC AD")</f>
        <v>CGTC AD</v>
      </c>
      <c r="D2437" s="1076" t="str">
        <f>IFERROR(__xludf.DUMMYFUNCTION("""COMPUTED_VALUE"""),"HYUNDAI")</f>
        <v>HYUNDAI</v>
      </c>
      <c r="E2437" s="1076"/>
      <c r="F2437" s="1076">
        <f>IFERROR(__xludf.DUMMYFUNCTION("""COMPUTED_VALUE"""),2004)</f>
        <v>2004</v>
      </c>
      <c r="G2437" s="1076"/>
      <c r="H2437" s="1076" t="str">
        <f>IFERROR(__xludf.DUMMYFUNCTION("""COMPUTED_VALUE"""),"130HP")</f>
        <v>130HP</v>
      </c>
      <c r="I2437" s="1076" t="str">
        <f>IFERROR(__xludf.DUMMYFUNCTION("""COMPUTED_VALUE"""),"KMFLA18
 AP4C048950")</f>
        <v>KMFLA18
 AP4C048950</v>
      </c>
      <c r="J2437" s="1076" t="str">
        <f>IFERROR(__xludf.DUMMYFUNCTION("""COMPUTED_VALUE"""),"D6DA4
 223832")</f>
        <v>D6DA4
 223832</v>
      </c>
      <c r="K2437" s="1076"/>
      <c r="L2437" s="1076" t="str">
        <f>IFERROR(__xludf.DUMMYFUNCTION("""COMPUTED_VALUE"""),"-")</f>
        <v>-</v>
      </c>
    </row>
    <row r="2438" customHeight="1" spans="1:12">
      <c r="A2438" s="1076" t="str">
        <f>IFERROR(__xludf.DUMMYFUNCTION("""COMPUTED_VALUE"""),"TNA-XTA-033")</f>
        <v>TNA-XTA-033</v>
      </c>
      <c r="B2438" s="1075" t="str">
        <f>IFERROR(__xludf.DUMMYFUNCTION("""COMPUTED_VALUE"""),"Xe ben 05 tấn")</f>
        <v>Xe ben 05 tấn</v>
      </c>
      <c r="C2438" s="1076" t="str">
        <f>IFERROR(__xludf.DUMMYFUNCTION("""COMPUTED_VALUE"""),"CGTC AD")</f>
        <v>CGTC AD</v>
      </c>
      <c r="D2438" s="1076" t="str">
        <f>IFERROR(__xludf.DUMMYFUNCTION("""COMPUTED_VALUE"""),"NISSAN")</f>
        <v>NISSAN</v>
      </c>
      <c r="E2438" s="1076"/>
      <c r="F2438" s="1076">
        <f>IFERROR(__xludf.DUMMYFUNCTION("""COMPUTED_VALUE"""),1996)</f>
        <v>1996</v>
      </c>
      <c r="G2438" s="1076"/>
      <c r="H2438" s="1076" t="str">
        <f>IFERROR(__xludf.DUMMYFUNCTION("""COMPUTED_VALUE"""),"130HP")</f>
        <v>130HP</v>
      </c>
      <c r="I2438" s="1076" t="str">
        <f>IFERROR(__xludf.DUMMYFUNCTION("""COMPUTED_VALUE"""),"FE6108692E")</f>
        <v>FE6108692E</v>
      </c>
      <c r="J2438" s="1076" t="str">
        <f>IFERROR(__xludf.DUMMYFUNCTION("""COMPUTED_VALUE"""),"MK211H
 10305")</f>
        <v>MK211H
 10305</v>
      </c>
      <c r="K2438" s="1076"/>
      <c r="L2438" s="1076" t="str">
        <f>IFERROR(__xludf.DUMMYFUNCTION("""COMPUTED_VALUE"""),"-")</f>
        <v>-</v>
      </c>
    </row>
    <row r="2439" customHeight="1" spans="1:12">
      <c r="A2439" s="1076" t="str">
        <f>IFERROR(__xludf.DUMMYFUNCTION("""COMPUTED_VALUE"""),"TNA-XTA-034")</f>
        <v>TNA-XTA-034</v>
      </c>
      <c r="B2439" s="1075" t="str">
        <f>IFERROR(__xludf.DUMMYFUNCTION("""COMPUTED_VALUE"""),"Xe ben 05 tấn")</f>
        <v>Xe ben 05 tấn</v>
      </c>
      <c r="C2439" s="1076" t="str">
        <f>IFERROR(__xludf.DUMMYFUNCTION("""COMPUTED_VALUE"""),"CGTC AD")</f>
        <v>CGTC AD</v>
      </c>
      <c r="D2439" s="1076" t="str">
        <f>IFERROR(__xludf.DUMMYFUNCTION("""COMPUTED_VALUE"""),"HYUNDAI")</f>
        <v>HYUNDAI</v>
      </c>
      <c r="E2439" s="1076"/>
      <c r="F2439" s="1076">
        <f>IFERROR(__xludf.DUMMYFUNCTION("""COMPUTED_VALUE"""),2000)</f>
        <v>2000</v>
      </c>
      <c r="G2439" s="1076"/>
      <c r="H2439" s="1076" t="str">
        <f>IFERROR(__xludf.DUMMYFUNCTION("""COMPUTED_VALUE"""),"130HP")</f>
        <v>130HP</v>
      </c>
      <c r="I2439" s="1076" t="str">
        <f>IFERROR(__xludf.DUMMYFUNCTION("""COMPUTED_VALUE"""),"KMFLA19BP
 YC00847")</f>
        <v>KMFLA19BP
 YC00847</v>
      </c>
      <c r="J2439" s="1076"/>
      <c r="K2439" s="1076"/>
      <c r="L2439" s="1076" t="str">
        <f>IFERROR(__xludf.DUMMYFUNCTION("""COMPUTED_VALUE"""),"-")</f>
        <v>-</v>
      </c>
    </row>
    <row r="2440" customHeight="1" spans="1:12">
      <c r="A2440" s="1076" t="str">
        <f>IFERROR(__xludf.DUMMYFUNCTION("""COMPUTED_VALUE"""),"TNA-XTA-035")</f>
        <v>TNA-XTA-035</v>
      </c>
      <c r="B2440" s="1075" t="str">
        <f>IFERROR(__xludf.DUMMYFUNCTION("""COMPUTED_VALUE"""),"Xe ben 05 tấn")</f>
        <v>Xe ben 05 tấn</v>
      </c>
      <c r="C2440" s="1076" t="str">
        <f>IFERROR(__xludf.DUMMYFUNCTION("""COMPUTED_VALUE"""),"CGTC AD")</f>
        <v>CGTC AD</v>
      </c>
      <c r="D2440" s="1076" t="str">
        <f>IFERROR(__xludf.DUMMYFUNCTION("""COMPUTED_VALUE"""),"HYUNDAI")</f>
        <v>HYUNDAI</v>
      </c>
      <c r="E2440" s="1076"/>
      <c r="F2440" s="1076">
        <f>IFERROR(__xludf.DUMMYFUNCTION("""COMPUTED_VALUE"""),2000)</f>
        <v>2000</v>
      </c>
      <c r="G2440" s="1076"/>
      <c r="H2440" s="1076" t="str">
        <f>IFERROR(__xludf.DUMMYFUNCTION("""COMPUTED_VALUE"""),"130HP")</f>
        <v>130HP</v>
      </c>
      <c r="I2440" s="1076" t="str">
        <f>IFERROR(__xludf.DUMMYFUNCTION("""COMPUTED_VALUE"""),"KMFLA19
 RPYC010603")</f>
        <v>KMFLA19
 RPYC010603</v>
      </c>
      <c r="J2440" s="1076" t="str">
        <f>IFERROR(__xludf.DUMMYFUNCTION("""COMPUTED_VALUE"""),"D6BRY028890")</f>
        <v>D6BRY028890</v>
      </c>
      <c r="K2440" s="1076"/>
      <c r="L2440" s="1076" t="str">
        <f>IFERROR(__xludf.DUMMYFUNCTION("""COMPUTED_VALUE"""),"-")</f>
        <v>-</v>
      </c>
    </row>
    <row r="2441" customHeight="1" spans="1:12">
      <c r="A2441" s="1076" t="str">
        <f>IFERROR(__xludf.DUMMYFUNCTION("""COMPUTED_VALUE"""),"TNA-XTA-036")</f>
        <v>TNA-XTA-036</v>
      </c>
      <c r="B2441" s="1075" t="str">
        <f>IFERROR(__xludf.DUMMYFUNCTION("""COMPUTED_VALUE"""),"Xe ben 05 tấn")</f>
        <v>Xe ben 05 tấn</v>
      </c>
      <c r="C2441" s="1076" t="str">
        <f>IFERROR(__xludf.DUMMYFUNCTION("""COMPUTED_VALUE"""),"CGTC AD")</f>
        <v>CGTC AD</v>
      </c>
      <c r="D2441" s="1076" t="str">
        <f>IFERROR(__xludf.DUMMYFUNCTION("""COMPUTED_VALUE"""),"HYUNDAI")</f>
        <v>HYUNDAI</v>
      </c>
      <c r="E2441" s="1076"/>
      <c r="F2441" s="1076">
        <f>IFERROR(__xludf.DUMMYFUNCTION("""COMPUTED_VALUE"""),2000)</f>
        <v>2000</v>
      </c>
      <c r="G2441" s="1076"/>
      <c r="H2441" s="1076" t="str">
        <f>IFERROR(__xludf.DUMMYFUNCTION("""COMPUTED_VALUE"""),"130HP")</f>
        <v>130HP</v>
      </c>
      <c r="I2441" s="1076" t="str">
        <f>IFERROR(__xludf.DUMMYFUNCTION("""COMPUTED_VALUE"""),"KMFLA18
 RPYC008347")</f>
        <v>KMFLA18
 RPYC008347</v>
      </c>
      <c r="J2441" s="1076" t="str">
        <f>IFERROR(__xludf.DUMMYFUNCTION("""COMPUTED_VALUE"""),"D6BRX026553")</f>
        <v>D6BRX026553</v>
      </c>
      <c r="K2441" s="1076"/>
      <c r="L2441" s="1076" t="str">
        <f>IFERROR(__xludf.DUMMYFUNCTION("""COMPUTED_VALUE"""),"-")</f>
        <v>-</v>
      </c>
    </row>
    <row r="2442" customHeight="1" spans="1:12">
      <c r="A2442" s="1076" t="str">
        <f>IFERROR(__xludf.DUMMYFUNCTION("""COMPUTED_VALUE"""),"TNA-XTA-037")</f>
        <v>TNA-XTA-037</v>
      </c>
      <c r="B2442" s="1075" t="str">
        <f>IFERROR(__xludf.DUMMYFUNCTION("""COMPUTED_VALUE"""),"Xe ben 15 tấn")</f>
        <v>Xe ben 15 tấn</v>
      </c>
      <c r="C2442" s="1076" t="str">
        <f>IFERROR(__xludf.DUMMYFUNCTION("""COMPUTED_VALUE"""),"B.ĐTXD AD")</f>
        <v>B.ĐTXD AD</v>
      </c>
      <c r="D2442" s="1076" t="str">
        <f>IFERROR(__xludf.DUMMYFUNCTION("""COMPUTED_VALUE"""),"HYUNDAI")</f>
        <v>HYUNDAI</v>
      </c>
      <c r="E2442" s="1076"/>
      <c r="F2442" s="1076">
        <f>IFERROR(__xludf.DUMMYFUNCTION("""COMPUTED_VALUE"""),1996)</f>
        <v>1996</v>
      </c>
      <c r="G2442" s="1076"/>
      <c r="H2442" s="1076" t="str">
        <f>IFERROR(__xludf.DUMMYFUNCTION("""COMPUTED_VALUE"""),"320HP")</f>
        <v>320HP</v>
      </c>
      <c r="I2442" s="1076"/>
      <c r="J2442" s="1076" t="str">
        <f>IFERROR(__xludf.DUMMYFUNCTION("""COMPUTED_VALUE"""),"D8ABT163982")</f>
        <v>D8ABT163982</v>
      </c>
      <c r="K2442" s="1076"/>
      <c r="L2442" s="1076" t="str">
        <f>IFERROR(__xludf.DUMMYFUNCTION("""COMPUTED_VALUE"""),"-")</f>
        <v>-</v>
      </c>
    </row>
    <row r="2443" customHeight="1" spans="1:12">
      <c r="A2443" s="1076" t="str">
        <f>IFERROR(__xludf.DUMMYFUNCTION("""COMPUTED_VALUE"""),"TNA-XTA-038")</f>
        <v>TNA-XTA-038</v>
      </c>
      <c r="B2443" s="1075" t="str">
        <f>IFERROR(__xludf.DUMMYFUNCTION("""COMPUTED_VALUE"""),"Xe ben 15 tấn")</f>
        <v>Xe ben 15 tấn</v>
      </c>
      <c r="C2443" s="1076" t="str">
        <f>IFERROR(__xludf.DUMMYFUNCTION("""COMPUTED_VALUE"""),"B.ĐTXD AD")</f>
        <v>B.ĐTXD AD</v>
      </c>
      <c r="D2443" s="1076" t="str">
        <f>IFERROR(__xludf.DUMMYFUNCTION("""COMPUTED_VALUE"""),"HYUNDAI")</f>
        <v>HYUNDAI</v>
      </c>
      <c r="E2443" s="1076"/>
      <c r="F2443" s="1076">
        <f>IFERROR(__xludf.DUMMYFUNCTION("""COMPUTED_VALUE"""),1996)</f>
        <v>1996</v>
      </c>
      <c r="G2443" s="1076"/>
      <c r="H2443" s="1076" t="str">
        <f>IFERROR(__xludf.DUMMYFUNCTION("""COMPUTED_VALUE"""),"320HP")</f>
        <v>320HP</v>
      </c>
      <c r="I2443" s="1076"/>
      <c r="J2443" s="1076" t="str">
        <f>IFERROR(__xludf.DUMMYFUNCTION("""COMPUTED_VALUE"""),"D8AYT157951")</f>
        <v>D8AYT157951</v>
      </c>
      <c r="K2443" s="1076"/>
      <c r="L2443" s="1076" t="str">
        <f>IFERROR(__xludf.DUMMYFUNCTION("""COMPUTED_VALUE"""),"-")</f>
        <v>-</v>
      </c>
    </row>
    <row r="2444" customHeight="1" spans="1:12">
      <c r="A2444" s="1076" t="str">
        <f>IFERROR(__xludf.DUMMYFUNCTION("""COMPUTED_VALUE"""),"TNA-XTA-039")</f>
        <v>TNA-XTA-039</v>
      </c>
      <c r="B2444" s="1075" t="str">
        <f>IFERROR(__xludf.DUMMYFUNCTION("""COMPUTED_VALUE"""),"Xe ben 15 tấn")</f>
        <v>Xe ben 15 tấn</v>
      </c>
      <c r="C2444" s="1076" t="str">
        <f>IFERROR(__xludf.DUMMYFUNCTION("""COMPUTED_VALUE"""),"B.ĐTXD AD")</f>
        <v>B.ĐTXD AD</v>
      </c>
      <c r="D2444" s="1076" t="str">
        <f>IFERROR(__xludf.DUMMYFUNCTION("""COMPUTED_VALUE"""),"HYUNDAI")</f>
        <v>HYUNDAI</v>
      </c>
      <c r="E2444" s="1076"/>
      <c r="F2444" s="1076"/>
      <c r="G2444" s="1076"/>
      <c r="H2444" s="1076" t="str">
        <f>IFERROR(__xludf.DUMMYFUNCTION("""COMPUTED_VALUE"""),"360Hp")</f>
        <v>360Hp</v>
      </c>
      <c r="I2444" s="1076" t="str">
        <f>IFERROR(__xludf.DUMMYFUNCTION("""COMPUTED_VALUE"""),"104798")</f>
        <v>104798</v>
      </c>
      <c r="J2444" s="1076" t="str">
        <f>IFERROR(__xludf.DUMMYFUNCTION("""COMPUTED_VALUE"""),"11176")</f>
        <v>11176</v>
      </c>
      <c r="K2444" s="1076"/>
      <c r="L2444" s="1076" t="str">
        <f>IFERROR(__xludf.DUMMYFUNCTION("""COMPUTED_VALUE"""),"-")</f>
        <v>-</v>
      </c>
    </row>
    <row r="2445" customHeight="1" spans="1:12">
      <c r="A2445" s="1076" t="str">
        <f>IFERROR(__xludf.DUMMYFUNCTION("""COMPUTED_VALUE"""),"TNA-XTA-040")</f>
        <v>TNA-XTA-040</v>
      </c>
      <c r="B2445" s="1075" t="str">
        <f>IFERROR(__xludf.DUMMYFUNCTION("""COMPUTED_VALUE"""),"Xe ben 15 tấn ")</f>
        <v>Xe ben 15 tấn </v>
      </c>
      <c r="C2445" s="1076" t="str">
        <f>IFERROR(__xludf.DUMMYFUNCTION("""COMPUTED_VALUE"""),"B.ĐTXD AD")</f>
        <v>B.ĐTXD AD</v>
      </c>
      <c r="D2445" s="1076" t="str">
        <f>IFERROR(__xludf.DUMMYFUNCTION("""COMPUTED_VALUE"""),"HYUNDAI")</f>
        <v>HYUNDAI</v>
      </c>
      <c r="E2445" s="1076"/>
      <c r="F2445" s="1076"/>
      <c r="G2445" s="1076"/>
      <c r="H2445" s="1076" t="str">
        <f>IFERROR(__xludf.DUMMYFUNCTION("""COMPUTED_VALUE"""),"360Hp")</f>
        <v>360Hp</v>
      </c>
      <c r="I2445" s="1076" t="str">
        <f>IFERROR(__xludf.DUMMYFUNCTION("""COMPUTED_VALUE"""),"6799")</f>
        <v>6799</v>
      </c>
      <c r="J2445" s="1076" t="str">
        <f>IFERROR(__xludf.DUMMYFUNCTION("""COMPUTED_VALUE"""),"114543")</f>
        <v>114543</v>
      </c>
      <c r="K2445" s="1076"/>
      <c r="L2445" s="1076" t="str">
        <f>IFERROR(__xludf.DUMMYFUNCTION("""COMPUTED_VALUE"""),"-")</f>
        <v>-</v>
      </c>
    </row>
    <row r="2446" customHeight="1" spans="1:12">
      <c r="A2446" s="1076" t="str">
        <f>IFERROR(__xludf.DUMMYFUNCTION("""COMPUTED_VALUE"""),"TNA-XTA-041")</f>
        <v>TNA-XTA-041</v>
      </c>
      <c r="B2446" s="1075" t="str">
        <f>IFERROR(__xludf.DUMMYFUNCTION("""COMPUTED_VALUE"""),"Xe ben 05 tấn")</f>
        <v>Xe ben 05 tấn</v>
      </c>
      <c r="C2446" s="1076" t="str">
        <f>IFERROR(__xludf.DUMMYFUNCTION("""COMPUTED_VALUE"""),"B.ĐTXD AD")</f>
        <v>B.ĐTXD AD</v>
      </c>
      <c r="D2446" s="1076" t="str">
        <f>IFERROR(__xludf.DUMMYFUNCTION("""COMPUTED_VALUE"""),"HYUNDAI")</f>
        <v>HYUNDAI</v>
      </c>
      <c r="E2446" s="1076"/>
      <c r="F2446" s="1076">
        <f>IFERROR(__xludf.DUMMYFUNCTION("""COMPUTED_VALUE"""),1996)</f>
        <v>1996</v>
      </c>
      <c r="G2446" s="1076"/>
      <c r="H2446" s="1076" t="str">
        <f>IFERROR(__xludf.DUMMYFUNCTION("""COMPUTED_VALUE"""),"170Hp")</f>
        <v>170Hp</v>
      </c>
      <c r="I2446" s="1076" t="str">
        <f>IFERROR(__xludf.DUMMYFUNCTION("""COMPUTED_VALUE"""),"102016")</f>
        <v>102016</v>
      </c>
      <c r="J2446" s="1076" t="str">
        <f>IFERROR(__xludf.DUMMYFUNCTION("""COMPUTED_VALUE"""),"54285")</f>
        <v>54285</v>
      </c>
      <c r="K2446" s="1076"/>
      <c r="L2446" s="1076" t="str">
        <f>IFERROR(__xludf.DUMMYFUNCTION("""COMPUTED_VALUE"""),"-")</f>
        <v>-</v>
      </c>
    </row>
    <row r="2447" customHeight="1" spans="1:12">
      <c r="A2447" s="1076" t="str">
        <f>IFERROR(__xludf.DUMMYFUNCTION("""COMPUTED_VALUE"""),"TNA-XTA-042")</f>
        <v>TNA-XTA-042</v>
      </c>
      <c r="B2447" s="1075" t="str">
        <f>IFERROR(__xludf.DUMMYFUNCTION("""COMPUTED_VALUE"""),"Xe ben 05 tấn")</f>
        <v>Xe ben 05 tấn</v>
      </c>
      <c r="C2447" s="1076" t="str">
        <f>IFERROR(__xludf.DUMMYFUNCTION("""COMPUTED_VALUE"""),"B.ĐTXD AD")</f>
        <v>B.ĐTXD AD</v>
      </c>
      <c r="D2447" s="1076" t="str">
        <f>IFERROR(__xludf.DUMMYFUNCTION("""COMPUTED_VALUE"""),"HYUNDAI")</f>
        <v>HYUNDAI</v>
      </c>
      <c r="E2447" s="1076"/>
      <c r="F2447" s="1076">
        <f>IFERROR(__xludf.DUMMYFUNCTION("""COMPUTED_VALUE"""),1995)</f>
        <v>1995</v>
      </c>
      <c r="G2447" s="1076"/>
      <c r="H2447" s="1076" t="str">
        <f>IFERROR(__xludf.DUMMYFUNCTION("""COMPUTED_VALUE"""),"170Hp")</f>
        <v>170Hp</v>
      </c>
      <c r="I2447" s="1076" t="str">
        <f>IFERROR(__xludf.DUMMYFUNCTION("""COMPUTED_VALUE"""),"23375")</f>
        <v>23375</v>
      </c>
      <c r="J2447" s="1076" t="str">
        <f>IFERROR(__xludf.DUMMYFUNCTION("""COMPUTED_VALUE"""),"23375")</f>
        <v>23375</v>
      </c>
      <c r="K2447" s="1076"/>
      <c r="L2447" s="1076" t="str">
        <f>IFERROR(__xludf.DUMMYFUNCTION("""COMPUTED_VALUE"""),"-")</f>
        <v>-</v>
      </c>
    </row>
    <row r="2448" customHeight="1" spans="1:12">
      <c r="A2448" s="1076" t="str">
        <f>IFERROR(__xludf.DUMMYFUNCTION("""COMPUTED_VALUE"""),"TNA-XTA-043")</f>
        <v>TNA-XTA-043</v>
      </c>
      <c r="B2448" s="1075" t="str">
        <f>IFERROR(__xludf.DUMMYFUNCTION("""COMPUTED_VALUE"""),"Xe ben 15 tấn ")</f>
        <v>Xe ben 15 tấn </v>
      </c>
      <c r="C2448" s="1076" t="str">
        <f>IFERROR(__xludf.DUMMYFUNCTION("""COMPUTED_VALUE"""),"B.ĐTXD AD")</f>
        <v>B.ĐTXD AD</v>
      </c>
      <c r="D2448" s="1076" t="str">
        <f>IFERROR(__xludf.DUMMYFUNCTION("""COMPUTED_VALUE"""),"HYUNDAI")</f>
        <v>HYUNDAI</v>
      </c>
      <c r="E2448" s="1076"/>
      <c r="F2448" s="1076">
        <f>IFERROR(__xludf.DUMMYFUNCTION("""COMPUTED_VALUE"""),2004)</f>
        <v>2004</v>
      </c>
      <c r="G2448" s="1076"/>
      <c r="H2448" s="1076" t="str">
        <f>IFERROR(__xludf.DUMMYFUNCTION("""COMPUTED_VALUE"""),"360Hp")</f>
        <v>360Hp</v>
      </c>
      <c r="I2448" s="1076" t="str">
        <f>IFERROR(__xludf.DUMMYFUNCTION("""COMPUTED_VALUE"""),"30600")</f>
        <v>30600</v>
      </c>
      <c r="J2448" s="1076" t="str">
        <f>IFERROR(__xludf.DUMMYFUNCTION("""COMPUTED_VALUE"""),"3083201")</f>
        <v>3083201</v>
      </c>
      <c r="K2448" s="1076"/>
      <c r="L2448" s="1076" t="str">
        <f>IFERROR(__xludf.DUMMYFUNCTION("""COMPUTED_VALUE"""),"-")</f>
        <v>-</v>
      </c>
    </row>
    <row r="2449" customHeight="1" spans="1:12">
      <c r="A2449" s="1076" t="str">
        <f>IFERROR(__xludf.DUMMYFUNCTION("""COMPUTED_VALUE"""),"TNA-XTA-044")</f>
        <v>TNA-XTA-044</v>
      </c>
      <c r="B2449" s="1075" t="str">
        <f>IFERROR(__xludf.DUMMYFUNCTION("""COMPUTED_VALUE"""),"Xe ben 15 tấn ")</f>
        <v>Xe ben 15 tấn </v>
      </c>
      <c r="C2449" s="1076" t="str">
        <f>IFERROR(__xludf.DUMMYFUNCTION("""COMPUTED_VALUE"""),"B.ĐTXD AD")</f>
        <v>B.ĐTXD AD</v>
      </c>
      <c r="D2449" s="1076" t="str">
        <f>IFERROR(__xludf.DUMMYFUNCTION("""COMPUTED_VALUE"""),"HYUNDAI")</f>
        <v>HYUNDAI</v>
      </c>
      <c r="E2449" s="1076"/>
      <c r="F2449" s="1076">
        <f>IFERROR(__xludf.DUMMYFUNCTION("""COMPUTED_VALUE"""),2004)</f>
        <v>2004</v>
      </c>
      <c r="G2449" s="1076"/>
      <c r="H2449" s="1076" t="str">
        <f>IFERROR(__xludf.DUMMYFUNCTION("""COMPUTED_VALUE"""),"360Hp")</f>
        <v>360Hp</v>
      </c>
      <c r="I2449" s="1076" t="str">
        <f>IFERROR(__xludf.DUMMYFUNCTION("""COMPUTED_VALUE"""),"1741")</f>
        <v>1741</v>
      </c>
      <c r="J2449" s="1076" t="str">
        <f>IFERROR(__xludf.DUMMYFUNCTION("""COMPUTED_VALUE"""),"3084058")</f>
        <v>3084058</v>
      </c>
      <c r="K2449" s="1076"/>
      <c r="L2449" s="1076" t="str">
        <f>IFERROR(__xludf.DUMMYFUNCTION("""COMPUTED_VALUE"""),"-")</f>
        <v>-</v>
      </c>
    </row>
    <row r="2450" customHeight="1" spans="1:12">
      <c r="A2450" s="1076" t="str">
        <f>IFERROR(__xludf.DUMMYFUNCTION("""COMPUTED_VALUE"""),"TNA-XTA-045")</f>
        <v>TNA-XTA-045</v>
      </c>
      <c r="B2450" s="1075" t="str">
        <f>IFERROR(__xludf.DUMMYFUNCTION("""COMPUTED_VALUE"""),"Xe ben 15 tấn ")</f>
        <v>Xe ben 15 tấn </v>
      </c>
      <c r="C2450" s="1076" t="str">
        <f>IFERROR(__xludf.DUMMYFUNCTION("""COMPUTED_VALUE"""),"B.ĐTXD AD")</f>
        <v>B.ĐTXD AD</v>
      </c>
      <c r="D2450" s="1076" t="str">
        <f>IFERROR(__xludf.DUMMYFUNCTION("""COMPUTED_VALUE"""),"HYUNDAI")</f>
        <v>HYUNDAI</v>
      </c>
      <c r="E2450" s="1076"/>
      <c r="F2450" s="1076">
        <f>IFERROR(__xludf.DUMMYFUNCTION("""COMPUTED_VALUE"""),1997)</f>
        <v>1997</v>
      </c>
      <c r="G2450" s="1076"/>
      <c r="H2450" s="1076" t="str">
        <f>IFERROR(__xludf.DUMMYFUNCTION("""COMPUTED_VALUE"""),"360Hp")</f>
        <v>360Hp</v>
      </c>
      <c r="I2450" s="1076" t="str">
        <f>IFERROR(__xludf.DUMMYFUNCTION("""COMPUTED_VALUE"""),"K002184")</f>
        <v>K002184</v>
      </c>
      <c r="J2450" s="1076" t="str">
        <f>IFERROR(__xludf.DUMMYFUNCTION("""COMPUTED_VALUE"""),"268CG")</f>
        <v>268CG</v>
      </c>
      <c r="K2450" s="1076"/>
      <c r="L2450" s="1076" t="str">
        <f>IFERROR(__xludf.DUMMYFUNCTION("""COMPUTED_VALUE"""),"-")</f>
        <v>-</v>
      </c>
    </row>
    <row r="2451" customHeight="1" spans="1:12">
      <c r="A2451" s="1076" t="str">
        <f>IFERROR(__xludf.DUMMYFUNCTION("""COMPUTED_VALUE"""),"TNA-XTA-046")</f>
        <v>TNA-XTA-046</v>
      </c>
      <c r="B2451" s="1075" t="str">
        <f>IFERROR(__xludf.DUMMYFUNCTION("""COMPUTED_VALUE"""),"Xe ben 15 tấn ")</f>
        <v>Xe ben 15 tấn </v>
      </c>
      <c r="C2451" s="1076" t="str">
        <f>IFERROR(__xludf.DUMMYFUNCTION("""COMPUTED_VALUE"""),"B.ĐTXD AD")</f>
        <v>B.ĐTXD AD</v>
      </c>
      <c r="D2451" s="1076" t="str">
        <f>IFERROR(__xludf.DUMMYFUNCTION("""COMPUTED_VALUE"""),"HYUNDAI")</f>
        <v>HYUNDAI</v>
      </c>
      <c r="E2451" s="1076"/>
      <c r="F2451" s="1076">
        <f>IFERROR(__xludf.DUMMYFUNCTION("""COMPUTED_VALUE"""),1997)</f>
        <v>1997</v>
      </c>
      <c r="G2451" s="1076"/>
      <c r="H2451" s="1076" t="str">
        <f>IFERROR(__xludf.DUMMYFUNCTION("""COMPUTED_VALUE"""),"360Hp")</f>
        <v>360Hp</v>
      </c>
      <c r="I2451" s="1076" t="str">
        <f>IFERROR(__xludf.DUMMYFUNCTION("""COMPUTED_VALUE"""),"C104482")</f>
        <v>C104482</v>
      </c>
      <c r="J2451" s="1076" t="str">
        <f>IFERROR(__xludf.DUMMYFUNCTION("""COMPUTED_VALUE"""),"5507")</f>
        <v>5507</v>
      </c>
      <c r="K2451" s="1076"/>
      <c r="L2451" s="1076" t="str">
        <f>IFERROR(__xludf.DUMMYFUNCTION("""COMPUTED_VALUE"""),"-")</f>
        <v>-</v>
      </c>
    </row>
    <row r="2452" customHeight="1" spans="1:12">
      <c r="A2452" s="1076" t="str">
        <f>IFERROR(__xludf.DUMMYFUNCTION("""COMPUTED_VALUE"""),"TNA-XTA-047")</f>
        <v>TNA-XTA-047</v>
      </c>
      <c r="B2452" s="1075" t="str">
        <f>IFERROR(__xludf.DUMMYFUNCTION("""COMPUTED_VALUE"""),"Xe ben 05 tấn ")</f>
        <v>Xe ben 05 tấn </v>
      </c>
      <c r="C2452" s="1076" t="str">
        <f>IFERROR(__xludf.DUMMYFUNCTION("""COMPUTED_VALUE"""),"B.ĐTXD AD")</f>
        <v>B.ĐTXD AD</v>
      </c>
      <c r="D2452" s="1076" t="str">
        <f>IFERROR(__xludf.DUMMYFUNCTION("""COMPUTED_VALUE"""),"HYUNDAI")</f>
        <v>HYUNDAI</v>
      </c>
      <c r="E2452" s="1076"/>
      <c r="F2452" s="1076"/>
      <c r="G2452" s="1076"/>
      <c r="H2452" s="1076" t="str">
        <f>IFERROR(__xludf.DUMMYFUNCTION("""COMPUTED_VALUE"""),"130HP")</f>
        <v>130HP</v>
      </c>
      <c r="I2452" s="1076" t="str">
        <f>IFERROR(__xludf.DUMMYFUNCTION("""COMPUTED_VALUE"""),"119250")</f>
        <v>119250</v>
      </c>
      <c r="J2452" s="1076" t="str">
        <f>IFERROR(__xludf.DUMMYFUNCTION("""COMPUTED_VALUE"""),"14949")</f>
        <v>14949</v>
      </c>
      <c r="K2452" s="1076"/>
      <c r="L2452" s="1076" t="str">
        <f>IFERROR(__xludf.DUMMYFUNCTION("""COMPUTED_VALUE"""),"-")</f>
        <v>-</v>
      </c>
    </row>
    <row r="2453" customHeight="1" spans="1:12">
      <c r="A2453" s="1076" t="str">
        <f>IFERROR(__xludf.DUMMYFUNCTION("""COMPUTED_VALUE"""),"TNA-XTA-048")</f>
        <v>TNA-XTA-048</v>
      </c>
      <c r="B2453" s="1075" t="str">
        <f>IFERROR(__xludf.DUMMYFUNCTION("""COMPUTED_VALUE"""),"Xe ben 15 tấn ")</f>
        <v>Xe ben 15 tấn </v>
      </c>
      <c r="C2453" s="1076" t="str">
        <f>IFERROR(__xludf.DUMMYFUNCTION("""COMPUTED_VALUE"""),"B.ĐTXD AD")</f>
        <v>B.ĐTXD AD</v>
      </c>
      <c r="D2453" s="1076" t="str">
        <f>IFERROR(__xludf.DUMMYFUNCTION("""COMPUTED_VALUE"""),"HINO")</f>
        <v>HINO</v>
      </c>
      <c r="E2453" s="1076"/>
      <c r="F2453" s="1076"/>
      <c r="G2453" s="1076"/>
      <c r="H2453" s="1076" t="str">
        <f>IFERROR(__xludf.DUMMYFUNCTION("""COMPUTED_VALUE"""),"360Hp")</f>
        <v>360Hp</v>
      </c>
      <c r="I2453" s="1076" t="str">
        <f>IFERROR(__xludf.DUMMYFUNCTION("""COMPUTED_VALUE"""),"11546")</f>
        <v>11546</v>
      </c>
      <c r="J2453" s="1076"/>
      <c r="K2453" s="1076">
        <f>IFERROR(__xludf.DUMMYFUNCTION("""COMPUTED_VALUE"""),6.5)</f>
        <v>6.5</v>
      </c>
      <c r="L2453" s="1076" t="str">
        <f>IFERROR(__xludf.DUMMYFUNCTION("""COMPUTED_VALUE"""),"-")</f>
        <v>-</v>
      </c>
    </row>
    <row r="2454" customHeight="1" spans="1:12">
      <c r="A2454" s="1076" t="str">
        <f>IFERROR(__xludf.DUMMYFUNCTION("""COMPUTED_VALUE"""),"TNA-XTA-049")</f>
        <v>TNA-XTA-049</v>
      </c>
      <c r="B2454" s="1075" t="str">
        <f>IFERROR(__xludf.DUMMYFUNCTION("""COMPUTED_VALUE"""),"Xe ben 15 tấn ")</f>
        <v>Xe ben 15 tấn </v>
      </c>
      <c r="C2454" s="1076" t="str">
        <f>IFERROR(__xludf.DUMMYFUNCTION("""COMPUTED_VALUE"""),"B.ĐTXD AD")</f>
        <v>B.ĐTXD AD</v>
      </c>
      <c r="D2454" s="1076" t="str">
        <f>IFERROR(__xludf.DUMMYFUNCTION("""COMPUTED_VALUE"""),"DEAWOO")</f>
        <v>DEAWOO</v>
      </c>
      <c r="E2454" s="1076"/>
      <c r="F2454" s="1076"/>
      <c r="G2454" s="1076"/>
      <c r="H2454" s="1076" t="str">
        <f>IFERROR(__xludf.DUMMYFUNCTION("""COMPUTED_VALUE"""),"360Hp")</f>
        <v>360Hp</v>
      </c>
      <c r="I2454" s="1076" t="str">
        <f>IFERROR(__xludf.DUMMYFUNCTION("""COMPUTED_VALUE"""),";000176")</f>
        <v>;000176</v>
      </c>
      <c r="J2454" s="1076"/>
      <c r="K2454" s="1076">
        <f>IFERROR(__xludf.DUMMYFUNCTION("""COMPUTED_VALUE"""),6.5)</f>
        <v>6.5</v>
      </c>
      <c r="L2454" s="1076" t="str">
        <f>IFERROR(__xludf.DUMMYFUNCTION("""COMPUTED_VALUE"""),"-")</f>
        <v>-</v>
      </c>
    </row>
    <row r="2455" customHeight="1" spans="1:12">
      <c r="A2455" s="1076" t="str">
        <f>IFERROR(__xludf.DUMMYFUNCTION("""COMPUTED_VALUE"""),"TNA-XTA-050")</f>
        <v>TNA-XTA-050</v>
      </c>
      <c r="B2455" s="1075" t="str">
        <f>IFERROR(__xludf.DUMMYFUNCTION("""COMPUTED_VALUE"""),"Xe ben 15 tấn ")</f>
        <v>Xe ben 15 tấn </v>
      </c>
      <c r="C2455" s="1076" t="str">
        <f>IFERROR(__xludf.DUMMYFUNCTION("""COMPUTED_VALUE"""),"GNVC")</f>
        <v>GNVC</v>
      </c>
      <c r="D2455" s="1076" t="str">
        <f>IFERROR(__xludf.DUMMYFUNCTION("""COMPUTED_VALUE"""),"HYUNDAI")</f>
        <v>HYUNDAI</v>
      </c>
      <c r="E2455" s="1076"/>
      <c r="F2455" s="1076">
        <f>IFERROR(__xludf.DUMMYFUNCTION("""COMPUTED_VALUE"""),1994)</f>
        <v>1994</v>
      </c>
      <c r="G2455" s="1076"/>
      <c r="H2455" s="1076" t="str">
        <f>IFERROR(__xludf.DUMMYFUNCTION("""COMPUTED_VALUE"""),"320HP")</f>
        <v>320HP</v>
      </c>
      <c r="I2455" s="1076" t="str">
        <f>IFERROR(__xludf.DUMMYFUNCTION("""COMPUTED_VALUE"""),"KNDB19YPRU017598")</f>
        <v>KNDB19YPRU017598</v>
      </c>
      <c r="J2455" s="1076" t="str">
        <f>IFERROR(__xludf.DUMMYFUNCTION("""COMPUTED_VALUE"""),"D8AYU011710")</f>
        <v>D8AYU011710</v>
      </c>
      <c r="K2455" s="1076">
        <f>IFERROR(__xludf.DUMMYFUNCTION("""COMPUTED_VALUE"""),9.5)</f>
        <v>9.5</v>
      </c>
      <c r="L2455" s="1076" t="str">
        <f>IFERROR(__xludf.DUMMYFUNCTION("""COMPUTED_VALUE"""),"-")</f>
        <v>-</v>
      </c>
    </row>
    <row r="2456" customHeight="1" spans="1:12">
      <c r="A2456" s="1076" t="str">
        <f>IFERROR(__xludf.DUMMYFUNCTION("""COMPUTED_VALUE"""),"TNA-XTA-051")</f>
        <v>TNA-XTA-051</v>
      </c>
      <c r="B2456" s="1075" t="str">
        <f>IFERROR(__xludf.DUMMYFUNCTION("""COMPUTED_VALUE"""),"Xe ben 15 tấn ")</f>
        <v>Xe ben 15 tấn </v>
      </c>
      <c r="C2456" s="1076" t="str">
        <f>IFERROR(__xludf.DUMMYFUNCTION("""COMPUTED_VALUE"""),"GNVC")</f>
        <v>GNVC</v>
      </c>
      <c r="D2456" s="1076" t="str">
        <f>IFERROR(__xludf.DUMMYFUNCTION("""COMPUTED_VALUE"""),"HINO")</f>
        <v>HINO</v>
      </c>
      <c r="E2456" s="1076"/>
      <c r="F2456" s="1076">
        <f>IFERROR(__xludf.DUMMYFUNCTION("""COMPUTED_VALUE"""),1995)</f>
        <v>1995</v>
      </c>
      <c r="G2456" s="1076"/>
      <c r="H2456" s="1076" t="str">
        <f>IFERROR(__xludf.DUMMYFUNCTION("""COMPUTED_VALUE"""),"340HP")</f>
        <v>340HP</v>
      </c>
      <c r="I2456" s="1076" t="str">
        <f>IFERROR(__xludf.DUMMYFUNCTION("""COMPUTED_VALUE"""),"15TDF-000047")</f>
        <v>15TDF-000047</v>
      </c>
      <c r="J2456" s="1076" t="str">
        <f>IFERROR(__xludf.DUMMYFUNCTION("""COMPUTED_VALUE"""),"F17E000062")</f>
        <v>F17E000062</v>
      </c>
      <c r="K2456" s="1076">
        <f>IFERROR(__xludf.DUMMYFUNCTION("""COMPUTED_VALUE"""),9.5)</f>
        <v>9.5</v>
      </c>
      <c r="L2456" s="1076" t="str">
        <f>IFERROR(__xludf.DUMMYFUNCTION("""COMPUTED_VALUE"""),"-")</f>
        <v>-</v>
      </c>
    </row>
    <row r="2457" customHeight="1" spans="1:12">
      <c r="A2457" s="1076" t="str">
        <f>IFERROR(__xludf.DUMMYFUNCTION("""COMPUTED_VALUE"""),"TNA-XTA-052")</f>
        <v>TNA-XTA-052</v>
      </c>
      <c r="B2457" s="1075" t="str">
        <f>IFERROR(__xludf.DUMMYFUNCTION("""COMPUTED_VALUE"""),"Xe ben 25 tấn")</f>
        <v>Xe ben 25 tấn</v>
      </c>
      <c r="C2457" s="1076" t="str">
        <f>IFERROR(__xludf.DUMMYFUNCTION("""COMPUTED_VALUE"""),"B.ĐTXD AD")</f>
        <v>B.ĐTXD AD</v>
      </c>
      <c r="D2457" s="1076" t="str">
        <f>IFERROR(__xludf.DUMMYFUNCTION("""COMPUTED_VALUE"""),"HYUNDAI")</f>
        <v>HYUNDAI</v>
      </c>
      <c r="E2457" s="1076"/>
      <c r="F2457" s="1076">
        <f>IFERROR(__xludf.DUMMYFUNCTION("""COMPUTED_VALUE"""),2009)</f>
        <v>2009</v>
      </c>
      <c r="G2457" s="1076" t="str">
        <f>IFERROR(__xludf.DUMMYFUNCTION("""COMPUTED_VALUE"""),"TRAGO")</f>
        <v>TRAGO</v>
      </c>
      <c r="H2457" s="1076" t="str">
        <f>IFERROR(__xludf.DUMMYFUNCTION("""COMPUTED_VALUE"""),"380HP")</f>
        <v>380HP</v>
      </c>
      <c r="I2457" s="1076" t="str">
        <f>IFERROR(__xludf.DUMMYFUNCTION("""COMPUTED_VALUE"""),"KMCRB18NP9C038184")</f>
        <v>KMCRB18NP9C038184</v>
      </c>
      <c r="J2457" s="1076" t="str">
        <f>IFERROR(__xludf.DUMMYFUNCTION("""COMPUTED_VALUE"""),"D6CC9176877")</f>
        <v>D6CC9176877</v>
      </c>
      <c r="K2457" s="1076">
        <f>IFERROR(__xludf.DUMMYFUNCTION("""COMPUTED_VALUE"""),14.2)</f>
        <v>14.2</v>
      </c>
      <c r="L2457" s="1076" t="str">
        <f>IFERROR(__xludf.DUMMYFUNCTION("""COMPUTED_VALUE"""),"-")</f>
        <v>-</v>
      </c>
    </row>
    <row r="2458" customHeight="1" spans="1:12">
      <c r="A2458" s="1076" t="str">
        <f>IFERROR(__xludf.DUMMYFUNCTION("""COMPUTED_VALUE"""),"TNA-XTA-053")</f>
        <v>TNA-XTA-053</v>
      </c>
      <c r="B2458" s="1075" t="str">
        <f>IFERROR(__xludf.DUMMYFUNCTION("""COMPUTED_VALUE"""),"Xe ben 15 tấn")</f>
        <v>Xe ben 15 tấn</v>
      </c>
      <c r="C2458" s="1076" t="str">
        <f>IFERROR(__xludf.DUMMYFUNCTION("""COMPUTED_VALUE"""),"B.ĐTXD AD")</f>
        <v>B.ĐTXD AD</v>
      </c>
      <c r="D2458" s="1076" t="str">
        <f>IFERROR(__xludf.DUMMYFUNCTION("""COMPUTED_VALUE"""),"DAEWOOO")</f>
        <v>DAEWOOO</v>
      </c>
      <c r="E2458" s="1076"/>
      <c r="F2458" s="1076">
        <f>IFERROR(__xludf.DUMMYFUNCTION("""COMPUTED_VALUE"""),2002)</f>
        <v>2002</v>
      </c>
      <c r="G2458" s="1076" t="str">
        <f>IFERROR(__xludf.DUMMYFUNCTION("""COMPUTED_VALUE"""),"DAEWOOO")</f>
        <v>DAEWOOO</v>
      </c>
      <c r="H2458" s="1076" t="str">
        <f>IFERROR(__xludf.DUMMYFUNCTION("""COMPUTED_VALUE"""),"380HP")</f>
        <v>380HP</v>
      </c>
      <c r="I2458" s="1076" t="str">
        <f>IFERROR(__xludf.DUMMYFUNCTION("""COMPUTED_VALUE"""),"KL3K4OVA12K00039")</f>
        <v>KL3K4OVA12K00039</v>
      </c>
      <c r="J2458" s="1076" t="str">
        <f>IFERROR(__xludf.DUMMYFUNCTION("""COMPUTED_VALUE"""),"DV15TiS201215CG")</f>
        <v>DV15TiS201215CG</v>
      </c>
      <c r="K2458" s="1076">
        <f>IFERROR(__xludf.DUMMYFUNCTION("""COMPUTED_VALUE"""),6.5)</f>
        <v>6.5</v>
      </c>
      <c r="L2458" s="1076" t="str">
        <f>IFERROR(__xludf.DUMMYFUNCTION("""COMPUTED_VALUE"""),"-")</f>
        <v>-</v>
      </c>
    </row>
    <row r="2459" customHeight="1" spans="1:12">
      <c r="A2459" s="1076" t="str">
        <f>IFERROR(__xludf.DUMMYFUNCTION("""COMPUTED_VALUE"""),"TNA-XTA-054")</f>
        <v>TNA-XTA-054</v>
      </c>
      <c r="B2459" s="1075" t="str">
        <f>IFERROR(__xludf.DUMMYFUNCTION("""COMPUTED_VALUE"""),"Xe ben 25 tấn")</f>
        <v>Xe ben 25 tấn</v>
      </c>
      <c r="C2459" s="1076" t="str">
        <f>IFERROR(__xludf.DUMMYFUNCTION("""COMPUTED_VALUE"""),"XN Chuối AD2")</f>
        <v>XN Chuối AD2</v>
      </c>
      <c r="D2459" s="1076" t="str">
        <f>IFERROR(__xludf.DUMMYFUNCTION("""COMPUTED_VALUE"""),"HYUNDAI")</f>
        <v>HYUNDAI</v>
      </c>
      <c r="E2459" s="1076" t="str">
        <f>IFERROR(__xludf.DUMMYFUNCTION("""COMPUTED_VALUE"""),"HÀN QUỐC")</f>
        <v>HÀN QUỐC</v>
      </c>
      <c r="F2459" s="1076">
        <f>IFERROR(__xludf.DUMMYFUNCTION("""COMPUTED_VALUE"""),2006)</f>
        <v>2006</v>
      </c>
      <c r="G2459" s="1076" t="str">
        <f>IFERROR(__xludf.DUMMYFUNCTION("""COMPUTED_VALUE"""),"DUMPTRUCK")</f>
        <v>DUMPTRUCK</v>
      </c>
      <c r="H2459" s="1076" t="str">
        <f>IFERROR(__xludf.DUMMYFUNCTION("""COMPUTED_VALUE"""),"440HP")</f>
        <v>440HP</v>
      </c>
      <c r="I2459" s="1076" t="str">
        <f>IFERROR(__xludf.DUMMYFUNCTION("""COMPUTED_VALUE"""),"KNCPB18TP6C011883")</f>
        <v>KNCPB18TP6C011883</v>
      </c>
      <c r="J2459" s="1076" t="str">
        <f>IFERROR(__xludf.DUMMYFUNCTION("""COMPUTED_VALUE"""),"D6CB6122604")</f>
        <v>D6CB6122604</v>
      </c>
      <c r="K2459" s="1076">
        <f>IFERROR(__xludf.DUMMYFUNCTION("""COMPUTED_VALUE"""),9.8)</f>
        <v>9.8</v>
      </c>
      <c r="L2459" s="1076" t="str">
        <f>IFERROR(__xludf.DUMMYFUNCTION("""COMPUTED_VALUE"""),"-")</f>
        <v>-</v>
      </c>
    </row>
    <row r="2460" customHeight="1" spans="1:12">
      <c r="A2460" s="1076" t="str">
        <f>IFERROR(__xludf.DUMMYFUNCTION("""COMPUTED_VALUE"""),"TNA-XTA-056")</f>
        <v>TNA-XTA-056</v>
      </c>
      <c r="B2460" s="1075" t="str">
        <f>IFERROR(__xludf.DUMMYFUNCTION("""COMPUTED_VALUE"""),"Xe ben 5 tấn")</f>
        <v>Xe ben 5 tấn</v>
      </c>
      <c r="C2460" s="1076" t="str">
        <f>IFERROR(__xludf.DUMMYFUNCTION("""COMPUTED_VALUE"""),"CGTC AD")</f>
        <v>CGTC AD</v>
      </c>
      <c r="D2460" s="1076" t="str">
        <f>IFERROR(__xludf.DUMMYFUNCTION("""COMPUTED_VALUE"""),"HYUNDAI")</f>
        <v>HYUNDAI</v>
      </c>
      <c r="E2460" s="1076" t="str">
        <f>IFERROR(__xludf.DUMMYFUNCTION("""COMPUTED_VALUE"""),"HÀN QUỐC")</f>
        <v>HÀN QUỐC</v>
      </c>
      <c r="F2460" s="1076">
        <f>IFERROR(__xludf.DUMMYFUNCTION("""COMPUTED_VALUE"""),2000)</f>
        <v>2000</v>
      </c>
      <c r="G2460" s="1076" t="str">
        <f>IFERROR(__xludf.DUMMYFUNCTION("""COMPUTED_VALUE"""),"HEAVY TRUCK")</f>
        <v>HEAVY TRUCK</v>
      </c>
      <c r="H2460" s="1076" t="str">
        <f>IFERROR(__xludf.DUMMYFUNCTION("""COMPUTED_VALUE"""),"181HP")</f>
        <v>181HP</v>
      </c>
      <c r="I2460" s="1076" t="str">
        <f>IFERROR(__xludf.DUMMYFUNCTION("""COMPUTED_VALUE"""),"KMFLA19RPYC011996")</f>
        <v>KMFLA19RPYC011996</v>
      </c>
      <c r="J2460" s="1076" t="str">
        <f>IFERROR(__xludf.DUMMYFUNCTION("""COMPUTED_VALUE"""),"D6BRY030010")</f>
        <v>D6BRY030010</v>
      </c>
      <c r="K2460" s="1076">
        <f>IFERROR(__xludf.DUMMYFUNCTION("""COMPUTED_VALUE"""),4.6)</f>
        <v>4.6</v>
      </c>
      <c r="L2460" s="1076" t="str">
        <f>IFERROR(__xludf.DUMMYFUNCTION("""COMPUTED_VALUE"""),"-")</f>
        <v>-</v>
      </c>
    </row>
    <row r="2461" customHeight="1" spans="1:12">
      <c r="A2461" s="1076" t="str">
        <f>IFERROR(__xludf.DUMMYFUNCTION("""COMPUTED_VALUE"""),"TNA-XTA-057")</f>
        <v>TNA-XTA-057</v>
      </c>
      <c r="B2461" s="1075" t="str">
        <f>IFERROR(__xludf.DUMMYFUNCTION("""COMPUTED_VALUE"""),"Xe ben 5 tấn")</f>
        <v>Xe ben 5 tấn</v>
      </c>
      <c r="C2461" s="1076" t="str">
        <f>IFERROR(__xludf.DUMMYFUNCTION("""COMPUTED_VALUE"""),"CGTC AD")</f>
        <v>CGTC AD</v>
      </c>
      <c r="D2461" s="1076" t="str">
        <f>IFERROR(__xludf.DUMMYFUNCTION("""COMPUTED_VALUE"""),"HYUNDAI")</f>
        <v>HYUNDAI</v>
      </c>
      <c r="E2461" s="1076" t="str">
        <f>IFERROR(__xludf.DUMMYFUNCTION("""COMPUTED_VALUE"""),"HÀN QUỐC")</f>
        <v>HÀN QUỐC</v>
      </c>
      <c r="F2461" s="1076">
        <f>IFERROR(__xludf.DUMMYFUNCTION("""COMPUTED_VALUE"""),1999)</f>
        <v>1999</v>
      </c>
      <c r="G2461" s="1076" t="str">
        <f>IFERROR(__xludf.DUMMYFUNCTION("""COMPUTED_VALUE"""),"HEAVY TRUCK")</f>
        <v>HEAVY TRUCK</v>
      </c>
      <c r="H2461" s="1076" t="str">
        <f>IFERROR(__xludf.DUMMYFUNCTION("""COMPUTED_VALUE"""),"170HP")</f>
        <v>170HP</v>
      </c>
      <c r="I2461" s="1076" t="str">
        <f>IFERROR(__xludf.DUMMYFUNCTION("""COMPUTED_VALUE"""),"KMFLA19RPXC008358")</f>
        <v>KMFLA19RPXC008358</v>
      </c>
      <c r="J2461" s="1076" t="str">
        <f>IFERROR(__xludf.DUMMYFUNCTION("""COMPUTED_VALUE"""),"D6BRX025565")</f>
        <v>D6BRX025565</v>
      </c>
      <c r="K2461" s="1076">
        <f>IFERROR(__xludf.DUMMYFUNCTION("""COMPUTED_VALUE"""),4.75)</f>
        <v>4.75</v>
      </c>
      <c r="L2461" s="1076" t="str">
        <f>IFERROR(__xludf.DUMMYFUNCTION("""COMPUTED_VALUE"""),"-")</f>
        <v>-</v>
      </c>
    </row>
    <row r="2462" customHeight="1" spans="1:12">
      <c r="A2462" s="1076" t="str">
        <f>IFERROR(__xludf.DUMMYFUNCTION("""COMPUTED_VALUE"""),"TNA-XTA-058")</f>
        <v>TNA-XTA-058</v>
      </c>
      <c r="B2462" s="1075" t="str">
        <f>IFERROR(__xludf.DUMMYFUNCTION("""COMPUTED_VALUE"""),"Xe ben 5 tấn")</f>
        <v>Xe ben 5 tấn</v>
      </c>
      <c r="C2462" s="1076" t="str">
        <f>IFERROR(__xludf.DUMMYFUNCTION("""COMPUTED_VALUE"""),"CGTC AD")</f>
        <v>CGTC AD</v>
      </c>
      <c r="D2462" s="1076" t="str">
        <f>IFERROR(__xludf.DUMMYFUNCTION("""COMPUTED_VALUE"""),"HYUNDAI")</f>
        <v>HYUNDAI</v>
      </c>
      <c r="E2462" s="1076" t="str">
        <f>IFERROR(__xludf.DUMMYFUNCTION("""COMPUTED_VALUE"""),"HÀN QUỐC")</f>
        <v>HÀN QUỐC</v>
      </c>
      <c r="F2462" s="1076">
        <f>IFERROR(__xludf.DUMMYFUNCTION("""COMPUTED_VALUE"""),2004)</f>
        <v>2004</v>
      </c>
      <c r="G2462" s="1076" t="str">
        <f>IFERROR(__xludf.DUMMYFUNCTION("""COMPUTED_VALUE"""),"HEAVY TRUCK")</f>
        <v>HEAVY TRUCK</v>
      </c>
      <c r="H2462" s="1076" t="str">
        <f>IFERROR(__xludf.DUMMYFUNCTION("""COMPUTED_VALUE"""),"170HP")</f>
        <v>170HP</v>
      </c>
      <c r="I2462" s="1076" t="str">
        <f>IFERROR(__xludf.DUMMYFUNCTION("""COMPUTED_VALUE"""),"KMFLA18AP4C048950")</f>
        <v>KMFLA18AP4C048950</v>
      </c>
      <c r="J2462" s="1076" t="str">
        <f>IFERROR(__xludf.DUMMYFUNCTION("""COMPUTED_VALUE"""),"D6DA4223832")</f>
        <v>D6DA4223832</v>
      </c>
      <c r="K2462" s="1076">
        <f>IFERROR(__xludf.DUMMYFUNCTION("""COMPUTED_VALUE"""),4.75)</f>
        <v>4.75</v>
      </c>
      <c r="L2462" s="1076" t="str">
        <f>IFERROR(__xludf.DUMMYFUNCTION("""COMPUTED_VALUE"""),"-")</f>
        <v>-</v>
      </c>
    </row>
    <row r="2463" customHeight="1" spans="1:12">
      <c r="A2463" s="1076" t="str">
        <f>IFERROR(__xludf.DUMMYFUNCTION("""COMPUTED_VALUE"""),"TNA-XTA-059")</f>
        <v>TNA-XTA-059</v>
      </c>
      <c r="B2463" s="1075" t="str">
        <f>IFERROR(__xludf.DUMMYFUNCTION("""COMPUTED_VALUE"""),"Xe ben 5 tấn")</f>
        <v>Xe ben 5 tấn</v>
      </c>
      <c r="C2463" s="1076" t="str">
        <f>IFERROR(__xludf.DUMMYFUNCTION("""COMPUTED_VALUE"""),"CGTC AD")</f>
        <v>CGTC AD</v>
      </c>
      <c r="D2463" s="1076" t="str">
        <f>IFERROR(__xludf.DUMMYFUNCTION("""COMPUTED_VALUE"""),"HYUNDAI")</f>
        <v>HYUNDAI</v>
      </c>
      <c r="E2463" s="1076" t="str">
        <f>IFERROR(__xludf.DUMMYFUNCTION("""COMPUTED_VALUE"""),"HÀN QUỐC")</f>
        <v>HÀN QUỐC</v>
      </c>
      <c r="F2463" s="1076">
        <f>IFERROR(__xludf.DUMMYFUNCTION("""COMPUTED_VALUE"""),2003)</f>
        <v>2003</v>
      </c>
      <c r="G2463" s="1076" t="str">
        <f>IFERROR(__xludf.DUMMYFUNCTION("""COMPUTED_VALUE"""),"HEAVY TRUCK")</f>
        <v>HEAVY TRUCK</v>
      </c>
      <c r="H2463" s="1076" t="str">
        <f>IFERROR(__xludf.DUMMYFUNCTION("""COMPUTED_VALUE"""),"165HP")</f>
        <v>165HP</v>
      </c>
      <c r="I2463" s="1076" t="str">
        <f>IFERROR(__xludf.DUMMYFUNCTION("""COMPUTED_VALUE"""),"KMFLA18AP3C043483")</f>
        <v>KMFLA18AP3C043483</v>
      </c>
      <c r="J2463" s="1076" t="str">
        <f>IFERROR(__xludf.DUMMYFUNCTION("""COMPUTED_VALUE"""),"D6DA3219693")</f>
        <v>D6DA3219693</v>
      </c>
      <c r="K2463" s="1076">
        <f>IFERROR(__xludf.DUMMYFUNCTION("""COMPUTED_VALUE"""),4.75)</f>
        <v>4.75</v>
      </c>
      <c r="L2463" s="1076" t="str">
        <f>IFERROR(__xludf.DUMMYFUNCTION("""COMPUTED_VALUE"""),"-")</f>
        <v>-</v>
      </c>
    </row>
    <row r="2464" customHeight="1" spans="1:12">
      <c r="A2464" s="1076" t="str">
        <f>IFERROR(__xludf.DUMMYFUNCTION("""COMPUTED_VALUE"""),"TNA-XTA-060")</f>
        <v>TNA-XTA-060</v>
      </c>
      <c r="B2464" s="1075" t="str">
        <f>IFERROR(__xludf.DUMMYFUNCTION("""COMPUTED_VALUE"""),"Xe ben 15 tấn ")</f>
        <v>Xe ben 15 tấn </v>
      </c>
      <c r="C2464" s="1076" t="str">
        <f>IFERROR(__xludf.DUMMYFUNCTION("""COMPUTED_VALUE"""),"B.ĐTXD AD")</f>
        <v>B.ĐTXD AD</v>
      </c>
      <c r="D2464" s="1076" t="str">
        <f>IFERROR(__xludf.DUMMYFUNCTION("""COMPUTED_VALUE"""),"HYUNDAI")</f>
        <v>HYUNDAI</v>
      </c>
      <c r="E2464" s="1076" t="str">
        <f>IFERROR(__xludf.DUMMYFUNCTION("""COMPUTED_VALUE"""),"HÀN QUỐC")</f>
        <v>HÀN QUỐC</v>
      </c>
      <c r="F2464" s="1076">
        <f>IFERROR(__xludf.DUMMYFUNCTION("""COMPUTED_VALUE"""),1991)</f>
        <v>1991</v>
      </c>
      <c r="G2464" s="1076" t="str">
        <f>IFERROR(__xludf.DUMMYFUNCTION("""COMPUTED_VALUE"""),"DUMP TRUCK")</f>
        <v>DUMP TRUCK</v>
      </c>
      <c r="H2464" s="1076" t="str">
        <f>IFERROR(__xludf.DUMMYFUNCTION("""COMPUTED_VALUE"""),"320 HP")</f>
        <v>320 HP</v>
      </c>
      <c r="I2464" s="1076" t="str">
        <f>IFERROR(__xludf.DUMMYFUNCTION("""COMPUTED_VALUE"""),"KMCDB19YDM4010848")</f>
        <v>KMCDB19YDM4010848</v>
      </c>
      <c r="J2464" s="1076" t="str">
        <f>IFERROR(__xludf.DUMMYFUNCTION("""COMPUTED_VALUE"""),"D8AYM062626")</f>
        <v>D8AYM062626</v>
      </c>
      <c r="K2464" s="1076">
        <f>IFERROR(__xludf.DUMMYFUNCTION("""COMPUTED_VALUE"""),8)</f>
        <v>8</v>
      </c>
      <c r="L2464" s="1076" t="str">
        <f>IFERROR(__xludf.DUMMYFUNCTION("""COMPUTED_VALUE"""),"Đang thuê")</f>
        <v>Đang thuê</v>
      </c>
    </row>
    <row r="2465" customHeight="1" spans="1:12">
      <c r="A2465" s="1076" t="str">
        <f>IFERROR(__xludf.DUMMYFUNCTION("""COMPUTED_VALUE"""),"TNA-XTA-061")</f>
        <v>TNA-XTA-061</v>
      </c>
      <c r="B2465" s="1075" t="str">
        <f>IFERROR(__xludf.DUMMYFUNCTION("""COMPUTED_VALUE"""),"Xe ben 25 tấn ")</f>
        <v>Xe ben 25 tấn </v>
      </c>
      <c r="C2465" s="1076" t="str">
        <f>IFERROR(__xludf.DUMMYFUNCTION("""COMPUTED_VALUE"""),"B.ĐTXD AD")</f>
        <v>B.ĐTXD AD</v>
      </c>
      <c r="D2465" s="1076" t="str">
        <f>IFERROR(__xludf.DUMMYFUNCTION("""COMPUTED_VALUE"""),"SCANIA")</f>
        <v>SCANIA</v>
      </c>
      <c r="E2465" s="1076"/>
      <c r="F2465" s="1076">
        <f>IFERROR(__xludf.DUMMYFUNCTION("""COMPUTED_VALUE"""),2004)</f>
        <v>2004</v>
      </c>
      <c r="G2465" s="1076"/>
      <c r="H2465" s="1076" t="str">
        <f>IFERROR(__xludf.DUMMYFUNCTION("""COMPUTED_VALUE"""),"340 HP")</f>
        <v>340 HP</v>
      </c>
      <c r="I2465" s="1076" t="str">
        <f>IFERROR(__xludf.DUMMYFUNCTION("""COMPUTED_VALUE"""),"9BSP8X40043551205")</f>
        <v>9BSP8X40043551205</v>
      </c>
      <c r="J2465" s="1076" t="str">
        <f>IFERROR(__xludf.DUMMYFUNCTION("""COMPUTED_VALUE"""),"DC1104L018031440")</f>
        <v>DC1104L018031440</v>
      </c>
      <c r="K2465" s="1076">
        <f>IFERROR(__xludf.DUMMYFUNCTION("""COMPUTED_VALUE"""),10.5)</f>
        <v>10.5</v>
      </c>
      <c r="L2465" s="1076" t="str">
        <f>IFERROR(__xludf.DUMMYFUNCTION("""COMPUTED_VALUE"""),"Đang thuê")</f>
        <v>Đang thuê</v>
      </c>
    </row>
    <row r="2466" customHeight="1" spans="1:12">
      <c r="A2466" s="1076" t="str">
        <f>IFERROR(__xludf.DUMMYFUNCTION("""COMPUTED_VALUE"""),"TNA-XTA-062")</f>
        <v>TNA-XTA-062</v>
      </c>
      <c r="B2466" s="1075" t="str">
        <f>IFERROR(__xludf.DUMMYFUNCTION("""COMPUTED_VALUE"""),"Xe ben 25 tấn ")</f>
        <v>Xe ben 25 tấn </v>
      </c>
      <c r="C2466" s="1076" t="str">
        <f>IFERROR(__xludf.DUMMYFUNCTION("""COMPUTED_VALUE"""),"B.ĐTXD AD")</f>
        <v>B.ĐTXD AD</v>
      </c>
      <c r="D2466" s="1076" t="str">
        <f>IFERROR(__xludf.DUMMYFUNCTION("""COMPUTED_VALUE"""),"SCANIA")</f>
        <v>SCANIA</v>
      </c>
      <c r="E2466" s="1076"/>
      <c r="F2466" s="1076">
        <f>IFERROR(__xludf.DUMMYFUNCTION("""COMPUTED_VALUE"""),2004)</f>
        <v>2004</v>
      </c>
      <c r="G2466" s="1076"/>
      <c r="H2466" s="1076" t="str">
        <f>IFERROR(__xludf.DUMMYFUNCTION("""COMPUTED_VALUE"""),"380 HP")</f>
        <v>380 HP</v>
      </c>
      <c r="I2466" s="1076" t="str">
        <f>IFERROR(__xludf.DUMMYFUNCTION("""COMPUTED_VALUE"""),"98BSP8X400435461016")</f>
        <v>98BSP8X400435461016</v>
      </c>
      <c r="J2466" s="1076" t="str">
        <f>IFERROR(__xludf.DUMMYFUNCTION("""COMPUTED_VALUE"""),"DC11041018026330")</f>
        <v>DC11041018026330</v>
      </c>
      <c r="K2466" s="1076">
        <f>IFERROR(__xludf.DUMMYFUNCTION("""COMPUTED_VALUE"""),10.5)</f>
        <v>10.5</v>
      </c>
      <c r="L2466" s="1076" t="str">
        <f>IFERROR(__xludf.DUMMYFUNCTION("""COMPUTED_VALUE"""),"Đang thuê")</f>
        <v>Đang thuê</v>
      </c>
    </row>
    <row r="2467" customHeight="1" spans="1:12">
      <c r="A2467" s="1076" t="str">
        <f>IFERROR(__xludf.DUMMYFUNCTION("""COMPUTED_VALUE"""),"TNA-XTA-063")</f>
        <v>TNA-XTA-063</v>
      </c>
      <c r="B2467" s="1075" t="str">
        <f>IFERROR(__xludf.DUMMYFUNCTION("""COMPUTED_VALUE"""),"Xe ben 15 tấn ")</f>
        <v>Xe ben 15 tấn </v>
      </c>
      <c r="C2467" s="1076" t="str">
        <f>IFERROR(__xludf.DUMMYFUNCTION("""COMPUTED_VALUE"""),"B.ĐTXD AD")</f>
        <v>B.ĐTXD AD</v>
      </c>
      <c r="D2467" s="1076" t="str">
        <f>IFERROR(__xludf.DUMMYFUNCTION("""COMPUTED_VALUE"""),"DAEWOOO")</f>
        <v>DAEWOOO</v>
      </c>
      <c r="E2467" s="1076" t="str">
        <f>IFERROR(__xludf.DUMMYFUNCTION("""COMPUTED_VALUE"""),"NHẬT BẢN")</f>
        <v>NHẬT BẢN</v>
      </c>
      <c r="F2467" s="1076">
        <f>IFERROR(__xludf.DUMMYFUNCTION("""COMPUTED_VALUE"""),2002)</f>
        <v>2002</v>
      </c>
      <c r="G2467" s="1076"/>
      <c r="H2467" s="1076" t="str">
        <f>IFERROR(__xludf.DUMMYFUNCTION("""COMPUTED_VALUE"""),"360 HP")</f>
        <v>360 HP</v>
      </c>
      <c r="I2467" s="1076" t="str">
        <f>IFERROR(__xludf.DUMMYFUNCTION("""COMPUTED_VALUE"""),"KL3K4DEA12K000176")</f>
        <v>KL3K4DEA12K000176</v>
      </c>
      <c r="J2467" s="1076" t="str">
        <f>IFERROR(__xludf.DUMMYFUNCTION("""COMPUTED_VALUE"""),"DE12TIS205183CA")</f>
        <v>DE12TIS205183CA</v>
      </c>
      <c r="K2467" s="1076">
        <f>IFERROR(__xludf.DUMMYFUNCTION("""COMPUTED_VALUE"""),7.5)</f>
        <v>7.5</v>
      </c>
      <c r="L2467" s="1076" t="str">
        <f>IFERROR(__xludf.DUMMYFUNCTION("""COMPUTED_VALUE"""),"Đang thuê")</f>
        <v>Đang thuê</v>
      </c>
    </row>
    <row r="2468" customHeight="1" spans="1:12">
      <c r="A2468" s="1076" t="str">
        <f>IFERROR(__xludf.DUMMYFUNCTION("""COMPUTED_VALUE"""),"TNA-XTA-064")</f>
        <v>TNA-XTA-064</v>
      </c>
      <c r="B2468" s="1075" t="str">
        <f>IFERROR(__xludf.DUMMYFUNCTION("""COMPUTED_VALUE"""),"Xe ben 15 tấn ")</f>
        <v>Xe ben 15 tấn </v>
      </c>
      <c r="C2468" s="1076" t="str">
        <f>IFERROR(__xludf.DUMMYFUNCTION("""COMPUTED_VALUE"""),"B.ĐTXD AD")</f>
        <v>B.ĐTXD AD</v>
      </c>
      <c r="D2468" s="1076" t="str">
        <f>IFERROR(__xludf.DUMMYFUNCTION("""COMPUTED_VALUE"""),"DAEWOOO")</f>
        <v>DAEWOOO</v>
      </c>
      <c r="E2468" s="1076" t="str">
        <f>IFERROR(__xludf.DUMMYFUNCTION("""COMPUTED_VALUE"""),"NHẬT BẢN")</f>
        <v>NHẬT BẢN</v>
      </c>
      <c r="F2468" s="1076">
        <f>IFERROR(__xludf.DUMMYFUNCTION("""COMPUTED_VALUE"""),2004)</f>
        <v>2004</v>
      </c>
      <c r="G2468" s="1076"/>
      <c r="H2468" s="1076" t="str">
        <f>IFERROR(__xludf.DUMMYFUNCTION("""COMPUTED_VALUE"""),"390 HP")</f>
        <v>390 HP</v>
      </c>
      <c r="I2468" s="1076" t="str">
        <f>IFERROR(__xludf.DUMMYFUNCTION("""COMPUTED_VALUE"""),"KL3K4DVA14K0004528")</f>
        <v>KL3K4DVA14K0004528</v>
      </c>
      <c r="J2468" s="1076" t="str">
        <f>IFERROR(__xludf.DUMMYFUNCTION("""COMPUTED_VALUE"""),"DV15TIS401023CG")</f>
        <v>DV15TIS401023CG</v>
      </c>
      <c r="K2468" s="1076">
        <f>IFERROR(__xludf.DUMMYFUNCTION("""COMPUTED_VALUE"""),7.5)</f>
        <v>7.5</v>
      </c>
      <c r="L2468" s="1076" t="str">
        <f>IFERROR(__xludf.DUMMYFUNCTION("""COMPUTED_VALUE"""),"Đang thuê")</f>
        <v>Đang thuê</v>
      </c>
    </row>
    <row r="2469" customHeight="1" spans="1:12">
      <c r="A2469" s="1076" t="str">
        <f>IFERROR(__xludf.DUMMYFUNCTION("""COMPUTED_VALUE"""),"TNA-XTA-065")</f>
        <v>TNA-XTA-065</v>
      </c>
      <c r="B2469" s="1075" t="str">
        <f>IFERROR(__xludf.DUMMYFUNCTION("""COMPUTED_VALUE"""),"Xe ben 5 tấn")</f>
        <v>Xe ben 5 tấn</v>
      </c>
      <c r="C2469" s="1076" t="str">
        <f>IFERROR(__xludf.DUMMYFUNCTION("""COMPUTED_VALUE"""),"B.ĐTXD AD")</f>
        <v>B.ĐTXD AD</v>
      </c>
      <c r="D2469" s="1076" t="str">
        <f>IFERROR(__xludf.DUMMYFUNCTION("""COMPUTED_VALUE"""),"HINO")</f>
        <v>HINO</v>
      </c>
      <c r="E2469" s="1076"/>
      <c r="F2469" s="1076">
        <f>IFERROR(__xludf.DUMMYFUNCTION("""COMPUTED_VALUE"""),1996)</f>
        <v>1996</v>
      </c>
      <c r="G2469" s="1076"/>
      <c r="H2469" s="1076"/>
      <c r="I2469" s="1076" t="str">
        <f>IFERROR(__xludf.DUMMYFUNCTION("""COMPUTED_VALUE"""),"FD2JLB15647")</f>
        <v>FD2JLB15647</v>
      </c>
      <c r="J2469" s="1076" t="str">
        <f>IFERROR(__xludf.DUMMYFUNCTION("""COMPUTED_VALUE"""),"J08CB32012")</f>
        <v>J08CB32012</v>
      </c>
      <c r="K2469" s="1076">
        <f>IFERROR(__xludf.DUMMYFUNCTION("""COMPUTED_VALUE"""),4.5)</f>
        <v>4.5</v>
      </c>
      <c r="L2469" s="1076" t="str">
        <f>IFERROR(__xludf.DUMMYFUNCTION("""COMPUTED_VALUE"""),"Đang thuê")</f>
        <v>Đang thuê</v>
      </c>
    </row>
    <row r="2470" customHeight="1" spans="1:12">
      <c r="A2470" s="1076" t="str">
        <f>IFERROR(__xludf.DUMMYFUNCTION("""COMPUTED_VALUE"""),"TNA-XTA-066")</f>
        <v>TNA-XTA-066</v>
      </c>
      <c r="B2470" s="1075" t="str">
        <f>IFERROR(__xludf.DUMMYFUNCTION("""COMPUTED_VALUE"""),"Xe ben 5 tấn")</f>
        <v>Xe ben 5 tấn</v>
      </c>
      <c r="C2470" s="1076" t="str">
        <f>IFERROR(__xludf.DUMMYFUNCTION("""COMPUTED_VALUE"""),"B.ĐTXD AD")</f>
        <v>B.ĐTXD AD</v>
      </c>
      <c r="D2470" s="1076" t="str">
        <f>IFERROR(__xludf.DUMMYFUNCTION("""COMPUTED_VALUE"""),"HUYNDAI")</f>
        <v>HUYNDAI</v>
      </c>
      <c r="E2470" s="1076"/>
      <c r="F2470" s="1076">
        <f>IFERROR(__xludf.DUMMYFUNCTION("""COMPUTED_VALUE"""),1999)</f>
        <v>1999</v>
      </c>
      <c r="G2470" s="1076" t="str">
        <f>IFERROR(__xludf.DUMMYFUNCTION("""COMPUTED_VALUE"""),"DUMP TRUCH")</f>
        <v>DUMP TRUCH</v>
      </c>
      <c r="H2470" s="1076"/>
      <c r="I2470" s="1076" t="str">
        <f>IFERROR(__xludf.DUMMYFUNCTION("""COMPUTED_VALUE"""),"KMFLA19RPYCO13407")</f>
        <v>KMFLA19RPYCO13407</v>
      </c>
      <c r="J2470" s="1076" t="str">
        <f>IFERROR(__xludf.DUMMYFUNCTION("""COMPUTED_VALUE"""),"DSRJX020146")</f>
        <v>DSRJX020146</v>
      </c>
      <c r="K2470" s="1076">
        <f>IFERROR(__xludf.DUMMYFUNCTION("""COMPUTED_VALUE"""),4.5)</f>
        <v>4.5</v>
      </c>
      <c r="L2470" s="1076" t="str">
        <f>IFERROR(__xludf.DUMMYFUNCTION("""COMPUTED_VALUE"""),"-")</f>
        <v>-</v>
      </c>
    </row>
    <row r="2471" customHeight="1" spans="1:12">
      <c r="A2471" s="1076" t="str">
        <f>IFERROR(__xludf.DUMMYFUNCTION("""COMPUTED_VALUE"""),"TNA-XTA-067")</f>
        <v>TNA-XTA-067</v>
      </c>
      <c r="B2471" s="1075" t="str">
        <f>IFERROR(__xludf.DUMMYFUNCTION("""COMPUTED_VALUE"""),"Xe ben 5 tấn")</f>
        <v>Xe ben 5 tấn</v>
      </c>
      <c r="C2471" s="1076" t="str">
        <f>IFERROR(__xludf.DUMMYFUNCTION("""COMPUTED_VALUE"""),"B.ĐTXD AD")</f>
        <v>B.ĐTXD AD</v>
      </c>
      <c r="D2471" s="1076" t="str">
        <f>IFERROR(__xludf.DUMMYFUNCTION("""COMPUTED_VALUE"""),"HUYNDAI")</f>
        <v>HUYNDAI</v>
      </c>
      <c r="E2471" s="1076"/>
      <c r="F2471" s="1076">
        <f>IFERROR(__xludf.DUMMYFUNCTION("""COMPUTED_VALUE"""),1997)</f>
        <v>1997</v>
      </c>
      <c r="G2471" s="1076"/>
      <c r="H2471" s="1076" t="str">
        <f>IFERROR(__xludf.DUMMYFUNCTION("""COMPUTED_VALUE"""),"170 HP")</f>
        <v>170 HP</v>
      </c>
      <c r="I2471" s="1076" t="str">
        <f>IFERROR(__xludf.DUMMYFUNCTION("""COMPUTED_VALUE"""),"KMFLA19RPVC115885")</f>
        <v>KMFLA19RPVC115885</v>
      </c>
      <c r="J2471" s="1076" t="str">
        <f>IFERROR(__xludf.DUMMYFUNCTION("""COMPUTED_VALUE"""),"D6BRV011050")</f>
        <v>D6BRV011050</v>
      </c>
      <c r="K2471" s="1076">
        <f>IFERROR(__xludf.DUMMYFUNCTION("""COMPUTED_VALUE"""),4.5)</f>
        <v>4.5</v>
      </c>
      <c r="L2471" s="1076" t="str">
        <f>IFERROR(__xludf.DUMMYFUNCTION("""COMPUTED_VALUE"""),"-")</f>
        <v>-</v>
      </c>
    </row>
    <row r="2472" customHeight="1" spans="1:12">
      <c r="A2472" s="1076" t="str">
        <f>IFERROR(__xludf.DUMMYFUNCTION("""COMPUTED_VALUE"""),"TNA-XTA-068")</f>
        <v>TNA-XTA-068</v>
      </c>
      <c r="B2472" s="1075" t="str">
        <f>IFERROR(__xludf.DUMMYFUNCTION("""COMPUTED_VALUE"""),"Xe ben 5 tấn")</f>
        <v>Xe ben 5 tấn</v>
      </c>
      <c r="C2472" s="1076" t="str">
        <f>IFERROR(__xludf.DUMMYFUNCTION("""COMPUTED_VALUE"""),"B.ĐTXD AD")</f>
        <v>B.ĐTXD AD</v>
      </c>
      <c r="D2472" s="1076" t="str">
        <f>IFERROR(__xludf.DUMMYFUNCTION("""COMPUTED_VALUE"""),"HUYNDAI")</f>
        <v>HUYNDAI</v>
      </c>
      <c r="E2472" s="1076"/>
      <c r="F2472" s="1076">
        <f>IFERROR(__xludf.DUMMYFUNCTION("""COMPUTED_VALUE"""),1999)</f>
        <v>1999</v>
      </c>
      <c r="G2472" s="1076"/>
      <c r="H2472" s="1076" t="str">
        <f>IFERROR(__xludf.DUMMYFUNCTION("""COMPUTED_VALUE"""),"170 HP")</f>
        <v>170 HP</v>
      </c>
      <c r="I2472" s="1076" t="str">
        <f>IFERROR(__xludf.DUMMYFUNCTION("""COMPUTED_VALUE"""),"KMFLA19JPXC007085")</f>
        <v>KMFLA19JPXC007085</v>
      </c>
      <c r="J2472" s="1076" t="str">
        <f>IFERROR(__xludf.DUMMYFUNCTION("""COMPUTED_VALUE"""),"D6BJS148564")</f>
        <v>D6BJS148564</v>
      </c>
      <c r="K2472" s="1076">
        <f>IFERROR(__xludf.DUMMYFUNCTION("""COMPUTED_VALUE"""),4.5)</f>
        <v>4.5</v>
      </c>
      <c r="L2472" s="1076" t="str">
        <f>IFERROR(__xludf.DUMMYFUNCTION("""COMPUTED_VALUE"""),"-")</f>
        <v>-</v>
      </c>
    </row>
    <row r="2473" customHeight="1" spans="1:12">
      <c r="A2473" s="1076" t="str">
        <f>IFERROR(__xludf.DUMMYFUNCTION("""COMPUTED_VALUE"""),"TNA-XTA-069")</f>
        <v>TNA-XTA-069</v>
      </c>
      <c r="B2473" s="1075" t="str">
        <f>IFERROR(__xludf.DUMMYFUNCTION("""COMPUTED_VALUE"""),"Xe ben 25 tấn ")</f>
        <v>Xe ben 25 tấn </v>
      </c>
      <c r="C2473" s="1076" t="str">
        <f>IFERROR(__xludf.DUMMYFUNCTION("""COMPUTED_VALUE"""),"B.ĐTXD AD")</f>
        <v>B.ĐTXD AD</v>
      </c>
      <c r="D2473" s="1076" t="str">
        <f>IFERROR(__xludf.DUMMYFUNCTION("""COMPUTED_VALUE"""),"SCANIA")</f>
        <v>SCANIA</v>
      </c>
      <c r="E2473" s="1076"/>
      <c r="F2473" s="1076">
        <f>IFERROR(__xludf.DUMMYFUNCTION("""COMPUTED_VALUE"""),2005)</f>
        <v>2005</v>
      </c>
      <c r="G2473" s="1076"/>
      <c r="H2473" s="1076" t="str">
        <f>IFERROR(__xludf.DUMMYFUNCTION("""COMPUTED_VALUE"""),"440 HP")</f>
        <v>440 HP</v>
      </c>
      <c r="I2473" s="1076" t="str">
        <f>IFERROR(__xludf.DUMMYFUNCTION("""COMPUTED_VALUE"""),"9BSP8X40053558809")</f>
        <v>9BSP8X40053558809</v>
      </c>
      <c r="J2473" s="1076" t="str">
        <f>IFERROR(__xludf.DUMMYFUNCTION("""COMPUTED_VALUE"""),"DC12034018039106")</f>
        <v>DC12034018039106</v>
      </c>
      <c r="K2473" s="1076">
        <f>IFERROR(__xludf.DUMMYFUNCTION("""COMPUTED_VALUE"""),9.6)</f>
        <v>9.6</v>
      </c>
      <c r="L2473" s="1076" t="str">
        <f>IFERROR(__xludf.DUMMYFUNCTION("""COMPUTED_VALUE"""),"-")</f>
        <v>-</v>
      </c>
    </row>
    <row r="2474" customHeight="1" spans="1:12">
      <c r="A2474" s="1076" t="str">
        <f>IFERROR(__xludf.DUMMYFUNCTION("""COMPUTED_VALUE"""),"TNA-XTA-070")</f>
        <v>TNA-XTA-070</v>
      </c>
      <c r="B2474" s="1075" t="str">
        <f>IFERROR(__xludf.DUMMYFUNCTION("""COMPUTED_VALUE"""),"Xe ben 15 tấn ")</f>
        <v>Xe ben 15 tấn </v>
      </c>
      <c r="C2474" s="1076" t="str">
        <f>IFERROR(__xludf.DUMMYFUNCTION("""COMPUTED_VALUE"""),"B.ĐTXD AD")</f>
        <v>B.ĐTXD AD</v>
      </c>
      <c r="D2474" s="1076" t="str">
        <f>IFERROR(__xludf.DUMMYFUNCTION("""COMPUTED_VALUE"""),"HINO")</f>
        <v>HINO</v>
      </c>
      <c r="E2474" s="1076"/>
      <c r="F2474" s="1076">
        <f>IFERROR(__xludf.DUMMYFUNCTION("""COMPUTED_VALUE"""),1989)</f>
        <v>1989</v>
      </c>
      <c r="G2474" s="1076"/>
      <c r="H2474" s="1076" t="str">
        <f>IFERROR(__xludf.DUMMYFUNCTION("""COMPUTED_VALUE"""),"340 HP")</f>
        <v>340 HP</v>
      </c>
      <c r="I2474" s="1076" t="str">
        <f>IFERROR(__xludf.DUMMYFUNCTION("""COMPUTED_VALUE"""),"MBSOSM10521")</f>
        <v>MBSOSM10521</v>
      </c>
      <c r="J2474" s="1076" t="str">
        <f>IFERROR(__xludf.DUMMYFUNCTION("""COMPUTED_VALUE"""),"EF75024677")</f>
        <v>EF75024677</v>
      </c>
      <c r="K2474" s="1076">
        <f>IFERROR(__xludf.DUMMYFUNCTION("""COMPUTED_VALUE"""),7.6)</f>
        <v>7.6</v>
      </c>
      <c r="L2474" s="1076" t="str">
        <f>IFERROR(__xludf.DUMMYFUNCTION("""COMPUTED_VALUE"""),"-")</f>
        <v>-</v>
      </c>
    </row>
    <row r="2475" customHeight="1" spans="1:12">
      <c r="A2475" s="1076" t="str">
        <f>IFERROR(__xludf.DUMMYFUNCTION("""COMPUTED_VALUE"""),"TNA-XTA-071")</f>
        <v>TNA-XTA-071</v>
      </c>
      <c r="B2475" s="1075" t="str">
        <f>IFERROR(__xludf.DUMMYFUNCTION("""COMPUTED_VALUE"""),"Xe ben 15 tấn ")</f>
        <v>Xe ben 15 tấn </v>
      </c>
      <c r="C2475" s="1076" t="str">
        <f>IFERROR(__xludf.DUMMYFUNCTION("""COMPUTED_VALUE"""),"B.ĐTXD AD")</f>
        <v>B.ĐTXD AD</v>
      </c>
      <c r="D2475" s="1076" t="str">
        <f>IFERROR(__xludf.DUMMYFUNCTION("""COMPUTED_VALUE"""),"HINO")</f>
        <v>HINO</v>
      </c>
      <c r="E2475" s="1076"/>
      <c r="F2475" s="1076">
        <f>IFERROR(__xludf.DUMMYFUNCTION("""COMPUTED_VALUE"""),1991)</f>
        <v>1991</v>
      </c>
      <c r="G2475" s="1076" t="str">
        <f>IFERROR(__xludf.DUMMYFUNCTION("""COMPUTED_VALUE"""),"DUMP TRUCH")</f>
        <v>DUMP TRUCH</v>
      </c>
      <c r="H2475" s="1076"/>
      <c r="I2475" s="1076" t="str">
        <f>IFERROR(__xludf.DUMMYFUNCTION("""COMPUTED_VALUE"""),"FS3FKA13739")</f>
        <v>FS3FKA13739</v>
      </c>
      <c r="J2475" s="1076" t="str">
        <f>IFERROR(__xludf.DUMMYFUNCTION("""COMPUTED_VALUE"""),"F17DA14160")</f>
        <v>F17DA14160</v>
      </c>
      <c r="K2475" s="1076">
        <f>IFERROR(__xludf.DUMMYFUNCTION("""COMPUTED_VALUE"""),7.6)</f>
        <v>7.6</v>
      </c>
      <c r="L2475" s="1076" t="str">
        <f>IFERROR(__xludf.DUMMYFUNCTION("""COMPUTED_VALUE"""),"Đang thuê")</f>
        <v>Đang thuê</v>
      </c>
    </row>
    <row r="2476" customHeight="1" spans="1:12">
      <c r="A2476" s="1076" t="str">
        <f>IFERROR(__xludf.DUMMYFUNCTION("""COMPUTED_VALUE"""),"TNA-XTA-072")</f>
        <v>TNA-XTA-072</v>
      </c>
      <c r="B2476" s="1075" t="str">
        <f>IFERROR(__xludf.DUMMYFUNCTION("""COMPUTED_VALUE"""),"Xe ben 15 tấn ")</f>
        <v>Xe ben 15 tấn </v>
      </c>
      <c r="C2476" s="1076" t="str">
        <f>IFERROR(__xludf.DUMMYFUNCTION("""COMPUTED_VALUE"""),"B.ĐTXD AD")</f>
        <v>B.ĐTXD AD</v>
      </c>
      <c r="D2476" s="1076" t="str">
        <f>IFERROR(__xludf.DUMMYFUNCTION("""COMPUTED_VALUE"""),"HINO")</f>
        <v>HINO</v>
      </c>
      <c r="E2476" s="1076"/>
      <c r="F2476" s="1076">
        <f>IFERROR(__xludf.DUMMYFUNCTION("""COMPUTED_VALUE"""),1986)</f>
        <v>1986</v>
      </c>
      <c r="G2476" s="1076" t="str">
        <f>IFERROR(__xludf.DUMMYFUNCTION("""COMPUTED_VALUE"""),"DUMP TRUCH")</f>
        <v>DUMP TRUCH</v>
      </c>
      <c r="H2476" s="1076"/>
      <c r="I2476" s="1076" t="str">
        <f>IFERROR(__xludf.DUMMYFUNCTION("""COMPUTED_VALUE"""),"FS630B26310")</f>
        <v>FS630B26310</v>
      </c>
      <c r="J2476" s="1076" t="str">
        <f>IFERROR(__xludf.DUMMYFUNCTION("""COMPUTED_VALUE"""),"E17CA16685")</f>
        <v>E17CA16685</v>
      </c>
      <c r="K2476" s="1076">
        <f>IFERROR(__xludf.DUMMYFUNCTION("""COMPUTED_VALUE"""),7.6)</f>
        <v>7.6</v>
      </c>
      <c r="L2476" s="1076" t="str">
        <f>IFERROR(__xludf.DUMMYFUNCTION("""COMPUTED_VALUE"""),"Đang thuê")</f>
        <v>Đang thuê</v>
      </c>
    </row>
    <row r="2477" customHeight="1" spans="1:12">
      <c r="A2477" s="1076" t="str">
        <f>IFERROR(__xludf.DUMMYFUNCTION("""COMPUTED_VALUE"""),"Xe tải bàn")</f>
        <v>Xe tải bàn</v>
      </c>
      <c r="B2477" s="1075"/>
      <c r="C2477" s="1076"/>
      <c r="D2477" s="1076"/>
      <c r="E2477" s="1076"/>
      <c r="F2477" s="1076"/>
      <c r="G2477" s="1076"/>
      <c r="H2477" s="1076"/>
      <c r="I2477" s="1076"/>
      <c r="J2477" s="1076"/>
      <c r="K2477" s="1076"/>
      <c r="L2477" s="1076" t="str">
        <f>IFERROR(__xludf.DUMMYFUNCTION("""COMPUTED_VALUE"""),"0")</f>
        <v>0</v>
      </c>
    </row>
    <row r="2478" customHeight="1" spans="1:12">
      <c r="A2478" s="1076" t="str">
        <f>IFERROR(__xludf.DUMMYFUNCTION("""COMPUTED_VALUE"""),"TNA-XTB-001")</f>
        <v>TNA-XTB-001</v>
      </c>
      <c r="B2478" s="1075" t="str">
        <f>IFERROR(__xludf.DUMMYFUNCTION("""COMPUTED_VALUE"""),"Xe tải bàn")</f>
        <v>Xe tải bàn</v>
      </c>
      <c r="C2478" s="1076" t="str">
        <f>IFERROR(__xludf.DUMMYFUNCTION("""COMPUTED_VALUE"""),"CGTC AD")</f>
        <v>CGTC AD</v>
      </c>
      <c r="D2478" s="1076" t="str">
        <f>IFERROR(__xludf.DUMMYFUNCTION("""COMPUTED_VALUE"""),"HYUNDAI")</f>
        <v>HYUNDAI</v>
      </c>
      <c r="E2478" s="1076"/>
      <c r="F2478" s="1076">
        <f>IFERROR(__xludf.DUMMYFUNCTION("""COMPUTED_VALUE"""),2007)</f>
        <v>2007</v>
      </c>
      <c r="G2478" s="1076"/>
      <c r="H2478" s="1076" t="str">
        <f>IFERROR(__xludf.DUMMYFUNCTION("""COMPUTED_VALUE"""),"380HP")</f>
        <v>380HP</v>
      </c>
      <c r="I2478" s="1076" t="str">
        <f>IFERROR(__xludf.DUMMYFUNCTION("""COMPUTED_VALUE"""),"KMFPA18TP7C013163")</f>
        <v>KMFPA18TP7C013163</v>
      </c>
      <c r="J2478" s="1076" t="str">
        <f>IFERROR(__xludf.DUMMYFUNCTION("""COMPUTED_VALUE"""),"D6CB6126362")</f>
        <v>D6CB6126362</v>
      </c>
      <c r="K2478" s="1076">
        <f>IFERROR(__xludf.DUMMYFUNCTION("""COMPUTED_VALUE"""),6)</f>
        <v>6</v>
      </c>
      <c r="L2478" s="1076" t="str">
        <f>IFERROR(__xludf.DUMMYFUNCTION("""COMPUTED_VALUE"""),"-")</f>
        <v>-</v>
      </c>
    </row>
    <row r="2479" customHeight="1" spans="1:12">
      <c r="A2479" s="1076" t="str">
        <f>IFERROR(__xludf.DUMMYFUNCTION("""COMPUTED_VALUE"""),"Máy kéo")</f>
        <v>Máy kéo</v>
      </c>
      <c r="B2479" s="1075"/>
      <c r="C2479" s="1076"/>
      <c r="D2479" s="1076"/>
      <c r="E2479" s="1076"/>
      <c r="F2479" s="1076"/>
      <c r="G2479" s="1076"/>
      <c r="H2479" s="1076"/>
      <c r="I2479" s="1076"/>
      <c r="J2479" s="1076"/>
      <c r="K2479" s="1076"/>
      <c r="L2479" s="1076" t="str">
        <f>IFERROR(__xludf.DUMMYFUNCTION("""COMPUTED_VALUE"""),"0")</f>
        <v>0</v>
      </c>
    </row>
    <row r="2480" customHeight="1" spans="1:12">
      <c r="A2480" s="1076" t="str">
        <f>IFERROR(__xludf.DUMMYFUNCTION("""COMPUTED_VALUE"""),"TNA-MKE-001")</f>
        <v>TNA-MKE-001</v>
      </c>
      <c r="B2480" s="1075" t="str">
        <f>IFERROR(__xludf.DUMMYFUNCTION("""COMPUTED_VALUE"""),"Máy kéo KUBOTA M9540")</f>
        <v>Máy kéo KUBOTA M9540</v>
      </c>
      <c r="C2480" s="1076" t="str">
        <f>IFERROR(__xludf.DUMMYFUNCTION("""COMPUTED_VALUE"""),"CGSX AD")</f>
        <v>CGSX AD</v>
      </c>
      <c r="D2480" s="1076" t="str">
        <f>IFERROR(__xludf.DUMMYFUNCTION("""COMPUTED_VALUE"""),"KUBOTA")</f>
        <v>KUBOTA</v>
      </c>
      <c r="E2480" s="1076" t="str">
        <f>IFERROR(__xludf.DUMMYFUNCTION("""COMPUTED_VALUE"""),"NHẬT")</f>
        <v>NHẬT</v>
      </c>
      <c r="F2480" s="1076"/>
      <c r="G2480" s="1076" t="str">
        <f>IFERROR(__xludf.DUMMYFUNCTION("""COMPUTED_VALUE"""),"M9540")</f>
        <v>M9540</v>
      </c>
      <c r="H2480" s="1076" t="str">
        <f>IFERROR(__xludf.DUMMYFUNCTION("""COMPUTED_VALUE"""),"95HP")</f>
        <v>95HP</v>
      </c>
      <c r="I2480" s="1076" t="str">
        <f>IFERROR(__xludf.DUMMYFUNCTION("""COMPUTED_VALUE"""),"75963")</f>
        <v>75963</v>
      </c>
      <c r="J2480" s="1076" t="str">
        <f>IFERROR(__xludf.DUMMYFUNCTION("""COMPUTED_VALUE"""),"3-769L-T-CA1074")</f>
        <v>3-769L-T-CA1074</v>
      </c>
      <c r="K2480" s="1076"/>
      <c r="L2480" s="1076" t="str">
        <f>IFERROR(__xludf.DUMMYFUNCTION("""COMPUTED_VALUE"""),"-")</f>
        <v>-</v>
      </c>
    </row>
    <row r="2481" customHeight="1" spans="1:12">
      <c r="A2481" s="1076" t="str">
        <f>IFERROR(__xludf.DUMMYFUNCTION("""COMPUTED_VALUE"""),"TNA-MKE-002")</f>
        <v>TNA-MKE-002</v>
      </c>
      <c r="B2481" s="1075" t="str">
        <f>IFERROR(__xludf.DUMMYFUNCTION("""COMPUTED_VALUE"""),"Máy kéo KUBOTA M9540")</f>
        <v>Máy kéo KUBOTA M9540</v>
      </c>
      <c r="C2481" s="1076" t="str">
        <f>IFERROR(__xludf.DUMMYFUNCTION("""COMPUTED_VALUE"""),"CGSX AD")</f>
        <v>CGSX AD</v>
      </c>
      <c r="D2481" s="1076" t="str">
        <f>IFERROR(__xludf.DUMMYFUNCTION("""COMPUTED_VALUE"""),"KUBOTA")</f>
        <v>KUBOTA</v>
      </c>
      <c r="E2481" s="1076" t="str">
        <f>IFERROR(__xludf.DUMMYFUNCTION("""COMPUTED_VALUE"""),"NHẬT")</f>
        <v>NHẬT</v>
      </c>
      <c r="F2481" s="1076"/>
      <c r="G2481" s="1076" t="str">
        <f>IFERROR(__xludf.DUMMYFUNCTION("""COMPUTED_VALUE"""),"M9540")</f>
        <v>M9540</v>
      </c>
      <c r="H2481" s="1076" t="str">
        <f>IFERROR(__xludf.DUMMYFUNCTION("""COMPUTED_VALUE"""),"95HP")</f>
        <v>95HP</v>
      </c>
      <c r="I2481" s="1076" t="str">
        <f>IFERROR(__xludf.DUMMYFUNCTION("""COMPUTED_VALUE"""),"ko có")</f>
        <v>ko có</v>
      </c>
      <c r="J2481" s="1076" t="str">
        <f>IFERROR(__xludf.DUMMYFUNCTION("""COMPUTED_VALUE"""),"3-769L-V3800-T-2DN2743")</f>
        <v>3-769L-V3800-T-2DN2743</v>
      </c>
      <c r="K2481" s="1076"/>
      <c r="L2481" s="1076" t="str">
        <f>IFERROR(__xludf.DUMMYFUNCTION("""COMPUTED_VALUE"""),"-")</f>
        <v>-</v>
      </c>
    </row>
    <row r="2482" customHeight="1" spans="1:12">
      <c r="A2482" s="1076" t="str">
        <f>IFERROR(__xludf.DUMMYFUNCTION("""COMPUTED_VALUE"""),"TNA-MKE-003")</f>
        <v>TNA-MKE-003</v>
      </c>
      <c r="B2482" s="1075" t="str">
        <f>IFERROR(__xludf.DUMMYFUNCTION("""COMPUTED_VALUE"""),"Máy kéo KUBOTA M9540")</f>
        <v>Máy kéo KUBOTA M9540</v>
      </c>
      <c r="C2482" s="1076" t="str">
        <f>IFERROR(__xludf.DUMMYFUNCTION("""COMPUTED_VALUE"""),"CGSX AD")</f>
        <v>CGSX AD</v>
      </c>
      <c r="D2482" s="1076" t="str">
        <f>IFERROR(__xludf.DUMMYFUNCTION("""COMPUTED_VALUE"""),"KUBOTA")</f>
        <v>KUBOTA</v>
      </c>
      <c r="E2482" s="1076" t="str">
        <f>IFERROR(__xludf.DUMMYFUNCTION("""COMPUTED_VALUE"""),"NHẬT")</f>
        <v>NHẬT</v>
      </c>
      <c r="F2482" s="1076"/>
      <c r="G2482" s="1076" t="str">
        <f>IFERROR(__xludf.DUMMYFUNCTION("""COMPUTED_VALUE"""),"M9540")</f>
        <v>M9540</v>
      </c>
      <c r="H2482" s="1076" t="str">
        <f>IFERROR(__xludf.DUMMYFUNCTION("""COMPUTED_VALUE"""),"95HP")</f>
        <v>95HP</v>
      </c>
      <c r="I2482" s="1076" t="str">
        <f>IFERROR(__xludf.DUMMYFUNCTION("""COMPUTED_VALUE"""),"48717")</f>
        <v>48717</v>
      </c>
      <c r="J2482" s="1076"/>
      <c r="K2482" s="1076"/>
      <c r="L2482" s="1076" t="str">
        <f>IFERROR(__xludf.DUMMYFUNCTION("""COMPUTED_VALUE"""),"-")</f>
        <v>-</v>
      </c>
    </row>
    <row r="2483" customHeight="1" spans="1:12">
      <c r="A2483" s="1076" t="str">
        <f>IFERROR(__xludf.DUMMYFUNCTION("""COMPUTED_VALUE"""),"TNA-MKE-004")</f>
        <v>TNA-MKE-004</v>
      </c>
      <c r="B2483" s="1075" t="str">
        <f>IFERROR(__xludf.DUMMYFUNCTION("""COMPUTED_VALUE"""),"Máy kéo KUBOTA M9540")</f>
        <v>Máy kéo KUBOTA M9540</v>
      </c>
      <c r="C2483" s="1076" t="str">
        <f>IFERROR(__xludf.DUMMYFUNCTION("""COMPUTED_VALUE"""),"CGSX AD")</f>
        <v>CGSX AD</v>
      </c>
      <c r="D2483" s="1076" t="str">
        <f>IFERROR(__xludf.DUMMYFUNCTION("""COMPUTED_VALUE"""),"KUBOTA")</f>
        <v>KUBOTA</v>
      </c>
      <c r="E2483" s="1076" t="str">
        <f>IFERROR(__xludf.DUMMYFUNCTION("""COMPUTED_VALUE"""),"NHẬT")</f>
        <v>NHẬT</v>
      </c>
      <c r="F2483" s="1076"/>
      <c r="G2483" s="1076" t="str">
        <f>IFERROR(__xludf.DUMMYFUNCTION("""COMPUTED_VALUE"""),"M9540")</f>
        <v>M9540</v>
      </c>
      <c r="H2483" s="1076" t="str">
        <f>IFERROR(__xludf.DUMMYFUNCTION("""COMPUTED_VALUE"""),"95HP")</f>
        <v>95HP</v>
      </c>
      <c r="I2483" s="1076" t="str">
        <f>IFERROR(__xludf.DUMMYFUNCTION("""COMPUTED_VALUE"""),"V3307- 8GW4565")</f>
        <v>V3307- 8GW4565</v>
      </c>
      <c r="J2483" s="1076"/>
      <c r="K2483" s="1076"/>
      <c r="L2483" s="1076" t="str">
        <f>IFERROR(__xludf.DUMMYFUNCTION("""COMPUTED_VALUE"""),"-")</f>
        <v>-</v>
      </c>
    </row>
    <row r="2484" customHeight="1" spans="1:12">
      <c r="A2484" s="1076" t="str">
        <f>IFERROR(__xludf.DUMMYFUNCTION("""COMPUTED_VALUE"""),"TNA-MKE-005")</f>
        <v>TNA-MKE-005</v>
      </c>
      <c r="B2484" s="1075" t="str">
        <f>IFERROR(__xludf.DUMMYFUNCTION("""COMPUTED_VALUE"""),"Máy kéo KUBOTA M9540")</f>
        <v>Máy kéo KUBOTA M9540</v>
      </c>
      <c r="C2484" s="1076" t="str">
        <f>IFERROR(__xludf.DUMMYFUNCTION("""COMPUTED_VALUE"""),"CGSX AD")</f>
        <v>CGSX AD</v>
      </c>
      <c r="D2484" s="1076" t="str">
        <f>IFERROR(__xludf.DUMMYFUNCTION("""COMPUTED_VALUE"""),"KUBOTA")</f>
        <v>KUBOTA</v>
      </c>
      <c r="E2484" s="1076" t="str">
        <f>IFERROR(__xludf.DUMMYFUNCTION("""COMPUTED_VALUE"""),"NHẬT")</f>
        <v>NHẬT</v>
      </c>
      <c r="F2484" s="1076"/>
      <c r="G2484" s="1076" t="str">
        <f>IFERROR(__xludf.DUMMYFUNCTION("""COMPUTED_VALUE"""),"M9540")</f>
        <v>M9540</v>
      </c>
      <c r="H2484" s="1076" t="str">
        <f>IFERROR(__xludf.DUMMYFUNCTION("""COMPUTED_VALUE"""),"95HP")</f>
        <v>95HP</v>
      </c>
      <c r="I2484" s="1076" t="str">
        <f>IFERROR(__xludf.DUMMYFUNCTION("""COMPUTED_VALUE"""),"V3307- 8GW4045")</f>
        <v>V3307- 8GW4045</v>
      </c>
      <c r="J2484" s="1076"/>
      <c r="K2484" s="1076"/>
      <c r="L2484" s="1076" t="str">
        <f>IFERROR(__xludf.DUMMYFUNCTION("""COMPUTED_VALUE"""),"-")</f>
        <v>-</v>
      </c>
    </row>
    <row r="2485" customHeight="1" spans="1:12">
      <c r="A2485" s="1076" t="str">
        <f>IFERROR(__xludf.DUMMYFUNCTION("""COMPUTED_VALUE"""),"TNA-MKE-006")</f>
        <v>TNA-MKE-006</v>
      </c>
      <c r="B2485" s="1075" t="str">
        <f>IFERROR(__xludf.DUMMYFUNCTION("""COMPUTED_VALUE"""),"Máy kéo JOHN DEERE 5090")</f>
        <v>Máy kéo JOHN DEERE 5090</v>
      </c>
      <c r="C2485" s="1076" t="str">
        <f>IFERROR(__xludf.DUMMYFUNCTION("""COMPUTED_VALUE"""),"CGSX AD")</f>
        <v>CGSX AD</v>
      </c>
      <c r="D2485" s="1076" t="str">
        <f>IFERROR(__xludf.DUMMYFUNCTION("""COMPUTED_VALUE"""),"JOHNDEERE")</f>
        <v>JOHNDEERE</v>
      </c>
      <c r="E2485" s="1076" t="str">
        <f>IFERROR(__xludf.DUMMYFUNCTION("""COMPUTED_VALUE"""),"MỸ")</f>
        <v>MỸ</v>
      </c>
      <c r="F2485" s="1076"/>
      <c r="G2485" s="1076" t="str">
        <f>IFERROR(__xludf.DUMMYFUNCTION("""COMPUTED_VALUE"""),"5090")</f>
        <v>5090</v>
      </c>
      <c r="H2485" s="1076" t="str">
        <f>IFERROR(__xludf.DUMMYFUNCTION("""COMPUTED_VALUE"""),"90HP")</f>
        <v>90HP</v>
      </c>
      <c r="I2485" s="1076" t="str">
        <f>IFERROR(__xludf.DUMMYFUNCTION("""COMPUTED_VALUE"""),"PE4045E01309")</f>
        <v>PE4045E01309</v>
      </c>
      <c r="J2485" s="1076"/>
      <c r="K2485" s="1076"/>
      <c r="L2485" s="1076" t="str">
        <f>IFERROR(__xludf.DUMMYFUNCTION("""COMPUTED_VALUE"""),"-")</f>
        <v>-</v>
      </c>
    </row>
    <row r="2486" customHeight="1" spans="1:12">
      <c r="A2486" s="1076" t="str">
        <f>IFERROR(__xludf.DUMMYFUNCTION("""COMPUTED_VALUE"""),"Xe trộn bê tông")</f>
        <v>Xe trộn bê tông</v>
      </c>
      <c r="B2486" s="1075" t="str">
        <f>IFERROR(__xludf.DUMMYFUNCTION("""COMPUTED_VALUE"""),"3")</f>
        <v>3</v>
      </c>
      <c r="C2486" s="1076"/>
      <c r="D2486" s="1076"/>
      <c r="E2486" s="1076"/>
      <c r="F2486" s="1076"/>
      <c r="G2486" s="1076"/>
      <c r="H2486" s="1076"/>
      <c r="I2486" s="1076"/>
      <c r="J2486" s="1076"/>
      <c r="K2486" s="1076"/>
      <c r="L2486" s="1076" t="str">
        <f>IFERROR(__xludf.DUMMYFUNCTION("""COMPUTED_VALUE"""),"0")</f>
        <v>0</v>
      </c>
    </row>
    <row r="2487" customHeight="1" spans="1:12">
      <c r="A2487" s="1076" t="str">
        <f>IFERROR(__xludf.DUMMYFUNCTION("""COMPUTED_VALUE"""),"TNA-TBT-003")</f>
        <v>TNA-TBT-003</v>
      </c>
      <c r="B2487" s="1075" t="str">
        <f>IFERROR(__xludf.DUMMYFUNCTION("""COMPUTED_VALUE"""),"Xe bồn 15 tấn")</f>
        <v>Xe bồn 15 tấn</v>
      </c>
      <c r="C2487" s="1076" t="str">
        <f>IFERROR(__xludf.DUMMYFUNCTION("""COMPUTED_VALUE"""),"Trạm trộn bê tông")</f>
        <v>Trạm trộn bê tông</v>
      </c>
      <c r="D2487" s="1076" t="str">
        <f>IFERROR(__xludf.DUMMYFUNCTION("""COMPUTED_VALUE"""),"HINO")</f>
        <v>HINO</v>
      </c>
      <c r="E2487" s="1076"/>
      <c r="F2487" s="1076"/>
      <c r="G2487" s="1076"/>
      <c r="H2487" s="1076" t="str">
        <f>IFERROR(__xludf.DUMMYFUNCTION("""COMPUTED_VALUE"""),"360Hp")</f>
        <v>360Hp</v>
      </c>
      <c r="I2487" s="1076" t="str">
        <f>IFERROR(__xludf.DUMMYFUNCTION("""COMPUTED_VALUE"""),"11530")</f>
        <v>11530</v>
      </c>
      <c r="J2487" s="1076" t="str">
        <f>IFERROR(__xludf.DUMMYFUNCTION("""COMPUTED_VALUE"""),"11557")</f>
        <v>11557</v>
      </c>
      <c r="K2487" s="1076"/>
      <c r="L2487" s="1076" t="str">
        <f>IFERROR(__xludf.DUMMYFUNCTION("""COMPUTED_VALUE"""),"-")</f>
        <v>-</v>
      </c>
    </row>
    <row r="2488" customHeight="1" spans="1:12">
      <c r="A2488" s="1076" t="str">
        <f>IFERROR(__xludf.DUMMYFUNCTION("""COMPUTED_VALUE"""),"TNA-TBT-004")</f>
        <v>TNA-TBT-004</v>
      </c>
      <c r="B2488" s="1075" t="str">
        <f>IFERROR(__xludf.DUMMYFUNCTION("""COMPUTED_VALUE"""),"Xe bồn 15 tấn")</f>
        <v>Xe bồn 15 tấn</v>
      </c>
      <c r="C2488" s="1076" t="str">
        <f>IFERROR(__xludf.DUMMYFUNCTION("""COMPUTED_VALUE"""),"Trạm trộn bê tông")</f>
        <v>Trạm trộn bê tông</v>
      </c>
      <c r="D2488" s="1076" t="str">
        <f>IFERROR(__xludf.DUMMYFUNCTION("""COMPUTED_VALUE"""),"HINO")</f>
        <v>HINO</v>
      </c>
      <c r="E2488" s="1076"/>
      <c r="F2488" s="1076"/>
      <c r="G2488" s="1076"/>
      <c r="H2488" s="1076" t="str">
        <f>IFERROR(__xludf.DUMMYFUNCTION("""COMPUTED_VALUE"""),"360Hp")</f>
        <v>360Hp</v>
      </c>
      <c r="I2488" s="1076" t="str">
        <f>IFERROR(__xludf.DUMMYFUNCTION("""COMPUTED_VALUE"""),"11571")</f>
        <v>11571</v>
      </c>
      <c r="J2488" s="1076" t="str">
        <f>IFERROR(__xludf.DUMMYFUNCTION("""COMPUTED_VALUE"""),"19674")</f>
        <v>19674</v>
      </c>
      <c r="K2488" s="1076"/>
      <c r="L2488" s="1076" t="str">
        <f>IFERROR(__xludf.DUMMYFUNCTION("""COMPUTED_VALUE"""),"-")</f>
        <v>-</v>
      </c>
    </row>
    <row r="2489" customHeight="1" spans="1:12">
      <c r="A2489" s="1076" t="str">
        <f>IFERROR(__xludf.DUMMYFUNCTION("""COMPUTED_VALUE"""),"TNA-TBT-005")</f>
        <v>TNA-TBT-005</v>
      </c>
      <c r="B2489" s="1075" t="str">
        <f>IFERROR(__xludf.DUMMYFUNCTION("""COMPUTED_VALUE"""),"Xe bồn 15 tấn")</f>
        <v>Xe bồn 15 tấn</v>
      </c>
      <c r="C2489" s="1076" t="str">
        <f>IFERROR(__xludf.DUMMYFUNCTION("""COMPUTED_VALUE"""),"Trạm trộn bê tông")</f>
        <v>Trạm trộn bê tông</v>
      </c>
      <c r="D2489" s="1076" t="str">
        <f>IFERROR(__xludf.DUMMYFUNCTION("""COMPUTED_VALUE"""),"HINO")</f>
        <v>HINO</v>
      </c>
      <c r="E2489" s="1076"/>
      <c r="F2489" s="1076"/>
      <c r="G2489" s="1076"/>
      <c r="H2489" s="1076" t="str">
        <f>IFERROR(__xludf.DUMMYFUNCTION("""COMPUTED_VALUE"""),"360Hp")</f>
        <v>360Hp</v>
      </c>
      <c r="I2489" s="1076" t="str">
        <f>IFERROR(__xludf.DUMMYFUNCTION("""COMPUTED_VALUE"""),"11568")</f>
        <v>11568</v>
      </c>
      <c r="J2489" s="1076" t="str">
        <f>IFERROR(__xludf.DUMMYFUNCTION("""COMPUTED_VALUE"""),"18259")</f>
        <v>18259</v>
      </c>
      <c r="K2489" s="1076"/>
      <c r="L2489" s="1076" t="str">
        <f>IFERROR(__xludf.DUMMYFUNCTION("""COMPUTED_VALUE"""),"-")</f>
        <v>-</v>
      </c>
    </row>
    <row r="2490" customHeight="1" spans="1:12">
      <c r="A2490" s="1076" t="str">
        <f>IFERROR(__xludf.DUMMYFUNCTION("""COMPUTED_VALUE"""),"Xe chuyên dụng")</f>
        <v>Xe chuyên dụng</v>
      </c>
      <c r="B2490" s="1075" t="str">
        <f>IFERROR(__xludf.DUMMYFUNCTION("""COMPUTED_VALUE"""),"3")</f>
        <v>3</v>
      </c>
      <c r="C2490" s="1076"/>
      <c r="D2490" s="1076"/>
      <c r="E2490" s="1076"/>
      <c r="F2490" s="1076"/>
      <c r="G2490" s="1076"/>
      <c r="H2490" s="1076"/>
      <c r="I2490" s="1076"/>
      <c r="J2490" s="1076"/>
      <c r="K2490" s="1076"/>
      <c r="L2490" s="1076" t="str">
        <f>IFERROR(__xludf.DUMMYFUNCTION("""COMPUTED_VALUE"""),"1")</f>
        <v>1</v>
      </c>
    </row>
    <row r="2491" customHeight="1" spans="1:12">
      <c r="A2491" s="1076" t="str">
        <f>IFERROR(__xludf.DUMMYFUNCTION("""COMPUTED_VALUE"""),"TNA-XCA-001")</f>
        <v>TNA-XCA-001</v>
      </c>
      <c r="B2491" s="1075" t="str">
        <f>IFERROR(__xludf.DUMMYFUNCTION("""COMPUTED_VALUE"""),"Xe cẩu 7 tấn")</f>
        <v>Xe cẩu 7 tấn</v>
      </c>
      <c r="C2491" s="1076" t="str">
        <f>IFERROR(__xludf.DUMMYFUNCTION("""COMPUTED_VALUE"""),"THACO ID ME")</f>
        <v>THACO ID ME</v>
      </c>
      <c r="D2491" s="1076" t="str">
        <f>IFERROR(__xludf.DUMMYFUNCTION("""COMPUTED_VALUE"""),"HYUNDAI")</f>
        <v>HYUNDAI</v>
      </c>
      <c r="E2491" s="1076" t="str">
        <f>IFERROR(__xludf.DUMMYFUNCTION("""COMPUTED_VALUE"""),"HÀN QUỐC")</f>
        <v>HÀN QUỐC</v>
      </c>
      <c r="F2491" s="1076">
        <f>IFERROR(__xludf.DUMMYFUNCTION("""COMPUTED_VALUE"""),2001)</f>
        <v>2001</v>
      </c>
      <c r="G2491" s="1076"/>
      <c r="H2491" s="1076" t="str">
        <f>IFERROR(__xludf.DUMMYFUNCTION("""COMPUTED_VALUE"""),"170HP")</f>
        <v>170HP</v>
      </c>
      <c r="I2491" s="1076" t="str">
        <f>IFERROR(__xludf.DUMMYFUNCTION("""COMPUTED_VALUE"""),"KMFLA19JPSU023969")</f>
        <v>KMFLA19JPSU023969</v>
      </c>
      <c r="J2491" s="1076" t="str">
        <f>IFERROR(__xludf.DUMMYFUNCTION("""COMPUTED_VALUE"""),"D6BJS136766")</f>
        <v>D6BJS136766</v>
      </c>
      <c r="K2491" s="1076">
        <f>IFERROR(__xludf.DUMMYFUNCTION("""COMPUTED_VALUE"""),4.25)</f>
        <v>4.25</v>
      </c>
      <c r="L2491" s="1076" t="str">
        <f>IFERROR(__xludf.DUMMYFUNCTION("""COMPUTED_VALUE"""),"-")</f>
        <v>-</v>
      </c>
    </row>
    <row r="2492" customHeight="1" spans="1:12">
      <c r="A2492" s="1076" t="str">
        <f>IFERROR(__xludf.DUMMYFUNCTION("""COMPUTED_VALUE"""),"TNA-XCA-002")</f>
        <v>TNA-XCA-002</v>
      </c>
      <c r="B2492" s="1075" t="str">
        <f>IFERROR(__xludf.DUMMYFUNCTION("""COMPUTED_VALUE"""),"Xe cẩu 12 tấn")</f>
        <v>Xe cẩu 12 tấn</v>
      </c>
      <c r="C2492" s="1076" t="str">
        <f>IFERROR(__xludf.DUMMYFUNCTION("""COMPUTED_VALUE"""),"B.ĐTXD AD")</f>
        <v>B.ĐTXD AD</v>
      </c>
      <c r="D2492" s="1076" t="str">
        <f>IFERROR(__xludf.DUMMYFUNCTION("""COMPUTED_VALUE"""),"HYUNDAI")</f>
        <v>HYUNDAI</v>
      </c>
      <c r="E2492" s="1076" t="str">
        <f>IFERROR(__xludf.DUMMYFUNCTION("""COMPUTED_VALUE"""),"HÀN QUỐC")</f>
        <v>HÀN QUỐC</v>
      </c>
      <c r="F2492" s="1076">
        <f>IFERROR(__xludf.DUMMYFUNCTION("""COMPUTED_VALUE"""),2000)</f>
        <v>2000</v>
      </c>
      <c r="G2492" s="1076" t="str">
        <f>IFERROR(__xludf.DUMMYFUNCTION("""COMPUTED_VALUE"""),"DUMPTRUCK")</f>
        <v>DUMPTRUCK</v>
      </c>
      <c r="H2492" s="1076" t="str">
        <f>IFERROR(__xludf.DUMMYFUNCTION("""COMPUTED_VALUE"""),"280HP")</f>
        <v>280HP</v>
      </c>
      <c r="I2492" s="1076" t="str">
        <f>IFERROR(__xludf.DUMMYFUNCTION("""COMPUTED_VALUE"""),"KMFDA10CPYC6889")</f>
        <v>KMFDA10CPYC6889</v>
      </c>
      <c r="J2492" s="1076" t="str">
        <f>IFERROR(__xludf.DUMMYFUNCTION("""COMPUTED_VALUE"""),"DSACY034489")</f>
        <v>DSACY034489</v>
      </c>
      <c r="K2492" s="1076">
        <f>IFERROR(__xludf.DUMMYFUNCTION("""COMPUTED_VALUE"""),7)</f>
        <v>7</v>
      </c>
      <c r="L2492" s="1076" t="str">
        <f>IFERROR(__xludf.DUMMYFUNCTION("""COMPUTED_VALUE"""),"-")</f>
        <v>-</v>
      </c>
    </row>
    <row r="2493" customHeight="1" spans="1:12">
      <c r="A2493" s="1076" t="str">
        <f>IFERROR(__xludf.DUMMYFUNCTION("""COMPUTED_VALUE"""),"TNA-XCA-003")</f>
        <v>TNA-XCA-003</v>
      </c>
      <c r="B2493" s="1075" t="str">
        <f>IFERROR(__xludf.DUMMYFUNCTION("""COMPUTED_VALUE"""),"Xe cẩu 15 tấn")</f>
        <v>Xe cẩu 15 tấn</v>
      </c>
      <c r="C2493" s="1076" t="str">
        <f>IFERROR(__xludf.DUMMYFUNCTION("""COMPUTED_VALUE"""),"B.ĐTXD AD")</f>
        <v>B.ĐTXD AD</v>
      </c>
      <c r="D2493" s="1076" t="str">
        <f>IFERROR(__xludf.DUMMYFUNCTION("""COMPUTED_VALUE"""),"HYUNDAI")</f>
        <v>HYUNDAI</v>
      </c>
      <c r="E2493" s="1076" t="str">
        <f>IFERROR(__xludf.DUMMYFUNCTION("""COMPUTED_VALUE"""),"HÀN QUỐC")</f>
        <v>HÀN QUỐC</v>
      </c>
      <c r="F2493" s="1076">
        <f>IFERROR(__xludf.DUMMYFUNCTION("""COMPUTED_VALUE"""),2004)</f>
        <v>2004</v>
      </c>
      <c r="G2493" s="1076" t="str">
        <f>IFERROR(__xludf.DUMMYFUNCTION("""COMPUTED_VALUE"""),"LIGHT TRUCK")</f>
        <v>LIGHT TRUCK</v>
      </c>
      <c r="H2493" s="1076" t="str">
        <f>IFERROR(__xludf.DUMMYFUNCTION("""COMPUTED_VALUE"""),"380HP")</f>
        <v>380HP</v>
      </c>
      <c r="I2493" s="1076" t="str">
        <f>IFERROR(__xludf.DUMMYFUNCTION("""COMPUTED_VALUE"""),"KMFPA18SP4C028562")</f>
        <v>KMFPA18SP4C028562</v>
      </c>
      <c r="J2493" s="1076" t="str">
        <f>IFERROR(__xludf.DUMMYFUNCTION("""COMPUTED_VALUE"""),"D6CA3079758")</f>
        <v>D6CA3079758</v>
      </c>
      <c r="K2493" s="1076">
        <f>IFERROR(__xludf.DUMMYFUNCTION("""COMPUTED_VALUE"""),7.5)</f>
        <v>7.5</v>
      </c>
      <c r="L2493" s="1076" t="str">
        <f>IFERROR(__xludf.DUMMYFUNCTION("""COMPUTED_VALUE"""),"-")</f>
        <v>-</v>
      </c>
    </row>
    <row r="2494" customHeight="1" spans="1:12">
      <c r="A2494" s="1076" t="str">
        <f>IFERROR(__xludf.DUMMYFUNCTION("""COMPUTED_VALUE"""),"TNA-XCA-004")</f>
        <v>TNA-XCA-004</v>
      </c>
      <c r="B2494" s="1075" t="str">
        <f>IFERROR(__xludf.DUMMYFUNCTION("""COMPUTED_VALUE"""),"Xe cẩu 12 tấn")</f>
        <v>Xe cẩu 12 tấn</v>
      </c>
      <c r="C2494" s="1076" t="str">
        <f>IFERROR(__xludf.DUMMYFUNCTION("""COMPUTED_VALUE"""),"B.ĐTXD AD")</f>
        <v>B.ĐTXD AD</v>
      </c>
      <c r="D2494" s="1076" t="str">
        <f>IFERROR(__xludf.DUMMYFUNCTION("""COMPUTED_VALUE"""),"HYUNDAI")</f>
        <v>HYUNDAI</v>
      </c>
      <c r="E2494" s="1076"/>
      <c r="F2494" s="1076">
        <f>IFERROR(__xludf.DUMMYFUNCTION("""COMPUTED_VALUE"""),2008)</f>
        <v>2008</v>
      </c>
      <c r="G2494" s="1076"/>
      <c r="H2494" s="1076" t="str">
        <f>IFERROR(__xludf.DUMMYFUNCTION("""COMPUTED_VALUE"""),"440 HP")</f>
        <v>440 HP</v>
      </c>
      <c r="I2494" s="1076" t="str">
        <f>IFERROR(__xludf.DUMMYFUNCTION("""COMPUTED_VALUE"""),"KMFDA18TP8C024012")</f>
        <v>KMFDA18TP8C024012</v>
      </c>
      <c r="J2494" s="1076" t="str">
        <f>IFERROR(__xludf.DUMMYFUNCTION("""COMPUTED_VALUE"""),"D6CB7149317")</f>
        <v>D6CB7149317</v>
      </c>
      <c r="K2494" s="1076">
        <f>IFERROR(__xludf.DUMMYFUNCTION("""COMPUTED_VALUE"""),6)</f>
        <v>6</v>
      </c>
      <c r="L2494" s="1076" t="str">
        <f>IFERROR(__xludf.DUMMYFUNCTION("""COMPUTED_VALUE"""),"-")</f>
        <v>-</v>
      </c>
    </row>
    <row r="2495" customHeight="1" spans="1:12">
      <c r="A2495" s="1076" t="str">
        <f>IFERROR(__xludf.DUMMYFUNCTION("""COMPUTED_VALUE"""),"TNA-XCA-005")</f>
        <v>TNA-XCA-005</v>
      </c>
      <c r="B2495" s="1075" t="str">
        <f>IFERROR(__xludf.DUMMYFUNCTION("""COMPUTED_VALUE"""),"Xe cẩu 15 tấn")</f>
        <v>Xe cẩu 15 tấn</v>
      </c>
      <c r="C2495" s="1076" t="str">
        <f>IFERROR(__xludf.DUMMYFUNCTION("""COMPUTED_VALUE"""),"B.ĐTXD AD")</f>
        <v>B.ĐTXD AD</v>
      </c>
      <c r="D2495" s="1076" t="str">
        <f>IFERROR(__xludf.DUMMYFUNCTION("""COMPUTED_VALUE"""),"HYUNDAI")</f>
        <v>HYUNDAI</v>
      </c>
      <c r="E2495" s="1076" t="str">
        <f>IFERROR(__xludf.DUMMYFUNCTION("""COMPUTED_VALUE"""),"HÀN QUỐC")</f>
        <v>HÀN QUỐC</v>
      </c>
      <c r="F2495" s="1076">
        <f>IFERROR(__xludf.DUMMYFUNCTION("""COMPUTED_VALUE"""),2003)</f>
        <v>2003</v>
      </c>
      <c r="G2495" s="1076"/>
      <c r="H2495" s="1076" t="str">
        <f>IFERROR(__xludf.DUMMYFUNCTION("""COMPUTED_VALUE"""),"320 HP")</f>
        <v>320 HP</v>
      </c>
      <c r="I2495" s="1076" t="str">
        <f>IFERROR(__xludf.DUMMYFUNCTION("""COMPUTED_VALUE"""),"KMFPA18SP3C026684")</f>
        <v>KMFPA18SP3C026684</v>
      </c>
      <c r="J2495" s="1076" t="str">
        <f>IFERROR(__xludf.DUMMYFUNCTION("""COMPUTED_VALUE"""),"D6CA3076120")</f>
        <v>D6CA3076120</v>
      </c>
      <c r="K2495" s="1076">
        <f>IFERROR(__xludf.DUMMYFUNCTION("""COMPUTED_VALUE"""),5.5)</f>
        <v>5.5</v>
      </c>
      <c r="L2495" s="1076" t="str">
        <f>IFERROR(__xludf.DUMMYFUNCTION("""COMPUTED_VALUE"""),"Đang thuê")</f>
        <v>Đang thuê</v>
      </c>
    </row>
    <row r="2496" customHeight="1" spans="1:12">
      <c r="A2496" s="1076" t="str">
        <f>IFERROR(__xludf.DUMMYFUNCTION("""COMPUTED_VALUE"""),"TNA-XCA-006")</f>
        <v>TNA-XCA-006</v>
      </c>
      <c r="B2496" s="1075" t="str">
        <f>IFERROR(__xludf.DUMMYFUNCTION("""COMPUTED_VALUE"""),"Xe cẩu 20 tấn")</f>
        <v>Xe cẩu 20 tấn</v>
      </c>
      <c r="C2496" s="1076" t="str">
        <f>IFERROR(__xludf.DUMMYFUNCTION("""COMPUTED_VALUE"""),"B.ĐTXD AD")</f>
        <v>B.ĐTXD AD</v>
      </c>
      <c r="D2496" s="1076" t="str">
        <f>IFERROR(__xludf.DUMMYFUNCTION("""COMPUTED_VALUE"""),"HYUNDAI")</f>
        <v>HYUNDAI</v>
      </c>
      <c r="E2496" s="1076" t="str">
        <f>IFERROR(__xludf.DUMMYFUNCTION("""COMPUTED_VALUE"""),"HÀN QUỐC")</f>
        <v>HÀN QUỐC</v>
      </c>
      <c r="F2496" s="1076">
        <f>IFERROR(__xludf.DUMMYFUNCTION("""COMPUTED_VALUE"""),2004)</f>
        <v>2004</v>
      </c>
      <c r="G2496" s="1076" t="str">
        <f>IFERROR(__xludf.DUMMYFUNCTION("""COMPUTED_VALUE"""),"CSS 1100")</f>
        <v>CSS 1100</v>
      </c>
      <c r="H2496" s="1076" t="str">
        <f>IFERROR(__xludf.DUMMYFUNCTION("""COMPUTED_VALUE"""),"380 HP")</f>
        <v>380 HP</v>
      </c>
      <c r="I2496" s="1076" t="str">
        <f>IFERROR(__xludf.DUMMYFUNCTION("""COMPUTED_VALUE"""),"KMFAPA18SP4C031259")</f>
        <v>KMFAPA18SP4C031259</v>
      </c>
      <c r="J2496" s="1076" t="str">
        <f>IFERROR(__xludf.DUMMYFUNCTION("""COMPUTED_VALUE"""),"D6CA3084334")</f>
        <v>D6CA3084334</v>
      </c>
      <c r="K2496" s="1076">
        <f>IFERROR(__xludf.DUMMYFUNCTION("""COMPUTED_VALUE"""),7.5)</f>
        <v>7.5</v>
      </c>
      <c r="L2496" s="1076" t="str">
        <f>IFERROR(__xludf.DUMMYFUNCTION("""COMPUTED_VALUE"""),"-")</f>
        <v>-</v>
      </c>
    </row>
    <row r="2497" customHeight="1" spans="1:12">
      <c r="A2497" s="1076" t="str">
        <f>IFERROR(__xludf.DUMMYFUNCTION("""COMPUTED_VALUE"""),"TNA-XCA-007")</f>
        <v>TNA-XCA-007</v>
      </c>
      <c r="B2497" s="1075" t="str">
        <f>IFERROR(__xludf.DUMMYFUNCTION("""COMPUTED_VALUE"""),"Xe cẩu 17 tấn")</f>
        <v>Xe cẩu 17 tấn</v>
      </c>
      <c r="C2497" s="1076" t="str">
        <f>IFERROR(__xludf.DUMMYFUNCTION("""COMPUTED_VALUE"""),"B.ĐTXD AD")</f>
        <v>B.ĐTXD AD</v>
      </c>
      <c r="D2497" s="1076" t="str">
        <f>IFERROR(__xludf.DUMMYFUNCTION("""COMPUTED_VALUE"""),"HYUNDAI")</f>
        <v>HYUNDAI</v>
      </c>
      <c r="E2497" s="1076" t="str">
        <f>IFERROR(__xludf.DUMMYFUNCTION("""COMPUTED_VALUE"""),"HÀN QUỐC")</f>
        <v>HÀN QUỐC</v>
      </c>
      <c r="F2497" s="1076">
        <f>IFERROR(__xludf.DUMMYFUNCTION("""COMPUTED_VALUE"""),2004)</f>
        <v>2004</v>
      </c>
      <c r="G2497" s="1076"/>
      <c r="H2497" s="1076" t="str">
        <f>IFERROR(__xludf.DUMMYFUNCTION("""COMPUTED_VALUE"""),"380 HP")</f>
        <v>380 HP</v>
      </c>
      <c r="I2497" s="1076" t="str">
        <f>IFERROR(__xludf.DUMMYFUNCTION("""COMPUTED_VALUE"""),"KMFPA18SP4C028562")</f>
        <v>KMFPA18SP4C028562</v>
      </c>
      <c r="J2497" s="1076" t="str">
        <f>IFERROR(__xludf.DUMMYFUNCTION("""COMPUTED_VALUE"""),"D6CA30797558")</f>
        <v>D6CA30797558</v>
      </c>
      <c r="K2497" s="1076">
        <f>IFERROR(__xludf.DUMMYFUNCTION("""COMPUTED_VALUE"""),5.5)</f>
        <v>5.5</v>
      </c>
      <c r="L2497" s="1076" t="str">
        <f>IFERROR(__xludf.DUMMYFUNCTION("""COMPUTED_VALUE"""),"-")</f>
        <v>-</v>
      </c>
    </row>
    <row r="2498" customHeight="1" spans="1:12">
      <c r="A2498" s="1076" t="str">
        <f>IFERROR(__xludf.DUMMYFUNCTION("""COMPUTED_VALUE"""),"TNA-XCA-008")</f>
        <v>TNA-XCA-008</v>
      </c>
      <c r="B2498" s="1075" t="str">
        <f>IFERROR(__xludf.DUMMYFUNCTION("""COMPUTED_VALUE"""),"Xe cẩu 8 tấn")</f>
        <v>Xe cẩu 8 tấn</v>
      </c>
      <c r="C2498" s="1076" t="str">
        <f>IFERROR(__xludf.DUMMYFUNCTION("""COMPUTED_VALUE"""),"Ban điện nước")</f>
        <v>Ban điện nước</v>
      </c>
      <c r="D2498" s="1076" t="str">
        <f>IFERROR(__xludf.DUMMYFUNCTION("""COMPUTED_VALUE"""),"HYUNDAI")</f>
        <v>HYUNDAI</v>
      </c>
      <c r="E2498" s="1076" t="str">
        <f>IFERROR(__xludf.DUMMYFUNCTION("""COMPUTED_VALUE"""),"HÀN QUỐC")</f>
        <v>HÀN QUỐC</v>
      </c>
      <c r="F2498" s="1076">
        <f>IFERROR(__xludf.DUMMYFUNCTION("""COMPUTED_VALUE"""),2000)</f>
        <v>2000</v>
      </c>
      <c r="G2498" s="1076"/>
      <c r="H2498" s="1076"/>
      <c r="I2498" s="1076" t="str">
        <f>IFERROR(__xludf.DUMMYFUNCTION("""COMPUTED_VALUE"""),"KMFPA18XPYC006483")</f>
        <v>KMFPA18XPYC006483</v>
      </c>
      <c r="J2498" s="1076" t="str">
        <f>IFERROR(__xludf.DUMMYFUNCTION("""COMPUTED_VALUE"""),"D8AXY033212")</f>
        <v>D8AXY033212</v>
      </c>
      <c r="K2498" s="1076">
        <f>IFERROR(__xludf.DUMMYFUNCTION("""COMPUTED_VALUE"""),5)</f>
        <v>5</v>
      </c>
      <c r="L2498" s="1076" t="str">
        <f>IFERROR(__xludf.DUMMYFUNCTION("""COMPUTED_VALUE"""),"-")</f>
        <v>-</v>
      </c>
    </row>
    <row r="2499" customHeight="1" spans="1:12">
      <c r="A2499" s="1076" t="str">
        <f>IFERROR(__xludf.DUMMYFUNCTION("""COMPUTED_VALUE"""),"Xe ban")</f>
        <v>Xe ban</v>
      </c>
      <c r="B2499" s="1075" t="str">
        <f>IFERROR(__xludf.DUMMYFUNCTION("""COMPUTED_VALUE"""),"2")</f>
        <v>2</v>
      </c>
      <c r="C2499" s="1076"/>
      <c r="D2499" s="1076"/>
      <c r="E2499" s="1076"/>
      <c r="F2499" s="1076"/>
      <c r="G2499" s="1076"/>
      <c r="H2499" s="1076"/>
      <c r="I2499" s="1076"/>
      <c r="J2499" s="1076"/>
      <c r="K2499" s="1076"/>
      <c r="L2499" s="1076" t="str">
        <f>IFERROR(__xludf.DUMMYFUNCTION("""COMPUTED_VALUE"""),"1")</f>
        <v>1</v>
      </c>
    </row>
    <row r="2500" customHeight="1" spans="1:12">
      <c r="A2500" s="1076" t="str">
        <f>IFERROR(__xludf.DUMMYFUNCTION("""COMPUTED_VALUE"""),"TNA-BAN-001")</f>
        <v>TNA-BAN-001</v>
      </c>
      <c r="B2500" s="1075" t="str">
        <f>IFERROR(__xludf.DUMMYFUNCTION("""COMPUTED_VALUE"""),"Xe ban 9 tấn")</f>
        <v>Xe ban 9 tấn</v>
      </c>
      <c r="C2500" s="1076" t="str">
        <f>IFERROR(__xludf.DUMMYFUNCTION("""COMPUTED_VALUE"""),"B.ĐTXD AD")</f>
        <v>B.ĐTXD AD</v>
      </c>
      <c r="D2500" s="1076" t="str">
        <f>IFERROR(__xludf.DUMMYFUNCTION("""COMPUTED_VALUE"""),"KOMATSU")</f>
        <v>KOMATSU</v>
      </c>
      <c r="E2500" s="1076" t="str">
        <f>IFERROR(__xludf.DUMMYFUNCTION("""COMPUTED_VALUE"""),"NHẬT BẢN")</f>
        <v>NHẬT BẢN</v>
      </c>
      <c r="F2500" s="1076">
        <f>IFERROR(__xludf.DUMMYFUNCTION("""COMPUTED_VALUE"""),1993)</f>
        <v>1993</v>
      </c>
      <c r="G2500" s="1076" t="str">
        <f>IFERROR(__xludf.DUMMYFUNCTION("""COMPUTED_VALUE"""),"GRADER GD405A-2")</f>
        <v>GRADER GD405A-2</v>
      </c>
      <c r="H2500" s="1076" t="str">
        <f>IFERROR(__xludf.DUMMYFUNCTION("""COMPUTED_VALUE"""),"115 HP")</f>
        <v>115 HP</v>
      </c>
      <c r="I2500" s="1076" t="str">
        <f>IFERROR(__xludf.DUMMYFUNCTION("""COMPUTED_VALUE"""),"G40A22999")</f>
        <v>G40A22999</v>
      </c>
      <c r="J2500" s="1076" t="str">
        <f>IFERROR(__xludf.DUMMYFUNCTION("""COMPUTED_VALUE"""),"6D95L121127")</f>
        <v>6D95L121127</v>
      </c>
      <c r="K2500" s="1076">
        <f>IFERROR(__xludf.DUMMYFUNCTION("""COMPUTED_VALUE"""),5)</f>
        <v>5</v>
      </c>
      <c r="L2500" s="1076" t="str">
        <f>IFERROR(__xludf.DUMMYFUNCTION("""COMPUTED_VALUE"""),"Đang thuê")</f>
        <v>Đang thuê</v>
      </c>
    </row>
    <row r="2501" customHeight="1" spans="1:12">
      <c r="A2501" s="1076" t="str">
        <f>IFERROR(__xludf.DUMMYFUNCTION("""COMPUTED_VALUE"""),"TNA-BAN-002")</f>
        <v>TNA-BAN-002</v>
      </c>
      <c r="B2501" s="1075" t="str">
        <f>IFERROR(__xludf.DUMMYFUNCTION("""COMPUTED_VALUE"""),"Xe ban 15 tấn")</f>
        <v>Xe ban 15 tấn</v>
      </c>
      <c r="C2501" s="1076" t="str">
        <f>IFERROR(__xludf.DUMMYFUNCTION("""COMPUTED_VALUE"""),"B.ĐTXD AD")</f>
        <v>B.ĐTXD AD</v>
      </c>
      <c r="D2501" s="1076" t="str">
        <f>IFERROR(__xludf.DUMMYFUNCTION("""COMPUTED_VALUE"""),"KOMATSU")</f>
        <v>KOMATSU</v>
      </c>
      <c r="E2501" s="1076"/>
      <c r="F2501" s="1076">
        <f>IFERROR(__xludf.DUMMYFUNCTION("""COMPUTED_VALUE"""),2006)</f>
        <v>2006</v>
      </c>
      <c r="G2501" s="1076" t="str">
        <f>IFERROR(__xludf.DUMMYFUNCTION("""COMPUTED_VALUE"""),"GD655-3")</f>
        <v>GD655-3</v>
      </c>
      <c r="H2501" s="1076" t="str">
        <f>IFERROR(__xludf.DUMMYFUNCTION("""COMPUTED_VALUE"""),"190 HP")</f>
        <v>190 HP</v>
      </c>
      <c r="I2501" s="1076" t="str">
        <f>IFERROR(__xludf.DUMMYFUNCTION("""COMPUTED_VALUE"""),"KMTGD015L26051033")</f>
        <v>KMTGD015L26051033</v>
      </c>
      <c r="J2501" s="1076" t="str">
        <f>IFERROR(__xludf.DUMMYFUNCTION("""COMPUTED_VALUE"""),"6D114-26801901")</f>
        <v>6D114-26801901</v>
      </c>
      <c r="K2501" s="1076">
        <f>IFERROR(__xludf.DUMMYFUNCTION("""COMPUTED_VALUE"""),15)</f>
        <v>15</v>
      </c>
      <c r="L2501" s="1076" t="str">
        <f>IFERROR(__xludf.DUMMYFUNCTION("""COMPUTED_VALUE"""),"-")</f>
        <v>-</v>
      </c>
    </row>
    <row r="2502" customHeight="1" spans="1:12">
      <c r="A2502" s="1076" t="str">
        <f>IFERROR(__xludf.DUMMYFUNCTION("""COMPUTED_VALUE"""),"CTY LP")</f>
        <v>CTY LP</v>
      </c>
      <c r="B2502" s="1075" t="str">
        <f>IFERROR(__xludf.DUMMYFUNCTION("""COMPUTED_VALUE"""),"180")</f>
        <v>180</v>
      </c>
      <c r="C2502" s="1076"/>
      <c r="D2502" s="1076"/>
      <c r="E2502" s="1076"/>
      <c r="F2502" s="1076"/>
      <c r="G2502" s="1076"/>
      <c r="H2502" s="1076"/>
      <c r="I2502" s="1076"/>
      <c r="J2502" s="1076"/>
      <c r="K2502" s="1076"/>
      <c r="L2502" s="1076" t="str">
        <f>IFERROR(__xludf.DUMMYFUNCTION("""COMPUTED_VALUE"""),"51")</f>
        <v>51</v>
      </c>
    </row>
    <row r="2503" customHeight="1" spans="1:12">
      <c r="A2503" s="1076" t="str">
        <f>IFERROR(__xludf.DUMMYFUNCTION("""COMPUTED_VALUE"""),"Máy đào")</f>
        <v>Máy đào</v>
      </c>
      <c r="B2503" s="1075" t="str">
        <f>IFERROR(__xludf.DUMMYFUNCTION("""COMPUTED_VALUE"""),"90")</f>
        <v>90</v>
      </c>
      <c r="C2503" s="1076"/>
      <c r="D2503" s="1076"/>
      <c r="E2503" s="1076"/>
      <c r="F2503" s="1076"/>
      <c r="G2503" s="1076"/>
      <c r="H2503" s="1076"/>
      <c r="I2503" s="1076"/>
      <c r="J2503" s="1076"/>
      <c r="K2503" s="1076"/>
      <c r="L2503" s="1076" t="str">
        <f>IFERROR(__xludf.DUMMYFUNCTION("""COMPUTED_VALUE"""),"18")</f>
        <v>18</v>
      </c>
    </row>
    <row r="2504" customHeight="1" spans="1:12">
      <c r="A2504" s="1076" t="str">
        <f>IFERROR(__xludf.DUMMYFUNCTION("""COMPUTED_VALUE"""),"TNL-MĐA-002")</f>
        <v>TNL-MĐA-002</v>
      </c>
      <c r="B2504" s="1075" t="str">
        <f>IFERROR(__xludf.DUMMYFUNCTION("""COMPUTED_VALUE"""),"Máy đào gàu 0.7m3")</f>
        <v>Máy đào gàu 0.7m3</v>
      </c>
      <c r="C2504" s="1076" t="str">
        <f>IFERROR(__xludf.DUMMYFUNCTION("""COMPUTED_VALUE"""),"CGTC LP")</f>
        <v>CGTC LP</v>
      </c>
      <c r="D2504" s="1076" t="str">
        <f>IFERROR(__xludf.DUMMYFUNCTION("""COMPUTED_VALUE"""),"Khảo sát đơn vị")</f>
        <v>Khảo sát đơn vị</v>
      </c>
      <c r="E2504" s="1076"/>
      <c r="F2504" s="1076"/>
      <c r="G2504" s="1076" t="str">
        <f>IFERROR(__xludf.DUMMYFUNCTION("""COMPUTED_VALUE"""),"Khảo sát đơn vị")</f>
        <v>Khảo sát đơn vị</v>
      </c>
      <c r="H2504" s="1076" t="str">
        <f>IFERROR(__xludf.DUMMYFUNCTION("""COMPUTED_VALUE"""),"Khảo sát đơn vị")</f>
        <v>Khảo sát đơn vị</v>
      </c>
      <c r="I2504" s="1076" t="str">
        <f>IFERROR(__xludf.DUMMYFUNCTION("""COMPUTED_VALUE"""),"CATDHBWZ04199")</f>
        <v>CATDHBWZ04199</v>
      </c>
      <c r="J2504" s="1076" t="str">
        <f>IFERROR(__xludf.DUMMYFUNCTION("""COMPUTED_VALUE"""),"GDC27586")</f>
        <v>GDC27586</v>
      </c>
      <c r="K2504" s="1076"/>
      <c r="L2504" s="1076" t="str">
        <f>IFERROR(__xludf.DUMMYFUNCTION("""COMPUTED_VALUE"""),"-")</f>
        <v>-</v>
      </c>
    </row>
    <row r="2505" customHeight="1" spans="1:12">
      <c r="A2505" s="1076" t="str">
        <f>IFERROR(__xludf.DUMMYFUNCTION("""COMPUTED_VALUE"""),"TNL-MĐA-004")</f>
        <v>TNL-MĐA-004</v>
      </c>
      <c r="B2505" s="1075" t="str">
        <f>IFERROR(__xludf.DUMMYFUNCTION("""COMPUTED_VALUE"""),"Máy đào gàu 1.2m3")</f>
        <v>Máy đào gàu 1.2m3</v>
      </c>
      <c r="C2505" s="1076" t="str">
        <f>IFERROR(__xludf.DUMMYFUNCTION("""COMPUTED_VALUE"""),"CGTC LP")</f>
        <v>CGTC LP</v>
      </c>
      <c r="D2505" s="1076" t="str">
        <f>IFERROR(__xludf.DUMMYFUNCTION("""COMPUTED_VALUE"""),"VOLVO")</f>
        <v>VOLVO</v>
      </c>
      <c r="E2505" s="1076"/>
      <c r="F2505" s="1076">
        <f>IFERROR(__xludf.DUMMYFUNCTION("""COMPUTED_VALUE"""),2020)</f>
        <v>2020</v>
      </c>
      <c r="G2505" s="1076" t="str">
        <f>IFERROR(__xludf.DUMMYFUNCTION("""COMPUTED_VALUE"""),"EC210DL")</f>
        <v>EC210DL</v>
      </c>
      <c r="H2505" s="1076" t="str">
        <f>IFERROR(__xludf.DUMMYFUNCTION("""COMPUTED_VALUE"""),"165HP")</f>
        <v>165HP</v>
      </c>
      <c r="I2505" s="1076" t="str">
        <f>IFERROR(__xludf.DUMMYFUNCTION("""COMPUTED_VALUE"""),"VCEC210DJ00252219")</f>
        <v>VCEC210DJ00252219</v>
      </c>
      <c r="J2505" s="1076" t="str">
        <f>IFERROR(__xludf.DUMMYFUNCTION("""COMPUTED_VALUE"""),"12596460")</f>
        <v>12596460</v>
      </c>
      <c r="K2505" s="1076"/>
      <c r="L2505" s="1076" t="str">
        <f>IFERROR(__xludf.DUMMYFUNCTION("""COMPUTED_VALUE"""),"-")</f>
        <v>-</v>
      </c>
    </row>
    <row r="2506" customHeight="1" spans="1:12">
      <c r="A2506" s="1076" t="str">
        <f>IFERROR(__xludf.DUMMYFUNCTION("""COMPUTED_VALUE"""),"TNL-MĐA-005")</f>
        <v>TNL-MĐA-005</v>
      </c>
      <c r="B2506" s="1075" t="str">
        <f>IFERROR(__xludf.DUMMYFUNCTION("""COMPUTED_VALUE"""),"Máy đào gàu 1.2m3")</f>
        <v>Máy đào gàu 1.2m3</v>
      </c>
      <c r="C2506" s="1076" t="str">
        <f>IFERROR(__xludf.DUMMYFUNCTION("""COMPUTED_VALUE"""),"CGTC LP")</f>
        <v>CGTC LP</v>
      </c>
      <c r="D2506" s="1076" t="str">
        <f>IFERROR(__xludf.DUMMYFUNCTION("""COMPUTED_VALUE"""),"VOLVO")</f>
        <v>VOLVO</v>
      </c>
      <c r="E2506" s="1076"/>
      <c r="F2506" s="1076">
        <f>IFERROR(__xludf.DUMMYFUNCTION("""COMPUTED_VALUE"""),2019)</f>
        <v>2019</v>
      </c>
      <c r="G2506" s="1076" t="str">
        <f>IFERROR(__xludf.DUMMYFUNCTION("""COMPUTED_VALUE"""),"EC210DL")</f>
        <v>EC210DL</v>
      </c>
      <c r="H2506" s="1076" t="str">
        <f>IFERROR(__xludf.DUMMYFUNCTION("""COMPUTED_VALUE"""),"165HP")</f>
        <v>165HP</v>
      </c>
      <c r="I2506" s="1076" t="str">
        <f>IFERROR(__xludf.DUMMYFUNCTION("""COMPUTED_VALUE"""),"VCEC120DP00282902")</f>
        <v>VCEC120DP00282902</v>
      </c>
      <c r="J2506" s="1076" t="str">
        <f>IFERROR(__xludf.DUMMYFUNCTION("""COMPUTED_VALUE"""),"12393813")</f>
        <v>12393813</v>
      </c>
      <c r="K2506" s="1076"/>
      <c r="L2506" s="1076" t="str">
        <f>IFERROR(__xludf.DUMMYFUNCTION("""COMPUTED_VALUE"""),"-")</f>
        <v>-</v>
      </c>
    </row>
    <row r="2507" customHeight="1" spans="1:12">
      <c r="A2507" s="1076" t="str">
        <f>IFERROR(__xludf.DUMMYFUNCTION("""COMPUTED_VALUE"""),"TNL-MĐA-006")</f>
        <v>TNL-MĐA-006</v>
      </c>
      <c r="B2507" s="1075" t="str">
        <f>IFERROR(__xludf.DUMMYFUNCTION("""COMPUTED_VALUE"""),"Máy đào gàu 0.5m3")</f>
        <v>Máy đào gàu 0.5m3</v>
      </c>
      <c r="C2507" s="1076" t="str">
        <f>IFERROR(__xludf.DUMMYFUNCTION("""COMPUTED_VALUE"""),"XN Chuối LP1")</f>
        <v>XN Chuối LP1</v>
      </c>
      <c r="D2507" s="1076" t="str">
        <f>IFERROR(__xludf.DUMMYFUNCTION("""COMPUTED_VALUE"""),"CATERPILLAR")</f>
        <v>CATERPILLAR</v>
      </c>
      <c r="E2507" s="1076"/>
      <c r="F2507" s="1076">
        <f>IFERROR(__xludf.DUMMYFUNCTION("""COMPUTED_VALUE"""),1991)</f>
        <v>1991</v>
      </c>
      <c r="G2507" s="1076" t="str">
        <f>IFERROR(__xludf.DUMMYFUNCTION("""COMPUTED_VALUE"""),"E120B")</f>
        <v>E120B</v>
      </c>
      <c r="H2507" s="1076" t="str">
        <f>IFERROR(__xludf.DUMMYFUNCTION("""COMPUTED_VALUE"""),"84HP")</f>
        <v>84HP</v>
      </c>
      <c r="I2507" s="1076" t="str">
        <f>IFERROR(__xludf.DUMMYFUNCTION("""COMPUTED_VALUE"""),"7NF05434")</f>
        <v>7NF05434</v>
      </c>
      <c r="J2507" s="1076"/>
      <c r="K2507" s="1076"/>
      <c r="L2507" s="1076" t="str">
        <f>IFERROR(__xludf.DUMMYFUNCTION("""COMPUTED_VALUE"""),"-")</f>
        <v>-</v>
      </c>
    </row>
    <row r="2508" customHeight="1" spans="1:12">
      <c r="A2508" s="1076" t="str">
        <f>IFERROR(__xludf.DUMMYFUNCTION("""COMPUTED_VALUE"""),"TNL-MĐA-007")</f>
        <v>TNL-MĐA-007</v>
      </c>
      <c r="B2508" s="1075" t="str">
        <f>IFERROR(__xludf.DUMMYFUNCTION("""COMPUTED_VALUE"""),"Máy đào gàu 1.2m3")</f>
        <v>Máy đào gàu 1.2m3</v>
      </c>
      <c r="C2508" s="1076" t="str">
        <f>IFERROR(__xludf.DUMMYFUNCTION("""COMPUTED_VALUE"""),"CGTC LP")</f>
        <v>CGTC LP</v>
      </c>
      <c r="D2508" s="1076" t="str">
        <f>IFERROR(__xludf.DUMMYFUNCTION("""COMPUTED_VALUE"""),"CATERPILLAR")</f>
        <v>CATERPILLAR</v>
      </c>
      <c r="E2508" s="1076"/>
      <c r="F2508" s="1076">
        <f>IFERROR(__xludf.DUMMYFUNCTION("""COMPUTED_VALUE"""),2011)</f>
        <v>2011</v>
      </c>
      <c r="G2508" s="1076" t="str">
        <f>IFERROR(__xludf.DUMMYFUNCTION("""COMPUTED_VALUE"""),"320D")</f>
        <v>320D</v>
      </c>
      <c r="H2508" s="1076" t="str">
        <f>IFERROR(__xludf.DUMMYFUNCTION("""COMPUTED_VALUE"""),"150HP")</f>
        <v>150HP</v>
      </c>
      <c r="I2508" s="1076" t="str">
        <f>IFERROR(__xludf.DUMMYFUNCTION("""COMPUTED_VALUE"""),"CAT0320DCPCM02635")</f>
        <v>CAT0320DCPCM02635</v>
      </c>
      <c r="J2508" s="1076" t="str">
        <f>IFERROR(__xludf.DUMMYFUNCTION("""COMPUTED_VALUE"""),"GDC56794")</f>
        <v>GDC56794</v>
      </c>
      <c r="K2508" s="1076"/>
      <c r="L2508" s="1076" t="str">
        <f>IFERROR(__xludf.DUMMYFUNCTION("""COMPUTED_VALUE"""),"-")</f>
        <v>-</v>
      </c>
    </row>
    <row r="2509" customHeight="1" spans="1:12">
      <c r="A2509" s="1076" t="str">
        <f>IFERROR(__xludf.DUMMYFUNCTION("""COMPUTED_VALUE"""),"TNL-MĐA-010")</f>
        <v>TNL-MĐA-010</v>
      </c>
      <c r="B2509" s="1075" t="str">
        <f>IFERROR(__xludf.DUMMYFUNCTION("""COMPUTED_VALUE"""),"Máy đào gàu 1.2m3")</f>
        <v>Máy đào gàu 1.2m3</v>
      </c>
      <c r="C2509" s="1076" t="str">
        <f>IFERROR(__xludf.DUMMYFUNCTION("""COMPUTED_VALUE"""),"CGTC LP")</f>
        <v>CGTC LP</v>
      </c>
      <c r="D2509" s="1076" t="str">
        <f>IFERROR(__xludf.DUMMYFUNCTION("""COMPUTED_VALUE"""),"KOMATSU")</f>
        <v>KOMATSU</v>
      </c>
      <c r="E2509" s="1076"/>
      <c r="F2509" s="1076">
        <f>IFERROR(__xludf.DUMMYFUNCTION("""COMPUTED_VALUE"""),2020)</f>
        <v>2020</v>
      </c>
      <c r="G2509" s="1076" t="str">
        <f>IFERROR(__xludf.DUMMYFUNCTION("""COMPUTED_VALUE"""),"PC210-10-M0")</f>
        <v>PC210-10-M0</v>
      </c>
      <c r="H2509" s="1076" t="str">
        <f>IFERROR(__xludf.DUMMYFUNCTION("""COMPUTED_VALUE"""),"165HP")</f>
        <v>165HP</v>
      </c>
      <c r="I2509" s="1076" t="str">
        <f>IFERROR(__xludf.DUMMYFUNCTION("""COMPUTED_VALUE"""),"KMTPC282-K2TC02820")</f>
        <v>KMTPC282-K2TC02820</v>
      </c>
      <c r="J2509" s="1076" t="str">
        <f>IFERROR(__xludf.DUMMYFUNCTION("""COMPUTED_VALUE"""),"6D107-26729665")</f>
        <v>6D107-26729665</v>
      </c>
      <c r="K2509" s="1076"/>
      <c r="L2509" s="1076" t="str">
        <f>IFERROR(__xludf.DUMMYFUNCTION("""COMPUTED_VALUE"""),"-")</f>
        <v>-</v>
      </c>
    </row>
    <row r="2510" customHeight="1" spans="1:12">
      <c r="A2510" s="1076" t="str">
        <f>IFERROR(__xludf.DUMMYFUNCTION("""COMPUTED_VALUE"""),"TNL-MĐA-011")</f>
        <v>TNL-MĐA-011</v>
      </c>
      <c r="B2510" s="1075" t="str">
        <f>IFERROR(__xludf.DUMMYFUNCTION("""COMPUTED_VALUE"""),"Máy đào gàu 1.2m3")</f>
        <v>Máy đào gàu 1.2m3</v>
      </c>
      <c r="C2510" s="1076" t="str">
        <f>IFERROR(__xludf.DUMMYFUNCTION("""COMPUTED_VALUE"""),"CGTC LP")</f>
        <v>CGTC LP</v>
      </c>
      <c r="D2510" s="1076" t="str">
        <f>IFERROR(__xludf.DUMMYFUNCTION("""COMPUTED_VALUE"""),"SANY")</f>
        <v>SANY</v>
      </c>
      <c r="E2510" s="1076"/>
      <c r="F2510" s="1076">
        <f>IFERROR(__xludf.DUMMYFUNCTION("""COMPUTED_VALUE"""),2020)</f>
        <v>2020</v>
      </c>
      <c r="G2510" s="1076" t="str">
        <f>IFERROR(__xludf.DUMMYFUNCTION("""COMPUTED_VALUE"""),"SY215C")</f>
        <v>SY215C</v>
      </c>
      <c r="H2510" s="1076" t="str">
        <f>IFERROR(__xludf.DUMMYFUNCTION("""COMPUTED_VALUE"""),"164HP")</f>
        <v>164HP</v>
      </c>
      <c r="I2510" s="1076" t="str">
        <f>IFERROR(__xludf.DUMMYFUNCTION("""COMPUTED_VALUE"""),"0E1110210K 3L60242CL")</f>
        <v>0E1110210K 3L60242CL</v>
      </c>
      <c r="J2510" s="1076" t="str">
        <f>IFERROR(__xludf.DUMMYFUNCTION("""COMPUTED_VALUE"""),"4M50E21931")</f>
        <v>4M50E21931</v>
      </c>
      <c r="K2510" s="1076"/>
      <c r="L2510" s="1076" t="str">
        <f>IFERROR(__xludf.DUMMYFUNCTION("""COMPUTED_VALUE"""),"-")</f>
        <v>-</v>
      </c>
    </row>
    <row r="2511" customHeight="1" spans="1:12">
      <c r="A2511" s="1076" t="str">
        <f>IFERROR(__xludf.DUMMYFUNCTION("""COMPUTED_VALUE"""),"TNL-MĐA-012")</f>
        <v>TNL-MĐA-012</v>
      </c>
      <c r="B2511" s="1075" t="str">
        <f>IFERROR(__xludf.DUMMYFUNCTION("""COMPUTED_VALUE"""),"Máy đào gàu 1.2m3")</f>
        <v>Máy đào gàu 1.2m3</v>
      </c>
      <c r="C2511" s="1076"/>
      <c r="D2511" s="1076" t="str">
        <f>IFERROR(__xludf.DUMMYFUNCTION("""COMPUTED_VALUE"""),"CATERPILLAR")</f>
        <v>CATERPILLAR</v>
      </c>
      <c r="E2511" s="1076"/>
      <c r="F2511" s="1076">
        <f>IFERROR(__xludf.DUMMYFUNCTION("""COMPUTED_VALUE"""),2008)</f>
        <v>2008</v>
      </c>
      <c r="G2511" s="1076" t="str">
        <f>IFERROR(__xludf.DUMMYFUNCTION("""COMPUTED_VALUE"""),"320C")</f>
        <v>320C</v>
      </c>
      <c r="H2511" s="1076" t="str">
        <f>IFERROR(__xludf.DUMMYFUNCTION("""COMPUTED_VALUE"""),"138HP")</f>
        <v>138HP</v>
      </c>
      <c r="I2511" s="1076" t="str">
        <f>IFERROR(__xludf.DUMMYFUNCTION("""COMPUTED_VALUE"""),"226")</f>
        <v>226</v>
      </c>
      <c r="J2511" s="1076" t="str">
        <f>IFERROR(__xludf.DUMMYFUNCTION("""COMPUTED_VALUE"""),"0320CV")</f>
        <v>0320CV</v>
      </c>
      <c r="K2511" s="1076"/>
      <c r="L2511" s="1076" t="str">
        <f>IFERROR(__xludf.DUMMYFUNCTION("""COMPUTED_VALUE"""),"-")</f>
        <v>-</v>
      </c>
    </row>
    <row r="2512" customHeight="1" spans="1:12">
      <c r="A2512" s="1076" t="str">
        <f>IFERROR(__xludf.DUMMYFUNCTION("""COMPUTED_VALUE"""),"TNL-MĐA-013")</f>
        <v>TNL-MĐA-013</v>
      </c>
      <c r="B2512" s="1075" t="str">
        <f>IFERROR(__xludf.DUMMYFUNCTION("""COMPUTED_VALUE"""),"Máy đào gàu 1.2m3")</f>
        <v>Máy đào gàu 1.2m3</v>
      </c>
      <c r="C2512" s="1076" t="str">
        <f>IFERROR(__xludf.DUMMYFUNCTION("""COMPUTED_VALUE"""),"XN Chuối LP4")</f>
        <v>XN Chuối LP4</v>
      </c>
      <c r="D2512" s="1076" t="str">
        <f>IFERROR(__xludf.DUMMYFUNCTION("""COMPUTED_VALUE"""),"HYUNDAI")</f>
        <v>HYUNDAI</v>
      </c>
      <c r="E2512" s="1076"/>
      <c r="F2512" s="1076">
        <f>IFERROR(__xludf.DUMMYFUNCTION("""COMPUTED_VALUE"""),2019)</f>
        <v>2019</v>
      </c>
      <c r="G2512" s="1076" t="str">
        <f>IFERROR(__xludf.DUMMYFUNCTION("""COMPUTED_VALUE"""),"R220LC-9S")</f>
        <v>R220LC-9S</v>
      </c>
      <c r="H2512" s="1076" t="str">
        <f>IFERROR(__xludf.DUMMYFUNCTION("""COMPUTED_VALUE"""),"150HP")</f>
        <v>150HP</v>
      </c>
      <c r="I2512" s="1076" t="str">
        <f>IFERROR(__xludf.DUMMYFUNCTION("""COMPUTED_VALUE"""),"HHKHZ614 HK000E591")</f>
        <v>HHKHZ614 HK000E591</v>
      </c>
      <c r="J2512" s="1076" t="str">
        <f>IFERROR(__xludf.DUMMYFUNCTION("""COMPUTED_VALUE"""),"22363488")</f>
        <v>22363488</v>
      </c>
      <c r="K2512" s="1076"/>
      <c r="L2512" s="1076" t="str">
        <f>IFERROR(__xludf.DUMMYFUNCTION("""COMPUTED_VALUE"""),"-")</f>
        <v>-</v>
      </c>
    </row>
    <row r="2513" customHeight="1" spans="1:12">
      <c r="A2513" s="1076" t="str">
        <f>IFERROR(__xludf.DUMMYFUNCTION("""COMPUTED_VALUE"""),"TNL-MĐA-014")</f>
        <v>TNL-MĐA-014</v>
      </c>
      <c r="B2513" s="1075" t="str">
        <f>IFERROR(__xludf.DUMMYFUNCTION("""COMPUTED_VALUE"""),"Máy đào gàu 1.2m3")</f>
        <v>Máy đào gàu 1.2m3</v>
      </c>
      <c r="C2513" s="1076" t="str">
        <f>IFERROR(__xludf.DUMMYFUNCTION("""COMPUTED_VALUE"""),"CGTC LP")</f>
        <v>CGTC LP</v>
      </c>
      <c r="D2513" s="1076" t="str">
        <f>IFERROR(__xludf.DUMMYFUNCTION("""COMPUTED_VALUE"""),"HYUNDAI")</f>
        <v>HYUNDAI</v>
      </c>
      <c r="E2513" s="1076"/>
      <c r="F2513" s="1076">
        <f>IFERROR(__xludf.DUMMYFUNCTION("""COMPUTED_VALUE"""),2021)</f>
        <v>2021</v>
      </c>
      <c r="G2513" s="1076" t="str">
        <f>IFERROR(__xludf.DUMMYFUNCTION("""COMPUTED_VALUE"""),"HX225S")</f>
        <v>HX225S</v>
      </c>
      <c r="H2513" s="1076" t="str">
        <f>IFERROR(__xludf.DUMMYFUNCTION("""COMPUTED_VALUE"""),"150HP")</f>
        <v>150HP</v>
      </c>
      <c r="I2513" s="1076" t="str">
        <f>IFERROR(__xludf.DUMMYFUNCTION("""COMPUTED_VALUE"""),"HHKHK605KE0000613")</f>
        <v>HHKHK605KE0000613</v>
      </c>
      <c r="J2513" s="1076" t="str">
        <f>IFERROR(__xludf.DUMMYFUNCTION("""COMPUTED_VALUE"""),"22463333")</f>
        <v>22463333</v>
      </c>
      <c r="K2513" s="1076"/>
      <c r="L2513" s="1076" t="str">
        <f>IFERROR(__xludf.DUMMYFUNCTION("""COMPUTED_VALUE"""),"-")</f>
        <v>-</v>
      </c>
    </row>
    <row r="2514" customHeight="1" spans="1:12">
      <c r="A2514" s="1076" t="str">
        <f>IFERROR(__xludf.DUMMYFUNCTION("""COMPUTED_VALUE"""),"TNL-MĐA-015")</f>
        <v>TNL-MĐA-015</v>
      </c>
      <c r="B2514" s="1075" t="str">
        <f>IFERROR(__xludf.DUMMYFUNCTION("""COMPUTED_VALUE"""),"Máy đào gàu 1.2m3")</f>
        <v>Máy đào gàu 1.2m3</v>
      </c>
      <c r="C2514" s="1076" t="str">
        <f>IFERROR(__xludf.DUMMYFUNCTION("""COMPUTED_VALUE"""),"CGTC LP")</f>
        <v>CGTC LP</v>
      </c>
      <c r="D2514" s="1076" t="str">
        <f>IFERROR(__xludf.DUMMYFUNCTION("""COMPUTED_VALUE"""),"HYUNDAI")</f>
        <v>HYUNDAI</v>
      </c>
      <c r="E2514" s="1076"/>
      <c r="F2514" s="1076">
        <f>IFERROR(__xludf.DUMMYFUNCTION("""COMPUTED_VALUE"""),2022)</f>
        <v>2022</v>
      </c>
      <c r="G2514" s="1076" t="str">
        <f>IFERROR(__xludf.DUMMYFUNCTION("""COMPUTED_VALUE"""),"HX225S")</f>
        <v>HX225S</v>
      </c>
      <c r="H2514" s="1076" t="str">
        <f>IFERROR(__xludf.DUMMYFUNCTION("""COMPUTED_VALUE"""),"150HP")</f>
        <v>150HP</v>
      </c>
      <c r="I2514" s="1076" t="str">
        <f>IFERROR(__xludf.DUMMYFUNCTION("""COMPUTED_VALUE"""),"HHKHK605CE0001644")</f>
        <v>HHKHK605CE0001644</v>
      </c>
      <c r="J2514" s="1076" t="str">
        <f>IFERROR(__xludf.DUMMYFUNCTION("""COMPUTED_VALUE"""),"22516090")</f>
        <v>22516090</v>
      </c>
      <c r="K2514" s="1076"/>
      <c r="L2514" s="1076" t="str">
        <f>IFERROR(__xludf.DUMMYFUNCTION("""COMPUTED_VALUE"""),"-")</f>
        <v>-</v>
      </c>
    </row>
    <row r="2515" customHeight="1" spans="1:12">
      <c r="A2515" s="1076" t="str">
        <f>IFERROR(__xludf.DUMMYFUNCTION("""COMPUTED_VALUE"""),"TNL-MĐA-016")</f>
        <v>TNL-MĐA-016</v>
      </c>
      <c r="B2515" s="1075" t="str">
        <f>IFERROR(__xludf.DUMMYFUNCTION("""COMPUTED_VALUE"""),"Máy đào gàu 0.9m3")</f>
        <v>Máy đào gàu 0.9m3</v>
      </c>
      <c r="C2515" s="1076" t="str">
        <f>IFERROR(__xludf.DUMMYFUNCTION("""COMPUTED_VALUE"""),"CGTC LP")</f>
        <v>CGTC LP</v>
      </c>
      <c r="D2515" s="1076" t="str">
        <f>IFERROR(__xludf.DUMMYFUNCTION("""COMPUTED_VALUE"""),"CATERPILLAR")</f>
        <v>CATERPILLAR</v>
      </c>
      <c r="E2515" s="1076"/>
      <c r="F2515" s="1076">
        <f>IFERROR(__xludf.DUMMYFUNCTION("""COMPUTED_VALUE"""),2019)</f>
        <v>2019</v>
      </c>
      <c r="G2515" s="1076" t="str">
        <f>IFERROR(__xludf.DUMMYFUNCTION("""COMPUTED_VALUE"""),"320D")</f>
        <v>320D</v>
      </c>
      <c r="H2515" s="1076" t="str">
        <f>IFERROR(__xludf.DUMMYFUNCTION("""COMPUTED_VALUE"""),"150HP")</f>
        <v>150HP</v>
      </c>
      <c r="I2515" s="1076" t="str">
        <f>IFERROR(__xludf.DUMMYFUNCTION("""COMPUTED_VALUE"""),"CAT00320V2BN12250")</f>
        <v>CAT00320V2BN12250</v>
      </c>
      <c r="J2515" s="1076" t="str">
        <f>IFERROR(__xludf.DUMMYFUNCTION("""COMPUTED_VALUE"""),"E7A29507")</f>
        <v>E7A29507</v>
      </c>
      <c r="K2515" s="1076"/>
      <c r="L2515" s="1076" t="str">
        <f>IFERROR(__xludf.DUMMYFUNCTION("""COMPUTED_VALUE"""),"-")</f>
        <v>-</v>
      </c>
    </row>
    <row r="2516" customHeight="1" spans="1:12">
      <c r="A2516" s="1076" t="str">
        <f>IFERROR(__xludf.DUMMYFUNCTION("""COMPUTED_VALUE""")," TNL-MĐA-017")</f>
        <v> TNL-MĐA-017</v>
      </c>
      <c r="B2516" s="1075" t="str">
        <f>IFERROR(__xludf.DUMMYFUNCTION("""COMPUTED_VALUE"""),"Máy đào gàu 0.4m3")</f>
        <v>Máy đào gàu 0.4m3</v>
      </c>
      <c r="C2516" s="1076"/>
      <c r="D2516" s="1076" t="str">
        <f>IFERROR(__xludf.DUMMYFUNCTION("""COMPUTED_VALUE"""),"CATERPILLAR")</f>
        <v>CATERPILLAR</v>
      </c>
      <c r="E2516" s="1076"/>
      <c r="F2516" s="1076"/>
      <c r="G2516" s="1076" t="str">
        <f>IFERROR(__xludf.DUMMYFUNCTION("""COMPUTED_VALUE"""),"E110B")</f>
        <v>E110B</v>
      </c>
      <c r="H2516" s="1076" t="str">
        <f>IFERROR(__xludf.DUMMYFUNCTION("""COMPUTED_VALUE"""),"89HP")</f>
        <v>89HP</v>
      </c>
      <c r="I2516" s="1076" t="str">
        <f>IFERROR(__xludf.DUMMYFUNCTION("""COMPUTED_VALUE"""),"830")</f>
        <v>830</v>
      </c>
      <c r="J2516" s="1076"/>
      <c r="K2516" s="1076"/>
      <c r="L2516" s="1076" t="str">
        <f>IFERROR(__xludf.DUMMYFUNCTION("""COMPUTED_VALUE"""),"-")</f>
        <v>-</v>
      </c>
    </row>
    <row r="2517" customHeight="1" spans="1:12">
      <c r="A2517" s="1076" t="str">
        <f>IFERROR(__xludf.DUMMYFUNCTION("""COMPUTED_VALUE""")," TNL-MĐA-018")</f>
        <v> TNL-MĐA-018</v>
      </c>
      <c r="B2517" s="1075" t="str">
        <f>IFERROR(__xludf.DUMMYFUNCTION("""COMPUTED_VALUE"""),"Máy đào gàu 0.5m3")</f>
        <v>Máy đào gàu 0.5m3</v>
      </c>
      <c r="C2517" s="1076"/>
      <c r="D2517" s="1076" t="str">
        <f>IFERROR(__xludf.DUMMYFUNCTION("""COMPUTED_VALUE"""),"CATERPILLAR")</f>
        <v>CATERPILLAR</v>
      </c>
      <c r="E2517" s="1076"/>
      <c r="F2517" s="1076"/>
      <c r="G2517" s="1076" t="str">
        <f>IFERROR(__xludf.DUMMYFUNCTION("""COMPUTED_VALUE"""),"120B")</f>
        <v>120B</v>
      </c>
      <c r="H2517" s="1076" t="str">
        <f>IFERROR(__xludf.DUMMYFUNCTION("""COMPUTED_VALUE"""),"84HP")</f>
        <v>84HP</v>
      </c>
      <c r="I2517" s="1076" t="str">
        <f>IFERROR(__xludf.DUMMYFUNCTION("""COMPUTED_VALUE"""),"3813")</f>
        <v>3813</v>
      </c>
      <c r="J2517" s="1076"/>
      <c r="K2517" s="1076"/>
      <c r="L2517" s="1076" t="str">
        <f>IFERROR(__xludf.DUMMYFUNCTION("""COMPUTED_VALUE"""),"-")</f>
        <v>-</v>
      </c>
    </row>
    <row r="2518" customHeight="1" spans="1:12">
      <c r="A2518" s="1076" t="str">
        <f>IFERROR(__xludf.DUMMYFUNCTION("""COMPUTED_VALUE"""),"TNL-MĐA-019")</f>
        <v>TNL-MĐA-019</v>
      </c>
      <c r="B2518" s="1075" t="str">
        <f>IFERROR(__xludf.DUMMYFUNCTION("""COMPUTED_VALUE"""),"Máy đào gàu 0.5m3")</f>
        <v>Máy đào gàu 0.5m3</v>
      </c>
      <c r="C2518" s="1076" t="str">
        <f>IFERROR(__xludf.DUMMYFUNCTION("""COMPUTED_VALUE"""),"XN Chuối LP3")</f>
        <v>XN Chuối LP3</v>
      </c>
      <c r="D2518" s="1076" t="str">
        <f>IFERROR(__xludf.DUMMYFUNCTION("""COMPUTED_VALUE"""),"CATERPILLAR")</f>
        <v>CATERPILLAR</v>
      </c>
      <c r="E2518" s="1076"/>
      <c r="F2518" s="1076"/>
      <c r="G2518" s="1076" t="str">
        <f>IFERROR(__xludf.DUMMYFUNCTION("""COMPUTED_VALUE"""),"120B")</f>
        <v>120B</v>
      </c>
      <c r="H2518" s="1076" t="str">
        <f>IFERROR(__xludf.DUMMYFUNCTION("""COMPUTED_VALUE"""),"84HP")</f>
        <v>84HP</v>
      </c>
      <c r="I2518" s="1076" t="str">
        <f>IFERROR(__xludf.DUMMYFUNCTION("""COMPUTED_VALUE"""),"4123")</f>
        <v>4123</v>
      </c>
      <c r="J2518" s="1076"/>
      <c r="K2518" s="1076"/>
      <c r="L2518" s="1076" t="str">
        <f>IFERROR(__xludf.DUMMYFUNCTION("""COMPUTED_VALUE"""),"-")</f>
        <v>-</v>
      </c>
    </row>
    <row r="2519" customHeight="1" spans="1:12">
      <c r="A2519" s="1076" t="str">
        <f>IFERROR(__xludf.DUMMYFUNCTION("""COMPUTED_VALUE"""),"TNL-MĐA-020")</f>
        <v>TNL-MĐA-020</v>
      </c>
      <c r="B2519" s="1075" t="str">
        <f>IFERROR(__xludf.DUMMYFUNCTION("""COMPUTED_VALUE"""),"Máy đào gàu 0.5m3")</f>
        <v>Máy đào gàu 0.5m3</v>
      </c>
      <c r="C2519" s="1076" t="str">
        <f>IFERROR(__xludf.DUMMYFUNCTION("""COMPUTED_VALUE"""),"XN Chuối LP3")</f>
        <v>XN Chuối LP3</v>
      </c>
      <c r="D2519" s="1076" t="str">
        <f>IFERROR(__xludf.DUMMYFUNCTION("""COMPUTED_VALUE"""),"CATERPILLAR")</f>
        <v>CATERPILLAR</v>
      </c>
      <c r="E2519" s="1076"/>
      <c r="F2519" s="1076">
        <f>IFERROR(__xludf.DUMMYFUNCTION("""COMPUTED_VALUE"""),2005)</f>
        <v>2005</v>
      </c>
      <c r="G2519" s="1076" t="str">
        <f>IFERROR(__xludf.DUMMYFUNCTION("""COMPUTED_VALUE"""),"312C")</f>
        <v>312C</v>
      </c>
      <c r="H2519" s="1076" t="str">
        <f>IFERROR(__xludf.DUMMYFUNCTION("""COMPUTED_VALUE"""),"94HP")</f>
        <v>94HP</v>
      </c>
      <c r="I2519" s="1076" t="str">
        <f>IFERROR(__xludf.DUMMYFUNCTION("""COMPUTED_VALUE"""),"CAT0312CCCCAE02876")</f>
        <v>CAT0312CCCCAE02876</v>
      </c>
      <c r="J2519" s="1076" t="str">
        <f>IFERROR(__xludf.DUMMYFUNCTION("""COMPUTED_VALUE"""),"6LK37380")</f>
        <v>6LK37380</v>
      </c>
      <c r="K2519" s="1076"/>
      <c r="L2519" s="1076" t="str">
        <f>IFERROR(__xludf.DUMMYFUNCTION("""COMPUTED_VALUE"""),"-")</f>
        <v>-</v>
      </c>
    </row>
    <row r="2520" customHeight="1" spans="1:12">
      <c r="A2520" s="1076" t="str">
        <f>IFERROR(__xludf.DUMMYFUNCTION("""COMPUTED_VALUE"""),"TNL-MĐA-021")</f>
        <v>TNL-MĐA-021</v>
      </c>
      <c r="B2520" s="1075" t="str">
        <f>IFERROR(__xludf.DUMMYFUNCTION("""COMPUTED_VALUE"""),"Máy đào gàu 0.9m3")</f>
        <v>Máy đào gàu 0.9m3</v>
      </c>
      <c r="C2520" s="1076" t="str">
        <f>IFERROR(__xludf.DUMMYFUNCTION("""COMPUTED_VALUE"""),"CGTC LP")</f>
        <v>CGTC LP</v>
      </c>
      <c r="D2520" s="1076" t="str">
        <f>IFERROR(__xludf.DUMMYFUNCTION("""COMPUTED_VALUE"""),"CATERPILLAR")</f>
        <v>CATERPILLAR</v>
      </c>
      <c r="E2520" s="1076"/>
      <c r="F2520" s="1076">
        <f>IFERROR(__xludf.DUMMYFUNCTION("""COMPUTED_VALUE"""),2019)</f>
        <v>2019</v>
      </c>
      <c r="G2520" s="1076" t="str">
        <f>IFERROR(__xludf.DUMMYFUNCTION("""COMPUTED_VALUE"""),"320D")</f>
        <v>320D</v>
      </c>
      <c r="H2520" s="1076" t="str">
        <f>IFERROR(__xludf.DUMMYFUNCTION("""COMPUTED_VALUE"""),"150HP")</f>
        <v>150HP</v>
      </c>
      <c r="I2520" s="1076" t="str">
        <f>IFERROR(__xludf.DUMMYFUNCTION("""COMPUTED_VALUE"""),"0320DPZBH10122")</f>
        <v>0320DPZBH10122</v>
      </c>
      <c r="J2520" s="1076" t="str">
        <f>IFERROR(__xludf.DUMMYFUNCTION("""COMPUTED_VALUE"""),"2W201978")</f>
        <v>2W201978</v>
      </c>
      <c r="K2520" s="1076"/>
      <c r="L2520" s="1076" t="str">
        <f>IFERROR(__xludf.DUMMYFUNCTION("""COMPUTED_VALUE"""),"-")</f>
        <v>-</v>
      </c>
    </row>
    <row r="2521" customHeight="1" spans="1:12">
      <c r="A2521" s="1076" t="str">
        <f>IFERROR(__xludf.DUMMYFUNCTION("""COMPUTED_VALUE"""),"TNL-MĐA-022")</f>
        <v>TNL-MĐA-022</v>
      </c>
      <c r="B2521" s="1075" t="str">
        <f>IFERROR(__xludf.DUMMYFUNCTION("""COMPUTED_VALUE"""),"Máy đào gàu 1.1m3")</f>
        <v>Máy đào gàu 1.1m3</v>
      </c>
      <c r="C2521" s="1076" t="str">
        <f>IFERROR(__xludf.DUMMYFUNCTION("""COMPUTED_VALUE"""),"XN Chuối LP3")</f>
        <v>XN Chuối LP3</v>
      </c>
      <c r="D2521" s="1076" t="str">
        <f>IFERROR(__xludf.DUMMYFUNCTION("""COMPUTED_VALUE"""),"CATERPILLAR")</f>
        <v>CATERPILLAR</v>
      </c>
      <c r="E2521" s="1076"/>
      <c r="F2521" s="1076"/>
      <c r="G2521" s="1076" t="str">
        <f>IFERROR(__xludf.DUMMYFUNCTION("""COMPUTED_VALUE"""),"320D")</f>
        <v>320D</v>
      </c>
      <c r="H2521" s="1076" t="str">
        <f>IFERROR(__xludf.DUMMYFUNCTION("""COMPUTED_VALUE"""),"150HP")</f>
        <v>150HP</v>
      </c>
      <c r="I2521" s="1076" t="str">
        <f>IFERROR(__xludf.DUMMYFUNCTION("""COMPUTED_VALUE"""),"CAT0320DHPCM02379")</f>
        <v>CAT0320DHPCM02379</v>
      </c>
      <c r="J2521" s="1076" t="str">
        <f>IFERROR(__xludf.DUMMYFUNCTION("""COMPUTED_VALUE"""),"GDC55868")</f>
        <v>GDC55868</v>
      </c>
      <c r="K2521" s="1076">
        <f>IFERROR(__xludf.DUMMYFUNCTION("""COMPUTED_VALUE"""),17)</f>
        <v>17</v>
      </c>
      <c r="L2521" s="1076" t="str">
        <f>IFERROR(__xludf.DUMMYFUNCTION("""COMPUTED_VALUE"""),"-")</f>
        <v>-</v>
      </c>
    </row>
    <row r="2522" customHeight="1" spans="1:12">
      <c r="A2522" s="1076" t="str">
        <f>IFERROR(__xludf.DUMMYFUNCTION("""COMPUTED_VALUE"""),"TNL-MĐA-023")</f>
        <v>TNL-MĐA-023</v>
      </c>
      <c r="B2522" s="1075" t="str">
        <f>IFERROR(__xludf.DUMMYFUNCTION("""COMPUTED_VALUE"""),"Máy đào gàu 0.8m3")</f>
        <v>Máy đào gàu 0.8m3</v>
      </c>
      <c r="C2522" s="1076" t="str">
        <f>IFERROR(__xludf.DUMMYFUNCTION("""COMPUTED_VALUE"""),"XN Chuối LP3")</f>
        <v>XN Chuối LP3</v>
      </c>
      <c r="D2522" s="1076" t="str">
        <f>IFERROR(__xludf.DUMMYFUNCTION("""COMPUTED_VALUE"""),"SANY")</f>
        <v>SANY</v>
      </c>
      <c r="E2522" s="1076"/>
      <c r="F2522" s="1076">
        <f>IFERROR(__xludf.DUMMYFUNCTION("""COMPUTED_VALUE"""),2015)</f>
        <v>2015</v>
      </c>
      <c r="G2522" s="1076" t="str">
        <f>IFERROR(__xludf.DUMMYFUNCTION("""COMPUTED_VALUE"""),"SY215C")</f>
        <v>SY215C</v>
      </c>
      <c r="H2522" s="1076" t="str">
        <f>IFERROR(__xludf.DUMMYFUNCTION("""COMPUTED_VALUE"""),"164HP")</f>
        <v>164HP</v>
      </c>
      <c r="I2522" s="1076" t="str">
        <f>IFERROR(__xludf.DUMMYFUNCTION("""COMPUTED_VALUE"""),"129Y021318538")</f>
        <v>129Y021318538</v>
      </c>
      <c r="J2522" s="1076" t="str">
        <f>IFERROR(__xludf.DUMMYFUNCTION("""COMPUTED_VALUE"""),"6234-136834")</f>
        <v>6234-136834</v>
      </c>
      <c r="K2522" s="1076">
        <f>IFERROR(__xludf.DUMMYFUNCTION("""COMPUTED_VALUE"""),15)</f>
        <v>15</v>
      </c>
      <c r="L2522" s="1076" t="str">
        <f>IFERROR(__xludf.DUMMYFUNCTION("""COMPUTED_VALUE"""),"-")</f>
        <v>-</v>
      </c>
    </row>
    <row r="2523" customHeight="1" spans="1:12">
      <c r="A2523" s="1076" t="str">
        <f>IFERROR(__xludf.DUMMYFUNCTION("""COMPUTED_VALUE"""),"TNL-MĐA-024")</f>
        <v>TNL-MĐA-024</v>
      </c>
      <c r="B2523" s="1075" t="str">
        <f>IFERROR(__xludf.DUMMYFUNCTION("""COMPUTED_VALUE"""),"Máy đào gàu 0.5m3")</f>
        <v>Máy đào gàu 0.5m3</v>
      </c>
      <c r="C2523" s="1076" t="str">
        <f>IFERROR(__xludf.DUMMYFUNCTION("""COMPUTED_VALUE"""),"XN Chuối LP4")</f>
        <v>XN Chuối LP4</v>
      </c>
      <c r="D2523" s="1076" t="str">
        <f>IFERROR(__xludf.DUMMYFUNCTION("""COMPUTED_VALUE"""),"CAT 312")</f>
        <v>CAT 312</v>
      </c>
      <c r="E2523" s="1076"/>
      <c r="F2523" s="1076">
        <f>IFERROR(__xludf.DUMMYFUNCTION("""COMPUTED_VALUE"""),2004)</f>
        <v>2004</v>
      </c>
      <c r="G2523" s="1076"/>
      <c r="H2523" s="1076" t="str">
        <f>IFERROR(__xludf.DUMMYFUNCTION("""COMPUTED_VALUE"""),"94HP")</f>
        <v>94HP</v>
      </c>
      <c r="I2523" s="1076" t="str">
        <f>IFERROR(__xludf.DUMMYFUNCTION("""COMPUTED_VALUE"""),"7DK01906")</f>
        <v>7DK01906</v>
      </c>
      <c r="J2523" s="1076" t="str">
        <f>IFERROR(__xludf.DUMMYFUNCTION("""COMPUTED_VALUE"""),"BLKC2324")</f>
        <v>BLKC2324</v>
      </c>
      <c r="K2523" s="1076">
        <f>IFERROR(__xludf.DUMMYFUNCTION("""COMPUTED_VALUE"""),12)</f>
        <v>12</v>
      </c>
      <c r="L2523" s="1076" t="str">
        <f>IFERROR(__xludf.DUMMYFUNCTION("""COMPUTED_VALUE"""),"-")</f>
        <v>-</v>
      </c>
    </row>
    <row r="2524" customHeight="1" spans="1:12">
      <c r="A2524" s="1076" t="str">
        <f>IFERROR(__xludf.DUMMYFUNCTION("""COMPUTED_VALUE"""),"TNL-MĐA-025")</f>
        <v>TNL-MĐA-025</v>
      </c>
      <c r="B2524" s="1075" t="str">
        <f>IFERROR(__xludf.DUMMYFUNCTION("""COMPUTED_VALUE"""),"Máy đào gàu 0.8m3")</f>
        <v>Máy đào gàu 0.8m3</v>
      </c>
      <c r="C2524" s="1076" t="str">
        <f>IFERROR(__xludf.DUMMYFUNCTION("""COMPUTED_VALUE"""),"XN Chuối LP3")</f>
        <v>XN Chuối LP3</v>
      </c>
      <c r="D2524" s="1076" t="str">
        <f>IFERROR(__xludf.DUMMYFUNCTION("""COMPUTED_VALUE"""),"CAT")</f>
        <v>CAT</v>
      </c>
      <c r="E2524" s="1076"/>
      <c r="F2524" s="1076">
        <f>IFERROR(__xludf.DUMMYFUNCTION("""COMPUTED_VALUE"""),2008)</f>
        <v>2008</v>
      </c>
      <c r="G2524" s="1076" t="str">
        <f>IFERROR(__xludf.DUMMYFUNCTION("""COMPUTED_VALUE"""),"312D")</f>
        <v>312D</v>
      </c>
      <c r="H2524" s="1076" t="str">
        <f>IFERROR(__xludf.DUMMYFUNCTION("""COMPUTED_VALUE"""),"150HP")</f>
        <v>150HP</v>
      </c>
      <c r="I2524" s="1076" t="str">
        <f>IFERROR(__xludf.DUMMYFUNCTION("""COMPUTED_VALUE"""),"CAT320DCBWZ01037")</f>
        <v>CAT320DCBWZ01037</v>
      </c>
      <c r="J2524" s="1076" t="str">
        <f>IFERROR(__xludf.DUMMYFUNCTION("""COMPUTED_VALUE"""),"GDC03022")</f>
        <v>GDC03022</v>
      </c>
      <c r="K2524" s="1076">
        <f>IFERROR(__xludf.DUMMYFUNCTION("""COMPUTED_VALUE"""),14)</f>
        <v>14</v>
      </c>
      <c r="L2524" s="1076" t="str">
        <f>IFERROR(__xludf.DUMMYFUNCTION("""COMPUTED_VALUE"""),"-")</f>
        <v>-</v>
      </c>
    </row>
    <row r="2525" customHeight="1" spans="1:12">
      <c r="A2525" s="1076" t="str">
        <f>IFERROR(__xludf.DUMMYFUNCTION("""COMPUTED_VALUE"""),"TNL-MĐA-026")</f>
        <v>TNL-MĐA-026</v>
      </c>
      <c r="B2525" s="1075" t="str">
        <f>IFERROR(__xludf.DUMMYFUNCTION("""COMPUTED_VALUE"""),"Máy đào gàu 0.8m3")</f>
        <v>Máy đào gàu 0.8m3</v>
      </c>
      <c r="C2525" s="1076" t="str">
        <f>IFERROR(__xludf.DUMMYFUNCTION("""COMPUTED_VALUE"""),"XN Chuối LP3")</f>
        <v>XN Chuối LP3</v>
      </c>
      <c r="D2525" s="1076" t="str">
        <f>IFERROR(__xludf.DUMMYFUNCTION("""COMPUTED_VALUE"""),"CAT")</f>
        <v>CAT</v>
      </c>
      <c r="E2525" s="1076"/>
      <c r="F2525" s="1076">
        <f>IFERROR(__xludf.DUMMYFUNCTION("""COMPUTED_VALUE"""),2016)</f>
        <v>2016</v>
      </c>
      <c r="G2525" s="1076" t="str">
        <f>IFERROR(__xludf.DUMMYFUNCTION("""COMPUTED_VALUE"""),"320D2GC")</f>
        <v>320D2GC</v>
      </c>
      <c r="H2525" s="1076" t="str">
        <f>IFERROR(__xludf.DUMMYFUNCTION("""COMPUTED_VALUE"""),"150HP")</f>
        <v>150HP</v>
      </c>
      <c r="I2525" s="1076" t="str">
        <f>IFERROR(__xludf.DUMMYFUNCTION("""COMPUTED_VALUE"""),"CAT0320DPZBH10122")</f>
        <v>CAT0320DPZBH10122</v>
      </c>
      <c r="J2525" s="1076" t="str">
        <f>IFERROR(__xludf.DUMMYFUNCTION("""COMPUTED_VALUE"""),"2W201978")</f>
        <v>2W201978</v>
      </c>
      <c r="K2525" s="1076">
        <f>IFERROR(__xludf.DUMMYFUNCTION("""COMPUTED_VALUE"""),14)</f>
        <v>14</v>
      </c>
      <c r="L2525" s="1076" t="str">
        <f>IFERROR(__xludf.DUMMYFUNCTION("""COMPUTED_VALUE"""),"-")</f>
        <v>-</v>
      </c>
    </row>
    <row r="2526" customHeight="1" spans="1:12">
      <c r="A2526" s="1076" t="str">
        <f>IFERROR(__xludf.DUMMYFUNCTION("""COMPUTED_VALUE"""),"TNL-MĐA-027")</f>
        <v>TNL-MĐA-027</v>
      </c>
      <c r="B2526" s="1075" t="str">
        <f>IFERROR(__xludf.DUMMYFUNCTION("""COMPUTED_VALUE"""),"Máy đào gàu 0.9m3")</f>
        <v>Máy đào gàu 0.9m3</v>
      </c>
      <c r="C2526" s="1076" t="str">
        <f>IFERROR(__xludf.DUMMYFUNCTION("""COMPUTED_VALUE"""),"CGTC LP")</f>
        <v>CGTC LP</v>
      </c>
      <c r="D2526" s="1076" t="str">
        <f>IFERROR(__xludf.DUMMYFUNCTION("""COMPUTED_VALUE"""),"HYUNDAI")</f>
        <v>HYUNDAI</v>
      </c>
      <c r="E2526" s="1076" t="str">
        <f>IFERROR(__xludf.DUMMYFUNCTION("""COMPUTED_VALUE"""),"HÀN QUỐC")</f>
        <v>HÀN QUỐC</v>
      </c>
      <c r="F2526" s="1076">
        <f>IFERROR(__xludf.DUMMYFUNCTION("""COMPUTED_VALUE"""),2022)</f>
        <v>2022</v>
      </c>
      <c r="G2526" s="1076" t="str">
        <f>IFERROR(__xludf.DUMMYFUNCTION("""COMPUTED_VALUE"""),"HX2253")</f>
        <v>HX2253</v>
      </c>
      <c r="H2526" s="1076" t="str">
        <f>IFERROR(__xludf.DUMMYFUNCTION("""COMPUTED_VALUE"""),"147HP")</f>
        <v>147HP</v>
      </c>
      <c r="I2526" s="1076" t="str">
        <f>IFERROR(__xludf.DUMMYFUNCTION("""COMPUTED_VALUE"""),"HHKHK605LE0001607")</f>
        <v>HHKHK605LE0001607</v>
      </c>
      <c r="J2526" s="1076" t="str">
        <f>IFERROR(__xludf.DUMMYFUNCTION("""COMPUTED_VALUE"""),"22517023")</f>
        <v>22517023</v>
      </c>
      <c r="K2526" s="1076">
        <f>IFERROR(__xludf.DUMMYFUNCTION("""COMPUTED_VALUE"""),15.5)</f>
        <v>15.5</v>
      </c>
      <c r="L2526" s="1076" t="str">
        <f>IFERROR(__xludf.DUMMYFUNCTION("""COMPUTED_VALUE"""),"-")</f>
        <v>-</v>
      </c>
    </row>
    <row r="2527" customHeight="1" spans="1:12">
      <c r="A2527" s="1076" t="str">
        <f>IFERROR(__xludf.DUMMYFUNCTION("""COMPUTED_VALUE"""),"TNL-MĐA-028")</f>
        <v>TNL-MĐA-028</v>
      </c>
      <c r="B2527" s="1075" t="str">
        <f>IFERROR(__xludf.DUMMYFUNCTION("""COMPUTED_VALUE"""),"Máy đào gàu 0.5m3")</f>
        <v>Máy đào gàu 0.5m3</v>
      </c>
      <c r="C2527" s="1076" t="str">
        <f>IFERROR(__xludf.DUMMYFUNCTION("""COMPUTED_VALUE"""),"CGTC LP")</f>
        <v>CGTC LP</v>
      </c>
      <c r="D2527" s="1076" t="str">
        <f>IFERROR(__xludf.DUMMYFUNCTION("""COMPUTED_VALUE"""),"HYUNDAI")</f>
        <v>HYUNDAI</v>
      </c>
      <c r="E2527" s="1076"/>
      <c r="F2527" s="1076">
        <f>IFERROR(__xludf.DUMMYFUNCTION("""COMPUTED_VALUE"""),2012)</f>
        <v>2012</v>
      </c>
      <c r="G2527" s="1076" t="str">
        <f>IFERROR(__xludf.DUMMYFUNCTION("""COMPUTED_VALUE"""),"ROBEX140LC-9S")</f>
        <v>ROBEX140LC-9S</v>
      </c>
      <c r="H2527" s="1076" t="str">
        <f>IFERROR(__xludf.DUMMYFUNCTION("""COMPUTED_VALUE"""),"113HP")</f>
        <v>113HP</v>
      </c>
      <c r="I2527" s="1076" t="str">
        <f>IFERROR(__xludf.DUMMYFUNCTION("""COMPUTED_VALUE"""),"HHKHZ402HC0000221")</f>
        <v>HHKHZ402HC0000221</v>
      </c>
      <c r="J2527" s="1076" t="str">
        <f>IFERROR(__xludf.DUMMYFUNCTION("""COMPUTED_VALUE"""),"26485489")</f>
        <v>26485489</v>
      </c>
      <c r="K2527" s="1076">
        <f>IFERROR(__xludf.DUMMYFUNCTION("""COMPUTED_VALUE"""),10)</f>
        <v>10</v>
      </c>
      <c r="L2527" s="1076" t="str">
        <f>IFERROR(__xludf.DUMMYFUNCTION("""COMPUTED_VALUE"""),"-")</f>
        <v>-</v>
      </c>
    </row>
    <row r="2528" customHeight="1" spans="1:12">
      <c r="A2528" s="1076" t="str">
        <f>IFERROR(__xludf.DUMMYFUNCTION("""COMPUTED_VALUE"""),"TNL-MĐA-029")</f>
        <v>TNL-MĐA-029</v>
      </c>
      <c r="B2528" s="1075" t="str">
        <f>IFERROR(__xludf.DUMMYFUNCTION("""COMPUTED_VALUE"""),"Máy đào gàu 0.5m3")</f>
        <v>Máy đào gàu 0.5m3</v>
      </c>
      <c r="C2528" s="1076" t="str">
        <f>IFERROR(__xludf.DUMMYFUNCTION("""COMPUTED_VALUE"""),"XN Chuối LP3")</f>
        <v>XN Chuối LP3</v>
      </c>
      <c r="D2528" s="1076" t="str">
        <f>IFERROR(__xludf.DUMMYFUNCTION("""COMPUTED_VALUE"""),"CAT")</f>
        <v>CAT</v>
      </c>
      <c r="E2528" s="1076"/>
      <c r="F2528" s="1076">
        <f>IFERROR(__xludf.DUMMYFUNCTION("""COMPUTED_VALUE"""),1998)</f>
        <v>1998</v>
      </c>
      <c r="G2528" s="1076" t="str">
        <f>IFERROR(__xludf.DUMMYFUNCTION("""COMPUTED_VALUE"""),"312B")</f>
        <v>312B</v>
      </c>
      <c r="H2528" s="1076" t="str">
        <f>IFERROR(__xludf.DUMMYFUNCTION("""COMPUTED_VALUE"""),"120HP")</f>
        <v>120HP</v>
      </c>
      <c r="I2528" s="1076" t="str">
        <f>IFERROR(__xludf.DUMMYFUNCTION("""COMPUTED_VALUE"""),"9HR02924")</f>
        <v>9HR02924</v>
      </c>
      <c r="J2528" s="1076" t="str">
        <f>IFERROR(__xludf.DUMMYFUNCTION("""COMPUTED_VALUE"""),"6LK18226")</f>
        <v>6LK18226</v>
      </c>
      <c r="K2528" s="1076">
        <f>IFERROR(__xludf.DUMMYFUNCTION("""COMPUTED_VALUE"""),11.8)</f>
        <v>11.8</v>
      </c>
      <c r="L2528" s="1076" t="str">
        <f>IFERROR(__xludf.DUMMYFUNCTION("""COMPUTED_VALUE"""),"-")</f>
        <v>-</v>
      </c>
    </row>
    <row r="2529" customHeight="1" spans="1:12">
      <c r="A2529" s="1076" t="str">
        <f>IFERROR(__xludf.DUMMYFUNCTION("""COMPUTED_VALUE"""),"TNL-MĐA-030")</f>
        <v>TNL-MĐA-030</v>
      </c>
      <c r="B2529" s="1075" t="str">
        <f>IFERROR(__xludf.DUMMYFUNCTION("""COMPUTED_VALUE"""),"Máy đào gàu 0.9m3")</f>
        <v>Máy đào gàu 0.9m3</v>
      </c>
      <c r="C2529" s="1076" t="str">
        <f>IFERROR(__xludf.DUMMYFUNCTION("""COMPUTED_VALUE"""),"CGTC LP")</f>
        <v>CGTC LP</v>
      </c>
      <c r="D2529" s="1076" t="str">
        <f>IFERROR(__xludf.DUMMYFUNCTION("""COMPUTED_VALUE"""),"CAT")</f>
        <v>CAT</v>
      </c>
      <c r="E2529" s="1076" t="str">
        <f>IFERROR(__xludf.DUMMYFUNCTION("""COMPUTED_VALUE"""),"NHẬT BẢN")</f>
        <v>NHẬT BẢN</v>
      </c>
      <c r="F2529" s="1076"/>
      <c r="G2529" s="1076" t="str">
        <f>IFERROR(__xludf.DUMMYFUNCTION("""COMPUTED_VALUE"""),"320D2GC")</f>
        <v>320D2GC</v>
      </c>
      <c r="H2529" s="1076" t="str">
        <f>IFERROR(__xludf.DUMMYFUNCTION("""COMPUTED_VALUE"""),"143HP")</f>
        <v>143HP</v>
      </c>
      <c r="I2529" s="1076" t="str">
        <f>IFERROR(__xludf.DUMMYFUNCTION("""COMPUTED_VALUE"""),"CAT0320DTZBH11284")</f>
        <v>CAT0320DTZBH11284</v>
      </c>
      <c r="J2529" s="1076" t="str">
        <f>IFERROR(__xludf.DUMMYFUNCTION("""COMPUTED_VALUE"""),"2W203706")</f>
        <v>2W203706</v>
      </c>
      <c r="K2529" s="1076">
        <f>IFERROR(__xludf.DUMMYFUNCTION("""COMPUTED_VALUE"""),16.2)</f>
        <v>16.2</v>
      </c>
      <c r="L2529" s="1076" t="str">
        <f>IFERROR(__xludf.DUMMYFUNCTION("""COMPUTED_VALUE"""),"-")</f>
        <v>-</v>
      </c>
    </row>
    <row r="2530" customHeight="1" spans="1:12">
      <c r="A2530" s="1076" t="str">
        <f>IFERROR(__xludf.DUMMYFUNCTION("""COMPUTED_VALUE"""),"TNL-MĐA-031")</f>
        <v>TNL-MĐA-031</v>
      </c>
      <c r="B2530" s="1075" t="str">
        <f>IFERROR(__xludf.DUMMYFUNCTION("""COMPUTED_VALUE"""),"Máy đào gàu 0.5m3")</f>
        <v>Máy đào gàu 0.5m3</v>
      </c>
      <c r="C2530" s="1076" t="str">
        <f>IFERROR(__xludf.DUMMYFUNCTION("""COMPUTED_VALUE"""),"CGTC LP")</f>
        <v>CGTC LP</v>
      </c>
      <c r="D2530" s="1076" t="str">
        <f>IFERROR(__xludf.DUMMYFUNCTION("""COMPUTED_VALUE"""),"CAT")</f>
        <v>CAT</v>
      </c>
      <c r="E2530" s="1076" t="str">
        <f>IFERROR(__xludf.DUMMYFUNCTION("""COMPUTED_VALUE"""),"NHẬT BẢN")</f>
        <v>NHẬT BẢN</v>
      </c>
      <c r="F2530" s="1076"/>
      <c r="G2530" s="1076" t="str">
        <f>IFERROR(__xludf.DUMMYFUNCTION("""COMPUTED_VALUE"""),"312D")</f>
        <v>312D</v>
      </c>
      <c r="H2530" s="1076" t="str">
        <f>IFERROR(__xludf.DUMMYFUNCTION("""COMPUTED_VALUE"""),"94HP")</f>
        <v>94HP</v>
      </c>
      <c r="I2530" s="1076" t="str">
        <f>IFERROR(__xludf.DUMMYFUNCTION("""COMPUTED_VALUE"""),"CAT0312DJJJY00276")</f>
        <v>CAT0312DJJJY00276</v>
      </c>
      <c r="J2530" s="1076" t="str">
        <f>IFERROR(__xludf.DUMMYFUNCTION("""COMPUTED_VALUE"""),"CST05022")</f>
        <v>CST05022</v>
      </c>
      <c r="K2530" s="1076">
        <f>IFERROR(__xludf.DUMMYFUNCTION("""COMPUTED_VALUE"""),10)</f>
        <v>10</v>
      </c>
      <c r="L2530" s="1076" t="str">
        <f>IFERROR(__xludf.DUMMYFUNCTION("""COMPUTED_VALUE"""),"-")</f>
        <v>-</v>
      </c>
    </row>
    <row r="2531" customHeight="1" spans="1:12">
      <c r="A2531" s="1076" t="str">
        <f>IFERROR(__xludf.DUMMYFUNCTION("""COMPUTED_VALUE"""),"TNL-MĐA-032")</f>
        <v>TNL-MĐA-032</v>
      </c>
      <c r="B2531" s="1075" t="str">
        <f>IFERROR(__xludf.DUMMYFUNCTION("""COMPUTED_VALUE"""),"Máy đào gàu 0.5m3")</f>
        <v>Máy đào gàu 0.5m3</v>
      </c>
      <c r="C2531" s="1076" t="str">
        <f>IFERROR(__xludf.DUMMYFUNCTION("""COMPUTED_VALUE"""),"CGTC LP")</f>
        <v>CGTC LP</v>
      </c>
      <c r="D2531" s="1076" t="str">
        <f>IFERROR(__xludf.DUMMYFUNCTION("""COMPUTED_VALUE"""),"CAT")</f>
        <v>CAT</v>
      </c>
      <c r="E2531" s="1076" t="str">
        <f>IFERROR(__xludf.DUMMYFUNCTION("""COMPUTED_VALUE"""),"NHẬT BẢN")</f>
        <v>NHẬT BẢN</v>
      </c>
      <c r="F2531" s="1076">
        <f>IFERROR(__xludf.DUMMYFUNCTION("""COMPUTED_VALUE"""),2007)</f>
        <v>2007</v>
      </c>
      <c r="G2531" s="1076" t="str">
        <f>IFERROR(__xludf.DUMMYFUNCTION("""COMPUTED_VALUE"""),"312D2GC")</f>
        <v>312D2GC</v>
      </c>
      <c r="H2531" s="1076" t="str">
        <f>IFERROR(__xludf.DUMMYFUNCTION("""COMPUTED_VALUE"""),"94HP")</f>
        <v>94HP</v>
      </c>
      <c r="I2531" s="1076" t="str">
        <f>IFERROR(__xludf.DUMMYFUNCTION("""COMPUTED_VALUE"""),"CAT0312CVCBA04179")</f>
        <v>CAT0312CVCBA04179</v>
      </c>
      <c r="J2531" s="1076" t="str">
        <f>IFERROR(__xludf.DUMMYFUNCTION("""COMPUTED_VALUE"""),"6L15597")</f>
        <v>6L15597</v>
      </c>
      <c r="K2531" s="1076">
        <f>IFERROR(__xludf.DUMMYFUNCTION("""COMPUTED_VALUE"""),11)</f>
        <v>11</v>
      </c>
      <c r="L2531" s="1076" t="str">
        <f>IFERROR(__xludf.DUMMYFUNCTION("""COMPUTED_VALUE"""),"-")</f>
        <v>-</v>
      </c>
    </row>
    <row r="2532" customHeight="1" spans="1:12">
      <c r="A2532" s="1076" t="str">
        <f>IFERROR(__xludf.DUMMYFUNCTION("""COMPUTED_VALUE"""),"TNL-MĐA-033")</f>
        <v>TNL-MĐA-033</v>
      </c>
      <c r="B2532" s="1075" t="str">
        <f>IFERROR(__xludf.DUMMYFUNCTION("""COMPUTED_VALUE"""),"Máy đào gàu 0.5m3")</f>
        <v>Máy đào gàu 0.5m3</v>
      </c>
      <c r="C2532" s="1076" t="str">
        <f>IFERROR(__xludf.DUMMYFUNCTION("""COMPUTED_VALUE"""),"CGTC LP")</f>
        <v>CGTC LP</v>
      </c>
      <c r="D2532" s="1076" t="str">
        <f>IFERROR(__xludf.DUMMYFUNCTION("""COMPUTED_VALUE"""),"LIUGONG")</f>
        <v>LIUGONG</v>
      </c>
      <c r="E2532" s="1076" t="str">
        <f>IFERROR(__xludf.DUMMYFUNCTION("""COMPUTED_VALUE"""),"TRUNG QUỐC")</f>
        <v>TRUNG QUỐC</v>
      </c>
      <c r="F2532" s="1076">
        <f>IFERROR(__xludf.DUMMYFUNCTION("""COMPUTED_VALUE"""),2011)</f>
        <v>2011</v>
      </c>
      <c r="G2532" s="1076" t="str">
        <f>IFERROR(__xludf.DUMMYFUNCTION("""COMPUTED_VALUE"""),"CLG915D")</f>
        <v>CLG915D</v>
      </c>
      <c r="H2532" s="1076" t="str">
        <f>IFERROR(__xludf.DUMMYFUNCTION("""COMPUTED_VALUE"""),"115HP")</f>
        <v>115HP</v>
      </c>
      <c r="I2532" s="1076" t="str">
        <f>IFERROR(__xludf.DUMMYFUNCTION("""COMPUTED_VALUE"""),"915F115R0054")</f>
        <v>915F115R0054</v>
      </c>
      <c r="J2532" s="1076" t="str">
        <f>IFERROR(__xludf.DUMMYFUNCTION("""COMPUTED_VALUE"""),"26474718")</f>
        <v>26474718</v>
      </c>
      <c r="K2532" s="1076">
        <f>IFERROR(__xludf.DUMMYFUNCTION("""COMPUTED_VALUE"""),12.3)</f>
        <v>12.3</v>
      </c>
      <c r="L2532" s="1076" t="str">
        <f>IFERROR(__xludf.DUMMYFUNCTION("""COMPUTED_VALUE"""),"-")</f>
        <v>-</v>
      </c>
    </row>
    <row r="2533" customHeight="1" spans="1:12">
      <c r="A2533" s="1076" t="str">
        <f>IFERROR(__xludf.DUMMYFUNCTION("""COMPUTED_VALUE"""),"TNL-MĐA-034")</f>
        <v>TNL-MĐA-034</v>
      </c>
      <c r="B2533" s="1075" t="str">
        <f>IFERROR(__xludf.DUMMYFUNCTION("""COMPUTED_VALUE"""),"Máy đào gàu 0.7m3")</f>
        <v>Máy đào gàu 0.7m3</v>
      </c>
      <c r="C2533" s="1076" t="str">
        <f>IFERROR(__xludf.DUMMYFUNCTION("""COMPUTED_VALUE"""),"CGTC LP")</f>
        <v>CGTC LP</v>
      </c>
      <c r="D2533" s="1076" t="str">
        <f>IFERROR(__xludf.DUMMYFUNCTION("""COMPUTED_VALUE"""),"HITACHI")</f>
        <v>HITACHI</v>
      </c>
      <c r="E2533" s="1076" t="str">
        <f>IFERROR(__xludf.DUMMYFUNCTION("""COMPUTED_VALUE"""),"NHẬT BẢN")</f>
        <v>NHẬT BẢN</v>
      </c>
      <c r="F2533" s="1076">
        <f>IFERROR(__xludf.DUMMYFUNCTION("""COMPUTED_VALUE"""),2015)</f>
        <v>2015</v>
      </c>
      <c r="G2533" s="1076" t="str">
        <f>IFERROR(__xludf.DUMMYFUNCTION("""COMPUTED_VALUE"""),"ZX200LC-5G")</f>
        <v>ZX200LC-5G</v>
      </c>
      <c r="H2533" s="1076" t="str">
        <f>IFERROR(__xludf.DUMMYFUNCTION("""COMPUTED_VALUE"""),"168HP")</f>
        <v>168HP</v>
      </c>
      <c r="I2533" s="1076" t="str">
        <f>IFERROR(__xludf.DUMMYFUNCTION("""COMPUTED_VALUE"""),"HCMDCD91E00304200")</f>
        <v>HCMDCD91E00304200</v>
      </c>
      <c r="J2533" s="1076" t="str">
        <f>IFERROR(__xludf.DUMMYFUNCTION("""COMPUTED_VALUE"""),"6BG1-357863")</f>
        <v>6BG1-357863</v>
      </c>
      <c r="K2533" s="1076">
        <f>IFERROR(__xludf.DUMMYFUNCTION("""COMPUTED_VALUE"""),13)</f>
        <v>13</v>
      </c>
      <c r="L2533" s="1076" t="str">
        <f>IFERROR(__xludf.DUMMYFUNCTION("""COMPUTED_VALUE"""),"Đang thuê")</f>
        <v>Đang thuê</v>
      </c>
    </row>
    <row r="2534" customHeight="1" spans="1:12">
      <c r="A2534" s="1076" t="str">
        <f>IFERROR(__xludf.DUMMYFUNCTION("""COMPUTED_VALUE"""),"TNL-MĐA-035")</f>
        <v>TNL-MĐA-035</v>
      </c>
      <c r="B2534" s="1075" t="str">
        <f>IFERROR(__xludf.DUMMYFUNCTION("""COMPUTED_VALUE"""),"Máy đào gàu 0.5m3")</f>
        <v>Máy đào gàu 0.5m3</v>
      </c>
      <c r="C2534" s="1076" t="str">
        <f>IFERROR(__xludf.DUMMYFUNCTION("""COMPUTED_VALUE"""),"CGTC LP")</f>
        <v>CGTC LP</v>
      </c>
      <c r="D2534" s="1076" t="str">
        <f>IFERROR(__xludf.DUMMYFUNCTION("""COMPUTED_VALUE"""),"CAT")</f>
        <v>CAT</v>
      </c>
      <c r="E2534" s="1076" t="str">
        <f>IFERROR(__xludf.DUMMYFUNCTION("""COMPUTED_VALUE"""),"NHẬT BẢN")</f>
        <v>NHẬT BẢN</v>
      </c>
      <c r="F2534" s="1076">
        <f>IFERROR(__xludf.DUMMYFUNCTION("""COMPUTED_VALUE"""),2005)</f>
        <v>2005</v>
      </c>
      <c r="G2534" s="1076" t="str">
        <f>IFERROR(__xludf.DUMMYFUNCTION("""COMPUTED_VALUE"""),"312C-3")</f>
        <v>312C-3</v>
      </c>
      <c r="H2534" s="1076" t="str">
        <f>IFERROR(__xludf.DUMMYFUNCTION("""COMPUTED_VALUE"""),"90HP")</f>
        <v>90HP</v>
      </c>
      <c r="I2534" s="1076" t="str">
        <f>IFERROR(__xludf.DUMMYFUNCTION("""COMPUTED_VALUE"""),"CAT0312CCCAE02876")</f>
        <v>CAT0312CCCAE02876</v>
      </c>
      <c r="J2534" s="1076" t="str">
        <f>IFERROR(__xludf.DUMMYFUNCTION("""COMPUTED_VALUE"""),"6LK37380")</f>
        <v>6LK37380</v>
      </c>
      <c r="K2534" s="1076">
        <f>IFERROR(__xludf.DUMMYFUNCTION("""COMPUTED_VALUE"""),11.14)</f>
        <v>11.14</v>
      </c>
      <c r="L2534" s="1076" t="str">
        <f>IFERROR(__xludf.DUMMYFUNCTION("""COMPUTED_VALUE"""),"-")</f>
        <v>-</v>
      </c>
    </row>
    <row r="2535" customHeight="1" spans="1:12">
      <c r="A2535" s="1076" t="str">
        <f>IFERROR(__xludf.DUMMYFUNCTION("""COMPUTED_VALUE"""),"TNL-MĐA-036")</f>
        <v>TNL-MĐA-036</v>
      </c>
      <c r="B2535" s="1075" t="str">
        <f>IFERROR(__xludf.DUMMYFUNCTION("""COMPUTED_VALUE"""),"Máy đào gàu 0.5m3")</f>
        <v>Máy đào gàu 0.5m3</v>
      </c>
      <c r="C2535" s="1076" t="str">
        <f>IFERROR(__xludf.DUMMYFUNCTION("""COMPUTED_VALUE"""),"CGTC LP")</f>
        <v>CGTC LP</v>
      </c>
      <c r="D2535" s="1076" t="str">
        <f>IFERROR(__xludf.DUMMYFUNCTION("""COMPUTED_VALUE"""),"CAT")</f>
        <v>CAT</v>
      </c>
      <c r="E2535" s="1076" t="str">
        <f>IFERROR(__xludf.DUMMYFUNCTION("""COMPUTED_VALUE"""),"NHẬT BẢN")</f>
        <v>NHẬT BẢN</v>
      </c>
      <c r="F2535" s="1076">
        <f>IFERROR(__xludf.DUMMYFUNCTION("""COMPUTED_VALUE"""),1992)</f>
        <v>1992</v>
      </c>
      <c r="G2535" s="1076" t="str">
        <f>IFERROR(__xludf.DUMMYFUNCTION("""COMPUTED_VALUE"""),"CATE120B")</f>
        <v>CATE120B</v>
      </c>
      <c r="H2535" s="1076" t="str">
        <f>IFERROR(__xludf.DUMMYFUNCTION("""COMPUTED_VALUE"""),"84HP")</f>
        <v>84HP</v>
      </c>
      <c r="I2535" s="1076" t="str">
        <f>IFERROR(__xludf.DUMMYFUNCTION("""COMPUTED_VALUE"""),"7NF04264")</f>
        <v>7NF04264</v>
      </c>
      <c r="J2535" s="1076" t="str">
        <f>IFERROR(__xludf.DUMMYFUNCTION("""COMPUTED_VALUE"""),"4K005721")</f>
        <v>4K005721</v>
      </c>
      <c r="K2535" s="1076">
        <f>IFERROR(__xludf.DUMMYFUNCTION("""COMPUTED_VALUE"""),8)</f>
        <v>8</v>
      </c>
      <c r="L2535" s="1076" t="str">
        <f>IFERROR(__xludf.DUMMYFUNCTION("""COMPUTED_VALUE"""),"Đang thuê")</f>
        <v>Đang thuê</v>
      </c>
    </row>
    <row r="2536" customHeight="1" spans="1:12">
      <c r="A2536" s="1076" t="str">
        <f>IFERROR(__xludf.DUMMYFUNCTION("""COMPUTED_VALUE"""),"TNL-MĐA-037")</f>
        <v>TNL-MĐA-037</v>
      </c>
      <c r="B2536" s="1075" t="str">
        <f>IFERROR(__xludf.DUMMYFUNCTION("""COMPUTED_VALUE"""),"Máy đào gàu 0.5m3")</f>
        <v>Máy đào gàu 0.5m3</v>
      </c>
      <c r="C2536" s="1076" t="str">
        <f>IFERROR(__xludf.DUMMYFUNCTION("""COMPUTED_VALUE"""),"CGTC LP")</f>
        <v>CGTC LP</v>
      </c>
      <c r="D2536" s="1076" t="str">
        <f>IFERROR(__xludf.DUMMYFUNCTION("""COMPUTED_VALUE"""),"CAT")</f>
        <v>CAT</v>
      </c>
      <c r="E2536" s="1076" t="str">
        <f>IFERROR(__xludf.DUMMYFUNCTION("""COMPUTED_VALUE"""),"NHẬT BẢN")</f>
        <v>NHẬT BẢN</v>
      </c>
      <c r="F2536" s="1076">
        <f>IFERROR(__xludf.DUMMYFUNCTION("""COMPUTED_VALUE"""),1991)</f>
        <v>1991</v>
      </c>
      <c r="G2536" s="1076" t="str">
        <f>IFERROR(__xludf.DUMMYFUNCTION("""COMPUTED_VALUE"""),"E110B")</f>
        <v>E110B</v>
      </c>
      <c r="H2536" s="1076" t="str">
        <f>IFERROR(__xludf.DUMMYFUNCTION("""COMPUTED_VALUE"""),"83HP")</f>
        <v>83HP</v>
      </c>
      <c r="I2536" s="1076" t="str">
        <f>IFERROR(__xludf.DUMMYFUNCTION("""COMPUTED_VALUE"""),"K9HF02859")</f>
        <v>K9HF02859</v>
      </c>
      <c r="J2536" s="1076" t="str">
        <f>IFERROR(__xludf.DUMMYFUNCTION("""COMPUTED_VALUE"""),"211213")</f>
        <v>211213</v>
      </c>
      <c r="K2536" s="1076">
        <f>IFERROR(__xludf.DUMMYFUNCTION("""COMPUTED_VALUE"""),12)</f>
        <v>12</v>
      </c>
      <c r="L2536" s="1076" t="str">
        <f>IFERROR(__xludf.DUMMYFUNCTION("""COMPUTED_VALUE"""),"-")</f>
        <v>-</v>
      </c>
    </row>
    <row r="2537" customHeight="1" spans="1:12">
      <c r="A2537" s="1076" t="str">
        <f>IFERROR(__xludf.DUMMYFUNCTION("""COMPUTED_VALUE"""),"TNL-MĐA-038")</f>
        <v>TNL-MĐA-038</v>
      </c>
      <c r="B2537" s="1075" t="str">
        <f>IFERROR(__xludf.DUMMYFUNCTION("""COMPUTED_VALUE"""),"Máy đào gàu 0.5m3")</f>
        <v>Máy đào gàu 0.5m3</v>
      </c>
      <c r="C2537" s="1076" t="str">
        <f>IFERROR(__xludf.DUMMYFUNCTION("""COMPUTED_VALUE"""),"CGTC LP")</f>
        <v>CGTC LP</v>
      </c>
      <c r="D2537" s="1076" t="str">
        <f>IFERROR(__xludf.DUMMYFUNCTION("""COMPUTED_VALUE"""),"CAT")</f>
        <v>CAT</v>
      </c>
      <c r="E2537" s="1076" t="str">
        <f>IFERROR(__xludf.DUMMYFUNCTION("""COMPUTED_VALUE"""),"NHẬT BẢN")</f>
        <v>NHẬT BẢN</v>
      </c>
      <c r="F2537" s="1076">
        <f>IFERROR(__xludf.DUMMYFUNCTION("""COMPUTED_VALUE"""),1994)</f>
        <v>1994</v>
      </c>
      <c r="G2537" s="1076" t="str">
        <f>IFERROR(__xludf.DUMMYFUNCTION("""COMPUTED_VALUE"""),"E110B")</f>
        <v>E110B</v>
      </c>
      <c r="H2537" s="1076" t="str">
        <f>IFERROR(__xludf.DUMMYFUNCTION("""COMPUTED_VALUE"""),"83HP")</f>
        <v>83HP</v>
      </c>
      <c r="I2537" s="1076" t="str">
        <f>IFERROR(__xludf.DUMMYFUNCTION("""COMPUTED_VALUE"""),"9HF02265")</f>
        <v>9HF02265</v>
      </c>
      <c r="J2537" s="1076" t="str">
        <f>IFERROR(__xludf.DUMMYFUNCTION("""COMPUTED_VALUE"""),"S4KT-008825")</f>
        <v>S4KT-008825</v>
      </c>
      <c r="K2537" s="1076">
        <f>IFERROR(__xludf.DUMMYFUNCTION("""COMPUTED_VALUE"""),10)</f>
        <v>10</v>
      </c>
      <c r="L2537" s="1076" t="str">
        <f>IFERROR(__xludf.DUMMYFUNCTION("""COMPUTED_VALUE"""),"-")</f>
        <v>-</v>
      </c>
    </row>
    <row r="2538" customHeight="1" spans="1:12">
      <c r="A2538" s="1076" t="str">
        <f>IFERROR(__xludf.DUMMYFUNCTION("""COMPUTED_VALUE"""),"TNL-MĐA-039")</f>
        <v>TNL-MĐA-039</v>
      </c>
      <c r="B2538" s="1075" t="str">
        <f>IFERROR(__xludf.DUMMYFUNCTION("""COMPUTED_VALUE"""),"Máy đào gàu 0.5m3")</f>
        <v>Máy đào gàu 0.5m3</v>
      </c>
      <c r="C2538" s="1076" t="str">
        <f>IFERROR(__xludf.DUMMYFUNCTION("""COMPUTED_VALUE"""),"CGTC LP")</f>
        <v>CGTC LP</v>
      </c>
      <c r="D2538" s="1076" t="str">
        <f>IFERROR(__xludf.DUMMYFUNCTION("""COMPUTED_VALUE"""),"CAT")</f>
        <v>CAT</v>
      </c>
      <c r="E2538" s="1076" t="str">
        <f>IFERROR(__xludf.DUMMYFUNCTION("""COMPUTED_VALUE"""),"NHẬT BẢN")</f>
        <v>NHẬT BẢN</v>
      </c>
      <c r="F2538" s="1076">
        <f>IFERROR(__xludf.DUMMYFUNCTION("""COMPUTED_VALUE"""),2006)</f>
        <v>2006</v>
      </c>
      <c r="G2538" s="1076" t="str">
        <f>IFERROR(__xludf.DUMMYFUNCTION("""COMPUTED_VALUE"""),"312C-3")</f>
        <v>312C-3</v>
      </c>
      <c r="H2538" s="1076" t="str">
        <f>IFERROR(__xludf.DUMMYFUNCTION("""COMPUTED_VALUE"""),"88HP")</f>
        <v>88HP</v>
      </c>
      <c r="I2538" s="1076" t="str">
        <f>IFERROR(__xludf.DUMMYFUNCTION("""COMPUTED_VALUE"""),"CAT0312CCCAE02974")</f>
        <v>CAT0312CCCAE02974</v>
      </c>
      <c r="J2538" s="1076" t="str">
        <f>IFERROR(__xludf.DUMMYFUNCTION("""COMPUTED_VALUE"""),"6LK38245")</f>
        <v>6LK38245</v>
      </c>
      <c r="K2538" s="1076">
        <f>IFERROR(__xludf.DUMMYFUNCTION("""COMPUTED_VALUE"""),10.9)</f>
        <v>10.9</v>
      </c>
      <c r="L2538" s="1076" t="str">
        <f>IFERROR(__xludf.DUMMYFUNCTION("""COMPUTED_VALUE"""),"-")</f>
        <v>-</v>
      </c>
    </row>
    <row r="2539" customHeight="1" spans="1:12">
      <c r="A2539" s="1076" t="str">
        <f>IFERROR(__xludf.DUMMYFUNCTION("""COMPUTED_VALUE"""),"TNL-MĐA-040")</f>
        <v>TNL-MĐA-040</v>
      </c>
      <c r="B2539" s="1075" t="str">
        <f>IFERROR(__xludf.DUMMYFUNCTION("""COMPUTED_VALUE"""),"Máy đào gàu 0.9m3")</f>
        <v>Máy đào gàu 0.9m3</v>
      </c>
      <c r="C2539" s="1076" t="str">
        <f>IFERROR(__xludf.DUMMYFUNCTION("""COMPUTED_VALUE"""),"CGTC LP")</f>
        <v>CGTC LP</v>
      </c>
      <c r="D2539" s="1076" t="str">
        <f>IFERROR(__xludf.DUMMYFUNCTION("""COMPUTED_VALUE"""),"HUYNDAI")</f>
        <v>HUYNDAI</v>
      </c>
      <c r="E2539" s="1076" t="str">
        <f>IFERROR(__xludf.DUMMYFUNCTION("""COMPUTED_VALUE"""),"HÀN QUỐC")</f>
        <v>HÀN QUỐC</v>
      </c>
      <c r="F2539" s="1076">
        <f>IFERROR(__xludf.DUMMYFUNCTION("""COMPUTED_VALUE"""),2022)</f>
        <v>2022</v>
      </c>
      <c r="G2539" s="1076" t="str">
        <f>IFERROR(__xludf.DUMMYFUNCTION("""COMPUTED_VALUE"""),"HX2255")</f>
        <v>HX2255</v>
      </c>
      <c r="H2539" s="1076" t="str">
        <f>IFERROR(__xludf.DUMMYFUNCTION("""COMPUTED_VALUE"""),"174HP")</f>
        <v>174HP</v>
      </c>
      <c r="I2539" s="1076" t="str">
        <f>IFERROR(__xludf.DUMMYFUNCTION("""COMPUTED_VALUE"""),"HHKHK605AE0001606")</f>
        <v>HHKHK605AE0001606</v>
      </c>
      <c r="J2539" s="1076" t="str">
        <f>IFERROR(__xludf.DUMMYFUNCTION("""COMPUTED_VALUE"""),"22517110")</f>
        <v>22517110</v>
      </c>
      <c r="K2539" s="1076">
        <f>IFERROR(__xludf.DUMMYFUNCTION("""COMPUTED_VALUE"""),16)</f>
        <v>16</v>
      </c>
      <c r="L2539" s="1076" t="str">
        <f>IFERROR(__xludf.DUMMYFUNCTION("""COMPUTED_VALUE"""),"-")</f>
        <v>-</v>
      </c>
    </row>
    <row r="2540" customHeight="1" spans="1:12">
      <c r="A2540" s="1076" t="str">
        <f>IFERROR(__xludf.DUMMYFUNCTION("""COMPUTED_VALUE"""),"TNL-MĐA-041")</f>
        <v>TNL-MĐA-041</v>
      </c>
      <c r="B2540" s="1075" t="str">
        <f>IFERROR(__xludf.DUMMYFUNCTION("""COMPUTED_VALUE"""),"Máy đào gàu 0.5m3")</f>
        <v>Máy đào gàu 0.5m3</v>
      </c>
      <c r="C2540" s="1076" t="str">
        <f>IFERROR(__xludf.DUMMYFUNCTION("""COMPUTED_VALUE"""),"CGTC LP")</f>
        <v>CGTC LP</v>
      </c>
      <c r="D2540" s="1076" t="str">
        <f>IFERROR(__xludf.DUMMYFUNCTION("""COMPUTED_VALUE"""),"LIUGONG")</f>
        <v>LIUGONG</v>
      </c>
      <c r="E2540" s="1076" t="str">
        <f>IFERROR(__xludf.DUMMYFUNCTION("""COMPUTED_VALUE"""),"TRUNG QUỐC")</f>
        <v>TRUNG QUỐC</v>
      </c>
      <c r="F2540" s="1076">
        <f>IFERROR(__xludf.DUMMYFUNCTION("""COMPUTED_VALUE"""),2011)</f>
        <v>2011</v>
      </c>
      <c r="G2540" s="1076" t="str">
        <f>IFERROR(__xludf.DUMMYFUNCTION("""COMPUTED_VALUE"""),"CLG915D")</f>
        <v>CLG915D</v>
      </c>
      <c r="H2540" s="1076" t="str">
        <f>IFERROR(__xludf.DUMMYFUNCTION("""COMPUTED_VALUE"""),"101HP")</f>
        <v>101HP</v>
      </c>
      <c r="I2540" s="1076" t="str">
        <f>IFERROR(__xludf.DUMMYFUNCTION("""COMPUTED_VALUE"""),"915L11WJ0891")</f>
        <v>915L11WJ0891</v>
      </c>
      <c r="J2540" s="1076" t="str">
        <f>IFERROR(__xludf.DUMMYFUNCTION("""COMPUTED_VALUE"""),"26472038")</f>
        <v>26472038</v>
      </c>
      <c r="K2540" s="1076">
        <f>IFERROR(__xludf.DUMMYFUNCTION("""COMPUTED_VALUE"""),13)</f>
        <v>13</v>
      </c>
      <c r="L2540" s="1076" t="str">
        <f>IFERROR(__xludf.DUMMYFUNCTION("""COMPUTED_VALUE"""),"-")</f>
        <v>-</v>
      </c>
    </row>
    <row r="2541" customHeight="1" spans="1:12">
      <c r="A2541" s="1076" t="str">
        <f>IFERROR(__xludf.DUMMYFUNCTION("""COMPUTED_VALUE"""),"TNL-MĐA-042")</f>
        <v>TNL-MĐA-042</v>
      </c>
      <c r="B2541" s="1075" t="str">
        <f>IFERROR(__xludf.DUMMYFUNCTION("""COMPUTED_VALUE"""),"Máy đào gàu 0.9m3")</f>
        <v>Máy đào gàu 0.9m3</v>
      </c>
      <c r="C2541" s="1076" t="str">
        <f>IFERROR(__xludf.DUMMYFUNCTION("""COMPUTED_VALUE"""),"CGTC LP")</f>
        <v>CGTC LP</v>
      </c>
      <c r="D2541" s="1076" t="str">
        <f>IFERROR(__xludf.DUMMYFUNCTION("""COMPUTED_VALUE"""),"HYUNDAI")</f>
        <v>HYUNDAI</v>
      </c>
      <c r="E2541" s="1076" t="str">
        <f>IFERROR(__xludf.DUMMYFUNCTION("""COMPUTED_VALUE"""),"HÀN QUỐC")</f>
        <v>HÀN QUỐC</v>
      </c>
      <c r="F2541" s="1076">
        <f>IFERROR(__xludf.DUMMYFUNCTION("""COMPUTED_VALUE"""),2022)</f>
        <v>2022</v>
      </c>
      <c r="G2541" s="1076" t="str">
        <f>IFERROR(__xludf.DUMMYFUNCTION("""COMPUTED_VALUE"""),"HX2255")</f>
        <v>HX2255</v>
      </c>
      <c r="H2541" s="1076" t="str">
        <f>IFERROR(__xludf.DUMMYFUNCTION("""COMPUTED_VALUE"""),"174HP")</f>
        <v>174HP</v>
      </c>
      <c r="I2541" s="1076" t="str">
        <f>IFERROR(__xludf.DUMMYFUNCTION("""COMPUTED_VALUE"""),"HHKHK605HE0001656")</f>
        <v>HHKHK605HE0001656</v>
      </c>
      <c r="J2541" s="1076" t="str">
        <f>IFERROR(__xludf.DUMMYFUNCTION("""COMPUTED_VALUE"""),"22516109")</f>
        <v>22516109</v>
      </c>
      <c r="K2541" s="1076">
        <f>IFERROR(__xludf.DUMMYFUNCTION("""COMPUTED_VALUE"""),14.1)</f>
        <v>14.1</v>
      </c>
      <c r="L2541" s="1076" t="str">
        <f>IFERROR(__xludf.DUMMYFUNCTION("""COMPUTED_VALUE"""),"-")</f>
        <v>-</v>
      </c>
    </row>
    <row r="2542" customHeight="1" spans="1:12">
      <c r="A2542" s="1076" t="str">
        <f>IFERROR(__xludf.DUMMYFUNCTION("""COMPUTED_VALUE"""),"TNL-MĐA-043")</f>
        <v>TNL-MĐA-043</v>
      </c>
      <c r="B2542" s="1075" t="str">
        <f>IFERROR(__xludf.DUMMYFUNCTION("""COMPUTED_VALUE"""),"Máy đào gàu 0.5m3")</f>
        <v>Máy đào gàu 0.5m3</v>
      </c>
      <c r="C2542" s="1076" t="str">
        <f>IFERROR(__xludf.DUMMYFUNCTION("""COMPUTED_VALUE"""),"CGTC LP")</f>
        <v>CGTC LP</v>
      </c>
      <c r="D2542" s="1076" t="str">
        <f>IFERROR(__xludf.DUMMYFUNCTION("""COMPUTED_VALUE"""),"HYUNDAI")</f>
        <v>HYUNDAI</v>
      </c>
      <c r="E2542" s="1076" t="str">
        <f>IFERROR(__xludf.DUMMYFUNCTION("""COMPUTED_VALUE"""),"HÀN QUỐC")</f>
        <v>HÀN QUỐC</v>
      </c>
      <c r="F2542" s="1076">
        <f>IFERROR(__xludf.DUMMYFUNCTION("""COMPUTED_VALUE"""),2014)</f>
        <v>2014</v>
      </c>
      <c r="G2542" s="1076" t="str">
        <f>IFERROR(__xludf.DUMMYFUNCTION("""COMPUTED_VALUE"""),"R140W-95")</f>
        <v>R140W-95</v>
      </c>
      <c r="H2542" s="1076" t="str">
        <f>IFERROR(__xludf.DUMMYFUNCTION("""COMPUTED_VALUE"""),"113HP")</f>
        <v>113HP</v>
      </c>
      <c r="I2542" s="1076" t="str">
        <f>IFERROR(__xludf.DUMMYFUNCTION("""COMPUTED_VALUE"""),"HHKHZ412HE0000480")</f>
        <v>HHKHZ412HE0000480</v>
      </c>
      <c r="J2542" s="1076" t="str">
        <f>IFERROR(__xludf.DUMMYFUNCTION("""COMPUTED_VALUE"""),"26494405")</f>
        <v>26494405</v>
      </c>
      <c r="K2542" s="1076">
        <f>IFERROR(__xludf.DUMMYFUNCTION("""COMPUTED_VALUE"""),8.5)</f>
        <v>8.5</v>
      </c>
      <c r="L2542" s="1076" t="str">
        <f>IFERROR(__xludf.DUMMYFUNCTION("""COMPUTED_VALUE"""),"-")</f>
        <v>-</v>
      </c>
    </row>
    <row r="2543" customHeight="1" spans="1:12">
      <c r="A2543" s="1076" t="str">
        <f>IFERROR(__xludf.DUMMYFUNCTION("""COMPUTED_VALUE"""),"TNL-MĐA-044")</f>
        <v>TNL-MĐA-044</v>
      </c>
      <c r="B2543" s="1075" t="str">
        <f>IFERROR(__xludf.DUMMYFUNCTION("""COMPUTED_VALUE"""),"Máy đào gàu 0.5m3")</f>
        <v>Máy đào gàu 0.5m3</v>
      </c>
      <c r="C2543" s="1076" t="str">
        <f>IFERROR(__xludf.DUMMYFUNCTION("""COMPUTED_VALUE"""),"CGTC LP")</f>
        <v>CGTC LP</v>
      </c>
      <c r="D2543" s="1076" t="str">
        <f>IFERROR(__xludf.DUMMYFUNCTION("""COMPUTED_VALUE"""),"HITACHI")</f>
        <v>HITACHI</v>
      </c>
      <c r="E2543" s="1076"/>
      <c r="F2543" s="1076">
        <f>IFERROR(__xludf.DUMMYFUNCTION("""COMPUTED_VALUE"""),2007)</f>
        <v>2007</v>
      </c>
      <c r="G2543" s="1076" t="str">
        <f>IFERROR(__xludf.DUMMYFUNCTION("""COMPUTED_VALUE"""),"ZX125US")</f>
        <v>ZX125US</v>
      </c>
      <c r="H2543" s="1076" t="str">
        <f>IFERROR(__xludf.DUMMYFUNCTION("""COMPUTED_VALUE"""),"85HP")</f>
        <v>85HP</v>
      </c>
      <c r="I2543" s="1076" t="str">
        <f>IFERROR(__xludf.DUMMYFUNCTION("""COMPUTED_VALUE"""),"HCM1SE00E00011848")</f>
        <v>HCM1SE00E00011848</v>
      </c>
      <c r="J2543" s="1076" t="str">
        <f>IFERROR(__xludf.DUMMYFUNCTION("""COMPUTED_VALUE"""),"4BG1945999")</f>
        <v>4BG1945999</v>
      </c>
      <c r="K2543" s="1076">
        <f>IFERROR(__xludf.DUMMYFUNCTION("""COMPUTED_VALUE"""),9)</f>
        <v>9</v>
      </c>
      <c r="L2543" s="1076" t="str">
        <f>IFERROR(__xludf.DUMMYFUNCTION("""COMPUTED_VALUE"""),"-")</f>
        <v>-</v>
      </c>
    </row>
    <row r="2544" customHeight="1" spans="1:12">
      <c r="A2544" s="1076" t="str">
        <f>IFERROR(__xludf.DUMMYFUNCTION("""COMPUTED_VALUE"""),"TNL-MĐA-045")</f>
        <v>TNL-MĐA-045</v>
      </c>
      <c r="B2544" s="1075" t="str">
        <f>IFERROR(__xludf.DUMMYFUNCTION("""COMPUTED_VALUE"""),"Máy đào gàu 0.5m3")</f>
        <v>Máy đào gàu 0.5m3</v>
      </c>
      <c r="C2544" s="1076" t="str">
        <f>IFERROR(__xludf.DUMMYFUNCTION("""COMPUTED_VALUE"""),"CGTC LP")</f>
        <v>CGTC LP</v>
      </c>
      <c r="D2544" s="1076" t="str">
        <f>IFERROR(__xludf.DUMMYFUNCTION("""COMPUTED_VALUE"""),"HITACHI")</f>
        <v>HITACHI</v>
      </c>
      <c r="E2544" s="1076"/>
      <c r="F2544" s="1076">
        <f>IFERROR(__xludf.DUMMYFUNCTION("""COMPUTED_VALUE"""),2008)</f>
        <v>2008</v>
      </c>
      <c r="G2544" s="1076" t="str">
        <f>IFERROR(__xludf.DUMMYFUNCTION("""COMPUTED_VALUE"""),"ZX110")</f>
        <v>ZX110</v>
      </c>
      <c r="H2544" s="1076" t="str">
        <f>IFERROR(__xludf.DUMMYFUNCTION("""COMPUTED_VALUE"""),"85HP")</f>
        <v>85HP</v>
      </c>
      <c r="I2544" s="1076" t="str">
        <f>IFERROR(__xludf.DUMMYFUNCTION("""COMPUTED_VALUE"""),"HCM1EY00A00012213")</f>
        <v>HCM1EY00A00012213</v>
      </c>
      <c r="J2544" s="1076" t="str">
        <f>IFERROR(__xludf.DUMMYFUNCTION("""COMPUTED_VALUE"""),"4B61958109")</f>
        <v>4B61958109</v>
      </c>
      <c r="K2544" s="1076">
        <f>IFERROR(__xludf.DUMMYFUNCTION("""COMPUTED_VALUE"""),10)</f>
        <v>10</v>
      </c>
      <c r="L2544" s="1076" t="str">
        <f>IFERROR(__xludf.DUMMYFUNCTION("""COMPUTED_VALUE"""),"-")</f>
        <v>-</v>
      </c>
    </row>
    <row r="2545" customHeight="1" spans="1:12">
      <c r="A2545" s="1076" t="str">
        <f>IFERROR(__xludf.DUMMYFUNCTION("""COMPUTED_VALUE"""),"TNL-MĐA-047")</f>
        <v>TNL-MĐA-047</v>
      </c>
      <c r="B2545" s="1075" t="str">
        <f>IFERROR(__xludf.DUMMYFUNCTION("""COMPUTED_VALUE"""),"Máy đào gàu 1.1m3")</f>
        <v>Máy đào gàu 1.1m3</v>
      </c>
      <c r="C2545" s="1076" t="str">
        <f>IFERROR(__xludf.DUMMYFUNCTION("""COMPUTED_VALUE"""),"CGTC LP")</f>
        <v>CGTC LP</v>
      </c>
      <c r="D2545" s="1076" t="str">
        <f>IFERROR(__xludf.DUMMYFUNCTION("""COMPUTED_VALUE"""),"HYUNDAI")</f>
        <v>HYUNDAI</v>
      </c>
      <c r="E2545" s="1076" t="str">
        <f>IFERROR(__xludf.DUMMYFUNCTION("""COMPUTED_VALUE"""),"HÀN QUỐC")</f>
        <v>HÀN QUỐC</v>
      </c>
      <c r="F2545" s="1076">
        <f>IFERROR(__xludf.DUMMYFUNCTION("""COMPUTED_VALUE"""),2024)</f>
        <v>2024</v>
      </c>
      <c r="G2545" s="1076"/>
      <c r="H2545" s="1076" t="str">
        <f>IFERROR(__xludf.DUMMYFUNCTION("""COMPUTED_VALUE"""),"168HP")</f>
        <v>168HP</v>
      </c>
      <c r="I2545" s="1076" t="str">
        <f>IFERROR(__xludf.DUMMYFUNCTION("""COMPUTED_VALUE"""),"HHKHK605KE0002099")</f>
        <v>HHKHK605KE0002099</v>
      </c>
      <c r="J2545" s="1076" t="str">
        <f>IFERROR(__xludf.DUMMYFUNCTION("""COMPUTED_VALUE"""),"22565063")</f>
        <v>22565063</v>
      </c>
      <c r="K2545" s="1076">
        <f>IFERROR(__xludf.DUMMYFUNCTION("""COMPUTED_VALUE"""),21)</f>
        <v>21</v>
      </c>
      <c r="L2545" s="1076" t="str">
        <f>IFERROR(__xludf.DUMMYFUNCTION("""COMPUTED_VALUE"""),"-")</f>
        <v>-</v>
      </c>
    </row>
    <row r="2546" customHeight="1" spans="1:12">
      <c r="A2546" s="1076" t="str">
        <f>IFERROR(__xludf.DUMMYFUNCTION("""COMPUTED_VALUE"""),"TNL-MĐA-048")</f>
        <v>TNL-MĐA-048</v>
      </c>
      <c r="B2546" s="1075" t="str">
        <f>IFERROR(__xludf.DUMMYFUNCTION("""COMPUTED_VALUE"""),"Máy đào gàu 0.7m3")</f>
        <v>Máy đào gàu 0.7m3</v>
      </c>
      <c r="C2546" s="1076" t="str">
        <f>IFERROR(__xludf.DUMMYFUNCTION("""COMPUTED_VALUE"""),"CGTC LP")</f>
        <v>CGTC LP</v>
      </c>
      <c r="D2546" s="1076" t="str">
        <f>IFERROR(__xludf.DUMMYFUNCTION("""COMPUTED_VALUE"""),"CAT")</f>
        <v>CAT</v>
      </c>
      <c r="E2546" s="1076"/>
      <c r="F2546" s="1076">
        <f>IFERROR(__xludf.DUMMYFUNCTION("""COMPUTED_VALUE"""),1999)</f>
        <v>1999</v>
      </c>
      <c r="G2546" s="1076" t="str">
        <f>IFERROR(__xludf.DUMMYFUNCTION("""COMPUTED_VALUE"""),"320B")</f>
        <v>320B</v>
      </c>
      <c r="H2546" s="1076" t="str">
        <f>IFERROR(__xludf.DUMMYFUNCTION("""COMPUTED_VALUE"""),"157HP")</f>
        <v>157HP</v>
      </c>
      <c r="I2546" s="1076" t="str">
        <f>IFERROR(__xludf.DUMMYFUNCTION("""COMPUTED_VALUE"""),"3MR06822")</f>
        <v>3MR06822</v>
      </c>
      <c r="J2546" s="1076" t="str">
        <f>IFERROR(__xludf.DUMMYFUNCTION("""COMPUTED_VALUE"""),"7JK39124")</f>
        <v>7JK39124</v>
      </c>
      <c r="K2546" s="1076">
        <f>IFERROR(__xludf.DUMMYFUNCTION("""COMPUTED_VALUE"""),15.5)</f>
        <v>15.5</v>
      </c>
      <c r="L2546" s="1076" t="str">
        <f>IFERROR(__xludf.DUMMYFUNCTION("""COMPUTED_VALUE"""),"Đang thuê")</f>
        <v>Đang thuê</v>
      </c>
    </row>
    <row r="2547" customHeight="1" spans="1:12">
      <c r="A2547" s="1076" t="str">
        <f>IFERROR(__xludf.DUMMYFUNCTION("""COMPUTED_VALUE"""),"TNL-MĐA-049")</f>
        <v>TNL-MĐA-049</v>
      </c>
      <c r="B2547" s="1075" t="str">
        <f>IFERROR(__xludf.DUMMYFUNCTION("""COMPUTED_VALUE"""),"Máy đào gàu 0.5m3")</f>
        <v>Máy đào gàu 0.5m3</v>
      </c>
      <c r="C2547" s="1076" t="str">
        <f>IFERROR(__xludf.DUMMYFUNCTION("""COMPUTED_VALUE"""),"CGTC LP")</f>
        <v>CGTC LP</v>
      </c>
      <c r="D2547" s="1076" t="str">
        <f>IFERROR(__xludf.DUMMYFUNCTION("""COMPUTED_VALUE"""),"CAT")</f>
        <v>CAT</v>
      </c>
      <c r="E2547" s="1076"/>
      <c r="F2547" s="1076"/>
      <c r="G2547" s="1076" t="str">
        <f>IFERROR(__xludf.DUMMYFUNCTION("""COMPUTED_VALUE"""),"E120B")</f>
        <v>E120B</v>
      </c>
      <c r="H2547" s="1076" t="str">
        <f>IFERROR(__xludf.DUMMYFUNCTION("""COMPUTED_VALUE"""),"84HP")</f>
        <v>84HP</v>
      </c>
      <c r="I2547" s="1076" t="str">
        <f>IFERROR(__xludf.DUMMYFUNCTION("""COMPUTED_VALUE"""),"7NF00252")</f>
        <v>7NF00252</v>
      </c>
      <c r="J2547" s="1076" t="str">
        <f>IFERROR(__xludf.DUMMYFUNCTION("""COMPUTED_VALUE"""),"NIL")</f>
        <v>NIL</v>
      </c>
      <c r="K2547" s="1076">
        <f>IFERROR(__xludf.DUMMYFUNCTION("""COMPUTED_VALUE"""),9.1)</f>
        <v>9.1</v>
      </c>
      <c r="L2547" s="1076" t="str">
        <f>IFERROR(__xludf.DUMMYFUNCTION("""COMPUTED_VALUE"""),"-")</f>
        <v>-</v>
      </c>
    </row>
    <row r="2548" customHeight="1" spans="1:12">
      <c r="A2548" s="1076" t="str">
        <f>IFERROR(__xludf.DUMMYFUNCTION("""COMPUTED_VALUE"""),"TNL-MĐA-050")</f>
        <v>TNL-MĐA-050</v>
      </c>
      <c r="B2548" s="1075" t="str">
        <f>IFERROR(__xludf.DUMMYFUNCTION("""COMPUTED_VALUE"""),"Máy đào gàu 0.8m3")</f>
        <v>Máy đào gàu 0.8m3</v>
      </c>
      <c r="C2548" s="1076" t="str">
        <f>IFERROR(__xludf.DUMMYFUNCTION("""COMPUTED_VALUE"""),"CGTC LP")</f>
        <v>CGTC LP</v>
      </c>
      <c r="D2548" s="1076" t="str">
        <f>IFERROR(__xludf.DUMMYFUNCTION("""COMPUTED_VALUE"""),"HYUNDAI		2012	R220LC-9S	150HP	HHIHQ614AC0000568	73292549	")</f>
        <v>HYUNDAI		2012	R220LC-9S	150HP	HHIHQ614AC0000568	73292549	</v>
      </c>
      <c r="E2548" s="1076"/>
      <c r="F2548" s="1076"/>
      <c r="G2548" s="1076"/>
      <c r="H2548" s="1076"/>
      <c r="I2548" s="1076"/>
      <c r="J2548" s="1076"/>
      <c r="K2548" s="1076">
        <f>IFERROR(__xludf.DUMMYFUNCTION("""COMPUTED_VALUE"""),16.4)</f>
        <v>16.4</v>
      </c>
      <c r="L2548" s="1076" t="str">
        <f>IFERROR(__xludf.DUMMYFUNCTION("""COMPUTED_VALUE"""),"-")</f>
        <v>-</v>
      </c>
    </row>
    <row r="2549" customHeight="1" spans="1:12">
      <c r="A2549" s="1076" t="str">
        <f>IFERROR(__xludf.DUMMYFUNCTION("""COMPUTED_VALUE"""),"TNL-MĐA-051")</f>
        <v>TNL-MĐA-051</v>
      </c>
      <c r="B2549" s="1075" t="str">
        <f>IFERROR(__xludf.DUMMYFUNCTION("""COMPUTED_VALUE"""),"Máy đào gàu 0.5m3")</f>
        <v>Máy đào gàu 0.5m3</v>
      </c>
      <c r="C2549" s="1076" t="str">
        <f>IFERROR(__xludf.DUMMYFUNCTION("""COMPUTED_VALUE"""),"CGTC LP")</f>
        <v>CGTC LP</v>
      </c>
      <c r="D2549" s="1076" t="str">
        <f>IFERROR(__xludf.DUMMYFUNCTION("""COMPUTED_VALUE"""),"CAT")</f>
        <v>CAT</v>
      </c>
      <c r="E2549" s="1076"/>
      <c r="F2549" s="1076"/>
      <c r="G2549" s="1076" t="str">
        <f>IFERROR(__xludf.DUMMYFUNCTION("""COMPUTED_VALUE"""),"E120B")</f>
        <v>E120B</v>
      </c>
      <c r="H2549" s="1076" t="str">
        <f>IFERROR(__xludf.DUMMYFUNCTION("""COMPUTED_VALUE"""),"84HP")</f>
        <v>84HP</v>
      </c>
      <c r="I2549" s="1076" t="str">
        <f>IFERROR(__xludf.DUMMYFUNCTION("""COMPUTED_VALUE"""),"7NF01819")</f>
        <v>7NF01819</v>
      </c>
      <c r="J2549" s="1076" t="str">
        <f>IFERROR(__xludf.DUMMYFUNCTION("""COMPUTED_VALUE"""),"S4K003600")</f>
        <v>S4K003600</v>
      </c>
      <c r="K2549" s="1076">
        <f>IFERROR(__xludf.DUMMYFUNCTION("""COMPUTED_VALUE"""),7.5)</f>
        <v>7.5</v>
      </c>
      <c r="L2549" s="1076" t="str">
        <f>IFERROR(__xludf.DUMMYFUNCTION("""COMPUTED_VALUE"""),"-")</f>
        <v>-</v>
      </c>
    </row>
    <row r="2550" customHeight="1" spans="1:12">
      <c r="A2550" s="1076" t="str">
        <f>IFERROR(__xludf.DUMMYFUNCTION("""COMPUTED_VALUE"""),"TNL-MĐA-052")</f>
        <v>TNL-MĐA-052</v>
      </c>
      <c r="B2550" s="1075" t="str">
        <f>IFERROR(__xludf.DUMMYFUNCTION("""COMPUTED_VALUE"""),"Máy đào gàu 0.5m3")</f>
        <v>Máy đào gàu 0.5m3</v>
      </c>
      <c r="C2550" s="1076" t="str">
        <f>IFERROR(__xludf.DUMMYFUNCTION("""COMPUTED_VALUE"""),"CGTC LP")</f>
        <v>CGTC LP</v>
      </c>
      <c r="D2550" s="1076" t="str">
        <f>IFERROR(__xludf.DUMMYFUNCTION("""COMPUTED_VALUE"""),"KOMATSU")</f>
        <v>KOMATSU</v>
      </c>
      <c r="E2550" s="1076"/>
      <c r="F2550" s="1076"/>
      <c r="G2550" s="1076" t="str">
        <f>IFERROR(__xludf.DUMMYFUNCTION("""COMPUTED_VALUE"""),"PC100")</f>
        <v>PC100</v>
      </c>
      <c r="H2550" s="1076" t="str">
        <f>IFERROR(__xludf.DUMMYFUNCTION("""COMPUTED_VALUE"""),"85HP")</f>
        <v>85HP</v>
      </c>
      <c r="I2550" s="1076" t="str">
        <f>IFERROR(__xludf.DUMMYFUNCTION("""COMPUTED_VALUE"""),"PC10029884")</f>
        <v>PC10029884</v>
      </c>
      <c r="J2550" s="1076" t="str">
        <f>IFERROR(__xludf.DUMMYFUNCTION("""COMPUTED_VALUE"""),"4D9S-71613")</f>
        <v>4D9S-71613</v>
      </c>
      <c r="K2550" s="1076">
        <f>IFERROR(__xludf.DUMMYFUNCTION("""COMPUTED_VALUE"""),9)</f>
        <v>9</v>
      </c>
      <c r="L2550" s="1076" t="str">
        <f>IFERROR(__xludf.DUMMYFUNCTION("""COMPUTED_VALUE"""),"-")</f>
        <v>-</v>
      </c>
    </row>
    <row r="2551" customHeight="1" spans="1:12">
      <c r="A2551" s="1076" t="str">
        <f>IFERROR(__xludf.DUMMYFUNCTION("""COMPUTED_VALUE"""),"TNL-MĐA-053")</f>
        <v>TNL-MĐA-053</v>
      </c>
      <c r="B2551" s="1075" t="str">
        <f>IFERROR(__xludf.DUMMYFUNCTION("""COMPUTED_VALUE"""),"Máy đào gàu 0.5m3")</f>
        <v>Máy đào gàu 0.5m3</v>
      </c>
      <c r="C2551" s="1076" t="str">
        <f>IFERROR(__xludf.DUMMYFUNCTION("""COMPUTED_VALUE"""),"CGTC LP")</f>
        <v>CGTC LP</v>
      </c>
      <c r="D2551" s="1076" t="str">
        <f>IFERROR(__xludf.DUMMYFUNCTION("""COMPUTED_VALUE"""),"CAT")</f>
        <v>CAT</v>
      </c>
      <c r="E2551" s="1076" t="str">
        <f>IFERROR(__xludf.DUMMYFUNCTION("""COMPUTED_VALUE"""),"NHẬT BẢN")</f>
        <v>NHẬT BẢN</v>
      </c>
      <c r="F2551" s="1076">
        <f>IFERROR(__xludf.DUMMYFUNCTION("""COMPUTED_VALUE"""),2005)</f>
        <v>2005</v>
      </c>
      <c r="G2551" s="1076" t="str">
        <f>IFERROR(__xludf.DUMMYFUNCTION("""COMPUTED_VALUE"""),"312C-3")</f>
        <v>312C-3</v>
      </c>
      <c r="H2551" s="1076" t="str">
        <f>IFERROR(__xludf.DUMMYFUNCTION("""COMPUTED_VALUE"""),"90HP")</f>
        <v>90HP</v>
      </c>
      <c r="I2551" s="1076" t="str">
        <f>IFERROR(__xludf.DUMMYFUNCTION("""COMPUTED_VALUE"""),"CAT0312CCCAE02876")</f>
        <v>CAT0312CCCAE02876</v>
      </c>
      <c r="J2551" s="1076" t="str">
        <f>IFERROR(__xludf.DUMMYFUNCTION("""COMPUTED_VALUE"""),"6LK37380")</f>
        <v>6LK37380</v>
      </c>
      <c r="K2551" s="1076">
        <f>IFERROR(__xludf.DUMMYFUNCTION("""COMPUTED_VALUE"""),10)</f>
        <v>10</v>
      </c>
      <c r="L2551" s="1076" t="str">
        <f>IFERROR(__xludf.DUMMYFUNCTION("""COMPUTED_VALUE"""),"-")</f>
        <v>-</v>
      </c>
    </row>
    <row r="2552" customHeight="1" spans="1:12">
      <c r="A2552" s="1076" t="str">
        <f>IFERROR(__xludf.DUMMYFUNCTION("""COMPUTED_VALUE"""),"TNL-MĐA-054")</f>
        <v>TNL-MĐA-054</v>
      </c>
      <c r="B2552" s="1075" t="str">
        <f>IFERROR(__xludf.DUMMYFUNCTION("""COMPUTED_VALUE"""),"Máy đào gàu 0.5m3")</f>
        <v>Máy đào gàu 0.5m3</v>
      </c>
      <c r="C2552" s="1076" t="str">
        <f>IFERROR(__xludf.DUMMYFUNCTION("""COMPUTED_VALUE"""),"CGTC LP")</f>
        <v>CGTC LP</v>
      </c>
      <c r="D2552" s="1076" t="str">
        <f>IFERROR(__xludf.DUMMYFUNCTION("""COMPUTED_VALUE"""),"CAT")</f>
        <v>CAT</v>
      </c>
      <c r="E2552" s="1076"/>
      <c r="F2552" s="1076">
        <f>IFERROR(__xludf.DUMMYFUNCTION("""COMPUTED_VALUE"""),1990)</f>
        <v>1990</v>
      </c>
      <c r="G2552" s="1076" t="str">
        <f>IFERROR(__xludf.DUMMYFUNCTION("""COMPUTED_VALUE"""),"E120B")</f>
        <v>E120B</v>
      </c>
      <c r="H2552" s="1076" t="str">
        <f>IFERROR(__xludf.DUMMYFUNCTION("""COMPUTED_VALUE"""),"84HP")</f>
        <v>84HP</v>
      </c>
      <c r="I2552" s="1076" t="str">
        <f>IFERROR(__xludf.DUMMYFUNCTION("""COMPUTED_VALUE"""),"7NF03720")</f>
        <v>7NF03720</v>
      </c>
      <c r="J2552" s="1076" t="str">
        <f>IFERROR(__xludf.DUMMYFUNCTION("""COMPUTED_VALUE"""),"NIL")</f>
        <v>NIL</v>
      </c>
      <c r="K2552" s="1076">
        <f>IFERROR(__xludf.DUMMYFUNCTION("""COMPUTED_VALUE"""),10)</f>
        <v>10</v>
      </c>
      <c r="L2552" s="1076" t="str">
        <f>IFERROR(__xludf.DUMMYFUNCTION("""COMPUTED_VALUE"""),"-")</f>
        <v>-</v>
      </c>
    </row>
    <row r="2553" customHeight="1" spans="1:12">
      <c r="A2553" s="1076" t="str">
        <f>IFERROR(__xludf.DUMMYFUNCTION("""COMPUTED_VALUE"""),"TNL-MĐA-055")</f>
        <v>TNL-MĐA-055</v>
      </c>
      <c r="B2553" s="1075" t="str">
        <f>IFERROR(__xludf.DUMMYFUNCTION("""COMPUTED_VALUE"""),"Máy đào gàu 0.4m3")</f>
        <v>Máy đào gàu 0.4m3</v>
      </c>
      <c r="C2553" s="1076" t="str">
        <f>IFERROR(__xludf.DUMMYFUNCTION("""COMPUTED_VALUE"""),"CGTC LP")</f>
        <v>CGTC LP</v>
      </c>
      <c r="D2553" s="1076" t="str">
        <f>IFERROR(__xludf.DUMMYFUNCTION("""COMPUTED_VALUE"""),"HITACHI")</f>
        <v>HITACHI</v>
      </c>
      <c r="E2553" s="1076" t="str">
        <f>IFERROR(__xludf.DUMMYFUNCTION("""COMPUTED_VALUE"""),"HÀN QUỐC")</f>
        <v>HÀN QUỐC</v>
      </c>
      <c r="F2553" s="1076">
        <f>IFERROR(__xludf.DUMMYFUNCTION("""COMPUTED_VALUE"""),2004)</f>
        <v>2004</v>
      </c>
      <c r="G2553" s="1076" t="str">
        <f>IFERROR(__xludf.DUMMYFUNCTION("""COMPUTED_VALUE"""),"ZX75US-A")</f>
        <v>ZX75US-A</v>
      </c>
      <c r="H2553" s="1076" t="str">
        <f>IFERROR(__xludf.DUMMYFUNCTION("""COMPUTED_VALUE"""),"54HP")</f>
        <v>54HP</v>
      </c>
      <c r="I2553" s="1076" t="str">
        <f>IFERROR(__xludf.DUMMYFUNCTION("""COMPUTED_VALUE"""),"HCM1CG00100042071")</f>
        <v>HCM1CG00100042071</v>
      </c>
      <c r="J2553" s="1076" t="str">
        <f>IFERROR(__xludf.DUMMYFUNCTION("""COMPUTED_VALUE"""),"4JG4561514")</f>
        <v>4JG4561514</v>
      </c>
      <c r="K2553" s="1076">
        <f>IFERROR(__xludf.DUMMYFUNCTION("""COMPUTED_VALUE"""),5.88)</f>
        <v>5.88</v>
      </c>
      <c r="L2553" s="1076" t="str">
        <f>IFERROR(__xludf.DUMMYFUNCTION("""COMPUTED_VALUE"""),"-")</f>
        <v>-</v>
      </c>
    </row>
    <row r="2554" customHeight="1" spans="1:12">
      <c r="A2554" s="1076" t="str">
        <f>IFERROR(__xludf.DUMMYFUNCTION("""COMPUTED_VALUE"""),"TNL-MĐA-056")</f>
        <v>TNL-MĐA-056</v>
      </c>
      <c r="B2554" s="1075" t="str">
        <f>IFERROR(__xludf.DUMMYFUNCTION("""COMPUTED_VALUE"""),"Máy đào gàu 0.8m3")</f>
        <v>Máy đào gàu 0.8m3</v>
      </c>
      <c r="C2554" s="1076" t="str">
        <f>IFERROR(__xludf.DUMMYFUNCTION("""COMPUTED_VALUE"""),"CGTC LP")</f>
        <v>CGTC LP</v>
      </c>
      <c r="D2554" s="1076" t="str">
        <f>IFERROR(__xludf.DUMMYFUNCTION("""COMPUTED_VALUE"""),"CAT")</f>
        <v>CAT</v>
      </c>
      <c r="E2554" s="1076"/>
      <c r="F2554" s="1076">
        <f>IFERROR(__xludf.DUMMYFUNCTION("""COMPUTED_VALUE"""),1993)</f>
        <v>1993</v>
      </c>
      <c r="G2554" s="1076" t="str">
        <f>IFERROR(__xludf.DUMMYFUNCTION("""COMPUTED_VALUE"""),"320")</f>
        <v>320</v>
      </c>
      <c r="H2554" s="1076" t="str">
        <f>IFERROR(__xludf.DUMMYFUNCTION("""COMPUTED_VALUE"""),"164HP")</f>
        <v>164HP</v>
      </c>
      <c r="I2554" s="1076" t="str">
        <f>IFERROR(__xludf.DUMMYFUNCTION("""COMPUTED_VALUE"""),"3XM04304")</f>
        <v>3XM04304</v>
      </c>
      <c r="J2554" s="1076" t="str">
        <f>IFERROR(__xludf.DUMMYFUNCTION("""COMPUTED_VALUE"""),"7JK17826")</f>
        <v>7JK17826</v>
      </c>
      <c r="K2554" s="1076">
        <f>IFERROR(__xludf.DUMMYFUNCTION("""COMPUTED_VALUE"""),13)</f>
        <v>13</v>
      </c>
      <c r="L2554" s="1076" t="str">
        <f>IFERROR(__xludf.DUMMYFUNCTION("""COMPUTED_VALUE"""),"-")</f>
        <v>-</v>
      </c>
    </row>
    <row r="2555" customHeight="1" spans="1:12">
      <c r="A2555" s="1076" t="str">
        <f>IFERROR(__xludf.DUMMYFUNCTION("""COMPUTED_VALUE"""),"TNL-MĐA-057")</f>
        <v>TNL-MĐA-057</v>
      </c>
      <c r="B2555" s="1075" t="str">
        <f>IFERROR(__xludf.DUMMYFUNCTION("""COMPUTED_VALUE"""),"Máy đào gàu 0.5m3")</f>
        <v>Máy đào gàu 0.5m3</v>
      </c>
      <c r="C2555" s="1076" t="str">
        <f>IFERROR(__xludf.DUMMYFUNCTION("""COMPUTED_VALUE"""),"Ban điện nước")</f>
        <v>Ban điện nước</v>
      </c>
      <c r="D2555" s="1076" t="str">
        <f>IFERROR(__xludf.DUMMYFUNCTION("""COMPUTED_VALUE"""),"CAT")</f>
        <v>CAT</v>
      </c>
      <c r="E2555" s="1076" t="str">
        <f>IFERROR(__xludf.DUMMYFUNCTION("""COMPUTED_VALUE"""),"NHẬT BẢN")</f>
        <v>NHẬT BẢN</v>
      </c>
      <c r="F2555" s="1076">
        <f>IFERROR(__xludf.DUMMYFUNCTION("""COMPUTED_VALUE"""),2005)</f>
        <v>2005</v>
      </c>
      <c r="G2555" s="1076" t="str">
        <f>IFERROR(__xludf.DUMMYFUNCTION("""COMPUTED_VALUE"""),"312C-3")</f>
        <v>312C-3</v>
      </c>
      <c r="H2555" s="1076" t="str">
        <f>IFERROR(__xludf.DUMMYFUNCTION("""COMPUTED_VALUE"""),"90HP")</f>
        <v>90HP</v>
      </c>
      <c r="I2555" s="1076" t="str">
        <f>IFERROR(__xludf.DUMMYFUNCTION("""COMPUTED_VALUE"""),"CAT0312CCCAE02876")</f>
        <v>CAT0312CCCAE02876</v>
      </c>
      <c r="J2555" s="1076" t="str">
        <f>IFERROR(__xludf.DUMMYFUNCTION("""COMPUTED_VALUE"""),"6LK37380")</f>
        <v>6LK37380</v>
      </c>
      <c r="K2555" s="1076">
        <f>IFERROR(__xludf.DUMMYFUNCTION("""COMPUTED_VALUE"""),9)</f>
        <v>9</v>
      </c>
      <c r="L2555" s="1076" t="str">
        <f>IFERROR(__xludf.DUMMYFUNCTION("""COMPUTED_VALUE"""),"-")</f>
        <v>-</v>
      </c>
    </row>
    <row r="2556" customHeight="1" spans="1:12">
      <c r="A2556" s="1076" t="str">
        <f>IFERROR(__xludf.DUMMYFUNCTION("""COMPUTED_VALUE"""),"TNL-MĐA-058")</f>
        <v>TNL-MĐA-058</v>
      </c>
      <c r="B2556" s="1075" t="str">
        <f>IFERROR(__xludf.DUMMYFUNCTION("""COMPUTED_VALUE"""),"Máy đào gàu 0.5m3")</f>
        <v>Máy đào gàu 0.5m3</v>
      </c>
      <c r="C2556" s="1076" t="str">
        <f>IFERROR(__xludf.DUMMYFUNCTION("""COMPUTED_VALUE"""),"CGTC LP")</f>
        <v>CGTC LP</v>
      </c>
      <c r="D2556" s="1076" t="str">
        <f>IFERROR(__xludf.DUMMYFUNCTION("""COMPUTED_VALUE"""),"CAT")</f>
        <v>CAT</v>
      </c>
      <c r="E2556" s="1076"/>
      <c r="F2556" s="1076">
        <f>IFERROR(__xludf.DUMMYFUNCTION("""COMPUTED_VALUE"""),1991)</f>
        <v>1991</v>
      </c>
      <c r="G2556" s="1076" t="str">
        <f>IFERROR(__xludf.DUMMYFUNCTION("""COMPUTED_VALUE"""),"E120B")</f>
        <v>E120B</v>
      </c>
      <c r="H2556" s="1076" t="str">
        <f>IFERROR(__xludf.DUMMYFUNCTION("""COMPUTED_VALUE"""),"84HP")</f>
        <v>84HP</v>
      </c>
      <c r="I2556" s="1076" t="str">
        <f>IFERROR(__xludf.DUMMYFUNCTION("""COMPUTED_VALUE"""),"7NF05829")</f>
        <v>7NF05829</v>
      </c>
      <c r="J2556" s="1076" t="str">
        <f>IFERROR(__xludf.DUMMYFUNCTION("""COMPUTED_VALUE"""),"S4K010166")</f>
        <v>S4K010166</v>
      </c>
      <c r="K2556" s="1076">
        <f>IFERROR(__xludf.DUMMYFUNCTION("""COMPUTED_VALUE"""),7)</f>
        <v>7</v>
      </c>
      <c r="L2556" s="1076" t="str">
        <f>IFERROR(__xludf.DUMMYFUNCTION("""COMPUTED_VALUE"""),"-")</f>
        <v>-</v>
      </c>
    </row>
    <row r="2557" customHeight="1" spans="1:12">
      <c r="A2557" s="1076" t="str">
        <f>IFERROR(__xludf.DUMMYFUNCTION("""COMPUTED_VALUE"""),"TNL-MĐA-059")</f>
        <v>TNL-MĐA-059</v>
      </c>
      <c r="B2557" s="1075" t="str">
        <f>IFERROR(__xludf.DUMMYFUNCTION("""COMPUTED_VALUE"""),"Máy đào gàu 0.8m3")</f>
        <v>Máy đào gàu 0.8m3</v>
      </c>
      <c r="C2557" s="1076" t="str">
        <f>IFERROR(__xludf.DUMMYFUNCTION("""COMPUTED_VALUE"""),"CGTC LP")</f>
        <v>CGTC LP</v>
      </c>
      <c r="D2557" s="1076" t="str">
        <f>IFERROR(__xludf.DUMMYFUNCTION("""COMPUTED_VALUE"""),"CAT")</f>
        <v>CAT</v>
      </c>
      <c r="E2557" s="1076"/>
      <c r="F2557" s="1076"/>
      <c r="G2557" s="1076" t="str">
        <f>IFERROR(__xludf.DUMMYFUNCTION("""COMPUTED_VALUE"""),"320CL")</f>
        <v>320CL</v>
      </c>
      <c r="H2557" s="1076" t="str">
        <f>IFERROR(__xludf.DUMMYFUNCTION("""COMPUTED_VALUE"""),"138HP")</f>
        <v>138HP</v>
      </c>
      <c r="I2557" s="1076" t="str">
        <f>IFERROR(__xludf.DUMMYFUNCTION("""COMPUTED_VALUE"""),"PAB07345")</f>
        <v>PAB07345</v>
      </c>
      <c r="J2557" s="1076" t="str">
        <f>IFERROR(__xludf.DUMMYFUNCTION("""COMPUTED_VALUE"""),"MAE11827")</f>
        <v>MAE11827</v>
      </c>
      <c r="K2557" s="1076">
        <f>IFERROR(__xludf.DUMMYFUNCTION("""COMPUTED_VALUE"""),13)</f>
        <v>13</v>
      </c>
      <c r="L2557" s="1076" t="str">
        <f>IFERROR(__xludf.DUMMYFUNCTION("""COMPUTED_VALUE"""),"-")</f>
        <v>-</v>
      </c>
    </row>
    <row r="2558" customHeight="1" spans="1:12">
      <c r="A2558" s="1076" t="str">
        <f>IFERROR(__xludf.DUMMYFUNCTION("""COMPUTED_VALUE"""),"TNL-MĐA-060")</f>
        <v>TNL-MĐA-060</v>
      </c>
      <c r="B2558" s="1075" t="str">
        <f>IFERROR(__xludf.DUMMYFUNCTION("""COMPUTED_VALUE"""),"Máy đào gàu 0.5m3")</f>
        <v>Máy đào gàu 0.5m3</v>
      </c>
      <c r="C2558" s="1076" t="str">
        <f>IFERROR(__xludf.DUMMYFUNCTION("""COMPUTED_VALUE"""),"CGTC LP")</f>
        <v>CGTC LP</v>
      </c>
      <c r="D2558" s="1076" t="str">
        <f>IFERROR(__xludf.DUMMYFUNCTION("""COMPUTED_VALUE"""),"CAT")</f>
        <v>CAT</v>
      </c>
      <c r="E2558" s="1076"/>
      <c r="F2558" s="1076">
        <f>IFERROR(__xludf.DUMMYFUNCTION("""COMPUTED_VALUE"""),1999)</f>
        <v>1999</v>
      </c>
      <c r="G2558" s="1076" t="str">
        <f>IFERROR(__xludf.DUMMYFUNCTION("""COMPUTED_VALUE"""),"E311B")</f>
        <v>E311B</v>
      </c>
      <c r="H2558" s="1076"/>
      <c r="I2558" s="1076" t="str">
        <f>IFERROR(__xludf.DUMMYFUNCTION("""COMPUTED_VALUE"""),"8GR000372")</f>
        <v>8GR000372</v>
      </c>
      <c r="J2558" s="1076" t="str">
        <f>IFERROR(__xludf.DUMMYFUNCTION("""COMPUTED_VALUE"""),"3604")</f>
        <v>3604</v>
      </c>
      <c r="K2558" s="1076">
        <f>IFERROR(__xludf.DUMMYFUNCTION("""COMPUTED_VALUE"""),7)</f>
        <v>7</v>
      </c>
      <c r="L2558" s="1076" t="str">
        <f>IFERROR(__xludf.DUMMYFUNCTION("""COMPUTED_VALUE"""),"-")</f>
        <v>-</v>
      </c>
    </row>
    <row r="2559" customHeight="1" spans="1:12">
      <c r="A2559" s="1076" t="str">
        <f>IFERROR(__xludf.DUMMYFUNCTION("""COMPUTED_VALUE"""),"TNL-MĐA-061")</f>
        <v>TNL-MĐA-061</v>
      </c>
      <c r="B2559" s="1075" t="str">
        <f>IFERROR(__xludf.DUMMYFUNCTION("""COMPUTED_VALUE"""),"Máy đào gàu 0.5m3")</f>
        <v>Máy đào gàu 0.5m3</v>
      </c>
      <c r="C2559" s="1076" t="str">
        <f>IFERROR(__xludf.DUMMYFUNCTION("""COMPUTED_VALUE"""),"CGTC LP")</f>
        <v>CGTC LP</v>
      </c>
      <c r="D2559" s="1076" t="str">
        <f>IFERROR(__xludf.DUMMYFUNCTION("""COMPUTED_VALUE"""),"CAT")</f>
        <v>CAT</v>
      </c>
      <c r="E2559" s="1076"/>
      <c r="F2559" s="1076"/>
      <c r="G2559" s="1076" t="str">
        <f>IFERROR(__xludf.DUMMYFUNCTION("""COMPUTED_VALUE"""),"312D2")</f>
        <v>312D2</v>
      </c>
      <c r="H2559" s="1076" t="str">
        <f>IFERROR(__xludf.DUMMYFUNCTION("""COMPUTED_VALUE"""),"94HP")</f>
        <v>94HP</v>
      </c>
      <c r="I2559" s="1076" t="str">
        <f>IFERROR(__xludf.DUMMYFUNCTION("""COMPUTED_VALUE"""),"CAT0312DJTJY00276")</f>
        <v>CAT0312DJTJY00276</v>
      </c>
      <c r="J2559" s="1076" t="str">
        <f>IFERROR(__xludf.DUMMYFUNCTION("""COMPUTED_VALUE"""),"C5105022")</f>
        <v>C5105022</v>
      </c>
      <c r="K2559" s="1076">
        <f>IFERROR(__xludf.DUMMYFUNCTION("""COMPUTED_VALUE"""),10)</f>
        <v>10</v>
      </c>
      <c r="L2559" s="1076" t="str">
        <f>IFERROR(__xludf.DUMMYFUNCTION("""COMPUTED_VALUE"""),"Đang thuê")</f>
        <v>Đang thuê</v>
      </c>
    </row>
    <row r="2560" customHeight="1" spans="1:12">
      <c r="A2560" s="1076" t="str">
        <f>IFERROR(__xludf.DUMMYFUNCTION("""COMPUTED_VALUE"""),"TNL-MĐA-062")</f>
        <v>TNL-MĐA-062</v>
      </c>
      <c r="B2560" s="1075" t="str">
        <f>IFERROR(__xludf.DUMMYFUNCTION("""COMPUTED_VALUE"""),"Máy đào gàu 0.8m3")</f>
        <v>Máy đào gàu 0.8m3</v>
      </c>
      <c r="C2560" s="1076" t="str">
        <f>IFERROR(__xludf.DUMMYFUNCTION("""COMPUTED_VALUE"""),"CGTC LP")</f>
        <v>CGTC LP</v>
      </c>
      <c r="D2560" s="1076" t="str">
        <f>IFERROR(__xludf.DUMMYFUNCTION("""COMPUTED_VALUE"""),"CAT")</f>
        <v>CAT</v>
      </c>
      <c r="E2560" s="1076"/>
      <c r="F2560" s="1076">
        <f>IFERROR(__xludf.DUMMYFUNCTION("""COMPUTED_VALUE"""),1996)</f>
        <v>1996</v>
      </c>
      <c r="G2560" s="1076" t="str">
        <f>IFERROR(__xludf.DUMMYFUNCTION("""COMPUTED_VALUE"""),"320B")</f>
        <v>320B</v>
      </c>
      <c r="H2560" s="1076" t="str">
        <f>IFERROR(__xludf.DUMMYFUNCTION("""COMPUTED_VALUE"""),"150HP")</f>
        <v>150HP</v>
      </c>
      <c r="I2560" s="1076" t="str">
        <f>IFERROR(__xludf.DUMMYFUNCTION("""COMPUTED_VALUE"""),"5BR00437")</f>
        <v>5BR00437</v>
      </c>
      <c r="J2560" s="1076" t="str">
        <f>IFERROR(__xludf.DUMMYFUNCTION("""COMPUTED_VALUE"""),"7JK25117")</f>
        <v>7JK25117</v>
      </c>
      <c r="K2560" s="1076">
        <f>IFERROR(__xludf.DUMMYFUNCTION("""COMPUTED_VALUE"""),15)</f>
        <v>15</v>
      </c>
      <c r="L2560" s="1076" t="str">
        <f>IFERROR(__xludf.DUMMYFUNCTION("""COMPUTED_VALUE"""),"-")</f>
        <v>-</v>
      </c>
    </row>
    <row r="2561" customHeight="1" spans="1:12">
      <c r="A2561" s="1076" t="str">
        <f>IFERROR(__xludf.DUMMYFUNCTION("""COMPUTED_VALUE"""),"TNL-MĐA-063")</f>
        <v>TNL-MĐA-063</v>
      </c>
      <c r="B2561" s="1075" t="str">
        <f>IFERROR(__xludf.DUMMYFUNCTION("""COMPUTED_VALUE"""),"Máy đào gàu 0.8m3")</f>
        <v>Máy đào gàu 0.8m3</v>
      </c>
      <c r="C2561" s="1076" t="str">
        <f>IFERROR(__xludf.DUMMYFUNCTION("""COMPUTED_VALUE"""),"CGTC LP")</f>
        <v>CGTC LP</v>
      </c>
      <c r="D2561" s="1076" t="str">
        <f>IFERROR(__xludf.DUMMYFUNCTION("""COMPUTED_VALUE"""),"CAT")</f>
        <v>CAT</v>
      </c>
      <c r="E2561" s="1076"/>
      <c r="F2561" s="1076">
        <f>IFERROR(__xludf.DUMMYFUNCTION("""COMPUTED_VALUE"""),2009)</f>
        <v>2009</v>
      </c>
      <c r="G2561" s="1076" t="str">
        <f>IFERROR(__xludf.DUMMYFUNCTION("""COMPUTED_VALUE"""),"320D")</f>
        <v>320D</v>
      </c>
      <c r="H2561" s="1076" t="str">
        <f>IFERROR(__xludf.DUMMYFUNCTION("""COMPUTED_VALUE"""),"138HP")</f>
        <v>138HP</v>
      </c>
      <c r="I2561" s="1076" t="str">
        <f>IFERROR(__xludf.DUMMYFUNCTION("""COMPUTED_VALUE"""),"CAT0320DCFAL03713")</f>
        <v>CAT0320DCFAL03713</v>
      </c>
      <c r="J2561" s="1076" t="str">
        <f>IFERROR(__xludf.DUMMYFUNCTION("""COMPUTED_VALUE"""),"GDC36580")</f>
        <v>GDC36580</v>
      </c>
      <c r="K2561" s="1076">
        <f>IFERROR(__xludf.DUMMYFUNCTION("""COMPUTED_VALUE"""),15)</f>
        <v>15</v>
      </c>
      <c r="L2561" s="1076" t="str">
        <f>IFERROR(__xludf.DUMMYFUNCTION("""COMPUTED_VALUE"""),"-")</f>
        <v>-</v>
      </c>
    </row>
    <row r="2562" customHeight="1" spans="1:12">
      <c r="A2562" s="1076" t="str">
        <f>IFERROR(__xludf.DUMMYFUNCTION("""COMPUTED_VALUE"""),"TNL-MĐA-064")</f>
        <v>TNL-MĐA-064</v>
      </c>
      <c r="B2562" s="1075" t="str">
        <f>IFERROR(__xludf.DUMMYFUNCTION("""COMPUTED_VALUE"""),"Máy đào gàu 1.0m3")</f>
        <v>Máy đào gàu 1.0m3</v>
      </c>
      <c r="C2562" s="1076" t="str">
        <f>IFERROR(__xludf.DUMMYFUNCTION("""COMPUTED_VALUE"""),"CGTC LP")</f>
        <v>CGTC LP</v>
      </c>
      <c r="D2562" s="1076" t="str">
        <f>IFERROR(__xludf.DUMMYFUNCTION("""COMPUTED_VALUE"""),"CAT")</f>
        <v>CAT</v>
      </c>
      <c r="E2562" s="1076"/>
      <c r="F2562" s="1076">
        <f>IFERROR(__xludf.DUMMYFUNCTION("""COMPUTED_VALUE"""),1996)</f>
        <v>1996</v>
      </c>
      <c r="G2562" s="1076" t="str">
        <f>IFERROR(__xludf.DUMMYFUNCTION("""COMPUTED_VALUE"""),"320L")</f>
        <v>320L</v>
      </c>
      <c r="H2562" s="1076" t="str">
        <f>IFERROR(__xludf.DUMMYFUNCTION("""COMPUTED_VALUE"""),"128HP")</f>
        <v>128HP</v>
      </c>
      <c r="I2562" s="1076" t="str">
        <f>IFERROR(__xludf.DUMMYFUNCTION("""COMPUTED_VALUE"""),"9KK03904")</f>
        <v>9KK03904</v>
      </c>
      <c r="J2562" s="1076" t="str">
        <f>IFERROR(__xludf.DUMMYFUNCTION("""COMPUTED_VALUE"""),"MAE23160")</f>
        <v>MAE23160</v>
      </c>
      <c r="K2562" s="1076">
        <f>IFERROR(__xludf.DUMMYFUNCTION("""COMPUTED_VALUE"""),16)</f>
        <v>16</v>
      </c>
      <c r="L2562" s="1076" t="str">
        <f>IFERROR(__xludf.DUMMYFUNCTION("""COMPUTED_VALUE"""),"-")</f>
        <v>-</v>
      </c>
    </row>
    <row r="2563" customHeight="1" spans="1:12">
      <c r="A2563" s="1076" t="str">
        <f>IFERROR(__xludf.DUMMYFUNCTION("""COMPUTED_VALUE"""),"TNL-MĐA-065")</f>
        <v>TNL-MĐA-065</v>
      </c>
      <c r="B2563" s="1075" t="str">
        <f>IFERROR(__xludf.DUMMYFUNCTION("""COMPUTED_VALUE"""),"Máy đào gàu 0.8m3")</f>
        <v>Máy đào gàu 0.8m3</v>
      </c>
      <c r="C2563" s="1076" t="str">
        <f>IFERROR(__xludf.DUMMYFUNCTION("""COMPUTED_VALUE"""),"CGTC LP")</f>
        <v>CGTC LP</v>
      </c>
      <c r="D2563" s="1076" t="str">
        <f>IFERROR(__xludf.DUMMYFUNCTION("""COMPUTED_VALUE"""),"HITACHI")</f>
        <v>HITACHI</v>
      </c>
      <c r="E2563" s="1076"/>
      <c r="F2563" s="1076">
        <f>IFERROR(__xludf.DUMMYFUNCTION("""COMPUTED_VALUE"""),2014)</f>
        <v>2014</v>
      </c>
      <c r="G2563" s="1076" t="str">
        <f>IFERROR(__xludf.DUMMYFUNCTION("""COMPUTED_VALUE"""),"ZX200-5G")</f>
        <v>ZX200-5G</v>
      </c>
      <c r="H2563" s="1076" t="str">
        <f>IFERROR(__xludf.DUMMYFUNCTION("""COMPUTED_VALUE"""),"147HP")</f>
        <v>147HP</v>
      </c>
      <c r="I2563" s="1076" t="str">
        <f>IFERROR(__xludf.DUMMYFUNCTION("""COMPUTED_VALUE"""),"HCMDC90C00303807")</f>
        <v>HCMDC90C00303807</v>
      </c>
      <c r="J2563" s="1076" t="str">
        <f>IFERROR(__xludf.DUMMYFUNCTION("""COMPUTED_VALUE"""),"6BG1-354177")</f>
        <v>6BG1-354177</v>
      </c>
      <c r="K2563" s="1076">
        <f>IFERROR(__xludf.DUMMYFUNCTION("""COMPUTED_VALUE"""),13)</f>
        <v>13</v>
      </c>
      <c r="L2563" s="1076" t="str">
        <f>IFERROR(__xludf.DUMMYFUNCTION("""COMPUTED_VALUE"""),"Đang thuê")</f>
        <v>Đang thuê</v>
      </c>
    </row>
    <row r="2564" customHeight="1" spans="1:12">
      <c r="A2564" s="1076" t="str">
        <f>IFERROR(__xludf.DUMMYFUNCTION("""COMPUTED_VALUE"""),"TNL-MĐA-066")</f>
        <v>TNL-MĐA-066</v>
      </c>
      <c r="B2564" s="1075" t="str">
        <f>IFERROR(__xludf.DUMMYFUNCTION("""COMPUTED_VALUE"""),"Máy đào gàu 1.0m3")</f>
        <v>Máy đào gàu 1.0m3</v>
      </c>
      <c r="C2564" s="1076" t="str">
        <f>IFERROR(__xludf.DUMMYFUNCTION("""COMPUTED_VALUE"""),"CGTC LP")</f>
        <v>CGTC LP</v>
      </c>
      <c r="D2564" s="1076" t="str">
        <f>IFERROR(__xludf.DUMMYFUNCTION("""COMPUTED_VALUE"""),"CAT")</f>
        <v>CAT</v>
      </c>
      <c r="E2564" s="1076"/>
      <c r="F2564" s="1076">
        <f>IFERROR(__xludf.DUMMYFUNCTION("""COMPUTED_VALUE"""),2008)</f>
        <v>2008</v>
      </c>
      <c r="G2564" s="1076" t="str">
        <f>IFERROR(__xludf.DUMMYFUNCTION("""COMPUTED_VALUE"""),"320D")</f>
        <v>320D</v>
      </c>
      <c r="H2564" s="1076" t="str">
        <f>IFERROR(__xludf.DUMMYFUNCTION("""COMPUTED_VALUE"""),"140HP")</f>
        <v>140HP</v>
      </c>
      <c r="I2564" s="1076" t="str">
        <f>IFERROR(__xludf.DUMMYFUNCTION("""COMPUTED_VALUE"""),"VBD204175")</f>
        <v>VBD204175</v>
      </c>
      <c r="J2564" s="1076" t="str">
        <f>IFERROR(__xludf.DUMMYFUNCTION("""COMPUTED_VALUE"""),"6DC2-7018")</f>
        <v>6DC2-7018</v>
      </c>
      <c r="K2564" s="1076">
        <f>IFERROR(__xludf.DUMMYFUNCTION("""COMPUTED_VALUE"""),17)</f>
        <v>17</v>
      </c>
      <c r="L2564" s="1076" t="str">
        <f>IFERROR(__xludf.DUMMYFUNCTION("""COMPUTED_VALUE"""),"Đang thuê")</f>
        <v>Đang thuê</v>
      </c>
    </row>
    <row r="2565" customHeight="1" spans="1:12">
      <c r="A2565" s="1076" t="str">
        <f>IFERROR(__xludf.DUMMYFUNCTION("""COMPUTED_VALUE"""),"TNL-MĐA-067")</f>
        <v>TNL-MĐA-067</v>
      </c>
      <c r="B2565" s="1075" t="str">
        <f>IFERROR(__xludf.DUMMYFUNCTION("""COMPUTED_VALUE"""),"Máy đào gàu 0.5m3")</f>
        <v>Máy đào gàu 0.5m3</v>
      </c>
      <c r="C2565" s="1076" t="str">
        <f>IFERROR(__xludf.DUMMYFUNCTION("""COMPUTED_VALUE"""),"CGTC LP")</f>
        <v>CGTC LP</v>
      </c>
      <c r="D2565" s="1076" t="str">
        <f>IFERROR(__xludf.DUMMYFUNCTION("""COMPUTED_VALUE"""),"CAT")</f>
        <v>CAT</v>
      </c>
      <c r="E2565" s="1076"/>
      <c r="F2565" s="1076">
        <f>IFERROR(__xludf.DUMMYFUNCTION("""COMPUTED_VALUE"""),1991)</f>
        <v>1991</v>
      </c>
      <c r="G2565" s="1076" t="str">
        <f>IFERROR(__xludf.DUMMYFUNCTION("""COMPUTED_VALUE"""),"E120B")</f>
        <v>E120B</v>
      </c>
      <c r="H2565" s="1076" t="str">
        <f>IFERROR(__xludf.DUMMYFUNCTION("""COMPUTED_VALUE"""),"84HP")</f>
        <v>84HP</v>
      </c>
      <c r="I2565" s="1076" t="str">
        <f>IFERROR(__xludf.DUMMYFUNCTION("""COMPUTED_VALUE"""),"7NF06756")</f>
        <v>7NF06756</v>
      </c>
      <c r="J2565" s="1076" t="str">
        <f>IFERROR(__xludf.DUMMYFUNCTION("""COMPUTED_VALUE"""),"S4K-211770")</f>
        <v>S4K-211770</v>
      </c>
      <c r="K2565" s="1076">
        <f>IFERROR(__xludf.DUMMYFUNCTION("""COMPUTED_VALUE"""),10)</f>
        <v>10</v>
      </c>
      <c r="L2565" s="1076" t="str">
        <f>IFERROR(__xludf.DUMMYFUNCTION("""COMPUTED_VALUE"""),"-")</f>
        <v>-</v>
      </c>
    </row>
    <row r="2566" customHeight="1" spans="1:12">
      <c r="A2566" s="1076" t="str">
        <f>IFERROR(__xludf.DUMMYFUNCTION("""COMPUTED_VALUE"""),"TNL-MĐA-068")</f>
        <v>TNL-MĐA-068</v>
      </c>
      <c r="B2566" s="1075" t="str">
        <f>IFERROR(__xludf.DUMMYFUNCTION("""COMPUTED_VALUE"""),"Máy đào gàu 0.5m3")</f>
        <v>Máy đào gàu 0.5m3</v>
      </c>
      <c r="C2566" s="1076" t="str">
        <f>IFERROR(__xludf.DUMMYFUNCTION("""COMPUTED_VALUE"""),"Ban điện nước")</f>
        <v>Ban điện nước</v>
      </c>
      <c r="D2566" s="1076" t="str">
        <f>IFERROR(__xludf.DUMMYFUNCTION("""COMPUTED_VALUE"""),"CAT")</f>
        <v>CAT</v>
      </c>
      <c r="E2566" s="1076"/>
      <c r="F2566" s="1076">
        <f>IFERROR(__xludf.DUMMYFUNCTION("""COMPUTED_VALUE"""),1998)</f>
        <v>1998</v>
      </c>
      <c r="G2566" s="1076" t="str">
        <f>IFERROR(__xludf.DUMMYFUNCTION("""COMPUTED_VALUE"""),"312")</f>
        <v>312</v>
      </c>
      <c r="H2566" s="1076" t="str">
        <f>IFERROR(__xludf.DUMMYFUNCTION("""COMPUTED_VALUE"""),"90HP")</f>
        <v>90HP</v>
      </c>
      <c r="I2566" s="1076" t="str">
        <f>IFERROR(__xludf.DUMMYFUNCTION("""COMPUTED_VALUE"""),"7DK00510")</f>
        <v>7DK00510</v>
      </c>
      <c r="J2566" s="1076" t="str">
        <f>IFERROR(__xludf.DUMMYFUNCTION("""COMPUTED_VALUE"""),"6LK00510")</f>
        <v>6LK00510</v>
      </c>
      <c r="K2566" s="1076">
        <f>IFERROR(__xludf.DUMMYFUNCTION("""COMPUTED_VALUE"""),10)</f>
        <v>10</v>
      </c>
      <c r="L2566" s="1076" t="str">
        <f>IFERROR(__xludf.DUMMYFUNCTION("""COMPUTED_VALUE"""),"-")</f>
        <v>-</v>
      </c>
    </row>
    <row r="2567" customHeight="1" spans="1:12">
      <c r="A2567" s="1076" t="str">
        <f>IFERROR(__xludf.DUMMYFUNCTION("""COMPUTED_VALUE"""),"TNL-MĐA-069")</f>
        <v>TNL-MĐA-069</v>
      </c>
      <c r="B2567" s="1075" t="str">
        <f>IFERROR(__xludf.DUMMYFUNCTION("""COMPUTED_VALUE"""),"Máy đào gàu 0.5m3 ")</f>
        <v>Máy đào gàu 0.5m3 </v>
      </c>
      <c r="C2567" s="1076" t="str">
        <f>IFERROR(__xludf.DUMMYFUNCTION("""COMPUTED_VALUE"""),"XN Chuối LP1")</f>
        <v>XN Chuối LP1</v>
      </c>
      <c r="D2567" s="1076" t="str">
        <f>IFERROR(__xludf.DUMMYFUNCTION("""COMPUTED_VALUE"""),"HYUNDAI")</f>
        <v>HYUNDAI</v>
      </c>
      <c r="E2567" s="1076"/>
      <c r="F2567" s="1076">
        <f>IFERROR(__xludf.DUMMYFUNCTION("""COMPUTED_VALUE"""),2014)</f>
        <v>2014</v>
      </c>
      <c r="G2567" s="1076" t="str">
        <f>IFERROR(__xludf.DUMMYFUNCTION("""COMPUTED_VALUE"""),"R140W-9S")</f>
        <v>R140W-9S</v>
      </c>
      <c r="H2567" s="1076" t="str">
        <f>IFERROR(__xludf.DUMMYFUNCTION("""COMPUTED_VALUE"""),"114HP")</f>
        <v>114HP</v>
      </c>
      <c r="I2567" s="1076" t="str">
        <f>IFERROR(__xludf.DUMMYFUNCTION("""COMPUTED_VALUE"""),"HHKHZ412HE0000480")</f>
        <v>HHKHZ412HE0000480</v>
      </c>
      <c r="J2567" s="1076" t="str">
        <f>IFERROR(__xludf.DUMMYFUNCTION("""COMPUTED_VALUE"""),"26494428")</f>
        <v>26494428</v>
      </c>
      <c r="K2567" s="1076">
        <f>IFERROR(__xludf.DUMMYFUNCTION("""COMPUTED_VALUE"""),7.5)</f>
        <v>7.5</v>
      </c>
      <c r="L2567" s="1076" t="str">
        <f>IFERROR(__xludf.DUMMYFUNCTION("""COMPUTED_VALUE"""),"Đang thuê")</f>
        <v>Đang thuê</v>
      </c>
    </row>
    <row r="2568" customHeight="1" spans="1:12">
      <c r="A2568" s="1076" t="str">
        <f>IFERROR(__xludf.DUMMYFUNCTION("""COMPUTED_VALUE"""),"TNL-MĐA-070")</f>
        <v>TNL-MĐA-070</v>
      </c>
      <c r="B2568" s="1075" t="str">
        <f>IFERROR(__xludf.DUMMYFUNCTION("""COMPUTED_VALUE"""),"Máy đào gàu 0.5m3")</f>
        <v>Máy đào gàu 0.5m3</v>
      </c>
      <c r="C2568" s="1076" t="str">
        <f>IFERROR(__xludf.DUMMYFUNCTION("""COMPUTED_VALUE"""),"Ban điện nước")</f>
        <v>Ban điện nước</v>
      </c>
      <c r="D2568" s="1076" t="str">
        <f>IFERROR(__xludf.DUMMYFUNCTION("""COMPUTED_VALUE"""),"CAT")</f>
        <v>CAT</v>
      </c>
      <c r="E2568" s="1076"/>
      <c r="F2568" s="1076">
        <f>IFERROR(__xludf.DUMMYFUNCTION("""COMPUTED_VALUE"""),1996)</f>
        <v>1996</v>
      </c>
      <c r="G2568" s="1076" t="str">
        <f>IFERROR(__xludf.DUMMYFUNCTION("""COMPUTED_VALUE"""),"312")</f>
        <v>312</v>
      </c>
      <c r="H2568" s="1076" t="str">
        <f>IFERROR(__xludf.DUMMYFUNCTION("""COMPUTED_VALUE"""),"90HP")</f>
        <v>90HP</v>
      </c>
      <c r="I2568" s="1076" t="str">
        <f>IFERROR(__xludf.DUMMYFUNCTION("""COMPUTED_VALUE"""),"7DK06962")</f>
        <v>7DK06962</v>
      </c>
      <c r="J2568" s="1076" t="str">
        <f>IFERROR(__xludf.DUMMYFUNCTION("""COMPUTED_VALUE"""),"6LK11375")</f>
        <v>6LK11375</v>
      </c>
      <c r="K2568" s="1076">
        <f>IFERROR(__xludf.DUMMYFUNCTION("""COMPUTED_VALUE"""),9)</f>
        <v>9</v>
      </c>
      <c r="L2568" s="1076" t="str">
        <f>IFERROR(__xludf.DUMMYFUNCTION("""COMPUTED_VALUE"""),"-")</f>
        <v>-</v>
      </c>
    </row>
    <row r="2569" customHeight="1" spans="1:12">
      <c r="A2569" s="1076" t="str">
        <f>IFERROR(__xludf.DUMMYFUNCTION("""COMPUTED_VALUE"""),"TNL-MĐA-071")</f>
        <v>TNL-MĐA-071</v>
      </c>
      <c r="B2569" s="1075" t="str">
        <f>IFERROR(__xludf.DUMMYFUNCTION("""COMPUTED_VALUE"""),"Máy đào gàu 1.2m3")</f>
        <v>Máy đào gàu 1.2m3</v>
      </c>
      <c r="C2569" s="1076" t="str">
        <f>IFERROR(__xludf.DUMMYFUNCTION("""COMPUTED_VALUE"""),"CGTC LP")</f>
        <v>CGTC LP</v>
      </c>
      <c r="D2569" s="1076" t="str">
        <f>IFERROR(__xludf.DUMMYFUNCTION("""COMPUTED_VALUE"""),"SUMITOMO")</f>
        <v>SUMITOMO</v>
      </c>
      <c r="E2569" s="1076"/>
      <c r="F2569" s="1076">
        <f>IFERROR(__xludf.DUMMYFUNCTION("""COMPUTED_VALUE"""),2024)</f>
        <v>2024</v>
      </c>
      <c r="G2569" s="1076" t="str">
        <f>IFERROR(__xludf.DUMMYFUNCTION("""COMPUTED_VALUE"""),"SH210-6")</f>
        <v>SH210-6</v>
      </c>
      <c r="H2569" s="1076" t="str">
        <f>IFERROR(__xludf.DUMMYFUNCTION("""COMPUTED_VALUE"""),"162HP")</f>
        <v>162HP</v>
      </c>
      <c r="I2569" s="1076" t="str">
        <f>IFERROR(__xludf.DUMMYFUNCTION("""COMPUTED_VALUE"""),"STN210T6P00BH5726")</f>
        <v>STN210T6P00BH5726</v>
      </c>
      <c r="J2569" s="1076" t="str">
        <f>IFERROR(__xludf.DUMMYFUNCTION("""COMPUTED_VALUE"""),"4HK1-870504")</f>
        <v>4HK1-870504</v>
      </c>
      <c r="K2569" s="1076">
        <f>IFERROR(__xludf.DUMMYFUNCTION("""COMPUTED_VALUE"""),17)</f>
        <v>17</v>
      </c>
      <c r="L2569" s="1076" t="str">
        <f>IFERROR(__xludf.DUMMYFUNCTION("""COMPUTED_VALUE"""),"-")</f>
        <v>-</v>
      </c>
    </row>
    <row r="2570" customHeight="1" spans="1:12">
      <c r="A2570" s="1076" t="str">
        <f>IFERROR(__xludf.DUMMYFUNCTION("""COMPUTED_VALUE"""),"TNL-MĐA-072")</f>
        <v>TNL-MĐA-072</v>
      </c>
      <c r="B2570" s="1075" t="str">
        <f>IFERROR(__xludf.DUMMYFUNCTION("""COMPUTED_VALUE"""),"Máy đào gàu 0.8m3")</f>
        <v>Máy đào gàu 0.8m3</v>
      </c>
      <c r="C2570" s="1076" t="str">
        <f>IFERROR(__xludf.DUMMYFUNCTION("""COMPUTED_VALUE"""),"CGTC LP")</f>
        <v>CGTC LP</v>
      </c>
      <c r="D2570" s="1076" t="str">
        <f>IFERROR(__xludf.DUMMYFUNCTION("""COMPUTED_VALUE"""),"CAT")</f>
        <v>CAT</v>
      </c>
      <c r="E2570" s="1076"/>
      <c r="F2570" s="1076">
        <f>IFERROR(__xludf.DUMMYFUNCTION("""COMPUTED_VALUE"""),2006)</f>
        <v>2006</v>
      </c>
      <c r="G2570" s="1076" t="str">
        <f>IFERROR(__xludf.DUMMYFUNCTION("""COMPUTED_VALUE"""),"320CL")</f>
        <v>320CL</v>
      </c>
      <c r="H2570" s="1076" t="str">
        <f>IFERROR(__xludf.DUMMYFUNCTION("""COMPUTED_VALUE"""),"138HP")</f>
        <v>138HP</v>
      </c>
      <c r="I2570" s="1076" t="str">
        <f>IFERROR(__xludf.DUMMYFUNCTION("""COMPUTED_VALUE"""),"ANB00311")</f>
        <v>ANB00311</v>
      </c>
      <c r="J2570" s="1076" t="str">
        <f>IFERROR(__xludf.DUMMYFUNCTION("""COMPUTED_VALUE"""),"3066-7JK44692")</f>
        <v>3066-7JK44692</v>
      </c>
      <c r="K2570" s="1076">
        <f>IFERROR(__xludf.DUMMYFUNCTION("""COMPUTED_VALUE"""),14)</f>
        <v>14</v>
      </c>
      <c r="L2570" s="1076" t="str">
        <f>IFERROR(__xludf.DUMMYFUNCTION("""COMPUTED_VALUE"""),"Đang thuê")</f>
        <v>Đang thuê</v>
      </c>
    </row>
    <row r="2571" customHeight="1" spans="1:12">
      <c r="A2571" s="1076" t="str">
        <f>IFERROR(__xludf.DUMMYFUNCTION("""COMPUTED_VALUE"""),"TNL-MĐA-073")</f>
        <v>TNL-MĐA-073</v>
      </c>
      <c r="B2571" s="1075" t="str">
        <f>IFERROR(__xludf.DUMMYFUNCTION("""COMPUTED_VALUE"""),"Máy đào gàu 0.5m3")</f>
        <v>Máy đào gàu 0.5m3</v>
      </c>
      <c r="C2571" s="1076" t="str">
        <f>IFERROR(__xludf.DUMMYFUNCTION("""COMPUTED_VALUE"""),"CGTC LP")</f>
        <v>CGTC LP</v>
      </c>
      <c r="D2571" s="1076" t="str">
        <f>IFERROR(__xludf.DUMMYFUNCTION("""COMPUTED_VALUE"""),"CAT")</f>
        <v>CAT</v>
      </c>
      <c r="E2571" s="1076"/>
      <c r="F2571" s="1076">
        <f>IFERROR(__xludf.DUMMYFUNCTION("""COMPUTED_VALUE"""),2005)</f>
        <v>2005</v>
      </c>
      <c r="G2571" s="1076" t="str">
        <f>IFERROR(__xludf.DUMMYFUNCTION("""COMPUTED_VALUE"""),"312C")</f>
        <v>312C</v>
      </c>
      <c r="H2571" s="1076" t="str">
        <f>IFERROR(__xludf.DUMMYFUNCTION("""COMPUTED_VALUE"""),"94HP")</f>
        <v>94HP</v>
      </c>
      <c r="I2571" s="1076" t="str">
        <f>IFERROR(__xludf.DUMMYFUNCTION("""COMPUTED_VALUE"""),"CAT0312CCFDS00398")</f>
        <v>CAT0312CCFDS00398</v>
      </c>
      <c r="J2571" s="1076" t="str">
        <f>IFERROR(__xludf.DUMMYFUNCTION("""COMPUTED_VALUE"""),"6LK36262")</f>
        <v>6LK36262</v>
      </c>
      <c r="K2571" s="1076">
        <f>IFERROR(__xludf.DUMMYFUNCTION("""COMPUTED_VALUE"""),9)</f>
        <v>9</v>
      </c>
      <c r="L2571" s="1076" t="str">
        <f>IFERROR(__xludf.DUMMYFUNCTION("""COMPUTED_VALUE"""),"Đang thuê")</f>
        <v>Đang thuê</v>
      </c>
    </row>
    <row r="2572" customHeight="1" spans="1:12">
      <c r="A2572" s="1076" t="str">
        <f>IFERROR(__xludf.DUMMYFUNCTION("""COMPUTED_VALUE"""),"TNL-MĐA-074")</f>
        <v>TNL-MĐA-074</v>
      </c>
      <c r="B2572" s="1075" t="str">
        <f>IFERROR(__xludf.DUMMYFUNCTION("""COMPUTED_VALUE"""),"Máy đào gàu 0.5m3")</f>
        <v>Máy đào gàu 0.5m3</v>
      </c>
      <c r="C2572" s="1076" t="str">
        <f>IFERROR(__xludf.DUMMYFUNCTION("""COMPUTED_VALUE"""),"CGTC LP")</f>
        <v>CGTC LP</v>
      </c>
      <c r="D2572" s="1076" t="str">
        <f>IFERROR(__xludf.DUMMYFUNCTION("""COMPUTED_VALUE"""),"CAT")</f>
        <v>CAT</v>
      </c>
      <c r="E2572" s="1076"/>
      <c r="F2572" s="1076">
        <f>IFERROR(__xludf.DUMMYFUNCTION("""COMPUTED_VALUE"""),1991)</f>
        <v>1991</v>
      </c>
      <c r="G2572" s="1076" t="str">
        <f>IFERROR(__xludf.DUMMYFUNCTION("""COMPUTED_VALUE"""),"E120L3")</f>
        <v>E120L3</v>
      </c>
      <c r="H2572" s="1076" t="str">
        <f>IFERROR(__xludf.DUMMYFUNCTION("""COMPUTED_VALUE"""),"90HP")</f>
        <v>90HP</v>
      </c>
      <c r="I2572" s="1076" t="str">
        <f>IFERROR(__xludf.DUMMYFUNCTION("""COMPUTED_VALUE"""),"7NF06940")</f>
        <v>7NF06940</v>
      </c>
      <c r="J2572" s="1076" t="str">
        <f>IFERROR(__xludf.DUMMYFUNCTION("""COMPUTED_VALUE"""),"212281")</f>
        <v>212281</v>
      </c>
      <c r="K2572" s="1076">
        <f>IFERROR(__xludf.DUMMYFUNCTION("""COMPUTED_VALUE"""),10)</f>
        <v>10</v>
      </c>
      <c r="L2572" s="1076" t="str">
        <f>IFERROR(__xludf.DUMMYFUNCTION("""COMPUTED_VALUE"""),"Đang thuê")</f>
        <v>Đang thuê</v>
      </c>
    </row>
    <row r="2573" customHeight="1" spans="1:12">
      <c r="A2573" s="1076" t="str">
        <f>IFERROR(__xludf.DUMMYFUNCTION("""COMPUTED_VALUE"""),"TNL-MĐA-075")</f>
        <v>TNL-MĐA-075</v>
      </c>
      <c r="B2573" s="1075" t="str">
        <f>IFERROR(__xludf.DUMMYFUNCTION("""COMPUTED_VALUE"""),"Máy đào gàu 0.5m3")</f>
        <v>Máy đào gàu 0.5m3</v>
      </c>
      <c r="C2573" s="1076" t="str">
        <f>IFERROR(__xludf.DUMMYFUNCTION("""COMPUTED_VALUE"""),"Ban điện nước")</f>
        <v>Ban điện nước</v>
      </c>
      <c r="D2573" s="1076" t="str">
        <f>IFERROR(__xludf.DUMMYFUNCTION("""COMPUTED_VALUE"""),"CAT")</f>
        <v>CAT</v>
      </c>
      <c r="E2573" s="1076"/>
      <c r="F2573" s="1076">
        <f>IFERROR(__xludf.DUMMYFUNCTION("""COMPUTED_VALUE"""),1996)</f>
        <v>1996</v>
      </c>
      <c r="G2573" s="1076" t="str">
        <f>IFERROR(__xludf.DUMMYFUNCTION("""COMPUTED_VALUE"""),"312")</f>
        <v>312</v>
      </c>
      <c r="H2573" s="1076" t="str">
        <f>IFERROR(__xludf.DUMMYFUNCTION("""COMPUTED_VALUE"""),"90HP")</f>
        <v>90HP</v>
      </c>
      <c r="I2573" s="1076" t="str">
        <f>IFERROR(__xludf.DUMMYFUNCTION("""COMPUTED_VALUE"""),"6GK00739")</f>
        <v>6GK00739</v>
      </c>
      <c r="J2573" s="1076" t="str">
        <f>IFERROR(__xludf.DUMMYFUNCTION("""COMPUTED_VALUE"""),"6LK05044")</f>
        <v>6LK05044</v>
      </c>
      <c r="K2573" s="1076">
        <f>IFERROR(__xludf.DUMMYFUNCTION("""COMPUTED_VALUE"""),9)</f>
        <v>9</v>
      </c>
      <c r="L2573" s="1076" t="str">
        <f>IFERROR(__xludf.DUMMYFUNCTION("""COMPUTED_VALUE"""),"Đang thuê")</f>
        <v>Đang thuê</v>
      </c>
    </row>
    <row r="2574" customHeight="1" spans="1:12">
      <c r="A2574" s="1076" t="str">
        <f>IFERROR(__xludf.DUMMYFUNCTION("""COMPUTED_VALUE"""),"TNL-MĐA-076")</f>
        <v>TNL-MĐA-076</v>
      </c>
      <c r="B2574" s="1075" t="str">
        <f>IFERROR(__xludf.DUMMYFUNCTION("""COMPUTED_VALUE"""),"Máy đào gàu 1,2m3")</f>
        <v>Máy đào gàu 1,2m3</v>
      </c>
      <c r="C2574" s="1076" t="str">
        <f>IFERROR(__xludf.DUMMYFUNCTION("""COMPUTED_VALUE"""),"CGTC LP")</f>
        <v>CGTC LP</v>
      </c>
      <c r="D2574" s="1076" t="str">
        <f>IFERROR(__xludf.DUMMYFUNCTION("""COMPUTED_VALUE"""),"CAT")</f>
        <v>CAT</v>
      </c>
      <c r="E2574" s="1076"/>
      <c r="F2574" s="1076">
        <f>IFERROR(__xludf.DUMMYFUNCTION("""COMPUTED_VALUE"""),2001)</f>
        <v>2001</v>
      </c>
      <c r="G2574" s="1076" t="str">
        <f>IFERROR(__xludf.DUMMYFUNCTION("""COMPUTED_VALUE"""),"320C")</f>
        <v>320C</v>
      </c>
      <c r="H2574" s="1076" t="str">
        <f>IFERROR(__xludf.DUMMYFUNCTION("""COMPUTED_VALUE"""),"148HP")</f>
        <v>148HP</v>
      </c>
      <c r="I2574" s="1076" t="str">
        <f>IFERROR(__xludf.DUMMYFUNCTION("""COMPUTED_VALUE"""),"CAT0320CAGB00271")</f>
        <v>CAT0320CAGB00271</v>
      </c>
      <c r="J2574" s="1076" t="str">
        <f>IFERROR(__xludf.DUMMYFUNCTION("""COMPUTED_VALUE"""),"7JK71170")</f>
        <v>7JK71170</v>
      </c>
      <c r="K2574" s="1076">
        <f>IFERROR(__xludf.DUMMYFUNCTION("""COMPUTED_VALUE"""),15)</f>
        <v>15</v>
      </c>
      <c r="L2574" s="1076" t="str">
        <f>IFERROR(__xludf.DUMMYFUNCTION("""COMPUTED_VALUE"""),"-")</f>
        <v>-</v>
      </c>
    </row>
    <row r="2575" customHeight="1" spans="1:12">
      <c r="A2575" s="1076" t="str">
        <f>IFERROR(__xludf.DUMMYFUNCTION("""COMPUTED_VALUE"""),"TNL-MĐA-077")</f>
        <v>TNL-MĐA-077</v>
      </c>
      <c r="B2575" s="1075" t="str">
        <f>IFERROR(__xludf.DUMMYFUNCTION("""COMPUTED_VALUE"""),"Máy đào gàu 0,5m3")</f>
        <v>Máy đào gàu 0,5m3</v>
      </c>
      <c r="C2575" s="1076" t="str">
        <f>IFERROR(__xludf.DUMMYFUNCTION("""COMPUTED_VALUE"""),"CGTC LP")</f>
        <v>CGTC LP</v>
      </c>
      <c r="D2575" s="1076" t="str">
        <f>IFERROR(__xludf.DUMMYFUNCTION("""COMPUTED_VALUE"""),"CAT")</f>
        <v>CAT</v>
      </c>
      <c r="E2575" s="1076"/>
      <c r="F2575" s="1076">
        <f>IFERROR(__xludf.DUMMYFUNCTION("""COMPUTED_VALUE"""),2004)</f>
        <v>2004</v>
      </c>
      <c r="G2575" s="1076" t="str">
        <f>IFERROR(__xludf.DUMMYFUNCTION("""COMPUTED_VALUE"""),"312c")</f>
        <v>312c</v>
      </c>
      <c r="H2575" s="1076" t="str">
        <f>IFERROR(__xludf.DUMMYFUNCTION("""COMPUTED_VALUE"""),"90hp")</f>
        <v>90hp</v>
      </c>
      <c r="I2575" s="1076" t="str">
        <f>IFERROR(__xludf.DUMMYFUNCTION("""COMPUTED_VALUE"""),"CAT0312CCCBA00311")</f>
        <v>CAT0312CCCBA00311</v>
      </c>
      <c r="J2575" s="1076" t="str">
        <f>IFERROR(__xludf.DUMMYFUNCTION("""COMPUTED_VALUE"""),"6LK25242")</f>
        <v>6LK25242</v>
      </c>
      <c r="K2575" s="1076">
        <f>IFERROR(__xludf.DUMMYFUNCTION("""COMPUTED_VALUE"""),9)</f>
        <v>9</v>
      </c>
      <c r="L2575" s="1076" t="str">
        <f>IFERROR(__xludf.DUMMYFUNCTION("""COMPUTED_VALUE"""),"Đang thuê")</f>
        <v>Đang thuê</v>
      </c>
    </row>
    <row r="2576" customHeight="1" spans="1:12">
      <c r="A2576" s="1076" t="str">
        <f>IFERROR(__xludf.DUMMYFUNCTION("""COMPUTED_VALUE"""),"TNL-MĐA-078")</f>
        <v>TNL-MĐA-078</v>
      </c>
      <c r="B2576" s="1075" t="str">
        <f>IFERROR(__xludf.DUMMYFUNCTION("""COMPUTED_VALUE"""),"Máy đào gàu 0,5m3")</f>
        <v>Máy đào gàu 0,5m3</v>
      </c>
      <c r="C2576" s="1076" t="str">
        <f>IFERROR(__xludf.DUMMYFUNCTION("""COMPUTED_VALUE"""),"CGTC LP")</f>
        <v>CGTC LP</v>
      </c>
      <c r="D2576" s="1076"/>
      <c r="E2576" s="1076"/>
      <c r="F2576" s="1076"/>
      <c r="G2576" s="1076"/>
      <c r="H2576" s="1076"/>
      <c r="I2576" s="1076"/>
      <c r="J2576" s="1076"/>
      <c r="K2576" s="1076">
        <f>IFERROR(__xludf.DUMMYFUNCTION("""COMPUTED_VALUE"""),9)</f>
        <v>9</v>
      </c>
      <c r="L2576" s="1076" t="str">
        <f>IFERROR(__xludf.DUMMYFUNCTION("""COMPUTED_VALUE"""),"Đang thuê")</f>
        <v>Đang thuê</v>
      </c>
    </row>
    <row r="2577" customHeight="1" spans="1:12">
      <c r="A2577" s="1076" t="str">
        <f>IFERROR(__xludf.DUMMYFUNCTION("""COMPUTED_VALUE"""),"TNL-MĐA-080")</f>
        <v>TNL-MĐA-080</v>
      </c>
      <c r="B2577" s="1075" t="str">
        <f>IFERROR(__xludf.DUMMYFUNCTION("""COMPUTED_VALUE"""),"Máy đào gàu 0,9m3")</f>
        <v>Máy đào gàu 0,9m3</v>
      </c>
      <c r="C2577" s="1076" t="str">
        <f>IFERROR(__xludf.DUMMYFUNCTION("""COMPUTED_VALUE"""),"CGTC LP")</f>
        <v>CGTC LP</v>
      </c>
      <c r="D2577" s="1076" t="str">
        <f>IFERROR(__xludf.DUMMYFUNCTION("""COMPUTED_VALUE"""),"H/D CRAWLER")</f>
        <v>H/D CRAWLER</v>
      </c>
      <c r="E2577" s="1076"/>
      <c r="F2577" s="1076">
        <f>IFERROR(__xludf.DUMMYFUNCTION("""COMPUTED_VALUE"""),2013)</f>
        <v>2013</v>
      </c>
      <c r="G2577" s="1076" t="str">
        <f>IFERROR(__xludf.DUMMYFUNCTION("""COMPUTED_VALUE"""),"R220LC-9S")</f>
        <v>R220LC-9S</v>
      </c>
      <c r="H2577" s="1076" t="str">
        <f>IFERROR(__xludf.DUMMYFUNCTION("""COMPUTED_VALUE"""),"150HP")</f>
        <v>150HP</v>
      </c>
      <c r="I2577" s="1076" t="str">
        <f>IFERROR(__xludf.DUMMYFUNCTION("""COMPUTED_VALUE"""),"HHKH2614LD0004927")</f>
        <v>HHKH2614LD0004927</v>
      </c>
      <c r="J2577" s="1076" t="str">
        <f>IFERROR(__xludf.DUMMYFUNCTION("""COMPUTED_VALUE"""),"73496240")</f>
        <v>73496240</v>
      </c>
      <c r="K2577" s="1076">
        <f>IFERROR(__xludf.DUMMYFUNCTION("""COMPUTED_VALUE"""),14.5)</f>
        <v>14.5</v>
      </c>
      <c r="L2577" s="1076" t="str">
        <f>IFERROR(__xludf.DUMMYFUNCTION("""COMPUTED_VALUE"""),"Đang thuê")</f>
        <v>Đang thuê</v>
      </c>
    </row>
    <row r="2578" customHeight="1" spans="1:12">
      <c r="A2578" s="1076" t="str">
        <f>IFERROR(__xludf.DUMMYFUNCTION("""COMPUTED_VALUE"""),"TNL-MĐA-081")</f>
        <v>TNL-MĐA-081</v>
      </c>
      <c r="B2578" s="1075" t="str">
        <f>IFERROR(__xludf.DUMMYFUNCTION("""COMPUTED_VALUE"""),"Máy đào gàu 1,2m3")</f>
        <v>Máy đào gàu 1,2m3</v>
      </c>
      <c r="C2578" s="1076" t="str">
        <f>IFERROR(__xludf.DUMMYFUNCTION("""COMPUTED_VALUE"""),"CGTC LP")</f>
        <v>CGTC LP</v>
      </c>
      <c r="D2578" s="1076" t="str">
        <f>IFERROR(__xludf.DUMMYFUNCTION("""COMPUTED_VALUE"""),"CAT")</f>
        <v>CAT</v>
      </c>
      <c r="E2578" s="1076"/>
      <c r="F2578" s="1076">
        <f>IFERROR(__xludf.DUMMYFUNCTION("""COMPUTED_VALUE"""),2019)</f>
        <v>2019</v>
      </c>
      <c r="G2578" s="1076" t="str">
        <f>IFERROR(__xludf.DUMMYFUNCTION("""COMPUTED_VALUE"""),"320GC")</f>
        <v>320GC</v>
      </c>
      <c r="H2578" s="1076" t="str">
        <f>IFERROR(__xludf.DUMMYFUNCTION("""COMPUTED_VALUE"""),"145 HP")</f>
        <v>145 HP</v>
      </c>
      <c r="I2578" s="1076" t="str">
        <f>IFERROR(__xludf.DUMMYFUNCTION("""COMPUTED_VALUE"""),"CAT000320TDKJ11878")</f>
        <v>CAT000320TDKJ11878</v>
      </c>
      <c r="J2578" s="1076" t="str">
        <f>IFERROR(__xludf.DUMMYFUNCTION("""COMPUTED_VALUE"""),"2W211149")</f>
        <v>2W211149</v>
      </c>
      <c r="K2578" s="1076">
        <f>IFERROR(__xludf.DUMMYFUNCTION("""COMPUTED_VALUE"""),14)</f>
        <v>14</v>
      </c>
      <c r="L2578" s="1076" t="str">
        <f>IFERROR(__xludf.DUMMYFUNCTION("""COMPUTED_VALUE"""),"Đang thuê")</f>
        <v>Đang thuê</v>
      </c>
    </row>
    <row r="2579" customHeight="1" spans="1:12">
      <c r="A2579" s="1076" t="str">
        <f>IFERROR(__xludf.DUMMYFUNCTION("""COMPUTED_VALUE"""),"TNL-Đ03-001")</f>
        <v>TNL-Đ03-001</v>
      </c>
      <c r="B2579" s="1075" t="str">
        <f>IFERROR(__xludf.DUMMYFUNCTION("""COMPUTED_VALUE"""),"Máy đào gàu 0.3m3")</f>
        <v>Máy đào gàu 0.3m3</v>
      </c>
      <c r="C2579" s="1076" t="str">
        <f>IFERROR(__xludf.DUMMYFUNCTION("""COMPUTED_VALUE"""),"XN SX")</f>
        <v>XN SX</v>
      </c>
      <c r="D2579" s="1076" t="str">
        <f>IFERROR(__xludf.DUMMYFUNCTION("""COMPUTED_VALUE"""),"SAMSUNG")</f>
        <v>SAMSUNG</v>
      </c>
      <c r="E2579" s="1076"/>
      <c r="F2579" s="1076">
        <f>IFERROR(__xludf.DUMMYFUNCTION("""COMPUTED_VALUE"""),2007)</f>
        <v>2007</v>
      </c>
      <c r="G2579" s="1076" t="str">
        <f>IFERROR(__xludf.DUMMYFUNCTION("""COMPUTED_VALUE"""),"Khảo sát đơn vị")</f>
        <v>Khảo sát đơn vị</v>
      </c>
      <c r="H2579" s="1076" t="str">
        <f>IFERROR(__xludf.DUMMYFUNCTION("""COMPUTED_VALUE"""),"Khảo sát đơn vị")</f>
        <v>Khảo sát đơn vị</v>
      </c>
      <c r="I2579" s="1076" t="str">
        <f>IFERROR(__xludf.DUMMYFUNCTION("""COMPUTED_VALUE"""),"NIL")</f>
        <v>NIL</v>
      </c>
      <c r="J2579" s="1076" t="str">
        <f>IFERROR(__xludf.DUMMYFUNCTION("""COMPUTED_VALUE"""),"EC55Y05280")</f>
        <v>EC55Y05280</v>
      </c>
      <c r="K2579" s="1076"/>
      <c r="L2579" s="1076" t="str">
        <f>IFERROR(__xludf.DUMMYFUNCTION("""COMPUTED_VALUE"""),"-")</f>
        <v>-</v>
      </c>
    </row>
    <row r="2580" customHeight="1" spans="1:12">
      <c r="A2580" s="1076" t="str">
        <f>IFERROR(__xludf.DUMMYFUNCTION("""COMPUTED_VALUE"""),"TNL-Đ03-002")</f>
        <v>TNL-Đ03-002</v>
      </c>
      <c r="B2580" s="1075" t="str">
        <f>IFERROR(__xludf.DUMMYFUNCTION("""COMPUTED_VALUE"""),"Máy đào gàu 0.3m3")</f>
        <v>Máy đào gàu 0.3m3</v>
      </c>
      <c r="C2580" s="1076" t="str">
        <f>IFERROR(__xludf.DUMMYFUNCTION("""COMPUTED_VALUE"""),"XN Chuối LP1")</f>
        <v>XN Chuối LP1</v>
      </c>
      <c r="D2580" s="1076" t="str">
        <f>IFERROR(__xludf.DUMMYFUNCTION("""COMPUTED_VALUE"""),"HYUNDAI")</f>
        <v>HYUNDAI</v>
      </c>
      <c r="E2580" s="1076"/>
      <c r="F2580" s="1076">
        <f>IFERROR(__xludf.DUMMYFUNCTION("""COMPUTED_VALUE"""),2007)</f>
        <v>2007</v>
      </c>
      <c r="G2580" s="1076" t="str">
        <f>IFERROR(__xludf.DUMMYFUNCTION("""COMPUTED_VALUE"""),"Khảo sát đơn vị")</f>
        <v>Khảo sát đơn vị</v>
      </c>
      <c r="H2580" s="1076" t="str">
        <f>IFERROR(__xludf.DUMMYFUNCTION("""COMPUTED_VALUE"""),"53HP")</f>
        <v>53HP</v>
      </c>
      <c r="I2580" s="1076" t="str">
        <f>IFERROR(__xludf.DUMMYFUNCTION("""COMPUTED_VALUE"""),"1701HI 10690")</f>
        <v>1701HI 10690</v>
      </c>
      <c r="J2580" s="1076" t="str">
        <f>IFERROR(__xludf.DUMMYFUNCTION("""COMPUTED_VALUE"""),"58.5/43/2500")</f>
        <v>58.5/43/2500</v>
      </c>
      <c r="K2580" s="1076"/>
      <c r="L2580" s="1076" t="str">
        <f>IFERROR(__xludf.DUMMYFUNCTION("""COMPUTED_VALUE"""),"-")</f>
        <v>-</v>
      </c>
    </row>
    <row r="2581" customHeight="1" spans="1:12">
      <c r="A2581" s="1076" t="str">
        <f>IFERROR(__xludf.DUMMYFUNCTION("""COMPUTED_VALUE"""),"TNL-Đ03-003")</f>
        <v>TNL-Đ03-003</v>
      </c>
      <c r="B2581" s="1075" t="str">
        <f>IFERROR(__xludf.DUMMYFUNCTION("""COMPUTED_VALUE"""),"Máy đào gàu 0.3m3")</f>
        <v>Máy đào gàu 0.3m3</v>
      </c>
      <c r="C2581" s="1076" t="str">
        <f>IFERROR(__xludf.DUMMYFUNCTION("""COMPUTED_VALUE"""),"XN SX")</f>
        <v>XN SX</v>
      </c>
      <c r="D2581" s="1076" t="str">
        <f>IFERROR(__xludf.DUMMYFUNCTION("""COMPUTED_VALUE"""),"KUBOTA")</f>
        <v>KUBOTA</v>
      </c>
      <c r="E2581" s="1076"/>
      <c r="F2581" s="1076"/>
      <c r="G2581" s="1076"/>
      <c r="H2581" s="1076" t="str">
        <f>IFERROR(__xludf.DUMMYFUNCTION("""COMPUTED_VALUE"""),"24HP")</f>
        <v>24HP</v>
      </c>
      <c r="I2581" s="1076" t="str">
        <f>IFERROR(__xludf.DUMMYFUNCTION("""COMPUTED_VALUE"""),"5076")</f>
        <v>5076</v>
      </c>
      <c r="J2581" s="1076" t="str">
        <f>IFERROR(__xludf.DUMMYFUNCTION("""COMPUTED_VALUE"""),"10669")</f>
        <v>10669</v>
      </c>
      <c r="K2581" s="1076"/>
      <c r="L2581" s="1076" t="str">
        <f>IFERROR(__xludf.DUMMYFUNCTION("""COMPUTED_VALUE"""),"-")</f>
        <v>-</v>
      </c>
    </row>
    <row r="2582" customHeight="1" spans="1:12">
      <c r="A2582" s="1076" t="str">
        <f>IFERROR(__xludf.DUMMYFUNCTION("""COMPUTED_VALUE"""),"TNL-Đ03-004")</f>
        <v>TNL-Đ03-004</v>
      </c>
      <c r="B2582" s="1075" t="str">
        <f>IFERROR(__xludf.DUMMYFUNCTION("""COMPUTED_VALUE"""),"Máy đào gàu 0.3m3")</f>
        <v>Máy đào gàu 0.3m3</v>
      </c>
      <c r="C2582" s="1076" t="str">
        <f>IFERROR(__xludf.DUMMYFUNCTION("""COMPUTED_VALUE"""),"XN SX")</f>
        <v>XN SX</v>
      </c>
      <c r="D2582" s="1076" t="str">
        <f>IFERROR(__xludf.DUMMYFUNCTION("""COMPUTED_VALUE"""),"CATERPILLAR")</f>
        <v>CATERPILLAR</v>
      </c>
      <c r="E2582" s="1076"/>
      <c r="F2582" s="1076"/>
      <c r="G2582" s="1076"/>
      <c r="H2582" s="1076" t="str">
        <f>IFERROR(__xludf.DUMMYFUNCTION("""COMPUTED_VALUE"""),"24HP")</f>
        <v>24HP</v>
      </c>
      <c r="I2582" s="1076" t="str">
        <f>IFERROR(__xludf.DUMMYFUNCTION("""COMPUTED_VALUE"""),"MM45B")</f>
        <v>MM45B</v>
      </c>
      <c r="J2582" s="1076" t="str">
        <f>IFERROR(__xludf.DUMMYFUNCTION("""COMPUTED_VALUE"""),"E6F01455")</f>
        <v>E6F01455</v>
      </c>
      <c r="K2582" s="1076"/>
      <c r="L2582" s="1076" t="str">
        <f>IFERROR(__xludf.DUMMYFUNCTION("""COMPUTED_VALUE"""),"-")</f>
        <v>-</v>
      </c>
    </row>
    <row r="2583" customHeight="1" spans="1:12">
      <c r="A2583" s="1076" t="str">
        <f>IFERROR(__xludf.DUMMYFUNCTION("""COMPUTED_VALUE"""),"TNL-Đ03-005")</f>
        <v>TNL-Đ03-005</v>
      </c>
      <c r="B2583" s="1075" t="str">
        <f>IFERROR(__xludf.DUMMYFUNCTION("""COMPUTED_VALUE"""),"Máy đào gàu 0.3m3")</f>
        <v>Máy đào gàu 0.3m3</v>
      </c>
      <c r="C2583" s="1076"/>
      <c r="D2583" s="1076"/>
      <c r="E2583" s="1076"/>
      <c r="F2583" s="1076"/>
      <c r="G2583" s="1076"/>
      <c r="H2583" s="1076" t="str">
        <f>IFERROR(__xludf.DUMMYFUNCTION("""COMPUTED_VALUE"""),"24HP")</f>
        <v>24HP</v>
      </c>
      <c r="I2583" s="1076"/>
      <c r="J2583" s="1076"/>
      <c r="K2583" s="1076"/>
      <c r="L2583" s="1076" t="str">
        <f>IFERROR(__xludf.DUMMYFUNCTION("""COMPUTED_VALUE"""),"-")</f>
        <v>-</v>
      </c>
    </row>
    <row r="2584" customHeight="1" spans="1:12">
      <c r="A2584" s="1076" t="str">
        <f>IFERROR(__xludf.DUMMYFUNCTION("""COMPUTED_VALUE"""),"TNL-Đ03-006")</f>
        <v>TNL-Đ03-006</v>
      </c>
      <c r="B2584" s="1075" t="str">
        <f>IFERROR(__xludf.DUMMYFUNCTION("""COMPUTED_VALUE"""),"Máy đào gàu 0.3m3")</f>
        <v>Máy đào gàu 0.3m3</v>
      </c>
      <c r="C2584" s="1076"/>
      <c r="D2584" s="1076" t="str">
        <f>IFERROR(__xludf.DUMMYFUNCTION("""COMPUTED_VALUE"""),"CATERPILLAR")</f>
        <v>CATERPILLAR</v>
      </c>
      <c r="E2584" s="1076"/>
      <c r="F2584" s="1076"/>
      <c r="G2584" s="1076"/>
      <c r="H2584" s="1076" t="str">
        <f>IFERROR(__xludf.DUMMYFUNCTION("""COMPUTED_VALUE"""),"24HP")</f>
        <v>24HP</v>
      </c>
      <c r="I2584" s="1076" t="str">
        <f>IFERROR(__xludf.DUMMYFUNCTION("""COMPUTED_VALUE"""),"1117")</f>
        <v>1117</v>
      </c>
      <c r="J2584" s="1076" t="str">
        <f>IFERROR(__xludf.DUMMYFUNCTION("""COMPUTED_VALUE"""),"122918L5")</f>
        <v>122918L5</v>
      </c>
      <c r="K2584" s="1076"/>
      <c r="L2584" s="1076" t="str">
        <f>IFERROR(__xludf.DUMMYFUNCTION("""COMPUTED_VALUE"""),"-")</f>
        <v>-</v>
      </c>
    </row>
    <row r="2585" customHeight="1" spans="1:12">
      <c r="A2585" s="1076" t="str">
        <f>IFERROR(__xludf.DUMMYFUNCTION("""COMPUTED_VALUE"""),"TNL-Đ03-007")</f>
        <v>TNL-Đ03-007</v>
      </c>
      <c r="B2585" s="1075" t="str">
        <f>IFERROR(__xludf.DUMMYFUNCTION("""COMPUTED_VALUE"""),"Máy đào gàu 0.3m3")</f>
        <v>Máy đào gàu 0.3m3</v>
      </c>
      <c r="C2585" s="1076" t="str">
        <f>IFERROR(__xludf.DUMMYFUNCTION("""COMPUTED_VALUE"""),"XN Chuối LP3")</f>
        <v>XN Chuối LP3</v>
      </c>
      <c r="D2585" s="1076" t="str">
        <f>IFERROR(__xludf.DUMMYFUNCTION("""COMPUTED_VALUE"""),"CATERPILLAR")</f>
        <v>CATERPILLAR</v>
      </c>
      <c r="E2585" s="1076"/>
      <c r="F2585" s="1076">
        <f>IFERROR(__xludf.DUMMYFUNCTION("""COMPUTED_VALUE"""),2003)</f>
        <v>2003</v>
      </c>
      <c r="G2585" s="1076" t="str">
        <f>IFERROR(__xludf.DUMMYFUNCTION("""COMPUTED_VALUE"""),"305C")</f>
        <v>305C</v>
      </c>
      <c r="H2585" s="1076" t="str">
        <f>IFERROR(__xludf.DUMMYFUNCTION("""COMPUTED_VALUE"""),"47HP")</f>
        <v>47HP</v>
      </c>
      <c r="I2585" s="1076" t="str">
        <f>IFERROR(__xludf.DUMMYFUNCTION("""COMPUTED_VALUE"""),"CAT0305CLGYZ00507")</f>
        <v>CAT0305CLGYZ00507</v>
      </c>
      <c r="J2585" s="1076" t="str">
        <f>IFERROR(__xludf.DUMMYFUNCTION("""COMPUTED_VALUE"""),"53647")</f>
        <v>53647</v>
      </c>
      <c r="K2585" s="1076"/>
      <c r="L2585" s="1076" t="str">
        <f>IFERROR(__xludf.DUMMYFUNCTION("""COMPUTED_VALUE"""),"-")</f>
        <v>-</v>
      </c>
    </row>
    <row r="2586" customHeight="1" spans="1:12">
      <c r="A2586" s="1076" t="str">
        <f>IFERROR(__xludf.DUMMYFUNCTION("""COMPUTED_VALUE"""),"TNL-Đ03-008")</f>
        <v>TNL-Đ03-008</v>
      </c>
      <c r="B2586" s="1075" t="str">
        <f>IFERROR(__xludf.DUMMYFUNCTION("""COMPUTED_VALUE"""),"Máy đào gàu 0.3m3")</f>
        <v>Máy đào gàu 0.3m3</v>
      </c>
      <c r="C2586" s="1076" t="str">
        <f>IFERROR(__xludf.DUMMYFUNCTION("""COMPUTED_VALUE"""),"XN Chuối LP3")</f>
        <v>XN Chuối LP3</v>
      </c>
      <c r="D2586" s="1076" t="str">
        <f>IFERROR(__xludf.DUMMYFUNCTION("""COMPUTED_VALUE"""),"CATERPILLAR")</f>
        <v>CATERPILLAR</v>
      </c>
      <c r="E2586" s="1076"/>
      <c r="F2586" s="1076">
        <f>IFERROR(__xludf.DUMMYFUNCTION("""COMPUTED_VALUE"""),2004)</f>
        <v>2004</v>
      </c>
      <c r="G2586" s="1076" t="str">
        <f>IFERROR(__xludf.DUMMYFUNCTION("""COMPUTED_VALUE"""),"305C")</f>
        <v>305C</v>
      </c>
      <c r="H2586" s="1076" t="str">
        <f>IFERROR(__xludf.DUMMYFUNCTION("""COMPUTED_VALUE"""),"47HP")</f>
        <v>47HP</v>
      </c>
      <c r="I2586" s="1076" t="str">
        <f>IFERROR(__xludf.DUMMYFUNCTION("""COMPUTED_VALUE"""),"8MW01280")</f>
        <v>8MW01280</v>
      </c>
      <c r="J2586" s="1076" t="str">
        <f>IFERROR(__xludf.DUMMYFUNCTION("""COMPUTED_VALUE"""),"K4N19009")</f>
        <v>K4N19009</v>
      </c>
      <c r="K2586" s="1076"/>
      <c r="L2586" s="1076" t="str">
        <f>IFERROR(__xludf.DUMMYFUNCTION("""COMPUTED_VALUE"""),"-")</f>
        <v>-</v>
      </c>
    </row>
    <row r="2587" customHeight="1" spans="1:12">
      <c r="A2587" s="1076" t="str">
        <f>IFERROR(__xludf.DUMMYFUNCTION("""COMPUTED_VALUE"""),"TNL-Đ03-009")</f>
        <v>TNL-Đ03-009</v>
      </c>
      <c r="B2587" s="1075" t="str">
        <f>IFERROR(__xludf.DUMMYFUNCTION("""COMPUTED_VALUE"""),"Máy đào gàu 0.3m3")</f>
        <v>Máy đào gàu 0.3m3</v>
      </c>
      <c r="C2587" s="1076" t="str">
        <f>IFERROR(__xludf.DUMMYFUNCTION("""COMPUTED_VALUE"""),"XN Chuối LP3")</f>
        <v>XN Chuối LP3</v>
      </c>
      <c r="D2587" s="1076" t="str">
        <f>IFERROR(__xludf.DUMMYFUNCTION("""COMPUTED_VALUE"""),"CAT")</f>
        <v>CAT</v>
      </c>
      <c r="E2587" s="1076"/>
      <c r="F2587" s="1076">
        <f>IFERROR(__xludf.DUMMYFUNCTION("""COMPUTED_VALUE"""),2002)</f>
        <v>2002</v>
      </c>
      <c r="G2587" s="1076" t="str">
        <f>IFERROR(__xludf.DUMMYFUNCTION("""COMPUTED_VALUE"""),"304CR")</f>
        <v>304CR</v>
      </c>
      <c r="H2587" s="1076" t="str">
        <f>IFERROR(__xludf.DUMMYFUNCTION("""COMPUTED_VALUE"""),"45HP")</f>
        <v>45HP</v>
      </c>
      <c r="I2587" s="1076" t="str">
        <f>IFERROR(__xludf.DUMMYFUNCTION("""COMPUTED_VALUE"""),"CATD0304KBTN00620")</f>
        <v>CATD0304KBTN00620</v>
      </c>
      <c r="J2587" s="1076" t="str">
        <f>IFERROR(__xludf.DUMMYFUNCTION("""COMPUTED_VALUE"""),"82733")</f>
        <v>82733</v>
      </c>
      <c r="K2587" s="1076">
        <f>IFERROR(__xludf.DUMMYFUNCTION("""COMPUTED_VALUE"""),3.8)</f>
        <v>3.8</v>
      </c>
      <c r="L2587" s="1076" t="str">
        <f>IFERROR(__xludf.DUMMYFUNCTION("""COMPUTED_VALUE"""),"-")</f>
        <v>-</v>
      </c>
    </row>
    <row r="2588" customHeight="1" spans="1:12">
      <c r="A2588" s="1076" t="str">
        <f>IFERROR(__xludf.DUMMYFUNCTION("""COMPUTED_VALUE"""),"TNL-Đ03-010")</f>
        <v>TNL-Đ03-010</v>
      </c>
      <c r="B2588" s="1075" t="str">
        <f>IFERROR(__xludf.DUMMYFUNCTION("""COMPUTED_VALUE"""),"Máy đào gàu 0.3m3")</f>
        <v>Máy đào gàu 0.3m3</v>
      </c>
      <c r="C2588" s="1076" t="str">
        <f>IFERROR(__xludf.DUMMYFUNCTION("""COMPUTED_VALUE"""),"CGTC LP")</f>
        <v>CGTC LP</v>
      </c>
      <c r="D2588" s="1076" t="str">
        <f>IFERROR(__xludf.DUMMYFUNCTION("""COMPUTED_VALUE"""),"CAT")</f>
        <v>CAT</v>
      </c>
      <c r="E2588" s="1076" t="str">
        <f>IFERROR(__xludf.DUMMYFUNCTION("""COMPUTED_VALUE"""),"NHẬT BẢN")</f>
        <v>NHẬT BẢN</v>
      </c>
      <c r="F2588" s="1076">
        <f>IFERROR(__xludf.DUMMYFUNCTION("""COMPUTED_VALUE"""),2023)</f>
        <v>2023</v>
      </c>
      <c r="G2588" s="1076" t="str">
        <f>IFERROR(__xludf.DUMMYFUNCTION("""COMPUTED_VALUE"""),"303SR")</f>
        <v>303SR</v>
      </c>
      <c r="H2588" s="1076" t="str">
        <f>IFERROR(__xludf.DUMMYFUNCTION("""COMPUTED_VALUE"""),"45HP")</f>
        <v>45HP</v>
      </c>
      <c r="I2588" s="1076" t="str">
        <f>IFERROR(__xludf.DUMMYFUNCTION("""COMPUTED_VALUE"""),"CAT00303LFAD01117")</f>
        <v>CAT00303LFAD01117</v>
      </c>
      <c r="J2588" s="1076" t="str">
        <f>IFERROR(__xludf.DUMMYFUNCTION("""COMPUTED_VALUE"""),"122918L5")</f>
        <v>122918L5</v>
      </c>
      <c r="K2588" s="1076">
        <f>IFERROR(__xludf.DUMMYFUNCTION("""COMPUTED_VALUE"""),3.8)</f>
        <v>3.8</v>
      </c>
      <c r="L2588" s="1076" t="str">
        <f>IFERROR(__xludf.DUMMYFUNCTION("""COMPUTED_VALUE"""),"-")</f>
        <v>-</v>
      </c>
    </row>
    <row r="2589" customHeight="1" spans="1:12">
      <c r="A2589" s="1076" t="str">
        <f>IFERROR(__xludf.DUMMYFUNCTION("""COMPUTED_VALUE"""),"TNL-Đ03-011")</f>
        <v>TNL-Đ03-011</v>
      </c>
      <c r="B2589" s="1075" t="str">
        <f>IFERROR(__xludf.DUMMYFUNCTION("""COMPUTED_VALUE"""),"Máy đào gàu 0.3m3")</f>
        <v>Máy đào gàu 0.3m3</v>
      </c>
      <c r="C2589" s="1076" t="str">
        <f>IFERROR(__xludf.DUMMYFUNCTION("""COMPUTED_VALUE"""),"Ban điện nước")</f>
        <v>Ban điện nước</v>
      </c>
      <c r="D2589" s="1076" t="str">
        <f>IFERROR(__xludf.DUMMYFUNCTION("""COMPUTED_VALUE"""),"MITSUBISHI")</f>
        <v>MITSUBISHI</v>
      </c>
      <c r="E2589" s="1076"/>
      <c r="F2589" s="1076">
        <f>IFERROR(__xludf.DUMMYFUNCTION("""COMPUTED_VALUE"""),1998)</f>
        <v>1998</v>
      </c>
      <c r="G2589" s="1076" t="str">
        <f>IFERROR(__xludf.DUMMYFUNCTION("""COMPUTED_VALUE"""),"NM45T")</f>
        <v>NM45T</v>
      </c>
      <c r="H2589" s="1076" t="str">
        <f>IFERROR(__xludf.DUMMYFUNCTION("""COMPUTED_VALUE"""),"38HP")</f>
        <v>38HP</v>
      </c>
      <c r="I2589" s="1076" t="str">
        <f>IFERROR(__xludf.DUMMYFUNCTION("""COMPUTED_VALUE"""),"E5H00265")</f>
        <v>E5H00265</v>
      </c>
      <c r="J2589" s="1076" t="str">
        <f>IFERROR(__xludf.DUMMYFUNCTION("""COMPUTED_VALUE"""),"NIL")</f>
        <v>NIL</v>
      </c>
      <c r="K2589" s="1076">
        <f>IFERROR(__xludf.DUMMYFUNCTION("""COMPUTED_VALUE"""),4.3)</f>
        <v>4.3</v>
      </c>
      <c r="L2589" s="1076" t="str">
        <f>IFERROR(__xludf.DUMMYFUNCTION("""COMPUTED_VALUE"""),"Đang thuê")</f>
        <v>Đang thuê</v>
      </c>
    </row>
    <row r="2590" customHeight="1" spans="1:12">
      <c r="A2590" s="1076" t="str">
        <f>IFERROR(__xludf.DUMMYFUNCTION("""COMPUTED_VALUE"""),"TNL-Đ03-012")</f>
        <v>TNL-Đ03-012</v>
      </c>
      <c r="B2590" s="1075" t="str">
        <f>IFERROR(__xludf.DUMMYFUNCTION("""COMPUTED_VALUE"""),"Máy đào gàu 0.3m3")</f>
        <v>Máy đào gàu 0.3m3</v>
      </c>
      <c r="C2590" s="1076" t="str">
        <f>IFERROR(__xludf.DUMMYFUNCTION("""COMPUTED_VALUE"""),"XN Chuối LP3")</f>
        <v>XN Chuối LP3</v>
      </c>
      <c r="D2590" s="1076" t="str">
        <f>IFERROR(__xludf.DUMMYFUNCTION("""COMPUTED_VALUE"""),"CAT")</f>
        <v>CAT</v>
      </c>
      <c r="E2590" s="1076" t="str">
        <f>IFERROR(__xludf.DUMMYFUNCTION("""COMPUTED_VALUE"""),"NHẬT BẢN")</f>
        <v>NHẬT BẢN</v>
      </c>
      <c r="F2590" s="1076">
        <f>IFERROR(__xludf.DUMMYFUNCTION("""COMPUTED_VALUE"""),2008)</f>
        <v>2008</v>
      </c>
      <c r="G2590" s="1076" t="str">
        <f>IFERROR(__xludf.DUMMYFUNCTION("""COMPUTED_VALUE"""),"305CR")</f>
        <v>305CR</v>
      </c>
      <c r="H2590" s="1076" t="str">
        <f>IFERROR(__xludf.DUMMYFUNCTION("""COMPUTED_VALUE"""),"38HP")</f>
        <v>38HP</v>
      </c>
      <c r="I2590" s="1076" t="str">
        <f>IFERROR(__xludf.DUMMYFUNCTION("""COMPUTED_VALUE"""),"CAT0350EBN00555")</f>
        <v>CAT0350EBN00555</v>
      </c>
      <c r="J2590" s="1076" t="str">
        <f>IFERROR(__xludf.DUMMYFUNCTION("""COMPUTED_VALUE"""),"819133126")</f>
        <v>819133126</v>
      </c>
      <c r="K2590" s="1076">
        <f>IFERROR(__xludf.DUMMYFUNCTION("""COMPUTED_VALUE"""),4.3)</f>
        <v>4.3</v>
      </c>
      <c r="L2590" s="1076" t="str">
        <f>IFERROR(__xludf.DUMMYFUNCTION("""COMPUTED_VALUE"""),"Đang thuê")</f>
        <v>Đang thuê</v>
      </c>
    </row>
    <row r="2591" customHeight="1" spans="1:12">
      <c r="A2591" s="1076" t="str">
        <f>IFERROR(__xludf.DUMMYFUNCTION("""COMPUTED_VALUE"""),"TNL-Đ03-013")</f>
        <v>TNL-Đ03-013</v>
      </c>
      <c r="B2591" s="1075" t="str">
        <f>IFERROR(__xludf.DUMMYFUNCTION("""COMPUTED_VALUE"""),"Máy đào gàu 0.3m3")</f>
        <v>Máy đào gàu 0.3m3</v>
      </c>
      <c r="C2591" s="1076" t="str">
        <f>IFERROR(__xludf.DUMMYFUNCTION("""COMPUTED_VALUE"""),"XN Chuối LP3")</f>
        <v>XN Chuối LP3</v>
      </c>
      <c r="D2591" s="1076" t="str">
        <f>IFERROR(__xludf.DUMMYFUNCTION("""COMPUTED_VALUE"""),"CAT")</f>
        <v>CAT</v>
      </c>
      <c r="E2591" s="1076"/>
      <c r="F2591" s="1076">
        <f>IFERROR(__xludf.DUMMYFUNCTION("""COMPUTED_VALUE"""),2006)</f>
        <v>2006</v>
      </c>
      <c r="G2591" s="1076" t="str">
        <f>IFERROR(__xludf.DUMMYFUNCTION("""COMPUTED_VALUE"""),"303CR")</f>
        <v>303CR</v>
      </c>
      <c r="H2591" s="1076" t="str">
        <f>IFERROR(__xludf.DUMMYFUNCTION("""COMPUTED_VALUE"""),"24HP")</f>
        <v>24HP</v>
      </c>
      <c r="I2591" s="1076" t="str">
        <f>IFERROR(__xludf.DUMMYFUNCTION("""COMPUTED_VALUE"""),"02550")</f>
        <v>02550</v>
      </c>
      <c r="J2591" s="1076" t="str">
        <f>IFERROR(__xludf.DUMMYFUNCTION("""COMPUTED_VALUE"""),"196985B4")</f>
        <v>196985B4</v>
      </c>
      <c r="K2591" s="1076">
        <f>IFERROR(__xludf.DUMMYFUNCTION("""COMPUTED_VALUE"""),3.5)</f>
        <v>3.5</v>
      </c>
      <c r="L2591" s="1076" t="str">
        <f>IFERROR(__xludf.DUMMYFUNCTION("""COMPUTED_VALUE"""),"Đang thuê")</f>
        <v>Đang thuê</v>
      </c>
    </row>
    <row r="2592" customHeight="1" spans="1:12">
      <c r="A2592" s="1076" t="str">
        <f>IFERROR(__xludf.DUMMYFUNCTION("""COMPUTED_VALUE"""),"TNL-Đ02-001")</f>
        <v>TNL-Đ02-001</v>
      </c>
      <c r="B2592" s="1075" t="str">
        <f>IFERROR(__xludf.DUMMYFUNCTION("""COMPUTED_VALUE"""),"Máy đào gàu 0.2m3")</f>
        <v>Máy đào gàu 0.2m3</v>
      </c>
      <c r="C2592" s="1076" t="str">
        <f>IFERROR(__xludf.DUMMYFUNCTION("""COMPUTED_VALUE"""),"CGTC LP")</f>
        <v>CGTC LP</v>
      </c>
      <c r="D2592" s="1076" t="str">
        <f>IFERROR(__xludf.DUMMYFUNCTION("""COMPUTED_VALUE"""),"KOMATSU")</f>
        <v>KOMATSU</v>
      </c>
      <c r="E2592" s="1076"/>
      <c r="F2592" s="1076">
        <f>IFERROR(__xludf.DUMMYFUNCTION("""COMPUTED_VALUE"""),2008)</f>
        <v>2008</v>
      </c>
      <c r="G2592" s="1076" t="str">
        <f>IFERROR(__xludf.DUMMYFUNCTION("""COMPUTED_VALUE"""),"PC304U-5")</f>
        <v>PC304U-5</v>
      </c>
      <c r="H2592" s="1076" t="str">
        <f>IFERROR(__xludf.DUMMYFUNCTION("""COMPUTED_VALUE"""),"29HP")</f>
        <v>29HP</v>
      </c>
      <c r="I2592" s="1076" t="str">
        <f>IFERROR(__xludf.DUMMYFUNCTION("""COMPUTED_VALUE"""),"KMTPC219C04015390")</f>
        <v>KMTPC219C04015390</v>
      </c>
      <c r="J2592" s="1076" t="str">
        <f>IFERROR(__xludf.DUMMYFUNCTION("""COMPUTED_VALUE"""),"12306")</f>
        <v>12306</v>
      </c>
      <c r="K2592" s="1076">
        <f>IFERROR(__xludf.DUMMYFUNCTION("""COMPUTED_VALUE"""),4.34)</f>
        <v>4.34</v>
      </c>
      <c r="L2592" s="1076" t="str">
        <f>IFERROR(__xludf.DUMMYFUNCTION("""COMPUTED_VALUE"""),"-")</f>
        <v>-</v>
      </c>
    </row>
    <row r="2593" customHeight="1" spans="1:12">
      <c r="A2593" s="1076" t="str">
        <f>IFERROR(__xludf.DUMMYFUNCTION("""COMPUTED_VALUE"""),"TNL-Đ02-002")</f>
        <v>TNL-Đ02-002</v>
      </c>
      <c r="B2593" s="1075" t="str">
        <f>IFERROR(__xludf.DUMMYFUNCTION("""COMPUTED_VALUE"""),"Máy đào gàu 0.2m3")</f>
        <v>Máy đào gàu 0.2m3</v>
      </c>
      <c r="C2593" s="1076" t="str">
        <f>IFERROR(__xludf.DUMMYFUNCTION("""COMPUTED_VALUE"""),"CGTC LP")</f>
        <v>CGTC LP</v>
      </c>
      <c r="D2593" s="1076" t="str">
        <f>IFERROR(__xludf.DUMMYFUNCTION("""COMPUTED_VALUE"""),"KOMATSU")</f>
        <v>KOMATSU</v>
      </c>
      <c r="E2593" s="1076"/>
      <c r="F2593" s="1076">
        <f>IFERROR(__xludf.DUMMYFUNCTION("""COMPUTED_VALUE"""),2005)</f>
        <v>2005</v>
      </c>
      <c r="G2593" s="1076" t="str">
        <f>IFERROR(__xludf.DUMMYFUNCTION("""COMPUTED_VALUE"""),"PC30MR-2")</f>
        <v>PC30MR-2</v>
      </c>
      <c r="H2593" s="1076" t="str">
        <f>IFERROR(__xludf.DUMMYFUNCTION("""COMPUTED_VALUE"""),"28HP")</f>
        <v>28HP</v>
      </c>
      <c r="I2593" s="1076" t="str">
        <f>IFERROR(__xludf.DUMMYFUNCTION("""COMPUTED_VALUE"""),"KMTPC095A05023841")</f>
        <v>KMTPC095A05023841</v>
      </c>
      <c r="J2593" s="1076" t="str">
        <f>IFERROR(__xludf.DUMMYFUNCTION("""COMPUTED_VALUE"""),"7682")</f>
        <v>7682</v>
      </c>
      <c r="K2593" s="1076">
        <f>IFERROR(__xludf.DUMMYFUNCTION("""COMPUTED_VALUE"""),3.76)</f>
        <v>3.76</v>
      </c>
      <c r="L2593" s="1076" t="str">
        <f>IFERROR(__xludf.DUMMYFUNCTION("""COMPUTED_VALUE"""),"-")</f>
        <v>-</v>
      </c>
    </row>
    <row r="2594" customHeight="1" spans="1:12">
      <c r="A2594" s="1076" t="str">
        <f>IFERROR(__xludf.DUMMYFUNCTION("""COMPUTED_VALUE"""),"Máy ủi")</f>
        <v>Máy ủi</v>
      </c>
      <c r="B2594" s="1075" t="str">
        <f>IFERROR(__xludf.DUMMYFUNCTION("""COMPUTED_VALUE"""),"14")</f>
        <v>14</v>
      </c>
      <c r="C2594" s="1076"/>
      <c r="D2594" s="1076"/>
      <c r="E2594" s="1076"/>
      <c r="F2594" s="1076"/>
      <c r="G2594" s="1076"/>
      <c r="H2594" s="1076"/>
      <c r="I2594" s="1076"/>
      <c r="J2594" s="1076"/>
      <c r="K2594" s="1076"/>
      <c r="L2594" s="1076" t="str">
        <f>IFERROR(__xludf.DUMMYFUNCTION("""COMPUTED_VALUE"""),"17")</f>
        <v>17</v>
      </c>
    </row>
    <row r="2595" customHeight="1" spans="1:12">
      <c r="A2595" s="1076" t="str">
        <f>IFERROR(__xludf.DUMMYFUNCTION("""COMPUTED_VALUE"""),"TNL-MUI-001")</f>
        <v>TNL-MUI-001</v>
      </c>
      <c r="B2595" s="1075" t="str">
        <f>IFERROR(__xludf.DUMMYFUNCTION("""COMPUTED_VALUE"""),"Máy ủi D50")</f>
        <v>Máy ủi D50</v>
      </c>
      <c r="C2595" s="1076" t="str">
        <f>IFERROR(__xludf.DUMMYFUNCTION("""COMPUTED_VALUE"""),"CGTC LP")</f>
        <v>CGTC LP</v>
      </c>
      <c r="D2595" s="1076" t="str">
        <f>IFERROR(__xludf.DUMMYFUNCTION("""COMPUTED_VALUE"""),"CATERPILLAR")</f>
        <v>CATERPILLAR</v>
      </c>
      <c r="E2595" s="1076"/>
      <c r="F2595" s="1076">
        <f>IFERROR(__xludf.DUMMYFUNCTION("""COMPUTED_VALUE"""),1981)</f>
        <v>1981</v>
      </c>
      <c r="G2595" s="1076" t="str">
        <f>IFERROR(__xludf.DUMMYFUNCTION("""COMPUTED_VALUE"""),"D5")</f>
        <v>D5</v>
      </c>
      <c r="H2595" s="1076" t="str">
        <f>IFERROR(__xludf.DUMMYFUNCTION("""COMPUTED_VALUE"""),"120HP")</f>
        <v>120HP</v>
      </c>
      <c r="I2595" s="1076" t="str">
        <f>IFERROR(__xludf.DUMMYFUNCTION("""COMPUTED_VALUE"""),"32X1258")</f>
        <v>32X1258</v>
      </c>
      <c r="J2595" s="1076" t="str">
        <f>IFERROR(__xludf.DUMMYFUNCTION("""COMPUTED_VALUE"""),"10Z0029")</f>
        <v>10Z0029</v>
      </c>
      <c r="K2595" s="1076"/>
      <c r="L2595" s="1076" t="str">
        <f>IFERROR(__xludf.DUMMYFUNCTION("""COMPUTED_VALUE"""),"-")</f>
        <v>-</v>
      </c>
    </row>
    <row r="2596" customHeight="1" spans="1:12">
      <c r="A2596" s="1076" t="str">
        <f>IFERROR(__xludf.DUMMYFUNCTION("""COMPUTED_VALUE"""),"TNL-MUI-003")</f>
        <v>TNL-MUI-003</v>
      </c>
      <c r="B2596" s="1075" t="str">
        <f>IFERROR(__xludf.DUMMYFUNCTION("""COMPUTED_VALUE"""),"Máy ủi SD13")</f>
        <v>Máy ủi SD13</v>
      </c>
      <c r="C2596" s="1076" t="str">
        <f>IFERROR(__xludf.DUMMYFUNCTION("""COMPUTED_VALUE"""),"CGTC LP")</f>
        <v>CGTC LP</v>
      </c>
      <c r="D2596" s="1076" t="str">
        <f>IFERROR(__xludf.DUMMYFUNCTION("""COMPUTED_VALUE"""),"SHANTUI")</f>
        <v>SHANTUI</v>
      </c>
      <c r="E2596" s="1076"/>
      <c r="F2596" s="1076">
        <f>IFERROR(__xludf.DUMMYFUNCTION("""COMPUTED_VALUE"""),2011)</f>
        <v>2011</v>
      </c>
      <c r="G2596" s="1076" t="str">
        <f>IFERROR(__xludf.DUMMYFUNCTION("""COMPUTED_VALUE"""),"D50P")</f>
        <v>D50P</v>
      </c>
      <c r="H2596" s="1076" t="str">
        <f>IFERROR(__xludf.DUMMYFUNCTION("""COMPUTED_VALUE"""),"130HP")</f>
        <v>130HP</v>
      </c>
      <c r="I2596" s="1076" t="str">
        <f>IFERROR(__xludf.DUMMYFUNCTION("""COMPUTED_VALUE"""),"B410M77060")</f>
        <v>B410M77060</v>
      </c>
      <c r="J2596" s="1076" t="str">
        <f>IFERROR(__xludf.DUMMYFUNCTION("""COMPUTED_VALUE"""),"SD133A103947")</f>
        <v>SD133A103947</v>
      </c>
      <c r="K2596" s="1076"/>
      <c r="L2596" s="1076" t="str">
        <f>IFERROR(__xludf.DUMMYFUNCTION("""COMPUTED_VALUE"""),"-")</f>
        <v>-</v>
      </c>
    </row>
    <row r="2597" customHeight="1" spans="1:12">
      <c r="A2597" s="1076" t="str">
        <f>IFERROR(__xludf.DUMMYFUNCTION("""COMPUTED_VALUE"""),"TNL-MUI-005")</f>
        <v>TNL-MUI-005</v>
      </c>
      <c r="B2597" s="1075" t="str">
        <f>IFERROR(__xludf.DUMMYFUNCTION("""COMPUTED_VALUE"""),"Máy ủi D53P")</f>
        <v>Máy ủi D53P</v>
      </c>
      <c r="C2597" s="1076" t="str">
        <f>IFERROR(__xludf.DUMMYFUNCTION("""COMPUTED_VALUE"""),"CGTC LP")</f>
        <v>CGTC LP</v>
      </c>
      <c r="D2597" s="1076" t="str">
        <f>IFERROR(__xludf.DUMMYFUNCTION("""COMPUTED_VALUE"""),"KOMATSU")</f>
        <v>KOMATSU</v>
      </c>
      <c r="E2597" s="1076"/>
      <c r="F2597" s="1076"/>
      <c r="G2597" s="1076" t="str">
        <f>IFERROR(__xludf.DUMMYFUNCTION("""COMPUTED_VALUE"""),"D53P")</f>
        <v>D53P</v>
      </c>
      <c r="H2597" s="1076" t="str">
        <f>IFERROR(__xludf.DUMMYFUNCTION("""COMPUTED_VALUE"""),"118HP")</f>
        <v>118HP</v>
      </c>
      <c r="I2597" s="1076" t="str">
        <f>IFERROR(__xludf.DUMMYFUNCTION("""COMPUTED_VALUE"""),"80172")</f>
        <v>80172</v>
      </c>
      <c r="J2597" s="1076"/>
      <c r="K2597" s="1076"/>
      <c r="L2597" s="1076" t="str">
        <f>IFERROR(__xludf.DUMMYFUNCTION("""COMPUTED_VALUE"""),"-")</f>
        <v>-</v>
      </c>
    </row>
    <row r="2598" customHeight="1" spans="1:12">
      <c r="A2598" s="1076" t="str">
        <f>IFERROR(__xludf.DUMMYFUNCTION("""COMPUTED_VALUE"""),"TNL-MUI-006")</f>
        <v>TNL-MUI-006</v>
      </c>
      <c r="B2598" s="1075" t="str">
        <f>IFERROR(__xludf.DUMMYFUNCTION("""COMPUTED_VALUE"""),"Máy ủi D20")</f>
        <v>Máy ủi D20</v>
      </c>
      <c r="C2598" s="1076" t="str">
        <f>IFERROR(__xludf.DUMMYFUNCTION("""COMPUTED_VALUE"""),"CGTC LP")</f>
        <v>CGTC LP</v>
      </c>
      <c r="D2598" s="1076" t="str">
        <f>IFERROR(__xludf.DUMMYFUNCTION("""COMPUTED_VALUE"""),"KOMATSU")</f>
        <v>KOMATSU</v>
      </c>
      <c r="E2598" s="1076"/>
      <c r="F2598" s="1076"/>
      <c r="G2598" s="1076" t="str">
        <f>IFERROR(__xludf.DUMMYFUNCTION("""COMPUTED_VALUE"""),"D20A")</f>
        <v>D20A</v>
      </c>
      <c r="H2598" s="1076" t="str">
        <f>IFERROR(__xludf.DUMMYFUNCTION("""COMPUTED_VALUE"""),"40HP")</f>
        <v>40HP</v>
      </c>
      <c r="I2598" s="1076"/>
      <c r="J2598" s="1076" t="str">
        <f>IFERROR(__xludf.DUMMYFUNCTION("""COMPUTED_VALUE"""),"27215")</f>
        <v>27215</v>
      </c>
      <c r="K2598" s="1076"/>
      <c r="L2598" s="1076" t="str">
        <f>IFERROR(__xludf.DUMMYFUNCTION("""COMPUTED_VALUE"""),"-")</f>
        <v>-</v>
      </c>
    </row>
    <row r="2599" customHeight="1" spans="1:12">
      <c r="A2599" s="1076" t="str">
        <f>IFERROR(__xludf.DUMMYFUNCTION("""COMPUTED_VALUE"""),"TNL-MUI-007")</f>
        <v>TNL-MUI-007</v>
      </c>
      <c r="B2599" s="1075" t="str">
        <f>IFERROR(__xludf.DUMMYFUNCTION("""COMPUTED_VALUE"""),"Máy ủi D20A")</f>
        <v>Máy ủi D20A</v>
      </c>
      <c r="C2599" s="1076" t="str">
        <f>IFERROR(__xludf.DUMMYFUNCTION("""COMPUTED_VALUE"""),"XN Chuối LP3")</f>
        <v>XN Chuối LP3</v>
      </c>
      <c r="D2599" s="1076" t="str">
        <f>IFERROR(__xludf.DUMMYFUNCTION("""COMPUTED_VALUE"""),"KOMATSU")</f>
        <v>KOMATSU</v>
      </c>
      <c r="E2599" s="1076"/>
      <c r="F2599" s="1076"/>
      <c r="G2599" s="1076" t="str">
        <f>IFERROR(__xludf.DUMMYFUNCTION("""COMPUTED_VALUE"""),"D20A")</f>
        <v>D20A</v>
      </c>
      <c r="H2599" s="1076" t="str">
        <f>IFERROR(__xludf.DUMMYFUNCTION("""COMPUTED_VALUE"""),"40HP")</f>
        <v>40HP</v>
      </c>
      <c r="I2599" s="1076" t="str">
        <f>IFERROR(__xludf.DUMMYFUNCTION("""COMPUTED_VALUE"""),"72176")</f>
        <v>72176</v>
      </c>
      <c r="J2599" s="1076"/>
      <c r="K2599" s="1076"/>
      <c r="L2599" s="1076" t="str">
        <f>IFERROR(__xludf.DUMMYFUNCTION("""COMPUTED_VALUE"""),"-")</f>
        <v>-</v>
      </c>
    </row>
    <row r="2600" customHeight="1" spans="1:12">
      <c r="A2600" s="1076" t="str">
        <f>IFERROR(__xludf.DUMMYFUNCTION("""COMPUTED_VALUE"""),"TNL-MUI-008")</f>
        <v>TNL-MUI-008</v>
      </c>
      <c r="B2600" s="1075" t="str">
        <f>IFERROR(__xludf.DUMMYFUNCTION("""COMPUTED_VALUE"""),"Máy ủi D20A")</f>
        <v>Máy ủi D20A</v>
      </c>
      <c r="C2600" s="1076" t="str">
        <f>IFERROR(__xludf.DUMMYFUNCTION("""COMPUTED_VALUE"""),"XN Chuối LP3")</f>
        <v>XN Chuối LP3</v>
      </c>
      <c r="D2600" s="1076" t="str">
        <f>IFERROR(__xludf.DUMMYFUNCTION("""COMPUTED_VALUE"""),"KOMATSU")</f>
        <v>KOMATSU</v>
      </c>
      <c r="E2600" s="1076"/>
      <c r="F2600" s="1076"/>
      <c r="G2600" s="1076" t="str">
        <f>IFERROR(__xludf.DUMMYFUNCTION("""COMPUTED_VALUE"""),"D20A")</f>
        <v>D20A</v>
      </c>
      <c r="H2600" s="1076" t="str">
        <f>IFERROR(__xludf.DUMMYFUNCTION("""COMPUTED_VALUE"""),"40HP")</f>
        <v>40HP</v>
      </c>
      <c r="I2600" s="1076" t="str">
        <f>IFERROR(__xludf.DUMMYFUNCTION("""COMPUTED_VALUE"""),"72498")</f>
        <v>72498</v>
      </c>
      <c r="J2600" s="1076" t="str">
        <f>IFERROR(__xludf.DUMMYFUNCTION("""COMPUTED_VALUE"""),"128612")</f>
        <v>128612</v>
      </c>
      <c r="K2600" s="1076"/>
      <c r="L2600" s="1076" t="str">
        <f>IFERROR(__xludf.DUMMYFUNCTION("""COMPUTED_VALUE"""),"-")</f>
        <v>-</v>
      </c>
    </row>
    <row r="2601" customHeight="1" spans="1:12">
      <c r="A2601" s="1076" t="str">
        <f>IFERROR(__xludf.DUMMYFUNCTION("""COMPUTED_VALUE"""),"TNL-MUI-009")</f>
        <v>TNL-MUI-009</v>
      </c>
      <c r="B2601" s="1075" t="str">
        <f>IFERROR(__xludf.DUMMYFUNCTION("""COMPUTED_VALUE"""),"Máy ủi D20A")</f>
        <v>Máy ủi D20A</v>
      </c>
      <c r="C2601" s="1076" t="str">
        <f>IFERROR(__xludf.DUMMYFUNCTION("""COMPUTED_VALUE"""),"XN Chuối LP3")</f>
        <v>XN Chuối LP3</v>
      </c>
      <c r="D2601" s="1076" t="str">
        <f>IFERROR(__xludf.DUMMYFUNCTION("""COMPUTED_VALUE"""),"KOMATSU")</f>
        <v>KOMATSU</v>
      </c>
      <c r="E2601" s="1076"/>
      <c r="F2601" s="1076"/>
      <c r="G2601" s="1076" t="str">
        <f>IFERROR(__xludf.DUMMYFUNCTION("""COMPUTED_VALUE"""),"D20A")</f>
        <v>D20A</v>
      </c>
      <c r="H2601" s="1076" t="str">
        <f>IFERROR(__xludf.DUMMYFUNCTION("""COMPUTED_VALUE"""),"40HP")</f>
        <v>40HP</v>
      </c>
      <c r="I2601" s="1076" t="str">
        <f>IFERROR(__xludf.DUMMYFUNCTION("""COMPUTED_VALUE"""),"80413")</f>
        <v>80413</v>
      </c>
      <c r="J2601" s="1076" t="str">
        <f>IFERROR(__xludf.DUMMYFUNCTION("""COMPUTED_VALUE"""),"102235")</f>
        <v>102235</v>
      </c>
      <c r="K2601" s="1076"/>
      <c r="L2601" s="1076" t="str">
        <f>IFERROR(__xludf.DUMMYFUNCTION("""COMPUTED_VALUE"""),"-")</f>
        <v>-</v>
      </c>
    </row>
    <row r="2602" customHeight="1" spans="1:12">
      <c r="A2602" s="1076" t="str">
        <f>IFERROR(__xludf.DUMMYFUNCTION("""COMPUTED_VALUE"""),"TNL-MUI-010")</f>
        <v>TNL-MUI-010</v>
      </c>
      <c r="B2602" s="1075" t="str">
        <f>IFERROR(__xludf.DUMMYFUNCTION("""COMPUTED_VALUE"""),"Máy ủi D31")</f>
        <v>Máy ủi D31</v>
      </c>
      <c r="C2602" s="1076" t="str">
        <f>IFERROR(__xludf.DUMMYFUNCTION("""COMPUTED_VALUE"""),"CGTC LP")</f>
        <v>CGTC LP</v>
      </c>
      <c r="D2602" s="1076" t="str">
        <f>IFERROR(__xludf.DUMMYFUNCTION("""COMPUTED_VALUE"""),"KOMATSU")</f>
        <v>KOMATSU</v>
      </c>
      <c r="E2602" s="1076" t="str">
        <f>IFERROR(__xludf.DUMMYFUNCTION("""COMPUTED_VALUE"""),"NHẬT BẢN")</f>
        <v>NHẬT BẢN</v>
      </c>
      <c r="F2602" s="1076">
        <f>IFERROR(__xludf.DUMMYFUNCTION("""COMPUTED_VALUE"""),2012)</f>
        <v>2012</v>
      </c>
      <c r="G2602" s="1076" t="str">
        <f>IFERROR(__xludf.DUMMYFUNCTION("""COMPUTED_VALUE"""),"D31P-18")</f>
        <v>D31P-18</v>
      </c>
      <c r="H2602" s="1076" t="str">
        <f>IFERROR(__xludf.DUMMYFUNCTION("""COMPUTED_VALUE"""),"70HP")</f>
        <v>70HP</v>
      </c>
      <c r="I2602" s="1076" t="str">
        <f>IFERROR(__xludf.DUMMYFUNCTION("""COMPUTED_VALUE"""),"6D95L-1-82408")</f>
        <v>6D95L-1-82408</v>
      </c>
      <c r="J2602" s="1076" t="str">
        <f>IFERROR(__xludf.DUMMYFUNCTION("""COMPUTED_VALUE"""),"43388")</f>
        <v>43388</v>
      </c>
      <c r="K2602" s="1076">
        <f>IFERROR(__xludf.DUMMYFUNCTION("""COMPUTED_VALUE"""),8.5)</f>
        <v>8.5</v>
      </c>
      <c r="L2602" s="1076" t="str">
        <f>IFERROR(__xludf.DUMMYFUNCTION("""COMPUTED_VALUE"""),"-")</f>
        <v>-</v>
      </c>
    </row>
    <row r="2603" customHeight="1" spans="1:12">
      <c r="A2603" s="1076" t="str">
        <f>IFERROR(__xludf.DUMMYFUNCTION("""COMPUTED_VALUE"""),"TNL-MUI-011")</f>
        <v>TNL-MUI-011</v>
      </c>
      <c r="B2603" s="1075" t="str">
        <f>IFERROR(__xludf.DUMMYFUNCTION("""COMPUTED_VALUE"""),"Máy ủi D20")</f>
        <v>Máy ủi D20</v>
      </c>
      <c r="C2603" s="1076" t="str">
        <f>IFERROR(__xludf.DUMMYFUNCTION("""COMPUTED_VALUE"""),"XN Chuối LP3")</f>
        <v>XN Chuối LP3</v>
      </c>
      <c r="D2603" s="1076" t="str">
        <f>IFERROR(__xludf.DUMMYFUNCTION("""COMPUTED_VALUE"""),"MITSUBISHI")</f>
        <v>MITSUBISHI</v>
      </c>
      <c r="E2603" s="1076" t="str">
        <f>IFERROR(__xludf.DUMMYFUNCTION("""COMPUTED_VALUE"""),"NHẬT BẢN")</f>
        <v>NHẬT BẢN</v>
      </c>
      <c r="F2603" s="1076"/>
      <c r="G2603" s="1076" t="str">
        <f>IFERROR(__xludf.DUMMYFUNCTION("""COMPUTED_VALUE"""),"BD2G")</f>
        <v>BD2G</v>
      </c>
      <c r="H2603" s="1076" t="str">
        <f>IFERROR(__xludf.DUMMYFUNCTION("""COMPUTED_VALUE"""),"40HP")</f>
        <v>40HP</v>
      </c>
      <c r="I2603" s="1076" t="str">
        <f>IFERROR(__xludf.DUMMYFUNCTION("""COMPUTED_VALUE"""),"2B103260")</f>
        <v>2B103260</v>
      </c>
      <c r="J2603" s="1076" t="str">
        <f>IFERROR(__xludf.DUMMYFUNCTION("""COMPUTED_VALUE"""),"S4E-104727")</f>
        <v>S4E-104727</v>
      </c>
      <c r="K2603" s="1076">
        <f>IFERROR(__xludf.DUMMYFUNCTION("""COMPUTED_VALUE"""),3.5)</f>
        <v>3.5</v>
      </c>
      <c r="L2603" s="1076" t="str">
        <f>IFERROR(__xludf.DUMMYFUNCTION("""COMPUTED_VALUE"""),"-")</f>
        <v>-</v>
      </c>
    </row>
    <row r="2604" customHeight="1" spans="1:12">
      <c r="A2604" s="1076" t="str">
        <f>IFERROR(__xludf.DUMMYFUNCTION("""COMPUTED_VALUE"""),"TNL-MUI-012")</f>
        <v>TNL-MUI-012</v>
      </c>
      <c r="B2604" s="1075" t="str">
        <f>IFERROR(__xludf.DUMMYFUNCTION("""COMPUTED_VALUE"""),"Máy ủi D60")</f>
        <v>Máy ủi D60</v>
      </c>
      <c r="C2604" s="1076" t="str">
        <f>IFERROR(__xludf.DUMMYFUNCTION("""COMPUTED_VALUE"""),"XN Chuối LP3")</f>
        <v>XN Chuối LP3</v>
      </c>
      <c r="D2604" s="1076" t="str">
        <f>IFERROR(__xludf.DUMMYFUNCTION("""COMPUTED_VALUE"""),"KOMATSU")</f>
        <v>KOMATSU</v>
      </c>
      <c r="E2604" s="1076" t="str">
        <f>IFERROR(__xludf.DUMMYFUNCTION("""COMPUTED_VALUE"""),"NHẬT BẢN")</f>
        <v>NHẬT BẢN</v>
      </c>
      <c r="F2604" s="1076">
        <f>IFERROR(__xludf.DUMMYFUNCTION("""COMPUTED_VALUE"""),1993)</f>
        <v>1993</v>
      </c>
      <c r="G2604" s="1076" t="str">
        <f>IFERROR(__xludf.DUMMYFUNCTION("""COMPUTED_VALUE"""),"D60P")</f>
        <v>D60P</v>
      </c>
      <c r="H2604" s="1076" t="str">
        <f>IFERROR(__xludf.DUMMYFUNCTION("""COMPUTED_VALUE"""),"190HP")</f>
        <v>190HP</v>
      </c>
      <c r="I2604" s="1076" t="str">
        <f>IFERROR(__xludf.DUMMYFUNCTION("""COMPUTED_VALUE"""),"40118")</f>
        <v>40118</v>
      </c>
      <c r="J2604" s="1076" t="str">
        <f>IFERROR(__xludf.DUMMYFUNCTION("""COMPUTED_VALUE"""),"26178614")</f>
        <v>26178614</v>
      </c>
      <c r="K2604" s="1076">
        <f>IFERROR(__xludf.DUMMYFUNCTION("""COMPUTED_VALUE"""),14)</f>
        <v>14</v>
      </c>
      <c r="L2604" s="1076" t="str">
        <f>IFERROR(__xludf.DUMMYFUNCTION("""COMPUTED_VALUE"""),"-")</f>
        <v>-</v>
      </c>
    </row>
    <row r="2605" customHeight="1" spans="1:12">
      <c r="A2605" s="1076" t="str">
        <f>IFERROR(__xludf.DUMMYFUNCTION("""COMPUTED_VALUE"""),"TNL-MUI-013")</f>
        <v>TNL-MUI-013</v>
      </c>
      <c r="B2605" s="1075" t="str">
        <f>IFERROR(__xludf.DUMMYFUNCTION("""COMPUTED_VALUE"""),"Máy ủi D60")</f>
        <v>Máy ủi D60</v>
      </c>
      <c r="C2605" s="1076" t="str">
        <f>IFERROR(__xludf.DUMMYFUNCTION("""COMPUTED_VALUE"""),"XN Chuối LP3")</f>
        <v>XN Chuối LP3</v>
      </c>
      <c r="D2605" s="1076" t="str">
        <f>IFERROR(__xludf.DUMMYFUNCTION("""COMPUTED_VALUE"""),"KOMATSU")</f>
        <v>KOMATSU</v>
      </c>
      <c r="E2605" s="1076" t="str">
        <f>IFERROR(__xludf.DUMMYFUNCTION("""COMPUTED_VALUE"""),"NHẬT BẢN")</f>
        <v>NHẬT BẢN</v>
      </c>
      <c r="F2605" s="1076">
        <f>IFERROR(__xludf.DUMMYFUNCTION("""COMPUTED_VALUE"""),1978)</f>
        <v>1978</v>
      </c>
      <c r="G2605" s="1076" t="str">
        <f>IFERROR(__xludf.DUMMYFUNCTION("""COMPUTED_VALUE"""),"D60P-6")</f>
        <v>D60P-6</v>
      </c>
      <c r="H2605" s="1076" t="str">
        <f>IFERROR(__xludf.DUMMYFUNCTION("""COMPUTED_VALUE"""),"180HP")</f>
        <v>180HP</v>
      </c>
      <c r="I2605" s="1076" t="str">
        <f>IFERROR(__xludf.DUMMYFUNCTION("""COMPUTED_VALUE"""),"34471")</f>
        <v>34471</v>
      </c>
      <c r="J2605" s="1076" t="str">
        <f>IFERROR(__xludf.DUMMYFUNCTION("""COMPUTED_VALUE"""),"13362")</f>
        <v>13362</v>
      </c>
      <c r="K2605" s="1076">
        <f>IFERROR(__xludf.DUMMYFUNCTION("""COMPUTED_VALUE"""),16)</f>
        <v>16</v>
      </c>
      <c r="L2605" s="1076" t="str">
        <f>IFERROR(__xludf.DUMMYFUNCTION("""COMPUTED_VALUE"""),"-")</f>
        <v>-</v>
      </c>
    </row>
    <row r="2606" customHeight="1" spans="1:12">
      <c r="A2606" s="1076" t="str">
        <f>IFERROR(__xludf.DUMMYFUNCTION("""COMPUTED_VALUE"""),"TNL-MUI-014")</f>
        <v>TNL-MUI-014</v>
      </c>
      <c r="B2606" s="1075" t="str">
        <f>IFERROR(__xludf.DUMMYFUNCTION("""COMPUTED_VALUE"""),"Máy ủi D31")</f>
        <v>Máy ủi D31</v>
      </c>
      <c r="C2606" s="1076" t="str">
        <f>IFERROR(__xludf.DUMMYFUNCTION("""COMPUTED_VALUE"""),"CGTC LP")</f>
        <v>CGTC LP</v>
      </c>
      <c r="D2606" s="1076" t="str">
        <f>IFERROR(__xludf.DUMMYFUNCTION("""COMPUTED_VALUE"""),"KOMATSU")</f>
        <v>KOMATSU</v>
      </c>
      <c r="E2606" s="1076" t="str">
        <f>IFERROR(__xludf.DUMMYFUNCTION("""COMPUTED_VALUE"""),"NHẬT BẢN")</f>
        <v>NHẬT BẢN</v>
      </c>
      <c r="F2606" s="1076">
        <f>IFERROR(__xludf.DUMMYFUNCTION("""COMPUTED_VALUE"""),2007)</f>
        <v>2007</v>
      </c>
      <c r="G2606" s="1076" t="str">
        <f>IFERROR(__xludf.DUMMYFUNCTION("""COMPUTED_VALUE"""),"D31 EX-21")</f>
        <v>D31 EX-21</v>
      </c>
      <c r="H2606" s="1076" t="str">
        <f>IFERROR(__xludf.DUMMYFUNCTION("""COMPUTED_VALUE"""),"75HP")</f>
        <v>75HP</v>
      </c>
      <c r="I2606" s="1076" t="str">
        <f>IFERROR(__xludf.DUMMYFUNCTION("""COMPUTED_VALUE"""),"102E-2ESN")</f>
        <v>102E-2ESN</v>
      </c>
      <c r="J2606" s="1076" t="str">
        <f>IFERROR(__xludf.DUMMYFUNCTION("""COMPUTED_VALUE"""),"50847")</f>
        <v>50847</v>
      </c>
      <c r="K2606" s="1076">
        <f>IFERROR(__xludf.DUMMYFUNCTION("""COMPUTED_VALUE"""),11)</f>
        <v>11</v>
      </c>
      <c r="L2606" s="1076" t="str">
        <f>IFERROR(__xludf.DUMMYFUNCTION("""COMPUTED_VALUE"""),"-")</f>
        <v>-</v>
      </c>
    </row>
    <row r="2607" customHeight="1" spans="1:12">
      <c r="A2607" s="1076" t="str">
        <f>IFERROR(__xludf.DUMMYFUNCTION("""COMPUTED_VALUE"""),"TNL-MUI-015")</f>
        <v>TNL-MUI-015</v>
      </c>
      <c r="B2607" s="1075" t="str">
        <f>IFERROR(__xludf.DUMMYFUNCTION("""COMPUTED_VALUE"""),"Máy ủi D20")</f>
        <v>Máy ủi D20</v>
      </c>
      <c r="C2607" s="1076" t="str">
        <f>IFERROR(__xludf.DUMMYFUNCTION("""COMPUTED_VALUE"""),"XN Chuối LP1")</f>
        <v>XN Chuối LP1</v>
      </c>
      <c r="D2607" s="1076" t="str">
        <f>IFERROR(__xludf.DUMMYFUNCTION("""COMPUTED_VALUE"""),"KOMATSU")</f>
        <v>KOMATSU</v>
      </c>
      <c r="E2607" s="1076" t="str">
        <f>IFERROR(__xludf.DUMMYFUNCTION("""COMPUTED_VALUE"""),"NHẬT BẢN")</f>
        <v>NHẬT BẢN</v>
      </c>
      <c r="F2607" s="1076"/>
      <c r="G2607" s="1076" t="str">
        <f>IFERROR(__xludf.DUMMYFUNCTION("""COMPUTED_VALUE"""),"D20A-6")</f>
        <v>D20A-6</v>
      </c>
      <c r="H2607" s="1076" t="str">
        <f>IFERROR(__xludf.DUMMYFUNCTION("""COMPUTED_VALUE"""),"39HP")</f>
        <v>39HP</v>
      </c>
      <c r="I2607" s="1076" t="str">
        <f>IFERROR(__xludf.DUMMYFUNCTION("""COMPUTED_VALUE"""),"68076")</f>
        <v>68076</v>
      </c>
      <c r="J2607" s="1076" t="str">
        <f>IFERROR(__xludf.DUMMYFUNCTION("""COMPUTED_VALUE"""),"AD95S-W-86051")</f>
        <v>AD95S-W-86051</v>
      </c>
      <c r="K2607" s="1076">
        <f>IFERROR(__xludf.DUMMYFUNCTION("""COMPUTED_VALUE"""),6)</f>
        <v>6</v>
      </c>
      <c r="L2607" s="1076" t="str">
        <f>IFERROR(__xludf.DUMMYFUNCTION("""COMPUTED_VALUE"""),"-")</f>
        <v>-</v>
      </c>
    </row>
    <row r="2608" customHeight="1" spans="1:12">
      <c r="A2608" s="1076" t="str">
        <f>IFERROR(__xludf.DUMMYFUNCTION("""COMPUTED_VALUE"""),"TNL-MUI-016")</f>
        <v>TNL-MUI-016</v>
      </c>
      <c r="B2608" s="1075" t="str">
        <f>IFERROR(__xludf.DUMMYFUNCTION("""COMPUTED_VALUE"""),"Máy ủi D50")</f>
        <v>Máy ủi D50</v>
      </c>
      <c r="C2608" s="1076" t="str">
        <f>IFERROR(__xludf.DUMMYFUNCTION("""COMPUTED_VALUE"""),"CGTC LP")</f>
        <v>CGTC LP</v>
      </c>
      <c r="D2608" s="1076" t="str">
        <f>IFERROR(__xludf.DUMMYFUNCTION("""COMPUTED_VALUE"""),"KOMATSU")</f>
        <v>KOMATSU</v>
      </c>
      <c r="E2608" s="1076" t="str">
        <f>IFERROR(__xludf.DUMMYFUNCTION("""COMPUTED_VALUE"""),"NHẬT BẢN")</f>
        <v>NHẬT BẢN</v>
      </c>
      <c r="F2608" s="1076">
        <f>IFERROR(__xludf.DUMMYFUNCTION("""COMPUTED_VALUE"""),1980)</f>
        <v>1980</v>
      </c>
      <c r="G2608" s="1076" t="str">
        <f>IFERROR(__xludf.DUMMYFUNCTION("""COMPUTED_VALUE"""),"D50S-16")</f>
        <v>D50S-16</v>
      </c>
      <c r="H2608" s="1076" t="str">
        <f>IFERROR(__xludf.DUMMYFUNCTION("""COMPUTED_VALUE"""),"109HP")</f>
        <v>109HP</v>
      </c>
      <c r="I2608" s="1076" t="str">
        <f>IFERROR(__xludf.DUMMYFUNCTION("""COMPUTED_VALUE"""),"D50S16-65953")</f>
        <v>D50S16-65953</v>
      </c>
      <c r="J2608" s="1076" t="str">
        <f>IFERROR(__xludf.DUMMYFUNCTION("""COMPUTED_VALUE"""),"41D130-1-22297")</f>
        <v>41D130-1-22297</v>
      </c>
      <c r="K2608" s="1076">
        <f>IFERROR(__xludf.DUMMYFUNCTION("""COMPUTED_VALUE"""),11)</f>
        <v>11</v>
      </c>
      <c r="L2608" s="1076" t="str">
        <f>IFERROR(__xludf.DUMMYFUNCTION("""COMPUTED_VALUE"""),"-")</f>
        <v>-</v>
      </c>
    </row>
    <row r="2609" customHeight="1" spans="1:12">
      <c r="A2609" s="1076" t="str">
        <f>IFERROR(__xludf.DUMMYFUNCTION("""COMPUTED_VALUE"""),"TNL-MUI-017")</f>
        <v>TNL-MUI-017</v>
      </c>
      <c r="B2609" s="1075" t="str">
        <f>IFERROR(__xludf.DUMMYFUNCTION("""COMPUTED_VALUE"""),"Máy ủi D31")</f>
        <v>Máy ủi D31</v>
      </c>
      <c r="C2609" s="1076" t="str">
        <f>IFERROR(__xludf.DUMMYFUNCTION("""COMPUTED_VALUE"""),"CGTC LP")</f>
        <v>CGTC LP</v>
      </c>
      <c r="D2609" s="1076" t="str">
        <f>IFERROR(__xludf.DUMMYFUNCTION("""COMPUTED_VALUE"""),"KOMATSU")</f>
        <v>KOMATSU</v>
      </c>
      <c r="E2609" s="1076" t="str">
        <f>IFERROR(__xludf.DUMMYFUNCTION("""COMPUTED_VALUE"""),"NHẬT BẢN")</f>
        <v>NHẬT BẢN</v>
      </c>
      <c r="F2609" s="1076"/>
      <c r="G2609" s="1076" t="str">
        <f>IFERROR(__xludf.DUMMYFUNCTION("""COMPUTED_VALUE"""),"D31P-8")</f>
        <v>D31P-8</v>
      </c>
      <c r="H2609" s="1076" t="str">
        <f>IFERROR(__xludf.DUMMYFUNCTION("""COMPUTED_VALUE"""),"52HP")</f>
        <v>52HP</v>
      </c>
      <c r="I2609" s="1076" t="str">
        <f>IFERROR(__xludf.DUMMYFUNCTION("""COMPUTED_VALUE"""),"44736")</f>
        <v>44736</v>
      </c>
      <c r="J2609" s="1076" t="str">
        <f>IFERROR(__xludf.DUMMYFUNCTION("""COMPUTED_VALUE"""),"CNN")</f>
        <v>CNN</v>
      </c>
      <c r="K2609" s="1076">
        <f>IFERROR(__xludf.DUMMYFUNCTION("""COMPUTED_VALUE"""),8)</f>
        <v>8</v>
      </c>
      <c r="L2609" s="1076" t="str">
        <f>IFERROR(__xludf.DUMMYFUNCTION("""COMPUTED_VALUE"""),"-")</f>
        <v>-</v>
      </c>
    </row>
    <row r="2610" customHeight="1" spans="1:12">
      <c r="A2610" s="1076" t="str">
        <f>IFERROR(__xludf.DUMMYFUNCTION("""COMPUTED_VALUE"""),"TNL-MUI-018")</f>
        <v>TNL-MUI-018</v>
      </c>
      <c r="B2610" s="1075" t="str">
        <f>IFERROR(__xludf.DUMMYFUNCTION("""COMPUTED_VALUE"""),"Máy ủi D21")</f>
        <v>Máy ủi D21</v>
      </c>
      <c r="C2610" s="1076" t="str">
        <f>IFERROR(__xludf.DUMMYFUNCTION("""COMPUTED_VALUE"""),"CGTC LP")</f>
        <v>CGTC LP</v>
      </c>
      <c r="D2610" s="1076" t="str">
        <f>IFERROR(__xludf.DUMMYFUNCTION("""COMPUTED_VALUE"""),"KOMATSU")</f>
        <v>KOMATSU</v>
      </c>
      <c r="E2610" s="1076" t="str">
        <f>IFERROR(__xludf.DUMMYFUNCTION("""COMPUTED_VALUE"""),"NHẬT BẢN")</f>
        <v>NHẬT BẢN</v>
      </c>
      <c r="F2610" s="1076">
        <f>IFERROR(__xludf.DUMMYFUNCTION("""COMPUTED_VALUE"""),2003)</f>
        <v>2003</v>
      </c>
      <c r="G2610" s="1076" t="str">
        <f>IFERROR(__xludf.DUMMYFUNCTION("""COMPUTED_VALUE"""),"D21A-7")</f>
        <v>D21A-7</v>
      </c>
      <c r="H2610" s="1076" t="str">
        <f>IFERROR(__xludf.DUMMYFUNCTION("""COMPUTED_VALUE"""),"40HP")</f>
        <v>40HP</v>
      </c>
      <c r="I2610" s="1076" t="str">
        <f>IFERROR(__xludf.DUMMYFUNCTION("""COMPUTED_VALUE"""),"75255")</f>
        <v>75255</v>
      </c>
      <c r="J2610" s="1076" t="str">
        <f>IFERROR(__xludf.DUMMYFUNCTION("""COMPUTED_VALUE"""),"135287")</f>
        <v>135287</v>
      </c>
      <c r="K2610" s="1076">
        <f>IFERROR(__xludf.DUMMYFUNCTION("""COMPUTED_VALUE"""),5.4)</f>
        <v>5.4</v>
      </c>
      <c r="L2610" s="1076" t="str">
        <f>IFERROR(__xludf.DUMMYFUNCTION("""COMPUTED_VALUE"""),"-")</f>
        <v>-</v>
      </c>
    </row>
    <row r="2611" customHeight="1" spans="1:12">
      <c r="A2611" s="1076" t="str">
        <f>IFERROR(__xludf.DUMMYFUNCTION("""COMPUTED_VALUE"""),"TNL-MUI-019")</f>
        <v>TNL-MUI-019</v>
      </c>
      <c r="B2611" s="1075" t="str">
        <f>IFERROR(__xludf.DUMMYFUNCTION("""COMPUTED_VALUE"""),"Máy ủi D20")</f>
        <v>Máy ủi D20</v>
      </c>
      <c r="C2611" s="1076" t="str">
        <f>IFERROR(__xludf.DUMMYFUNCTION("""COMPUTED_VALUE"""),"XN Chuối LP1")</f>
        <v>XN Chuối LP1</v>
      </c>
      <c r="D2611" s="1076" t="str">
        <f>IFERROR(__xludf.DUMMYFUNCTION("""COMPUTED_VALUE"""),"KOMATSU")</f>
        <v>KOMATSU</v>
      </c>
      <c r="E2611" s="1076" t="str">
        <f>IFERROR(__xludf.DUMMYFUNCTION("""COMPUTED_VALUE"""),"NHẬT BẢN")</f>
        <v>NHẬT BẢN</v>
      </c>
      <c r="F2611" s="1076">
        <f>IFERROR(__xludf.DUMMYFUNCTION("""COMPUTED_VALUE"""),1998)</f>
        <v>1998</v>
      </c>
      <c r="G2611" s="1076" t="str">
        <f>IFERROR(__xludf.DUMMYFUNCTION("""COMPUTED_VALUE"""),"D20P-5")</f>
        <v>D20P-5</v>
      </c>
      <c r="H2611" s="1076" t="str">
        <f>IFERROR(__xludf.DUMMYFUNCTION("""COMPUTED_VALUE"""),"38HP")</f>
        <v>38HP</v>
      </c>
      <c r="I2611" s="1076" t="str">
        <f>IFERROR(__xludf.DUMMYFUNCTION("""COMPUTED_VALUE"""),"D205-5427")</f>
        <v>D205-5427</v>
      </c>
      <c r="J2611" s="1076" t="str">
        <f>IFERROR(__xludf.DUMMYFUNCTION("""COMPUTED_VALUE"""),"4D94-255152")</f>
        <v>4D94-255152</v>
      </c>
      <c r="K2611" s="1076">
        <f>IFERROR(__xludf.DUMMYFUNCTION("""COMPUTED_VALUE"""),4)</f>
        <v>4</v>
      </c>
      <c r="L2611" s="1076" t="str">
        <f>IFERROR(__xludf.DUMMYFUNCTION("""COMPUTED_VALUE"""),"-")</f>
        <v>-</v>
      </c>
    </row>
    <row r="2612" customHeight="1" spans="1:12">
      <c r="A2612" s="1076" t="str">
        <f>IFERROR(__xludf.DUMMYFUNCTION("""COMPUTED_VALUE"""),"TNL-MUI-020")</f>
        <v>TNL-MUI-020</v>
      </c>
      <c r="B2612" s="1075" t="str">
        <f>IFERROR(__xludf.DUMMYFUNCTION("""COMPUTED_VALUE"""),"Máy ủi D37")</f>
        <v>Máy ủi D37</v>
      </c>
      <c r="C2612" s="1076" t="str">
        <f>IFERROR(__xludf.DUMMYFUNCTION("""COMPUTED_VALUE"""),"CGTC LP")</f>
        <v>CGTC LP</v>
      </c>
      <c r="D2612" s="1076" t="str">
        <f>IFERROR(__xludf.DUMMYFUNCTION("""COMPUTED_VALUE"""),"KOMATSU")</f>
        <v>KOMATSU</v>
      </c>
      <c r="E2612" s="1076" t="str">
        <f>IFERROR(__xludf.DUMMYFUNCTION("""COMPUTED_VALUE"""),"NHẬT BẢN")</f>
        <v>NHẬT BẢN</v>
      </c>
      <c r="F2612" s="1076">
        <f>IFERROR(__xludf.DUMMYFUNCTION("""COMPUTED_VALUE"""),2005)</f>
        <v>2005</v>
      </c>
      <c r="G2612" s="1076" t="str">
        <f>IFERROR(__xludf.DUMMYFUNCTION("""COMPUTED_VALUE"""),"D37PX-21")</f>
        <v>D37PX-21</v>
      </c>
      <c r="H2612" s="1076" t="str">
        <f>IFERROR(__xludf.DUMMYFUNCTION("""COMPUTED_VALUE"""),"105HP")</f>
        <v>105HP</v>
      </c>
      <c r="I2612" s="1076" t="str">
        <f>IFERROR(__xludf.DUMMYFUNCTION("""COMPUTED_VALUE"""),"KMT00012L01005574")</f>
        <v>KMT00012L01005574</v>
      </c>
      <c r="J2612" s="1076" t="str">
        <f>IFERROR(__xludf.DUMMYFUNCTION("""COMPUTED_VALUE"""),"NIL")</f>
        <v>NIL</v>
      </c>
      <c r="K2612" s="1076">
        <f>IFERROR(__xludf.DUMMYFUNCTION("""COMPUTED_VALUE"""),7.5)</f>
        <v>7.5</v>
      </c>
      <c r="L2612" s="1076" t="str">
        <f>IFERROR(__xludf.DUMMYFUNCTION("""COMPUTED_VALUE"""),"-")</f>
        <v>-</v>
      </c>
    </row>
    <row r="2613" customHeight="1" spans="1:12">
      <c r="A2613" s="1076" t="str">
        <f>IFERROR(__xludf.DUMMYFUNCTION("""COMPUTED_VALUE"""),"TNL-MUI-021")</f>
        <v>TNL-MUI-021</v>
      </c>
      <c r="B2613" s="1075" t="str">
        <f>IFERROR(__xludf.DUMMYFUNCTION("""COMPUTED_VALUE"""),"Máy ủi D3C")</f>
        <v>Máy ủi D3C</v>
      </c>
      <c r="C2613" s="1076" t="str">
        <f>IFERROR(__xludf.DUMMYFUNCTION("""COMPUTED_VALUE"""),"CGTC LP")</f>
        <v>CGTC LP</v>
      </c>
      <c r="D2613" s="1076" t="str">
        <f>IFERROR(__xludf.DUMMYFUNCTION("""COMPUTED_VALUE"""),"CAT")</f>
        <v>CAT</v>
      </c>
      <c r="E2613" s="1076"/>
      <c r="F2613" s="1076">
        <f>IFERROR(__xludf.DUMMYFUNCTION("""COMPUTED_VALUE"""),1985)</f>
        <v>1985</v>
      </c>
      <c r="G2613" s="1076" t="str">
        <f>IFERROR(__xludf.DUMMYFUNCTION("""COMPUTED_VALUE"""),"D3C")</f>
        <v>D3C</v>
      </c>
      <c r="H2613" s="1076" t="str">
        <f>IFERROR(__xludf.DUMMYFUNCTION("""COMPUTED_VALUE"""),"72HP")</f>
        <v>72HP</v>
      </c>
      <c r="I2613" s="1076" t="str">
        <f>IFERROR(__xludf.DUMMYFUNCTION("""COMPUTED_VALUE"""),"7JG00124")</f>
        <v>7JG00124</v>
      </c>
      <c r="J2613" s="1076" t="str">
        <f>IFERROR(__xludf.DUMMYFUNCTION("""COMPUTED_VALUE"""),"7YJ03663")</f>
        <v>7YJ03663</v>
      </c>
      <c r="K2613" s="1076">
        <f>IFERROR(__xludf.DUMMYFUNCTION("""COMPUTED_VALUE"""),10)</f>
        <v>10</v>
      </c>
      <c r="L2613" s="1076" t="str">
        <f>IFERROR(__xludf.DUMMYFUNCTION("""COMPUTED_VALUE"""),"-")</f>
        <v>-</v>
      </c>
    </row>
    <row r="2614" customHeight="1" spans="1:12">
      <c r="A2614" s="1076" t="str">
        <f>IFERROR(__xludf.DUMMYFUNCTION("""COMPUTED_VALUE"""),"TNL-MUI-022")</f>
        <v>TNL-MUI-022</v>
      </c>
      <c r="B2614" s="1075" t="str">
        <f>IFERROR(__xludf.DUMMYFUNCTION("""COMPUTED_VALUE"""),"Máy ủi D31")</f>
        <v>Máy ủi D31</v>
      </c>
      <c r="C2614" s="1076" t="str">
        <f>IFERROR(__xludf.DUMMYFUNCTION("""COMPUTED_VALUE"""),"CGTC LP")</f>
        <v>CGTC LP</v>
      </c>
      <c r="D2614" s="1076" t="str">
        <f>IFERROR(__xludf.DUMMYFUNCTION("""COMPUTED_VALUE"""),"KOMATSU")</f>
        <v>KOMATSU</v>
      </c>
      <c r="E2614" s="1076" t="str">
        <f>IFERROR(__xludf.DUMMYFUNCTION("""COMPUTED_VALUE"""),"NHẬT BẢN")</f>
        <v>NHẬT BẢN</v>
      </c>
      <c r="F2614" s="1076">
        <f>IFERROR(__xludf.DUMMYFUNCTION("""COMPUTED_VALUE"""),1995)</f>
        <v>1995</v>
      </c>
      <c r="G2614" s="1076" t="str">
        <f>IFERROR(__xludf.DUMMYFUNCTION("""COMPUTED_VALUE"""),"D31ME-20E")</f>
        <v>D31ME-20E</v>
      </c>
      <c r="H2614" s="1076" t="str">
        <f>IFERROR(__xludf.DUMMYFUNCTION("""COMPUTED_VALUE"""),"94HP")</f>
        <v>94HP</v>
      </c>
      <c r="I2614" s="1076" t="str">
        <f>IFERROR(__xludf.DUMMYFUNCTION("""COMPUTED_VALUE"""),"D31S20E41189")</f>
        <v>D31S20E41189</v>
      </c>
      <c r="J2614" s="1076" t="str">
        <f>IFERROR(__xludf.DUMMYFUNCTION("""COMPUTED_VALUE"""),"4D10226211477")</f>
        <v>4D10226211477</v>
      </c>
      <c r="K2614" s="1076">
        <f>IFERROR(__xludf.DUMMYFUNCTION("""COMPUTED_VALUE"""),5.5)</f>
        <v>5.5</v>
      </c>
      <c r="L2614" s="1076" t="str">
        <f>IFERROR(__xludf.DUMMYFUNCTION("""COMPUTED_VALUE"""),"Đang thuê")</f>
        <v>Đang thuê</v>
      </c>
    </row>
    <row r="2615" customHeight="1" spans="1:12">
      <c r="A2615" s="1076" t="str">
        <f>IFERROR(__xludf.DUMMYFUNCTION("""COMPUTED_VALUE"""),"TNL-MUI-023")</f>
        <v>TNL-MUI-023</v>
      </c>
      <c r="B2615" s="1075" t="str">
        <f>IFERROR(__xludf.DUMMYFUNCTION("""COMPUTED_VALUE"""),"Máy ủi D20")</f>
        <v>Máy ủi D20</v>
      </c>
      <c r="C2615" s="1076" t="str">
        <f>IFERROR(__xludf.DUMMYFUNCTION("""COMPUTED_VALUE"""),"CGTC LP")</f>
        <v>CGTC LP</v>
      </c>
      <c r="D2615" s="1076" t="str">
        <f>IFERROR(__xludf.DUMMYFUNCTION("""COMPUTED_VALUE"""),"MITSUBISHI")</f>
        <v>MITSUBISHI</v>
      </c>
      <c r="E2615" s="1076"/>
      <c r="F2615" s="1076">
        <f>IFERROR(__xludf.DUMMYFUNCTION("""COMPUTED_VALUE"""),1992)</f>
        <v>1992</v>
      </c>
      <c r="G2615" s="1076" t="str">
        <f>IFERROR(__xludf.DUMMYFUNCTION("""COMPUTED_VALUE"""),"B02G")</f>
        <v>B02G</v>
      </c>
      <c r="H2615" s="1076" t="str">
        <f>IFERROR(__xludf.DUMMYFUNCTION("""COMPUTED_VALUE"""),"39HP")</f>
        <v>39HP</v>
      </c>
      <c r="I2615" s="1076" t="str">
        <f>IFERROR(__xludf.DUMMYFUNCTION("""COMPUTED_VALUE"""),"2B103200")</f>
        <v>2B103200</v>
      </c>
      <c r="J2615" s="1076" t="str">
        <f>IFERROR(__xludf.DUMMYFUNCTION("""COMPUTED_VALUE"""),"SAE404727")</f>
        <v>SAE404727</v>
      </c>
      <c r="K2615" s="1076">
        <f>IFERROR(__xludf.DUMMYFUNCTION("""COMPUTED_VALUE"""),5)</f>
        <v>5</v>
      </c>
      <c r="L2615" s="1076" t="str">
        <f>IFERROR(__xludf.DUMMYFUNCTION("""COMPUTED_VALUE"""),"Đang thuê")</f>
        <v>Đang thuê</v>
      </c>
    </row>
    <row r="2616" customHeight="1" spans="1:12">
      <c r="A2616" s="1076" t="str">
        <f>IFERROR(__xludf.DUMMYFUNCTION("""COMPUTED_VALUE"""),"TNL-MUI-024")</f>
        <v>TNL-MUI-024</v>
      </c>
      <c r="B2616" s="1075" t="str">
        <f>IFERROR(__xludf.DUMMYFUNCTION("""COMPUTED_VALUE"""),"Máy ủi D20")</f>
        <v>Máy ủi D20</v>
      </c>
      <c r="C2616" s="1076" t="str">
        <f>IFERROR(__xludf.DUMMYFUNCTION("""COMPUTED_VALUE"""),"CGTC LP")</f>
        <v>CGTC LP</v>
      </c>
      <c r="D2616" s="1076" t="str">
        <f>IFERROR(__xludf.DUMMYFUNCTION("""COMPUTED_VALUE"""),"KOMATSU")</f>
        <v>KOMATSU</v>
      </c>
      <c r="E2616" s="1076"/>
      <c r="F2616" s="1076">
        <f>IFERROR(__xludf.DUMMYFUNCTION("""COMPUTED_VALUE"""),2001)</f>
        <v>2001</v>
      </c>
      <c r="G2616" s="1076" t="str">
        <f>IFERROR(__xludf.DUMMYFUNCTION("""COMPUTED_VALUE"""),"D20A-7E")</f>
        <v>D20A-7E</v>
      </c>
      <c r="H2616" s="1076" t="str">
        <f>IFERROR(__xludf.DUMMYFUNCTION("""COMPUTED_VALUE"""),"40HP")</f>
        <v>40HP</v>
      </c>
      <c r="I2616" s="1076" t="str">
        <f>IFERROR(__xludf.DUMMYFUNCTION("""COMPUTED_VALUE"""),"80413")</f>
        <v>80413</v>
      </c>
      <c r="J2616" s="1076" t="str">
        <f>IFERROR(__xludf.DUMMYFUNCTION("""COMPUTED_VALUE"""),"2235")</f>
        <v>2235</v>
      </c>
      <c r="K2616" s="1076">
        <f>IFERROR(__xludf.DUMMYFUNCTION("""COMPUTED_VALUE"""),3.8)</f>
        <v>3.8</v>
      </c>
      <c r="L2616" s="1076" t="str">
        <f>IFERROR(__xludf.DUMMYFUNCTION("""COMPUTED_VALUE"""),"Đang thuê")</f>
        <v>Đang thuê</v>
      </c>
    </row>
    <row r="2617" customHeight="1" spans="1:12">
      <c r="A2617" s="1076" t="str">
        <f>IFERROR(__xludf.DUMMYFUNCTION("""COMPUTED_VALUE"""),"TNL-MUI-025")</f>
        <v>TNL-MUI-025</v>
      </c>
      <c r="B2617" s="1075" t="str">
        <f>IFERROR(__xludf.DUMMYFUNCTION("""COMPUTED_VALUE"""),"Máy ủi BD2G")</f>
        <v>Máy ủi BD2G</v>
      </c>
      <c r="C2617" s="1076" t="str">
        <f>IFERROR(__xludf.DUMMYFUNCTION("""COMPUTED_VALUE"""),"CGTC LP")</f>
        <v>CGTC LP</v>
      </c>
      <c r="D2617" s="1076" t="str">
        <f>IFERROR(__xludf.DUMMYFUNCTION("""COMPUTED_VALUE"""),"MITSUBISHI")</f>
        <v>MITSUBISHI</v>
      </c>
      <c r="E2617" s="1076"/>
      <c r="F2617" s="1076"/>
      <c r="G2617" s="1076" t="str">
        <f>IFERROR(__xludf.DUMMYFUNCTION("""COMPUTED_VALUE"""),"BD2G")</f>
        <v>BD2G</v>
      </c>
      <c r="H2617" s="1076" t="str">
        <f>IFERROR(__xludf.DUMMYFUNCTION("""COMPUTED_VALUE"""),"39HP")</f>
        <v>39HP</v>
      </c>
      <c r="I2617" s="1076" t="str">
        <f>IFERROR(__xludf.DUMMYFUNCTION("""COMPUTED_VALUE"""),"2B000902")</f>
        <v>2B000902</v>
      </c>
      <c r="J2617" s="1076" t="str">
        <f>IFERROR(__xludf.DUMMYFUNCTION("""COMPUTED_VALUE"""),"S4E-093258")</f>
        <v>S4E-093258</v>
      </c>
      <c r="K2617" s="1076">
        <f>IFERROR(__xludf.DUMMYFUNCTION("""COMPUTED_VALUE"""),3.8)</f>
        <v>3.8</v>
      </c>
      <c r="L2617" s="1076" t="str">
        <f>IFERROR(__xludf.DUMMYFUNCTION("""COMPUTED_VALUE"""),"-")</f>
        <v>-</v>
      </c>
    </row>
    <row r="2618" customHeight="1" spans="1:12">
      <c r="A2618" s="1076" t="str">
        <f>IFERROR(__xludf.DUMMYFUNCTION("""COMPUTED_VALUE"""),"TNL-MUI-026")</f>
        <v>TNL-MUI-026</v>
      </c>
      <c r="B2618" s="1075" t="str">
        <f>IFERROR(__xludf.DUMMYFUNCTION("""COMPUTED_VALUE"""),"Máy ủi D60")</f>
        <v>Máy ủi D60</v>
      </c>
      <c r="C2618" s="1076" t="str">
        <f>IFERROR(__xludf.DUMMYFUNCTION("""COMPUTED_VALUE"""),"CGTC LP")</f>
        <v>CGTC LP</v>
      </c>
      <c r="D2618" s="1076" t="str">
        <f>IFERROR(__xludf.DUMMYFUNCTION("""COMPUTED_VALUE"""),"KOMATSU")</f>
        <v>KOMATSU</v>
      </c>
      <c r="E2618" s="1076"/>
      <c r="F2618" s="1076"/>
      <c r="G2618" s="1076" t="str">
        <f>IFERROR(__xludf.DUMMYFUNCTION("""COMPUTED_VALUE"""),"D60P")</f>
        <v>D60P</v>
      </c>
      <c r="H2618" s="1076"/>
      <c r="I2618" s="1076" t="str">
        <f>IFERROR(__xludf.DUMMYFUNCTION("""COMPUTED_VALUE"""),"34471")</f>
        <v>34471</v>
      </c>
      <c r="J2618" s="1076" t="str">
        <f>IFERROR(__xludf.DUMMYFUNCTION("""COMPUTED_VALUE"""),"NH22001713362")</f>
        <v>NH22001713362</v>
      </c>
      <c r="K2618" s="1076">
        <f>IFERROR(__xludf.DUMMYFUNCTION("""COMPUTED_VALUE"""),11)</f>
        <v>11</v>
      </c>
      <c r="L2618" s="1076" t="str">
        <f>IFERROR(__xludf.DUMMYFUNCTION("""COMPUTED_VALUE"""),"Đang thuê")</f>
        <v>Đang thuê</v>
      </c>
    </row>
    <row r="2619" customHeight="1" spans="1:12">
      <c r="A2619" s="1076" t="str">
        <f>IFERROR(__xludf.DUMMYFUNCTION("""COMPUTED_VALUE"""),"TNL-MUI-027")</f>
        <v>TNL-MUI-027</v>
      </c>
      <c r="B2619" s="1075" t="str">
        <f>IFERROR(__xludf.DUMMYFUNCTION("""COMPUTED_VALUE"""),"Máy ủi D20")</f>
        <v>Máy ủi D20</v>
      </c>
      <c r="C2619" s="1076" t="str">
        <f>IFERROR(__xludf.DUMMYFUNCTION("""COMPUTED_VALUE"""),"XN Chuối LP3")</f>
        <v>XN Chuối LP3</v>
      </c>
      <c r="D2619" s="1076" t="str">
        <f>IFERROR(__xludf.DUMMYFUNCTION("""COMPUTED_VALUE"""),"KOMATSU")</f>
        <v>KOMATSU</v>
      </c>
      <c r="E2619" s="1076"/>
      <c r="F2619" s="1076"/>
      <c r="G2619" s="1076" t="str">
        <f>IFERROR(__xludf.DUMMYFUNCTION("""COMPUTED_VALUE"""),"D20P-6")</f>
        <v>D20P-6</v>
      </c>
      <c r="H2619" s="1076" t="str">
        <f>IFERROR(__xludf.DUMMYFUNCTION("""COMPUTED_VALUE"""),"38HP")</f>
        <v>38HP</v>
      </c>
      <c r="I2619" s="1076" t="str">
        <f>IFERROR(__xludf.DUMMYFUNCTION("""COMPUTED_VALUE"""),"63141")</f>
        <v>63141</v>
      </c>
      <c r="J2619" s="1076" t="str">
        <f>IFERROR(__xludf.DUMMYFUNCTION("""COMPUTED_VALUE"""),"NIL")</f>
        <v>NIL</v>
      </c>
      <c r="K2619" s="1076">
        <f>IFERROR(__xludf.DUMMYFUNCTION("""COMPUTED_VALUE"""),4.8)</f>
        <v>4.8</v>
      </c>
      <c r="L2619" s="1076" t="str">
        <f>IFERROR(__xludf.DUMMYFUNCTION("""COMPUTED_VALUE"""),"-")</f>
        <v>-</v>
      </c>
    </row>
    <row r="2620" customHeight="1" spans="1:12">
      <c r="A2620" s="1076" t="str">
        <f>IFERROR(__xludf.DUMMYFUNCTION("""COMPUTED_VALUE"""),"TNL-MUI-028")</f>
        <v>TNL-MUI-028</v>
      </c>
      <c r="B2620" s="1075" t="str">
        <f>IFERROR(__xludf.DUMMYFUNCTION("""COMPUTED_VALUE"""),"Máy ủi D20")</f>
        <v>Máy ủi D20</v>
      </c>
      <c r="C2620" s="1076" t="str">
        <f>IFERROR(__xludf.DUMMYFUNCTION("""COMPUTED_VALUE"""),"XN Chuối LP3")</f>
        <v>XN Chuối LP3</v>
      </c>
      <c r="D2620" s="1076" t="str">
        <f>IFERROR(__xludf.DUMMYFUNCTION("""COMPUTED_VALUE"""),"KOMATSU")</f>
        <v>KOMATSU</v>
      </c>
      <c r="E2620" s="1076"/>
      <c r="F2620" s="1076"/>
      <c r="G2620" s="1076" t="str">
        <f>IFERROR(__xludf.DUMMYFUNCTION("""COMPUTED_VALUE"""),"D20P-5")</f>
        <v>D20P-5</v>
      </c>
      <c r="H2620" s="1076" t="str">
        <f>IFERROR(__xludf.DUMMYFUNCTION("""COMPUTED_VALUE"""),"38HP")</f>
        <v>38HP</v>
      </c>
      <c r="I2620" s="1076" t="str">
        <f>IFERROR(__xludf.DUMMYFUNCTION("""COMPUTED_VALUE"""),"68504")</f>
        <v>68504</v>
      </c>
      <c r="J2620" s="1076" t="str">
        <f>IFERROR(__xludf.DUMMYFUNCTION("""COMPUTED_VALUE"""),"67309")</f>
        <v>67309</v>
      </c>
      <c r="K2620" s="1076">
        <f>IFERROR(__xludf.DUMMYFUNCTION("""COMPUTED_VALUE"""),4.8)</f>
        <v>4.8</v>
      </c>
      <c r="L2620" s="1076" t="str">
        <f>IFERROR(__xludf.DUMMYFUNCTION("""COMPUTED_VALUE"""),"-")</f>
        <v>-</v>
      </c>
    </row>
    <row r="2621" customHeight="1" spans="1:12">
      <c r="A2621" s="1076" t="str">
        <f>IFERROR(__xludf.DUMMYFUNCTION("""COMPUTED_VALUE"""),"TNL-MUI-029")</f>
        <v>TNL-MUI-029</v>
      </c>
      <c r="B2621" s="1075" t="str">
        <f>IFERROR(__xludf.DUMMYFUNCTION("""COMPUTED_VALUE"""),"Máy ủi D20")</f>
        <v>Máy ủi D20</v>
      </c>
      <c r="C2621" s="1076" t="str">
        <f>IFERROR(__xludf.DUMMYFUNCTION("""COMPUTED_VALUE"""),"CGTC LP")</f>
        <v>CGTC LP</v>
      </c>
      <c r="D2621" s="1076" t="str">
        <f>IFERROR(__xludf.DUMMYFUNCTION("""COMPUTED_VALUE"""),"KOMATSU")</f>
        <v>KOMATSU</v>
      </c>
      <c r="E2621" s="1076"/>
      <c r="F2621" s="1076">
        <f>IFERROR(__xludf.DUMMYFUNCTION("""COMPUTED_VALUE"""),1989)</f>
        <v>1989</v>
      </c>
      <c r="G2621" s="1076" t="str">
        <f>IFERROR(__xludf.DUMMYFUNCTION("""COMPUTED_VALUE"""),"D20P-6")</f>
        <v>D20P-6</v>
      </c>
      <c r="H2621" s="1076" t="str">
        <f>IFERROR(__xludf.DUMMYFUNCTION("""COMPUTED_VALUE"""),"38HP")</f>
        <v>38HP</v>
      </c>
      <c r="I2621" s="1076" t="str">
        <f>IFERROR(__xludf.DUMMYFUNCTION("""COMPUTED_VALUE"""),"66291")</f>
        <v>66291</v>
      </c>
      <c r="J2621" s="1076" t="str">
        <f>IFERROR(__xludf.DUMMYFUNCTION("""COMPUTED_VALUE"""),"4D95S-W-70384")</f>
        <v>4D95S-W-70384</v>
      </c>
      <c r="K2621" s="1076">
        <f>IFERROR(__xludf.DUMMYFUNCTION("""COMPUTED_VALUE"""),4)</f>
        <v>4</v>
      </c>
      <c r="L2621" s="1076" t="str">
        <f>IFERROR(__xludf.DUMMYFUNCTION("""COMPUTED_VALUE"""),"Đang thuê")</f>
        <v>Đang thuê</v>
      </c>
    </row>
    <row r="2622" customHeight="1" spans="1:12">
      <c r="A2622" s="1076" t="str">
        <f>IFERROR(__xludf.DUMMYFUNCTION("""COMPUTED_VALUE"""),"TNL-MUI-030")</f>
        <v>TNL-MUI-030</v>
      </c>
      <c r="B2622" s="1075" t="str">
        <f>IFERROR(__xludf.DUMMYFUNCTION("""COMPUTED_VALUE"""),"Máy ủi D20")</f>
        <v>Máy ủi D20</v>
      </c>
      <c r="C2622" s="1076" t="str">
        <f>IFERROR(__xludf.DUMMYFUNCTION("""COMPUTED_VALUE"""),"CGTC LP")</f>
        <v>CGTC LP</v>
      </c>
      <c r="D2622" s="1076" t="str">
        <f>IFERROR(__xludf.DUMMYFUNCTION("""COMPUTED_VALUE"""),"KOMATSU")</f>
        <v>KOMATSU</v>
      </c>
      <c r="E2622" s="1076"/>
      <c r="F2622" s="1076">
        <f>IFERROR(__xludf.DUMMYFUNCTION("""COMPUTED_VALUE"""),2003)</f>
        <v>2003</v>
      </c>
      <c r="G2622" s="1076" t="str">
        <f>IFERROR(__xludf.DUMMYFUNCTION("""COMPUTED_VALUE"""),"D21A")</f>
        <v>D21A</v>
      </c>
      <c r="H2622" s="1076" t="str">
        <f>IFERROR(__xludf.DUMMYFUNCTION("""COMPUTED_VALUE"""),"38HP")</f>
        <v>38HP</v>
      </c>
      <c r="I2622" s="1076" t="str">
        <f>IFERROR(__xludf.DUMMYFUNCTION("""COMPUTED_VALUE"""),"75255")</f>
        <v>75255</v>
      </c>
      <c r="J2622" s="1076" t="str">
        <f>IFERROR(__xludf.DUMMYFUNCTION("""COMPUTED_VALUE"""),"135287")</f>
        <v>135287</v>
      </c>
      <c r="K2622" s="1076">
        <f>IFERROR(__xludf.DUMMYFUNCTION("""COMPUTED_VALUE"""),4)</f>
        <v>4</v>
      </c>
      <c r="L2622" s="1076" t="str">
        <f>IFERROR(__xludf.DUMMYFUNCTION("""COMPUTED_VALUE"""),"Đang thuê")</f>
        <v>Đang thuê</v>
      </c>
    </row>
    <row r="2623" customHeight="1" spans="1:12">
      <c r="A2623" s="1076" t="str">
        <f>IFERROR(__xludf.DUMMYFUNCTION("""COMPUTED_VALUE"""),"TNL-MUI-031")</f>
        <v>TNL-MUI-031</v>
      </c>
      <c r="B2623" s="1075" t="str">
        <f>IFERROR(__xludf.DUMMYFUNCTION("""COMPUTED_VALUE"""),"Máy ủi D41")</f>
        <v>Máy ủi D41</v>
      </c>
      <c r="C2623" s="1076" t="str">
        <f>IFERROR(__xludf.DUMMYFUNCTION("""COMPUTED_VALUE"""),"CGTC LP")</f>
        <v>CGTC LP</v>
      </c>
      <c r="D2623" s="1076" t="str">
        <f>IFERROR(__xludf.DUMMYFUNCTION("""COMPUTED_VALUE"""),"KOMATSU")</f>
        <v>KOMATSU</v>
      </c>
      <c r="E2623" s="1076"/>
      <c r="F2623" s="1076">
        <f>IFERROR(__xludf.DUMMYFUNCTION("""COMPUTED_VALUE"""),2002)</f>
        <v>2002</v>
      </c>
      <c r="G2623" s="1076" t="str">
        <f>IFERROR(__xludf.DUMMYFUNCTION("""COMPUTED_VALUE"""),"D41A-3")</f>
        <v>D41A-3</v>
      </c>
      <c r="H2623" s="1076" t="str">
        <f>IFERROR(__xludf.DUMMYFUNCTION("""COMPUTED_VALUE"""),"93HP")</f>
        <v>93HP</v>
      </c>
      <c r="I2623" s="1076" t="str">
        <f>IFERROR(__xludf.DUMMYFUNCTION("""COMPUTED_VALUE"""),"7457")</f>
        <v>7457</v>
      </c>
      <c r="J2623" s="1076" t="str">
        <f>IFERROR(__xludf.DUMMYFUNCTION("""COMPUTED_VALUE"""),"78598")</f>
        <v>78598</v>
      </c>
      <c r="K2623" s="1076">
        <f>IFERROR(__xludf.DUMMYFUNCTION("""COMPUTED_VALUE"""),11)</f>
        <v>11</v>
      </c>
      <c r="L2623" s="1076" t="str">
        <f>IFERROR(__xludf.DUMMYFUNCTION("""COMPUTED_VALUE"""),"Đang thuê")</f>
        <v>Đang thuê</v>
      </c>
    </row>
    <row r="2624" customHeight="1" spans="1:12">
      <c r="A2624" s="1076" t="str">
        <f>IFERROR(__xludf.DUMMYFUNCTION("""COMPUTED_VALUE"""),"TNL-MUI-032")</f>
        <v>TNL-MUI-032</v>
      </c>
      <c r="B2624" s="1075" t="str">
        <f>IFERROR(__xludf.DUMMYFUNCTION("""COMPUTED_VALUE"""),"Máy ủi D21")</f>
        <v>Máy ủi D21</v>
      </c>
      <c r="C2624" s="1076" t="str">
        <f>IFERROR(__xludf.DUMMYFUNCTION("""COMPUTED_VALUE"""),"CGTC LP")</f>
        <v>CGTC LP</v>
      </c>
      <c r="D2624" s="1076" t="str">
        <f>IFERROR(__xludf.DUMMYFUNCTION("""COMPUTED_VALUE"""),"KOMATSU")</f>
        <v>KOMATSU</v>
      </c>
      <c r="E2624" s="1076"/>
      <c r="F2624" s="1076">
        <f>IFERROR(__xludf.DUMMYFUNCTION("""COMPUTED_VALUE"""),2001)</f>
        <v>2001</v>
      </c>
      <c r="G2624" s="1076" t="str">
        <f>IFERROR(__xludf.DUMMYFUNCTION("""COMPUTED_VALUE"""),"D21-6")</f>
        <v>D21-6</v>
      </c>
      <c r="H2624" s="1076" t="str">
        <f>IFERROR(__xludf.DUMMYFUNCTION("""COMPUTED_VALUE"""),"40HP")</f>
        <v>40HP</v>
      </c>
      <c r="I2624" s="1076" t="str">
        <f>IFERROR(__xludf.DUMMYFUNCTION("""COMPUTED_VALUE"""),"D206-71706")</f>
        <v>D206-71706</v>
      </c>
      <c r="J2624" s="1076" t="str">
        <f>IFERROR(__xludf.DUMMYFUNCTION("""COMPUTED_VALUE"""),"117491")</f>
        <v>117491</v>
      </c>
      <c r="K2624" s="1076">
        <f>IFERROR(__xludf.DUMMYFUNCTION("""COMPUTED_VALUE"""),3.8)</f>
        <v>3.8</v>
      </c>
      <c r="L2624" s="1076" t="str">
        <f>IFERROR(__xludf.DUMMYFUNCTION("""COMPUTED_VALUE"""),"-")</f>
        <v>-</v>
      </c>
    </row>
    <row r="2625" customHeight="1" spans="1:12">
      <c r="A2625" s="1076" t="str">
        <f>IFERROR(__xludf.DUMMYFUNCTION("""COMPUTED_VALUE"""),"TNL-MUI-033")</f>
        <v>TNL-MUI-033</v>
      </c>
      <c r="B2625" s="1075" t="str">
        <f>IFERROR(__xludf.DUMMYFUNCTION("""COMPUTED_VALUE"""),"Máy ủi D3")</f>
        <v>Máy ủi D3</v>
      </c>
      <c r="C2625" s="1076" t="str">
        <f>IFERROR(__xludf.DUMMYFUNCTION("""COMPUTED_VALUE"""),"CGTC LP")</f>
        <v>CGTC LP</v>
      </c>
      <c r="D2625" s="1076" t="str">
        <f>IFERROR(__xludf.DUMMYFUNCTION("""COMPUTED_VALUE"""),"KOMATSU")</f>
        <v>KOMATSU</v>
      </c>
      <c r="E2625" s="1076"/>
      <c r="F2625" s="1076">
        <f>IFERROR(__xludf.DUMMYFUNCTION("""COMPUTED_VALUE"""),1996)</f>
        <v>1996</v>
      </c>
      <c r="G2625" s="1076" t="str">
        <f>IFERROR(__xludf.DUMMYFUNCTION("""COMPUTED_VALUE"""),"D31P-8")</f>
        <v>D31P-8</v>
      </c>
      <c r="H2625" s="1076" t="str">
        <f>IFERROR(__xludf.DUMMYFUNCTION("""COMPUTED_VALUE"""),"80HP")</f>
        <v>80HP</v>
      </c>
      <c r="I2625" s="1076" t="str">
        <f>IFERROR(__xludf.DUMMYFUNCTION("""COMPUTED_VALUE"""),"44356")</f>
        <v>44356</v>
      </c>
      <c r="J2625" s="1076" t="str">
        <f>IFERROR(__xludf.DUMMYFUNCTION("""COMPUTED_VALUE"""),"100320")</f>
        <v>100320</v>
      </c>
      <c r="K2625" s="1076">
        <f>IFERROR(__xludf.DUMMYFUNCTION("""COMPUTED_VALUE"""),7)</f>
        <v>7</v>
      </c>
      <c r="L2625" s="1076" t="str">
        <f>IFERROR(__xludf.DUMMYFUNCTION("""COMPUTED_VALUE"""),"Đang thuê")</f>
        <v>Đang thuê</v>
      </c>
    </row>
    <row r="2626" customHeight="1" spans="1:12">
      <c r="A2626" s="1076" t="str">
        <f>IFERROR(__xludf.DUMMYFUNCTION("""COMPUTED_VALUE"""),"TNL-MUI-034")</f>
        <v>TNL-MUI-034</v>
      </c>
      <c r="B2626" s="1075" t="str">
        <f>IFERROR(__xludf.DUMMYFUNCTION("""COMPUTED_VALUE"""),"Máy ủi D50P")</f>
        <v>Máy ủi D50P</v>
      </c>
      <c r="C2626" s="1076" t="str">
        <f>IFERROR(__xludf.DUMMYFUNCTION("""COMPUTED_VALUE"""),"CGTC LP")</f>
        <v>CGTC LP</v>
      </c>
      <c r="D2626" s="1076" t="str">
        <f>IFERROR(__xludf.DUMMYFUNCTION("""COMPUTED_VALUE"""),"KOMATSU")</f>
        <v>KOMATSU</v>
      </c>
      <c r="E2626" s="1076"/>
      <c r="F2626" s="1076">
        <f>IFERROR(__xludf.DUMMYFUNCTION("""COMPUTED_VALUE"""),1996)</f>
        <v>1996</v>
      </c>
      <c r="G2626" s="1076" t="str">
        <f>IFERROR(__xludf.DUMMYFUNCTION("""COMPUTED_VALUE"""),"D50P-18")</f>
        <v>D50P-18</v>
      </c>
      <c r="H2626" s="1076" t="str">
        <f>IFERROR(__xludf.DUMMYFUNCTION("""COMPUTED_VALUE"""),"130HP")</f>
        <v>130HP</v>
      </c>
      <c r="I2626" s="1076" t="str">
        <f>IFERROR(__xludf.DUMMYFUNCTION("""COMPUTED_VALUE"""),"1883597")</f>
        <v>1883597</v>
      </c>
      <c r="J2626" s="1076" t="str">
        <f>IFERROR(__xludf.DUMMYFUNCTION("""COMPUTED_VALUE"""),"20497")</f>
        <v>20497</v>
      </c>
      <c r="K2626" s="1076">
        <f>IFERROR(__xludf.DUMMYFUNCTION("""COMPUTED_VALUE"""),11)</f>
        <v>11</v>
      </c>
      <c r="L2626" s="1076" t="str">
        <f>IFERROR(__xludf.DUMMYFUNCTION("""COMPUTED_VALUE"""),"Đang thuê")</f>
        <v>Đang thuê</v>
      </c>
    </row>
    <row r="2627" customHeight="1" spans="1:12">
      <c r="A2627" s="1076" t="str">
        <f>IFERROR(__xludf.DUMMYFUNCTION("""COMPUTED_VALUE"""),"TNL-MUI-035")</f>
        <v>TNL-MUI-035</v>
      </c>
      <c r="B2627" s="1075" t="str">
        <f>IFERROR(__xludf.DUMMYFUNCTION("""COMPUTED_VALUE"""),"Máy ủi D60")</f>
        <v>Máy ủi D60</v>
      </c>
      <c r="C2627" s="1076" t="str">
        <f>IFERROR(__xludf.DUMMYFUNCTION("""COMPUTED_VALUE"""),"CGTC LP")</f>
        <v>CGTC LP</v>
      </c>
      <c r="D2627" s="1076" t="str">
        <f>IFERROR(__xludf.DUMMYFUNCTION("""COMPUTED_VALUE"""),"KOMATSU")</f>
        <v>KOMATSU</v>
      </c>
      <c r="E2627" s="1076"/>
      <c r="F2627" s="1076">
        <f>IFERROR(__xludf.DUMMYFUNCTION("""COMPUTED_VALUE"""),1992)</f>
        <v>1992</v>
      </c>
      <c r="G2627" s="1076" t="str">
        <f>IFERROR(__xludf.DUMMYFUNCTION("""COMPUTED_VALUE"""),"D60S-6")</f>
        <v>D60S-6</v>
      </c>
      <c r="H2627" s="1076" t="str">
        <f>IFERROR(__xludf.DUMMYFUNCTION("""COMPUTED_VALUE"""),"190HP")</f>
        <v>190HP</v>
      </c>
      <c r="I2627" s="1076" t="str">
        <f>IFERROR(__xludf.DUMMYFUNCTION("""COMPUTED_VALUE"""),"29403")</f>
        <v>29403</v>
      </c>
      <c r="J2627" s="1076" t="str">
        <f>IFERROR(__xludf.DUMMYFUNCTION("""COMPUTED_VALUE"""),"0571N36849")</f>
        <v>0571N36849</v>
      </c>
      <c r="K2627" s="1076">
        <f>IFERROR(__xludf.DUMMYFUNCTION("""COMPUTED_VALUE"""),15)</f>
        <v>15</v>
      </c>
      <c r="L2627" s="1076" t="str">
        <f>IFERROR(__xludf.DUMMYFUNCTION("""COMPUTED_VALUE"""),"Đang thuê")</f>
        <v>Đang thuê</v>
      </c>
    </row>
    <row r="2628" customHeight="1" spans="1:12">
      <c r="A2628" s="1076" t="str">
        <f>IFERROR(__xludf.DUMMYFUNCTION("""COMPUTED_VALUE"""),"TNL-MUI-036")</f>
        <v>TNL-MUI-036</v>
      </c>
      <c r="B2628" s="1075" t="str">
        <f>IFERROR(__xludf.DUMMYFUNCTION("""COMPUTED_VALUE"""),"Máy ủi D41")</f>
        <v>Máy ủi D41</v>
      </c>
      <c r="C2628" s="1076" t="str">
        <f>IFERROR(__xludf.DUMMYFUNCTION("""COMPUTED_VALUE"""),"CGTC LP")</f>
        <v>CGTC LP</v>
      </c>
      <c r="D2628" s="1076" t="str">
        <f>IFERROR(__xludf.DUMMYFUNCTION("""COMPUTED_VALUE"""),"KOMATSU")</f>
        <v>KOMATSU</v>
      </c>
      <c r="E2628" s="1076"/>
      <c r="F2628" s="1076">
        <f>IFERROR(__xludf.DUMMYFUNCTION("""COMPUTED_VALUE"""),2000)</f>
        <v>2000</v>
      </c>
      <c r="G2628" s="1076" t="str">
        <f>IFERROR(__xludf.DUMMYFUNCTION("""COMPUTED_VALUE"""),"D41P-6")</f>
        <v>D41P-6</v>
      </c>
      <c r="H2628" s="1076" t="str">
        <f>IFERROR(__xludf.DUMMYFUNCTION("""COMPUTED_VALUE"""),"110HP")</f>
        <v>110HP</v>
      </c>
      <c r="I2628" s="1076" t="str">
        <f>IFERROR(__xludf.DUMMYFUNCTION("""COMPUTED_VALUE"""),"B20954")</f>
        <v>B20954</v>
      </c>
      <c r="J2628" s="1076" t="str">
        <f>IFERROR(__xludf.DUMMYFUNCTION("""COMPUTED_VALUE"""),"NIL")</f>
        <v>NIL</v>
      </c>
      <c r="K2628" s="1076">
        <f>IFERROR(__xludf.DUMMYFUNCTION("""COMPUTED_VALUE"""),10)</f>
        <v>10</v>
      </c>
      <c r="L2628" s="1076" t="str">
        <f>IFERROR(__xludf.DUMMYFUNCTION("""COMPUTED_VALUE"""),"Đang thuê")</f>
        <v>Đang thuê</v>
      </c>
    </row>
    <row r="2629" customHeight="1" spans="1:12">
      <c r="A2629" s="1076" t="str">
        <f>IFERROR(__xludf.DUMMYFUNCTION("""COMPUTED_VALUE"""),"TNL-MUI-037")</f>
        <v>TNL-MUI-037</v>
      </c>
      <c r="B2629" s="1075" t="str">
        <f>IFERROR(__xludf.DUMMYFUNCTION("""COMPUTED_VALUE"""),"Máy ủi D21")</f>
        <v>Máy ủi D21</v>
      </c>
      <c r="C2629" s="1076" t="str">
        <f>IFERROR(__xludf.DUMMYFUNCTION("""COMPUTED_VALUE"""),"CGTC LP")</f>
        <v>CGTC LP</v>
      </c>
      <c r="D2629" s="1076" t="str">
        <f>IFERROR(__xludf.DUMMYFUNCTION("""COMPUTED_VALUE"""),"KOMATSU")</f>
        <v>KOMATSU</v>
      </c>
      <c r="E2629" s="1076"/>
      <c r="F2629" s="1076">
        <f>IFERROR(__xludf.DUMMYFUNCTION("""COMPUTED_VALUE"""),1986)</f>
        <v>1986</v>
      </c>
      <c r="G2629" s="1076" t="str">
        <f>IFERROR(__xludf.DUMMYFUNCTION("""COMPUTED_VALUE"""),"D21A-5")</f>
        <v>D21A-5</v>
      </c>
      <c r="H2629" s="1076" t="str">
        <f>IFERROR(__xludf.DUMMYFUNCTION("""COMPUTED_VALUE"""),"39HP")</f>
        <v>39HP</v>
      </c>
      <c r="I2629" s="1076" t="str">
        <f>IFERROR(__xludf.DUMMYFUNCTION("""COMPUTED_VALUE"""),"68620")</f>
        <v>68620</v>
      </c>
      <c r="J2629" s="1076" t="str">
        <f>IFERROR(__xludf.DUMMYFUNCTION("""COMPUTED_VALUE"""),"67592")</f>
        <v>67592</v>
      </c>
      <c r="K2629" s="1076">
        <f>IFERROR(__xludf.DUMMYFUNCTION("""COMPUTED_VALUE"""),4.5)</f>
        <v>4.5</v>
      </c>
      <c r="L2629" s="1076" t="str">
        <f>IFERROR(__xludf.DUMMYFUNCTION("""COMPUTED_VALUE"""),"Đang thuê")</f>
        <v>Đang thuê</v>
      </c>
    </row>
    <row r="2630" customHeight="1" spans="1:12">
      <c r="A2630" s="1076" t="str">
        <f>IFERROR(__xludf.DUMMYFUNCTION("""COMPUTED_VALUE"""),"TNL-MUI-038")</f>
        <v>TNL-MUI-038</v>
      </c>
      <c r="B2630" s="1075" t="str">
        <f>IFERROR(__xludf.DUMMYFUNCTION("""COMPUTED_VALUE"""),"Máy ủi D3")</f>
        <v>Máy ủi D3</v>
      </c>
      <c r="C2630" s="1076" t="str">
        <f>IFERROR(__xludf.DUMMYFUNCTION("""COMPUTED_VALUE"""),"CGTC LP")</f>
        <v>CGTC LP</v>
      </c>
      <c r="D2630" s="1076" t="str">
        <f>IFERROR(__xludf.DUMMYFUNCTION("""COMPUTED_VALUE"""),"CAT")</f>
        <v>CAT</v>
      </c>
      <c r="E2630" s="1076"/>
      <c r="F2630" s="1076">
        <f>IFERROR(__xludf.DUMMYFUNCTION("""COMPUTED_VALUE"""),1993)</f>
        <v>1993</v>
      </c>
      <c r="G2630" s="1076" t="str">
        <f>IFERROR(__xludf.DUMMYFUNCTION("""COMPUTED_VALUE"""),"D3C")</f>
        <v>D3C</v>
      </c>
      <c r="H2630" s="1076" t="str">
        <f>IFERROR(__xludf.DUMMYFUNCTION("""COMPUTED_VALUE"""),"75HP")</f>
        <v>75HP</v>
      </c>
      <c r="I2630" s="1076" t="str">
        <f>IFERROR(__xludf.DUMMYFUNCTION("""COMPUTED_VALUE"""),"JPJ01181")</f>
        <v>JPJ01181</v>
      </c>
      <c r="J2630" s="1076" t="str">
        <f>IFERROR(__xludf.DUMMYFUNCTION("""COMPUTED_VALUE"""),"45V80923")</f>
        <v>45V80923</v>
      </c>
      <c r="K2630" s="1076">
        <f>IFERROR(__xludf.DUMMYFUNCTION("""COMPUTED_VALUE"""),7)</f>
        <v>7</v>
      </c>
      <c r="L2630" s="1076" t="str">
        <f>IFERROR(__xludf.DUMMYFUNCTION("""COMPUTED_VALUE"""),"Đang thuê")</f>
        <v>Đang thuê</v>
      </c>
    </row>
    <row r="2631" customHeight="1" spans="1:12">
      <c r="A2631" s="1076" t="str">
        <f>IFERROR(__xludf.DUMMYFUNCTION("""COMPUTED_VALUE"""),"TNL-MUI-039")</f>
        <v>TNL-MUI-039</v>
      </c>
      <c r="B2631" s="1075" t="str">
        <f>IFERROR(__xludf.DUMMYFUNCTION("""COMPUTED_VALUE"""),"Máy ủi D20")</f>
        <v>Máy ủi D20</v>
      </c>
      <c r="C2631" s="1076" t="str">
        <f>IFERROR(__xludf.DUMMYFUNCTION("""COMPUTED_VALUE"""),"CGTC LP")</f>
        <v>CGTC LP</v>
      </c>
      <c r="D2631" s="1076" t="str">
        <f>IFERROR(__xludf.DUMMYFUNCTION("""COMPUTED_VALUE"""),"KOMATSU")</f>
        <v>KOMATSU</v>
      </c>
      <c r="E2631" s="1076"/>
      <c r="F2631" s="1076">
        <f>IFERROR(__xludf.DUMMYFUNCTION("""COMPUTED_VALUE"""),1991)</f>
        <v>1991</v>
      </c>
      <c r="G2631" s="1076" t="str">
        <f>IFERROR(__xludf.DUMMYFUNCTION("""COMPUTED_VALUE"""),"D20A-6")</f>
        <v>D20A-6</v>
      </c>
      <c r="H2631" s="1076" t="str">
        <f>IFERROR(__xludf.DUMMYFUNCTION("""COMPUTED_VALUE"""),"39HP")</f>
        <v>39HP</v>
      </c>
      <c r="I2631" s="1076" t="str">
        <f>IFERROR(__xludf.DUMMYFUNCTION("""COMPUTED_VALUE"""),"72305")</f>
        <v>72305</v>
      </c>
      <c r="J2631" s="1076" t="str">
        <f>IFERROR(__xludf.DUMMYFUNCTION("""COMPUTED_VALUE"""),"40955-W-124743")</f>
        <v>40955-W-124743</v>
      </c>
      <c r="K2631" s="1076">
        <f>IFERROR(__xludf.DUMMYFUNCTION("""COMPUTED_VALUE"""),4)</f>
        <v>4</v>
      </c>
      <c r="L2631" s="1076" t="str">
        <f>IFERROR(__xludf.DUMMYFUNCTION("""COMPUTED_VALUE"""),"Đang thuê")</f>
        <v>Đang thuê</v>
      </c>
    </row>
    <row r="2632" customHeight="1" spans="1:12">
      <c r="A2632" s="1076" t="str">
        <f>IFERROR(__xludf.DUMMYFUNCTION("""COMPUTED_VALUE"""),"TNL-MUI-040")</f>
        <v>TNL-MUI-040</v>
      </c>
      <c r="B2632" s="1075" t="str">
        <f>IFERROR(__xludf.DUMMYFUNCTION("""COMPUTED_VALUE"""),"Máy ủi D31")</f>
        <v>Máy ủi D31</v>
      </c>
      <c r="C2632" s="1076" t="str">
        <f>IFERROR(__xludf.DUMMYFUNCTION("""COMPUTED_VALUE"""),"XN Chuối LP1")</f>
        <v>XN Chuối LP1</v>
      </c>
      <c r="D2632" s="1076" t="str">
        <f>IFERROR(__xludf.DUMMYFUNCTION("""COMPUTED_VALUE"""),"KOMATSU")</f>
        <v>KOMATSU</v>
      </c>
      <c r="E2632" s="1076"/>
      <c r="F2632" s="1076">
        <f>IFERROR(__xludf.DUMMYFUNCTION("""COMPUTED_VALUE"""),2007)</f>
        <v>2007</v>
      </c>
      <c r="G2632" s="1076"/>
      <c r="H2632" s="1076" t="str">
        <f>IFERROR(__xludf.DUMMYFUNCTION("""COMPUTED_VALUE"""),"75HP")</f>
        <v>75HP</v>
      </c>
      <c r="I2632" s="1076"/>
      <c r="J2632" s="1076"/>
      <c r="K2632" s="1076">
        <f>IFERROR(__xludf.DUMMYFUNCTION("""COMPUTED_VALUE"""),6)</f>
        <v>6</v>
      </c>
      <c r="L2632" s="1076" t="str">
        <f>IFERROR(__xludf.DUMMYFUNCTION("""COMPUTED_VALUE"""),"-")</f>
        <v>-</v>
      </c>
    </row>
    <row r="2633" customHeight="1" spans="1:12">
      <c r="A2633" s="1076" t="str">
        <f>IFERROR(__xludf.DUMMYFUNCTION("""COMPUTED_VALUE"""),"TNL-MUI-041")</f>
        <v>TNL-MUI-041</v>
      </c>
      <c r="B2633" s="1075" t="str">
        <f>IFERROR(__xludf.DUMMYFUNCTION("""COMPUTED_VALUE"""),"Máy ủi D65")</f>
        <v>Máy ủi D65</v>
      </c>
      <c r="C2633" s="1076" t="str">
        <f>IFERROR(__xludf.DUMMYFUNCTION("""COMPUTED_VALUE"""),"CGTC LP")</f>
        <v>CGTC LP</v>
      </c>
      <c r="D2633" s="1076" t="str">
        <f>IFERROR(__xludf.DUMMYFUNCTION("""COMPUTED_VALUE"""),"KOMATSU")</f>
        <v>KOMATSU</v>
      </c>
      <c r="E2633" s="1076"/>
      <c r="F2633" s="1076">
        <f>IFERROR(__xludf.DUMMYFUNCTION("""COMPUTED_VALUE"""),1998)</f>
        <v>1998</v>
      </c>
      <c r="G2633" s="1076" t="str">
        <f>IFERROR(__xludf.DUMMYFUNCTION("""COMPUTED_VALUE"""),"D65P-6")</f>
        <v>D65P-6</v>
      </c>
      <c r="H2633" s="1076" t="str">
        <f>IFERROR(__xludf.DUMMYFUNCTION("""COMPUTED_VALUE"""),"155HP")</f>
        <v>155HP</v>
      </c>
      <c r="I2633" s="1076" t="str">
        <f>IFERROR(__xludf.DUMMYFUNCTION("""COMPUTED_VALUE"""),"32237")</f>
        <v>32237</v>
      </c>
      <c r="J2633" s="1076" t="str">
        <f>IFERROR(__xludf.DUMMYFUNCTION("""COMPUTED_VALUE"""),"NIL")</f>
        <v>NIL</v>
      </c>
      <c r="K2633" s="1076">
        <f>IFERROR(__xludf.DUMMYFUNCTION("""COMPUTED_VALUE"""),15)</f>
        <v>15</v>
      </c>
      <c r="L2633" s="1076" t="str">
        <f>IFERROR(__xludf.DUMMYFUNCTION("""COMPUTED_VALUE"""),"Đang thuê")</f>
        <v>Đang thuê</v>
      </c>
    </row>
    <row r="2634" customHeight="1" spans="1:12">
      <c r="A2634" s="1076" t="str">
        <f>IFERROR(__xludf.DUMMYFUNCTION("""COMPUTED_VALUE"""),"TNL-MUI-042")</f>
        <v>TNL-MUI-042</v>
      </c>
      <c r="B2634" s="1075" t="str">
        <f>IFERROR(__xludf.DUMMYFUNCTION("""COMPUTED_VALUE"""),"Máy ủi D68")</f>
        <v>Máy ủi D68</v>
      </c>
      <c r="C2634" s="1076" t="str">
        <f>IFERROR(__xludf.DUMMYFUNCTION("""COMPUTED_VALUE"""),"CGTC LP")</f>
        <v>CGTC LP</v>
      </c>
      <c r="D2634" s="1076" t="str">
        <f>IFERROR(__xludf.DUMMYFUNCTION("""COMPUTED_VALUE"""),"KOMATSU")</f>
        <v>KOMATSU</v>
      </c>
      <c r="E2634" s="1076"/>
      <c r="F2634" s="1076">
        <f>IFERROR(__xludf.DUMMYFUNCTION("""COMPUTED_VALUE"""),1995)</f>
        <v>1995</v>
      </c>
      <c r="G2634" s="1076" t="str">
        <f>IFERROR(__xludf.DUMMYFUNCTION("""COMPUTED_VALUE"""),"D68E-1")</f>
        <v>D68E-1</v>
      </c>
      <c r="H2634" s="1076" t="str">
        <f>IFERROR(__xludf.DUMMYFUNCTION("""COMPUTED_VALUE"""),"150HP")</f>
        <v>150HP</v>
      </c>
      <c r="I2634" s="1076" t="str">
        <f>IFERROR(__xludf.DUMMYFUNCTION("""COMPUTED_VALUE"""),"1083")</f>
        <v>1083</v>
      </c>
      <c r="J2634" s="1076" t="str">
        <f>IFERROR(__xludf.DUMMYFUNCTION("""COMPUTED_VALUE"""),"6D125-1-22431")</f>
        <v>6D125-1-22431</v>
      </c>
      <c r="K2634" s="1076">
        <f>IFERROR(__xludf.DUMMYFUNCTION("""COMPUTED_VALUE"""),15)</f>
        <v>15</v>
      </c>
      <c r="L2634" s="1076" t="str">
        <f>IFERROR(__xludf.DUMMYFUNCTION("""COMPUTED_VALUE"""),"Đang thuê")</f>
        <v>Đang thuê</v>
      </c>
    </row>
    <row r="2635" customHeight="1" spans="1:12">
      <c r="A2635" s="1076" t="str">
        <f>IFERROR(__xludf.DUMMYFUNCTION("""COMPUTED_VALUE"""),"TNL-MUI-043")</f>
        <v>TNL-MUI-043</v>
      </c>
      <c r="B2635" s="1075" t="str">
        <f>IFERROR(__xludf.DUMMYFUNCTION("""COMPUTED_VALUE"""),"Máy ủi SEM816D (D6)")</f>
        <v>Máy ủi SEM816D (D6)</v>
      </c>
      <c r="C2635" s="1076" t="str">
        <f>IFERROR(__xludf.DUMMYFUNCTION("""COMPUTED_VALUE"""),"CGTC LP")</f>
        <v>CGTC LP</v>
      </c>
      <c r="D2635" s="1076" t="str">
        <f>IFERROR(__xludf.DUMMYFUNCTION("""COMPUTED_VALUE"""),"SEM")</f>
        <v>SEM</v>
      </c>
      <c r="E2635" s="1076"/>
      <c r="F2635" s="1076">
        <f>IFERROR(__xludf.DUMMYFUNCTION("""COMPUTED_VALUE"""),2023)</f>
        <v>2023</v>
      </c>
      <c r="G2635" s="1076" t="str">
        <f>IFERROR(__xludf.DUMMYFUNCTION("""COMPUTED_VALUE"""),"SEM816D")</f>
        <v>SEM816D</v>
      </c>
      <c r="H2635" s="1076" t="str">
        <f>IFERROR(__xludf.DUMMYFUNCTION("""COMPUTED_VALUE"""),"178HP")</f>
        <v>178HP</v>
      </c>
      <c r="I2635" s="1076" t="str">
        <f>IFERROR(__xludf.DUMMYFUNCTION("""COMPUTED_VALUE"""),"SEM00816VS8N03096")</f>
        <v>SEM00816VS8N03096</v>
      </c>
      <c r="J2635" s="1076" t="str">
        <f>IFERROR(__xludf.DUMMYFUNCTION("""COMPUTED_VALUE"""),"1223C003241")</f>
        <v>1223C003241</v>
      </c>
      <c r="K2635" s="1076">
        <f>IFERROR(__xludf.DUMMYFUNCTION("""COMPUTED_VALUE"""),15)</f>
        <v>15</v>
      </c>
      <c r="L2635" s="1076" t="str">
        <f>IFERROR(__xludf.DUMMYFUNCTION("""COMPUTED_VALUE"""),"Đang thuê")</f>
        <v>Đang thuê</v>
      </c>
    </row>
    <row r="2636" customHeight="1" spans="1:12">
      <c r="A2636" s="1076" t="str">
        <f>IFERROR(__xludf.DUMMYFUNCTION("""COMPUTED_VALUE"""),"TNL-MUI-044")</f>
        <v>TNL-MUI-044</v>
      </c>
      <c r="B2636" s="1075" t="str">
        <f>IFERROR(__xludf.DUMMYFUNCTION("""COMPUTED_VALUE"""),"Máy ủi D20")</f>
        <v>Máy ủi D20</v>
      </c>
      <c r="C2636" s="1076" t="str">
        <f>IFERROR(__xludf.DUMMYFUNCTION("""COMPUTED_VALUE"""),"XN Chuối LP1")</f>
        <v>XN Chuối LP1</v>
      </c>
      <c r="D2636" s="1076" t="str">
        <f>IFERROR(__xludf.DUMMYFUNCTION("""COMPUTED_VALUE"""),"KOMATSU")</f>
        <v>KOMATSU</v>
      </c>
      <c r="E2636" s="1076"/>
      <c r="F2636" s="1076">
        <f>IFERROR(__xludf.DUMMYFUNCTION("""COMPUTED_VALUE"""),1990)</f>
        <v>1990</v>
      </c>
      <c r="G2636" s="1076" t="str">
        <f>IFERROR(__xludf.DUMMYFUNCTION("""COMPUTED_VALUE"""),"D20A-6")</f>
        <v>D20A-6</v>
      </c>
      <c r="H2636" s="1076" t="str">
        <f>IFERROR(__xludf.DUMMYFUNCTION("""COMPUTED_VALUE"""),"40HP")</f>
        <v>40HP</v>
      </c>
      <c r="I2636" s="1076" t="str">
        <f>IFERROR(__xludf.DUMMYFUNCTION("""COMPUTED_VALUE"""),"68098")</f>
        <v>68098</v>
      </c>
      <c r="J2636" s="1076" t="str">
        <f>IFERROR(__xludf.DUMMYFUNCTION("""COMPUTED_VALUE"""),"4D95S-W-86086")</f>
        <v>4D95S-W-86086</v>
      </c>
      <c r="K2636" s="1076">
        <f>IFERROR(__xludf.DUMMYFUNCTION("""COMPUTED_VALUE"""),3.7)</f>
        <v>3.7</v>
      </c>
      <c r="L2636" s="1076" t="str">
        <f>IFERROR(__xludf.DUMMYFUNCTION("""COMPUTED_VALUE"""),"-")</f>
        <v>-</v>
      </c>
    </row>
    <row r="2637" customHeight="1" spans="1:12">
      <c r="A2637" s="1076" t="str">
        <f>IFERROR(__xludf.DUMMYFUNCTION("""COMPUTED_VALUE"""),"Xe lu")</f>
        <v>Xe lu</v>
      </c>
      <c r="B2637" s="1075" t="str">
        <f>IFERROR(__xludf.DUMMYFUNCTION("""COMPUTED_VALUE"""),"11")</f>
        <v>11</v>
      </c>
      <c r="C2637" s="1076"/>
      <c r="D2637" s="1076"/>
      <c r="E2637" s="1076"/>
      <c r="F2637" s="1076"/>
      <c r="G2637" s="1076"/>
      <c r="H2637" s="1076"/>
      <c r="I2637" s="1076"/>
      <c r="J2637" s="1076"/>
      <c r="K2637" s="1076"/>
      <c r="L2637" s="1076" t="str">
        <f>IFERROR(__xludf.DUMMYFUNCTION("""COMPUTED_VALUE"""),"1")</f>
        <v>1</v>
      </c>
    </row>
    <row r="2638" customHeight="1" spans="1:12">
      <c r="A2638" s="1076" t="str">
        <f>IFERROR(__xludf.DUMMYFUNCTION("""COMPUTED_VALUE"""),"TNL-XLU-001")</f>
        <v>TNL-XLU-001</v>
      </c>
      <c r="B2638" s="1075" t="str">
        <f>IFERROR(__xludf.DUMMYFUNCTION("""COMPUTED_VALUE"""),"Xe Lu 12 tấn")</f>
        <v>Xe Lu 12 tấn</v>
      </c>
      <c r="C2638" s="1076" t="str">
        <f>IFERROR(__xludf.DUMMYFUNCTION("""COMPUTED_VALUE"""),"CGTC LP")</f>
        <v>CGTC LP</v>
      </c>
      <c r="D2638" s="1076" t="str">
        <f>IFERROR(__xludf.DUMMYFUNCTION("""COMPUTED_VALUE"""),"SAKAI")</f>
        <v>SAKAI</v>
      </c>
      <c r="E2638" s="1076"/>
      <c r="F2638" s="1076">
        <f>IFERROR(__xludf.DUMMYFUNCTION("""COMPUTED_VALUE"""),2001)</f>
        <v>2001</v>
      </c>
      <c r="G2638" s="1076" t="str">
        <f>IFERROR(__xludf.DUMMYFUNCTION("""COMPUTED_VALUE"""),"SV512D-H")</f>
        <v>SV512D-H</v>
      </c>
      <c r="H2638" s="1076" t="str">
        <f>IFERROR(__xludf.DUMMYFUNCTION("""COMPUTED_VALUE"""),"120HP")</f>
        <v>120HP</v>
      </c>
      <c r="I2638" s="1076" t="str">
        <f>IFERROR(__xludf.DUMMYFUNCTION("""COMPUTED_VALUE"""),"30294")</f>
        <v>30294</v>
      </c>
      <c r="J2638" s="1076" t="str">
        <f>IFERROR(__xludf.DUMMYFUNCTION("""COMPUTED_VALUE"""),"951821")</f>
        <v>951821</v>
      </c>
      <c r="K2638" s="1076"/>
      <c r="L2638" s="1076" t="str">
        <f>IFERROR(__xludf.DUMMYFUNCTION("""COMPUTED_VALUE"""),"-")</f>
        <v>-</v>
      </c>
    </row>
    <row r="2639" customHeight="1" spans="1:12">
      <c r="A2639" s="1076" t="str">
        <f>IFERROR(__xludf.DUMMYFUNCTION("""COMPUTED_VALUE"""),"TNL-XLU-002")</f>
        <v>TNL-XLU-002</v>
      </c>
      <c r="B2639" s="1075" t="str">
        <f>IFERROR(__xludf.DUMMYFUNCTION("""COMPUTED_VALUE"""),"Xe lu rung 18 tấn")</f>
        <v>Xe lu rung 18 tấn</v>
      </c>
      <c r="C2639" s="1076" t="str">
        <f>IFERROR(__xludf.DUMMYFUNCTION("""COMPUTED_VALUE"""),"CGTC LP")</f>
        <v>CGTC LP</v>
      </c>
      <c r="D2639" s="1076" t="str">
        <f>IFERROR(__xludf.DUMMYFUNCTION("""COMPUTED_VALUE"""),"XCMG")</f>
        <v>XCMG</v>
      </c>
      <c r="E2639" s="1076" t="str">
        <f>IFERROR(__xludf.DUMMYFUNCTION("""COMPUTED_VALUE"""),"TRUNG QUỐC")</f>
        <v>TRUNG QUỐC</v>
      </c>
      <c r="F2639" s="1076">
        <f>IFERROR(__xludf.DUMMYFUNCTION("""COMPUTED_VALUE"""),2009)</f>
        <v>2009</v>
      </c>
      <c r="G2639" s="1076" t="str">
        <f>IFERROR(__xludf.DUMMYFUNCTION("""COMPUTED_VALUE"""),"XCMG18T")</f>
        <v>XCMG18T</v>
      </c>
      <c r="H2639" s="1076" t="str">
        <f>IFERROR(__xludf.DUMMYFUNCTION("""COMPUTED_VALUE"""),"160HP")</f>
        <v>160HP</v>
      </c>
      <c r="I2639" s="1076" t="str">
        <f>IFERROR(__xludf.DUMMYFUNCTION("""COMPUTED_VALUE"""),"B410M78359")</f>
        <v>B410M78359</v>
      </c>
      <c r="J2639" s="1076" t="str">
        <f>IFERROR(__xludf.DUMMYFUNCTION("""COMPUTED_VALUE"""),"11012016")</f>
        <v>11012016</v>
      </c>
      <c r="K2639" s="1076">
        <f>IFERROR(__xludf.DUMMYFUNCTION("""COMPUTED_VALUE"""),9.6)</f>
        <v>9.6</v>
      </c>
      <c r="L2639" s="1076" t="str">
        <f>IFERROR(__xludf.DUMMYFUNCTION("""COMPUTED_VALUE"""),"-")</f>
        <v>-</v>
      </c>
    </row>
    <row r="2640" customHeight="1" spans="1:12">
      <c r="A2640" s="1076" t="str">
        <f>IFERROR(__xludf.DUMMYFUNCTION("""COMPUTED_VALUE"""),"TNL-XLU-003")</f>
        <v>TNL-XLU-003</v>
      </c>
      <c r="B2640" s="1075" t="str">
        <f>IFERROR(__xludf.DUMMYFUNCTION("""COMPUTED_VALUE"""),"Xe lu rung 22 tấn")</f>
        <v>Xe lu rung 22 tấn</v>
      </c>
      <c r="C2640" s="1076" t="str">
        <f>IFERROR(__xludf.DUMMYFUNCTION("""COMPUTED_VALUE"""),"CGTC LP")</f>
        <v>CGTC LP</v>
      </c>
      <c r="D2640" s="1076" t="str">
        <f>IFERROR(__xludf.DUMMYFUNCTION("""COMPUTED_VALUE"""),"LIUGONG")</f>
        <v>LIUGONG</v>
      </c>
      <c r="E2640" s="1076" t="str">
        <f>IFERROR(__xludf.DUMMYFUNCTION("""COMPUTED_VALUE"""),"TRUNG QUỐC")</f>
        <v>TRUNG QUỐC</v>
      </c>
      <c r="F2640" s="1076">
        <f>IFERROR(__xludf.DUMMYFUNCTION("""COMPUTED_VALUE"""),2014)</f>
        <v>2014</v>
      </c>
      <c r="G2640" s="1076" t="str">
        <f>IFERROR(__xludf.DUMMYFUNCTION("""COMPUTED_VALUE"""),"CLG 6112")</f>
        <v>CLG 6112</v>
      </c>
      <c r="H2640" s="1076" t="str">
        <f>IFERROR(__xludf.DUMMYFUNCTION("""COMPUTED_VALUE"""),"160HP")</f>
        <v>160HP</v>
      </c>
      <c r="I2640" s="1076" t="str">
        <f>IFERROR(__xludf.DUMMYFUNCTION("""COMPUTED_VALUE"""),"30D1139914915")</f>
        <v>30D1139914915</v>
      </c>
      <c r="J2640" s="1076" t="str">
        <f>IFERROR(__xludf.DUMMYFUNCTION("""COMPUTED_VALUE"""),"D9146016646")</f>
        <v>D9146016646</v>
      </c>
      <c r="K2640" s="1076">
        <f>IFERROR(__xludf.DUMMYFUNCTION("""COMPUTED_VALUE"""),14)</f>
        <v>14</v>
      </c>
      <c r="L2640" s="1076" t="str">
        <f>IFERROR(__xludf.DUMMYFUNCTION("""COMPUTED_VALUE"""),"-")</f>
        <v>-</v>
      </c>
    </row>
    <row r="2641" customHeight="1" spans="1:12">
      <c r="A2641" s="1076" t="str">
        <f>IFERROR(__xludf.DUMMYFUNCTION("""COMPUTED_VALUE"""),"TNL-XLU-004")</f>
        <v>TNL-XLU-004</v>
      </c>
      <c r="B2641" s="1075" t="str">
        <f>IFERROR(__xludf.DUMMYFUNCTION("""COMPUTED_VALUE"""),"Xe lu rung 12 tấn")</f>
        <v>Xe lu rung 12 tấn</v>
      </c>
      <c r="C2641" s="1076" t="str">
        <f>IFERROR(__xludf.DUMMYFUNCTION("""COMPUTED_VALUE"""),"CGTC LP")</f>
        <v>CGTC LP</v>
      </c>
      <c r="D2641" s="1076" t="str">
        <f>IFERROR(__xludf.DUMMYFUNCTION("""COMPUTED_VALUE"""),"CAT")</f>
        <v>CAT</v>
      </c>
      <c r="E2641" s="1076" t="str">
        <f>IFERROR(__xludf.DUMMYFUNCTION("""COMPUTED_VALUE"""),"NHẬT BẢN")</f>
        <v>NHẬT BẢN</v>
      </c>
      <c r="F2641" s="1076">
        <f>IFERROR(__xludf.DUMMYFUNCTION("""COMPUTED_VALUE"""),2023)</f>
        <v>2023</v>
      </c>
      <c r="G2641" s="1076" t="str">
        <f>IFERROR(__xludf.DUMMYFUNCTION("""COMPUTED_VALUE"""),"SEM512")</f>
        <v>SEM512</v>
      </c>
      <c r="H2641" s="1076" t="str">
        <f>IFERROR(__xludf.DUMMYFUNCTION("""COMPUTED_VALUE"""),"130HP")</f>
        <v>130HP</v>
      </c>
      <c r="I2641" s="1076" t="str">
        <f>IFERROR(__xludf.DUMMYFUNCTION("""COMPUTED_VALUE"""),"SEM00512LGJW00233")</f>
        <v>SEM00512LGJW00233</v>
      </c>
      <c r="J2641" s="1076" t="str">
        <f>IFERROR(__xludf.DUMMYFUNCTION("""COMPUTED_VALUE"""),"4P21F003172")</f>
        <v>4P21F003172</v>
      </c>
      <c r="K2641" s="1076">
        <f>IFERROR(__xludf.DUMMYFUNCTION("""COMPUTED_VALUE"""),7)</f>
        <v>7</v>
      </c>
      <c r="L2641" s="1076" t="str">
        <f>IFERROR(__xludf.DUMMYFUNCTION("""COMPUTED_VALUE"""),"-")</f>
        <v>-</v>
      </c>
    </row>
    <row r="2642" customHeight="1" spans="1:12">
      <c r="A2642" s="1076" t="str">
        <f>IFERROR(__xludf.DUMMYFUNCTION("""COMPUTED_VALUE"""),"TNL-XLU-005")</f>
        <v>TNL-XLU-005</v>
      </c>
      <c r="B2642" s="1075" t="str">
        <f>IFERROR(__xludf.DUMMYFUNCTION("""COMPUTED_VALUE"""),"Xe lu 20 tấn")</f>
        <v>Xe lu 20 tấn</v>
      </c>
      <c r="C2642" s="1076" t="str">
        <f>IFERROR(__xludf.DUMMYFUNCTION("""COMPUTED_VALUE"""),"CGTC LP")</f>
        <v>CGTC LP</v>
      </c>
      <c r="D2642" s="1076" t="str">
        <f>IFERROR(__xludf.DUMMYFUNCTION("""COMPUTED_VALUE"""),"MATADOR ROAD")</f>
        <v>MATADOR ROAD</v>
      </c>
      <c r="E2642" s="1076"/>
      <c r="F2642" s="1076">
        <f>IFERROR(__xludf.DUMMYFUNCTION("""COMPUTED_VALUE"""),2023)</f>
        <v>2023</v>
      </c>
      <c r="G2642" s="1076" t="str">
        <f>IFERROR(__xludf.DUMMYFUNCTION("""COMPUTED_VALUE"""),"MC22M-PRO")</f>
        <v>MC22M-PRO</v>
      </c>
      <c r="H2642" s="1076" t="str">
        <f>IFERROR(__xludf.DUMMYFUNCTION("""COMPUTED_VALUE"""),"187HP")</f>
        <v>187HP</v>
      </c>
      <c r="I2642" s="1076" t="str">
        <f>IFERROR(__xludf.DUMMYFUNCTION("""COMPUTED_VALUE"""),"CHSA22MCPC004837")</f>
        <v>CHSA22MCPC004837</v>
      </c>
      <c r="J2642" s="1076" t="str">
        <f>IFERROR(__xludf.DUMMYFUNCTION("""COMPUTED_VALUE"""),"6P22A005419")</f>
        <v>6P22A005419</v>
      </c>
      <c r="K2642" s="1076">
        <f>IFERROR(__xludf.DUMMYFUNCTION("""COMPUTED_VALUE"""),13.5)</f>
        <v>13.5</v>
      </c>
      <c r="L2642" s="1076" t="str">
        <f>IFERROR(__xludf.DUMMYFUNCTION("""COMPUTED_VALUE"""),"-")</f>
        <v>-</v>
      </c>
    </row>
    <row r="2643" customHeight="1" spans="1:12">
      <c r="A2643" s="1076" t="str">
        <f>IFERROR(__xludf.DUMMYFUNCTION("""COMPUTED_VALUE"""),"TNL-XLU-006")</f>
        <v>TNL-XLU-006</v>
      </c>
      <c r="B2643" s="1075" t="str">
        <f>IFERROR(__xludf.DUMMYFUNCTION("""COMPUTED_VALUE"""),"Xe lu 12 tấn")</f>
        <v>Xe lu 12 tấn</v>
      </c>
      <c r="C2643" s="1076" t="str">
        <f>IFERROR(__xludf.DUMMYFUNCTION("""COMPUTED_VALUE"""),"CGTC LP")</f>
        <v>CGTC LP</v>
      </c>
      <c r="D2643" s="1076" t="str">
        <f>IFERROR(__xludf.DUMMYFUNCTION("""COMPUTED_VALUE"""),"CAT")</f>
        <v>CAT</v>
      </c>
      <c r="E2643" s="1076" t="str">
        <f>IFERROR(__xludf.DUMMYFUNCTION("""COMPUTED_VALUE"""),"NHẬT BẢN")</f>
        <v>NHẬT BẢN</v>
      </c>
      <c r="F2643" s="1076">
        <f>IFERROR(__xludf.DUMMYFUNCTION("""COMPUTED_VALUE"""),2020)</f>
        <v>2020</v>
      </c>
      <c r="G2643" s="1076" t="str">
        <f>IFERROR(__xludf.DUMMYFUNCTION("""COMPUTED_VALUE"""),"CS11GC")</f>
        <v>CS11GC</v>
      </c>
      <c r="H2643" s="1076" t="str">
        <f>IFERROR(__xludf.DUMMYFUNCTION("""COMPUTED_VALUE"""),"111HP")</f>
        <v>111HP</v>
      </c>
      <c r="I2643" s="1076" t="str">
        <f>IFERROR(__xludf.DUMMYFUNCTION("""COMPUTED_VALUE"""),"CAT0CS11ERK800545")</f>
        <v>CAT0CS11ERK800545</v>
      </c>
      <c r="J2643" s="1076" t="str">
        <f>IFERROR(__xludf.DUMMYFUNCTION("""COMPUTED_VALUE"""),"MFX10346")</f>
        <v>MFX10346</v>
      </c>
      <c r="K2643" s="1076">
        <f>IFERROR(__xludf.DUMMYFUNCTION("""COMPUTED_VALUE"""),9.5)</f>
        <v>9.5</v>
      </c>
      <c r="L2643" s="1076" t="str">
        <f>IFERROR(__xludf.DUMMYFUNCTION("""COMPUTED_VALUE"""),"-")</f>
        <v>-</v>
      </c>
    </row>
    <row r="2644" customHeight="1" spans="1:12">
      <c r="A2644" s="1076" t="str">
        <f>IFERROR(__xludf.DUMMYFUNCTION("""COMPUTED_VALUE"""),"TNL-XLU-007")</f>
        <v>TNL-XLU-007</v>
      </c>
      <c r="B2644" s="1075" t="str">
        <f>IFERROR(__xludf.DUMMYFUNCTION("""COMPUTED_VALUE"""),"Xe lu 11 tấn")</f>
        <v>Xe lu 11 tấn</v>
      </c>
      <c r="C2644" s="1076" t="str">
        <f>IFERROR(__xludf.DUMMYFUNCTION("""COMPUTED_VALUE"""),"CGTC LP")</f>
        <v>CGTC LP</v>
      </c>
      <c r="D2644" s="1076" t="str">
        <f>IFERROR(__xludf.DUMMYFUNCTION("""COMPUTED_VALUE"""),"HAMM")</f>
        <v>HAMM</v>
      </c>
      <c r="E2644" s="1076"/>
      <c r="F2644" s="1076">
        <f>IFERROR(__xludf.DUMMYFUNCTION("""COMPUTED_VALUE"""),2020)</f>
        <v>2020</v>
      </c>
      <c r="G2644" s="1076" t="str">
        <f>IFERROR(__xludf.DUMMYFUNCTION("""COMPUTED_VALUE"""),"311D")</f>
        <v>311D</v>
      </c>
      <c r="H2644" s="1076" t="str">
        <f>IFERROR(__xludf.DUMMYFUNCTION("""COMPUTED_VALUE"""),"99HP")</f>
        <v>99HP</v>
      </c>
      <c r="I2644" s="1076" t="str">
        <f>IFERROR(__xludf.DUMMYFUNCTION("""COMPUTED_VALUE"""),"WHB0H216LH0002188")</f>
        <v>WHB0H216LH0002188</v>
      </c>
      <c r="J2644" s="1076" t="str">
        <f>IFERROR(__xludf.DUMMYFUNCTION("""COMPUTED_VALUE"""),"71C84378811")</f>
        <v>71C84378811</v>
      </c>
      <c r="K2644" s="1076">
        <f>IFERROR(__xludf.DUMMYFUNCTION("""COMPUTED_VALUE"""),8.5)</f>
        <v>8.5</v>
      </c>
      <c r="L2644" s="1076" t="str">
        <f>IFERROR(__xludf.DUMMYFUNCTION("""COMPUTED_VALUE"""),"-")</f>
        <v>-</v>
      </c>
    </row>
    <row r="2645" customHeight="1" spans="1:12">
      <c r="A2645" s="1076" t="str">
        <f>IFERROR(__xludf.DUMMYFUNCTION("""COMPUTED_VALUE"""),"TNL-XLU-008")</f>
        <v>TNL-XLU-008</v>
      </c>
      <c r="B2645" s="1075" t="str">
        <f>IFERROR(__xludf.DUMMYFUNCTION("""COMPUTED_VALUE"""),"Xe lu 14 tấn")</f>
        <v>Xe lu 14 tấn</v>
      </c>
      <c r="C2645" s="1076" t="str">
        <f>IFERROR(__xludf.DUMMYFUNCTION("""COMPUTED_VALUE"""),"CGTC LP")</f>
        <v>CGTC LP</v>
      </c>
      <c r="D2645" s="1076" t="str">
        <f>IFERROR(__xludf.DUMMYFUNCTION("""COMPUTED_VALUE"""),"LIUGONG")</f>
        <v>LIUGONG</v>
      </c>
      <c r="E2645" s="1076"/>
      <c r="F2645" s="1076">
        <f>IFERROR(__xludf.DUMMYFUNCTION("""COMPUTED_VALUE"""),2017)</f>
        <v>2017</v>
      </c>
      <c r="G2645" s="1076" t="str">
        <f>IFERROR(__xludf.DUMMYFUNCTION("""COMPUTED_VALUE"""),"CLG6114")</f>
        <v>CLG6114</v>
      </c>
      <c r="H2645" s="1076" t="str">
        <f>IFERROR(__xludf.DUMMYFUNCTION("""COMPUTED_VALUE"""),"128HP")</f>
        <v>128HP</v>
      </c>
      <c r="I2645" s="1076" t="str">
        <f>IFERROR(__xludf.DUMMYFUNCTION("""COMPUTED_VALUE"""),"30D2164170002")</f>
        <v>30D2164170002</v>
      </c>
      <c r="J2645" s="1076" t="str">
        <f>IFERROR(__xludf.DUMMYFUNCTION("""COMPUTED_VALUE"""),"D916C012327")</f>
        <v>D916C012327</v>
      </c>
      <c r="K2645" s="1076">
        <f>IFERROR(__xludf.DUMMYFUNCTION("""COMPUTED_VALUE"""),10)</f>
        <v>10</v>
      </c>
      <c r="L2645" s="1076" t="str">
        <f>IFERROR(__xludf.DUMMYFUNCTION("""COMPUTED_VALUE"""),"-")</f>
        <v>-</v>
      </c>
    </row>
    <row r="2646" customHeight="1" spans="1:12">
      <c r="A2646" s="1076" t="str">
        <f>IFERROR(__xludf.DUMMYFUNCTION("""COMPUTED_VALUE"""),"TNL-XLU-009")</f>
        <v>TNL-XLU-009</v>
      </c>
      <c r="B2646" s="1075" t="str">
        <f>IFERROR(__xludf.DUMMYFUNCTION("""COMPUTED_VALUE"""),"Xe lu rung 11 tấn")</f>
        <v>Xe lu rung 11 tấn</v>
      </c>
      <c r="C2646" s="1076" t="str">
        <f>IFERROR(__xludf.DUMMYFUNCTION("""COMPUTED_VALUE"""),"CGTC LP")</f>
        <v>CGTC LP</v>
      </c>
      <c r="D2646" s="1076" t="str">
        <f>IFERROR(__xludf.DUMMYFUNCTION("""COMPUTED_VALUE"""),"CAT")</f>
        <v>CAT</v>
      </c>
      <c r="E2646" s="1076"/>
      <c r="F2646" s="1076">
        <f>IFERROR(__xludf.DUMMYFUNCTION("""COMPUTED_VALUE"""),2022)</f>
        <v>2022</v>
      </c>
      <c r="G2646" s="1076" t="str">
        <f>IFERROR(__xludf.DUMMYFUNCTION("""COMPUTED_VALUE"""),"CSLLGC")</f>
        <v>CSLLGC</v>
      </c>
      <c r="H2646" s="1076" t="str">
        <f>IFERROR(__xludf.DUMMYFUNCTION("""COMPUTED_VALUE"""),"112HP")</f>
        <v>112HP</v>
      </c>
      <c r="I2646" s="1076" t="str">
        <f>IFERROR(__xludf.DUMMYFUNCTION("""COMPUTED_VALUE"""),"CAT0CS11CRK801512")</f>
        <v>CAT0CS11CRK801512</v>
      </c>
      <c r="J2646" s="1076" t="str">
        <f>IFERROR(__xludf.DUMMYFUNCTION("""COMPUTED_VALUE"""),"NFX12741")</f>
        <v>NFX12741</v>
      </c>
      <c r="K2646" s="1076">
        <f>IFERROR(__xludf.DUMMYFUNCTION("""COMPUTED_VALUE"""),10.57)</f>
        <v>10.57</v>
      </c>
      <c r="L2646" s="1076" t="str">
        <f>IFERROR(__xludf.DUMMYFUNCTION("""COMPUTED_VALUE"""),"-")</f>
        <v>-</v>
      </c>
    </row>
    <row r="2647" customHeight="1" spans="1:12">
      <c r="A2647" s="1076" t="str">
        <f>IFERROR(__xludf.DUMMYFUNCTION("""COMPUTED_VALUE"""),"TNL-XLU-010")</f>
        <v>TNL-XLU-010</v>
      </c>
      <c r="B2647" s="1075" t="str">
        <f>IFERROR(__xludf.DUMMYFUNCTION("""COMPUTED_VALUE"""),"Xe lu rung 11 tấn")</f>
        <v>Xe lu rung 11 tấn</v>
      </c>
      <c r="C2647" s="1076" t="str">
        <f>IFERROR(__xludf.DUMMYFUNCTION("""COMPUTED_VALUE"""),"CGTC LP")</f>
        <v>CGTC LP</v>
      </c>
      <c r="D2647" s="1076" t="str">
        <f>IFERROR(__xludf.DUMMYFUNCTION("""COMPUTED_VALUE"""),"AMMANN")</f>
        <v>AMMANN</v>
      </c>
      <c r="E2647" s="1076"/>
      <c r="F2647" s="1076">
        <f>IFERROR(__xludf.DUMMYFUNCTION("""COMPUTED_VALUE"""),2019)</f>
        <v>2019</v>
      </c>
      <c r="G2647" s="1076" t="str">
        <f>IFERROR(__xludf.DUMMYFUNCTION("""COMPUTED_VALUE"""),"ARS122B33")</f>
        <v>ARS122B33</v>
      </c>
      <c r="H2647" s="1076" t="str">
        <f>IFERROR(__xludf.DUMMYFUNCTION("""COMPUTED_VALUE"""),"100HP")</f>
        <v>100HP</v>
      </c>
      <c r="I2647" s="1076" t="str">
        <f>IFERROR(__xludf.DUMMYFUNCTION("""COMPUTED_VALUE"""),"19030064")</f>
        <v>19030064</v>
      </c>
      <c r="J2647" s="1076" t="str">
        <f>IFERROR(__xludf.DUMMYFUNCTION("""COMPUTED_VALUE"""),"91C84870547")</f>
        <v>91C84870547</v>
      </c>
      <c r="K2647" s="1076">
        <f>IFERROR(__xludf.DUMMYFUNCTION("""COMPUTED_VALUE"""),7.5)</f>
        <v>7.5</v>
      </c>
      <c r="L2647" s="1076" t="str">
        <f>IFERROR(__xludf.DUMMYFUNCTION("""COMPUTED_VALUE"""),"-")</f>
        <v>-</v>
      </c>
    </row>
    <row r="2648" customHeight="1" spans="1:12">
      <c r="A2648" s="1076" t="str">
        <f>IFERROR(__xludf.DUMMYFUNCTION("""COMPUTED_VALUE"""),"TNL-XLU-011")</f>
        <v>TNL-XLU-011</v>
      </c>
      <c r="B2648" s="1075" t="str">
        <f>IFERROR(__xludf.DUMMYFUNCTION("""COMPUTED_VALUE"""),"Xe lu rung 15 tấn")</f>
        <v>Xe lu rung 15 tấn</v>
      </c>
      <c r="C2648" s="1076" t="str">
        <f>IFERROR(__xludf.DUMMYFUNCTION("""COMPUTED_VALUE"""),"CGTC LP")</f>
        <v>CGTC LP</v>
      </c>
      <c r="D2648" s="1076" t="str">
        <f>IFERROR(__xludf.DUMMYFUNCTION("""COMPUTED_VALUE"""),"LIGONG")</f>
        <v>LIGONG</v>
      </c>
      <c r="E2648" s="1076"/>
      <c r="F2648" s="1076">
        <f>IFERROR(__xludf.DUMMYFUNCTION("""COMPUTED_VALUE"""),2020)</f>
        <v>2020</v>
      </c>
      <c r="G2648" s="1076" t="str">
        <f>IFERROR(__xludf.DUMMYFUNCTION("""COMPUTED_VALUE"""),"CLG6114E")</f>
        <v>CLG6114E</v>
      </c>
      <c r="H2648" s="1076" t="str">
        <f>IFERROR(__xludf.DUMMYFUNCTION("""COMPUTED_VALUE"""),"138HP")</f>
        <v>138HP</v>
      </c>
      <c r="I2648" s="1076" t="str">
        <f>IFERROR(__xludf.DUMMYFUNCTION("""COMPUTED_VALUE"""),"30D3616190994")</f>
        <v>30D3616190994</v>
      </c>
      <c r="J2648" s="1076" t="str">
        <f>IFERROR(__xludf.DUMMYFUNCTION("""COMPUTED_VALUE"""),"19B016053")</f>
        <v>19B016053</v>
      </c>
      <c r="K2648" s="1076">
        <f>IFERROR(__xludf.DUMMYFUNCTION("""COMPUTED_VALUE"""),9)</f>
        <v>9</v>
      </c>
      <c r="L2648" s="1076" t="str">
        <f>IFERROR(__xludf.DUMMYFUNCTION("""COMPUTED_VALUE"""),"Đang thuê")</f>
        <v>Đang thuê</v>
      </c>
    </row>
    <row r="2649" customHeight="1" spans="1:12">
      <c r="A2649" s="1076" t="str">
        <f>IFERROR(__xludf.DUMMYFUNCTION("""COMPUTED_VALUE"""),"Xe ben")</f>
        <v>Xe ben</v>
      </c>
      <c r="B2649" s="1075" t="str">
        <f>IFERROR(__xludf.DUMMYFUNCTION("""COMPUTED_VALUE"""),"64")</f>
        <v>64</v>
      </c>
      <c r="C2649" s="1076"/>
      <c r="D2649" s="1076"/>
      <c r="E2649" s="1076"/>
      <c r="F2649" s="1076"/>
      <c r="G2649" s="1076"/>
      <c r="H2649" s="1076"/>
      <c r="I2649" s="1076"/>
      <c r="J2649" s="1076"/>
      <c r="K2649" s="1076"/>
      <c r="L2649" s="1076" t="str">
        <f>IFERROR(__xludf.DUMMYFUNCTION("""COMPUTED_VALUE"""),"15")</f>
        <v>15</v>
      </c>
    </row>
    <row r="2650" customHeight="1" spans="1:12">
      <c r="A2650" s="1076" t="str">
        <f>IFERROR(__xludf.DUMMYFUNCTION("""COMPUTED_VALUE"""),"TNL-XTA-001")</f>
        <v>TNL-XTA-001</v>
      </c>
      <c r="B2650" s="1075" t="str">
        <f>IFERROR(__xludf.DUMMYFUNCTION("""COMPUTED_VALUE"""),"Xe ben 15 tấn")</f>
        <v>Xe ben 15 tấn</v>
      </c>
      <c r="C2650" s="1076" t="str">
        <f>IFERROR(__xludf.DUMMYFUNCTION("""COMPUTED_VALUE"""),"CGTC LP")</f>
        <v>CGTC LP</v>
      </c>
      <c r="D2650" s="1076" t="str">
        <f>IFERROR(__xludf.DUMMYFUNCTION("""COMPUTED_VALUE"""),"HYUNDAI")</f>
        <v>HYUNDAI</v>
      </c>
      <c r="E2650" s="1076"/>
      <c r="F2650" s="1076"/>
      <c r="G2650" s="1076"/>
      <c r="H2650" s="1076" t="str">
        <f>IFERROR(__xludf.DUMMYFUNCTION("""COMPUTED_VALUE"""),"320HP")</f>
        <v>320HP</v>
      </c>
      <c r="I2650" s="1076" t="str">
        <f>IFERROR(__xludf.DUMMYFUNCTION("""COMPUTED_VALUE"""),"0")</f>
        <v>0</v>
      </c>
      <c r="J2650" s="1076" t="str">
        <f>IFERROR(__xludf.DUMMYFUNCTION("""COMPUTED_VALUE"""),"0")</f>
        <v>0</v>
      </c>
      <c r="K2650" s="1076"/>
      <c r="L2650" s="1076" t="str">
        <f>IFERROR(__xludf.DUMMYFUNCTION("""COMPUTED_VALUE"""),"-")</f>
        <v>-</v>
      </c>
    </row>
    <row r="2651" customHeight="1" spans="1:12">
      <c r="A2651" s="1076" t="str">
        <f>IFERROR(__xludf.DUMMYFUNCTION("""COMPUTED_VALUE"""),"TNL-XTA-002")</f>
        <v>TNL-XTA-002</v>
      </c>
      <c r="B2651" s="1075" t="str">
        <f>IFERROR(__xludf.DUMMYFUNCTION("""COMPUTED_VALUE"""),"Xe ben 15 tấn")</f>
        <v>Xe ben 15 tấn</v>
      </c>
      <c r="C2651" s="1076" t="str">
        <f>IFERROR(__xludf.DUMMYFUNCTION("""COMPUTED_VALUE"""),"CGTC LP")</f>
        <v>CGTC LP</v>
      </c>
      <c r="D2651" s="1076" t="str">
        <f>IFERROR(__xludf.DUMMYFUNCTION("""COMPUTED_VALUE"""),"HYUNDAI")</f>
        <v>HYUNDAI</v>
      </c>
      <c r="E2651" s="1076"/>
      <c r="F2651" s="1076"/>
      <c r="G2651" s="1076"/>
      <c r="H2651" s="1076" t="str">
        <f>IFERROR(__xludf.DUMMYFUNCTION("""COMPUTED_VALUE"""),"320HP")</f>
        <v>320HP</v>
      </c>
      <c r="I2651" s="1076" t="str">
        <f>IFERROR(__xludf.DUMMYFUNCTION("""COMPUTED_VALUE"""),"0")</f>
        <v>0</v>
      </c>
      <c r="J2651" s="1076" t="str">
        <f>IFERROR(__xludf.DUMMYFUNCTION("""COMPUTED_VALUE"""),"D8ABT159876")</f>
        <v>D8ABT159876</v>
      </c>
      <c r="K2651" s="1076"/>
      <c r="L2651" s="1076" t="str">
        <f>IFERROR(__xludf.DUMMYFUNCTION("""COMPUTED_VALUE"""),"-")</f>
        <v>-</v>
      </c>
    </row>
    <row r="2652" customHeight="1" spans="1:12">
      <c r="A2652" s="1076" t="str">
        <f>IFERROR(__xludf.DUMMYFUNCTION("""COMPUTED_VALUE"""),"TNL-XTA-003")</f>
        <v>TNL-XTA-003</v>
      </c>
      <c r="B2652" s="1075" t="str">
        <f>IFERROR(__xludf.DUMMYFUNCTION("""COMPUTED_VALUE"""),"Xe ben 15 tấn")</f>
        <v>Xe ben 15 tấn</v>
      </c>
      <c r="C2652" s="1076" t="str">
        <f>IFERROR(__xludf.DUMMYFUNCTION("""COMPUTED_VALUE"""),"CGTC LP")</f>
        <v>CGTC LP</v>
      </c>
      <c r="D2652" s="1076" t="str">
        <f>IFERROR(__xludf.DUMMYFUNCTION("""COMPUTED_VALUE"""),"HYUNDAI")</f>
        <v>HYUNDAI</v>
      </c>
      <c r="E2652" s="1076"/>
      <c r="F2652" s="1076"/>
      <c r="G2652" s="1076"/>
      <c r="H2652" s="1076" t="str">
        <f>IFERROR(__xludf.DUMMYFUNCTION("""COMPUTED_VALUE"""),"320HP")</f>
        <v>320HP</v>
      </c>
      <c r="I2652" s="1076" t="str">
        <f>IFERROR(__xludf.DUMMYFUNCTION("""COMPUTED_VALUE"""),"KMCDB18YPVC105038")</f>
        <v>KMCDB18YPVC105038</v>
      </c>
      <c r="J2652" s="1076" t="str">
        <f>IFERROR(__xludf.DUMMYFUNCTION("""COMPUTED_VALUE"""),"D8AYV007646")</f>
        <v>D8AYV007646</v>
      </c>
      <c r="K2652" s="1076"/>
      <c r="L2652" s="1076" t="str">
        <f>IFERROR(__xludf.DUMMYFUNCTION("""COMPUTED_VALUE"""),"-")</f>
        <v>-</v>
      </c>
    </row>
    <row r="2653" customHeight="1" spans="1:12">
      <c r="A2653" s="1076" t="str">
        <f>IFERROR(__xludf.DUMMYFUNCTION("""COMPUTED_VALUE"""),"TNL-XTA-004")</f>
        <v>TNL-XTA-004</v>
      </c>
      <c r="B2653" s="1075" t="str">
        <f>IFERROR(__xludf.DUMMYFUNCTION("""COMPUTED_VALUE"""),"Xe ben 15 tấn")</f>
        <v>Xe ben 15 tấn</v>
      </c>
      <c r="C2653" s="1076" t="str">
        <f>IFERROR(__xludf.DUMMYFUNCTION("""COMPUTED_VALUE"""),"CGTC LP")</f>
        <v>CGTC LP</v>
      </c>
      <c r="D2653" s="1076" t="str">
        <f>IFERROR(__xludf.DUMMYFUNCTION("""COMPUTED_VALUE"""),"HYUNDAI")</f>
        <v>HYUNDAI</v>
      </c>
      <c r="E2653" s="1076"/>
      <c r="F2653" s="1076"/>
      <c r="G2653" s="1076"/>
      <c r="H2653" s="1076" t="str">
        <f>IFERROR(__xludf.DUMMYFUNCTION("""COMPUTED_VALUE"""),"320HP")</f>
        <v>320HP</v>
      </c>
      <c r="I2653" s="1076" t="str">
        <f>IFERROR(__xludf.DUMMYFUNCTION("""COMPUTED_VALUE"""),"0")</f>
        <v>0</v>
      </c>
      <c r="J2653" s="1076" t="str">
        <f>IFERROR(__xludf.DUMMYFUNCTION("""COMPUTED_VALUE"""),"0")</f>
        <v>0</v>
      </c>
      <c r="K2653" s="1076"/>
      <c r="L2653" s="1076" t="str">
        <f>IFERROR(__xludf.DUMMYFUNCTION("""COMPUTED_VALUE"""),"-")</f>
        <v>-</v>
      </c>
    </row>
    <row r="2654" customHeight="1" spans="1:12">
      <c r="A2654" s="1076" t="str">
        <f>IFERROR(__xludf.DUMMYFUNCTION("""COMPUTED_VALUE"""),"TNL-XTA-005")</f>
        <v>TNL-XTA-005</v>
      </c>
      <c r="B2654" s="1075" t="str">
        <f>IFERROR(__xludf.DUMMYFUNCTION("""COMPUTED_VALUE"""),"Xe ben 25 tấn")</f>
        <v>Xe ben 25 tấn</v>
      </c>
      <c r="C2654" s="1076" t="str">
        <f>IFERROR(__xludf.DUMMYFUNCTION("""COMPUTED_VALUE"""),"CGTC LP")</f>
        <v>CGTC LP</v>
      </c>
      <c r="D2654" s="1076" t="str">
        <f>IFERROR(__xludf.DUMMYFUNCTION("""COMPUTED_VALUE"""),"HYUNDAI")</f>
        <v>HYUNDAI</v>
      </c>
      <c r="E2654" s="1076"/>
      <c r="F2654" s="1076"/>
      <c r="G2654" s="1076"/>
      <c r="H2654" s="1076" t="str">
        <f>IFERROR(__xludf.DUMMYFUNCTION("""COMPUTED_VALUE"""),"335HP")</f>
        <v>335HP</v>
      </c>
      <c r="I2654" s="1076" t="str">
        <f>IFERROR(__xludf.DUMMYFUNCTION("""COMPUTED_VALUE"""),"KMCPB18TP6C009472")</f>
        <v>KMCPB18TP6C009472</v>
      </c>
      <c r="J2654" s="1076" t="str">
        <f>IFERROR(__xludf.DUMMYFUNCTION("""COMPUTED_VALUE"""),"D6CB5117549")</f>
        <v>D6CB5117549</v>
      </c>
      <c r="K2654" s="1076"/>
      <c r="L2654" s="1076" t="str">
        <f>IFERROR(__xludf.DUMMYFUNCTION("""COMPUTED_VALUE"""),"-")</f>
        <v>-</v>
      </c>
    </row>
    <row r="2655" customHeight="1" spans="1:12">
      <c r="A2655" s="1076" t="str">
        <f>IFERROR(__xludf.DUMMYFUNCTION("""COMPUTED_VALUE"""),"TNL-XTA-006")</f>
        <v>TNL-XTA-006</v>
      </c>
      <c r="B2655" s="1075" t="str">
        <f>IFERROR(__xludf.DUMMYFUNCTION("""COMPUTED_VALUE"""),"Xe ben 25 tấn")</f>
        <v>Xe ben 25 tấn</v>
      </c>
      <c r="C2655" s="1076" t="str">
        <f>IFERROR(__xludf.DUMMYFUNCTION("""COMPUTED_VALUE"""),"CGTC LP")</f>
        <v>CGTC LP</v>
      </c>
      <c r="D2655" s="1076" t="str">
        <f>IFERROR(__xludf.DUMMYFUNCTION("""COMPUTED_VALUE"""),"HYUNDAI")</f>
        <v>HYUNDAI</v>
      </c>
      <c r="E2655" s="1076"/>
      <c r="F2655" s="1076">
        <f>IFERROR(__xludf.DUMMYFUNCTION("""COMPUTED_VALUE"""),2002)</f>
        <v>2002</v>
      </c>
      <c r="G2655" s="1076"/>
      <c r="H2655" s="1076" t="str">
        <f>IFERROR(__xludf.DUMMYFUNCTION("""COMPUTED_VALUE"""),"380HP")</f>
        <v>380HP</v>
      </c>
      <c r="I2655" s="1076" t="str">
        <f>IFERROR(__xludf.DUMMYFUNCTION("""COMPUTED_VALUE"""),"KMCPB185P2C017519")</f>
        <v>KMCPB185P2C017519</v>
      </c>
      <c r="J2655" s="1076" t="str">
        <f>IFERROR(__xludf.DUMMYFUNCTION("""COMPUTED_VALUE"""),"D6CA2059719")</f>
        <v>D6CA2059719</v>
      </c>
      <c r="K2655" s="1076"/>
      <c r="L2655" s="1076" t="str">
        <f>IFERROR(__xludf.DUMMYFUNCTION("""COMPUTED_VALUE"""),"-")</f>
        <v>-</v>
      </c>
    </row>
    <row r="2656" customHeight="1" spans="1:12">
      <c r="A2656" s="1076" t="str">
        <f>IFERROR(__xludf.DUMMYFUNCTION("""COMPUTED_VALUE"""),"TNL-XTA-007")</f>
        <v>TNL-XTA-007</v>
      </c>
      <c r="B2656" s="1075" t="str">
        <f>IFERROR(__xludf.DUMMYFUNCTION("""COMPUTED_VALUE"""),"Xe ben 25 tấn")</f>
        <v>Xe ben 25 tấn</v>
      </c>
      <c r="C2656" s="1076" t="str">
        <f>IFERROR(__xludf.DUMMYFUNCTION("""COMPUTED_VALUE"""),"CGTC LP")</f>
        <v>CGTC LP</v>
      </c>
      <c r="D2656" s="1076" t="str">
        <f>IFERROR(__xludf.DUMMYFUNCTION("""COMPUTED_VALUE"""),"DEAWOO")</f>
        <v>DEAWOO</v>
      </c>
      <c r="E2656" s="1076"/>
      <c r="F2656" s="1076">
        <f>IFERROR(__xludf.DUMMYFUNCTION("""COMPUTED_VALUE"""),2006)</f>
        <v>2006</v>
      </c>
      <c r="G2656" s="1076"/>
      <c r="H2656" s="1076" t="str">
        <f>IFERROR(__xludf.DUMMYFUNCTION("""COMPUTED_VALUE"""),"360HP")</f>
        <v>360HP</v>
      </c>
      <c r="I2656" s="1076" t="str">
        <f>IFERROR(__xludf.DUMMYFUNCTION("""COMPUTED_VALUE"""),"KL3N8ENP 16K000587")</f>
        <v>KL3N8ENP 16K000587</v>
      </c>
      <c r="J2656" s="1076" t="str">
        <f>IFERROR(__xludf.DUMMYFUNCTION("""COMPUTED_VALUE"""),"35158365")</f>
        <v>35158365</v>
      </c>
      <c r="K2656" s="1076"/>
      <c r="L2656" s="1076" t="str">
        <f>IFERROR(__xludf.DUMMYFUNCTION("""COMPUTED_VALUE"""),"-")</f>
        <v>-</v>
      </c>
    </row>
    <row r="2657" customHeight="1" spans="1:12">
      <c r="A2657" s="1076" t="str">
        <f>IFERROR(__xludf.DUMMYFUNCTION("""COMPUTED_VALUE"""),"TNL-XTA-008")</f>
        <v>TNL-XTA-008</v>
      </c>
      <c r="B2657" s="1075" t="str">
        <f>IFERROR(__xludf.DUMMYFUNCTION("""COMPUTED_VALUE"""),"Xe ben 25 tấn")</f>
        <v>Xe ben 25 tấn</v>
      </c>
      <c r="C2657" s="1076" t="str">
        <f>IFERROR(__xludf.DUMMYFUNCTION("""COMPUTED_VALUE"""),"CGTC LP")</f>
        <v>CGTC LP</v>
      </c>
      <c r="D2657" s="1076" t="str">
        <f>IFERROR(__xludf.DUMMYFUNCTION("""COMPUTED_VALUE"""),"HYUNDAI")</f>
        <v>HYUNDAI</v>
      </c>
      <c r="E2657" s="1076"/>
      <c r="F2657" s="1076">
        <f>IFERROR(__xludf.DUMMYFUNCTION("""COMPUTED_VALUE"""),2002)</f>
        <v>2002</v>
      </c>
      <c r="G2657" s="1076"/>
      <c r="H2657" s="1076" t="str">
        <f>IFERROR(__xludf.DUMMYFUNCTION("""COMPUTED_VALUE"""),"380HP")</f>
        <v>380HP</v>
      </c>
      <c r="I2657" s="1076" t="str">
        <f>IFERROR(__xludf.DUMMYFUNCTION("""COMPUTED_VALUE"""),"KMCPB185 P2C019827")</f>
        <v>KMCPB185 P2C019827</v>
      </c>
      <c r="J2657" s="1076" t="str">
        <f>IFERROR(__xludf.DUMMYFUNCTION("""COMPUTED_VALUE"""),"2063911 D6CA")</f>
        <v>2063911 D6CA</v>
      </c>
      <c r="K2657" s="1076"/>
      <c r="L2657" s="1076" t="str">
        <f>IFERROR(__xludf.DUMMYFUNCTION("""COMPUTED_VALUE"""),"-")</f>
        <v>-</v>
      </c>
    </row>
    <row r="2658" customHeight="1" spans="1:12">
      <c r="A2658" s="1076" t="str">
        <f>IFERROR(__xludf.DUMMYFUNCTION("""COMPUTED_VALUE"""),"TNL-XTA-009")</f>
        <v>TNL-XTA-009</v>
      </c>
      <c r="B2658" s="1075" t="str">
        <f>IFERROR(__xludf.DUMMYFUNCTION("""COMPUTED_VALUE"""),"Xe ben 25 tấn")</f>
        <v>Xe ben 25 tấn</v>
      </c>
      <c r="C2658" s="1076" t="str">
        <f>IFERROR(__xludf.DUMMYFUNCTION("""COMPUTED_VALUE"""),"CGTC LP")</f>
        <v>CGTC LP</v>
      </c>
      <c r="D2658" s="1076" t="str">
        <f>IFERROR(__xludf.DUMMYFUNCTION("""COMPUTED_VALUE"""),"SCANIA")</f>
        <v>SCANIA</v>
      </c>
      <c r="E2658" s="1076"/>
      <c r="F2658" s="1076">
        <f>IFERROR(__xludf.DUMMYFUNCTION("""COMPUTED_VALUE"""),2002)</f>
        <v>2002</v>
      </c>
      <c r="G2658" s="1076"/>
      <c r="H2658" s="1076" t="str">
        <f>IFERROR(__xludf.DUMMYFUNCTION("""COMPUTED_VALUE"""),"420HP")</f>
        <v>420HP</v>
      </c>
      <c r="I2658" s="1076" t="str">
        <f>IFERROR(__xludf.DUMMYFUNCTION("""COMPUTED_VALUE"""),"XLEP8X4 0024467942")</f>
        <v>XLEP8X4 0024467942</v>
      </c>
      <c r="J2658" s="1076" t="str">
        <f>IFERROR(__xludf.DUMMYFUNCTION("""COMPUTED_VALUE"""),"DC1209L016158035")</f>
        <v>DC1209L016158035</v>
      </c>
      <c r="K2658" s="1076"/>
      <c r="L2658" s="1076" t="str">
        <f>IFERROR(__xludf.DUMMYFUNCTION("""COMPUTED_VALUE"""),"-")</f>
        <v>-</v>
      </c>
    </row>
    <row r="2659" customHeight="1" spans="1:12">
      <c r="A2659" s="1076" t="str">
        <f>IFERROR(__xludf.DUMMYFUNCTION("""COMPUTED_VALUE"""),"TNL-XTA-010")</f>
        <v>TNL-XTA-010</v>
      </c>
      <c r="B2659" s="1075" t="str">
        <f>IFERROR(__xludf.DUMMYFUNCTION("""COMPUTED_VALUE"""),"Xe ben 25 tấn")</f>
        <v>Xe ben 25 tấn</v>
      </c>
      <c r="C2659" s="1076" t="str">
        <f>IFERROR(__xludf.DUMMYFUNCTION("""COMPUTED_VALUE"""),"CGTC LP")</f>
        <v>CGTC LP</v>
      </c>
      <c r="D2659" s="1076" t="str">
        <f>IFERROR(__xludf.DUMMYFUNCTION("""COMPUTED_VALUE"""),"SCANIA")</f>
        <v>SCANIA</v>
      </c>
      <c r="E2659" s="1076"/>
      <c r="F2659" s="1076">
        <f>IFERROR(__xludf.DUMMYFUNCTION("""COMPUTED_VALUE"""),2003)</f>
        <v>2003</v>
      </c>
      <c r="G2659" s="1076"/>
      <c r="H2659" s="1076" t="str">
        <f>IFERROR(__xludf.DUMMYFUNCTION("""COMPUTED_VALUE"""),"420HP")</f>
        <v>420HP</v>
      </c>
      <c r="I2659" s="1076" t="str">
        <f>IFERROR(__xludf.DUMMYFUNCTION("""COMPUTED_VALUE"""),"XLEP8X40034491442")</f>
        <v>XLEP8X40034491442</v>
      </c>
      <c r="J2659" s="1076" t="str">
        <f>IFERROR(__xludf.DUMMYFUNCTION("""COMPUTED_VALUE"""),"DC1104L016190390")</f>
        <v>DC1104L016190390</v>
      </c>
      <c r="K2659" s="1076"/>
      <c r="L2659" s="1076" t="str">
        <f>IFERROR(__xludf.DUMMYFUNCTION("""COMPUTED_VALUE"""),"-")</f>
        <v>-</v>
      </c>
    </row>
    <row r="2660" customHeight="1" spans="1:12">
      <c r="A2660" s="1076" t="str">
        <f>IFERROR(__xludf.DUMMYFUNCTION("""COMPUTED_VALUE"""),"TNL-XTA-011")</f>
        <v>TNL-XTA-011</v>
      </c>
      <c r="B2660" s="1075" t="str">
        <f>IFERROR(__xludf.DUMMYFUNCTION("""COMPUTED_VALUE"""),"Xe ben 25 tấn")</f>
        <v>Xe ben 25 tấn</v>
      </c>
      <c r="C2660" s="1076" t="str">
        <f>IFERROR(__xludf.DUMMYFUNCTION("""COMPUTED_VALUE"""),"CGTC LP")</f>
        <v>CGTC LP</v>
      </c>
      <c r="D2660" s="1076" t="str">
        <f>IFERROR(__xludf.DUMMYFUNCTION("""COMPUTED_VALUE"""),"SCANIA")</f>
        <v>SCANIA</v>
      </c>
      <c r="E2660" s="1076"/>
      <c r="F2660" s="1076">
        <f>IFERROR(__xludf.DUMMYFUNCTION("""COMPUTED_VALUE"""),2004)</f>
        <v>2004</v>
      </c>
      <c r="G2660" s="1076"/>
      <c r="H2660" s="1076" t="str">
        <f>IFERROR(__xludf.DUMMYFUNCTION("""COMPUTED_VALUE"""),"420HP")</f>
        <v>420HP</v>
      </c>
      <c r="I2660" s="1076" t="str">
        <f>IFERROR(__xludf.DUMMYFUNCTION("""COMPUTED_VALUE"""),"DC1149L149075912")</f>
        <v>DC1149L149075912</v>
      </c>
      <c r="J2660" s="1076" t="str">
        <f>IFERROR(__xludf.DUMMYFUNCTION("""COMPUTED_VALUE"""),"XLEP8X40043548673")</f>
        <v>XLEP8X40043548673</v>
      </c>
      <c r="K2660" s="1076"/>
      <c r="L2660" s="1076" t="str">
        <f>IFERROR(__xludf.DUMMYFUNCTION("""COMPUTED_VALUE"""),"-")</f>
        <v>-</v>
      </c>
    </row>
    <row r="2661" customHeight="1" spans="1:12">
      <c r="A2661" s="1076" t="str">
        <f>IFERROR(__xludf.DUMMYFUNCTION("""COMPUTED_VALUE"""),"TNL-XTA-012")</f>
        <v>TNL-XTA-012</v>
      </c>
      <c r="B2661" s="1075" t="str">
        <f>IFERROR(__xludf.DUMMYFUNCTION("""COMPUTED_VALUE"""),"Xe ben 25 tấn")</f>
        <v>Xe ben 25 tấn</v>
      </c>
      <c r="C2661" s="1076" t="str">
        <f>IFERROR(__xludf.DUMMYFUNCTION("""COMPUTED_VALUE"""),"CGTC LP")</f>
        <v>CGTC LP</v>
      </c>
      <c r="D2661" s="1076" t="str">
        <f>IFERROR(__xludf.DUMMYFUNCTION("""COMPUTED_VALUE"""),"SCANIA")</f>
        <v>SCANIA</v>
      </c>
      <c r="E2661" s="1076"/>
      <c r="F2661" s="1076">
        <f>IFERROR(__xludf.DUMMYFUNCTION("""COMPUTED_VALUE"""),2004)</f>
        <v>2004</v>
      </c>
      <c r="G2661" s="1076"/>
      <c r="H2661" s="1076" t="str">
        <f>IFERROR(__xludf.DUMMYFUNCTION("""COMPUTED_VALUE"""),"380HP")</f>
        <v>380HP</v>
      </c>
      <c r="I2661" s="1076" t="str">
        <f>IFERROR(__xludf.DUMMYFUNCTION("""COMPUTED_VALUE"""),"XLEP8X4 0043548673 ")</f>
        <v>XLEP8X4 0043548673 </v>
      </c>
      <c r="J2661" s="1076" t="str">
        <f>IFERROR(__xludf.DUMMYFUNCTION("""COMPUTED_VALUE"""),"DC114921490 75912")</f>
        <v>DC114921490 75912</v>
      </c>
      <c r="K2661" s="1076"/>
      <c r="L2661" s="1076" t="str">
        <f>IFERROR(__xludf.DUMMYFUNCTION("""COMPUTED_VALUE"""),"-")</f>
        <v>-</v>
      </c>
    </row>
    <row r="2662" customHeight="1" spans="1:12">
      <c r="A2662" s="1076" t="str">
        <f>IFERROR(__xludf.DUMMYFUNCTION("""COMPUTED_VALUE"""),"TNL-XTA-013")</f>
        <v>TNL-XTA-013</v>
      </c>
      <c r="B2662" s="1075" t="str">
        <f>IFERROR(__xludf.DUMMYFUNCTION("""COMPUTED_VALUE"""),"Xe ben 25 tấn")</f>
        <v>Xe ben 25 tấn</v>
      </c>
      <c r="C2662" s="1076" t="str">
        <f>IFERROR(__xludf.DUMMYFUNCTION("""COMPUTED_VALUE"""),"CGTC LP")</f>
        <v>CGTC LP</v>
      </c>
      <c r="D2662" s="1076" t="str">
        <f>IFERROR(__xludf.DUMMYFUNCTION("""COMPUTED_VALUE"""),"HYUNDAI")</f>
        <v>HYUNDAI</v>
      </c>
      <c r="E2662" s="1076"/>
      <c r="F2662" s="1076"/>
      <c r="G2662" s="1076"/>
      <c r="H2662" s="1076" t="str">
        <f>IFERROR(__xludf.DUMMYFUNCTION("""COMPUTED_VALUE"""),"335HP")</f>
        <v>335HP</v>
      </c>
      <c r="I2662" s="1076" t="str">
        <f>IFERROR(__xludf.DUMMYFUNCTION("""COMPUTED_VALUE"""),"NIL")</f>
        <v>NIL</v>
      </c>
      <c r="J2662" s="1076" t="str">
        <f>IFERROR(__xludf.DUMMYFUNCTION("""COMPUTED_VALUE"""),"D6CB-6131795")</f>
        <v>D6CB-6131795</v>
      </c>
      <c r="K2662" s="1076"/>
      <c r="L2662" s="1076" t="str">
        <f>IFERROR(__xludf.DUMMYFUNCTION("""COMPUTED_VALUE"""),"-")</f>
        <v>-</v>
      </c>
    </row>
    <row r="2663" customHeight="1" spans="1:12">
      <c r="A2663" s="1076" t="str">
        <f>IFERROR(__xludf.DUMMYFUNCTION("""COMPUTED_VALUE"""),"TNL-XTA-014")</f>
        <v>TNL-XTA-014</v>
      </c>
      <c r="B2663" s="1075" t="str">
        <f>IFERROR(__xludf.DUMMYFUNCTION("""COMPUTED_VALUE"""),"Xe ben 25 tấn")</f>
        <v>Xe ben 25 tấn</v>
      </c>
      <c r="C2663" s="1076" t="str">
        <f>IFERROR(__xludf.DUMMYFUNCTION("""COMPUTED_VALUE"""),"CGTC LP")</f>
        <v>CGTC LP</v>
      </c>
      <c r="D2663" s="1076" t="str">
        <f>IFERROR(__xludf.DUMMYFUNCTION("""COMPUTED_VALUE"""),"HYUNDAI")</f>
        <v>HYUNDAI</v>
      </c>
      <c r="E2663" s="1076"/>
      <c r="F2663" s="1076"/>
      <c r="G2663" s="1076"/>
      <c r="H2663" s="1076" t="str">
        <f>IFERROR(__xludf.DUMMYFUNCTION("""COMPUTED_VALUE"""),"335HP")</f>
        <v>335HP</v>
      </c>
      <c r="I2663" s="1076" t="str">
        <f>IFERROR(__xludf.DUMMYFUNCTION("""COMPUTED_VALUE"""),"KMCPB18SP 2C019783")</f>
        <v>KMCPB18SP 2C019783</v>
      </c>
      <c r="J2663" s="1076" t="str">
        <f>IFERROR(__xludf.DUMMYFUNCTION("""COMPUTED_VALUE"""),"D6CA 2063385")</f>
        <v>D6CA 2063385</v>
      </c>
      <c r="K2663" s="1076"/>
      <c r="L2663" s="1076" t="str">
        <f>IFERROR(__xludf.DUMMYFUNCTION("""COMPUTED_VALUE"""),"-")</f>
        <v>-</v>
      </c>
    </row>
    <row r="2664" customHeight="1" spans="1:12">
      <c r="A2664" s="1076" t="str">
        <f>IFERROR(__xludf.DUMMYFUNCTION("""COMPUTED_VALUE"""),"TNL-XTA-015")</f>
        <v>TNL-XTA-015</v>
      </c>
      <c r="B2664" s="1075" t="str">
        <f>IFERROR(__xludf.DUMMYFUNCTION("""COMPUTED_VALUE"""),"Xe ben 15 tấn")</f>
        <v>Xe ben 15 tấn</v>
      </c>
      <c r="C2664" s="1076" t="str">
        <f>IFERROR(__xludf.DUMMYFUNCTION("""COMPUTED_VALUE"""),"CGTC LP")</f>
        <v>CGTC LP</v>
      </c>
      <c r="D2664" s="1076" t="str">
        <f>IFERROR(__xludf.DUMMYFUNCTION("""COMPUTED_VALUE"""),"HYUNDAI")</f>
        <v>HYUNDAI</v>
      </c>
      <c r="E2664" s="1076"/>
      <c r="F2664" s="1076"/>
      <c r="G2664" s="1076"/>
      <c r="H2664" s="1076" t="str">
        <f>IFERROR(__xludf.DUMMYFUNCTION("""COMPUTED_VALUE"""),"320HP")</f>
        <v>320HP</v>
      </c>
      <c r="I2664" s="1076" t="str">
        <f>IFERROR(__xludf.DUMMYFUNCTION("""COMPUTED_VALUE"""),"8457")</f>
        <v>8457</v>
      </c>
      <c r="J2664" s="1076"/>
      <c r="K2664" s="1076"/>
      <c r="L2664" s="1076" t="str">
        <f>IFERROR(__xludf.DUMMYFUNCTION("""COMPUTED_VALUE"""),"-")</f>
        <v>-</v>
      </c>
    </row>
    <row r="2665" customHeight="1" spans="1:12">
      <c r="A2665" s="1076" t="str">
        <f>IFERROR(__xludf.DUMMYFUNCTION("""COMPUTED_VALUE"""),"TNL-XTA-016")</f>
        <v>TNL-XTA-016</v>
      </c>
      <c r="B2665" s="1075" t="str">
        <f>IFERROR(__xludf.DUMMYFUNCTION("""COMPUTED_VALUE"""),"Xe ben 05 tấn")</f>
        <v>Xe ben 05 tấn</v>
      </c>
      <c r="C2665" s="1076" t="str">
        <f>IFERROR(__xludf.DUMMYFUNCTION("""COMPUTED_VALUE"""),"CGTC LP")</f>
        <v>CGTC LP</v>
      </c>
      <c r="D2665" s="1076"/>
      <c r="E2665" s="1076"/>
      <c r="F2665" s="1076"/>
      <c r="G2665" s="1076"/>
      <c r="H2665" s="1076" t="str">
        <f>IFERROR(__xludf.DUMMYFUNCTION("""COMPUTED_VALUE"""),"150HP")</f>
        <v>150HP</v>
      </c>
      <c r="I2665" s="1076" t="str">
        <f>IFERROR(__xludf.DUMMYFUNCTION("""COMPUTED_VALUE"""),"9744")</f>
        <v>9744</v>
      </c>
      <c r="J2665" s="1076" t="str">
        <f>IFERROR(__xludf.DUMMYFUNCTION("""COMPUTED_VALUE"""),"100541")</f>
        <v>100541</v>
      </c>
      <c r="K2665" s="1076"/>
      <c r="L2665" s="1076" t="str">
        <f>IFERROR(__xludf.DUMMYFUNCTION("""COMPUTED_VALUE"""),"-")</f>
        <v>-</v>
      </c>
    </row>
    <row r="2666" customHeight="1" spans="1:12">
      <c r="A2666" s="1076" t="str">
        <f>IFERROR(__xludf.DUMMYFUNCTION("""COMPUTED_VALUE"""),"TNL-XTA-017")</f>
        <v>TNL-XTA-017</v>
      </c>
      <c r="B2666" s="1075" t="str">
        <f>IFERROR(__xludf.DUMMYFUNCTION("""COMPUTED_VALUE"""),"Xe ben 05 tấn")</f>
        <v>Xe ben 05 tấn</v>
      </c>
      <c r="C2666" s="1076" t="str">
        <f>IFERROR(__xludf.DUMMYFUNCTION("""COMPUTED_VALUE"""),"CGTC LP")</f>
        <v>CGTC LP</v>
      </c>
      <c r="D2666" s="1076"/>
      <c r="E2666" s="1076"/>
      <c r="F2666" s="1076"/>
      <c r="G2666" s="1076"/>
      <c r="H2666" s="1076" t="str">
        <f>IFERROR(__xludf.DUMMYFUNCTION("""COMPUTED_VALUE"""),"150HP")</f>
        <v>150HP</v>
      </c>
      <c r="I2666" s="1076" t="str">
        <f>IFERROR(__xludf.DUMMYFUNCTION("""COMPUTED_VALUE"""),"10424")</f>
        <v>10424</v>
      </c>
      <c r="J2666" s="1076" t="str">
        <f>IFERROR(__xludf.DUMMYFUNCTION("""COMPUTED_VALUE"""),"30336")</f>
        <v>30336</v>
      </c>
      <c r="K2666" s="1076"/>
      <c r="L2666" s="1076" t="str">
        <f>IFERROR(__xludf.DUMMYFUNCTION("""COMPUTED_VALUE"""),"-")</f>
        <v>-</v>
      </c>
    </row>
    <row r="2667" customHeight="1" spans="1:12">
      <c r="A2667" s="1076" t="str">
        <f>IFERROR(__xludf.DUMMYFUNCTION("""COMPUTED_VALUE"""),"TNL-XTA-018")</f>
        <v>TNL-XTA-018</v>
      </c>
      <c r="B2667" s="1075" t="str">
        <f>IFERROR(__xludf.DUMMYFUNCTION("""COMPUTED_VALUE"""),"Xe ben 05 tấn")</f>
        <v>Xe ben 05 tấn</v>
      </c>
      <c r="C2667" s="1076" t="str">
        <f>IFERROR(__xludf.DUMMYFUNCTION("""COMPUTED_VALUE"""),"CGTC LP")</f>
        <v>CGTC LP</v>
      </c>
      <c r="D2667" s="1076"/>
      <c r="E2667" s="1076"/>
      <c r="F2667" s="1076"/>
      <c r="G2667" s="1076"/>
      <c r="H2667" s="1076" t="str">
        <f>IFERROR(__xludf.DUMMYFUNCTION("""COMPUTED_VALUE"""),"150HP")</f>
        <v>150HP</v>
      </c>
      <c r="I2667" s="1076" t="str">
        <f>IFERROR(__xludf.DUMMYFUNCTION("""COMPUTED_VALUE"""),"10759")</f>
        <v>10759</v>
      </c>
      <c r="J2667" s="1076" t="str">
        <f>IFERROR(__xludf.DUMMYFUNCTION("""COMPUTED_VALUE"""),"621")</f>
        <v>621</v>
      </c>
      <c r="K2667" s="1076"/>
      <c r="L2667" s="1076" t="str">
        <f>IFERROR(__xludf.DUMMYFUNCTION("""COMPUTED_VALUE"""),"-")</f>
        <v>-</v>
      </c>
    </row>
    <row r="2668" customHeight="1" spans="1:12">
      <c r="A2668" s="1076" t="str">
        <f>IFERROR(__xludf.DUMMYFUNCTION("""COMPUTED_VALUE"""),"TNL-XTA-019")</f>
        <v>TNL-XTA-019</v>
      </c>
      <c r="B2668" s="1075" t="str">
        <f>IFERROR(__xludf.DUMMYFUNCTION("""COMPUTED_VALUE"""),"Xe ben 15 tấn")</f>
        <v>Xe ben 15 tấn</v>
      </c>
      <c r="C2668" s="1076" t="str">
        <f>IFERROR(__xludf.DUMMYFUNCTION("""COMPUTED_VALUE"""),"CGTC LP")</f>
        <v>CGTC LP</v>
      </c>
      <c r="D2668" s="1076"/>
      <c r="E2668" s="1076"/>
      <c r="F2668" s="1076"/>
      <c r="G2668" s="1076"/>
      <c r="H2668" s="1076" t="str">
        <f>IFERROR(__xludf.DUMMYFUNCTION("""COMPUTED_VALUE"""),"320HP")</f>
        <v>320HP</v>
      </c>
      <c r="I2668" s="1076" t="str">
        <f>IFERROR(__xludf.DUMMYFUNCTION("""COMPUTED_VALUE"""),"38827")</f>
        <v>38827</v>
      </c>
      <c r="J2668" s="1076" t="str">
        <f>IFERROR(__xludf.DUMMYFUNCTION("""COMPUTED_VALUE"""),"175529")</f>
        <v>175529</v>
      </c>
      <c r="K2668" s="1076"/>
      <c r="L2668" s="1076" t="str">
        <f>IFERROR(__xludf.DUMMYFUNCTION("""COMPUTED_VALUE"""),"-")</f>
        <v>-</v>
      </c>
    </row>
    <row r="2669" customHeight="1" spans="1:12">
      <c r="A2669" s="1076" t="str">
        <f>IFERROR(__xludf.DUMMYFUNCTION("""COMPUTED_VALUE"""),"TNL-XTA-020")</f>
        <v>TNL-XTA-020</v>
      </c>
      <c r="B2669" s="1075" t="str">
        <f>IFERROR(__xludf.DUMMYFUNCTION("""COMPUTED_VALUE"""),"Xe ben 15 tấn")</f>
        <v>Xe ben 15 tấn</v>
      </c>
      <c r="C2669" s="1076" t="str">
        <f>IFERROR(__xludf.DUMMYFUNCTION("""COMPUTED_VALUE"""),"CGTC LP")</f>
        <v>CGTC LP</v>
      </c>
      <c r="D2669" s="1076"/>
      <c r="E2669" s="1076"/>
      <c r="F2669" s="1076"/>
      <c r="G2669" s="1076"/>
      <c r="H2669" s="1076" t="str">
        <f>IFERROR(__xludf.DUMMYFUNCTION("""COMPUTED_VALUE"""),"320HP")</f>
        <v>320HP</v>
      </c>
      <c r="I2669" s="1076" t="str">
        <f>IFERROR(__xludf.DUMMYFUNCTION("""COMPUTED_VALUE"""),"2284")</f>
        <v>2284</v>
      </c>
      <c r="J2669" s="1076"/>
      <c r="K2669" s="1076"/>
      <c r="L2669" s="1076" t="str">
        <f>IFERROR(__xludf.DUMMYFUNCTION("""COMPUTED_VALUE"""),"-")</f>
        <v>-</v>
      </c>
    </row>
    <row r="2670" customHeight="1" spans="1:12">
      <c r="A2670" s="1076" t="str">
        <f>IFERROR(__xludf.DUMMYFUNCTION("""COMPUTED_VALUE"""),"TNL-XTA-021")</f>
        <v>TNL-XTA-021</v>
      </c>
      <c r="B2670" s="1075" t="str">
        <f>IFERROR(__xludf.DUMMYFUNCTION("""COMPUTED_VALUE"""),"Xe ben 15 tấn")</f>
        <v>Xe ben 15 tấn</v>
      </c>
      <c r="C2670" s="1076" t="str">
        <f>IFERROR(__xludf.DUMMYFUNCTION("""COMPUTED_VALUE"""),"CGTC LP")</f>
        <v>CGTC LP</v>
      </c>
      <c r="D2670" s="1076"/>
      <c r="E2670" s="1076"/>
      <c r="F2670" s="1076"/>
      <c r="G2670" s="1076"/>
      <c r="H2670" s="1076" t="str">
        <f>IFERROR(__xludf.DUMMYFUNCTION("""COMPUTED_VALUE"""),"320HP")</f>
        <v>320HP</v>
      </c>
      <c r="I2670" s="1076" t="str">
        <f>IFERROR(__xludf.DUMMYFUNCTION("""COMPUTED_VALUE"""),"10222")</f>
        <v>10222</v>
      </c>
      <c r="J2670" s="1076" t="str">
        <f>IFERROR(__xludf.DUMMYFUNCTION("""COMPUTED_VALUE"""),"12384")</f>
        <v>12384</v>
      </c>
      <c r="K2670" s="1076"/>
      <c r="L2670" s="1076" t="str">
        <f>IFERROR(__xludf.DUMMYFUNCTION("""COMPUTED_VALUE"""),"-")</f>
        <v>-</v>
      </c>
    </row>
    <row r="2671" customHeight="1" spans="1:12">
      <c r="A2671" s="1076" t="str">
        <f>IFERROR(__xludf.DUMMYFUNCTION("""COMPUTED_VALUE"""),"TNL-XTA-022")</f>
        <v>TNL-XTA-022</v>
      </c>
      <c r="B2671" s="1075" t="str">
        <f>IFERROR(__xludf.DUMMYFUNCTION("""COMPUTED_VALUE"""),"Xe ben 15 tấn")</f>
        <v>Xe ben 15 tấn</v>
      </c>
      <c r="C2671" s="1076" t="str">
        <f>IFERROR(__xludf.DUMMYFUNCTION("""COMPUTED_VALUE"""),"CGTC LP")</f>
        <v>CGTC LP</v>
      </c>
      <c r="D2671" s="1076"/>
      <c r="E2671" s="1076"/>
      <c r="F2671" s="1076"/>
      <c r="G2671" s="1076"/>
      <c r="H2671" s="1076" t="str">
        <f>IFERROR(__xludf.DUMMYFUNCTION("""COMPUTED_VALUE"""),"320HP")</f>
        <v>320HP</v>
      </c>
      <c r="I2671" s="1076"/>
      <c r="J2671" s="1076" t="str">
        <f>IFERROR(__xludf.DUMMYFUNCTION("""COMPUTED_VALUE"""),"10027")</f>
        <v>10027</v>
      </c>
      <c r="K2671" s="1076"/>
      <c r="L2671" s="1076" t="str">
        <f>IFERROR(__xludf.DUMMYFUNCTION("""COMPUTED_VALUE"""),"-")</f>
        <v>-</v>
      </c>
    </row>
    <row r="2672" customHeight="1" spans="1:12">
      <c r="A2672" s="1076" t="str">
        <f>IFERROR(__xludf.DUMMYFUNCTION("""COMPUTED_VALUE"""),"TNL-XTA-023")</f>
        <v>TNL-XTA-023</v>
      </c>
      <c r="B2672" s="1075" t="str">
        <f>IFERROR(__xludf.DUMMYFUNCTION("""COMPUTED_VALUE"""),"Xe ben 15 tấn")</f>
        <v>Xe ben 15 tấn</v>
      </c>
      <c r="C2672" s="1076" t="str">
        <f>IFERROR(__xludf.DUMMYFUNCTION("""COMPUTED_VALUE"""),"XN Chuối LP3")</f>
        <v>XN Chuối LP3</v>
      </c>
      <c r="D2672" s="1076" t="str">
        <f>IFERROR(__xludf.DUMMYFUNCTION("""COMPUTED_VALUE"""),"HYUNDAI")</f>
        <v>HYUNDAI</v>
      </c>
      <c r="E2672" s="1076"/>
      <c r="F2672" s="1076">
        <f>IFERROR(__xludf.DUMMYFUNCTION("""COMPUTED_VALUE"""),2002)</f>
        <v>2002</v>
      </c>
      <c r="G2672" s="1076"/>
      <c r="H2672" s="1076" t="str">
        <f>IFERROR(__xludf.DUMMYFUNCTION("""COMPUTED_VALUE"""),"380HP")</f>
        <v>380HP</v>
      </c>
      <c r="I2672" s="1076" t="str">
        <f>IFERROR(__xludf.DUMMYFUNCTION("""COMPUTED_VALUE"""),"KMCDB19SP2C016707")</f>
        <v>KMCDB19SP2C016707</v>
      </c>
      <c r="J2672" s="1076" t="str">
        <f>IFERROR(__xludf.DUMMYFUNCTION("""COMPUTED_VALUE"""),"D6CA2058710")</f>
        <v>D6CA2058710</v>
      </c>
      <c r="K2672" s="1076">
        <f>IFERROR(__xludf.DUMMYFUNCTION("""COMPUTED_VALUE"""),9.5)</f>
        <v>9.5</v>
      </c>
      <c r="L2672" s="1076" t="str">
        <f>IFERROR(__xludf.DUMMYFUNCTION("""COMPUTED_VALUE"""),"-")</f>
        <v>-</v>
      </c>
    </row>
    <row r="2673" customHeight="1" spans="1:12">
      <c r="A2673" s="1076" t="str">
        <f>IFERROR(__xludf.DUMMYFUNCTION("""COMPUTED_VALUE"""),"TNL-XTA-024")</f>
        <v>TNL-XTA-024</v>
      </c>
      <c r="B2673" s="1075" t="str">
        <f>IFERROR(__xludf.DUMMYFUNCTION("""COMPUTED_VALUE"""),"Xe ben 15 tấn")</f>
        <v>Xe ben 15 tấn</v>
      </c>
      <c r="C2673" s="1076" t="str">
        <f>IFERROR(__xludf.DUMMYFUNCTION("""COMPUTED_VALUE"""),"XN Chuối LP3")</f>
        <v>XN Chuối LP3</v>
      </c>
      <c r="D2673" s="1076" t="str">
        <f>IFERROR(__xludf.DUMMYFUNCTION("""COMPUTED_VALUE"""),"HYUNDAI")</f>
        <v>HYUNDAI</v>
      </c>
      <c r="E2673" s="1076"/>
      <c r="F2673" s="1076">
        <f>IFERROR(__xludf.DUMMYFUNCTION("""COMPUTED_VALUE"""),2004)</f>
        <v>2004</v>
      </c>
      <c r="G2673" s="1076"/>
      <c r="H2673" s="1076" t="str">
        <f>IFERROR(__xludf.DUMMYFUNCTION("""COMPUTED_VALUE"""),"340HP")</f>
        <v>340HP</v>
      </c>
      <c r="I2673" s="1076" t="str">
        <f>IFERROR(__xludf.DUMMYFUNCTION("""COMPUTED_VALUE"""),"KMCPB18TP4C001741")</f>
        <v>KMCPB18TP4C001741</v>
      </c>
      <c r="J2673" s="1076" t="str">
        <f>IFERROR(__xludf.DUMMYFUNCTION("""COMPUTED_VALUE"""),"D6AC3084058")</f>
        <v>D6AC3084058</v>
      </c>
      <c r="K2673" s="1076">
        <f>IFERROR(__xludf.DUMMYFUNCTION("""COMPUTED_VALUE"""),9.5)</f>
        <v>9.5</v>
      </c>
      <c r="L2673" s="1076" t="str">
        <f>IFERROR(__xludf.DUMMYFUNCTION("""COMPUTED_VALUE"""),"-")</f>
        <v>-</v>
      </c>
    </row>
    <row r="2674" customHeight="1" spans="1:12">
      <c r="A2674" s="1076" t="str">
        <f>IFERROR(__xludf.DUMMYFUNCTION("""COMPUTED_VALUE"""),"TNL-XTA-025")</f>
        <v>TNL-XTA-025</v>
      </c>
      <c r="B2674" s="1075" t="str">
        <f>IFERROR(__xludf.DUMMYFUNCTION("""COMPUTED_VALUE"""),"Xe ben 15 tấn")</f>
        <v>Xe ben 15 tấn</v>
      </c>
      <c r="C2674" s="1076" t="str">
        <f>IFERROR(__xludf.DUMMYFUNCTION("""COMPUTED_VALUE"""),"XN Chuối LP3")</f>
        <v>XN Chuối LP3</v>
      </c>
      <c r="D2674" s="1076" t="str">
        <f>IFERROR(__xludf.DUMMYFUNCTION("""COMPUTED_VALUE"""),"HYUNDAI")</f>
        <v>HYUNDAI</v>
      </c>
      <c r="E2674" s="1076" t="str">
        <f>IFERROR(__xludf.DUMMYFUNCTION("""COMPUTED_VALUE"""),"HÀN QUỐC")</f>
        <v>HÀN QUỐC</v>
      </c>
      <c r="F2674" s="1076">
        <f>IFERROR(__xludf.DUMMYFUNCTION("""COMPUTED_VALUE"""),1997)</f>
        <v>1997</v>
      </c>
      <c r="G2674" s="1076"/>
      <c r="H2674" s="1076" t="str">
        <f>IFERROR(__xludf.DUMMYFUNCTION("""COMPUTED_VALUE"""),"360HP")</f>
        <v>360HP</v>
      </c>
      <c r="I2674" s="1076" t="str">
        <f>IFERROR(__xludf.DUMMYFUNCTION("""COMPUTED_VALUE"""),"KMCDB18YPVC104798")</f>
        <v>KMCDB18YPVC104798</v>
      </c>
      <c r="J2674" s="1076" t="str">
        <f>IFERROR(__xludf.DUMMYFUNCTION("""COMPUTED_VALUE"""),"D8AYV011176")</f>
        <v>D8AYV011176</v>
      </c>
      <c r="K2674" s="1076">
        <f>IFERROR(__xludf.DUMMYFUNCTION("""COMPUTED_VALUE"""),6.5)</f>
        <v>6.5</v>
      </c>
      <c r="L2674" s="1076" t="str">
        <f>IFERROR(__xludf.DUMMYFUNCTION("""COMPUTED_VALUE"""),"-")</f>
        <v>-</v>
      </c>
    </row>
    <row r="2675" customHeight="1" spans="1:12">
      <c r="A2675" s="1076" t="str">
        <f>IFERROR(__xludf.DUMMYFUNCTION("""COMPUTED_VALUE"""),"TNL-XTA-026")</f>
        <v>TNL-XTA-026</v>
      </c>
      <c r="B2675" s="1075" t="str">
        <f>IFERROR(__xludf.DUMMYFUNCTION("""COMPUTED_VALUE"""),"Xe ben 15 tấn")</f>
        <v>Xe ben 15 tấn</v>
      </c>
      <c r="C2675" s="1076" t="str">
        <f>IFERROR(__xludf.DUMMYFUNCTION("""COMPUTED_VALUE"""),"XN Chuối LP3")</f>
        <v>XN Chuối LP3</v>
      </c>
      <c r="D2675" s="1076"/>
      <c r="E2675" s="1076"/>
      <c r="F2675" s="1076"/>
      <c r="G2675" s="1076"/>
      <c r="H2675" s="1076"/>
      <c r="I2675" s="1076"/>
      <c r="J2675" s="1076"/>
      <c r="K2675" s="1076">
        <f>IFERROR(__xludf.DUMMYFUNCTION("""COMPUTED_VALUE"""),6.5)</f>
        <v>6.5</v>
      </c>
      <c r="L2675" s="1076" t="str">
        <f>IFERROR(__xludf.DUMMYFUNCTION("""COMPUTED_VALUE"""),"-")</f>
        <v>-</v>
      </c>
    </row>
    <row r="2676" customHeight="1" spans="1:12">
      <c r="A2676" s="1076" t="str">
        <f>IFERROR(__xludf.DUMMYFUNCTION("""COMPUTED_VALUE"""),"TNL-XTA-027")</f>
        <v>TNL-XTA-027</v>
      </c>
      <c r="B2676" s="1075" t="str">
        <f>IFERROR(__xludf.DUMMYFUNCTION("""COMPUTED_VALUE"""),"Xe ben 15 tấn")</f>
        <v>Xe ben 15 tấn</v>
      </c>
      <c r="C2676" s="1076" t="str">
        <f>IFERROR(__xludf.DUMMYFUNCTION("""COMPUTED_VALUE"""),"XN Chuối LP3")</f>
        <v>XN Chuối LP3</v>
      </c>
      <c r="D2676" s="1076" t="str">
        <f>IFERROR(__xludf.DUMMYFUNCTION("""COMPUTED_VALUE"""),"HYUNDAI")</f>
        <v>HYUNDAI</v>
      </c>
      <c r="E2676" s="1076" t="str">
        <f>IFERROR(__xludf.DUMMYFUNCTION("""COMPUTED_VALUE"""),"HÀN QUỐC")</f>
        <v>HÀN QUỐC</v>
      </c>
      <c r="F2676" s="1076">
        <f>IFERROR(__xludf.DUMMYFUNCTION("""COMPUTED_VALUE"""),2001)</f>
        <v>2001</v>
      </c>
      <c r="G2676" s="1076" t="str">
        <f>IFERROR(__xludf.DUMMYFUNCTION("""COMPUTED_VALUE"""),"DUMPTRUCK")</f>
        <v>DUMPTRUCK</v>
      </c>
      <c r="H2676" s="1076" t="str">
        <f>IFERROR(__xludf.DUMMYFUNCTION("""COMPUTED_VALUE"""),"320HP")</f>
        <v>320HP</v>
      </c>
      <c r="I2676" s="1076" t="str">
        <f>IFERROR(__xludf.DUMMYFUNCTION("""COMPUTED_VALUE"""),"KMCDB1BYPTC100969")</f>
        <v>KMCDB1BYPTC100969</v>
      </c>
      <c r="J2676" s="1076" t="str">
        <f>IFERROR(__xludf.DUMMYFUNCTION("""COMPUTED_VALUE"""),"D8AYT157951")</f>
        <v>D8AYT157951</v>
      </c>
      <c r="K2676" s="1076"/>
      <c r="L2676" s="1076" t="str">
        <f>IFERROR(__xludf.DUMMYFUNCTION("""COMPUTED_VALUE"""),"-")</f>
        <v>-</v>
      </c>
    </row>
    <row r="2677" customHeight="1" spans="1:12">
      <c r="A2677" s="1076" t="str">
        <f>IFERROR(__xludf.DUMMYFUNCTION("""COMPUTED_VALUE"""),"TNL-XTA-028")</f>
        <v>TNL-XTA-028</v>
      </c>
      <c r="B2677" s="1075" t="str">
        <f>IFERROR(__xludf.DUMMYFUNCTION("""COMPUTED_VALUE"""),"Xe ben 15 tấn")</f>
        <v>Xe ben 15 tấn</v>
      </c>
      <c r="C2677" s="1076" t="str">
        <f>IFERROR(__xludf.DUMMYFUNCTION("""COMPUTED_VALUE"""),"CGTC LP")</f>
        <v>CGTC LP</v>
      </c>
      <c r="D2677" s="1076" t="str">
        <f>IFERROR(__xludf.DUMMYFUNCTION("""COMPUTED_VALUE"""),"HYUNDAI")</f>
        <v>HYUNDAI</v>
      </c>
      <c r="E2677" s="1076" t="str">
        <f>IFERROR(__xludf.DUMMYFUNCTION("""COMPUTED_VALUE"""),"HÀN QUỐC")</f>
        <v>HÀN QUỐC</v>
      </c>
      <c r="F2677" s="1076">
        <f>IFERROR(__xludf.DUMMYFUNCTION("""COMPUTED_VALUE"""),2001)</f>
        <v>2001</v>
      </c>
      <c r="G2677" s="1076" t="str">
        <f>IFERROR(__xludf.DUMMYFUNCTION("""COMPUTED_VALUE"""),"DUMPTRUCK")</f>
        <v>DUMPTRUCK</v>
      </c>
      <c r="H2677" s="1076" t="str">
        <f>IFERROR(__xludf.DUMMYFUNCTION("""COMPUTED_VALUE"""),"320HP")</f>
        <v>320HP</v>
      </c>
      <c r="I2677" s="1076" t="str">
        <f>IFERROR(__xludf.DUMMYFUNCTION("""COMPUTED_VALUE"""),"KMCD18YPSU019491")</f>
        <v>KMCD18YPSU019491</v>
      </c>
      <c r="J2677" s="1076" t="str">
        <f>IFERROR(__xludf.DUMMYFUNCTION("""COMPUTED_VALUE"""),"DSAYS133292")</f>
        <v>DSAYS133292</v>
      </c>
      <c r="K2677" s="1076">
        <f>IFERROR(__xludf.DUMMYFUNCTION("""COMPUTED_VALUE"""),8.03)</f>
        <v>8.03</v>
      </c>
      <c r="L2677" s="1076" t="str">
        <f>IFERROR(__xludf.DUMMYFUNCTION("""COMPUTED_VALUE"""),"-")</f>
        <v>-</v>
      </c>
    </row>
    <row r="2678" customHeight="1" spans="1:12">
      <c r="A2678" s="1076" t="str">
        <f>IFERROR(__xludf.DUMMYFUNCTION("""COMPUTED_VALUE"""),"TNL-XTA-029")</f>
        <v>TNL-XTA-029</v>
      </c>
      <c r="B2678" s="1075" t="str">
        <f>IFERROR(__xludf.DUMMYFUNCTION("""COMPUTED_VALUE"""),"Xe ben 15 tấn")</f>
        <v>Xe ben 15 tấn</v>
      </c>
      <c r="C2678" s="1076" t="str">
        <f>IFERROR(__xludf.DUMMYFUNCTION("""COMPUTED_VALUE"""),"CGTC LP")</f>
        <v>CGTC LP</v>
      </c>
      <c r="D2678" s="1076" t="str">
        <f>IFERROR(__xludf.DUMMYFUNCTION("""COMPUTED_VALUE"""),"HYUNDAI")</f>
        <v>HYUNDAI</v>
      </c>
      <c r="E2678" s="1076" t="str">
        <f>IFERROR(__xludf.DUMMYFUNCTION("""COMPUTED_VALUE"""),"HÀN QUỐC")</f>
        <v>HÀN QUỐC</v>
      </c>
      <c r="F2678" s="1076">
        <f>IFERROR(__xludf.DUMMYFUNCTION("""COMPUTED_VALUE"""),2006)</f>
        <v>2006</v>
      </c>
      <c r="G2678" s="1076"/>
      <c r="H2678" s="1076" t="str">
        <f>IFERROR(__xludf.DUMMYFUNCTION("""COMPUTED_VALUE"""),"340HP")</f>
        <v>340HP</v>
      </c>
      <c r="I2678" s="1076" t="str">
        <f>IFERROR(__xludf.DUMMYFUNCTION("""COMPUTED_VALUE"""),"KMCB18TP6C010455")</f>
        <v>KMCB18TP6C010455</v>
      </c>
      <c r="J2678" s="1076" t="str">
        <f>IFERROR(__xludf.DUMMYFUNCTION("""COMPUTED_VALUE"""),"D6CB6118340")</f>
        <v>D6CB6118340</v>
      </c>
      <c r="K2678" s="1076">
        <f>IFERROR(__xludf.DUMMYFUNCTION("""COMPUTED_VALUE"""),7.75)</f>
        <v>7.75</v>
      </c>
      <c r="L2678" s="1076" t="str">
        <f>IFERROR(__xludf.DUMMYFUNCTION("""COMPUTED_VALUE"""),"-")</f>
        <v>-</v>
      </c>
    </row>
    <row r="2679" customHeight="1" spans="1:12">
      <c r="A2679" s="1076" t="str">
        <f>IFERROR(__xludf.DUMMYFUNCTION("""COMPUTED_VALUE"""),"TNL-XTA-030")</f>
        <v>TNL-XTA-030</v>
      </c>
      <c r="B2679" s="1075" t="str">
        <f>IFERROR(__xludf.DUMMYFUNCTION("""COMPUTED_VALUE"""),"Xe ben 15 tấn")</f>
        <v>Xe ben 15 tấn</v>
      </c>
      <c r="C2679" s="1076" t="str">
        <f>IFERROR(__xludf.DUMMYFUNCTION("""COMPUTED_VALUE"""),"CGTC LP")</f>
        <v>CGTC LP</v>
      </c>
      <c r="D2679" s="1076" t="str">
        <f>IFERROR(__xludf.DUMMYFUNCTION("""COMPUTED_VALUE"""),"DAEWOO")</f>
        <v>DAEWOO</v>
      </c>
      <c r="E2679" s="1076" t="str">
        <f>IFERROR(__xludf.DUMMYFUNCTION("""COMPUTED_VALUE"""),"HÀN QUỐC")</f>
        <v>HÀN QUỐC</v>
      </c>
      <c r="F2679" s="1076">
        <f>IFERROR(__xludf.DUMMYFUNCTION("""COMPUTED_VALUE"""),1999)</f>
        <v>1999</v>
      </c>
      <c r="G2679" s="1076"/>
      <c r="H2679" s="1076" t="str">
        <f>IFERROR(__xludf.DUMMYFUNCTION("""COMPUTED_VALUE"""),"350HP")</f>
        <v>350HP</v>
      </c>
      <c r="I2679" s="1076" t="str">
        <f>IFERROR(__xludf.DUMMYFUNCTION("""COMPUTED_VALUE"""),"KL4YB44T1XK000006")</f>
        <v>KL4YB44T1XK000006</v>
      </c>
      <c r="J2679" s="1076" t="str">
        <f>IFERROR(__xludf.DUMMYFUNCTION("""COMPUTED_VALUE"""),"DV15T1800003CB")</f>
        <v>DV15T1800003CB</v>
      </c>
      <c r="K2679" s="1076">
        <f>IFERROR(__xludf.DUMMYFUNCTION("""COMPUTED_VALUE"""),8.02)</f>
        <v>8.02</v>
      </c>
      <c r="L2679" s="1076" t="str">
        <f>IFERROR(__xludf.DUMMYFUNCTION("""COMPUTED_VALUE"""),"-")</f>
        <v>-</v>
      </c>
    </row>
    <row r="2680" customHeight="1" spans="1:12">
      <c r="A2680" s="1076" t="str">
        <f>IFERROR(__xludf.DUMMYFUNCTION("""COMPUTED_VALUE"""),"TNL-XTA-031")</f>
        <v>TNL-XTA-031</v>
      </c>
      <c r="B2680" s="1075" t="str">
        <f>IFERROR(__xludf.DUMMYFUNCTION("""COMPUTED_VALUE"""),"Xe ben 5 tấn")</f>
        <v>Xe ben 5 tấn</v>
      </c>
      <c r="C2680" s="1076" t="str">
        <f>IFERROR(__xludf.DUMMYFUNCTION("""COMPUTED_VALUE"""),"XN Chuối LP3")</f>
        <v>XN Chuối LP3</v>
      </c>
      <c r="D2680" s="1076" t="str">
        <f>IFERROR(__xludf.DUMMYFUNCTION("""COMPUTED_VALUE"""),"HINO")</f>
        <v>HINO</v>
      </c>
      <c r="E2680" s="1076"/>
      <c r="F2680" s="1076">
        <f>IFERROR(__xludf.DUMMYFUNCTION("""COMPUTED_VALUE"""),2000)</f>
        <v>2000</v>
      </c>
      <c r="G2680" s="1076" t="str">
        <f>IFERROR(__xludf.DUMMYFUNCTION("""COMPUTED_VALUE"""),"DUMPTRUCK")</f>
        <v>DUMPTRUCK</v>
      </c>
      <c r="H2680" s="1076" t="str">
        <f>IFERROR(__xludf.DUMMYFUNCTION("""COMPUTED_VALUE"""),"183HP")</f>
        <v>183HP</v>
      </c>
      <c r="I2680" s="1076" t="str">
        <f>IFERROR(__xludf.DUMMYFUNCTION("""COMPUTED_VALUE"""),"KN3LAP842YK004887")</f>
        <v>KN3LAP842YK004887</v>
      </c>
      <c r="J2680" s="1076" t="str">
        <f>IFERROR(__xludf.DUMMYFUNCTION("""COMPUTED_VALUE"""),"K7001448")</f>
        <v>K7001448</v>
      </c>
      <c r="K2680" s="1076">
        <f>IFERROR(__xludf.DUMMYFUNCTION("""COMPUTED_VALUE"""),5)</f>
        <v>5</v>
      </c>
      <c r="L2680" s="1076" t="str">
        <f>IFERROR(__xludf.DUMMYFUNCTION("""COMPUTED_VALUE"""),"-")</f>
        <v>-</v>
      </c>
    </row>
    <row r="2681" customHeight="1" spans="1:12">
      <c r="A2681" s="1076" t="str">
        <f>IFERROR(__xludf.DUMMYFUNCTION("""COMPUTED_VALUE"""),"TNL-XTA-032")</f>
        <v>TNL-XTA-032</v>
      </c>
      <c r="B2681" s="1075" t="str">
        <f>IFERROR(__xludf.DUMMYFUNCTION("""COMPUTED_VALUE"""),"Xe ben 5 tấn")</f>
        <v>Xe ben 5 tấn</v>
      </c>
      <c r="C2681" s="1076" t="str">
        <f>IFERROR(__xludf.DUMMYFUNCTION("""COMPUTED_VALUE"""),"CGTC LP")</f>
        <v>CGTC LP</v>
      </c>
      <c r="D2681" s="1076" t="str">
        <f>IFERROR(__xludf.DUMMYFUNCTION("""COMPUTED_VALUE"""),"HYUNDAI")</f>
        <v>HYUNDAI</v>
      </c>
      <c r="E2681" s="1076" t="str">
        <f>IFERROR(__xludf.DUMMYFUNCTION("""COMPUTED_VALUE"""),"HÀN QUỐC")</f>
        <v>HÀN QUỐC</v>
      </c>
      <c r="F2681" s="1076">
        <f>IFERROR(__xludf.DUMMYFUNCTION("""COMPUTED_VALUE"""),1994)</f>
        <v>1994</v>
      </c>
      <c r="G2681" s="1076" t="str">
        <f>IFERROR(__xludf.DUMMYFUNCTION("""COMPUTED_VALUE"""),"DUMPTRUCK")</f>
        <v>DUMPTRUCK</v>
      </c>
      <c r="H2681" s="1076" t="str">
        <f>IFERROR(__xludf.DUMMYFUNCTION("""COMPUTED_VALUE"""),"170HP")</f>
        <v>170HP</v>
      </c>
      <c r="I2681" s="1076" t="str">
        <f>IFERROR(__xludf.DUMMYFUNCTION("""COMPUTED_VALUE"""),"KMFMA16HPSU026599")</f>
        <v>KMFMA16HPSU026599</v>
      </c>
      <c r="J2681" s="1076" t="str">
        <f>IFERROR(__xludf.DUMMYFUNCTION("""COMPUTED_VALUE"""),"D6BRY00884")</f>
        <v>D6BRY00884</v>
      </c>
      <c r="K2681" s="1076">
        <f>IFERROR(__xludf.DUMMYFUNCTION("""COMPUTED_VALUE"""),4.9)</f>
        <v>4.9</v>
      </c>
      <c r="L2681" s="1076" t="str">
        <f>IFERROR(__xludf.DUMMYFUNCTION("""COMPUTED_VALUE"""),"-")</f>
        <v>-</v>
      </c>
    </row>
    <row r="2682" customHeight="1" spans="1:12">
      <c r="A2682" s="1076" t="str">
        <f>IFERROR(__xludf.DUMMYFUNCTION("""COMPUTED_VALUE"""),"TNL-XTA-033")</f>
        <v>TNL-XTA-033</v>
      </c>
      <c r="B2682" s="1075" t="str">
        <f>IFERROR(__xludf.DUMMYFUNCTION("""COMPUTED_VALUE"""),"Xe ben 5 tấn")</f>
        <v>Xe ben 5 tấn</v>
      </c>
      <c r="C2682" s="1076" t="str">
        <f>IFERROR(__xludf.DUMMYFUNCTION("""COMPUTED_VALUE"""),"CGTC LP")</f>
        <v>CGTC LP</v>
      </c>
      <c r="D2682" s="1076" t="str">
        <f>IFERROR(__xludf.DUMMYFUNCTION("""COMPUTED_VALUE"""),"HYUNDAI")</f>
        <v>HYUNDAI</v>
      </c>
      <c r="E2682" s="1076" t="str">
        <f>IFERROR(__xludf.DUMMYFUNCTION("""COMPUTED_VALUE"""),"HÀ̀N QUỐC")</f>
        <v>HÀ̀N QUỐC</v>
      </c>
      <c r="F2682" s="1076">
        <f>IFERROR(__xludf.DUMMYFUNCTION("""COMPUTED_VALUE"""),1997)</f>
        <v>1997</v>
      </c>
      <c r="G2682" s="1076" t="str">
        <f>IFERROR(__xludf.DUMMYFUNCTION("""COMPUTED_VALUE"""),"DUMPTRUCK")</f>
        <v>DUMPTRUCK</v>
      </c>
      <c r="H2682" s="1076" t="str">
        <f>IFERROR(__xludf.DUMMYFUNCTION("""COMPUTED_VALUE"""),"170HP")</f>
        <v>170HP</v>
      </c>
      <c r="I2682" s="1076" t="str">
        <f>IFERROR(__xludf.DUMMYFUNCTION("""COMPUTED_VALUE"""),"KMFLA195PVC115786")</f>
        <v>KMFLA195PVC115786</v>
      </c>
      <c r="J2682" s="1076" t="str">
        <f>IFERROR(__xludf.DUMMYFUNCTION("""COMPUTED_VALUE"""),"115786")</f>
        <v>115786</v>
      </c>
      <c r="K2682" s="1076">
        <f>IFERROR(__xludf.DUMMYFUNCTION("""COMPUTED_VALUE"""),4.9)</f>
        <v>4.9</v>
      </c>
      <c r="L2682" s="1076" t="str">
        <f>IFERROR(__xludf.DUMMYFUNCTION("""COMPUTED_VALUE"""),"-")</f>
        <v>-</v>
      </c>
    </row>
    <row r="2683" customHeight="1" spans="1:12">
      <c r="A2683" s="1076" t="str">
        <f>IFERROR(__xludf.DUMMYFUNCTION("""COMPUTED_VALUE"""),"TNL-XTA-034")</f>
        <v>TNL-XTA-034</v>
      </c>
      <c r="B2683" s="1075" t="str">
        <f>IFERROR(__xludf.DUMMYFUNCTION("""COMPUTED_VALUE"""),"Xe ben 5 tấn")</f>
        <v>Xe ben 5 tấn</v>
      </c>
      <c r="C2683" s="1076" t="str">
        <f>IFERROR(__xludf.DUMMYFUNCTION("""COMPUTED_VALUE"""),"CGTC LP")</f>
        <v>CGTC LP</v>
      </c>
      <c r="D2683" s="1076" t="str">
        <f>IFERROR(__xludf.DUMMYFUNCTION("""COMPUTED_VALUE"""),"HYUNDAI")</f>
        <v>HYUNDAI</v>
      </c>
      <c r="E2683" s="1076" t="str">
        <f>IFERROR(__xludf.DUMMYFUNCTION("""COMPUTED_VALUE"""),"HÀN QUỐC")</f>
        <v>HÀN QUỐC</v>
      </c>
      <c r="F2683" s="1076">
        <f>IFERROR(__xludf.DUMMYFUNCTION("""COMPUTED_VALUE"""),1995)</f>
        <v>1995</v>
      </c>
      <c r="G2683" s="1076" t="str">
        <f>IFERROR(__xludf.DUMMYFUNCTION("""COMPUTED_VALUE"""),"DUMPTRUCK")</f>
        <v>DUMPTRUCK</v>
      </c>
      <c r="H2683" s="1076" t="str">
        <f>IFERROR(__xludf.DUMMYFUNCTION("""COMPUTED_VALUE"""),"170HP")</f>
        <v>170HP</v>
      </c>
      <c r="I2683" s="1076" t="str">
        <f>IFERROR(__xludf.DUMMYFUNCTION("""COMPUTED_VALUE"""),"KMFLA19JPSU023762")</f>
        <v>KMFLA19JPSU023762</v>
      </c>
      <c r="J2683" s="1076" t="str">
        <f>IFERROR(__xludf.DUMMYFUNCTION("""COMPUTED_VALUE"""),"D6BJS136176")</f>
        <v>D6BJS136176</v>
      </c>
      <c r="K2683" s="1076">
        <f>IFERROR(__xludf.DUMMYFUNCTION("""COMPUTED_VALUE"""),4)</f>
        <v>4</v>
      </c>
      <c r="L2683" s="1076" t="str">
        <f>IFERROR(__xludf.DUMMYFUNCTION("""COMPUTED_VALUE"""),"-")</f>
        <v>-</v>
      </c>
    </row>
    <row r="2684" customHeight="1" spans="1:12">
      <c r="A2684" s="1076" t="str">
        <f>IFERROR(__xludf.DUMMYFUNCTION("""COMPUTED_VALUE"""),"TNL-XTA-035")</f>
        <v>TNL-XTA-035</v>
      </c>
      <c r="B2684" s="1075" t="str">
        <f>IFERROR(__xludf.DUMMYFUNCTION("""COMPUTED_VALUE"""),"Xe ben 5 tấn")</f>
        <v>Xe ben 5 tấn</v>
      </c>
      <c r="C2684" s="1076" t="str">
        <f>IFERROR(__xludf.DUMMYFUNCTION("""COMPUTED_VALUE"""),"XN Chuối LP3")</f>
        <v>XN Chuối LP3</v>
      </c>
      <c r="D2684" s="1076" t="str">
        <f>IFERROR(__xludf.DUMMYFUNCTION("""COMPUTED_VALUE"""),"HYUNDAI")</f>
        <v>HYUNDAI</v>
      </c>
      <c r="E2684" s="1076" t="str">
        <f>IFERROR(__xludf.DUMMYFUNCTION("""COMPUTED_VALUE"""),"HÀN QUỐC")</f>
        <v>HÀN QUỐC</v>
      </c>
      <c r="F2684" s="1076">
        <f>IFERROR(__xludf.DUMMYFUNCTION("""COMPUTED_VALUE"""),1993)</f>
        <v>1993</v>
      </c>
      <c r="G2684" s="1076" t="str">
        <f>IFERROR(__xludf.DUMMYFUNCTION("""COMPUTED_VALUE"""),"DUMPTRUCK")</f>
        <v>DUMPTRUCK</v>
      </c>
      <c r="H2684" s="1076" t="str">
        <f>IFERROR(__xludf.DUMMYFUNCTION("""COMPUTED_VALUE"""),"170HP")</f>
        <v>170HP</v>
      </c>
      <c r="I2684" s="1076" t="str">
        <f>IFERROR(__xludf.DUMMYFUNCTION("""COMPUTED_VALUE"""),"KMCBLB175PU014779")</f>
        <v>KMCBLB175PU014779</v>
      </c>
      <c r="J2684" s="1076" t="str">
        <f>IFERROR(__xludf.DUMMYFUNCTION("""COMPUTED_VALUE"""),"NIL")</f>
        <v>NIL</v>
      </c>
      <c r="K2684" s="1076">
        <f>IFERROR(__xludf.DUMMYFUNCTION("""COMPUTED_VALUE"""),5)</f>
        <v>5</v>
      </c>
      <c r="L2684" s="1076" t="str">
        <f>IFERROR(__xludf.DUMMYFUNCTION("""COMPUTED_VALUE"""),"-")</f>
        <v>-</v>
      </c>
    </row>
    <row r="2685" customHeight="1" spans="1:12">
      <c r="A2685" s="1076" t="str">
        <f>IFERROR(__xludf.DUMMYFUNCTION("""COMPUTED_VALUE"""),"TNL-XTA-036")</f>
        <v>TNL-XTA-036</v>
      </c>
      <c r="B2685" s="1075" t="str">
        <f>IFERROR(__xludf.DUMMYFUNCTION("""COMPUTED_VALUE"""),"Xe ben 5 tấn")</f>
        <v>Xe ben 5 tấn</v>
      </c>
      <c r="C2685" s="1076" t="str">
        <f>IFERROR(__xludf.DUMMYFUNCTION("""COMPUTED_VALUE"""),"XN Chuối LP3")</f>
        <v>XN Chuối LP3</v>
      </c>
      <c r="D2685" s="1076" t="str">
        <f>IFERROR(__xludf.DUMMYFUNCTION("""COMPUTED_VALUE"""),"HYUNDAI")</f>
        <v>HYUNDAI</v>
      </c>
      <c r="E2685" s="1076" t="str">
        <f>IFERROR(__xludf.DUMMYFUNCTION("""COMPUTED_VALUE"""),"HÀN QUỐC")</f>
        <v>HÀN QUỐC</v>
      </c>
      <c r="F2685" s="1076">
        <f>IFERROR(__xludf.DUMMYFUNCTION("""COMPUTED_VALUE"""),1997)</f>
        <v>1997</v>
      </c>
      <c r="G2685" s="1076" t="str">
        <f>IFERROR(__xludf.DUMMYFUNCTION("""COMPUTED_VALUE"""),"DUMPTRUCK")</f>
        <v>DUMPTRUCK</v>
      </c>
      <c r="H2685" s="1076" t="str">
        <f>IFERROR(__xludf.DUMMYFUNCTION("""COMPUTED_VALUE"""),"170HP")</f>
        <v>170HP</v>
      </c>
      <c r="I2685" s="1076" t="str">
        <f>IFERROR(__xludf.DUMMYFUNCTION("""COMPUTED_VALUE"""),"KMCLP175PVCV0501")</f>
        <v>KMCLP175PVCV0501</v>
      </c>
      <c r="J2685" s="1076" t="str">
        <f>IFERROR(__xludf.DUMMYFUNCTION("""COMPUTED_VALUE"""),"D6B5T004450")</f>
        <v>D6B5T004450</v>
      </c>
      <c r="K2685" s="1076">
        <f>IFERROR(__xludf.DUMMYFUNCTION("""COMPUTED_VALUE"""),5)</f>
        <v>5</v>
      </c>
      <c r="L2685" s="1076" t="str">
        <f>IFERROR(__xludf.DUMMYFUNCTION("""COMPUTED_VALUE"""),"-")</f>
        <v>-</v>
      </c>
    </row>
    <row r="2686" customHeight="1" spans="1:12">
      <c r="A2686" s="1076" t="str">
        <f>IFERROR(__xludf.DUMMYFUNCTION("""COMPUTED_VALUE"""),"TNL-XTA-037")</f>
        <v>TNL-XTA-037</v>
      </c>
      <c r="B2686" s="1075" t="str">
        <f>IFERROR(__xludf.DUMMYFUNCTION("""COMPUTED_VALUE"""),"Xe ben 5 tấn")</f>
        <v>Xe ben 5 tấn</v>
      </c>
      <c r="C2686" s="1076" t="str">
        <f>IFERROR(__xludf.DUMMYFUNCTION("""COMPUTED_VALUE"""),"XN Chuối LP3")</f>
        <v>XN Chuối LP3</v>
      </c>
      <c r="D2686" s="1076" t="str">
        <f>IFERROR(__xludf.DUMMYFUNCTION("""COMPUTED_VALUE"""),"HYUNDAI")</f>
        <v>HYUNDAI</v>
      </c>
      <c r="E2686" s="1076" t="str">
        <f>IFERROR(__xludf.DUMMYFUNCTION("""COMPUTED_VALUE"""),"HÀN QUỐC")</f>
        <v>HÀN QUỐC</v>
      </c>
      <c r="F2686" s="1076">
        <f>IFERROR(__xludf.DUMMYFUNCTION("""COMPUTED_VALUE"""),1994)</f>
        <v>1994</v>
      </c>
      <c r="G2686" s="1076" t="str">
        <f>IFERROR(__xludf.DUMMYFUNCTION("""COMPUTED_VALUE"""),"DUMPTRUCK")</f>
        <v>DUMPTRUCK</v>
      </c>
      <c r="H2686" s="1076" t="str">
        <f>IFERROR(__xludf.DUMMYFUNCTION("""COMPUTED_VALUE"""),"170HP")</f>
        <v>170HP</v>
      </c>
      <c r="I2686" s="1076" t="str">
        <f>IFERROR(__xludf.DUMMYFUNCTION("""COMPUTED_VALUE"""),"KMFIA195PPU021868")</f>
        <v>KMFIA195PPU021868</v>
      </c>
      <c r="J2686" s="1076" t="str">
        <f>IFERROR(__xludf.DUMMYFUNCTION("""COMPUTED_VALUE"""),"D6RJR129680")</f>
        <v>D6RJR129680</v>
      </c>
      <c r="K2686" s="1076">
        <f>IFERROR(__xludf.DUMMYFUNCTION("""COMPUTED_VALUE"""),5)</f>
        <v>5</v>
      </c>
      <c r="L2686" s="1076" t="str">
        <f>IFERROR(__xludf.DUMMYFUNCTION("""COMPUTED_VALUE"""),"-")</f>
        <v>-</v>
      </c>
    </row>
    <row r="2687" customHeight="1" spans="1:12">
      <c r="A2687" s="1076" t="str">
        <f>IFERROR(__xludf.DUMMYFUNCTION("""COMPUTED_VALUE"""),"TNL-XTA-038")</f>
        <v>TNL-XTA-038</v>
      </c>
      <c r="B2687" s="1075" t="str">
        <f>IFERROR(__xludf.DUMMYFUNCTION("""COMPUTED_VALUE"""),"Xe ben 5 tấn")</f>
        <v>Xe ben 5 tấn</v>
      </c>
      <c r="C2687" s="1076" t="str">
        <f>IFERROR(__xludf.DUMMYFUNCTION("""COMPUTED_VALUE"""),"CGTC LP")</f>
        <v>CGTC LP</v>
      </c>
      <c r="D2687" s="1076" t="str">
        <f>IFERROR(__xludf.DUMMYFUNCTION("""COMPUTED_VALUE"""),"HYUNDAI")</f>
        <v>HYUNDAI</v>
      </c>
      <c r="E2687" s="1076" t="str">
        <f>IFERROR(__xludf.DUMMYFUNCTION("""COMPUTED_VALUE"""),"HÀN QUỐC")</f>
        <v>HÀN QUỐC</v>
      </c>
      <c r="F2687" s="1076">
        <f>IFERROR(__xludf.DUMMYFUNCTION("""COMPUTED_VALUE"""),1997)</f>
        <v>1997</v>
      </c>
      <c r="G2687" s="1076"/>
      <c r="H2687" s="1076" t="str">
        <f>IFERROR(__xludf.DUMMYFUNCTION("""COMPUTED_VALUE"""),"187HP")</f>
        <v>187HP</v>
      </c>
      <c r="I2687" s="1076" t="str">
        <f>IFERROR(__xludf.DUMMYFUNCTION("""COMPUTED_VALUE"""),"KMFLA19RPVC112155")</f>
        <v>KMFLA19RPVC112155</v>
      </c>
      <c r="J2687" s="1076" t="str">
        <f>IFERROR(__xludf.DUMMYFUNCTION("""COMPUTED_VALUE"""),"D6BRV005680")</f>
        <v>D6BRV005680</v>
      </c>
      <c r="K2687" s="1076">
        <f>IFERROR(__xludf.DUMMYFUNCTION("""COMPUTED_VALUE"""),4.8)</f>
        <v>4.8</v>
      </c>
      <c r="L2687" s="1076" t="str">
        <f>IFERROR(__xludf.DUMMYFUNCTION("""COMPUTED_VALUE"""),"-")</f>
        <v>-</v>
      </c>
    </row>
    <row r="2688" customHeight="1" spans="1:12">
      <c r="A2688" s="1076" t="str">
        <f>IFERROR(__xludf.DUMMYFUNCTION("""COMPUTED_VALUE"""),"TNL-XTA-039")</f>
        <v>TNL-XTA-039</v>
      </c>
      <c r="B2688" s="1075" t="str">
        <f>IFERROR(__xludf.DUMMYFUNCTION("""COMPUTED_VALUE"""),"Xe ben 5 tấn")</f>
        <v>Xe ben 5 tấn</v>
      </c>
      <c r="C2688" s="1076" t="str">
        <f>IFERROR(__xludf.DUMMYFUNCTION("""COMPUTED_VALUE"""),"CGTC LP")</f>
        <v>CGTC LP</v>
      </c>
      <c r="D2688" s="1076" t="str">
        <f>IFERROR(__xludf.DUMMYFUNCTION("""COMPUTED_VALUE"""),"HYUNDAI")</f>
        <v>HYUNDAI</v>
      </c>
      <c r="E2688" s="1076"/>
      <c r="F2688" s="1076">
        <f>IFERROR(__xludf.DUMMYFUNCTION("""COMPUTED_VALUE"""),1996)</f>
        <v>1996</v>
      </c>
      <c r="G2688" s="1076"/>
      <c r="H2688" s="1076" t="str">
        <f>IFERROR(__xludf.DUMMYFUNCTION("""COMPUTED_VALUE"""),"181HP")</f>
        <v>181HP</v>
      </c>
      <c r="I2688" s="1076" t="str">
        <f>IFERROR(__xludf.DUMMYFUNCTION("""COMPUTED_VALUE"""),"KMFLA19JPTC106176")</f>
        <v>KMFLA19JPTC106176</v>
      </c>
      <c r="J2688" s="1076" t="str">
        <f>IFERROR(__xludf.DUMMYFUNCTION("""COMPUTED_VALUE"""),"D6BJT168643")</f>
        <v>D6BJT168643</v>
      </c>
      <c r="K2688" s="1076">
        <f>IFERROR(__xludf.DUMMYFUNCTION("""COMPUTED_VALUE"""),4.8)</f>
        <v>4.8</v>
      </c>
      <c r="L2688" s="1076" t="str">
        <f>IFERROR(__xludf.DUMMYFUNCTION("""COMPUTED_VALUE"""),"-")</f>
        <v>-</v>
      </c>
    </row>
    <row r="2689" customHeight="1" spans="1:12">
      <c r="A2689" s="1076" t="str">
        <f>IFERROR(__xludf.DUMMYFUNCTION("""COMPUTED_VALUE"""),"TNL-XTA-040")</f>
        <v>TNL-XTA-040</v>
      </c>
      <c r="B2689" s="1075" t="str">
        <f>IFERROR(__xludf.DUMMYFUNCTION("""COMPUTED_VALUE"""),"Xe ben 5 tấn")</f>
        <v>Xe ben 5 tấn</v>
      </c>
      <c r="C2689" s="1076" t="str">
        <f>IFERROR(__xludf.DUMMYFUNCTION("""COMPUTED_VALUE"""),"CGTC LP")</f>
        <v>CGTC LP</v>
      </c>
      <c r="D2689" s="1076" t="str">
        <f>IFERROR(__xludf.DUMMYFUNCTION("""COMPUTED_VALUE"""),"HYUNDAI")</f>
        <v>HYUNDAI</v>
      </c>
      <c r="E2689" s="1076"/>
      <c r="F2689" s="1076">
        <f>IFERROR(__xludf.DUMMYFUNCTION("""COMPUTED_VALUE"""),1993)</f>
        <v>1993</v>
      </c>
      <c r="G2689" s="1076"/>
      <c r="H2689" s="1076" t="str">
        <f>IFERROR(__xludf.DUMMYFUNCTION("""COMPUTED_VALUE"""),"170HP")</f>
        <v>170HP</v>
      </c>
      <c r="I2689" s="1076" t="str">
        <f>IFERROR(__xludf.DUMMYFUNCTION("""COMPUTED_VALUE"""),"KMCLB17JPPU014779")</f>
        <v>KMCLB17JPPU014779</v>
      </c>
      <c r="J2689" s="1076" t="str">
        <f>IFERROR(__xludf.DUMMYFUNCTION("""COMPUTED_VALUE"""),"6353")</f>
        <v>6353</v>
      </c>
      <c r="K2689" s="1076">
        <f>IFERROR(__xludf.DUMMYFUNCTION("""COMPUTED_VALUE"""),4.8)</f>
        <v>4.8</v>
      </c>
      <c r="L2689" s="1076" t="str">
        <f>IFERROR(__xludf.DUMMYFUNCTION("""COMPUTED_VALUE"""),"-")</f>
        <v>-</v>
      </c>
    </row>
    <row r="2690" customHeight="1" spans="1:12">
      <c r="A2690" s="1076" t="str">
        <f>IFERROR(__xludf.DUMMYFUNCTION("""COMPUTED_VALUE"""),"TNL-XTA-041")</f>
        <v>TNL-XTA-041</v>
      </c>
      <c r="B2690" s="1075" t="str">
        <f>IFERROR(__xludf.DUMMYFUNCTION("""COMPUTED_VALUE"""),"Xe ben 5 tấn")</f>
        <v>Xe ben 5 tấn</v>
      </c>
      <c r="C2690" s="1076" t="str">
        <f>IFERROR(__xludf.DUMMYFUNCTION("""COMPUTED_VALUE"""),"CGTC LP")</f>
        <v>CGTC LP</v>
      </c>
      <c r="D2690" s="1076" t="str">
        <f>IFERROR(__xludf.DUMMYFUNCTION("""COMPUTED_VALUE"""),"HYUNDAI")</f>
        <v>HYUNDAI</v>
      </c>
      <c r="E2690" s="1076"/>
      <c r="F2690" s="1076">
        <f>IFERROR(__xludf.DUMMYFUNCTION("""COMPUTED_VALUE"""),2001)</f>
        <v>2001</v>
      </c>
      <c r="G2690" s="1076"/>
      <c r="H2690" s="1076" t="str">
        <f>IFERROR(__xludf.DUMMYFUNCTION("""COMPUTED_VALUE"""),"196HP")</f>
        <v>196HP</v>
      </c>
      <c r="I2690" s="1076" t="str">
        <f>IFERROR(__xludf.DUMMYFUNCTION("""COMPUTED_VALUE"""),"KMFLA19AP1C021312")</f>
        <v>KMFLA19AP1C021312</v>
      </c>
      <c r="J2690" s="1076" t="str">
        <f>IFERROR(__xludf.DUMMYFUNCTION("""COMPUTED_VALUE"""),"1201701")</f>
        <v>1201701</v>
      </c>
      <c r="K2690" s="1076">
        <f>IFERROR(__xludf.DUMMYFUNCTION("""COMPUTED_VALUE"""),4.8)</f>
        <v>4.8</v>
      </c>
      <c r="L2690" s="1076" t="str">
        <f>IFERROR(__xludf.DUMMYFUNCTION("""COMPUTED_VALUE"""),"-")</f>
        <v>-</v>
      </c>
    </row>
    <row r="2691" customHeight="1" spans="1:12">
      <c r="A2691" s="1076" t="str">
        <f>IFERROR(__xludf.DUMMYFUNCTION("""COMPUTED_VALUE"""),"TNL-XTA-042")</f>
        <v>TNL-XTA-042</v>
      </c>
      <c r="B2691" s="1075" t="str">
        <f>IFERROR(__xludf.DUMMYFUNCTION("""COMPUTED_VALUE"""),"Xe ben 5 tấn")</f>
        <v>Xe ben 5 tấn</v>
      </c>
      <c r="C2691" s="1076" t="str">
        <f>IFERROR(__xludf.DUMMYFUNCTION("""COMPUTED_VALUE"""),"CGTC LP")</f>
        <v>CGTC LP</v>
      </c>
      <c r="D2691" s="1076" t="str">
        <f>IFERROR(__xludf.DUMMYFUNCTION("""COMPUTED_VALUE"""),"HYUNDAI")</f>
        <v>HYUNDAI</v>
      </c>
      <c r="E2691" s="1076" t="str">
        <f>IFERROR(__xludf.DUMMYFUNCTION("""COMPUTED_VALUE"""),"HÀN QUỐC")</f>
        <v>HÀN QUỐC</v>
      </c>
      <c r="F2691" s="1076">
        <f>IFERROR(__xludf.DUMMYFUNCTION("""COMPUTED_VALUE"""),2000)</f>
        <v>2000</v>
      </c>
      <c r="G2691" s="1076" t="str">
        <f>IFERROR(__xludf.DUMMYFUNCTION("""COMPUTED_VALUE"""),"HEAVY TRUCK")</f>
        <v>HEAVY TRUCK</v>
      </c>
      <c r="H2691" s="1076" t="str">
        <f>IFERROR(__xludf.DUMMYFUNCTION("""COMPUTED_VALUE"""),"181HP")</f>
        <v>181HP</v>
      </c>
      <c r="I2691" s="1076" t="str">
        <f>IFERROR(__xludf.DUMMYFUNCTION("""COMPUTED_VALUE"""),"KMFLA19RPYC011996")</f>
        <v>KMFLA19RPYC011996</v>
      </c>
      <c r="J2691" s="1076" t="str">
        <f>IFERROR(__xludf.DUMMYFUNCTION("""COMPUTED_VALUE"""),"D6BRY030010")</f>
        <v>D6BRY030010</v>
      </c>
      <c r="K2691" s="1076"/>
      <c r="L2691" s="1076" t="str">
        <f>IFERROR(__xludf.DUMMYFUNCTION("""COMPUTED_VALUE"""),"-")</f>
        <v>-</v>
      </c>
    </row>
    <row r="2692" customHeight="1" spans="1:12">
      <c r="A2692" s="1076" t="str">
        <f>IFERROR(__xludf.DUMMYFUNCTION("""COMPUTED_VALUE"""),"TNL-XTA-043")</f>
        <v>TNL-XTA-043</v>
      </c>
      <c r="B2692" s="1075" t="str">
        <f>IFERROR(__xludf.DUMMYFUNCTION("""COMPUTED_VALUE"""),"Xe ben 5 tấn")</f>
        <v>Xe ben 5 tấn</v>
      </c>
      <c r="C2692" s="1076" t="str">
        <f>IFERROR(__xludf.DUMMYFUNCTION("""COMPUTED_VALUE"""),"CGTC LP")</f>
        <v>CGTC LP</v>
      </c>
      <c r="D2692" s="1076" t="str">
        <f>IFERROR(__xludf.DUMMYFUNCTION("""COMPUTED_VALUE"""),"HYUNDAI")</f>
        <v>HYUNDAI</v>
      </c>
      <c r="E2692" s="1076" t="str">
        <f>IFERROR(__xludf.DUMMYFUNCTION("""COMPUTED_VALUE"""),"HÀN QUỐC")</f>
        <v>HÀN QUỐC</v>
      </c>
      <c r="F2692" s="1076">
        <f>IFERROR(__xludf.DUMMYFUNCTION("""COMPUTED_VALUE"""),1999)</f>
        <v>1999</v>
      </c>
      <c r="G2692" s="1076" t="str">
        <f>IFERROR(__xludf.DUMMYFUNCTION("""COMPUTED_VALUE"""),"HEAVY TRUCK")</f>
        <v>HEAVY TRUCK</v>
      </c>
      <c r="H2692" s="1076" t="str">
        <f>IFERROR(__xludf.DUMMYFUNCTION("""COMPUTED_VALUE"""),"170HP")</f>
        <v>170HP</v>
      </c>
      <c r="I2692" s="1076" t="str">
        <f>IFERROR(__xludf.DUMMYFUNCTION("""COMPUTED_VALUE"""),"KMFLA19RPXC008358")</f>
        <v>KMFLA19RPXC008358</v>
      </c>
      <c r="J2692" s="1076" t="str">
        <f>IFERROR(__xludf.DUMMYFUNCTION("""COMPUTED_VALUE"""),"D6BRX025565")</f>
        <v>D6BRX025565</v>
      </c>
      <c r="K2692" s="1076"/>
      <c r="L2692" s="1076" t="str">
        <f>IFERROR(__xludf.DUMMYFUNCTION("""COMPUTED_VALUE"""),"-")</f>
        <v>-</v>
      </c>
    </row>
    <row r="2693" customHeight="1" spans="1:12">
      <c r="A2693" s="1076" t="str">
        <f>IFERROR(__xludf.DUMMYFUNCTION("""COMPUTED_VALUE"""),"TNL-XTA-044")</f>
        <v>TNL-XTA-044</v>
      </c>
      <c r="B2693" s="1075" t="str">
        <f>IFERROR(__xludf.DUMMYFUNCTION("""COMPUTED_VALUE"""),"Xe ben 5 tấn")</f>
        <v>Xe ben 5 tấn</v>
      </c>
      <c r="C2693" s="1076" t="str">
        <f>IFERROR(__xludf.DUMMYFUNCTION("""COMPUTED_VALUE"""),"CGTC LP")</f>
        <v>CGTC LP</v>
      </c>
      <c r="D2693" s="1076" t="str">
        <f>IFERROR(__xludf.DUMMYFUNCTION("""COMPUTED_VALUE"""),"HYUNDAI")</f>
        <v>HYUNDAI</v>
      </c>
      <c r="E2693" s="1076" t="str">
        <f>IFERROR(__xludf.DUMMYFUNCTION("""COMPUTED_VALUE"""),"HÀN QUỐC")</f>
        <v>HÀN QUỐC</v>
      </c>
      <c r="F2693" s="1076">
        <f>IFERROR(__xludf.DUMMYFUNCTION("""COMPUTED_VALUE"""),2004)</f>
        <v>2004</v>
      </c>
      <c r="G2693" s="1076" t="str">
        <f>IFERROR(__xludf.DUMMYFUNCTION("""COMPUTED_VALUE"""),"HEAVY TRUCK")</f>
        <v>HEAVY TRUCK</v>
      </c>
      <c r="H2693" s="1076" t="str">
        <f>IFERROR(__xludf.DUMMYFUNCTION("""COMPUTED_VALUE"""),"170HP")</f>
        <v>170HP</v>
      </c>
      <c r="I2693" s="1076" t="str">
        <f>IFERROR(__xludf.DUMMYFUNCTION("""COMPUTED_VALUE"""),"KMFLA18AP4C048950")</f>
        <v>KMFLA18AP4C048950</v>
      </c>
      <c r="J2693" s="1076" t="str">
        <f>IFERROR(__xludf.DUMMYFUNCTION("""COMPUTED_VALUE"""),"D6DA4223832")</f>
        <v>D6DA4223832</v>
      </c>
      <c r="K2693" s="1076"/>
      <c r="L2693" s="1076" t="str">
        <f>IFERROR(__xludf.DUMMYFUNCTION("""COMPUTED_VALUE"""),"-")</f>
        <v>-</v>
      </c>
    </row>
    <row r="2694" customHeight="1" spans="1:12">
      <c r="A2694" s="1076" t="str">
        <f>IFERROR(__xludf.DUMMYFUNCTION("""COMPUTED_VALUE"""),"TNL-XTA-045")</f>
        <v>TNL-XTA-045</v>
      </c>
      <c r="B2694" s="1075" t="str">
        <f>IFERROR(__xludf.DUMMYFUNCTION("""COMPUTED_VALUE"""),"Xe ben 5 tấn")</f>
        <v>Xe ben 5 tấn</v>
      </c>
      <c r="C2694" s="1076" t="str">
        <f>IFERROR(__xludf.DUMMYFUNCTION("""COMPUTED_VALUE"""),"CGTC LP")</f>
        <v>CGTC LP</v>
      </c>
      <c r="D2694" s="1076" t="str">
        <f>IFERROR(__xludf.DUMMYFUNCTION("""COMPUTED_VALUE"""),"NISSAN")</f>
        <v>NISSAN</v>
      </c>
      <c r="E2694" s="1076"/>
      <c r="F2694" s="1076">
        <f>IFERROR(__xludf.DUMMYFUNCTION("""COMPUTED_VALUE"""),1995)</f>
        <v>1995</v>
      </c>
      <c r="G2694" s="1076"/>
      <c r="H2694" s="1076" t="str">
        <f>IFERROR(__xludf.DUMMYFUNCTION("""COMPUTED_VALUE"""),"220HP")</f>
        <v>220HP</v>
      </c>
      <c r="I2694" s="1076" t="str">
        <f>IFERROR(__xludf.DUMMYFUNCTION("""COMPUTED_VALUE"""),"NIL")</f>
        <v>NIL</v>
      </c>
      <c r="J2694" s="1076" t="str">
        <f>IFERROR(__xludf.DUMMYFUNCTION("""COMPUTED_VALUE"""),"FE6103816E")</f>
        <v>FE6103816E</v>
      </c>
      <c r="K2694" s="1076">
        <f>IFERROR(__xludf.DUMMYFUNCTION("""COMPUTED_VALUE"""),4.5)</f>
        <v>4.5</v>
      </c>
      <c r="L2694" s="1076" t="str">
        <f>IFERROR(__xludf.DUMMYFUNCTION("""COMPUTED_VALUE"""),"-")</f>
        <v>-</v>
      </c>
    </row>
    <row r="2695" customHeight="1" spans="1:12">
      <c r="A2695" s="1076" t="str">
        <f>IFERROR(__xludf.DUMMYFUNCTION("""COMPUTED_VALUE"""),"TNL-XTA-046")</f>
        <v>TNL-XTA-046</v>
      </c>
      <c r="B2695" s="1075" t="str">
        <f>IFERROR(__xludf.DUMMYFUNCTION("""COMPUTED_VALUE"""),"Xe ben 5 tấn")</f>
        <v>Xe ben 5 tấn</v>
      </c>
      <c r="C2695" s="1076" t="str">
        <f>IFERROR(__xludf.DUMMYFUNCTION("""COMPUTED_VALUE"""),"CGTC LP")</f>
        <v>CGTC LP</v>
      </c>
      <c r="D2695" s="1076" t="str">
        <f>IFERROR(__xludf.DUMMYFUNCTION("""COMPUTED_VALUE"""),"HYUNDAI")</f>
        <v>HYUNDAI</v>
      </c>
      <c r="E2695" s="1076"/>
      <c r="F2695" s="1076">
        <f>IFERROR(__xludf.DUMMYFUNCTION("""COMPUTED_VALUE"""),1995)</f>
        <v>1995</v>
      </c>
      <c r="G2695" s="1076"/>
      <c r="H2695" s="1076" t="str">
        <f>IFERROR(__xludf.DUMMYFUNCTION("""COMPUTED_VALUE"""),"170HP")</f>
        <v>170HP</v>
      </c>
      <c r="I2695" s="1076" t="str">
        <f>IFERROR(__xludf.DUMMYFUNCTION("""COMPUTED_VALUE"""),"KMFLA17JPSV022237")</f>
        <v>KMFLA17JPSV022237</v>
      </c>
      <c r="J2695" s="1076" t="str">
        <f>IFERROR(__xludf.DUMMYFUNCTION("""COMPUTED_VALUE"""),"D6BJR130988")</f>
        <v>D6BJR130988</v>
      </c>
      <c r="K2695" s="1076">
        <f>IFERROR(__xludf.DUMMYFUNCTION("""COMPUTED_VALUE"""),4)</f>
        <v>4</v>
      </c>
      <c r="L2695" s="1076" t="str">
        <f>IFERROR(__xludf.DUMMYFUNCTION("""COMPUTED_VALUE"""),"-")</f>
        <v>-</v>
      </c>
    </row>
    <row r="2696" customHeight="1" spans="1:12">
      <c r="A2696" s="1076" t="str">
        <f>IFERROR(__xludf.DUMMYFUNCTION("""COMPUTED_VALUE"""),"TNL-XTA-047")</f>
        <v>TNL-XTA-047</v>
      </c>
      <c r="B2696" s="1075" t="str">
        <f>IFERROR(__xludf.DUMMYFUNCTION("""COMPUTED_VALUE"""),"Xe ben 5 tấn")</f>
        <v>Xe ben 5 tấn</v>
      </c>
      <c r="C2696" s="1076" t="str">
        <f>IFERROR(__xludf.DUMMYFUNCTION("""COMPUTED_VALUE"""),"CGTC LP")</f>
        <v>CGTC LP</v>
      </c>
      <c r="D2696" s="1076" t="str">
        <f>IFERROR(__xludf.DUMMYFUNCTION("""COMPUTED_VALUE"""),"HYUNDAI")</f>
        <v>HYUNDAI</v>
      </c>
      <c r="E2696" s="1076"/>
      <c r="F2696" s="1076">
        <f>IFERROR(__xludf.DUMMYFUNCTION("""COMPUTED_VALUE"""),2003)</f>
        <v>2003</v>
      </c>
      <c r="G2696" s="1076"/>
      <c r="H2696" s="1076" t="str">
        <f>IFERROR(__xludf.DUMMYFUNCTION("""COMPUTED_VALUE"""),"165HP")</f>
        <v>165HP</v>
      </c>
      <c r="I2696" s="1076" t="str">
        <f>IFERROR(__xludf.DUMMYFUNCTION("""COMPUTED_VALUE"""),"KMFLA18AP3C043483")</f>
        <v>KMFLA18AP3C043483</v>
      </c>
      <c r="J2696" s="1076" t="str">
        <f>IFERROR(__xludf.DUMMYFUNCTION("""COMPUTED_VALUE"""),"D6DA3219693")</f>
        <v>D6DA3219693</v>
      </c>
      <c r="K2696" s="1076">
        <f>IFERROR(__xludf.DUMMYFUNCTION("""COMPUTED_VALUE"""),4)</f>
        <v>4</v>
      </c>
      <c r="L2696" s="1076" t="str">
        <f>IFERROR(__xludf.DUMMYFUNCTION("""COMPUTED_VALUE"""),"-")</f>
        <v>-</v>
      </c>
    </row>
    <row r="2697" customHeight="1" spans="1:12">
      <c r="A2697" s="1076" t="str">
        <f>IFERROR(__xludf.DUMMYFUNCTION("""COMPUTED_VALUE"""),"TNL-XTA-048")</f>
        <v>TNL-XTA-048</v>
      </c>
      <c r="B2697" s="1075" t="str">
        <f>IFERROR(__xludf.DUMMYFUNCTION("""COMPUTED_VALUE"""),"Xe ben 5 tấn")</f>
        <v>Xe ben 5 tấn</v>
      </c>
      <c r="C2697" s="1076" t="str">
        <f>IFERROR(__xludf.DUMMYFUNCTION("""COMPUTED_VALUE"""),"CGTC LP")</f>
        <v>CGTC LP</v>
      </c>
      <c r="D2697" s="1076" t="str">
        <f>IFERROR(__xludf.DUMMYFUNCTION("""COMPUTED_VALUE"""),"HYUNDAI")</f>
        <v>HYUNDAI</v>
      </c>
      <c r="E2697" s="1076"/>
      <c r="F2697" s="1076">
        <f>IFERROR(__xludf.DUMMYFUNCTION("""COMPUTED_VALUE"""),1997)</f>
        <v>1997</v>
      </c>
      <c r="G2697" s="1076"/>
      <c r="H2697" s="1076" t="str">
        <f>IFERROR(__xludf.DUMMYFUNCTION("""COMPUTED_VALUE"""),"188HP")</f>
        <v>188HP</v>
      </c>
      <c r="I2697" s="1076" t="str">
        <f>IFERROR(__xludf.DUMMYFUNCTION("""COMPUTED_VALUE"""),"KMFLA19RPVC112090")</f>
        <v>KMFLA19RPVC112090</v>
      </c>
      <c r="J2697" s="1076" t="str">
        <f>IFERROR(__xludf.DUMMYFUNCTION("""COMPUTED_VALUE"""),"D6BRR120408")</f>
        <v>D6BRR120408</v>
      </c>
      <c r="K2697" s="1076">
        <f>IFERROR(__xludf.DUMMYFUNCTION("""COMPUTED_VALUE"""),4)</f>
        <v>4</v>
      </c>
      <c r="L2697" s="1076" t="str">
        <f>IFERROR(__xludf.DUMMYFUNCTION("""COMPUTED_VALUE"""),"-")</f>
        <v>-</v>
      </c>
    </row>
    <row r="2698" customHeight="1" spans="1:12">
      <c r="A2698" s="1076" t="str">
        <f>IFERROR(__xludf.DUMMYFUNCTION("""COMPUTED_VALUE"""),"TNL-XTA-049")</f>
        <v>TNL-XTA-049</v>
      </c>
      <c r="B2698" s="1075" t="str">
        <f>IFERROR(__xludf.DUMMYFUNCTION("""COMPUTED_VALUE"""),"Xe ben 25 tấn")</f>
        <v>Xe ben 25 tấn</v>
      </c>
      <c r="C2698" s="1076" t="str">
        <f>IFERROR(__xludf.DUMMYFUNCTION("""COMPUTED_VALUE"""),"CGTC LP")</f>
        <v>CGTC LP</v>
      </c>
      <c r="D2698" s="1076" t="str">
        <f>IFERROR(__xludf.DUMMYFUNCTION("""COMPUTED_VALUE"""),"SCANIA")</f>
        <v>SCANIA</v>
      </c>
      <c r="E2698" s="1076"/>
      <c r="F2698" s="1076">
        <f>IFERROR(__xludf.DUMMYFUNCTION("""COMPUTED_VALUE"""),2004)</f>
        <v>2004</v>
      </c>
      <c r="G2698" s="1076" t="str">
        <f>IFERROR(__xludf.DUMMYFUNCTION("""COMPUTED_VALUE"""),"DUMPTRUCK")</f>
        <v>DUMPTRUCK</v>
      </c>
      <c r="H2698" s="1076" t="str">
        <f>IFERROR(__xludf.DUMMYFUNCTION("""COMPUTED_VALUE"""),"380HP")</f>
        <v>380HP</v>
      </c>
      <c r="I2698" s="1076" t="str">
        <f>IFERROR(__xludf.DUMMYFUNCTION("""COMPUTED_VALUE"""),"9BS3P8X40043544728")</f>
        <v>9BS3P8X40043544728</v>
      </c>
      <c r="J2698" s="1076" t="str">
        <f>IFERROR(__xludf.DUMMYFUNCTION("""COMPUTED_VALUE"""),"25045")</f>
        <v>25045</v>
      </c>
      <c r="K2698" s="1076">
        <f>IFERROR(__xludf.DUMMYFUNCTION("""COMPUTED_VALUE"""),8.3)</f>
        <v>8.3</v>
      </c>
      <c r="L2698" s="1076" t="str">
        <f>IFERROR(__xludf.DUMMYFUNCTION("""COMPUTED_VALUE"""),"-")</f>
        <v>-</v>
      </c>
    </row>
    <row r="2699" customHeight="1" spans="1:12">
      <c r="A2699" s="1076" t="str">
        <f>IFERROR(__xludf.DUMMYFUNCTION("""COMPUTED_VALUE"""),"TNL-XTA-050")</f>
        <v>TNL-XTA-050</v>
      </c>
      <c r="B2699" s="1075" t="str">
        <f>IFERROR(__xludf.DUMMYFUNCTION("""COMPUTED_VALUE"""),"Xe ben 25 tấn")</f>
        <v>Xe ben 25 tấn</v>
      </c>
      <c r="C2699" s="1076" t="str">
        <f>IFERROR(__xludf.DUMMYFUNCTION("""COMPUTED_VALUE"""),"CGTC LP")</f>
        <v>CGTC LP</v>
      </c>
      <c r="D2699" s="1076" t="str">
        <f>IFERROR(__xludf.DUMMYFUNCTION("""COMPUTED_VALUE"""),"HYUNDAI")</f>
        <v>HYUNDAI</v>
      </c>
      <c r="E2699" s="1076"/>
      <c r="F2699" s="1076">
        <f>IFERROR(__xludf.DUMMYFUNCTION("""COMPUTED_VALUE"""),2007)</f>
        <v>2007</v>
      </c>
      <c r="G2699" s="1076"/>
      <c r="H2699" s="1076" t="str">
        <f>IFERROR(__xludf.DUMMYFUNCTION("""COMPUTED_VALUE"""),"380HP")</f>
        <v>380HP</v>
      </c>
      <c r="I2699" s="1076" t="str">
        <f>IFERROR(__xludf.DUMMYFUNCTION("""COMPUTED_VALUE"""),"KMCRB18TP7C018017")</f>
        <v>KMCRB18TP7C018017</v>
      </c>
      <c r="J2699" s="1076" t="str">
        <f>IFERROR(__xludf.DUMMYFUNCTION("""COMPUTED_VALUE"""),"D6CBAR07592")</f>
        <v>D6CBAR07592</v>
      </c>
      <c r="K2699" s="1076">
        <f>IFERROR(__xludf.DUMMYFUNCTION("""COMPUTED_VALUE"""),8.3)</f>
        <v>8.3</v>
      </c>
      <c r="L2699" s="1076" t="str">
        <f>IFERROR(__xludf.DUMMYFUNCTION("""COMPUTED_VALUE"""),"-")</f>
        <v>-</v>
      </c>
    </row>
    <row r="2700" customHeight="1" spans="1:12">
      <c r="A2700" s="1076" t="str">
        <f>IFERROR(__xludf.DUMMYFUNCTION("""COMPUTED_VALUE"""),"TNL-XTA-051")</f>
        <v>TNL-XTA-051</v>
      </c>
      <c r="B2700" s="1075" t="str">
        <f>IFERROR(__xludf.DUMMYFUNCTION("""COMPUTED_VALUE"""),"Xe ben 25 tấn")</f>
        <v>Xe ben 25 tấn</v>
      </c>
      <c r="C2700" s="1076" t="str">
        <f>IFERROR(__xludf.DUMMYFUNCTION("""COMPUTED_VALUE"""),"CGTC LP")</f>
        <v>CGTC LP</v>
      </c>
      <c r="D2700" s="1076" t="str">
        <f>IFERROR(__xludf.DUMMYFUNCTION("""COMPUTED_VALUE"""),"SCANIA")</f>
        <v>SCANIA</v>
      </c>
      <c r="E2700" s="1076"/>
      <c r="F2700" s="1076">
        <f>IFERROR(__xludf.DUMMYFUNCTION("""COMPUTED_VALUE"""),2003)</f>
        <v>2003</v>
      </c>
      <c r="G2700" s="1076" t="str">
        <f>IFERROR(__xludf.DUMMYFUNCTION("""COMPUTED_VALUE"""),"DUMTRUCK")</f>
        <v>DUMTRUCK</v>
      </c>
      <c r="H2700" s="1076" t="str">
        <f>IFERROR(__xludf.DUMMYFUNCTION("""COMPUTED_VALUE"""),"380HP")</f>
        <v>380HP</v>
      </c>
      <c r="I2700" s="1076" t="str">
        <f>IFERROR(__xludf.DUMMYFUNCTION("""COMPUTED_VALUE"""),"XLEP8X40034491376")</f>
        <v>XLEP8X40034491376</v>
      </c>
      <c r="J2700" s="1076" t="str">
        <f>IFERROR(__xludf.DUMMYFUNCTION("""COMPUTED_VALUE"""),"DC1104L016190300")</f>
        <v>DC1104L016190300</v>
      </c>
      <c r="K2700" s="1076">
        <f>IFERROR(__xludf.DUMMYFUNCTION("""COMPUTED_VALUE"""),8.3)</f>
        <v>8.3</v>
      </c>
      <c r="L2700" s="1076" t="str">
        <f>IFERROR(__xludf.DUMMYFUNCTION("""COMPUTED_VALUE"""),"-")</f>
        <v>-</v>
      </c>
    </row>
    <row r="2701" customHeight="1" spans="1:12">
      <c r="A2701" s="1076" t="str">
        <f>IFERROR(__xludf.DUMMYFUNCTION("""COMPUTED_VALUE"""),"TNL-XTA-052")</f>
        <v>TNL-XTA-052</v>
      </c>
      <c r="B2701" s="1075" t="str">
        <f>IFERROR(__xludf.DUMMYFUNCTION("""COMPUTED_VALUE"""),"Xe ben 5 tấn")</f>
        <v>Xe ben 5 tấn</v>
      </c>
      <c r="C2701" s="1076" t="str">
        <f>IFERROR(__xludf.DUMMYFUNCTION("""COMPUTED_VALUE"""),"CGTC LP")</f>
        <v>CGTC LP</v>
      </c>
      <c r="D2701" s="1076" t="str">
        <f>IFERROR(__xludf.DUMMYFUNCTION("""COMPUTED_VALUE"""),"HYUNDAI")</f>
        <v>HYUNDAI</v>
      </c>
      <c r="E2701" s="1076"/>
      <c r="F2701" s="1076">
        <f>IFERROR(__xludf.DUMMYFUNCTION("""COMPUTED_VALUE"""),1996)</f>
        <v>1996</v>
      </c>
      <c r="G2701" s="1076" t="str">
        <f>IFERROR(__xludf.DUMMYFUNCTION("""COMPUTED_VALUE"""),"DUMTRUCK")</f>
        <v>DUMTRUCK</v>
      </c>
      <c r="H2701" s="1076" t="str">
        <f>IFERROR(__xludf.DUMMYFUNCTION("""COMPUTED_VALUE"""),"170HP")</f>
        <v>170HP</v>
      </c>
      <c r="I2701" s="1076" t="str">
        <f>IFERROR(__xludf.DUMMYFUNCTION("""COMPUTED_VALUE"""),"KMFLA19JPTC102764")</f>
        <v>KMFLA19JPTC102764</v>
      </c>
      <c r="J2701" s="1076" t="str">
        <f>IFERROR(__xludf.DUMMYFUNCTION("""COMPUTED_VALUE"""),"D6BJR129681")</f>
        <v>D6BJR129681</v>
      </c>
      <c r="K2701" s="1076">
        <f>IFERROR(__xludf.DUMMYFUNCTION("""COMPUTED_VALUE"""),4.8)</f>
        <v>4.8</v>
      </c>
      <c r="L2701" s="1076" t="str">
        <f>IFERROR(__xludf.DUMMYFUNCTION("""COMPUTED_VALUE"""),"-")</f>
        <v>-</v>
      </c>
    </row>
    <row r="2702" customHeight="1" spans="1:12">
      <c r="A2702" s="1076" t="str">
        <f>IFERROR(__xludf.DUMMYFUNCTION("""COMPUTED_VALUE"""),"TNL-XTA-053")</f>
        <v>TNL-XTA-053</v>
      </c>
      <c r="B2702" s="1075" t="str">
        <f>IFERROR(__xludf.DUMMYFUNCTION("""COMPUTED_VALUE"""),"Xe ben 5 tấn")</f>
        <v>Xe ben 5 tấn</v>
      </c>
      <c r="C2702" s="1076" t="str">
        <f>IFERROR(__xludf.DUMMYFUNCTION("""COMPUTED_VALUE"""),"CGTC LP")</f>
        <v>CGTC LP</v>
      </c>
      <c r="D2702" s="1076" t="str">
        <f>IFERROR(__xludf.DUMMYFUNCTION("""COMPUTED_VALUE"""),"HYUNDAI")</f>
        <v>HYUNDAI</v>
      </c>
      <c r="E2702" s="1076"/>
      <c r="F2702" s="1076">
        <f>IFERROR(__xludf.DUMMYFUNCTION("""COMPUTED_VALUE"""),2000)</f>
        <v>2000</v>
      </c>
      <c r="G2702" s="1076" t="str">
        <f>IFERROR(__xludf.DUMMYFUNCTION("""COMPUTED_VALUE"""),"DUMTRUCK")</f>
        <v>DUMTRUCK</v>
      </c>
      <c r="H2702" s="1076" t="str">
        <f>IFERROR(__xludf.DUMMYFUNCTION("""COMPUTED_VALUE"""),"181HP")</f>
        <v>181HP</v>
      </c>
      <c r="I2702" s="1076" t="str">
        <f>IFERROR(__xludf.DUMMYFUNCTION("""COMPUTED_VALUE"""),"KMFLA19RPYC015143")</f>
        <v>KMFLA19RPYC015143</v>
      </c>
      <c r="J2702" s="1076" t="str">
        <f>IFERROR(__xludf.DUMMYFUNCTION("""COMPUTED_VALUE"""),"D6BRY034483")</f>
        <v>D6BRY034483</v>
      </c>
      <c r="K2702" s="1076">
        <f>IFERROR(__xludf.DUMMYFUNCTION("""COMPUTED_VALUE"""),4.8)</f>
        <v>4.8</v>
      </c>
      <c r="L2702" s="1076" t="str">
        <f>IFERROR(__xludf.DUMMYFUNCTION("""COMPUTED_VALUE"""),"-")</f>
        <v>-</v>
      </c>
    </row>
    <row r="2703" customHeight="1" spans="1:12">
      <c r="A2703" s="1076" t="str">
        <f>IFERROR(__xludf.DUMMYFUNCTION("""COMPUTED_VALUE"""),"TNL-XTA-054")</f>
        <v>TNL-XTA-054</v>
      </c>
      <c r="B2703" s="1075" t="str">
        <f>IFERROR(__xludf.DUMMYFUNCTION("""COMPUTED_VALUE"""),"Xe ben 5 tấn")</f>
        <v>Xe ben 5 tấn</v>
      </c>
      <c r="C2703" s="1076" t="str">
        <f>IFERROR(__xludf.DUMMYFUNCTION("""COMPUTED_VALUE"""),"CGTC LP")</f>
        <v>CGTC LP</v>
      </c>
      <c r="D2703" s="1076" t="str">
        <f>IFERROR(__xludf.DUMMYFUNCTION("""COMPUTED_VALUE"""),"HYUNDAI")</f>
        <v>HYUNDAI</v>
      </c>
      <c r="E2703" s="1076"/>
      <c r="F2703" s="1076">
        <f>IFERROR(__xludf.DUMMYFUNCTION("""COMPUTED_VALUE"""),2000)</f>
        <v>2000</v>
      </c>
      <c r="G2703" s="1076" t="str">
        <f>IFERROR(__xludf.DUMMYFUNCTION("""COMPUTED_VALUE"""),"DUMTRUCK")</f>
        <v>DUMTRUCK</v>
      </c>
      <c r="H2703" s="1076" t="str">
        <f>IFERROR(__xludf.DUMMYFUNCTION("""COMPUTED_VALUE"""),"170HP")</f>
        <v>170HP</v>
      </c>
      <c r="I2703" s="1076" t="str">
        <f>IFERROR(__xludf.DUMMYFUNCTION("""COMPUTED_VALUE"""),"KMFLA19RPYC009230")</f>
        <v>KMFLA19RPYC009230</v>
      </c>
      <c r="J2703" s="1076" t="str">
        <f>IFERROR(__xludf.DUMMYFUNCTION("""COMPUTED_VALUE"""),"D6BRX027225")</f>
        <v>D6BRX027225</v>
      </c>
      <c r="K2703" s="1076">
        <f>IFERROR(__xludf.DUMMYFUNCTION("""COMPUTED_VALUE"""),4.8)</f>
        <v>4.8</v>
      </c>
      <c r="L2703" s="1076" t="str">
        <f>IFERROR(__xludf.DUMMYFUNCTION("""COMPUTED_VALUE"""),"-")</f>
        <v>-</v>
      </c>
    </row>
    <row r="2704" customHeight="1" spans="1:12">
      <c r="A2704" s="1076" t="str">
        <f>IFERROR(__xludf.DUMMYFUNCTION("""COMPUTED_VALUE"""),"TNL-XTA-055")</f>
        <v>TNL-XTA-055</v>
      </c>
      <c r="B2704" s="1075" t="str">
        <f>IFERROR(__xludf.DUMMYFUNCTION("""COMPUTED_VALUE"""),"Xe ben 15 tấn")</f>
        <v>Xe ben 15 tấn</v>
      </c>
      <c r="C2704" s="1076" t="str">
        <f>IFERROR(__xludf.DUMMYFUNCTION("""COMPUTED_VALUE"""),"CGTC LP")</f>
        <v>CGTC LP</v>
      </c>
      <c r="D2704" s="1076" t="str">
        <f>IFERROR(__xludf.DUMMYFUNCTION("""COMPUTED_VALUE"""),"HYUNDAI")</f>
        <v>HYUNDAI</v>
      </c>
      <c r="E2704" s="1076"/>
      <c r="F2704" s="1076"/>
      <c r="G2704" s="1076"/>
      <c r="H2704" s="1076" t="str">
        <f>IFERROR(__xludf.DUMMYFUNCTION("""COMPUTED_VALUE"""),"320HP")</f>
        <v>320HP</v>
      </c>
      <c r="I2704" s="1076" t="str">
        <f>IFERROR(__xludf.DUMMYFUNCTION("""COMPUTED_VALUE"""),"KMCDB19YPKU003402")</f>
        <v>KMCDB19YPKU003402</v>
      </c>
      <c r="J2704" s="1076" t="str">
        <f>IFERROR(__xludf.DUMMYFUNCTION("""COMPUTED_VALUE"""),"D8AYK034989")</f>
        <v>D8AYK034989</v>
      </c>
      <c r="K2704" s="1076">
        <f>IFERROR(__xludf.DUMMYFUNCTION("""COMPUTED_VALUE"""),6.5)</f>
        <v>6.5</v>
      </c>
      <c r="L2704" s="1076" t="str">
        <f>IFERROR(__xludf.DUMMYFUNCTION("""COMPUTED_VALUE"""),"-")</f>
        <v>-</v>
      </c>
    </row>
    <row r="2705" customHeight="1" spans="1:12">
      <c r="A2705" s="1076" t="str">
        <f>IFERROR(__xludf.DUMMYFUNCTION("""COMPUTED_VALUE"""),"TNL-XTA-056")</f>
        <v>TNL-XTA-056</v>
      </c>
      <c r="B2705" s="1075" t="str">
        <f>IFERROR(__xludf.DUMMYFUNCTION("""COMPUTED_VALUE"""),"Xe ben 15 tấn")</f>
        <v>Xe ben 15 tấn</v>
      </c>
      <c r="C2705" s="1076" t="str">
        <f>IFERROR(__xludf.DUMMYFUNCTION("""COMPUTED_VALUE"""),"CGTC LP")</f>
        <v>CGTC LP</v>
      </c>
      <c r="D2705" s="1076" t="str">
        <f>IFERROR(__xludf.DUMMYFUNCTION("""COMPUTED_VALUE"""),"HYUNDAI")</f>
        <v>HYUNDAI</v>
      </c>
      <c r="E2705" s="1076"/>
      <c r="F2705" s="1076"/>
      <c r="G2705" s="1076"/>
      <c r="H2705" s="1076" t="str">
        <f>IFERROR(__xludf.DUMMYFUNCTION("""COMPUTED_VALUE"""),"320HP")</f>
        <v>320HP</v>
      </c>
      <c r="I2705" s="1076" t="str">
        <f>IFERROR(__xludf.DUMMYFUNCTION("""COMPUTED_VALUE"""),"KMCDB19YPNU013433")</f>
        <v>KMCDB19YPNU013433</v>
      </c>
      <c r="J2705" s="1076" t="str">
        <f>IFERROR(__xludf.DUMMYFUNCTION("""COMPUTED_VALUE"""),"D8AYN079826")</f>
        <v>D8AYN079826</v>
      </c>
      <c r="K2705" s="1076">
        <f>IFERROR(__xludf.DUMMYFUNCTION("""COMPUTED_VALUE"""),6.5)</f>
        <v>6.5</v>
      </c>
      <c r="L2705" s="1076" t="str">
        <f>IFERROR(__xludf.DUMMYFUNCTION("""COMPUTED_VALUE"""),"-")</f>
        <v>-</v>
      </c>
    </row>
    <row r="2706" customHeight="1" spans="1:12">
      <c r="A2706" s="1076" t="str">
        <f>IFERROR(__xludf.DUMMYFUNCTION("""COMPUTED_VALUE"""),"TNL-XTA-057")</f>
        <v>TNL-XTA-057</v>
      </c>
      <c r="B2706" s="1075" t="str">
        <f>IFERROR(__xludf.DUMMYFUNCTION("""COMPUTED_VALUE"""),"Xe ben 25 tấn")</f>
        <v>Xe ben 25 tấn</v>
      </c>
      <c r="C2706" s="1076" t="str">
        <f>IFERROR(__xludf.DUMMYFUNCTION("""COMPUTED_VALUE"""),"CGTC LP")</f>
        <v>CGTC LP</v>
      </c>
      <c r="D2706" s="1076" t="str">
        <f>IFERROR(__xludf.DUMMYFUNCTION("""COMPUTED_VALUE"""),"SCANIA")</f>
        <v>SCANIA</v>
      </c>
      <c r="E2706" s="1076"/>
      <c r="F2706" s="1076">
        <f>IFERROR(__xludf.DUMMYFUNCTION("""COMPUTED_VALUE"""),2004)</f>
        <v>2004</v>
      </c>
      <c r="G2706" s="1076" t="str">
        <f>IFERROR(__xludf.DUMMYFUNCTION("""COMPUTED_VALUE"""),"DUMPTRUCK")</f>
        <v>DUMPTRUCK</v>
      </c>
      <c r="H2706" s="1076" t="str">
        <f>IFERROR(__xludf.DUMMYFUNCTION("""COMPUTED_VALUE"""),"380HP")</f>
        <v>380HP</v>
      </c>
      <c r="I2706" s="1076" t="str">
        <f>IFERROR(__xludf.DUMMYFUNCTION("""COMPUTED_VALUE"""),"9BSP8X40043549115")</f>
        <v>9BSP8X40043549115</v>
      </c>
      <c r="J2706" s="1076" t="str">
        <f>IFERROR(__xludf.DUMMYFUNCTION("""COMPUTED_VALUE"""),"DC1104L018029370")</f>
        <v>DC1104L018029370</v>
      </c>
      <c r="K2706" s="1076">
        <f>IFERROR(__xludf.DUMMYFUNCTION("""COMPUTED_VALUE"""),7.75)</f>
        <v>7.75</v>
      </c>
      <c r="L2706" s="1076" t="str">
        <f>IFERROR(__xludf.DUMMYFUNCTION("""COMPUTED_VALUE"""),"Đang thuê")</f>
        <v>Đang thuê</v>
      </c>
    </row>
    <row r="2707" customHeight="1" spans="1:12">
      <c r="A2707" s="1076" t="str">
        <f>IFERROR(__xludf.DUMMYFUNCTION("""COMPUTED_VALUE"""),"TNL-XTA-058")</f>
        <v>TNL-XTA-058</v>
      </c>
      <c r="B2707" s="1075" t="str">
        <f>IFERROR(__xludf.DUMMYFUNCTION("""COMPUTED_VALUE"""),"Xe ben 10 tấn")</f>
        <v>Xe ben 10 tấn</v>
      </c>
      <c r="C2707" s="1076" t="str">
        <f>IFERROR(__xludf.DUMMYFUNCTION("""COMPUTED_VALUE"""),"CGTC LP")</f>
        <v>CGTC LP</v>
      </c>
      <c r="D2707" s="1076" t="str">
        <f>IFERROR(__xludf.DUMMYFUNCTION("""COMPUTED_VALUE"""),"HUYNDAI")</f>
        <v>HUYNDAI</v>
      </c>
      <c r="E2707" s="1076"/>
      <c r="F2707" s="1076">
        <f>IFERROR(__xludf.DUMMYFUNCTION("""COMPUTED_VALUE"""),2001)</f>
        <v>2001</v>
      </c>
      <c r="G2707" s="1076" t="str">
        <f>IFERROR(__xludf.DUMMYFUNCTION("""COMPUTED_VALUE"""),"HEAVY TRUCK")</f>
        <v>HEAVY TRUCK</v>
      </c>
      <c r="H2707" s="1076" t="str">
        <f>IFERROR(__xludf.DUMMYFUNCTION("""COMPUTED_VALUE"""),"196HP")</f>
        <v>196HP</v>
      </c>
      <c r="I2707" s="1076" t="str">
        <f>IFERROR(__xludf.DUMMYFUNCTION("""COMPUTED_VALUE"""),"KMFLA19APK020776")</f>
        <v>KMFLA19APK020776</v>
      </c>
      <c r="J2707" s="1076" t="str">
        <f>IFERROR(__xludf.DUMMYFUNCTION("""COMPUTED_VALUE"""),"D6DA1201398")</f>
        <v>D6DA1201398</v>
      </c>
      <c r="K2707" s="1076">
        <f>IFERROR(__xludf.DUMMYFUNCTION("""COMPUTED_VALUE"""),4.5)</f>
        <v>4.5</v>
      </c>
      <c r="L2707" s="1076" t="str">
        <f>IFERROR(__xludf.DUMMYFUNCTION("""COMPUTED_VALUE"""),"-")</f>
        <v>-</v>
      </c>
    </row>
    <row r="2708" customHeight="1" spans="1:12">
      <c r="A2708" s="1076" t="str">
        <f>IFERROR(__xludf.DUMMYFUNCTION("""COMPUTED_VALUE"""),"TNL-XTA-059")</f>
        <v>TNL-XTA-059</v>
      </c>
      <c r="B2708" s="1075" t="str">
        <f>IFERROR(__xludf.DUMMYFUNCTION("""COMPUTED_VALUE"""),"Xe ben 5 tấn")</f>
        <v>Xe ben 5 tấn</v>
      </c>
      <c r="C2708" s="1076" t="str">
        <f>IFERROR(__xludf.DUMMYFUNCTION("""COMPUTED_VALUE"""),"CGTC LP")</f>
        <v>CGTC LP</v>
      </c>
      <c r="D2708" s="1076" t="str">
        <f>IFERROR(__xludf.DUMMYFUNCTION("""COMPUTED_VALUE"""),"NISSAN")</f>
        <v>NISSAN</v>
      </c>
      <c r="E2708" s="1076"/>
      <c r="F2708" s="1076"/>
      <c r="G2708" s="1076"/>
      <c r="H2708" s="1076"/>
      <c r="I2708" s="1076" t="str">
        <f>IFERROR(__xludf.DUMMYFUNCTION("""COMPUTED_VALUE"""),"MK211E10842")</f>
        <v>MK211E10842</v>
      </c>
      <c r="J2708" s="1076" t="str">
        <f>IFERROR(__xludf.DUMMYFUNCTION("""COMPUTED_VALUE"""),"DE6118197E")</f>
        <v>DE6118197E</v>
      </c>
      <c r="K2708" s="1076">
        <f>IFERROR(__xludf.DUMMYFUNCTION("""COMPUTED_VALUE"""),4.5)</f>
        <v>4.5</v>
      </c>
      <c r="L2708" s="1076" t="str">
        <f>IFERROR(__xludf.DUMMYFUNCTION("""COMPUTED_VALUE"""),"Đang thuê")</f>
        <v>Đang thuê</v>
      </c>
    </row>
    <row r="2709" customHeight="1" spans="1:12">
      <c r="A2709" s="1076" t="str">
        <f>IFERROR(__xludf.DUMMYFUNCTION("""COMPUTED_VALUE"""),"TNL-XTA-060")</f>
        <v>TNL-XTA-060</v>
      </c>
      <c r="B2709" s="1075" t="str">
        <f>IFERROR(__xludf.DUMMYFUNCTION("""COMPUTED_VALUE"""),"Xe ben 10 tấn")</f>
        <v>Xe ben 10 tấn</v>
      </c>
      <c r="C2709" s="1076" t="str">
        <f>IFERROR(__xludf.DUMMYFUNCTION("""COMPUTED_VALUE"""),"CGTC LP")</f>
        <v>CGTC LP</v>
      </c>
      <c r="D2709" s="1076" t="str">
        <f>IFERROR(__xludf.DUMMYFUNCTION("""COMPUTED_VALUE"""),"HYUNDAI")</f>
        <v>HYUNDAI</v>
      </c>
      <c r="E2709" s="1076"/>
      <c r="F2709" s="1076">
        <f>IFERROR(__xludf.DUMMYFUNCTION("""COMPUTED_VALUE"""),1996)</f>
        <v>1996</v>
      </c>
      <c r="G2709" s="1076"/>
      <c r="H2709" s="1076" t="str">
        <f>IFERROR(__xludf.DUMMYFUNCTION("""COMPUTED_VALUE"""),"320HP")</f>
        <v>320HP</v>
      </c>
      <c r="I2709" s="1076" t="str">
        <f>IFERROR(__xludf.DUMMYFUNCTION("""COMPUTED_VALUE"""),"KMCDB18YPTC103584")</f>
        <v>KMCDB18YPTC103584</v>
      </c>
      <c r="J2709" s="1076" t="str">
        <f>IFERROR(__xludf.DUMMYFUNCTION("""COMPUTED_VALUE"""),"D8AYT002467")</f>
        <v>D8AYT002467</v>
      </c>
      <c r="K2709" s="1076">
        <f>IFERROR(__xludf.DUMMYFUNCTION("""COMPUTED_VALUE"""),8)</f>
        <v>8</v>
      </c>
      <c r="L2709" s="1076" t="str">
        <f>IFERROR(__xludf.DUMMYFUNCTION("""COMPUTED_VALUE"""),"Đang thuê")</f>
        <v>Đang thuê</v>
      </c>
    </row>
    <row r="2710" customHeight="1" spans="1:12">
      <c r="A2710" s="1076" t="str">
        <f>IFERROR(__xludf.DUMMYFUNCTION("""COMPUTED_VALUE"""),"TNL-XTA-061")</f>
        <v>TNL-XTA-061</v>
      </c>
      <c r="B2710" s="1075" t="str">
        <f>IFERROR(__xludf.DUMMYFUNCTION("""COMPUTED_VALUE"""),"Xe ben 10 tấn")</f>
        <v>Xe ben 10 tấn</v>
      </c>
      <c r="C2710" s="1076" t="str">
        <f>IFERROR(__xludf.DUMMYFUNCTION("""COMPUTED_VALUE"""),"CGTC LP")</f>
        <v>CGTC LP</v>
      </c>
      <c r="D2710" s="1076" t="str">
        <f>IFERROR(__xludf.DUMMYFUNCTION("""COMPUTED_VALUE"""),"HYUNDAI")</f>
        <v>HYUNDAI</v>
      </c>
      <c r="E2710" s="1076"/>
      <c r="F2710" s="1076">
        <f>IFERROR(__xludf.DUMMYFUNCTION("""COMPUTED_VALUE"""),1999)</f>
        <v>1999</v>
      </c>
      <c r="G2710" s="1076" t="str">
        <f>IFERROR(__xludf.DUMMYFUNCTION("""COMPUTED_VALUE"""),"DUMP TRUCK")</f>
        <v>DUMP TRUCK</v>
      </c>
      <c r="H2710" s="1076" t="str">
        <f>IFERROR(__xludf.DUMMYFUNCTION("""COMPUTED_VALUE"""),"181HP")</f>
        <v>181HP</v>
      </c>
      <c r="I2710" s="1076" t="str">
        <f>IFERROR(__xludf.DUMMYFUNCTION("""COMPUTED_VALUE"""),"KMFLA19RPXC007015")</f>
        <v>KMFLA19RPXC007015</v>
      </c>
      <c r="J2710" s="1076" t="str">
        <f>IFERROR(__xludf.DUMMYFUNCTION("""COMPUTED_VALUE"""),"D6BRX024511")</f>
        <v>D6BRX024511</v>
      </c>
      <c r="K2710" s="1076">
        <f>IFERROR(__xludf.DUMMYFUNCTION("""COMPUTED_VALUE"""),4.5)</f>
        <v>4.5</v>
      </c>
      <c r="L2710" s="1076" t="str">
        <f>IFERROR(__xludf.DUMMYFUNCTION("""COMPUTED_VALUE"""),"-")</f>
        <v>-</v>
      </c>
    </row>
    <row r="2711" customHeight="1" spans="1:12">
      <c r="A2711" s="1076" t="str">
        <f>IFERROR(__xludf.DUMMYFUNCTION("""COMPUTED_VALUE"""),"TNL-XTA-062")</f>
        <v>TNL-XTA-062</v>
      </c>
      <c r="B2711" s="1075" t="str">
        <f>IFERROR(__xludf.DUMMYFUNCTION("""COMPUTED_VALUE"""),"Xe ben 25 tấn")</f>
        <v>Xe ben 25 tấn</v>
      </c>
      <c r="C2711" s="1076" t="str">
        <f>IFERROR(__xludf.DUMMYFUNCTION("""COMPUTED_VALUE"""),"CGTC LP")</f>
        <v>CGTC LP</v>
      </c>
      <c r="D2711" s="1076" t="str">
        <f>IFERROR(__xludf.DUMMYFUNCTION("""COMPUTED_VALUE"""),"SCANIA")</f>
        <v>SCANIA</v>
      </c>
      <c r="E2711" s="1076"/>
      <c r="F2711" s="1076">
        <f>IFERROR(__xludf.DUMMYFUNCTION("""COMPUTED_VALUE"""),2004)</f>
        <v>2004</v>
      </c>
      <c r="G2711" s="1076" t="str">
        <f>IFERROR(__xludf.DUMMYFUNCTION("""COMPUTED_VALUE"""),"DUMP TRUCK")</f>
        <v>DUMP TRUCK</v>
      </c>
      <c r="H2711" s="1076" t="str">
        <f>IFERROR(__xludf.DUMMYFUNCTION("""COMPUTED_VALUE"""),"380HP")</f>
        <v>380HP</v>
      </c>
      <c r="I2711" s="1076" t="str">
        <f>IFERROR(__xludf.DUMMYFUNCTION("""COMPUTED_VALUE"""),"9BSP8X40043544728")</f>
        <v>9BSP8X40043544728</v>
      </c>
      <c r="J2711" s="1076" t="str">
        <f>IFERROR(__xludf.DUMMYFUNCTION("""COMPUTED_VALUE"""),"DC1209L018025045")</f>
        <v>DC1209L018025045</v>
      </c>
      <c r="K2711" s="1076">
        <f>IFERROR(__xludf.DUMMYFUNCTION("""COMPUTED_VALUE"""),6)</f>
        <v>6</v>
      </c>
      <c r="L2711" s="1076" t="str">
        <f>IFERROR(__xludf.DUMMYFUNCTION("""COMPUTED_VALUE"""),"Đang thuê")</f>
        <v>Đang thuê</v>
      </c>
    </row>
    <row r="2712" customHeight="1" spans="1:12">
      <c r="A2712" s="1076" t="str">
        <f>IFERROR(__xludf.DUMMYFUNCTION("""COMPUTED_VALUE"""),"TNL-XTA-063")</f>
        <v>TNL-XTA-063</v>
      </c>
      <c r="B2712" s="1075" t="str">
        <f>IFERROR(__xludf.DUMMYFUNCTION("""COMPUTED_VALUE"""),"Xe ben 15 tấn")</f>
        <v>Xe ben 15 tấn</v>
      </c>
      <c r="C2712" s="1076" t="str">
        <f>IFERROR(__xludf.DUMMYFUNCTION("""COMPUTED_VALUE"""),"CGTC LP")</f>
        <v>CGTC LP</v>
      </c>
      <c r="D2712" s="1076" t="str">
        <f>IFERROR(__xludf.DUMMYFUNCTION("""COMPUTED_VALUE"""),"HYUNDAI")</f>
        <v>HYUNDAI</v>
      </c>
      <c r="E2712" s="1076"/>
      <c r="F2712" s="1076">
        <f>IFERROR(__xludf.DUMMYFUNCTION("""COMPUTED_VALUE"""),1996)</f>
        <v>1996</v>
      </c>
      <c r="G2712" s="1076"/>
      <c r="H2712" s="1076" t="str">
        <f>IFERROR(__xludf.DUMMYFUNCTION("""COMPUTED_VALUE"""),"350HP")</f>
        <v>350HP</v>
      </c>
      <c r="I2712" s="1076" t="str">
        <f>IFERROR(__xludf.DUMMYFUNCTION("""COMPUTED_VALUE"""),"KMCDB1BYPTC102743")</f>
        <v>KMCDB1BYPTC102743</v>
      </c>
      <c r="J2712" s="1076" t="str">
        <f>IFERROR(__xludf.DUMMYFUNCTION("""COMPUTED_VALUE"""),"NIL")</f>
        <v>NIL</v>
      </c>
      <c r="K2712" s="1076">
        <f>IFERROR(__xludf.DUMMYFUNCTION("""COMPUTED_VALUE"""),9)</f>
        <v>9</v>
      </c>
      <c r="L2712" s="1076" t="str">
        <f>IFERROR(__xludf.DUMMYFUNCTION("""COMPUTED_VALUE"""),"Đang thuê")</f>
        <v>Đang thuê</v>
      </c>
    </row>
    <row r="2713" customHeight="1" spans="1:12">
      <c r="A2713" s="1076" t="str">
        <f>IFERROR(__xludf.DUMMYFUNCTION("""COMPUTED_VALUE"""),"TNL-XTA-064")</f>
        <v>TNL-XTA-064</v>
      </c>
      <c r="B2713" s="1075" t="str">
        <f>IFERROR(__xludf.DUMMYFUNCTION("""COMPUTED_VALUE"""),"Xe ben 15 tấn")</f>
        <v>Xe ben 15 tấn</v>
      </c>
      <c r="C2713" s="1076" t="str">
        <f>IFERROR(__xludf.DUMMYFUNCTION("""COMPUTED_VALUE"""),"CGTC LP")</f>
        <v>CGTC LP</v>
      </c>
      <c r="D2713" s="1076" t="str">
        <f>IFERROR(__xludf.DUMMYFUNCTION("""COMPUTED_VALUE"""),"HYUNDAI")</f>
        <v>HYUNDAI</v>
      </c>
      <c r="E2713" s="1076"/>
      <c r="F2713" s="1076">
        <f>IFERROR(__xludf.DUMMYFUNCTION("""COMPUTED_VALUE"""),1991)</f>
        <v>1991</v>
      </c>
      <c r="G2713" s="1076" t="str">
        <f>IFERROR(__xludf.DUMMYFUNCTION("""COMPUTED_VALUE"""),"TRUCK")</f>
        <v>TRUCK</v>
      </c>
      <c r="H2713" s="1076" t="str">
        <f>IFERROR(__xludf.DUMMYFUNCTION("""COMPUTED_VALUE"""),"320HP")</f>
        <v>320HP</v>
      </c>
      <c r="I2713" s="1076" t="str">
        <f>IFERROR(__xludf.DUMMYFUNCTION("""COMPUTED_VALUE"""),"NIL")</f>
        <v>NIL</v>
      </c>
      <c r="J2713" s="1076" t="str">
        <f>IFERROR(__xludf.DUMMYFUNCTION("""COMPUTED_VALUE"""),"D8AYL045061")</f>
        <v>D8AYL045061</v>
      </c>
      <c r="K2713" s="1076">
        <f>IFERROR(__xludf.DUMMYFUNCTION("""COMPUTED_VALUE"""),8.5)</f>
        <v>8.5</v>
      </c>
      <c r="L2713" s="1076" t="str">
        <f>IFERROR(__xludf.DUMMYFUNCTION("""COMPUTED_VALUE"""),"Đang thuê")</f>
        <v>Đang thuê</v>
      </c>
    </row>
    <row r="2714" customHeight="1" spans="1:12">
      <c r="A2714" s="1076" t="str">
        <f>IFERROR(__xludf.DUMMYFUNCTION("""COMPUTED_VALUE"""),"TNL-XTA-065")</f>
        <v>TNL-XTA-065</v>
      </c>
      <c r="B2714" s="1075" t="str">
        <f>IFERROR(__xludf.DUMMYFUNCTION("""COMPUTED_VALUE"""),"Xe ben 15 tấn")</f>
        <v>Xe ben 15 tấn</v>
      </c>
      <c r="C2714" s="1076" t="str">
        <f>IFERROR(__xludf.DUMMYFUNCTION("""COMPUTED_VALUE"""),"CGTC LP")</f>
        <v>CGTC LP</v>
      </c>
      <c r="D2714" s="1076" t="str">
        <f>IFERROR(__xludf.DUMMYFUNCTION("""COMPUTED_VALUE"""),"HYUNDAI")</f>
        <v>HYUNDAI</v>
      </c>
      <c r="E2714" s="1076"/>
      <c r="F2714" s="1076">
        <f>IFERROR(__xludf.DUMMYFUNCTION("""COMPUTED_VALUE"""),1993)</f>
        <v>1993</v>
      </c>
      <c r="G2714" s="1076" t="str">
        <f>IFERROR(__xludf.DUMMYFUNCTION("""COMPUTED_VALUE"""),"DUMP TRUCK")</f>
        <v>DUMP TRUCK</v>
      </c>
      <c r="H2714" s="1076" t="str">
        <f>IFERROR(__xludf.DUMMYFUNCTION("""COMPUTED_VALUE"""),"340HP")</f>
        <v>340HP</v>
      </c>
      <c r="I2714" s="1076" t="str">
        <f>IFERROR(__xludf.DUMMYFUNCTION("""COMPUTED_VALUE"""),"KMCDB19YPMU008085")</f>
        <v>KMCDB19YPMU008085</v>
      </c>
      <c r="J2714" s="1076" t="str">
        <f>IFERROR(__xludf.DUMMYFUNCTION("""COMPUTED_VALUE"""),"D8AVM72209")</f>
        <v>D8AVM72209</v>
      </c>
      <c r="K2714" s="1076">
        <f>IFERROR(__xludf.DUMMYFUNCTION("""COMPUTED_VALUE"""),9)</f>
        <v>9</v>
      </c>
      <c r="L2714" s="1076" t="str">
        <f>IFERROR(__xludf.DUMMYFUNCTION("""COMPUTED_VALUE"""),"Đang thuê")</f>
        <v>Đang thuê</v>
      </c>
    </row>
    <row r="2715" customHeight="1" spans="1:12">
      <c r="A2715" s="1076" t="str">
        <f>IFERROR(__xludf.DUMMYFUNCTION("""COMPUTED_VALUE"""),"TNL-XTA-066")</f>
        <v>TNL-XTA-066</v>
      </c>
      <c r="B2715" s="1075" t="str">
        <f>IFERROR(__xludf.DUMMYFUNCTION("""COMPUTED_VALUE"""),"Xe ben 15 tấn")</f>
        <v>Xe ben 15 tấn</v>
      </c>
      <c r="C2715" s="1076" t="str">
        <f>IFERROR(__xludf.DUMMYFUNCTION("""COMPUTED_VALUE"""),"CGTC LP")</f>
        <v>CGTC LP</v>
      </c>
      <c r="D2715" s="1076" t="str">
        <f>IFERROR(__xludf.DUMMYFUNCTION("""COMPUTED_VALUE"""),"HINO")</f>
        <v>HINO</v>
      </c>
      <c r="E2715" s="1076"/>
      <c r="F2715" s="1076">
        <f>IFERROR(__xludf.DUMMYFUNCTION("""COMPUTED_VALUE"""),1991)</f>
        <v>1991</v>
      </c>
      <c r="G2715" s="1076" t="str">
        <f>IFERROR(__xludf.DUMMYFUNCTION("""COMPUTED_VALUE"""),"DUMP TRUCK")</f>
        <v>DUMP TRUCK</v>
      </c>
      <c r="H2715" s="1076" t="str">
        <f>IFERROR(__xludf.DUMMYFUNCTION("""COMPUTED_VALUE"""),"340HP")</f>
        <v>340HP</v>
      </c>
      <c r="I2715" s="1076" t="str">
        <f>IFERROR(__xludf.DUMMYFUNCTION("""COMPUTED_VALUE"""),"FS660B22988")</f>
        <v>FS660B22988</v>
      </c>
      <c r="J2715" s="1076" t="str">
        <f>IFERROR(__xludf.DUMMYFUNCTION("""COMPUTED_VALUE"""),"F17CA15134")</f>
        <v>F17CA15134</v>
      </c>
      <c r="K2715" s="1076">
        <f>IFERROR(__xludf.DUMMYFUNCTION("""COMPUTED_VALUE"""),8.5)</f>
        <v>8.5</v>
      </c>
      <c r="L2715" s="1076" t="str">
        <f>IFERROR(__xludf.DUMMYFUNCTION("""COMPUTED_VALUE"""),"Đang thuê")</f>
        <v>Đang thuê</v>
      </c>
    </row>
    <row r="2716" customHeight="1" spans="1:12">
      <c r="A2716" s="1076" t="str">
        <f>IFERROR(__xludf.DUMMYFUNCTION("""COMPUTED_VALUE"""),"TNL-XTA-067")</f>
        <v>TNL-XTA-067</v>
      </c>
      <c r="B2716" s="1075" t="str">
        <f>IFERROR(__xludf.DUMMYFUNCTION("""COMPUTED_VALUE"""),"Xe ben 15 tấn")</f>
        <v>Xe ben 15 tấn</v>
      </c>
      <c r="C2716" s="1076" t="str">
        <f>IFERROR(__xludf.DUMMYFUNCTION("""COMPUTED_VALUE"""),"CGTC LP")</f>
        <v>CGTC LP</v>
      </c>
      <c r="D2716" s="1076" t="str">
        <f>IFERROR(__xludf.DUMMYFUNCTION("""COMPUTED_VALUE"""),"HYUNDAI")</f>
        <v>HYUNDAI</v>
      </c>
      <c r="E2716" s="1076"/>
      <c r="F2716" s="1076">
        <f>IFERROR(__xludf.DUMMYFUNCTION("""COMPUTED_VALUE"""),1996)</f>
        <v>1996</v>
      </c>
      <c r="G2716" s="1076" t="str">
        <f>IFERROR(__xludf.DUMMYFUNCTION("""COMPUTED_VALUE"""),"HEAVY DUMP TRUCK")</f>
        <v>HEAVY DUMP TRUCK</v>
      </c>
      <c r="H2716" s="1076" t="str">
        <f>IFERROR(__xludf.DUMMYFUNCTION("""COMPUTED_VALUE"""),"355HP")</f>
        <v>355HP</v>
      </c>
      <c r="I2716" s="1076" t="str">
        <f>IFERROR(__xludf.DUMMYFUNCTION("""COMPUTED_VALUE"""),"KMCDB18YPTC101482")</f>
        <v>KMCDB18YPTC101482</v>
      </c>
      <c r="J2716" s="1076" t="str">
        <f>IFERROR(__xludf.DUMMYFUNCTION("""COMPUTED_VALUE"""),"D8AYT163345")</f>
        <v>D8AYT163345</v>
      </c>
      <c r="K2716" s="1076">
        <f>IFERROR(__xludf.DUMMYFUNCTION("""COMPUTED_VALUE"""),8.5)</f>
        <v>8.5</v>
      </c>
      <c r="L2716" s="1076" t="str">
        <f>IFERROR(__xludf.DUMMYFUNCTION("""COMPUTED_VALUE"""),"Đang thuê")</f>
        <v>Đang thuê</v>
      </c>
    </row>
    <row r="2717" customHeight="1" spans="1:12">
      <c r="A2717" s="1076" t="str">
        <f>IFERROR(__xludf.DUMMYFUNCTION("""COMPUTED_VALUE"""),"TNL-XTA-068")</f>
        <v>TNL-XTA-068</v>
      </c>
      <c r="B2717" s="1075" t="str">
        <f>IFERROR(__xludf.DUMMYFUNCTION("""COMPUTED_VALUE"""),"Xe ben 15 tấn")</f>
        <v>Xe ben 15 tấn</v>
      </c>
      <c r="C2717" s="1076" t="str">
        <f>IFERROR(__xludf.DUMMYFUNCTION("""COMPUTED_VALUE"""),"CGTC LP")</f>
        <v>CGTC LP</v>
      </c>
      <c r="D2717" s="1076" t="str">
        <f>IFERROR(__xludf.DUMMYFUNCTION("""COMPUTED_VALUE"""),"HINO")</f>
        <v>HINO</v>
      </c>
      <c r="E2717" s="1076"/>
      <c r="F2717" s="1076">
        <f>IFERROR(__xludf.DUMMYFUNCTION("""COMPUTED_VALUE"""),1988)</f>
        <v>1988</v>
      </c>
      <c r="G2717" s="1076" t="str">
        <f>IFERROR(__xludf.DUMMYFUNCTION("""COMPUTED_VALUE"""),"DUMP TRUCK")</f>
        <v>DUMP TRUCK</v>
      </c>
      <c r="H2717" s="1076" t="str">
        <f>IFERROR(__xludf.DUMMYFUNCTION("""COMPUTED_VALUE"""),"340HP")</f>
        <v>340HP</v>
      </c>
      <c r="I2717" s="1076" t="str">
        <f>IFERROR(__xludf.DUMMYFUNCTION("""COMPUTED_VALUE"""),"FS630B28930")</f>
        <v>FS630B28930</v>
      </c>
      <c r="J2717" s="1076" t="str">
        <f>IFERROR(__xludf.DUMMYFUNCTION("""COMPUTED_VALUE"""),"EF750C28798")</f>
        <v>EF750C28798</v>
      </c>
      <c r="K2717" s="1076">
        <f>IFERROR(__xludf.DUMMYFUNCTION("""COMPUTED_VALUE"""),9)</f>
        <v>9</v>
      </c>
      <c r="L2717" s="1076" t="str">
        <f>IFERROR(__xludf.DUMMYFUNCTION("""COMPUTED_VALUE"""),"Đang thuê")</f>
        <v>Đang thuê</v>
      </c>
    </row>
    <row r="2718" customHeight="1" spans="1:12">
      <c r="A2718" s="1076" t="str">
        <f>IFERROR(__xludf.DUMMYFUNCTION("""COMPUTED_VALUE"""),"TNL-XTA-069")</f>
        <v>TNL-XTA-069</v>
      </c>
      <c r="B2718" s="1075" t="str">
        <f>IFERROR(__xludf.DUMMYFUNCTION("""COMPUTED_VALUE"""),"Xe ben 15 tấn")</f>
        <v>Xe ben 15 tấn</v>
      </c>
      <c r="C2718" s="1076" t="str">
        <f>IFERROR(__xludf.DUMMYFUNCTION("""COMPUTED_VALUE"""),"CGTC LP")</f>
        <v>CGTC LP</v>
      </c>
      <c r="D2718" s="1076" t="str">
        <f>IFERROR(__xludf.DUMMYFUNCTION("""COMPUTED_VALUE"""),"HYUNDAI")</f>
        <v>HYUNDAI</v>
      </c>
      <c r="E2718" s="1076"/>
      <c r="F2718" s="1076">
        <f>IFERROR(__xludf.DUMMYFUNCTION("""COMPUTED_VALUE"""),1989)</f>
        <v>1989</v>
      </c>
      <c r="G2718" s="1076" t="str">
        <f>IFERROR(__xludf.DUMMYFUNCTION("""COMPUTED_VALUE"""),"DUMP TRUCK")</f>
        <v>DUMP TRUCK</v>
      </c>
      <c r="H2718" s="1076" t="str">
        <f>IFERROR(__xludf.DUMMYFUNCTION("""COMPUTED_VALUE"""),"320HP")</f>
        <v>320HP</v>
      </c>
      <c r="I2718" s="1076" t="str">
        <f>IFERROR(__xludf.DUMMYFUNCTION("""COMPUTED_VALUE"""),"KMJTG18UPKU001703")</f>
        <v>KMJTG18UPKU001703</v>
      </c>
      <c r="J2718" s="1076" t="str">
        <f>IFERROR(__xludf.DUMMYFUNCTION("""COMPUTED_VALUE"""),"D8AYL046495")</f>
        <v>D8AYL046495</v>
      </c>
      <c r="K2718" s="1076">
        <f>IFERROR(__xludf.DUMMYFUNCTION("""COMPUTED_VALUE"""),8.5)</f>
        <v>8.5</v>
      </c>
      <c r="L2718" s="1076" t="str">
        <f>IFERROR(__xludf.DUMMYFUNCTION("""COMPUTED_VALUE"""),"Đang thuê")</f>
        <v>Đang thuê</v>
      </c>
    </row>
    <row r="2719" customHeight="1" spans="1:12">
      <c r="A2719" s="1076" t="str">
        <f>IFERROR(__xludf.DUMMYFUNCTION("""COMPUTED_VALUE"""),"TNL-XTA-070")</f>
        <v>TNL-XTA-070</v>
      </c>
      <c r="B2719" s="1075" t="str">
        <f>IFERROR(__xludf.DUMMYFUNCTION("""COMPUTED_VALUE"""),"Xe ben 15 tấn")</f>
        <v>Xe ben 15 tấn</v>
      </c>
      <c r="C2719" s="1076" t="str">
        <f>IFERROR(__xludf.DUMMYFUNCTION("""COMPUTED_VALUE"""),"CGTC LP")</f>
        <v>CGTC LP</v>
      </c>
      <c r="D2719" s="1076" t="str">
        <f>IFERROR(__xludf.DUMMYFUNCTION("""COMPUTED_VALUE"""),"ASIA GRANTO")</f>
        <v>ASIA GRANTO</v>
      </c>
      <c r="E2719" s="1076"/>
      <c r="F2719" s="1076">
        <f>IFERROR(__xludf.DUMMYFUNCTION("""COMPUTED_VALUE"""),1997)</f>
        <v>1997</v>
      </c>
      <c r="G2719" s="1076" t="str">
        <f>IFERROR(__xludf.DUMMYFUNCTION("""COMPUTED_VALUE"""),"DUMP TRUCK")</f>
        <v>DUMP TRUCK</v>
      </c>
      <c r="H2719" s="1076" t="str">
        <f>IFERROR(__xludf.DUMMYFUNCTION("""COMPUTED_VALUE"""),"355HP")</f>
        <v>355HP</v>
      </c>
      <c r="I2719" s="1076" t="str">
        <f>IFERROR(__xludf.DUMMYFUNCTION("""COMPUTED_VALUE"""),"15TDF002836")</f>
        <v>15TDF002836</v>
      </c>
      <c r="J2719" s="1076" t="str">
        <f>IFERROR(__xludf.DUMMYFUNCTION("""COMPUTED_VALUE"""),"F17E010124")</f>
        <v>F17E010124</v>
      </c>
      <c r="K2719" s="1076">
        <f>IFERROR(__xludf.DUMMYFUNCTION("""COMPUTED_VALUE"""),8.5)</f>
        <v>8.5</v>
      </c>
      <c r="L2719" s="1076" t="str">
        <f>IFERROR(__xludf.DUMMYFUNCTION("""COMPUTED_VALUE"""),"-")</f>
        <v>-</v>
      </c>
    </row>
    <row r="2720" customHeight="1" spans="1:12">
      <c r="A2720" s="1076" t="str">
        <f>IFERROR(__xludf.DUMMYFUNCTION("""COMPUTED_VALUE"""),"TNL-XTA-071")</f>
        <v>TNL-XTA-071</v>
      </c>
      <c r="B2720" s="1075" t="str">
        <f>IFERROR(__xludf.DUMMYFUNCTION("""COMPUTED_VALUE"""),"Xe ben 15 tấn")</f>
        <v>Xe ben 15 tấn</v>
      </c>
      <c r="C2720" s="1076" t="str">
        <f>IFERROR(__xludf.DUMMYFUNCTION("""COMPUTED_VALUE"""),"CGTC LP")</f>
        <v>CGTC LP</v>
      </c>
      <c r="D2720" s="1076" t="str">
        <f>IFERROR(__xludf.DUMMYFUNCTION("""COMPUTED_VALUE"""),"HYUNDAI")</f>
        <v>HYUNDAI</v>
      </c>
      <c r="E2720" s="1076"/>
      <c r="F2720" s="1076">
        <f>IFERROR(__xludf.DUMMYFUNCTION("""COMPUTED_VALUE"""),2003)</f>
        <v>2003</v>
      </c>
      <c r="G2720" s="1076"/>
      <c r="H2720" s="1076" t="str">
        <f>IFERROR(__xludf.DUMMYFUNCTION("""COMPUTED_VALUE"""),"340HP")</f>
        <v>340HP</v>
      </c>
      <c r="I2720" s="1076" t="str">
        <f>IFERROR(__xludf.DUMMYFUNCTION("""COMPUTED_VALUE"""),"KMCDB19SP3C029907")</f>
        <v>KMCDB19SP3C029907</v>
      </c>
      <c r="J2720" s="1076" t="str">
        <f>IFERROR(__xludf.DUMMYFUNCTION("""COMPUTED_VALUE"""),"D6CA3081291")</f>
        <v>D6CA3081291</v>
      </c>
      <c r="K2720" s="1076">
        <f>IFERROR(__xludf.DUMMYFUNCTION("""COMPUTED_VALUE"""),8.5)</f>
        <v>8.5</v>
      </c>
      <c r="L2720" s="1076" t="str">
        <f>IFERROR(__xludf.DUMMYFUNCTION("""COMPUTED_VALUE"""),"-")</f>
        <v>-</v>
      </c>
    </row>
    <row r="2721" customHeight="1" spans="1:12">
      <c r="A2721" s="1076" t="str">
        <f>IFERROR(__xludf.DUMMYFUNCTION("""COMPUTED_VALUE"""),"TNL-XTA-072")</f>
        <v>TNL-XTA-072</v>
      </c>
      <c r="B2721" s="1075" t="str">
        <f>IFERROR(__xludf.DUMMYFUNCTION("""COMPUTED_VALUE"""),"Xe ben 15 tấn")</f>
        <v>Xe ben 15 tấn</v>
      </c>
      <c r="C2721" s="1076" t="str">
        <f>IFERROR(__xludf.DUMMYFUNCTION("""COMPUTED_VALUE"""),"CGTC LP")</f>
        <v>CGTC LP</v>
      </c>
      <c r="D2721" s="1076" t="str">
        <f>IFERROR(__xludf.DUMMYFUNCTION("""COMPUTED_VALUE"""),"HYUNDAI")</f>
        <v>HYUNDAI</v>
      </c>
      <c r="E2721" s="1076"/>
      <c r="F2721" s="1076">
        <f>IFERROR(__xludf.DUMMYFUNCTION("""COMPUTED_VALUE"""),1994)</f>
        <v>1994</v>
      </c>
      <c r="G2721" s="1076" t="str">
        <f>IFERROR(__xludf.DUMMYFUNCTION("""COMPUTED_VALUE"""),"DUMP TRUCK")</f>
        <v>DUMP TRUCK</v>
      </c>
      <c r="H2721" s="1076" t="str">
        <f>IFERROR(__xludf.DUMMYFUNCTION("""COMPUTED_VALUE"""),"320HP")</f>
        <v>320HP</v>
      </c>
      <c r="I2721" s="1076" t="str">
        <f>IFERROR(__xludf.DUMMYFUNCTION("""COMPUTED_VALUE"""),"KMCDB19YPRU017562")</f>
        <v>KMCDB19YPRU017562</v>
      </c>
      <c r="J2721" s="1076" t="str">
        <f>IFERROR(__xludf.DUMMYFUNCTION("""COMPUTED_VALUE"""),"D8AYR116763")</f>
        <v>D8AYR116763</v>
      </c>
      <c r="K2721" s="1076">
        <f>IFERROR(__xludf.DUMMYFUNCTION("""COMPUTED_VALUE"""),8.5)</f>
        <v>8.5</v>
      </c>
      <c r="L2721" s="1076" t="str">
        <f>IFERROR(__xludf.DUMMYFUNCTION("""COMPUTED_VALUE"""),"-")</f>
        <v>-</v>
      </c>
    </row>
    <row r="2722" customHeight="1" spans="1:12">
      <c r="A2722" s="1076" t="str">
        <f>IFERROR(__xludf.DUMMYFUNCTION("""COMPUTED_VALUE"""),"TNL-XTA-073")</f>
        <v>TNL-XTA-073</v>
      </c>
      <c r="B2722" s="1075" t="str">
        <f>IFERROR(__xludf.DUMMYFUNCTION("""COMPUTED_VALUE"""),"Xe ben 25 tấn")</f>
        <v>Xe ben 25 tấn</v>
      </c>
      <c r="C2722" s="1076" t="str">
        <f>IFERROR(__xludf.DUMMYFUNCTION("""COMPUTED_VALUE"""),"CGTC LP")</f>
        <v>CGTC LP</v>
      </c>
      <c r="D2722" s="1076" t="str">
        <f>IFERROR(__xludf.DUMMYFUNCTION("""COMPUTED_VALUE"""),"SCANIA")</f>
        <v>SCANIA</v>
      </c>
      <c r="E2722" s="1076"/>
      <c r="F2722" s="1076">
        <f>IFERROR(__xludf.DUMMYFUNCTION("""COMPUTED_VALUE"""),2003)</f>
        <v>2003</v>
      </c>
      <c r="G2722" s="1076"/>
      <c r="H2722" s="1076" t="str">
        <f>IFERROR(__xludf.DUMMYFUNCTION("""COMPUTED_VALUE"""),"340HP")</f>
        <v>340HP</v>
      </c>
      <c r="I2722" s="1076" t="str">
        <f>IFERROR(__xludf.DUMMYFUNCTION("""COMPUTED_VALUE"""),"XLEP8Y400034483")</f>
        <v>XLEP8Y400034483</v>
      </c>
      <c r="J2722" s="1076" t="str">
        <f>IFERROR(__xludf.DUMMYFUNCTION("""COMPUTED_VALUE"""),"DC11042016179323")</f>
        <v>DC11042016179323</v>
      </c>
      <c r="K2722" s="1076">
        <f>IFERROR(__xludf.DUMMYFUNCTION("""COMPUTED_VALUE"""),8)</f>
        <v>8</v>
      </c>
      <c r="L2722" s="1076" t="str">
        <f>IFERROR(__xludf.DUMMYFUNCTION("""COMPUTED_VALUE"""),"-")</f>
        <v>-</v>
      </c>
    </row>
    <row r="2723" customHeight="1" spans="1:12">
      <c r="A2723" s="1076" t="str">
        <f>IFERROR(__xludf.DUMMYFUNCTION("""COMPUTED_VALUE"""),"TNL-XTA-074")</f>
        <v>TNL-XTA-074</v>
      </c>
      <c r="B2723" s="1075" t="str">
        <f>IFERROR(__xludf.DUMMYFUNCTION("""COMPUTED_VALUE"""),"Xe ben 25 tấn")</f>
        <v>Xe ben 25 tấn</v>
      </c>
      <c r="C2723" s="1076" t="str">
        <f>IFERROR(__xludf.DUMMYFUNCTION("""COMPUTED_VALUE"""),"CGTC LP")</f>
        <v>CGTC LP</v>
      </c>
      <c r="D2723" s="1076" t="str">
        <f>IFERROR(__xludf.DUMMYFUNCTION("""COMPUTED_VALUE"""),"SCANIA")</f>
        <v>SCANIA</v>
      </c>
      <c r="E2723" s="1076"/>
      <c r="F2723" s="1076">
        <f>IFERROR(__xludf.DUMMYFUNCTION("""COMPUTED_VALUE"""),2005)</f>
        <v>2005</v>
      </c>
      <c r="G2723" s="1076"/>
      <c r="H2723" s="1076" t="str">
        <f>IFERROR(__xludf.DUMMYFUNCTION("""COMPUTED_VALUE"""),"340HP")</f>
        <v>340HP</v>
      </c>
      <c r="I2723" s="1076" t="str">
        <f>IFERROR(__xludf.DUMMYFUNCTION("""COMPUTED_VALUE"""),"KMCPB18TP5C002615")</f>
        <v>KMCPB18TP5C002615</v>
      </c>
      <c r="J2723" s="1076" t="str">
        <f>IFERROR(__xludf.DUMMYFUNCTION("""COMPUTED_VALUE"""),"D6CB4100271")</f>
        <v>D6CB4100271</v>
      </c>
      <c r="K2723" s="1076">
        <f>IFERROR(__xludf.DUMMYFUNCTION("""COMPUTED_VALUE"""),8)</f>
        <v>8</v>
      </c>
      <c r="L2723" s="1076" t="str">
        <f>IFERROR(__xludf.DUMMYFUNCTION("""COMPUTED_VALUE"""),"-")</f>
        <v>-</v>
      </c>
    </row>
    <row r="2724" customHeight="1" spans="1:12">
      <c r="A2724" s="1076" t="str">
        <f>IFERROR(__xludf.DUMMYFUNCTION("""COMPUTED_VALUE"""),"TNL-XTA-075")</f>
        <v>TNL-XTA-075</v>
      </c>
      <c r="B2724" s="1075" t="str">
        <f>IFERROR(__xludf.DUMMYFUNCTION("""COMPUTED_VALUE"""),"Xe ben 25 tấn")</f>
        <v>Xe ben 25 tấn</v>
      </c>
      <c r="C2724" s="1076" t="str">
        <f>IFERROR(__xludf.DUMMYFUNCTION("""COMPUTED_VALUE"""),"CGTC LP")</f>
        <v>CGTC LP</v>
      </c>
      <c r="D2724" s="1076" t="str">
        <f>IFERROR(__xludf.DUMMYFUNCTION("""COMPUTED_VALUE"""),"DAEWOO")</f>
        <v>DAEWOO</v>
      </c>
      <c r="E2724" s="1076"/>
      <c r="F2724" s="1076">
        <f>IFERROR(__xludf.DUMMYFUNCTION("""COMPUTED_VALUE"""),2006)</f>
        <v>2006</v>
      </c>
      <c r="G2724" s="1076" t="str">
        <f>IFERROR(__xludf.DUMMYFUNCTION("""COMPUTED_VALUE"""),"Dump Truck")</f>
        <v>Dump Truck</v>
      </c>
      <c r="H2724" s="1076" t="str">
        <f>IFERROR(__xludf.DUMMYFUNCTION("""COMPUTED_VALUE"""),"380HP")</f>
        <v>380HP</v>
      </c>
      <c r="I2724" s="1076" t="str">
        <f>IFERROR(__xludf.DUMMYFUNCTION("""COMPUTED_VALUE"""),"KL3M9ANF16K000030")</f>
        <v>KL3M9ANF16K000030</v>
      </c>
      <c r="J2724" s="1076" t="str">
        <f>IFERROR(__xludf.DUMMYFUNCTION("""COMPUTED_VALUE"""),"5130469ISM")</f>
        <v>5130469ISM</v>
      </c>
      <c r="K2724" s="1076">
        <f>IFERROR(__xludf.DUMMYFUNCTION("""COMPUTED_VALUE"""),8.5)</f>
        <v>8.5</v>
      </c>
      <c r="L2724" s="1076" t="str">
        <f>IFERROR(__xludf.DUMMYFUNCTION("""COMPUTED_VALUE"""),"Đang thuê")</f>
        <v>Đang thuê</v>
      </c>
    </row>
    <row r="2725" customHeight="1" spans="1:12">
      <c r="A2725" s="1076" t="str">
        <f>IFERROR(__xludf.DUMMYFUNCTION("""COMPUTED_VALUE"""),"TNL-XTA-076")</f>
        <v>TNL-XTA-076</v>
      </c>
      <c r="B2725" s="1075" t="str">
        <f>IFERROR(__xludf.DUMMYFUNCTION("""COMPUTED_VALUE"""),"Xe ben 25 tấn")</f>
        <v>Xe ben 25 tấn</v>
      </c>
      <c r="C2725" s="1076" t="str">
        <f>IFERROR(__xludf.DUMMYFUNCTION("""COMPUTED_VALUE"""),"CGTC LP")</f>
        <v>CGTC LP</v>
      </c>
      <c r="D2725" s="1076" t="str">
        <f>IFERROR(__xludf.DUMMYFUNCTION("""COMPUTED_VALUE"""),"SCANIA")</f>
        <v>SCANIA</v>
      </c>
      <c r="E2725" s="1076"/>
      <c r="F2725" s="1076">
        <f>IFERROR(__xludf.DUMMYFUNCTION("""COMPUTED_VALUE"""),2007)</f>
        <v>2007</v>
      </c>
      <c r="G2725" s="1076" t="str">
        <f>IFERROR(__xludf.DUMMYFUNCTION("""COMPUTED_VALUE"""),"Dump Truck")</f>
        <v>Dump Truck</v>
      </c>
      <c r="H2725" s="1076" t="str">
        <f>IFERROR(__xludf.DUMMYFUNCTION("""COMPUTED_VALUE"""),"380HP")</f>
        <v>380HP</v>
      </c>
      <c r="I2725" s="1076" t="str">
        <f>IFERROR(__xludf.DUMMYFUNCTION("""COMPUTED_VALUE"""),"XLEP8X40014452192")</f>
        <v>XLEP8X40014452192</v>
      </c>
      <c r="J2725" s="1076" t="str">
        <f>IFERROR(__xludf.DUMMYFUNCTION("""COMPUTED_VALUE"""),"NILL")</f>
        <v>NILL</v>
      </c>
      <c r="K2725" s="1076">
        <f>IFERROR(__xludf.DUMMYFUNCTION("""COMPUTED_VALUE"""),8.5)</f>
        <v>8.5</v>
      </c>
      <c r="L2725" s="1076" t="str">
        <f>IFERROR(__xludf.DUMMYFUNCTION("""COMPUTED_VALUE"""),"-")</f>
        <v>-</v>
      </c>
    </row>
    <row r="2726" customHeight="1" spans="1:12">
      <c r="A2726" s="1076" t="str">
        <f>IFERROR(__xludf.DUMMYFUNCTION("""COMPUTED_VALUE"""),"TNL-XTA-077")</f>
        <v>TNL-XTA-077</v>
      </c>
      <c r="B2726" s="1075" t="str">
        <f>IFERROR(__xludf.DUMMYFUNCTION("""COMPUTED_VALUE"""),"Xe ben 25 tấn")</f>
        <v>Xe ben 25 tấn</v>
      </c>
      <c r="C2726" s="1076" t="str">
        <f>IFERROR(__xludf.DUMMYFUNCTION("""COMPUTED_VALUE"""),"CGTC LP")</f>
        <v>CGTC LP</v>
      </c>
      <c r="D2726" s="1076" t="str">
        <f>IFERROR(__xludf.DUMMYFUNCTION("""COMPUTED_VALUE"""),"HYUNDAI")</f>
        <v>HYUNDAI</v>
      </c>
      <c r="E2726" s="1076"/>
      <c r="F2726" s="1076">
        <f>IFERROR(__xludf.DUMMYFUNCTION("""COMPUTED_VALUE"""),2002)</f>
        <v>2002</v>
      </c>
      <c r="G2726" s="1076" t="str">
        <f>IFERROR(__xludf.DUMMYFUNCTION("""COMPUTED_VALUE"""),"Dump Truck")</f>
        <v>Dump Truck</v>
      </c>
      <c r="H2726" s="1076" t="str">
        <f>IFERROR(__xludf.DUMMYFUNCTION("""COMPUTED_VALUE"""),"235HP")</f>
        <v>235HP</v>
      </c>
      <c r="I2726" s="1076" t="str">
        <f>IFERROR(__xludf.DUMMYFUNCTION("""COMPUTED_VALUE"""),"KMFPA188P2C021116")</f>
        <v>KMFPA188P2C021116</v>
      </c>
      <c r="J2726" s="1076" t="str">
        <f>IFERROR(__xludf.DUMMYFUNCTION("""COMPUTED_VALUE"""),"D6CA2066002")</f>
        <v>D6CA2066002</v>
      </c>
      <c r="K2726" s="1076">
        <f>IFERROR(__xludf.DUMMYFUNCTION("""COMPUTED_VALUE"""),8.5)</f>
        <v>8.5</v>
      </c>
      <c r="L2726" s="1076" t="str">
        <f>IFERROR(__xludf.DUMMYFUNCTION("""COMPUTED_VALUE"""),"Đang thuê")</f>
        <v>Đang thuê</v>
      </c>
    </row>
    <row r="2727" customHeight="1" spans="1:12">
      <c r="A2727" s="1076" t="str">
        <f>IFERROR(__xludf.DUMMYFUNCTION("""COMPUTED_VALUE"""),"TNL-XTA-078")</f>
        <v>TNL-XTA-078</v>
      </c>
      <c r="B2727" s="1075" t="str">
        <f>IFERROR(__xludf.DUMMYFUNCTION("""COMPUTED_VALUE"""),"Xe ben 25 tấn")</f>
        <v>Xe ben 25 tấn</v>
      </c>
      <c r="C2727" s="1076" t="str">
        <f>IFERROR(__xludf.DUMMYFUNCTION("""COMPUTED_VALUE"""),"CGTC LP")</f>
        <v>CGTC LP</v>
      </c>
      <c r="D2727" s="1076" t="str">
        <f>IFERROR(__xludf.DUMMYFUNCTION("""COMPUTED_VALUE"""),"HYUNDAI")</f>
        <v>HYUNDAI</v>
      </c>
      <c r="E2727" s="1076"/>
      <c r="F2727" s="1076">
        <f>IFERROR(__xludf.DUMMYFUNCTION("""COMPUTED_VALUE"""),2001)</f>
        <v>2001</v>
      </c>
      <c r="G2727" s="1076" t="str">
        <f>IFERROR(__xludf.DUMMYFUNCTION("""COMPUTED_VALUE"""),"Dump Truck")</f>
        <v>Dump Truck</v>
      </c>
      <c r="H2727" s="1076" t="str">
        <f>IFERROR(__xludf.DUMMYFUNCTION("""COMPUTED_VALUE"""),"380HP")</f>
        <v>380HP</v>
      </c>
      <c r="I2727" s="1076" t="str">
        <f>IFERROR(__xludf.DUMMYFUNCTION("""COMPUTED_VALUE"""),"KMFPA188P1C012251")</f>
        <v>KMFPA188P1C012251</v>
      </c>
      <c r="J2727" s="1076" t="str">
        <f>IFERROR(__xludf.DUMMYFUNCTION("""COMPUTED_VALUE"""),"D6CA1047898")</f>
        <v>D6CA1047898</v>
      </c>
      <c r="K2727" s="1076">
        <f>IFERROR(__xludf.DUMMYFUNCTION("""COMPUTED_VALUE"""),8.5)</f>
        <v>8.5</v>
      </c>
      <c r="L2727" s="1076" t="str">
        <f>IFERROR(__xludf.DUMMYFUNCTION("""COMPUTED_VALUE"""),"Đang thuê")</f>
        <v>Đang thuê</v>
      </c>
    </row>
    <row r="2728" customHeight="1" spans="1:12">
      <c r="A2728" s="1076" t="str">
        <f>IFERROR(__xludf.DUMMYFUNCTION("""COMPUTED_VALUE"""),"TNL-XTA-079")</f>
        <v>TNL-XTA-079</v>
      </c>
      <c r="B2728" s="1075" t="str">
        <f>IFERROR(__xludf.DUMMYFUNCTION("""COMPUTED_VALUE"""),"Xe ben 25 tấn")</f>
        <v>Xe ben 25 tấn</v>
      </c>
      <c r="C2728" s="1076" t="str">
        <f>IFERROR(__xludf.DUMMYFUNCTION("""COMPUTED_VALUE"""),"CGTC LP")</f>
        <v>CGTC LP</v>
      </c>
      <c r="D2728" s="1076" t="str">
        <f>IFERROR(__xludf.DUMMYFUNCTION("""COMPUTED_VALUE"""),"SCANIA")</f>
        <v>SCANIA</v>
      </c>
      <c r="E2728" s="1076"/>
      <c r="F2728" s="1076">
        <f>IFERROR(__xludf.DUMMYFUNCTION("""COMPUTED_VALUE"""),2003)</f>
        <v>2003</v>
      </c>
      <c r="G2728" s="1076" t="str">
        <f>IFERROR(__xludf.DUMMYFUNCTION("""COMPUTED_VALUE"""),"Dump Truck")</f>
        <v>Dump Truck</v>
      </c>
      <c r="H2728" s="1076" t="str">
        <f>IFERROR(__xludf.DUMMYFUNCTION("""COMPUTED_VALUE"""),"380HP")</f>
        <v>380HP</v>
      </c>
      <c r="I2728" s="1076" t="str">
        <f>IFERROR(__xludf.DUMMYFUNCTION("""COMPUTED_VALUE"""),"XLEP8X40034491376")</f>
        <v>XLEP8X40034491376</v>
      </c>
      <c r="J2728" s="1076" t="str">
        <f>IFERROR(__xludf.DUMMYFUNCTION("""COMPUTED_VALUE"""),"DC1104L016190300")</f>
        <v>DC1104L016190300</v>
      </c>
      <c r="K2728" s="1076">
        <f>IFERROR(__xludf.DUMMYFUNCTION("""COMPUTED_VALUE"""),9)</f>
        <v>9</v>
      </c>
      <c r="L2728" s="1076" t="str">
        <f>IFERROR(__xludf.DUMMYFUNCTION("""COMPUTED_VALUE"""),"Đang thuê")</f>
        <v>Đang thuê</v>
      </c>
    </row>
    <row r="2729" customHeight="1" spans="1:12">
      <c r="A2729" s="1076" t="str">
        <f>IFERROR(__xludf.DUMMYFUNCTION("""COMPUTED_VALUE"""),"TNL-XTA-080")</f>
        <v>TNL-XTA-080</v>
      </c>
      <c r="B2729" s="1075" t="str">
        <f>IFERROR(__xludf.DUMMYFUNCTION("""COMPUTED_VALUE"""),"Xe ben 15 tấn")</f>
        <v>Xe ben 15 tấn</v>
      </c>
      <c r="C2729" s="1076" t="str">
        <f>IFERROR(__xludf.DUMMYFUNCTION("""COMPUTED_VALUE"""),"CGTC LP")</f>
        <v>CGTC LP</v>
      </c>
      <c r="D2729" s="1076" t="str">
        <f>IFERROR(__xludf.DUMMYFUNCTION("""COMPUTED_VALUE"""),"HINO")</f>
        <v>HINO</v>
      </c>
      <c r="E2729" s="1076"/>
      <c r="F2729" s="1076">
        <f>IFERROR(__xludf.DUMMYFUNCTION("""COMPUTED_VALUE"""),1990)</f>
        <v>1990</v>
      </c>
      <c r="G2729" s="1076" t="str">
        <f>IFERROR(__xludf.DUMMYFUNCTION("""COMPUTED_VALUE"""),"Dump Truck")</f>
        <v>Dump Truck</v>
      </c>
      <c r="H2729" s="1076" t="str">
        <f>IFERROR(__xludf.DUMMYFUNCTION("""COMPUTED_VALUE"""),"340HP")</f>
        <v>340HP</v>
      </c>
      <c r="I2729" s="1076" t="str">
        <f>IFERROR(__xludf.DUMMYFUNCTION("""COMPUTED_VALUE"""),"FSIFKA10894")</f>
        <v>FSIFKA10894</v>
      </c>
      <c r="J2729" s="1076" t="str">
        <f>IFERROR(__xludf.DUMMYFUNCTION("""COMPUTED_VALUE"""),"F17DA13961")</f>
        <v>F17DA13961</v>
      </c>
      <c r="K2729" s="1076">
        <f>IFERROR(__xludf.DUMMYFUNCTION("""COMPUTED_VALUE"""),8)</f>
        <v>8</v>
      </c>
      <c r="L2729" s="1076" t="str">
        <f>IFERROR(__xludf.DUMMYFUNCTION("""COMPUTED_VALUE"""),"-")</f>
        <v>-</v>
      </c>
    </row>
    <row r="2730" customHeight="1" spans="1:12">
      <c r="A2730" s="1076" t="str">
        <f>IFERROR(__xludf.DUMMYFUNCTION("""COMPUTED_VALUE"""),"TNL-XTA-081")</f>
        <v>TNL-XTA-081</v>
      </c>
      <c r="B2730" s="1075" t="str">
        <f>IFERROR(__xludf.DUMMYFUNCTION("""COMPUTED_VALUE"""),"Xe ben 15 tấn")</f>
        <v>Xe ben 15 tấn</v>
      </c>
      <c r="C2730" s="1076" t="str">
        <f>IFERROR(__xludf.DUMMYFUNCTION("""COMPUTED_VALUE"""),"CGTC LP")</f>
        <v>CGTC LP</v>
      </c>
      <c r="D2730" s="1076" t="str">
        <f>IFERROR(__xludf.DUMMYFUNCTION("""COMPUTED_VALUE"""),"ASIA GRANTO")</f>
        <v>ASIA GRANTO</v>
      </c>
      <c r="E2730" s="1076"/>
      <c r="F2730" s="1076">
        <f>IFERROR(__xludf.DUMMYFUNCTION("""COMPUTED_VALUE"""),1997)</f>
        <v>1997</v>
      </c>
      <c r="G2730" s="1076" t="str">
        <f>IFERROR(__xludf.DUMMYFUNCTION("""COMPUTED_VALUE"""),"Dump Truck")</f>
        <v>Dump Truck</v>
      </c>
      <c r="H2730" s="1076" t="str">
        <f>IFERROR(__xludf.DUMMYFUNCTION("""COMPUTED_VALUE"""),"340HP")</f>
        <v>340HP</v>
      </c>
      <c r="I2730" s="1076" t="str">
        <f>IFERROR(__xludf.DUMMYFUNCTION("""COMPUTED_VALUE"""),"15TDE001961")</f>
        <v>15TDE001961</v>
      </c>
      <c r="J2730" s="1076" t="str">
        <f>IFERROR(__xludf.DUMMYFUNCTION("""COMPUTED_VALUE"""),"EF750008317")</f>
        <v>EF750008317</v>
      </c>
      <c r="K2730" s="1076">
        <f>IFERROR(__xludf.DUMMYFUNCTION("""COMPUTED_VALUE"""),8)</f>
        <v>8</v>
      </c>
      <c r="L2730" s="1076" t="str">
        <f>IFERROR(__xludf.DUMMYFUNCTION("""COMPUTED_VALUE"""),"-")</f>
        <v>-</v>
      </c>
    </row>
    <row r="2731" customHeight="1" spans="1:12">
      <c r="A2731" s="1076" t="str">
        <f>IFERROR(__xludf.DUMMYFUNCTION("""COMPUTED_VALUE"""),"TNL-XTA-082")</f>
        <v>TNL-XTA-082</v>
      </c>
      <c r="B2731" s="1075" t="str">
        <f>IFERROR(__xludf.DUMMYFUNCTION("""COMPUTED_VALUE"""),"Xe ben 15 tấn")</f>
        <v>Xe ben 15 tấn</v>
      </c>
      <c r="C2731" s="1076" t="str">
        <f>IFERROR(__xludf.DUMMYFUNCTION("""COMPUTED_VALUE"""),"CGTC LP")</f>
        <v>CGTC LP</v>
      </c>
      <c r="D2731" s="1076" t="str">
        <f>IFERROR(__xludf.DUMMYFUNCTION("""COMPUTED_VALUE"""),"HINO")</f>
        <v>HINO</v>
      </c>
      <c r="E2731" s="1076"/>
      <c r="F2731" s="1076">
        <f>IFERROR(__xludf.DUMMYFUNCTION("""COMPUTED_VALUE"""),1995)</f>
        <v>1995</v>
      </c>
      <c r="G2731" s="1076" t="str">
        <f>IFERROR(__xludf.DUMMYFUNCTION("""COMPUTED_VALUE"""),"Dump Truck")</f>
        <v>Dump Truck</v>
      </c>
      <c r="H2731" s="1076" t="str">
        <f>IFERROR(__xludf.DUMMYFUNCTION("""COMPUTED_VALUE"""),"380HP")</f>
        <v>380HP</v>
      </c>
      <c r="I2731" s="1076" t="str">
        <f>IFERROR(__xludf.DUMMYFUNCTION("""COMPUTED_VALUE"""),"NIL")</f>
        <v>NIL</v>
      </c>
      <c r="J2731" s="1076" t="str">
        <f>IFERROR(__xludf.DUMMYFUNCTION("""COMPUTED_VALUE"""),"F17DC1133")</f>
        <v>F17DC1133</v>
      </c>
      <c r="K2731" s="1076">
        <f>IFERROR(__xludf.DUMMYFUNCTION("""COMPUTED_VALUE"""),8)</f>
        <v>8</v>
      </c>
      <c r="L2731" s="1076" t="str">
        <f>IFERROR(__xludf.DUMMYFUNCTION("""COMPUTED_VALUE"""),"-")</f>
        <v>-</v>
      </c>
    </row>
    <row r="2732" customHeight="1" spans="1:12">
      <c r="A2732" s="1076" t="str">
        <f>IFERROR(__xludf.DUMMYFUNCTION("""COMPUTED_VALUE"""),"TNL-XTA-083")</f>
        <v>TNL-XTA-083</v>
      </c>
      <c r="B2732" s="1075" t="str">
        <f>IFERROR(__xludf.DUMMYFUNCTION("""COMPUTED_VALUE"""),"Xe ben 15 tấn")</f>
        <v>Xe ben 15 tấn</v>
      </c>
      <c r="C2732" s="1076" t="str">
        <f>IFERROR(__xludf.DUMMYFUNCTION("""COMPUTED_VALUE"""),"CGTC LP")</f>
        <v>CGTC LP</v>
      </c>
      <c r="D2732" s="1076" t="str">
        <f>IFERROR(__xludf.DUMMYFUNCTION("""COMPUTED_VALUE"""),"HINO")</f>
        <v>HINO</v>
      </c>
      <c r="E2732" s="1076"/>
      <c r="F2732" s="1076">
        <f>IFERROR(__xludf.DUMMYFUNCTION("""COMPUTED_VALUE"""),2001)</f>
        <v>2001</v>
      </c>
      <c r="G2732" s="1076" t="str">
        <f>IFERROR(__xludf.DUMMYFUNCTION("""COMPUTED_VALUE"""),"Dump Truck")</f>
        <v>Dump Truck</v>
      </c>
      <c r="H2732" s="1076" t="str">
        <f>IFERROR(__xludf.DUMMYFUNCTION("""COMPUTED_VALUE"""),"206HP")</f>
        <v>206HP</v>
      </c>
      <c r="I2732" s="1076" t="str">
        <f>IFERROR(__xludf.DUMMYFUNCTION("""COMPUTED_VALUE"""),"FD1JJD11523")</f>
        <v>FD1JJD11523</v>
      </c>
      <c r="J2732" s="1076" t="str">
        <f>IFERROR(__xludf.DUMMYFUNCTION("""COMPUTED_VALUE"""),"J08CJ22141")</f>
        <v>J08CJ22141</v>
      </c>
      <c r="K2732" s="1076">
        <f>IFERROR(__xludf.DUMMYFUNCTION("""COMPUTED_VALUE"""),8)</f>
        <v>8</v>
      </c>
      <c r="L2732" s="1076" t="str">
        <f>IFERROR(__xludf.DUMMYFUNCTION("""COMPUTED_VALUE"""),"-")</f>
        <v>-</v>
      </c>
    </row>
    <row r="2733" customHeight="1" spans="1:12">
      <c r="A2733" s="1076" t="str">
        <f>IFERROR(__xludf.DUMMYFUNCTION("""COMPUTED_VALUE"""),"TNL-XTA-084")</f>
        <v>TNL-XTA-084</v>
      </c>
      <c r="B2733" s="1075" t="str">
        <f>IFERROR(__xludf.DUMMYFUNCTION("""COMPUTED_VALUE"""),"Xe ben 15 tấn")</f>
        <v>Xe ben 15 tấn</v>
      </c>
      <c r="C2733" s="1076" t="str">
        <f>IFERROR(__xludf.DUMMYFUNCTION("""COMPUTED_VALUE"""),"CGTC LP")</f>
        <v>CGTC LP</v>
      </c>
      <c r="D2733" s="1076" t="str">
        <f>IFERROR(__xludf.DUMMYFUNCTION("""COMPUTED_VALUE"""),"HYUNDAI")</f>
        <v>HYUNDAI</v>
      </c>
      <c r="E2733" s="1076"/>
      <c r="F2733" s="1076">
        <f>IFERROR(__xludf.DUMMYFUNCTION("""COMPUTED_VALUE"""),1990)</f>
        <v>1990</v>
      </c>
      <c r="G2733" s="1076" t="str">
        <f>IFERROR(__xludf.DUMMYFUNCTION("""COMPUTED_VALUE"""),"Dump Truck")</f>
        <v>Dump Truck</v>
      </c>
      <c r="H2733" s="1076" t="str">
        <f>IFERROR(__xludf.DUMMYFUNCTION("""COMPUTED_VALUE"""),"320HP")</f>
        <v>320HP</v>
      </c>
      <c r="I2733" s="1076" t="str">
        <f>IFERROR(__xludf.DUMMYFUNCTION("""COMPUTED_VALUE"""),"KMCDB19YPLU006100")</f>
        <v>KMCDB19YPLU006100</v>
      </c>
      <c r="J2733" s="1076" t="str">
        <f>IFERROR(__xludf.DUMMYFUNCTION("""COMPUTED_VALUE"""),"D8AYLO47958")</f>
        <v>D8AYLO47958</v>
      </c>
      <c r="K2733" s="1076">
        <f>IFERROR(__xludf.DUMMYFUNCTION("""COMPUTED_VALUE"""),8)</f>
        <v>8</v>
      </c>
      <c r="L2733" s="1076" t="str">
        <f>IFERROR(__xludf.DUMMYFUNCTION("""COMPUTED_VALUE"""),"-")</f>
        <v>-</v>
      </c>
    </row>
    <row r="2734" customHeight="1" spans="1:12">
      <c r="A2734" s="1076" t="str">
        <f>IFERROR(__xludf.DUMMYFUNCTION("""COMPUTED_VALUE"""),"TNL-XTA-085")</f>
        <v>TNL-XTA-085</v>
      </c>
      <c r="B2734" s="1075" t="str">
        <f>IFERROR(__xludf.DUMMYFUNCTION("""COMPUTED_VALUE"""),"Xe ben 15 tấn")</f>
        <v>Xe ben 15 tấn</v>
      </c>
      <c r="C2734" s="1076" t="str">
        <f>IFERROR(__xludf.DUMMYFUNCTION("""COMPUTED_VALUE"""),"CGTC LP")</f>
        <v>CGTC LP</v>
      </c>
      <c r="D2734" s="1076" t="str">
        <f>IFERROR(__xludf.DUMMYFUNCTION("""COMPUTED_VALUE"""),"HINO")</f>
        <v>HINO</v>
      </c>
      <c r="E2734" s="1076"/>
      <c r="F2734" s="1076">
        <f>IFERROR(__xludf.DUMMYFUNCTION("""COMPUTED_VALUE"""),1989)</f>
        <v>1989</v>
      </c>
      <c r="G2734" s="1076" t="str">
        <f>IFERROR(__xludf.DUMMYFUNCTION("""COMPUTED_VALUE"""),"Dump Truck")</f>
        <v>Dump Truck</v>
      </c>
      <c r="H2734" s="1076" t="str">
        <f>IFERROR(__xludf.DUMMYFUNCTION("""COMPUTED_VALUE"""),"340HP")</f>
        <v>340HP</v>
      </c>
      <c r="I2734" s="1076" t="str">
        <f>IFERROR(__xludf.DUMMYFUNCTION("""COMPUTED_VALUE"""),"FS630B22460")</f>
        <v>FS630B22460</v>
      </c>
      <c r="J2734" s="1076" t="str">
        <f>IFERROR(__xludf.DUMMYFUNCTION("""COMPUTED_VALUE"""),"EF750C15213")</f>
        <v>EF750C15213</v>
      </c>
      <c r="K2734" s="1076">
        <f>IFERROR(__xludf.DUMMYFUNCTION("""COMPUTED_VALUE"""),8)</f>
        <v>8</v>
      </c>
      <c r="L2734" s="1076" t="str">
        <f>IFERROR(__xludf.DUMMYFUNCTION("""COMPUTED_VALUE"""),"-")</f>
        <v>-</v>
      </c>
    </row>
    <row r="2735" customHeight="1" spans="1:12">
      <c r="A2735" s="1076" t="str">
        <f>IFERROR(__xludf.DUMMYFUNCTION("""COMPUTED_VALUE"""),"Xe chuyên dụng")</f>
        <v>Xe chuyên dụng</v>
      </c>
      <c r="B2735" s="1075" t="str">
        <f>IFERROR(__xludf.DUMMYFUNCTION("""COMPUTED_VALUE"""),"1")</f>
        <v>1</v>
      </c>
      <c r="C2735" s="1076"/>
      <c r="D2735" s="1076"/>
      <c r="E2735" s="1076"/>
      <c r="F2735" s="1076"/>
      <c r="G2735" s="1076"/>
      <c r="H2735" s="1076"/>
      <c r="I2735" s="1076"/>
      <c r="J2735" s="1076"/>
      <c r="K2735" s="1076"/>
      <c r="L2735" s="1076" t="str">
        <f>IFERROR(__xludf.DUMMYFUNCTION("""COMPUTED_VALUE"""),"0")</f>
        <v>0</v>
      </c>
    </row>
    <row r="2736" customHeight="1" spans="1:12">
      <c r="A2736" s="1076" t="str">
        <f>IFERROR(__xludf.DUMMYFUNCTION("""COMPUTED_VALUE"""),"TNL-XCA-001")</f>
        <v>TNL-XCA-001</v>
      </c>
      <c r="B2736" s="1075" t="str">
        <f>IFERROR(__xludf.DUMMYFUNCTION("""COMPUTED_VALUE"""),"Xe cẩu 15 Tấn")</f>
        <v>Xe cẩu 15 Tấn</v>
      </c>
      <c r="C2736" s="1076" t="str">
        <f>IFERROR(__xludf.DUMMYFUNCTION("""COMPUTED_VALUE"""),"B.ĐTXD AD")</f>
        <v>B.ĐTXD AD</v>
      </c>
      <c r="D2736" s="1076" t="str">
        <f>IFERROR(__xludf.DUMMYFUNCTION("""COMPUTED_VALUE"""),"DEAWOO")</f>
        <v>DEAWOO</v>
      </c>
      <c r="E2736" s="1076"/>
      <c r="F2736" s="1076"/>
      <c r="G2736" s="1076" t="str">
        <f>IFERROR(__xludf.DUMMYFUNCTION("""COMPUTED_VALUE"""),"CumminS 415PS")</f>
        <v>CumminS 415PS</v>
      </c>
      <c r="H2736" s="1076" t="str">
        <f>IFERROR(__xludf.DUMMYFUNCTION("""COMPUTED_VALUE"""),"365HP")</f>
        <v>365HP</v>
      </c>
      <c r="I2736" s="1076" t="str">
        <f>IFERROR(__xludf.DUMMYFUNCTION("""COMPUTED_VALUE"""),"KL3PC77C1VK000430")</f>
        <v>KL3PC77C1VK000430</v>
      </c>
      <c r="J2736" s="1076" t="str">
        <f>IFERROR(__xludf.DUMMYFUNCTION("""COMPUTED_VALUE"""),"DV15T600384CA")</f>
        <v>DV15T600384CA</v>
      </c>
      <c r="K2736" s="1076">
        <f>IFERROR(__xludf.DUMMYFUNCTION("""COMPUTED_VALUE"""),5)</f>
        <v>5</v>
      </c>
      <c r="L2736" s="1076" t="str">
        <f>IFERROR(__xludf.DUMMYFUNCTION("""COMPUTED_VALUE"""),"-")</f>
        <v>-</v>
      </c>
    </row>
    <row r="2737" customHeight="1" spans="1:12">
      <c r="A2737" s="1076" t="str">
        <f>IFERROR(__xludf.DUMMYFUNCTION("""COMPUTED_VALUE"""),"TNL-XCA-002")</f>
        <v>TNL-XCA-002</v>
      </c>
      <c r="B2737" s="1075" t="str">
        <f>IFERROR(__xludf.DUMMYFUNCTION("""COMPUTED_VALUE"""),"Xe cẩu 15 Tấn")</f>
        <v>Xe cẩu 15 Tấn</v>
      </c>
      <c r="C2737" s="1076" t="str">
        <f>IFERROR(__xludf.DUMMYFUNCTION("""COMPUTED_VALUE"""),"CGTC LP")</f>
        <v>CGTC LP</v>
      </c>
      <c r="D2737" s="1076" t="str">
        <f>IFERROR(__xludf.DUMMYFUNCTION("""COMPUTED_VALUE"""),"HYUNDAI")</f>
        <v>HYUNDAI</v>
      </c>
      <c r="E2737" s="1076"/>
      <c r="F2737" s="1076">
        <f>IFERROR(__xludf.DUMMYFUNCTION("""COMPUTED_VALUE"""),2003)</f>
        <v>2003</v>
      </c>
      <c r="G2737" s="1076" t="str">
        <f>IFERROR(__xludf.DUMMYFUNCTION("""COMPUTED_VALUE"""),"LIGHT TRUCK")</f>
        <v>LIGHT TRUCK</v>
      </c>
      <c r="H2737" s="1076" t="str">
        <f>IFERROR(__xludf.DUMMYFUNCTION("""COMPUTED_VALUE"""),"320HP")</f>
        <v>320HP</v>
      </c>
      <c r="I2737" s="1076" t="str">
        <f>IFERROR(__xludf.DUMMYFUNCTION("""COMPUTED_VALUE"""),"KMFPA18SP3C026684")</f>
        <v>KMFPA18SP3C026684</v>
      </c>
      <c r="J2737" s="1076" t="str">
        <f>IFERROR(__xludf.DUMMYFUNCTION("""COMPUTED_VALUE"""),"076120")</f>
        <v>076120</v>
      </c>
      <c r="K2737" s="1076">
        <f>IFERROR(__xludf.DUMMYFUNCTION("""COMPUTED_VALUE"""),6)</f>
        <v>6</v>
      </c>
      <c r="L2737" s="1076" t="str">
        <f>IFERROR(__xludf.DUMMYFUNCTION("""COMPUTED_VALUE"""),"-")</f>
        <v>-</v>
      </c>
    </row>
    <row r="2738" customHeight="1" spans="1:12">
      <c r="A2738" s="1076" t="str">
        <f>IFERROR(__xludf.DUMMYFUNCTION("""COMPUTED_VALUE"""),"Xe ban")</f>
        <v>Xe ban</v>
      </c>
      <c r="B2738" s="1075" t="str">
        <f>IFERROR(__xludf.DUMMYFUNCTION("""COMPUTED_VALUE"""),"5")</f>
        <v>5</v>
      </c>
      <c r="C2738" s="1076"/>
      <c r="D2738" s="1076"/>
      <c r="E2738" s="1076"/>
      <c r="F2738" s="1076"/>
      <c r="G2738" s="1076"/>
      <c r="H2738" s="1076"/>
      <c r="I2738" s="1076"/>
      <c r="J2738" s="1076"/>
      <c r="K2738" s="1076"/>
      <c r="L2738" s="1076" t="str">
        <f>IFERROR(__xludf.DUMMYFUNCTION("""COMPUTED_VALUE"""),"0")</f>
        <v>0</v>
      </c>
    </row>
    <row r="2739" customHeight="1" spans="1:12">
      <c r="A2739" s="1076" t="str">
        <f>IFERROR(__xludf.DUMMYFUNCTION("""COMPUTED_VALUE"""),"TNL-BAN-001")</f>
        <v>TNL-BAN-001</v>
      </c>
      <c r="B2739" s="1075" t="str">
        <f>IFERROR(__xludf.DUMMYFUNCTION("""COMPUTED_VALUE"""),"Xe ban 15 tấn")</f>
        <v>Xe ban 15 tấn</v>
      </c>
      <c r="C2739" s="1076" t="str">
        <f>IFERROR(__xludf.DUMMYFUNCTION("""COMPUTED_VALUE"""),"CGTC LP")</f>
        <v>CGTC LP</v>
      </c>
      <c r="D2739" s="1076" t="str">
        <f>IFERROR(__xludf.DUMMYFUNCTION("""COMPUTED_VALUE"""),"LIUGONG")</f>
        <v>LIUGONG</v>
      </c>
      <c r="E2739" s="1076"/>
      <c r="F2739" s="1076">
        <f>IFERROR(__xludf.DUMMYFUNCTION("""COMPUTED_VALUE"""),2010)</f>
        <v>2010</v>
      </c>
      <c r="G2739" s="1076" t="str">
        <f>IFERROR(__xludf.DUMMYFUNCTION("""COMPUTED_VALUE"""),"CLG 418")</f>
        <v>CLG 418</v>
      </c>
      <c r="H2739" s="1076" t="str">
        <f>IFERROR(__xludf.DUMMYFUNCTION("""COMPUTED_VALUE"""),"160HP")</f>
        <v>160HP</v>
      </c>
      <c r="I2739" s="1076" t="str">
        <f>IFERROR(__xludf.DUMMYFUNCTION("""COMPUTED_VALUE"""),"87813693")</f>
        <v>87813693</v>
      </c>
      <c r="J2739" s="1076" t="str">
        <f>IFERROR(__xludf.DUMMYFUNCTION("""COMPUTED_VALUE"""),"G1000447")</f>
        <v>G1000447</v>
      </c>
      <c r="K2739" s="1076">
        <f>IFERROR(__xludf.DUMMYFUNCTION("""COMPUTED_VALUE"""),17)</f>
        <v>17</v>
      </c>
      <c r="L2739" s="1076" t="str">
        <f>IFERROR(__xludf.DUMMYFUNCTION("""COMPUTED_VALUE"""),"-")</f>
        <v>-</v>
      </c>
    </row>
    <row r="2740" customHeight="1" spans="1:12">
      <c r="A2740" s="1076" t="str">
        <f>IFERROR(__xludf.DUMMYFUNCTION("""COMPUTED_VALUE"""),"TNL-BAN-002")</f>
        <v>TNL-BAN-002</v>
      </c>
      <c r="B2740" s="1075" t="str">
        <f>IFERROR(__xludf.DUMMYFUNCTION("""COMPUTED_VALUE"""),"Xe ban 15 tấn")</f>
        <v>Xe ban 15 tấn</v>
      </c>
      <c r="C2740" s="1076" t="str">
        <f>IFERROR(__xludf.DUMMYFUNCTION("""COMPUTED_VALUE"""),"CGTC LP")</f>
        <v>CGTC LP</v>
      </c>
      <c r="D2740" s="1076" t="str">
        <f>IFERROR(__xludf.DUMMYFUNCTION("""COMPUTED_VALUE"""),"LIUGONG")</f>
        <v>LIUGONG</v>
      </c>
      <c r="E2740" s="1076" t="str">
        <f>IFERROR(__xludf.DUMMYFUNCTION("""COMPUTED_VALUE"""),"TRUNG QUỐC")</f>
        <v>TRUNG QUỐC</v>
      </c>
      <c r="F2740" s="1076">
        <f>IFERROR(__xludf.DUMMYFUNCTION("""COMPUTED_VALUE"""),2005)</f>
        <v>2005</v>
      </c>
      <c r="G2740" s="1076" t="str">
        <f>IFERROR(__xludf.DUMMYFUNCTION("""COMPUTED_VALUE"""),"CLG 418")</f>
        <v>CLG 418</v>
      </c>
      <c r="H2740" s="1076" t="str">
        <f>IFERROR(__xludf.DUMMYFUNCTION("""COMPUTED_VALUE"""),"220HP")</f>
        <v>220HP</v>
      </c>
      <c r="I2740" s="1076" t="str">
        <f>IFERROR(__xludf.DUMMYFUNCTION("""COMPUTED_VALUE"""),"G10001153")</f>
        <v>G10001153</v>
      </c>
      <c r="J2740" s="1076" t="str">
        <f>IFERROR(__xludf.DUMMYFUNCTION("""COMPUTED_VALUE"""),"811292000")</f>
        <v>811292000</v>
      </c>
      <c r="K2740" s="1076">
        <f>IFERROR(__xludf.DUMMYFUNCTION("""COMPUTED_VALUE"""),17)</f>
        <v>17</v>
      </c>
      <c r="L2740" s="1076" t="str">
        <f>IFERROR(__xludf.DUMMYFUNCTION("""COMPUTED_VALUE"""),"-")</f>
        <v>-</v>
      </c>
    </row>
    <row r="2741" customHeight="1" spans="1:12">
      <c r="A2741" s="1076" t="str">
        <f>IFERROR(__xludf.DUMMYFUNCTION("""COMPUTED_VALUE"""),"TNL-BAN-003")</f>
        <v>TNL-BAN-003</v>
      </c>
      <c r="B2741" s="1075" t="str">
        <f>IFERROR(__xludf.DUMMYFUNCTION("""COMPUTED_VALUE"""),"Xe ban 15 tấn")</f>
        <v>Xe ban 15 tấn</v>
      </c>
      <c r="C2741" s="1076" t="str">
        <f>IFERROR(__xludf.DUMMYFUNCTION("""COMPUTED_VALUE"""),"CGTC LP")</f>
        <v>CGTC LP</v>
      </c>
      <c r="D2741" s="1076"/>
      <c r="E2741" s="1076"/>
      <c r="F2741" s="1076"/>
      <c r="G2741" s="1076" t="str">
        <f>IFERROR(__xludf.DUMMYFUNCTION("""COMPUTED_VALUE"""),"NHẬT BẢN")</f>
        <v>NHẬT BẢN</v>
      </c>
      <c r="H2741" s="1076" t="str">
        <f>IFERROR(__xludf.DUMMYFUNCTION("""COMPUTED_VALUE"""),"2023")</f>
        <v>2023</v>
      </c>
      <c r="I2741" s="1076" t="str">
        <f>IFERROR(__xludf.DUMMYFUNCTION("""COMPUTED_VALUE"""),"SEM919")</f>
        <v>SEM919</v>
      </c>
      <c r="J2741" s="1076" t="str">
        <f>IFERROR(__xludf.DUMMYFUNCTION("""COMPUTED_VALUE"""),"188HP")</f>
        <v>188HP</v>
      </c>
      <c r="K2741" s="1076">
        <f>IFERROR(__xludf.DUMMYFUNCTION("""COMPUTED_VALUE"""),14.7)</f>
        <v>14.7</v>
      </c>
      <c r="L2741" s="1076" t="str">
        <f>IFERROR(__xludf.DUMMYFUNCTION("""COMPUTED_VALUE"""),"-")</f>
        <v>-</v>
      </c>
    </row>
    <row r="2742" customHeight="1" spans="1:12">
      <c r="A2742" s="1076" t="str">
        <f>IFERROR(__xludf.DUMMYFUNCTION("""COMPUTED_VALUE"""),"TNL-BAN-004")</f>
        <v>TNL-BAN-004</v>
      </c>
      <c r="B2742" s="1075" t="str">
        <f>IFERROR(__xludf.DUMMYFUNCTION("""COMPUTED_VALUE"""),"Xe ban 15 tấn")</f>
        <v>Xe ban 15 tấn</v>
      </c>
      <c r="C2742" s="1076" t="str">
        <f>IFERROR(__xludf.DUMMYFUNCTION("""COMPUTED_VALUE"""),"CGTC LP")</f>
        <v>CGTC LP</v>
      </c>
      <c r="D2742" s="1076" t="str">
        <f>IFERROR(__xludf.DUMMYFUNCTION("""COMPUTED_VALUE"""),"SANY")</f>
        <v>SANY</v>
      </c>
      <c r="E2742" s="1076"/>
      <c r="F2742" s="1076">
        <f>IFERROR(__xludf.DUMMYFUNCTION("""COMPUTED_VALUE"""),2021)</f>
        <v>2021</v>
      </c>
      <c r="G2742" s="1076" t="str">
        <f>IFERROR(__xludf.DUMMYFUNCTION("""COMPUTED_VALUE"""),"STG 190C-8")</f>
        <v>STG 190C-8</v>
      </c>
      <c r="H2742" s="1076" t="str">
        <f>IFERROR(__xludf.DUMMYFUNCTION("""COMPUTED_VALUE"""),"197HP")</f>
        <v>197HP</v>
      </c>
      <c r="I2742" s="1076" t="str">
        <f>IFERROR(__xludf.DUMMYFUNCTION("""COMPUTED_VALUE"""),"PY5519CB0519")</f>
        <v>PY5519CB0519</v>
      </c>
      <c r="J2742" s="1076" t="str">
        <f>IFERROR(__xludf.DUMMYFUNCTION("""COMPUTED_VALUE"""),"36909")</f>
        <v>36909</v>
      </c>
      <c r="K2742" s="1076">
        <f>IFERROR(__xludf.DUMMYFUNCTION("""COMPUTED_VALUE"""),15)</f>
        <v>15</v>
      </c>
      <c r="L2742" s="1076" t="str">
        <f>IFERROR(__xludf.DUMMYFUNCTION("""COMPUTED_VALUE"""),"-")</f>
        <v>-</v>
      </c>
    </row>
    <row r="2743" customHeight="1" spans="1:12">
      <c r="A2743" s="1076" t="str">
        <f>IFERROR(__xludf.DUMMYFUNCTION("""COMPUTED_VALUE"""),"TNL-BAN-005")</f>
        <v>TNL-BAN-005</v>
      </c>
      <c r="B2743" s="1075" t="str">
        <f>IFERROR(__xludf.DUMMYFUNCTION("""COMPUTED_VALUE"""),"Xe ban 15 tấn")</f>
        <v>Xe ban 15 tấn</v>
      </c>
      <c r="C2743" s="1076" t="str">
        <f>IFERROR(__xludf.DUMMYFUNCTION("""COMPUTED_VALUE"""),"CGTC LP")</f>
        <v>CGTC LP</v>
      </c>
      <c r="D2743" s="1076" t="str">
        <f>IFERROR(__xludf.DUMMYFUNCTION("""COMPUTED_VALUE"""),"SANY")</f>
        <v>SANY</v>
      </c>
      <c r="E2743" s="1076"/>
      <c r="F2743" s="1076">
        <f>IFERROR(__xludf.DUMMYFUNCTION("""COMPUTED_VALUE"""),2021)</f>
        <v>2021</v>
      </c>
      <c r="G2743" s="1076" t="str">
        <f>IFERROR(__xludf.DUMMYFUNCTION("""COMPUTED_VALUE"""),"STG 190C-8")</f>
        <v>STG 190C-8</v>
      </c>
      <c r="H2743" s="1076" t="str">
        <f>IFERROR(__xludf.DUMMYFUNCTION("""COMPUTED_VALUE"""),"197HP")</f>
        <v>197HP</v>
      </c>
      <c r="I2743" s="1076" t="str">
        <f>IFERROR(__xludf.DUMMYFUNCTION("""COMPUTED_VALUE"""),"B0555")</f>
        <v>B0555</v>
      </c>
      <c r="J2743" s="1076" t="str">
        <f>IFERROR(__xludf.DUMMYFUNCTION("""COMPUTED_VALUE"""),"E035206")</f>
        <v>E035206</v>
      </c>
      <c r="K2743" s="1076">
        <f>IFERROR(__xludf.DUMMYFUNCTION("""COMPUTED_VALUE"""),17)</f>
        <v>17</v>
      </c>
      <c r="L2743" s="1076" t="str">
        <f>IFERROR(__xludf.DUMMYFUNCTION("""COMPUTED_VALUE"""),"-")</f>
        <v>-</v>
      </c>
    </row>
    <row r="2744" customHeight="1" spans="1:12">
      <c r="A2744" s="1076" t="str">
        <f>IFERROR(__xludf.DUMMYFUNCTION("""COMPUTED_VALUE"""),"TNL-BAN-006")</f>
        <v>TNL-BAN-006</v>
      </c>
      <c r="B2744" s="1075" t="str">
        <f>IFERROR(__xludf.DUMMYFUNCTION("""COMPUTED_VALUE"""),"Xe ban 15 tấn")</f>
        <v>Xe ban 15 tấn</v>
      </c>
      <c r="C2744" s="1076" t="str">
        <f>IFERROR(__xludf.DUMMYFUNCTION("""COMPUTED_VALUE"""),"CGTC LP")</f>
        <v>CGTC LP</v>
      </c>
      <c r="D2744" s="1076" t="str">
        <f>IFERROR(__xludf.DUMMYFUNCTION("""COMPUTED_VALUE"""),"SANY")</f>
        <v>SANY</v>
      </c>
      <c r="E2744" s="1076"/>
      <c r="F2744" s="1076">
        <f>IFERROR(__xludf.DUMMYFUNCTION("""COMPUTED_VALUE"""),2025)</f>
        <v>2025</v>
      </c>
      <c r="G2744" s="1076" t="str">
        <f>IFERROR(__xludf.DUMMYFUNCTION("""COMPUTED_VALUE"""),"STG 190C-8S")</f>
        <v>STG 190C-8S</v>
      </c>
      <c r="H2744" s="1076" t="str">
        <f>IFERROR(__xludf.DUMMYFUNCTION("""COMPUTED_VALUE"""),"197HP")</f>
        <v>197HP</v>
      </c>
      <c r="I2744" s="1076" t="str">
        <f>IFERROR(__xludf.DUMMYFUNCTION("""COMPUTED_VALUE"""),"PY5519CF0679")</f>
        <v>PY5519CF0679</v>
      </c>
      <c r="J2744" s="1076" t="str">
        <f>IFERROR(__xludf.DUMMYFUNCTION("""COMPUTED_VALUE"""),"P25B004250")</f>
        <v>P25B004250</v>
      </c>
      <c r="K2744" s="1076">
        <f>IFERROR(__xludf.DUMMYFUNCTION("""COMPUTED_VALUE"""),17)</f>
        <v>17</v>
      </c>
      <c r="L2744" s="1076" t="str">
        <f>IFERROR(__xludf.DUMMYFUNCTION("""COMPUTED_VALUE"""),"-")</f>
        <v>-</v>
      </c>
    </row>
    <row r="2745" customHeight="1" spans="1:12">
      <c r="A2745" s="1076" t="str">
        <f>IFERROR(__xludf.DUMMYFUNCTION("""COMPUTED_VALUE"""),"Máy kéo")</f>
        <v>Máy kéo</v>
      </c>
      <c r="B2745" s="1075" t="str">
        <f>IFERROR(__xludf.DUMMYFUNCTION("""COMPUTED_VALUE"""),"1")</f>
        <v>1</v>
      </c>
      <c r="C2745" s="1076"/>
      <c r="D2745" s="1076"/>
      <c r="E2745" s="1076"/>
      <c r="F2745" s="1076"/>
      <c r="G2745" s="1076"/>
      <c r="H2745" s="1076"/>
      <c r="I2745" s="1076"/>
      <c r="J2745" s="1076"/>
      <c r="K2745" s="1076"/>
      <c r="L2745" s="1076" t="str">
        <f>IFERROR(__xludf.DUMMYFUNCTION("""COMPUTED_VALUE"""),"0")</f>
        <v>0</v>
      </c>
    </row>
    <row r="2746" customHeight="1" spans="1:12">
      <c r="A2746" s="1076" t="str">
        <f>IFERROR(__xludf.DUMMYFUNCTION("""COMPUTED_VALUE"""),"TNL-MKE-001")</f>
        <v>TNL-MKE-001</v>
      </c>
      <c r="B2746" s="1075" t="str">
        <f>IFERROR(__xludf.DUMMYFUNCTION("""COMPUTED_VALUE"""),"Máy kéo JD 5070E")</f>
        <v>Máy kéo JD 5070E</v>
      </c>
      <c r="C2746" s="1076" t="str">
        <f>IFERROR(__xludf.DUMMYFUNCTION("""COMPUTED_VALUE"""),"XN Chuối LP3")</f>
        <v>XN Chuối LP3</v>
      </c>
      <c r="D2746" s="1076" t="str">
        <f>IFERROR(__xludf.DUMMYFUNCTION("""COMPUTED_VALUE"""),"JOHNDEERE")</f>
        <v>JOHNDEERE</v>
      </c>
      <c r="E2746" s="1076"/>
      <c r="F2746" s="1076"/>
      <c r="G2746" s="1076" t="str">
        <f>IFERROR(__xludf.DUMMYFUNCTION("""COMPUTED_VALUE"""),"5070E")</f>
        <v>5070E</v>
      </c>
      <c r="H2746" s="1076" t="str">
        <f>IFERROR(__xludf.DUMMYFUNCTION("""COMPUTED_VALUE"""),"90HP")</f>
        <v>90HP</v>
      </c>
      <c r="I2746" s="1076" t="str">
        <f>IFERROR(__xludf.DUMMYFUNCTION("""COMPUTED_VALUE"""),"1PY5075ETMA606700")</f>
        <v>1PY5075ETMA606700</v>
      </c>
      <c r="J2746" s="1076" t="str">
        <f>IFERROR(__xludf.DUMMYFUNCTION("""COMPUTED_VALUE"""),"PY3029T294295")</f>
        <v>PY3029T294295</v>
      </c>
      <c r="K2746" s="1076">
        <f>IFERROR(__xludf.DUMMYFUNCTION("""COMPUTED_VALUE"""),3.5)</f>
        <v>3.5</v>
      </c>
      <c r="L2746" s="1076" t="str">
        <f>IFERROR(__xludf.DUMMYFUNCTION("""COMPUTED_VALUE"""),"-")</f>
        <v>-</v>
      </c>
    </row>
    <row r="2747" customHeight="1" spans="1:12">
      <c r="A2747" s="1076" t="str">
        <f>IFERROR(__xludf.DUMMYFUNCTION("""COMPUTED_VALUE"""),"CTY DP")</f>
        <v>CTY DP</v>
      </c>
      <c r="B2747" s="1075" t="str">
        <f>IFERROR(__xludf.DUMMYFUNCTION("""COMPUTED_VALUE"""),"219")</f>
        <v>219</v>
      </c>
      <c r="C2747" s="1076"/>
      <c r="D2747" s="1076"/>
      <c r="E2747" s="1076"/>
      <c r="F2747" s="1076"/>
      <c r="G2747" s="1076"/>
      <c r="H2747" s="1076"/>
      <c r="I2747" s="1076"/>
      <c r="J2747" s="1076"/>
      <c r="K2747" s="1076"/>
      <c r="L2747" s="1076" t="str">
        <f>IFERROR(__xludf.DUMMYFUNCTION("""COMPUTED_VALUE"""),"58")</f>
        <v>58</v>
      </c>
    </row>
    <row r="2748" customHeight="1" spans="1:12">
      <c r="A2748" s="1076" t="str">
        <f>IFERROR(__xludf.DUMMYFUNCTION("""COMPUTED_VALUE"""),"Máy đào")</f>
        <v>Máy đào</v>
      </c>
      <c r="B2748" s="1075" t="str">
        <f>IFERROR(__xludf.DUMMYFUNCTION("""COMPUTED_VALUE"""),"115")</f>
        <v>115</v>
      </c>
      <c r="C2748" s="1076"/>
      <c r="D2748" s="1076"/>
      <c r="E2748" s="1076"/>
      <c r="F2748" s="1076"/>
      <c r="G2748" s="1076"/>
      <c r="H2748" s="1076"/>
      <c r="I2748" s="1076"/>
      <c r="J2748" s="1076"/>
      <c r="K2748" s="1076"/>
      <c r="L2748" s="1076" t="str">
        <f>IFERROR(__xludf.DUMMYFUNCTION("""COMPUTED_VALUE"""),"23")</f>
        <v>23</v>
      </c>
    </row>
    <row r="2749" customHeight="1" spans="1:12">
      <c r="A2749" s="1076" t="str">
        <f>IFERROR(__xludf.DUMMYFUNCTION("""COMPUTED_VALUE"""),"TND-MĐA-002")</f>
        <v>TND-MĐA-002</v>
      </c>
      <c r="B2749" s="1075" t="str">
        <f>IFERROR(__xludf.DUMMYFUNCTION("""COMPUTED_VALUE"""),"Máy đào gàu 1.2m3")</f>
        <v>Máy đào gàu 1.2m3</v>
      </c>
      <c r="C2749" s="1076" t="str">
        <f>IFERROR(__xludf.DUMMYFUNCTION("""COMPUTED_VALUE"""),"CGTC DP")</f>
        <v>CGTC DP</v>
      </c>
      <c r="D2749" s="1076" t="str">
        <f>IFERROR(__xludf.DUMMYFUNCTION("""COMPUTED_VALUE"""),"CATERPILLAR")</f>
        <v>CATERPILLAR</v>
      </c>
      <c r="E2749" s="1076"/>
      <c r="F2749" s="1076"/>
      <c r="G2749" s="1076" t="str">
        <f>IFERROR(__xludf.DUMMYFUNCTION("""COMPUTED_VALUE"""),"320B")</f>
        <v>320B</v>
      </c>
      <c r="H2749" s="1076" t="str">
        <f>IFERROR(__xludf.DUMMYFUNCTION("""COMPUTED_VALUE"""),"130HP")</f>
        <v>130HP</v>
      </c>
      <c r="I2749" s="1076" t="str">
        <f>IFERROR(__xludf.DUMMYFUNCTION("""COMPUTED_VALUE"""),"3MR00568")</f>
        <v>3MR00568</v>
      </c>
      <c r="J2749" s="1076" t="str">
        <f>IFERROR(__xludf.DUMMYFUNCTION("""COMPUTED_VALUE"""),"7JK 220993")</f>
        <v>7JK 220993</v>
      </c>
      <c r="K2749" s="1076"/>
      <c r="L2749" s="1076" t="str">
        <f>IFERROR(__xludf.DUMMYFUNCTION("""COMPUTED_VALUE"""),"-")</f>
        <v>-</v>
      </c>
    </row>
    <row r="2750" customHeight="1" spans="1:12">
      <c r="A2750" s="1076" t="str">
        <f>IFERROR(__xludf.DUMMYFUNCTION("""COMPUTED_VALUE"""),"TND-MĐA-003")</f>
        <v>TND-MĐA-003</v>
      </c>
      <c r="B2750" s="1075" t="str">
        <f>IFERROR(__xludf.DUMMYFUNCTION("""COMPUTED_VALUE"""),"Máy đào gàu 1.2m3")</f>
        <v>Máy đào gàu 1.2m3</v>
      </c>
      <c r="C2750" s="1076" t="str">
        <f>IFERROR(__xludf.DUMMYFUNCTION("""COMPUTED_VALUE"""),"CGTC DP")</f>
        <v>CGTC DP</v>
      </c>
      <c r="D2750" s="1076" t="str">
        <f>IFERROR(__xludf.DUMMYFUNCTION("""COMPUTED_VALUE"""),"CATERPILLAR")</f>
        <v>CATERPILLAR</v>
      </c>
      <c r="E2750" s="1076"/>
      <c r="F2750" s="1076"/>
      <c r="G2750" s="1076" t="str">
        <f>IFERROR(__xludf.DUMMYFUNCTION("""COMPUTED_VALUE"""),"320B")</f>
        <v>320B</v>
      </c>
      <c r="H2750" s="1076" t="str">
        <f>IFERROR(__xludf.DUMMYFUNCTION("""COMPUTED_VALUE"""),"130HP")</f>
        <v>130HP</v>
      </c>
      <c r="I2750" s="1076" t="str">
        <f>IFERROR(__xludf.DUMMYFUNCTION("""COMPUTED_VALUE"""),"7GJ02526")</f>
        <v>7GJ02526</v>
      </c>
      <c r="J2750" s="1076" t="str">
        <f>IFERROR(__xludf.DUMMYFUNCTION("""COMPUTED_VALUE"""),"7JK 03592")</f>
        <v>7JK 03592</v>
      </c>
      <c r="K2750" s="1076"/>
      <c r="L2750" s="1076" t="str">
        <f>IFERROR(__xludf.DUMMYFUNCTION("""COMPUTED_VALUE"""),"-")</f>
        <v>-</v>
      </c>
    </row>
    <row r="2751" customHeight="1" spans="1:12">
      <c r="A2751" s="1076" t="str">
        <f>IFERROR(__xludf.DUMMYFUNCTION("""COMPUTED_VALUE"""),"TND-MĐA-004")</f>
        <v>TND-MĐA-004</v>
      </c>
      <c r="B2751" s="1075" t="str">
        <f>IFERROR(__xludf.DUMMYFUNCTION("""COMPUTED_VALUE"""),"Máy đào gàu 1.2m3")</f>
        <v>Máy đào gàu 1.2m3</v>
      </c>
      <c r="C2751" s="1076" t="str">
        <f>IFERROR(__xludf.DUMMYFUNCTION("""COMPUTED_VALUE"""),"CGTC DP")</f>
        <v>CGTC DP</v>
      </c>
      <c r="D2751" s="1076" t="str">
        <f>IFERROR(__xludf.DUMMYFUNCTION("""COMPUTED_VALUE"""),"CATERPILLAR")</f>
        <v>CATERPILLAR</v>
      </c>
      <c r="E2751" s="1076"/>
      <c r="F2751" s="1076"/>
      <c r="G2751" s="1076" t="str">
        <f>IFERROR(__xludf.DUMMYFUNCTION("""COMPUTED_VALUE"""),"320B")</f>
        <v>320B</v>
      </c>
      <c r="H2751" s="1076" t="str">
        <f>IFERROR(__xludf.DUMMYFUNCTION("""COMPUTED_VALUE"""),"130HP")</f>
        <v>130HP</v>
      </c>
      <c r="I2751" s="1076" t="str">
        <f>IFERROR(__xludf.DUMMYFUNCTION("""COMPUTED_VALUE"""),"CAT320HBWZ036635")</f>
        <v>CAT320HBWZ036635</v>
      </c>
      <c r="J2751" s="1076" t="str">
        <f>IFERROR(__xludf.DUMMYFUNCTION("""COMPUTED_VALUE"""),"GDC25651")</f>
        <v>GDC25651</v>
      </c>
      <c r="K2751" s="1076"/>
      <c r="L2751" s="1076" t="str">
        <f>IFERROR(__xludf.DUMMYFUNCTION("""COMPUTED_VALUE"""),"-")</f>
        <v>-</v>
      </c>
    </row>
    <row r="2752" customHeight="1" spans="1:12">
      <c r="A2752" s="1076" t="str">
        <f>IFERROR(__xludf.DUMMYFUNCTION("""COMPUTED_VALUE"""),"TND-MĐA-005")</f>
        <v>TND-MĐA-005</v>
      </c>
      <c r="B2752" s="1075" t="str">
        <f>IFERROR(__xludf.DUMMYFUNCTION("""COMPUTED_VALUE"""),"Máy đào gàu 1.2m3")</f>
        <v>Máy đào gàu 1.2m3</v>
      </c>
      <c r="C2752" s="1076" t="str">
        <f>IFERROR(__xludf.DUMMYFUNCTION("""COMPUTED_VALUE"""),"CGTC DP")</f>
        <v>CGTC DP</v>
      </c>
      <c r="D2752" s="1076" t="str">
        <f>IFERROR(__xludf.DUMMYFUNCTION("""COMPUTED_VALUE"""),"CATERPILLAR")</f>
        <v>CATERPILLAR</v>
      </c>
      <c r="E2752" s="1076"/>
      <c r="F2752" s="1076">
        <f>IFERROR(__xludf.DUMMYFUNCTION("""COMPUTED_VALUE"""),2017)</f>
        <v>2017</v>
      </c>
      <c r="G2752" s="1076" t="str">
        <f>IFERROR(__xludf.DUMMYFUNCTION("""COMPUTED_VALUE"""),"320D2 GC")</f>
        <v>320D2 GC</v>
      </c>
      <c r="H2752" s="1076" t="str">
        <f>IFERROR(__xludf.DUMMYFUNCTION("""COMPUTED_VALUE"""),"124HP")</f>
        <v>124HP</v>
      </c>
      <c r="I2752" s="1076" t="str">
        <f>IFERROR(__xludf.DUMMYFUNCTION("""COMPUTED_VALUE"""),"CAT0320DCZBH10490")</f>
        <v>CAT0320DCZBH10490</v>
      </c>
      <c r="J2752" s="1076" t="str">
        <f>IFERROR(__xludf.DUMMYFUNCTION("""COMPUTED_VALUE"""),"2W202504")</f>
        <v>2W202504</v>
      </c>
      <c r="K2752" s="1076"/>
      <c r="L2752" s="1076" t="str">
        <f>IFERROR(__xludf.DUMMYFUNCTION("""COMPUTED_VALUE"""),"-")</f>
        <v>-</v>
      </c>
    </row>
    <row r="2753" customHeight="1" spans="1:12">
      <c r="A2753" s="1076" t="str">
        <f>IFERROR(__xludf.DUMMYFUNCTION("""COMPUTED_VALUE"""),"TND-MĐA-006")</f>
        <v>TND-MĐA-006</v>
      </c>
      <c r="B2753" s="1075" t="str">
        <f>IFERROR(__xludf.DUMMYFUNCTION("""COMPUTED_VALUE"""),"Máy đào gàu 1.2m3")</f>
        <v>Máy đào gàu 1.2m3</v>
      </c>
      <c r="C2753" s="1076" t="str">
        <f>IFERROR(__xludf.DUMMYFUNCTION("""COMPUTED_VALUE"""),"CGTC DP")</f>
        <v>CGTC DP</v>
      </c>
      <c r="D2753" s="1076" t="str">
        <f>IFERROR(__xludf.DUMMYFUNCTION("""COMPUTED_VALUE"""),"CATERPILLAR")</f>
        <v>CATERPILLAR</v>
      </c>
      <c r="E2753" s="1076"/>
      <c r="F2753" s="1076">
        <f>IFERROR(__xludf.DUMMYFUNCTION("""COMPUTED_VALUE"""),2007)</f>
        <v>2007</v>
      </c>
      <c r="G2753" s="1076" t="str">
        <f>IFERROR(__xludf.DUMMYFUNCTION("""COMPUTED_VALUE"""),"320D")</f>
        <v>320D</v>
      </c>
      <c r="H2753" s="1076" t="str">
        <f>IFERROR(__xludf.DUMMYFUNCTION("""COMPUTED_VALUE"""),"150HP")</f>
        <v>150HP</v>
      </c>
      <c r="I2753" s="1076" t="str">
        <f>IFERROR(__xludf.DUMMYFUNCTION("""COMPUTED_VALUE"""),"CAT0320DEPCM03128")</f>
        <v>CAT0320DEPCM03128</v>
      </c>
      <c r="J2753" s="1076" t="str">
        <f>IFERROR(__xludf.DUMMYFUNCTION("""COMPUTED_VALUE"""),"GDC61843")</f>
        <v>GDC61843</v>
      </c>
      <c r="K2753" s="1076"/>
      <c r="L2753" s="1076" t="str">
        <f>IFERROR(__xludf.DUMMYFUNCTION("""COMPUTED_VALUE"""),"-")</f>
        <v>-</v>
      </c>
    </row>
    <row r="2754" customHeight="1" spans="1:12">
      <c r="A2754" s="1076" t="str">
        <f>IFERROR(__xludf.DUMMYFUNCTION("""COMPUTED_VALUE"""),"TND-MĐA-007")</f>
        <v>TND-MĐA-007</v>
      </c>
      <c r="B2754" s="1075" t="str">
        <f>IFERROR(__xludf.DUMMYFUNCTION("""COMPUTED_VALUE"""),"Máy đào gàu 1.2m3")</f>
        <v>Máy đào gàu 1.2m3</v>
      </c>
      <c r="C2754" s="1076" t="str">
        <f>IFERROR(__xludf.DUMMYFUNCTION("""COMPUTED_VALUE"""),"CGTC DP")</f>
        <v>CGTC DP</v>
      </c>
      <c r="D2754" s="1076" t="str">
        <f>IFERROR(__xludf.DUMMYFUNCTION("""COMPUTED_VALUE"""),"HYUNDAI")</f>
        <v>HYUNDAI</v>
      </c>
      <c r="E2754" s="1076"/>
      <c r="F2754" s="1076">
        <f>IFERROR(__xludf.DUMMYFUNCTION("""COMPUTED_VALUE"""),2019)</f>
        <v>2019</v>
      </c>
      <c r="G2754" s="1076" t="str">
        <f>IFERROR(__xludf.DUMMYFUNCTION("""COMPUTED_VALUE"""),"R220LC-9S")</f>
        <v>R220LC-9S</v>
      </c>
      <c r="H2754" s="1076" t="str">
        <f>IFERROR(__xludf.DUMMYFUNCTION("""COMPUTED_VALUE"""),"150HP")</f>
        <v>150HP</v>
      </c>
      <c r="I2754" s="1076" t="str">
        <f>IFERROR(__xludf.DUMMYFUNCTION("""COMPUTED_VALUE"""),"HHKHZ614EK000E592")</f>
        <v>HHKHZ614EK000E592</v>
      </c>
      <c r="J2754" s="1076" t="str">
        <f>IFERROR(__xludf.DUMMYFUNCTION("""COMPUTED_VALUE"""),"22363446")</f>
        <v>22363446</v>
      </c>
      <c r="K2754" s="1076"/>
      <c r="L2754" s="1076" t="str">
        <f>IFERROR(__xludf.DUMMYFUNCTION("""COMPUTED_VALUE"""),"-")</f>
        <v>-</v>
      </c>
    </row>
    <row r="2755" customHeight="1" spans="1:12">
      <c r="A2755" s="1076" t="str">
        <f>IFERROR(__xludf.DUMMYFUNCTION("""COMPUTED_VALUE"""),"TND-MĐA-008")</f>
        <v>TND-MĐA-008</v>
      </c>
      <c r="B2755" s="1075" t="str">
        <f>IFERROR(__xludf.DUMMYFUNCTION("""COMPUTED_VALUE"""),"Máy đào gàu 1.2m3")</f>
        <v>Máy đào gàu 1.2m3</v>
      </c>
      <c r="C2755" s="1076" t="str">
        <f>IFERROR(__xludf.DUMMYFUNCTION("""COMPUTED_VALUE"""),"CGTC DP")</f>
        <v>CGTC DP</v>
      </c>
      <c r="D2755" s="1076" t="str">
        <f>IFERROR(__xludf.DUMMYFUNCTION("""COMPUTED_VALUE"""),"HYUNDAI")</f>
        <v>HYUNDAI</v>
      </c>
      <c r="E2755" s="1076"/>
      <c r="F2755" s="1076">
        <f>IFERROR(__xludf.DUMMYFUNCTION("""COMPUTED_VALUE"""),2019)</f>
        <v>2019</v>
      </c>
      <c r="G2755" s="1076" t="str">
        <f>IFERROR(__xludf.DUMMYFUNCTION("""COMPUTED_VALUE"""),"R220LC-9S")</f>
        <v>R220LC-9S</v>
      </c>
      <c r="H2755" s="1076" t="str">
        <f>IFERROR(__xludf.DUMMYFUNCTION("""COMPUTED_VALUE"""),"150HP")</f>
        <v>150HP</v>
      </c>
      <c r="I2755" s="1076" t="str">
        <f>IFERROR(__xludf.DUMMYFUNCTION("""COMPUTED_VALUE"""),"HHKHZ614HK000E591")</f>
        <v>HHKHZ614HK000E591</v>
      </c>
      <c r="J2755" s="1076" t="str">
        <f>IFERROR(__xludf.DUMMYFUNCTION("""COMPUTED_VALUE"""),"22363488")</f>
        <v>22363488</v>
      </c>
      <c r="K2755" s="1076"/>
      <c r="L2755" s="1076" t="str">
        <f>IFERROR(__xludf.DUMMYFUNCTION("""COMPUTED_VALUE"""),"-")</f>
        <v>-</v>
      </c>
    </row>
    <row r="2756" customHeight="1" spans="1:12">
      <c r="A2756" s="1076" t="str">
        <f>IFERROR(__xludf.DUMMYFUNCTION("""COMPUTED_VALUE"""),"TND-MĐA-009")</f>
        <v>TND-MĐA-009</v>
      </c>
      <c r="B2756" s="1075" t="str">
        <f>IFERROR(__xludf.DUMMYFUNCTION("""COMPUTED_VALUE"""),"Máy đào gàu 0.7m3")</f>
        <v>Máy đào gàu 0.7m3</v>
      </c>
      <c r="C2756" s="1076" t="str">
        <f>IFERROR(__xludf.DUMMYFUNCTION("""COMPUTED_VALUE"""),"CGTC DP")</f>
        <v>CGTC DP</v>
      </c>
      <c r="D2756" s="1076" t="str">
        <f>IFERROR(__xludf.DUMMYFUNCTION("""COMPUTED_VALUE"""),"CATERPILLAR")</f>
        <v>CATERPILLAR</v>
      </c>
      <c r="E2756" s="1076"/>
      <c r="F2756" s="1076">
        <f>IFERROR(__xludf.DUMMYFUNCTION("""COMPUTED_VALUE"""),2015)</f>
        <v>2015</v>
      </c>
      <c r="G2756" s="1076" t="str">
        <f>IFERROR(__xludf.DUMMYFUNCTION("""COMPUTED_VALUE"""),"312D GC2")</f>
        <v>312D GC2</v>
      </c>
      <c r="H2756" s="1076" t="str">
        <f>IFERROR(__xludf.DUMMYFUNCTION("""COMPUTED_VALUE"""),"79HP")</f>
        <v>79HP</v>
      </c>
      <c r="I2756" s="1076" t="str">
        <f>IFERROR(__xludf.DUMMYFUNCTION("""COMPUTED_VALUE"""),"CAT0312DJTJY00276")</f>
        <v>CAT0312DJTJY00276</v>
      </c>
      <c r="J2756" s="1076" t="str">
        <f>IFERROR(__xludf.DUMMYFUNCTION("""COMPUTED_VALUE"""),"CST05022")</f>
        <v>CST05022</v>
      </c>
      <c r="K2756" s="1076"/>
      <c r="L2756" s="1076" t="str">
        <f>IFERROR(__xludf.DUMMYFUNCTION("""COMPUTED_VALUE"""),"-")</f>
        <v>-</v>
      </c>
    </row>
    <row r="2757" customHeight="1" spans="1:12">
      <c r="A2757" s="1076" t="str">
        <f>IFERROR(__xludf.DUMMYFUNCTION("""COMPUTED_VALUE"""),"TND-MĐA-010")</f>
        <v>TND-MĐA-010</v>
      </c>
      <c r="B2757" s="1075" t="str">
        <f>IFERROR(__xludf.DUMMYFUNCTION("""COMPUTED_VALUE"""),"Máy đào gàu 0.5m3")</f>
        <v>Máy đào gàu 0.5m3</v>
      </c>
      <c r="C2757" s="1076" t="str">
        <f>IFERROR(__xludf.DUMMYFUNCTION("""COMPUTED_VALUE"""),"CGTC DP")</f>
        <v>CGTC DP</v>
      </c>
      <c r="D2757" s="1076" t="str">
        <f>IFERROR(__xludf.DUMMYFUNCTION("""COMPUTED_VALUE"""),"CATERPILLAR")</f>
        <v>CATERPILLAR</v>
      </c>
      <c r="E2757" s="1076"/>
      <c r="F2757" s="1076">
        <f>IFERROR(__xludf.DUMMYFUNCTION("""COMPUTED_VALUE"""),1999)</f>
        <v>1999</v>
      </c>
      <c r="G2757" s="1076" t="str">
        <f>IFERROR(__xludf.DUMMYFUNCTION("""COMPUTED_VALUE"""),"E110B")</f>
        <v>E110B</v>
      </c>
      <c r="H2757" s="1076" t="str">
        <f>IFERROR(__xludf.DUMMYFUNCTION("""COMPUTED_VALUE"""),"89HP")</f>
        <v>89HP</v>
      </c>
      <c r="I2757" s="1076" t="str">
        <f>IFERROR(__xludf.DUMMYFUNCTION("""COMPUTED_VALUE"""),"9HF00457")</f>
        <v>9HF00457</v>
      </c>
      <c r="J2757" s="1076" t="str">
        <f>IFERROR(__xludf.DUMMYFUNCTION("""COMPUTED_VALUE"""),"S4K-002453")</f>
        <v>S4K-002453</v>
      </c>
      <c r="K2757" s="1076"/>
      <c r="L2757" s="1076" t="str">
        <f>IFERROR(__xludf.DUMMYFUNCTION("""COMPUTED_VALUE"""),"-")</f>
        <v>-</v>
      </c>
    </row>
    <row r="2758" customHeight="1" spans="1:12">
      <c r="A2758" s="1076" t="str">
        <f>IFERROR(__xludf.DUMMYFUNCTION("""COMPUTED_VALUE"""),"TND-MĐA-011")</f>
        <v>TND-MĐA-011</v>
      </c>
      <c r="B2758" s="1075" t="str">
        <f>IFERROR(__xludf.DUMMYFUNCTION("""COMPUTED_VALUE"""),"Máy đào gàu 1.2m3")</f>
        <v>Máy đào gàu 1.2m3</v>
      </c>
      <c r="C2758" s="1076" t="str">
        <f>IFERROR(__xludf.DUMMYFUNCTION("""COMPUTED_VALUE"""),"CGTC DP")</f>
        <v>CGTC DP</v>
      </c>
      <c r="D2758" s="1076" t="str">
        <f>IFERROR(__xludf.DUMMYFUNCTION("""COMPUTED_VALUE"""),"CATERPILLAR")</f>
        <v>CATERPILLAR</v>
      </c>
      <c r="E2758" s="1076"/>
      <c r="F2758" s="1076">
        <f>IFERROR(__xludf.DUMMYFUNCTION("""COMPUTED_VALUE"""),2015)</f>
        <v>2015</v>
      </c>
      <c r="G2758" s="1076" t="str">
        <f>IFERROR(__xludf.DUMMYFUNCTION("""COMPUTED_VALUE"""),"220LC-9S")</f>
        <v>220LC-9S</v>
      </c>
      <c r="H2758" s="1076" t="str">
        <f>IFERROR(__xludf.DUMMYFUNCTION("""COMPUTED_VALUE"""),"150HP")</f>
        <v>150HP</v>
      </c>
      <c r="I2758" s="1076" t="str">
        <f>IFERROR(__xludf.DUMMYFUNCTION("""COMPUTED_VALUE"""),"HHKHZ614CF0008832")</f>
        <v>HHKHZ614CF0008832</v>
      </c>
      <c r="J2758" s="1076" t="str">
        <f>IFERROR(__xludf.DUMMYFUNCTION("""COMPUTED_VALUE"""),"760040612")</f>
        <v>760040612</v>
      </c>
      <c r="K2758" s="1076"/>
      <c r="L2758" s="1076" t="str">
        <f>IFERROR(__xludf.DUMMYFUNCTION("""COMPUTED_VALUE"""),"-")</f>
        <v>-</v>
      </c>
    </row>
    <row r="2759" customHeight="1" spans="1:12">
      <c r="A2759" s="1076" t="str">
        <f>IFERROR(__xludf.DUMMYFUNCTION("""COMPUTED_VALUE"""),"TND-MĐA-012")</f>
        <v>TND-MĐA-012</v>
      </c>
      <c r="B2759" s="1075" t="str">
        <f>IFERROR(__xludf.DUMMYFUNCTION("""COMPUTED_VALUE"""),"Máy đào gàu 1.2m3")</f>
        <v>Máy đào gàu 1.2m3</v>
      </c>
      <c r="C2759" s="1076" t="str">
        <f>IFERROR(__xludf.DUMMYFUNCTION("""COMPUTED_VALUE"""),"CGTC DP")</f>
        <v>CGTC DP</v>
      </c>
      <c r="D2759" s="1076" t="str">
        <f>IFERROR(__xludf.DUMMYFUNCTION("""COMPUTED_VALUE"""),"HYUNDAI")</f>
        <v>HYUNDAI</v>
      </c>
      <c r="E2759" s="1076"/>
      <c r="F2759" s="1076">
        <f>IFERROR(__xludf.DUMMYFUNCTION("""COMPUTED_VALUE"""),2002)</f>
        <v>2002</v>
      </c>
      <c r="G2759" s="1076" t="str">
        <f>IFERROR(__xludf.DUMMYFUNCTION("""COMPUTED_VALUE"""),"315C")</f>
        <v>315C</v>
      </c>
      <c r="H2759" s="1076" t="str">
        <f>IFERROR(__xludf.DUMMYFUNCTION("""COMPUTED_VALUE"""),"115HP")</f>
        <v>115HP</v>
      </c>
      <c r="I2759" s="1076" t="str">
        <f>IFERROR(__xludf.DUMMYFUNCTION("""COMPUTED_VALUE"""),"CAT0315CPBTL00198")</f>
        <v>CAT0315CPBTL00198</v>
      </c>
      <c r="J2759" s="1076" t="str">
        <f>IFERROR(__xludf.DUMMYFUNCTION("""COMPUTED_VALUE"""),"MHK11026")</f>
        <v>MHK11026</v>
      </c>
      <c r="K2759" s="1076"/>
      <c r="L2759" s="1076" t="str">
        <f>IFERROR(__xludf.DUMMYFUNCTION("""COMPUTED_VALUE"""),"-")</f>
        <v>-</v>
      </c>
    </row>
    <row r="2760" customHeight="1" spans="1:12">
      <c r="A2760" s="1076" t="str">
        <f>IFERROR(__xludf.DUMMYFUNCTION("""COMPUTED_VALUE"""),"TND-MĐA-013")</f>
        <v>TND-MĐA-013</v>
      </c>
      <c r="B2760" s="1075" t="str">
        <f>IFERROR(__xludf.DUMMYFUNCTION("""COMPUTED_VALUE"""),"Máy đào gàu 0.8m3")</f>
        <v>Máy đào gàu 0.8m3</v>
      </c>
      <c r="C2760" s="1076" t="str">
        <f>IFERROR(__xludf.DUMMYFUNCTION("""COMPUTED_VALUE"""),"CGTC DP")</f>
        <v>CGTC DP</v>
      </c>
      <c r="D2760" s="1076" t="str">
        <f>IFERROR(__xludf.DUMMYFUNCTION("""COMPUTED_VALUE"""),"HYUNDAI ")</f>
        <v>HYUNDAI </v>
      </c>
      <c r="E2760" s="1076"/>
      <c r="F2760" s="1076">
        <f>IFERROR(__xludf.DUMMYFUNCTION("""COMPUTED_VALUE"""),2015)</f>
        <v>2015</v>
      </c>
      <c r="G2760" s="1076" t="str">
        <f>IFERROR(__xludf.DUMMYFUNCTION("""COMPUTED_VALUE"""),"220LC-9S")</f>
        <v>220LC-9S</v>
      </c>
      <c r="H2760" s="1076" t="str">
        <f>IFERROR(__xludf.DUMMYFUNCTION("""COMPUTED_VALUE"""),"150HP")</f>
        <v>150HP</v>
      </c>
      <c r="I2760" s="1076" t="str">
        <f>IFERROR(__xludf.DUMMYFUNCTION("""COMPUTED_VALUE"""),"HHKHZ614CF0008832")</f>
        <v>HHKHZ614CF0008832</v>
      </c>
      <c r="J2760" s="1076" t="str">
        <f>IFERROR(__xludf.DUMMYFUNCTION("""COMPUTED_VALUE"""),"760040612")</f>
        <v>760040612</v>
      </c>
      <c r="K2760" s="1076"/>
      <c r="L2760" s="1076" t="str">
        <f>IFERROR(__xludf.DUMMYFUNCTION("""COMPUTED_VALUE"""),"-")</f>
        <v>-</v>
      </c>
    </row>
    <row r="2761" customHeight="1" spans="1:12">
      <c r="A2761" s="1076" t="str">
        <f>IFERROR(__xludf.DUMMYFUNCTION("""COMPUTED_VALUE"""),"TND-MĐA-014")</f>
        <v>TND-MĐA-014</v>
      </c>
      <c r="B2761" s="1075" t="str">
        <f>IFERROR(__xludf.DUMMYFUNCTION("""COMPUTED_VALUE"""),"Máy đào gàu 1.2m3")</f>
        <v>Máy đào gàu 1.2m3</v>
      </c>
      <c r="C2761" s="1076" t="str">
        <f>IFERROR(__xludf.DUMMYFUNCTION("""COMPUTED_VALUE"""),"CGTC DP")</f>
        <v>CGTC DP</v>
      </c>
      <c r="D2761" s="1076" t="str">
        <f>IFERROR(__xludf.DUMMYFUNCTION("""COMPUTED_VALUE"""),"CATERPILLAR")</f>
        <v>CATERPILLAR</v>
      </c>
      <c r="E2761" s="1076"/>
      <c r="F2761" s="1076">
        <f>IFERROR(__xludf.DUMMYFUNCTION("""COMPUTED_VALUE"""),2014)</f>
        <v>2014</v>
      </c>
      <c r="G2761" s="1076" t="str">
        <f>IFERROR(__xludf.DUMMYFUNCTION("""COMPUTED_VALUE"""),"320D2")</f>
        <v>320D2</v>
      </c>
      <c r="H2761" s="1076" t="str">
        <f>IFERROR(__xludf.DUMMYFUNCTION("""COMPUTED_VALUE"""),"150HP")</f>
        <v>150HP</v>
      </c>
      <c r="I2761" s="1076" t="str">
        <f>IFERROR(__xludf.DUMMYFUNCTION("""COMPUTED_VALUE"""),"CAT0320DCLCA00345")</f>
        <v>CAT0320DCLCA00345</v>
      </c>
      <c r="J2761" s="1076" t="str">
        <f>IFERROR(__xludf.DUMMYFUNCTION("""COMPUTED_VALUE"""),"D7A10586")</f>
        <v>D7A10586</v>
      </c>
      <c r="K2761" s="1076"/>
      <c r="L2761" s="1076" t="str">
        <f>IFERROR(__xludf.DUMMYFUNCTION("""COMPUTED_VALUE"""),"-")</f>
        <v>-</v>
      </c>
    </row>
    <row r="2762" customHeight="1" spans="1:12">
      <c r="A2762" s="1076" t="str">
        <f>IFERROR(__xludf.DUMMYFUNCTION("""COMPUTED_VALUE"""),"TND-MĐA-015")</f>
        <v>TND-MĐA-015</v>
      </c>
      <c r="B2762" s="1075" t="str">
        <f>IFERROR(__xludf.DUMMYFUNCTION("""COMPUTED_VALUE"""),"Máy đào gàu 1.2m3")</f>
        <v>Máy đào gàu 1.2m3</v>
      </c>
      <c r="C2762" s="1076" t="str">
        <f>IFERROR(__xludf.DUMMYFUNCTION("""COMPUTED_VALUE"""),"CGTC DP")</f>
        <v>CGTC DP</v>
      </c>
      <c r="D2762" s="1076" t="str">
        <f>IFERROR(__xludf.DUMMYFUNCTION("""COMPUTED_VALUE"""),"CATERPILLAR")</f>
        <v>CATERPILLAR</v>
      </c>
      <c r="E2762" s="1076"/>
      <c r="F2762" s="1076">
        <f>IFERROR(__xludf.DUMMYFUNCTION("""COMPUTED_VALUE"""),1992)</f>
        <v>1992</v>
      </c>
      <c r="G2762" s="1076" t="str">
        <f>IFERROR(__xludf.DUMMYFUNCTION("""COMPUTED_VALUE"""),"320")</f>
        <v>320</v>
      </c>
      <c r="H2762" s="1076" t="str">
        <f>IFERROR(__xludf.DUMMYFUNCTION("""COMPUTED_VALUE"""),"162HP")</f>
        <v>162HP</v>
      </c>
      <c r="I2762" s="1076" t="str">
        <f>IFERROR(__xludf.DUMMYFUNCTION("""COMPUTED_VALUE"""),"7CJ01435")</f>
        <v>7CJ01435</v>
      </c>
      <c r="J2762" s="1076" t="str">
        <f>IFERROR(__xludf.DUMMYFUNCTION("""COMPUTED_VALUE"""),"7JK01351")</f>
        <v>7JK01351</v>
      </c>
      <c r="K2762" s="1076"/>
      <c r="L2762" s="1076" t="str">
        <f>IFERROR(__xludf.DUMMYFUNCTION("""COMPUTED_VALUE"""),"-")</f>
        <v>-</v>
      </c>
    </row>
    <row r="2763" customHeight="1" spans="1:12">
      <c r="A2763" s="1076" t="str">
        <f>IFERROR(__xludf.DUMMYFUNCTION("""COMPUTED_VALUE"""),"TND-MĐA-016")</f>
        <v>TND-MĐA-016</v>
      </c>
      <c r="B2763" s="1075" t="str">
        <f>IFERROR(__xludf.DUMMYFUNCTION("""COMPUTED_VALUE"""),"Máy đào gàu 0.8m3")</f>
        <v>Máy đào gàu 0.8m3</v>
      </c>
      <c r="C2763" s="1076" t="str">
        <f>IFERROR(__xludf.DUMMYFUNCTION("""COMPUTED_VALUE"""),"CGTC DP")</f>
        <v>CGTC DP</v>
      </c>
      <c r="D2763" s="1076" t="str">
        <f>IFERROR(__xludf.DUMMYFUNCTION("""COMPUTED_VALUE"""),"KOBELCO")</f>
        <v>KOBELCO</v>
      </c>
      <c r="E2763" s="1076"/>
      <c r="F2763" s="1076">
        <f>IFERROR(__xludf.DUMMYFUNCTION("""COMPUTED_VALUE"""),2021)</f>
        <v>2021</v>
      </c>
      <c r="G2763" s="1076" t="str">
        <f>IFERROR(__xludf.DUMMYFUNCTION("""COMPUTED_VALUE"""),"SK210LC-10")</f>
        <v>SK210LC-10</v>
      </c>
      <c r="H2763" s="1076" t="str">
        <f>IFERROR(__xludf.DUMMYFUNCTION("""COMPUTED_VALUE"""),"159HP")</f>
        <v>159HP</v>
      </c>
      <c r="I2763" s="1076" t="str">
        <f>IFERROR(__xludf.DUMMYFUNCTION("""COMPUTED_VALUE"""),"YQ15405439")</f>
        <v>YQ15405439</v>
      </c>
      <c r="J2763" s="1076" t="str">
        <f>IFERROR(__xludf.DUMMYFUNCTION("""COMPUTED_VALUE"""),"SK210LC-10")</f>
        <v>SK210LC-10</v>
      </c>
      <c r="K2763" s="1076"/>
      <c r="L2763" s="1076" t="str">
        <f>IFERROR(__xludf.DUMMYFUNCTION("""COMPUTED_VALUE"""),"-")</f>
        <v>-</v>
      </c>
    </row>
    <row r="2764" customHeight="1" spans="1:12">
      <c r="A2764" s="1076" t="str">
        <f>IFERROR(__xludf.DUMMYFUNCTION("""COMPUTED_VALUE"""),"TND-MĐA-017")</f>
        <v>TND-MĐA-017</v>
      </c>
      <c r="B2764" s="1075" t="str">
        <f>IFERROR(__xludf.DUMMYFUNCTION("""COMPUTED_VALUE"""),"Máy đào gàu 0.5m3")</f>
        <v>Máy đào gàu 0.5m3</v>
      </c>
      <c r="C2764" s="1076" t="str">
        <f>IFERROR(__xludf.DUMMYFUNCTION("""COMPUTED_VALUE"""),"CGLĐ DP")</f>
        <v>CGLĐ DP</v>
      </c>
      <c r="D2764" s="1076" t="str">
        <f>IFERROR(__xludf.DUMMYFUNCTION("""COMPUTED_VALUE"""),"CATERPILLAR")</f>
        <v>CATERPILLAR</v>
      </c>
      <c r="E2764" s="1076"/>
      <c r="F2764" s="1076"/>
      <c r="G2764" s="1076" t="str">
        <f>IFERROR(__xludf.DUMMYFUNCTION("""COMPUTED_VALUE"""),"312C")</f>
        <v>312C</v>
      </c>
      <c r="H2764" s="1076" t="str">
        <f>IFERROR(__xludf.DUMMYFUNCTION("""COMPUTED_VALUE"""),"94HP")</f>
        <v>94HP</v>
      </c>
      <c r="I2764" s="1076" t="str">
        <f>IFERROR(__xludf.DUMMYFUNCTION("""COMPUTED_VALUE"""),"EA04186")</f>
        <v>EA04186</v>
      </c>
      <c r="J2764" s="1076"/>
      <c r="K2764" s="1076"/>
      <c r="L2764" s="1076" t="str">
        <f>IFERROR(__xludf.DUMMYFUNCTION("""COMPUTED_VALUE"""),"-")</f>
        <v>-</v>
      </c>
    </row>
    <row r="2765" customHeight="1" spans="1:12">
      <c r="A2765" s="1076" t="str">
        <f>IFERROR(__xludf.DUMMYFUNCTION("""COMPUTED_VALUE"""),"TND-MĐA-018")</f>
        <v>TND-MĐA-018</v>
      </c>
      <c r="B2765" s="1075" t="str">
        <f>IFERROR(__xludf.DUMMYFUNCTION("""COMPUTED_VALUE"""),"Máy đào gàu 0.5m3")</f>
        <v>Máy đào gàu 0.5m3</v>
      </c>
      <c r="C2765" s="1076" t="str">
        <f>IFERROR(__xludf.DUMMYFUNCTION("""COMPUTED_VALUE"""),"CGLĐ DP")</f>
        <v>CGLĐ DP</v>
      </c>
      <c r="D2765" s="1076" t="str">
        <f>IFERROR(__xludf.DUMMYFUNCTION("""COMPUTED_VALUE"""),"CATERPILLAR")</f>
        <v>CATERPILLAR</v>
      </c>
      <c r="E2765" s="1076"/>
      <c r="F2765" s="1076"/>
      <c r="G2765" s="1076" t="str">
        <f>IFERROR(__xludf.DUMMYFUNCTION("""COMPUTED_VALUE"""),"312D")</f>
        <v>312D</v>
      </c>
      <c r="H2765" s="1076" t="str">
        <f>IFERROR(__xludf.DUMMYFUNCTION("""COMPUTED_VALUE"""),"100HP")</f>
        <v>100HP</v>
      </c>
      <c r="I2765" s="1076" t="str">
        <f>IFERROR(__xludf.DUMMYFUNCTION("""COMPUTED_VALUE"""),"KFBJ01419")</f>
        <v>KFBJ01419</v>
      </c>
      <c r="J2765" s="1076"/>
      <c r="K2765" s="1076"/>
      <c r="L2765" s="1076" t="str">
        <f>IFERROR(__xludf.DUMMYFUNCTION("""COMPUTED_VALUE"""),"-")</f>
        <v>-</v>
      </c>
    </row>
    <row r="2766" customHeight="1" spans="1:12">
      <c r="A2766" s="1076" t="str">
        <f>IFERROR(__xludf.DUMMYFUNCTION("""COMPUTED_VALUE"""),"TND-MĐA-019")</f>
        <v>TND-MĐA-019</v>
      </c>
      <c r="B2766" s="1075" t="str">
        <f>IFERROR(__xludf.DUMMYFUNCTION("""COMPUTED_VALUE"""),"Máy đào gàu 0.7m3")</f>
        <v>Máy đào gàu 0.7m3</v>
      </c>
      <c r="C2766" s="1076" t="str">
        <f>IFERROR(__xludf.DUMMYFUNCTION("""COMPUTED_VALUE"""),"CGTC DP")</f>
        <v>CGTC DP</v>
      </c>
      <c r="D2766" s="1076" t="str">
        <f>IFERROR(__xludf.DUMMYFUNCTION("""COMPUTED_VALUE"""),"HITACHI")</f>
        <v>HITACHI</v>
      </c>
      <c r="E2766" s="1076"/>
      <c r="F2766" s="1076"/>
      <c r="G2766" s="1076" t="str">
        <f>IFERROR(__xludf.DUMMYFUNCTION("""COMPUTED_VALUE"""),"ZX200LC")</f>
        <v>ZX200LC</v>
      </c>
      <c r="H2766" s="1076" t="str">
        <f>IFERROR(__xludf.DUMMYFUNCTION("""COMPUTED_VALUE"""),"170HP")</f>
        <v>170HP</v>
      </c>
      <c r="I2766" s="1076"/>
      <c r="J2766" s="1076" t="str">
        <f>IFERROR(__xludf.DUMMYFUNCTION("""COMPUTED_VALUE"""),"1394H")</f>
        <v>1394H</v>
      </c>
      <c r="K2766" s="1076"/>
      <c r="L2766" s="1076" t="str">
        <f>IFERROR(__xludf.DUMMYFUNCTION("""COMPUTED_VALUE"""),"-")</f>
        <v>-</v>
      </c>
    </row>
    <row r="2767" customHeight="1" spans="1:12">
      <c r="A2767" s="1076" t="str">
        <f>IFERROR(__xludf.DUMMYFUNCTION("""COMPUTED_VALUE"""),"TND-MĐA-020")</f>
        <v>TND-MĐA-020</v>
      </c>
      <c r="B2767" s="1075" t="str">
        <f>IFERROR(__xludf.DUMMYFUNCTION("""COMPUTED_VALUE"""),"Máy đào gàu 0.8m3")</f>
        <v>Máy đào gàu 0.8m3</v>
      </c>
      <c r="C2767" s="1076" t="str">
        <f>IFERROR(__xludf.DUMMYFUNCTION("""COMPUTED_VALUE"""),"CGTC DP")</f>
        <v>CGTC DP</v>
      </c>
      <c r="D2767" s="1076" t="str">
        <f>IFERROR(__xludf.DUMMYFUNCTION("""COMPUTED_VALUE"""),"CATERPILLAR")</f>
        <v>CATERPILLAR</v>
      </c>
      <c r="E2767" s="1076"/>
      <c r="F2767" s="1076"/>
      <c r="G2767" s="1076" t="str">
        <f>IFERROR(__xludf.DUMMYFUNCTION("""COMPUTED_VALUE"""),"320")</f>
        <v>320</v>
      </c>
      <c r="H2767" s="1076" t="str">
        <f>IFERROR(__xludf.DUMMYFUNCTION("""COMPUTED_VALUE"""),"150HP")</f>
        <v>150HP</v>
      </c>
      <c r="I2767" s="1076" t="str">
        <f>IFERROR(__xludf.DUMMYFUNCTION("""COMPUTED_VALUE"""),"CAT 00320Y22BN12250")</f>
        <v>CAT 00320Y22BN12250</v>
      </c>
      <c r="J2767" s="1076" t="str">
        <f>IFERROR(__xludf.DUMMYFUNCTION("""COMPUTED_VALUE"""),"G3CATEL0701265")</f>
        <v>G3CATEL0701265</v>
      </c>
      <c r="K2767" s="1076"/>
      <c r="L2767" s="1076" t="str">
        <f>IFERROR(__xludf.DUMMYFUNCTION("""COMPUTED_VALUE"""),"-")</f>
        <v>-</v>
      </c>
    </row>
    <row r="2768" customHeight="1" spans="1:12">
      <c r="A2768" s="1076" t="str">
        <f>IFERROR(__xludf.DUMMYFUNCTION("""COMPUTED_VALUE"""),"TND-MĐA-021")</f>
        <v>TND-MĐA-021</v>
      </c>
      <c r="B2768" s="1075" t="str">
        <f>IFERROR(__xludf.DUMMYFUNCTION("""COMPUTED_VALUE"""),"Máy đào gàu 1.2m3")</f>
        <v>Máy đào gàu 1.2m3</v>
      </c>
      <c r="C2768" s="1076" t="str">
        <f>IFERROR(__xludf.DUMMYFUNCTION("""COMPUTED_VALUE"""),"CGTC DP")</f>
        <v>CGTC DP</v>
      </c>
      <c r="D2768" s="1076" t="str">
        <f>IFERROR(__xludf.DUMMYFUNCTION("""COMPUTED_VALUE"""),"CATERPILLAR")</f>
        <v>CATERPILLAR</v>
      </c>
      <c r="E2768" s="1076"/>
      <c r="F2768" s="1076"/>
      <c r="G2768" s="1076" t="str">
        <f>IFERROR(__xludf.DUMMYFUNCTION("""COMPUTED_VALUE"""),"320")</f>
        <v>320</v>
      </c>
      <c r="H2768" s="1076" t="str">
        <f>IFERROR(__xludf.DUMMYFUNCTION("""COMPUTED_VALUE"""),"150HP")</f>
        <v>150HP</v>
      </c>
      <c r="I2768" s="1076" t="str">
        <f>IFERROR(__xludf.DUMMYFUNCTION("""COMPUTED_VALUE"""),"AL03713")</f>
        <v>AL03713</v>
      </c>
      <c r="J2768" s="1076"/>
      <c r="K2768" s="1076"/>
      <c r="L2768" s="1076" t="str">
        <f>IFERROR(__xludf.DUMMYFUNCTION("""COMPUTED_VALUE"""),"-")</f>
        <v>-</v>
      </c>
    </row>
    <row r="2769" customHeight="1" spans="1:12">
      <c r="A2769" s="1076" t="str">
        <f>IFERROR(__xludf.DUMMYFUNCTION("""COMPUTED_VALUE"""),"TND-MĐA-022")</f>
        <v>TND-MĐA-022</v>
      </c>
      <c r="B2769" s="1075" t="str">
        <f>IFERROR(__xludf.DUMMYFUNCTION("""COMPUTED_VALUE"""),"Máy đào gàu 1.2m3")</f>
        <v>Máy đào gàu 1.2m3</v>
      </c>
      <c r="C2769" s="1076" t="str">
        <f>IFERROR(__xludf.DUMMYFUNCTION("""COMPUTED_VALUE"""),"CGTC DP")</f>
        <v>CGTC DP</v>
      </c>
      <c r="D2769" s="1076" t="str">
        <f>IFERROR(__xludf.DUMMYFUNCTION("""COMPUTED_VALUE"""),"VOLVO ")</f>
        <v>VOLVO </v>
      </c>
      <c r="E2769" s="1076"/>
      <c r="F2769" s="1076"/>
      <c r="G2769" s="1076"/>
      <c r="H2769" s="1076" t="str">
        <f>IFERROR(__xludf.DUMMYFUNCTION("""COMPUTED_VALUE"""),"150HP")</f>
        <v>150HP</v>
      </c>
      <c r="I2769" s="1076" t="str">
        <f>IFERROR(__xludf.DUMMYFUNCTION("""COMPUTED_VALUE"""),"J00252219")</f>
        <v>J00252219</v>
      </c>
      <c r="J2769" s="1076"/>
      <c r="K2769" s="1076"/>
      <c r="L2769" s="1076" t="str">
        <f>IFERROR(__xludf.DUMMYFUNCTION("""COMPUTED_VALUE"""),"-")</f>
        <v>-</v>
      </c>
    </row>
    <row r="2770" customHeight="1" spans="1:12">
      <c r="A2770" s="1076" t="str">
        <f>IFERROR(__xludf.DUMMYFUNCTION("""COMPUTED_VALUE"""),"TND-MĐA-023")</f>
        <v>TND-MĐA-023</v>
      </c>
      <c r="B2770" s="1075" t="str">
        <f>IFERROR(__xludf.DUMMYFUNCTION("""COMPUTED_VALUE"""),"Máy đào gàu 0.5m3")</f>
        <v>Máy đào gàu 0.5m3</v>
      </c>
      <c r="C2770" s="1076" t="str">
        <f>IFERROR(__xludf.DUMMYFUNCTION("""COMPUTED_VALUE"""),"XN Chuối DP1")</f>
        <v>XN Chuối DP1</v>
      </c>
      <c r="D2770" s="1076" t="str">
        <f>IFERROR(__xludf.DUMMYFUNCTION("""COMPUTED_VALUE"""),"CATERPILLAR")</f>
        <v>CATERPILLAR</v>
      </c>
      <c r="E2770" s="1076"/>
      <c r="F2770" s="1076">
        <f>IFERROR(__xludf.DUMMYFUNCTION("""COMPUTED_VALUE"""),2021)</f>
        <v>2021</v>
      </c>
      <c r="G2770" s="1076" t="str">
        <f>IFERROR(__xludf.DUMMYFUNCTION("""COMPUTED_VALUE"""),"313D2 GC")</f>
        <v>313D2 GC</v>
      </c>
      <c r="H2770" s="1076" t="str">
        <f>IFERROR(__xludf.DUMMYFUNCTION("""COMPUTED_VALUE"""),"100HP")</f>
        <v>100HP</v>
      </c>
      <c r="I2770" s="1076" t="str">
        <f>IFERROR(__xludf.DUMMYFUNCTION("""COMPUTED_VALUE"""),"CAT0313DVGAP17549")</f>
        <v>CAT0313DVGAP17549</v>
      </c>
      <c r="J2770" s="1076" t="str">
        <f>IFERROR(__xludf.DUMMYFUNCTION("""COMPUTED_VALUE"""),"MFX11725")</f>
        <v>MFX11725</v>
      </c>
      <c r="K2770" s="1076"/>
      <c r="L2770" s="1076" t="str">
        <f>IFERROR(__xludf.DUMMYFUNCTION("""COMPUTED_VALUE"""),"-")</f>
        <v>-</v>
      </c>
    </row>
    <row r="2771" customHeight="1" spans="1:12">
      <c r="A2771" s="1076" t="str">
        <f>IFERROR(__xludf.DUMMYFUNCTION("""COMPUTED_VALUE"""),"TND-MĐA-024")</f>
        <v>TND-MĐA-024</v>
      </c>
      <c r="B2771" s="1075" t="str">
        <f>IFERROR(__xludf.DUMMYFUNCTION("""COMPUTED_VALUE"""),"Máy đào gàu 1.0m3")</f>
        <v>Máy đào gàu 1.0m3</v>
      </c>
      <c r="C2771" s="1076" t="str">
        <f>IFERROR(__xludf.DUMMYFUNCTION("""COMPUTED_VALUE"""),"CGTC DP")</f>
        <v>CGTC DP</v>
      </c>
      <c r="D2771" s="1076" t="str">
        <f>IFERROR(__xludf.DUMMYFUNCTION("""COMPUTED_VALUE"""),"CAT")</f>
        <v>CAT</v>
      </c>
      <c r="E2771" s="1076"/>
      <c r="F2771" s="1076">
        <f>IFERROR(__xludf.DUMMYFUNCTION("""COMPUTED_VALUE"""),1997)</f>
        <v>1997</v>
      </c>
      <c r="G2771" s="1076" t="str">
        <f>IFERROR(__xludf.DUMMYFUNCTION("""COMPUTED_VALUE"""),"3066")</f>
        <v>3066</v>
      </c>
      <c r="H2771" s="1076" t="str">
        <f>IFERROR(__xludf.DUMMYFUNCTION("""COMPUTED_VALUE"""),"128HP")</f>
        <v>128HP</v>
      </c>
      <c r="I2771" s="1076" t="str">
        <f>IFERROR(__xludf.DUMMYFUNCTION("""COMPUTED_VALUE"""),"Mất số khung")</f>
        <v>Mất số khung</v>
      </c>
      <c r="J2771" s="1076" t="str">
        <f>IFERROR(__xludf.DUMMYFUNCTION("""COMPUTED_VALUE"""),"75K-17607")</f>
        <v>75K-17607</v>
      </c>
      <c r="K2771" s="1076">
        <f>IFERROR(__xludf.DUMMYFUNCTION("""COMPUTED_VALUE"""),16.2)</f>
        <v>16.2</v>
      </c>
      <c r="L2771" s="1076" t="str">
        <f>IFERROR(__xludf.DUMMYFUNCTION("""COMPUTED_VALUE"""),"-")</f>
        <v>-</v>
      </c>
    </row>
    <row r="2772" customHeight="1" spans="1:12">
      <c r="A2772" s="1076" t="str">
        <f>IFERROR(__xludf.DUMMYFUNCTION("""COMPUTED_VALUE"""),"TND-MĐA-025")</f>
        <v>TND-MĐA-025</v>
      </c>
      <c r="B2772" s="1075" t="str">
        <f>IFERROR(__xludf.DUMMYFUNCTION("""COMPUTED_VALUE"""),"Máy đào gàu 1.0m3")</f>
        <v>Máy đào gàu 1.0m3</v>
      </c>
      <c r="C2772" s="1076" t="str">
        <f>IFERROR(__xludf.DUMMYFUNCTION("""COMPUTED_VALUE"""),"CGTC DP")</f>
        <v>CGTC DP</v>
      </c>
      <c r="D2772" s="1076" t="str">
        <f>IFERROR(__xludf.DUMMYFUNCTION("""COMPUTED_VALUE"""),"CAT")</f>
        <v>CAT</v>
      </c>
      <c r="E2772" s="1076"/>
      <c r="F2772" s="1076">
        <f>IFERROR(__xludf.DUMMYFUNCTION("""COMPUTED_VALUE"""),1997)</f>
        <v>1997</v>
      </c>
      <c r="G2772" s="1076" t="str">
        <f>IFERROR(__xludf.DUMMYFUNCTION("""COMPUTED_VALUE"""),"320BL")</f>
        <v>320BL</v>
      </c>
      <c r="H2772" s="1076" t="str">
        <f>IFERROR(__xludf.DUMMYFUNCTION("""COMPUTED_VALUE"""),"128HP")</f>
        <v>128HP</v>
      </c>
      <c r="I2772" s="1076" t="str">
        <f>IFERROR(__xludf.DUMMYFUNCTION("""COMPUTED_VALUE"""),"6CR02736")</f>
        <v>6CR02736</v>
      </c>
      <c r="J2772" s="1076" t="str">
        <f>IFERROR(__xludf.DUMMYFUNCTION("""COMPUTED_VALUE"""),"MAE22338")</f>
        <v>MAE22338</v>
      </c>
      <c r="K2772" s="1076">
        <f>IFERROR(__xludf.DUMMYFUNCTION("""COMPUTED_VALUE"""),16.5)</f>
        <v>16.5</v>
      </c>
      <c r="L2772" s="1076" t="str">
        <f>IFERROR(__xludf.DUMMYFUNCTION("""COMPUTED_VALUE"""),"-")</f>
        <v>-</v>
      </c>
    </row>
    <row r="2773" customHeight="1" spans="1:12">
      <c r="A2773" s="1076" t="str">
        <f>IFERROR(__xludf.DUMMYFUNCTION("""COMPUTED_VALUE"""),"TND-MĐA-026")</f>
        <v>TND-MĐA-026</v>
      </c>
      <c r="B2773" s="1075" t="str">
        <f>IFERROR(__xludf.DUMMYFUNCTION("""COMPUTED_VALUE"""),"Máy đào gàu 1.0m3")</f>
        <v>Máy đào gàu 1.0m3</v>
      </c>
      <c r="C2773" s="1076" t="str">
        <f>IFERROR(__xludf.DUMMYFUNCTION("""COMPUTED_VALUE"""),"CGTC DP")</f>
        <v>CGTC DP</v>
      </c>
      <c r="D2773" s="1076" t="str">
        <f>IFERROR(__xludf.DUMMYFUNCTION("""COMPUTED_VALUE"""),"CAT")</f>
        <v>CAT</v>
      </c>
      <c r="E2773" s="1076"/>
      <c r="F2773" s="1076">
        <f>IFERROR(__xludf.DUMMYFUNCTION("""COMPUTED_VALUE"""),1997)</f>
        <v>1997</v>
      </c>
      <c r="G2773" s="1076" t="str">
        <f>IFERROR(__xludf.DUMMYFUNCTION("""COMPUTED_VALUE"""),"E320B")</f>
        <v>E320B</v>
      </c>
      <c r="H2773" s="1076" t="str">
        <f>IFERROR(__xludf.DUMMYFUNCTION("""COMPUTED_VALUE"""),"128HP")</f>
        <v>128HP</v>
      </c>
      <c r="I2773" s="1076" t="str">
        <f>IFERROR(__xludf.DUMMYFUNCTION("""COMPUTED_VALUE"""),"3RM-03398")</f>
        <v>3RM-03398</v>
      </c>
      <c r="J2773" s="1076" t="str">
        <f>IFERROR(__xludf.DUMMYFUNCTION("""COMPUTED_VALUE"""),"7JK32223")</f>
        <v>7JK32223</v>
      </c>
      <c r="K2773" s="1076">
        <f>IFERROR(__xludf.DUMMYFUNCTION("""COMPUTED_VALUE"""),16)</f>
        <v>16</v>
      </c>
      <c r="L2773" s="1076" t="str">
        <f>IFERROR(__xludf.DUMMYFUNCTION("""COMPUTED_VALUE"""),"-")</f>
        <v>-</v>
      </c>
    </row>
    <row r="2774" customHeight="1" spans="1:12">
      <c r="A2774" s="1076" t="str">
        <f>IFERROR(__xludf.DUMMYFUNCTION("""COMPUTED_VALUE"""),"TND-MĐA-027")</f>
        <v>TND-MĐA-027</v>
      </c>
      <c r="B2774" s="1075" t="str">
        <f>IFERROR(__xludf.DUMMYFUNCTION("""COMPUTED_VALUE"""),"Máy đào gàu 0.8m3")</f>
        <v>Máy đào gàu 0.8m3</v>
      </c>
      <c r="C2774" s="1076" t="str">
        <f>IFERROR(__xludf.DUMMYFUNCTION("""COMPUTED_VALUE"""),"CGTC DP")</f>
        <v>CGTC DP</v>
      </c>
      <c r="D2774" s="1076" t="str">
        <f>IFERROR(__xludf.DUMMYFUNCTION("""COMPUTED_VALUE"""),"HITACHI")</f>
        <v>HITACHI</v>
      </c>
      <c r="E2774" s="1076" t="str">
        <f>IFERROR(__xludf.DUMMYFUNCTION("""COMPUTED_VALUE"""),"NHẬT BẢN")</f>
        <v>NHẬT BẢN</v>
      </c>
      <c r="F2774" s="1076">
        <f>IFERROR(__xludf.DUMMYFUNCTION("""COMPUTED_VALUE"""),2020)</f>
        <v>2020</v>
      </c>
      <c r="G2774" s="1076" t="str">
        <f>IFERROR(__xludf.DUMMYFUNCTION("""COMPUTED_VALUE"""),"ZX200")</f>
        <v>ZX200</v>
      </c>
      <c r="H2774" s="1076" t="str">
        <f>IFERROR(__xludf.DUMMYFUNCTION("""COMPUTED_VALUE"""),"147HP")</f>
        <v>147HP</v>
      </c>
      <c r="I2774" s="1076" t="str">
        <f>IFERROR(__xludf.DUMMYFUNCTION("""COMPUTED_VALUE"""),"112715")</f>
        <v>112715</v>
      </c>
      <c r="J2774" s="1076" t="str">
        <f>IFERROR(__xludf.DUMMYFUNCTION("""COMPUTED_VALUE"""),"6BG1-189026")</f>
        <v>6BG1-189026</v>
      </c>
      <c r="K2774" s="1076">
        <f>IFERROR(__xludf.DUMMYFUNCTION("""COMPUTED_VALUE"""),13.8)</f>
        <v>13.8</v>
      </c>
      <c r="L2774" s="1076" t="str">
        <f>IFERROR(__xludf.DUMMYFUNCTION("""COMPUTED_VALUE"""),"-")</f>
        <v>-</v>
      </c>
    </row>
    <row r="2775" customHeight="1" spans="1:12">
      <c r="A2775" s="1076" t="str">
        <f>IFERROR(__xludf.DUMMYFUNCTION("""COMPUTED_VALUE"""),"TND-MĐA-028")</f>
        <v>TND-MĐA-028</v>
      </c>
      <c r="B2775" s="1075" t="str">
        <f>IFERROR(__xludf.DUMMYFUNCTION("""COMPUTED_VALUE"""),"Máy đào gàu 0.8m3")</f>
        <v>Máy đào gàu 0.8m3</v>
      </c>
      <c r="C2775" s="1076" t="str">
        <f>IFERROR(__xludf.DUMMYFUNCTION("""COMPUTED_VALUE"""),"CGTC DP")</f>
        <v>CGTC DP</v>
      </c>
      <c r="D2775" s="1076" t="str">
        <f>IFERROR(__xludf.DUMMYFUNCTION("""COMPUTED_VALUE"""),"CAT")</f>
        <v>CAT</v>
      </c>
      <c r="E2775" s="1076" t="str">
        <f>IFERROR(__xludf.DUMMYFUNCTION("""COMPUTED_VALUE"""),"NHẬT BẢN")</f>
        <v>NHẬT BẢN</v>
      </c>
      <c r="F2775" s="1076">
        <f>IFERROR(__xludf.DUMMYFUNCTION("""COMPUTED_VALUE"""),2021)</f>
        <v>2021</v>
      </c>
      <c r="G2775" s="1076" t="str">
        <f>IFERROR(__xludf.DUMMYFUNCTION("""COMPUTED_VALUE"""),"320D")</f>
        <v>320D</v>
      </c>
      <c r="H2775" s="1076" t="str">
        <f>IFERROR(__xludf.DUMMYFUNCTION("""COMPUTED_VALUE"""),"134HP")</f>
        <v>134HP</v>
      </c>
      <c r="I2775" s="1076" t="str">
        <f>IFERROR(__xludf.DUMMYFUNCTION("""COMPUTED_VALUE"""),"CAT0320DPAMR00606")</f>
        <v>CAT0320DPAMR00606</v>
      </c>
      <c r="J2775" s="1076" t="str">
        <f>IFERROR(__xludf.DUMMYFUNCTION("""COMPUTED_VALUE"""),"MAE08936")</f>
        <v>MAE08936</v>
      </c>
      <c r="K2775" s="1076">
        <f>IFERROR(__xludf.DUMMYFUNCTION("""COMPUTED_VALUE"""),14.5)</f>
        <v>14.5</v>
      </c>
      <c r="L2775" s="1076" t="str">
        <f>IFERROR(__xludf.DUMMYFUNCTION("""COMPUTED_VALUE"""),"-")</f>
        <v>-</v>
      </c>
    </row>
    <row r="2776" customHeight="1" spans="1:12">
      <c r="A2776" s="1076" t="str">
        <f>IFERROR(__xludf.DUMMYFUNCTION("""COMPUTED_VALUE"""),"TND-MĐA-029")</f>
        <v>TND-MĐA-029</v>
      </c>
      <c r="B2776" s="1075" t="str">
        <f>IFERROR(__xludf.DUMMYFUNCTION("""COMPUTED_VALUE"""),"Máy đào gàu 0.8m3")</f>
        <v>Máy đào gàu 0.8m3</v>
      </c>
      <c r="C2776" s="1076" t="str">
        <f>IFERROR(__xludf.DUMMYFUNCTION("""COMPUTED_VALUE"""),"CGTC DP")</f>
        <v>CGTC DP</v>
      </c>
      <c r="D2776" s="1076" t="str">
        <f>IFERROR(__xludf.DUMMYFUNCTION("""COMPUTED_VALUE"""),"CAT")</f>
        <v>CAT</v>
      </c>
      <c r="E2776" s="1076" t="str">
        <f>IFERROR(__xludf.DUMMYFUNCTION("""COMPUTED_VALUE"""),"NHẬT BẢN")</f>
        <v>NHẬT BẢN</v>
      </c>
      <c r="F2776" s="1076">
        <f>IFERROR(__xludf.DUMMYFUNCTION("""COMPUTED_VALUE"""),2020)</f>
        <v>2020</v>
      </c>
      <c r="G2776" s="1076" t="str">
        <f>IFERROR(__xludf.DUMMYFUNCTION("""COMPUTED_VALUE"""),"CAT320")</f>
        <v>CAT320</v>
      </c>
      <c r="H2776" s="1076" t="str">
        <f>IFERROR(__xludf.DUMMYFUNCTION("""COMPUTED_VALUE"""),"134HP")</f>
        <v>134HP</v>
      </c>
      <c r="I2776" s="1076" t="str">
        <f>IFERROR(__xludf.DUMMYFUNCTION("""COMPUTED_VALUE"""),"3XM05087")</f>
        <v>3XM05087</v>
      </c>
      <c r="J2776" s="1076" t="str">
        <f>IFERROR(__xludf.DUMMYFUNCTION("""COMPUTED_VALUE"""),"7JK20972")</f>
        <v>7JK20972</v>
      </c>
      <c r="K2776" s="1076">
        <f>IFERROR(__xludf.DUMMYFUNCTION("""COMPUTED_VALUE"""),14)</f>
        <v>14</v>
      </c>
      <c r="L2776" s="1076" t="str">
        <f>IFERROR(__xludf.DUMMYFUNCTION("""COMPUTED_VALUE"""),"-")</f>
        <v>-</v>
      </c>
    </row>
    <row r="2777" customHeight="1" spans="1:12">
      <c r="A2777" s="1076" t="str">
        <f>IFERROR(__xludf.DUMMYFUNCTION("""COMPUTED_VALUE"""),"TND-MĐA-030")</f>
        <v>TND-MĐA-030</v>
      </c>
      <c r="B2777" s="1075" t="str">
        <f>IFERROR(__xludf.DUMMYFUNCTION("""COMPUTED_VALUE"""),"Máy đào gàu 0.8m3")</f>
        <v>Máy đào gàu 0.8m3</v>
      </c>
      <c r="C2777" s="1076" t="str">
        <f>IFERROR(__xludf.DUMMYFUNCTION("""COMPUTED_VALUE"""),"CGTC DP")</f>
        <v>CGTC DP</v>
      </c>
      <c r="D2777" s="1076" t="str">
        <f>IFERROR(__xludf.DUMMYFUNCTION("""COMPUTED_VALUE"""),"CAT")</f>
        <v>CAT</v>
      </c>
      <c r="E2777" s="1076" t="str">
        <f>IFERROR(__xludf.DUMMYFUNCTION("""COMPUTED_VALUE"""),"NHẬ̣T BẢN")</f>
        <v>NHẬ̣T BẢN</v>
      </c>
      <c r="F2777" s="1076">
        <f>IFERROR(__xludf.DUMMYFUNCTION("""COMPUTED_VALUE"""),1992)</f>
        <v>1992</v>
      </c>
      <c r="G2777" s="1076" t="str">
        <f>IFERROR(__xludf.DUMMYFUNCTION("""COMPUTED_VALUE"""),"CAT320")</f>
        <v>CAT320</v>
      </c>
      <c r="H2777" s="1076" t="str">
        <f>IFERROR(__xludf.DUMMYFUNCTION("""COMPUTED_VALUE"""),"140HP")</f>
        <v>140HP</v>
      </c>
      <c r="I2777" s="1076" t="str">
        <f>IFERROR(__xludf.DUMMYFUNCTION("""COMPUTED_VALUE"""),"3XM00958")</f>
        <v>3XM00958</v>
      </c>
      <c r="J2777" s="1076" t="str">
        <f>IFERROR(__xludf.DUMMYFUNCTION("""COMPUTED_VALUE"""),"7JK10425")</f>
        <v>7JK10425</v>
      </c>
      <c r="K2777" s="1076">
        <f>IFERROR(__xludf.DUMMYFUNCTION("""COMPUTED_VALUE"""),14.5)</f>
        <v>14.5</v>
      </c>
      <c r="L2777" s="1076" t="str">
        <f>IFERROR(__xludf.DUMMYFUNCTION("""COMPUTED_VALUE"""),"-")</f>
        <v>-</v>
      </c>
    </row>
    <row r="2778" customHeight="1" spans="1:12">
      <c r="A2778" s="1076" t="str">
        <f>IFERROR(__xludf.DUMMYFUNCTION("""COMPUTED_VALUE"""),"TND-MĐA-031")</f>
        <v>TND-MĐA-031</v>
      </c>
      <c r="B2778" s="1075" t="str">
        <f>IFERROR(__xludf.DUMMYFUNCTION("""COMPUTED_VALUE"""),"Máy đào gàu 0.5m3")</f>
        <v>Máy đào gàu 0.5m3</v>
      </c>
      <c r="C2778" s="1076" t="str">
        <f>IFERROR(__xludf.DUMMYFUNCTION("""COMPUTED_VALUE"""),"XN Chuối DP1")</f>
        <v>XN Chuối DP1</v>
      </c>
      <c r="D2778" s="1076" t="str">
        <f>IFERROR(__xludf.DUMMYFUNCTION("""COMPUTED_VALUE"""),"CAT")</f>
        <v>CAT</v>
      </c>
      <c r="E2778" s="1076" t="str">
        <f>IFERROR(__xludf.DUMMYFUNCTION("""COMPUTED_VALUE"""),"NHẬT BẢN")</f>
        <v>NHẬT BẢN</v>
      </c>
      <c r="F2778" s="1076">
        <f>IFERROR(__xludf.DUMMYFUNCTION("""COMPUTED_VALUE"""),1999)</f>
        <v>1999</v>
      </c>
      <c r="G2778" s="1076" t="str">
        <f>IFERROR(__xludf.DUMMYFUNCTION("""COMPUTED_VALUE"""),"E110B")</f>
        <v>E110B</v>
      </c>
      <c r="H2778" s="1076" t="str">
        <f>IFERROR(__xludf.DUMMYFUNCTION("""COMPUTED_VALUE"""),"100HP")</f>
        <v>100HP</v>
      </c>
      <c r="I2778" s="1076" t="str">
        <f>IFERROR(__xludf.DUMMYFUNCTION("""COMPUTED_VALUE"""),"9HF00457")</f>
        <v>9HF00457</v>
      </c>
      <c r="J2778" s="1076" t="str">
        <f>IFERROR(__xludf.DUMMYFUNCTION("""COMPUTED_VALUE"""),"S4K-002453")</f>
        <v>S4K-002453</v>
      </c>
      <c r="K2778" s="1076">
        <f>IFERROR(__xludf.DUMMYFUNCTION("""COMPUTED_VALUE"""),12)</f>
        <v>12</v>
      </c>
      <c r="L2778" s="1076" t="str">
        <f>IFERROR(__xludf.DUMMYFUNCTION("""COMPUTED_VALUE"""),"-")</f>
        <v>-</v>
      </c>
    </row>
    <row r="2779" customHeight="1" spans="1:12">
      <c r="A2779" s="1076" t="str">
        <f>IFERROR(__xludf.DUMMYFUNCTION("""COMPUTED_VALUE"""),"TND-MĐA-032")</f>
        <v>TND-MĐA-032</v>
      </c>
      <c r="B2779" s="1075" t="str">
        <f>IFERROR(__xludf.DUMMYFUNCTION("""COMPUTED_VALUE"""),"Máy đào gàu 1.2m3")</f>
        <v>Máy đào gàu 1.2m3</v>
      </c>
      <c r="C2779" s="1076" t="str">
        <f>IFERROR(__xludf.DUMMYFUNCTION("""COMPUTED_VALUE"""),"CGTC DP")</f>
        <v>CGTC DP</v>
      </c>
      <c r="D2779" s="1076" t="str">
        <f>IFERROR(__xludf.DUMMYFUNCTION("""COMPUTED_VALUE"""),"VOLVO")</f>
        <v>VOLVO</v>
      </c>
      <c r="E2779" s="1076" t="str">
        <f>IFERROR(__xludf.DUMMYFUNCTION("""COMPUTED_VALUE"""),"NHẬT BẢN")</f>
        <v>NHẬT BẢN</v>
      </c>
      <c r="F2779" s="1076">
        <f>IFERROR(__xludf.DUMMYFUNCTION("""COMPUTED_VALUE"""),2014)</f>
        <v>2014</v>
      </c>
      <c r="G2779" s="1076" t="str">
        <f>IFERROR(__xludf.DUMMYFUNCTION("""COMPUTED_VALUE"""),"EC210B")</f>
        <v>EC210B</v>
      </c>
      <c r="H2779" s="1076" t="str">
        <f>IFERROR(__xludf.DUMMYFUNCTION("""COMPUTED_VALUE"""),"165HP")</f>
        <v>165HP</v>
      </c>
      <c r="I2779" s="1076" t="str">
        <f>IFERROR(__xludf.DUMMYFUNCTION("""COMPUTED_VALUE"""),"VCE210BJ00082216")</f>
        <v>VCE210BJ00082216</v>
      </c>
      <c r="J2779" s="1076" t="str">
        <f>IFERROR(__xludf.DUMMYFUNCTION("""COMPUTED_VALUE"""),"11511966")</f>
        <v>11511966</v>
      </c>
      <c r="K2779" s="1076">
        <f>IFERROR(__xludf.DUMMYFUNCTION("""COMPUTED_VALUE"""),16.5)</f>
        <v>16.5</v>
      </c>
      <c r="L2779" s="1076" t="str">
        <f>IFERROR(__xludf.DUMMYFUNCTION("""COMPUTED_VALUE"""),"-")</f>
        <v>-</v>
      </c>
    </row>
    <row r="2780" customHeight="1" spans="1:12">
      <c r="A2780" s="1076" t="str">
        <f>IFERROR(__xludf.DUMMYFUNCTION("""COMPUTED_VALUE"""),"TND-MĐA-033")</f>
        <v>TND-MĐA-033</v>
      </c>
      <c r="B2780" s="1075" t="str">
        <f>IFERROR(__xludf.DUMMYFUNCTION("""COMPUTED_VALUE"""),"Máy đào gàu 0.5m3")</f>
        <v>Máy đào gàu 0.5m3</v>
      </c>
      <c r="C2780" s="1076" t="str">
        <f>IFERROR(__xludf.DUMMYFUNCTION("""COMPUTED_VALUE"""),"CGTC DP")</f>
        <v>CGTC DP</v>
      </c>
      <c r="D2780" s="1076" t="str">
        <f>IFERROR(__xludf.DUMMYFUNCTION("""COMPUTED_VALUE"""),"LIUGONG")</f>
        <v>LIUGONG</v>
      </c>
      <c r="E2780" s="1076" t="str">
        <f>IFERROR(__xludf.DUMMYFUNCTION("""COMPUTED_VALUE"""),"TRUNG QUỐC")</f>
        <v>TRUNG QUỐC</v>
      </c>
      <c r="F2780" s="1076">
        <f>IFERROR(__xludf.DUMMYFUNCTION("""COMPUTED_VALUE"""),2011)</f>
        <v>2011</v>
      </c>
      <c r="G2780" s="1076" t="str">
        <f>IFERROR(__xludf.DUMMYFUNCTION("""COMPUTED_VALUE"""),"CL915D")</f>
        <v>CL915D</v>
      </c>
      <c r="H2780" s="1076" t="str">
        <f>IFERROR(__xludf.DUMMYFUNCTION("""COMPUTED_VALUE"""),"115HP")</f>
        <v>115HP</v>
      </c>
      <c r="I2780" s="1076" t="str">
        <f>IFERROR(__xludf.DUMMYFUNCTION("""COMPUTED_VALUE"""),"CL0915DPE029806")</f>
        <v>CL0915DPE029806</v>
      </c>
      <c r="J2780" s="1076" t="str">
        <f>IFERROR(__xludf.DUMMYFUNCTION("""COMPUTED_VALUE"""),"20110720")</f>
        <v>20110720</v>
      </c>
      <c r="K2780" s="1076">
        <f>IFERROR(__xludf.DUMMYFUNCTION("""COMPUTED_VALUE"""),10)</f>
        <v>10</v>
      </c>
      <c r="L2780" s="1076" t="str">
        <f>IFERROR(__xludf.DUMMYFUNCTION("""COMPUTED_VALUE"""),"-")</f>
        <v>-</v>
      </c>
    </row>
    <row r="2781" customHeight="1" spans="1:12">
      <c r="A2781" s="1076" t="str">
        <f>IFERROR(__xludf.DUMMYFUNCTION("""COMPUTED_VALUE"""),"TND-MĐA-034")</f>
        <v>TND-MĐA-034</v>
      </c>
      <c r="B2781" s="1075" t="str">
        <f>IFERROR(__xludf.DUMMYFUNCTION("""COMPUTED_VALUE"""),"Máy đào gàu 0.5m3")</f>
        <v>Máy đào gàu 0.5m3</v>
      </c>
      <c r="C2781" s="1076" t="str">
        <f>IFERROR(__xludf.DUMMYFUNCTION("""COMPUTED_VALUE"""),"CGTC DP")</f>
        <v>CGTC DP</v>
      </c>
      <c r="D2781" s="1076" t="str">
        <f>IFERROR(__xludf.DUMMYFUNCTION("""COMPUTED_VALUE"""),"LIUGONG")</f>
        <v>LIUGONG</v>
      </c>
      <c r="E2781" s="1076"/>
      <c r="F2781" s="1076">
        <f>IFERROR(__xludf.DUMMYFUNCTION("""COMPUTED_VALUE"""),2011)</f>
        <v>2011</v>
      </c>
      <c r="G2781" s="1076" t="str">
        <f>IFERROR(__xludf.DUMMYFUNCTION("""COMPUTED_VALUE"""),"CLG 915D")</f>
        <v>CLG 915D</v>
      </c>
      <c r="H2781" s="1076" t="str">
        <f>IFERROR(__xludf.DUMMYFUNCTION("""COMPUTED_VALUE"""),"130HP")</f>
        <v>130HP</v>
      </c>
      <c r="I2781" s="1076" t="str">
        <f>IFERROR(__xludf.DUMMYFUNCTION("""COMPUTED_VALUE"""),"CLG0915DEBE0208")</f>
        <v>CLG0915DEBE0208</v>
      </c>
      <c r="J2781" s="1076" t="str">
        <f>IFERROR(__xludf.DUMMYFUNCTION("""COMPUTED_VALUE"""),"G20657L0390TAB")</f>
        <v>G20657L0390TAB</v>
      </c>
      <c r="K2781" s="1076">
        <f>IFERROR(__xludf.DUMMYFUNCTION("""COMPUTED_VALUE"""),11.7)</f>
        <v>11.7</v>
      </c>
      <c r="L2781" s="1076" t="str">
        <f>IFERROR(__xludf.DUMMYFUNCTION("""COMPUTED_VALUE"""),"-")</f>
        <v>-</v>
      </c>
    </row>
    <row r="2782" customHeight="1" spans="1:12">
      <c r="A2782" s="1076" t="str">
        <f>IFERROR(__xludf.DUMMYFUNCTION("""COMPUTED_VALUE"""),"TND-MĐA-035")</f>
        <v>TND-MĐA-035</v>
      </c>
      <c r="B2782" s="1075" t="str">
        <f>IFERROR(__xludf.DUMMYFUNCTION("""COMPUTED_VALUE"""),"Máy đào gàu 1.2m3")</f>
        <v>Máy đào gàu 1.2m3</v>
      </c>
      <c r="C2782" s="1076" t="str">
        <f>IFERROR(__xludf.DUMMYFUNCTION("""COMPUTED_VALUE"""),"CGTC DP")</f>
        <v>CGTC DP</v>
      </c>
      <c r="D2782" s="1076" t="str">
        <f>IFERROR(__xludf.DUMMYFUNCTION("""COMPUTED_VALUE"""),"SANY")</f>
        <v>SANY</v>
      </c>
      <c r="E2782" s="1076"/>
      <c r="F2782" s="1076">
        <f>IFERROR(__xludf.DUMMYFUNCTION("""COMPUTED_VALUE"""),2011)</f>
        <v>2011</v>
      </c>
      <c r="G2782" s="1076"/>
      <c r="H2782" s="1076" t="str">
        <f>IFERROR(__xludf.DUMMYFUNCTION("""COMPUTED_VALUE"""),"130HP")</f>
        <v>130HP</v>
      </c>
      <c r="I2782" s="1076" t="str">
        <f>IFERROR(__xludf.DUMMYFUNCTION("""COMPUTED_VALUE"""),"12SY0216H8638")</f>
        <v>12SY0216H8638</v>
      </c>
      <c r="J2782" s="1076" t="str">
        <f>IFERROR(__xludf.DUMMYFUNCTION("""COMPUTED_VALUE"""),"62027720586D3A")</f>
        <v>62027720586D3A</v>
      </c>
      <c r="K2782" s="1076">
        <f>IFERROR(__xludf.DUMMYFUNCTION("""COMPUTED_VALUE"""),16.5)</f>
        <v>16.5</v>
      </c>
      <c r="L2782" s="1076" t="str">
        <f>IFERROR(__xludf.DUMMYFUNCTION("""COMPUTED_VALUE"""),"-")</f>
        <v>-</v>
      </c>
    </row>
    <row r="2783" customHeight="1" spans="1:12">
      <c r="A2783" s="1076" t="str">
        <f>IFERROR(__xludf.DUMMYFUNCTION("""COMPUTED_VALUE"""),"TND-MĐA-036")</f>
        <v>TND-MĐA-036</v>
      </c>
      <c r="B2783" s="1075" t="str">
        <f>IFERROR(__xludf.DUMMYFUNCTION("""COMPUTED_VALUE"""),"Máy đào gàu 0.5m3")</f>
        <v>Máy đào gàu 0.5m3</v>
      </c>
      <c r="C2783" s="1076" t="str">
        <f>IFERROR(__xludf.DUMMYFUNCTION("""COMPUTED_VALUE"""),"CGTC DP")</f>
        <v>CGTC DP</v>
      </c>
      <c r="D2783" s="1076" t="str">
        <f>IFERROR(__xludf.DUMMYFUNCTION("""COMPUTED_VALUE"""),"LIUGONG")</f>
        <v>LIUGONG</v>
      </c>
      <c r="E2783" s="1076"/>
      <c r="F2783" s="1076"/>
      <c r="G2783" s="1076" t="str">
        <f>IFERROR(__xludf.DUMMYFUNCTION("""COMPUTED_VALUE"""),"CLG915D")</f>
        <v>CLG915D</v>
      </c>
      <c r="H2783" s="1076" t="str">
        <f>IFERROR(__xludf.DUMMYFUNCTION("""COMPUTED_VALUE"""),"115HP")</f>
        <v>115HP</v>
      </c>
      <c r="I2783" s="1076" t="str">
        <f>IFERROR(__xludf.DUMMYFUNCTION("""COMPUTED_VALUE"""),"DEBE0208")</f>
        <v>DEBE0208</v>
      </c>
      <c r="J2783" s="1076" t="str">
        <f>IFERROR(__xludf.DUMMYFUNCTION("""COMPUTED_VALUE"""),"29878885")</f>
        <v>29878885</v>
      </c>
      <c r="K2783" s="1076">
        <f>IFERROR(__xludf.DUMMYFUNCTION("""COMPUTED_VALUE"""),8)</f>
        <v>8</v>
      </c>
      <c r="L2783" s="1076" t="str">
        <f>IFERROR(__xludf.DUMMYFUNCTION("""COMPUTED_VALUE"""),"Đang thuê")</f>
        <v>Đang thuê</v>
      </c>
    </row>
    <row r="2784" customHeight="1" spans="1:12">
      <c r="A2784" s="1076" t="str">
        <f>IFERROR(__xludf.DUMMYFUNCTION("""COMPUTED_VALUE"""),"TND-MĐA-037")</f>
        <v>TND-MĐA-037</v>
      </c>
      <c r="B2784" s="1075" t="str">
        <f>IFERROR(__xludf.DUMMYFUNCTION("""COMPUTED_VALUE"""),"Máy đào gàu 1.3m3")</f>
        <v>Máy đào gàu 1.3m3</v>
      </c>
      <c r="C2784" s="1076" t="str">
        <f>IFERROR(__xludf.DUMMYFUNCTION("""COMPUTED_VALUE"""),"CGTC DP")</f>
        <v>CGTC DP</v>
      </c>
      <c r="D2784" s="1076" t="str">
        <f>IFERROR(__xludf.DUMMYFUNCTION("""COMPUTED_VALUE"""),"VOLVO")</f>
        <v>VOLVO</v>
      </c>
      <c r="E2784" s="1076"/>
      <c r="F2784" s="1076">
        <f>IFERROR(__xludf.DUMMYFUNCTION("""COMPUTED_VALUE"""),2020)</f>
        <v>2020</v>
      </c>
      <c r="G2784" s="1076" t="str">
        <f>IFERROR(__xludf.DUMMYFUNCTION("""COMPUTED_VALUE"""),"EC210DL")</f>
        <v>EC210DL</v>
      </c>
      <c r="H2784" s="1076" t="str">
        <f>IFERROR(__xludf.DUMMYFUNCTION("""COMPUTED_VALUE"""),"164HP")</f>
        <v>164HP</v>
      </c>
      <c r="I2784" s="1076" t="str">
        <f>IFERROR(__xludf.DUMMYFUNCTION("""COMPUTED_VALUE"""),"VCEC210D500252219")</f>
        <v>VCEC210D500252219</v>
      </c>
      <c r="J2784" s="1076" t="str">
        <f>IFERROR(__xludf.DUMMYFUNCTION("""COMPUTED_VALUE"""),"12596460")</f>
        <v>12596460</v>
      </c>
      <c r="K2784" s="1076">
        <f>IFERROR(__xludf.DUMMYFUNCTION("""COMPUTED_VALUE"""),16.5)</f>
        <v>16.5</v>
      </c>
      <c r="L2784" s="1076" t="str">
        <f>IFERROR(__xludf.DUMMYFUNCTION("""COMPUTED_VALUE"""),"Đang thuê")</f>
        <v>Đang thuê</v>
      </c>
    </row>
    <row r="2785" customHeight="1" spans="1:12">
      <c r="A2785" s="1076" t="str">
        <f>IFERROR(__xludf.DUMMYFUNCTION("""COMPUTED_VALUE"""),"TND-MĐA-038")</f>
        <v>TND-MĐA-038</v>
      </c>
      <c r="B2785" s="1075" t="str">
        <f>IFERROR(__xludf.DUMMYFUNCTION("""COMPUTED_VALUE"""),"Máy đào gàu 1.5m3")</f>
        <v>Máy đào gàu 1.5m3</v>
      </c>
      <c r="C2785" s="1076" t="str">
        <f>IFERROR(__xludf.DUMMYFUNCTION("""COMPUTED_VALUE"""),"CGTC DP")</f>
        <v>CGTC DP</v>
      </c>
      <c r="D2785" s="1076" t="str">
        <f>IFERROR(__xludf.DUMMYFUNCTION("""COMPUTED_VALUE"""),"CAT")</f>
        <v>CAT</v>
      </c>
      <c r="E2785" s="1076"/>
      <c r="F2785" s="1076">
        <f>IFERROR(__xludf.DUMMYFUNCTION("""COMPUTED_VALUE"""),2007)</f>
        <v>2007</v>
      </c>
      <c r="G2785" s="1076" t="str">
        <f>IFERROR(__xludf.DUMMYFUNCTION("""COMPUTED_VALUE"""),"320DGC")</f>
        <v>320DGC</v>
      </c>
      <c r="H2785" s="1076" t="str">
        <f>IFERROR(__xludf.DUMMYFUNCTION("""COMPUTED_VALUE"""),"157HP")</f>
        <v>157HP</v>
      </c>
      <c r="I2785" s="1076" t="str">
        <f>IFERROR(__xludf.DUMMYFUNCTION("""COMPUTED_VALUE"""),"CAT32DEPCM03128")</f>
        <v>CAT32DEPCM03128</v>
      </c>
      <c r="J2785" s="1076" t="str">
        <f>IFERROR(__xludf.DUMMYFUNCTION("""COMPUTED_VALUE"""),"GDC61843")</f>
        <v>GDC61843</v>
      </c>
      <c r="K2785" s="1076">
        <f>IFERROR(__xludf.DUMMYFUNCTION("""COMPUTED_VALUE"""),15)</f>
        <v>15</v>
      </c>
      <c r="L2785" s="1076" t="str">
        <f>IFERROR(__xludf.DUMMYFUNCTION("""COMPUTED_VALUE"""),"Đang thuê")</f>
        <v>Đang thuê</v>
      </c>
    </row>
    <row r="2786" customHeight="1" spans="1:12">
      <c r="A2786" s="1076" t="str">
        <f>IFERROR(__xludf.DUMMYFUNCTION("""COMPUTED_VALUE"""),"TND-MĐA-039")</f>
        <v>TND-MĐA-039</v>
      </c>
      <c r="B2786" s="1075" t="str">
        <f>IFERROR(__xludf.DUMMYFUNCTION("""COMPUTED_VALUE"""),"Máy đào gàu 0.5m3")</f>
        <v>Máy đào gàu 0.5m3</v>
      </c>
      <c r="C2786" s="1076" t="str">
        <f>IFERROR(__xludf.DUMMYFUNCTION("""COMPUTED_VALUE"""),"CGTC DP")</f>
        <v>CGTC DP</v>
      </c>
      <c r="D2786" s="1076" t="str">
        <f>IFERROR(__xludf.DUMMYFUNCTION("""COMPUTED_VALUE"""),"LIUGONG")</f>
        <v>LIUGONG</v>
      </c>
      <c r="E2786" s="1076"/>
      <c r="F2786" s="1076"/>
      <c r="G2786" s="1076" t="str">
        <f>IFERROR(__xludf.DUMMYFUNCTION("""COMPUTED_VALUE"""),"CLG915D")</f>
        <v>CLG915D</v>
      </c>
      <c r="H2786" s="1076" t="str">
        <f>IFERROR(__xludf.DUMMYFUNCTION("""COMPUTED_VALUE"""),"115HP")</f>
        <v>115HP</v>
      </c>
      <c r="I2786" s="1076" t="str">
        <f>IFERROR(__xludf.DUMMYFUNCTION("""COMPUTED_VALUE"""),"RL5L11WJ0981")</f>
        <v>RL5L11WJ0981</v>
      </c>
      <c r="J2786" s="1076" t="str">
        <f>IFERROR(__xludf.DUMMYFUNCTION("""COMPUTED_VALUE"""),"6476153")</f>
        <v>6476153</v>
      </c>
      <c r="K2786" s="1076">
        <f>IFERROR(__xludf.DUMMYFUNCTION("""COMPUTED_VALUE"""),9.5)</f>
        <v>9.5</v>
      </c>
      <c r="L2786" s="1076" t="str">
        <f>IFERROR(__xludf.DUMMYFUNCTION("""COMPUTED_VALUE"""),"Đang thuê")</f>
        <v>Đang thuê</v>
      </c>
    </row>
    <row r="2787" customHeight="1" spans="1:12">
      <c r="A2787" s="1076" t="str">
        <f>IFERROR(__xludf.DUMMYFUNCTION("""COMPUTED_VALUE"""),"TND-MĐA-040")</f>
        <v>TND-MĐA-040</v>
      </c>
      <c r="B2787" s="1075" t="str">
        <f>IFERROR(__xludf.DUMMYFUNCTION("""COMPUTED_VALUE"""),"Máy đào gàu 1.2m3")</f>
        <v>Máy đào gàu 1.2m3</v>
      </c>
      <c r="C2787" s="1076" t="str">
        <f>IFERROR(__xludf.DUMMYFUNCTION("""COMPUTED_VALUE"""),"CGTC DP")</f>
        <v>CGTC DP</v>
      </c>
      <c r="D2787" s="1076" t="str">
        <f>IFERROR(__xludf.DUMMYFUNCTION("""COMPUTED_VALUE"""),"CAT")</f>
        <v>CAT</v>
      </c>
      <c r="E2787" s="1076"/>
      <c r="F2787" s="1076">
        <f>IFERROR(__xludf.DUMMYFUNCTION("""COMPUTED_VALUE"""),2017)</f>
        <v>2017</v>
      </c>
      <c r="G2787" s="1076" t="str">
        <f>IFERROR(__xludf.DUMMYFUNCTION("""COMPUTED_VALUE"""),"320D2GC")</f>
        <v>320D2GC</v>
      </c>
      <c r="H2787" s="1076" t="str">
        <f>IFERROR(__xludf.DUMMYFUNCTION("""COMPUTED_VALUE"""),"140HP")</f>
        <v>140HP</v>
      </c>
      <c r="I2787" s="1076" t="str">
        <f>IFERROR(__xludf.DUMMYFUNCTION("""COMPUTED_VALUE"""),"CAT0320DC2BH10490")</f>
        <v>CAT0320DC2BH10490</v>
      </c>
      <c r="J2787" s="1076" t="str">
        <f>IFERROR(__xludf.DUMMYFUNCTION("""COMPUTED_VALUE"""),"2W202504")</f>
        <v>2W202504</v>
      </c>
      <c r="K2787" s="1076">
        <f>IFERROR(__xludf.DUMMYFUNCTION("""COMPUTED_VALUE"""),16.5)</f>
        <v>16.5</v>
      </c>
      <c r="L2787" s="1076" t="str">
        <f>IFERROR(__xludf.DUMMYFUNCTION("""COMPUTED_VALUE"""),"Đang thuê")</f>
        <v>Đang thuê</v>
      </c>
    </row>
    <row r="2788" customHeight="1" spans="1:12">
      <c r="A2788" s="1076" t="str">
        <f>IFERROR(__xludf.DUMMYFUNCTION("""COMPUTED_VALUE"""),"TND-MĐA-041")</f>
        <v>TND-MĐA-041</v>
      </c>
      <c r="B2788" s="1075" t="str">
        <f>IFERROR(__xludf.DUMMYFUNCTION("""COMPUTED_VALUE"""),"Máy đào gàu 0.5m3")</f>
        <v>Máy đào gàu 0.5m3</v>
      </c>
      <c r="C2788" s="1076" t="str">
        <f>IFERROR(__xludf.DUMMYFUNCTION("""COMPUTED_VALUE"""),"CGTC DP")</f>
        <v>CGTC DP</v>
      </c>
      <c r="D2788" s="1076" t="str">
        <f>IFERROR(__xludf.DUMMYFUNCTION("""COMPUTED_VALUE"""),"CAT")</f>
        <v>CAT</v>
      </c>
      <c r="E2788" s="1076" t="str">
        <f>IFERROR(__xludf.DUMMYFUNCTION("""COMPUTED_VALUE"""),"TRUNG QUỐC")</f>
        <v>TRUNG QUỐC</v>
      </c>
      <c r="F2788" s="1076">
        <f>IFERROR(__xludf.DUMMYFUNCTION("""COMPUTED_VALUE"""),1990)</f>
        <v>1990</v>
      </c>
      <c r="G2788" s="1076" t="str">
        <f>IFERROR(__xludf.DUMMYFUNCTION("""COMPUTED_VALUE"""),"E110B")</f>
        <v>E110B</v>
      </c>
      <c r="H2788" s="1076" t="str">
        <f>IFERROR(__xludf.DUMMYFUNCTION("""COMPUTED_VALUE"""),"83HP")</f>
        <v>83HP</v>
      </c>
      <c r="I2788" s="1076" t="str">
        <f>IFERROR(__xludf.DUMMYFUNCTION("""COMPUTED_VALUE"""),"9HK02339")</f>
        <v>9HK02339</v>
      </c>
      <c r="J2788" s="1076" t="str">
        <f>IFERROR(__xludf.DUMMYFUNCTION("""COMPUTED_VALUE"""),"S4K008982")</f>
        <v>S4K008982</v>
      </c>
      <c r="K2788" s="1076">
        <f>IFERROR(__xludf.DUMMYFUNCTION("""COMPUTED_VALUE"""),10)</f>
        <v>10</v>
      </c>
      <c r="L2788" s="1076" t="str">
        <f>IFERROR(__xludf.DUMMYFUNCTION("""COMPUTED_VALUE"""),"-")</f>
        <v>-</v>
      </c>
    </row>
    <row r="2789" customHeight="1" spans="1:12">
      <c r="A2789" s="1076" t="str">
        <f>IFERROR(__xludf.DUMMYFUNCTION("""COMPUTED_VALUE"""),"TND-MĐA-042")</f>
        <v>TND-MĐA-042</v>
      </c>
      <c r="B2789" s="1075" t="str">
        <f>IFERROR(__xludf.DUMMYFUNCTION("""COMPUTED_VALUE"""),"Máy đào gàu 0.5m3")</f>
        <v>Máy đào gàu 0.5m3</v>
      </c>
      <c r="C2789" s="1076" t="str">
        <f>IFERROR(__xludf.DUMMYFUNCTION("""COMPUTED_VALUE"""),"CGTC DP")</f>
        <v>CGTC DP</v>
      </c>
      <c r="D2789" s="1076" t="str">
        <f>IFERROR(__xludf.DUMMYFUNCTION("""COMPUTED_VALUE"""),"CAT")</f>
        <v>CAT</v>
      </c>
      <c r="E2789" s="1076" t="str">
        <f>IFERROR(__xludf.DUMMYFUNCTION("""COMPUTED_VALUE"""),"TRUNG QUỐC")</f>
        <v>TRUNG QUỐC</v>
      </c>
      <c r="F2789" s="1076">
        <f>IFERROR(__xludf.DUMMYFUNCTION("""COMPUTED_VALUE"""),1998)</f>
        <v>1998</v>
      </c>
      <c r="G2789" s="1076" t="str">
        <f>IFERROR(__xludf.DUMMYFUNCTION("""COMPUTED_VALUE"""),"312B")</f>
        <v>312B</v>
      </c>
      <c r="H2789" s="1076" t="str">
        <f>IFERROR(__xludf.DUMMYFUNCTION("""COMPUTED_VALUE"""),"83HP")</f>
        <v>83HP</v>
      </c>
      <c r="I2789" s="1076" t="str">
        <f>IFERROR(__xludf.DUMMYFUNCTION("""COMPUTED_VALUE"""),"9HR07924")</f>
        <v>9HR07924</v>
      </c>
      <c r="J2789" s="1076" t="str">
        <f>IFERROR(__xludf.DUMMYFUNCTION("""COMPUTED_VALUE"""),"QLK18226")</f>
        <v>QLK18226</v>
      </c>
      <c r="K2789" s="1076">
        <f>IFERROR(__xludf.DUMMYFUNCTION("""COMPUTED_VALUE"""),9)</f>
        <v>9</v>
      </c>
      <c r="L2789" s="1076" t="str">
        <f>IFERROR(__xludf.DUMMYFUNCTION("""COMPUTED_VALUE"""),"-")</f>
        <v>-</v>
      </c>
    </row>
    <row r="2790" customHeight="1" spans="1:12">
      <c r="A2790" s="1076" t="str">
        <f>IFERROR(__xludf.DUMMYFUNCTION("""COMPUTED_VALUE"""),"TND-MĐA-043")</f>
        <v>TND-MĐA-043</v>
      </c>
      <c r="B2790" s="1075" t="str">
        <f>IFERROR(__xludf.DUMMYFUNCTION("""COMPUTED_VALUE"""),"Máy đào gàu 0.7m3")</f>
        <v>Máy đào gàu 0.7m3</v>
      </c>
      <c r="C2790" s="1076" t="str">
        <f>IFERROR(__xludf.DUMMYFUNCTION("""COMPUTED_VALUE"""),"CGTC DP")</f>
        <v>CGTC DP</v>
      </c>
      <c r="D2790" s="1076" t="str">
        <f>IFERROR(__xludf.DUMMYFUNCTION("""COMPUTED_VALUE"""),"HITACHI")</f>
        <v>HITACHI</v>
      </c>
      <c r="E2790" s="1076"/>
      <c r="F2790" s="1076">
        <f>IFERROR(__xludf.DUMMYFUNCTION("""COMPUTED_VALUE"""),2004)</f>
        <v>2004</v>
      </c>
      <c r="G2790" s="1076"/>
      <c r="H2790" s="1076" t="str">
        <f>IFERROR(__xludf.DUMMYFUNCTION("""COMPUTED_VALUE"""),"138HP")</f>
        <v>138HP</v>
      </c>
      <c r="I2790" s="1076" t="str">
        <f>IFERROR(__xludf.DUMMYFUNCTION("""COMPUTED_VALUE"""),"112725")</f>
        <v>112725</v>
      </c>
      <c r="J2790" s="1076" t="str">
        <f>IFERROR(__xludf.DUMMYFUNCTION("""COMPUTED_VALUE"""),"6BG1189026")</f>
        <v>6BG1189026</v>
      </c>
      <c r="K2790" s="1076">
        <f>IFERROR(__xludf.DUMMYFUNCTION("""COMPUTED_VALUE"""),14)</f>
        <v>14</v>
      </c>
      <c r="L2790" s="1076" t="str">
        <f>IFERROR(__xludf.DUMMYFUNCTION("""COMPUTED_VALUE"""),"-")</f>
        <v>-</v>
      </c>
    </row>
    <row r="2791" customHeight="1" spans="1:12">
      <c r="A2791" s="1076" t="str">
        <f>IFERROR(__xludf.DUMMYFUNCTION("""COMPUTED_VALUE"""),"TND-MĐA-045")</f>
        <v>TND-MĐA-045</v>
      </c>
      <c r="B2791" s="1075" t="str">
        <f>IFERROR(__xludf.DUMMYFUNCTION("""COMPUTED_VALUE"""),"Máy đào gàu 0.7m3")</f>
        <v>Máy đào gàu 0.7m3</v>
      </c>
      <c r="C2791" s="1076" t="str">
        <f>IFERROR(__xludf.DUMMYFUNCTION("""COMPUTED_VALUE"""),"CGTC DP")</f>
        <v>CGTC DP</v>
      </c>
      <c r="D2791" s="1076" t="str">
        <f>IFERROR(__xludf.DUMMYFUNCTION("""COMPUTED_VALUE"""),"CAT")</f>
        <v>CAT</v>
      </c>
      <c r="E2791" s="1076"/>
      <c r="F2791" s="1076">
        <f>IFERROR(__xludf.DUMMYFUNCTION("""COMPUTED_VALUE"""),2009)</f>
        <v>2009</v>
      </c>
      <c r="G2791" s="1076" t="str">
        <f>IFERROR(__xludf.DUMMYFUNCTION("""COMPUTED_VALUE"""),"320D")</f>
        <v>320D</v>
      </c>
      <c r="H2791" s="1076" t="str">
        <f>IFERROR(__xludf.DUMMYFUNCTION("""COMPUTED_VALUE"""),"138HP")</f>
        <v>138HP</v>
      </c>
      <c r="I2791" s="1076" t="str">
        <f>IFERROR(__xludf.DUMMYFUNCTION("""COMPUTED_VALUE"""),"03713")</f>
        <v>03713</v>
      </c>
      <c r="J2791" s="1076" t="str">
        <f>IFERROR(__xludf.DUMMYFUNCTION("""COMPUTED_VALUE"""),"GDC36580")</f>
        <v>GDC36580</v>
      </c>
      <c r="K2791" s="1076">
        <f>IFERROR(__xludf.DUMMYFUNCTION("""COMPUTED_VALUE"""),14.5)</f>
        <v>14.5</v>
      </c>
      <c r="L2791" s="1076" t="str">
        <f>IFERROR(__xludf.DUMMYFUNCTION("""COMPUTED_VALUE"""),"-")</f>
        <v>-</v>
      </c>
    </row>
    <row r="2792" customHeight="1" spans="1:12">
      <c r="A2792" s="1076" t="str">
        <f>IFERROR(__xludf.DUMMYFUNCTION("""COMPUTED_VALUE"""),"TND-MĐA-047")</f>
        <v>TND-MĐA-047</v>
      </c>
      <c r="B2792" s="1075" t="str">
        <f>IFERROR(__xludf.DUMMYFUNCTION("""COMPUTED_VALUE"""),"Máy đào gàu 1.2m3")</f>
        <v>Máy đào gàu 1.2m3</v>
      </c>
      <c r="C2792" s="1076" t="str">
        <f>IFERROR(__xludf.DUMMYFUNCTION("""COMPUTED_VALUE"""),"CGTC DP")</f>
        <v>CGTC DP</v>
      </c>
      <c r="D2792" s="1076" t="str">
        <f>IFERROR(__xludf.DUMMYFUNCTION("""COMPUTED_VALUE"""),"KOBELKO")</f>
        <v>KOBELKO</v>
      </c>
      <c r="E2792" s="1076"/>
      <c r="F2792" s="1076">
        <f>IFERROR(__xludf.DUMMYFUNCTION("""COMPUTED_VALUE"""),2004)</f>
        <v>2004</v>
      </c>
      <c r="G2792" s="1076" t="str">
        <f>IFERROR(__xludf.DUMMYFUNCTION("""COMPUTED_VALUE"""),"SK210D-8")</f>
        <v>SK210D-8</v>
      </c>
      <c r="H2792" s="1076" t="str">
        <f>IFERROR(__xludf.DUMMYFUNCTION("""COMPUTED_VALUE"""),"153HP")</f>
        <v>153HP</v>
      </c>
      <c r="I2792" s="1076" t="str">
        <f>IFERROR(__xludf.DUMMYFUNCTION("""COMPUTED_VALUE"""),"YN1256779")</f>
        <v>YN1256779</v>
      </c>
      <c r="J2792" s="1076" t="str">
        <f>IFERROR(__xludf.DUMMYFUNCTION("""COMPUTED_VALUE"""),"J05ETA11715")</f>
        <v>J05ETA11715</v>
      </c>
      <c r="K2792" s="1076">
        <f>IFERROR(__xludf.DUMMYFUNCTION("""COMPUTED_VALUE"""),15)</f>
        <v>15</v>
      </c>
      <c r="L2792" s="1076" t="str">
        <f>IFERROR(__xludf.DUMMYFUNCTION("""COMPUTED_VALUE"""),"-")</f>
        <v>-</v>
      </c>
    </row>
    <row r="2793" customHeight="1" spans="1:12">
      <c r="A2793" s="1076" t="str">
        <f>IFERROR(__xludf.DUMMYFUNCTION("""COMPUTED_VALUE"""),"TND-MĐA-048")</f>
        <v>TND-MĐA-048</v>
      </c>
      <c r="B2793" s="1075" t="str">
        <f>IFERROR(__xludf.DUMMYFUNCTION("""COMPUTED_VALUE"""),"Máy đào gàu 1.2m3")</f>
        <v>Máy đào gàu 1.2m3</v>
      </c>
      <c r="C2793" s="1076" t="str">
        <f>IFERROR(__xludf.DUMMYFUNCTION("""COMPUTED_VALUE"""),"CGTC DP")</f>
        <v>CGTC DP</v>
      </c>
      <c r="D2793" s="1076" t="str">
        <f>IFERROR(__xludf.DUMMYFUNCTION("""COMPUTED_VALUE"""),"KOMATSU")</f>
        <v>KOMATSU</v>
      </c>
      <c r="E2793" s="1076"/>
      <c r="F2793" s="1076">
        <f>IFERROR(__xludf.DUMMYFUNCTION("""COMPUTED_VALUE"""),2003)</f>
        <v>2003</v>
      </c>
      <c r="G2793" s="1076" t="str">
        <f>IFERROR(__xludf.DUMMYFUNCTION("""COMPUTED_VALUE"""),"PC220LC")</f>
        <v>PC220LC</v>
      </c>
      <c r="H2793" s="1076" t="str">
        <f>IFERROR(__xludf.DUMMYFUNCTION("""COMPUTED_VALUE"""),"125HP")</f>
        <v>125HP</v>
      </c>
      <c r="I2793" s="1076" t="str">
        <f>IFERROR(__xludf.DUMMYFUNCTION("""COMPUTED_VALUE"""),"DA86178")</f>
        <v>DA86178</v>
      </c>
      <c r="J2793" s="1076" t="str">
        <f>IFERROR(__xludf.DUMMYFUNCTION("""COMPUTED_VALUE"""),"46269885")</f>
        <v>46269885</v>
      </c>
      <c r="K2793" s="1076">
        <f>IFERROR(__xludf.DUMMYFUNCTION("""COMPUTED_VALUE"""),12)</f>
        <v>12</v>
      </c>
      <c r="L2793" s="1076" t="str">
        <f>IFERROR(__xludf.DUMMYFUNCTION("""COMPUTED_VALUE"""),"-")</f>
        <v>-</v>
      </c>
    </row>
    <row r="2794" customHeight="1" spans="1:12">
      <c r="A2794" s="1076" t="str">
        <f>IFERROR(__xludf.DUMMYFUNCTION("""COMPUTED_VALUE"""),"TND-MĐA-046")</f>
        <v>TND-MĐA-046</v>
      </c>
      <c r="B2794" s="1075" t="str">
        <f>IFERROR(__xludf.DUMMYFUNCTION("""COMPUTED_VALUE"""),"Máy đào gàu 1.0m3")</f>
        <v>Máy đào gàu 1.0m3</v>
      </c>
      <c r="C2794" s="1076" t="str">
        <f>IFERROR(__xludf.DUMMYFUNCTION("""COMPUTED_VALUE"""),"CGTC DP")</f>
        <v>CGTC DP</v>
      </c>
      <c r="D2794" s="1076" t="str">
        <f>IFERROR(__xludf.DUMMYFUNCTION("""COMPUTED_VALUE"""),"CAT")</f>
        <v>CAT</v>
      </c>
      <c r="E2794" s="1076"/>
      <c r="F2794" s="1076">
        <f>IFERROR(__xludf.DUMMYFUNCTION("""COMPUTED_VALUE"""),1996)</f>
        <v>1996</v>
      </c>
      <c r="G2794" s="1076" t="str">
        <f>IFERROR(__xludf.DUMMYFUNCTION("""COMPUTED_VALUE"""),"320B")</f>
        <v>320B</v>
      </c>
      <c r="H2794" s="1076" t="str">
        <f>IFERROR(__xludf.DUMMYFUNCTION("""COMPUTED_VALUE"""),"156HP")</f>
        <v>156HP</v>
      </c>
      <c r="I2794" s="1076" t="str">
        <f>IFERROR(__xludf.DUMMYFUNCTION("""COMPUTED_VALUE"""),"3MR00613")</f>
        <v>3MR00613</v>
      </c>
      <c r="J2794" s="1076" t="str">
        <f>IFERROR(__xludf.DUMMYFUNCTION("""COMPUTED_VALUE"""),"7JK22222")</f>
        <v>7JK22222</v>
      </c>
      <c r="K2794" s="1076">
        <f>IFERROR(__xludf.DUMMYFUNCTION("""COMPUTED_VALUE"""),10)</f>
        <v>10</v>
      </c>
      <c r="L2794" s="1076" t="str">
        <f>IFERROR(__xludf.DUMMYFUNCTION("""COMPUTED_VALUE"""),"-")</f>
        <v>-</v>
      </c>
    </row>
    <row r="2795" customHeight="1" spans="1:12">
      <c r="A2795" s="1076" t="str">
        <f>IFERROR(__xludf.DUMMYFUNCTION("""COMPUTED_VALUE"""),"TND-MĐA-049")</f>
        <v>TND-MĐA-049</v>
      </c>
      <c r="B2795" s="1075" t="str">
        <f>IFERROR(__xludf.DUMMYFUNCTION("""COMPUTED_VALUE"""),"Máy đào gàu 1.2m3")</f>
        <v>Máy đào gàu 1.2m3</v>
      </c>
      <c r="C2795" s="1076" t="str">
        <f>IFERROR(__xludf.DUMMYFUNCTION("""COMPUTED_VALUE"""),"CGTC DP")</f>
        <v>CGTC DP</v>
      </c>
      <c r="D2795" s="1076" t="str">
        <f>IFERROR(__xludf.DUMMYFUNCTION("""COMPUTED_VALUE"""),"KOBELCO")</f>
        <v>KOBELCO</v>
      </c>
      <c r="E2795" s="1076"/>
      <c r="F2795" s="1076">
        <f>IFERROR(__xludf.DUMMYFUNCTION("""COMPUTED_VALUE"""),2004)</f>
        <v>2004</v>
      </c>
      <c r="G2795" s="1076" t="str">
        <f>IFERROR(__xludf.DUMMYFUNCTION("""COMPUTED_VALUE"""),"SK250-8")</f>
        <v>SK250-8</v>
      </c>
      <c r="H2795" s="1076" t="str">
        <f>IFERROR(__xludf.DUMMYFUNCTION("""COMPUTED_VALUE"""),"176HP")</f>
        <v>176HP</v>
      </c>
      <c r="I2795" s="1076" t="str">
        <f>IFERROR(__xludf.DUMMYFUNCTION("""COMPUTED_VALUE"""),"LQ13-07991")</f>
        <v>LQ13-07991</v>
      </c>
      <c r="J2795" s="1076" t="str">
        <f>IFERROR(__xludf.DUMMYFUNCTION("""COMPUTED_VALUE"""),"J05ETB13517")</f>
        <v>J05ETB13517</v>
      </c>
      <c r="K2795" s="1076">
        <f>IFERROR(__xludf.DUMMYFUNCTION("""COMPUTED_VALUE"""),14)</f>
        <v>14</v>
      </c>
      <c r="L2795" s="1076" t="str">
        <f>IFERROR(__xludf.DUMMYFUNCTION("""COMPUTED_VALUE"""),"-")</f>
        <v>-</v>
      </c>
    </row>
    <row r="2796" customHeight="1" spans="1:12">
      <c r="A2796" s="1076" t="str">
        <f>IFERROR(__xludf.DUMMYFUNCTION("""COMPUTED_VALUE"""),"TND-MĐA-050")</f>
        <v>TND-MĐA-050</v>
      </c>
      <c r="B2796" s="1075" t="str">
        <f>IFERROR(__xludf.DUMMYFUNCTION("""COMPUTED_VALUE"""),"Máy đào gàu 1.1m3")</f>
        <v>Máy đào gàu 1.1m3</v>
      </c>
      <c r="C2796" s="1076" t="str">
        <f>IFERROR(__xludf.DUMMYFUNCTION("""COMPUTED_VALUE"""),"CGTC DP")</f>
        <v>CGTC DP</v>
      </c>
      <c r="D2796" s="1076" t="str">
        <f>IFERROR(__xludf.DUMMYFUNCTION("""COMPUTED_VALUE"""),"CAT")</f>
        <v>CAT</v>
      </c>
      <c r="E2796" s="1076"/>
      <c r="F2796" s="1076">
        <f>IFERROR(__xludf.DUMMYFUNCTION("""COMPUTED_VALUE"""),2004)</f>
        <v>2004</v>
      </c>
      <c r="G2796" s="1076" t="str">
        <f>IFERROR(__xludf.DUMMYFUNCTION("""COMPUTED_VALUE"""),"CAT 320")</f>
        <v>CAT 320</v>
      </c>
      <c r="H2796" s="1076" t="str">
        <f>IFERROR(__xludf.DUMMYFUNCTION("""COMPUTED_VALUE"""),"140HP")</f>
        <v>140HP</v>
      </c>
      <c r="I2796" s="1076" t="str">
        <f>IFERROR(__xludf.DUMMYFUNCTION("""COMPUTED_VALUE"""),"3XM02855")</f>
        <v>3XM02855</v>
      </c>
      <c r="J2796" s="1076" t="str">
        <f>IFERROR(__xludf.DUMMYFUNCTION("""COMPUTED_VALUE"""),"7JK15411")</f>
        <v>7JK15411</v>
      </c>
      <c r="K2796" s="1076"/>
      <c r="L2796" s="1076" t="str">
        <f>IFERROR(__xludf.DUMMYFUNCTION("""COMPUTED_VALUE"""),"-")</f>
        <v>-</v>
      </c>
    </row>
    <row r="2797" customHeight="1" spans="1:12">
      <c r="A2797" s="1076" t="str">
        <f>IFERROR(__xludf.DUMMYFUNCTION("""COMPUTED_VALUE"""),"TND-MĐA-051")</f>
        <v>TND-MĐA-051</v>
      </c>
      <c r="B2797" s="1075" t="str">
        <f>IFERROR(__xludf.DUMMYFUNCTION("""COMPUTED_VALUE"""),"Máy đào gàu 1.2m3")</f>
        <v>Máy đào gàu 1.2m3</v>
      </c>
      <c r="C2797" s="1076" t="str">
        <f>IFERROR(__xludf.DUMMYFUNCTION("""COMPUTED_VALUE"""),"CGTC DP")</f>
        <v>CGTC DP</v>
      </c>
      <c r="D2797" s="1076" t="str">
        <f>IFERROR(__xludf.DUMMYFUNCTION("""COMPUTED_VALUE"""),"CAT")</f>
        <v>CAT</v>
      </c>
      <c r="E2797" s="1076"/>
      <c r="F2797" s="1076">
        <f>IFERROR(__xludf.DUMMYFUNCTION("""COMPUTED_VALUE"""),1992)</f>
        <v>1992</v>
      </c>
      <c r="G2797" s="1076" t="str">
        <f>IFERROR(__xludf.DUMMYFUNCTION("""COMPUTED_VALUE"""),"CAT 320")</f>
        <v>CAT 320</v>
      </c>
      <c r="H2797" s="1076" t="str">
        <f>IFERROR(__xludf.DUMMYFUNCTION("""COMPUTED_VALUE"""),"140HP")</f>
        <v>140HP</v>
      </c>
      <c r="I2797" s="1076" t="str">
        <f>IFERROR(__xludf.DUMMYFUNCTION("""COMPUTED_VALUE"""),"7GJ01435")</f>
        <v>7GJ01435</v>
      </c>
      <c r="J2797" s="1076" t="str">
        <f>IFERROR(__xludf.DUMMYFUNCTION("""COMPUTED_VALUE"""),"7JK01351")</f>
        <v>7JK01351</v>
      </c>
      <c r="K2797" s="1076">
        <f>IFERROR(__xludf.DUMMYFUNCTION("""COMPUTED_VALUE"""),12.43)</f>
        <v>12.43</v>
      </c>
      <c r="L2797" s="1076" t="str">
        <f>IFERROR(__xludf.DUMMYFUNCTION("""COMPUTED_VALUE"""),"-")</f>
        <v>-</v>
      </c>
    </row>
    <row r="2798" customHeight="1" spans="1:12">
      <c r="A2798" s="1076" t="str">
        <f>IFERROR(__xludf.DUMMYFUNCTION("""COMPUTED_VALUE"""),"TND-MĐA-052")</f>
        <v>TND-MĐA-052</v>
      </c>
      <c r="B2798" s="1075" t="str">
        <f>IFERROR(__xludf.DUMMYFUNCTION("""COMPUTED_VALUE"""),"Máy đào gàu 1.2m3")</f>
        <v>Máy đào gàu 1.2m3</v>
      </c>
      <c r="C2798" s="1076" t="str">
        <f>IFERROR(__xludf.DUMMYFUNCTION("""COMPUTED_VALUE"""),"CGTC DP")</f>
        <v>CGTC DP</v>
      </c>
      <c r="D2798" s="1076" t="str">
        <f>IFERROR(__xludf.DUMMYFUNCTION("""COMPUTED_VALUE"""),"VOLVO")</f>
        <v>VOLVO</v>
      </c>
      <c r="E2798" s="1076"/>
      <c r="F2798" s="1076">
        <f>IFERROR(__xludf.DUMMYFUNCTION("""COMPUTED_VALUE"""),2015)</f>
        <v>2015</v>
      </c>
      <c r="G2798" s="1076" t="str">
        <f>IFERROR(__xludf.DUMMYFUNCTION("""COMPUTED_VALUE"""),"EC210BLC")</f>
        <v>EC210BLC</v>
      </c>
      <c r="H2798" s="1076" t="str">
        <f>IFERROR(__xludf.DUMMYFUNCTION("""COMPUTED_VALUE"""),"147HP")</f>
        <v>147HP</v>
      </c>
      <c r="I2798" s="1076" t="str">
        <f>IFERROR(__xludf.DUMMYFUNCTION("""COMPUTED_VALUE"""),"VCEC210BE00083861")</f>
        <v>VCEC210BE00083861</v>
      </c>
      <c r="J2798" s="1076" t="str">
        <f>IFERROR(__xludf.DUMMYFUNCTION("""COMPUTED_VALUE"""),"11720490")</f>
        <v>11720490</v>
      </c>
      <c r="K2798" s="1076">
        <f>IFERROR(__xludf.DUMMYFUNCTION("""COMPUTED_VALUE"""),14)</f>
        <v>14</v>
      </c>
      <c r="L2798" s="1076" t="str">
        <f>IFERROR(__xludf.DUMMYFUNCTION("""COMPUTED_VALUE"""),"-")</f>
        <v>-</v>
      </c>
    </row>
    <row r="2799" customHeight="1" spans="1:12">
      <c r="A2799" s="1076" t="str">
        <f>IFERROR(__xludf.DUMMYFUNCTION("""COMPUTED_VALUE"""),"TND-MĐA-053")</f>
        <v>TND-MĐA-053</v>
      </c>
      <c r="B2799" s="1075" t="str">
        <f>IFERROR(__xludf.DUMMYFUNCTION("""COMPUTED_VALUE"""),"Máy đào gàu 1.0m3")</f>
        <v>Máy đào gàu 1.0m3</v>
      </c>
      <c r="C2799" s="1076" t="str">
        <f>IFERROR(__xludf.DUMMYFUNCTION("""COMPUTED_VALUE"""),"CGTC DP")</f>
        <v>CGTC DP</v>
      </c>
      <c r="D2799" s="1076" t="str">
        <f>IFERROR(__xludf.DUMMYFUNCTION("""COMPUTED_VALUE"""),"KOBELCO")</f>
        <v>KOBELCO</v>
      </c>
      <c r="E2799" s="1076"/>
      <c r="F2799" s="1076">
        <f>IFERROR(__xludf.DUMMYFUNCTION("""COMPUTED_VALUE"""),2020)</f>
        <v>2020</v>
      </c>
      <c r="G2799" s="1076" t="str">
        <f>IFERROR(__xludf.DUMMYFUNCTION("""COMPUTED_VALUE"""),"SK210LC")</f>
        <v>SK210LC</v>
      </c>
      <c r="H2799" s="1076"/>
      <c r="I2799" s="1076" t="str">
        <f>IFERROR(__xludf.DUMMYFUNCTION("""COMPUTED_VALUE"""),"YQ15405278")</f>
        <v>YQ15405278</v>
      </c>
      <c r="J2799" s="1076" t="str">
        <f>IFERROR(__xludf.DUMMYFUNCTION("""COMPUTED_VALUE"""),"J05ETG44707")</f>
        <v>J05ETG44707</v>
      </c>
      <c r="K2799" s="1076">
        <f>IFERROR(__xludf.DUMMYFUNCTION("""COMPUTED_VALUE"""),15)</f>
        <v>15</v>
      </c>
      <c r="L2799" s="1076" t="str">
        <f>IFERROR(__xludf.DUMMYFUNCTION("""COMPUTED_VALUE"""),"-")</f>
        <v>-</v>
      </c>
    </row>
    <row r="2800" customHeight="1" spans="1:12">
      <c r="A2800" s="1076" t="str">
        <f>IFERROR(__xludf.DUMMYFUNCTION("""COMPUTED_VALUE"""),"TND-MĐA-054")</f>
        <v>TND-MĐA-054</v>
      </c>
      <c r="B2800" s="1075" t="str">
        <f>IFERROR(__xludf.DUMMYFUNCTION("""COMPUTED_VALUE"""),"Máy đào gàu 1.2m3")</f>
        <v>Máy đào gàu 1.2m3</v>
      </c>
      <c r="C2800" s="1076" t="str">
        <f>IFERROR(__xludf.DUMMYFUNCTION("""COMPUTED_VALUE"""),"CGTC DP")</f>
        <v>CGTC DP</v>
      </c>
      <c r="D2800" s="1076" t="str">
        <f>IFERROR(__xludf.DUMMYFUNCTION("""COMPUTED_VALUE"""),"VOLVO")</f>
        <v>VOLVO</v>
      </c>
      <c r="E2800" s="1076"/>
      <c r="F2800" s="1076">
        <f>IFERROR(__xludf.DUMMYFUNCTION("""COMPUTED_VALUE"""),2013)</f>
        <v>2013</v>
      </c>
      <c r="G2800" s="1076" t="str">
        <f>IFERROR(__xludf.DUMMYFUNCTION("""COMPUTED_VALUE"""),"EC210BLC")</f>
        <v>EC210BLC</v>
      </c>
      <c r="H2800" s="1076" t="str">
        <f>IFERROR(__xludf.DUMMYFUNCTION("""COMPUTED_VALUE"""),"148HP")</f>
        <v>148HP</v>
      </c>
      <c r="I2800" s="1076" t="str">
        <f>IFERROR(__xludf.DUMMYFUNCTION("""COMPUTED_VALUE"""),"VCEC210BJ00082216")</f>
        <v>VCEC210BJ00082216</v>
      </c>
      <c r="J2800" s="1076" t="str">
        <f>IFERROR(__xludf.DUMMYFUNCTION("""COMPUTED_VALUE"""),"11511966")</f>
        <v>11511966</v>
      </c>
      <c r="K2800" s="1076">
        <f>IFERROR(__xludf.DUMMYFUNCTION("""COMPUTED_VALUE"""),15)</f>
        <v>15</v>
      </c>
      <c r="L2800" s="1076" t="str">
        <f>IFERROR(__xludf.DUMMYFUNCTION("""COMPUTED_VALUE"""),"-")</f>
        <v>-</v>
      </c>
    </row>
    <row r="2801" customHeight="1" spans="1:12">
      <c r="A2801" s="1076" t="str">
        <f>IFERROR(__xludf.DUMMYFUNCTION("""COMPUTED_VALUE"""),"TND-MĐA-055")</f>
        <v>TND-MĐA-055</v>
      </c>
      <c r="B2801" s="1075" t="str">
        <f>IFERROR(__xludf.DUMMYFUNCTION("""COMPUTED_VALUE"""),"Máy đào gàu 0.4m3")</f>
        <v>Máy đào gàu 0.4m3</v>
      </c>
      <c r="C2801" s="1076" t="str">
        <f>IFERROR(__xludf.DUMMYFUNCTION("""COMPUTED_VALUE"""),"Ban điện nước")</f>
        <v>Ban điện nước</v>
      </c>
      <c r="D2801" s="1076" t="str">
        <f>IFERROR(__xludf.DUMMYFUNCTION("""COMPUTED_VALUE"""),"CAT")</f>
        <v>CAT</v>
      </c>
      <c r="E2801" s="1076"/>
      <c r="F2801" s="1076">
        <f>IFERROR(__xludf.DUMMYFUNCTION("""COMPUTED_VALUE"""),1997)</f>
        <v>1997</v>
      </c>
      <c r="G2801" s="1076" t="str">
        <f>IFERROR(__xludf.DUMMYFUNCTION("""COMPUTED_VALUE"""),"308C")</f>
        <v>308C</v>
      </c>
      <c r="H2801" s="1076" t="str">
        <f>IFERROR(__xludf.DUMMYFUNCTION("""COMPUTED_VALUE"""),"75HP")</f>
        <v>75HP</v>
      </c>
      <c r="I2801" s="1076" t="str">
        <f>IFERROR(__xludf.DUMMYFUNCTION("""COMPUTED_VALUE"""),"CAT0308CTCPE02327")</f>
        <v>CAT0308CTCPE02327</v>
      </c>
      <c r="J2801" s="1076" t="str">
        <f>IFERROR(__xludf.DUMMYFUNCTION("""COMPUTED_VALUE"""),"617473")</f>
        <v>617473</v>
      </c>
      <c r="K2801" s="1076">
        <f>IFERROR(__xludf.DUMMYFUNCTION("""COMPUTED_VALUE"""),5.05)</f>
        <v>5.05</v>
      </c>
      <c r="L2801" s="1076" t="str">
        <f>IFERROR(__xludf.DUMMYFUNCTION("""COMPUTED_VALUE"""),"-")</f>
        <v>-</v>
      </c>
    </row>
    <row r="2802" customHeight="1" spans="1:12">
      <c r="A2802" s="1076" t="str">
        <f>IFERROR(__xludf.DUMMYFUNCTION("""COMPUTED_VALUE"""),"TND-MĐA-056")</f>
        <v>TND-MĐA-056</v>
      </c>
      <c r="B2802" s="1075" t="str">
        <f>IFERROR(__xludf.DUMMYFUNCTION("""COMPUTED_VALUE"""),"Máy đào gàu 0.5m3")</f>
        <v>Máy đào gàu 0.5m3</v>
      </c>
      <c r="C2802" s="1076" t="str">
        <f>IFERROR(__xludf.DUMMYFUNCTION("""COMPUTED_VALUE"""),"CGTC DP")</f>
        <v>CGTC DP</v>
      </c>
      <c r="D2802" s="1076" t="str">
        <f>IFERROR(__xludf.DUMMYFUNCTION("""COMPUTED_VALUE"""),"CAT")</f>
        <v>CAT</v>
      </c>
      <c r="E2802" s="1076"/>
      <c r="F2802" s="1076">
        <f>IFERROR(__xludf.DUMMYFUNCTION("""COMPUTED_VALUE"""),2002)</f>
        <v>2002</v>
      </c>
      <c r="G2802" s="1076" t="str">
        <f>IFERROR(__xludf.DUMMYFUNCTION("""COMPUTED_VALUE"""),"CAT 312")</f>
        <v>CAT 312</v>
      </c>
      <c r="H2802" s="1076" t="str">
        <f>IFERROR(__xludf.DUMMYFUNCTION("""COMPUTED_VALUE"""),"94HP")</f>
        <v>94HP</v>
      </c>
      <c r="I2802" s="1076" t="str">
        <f>IFERROR(__xludf.DUMMYFUNCTION("""COMPUTED_VALUE"""),"6GK00804")</f>
        <v>6GK00804</v>
      </c>
      <c r="J2802" s="1076" t="str">
        <f>IFERROR(__xludf.DUMMYFUNCTION("""COMPUTED_VALUE"""),"6LK05285")</f>
        <v>6LK05285</v>
      </c>
      <c r="K2802" s="1076">
        <f>IFERROR(__xludf.DUMMYFUNCTION("""COMPUTED_VALUE"""),8)</f>
        <v>8</v>
      </c>
      <c r="L2802" s="1076" t="str">
        <f>IFERROR(__xludf.DUMMYFUNCTION("""COMPUTED_VALUE"""),"-")</f>
        <v>-</v>
      </c>
    </row>
    <row r="2803" customHeight="1" spans="1:12">
      <c r="A2803" s="1076" t="str">
        <f>IFERROR(__xludf.DUMMYFUNCTION("""COMPUTED_VALUE"""),"TND-MĐA-057")</f>
        <v>TND-MĐA-057</v>
      </c>
      <c r="B2803" s="1075" t="str">
        <f>IFERROR(__xludf.DUMMYFUNCTION("""COMPUTED_VALUE"""),"Máy đào gàu 0.7m3")</f>
        <v>Máy đào gàu 0.7m3</v>
      </c>
      <c r="C2803" s="1076" t="str">
        <f>IFERROR(__xludf.DUMMYFUNCTION("""COMPUTED_VALUE"""),"Ban điện nước")</f>
        <v>Ban điện nước</v>
      </c>
      <c r="D2803" s="1076" t="str">
        <f>IFERROR(__xludf.DUMMYFUNCTION("""COMPUTED_VALUE"""),"CAT")</f>
        <v>CAT</v>
      </c>
      <c r="E2803" s="1076"/>
      <c r="F2803" s="1076"/>
      <c r="G2803" s="1076" t="str">
        <f>IFERROR(__xludf.DUMMYFUNCTION("""COMPUTED_VALUE"""),"E200B")</f>
        <v>E200B</v>
      </c>
      <c r="H2803" s="1076" t="str">
        <f>IFERROR(__xludf.DUMMYFUNCTION("""COMPUTED_VALUE"""),"118HP")</f>
        <v>118HP</v>
      </c>
      <c r="I2803" s="1076" t="str">
        <f>IFERROR(__xludf.DUMMYFUNCTION("""COMPUTED_VALUE"""),"4SG06570")</f>
        <v>4SG06570</v>
      </c>
      <c r="J2803" s="1076" t="str">
        <f>IFERROR(__xludf.DUMMYFUNCTION("""COMPUTED_VALUE"""),"7934")</f>
        <v>7934</v>
      </c>
      <c r="K2803" s="1076">
        <f>IFERROR(__xludf.DUMMYFUNCTION("""COMPUTED_VALUE"""),13)</f>
        <v>13</v>
      </c>
      <c r="L2803" s="1076" t="str">
        <f>IFERROR(__xludf.DUMMYFUNCTION("""COMPUTED_VALUE"""),"Đang thuê")</f>
        <v>Đang thuê</v>
      </c>
    </row>
    <row r="2804" customHeight="1" spans="1:12">
      <c r="A2804" s="1076" t="str">
        <f>IFERROR(__xludf.DUMMYFUNCTION("""COMPUTED_VALUE"""),"TND-MĐA-058")</f>
        <v>TND-MĐA-058</v>
      </c>
      <c r="B2804" s="1075" t="str">
        <f>IFERROR(__xludf.DUMMYFUNCTION("""COMPUTED_VALUE"""),"Máy đào gàu 0.5m3")</f>
        <v>Máy đào gàu 0.5m3</v>
      </c>
      <c r="C2804" s="1076" t="str">
        <f>IFERROR(__xludf.DUMMYFUNCTION("""COMPUTED_VALUE"""),"CGTC DP")</f>
        <v>CGTC DP</v>
      </c>
      <c r="D2804" s="1076" t="str">
        <f>IFERROR(__xludf.DUMMYFUNCTION("""COMPUTED_VALUE"""),"LIUGONG")</f>
        <v>LIUGONG</v>
      </c>
      <c r="E2804" s="1076"/>
      <c r="F2804" s="1076">
        <f>IFERROR(__xludf.DUMMYFUNCTION("""COMPUTED_VALUE"""),2011)</f>
        <v>2011</v>
      </c>
      <c r="G2804" s="1076" t="str">
        <f>IFERROR(__xludf.DUMMYFUNCTION("""COMPUTED_VALUE"""),"CLG9150")</f>
        <v>CLG9150</v>
      </c>
      <c r="H2804" s="1076" t="str">
        <f>IFERROR(__xludf.DUMMYFUNCTION("""COMPUTED_VALUE"""),"115HP")</f>
        <v>115HP</v>
      </c>
      <c r="I2804" s="1076" t="str">
        <f>IFERROR(__xludf.DUMMYFUNCTION("""COMPUTED_VALUE"""),"WJ1023")</f>
        <v>WJ1023</v>
      </c>
      <c r="J2804" s="1076" t="str">
        <f>IFERROR(__xludf.DUMMYFUNCTION("""COMPUTED_VALUE"""),"26476801")</f>
        <v>26476801</v>
      </c>
      <c r="K2804" s="1076">
        <f>IFERROR(__xludf.DUMMYFUNCTION("""COMPUTED_VALUE"""),9)</f>
        <v>9</v>
      </c>
      <c r="L2804" s="1076" t="str">
        <f>IFERROR(__xludf.DUMMYFUNCTION("""COMPUTED_VALUE"""),"Đang thuê")</f>
        <v>Đang thuê</v>
      </c>
    </row>
    <row r="2805" customHeight="1" spans="1:12">
      <c r="A2805" s="1076" t="str">
        <f>IFERROR(__xludf.DUMMYFUNCTION("""COMPUTED_VALUE"""),"TND-MĐA-059")</f>
        <v>TND-MĐA-059</v>
      </c>
      <c r="B2805" s="1075" t="str">
        <f>IFERROR(__xludf.DUMMYFUNCTION("""COMPUTED_VALUE"""),"Máy đào gàu 0.5m3")</f>
        <v>Máy đào gàu 0.5m3</v>
      </c>
      <c r="C2805" s="1076" t="str">
        <f>IFERROR(__xludf.DUMMYFUNCTION("""COMPUTED_VALUE"""),"Ban điện nước")</f>
        <v>Ban điện nước</v>
      </c>
      <c r="D2805" s="1076" t="str">
        <f>IFERROR(__xludf.DUMMYFUNCTION("""COMPUTED_VALUE"""),"CAT")</f>
        <v>CAT</v>
      </c>
      <c r="E2805" s="1076"/>
      <c r="F2805" s="1076">
        <f>IFERROR(__xludf.DUMMYFUNCTION("""COMPUTED_VALUE"""),1998)</f>
        <v>1998</v>
      </c>
      <c r="G2805" s="1076" t="str">
        <f>IFERROR(__xludf.DUMMYFUNCTION("""COMPUTED_VALUE"""),"312B")</f>
        <v>312B</v>
      </c>
      <c r="H2805" s="1076" t="str">
        <f>IFERROR(__xludf.DUMMYFUNCTION("""COMPUTED_VALUE"""),"90HP")</f>
        <v>90HP</v>
      </c>
      <c r="I2805" s="1076" t="str">
        <f>IFERROR(__xludf.DUMMYFUNCTION("""COMPUTED_VALUE"""),"9HR02924")</f>
        <v>9HR02924</v>
      </c>
      <c r="J2805" s="1076" t="str">
        <f>IFERROR(__xludf.DUMMYFUNCTION("""COMPUTED_VALUE"""),"6LK18226")</f>
        <v>6LK18226</v>
      </c>
      <c r="K2805" s="1076">
        <f>IFERROR(__xludf.DUMMYFUNCTION("""COMPUTED_VALUE"""),9)</f>
        <v>9</v>
      </c>
      <c r="L2805" s="1076" t="str">
        <f>IFERROR(__xludf.DUMMYFUNCTION("""COMPUTED_VALUE"""),"-")</f>
        <v>-</v>
      </c>
    </row>
    <row r="2806" customHeight="1" spans="1:12">
      <c r="A2806" s="1076" t="str">
        <f>IFERROR(__xludf.DUMMYFUNCTION("""COMPUTED_VALUE"""),"TND-MĐA-060")</f>
        <v>TND-MĐA-060</v>
      </c>
      <c r="B2806" s="1075" t="str">
        <f>IFERROR(__xludf.DUMMYFUNCTION("""COMPUTED_VALUE"""),"Máy đào gàu 0.5m3")</f>
        <v>Máy đào gàu 0.5m3</v>
      </c>
      <c r="C2806" s="1076" t="str">
        <f>IFERROR(__xludf.DUMMYFUNCTION("""COMPUTED_VALUE"""),"Ban điện nước")</f>
        <v>Ban điện nước</v>
      </c>
      <c r="D2806" s="1076" t="str">
        <f>IFERROR(__xludf.DUMMYFUNCTION("""COMPUTED_VALUE"""),"CAT")</f>
        <v>CAT</v>
      </c>
      <c r="E2806" s="1076"/>
      <c r="F2806" s="1076">
        <f>IFERROR(__xludf.DUMMYFUNCTION("""COMPUTED_VALUE"""),1987)</f>
        <v>1987</v>
      </c>
      <c r="G2806" s="1076" t="str">
        <f>IFERROR(__xludf.DUMMYFUNCTION("""COMPUTED_VALUE"""),"E120")</f>
        <v>E120</v>
      </c>
      <c r="H2806" s="1076"/>
      <c r="I2806" s="1076" t="str">
        <f>IFERROR(__xludf.DUMMYFUNCTION("""COMPUTED_VALUE"""),"1MF-88488")</f>
        <v>1MF-88488</v>
      </c>
      <c r="J2806" s="1076" t="str">
        <f>IFERROR(__xludf.DUMMYFUNCTION("""COMPUTED_VALUE"""),"NIL")</f>
        <v>NIL</v>
      </c>
      <c r="K2806" s="1076">
        <f>IFERROR(__xludf.DUMMYFUNCTION("""COMPUTED_VALUE"""),9)</f>
        <v>9</v>
      </c>
      <c r="L2806" s="1076" t="str">
        <f>IFERROR(__xludf.DUMMYFUNCTION("""COMPUTED_VALUE"""),"-")</f>
        <v>-</v>
      </c>
    </row>
    <row r="2807" customHeight="1" spans="1:12">
      <c r="A2807" s="1076" t="str">
        <f>IFERROR(__xludf.DUMMYFUNCTION("""COMPUTED_VALUE"""),"TND-MĐA-061")</f>
        <v>TND-MĐA-061</v>
      </c>
      <c r="B2807" s="1075" t="str">
        <f>IFERROR(__xludf.DUMMYFUNCTION("""COMPUTED_VALUE"""),"Máy đào gàu 0.7m3")</f>
        <v>Máy đào gàu 0.7m3</v>
      </c>
      <c r="C2807" s="1076" t="str">
        <f>IFERROR(__xludf.DUMMYFUNCTION("""COMPUTED_VALUE"""),"CGTC DP")</f>
        <v>CGTC DP</v>
      </c>
      <c r="D2807" s="1076" t="str">
        <f>IFERROR(__xludf.DUMMYFUNCTION("""COMPUTED_VALUE"""),"CAT")</f>
        <v>CAT</v>
      </c>
      <c r="E2807" s="1076"/>
      <c r="F2807" s="1076"/>
      <c r="G2807" s="1076" t="str">
        <f>IFERROR(__xludf.DUMMYFUNCTION("""COMPUTED_VALUE"""),"320")</f>
        <v>320</v>
      </c>
      <c r="H2807" s="1076"/>
      <c r="I2807" s="1076" t="str">
        <f>IFERROR(__xludf.DUMMYFUNCTION("""COMPUTED_VALUE"""),"CAT0320CHFBB01657")</f>
        <v>CAT0320CHFBB01657</v>
      </c>
      <c r="J2807" s="1076" t="str">
        <f>IFERROR(__xludf.DUMMYFUNCTION("""COMPUTED_VALUE"""),"MAE13007")</f>
        <v>MAE13007</v>
      </c>
      <c r="K2807" s="1076">
        <f>IFERROR(__xludf.DUMMYFUNCTION("""COMPUTED_VALUE"""),10)</f>
        <v>10</v>
      </c>
      <c r="L2807" s="1076" t="str">
        <f>IFERROR(__xludf.DUMMYFUNCTION("""COMPUTED_VALUE"""),"-")</f>
        <v>-</v>
      </c>
    </row>
    <row r="2808" customHeight="1" spans="1:12">
      <c r="A2808" s="1076" t="str">
        <f>IFERROR(__xludf.DUMMYFUNCTION("""COMPUTED_VALUE"""),"TND-MĐA-063")</f>
        <v>TND-MĐA-063</v>
      </c>
      <c r="B2808" s="1075" t="str">
        <f>IFERROR(__xludf.DUMMYFUNCTION("""COMPUTED_VALUE"""),"Máy đào gàu 0.5m3")</f>
        <v>Máy đào gàu 0.5m3</v>
      </c>
      <c r="C2808" s="1076" t="str">
        <f>IFERROR(__xludf.DUMMYFUNCTION("""COMPUTED_VALUE"""),"CGTC DP")</f>
        <v>CGTC DP</v>
      </c>
      <c r="D2808" s="1076" t="str">
        <f>IFERROR(__xludf.DUMMYFUNCTION("""COMPUTED_VALUE"""),"HITACHI")</f>
        <v>HITACHI</v>
      </c>
      <c r="E2808" s="1076"/>
      <c r="F2808" s="1076">
        <f>IFERROR(__xludf.DUMMYFUNCTION("""COMPUTED_VALUE"""),2007)</f>
        <v>2007</v>
      </c>
      <c r="G2808" s="1076" t="str">
        <f>IFERROR(__xludf.DUMMYFUNCTION("""COMPUTED_VALUE"""),"ZX125US")</f>
        <v>ZX125US</v>
      </c>
      <c r="H2808" s="1076" t="str">
        <f>IFERROR(__xludf.DUMMYFUNCTION("""COMPUTED_VALUE"""),"78HP")</f>
        <v>78HP</v>
      </c>
      <c r="I2808" s="1076" t="str">
        <f>IFERROR(__xludf.DUMMYFUNCTION("""COMPUTED_VALUE"""),"00011848")</f>
        <v>00011848</v>
      </c>
      <c r="J2808" s="1076" t="str">
        <f>IFERROR(__xludf.DUMMYFUNCTION("""COMPUTED_VALUE"""),"1945999")</f>
        <v>1945999</v>
      </c>
      <c r="K2808" s="1076">
        <f>IFERROR(__xludf.DUMMYFUNCTION("""COMPUTED_VALUE"""),10)</f>
        <v>10</v>
      </c>
      <c r="L2808" s="1076" t="str">
        <f>IFERROR(__xludf.DUMMYFUNCTION("""COMPUTED_VALUE"""),"-")</f>
        <v>-</v>
      </c>
    </row>
    <row r="2809" customHeight="1" spans="1:12">
      <c r="A2809" s="1076" t="str">
        <f>IFERROR(__xludf.DUMMYFUNCTION("""COMPUTED_VALUE"""),"TND-MĐA-064")</f>
        <v>TND-MĐA-064</v>
      </c>
      <c r="B2809" s="1075" t="str">
        <f>IFERROR(__xludf.DUMMYFUNCTION("""COMPUTED_VALUE"""),"Máy đào gàu 0.8m3")</f>
        <v>Máy đào gàu 0.8m3</v>
      </c>
      <c r="C2809" s="1076" t="str">
        <f>IFERROR(__xludf.DUMMYFUNCTION("""COMPUTED_VALUE"""),"CGTC DP")</f>
        <v>CGTC DP</v>
      </c>
      <c r="D2809" s="1076" t="str">
        <f>IFERROR(__xludf.DUMMYFUNCTION("""COMPUTED_VALUE"""),"CAT")</f>
        <v>CAT</v>
      </c>
      <c r="E2809" s="1076"/>
      <c r="F2809" s="1076">
        <f>IFERROR(__xludf.DUMMYFUNCTION("""COMPUTED_VALUE"""),1990)</f>
        <v>1990</v>
      </c>
      <c r="G2809" s="1076" t="str">
        <f>IFERROR(__xludf.DUMMYFUNCTION("""COMPUTED_VALUE"""),"320BL")</f>
        <v>320BL</v>
      </c>
      <c r="H2809" s="1076"/>
      <c r="I2809" s="1076" t="str">
        <f>IFERROR(__xludf.DUMMYFUNCTION("""COMPUTED_VALUE"""),"2736")</f>
        <v>2736</v>
      </c>
      <c r="J2809" s="1076" t="str">
        <f>IFERROR(__xludf.DUMMYFUNCTION("""COMPUTED_VALUE"""),"22338")</f>
        <v>22338</v>
      </c>
      <c r="K2809" s="1076">
        <f>IFERROR(__xludf.DUMMYFUNCTION("""COMPUTED_VALUE"""),14)</f>
        <v>14</v>
      </c>
      <c r="L2809" s="1076" t="str">
        <f>IFERROR(__xludf.DUMMYFUNCTION("""COMPUTED_VALUE"""),"-")</f>
        <v>-</v>
      </c>
    </row>
    <row r="2810" customHeight="1" spans="1:12">
      <c r="A2810" s="1076" t="str">
        <f>IFERROR(__xludf.DUMMYFUNCTION("""COMPUTED_VALUE"""),"TND-MĐA-065")</f>
        <v>TND-MĐA-065</v>
      </c>
      <c r="B2810" s="1075" t="str">
        <f>IFERROR(__xludf.DUMMYFUNCTION("""COMPUTED_VALUE"""),"Máy đào gàu 0.8m3")</f>
        <v>Máy đào gàu 0.8m3</v>
      </c>
      <c r="C2810" s="1076" t="str">
        <f>IFERROR(__xludf.DUMMYFUNCTION("""COMPUTED_VALUE"""),"CGTC DP")</f>
        <v>CGTC DP</v>
      </c>
      <c r="D2810" s="1076" t="str">
        <f>IFERROR(__xludf.DUMMYFUNCTION("""COMPUTED_VALUE"""),"CAT")</f>
        <v>CAT</v>
      </c>
      <c r="E2810" s="1076"/>
      <c r="F2810" s="1076">
        <f>IFERROR(__xludf.DUMMYFUNCTION("""COMPUTED_VALUE"""),2005)</f>
        <v>2005</v>
      </c>
      <c r="G2810" s="1076" t="str">
        <f>IFERROR(__xludf.DUMMYFUNCTION("""COMPUTED_VALUE"""),"320CL")</f>
        <v>320CL</v>
      </c>
      <c r="H2810" s="1076" t="str">
        <f>IFERROR(__xludf.DUMMYFUNCTION("""COMPUTED_VALUE"""),"138HP")</f>
        <v>138HP</v>
      </c>
      <c r="I2810" s="1076" t="str">
        <f>IFERROR(__xludf.DUMMYFUNCTION("""COMPUTED_VALUE"""),"b03930")</f>
        <v>b03930</v>
      </c>
      <c r="J2810" s="1076" t="str">
        <f>IFERROR(__xludf.DUMMYFUNCTION("""COMPUTED_VALUE"""),"87947")</f>
        <v>87947</v>
      </c>
      <c r="K2810" s="1076">
        <f>IFERROR(__xludf.DUMMYFUNCTION("""COMPUTED_VALUE"""),14)</f>
        <v>14</v>
      </c>
      <c r="L2810" s="1076" t="str">
        <f>IFERROR(__xludf.DUMMYFUNCTION("""COMPUTED_VALUE"""),"-")</f>
        <v>-</v>
      </c>
    </row>
    <row r="2811" customHeight="1" spans="1:12">
      <c r="A2811" s="1076" t="str">
        <f>IFERROR(__xludf.DUMMYFUNCTION("""COMPUTED_VALUE"""),"TND-MĐA-066")</f>
        <v>TND-MĐA-066</v>
      </c>
      <c r="B2811" s="1075" t="str">
        <f>IFERROR(__xludf.DUMMYFUNCTION("""COMPUTED_VALUE"""),"Máy đào gàu 0.5m3")</f>
        <v>Máy đào gàu 0.5m3</v>
      </c>
      <c r="C2811" s="1076" t="str">
        <f>IFERROR(__xludf.DUMMYFUNCTION("""COMPUTED_VALUE"""),"CGTC DP")</f>
        <v>CGTC DP</v>
      </c>
      <c r="D2811" s="1076" t="str">
        <f>IFERROR(__xludf.DUMMYFUNCTION("""COMPUTED_VALUE"""),"HITACHI")</f>
        <v>HITACHI</v>
      </c>
      <c r="E2811" s="1076"/>
      <c r="F2811" s="1076">
        <f>IFERROR(__xludf.DUMMYFUNCTION("""COMPUTED_VALUE"""),2008)</f>
        <v>2008</v>
      </c>
      <c r="G2811" s="1076" t="str">
        <f>IFERROR(__xludf.DUMMYFUNCTION("""COMPUTED_VALUE"""),"ZX110")</f>
        <v>ZX110</v>
      </c>
      <c r="H2811" s="1076" t="str">
        <f>IFERROR(__xludf.DUMMYFUNCTION("""COMPUTED_VALUE"""),"85")</f>
        <v>85</v>
      </c>
      <c r="I2811" s="1076" t="str">
        <f>IFERROR(__xludf.DUMMYFUNCTION("""COMPUTED_VALUE"""),"00012213")</f>
        <v>00012213</v>
      </c>
      <c r="J2811" s="1076" t="str">
        <f>IFERROR(__xludf.DUMMYFUNCTION("""COMPUTED_VALUE"""),"1958109")</f>
        <v>1958109</v>
      </c>
      <c r="K2811" s="1076">
        <f>IFERROR(__xludf.DUMMYFUNCTION("""COMPUTED_VALUE"""),8.5)</f>
        <v>8.5</v>
      </c>
      <c r="L2811" s="1076" t="str">
        <f>IFERROR(__xludf.DUMMYFUNCTION("""COMPUTED_VALUE"""),"-")</f>
        <v>-</v>
      </c>
    </row>
    <row r="2812" customHeight="1" spans="1:12">
      <c r="A2812" s="1076" t="str">
        <f>IFERROR(__xludf.DUMMYFUNCTION("""COMPUTED_VALUE"""),"TND-MĐA-067")</f>
        <v>TND-MĐA-067</v>
      </c>
      <c r="B2812" s="1075" t="str">
        <f>IFERROR(__xludf.DUMMYFUNCTION("""COMPUTED_VALUE"""),"Máy đào gàu 0.8m3")</f>
        <v>Máy đào gàu 0.8m3</v>
      </c>
      <c r="C2812" s="1076" t="str">
        <f>IFERROR(__xludf.DUMMYFUNCTION("""COMPUTED_VALUE"""),"CGTC DP")</f>
        <v>CGTC DP</v>
      </c>
      <c r="D2812" s="1076" t="str">
        <f>IFERROR(__xludf.DUMMYFUNCTION("""COMPUTED_VALUE"""),"HITACHI")</f>
        <v>HITACHI</v>
      </c>
      <c r="E2812" s="1076"/>
      <c r="F2812" s="1076">
        <f>IFERROR(__xludf.DUMMYFUNCTION("""COMPUTED_VALUE"""),2004)</f>
        <v>2004</v>
      </c>
      <c r="G2812" s="1076" t="str">
        <f>IFERROR(__xludf.DUMMYFUNCTION("""COMPUTED_VALUE"""),"ZX200")</f>
        <v>ZX200</v>
      </c>
      <c r="H2812" s="1076" t="str">
        <f>IFERROR(__xludf.DUMMYFUNCTION("""COMPUTED_VALUE"""),"138HP")</f>
        <v>138HP</v>
      </c>
      <c r="I2812" s="1076" t="str">
        <f>IFERROR(__xludf.DUMMYFUNCTION("""COMPUTED_VALUE"""),"112725")</f>
        <v>112725</v>
      </c>
      <c r="J2812" s="1076" t="str">
        <f>IFERROR(__xludf.DUMMYFUNCTION("""COMPUTED_VALUE"""),"6BG1189026")</f>
        <v>6BG1189026</v>
      </c>
      <c r="K2812" s="1076">
        <f>IFERROR(__xludf.DUMMYFUNCTION("""COMPUTED_VALUE"""),11.5)</f>
        <v>11.5</v>
      </c>
      <c r="L2812" s="1076" t="str">
        <f>IFERROR(__xludf.DUMMYFUNCTION("""COMPUTED_VALUE"""),"Đang thuê")</f>
        <v>Đang thuê</v>
      </c>
    </row>
    <row r="2813" customHeight="1" spans="1:12">
      <c r="A2813" s="1076" t="str">
        <f>IFERROR(__xludf.DUMMYFUNCTION("""COMPUTED_VALUE"""),"TND-MĐA-068")</f>
        <v>TND-MĐA-068</v>
      </c>
      <c r="B2813" s="1075" t="str">
        <f>IFERROR(__xludf.DUMMYFUNCTION("""COMPUTED_VALUE"""),"Máy đào gàu 0.5m3")</f>
        <v>Máy đào gàu 0.5m3</v>
      </c>
      <c r="C2813" s="1076" t="str">
        <f>IFERROR(__xludf.DUMMYFUNCTION("""COMPUTED_VALUE"""),"CGTC DP")</f>
        <v>CGTC DP</v>
      </c>
      <c r="D2813" s="1076" t="str">
        <f>IFERROR(__xludf.DUMMYFUNCTION("""COMPUTED_VALUE"""),"LIUGONG")</f>
        <v>LIUGONG</v>
      </c>
      <c r="E2813" s="1076" t="str">
        <f>IFERROR(__xludf.DUMMYFUNCTION("""COMPUTED_VALUE"""),"TRUNG QUỐC")</f>
        <v>TRUNG QUỐC</v>
      </c>
      <c r="F2813" s="1076">
        <f>IFERROR(__xludf.DUMMYFUNCTION("""COMPUTED_VALUE"""),2011)</f>
        <v>2011</v>
      </c>
      <c r="G2813" s="1076" t="str">
        <f>IFERROR(__xludf.DUMMYFUNCTION("""COMPUTED_VALUE"""),"CLG915D")</f>
        <v>CLG915D</v>
      </c>
      <c r="H2813" s="1076" t="str">
        <f>IFERROR(__xludf.DUMMYFUNCTION("""COMPUTED_VALUE"""),"115HP")</f>
        <v>115HP</v>
      </c>
      <c r="I2813" s="1076" t="str">
        <f>IFERROR(__xludf.DUMMYFUNCTION("""COMPUTED_VALUE"""),"CLG0915DHBE025622")</f>
        <v>CLG0915DHBE025622</v>
      </c>
      <c r="J2813" s="1076" t="str">
        <f>IFERROR(__xludf.DUMMYFUNCTION("""COMPUTED_VALUE"""),"26474718")</f>
        <v>26474718</v>
      </c>
      <c r="K2813" s="1076">
        <f>IFERROR(__xludf.DUMMYFUNCTION("""COMPUTED_VALUE"""),9)</f>
        <v>9</v>
      </c>
      <c r="L2813" s="1076" t="str">
        <f>IFERROR(__xludf.DUMMYFUNCTION("""COMPUTED_VALUE"""),"-")</f>
        <v>-</v>
      </c>
    </row>
    <row r="2814" customHeight="1" spans="1:12">
      <c r="A2814" s="1076" t="str">
        <f>IFERROR(__xludf.DUMMYFUNCTION("""COMPUTED_VALUE"""),"TND-MĐA-069")</f>
        <v>TND-MĐA-069</v>
      </c>
      <c r="B2814" s="1075" t="str">
        <f>IFERROR(__xludf.DUMMYFUNCTION("""COMPUTED_VALUE"""),"Máy đào gàu 0.9m3")</f>
        <v>Máy đào gàu 0.9m3</v>
      </c>
      <c r="C2814" s="1076" t="str">
        <f>IFERROR(__xludf.DUMMYFUNCTION("""COMPUTED_VALUE"""),"CGTC DP")</f>
        <v>CGTC DP</v>
      </c>
      <c r="D2814" s="1076" t="str">
        <f>IFERROR(__xludf.DUMMYFUNCTION("""COMPUTED_VALUE"""),"HYUNDAI")</f>
        <v>HYUNDAI</v>
      </c>
      <c r="E2814" s="1076"/>
      <c r="F2814" s="1076">
        <f>IFERROR(__xludf.DUMMYFUNCTION("""COMPUTED_VALUE"""),2022)</f>
        <v>2022</v>
      </c>
      <c r="G2814" s="1076" t="str">
        <f>IFERROR(__xludf.DUMMYFUNCTION("""COMPUTED_VALUE"""),"HX225S")</f>
        <v>HX225S</v>
      </c>
      <c r="H2814" s="1076" t="str">
        <f>IFERROR(__xludf.DUMMYFUNCTION("""COMPUTED_VALUE"""),"148HP")</f>
        <v>148HP</v>
      </c>
      <c r="I2814" s="1076" t="str">
        <f>IFERROR(__xludf.DUMMYFUNCTION("""COMPUTED_VALUE"""),"HHKHK605VE0001605")</f>
        <v>HHKHK605VE0001605</v>
      </c>
      <c r="J2814" s="1076" t="str">
        <f>IFERROR(__xludf.DUMMYFUNCTION("""COMPUTED_VALUE"""),"22517070")</f>
        <v>22517070</v>
      </c>
      <c r="K2814" s="1076">
        <f>IFERROR(__xludf.DUMMYFUNCTION("""COMPUTED_VALUE"""),12)</f>
        <v>12</v>
      </c>
      <c r="L2814" s="1076" t="str">
        <f>IFERROR(__xludf.DUMMYFUNCTION("""COMPUTED_VALUE"""),"-")</f>
        <v>-</v>
      </c>
    </row>
    <row r="2815" customHeight="1" spans="1:12">
      <c r="A2815" s="1076" t="str">
        <f>IFERROR(__xludf.DUMMYFUNCTION("""COMPUTED_VALUE"""),"TND-MĐA-070")</f>
        <v>TND-MĐA-070</v>
      </c>
      <c r="B2815" s="1075" t="str">
        <f>IFERROR(__xludf.DUMMYFUNCTION("""COMPUTED_VALUE"""),"Máy đào gàu 0.9m3")</f>
        <v>Máy đào gàu 0.9m3</v>
      </c>
      <c r="C2815" s="1076" t="str">
        <f>IFERROR(__xludf.DUMMYFUNCTION("""COMPUTED_VALUE"""),"CGTC DP")</f>
        <v>CGTC DP</v>
      </c>
      <c r="D2815" s="1076" t="str">
        <f>IFERROR(__xludf.DUMMYFUNCTION("""COMPUTED_VALUE"""),"MATADOR")</f>
        <v>MATADOR</v>
      </c>
      <c r="E2815" s="1076"/>
      <c r="F2815" s="1076">
        <f>IFERROR(__xludf.DUMMYFUNCTION("""COMPUTED_VALUE"""),2019)</f>
        <v>2019</v>
      </c>
      <c r="G2815" s="1076"/>
      <c r="H2815" s="1076" t="str">
        <f>IFERROR(__xludf.DUMMYFUNCTION("""COMPUTED_VALUE"""),"156HP")</f>
        <v>156HP</v>
      </c>
      <c r="I2815" s="1076" t="str">
        <f>IFERROR(__xludf.DUMMYFUNCTION("""COMPUTED_VALUE"""),"86SE21EWNK0000579")</f>
        <v>86SE21EWNK0000579</v>
      </c>
      <c r="J2815" s="1076" t="str">
        <f>IFERROR(__xludf.DUMMYFUNCTION("""COMPUTED_VALUE"""),"1019B004629")</f>
        <v>1019B004629</v>
      </c>
      <c r="K2815" s="1076">
        <f>IFERROR(__xludf.DUMMYFUNCTION("""COMPUTED_VALUE"""),13.5)</f>
        <v>13.5</v>
      </c>
      <c r="L2815" s="1076" t="str">
        <f>IFERROR(__xludf.DUMMYFUNCTION("""COMPUTED_VALUE"""),"-")</f>
        <v>-</v>
      </c>
    </row>
    <row r="2816" customHeight="1" spans="1:12">
      <c r="A2816" s="1076" t="str">
        <f>IFERROR(__xludf.DUMMYFUNCTION("""COMPUTED_VALUE"""),"TND-MĐA-071")</f>
        <v>TND-MĐA-071</v>
      </c>
      <c r="B2816" s="1075" t="str">
        <f>IFERROR(__xludf.DUMMYFUNCTION("""COMPUTED_VALUE"""),"Máy đào gàu 0.7m3")</f>
        <v>Máy đào gàu 0.7m3</v>
      </c>
      <c r="C2816" s="1076" t="str">
        <f>IFERROR(__xludf.DUMMYFUNCTION("""COMPUTED_VALUE"""),"CGTC DP")</f>
        <v>CGTC DP</v>
      </c>
      <c r="D2816" s="1076" t="str">
        <f>IFERROR(__xludf.DUMMYFUNCTION("""COMPUTED_VALUE"""),"CAT")</f>
        <v>CAT</v>
      </c>
      <c r="E2816" s="1076"/>
      <c r="F2816" s="1076">
        <f>IFERROR(__xludf.DUMMYFUNCTION("""COMPUTED_VALUE"""),2017)</f>
        <v>2017</v>
      </c>
      <c r="G2816" s="1076" t="str">
        <f>IFERROR(__xludf.DUMMYFUNCTION("""COMPUTED_VALUE"""),"320D2")</f>
        <v>320D2</v>
      </c>
      <c r="H2816" s="1076" t="str">
        <f>IFERROR(__xludf.DUMMYFUNCTION("""COMPUTED_VALUE"""),"142HP")</f>
        <v>142HP</v>
      </c>
      <c r="I2816" s="1076" t="str">
        <f>IFERROR(__xludf.DUMMYFUNCTION("""COMPUTED_VALUE"""),"110008")</f>
        <v>110008</v>
      </c>
      <c r="J2816" s="1076" t="str">
        <f>IFERROR(__xludf.DUMMYFUNCTION("""COMPUTED_VALUE"""),"2w203755")</f>
        <v>2w203755</v>
      </c>
      <c r="K2816" s="1076">
        <f>IFERROR(__xludf.DUMMYFUNCTION("""COMPUTED_VALUE"""),12)</f>
        <v>12</v>
      </c>
      <c r="L2816" s="1076" t="str">
        <f>IFERROR(__xludf.DUMMYFUNCTION("""COMPUTED_VALUE"""),"-")</f>
        <v>-</v>
      </c>
    </row>
    <row r="2817" customHeight="1" spans="1:12">
      <c r="A2817" s="1076" t="str">
        <f>IFERROR(__xludf.DUMMYFUNCTION("""COMPUTED_VALUE"""),"TND-MĐA-072")</f>
        <v>TND-MĐA-072</v>
      </c>
      <c r="B2817" s="1075" t="str">
        <f>IFERROR(__xludf.DUMMYFUNCTION("""COMPUTED_VALUE"""),"Máy đào gàu 0.8m3")</f>
        <v>Máy đào gàu 0.8m3</v>
      </c>
      <c r="C2817" s="1076" t="str">
        <f>IFERROR(__xludf.DUMMYFUNCTION("""COMPUTED_VALUE"""),"CGTC DP")</f>
        <v>CGTC DP</v>
      </c>
      <c r="D2817" s="1076" t="str">
        <f>IFERROR(__xludf.DUMMYFUNCTION("""COMPUTED_VALUE"""),"CAT")</f>
        <v>CAT</v>
      </c>
      <c r="E2817" s="1076"/>
      <c r="F2817" s="1076">
        <f>IFERROR(__xludf.DUMMYFUNCTION("""COMPUTED_VALUE"""),2021)</f>
        <v>2021</v>
      </c>
      <c r="G2817" s="1076" t="str">
        <f>IFERROR(__xludf.DUMMYFUNCTION("""COMPUTED_VALUE"""),"320GX")</f>
        <v>320GX</v>
      </c>
      <c r="H2817" s="1076" t="str">
        <f>IFERROR(__xludf.DUMMYFUNCTION("""COMPUTED_VALUE"""),"145HP")</f>
        <v>145HP</v>
      </c>
      <c r="I2817" s="1076" t="str">
        <f>IFERROR(__xludf.DUMMYFUNCTION("""COMPUTED_VALUE"""),"W00888")</f>
        <v>W00888</v>
      </c>
      <c r="J2817" s="1076" t="str">
        <f>IFERROR(__xludf.DUMMYFUNCTION("""COMPUTED_VALUE"""),"2W230809")</f>
        <v>2W230809</v>
      </c>
      <c r="K2817" s="1076">
        <f>IFERROR(__xludf.DUMMYFUNCTION("""COMPUTED_VALUE"""),13)</f>
        <v>13</v>
      </c>
      <c r="L2817" s="1076" t="str">
        <f>IFERROR(__xludf.DUMMYFUNCTION("""COMPUTED_VALUE"""),"-")</f>
        <v>-</v>
      </c>
    </row>
    <row r="2818" customHeight="1" spans="1:12">
      <c r="A2818" s="1076" t="str">
        <f>IFERROR(__xludf.DUMMYFUNCTION("""COMPUTED_VALUE"""),"TND-MĐA-073")</f>
        <v>TND-MĐA-073</v>
      </c>
      <c r="B2818" s="1075" t="str">
        <f>IFERROR(__xludf.DUMMYFUNCTION("""COMPUTED_VALUE"""),"Máy đào gàu 0.9m3")</f>
        <v>Máy đào gàu 0.9m3</v>
      </c>
      <c r="C2818" s="1076" t="str">
        <f>IFERROR(__xludf.DUMMYFUNCTION("""COMPUTED_VALUE"""),"CGTC DP")</f>
        <v>CGTC DP</v>
      </c>
      <c r="D2818" s="1076" t="str">
        <f>IFERROR(__xludf.DUMMYFUNCTION("""COMPUTED_VALUE"""),"MATADOR")</f>
        <v>MATADOR</v>
      </c>
      <c r="E2818" s="1076"/>
      <c r="F2818" s="1076">
        <f>IFERROR(__xludf.DUMMYFUNCTION("""COMPUTED_VALUE"""),2019)</f>
        <v>2019</v>
      </c>
      <c r="G2818" s="1076" t="str">
        <f>IFERROR(__xludf.DUMMYFUNCTION("""COMPUTED_VALUE"""),"ME210LC")</f>
        <v>ME210LC</v>
      </c>
      <c r="H2818" s="1076" t="str">
        <f>IFERROR(__xludf.DUMMYFUNCTION("""COMPUTED_VALUE"""),"156HP")</f>
        <v>156HP</v>
      </c>
      <c r="I2818" s="1076" t="str">
        <f>IFERROR(__xludf.DUMMYFUNCTION("""COMPUTED_VALUE"""),"K0000579")</f>
        <v>K0000579</v>
      </c>
      <c r="J2818" s="1076" t="str">
        <f>IFERROR(__xludf.DUMMYFUNCTION("""COMPUTED_VALUE"""),"1019B004629")</f>
        <v>1019B004629</v>
      </c>
      <c r="K2818" s="1076">
        <f>IFERROR(__xludf.DUMMYFUNCTION("""COMPUTED_VALUE"""),13.5)</f>
        <v>13.5</v>
      </c>
      <c r="L2818" s="1076" t="str">
        <f>IFERROR(__xludf.DUMMYFUNCTION("""COMPUTED_VALUE"""),"-")</f>
        <v>-</v>
      </c>
    </row>
    <row r="2819" customHeight="1" spans="1:12">
      <c r="A2819" s="1076" t="str">
        <f>IFERROR(__xludf.DUMMYFUNCTION("""COMPUTED_VALUE"""),"TND-MĐA-074")</f>
        <v>TND-MĐA-074</v>
      </c>
      <c r="B2819" s="1075" t="str">
        <f>IFERROR(__xludf.DUMMYFUNCTION("""COMPUTED_VALUE"""),"Máy đào gàu 1.0m3")</f>
        <v>Máy đào gàu 1.0m3</v>
      </c>
      <c r="C2819" s="1076" t="str">
        <f>IFERROR(__xludf.DUMMYFUNCTION("""COMPUTED_VALUE"""),"CGTC DP")</f>
        <v>CGTC DP</v>
      </c>
      <c r="D2819" s="1076" t="str">
        <f>IFERROR(__xludf.DUMMYFUNCTION("""COMPUTED_VALUE"""),"CAT")</f>
        <v>CAT</v>
      </c>
      <c r="E2819" s="1076"/>
      <c r="F2819" s="1076">
        <f>IFERROR(__xludf.DUMMYFUNCTION("""COMPUTED_VALUE"""),2000)</f>
        <v>2000</v>
      </c>
      <c r="G2819" s="1076" t="str">
        <f>IFERROR(__xludf.DUMMYFUNCTION("""COMPUTED_VALUE"""),"320C")</f>
        <v>320C</v>
      </c>
      <c r="H2819" s="1076" t="str">
        <f>IFERROR(__xludf.DUMMYFUNCTION("""COMPUTED_VALUE"""),"147HP")</f>
        <v>147HP</v>
      </c>
      <c r="I2819" s="1076" t="str">
        <f>IFERROR(__xludf.DUMMYFUNCTION("""COMPUTED_VALUE"""),"AKH00170")</f>
        <v>AKH00170</v>
      </c>
      <c r="J2819" s="1076" t="str">
        <f>IFERROR(__xludf.DUMMYFUNCTION("""COMPUTED_VALUE"""),"NIL")</f>
        <v>NIL</v>
      </c>
      <c r="K2819" s="1076">
        <f>IFERROR(__xludf.DUMMYFUNCTION("""COMPUTED_VALUE"""),14)</f>
        <v>14</v>
      </c>
      <c r="L2819" s="1076" t="str">
        <f>IFERROR(__xludf.DUMMYFUNCTION("""COMPUTED_VALUE"""),"Đang thuê")</f>
        <v>Đang thuê</v>
      </c>
    </row>
    <row r="2820" customHeight="1" spans="1:12">
      <c r="A2820" s="1076" t="str">
        <f>IFERROR(__xludf.DUMMYFUNCTION("""COMPUTED_VALUE"""),"TND-MĐA-075")</f>
        <v>TND-MĐA-075</v>
      </c>
      <c r="B2820" s="1075" t="str">
        <f>IFERROR(__xludf.DUMMYFUNCTION("""COMPUTED_VALUE"""),"Máy đào gàu 1.0m3")</f>
        <v>Máy đào gàu 1.0m3</v>
      </c>
      <c r="C2820" s="1076" t="str">
        <f>IFERROR(__xludf.DUMMYFUNCTION("""COMPUTED_VALUE"""),"CGTC DP")</f>
        <v>CGTC DP</v>
      </c>
      <c r="D2820" s="1076" t="str">
        <f>IFERROR(__xludf.DUMMYFUNCTION("""COMPUTED_VALUE"""),"JCB")</f>
        <v>JCB</v>
      </c>
      <c r="E2820" s="1076"/>
      <c r="F2820" s="1076">
        <f>IFERROR(__xludf.DUMMYFUNCTION("""COMPUTED_VALUE"""),2024)</f>
        <v>2024</v>
      </c>
      <c r="G2820" s="1076" t="str">
        <f>IFERROR(__xludf.DUMMYFUNCTION("""COMPUTED_VALUE"""),"215CL-NXT")</f>
        <v>215CL-NXT</v>
      </c>
      <c r="H2820" s="1076" t="str">
        <f>IFERROR(__xludf.DUMMYFUNCTION("""COMPUTED_VALUE"""),"140HP")</f>
        <v>140HP</v>
      </c>
      <c r="I2820" s="1076" t="str">
        <f>IFERROR(__xludf.DUMMYFUNCTION("""COMPUTED_VALUE"""),"TK3373365")</f>
        <v>TK3373365</v>
      </c>
      <c r="J2820" s="1076" t="str">
        <f>IFERROR(__xludf.DUMMYFUNCTION("""COMPUTED_VALUE"""),"9543469")</f>
        <v>9543469</v>
      </c>
      <c r="K2820" s="1076">
        <f>IFERROR(__xludf.DUMMYFUNCTION("""COMPUTED_VALUE"""),15)</f>
        <v>15</v>
      </c>
      <c r="L2820" s="1076" t="str">
        <f>IFERROR(__xludf.DUMMYFUNCTION("""COMPUTED_VALUE"""),"-")</f>
        <v>-</v>
      </c>
    </row>
    <row r="2821" customHeight="1" spans="1:12">
      <c r="A2821" s="1076" t="str">
        <f>IFERROR(__xludf.DUMMYFUNCTION("""COMPUTED_VALUE"""),"TND-MĐA-076")</f>
        <v>TND-MĐA-076</v>
      </c>
      <c r="B2821" s="1075" t="str">
        <f>IFERROR(__xludf.DUMMYFUNCTION("""COMPUTED_VALUE"""),"Máy đào gàu 1.0m3")</f>
        <v>Máy đào gàu 1.0m3</v>
      </c>
      <c r="C2821" s="1076" t="str">
        <f>IFERROR(__xludf.DUMMYFUNCTION("""COMPUTED_VALUE"""),"CGTC DP")</f>
        <v>CGTC DP</v>
      </c>
      <c r="D2821" s="1076" t="str">
        <f>IFERROR(__xludf.DUMMYFUNCTION("""COMPUTED_VALUE"""),"DEVELON")</f>
        <v>DEVELON</v>
      </c>
      <c r="E2821" s="1076"/>
      <c r="F2821" s="1076">
        <f>IFERROR(__xludf.DUMMYFUNCTION("""COMPUTED_VALUE"""),2025)</f>
        <v>2025</v>
      </c>
      <c r="G2821" s="1076" t="str">
        <f>IFERROR(__xludf.DUMMYFUNCTION("""COMPUTED_VALUE"""),"DX220LC")</f>
        <v>DX220LC</v>
      </c>
      <c r="H2821" s="1076" t="str">
        <f>IFERROR(__xludf.DUMMYFUNCTION("""COMPUTED_VALUE"""),"154HP")</f>
        <v>154HP</v>
      </c>
      <c r="I2821" s="1076" t="str">
        <f>IFERROR(__xludf.DUMMYFUNCTION("""COMPUTED_VALUE"""),"S0030341")</f>
        <v>S0030341</v>
      </c>
      <c r="J2821" s="1076" t="str">
        <f>IFERROR(__xludf.DUMMYFUNCTION("""COMPUTED_VALUE"""),"791E05")</f>
        <v>791E05</v>
      </c>
      <c r="K2821" s="1076">
        <f>IFERROR(__xludf.DUMMYFUNCTION("""COMPUTED_VALUE"""),15)</f>
        <v>15</v>
      </c>
      <c r="L2821" s="1076" t="str">
        <f>IFERROR(__xludf.DUMMYFUNCTION("""COMPUTED_VALUE"""),"-")</f>
        <v>-</v>
      </c>
    </row>
    <row r="2822" customHeight="1" spans="1:12">
      <c r="A2822" s="1076" t="str">
        <f>IFERROR(__xludf.DUMMYFUNCTION("""COMPUTED_VALUE"""),"TND-MĐA-077")</f>
        <v>TND-MĐA-077</v>
      </c>
      <c r="B2822" s="1075" t="str">
        <f>IFERROR(__xludf.DUMMYFUNCTION("""COMPUTED_VALUE"""),"Máy đào gàu 0.7m3")</f>
        <v>Máy đào gàu 0.7m3</v>
      </c>
      <c r="C2822" s="1076" t="str">
        <f>IFERROR(__xludf.DUMMYFUNCTION("""COMPUTED_VALUE"""),"CGTC DP")</f>
        <v>CGTC DP</v>
      </c>
      <c r="D2822" s="1076" t="str">
        <f>IFERROR(__xludf.DUMMYFUNCTION("""COMPUTED_VALUE"""),"CAT")</f>
        <v>CAT</v>
      </c>
      <c r="E2822" s="1076"/>
      <c r="F2822" s="1076">
        <f>IFERROR(__xludf.DUMMYFUNCTION("""COMPUTED_VALUE"""),2021)</f>
        <v>2021</v>
      </c>
      <c r="G2822" s="1076" t="str">
        <f>IFERROR(__xludf.DUMMYFUNCTION("""COMPUTED_VALUE"""),"320GX")</f>
        <v>320GX</v>
      </c>
      <c r="H2822" s="1076" t="str">
        <f>IFERROR(__xludf.DUMMYFUNCTION("""COMPUTED_VALUE"""),"145HP")</f>
        <v>145HP</v>
      </c>
      <c r="I2822" s="1076" t="str">
        <f>IFERROR(__xludf.DUMMYFUNCTION("""COMPUTED_VALUE"""),"W00888")</f>
        <v>W00888</v>
      </c>
      <c r="J2822" s="1076" t="str">
        <f>IFERROR(__xludf.DUMMYFUNCTION("""COMPUTED_VALUE"""),"2W230809")</f>
        <v>2W230809</v>
      </c>
      <c r="K2822" s="1076">
        <f>IFERROR(__xludf.DUMMYFUNCTION("""COMPUTED_VALUE"""),13)</f>
        <v>13</v>
      </c>
      <c r="L2822" s="1076" t="str">
        <f>IFERROR(__xludf.DUMMYFUNCTION("""COMPUTED_VALUE"""),"-")</f>
        <v>-</v>
      </c>
    </row>
    <row r="2823" customHeight="1" spans="1:12">
      <c r="A2823" s="177" t="str">
        <f>IFERROR(__xludf.DUMMYFUNCTION("""COMPUTED_VALUE"""),"TND-MĐA-078")</f>
        <v>TND-MĐA-078</v>
      </c>
      <c r="B2823" s="1090" t="str">
        <f>IFERROR(__xludf.DUMMYFUNCTION("""COMPUTED_VALUE"""),"Máy đào gàu 0.7m3")</f>
        <v>Máy đào gàu 0.7m3</v>
      </c>
      <c r="C2823" s="177" t="str">
        <f>IFERROR(__xludf.DUMMYFUNCTION("""COMPUTED_VALUE"""),"CGTC DP")</f>
        <v>CGTC DP</v>
      </c>
      <c r="D2823" s="177" t="str">
        <f>IFERROR(__xludf.DUMMYFUNCTION("""COMPUTED_VALUE"""),"CAT")</f>
        <v>CAT</v>
      </c>
      <c r="E2823" s="177"/>
      <c r="F2823" s="177"/>
      <c r="G2823" s="177" t="str">
        <f>IFERROR(__xludf.DUMMYFUNCTION("""COMPUTED_VALUE"""),"320B")</f>
        <v>320B</v>
      </c>
      <c r="H2823" s="177" t="str">
        <f>IFERROR(__xludf.DUMMYFUNCTION("""COMPUTED_VALUE"""),"128HP")</f>
        <v>128HP</v>
      </c>
      <c r="I2823" s="177" t="str">
        <f>IFERROR(__xludf.DUMMYFUNCTION("""COMPUTED_VALUE"""),"3XM00242")</f>
        <v>3XM00242</v>
      </c>
      <c r="J2823" s="177" t="str">
        <f>IFERROR(__xludf.DUMMYFUNCTION("""COMPUTED_VALUE"""),"7JK08345")</f>
        <v>7JK08345</v>
      </c>
      <c r="K2823" s="177">
        <f>IFERROR(__xludf.DUMMYFUNCTION("""COMPUTED_VALUE"""),11)</f>
        <v>11</v>
      </c>
      <c r="L2823" s="177" t="str">
        <f>IFERROR(__xludf.DUMMYFUNCTION("""COMPUTED_VALUE"""),"-")</f>
        <v>-</v>
      </c>
    </row>
    <row r="2824" customHeight="1" spans="1:12">
      <c r="A2824" s="177" t="str">
        <f>IFERROR(__xludf.DUMMYFUNCTION("""COMPUTED_VALUE"""),"TND-MĐA-079")</f>
        <v>TND-MĐA-079</v>
      </c>
      <c r="B2824" s="1090" t="str">
        <f>IFERROR(__xludf.DUMMYFUNCTION("""COMPUTED_VALUE"""),"Máy đào gàu 1.0m3")</f>
        <v>Máy đào gàu 1.0m3</v>
      </c>
      <c r="C2824" s="177" t="str">
        <f>IFERROR(__xludf.DUMMYFUNCTION("""COMPUTED_VALUE"""),"CGTC DP")</f>
        <v>CGTC DP</v>
      </c>
      <c r="D2824" s="177" t="str">
        <f>IFERROR(__xludf.DUMMYFUNCTION("""COMPUTED_VALUE"""),"VOLVO")</f>
        <v>VOLVO</v>
      </c>
      <c r="E2824" s="177"/>
      <c r="F2824" s="177">
        <f>IFERROR(__xludf.DUMMYFUNCTION("""COMPUTED_VALUE"""),2014)</f>
        <v>2014</v>
      </c>
      <c r="G2824" s="177" t="str">
        <f>IFERROR(__xludf.DUMMYFUNCTION("""COMPUTED_VALUE"""),"EC210BLC")</f>
        <v>EC210BLC</v>
      </c>
      <c r="H2824" s="177" t="str">
        <f>IFERROR(__xludf.DUMMYFUNCTION("""COMPUTED_VALUE"""),"143HP")</f>
        <v>143HP</v>
      </c>
      <c r="I2824" s="177" t="str">
        <f>IFERROR(__xludf.DUMMYFUNCTION("""COMPUTED_VALUE"""),"VCEC210BJ00082216")</f>
        <v>VCEC210BJ00082216</v>
      </c>
      <c r="J2824" s="177" t="str">
        <f>IFERROR(__xludf.DUMMYFUNCTION("""COMPUTED_VALUE"""),"11511966")</f>
        <v>11511966</v>
      </c>
      <c r="K2824" s="177">
        <f>IFERROR(__xludf.DUMMYFUNCTION("""COMPUTED_VALUE"""),12.5)</f>
        <v>12.5</v>
      </c>
      <c r="L2824" s="177" t="str">
        <f>IFERROR(__xludf.DUMMYFUNCTION("""COMPUTED_VALUE"""),"Đang thuê")</f>
        <v>Đang thuê</v>
      </c>
    </row>
    <row r="2825" customHeight="1" spans="1:12">
      <c r="A2825" s="177" t="str">
        <f>IFERROR(__xludf.DUMMYFUNCTION("""COMPUTED_VALUE"""),"TND-MĐA-080")</f>
        <v>TND-MĐA-080</v>
      </c>
      <c r="B2825" s="1090" t="str">
        <f>IFERROR(__xludf.DUMMYFUNCTION("""COMPUTED_VALUE"""),"Máy đào gàu 0.8m3")</f>
        <v>Máy đào gàu 0.8m3</v>
      </c>
      <c r="C2825" s="177" t="str">
        <f>IFERROR(__xludf.DUMMYFUNCTION("""COMPUTED_VALUE"""),"CGTC DP")</f>
        <v>CGTC DP</v>
      </c>
      <c r="D2825" s="177" t="str">
        <f>IFERROR(__xludf.DUMMYFUNCTION("""COMPUTED_VALUE"""),"LIUGONG")</f>
        <v>LIUGONG</v>
      </c>
      <c r="E2825" s="177"/>
      <c r="F2825" s="177">
        <f>IFERROR(__xludf.DUMMYFUNCTION("""COMPUTED_VALUE"""),2011)</f>
        <v>2011</v>
      </c>
      <c r="G2825" s="177" t="str">
        <f>IFERROR(__xludf.DUMMYFUNCTION("""COMPUTED_VALUE"""),"922E")</f>
        <v>922E</v>
      </c>
      <c r="H2825" s="177" t="str">
        <f>IFERROR(__xludf.DUMMYFUNCTION("""COMPUTED_VALUE"""),"145HP")</f>
        <v>145HP</v>
      </c>
      <c r="I2825" s="177" t="str">
        <f>IFERROR(__xludf.DUMMYFUNCTION("""COMPUTED_VALUE"""),"922L12WSJD440")</f>
        <v>922L12WSJD440</v>
      </c>
      <c r="J2825" s="177" t="str">
        <f>IFERROR(__xludf.DUMMYFUNCTION("""COMPUTED_VALUE"""),"73241497")</f>
        <v>73241497</v>
      </c>
      <c r="K2825" s="177">
        <f>IFERROR(__xludf.DUMMYFUNCTION("""COMPUTED_VALUE"""),15)</f>
        <v>15</v>
      </c>
      <c r="L2825" s="177" t="str">
        <f>IFERROR(__xludf.DUMMYFUNCTION("""COMPUTED_VALUE"""),"Đang thuê")</f>
        <v>Đang thuê</v>
      </c>
    </row>
    <row r="2826" customHeight="1" spans="1:12">
      <c r="A2826" s="177" t="str">
        <f>IFERROR(__xludf.DUMMYFUNCTION("""COMPUTED_VALUE"""),"TND-MĐA-081")</f>
        <v>TND-MĐA-081</v>
      </c>
      <c r="B2826" s="1090" t="str">
        <f>IFERROR(__xludf.DUMMYFUNCTION("""COMPUTED_VALUE"""),"Máy đào gàu 1.0m3")</f>
        <v>Máy đào gàu 1.0m3</v>
      </c>
      <c r="C2826" s="177" t="str">
        <f>IFERROR(__xludf.DUMMYFUNCTION("""COMPUTED_VALUE"""),"CGTC DP")</f>
        <v>CGTC DP</v>
      </c>
      <c r="D2826" s="177" t="str">
        <f>IFERROR(__xludf.DUMMYFUNCTION("""COMPUTED_VALUE"""),"MATADOR")</f>
        <v>MATADOR</v>
      </c>
      <c r="E2826" s="177"/>
      <c r="F2826" s="177">
        <f>IFERROR(__xludf.DUMMYFUNCTION("""COMPUTED_VALUE"""),2020)</f>
        <v>2020</v>
      </c>
      <c r="G2826" s="177" t="str">
        <f>IFERROR(__xludf.DUMMYFUNCTION("""COMPUTED_VALUE"""),"ME201LC")</f>
        <v>ME201LC</v>
      </c>
      <c r="H2826" s="177" t="str">
        <f>IFERROR(__xludf.DUMMYFUNCTION("""COMPUTED_VALUE"""),"147HP")</f>
        <v>147HP</v>
      </c>
      <c r="I2826" s="177" t="str">
        <f>IFERROR(__xludf.DUMMYFUNCTION("""COMPUTED_VALUE"""),"86SE22EWNL0000158")</f>
        <v>86SE22EWNL0000158</v>
      </c>
      <c r="J2826" s="177" t="str">
        <f>IFERROR(__xludf.DUMMYFUNCTION("""COMPUTED_VALUE"""),"1019J029254")</f>
        <v>1019J029254</v>
      </c>
      <c r="K2826" s="177">
        <f>IFERROR(__xludf.DUMMYFUNCTION("""COMPUTED_VALUE"""),16)</f>
        <v>16</v>
      </c>
      <c r="L2826" s="177" t="str">
        <f>IFERROR(__xludf.DUMMYFUNCTION("""COMPUTED_VALUE"""),"Đang thuê")</f>
        <v>Đang thuê</v>
      </c>
    </row>
    <row r="2827" customHeight="1" spans="1:12">
      <c r="A2827" s="177" t="str">
        <f>IFERROR(__xludf.DUMMYFUNCTION("""COMPUTED_VALUE"""),"TND-MĐA-082")</f>
        <v>TND-MĐA-082</v>
      </c>
      <c r="B2827" s="1090" t="str">
        <f>IFERROR(__xludf.DUMMYFUNCTION("""COMPUTED_VALUE"""),"Máy đào gàu 0.8m3")</f>
        <v>Máy đào gàu 0.8m3</v>
      </c>
      <c r="C2827" s="177" t="str">
        <f>IFERROR(__xludf.DUMMYFUNCTION("""COMPUTED_VALUE"""),"CGTC DP")</f>
        <v>CGTC DP</v>
      </c>
      <c r="D2827" s="177" t="str">
        <f>IFERROR(__xludf.DUMMYFUNCTION("""COMPUTED_VALUE"""),"CAT")</f>
        <v>CAT</v>
      </c>
      <c r="E2827" s="177"/>
      <c r="F2827" s="177">
        <f>IFERROR(__xludf.DUMMYFUNCTION("""COMPUTED_VALUE"""),2005)</f>
        <v>2005</v>
      </c>
      <c r="G2827" s="177" t="str">
        <f>IFERROR(__xludf.DUMMYFUNCTION("""COMPUTED_VALUE"""),"320Cu")</f>
        <v>320Cu</v>
      </c>
      <c r="H2827" s="177" t="str">
        <f>IFERROR(__xludf.DUMMYFUNCTION("""COMPUTED_VALUE"""),"143HP")</f>
        <v>143HP</v>
      </c>
      <c r="I2827" s="177" t="str">
        <f>IFERROR(__xludf.DUMMYFUNCTION("""COMPUTED_VALUE"""),"CAT0320DPTDN00466")</f>
        <v>CAT0320DPTDN00466</v>
      </c>
      <c r="J2827" s="177" t="str">
        <f>IFERROR(__xludf.DUMMYFUNCTION("""COMPUTED_VALUE"""),"D7A10125")</f>
        <v>D7A10125</v>
      </c>
      <c r="K2827" s="177">
        <f>IFERROR(__xludf.DUMMYFUNCTION("""COMPUTED_VALUE"""),14)</f>
        <v>14</v>
      </c>
      <c r="L2827" s="177" t="str">
        <f>IFERROR(__xludf.DUMMYFUNCTION("""COMPUTED_VALUE"""),"Đang thuê")</f>
        <v>Đang thuê</v>
      </c>
    </row>
    <row r="2828" customHeight="1" spans="1:12">
      <c r="A2828" s="177" t="str">
        <f>IFERROR(__xludf.DUMMYFUNCTION("""COMPUTED_VALUE"""),"TND-MĐA-083")</f>
        <v>TND-MĐA-083</v>
      </c>
      <c r="B2828" s="1090" t="str">
        <f>IFERROR(__xludf.DUMMYFUNCTION("""COMPUTED_VALUE"""),"Máy đào gàu 0.5m3")</f>
        <v>Máy đào gàu 0.5m3</v>
      </c>
      <c r="C2828" s="177" t="str">
        <f>IFERROR(__xludf.DUMMYFUNCTION("""COMPUTED_VALUE"""),"Ban điện nước")</f>
        <v>Ban điện nước</v>
      </c>
      <c r="D2828" s="177" t="str">
        <f>IFERROR(__xludf.DUMMYFUNCTION("""COMPUTED_VALUE"""),"CAT")</f>
        <v>CAT</v>
      </c>
      <c r="E2828" s="177"/>
      <c r="F2828" s="177">
        <f>IFERROR(__xludf.DUMMYFUNCTION("""COMPUTED_VALUE"""),1996)</f>
        <v>1996</v>
      </c>
      <c r="G2828" s="177" t="str">
        <f>IFERROR(__xludf.DUMMYFUNCTION("""COMPUTED_VALUE"""),"312")</f>
        <v>312</v>
      </c>
      <c r="H2828" s="177" t="str">
        <f>IFERROR(__xludf.DUMMYFUNCTION("""COMPUTED_VALUE"""),"90HP")</f>
        <v>90HP</v>
      </c>
      <c r="I2828" s="177" t="str">
        <f>IFERROR(__xludf.DUMMYFUNCTION("""COMPUTED_VALUE"""),"7JK04355")</f>
        <v>7JK04355</v>
      </c>
      <c r="J2828" s="177" t="str">
        <f>IFERROR(__xludf.DUMMYFUNCTION("""COMPUTED_VALUE"""),"6LK06234")</f>
        <v>6LK06234</v>
      </c>
      <c r="K2828" s="177">
        <f>IFERROR(__xludf.DUMMYFUNCTION("""COMPUTED_VALUE"""),9)</f>
        <v>9</v>
      </c>
      <c r="L2828" s="177" t="str">
        <f>IFERROR(__xludf.DUMMYFUNCTION("""COMPUTED_VALUE"""),"-")</f>
        <v>-</v>
      </c>
    </row>
    <row r="2829" customHeight="1" spans="1:12">
      <c r="A2829" s="177" t="str">
        <f>IFERROR(__xludf.DUMMYFUNCTION("""COMPUTED_VALUE"""),"TND-MĐA-084")</f>
        <v>TND-MĐA-084</v>
      </c>
      <c r="B2829" s="1090" t="str">
        <f>IFERROR(__xludf.DUMMYFUNCTION("""COMPUTED_VALUE"""),"Máy đào gàu 1.0m3")</f>
        <v>Máy đào gàu 1.0m3</v>
      </c>
      <c r="C2829" s="177" t="str">
        <f>IFERROR(__xludf.DUMMYFUNCTION("""COMPUTED_VALUE"""),"CGTC DP")</f>
        <v>CGTC DP</v>
      </c>
      <c r="D2829" s="177" t="str">
        <f>IFERROR(__xludf.DUMMYFUNCTION("""COMPUTED_VALUE"""),"CAT")</f>
        <v>CAT</v>
      </c>
      <c r="E2829" s="177"/>
      <c r="F2829" s="177">
        <f>IFERROR(__xludf.DUMMYFUNCTION("""COMPUTED_VALUE"""),2001)</f>
        <v>2001</v>
      </c>
      <c r="G2829" s="177" t="str">
        <f>IFERROR(__xludf.DUMMYFUNCTION("""COMPUTED_VALUE"""),"320C")</f>
        <v>320C</v>
      </c>
      <c r="H2829" s="177" t="str">
        <f>IFERROR(__xludf.DUMMYFUNCTION("""COMPUTED_VALUE"""),"157HP")</f>
        <v>157HP</v>
      </c>
      <c r="I2829" s="177" t="str">
        <f>IFERROR(__xludf.DUMMYFUNCTION("""COMPUTED_VALUE"""),"AKH02375")</f>
        <v>AKH02375</v>
      </c>
      <c r="J2829" s="177" t="str">
        <f>IFERROR(__xludf.DUMMYFUNCTION("""COMPUTED_VALUE"""),"7JK50080")</f>
        <v>7JK50080</v>
      </c>
      <c r="K2829" s="177">
        <f>IFERROR(__xludf.DUMMYFUNCTION("""COMPUTED_VALUE"""),16.5)</f>
        <v>16.5</v>
      </c>
      <c r="L2829" s="177" t="str">
        <f>IFERROR(__xludf.DUMMYFUNCTION("""COMPUTED_VALUE"""),"Đang thuê")</f>
        <v>Đang thuê</v>
      </c>
    </row>
    <row r="2830" customHeight="1" spans="1:12">
      <c r="A2830" s="177" t="str">
        <f>IFERROR(__xludf.DUMMYFUNCTION("""COMPUTED_VALUE"""),"TND-MĐA-085")</f>
        <v>TND-MĐA-085</v>
      </c>
      <c r="B2830" s="1090" t="str">
        <f>IFERROR(__xludf.DUMMYFUNCTION("""COMPUTED_VALUE"""),"Máy đào gàu 1.2m3 ")</f>
        <v>Máy đào gàu 1.2m3 </v>
      </c>
      <c r="C2830" s="177" t="str">
        <f>IFERROR(__xludf.DUMMYFUNCTION("""COMPUTED_VALUE"""),"CGTC DP")</f>
        <v>CGTC DP</v>
      </c>
      <c r="D2830" s="177" t="str">
        <f>IFERROR(__xludf.DUMMYFUNCTION("""COMPUTED_VALUE"""),"KOBELCO")</f>
        <v>KOBELCO</v>
      </c>
      <c r="E2830" s="177"/>
      <c r="F2830" s="177">
        <f>IFERROR(__xludf.DUMMYFUNCTION("""COMPUTED_VALUE"""),2020)</f>
        <v>2020</v>
      </c>
      <c r="G2830" s="177" t="str">
        <f>IFERROR(__xludf.DUMMYFUNCTION("""COMPUTED_VALUE"""),"SSK210LC-10")</f>
        <v>SSK210LC-10</v>
      </c>
      <c r="H2830" s="177"/>
      <c r="I2830" s="177" t="str">
        <f>IFERROR(__xludf.DUMMYFUNCTION("""COMPUTED_VALUE"""),"YQ15405278")</f>
        <v>YQ15405278</v>
      </c>
      <c r="J2830" s="177" t="str">
        <f>IFERROR(__xludf.DUMMYFUNCTION("""COMPUTED_VALUE"""),"J05ETG44707")</f>
        <v>J05ETG44707</v>
      </c>
      <c r="K2830" s="177">
        <f>IFERROR(__xludf.DUMMYFUNCTION("""COMPUTED_VALUE"""),14.5)</f>
        <v>14.5</v>
      </c>
      <c r="L2830" s="177" t="str">
        <f>IFERROR(__xludf.DUMMYFUNCTION("""COMPUTED_VALUE"""),"-")</f>
        <v>-</v>
      </c>
    </row>
    <row r="2831" customHeight="1" spans="1:12">
      <c r="A2831" s="177" t="str">
        <f>IFERROR(__xludf.DUMMYFUNCTION("""COMPUTED_VALUE"""),"TND-MĐA-086")</f>
        <v>TND-MĐA-086</v>
      </c>
      <c r="B2831" s="1090" t="str">
        <f>IFERROR(__xludf.DUMMYFUNCTION("""COMPUTED_VALUE"""),"Máy đào gàu 1.2m3 ")</f>
        <v>Máy đào gàu 1.2m3 </v>
      </c>
      <c r="C2831" s="177" t="str">
        <f>IFERROR(__xludf.DUMMYFUNCTION("""COMPUTED_VALUE"""),"CGTC DP")</f>
        <v>CGTC DP</v>
      </c>
      <c r="D2831" s="177" t="str">
        <f>IFERROR(__xludf.DUMMYFUNCTION("""COMPUTED_VALUE"""),"CAT")</f>
        <v>CAT</v>
      </c>
      <c r="E2831" s="177"/>
      <c r="F2831" s="177">
        <f>IFERROR(__xludf.DUMMYFUNCTION("""COMPUTED_VALUE"""),2017)</f>
        <v>2017</v>
      </c>
      <c r="G2831" s="177" t="str">
        <f>IFERROR(__xludf.DUMMYFUNCTION("""COMPUTED_VALUE"""),"320D2")</f>
        <v>320D2</v>
      </c>
      <c r="H2831" s="177" t="str">
        <f>IFERROR(__xludf.DUMMYFUNCTION("""COMPUTED_VALUE"""),"147 HP")</f>
        <v>147 HP</v>
      </c>
      <c r="I2831" s="177" t="str">
        <f>IFERROR(__xludf.DUMMYFUNCTION("""COMPUTED_VALUE"""),"CAT0320DH2BH11524")</f>
        <v>CAT0320DH2BH11524</v>
      </c>
      <c r="J2831" s="177" t="str">
        <f>IFERROR(__xludf.DUMMYFUNCTION("""COMPUTED_VALUE"""),"2W204276")</f>
        <v>2W204276</v>
      </c>
      <c r="K2831" s="177">
        <f>IFERROR(__xludf.DUMMYFUNCTION("""COMPUTED_VALUE"""),16)</f>
        <v>16</v>
      </c>
      <c r="L2831" s="177" t="str">
        <f>IFERROR(__xludf.DUMMYFUNCTION("""COMPUTED_VALUE"""),"Đang thuê")</f>
        <v>Đang thuê</v>
      </c>
    </row>
    <row r="2832" customHeight="1" spans="1:12">
      <c r="A2832" s="177" t="str">
        <f>IFERROR(__xludf.DUMMYFUNCTION("""COMPUTED_VALUE"""),"TND-MĐA-087")</f>
        <v>TND-MĐA-087</v>
      </c>
      <c r="B2832" s="1090" t="str">
        <f>IFERROR(__xludf.DUMMYFUNCTION("""COMPUTED_VALUE"""),"Máy đào gàu 1.2m3 ")</f>
        <v>Máy đào gàu 1.2m3 </v>
      </c>
      <c r="C2832" s="177" t="str">
        <f>IFERROR(__xludf.DUMMYFUNCTION("""COMPUTED_VALUE"""),"CGTC DP")</f>
        <v>CGTC DP</v>
      </c>
      <c r="D2832" s="177" t="str">
        <f>IFERROR(__xludf.DUMMYFUNCTION("""COMPUTED_VALUE"""),"CAT")</f>
        <v>CAT</v>
      </c>
      <c r="E2832" s="177"/>
      <c r="F2832" s="177">
        <f>IFERROR(__xludf.DUMMYFUNCTION("""COMPUTED_VALUE"""),2016)</f>
        <v>2016</v>
      </c>
      <c r="G2832" s="177" t="str">
        <f>IFERROR(__xludf.DUMMYFUNCTION("""COMPUTED_VALUE"""),"320D2")</f>
        <v>320D2</v>
      </c>
      <c r="H2832" s="177" t="str">
        <f>IFERROR(__xludf.DUMMYFUNCTION("""COMPUTED_VALUE"""),"148 HP")</f>
        <v>148 HP</v>
      </c>
      <c r="I2832" s="177" t="str">
        <f>IFERROR(__xludf.DUMMYFUNCTION("""COMPUTED_VALUE"""),"CAT0320DE2BH00296")</f>
        <v>CAT0320DE2BH00296</v>
      </c>
      <c r="J2832" s="177" t="str">
        <f>IFERROR(__xludf.DUMMYFUNCTION("""COMPUTED_VALUE"""),"2W200693")</f>
        <v>2W200693</v>
      </c>
      <c r="K2832" s="177">
        <f>IFERROR(__xludf.DUMMYFUNCTION("""COMPUTED_VALUE"""),14)</f>
        <v>14</v>
      </c>
      <c r="L2832" s="177" t="str">
        <f>IFERROR(__xludf.DUMMYFUNCTION("""COMPUTED_VALUE"""),"Đang thuê")</f>
        <v>Đang thuê</v>
      </c>
    </row>
    <row r="2833" customHeight="1" spans="1:12">
      <c r="A2833" s="177" t="str">
        <f>IFERROR(__xludf.DUMMYFUNCTION("""COMPUTED_VALUE"""),"TND-MĐA-088")</f>
        <v>TND-MĐA-088</v>
      </c>
      <c r="B2833" s="1090" t="str">
        <f>IFERROR(__xludf.DUMMYFUNCTION("""COMPUTED_VALUE"""),"Máy đào gàu 0,8m3")</f>
        <v>Máy đào gàu 0,8m3</v>
      </c>
      <c r="C2833" s="177" t="str">
        <f>IFERROR(__xludf.DUMMYFUNCTION("""COMPUTED_VALUE"""),"CGTC DP")</f>
        <v>CGTC DP</v>
      </c>
      <c r="D2833" s="177" t="str">
        <f>IFERROR(__xludf.DUMMYFUNCTION("""COMPUTED_VALUE"""),"CAT")</f>
        <v>CAT</v>
      </c>
      <c r="E2833" s="177"/>
      <c r="F2833" s="177">
        <f>IFERROR(__xludf.DUMMYFUNCTION("""COMPUTED_VALUE"""),2021)</f>
        <v>2021</v>
      </c>
      <c r="G2833" s="177" t="str">
        <f>IFERROR(__xludf.DUMMYFUNCTION("""COMPUTED_VALUE"""),"320GX")</f>
        <v>320GX</v>
      </c>
      <c r="H2833" s="177" t="str">
        <f>IFERROR(__xludf.DUMMYFUNCTION("""COMPUTED_VALUE"""),"140 HP")</f>
        <v>140 HP</v>
      </c>
      <c r="I2833" s="177" t="str">
        <f>IFERROR(__xludf.DUMMYFUNCTION("""COMPUTED_VALUE"""),"CAT00320PSYW00888")</f>
        <v>CAT00320PSYW00888</v>
      </c>
      <c r="J2833" s="177" t="str">
        <f>IFERROR(__xludf.DUMMYFUNCTION("""COMPUTED_VALUE"""),"2W230809")</f>
        <v>2W230809</v>
      </c>
      <c r="K2833" s="177">
        <f>IFERROR(__xludf.DUMMYFUNCTION("""COMPUTED_VALUE"""),14)</f>
        <v>14</v>
      </c>
      <c r="L2833" s="177" t="str">
        <f>IFERROR(__xludf.DUMMYFUNCTION("""COMPUTED_VALUE"""),"Đang thuê")</f>
        <v>Đang thuê</v>
      </c>
    </row>
    <row r="2834" customHeight="1" spans="1:12">
      <c r="A2834" s="177" t="str">
        <f>IFERROR(__xludf.DUMMYFUNCTION("""COMPUTED_VALUE"""),"TND-MĐA-089")</f>
        <v>TND-MĐA-089</v>
      </c>
      <c r="B2834" s="1090" t="str">
        <f>IFERROR(__xludf.DUMMYFUNCTION("""COMPUTED_VALUE"""),"Máy đào gàu 1.2m3 ")</f>
        <v>Máy đào gàu 1.2m3 </v>
      </c>
      <c r="C2834" s="177" t="str">
        <f>IFERROR(__xludf.DUMMYFUNCTION("""COMPUTED_VALUE"""),"CGTC DP")</f>
        <v>CGTC DP</v>
      </c>
      <c r="D2834" s="177" t="str">
        <f>IFERROR(__xludf.DUMMYFUNCTION("""COMPUTED_VALUE"""),"KOBELCO")</f>
        <v>KOBELCO</v>
      </c>
      <c r="E2834" s="177"/>
      <c r="F2834" s="177">
        <f>IFERROR(__xludf.DUMMYFUNCTION("""COMPUTED_VALUE"""),2004)</f>
        <v>2004</v>
      </c>
      <c r="G2834" s="177" t="str">
        <f>IFERROR(__xludf.DUMMYFUNCTION("""COMPUTED_VALUE"""),"SK250-8")</f>
        <v>SK250-8</v>
      </c>
      <c r="H2834" s="177" t="str">
        <f>IFERROR(__xludf.DUMMYFUNCTION("""COMPUTED_VALUE"""),"176HP")</f>
        <v>176HP</v>
      </c>
      <c r="I2834" s="177" t="str">
        <f>IFERROR(__xludf.DUMMYFUNCTION("""COMPUTED_VALUE"""),"LQ13-07991")</f>
        <v>LQ13-07991</v>
      </c>
      <c r="J2834" s="177" t="str">
        <f>IFERROR(__xludf.DUMMYFUNCTION("""COMPUTED_VALUE"""),"J05ETB13517")</f>
        <v>J05ETB13517</v>
      </c>
      <c r="K2834" s="177">
        <f>IFERROR(__xludf.DUMMYFUNCTION("""COMPUTED_VALUE"""),14)</f>
        <v>14</v>
      </c>
      <c r="L2834" s="177" t="str">
        <f>IFERROR(__xludf.DUMMYFUNCTION("""COMPUTED_VALUE"""),"Đang thuê")</f>
        <v>Đang thuê</v>
      </c>
    </row>
    <row r="2835" customHeight="1" spans="1:12">
      <c r="A2835" s="177" t="str">
        <f>IFERROR(__xludf.DUMMYFUNCTION("""COMPUTED_VALUE"""),"TND-Đ03-001")</f>
        <v>TND-Đ03-001</v>
      </c>
      <c r="B2835" s="1090" t="str">
        <f>IFERROR(__xludf.DUMMYFUNCTION("""COMPUTED_VALUE"""),"Máy đào gàu 0.3m3")</f>
        <v>Máy đào gàu 0.3m3</v>
      </c>
      <c r="C2835" s="177" t="str">
        <f>IFERROR(__xludf.DUMMYFUNCTION("""COMPUTED_VALUE"""),"XN Chuối DP1")</f>
        <v>XN Chuối DP1</v>
      </c>
      <c r="D2835" s="177" t="str">
        <f>IFERROR(__xludf.DUMMYFUNCTION("""COMPUTED_VALUE"""),"CATERPILLAR")</f>
        <v>CATERPILLAR</v>
      </c>
      <c r="E2835" s="177"/>
      <c r="F2835" s="177"/>
      <c r="G2835" s="177"/>
      <c r="H2835" s="177" t="str">
        <f>IFERROR(__xludf.DUMMYFUNCTION("""COMPUTED_VALUE"""),"45HP")</f>
        <v>45HP</v>
      </c>
      <c r="I2835" s="177" t="str">
        <f>IFERROR(__xludf.DUMMYFUNCTION("""COMPUTED_VALUE"""),"CAT00305AB11W0763")</f>
        <v>CAT00305AB11W0763</v>
      </c>
      <c r="J2835" s="177" t="str">
        <f>IFERROR(__xludf.DUMMYFUNCTION("""COMPUTED_VALUE"""),"23645")</f>
        <v>23645</v>
      </c>
      <c r="K2835" s="177">
        <f>IFERROR(__xludf.DUMMYFUNCTION("""COMPUTED_VALUE"""),3.5)</f>
        <v>3.5</v>
      </c>
      <c r="L2835" s="177" t="str">
        <f>IFERROR(__xludf.DUMMYFUNCTION("""COMPUTED_VALUE"""),"Đang thuê")</f>
        <v>Đang thuê</v>
      </c>
    </row>
    <row r="2836" customHeight="1" spans="1:12">
      <c r="A2836" s="177" t="str">
        <f>IFERROR(__xludf.DUMMYFUNCTION("""COMPUTED_VALUE"""),"TND-Đ03-002")</f>
        <v>TND-Đ03-002</v>
      </c>
      <c r="B2836" s="1090" t="str">
        <f>IFERROR(__xludf.DUMMYFUNCTION("""COMPUTED_VALUE"""),"Máy đào gàu 0.3m3")</f>
        <v>Máy đào gàu 0.3m3</v>
      </c>
      <c r="C2836" s="177" t="str">
        <f>IFERROR(__xludf.DUMMYFUNCTION("""COMPUTED_VALUE"""),"XN Chuối DP1")</f>
        <v>XN Chuối DP1</v>
      </c>
      <c r="D2836" s="177" t="str">
        <f>IFERROR(__xludf.DUMMYFUNCTION("""COMPUTED_VALUE"""),"CATERPILLAR")</f>
        <v>CATERPILLAR</v>
      </c>
      <c r="E2836" s="177"/>
      <c r="F2836" s="177"/>
      <c r="G2836" s="177"/>
      <c r="H2836" s="177" t="str">
        <f>IFERROR(__xludf.DUMMYFUNCTION("""COMPUTED_VALUE"""),"24HP")</f>
        <v>24HP</v>
      </c>
      <c r="I2836" s="177" t="str">
        <f>IFERROR(__xludf.DUMMYFUNCTION("""COMPUTED_VALUE"""),"CAT00305CBMW01493")</f>
        <v>CAT00305CBMW01493</v>
      </c>
      <c r="J2836" s="177" t="str">
        <f>IFERROR(__xludf.DUMMYFUNCTION("""COMPUTED_VALUE"""),"21071F4")</f>
        <v>21071F4</v>
      </c>
      <c r="K2836" s="177"/>
      <c r="L2836" s="177" t="str">
        <f>IFERROR(__xludf.DUMMYFUNCTION("""COMPUTED_VALUE"""),"-")</f>
        <v>-</v>
      </c>
    </row>
    <row r="2837" customHeight="1" spans="1:12">
      <c r="A2837" s="177" t="str">
        <f>IFERROR(__xludf.DUMMYFUNCTION("""COMPUTED_VALUE"""),"TND-Đ03-003")</f>
        <v>TND-Đ03-003</v>
      </c>
      <c r="B2837" s="1090" t="str">
        <f>IFERROR(__xludf.DUMMYFUNCTION("""COMPUTED_VALUE"""),"Máy đào gàu 0.3m3")</f>
        <v>Máy đào gàu 0.3m3</v>
      </c>
      <c r="C2837" s="177" t="str">
        <f>IFERROR(__xludf.DUMMYFUNCTION("""COMPUTED_VALUE"""),"XN Chuối DP2")</f>
        <v>XN Chuối DP2</v>
      </c>
      <c r="D2837" s="177" t="str">
        <f>IFERROR(__xludf.DUMMYFUNCTION("""COMPUTED_VALUE"""),"CATERPILLAR")</f>
        <v>CATERPILLAR</v>
      </c>
      <c r="E2837" s="177"/>
      <c r="F2837" s="177"/>
      <c r="G2837" s="177"/>
      <c r="H2837" s="177" t="str">
        <f>IFERROR(__xludf.DUMMYFUNCTION("""COMPUTED_VALUE"""),"24HP")</f>
        <v>24HP</v>
      </c>
      <c r="I2837" s="177" t="str">
        <f>IFERROR(__xludf.DUMMYFUNCTION("""COMPUTED_VALUE"""),"-")</f>
        <v>-</v>
      </c>
      <c r="J2837" s="177" t="str">
        <f>IFERROR(__xludf.DUMMYFUNCTION("""COMPUTED_VALUE"""),"-")</f>
        <v>-</v>
      </c>
      <c r="K2837" s="177"/>
      <c r="L2837" s="177" t="str">
        <f>IFERROR(__xludf.DUMMYFUNCTION("""COMPUTED_VALUE"""),"-")</f>
        <v>-</v>
      </c>
    </row>
    <row r="2838" customHeight="1" spans="1:12">
      <c r="A2838" s="177" t="str">
        <f>IFERROR(__xludf.DUMMYFUNCTION("""COMPUTED_VALUE"""),"TND-Đ03-004")</f>
        <v>TND-Đ03-004</v>
      </c>
      <c r="B2838" s="1090" t="str">
        <f>IFERROR(__xludf.DUMMYFUNCTION("""COMPUTED_VALUE"""),"Máy đào gàu 0.3m3")</f>
        <v>Máy đào gàu 0.3m3</v>
      </c>
      <c r="C2838" s="177" t="str">
        <f>IFERROR(__xludf.DUMMYFUNCTION("""COMPUTED_VALUE"""),"XN SX")</f>
        <v>XN SX</v>
      </c>
      <c r="D2838" s="177" t="str">
        <f>IFERROR(__xludf.DUMMYFUNCTION("""COMPUTED_VALUE"""),"CATERPILLAR")</f>
        <v>CATERPILLAR</v>
      </c>
      <c r="E2838" s="177"/>
      <c r="F2838" s="177">
        <f>IFERROR(__xludf.DUMMYFUNCTION("""COMPUTED_VALUE"""),2003)</f>
        <v>2003</v>
      </c>
      <c r="G2838" s="177" t="str">
        <f>IFERROR(__xludf.DUMMYFUNCTION("""COMPUTED_VALUE"""),"303CR")</f>
        <v>303CR</v>
      </c>
      <c r="H2838" s="177" t="str">
        <f>IFERROR(__xludf.DUMMYFUNCTION("""COMPUTED_VALUE"""),"24HP")</f>
        <v>24HP</v>
      </c>
      <c r="I2838" s="177" t="str">
        <f>IFERROR(__xludf.DUMMYFUNCTION("""COMPUTED_VALUE"""),"CAT00303KC AR02349")</f>
        <v>CAT00303KC AR02349</v>
      </c>
      <c r="J2838" s="177" t="str">
        <f>IFERROR(__xludf.DUMMYFUNCTION("""COMPUTED_VALUE"""),"93668L3")</f>
        <v>93668L3</v>
      </c>
      <c r="K2838" s="177"/>
      <c r="L2838" s="177" t="str">
        <f>IFERROR(__xludf.DUMMYFUNCTION("""COMPUTED_VALUE"""),"-")</f>
        <v>-</v>
      </c>
    </row>
    <row r="2839" customHeight="1" spans="1:12">
      <c r="A2839" s="177" t="str">
        <f>IFERROR(__xludf.DUMMYFUNCTION("""COMPUTED_VALUE"""),"TND-Đ03-005")</f>
        <v>TND-Đ03-005</v>
      </c>
      <c r="B2839" s="1090" t="str">
        <f>IFERROR(__xludf.DUMMYFUNCTION("""COMPUTED_VALUE"""),"Máy đào gàu 0.3m3")</f>
        <v>Máy đào gàu 0.3m3</v>
      </c>
      <c r="C2839" s="177" t="str">
        <f>IFERROR(__xludf.DUMMYFUNCTION("""COMPUTED_VALUE"""),"NT Xoài DP")</f>
        <v>NT Xoài DP</v>
      </c>
      <c r="D2839" s="177" t="str">
        <f>IFERROR(__xludf.DUMMYFUNCTION("""COMPUTED_VALUE"""),"MISUBISHI")</f>
        <v>MISUBISHI</v>
      </c>
      <c r="E2839" s="177"/>
      <c r="F2839" s="177">
        <f>IFERROR(__xludf.DUMMYFUNCTION("""COMPUTED_VALUE"""),1998)</f>
        <v>1998</v>
      </c>
      <c r="G2839" s="177" t="str">
        <f>IFERROR(__xludf.DUMMYFUNCTION("""COMPUTED_VALUE"""),"MM45T")</f>
        <v>MM45T</v>
      </c>
      <c r="H2839" s="177" t="str">
        <f>IFERROR(__xludf.DUMMYFUNCTION("""COMPUTED_VALUE"""),"24HP")</f>
        <v>24HP</v>
      </c>
      <c r="I2839" s="177" t="str">
        <f>IFERROR(__xludf.DUMMYFUNCTION("""COMPUTED_VALUE"""),"FH00265")</f>
        <v>FH00265</v>
      </c>
      <c r="J2839" s="177" t="str">
        <f>IFERROR(__xludf.DUMMYFUNCTION("""COMPUTED_VALUE"""),"11380")</f>
        <v>11380</v>
      </c>
      <c r="K2839" s="177"/>
      <c r="L2839" s="177" t="str">
        <f>IFERROR(__xludf.DUMMYFUNCTION("""COMPUTED_VALUE"""),"-")</f>
        <v>-</v>
      </c>
    </row>
    <row r="2840" customHeight="1" spans="1:12">
      <c r="A2840" s="177" t="str">
        <f>IFERROR(__xludf.DUMMYFUNCTION("""COMPUTED_VALUE"""),"TND-Đ03-006")</f>
        <v>TND-Đ03-006</v>
      </c>
      <c r="B2840" s="1090" t="str">
        <f>IFERROR(__xludf.DUMMYFUNCTION("""COMPUTED_VALUE"""),"Máy đào gàu 0.3m3")</f>
        <v>Máy đào gàu 0.3m3</v>
      </c>
      <c r="C2840" s="177" t="str">
        <f>IFERROR(__xludf.DUMMYFUNCTION("""COMPUTED_VALUE"""),"NT Xoài DP")</f>
        <v>NT Xoài DP</v>
      </c>
      <c r="D2840" s="177" t="str">
        <f>IFERROR(__xludf.DUMMYFUNCTION("""COMPUTED_VALUE"""),"CATERPILLAR")</f>
        <v>CATERPILLAR</v>
      </c>
      <c r="E2840" s="177"/>
      <c r="F2840" s="177"/>
      <c r="G2840" s="177" t="str">
        <f>IFERROR(__xludf.DUMMYFUNCTION("""COMPUTED_VALUE"""),"CAT 305")</f>
        <v>CAT 305</v>
      </c>
      <c r="H2840" s="177" t="str">
        <f>IFERROR(__xludf.DUMMYFUNCTION("""COMPUTED_VALUE"""),"24HP")</f>
        <v>24HP</v>
      </c>
      <c r="I2840" s="177" t="str">
        <f>IFERROR(__xludf.DUMMYFUNCTION("""COMPUTED_VALUE"""),"CAT0305CBMW01493")</f>
        <v>CAT0305CBMW01493</v>
      </c>
      <c r="J2840" s="177" t="str">
        <f>IFERROR(__xludf.DUMMYFUNCTION("""COMPUTED_VALUE"""),"21071F4")</f>
        <v>21071F4</v>
      </c>
      <c r="K2840" s="177"/>
      <c r="L2840" s="177" t="str">
        <f>IFERROR(__xludf.DUMMYFUNCTION("""COMPUTED_VALUE"""),"-")</f>
        <v>-</v>
      </c>
    </row>
    <row r="2841" customHeight="1" spans="1:12">
      <c r="A2841" s="177" t="str">
        <f>IFERROR(__xludf.DUMMYFUNCTION("""COMPUTED_VALUE"""),"TND-Đ03-007")</f>
        <v>TND-Đ03-007</v>
      </c>
      <c r="B2841" s="1090" t="str">
        <f>IFERROR(__xludf.DUMMYFUNCTION("""COMPUTED_VALUE"""),"Máy đào gàu 0.3m3")</f>
        <v>Máy đào gàu 0.3m3</v>
      </c>
      <c r="C2841" s="177" t="str">
        <f>IFERROR(__xludf.DUMMYFUNCTION("""COMPUTED_VALUE"""),"XN Chuối DP3")</f>
        <v>XN Chuối DP3</v>
      </c>
      <c r="D2841" s="177" t="str">
        <f>IFERROR(__xludf.DUMMYFUNCTION("""COMPUTED_VALUE"""),"HITACHI")</f>
        <v>HITACHI</v>
      </c>
      <c r="E2841" s="177"/>
      <c r="F2841" s="177"/>
      <c r="G2841" s="177"/>
      <c r="H2841" s="177" t="str">
        <f>IFERROR(__xludf.DUMMYFUNCTION("""COMPUTED_VALUE"""),"24HP")</f>
        <v>24HP</v>
      </c>
      <c r="I2841" s="177" t="str">
        <f>IFERROR(__xludf.DUMMYFUNCTION("""COMPUTED_VALUE"""),"K00011386")</f>
        <v>K00011386</v>
      </c>
      <c r="J2841" s="177" t="str">
        <f>IFERROR(__xludf.DUMMYFUNCTION("""COMPUTED_VALUE"""),"39998")</f>
        <v>39998</v>
      </c>
      <c r="K2841" s="177"/>
      <c r="L2841" s="177" t="str">
        <f>IFERROR(__xludf.DUMMYFUNCTION("""COMPUTED_VALUE"""),"-")</f>
        <v>-</v>
      </c>
    </row>
    <row r="2842" customHeight="1" spans="1:12">
      <c r="A2842" s="177" t="str">
        <f>IFERROR(__xludf.DUMMYFUNCTION("""COMPUTED_VALUE"""),"TND-Đ03-008")</f>
        <v>TND-Đ03-008</v>
      </c>
      <c r="B2842" s="1090" t="str">
        <f>IFERROR(__xludf.DUMMYFUNCTION("""COMPUTED_VALUE"""),"Máy đào gàu 0.3m3")</f>
        <v>Máy đào gàu 0.3m3</v>
      </c>
      <c r="C2842" s="177" t="str">
        <f>IFERROR(__xludf.DUMMYFUNCTION("""COMPUTED_VALUE"""),"XN Chuối DP3")</f>
        <v>XN Chuối DP3</v>
      </c>
      <c r="D2842" s="177" t="str">
        <f>IFERROR(__xludf.DUMMYFUNCTION("""COMPUTED_VALUE"""),"CATERPILLAR")</f>
        <v>CATERPILLAR</v>
      </c>
      <c r="E2842" s="177"/>
      <c r="F2842" s="177"/>
      <c r="G2842" s="177"/>
      <c r="H2842" s="177" t="str">
        <f>IFERROR(__xludf.DUMMYFUNCTION("""COMPUTED_VALUE"""),"24HP")</f>
        <v>24HP</v>
      </c>
      <c r="I2842" s="177" t="str">
        <f>IFERROR(__xludf.DUMMYFUNCTION("""COMPUTED_VALUE"""),"TN00620")</f>
        <v>TN00620</v>
      </c>
      <c r="J2842" s="177" t="str">
        <f>IFERROR(__xludf.DUMMYFUNCTION("""COMPUTED_VALUE"""),"82733")</f>
        <v>82733</v>
      </c>
      <c r="K2842" s="177"/>
      <c r="L2842" s="177" t="str">
        <f>IFERROR(__xludf.DUMMYFUNCTION("""COMPUTED_VALUE"""),"-")</f>
        <v>-</v>
      </c>
    </row>
    <row r="2843" customHeight="1" spans="1:12">
      <c r="A2843" s="177" t="str">
        <f>IFERROR(__xludf.DUMMYFUNCTION("""COMPUTED_VALUE"""),"TND-Đ03-009")</f>
        <v>TND-Đ03-009</v>
      </c>
      <c r="B2843" s="1090" t="str">
        <f>IFERROR(__xludf.DUMMYFUNCTION("""COMPUTED_VALUE"""),"Máy đào gàu 0.3m3")</f>
        <v>Máy đào gàu 0.3m3</v>
      </c>
      <c r="C2843" s="177" t="str">
        <f>IFERROR(__xludf.DUMMYFUNCTION("""COMPUTED_VALUE"""),"XN Chuối DP3")</f>
        <v>XN Chuối DP3</v>
      </c>
      <c r="D2843" s="177" t="str">
        <f>IFERROR(__xludf.DUMMYFUNCTION("""COMPUTED_VALUE"""),"CAT 304CR")</f>
        <v>CAT 304CR</v>
      </c>
      <c r="E2843" s="177"/>
      <c r="F2843" s="177">
        <f>IFERROR(__xludf.DUMMYFUNCTION("""COMPUTED_VALUE"""),2014)</f>
        <v>2014</v>
      </c>
      <c r="G2843" s="177"/>
      <c r="H2843" s="177" t="str">
        <f>IFERROR(__xludf.DUMMYFUNCTION("""COMPUTED_VALUE"""),"24HP")</f>
        <v>24HP</v>
      </c>
      <c r="I2843" s="177" t="str">
        <f>IFERROR(__xludf.DUMMYFUNCTION("""COMPUTED_VALUE"""),"CAT00304CBTN00130")</f>
        <v>CAT00304CBTN00130</v>
      </c>
      <c r="J2843" s="177" t="str">
        <f>IFERROR(__xludf.DUMMYFUNCTION("""COMPUTED_VALUE"""),"S4L200064878")</f>
        <v>S4L200064878</v>
      </c>
      <c r="K2843" s="177">
        <f>IFERROR(__xludf.DUMMYFUNCTION("""COMPUTED_VALUE"""),3.75)</f>
        <v>3.75</v>
      </c>
      <c r="L2843" s="177" t="str">
        <f>IFERROR(__xludf.DUMMYFUNCTION("""COMPUTED_VALUE"""),"-")</f>
        <v>-</v>
      </c>
    </row>
    <row r="2844" customHeight="1" spans="1:12">
      <c r="A2844" s="177" t="str">
        <f>IFERROR(__xludf.DUMMYFUNCTION("""COMPUTED_VALUE"""),"TND-Đ03-010")</f>
        <v>TND-Đ03-010</v>
      </c>
      <c r="B2844" s="1090" t="str">
        <f>IFERROR(__xludf.DUMMYFUNCTION("""COMPUTED_VALUE"""),"Máy đào gàu 0.3m3")</f>
        <v>Máy đào gàu 0.3m3</v>
      </c>
      <c r="C2844" s="177" t="str">
        <f>IFERROR(__xludf.DUMMYFUNCTION("""COMPUTED_VALUE"""),"XN Chuối DP1")</f>
        <v>XN Chuối DP1</v>
      </c>
      <c r="D2844" s="177" t="str">
        <f>IFERROR(__xludf.DUMMYFUNCTION("""COMPUTED_VALUE"""),"HANIX")</f>
        <v>HANIX</v>
      </c>
      <c r="E2844" s="177"/>
      <c r="F2844" s="177"/>
      <c r="G2844" s="177" t="str">
        <f>IFERROR(__xludf.DUMMYFUNCTION("""COMPUTED_VALUE"""),"HANIX-SK-02")</f>
        <v>HANIX-SK-02</v>
      </c>
      <c r="H2844" s="177" t="str">
        <f>IFERROR(__xludf.DUMMYFUNCTION("""COMPUTED_VALUE"""),"24HP")</f>
        <v>24HP</v>
      </c>
      <c r="I2844" s="177" t="str">
        <f>IFERROR(__xludf.DUMMYFUNCTION("""COMPUTED_VALUE"""),"H4500574")</f>
        <v>H4500574</v>
      </c>
      <c r="J2844" s="177"/>
      <c r="K2844" s="177">
        <f>IFERROR(__xludf.DUMMYFUNCTION("""COMPUTED_VALUE"""),3.75)</f>
        <v>3.75</v>
      </c>
      <c r="L2844" s="177" t="str">
        <f>IFERROR(__xludf.DUMMYFUNCTION("""COMPUTED_VALUE"""),"-")</f>
        <v>-</v>
      </c>
    </row>
    <row r="2845" customHeight="1" spans="1:12">
      <c r="A2845" s="177" t="str">
        <f>IFERROR(__xludf.DUMMYFUNCTION("""COMPUTED_VALUE"""),"TND-Đ03-011")</f>
        <v>TND-Đ03-011</v>
      </c>
      <c r="B2845" s="1090" t="str">
        <f>IFERROR(__xludf.DUMMYFUNCTION("""COMPUTED_VALUE"""),"Máy đào gàu 0.3m3")</f>
        <v>Máy đào gàu 0.3m3</v>
      </c>
      <c r="C2845" s="177" t="str">
        <f>IFERROR(__xludf.DUMMYFUNCTION("""COMPUTED_VALUE"""),"XN Chuối DP3")</f>
        <v>XN Chuối DP3</v>
      </c>
      <c r="D2845" s="177" t="str">
        <f>IFERROR(__xludf.DUMMYFUNCTION("""COMPUTED_VALUE"""),"HANIK")</f>
        <v>HANIK</v>
      </c>
      <c r="E2845" s="177"/>
      <c r="F2845" s="177">
        <f>IFERROR(__xludf.DUMMYFUNCTION("""COMPUTED_VALUE"""),1990)</f>
        <v>1990</v>
      </c>
      <c r="G2845" s="177"/>
      <c r="H2845" s="177" t="str">
        <f>IFERROR(__xludf.DUMMYFUNCTION("""COMPUTED_VALUE"""),"24HP")</f>
        <v>24HP</v>
      </c>
      <c r="I2845" s="177" t="str">
        <f>IFERROR(__xludf.DUMMYFUNCTION("""COMPUTED_VALUE"""),"H4500574")</f>
        <v>H4500574</v>
      </c>
      <c r="J2845" s="177" t="str">
        <f>IFERROR(__xludf.DUMMYFUNCTION("""COMPUTED_VALUE"""),"2211")</f>
        <v>2211</v>
      </c>
      <c r="K2845" s="177">
        <f>IFERROR(__xludf.DUMMYFUNCTION("""COMPUTED_VALUE"""),3.6)</f>
        <v>3.6</v>
      </c>
      <c r="L2845" s="177" t="str">
        <f>IFERROR(__xludf.DUMMYFUNCTION("""COMPUTED_VALUE"""),"-")</f>
        <v>-</v>
      </c>
    </row>
    <row r="2846" customHeight="1" spans="1:12">
      <c r="A2846" s="177" t="str">
        <f>IFERROR(__xludf.DUMMYFUNCTION("""COMPUTED_VALUE"""),"TND-Đ03-012")</f>
        <v>TND-Đ03-012</v>
      </c>
      <c r="B2846" s="1090" t="str">
        <f>IFERROR(__xludf.DUMMYFUNCTION("""COMPUTED_VALUE"""),"Máy đào gàu 0.3m3")</f>
        <v>Máy đào gàu 0.3m3</v>
      </c>
      <c r="C2846" s="177" t="str">
        <f>IFERROR(__xludf.DUMMYFUNCTION("""COMPUTED_VALUE"""),"XN Chuối DP3")</f>
        <v>XN Chuối DP3</v>
      </c>
      <c r="D2846" s="177" t="str">
        <f>IFERROR(__xludf.DUMMYFUNCTION("""COMPUTED_VALUE"""),"CAT")</f>
        <v>CAT</v>
      </c>
      <c r="E2846" s="177" t="str">
        <f>IFERROR(__xludf.DUMMYFUNCTION("""COMPUTED_VALUE"""),"NHẬT BẢN")</f>
        <v>NHẬT BẢN</v>
      </c>
      <c r="F2846" s="177">
        <f>IFERROR(__xludf.DUMMYFUNCTION("""COMPUTED_VALUE"""),1991)</f>
        <v>1991</v>
      </c>
      <c r="G2846" s="177" t="str">
        <f>IFERROR(__xludf.DUMMYFUNCTION("""COMPUTED_VALUE"""),"E70B")</f>
        <v>E70B</v>
      </c>
      <c r="H2846" s="177" t="str">
        <f>IFERROR(__xludf.DUMMYFUNCTION("""COMPUTED_VALUE"""),"70HP")</f>
        <v>70HP</v>
      </c>
      <c r="I2846" s="177" t="str">
        <f>IFERROR(__xludf.DUMMYFUNCTION("""COMPUTED_VALUE"""),"7YE05304")</f>
        <v>7YE05304</v>
      </c>
      <c r="J2846" s="177" t="str">
        <f>IFERROR(__xludf.DUMMYFUNCTION("""COMPUTED_VALUE"""),"4032930922")</f>
        <v>4032930922</v>
      </c>
      <c r="K2846" s="177">
        <f>IFERROR(__xludf.DUMMYFUNCTION("""COMPUTED_VALUE"""),4)</f>
        <v>4</v>
      </c>
      <c r="L2846" s="177" t="str">
        <f>IFERROR(__xludf.DUMMYFUNCTION("""COMPUTED_VALUE"""),"-")</f>
        <v>-</v>
      </c>
    </row>
    <row r="2847" customHeight="1" spans="1:12">
      <c r="A2847" s="177" t="str">
        <f>IFERROR(__xludf.DUMMYFUNCTION("""COMPUTED_VALUE"""),"TND-Đ03-013")</f>
        <v>TND-Đ03-013</v>
      </c>
      <c r="B2847" s="1090" t="str">
        <f>IFERROR(__xludf.DUMMYFUNCTION("""COMPUTED_VALUE"""),"Máy đào gàu 0.3m3")</f>
        <v>Máy đào gàu 0.3m3</v>
      </c>
      <c r="C2847" s="177" t="str">
        <f>IFERROR(__xludf.DUMMYFUNCTION("""COMPUTED_VALUE"""),"XN Chuối DP1")</f>
        <v>XN Chuối DP1</v>
      </c>
      <c r="D2847" s="177" t="str">
        <f>IFERROR(__xludf.DUMMYFUNCTION("""COMPUTED_VALUE"""),"CAT")</f>
        <v>CAT</v>
      </c>
      <c r="E2847" s="177" t="str">
        <f>IFERROR(__xludf.DUMMYFUNCTION("""COMPUTED_VALUE"""),"NHẬT BẢN")</f>
        <v>NHẬT BẢN</v>
      </c>
      <c r="F2847" s="177">
        <f>IFERROR(__xludf.DUMMYFUNCTION("""COMPUTED_VALUE"""),1998)</f>
        <v>1998</v>
      </c>
      <c r="G2847" s="177" t="str">
        <f>IFERROR(__xludf.DUMMYFUNCTION("""COMPUTED_VALUE"""),"303CR")</f>
        <v>303CR</v>
      </c>
      <c r="H2847" s="177" t="str">
        <f>IFERROR(__xludf.DUMMYFUNCTION("""COMPUTED_VALUE"""),"24HP")</f>
        <v>24HP</v>
      </c>
      <c r="I2847" s="177" t="str">
        <f>IFERROR(__xludf.DUMMYFUNCTION("""COMPUTED_VALUE"""),"CAT00303LCAR01399")</f>
        <v>CAT00303LCAR01399</v>
      </c>
      <c r="J2847" s="177" t="str">
        <f>IFERROR(__xludf.DUMMYFUNCTION("""COMPUTED_VALUE"""),"00077620")</f>
        <v>00077620</v>
      </c>
      <c r="K2847" s="177">
        <f>IFERROR(__xludf.DUMMYFUNCTION("""COMPUTED_VALUE"""),3.7)</f>
        <v>3.7</v>
      </c>
      <c r="L2847" s="177" t="str">
        <f>IFERROR(__xludf.DUMMYFUNCTION("""COMPUTED_VALUE"""),"-")</f>
        <v>-</v>
      </c>
    </row>
    <row r="2848" customHeight="1" spans="1:12">
      <c r="A2848" s="177" t="str">
        <f>IFERROR(__xludf.DUMMYFUNCTION("""COMPUTED_VALUE"""),"TND-Đ03-014")</f>
        <v>TND-Đ03-014</v>
      </c>
      <c r="B2848" s="1090" t="str">
        <f>IFERROR(__xludf.DUMMYFUNCTION("""COMPUTED_VALUE"""),"Máy đào gàu 0.3m3")</f>
        <v>Máy đào gàu 0.3m3</v>
      </c>
      <c r="C2848" s="177" t="str">
        <f>IFERROR(__xludf.DUMMYFUNCTION("""COMPUTED_VALUE"""),"XN Chuối DP1")</f>
        <v>XN Chuối DP1</v>
      </c>
      <c r="D2848" s="177" t="str">
        <f>IFERROR(__xludf.DUMMYFUNCTION("""COMPUTED_VALUE"""),"CAT")</f>
        <v>CAT</v>
      </c>
      <c r="E2848" s="177" t="str">
        <f>IFERROR(__xludf.DUMMYFUNCTION("""COMPUTED_VALUE"""),"NHẬT BẢN")</f>
        <v>NHẬT BẢN</v>
      </c>
      <c r="F2848" s="177">
        <f>IFERROR(__xludf.DUMMYFUNCTION("""COMPUTED_VALUE"""),1997)</f>
        <v>1997</v>
      </c>
      <c r="G2848" s="177" t="str">
        <f>IFERROR(__xludf.DUMMYFUNCTION("""COMPUTED_VALUE"""),"308C")</f>
        <v>308C</v>
      </c>
      <c r="H2848" s="177" t="str">
        <f>IFERROR(__xludf.DUMMYFUNCTION("""COMPUTED_VALUE"""),"52HP")</f>
        <v>52HP</v>
      </c>
      <c r="I2848" s="177" t="str">
        <f>IFERROR(__xludf.DUMMYFUNCTION("""COMPUTED_VALUE"""),"CAT0308CTCPE02327")</f>
        <v>CAT0308CTCPE02327</v>
      </c>
      <c r="J2848" s="177" t="str">
        <f>IFERROR(__xludf.DUMMYFUNCTION("""COMPUTED_VALUE"""),"617473")</f>
        <v>617473</v>
      </c>
      <c r="K2848" s="177">
        <f>IFERROR(__xludf.DUMMYFUNCTION("""COMPUTED_VALUE"""),3.7)</f>
        <v>3.7</v>
      </c>
      <c r="L2848" s="177" t="str">
        <f>IFERROR(__xludf.DUMMYFUNCTION("""COMPUTED_VALUE"""),"-")</f>
        <v>-</v>
      </c>
    </row>
    <row r="2849" customHeight="1" spans="1:12">
      <c r="A2849" s="177" t="str">
        <f>IFERROR(__xludf.DUMMYFUNCTION("""COMPUTED_VALUE"""),"TND-Đ03-015")</f>
        <v>TND-Đ03-015</v>
      </c>
      <c r="B2849" s="1090" t="str">
        <f>IFERROR(__xludf.DUMMYFUNCTION("""COMPUTED_VALUE"""),"Máy đào gàu 0.3m3")</f>
        <v>Máy đào gàu 0.3m3</v>
      </c>
      <c r="C2849" s="177" t="str">
        <f>IFERROR(__xludf.DUMMYFUNCTION("""COMPUTED_VALUE"""),"XN Chuối DP3")</f>
        <v>XN Chuối DP3</v>
      </c>
      <c r="D2849" s="177" t="str">
        <f>IFERROR(__xludf.DUMMYFUNCTION("""COMPUTED_VALUE"""),"KOMATSU")</f>
        <v>KOMATSU</v>
      </c>
      <c r="E2849" s="177" t="str">
        <f>IFERROR(__xludf.DUMMYFUNCTION("""COMPUTED_VALUE"""),"NHẬT BẢN")</f>
        <v>NHẬT BẢN</v>
      </c>
      <c r="F2849" s="177">
        <f>IFERROR(__xludf.DUMMYFUNCTION("""COMPUTED_VALUE"""),2021)</f>
        <v>2021</v>
      </c>
      <c r="G2849" s="177" t="str">
        <f>IFERROR(__xludf.DUMMYFUNCTION("""COMPUTED_VALUE"""),"PC40DER-1")</f>
        <v>PC40DER-1</v>
      </c>
      <c r="H2849" s="177" t="str">
        <f>IFERROR(__xludf.DUMMYFUNCTION("""COMPUTED_VALUE"""),"40HP")</f>
        <v>40HP</v>
      </c>
      <c r="I2849" s="177" t="str">
        <f>IFERROR(__xludf.DUMMYFUNCTION("""COMPUTED_VALUE"""),"PC40ER-10286")</f>
        <v>PC40ER-10286</v>
      </c>
      <c r="J2849" s="177" t="str">
        <f>IFERROR(__xludf.DUMMYFUNCTION("""COMPUTED_VALUE"""),"3D88E-3A-00391")</f>
        <v>3D88E-3A-00391</v>
      </c>
      <c r="K2849" s="177">
        <f>IFERROR(__xludf.DUMMYFUNCTION("""COMPUTED_VALUE"""),3.8)</f>
        <v>3.8</v>
      </c>
      <c r="L2849" s="177" t="str">
        <f>IFERROR(__xludf.DUMMYFUNCTION("""COMPUTED_VALUE"""),"-")</f>
        <v>-</v>
      </c>
    </row>
    <row r="2850" customHeight="1" spans="1:12">
      <c r="A2850" s="177" t="str">
        <f>IFERROR(__xludf.DUMMYFUNCTION("""COMPUTED_VALUE"""),"TND-Đ03-016")</f>
        <v>TND-Đ03-016</v>
      </c>
      <c r="B2850" s="1090" t="str">
        <f>IFERROR(__xludf.DUMMYFUNCTION("""COMPUTED_VALUE"""),"Máy đào gàu 0.3m3")</f>
        <v>Máy đào gàu 0.3m3</v>
      </c>
      <c r="C2850" s="177" t="str">
        <f>IFERROR(__xludf.DUMMYFUNCTION("""COMPUTED_VALUE"""),"XN Chuối DP3")</f>
        <v>XN Chuối DP3</v>
      </c>
      <c r="D2850" s="177" t="str">
        <f>IFERROR(__xludf.DUMMYFUNCTION("""COMPUTED_VALUE"""),"CAT")</f>
        <v>CAT</v>
      </c>
      <c r="E2850" s="177" t="str">
        <f>IFERROR(__xludf.DUMMYFUNCTION("""COMPUTED_VALUE"""),"NHẬT BẢN")</f>
        <v>NHẬT BẢN</v>
      </c>
      <c r="F2850" s="177">
        <f>IFERROR(__xludf.DUMMYFUNCTION("""COMPUTED_VALUE"""),2006)</f>
        <v>2006</v>
      </c>
      <c r="G2850" s="177" t="str">
        <f>IFERROR(__xludf.DUMMYFUNCTION("""COMPUTED_VALUE"""),"USA")</f>
        <v>USA</v>
      </c>
      <c r="H2850" s="177" t="str">
        <f>IFERROR(__xludf.DUMMYFUNCTION("""COMPUTED_VALUE"""),"25 HP")</f>
        <v>25 HP</v>
      </c>
      <c r="I2850" s="177" t="str">
        <f>IFERROR(__xludf.DUMMYFUNCTION("""COMPUTED_VALUE"""),"CAR00345")</f>
        <v>CAR00345</v>
      </c>
      <c r="J2850" s="177" t="str">
        <f>IFERROR(__xludf.DUMMYFUNCTION("""COMPUTED_VALUE"""),"S3L21318")</f>
        <v>S3L21318</v>
      </c>
      <c r="K2850" s="177">
        <f>IFERROR(__xludf.DUMMYFUNCTION("""COMPUTED_VALUE"""),3.8)</f>
        <v>3.8</v>
      </c>
      <c r="L2850" s="177" t="str">
        <f>IFERROR(__xludf.DUMMYFUNCTION("""COMPUTED_VALUE"""),"-")</f>
        <v>-</v>
      </c>
    </row>
    <row r="2851" customHeight="1" spans="1:12">
      <c r="A2851" s="177" t="str">
        <f>IFERROR(__xludf.DUMMYFUNCTION("""COMPUTED_VALUE"""),"TND-Đ03-017")</f>
        <v>TND-Đ03-017</v>
      </c>
      <c r="B2851" s="1090" t="str">
        <f>IFERROR(__xludf.DUMMYFUNCTION("""COMPUTED_VALUE"""),"Máy đào gàu 0.3m3")</f>
        <v>Máy đào gàu 0.3m3</v>
      </c>
      <c r="C2851" s="177" t="str">
        <f>IFERROR(__xludf.DUMMYFUNCTION("""COMPUTED_VALUE"""),"XN Chuối DP3")</f>
        <v>XN Chuối DP3</v>
      </c>
      <c r="D2851" s="177" t="str">
        <f>IFERROR(__xludf.DUMMYFUNCTION("""COMPUTED_VALUE"""),"KOMATSU")</f>
        <v>KOMATSU</v>
      </c>
      <c r="E2851" s="177" t="str">
        <f>IFERROR(__xludf.DUMMYFUNCTION("""COMPUTED_VALUE"""),"NHẬT BẢN")</f>
        <v>NHẬT BẢN</v>
      </c>
      <c r="F2851" s="177">
        <f>IFERROR(__xludf.DUMMYFUNCTION("""COMPUTED_VALUE"""),1996)</f>
        <v>1996</v>
      </c>
      <c r="G2851" s="177" t="str">
        <f>IFERROR(__xludf.DUMMYFUNCTION("""COMPUTED_VALUE"""),"PC4DER-1")</f>
        <v>PC4DER-1</v>
      </c>
      <c r="H2851" s="177" t="str">
        <f>IFERROR(__xludf.DUMMYFUNCTION("""COMPUTED_VALUE"""),"40HP")</f>
        <v>40HP</v>
      </c>
      <c r="I2851" s="177" t="str">
        <f>IFERROR(__xludf.DUMMYFUNCTION("""COMPUTED_VALUE"""),"PC4040FR-10286")</f>
        <v>PC4040FR-10286</v>
      </c>
      <c r="J2851" s="177" t="str">
        <f>IFERROR(__xludf.DUMMYFUNCTION("""COMPUTED_VALUE"""),"3D88E-3A-00391")</f>
        <v>3D88E-3A-00391</v>
      </c>
      <c r="K2851" s="177">
        <f>IFERROR(__xludf.DUMMYFUNCTION("""COMPUTED_VALUE"""),2)</f>
        <v>2</v>
      </c>
      <c r="L2851" s="177" t="str">
        <f>IFERROR(__xludf.DUMMYFUNCTION("""COMPUTED_VALUE"""),"-")</f>
        <v>-</v>
      </c>
    </row>
    <row r="2852" customHeight="1" spans="1:12">
      <c r="A2852" s="177" t="str">
        <f>IFERROR(__xludf.DUMMYFUNCTION("""COMPUTED_VALUE"""),"TND-Đ03-018")</f>
        <v>TND-Đ03-018</v>
      </c>
      <c r="B2852" s="1090" t="str">
        <f>IFERROR(__xludf.DUMMYFUNCTION("""COMPUTED_VALUE"""),"Máy đào gàu 0.3m3")</f>
        <v>Máy đào gàu 0.3m3</v>
      </c>
      <c r="C2852" s="177" t="str">
        <f>IFERROR(__xludf.DUMMYFUNCTION("""COMPUTED_VALUE"""),"XN Chuối DP3")</f>
        <v>XN Chuối DP3</v>
      </c>
      <c r="D2852" s="177" t="str">
        <f>IFERROR(__xludf.DUMMYFUNCTION("""COMPUTED_VALUE"""),"CAT")</f>
        <v>CAT</v>
      </c>
      <c r="E2852" s="177"/>
      <c r="F2852" s="177">
        <f>IFERROR(__xludf.DUMMYFUNCTION("""COMPUTED_VALUE"""),1997)</f>
        <v>1997</v>
      </c>
      <c r="G2852" s="177" t="str">
        <f>IFERROR(__xludf.DUMMYFUNCTION("""COMPUTED_VALUE"""),"USA")</f>
        <v>USA</v>
      </c>
      <c r="H2852" s="177" t="str">
        <f>IFERROR(__xludf.DUMMYFUNCTION("""COMPUTED_VALUE"""),"75HP")</f>
        <v>75HP</v>
      </c>
      <c r="I2852" s="177" t="str">
        <f>IFERROR(__xludf.DUMMYFUNCTION("""COMPUTED_VALUE"""),"CAT0308CTCPE02327")</f>
        <v>CAT0308CTCPE02327</v>
      </c>
      <c r="J2852" s="177" t="str">
        <f>IFERROR(__xludf.DUMMYFUNCTION("""COMPUTED_VALUE"""),"617473")</f>
        <v>617473</v>
      </c>
      <c r="K2852" s="177">
        <f>IFERROR(__xludf.DUMMYFUNCTION("""COMPUTED_VALUE"""),3.8)</f>
        <v>3.8</v>
      </c>
      <c r="L2852" s="177" t="str">
        <f>IFERROR(__xludf.DUMMYFUNCTION("""COMPUTED_VALUE"""),"-")</f>
        <v>-</v>
      </c>
    </row>
    <row r="2853" customHeight="1" spans="1:12">
      <c r="A2853" s="177" t="str">
        <f>IFERROR(__xludf.DUMMYFUNCTION("""COMPUTED_VALUE"""),"TND-Đ03-019")</f>
        <v>TND-Đ03-019</v>
      </c>
      <c r="B2853" s="1090" t="str">
        <f>IFERROR(__xludf.DUMMYFUNCTION("""COMPUTED_VALUE"""),"Máy đào gàu 0.3m3")</f>
        <v>Máy đào gàu 0.3m3</v>
      </c>
      <c r="C2853" s="177" t="str">
        <f>IFERROR(__xludf.DUMMYFUNCTION("""COMPUTED_VALUE"""),"XN Chuối DP1")</f>
        <v>XN Chuối DP1</v>
      </c>
      <c r="D2853" s="177" t="str">
        <f>IFERROR(__xludf.DUMMYFUNCTION("""COMPUTED_VALUE"""),"CAT")</f>
        <v>CAT</v>
      </c>
      <c r="E2853" s="177"/>
      <c r="F2853" s="177">
        <f>IFERROR(__xludf.DUMMYFUNCTION("""COMPUTED_VALUE"""),2003)</f>
        <v>2003</v>
      </c>
      <c r="G2853" s="177" t="str">
        <f>IFERROR(__xludf.DUMMYFUNCTION("""COMPUTED_VALUE"""),"303SR")</f>
        <v>303SR</v>
      </c>
      <c r="H2853" s="177" t="str">
        <f>IFERROR(__xludf.DUMMYFUNCTION("""COMPUTED_VALUE"""),"45HP")</f>
        <v>45HP</v>
      </c>
      <c r="I2853" s="177" t="str">
        <f>IFERROR(__xludf.DUMMYFUNCTION("""COMPUTED_VALUE"""),"AD01117")</f>
        <v>AD01117</v>
      </c>
      <c r="J2853" s="177" t="str">
        <f>IFERROR(__xludf.DUMMYFUNCTION("""COMPUTED_VALUE"""),"122918L5")</f>
        <v>122918L5</v>
      </c>
      <c r="K2853" s="177">
        <f>IFERROR(__xludf.DUMMYFUNCTION("""COMPUTED_VALUE"""),3.2)</f>
        <v>3.2</v>
      </c>
      <c r="L2853" s="177" t="str">
        <f>IFERROR(__xludf.DUMMYFUNCTION("""COMPUTED_VALUE"""),"-")</f>
        <v>-</v>
      </c>
    </row>
    <row r="2854" customHeight="1" spans="1:12">
      <c r="A2854" s="177" t="str">
        <f>IFERROR(__xludf.DUMMYFUNCTION("""COMPUTED_VALUE"""),"TND-Đ03-020")</f>
        <v>TND-Đ03-020</v>
      </c>
      <c r="B2854" s="1090" t="str">
        <f>IFERROR(__xludf.DUMMYFUNCTION("""COMPUTED_VALUE"""),"Máy đào gàu 0.3m3")</f>
        <v>Máy đào gàu 0.3m3</v>
      </c>
      <c r="C2854" s="177" t="str">
        <f>IFERROR(__xludf.DUMMYFUNCTION("""COMPUTED_VALUE"""),"XN Chuối DP3")</f>
        <v>XN Chuối DP3</v>
      </c>
      <c r="D2854" s="177" t="str">
        <f>IFERROR(__xludf.DUMMYFUNCTION("""COMPUTED_VALUE"""),"CAT")</f>
        <v>CAT</v>
      </c>
      <c r="E2854" s="177"/>
      <c r="F2854" s="177">
        <f>IFERROR(__xludf.DUMMYFUNCTION("""COMPUTED_VALUE"""),2003)</f>
        <v>2003</v>
      </c>
      <c r="G2854" s="177" t="str">
        <f>IFERROR(__xludf.DUMMYFUNCTION("""COMPUTED_VALUE"""),"303SR")</f>
        <v>303SR</v>
      </c>
      <c r="H2854" s="177" t="str">
        <f>IFERROR(__xludf.DUMMYFUNCTION("""COMPUTED_VALUE"""),"24HP")</f>
        <v>24HP</v>
      </c>
      <c r="I2854" s="177" t="str">
        <f>IFERROR(__xludf.DUMMYFUNCTION("""COMPUTED_VALUE"""),"CAT0303LFAD01117")</f>
        <v>CAT0303LFAD01117</v>
      </c>
      <c r="J2854" s="177" t="str">
        <f>IFERROR(__xludf.DUMMYFUNCTION("""COMPUTED_VALUE"""),"122918L5")</f>
        <v>122918L5</v>
      </c>
      <c r="K2854" s="177">
        <f>IFERROR(__xludf.DUMMYFUNCTION("""COMPUTED_VALUE"""),3)</f>
        <v>3</v>
      </c>
      <c r="L2854" s="177" t="str">
        <f>IFERROR(__xludf.DUMMYFUNCTION("""COMPUTED_VALUE"""),"-")</f>
        <v>-</v>
      </c>
    </row>
    <row r="2855" customHeight="1" spans="1:12">
      <c r="A2855" s="177" t="str">
        <f>IFERROR(__xludf.DUMMYFUNCTION("""COMPUTED_VALUE"""),"TND-Đ03-021")</f>
        <v>TND-Đ03-021</v>
      </c>
      <c r="B2855" s="1090" t="str">
        <f>IFERROR(__xludf.DUMMYFUNCTION("""COMPUTED_VALUE"""),"Máy đào gàu 0.3m3")</f>
        <v>Máy đào gàu 0.3m3</v>
      </c>
      <c r="C2855" s="177" t="str">
        <f>IFERROR(__xludf.DUMMYFUNCTION("""COMPUTED_VALUE"""),"XN Chuối DP2")</f>
        <v>XN Chuối DP2</v>
      </c>
      <c r="D2855" s="177" t="str">
        <f>IFERROR(__xludf.DUMMYFUNCTION("""COMPUTED_VALUE"""),"HITACHI")</f>
        <v>HITACHI</v>
      </c>
      <c r="E2855" s="177" t="str">
        <f>IFERROR(__xludf.DUMMYFUNCTION("""COMPUTED_VALUE"""),"HÀN QUỐC")</f>
        <v>HÀN QUỐC</v>
      </c>
      <c r="F2855" s="177">
        <f>IFERROR(__xludf.DUMMYFUNCTION("""COMPUTED_VALUE"""),2004)</f>
        <v>2004</v>
      </c>
      <c r="G2855" s="177" t="str">
        <f>IFERROR(__xludf.DUMMYFUNCTION("""COMPUTED_VALUE"""),"ZX75US-A")</f>
        <v>ZX75US-A</v>
      </c>
      <c r="H2855" s="177" t="str">
        <f>IFERROR(__xludf.DUMMYFUNCTION("""COMPUTED_VALUE"""),"54HP")</f>
        <v>54HP</v>
      </c>
      <c r="I2855" s="177" t="str">
        <f>IFERROR(__xludf.DUMMYFUNCTION("""COMPUTED_VALUE"""),"HCM1CG00100042071")</f>
        <v>HCM1CG00100042071</v>
      </c>
      <c r="J2855" s="177" t="str">
        <f>IFERROR(__xludf.DUMMYFUNCTION("""COMPUTED_VALUE"""),"45G1261514")</f>
        <v>45G1261514</v>
      </c>
      <c r="K2855" s="177">
        <f>IFERROR(__xludf.DUMMYFUNCTION("""COMPUTED_VALUE"""),5)</f>
        <v>5</v>
      </c>
      <c r="L2855" s="177" t="str">
        <f>IFERROR(__xludf.DUMMYFUNCTION("""COMPUTED_VALUE"""),"-")</f>
        <v>-</v>
      </c>
    </row>
    <row r="2856" customHeight="1" spans="1:12">
      <c r="A2856" s="177" t="str">
        <f>IFERROR(__xludf.DUMMYFUNCTION("""COMPUTED_VALUE"""),"TND-Đ02-001")</f>
        <v>TND-Đ02-001</v>
      </c>
      <c r="B2856" s="1090" t="str">
        <f>IFERROR(__xludf.DUMMYFUNCTION("""COMPUTED_VALUE"""),"Máy đào gàu 0.2m3")</f>
        <v>Máy đào gàu 0.2m3</v>
      </c>
      <c r="C2856" s="177" t="str">
        <f>IFERROR(__xludf.DUMMYFUNCTION("""COMPUTED_VALUE"""),"Ban điện nước")</f>
        <v>Ban điện nước</v>
      </c>
      <c r="D2856" s="177" t="str">
        <f>IFERROR(__xludf.DUMMYFUNCTION("""COMPUTED_VALUE"""),"CAT")</f>
        <v>CAT</v>
      </c>
      <c r="E2856" s="177" t="str">
        <f>IFERROR(__xludf.DUMMYFUNCTION("""COMPUTED_VALUE"""),"NHẬT BẢN")</f>
        <v>NHẬT BẢN</v>
      </c>
      <c r="F2856" s="177">
        <f>IFERROR(__xludf.DUMMYFUNCTION("""COMPUTED_VALUE"""),2023)</f>
        <v>2023</v>
      </c>
      <c r="G2856" s="177" t="str">
        <f>IFERROR(__xludf.DUMMYFUNCTION("""COMPUTED_VALUE"""),"303SR")</f>
        <v>303SR</v>
      </c>
      <c r="H2856" s="177" t="str">
        <f>IFERROR(__xludf.DUMMYFUNCTION("""COMPUTED_VALUE"""),"45HP")</f>
        <v>45HP</v>
      </c>
      <c r="I2856" s="177" t="str">
        <f>IFERROR(__xludf.DUMMYFUNCTION("""COMPUTED_VALUE"""),"CAT00303LFAD01117")</f>
        <v>CAT00303LFAD01117</v>
      </c>
      <c r="J2856" s="177" t="str">
        <f>IFERROR(__xludf.DUMMYFUNCTION("""COMPUTED_VALUE"""),"122918L5")</f>
        <v>122918L5</v>
      </c>
      <c r="K2856" s="177">
        <f>IFERROR(__xludf.DUMMYFUNCTION("""COMPUTED_VALUE"""),3.5)</f>
        <v>3.5</v>
      </c>
      <c r="L2856" s="177" t="str">
        <f>IFERROR(__xludf.DUMMYFUNCTION("""COMPUTED_VALUE"""),"Đang thuê")</f>
        <v>Đang thuê</v>
      </c>
    </row>
    <row r="2857" customHeight="1" spans="1:12">
      <c r="A2857" s="177" t="str">
        <f>IFERROR(__xludf.DUMMYFUNCTION("""COMPUTED_VALUE"""),"TND-Đ02-002")</f>
        <v>TND-Đ02-002</v>
      </c>
      <c r="B2857" s="1090" t="str">
        <f>IFERROR(__xludf.DUMMYFUNCTION("""COMPUTED_VALUE"""),"Máy đào gàu 0.2m3")</f>
        <v>Máy đào gàu 0.2m3</v>
      </c>
      <c r="C2857" s="177" t="str">
        <f>IFERROR(__xludf.DUMMYFUNCTION("""COMPUTED_VALUE"""),"Ban điện nước")</f>
        <v>Ban điện nước</v>
      </c>
      <c r="D2857" s="177" t="str">
        <f>IFERROR(__xludf.DUMMYFUNCTION("""COMPUTED_VALUE"""),"CAT")</f>
        <v>CAT</v>
      </c>
      <c r="E2857" s="177" t="str">
        <f>IFERROR(__xludf.DUMMYFUNCTION("""COMPUTED_VALUE"""),"NHẬT BẢN")</f>
        <v>NHẬT BẢN</v>
      </c>
      <c r="F2857" s="177">
        <f>IFERROR(__xludf.DUMMYFUNCTION("""COMPUTED_VALUE"""),1998)</f>
        <v>1998</v>
      </c>
      <c r="G2857" s="177" t="str">
        <f>IFERROR(__xludf.DUMMYFUNCTION("""COMPUTED_VALUE"""),"303CR")</f>
        <v>303CR</v>
      </c>
      <c r="H2857" s="177" t="str">
        <f>IFERROR(__xludf.DUMMYFUNCTION("""COMPUTED_VALUE"""),"24HP")</f>
        <v>24HP</v>
      </c>
      <c r="I2857" s="177" t="str">
        <f>IFERROR(__xludf.DUMMYFUNCTION("""COMPUTED_VALUE"""),"CAT00303LCAR01399")</f>
        <v>CAT00303LCAR01399</v>
      </c>
      <c r="J2857" s="177" t="str">
        <f>IFERROR(__xludf.DUMMYFUNCTION("""COMPUTED_VALUE"""),"00077620")</f>
        <v>00077620</v>
      </c>
      <c r="K2857" s="177">
        <f>IFERROR(__xludf.DUMMYFUNCTION("""COMPUTED_VALUE"""),2.7)</f>
        <v>2.7</v>
      </c>
      <c r="L2857" s="177" t="str">
        <f>IFERROR(__xludf.DUMMYFUNCTION("""COMPUTED_VALUE"""),"-")</f>
        <v>-</v>
      </c>
    </row>
    <row r="2858" customHeight="1" spans="1:12">
      <c r="A2858" s="177" t="str">
        <f>IFERROR(__xludf.DUMMYFUNCTION("""COMPUTED_VALUE"""),"TND-Đ03-022")</f>
        <v>TND-Đ03-022</v>
      </c>
      <c r="B2858" s="1090" t="str">
        <f>IFERROR(__xludf.DUMMYFUNCTION("""COMPUTED_VALUE"""),"Máy đào gàu 0.3m3")</f>
        <v>Máy đào gàu 0.3m3</v>
      </c>
      <c r="C2858" s="177" t="str">
        <f>IFERROR(__xludf.DUMMYFUNCTION("""COMPUTED_VALUE"""),"XN Chuối DP3")</f>
        <v>XN Chuối DP3</v>
      </c>
      <c r="D2858" s="177" t="str">
        <f>IFERROR(__xludf.DUMMYFUNCTION("""COMPUTED_VALUE"""),"HANIX")</f>
        <v>HANIX</v>
      </c>
      <c r="E2858" s="177"/>
      <c r="F2858" s="177">
        <f>IFERROR(__xludf.DUMMYFUNCTION("""COMPUTED_VALUE"""),1990)</f>
        <v>1990</v>
      </c>
      <c r="G2858" s="177" t="str">
        <f>IFERROR(__xludf.DUMMYFUNCTION("""COMPUTED_VALUE"""),"H45 SK02")</f>
        <v>H45 SK02</v>
      </c>
      <c r="H2858" s="177" t="str">
        <f>IFERROR(__xludf.DUMMYFUNCTION("""COMPUTED_VALUE"""),"45HP")</f>
        <v>45HP</v>
      </c>
      <c r="I2858" s="177" t="str">
        <f>IFERROR(__xludf.DUMMYFUNCTION("""COMPUTED_VALUE"""),"H4500574")</f>
        <v>H4500574</v>
      </c>
      <c r="J2858" s="177" t="str">
        <f>IFERROR(__xludf.DUMMYFUNCTION("""COMPUTED_VALUE"""),"2211")</f>
        <v>2211</v>
      </c>
      <c r="K2858" s="177">
        <f>IFERROR(__xludf.DUMMYFUNCTION("""COMPUTED_VALUE"""),3.5)</f>
        <v>3.5</v>
      </c>
      <c r="L2858" s="177" t="str">
        <f>IFERROR(__xludf.DUMMYFUNCTION("""COMPUTED_VALUE"""),"-")</f>
        <v>-</v>
      </c>
    </row>
    <row r="2859" customHeight="1" spans="1:12">
      <c r="A2859" s="177" t="str">
        <f>IFERROR(__xludf.DUMMYFUNCTION("""COMPUTED_VALUE"""),"TND-Đ03-021")</f>
        <v>TND-Đ03-021</v>
      </c>
      <c r="B2859" s="1090" t="str">
        <f>IFERROR(__xludf.DUMMYFUNCTION("""COMPUTED_VALUE"""),"Máy đào gàu 0.3m3")</f>
        <v>Máy đào gàu 0.3m3</v>
      </c>
      <c r="C2859" s="177" t="str">
        <f>IFERROR(__xludf.DUMMYFUNCTION("""COMPUTED_VALUE"""),"XN Chuối DP2")</f>
        <v>XN Chuối DP2</v>
      </c>
      <c r="D2859" s="177" t="str">
        <f>IFERROR(__xludf.DUMMYFUNCTION("""COMPUTED_VALUE"""),"HITACHI")</f>
        <v>HITACHI</v>
      </c>
      <c r="E2859" s="177" t="str">
        <f>IFERROR(__xludf.DUMMYFUNCTION("""COMPUTED_VALUE"""),"HÀN QUỐC")</f>
        <v>HÀN QUỐC</v>
      </c>
      <c r="F2859" s="177">
        <f>IFERROR(__xludf.DUMMYFUNCTION("""COMPUTED_VALUE"""),2004)</f>
        <v>2004</v>
      </c>
      <c r="G2859" s="177" t="str">
        <f>IFERROR(__xludf.DUMMYFUNCTION("""COMPUTED_VALUE"""),"ZX75US-A")</f>
        <v>ZX75US-A</v>
      </c>
      <c r="H2859" s="177" t="str">
        <f>IFERROR(__xludf.DUMMYFUNCTION("""COMPUTED_VALUE"""),"54HP")</f>
        <v>54HP</v>
      </c>
      <c r="I2859" s="177" t="str">
        <f>IFERROR(__xludf.DUMMYFUNCTION("""COMPUTED_VALUE"""),"HCM1CG00100042071")</f>
        <v>HCM1CG00100042071</v>
      </c>
      <c r="J2859" s="177" t="str">
        <f>IFERROR(__xludf.DUMMYFUNCTION("""COMPUTED_VALUE"""),"45G1261514")</f>
        <v>45G1261514</v>
      </c>
      <c r="K2859" s="177">
        <f>IFERROR(__xludf.DUMMYFUNCTION("""COMPUTED_VALUE"""),5)</f>
        <v>5</v>
      </c>
      <c r="L2859" s="177" t="str">
        <f>IFERROR(__xludf.DUMMYFUNCTION("""COMPUTED_VALUE"""),"-")</f>
        <v>-</v>
      </c>
    </row>
    <row r="2860" customHeight="1" spans="1:12">
      <c r="A2860" s="177" t="str">
        <f>IFERROR(__xludf.DUMMYFUNCTION("""COMPUTED_VALUE"""),"TND-Đ03-023")</f>
        <v>TND-Đ03-023</v>
      </c>
      <c r="B2860" s="1090" t="str">
        <f>IFERROR(__xludf.DUMMYFUNCTION("""COMPUTED_VALUE"""),"Máy đào gàu 0.3m3")</f>
        <v>Máy đào gàu 0.3m3</v>
      </c>
      <c r="C2860" s="177" t="str">
        <f>IFERROR(__xludf.DUMMYFUNCTION("""COMPUTED_VALUE"""),"XN Chuối DP3")</f>
        <v>XN Chuối DP3</v>
      </c>
      <c r="D2860" s="177" t="str">
        <f>IFERROR(__xludf.DUMMYFUNCTION("""COMPUTED_VALUE"""),"CAT")</f>
        <v>CAT</v>
      </c>
      <c r="E2860" s="177"/>
      <c r="F2860" s="177">
        <f>IFERROR(__xludf.DUMMYFUNCTION("""COMPUTED_VALUE"""),1991)</f>
        <v>1991</v>
      </c>
      <c r="G2860" s="177" t="str">
        <f>IFERROR(__xludf.DUMMYFUNCTION("""COMPUTED_VALUE"""),"E70B")</f>
        <v>E70B</v>
      </c>
      <c r="H2860" s="177" t="str">
        <f>IFERROR(__xludf.DUMMYFUNCTION("""COMPUTED_VALUE"""),"55HP")</f>
        <v>55HP</v>
      </c>
      <c r="I2860" s="177" t="str">
        <f>IFERROR(__xludf.DUMMYFUNCTION("""COMPUTED_VALUE"""),"7YF05904")</f>
        <v>7YF05904</v>
      </c>
      <c r="J2860" s="177" t="str">
        <f>IFERROR(__xludf.DUMMYFUNCTION("""COMPUTED_VALUE"""),"4D32938922")</f>
        <v>4D32938922</v>
      </c>
      <c r="K2860" s="177">
        <f>IFERROR(__xludf.DUMMYFUNCTION("""COMPUTED_VALUE"""),4)</f>
        <v>4</v>
      </c>
      <c r="L2860" s="177" t="str">
        <f>IFERROR(__xludf.DUMMYFUNCTION("""COMPUTED_VALUE"""),"-")</f>
        <v>-</v>
      </c>
    </row>
    <row r="2861" customHeight="1" spans="1:12">
      <c r="A2861" s="177" t="str">
        <f>IFERROR(__xludf.DUMMYFUNCTION("""COMPUTED_VALUE"""),"TND-Đ03-024")</f>
        <v>TND-Đ03-024</v>
      </c>
      <c r="B2861" s="1090" t="str">
        <f>IFERROR(__xludf.DUMMYFUNCTION("""COMPUTED_VALUE"""),"Máy đào gàu 0.3m3")</f>
        <v>Máy đào gàu 0.3m3</v>
      </c>
      <c r="C2861" s="177" t="str">
        <f>IFERROR(__xludf.DUMMYFUNCTION("""COMPUTED_VALUE"""),"CGTC DP")</f>
        <v>CGTC DP</v>
      </c>
      <c r="D2861" s="177" t="str">
        <f>IFERROR(__xludf.DUMMYFUNCTION("""COMPUTED_VALUE"""),"KOMATSU")</f>
        <v>KOMATSU</v>
      </c>
      <c r="E2861" s="177"/>
      <c r="F2861" s="177">
        <f>IFERROR(__xludf.DUMMYFUNCTION("""COMPUTED_VALUE"""),2007)</f>
        <v>2007</v>
      </c>
      <c r="G2861" s="177" t="str">
        <f>IFERROR(__xludf.DUMMYFUNCTION("""COMPUTED_VALUE"""),"PC50MR-2")</f>
        <v>PC50MR-2</v>
      </c>
      <c r="H2861" s="177" t="str">
        <f>IFERROR(__xludf.DUMMYFUNCTION("""COMPUTED_VALUE"""),"39HP")</f>
        <v>39HP</v>
      </c>
      <c r="I2861" s="177" t="str">
        <f>IFERROR(__xludf.DUMMYFUNCTION("""COMPUTED_VALUE"""),"5009094")</f>
        <v>5009094</v>
      </c>
      <c r="J2861" s="177" t="str">
        <f>IFERROR(__xludf.DUMMYFUNCTION("""COMPUTED_VALUE"""),"14194")</f>
        <v>14194</v>
      </c>
      <c r="K2861" s="177">
        <f>IFERROR(__xludf.DUMMYFUNCTION("""COMPUTED_VALUE"""),3.75)</f>
        <v>3.75</v>
      </c>
      <c r="L2861" s="177" t="str">
        <f>IFERROR(__xludf.DUMMYFUNCTION("""COMPUTED_VALUE"""),"-")</f>
        <v>-</v>
      </c>
    </row>
    <row r="2862" customHeight="1" spans="1:12">
      <c r="A2862" s="177" t="str">
        <f>IFERROR(__xludf.DUMMYFUNCTION("""COMPUTED_VALUE"""),"TND-Đ03-025")</f>
        <v>TND-Đ03-025</v>
      </c>
      <c r="B2862" s="1090" t="str">
        <f>IFERROR(__xludf.DUMMYFUNCTION("""COMPUTED_VALUE"""),"Máy đào gàu 0.3m3")</f>
        <v>Máy đào gàu 0.3m3</v>
      </c>
      <c r="C2862" s="177" t="str">
        <f>IFERROR(__xludf.DUMMYFUNCTION("""COMPUTED_VALUE"""),"Ban điện nước")</f>
        <v>Ban điện nước</v>
      </c>
      <c r="D2862" s="177" t="str">
        <f>IFERROR(__xludf.DUMMYFUNCTION("""COMPUTED_VALUE"""),"CAT")</f>
        <v>CAT</v>
      </c>
      <c r="E2862" s="177"/>
      <c r="F2862" s="177">
        <f>IFERROR(__xludf.DUMMYFUNCTION("""COMPUTED_VALUE"""),2003)</f>
        <v>2003</v>
      </c>
      <c r="G2862" s="177" t="str">
        <f>IFERROR(__xludf.DUMMYFUNCTION("""COMPUTED_VALUE"""),"303SR")</f>
        <v>303SR</v>
      </c>
      <c r="H2862" s="177" t="str">
        <f>IFERROR(__xludf.DUMMYFUNCTION("""COMPUTED_VALUE"""),"40HP")</f>
        <v>40HP</v>
      </c>
      <c r="I2862" s="177" t="str">
        <f>IFERROR(__xludf.DUMMYFUNCTION("""COMPUTED_VALUE"""),"CAT00303LFAD0117")</f>
        <v>CAT00303LFAD0117</v>
      </c>
      <c r="J2862" s="177" t="str">
        <f>IFERROR(__xludf.DUMMYFUNCTION("""COMPUTED_VALUE"""),"122918L5")</f>
        <v>122918L5</v>
      </c>
      <c r="K2862" s="177">
        <f>IFERROR(__xludf.DUMMYFUNCTION("""COMPUTED_VALUE"""),4)</f>
        <v>4</v>
      </c>
      <c r="L2862" s="177" t="str">
        <f>IFERROR(__xludf.DUMMYFUNCTION("""COMPUTED_VALUE"""),"Đang thuê")</f>
        <v>Đang thuê</v>
      </c>
    </row>
    <row r="2863" customHeight="1" spans="1:12">
      <c r="A2863" s="177" t="str">
        <f>IFERROR(__xludf.DUMMYFUNCTION("""COMPUTED_VALUE"""),"TND-Đ03-026")</f>
        <v>TND-Đ03-026</v>
      </c>
      <c r="B2863" s="1090" t="str">
        <f>IFERROR(__xludf.DUMMYFUNCTION("""COMPUTED_VALUE"""),"Máy đào gàu 0.3m3")</f>
        <v>Máy đào gàu 0.3m3</v>
      </c>
      <c r="C2863" s="177" t="str">
        <f>IFERROR(__xludf.DUMMYFUNCTION("""COMPUTED_VALUE"""),"CGTC DP")</f>
        <v>CGTC DP</v>
      </c>
      <c r="D2863" s="177" t="str">
        <f>IFERROR(__xludf.DUMMYFUNCTION("""COMPUTED_VALUE"""),"KOMATSU")</f>
        <v>KOMATSU</v>
      </c>
      <c r="E2863" s="177"/>
      <c r="F2863" s="177">
        <f>IFERROR(__xludf.DUMMYFUNCTION("""COMPUTED_VALUE"""),1996)</f>
        <v>1996</v>
      </c>
      <c r="G2863" s="177" t="str">
        <f>IFERROR(__xludf.DUMMYFUNCTION("""COMPUTED_VALUE"""),"PC40FR-1")</f>
        <v>PC40FR-1</v>
      </c>
      <c r="H2863" s="177" t="str">
        <f>IFERROR(__xludf.DUMMYFUNCTION("""COMPUTED_VALUE"""),"40HP")</f>
        <v>40HP</v>
      </c>
      <c r="I2863" s="177" t="str">
        <f>IFERROR(__xludf.DUMMYFUNCTION("""COMPUTED_VALUE"""),"PC40FR-10286")</f>
        <v>PC40FR-10286</v>
      </c>
      <c r="J2863" s="177" t="str">
        <f>IFERROR(__xludf.DUMMYFUNCTION("""COMPUTED_VALUE"""),"3D88E-3A-00391")</f>
        <v>3D88E-3A-00391</v>
      </c>
      <c r="K2863" s="177">
        <f>IFERROR(__xludf.DUMMYFUNCTION("""COMPUTED_VALUE"""),3)</f>
        <v>3</v>
      </c>
      <c r="L2863" s="177" t="str">
        <f>IFERROR(__xludf.DUMMYFUNCTION("""COMPUTED_VALUE"""),"Đang thuê")</f>
        <v>Đang thuê</v>
      </c>
    </row>
    <row r="2864" customHeight="1" spans="1:12">
      <c r="A2864" s="177" t="str">
        <f>IFERROR(__xludf.DUMMYFUNCTION("""COMPUTED_VALUE"""),"TND-Đ03-027")</f>
        <v>TND-Đ03-027</v>
      </c>
      <c r="B2864" s="1090" t="str">
        <f>IFERROR(__xludf.DUMMYFUNCTION("""COMPUTED_VALUE"""),"Máy đào gàu 0.3m3")</f>
        <v>Máy đào gàu 0.3m3</v>
      </c>
      <c r="C2864" s="177" t="str">
        <f>IFERROR(__xludf.DUMMYFUNCTION("""COMPUTED_VALUE"""),"XN Chuối DP3")</f>
        <v>XN Chuối DP3</v>
      </c>
      <c r="D2864" s="177" t="str">
        <f>IFERROR(__xludf.DUMMYFUNCTION("""COMPUTED_VALUE"""),"CAT")</f>
        <v>CAT</v>
      </c>
      <c r="E2864" s="177"/>
      <c r="F2864" s="177"/>
      <c r="G2864" s="177" t="str">
        <f>IFERROR(__xludf.DUMMYFUNCTION("""COMPUTED_VALUE"""),"304CR")</f>
        <v>304CR</v>
      </c>
      <c r="H2864" s="177" t="str">
        <f>IFERROR(__xludf.DUMMYFUNCTION("""COMPUTED_VALUE"""),"40HP")</f>
        <v>40HP</v>
      </c>
      <c r="I2864" s="177" t="str">
        <f>IFERROR(__xludf.DUMMYFUNCTION("""COMPUTED_VALUE"""),"CAT00304CBTN00130")</f>
        <v>CAT00304CBTN00130</v>
      </c>
      <c r="J2864" s="177" t="str">
        <f>IFERROR(__xludf.DUMMYFUNCTION("""COMPUTED_VALUE"""),"S4L200064878")</f>
        <v>S4L200064878</v>
      </c>
      <c r="K2864" s="177">
        <f>IFERROR(__xludf.DUMMYFUNCTION("""COMPUTED_VALUE"""),3.8)</f>
        <v>3.8</v>
      </c>
      <c r="L2864" s="177" t="str">
        <f>IFERROR(__xludf.DUMMYFUNCTION("""COMPUTED_VALUE"""),"-")</f>
        <v>-</v>
      </c>
    </row>
    <row r="2865" customHeight="1" spans="1:12">
      <c r="A2865" s="177" t="str">
        <f>IFERROR(__xludf.DUMMYFUNCTION("""COMPUTED_VALUE"""),"TND-Đ03-028")</f>
        <v>TND-Đ03-028</v>
      </c>
      <c r="B2865" s="1090" t="str">
        <f>IFERROR(__xludf.DUMMYFUNCTION("""COMPUTED_VALUE"""),"Máy đào gàu 0.3m3")</f>
        <v>Máy đào gàu 0.3m3</v>
      </c>
      <c r="C2865" s="177" t="str">
        <f>IFERROR(__xludf.DUMMYFUNCTION("""COMPUTED_VALUE"""),"XN Chuối DP3")</f>
        <v>XN Chuối DP3</v>
      </c>
      <c r="D2865" s="177" t="str">
        <f>IFERROR(__xludf.DUMMYFUNCTION("""COMPUTED_VALUE"""),"SOLAR")</f>
        <v>SOLAR</v>
      </c>
      <c r="E2865" s="177"/>
      <c r="F2865" s="177">
        <f>IFERROR(__xludf.DUMMYFUNCTION("""COMPUTED_VALUE"""),1997)</f>
        <v>1997</v>
      </c>
      <c r="G2865" s="177"/>
      <c r="H2865" s="177" t="str">
        <f>IFERROR(__xludf.DUMMYFUNCTION("""COMPUTED_VALUE"""),"40HP")</f>
        <v>40HP</v>
      </c>
      <c r="I2865" s="177" t="str">
        <f>IFERROR(__xludf.DUMMYFUNCTION("""COMPUTED_VALUE"""),"SL5010625")</f>
        <v>SL5010625</v>
      </c>
      <c r="J2865" s="177" t="str">
        <f>IFERROR(__xludf.DUMMYFUNCTION("""COMPUTED_VALUE"""),"DC24602047")</f>
        <v>DC24602047</v>
      </c>
      <c r="K2865" s="177">
        <f>IFERROR(__xludf.DUMMYFUNCTION("""COMPUTED_VALUE"""),5)</f>
        <v>5</v>
      </c>
      <c r="L2865" s="177" t="str">
        <f>IFERROR(__xludf.DUMMYFUNCTION("""COMPUTED_VALUE"""),"-")</f>
        <v>-</v>
      </c>
    </row>
    <row r="2866" customHeight="1" spans="1:12">
      <c r="A2866" s="177" t="str">
        <f>IFERROR(__xludf.DUMMYFUNCTION("""COMPUTED_VALUE"""),"TND-Đ03-029")</f>
        <v>TND-Đ03-029</v>
      </c>
      <c r="B2866" s="1090" t="str">
        <f>IFERROR(__xludf.DUMMYFUNCTION("""COMPUTED_VALUE"""),"Máy đào gàu 0.3m3")</f>
        <v>Máy đào gàu 0.3m3</v>
      </c>
      <c r="C2866" s="177" t="str">
        <f>IFERROR(__xludf.DUMMYFUNCTION("""COMPUTED_VALUE"""),"XN Chuối DP1")</f>
        <v>XN Chuối DP1</v>
      </c>
      <c r="D2866" s="177" t="str">
        <f>IFERROR(__xludf.DUMMYFUNCTION("""COMPUTED_VALUE"""),"KOMATSU")</f>
        <v>KOMATSU</v>
      </c>
      <c r="E2866" s="177"/>
      <c r="F2866" s="177">
        <f>IFERROR(__xludf.DUMMYFUNCTION("""COMPUTED_VALUE"""),2007)</f>
        <v>2007</v>
      </c>
      <c r="G2866" s="177" t="str">
        <f>IFERROR(__xludf.DUMMYFUNCTION("""COMPUTED_VALUE"""),"PC50MR-2")</f>
        <v>PC50MR-2</v>
      </c>
      <c r="H2866" s="177" t="str">
        <f>IFERROR(__xludf.DUMMYFUNCTION("""COMPUTED_VALUE"""),"39HP")</f>
        <v>39HP</v>
      </c>
      <c r="I2866" s="177" t="str">
        <f>IFERROR(__xludf.DUMMYFUNCTION("""COMPUTED_VALUE"""),"5009094")</f>
        <v>5009094</v>
      </c>
      <c r="J2866" s="177" t="str">
        <f>IFERROR(__xludf.DUMMYFUNCTION("""COMPUTED_VALUE"""),"14194")</f>
        <v>14194</v>
      </c>
      <c r="K2866" s="177">
        <f>IFERROR(__xludf.DUMMYFUNCTION("""COMPUTED_VALUE"""),4)</f>
        <v>4</v>
      </c>
      <c r="L2866" s="177" t="str">
        <f>IFERROR(__xludf.DUMMYFUNCTION("""COMPUTED_VALUE"""),"Đang thuê")</f>
        <v>Đang thuê</v>
      </c>
    </row>
    <row r="2867" customHeight="1" spans="1:12">
      <c r="A2867" s="177" t="str">
        <f>IFERROR(__xludf.DUMMYFUNCTION("""COMPUTED_VALUE"""),"Máy ủi")</f>
        <v>Máy ủi</v>
      </c>
      <c r="B2867" s="1090" t="str">
        <f>IFERROR(__xludf.DUMMYFUNCTION("""COMPUTED_VALUE"""),"36")</f>
        <v>36</v>
      </c>
      <c r="C2867" s="177"/>
      <c r="D2867" s="177"/>
      <c r="E2867" s="177"/>
      <c r="F2867" s="177"/>
      <c r="G2867" s="177"/>
      <c r="H2867" s="177"/>
      <c r="I2867" s="177"/>
      <c r="J2867" s="177"/>
      <c r="K2867" s="177"/>
      <c r="L2867" s="177" t="str">
        <f>IFERROR(__xludf.DUMMYFUNCTION("""COMPUTED_VALUE"""),"15")</f>
        <v>15</v>
      </c>
    </row>
    <row r="2868" customHeight="1" spans="1:12">
      <c r="A2868" s="177" t="str">
        <f>IFERROR(__xludf.DUMMYFUNCTION("""COMPUTED_VALUE"""),"TND-MUI-001")</f>
        <v>TND-MUI-001</v>
      </c>
      <c r="B2868" s="1090" t="str">
        <f>IFERROR(__xludf.DUMMYFUNCTION("""COMPUTED_VALUE"""),"Máy ủi D50")</f>
        <v>Máy ủi D50</v>
      </c>
      <c r="C2868" s="177" t="str">
        <f>IFERROR(__xludf.DUMMYFUNCTION("""COMPUTED_VALUE"""),"CGTC DP")</f>
        <v>CGTC DP</v>
      </c>
      <c r="D2868" s="177" t="str">
        <f>IFERROR(__xludf.DUMMYFUNCTION("""COMPUTED_VALUE"""),"KOMATSU")</f>
        <v>KOMATSU</v>
      </c>
      <c r="E2868" s="177"/>
      <c r="F2868" s="177">
        <f>IFERROR(__xludf.DUMMYFUNCTION("""COMPUTED_VALUE"""),2000)</f>
        <v>2000</v>
      </c>
      <c r="G2868" s="177" t="str">
        <f>IFERROR(__xludf.DUMMYFUNCTION("""COMPUTED_VALUE"""),"D50")</f>
        <v>D50</v>
      </c>
      <c r="H2868" s="177" t="str">
        <f>IFERROR(__xludf.DUMMYFUNCTION("""COMPUTED_VALUE"""),"130HP")</f>
        <v>130HP</v>
      </c>
      <c r="I2868" s="177" t="str">
        <f>IFERROR(__xludf.DUMMYFUNCTION("""COMPUTED_VALUE"""),"49X0794")</f>
        <v>49X0794</v>
      </c>
      <c r="J2868" s="177" t="str">
        <f>IFERROR(__xludf.DUMMYFUNCTION("""COMPUTED_VALUE"""),"3306PC")</f>
        <v>3306PC</v>
      </c>
      <c r="K2868" s="177"/>
      <c r="L2868" s="177" t="str">
        <f>IFERROR(__xludf.DUMMYFUNCTION("""COMPUTED_VALUE"""),"-")</f>
        <v>-</v>
      </c>
    </row>
    <row r="2869" customHeight="1" spans="1:12">
      <c r="A2869" s="177" t="str">
        <f>IFERROR(__xludf.DUMMYFUNCTION("""COMPUTED_VALUE"""),"TND-MUI-002")</f>
        <v>TND-MUI-002</v>
      </c>
      <c r="B2869" s="1090" t="str">
        <f>IFERROR(__xludf.DUMMYFUNCTION("""COMPUTED_VALUE"""),"Máy ủi D65")</f>
        <v>Máy ủi D65</v>
      </c>
      <c r="C2869" s="177" t="str">
        <f>IFERROR(__xludf.DUMMYFUNCTION("""COMPUTED_VALUE"""),"CGTC DP")</f>
        <v>CGTC DP</v>
      </c>
      <c r="D2869" s="177" t="str">
        <f>IFERROR(__xludf.DUMMYFUNCTION("""COMPUTED_VALUE"""),"KOMATSU")</f>
        <v>KOMATSU</v>
      </c>
      <c r="E2869" s="177"/>
      <c r="F2869" s="177">
        <f>IFERROR(__xludf.DUMMYFUNCTION("""COMPUTED_VALUE"""),1999)</f>
        <v>1999</v>
      </c>
      <c r="G2869" s="177" t="str">
        <f>IFERROR(__xludf.DUMMYFUNCTION("""COMPUTED_VALUE"""),"D65P-7")</f>
        <v>D65P-7</v>
      </c>
      <c r="H2869" s="177" t="str">
        <f>IFERROR(__xludf.DUMMYFUNCTION("""COMPUTED_VALUE"""),"170HP")</f>
        <v>170HP</v>
      </c>
      <c r="I2869" s="177" t="str">
        <f>IFERROR(__xludf.DUMMYFUNCTION("""COMPUTED_VALUE"""),"65401")</f>
        <v>65401</v>
      </c>
      <c r="J2869" s="177" t="str">
        <f>IFERROR(__xludf.DUMMYFUNCTION("""COMPUTED_VALUE"""),"4D130-1-1260")</f>
        <v>4D130-1-1260</v>
      </c>
      <c r="K2869" s="177"/>
      <c r="L2869" s="177" t="str">
        <f>IFERROR(__xludf.DUMMYFUNCTION("""COMPUTED_VALUE"""),"-")</f>
        <v>-</v>
      </c>
    </row>
    <row r="2870" customHeight="1" spans="1:12">
      <c r="A2870" s="177" t="str">
        <f>IFERROR(__xludf.DUMMYFUNCTION("""COMPUTED_VALUE"""),"TND-MUI-003")</f>
        <v>TND-MUI-003</v>
      </c>
      <c r="B2870" s="1090" t="str">
        <f>IFERROR(__xludf.DUMMYFUNCTION("""COMPUTED_VALUE"""),"Máy ủi D60")</f>
        <v>Máy ủi D60</v>
      </c>
      <c r="C2870" s="177" t="str">
        <f>IFERROR(__xludf.DUMMYFUNCTION("""COMPUTED_VALUE"""),"CGTC DP")</f>
        <v>CGTC DP</v>
      </c>
      <c r="D2870" s="177" t="str">
        <f>IFERROR(__xludf.DUMMYFUNCTION("""COMPUTED_VALUE"""),"KOMATSU")</f>
        <v>KOMATSU</v>
      </c>
      <c r="E2870" s="177"/>
      <c r="F2870" s="177">
        <f>IFERROR(__xludf.DUMMYFUNCTION("""COMPUTED_VALUE"""),1995)</f>
        <v>1995</v>
      </c>
      <c r="G2870" s="177" t="str">
        <f>IFERROR(__xludf.DUMMYFUNCTION("""COMPUTED_VALUE"""),"D50")</f>
        <v>D50</v>
      </c>
      <c r="H2870" s="177" t="str">
        <f>IFERROR(__xludf.DUMMYFUNCTION("""COMPUTED_VALUE"""),"130HP")</f>
        <v>130HP</v>
      </c>
      <c r="I2870" s="177" t="str">
        <f>IFERROR(__xludf.DUMMYFUNCTION("""COMPUTED_VALUE"""),"50365")</f>
        <v>50365</v>
      </c>
      <c r="J2870" s="177" t="str">
        <f>IFERROR(__xludf.DUMMYFUNCTION("""COMPUTED_VALUE"""),"31085")</f>
        <v>31085</v>
      </c>
      <c r="K2870" s="177"/>
      <c r="L2870" s="177" t="str">
        <f>IFERROR(__xludf.DUMMYFUNCTION("""COMPUTED_VALUE"""),"-")</f>
        <v>-</v>
      </c>
    </row>
    <row r="2871" customHeight="1" spans="1:12">
      <c r="A2871" s="177" t="str">
        <f>IFERROR(__xludf.DUMMYFUNCTION("""COMPUTED_VALUE"""),"TND-MUI-004")</f>
        <v>TND-MUI-004</v>
      </c>
      <c r="B2871" s="1090" t="str">
        <f>IFERROR(__xludf.DUMMYFUNCTION("""COMPUTED_VALUE"""),"Máy ủi D60")</f>
        <v>Máy ủi D60</v>
      </c>
      <c r="C2871" s="177" t="str">
        <f>IFERROR(__xludf.DUMMYFUNCTION("""COMPUTED_VALUE"""),"CGTC DP")</f>
        <v>CGTC DP</v>
      </c>
      <c r="D2871" s="177" t="str">
        <f>IFERROR(__xludf.DUMMYFUNCTION("""COMPUTED_VALUE"""),"KOMATSU")</f>
        <v>KOMATSU</v>
      </c>
      <c r="E2871" s="177"/>
      <c r="F2871" s="177">
        <f>IFERROR(__xludf.DUMMYFUNCTION("""COMPUTED_VALUE"""),1996)</f>
        <v>1996</v>
      </c>
      <c r="G2871" s="177" t="str">
        <f>IFERROR(__xludf.DUMMYFUNCTION("""COMPUTED_VALUE"""),"D60")</f>
        <v>D60</v>
      </c>
      <c r="H2871" s="177" t="str">
        <f>IFERROR(__xludf.DUMMYFUNCTION("""COMPUTED_VALUE"""),"155HP")</f>
        <v>155HP</v>
      </c>
      <c r="I2871" s="177" t="str">
        <f>IFERROR(__xludf.DUMMYFUNCTION("""COMPUTED_VALUE"""),"80866")</f>
        <v>80866</v>
      </c>
      <c r="J2871" s="177" t="str">
        <f>IFERROR(__xludf.DUMMYFUNCTION("""COMPUTED_VALUE"""),"N/L")</f>
        <v>N/L</v>
      </c>
      <c r="K2871" s="177"/>
      <c r="L2871" s="177" t="str">
        <f>IFERROR(__xludf.DUMMYFUNCTION("""COMPUTED_VALUE"""),"-")</f>
        <v>-</v>
      </c>
    </row>
    <row r="2872" customHeight="1" spans="1:12">
      <c r="A2872" s="177" t="str">
        <f>IFERROR(__xludf.DUMMYFUNCTION("""COMPUTED_VALUE"""),"TND-MUI-005")</f>
        <v>TND-MUI-005</v>
      </c>
      <c r="B2872" s="1090" t="str">
        <f>IFERROR(__xludf.DUMMYFUNCTION("""COMPUTED_VALUE"""),"Máy ủi D60")</f>
        <v>Máy ủi D60</v>
      </c>
      <c r="C2872" s="177" t="str">
        <f>IFERROR(__xludf.DUMMYFUNCTION("""COMPUTED_VALUE"""),"CGTC DP")</f>
        <v>CGTC DP</v>
      </c>
      <c r="D2872" s="177" t="str">
        <f>IFERROR(__xludf.DUMMYFUNCTION("""COMPUTED_VALUE"""),"KOMATSU")</f>
        <v>KOMATSU</v>
      </c>
      <c r="E2872" s="177"/>
      <c r="F2872" s="177">
        <f>IFERROR(__xludf.DUMMYFUNCTION("""COMPUTED_VALUE"""),2000)</f>
        <v>2000</v>
      </c>
      <c r="G2872" s="177" t="str">
        <f>IFERROR(__xludf.DUMMYFUNCTION("""COMPUTED_VALUE"""),"D60")</f>
        <v>D60</v>
      </c>
      <c r="H2872" s="177" t="str">
        <f>IFERROR(__xludf.DUMMYFUNCTION("""COMPUTED_VALUE"""),"155HP")</f>
        <v>155HP</v>
      </c>
      <c r="I2872" s="177" t="str">
        <f>IFERROR(__xludf.DUMMYFUNCTION("""COMPUTED_VALUE"""),"80129")</f>
        <v>80129</v>
      </c>
      <c r="J2872" s="177"/>
      <c r="K2872" s="177"/>
      <c r="L2872" s="177" t="str">
        <f>IFERROR(__xludf.DUMMYFUNCTION("""COMPUTED_VALUE"""),"-")</f>
        <v>-</v>
      </c>
    </row>
    <row r="2873" customHeight="1" spans="1:12">
      <c r="A2873" s="177" t="str">
        <f>IFERROR(__xludf.DUMMYFUNCTION("""COMPUTED_VALUE"""),"TND-MUI-006")</f>
        <v>TND-MUI-006</v>
      </c>
      <c r="B2873" s="1090" t="str">
        <f>IFERROR(__xludf.DUMMYFUNCTION("""COMPUTED_VALUE"""),"Máy ủi D60")</f>
        <v>Máy ủi D60</v>
      </c>
      <c r="C2873" s="177" t="str">
        <f>IFERROR(__xludf.DUMMYFUNCTION("""COMPUTED_VALUE"""),"CGTC DP")</f>
        <v>CGTC DP</v>
      </c>
      <c r="D2873" s="177" t="str">
        <f>IFERROR(__xludf.DUMMYFUNCTION("""COMPUTED_VALUE"""),"KOMATSU")</f>
        <v>KOMATSU</v>
      </c>
      <c r="E2873" s="177"/>
      <c r="F2873" s="177">
        <f>IFERROR(__xludf.DUMMYFUNCTION("""COMPUTED_VALUE"""),2000)</f>
        <v>2000</v>
      </c>
      <c r="G2873" s="177" t="str">
        <f>IFERROR(__xludf.DUMMYFUNCTION("""COMPUTED_VALUE"""),"D60S6")</f>
        <v>D60S6</v>
      </c>
      <c r="H2873" s="177" t="str">
        <f>IFERROR(__xludf.DUMMYFUNCTION("""COMPUTED_VALUE"""),"155HP")</f>
        <v>155HP</v>
      </c>
      <c r="I2873" s="177" t="str">
        <f>IFERROR(__xludf.DUMMYFUNCTION("""COMPUTED_VALUE"""),"D60S628216")</f>
        <v>D60S628216</v>
      </c>
      <c r="J2873" s="177" t="str">
        <f>IFERROR(__xludf.DUMMYFUNCTION("""COMPUTED_VALUE"""),"USEDBV1100 ZFRVNTT01")</f>
        <v>USEDBV1100 ZFRVNTT01</v>
      </c>
      <c r="K2873" s="177"/>
      <c r="L2873" s="177" t="str">
        <f>IFERROR(__xludf.DUMMYFUNCTION("""COMPUTED_VALUE"""),"-")</f>
        <v>-</v>
      </c>
    </row>
    <row r="2874" customHeight="1" spans="1:12">
      <c r="A2874" s="177" t="str">
        <f>IFERROR(__xludf.DUMMYFUNCTION("""COMPUTED_VALUE"""),"TND-MUI-007")</f>
        <v>TND-MUI-007</v>
      </c>
      <c r="B2874" s="1090" t="str">
        <f>IFERROR(__xludf.DUMMYFUNCTION("""COMPUTED_VALUE"""),"Máy ủi D60")</f>
        <v>Máy ủi D60</v>
      </c>
      <c r="C2874" s="177" t="str">
        <f>IFERROR(__xludf.DUMMYFUNCTION("""COMPUTED_VALUE"""),"CGTC DP")</f>
        <v>CGTC DP</v>
      </c>
      <c r="D2874" s="177" t="str">
        <f>IFERROR(__xludf.DUMMYFUNCTION("""COMPUTED_VALUE"""),"CATERPILLAR")</f>
        <v>CATERPILLAR</v>
      </c>
      <c r="E2874" s="177"/>
      <c r="F2874" s="177">
        <f>IFERROR(__xludf.DUMMYFUNCTION("""COMPUTED_VALUE"""),1991)</f>
        <v>1991</v>
      </c>
      <c r="G2874" s="177" t="str">
        <f>IFERROR(__xludf.DUMMYFUNCTION("""COMPUTED_VALUE"""),"D7F")</f>
        <v>D7F</v>
      </c>
      <c r="H2874" s="177" t="str">
        <f>IFERROR(__xludf.DUMMYFUNCTION("""COMPUTED_VALUE"""),"180HP")</f>
        <v>180HP</v>
      </c>
      <c r="I2874" s="177" t="str">
        <f>IFERROR(__xludf.DUMMYFUNCTION("""COMPUTED_VALUE"""),"91E419")</f>
        <v>91E419</v>
      </c>
      <c r="J2874" s="177" t="str">
        <f>IFERROR(__xludf.DUMMYFUNCTION("""COMPUTED_VALUE"""),"MODLSD7F")</f>
        <v>MODLSD7F</v>
      </c>
      <c r="K2874" s="177"/>
      <c r="L2874" s="177" t="str">
        <f>IFERROR(__xludf.DUMMYFUNCTION("""COMPUTED_VALUE"""),"-")</f>
        <v>-</v>
      </c>
    </row>
    <row r="2875" customHeight="1" spans="1:12">
      <c r="A2875" s="177" t="str">
        <f>IFERROR(__xludf.DUMMYFUNCTION("""COMPUTED_VALUE"""),"TND-MUI-008")</f>
        <v>TND-MUI-008</v>
      </c>
      <c r="B2875" s="1090" t="str">
        <f>IFERROR(__xludf.DUMMYFUNCTION("""COMPUTED_VALUE"""),"Máy ủi D68")</f>
        <v>Máy ủi D68</v>
      </c>
      <c r="C2875" s="177" t="str">
        <f>IFERROR(__xludf.DUMMYFUNCTION("""COMPUTED_VALUE"""),"CGTC DP")</f>
        <v>CGTC DP</v>
      </c>
      <c r="D2875" s="177" t="str">
        <f>IFERROR(__xludf.DUMMYFUNCTION("""COMPUTED_VALUE"""),"KOMATSU")</f>
        <v>KOMATSU</v>
      </c>
      <c r="E2875" s="177"/>
      <c r="F2875" s="177">
        <f>IFERROR(__xludf.DUMMYFUNCTION("""COMPUTED_VALUE"""),1996)</f>
        <v>1996</v>
      </c>
      <c r="G2875" s="177" t="str">
        <f>IFERROR(__xludf.DUMMYFUNCTION("""COMPUTED_VALUE"""),"D68E")</f>
        <v>D68E</v>
      </c>
      <c r="H2875" s="177" t="str">
        <f>IFERROR(__xludf.DUMMYFUNCTION("""COMPUTED_VALUE"""),"190HP")</f>
        <v>190HP</v>
      </c>
      <c r="I2875" s="177" t="str">
        <f>IFERROR(__xludf.DUMMYFUNCTION("""COMPUTED_VALUE"""),"1308")</f>
        <v>1308</v>
      </c>
      <c r="J2875" s="177" t="str">
        <f>IFERROR(__xludf.DUMMYFUNCTION("""COMPUTED_VALUE"""),"6D12528503")</f>
        <v>6D12528503</v>
      </c>
      <c r="K2875" s="177"/>
      <c r="L2875" s="177" t="str">
        <f>IFERROR(__xludf.DUMMYFUNCTION("""COMPUTED_VALUE"""),"-")</f>
        <v>-</v>
      </c>
    </row>
    <row r="2876" customHeight="1" spans="1:12">
      <c r="A2876" s="177" t="str">
        <f>IFERROR(__xludf.DUMMYFUNCTION("""COMPUTED_VALUE"""),"TND-MUI-009")</f>
        <v>TND-MUI-009</v>
      </c>
      <c r="B2876" s="1090" t="str">
        <f>IFERROR(__xludf.DUMMYFUNCTION("""COMPUTED_VALUE"""),"Máy ủi D60")</f>
        <v>Máy ủi D60</v>
      </c>
      <c r="C2876" s="177" t="str">
        <f>IFERROR(__xludf.DUMMYFUNCTION("""COMPUTED_VALUE"""),"CGTC DP")</f>
        <v>CGTC DP</v>
      </c>
      <c r="D2876" s="177" t="str">
        <f>IFERROR(__xludf.DUMMYFUNCTION("""COMPUTED_VALUE"""),"CRAWLEH")</f>
        <v>CRAWLEH</v>
      </c>
      <c r="E2876" s="177"/>
      <c r="F2876" s="177">
        <f>IFERROR(__xludf.DUMMYFUNCTION("""COMPUTED_VALUE"""),2012)</f>
        <v>2012</v>
      </c>
      <c r="G2876" s="177" t="str">
        <f>IFERROR(__xludf.DUMMYFUNCTION("""COMPUTED_VALUE"""),"D60")</f>
        <v>D60</v>
      </c>
      <c r="H2876" s="177" t="str">
        <f>IFERROR(__xludf.DUMMYFUNCTION("""COMPUTED_VALUE"""),"155HP")</f>
        <v>155HP</v>
      </c>
      <c r="I2876" s="177" t="str">
        <f>IFERROR(__xludf.DUMMYFUNCTION("""COMPUTED_VALUE"""),"1062")</f>
        <v>1062</v>
      </c>
      <c r="J2876" s="177" t="str">
        <f>IFERROR(__xludf.DUMMYFUNCTION("""COMPUTED_VALUE"""),"6D1252605")</f>
        <v>6D1252605</v>
      </c>
      <c r="K2876" s="177"/>
      <c r="L2876" s="177" t="str">
        <f>IFERROR(__xludf.DUMMYFUNCTION("""COMPUTED_VALUE"""),"-")</f>
        <v>-</v>
      </c>
    </row>
    <row r="2877" customHeight="1" spans="1:12">
      <c r="A2877" s="177" t="str">
        <f>IFERROR(__xludf.DUMMYFUNCTION("""COMPUTED_VALUE"""),"TND-MUI-010")</f>
        <v>TND-MUI-010</v>
      </c>
      <c r="B2877" s="1090" t="str">
        <f>IFERROR(__xludf.DUMMYFUNCTION("""COMPUTED_VALUE"""),"Máy ủi D83")</f>
        <v>Máy ủi D83</v>
      </c>
      <c r="C2877" s="177" t="str">
        <f>IFERROR(__xludf.DUMMYFUNCTION("""COMPUTED_VALUE"""),"CGTC DP")</f>
        <v>CGTC DP</v>
      </c>
      <c r="D2877" s="177" t="str">
        <f>IFERROR(__xludf.DUMMYFUNCTION("""COMPUTED_VALUE"""),"KOMATSU")</f>
        <v>KOMATSU</v>
      </c>
      <c r="E2877" s="177"/>
      <c r="F2877" s="177">
        <f>IFERROR(__xludf.DUMMYFUNCTION("""COMPUTED_VALUE"""),1992)</f>
        <v>1992</v>
      </c>
      <c r="G2877" s="177" t="str">
        <f>IFERROR(__xludf.DUMMYFUNCTION("""COMPUTED_VALUE"""),"D83E")</f>
        <v>D83E</v>
      </c>
      <c r="H2877" s="177" t="str">
        <f>IFERROR(__xludf.DUMMYFUNCTION("""COMPUTED_VALUE"""),"220HP")</f>
        <v>220HP</v>
      </c>
      <c r="I2877" s="177" t="str">
        <f>IFERROR(__xludf.DUMMYFUNCTION("""COMPUTED_VALUE"""),"49X02022")</f>
        <v>49X02022</v>
      </c>
      <c r="J2877" s="177" t="str">
        <f>IFERROR(__xludf.DUMMYFUNCTION("""COMPUTED_VALUE"""),"10208209")</f>
        <v>10208209</v>
      </c>
      <c r="K2877" s="177"/>
      <c r="L2877" s="177" t="str">
        <f>IFERROR(__xludf.DUMMYFUNCTION("""COMPUTED_VALUE"""),"-")</f>
        <v>-</v>
      </c>
    </row>
    <row r="2878" customHeight="1" spans="1:12">
      <c r="A2878" s="177" t="str">
        <f>IFERROR(__xludf.DUMMYFUNCTION("""COMPUTED_VALUE"""),"TND-MUI-011")</f>
        <v>TND-MUI-011</v>
      </c>
      <c r="B2878" s="1090" t="str">
        <f>IFERROR(__xludf.DUMMYFUNCTION("""COMPUTED_VALUE"""),"Máy ủi D5B")</f>
        <v>Máy ủi D5B</v>
      </c>
      <c r="C2878" s="177" t="str">
        <f>IFERROR(__xludf.DUMMYFUNCTION("""COMPUTED_VALUE"""),"CGTC DP")</f>
        <v>CGTC DP</v>
      </c>
      <c r="D2878" s="177" t="str">
        <f>IFERROR(__xludf.DUMMYFUNCTION("""COMPUTED_VALUE"""),"CATERPILLAR")</f>
        <v>CATERPILLAR</v>
      </c>
      <c r="E2878" s="177"/>
      <c r="F2878" s="177">
        <f>IFERROR(__xludf.DUMMYFUNCTION("""COMPUTED_VALUE"""),1985)</f>
        <v>1985</v>
      </c>
      <c r="G2878" s="177" t="str">
        <f>IFERROR(__xludf.DUMMYFUNCTION("""COMPUTED_VALUE"""),"D5B")</f>
        <v>D5B</v>
      </c>
      <c r="H2878" s="177" t="str">
        <f>IFERROR(__xludf.DUMMYFUNCTION("""COMPUTED_VALUE"""),"105HP")</f>
        <v>105HP</v>
      </c>
      <c r="I2878" s="177" t="str">
        <f>IFERROR(__xludf.DUMMYFUNCTION("""COMPUTED_VALUE"""),"1211J10532")</f>
        <v>1211J10532</v>
      </c>
      <c r="J2878" s="177" t="str">
        <f>IFERROR(__xludf.DUMMYFUNCTION("""COMPUTED_VALUE"""),"TJ1100225")</f>
        <v>TJ1100225</v>
      </c>
      <c r="K2878" s="177"/>
      <c r="L2878" s="177" t="str">
        <f>IFERROR(__xludf.DUMMYFUNCTION("""COMPUTED_VALUE"""),"-")</f>
        <v>-</v>
      </c>
    </row>
    <row r="2879" customHeight="1" spans="1:12">
      <c r="A2879" s="177" t="str">
        <f>IFERROR(__xludf.DUMMYFUNCTION("""COMPUTED_VALUE"""),"TND-MUI-012")</f>
        <v>TND-MUI-012</v>
      </c>
      <c r="B2879" s="1090" t="str">
        <f>IFERROR(__xludf.DUMMYFUNCTION("""COMPUTED_VALUE"""),"Máy ủi D60")</f>
        <v>Máy ủi D60</v>
      </c>
      <c r="C2879" s="177" t="str">
        <f>IFERROR(__xludf.DUMMYFUNCTION("""COMPUTED_VALUE"""),"CGTC DP")</f>
        <v>CGTC DP</v>
      </c>
      <c r="D2879" s="177" t="str">
        <f>IFERROR(__xludf.DUMMYFUNCTION("""COMPUTED_VALUE"""),"KOMATSU")</f>
        <v>KOMATSU</v>
      </c>
      <c r="E2879" s="177"/>
      <c r="F2879" s="177"/>
      <c r="G2879" s="177" t="str">
        <f>IFERROR(__xludf.DUMMYFUNCTION("""COMPUTED_VALUE"""),"D60")</f>
        <v>D60</v>
      </c>
      <c r="H2879" s="177" t="str">
        <f>IFERROR(__xludf.DUMMYFUNCTION("""COMPUTED_VALUE"""),"155HP")</f>
        <v>155HP</v>
      </c>
      <c r="I2879" s="177"/>
      <c r="J2879" s="177"/>
      <c r="K2879" s="177"/>
      <c r="L2879" s="177" t="str">
        <f>IFERROR(__xludf.DUMMYFUNCTION("""COMPUTED_VALUE"""),"-")</f>
        <v>-</v>
      </c>
    </row>
    <row r="2880" customHeight="1" spans="1:12">
      <c r="A2880" s="177" t="str">
        <f>IFERROR(__xludf.DUMMYFUNCTION("""COMPUTED_VALUE"""),"TND-MUI-013")</f>
        <v>TND-MUI-013</v>
      </c>
      <c r="B2880" s="1090" t="str">
        <f>IFERROR(__xludf.DUMMYFUNCTION("""COMPUTED_VALUE"""),"Máy ủi D21")</f>
        <v>Máy ủi D21</v>
      </c>
      <c r="C2880" s="177" t="str">
        <f>IFERROR(__xludf.DUMMYFUNCTION("""COMPUTED_VALUE"""),"XN Chuối DP1")</f>
        <v>XN Chuối DP1</v>
      </c>
      <c r="D2880" s="177" t="str">
        <f>IFERROR(__xludf.DUMMYFUNCTION("""COMPUTED_VALUE"""),"KOMATSU")</f>
        <v>KOMATSU</v>
      </c>
      <c r="E2880" s="177"/>
      <c r="F2880" s="177"/>
      <c r="G2880" s="177" t="str">
        <f>IFERROR(__xludf.DUMMYFUNCTION("""COMPUTED_VALUE"""),"D21A")</f>
        <v>D21A</v>
      </c>
      <c r="H2880" s="177" t="str">
        <f>IFERROR(__xludf.DUMMYFUNCTION("""COMPUTED_VALUE"""),"40HP")</f>
        <v>40HP</v>
      </c>
      <c r="I2880" s="177" t="str">
        <f>IFERROR(__xludf.DUMMYFUNCTION("""COMPUTED_VALUE"""),"75255")</f>
        <v>75255</v>
      </c>
      <c r="J2880" s="177" t="str">
        <f>IFERROR(__xludf.DUMMYFUNCTION("""COMPUTED_VALUE"""),"135287")</f>
        <v>135287</v>
      </c>
      <c r="K2880" s="177">
        <f>IFERROR(__xludf.DUMMYFUNCTION("""COMPUTED_VALUE"""),4)</f>
        <v>4</v>
      </c>
      <c r="L2880" s="177" t="str">
        <f>IFERROR(__xludf.DUMMYFUNCTION("""COMPUTED_VALUE"""),"-")</f>
        <v>-</v>
      </c>
    </row>
    <row r="2881" customHeight="1" spans="1:12">
      <c r="A2881" s="177" t="str">
        <f>IFERROR(__xludf.DUMMYFUNCTION("""COMPUTED_VALUE"""),"TND-MUI-014")</f>
        <v>TND-MUI-014</v>
      </c>
      <c r="B2881" s="1090" t="str">
        <f>IFERROR(__xludf.DUMMYFUNCTION("""COMPUTED_VALUE"""),"Máy ủi D68E")</f>
        <v>Máy ủi D68E</v>
      </c>
      <c r="C2881" s="177" t="str">
        <f>IFERROR(__xludf.DUMMYFUNCTION("""COMPUTED_VALUE"""),"CGTC DP")</f>
        <v>CGTC DP</v>
      </c>
      <c r="D2881" s="177" t="str">
        <f>IFERROR(__xludf.DUMMYFUNCTION("""COMPUTED_VALUE"""),"KOMATSU")</f>
        <v>KOMATSU</v>
      </c>
      <c r="E2881" s="177"/>
      <c r="F2881" s="177">
        <f>IFERROR(__xludf.DUMMYFUNCTION("""COMPUTED_VALUE"""),2000)</f>
        <v>2000</v>
      </c>
      <c r="G2881" s="177" t="str">
        <f>IFERROR(__xludf.DUMMYFUNCTION("""COMPUTED_VALUE"""),"D68E-1")</f>
        <v>D68E-1</v>
      </c>
      <c r="H2881" s="177" t="str">
        <f>IFERROR(__xludf.DUMMYFUNCTION("""COMPUTED_VALUE"""),"190HP")</f>
        <v>190HP</v>
      </c>
      <c r="I2881" s="177" t="str">
        <f>IFERROR(__xludf.DUMMYFUNCTION("""COMPUTED_VALUE"""),"8019")</f>
        <v>8019</v>
      </c>
      <c r="J2881" s="177" t="str">
        <f>IFERROR(__xludf.DUMMYFUNCTION("""COMPUTED_VALUE"""),"GD125-1")</f>
        <v>GD125-1</v>
      </c>
      <c r="K2881" s="177">
        <f>IFERROR(__xludf.DUMMYFUNCTION("""COMPUTED_VALUE"""),16)</f>
        <v>16</v>
      </c>
      <c r="L2881" s="177" t="str">
        <f>IFERROR(__xludf.DUMMYFUNCTION("""COMPUTED_VALUE"""),"-")</f>
        <v>-</v>
      </c>
    </row>
    <row r="2882" customHeight="1" spans="1:12">
      <c r="A2882" s="177" t="str">
        <f>IFERROR(__xludf.DUMMYFUNCTION("""COMPUTED_VALUE"""),"TND-MUI-015")</f>
        <v>TND-MUI-015</v>
      </c>
      <c r="B2882" s="1090" t="str">
        <f>IFERROR(__xludf.DUMMYFUNCTION("""COMPUTED_VALUE"""),"Máy ủi D60P")</f>
        <v>Máy ủi D60P</v>
      </c>
      <c r="C2882" s="177" t="str">
        <f>IFERROR(__xludf.DUMMYFUNCTION("""COMPUTED_VALUE"""),"CGTC DP")</f>
        <v>CGTC DP</v>
      </c>
      <c r="D2882" s="177" t="str">
        <f>IFERROR(__xludf.DUMMYFUNCTION("""COMPUTED_VALUE"""),"KOMATSU")</f>
        <v>KOMATSU</v>
      </c>
      <c r="E2882" s="177"/>
      <c r="F2882" s="177">
        <f>IFERROR(__xludf.DUMMYFUNCTION("""COMPUTED_VALUE"""),1995)</f>
        <v>1995</v>
      </c>
      <c r="G2882" s="177"/>
      <c r="H2882" s="177" t="str">
        <f>IFERROR(__xludf.DUMMYFUNCTION("""COMPUTED_VALUE"""),"165HP")</f>
        <v>165HP</v>
      </c>
      <c r="I2882" s="177" t="str">
        <f>IFERROR(__xludf.DUMMYFUNCTION("""COMPUTED_VALUE"""),"32193")</f>
        <v>32193</v>
      </c>
      <c r="J2882" s="177" t="str">
        <f>IFERROR(__xludf.DUMMYFUNCTION("""COMPUTED_VALUE"""),"2202614")</f>
        <v>2202614</v>
      </c>
      <c r="K2882" s="177">
        <f>IFERROR(__xludf.DUMMYFUNCTION("""COMPUTED_VALUE"""),14)</f>
        <v>14</v>
      </c>
      <c r="L2882" s="177" t="str">
        <f>IFERROR(__xludf.DUMMYFUNCTION("""COMPUTED_VALUE"""),"-")</f>
        <v>-</v>
      </c>
    </row>
    <row r="2883" customHeight="1" spans="1:12">
      <c r="A2883" s="177" t="str">
        <f>IFERROR(__xludf.DUMMYFUNCTION("""COMPUTED_VALUE"""),"TND-MUI-016")</f>
        <v>TND-MUI-016</v>
      </c>
      <c r="B2883" s="1090" t="str">
        <f>IFERROR(__xludf.DUMMYFUNCTION("""COMPUTED_VALUE"""),"Máy ủi D65P")</f>
        <v>Máy ủi D65P</v>
      </c>
      <c r="C2883" s="177" t="str">
        <f>IFERROR(__xludf.DUMMYFUNCTION("""COMPUTED_VALUE"""),"CGTC DP")</f>
        <v>CGTC DP</v>
      </c>
      <c r="D2883" s="177" t="str">
        <f>IFERROR(__xludf.DUMMYFUNCTION("""COMPUTED_VALUE"""),"KOMATSU")</f>
        <v>KOMATSU</v>
      </c>
      <c r="E2883" s="177"/>
      <c r="F2883" s="177">
        <f>IFERROR(__xludf.DUMMYFUNCTION("""COMPUTED_VALUE"""),1995)</f>
        <v>1995</v>
      </c>
      <c r="G2883" s="177"/>
      <c r="H2883" s="177" t="str">
        <f>IFERROR(__xludf.DUMMYFUNCTION("""COMPUTED_VALUE"""),"180HP")</f>
        <v>180HP</v>
      </c>
      <c r="I2883" s="177" t="str">
        <f>IFERROR(__xludf.DUMMYFUNCTION("""COMPUTED_VALUE"""),"46881")</f>
        <v>46881</v>
      </c>
      <c r="J2883" s="177" t="str">
        <f>IFERROR(__xludf.DUMMYFUNCTION("""COMPUTED_VALUE"""),"6D125-33156")</f>
        <v>6D125-33156</v>
      </c>
      <c r="K2883" s="177">
        <f>IFERROR(__xludf.DUMMYFUNCTION("""COMPUTED_VALUE"""),14)</f>
        <v>14</v>
      </c>
      <c r="L2883" s="177" t="str">
        <f>IFERROR(__xludf.DUMMYFUNCTION("""COMPUTED_VALUE"""),"-")</f>
        <v>-</v>
      </c>
    </row>
    <row r="2884" customHeight="1" spans="1:12">
      <c r="A2884" s="177" t="str">
        <f>IFERROR(__xludf.DUMMYFUNCTION("""COMPUTED_VALUE"""),"TND-MUI-017")</f>
        <v>TND-MUI-017</v>
      </c>
      <c r="B2884" s="1090" t="str">
        <f>IFERROR(__xludf.DUMMYFUNCTION("""COMPUTED_VALUE"""),"Máy ủi D60P")</f>
        <v>Máy ủi D60P</v>
      </c>
      <c r="C2884" s="177" t="str">
        <f>IFERROR(__xludf.DUMMYFUNCTION("""COMPUTED_VALUE"""),"CGTC DP")</f>
        <v>CGTC DP</v>
      </c>
      <c r="D2884" s="177" t="str">
        <f>IFERROR(__xludf.DUMMYFUNCTION("""COMPUTED_VALUE"""),"KOMATSU")</f>
        <v>KOMATSU</v>
      </c>
      <c r="E2884" s="177"/>
      <c r="F2884" s="177">
        <f>IFERROR(__xludf.DUMMYFUNCTION("""COMPUTED_VALUE"""),2003)</f>
        <v>2003</v>
      </c>
      <c r="G2884" s="177" t="str">
        <f>IFERROR(__xludf.DUMMYFUNCTION("""COMPUTED_VALUE"""),"REV0496E")</f>
        <v>REV0496E</v>
      </c>
      <c r="H2884" s="177" t="str">
        <f>IFERROR(__xludf.DUMMYFUNCTION("""COMPUTED_VALUE"""),"165HP")</f>
        <v>165HP</v>
      </c>
      <c r="I2884" s="177" t="str">
        <f>IFERROR(__xludf.DUMMYFUNCTION("""COMPUTED_VALUE"""),"Mất số khung")</f>
        <v>Mất số khung</v>
      </c>
      <c r="J2884" s="177" t="str">
        <f>IFERROR(__xludf.DUMMYFUNCTION("""COMPUTED_VALUE"""),"3926567")</f>
        <v>3926567</v>
      </c>
      <c r="K2884" s="177">
        <f>IFERROR(__xludf.DUMMYFUNCTION("""COMPUTED_VALUE"""),13.5)</f>
        <v>13.5</v>
      </c>
      <c r="L2884" s="177" t="str">
        <f>IFERROR(__xludf.DUMMYFUNCTION("""COMPUTED_VALUE"""),"-")</f>
        <v>-</v>
      </c>
    </row>
    <row r="2885" customHeight="1" spans="1:12">
      <c r="A2885" s="177" t="str">
        <f>IFERROR(__xludf.DUMMYFUNCTION("""COMPUTED_VALUE"""),"TND-MUI-018")</f>
        <v>TND-MUI-018</v>
      </c>
      <c r="B2885" s="1090" t="str">
        <f>IFERROR(__xludf.DUMMYFUNCTION("""COMPUTED_VALUE"""),"Máy ủi D60P")</f>
        <v>Máy ủi D60P</v>
      </c>
      <c r="C2885" s="177" t="str">
        <f>IFERROR(__xludf.DUMMYFUNCTION("""COMPUTED_VALUE"""),"XN Chuối DP1")</f>
        <v>XN Chuối DP1</v>
      </c>
      <c r="D2885" s="177" t="str">
        <f>IFERROR(__xludf.DUMMYFUNCTION("""COMPUTED_VALUE"""),"KOMATSU")</f>
        <v>KOMATSU</v>
      </c>
      <c r="E2885" s="177" t="str">
        <f>IFERROR(__xludf.DUMMYFUNCTION("""COMPUTED_VALUE"""),"NHẬT BẢN")</f>
        <v>NHẬT BẢN</v>
      </c>
      <c r="F2885" s="177">
        <f>IFERROR(__xludf.DUMMYFUNCTION("""COMPUTED_VALUE"""),2000)</f>
        <v>2000</v>
      </c>
      <c r="G2885" s="177" t="str">
        <f>IFERROR(__xludf.DUMMYFUNCTION("""COMPUTED_VALUE"""),"D60P")</f>
        <v>D60P</v>
      </c>
      <c r="H2885" s="177" t="str">
        <f>IFERROR(__xludf.DUMMYFUNCTION("""COMPUTED_VALUE"""),"165HP")</f>
        <v>165HP</v>
      </c>
      <c r="I2885" s="177" t="str">
        <f>IFERROR(__xludf.DUMMYFUNCTION("""COMPUTED_VALUE"""),"D60P-629879")</f>
        <v>D60P-629879</v>
      </c>
      <c r="J2885" s="177" t="str">
        <f>IFERROR(__xludf.DUMMYFUNCTION("""COMPUTED_VALUE"""),"189020")</f>
        <v>189020</v>
      </c>
      <c r="K2885" s="177">
        <f>IFERROR(__xludf.DUMMYFUNCTION("""COMPUTED_VALUE"""),14)</f>
        <v>14</v>
      </c>
      <c r="L2885" s="177" t="str">
        <f>IFERROR(__xludf.DUMMYFUNCTION("""COMPUTED_VALUE"""),"-")</f>
        <v>-</v>
      </c>
    </row>
    <row r="2886" customHeight="1" spans="1:12">
      <c r="A2886" s="177" t="str">
        <f>IFERROR(__xludf.DUMMYFUNCTION("""COMPUTED_VALUE"""),"TND-MUI-019")</f>
        <v>TND-MUI-019</v>
      </c>
      <c r="B2886" s="1090" t="str">
        <f>IFERROR(__xludf.DUMMYFUNCTION("""COMPUTED_VALUE"""),"Máy ủi D50")</f>
        <v>Máy ủi D50</v>
      </c>
      <c r="C2886" s="177" t="str">
        <f>IFERROR(__xludf.DUMMYFUNCTION("""COMPUTED_VALUE"""),"CGTC DP")</f>
        <v>CGTC DP</v>
      </c>
      <c r="D2886" s="177" t="str">
        <f>IFERROR(__xludf.DUMMYFUNCTION("""COMPUTED_VALUE"""),"KOMATSU")</f>
        <v>KOMATSU</v>
      </c>
      <c r="E2886" s="177" t="str">
        <f>IFERROR(__xludf.DUMMYFUNCTION("""COMPUTED_VALUE"""),"NHẬT BẢN")</f>
        <v>NHẬT BẢN</v>
      </c>
      <c r="F2886" s="177">
        <f>IFERROR(__xludf.DUMMYFUNCTION("""COMPUTED_VALUE"""),1980)</f>
        <v>1980</v>
      </c>
      <c r="G2886" s="177" t="str">
        <f>IFERROR(__xludf.DUMMYFUNCTION("""COMPUTED_VALUE"""),"D50S-16")</f>
        <v>D50S-16</v>
      </c>
      <c r="H2886" s="177" t="str">
        <f>IFERROR(__xludf.DUMMYFUNCTION("""COMPUTED_VALUE"""),"211HP")</f>
        <v>211HP</v>
      </c>
      <c r="I2886" s="177" t="str">
        <f>IFERROR(__xludf.DUMMYFUNCTION("""COMPUTED_VALUE"""),"D50516-65953")</f>
        <v>D50516-65953</v>
      </c>
      <c r="J2886" s="177" t="str">
        <f>IFERROR(__xludf.DUMMYFUNCTION("""COMPUTED_VALUE"""),"4D130-22297")</f>
        <v>4D130-22297</v>
      </c>
      <c r="K2886" s="177">
        <f>IFERROR(__xludf.DUMMYFUNCTION("""COMPUTED_VALUE"""),12)</f>
        <v>12</v>
      </c>
      <c r="L2886" s="177" t="str">
        <f>IFERROR(__xludf.DUMMYFUNCTION("""COMPUTED_VALUE"""),"-")</f>
        <v>-</v>
      </c>
    </row>
    <row r="2887" customHeight="1" spans="1:12">
      <c r="A2887" s="177" t="str">
        <f>IFERROR(__xludf.DUMMYFUNCTION("""COMPUTED_VALUE"""),"TND-MUI-020")</f>
        <v>TND-MUI-020</v>
      </c>
      <c r="B2887" s="1090" t="str">
        <f>IFERROR(__xludf.DUMMYFUNCTION("""COMPUTED_VALUE"""),"Máy ủi D41E")</f>
        <v>Máy ủi D41E</v>
      </c>
      <c r="C2887" s="177" t="str">
        <f>IFERROR(__xludf.DUMMYFUNCTION("""COMPUTED_VALUE"""),"CGTC DP")</f>
        <v>CGTC DP</v>
      </c>
      <c r="D2887" s="177" t="str">
        <f>IFERROR(__xludf.DUMMYFUNCTION("""COMPUTED_VALUE"""),"KOMATSU")</f>
        <v>KOMATSU</v>
      </c>
      <c r="E2887" s="177" t="str">
        <f>IFERROR(__xludf.DUMMYFUNCTION("""COMPUTED_VALUE"""),"NHẬT BẢN")</f>
        <v>NHẬT BẢN</v>
      </c>
      <c r="F2887" s="177">
        <f>IFERROR(__xludf.DUMMYFUNCTION("""COMPUTED_VALUE"""),2014)</f>
        <v>2014</v>
      </c>
      <c r="G2887" s="177" t="str">
        <f>IFERROR(__xludf.DUMMYFUNCTION("""COMPUTED_VALUE"""),"D41E")</f>
        <v>D41E</v>
      </c>
      <c r="H2887" s="177" t="str">
        <f>IFERROR(__xludf.DUMMYFUNCTION("""COMPUTED_VALUE"""),"130HP")</f>
        <v>130HP</v>
      </c>
      <c r="I2887" s="177" t="str">
        <f>IFERROR(__xludf.DUMMYFUNCTION("""COMPUTED_VALUE"""),"B20830")</f>
        <v>B20830</v>
      </c>
      <c r="J2887" s="177" t="str">
        <f>IFERROR(__xludf.DUMMYFUNCTION("""COMPUTED_VALUE"""),"30722205")</f>
        <v>30722205</v>
      </c>
      <c r="K2887" s="177">
        <f>IFERROR(__xludf.DUMMYFUNCTION("""COMPUTED_VALUE"""),11.5)</f>
        <v>11.5</v>
      </c>
      <c r="L2887" s="177" t="str">
        <f>IFERROR(__xludf.DUMMYFUNCTION("""COMPUTED_VALUE"""),"-")</f>
        <v>-</v>
      </c>
    </row>
    <row r="2888" customHeight="1" spans="1:12">
      <c r="A2888" s="177" t="str">
        <f>IFERROR(__xludf.DUMMYFUNCTION("""COMPUTED_VALUE"""),"TND-MUI-021")</f>
        <v>TND-MUI-021</v>
      </c>
      <c r="B2888" s="1090" t="str">
        <f>IFERROR(__xludf.DUMMYFUNCTION("""COMPUTED_VALUE"""),"Máy ủi D60P")</f>
        <v>Máy ủi D60P</v>
      </c>
      <c r="C2888" s="177" t="str">
        <f>IFERROR(__xludf.DUMMYFUNCTION("""COMPUTED_VALUE"""),"CGTC DP")</f>
        <v>CGTC DP</v>
      </c>
      <c r="D2888" s="177" t="str">
        <f>IFERROR(__xludf.DUMMYFUNCTION("""COMPUTED_VALUE"""),"KOMATSU")</f>
        <v>KOMATSU</v>
      </c>
      <c r="E2888" s="177" t="str">
        <f>IFERROR(__xludf.DUMMYFUNCTION("""COMPUTED_VALUE"""),"NHẬT BẢN")</f>
        <v>NHẬT BẢN</v>
      </c>
      <c r="F2888" s="177">
        <f>IFERROR(__xludf.DUMMYFUNCTION("""COMPUTED_VALUE"""),2007)</f>
        <v>2007</v>
      </c>
      <c r="G2888" s="177" t="str">
        <f>IFERROR(__xludf.DUMMYFUNCTION("""COMPUTED_VALUE"""),"D60P")</f>
        <v>D60P</v>
      </c>
      <c r="H2888" s="177" t="str">
        <f>IFERROR(__xludf.DUMMYFUNCTION("""COMPUTED_VALUE"""),"130HP")</f>
        <v>130HP</v>
      </c>
      <c r="I2888" s="177" t="str">
        <f>IFERROR(__xludf.DUMMYFUNCTION("""COMPUTED_VALUE"""),"P632193")</f>
        <v>P632193</v>
      </c>
      <c r="J2888" s="177" t="str">
        <f>IFERROR(__xludf.DUMMYFUNCTION("""COMPUTED_VALUE"""),"NH220061")</f>
        <v>NH220061</v>
      </c>
      <c r="K2888" s="177">
        <f>IFERROR(__xludf.DUMMYFUNCTION("""COMPUTED_VALUE"""),12)</f>
        <v>12</v>
      </c>
      <c r="L2888" s="177" t="str">
        <f>IFERROR(__xludf.DUMMYFUNCTION("""COMPUTED_VALUE"""),"-")</f>
        <v>-</v>
      </c>
    </row>
    <row r="2889" customHeight="1" spans="1:12">
      <c r="A2889" s="177" t="str">
        <f>IFERROR(__xludf.DUMMYFUNCTION("""COMPUTED_VALUE"""),"TND-MUI-022")</f>
        <v>TND-MUI-022</v>
      </c>
      <c r="B2889" s="1090" t="str">
        <f>IFERROR(__xludf.DUMMYFUNCTION("""COMPUTED_VALUE"""),"Máy ủi D20")</f>
        <v>Máy ủi D20</v>
      </c>
      <c r="C2889" s="177" t="str">
        <f>IFERROR(__xludf.DUMMYFUNCTION("""COMPUTED_VALUE"""),"XN Chuối DP1")</f>
        <v>XN Chuối DP1</v>
      </c>
      <c r="D2889" s="177" t="str">
        <f>IFERROR(__xludf.DUMMYFUNCTION("""COMPUTED_VALUE"""),"MISUBISHI")</f>
        <v>MISUBISHI</v>
      </c>
      <c r="E2889" s="177" t="str">
        <f>IFERROR(__xludf.DUMMYFUNCTION("""COMPUTED_VALUE"""),"NHẬT BẢN")</f>
        <v>NHẬT BẢN</v>
      </c>
      <c r="F2889" s="177">
        <f>IFERROR(__xludf.DUMMYFUNCTION("""COMPUTED_VALUE"""),2011)</f>
        <v>2011</v>
      </c>
      <c r="G2889" s="177" t="str">
        <f>IFERROR(__xludf.DUMMYFUNCTION("""COMPUTED_VALUE"""),"D20")</f>
        <v>D20</v>
      </c>
      <c r="H2889" s="177" t="str">
        <f>IFERROR(__xludf.DUMMYFUNCTION("""COMPUTED_VALUE"""),"30HP")</f>
        <v>30HP</v>
      </c>
      <c r="I2889" s="177" t="str">
        <f>IFERROR(__xludf.DUMMYFUNCTION("""COMPUTED_VALUE"""),"1B101876")</f>
        <v>1B101876</v>
      </c>
      <c r="J2889" s="177" t="str">
        <f>IFERROR(__xludf.DUMMYFUNCTION("""COMPUTED_VALUE"""),"38145")</f>
        <v>38145</v>
      </c>
      <c r="K2889" s="177">
        <f>IFERROR(__xludf.DUMMYFUNCTION("""COMPUTED_VALUE"""),3.5)</f>
        <v>3.5</v>
      </c>
      <c r="L2889" s="177" t="str">
        <f>IFERROR(__xludf.DUMMYFUNCTION("""COMPUTED_VALUE"""),"-")</f>
        <v>-</v>
      </c>
    </row>
    <row r="2890" customHeight="1" spans="1:12">
      <c r="A2890" s="177" t="str">
        <f>IFERROR(__xludf.DUMMYFUNCTION("""COMPUTED_VALUE"""),"TND-MUI-023")</f>
        <v>TND-MUI-023</v>
      </c>
      <c r="B2890" s="1090" t="str">
        <f>IFERROR(__xludf.DUMMYFUNCTION("""COMPUTED_VALUE"""),"Máy ủi D20")</f>
        <v>Máy ủi D20</v>
      </c>
      <c r="C2890" s="177" t="str">
        <f>IFERROR(__xludf.DUMMYFUNCTION("""COMPUTED_VALUE"""),"XN Chuối DP1")</f>
        <v>XN Chuối DP1</v>
      </c>
      <c r="D2890" s="177" t="str">
        <f>IFERROR(__xludf.DUMMYFUNCTION("""COMPUTED_VALUE"""),"MITSUBISHI")</f>
        <v>MITSUBISHI</v>
      </c>
      <c r="E2890" s="177" t="str">
        <f>IFERROR(__xludf.DUMMYFUNCTION("""COMPUTED_VALUE"""),"NHẬT BẢN")</f>
        <v>NHẬT BẢN</v>
      </c>
      <c r="F2890" s="177">
        <f>IFERROR(__xludf.DUMMYFUNCTION("""COMPUTED_VALUE"""),2010)</f>
        <v>2010</v>
      </c>
      <c r="G2890" s="177" t="str">
        <f>IFERROR(__xludf.DUMMYFUNCTION("""COMPUTED_VALUE"""),"BD2G")</f>
        <v>BD2G</v>
      </c>
      <c r="H2890" s="177" t="str">
        <f>IFERROR(__xludf.DUMMYFUNCTION("""COMPUTED_VALUE"""),"40HP")</f>
        <v>40HP</v>
      </c>
      <c r="I2890" s="177" t="str">
        <f>IFERROR(__xludf.DUMMYFUNCTION("""COMPUTED_VALUE"""),"2B601109")</f>
        <v>2B601109</v>
      </c>
      <c r="J2890" s="177" t="str">
        <f>IFERROR(__xludf.DUMMYFUNCTION("""COMPUTED_VALUE"""),"S4E046101")</f>
        <v>S4E046101</v>
      </c>
      <c r="K2890" s="177">
        <f>IFERROR(__xludf.DUMMYFUNCTION("""COMPUTED_VALUE"""),3.8)</f>
        <v>3.8</v>
      </c>
      <c r="L2890" s="177" t="str">
        <f>IFERROR(__xludf.DUMMYFUNCTION("""COMPUTED_VALUE"""),"-")</f>
        <v>-</v>
      </c>
    </row>
    <row r="2891" customHeight="1" spans="1:12">
      <c r="A2891" s="177" t="str">
        <f>IFERROR(__xludf.DUMMYFUNCTION("""COMPUTED_VALUE"""),"TND-MUI-024")</f>
        <v>TND-MUI-024</v>
      </c>
      <c r="B2891" s="1090" t="str">
        <f>IFERROR(__xludf.DUMMYFUNCTION("""COMPUTED_VALUE"""),"Máy ủi D41E")</f>
        <v>Máy ủi D41E</v>
      </c>
      <c r="C2891" s="177" t="str">
        <f>IFERROR(__xludf.DUMMYFUNCTION("""COMPUTED_VALUE"""),"CGTC DP")</f>
        <v>CGTC DP</v>
      </c>
      <c r="D2891" s="177" t="str">
        <f>IFERROR(__xludf.DUMMYFUNCTION("""COMPUTED_VALUE"""),"KOMATSU")</f>
        <v>KOMATSU</v>
      </c>
      <c r="E2891" s="177" t="str">
        <f>IFERROR(__xludf.DUMMYFUNCTION("""COMPUTED_VALUE"""),"NHẬT BẢN")</f>
        <v>NHẬT BẢN</v>
      </c>
      <c r="F2891" s="177">
        <f>IFERROR(__xludf.DUMMYFUNCTION("""COMPUTED_VALUE"""),1996)</f>
        <v>1996</v>
      </c>
      <c r="G2891" s="177" t="str">
        <f>IFERROR(__xludf.DUMMYFUNCTION("""COMPUTED_VALUE"""),"D41P-6")</f>
        <v>D41P-6</v>
      </c>
      <c r="H2891" s="177" t="str">
        <f>IFERROR(__xludf.DUMMYFUNCTION("""COMPUTED_VALUE"""),"80HP")</f>
        <v>80HP</v>
      </c>
      <c r="I2891" s="177" t="str">
        <f>IFERROR(__xludf.DUMMYFUNCTION("""COMPUTED_VALUE"""),"B20033")</f>
        <v>B20033</v>
      </c>
      <c r="J2891" s="177" t="str">
        <f>IFERROR(__xludf.DUMMYFUNCTION("""COMPUTED_VALUE"""),"30711405")</f>
        <v>30711405</v>
      </c>
      <c r="K2891" s="177">
        <f>IFERROR(__xludf.DUMMYFUNCTION("""COMPUTED_VALUE"""),11)</f>
        <v>11</v>
      </c>
      <c r="L2891" s="177" t="str">
        <f>IFERROR(__xludf.DUMMYFUNCTION("""COMPUTED_VALUE"""),"Đang thuê")</f>
        <v>Đang thuê</v>
      </c>
    </row>
    <row r="2892" customHeight="1" spans="1:12">
      <c r="A2892" s="177" t="str">
        <f>IFERROR(__xludf.DUMMYFUNCTION("""COMPUTED_VALUE"""),"TND-MUI-025")</f>
        <v>TND-MUI-025</v>
      </c>
      <c r="B2892" s="1090" t="str">
        <f>IFERROR(__xludf.DUMMYFUNCTION("""COMPUTED_VALUE"""),"Máy ủi D31")</f>
        <v>Máy ủi D31</v>
      </c>
      <c r="C2892" s="177" t="str">
        <f>IFERROR(__xludf.DUMMYFUNCTION("""COMPUTED_VALUE"""),"CGTC DP")</f>
        <v>CGTC DP</v>
      </c>
      <c r="D2892" s="177" t="str">
        <f>IFERROR(__xludf.DUMMYFUNCTION("""COMPUTED_VALUE"""),"KOMATSU")</f>
        <v>KOMATSU</v>
      </c>
      <c r="E2892" s="177"/>
      <c r="F2892" s="177">
        <f>IFERROR(__xludf.DUMMYFUNCTION("""COMPUTED_VALUE"""),1987)</f>
        <v>1987</v>
      </c>
      <c r="G2892" s="177"/>
      <c r="H2892" s="177" t="str">
        <f>IFERROR(__xludf.DUMMYFUNCTION("""COMPUTED_VALUE"""),"70HP")</f>
        <v>70HP</v>
      </c>
      <c r="I2892" s="177" t="str">
        <f>IFERROR(__xludf.DUMMYFUNCTION("""COMPUTED_VALUE"""),"D31E1840338")</f>
        <v>D31E1840338</v>
      </c>
      <c r="J2892" s="177"/>
      <c r="K2892" s="177">
        <f>IFERROR(__xludf.DUMMYFUNCTION("""COMPUTED_VALUE"""),8.5)</f>
        <v>8.5</v>
      </c>
      <c r="L2892" s="177" t="str">
        <f>IFERROR(__xludf.DUMMYFUNCTION("""COMPUTED_VALUE"""),"-")</f>
        <v>-</v>
      </c>
    </row>
    <row r="2893" customHeight="1" spans="1:12">
      <c r="A2893" s="177" t="str">
        <f>IFERROR(__xludf.DUMMYFUNCTION("""COMPUTED_VALUE"""),"TND-MUI-026")</f>
        <v>TND-MUI-026</v>
      </c>
      <c r="B2893" s="1090" t="str">
        <f>IFERROR(__xludf.DUMMYFUNCTION("""COMPUTED_VALUE"""),"Máy ủi D60")</f>
        <v>Máy ủi D60</v>
      </c>
      <c r="C2893" s="177" t="str">
        <f>IFERROR(__xludf.DUMMYFUNCTION("""COMPUTED_VALUE"""),"CGTC DP")</f>
        <v>CGTC DP</v>
      </c>
      <c r="D2893" s="177" t="str">
        <f>IFERROR(__xludf.DUMMYFUNCTION("""COMPUTED_VALUE"""),"KOMATSU")</f>
        <v>KOMATSU</v>
      </c>
      <c r="E2893" s="177"/>
      <c r="F2893" s="177">
        <f>IFERROR(__xludf.DUMMYFUNCTION("""COMPUTED_VALUE"""),1995)</f>
        <v>1995</v>
      </c>
      <c r="G2893" s="177" t="str">
        <f>IFERROR(__xludf.DUMMYFUNCTION("""COMPUTED_VALUE"""),"D60P-11")</f>
        <v>D60P-11</v>
      </c>
      <c r="H2893" s="177" t="str">
        <f>IFERROR(__xludf.DUMMYFUNCTION("""COMPUTED_VALUE"""),"170HP")</f>
        <v>170HP</v>
      </c>
      <c r="I2893" s="177" t="str">
        <f>IFERROR(__xludf.DUMMYFUNCTION("""COMPUTED_VALUE"""),"50365")</f>
        <v>50365</v>
      </c>
      <c r="J2893" s="177" t="str">
        <f>IFERROR(__xludf.DUMMYFUNCTION("""COMPUTED_VALUE"""),"31085")</f>
        <v>31085</v>
      </c>
      <c r="K2893" s="177">
        <f>IFERROR(__xludf.DUMMYFUNCTION("""COMPUTED_VALUE"""),12.5)</f>
        <v>12.5</v>
      </c>
      <c r="L2893" s="177" t="str">
        <f>IFERROR(__xludf.DUMMYFUNCTION("""COMPUTED_VALUE"""),"-")</f>
        <v>-</v>
      </c>
    </row>
    <row r="2894" customHeight="1" spans="1:12">
      <c r="A2894" s="177" t="str">
        <f>IFERROR(__xludf.DUMMYFUNCTION("""COMPUTED_VALUE"""),"TND-MUI-027")</f>
        <v>TND-MUI-027</v>
      </c>
      <c r="B2894" s="1090" t="str">
        <f>IFERROR(__xludf.DUMMYFUNCTION("""COMPUTED_VALUE"""),"Máy ủi D60")</f>
        <v>Máy ủi D60</v>
      </c>
      <c r="C2894" s="177" t="str">
        <f>IFERROR(__xludf.DUMMYFUNCTION("""COMPUTED_VALUE"""),"CGTC DP")</f>
        <v>CGTC DP</v>
      </c>
      <c r="D2894" s="177" t="str">
        <f>IFERROR(__xludf.DUMMYFUNCTION("""COMPUTED_VALUE"""),"KOMATSU")</f>
        <v>KOMATSU</v>
      </c>
      <c r="E2894" s="177"/>
      <c r="F2894" s="177"/>
      <c r="G2894" s="177" t="str">
        <f>IFERROR(__xludf.DUMMYFUNCTION("""COMPUTED_VALUE"""),"D60P")</f>
        <v>D60P</v>
      </c>
      <c r="H2894" s="177" t="str">
        <f>IFERROR(__xludf.DUMMYFUNCTION("""COMPUTED_VALUE"""),"170HP")</f>
        <v>170HP</v>
      </c>
      <c r="I2894" s="177" t="str">
        <f>IFERROR(__xludf.DUMMYFUNCTION("""COMPUTED_VALUE"""),"D60P-34461")</f>
        <v>D60P-34461</v>
      </c>
      <c r="J2894" s="177" t="str">
        <f>IFERROR(__xludf.DUMMYFUNCTION("""COMPUTED_VALUE"""),"26158751")</f>
        <v>26158751</v>
      </c>
      <c r="K2894" s="177">
        <f>IFERROR(__xludf.DUMMYFUNCTION("""COMPUTED_VALUE"""),12.6)</f>
        <v>12.6</v>
      </c>
      <c r="L2894" s="177" t="str">
        <f>IFERROR(__xludf.DUMMYFUNCTION("""COMPUTED_VALUE"""),"-")</f>
        <v>-</v>
      </c>
    </row>
    <row r="2895" customHeight="1" spans="1:12">
      <c r="A2895" s="177" t="str">
        <f>IFERROR(__xludf.DUMMYFUNCTION("""COMPUTED_VALUE"""),"TND-MUI-028")</f>
        <v>TND-MUI-028</v>
      </c>
      <c r="B2895" s="1090" t="str">
        <f>IFERROR(__xludf.DUMMYFUNCTION("""COMPUTED_VALUE"""),"Máy ủi D60")</f>
        <v>Máy ủi D60</v>
      </c>
      <c r="C2895" s="177" t="str">
        <f>IFERROR(__xludf.DUMMYFUNCTION("""COMPUTED_VALUE"""),"CGTC DP")</f>
        <v>CGTC DP</v>
      </c>
      <c r="D2895" s="177" t="str">
        <f>IFERROR(__xludf.DUMMYFUNCTION("""COMPUTED_VALUE"""),"KOMATSU")</f>
        <v>KOMATSU</v>
      </c>
      <c r="E2895" s="177"/>
      <c r="F2895" s="177"/>
      <c r="G2895" s="177" t="str">
        <f>IFERROR(__xludf.DUMMYFUNCTION("""COMPUTED_VALUE"""),"D60P")</f>
        <v>D60P</v>
      </c>
      <c r="H2895" s="177" t="str">
        <f>IFERROR(__xludf.DUMMYFUNCTION("""COMPUTED_VALUE"""),"170HP")</f>
        <v>170HP</v>
      </c>
      <c r="I2895" s="177" t="str">
        <f>IFERROR(__xludf.DUMMYFUNCTION("""COMPUTED_VALUE"""),"D60P-629897")</f>
        <v>D60P-629897</v>
      </c>
      <c r="J2895" s="177" t="str">
        <f>IFERROR(__xludf.DUMMYFUNCTION("""COMPUTED_VALUE"""),"NH22026173614")</f>
        <v>NH22026173614</v>
      </c>
      <c r="K2895" s="177">
        <f>IFERROR(__xludf.DUMMYFUNCTION("""COMPUTED_VALUE"""),14)</f>
        <v>14</v>
      </c>
      <c r="L2895" s="177" t="str">
        <f>IFERROR(__xludf.DUMMYFUNCTION("""COMPUTED_VALUE"""),"-")</f>
        <v>-</v>
      </c>
    </row>
    <row r="2896" customHeight="1" spans="1:12">
      <c r="A2896" s="177" t="str">
        <f>IFERROR(__xludf.DUMMYFUNCTION("""COMPUTED_VALUE"""),"TND-MUI-029")</f>
        <v>TND-MUI-029</v>
      </c>
      <c r="B2896" s="1090" t="str">
        <f>IFERROR(__xludf.DUMMYFUNCTION("""COMPUTED_VALUE"""),"Máy ủi D60")</f>
        <v>Máy ủi D60</v>
      </c>
      <c r="C2896" s="177" t="str">
        <f>IFERROR(__xludf.DUMMYFUNCTION("""COMPUTED_VALUE"""),"CGTC DP")</f>
        <v>CGTC DP</v>
      </c>
      <c r="D2896" s="177" t="str">
        <f>IFERROR(__xludf.DUMMYFUNCTION("""COMPUTED_VALUE"""),"KOMATSU")</f>
        <v>KOMATSU</v>
      </c>
      <c r="E2896" s="177"/>
      <c r="F2896" s="177">
        <f>IFERROR(__xludf.DUMMYFUNCTION("""COMPUTED_VALUE"""),1993)</f>
        <v>1993</v>
      </c>
      <c r="G2896" s="177" t="str">
        <f>IFERROR(__xludf.DUMMYFUNCTION("""COMPUTED_VALUE"""),"D60P")</f>
        <v>D60P</v>
      </c>
      <c r="H2896" s="177" t="str">
        <f>IFERROR(__xludf.DUMMYFUNCTION("""COMPUTED_VALUE"""),"170HP")</f>
        <v>170HP</v>
      </c>
      <c r="I2896" s="177" t="str">
        <f>IFERROR(__xludf.DUMMYFUNCTION("""COMPUTED_VALUE"""),"40118")</f>
        <v>40118</v>
      </c>
      <c r="J2896" s="177" t="str">
        <f>IFERROR(__xludf.DUMMYFUNCTION("""COMPUTED_VALUE"""),"26178614")</f>
        <v>26178614</v>
      </c>
      <c r="K2896" s="177">
        <f>IFERROR(__xludf.DUMMYFUNCTION("""COMPUTED_VALUE"""),13.5)</f>
        <v>13.5</v>
      </c>
      <c r="L2896" s="177" t="str">
        <f>IFERROR(__xludf.DUMMYFUNCTION("""COMPUTED_VALUE"""),"-")</f>
        <v>-</v>
      </c>
    </row>
    <row r="2897" customHeight="1" spans="1:12">
      <c r="A2897" s="177" t="str">
        <f>IFERROR(__xludf.DUMMYFUNCTION("""COMPUTED_VALUE"""),"TND-MUI-030")</f>
        <v>TND-MUI-030</v>
      </c>
      <c r="B2897" s="1090" t="str">
        <f>IFERROR(__xludf.DUMMYFUNCTION("""COMPUTED_VALUE"""),"Máy ủi D60")</f>
        <v>Máy ủi D60</v>
      </c>
      <c r="C2897" s="177" t="str">
        <f>IFERROR(__xludf.DUMMYFUNCTION("""COMPUTED_VALUE"""),"CGTC DP")</f>
        <v>CGTC DP</v>
      </c>
      <c r="D2897" s="177" t="str">
        <f>IFERROR(__xludf.DUMMYFUNCTION("""COMPUTED_VALUE"""),"KOMATSU")</f>
        <v>KOMATSU</v>
      </c>
      <c r="E2897" s="177"/>
      <c r="F2897" s="177"/>
      <c r="G2897" s="177" t="str">
        <f>IFERROR(__xludf.DUMMYFUNCTION("""COMPUTED_VALUE"""),"D60P-6")</f>
        <v>D60P-6</v>
      </c>
      <c r="H2897" s="177" t="str">
        <f>IFERROR(__xludf.DUMMYFUNCTION("""COMPUTED_VALUE"""),"170HP")</f>
        <v>170HP</v>
      </c>
      <c r="I2897" s="177" t="str">
        <f>IFERROR(__xludf.DUMMYFUNCTION("""COMPUTED_VALUE"""),"28595")</f>
        <v>28595</v>
      </c>
      <c r="J2897" s="177" t="str">
        <f>IFERROR(__xludf.DUMMYFUNCTION("""COMPUTED_VALUE"""),"2610756")</f>
        <v>2610756</v>
      </c>
      <c r="K2897" s="177">
        <f>IFERROR(__xludf.DUMMYFUNCTION("""COMPUTED_VALUE"""),13)</f>
        <v>13</v>
      </c>
      <c r="L2897" s="177" t="str">
        <f>IFERROR(__xludf.DUMMYFUNCTION("""COMPUTED_VALUE"""),"Đang thuê")</f>
        <v>Đang thuê</v>
      </c>
    </row>
    <row r="2898" customHeight="1" spans="1:12">
      <c r="A2898" s="177" t="str">
        <f>IFERROR(__xludf.DUMMYFUNCTION("""COMPUTED_VALUE"""),"TND-MUI-031")</f>
        <v>TND-MUI-031</v>
      </c>
      <c r="B2898" s="1090" t="str">
        <f>IFERROR(__xludf.DUMMYFUNCTION("""COMPUTED_VALUE"""),"Máy ủi D21")</f>
        <v>Máy ủi D21</v>
      </c>
      <c r="C2898" s="177" t="str">
        <f>IFERROR(__xludf.DUMMYFUNCTION("""COMPUTED_VALUE"""),"XN Chuối DP3")</f>
        <v>XN Chuối DP3</v>
      </c>
      <c r="D2898" s="177" t="str">
        <f>IFERROR(__xludf.DUMMYFUNCTION("""COMPUTED_VALUE"""),"KOMATSU")</f>
        <v>KOMATSU</v>
      </c>
      <c r="E2898" s="177" t="str">
        <f>IFERROR(__xludf.DUMMYFUNCTION("""COMPUTED_VALUE"""),"NHẬT BẢN")</f>
        <v>NHẬT BẢN</v>
      </c>
      <c r="F2898" s="177">
        <f>IFERROR(__xludf.DUMMYFUNCTION("""COMPUTED_VALUE"""),2000)</f>
        <v>2000</v>
      </c>
      <c r="G2898" s="177" t="str">
        <f>IFERROR(__xludf.DUMMYFUNCTION("""COMPUTED_VALUE"""),"D21P-5")</f>
        <v>D21P-5</v>
      </c>
      <c r="H2898" s="177" t="str">
        <f>IFERROR(__xludf.DUMMYFUNCTION("""COMPUTED_VALUE"""),"38HP")</f>
        <v>38HP</v>
      </c>
      <c r="I2898" s="177" t="str">
        <f>IFERROR(__xludf.DUMMYFUNCTION("""COMPUTED_VALUE"""),"D205-58087")</f>
        <v>D205-58087</v>
      </c>
      <c r="J2898" s="177" t="str">
        <f>IFERROR(__xludf.DUMMYFUNCTION("""COMPUTED_VALUE"""),"4D94-2-66791")</f>
        <v>4D94-2-66791</v>
      </c>
      <c r="K2898" s="177">
        <f>IFERROR(__xludf.DUMMYFUNCTION("""COMPUTED_VALUE"""),4.5)</f>
        <v>4.5</v>
      </c>
      <c r="L2898" s="177" t="str">
        <f>IFERROR(__xludf.DUMMYFUNCTION("""COMPUTED_VALUE"""),"-")</f>
        <v>-</v>
      </c>
    </row>
    <row r="2899" customHeight="1" spans="1:12">
      <c r="A2899" s="177" t="str">
        <f>IFERROR(__xludf.DUMMYFUNCTION("""COMPUTED_VALUE"""),"TND-MUI-032")</f>
        <v>TND-MUI-032</v>
      </c>
      <c r="B2899" s="1090" t="str">
        <f>IFERROR(__xludf.DUMMYFUNCTION("""COMPUTED_VALUE"""),"Máy ủi D21")</f>
        <v>Máy ủi D21</v>
      </c>
      <c r="C2899" s="177" t="str">
        <f>IFERROR(__xludf.DUMMYFUNCTION("""COMPUTED_VALUE"""),"CGTC DP")</f>
        <v>CGTC DP</v>
      </c>
      <c r="D2899" s="177" t="str">
        <f>IFERROR(__xludf.DUMMYFUNCTION("""COMPUTED_VALUE"""),"KOMATSU")</f>
        <v>KOMATSU</v>
      </c>
      <c r="E2899" s="177" t="str">
        <f>IFERROR(__xludf.DUMMYFUNCTION("""COMPUTED_VALUE"""),"NHẬT BẢN")</f>
        <v>NHẬT BẢN</v>
      </c>
      <c r="F2899" s="177">
        <f>IFERROR(__xludf.DUMMYFUNCTION("""COMPUTED_VALUE"""),2000)</f>
        <v>2000</v>
      </c>
      <c r="G2899" s="177" t="str">
        <f>IFERROR(__xludf.DUMMYFUNCTION("""COMPUTED_VALUE"""),"D21P-5")</f>
        <v>D21P-5</v>
      </c>
      <c r="H2899" s="177" t="str">
        <f>IFERROR(__xludf.DUMMYFUNCTION("""COMPUTED_VALUE"""),"38HP")</f>
        <v>38HP</v>
      </c>
      <c r="I2899" s="177" t="str">
        <f>IFERROR(__xludf.DUMMYFUNCTION("""COMPUTED_VALUE"""),"D205-58087")</f>
        <v>D205-58087</v>
      </c>
      <c r="J2899" s="177" t="str">
        <f>IFERROR(__xludf.DUMMYFUNCTION("""COMPUTED_VALUE"""),"4D94-2-66791")</f>
        <v>4D94-2-66791</v>
      </c>
      <c r="K2899" s="177">
        <f>IFERROR(__xludf.DUMMYFUNCTION("""COMPUTED_VALUE"""),4.5)</f>
        <v>4.5</v>
      </c>
      <c r="L2899" s="177" t="str">
        <f>IFERROR(__xludf.DUMMYFUNCTION("""COMPUTED_VALUE"""),"-")</f>
        <v>-</v>
      </c>
    </row>
    <row r="2900" customHeight="1" spans="1:12">
      <c r="A2900" s="177" t="str">
        <f>IFERROR(__xludf.DUMMYFUNCTION("""COMPUTED_VALUE"""),"TND-MUI-033")</f>
        <v>TND-MUI-033</v>
      </c>
      <c r="B2900" s="1090" t="str">
        <f>IFERROR(__xludf.DUMMYFUNCTION("""COMPUTED_VALUE"""),"Máy ủi D20")</f>
        <v>Máy ủi D20</v>
      </c>
      <c r="C2900" s="177" t="str">
        <f>IFERROR(__xludf.DUMMYFUNCTION("""COMPUTED_VALUE"""),"XN Chuối DP2")</f>
        <v>XN Chuối DP2</v>
      </c>
      <c r="D2900" s="177" t="str">
        <f>IFERROR(__xludf.DUMMYFUNCTION("""COMPUTED_VALUE"""),"MISUBISHI")</f>
        <v>MISUBISHI</v>
      </c>
      <c r="E2900" s="177" t="str">
        <f>IFERROR(__xludf.DUMMYFUNCTION("""COMPUTED_VALUE"""),"NHẬT BẢN")</f>
        <v>NHẬT BẢN</v>
      </c>
      <c r="F2900" s="177">
        <f>IFERROR(__xludf.DUMMYFUNCTION("""COMPUTED_VALUE"""),2011)</f>
        <v>2011</v>
      </c>
      <c r="G2900" s="177" t="str">
        <f>IFERROR(__xludf.DUMMYFUNCTION("""COMPUTED_VALUE"""),"D20")</f>
        <v>D20</v>
      </c>
      <c r="H2900" s="177" t="str">
        <f>IFERROR(__xludf.DUMMYFUNCTION("""COMPUTED_VALUE"""),"30HP")</f>
        <v>30HP</v>
      </c>
      <c r="I2900" s="177" t="str">
        <f>IFERROR(__xludf.DUMMYFUNCTION("""COMPUTED_VALUE"""),"1B101876")</f>
        <v>1B101876</v>
      </c>
      <c r="J2900" s="177" t="str">
        <f>IFERROR(__xludf.DUMMYFUNCTION("""COMPUTED_VALUE"""),"NIL")</f>
        <v>NIL</v>
      </c>
      <c r="K2900" s="177">
        <f>IFERROR(__xludf.DUMMYFUNCTION("""COMPUTED_VALUE"""),3.5)</f>
        <v>3.5</v>
      </c>
      <c r="L2900" s="177" t="str">
        <f>IFERROR(__xludf.DUMMYFUNCTION("""COMPUTED_VALUE"""),"-")</f>
        <v>-</v>
      </c>
    </row>
    <row r="2901" customHeight="1" spans="1:12">
      <c r="A2901" s="177" t="str">
        <f>IFERROR(__xludf.DUMMYFUNCTION("""COMPUTED_VALUE"""),"TND-MUI-034")</f>
        <v>TND-MUI-034</v>
      </c>
      <c r="B2901" s="1090" t="str">
        <f>IFERROR(__xludf.DUMMYFUNCTION("""COMPUTED_VALUE"""),"Máy ủi D20")</f>
        <v>Máy ủi D20</v>
      </c>
      <c r="C2901" s="177" t="str">
        <f>IFERROR(__xludf.DUMMYFUNCTION("""COMPUTED_VALUE"""),"XN Chuối DP2")</f>
        <v>XN Chuối DP2</v>
      </c>
      <c r="D2901" s="177" t="str">
        <f>IFERROR(__xludf.DUMMYFUNCTION("""COMPUTED_VALUE"""),"KOMATSU")</f>
        <v>KOMATSU</v>
      </c>
      <c r="E2901" s="177"/>
      <c r="F2901" s="177">
        <f>IFERROR(__xludf.DUMMYFUNCTION("""COMPUTED_VALUE"""),2002)</f>
        <v>2002</v>
      </c>
      <c r="G2901" s="177" t="str">
        <f>IFERROR(__xludf.DUMMYFUNCTION("""COMPUTED_VALUE"""),"D20P-5")</f>
        <v>D20P-5</v>
      </c>
      <c r="H2901" s="177" t="str">
        <f>IFERROR(__xludf.DUMMYFUNCTION("""COMPUTED_VALUE"""),"40HP")</f>
        <v>40HP</v>
      </c>
      <c r="I2901" s="177" t="str">
        <f>IFERROR(__xludf.DUMMYFUNCTION("""COMPUTED_VALUE"""),"58504")</f>
        <v>58504</v>
      </c>
      <c r="J2901" s="177" t="str">
        <f>IFERROR(__xludf.DUMMYFUNCTION("""COMPUTED_VALUE"""),"4D94-2-67309")</f>
        <v>4D94-2-67309</v>
      </c>
      <c r="K2901" s="177">
        <f>IFERROR(__xludf.DUMMYFUNCTION("""COMPUTED_VALUE"""),3.5)</f>
        <v>3.5</v>
      </c>
      <c r="L2901" s="177" t="str">
        <f>IFERROR(__xludf.DUMMYFUNCTION("""COMPUTED_VALUE"""),"-")</f>
        <v>-</v>
      </c>
    </row>
    <row r="2902" customHeight="1" spans="1:12">
      <c r="A2902" s="177" t="str">
        <f>IFERROR(__xludf.DUMMYFUNCTION("""COMPUTED_VALUE"""),"TND-MUI-035")</f>
        <v>TND-MUI-035</v>
      </c>
      <c r="B2902" s="1090" t="str">
        <f>IFERROR(__xludf.DUMMYFUNCTION("""COMPUTED_VALUE"""),"Máy ủi D60")</f>
        <v>Máy ủi D60</v>
      </c>
      <c r="C2902" s="177" t="str">
        <f>IFERROR(__xludf.DUMMYFUNCTION("""COMPUTED_VALUE"""),"CGTC DP")</f>
        <v>CGTC DP</v>
      </c>
      <c r="D2902" s="177" t="str">
        <f>IFERROR(__xludf.DUMMYFUNCTION("""COMPUTED_VALUE"""),"KOMATSU")</f>
        <v>KOMATSU</v>
      </c>
      <c r="E2902" s="177"/>
      <c r="F2902" s="177">
        <f>IFERROR(__xludf.DUMMYFUNCTION("""COMPUTED_VALUE"""),1979)</f>
        <v>1979</v>
      </c>
      <c r="G2902" s="177" t="str">
        <f>IFERROR(__xludf.DUMMYFUNCTION("""COMPUTED_VALUE"""),"D60P")</f>
        <v>D60P</v>
      </c>
      <c r="H2902" s="177" t="str">
        <f>IFERROR(__xludf.DUMMYFUNCTION("""COMPUTED_VALUE"""),"155HP")</f>
        <v>155HP</v>
      </c>
      <c r="I2902" s="177" t="str">
        <f>IFERROR(__xludf.DUMMYFUNCTION("""COMPUTED_VALUE"""),"33160")</f>
        <v>33160</v>
      </c>
      <c r="J2902" s="177" t="str">
        <f>IFERROR(__xludf.DUMMYFUNCTION("""COMPUTED_VALUE"""),"NIL")</f>
        <v>NIL</v>
      </c>
      <c r="K2902" s="177">
        <f>IFERROR(__xludf.DUMMYFUNCTION("""COMPUTED_VALUE"""),11.5)</f>
        <v>11.5</v>
      </c>
      <c r="L2902" s="177" t="str">
        <f>IFERROR(__xludf.DUMMYFUNCTION("""COMPUTED_VALUE"""),"Đang thuê")</f>
        <v>Đang thuê</v>
      </c>
    </row>
    <row r="2903" customHeight="1" spans="1:12">
      <c r="A2903" s="177" t="str">
        <f>IFERROR(__xludf.DUMMYFUNCTION("""COMPUTED_VALUE"""),"TND-MUI-036")</f>
        <v>TND-MUI-036</v>
      </c>
      <c r="B2903" s="1090" t="str">
        <f>IFERROR(__xludf.DUMMYFUNCTION("""COMPUTED_VALUE"""),"Máy ủi D20")</f>
        <v>Máy ủi D20</v>
      </c>
      <c r="C2903" s="177" t="str">
        <f>IFERROR(__xludf.DUMMYFUNCTION("""COMPUTED_VALUE"""),"XN Chuối DP3")</f>
        <v>XN Chuối DP3</v>
      </c>
      <c r="D2903" s="177" t="str">
        <f>IFERROR(__xludf.DUMMYFUNCTION("""COMPUTED_VALUE"""),"KOMATSU")</f>
        <v>KOMATSU</v>
      </c>
      <c r="E2903" s="177"/>
      <c r="F2903" s="177">
        <f>IFERROR(__xludf.DUMMYFUNCTION("""COMPUTED_VALUE"""),1990)</f>
        <v>1990</v>
      </c>
      <c r="G2903" s="177" t="str">
        <f>IFERROR(__xludf.DUMMYFUNCTION("""COMPUTED_VALUE"""),"D20A-5")</f>
        <v>D20A-5</v>
      </c>
      <c r="H2903" s="177" t="str">
        <f>IFERROR(__xludf.DUMMYFUNCTION("""COMPUTED_VALUE"""),"30HP")</f>
        <v>30HP</v>
      </c>
      <c r="I2903" s="177" t="str">
        <f>IFERROR(__xludf.DUMMYFUNCTION("""COMPUTED_VALUE"""),"51903")</f>
        <v>51903</v>
      </c>
      <c r="J2903" s="177" t="str">
        <f>IFERROR(__xludf.DUMMYFUNCTION("""COMPUTED_VALUE"""),"40994")</f>
        <v>40994</v>
      </c>
      <c r="K2903" s="177">
        <f>IFERROR(__xludf.DUMMYFUNCTION("""COMPUTED_VALUE"""),3.7)</f>
        <v>3.7</v>
      </c>
      <c r="L2903" s="177" t="str">
        <f>IFERROR(__xludf.DUMMYFUNCTION("""COMPUTED_VALUE"""),"-")</f>
        <v>-</v>
      </c>
    </row>
    <row r="2904" customHeight="1" spans="1:12">
      <c r="A2904" s="177" t="str">
        <f>IFERROR(__xludf.DUMMYFUNCTION("""COMPUTED_VALUE"""),"TND-MUI-037")</f>
        <v>TND-MUI-037</v>
      </c>
      <c r="B2904" s="1090" t="str">
        <f>IFERROR(__xludf.DUMMYFUNCTION("""COMPUTED_VALUE"""),"Máy ủi D20")</f>
        <v>Máy ủi D20</v>
      </c>
      <c r="C2904" s="177" t="str">
        <f>IFERROR(__xludf.DUMMYFUNCTION("""COMPUTED_VALUE"""),"CGTC DP")</f>
        <v>CGTC DP</v>
      </c>
      <c r="D2904" s="177" t="str">
        <f>IFERROR(__xludf.DUMMYFUNCTION("""COMPUTED_VALUE"""),"MITSUBISHI")</f>
        <v>MITSUBISHI</v>
      </c>
      <c r="E2904" s="177"/>
      <c r="F2904" s="177"/>
      <c r="G2904" s="177" t="str">
        <f>IFERROR(__xludf.DUMMYFUNCTION("""COMPUTED_VALUE"""),"BD2F")</f>
        <v>BD2F</v>
      </c>
      <c r="H2904" s="177" t="str">
        <f>IFERROR(__xludf.DUMMYFUNCTION("""COMPUTED_VALUE"""),"35HP")</f>
        <v>35HP</v>
      </c>
      <c r="I2904" s="177" t="str">
        <f>IFERROR(__xludf.DUMMYFUNCTION("""COMPUTED_VALUE"""),"1B10876")</f>
        <v>1B10876</v>
      </c>
      <c r="J2904" s="177" t="str">
        <f>IFERROR(__xludf.DUMMYFUNCTION("""COMPUTED_VALUE"""),"NIL")</f>
        <v>NIL</v>
      </c>
      <c r="K2904" s="177">
        <f>IFERROR(__xludf.DUMMYFUNCTION("""COMPUTED_VALUE"""),4.5)</f>
        <v>4.5</v>
      </c>
      <c r="L2904" s="177" t="str">
        <f>IFERROR(__xludf.DUMMYFUNCTION("""COMPUTED_VALUE"""),"-")</f>
        <v>-</v>
      </c>
    </row>
    <row r="2905" customHeight="1" spans="1:12">
      <c r="A2905" s="177" t="str">
        <f>IFERROR(__xludf.DUMMYFUNCTION("""COMPUTED_VALUE"""),"TND-MUI-038")</f>
        <v>TND-MUI-038</v>
      </c>
      <c r="B2905" s="1090" t="str">
        <f>IFERROR(__xludf.DUMMYFUNCTION("""COMPUTED_VALUE"""),"Máy ủi D31")</f>
        <v>Máy ủi D31</v>
      </c>
      <c r="C2905" s="177" t="str">
        <f>IFERROR(__xludf.DUMMYFUNCTION("""COMPUTED_VALUE"""),"CGTC DP")</f>
        <v>CGTC DP</v>
      </c>
      <c r="D2905" s="177" t="str">
        <f>IFERROR(__xludf.DUMMYFUNCTION("""COMPUTED_VALUE"""),"KOMATSU")</f>
        <v>KOMATSU</v>
      </c>
      <c r="E2905" s="177"/>
      <c r="F2905" s="177"/>
      <c r="G2905" s="177" t="str">
        <f>IFERROR(__xludf.DUMMYFUNCTION("""COMPUTED_VALUE"""),"D31E-18")</f>
        <v>D31E-18</v>
      </c>
      <c r="H2905" s="177" t="str">
        <f>IFERROR(__xludf.DUMMYFUNCTION("""COMPUTED_VALUE"""),"70HP")</f>
        <v>70HP</v>
      </c>
      <c r="I2905" s="177" t="str">
        <f>IFERROR(__xludf.DUMMYFUNCTION("""COMPUTED_VALUE"""),"40395")</f>
        <v>40395</v>
      </c>
      <c r="J2905" s="177" t="str">
        <f>IFERROR(__xludf.DUMMYFUNCTION("""COMPUTED_VALUE"""),"L61908")</f>
        <v>L61908</v>
      </c>
      <c r="K2905" s="177">
        <f>IFERROR(__xludf.DUMMYFUNCTION("""COMPUTED_VALUE"""),4.5)</f>
        <v>4.5</v>
      </c>
      <c r="L2905" s="177" t="str">
        <f>IFERROR(__xludf.DUMMYFUNCTION("""COMPUTED_VALUE"""),"Đang thuê")</f>
        <v>Đang thuê</v>
      </c>
    </row>
    <row r="2906" customHeight="1" spans="1:12">
      <c r="A2906" s="177" t="str">
        <f>IFERROR(__xludf.DUMMYFUNCTION("""COMPUTED_VALUE"""),"TND-MUI-039")</f>
        <v>TND-MUI-039</v>
      </c>
      <c r="B2906" s="1090" t="str">
        <f>IFERROR(__xludf.DUMMYFUNCTION("""COMPUTED_VALUE"""),"Máy ủi D20")</f>
        <v>Máy ủi D20</v>
      </c>
      <c r="C2906" s="177" t="str">
        <f>IFERROR(__xludf.DUMMYFUNCTION("""COMPUTED_VALUE"""),"XN Chuối DP3")</f>
        <v>XN Chuối DP3</v>
      </c>
      <c r="D2906" s="177" t="str">
        <f>IFERROR(__xludf.DUMMYFUNCTION("""COMPUTED_VALUE"""),"KOMATSU")</f>
        <v>KOMATSU</v>
      </c>
      <c r="E2906" s="177"/>
      <c r="F2906" s="177">
        <f>IFERROR(__xludf.DUMMYFUNCTION("""COMPUTED_VALUE"""),1997)</f>
        <v>1997</v>
      </c>
      <c r="G2906" s="177" t="str">
        <f>IFERROR(__xludf.DUMMYFUNCTION("""COMPUTED_VALUE"""),"D20P-6")</f>
        <v>D20P-6</v>
      </c>
      <c r="H2906" s="177" t="str">
        <f>IFERROR(__xludf.DUMMYFUNCTION("""COMPUTED_VALUE"""),"40HP")</f>
        <v>40HP</v>
      </c>
      <c r="I2906" s="177" t="str">
        <f>IFERROR(__xludf.DUMMYFUNCTION("""COMPUTED_VALUE"""),"D206-62098")</f>
        <v>D206-62098</v>
      </c>
      <c r="J2906" s="177" t="str">
        <f>IFERROR(__xludf.DUMMYFUNCTION("""COMPUTED_VALUE"""),"4095S-W36163")</f>
        <v>4095S-W36163</v>
      </c>
      <c r="K2906" s="177">
        <f>IFERROR(__xludf.DUMMYFUNCTION("""COMPUTED_VALUE"""),5)</f>
        <v>5</v>
      </c>
      <c r="L2906" s="177" t="str">
        <f>IFERROR(__xludf.DUMMYFUNCTION("""COMPUTED_VALUE"""),"Đang thuê")</f>
        <v>Đang thuê</v>
      </c>
    </row>
    <row r="2907" customHeight="1" spans="1:12">
      <c r="A2907" s="177" t="str">
        <f>IFERROR(__xludf.DUMMYFUNCTION("""COMPUTED_VALUE"""),"TND-MUI-040")</f>
        <v>TND-MUI-040</v>
      </c>
      <c r="B2907" s="1090" t="str">
        <f>IFERROR(__xludf.DUMMYFUNCTION("""COMPUTED_VALUE"""),"Máy ủi D20")</f>
        <v>Máy ủi D20</v>
      </c>
      <c r="C2907" s="177" t="str">
        <f>IFERROR(__xludf.DUMMYFUNCTION("""COMPUTED_VALUE"""),"XN Chuối DP3")</f>
        <v>XN Chuối DP3</v>
      </c>
      <c r="D2907" s="177" t="str">
        <f>IFERROR(__xludf.DUMMYFUNCTION("""COMPUTED_VALUE"""),"KOMATSU")</f>
        <v>KOMATSU</v>
      </c>
      <c r="E2907" s="177"/>
      <c r="F2907" s="177">
        <f>IFERROR(__xludf.DUMMYFUNCTION("""COMPUTED_VALUE"""),2003)</f>
        <v>2003</v>
      </c>
      <c r="G2907" s="177" t="str">
        <f>IFERROR(__xludf.DUMMYFUNCTION("""COMPUTED_VALUE"""),"D20A-5")</f>
        <v>D20A-5</v>
      </c>
      <c r="H2907" s="177" t="str">
        <f>IFERROR(__xludf.DUMMYFUNCTION("""COMPUTED_VALUE"""),"45HP")</f>
        <v>45HP</v>
      </c>
      <c r="I2907" s="177" t="str">
        <f>IFERROR(__xludf.DUMMYFUNCTION("""COMPUTED_VALUE"""),"D205-45584")</f>
        <v>D205-45584</v>
      </c>
      <c r="J2907" s="177" t="str">
        <f>IFERROR(__xludf.DUMMYFUNCTION("""COMPUTED_VALUE"""),"16506")</f>
        <v>16506</v>
      </c>
      <c r="K2907" s="177">
        <f>IFERROR(__xludf.DUMMYFUNCTION("""COMPUTED_VALUE"""),4.5)</f>
        <v>4.5</v>
      </c>
      <c r="L2907" s="177" t="str">
        <f>IFERROR(__xludf.DUMMYFUNCTION("""COMPUTED_VALUE"""),"Đang thuê")</f>
        <v>Đang thuê</v>
      </c>
    </row>
    <row r="2908" customHeight="1" spans="1:12">
      <c r="A2908" s="177" t="str">
        <f>IFERROR(__xludf.DUMMYFUNCTION("""COMPUTED_VALUE"""),"TND-MUI-041")</f>
        <v>TND-MUI-041</v>
      </c>
      <c r="B2908" s="1090" t="str">
        <f>IFERROR(__xludf.DUMMYFUNCTION("""COMPUTED_VALUE"""),"Máy ủi D5")</f>
        <v>Máy ủi D5</v>
      </c>
      <c r="C2908" s="177" t="str">
        <f>IFERROR(__xludf.DUMMYFUNCTION("""COMPUTED_VALUE"""),"CGTC DP")</f>
        <v>CGTC DP</v>
      </c>
      <c r="D2908" s="177" t="str">
        <f>IFERROR(__xludf.DUMMYFUNCTION("""COMPUTED_VALUE"""),"KOMATSU")</f>
        <v>KOMATSU</v>
      </c>
      <c r="E2908" s="177"/>
      <c r="F2908" s="177">
        <f>IFERROR(__xludf.DUMMYFUNCTION("""COMPUTED_VALUE"""),1980)</f>
        <v>1980</v>
      </c>
      <c r="G2908" s="177" t="str">
        <f>IFERROR(__xludf.DUMMYFUNCTION("""COMPUTED_VALUE"""),"D50S-16")</f>
        <v>D50S-16</v>
      </c>
      <c r="H2908" s="177" t="str">
        <f>IFERROR(__xludf.DUMMYFUNCTION("""COMPUTED_VALUE"""),"110HP")</f>
        <v>110HP</v>
      </c>
      <c r="I2908" s="177" t="str">
        <f>IFERROR(__xludf.DUMMYFUNCTION("""COMPUTED_VALUE"""),"D50S16-65953")</f>
        <v>D50S16-65953</v>
      </c>
      <c r="J2908" s="177" t="str">
        <f>IFERROR(__xludf.DUMMYFUNCTION("""COMPUTED_VALUE"""),"4D130-1-22297")</f>
        <v>4D130-1-22297</v>
      </c>
      <c r="K2908" s="177">
        <f>IFERROR(__xludf.DUMMYFUNCTION("""COMPUTED_VALUE"""),11)</f>
        <v>11</v>
      </c>
      <c r="L2908" s="177" t="str">
        <f>IFERROR(__xludf.DUMMYFUNCTION("""COMPUTED_VALUE"""),"-")</f>
        <v>-</v>
      </c>
    </row>
    <row r="2909" customHeight="1" spans="1:12">
      <c r="A2909" s="177" t="str">
        <f>IFERROR(__xludf.DUMMYFUNCTION("""COMPUTED_VALUE"""),"TND-MUI-042")</f>
        <v>TND-MUI-042</v>
      </c>
      <c r="B2909" s="1090" t="str">
        <f>IFERROR(__xludf.DUMMYFUNCTION("""COMPUTED_VALUE"""),"Máy ủi D20")</f>
        <v>Máy ủi D20</v>
      </c>
      <c r="C2909" s="177" t="str">
        <f>IFERROR(__xludf.DUMMYFUNCTION("""COMPUTED_VALUE"""),"CGTC DP")</f>
        <v>CGTC DP</v>
      </c>
      <c r="D2909" s="177" t="str">
        <f>IFERROR(__xludf.DUMMYFUNCTION("""COMPUTED_VALUE"""),"MITSUBISHI")</f>
        <v>MITSUBISHI</v>
      </c>
      <c r="E2909" s="177"/>
      <c r="F2909" s="177">
        <f>IFERROR(__xludf.DUMMYFUNCTION("""COMPUTED_VALUE"""),2001)</f>
        <v>2001</v>
      </c>
      <c r="G2909" s="177" t="str">
        <f>IFERROR(__xludf.DUMMYFUNCTION("""COMPUTED_VALUE"""),"BD2F")</f>
        <v>BD2F</v>
      </c>
      <c r="H2909" s="177" t="str">
        <f>IFERROR(__xludf.DUMMYFUNCTION("""COMPUTED_VALUE"""),"37HP")</f>
        <v>37HP</v>
      </c>
      <c r="I2909" s="177" t="str">
        <f>IFERROR(__xludf.DUMMYFUNCTION("""COMPUTED_VALUE"""),"1B102230")</f>
        <v>1B102230</v>
      </c>
      <c r="J2909" s="177" t="str">
        <f>IFERROR(__xludf.DUMMYFUNCTION("""COMPUTED_VALUE"""),"32560")</f>
        <v>32560</v>
      </c>
      <c r="K2909" s="177">
        <f>IFERROR(__xludf.DUMMYFUNCTION("""COMPUTED_VALUE"""),4)</f>
        <v>4</v>
      </c>
      <c r="L2909" s="177" t="str">
        <f>IFERROR(__xludf.DUMMYFUNCTION("""COMPUTED_VALUE"""),"-")</f>
        <v>-</v>
      </c>
    </row>
    <row r="2910" customHeight="1" spans="1:12">
      <c r="A2910" s="177" t="str">
        <f>IFERROR(__xludf.DUMMYFUNCTION("""COMPUTED_VALUE"""),"TND-MUI-043")</f>
        <v>TND-MUI-043</v>
      </c>
      <c r="B2910" s="1090" t="str">
        <f>IFERROR(__xludf.DUMMYFUNCTION("""COMPUTED_VALUE"""),"Máy ủi D20")</f>
        <v>Máy ủi D20</v>
      </c>
      <c r="C2910" s="177" t="str">
        <f>IFERROR(__xludf.DUMMYFUNCTION("""COMPUTED_VALUE"""),"XN Chuối DP2")</f>
        <v>XN Chuối DP2</v>
      </c>
      <c r="D2910" s="177" t="str">
        <f>IFERROR(__xludf.DUMMYFUNCTION("""COMPUTED_VALUE"""),"KOMATSU")</f>
        <v>KOMATSU</v>
      </c>
      <c r="E2910" s="177"/>
      <c r="F2910" s="177">
        <f>IFERROR(__xludf.DUMMYFUNCTION("""COMPUTED_VALUE"""),1991)</f>
        <v>1991</v>
      </c>
      <c r="G2910" s="177" t="str">
        <f>IFERROR(__xludf.DUMMYFUNCTION("""COMPUTED_VALUE"""),"D20A-5")</f>
        <v>D20A-5</v>
      </c>
      <c r="H2910" s="177" t="str">
        <f>IFERROR(__xludf.DUMMYFUNCTION("""COMPUTED_VALUE"""),"39HP")</f>
        <v>39HP</v>
      </c>
      <c r="I2910" s="177" t="str">
        <f>IFERROR(__xludf.DUMMYFUNCTION("""COMPUTED_VALUE"""),"52376")</f>
        <v>52376</v>
      </c>
      <c r="J2910" s="177" t="str">
        <f>IFERROR(__xludf.DUMMYFUNCTION("""COMPUTED_VALUE"""),"1D94-2-43075")</f>
        <v>1D94-2-43075</v>
      </c>
      <c r="K2910" s="177">
        <f>IFERROR(__xludf.DUMMYFUNCTION("""COMPUTED_VALUE"""),5)</f>
        <v>5</v>
      </c>
      <c r="L2910" s="177" t="str">
        <f>IFERROR(__xludf.DUMMYFUNCTION("""COMPUTED_VALUE"""),"-")</f>
        <v>-</v>
      </c>
    </row>
    <row r="2911" customHeight="1" spans="1:12">
      <c r="A2911" s="177" t="str">
        <f>IFERROR(__xludf.DUMMYFUNCTION("""COMPUTED_VALUE"""),"TND-MUI-044")</f>
        <v>TND-MUI-044</v>
      </c>
      <c r="B2911" s="1090" t="str">
        <f>IFERROR(__xludf.DUMMYFUNCTION("""COMPUTED_VALUE"""),"Máy ủi D3B")</f>
        <v>Máy ủi D3B</v>
      </c>
      <c r="C2911" s="177" t="str">
        <f>IFERROR(__xludf.DUMMYFUNCTION("""COMPUTED_VALUE"""),"XN Chuối DP2")</f>
        <v>XN Chuối DP2</v>
      </c>
      <c r="D2911" s="177" t="str">
        <f>IFERROR(__xludf.DUMMYFUNCTION("""COMPUTED_VALUE"""),"CATERPILLAR")</f>
        <v>CATERPILLAR</v>
      </c>
      <c r="E2911" s="177"/>
      <c r="F2911" s="177"/>
      <c r="G2911" s="177" t="str">
        <f>IFERROR(__xludf.DUMMYFUNCTION("""COMPUTED_VALUE"""),"D3BZ")</f>
        <v>D3BZ</v>
      </c>
      <c r="H2911" s="177" t="str">
        <f>IFERROR(__xludf.DUMMYFUNCTION("""COMPUTED_VALUE"""),"100HP")</f>
        <v>100HP</v>
      </c>
      <c r="I2911" s="177" t="str">
        <f>IFERROR(__xludf.DUMMYFUNCTION("""COMPUTED_VALUE"""),"3YC00297")</f>
        <v>3YC00297</v>
      </c>
      <c r="J2911" s="177" t="str">
        <f>IFERROR(__xludf.DUMMYFUNCTION("""COMPUTED_VALUE"""),"45V51296")</f>
        <v>45V51296</v>
      </c>
      <c r="K2911" s="177">
        <f>IFERROR(__xludf.DUMMYFUNCTION("""COMPUTED_VALUE"""),5)</f>
        <v>5</v>
      </c>
      <c r="L2911" s="177" t="str">
        <f>IFERROR(__xludf.DUMMYFUNCTION("""COMPUTED_VALUE"""),"-")</f>
        <v>-</v>
      </c>
    </row>
    <row r="2912" customHeight="1" spans="1:12">
      <c r="A2912" s="177" t="str">
        <f>IFERROR(__xludf.DUMMYFUNCTION("""COMPUTED_VALUE"""),"TND-MUI-045")</f>
        <v>TND-MUI-045</v>
      </c>
      <c r="B2912" s="1090" t="str">
        <f>IFERROR(__xludf.DUMMYFUNCTION("""COMPUTED_VALUE"""),"Máy ủi D3")</f>
        <v>Máy ủi D3</v>
      </c>
      <c r="C2912" s="177" t="str">
        <f>IFERROR(__xludf.DUMMYFUNCTION("""COMPUTED_VALUE"""),"CGTC DP")</f>
        <v>CGTC DP</v>
      </c>
      <c r="D2912" s="177" t="str">
        <f>IFERROR(__xludf.DUMMYFUNCTION("""COMPUTED_VALUE"""),"KOMATSU")</f>
        <v>KOMATSU</v>
      </c>
      <c r="E2912" s="177"/>
      <c r="F2912" s="177">
        <f>IFERROR(__xludf.DUMMYFUNCTION("""COMPUTED_VALUE"""),1999)</f>
        <v>1999</v>
      </c>
      <c r="G2912" s="177" t="str">
        <f>IFERROR(__xludf.DUMMYFUNCTION("""COMPUTED_VALUE"""),"D31S-17")</f>
        <v>D31S-17</v>
      </c>
      <c r="H2912" s="177" t="str">
        <f>IFERROR(__xludf.DUMMYFUNCTION("""COMPUTED_VALUE"""),"70HP")</f>
        <v>70HP</v>
      </c>
      <c r="I2912" s="177" t="str">
        <f>IFERROR(__xludf.DUMMYFUNCTION("""COMPUTED_VALUE"""),"32713")</f>
        <v>32713</v>
      </c>
      <c r="J2912" s="177" t="str">
        <f>IFERROR(__xludf.DUMMYFUNCTION("""COMPUTED_VALUE"""),"161486")</f>
        <v>161486</v>
      </c>
      <c r="K2912" s="177">
        <f>IFERROR(__xludf.DUMMYFUNCTION("""COMPUTED_VALUE"""),6)</f>
        <v>6</v>
      </c>
      <c r="L2912" s="177" t="str">
        <f>IFERROR(__xludf.DUMMYFUNCTION("""COMPUTED_VALUE"""),"Đang thuê")</f>
        <v>Đang thuê</v>
      </c>
    </row>
    <row r="2913" customHeight="1" spans="1:12">
      <c r="A2913" s="177" t="str">
        <f>IFERROR(__xludf.DUMMYFUNCTION("""COMPUTED_VALUE"""),"TND-MUI-046")</f>
        <v>TND-MUI-046</v>
      </c>
      <c r="B2913" s="1090" t="str">
        <f>IFERROR(__xludf.DUMMYFUNCTION("""COMPUTED_VALUE"""),"Máy ủi D20")</f>
        <v>Máy ủi D20</v>
      </c>
      <c r="C2913" s="177" t="str">
        <f>IFERROR(__xludf.DUMMYFUNCTION("""COMPUTED_VALUE"""),"XN Chuối DP2")</f>
        <v>XN Chuối DP2</v>
      </c>
      <c r="D2913" s="177" t="str">
        <f>IFERROR(__xludf.DUMMYFUNCTION("""COMPUTED_VALUE"""),"KOMATSU")</f>
        <v>KOMATSU</v>
      </c>
      <c r="E2913" s="177"/>
      <c r="F2913" s="177">
        <f>IFERROR(__xludf.DUMMYFUNCTION("""COMPUTED_VALUE"""),1999)</f>
        <v>1999</v>
      </c>
      <c r="G2913" s="177" t="str">
        <f>IFERROR(__xludf.DUMMYFUNCTION("""COMPUTED_VALUE"""),"D20A-5")</f>
        <v>D20A-5</v>
      </c>
      <c r="H2913" s="177" t="str">
        <f>IFERROR(__xludf.DUMMYFUNCTION("""COMPUTED_VALUE"""),"40HP")</f>
        <v>40HP</v>
      </c>
      <c r="I2913" s="177" t="str">
        <f>IFERROR(__xludf.DUMMYFUNCTION("""COMPUTED_VALUE"""),"484432")</f>
        <v>484432</v>
      </c>
      <c r="J2913" s="177" t="str">
        <f>IFERROR(__xludf.DUMMYFUNCTION("""COMPUTED_VALUE"""),"NIL")</f>
        <v>NIL</v>
      </c>
      <c r="K2913" s="177">
        <f>IFERROR(__xludf.DUMMYFUNCTION("""COMPUTED_VALUE"""),4)</f>
        <v>4</v>
      </c>
      <c r="L2913" s="177" t="str">
        <f>IFERROR(__xludf.DUMMYFUNCTION("""COMPUTED_VALUE"""),"-")</f>
        <v>-</v>
      </c>
    </row>
    <row r="2914" customHeight="1" spans="1:12">
      <c r="A2914" s="177" t="str">
        <f>IFERROR(__xludf.DUMMYFUNCTION("""COMPUTED_VALUE"""),"TND-MUI-047")</f>
        <v>TND-MUI-047</v>
      </c>
      <c r="B2914" s="1090" t="str">
        <f>IFERROR(__xludf.DUMMYFUNCTION("""COMPUTED_VALUE"""),"Máy ủi D20")</f>
        <v>Máy ủi D20</v>
      </c>
      <c r="C2914" s="177" t="str">
        <f>IFERROR(__xludf.DUMMYFUNCTION("""COMPUTED_VALUE"""),"XN Chuối DP2")</f>
        <v>XN Chuối DP2</v>
      </c>
      <c r="D2914" s="177" t="str">
        <f>IFERROR(__xludf.DUMMYFUNCTION("""COMPUTED_VALUE"""),"KOMATSU")</f>
        <v>KOMATSU</v>
      </c>
      <c r="E2914" s="177"/>
      <c r="F2914" s="177">
        <f>IFERROR(__xludf.DUMMYFUNCTION("""COMPUTED_VALUE"""),1990)</f>
        <v>1990</v>
      </c>
      <c r="G2914" s="177" t="str">
        <f>IFERROR(__xludf.DUMMYFUNCTION("""COMPUTED_VALUE"""),"D20A-5")</f>
        <v>D20A-5</v>
      </c>
      <c r="H2914" s="177" t="str">
        <f>IFERROR(__xludf.DUMMYFUNCTION("""COMPUTED_VALUE"""),"40HP")</f>
        <v>40HP</v>
      </c>
      <c r="I2914" s="177" t="str">
        <f>IFERROR(__xludf.DUMMYFUNCTION("""COMPUTED_VALUE"""),"51053")</f>
        <v>51053</v>
      </c>
      <c r="J2914" s="177" t="str">
        <f>IFERROR(__xludf.DUMMYFUNCTION("""COMPUTED_VALUE"""),"4D94")</f>
        <v>4D94</v>
      </c>
      <c r="K2914" s="177">
        <f>IFERROR(__xludf.DUMMYFUNCTION("""COMPUTED_VALUE"""),3.5)</f>
        <v>3.5</v>
      </c>
      <c r="L2914" s="177" t="str">
        <f>IFERROR(__xludf.DUMMYFUNCTION("""COMPUTED_VALUE"""),"-")</f>
        <v>-</v>
      </c>
    </row>
    <row r="2915" customHeight="1" spans="1:12">
      <c r="A2915" s="177" t="str">
        <f>IFERROR(__xludf.DUMMYFUNCTION("""COMPUTED_VALUE"""),"TND-MUI-048")</f>
        <v>TND-MUI-048</v>
      </c>
      <c r="B2915" s="1090" t="str">
        <f>IFERROR(__xludf.DUMMYFUNCTION("""COMPUTED_VALUE"""),"Máy ủi D20")</f>
        <v>Máy ủi D20</v>
      </c>
      <c r="C2915" s="177" t="str">
        <f>IFERROR(__xludf.DUMMYFUNCTION("""COMPUTED_VALUE"""),"XN Chuối DP2")</f>
        <v>XN Chuối DP2</v>
      </c>
      <c r="D2915" s="177" t="str">
        <f>IFERROR(__xludf.DUMMYFUNCTION("""COMPUTED_VALUE"""),"KOMATSU")</f>
        <v>KOMATSU</v>
      </c>
      <c r="E2915" s="177"/>
      <c r="F2915" s="177">
        <f>IFERROR(__xludf.DUMMYFUNCTION("""COMPUTED_VALUE"""),1992)</f>
        <v>1992</v>
      </c>
      <c r="G2915" s="177" t="str">
        <f>IFERROR(__xludf.DUMMYFUNCTION("""COMPUTED_VALUE"""),"D21A")</f>
        <v>D21A</v>
      </c>
      <c r="H2915" s="177" t="str">
        <f>IFERROR(__xludf.DUMMYFUNCTION("""COMPUTED_VALUE"""),"40HP")</f>
        <v>40HP</v>
      </c>
      <c r="I2915" s="177" t="str">
        <f>IFERROR(__xludf.DUMMYFUNCTION("""COMPUTED_VALUE"""),"D20663183")</f>
        <v>D20663183</v>
      </c>
      <c r="J2915" s="177" t="str">
        <f>IFERROR(__xludf.DUMMYFUNCTION("""COMPUTED_VALUE"""),"4D95L65302")</f>
        <v>4D95L65302</v>
      </c>
      <c r="K2915" s="177">
        <f>IFERROR(__xludf.DUMMYFUNCTION("""COMPUTED_VALUE"""),3.5)</f>
        <v>3.5</v>
      </c>
      <c r="L2915" s="177" t="str">
        <f>IFERROR(__xludf.DUMMYFUNCTION("""COMPUTED_VALUE"""),"-")</f>
        <v>-</v>
      </c>
    </row>
    <row r="2916" customHeight="1" spans="1:12">
      <c r="A2916" s="177" t="str">
        <f>IFERROR(__xludf.DUMMYFUNCTION("""COMPUTED_VALUE"""),"TND-MUI-049")</f>
        <v>TND-MUI-049</v>
      </c>
      <c r="B2916" s="1090" t="str">
        <f>IFERROR(__xludf.DUMMYFUNCTION("""COMPUTED_VALUE"""),"Máy ủi D20")</f>
        <v>Máy ủi D20</v>
      </c>
      <c r="C2916" s="177" t="str">
        <f>IFERROR(__xludf.DUMMYFUNCTION("""COMPUTED_VALUE"""),"XN Chuối DP2")</f>
        <v>XN Chuối DP2</v>
      </c>
      <c r="D2916" s="177" t="str">
        <f>IFERROR(__xludf.DUMMYFUNCTION("""COMPUTED_VALUE"""),"MITSUBISHI")</f>
        <v>MITSUBISHI</v>
      </c>
      <c r="E2916" s="177"/>
      <c r="F2916" s="177">
        <f>IFERROR(__xludf.DUMMYFUNCTION("""COMPUTED_VALUE"""),1989)</f>
        <v>1989</v>
      </c>
      <c r="G2916" s="177" t="str">
        <f>IFERROR(__xludf.DUMMYFUNCTION("""COMPUTED_VALUE"""),"BD2G")</f>
        <v>BD2G</v>
      </c>
      <c r="H2916" s="177" t="str">
        <f>IFERROR(__xludf.DUMMYFUNCTION("""COMPUTED_VALUE"""),"30HP")</f>
        <v>30HP</v>
      </c>
      <c r="I2916" s="177" t="str">
        <f>IFERROR(__xludf.DUMMYFUNCTION("""COMPUTED_VALUE"""),"2B600700")</f>
        <v>2B600700</v>
      </c>
      <c r="J2916" s="177" t="str">
        <f>IFERROR(__xludf.DUMMYFUNCTION("""COMPUTED_VALUE"""),"S4E84946")</f>
        <v>S4E84946</v>
      </c>
      <c r="K2916" s="177">
        <f>IFERROR(__xludf.DUMMYFUNCTION("""COMPUTED_VALUE"""),4)</f>
        <v>4</v>
      </c>
      <c r="L2916" s="177" t="str">
        <f>IFERROR(__xludf.DUMMYFUNCTION("""COMPUTED_VALUE"""),"Đang thuê")</f>
        <v>Đang thuê</v>
      </c>
    </row>
    <row r="2917" customHeight="1" spans="1:12">
      <c r="A2917" s="177" t="str">
        <f>IFERROR(__xludf.DUMMYFUNCTION("""COMPUTED_VALUE"""),"TND-MUI-050")</f>
        <v>TND-MUI-050</v>
      </c>
      <c r="B2917" s="1090" t="str">
        <f>IFERROR(__xludf.DUMMYFUNCTION("""COMPUTED_VALUE"""),"Máy ủi D31")</f>
        <v>Máy ủi D31</v>
      </c>
      <c r="C2917" s="177" t="str">
        <f>IFERROR(__xludf.DUMMYFUNCTION("""COMPUTED_VALUE"""),"XN Chuối DP3")</f>
        <v>XN Chuối DP3</v>
      </c>
      <c r="D2917" s="177" t="str">
        <f>IFERROR(__xludf.DUMMYFUNCTION("""COMPUTED_VALUE"""),"KOMATSU")</f>
        <v>KOMATSU</v>
      </c>
      <c r="E2917" s="177"/>
      <c r="F2917" s="177">
        <f>IFERROR(__xludf.DUMMYFUNCTION("""COMPUTED_VALUE"""),1981)</f>
        <v>1981</v>
      </c>
      <c r="G2917" s="177" t="str">
        <f>IFERROR(__xludf.DUMMYFUNCTION("""COMPUTED_VALUE"""),"D31P-16")</f>
        <v>D31P-16</v>
      </c>
      <c r="H2917" s="177" t="str">
        <f>IFERROR(__xludf.DUMMYFUNCTION("""COMPUTED_VALUE"""),"63HP")</f>
        <v>63HP</v>
      </c>
      <c r="I2917" s="177" t="str">
        <f>IFERROR(__xludf.DUMMYFUNCTION("""COMPUTED_VALUE"""),"29243")</f>
        <v>29243</v>
      </c>
      <c r="J2917" s="177" t="str">
        <f>IFERROR(__xludf.DUMMYFUNCTION("""COMPUTED_VALUE"""),"67212")</f>
        <v>67212</v>
      </c>
      <c r="K2917" s="177">
        <f>IFERROR(__xludf.DUMMYFUNCTION("""COMPUTED_VALUE"""),6)</f>
        <v>6</v>
      </c>
      <c r="L2917" s="177" t="str">
        <f>IFERROR(__xludf.DUMMYFUNCTION("""COMPUTED_VALUE"""),"-")</f>
        <v>-</v>
      </c>
    </row>
    <row r="2918" customHeight="1" spans="1:12">
      <c r="A2918" s="177" t="str">
        <f>IFERROR(__xludf.DUMMYFUNCTION("""COMPUTED_VALUE"""),"TND-MUI-051")</f>
        <v>TND-MUI-051</v>
      </c>
      <c r="B2918" s="1090" t="str">
        <f>IFERROR(__xludf.DUMMYFUNCTION("""COMPUTED_VALUE"""),"Máy ủi D20")</f>
        <v>Máy ủi D20</v>
      </c>
      <c r="C2918" s="177" t="str">
        <f>IFERROR(__xludf.DUMMYFUNCTION("""COMPUTED_VALUE"""),"XN Chuối DP1")</f>
        <v>XN Chuối DP1</v>
      </c>
      <c r="D2918" s="177" t="str">
        <f>IFERROR(__xludf.DUMMYFUNCTION("""COMPUTED_VALUE"""),"KOMATSU")</f>
        <v>KOMATSU</v>
      </c>
      <c r="E2918" s="177"/>
      <c r="F2918" s="177">
        <f>IFERROR(__xludf.DUMMYFUNCTION("""COMPUTED_VALUE"""),1983)</f>
        <v>1983</v>
      </c>
      <c r="G2918" s="177" t="str">
        <f>IFERROR(__xludf.DUMMYFUNCTION("""COMPUTED_VALUE"""),"D20P-5")</f>
        <v>D20P-5</v>
      </c>
      <c r="H2918" s="177" t="str">
        <f>IFERROR(__xludf.DUMMYFUNCTION("""COMPUTED_VALUE"""),"39HP")</f>
        <v>39HP</v>
      </c>
      <c r="I2918" s="177" t="str">
        <f>IFERROR(__xludf.DUMMYFUNCTION("""COMPUTED_VALUE"""),"54583")</f>
        <v>54583</v>
      </c>
      <c r="J2918" s="177" t="str">
        <f>IFERROR(__xludf.DUMMYFUNCTION("""COMPUTED_VALUE"""),"4D94-2-55987")</f>
        <v>4D94-2-55987</v>
      </c>
      <c r="K2918" s="177">
        <f>IFERROR(__xludf.DUMMYFUNCTION("""COMPUTED_VALUE"""),4)</f>
        <v>4</v>
      </c>
      <c r="L2918" s="177" t="str">
        <f>IFERROR(__xludf.DUMMYFUNCTION("""COMPUTED_VALUE"""),"Đang thuê")</f>
        <v>Đang thuê</v>
      </c>
    </row>
    <row r="2919" customHeight="1" spans="1:12">
      <c r="A2919" s="177" t="str">
        <f>IFERROR(__xludf.DUMMYFUNCTION("""COMPUTED_VALUE"""),"TND-MUI-052")</f>
        <v>TND-MUI-052</v>
      </c>
      <c r="B2919" s="1090" t="str">
        <f>IFERROR(__xludf.DUMMYFUNCTION("""COMPUTED_VALUE"""),"Máy ủi D20")</f>
        <v>Máy ủi D20</v>
      </c>
      <c r="C2919" s="177" t="str">
        <f>IFERROR(__xludf.DUMMYFUNCTION("""COMPUTED_VALUE"""),"XN Chuối DP2")</f>
        <v>XN Chuối DP2</v>
      </c>
      <c r="D2919" s="177" t="str">
        <f>IFERROR(__xludf.DUMMYFUNCTION("""COMPUTED_VALUE"""),"KOMATSU")</f>
        <v>KOMATSU</v>
      </c>
      <c r="E2919" s="177"/>
      <c r="F2919" s="177">
        <f>IFERROR(__xludf.DUMMYFUNCTION("""COMPUTED_VALUE"""),1989)</f>
        <v>1989</v>
      </c>
      <c r="G2919" s="177" t="str">
        <f>IFERROR(__xludf.DUMMYFUNCTION("""COMPUTED_VALUE"""),"D20P-6")</f>
        <v>D20P-6</v>
      </c>
      <c r="H2919" s="177" t="str">
        <f>IFERROR(__xludf.DUMMYFUNCTION("""COMPUTED_VALUE"""),"39HP")</f>
        <v>39HP</v>
      </c>
      <c r="I2919" s="177" t="str">
        <f>IFERROR(__xludf.DUMMYFUNCTION("""COMPUTED_VALUE"""),"68118")</f>
        <v>68118</v>
      </c>
      <c r="J2919" s="177" t="str">
        <f>IFERROR(__xludf.DUMMYFUNCTION("""COMPUTED_VALUE"""),"4D955")</f>
        <v>4D955</v>
      </c>
      <c r="K2919" s="177">
        <f>IFERROR(__xludf.DUMMYFUNCTION("""COMPUTED_VALUE"""),3.8)</f>
        <v>3.8</v>
      </c>
      <c r="L2919" s="177" t="str">
        <f>IFERROR(__xludf.DUMMYFUNCTION("""COMPUTED_VALUE"""),"Đang thuê")</f>
        <v>Đang thuê</v>
      </c>
    </row>
    <row r="2920" customHeight="1" spans="1:12">
      <c r="A2920" s="177" t="str">
        <f>IFERROR(__xludf.DUMMYFUNCTION("""COMPUTED_VALUE"""),"TND-MUI-053")</f>
        <v>TND-MUI-053</v>
      </c>
      <c r="B2920" s="1090" t="str">
        <f>IFERROR(__xludf.DUMMYFUNCTION("""COMPUTED_VALUE"""),"Máy ủi D20")</f>
        <v>Máy ủi D20</v>
      </c>
      <c r="C2920" s="177" t="str">
        <f>IFERROR(__xludf.DUMMYFUNCTION("""COMPUTED_VALUE"""),"XN Chuối DP1")</f>
        <v>XN Chuối DP1</v>
      </c>
      <c r="D2920" s="177" t="str">
        <f>IFERROR(__xludf.DUMMYFUNCTION("""COMPUTED_VALUE"""),"KOMATSU")</f>
        <v>KOMATSU</v>
      </c>
      <c r="E2920" s="177"/>
      <c r="F2920" s="177">
        <f>IFERROR(__xludf.DUMMYFUNCTION("""COMPUTED_VALUE"""),1990)</f>
        <v>1990</v>
      </c>
      <c r="G2920" s="177" t="str">
        <f>IFERROR(__xludf.DUMMYFUNCTION("""COMPUTED_VALUE"""),"D20P-6")</f>
        <v>D20P-6</v>
      </c>
      <c r="H2920" s="177" t="str">
        <f>IFERROR(__xludf.DUMMYFUNCTION("""COMPUTED_VALUE"""),"39HP")</f>
        <v>39HP</v>
      </c>
      <c r="I2920" s="177" t="str">
        <f>IFERROR(__xludf.DUMMYFUNCTION("""COMPUTED_VALUE"""),"68472")</f>
        <v>68472</v>
      </c>
      <c r="J2920" s="177" t="str">
        <f>IFERROR(__xludf.DUMMYFUNCTION("""COMPUTED_VALUE"""),"4D95S-W86134")</f>
        <v>4D95S-W86134</v>
      </c>
      <c r="K2920" s="177">
        <f>IFERROR(__xludf.DUMMYFUNCTION("""COMPUTED_VALUE"""),4)</f>
        <v>4</v>
      </c>
      <c r="L2920" s="177" t="str">
        <f>IFERROR(__xludf.DUMMYFUNCTION("""COMPUTED_VALUE"""),"-")</f>
        <v>-</v>
      </c>
    </row>
    <row r="2921" customHeight="1" spans="1:12">
      <c r="A2921" s="177" t="str">
        <f>IFERROR(__xludf.DUMMYFUNCTION("""COMPUTED_VALUE"""),"TND-MUI-054")</f>
        <v>TND-MUI-054</v>
      </c>
      <c r="B2921" s="1090" t="str">
        <f>IFERROR(__xludf.DUMMYFUNCTION("""COMPUTED_VALUE"""),"Máy ủi D20")</f>
        <v>Máy ủi D20</v>
      </c>
      <c r="C2921" s="177" t="str">
        <f>IFERROR(__xludf.DUMMYFUNCTION("""COMPUTED_VALUE"""),"XN Chuối DP1")</f>
        <v>XN Chuối DP1</v>
      </c>
      <c r="D2921" s="177" t="str">
        <f>IFERROR(__xludf.DUMMYFUNCTION("""COMPUTED_VALUE"""),"MITSUBISHI")</f>
        <v>MITSUBISHI</v>
      </c>
      <c r="E2921" s="177"/>
      <c r="F2921" s="177">
        <f>IFERROR(__xludf.DUMMYFUNCTION("""COMPUTED_VALUE"""),2001)</f>
        <v>2001</v>
      </c>
      <c r="G2921" s="177" t="str">
        <f>IFERROR(__xludf.DUMMYFUNCTION("""COMPUTED_VALUE"""),"BD2F")</f>
        <v>BD2F</v>
      </c>
      <c r="H2921" s="177" t="str">
        <f>IFERROR(__xludf.DUMMYFUNCTION("""COMPUTED_VALUE"""),"37HP")</f>
        <v>37HP</v>
      </c>
      <c r="I2921" s="177" t="str">
        <f>IFERROR(__xludf.DUMMYFUNCTION("""COMPUTED_VALUE"""),"1B102230")</f>
        <v>1B102230</v>
      </c>
      <c r="J2921" s="177" t="str">
        <f>IFERROR(__xludf.DUMMYFUNCTION("""COMPUTED_VALUE"""),"32560")</f>
        <v>32560</v>
      </c>
      <c r="K2921" s="177">
        <f>IFERROR(__xludf.DUMMYFUNCTION("""COMPUTED_VALUE"""),4)</f>
        <v>4</v>
      </c>
      <c r="L2921" s="177" t="str">
        <f>IFERROR(__xludf.DUMMYFUNCTION("""COMPUTED_VALUE"""),"Đang thuê")</f>
        <v>Đang thuê</v>
      </c>
    </row>
    <row r="2922" customHeight="1" spans="1:12">
      <c r="A2922" s="177" t="str">
        <f>IFERROR(__xludf.DUMMYFUNCTION("""COMPUTED_VALUE"""),"TND-MUI-055")</f>
        <v>TND-MUI-055</v>
      </c>
      <c r="B2922" s="1090" t="str">
        <f>IFERROR(__xludf.DUMMYFUNCTION("""COMPUTED_VALUE"""),"Máy ủi D2")</f>
        <v>Máy ủi D2</v>
      </c>
      <c r="C2922" s="177" t="str">
        <f>IFERROR(__xludf.DUMMYFUNCTION("""COMPUTED_VALUE"""),"XN Chuối DP1")</f>
        <v>XN Chuối DP1</v>
      </c>
      <c r="D2922" s="177" t="str">
        <f>IFERROR(__xludf.DUMMYFUNCTION("""COMPUTED_VALUE"""),"KOMATSU")</f>
        <v>KOMATSU</v>
      </c>
      <c r="E2922" s="177"/>
      <c r="F2922" s="177">
        <f>IFERROR(__xludf.DUMMYFUNCTION("""COMPUTED_VALUE"""),1991)</f>
        <v>1991</v>
      </c>
      <c r="G2922" s="177" t="str">
        <f>IFERROR(__xludf.DUMMYFUNCTION("""COMPUTED_VALUE"""),"D20P-6")</f>
        <v>D20P-6</v>
      </c>
      <c r="H2922" s="177" t="str">
        <f>IFERROR(__xludf.DUMMYFUNCTION("""COMPUTED_VALUE"""),"40HP")</f>
        <v>40HP</v>
      </c>
      <c r="I2922" s="177" t="str">
        <f>IFERROR(__xludf.DUMMYFUNCTION("""COMPUTED_VALUE"""),"72503")</f>
        <v>72503</v>
      </c>
      <c r="J2922" s="177" t="str">
        <f>IFERROR(__xludf.DUMMYFUNCTION("""COMPUTED_VALUE"""),"4D95S126813")</f>
        <v>4D95S126813</v>
      </c>
      <c r="K2922" s="177">
        <f>IFERROR(__xludf.DUMMYFUNCTION("""COMPUTED_VALUE"""),4)</f>
        <v>4</v>
      </c>
      <c r="L2922" s="177" t="str">
        <f>IFERROR(__xludf.DUMMYFUNCTION("""COMPUTED_VALUE"""),"Đang thuê")</f>
        <v>Đang thuê</v>
      </c>
    </row>
    <row r="2923" customHeight="1" spans="1:12">
      <c r="A2923" s="177" t="str">
        <f>IFERROR(__xludf.DUMMYFUNCTION("""COMPUTED_VALUE"""),"TND-MUI-056")</f>
        <v>TND-MUI-056</v>
      </c>
      <c r="B2923" s="1090" t="str">
        <f>IFERROR(__xludf.DUMMYFUNCTION("""COMPUTED_VALUE"""),"Máy ủi D41")</f>
        <v>Máy ủi D41</v>
      </c>
      <c r="C2923" s="177" t="str">
        <f>IFERROR(__xludf.DUMMYFUNCTION("""COMPUTED_VALUE"""),"CGTC DP")</f>
        <v>CGTC DP</v>
      </c>
      <c r="D2923" s="177" t="str">
        <f>IFERROR(__xludf.DUMMYFUNCTION("""COMPUTED_VALUE"""),"KOMATSU")</f>
        <v>KOMATSU</v>
      </c>
      <c r="E2923" s="177"/>
      <c r="F2923" s="177">
        <f>IFERROR(__xludf.DUMMYFUNCTION("""COMPUTED_VALUE"""),1996)</f>
        <v>1996</v>
      </c>
      <c r="G2923" s="177" t="str">
        <f>IFERROR(__xludf.DUMMYFUNCTION("""COMPUTED_VALUE"""),"D41P-6")</f>
        <v>D41P-6</v>
      </c>
      <c r="H2923" s="177" t="str">
        <f>IFERROR(__xludf.DUMMYFUNCTION("""COMPUTED_VALUE"""),"105HP")</f>
        <v>105HP</v>
      </c>
      <c r="I2923" s="177" t="str">
        <f>IFERROR(__xludf.DUMMYFUNCTION("""COMPUTED_VALUE"""),"B20735")</f>
        <v>B20735</v>
      </c>
      <c r="J2923" s="177" t="str">
        <f>IFERROR(__xludf.DUMMYFUNCTION("""COMPUTED_VALUE"""),"60218180")</f>
        <v>60218180</v>
      </c>
      <c r="K2923" s="177">
        <f>IFERROR(__xludf.DUMMYFUNCTION("""COMPUTED_VALUE"""),11)</f>
        <v>11</v>
      </c>
      <c r="L2923" s="177" t="str">
        <f>IFERROR(__xludf.DUMMYFUNCTION("""COMPUTED_VALUE"""),"Đang thuê")</f>
        <v>Đang thuê</v>
      </c>
    </row>
    <row r="2924" customHeight="1" spans="1:12">
      <c r="A2924" s="177" t="str">
        <f>IFERROR(__xludf.DUMMYFUNCTION("""COMPUTED_VALUE"""),"TND-MUI-057")</f>
        <v>TND-MUI-057</v>
      </c>
      <c r="B2924" s="1090" t="str">
        <f>IFERROR(__xludf.DUMMYFUNCTION("""COMPUTED_VALUE"""),"Máy ủi D20")</f>
        <v>Máy ủi D20</v>
      </c>
      <c r="C2924" s="177" t="str">
        <f>IFERROR(__xludf.DUMMYFUNCTION("""COMPUTED_VALUE"""),"XN Chuối DP3")</f>
        <v>XN Chuối DP3</v>
      </c>
      <c r="D2924" s="177" t="str">
        <f>IFERROR(__xludf.DUMMYFUNCTION("""COMPUTED_VALUE"""),"KOMATSU")</f>
        <v>KOMATSU</v>
      </c>
      <c r="E2924" s="177"/>
      <c r="F2924" s="177">
        <f>IFERROR(__xludf.DUMMYFUNCTION("""COMPUTED_VALUE"""),2000)</f>
        <v>2000</v>
      </c>
      <c r="G2924" s="177" t="str">
        <f>IFERROR(__xludf.DUMMYFUNCTION("""COMPUTED_VALUE"""),"D21P-5")</f>
        <v>D21P-5</v>
      </c>
      <c r="H2924" s="177" t="str">
        <f>IFERROR(__xludf.DUMMYFUNCTION("""COMPUTED_VALUE"""),"40HP")</f>
        <v>40HP</v>
      </c>
      <c r="I2924" s="177" t="str">
        <f>IFERROR(__xludf.DUMMYFUNCTION("""COMPUTED_VALUE"""),"D205-58087")</f>
        <v>D205-58087</v>
      </c>
      <c r="J2924" s="177" t="str">
        <f>IFERROR(__xludf.DUMMYFUNCTION("""COMPUTED_VALUE"""),"4D94-2-66791")</f>
        <v>4D94-2-66791</v>
      </c>
      <c r="K2924" s="177">
        <f>IFERROR(__xludf.DUMMYFUNCTION("""COMPUTED_VALUE"""),4)</f>
        <v>4</v>
      </c>
      <c r="L2924" s="177" t="str">
        <f>IFERROR(__xludf.DUMMYFUNCTION("""COMPUTED_VALUE"""),"Đang thuê")</f>
        <v>Đang thuê</v>
      </c>
    </row>
    <row r="2925" customHeight="1" spans="1:12">
      <c r="A2925" s="177" t="str">
        <f>IFERROR(__xludf.DUMMYFUNCTION("""COMPUTED_VALUE"""),"TND-MUI-058")</f>
        <v>TND-MUI-058</v>
      </c>
      <c r="B2925" s="1090" t="str">
        <f>IFERROR(__xludf.DUMMYFUNCTION("""COMPUTED_VALUE"""),"Máy ủi D20")</f>
        <v>Máy ủi D20</v>
      </c>
      <c r="C2925" s="177" t="str">
        <f>IFERROR(__xludf.DUMMYFUNCTION("""COMPUTED_VALUE"""),"XN Chuối DP3")</f>
        <v>XN Chuối DP3</v>
      </c>
      <c r="D2925" s="177" t="str">
        <f>IFERROR(__xludf.DUMMYFUNCTION("""COMPUTED_VALUE"""),"MITSUBISHI")</f>
        <v>MITSUBISHI</v>
      </c>
      <c r="E2925" s="177"/>
      <c r="F2925" s="177">
        <f>IFERROR(__xludf.DUMMYFUNCTION("""COMPUTED_VALUE"""),1995)</f>
        <v>1995</v>
      </c>
      <c r="G2925" s="177" t="str">
        <f>IFERROR(__xludf.DUMMYFUNCTION("""COMPUTED_VALUE"""),"BD2F")</f>
        <v>BD2F</v>
      </c>
      <c r="H2925" s="177" t="str">
        <f>IFERROR(__xludf.DUMMYFUNCTION("""COMPUTED_VALUE"""),"40HP")</f>
        <v>40HP</v>
      </c>
      <c r="I2925" s="177" t="str">
        <f>IFERROR(__xludf.DUMMYFUNCTION("""COMPUTED_VALUE"""),"1B1C16876")</f>
        <v>1B1C16876</v>
      </c>
      <c r="J2925" s="177" t="str">
        <f>IFERROR(__xludf.DUMMYFUNCTION("""COMPUTED_VALUE"""),"NIL")</f>
        <v>NIL</v>
      </c>
      <c r="K2925" s="177">
        <f>IFERROR(__xludf.DUMMYFUNCTION("""COMPUTED_VALUE"""),4)</f>
        <v>4</v>
      </c>
      <c r="L2925" s="177" t="str">
        <f>IFERROR(__xludf.DUMMYFUNCTION("""COMPUTED_VALUE"""),"Đang thuê")</f>
        <v>Đang thuê</v>
      </c>
    </row>
    <row r="2926" customHeight="1" spans="1:12">
      <c r="A2926" s="177" t="str">
        <f>IFERROR(__xludf.DUMMYFUNCTION("""COMPUTED_VALUE"""),"Xe lu")</f>
        <v>Xe lu</v>
      </c>
      <c r="B2926" s="1090" t="str">
        <f>IFERROR(__xludf.DUMMYFUNCTION("""COMPUTED_VALUE"""),"12")</f>
        <v>12</v>
      </c>
      <c r="C2926" s="177"/>
      <c r="D2926" s="177"/>
      <c r="E2926" s="177"/>
      <c r="F2926" s="177"/>
      <c r="G2926" s="177"/>
      <c r="H2926" s="177"/>
      <c r="I2926" s="177"/>
      <c r="J2926" s="177"/>
      <c r="K2926" s="177"/>
      <c r="L2926" s="177" t="str">
        <f>IFERROR(__xludf.DUMMYFUNCTION("""COMPUTED_VALUE"""),"2")</f>
        <v>2</v>
      </c>
    </row>
    <row r="2927" customHeight="1" spans="1:12">
      <c r="A2927" s="177" t="str">
        <f>IFERROR(__xludf.DUMMYFUNCTION("""COMPUTED_VALUE"""),"TND-XLU-001")</f>
        <v>TND-XLU-001</v>
      </c>
      <c r="B2927" s="1090" t="str">
        <f>IFERROR(__xludf.DUMMYFUNCTION("""COMPUTED_VALUE"""),"Xe Lu 14 tấn")</f>
        <v>Xe Lu 14 tấn</v>
      </c>
      <c r="C2927" s="177" t="str">
        <f>IFERROR(__xludf.DUMMYFUNCTION("""COMPUTED_VALUE"""),"CGTC DP")</f>
        <v>CGTC DP</v>
      </c>
      <c r="D2927" s="177" t="str">
        <f>IFERROR(__xludf.DUMMYFUNCTION("""COMPUTED_VALUE"""),"LIUGONG")</f>
        <v>LIUGONG</v>
      </c>
      <c r="E2927" s="177"/>
      <c r="F2927" s="177"/>
      <c r="G2927" s="177" t="str">
        <f>IFERROR(__xludf.DUMMYFUNCTION("""COMPUTED_VALUE"""),"CLG6114E")</f>
        <v>CLG6114E</v>
      </c>
      <c r="H2927" s="177" t="str">
        <f>IFERROR(__xludf.DUMMYFUNCTION("""COMPUTED_VALUE"""),"134Hp")</f>
        <v>134Hp</v>
      </c>
      <c r="I2927" s="177" t="str">
        <f>IFERROR(__xludf.DUMMYFUNCTION("""COMPUTED_VALUE"""),"2SV23-30355")</f>
        <v>2SV23-30355</v>
      </c>
      <c r="J2927" s="177" t="str">
        <f>IFERROR(__xludf.DUMMYFUNCTION("""COMPUTED_VALUE"""),"4BG1-956775")</f>
        <v>4BG1-956775</v>
      </c>
      <c r="K2927" s="177"/>
      <c r="L2927" s="177" t="str">
        <f>IFERROR(__xludf.DUMMYFUNCTION("""COMPUTED_VALUE"""),"-")</f>
        <v>-</v>
      </c>
    </row>
    <row r="2928" customHeight="1" spans="1:12">
      <c r="A2928" s="177" t="str">
        <f>IFERROR(__xludf.DUMMYFUNCTION("""COMPUTED_VALUE"""),"TND-XLU-002")</f>
        <v>TND-XLU-002</v>
      </c>
      <c r="B2928" s="1090" t="str">
        <f>IFERROR(__xludf.DUMMYFUNCTION("""COMPUTED_VALUE"""),"Xe Lu 14 tấn")</f>
        <v>Xe Lu 14 tấn</v>
      </c>
      <c r="C2928" s="177" t="str">
        <f>IFERROR(__xludf.DUMMYFUNCTION("""COMPUTED_VALUE"""),"CGTC DP")</f>
        <v>CGTC DP</v>
      </c>
      <c r="D2928" s="177" t="str">
        <f>IFERROR(__xludf.DUMMYFUNCTION("""COMPUTED_VALUE"""),"LIUGONG")</f>
        <v>LIUGONG</v>
      </c>
      <c r="E2928" s="177"/>
      <c r="F2928" s="177"/>
      <c r="G2928" s="177" t="str">
        <f>IFERROR(__xludf.DUMMYFUNCTION("""COMPUTED_VALUE"""),"CLG6114E")</f>
        <v>CLG6114E</v>
      </c>
      <c r="H2928" s="177" t="str">
        <f>IFERROR(__xludf.DUMMYFUNCTION("""COMPUTED_VALUE"""),"134Hp")</f>
        <v>134Hp</v>
      </c>
      <c r="I2928" s="177" t="str">
        <f>IFERROR(__xludf.DUMMYFUNCTION("""COMPUTED_VALUE"""),"30D3616230614")</f>
        <v>30D3616230614</v>
      </c>
      <c r="J2928" s="177" t="str">
        <f>IFERROR(__xludf.DUMMYFUNCTION("""COMPUTED_VALUE""")," ")</f>
        <v> </v>
      </c>
      <c r="K2928" s="177"/>
      <c r="L2928" s="177" t="str">
        <f>IFERROR(__xludf.DUMMYFUNCTION("""COMPUTED_VALUE"""),"-")</f>
        <v>-</v>
      </c>
    </row>
    <row r="2929" customHeight="1" spans="1:12">
      <c r="A2929" s="177" t="str">
        <f>IFERROR(__xludf.DUMMYFUNCTION("""COMPUTED_VALUE"""),"TND-XLU-003")</f>
        <v>TND-XLU-003</v>
      </c>
      <c r="B2929" s="1090" t="str">
        <f>IFERROR(__xludf.DUMMYFUNCTION("""COMPUTED_VALUE"""),"Xe lu 25 tấn")</f>
        <v>Xe lu 25 tấn</v>
      </c>
      <c r="C2929" s="177" t="str">
        <f>IFERROR(__xludf.DUMMYFUNCTION("""COMPUTED_VALUE"""),"CGTC DP")</f>
        <v>CGTC DP</v>
      </c>
      <c r="D2929" s="177" t="str">
        <f>IFERROR(__xludf.DUMMYFUNCTION("""COMPUTED_VALUE"""),"LIUGONG")</f>
        <v>LIUGONG</v>
      </c>
      <c r="E2929" s="177" t="str">
        <f>IFERROR(__xludf.DUMMYFUNCTION("""COMPUTED_VALUE"""),"TRUNG QUỐC")</f>
        <v>TRUNG QUỐC</v>
      </c>
      <c r="F2929" s="177">
        <f>IFERROR(__xludf.DUMMYFUNCTION("""COMPUTED_VALUE"""),2005)</f>
        <v>2005</v>
      </c>
      <c r="G2929" s="177" t="str">
        <f>IFERROR(__xludf.DUMMYFUNCTION("""COMPUTED_VALUE"""),"CLG614")</f>
        <v>CLG614</v>
      </c>
      <c r="H2929" s="177" t="str">
        <f>IFERROR(__xludf.DUMMYFUNCTION("""COMPUTED_VALUE"""),"190HP")</f>
        <v>190HP</v>
      </c>
      <c r="I2929" s="177" t="str">
        <f>IFERROR(__xludf.DUMMYFUNCTION("""COMPUTED_VALUE"""),"30X0018102771")</f>
        <v>30X0018102771</v>
      </c>
      <c r="J2929" s="177" t="str">
        <f>IFERROR(__xludf.DUMMYFUNCTION("""COMPUTED_VALUE"""),"B410M75529")</f>
        <v>B410M75529</v>
      </c>
      <c r="K2929" s="177">
        <f>IFERROR(__xludf.DUMMYFUNCTION("""COMPUTED_VALUE"""),10)</f>
        <v>10</v>
      </c>
      <c r="L2929" s="177" t="str">
        <f>IFERROR(__xludf.DUMMYFUNCTION("""COMPUTED_VALUE"""),"-")</f>
        <v>-</v>
      </c>
    </row>
    <row r="2930" customHeight="1" spans="1:12">
      <c r="A2930" s="177" t="str">
        <f>IFERROR(__xludf.DUMMYFUNCTION("""COMPUTED_VALUE"""),"TND-XLU-004")</f>
        <v>TND-XLU-004</v>
      </c>
      <c r="B2930" s="1090" t="str">
        <f>IFERROR(__xludf.DUMMYFUNCTION("""COMPUTED_VALUE"""),"Xe lu 25 tấn")</f>
        <v>Xe lu 25 tấn</v>
      </c>
      <c r="C2930" s="177" t="str">
        <f>IFERROR(__xludf.DUMMYFUNCTION("""COMPUTED_VALUE"""),"CGTC DP")</f>
        <v>CGTC DP</v>
      </c>
      <c r="D2930" s="177" t="str">
        <f>IFERROR(__xludf.DUMMYFUNCTION("""COMPUTED_VALUE"""),"LIUGONG")</f>
        <v>LIUGONG</v>
      </c>
      <c r="E2930" s="177" t="str">
        <f>IFERROR(__xludf.DUMMYFUNCTION("""COMPUTED_VALUE"""),"TRUNG QUỐC")</f>
        <v>TRUNG QUỐC</v>
      </c>
      <c r="F2930" s="177">
        <f>IFERROR(__xludf.DUMMYFUNCTION("""COMPUTED_VALUE"""),2010)</f>
        <v>2010</v>
      </c>
      <c r="G2930" s="177" t="str">
        <f>IFERROR(__xludf.DUMMYFUNCTION("""COMPUTED_VALUE"""),"CLG614")</f>
        <v>CLG614</v>
      </c>
      <c r="H2930" s="177" t="str">
        <f>IFERROR(__xludf.DUMMYFUNCTION("""COMPUTED_VALUE"""),"190HP")</f>
        <v>190HP</v>
      </c>
      <c r="I2930" s="177" t="str">
        <f>IFERROR(__xludf.DUMMYFUNCTION("""COMPUTED_VALUE"""),"30X0018100069")</f>
        <v>30X0018100069</v>
      </c>
      <c r="J2930" s="177" t="str">
        <f>IFERROR(__xludf.DUMMYFUNCTION("""COMPUTED_VALUE"""),"B409053346")</f>
        <v>B409053346</v>
      </c>
      <c r="K2930" s="177">
        <f>IFERROR(__xludf.DUMMYFUNCTION("""COMPUTED_VALUE"""),10)</f>
        <v>10</v>
      </c>
      <c r="L2930" s="177" t="str">
        <f>IFERROR(__xludf.DUMMYFUNCTION("""COMPUTED_VALUE"""),"-")</f>
        <v>-</v>
      </c>
    </row>
    <row r="2931" customHeight="1" spans="1:12">
      <c r="A2931" s="177" t="str">
        <f>IFERROR(__xludf.DUMMYFUNCTION("""COMPUTED_VALUE"""),"TND-XLU-005")</f>
        <v>TND-XLU-005</v>
      </c>
      <c r="B2931" s="1090" t="str">
        <f>IFERROR(__xludf.DUMMYFUNCTION("""COMPUTED_VALUE"""),"Xu lu 22 tấn")</f>
        <v>Xu lu 22 tấn</v>
      </c>
      <c r="C2931" s="177" t="str">
        <f>IFERROR(__xludf.DUMMYFUNCTION("""COMPUTED_VALUE"""),"CGTC DP")</f>
        <v>CGTC DP</v>
      </c>
      <c r="D2931" s="177" t="str">
        <f>IFERROR(__xludf.DUMMYFUNCTION("""COMPUTED_VALUE"""),"LIUGONG")</f>
        <v>LIUGONG</v>
      </c>
      <c r="E2931" s="177" t="str">
        <f>IFERROR(__xludf.DUMMYFUNCTION("""COMPUTED_VALUE"""),"TRUNG QUỐC")</f>
        <v>TRUNG QUỐC</v>
      </c>
      <c r="F2931" s="177">
        <f>IFERROR(__xludf.DUMMYFUNCTION("""COMPUTED_VALUE"""),2024)</f>
        <v>2024</v>
      </c>
      <c r="G2931" s="177" t="str">
        <f>IFERROR(__xludf.DUMMYFUNCTION("""COMPUTED_VALUE"""),"CLG114E")</f>
        <v>CLG114E</v>
      </c>
      <c r="H2931" s="177" t="str">
        <f>IFERROR(__xludf.DUMMYFUNCTION("""COMPUTED_VALUE"""),"138HP")</f>
        <v>138HP</v>
      </c>
      <c r="I2931" s="177" t="str">
        <f>IFERROR(__xludf.DUMMYFUNCTION("""COMPUTED_VALUE"""),"LGJ6114ECRR065285")</f>
        <v>LGJ6114ECRR065285</v>
      </c>
      <c r="J2931" s="177" t="str">
        <f>IFERROR(__xludf.DUMMYFUNCTION("""COMPUTED_VALUE"""),"SCTH2101G2H9242007334")</f>
        <v>SCTH2101G2H9242007334</v>
      </c>
      <c r="K2931" s="177">
        <f>IFERROR(__xludf.DUMMYFUNCTION("""COMPUTED_VALUE"""),15)</f>
        <v>15</v>
      </c>
      <c r="L2931" s="177" t="str">
        <f>IFERROR(__xludf.DUMMYFUNCTION("""COMPUTED_VALUE"""),"-")</f>
        <v>-</v>
      </c>
    </row>
    <row r="2932" customHeight="1" spans="1:12">
      <c r="A2932" s="177" t="str">
        <f>IFERROR(__xludf.DUMMYFUNCTION("""COMPUTED_VALUE"""),"TND-XLU-006")</f>
        <v>TND-XLU-006</v>
      </c>
      <c r="B2932" s="1090" t="str">
        <f>IFERROR(__xludf.DUMMYFUNCTION("""COMPUTED_VALUE"""),"Xe lu 14 tấn")</f>
        <v>Xe lu 14 tấn</v>
      </c>
      <c r="C2932" s="177" t="str">
        <f>IFERROR(__xludf.DUMMYFUNCTION("""COMPUTED_VALUE"""),"CGTC DP")</f>
        <v>CGTC DP</v>
      </c>
      <c r="D2932" s="177" t="str">
        <f>IFERROR(__xludf.DUMMYFUNCTION("""COMPUTED_VALUE"""),"LIUGONG")</f>
        <v>LIUGONG</v>
      </c>
      <c r="E2932" s="177" t="str">
        <f>IFERROR(__xludf.DUMMYFUNCTION("""COMPUTED_VALUE"""),"TRUNG QUỐC")</f>
        <v>TRUNG QUỐC</v>
      </c>
      <c r="F2932" s="177">
        <f>IFERROR(__xludf.DUMMYFUNCTION("""COMPUTED_VALUE"""),2021)</f>
        <v>2021</v>
      </c>
      <c r="G2932" s="177" t="str">
        <f>IFERROR(__xludf.DUMMYFUNCTION("""COMPUTED_VALUE"""),"CLG6114E")</f>
        <v>CLG6114E</v>
      </c>
      <c r="H2932" s="177" t="str">
        <f>IFERROR(__xludf.DUMMYFUNCTION("""COMPUTED_VALUE"""),"138HP")</f>
        <v>138HP</v>
      </c>
      <c r="I2932" s="177" t="str">
        <f>IFERROR(__xludf.DUMMYFUNCTION("""COMPUTED_VALUE"""),"LGJ6114EHNR052672")</f>
        <v>LGJ6114EHNR052672</v>
      </c>
      <c r="J2932" s="177" t="str">
        <f>IFERROR(__xludf.DUMMYFUNCTION("""COMPUTED_VALUE"""),"H2214012175")</f>
        <v>H2214012175</v>
      </c>
      <c r="K2932" s="177">
        <f>IFERROR(__xludf.DUMMYFUNCTION("""COMPUTED_VALUE"""),12)</f>
        <v>12</v>
      </c>
      <c r="L2932" s="177" t="str">
        <f>IFERROR(__xludf.DUMMYFUNCTION("""COMPUTED_VALUE"""),"-")</f>
        <v>-</v>
      </c>
    </row>
    <row r="2933" customHeight="1" spans="1:12">
      <c r="A2933" s="177" t="str">
        <f>IFERROR(__xludf.DUMMYFUNCTION("""COMPUTED_VALUE"""),"TND-XLU-007")</f>
        <v>TND-XLU-007</v>
      </c>
      <c r="B2933" s="1090" t="str">
        <f>IFERROR(__xludf.DUMMYFUNCTION("""COMPUTED_VALUE"""),"Xe lu rung 11 tấn")</f>
        <v>Xe lu rung 11 tấn</v>
      </c>
      <c r="C2933" s="177" t="str">
        <f>IFERROR(__xludf.DUMMYFUNCTION("""COMPUTED_VALUE"""),"CGTC DP")</f>
        <v>CGTC DP</v>
      </c>
      <c r="D2933" s="177" t="str">
        <f>IFERROR(__xludf.DUMMYFUNCTION("""COMPUTED_VALUE"""),"SAKAI")</f>
        <v>SAKAI</v>
      </c>
      <c r="E2933" s="177" t="str">
        <f>IFERROR(__xludf.DUMMYFUNCTION("""COMPUTED_VALUE"""),"TRUNG QUỐC")</f>
        <v>TRUNG QUỐC</v>
      </c>
      <c r="F2933" s="177">
        <f>IFERROR(__xludf.DUMMYFUNCTION("""COMPUTED_VALUE"""),2019)</f>
        <v>2019</v>
      </c>
      <c r="G2933" s="177" t="str">
        <f>IFERROR(__xludf.DUMMYFUNCTION("""COMPUTED_VALUE"""),"SV512DH")</f>
        <v>SV512DH</v>
      </c>
      <c r="H2933" s="177" t="str">
        <f>IFERROR(__xludf.DUMMYFUNCTION("""COMPUTED_VALUE"""),"111HP")</f>
        <v>111HP</v>
      </c>
      <c r="I2933" s="177" t="str">
        <f>IFERROR(__xludf.DUMMYFUNCTION("""COMPUTED_VALUE"""),"2SV23-30355")</f>
        <v>2SV23-30355</v>
      </c>
      <c r="J2933" s="177" t="str">
        <f>IFERROR(__xludf.DUMMYFUNCTION("""COMPUTED_VALUE"""),"4BG1-956775")</f>
        <v>4BG1-956775</v>
      </c>
      <c r="K2933" s="177">
        <f>IFERROR(__xludf.DUMMYFUNCTION("""COMPUTED_VALUE"""),6.5)</f>
        <v>6.5</v>
      </c>
      <c r="L2933" s="177" t="str">
        <f>IFERROR(__xludf.DUMMYFUNCTION("""COMPUTED_VALUE"""),"-")</f>
        <v>-</v>
      </c>
    </row>
    <row r="2934" customHeight="1" spans="1:12">
      <c r="A2934" s="177" t="str">
        <f>IFERROR(__xludf.DUMMYFUNCTION("""COMPUTED_VALUE"""),"TND-XLU-008")</f>
        <v>TND-XLU-008</v>
      </c>
      <c r="B2934" s="1090" t="str">
        <f>IFERROR(__xludf.DUMMYFUNCTION("""COMPUTED_VALUE"""),"Xe lu 11 tấn")</f>
        <v>Xe lu 11 tấn</v>
      </c>
      <c r="C2934" s="177" t="str">
        <f>IFERROR(__xludf.DUMMYFUNCTION("""COMPUTED_VALUE"""),"CGTC DP")</f>
        <v>CGTC DP</v>
      </c>
      <c r="D2934" s="177" t="str">
        <f>IFERROR(__xludf.DUMMYFUNCTION("""COMPUTED_VALUE"""),"SAKAI")</f>
        <v>SAKAI</v>
      </c>
      <c r="E2934" s="177"/>
      <c r="F2934" s="177">
        <f>IFERROR(__xludf.DUMMYFUNCTION("""COMPUTED_VALUE"""),2001)</f>
        <v>2001</v>
      </c>
      <c r="G2934" s="177" t="str">
        <f>IFERROR(__xludf.DUMMYFUNCTION("""COMPUTED_VALUE"""),"SV512D-H")</f>
        <v>SV512D-H</v>
      </c>
      <c r="H2934" s="177" t="str">
        <f>IFERROR(__xludf.DUMMYFUNCTION("""COMPUTED_VALUE"""),"148HP")</f>
        <v>148HP</v>
      </c>
      <c r="I2934" s="177" t="str">
        <f>IFERROR(__xludf.DUMMYFUNCTION("""COMPUTED_VALUE"""),"2SV23-30294")</f>
        <v>2SV23-30294</v>
      </c>
      <c r="J2934" s="177" t="str">
        <f>IFERROR(__xludf.DUMMYFUNCTION("""COMPUTED_VALUE"""),"951821")</f>
        <v>951821</v>
      </c>
      <c r="K2934" s="177">
        <f>IFERROR(__xludf.DUMMYFUNCTION("""COMPUTED_VALUE"""),9)</f>
        <v>9</v>
      </c>
      <c r="L2934" s="177" t="str">
        <f>IFERROR(__xludf.DUMMYFUNCTION("""COMPUTED_VALUE"""),"-")</f>
        <v>-</v>
      </c>
    </row>
    <row r="2935" customHeight="1" spans="1:12">
      <c r="A2935" s="177" t="str">
        <f>IFERROR(__xludf.DUMMYFUNCTION("""COMPUTED_VALUE"""),"TND-XLU-009")</f>
        <v>TND-XLU-009</v>
      </c>
      <c r="B2935" s="1090" t="str">
        <f>IFERROR(__xludf.DUMMYFUNCTION("""COMPUTED_VALUE"""),"Xe lu rung 11 tấn")</f>
        <v>Xe lu rung 11 tấn</v>
      </c>
      <c r="C2935" s="177" t="str">
        <f>IFERROR(__xludf.DUMMYFUNCTION("""COMPUTED_VALUE"""),"CGTC DP")</f>
        <v>CGTC DP</v>
      </c>
      <c r="D2935" s="177" t="str">
        <f>IFERROR(__xludf.DUMMYFUNCTION("""COMPUTED_VALUE"""),"VOLVO")</f>
        <v>VOLVO</v>
      </c>
      <c r="E2935" s="177"/>
      <c r="F2935" s="177">
        <f>IFERROR(__xludf.DUMMYFUNCTION("""COMPUTED_VALUE"""),2016)</f>
        <v>2016</v>
      </c>
      <c r="G2935" s="177" t="str">
        <f>IFERROR(__xludf.DUMMYFUNCTION("""COMPUTED_VALUE"""),"SD110B")</f>
        <v>SD110B</v>
      </c>
      <c r="H2935" s="177"/>
      <c r="I2935" s="177" t="str">
        <f>IFERROR(__xludf.DUMMYFUNCTION("""COMPUTED_VALUE"""),"VCES110BL0C552165")</f>
        <v>VCES110BL0C552165</v>
      </c>
      <c r="J2935" s="177" t="str">
        <f>IFERROR(__xludf.DUMMYFUNCTION("""COMPUTED_VALUE"""),"11939852")</f>
        <v>11939852</v>
      </c>
      <c r="K2935" s="177">
        <f>IFERROR(__xludf.DUMMYFUNCTION("""COMPUTED_VALUE"""),6)</f>
        <v>6</v>
      </c>
      <c r="L2935" s="177" t="str">
        <f>IFERROR(__xludf.DUMMYFUNCTION("""COMPUTED_VALUE"""),"-")</f>
        <v>-</v>
      </c>
    </row>
    <row r="2936" customHeight="1" spans="1:12">
      <c r="A2936" s="177" t="str">
        <f>IFERROR(__xludf.DUMMYFUNCTION("""COMPUTED_VALUE"""),"TND-XLU-010")</f>
        <v>TND-XLU-010</v>
      </c>
      <c r="B2936" s="1090" t="str">
        <f>IFERROR(__xludf.DUMMYFUNCTION("""COMPUTED_VALUE"""),"Xe lu rung 12 tấn")</f>
        <v>Xe lu rung 12 tấn</v>
      </c>
      <c r="C2936" s="177" t="str">
        <f>IFERROR(__xludf.DUMMYFUNCTION("""COMPUTED_VALUE"""),"CGTC DP")</f>
        <v>CGTC DP</v>
      </c>
      <c r="D2936" s="177" t="str">
        <f>IFERROR(__xludf.DUMMYFUNCTION("""COMPUTED_VALUE"""),"DYNAPAC")</f>
        <v>DYNAPAC</v>
      </c>
      <c r="E2936" s="177"/>
      <c r="F2936" s="177">
        <f>IFERROR(__xludf.DUMMYFUNCTION("""COMPUTED_VALUE"""),2023)</f>
        <v>2023</v>
      </c>
      <c r="G2936" s="177" t="str">
        <f>IFERROR(__xludf.DUMMYFUNCTION("""COMPUTED_VALUE"""),"DRS120D")</f>
        <v>DRS120D</v>
      </c>
      <c r="H2936" s="177" t="str">
        <f>IFERROR(__xludf.DUMMYFUNCTION("""COMPUTED_VALUE"""),"104HP")</f>
        <v>104HP</v>
      </c>
      <c r="I2936" s="177" t="str">
        <f>IFERROR(__xludf.DUMMYFUNCTION("""COMPUTED_VALUE"""),"1030D194CPE012923")</f>
        <v>1030D194CPE012923</v>
      </c>
      <c r="J2936" s="177" t="str">
        <f>IFERROR(__xludf.DUMMYFUNCTION("""COMPUTED_VALUE"""),"4H27782220180")</f>
        <v>4H27782220180</v>
      </c>
      <c r="K2936" s="177">
        <f>IFERROR(__xludf.DUMMYFUNCTION("""COMPUTED_VALUE"""),9)</f>
        <v>9</v>
      </c>
      <c r="L2936" s="177" t="str">
        <f>IFERROR(__xludf.DUMMYFUNCTION("""COMPUTED_VALUE"""),"-")</f>
        <v>-</v>
      </c>
    </row>
    <row r="2937" customHeight="1" spans="1:12">
      <c r="A2937" s="177" t="str">
        <f>IFERROR(__xludf.DUMMYFUNCTION("""COMPUTED_VALUE"""),"TND-XLU-011")</f>
        <v>TND-XLU-011</v>
      </c>
      <c r="B2937" s="1090" t="str">
        <f>IFERROR(__xludf.DUMMYFUNCTION("""COMPUTED_VALUE"""),"Xe lu rung 14 tấn")</f>
        <v>Xe lu rung 14 tấn</v>
      </c>
      <c r="C2937" s="177" t="str">
        <f>IFERROR(__xludf.DUMMYFUNCTION("""COMPUTED_VALUE"""),"CGTC DP")</f>
        <v>CGTC DP</v>
      </c>
      <c r="D2937" s="177" t="str">
        <f>IFERROR(__xludf.DUMMYFUNCTION("""COMPUTED_VALUE"""),"LIUGONG")</f>
        <v>LIUGONG</v>
      </c>
      <c r="E2937" s="177"/>
      <c r="F2937" s="177">
        <f>IFERROR(__xludf.DUMMYFUNCTION("""COMPUTED_VALUE"""),2024)</f>
        <v>2024</v>
      </c>
      <c r="G2937" s="177" t="str">
        <f>IFERROR(__xludf.DUMMYFUNCTION("""COMPUTED_VALUE"""),"CLG6114E")</f>
        <v>CLG6114E</v>
      </c>
      <c r="H2937" s="177" t="str">
        <f>IFERROR(__xludf.DUMMYFUNCTION("""COMPUTED_VALUE"""),"138HP")</f>
        <v>138HP</v>
      </c>
      <c r="I2937" s="177" t="str">
        <f>IFERROR(__xludf.DUMMYFUNCTION("""COMPUTED_VALUE"""),"65285")</f>
        <v>65285</v>
      </c>
      <c r="J2937" s="177" t="str">
        <f>IFERROR(__xludf.DUMMYFUNCTION("""COMPUTED_VALUE"""),"92450144T3")</f>
        <v>92450144T3</v>
      </c>
      <c r="K2937" s="177">
        <f>IFERROR(__xludf.DUMMYFUNCTION("""COMPUTED_VALUE"""),6.5)</f>
        <v>6.5</v>
      </c>
      <c r="L2937" s="177" t="str">
        <f>IFERROR(__xludf.DUMMYFUNCTION("""COMPUTED_VALUE"""),"-")</f>
        <v>-</v>
      </c>
    </row>
    <row r="2938" customHeight="1" spans="1:12">
      <c r="A2938" s="177" t="str">
        <f>IFERROR(__xludf.DUMMYFUNCTION("""COMPUTED_VALUE"""),"TND-XLU-012")</f>
        <v>TND-XLU-012</v>
      </c>
      <c r="B2938" s="1090" t="str">
        <f>IFERROR(__xludf.DUMMYFUNCTION("""COMPUTED_VALUE"""),"Xe lu rung 14 tấn")</f>
        <v>Xe lu rung 14 tấn</v>
      </c>
      <c r="C2938" s="177" t="str">
        <f>IFERROR(__xludf.DUMMYFUNCTION("""COMPUTED_VALUE"""),"CGTC DP")</f>
        <v>CGTC DP</v>
      </c>
      <c r="D2938" s="177" t="str">
        <f>IFERROR(__xludf.DUMMYFUNCTION("""COMPUTED_VALUE"""),"XCMG")</f>
        <v>XCMG</v>
      </c>
      <c r="E2938" s="177"/>
      <c r="F2938" s="177">
        <f>IFERROR(__xludf.DUMMYFUNCTION("""COMPUTED_VALUE"""),2018)</f>
        <v>2018</v>
      </c>
      <c r="G2938" s="177" t="str">
        <f>IFERROR(__xludf.DUMMYFUNCTION("""COMPUTED_VALUE"""),"XS143J")</f>
        <v>XS143J</v>
      </c>
      <c r="H2938" s="177" t="str">
        <f>IFERROR(__xludf.DUMMYFUNCTION("""COMPUTED_VALUE"""),"138HP")</f>
        <v>138HP</v>
      </c>
      <c r="I2938" s="177" t="str">
        <f>IFERROR(__xludf.DUMMYFUNCTION("""COMPUTED_VALUE"""),"AHJE04912")</f>
        <v>AHJE04912</v>
      </c>
      <c r="J2938" s="177" t="str">
        <f>IFERROR(__xludf.DUMMYFUNCTION("""COMPUTED_VALUE"""),"6150-2340-3200")</f>
        <v>6150-2340-3200</v>
      </c>
      <c r="K2938" s="177">
        <f>IFERROR(__xludf.DUMMYFUNCTION("""COMPUTED_VALUE"""),9)</f>
        <v>9</v>
      </c>
      <c r="L2938" s="177" t="str">
        <f>IFERROR(__xludf.DUMMYFUNCTION("""COMPUTED_VALUE"""),"-")</f>
        <v>-</v>
      </c>
    </row>
    <row r="2939" customHeight="1" spans="1:12">
      <c r="A2939" s="177" t="str">
        <f>IFERROR(__xludf.DUMMYFUNCTION("""COMPUTED_VALUE"""),"TND-XLU-013")</f>
        <v>TND-XLU-013</v>
      </c>
      <c r="B2939" s="1090" t="str">
        <f>IFERROR(__xludf.DUMMYFUNCTION("""COMPUTED_VALUE"""),"Xe lu rung 14 tấn")</f>
        <v>Xe lu rung 14 tấn</v>
      </c>
      <c r="C2939" s="177" t="str">
        <f>IFERROR(__xludf.DUMMYFUNCTION("""COMPUTED_VALUE"""),"CGTC DP")</f>
        <v>CGTC DP</v>
      </c>
      <c r="D2939" s="177" t="str">
        <f>IFERROR(__xludf.DUMMYFUNCTION("""COMPUTED_VALUE"""),"LIUGONG")</f>
        <v>LIUGONG</v>
      </c>
      <c r="E2939" s="177"/>
      <c r="F2939" s="177">
        <f>IFERROR(__xludf.DUMMYFUNCTION("""COMPUTED_VALUE"""),2024)</f>
        <v>2024</v>
      </c>
      <c r="G2939" s="177" t="str">
        <f>IFERROR(__xludf.DUMMYFUNCTION("""COMPUTED_VALUE"""),"CLG6114E")</f>
        <v>CLG6114E</v>
      </c>
      <c r="H2939" s="177" t="str">
        <f>IFERROR(__xludf.DUMMYFUNCTION("""COMPUTED_VALUE"""),"140HP")</f>
        <v>140HP</v>
      </c>
      <c r="I2939" s="177" t="str">
        <f>IFERROR(__xludf.DUMMYFUNCTION("""COMPUTED_VALUE"""),"30D3616240944")</f>
        <v>30D3616240944</v>
      </c>
      <c r="J2939" s="177" t="str">
        <f>IFERROR(__xludf.DUMMYFUNCTION("""COMPUTED_VALUE"""),"8C4H140202H92450114473")</f>
        <v>8C4H140202H92450114473</v>
      </c>
      <c r="K2939" s="177">
        <f>IFERROR(__xludf.DUMMYFUNCTION("""COMPUTED_VALUE"""),12)</f>
        <v>12</v>
      </c>
      <c r="L2939" s="177" t="str">
        <f>IFERROR(__xludf.DUMMYFUNCTION("""COMPUTED_VALUE"""),"-")</f>
        <v>-</v>
      </c>
    </row>
    <row r="2940" customHeight="1" spans="1:12">
      <c r="A2940" s="177" t="str">
        <f>IFERROR(__xludf.DUMMYFUNCTION("""COMPUTED_VALUE"""),"TND-XLU-014")</f>
        <v>TND-XLU-014</v>
      </c>
      <c r="B2940" s="1090" t="str">
        <f>IFERROR(__xludf.DUMMYFUNCTION("""COMPUTED_VALUE"""),"Xe ủi 11.5T")</f>
        <v>Xe ủi 11.5T</v>
      </c>
      <c r="C2940" s="177" t="str">
        <f>IFERROR(__xludf.DUMMYFUNCTION("""COMPUTED_VALUE"""),"CGTC DP")</f>
        <v>CGTC DP</v>
      </c>
      <c r="D2940" s="177"/>
      <c r="E2940" s="177"/>
      <c r="F2940" s="177"/>
      <c r="G2940" s="177"/>
      <c r="H2940" s="177"/>
      <c r="I2940" s="177"/>
      <c r="J2940" s="177"/>
      <c r="K2940" s="177"/>
      <c r="L2940" s="177" t="str">
        <f>IFERROR(__xludf.DUMMYFUNCTION("""COMPUTED_VALUE"""),"-")</f>
        <v>-</v>
      </c>
    </row>
    <row r="2941" customHeight="1" spans="1:12">
      <c r="A2941" s="177" t="str">
        <f>IFERROR(__xludf.DUMMYFUNCTION("""COMPUTED_VALUE"""),"TND-XLU-015")</f>
        <v>TND-XLU-015</v>
      </c>
      <c r="B2941" s="1090" t="str">
        <f>IFERROR(__xludf.DUMMYFUNCTION("""COMPUTED_VALUE"""),"Xe lu rung 10 tấn")</f>
        <v>Xe lu rung 10 tấn</v>
      </c>
      <c r="C2941" s="177" t="str">
        <f>IFERROR(__xludf.DUMMYFUNCTION("""COMPUTED_VALUE"""),"CGTC DP")</f>
        <v>CGTC DP</v>
      </c>
      <c r="D2941" s="177" t="str">
        <f>IFERROR(__xludf.DUMMYFUNCTION("""COMPUTED_VALUE"""),"SAKAI")</f>
        <v>SAKAI</v>
      </c>
      <c r="E2941" s="177"/>
      <c r="F2941" s="177">
        <f>IFERROR(__xludf.DUMMYFUNCTION("""COMPUTED_VALUE"""),2020)</f>
        <v>2020</v>
      </c>
      <c r="G2941" s="177" t="str">
        <f>IFERROR(__xludf.DUMMYFUNCTION("""COMPUTED_VALUE"""),"SV521D")</f>
        <v>SV521D</v>
      </c>
      <c r="H2941" s="177" t="str">
        <f>IFERROR(__xludf.DUMMYFUNCTION("""COMPUTED_VALUE"""),"113HP")</f>
        <v>113HP</v>
      </c>
      <c r="I2941" s="177" t="str">
        <f>IFERROR(__xludf.DUMMYFUNCTION("""COMPUTED_VALUE"""),"2SV66-10557")</f>
        <v>2SV66-10557</v>
      </c>
      <c r="J2941" s="177" t="str">
        <f>IFERROR(__xludf.DUMMYFUNCTION("""COMPUTED_VALUE"""),"4BG1-133952")</f>
        <v>4BG1-133952</v>
      </c>
      <c r="K2941" s="177">
        <f>IFERROR(__xludf.DUMMYFUNCTION("""COMPUTED_VALUE"""),8)</f>
        <v>8</v>
      </c>
      <c r="L2941" s="177" t="str">
        <f>IFERROR(__xludf.DUMMYFUNCTION("""COMPUTED_VALUE"""),"-")</f>
        <v>-</v>
      </c>
    </row>
    <row r="2942" customHeight="1" spans="1:12">
      <c r="A2942" s="177" t="str">
        <f>IFERROR(__xludf.DUMMYFUNCTION("""COMPUTED_VALUE"""),"TND-XLU-016")</f>
        <v>TND-XLU-016</v>
      </c>
      <c r="B2942" s="1090" t="str">
        <f>IFERROR(__xludf.DUMMYFUNCTION("""COMPUTED_VALUE"""),"Xe lu rung 14 tấn")</f>
        <v>Xe lu rung 14 tấn</v>
      </c>
      <c r="C2942" s="177" t="str">
        <f>IFERROR(__xludf.DUMMYFUNCTION("""COMPUTED_VALUE"""),"CGTC DP")</f>
        <v>CGTC DP</v>
      </c>
      <c r="D2942" s="177" t="str">
        <f>IFERROR(__xludf.DUMMYFUNCTION("""COMPUTED_VALUE"""),"LIUGONG")</f>
        <v>LIUGONG</v>
      </c>
      <c r="E2942" s="177"/>
      <c r="F2942" s="177">
        <f>IFERROR(__xludf.DUMMYFUNCTION("""COMPUTED_VALUE"""),2024)</f>
        <v>2024</v>
      </c>
      <c r="G2942" s="177" t="str">
        <f>IFERROR(__xludf.DUMMYFUNCTION("""COMPUTED_VALUE"""),"CLG6114E")</f>
        <v>CLG6114E</v>
      </c>
      <c r="H2942" s="177" t="str">
        <f>IFERROR(__xludf.DUMMYFUNCTION("""COMPUTED_VALUE"""),"140HP")</f>
        <v>140HP</v>
      </c>
      <c r="I2942" s="177" t="str">
        <f>IFERROR(__xludf.DUMMYFUNCTION("""COMPUTED_VALUE"""),"30D3616241132")</f>
        <v>30D3616241132</v>
      </c>
      <c r="J2942" s="177" t="str">
        <f>IFERROR(__xludf.DUMMYFUNCTION("""COMPUTED_VALUE"""),"SC4H1402G2H9246016949")</f>
        <v>SC4H1402G2H9246016949</v>
      </c>
      <c r="K2942" s="177">
        <f>IFERROR(__xludf.DUMMYFUNCTION("""COMPUTED_VALUE"""),12)</f>
        <v>12</v>
      </c>
      <c r="L2942" s="177" t="str">
        <f>IFERROR(__xludf.DUMMYFUNCTION("""COMPUTED_VALUE"""),"Đang thuê")</f>
        <v>Đang thuê</v>
      </c>
    </row>
    <row r="2943" customHeight="1" spans="1:12">
      <c r="A2943" s="177" t="str">
        <f>IFERROR(__xludf.DUMMYFUNCTION("""COMPUTED_VALUE"""),"TND-XLU-017")</f>
        <v>TND-XLU-017</v>
      </c>
      <c r="B2943" s="1090" t="str">
        <f>IFERROR(__xludf.DUMMYFUNCTION("""COMPUTED_VALUE"""),"Xe lu rung 15 tấn")</f>
        <v>Xe lu rung 15 tấn</v>
      </c>
      <c r="C2943" s="177" t="str">
        <f>IFERROR(__xludf.DUMMYFUNCTION("""COMPUTED_VALUE"""),"CGTC DP")</f>
        <v>CGTC DP</v>
      </c>
      <c r="D2943" s="177" t="str">
        <f>IFERROR(__xludf.DUMMYFUNCTION("""COMPUTED_VALUE"""),"DYNAPAC")</f>
        <v>DYNAPAC</v>
      </c>
      <c r="E2943" s="177"/>
      <c r="F2943" s="177">
        <f>IFERROR(__xludf.DUMMYFUNCTION("""COMPUTED_VALUE"""),1998)</f>
        <v>1998</v>
      </c>
      <c r="G2943" s="177" t="str">
        <f>IFERROR(__xludf.DUMMYFUNCTION("""COMPUTED_VALUE"""),"CA30D")</f>
        <v>CA30D</v>
      </c>
      <c r="H2943" s="177"/>
      <c r="I2943" s="177" t="str">
        <f>IFERROR(__xludf.DUMMYFUNCTION("""COMPUTED_VALUE"""),"53768")</f>
        <v>53768</v>
      </c>
      <c r="J2943" s="177"/>
      <c r="K2943" s="177">
        <f>IFERROR(__xludf.DUMMYFUNCTION("""COMPUTED_VALUE"""),12)</f>
        <v>12</v>
      </c>
      <c r="L2943" s="177" t="str">
        <f>IFERROR(__xludf.DUMMYFUNCTION("""COMPUTED_VALUE"""),"-")</f>
        <v>-</v>
      </c>
    </row>
    <row r="2944" customHeight="1" spans="1:12">
      <c r="A2944" s="177" t="str">
        <f>IFERROR(__xludf.DUMMYFUNCTION("""COMPUTED_VALUE"""),"TND-XLU-018")</f>
        <v>TND-XLU-018</v>
      </c>
      <c r="B2944" s="1090" t="str">
        <f>IFERROR(__xludf.DUMMYFUNCTION("""COMPUTED_VALUE"""),"Xe lu rung 22 tấn")</f>
        <v>Xe lu rung 22 tấn</v>
      </c>
      <c r="C2944" s="177" t="str">
        <f>IFERROR(__xludf.DUMMYFUNCTION("""COMPUTED_VALUE"""),"CGTC DP")</f>
        <v>CGTC DP</v>
      </c>
      <c r="D2944" s="177" t="str">
        <f>IFERROR(__xludf.DUMMYFUNCTION("""COMPUTED_VALUE"""),"LIUGONG")</f>
        <v>LIUGONG</v>
      </c>
      <c r="E2944" s="177"/>
      <c r="F2944" s="177">
        <f>IFERROR(__xludf.DUMMYFUNCTION("""COMPUTED_VALUE"""),2020)</f>
        <v>2020</v>
      </c>
      <c r="G2944" s="177" t="str">
        <f>IFERROR(__xludf.DUMMYFUNCTION("""COMPUTED_VALUE"""),"CLG6122E")</f>
        <v>CLG6122E</v>
      </c>
      <c r="H2944" s="177" t="str">
        <f>IFERROR(__xludf.DUMMYFUNCTION("""COMPUTED_VALUE"""),"177HP")</f>
        <v>177HP</v>
      </c>
      <c r="I2944" s="177" t="str">
        <f>IFERROR(__xludf.DUMMYFUNCTION("""COMPUTED_VALUE"""),"30D3549201263")</f>
        <v>30D3549201263</v>
      </c>
      <c r="J2944" s="177" t="str">
        <f>IFERROR(__xludf.DUMMYFUNCTION("""COMPUTED_VALUE"""),"SC8D1803G2B1D9209014347")</f>
        <v>SC8D1803G2B1D9209014347</v>
      </c>
      <c r="K2944" s="177">
        <f>IFERROR(__xludf.DUMMYFUNCTION("""COMPUTED_VALUE"""),16)</f>
        <v>16</v>
      </c>
      <c r="L2944" s="177" t="str">
        <f>IFERROR(__xludf.DUMMYFUNCTION("""COMPUTED_VALUE"""),"Đang thuê")</f>
        <v>Đang thuê</v>
      </c>
    </row>
    <row r="2945" customHeight="1" spans="1:12">
      <c r="A2945" s="177" t="str">
        <f>IFERROR(__xludf.DUMMYFUNCTION("""COMPUTED_VALUE"""),"TND-XLU-019")</f>
        <v>TND-XLU-019</v>
      </c>
      <c r="B2945" s="1090" t="str">
        <f>IFERROR(__xludf.DUMMYFUNCTION("""COMPUTED_VALUE"""),"Xe lu rung 11 tấn")</f>
        <v>Xe lu rung 11 tấn</v>
      </c>
      <c r="C2945" s="177" t="str">
        <f>IFERROR(__xludf.DUMMYFUNCTION("""COMPUTED_VALUE"""),"CGTC DP")</f>
        <v>CGTC DP</v>
      </c>
      <c r="D2945" s="177" t="str">
        <f>IFERROR(__xludf.DUMMYFUNCTION("""COMPUTED_VALUE"""),"LIUGONG")</f>
        <v>LIUGONG</v>
      </c>
      <c r="E2945" s="177"/>
      <c r="F2945" s="177">
        <f>IFERROR(__xludf.DUMMYFUNCTION("""COMPUTED_VALUE"""),2022)</f>
        <v>2022</v>
      </c>
      <c r="G2945" s="177" t="str">
        <f>IFERROR(__xludf.DUMMYFUNCTION("""COMPUTED_VALUE"""),"CS11GC")</f>
        <v>CS11GC</v>
      </c>
      <c r="H2945" s="177" t="str">
        <f>IFERROR(__xludf.DUMMYFUNCTION("""COMPUTED_VALUE"""),"112HP")</f>
        <v>112HP</v>
      </c>
      <c r="I2945" s="177" t="str">
        <f>IFERROR(__xludf.DUMMYFUNCTION("""COMPUTED_VALUE"""),"CAT0CS11CRK801512")</f>
        <v>CAT0CS11CRK801512</v>
      </c>
      <c r="J2945" s="177" t="str">
        <f>IFERROR(__xludf.DUMMYFUNCTION("""COMPUTED_VALUE"""),"MFX12741")</f>
        <v>MFX12741</v>
      </c>
      <c r="K2945" s="177">
        <f>IFERROR(__xludf.DUMMYFUNCTION("""COMPUTED_VALUE"""),9)</f>
        <v>9</v>
      </c>
      <c r="L2945" s="177" t="str">
        <f>IFERROR(__xludf.DUMMYFUNCTION("""COMPUTED_VALUE"""),"-")</f>
        <v>-</v>
      </c>
    </row>
    <row r="2946" customHeight="1" spans="1:12">
      <c r="A2946" s="177" t="str">
        <f>IFERROR(__xludf.DUMMYFUNCTION("""COMPUTED_VALUE"""),"Xe ben")</f>
        <v>Xe ben</v>
      </c>
      <c r="B2946" s="1090" t="str">
        <f>IFERROR(__xludf.DUMMYFUNCTION("""COMPUTED_VALUE"""),"54")</f>
        <v>54</v>
      </c>
      <c r="C2946" s="177"/>
      <c r="D2946" s="177"/>
      <c r="E2946" s="177"/>
      <c r="F2946" s="177"/>
      <c r="G2946" s="177"/>
      <c r="H2946" s="177"/>
      <c r="I2946" s="177"/>
      <c r="J2946" s="177"/>
      <c r="K2946" s="177"/>
      <c r="L2946" s="177" t="str">
        <f>IFERROR(__xludf.DUMMYFUNCTION("""COMPUTED_VALUE"""),"13")</f>
        <v>13</v>
      </c>
    </row>
    <row r="2947" customHeight="1" spans="1:12">
      <c r="A2947" s="177" t="str">
        <f>IFERROR(__xludf.DUMMYFUNCTION("""COMPUTED_VALUE"""),"TND-XTA-002")</f>
        <v>TND-XTA-002</v>
      </c>
      <c r="B2947" s="1090" t="str">
        <f>IFERROR(__xludf.DUMMYFUNCTION("""COMPUTED_VALUE"""),"Xe ben 15 tấn")</f>
        <v>Xe ben 15 tấn</v>
      </c>
      <c r="C2947" s="177" t="str">
        <f>IFERROR(__xludf.DUMMYFUNCTION("""COMPUTED_VALUE"""),"CGTC DP")</f>
        <v>CGTC DP</v>
      </c>
      <c r="D2947" s="177" t="str">
        <f>IFERROR(__xludf.DUMMYFUNCTION("""COMPUTED_VALUE"""),"HYUNDAI")</f>
        <v>HYUNDAI</v>
      </c>
      <c r="E2947" s="177"/>
      <c r="F2947" s="177">
        <f>IFERROR(__xludf.DUMMYFUNCTION("""COMPUTED_VALUE"""),1996)</f>
        <v>1996</v>
      </c>
      <c r="G2947" s="177"/>
      <c r="H2947" s="177" t="str">
        <f>IFERROR(__xludf.DUMMYFUNCTION("""COMPUTED_VALUE"""),"355HP")</f>
        <v>355HP</v>
      </c>
      <c r="I2947" s="177" t="str">
        <f>IFERROR(__xludf.DUMMYFUNCTION("""COMPUTED_VALUE"""),"KMCDB19BETC104092")</f>
        <v>KMCDB19BETC104092</v>
      </c>
      <c r="J2947" s="177" t="str">
        <f>IFERROR(__xludf.DUMMYFUNCTION("""COMPUTED_VALUE"""),"D8ABT003408")</f>
        <v>D8ABT003408</v>
      </c>
      <c r="K2947" s="177"/>
      <c r="L2947" s="177" t="str">
        <f>IFERROR(__xludf.DUMMYFUNCTION("""COMPUTED_VALUE"""),"-")</f>
        <v>-</v>
      </c>
    </row>
    <row r="2948" customHeight="1" spans="1:12">
      <c r="A2948" s="177" t="str">
        <f>IFERROR(__xludf.DUMMYFUNCTION("""COMPUTED_VALUE"""),"TND-XTA-003")</f>
        <v>TND-XTA-003</v>
      </c>
      <c r="B2948" s="1090" t="str">
        <f>IFERROR(__xludf.DUMMYFUNCTION("""COMPUTED_VALUE"""),"Xe ben 15 tấn")</f>
        <v>Xe ben 15 tấn</v>
      </c>
      <c r="C2948" s="177" t="str">
        <f>IFERROR(__xludf.DUMMYFUNCTION("""COMPUTED_VALUE"""),"CGTC DP")</f>
        <v>CGTC DP</v>
      </c>
      <c r="D2948" s="177" t="str">
        <f>IFERROR(__xludf.DUMMYFUNCTION("""COMPUTED_VALUE"""),"HYUNDAI")</f>
        <v>HYUNDAI</v>
      </c>
      <c r="E2948" s="177"/>
      <c r="F2948" s="177">
        <f>IFERROR(__xludf.DUMMYFUNCTION("""COMPUTED_VALUE"""),1995)</f>
        <v>1995</v>
      </c>
      <c r="G2948" s="177"/>
      <c r="H2948" s="177" t="str">
        <f>IFERROR(__xludf.DUMMYFUNCTION("""COMPUTED_VALUE"""),"355HP")</f>
        <v>355HP</v>
      </c>
      <c r="I2948" s="177" t="str">
        <f>IFERROR(__xludf.DUMMYFUNCTION("""COMPUTED_VALUE"""),"KMCDB18YPSU020637")</f>
        <v>KMCDB18YPSU020637</v>
      </c>
      <c r="J2948" s="177" t="str">
        <f>IFERROR(__xludf.DUMMYFUNCTION("""COMPUTED_VALUE"""),"D8AYS142762")</f>
        <v>D8AYS142762</v>
      </c>
      <c r="K2948" s="177"/>
      <c r="L2948" s="177" t="str">
        <f>IFERROR(__xludf.DUMMYFUNCTION("""COMPUTED_VALUE"""),"-")</f>
        <v>-</v>
      </c>
    </row>
    <row r="2949" customHeight="1" spans="1:12">
      <c r="A2949" s="177" t="str">
        <f>IFERROR(__xludf.DUMMYFUNCTION("""COMPUTED_VALUE"""),"TND-XTA-004")</f>
        <v>TND-XTA-004</v>
      </c>
      <c r="B2949" s="1090" t="str">
        <f>IFERROR(__xludf.DUMMYFUNCTION("""COMPUTED_VALUE"""),"Xe ben 15 tấn")</f>
        <v>Xe ben 15 tấn</v>
      </c>
      <c r="C2949" s="177" t="str">
        <f>IFERROR(__xludf.DUMMYFUNCTION("""COMPUTED_VALUE"""),"CGTC DP")</f>
        <v>CGTC DP</v>
      </c>
      <c r="D2949" s="177" t="str">
        <f>IFERROR(__xludf.DUMMYFUNCTION("""COMPUTED_VALUE"""),"HYUNDAI")</f>
        <v>HYUNDAI</v>
      </c>
      <c r="E2949" s="177"/>
      <c r="F2949" s="177">
        <f>IFERROR(__xludf.DUMMYFUNCTION("""COMPUTED_VALUE"""),2004)</f>
        <v>2004</v>
      </c>
      <c r="G2949" s="177"/>
      <c r="H2949" s="177" t="str">
        <f>IFERROR(__xludf.DUMMYFUNCTION("""COMPUTED_VALUE"""),"355HP")</f>
        <v>355HP</v>
      </c>
      <c r="I2949" s="177" t="str">
        <f>IFERROR(__xludf.DUMMYFUNCTION("""COMPUTED_VALUE"""),"KMCPB18TP4C1741")</f>
        <v>KMCPB18TP4C1741</v>
      </c>
      <c r="J2949" s="177" t="str">
        <f>IFERROR(__xludf.DUMMYFUNCTION("""COMPUTED_VALUE"""),"D6AC3084058")</f>
        <v>D6AC3084058</v>
      </c>
      <c r="K2949" s="177"/>
      <c r="L2949" s="177" t="str">
        <f>IFERROR(__xludf.DUMMYFUNCTION("""COMPUTED_VALUE"""),"-")</f>
        <v>-</v>
      </c>
    </row>
    <row r="2950" customHeight="1" spans="1:12">
      <c r="A2950" s="177" t="str">
        <f>IFERROR(__xludf.DUMMYFUNCTION("""COMPUTED_VALUE"""),"TND-XTA-005")</f>
        <v>TND-XTA-005</v>
      </c>
      <c r="B2950" s="1090" t="str">
        <f>IFERROR(__xludf.DUMMYFUNCTION("""COMPUTED_VALUE"""),"Xe ben 15 tấn")</f>
        <v>Xe ben 15 tấn</v>
      </c>
      <c r="C2950" s="177" t="str">
        <f>IFERROR(__xludf.DUMMYFUNCTION("""COMPUTED_VALUE"""),"CGTC DP")</f>
        <v>CGTC DP</v>
      </c>
      <c r="D2950" s="177" t="str">
        <f>IFERROR(__xludf.DUMMYFUNCTION("""COMPUTED_VALUE"""),"TOYOTA")</f>
        <v>TOYOTA</v>
      </c>
      <c r="E2950" s="177"/>
      <c r="F2950" s="177">
        <f>IFERROR(__xludf.DUMMYFUNCTION("""COMPUTED_VALUE"""),1994)</f>
        <v>1994</v>
      </c>
      <c r="G2950" s="177" t="str">
        <f>IFERROR(__xludf.DUMMYFUNCTION("""COMPUTED_VALUE"""),"CAR")</f>
        <v>CAR</v>
      </c>
      <c r="H2950" s="177" t="str">
        <f>IFERROR(__xludf.DUMMYFUNCTION("""COMPUTED_VALUE"""),"320HP")</f>
        <v>320HP</v>
      </c>
      <c r="I2950" s="177" t="str">
        <f>IFERROR(__xludf.DUMMYFUNCTION("""COMPUTED_VALUE"""),"AE1010073442")</f>
        <v>AE1010073442</v>
      </c>
      <c r="J2950" s="177" t="str">
        <f>IFERROR(__xludf.DUMMYFUNCTION("""COMPUTED_VALUE"""),"4AK608071")</f>
        <v>4AK608071</v>
      </c>
      <c r="K2950" s="177"/>
      <c r="L2950" s="177" t="str">
        <f>IFERROR(__xludf.DUMMYFUNCTION("""COMPUTED_VALUE"""),"-")</f>
        <v>-</v>
      </c>
    </row>
    <row r="2951" customHeight="1" spans="1:12">
      <c r="A2951" s="177" t="str">
        <f>IFERROR(__xludf.DUMMYFUNCTION("""COMPUTED_VALUE"""),"TND-XTA-006")</f>
        <v>TND-XTA-006</v>
      </c>
      <c r="B2951" s="1090" t="str">
        <f>IFERROR(__xludf.DUMMYFUNCTION("""COMPUTED_VALUE"""),"Xe ben 15 tấn")</f>
        <v>Xe ben 15 tấn</v>
      </c>
      <c r="C2951" s="177" t="str">
        <f>IFERROR(__xludf.DUMMYFUNCTION("""COMPUTED_VALUE"""),"CGTC DP")</f>
        <v>CGTC DP</v>
      </c>
      <c r="D2951" s="177" t="str">
        <f>IFERROR(__xludf.DUMMYFUNCTION("""COMPUTED_VALUE"""),"HYUNDAI")</f>
        <v>HYUNDAI</v>
      </c>
      <c r="E2951" s="177"/>
      <c r="F2951" s="177"/>
      <c r="G2951" s="177"/>
      <c r="H2951" s="177" t="str">
        <f>IFERROR(__xludf.DUMMYFUNCTION("""COMPUTED_VALUE"""),"320HP")</f>
        <v>320HP</v>
      </c>
      <c r="I2951" s="177" t="str">
        <f>IFERROR(__xludf.DUMMYFUNCTION("""COMPUTED_VALUE"""),"NIL")</f>
        <v>NIL</v>
      </c>
      <c r="J2951" s="177" t="str">
        <f>IFERROR(__xludf.DUMMYFUNCTION("""COMPUTED_VALUE"""),"D8AYP096892")</f>
        <v>D8AYP096892</v>
      </c>
      <c r="K2951" s="177"/>
      <c r="L2951" s="177" t="str">
        <f>IFERROR(__xludf.DUMMYFUNCTION("""COMPUTED_VALUE"""),"-")</f>
        <v>-</v>
      </c>
    </row>
    <row r="2952" customHeight="1" spans="1:12">
      <c r="A2952" s="177" t="str">
        <f>IFERROR(__xludf.DUMMYFUNCTION("""COMPUTED_VALUE"""),"TND-XTA-007")</f>
        <v>TND-XTA-007</v>
      </c>
      <c r="B2952" s="1090" t="str">
        <f>IFERROR(__xludf.DUMMYFUNCTION("""COMPUTED_VALUE"""),"Xe ben 25 tấn")</f>
        <v>Xe ben 25 tấn</v>
      </c>
      <c r="C2952" s="177" t="str">
        <f>IFERROR(__xludf.DUMMYFUNCTION("""COMPUTED_VALUE"""),"CGTC DP")</f>
        <v>CGTC DP</v>
      </c>
      <c r="D2952" s="177" t="str">
        <f>IFERROR(__xludf.DUMMYFUNCTION("""COMPUTED_VALUE"""),"HYUNDAI")</f>
        <v>HYUNDAI</v>
      </c>
      <c r="E2952" s="177"/>
      <c r="F2952" s="177">
        <f>IFERROR(__xludf.DUMMYFUNCTION("""COMPUTED_VALUE"""),1997)</f>
        <v>1997</v>
      </c>
      <c r="G2952" s="177"/>
      <c r="H2952" s="177" t="str">
        <f>IFERROR(__xludf.DUMMYFUNCTION("""COMPUTED_VALUE"""),"380HP")</f>
        <v>380HP</v>
      </c>
      <c r="I2952" s="177" t="str">
        <f>IFERROR(__xludf.DUMMYFUNCTION("""COMPUTED_VALUE"""),"KMCDB19BPVC104887")</f>
        <v>KMCDB19BPVC104887</v>
      </c>
      <c r="J2952" s="177" t="str">
        <f>IFERROR(__xludf.DUMMYFUNCTION("""COMPUTED_VALUE"""),"D8ABV007103")</f>
        <v>D8ABV007103</v>
      </c>
      <c r="K2952" s="177"/>
      <c r="L2952" s="177" t="str">
        <f>IFERROR(__xludf.DUMMYFUNCTION("""COMPUTED_VALUE"""),"-")</f>
        <v>-</v>
      </c>
    </row>
    <row r="2953" customHeight="1" spans="1:12">
      <c r="A2953" s="177" t="str">
        <f>IFERROR(__xludf.DUMMYFUNCTION("""COMPUTED_VALUE"""),"TND-XTA-008")</f>
        <v>TND-XTA-008</v>
      </c>
      <c r="B2953" s="1090" t="str">
        <f>IFERROR(__xludf.DUMMYFUNCTION("""COMPUTED_VALUE"""),"Xe ben 25 tấn")</f>
        <v>Xe ben 25 tấn</v>
      </c>
      <c r="C2953" s="177" t="str">
        <f>IFERROR(__xludf.DUMMYFUNCTION("""COMPUTED_VALUE"""),"CGTC DP")</f>
        <v>CGTC DP</v>
      </c>
      <c r="D2953" s="177" t="str">
        <f>IFERROR(__xludf.DUMMYFUNCTION("""COMPUTED_VALUE"""),"HYUNDAI")</f>
        <v>HYUNDAI</v>
      </c>
      <c r="E2953" s="177"/>
      <c r="F2953" s="177">
        <f>IFERROR(__xludf.DUMMYFUNCTION("""COMPUTED_VALUE"""),1997)</f>
        <v>1997</v>
      </c>
      <c r="G2953" s="177"/>
      <c r="H2953" s="177" t="str">
        <f>IFERROR(__xludf.DUMMYFUNCTION("""COMPUTED_VALUE"""),"380HP")</f>
        <v>380HP</v>
      </c>
      <c r="I2953" s="177" t="str">
        <f>IFERROR(__xludf.DUMMYFUNCTION("""COMPUTED_VALUE"""),"NIL")</f>
        <v>NIL</v>
      </c>
      <c r="J2953" s="177" t="str">
        <f>IFERROR(__xludf.DUMMYFUNCTION("""COMPUTED_VALUE"""),"D8AXX023750")</f>
        <v>D8AXX023750</v>
      </c>
      <c r="K2953" s="177"/>
      <c r="L2953" s="177" t="str">
        <f>IFERROR(__xludf.DUMMYFUNCTION("""COMPUTED_VALUE"""),"-")</f>
        <v>-</v>
      </c>
    </row>
    <row r="2954" customHeight="1" spans="1:12">
      <c r="A2954" s="177" t="str">
        <f>IFERROR(__xludf.DUMMYFUNCTION("""COMPUTED_VALUE"""),"TND-XTA-009")</f>
        <v>TND-XTA-009</v>
      </c>
      <c r="B2954" s="1090" t="str">
        <f>IFERROR(__xludf.DUMMYFUNCTION("""COMPUTED_VALUE"""),"Xe ben 15 tấn")</f>
        <v>Xe ben 15 tấn</v>
      </c>
      <c r="C2954" s="177" t="str">
        <f>IFERROR(__xludf.DUMMYFUNCTION("""COMPUTED_VALUE"""),"CGTC DP")</f>
        <v>CGTC DP</v>
      </c>
      <c r="D2954" s="177" t="str">
        <f>IFERROR(__xludf.DUMMYFUNCTION("""COMPUTED_VALUE"""),"HYUNDAI")</f>
        <v>HYUNDAI</v>
      </c>
      <c r="E2954" s="177"/>
      <c r="F2954" s="177">
        <f>IFERROR(__xludf.DUMMYFUNCTION("""COMPUTED_VALUE"""),1991)</f>
        <v>1991</v>
      </c>
      <c r="G2954" s="177"/>
      <c r="H2954" s="177" t="str">
        <f>IFERROR(__xludf.DUMMYFUNCTION("""COMPUTED_VALUE"""),"320HP")</f>
        <v>320HP</v>
      </c>
      <c r="I2954" s="177" t="str">
        <f>IFERROR(__xludf.DUMMYFUNCTION("""COMPUTED_VALUE"""),"NIL")</f>
        <v>NIL</v>
      </c>
      <c r="J2954" s="177" t="str">
        <f>IFERROR(__xludf.DUMMYFUNCTION("""COMPUTED_VALUE"""),"D8AYM071460")</f>
        <v>D8AYM071460</v>
      </c>
      <c r="K2954" s="177"/>
      <c r="L2954" s="177" t="str">
        <f>IFERROR(__xludf.DUMMYFUNCTION("""COMPUTED_VALUE"""),"-")</f>
        <v>-</v>
      </c>
    </row>
    <row r="2955" customHeight="1" spans="1:12">
      <c r="A2955" s="177" t="str">
        <f>IFERROR(__xludf.DUMMYFUNCTION("""COMPUTED_VALUE"""),"TND-XTA-010")</f>
        <v>TND-XTA-010</v>
      </c>
      <c r="B2955" s="1090" t="str">
        <f>IFERROR(__xludf.DUMMYFUNCTION("""COMPUTED_VALUE"""),"Xe ben 25 tấn")</f>
        <v>Xe ben 25 tấn</v>
      </c>
      <c r="C2955" s="177" t="str">
        <f>IFERROR(__xludf.DUMMYFUNCTION("""COMPUTED_VALUE"""),"CGTC DP")</f>
        <v>CGTC DP</v>
      </c>
      <c r="D2955" s="177" t="str">
        <f>IFERROR(__xludf.DUMMYFUNCTION("""COMPUTED_VALUE"""),"HYUNDAI")</f>
        <v>HYUNDAI</v>
      </c>
      <c r="E2955" s="177"/>
      <c r="F2955" s="177">
        <f>IFERROR(__xludf.DUMMYFUNCTION("""COMPUTED_VALUE"""),2003)</f>
        <v>2003</v>
      </c>
      <c r="G2955" s="177"/>
      <c r="H2955" s="177" t="str">
        <f>IFERROR(__xludf.DUMMYFUNCTION("""COMPUTED_VALUE"""),"380HP")</f>
        <v>380HP</v>
      </c>
      <c r="I2955" s="177" t="str">
        <f>IFERROR(__xludf.DUMMYFUNCTION("""COMPUTED_VALUE"""),"NIL")</f>
        <v>NIL</v>
      </c>
      <c r="J2955" s="177" t="str">
        <f>IFERROR(__xludf.DUMMYFUNCTION("""COMPUTED_VALUE"""),"D6CA3082884")</f>
        <v>D6CA3082884</v>
      </c>
      <c r="K2955" s="177"/>
      <c r="L2955" s="177" t="str">
        <f>IFERROR(__xludf.DUMMYFUNCTION("""COMPUTED_VALUE"""),"-")</f>
        <v>-</v>
      </c>
    </row>
    <row r="2956" customHeight="1" spans="1:12">
      <c r="A2956" s="177" t="str">
        <f>IFERROR(__xludf.DUMMYFUNCTION("""COMPUTED_VALUE"""),"TND-XTA-011")</f>
        <v>TND-XTA-011</v>
      </c>
      <c r="B2956" s="1090" t="str">
        <f>IFERROR(__xludf.DUMMYFUNCTION("""COMPUTED_VALUE"""),"Xe ben 15 tấn")</f>
        <v>Xe ben 15 tấn</v>
      </c>
      <c r="C2956" s="177" t="str">
        <f>IFERROR(__xludf.DUMMYFUNCTION("""COMPUTED_VALUE"""),"CGTC DP")</f>
        <v>CGTC DP</v>
      </c>
      <c r="D2956" s="177" t="str">
        <f>IFERROR(__xludf.DUMMYFUNCTION("""COMPUTED_VALUE"""),"HYUNDAI")</f>
        <v>HYUNDAI</v>
      </c>
      <c r="E2956" s="177"/>
      <c r="F2956" s="177">
        <f>IFERROR(__xludf.DUMMYFUNCTION("""COMPUTED_VALUE"""),2006)</f>
        <v>2006</v>
      </c>
      <c r="G2956" s="177"/>
      <c r="H2956" s="177" t="str">
        <f>IFERROR(__xludf.DUMMYFUNCTION("""COMPUTED_VALUE"""),"320HP")</f>
        <v>320HP</v>
      </c>
      <c r="I2956" s="177" t="str">
        <f>IFERROR(__xludf.DUMMYFUNCTION("""COMPUTED_VALUE"""),"NIL")</f>
        <v>NIL</v>
      </c>
      <c r="J2956" s="177" t="str">
        <f>IFERROR(__xludf.DUMMYFUNCTION("""COMPUTED_VALUE"""),"D6CB6122604")</f>
        <v>D6CB6122604</v>
      </c>
      <c r="K2956" s="177"/>
      <c r="L2956" s="177" t="str">
        <f>IFERROR(__xludf.DUMMYFUNCTION("""COMPUTED_VALUE"""),"-")</f>
        <v>-</v>
      </c>
    </row>
    <row r="2957" customHeight="1" spans="1:12">
      <c r="A2957" s="177" t="str">
        <f>IFERROR(__xludf.DUMMYFUNCTION("""COMPUTED_VALUE"""),"TND-XTA-012")</f>
        <v>TND-XTA-012</v>
      </c>
      <c r="B2957" s="1090" t="str">
        <f>IFERROR(__xludf.DUMMYFUNCTION("""COMPUTED_VALUE"""),"Xe ben 15 tấn")</f>
        <v>Xe ben 15 tấn</v>
      </c>
      <c r="C2957" s="177" t="str">
        <f>IFERROR(__xludf.DUMMYFUNCTION("""COMPUTED_VALUE"""),"CGTC DP")</f>
        <v>CGTC DP</v>
      </c>
      <c r="D2957" s="177" t="str">
        <f>IFERROR(__xludf.DUMMYFUNCTION("""COMPUTED_VALUE"""),"HYUNDAI")</f>
        <v>HYUNDAI</v>
      </c>
      <c r="E2957" s="177"/>
      <c r="F2957" s="177">
        <f>IFERROR(__xludf.DUMMYFUNCTION("""COMPUTED_VALUE"""),1997)</f>
        <v>1997</v>
      </c>
      <c r="G2957" s="177"/>
      <c r="H2957" s="177" t="str">
        <f>IFERROR(__xludf.DUMMYFUNCTION("""COMPUTED_VALUE"""),"320HP")</f>
        <v>320HP</v>
      </c>
      <c r="I2957" s="177" t="str">
        <f>IFERROR(__xludf.DUMMYFUNCTION("""COMPUTED_VALUE"""),"KMCDB18YPTC100783")</f>
        <v>KMCDB18YPTC100783</v>
      </c>
      <c r="J2957" s="177" t="str">
        <f>IFERROR(__xludf.DUMMYFUNCTION("""COMPUTED_VALUE"""),"D8AYT159705")</f>
        <v>D8AYT159705</v>
      </c>
      <c r="K2957" s="177"/>
      <c r="L2957" s="177" t="str">
        <f>IFERROR(__xludf.DUMMYFUNCTION("""COMPUTED_VALUE"""),"-")</f>
        <v>-</v>
      </c>
    </row>
    <row r="2958" customHeight="1" spans="1:12">
      <c r="A2958" s="177" t="str">
        <f>IFERROR(__xludf.DUMMYFUNCTION("""COMPUTED_VALUE"""),"TND-XTA-013")</f>
        <v>TND-XTA-013</v>
      </c>
      <c r="B2958" s="1090" t="str">
        <f>IFERROR(__xludf.DUMMYFUNCTION("""COMPUTED_VALUE"""),"Xe ben 15 tấn")</f>
        <v>Xe ben 15 tấn</v>
      </c>
      <c r="C2958" s="177" t="str">
        <f>IFERROR(__xludf.DUMMYFUNCTION("""COMPUTED_VALUE"""),"CGTC DP")</f>
        <v>CGTC DP</v>
      </c>
      <c r="D2958" s="177" t="str">
        <f>IFERROR(__xludf.DUMMYFUNCTION("""COMPUTED_VALUE"""),"HYUNDAI")</f>
        <v>HYUNDAI</v>
      </c>
      <c r="E2958" s="177"/>
      <c r="F2958" s="177">
        <f>IFERROR(__xludf.DUMMYFUNCTION("""COMPUTED_VALUE"""),1992)</f>
        <v>1992</v>
      </c>
      <c r="G2958" s="177"/>
      <c r="H2958" s="177" t="str">
        <f>IFERROR(__xludf.DUMMYFUNCTION("""COMPUTED_VALUE"""),"320HP")</f>
        <v>320HP</v>
      </c>
      <c r="I2958" s="177"/>
      <c r="J2958" s="177" t="str">
        <f>IFERROR(__xludf.DUMMYFUNCTION("""COMPUTED_VALUE"""),"D8AYD107456")</f>
        <v>D8AYD107456</v>
      </c>
      <c r="K2958" s="177"/>
      <c r="L2958" s="177" t="str">
        <f>IFERROR(__xludf.DUMMYFUNCTION("""COMPUTED_VALUE"""),"-")</f>
        <v>-</v>
      </c>
    </row>
    <row r="2959" customHeight="1" spans="1:12">
      <c r="A2959" s="177" t="str">
        <f>IFERROR(__xludf.DUMMYFUNCTION("""COMPUTED_VALUE"""),"TND-XTA-014")</f>
        <v>TND-XTA-014</v>
      </c>
      <c r="B2959" s="1090" t="str">
        <f>IFERROR(__xludf.DUMMYFUNCTION("""COMPUTED_VALUE"""),"Xe ben 15 tấn")</f>
        <v>Xe ben 15 tấn</v>
      </c>
      <c r="C2959" s="177" t="str">
        <f>IFERROR(__xludf.DUMMYFUNCTION("""COMPUTED_VALUE"""),"CGTC DP")</f>
        <v>CGTC DP</v>
      </c>
      <c r="D2959" s="177" t="str">
        <f>IFERROR(__xludf.DUMMYFUNCTION("""COMPUTED_VALUE"""),"HYUNDAI")</f>
        <v>HYUNDAI</v>
      </c>
      <c r="E2959" s="177"/>
      <c r="F2959" s="177">
        <f>IFERROR(__xludf.DUMMYFUNCTION("""COMPUTED_VALUE"""),1997)</f>
        <v>1997</v>
      </c>
      <c r="G2959" s="177"/>
      <c r="H2959" s="177" t="str">
        <f>IFERROR(__xludf.DUMMYFUNCTION("""COMPUTED_VALUE"""),"320HP")</f>
        <v>320HP</v>
      </c>
      <c r="I2959" s="177"/>
      <c r="J2959" s="177" t="str">
        <f>IFERROR(__xludf.DUMMYFUNCTION("""COMPUTED_VALUE"""),"D8AYV007817")</f>
        <v>D8AYV007817</v>
      </c>
      <c r="K2959" s="177"/>
      <c r="L2959" s="177" t="str">
        <f>IFERROR(__xludf.DUMMYFUNCTION("""COMPUTED_VALUE"""),"-")</f>
        <v>-</v>
      </c>
    </row>
    <row r="2960" customHeight="1" spans="1:12">
      <c r="A2960" s="177" t="str">
        <f>IFERROR(__xludf.DUMMYFUNCTION("""COMPUTED_VALUE"""),"TND-XTA-015")</f>
        <v>TND-XTA-015</v>
      </c>
      <c r="B2960" s="1090" t="str">
        <f>IFERROR(__xludf.DUMMYFUNCTION("""COMPUTED_VALUE"""),"Xe ben 15 tấn")</f>
        <v>Xe ben 15 tấn</v>
      </c>
      <c r="C2960" s="177" t="str">
        <f>IFERROR(__xludf.DUMMYFUNCTION("""COMPUTED_VALUE"""),"CGTC DP")</f>
        <v>CGTC DP</v>
      </c>
      <c r="D2960" s="177" t="str">
        <f>IFERROR(__xludf.DUMMYFUNCTION("""COMPUTED_VALUE"""),"HYUNDAI")</f>
        <v>HYUNDAI</v>
      </c>
      <c r="E2960" s="177"/>
      <c r="F2960" s="177">
        <f>IFERROR(__xludf.DUMMYFUNCTION("""COMPUTED_VALUE"""),2002)</f>
        <v>2002</v>
      </c>
      <c r="G2960" s="177"/>
      <c r="H2960" s="177" t="str">
        <f>IFERROR(__xludf.DUMMYFUNCTION("""COMPUTED_VALUE"""),"380HP")</f>
        <v>380HP</v>
      </c>
      <c r="I2960" s="177" t="str">
        <f>IFERROR(__xludf.DUMMYFUNCTION("""COMPUTED_VALUE"""),"KMC8B19SP22015241")</f>
        <v>KMC8B19SP22015241</v>
      </c>
      <c r="J2960" s="177"/>
      <c r="K2960" s="177"/>
      <c r="L2960" s="177" t="str">
        <f>IFERROR(__xludf.DUMMYFUNCTION("""COMPUTED_VALUE"""),"-")</f>
        <v>-</v>
      </c>
    </row>
    <row r="2961" customHeight="1" spans="1:12">
      <c r="A2961" s="177" t="str">
        <f>IFERROR(__xludf.DUMMYFUNCTION("""COMPUTED_VALUE"""),"TND-XTA-016")</f>
        <v>TND-XTA-016</v>
      </c>
      <c r="B2961" s="1090" t="str">
        <f>IFERROR(__xludf.DUMMYFUNCTION("""COMPUTED_VALUE"""),"Xe ben 15 tấn")</f>
        <v>Xe ben 15 tấn</v>
      </c>
      <c r="C2961" s="177" t="str">
        <f>IFERROR(__xludf.DUMMYFUNCTION("""COMPUTED_VALUE"""),"CGTC DP")</f>
        <v>CGTC DP</v>
      </c>
      <c r="D2961" s="177" t="str">
        <f>IFERROR(__xludf.DUMMYFUNCTION("""COMPUTED_VALUE"""),"HYUNDAI")</f>
        <v>HYUNDAI</v>
      </c>
      <c r="E2961" s="177"/>
      <c r="F2961" s="177">
        <f>IFERROR(__xludf.DUMMYFUNCTION("""COMPUTED_VALUE"""),1996)</f>
        <v>1996</v>
      </c>
      <c r="G2961" s="177"/>
      <c r="H2961" s="177" t="str">
        <f>IFERROR(__xludf.DUMMYFUNCTION("""COMPUTED_VALUE"""),"355HP")</f>
        <v>355HP</v>
      </c>
      <c r="I2961" s="177"/>
      <c r="J2961" s="177" t="str">
        <f>IFERROR(__xludf.DUMMYFUNCTION("""COMPUTED_VALUE"""),"D8AYT163345")</f>
        <v>D8AYT163345</v>
      </c>
      <c r="K2961" s="177"/>
      <c r="L2961" s="177" t="str">
        <f>IFERROR(__xludf.DUMMYFUNCTION("""COMPUTED_VALUE"""),"-")</f>
        <v>-</v>
      </c>
    </row>
    <row r="2962" customHeight="1" spans="1:12">
      <c r="A2962" s="177" t="str">
        <f>IFERROR(__xludf.DUMMYFUNCTION("""COMPUTED_VALUE"""),"TND-XTA-017")</f>
        <v>TND-XTA-017</v>
      </c>
      <c r="B2962" s="1090" t="str">
        <f>IFERROR(__xludf.DUMMYFUNCTION("""COMPUTED_VALUE"""),"Xe ben 15 tấn")</f>
        <v>Xe ben 15 tấn</v>
      </c>
      <c r="C2962" s="177" t="str">
        <f>IFERROR(__xludf.DUMMYFUNCTION("""COMPUTED_VALUE"""),"CGTC DP")</f>
        <v>CGTC DP</v>
      </c>
      <c r="D2962" s="177" t="str">
        <f>IFERROR(__xludf.DUMMYFUNCTION("""COMPUTED_VALUE"""),"HYUNDAI")</f>
        <v>HYUNDAI</v>
      </c>
      <c r="E2962" s="177"/>
      <c r="F2962" s="177"/>
      <c r="G2962" s="177"/>
      <c r="H2962" s="177" t="str">
        <f>IFERROR(__xludf.DUMMYFUNCTION("""COMPUTED_VALUE"""),"320HP")</f>
        <v>320HP</v>
      </c>
      <c r="I2962" s="177" t="str">
        <f>IFERROR(__xludf.DUMMYFUNCTION("""COMPUTED_VALUE"""),"KMCDB18YPTC103776")</f>
        <v>KMCDB18YPTC103776</v>
      </c>
      <c r="J2962" s="177" t="str">
        <f>IFERROR(__xludf.DUMMYFUNCTION("""COMPUTED_VALUE"""),"V8AYT000215")</f>
        <v>V8AYT000215</v>
      </c>
      <c r="K2962" s="177"/>
      <c r="L2962" s="177" t="str">
        <f>IFERROR(__xludf.DUMMYFUNCTION("""COMPUTED_VALUE"""),"-")</f>
        <v>-</v>
      </c>
    </row>
    <row r="2963" customHeight="1" spans="1:12">
      <c r="A2963" s="177" t="str">
        <f>IFERROR(__xludf.DUMMYFUNCTION("""COMPUTED_VALUE"""),"TND-XTA-018")</f>
        <v>TND-XTA-018</v>
      </c>
      <c r="B2963" s="1090" t="str">
        <f>IFERROR(__xludf.DUMMYFUNCTION("""COMPUTED_VALUE"""),"Xe ben 15 tấn")</f>
        <v>Xe ben 15 tấn</v>
      </c>
      <c r="C2963" s="177" t="str">
        <f>IFERROR(__xludf.DUMMYFUNCTION("""COMPUTED_VALUE"""),"CGTC DP")</f>
        <v>CGTC DP</v>
      </c>
      <c r="D2963" s="177" t="str">
        <f>IFERROR(__xludf.DUMMYFUNCTION("""COMPUTED_VALUE"""),"HINO")</f>
        <v>HINO</v>
      </c>
      <c r="E2963" s="177"/>
      <c r="F2963" s="177"/>
      <c r="G2963" s="177"/>
      <c r="H2963" s="177" t="str">
        <f>IFERROR(__xludf.DUMMYFUNCTION("""COMPUTED_VALUE"""),"310HP")</f>
        <v>310HP</v>
      </c>
      <c r="I2963" s="177" t="str">
        <f>IFERROR(__xludf.DUMMYFUNCTION("""COMPUTED_VALUE"""),"15TDE000896")</f>
        <v>15TDE000896</v>
      </c>
      <c r="J2963" s="177" t="str">
        <f>IFERROR(__xludf.DUMMYFUNCTION("""COMPUTED_VALUE"""),"HINOSH4FDC11515")</f>
        <v>HINOSH4FDC11515</v>
      </c>
      <c r="K2963" s="177"/>
      <c r="L2963" s="177" t="str">
        <f>IFERROR(__xludf.DUMMYFUNCTION("""COMPUTED_VALUE"""),"-")</f>
        <v>-</v>
      </c>
    </row>
    <row r="2964" customHeight="1" spans="1:12">
      <c r="A2964" s="177" t="str">
        <f>IFERROR(__xludf.DUMMYFUNCTION("""COMPUTED_VALUE"""),"TND-XTA-019")</f>
        <v>TND-XTA-019</v>
      </c>
      <c r="B2964" s="1090" t="str">
        <f>IFERROR(__xludf.DUMMYFUNCTION("""COMPUTED_VALUE"""),"Xe ben 15 tấn")</f>
        <v>Xe ben 15 tấn</v>
      </c>
      <c r="C2964" s="177" t="str">
        <f>IFERROR(__xludf.DUMMYFUNCTION("""COMPUTED_VALUE"""),"CGTC DP")</f>
        <v>CGTC DP</v>
      </c>
      <c r="D2964" s="177" t="str">
        <f>IFERROR(__xludf.DUMMYFUNCTION("""COMPUTED_VALUE"""),"FUSO")</f>
        <v>FUSO</v>
      </c>
      <c r="E2964" s="177"/>
      <c r="F2964" s="177"/>
      <c r="G2964" s="177"/>
      <c r="H2964" s="177" t="str">
        <f>IFERROR(__xludf.DUMMYFUNCTION("""COMPUTED_VALUE"""),"310HP")</f>
        <v>310HP</v>
      </c>
      <c r="I2964" s="177" t="str">
        <f>IFERROR(__xludf.DUMMYFUNCTION("""COMPUTED_VALUE"""),"KMJFDG18UPRU104091")</f>
        <v>KMJFDG18UPRU104091</v>
      </c>
      <c r="J2964" s="177" t="str">
        <f>IFERROR(__xludf.DUMMYFUNCTION("""COMPUTED_VALUE"""),"D8AYS146344")</f>
        <v>D8AYS146344</v>
      </c>
      <c r="K2964" s="177"/>
      <c r="L2964" s="177" t="str">
        <f>IFERROR(__xludf.DUMMYFUNCTION("""COMPUTED_VALUE"""),"-")</f>
        <v>-</v>
      </c>
    </row>
    <row r="2965" customHeight="1" spans="1:12">
      <c r="A2965" s="177" t="str">
        <f>IFERROR(__xludf.DUMMYFUNCTION("""COMPUTED_VALUE"""),"TND-XTA-020")</f>
        <v>TND-XTA-020</v>
      </c>
      <c r="B2965" s="1090" t="str">
        <f>IFERROR(__xludf.DUMMYFUNCTION("""COMPUTED_VALUE"""),"Xe ben 15 tấn")</f>
        <v>Xe ben 15 tấn</v>
      </c>
      <c r="C2965" s="177" t="str">
        <f>IFERROR(__xludf.DUMMYFUNCTION("""COMPUTED_VALUE"""),"CGTC DP")</f>
        <v>CGTC DP</v>
      </c>
      <c r="D2965" s="177" t="str">
        <f>IFERROR(__xludf.DUMMYFUNCTION("""COMPUTED_VALUE"""),"HINO")</f>
        <v>HINO</v>
      </c>
      <c r="E2965" s="177"/>
      <c r="F2965" s="177"/>
      <c r="G2965" s="177"/>
      <c r="H2965" s="177" t="str">
        <f>IFERROR(__xludf.DUMMYFUNCTION("""COMPUTED_VALUE"""),"310HP")</f>
        <v>310HP</v>
      </c>
      <c r="I2965" s="177" t="str">
        <f>IFERROR(__xludf.DUMMYFUNCTION("""COMPUTED_VALUE"""),"FS2FKB13438")</f>
        <v>FS2FKB13438</v>
      </c>
      <c r="J2965" s="177"/>
      <c r="K2965" s="177"/>
      <c r="L2965" s="177" t="str">
        <f>IFERROR(__xludf.DUMMYFUNCTION("""COMPUTED_VALUE"""),"-")</f>
        <v>-</v>
      </c>
    </row>
    <row r="2966" customHeight="1" spans="1:12">
      <c r="A2966" s="177" t="str">
        <f>IFERROR(__xludf.DUMMYFUNCTION("""COMPUTED_VALUE"""),"TND-XTA-021")</f>
        <v>TND-XTA-021</v>
      </c>
      <c r="B2966" s="1090" t="str">
        <f>IFERROR(__xludf.DUMMYFUNCTION("""COMPUTED_VALUE"""),"Xe ben 15 tấn")</f>
        <v>Xe ben 15 tấn</v>
      </c>
      <c r="C2966" s="177" t="str">
        <f>IFERROR(__xludf.DUMMYFUNCTION("""COMPUTED_VALUE"""),"CGTC DP")</f>
        <v>CGTC DP</v>
      </c>
      <c r="D2966" s="177" t="str">
        <f>IFERROR(__xludf.DUMMYFUNCTION("""COMPUTED_VALUE"""),"HINO")</f>
        <v>HINO</v>
      </c>
      <c r="E2966" s="177"/>
      <c r="F2966" s="177">
        <f>IFERROR(__xludf.DUMMYFUNCTION("""COMPUTED_VALUE"""),1994)</f>
        <v>1994</v>
      </c>
      <c r="G2966" s="177"/>
      <c r="H2966" s="177" t="str">
        <f>IFERROR(__xludf.DUMMYFUNCTION("""COMPUTED_VALUE"""),"310HP")</f>
        <v>310HP</v>
      </c>
      <c r="I2966" s="177" t="str">
        <f>IFERROR(__xludf.DUMMYFUNCTION("""COMPUTED_VALUE"""),"13217")</f>
        <v>13217</v>
      </c>
      <c r="J2966" s="177"/>
      <c r="K2966" s="177"/>
      <c r="L2966" s="177" t="str">
        <f>IFERROR(__xludf.DUMMYFUNCTION("""COMPUTED_VALUE"""),"-")</f>
        <v>-</v>
      </c>
    </row>
    <row r="2967" customHeight="1" spans="1:12">
      <c r="A2967" s="177" t="str">
        <f>IFERROR(__xludf.DUMMYFUNCTION("""COMPUTED_VALUE"""),"TND-XTA-022")</f>
        <v>TND-XTA-022</v>
      </c>
      <c r="B2967" s="1090" t="str">
        <f>IFERROR(__xludf.DUMMYFUNCTION("""COMPUTED_VALUE"""),"Xe ben 15 tấn")</f>
        <v>Xe ben 15 tấn</v>
      </c>
      <c r="C2967" s="177" t="str">
        <f>IFERROR(__xludf.DUMMYFUNCTION("""COMPUTED_VALUE"""),"XN Chuối DP1")</f>
        <v>XN Chuối DP1</v>
      </c>
      <c r="D2967" s="177" t="str">
        <f>IFERROR(__xludf.DUMMYFUNCTION("""COMPUTED_VALUE"""),"HINO")</f>
        <v>HINO</v>
      </c>
      <c r="E2967" s="177"/>
      <c r="F2967" s="177">
        <f>IFERROR(__xludf.DUMMYFUNCTION("""COMPUTED_VALUE"""),1991)</f>
        <v>1991</v>
      </c>
      <c r="G2967" s="177" t="str">
        <f>IFERROR(__xludf.DUMMYFUNCTION("""COMPUTED_VALUE"""),"FR2P2H")</f>
        <v>FR2P2H</v>
      </c>
      <c r="H2967" s="177" t="str">
        <f>IFERROR(__xludf.DUMMYFUNCTION("""COMPUTED_VALUE"""),"310HP")</f>
        <v>310HP</v>
      </c>
      <c r="I2967" s="177" t="str">
        <f>IFERROR(__xludf.DUMMYFUNCTION("""COMPUTED_VALUE"""),"FS3FXA13425")</f>
        <v>FS3FXA13425</v>
      </c>
      <c r="J2967" s="177" t="str">
        <f>IFERROR(__xludf.DUMMYFUNCTION("""COMPUTED_VALUE"""),"F20CA16817")</f>
        <v>F20CA16817</v>
      </c>
      <c r="K2967" s="177">
        <f>IFERROR(__xludf.DUMMYFUNCTION("""COMPUTED_VALUE"""),9.5)</f>
        <v>9.5</v>
      </c>
      <c r="L2967" s="177" t="str">
        <f>IFERROR(__xludf.DUMMYFUNCTION("""COMPUTED_VALUE"""),"-")</f>
        <v>-</v>
      </c>
    </row>
    <row r="2968" customHeight="1" spans="1:12">
      <c r="A2968" s="177" t="str">
        <f>IFERROR(__xludf.DUMMYFUNCTION("""COMPUTED_VALUE"""),"TND-XTA-023")</f>
        <v>TND-XTA-023</v>
      </c>
      <c r="B2968" s="1090" t="str">
        <f>IFERROR(__xludf.DUMMYFUNCTION("""COMPUTED_VALUE"""),"Xe ben 15 tấn")</f>
        <v>Xe ben 15 tấn</v>
      </c>
      <c r="C2968" s="177" t="str">
        <f>IFERROR(__xludf.DUMMYFUNCTION("""COMPUTED_VALUE"""),"XN Chuối DP1")</f>
        <v>XN Chuối DP1</v>
      </c>
      <c r="D2968" s="177" t="str">
        <f>IFERROR(__xludf.DUMMYFUNCTION("""COMPUTED_VALUE"""),"HINO")</f>
        <v>HINO</v>
      </c>
      <c r="E2968" s="177"/>
      <c r="F2968" s="177">
        <f>IFERROR(__xludf.DUMMYFUNCTION("""COMPUTED_VALUE"""),1996)</f>
        <v>1996</v>
      </c>
      <c r="G2968" s="177"/>
      <c r="H2968" s="177" t="str">
        <f>IFERROR(__xludf.DUMMYFUNCTION("""COMPUTED_VALUE"""),"310HP")</f>
        <v>310HP</v>
      </c>
      <c r="I2968" s="177" t="str">
        <f>IFERROR(__xludf.DUMMYFUNCTION("""COMPUTED_VALUE"""),"15TBE001652")</f>
        <v>15TBE001652</v>
      </c>
      <c r="J2968" s="177" t="str">
        <f>IFERROR(__xludf.DUMMYFUNCTION("""COMPUTED_VALUE"""),"EF75007754")</f>
        <v>EF75007754</v>
      </c>
      <c r="K2968" s="177">
        <f>IFERROR(__xludf.DUMMYFUNCTION("""COMPUTED_VALUE"""),9.5)</f>
        <v>9.5</v>
      </c>
      <c r="L2968" s="177" t="str">
        <f>IFERROR(__xludf.DUMMYFUNCTION("""COMPUTED_VALUE"""),"-")</f>
        <v>-</v>
      </c>
    </row>
    <row r="2969" customHeight="1" spans="1:12">
      <c r="A2969" s="177" t="str">
        <f>IFERROR(__xludf.DUMMYFUNCTION("""COMPUTED_VALUE"""),"TND-XTA-024")</f>
        <v>TND-XTA-024</v>
      </c>
      <c r="B2969" s="1090" t="str">
        <f>IFERROR(__xludf.DUMMYFUNCTION("""COMPUTED_VALUE"""),"Xe ben 15 tấn")</f>
        <v>Xe ben 15 tấn</v>
      </c>
      <c r="C2969" s="177" t="str">
        <f>IFERROR(__xludf.DUMMYFUNCTION("""COMPUTED_VALUE"""),"CGTC DP")</f>
        <v>CGTC DP</v>
      </c>
      <c r="D2969" s="177" t="str">
        <f>IFERROR(__xludf.DUMMYFUNCTION("""COMPUTED_VALUE"""),"HYUNDAI")</f>
        <v>HYUNDAI</v>
      </c>
      <c r="E2969" s="177"/>
      <c r="F2969" s="177">
        <f>IFERROR(__xludf.DUMMYFUNCTION("""COMPUTED_VALUE"""),1997)</f>
        <v>1997</v>
      </c>
      <c r="G2969" s="177" t="str">
        <f>IFERROR(__xludf.DUMMYFUNCTION("""COMPUTED_VALUE"""),"DUMPTRUCK")</f>
        <v>DUMPTRUCK</v>
      </c>
      <c r="H2969" s="177" t="str">
        <f>IFERROR(__xludf.DUMMYFUNCTION("""COMPUTED_VALUE"""),"320HP")</f>
        <v>320HP</v>
      </c>
      <c r="I2969" s="177" t="str">
        <f>IFERROR(__xludf.DUMMYFUNCTION("""COMPUTED_VALUE"""),"KMCDB19BPVC104787")</f>
        <v>KMCDB19BPVC104787</v>
      </c>
      <c r="J2969" s="177" t="str">
        <f>IFERROR(__xludf.DUMMYFUNCTION("""COMPUTED_VALUE"""),"KMCDB19BPVC104787")</f>
        <v>KMCDB19BPVC104787</v>
      </c>
      <c r="K2969" s="177">
        <f>IFERROR(__xludf.DUMMYFUNCTION("""COMPUTED_VALUE"""),8)</f>
        <v>8</v>
      </c>
      <c r="L2969" s="177" t="str">
        <f>IFERROR(__xludf.DUMMYFUNCTION("""COMPUTED_VALUE"""),"-")</f>
        <v>-</v>
      </c>
    </row>
    <row r="2970" customHeight="1" spans="1:12">
      <c r="A2970" s="177" t="str">
        <f>IFERROR(__xludf.DUMMYFUNCTION("""COMPUTED_VALUE"""),"TND-XTA-025")</f>
        <v>TND-XTA-025</v>
      </c>
      <c r="B2970" s="1090" t="str">
        <f>IFERROR(__xludf.DUMMYFUNCTION("""COMPUTED_VALUE"""),"Xe ben 15 tấn")</f>
        <v>Xe ben 15 tấn</v>
      </c>
      <c r="C2970" s="177" t="str">
        <f>IFERROR(__xludf.DUMMYFUNCTION("""COMPUTED_VALUE"""),"CGTC DP")</f>
        <v>CGTC DP</v>
      </c>
      <c r="D2970" s="177" t="str">
        <f>IFERROR(__xludf.DUMMYFUNCTION("""COMPUTED_VALUE"""),"HYUNDAI")</f>
        <v>HYUNDAI</v>
      </c>
      <c r="E2970" s="177"/>
      <c r="F2970" s="177">
        <f>IFERROR(__xludf.DUMMYFUNCTION("""COMPUTED_VALUE"""),1997)</f>
        <v>1997</v>
      </c>
      <c r="G2970" s="177" t="str">
        <f>IFERROR(__xludf.DUMMYFUNCTION("""COMPUTED_VALUE"""),"DUMPTRUCK")</f>
        <v>DUMPTRUCK</v>
      </c>
      <c r="H2970" s="177" t="str">
        <f>IFERROR(__xludf.DUMMYFUNCTION("""COMPUTED_VALUE"""),"320HP")</f>
        <v>320HP</v>
      </c>
      <c r="I2970" s="177" t="str">
        <f>IFERROR(__xludf.DUMMYFUNCTION("""COMPUTED_VALUE"""),"KMCDB19BPVC104887")</f>
        <v>KMCDB19BPVC104887</v>
      </c>
      <c r="J2970" s="177" t="str">
        <f>IFERROR(__xludf.DUMMYFUNCTION("""COMPUTED_VALUE"""),"KMCDB19BPVC104887")</f>
        <v>KMCDB19BPVC104887</v>
      </c>
      <c r="K2970" s="177">
        <f>IFERROR(__xludf.DUMMYFUNCTION("""COMPUTED_VALUE"""),8)</f>
        <v>8</v>
      </c>
      <c r="L2970" s="177" t="str">
        <f>IFERROR(__xludf.DUMMYFUNCTION("""COMPUTED_VALUE"""),"-")</f>
        <v>-</v>
      </c>
    </row>
    <row r="2971" customHeight="1" spans="1:12">
      <c r="A2971" s="177" t="str">
        <f>IFERROR(__xludf.DUMMYFUNCTION("""COMPUTED_VALUE"""),"TND-XTA-026")</f>
        <v>TND-XTA-026</v>
      </c>
      <c r="B2971" s="1090" t="str">
        <f>IFERROR(__xludf.DUMMYFUNCTION("""COMPUTED_VALUE"""),"Xe ben 15 tấn")</f>
        <v>Xe ben 15 tấn</v>
      </c>
      <c r="C2971" s="177" t="str">
        <f>IFERROR(__xludf.DUMMYFUNCTION("""COMPUTED_VALUE"""),"CGTC DP")</f>
        <v>CGTC DP</v>
      </c>
      <c r="D2971" s="177" t="str">
        <f>IFERROR(__xludf.DUMMYFUNCTION("""COMPUTED_VALUE"""),"HYUNDAI")</f>
        <v>HYUNDAI</v>
      </c>
      <c r="E2971" s="177"/>
      <c r="F2971" s="177">
        <f>IFERROR(__xludf.DUMMYFUNCTION("""COMPUTED_VALUE"""),1997)</f>
        <v>1997</v>
      </c>
      <c r="G2971" s="177" t="str">
        <f>IFERROR(__xludf.DUMMYFUNCTION("""COMPUTED_VALUE"""),"DUMPTRUCK")</f>
        <v>DUMPTRUCK</v>
      </c>
      <c r="H2971" s="177" t="str">
        <f>IFERROR(__xludf.DUMMYFUNCTION("""COMPUTED_VALUE"""),"320HP")</f>
        <v>320HP</v>
      </c>
      <c r="I2971" s="177" t="str">
        <f>IFERROR(__xludf.DUMMYFUNCTION("""COMPUTED_VALUE"""),"KMCDB19BPVC104784")</f>
        <v>KMCDB19BPVC104784</v>
      </c>
      <c r="J2971" s="177" t="str">
        <f>IFERROR(__xludf.DUMMYFUNCTION("""COMPUTED_VALUE"""),"KMCDB19BPVC104784")</f>
        <v>KMCDB19BPVC104784</v>
      </c>
      <c r="K2971" s="177">
        <f>IFERROR(__xludf.DUMMYFUNCTION("""COMPUTED_VALUE"""),8)</f>
        <v>8</v>
      </c>
      <c r="L2971" s="177" t="str">
        <f>IFERROR(__xludf.DUMMYFUNCTION("""COMPUTED_VALUE"""),"-")</f>
        <v>-</v>
      </c>
    </row>
    <row r="2972" customHeight="1" spans="1:12">
      <c r="A2972" s="177" t="str">
        <f>IFERROR(__xludf.DUMMYFUNCTION("""COMPUTED_VALUE"""),"TND-XTA-027")</f>
        <v>TND-XTA-027</v>
      </c>
      <c r="B2972" s="1090" t="str">
        <f>IFERROR(__xludf.DUMMYFUNCTION("""COMPUTED_VALUE"""),"Xe ben 25 tấn")</f>
        <v>Xe ben 25 tấn</v>
      </c>
      <c r="C2972" s="177" t="str">
        <f>IFERROR(__xludf.DUMMYFUNCTION("""COMPUTED_VALUE"""),"CGTC DP")</f>
        <v>CGTC DP</v>
      </c>
      <c r="D2972" s="177" t="str">
        <f>IFERROR(__xludf.DUMMYFUNCTION("""COMPUTED_VALUE"""),"HYUNDAI")</f>
        <v>HYUNDAI</v>
      </c>
      <c r="E2972" s="177"/>
      <c r="F2972" s="177">
        <f>IFERROR(__xludf.DUMMYFUNCTION("""COMPUTED_VALUE"""),2004)</f>
        <v>2004</v>
      </c>
      <c r="G2972" s="177"/>
      <c r="H2972" s="177" t="str">
        <f>IFERROR(__xludf.DUMMYFUNCTION("""COMPUTED_VALUE"""),"380HP")</f>
        <v>380HP</v>
      </c>
      <c r="I2972" s="177" t="str">
        <f>IFERROR(__xludf.DUMMYFUNCTION("""COMPUTED_VALUE"""),"KMCPB18SP4C034660")</f>
        <v>KMCPB18SP4C034660</v>
      </c>
      <c r="J2972" s="177" t="str">
        <f>IFERROR(__xludf.DUMMYFUNCTION("""COMPUTED_VALUE"""),"D6CA4090750")</f>
        <v>D6CA4090750</v>
      </c>
      <c r="K2972" s="177">
        <f>IFERROR(__xludf.DUMMYFUNCTION("""COMPUTED_VALUE"""),16.7)</f>
        <v>16.7</v>
      </c>
      <c r="L2972" s="177" t="str">
        <f>IFERROR(__xludf.DUMMYFUNCTION("""COMPUTED_VALUE"""),"-")</f>
        <v>-</v>
      </c>
    </row>
    <row r="2973" customHeight="1" spans="1:12">
      <c r="A2973" s="177" t="str">
        <f>IFERROR(__xludf.DUMMYFUNCTION("""COMPUTED_VALUE"""),"TND-XTA-028")</f>
        <v>TND-XTA-028</v>
      </c>
      <c r="B2973" s="1090" t="str">
        <f>IFERROR(__xludf.DUMMYFUNCTION("""COMPUTED_VALUE"""),"Xe ben 25 tấn")</f>
        <v>Xe ben 25 tấn</v>
      </c>
      <c r="C2973" s="177" t="str">
        <f>IFERROR(__xludf.DUMMYFUNCTION("""COMPUTED_VALUE"""),"CGTC DP")</f>
        <v>CGTC DP</v>
      </c>
      <c r="D2973" s="177" t="str">
        <f>IFERROR(__xludf.DUMMYFUNCTION("""COMPUTED_VALUE"""),"HYUNDAI")</f>
        <v>HYUNDAI</v>
      </c>
      <c r="E2973" s="177"/>
      <c r="F2973" s="177">
        <f>IFERROR(__xludf.DUMMYFUNCTION("""COMPUTED_VALUE"""),2000)</f>
        <v>2000</v>
      </c>
      <c r="G2973" s="177"/>
      <c r="H2973" s="177" t="str">
        <f>IFERROR(__xludf.DUMMYFUNCTION("""COMPUTED_VALUE"""),"355HP")</f>
        <v>355HP</v>
      </c>
      <c r="I2973" s="177" t="str">
        <f>IFERROR(__xludf.DUMMYFUNCTION("""COMPUTED_VALUE"""),"KMCPB18PY006995")</f>
        <v>KMCPB18PY006995</v>
      </c>
      <c r="J2973" s="177" t="str">
        <f>IFERROR(__xludf.DUMMYFUNCTION("""COMPUTED_VALUE"""),"D8YY034966")</f>
        <v>D8YY034966</v>
      </c>
      <c r="K2973" s="177">
        <f>IFERROR(__xludf.DUMMYFUNCTION("""COMPUTED_VALUE"""),16)</f>
        <v>16</v>
      </c>
      <c r="L2973" s="177" t="str">
        <f>IFERROR(__xludf.DUMMYFUNCTION("""COMPUTED_VALUE"""),"-")</f>
        <v>-</v>
      </c>
    </row>
    <row r="2974" customHeight="1" spans="1:12">
      <c r="A2974" s="177" t="str">
        <f>IFERROR(__xludf.DUMMYFUNCTION("""COMPUTED_VALUE"""),"TND-XTA-029")</f>
        <v>TND-XTA-029</v>
      </c>
      <c r="B2974" s="1090" t="str">
        <f>IFERROR(__xludf.DUMMYFUNCTION("""COMPUTED_VALUE"""),"Xe ben 25 tấn")</f>
        <v>Xe ben 25 tấn</v>
      </c>
      <c r="C2974" s="177" t="str">
        <f>IFERROR(__xludf.DUMMYFUNCTION("""COMPUTED_VALUE"""),"CGTC DP")</f>
        <v>CGTC DP</v>
      </c>
      <c r="D2974" s="177" t="str">
        <f>IFERROR(__xludf.DUMMYFUNCTION("""COMPUTED_VALUE"""),"HYUNDAI")</f>
        <v>HYUNDAI</v>
      </c>
      <c r="E2974" s="177"/>
      <c r="F2974" s="177">
        <f>IFERROR(__xludf.DUMMYFUNCTION("""COMPUTED_VALUE"""),1997)</f>
        <v>1997</v>
      </c>
      <c r="G2974" s="177"/>
      <c r="H2974" s="177" t="str">
        <f>IFERROR(__xludf.DUMMYFUNCTION("""COMPUTED_VALUE"""),"280HP")</f>
        <v>280HP</v>
      </c>
      <c r="I2974" s="177" t="str">
        <f>IFERROR(__xludf.DUMMYFUNCTION("""COMPUTED_VALUE"""),"KMCPB18SXPVC000363")</f>
        <v>KMCPB18SXPVC000363</v>
      </c>
      <c r="J2974" s="177" t="str">
        <f>IFERROR(__xludf.DUMMYFUNCTION("""COMPUTED_VALUE"""),"D8YY023750")</f>
        <v>D8YY023750</v>
      </c>
      <c r="K2974" s="177">
        <f>IFERROR(__xludf.DUMMYFUNCTION("""COMPUTED_VALUE"""),16.2)</f>
        <v>16.2</v>
      </c>
      <c r="L2974" s="177" t="str">
        <f>IFERROR(__xludf.DUMMYFUNCTION("""COMPUTED_VALUE"""),"-")</f>
        <v>-</v>
      </c>
    </row>
    <row r="2975" customHeight="1" spans="1:12">
      <c r="A2975" s="177" t="str">
        <f>IFERROR(__xludf.DUMMYFUNCTION("""COMPUTED_VALUE"""),"TND-XTA-030")</f>
        <v>TND-XTA-030</v>
      </c>
      <c r="B2975" s="1090" t="str">
        <f>IFERROR(__xludf.DUMMYFUNCTION("""COMPUTED_VALUE"""),"Xe ben 25 tấn")</f>
        <v>Xe ben 25 tấn</v>
      </c>
      <c r="C2975" s="177" t="str">
        <f>IFERROR(__xludf.DUMMYFUNCTION("""COMPUTED_VALUE"""),"CGTC DP")</f>
        <v>CGTC DP</v>
      </c>
      <c r="D2975" s="177" t="str">
        <f>IFERROR(__xludf.DUMMYFUNCTION("""COMPUTED_VALUE"""),"HYUNDAI")</f>
        <v>HYUNDAI</v>
      </c>
      <c r="E2975" s="177"/>
      <c r="F2975" s="177">
        <f>IFERROR(__xludf.DUMMYFUNCTION("""COMPUTED_VALUE"""),2003)</f>
        <v>2003</v>
      </c>
      <c r="G2975" s="177"/>
      <c r="H2975" s="177" t="str">
        <f>IFERROR(__xludf.DUMMYFUNCTION("""COMPUTED_VALUE"""),"380HP")</f>
        <v>380HP</v>
      </c>
      <c r="I2975" s="177" t="str">
        <f>IFERROR(__xludf.DUMMYFUNCTION("""COMPUTED_VALUE"""),"KMCPB18SP3C030443")</f>
        <v>KMCPB18SP3C030443</v>
      </c>
      <c r="J2975" s="177" t="str">
        <f>IFERROR(__xludf.DUMMYFUNCTION("""COMPUTED_VALUE"""),"D6CA3082884")</f>
        <v>D6CA3082884</v>
      </c>
      <c r="K2975" s="177">
        <f>IFERROR(__xludf.DUMMYFUNCTION("""COMPUTED_VALUE"""),16.7)</f>
        <v>16.7</v>
      </c>
      <c r="L2975" s="177" t="str">
        <f>IFERROR(__xludf.DUMMYFUNCTION("""COMPUTED_VALUE"""),"-")</f>
        <v>-</v>
      </c>
    </row>
    <row r="2976" customHeight="1" spans="1:12">
      <c r="A2976" s="177" t="str">
        <f>IFERROR(__xludf.DUMMYFUNCTION("""COMPUTED_VALUE"""),"TND-XTA-031")</f>
        <v>TND-XTA-031</v>
      </c>
      <c r="B2976" s="1090" t="str">
        <f>IFERROR(__xludf.DUMMYFUNCTION("""COMPUTED_VALUE"""),"Xe ben 25 tấn")</f>
        <v>Xe ben 25 tấn</v>
      </c>
      <c r="C2976" s="177" t="str">
        <f>IFERROR(__xludf.DUMMYFUNCTION("""COMPUTED_VALUE"""),"CGTC DP")</f>
        <v>CGTC DP</v>
      </c>
      <c r="D2976" s="177" t="str">
        <f>IFERROR(__xludf.DUMMYFUNCTION("""COMPUTED_VALUE"""),"DAEWOO")</f>
        <v>DAEWOO</v>
      </c>
      <c r="E2976" s="177" t="str">
        <f>IFERROR(__xludf.DUMMYFUNCTION("""COMPUTED_VALUE"""),"HÀN QUỐC ")</f>
        <v>HÀN QUỐC </v>
      </c>
      <c r="F2976" s="177">
        <f>IFERROR(__xludf.DUMMYFUNCTION("""COMPUTED_VALUE"""),2008)</f>
        <v>2008</v>
      </c>
      <c r="G2976" s="177"/>
      <c r="H2976" s="177" t="str">
        <f>IFERROR(__xludf.DUMMYFUNCTION("""COMPUTED_VALUE"""),"380HP")</f>
        <v>380HP</v>
      </c>
      <c r="I2976" s="177" t="str">
        <f>IFERROR(__xludf.DUMMYFUNCTION("""COMPUTED_VALUE"""),"KL3N8ENF18K000826")</f>
        <v>KL3N8ENF18K000826</v>
      </c>
      <c r="J2976" s="177" t="str">
        <f>IFERROR(__xludf.DUMMYFUNCTION("""COMPUTED_VALUE"""),"5200771ISM")</f>
        <v>5200771ISM</v>
      </c>
      <c r="K2976" s="177">
        <f>IFERROR(__xludf.DUMMYFUNCTION("""COMPUTED_VALUE"""),14)</f>
        <v>14</v>
      </c>
      <c r="L2976" s="177" t="str">
        <f>IFERROR(__xludf.DUMMYFUNCTION("""COMPUTED_VALUE"""),"-")</f>
        <v>-</v>
      </c>
    </row>
    <row r="2977" customHeight="1" spans="1:12">
      <c r="A2977" s="177" t="str">
        <f>IFERROR(__xludf.DUMMYFUNCTION("""COMPUTED_VALUE"""),"TND-XTA-032")</f>
        <v>TND-XTA-032</v>
      </c>
      <c r="B2977" s="1090" t="str">
        <f>IFERROR(__xludf.DUMMYFUNCTION("""COMPUTED_VALUE"""),"Xe ben 25 tấn")</f>
        <v>Xe ben 25 tấn</v>
      </c>
      <c r="C2977" s="177" t="str">
        <f>IFERROR(__xludf.DUMMYFUNCTION("""COMPUTED_VALUE"""),"CGTC DP")</f>
        <v>CGTC DP</v>
      </c>
      <c r="D2977" s="177" t="str">
        <f>IFERROR(__xludf.DUMMYFUNCTION("""COMPUTED_VALUE"""),"DAEWOO")</f>
        <v>DAEWOO</v>
      </c>
      <c r="E2977" s="177" t="str">
        <f>IFERROR(__xludf.DUMMYFUNCTION("""COMPUTED_VALUE"""),"HÀN QUỐC ")</f>
        <v>HÀN QUỐC </v>
      </c>
      <c r="F2977" s="177">
        <f>IFERROR(__xludf.DUMMYFUNCTION("""COMPUTED_VALUE"""),2008)</f>
        <v>2008</v>
      </c>
      <c r="G2977" s="177"/>
      <c r="H2977" s="177" t="str">
        <f>IFERROR(__xludf.DUMMYFUNCTION("""COMPUTED_VALUE"""),"380HP")</f>
        <v>380HP</v>
      </c>
      <c r="I2977" s="177" t="str">
        <f>IFERROR(__xludf.DUMMYFUNCTION("""COMPUTED_VALUE"""),"KL3N8ENF18K000929")</f>
        <v>KL3N8ENF18K000929</v>
      </c>
      <c r="J2977" s="177" t="str">
        <f>IFERROR(__xludf.DUMMYFUNCTION("""COMPUTED_VALUE"""),"5204668ISM")</f>
        <v>5204668ISM</v>
      </c>
      <c r="K2977" s="177">
        <f>IFERROR(__xludf.DUMMYFUNCTION("""COMPUTED_VALUE"""),14)</f>
        <v>14</v>
      </c>
      <c r="L2977" s="177" t="str">
        <f>IFERROR(__xludf.DUMMYFUNCTION("""COMPUTED_VALUE"""),"-")</f>
        <v>-</v>
      </c>
    </row>
    <row r="2978" customHeight="1" spans="1:12">
      <c r="A2978" s="177" t="str">
        <f>IFERROR(__xludf.DUMMYFUNCTION("""COMPUTED_VALUE"""),"TND-XTA-033")</f>
        <v>TND-XTA-033</v>
      </c>
      <c r="B2978" s="1090" t="str">
        <f>IFERROR(__xludf.DUMMYFUNCTION("""COMPUTED_VALUE"""),"Xe ben 25 tấn")</f>
        <v>Xe ben 25 tấn</v>
      </c>
      <c r="C2978" s="177" t="str">
        <f>IFERROR(__xludf.DUMMYFUNCTION("""COMPUTED_VALUE"""),"CGTC DP")</f>
        <v>CGTC DP</v>
      </c>
      <c r="D2978" s="177" t="str">
        <f>IFERROR(__xludf.DUMMYFUNCTION("""COMPUTED_VALUE"""),"DAEWOO")</f>
        <v>DAEWOO</v>
      </c>
      <c r="E2978" s="177" t="str">
        <f>IFERROR(__xludf.DUMMYFUNCTION("""COMPUTED_VALUE"""),"HÀN QUỐC ")</f>
        <v>HÀN QUỐC </v>
      </c>
      <c r="F2978" s="177">
        <f>IFERROR(__xludf.DUMMYFUNCTION("""COMPUTED_VALUE"""),2008)</f>
        <v>2008</v>
      </c>
      <c r="G2978" s="177"/>
      <c r="H2978" s="177" t="str">
        <f>IFERROR(__xludf.DUMMYFUNCTION("""COMPUTED_VALUE"""),"340HP")</f>
        <v>340HP</v>
      </c>
      <c r="I2978" s="177" t="str">
        <f>IFERROR(__xludf.DUMMYFUNCTION("""COMPUTED_VALUE"""),"KL3N8ENF18K000799")</f>
        <v>KL3N8ENF18K000799</v>
      </c>
      <c r="J2978" s="177" t="str">
        <f>IFERROR(__xludf.DUMMYFUNCTION("""COMPUTED_VALUE"""),"35199676lSM")</f>
        <v>35199676lSM</v>
      </c>
      <c r="K2978" s="177">
        <f>IFERROR(__xludf.DUMMYFUNCTION("""COMPUTED_VALUE"""),14)</f>
        <v>14</v>
      </c>
      <c r="L2978" s="177" t="str">
        <f>IFERROR(__xludf.DUMMYFUNCTION("""COMPUTED_VALUE"""),"-")</f>
        <v>-</v>
      </c>
    </row>
    <row r="2979" customHeight="1" spans="1:12">
      <c r="A2979" s="177" t="str">
        <f>IFERROR(__xludf.DUMMYFUNCTION("""COMPUTED_VALUE"""),"TND-XTA-034")</f>
        <v>TND-XTA-034</v>
      </c>
      <c r="B2979" s="1090" t="str">
        <f>IFERROR(__xludf.DUMMYFUNCTION("""COMPUTED_VALUE"""),"Xe ben 25 tấn")</f>
        <v>Xe ben 25 tấn</v>
      </c>
      <c r="C2979" s="177" t="str">
        <f>IFERROR(__xludf.DUMMYFUNCTION("""COMPUTED_VALUE"""),"CGTC DP")</f>
        <v>CGTC DP</v>
      </c>
      <c r="D2979" s="177" t="str">
        <f>IFERROR(__xludf.DUMMYFUNCTION("""COMPUTED_VALUE"""),"DAEWOO")</f>
        <v>DAEWOO</v>
      </c>
      <c r="E2979" s="177" t="str">
        <f>IFERROR(__xludf.DUMMYFUNCTION("""COMPUTED_VALUE"""),"HÀN QUỐC ")</f>
        <v>HÀN QUỐC </v>
      </c>
      <c r="F2979" s="177">
        <f>IFERROR(__xludf.DUMMYFUNCTION("""COMPUTED_VALUE"""),2008)</f>
        <v>2008</v>
      </c>
      <c r="G2979" s="177"/>
      <c r="H2979" s="177" t="str">
        <f>IFERROR(__xludf.DUMMYFUNCTION("""COMPUTED_VALUE"""),"380HP")</f>
        <v>380HP</v>
      </c>
      <c r="I2979" s="177" t="str">
        <f>IFERROR(__xludf.DUMMYFUNCTION("""COMPUTED_VALUE"""),"KL3N8ENF17K000751")</f>
        <v>KL3N8ENF17K000751</v>
      </c>
      <c r="J2979" s="177" t="str">
        <f>IFERROR(__xludf.DUMMYFUNCTION("""COMPUTED_VALUE"""),"35196732ISM")</f>
        <v>35196732ISM</v>
      </c>
      <c r="K2979" s="177">
        <f>IFERROR(__xludf.DUMMYFUNCTION("""COMPUTED_VALUE"""),14)</f>
        <v>14</v>
      </c>
      <c r="L2979" s="177" t="str">
        <f>IFERROR(__xludf.DUMMYFUNCTION("""COMPUTED_VALUE"""),"-")</f>
        <v>-</v>
      </c>
    </row>
    <row r="2980" customHeight="1" spans="1:12">
      <c r="A2980" s="177" t="str">
        <f>IFERROR(__xludf.DUMMYFUNCTION("""COMPUTED_VALUE"""),"TND-XTA-035")</f>
        <v>TND-XTA-035</v>
      </c>
      <c r="B2980" s="1090" t="str">
        <f>IFERROR(__xludf.DUMMYFUNCTION("""COMPUTED_VALUE"""),"Xe ben 15 tấn")</f>
        <v>Xe ben 15 tấn</v>
      </c>
      <c r="C2980" s="177" t="str">
        <f>IFERROR(__xludf.DUMMYFUNCTION("""COMPUTED_VALUE"""),"CGTC DP")</f>
        <v>CGTC DP</v>
      </c>
      <c r="D2980" s="177" t="str">
        <f>IFERROR(__xludf.DUMMYFUNCTION("""COMPUTED_VALUE"""),"ASIA-GRANT")</f>
        <v>ASIA-GRANT</v>
      </c>
      <c r="E2980" s="177" t="str">
        <f>IFERROR(__xludf.DUMMYFUNCTION("""COMPUTED_VALUE"""),"HÀN QUỐC")</f>
        <v>HÀN QUỐC</v>
      </c>
      <c r="F2980" s="177">
        <f>IFERROR(__xludf.DUMMYFUNCTION("""COMPUTED_VALUE"""),2020)</f>
        <v>2020</v>
      </c>
      <c r="G2980" s="177" t="str">
        <f>IFERROR(__xludf.DUMMYFUNCTION("""COMPUTED_VALUE"""),"KOREA")</f>
        <v>KOREA</v>
      </c>
      <c r="H2980" s="177" t="str">
        <f>IFERROR(__xludf.DUMMYFUNCTION("""COMPUTED_VALUE"""),"340HP")</f>
        <v>340HP</v>
      </c>
      <c r="I2980" s="177" t="str">
        <f>IFERROR(__xludf.DUMMYFUNCTION("""COMPUTED_VALUE"""),"15TDF-00047")</f>
        <v>15TDF-00047</v>
      </c>
      <c r="J2980" s="177" t="str">
        <f>IFERROR(__xludf.DUMMYFUNCTION("""COMPUTED_VALUE"""),"F17E000062")</f>
        <v>F17E000062</v>
      </c>
      <c r="K2980" s="177">
        <f>IFERROR(__xludf.DUMMYFUNCTION("""COMPUTED_VALUE"""),8)</f>
        <v>8</v>
      </c>
      <c r="L2980" s="177" t="str">
        <f>IFERROR(__xludf.DUMMYFUNCTION("""COMPUTED_VALUE"""),"-")</f>
        <v>-</v>
      </c>
    </row>
    <row r="2981" customHeight="1" spans="1:12">
      <c r="A2981" s="177" t="str">
        <f>IFERROR(__xludf.DUMMYFUNCTION("""COMPUTED_VALUE"""),"TND-XTA-036")</f>
        <v>TND-XTA-036</v>
      </c>
      <c r="B2981" s="1090" t="str">
        <f>IFERROR(__xludf.DUMMYFUNCTION("""COMPUTED_VALUE"""),"Xe ben 15 tấn")</f>
        <v>Xe ben 15 tấn</v>
      </c>
      <c r="C2981" s="177" t="str">
        <f>IFERROR(__xludf.DUMMYFUNCTION("""COMPUTED_VALUE"""),"CGTC DP")</f>
        <v>CGTC DP</v>
      </c>
      <c r="D2981" s="177" t="str">
        <f>IFERROR(__xludf.DUMMYFUNCTION("""COMPUTED_VALUE"""),"HYUNDAI")</f>
        <v>HYUNDAI</v>
      </c>
      <c r="E2981" s="177" t="str">
        <f>IFERROR(__xludf.DUMMYFUNCTION("""COMPUTED_VALUE"""),"HÀN QUỐC")</f>
        <v>HÀN QUỐC</v>
      </c>
      <c r="F2981" s="177">
        <f>IFERROR(__xludf.DUMMYFUNCTION("""COMPUTED_VALUE"""),2019)</f>
        <v>2019</v>
      </c>
      <c r="G2981" s="177" t="str">
        <f>IFERROR(__xludf.DUMMYFUNCTION("""COMPUTED_VALUE"""),"KOREA")</f>
        <v>KOREA</v>
      </c>
      <c r="H2981" s="177" t="str">
        <f>IFERROR(__xludf.DUMMYFUNCTION("""COMPUTED_VALUE"""),"320HP")</f>
        <v>320HP</v>
      </c>
      <c r="I2981" s="177" t="str">
        <f>IFERROR(__xludf.DUMMYFUNCTION("""COMPUTED_VALUE"""),"KMDB19YPRU-017598")</f>
        <v>KMDB19YPRU-017598</v>
      </c>
      <c r="J2981" s="177" t="str">
        <f>IFERROR(__xludf.DUMMYFUNCTION("""COMPUTED_VALUE"""),"DBAYY011740")</f>
        <v>DBAYY011740</v>
      </c>
      <c r="K2981" s="177">
        <f>IFERROR(__xludf.DUMMYFUNCTION("""COMPUTED_VALUE"""),8)</f>
        <v>8</v>
      </c>
      <c r="L2981" s="177" t="str">
        <f>IFERROR(__xludf.DUMMYFUNCTION("""COMPUTED_VALUE"""),"-")</f>
        <v>-</v>
      </c>
    </row>
    <row r="2982" customHeight="1" spans="1:12">
      <c r="A2982" s="177" t="str">
        <f>IFERROR(__xludf.DUMMYFUNCTION("""COMPUTED_VALUE"""),"TND-XTA-037")</f>
        <v>TND-XTA-037</v>
      </c>
      <c r="B2982" s="1090" t="str">
        <f>IFERROR(__xludf.DUMMYFUNCTION("""COMPUTED_VALUE"""),"Xe ben 15 tấn")</f>
        <v>Xe ben 15 tấn</v>
      </c>
      <c r="C2982" s="177" t="str">
        <f>IFERROR(__xludf.DUMMYFUNCTION("""COMPUTED_VALUE"""),"CGTC DP")</f>
        <v>CGTC DP</v>
      </c>
      <c r="D2982" s="177" t="str">
        <f>IFERROR(__xludf.DUMMYFUNCTION("""COMPUTED_VALUE"""),"HYUNDAI")</f>
        <v>HYUNDAI</v>
      </c>
      <c r="E2982" s="177" t="str">
        <f>IFERROR(__xludf.DUMMYFUNCTION("""COMPUTED_VALUE"""),"HÀN QUỐC")</f>
        <v>HÀN QUỐC</v>
      </c>
      <c r="F2982" s="177">
        <f>IFERROR(__xludf.DUMMYFUNCTION("""COMPUTED_VALUE"""),1996)</f>
        <v>1996</v>
      </c>
      <c r="G2982" s="177"/>
      <c r="H2982" s="177" t="str">
        <f>IFERROR(__xludf.DUMMYFUNCTION("""COMPUTED_VALUE"""),"380HP")</f>
        <v>380HP</v>
      </c>
      <c r="I2982" s="177" t="str">
        <f>IFERROR(__xludf.DUMMYFUNCTION("""COMPUTED_VALUE"""),"KMCDB18YBTC105775")</f>
        <v>KMCDB18YBTC105775</v>
      </c>
      <c r="J2982" s="177" t="str">
        <f>IFERROR(__xludf.DUMMYFUNCTION("""COMPUTED_VALUE"""),"003006")</f>
        <v>003006</v>
      </c>
      <c r="K2982" s="177">
        <f>IFERROR(__xludf.DUMMYFUNCTION("""COMPUTED_VALUE"""),8.5)</f>
        <v>8.5</v>
      </c>
      <c r="L2982" s="177" t="str">
        <f>IFERROR(__xludf.DUMMYFUNCTION("""COMPUTED_VALUE"""),"-")</f>
        <v>-</v>
      </c>
    </row>
    <row r="2983" customHeight="1" spans="1:12">
      <c r="A2983" s="177" t="str">
        <f>IFERROR(__xludf.DUMMYFUNCTION("""COMPUTED_VALUE"""),"TND-XTA-038")</f>
        <v>TND-XTA-038</v>
      </c>
      <c r="B2983" s="1090" t="str">
        <f>IFERROR(__xludf.DUMMYFUNCTION("""COMPUTED_VALUE"""),"Xe ben 15 tấn")</f>
        <v>Xe ben 15 tấn</v>
      </c>
      <c r="C2983" s="177" t="str">
        <f>IFERROR(__xludf.DUMMYFUNCTION("""COMPUTED_VALUE"""),"CGTC DP")</f>
        <v>CGTC DP</v>
      </c>
      <c r="D2983" s="177" t="str">
        <f>IFERROR(__xludf.DUMMYFUNCTION("""COMPUTED_VALUE"""),"HYUNDAI")</f>
        <v>HYUNDAI</v>
      </c>
      <c r="E2983" s="177" t="str">
        <f>IFERROR(__xludf.DUMMYFUNCTION("""COMPUTED_VALUE"""),"HÀN QUỐC")</f>
        <v>HÀN QUỐC</v>
      </c>
      <c r="F2983" s="177">
        <f>IFERROR(__xludf.DUMMYFUNCTION("""COMPUTED_VALUE"""),1995)</f>
        <v>1995</v>
      </c>
      <c r="G2983" s="177"/>
      <c r="H2983" s="177" t="str">
        <f>IFERROR(__xludf.DUMMYFUNCTION("""COMPUTED_VALUE"""),"320HP")</f>
        <v>320HP</v>
      </c>
      <c r="I2983" s="177" t="str">
        <f>IFERROR(__xludf.DUMMYFUNCTION("""COMPUTED_VALUE"""),"KMCDB18YPSU019432")</f>
        <v>KMCDB18YPSU019432</v>
      </c>
      <c r="J2983" s="177" t="str">
        <f>IFERROR(__xludf.DUMMYFUNCTION("""COMPUTED_VALUE"""),"132797")</f>
        <v>132797</v>
      </c>
      <c r="K2983" s="177">
        <f>IFERROR(__xludf.DUMMYFUNCTION("""COMPUTED_VALUE"""),8)</f>
        <v>8</v>
      </c>
      <c r="L2983" s="177" t="str">
        <f>IFERROR(__xludf.DUMMYFUNCTION("""COMPUTED_VALUE"""),"-")</f>
        <v>-</v>
      </c>
    </row>
    <row r="2984" customHeight="1" spans="1:12">
      <c r="A2984" s="177" t="str">
        <f>IFERROR(__xludf.DUMMYFUNCTION("""COMPUTED_VALUE"""),"TND-XTA-039")</f>
        <v>TND-XTA-039</v>
      </c>
      <c r="B2984" s="1090" t="str">
        <f>IFERROR(__xludf.DUMMYFUNCTION("""COMPUTED_VALUE"""),"Xe ben 15 tấn")</f>
        <v>Xe ben 15 tấn</v>
      </c>
      <c r="C2984" s="177" t="str">
        <f>IFERROR(__xludf.DUMMYFUNCTION("""COMPUTED_VALUE"""),"CGTC DP")</f>
        <v>CGTC DP</v>
      </c>
      <c r="D2984" s="177" t="str">
        <f>IFERROR(__xludf.DUMMYFUNCTION("""COMPUTED_VALUE"""),"HYUNDAI")</f>
        <v>HYUNDAI</v>
      </c>
      <c r="E2984" s="177" t="str">
        <f>IFERROR(__xludf.DUMMYFUNCTION("""COMPUTED_VALUE"""),"HÀN QUỐC")</f>
        <v>HÀN QUỐC</v>
      </c>
      <c r="F2984" s="177">
        <f>IFERROR(__xludf.DUMMYFUNCTION("""COMPUTED_VALUE"""),1997)</f>
        <v>1997</v>
      </c>
      <c r="G2984" s="177"/>
      <c r="H2984" s="177" t="str">
        <f>IFERROR(__xludf.DUMMYFUNCTION("""COMPUTED_VALUE"""),"320HP")</f>
        <v>320HP</v>
      </c>
      <c r="I2984" s="177" t="str">
        <f>IFERROR(__xludf.DUMMYFUNCTION("""COMPUTED_VALUE"""),"KMCDB19PVC104787")</f>
        <v>KMCDB19PVC104787</v>
      </c>
      <c r="J2984" s="177" t="str">
        <f>IFERROR(__xludf.DUMMYFUNCTION("""COMPUTED_VALUE"""),"NIL")</f>
        <v>NIL</v>
      </c>
      <c r="K2984" s="177">
        <f>IFERROR(__xludf.DUMMYFUNCTION("""COMPUTED_VALUE"""),7.4)</f>
        <v>7.4</v>
      </c>
      <c r="L2984" s="177" t="str">
        <f>IFERROR(__xludf.DUMMYFUNCTION("""COMPUTED_VALUE"""),"-")</f>
        <v>-</v>
      </c>
    </row>
    <row r="2985" customHeight="1" spans="1:12">
      <c r="A2985" s="177" t="str">
        <f>IFERROR(__xludf.DUMMYFUNCTION("""COMPUTED_VALUE"""),"TND-XTA-040")</f>
        <v>TND-XTA-040</v>
      </c>
      <c r="B2985" s="1090" t="str">
        <f>IFERROR(__xludf.DUMMYFUNCTION("""COMPUTED_VALUE"""),"Xe ben 15 tấn")</f>
        <v>Xe ben 15 tấn</v>
      </c>
      <c r="C2985" s="177" t="str">
        <f>IFERROR(__xludf.DUMMYFUNCTION("""COMPUTED_VALUE"""),"CGTC DP")</f>
        <v>CGTC DP</v>
      </c>
      <c r="D2985" s="177" t="str">
        <f>IFERROR(__xludf.DUMMYFUNCTION("""COMPUTED_VALUE"""),"HYUNDAI")</f>
        <v>HYUNDAI</v>
      </c>
      <c r="E2985" s="177" t="str">
        <f>IFERROR(__xludf.DUMMYFUNCTION("""COMPUTED_VALUE"""),"HÀN QUỐC")</f>
        <v>HÀN QUỐC</v>
      </c>
      <c r="F2985" s="177">
        <f>IFERROR(__xludf.DUMMYFUNCTION("""COMPUTED_VALUE"""),1997)</f>
        <v>1997</v>
      </c>
      <c r="G2985" s="177"/>
      <c r="H2985" s="177" t="str">
        <f>IFERROR(__xludf.DUMMYFUNCTION("""COMPUTED_VALUE"""),"320HP")</f>
        <v>320HP</v>
      </c>
      <c r="I2985" s="177" t="str">
        <f>IFERROR(__xludf.DUMMYFUNCTION("""COMPUTED_VALUE"""),"KMCDB19BPVC104887")</f>
        <v>KMCDB19BPVC104887</v>
      </c>
      <c r="J2985" s="177" t="str">
        <f>IFERROR(__xludf.DUMMYFUNCTION("""COMPUTED_VALUE"""),"-")</f>
        <v>-</v>
      </c>
      <c r="K2985" s="177">
        <f>IFERROR(__xludf.DUMMYFUNCTION("""COMPUTED_VALUE"""),7.4)</f>
        <v>7.4</v>
      </c>
      <c r="L2985" s="177" t="str">
        <f>IFERROR(__xludf.DUMMYFUNCTION("""COMPUTED_VALUE"""),"-")</f>
        <v>-</v>
      </c>
    </row>
    <row r="2986" customHeight="1" spans="1:12">
      <c r="A2986" s="177" t="str">
        <f>IFERROR(__xludf.DUMMYFUNCTION("""COMPUTED_VALUE"""),"TND-XTA-041")</f>
        <v>TND-XTA-041</v>
      </c>
      <c r="B2986" s="1090" t="str">
        <f>IFERROR(__xludf.DUMMYFUNCTION("""COMPUTED_VALUE"""),"Xe ben 15 tấn")</f>
        <v>Xe ben 15 tấn</v>
      </c>
      <c r="C2986" s="177" t="str">
        <f>IFERROR(__xludf.DUMMYFUNCTION("""COMPUTED_VALUE"""),"CGTC DP")</f>
        <v>CGTC DP</v>
      </c>
      <c r="D2986" s="177" t="str">
        <f>IFERROR(__xludf.DUMMYFUNCTION("""COMPUTED_VALUE"""),"HYUNDAI")</f>
        <v>HYUNDAI</v>
      </c>
      <c r="E2986" s="177" t="str">
        <f>IFERROR(__xludf.DUMMYFUNCTION("""COMPUTED_VALUE"""),"HÀN QUỐC")</f>
        <v>HÀN QUỐC</v>
      </c>
      <c r="F2986" s="177">
        <f>IFERROR(__xludf.DUMMYFUNCTION("""COMPUTED_VALUE"""),1997)</f>
        <v>1997</v>
      </c>
      <c r="G2986" s="177"/>
      <c r="H2986" s="177" t="str">
        <f>IFERROR(__xludf.DUMMYFUNCTION("""COMPUTED_VALUE"""),"320HP")</f>
        <v>320HP</v>
      </c>
      <c r="I2986" s="177" t="str">
        <f>IFERROR(__xludf.DUMMYFUNCTION("""COMPUTED_VALUE"""),"KMCDB19BPVC104784")</f>
        <v>KMCDB19BPVC104784</v>
      </c>
      <c r="J2986" s="177" t="str">
        <f>IFERROR(__xludf.DUMMYFUNCTION("""COMPUTED_VALUE"""),"--")</f>
        <v>--</v>
      </c>
      <c r="K2986" s="177">
        <f>IFERROR(__xludf.DUMMYFUNCTION("""COMPUTED_VALUE"""),7.4)</f>
        <v>7.4</v>
      </c>
      <c r="L2986" s="177" t="str">
        <f>IFERROR(__xludf.DUMMYFUNCTION("""COMPUTED_VALUE"""),"-")</f>
        <v>-</v>
      </c>
    </row>
    <row r="2987" customHeight="1" spans="1:12">
      <c r="A2987" s="177" t="str">
        <f>IFERROR(__xludf.DUMMYFUNCTION("""COMPUTED_VALUE"""),"TND-XTA-042")</f>
        <v>TND-XTA-042</v>
      </c>
      <c r="B2987" s="1090" t="str">
        <f>IFERROR(__xludf.DUMMYFUNCTION("""COMPUTED_VALUE"""),"Xe ben 5 tấn")</f>
        <v>Xe ben 5 tấn</v>
      </c>
      <c r="C2987" s="177" t="str">
        <f>IFERROR(__xludf.DUMMYFUNCTION("""COMPUTED_VALUE"""),"CGTC DP")</f>
        <v>CGTC DP</v>
      </c>
      <c r="D2987" s="177" t="str">
        <f>IFERROR(__xludf.DUMMYFUNCTION("""COMPUTED_VALUE"""),"HINO")</f>
        <v>HINO</v>
      </c>
      <c r="E2987" s="177"/>
      <c r="F2987" s="177">
        <f>IFERROR(__xludf.DUMMYFUNCTION("""COMPUTED_VALUE"""),2000)</f>
        <v>2000</v>
      </c>
      <c r="G2987" s="177" t="str">
        <f>IFERROR(__xludf.DUMMYFUNCTION("""COMPUTED_VALUE"""),"DUMPTRUCK")</f>
        <v>DUMPTRUCK</v>
      </c>
      <c r="H2987" s="177" t="str">
        <f>IFERROR(__xludf.DUMMYFUNCTION("""COMPUTED_VALUE"""),"183HP")</f>
        <v>183HP</v>
      </c>
      <c r="I2987" s="177" t="str">
        <f>IFERROR(__xludf.DUMMYFUNCTION("""COMPUTED_VALUE"""),"KN3LAP842YK004887")</f>
        <v>KN3LAP842YK004887</v>
      </c>
      <c r="J2987" s="177" t="str">
        <f>IFERROR(__xludf.DUMMYFUNCTION("""COMPUTED_VALUE"""),"K7001448")</f>
        <v>K7001448</v>
      </c>
      <c r="K2987" s="177">
        <f>IFERROR(__xludf.DUMMYFUNCTION("""COMPUTED_VALUE"""),4.5)</f>
        <v>4.5</v>
      </c>
      <c r="L2987" s="177" t="str">
        <f>IFERROR(__xludf.DUMMYFUNCTION("""COMPUTED_VALUE"""),"-")</f>
        <v>-</v>
      </c>
    </row>
    <row r="2988" customHeight="1" spans="1:12">
      <c r="A2988" s="177" t="str">
        <f>IFERROR(__xludf.DUMMYFUNCTION("""COMPUTED_VALUE"""),"TND-XTA-043")</f>
        <v>TND-XTA-043</v>
      </c>
      <c r="B2988" s="1090" t="str">
        <f>IFERROR(__xludf.DUMMYFUNCTION("""COMPUTED_VALUE"""),"Xe ben 25 tấn")</f>
        <v>Xe ben 25 tấn</v>
      </c>
      <c r="C2988" s="177" t="str">
        <f>IFERROR(__xludf.DUMMYFUNCTION("""COMPUTED_VALUE"""),"CGTC DP")</f>
        <v>CGTC DP</v>
      </c>
      <c r="D2988" s="177" t="str">
        <f>IFERROR(__xludf.DUMMYFUNCTION("""COMPUTED_VALUE"""),"DAEWOO")</f>
        <v>DAEWOO</v>
      </c>
      <c r="E2988" s="177"/>
      <c r="F2988" s="177">
        <f>IFERROR(__xludf.DUMMYFUNCTION("""COMPUTED_VALUE"""),2008)</f>
        <v>2008</v>
      </c>
      <c r="G2988" s="177" t="str">
        <f>IFERROR(__xludf.DUMMYFUNCTION("""COMPUTED_VALUE"""),"DUMPTRUCK")</f>
        <v>DUMPTRUCK</v>
      </c>
      <c r="H2988" s="177" t="str">
        <f>IFERROR(__xludf.DUMMYFUNCTION("""COMPUTED_VALUE"""),"380HP")</f>
        <v>380HP</v>
      </c>
      <c r="I2988" s="177" t="str">
        <f>IFERROR(__xludf.DUMMYFUNCTION("""COMPUTED_VALUE"""),"18K00826")</f>
        <v>18K00826</v>
      </c>
      <c r="J2988" s="177" t="str">
        <f>IFERROR(__xludf.DUMMYFUNCTION("""COMPUTED_VALUE"""),"5200771ISM")</f>
        <v>5200771ISM</v>
      </c>
      <c r="K2988" s="177">
        <f>IFERROR(__xludf.DUMMYFUNCTION("""COMPUTED_VALUE"""),14.5)</f>
        <v>14.5</v>
      </c>
      <c r="L2988" s="177" t="str">
        <f>IFERROR(__xludf.DUMMYFUNCTION("""COMPUTED_VALUE"""),"-")</f>
        <v>-</v>
      </c>
    </row>
    <row r="2989" customHeight="1" spans="1:12">
      <c r="A2989" s="177" t="str">
        <f>IFERROR(__xludf.DUMMYFUNCTION("""COMPUTED_VALUE"""),"TND-XTA-044")</f>
        <v>TND-XTA-044</v>
      </c>
      <c r="B2989" s="1090" t="str">
        <f>IFERROR(__xludf.DUMMYFUNCTION("""COMPUTED_VALUE"""),"Xe ben 25 tấn")</f>
        <v>Xe ben 25 tấn</v>
      </c>
      <c r="C2989" s="177" t="str">
        <f>IFERROR(__xludf.DUMMYFUNCTION("""COMPUTED_VALUE"""),"CGTC DP")</f>
        <v>CGTC DP</v>
      </c>
      <c r="D2989" s="177" t="str">
        <f>IFERROR(__xludf.DUMMYFUNCTION("""COMPUTED_VALUE"""),"DAEWOO")</f>
        <v>DAEWOO</v>
      </c>
      <c r="E2989" s="177"/>
      <c r="F2989" s="177">
        <f>IFERROR(__xludf.DUMMYFUNCTION("""COMPUTED_VALUE"""),2008)</f>
        <v>2008</v>
      </c>
      <c r="G2989" s="177" t="str">
        <f>IFERROR(__xludf.DUMMYFUNCTION("""COMPUTED_VALUE"""),"DUMPTRUCK")</f>
        <v>DUMPTRUCK</v>
      </c>
      <c r="H2989" s="177" t="str">
        <f>IFERROR(__xludf.DUMMYFUNCTION("""COMPUTED_VALUE"""),"380HP")</f>
        <v>380HP</v>
      </c>
      <c r="I2989" s="177" t="str">
        <f>IFERROR(__xludf.DUMMYFUNCTION("""COMPUTED_VALUE"""),"18K000799")</f>
        <v>18K000799</v>
      </c>
      <c r="J2989" s="177" t="str">
        <f>IFERROR(__xludf.DUMMYFUNCTION("""COMPUTED_VALUE"""),"351996761SM")</f>
        <v>351996761SM</v>
      </c>
      <c r="K2989" s="177">
        <f>IFERROR(__xludf.DUMMYFUNCTION("""COMPUTED_VALUE"""),14.5)</f>
        <v>14.5</v>
      </c>
      <c r="L2989" s="177" t="str">
        <f>IFERROR(__xludf.DUMMYFUNCTION("""COMPUTED_VALUE"""),"-")</f>
        <v>-</v>
      </c>
    </row>
    <row r="2990" customHeight="1" spans="1:12">
      <c r="A2990" s="177" t="str">
        <f>IFERROR(__xludf.DUMMYFUNCTION("""COMPUTED_VALUE"""),"TND-XTA-045")</f>
        <v>TND-XTA-045</v>
      </c>
      <c r="B2990" s="1090" t="str">
        <f>IFERROR(__xludf.DUMMYFUNCTION("""COMPUTED_VALUE"""),"Xe ben 25 tấn")</f>
        <v>Xe ben 25 tấn</v>
      </c>
      <c r="C2990" s="177" t="str">
        <f>IFERROR(__xludf.DUMMYFUNCTION("""COMPUTED_VALUE"""),"CGTC DP")</f>
        <v>CGTC DP</v>
      </c>
      <c r="D2990" s="177" t="str">
        <f>IFERROR(__xludf.DUMMYFUNCTION("""COMPUTED_VALUE"""),"DEAWOO")</f>
        <v>DEAWOO</v>
      </c>
      <c r="E2990" s="177"/>
      <c r="F2990" s="177">
        <f>IFERROR(__xludf.DUMMYFUNCTION("""COMPUTED_VALUE"""),2008)</f>
        <v>2008</v>
      </c>
      <c r="G2990" s="177"/>
      <c r="H2990" s="177" t="str">
        <f>IFERROR(__xludf.DUMMYFUNCTION("""COMPUTED_VALUE"""),"380HP")</f>
        <v>380HP</v>
      </c>
      <c r="I2990" s="177" t="str">
        <f>IFERROR(__xludf.DUMMYFUNCTION("""COMPUTED_VALUE"""),"18K000929")</f>
        <v>18K000929</v>
      </c>
      <c r="J2990" s="177" t="str">
        <f>IFERROR(__xludf.DUMMYFUNCTION("""COMPUTED_VALUE"""),"52046681SM")</f>
        <v>52046681SM</v>
      </c>
      <c r="K2990" s="177">
        <f>IFERROR(__xludf.DUMMYFUNCTION("""COMPUTED_VALUE"""),14)</f>
        <v>14</v>
      </c>
      <c r="L2990" s="177" t="str">
        <f>IFERROR(__xludf.DUMMYFUNCTION("""COMPUTED_VALUE"""),"-")</f>
        <v>-</v>
      </c>
    </row>
    <row r="2991" customHeight="1" spans="1:12">
      <c r="A2991" s="177" t="str">
        <f>IFERROR(__xludf.DUMMYFUNCTION("""COMPUTED_VALUE"""),"TND-XTA-046")</f>
        <v>TND-XTA-046</v>
      </c>
      <c r="B2991" s="1090" t="str">
        <f>IFERROR(__xludf.DUMMYFUNCTION("""COMPUTED_VALUE"""),"Xe ben 25 tấn")</f>
        <v>Xe ben 25 tấn</v>
      </c>
      <c r="C2991" s="177" t="str">
        <f>IFERROR(__xludf.DUMMYFUNCTION("""COMPUTED_VALUE"""),"CGTC DP")</f>
        <v>CGTC DP</v>
      </c>
      <c r="D2991" s="177" t="str">
        <f>IFERROR(__xludf.DUMMYFUNCTION("""COMPUTED_VALUE"""),"HYUNDAI")</f>
        <v>HYUNDAI</v>
      </c>
      <c r="E2991" s="177"/>
      <c r="F2991" s="177">
        <f>IFERROR(__xludf.DUMMYFUNCTION("""COMPUTED_VALUE"""),2000)</f>
        <v>2000</v>
      </c>
      <c r="G2991" s="177"/>
      <c r="H2991" s="177" t="str">
        <f>IFERROR(__xludf.DUMMYFUNCTION("""COMPUTED_VALUE"""),"355HP")</f>
        <v>355HP</v>
      </c>
      <c r="I2991" s="177" t="str">
        <f>IFERROR(__xludf.DUMMYFUNCTION("""COMPUTED_VALUE"""),"D8AXY034966")</f>
        <v>D8AXY034966</v>
      </c>
      <c r="J2991" s="177" t="str">
        <f>IFERROR(__xludf.DUMMYFUNCTION("""COMPUTED_VALUE"""),"C006995")</f>
        <v>C006995</v>
      </c>
      <c r="K2991" s="177">
        <f>IFERROR(__xludf.DUMMYFUNCTION("""COMPUTED_VALUE"""),13.5)</f>
        <v>13.5</v>
      </c>
      <c r="L2991" s="177" t="str">
        <f>IFERROR(__xludf.DUMMYFUNCTION("""COMPUTED_VALUE"""),"Đang thuê")</f>
        <v>Đang thuê</v>
      </c>
    </row>
    <row r="2992" customHeight="1" spans="1:12">
      <c r="A2992" s="177" t="str">
        <f>IFERROR(__xludf.DUMMYFUNCTION("""COMPUTED_VALUE"""),"TND-XTA-047")</f>
        <v>TND-XTA-047</v>
      </c>
      <c r="B2992" s="1090" t="str">
        <f>IFERROR(__xludf.DUMMYFUNCTION("""COMPUTED_VALUE"""),"Xe ben 25 tấn")</f>
        <v>Xe ben 25 tấn</v>
      </c>
      <c r="C2992" s="177" t="str">
        <f>IFERROR(__xludf.DUMMYFUNCTION("""COMPUTED_VALUE"""),"CGTC DP")</f>
        <v>CGTC DP</v>
      </c>
      <c r="D2992" s="177" t="str">
        <f>IFERROR(__xludf.DUMMYFUNCTION("""COMPUTED_VALUE"""),"HYUNDAI")</f>
        <v>HYUNDAI</v>
      </c>
      <c r="E2992" s="177"/>
      <c r="F2992" s="177">
        <f>IFERROR(__xludf.DUMMYFUNCTION("""COMPUTED_VALUE"""),2006)</f>
        <v>2006</v>
      </c>
      <c r="G2992" s="177" t="str">
        <f>IFERROR(__xludf.DUMMYFUNCTION("""COMPUTED_VALUE"""),"DUMPTRUCK")</f>
        <v>DUMPTRUCK</v>
      </c>
      <c r="H2992" s="177" t="str">
        <f>IFERROR(__xludf.DUMMYFUNCTION("""COMPUTED_VALUE"""),"380HP")</f>
        <v>380HP</v>
      </c>
      <c r="I2992" s="177" t="str">
        <f>IFERROR(__xludf.DUMMYFUNCTION("""COMPUTED_VALUE"""),"KMCPB18TP66D11557")</f>
        <v>KMCPB18TP66D11557</v>
      </c>
      <c r="J2992" s="177" t="str">
        <f>IFERROR(__xludf.DUMMYFUNCTION("""COMPUTED_VALUE"""),"D6CB6122089")</f>
        <v>D6CB6122089</v>
      </c>
      <c r="K2992" s="177">
        <f>IFERROR(__xludf.DUMMYFUNCTION("""COMPUTED_VALUE"""),9.5)</f>
        <v>9.5</v>
      </c>
      <c r="L2992" s="177" t="str">
        <f>IFERROR(__xludf.DUMMYFUNCTION("""COMPUTED_VALUE"""),"-")</f>
        <v>-</v>
      </c>
    </row>
    <row r="2993" customHeight="1" spans="1:12">
      <c r="A2993" s="177" t="str">
        <f>IFERROR(__xludf.DUMMYFUNCTION("""COMPUTED_VALUE"""),"TND-XTA-048")</f>
        <v>TND-XTA-048</v>
      </c>
      <c r="B2993" s="1090" t="str">
        <f>IFERROR(__xludf.DUMMYFUNCTION("""COMPUTED_VALUE"""),"Xe ben 25 tấn")</f>
        <v>Xe ben 25 tấn</v>
      </c>
      <c r="C2993" s="177" t="str">
        <f>IFERROR(__xludf.DUMMYFUNCTION("""COMPUTED_VALUE"""),"CGTC DP")</f>
        <v>CGTC DP</v>
      </c>
      <c r="D2993" s="177" t="str">
        <f>IFERROR(__xludf.DUMMYFUNCTION("""COMPUTED_VALUE"""),"HYUNDAI")</f>
        <v>HYUNDAI</v>
      </c>
      <c r="E2993" s="177"/>
      <c r="F2993" s="177">
        <f>IFERROR(__xludf.DUMMYFUNCTION("""COMPUTED_VALUE"""),2002)</f>
        <v>2002</v>
      </c>
      <c r="G2993" s="177" t="str">
        <f>IFERROR(__xludf.DUMMYFUNCTION("""COMPUTED_VALUE"""),"DUMPTRUCK")</f>
        <v>DUMPTRUCK</v>
      </c>
      <c r="H2993" s="177" t="str">
        <f>IFERROR(__xludf.DUMMYFUNCTION("""COMPUTED_VALUE"""),"340HP")</f>
        <v>340HP</v>
      </c>
      <c r="I2993" s="177" t="str">
        <f>IFERROR(__xludf.DUMMYFUNCTION("""COMPUTED_VALUE"""),"KMCPB18SP2C019638")</f>
        <v>KMCPB18SP2C019638</v>
      </c>
      <c r="J2993" s="177" t="str">
        <f>IFERROR(__xludf.DUMMYFUNCTION("""COMPUTED_VALUE"""),"D6CA2063558")</f>
        <v>D6CA2063558</v>
      </c>
      <c r="K2993" s="177">
        <f>IFERROR(__xludf.DUMMYFUNCTION("""COMPUTED_VALUE"""),9.5)</f>
        <v>9.5</v>
      </c>
      <c r="L2993" s="177" t="str">
        <f>IFERROR(__xludf.DUMMYFUNCTION("""COMPUTED_VALUE"""),"-")</f>
        <v>-</v>
      </c>
    </row>
    <row r="2994" customHeight="1" spans="1:12">
      <c r="A2994" s="177" t="str">
        <f>IFERROR(__xludf.DUMMYFUNCTION("""COMPUTED_VALUE"""),"TND-XTA-049")</f>
        <v>TND-XTA-049</v>
      </c>
      <c r="B2994" s="1090" t="str">
        <f>IFERROR(__xludf.DUMMYFUNCTION("""COMPUTED_VALUE"""),"Xe ben 25 tấn")</f>
        <v>Xe ben 25 tấn</v>
      </c>
      <c r="C2994" s="177" t="str">
        <f>IFERROR(__xludf.DUMMYFUNCTION("""COMPUTED_VALUE"""),"CGTC DP")</f>
        <v>CGTC DP</v>
      </c>
      <c r="D2994" s="177" t="str">
        <f>IFERROR(__xludf.DUMMYFUNCTION("""COMPUTED_VALUE"""),"DAEWOO")</f>
        <v>DAEWOO</v>
      </c>
      <c r="E2994" s="177"/>
      <c r="F2994" s="177">
        <f>IFERROR(__xludf.DUMMYFUNCTION("""COMPUTED_VALUE"""),2005)</f>
        <v>2005</v>
      </c>
      <c r="G2994" s="177" t="str">
        <f>IFERROR(__xludf.DUMMYFUNCTION("""COMPUTED_VALUE"""),"DUMPTRUCK")</f>
        <v>DUMPTRUCK</v>
      </c>
      <c r="H2994" s="177" t="str">
        <f>IFERROR(__xludf.DUMMYFUNCTION("""COMPUTED_VALUE"""),"360HP")</f>
        <v>360HP</v>
      </c>
      <c r="I2994" s="177" t="str">
        <f>IFERROR(__xludf.DUMMYFUNCTION("""COMPUTED_VALUE"""),"KL3NSENF16K000562")</f>
        <v>KL3NSENF16K000562</v>
      </c>
      <c r="J2994" s="177" t="str">
        <f>IFERROR(__xludf.DUMMYFUNCTION("""COMPUTED_VALUE"""),"351533131SM")</f>
        <v>351533131SM</v>
      </c>
      <c r="K2994" s="177">
        <f>IFERROR(__xludf.DUMMYFUNCTION("""COMPUTED_VALUE"""),10)</f>
        <v>10</v>
      </c>
      <c r="L2994" s="177" t="str">
        <f>IFERROR(__xludf.DUMMYFUNCTION("""COMPUTED_VALUE"""),"-")</f>
        <v>-</v>
      </c>
    </row>
    <row r="2995" customHeight="1" spans="1:12">
      <c r="A2995" s="177" t="str">
        <f>IFERROR(__xludf.DUMMYFUNCTION("""COMPUTED_VALUE"""),"TND-XTA-050")</f>
        <v>TND-XTA-050</v>
      </c>
      <c r="B2995" s="1090" t="str">
        <f>IFERROR(__xludf.DUMMYFUNCTION("""COMPUTED_VALUE"""),"Xe ben 25 tấn")</f>
        <v>Xe ben 25 tấn</v>
      </c>
      <c r="C2995" s="177" t="str">
        <f>IFERROR(__xludf.DUMMYFUNCTION("""COMPUTED_VALUE"""),"CGTC DP")</f>
        <v>CGTC DP</v>
      </c>
      <c r="D2995" s="177" t="str">
        <f>IFERROR(__xludf.DUMMYFUNCTION("""COMPUTED_VALUE"""),"HYUNDAI")</f>
        <v>HYUNDAI</v>
      </c>
      <c r="E2995" s="177"/>
      <c r="F2995" s="177">
        <f>IFERROR(__xludf.DUMMYFUNCTION("""COMPUTED_VALUE"""),2003)</f>
        <v>2003</v>
      </c>
      <c r="G2995" s="177" t="str">
        <f>IFERROR(__xludf.DUMMYFUNCTION("""COMPUTED_VALUE"""),"DUMPTRUCK")</f>
        <v>DUMPTRUCK</v>
      </c>
      <c r="H2995" s="177" t="str">
        <f>IFERROR(__xludf.DUMMYFUNCTION("""COMPUTED_VALUE"""),"410HP")</f>
        <v>410HP</v>
      </c>
      <c r="I2995" s="177" t="str">
        <f>IFERROR(__xludf.DUMMYFUNCTION("""COMPUTED_VALUE"""),"KMCFB18SP3CC27869")</f>
        <v>KMCFB18SP3CC27869</v>
      </c>
      <c r="J2995" s="177" t="str">
        <f>IFERROR(__xludf.DUMMYFUNCTION("""COMPUTED_VALUE"""),"D6CA3077795")</f>
        <v>D6CA3077795</v>
      </c>
      <c r="K2995" s="177">
        <f>IFERROR(__xludf.DUMMYFUNCTION("""COMPUTED_VALUE"""),8.5)</f>
        <v>8.5</v>
      </c>
      <c r="L2995" s="177" t="str">
        <f>IFERROR(__xludf.DUMMYFUNCTION("""COMPUTED_VALUE"""),"-")</f>
        <v>-</v>
      </c>
    </row>
    <row r="2996" customHeight="1" spans="1:12">
      <c r="A2996" s="177" t="str">
        <f>IFERROR(__xludf.DUMMYFUNCTION("""COMPUTED_VALUE"""),"TND-XTA-051")</f>
        <v>TND-XTA-051</v>
      </c>
      <c r="B2996" s="1090" t="str">
        <f>IFERROR(__xludf.DUMMYFUNCTION("""COMPUTED_VALUE"""),"Xe ben 25 tấn")</f>
        <v>Xe ben 25 tấn</v>
      </c>
      <c r="C2996" s="177" t="str">
        <f>IFERROR(__xludf.DUMMYFUNCTION("""COMPUTED_VALUE"""),"CGTC DP")</f>
        <v>CGTC DP</v>
      </c>
      <c r="D2996" s="177" t="str">
        <f>IFERROR(__xludf.DUMMYFUNCTION("""COMPUTED_VALUE"""),"HYUNDAI")</f>
        <v>HYUNDAI</v>
      </c>
      <c r="E2996" s="177"/>
      <c r="F2996" s="177">
        <f>IFERROR(__xludf.DUMMYFUNCTION("""COMPUTED_VALUE"""),2003)</f>
        <v>2003</v>
      </c>
      <c r="G2996" s="177" t="str">
        <f>IFERROR(__xludf.DUMMYFUNCTION("""COMPUTED_VALUE"""),"DUMPTRUCK")</f>
        <v>DUMPTRUCK</v>
      </c>
      <c r="H2996" s="177" t="str">
        <f>IFERROR(__xludf.DUMMYFUNCTION("""COMPUTED_VALUE"""),"235HP")</f>
        <v>235HP</v>
      </c>
      <c r="I2996" s="177" t="str">
        <f>IFERROR(__xludf.DUMMYFUNCTION("""COMPUTED_VALUE"""),"KMCPB18SP3C028480")</f>
        <v>KMCPB18SP3C028480</v>
      </c>
      <c r="J2996" s="177" t="str">
        <f>IFERROR(__xludf.DUMMYFUNCTION("""COMPUTED_VALUE"""),"D6CA3079226")</f>
        <v>D6CA3079226</v>
      </c>
      <c r="K2996" s="177">
        <f>IFERROR(__xludf.DUMMYFUNCTION("""COMPUTED_VALUE"""),9)</f>
        <v>9</v>
      </c>
      <c r="L2996" s="177" t="str">
        <f>IFERROR(__xludf.DUMMYFUNCTION("""COMPUTED_VALUE"""),"-")</f>
        <v>-</v>
      </c>
    </row>
    <row r="2997" customHeight="1" spans="1:12">
      <c r="A2997" s="177" t="str">
        <f>IFERROR(__xludf.DUMMYFUNCTION("""COMPUTED_VALUE"""),"TND-XTA-052")</f>
        <v>TND-XTA-052</v>
      </c>
      <c r="B2997" s="1090" t="str">
        <f>IFERROR(__xludf.DUMMYFUNCTION("""COMPUTED_VALUE"""),"Xe ben 25 tấn")</f>
        <v>Xe ben 25 tấn</v>
      </c>
      <c r="C2997" s="177" t="str">
        <f>IFERROR(__xludf.DUMMYFUNCTION("""COMPUTED_VALUE"""),"CGTC DP")</f>
        <v>CGTC DP</v>
      </c>
      <c r="D2997" s="177" t="str">
        <f>IFERROR(__xludf.DUMMYFUNCTION("""COMPUTED_VALUE"""),"DEAWOO")</f>
        <v>DEAWOO</v>
      </c>
      <c r="E2997" s="177"/>
      <c r="F2997" s="177">
        <f>IFERROR(__xludf.DUMMYFUNCTION("""COMPUTED_VALUE"""),2007)</f>
        <v>2007</v>
      </c>
      <c r="G2997" s="177" t="str">
        <f>IFERROR(__xludf.DUMMYFUNCTION("""COMPUTED_VALUE"""),"DUMPTRUCK")</f>
        <v>DUMPTRUCK</v>
      </c>
      <c r="H2997" s="177" t="str">
        <f>IFERROR(__xludf.DUMMYFUNCTION("""COMPUTED_VALUE"""),"380HP")</f>
        <v>380HP</v>
      </c>
      <c r="I2997" s="177" t="str">
        <f>IFERROR(__xludf.DUMMYFUNCTION("""COMPUTED_VALUE"""),"KL3N8ENF17K000751")</f>
        <v>KL3N8ENF17K000751</v>
      </c>
      <c r="J2997" s="177" t="str">
        <f>IFERROR(__xludf.DUMMYFUNCTION("""COMPUTED_VALUE"""),"351967321SM")</f>
        <v>351967321SM</v>
      </c>
      <c r="K2997" s="177">
        <f>IFERROR(__xludf.DUMMYFUNCTION("""COMPUTED_VALUE"""),10.6)</f>
        <v>10.6</v>
      </c>
      <c r="L2997" s="177" t="str">
        <f>IFERROR(__xludf.DUMMYFUNCTION("""COMPUTED_VALUE"""),"-")</f>
        <v>-</v>
      </c>
    </row>
    <row r="2998" customHeight="1" spans="1:12">
      <c r="A2998" s="177" t="str">
        <f>IFERROR(__xludf.DUMMYFUNCTION("""COMPUTED_VALUE"""),"TND-XTA-053")</f>
        <v>TND-XTA-053</v>
      </c>
      <c r="B2998" s="1090" t="str">
        <f>IFERROR(__xludf.DUMMYFUNCTION("""COMPUTED_VALUE"""),"Xe ben 5 tấn")</f>
        <v>Xe ben 5 tấn</v>
      </c>
      <c r="C2998" s="177" t="str">
        <f>IFERROR(__xludf.DUMMYFUNCTION("""COMPUTED_VALUE"""),"CGTC DP")</f>
        <v>CGTC DP</v>
      </c>
      <c r="D2998" s="177" t="str">
        <f>IFERROR(__xludf.DUMMYFUNCTION("""COMPUTED_VALUE"""),"NISSAN")</f>
        <v>NISSAN</v>
      </c>
      <c r="E2998" s="177"/>
      <c r="F2998" s="177">
        <f>IFERROR(__xludf.DUMMYFUNCTION("""COMPUTED_VALUE"""),1994)</f>
        <v>1994</v>
      </c>
      <c r="G2998" s="177" t="str">
        <f>IFERROR(__xludf.DUMMYFUNCTION("""COMPUTED_VALUE"""),"DUMPTRUCK")</f>
        <v>DUMPTRUCK</v>
      </c>
      <c r="H2998" s="177" t="str">
        <f>IFERROR(__xludf.DUMMYFUNCTION("""COMPUTED_VALUE"""),"180HP")</f>
        <v>180HP</v>
      </c>
      <c r="I2998" s="177" t="str">
        <f>IFERROR(__xludf.DUMMYFUNCTION("""COMPUTED_VALUE"""),"CM89AS02608")</f>
        <v>CM89AS02608</v>
      </c>
      <c r="J2998" s="177" t="str">
        <f>IFERROR(__xludf.DUMMYFUNCTION("""COMPUTED_VALUE"""),"FE6104452A")</f>
        <v>FE6104452A</v>
      </c>
      <c r="K2998" s="177">
        <f>IFERROR(__xludf.DUMMYFUNCTION("""COMPUTED_VALUE"""),4)</f>
        <v>4</v>
      </c>
      <c r="L2998" s="177" t="str">
        <f>IFERROR(__xludf.DUMMYFUNCTION("""COMPUTED_VALUE"""),"-")</f>
        <v>-</v>
      </c>
    </row>
    <row r="2999" customHeight="1" spans="1:12">
      <c r="A2999" s="177" t="str">
        <f>IFERROR(__xludf.DUMMYFUNCTION("""COMPUTED_VALUE"""),"TND-XTA-054")</f>
        <v>TND-XTA-054</v>
      </c>
      <c r="B2999" s="1090" t="str">
        <f>IFERROR(__xludf.DUMMYFUNCTION("""COMPUTED_VALUE"""),"Xe ben 5 tấn")</f>
        <v>Xe ben 5 tấn</v>
      </c>
      <c r="C2999" s="177" t="str">
        <f>IFERROR(__xludf.DUMMYFUNCTION("""COMPUTED_VALUE"""),"CGTC DP")</f>
        <v>CGTC DP</v>
      </c>
      <c r="D2999" s="177" t="str">
        <f>IFERROR(__xludf.DUMMYFUNCTION("""COMPUTED_VALUE"""),"NISSAN")</f>
        <v>NISSAN</v>
      </c>
      <c r="E2999" s="177"/>
      <c r="F2999" s="177">
        <f>IFERROR(__xludf.DUMMYFUNCTION("""COMPUTED_VALUE"""),1992)</f>
        <v>1992</v>
      </c>
      <c r="G2999" s="177"/>
      <c r="H2999" s="177" t="str">
        <f>IFERROR(__xludf.DUMMYFUNCTION("""COMPUTED_VALUE"""),"185HP")</f>
        <v>185HP</v>
      </c>
      <c r="I2999" s="177" t="str">
        <f>IFERROR(__xludf.DUMMYFUNCTION("""COMPUTED_VALUE"""),"N89AS03793")</f>
        <v>N89AS03793</v>
      </c>
      <c r="J2999" s="177" t="str">
        <f>IFERROR(__xludf.DUMMYFUNCTION("""COMPUTED_VALUE"""),"FE6135991B")</f>
        <v>FE6135991B</v>
      </c>
      <c r="K2999" s="177">
        <f>IFERROR(__xludf.DUMMYFUNCTION("""COMPUTED_VALUE"""),3)</f>
        <v>3</v>
      </c>
      <c r="L2999" s="177" t="str">
        <f>IFERROR(__xludf.DUMMYFUNCTION("""COMPUTED_VALUE"""),"-")</f>
        <v>-</v>
      </c>
    </row>
    <row r="3000" customHeight="1" spans="1:12">
      <c r="A3000" s="177" t="str">
        <f>IFERROR(__xludf.DUMMYFUNCTION("""COMPUTED_VALUE"""),"TND-XTA-055")</f>
        <v>TND-XTA-055</v>
      </c>
      <c r="B3000" s="1090" t="str">
        <f>IFERROR(__xludf.DUMMYFUNCTION("""COMPUTED_VALUE"""),"Xe ben 5 tấn")</f>
        <v>Xe ben 5 tấn</v>
      </c>
      <c r="C3000" s="177" t="str">
        <f>IFERROR(__xludf.DUMMYFUNCTION("""COMPUTED_VALUE"""),"CGTC DP")</f>
        <v>CGTC DP</v>
      </c>
      <c r="D3000" s="177" t="str">
        <f>IFERROR(__xludf.DUMMYFUNCTION("""COMPUTED_VALUE"""),"NISSAN")</f>
        <v>NISSAN</v>
      </c>
      <c r="E3000" s="177"/>
      <c r="F3000" s="177">
        <f>IFERROR(__xludf.DUMMYFUNCTION("""COMPUTED_VALUE"""),2000)</f>
        <v>2000</v>
      </c>
      <c r="G3000" s="177"/>
      <c r="H3000" s="177" t="str">
        <f>IFERROR(__xludf.DUMMYFUNCTION("""COMPUTED_VALUE"""),"195HP")</f>
        <v>195HP</v>
      </c>
      <c r="I3000" s="177" t="str">
        <f>IFERROR(__xludf.DUMMYFUNCTION("""COMPUTED_VALUE"""),"MK211K10400")</f>
        <v>MK211K10400</v>
      </c>
      <c r="J3000" s="177" t="str">
        <f>IFERROR(__xludf.DUMMYFUNCTION("""COMPUTED_VALUE"""),"FE6105479G")</f>
        <v>FE6105479G</v>
      </c>
      <c r="K3000" s="177">
        <f>IFERROR(__xludf.DUMMYFUNCTION("""COMPUTED_VALUE"""),4)</f>
        <v>4</v>
      </c>
      <c r="L3000" s="177" t="str">
        <f>IFERROR(__xludf.DUMMYFUNCTION("""COMPUTED_VALUE"""),"-")</f>
        <v>-</v>
      </c>
    </row>
    <row r="3001" customHeight="1" spans="1:12">
      <c r="A3001" s="177" t="str">
        <f>IFERROR(__xludf.DUMMYFUNCTION("""COMPUTED_VALUE"""),"TND-XTA-056")</f>
        <v>TND-XTA-056</v>
      </c>
      <c r="B3001" s="1090" t="str">
        <f>IFERROR(__xludf.DUMMYFUNCTION("""COMPUTED_VALUE"""),"Xe ben 5 tấn")</f>
        <v>Xe ben 5 tấn</v>
      </c>
      <c r="C3001" s="177" t="str">
        <f>IFERROR(__xludf.DUMMYFUNCTION("""COMPUTED_VALUE"""),"CGTC DP")</f>
        <v>CGTC DP</v>
      </c>
      <c r="D3001" s="177" t="str">
        <f>IFERROR(__xludf.DUMMYFUNCTION("""COMPUTED_VALUE"""),"NISSAN")</f>
        <v>NISSAN</v>
      </c>
      <c r="E3001" s="177"/>
      <c r="F3001" s="177"/>
      <c r="G3001" s="177"/>
      <c r="H3001" s="177" t="str">
        <f>IFERROR(__xludf.DUMMYFUNCTION("""COMPUTED_VALUE"""),"180HP")</f>
        <v>180HP</v>
      </c>
      <c r="I3001" s="177" t="str">
        <f>IFERROR(__xludf.DUMMYFUNCTION("""COMPUTED_VALUE"""),"KSF2H19YRN001829")</f>
        <v>KSF2H19YRN001829</v>
      </c>
      <c r="J3001" s="177" t="str">
        <f>IFERROR(__xludf.DUMMYFUNCTION("""COMPUTED_VALUE"""),"NIL")</f>
        <v>NIL</v>
      </c>
      <c r="K3001" s="177">
        <f>IFERROR(__xludf.DUMMYFUNCTION("""COMPUTED_VALUE"""),3)</f>
        <v>3</v>
      </c>
      <c r="L3001" s="177" t="str">
        <f>IFERROR(__xludf.DUMMYFUNCTION("""COMPUTED_VALUE"""),"-")</f>
        <v>-</v>
      </c>
    </row>
    <row r="3002" customHeight="1" spans="1:12">
      <c r="A3002" s="177" t="str">
        <f>IFERROR(__xludf.DUMMYFUNCTION("""COMPUTED_VALUE"""),"TND-XTA-058")</f>
        <v>TND-XTA-058</v>
      </c>
      <c r="B3002" s="1090" t="str">
        <f>IFERROR(__xludf.DUMMYFUNCTION("""COMPUTED_VALUE"""),"Xe ben 15 tấn")</f>
        <v>Xe ben 15 tấn</v>
      </c>
      <c r="C3002" s="177" t="str">
        <f>IFERROR(__xludf.DUMMYFUNCTION("""COMPUTED_VALUE"""),"CGTC DP")</f>
        <v>CGTC DP</v>
      </c>
      <c r="D3002" s="177" t="str">
        <f>IFERROR(__xludf.DUMMYFUNCTION("""COMPUTED_VALUE"""),"HYUNDAI")</f>
        <v>HYUNDAI</v>
      </c>
      <c r="E3002" s="177" t="str">
        <f>IFERROR(__xludf.DUMMYFUNCTION("""COMPUTED_VALUE"""),"HÀN QUỐC")</f>
        <v>HÀN QUỐC</v>
      </c>
      <c r="F3002" s="177">
        <f>IFERROR(__xludf.DUMMYFUNCTION("""COMPUTED_VALUE"""),1997)</f>
        <v>1997</v>
      </c>
      <c r="G3002" s="177"/>
      <c r="H3002" s="177"/>
      <c r="I3002" s="177" t="str">
        <f>IFERROR(__xludf.DUMMYFUNCTION("""COMPUTED_VALUE"""),"104787")</f>
        <v>104787</v>
      </c>
      <c r="J3002" s="177" t="str">
        <f>IFERROR(__xludf.DUMMYFUNCTION("""COMPUTED_VALUE"""),"NCKA787")</f>
        <v>NCKA787</v>
      </c>
      <c r="K3002" s="177">
        <f>IFERROR(__xludf.DUMMYFUNCTION("""COMPUTED_VALUE"""),8)</f>
        <v>8</v>
      </c>
      <c r="L3002" s="177" t="str">
        <f>IFERROR(__xludf.DUMMYFUNCTION("""COMPUTED_VALUE"""),"-")</f>
        <v>-</v>
      </c>
    </row>
    <row r="3003" customHeight="1" spans="1:12">
      <c r="A3003" s="177" t="str">
        <f>IFERROR(__xludf.DUMMYFUNCTION("""COMPUTED_VALUE"""),"TND-XTA-059")</f>
        <v>TND-XTA-059</v>
      </c>
      <c r="B3003" s="1090" t="str">
        <f>IFERROR(__xludf.DUMMYFUNCTION("""COMPUTED_VALUE"""),"Xe ben 15 tấn")</f>
        <v>Xe ben 15 tấn</v>
      </c>
      <c r="C3003" s="177" t="str">
        <f>IFERROR(__xludf.DUMMYFUNCTION("""COMPUTED_VALUE"""),"CGTC DP")</f>
        <v>CGTC DP</v>
      </c>
      <c r="D3003" s="177" t="str">
        <f>IFERROR(__xludf.DUMMYFUNCTION("""COMPUTED_VALUE"""),"HYUNDAI")</f>
        <v>HYUNDAI</v>
      </c>
      <c r="E3003" s="177" t="str">
        <f>IFERROR(__xludf.DUMMYFUNCTION("""COMPUTED_VALUE"""),"HÀN QUỐC")</f>
        <v>HÀN QUỐC</v>
      </c>
      <c r="F3003" s="177">
        <f>IFERROR(__xludf.DUMMYFUNCTION("""COMPUTED_VALUE"""),1997)</f>
        <v>1997</v>
      </c>
      <c r="G3003" s="177"/>
      <c r="H3003" s="177"/>
      <c r="I3003" s="177" t="str">
        <f>IFERROR(__xludf.DUMMYFUNCTION("""COMPUTED_VALUE"""),"PVC104784")</f>
        <v>PVC104784</v>
      </c>
      <c r="J3003" s="177" t="str">
        <f>IFERROR(__xludf.DUMMYFUNCTION("""COMPUTED_VALUE"""),"104784")</f>
        <v>104784</v>
      </c>
      <c r="K3003" s="177">
        <f>IFERROR(__xludf.DUMMYFUNCTION("""COMPUTED_VALUE"""),8)</f>
        <v>8</v>
      </c>
      <c r="L3003" s="177" t="str">
        <f>IFERROR(__xludf.DUMMYFUNCTION("""COMPUTED_VALUE"""),"-")</f>
        <v>-</v>
      </c>
    </row>
    <row r="3004" customHeight="1" spans="1:12">
      <c r="A3004" s="177" t="str">
        <f>IFERROR(__xludf.DUMMYFUNCTION("""COMPUTED_VALUE"""),"TND-XTA-060")</f>
        <v>TND-XTA-060</v>
      </c>
      <c r="B3004" s="1090" t="str">
        <f>IFERROR(__xludf.DUMMYFUNCTION("""COMPUTED_VALUE"""),"Xe ben 15 tấn")</f>
        <v>Xe ben 15 tấn</v>
      </c>
      <c r="C3004" s="177" t="str">
        <f>IFERROR(__xludf.DUMMYFUNCTION("""COMPUTED_VALUE"""),"CGTC DP")</f>
        <v>CGTC DP</v>
      </c>
      <c r="D3004" s="177" t="str">
        <f>IFERROR(__xludf.DUMMYFUNCTION("""COMPUTED_VALUE"""),"HYUNDAI")</f>
        <v>HYUNDAI</v>
      </c>
      <c r="E3004" s="177" t="str">
        <f>IFERROR(__xludf.DUMMYFUNCTION("""COMPUTED_VALUE"""),"HÀN QUỐC")</f>
        <v>HÀN QUỐC</v>
      </c>
      <c r="F3004" s="177">
        <f>IFERROR(__xludf.DUMMYFUNCTION("""COMPUTED_VALUE"""),1997)</f>
        <v>1997</v>
      </c>
      <c r="G3004" s="177"/>
      <c r="H3004" s="177" t="str">
        <f>IFERROR(__xludf.DUMMYFUNCTION("""COMPUTED_VALUE"""),"360HP")</f>
        <v>360HP</v>
      </c>
      <c r="I3004" s="177" t="str">
        <f>IFERROR(__xludf.DUMMYFUNCTION("""COMPUTED_VALUE"""),"PVC104784")</f>
        <v>PVC104784</v>
      </c>
      <c r="J3004" s="177" t="str">
        <f>IFERROR(__xludf.DUMMYFUNCTION("""COMPUTED_VALUE"""),"104784 (SKSM trùng xe 59, khác biển số)")</f>
        <v>104784 (SKSM trùng xe 59, khác biển số)</v>
      </c>
      <c r="K3004" s="177">
        <f>IFERROR(__xludf.DUMMYFUNCTION("""COMPUTED_VALUE"""),8)</f>
        <v>8</v>
      </c>
      <c r="L3004" s="177" t="str">
        <f>IFERROR(__xludf.DUMMYFUNCTION("""COMPUTED_VALUE"""),"-")</f>
        <v>-</v>
      </c>
    </row>
    <row r="3005" customHeight="1" spans="1:12">
      <c r="A3005" s="177" t="str">
        <f>IFERROR(__xludf.DUMMYFUNCTION("""COMPUTED_VALUE"""),"TND-XTA-062")</f>
        <v>TND-XTA-062</v>
      </c>
      <c r="B3005" s="1090" t="str">
        <f>IFERROR(__xludf.DUMMYFUNCTION("""COMPUTED_VALUE"""),"Xe ben 15 tấn")</f>
        <v>Xe ben 15 tấn</v>
      </c>
      <c r="C3005" s="177" t="str">
        <f>IFERROR(__xludf.DUMMYFUNCTION("""COMPUTED_VALUE"""),"CGTC DP")</f>
        <v>CGTC DP</v>
      </c>
      <c r="D3005" s="177" t="str">
        <f>IFERROR(__xludf.DUMMYFUNCTION("""COMPUTED_VALUE"""),"HYUNDAI")</f>
        <v>HYUNDAI</v>
      </c>
      <c r="E3005" s="177"/>
      <c r="F3005" s="177"/>
      <c r="G3005" s="177" t="str">
        <f>IFERROR(__xludf.DUMMYFUNCTION("""COMPUTED_VALUE"""),"HD 270")</f>
        <v>HD 270</v>
      </c>
      <c r="H3005" s="177" t="str">
        <f>IFERROR(__xludf.DUMMYFUNCTION("""COMPUTED_VALUE"""),"320HP")</f>
        <v>320HP</v>
      </c>
      <c r="I3005" s="177" t="str">
        <f>IFERROR(__xludf.DUMMYFUNCTION("""COMPUTED_VALUE"""),"KMCDB19YP4C032694")</f>
        <v>KMCDB19YP4C032694</v>
      </c>
      <c r="J3005" s="177" t="str">
        <f>IFERROR(__xludf.DUMMYFUNCTION("""COMPUTED_VALUE"""),"D8AY4088746")</f>
        <v>D8AY4088746</v>
      </c>
      <c r="K3005" s="177">
        <f>IFERROR(__xludf.DUMMYFUNCTION("""COMPUTED_VALUE"""),8)</f>
        <v>8</v>
      </c>
      <c r="L3005" s="177" t="str">
        <f>IFERROR(__xludf.DUMMYFUNCTION("""COMPUTED_VALUE"""),"-")</f>
        <v>-</v>
      </c>
    </row>
    <row r="3006" customHeight="1" spans="1:12">
      <c r="A3006" s="177" t="str">
        <f>IFERROR(__xludf.DUMMYFUNCTION("""COMPUTED_VALUE"""),"TND-XTA-063")</f>
        <v>TND-XTA-063</v>
      </c>
      <c r="B3006" s="1090" t="str">
        <f>IFERROR(__xludf.DUMMYFUNCTION("""COMPUTED_VALUE"""),"Xe ben 15 tấn")</f>
        <v>Xe ben 15 tấn</v>
      </c>
      <c r="C3006" s="177" t="str">
        <f>IFERROR(__xludf.DUMMYFUNCTION("""COMPUTED_VALUE"""),"CGTC DP")</f>
        <v>CGTC DP</v>
      </c>
      <c r="D3006" s="177" t="str">
        <f>IFERROR(__xludf.DUMMYFUNCTION("""COMPUTED_VALUE"""),"HYUNDAI")</f>
        <v>HYUNDAI</v>
      </c>
      <c r="E3006" s="177"/>
      <c r="F3006" s="177">
        <f>IFERROR(__xludf.DUMMYFUNCTION("""COMPUTED_VALUE"""),1994)</f>
        <v>1994</v>
      </c>
      <c r="G3006" s="177"/>
      <c r="H3006" s="177" t="str">
        <f>IFERROR(__xludf.DUMMYFUNCTION("""COMPUTED_VALUE"""),"355HP")</f>
        <v>355HP</v>
      </c>
      <c r="I3006" s="177" t="str">
        <f>IFERROR(__xludf.DUMMYFUNCTION("""COMPUTED_VALUE"""),"KMCDB19YPNU011140")</f>
        <v>KMCDB19YPNU011140</v>
      </c>
      <c r="J3006" s="177" t="str">
        <f>IFERROR(__xludf.DUMMYFUNCTION("""COMPUTED_VALUE"""),"D8ABT1635581")</f>
        <v>D8ABT1635581</v>
      </c>
      <c r="K3006" s="177">
        <f>IFERROR(__xludf.DUMMYFUNCTION("""COMPUTED_VALUE"""),6.85)</f>
        <v>6.85</v>
      </c>
      <c r="L3006" s="177" t="str">
        <f>IFERROR(__xludf.DUMMYFUNCTION("""COMPUTED_VALUE"""),"-")</f>
        <v>-</v>
      </c>
    </row>
    <row r="3007" customHeight="1" spans="1:12">
      <c r="A3007" s="177" t="str">
        <f>IFERROR(__xludf.DUMMYFUNCTION("""COMPUTED_VALUE"""),"TND-XTA-064")</f>
        <v>TND-XTA-064</v>
      </c>
      <c r="B3007" s="1090" t="str">
        <f>IFERROR(__xludf.DUMMYFUNCTION("""COMPUTED_VALUE"""),"Xe ben 15 tấn")</f>
        <v>Xe ben 15 tấn</v>
      </c>
      <c r="C3007" s="177" t="str">
        <f>IFERROR(__xludf.DUMMYFUNCTION("""COMPUTED_VALUE"""),"CGTC DP")</f>
        <v>CGTC DP</v>
      </c>
      <c r="D3007" s="177" t="str">
        <f>IFERROR(__xludf.DUMMYFUNCTION("""COMPUTED_VALUE"""),"DAEWOO")</f>
        <v>DAEWOO</v>
      </c>
      <c r="E3007" s="177"/>
      <c r="F3007" s="177">
        <f>IFERROR(__xludf.DUMMYFUNCTION("""COMPUTED_VALUE"""),1997)</f>
        <v>1997</v>
      </c>
      <c r="G3007" s="177"/>
      <c r="H3007" s="177" t="str">
        <f>IFERROR(__xludf.DUMMYFUNCTION("""COMPUTED_VALUE"""),"355HP")</f>
        <v>355HP</v>
      </c>
      <c r="I3007" s="177" t="str">
        <f>IFERROR(__xludf.DUMMYFUNCTION("""COMPUTED_VALUE"""),"KL3MA45D1VK002790")</f>
        <v>KL3MA45D1VK002790</v>
      </c>
      <c r="J3007" s="177" t="str">
        <f>IFERROR(__xludf.DUMMYFUNCTION("""COMPUTED_VALUE"""),"DV15T700408CG")</f>
        <v>DV15T700408CG</v>
      </c>
      <c r="K3007" s="177">
        <f>IFERROR(__xludf.DUMMYFUNCTION("""COMPUTED_VALUE"""),6)</f>
        <v>6</v>
      </c>
      <c r="L3007" s="177" t="str">
        <f>IFERROR(__xludf.DUMMYFUNCTION("""COMPUTED_VALUE"""),"-")</f>
        <v>-</v>
      </c>
    </row>
    <row r="3008" customHeight="1" spans="1:12">
      <c r="A3008" s="177" t="str">
        <f>IFERROR(__xludf.DUMMYFUNCTION("""COMPUTED_VALUE"""),"TND-XTA-065")</f>
        <v>TND-XTA-065</v>
      </c>
      <c r="B3008" s="1090" t="str">
        <f>IFERROR(__xludf.DUMMYFUNCTION("""COMPUTED_VALUE"""),"Xe ben 15 tấn")</f>
        <v>Xe ben 15 tấn</v>
      </c>
      <c r="C3008" s="177" t="str">
        <f>IFERROR(__xludf.DUMMYFUNCTION("""COMPUTED_VALUE"""),"CGTC DP")</f>
        <v>CGTC DP</v>
      </c>
      <c r="D3008" s="177" t="str">
        <f>IFERROR(__xludf.DUMMYFUNCTION("""COMPUTED_VALUE"""),"FUSO")</f>
        <v>FUSO</v>
      </c>
      <c r="E3008" s="177"/>
      <c r="F3008" s="177">
        <f>IFERROR(__xludf.DUMMYFUNCTION("""COMPUTED_VALUE"""),1986)</f>
        <v>1986</v>
      </c>
      <c r="G3008" s="177"/>
      <c r="H3008" s="177" t="str">
        <f>IFERROR(__xludf.DUMMYFUNCTION("""COMPUTED_VALUE"""),"320HP")</f>
        <v>320HP</v>
      </c>
      <c r="I3008" s="177" t="str">
        <f>IFERROR(__xludf.DUMMYFUNCTION("""COMPUTED_VALUE"""),"FV415T50535")</f>
        <v>FV415T50535</v>
      </c>
      <c r="J3008" s="177" t="str">
        <f>IFERROR(__xludf.DUMMYFUNCTION("""COMPUTED_VALUE"""),"8DC9259490")</f>
        <v>8DC9259490</v>
      </c>
      <c r="K3008" s="177">
        <f>IFERROR(__xludf.DUMMYFUNCTION("""COMPUTED_VALUE"""),8)</f>
        <v>8</v>
      </c>
      <c r="L3008" s="177" t="str">
        <f>IFERROR(__xludf.DUMMYFUNCTION("""COMPUTED_VALUE"""),"-")</f>
        <v>-</v>
      </c>
    </row>
    <row r="3009" customHeight="1" spans="1:12">
      <c r="A3009" s="177" t="str">
        <f>IFERROR(__xludf.DUMMYFUNCTION("""COMPUTED_VALUE"""),"TND-XTA-066")</f>
        <v>TND-XTA-066</v>
      </c>
      <c r="B3009" s="1090" t="str">
        <f>IFERROR(__xludf.DUMMYFUNCTION("""COMPUTED_VALUE"""),"Xe ben 15 tấn")</f>
        <v>Xe ben 15 tấn</v>
      </c>
      <c r="C3009" s="177" t="str">
        <f>IFERROR(__xludf.DUMMYFUNCTION("""COMPUTED_VALUE"""),"CGTC DP")</f>
        <v>CGTC DP</v>
      </c>
      <c r="D3009" s="177" t="str">
        <f>IFERROR(__xludf.DUMMYFUNCTION("""COMPUTED_VALUE"""),"HYUNDAI")</f>
        <v>HYUNDAI</v>
      </c>
      <c r="E3009" s="177"/>
      <c r="F3009" s="177">
        <f>IFERROR(__xludf.DUMMYFUNCTION("""COMPUTED_VALUE"""),2002)</f>
        <v>2002</v>
      </c>
      <c r="G3009" s="177"/>
      <c r="H3009" s="177" t="str">
        <f>IFERROR(__xludf.DUMMYFUNCTION("""COMPUTED_VALUE"""),"340HP")</f>
        <v>340HP</v>
      </c>
      <c r="I3009" s="177" t="str">
        <f>IFERROR(__xludf.DUMMYFUNCTION("""COMPUTED_VALUE"""),"KMFDA18SP2C021785")</f>
        <v>KMFDA18SP2C021785</v>
      </c>
      <c r="J3009" s="177" t="str">
        <f>IFERROR(__xludf.DUMMYFUNCTION("""COMPUTED_VALUE"""),"D6CA2067638")</f>
        <v>D6CA2067638</v>
      </c>
      <c r="K3009" s="177">
        <f>IFERROR(__xludf.DUMMYFUNCTION("""COMPUTED_VALUE"""),8)</f>
        <v>8</v>
      </c>
      <c r="L3009" s="177" t="str">
        <f>IFERROR(__xludf.DUMMYFUNCTION("""COMPUTED_VALUE"""),"-")</f>
        <v>-</v>
      </c>
    </row>
    <row r="3010" customHeight="1" spans="1:12">
      <c r="A3010" s="177" t="str">
        <f>IFERROR(__xludf.DUMMYFUNCTION("""COMPUTED_VALUE"""),"TND-XTA-067")</f>
        <v>TND-XTA-067</v>
      </c>
      <c r="B3010" s="1090" t="str">
        <f>IFERROR(__xludf.DUMMYFUNCTION("""COMPUTED_VALUE"""),"Xe ben 5 tấn")</f>
        <v>Xe ben 5 tấn</v>
      </c>
      <c r="C3010" s="177" t="str">
        <f>IFERROR(__xludf.DUMMYFUNCTION("""COMPUTED_VALUE"""),"CGTC DP")</f>
        <v>CGTC DP</v>
      </c>
      <c r="D3010" s="177" t="str">
        <f>IFERROR(__xludf.DUMMYFUNCTION("""COMPUTED_VALUE"""),"HYUNDAI")</f>
        <v>HYUNDAI</v>
      </c>
      <c r="E3010" s="177"/>
      <c r="F3010" s="177">
        <f>IFERROR(__xludf.DUMMYFUNCTION("""COMPUTED_VALUE"""),1999)</f>
        <v>1999</v>
      </c>
      <c r="G3010" s="177" t="str">
        <f>IFERROR(__xludf.DUMMYFUNCTION("""COMPUTED_VALUE"""),"NIL")</f>
        <v>NIL</v>
      </c>
      <c r="H3010" s="177" t="str">
        <f>IFERROR(__xludf.DUMMYFUNCTION("""COMPUTED_VALUE"""),"170HP")</f>
        <v>170HP</v>
      </c>
      <c r="I3010" s="177" t="str">
        <f>IFERROR(__xludf.DUMMYFUNCTION("""COMPUTED_VALUE"""),"KMFLA19RPXC00")</f>
        <v>KMFLA19RPXC00</v>
      </c>
      <c r="J3010" s="177" t="str">
        <f>IFERROR(__xludf.DUMMYFUNCTION("""COMPUTED_VALUE"""),"D6BRVO12749")</f>
        <v>D6BRVO12749</v>
      </c>
      <c r="K3010" s="177">
        <f>IFERROR(__xludf.DUMMYFUNCTION("""COMPUTED_VALUE"""),4.5)</f>
        <v>4.5</v>
      </c>
      <c r="L3010" s="177" t="str">
        <f>IFERROR(__xludf.DUMMYFUNCTION("""COMPUTED_VALUE"""),"-")</f>
        <v>-</v>
      </c>
    </row>
    <row r="3011" customHeight="1" spans="1:12">
      <c r="A3011" s="177" t="str">
        <f>IFERROR(__xludf.DUMMYFUNCTION("""COMPUTED_VALUE"""),"TND-XTA-068")</f>
        <v>TND-XTA-068</v>
      </c>
      <c r="B3011" s="1090" t="str">
        <f>IFERROR(__xludf.DUMMYFUNCTION("""COMPUTED_VALUE"""),"Xe ben 25 tấn")</f>
        <v>Xe ben 25 tấn</v>
      </c>
      <c r="C3011" s="177" t="str">
        <f>IFERROR(__xludf.DUMMYFUNCTION("""COMPUTED_VALUE"""),"CGTC DP")</f>
        <v>CGTC DP</v>
      </c>
      <c r="D3011" s="177" t="str">
        <f>IFERROR(__xludf.DUMMYFUNCTION("""COMPUTED_VALUE"""),"DAEWOO")</f>
        <v>DAEWOO</v>
      </c>
      <c r="E3011" s="177"/>
      <c r="F3011" s="177">
        <f>IFERROR(__xludf.DUMMYFUNCTION("""COMPUTED_VALUE"""),2007)</f>
        <v>2007</v>
      </c>
      <c r="G3011" s="177" t="str">
        <f>IFERROR(__xludf.DUMMYFUNCTION("""COMPUTED_VALUE"""),"DUMPTRUCK")</f>
        <v>DUMPTRUCK</v>
      </c>
      <c r="H3011" s="177" t="str">
        <f>IFERROR(__xludf.DUMMYFUNCTION("""COMPUTED_VALUE"""),"380HP")</f>
        <v>380HP</v>
      </c>
      <c r="I3011" s="177" t="str">
        <f>IFERROR(__xludf.DUMMYFUNCTION("""COMPUTED_VALUE"""),"KL3N8ENF17K000751")</f>
        <v>KL3N8ENF17K000751</v>
      </c>
      <c r="J3011" s="177" t="str">
        <f>IFERROR(__xludf.DUMMYFUNCTION("""COMPUTED_VALUE"""),"35196732ISM")</f>
        <v>35196732ISM</v>
      </c>
      <c r="K3011" s="177">
        <f>IFERROR(__xludf.DUMMYFUNCTION("""COMPUTED_VALUE"""),13)</f>
        <v>13</v>
      </c>
      <c r="L3011" s="177" t="str">
        <f>IFERROR(__xludf.DUMMYFUNCTION("""COMPUTED_VALUE"""),"-")</f>
        <v>-</v>
      </c>
    </row>
    <row r="3012" customHeight="1" spans="1:12">
      <c r="A3012" s="177" t="str">
        <f>IFERROR(__xludf.DUMMYFUNCTION("""COMPUTED_VALUE"""),"TND-XTA-069")</f>
        <v>TND-XTA-069</v>
      </c>
      <c r="B3012" s="1090" t="str">
        <f>IFERROR(__xludf.DUMMYFUNCTION("""COMPUTED_VALUE"""),"Xe ben 25 tấn")</f>
        <v>Xe ben 25 tấn</v>
      </c>
      <c r="C3012" s="177" t="str">
        <f>IFERROR(__xludf.DUMMYFUNCTION("""COMPUTED_VALUE"""),"CGTC DP")</f>
        <v>CGTC DP</v>
      </c>
      <c r="D3012" s="177" t="str">
        <f>IFERROR(__xludf.DUMMYFUNCTION("""COMPUTED_VALUE"""),"DAEWOO")</f>
        <v>DAEWOO</v>
      </c>
      <c r="E3012" s="177"/>
      <c r="F3012" s="177">
        <f>IFERROR(__xludf.DUMMYFUNCTION("""COMPUTED_VALUE"""),2007)</f>
        <v>2007</v>
      </c>
      <c r="G3012" s="177"/>
      <c r="H3012" s="177" t="str">
        <f>IFERROR(__xludf.DUMMYFUNCTION("""COMPUTED_VALUE"""),"420HP")</f>
        <v>420HP</v>
      </c>
      <c r="I3012" s="177" t="str">
        <f>IFERROR(__xludf.DUMMYFUNCTION("""COMPUTED_VALUE"""),"519064421SH")</f>
        <v>519064421SH</v>
      </c>
      <c r="J3012" s="177" t="str">
        <f>IFERROR(__xludf.DUMMYFUNCTION("""COMPUTED_VALUE"""),"KL3N8DNF17K000445")</f>
        <v>KL3N8DNF17K000445</v>
      </c>
      <c r="K3012" s="177">
        <f>IFERROR(__xludf.DUMMYFUNCTION("""COMPUTED_VALUE"""),13.5)</f>
        <v>13.5</v>
      </c>
      <c r="L3012" s="177" t="str">
        <f>IFERROR(__xludf.DUMMYFUNCTION("""COMPUTED_VALUE"""),"Đang thuê")</f>
        <v>Đang thuê</v>
      </c>
    </row>
    <row r="3013" customHeight="1" spans="1:12">
      <c r="A3013" s="177" t="str">
        <f>IFERROR(__xludf.DUMMYFUNCTION("""COMPUTED_VALUE"""),"TND-XTA-070")</f>
        <v>TND-XTA-070</v>
      </c>
      <c r="B3013" s="1090" t="str">
        <f>IFERROR(__xludf.DUMMYFUNCTION("""COMPUTED_VALUE"""),"Xe ben 25 tấn")</f>
        <v>Xe ben 25 tấn</v>
      </c>
      <c r="C3013" s="177" t="str">
        <f>IFERROR(__xludf.DUMMYFUNCTION("""COMPUTED_VALUE"""),"CGTC DP")</f>
        <v>CGTC DP</v>
      </c>
      <c r="D3013" s="177" t="str">
        <f>IFERROR(__xludf.DUMMYFUNCTION("""COMPUTED_VALUE"""),"SHACMAN")</f>
        <v>SHACMAN</v>
      </c>
      <c r="E3013" s="177"/>
      <c r="F3013" s="177">
        <f>IFERROR(__xludf.DUMMYFUNCTION("""COMPUTED_VALUE"""),2019)</f>
        <v>2019</v>
      </c>
      <c r="G3013" s="177" t="str">
        <f>IFERROR(__xludf.DUMMYFUNCTION("""COMPUTED_VALUE"""),"SX3317")</f>
        <v>SX3317</v>
      </c>
      <c r="H3013" s="177" t="str">
        <f>IFERROR(__xludf.DUMMYFUNCTION("""COMPUTED_VALUE"""),"340HP")</f>
        <v>340HP</v>
      </c>
      <c r="I3013" s="177" t="str">
        <f>IFERROR(__xludf.DUMMYFUNCTION("""COMPUTED_VALUE"""),"HR66HX128366")</f>
        <v>HR66HX128366</v>
      </c>
      <c r="J3013" s="177" t="str">
        <f>IFERROR(__xludf.DUMMYFUNCTION("""COMPUTED_VALUE"""),"21617J120499")</f>
        <v>21617J120499</v>
      </c>
      <c r="K3013" s="177">
        <f>IFERROR(__xludf.DUMMYFUNCTION("""COMPUTED_VALUE"""),13)</f>
        <v>13</v>
      </c>
      <c r="L3013" s="177" t="str">
        <f>IFERROR(__xludf.DUMMYFUNCTION("""COMPUTED_VALUE"""),"Đang thuê")</f>
        <v>Đang thuê</v>
      </c>
    </row>
    <row r="3014" customHeight="1" spans="1:12">
      <c r="A3014" s="177" t="str">
        <f>IFERROR(__xludf.DUMMYFUNCTION("""COMPUTED_VALUE"""),"TND-XTA-071")</f>
        <v>TND-XTA-071</v>
      </c>
      <c r="B3014" s="1090" t="str">
        <f>IFERROR(__xludf.DUMMYFUNCTION("""COMPUTED_VALUE"""),"Xe ben 15 tấn")</f>
        <v>Xe ben 15 tấn</v>
      </c>
      <c r="C3014" s="177" t="str">
        <f>IFERROR(__xludf.DUMMYFUNCTION("""COMPUTED_VALUE"""),"CGTC DP")</f>
        <v>CGTC DP</v>
      </c>
      <c r="D3014" s="177" t="str">
        <f>IFERROR(__xludf.DUMMYFUNCTION("""COMPUTED_VALUE"""),"DONGPENG")</f>
        <v>DONGPENG</v>
      </c>
      <c r="E3014" s="177"/>
      <c r="F3014" s="177">
        <f>IFERROR(__xludf.DUMMYFUNCTION("""COMPUTED_VALUE"""),2015)</f>
        <v>2015</v>
      </c>
      <c r="G3014" s="177" t="str">
        <f>IFERROR(__xludf.DUMMYFUNCTION("""COMPUTED_VALUE"""),"DP")</f>
        <v>DP</v>
      </c>
      <c r="H3014" s="177"/>
      <c r="I3014" s="177" t="str">
        <f>IFERROR(__xludf.DUMMYFUNCTION("""COMPUTED_VALUE"""),"LGAX4DD3XFH119728")</f>
        <v>LGAX4DD3XFH119728</v>
      </c>
      <c r="J3014" s="177" t="str">
        <f>IFERROR(__xludf.DUMMYFUNCTION("""COMPUTED_VALUE"""),"L3403078164889")</f>
        <v>L3403078164889</v>
      </c>
      <c r="K3014" s="177">
        <f>IFERROR(__xludf.DUMMYFUNCTION("""COMPUTED_VALUE"""),8)</f>
        <v>8</v>
      </c>
      <c r="L3014" s="177" t="str">
        <f>IFERROR(__xludf.DUMMYFUNCTION("""COMPUTED_VALUE"""),"Đang thuê")</f>
        <v>Đang thuê</v>
      </c>
    </row>
    <row r="3015" customHeight="1" spans="1:12">
      <c r="A3015" s="177" t="str">
        <f>IFERROR(__xludf.DUMMYFUNCTION("""COMPUTED_VALUE"""),"TND-XTA-072")</f>
        <v>TND-XTA-072</v>
      </c>
      <c r="B3015" s="1090" t="str">
        <f>IFERROR(__xludf.DUMMYFUNCTION("""COMPUTED_VALUE"""),"Xe ben 15 tấn")</f>
        <v>Xe ben 15 tấn</v>
      </c>
      <c r="C3015" s="177" t="str">
        <f>IFERROR(__xludf.DUMMYFUNCTION("""COMPUTED_VALUE"""),"CGTC DP")</f>
        <v>CGTC DP</v>
      </c>
      <c r="D3015" s="177" t="str">
        <f>IFERROR(__xludf.DUMMYFUNCTION("""COMPUTED_VALUE"""),"HYUNDAI")</f>
        <v>HYUNDAI</v>
      </c>
      <c r="E3015" s="177"/>
      <c r="F3015" s="177"/>
      <c r="G3015" s="177" t="str">
        <f>IFERROR(__xludf.DUMMYFUNCTION("""COMPUTED_VALUE"""),"Tải tự đổ")</f>
        <v>Tải tự đổ</v>
      </c>
      <c r="H3015" s="177"/>
      <c r="I3015" s="177" t="str">
        <f>IFERROR(__xludf.DUMMYFUNCTION("""COMPUTED_VALUE"""),"18YPTC102295")</f>
        <v>18YPTC102295</v>
      </c>
      <c r="J3015" s="177" t="str">
        <f>IFERROR(__xludf.DUMMYFUNCTION("""COMPUTED_VALUE"""),"D8AYT167177")</f>
        <v>D8AYT167177</v>
      </c>
      <c r="K3015" s="177">
        <f>IFERROR(__xludf.DUMMYFUNCTION("""COMPUTED_VALUE"""),8)</f>
        <v>8</v>
      </c>
      <c r="L3015" s="177" t="str">
        <f>IFERROR(__xludf.DUMMYFUNCTION("""COMPUTED_VALUE"""),"Đang thuê")</f>
        <v>Đang thuê</v>
      </c>
    </row>
    <row r="3016" customHeight="1" spans="1:12">
      <c r="A3016" s="177" t="str">
        <f>IFERROR(__xludf.DUMMYFUNCTION("""COMPUTED_VALUE"""),"TND-XTA-073")</f>
        <v>TND-XTA-073</v>
      </c>
      <c r="B3016" s="1090" t="str">
        <f>IFERROR(__xludf.DUMMYFUNCTION("""COMPUTED_VALUE"""),"Xe ben 15 tấn")</f>
        <v>Xe ben 15 tấn</v>
      </c>
      <c r="C3016" s="177" t="str">
        <f>IFERROR(__xludf.DUMMYFUNCTION("""COMPUTED_VALUE"""),"CGTC DP")</f>
        <v>CGTC DP</v>
      </c>
      <c r="D3016" s="177" t="str">
        <f>IFERROR(__xludf.DUMMYFUNCTION("""COMPUTED_VALUE"""),"HYUNDAI")</f>
        <v>HYUNDAI</v>
      </c>
      <c r="E3016" s="177"/>
      <c r="F3016" s="177">
        <f>IFERROR(__xludf.DUMMYFUNCTION("""COMPUTED_VALUE"""),1998)</f>
        <v>1998</v>
      </c>
      <c r="G3016" s="177" t="str">
        <f>IFERROR(__xludf.DUMMYFUNCTION("""COMPUTED_VALUE"""),"DUMPTRUCK")</f>
        <v>DUMPTRUCK</v>
      </c>
      <c r="H3016" s="177" t="str">
        <f>IFERROR(__xludf.DUMMYFUNCTION("""COMPUTED_VALUE"""),"235 HP")</f>
        <v>235 HP</v>
      </c>
      <c r="I3016" s="177" t="str">
        <f>IFERROR(__xludf.DUMMYFUNCTION("""COMPUTED_VALUE"""),"KMCDB19CPWCOO1307")</f>
        <v>KMCDB19CPWCOO1307</v>
      </c>
      <c r="J3016" s="177"/>
      <c r="K3016" s="177">
        <f>IFERROR(__xludf.DUMMYFUNCTION("""COMPUTED_VALUE"""),8)</f>
        <v>8</v>
      </c>
      <c r="L3016" s="177" t="str">
        <f>IFERROR(__xludf.DUMMYFUNCTION("""COMPUTED_VALUE"""),"Đang thuê")</f>
        <v>Đang thuê</v>
      </c>
    </row>
    <row r="3017" customHeight="1" spans="1:12">
      <c r="A3017" s="177" t="str">
        <f>IFERROR(__xludf.DUMMYFUNCTION("""COMPUTED_VALUE"""),"TND-XTA-074")</f>
        <v>TND-XTA-074</v>
      </c>
      <c r="B3017" s="1090" t="str">
        <f>IFERROR(__xludf.DUMMYFUNCTION("""COMPUTED_VALUE"""),"Xe ben 15 tấn")</f>
        <v>Xe ben 15 tấn</v>
      </c>
      <c r="C3017" s="177" t="str">
        <f>IFERROR(__xludf.DUMMYFUNCTION("""COMPUTED_VALUE"""),"CGTC DP")</f>
        <v>CGTC DP</v>
      </c>
      <c r="D3017" s="177" t="str">
        <f>IFERROR(__xludf.DUMMYFUNCTION("""COMPUTED_VALUE"""),"HYUNDAI")</f>
        <v>HYUNDAI</v>
      </c>
      <c r="E3017" s="177"/>
      <c r="F3017" s="177"/>
      <c r="G3017" s="177" t="str">
        <f>IFERROR(__xludf.DUMMYFUNCTION("""COMPUTED_VALUE"""),"HD270")</f>
        <v>HD270</v>
      </c>
      <c r="H3017" s="177"/>
      <c r="I3017" s="177" t="str">
        <f>IFERROR(__xludf.DUMMYFUNCTION("""COMPUTED_VALUE"""),"KMCDB19YP3C024373")</f>
        <v>KMCDB19YP3C024373</v>
      </c>
      <c r="J3017" s="177" t="str">
        <f>IFERROR(__xludf.DUMMYFUNCTION("""COMPUTED_VALUE"""),"D8AY3071985")</f>
        <v>D8AY3071985</v>
      </c>
      <c r="K3017" s="177">
        <f>IFERROR(__xludf.DUMMYFUNCTION("""COMPUTED_VALUE"""),8.05)</f>
        <v>8.05</v>
      </c>
      <c r="L3017" s="177" t="str">
        <f>IFERROR(__xludf.DUMMYFUNCTION("""COMPUTED_VALUE"""),"Đang thuê")</f>
        <v>Đang thuê</v>
      </c>
    </row>
    <row r="3018" customHeight="1" spans="1:12">
      <c r="A3018" s="177" t="str">
        <f>IFERROR(__xludf.DUMMYFUNCTION("""COMPUTED_VALUE"""),"TND-XTA-075")</f>
        <v>TND-XTA-075</v>
      </c>
      <c r="B3018" s="1090" t="str">
        <f>IFERROR(__xludf.DUMMYFUNCTION("""COMPUTED_VALUE"""),"Xe ben 15 tấn")</f>
        <v>Xe ben 15 tấn</v>
      </c>
      <c r="C3018" s="177" t="str">
        <f>IFERROR(__xludf.DUMMYFUNCTION("""COMPUTED_VALUE"""),"CGTC DP")</f>
        <v>CGTC DP</v>
      </c>
      <c r="D3018" s="177" t="str">
        <f>IFERROR(__xludf.DUMMYFUNCTION("""COMPUTED_VALUE"""),"HOWO")</f>
        <v>HOWO</v>
      </c>
      <c r="E3018" s="177"/>
      <c r="F3018" s="177">
        <f>IFERROR(__xludf.DUMMYFUNCTION("""COMPUTED_VALUE"""),2017)</f>
        <v>2017</v>
      </c>
      <c r="G3018" s="177" t="str">
        <f>IFERROR(__xludf.DUMMYFUNCTION("""COMPUTED_VALUE"""),"ZZ3257N")</f>
        <v>ZZ3257N</v>
      </c>
      <c r="H3018" s="177" t="str">
        <f>IFERROR(__xludf.DUMMYFUNCTION("""COMPUTED_VALUE"""),"380 HP")</f>
        <v>380 HP</v>
      </c>
      <c r="I3018" s="177" t="str">
        <f>IFERROR(__xludf.DUMMYFUNCTION("""COMPUTED_VALUE"""),"LZZ5ELSD8ED874542")</f>
        <v>LZZ5ELSD8ED874542</v>
      </c>
      <c r="J3018" s="177" t="str">
        <f>IFERROR(__xludf.DUMMYFUNCTION("""COMPUTED_VALUE"""),"WD61547141107014567")</f>
        <v>WD61547141107014567</v>
      </c>
      <c r="K3018" s="177">
        <f>IFERROR(__xludf.DUMMYFUNCTION("""COMPUTED_VALUE"""),8.05)</f>
        <v>8.05</v>
      </c>
      <c r="L3018" s="177" t="str">
        <f>IFERROR(__xludf.DUMMYFUNCTION("""COMPUTED_VALUE"""),"Đang thuê")</f>
        <v>Đang thuê</v>
      </c>
    </row>
    <row r="3019" customHeight="1" spans="1:12">
      <c r="A3019" s="177" t="str">
        <f>IFERROR(__xludf.DUMMYFUNCTION("""COMPUTED_VALUE"""),"TND-XTA-076")</f>
        <v>TND-XTA-076</v>
      </c>
      <c r="B3019" s="1090" t="str">
        <f>IFERROR(__xludf.DUMMYFUNCTION("""COMPUTED_VALUE"""),"Xe ben 15 tấn")</f>
        <v>Xe ben 15 tấn</v>
      </c>
      <c r="C3019" s="177" t="str">
        <f>IFERROR(__xludf.DUMMYFUNCTION("""COMPUTED_VALUE"""),"CGTC DP")</f>
        <v>CGTC DP</v>
      </c>
      <c r="D3019" s="177" t="str">
        <f>IFERROR(__xludf.DUMMYFUNCTION("""COMPUTED_VALUE"""),"HOWO")</f>
        <v>HOWO</v>
      </c>
      <c r="E3019" s="177"/>
      <c r="F3019" s="177">
        <f>IFERROR(__xludf.DUMMYFUNCTION("""COMPUTED_VALUE"""),2017)</f>
        <v>2017</v>
      </c>
      <c r="G3019" s="177" t="str">
        <f>IFERROR(__xludf.DUMMYFUNCTION("""COMPUTED_VALUE"""),"ZZ3257N")</f>
        <v>ZZ3257N</v>
      </c>
      <c r="H3019" s="177" t="str">
        <f>IFERROR(__xludf.DUMMYFUNCTION("""COMPUTED_VALUE"""),"380 HP")</f>
        <v>380 HP</v>
      </c>
      <c r="I3019" s="177" t="str">
        <f>IFERROR(__xludf.DUMMYFUNCTION("""COMPUTED_VALUE"""),"LZZ5ELSC5FN086949")</f>
        <v>LZZ5ELSC5FN086949</v>
      </c>
      <c r="J3019" s="177" t="str">
        <f>IFERROR(__xludf.DUMMYFUNCTION("""COMPUTED_VALUE"""),"WD61547151107021977")</f>
        <v>WD61547151107021977</v>
      </c>
      <c r="K3019" s="177">
        <f>IFERROR(__xludf.DUMMYFUNCTION("""COMPUTED_VALUE"""),8.06)</f>
        <v>8.06</v>
      </c>
      <c r="L3019" s="177" t="str">
        <f>IFERROR(__xludf.DUMMYFUNCTION("""COMPUTED_VALUE"""),"-")</f>
        <v>-</v>
      </c>
    </row>
    <row r="3020" customHeight="1" spans="1:12">
      <c r="A3020" s="177" t="str">
        <f>IFERROR(__xludf.DUMMYFUNCTION("""COMPUTED_VALUE"""),"TND-XTA-077")</f>
        <v>TND-XTA-077</v>
      </c>
      <c r="B3020" s="1090" t="str">
        <f>IFERROR(__xludf.DUMMYFUNCTION("""COMPUTED_VALUE"""),"Xe ben 15 tấn")</f>
        <v>Xe ben 15 tấn</v>
      </c>
      <c r="C3020" s="177" t="str">
        <f>IFERROR(__xludf.DUMMYFUNCTION("""COMPUTED_VALUE"""),"CGTC DP")</f>
        <v>CGTC DP</v>
      </c>
      <c r="D3020" s="177" t="str">
        <f>IFERROR(__xludf.DUMMYFUNCTION("""COMPUTED_VALUE"""),"HYUNDAI")</f>
        <v>HYUNDAI</v>
      </c>
      <c r="E3020" s="177"/>
      <c r="F3020" s="177"/>
      <c r="G3020" s="177" t="str">
        <f>IFERROR(__xludf.DUMMYFUNCTION("""COMPUTED_VALUE"""),"HD270")</f>
        <v>HD270</v>
      </c>
      <c r="H3020" s="177"/>
      <c r="I3020" s="177" t="str">
        <f>IFERROR(__xludf.DUMMYFUNCTION("""COMPUTED_VALUE"""),"D8AY4088746")</f>
        <v>D8AY4088746</v>
      </c>
      <c r="J3020" s="177" t="str">
        <f>IFERROR(__xludf.DUMMYFUNCTION("""COMPUTED_VALUE"""),"KMCDB19YP4C032694")</f>
        <v>KMCDB19YP4C032694</v>
      </c>
      <c r="K3020" s="177">
        <f>IFERROR(__xludf.DUMMYFUNCTION("""COMPUTED_VALUE"""),8.1)</f>
        <v>8.1</v>
      </c>
      <c r="L3020" s="177" t="str">
        <f>IFERROR(__xludf.DUMMYFUNCTION("""COMPUTED_VALUE"""),"Đang thuê")</f>
        <v>Đang thuê</v>
      </c>
    </row>
    <row r="3021" customHeight="1" spans="1:12">
      <c r="A3021" s="177" t="str">
        <f>IFERROR(__xludf.DUMMYFUNCTION("""COMPUTED_VALUE"""),"TND-XTA-078")</f>
        <v>TND-XTA-078</v>
      </c>
      <c r="B3021" s="1090" t="str">
        <f>IFERROR(__xludf.DUMMYFUNCTION("""COMPUTED_VALUE"""),"Xe ben 15 tấn")</f>
        <v>Xe ben 15 tấn</v>
      </c>
      <c r="C3021" s="177" t="str">
        <f>IFERROR(__xludf.DUMMYFUNCTION("""COMPUTED_VALUE"""),"CGTC DP")</f>
        <v>CGTC DP</v>
      </c>
      <c r="D3021" s="177" t="str">
        <f>IFERROR(__xludf.DUMMYFUNCTION("""COMPUTED_VALUE"""),"HYUNDAI")</f>
        <v>HYUNDAI</v>
      </c>
      <c r="E3021" s="177"/>
      <c r="F3021" s="177"/>
      <c r="G3021" s="177" t="str">
        <f>IFERROR(__xludf.DUMMYFUNCTION("""COMPUTED_VALUE"""),"15TON")</f>
        <v>15TON</v>
      </c>
      <c r="H3021" s="177"/>
      <c r="I3021" s="177" t="str">
        <f>IFERROR(__xludf.DUMMYFUNCTION("""COMPUTED_VALUE"""),"D8AYT002259")</f>
        <v>D8AYT002259</v>
      </c>
      <c r="J3021" s="177" t="str">
        <f>IFERROR(__xludf.DUMMYFUNCTION("""COMPUTED_VALUE"""),"118YPTC103730")</f>
        <v>118YPTC103730</v>
      </c>
      <c r="K3021" s="177">
        <f>IFERROR(__xludf.DUMMYFUNCTION("""COMPUTED_VALUE"""),8)</f>
        <v>8</v>
      </c>
      <c r="L3021" s="177" t="str">
        <f>IFERROR(__xludf.DUMMYFUNCTION("""COMPUTED_VALUE"""),"Đang thuê")</f>
        <v>Đang thuê</v>
      </c>
    </row>
    <row r="3022" customHeight="1" spans="1:12">
      <c r="A3022" s="177" t="str">
        <f>IFERROR(__xludf.DUMMYFUNCTION("""COMPUTED_VALUE"""),"TND-XTA-079")</f>
        <v>TND-XTA-079</v>
      </c>
      <c r="B3022" s="1090" t="str">
        <f>IFERROR(__xludf.DUMMYFUNCTION("""COMPUTED_VALUE"""),"Xe ben 15 tấn")</f>
        <v>Xe ben 15 tấn</v>
      </c>
      <c r="C3022" s="177" t="str">
        <f>IFERROR(__xludf.DUMMYFUNCTION("""COMPUTED_VALUE"""),"CGTC DP")</f>
        <v>CGTC DP</v>
      </c>
      <c r="D3022" s="177" t="str">
        <f>IFERROR(__xludf.DUMMYFUNCTION("""COMPUTED_VALUE"""),"FUSO")</f>
        <v>FUSO</v>
      </c>
      <c r="E3022" s="177"/>
      <c r="F3022" s="177">
        <f>IFERROR(__xludf.DUMMYFUNCTION("""COMPUTED_VALUE"""),1995)</f>
        <v>1995</v>
      </c>
      <c r="G3022" s="177" t="str">
        <f>IFERROR(__xludf.DUMMYFUNCTION("""COMPUTED_VALUE"""),"3C-1878")</f>
        <v>3C-1878</v>
      </c>
      <c r="H3022" s="177" t="str">
        <f>IFERROR(__xludf.DUMMYFUNCTION("""COMPUTED_VALUE"""),"320HP")</f>
        <v>320HP</v>
      </c>
      <c r="I3022" s="177" t="str">
        <f>IFERROR(__xludf.DUMMYFUNCTION("""COMPUTED_VALUE"""),"KMCDB18YPSU019137")</f>
        <v>KMCDB18YPSU019137</v>
      </c>
      <c r="J3022" s="177" t="str">
        <f>IFERROR(__xludf.DUMMYFUNCTION("""COMPUTED_VALUE"""),"D8AYR131052")</f>
        <v>D8AYR131052</v>
      </c>
      <c r="K3022" s="177">
        <f>IFERROR(__xludf.DUMMYFUNCTION("""COMPUTED_VALUE"""),8.2)</f>
        <v>8.2</v>
      </c>
      <c r="L3022" s="177" t="str">
        <f>IFERROR(__xludf.DUMMYFUNCTION("""COMPUTED_VALUE"""),"Đang thuê")</f>
        <v>Đang thuê</v>
      </c>
    </row>
    <row r="3023" customHeight="1" spans="1:12">
      <c r="A3023" s="177" t="str">
        <f>IFERROR(__xludf.DUMMYFUNCTION("""COMPUTED_VALUE"""),"TND-XTA-080")</f>
        <v>TND-XTA-080</v>
      </c>
      <c r="B3023" s="1090" t="str">
        <f>IFERROR(__xludf.DUMMYFUNCTION("""COMPUTED_VALUE"""),"Xe ben 15 tấn")</f>
        <v>Xe ben 15 tấn</v>
      </c>
      <c r="C3023" s="177" t="str">
        <f>IFERROR(__xludf.DUMMYFUNCTION("""COMPUTED_VALUE"""),"CGTC DP")</f>
        <v>CGTC DP</v>
      </c>
      <c r="D3023" s="177" t="str">
        <f>IFERROR(__xludf.DUMMYFUNCTION("""COMPUTED_VALUE"""),"HYUNDAI")</f>
        <v>HYUNDAI</v>
      </c>
      <c r="E3023" s="177"/>
      <c r="F3023" s="177">
        <f>IFERROR(__xludf.DUMMYFUNCTION("""COMPUTED_VALUE"""),1993)</f>
        <v>1993</v>
      </c>
      <c r="G3023" s="177" t="str">
        <f>IFERROR(__xludf.DUMMYFUNCTION("""COMPUTED_VALUE"""),"3C-5522")</f>
        <v>3C-5522</v>
      </c>
      <c r="H3023" s="177" t="str">
        <f>IFERROR(__xludf.DUMMYFUNCTION("""COMPUTED_VALUE"""),"320HP")</f>
        <v>320HP</v>
      </c>
      <c r="I3023" s="177" t="str">
        <f>IFERROR(__xludf.DUMMYFUNCTION("""COMPUTED_VALUE"""),"KMCDB19YPPU015606")</f>
        <v>KMCDB19YPPU015606</v>
      </c>
      <c r="J3023" s="177" t="str">
        <f>IFERROR(__xludf.DUMMYFUNCTION("""COMPUTED_VALUE"""),"D8AYAR127615")</f>
        <v>D8AYAR127615</v>
      </c>
      <c r="K3023" s="177">
        <f>IFERROR(__xludf.DUMMYFUNCTION("""COMPUTED_VALUE"""),8.4)</f>
        <v>8.4</v>
      </c>
      <c r="L3023" s="177" t="str">
        <f>IFERROR(__xludf.DUMMYFUNCTION("""COMPUTED_VALUE"""),"Đang thuê")</f>
        <v>Đang thuê</v>
      </c>
    </row>
    <row r="3024" customHeight="1" spans="1:12">
      <c r="A3024" s="177" t="str">
        <f>IFERROR(__xludf.DUMMYFUNCTION("""COMPUTED_VALUE"""),"TND-XTA-081")</f>
        <v>TND-XTA-081</v>
      </c>
      <c r="B3024" s="1090" t="str">
        <f>IFERROR(__xludf.DUMMYFUNCTION("""COMPUTED_VALUE"""),"Xe ben 15 tấn")</f>
        <v>Xe ben 15 tấn</v>
      </c>
      <c r="C3024" s="177" t="str">
        <f>IFERROR(__xludf.DUMMYFUNCTION("""COMPUTED_VALUE"""),"CGTC DP")</f>
        <v>CGTC DP</v>
      </c>
      <c r="D3024" s="177" t="str">
        <f>IFERROR(__xludf.DUMMYFUNCTION("""COMPUTED_VALUE"""),"HYUNDAI")</f>
        <v>HYUNDAI</v>
      </c>
      <c r="E3024" s="177"/>
      <c r="F3024" s="177">
        <f>IFERROR(__xludf.DUMMYFUNCTION("""COMPUTED_VALUE"""),1997)</f>
        <v>1997</v>
      </c>
      <c r="G3024" s="177" t="str">
        <f>IFERROR(__xludf.DUMMYFUNCTION("""COMPUTED_VALUE"""),"3F-3808")</f>
        <v>3F-3808</v>
      </c>
      <c r="H3024" s="177" t="str">
        <f>IFERROR(__xludf.DUMMYFUNCTION("""COMPUTED_VALUE"""),"340HP")</f>
        <v>340HP</v>
      </c>
      <c r="I3024" s="177" t="str">
        <f>IFERROR(__xludf.DUMMYFUNCTION("""COMPUTED_VALUE"""),"KMCDB19BPVC104386")</f>
        <v>KMCDB19BPVC104386</v>
      </c>
      <c r="J3024" s="177" t="str">
        <f>IFERROR(__xludf.DUMMYFUNCTION("""COMPUTED_VALUE"""),"D8ABT005127")</f>
        <v>D8ABT005127</v>
      </c>
      <c r="K3024" s="177">
        <f>IFERROR(__xludf.DUMMYFUNCTION("""COMPUTED_VALUE"""),8.5)</f>
        <v>8.5</v>
      </c>
      <c r="L3024" s="177" t="str">
        <f>IFERROR(__xludf.DUMMYFUNCTION("""COMPUTED_VALUE"""),"Đang thuê")</f>
        <v>Đang thuê</v>
      </c>
    </row>
    <row r="3025" customHeight="1" spans="1:12">
      <c r="A3025" s="177" t="str">
        <f>IFERROR(__xludf.DUMMYFUNCTION("""COMPUTED_VALUE"""),"TND-XTA-082")</f>
        <v>TND-XTA-082</v>
      </c>
      <c r="B3025" s="1090" t="str">
        <f>IFERROR(__xludf.DUMMYFUNCTION("""COMPUTED_VALUE"""),"Xe ben 15 tấn")</f>
        <v>Xe ben 15 tấn</v>
      </c>
      <c r="C3025" s="177" t="str">
        <f>IFERROR(__xludf.DUMMYFUNCTION("""COMPUTED_VALUE"""),"CGTC DP")</f>
        <v>CGTC DP</v>
      </c>
      <c r="D3025" s="177" t="str">
        <f>IFERROR(__xludf.DUMMYFUNCTION("""COMPUTED_VALUE"""),"HINO")</f>
        <v>HINO</v>
      </c>
      <c r="E3025" s="177"/>
      <c r="F3025" s="177">
        <f>IFERROR(__xludf.DUMMYFUNCTION("""COMPUTED_VALUE"""),1998)</f>
        <v>1998</v>
      </c>
      <c r="G3025" s="177" t="str">
        <f>IFERROR(__xludf.DUMMYFUNCTION("""COMPUTED_VALUE"""),"772C054,65")</f>
        <v>772C054,65</v>
      </c>
      <c r="H3025" s="177" t="str">
        <f>IFERROR(__xludf.DUMMYFUNCTION("""COMPUTED_VALUE"""),"335HP")</f>
        <v>335HP</v>
      </c>
      <c r="I3025" s="177" t="str">
        <f>IFERROR(__xludf.DUMMYFUNCTION("""COMPUTED_VALUE"""),"LFS3FKE-10761")</f>
        <v>LFS3FKE-10761</v>
      </c>
      <c r="J3025" s="177" t="str">
        <f>IFERROR(__xludf.DUMMYFUNCTION("""COMPUTED_VALUE"""),"F20CC-10803")</f>
        <v>F20CC-10803</v>
      </c>
      <c r="K3025" s="177">
        <f>IFERROR(__xludf.DUMMYFUNCTION("""COMPUTED_VALUE"""),8.1)</f>
        <v>8.1</v>
      </c>
      <c r="L3025" s="177" t="str">
        <f>IFERROR(__xludf.DUMMYFUNCTION("""COMPUTED_VALUE"""),"-")</f>
        <v>-</v>
      </c>
    </row>
    <row r="3026" customHeight="1" spans="1:12">
      <c r="A3026" s="177" t="str">
        <f>IFERROR(__xludf.DUMMYFUNCTION("""COMPUTED_VALUE"""),"Xe Ban")</f>
        <v>Xe Ban</v>
      </c>
      <c r="B3026" s="1090" t="str">
        <f>IFERROR(__xludf.DUMMYFUNCTION("""COMPUTED_VALUE"""),"4")</f>
        <v>4</v>
      </c>
      <c r="C3026" s="177"/>
      <c r="D3026" s="177"/>
      <c r="E3026" s="177"/>
      <c r="F3026" s="177"/>
      <c r="G3026" s="177"/>
      <c r="H3026" s="177"/>
      <c r="I3026" s="177"/>
      <c r="J3026" s="177"/>
      <c r="K3026" s="177"/>
      <c r="L3026" s="177" t="str">
        <f>IFERROR(__xludf.DUMMYFUNCTION("""COMPUTED_VALUE"""),"3")</f>
        <v>3</v>
      </c>
    </row>
    <row r="3027" customHeight="1" spans="1:12">
      <c r="A3027" s="177" t="str">
        <f>IFERROR(__xludf.DUMMYFUNCTION("""COMPUTED_VALUE"""),"TND-BAN-001")</f>
        <v>TND-BAN-001</v>
      </c>
      <c r="B3027" s="1090" t="str">
        <f>IFERROR(__xludf.DUMMYFUNCTION("""COMPUTED_VALUE"""),"Xe ban 15 tấn")</f>
        <v>Xe ban 15 tấn</v>
      </c>
      <c r="C3027" s="177" t="str">
        <f>IFERROR(__xludf.DUMMYFUNCTION("""COMPUTED_VALUE"""),"CGTC DP")</f>
        <v>CGTC DP</v>
      </c>
      <c r="D3027" s="177" t="str">
        <f>IFERROR(__xludf.DUMMYFUNCTION("""COMPUTED_VALUE"""),"KOMATSU")</f>
        <v>KOMATSU</v>
      </c>
      <c r="E3027" s="177" t="str">
        <f>IFERROR(__xludf.DUMMYFUNCTION("""COMPUTED_VALUE"""),"NHẬT BẢN")</f>
        <v>NHẬT BẢN</v>
      </c>
      <c r="F3027" s="177">
        <f>IFERROR(__xludf.DUMMYFUNCTION("""COMPUTED_VALUE"""),2019)</f>
        <v>2019</v>
      </c>
      <c r="G3027" s="177" t="str">
        <f>IFERROR(__xludf.DUMMYFUNCTION("""COMPUTED_VALUE"""),"GD850")</f>
        <v>GD850</v>
      </c>
      <c r="H3027" s="177" t="str">
        <f>IFERROR(__xludf.DUMMYFUNCTION("""COMPUTED_VALUE"""),"177HP")</f>
        <v>177HP</v>
      </c>
      <c r="I3027" s="177" t="str">
        <f>IFERROR(__xludf.DUMMYFUNCTION("""COMPUTED_VALUE"""),"G580020UZ202313")</f>
        <v>G580020UZ202313</v>
      </c>
      <c r="J3027" s="177" t="str">
        <f>IFERROR(__xludf.DUMMYFUNCTION("""COMPUTED_VALUE"""),"45216841")</f>
        <v>45216841</v>
      </c>
      <c r="K3027" s="177">
        <f>IFERROR(__xludf.DUMMYFUNCTION("""COMPUTED_VALUE"""),15.5)</f>
        <v>15.5</v>
      </c>
      <c r="L3027" s="177" t="str">
        <f>IFERROR(__xludf.DUMMYFUNCTION("""COMPUTED_VALUE"""),"-")</f>
        <v>-</v>
      </c>
    </row>
    <row r="3028" customHeight="1" spans="1:12">
      <c r="A3028" s="177" t="str">
        <f>IFERROR(__xludf.DUMMYFUNCTION("""COMPUTED_VALUE"""),"TND-BAN-002")</f>
        <v>TND-BAN-002</v>
      </c>
      <c r="B3028" s="1090" t="str">
        <f>IFERROR(__xludf.DUMMYFUNCTION("""COMPUTED_VALUE"""),"Xe ban 15 tấn")</f>
        <v>Xe ban 15 tấn</v>
      </c>
      <c r="C3028" s="177" t="str">
        <f>IFERROR(__xludf.DUMMYFUNCTION("""COMPUTED_VALUE"""),"CGTC DP")</f>
        <v>CGTC DP</v>
      </c>
      <c r="D3028" s="177" t="str">
        <f>IFERROR(__xludf.DUMMYFUNCTION("""COMPUTED_VALUE"""),"MITSUBISHI")</f>
        <v>MITSUBISHI</v>
      </c>
      <c r="E3028" s="177"/>
      <c r="F3028" s="177">
        <f>IFERROR(__xludf.DUMMYFUNCTION("""COMPUTED_VALUE"""),1990)</f>
        <v>1990</v>
      </c>
      <c r="G3028" s="177" t="str">
        <f>IFERROR(__xludf.DUMMYFUNCTION("""COMPUTED_VALUE"""),"BD2G")</f>
        <v>BD2G</v>
      </c>
      <c r="H3028" s="177"/>
      <c r="I3028" s="177" t="str">
        <f>IFERROR(__xludf.DUMMYFUNCTION("""COMPUTED_VALUE"""),"2B100454")</f>
        <v>2B100454</v>
      </c>
      <c r="J3028" s="177" t="str">
        <f>IFERROR(__xludf.DUMMYFUNCTION("""COMPUTED_VALUE"""),"67555")</f>
        <v>67555</v>
      </c>
      <c r="K3028" s="177">
        <f>IFERROR(__xludf.DUMMYFUNCTION("""COMPUTED_VALUE"""),11)</f>
        <v>11</v>
      </c>
      <c r="L3028" s="177" t="str">
        <f>IFERROR(__xludf.DUMMYFUNCTION("""COMPUTED_VALUE"""),"-")</f>
        <v>-</v>
      </c>
    </row>
    <row r="3029" customHeight="1" spans="1:12">
      <c r="A3029" s="177" t="str">
        <f>IFERROR(__xludf.DUMMYFUNCTION("""COMPUTED_VALUE"""),"TND-BAN-003")</f>
        <v>TND-BAN-003</v>
      </c>
      <c r="B3029" s="1090" t="str">
        <f>IFERROR(__xludf.DUMMYFUNCTION("""COMPUTED_VALUE"""),"Xe ban 11 tấn")</f>
        <v>Xe ban 11 tấn</v>
      </c>
      <c r="C3029" s="177" t="str">
        <f>IFERROR(__xludf.DUMMYFUNCTION("""COMPUTED_VALUE"""),"CGTC DP")</f>
        <v>CGTC DP</v>
      </c>
      <c r="D3029" s="177" t="str">
        <f>IFERROR(__xludf.DUMMYFUNCTION("""COMPUTED_VALUE"""),"MISUBISHI")</f>
        <v>MISUBISHI</v>
      </c>
      <c r="E3029" s="177"/>
      <c r="F3029" s="177">
        <f>IFERROR(__xludf.DUMMYFUNCTION("""COMPUTED_VALUE"""),1990)</f>
        <v>1990</v>
      </c>
      <c r="G3029" s="177" t="str">
        <f>IFERROR(__xludf.DUMMYFUNCTION("""COMPUTED_VALUE"""),"NG300")</f>
        <v>NG300</v>
      </c>
      <c r="H3029" s="177" t="str">
        <f>IFERROR(__xludf.DUMMYFUNCTION("""COMPUTED_VALUE"""),"115HP")</f>
        <v>115HP</v>
      </c>
      <c r="I3029" s="177" t="str">
        <f>IFERROR(__xludf.DUMMYFUNCTION("""COMPUTED_VALUE"""),"36000600")</f>
        <v>36000600</v>
      </c>
      <c r="J3029" s="177" t="str">
        <f>IFERROR(__xludf.DUMMYFUNCTION("""COMPUTED_VALUE"""),"48305680")</f>
        <v>48305680</v>
      </c>
      <c r="K3029" s="177">
        <f>IFERROR(__xludf.DUMMYFUNCTION("""COMPUTED_VALUE"""),12)</f>
        <v>12</v>
      </c>
      <c r="L3029" s="177" t="str">
        <f>IFERROR(__xludf.DUMMYFUNCTION("""COMPUTED_VALUE"""),"-")</f>
        <v>-</v>
      </c>
    </row>
    <row r="3030" customHeight="1" spans="1:12">
      <c r="A3030" s="177" t="str">
        <f>IFERROR(__xludf.DUMMYFUNCTION("""COMPUTED_VALUE"""),"TND-BAN-004")</f>
        <v>TND-BAN-004</v>
      </c>
      <c r="B3030" s="1090" t="str">
        <f>IFERROR(__xludf.DUMMYFUNCTION("""COMPUTED_VALUE"""),"Xe ban 15 tấn")</f>
        <v>Xe ban 15 tấn</v>
      </c>
      <c r="C3030" s="177" t="str">
        <f>IFERROR(__xludf.DUMMYFUNCTION("""COMPUTED_VALUE"""),"CGTC DP")</f>
        <v>CGTC DP</v>
      </c>
      <c r="D3030" s="177" t="str">
        <f>IFERROR(__xludf.DUMMYFUNCTION("""COMPUTED_VALUE"""),"SANY")</f>
        <v>SANY</v>
      </c>
      <c r="E3030" s="177"/>
      <c r="F3030" s="177">
        <f>IFERROR(__xludf.DUMMYFUNCTION("""COMPUTED_VALUE"""),2022)</f>
        <v>2022</v>
      </c>
      <c r="G3030" s="177" t="str">
        <f>IFERROR(__xludf.DUMMYFUNCTION("""COMPUTED_VALUE"""),"STG 190C-8S")</f>
        <v>STG 190C-8S</v>
      </c>
      <c r="H3030" s="177" t="str">
        <f>IFERROR(__xludf.DUMMYFUNCTION("""COMPUTED_VALUE"""),"197HP")</f>
        <v>197HP</v>
      </c>
      <c r="I3030" s="177" t="str">
        <f>IFERROR(__xludf.DUMMYFUNCTION("""COMPUTED_VALUE"""),"PY5519CC1262")</f>
        <v>PY5519CC1262</v>
      </c>
      <c r="J3030" s="177" t="str">
        <f>IFERROR(__xludf.DUMMYFUNCTION("""COMPUTED_VALUE"""),"WP6G200E3306P22A004239")</f>
        <v>WP6G200E3306P22A004239</v>
      </c>
      <c r="K3030" s="177">
        <f>IFERROR(__xludf.DUMMYFUNCTION("""COMPUTED_VALUE"""),15)</f>
        <v>15</v>
      </c>
      <c r="L3030" s="177" t="str">
        <f>IFERROR(__xludf.DUMMYFUNCTION("""COMPUTED_VALUE"""),"-")</f>
        <v>-</v>
      </c>
    </row>
    <row r="3031" customHeight="1" spans="1:12">
      <c r="A3031" s="177" t="str">
        <f>IFERROR(__xludf.DUMMYFUNCTION("""COMPUTED_VALUE"""),"TND-BAN-005")</f>
        <v>TND-BAN-005</v>
      </c>
      <c r="B3031" s="1090" t="str">
        <f>IFERROR(__xludf.DUMMYFUNCTION("""COMPUTED_VALUE"""),"Xe ban 11 tấn")</f>
        <v>Xe ban 11 tấn</v>
      </c>
      <c r="C3031" s="177" t="str">
        <f>IFERROR(__xludf.DUMMYFUNCTION("""COMPUTED_VALUE"""),"CGTC DP")</f>
        <v>CGTC DP</v>
      </c>
      <c r="D3031" s="177" t="str">
        <f>IFERROR(__xludf.DUMMYFUNCTION("""COMPUTED_VALUE"""),"MITSUBISHI")</f>
        <v>MITSUBISHI</v>
      </c>
      <c r="E3031" s="177"/>
      <c r="F3031" s="177"/>
      <c r="G3031" s="177" t="str">
        <f>IFERROR(__xludf.DUMMYFUNCTION("""COMPUTED_VALUE"""),"MG300")</f>
        <v>MG300</v>
      </c>
      <c r="H3031" s="177" t="str">
        <f>IFERROR(__xludf.DUMMYFUNCTION("""COMPUTED_VALUE"""),"115HP")</f>
        <v>115HP</v>
      </c>
      <c r="I3031" s="177" t="str">
        <f>IFERROR(__xludf.DUMMYFUNCTION("""COMPUTED_VALUE"""),"360006000")</f>
        <v>360006000</v>
      </c>
      <c r="J3031" s="177" t="str">
        <f>IFERROR(__xludf.DUMMYFUNCTION("""COMPUTED_VALUE"""),"48305680")</f>
        <v>48305680</v>
      </c>
      <c r="K3031" s="177">
        <f>IFERROR(__xludf.DUMMYFUNCTION("""COMPUTED_VALUE"""),11)</f>
        <v>11</v>
      </c>
      <c r="L3031" s="177" t="str">
        <f>IFERROR(__xludf.DUMMYFUNCTION("""COMPUTED_VALUE"""),"-")</f>
        <v>-</v>
      </c>
    </row>
    <row r="3032" customHeight="1" spans="1:12">
      <c r="A3032" s="177" t="str">
        <f>IFERROR(__xludf.DUMMYFUNCTION("""COMPUTED_VALUE"""),"TND-BAN-006")</f>
        <v>TND-BAN-006</v>
      </c>
      <c r="B3032" s="1090" t="str">
        <f>IFERROR(__xludf.DUMMYFUNCTION("""COMPUTED_VALUE"""),"Xe ban 15 tấn")</f>
        <v>Xe ban 15 tấn</v>
      </c>
      <c r="C3032" s="177" t="str">
        <f>IFERROR(__xludf.DUMMYFUNCTION("""COMPUTED_VALUE"""),"CGTC DP")</f>
        <v>CGTC DP</v>
      </c>
      <c r="D3032" s="177" t="str">
        <f>IFERROR(__xludf.DUMMYFUNCTION("""COMPUTED_VALUE"""),"SANY")</f>
        <v>SANY</v>
      </c>
      <c r="E3032" s="177"/>
      <c r="F3032" s="177">
        <f>IFERROR(__xludf.DUMMYFUNCTION("""COMPUTED_VALUE"""),2024)</f>
        <v>2024</v>
      </c>
      <c r="G3032" s="177" t="str">
        <f>IFERROR(__xludf.DUMMYFUNCTION("""COMPUTED_VALUE"""),"STG 190C-8S")</f>
        <v>STG 190C-8S</v>
      </c>
      <c r="H3032" s="177" t="str">
        <f>IFERROR(__xludf.DUMMYFUNCTION("""COMPUTED_VALUE"""),"197 HP")</f>
        <v>197 HP</v>
      </c>
      <c r="I3032" s="177" t="str">
        <f>IFERROR(__xludf.DUMMYFUNCTION("""COMPUTED_VALUE"""),"PY5519CE0948")</f>
        <v>PY5519CE0948</v>
      </c>
      <c r="J3032" s="177" t="str">
        <f>IFERROR(__xludf.DUMMYFUNCTION("""COMPUTED_VALUE"""),"WP6G20E3306P24F015515")</f>
        <v>WP6G20E3306P24F015515</v>
      </c>
      <c r="K3032" s="177">
        <f>IFERROR(__xludf.DUMMYFUNCTION("""COMPUTED_VALUE"""),14)</f>
        <v>14</v>
      </c>
      <c r="L3032" s="177" t="str">
        <f>IFERROR(__xludf.DUMMYFUNCTION("""COMPUTED_VALUE"""),"Đang thuê")</f>
        <v>Đang thuê</v>
      </c>
    </row>
    <row r="3033" customHeight="1" spans="1:12">
      <c r="A3033" s="177" t="str">
        <f>IFERROR(__xludf.DUMMYFUNCTION("""COMPUTED_VALUE"""),"TND-BAN-007")</f>
        <v>TND-BAN-007</v>
      </c>
      <c r="B3033" s="1090" t="str">
        <f>IFERROR(__xludf.DUMMYFUNCTION("""COMPUTED_VALUE"""),"Xe ban 15 tấn")</f>
        <v>Xe ban 15 tấn</v>
      </c>
      <c r="C3033" s="177" t="str">
        <f>IFERROR(__xludf.DUMMYFUNCTION("""COMPUTED_VALUE"""),"CGTC DP")</f>
        <v>CGTC DP</v>
      </c>
      <c r="D3033" s="177" t="str">
        <f>IFERROR(__xludf.DUMMYFUNCTION("""COMPUTED_VALUE"""),"SANY")</f>
        <v>SANY</v>
      </c>
      <c r="E3033" s="177"/>
      <c r="F3033" s="177">
        <f>IFERROR(__xludf.DUMMYFUNCTION("""COMPUTED_VALUE"""),2022)</f>
        <v>2022</v>
      </c>
      <c r="G3033" s="177" t="str">
        <f>IFERROR(__xludf.DUMMYFUNCTION("""COMPUTED_VALUE"""),"STG 190C-8S")</f>
        <v>STG 190C-8S</v>
      </c>
      <c r="H3033" s="177" t="str">
        <f>IFERROR(__xludf.DUMMYFUNCTION("""COMPUTED_VALUE"""),"197HP")</f>
        <v>197HP</v>
      </c>
      <c r="I3033" s="177" t="str">
        <f>IFERROR(__xludf.DUMMYFUNCTION("""COMPUTED_VALUE"""),"PY5519CC1262")</f>
        <v>PY5519CC1262</v>
      </c>
      <c r="J3033" s="177" t="str">
        <f>IFERROR(__xludf.DUMMYFUNCTION("""COMPUTED_VALUE"""),"WP6G200E3306P22A004239")</f>
        <v>WP6G200E3306P22A004239</v>
      </c>
      <c r="K3033" s="177">
        <f>IFERROR(__xludf.DUMMYFUNCTION("""COMPUTED_VALUE"""),14.5)</f>
        <v>14.5</v>
      </c>
      <c r="L3033" s="177" t="str">
        <f>IFERROR(__xludf.DUMMYFUNCTION("""COMPUTED_VALUE"""),"-")</f>
        <v>-</v>
      </c>
    </row>
    <row r="3034" customHeight="1" spans="1:12">
      <c r="A3034" s="177" t="str">
        <f>IFERROR(__xludf.DUMMYFUNCTION("""COMPUTED_VALUE"""),"TND-BAN-008")</f>
        <v>TND-BAN-008</v>
      </c>
      <c r="B3034" s="1090" t="str">
        <f>IFERROR(__xludf.DUMMYFUNCTION("""COMPUTED_VALUE"""),"Xe ban 13 tấn")</f>
        <v>Xe ban 13 tấn</v>
      </c>
      <c r="C3034" s="177" t="str">
        <f>IFERROR(__xludf.DUMMYFUNCTION("""COMPUTED_VALUE"""),"CGTC DP")</f>
        <v>CGTC DP</v>
      </c>
      <c r="D3034" s="177" t="str">
        <f>IFERROR(__xludf.DUMMYFUNCTION("""COMPUTED_VALUE"""),"KOMATSU")</f>
        <v>KOMATSU</v>
      </c>
      <c r="E3034" s="177"/>
      <c r="F3034" s="177">
        <f>IFERROR(__xludf.DUMMYFUNCTION("""COMPUTED_VALUE"""),1995)</f>
        <v>1995</v>
      </c>
      <c r="G3034" s="177" t="str">
        <f>IFERROR(__xludf.DUMMYFUNCTION("""COMPUTED_VALUE"""),"GD525A")</f>
        <v>GD525A</v>
      </c>
      <c r="H3034" s="177" t="str">
        <f>IFERROR(__xludf.DUMMYFUNCTION("""COMPUTED_VALUE"""),"135HP")</f>
        <v>135HP</v>
      </c>
      <c r="I3034" s="177" t="str">
        <f>IFERROR(__xludf.DUMMYFUNCTION("""COMPUTED_VALUE"""),"55047")</f>
        <v>55047</v>
      </c>
      <c r="J3034" s="177" t="str">
        <f>IFERROR(__xludf.DUMMYFUNCTION("""COMPUTED_VALUE"""),"6D105117988")</f>
        <v>6D105117988</v>
      </c>
      <c r="K3034" s="177">
        <f>IFERROR(__xludf.DUMMYFUNCTION("""COMPUTED_VALUE"""),10)</f>
        <v>10</v>
      </c>
      <c r="L3034" s="177" t="str">
        <f>IFERROR(__xludf.DUMMYFUNCTION("""COMPUTED_VALUE"""),"-")</f>
        <v>-</v>
      </c>
    </row>
    <row r="3035" customHeight="1" spans="1:12">
      <c r="A3035" s="177" t="str">
        <f>IFERROR(__xludf.DUMMYFUNCTION("""COMPUTED_VALUE"""),"TND-BAN-009")</f>
        <v>TND-BAN-009</v>
      </c>
      <c r="B3035" s="1090" t="str">
        <f>IFERROR(__xludf.DUMMYFUNCTION("""COMPUTED_VALUE"""),"Xe ban 15 tấn")</f>
        <v>Xe ban 15 tấn</v>
      </c>
      <c r="C3035" s="177" t="str">
        <f>IFERROR(__xludf.DUMMYFUNCTION("""COMPUTED_VALUE"""),"CGTC DP")</f>
        <v>CGTC DP</v>
      </c>
      <c r="D3035" s="177" t="str">
        <f>IFERROR(__xludf.DUMMYFUNCTION("""COMPUTED_VALUE"""),"KOMATSU")</f>
        <v>KOMATSU</v>
      </c>
      <c r="E3035" s="177"/>
      <c r="F3035" s="177">
        <f>IFERROR(__xludf.DUMMYFUNCTION("""COMPUTED_VALUE"""),1995)</f>
        <v>1995</v>
      </c>
      <c r="G3035" s="177" t="str">
        <f>IFERROR(__xludf.DUMMYFUNCTION("""COMPUTED_VALUE"""),"GD850")</f>
        <v>GD850</v>
      </c>
      <c r="H3035" s="177" t="str">
        <f>IFERROR(__xludf.DUMMYFUNCTION("""COMPUTED_VALUE"""),"177HP")</f>
        <v>177HP</v>
      </c>
      <c r="I3035" s="177" t="str">
        <f>IFERROR(__xludf.DUMMYFUNCTION("""COMPUTED_VALUE"""),"G580010U200216")</f>
        <v>G580010U200216</v>
      </c>
      <c r="J3035" s="177" t="str">
        <f>IFERROR(__xludf.DUMMYFUNCTION("""COMPUTED_VALUE"""),"U00247")</f>
        <v>U00247</v>
      </c>
      <c r="K3035" s="177">
        <f>IFERROR(__xludf.DUMMYFUNCTION("""COMPUTED_VALUE"""),12)</f>
        <v>12</v>
      </c>
      <c r="L3035" s="177" t="str">
        <f>IFERROR(__xludf.DUMMYFUNCTION("""COMPUTED_VALUE"""),"-")</f>
        <v>-</v>
      </c>
    </row>
    <row r="3036" customHeight="1" spans="1:12">
      <c r="A3036" s="177" t="str">
        <f>IFERROR(__xludf.DUMMYFUNCTION("""COMPUTED_VALUE"""),"TND-BAN-010")</f>
        <v>TND-BAN-010</v>
      </c>
      <c r="B3036" s="1090" t="str">
        <f>IFERROR(__xludf.DUMMYFUNCTION("""COMPUTED_VALUE"""),"Xe ban 17 tấn")</f>
        <v>Xe ban 17 tấn</v>
      </c>
      <c r="C3036" s="177" t="str">
        <f>IFERROR(__xludf.DUMMYFUNCTION("""COMPUTED_VALUE"""),"CGTC DP")</f>
        <v>CGTC DP</v>
      </c>
      <c r="D3036" s="177" t="str">
        <f>IFERROR(__xludf.DUMMYFUNCTION("""COMPUTED_VALUE"""),"KOMATSU")</f>
        <v>KOMATSU</v>
      </c>
      <c r="E3036" s="177"/>
      <c r="F3036" s="177">
        <f>IFERROR(__xludf.DUMMYFUNCTION("""COMPUTED_VALUE"""),2000)</f>
        <v>2000</v>
      </c>
      <c r="G3036" s="177" t="str">
        <f>IFERROR(__xludf.DUMMYFUNCTION("""COMPUTED_VALUE"""),"GD705A-4A")</f>
        <v>GD705A-4A</v>
      </c>
      <c r="H3036" s="177" t="str">
        <f>IFERROR(__xludf.DUMMYFUNCTION("""COMPUTED_VALUE"""),"200HP")</f>
        <v>200HP</v>
      </c>
      <c r="I3036" s="177" t="str">
        <f>IFERROR(__xludf.DUMMYFUNCTION("""COMPUTED_VALUE"""),"11188")</f>
        <v>11188</v>
      </c>
      <c r="J3036" s="177" t="str">
        <f>IFERROR(__xludf.DUMMYFUNCTION("""COMPUTED_VALUE"""),"31921")</f>
        <v>31921</v>
      </c>
      <c r="K3036" s="177">
        <f>IFERROR(__xludf.DUMMYFUNCTION("""COMPUTED_VALUE"""),15)</f>
        <v>15</v>
      </c>
      <c r="L3036" s="177" t="str">
        <f>IFERROR(__xludf.DUMMYFUNCTION("""COMPUTED_VALUE"""),"-")</f>
        <v>-</v>
      </c>
    </row>
    <row r="3037" customHeight="1" spans="1:12">
      <c r="A3037" s="177" t="str">
        <f>IFERROR(__xludf.DUMMYFUNCTION("""COMPUTED_VALUE"""),"TND-BAN-012")</f>
        <v>TND-BAN-012</v>
      </c>
      <c r="B3037" s="1090" t="str">
        <f>IFERROR(__xludf.DUMMYFUNCTION("""COMPUTED_VALUE"""),"Xe ban 16 tấn")</f>
        <v>Xe ban 16 tấn</v>
      </c>
      <c r="C3037" s="177" t="str">
        <f>IFERROR(__xludf.DUMMYFUNCTION("""COMPUTED_VALUE"""),"CGTC DP")</f>
        <v>CGTC DP</v>
      </c>
      <c r="D3037" s="177" t="str">
        <f>IFERROR(__xludf.DUMMYFUNCTION("""COMPUTED_VALUE"""),"SANY")</f>
        <v>SANY</v>
      </c>
      <c r="E3037" s="177"/>
      <c r="F3037" s="177">
        <f>IFERROR(__xludf.DUMMYFUNCTION("""COMPUTED_VALUE"""),2024)</f>
        <v>2024</v>
      </c>
      <c r="G3037" s="177" t="str">
        <f>IFERROR(__xludf.DUMMYFUNCTION("""COMPUTED_VALUE"""),"STG 190C-8S")</f>
        <v>STG 190C-8S</v>
      </c>
      <c r="H3037" s="177" t="str">
        <f>IFERROR(__xludf.DUMMYFUNCTION("""COMPUTED_VALUE"""),"197HP")</f>
        <v>197HP</v>
      </c>
      <c r="I3037" s="177" t="str">
        <f>IFERROR(__xludf.DUMMYFUNCTION("""COMPUTED_VALUE"""),"PY5519CE0141")</f>
        <v>PY5519CE0141</v>
      </c>
      <c r="J3037" s="177" t="str">
        <f>IFERROR(__xludf.DUMMYFUNCTION("""COMPUTED_VALUE"""),"6P24A001802")</f>
        <v>6P24A001802</v>
      </c>
      <c r="K3037" s="177">
        <f>IFERROR(__xludf.DUMMYFUNCTION("""COMPUTED_VALUE"""),14.5)</f>
        <v>14.5</v>
      </c>
      <c r="L3037" s="177" t="str">
        <f>IFERROR(__xludf.DUMMYFUNCTION("""COMPUTED_VALUE"""),"-")</f>
        <v>-</v>
      </c>
    </row>
    <row r="3038" customHeight="1" spans="1:12">
      <c r="A3038" s="177" t="str">
        <f>IFERROR(__xludf.DUMMYFUNCTION("""COMPUTED_VALUE"""),"TND-BAN-013")</f>
        <v>TND-BAN-013</v>
      </c>
      <c r="B3038" s="1090" t="str">
        <f>IFERROR(__xludf.DUMMYFUNCTION("""COMPUTED_VALUE"""),"Xe ban 14 tấn")</f>
        <v>Xe ban 14 tấn</v>
      </c>
      <c r="C3038" s="177" t="str">
        <f>IFERROR(__xludf.DUMMYFUNCTION("""COMPUTED_VALUE"""),"CGTC DP")</f>
        <v>CGTC DP</v>
      </c>
      <c r="D3038" s="177" t="str">
        <f>IFERROR(__xludf.DUMMYFUNCTION("""COMPUTED_VALUE"""),"KOMATSU")</f>
        <v>KOMATSU</v>
      </c>
      <c r="E3038" s="177"/>
      <c r="F3038" s="177">
        <f>IFERROR(__xludf.DUMMYFUNCTION("""COMPUTED_VALUE"""),2006)</f>
        <v>2006</v>
      </c>
      <c r="G3038" s="177"/>
      <c r="H3038" s="177"/>
      <c r="I3038" s="177"/>
      <c r="J3038" s="177"/>
      <c r="K3038" s="177">
        <f>IFERROR(__xludf.DUMMYFUNCTION("""COMPUTED_VALUE"""),16)</f>
        <v>16</v>
      </c>
      <c r="L3038" s="177" t="str">
        <f>IFERROR(__xludf.DUMMYFUNCTION("""COMPUTED_VALUE"""),"-")</f>
        <v>-</v>
      </c>
    </row>
    <row r="3039" customHeight="1" spans="1:12">
      <c r="A3039" s="177" t="str">
        <f>IFERROR(__xludf.DUMMYFUNCTION("""COMPUTED_VALUE"""),"TND-BAN-014")</f>
        <v>TND-BAN-014</v>
      </c>
      <c r="B3039" s="1090" t="str">
        <f>IFERROR(__xludf.DUMMYFUNCTION("""COMPUTED_VALUE"""),"Xe ban 14 tấn")</f>
        <v>Xe ban 14 tấn</v>
      </c>
      <c r="C3039" s="177" t="str">
        <f>IFERROR(__xludf.DUMMYFUNCTION("""COMPUTED_VALUE"""),"CGTC DP")</f>
        <v>CGTC DP</v>
      </c>
      <c r="D3039" s="177" t="str">
        <f>IFERROR(__xludf.DUMMYFUNCTION("""COMPUTED_VALUE"""),"KOMATSU")</f>
        <v>KOMATSU</v>
      </c>
      <c r="E3039" s="177"/>
      <c r="F3039" s="177">
        <f>IFERROR(__xludf.DUMMYFUNCTION("""COMPUTED_VALUE"""),2000)</f>
        <v>2000</v>
      </c>
      <c r="G3039" s="177" t="str">
        <f>IFERROR(__xludf.DUMMYFUNCTION("""COMPUTED_VALUE"""),"GALION 850")</f>
        <v>GALION 850</v>
      </c>
      <c r="H3039" s="177" t="str">
        <f>IFERROR(__xludf.DUMMYFUNCTION("""COMPUTED_VALUE"""),"170HP")</f>
        <v>170HP</v>
      </c>
      <c r="I3039" s="177" t="str">
        <f>IFERROR(__xludf.DUMMYFUNCTION("""COMPUTED_VALUE"""),"G580010U201017")</f>
        <v>G580010U201017</v>
      </c>
      <c r="J3039" s="177" t="str">
        <f>IFERROR(__xludf.DUMMYFUNCTION("""COMPUTED_VALUE"""),"NIL")</f>
        <v>NIL</v>
      </c>
      <c r="K3039" s="177">
        <f>IFERROR(__xludf.DUMMYFUNCTION("""COMPUTED_VALUE"""),16)</f>
        <v>16</v>
      </c>
      <c r="L3039" s="177" t="str">
        <f>IFERROR(__xludf.DUMMYFUNCTION("""COMPUTED_VALUE"""),"Đang thuê")</f>
        <v>Đang thuê</v>
      </c>
    </row>
    <row r="3040" customHeight="1" spans="1:12">
      <c r="A3040" s="177" t="str">
        <f>IFERROR(__xludf.DUMMYFUNCTION("""COMPUTED_VALUE"""),"TND-BAN-015")</f>
        <v>TND-BAN-015</v>
      </c>
      <c r="B3040" s="1090" t="str">
        <f>IFERROR(__xludf.DUMMYFUNCTION("""COMPUTED_VALUE"""),"Xe ban 14 tấn")</f>
        <v>Xe ban 14 tấn</v>
      </c>
      <c r="C3040" s="177" t="str">
        <f>IFERROR(__xludf.DUMMYFUNCTION("""COMPUTED_VALUE"""),"CGTC DP")</f>
        <v>CGTC DP</v>
      </c>
      <c r="D3040" s="177" t="str">
        <f>IFERROR(__xludf.DUMMYFUNCTION("""COMPUTED_VALUE"""),"CAT")</f>
        <v>CAT</v>
      </c>
      <c r="E3040" s="177"/>
      <c r="F3040" s="177"/>
      <c r="G3040" s="177" t="str">
        <f>IFERROR(__xludf.DUMMYFUNCTION("""COMPUTED_VALUE"""),"12E")</f>
        <v>12E</v>
      </c>
      <c r="H3040" s="177" t="str">
        <f>IFERROR(__xludf.DUMMYFUNCTION("""COMPUTED_VALUE"""),"115HP")</f>
        <v>115HP</v>
      </c>
      <c r="I3040" s="177" t="str">
        <f>IFERROR(__xludf.DUMMYFUNCTION("""COMPUTED_VALUE"""),"99E-11144")</f>
        <v>99E-11144</v>
      </c>
      <c r="J3040" s="177" t="str">
        <f>IFERROR(__xludf.DUMMYFUNCTION("""COMPUTED_VALUE"""),"99E9954")</f>
        <v>99E9954</v>
      </c>
      <c r="K3040" s="177">
        <f>IFERROR(__xludf.DUMMYFUNCTION("""COMPUTED_VALUE"""),14)</f>
        <v>14</v>
      </c>
      <c r="L3040" s="177" t="str">
        <f>IFERROR(__xludf.DUMMYFUNCTION("""COMPUTED_VALUE"""),"Đang thuê")</f>
        <v>Đang thuê</v>
      </c>
    </row>
    <row r="3041" customHeight="1" spans="1:12">
      <c r="A3041" s="177" t="str">
        <f>IFERROR(__xludf.DUMMYFUNCTION("""COMPUTED_VALUE"""),"Xe chuyên dụng")</f>
        <v>Xe chuyên dụng</v>
      </c>
      <c r="B3041" s="1090" t="str">
        <f>IFERROR(__xludf.DUMMYFUNCTION("""COMPUTED_VALUE"""),"2")</f>
        <v>2</v>
      </c>
      <c r="C3041" s="177"/>
      <c r="D3041" s="177"/>
      <c r="E3041" s="177"/>
      <c r="F3041" s="177"/>
      <c r="G3041" s="177"/>
      <c r="H3041" s="177"/>
      <c r="I3041" s="177"/>
      <c r="J3041" s="177"/>
      <c r="K3041" s="177"/>
      <c r="L3041" s="177" t="str">
        <f>IFERROR(__xludf.DUMMYFUNCTION("""COMPUTED_VALUE"""),"2")</f>
        <v>2</v>
      </c>
    </row>
    <row r="3042" customHeight="1" spans="1:12">
      <c r="A3042" s="177" t="str">
        <f>IFERROR(__xludf.DUMMYFUNCTION("""COMPUTED_VALUE"""),"TND-XCA-001")</f>
        <v>TND-XCA-001</v>
      </c>
      <c r="B3042" s="1090" t="str">
        <f>IFERROR(__xludf.DUMMYFUNCTION("""COMPUTED_VALUE"""),"Xe cầu thùng 15 tấn")</f>
        <v>Xe cầu thùng 15 tấn</v>
      </c>
      <c r="C3042" s="177" t="str">
        <f>IFERROR(__xludf.DUMMYFUNCTION("""COMPUTED_VALUE"""),"CGTC DP")</f>
        <v>CGTC DP</v>
      </c>
      <c r="D3042" s="177"/>
      <c r="E3042" s="177"/>
      <c r="F3042" s="177"/>
      <c r="G3042" s="177"/>
      <c r="H3042" s="177"/>
      <c r="I3042" s="177" t="str">
        <f>IFERROR(__xludf.DUMMYFUNCTION("""COMPUTED_VALUE"""),"KMFPA18SP2CD1G259")</f>
        <v>KMFPA18SP2CD1G259</v>
      </c>
      <c r="J3042" s="177" t="str">
        <f>IFERROR(__xludf.DUMMYFUNCTION("""COMPUTED_VALUE"""),"DBCA2056544")</f>
        <v>DBCA2056544</v>
      </c>
      <c r="K3042" s="177"/>
      <c r="L3042" s="177" t="str">
        <f>IFERROR(__xludf.DUMMYFUNCTION("""COMPUTED_VALUE"""),"-")</f>
        <v>-</v>
      </c>
    </row>
    <row r="3043" customHeight="1" spans="1:12">
      <c r="A3043" s="177" t="str">
        <f>IFERROR(__xludf.DUMMYFUNCTION("""COMPUTED_VALUE"""),"TND-XCA-002")</f>
        <v>TND-XCA-002</v>
      </c>
      <c r="B3043" s="1090" t="str">
        <f>IFERROR(__xludf.DUMMYFUNCTION("""COMPUTED_VALUE"""),"Xe cẩu 15 tấn")</f>
        <v>Xe cẩu 15 tấn</v>
      </c>
      <c r="C3043" s="177" t="str">
        <f>IFERROR(__xludf.DUMMYFUNCTION("""COMPUTED_VALUE"""),"CGTC DP")</f>
        <v>CGTC DP</v>
      </c>
      <c r="D3043" s="177" t="str">
        <f>IFERROR(__xludf.DUMMYFUNCTION("""COMPUTED_VALUE"""),"HYUNDAI")</f>
        <v>HYUNDAI</v>
      </c>
      <c r="E3043" s="177"/>
      <c r="F3043" s="177">
        <f>IFERROR(__xludf.DUMMYFUNCTION("""COMPUTED_VALUE"""),2002)</f>
        <v>2002</v>
      </c>
      <c r="G3043" s="177"/>
      <c r="H3043" s="177" t="str">
        <f>IFERROR(__xludf.DUMMYFUNCTION("""COMPUTED_VALUE"""),"410HP")</f>
        <v>410HP</v>
      </c>
      <c r="I3043" s="177" t="str">
        <f>IFERROR(__xludf.DUMMYFUNCTION("""COMPUTED_VALUE"""),"KMFPA18SP2C017138")</f>
        <v>KMFPA18SP2C017138</v>
      </c>
      <c r="J3043" s="177" t="str">
        <f>IFERROR(__xludf.DUMMYFUNCTION("""COMPUTED_VALUE"""),"D6CA2057873")</f>
        <v>D6CA2057873</v>
      </c>
      <c r="K3043" s="177">
        <f>IFERROR(__xludf.DUMMYFUNCTION("""COMPUTED_VALUE"""),10)</f>
        <v>10</v>
      </c>
      <c r="L3043" s="177" t="str">
        <f>IFERROR(__xludf.DUMMYFUNCTION("""COMPUTED_VALUE"""),"Đang thuê")</f>
        <v>Đang thuê</v>
      </c>
    </row>
    <row r="3044" customHeight="1" spans="1:12">
      <c r="A3044" s="177" t="str">
        <f>IFERROR(__xludf.DUMMYFUNCTION("""COMPUTED_VALUE"""),"TND-XCA-003")</f>
        <v>TND-XCA-003</v>
      </c>
      <c r="B3044" s="1090" t="str">
        <f>IFERROR(__xludf.DUMMYFUNCTION("""COMPUTED_VALUE"""),"Xe cẩu 8 tấn")</f>
        <v>Xe cẩu 8 tấn</v>
      </c>
      <c r="C3044" s="177" t="str">
        <f>IFERROR(__xludf.DUMMYFUNCTION("""COMPUTED_VALUE"""),"Ban điện nước")</f>
        <v>Ban điện nước</v>
      </c>
      <c r="D3044" s="177" t="str">
        <f>IFERROR(__xludf.DUMMYFUNCTION("""COMPUTED_VALUE"""),"HYUNDAI")</f>
        <v>HYUNDAI</v>
      </c>
      <c r="E3044" s="177"/>
      <c r="F3044" s="177">
        <f>IFERROR(__xludf.DUMMYFUNCTION("""COMPUTED_VALUE"""),2004)</f>
        <v>2004</v>
      </c>
      <c r="G3044" s="177" t="str">
        <f>IFERROR(__xludf.DUMMYFUNCTION("""COMPUTED_VALUE"""),"AD260")</f>
        <v>AD260</v>
      </c>
      <c r="H3044" s="177" t="str">
        <f>IFERROR(__xludf.DUMMYFUNCTION("""COMPUTED_VALUE"""),"380HP")</f>
        <v>380HP</v>
      </c>
      <c r="I3044" s="177" t="str">
        <f>IFERROR(__xludf.DUMMYFUNCTION("""COMPUTED_VALUE"""),"KMFDA19BP4C036819")</f>
        <v>KMFDA19BP4C036819</v>
      </c>
      <c r="J3044" s="177" t="str">
        <f>IFERROR(__xludf.DUMMYFUNCTION("""COMPUTED_VALUE"""),"D6AB4095031")</f>
        <v>D6AB4095031</v>
      </c>
      <c r="K3044" s="177">
        <f>IFERROR(__xludf.DUMMYFUNCTION("""COMPUTED_VALUE"""),5.7)</f>
        <v>5.7</v>
      </c>
      <c r="L3044" s="177" t="str">
        <f>IFERROR(__xludf.DUMMYFUNCTION("""COMPUTED_VALUE"""),"Đang thuê")</f>
        <v>Đang thuê</v>
      </c>
    </row>
    <row r="3045" customHeight="1" spans="1:12">
      <c r="A3045" s="177" t="str">
        <f>IFERROR(__xludf.DUMMYFUNCTION("""COMPUTED_VALUE"""),"TND-XCA-004")</f>
        <v>TND-XCA-004</v>
      </c>
      <c r="B3045" s="1090" t="str">
        <f>IFERROR(__xludf.DUMMYFUNCTION("""COMPUTED_VALUE"""),"Xe cẩu 17 tấn")</f>
        <v>Xe cẩu 17 tấn</v>
      </c>
      <c r="C3045" s="177" t="str">
        <f>IFERROR(__xludf.DUMMYFUNCTION("""COMPUTED_VALUE"""),"CGTC DP")</f>
        <v>CGTC DP</v>
      </c>
      <c r="D3045" s="177" t="str">
        <f>IFERROR(__xludf.DUMMYFUNCTION("""COMPUTED_VALUE"""),"HYUNDAI")</f>
        <v>HYUNDAI</v>
      </c>
      <c r="E3045" s="177"/>
      <c r="F3045" s="177">
        <f>IFERROR(__xludf.DUMMYFUNCTION("""COMPUTED_VALUE"""),2004)</f>
        <v>2004</v>
      </c>
      <c r="G3045" s="177" t="str">
        <f>IFERROR(__xludf.DUMMYFUNCTION("""COMPUTED_VALUE"""),"Light Truck")</f>
        <v>Light Truck</v>
      </c>
      <c r="H3045" s="177" t="str">
        <f>IFERROR(__xludf.DUMMYFUNCTION("""COMPUTED_VALUE"""),"380HP")</f>
        <v>380HP</v>
      </c>
      <c r="I3045" s="177" t="str">
        <f>IFERROR(__xludf.DUMMYFUNCTION("""COMPUTED_VALUE"""),"KMFPA18SP4C028562")</f>
        <v>KMFPA18SP4C028562</v>
      </c>
      <c r="J3045" s="177" t="str">
        <f>IFERROR(__xludf.DUMMYFUNCTION("""COMPUTED_VALUE"""),"D6CA3079758")</f>
        <v>D6CA3079758</v>
      </c>
      <c r="K3045" s="177">
        <f>IFERROR(__xludf.DUMMYFUNCTION("""COMPUTED_VALUE"""),10)</f>
        <v>10</v>
      </c>
      <c r="L3045" s="177" t="str">
        <f>IFERROR(__xludf.DUMMYFUNCTION("""COMPUTED_VALUE"""),"-")</f>
        <v>-</v>
      </c>
    </row>
    <row r="3046" customHeight="1" spans="1:12">
      <c r="A3046" s="177" t="str">
        <f>IFERROR(__xludf.DUMMYFUNCTION("""COMPUTED_VALUE"""),"CLETHON")</f>
        <v>CLETHON</v>
      </c>
      <c r="B3046" s="1090"/>
      <c r="C3046" s="177"/>
      <c r="D3046" s="177"/>
      <c r="E3046" s="177"/>
      <c r="F3046" s="177"/>
      <c r="G3046" s="177"/>
      <c r="H3046" s="177"/>
      <c r="I3046" s="177"/>
      <c r="J3046" s="177"/>
      <c r="K3046" s="177"/>
      <c r="L3046" s="177" t="str">
        <f>IFERROR(__xludf.DUMMYFUNCTION("""COMPUTED_VALUE"""),"-")</f>
        <v>-</v>
      </c>
    </row>
    <row r="3047" customHeight="1" spans="1:12">
      <c r="A3047" s="177" t="str">
        <f>IFERROR(__xludf.DUMMYFUNCTION("""COMPUTED_VALUE"""),"XÍ NGHIỆP CHUỐI DP1")</f>
        <v>XÍ NGHIỆP CHUỐI DP1</v>
      </c>
      <c r="B3047" s="1090"/>
      <c r="C3047" s="177"/>
      <c r="D3047" s="177"/>
      <c r="E3047" s="177"/>
      <c r="F3047" s="177"/>
      <c r="G3047" s="177"/>
      <c r="H3047" s="177"/>
      <c r="I3047" s="177"/>
      <c r="J3047" s="177"/>
      <c r="K3047" s="177">
        <f>IFERROR(__xludf.DUMMYFUNCTION("""COMPUTED_VALUE"""),0.5)</f>
        <v>0.5</v>
      </c>
      <c r="L3047" s="177" t="str">
        <f>IFERROR(__xludf.DUMMYFUNCTION("""COMPUTED_VALUE"""),"-")</f>
        <v>-</v>
      </c>
    </row>
    <row r="3048" customHeight="1" spans="1:12">
      <c r="A3048" s="177" t="str">
        <f>IFERROR(__xludf.DUMMYFUNCTION("""COMPUTED_VALUE"""),"TND-CLT-001")</f>
        <v>TND-CLT-001</v>
      </c>
      <c r="B3048" s="1090" t="str">
        <f>IFERROR(__xludf.DUMMYFUNCTION("""COMPUTED_VALUE"""),"Xe Clethon")</f>
        <v>Xe Clethon</v>
      </c>
      <c r="C3048" s="177"/>
      <c r="D3048" s="177"/>
      <c r="E3048" s="177"/>
      <c r="F3048" s="177"/>
      <c r="G3048" s="177"/>
      <c r="H3048" s="177" t="str">
        <f>IFERROR(__xludf.DUMMYFUNCTION("""COMPUTED_VALUE"""),"15HP")</f>
        <v>15HP</v>
      </c>
      <c r="I3048" s="177"/>
      <c r="J3048" s="177"/>
      <c r="K3048" s="177">
        <f>IFERROR(__xludf.DUMMYFUNCTION("""COMPUTED_VALUE"""),0.5)</f>
        <v>0.5</v>
      </c>
      <c r="L3048" s="177" t="str">
        <f>IFERROR(__xludf.DUMMYFUNCTION("""COMPUTED_VALUE"""),"-")</f>
        <v>-</v>
      </c>
    </row>
    <row r="3049" customHeight="1" spans="1:12">
      <c r="A3049" s="177" t="str">
        <f>IFERROR(__xludf.DUMMYFUNCTION("""COMPUTED_VALUE"""),"TND-CLT-002")</f>
        <v>TND-CLT-002</v>
      </c>
      <c r="B3049" s="1090" t="str">
        <f>IFERROR(__xludf.DUMMYFUNCTION("""COMPUTED_VALUE"""),"X.Clethon")</f>
        <v>X.Clethon</v>
      </c>
      <c r="C3049" s="177"/>
      <c r="D3049" s="177"/>
      <c r="E3049" s="177"/>
      <c r="F3049" s="177"/>
      <c r="G3049" s="177"/>
      <c r="H3049" s="177" t="str">
        <f>IFERROR(__xludf.DUMMYFUNCTION("""COMPUTED_VALUE"""),"15HP")</f>
        <v>15HP</v>
      </c>
      <c r="I3049" s="177"/>
      <c r="J3049" s="177"/>
      <c r="K3049" s="177">
        <f>IFERROR(__xludf.DUMMYFUNCTION("""COMPUTED_VALUE"""),0.5)</f>
        <v>0.5</v>
      </c>
      <c r="L3049" s="177" t="str">
        <f>IFERROR(__xludf.DUMMYFUNCTION("""COMPUTED_VALUE"""),"-")</f>
        <v>-</v>
      </c>
    </row>
    <row r="3050" customHeight="1" spans="1:12">
      <c r="A3050" s="177" t="str">
        <f>IFERROR(__xludf.DUMMYFUNCTION("""COMPUTED_VALUE"""),"TND-CLT-003")</f>
        <v>TND-CLT-003</v>
      </c>
      <c r="B3050" s="1090" t="str">
        <f>IFERROR(__xludf.DUMMYFUNCTION("""COMPUTED_VALUE"""),"Xe Clethon")</f>
        <v>Xe Clethon</v>
      </c>
      <c r="C3050" s="177"/>
      <c r="D3050" s="177"/>
      <c r="E3050" s="177"/>
      <c r="F3050" s="177"/>
      <c r="G3050" s="177"/>
      <c r="H3050" s="177" t="str">
        <f>IFERROR(__xludf.DUMMYFUNCTION("""COMPUTED_VALUE"""),"15HP")</f>
        <v>15HP</v>
      </c>
      <c r="I3050" s="177"/>
      <c r="J3050" s="177"/>
      <c r="K3050" s="177">
        <f>IFERROR(__xludf.DUMMYFUNCTION("""COMPUTED_VALUE"""),0.5)</f>
        <v>0.5</v>
      </c>
      <c r="L3050" s="177" t="str">
        <f>IFERROR(__xludf.DUMMYFUNCTION("""COMPUTED_VALUE"""),"-")</f>
        <v>-</v>
      </c>
    </row>
    <row r="3051" customHeight="1" spans="1:12">
      <c r="A3051" s="177" t="str">
        <f>IFERROR(__xludf.DUMMYFUNCTION("""COMPUTED_VALUE"""),"TND-CLT-004")</f>
        <v>TND-CLT-004</v>
      </c>
      <c r="B3051" s="1090" t="str">
        <f>IFERROR(__xludf.DUMMYFUNCTION("""COMPUTED_VALUE"""),"X.Clethon")</f>
        <v>X.Clethon</v>
      </c>
      <c r="C3051" s="177"/>
      <c r="D3051" s="177"/>
      <c r="E3051" s="177"/>
      <c r="F3051" s="177"/>
      <c r="G3051" s="177"/>
      <c r="H3051" s="177" t="str">
        <f>IFERROR(__xludf.DUMMYFUNCTION("""COMPUTED_VALUE"""),"15HP")</f>
        <v>15HP</v>
      </c>
      <c r="I3051" s="177"/>
      <c r="J3051" s="177"/>
      <c r="K3051" s="177">
        <f>IFERROR(__xludf.DUMMYFUNCTION("""COMPUTED_VALUE"""),0.5)</f>
        <v>0.5</v>
      </c>
      <c r="L3051" s="177" t="str">
        <f>IFERROR(__xludf.DUMMYFUNCTION("""COMPUTED_VALUE"""),"-")</f>
        <v>-</v>
      </c>
    </row>
    <row r="3052" customHeight="1" spans="1:12">
      <c r="A3052" s="177" t="str">
        <f>IFERROR(__xludf.DUMMYFUNCTION("""COMPUTED_VALUE"""),"TND-CLT-068")</f>
        <v>TND-CLT-068</v>
      </c>
      <c r="B3052" s="1090" t="str">
        <f>IFERROR(__xludf.DUMMYFUNCTION("""COMPUTED_VALUE"""),"Xe Clethon")</f>
        <v>Xe Clethon</v>
      </c>
      <c r="C3052" s="177"/>
      <c r="D3052" s="177"/>
      <c r="E3052" s="177"/>
      <c r="F3052" s="177"/>
      <c r="G3052" s="177"/>
      <c r="H3052" s="177" t="str">
        <f>IFERROR(__xludf.DUMMYFUNCTION("""COMPUTED_VALUE"""),"15HP")</f>
        <v>15HP</v>
      </c>
      <c r="I3052" s="177"/>
      <c r="J3052" s="177"/>
      <c r="K3052" s="177">
        <f>IFERROR(__xludf.DUMMYFUNCTION("""COMPUTED_VALUE"""),0.5)</f>
        <v>0.5</v>
      </c>
      <c r="L3052" s="177" t="str">
        <f>IFERROR(__xludf.DUMMYFUNCTION("""COMPUTED_VALUE"""),"-")</f>
        <v>-</v>
      </c>
    </row>
    <row r="3053" customHeight="1" spans="1:12">
      <c r="A3053" s="177" t="str">
        <f>IFERROR(__xludf.DUMMYFUNCTION("""COMPUTED_VALUE"""),"TND-CLT-069")</f>
        <v>TND-CLT-069</v>
      </c>
      <c r="B3053" s="1090" t="str">
        <f>IFERROR(__xludf.DUMMYFUNCTION("""COMPUTED_VALUE"""),"Xe Clethon")</f>
        <v>Xe Clethon</v>
      </c>
      <c r="C3053" s="177"/>
      <c r="D3053" s="177"/>
      <c r="E3053" s="177"/>
      <c r="F3053" s="177"/>
      <c r="G3053" s="177"/>
      <c r="H3053" s="177" t="str">
        <f>IFERROR(__xludf.DUMMYFUNCTION("""COMPUTED_VALUE"""),"15HP")</f>
        <v>15HP</v>
      </c>
      <c r="I3053" s="177"/>
      <c r="J3053" s="177"/>
      <c r="K3053" s="177">
        <f>IFERROR(__xludf.DUMMYFUNCTION("""COMPUTED_VALUE"""),0.5)</f>
        <v>0.5</v>
      </c>
      <c r="L3053" s="177" t="str">
        <f>IFERROR(__xludf.DUMMYFUNCTION("""COMPUTED_VALUE"""),"-")</f>
        <v>-</v>
      </c>
    </row>
    <row r="3054" customHeight="1" spans="1:12">
      <c r="A3054" s="177" t="str">
        <f>IFERROR(__xludf.DUMMYFUNCTION("""COMPUTED_VALUE"""),"TND-CLT-070")</f>
        <v>TND-CLT-070</v>
      </c>
      <c r="B3054" s="1090" t="str">
        <f>IFERROR(__xludf.DUMMYFUNCTION("""COMPUTED_VALUE"""),"Xe Clethon")</f>
        <v>Xe Clethon</v>
      </c>
      <c r="C3054" s="177"/>
      <c r="D3054" s="177"/>
      <c r="E3054" s="177"/>
      <c r="F3054" s="177"/>
      <c r="G3054" s="177"/>
      <c r="H3054" s="177" t="str">
        <f>IFERROR(__xludf.DUMMYFUNCTION("""COMPUTED_VALUE"""),"15HP")</f>
        <v>15HP</v>
      </c>
      <c r="I3054" s="177"/>
      <c r="J3054" s="177"/>
      <c r="K3054" s="177">
        <f>IFERROR(__xludf.DUMMYFUNCTION("""COMPUTED_VALUE"""),0.5)</f>
        <v>0.5</v>
      </c>
      <c r="L3054" s="177" t="str">
        <f>IFERROR(__xludf.DUMMYFUNCTION("""COMPUTED_VALUE"""),"-")</f>
        <v>-</v>
      </c>
    </row>
    <row r="3055" customHeight="1" spans="1:12">
      <c r="A3055" s="177" t="str">
        <f>IFERROR(__xludf.DUMMYFUNCTION("""COMPUTED_VALUE"""),"TND-CLT-071")</f>
        <v>TND-CLT-071</v>
      </c>
      <c r="B3055" s="1090" t="str">
        <f>IFERROR(__xludf.DUMMYFUNCTION("""COMPUTED_VALUE"""),"Xe Clethon")</f>
        <v>Xe Clethon</v>
      </c>
      <c r="C3055" s="177"/>
      <c r="D3055" s="177"/>
      <c r="E3055" s="177"/>
      <c r="F3055" s="177"/>
      <c r="G3055" s="177"/>
      <c r="H3055" s="177" t="str">
        <f>IFERROR(__xludf.DUMMYFUNCTION("""COMPUTED_VALUE"""),"15HP")</f>
        <v>15HP</v>
      </c>
      <c r="I3055" s="177"/>
      <c r="J3055" s="177"/>
      <c r="K3055" s="177">
        <f>IFERROR(__xludf.DUMMYFUNCTION("""COMPUTED_VALUE"""),0.5)</f>
        <v>0.5</v>
      </c>
      <c r="L3055" s="177" t="str">
        <f>IFERROR(__xludf.DUMMYFUNCTION("""COMPUTED_VALUE"""),"-")</f>
        <v>-</v>
      </c>
    </row>
    <row r="3056" customHeight="1" spans="1:12">
      <c r="A3056" s="177" t="str">
        <f>IFERROR(__xludf.DUMMYFUNCTION("""COMPUTED_VALUE"""),"TND-CLT-072")</f>
        <v>TND-CLT-072</v>
      </c>
      <c r="B3056" s="1090" t="str">
        <f>IFERROR(__xludf.DUMMYFUNCTION("""COMPUTED_VALUE"""),"Xe Clethon")</f>
        <v>Xe Clethon</v>
      </c>
      <c r="C3056" s="177"/>
      <c r="D3056" s="177"/>
      <c r="E3056" s="177"/>
      <c r="F3056" s="177"/>
      <c r="G3056" s="177"/>
      <c r="H3056" s="177" t="str">
        <f>IFERROR(__xludf.DUMMYFUNCTION("""COMPUTED_VALUE"""),"15HP")</f>
        <v>15HP</v>
      </c>
      <c r="I3056" s="177"/>
      <c r="J3056" s="177"/>
      <c r="K3056" s="177">
        <f>IFERROR(__xludf.DUMMYFUNCTION("""COMPUTED_VALUE"""),0.5)</f>
        <v>0.5</v>
      </c>
      <c r="L3056" s="177" t="str">
        <f>IFERROR(__xludf.DUMMYFUNCTION("""COMPUTED_VALUE"""),"-")</f>
        <v>-</v>
      </c>
    </row>
    <row r="3057" customHeight="1" spans="1:12">
      <c r="A3057" s="177" t="str">
        <f>IFERROR(__xludf.DUMMYFUNCTION("""COMPUTED_VALUE"""),"TND-CLT-073")</f>
        <v>TND-CLT-073</v>
      </c>
      <c r="B3057" s="1090" t="str">
        <f>IFERROR(__xludf.DUMMYFUNCTION("""COMPUTED_VALUE"""),"Xe Clethon")</f>
        <v>Xe Clethon</v>
      </c>
      <c r="C3057" s="177"/>
      <c r="D3057" s="177"/>
      <c r="E3057" s="177"/>
      <c r="F3057" s="177"/>
      <c r="G3057" s="177"/>
      <c r="H3057" s="177" t="str">
        <f>IFERROR(__xludf.DUMMYFUNCTION("""COMPUTED_VALUE"""),"15HP")</f>
        <v>15HP</v>
      </c>
      <c r="I3057" s="177"/>
      <c r="J3057" s="177"/>
      <c r="K3057" s="177">
        <f>IFERROR(__xludf.DUMMYFUNCTION("""COMPUTED_VALUE"""),0.5)</f>
        <v>0.5</v>
      </c>
      <c r="L3057" s="177" t="str">
        <f>IFERROR(__xludf.DUMMYFUNCTION("""COMPUTED_VALUE"""),"-")</f>
        <v>-</v>
      </c>
    </row>
    <row r="3058" customHeight="1" spans="1:12">
      <c r="A3058" s="177" t="str">
        <f>IFERROR(__xludf.DUMMYFUNCTION("""COMPUTED_VALUE"""),"TND-CLT-074")</f>
        <v>TND-CLT-074</v>
      </c>
      <c r="B3058" s="1090" t="str">
        <f>IFERROR(__xludf.DUMMYFUNCTION("""COMPUTED_VALUE"""),"Xe Clethon")</f>
        <v>Xe Clethon</v>
      </c>
      <c r="C3058" s="177"/>
      <c r="D3058" s="177"/>
      <c r="E3058" s="177"/>
      <c r="F3058" s="177"/>
      <c r="G3058" s="177"/>
      <c r="H3058" s="177" t="str">
        <f>IFERROR(__xludf.DUMMYFUNCTION("""COMPUTED_VALUE"""),"15HP")</f>
        <v>15HP</v>
      </c>
      <c r="I3058" s="177"/>
      <c r="J3058" s="177"/>
      <c r="K3058" s="177">
        <f>IFERROR(__xludf.DUMMYFUNCTION("""COMPUTED_VALUE"""),0.5)</f>
        <v>0.5</v>
      </c>
      <c r="L3058" s="177" t="str">
        <f>IFERROR(__xludf.DUMMYFUNCTION("""COMPUTED_VALUE"""),"-")</f>
        <v>-</v>
      </c>
    </row>
    <row r="3059" customHeight="1" spans="1:12">
      <c r="A3059" s="177" t="str">
        <f>IFERROR(__xludf.DUMMYFUNCTION("""COMPUTED_VALUE"""),"XÍ NGHIỆP CHUỐI DP2")</f>
        <v>XÍ NGHIỆP CHUỐI DP2</v>
      </c>
      <c r="B3059" s="1090"/>
      <c r="C3059" s="177"/>
      <c r="D3059" s="177"/>
      <c r="E3059" s="177"/>
      <c r="F3059" s="177"/>
      <c r="G3059" s="177"/>
      <c r="H3059" s="177"/>
      <c r="I3059" s="177"/>
      <c r="J3059" s="177"/>
      <c r="K3059" s="177">
        <f>IFERROR(__xludf.DUMMYFUNCTION("""COMPUTED_VALUE"""),0.5)</f>
        <v>0.5</v>
      </c>
      <c r="L3059" s="177" t="str">
        <f>IFERROR(__xludf.DUMMYFUNCTION("""COMPUTED_VALUE"""),"-")</f>
        <v>-</v>
      </c>
    </row>
    <row r="3060" customHeight="1" spans="1:12">
      <c r="A3060" s="177" t="str">
        <f>IFERROR(__xludf.DUMMYFUNCTION("""COMPUTED_VALUE"""),"TND-CLT-011")</f>
        <v>TND-CLT-011</v>
      </c>
      <c r="B3060" s="1090" t="str">
        <f>IFERROR(__xludf.DUMMYFUNCTION("""COMPUTED_VALUE"""),"Xe Clethon")</f>
        <v>Xe Clethon</v>
      </c>
      <c r="C3060" s="177"/>
      <c r="D3060" s="177"/>
      <c r="E3060" s="177"/>
      <c r="F3060" s="177"/>
      <c r="G3060" s="177"/>
      <c r="H3060" s="177" t="str">
        <f>IFERROR(__xludf.DUMMYFUNCTION("""COMPUTED_VALUE"""),"15HP")</f>
        <v>15HP</v>
      </c>
      <c r="I3060" s="177"/>
      <c r="J3060" s="177"/>
      <c r="K3060" s="177">
        <f>IFERROR(__xludf.DUMMYFUNCTION("""COMPUTED_VALUE"""),0.5)</f>
        <v>0.5</v>
      </c>
      <c r="L3060" s="177" t="str">
        <f>IFERROR(__xludf.DUMMYFUNCTION("""COMPUTED_VALUE"""),"-")</f>
        <v>-</v>
      </c>
    </row>
    <row r="3061" customHeight="1" spans="1:12">
      <c r="A3061" s="177" t="str">
        <f>IFERROR(__xludf.DUMMYFUNCTION("""COMPUTED_VALUE"""),"TND-CLT-012")</f>
        <v>TND-CLT-012</v>
      </c>
      <c r="B3061" s="1090" t="str">
        <f>IFERROR(__xludf.DUMMYFUNCTION("""COMPUTED_VALUE"""),"Xe Clethon")</f>
        <v>Xe Clethon</v>
      </c>
      <c r="C3061" s="177"/>
      <c r="D3061" s="177"/>
      <c r="E3061" s="177"/>
      <c r="F3061" s="177"/>
      <c r="G3061" s="177"/>
      <c r="H3061" s="177" t="str">
        <f>IFERROR(__xludf.DUMMYFUNCTION("""COMPUTED_VALUE"""),"15HP")</f>
        <v>15HP</v>
      </c>
      <c r="I3061" s="177"/>
      <c r="J3061" s="177"/>
      <c r="K3061" s="177">
        <f>IFERROR(__xludf.DUMMYFUNCTION("""COMPUTED_VALUE"""),0.5)</f>
        <v>0.5</v>
      </c>
      <c r="L3061" s="177" t="str">
        <f>IFERROR(__xludf.DUMMYFUNCTION("""COMPUTED_VALUE"""),"-")</f>
        <v>-</v>
      </c>
    </row>
    <row r="3062" customHeight="1" spans="1:12">
      <c r="A3062" s="177" t="str">
        <f>IFERROR(__xludf.DUMMYFUNCTION("""COMPUTED_VALUE"""),"TND-CLT-014")</f>
        <v>TND-CLT-014</v>
      </c>
      <c r="B3062" s="1090" t="str">
        <f>IFERROR(__xludf.DUMMYFUNCTION("""COMPUTED_VALUE"""),"Xe Clethon")</f>
        <v>Xe Clethon</v>
      </c>
      <c r="C3062" s="177"/>
      <c r="D3062" s="177"/>
      <c r="E3062" s="177"/>
      <c r="F3062" s="177"/>
      <c r="G3062" s="177"/>
      <c r="H3062" s="177" t="str">
        <f>IFERROR(__xludf.DUMMYFUNCTION("""COMPUTED_VALUE"""),"15HP")</f>
        <v>15HP</v>
      </c>
      <c r="I3062" s="177"/>
      <c r="J3062" s="177"/>
      <c r="K3062" s="177">
        <f>IFERROR(__xludf.DUMMYFUNCTION("""COMPUTED_VALUE"""),0.5)</f>
        <v>0.5</v>
      </c>
      <c r="L3062" s="177" t="str">
        <f>IFERROR(__xludf.DUMMYFUNCTION("""COMPUTED_VALUE"""),"-")</f>
        <v>-</v>
      </c>
    </row>
    <row r="3063" customHeight="1" spans="1:12">
      <c r="A3063" s="177" t="str">
        <f>IFERROR(__xludf.DUMMYFUNCTION("""COMPUTED_VALUE"""),"TND-CLT-015")</f>
        <v>TND-CLT-015</v>
      </c>
      <c r="B3063" s="1090" t="str">
        <f>IFERROR(__xludf.DUMMYFUNCTION("""COMPUTED_VALUE"""),"Xe Clethon")</f>
        <v>Xe Clethon</v>
      </c>
      <c r="C3063" s="177"/>
      <c r="D3063" s="177"/>
      <c r="E3063" s="177"/>
      <c r="F3063" s="177"/>
      <c r="G3063" s="177"/>
      <c r="H3063" s="177" t="str">
        <f>IFERROR(__xludf.DUMMYFUNCTION("""COMPUTED_VALUE"""),"15HP")</f>
        <v>15HP</v>
      </c>
      <c r="I3063" s="177"/>
      <c r="J3063" s="177"/>
      <c r="K3063" s="177">
        <f>IFERROR(__xludf.DUMMYFUNCTION("""COMPUTED_VALUE"""),0.5)</f>
        <v>0.5</v>
      </c>
      <c r="L3063" s="177" t="str">
        <f>IFERROR(__xludf.DUMMYFUNCTION("""COMPUTED_VALUE"""),"-")</f>
        <v>-</v>
      </c>
    </row>
    <row r="3064" customHeight="1" spans="1:12">
      <c r="A3064" s="177" t="str">
        <f>IFERROR(__xludf.DUMMYFUNCTION("""COMPUTED_VALUE"""),"TND-CLT-016")</f>
        <v>TND-CLT-016</v>
      </c>
      <c r="B3064" s="1090" t="str">
        <f>IFERROR(__xludf.DUMMYFUNCTION("""COMPUTED_VALUE"""),"Xe Clethon")</f>
        <v>Xe Clethon</v>
      </c>
      <c r="C3064" s="177"/>
      <c r="D3064" s="177"/>
      <c r="E3064" s="177"/>
      <c r="F3064" s="177"/>
      <c r="G3064" s="177"/>
      <c r="H3064" s="177" t="str">
        <f>IFERROR(__xludf.DUMMYFUNCTION("""COMPUTED_VALUE"""),"15HP")</f>
        <v>15HP</v>
      </c>
      <c r="I3064" s="177"/>
      <c r="J3064" s="177"/>
      <c r="K3064" s="177">
        <f>IFERROR(__xludf.DUMMYFUNCTION("""COMPUTED_VALUE"""),0.5)</f>
        <v>0.5</v>
      </c>
      <c r="L3064" s="177" t="str">
        <f>IFERROR(__xludf.DUMMYFUNCTION("""COMPUTED_VALUE"""),"-")</f>
        <v>-</v>
      </c>
    </row>
    <row r="3065" customHeight="1" spans="1:12">
      <c r="A3065" s="177" t="str">
        <f>IFERROR(__xludf.DUMMYFUNCTION("""COMPUTED_VALUE"""),"TND-CLT-017")</f>
        <v>TND-CLT-017</v>
      </c>
      <c r="B3065" s="1090" t="str">
        <f>IFERROR(__xludf.DUMMYFUNCTION("""COMPUTED_VALUE"""),"Xe Clethon")</f>
        <v>Xe Clethon</v>
      </c>
      <c r="C3065" s="177"/>
      <c r="D3065" s="177"/>
      <c r="E3065" s="177"/>
      <c r="F3065" s="177"/>
      <c r="G3065" s="177"/>
      <c r="H3065" s="177" t="str">
        <f>IFERROR(__xludf.DUMMYFUNCTION("""COMPUTED_VALUE"""),"15HP")</f>
        <v>15HP</v>
      </c>
      <c r="I3065" s="177"/>
      <c r="J3065" s="177"/>
      <c r="K3065" s="177">
        <f>IFERROR(__xludf.DUMMYFUNCTION("""COMPUTED_VALUE"""),0.5)</f>
        <v>0.5</v>
      </c>
      <c r="L3065" s="177" t="str">
        <f>IFERROR(__xludf.DUMMYFUNCTION("""COMPUTED_VALUE"""),"-")</f>
        <v>-</v>
      </c>
    </row>
    <row r="3066" customHeight="1" spans="1:12">
      <c r="A3066" s="177" t="str">
        <f>IFERROR(__xludf.DUMMYFUNCTION("""COMPUTED_VALUE"""),"TND-CLT-018")</f>
        <v>TND-CLT-018</v>
      </c>
      <c r="B3066" s="1090" t="str">
        <f>IFERROR(__xludf.DUMMYFUNCTION("""COMPUTED_VALUE"""),"Xe Clethon")</f>
        <v>Xe Clethon</v>
      </c>
      <c r="C3066" s="177"/>
      <c r="D3066" s="177"/>
      <c r="E3066" s="177"/>
      <c r="F3066" s="177"/>
      <c r="G3066" s="177"/>
      <c r="H3066" s="177" t="str">
        <f>IFERROR(__xludf.DUMMYFUNCTION("""COMPUTED_VALUE"""),"15HP")</f>
        <v>15HP</v>
      </c>
      <c r="I3066" s="177" t="str">
        <f>IFERROR(__xludf.DUMMYFUNCTION("""COMPUTED_VALUE"""),"HT140-21100456")</f>
        <v>HT140-21100456</v>
      </c>
      <c r="J3066" s="177" t="str">
        <f>IFERROR(__xludf.DUMMYFUNCTION("""COMPUTED_VALUE"""),"L86MNE")</f>
        <v>L86MNE</v>
      </c>
      <c r="K3066" s="177">
        <f>IFERROR(__xludf.DUMMYFUNCTION("""COMPUTED_VALUE"""),0.5)</f>
        <v>0.5</v>
      </c>
      <c r="L3066" s="177" t="str">
        <f>IFERROR(__xludf.DUMMYFUNCTION("""COMPUTED_VALUE"""),"-")</f>
        <v>-</v>
      </c>
    </row>
    <row r="3067" customHeight="1" spans="1:12">
      <c r="A3067" s="177" t="str">
        <f>IFERROR(__xludf.DUMMYFUNCTION("""COMPUTED_VALUE"""),"TND-CLT-019")</f>
        <v>TND-CLT-019</v>
      </c>
      <c r="B3067" s="1090" t="str">
        <f>IFERROR(__xludf.DUMMYFUNCTION("""COMPUTED_VALUE"""),"Xe Clethon")</f>
        <v>Xe Clethon</v>
      </c>
      <c r="C3067" s="177"/>
      <c r="D3067" s="177"/>
      <c r="E3067" s="177"/>
      <c r="F3067" s="177"/>
      <c r="G3067" s="177"/>
      <c r="H3067" s="177" t="str">
        <f>IFERROR(__xludf.DUMMYFUNCTION("""COMPUTED_VALUE"""),"15HP")</f>
        <v>15HP</v>
      </c>
      <c r="I3067" s="177"/>
      <c r="J3067" s="177"/>
      <c r="K3067" s="177">
        <f>IFERROR(__xludf.DUMMYFUNCTION("""COMPUTED_VALUE"""),0.5)</f>
        <v>0.5</v>
      </c>
      <c r="L3067" s="177" t="str">
        <f>IFERROR(__xludf.DUMMYFUNCTION("""COMPUTED_VALUE"""),"-")</f>
        <v>-</v>
      </c>
    </row>
    <row r="3068" customHeight="1" spans="1:12">
      <c r="A3068" s="177" t="str">
        <f>IFERROR(__xludf.DUMMYFUNCTION("""COMPUTED_VALUE"""),"TND-CLT-020")</f>
        <v>TND-CLT-020</v>
      </c>
      <c r="B3068" s="1090" t="str">
        <f>IFERROR(__xludf.DUMMYFUNCTION("""COMPUTED_VALUE"""),"Xe Clethon")</f>
        <v>Xe Clethon</v>
      </c>
      <c r="C3068" s="177"/>
      <c r="D3068" s="177"/>
      <c r="E3068" s="177"/>
      <c r="F3068" s="177"/>
      <c r="G3068" s="177"/>
      <c r="H3068" s="177" t="str">
        <f>IFERROR(__xludf.DUMMYFUNCTION("""COMPUTED_VALUE"""),"15HP")</f>
        <v>15HP</v>
      </c>
      <c r="I3068" s="177"/>
      <c r="J3068" s="177"/>
      <c r="K3068" s="177">
        <f>IFERROR(__xludf.DUMMYFUNCTION("""COMPUTED_VALUE"""),0.5)</f>
        <v>0.5</v>
      </c>
      <c r="L3068" s="177" t="str">
        <f>IFERROR(__xludf.DUMMYFUNCTION("""COMPUTED_VALUE"""),"-")</f>
        <v>-</v>
      </c>
    </row>
    <row r="3069" customHeight="1" spans="1:12">
      <c r="A3069" s="177" t="str">
        <f>IFERROR(__xludf.DUMMYFUNCTION("""COMPUTED_VALUE"""),"TND-CLT-093")</f>
        <v>TND-CLT-093</v>
      </c>
      <c r="B3069" s="1090" t="str">
        <f>IFERROR(__xludf.DUMMYFUNCTION("""COMPUTED_VALUE"""),"Xe Clethon")</f>
        <v>Xe Clethon</v>
      </c>
      <c r="C3069" s="177"/>
      <c r="D3069" s="177"/>
      <c r="E3069" s="177"/>
      <c r="F3069" s="177"/>
      <c r="G3069" s="177"/>
      <c r="H3069" s="177" t="str">
        <f>IFERROR(__xludf.DUMMYFUNCTION("""COMPUTED_VALUE"""),"15HP")</f>
        <v>15HP</v>
      </c>
      <c r="I3069" s="177"/>
      <c r="J3069" s="177"/>
      <c r="K3069" s="177">
        <f>IFERROR(__xludf.DUMMYFUNCTION("""COMPUTED_VALUE"""),0.5)</f>
        <v>0.5</v>
      </c>
      <c r="L3069" s="177" t="str">
        <f>IFERROR(__xludf.DUMMYFUNCTION("""COMPUTED_VALUE"""),"-")</f>
        <v>-</v>
      </c>
    </row>
    <row r="3070" customHeight="1" spans="1:12">
      <c r="A3070" s="177" t="str">
        <f>IFERROR(__xludf.DUMMYFUNCTION("""COMPUTED_VALUE"""),"TND-CLT-094")</f>
        <v>TND-CLT-094</v>
      </c>
      <c r="B3070" s="1090" t="str">
        <f>IFERROR(__xludf.DUMMYFUNCTION("""COMPUTED_VALUE"""),"Xe Clethon")</f>
        <v>Xe Clethon</v>
      </c>
      <c r="C3070" s="177"/>
      <c r="D3070" s="177"/>
      <c r="E3070" s="177"/>
      <c r="F3070" s="177"/>
      <c r="G3070" s="177"/>
      <c r="H3070" s="177" t="str">
        <f>IFERROR(__xludf.DUMMYFUNCTION("""COMPUTED_VALUE"""),"15HP")</f>
        <v>15HP</v>
      </c>
      <c r="I3070" s="177" t="str">
        <f>IFERROR(__xludf.DUMMYFUNCTION("""COMPUTED_VALUE"""),"HT140-18051024")</f>
        <v>HT140-18051024</v>
      </c>
      <c r="J3070" s="177" t="str">
        <f>IFERROR(__xludf.DUMMYFUNCTION("""COMPUTED_VALUE"""),"L6C7E")</f>
        <v>L6C7E</v>
      </c>
      <c r="K3070" s="177">
        <f>IFERROR(__xludf.DUMMYFUNCTION("""COMPUTED_VALUE"""),0.5)</f>
        <v>0.5</v>
      </c>
      <c r="L3070" s="177" t="str">
        <f>IFERROR(__xludf.DUMMYFUNCTION("""COMPUTED_VALUE"""),"-")</f>
        <v>-</v>
      </c>
    </row>
    <row r="3071" customHeight="1" spans="1:12">
      <c r="A3071" s="177" t="str">
        <f>IFERROR(__xludf.DUMMYFUNCTION("""COMPUTED_VALUE"""),"TND-CLT-095")</f>
        <v>TND-CLT-095</v>
      </c>
      <c r="B3071" s="1090" t="str">
        <f>IFERROR(__xludf.DUMMYFUNCTION("""COMPUTED_VALUE"""),"Xe Clethon")</f>
        <v>Xe Clethon</v>
      </c>
      <c r="C3071" s="177"/>
      <c r="D3071" s="177"/>
      <c r="E3071" s="177"/>
      <c r="F3071" s="177"/>
      <c r="G3071" s="177"/>
      <c r="H3071" s="177" t="str">
        <f>IFERROR(__xludf.DUMMYFUNCTION("""COMPUTED_VALUE"""),"15HP")</f>
        <v>15HP</v>
      </c>
      <c r="I3071" s="177" t="str">
        <f>IFERROR(__xludf.DUMMYFUNCTION("""COMPUTED_VALUE"""),"RTN165-KH21090067")</f>
        <v>RTN165-KH21090067</v>
      </c>
      <c r="J3071" s="177" t="str">
        <f>IFERROR(__xludf.DUMMYFUNCTION("""COMPUTED_VALUE"""),"NC-D72934")</f>
        <v>NC-D72934</v>
      </c>
      <c r="K3071" s="177">
        <f>IFERROR(__xludf.DUMMYFUNCTION("""COMPUTED_VALUE"""),0.5)</f>
        <v>0.5</v>
      </c>
      <c r="L3071" s="177" t="str">
        <f>IFERROR(__xludf.DUMMYFUNCTION("""COMPUTED_VALUE"""),"-")</f>
        <v>-</v>
      </c>
    </row>
    <row r="3072" customHeight="1" spans="1:12">
      <c r="A3072" s="177" t="str">
        <f>IFERROR(__xludf.DUMMYFUNCTION("""COMPUTED_VALUE"""),"TND-CLT-096")</f>
        <v>TND-CLT-096</v>
      </c>
      <c r="B3072" s="1090" t="str">
        <f>IFERROR(__xludf.DUMMYFUNCTION("""COMPUTED_VALUE"""),"Xe Clethon")</f>
        <v>Xe Clethon</v>
      </c>
      <c r="C3072" s="177"/>
      <c r="D3072" s="177"/>
      <c r="E3072" s="177"/>
      <c r="F3072" s="177"/>
      <c r="G3072" s="177"/>
      <c r="H3072" s="177" t="str">
        <f>IFERROR(__xludf.DUMMYFUNCTION("""COMPUTED_VALUE"""),"15HP")</f>
        <v>15HP</v>
      </c>
      <c r="I3072" s="177" t="str">
        <f>IFERROR(__xludf.DUMMYFUNCTION("""COMPUTED_VALUE"""),"KB110-14031717")</f>
        <v>KB110-14031717</v>
      </c>
      <c r="J3072" s="177" t="str">
        <f>IFERROR(__xludf.DUMMYFUNCTION("""COMPUTED_VALUE"""),"NC574181")</f>
        <v>NC574181</v>
      </c>
      <c r="K3072" s="177">
        <f>IFERROR(__xludf.DUMMYFUNCTION("""COMPUTED_VALUE"""),0.5)</f>
        <v>0.5</v>
      </c>
      <c r="L3072" s="177" t="str">
        <f>IFERROR(__xludf.DUMMYFUNCTION("""COMPUTED_VALUE"""),"-")</f>
        <v>-</v>
      </c>
    </row>
    <row r="3073" customHeight="1" spans="1:12">
      <c r="A3073" s="177" t="str">
        <f>IFERROR(__xludf.DUMMYFUNCTION("""COMPUTED_VALUE"""),"TND-CLT-097")</f>
        <v>TND-CLT-097</v>
      </c>
      <c r="B3073" s="1090" t="str">
        <f>IFERROR(__xludf.DUMMYFUNCTION("""COMPUTED_VALUE"""),"Xe Clethon")</f>
        <v>Xe Clethon</v>
      </c>
      <c r="C3073" s="177"/>
      <c r="D3073" s="177"/>
      <c r="E3073" s="177"/>
      <c r="F3073" s="177"/>
      <c r="G3073" s="177"/>
      <c r="H3073" s="177" t="str">
        <f>IFERROR(__xludf.DUMMYFUNCTION("""COMPUTED_VALUE"""),"15HP")</f>
        <v>15HP</v>
      </c>
      <c r="I3073" s="177" t="str">
        <f>IFERROR(__xludf.DUMMYFUNCTION("""COMPUTED_VALUE"""),"KB140-20822027")</f>
        <v>KB140-20822027</v>
      </c>
      <c r="J3073" s="177" t="str">
        <f>IFERROR(__xludf.DUMMYFUNCTION("""COMPUTED_VALUE"""),"NCD16723")</f>
        <v>NCD16723</v>
      </c>
      <c r="K3073" s="177">
        <f>IFERROR(__xludf.DUMMYFUNCTION("""COMPUTED_VALUE"""),0.5)</f>
        <v>0.5</v>
      </c>
      <c r="L3073" s="177" t="str">
        <f>IFERROR(__xludf.DUMMYFUNCTION("""COMPUTED_VALUE"""),"-")</f>
        <v>-</v>
      </c>
    </row>
    <row r="3074" customHeight="1" spans="1:12">
      <c r="A3074" s="177" t="str">
        <f>IFERROR(__xludf.DUMMYFUNCTION("""COMPUTED_VALUE"""),"TND-CLT-098")</f>
        <v>TND-CLT-098</v>
      </c>
      <c r="B3074" s="1090" t="str">
        <f>IFERROR(__xludf.DUMMYFUNCTION("""COMPUTED_VALUE"""),"Xe Clethon")</f>
        <v>Xe Clethon</v>
      </c>
      <c r="C3074" s="177"/>
      <c r="D3074" s="177"/>
      <c r="E3074" s="177"/>
      <c r="F3074" s="177"/>
      <c r="G3074" s="177"/>
      <c r="H3074" s="177" t="str">
        <f>IFERROR(__xludf.DUMMYFUNCTION("""COMPUTED_VALUE"""),"15HP")</f>
        <v>15HP</v>
      </c>
      <c r="I3074" s="177" t="str">
        <f>IFERROR(__xludf.DUMMYFUNCTION("""COMPUTED_VALUE"""),"HT140-17100555")</f>
        <v>HT140-17100555</v>
      </c>
      <c r="J3074" s="177" t="str">
        <f>IFERROR(__xludf.DUMMYFUNCTION("""COMPUTED_VALUE"""),"NCC74266")</f>
        <v>NCC74266</v>
      </c>
      <c r="K3074" s="177">
        <f>IFERROR(__xludf.DUMMYFUNCTION("""COMPUTED_VALUE"""),0.5)</f>
        <v>0.5</v>
      </c>
      <c r="L3074" s="177" t="str">
        <f>IFERROR(__xludf.DUMMYFUNCTION("""COMPUTED_VALUE"""),"-")</f>
        <v>-</v>
      </c>
    </row>
    <row r="3075" customHeight="1" spans="1:12">
      <c r="A3075" s="177" t="str">
        <f>IFERROR(__xludf.DUMMYFUNCTION("""COMPUTED_VALUE"""),"XÍ NGHIỆP CHUỐI DP3")</f>
        <v>XÍ NGHIỆP CHUỐI DP3</v>
      </c>
      <c r="B3075" s="1090"/>
      <c r="C3075" s="177"/>
      <c r="D3075" s="177"/>
      <c r="E3075" s="177"/>
      <c r="F3075" s="177"/>
      <c r="G3075" s="177"/>
      <c r="H3075" s="177"/>
      <c r="I3075" s="177"/>
      <c r="J3075" s="177"/>
      <c r="K3075" s="177">
        <f>IFERROR(__xludf.DUMMYFUNCTION("""COMPUTED_VALUE"""),0.5)</f>
        <v>0.5</v>
      </c>
      <c r="L3075" s="177" t="str">
        <f>IFERROR(__xludf.DUMMYFUNCTION("""COMPUTED_VALUE"""),"-")</f>
        <v>-</v>
      </c>
    </row>
    <row r="3076" customHeight="1" spans="1:12">
      <c r="A3076" s="177" t="str">
        <f>IFERROR(__xludf.DUMMYFUNCTION("""COMPUTED_VALUE"""),"TND-CLT-064")</f>
        <v>TND-CLT-064</v>
      </c>
      <c r="B3076" s="1090" t="str">
        <f>IFERROR(__xludf.DUMMYFUNCTION("""COMPUTED_VALUE"""),"Xe Clethon")</f>
        <v>Xe Clethon</v>
      </c>
      <c r="C3076" s="177"/>
      <c r="D3076" s="177"/>
      <c r="E3076" s="177"/>
      <c r="F3076" s="177"/>
      <c r="G3076" s="177"/>
      <c r="H3076" s="177" t="str">
        <f>IFERROR(__xludf.DUMMYFUNCTION("""COMPUTED_VALUE"""),"15HP")</f>
        <v>15HP</v>
      </c>
      <c r="I3076" s="177"/>
      <c r="J3076" s="177"/>
      <c r="K3076" s="177">
        <f>IFERROR(__xludf.DUMMYFUNCTION("""COMPUTED_VALUE"""),0.5)</f>
        <v>0.5</v>
      </c>
      <c r="L3076" s="177" t="str">
        <f>IFERROR(__xludf.DUMMYFUNCTION("""COMPUTED_VALUE"""),"-")</f>
        <v>-</v>
      </c>
    </row>
    <row r="3077" customHeight="1" spans="1:12">
      <c r="A3077" s="177" t="str">
        <f>IFERROR(__xludf.DUMMYFUNCTION("""COMPUTED_VALUE"""),"TND-CLT-057")</f>
        <v>TND-CLT-057</v>
      </c>
      <c r="B3077" s="1090" t="str">
        <f>IFERROR(__xludf.DUMMYFUNCTION("""COMPUTED_VALUE"""),"Xe Clethon")</f>
        <v>Xe Clethon</v>
      </c>
      <c r="C3077" s="177"/>
      <c r="D3077" s="177"/>
      <c r="E3077" s="177"/>
      <c r="F3077" s="177"/>
      <c r="G3077" s="177"/>
      <c r="H3077" s="177" t="str">
        <f>IFERROR(__xludf.DUMMYFUNCTION("""COMPUTED_VALUE"""),"15HP")</f>
        <v>15HP</v>
      </c>
      <c r="I3077" s="177"/>
      <c r="J3077" s="177"/>
      <c r="K3077" s="177">
        <f>IFERROR(__xludf.DUMMYFUNCTION("""COMPUTED_VALUE"""),0.5)</f>
        <v>0.5</v>
      </c>
      <c r="L3077" s="177" t="str">
        <f>IFERROR(__xludf.DUMMYFUNCTION("""COMPUTED_VALUE"""),"-")</f>
        <v>-</v>
      </c>
    </row>
    <row r="3078" customHeight="1" spans="1:12">
      <c r="A3078" s="177" t="str">
        <f>IFERROR(__xludf.DUMMYFUNCTION("""COMPUTED_VALUE"""),"TND-CLT-030")</f>
        <v>TND-CLT-030</v>
      </c>
      <c r="B3078" s="1090" t="str">
        <f>IFERROR(__xludf.DUMMYFUNCTION("""COMPUTED_VALUE"""),"Xe Clethon")</f>
        <v>Xe Clethon</v>
      </c>
      <c r="C3078" s="177"/>
      <c r="D3078" s="177"/>
      <c r="E3078" s="177"/>
      <c r="F3078" s="177"/>
      <c r="G3078" s="177"/>
      <c r="H3078" s="177" t="str">
        <f>IFERROR(__xludf.DUMMYFUNCTION("""COMPUTED_VALUE"""),"15HP")</f>
        <v>15HP</v>
      </c>
      <c r="I3078" s="177"/>
      <c r="J3078" s="177"/>
      <c r="K3078" s="177">
        <f>IFERROR(__xludf.DUMMYFUNCTION("""COMPUTED_VALUE"""),0.5)</f>
        <v>0.5</v>
      </c>
      <c r="L3078" s="177" t="str">
        <f>IFERROR(__xludf.DUMMYFUNCTION("""COMPUTED_VALUE"""),"-")</f>
        <v>-</v>
      </c>
    </row>
    <row r="3079" customHeight="1" spans="1:12">
      <c r="A3079" s="177" t="str">
        <f>IFERROR(__xludf.DUMMYFUNCTION("""COMPUTED_VALUE"""),"TND-CLT-036")</f>
        <v>TND-CLT-036</v>
      </c>
      <c r="B3079" s="1090" t="str">
        <f>IFERROR(__xludf.DUMMYFUNCTION("""COMPUTED_VALUE"""),"Xe Clethon")</f>
        <v>Xe Clethon</v>
      </c>
      <c r="C3079" s="177"/>
      <c r="D3079" s="177"/>
      <c r="E3079" s="177"/>
      <c r="F3079" s="177"/>
      <c r="G3079" s="177"/>
      <c r="H3079" s="177" t="str">
        <f>IFERROR(__xludf.DUMMYFUNCTION("""COMPUTED_VALUE"""),"15HP")</f>
        <v>15HP</v>
      </c>
      <c r="I3079" s="177"/>
      <c r="J3079" s="177"/>
      <c r="K3079" s="177">
        <f>IFERROR(__xludf.DUMMYFUNCTION("""COMPUTED_VALUE"""),0.5)</f>
        <v>0.5</v>
      </c>
      <c r="L3079" s="177" t="str">
        <f>IFERROR(__xludf.DUMMYFUNCTION("""COMPUTED_VALUE"""),"-")</f>
        <v>-</v>
      </c>
    </row>
    <row r="3080" customHeight="1" spans="1:12">
      <c r="A3080" s="177" t="str">
        <f>IFERROR(__xludf.DUMMYFUNCTION("""COMPUTED_VALUE"""),"TND-CLT-067")</f>
        <v>TND-CLT-067</v>
      </c>
      <c r="B3080" s="1090" t="str">
        <f>IFERROR(__xludf.DUMMYFUNCTION("""COMPUTED_VALUE"""),"Xe Clethon")</f>
        <v>Xe Clethon</v>
      </c>
      <c r="C3080" s="177"/>
      <c r="D3080" s="177"/>
      <c r="E3080" s="177"/>
      <c r="F3080" s="177"/>
      <c r="G3080" s="177"/>
      <c r="H3080" s="177" t="str">
        <f>IFERROR(__xludf.DUMMYFUNCTION("""COMPUTED_VALUE"""),"15HP")</f>
        <v>15HP</v>
      </c>
      <c r="I3080" s="177"/>
      <c r="J3080" s="177"/>
      <c r="K3080" s="177">
        <f>IFERROR(__xludf.DUMMYFUNCTION("""COMPUTED_VALUE"""),0.5)</f>
        <v>0.5</v>
      </c>
      <c r="L3080" s="177" t="str">
        <f>IFERROR(__xludf.DUMMYFUNCTION("""COMPUTED_VALUE"""),"-")</f>
        <v>-</v>
      </c>
    </row>
    <row r="3081" customHeight="1" spans="1:12">
      <c r="A3081" s="177" t="str">
        <f>IFERROR(__xludf.DUMMYFUNCTION("""COMPUTED_VALUE"""),"TND-CLT-051")</f>
        <v>TND-CLT-051</v>
      </c>
      <c r="B3081" s="1090" t="str">
        <f>IFERROR(__xludf.DUMMYFUNCTION("""COMPUTED_VALUE"""),"Xe Clethon")</f>
        <v>Xe Clethon</v>
      </c>
      <c r="C3081" s="177"/>
      <c r="D3081" s="177"/>
      <c r="E3081" s="177"/>
      <c r="F3081" s="177"/>
      <c r="G3081" s="177"/>
      <c r="H3081" s="177" t="str">
        <f>IFERROR(__xludf.DUMMYFUNCTION("""COMPUTED_VALUE"""),"15HP")</f>
        <v>15HP</v>
      </c>
      <c r="I3081" s="177"/>
      <c r="J3081" s="177"/>
      <c r="K3081" s="177">
        <f>IFERROR(__xludf.DUMMYFUNCTION("""COMPUTED_VALUE"""),0.5)</f>
        <v>0.5</v>
      </c>
      <c r="L3081" s="177" t="str">
        <f>IFERROR(__xludf.DUMMYFUNCTION("""COMPUTED_VALUE"""),"-")</f>
        <v>-</v>
      </c>
    </row>
    <row r="3082" customHeight="1" spans="1:12">
      <c r="A3082" s="177" t="str">
        <f>IFERROR(__xludf.DUMMYFUNCTION("""COMPUTED_VALUE"""),"TND-CLT-046")</f>
        <v>TND-CLT-046</v>
      </c>
      <c r="B3082" s="1090" t="str">
        <f>IFERROR(__xludf.DUMMYFUNCTION("""COMPUTED_VALUE"""),"Xe Clethon")</f>
        <v>Xe Clethon</v>
      </c>
      <c r="C3082" s="177"/>
      <c r="D3082" s="177"/>
      <c r="E3082" s="177"/>
      <c r="F3082" s="177"/>
      <c r="G3082" s="177"/>
      <c r="H3082" s="177" t="str">
        <f>IFERROR(__xludf.DUMMYFUNCTION("""COMPUTED_VALUE"""),"15HP")</f>
        <v>15HP</v>
      </c>
      <c r="I3082" s="177"/>
      <c r="J3082" s="177"/>
      <c r="K3082" s="177">
        <f>IFERROR(__xludf.DUMMYFUNCTION("""COMPUTED_VALUE"""),0.5)</f>
        <v>0.5</v>
      </c>
      <c r="L3082" s="177" t="str">
        <f>IFERROR(__xludf.DUMMYFUNCTION("""COMPUTED_VALUE"""),"-")</f>
        <v>-</v>
      </c>
    </row>
    <row r="3083" customHeight="1" spans="1:12">
      <c r="A3083" s="177" t="str">
        <f>IFERROR(__xludf.DUMMYFUNCTION("""COMPUTED_VALUE"""),"TND-CLT-105")</f>
        <v>TND-CLT-105</v>
      </c>
      <c r="B3083" s="1090" t="str">
        <f>IFERROR(__xludf.DUMMYFUNCTION("""COMPUTED_VALUE"""),"Xe Clethon")</f>
        <v>Xe Clethon</v>
      </c>
      <c r="C3083" s="177"/>
      <c r="D3083" s="177"/>
      <c r="E3083" s="177"/>
      <c r="F3083" s="177"/>
      <c r="G3083" s="177"/>
      <c r="H3083" s="177" t="str">
        <f>IFERROR(__xludf.DUMMYFUNCTION("""COMPUTED_VALUE"""),"15HP")</f>
        <v>15HP</v>
      </c>
      <c r="I3083" s="177"/>
      <c r="J3083" s="177"/>
      <c r="K3083" s="177">
        <f>IFERROR(__xludf.DUMMYFUNCTION("""COMPUTED_VALUE"""),0.5)</f>
        <v>0.5</v>
      </c>
      <c r="L3083" s="177" t="str">
        <f>IFERROR(__xludf.DUMMYFUNCTION("""COMPUTED_VALUE"""),"-")</f>
        <v>-</v>
      </c>
    </row>
    <row r="3084" customHeight="1" spans="1:12">
      <c r="A3084" s="177" t="str">
        <f>IFERROR(__xludf.DUMMYFUNCTION("""COMPUTED_VALUE"""),"TND-CLT-106")</f>
        <v>TND-CLT-106</v>
      </c>
      <c r="B3084" s="1090" t="str">
        <f>IFERROR(__xludf.DUMMYFUNCTION("""COMPUTED_VALUE"""),"Xe Clethon")</f>
        <v>Xe Clethon</v>
      </c>
      <c r="C3084" s="177"/>
      <c r="D3084" s="177"/>
      <c r="E3084" s="177"/>
      <c r="F3084" s="177"/>
      <c r="G3084" s="177"/>
      <c r="H3084" s="177" t="str">
        <f>IFERROR(__xludf.DUMMYFUNCTION("""COMPUTED_VALUE"""),"15HP")</f>
        <v>15HP</v>
      </c>
      <c r="I3084" s="177"/>
      <c r="J3084" s="177"/>
      <c r="K3084" s="177">
        <f>IFERROR(__xludf.DUMMYFUNCTION("""COMPUTED_VALUE"""),0.5)</f>
        <v>0.5</v>
      </c>
      <c r="L3084" s="177" t="str">
        <f>IFERROR(__xludf.DUMMYFUNCTION("""COMPUTED_VALUE"""),"-")</f>
        <v>-</v>
      </c>
    </row>
    <row r="3085" customHeight="1" spans="1:12">
      <c r="A3085" s="177" t="str">
        <f>IFERROR(__xludf.DUMMYFUNCTION("""COMPUTED_VALUE"""),"TND-CLT-059")</f>
        <v>TND-CLT-059</v>
      </c>
      <c r="B3085" s="1090" t="str">
        <f>IFERROR(__xludf.DUMMYFUNCTION("""COMPUTED_VALUE"""),"Xe Clethon")</f>
        <v>Xe Clethon</v>
      </c>
      <c r="C3085" s="177"/>
      <c r="D3085" s="177"/>
      <c r="E3085" s="177"/>
      <c r="F3085" s="177"/>
      <c r="G3085" s="177"/>
      <c r="H3085" s="177" t="str">
        <f>IFERROR(__xludf.DUMMYFUNCTION("""COMPUTED_VALUE"""),"15HP")</f>
        <v>15HP</v>
      </c>
      <c r="I3085" s="177"/>
      <c r="J3085" s="177"/>
      <c r="K3085" s="177">
        <f>IFERROR(__xludf.DUMMYFUNCTION("""COMPUTED_VALUE"""),0.5)</f>
        <v>0.5</v>
      </c>
      <c r="L3085" s="177" t="str">
        <f>IFERROR(__xludf.DUMMYFUNCTION("""COMPUTED_VALUE"""),"-")</f>
        <v>-</v>
      </c>
    </row>
    <row r="3086" customHeight="1" spans="1:12">
      <c r="A3086" s="177" t="str">
        <f>IFERROR(__xludf.DUMMYFUNCTION("""COMPUTED_VALUE"""),"TND-CLT-055")</f>
        <v>TND-CLT-055</v>
      </c>
      <c r="B3086" s="1090" t="str">
        <f>IFERROR(__xludf.DUMMYFUNCTION("""COMPUTED_VALUE"""),"Xe Clethon")</f>
        <v>Xe Clethon</v>
      </c>
      <c r="C3086" s="177"/>
      <c r="D3086" s="177"/>
      <c r="E3086" s="177"/>
      <c r="F3086" s="177"/>
      <c r="G3086" s="177"/>
      <c r="H3086" s="177" t="str">
        <f>IFERROR(__xludf.DUMMYFUNCTION("""COMPUTED_VALUE"""),"15HP")</f>
        <v>15HP</v>
      </c>
      <c r="I3086" s="177"/>
      <c r="J3086" s="177"/>
      <c r="K3086" s="177">
        <f>IFERROR(__xludf.DUMMYFUNCTION("""COMPUTED_VALUE"""),0.5)</f>
        <v>0.5</v>
      </c>
      <c r="L3086" s="177" t="str">
        <f>IFERROR(__xludf.DUMMYFUNCTION("""COMPUTED_VALUE"""),"-")</f>
        <v>-</v>
      </c>
    </row>
    <row r="3087" customHeight="1" spans="1:12">
      <c r="A3087" s="177" t="str">
        <f>IFERROR(__xludf.DUMMYFUNCTION("""COMPUTED_VALUE"""),"TND-CLT-034")</f>
        <v>TND-CLT-034</v>
      </c>
      <c r="B3087" s="1090" t="str">
        <f>IFERROR(__xludf.DUMMYFUNCTION("""COMPUTED_VALUE"""),"Xe Clethon")</f>
        <v>Xe Clethon</v>
      </c>
      <c r="C3087" s="177"/>
      <c r="D3087" s="177"/>
      <c r="E3087" s="177"/>
      <c r="F3087" s="177"/>
      <c r="G3087" s="177"/>
      <c r="H3087" s="177" t="str">
        <f>IFERROR(__xludf.DUMMYFUNCTION("""COMPUTED_VALUE"""),"15HP")</f>
        <v>15HP</v>
      </c>
      <c r="I3087" s="177"/>
      <c r="J3087" s="177"/>
      <c r="K3087" s="177">
        <f>IFERROR(__xludf.DUMMYFUNCTION("""COMPUTED_VALUE"""),0.5)</f>
        <v>0.5</v>
      </c>
      <c r="L3087" s="177" t="str">
        <f>IFERROR(__xludf.DUMMYFUNCTION("""COMPUTED_VALUE"""),"-")</f>
        <v>-</v>
      </c>
    </row>
    <row r="3088" customHeight="1" spans="1:12">
      <c r="A3088" s="177" t="str">
        <f>IFERROR(__xludf.DUMMYFUNCTION("""COMPUTED_VALUE"""),"TND-CLT-037")</f>
        <v>TND-CLT-037</v>
      </c>
      <c r="B3088" s="1090" t="str">
        <f>IFERROR(__xludf.DUMMYFUNCTION("""COMPUTED_VALUE"""),"Xe Clethon")</f>
        <v>Xe Clethon</v>
      </c>
      <c r="C3088" s="177"/>
      <c r="D3088" s="177"/>
      <c r="E3088" s="177"/>
      <c r="F3088" s="177"/>
      <c r="G3088" s="177"/>
      <c r="H3088" s="177" t="str">
        <f>IFERROR(__xludf.DUMMYFUNCTION("""COMPUTED_VALUE"""),"15HP")</f>
        <v>15HP</v>
      </c>
      <c r="I3088" s="177"/>
      <c r="J3088" s="177"/>
      <c r="K3088" s="177">
        <f>IFERROR(__xludf.DUMMYFUNCTION("""COMPUTED_VALUE"""),0.5)</f>
        <v>0.5</v>
      </c>
      <c r="L3088" s="177" t="str">
        <f>IFERROR(__xludf.DUMMYFUNCTION("""COMPUTED_VALUE"""),"-")</f>
        <v>-</v>
      </c>
    </row>
    <row r="3089" customHeight="1" spans="1:12">
      <c r="A3089" s="177" t="str">
        <f>IFERROR(__xludf.DUMMYFUNCTION("""COMPUTED_VALUE"""),"TND-CLT-038")</f>
        <v>TND-CLT-038</v>
      </c>
      <c r="B3089" s="1090" t="str">
        <f>IFERROR(__xludf.DUMMYFUNCTION("""COMPUTED_VALUE"""),"Xe Clethon")</f>
        <v>Xe Clethon</v>
      </c>
      <c r="C3089" s="177"/>
      <c r="D3089" s="177"/>
      <c r="E3089" s="177"/>
      <c r="F3089" s="177"/>
      <c r="G3089" s="177"/>
      <c r="H3089" s="177"/>
      <c r="I3089" s="177"/>
      <c r="J3089" s="177"/>
      <c r="K3089" s="177">
        <f>IFERROR(__xludf.DUMMYFUNCTION("""COMPUTED_VALUE"""),0.5)</f>
        <v>0.5</v>
      </c>
      <c r="L3089" s="177" t="str">
        <f>IFERROR(__xludf.DUMMYFUNCTION("""COMPUTED_VALUE"""),"-")</f>
        <v>-</v>
      </c>
    </row>
    <row r="3090" customHeight="1" spans="1:12">
      <c r="A3090" s="177" t="str">
        <f>IFERROR(__xludf.DUMMYFUNCTION("""COMPUTED_VALUE"""),"XÍ NGHIỆP CHUỐI LP1")</f>
        <v>XÍ NGHIỆP CHUỐI LP1</v>
      </c>
      <c r="B3090" s="1090"/>
      <c r="C3090" s="177"/>
      <c r="D3090" s="177"/>
      <c r="E3090" s="177"/>
      <c r="F3090" s="177"/>
      <c r="G3090" s="177"/>
      <c r="H3090" s="177"/>
      <c r="I3090" s="177"/>
      <c r="J3090" s="177"/>
      <c r="K3090" s="177">
        <f>IFERROR(__xludf.DUMMYFUNCTION("""COMPUTED_VALUE"""),0.5)</f>
        <v>0.5</v>
      </c>
      <c r="L3090" s="177" t="str">
        <f>IFERROR(__xludf.DUMMYFUNCTION("""COMPUTED_VALUE"""),"-")</f>
        <v>-</v>
      </c>
    </row>
    <row r="3091" customHeight="1" spans="1:12">
      <c r="A3091" s="177" t="str">
        <f>IFERROR(__xludf.DUMMYFUNCTION("""COMPUTED_VALUE"""),"TNL-CLT-014")</f>
        <v>TNL-CLT-014</v>
      </c>
      <c r="B3091" s="1090" t="str">
        <f>IFERROR(__xludf.DUMMYFUNCTION("""COMPUTED_VALUE"""),"Xe Clethon")</f>
        <v>Xe Clethon</v>
      </c>
      <c r="C3091" s="177"/>
      <c r="D3091" s="177"/>
      <c r="E3091" s="177"/>
      <c r="F3091" s="177"/>
      <c r="G3091" s="177"/>
      <c r="H3091" s="177" t="str">
        <f>IFERROR(__xludf.DUMMYFUNCTION("""COMPUTED_VALUE"""),"15HP")</f>
        <v>15HP</v>
      </c>
      <c r="I3091" s="177" t="str">
        <f>IFERROR(__xludf.DUMMYFUNCTION("""COMPUTED_VALUE"""),"19010065")</f>
        <v>19010065</v>
      </c>
      <c r="J3091" s="177" t="str">
        <f>IFERROR(__xludf.DUMMYFUNCTION("""COMPUTED_VALUE"""),"10140933")</f>
        <v>10140933</v>
      </c>
      <c r="K3091" s="177">
        <f>IFERROR(__xludf.DUMMYFUNCTION("""COMPUTED_VALUE"""),0.5)</f>
        <v>0.5</v>
      </c>
      <c r="L3091" s="177" t="str">
        <f>IFERROR(__xludf.DUMMYFUNCTION("""COMPUTED_VALUE"""),"-")</f>
        <v>-</v>
      </c>
    </row>
    <row r="3092" customHeight="1" spans="1:12">
      <c r="A3092" s="177" t="str">
        <f>IFERROR(__xludf.DUMMYFUNCTION("""COMPUTED_VALUE"""),"TNL-CLT-015")</f>
        <v>TNL-CLT-015</v>
      </c>
      <c r="B3092" s="1090" t="str">
        <f>IFERROR(__xludf.DUMMYFUNCTION("""COMPUTED_VALUE"""),"Xe Clethon")</f>
        <v>Xe Clethon</v>
      </c>
      <c r="C3092" s="177"/>
      <c r="D3092" s="177"/>
      <c r="E3092" s="177"/>
      <c r="F3092" s="177"/>
      <c r="G3092" s="177"/>
      <c r="H3092" s="177" t="str">
        <f>IFERROR(__xludf.DUMMYFUNCTION("""COMPUTED_VALUE"""),"15HP")</f>
        <v>15HP</v>
      </c>
      <c r="I3092" s="177" t="str">
        <f>IFERROR(__xludf.DUMMYFUNCTION("""COMPUTED_VALUE"""),"770128")</f>
        <v>770128</v>
      </c>
      <c r="J3092" s="177" t="str">
        <f>IFERROR(__xludf.DUMMYFUNCTION("""COMPUTED_VALUE"""),"00816")</f>
        <v>00816</v>
      </c>
      <c r="K3092" s="177">
        <f>IFERROR(__xludf.DUMMYFUNCTION("""COMPUTED_VALUE"""),0.5)</f>
        <v>0.5</v>
      </c>
      <c r="L3092" s="177" t="str">
        <f>IFERROR(__xludf.DUMMYFUNCTION("""COMPUTED_VALUE"""),"-")</f>
        <v>-</v>
      </c>
    </row>
    <row r="3093" customHeight="1" spans="1:12">
      <c r="A3093" s="177" t="str">
        <f>IFERROR(__xludf.DUMMYFUNCTION("""COMPUTED_VALUE"""),"TNL-CLT-016")</f>
        <v>TNL-CLT-016</v>
      </c>
      <c r="B3093" s="1090" t="str">
        <f>IFERROR(__xludf.DUMMYFUNCTION("""COMPUTED_VALUE"""),"Xe Clethon")</f>
        <v>Xe Clethon</v>
      </c>
      <c r="C3093" s="177"/>
      <c r="D3093" s="177"/>
      <c r="E3093" s="177"/>
      <c r="F3093" s="177"/>
      <c r="G3093" s="177"/>
      <c r="H3093" s="177" t="str">
        <f>IFERROR(__xludf.DUMMYFUNCTION("""COMPUTED_VALUE"""),"15HP")</f>
        <v>15HP</v>
      </c>
      <c r="I3093" s="177" t="str">
        <f>IFERROR(__xludf.DUMMYFUNCTION("""COMPUTED_VALUE"""),"17100239")</f>
        <v>17100239</v>
      </c>
      <c r="J3093" s="177" t="str">
        <f>IFERROR(__xludf.DUMMYFUNCTION("""COMPUTED_VALUE"""),"02388")</f>
        <v>02388</v>
      </c>
      <c r="K3093" s="177">
        <f>IFERROR(__xludf.DUMMYFUNCTION("""COMPUTED_VALUE"""),0.5)</f>
        <v>0.5</v>
      </c>
      <c r="L3093" s="177" t="str">
        <f>IFERROR(__xludf.DUMMYFUNCTION("""COMPUTED_VALUE"""),"-")</f>
        <v>-</v>
      </c>
    </row>
    <row r="3094" customHeight="1" spans="1:12">
      <c r="A3094" s="177" t="str">
        <f>IFERROR(__xludf.DUMMYFUNCTION("""COMPUTED_VALUE"""),"XÍ NGHIỆP CHUỐI LP3")</f>
        <v>XÍ NGHIỆP CHUỐI LP3</v>
      </c>
      <c r="B3094" s="1090"/>
      <c r="C3094" s="177"/>
      <c r="D3094" s="177"/>
      <c r="E3094" s="177"/>
      <c r="F3094" s="177"/>
      <c r="G3094" s="177"/>
      <c r="H3094" s="177"/>
      <c r="I3094" s="177"/>
      <c r="J3094" s="177"/>
      <c r="K3094" s="177">
        <f>IFERROR(__xludf.DUMMYFUNCTION("""COMPUTED_VALUE"""),0.5)</f>
        <v>0.5</v>
      </c>
      <c r="L3094" s="177" t="str">
        <f>IFERROR(__xludf.DUMMYFUNCTION("""COMPUTED_VALUE"""),"-")</f>
        <v>-</v>
      </c>
    </row>
    <row r="3095" customHeight="1" spans="1:12">
      <c r="A3095" s="177" t="str">
        <f>IFERROR(__xludf.DUMMYFUNCTION("""COMPUTED_VALUE"""),"TNL-CLT-001")</f>
        <v>TNL-CLT-001</v>
      </c>
      <c r="B3095" s="1090" t="str">
        <f>IFERROR(__xludf.DUMMYFUNCTION("""COMPUTED_VALUE"""),"Xe Clethon")</f>
        <v>Xe Clethon</v>
      </c>
      <c r="C3095" s="177"/>
      <c r="D3095" s="177"/>
      <c r="E3095" s="177"/>
      <c r="F3095" s="177"/>
      <c r="G3095" s="177"/>
      <c r="H3095" s="177" t="str">
        <f>IFERROR(__xludf.DUMMYFUNCTION("""COMPUTED_VALUE"""),"15HP")</f>
        <v>15HP</v>
      </c>
      <c r="I3095" s="177"/>
      <c r="J3095" s="177"/>
      <c r="K3095" s="177">
        <f>IFERROR(__xludf.DUMMYFUNCTION("""COMPUTED_VALUE"""),0.5)</f>
        <v>0.5</v>
      </c>
      <c r="L3095" s="177" t="str">
        <f>IFERROR(__xludf.DUMMYFUNCTION("""COMPUTED_VALUE"""),"-")</f>
        <v>-</v>
      </c>
    </row>
    <row r="3096" customHeight="1" spans="1:12">
      <c r="A3096" s="177" t="str">
        <f>IFERROR(__xludf.DUMMYFUNCTION("""COMPUTED_VALUE"""),"TNL-CLT-002")</f>
        <v>TNL-CLT-002</v>
      </c>
      <c r="B3096" s="1090" t="str">
        <f>IFERROR(__xludf.DUMMYFUNCTION("""COMPUTED_VALUE"""),"Xe Clethon")</f>
        <v>Xe Clethon</v>
      </c>
      <c r="C3096" s="177"/>
      <c r="D3096" s="177"/>
      <c r="E3096" s="177"/>
      <c r="F3096" s="177"/>
      <c r="G3096" s="177"/>
      <c r="H3096" s="177" t="str">
        <f>IFERROR(__xludf.DUMMYFUNCTION("""COMPUTED_VALUE"""),"15HP")</f>
        <v>15HP</v>
      </c>
      <c r="I3096" s="177"/>
      <c r="J3096" s="177"/>
      <c r="K3096" s="177">
        <f>IFERROR(__xludf.DUMMYFUNCTION("""COMPUTED_VALUE"""),0.5)</f>
        <v>0.5</v>
      </c>
      <c r="L3096" s="177" t="str">
        <f>IFERROR(__xludf.DUMMYFUNCTION("""COMPUTED_VALUE"""),"-")</f>
        <v>-</v>
      </c>
    </row>
    <row r="3097" customHeight="1" spans="1:12">
      <c r="A3097" s="177" t="str">
        <f>IFERROR(__xludf.DUMMYFUNCTION("""COMPUTED_VALUE"""),"TNL-CLT-003")</f>
        <v>TNL-CLT-003</v>
      </c>
      <c r="B3097" s="1090" t="str">
        <f>IFERROR(__xludf.DUMMYFUNCTION("""COMPUTED_VALUE"""),"X.Clethon")</f>
        <v>X.Clethon</v>
      </c>
      <c r="C3097" s="177"/>
      <c r="D3097" s="177"/>
      <c r="E3097" s="177"/>
      <c r="F3097" s="177"/>
      <c r="G3097" s="177"/>
      <c r="H3097" s="177" t="str">
        <f>IFERROR(__xludf.DUMMYFUNCTION("""COMPUTED_VALUE"""),"15HP")</f>
        <v>15HP</v>
      </c>
      <c r="I3097" s="177"/>
      <c r="J3097" s="177"/>
      <c r="K3097" s="177">
        <f>IFERROR(__xludf.DUMMYFUNCTION("""COMPUTED_VALUE"""),0.5)</f>
        <v>0.5</v>
      </c>
      <c r="L3097" s="177" t="str">
        <f>IFERROR(__xludf.DUMMYFUNCTION("""COMPUTED_VALUE"""),"-")</f>
        <v>-</v>
      </c>
    </row>
    <row r="3098" customHeight="1" spans="1:12">
      <c r="A3098" s="177" t="str">
        <f>IFERROR(__xludf.DUMMYFUNCTION("""COMPUTED_VALUE"""),"TNL-CLT-004")</f>
        <v>TNL-CLT-004</v>
      </c>
      <c r="B3098" s="1090" t="str">
        <f>IFERROR(__xludf.DUMMYFUNCTION("""COMPUTED_VALUE"""),"Xe Clethon")</f>
        <v>Xe Clethon</v>
      </c>
      <c r="C3098" s="177"/>
      <c r="D3098" s="177"/>
      <c r="E3098" s="177"/>
      <c r="F3098" s="177"/>
      <c r="G3098" s="177"/>
      <c r="H3098" s="177" t="str">
        <f>IFERROR(__xludf.DUMMYFUNCTION("""COMPUTED_VALUE"""),"15HP")</f>
        <v>15HP</v>
      </c>
      <c r="I3098" s="177"/>
      <c r="J3098" s="177"/>
      <c r="K3098" s="177">
        <f>IFERROR(__xludf.DUMMYFUNCTION("""COMPUTED_VALUE"""),0.5)</f>
        <v>0.5</v>
      </c>
      <c r="L3098" s="177" t="str">
        <f>IFERROR(__xludf.DUMMYFUNCTION("""COMPUTED_VALUE"""),"-")</f>
        <v>-</v>
      </c>
    </row>
    <row r="3099" customHeight="1" spans="1:12">
      <c r="A3099" s="177" t="str">
        <f>IFERROR(__xludf.DUMMYFUNCTION("""COMPUTED_VALUE"""),"TNL-CLT-005")</f>
        <v>TNL-CLT-005</v>
      </c>
      <c r="B3099" s="1090" t="str">
        <f>IFERROR(__xludf.DUMMYFUNCTION("""COMPUTED_VALUE"""),"Xe Clethon")</f>
        <v>Xe Clethon</v>
      </c>
      <c r="C3099" s="177"/>
      <c r="D3099" s="177"/>
      <c r="E3099" s="177"/>
      <c r="F3099" s="177"/>
      <c r="G3099" s="177"/>
      <c r="H3099" s="177" t="str">
        <f>IFERROR(__xludf.DUMMYFUNCTION("""COMPUTED_VALUE"""),"15HP")</f>
        <v>15HP</v>
      </c>
      <c r="I3099" s="177"/>
      <c r="J3099" s="177"/>
      <c r="K3099" s="177">
        <f>IFERROR(__xludf.DUMMYFUNCTION("""COMPUTED_VALUE"""),0.5)</f>
        <v>0.5</v>
      </c>
      <c r="L3099" s="177" t="str">
        <f>IFERROR(__xludf.DUMMYFUNCTION("""COMPUTED_VALUE"""),"-")</f>
        <v>-</v>
      </c>
    </row>
    <row r="3100" customHeight="1" spans="1:12">
      <c r="A3100" s="177" t="str">
        <f>IFERROR(__xludf.DUMMYFUNCTION("""COMPUTED_VALUE"""),"TNL-CLT-006")</f>
        <v>TNL-CLT-006</v>
      </c>
      <c r="B3100" s="1090" t="str">
        <f>IFERROR(__xludf.DUMMYFUNCTION("""COMPUTED_VALUE"""),"Xe Clethon")</f>
        <v>Xe Clethon</v>
      </c>
      <c r="C3100" s="177"/>
      <c r="D3100" s="177"/>
      <c r="E3100" s="177"/>
      <c r="F3100" s="177"/>
      <c r="G3100" s="177"/>
      <c r="H3100" s="177" t="str">
        <f>IFERROR(__xludf.DUMMYFUNCTION("""COMPUTED_VALUE"""),"15HP")</f>
        <v>15HP</v>
      </c>
      <c r="I3100" s="177"/>
      <c r="J3100" s="177"/>
      <c r="K3100" s="177">
        <f>IFERROR(__xludf.DUMMYFUNCTION("""COMPUTED_VALUE"""),0.5)</f>
        <v>0.5</v>
      </c>
      <c r="L3100" s="177" t="str">
        <f>IFERROR(__xludf.DUMMYFUNCTION("""COMPUTED_VALUE"""),"-")</f>
        <v>-</v>
      </c>
    </row>
    <row r="3101" customHeight="1" spans="1:12">
      <c r="A3101" s="177" t="str">
        <f>IFERROR(__xludf.DUMMYFUNCTION("""COMPUTED_VALUE"""),"TNL-CLT-007")</f>
        <v>TNL-CLT-007</v>
      </c>
      <c r="B3101" s="1090" t="str">
        <f>IFERROR(__xludf.DUMMYFUNCTION("""COMPUTED_VALUE"""),"Xe Clethon")</f>
        <v>Xe Clethon</v>
      </c>
      <c r="C3101" s="177"/>
      <c r="D3101" s="177"/>
      <c r="E3101" s="177"/>
      <c r="F3101" s="177"/>
      <c r="G3101" s="177"/>
      <c r="H3101" s="177" t="str">
        <f>IFERROR(__xludf.DUMMYFUNCTION("""COMPUTED_VALUE"""),"15HP")</f>
        <v>15HP</v>
      </c>
      <c r="I3101" s="177"/>
      <c r="J3101" s="177"/>
      <c r="K3101" s="177">
        <f>IFERROR(__xludf.DUMMYFUNCTION("""COMPUTED_VALUE"""),0.5)</f>
        <v>0.5</v>
      </c>
      <c r="L3101" s="177" t="str">
        <f>IFERROR(__xludf.DUMMYFUNCTION("""COMPUTED_VALUE"""),"-")</f>
        <v>-</v>
      </c>
    </row>
    <row r="3102" customHeight="1" spans="1:12">
      <c r="A3102" s="177" t="str">
        <f>IFERROR(__xludf.DUMMYFUNCTION("""COMPUTED_VALUE"""),"TNL-CLT-008")</f>
        <v>TNL-CLT-008</v>
      </c>
      <c r="B3102" s="1090" t="str">
        <f>IFERROR(__xludf.DUMMYFUNCTION("""COMPUTED_VALUE"""),"Xe Clethon")</f>
        <v>Xe Clethon</v>
      </c>
      <c r="C3102" s="177"/>
      <c r="D3102" s="177"/>
      <c r="E3102" s="177"/>
      <c r="F3102" s="177"/>
      <c r="G3102" s="177"/>
      <c r="H3102" s="177" t="str">
        <f>IFERROR(__xludf.DUMMYFUNCTION("""COMPUTED_VALUE"""),"15HP")</f>
        <v>15HP</v>
      </c>
      <c r="I3102" s="177"/>
      <c r="J3102" s="177"/>
      <c r="K3102" s="177">
        <f>IFERROR(__xludf.DUMMYFUNCTION("""COMPUTED_VALUE"""),0.5)</f>
        <v>0.5</v>
      </c>
      <c r="L3102" s="177" t="str">
        <f>IFERROR(__xludf.DUMMYFUNCTION("""COMPUTED_VALUE"""),"-")</f>
        <v>-</v>
      </c>
    </row>
    <row r="3103" customHeight="1" spans="1:12">
      <c r="A3103" s="177" t="str">
        <f>IFERROR(__xludf.DUMMYFUNCTION("""COMPUTED_VALUE"""),"TNL-CLT-009")</f>
        <v>TNL-CLT-009</v>
      </c>
      <c r="B3103" s="1090" t="str">
        <f>IFERROR(__xludf.DUMMYFUNCTION("""COMPUTED_VALUE"""),"Xe Clethon")</f>
        <v>Xe Clethon</v>
      </c>
      <c r="C3103" s="177"/>
      <c r="D3103" s="177"/>
      <c r="E3103" s="177"/>
      <c r="F3103" s="177"/>
      <c r="G3103" s="177"/>
      <c r="H3103" s="177" t="str">
        <f>IFERROR(__xludf.DUMMYFUNCTION("""COMPUTED_VALUE"""),"15HP")</f>
        <v>15HP</v>
      </c>
      <c r="I3103" s="177"/>
      <c r="J3103" s="177"/>
      <c r="K3103" s="177">
        <f>IFERROR(__xludf.DUMMYFUNCTION("""COMPUTED_VALUE"""),0.5)</f>
        <v>0.5</v>
      </c>
      <c r="L3103" s="177" t="str">
        <f>IFERROR(__xludf.DUMMYFUNCTION("""COMPUTED_VALUE"""),"-")</f>
        <v>-</v>
      </c>
    </row>
    <row r="3104" customHeight="1" spans="1:12">
      <c r="A3104" s="177" t="str">
        <f>IFERROR(__xludf.DUMMYFUNCTION("""COMPUTED_VALUE"""),"TNL-CLT-010")</f>
        <v>TNL-CLT-010</v>
      </c>
      <c r="B3104" s="1090" t="str">
        <f>IFERROR(__xludf.DUMMYFUNCTION("""COMPUTED_VALUE"""),"Xe Clethon")</f>
        <v>Xe Clethon</v>
      </c>
      <c r="C3104" s="177"/>
      <c r="D3104" s="177"/>
      <c r="E3104" s="177"/>
      <c r="F3104" s="177"/>
      <c r="G3104" s="177"/>
      <c r="H3104" s="177" t="str">
        <f>IFERROR(__xludf.DUMMYFUNCTION("""COMPUTED_VALUE"""),"15HP")</f>
        <v>15HP</v>
      </c>
      <c r="I3104" s="177"/>
      <c r="J3104" s="177"/>
      <c r="K3104" s="177">
        <f>IFERROR(__xludf.DUMMYFUNCTION("""COMPUTED_VALUE"""),0.5)</f>
        <v>0.5</v>
      </c>
      <c r="L3104" s="177" t="str">
        <f>IFERROR(__xludf.DUMMYFUNCTION("""COMPUTED_VALUE"""),"-")</f>
        <v>-</v>
      </c>
    </row>
    <row r="3105" customHeight="1" spans="1:12">
      <c r="A3105" s="177" t="str">
        <f>IFERROR(__xludf.DUMMYFUNCTION("""COMPUTED_VALUE"""),"TNL-CLT-011")</f>
        <v>TNL-CLT-011</v>
      </c>
      <c r="B3105" s="1090" t="str">
        <f>IFERROR(__xludf.DUMMYFUNCTION("""COMPUTED_VALUE"""),"Xe Clethon")</f>
        <v>Xe Clethon</v>
      </c>
      <c r="C3105" s="177"/>
      <c r="D3105" s="177"/>
      <c r="E3105" s="177"/>
      <c r="F3105" s="177"/>
      <c r="G3105" s="177"/>
      <c r="H3105" s="177" t="str">
        <f>IFERROR(__xludf.DUMMYFUNCTION("""COMPUTED_VALUE"""),"15HP")</f>
        <v>15HP</v>
      </c>
      <c r="I3105" s="177"/>
      <c r="J3105" s="177"/>
      <c r="K3105" s="177">
        <f>IFERROR(__xludf.DUMMYFUNCTION("""COMPUTED_VALUE"""),0.5)</f>
        <v>0.5</v>
      </c>
      <c r="L3105" s="177" t="str">
        <f>IFERROR(__xludf.DUMMYFUNCTION("""COMPUTED_VALUE"""),"-")</f>
        <v>-</v>
      </c>
    </row>
    <row r="3106" customHeight="1" spans="1:12">
      <c r="A3106" s="177" t="str">
        <f>IFERROR(__xludf.DUMMYFUNCTION("""COMPUTED_VALUE"""),"TNL-CLT-012")</f>
        <v>TNL-CLT-012</v>
      </c>
      <c r="B3106" s="1090" t="str">
        <f>IFERROR(__xludf.DUMMYFUNCTION("""COMPUTED_VALUE"""),"Xe Clethon")</f>
        <v>Xe Clethon</v>
      </c>
      <c r="C3106" s="177"/>
      <c r="D3106" s="177"/>
      <c r="E3106" s="177"/>
      <c r="F3106" s="177"/>
      <c r="G3106" s="177"/>
      <c r="H3106" s="177" t="str">
        <f>IFERROR(__xludf.DUMMYFUNCTION("""COMPUTED_VALUE"""),"15HP")</f>
        <v>15HP</v>
      </c>
      <c r="I3106" s="177"/>
      <c r="J3106" s="177"/>
      <c r="K3106" s="177">
        <f>IFERROR(__xludf.DUMMYFUNCTION("""COMPUTED_VALUE"""),0.5)</f>
        <v>0.5</v>
      </c>
      <c r="L3106" s="177" t="str">
        <f>IFERROR(__xludf.DUMMYFUNCTION("""COMPUTED_VALUE"""),"-")</f>
        <v>-</v>
      </c>
    </row>
    <row r="3107" customHeight="1" spans="1:12">
      <c r="A3107" s="177" t="str">
        <f>IFERROR(__xludf.DUMMYFUNCTION("""COMPUTED_VALUE"""),"TNL-CLT-013")</f>
        <v>TNL-CLT-013</v>
      </c>
      <c r="B3107" s="1090" t="str">
        <f>IFERROR(__xludf.DUMMYFUNCTION("""COMPUTED_VALUE"""),"Xe Clethon")</f>
        <v>Xe Clethon</v>
      </c>
      <c r="C3107" s="177"/>
      <c r="D3107" s="177"/>
      <c r="E3107" s="177"/>
      <c r="F3107" s="177"/>
      <c r="G3107" s="177"/>
      <c r="H3107" s="177" t="str">
        <f>IFERROR(__xludf.DUMMYFUNCTION("""COMPUTED_VALUE"""),"15HP")</f>
        <v>15HP</v>
      </c>
      <c r="I3107" s="177"/>
      <c r="J3107" s="177"/>
      <c r="K3107" s="177">
        <f>IFERROR(__xludf.DUMMYFUNCTION("""COMPUTED_VALUE"""),0.5)</f>
        <v>0.5</v>
      </c>
      <c r="L3107" s="177" t="str">
        <f>IFERROR(__xludf.DUMMYFUNCTION("""COMPUTED_VALUE"""),"-")</f>
        <v>-</v>
      </c>
    </row>
    <row r="3108" customHeight="1" spans="1:12">
      <c r="A3108" s="177" t="str">
        <f>IFERROR(__xludf.DUMMYFUNCTION("""COMPUTED_VALUE"""),"TNL-CLT-017")</f>
        <v>TNL-CLT-017</v>
      </c>
      <c r="B3108" s="1090" t="str">
        <f>IFERROR(__xludf.DUMMYFUNCTION("""COMPUTED_VALUE"""),"Xe Clethon")</f>
        <v>Xe Clethon</v>
      </c>
      <c r="C3108" s="177"/>
      <c r="D3108" s="177"/>
      <c r="E3108" s="177"/>
      <c r="F3108" s="177"/>
      <c r="G3108" s="177"/>
      <c r="H3108" s="177" t="str">
        <f>IFERROR(__xludf.DUMMYFUNCTION("""COMPUTED_VALUE"""),"15HP")</f>
        <v>15HP</v>
      </c>
      <c r="I3108" s="177"/>
      <c r="J3108" s="177"/>
      <c r="K3108" s="177">
        <f>IFERROR(__xludf.DUMMYFUNCTION("""COMPUTED_VALUE"""),0.5)</f>
        <v>0.5</v>
      </c>
      <c r="L3108" s="177" t="str">
        <f>IFERROR(__xludf.DUMMYFUNCTION("""COMPUTED_VALUE"""),"-")</f>
        <v>-</v>
      </c>
    </row>
    <row r="3109" customHeight="1" spans="1:12">
      <c r="A3109" s="177" t="str">
        <f>IFERROR(__xludf.DUMMYFUNCTION("""COMPUTED_VALUE"""),"TNL-CLT-018")</f>
        <v>TNL-CLT-018</v>
      </c>
      <c r="B3109" s="1090" t="str">
        <f>IFERROR(__xludf.DUMMYFUNCTION("""COMPUTED_VALUE"""),"Xe Clethon")</f>
        <v>Xe Clethon</v>
      </c>
      <c r="C3109" s="177"/>
      <c r="D3109" s="177"/>
      <c r="E3109" s="177"/>
      <c r="F3109" s="177"/>
      <c r="G3109" s="177"/>
      <c r="H3109" s="177" t="str">
        <f>IFERROR(__xludf.DUMMYFUNCTION("""COMPUTED_VALUE"""),"15HP")</f>
        <v>15HP</v>
      </c>
      <c r="I3109" s="177"/>
      <c r="J3109" s="177"/>
      <c r="K3109" s="177">
        <f>IFERROR(__xludf.DUMMYFUNCTION("""COMPUTED_VALUE"""),0.5)</f>
        <v>0.5</v>
      </c>
      <c r="L3109" s="177" t="str">
        <f>IFERROR(__xludf.DUMMYFUNCTION("""COMPUTED_VALUE"""),"-")</f>
        <v>-</v>
      </c>
    </row>
    <row r="3110" customHeight="1" spans="1:12">
      <c r="A3110" s="177" t="str">
        <f>IFERROR(__xludf.DUMMYFUNCTION("""COMPUTED_VALUE"""),"TNL-CLT-019")</f>
        <v>TNL-CLT-019</v>
      </c>
      <c r="B3110" s="1090" t="str">
        <f>IFERROR(__xludf.DUMMYFUNCTION("""COMPUTED_VALUE"""),"Xe Clethon")</f>
        <v>Xe Clethon</v>
      </c>
      <c r="C3110" s="177"/>
      <c r="D3110" s="177"/>
      <c r="E3110" s="177"/>
      <c r="F3110" s="177"/>
      <c r="G3110" s="177"/>
      <c r="H3110" s="177" t="str">
        <f>IFERROR(__xludf.DUMMYFUNCTION("""COMPUTED_VALUE"""),"15HP")</f>
        <v>15HP</v>
      </c>
      <c r="I3110" s="177"/>
      <c r="J3110" s="177"/>
      <c r="K3110" s="177">
        <f>IFERROR(__xludf.DUMMYFUNCTION("""COMPUTED_VALUE"""),0.5)</f>
        <v>0.5</v>
      </c>
      <c r="L3110" s="177" t="str">
        <f>IFERROR(__xludf.DUMMYFUNCTION("""COMPUTED_VALUE"""),"-")</f>
        <v>-</v>
      </c>
    </row>
    <row r="3111" customHeight="1" spans="1:12">
      <c r="A3111" s="177" t="str">
        <f>IFERROR(__xludf.DUMMYFUNCTION("""COMPUTED_VALUE"""),"TNL-CLT-020")</f>
        <v>TNL-CLT-020</v>
      </c>
      <c r="B3111" s="1090" t="str">
        <f>IFERROR(__xludf.DUMMYFUNCTION("""COMPUTED_VALUE"""),"Xe Clethon")</f>
        <v>Xe Clethon</v>
      </c>
      <c r="C3111" s="177"/>
      <c r="D3111" s="177"/>
      <c r="E3111" s="177"/>
      <c r="F3111" s="177"/>
      <c r="G3111" s="177"/>
      <c r="H3111" s="177" t="str">
        <f>IFERROR(__xludf.DUMMYFUNCTION("""COMPUTED_VALUE"""),"15HP")</f>
        <v>15HP</v>
      </c>
      <c r="I3111" s="177"/>
      <c r="J3111" s="177"/>
      <c r="K3111" s="177">
        <f>IFERROR(__xludf.DUMMYFUNCTION("""COMPUTED_VALUE"""),0.5)</f>
        <v>0.5</v>
      </c>
      <c r="L3111" s="177" t="str">
        <f>IFERROR(__xludf.DUMMYFUNCTION("""COMPUTED_VALUE"""),"-")</f>
        <v>-</v>
      </c>
    </row>
    <row r="3112" customHeight="1" spans="1:12">
      <c r="A3112" s="177" t="str">
        <f>IFERROR(__xludf.DUMMYFUNCTION("""COMPUTED_VALUE"""),"XÍ NGHIỆP CHUỐI AD2")</f>
        <v>XÍ NGHIỆP CHUỐI AD2</v>
      </c>
      <c r="B3112" s="1090"/>
      <c r="C3112" s="177"/>
      <c r="D3112" s="177"/>
      <c r="E3112" s="177"/>
      <c r="F3112" s="177"/>
      <c r="G3112" s="177"/>
      <c r="H3112" s="177"/>
      <c r="I3112" s="177"/>
      <c r="J3112" s="177"/>
      <c r="K3112" s="177">
        <f>IFERROR(__xludf.DUMMYFUNCTION("""COMPUTED_VALUE"""),0.5)</f>
        <v>0.5</v>
      </c>
      <c r="L3112" s="177" t="str">
        <f>IFERROR(__xludf.DUMMYFUNCTION("""COMPUTED_VALUE"""),"-")</f>
        <v>-</v>
      </c>
    </row>
    <row r="3113" customHeight="1" spans="1:12">
      <c r="A3113" s="177" t="str">
        <f>IFERROR(__xludf.DUMMYFUNCTION("""COMPUTED_VALUE"""),"TNA-CLT-003")</f>
        <v>TNA-CLT-003</v>
      </c>
      <c r="B3113" s="1090" t="str">
        <f>IFERROR(__xludf.DUMMYFUNCTION("""COMPUTED_VALUE"""),"Xe Clethon")</f>
        <v>Xe Clethon</v>
      </c>
      <c r="C3113" s="177"/>
      <c r="D3113" s="177"/>
      <c r="E3113" s="177"/>
      <c r="F3113" s="177"/>
      <c r="G3113" s="177"/>
      <c r="H3113" s="177" t="str">
        <f>IFERROR(__xludf.DUMMYFUNCTION("""COMPUTED_VALUE"""),"15HP")</f>
        <v>15HP</v>
      </c>
      <c r="I3113" s="177"/>
      <c r="J3113" s="177"/>
      <c r="K3113" s="177">
        <f>IFERROR(__xludf.DUMMYFUNCTION("""COMPUTED_VALUE"""),0.5)</f>
        <v>0.5</v>
      </c>
      <c r="L3113" s="177" t="str">
        <f>IFERROR(__xludf.DUMMYFUNCTION("""COMPUTED_VALUE"""),"-")</f>
        <v>-</v>
      </c>
    </row>
    <row r="3114" customHeight="1" spans="1:12">
      <c r="A3114" s="177" t="str">
        <f>IFERROR(__xludf.DUMMYFUNCTION("""COMPUTED_VALUE"""),"TNA-CLT-004")</f>
        <v>TNA-CLT-004</v>
      </c>
      <c r="B3114" s="1090" t="str">
        <f>IFERROR(__xludf.DUMMYFUNCTION("""COMPUTED_VALUE"""),"Xe Clethon")</f>
        <v>Xe Clethon</v>
      </c>
      <c r="C3114" s="177"/>
      <c r="D3114" s="177"/>
      <c r="E3114" s="177"/>
      <c r="F3114" s="177"/>
      <c r="G3114" s="177"/>
      <c r="H3114" s="177" t="str">
        <f>IFERROR(__xludf.DUMMYFUNCTION("""COMPUTED_VALUE"""),"15HP")</f>
        <v>15HP</v>
      </c>
      <c r="I3114" s="177"/>
      <c r="J3114" s="177"/>
      <c r="K3114" s="177">
        <f>IFERROR(__xludf.DUMMYFUNCTION("""COMPUTED_VALUE"""),0.5)</f>
        <v>0.5</v>
      </c>
      <c r="L3114" s="177" t="str">
        <f>IFERROR(__xludf.DUMMYFUNCTION("""COMPUTED_VALUE"""),"-")</f>
        <v>-</v>
      </c>
    </row>
    <row r="3115" customHeight="1" spans="1:12">
      <c r="A3115" s="177" t="str">
        <f>IFERROR(__xludf.DUMMYFUNCTION("""COMPUTED_VALUE"""),"TNA-CLT-005")</f>
        <v>TNA-CLT-005</v>
      </c>
      <c r="B3115" s="1090" t="str">
        <f>IFERROR(__xludf.DUMMYFUNCTION("""COMPUTED_VALUE"""),"Xe Clethon")</f>
        <v>Xe Clethon</v>
      </c>
      <c r="C3115" s="177"/>
      <c r="D3115" s="177"/>
      <c r="E3115" s="177"/>
      <c r="F3115" s="177"/>
      <c r="G3115" s="177"/>
      <c r="H3115" s="177" t="str">
        <f>IFERROR(__xludf.DUMMYFUNCTION("""COMPUTED_VALUE"""),"15HP")</f>
        <v>15HP</v>
      </c>
      <c r="I3115" s="177"/>
      <c r="J3115" s="177"/>
      <c r="K3115" s="177">
        <f>IFERROR(__xludf.DUMMYFUNCTION("""COMPUTED_VALUE"""),0.5)</f>
        <v>0.5</v>
      </c>
      <c r="L3115" s="177" t="str">
        <f>IFERROR(__xludf.DUMMYFUNCTION("""COMPUTED_VALUE"""),"-")</f>
        <v>-</v>
      </c>
    </row>
    <row r="3116" customHeight="1" spans="1:12">
      <c r="A3116" s="177" t="str">
        <f>IFERROR(__xludf.DUMMYFUNCTION("""COMPUTED_VALUE"""),"TNA-CLT-006")</f>
        <v>TNA-CLT-006</v>
      </c>
      <c r="B3116" s="1090" t="str">
        <f>IFERROR(__xludf.DUMMYFUNCTION("""COMPUTED_VALUE"""),"Xe Clethon")</f>
        <v>Xe Clethon</v>
      </c>
      <c r="C3116" s="177"/>
      <c r="D3116" s="177"/>
      <c r="E3116" s="177"/>
      <c r="F3116" s="177"/>
      <c r="G3116" s="177"/>
      <c r="H3116" s="177" t="str">
        <f>IFERROR(__xludf.DUMMYFUNCTION("""COMPUTED_VALUE"""),"15HP")</f>
        <v>15HP</v>
      </c>
      <c r="I3116" s="177"/>
      <c r="J3116" s="177"/>
      <c r="K3116" s="177">
        <f>IFERROR(__xludf.DUMMYFUNCTION("""COMPUTED_VALUE"""),0.5)</f>
        <v>0.5</v>
      </c>
      <c r="L3116" s="177" t="str">
        <f>IFERROR(__xludf.DUMMYFUNCTION("""COMPUTED_VALUE"""),"-")</f>
        <v>-</v>
      </c>
    </row>
    <row r="3117" customHeight="1" spans="1:12">
      <c r="A3117" s="177" t="str">
        <f>IFERROR(__xludf.DUMMYFUNCTION("""COMPUTED_VALUE"""),"TNA-CLT-007")</f>
        <v>TNA-CLT-007</v>
      </c>
      <c r="B3117" s="1090" t="str">
        <f>IFERROR(__xludf.DUMMYFUNCTION("""COMPUTED_VALUE"""),"Xe Clethon")</f>
        <v>Xe Clethon</v>
      </c>
      <c r="C3117" s="177"/>
      <c r="D3117" s="177"/>
      <c r="E3117" s="177"/>
      <c r="F3117" s="177"/>
      <c r="G3117" s="177"/>
      <c r="H3117" s="177" t="str">
        <f>IFERROR(__xludf.DUMMYFUNCTION("""COMPUTED_VALUE"""),"15HP")</f>
        <v>15HP</v>
      </c>
      <c r="I3117" s="177"/>
      <c r="J3117" s="177"/>
      <c r="K3117" s="177">
        <f>IFERROR(__xludf.DUMMYFUNCTION("""COMPUTED_VALUE"""),0.5)</f>
        <v>0.5</v>
      </c>
      <c r="L3117" s="177" t="str">
        <f>IFERROR(__xludf.DUMMYFUNCTION("""COMPUTED_VALUE"""),"-")</f>
        <v>-</v>
      </c>
    </row>
    <row r="3118" customHeight="1" spans="1:12">
      <c r="A3118" s="177" t="str">
        <f>IFERROR(__xludf.DUMMYFUNCTION("""COMPUTED_VALUE"""),"TNA-CLT-008")</f>
        <v>TNA-CLT-008</v>
      </c>
      <c r="B3118" s="1090" t="str">
        <f>IFERROR(__xludf.DUMMYFUNCTION("""COMPUTED_VALUE"""),"Xe Clethon")</f>
        <v>Xe Clethon</v>
      </c>
      <c r="C3118" s="177"/>
      <c r="D3118" s="177"/>
      <c r="E3118" s="177"/>
      <c r="F3118" s="177"/>
      <c r="G3118" s="177"/>
      <c r="H3118" s="177" t="str">
        <f>IFERROR(__xludf.DUMMYFUNCTION("""COMPUTED_VALUE"""),"15HP")</f>
        <v>15HP</v>
      </c>
      <c r="I3118" s="177"/>
      <c r="J3118" s="177"/>
      <c r="K3118" s="177">
        <f>IFERROR(__xludf.DUMMYFUNCTION("""COMPUTED_VALUE"""),0.5)</f>
        <v>0.5</v>
      </c>
      <c r="L3118" s="177" t="str">
        <f>IFERROR(__xludf.DUMMYFUNCTION("""COMPUTED_VALUE"""),"-")</f>
        <v>-</v>
      </c>
    </row>
    <row r="3119" customHeight="1" spans="1:12">
      <c r="A3119" s="177" t="str">
        <f>IFERROR(__xludf.DUMMYFUNCTION("""COMPUTED_VALUE"""),"TNA-CLT-009")</f>
        <v>TNA-CLT-009</v>
      </c>
      <c r="B3119" s="1090" t="str">
        <f>IFERROR(__xludf.DUMMYFUNCTION("""COMPUTED_VALUE"""),"Xe Clethon")</f>
        <v>Xe Clethon</v>
      </c>
      <c r="C3119" s="177"/>
      <c r="D3119" s="177"/>
      <c r="E3119" s="177"/>
      <c r="F3119" s="177"/>
      <c r="G3119" s="177"/>
      <c r="H3119" s="177" t="str">
        <f>IFERROR(__xludf.DUMMYFUNCTION("""COMPUTED_VALUE"""),"15HP")</f>
        <v>15HP</v>
      </c>
      <c r="I3119" s="177"/>
      <c r="J3119" s="177"/>
      <c r="K3119" s="177">
        <f>IFERROR(__xludf.DUMMYFUNCTION("""COMPUTED_VALUE"""),0.5)</f>
        <v>0.5</v>
      </c>
      <c r="L3119" s="177" t="str">
        <f>IFERROR(__xludf.DUMMYFUNCTION("""COMPUTED_VALUE"""),"-")</f>
        <v>-</v>
      </c>
    </row>
    <row r="3120" customHeight="1" spans="1:12">
      <c r="A3120" s="177" t="str">
        <f>IFERROR(__xludf.DUMMYFUNCTION("""COMPUTED_VALUE"""),"TNA-CLT-010")</f>
        <v>TNA-CLT-010</v>
      </c>
      <c r="B3120" s="1090" t="str">
        <f>IFERROR(__xludf.DUMMYFUNCTION("""COMPUTED_VALUE"""),"Xe Clethon")</f>
        <v>Xe Clethon</v>
      </c>
      <c r="C3120" s="177"/>
      <c r="D3120" s="177"/>
      <c r="E3120" s="177"/>
      <c r="F3120" s="177"/>
      <c r="G3120" s="177"/>
      <c r="H3120" s="177" t="str">
        <f>IFERROR(__xludf.DUMMYFUNCTION("""COMPUTED_VALUE"""),"15HP")</f>
        <v>15HP</v>
      </c>
      <c r="I3120" s="177"/>
      <c r="J3120" s="177"/>
      <c r="K3120" s="177">
        <f>IFERROR(__xludf.DUMMYFUNCTION("""COMPUTED_VALUE"""),0.5)</f>
        <v>0.5</v>
      </c>
      <c r="L3120" s="177" t="str">
        <f>IFERROR(__xludf.DUMMYFUNCTION("""COMPUTED_VALUE"""),"-")</f>
        <v>-</v>
      </c>
    </row>
    <row r="3121" customHeight="1" spans="1:12">
      <c r="A3121" s="177" t="str">
        <f>IFERROR(__xludf.DUMMYFUNCTION("""COMPUTED_VALUE"""),"TNA-CLT-011")</f>
        <v>TNA-CLT-011</v>
      </c>
      <c r="B3121" s="1090" t="str">
        <f>IFERROR(__xludf.DUMMYFUNCTION("""COMPUTED_VALUE"""),"Xe Clethon")</f>
        <v>Xe Clethon</v>
      </c>
      <c r="C3121" s="177"/>
      <c r="D3121" s="177"/>
      <c r="E3121" s="177"/>
      <c r="F3121" s="177"/>
      <c r="G3121" s="177"/>
      <c r="H3121" s="177" t="str">
        <f>IFERROR(__xludf.DUMMYFUNCTION("""COMPUTED_VALUE"""),"15HP")</f>
        <v>15HP</v>
      </c>
      <c r="I3121" s="177"/>
      <c r="J3121" s="177"/>
      <c r="K3121" s="177">
        <f>IFERROR(__xludf.DUMMYFUNCTION("""COMPUTED_VALUE"""),0.5)</f>
        <v>0.5</v>
      </c>
      <c r="L3121" s="177" t="str">
        <f>IFERROR(__xludf.DUMMYFUNCTION("""COMPUTED_VALUE"""),"-")</f>
        <v>-</v>
      </c>
    </row>
    <row r="3122" customHeight="1" spans="1:12">
      <c r="A3122" s="177" t="str">
        <f>IFERROR(__xludf.DUMMYFUNCTION("""COMPUTED_VALUE"""),"TNA-CLT-012")</f>
        <v>TNA-CLT-012</v>
      </c>
      <c r="B3122" s="1090" t="str">
        <f>IFERROR(__xludf.DUMMYFUNCTION("""COMPUTED_VALUE"""),"Xe Clethon")</f>
        <v>Xe Clethon</v>
      </c>
      <c r="C3122" s="177"/>
      <c r="D3122" s="177"/>
      <c r="E3122" s="177"/>
      <c r="F3122" s="177"/>
      <c r="G3122" s="177"/>
      <c r="H3122" s="177" t="str">
        <f>IFERROR(__xludf.DUMMYFUNCTION("""COMPUTED_VALUE"""),"15HP")</f>
        <v>15HP</v>
      </c>
      <c r="I3122" s="177"/>
      <c r="J3122" s="177"/>
      <c r="K3122" s="177">
        <f>IFERROR(__xludf.DUMMYFUNCTION("""COMPUTED_VALUE"""),0.5)</f>
        <v>0.5</v>
      </c>
      <c r="L3122" s="177" t="str">
        <f>IFERROR(__xludf.DUMMYFUNCTION("""COMPUTED_VALUE"""),"-")</f>
        <v>-</v>
      </c>
    </row>
    <row r="3123" customHeight="1" spans="1:12">
      <c r="A3123" s="177" t="str">
        <f>IFERROR(__xludf.DUMMYFUNCTION("""COMPUTED_VALUE"""),"TNA-CLT-013")</f>
        <v>TNA-CLT-013</v>
      </c>
      <c r="B3123" s="1090" t="str">
        <f>IFERROR(__xludf.DUMMYFUNCTION("""COMPUTED_VALUE"""),"Xe Clethon")</f>
        <v>Xe Clethon</v>
      </c>
      <c r="C3123" s="177"/>
      <c r="D3123" s="177"/>
      <c r="E3123" s="177"/>
      <c r="F3123" s="177"/>
      <c r="G3123" s="177"/>
      <c r="H3123" s="177" t="str">
        <f>IFERROR(__xludf.DUMMYFUNCTION("""COMPUTED_VALUE"""),"15HP")</f>
        <v>15HP</v>
      </c>
      <c r="I3123" s="177"/>
      <c r="J3123" s="177"/>
      <c r="K3123" s="177">
        <f>IFERROR(__xludf.DUMMYFUNCTION("""COMPUTED_VALUE"""),0.5)</f>
        <v>0.5</v>
      </c>
      <c r="L3123" s="177" t="str">
        <f>IFERROR(__xludf.DUMMYFUNCTION("""COMPUTED_VALUE"""),"-")</f>
        <v>-</v>
      </c>
    </row>
    <row r="3124" customHeight="1" spans="1:12">
      <c r="A3124" s="177" t="str">
        <f>IFERROR(__xludf.DUMMYFUNCTION("""COMPUTED_VALUE"""),"TNA-CLT-014")</f>
        <v>TNA-CLT-014</v>
      </c>
      <c r="B3124" s="1090" t="str">
        <f>IFERROR(__xludf.DUMMYFUNCTION("""COMPUTED_VALUE"""),"Xe Clethon")</f>
        <v>Xe Clethon</v>
      </c>
      <c r="C3124" s="177"/>
      <c r="D3124" s="177"/>
      <c r="E3124" s="177"/>
      <c r="F3124" s="177"/>
      <c r="G3124" s="177"/>
      <c r="H3124" s="177" t="str">
        <f>IFERROR(__xludf.DUMMYFUNCTION("""COMPUTED_VALUE"""),"15HP")</f>
        <v>15HP</v>
      </c>
      <c r="I3124" s="177"/>
      <c r="J3124" s="177"/>
      <c r="K3124" s="177">
        <f>IFERROR(__xludf.DUMMYFUNCTION("""COMPUTED_VALUE"""),0.5)</f>
        <v>0.5</v>
      </c>
      <c r="L3124" s="177" t="str">
        <f>IFERROR(__xludf.DUMMYFUNCTION("""COMPUTED_VALUE"""),"-")</f>
        <v>-</v>
      </c>
    </row>
    <row r="3125" customHeight="1" spans="1:12">
      <c r="A3125" s="177" t="str">
        <f>IFERROR(__xludf.DUMMYFUNCTION("""COMPUTED_VALUE"""),"TNA-CLT-015")</f>
        <v>TNA-CLT-015</v>
      </c>
      <c r="B3125" s="1090" t="str">
        <f>IFERROR(__xludf.DUMMYFUNCTION("""COMPUTED_VALUE"""),"Xe Clethon")</f>
        <v>Xe Clethon</v>
      </c>
      <c r="C3125" s="177"/>
      <c r="D3125" s="177"/>
      <c r="E3125" s="177"/>
      <c r="F3125" s="177"/>
      <c r="G3125" s="177"/>
      <c r="H3125" s="177" t="str">
        <f>IFERROR(__xludf.DUMMYFUNCTION("""COMPUTED_VALUE"""),"15HP")</f>
        <v>15HP</v>
      </c>
      <c r="I3125" s="177"/>
      <c r="J3125" s="177"/>
      <c r="K3125" s="177">
        <f>IFERROR(__xludf.DUMMYFUNCTION("""COMPUTED_VALUE"""),0.5)</f>
        <v>0.5</v>
      </c>
      <c r="L3125" s="177" t="str">
        <f>IFERROR(__xludf.DUMMYFUNCTION("""COMPUTED_VALUE"""),"-")</f>
        <v>-</v>
      </c>
    </row>
    <row r="3126" customHeight="1" spans="1:12">
      <c r="A3126" s="177" t="str">
        <f>IFERROR(__xludf.DUMMYFUNCTION("""COMPUTED_VALUE"""),"TNA-CLT-016")</f>
        <v>TNA-CLT-016</v>
      </c>
      <c r="B3126" s="1090" t="str">
        <f>IFERROR(__xludf.DUMMYFUNCTION("""COMPUTED_VALUE"""),"Xe Clethon")</f>
        <v>Xe Clethon</v>
      </c>
      <c r="C3126" s="177"/>
      <c r="D3126" s="177"/>
      <c r="E3126" s="177"/>
      <c r="F3126" s="177"/>
      <c r="G3126" s="177"/>
      <c r="H3126" s="177" t="str">
        <f>IFERROR(__xludf.DUMMYFUNCTION("""COMPUTED_VALUE"""),"15HP")</f>
        <v>15HP</v>
      </c>
      <c r="I3126" s="177"/>
      <c r="J3126" s="177"/>
      <c r="K3126" s="177">
        <f>IFERROR(__xludf.DUMMYFUNCTION("""COMPUTED_VALUE"""),0.5)</f>
        <v>0.5</v>
      </c>
      <c r="L3126" s="177" t="str">
        <f>IFERROR(__xludf.DUMMYFUNCTION("""COMPUTED_VALUE"""),"-")</f>
        <v>-</v>
      </c>
    </row>
    <row r="3127" customHeight="1" spans="1:12">
      <c r="A3127" s="177" t="str">
        <f>IFERROR(__xludf.DUMMYFUNCTION("""COMPUTED_VALUE"""),"TNA-CLT-017")</f>
        <v>TNA-CLT-017</v>
      </c>
      <c r="B3127" s="1090" t="str">
        <f>IFERROR(__xludf.DUMMYFUNCTION("""COMPUTED_VALUE"""),"Xe Clethon")</f>
        <v>Xe Clethon</v>
      </c>
      <c r="C3127" s="177"/>
      <c r="D3127" s="177"/>
      <c r="E3127" s="177"/>
      <c r="F3127" s="177"/>
      <c r="G3127" s="177"/>
      <c r="H3127" s="177" t="str">
        <f>IFERROR(__xludf.DUMMYFUNCTION("""COMPUTED_VALUE"""),"15HP")</f>
        <v>15HP</v>
      </c>
      <c r="I3127" s="177"/>
      <c r="J3127" s="177"/>
      <c r="K3127" s="177">
        <f>IFERROR(__xludf.DUMMYFUNCTION("""COMPUTED_VALUE"""),0.5)</f>
        <v>0.5</v>
      </c>
      <c r="L3127" s="177" t="str">
        <f>IFERROR(__xludf.DUMMYFUNCTION("""COMPUTED_VALUE"""),"-")</f>
        <v>-</v>
      </c>
    </row>
    <row r="3128" customHeight="1" spans="1:12">
      <c r="A3128" s="177" t="str">
        <f>IFERROR(__xludf.DUMMYFUNCTION("""COMPUTED_VALUE"""),"TNA-CLT-018")</f>
        <v>TNA-CLT-018</v>
      </c>
      <c r="B3128" s="1090" t="str">
        <f>IFERROR(__xludf.DUMMYFUNCTION("""COMPUTED_VALUE"""),"Xe Clethon")</f>
        <v>Xe Clethon</v>
      </c>
      <c r="C3128" s="177"/>
      <c r="D3128" s="177"/>
      <c r="E3128" s="177"/>
      <c r="F3128" s="177"/>
      <c r="G3128" s="177"/>
      <c r="H3128" s="177" t="str">
        <f>IFERROR(__xludf.DUMMYFUNCTION("""COMPUTED_VALUE"""),"15HP")</f>
        <v>15HP</v>
      </c>
      <c r="I3128" s="177"/>
      <c r="J3128" s="177"/>
      <c r="K3128" s="177">
        <f>IFERROR(__xludf.DUMMYFUNCTION("""COMPUTED_VALUE"""),0.5)</f>
        <v>0.5</v>
      </c>
      <c r="L3128" s="177" t="str">
        <f>IFERROR(__xludf.DUMMYFUNCTION("""COMPUTED_VALUE"""),"-")</f>
        <v>-</v>
      </c>
    </row>
    <row r="3129" customHeight="1" spans="1:12">
      <c r="A3129" s="177" t="str">
        <f>IFERROR(__xludf.DUMMYFUNCTION("""COMPUTED_VALUE"""),"TNA-CLT-021")</f>
        <v>TNA-CLT-021</v>
      </c>
      <c r="B3129" s="1090" t="str">
        <f>IFERROR(__xludf.DUMMYFUNCTION("""COMPUTED_VALUE"""),"Xe Clethon")</f>
        <v>Xe Clethon</v>
      </c>
      <c r="C3129" s="177"/>
      <c r="D3129" s="177"/>
      <c r="E3129" s="177"/>
      <c r="F3129" s="177"/>
      <c r="G3129" s="177"/>
      <c r="H3129" s="177" t="str">
        <f>IFERROR(__xludf.DUMMYFUNCTION("""COMPUTED_VALUE"""),"15HP")</f>
        <v>15HP</v>
      </c>
      <c r="I3129" s="177"/>
      <c r="J3129" s="177"/>
      <c r="K3129" s="177">
        <f>IFERROR(__xludf.DUMMYFUNCTION("""COMPUTED_VALUE"""),0.5)</f>
        <v>0.5</v>
      </c>
      <c r="L3129" s="177" t="str">
        <f>IFERROR(__xludf.DUMMYFUNCTION("""COMPUTED_VALUE"""),"-")</f>
        <v>-</v>
      </c>
    </row>
    <row r="3130" customHeight="1" spans="1:12">
      <c r="A3130" s="177" t="str">
        <f>IFERROR(__xludf.DUMMYFUNCTION("""COMPUTED_VALUE"""),"TNA-CLT-022")</f>
        <v>TNA-CLT-022</v>
      </c>
      <c r="B3130" s="1090" t="str">
        <f>IFERROR(__xludf.DUMMYFUNCTION("""COMPUTED_VALUE"""),"Xe Clethon")</f>
        <v>Xe Clethon</v>
      </c>
      <c r="C3130" s="177"/>
      <c r="D3130" s="177"/>
      <c r="E3130" s="177"/>
      <c r="F3130" s="177"/>
      <c r="G3130" s="177"/>
      <c r="H3130" s="177" t="str">
        <f>IFERROR(__xludf.DUMMYFUNCTION("""COMPUTED_VALUE"""),"15HP")</f>
        <v>15HP</v>
      </c>
      <c r="I3130" s="177"/>
      <c r="J3130" s="177"/>
      <c r="K3130" s="177">
        <f>IFERROR(__xludf.DUMMYFUNCTION("""COMPUTED_VALUE"""),0.5)</f>
        <v>0.5</v>
      </c>
      <c r="L3130" s="177" t="str">
        <f>IFERROR(__xludf.DUMMYFUNCTION("""COMPUTED_VALUE"""),"-")</f>
        <v>-</v>
      </c>
    </row>
    <row r="3131" customHeight="1" spans="1:12">
      <c r="A3131" s="177" t="str">
        <f>IFERROR(__xludf.DUMMYFUNCTION("""COMPUTED_VALUE"""),"TNA-CLT-023")</f>
        <v>TNA-CLT-023</v>
      </c>
      <c r="B3131" s="1090" t="str">
        <f>IFERROR(__xludf.DUMMYFUNCTION("""COMPUTED_VALUE"""),"Xe Clethon")</f>
        <v>Xe Clethon</v>
      </c>
      <c r="C3131" s="177"/>
      <c r="D3131" s="177"/>
      <c r="E3131" s="177"/>
      <c r="F3131" s="177"/>
      <c r="G3131" s="177"/>
      <c r="H3131" s="177" t="str">
        <f>IFERROR(__xludf.DUMMYFUNCTION("""COMPUTED_VALUE"""),"15HP")</f>
        <v>15HP</v>
      </c>
      <c r="I3131" s="177"/>
      <c r="J3131" s="177"/>
      <c r="K3131" s="177">
        <f>IFERROR(__xludf.DUMMYFUNCTION("""COMPUTED_VALUE"""),0.5)</f>
        <v>0.5</v>
      </c>
      <c r="L3131" s="177" t="str">
        <f>IFERROR(__xludf.DUMMYFUNCTION("""COMPUTED_VALUE"""),"-")</f>
        <v>-</v>
      </c>
    </row>
    <row r="3132" customHeight="1" spans="1:12">
      <c r="A3132" s="177" t="str">
        <f>IFERROR(__xludf.DUMMYFUNCTION("""COMPUTED_VALUE"""),"TNA-CLT-024")</f>
        <v>TNA-CLT-024</v>
      </c>
      <c r="B3132" s="1090" t="str">
        <f>IFERROR(__xludf.DUMMYFUNCTION("""COMPUTED_VALUE"""),"Xe Clethon")</f>
        <v>Xe Clethon</v>
      </c>
      <c r="C3132" s="177"/>
      <c r="D3132" s="177"/>
      <c r="E3132" s="177"/>
      <c r="F3132" s="177"/>
      <c r="G3132" s="177"/>
      <c r="H3132" s="177" t="str">
        <f>IFERROR(__xludf.DUMMYFUNCTION("""COMPUTED_VALUE"""),"15HP")</f>
        <v>15HP</v>
      </c>
      <c r="I3132" s="177"/>
      <c r="J3132" s="177"/>
      <c r="K3132" s="177">
        <f>IFERROR(__xludf.DUMMYFUNCTION("""COMPUTED_VALUE"""),0.5)</f>
        <v>0.5</v>
      </c>
      <c r="L3132" s="177" t="str">
        <f>IFERROR(__xludf.DUMMYFUNCTION("""COMPUTED_VALUE"""),"-")</f>
        <v>-</v>
      </c>
    </row>
    <row r="3133" customHeight="1" spans="1:12">
      <c r="A3133" s="177" t="str">
        <f>IFERROR(__xludf.DUMMYFUNCTION("""COMPUTED_VALUE"""),"TNA-CLT-025")</f>
        <v>TNA-CLT-025</v>
      </c>
      <c r="B3133" s="1090" t="str">
        <f>IFERROR(__xludf.DUMMYFUNCTION("""COMPUTED_VALUE"""),"Xe Clethon")</f>
        <v>Xe Clethon</v>
      </c>
      <c r="C3133" s="177"/>
      <c r="D3133" s="177"/>
      <c r="E3133" s="177"/>
      <c r="F3133" s="177"/>
      <c r="G3133" s="177"/>
      <c r="H3133" s="177" t="str">
        <f>IFERROR(__xludf.DUMMYFUNCTION("""COMPUTED_VALUE"""),"15HP")</f>
        <v>15HP</v>
      </c>
      <c r="I3133" s="177"/>
      <c r="J3133" s="177"/>
      <c r="K3133" s="177">
        <f>IFERROR(__xludf.DUMMYFUNCTION("""COMPUTED_VALUE"""),0.5)</f>
        <v>0.5</v>
      </c>
      <c r="L3133" s="177" t="str">
        <f>IFERROR(__xludf.DUMMYFUNCTION("""COMPUTED_VALUE"""),"-")</f>
        <v>-</v>
      </c>
    </row>
    <row r="3134" customHeight="1" spans="1:12">
      <c r="A3134" s="177" t="str">
        <f>IFERROR(__xludf.DUMMYFUNCTION("""COMPUTED_VALUE"""),"TNA-CLT-026")</f>
        <v>TNA-CLT-026</v>
      </c>
      <c r="B3134" s="1090" t="str">
        <f>IFERROR(__xludf.DUMMYFUNCTION("""COMPUTED_VALUE"""),"Xe Clethon")</f>
        <v>Xe Clethon</v>
      </c>
      <c r="C3134" s="177"/>
      <c r="D3134" s="177"/>
      <c r="E3134" s="177"/>
      <c r="F3134" s="177"/>
      <c r="G3134" s="177"/>
      <c r="H3134" s="177" t="str">
        <f>IFERROR(__xludf.DUMMYFUNCTION("""COMPUTED_VALUE"""),"15HP")</f>
        <v>15HP</v>
      </c>
      <c r="I3134" s="177"/>
      <c r="J3134" s="177"/>
      <c r="K3134" s="177">
        <f>IFERROR(__xludf.DUMMYFUNCTION("""COMPUTED_VALUE"""),0.5)</f>
        <v>0.5</v>
      </c>
      <c r="L3134" s="177" t="str">
        <f>IFERROR(__xludf.DUMMYFUNCTION("""COMPUTED_VALUE"""),"-")</f>
        <v>-</v>
      </c>
    </row>
    <row r="3135" customHeight="1" spans="1:12">
      <c r="A3135" s="177" t="str">
        <f>IFERROR(__xludf.DUMMYFUNCTION("""COMPUTED_VALUE"""),"TNA-CLT-027")</f>
        <v>TNA-CLT-027</v>
      </c>
      <c r="B3135" s="1090" t="str">
        <f>IFERROR(__xludf.DUMMYFUNCTION("""COMPUTED_VALUE"""),"Xe Clethon")</f>
        <v>Xe Clethon</v>
      </c>
      <c r="C3135" s="177"/>
      <c r="D3135" s="177"/>
      <c r="E3135" s="177"/>
      <c r="F3135" s="177"/>
      <c r="G3135" s="177"/>
      <c r="H3135" s="177" t="str">
        <f>IFERROR(__xludf.DUMMYFUNCTION("""COMPUTED_VALUE"""),"15HP")</f>
        <v>15HP</v>
      </c>
      <c r="I3135" s="177"/>
      <c r="J3135" s="177"/>
      <c r="K3135" s="177">
        <f>IFERROR(__xludf.DUMMYFUNCTION("""COMPUTED_VALUE"""),0.5)</f>
        <v>0.5</v>
      </c>
      <c r="L3135" s="177" t="str">
        <f>IFERROR(__xludf.DUMMYFUNCTION("""COMPUTED_VALUE"""),"-")</f>
        <v>-</v>
      </c>
    </row>
    <row r="3136" customHeight="1" spans="1:12">
      <c r="A3136" s="177" t="str">
        <f>IFERROR(__xludf.DUMMYFUNCTION("""COMPUTED_VALUE"""),"XÍ NGHIỆP BÒ")</f>
        <v>XÍ NGHIỆP BÒ</v>
      </c>
      <c r="B3136" s="1090"/>
      <c r="C3136" s="177"/>
      <c r="D3136" s="177"/>
      <c r="E3136" s="177"/>
      <c r="F3136" s="177"/>
      <c r="G3136" s="177"/>
      <c r="H3136" s="177"/>
      <c r="I3136" s="177"/>
      <c r="J3136" s="177"/>
      <c r="K3136" s="177">
        <f>IFERROR(__xludf.DUMMYFUNCTION("""COMPUTED_VALUE"""),0.5)</f>
        <v>0.5</v>
      </c>
      <c r="L3136" s="177" t="str">
        <f>IFERROR(__xludf.DUMMYFUNCTION("""COMPUTED_VALUE"""),"-")</f>
        <v>-</v>
      </c>
    </row>
    <row r="3137" customHeight="1" spans="1:12">
      <c r="A3137" s="177" t="str">
        <f>IFERROR(__xludf.DUMMYFUNCTION("""COMPUTED_VALUE"""),"TNA-CLT-023")</f>
        <v>TNA-CLT-023</v>
      </c>
      <c r="B3137" s="1090" t="str">
        <f>IFERROR(__xludf.DUMMYFUNCTION("""COMPUTED_VALUE"""),"Xe Clethon")</f>
        <v>Xe Clethon</v>
      </c>
      <c r="C3137" s="177"/>
      <c r="D3137" s="177"/>
      <c r="E3137" s="177"/>
      <c r="F3137" s="177"/>
      <c r="G3137" s="177"/>
      <c r="H3137" s="177" t="str">
        <f>IFERROR(__xludf.DUMMYFUNCTION("""COMPUTED_VALUE"""),"15HP")</f>
        <v>15HP</v>
      </c>
      <c r="I3137" s="177"/>
      <c r="J3137" s="177"/>
      <c r="K3137" s="177">
        <f>IFERROR(__xludf.DUMMYFUNCTION("""COMPUTED_VALUE"""),0.5)</f>
        <v>0.5</v>
      </c>
      <c r="L3137" s="177" t="str">
        <f>IFERROR(__xludf.DUMMYFUNCTION("""COMPUTED_VALUE"""),"-")</f>
        <v>-</v>
      </c>
    </row>
    <row r="3138" customHeight="1" spans="1:12">
      <c r="A3138" s="177" t="str">
        <f>IFERROR(__xludf.DUMMYFUNCTION("""COMPUTED_VALUE"""),"TNA-CLT-024")</f>
        <v>TNA-CLT-024</v>
      </c>
      <c r="B3138" s="1090" t="str">
        <f>IFERROR(__xludf.DUMMYFUNCTION("""COMPUTED_VALUE"""),"Xe Clethon")</f>
        <v>Xe Clethon</v>
      </c>
      <c r="C3138" s="177"/>
      <c r="D3138" s="177"/>
      <c r="E3138" s="177"/>
      <c r="F3138" s="177"/>
      <c r="G3138" s="177"/>
      <c r="H3138" s="177" t="str">
        <f>IFERROR(__xludf.DUMMYFUNCTION("""COMPUTED_VALUE"""),"15HP")</f>
        <v>15HP</v>
      </c>
      <c r="I3138" s="177"/>
      <c r="J3138" s="177"/>
      <c r="K3138" s="177">
        <f>IFERROR(__xludf.DUMMYFUNCTION("""COMPUTED_VALUE"""),0.5)</f>
        <v>0.5</v>
      </c>
      <c r="L3138" s="177" t="str">
        <f>IFERROR(__xludf.DUMMYFUNCTION("""COMPUTED_VALUE"""),"-")</f>
        <v>-</v>
      </c>
    </row>
    <row r="3139" customHeight="1" spans="1:12">
      <c r="A3139" s="177" t="str">
        <f>IFERROR(__xludf.DUMMYFUNCTION("""COMPUTED_VALUE"""),"TNA-CLT-025")</f>
        <v>TNA-CLT-025</v>
      </c>
      <c r="B3139" s="1090" t="str">
        <f>IFERROR(__xludf.DUMMYFUNCTION("""COMPUTED_VALUE"""),"Xe Clethon")</f>
        <v>Xe Clethon</v>
      </c>
      <c r="C3139" s="177"/>
      <c r="D3139" s="177"/>
      <c r="E3139" s="177"/>
      <c r="F3139" s="177"/>
      <c r="G3139" s="177"/>
      <c r="H3139" s="177" t="str">
        <f>IFERROR(__xludf.DUMMYFUNCTION("""COMPUTED_VALUE"""),"15HP")</f>
        <v>15HP</v>
      </c>
      <c r="I3139" s="177"/>
      <c r="J3139" s="177"/>
      <c r="K3139" s="177">
        <f>IFERROR(__xludf.DUMMYFUNCTION("""COMPUTED_VALUE"""),0.5)</f>
        <v>0.5</v>
      </c>
      <c r="L3139" s="177" t="str">
        <f>IFERROR(__xludf.DUMMYFUNCTION("""COMPUTED_VALUE"""),"-")</f>
        <v>-</v>
      </c>
    </row>
    <row r="3140" customHeight="1" spans="1:12">
      <c r="A3140" s="177" t="str">
        <f>IFERROR(__xludf.DUMMYFUNCTION("""COMPUTED_VALUE"""),"TNA-CLT-026")</f>
        <v>TNA-CLT-026</v>
      </c>
      <c r="B3140" s="1090" t="str">
        <f>IFERROR(__xludf.DUMMYFUNCTION("""COMPUTED_VALUE"""),"Xe Clethon")</f>
        <v>Xe Clethon</v>
      </c>
      <c r="C3140" s="177"/>
      <c r="D3140" s="177"/>
      <c r="E3140" s="177"/>
      <c r="F3140" s="177"/>
      <c r="G3140" s="177"/>
      <c r="H3140" s="177" t="str">
        <f>IFERROR(__xludf.DUMMYFUNCTION("""COMPUTED_VALUE"""),"15HP")</f>
        <v>15HP</v>
      </c>
      <c r="I3140" s="177"/>
      <c r="J3140" s="177"/>
      <c r="K3140" s="177">
        <f>IFERROR(__xludf.DUMMYFUNCTION("""COMPUTED_VALUE"""),0.5)</f>
        <v>0.5</v>
      </c>
      <c r="L3140" s="177" t="str">
        <f>IFERROR(__xludf.DUMMYFUNCTION("""COMPUTED_VALUE"""),"-")</f>
        <v>-</v>
      </c>
    </row>
    <row r="3141" customHeight="1" spans="1:12">
      <c r="A3141" s="177" t="str">
        <f>IFERROR(__xludf.DUMMYFUNCTION("""COMPUTED_VALUE"""),"TNA-CLT-027")</f>
        <v>TNA-CLT-027</v>
      </c>
      <c r="B3141" s="1090" t="str">
        <f>IFERROR(__xludf.DUMMYFUNCTION("""COMPUTED_VALUE"""),"Xe Clethon")</f>
        <v>Xe Clethon</v>
      </c>
      <c r="C3141" s="177"/>
      <c r="D3141" s="177"/>
      <c r="E3141" s="177"/>
      <c r="F3141" s="177"/>
      <c r="G3141" s="177"/>
      <c r="H3141" s="177" t="str">
        <f>IFERROR(__xludf.DUMMYFUNCTION("""COMPUTED_VALUE"""),"15HP")</f>
        <v>15HP</v>
      </c>
      <c r="I3141" s="177"/>
      <c r="J3141" s="177"/>
      <c r="K3141" s="177">
        <f>IFERROR(__xludf.DUMMYFUNCTION("""COMPUTED_VALUE"""),0.5)</f>
        <v>0.5</v>
      </c>
      <c r="L3141" s="177" t="str">
        <f>IFERROR(__xludf.DUMMYFUNCTION("""COMPUTED_VALUE"""),"-")</f>
        <v>-</v>
      </c>
    </row>
    <row r="3142" customHeight="1" spans="1:12">
      <c r="A3142" s="177" t="str">
        <f>IFERROR(__xludf.DUMMYFUNCTION("""COMPUTED_VALUE"""),"TNA-CLT-028")</f>
        <v>TNA-CLT-028</v>
      </c>
      <c r="B3142" s="1090" t="str">
        <f>IFERROR(__xludf.DUMMYFUNCTION("""COMPUTED_VALUE"""),"Xe Clethon")</f>
        <v>Xe Clethon</v>
      </c>
      <c r="C3142" s="177"/>
      <c r="D3142" s="177"/>
      <c r="E3142" s="177"/>
      <c r="F3142" s="177"/>
      <c r="G3142" s="177"/>
      <c r="H3142" s="177" t="str">
        <f>IFERROR(__xludf.DUMMYFUNCTION("""COMPUTED_VALUE"""),"15HP")</f>
        <v>15HP</v>
      </c>
      <c r="I3142" s="177"/>
      <c r="J3142" s="177"/>
      <c r="K3142" s="177">
        <f>IFERROR(__xludf.DUMMYFUNCTION("""COMPUTED_VALUE"""),0.5)</f>
        <v>0.5</v>
      </c>
      <c r="L3142" s="177" t="str">
        <f>IFERROR(__xludf.DUMMYFUNCTION("""COMPUTED_VALUE"""),"-")</f>
        <v>-</v>
      </c>
    </row>
    <row r="3143" customHeight="1" spans="1:12">
      <c r="A3143" s="177" t="str">
        <f>IFERROR(__xludf.DUMMYFUNCTION("""COMPUTED_VALUE"""),"TNA-CLT-029")</f>
        <v>TNA-CLT-029</v>
      </c>
      <c r="B3143" s="1090" t="str">
        <f>IFERROR(__xludf.DUMMYFUNCTION("""COMPUTED_VALUE"""),"Xe Clethon")</f>
        <v>Xe Clethon</v>
      </c>
      <c r="C3143" s="177"/>
      <c r="D3143" s="177"/>
      <c r="E3143" s="177"/>
      <c r="F3143" s="177"/>
      <c r="G3143" s="177"/>
      <c r="H3143" s="177" t="str">
        <f>IFERROR(__xludf.DUMMYFUNCTION("""COMPUTED_VALUE"""),"15HP")</f>
        <v>15HP</v>
      </c>
      <c r="I3143" s="177"/>
      <c r="J3143" s="177"/>
      <c r="K3143" s="177">
        <f>IFERROR(__xludf.DUMMYFUNCTION("""COMPUTED_VALUE"""),0.5)</f>
        <v>0.5</v>
      </c>
      <c r="L3143" s="177" t="str">
        <f>IFERROR(__xludf.DUMMYFUNCTION("""COMPUTED_VALUE"""),"-")</f>
        <v>-</v>
      </c>
    </row>
    <row r="3144" customHeight="1" spans="1:12">
      <c r="A3144" s="177" t="str">
        <f>IFERROR(__xludf.DUMMYFUNCTION("""COMPUTED_VALUE"""),"TNA-CLT-030")</f>
        <v>TNA-CLT-030</v>
      </c>
      <c r="B3144" s="1090" t="str">
        <f>IFERROR(__xludf.DUMMYFUNCTION("""COMPUTED_VALUE"""),"Xe Clethon")</f>
        <v>Xe Clethon</v>
      </c>
      <c r="C3144" s="177"/>
      <c r="D3144" s="177"/>
      <c r="E3144" s="177"/>
      <c r="F3144" s="177"/>
      <c r="G3144" s="177"/>
      <c r="H3144" s="177" t="str">
        <f>IFERROR(__xludf.DUMMYFUNCTION("""COMPUTED_VALUE"""),"15HP")</f>
        <v>15HP</v>
      </c>
      <c r="I3144" s="177"/>
      <c r="J3144" s="177"/>
      <c r="K3144" s="177">
        <f>IFERROR(__xludf.DUMMYFUNCTION("""COMPUTED_VALUE"""),0.5)</f>
        <v>0.5</v>
      </c>
      <c r="L3144" s="177" t="str">
        <f>IFERROR(__xludf.DUMMYFUNCTION("""COMPUTED_VALUE"""),"-")</f>
        <v>-</v>
      </c>
    </row>
    <row r="3145" customHeight="1" spans="1:12">
      <c r="A3145" s="177" t="str">
        <f>IFERROR(__xludf.DUMMYFUNCTION("""COMPUTED_VALUE"""),"TNA-CLT-032")</f>
        <v>TNA-CLT-032</v>
      </c>
      <c r="B3145" s="1090" t="str">
        <f>IFERROR(__xludf.DUMMYFUNCTION("""COMPUTED_VALUE"""),"Xe Clethon")</f>
        <v>Xe Clethon</v>
      </c>
      <c r="C3145" s="177"/>
      <c r="D3145" s="177"/>
      <c r="E3145" s="177"/>
      <c r="F3145" s="177"/>
      <c r="G3145" s="177"/>
      <c r="H3145" s="177" t="str">
        <f>IFERROR(__xludf.DUMMYFUNCTION("""COMPUTED_VALUE"""),"15HP")</f>
        <v>15HP</v>
      </c>
      <c r="I3145" s="177" t="str">
        <f>IFERROR(__xludf.DUMMYFUNCTION("""COMPUTED_VALUE"""),"R1A2331-21100")</f>
        <v>R1A2331-21100</v>
      </c>
      <c r="J3145" s="177"/>
      <c r="K3145" s="177">
        <f>IFERROR(__xludf.DUMMYFUNCTION("""COMPUTED_VALUE"""),0.5)</f>
        <v>0.5</v>
      </c>
      <c r="L3145" s="177" t="str">
        <f>IFERROR(__xludf.DUMMYFUNCTION("""COMPUTED_VALUE"""),"-")</f>
        <v>-</v>
      </c>
    </row>
    <row r="3146" customHeight="1" spans="1:12">
      <c r="A3146" s="177" t="str">
        <f>IFERROR(__xludf.DUMMYFUNCTION("""COMPUTED_VALUE"""),"NT BƯỞI (BÒ BƯỞI)")</f>
        <v>NT BƯỞI (BÒ BƯỞI)</v>
      </c>
      <c r="B3146" s="1090"/>
      <c r="C3146" s="177"/>
      <c r="D3146" s="177"/>
      <c r="E3146" s="177"/>
      <c r="F3146" s="177"/>
      <c r="G3146" s="177"/>
      <c r="H3146" s="177"/>
      <c r="I3146" s="177"/>
      <c r="J3146" s="177"/>
      <c r="K3146" s="177">
        <f>IFERROR(__xludf.DUMMYFUNCTION("""COMPUTED_VALUE"""),0.5)</f>
        <v>0.5</v>
      </c>
      <c r="L3146" s="177" t="str">
        <f>IFERROR(__xludf.DUMMYFUNCTION("""COMPUTED_VALUE"""),"-")</f>
        <v>-</v>
      </c>
    </row>
    <row r="3147" customHeight="1" spans="1:12">
      <c r="A3147" s="177" t="str">
        <f>IFERROR(__xludf.DUMMYFUNCTION("""COMPUTED_VALUE"""),"TNA-CLT-031")</f>
        <v>TNA-CLT-031</v>
      </c>
      <c r="B3147" s="1090" t="str">
        <f>IFERROR(__xludf.DUMMYFUNCTION("""COMPUTED_VALUE"""),"Xe Clethon")</f>
        <v>Xe Clethon</v>
      </c>
      <c r="C3147" s="177"/>
      <c r="D3147" s="177"/>
      <c r="E3147" s="177"/>
      <c r="F3147" s="177"/>
      <c r="G3147" s="177"/>
      <c r="H3147" s="177" t="str">
        <f>IFERROR(__xludf.DUMMYFUNCTION("""COMPUTED_VALUE"""),"15HP")</f>
        <v>15HP</v>
      </c>
      <c r="I3147" s="177" t="str">
        <f>IFERROR(__xludf.DUMMYFUNCTION("""COMPUTED_VALUE"""),"ZT120-109154")</f>
        <v>ZT120-109154</v>
      </c>
      <c r="J3147" s="177"/>
      <c r="K3147" s="177">
        <f>IFERROR(__xludf.DUMMYFUNCTION("""COMPUTED_VALUE"""),0.5)</f>
        <v>0.5</v>
      </c>
      <c r="L3147" s="177" t="str">
        <f>IFERROR(__xludf.DUMMYFUNCTION("""COMPUTED_VALUE"""),"-")</f>
        <v>-</v>
      </c>
    </row>
    <row r="3148" customHeight="1" spans="1:12">
      <c r="A3148" s="177"/>
      <c r="B3148" s="1090"/>
      <c r="C3148" s="177"/>
      <c r="D3148" s="177"/>
      <c r="E3148" s="177"/>
      <c r="F3148" s="177"/>
      <c r="G3148" s="177"/>
      <c r="H3148" s="177"/>
      <c r="I3148" s="177"/>
      <c r="J3148" s="177"/>
      <c r="K3148" s="177"/>
      <c r="L3148" s="177"/>
    </row>
    <row r="3149" customHeight="1" spans="1:12">
      <c r="A3149" s="177"/>
      <c r="B3149" s="1090"/>
      <c r="C3149" s="177"/>
      <c r="D3149" s="177"/>
      <c r="E3149" s="177"/>
      <c r="F3149" s="177"/>
      <c r="G3149" s="177"/>
      <c r="H3149" s="177"/>
      <c r="I3149" s="177"/>
      <c r="J3149" s="177"/>
      <c r="K3149" s="177"/>
      <c r="L3149" s="177"/>
    </row>
    <row r="3150" customHeight="1" spans="1:12">
      <c r="A3150" s="177"/>
      <c r="B3150" s="1090"/>
      <c r="C3150" s="177"/>
      <c r="D3150" s="177"/>
      <c r="E3150" s="177"/>
      <c r="F3150" s="177"/>
      <c r="G3150" s="177"/>
      <c r="H3150" s="177"/>
      <c r="I3150" s="177"/>
      <c r="J3150" s="177"/>
      <c r="K3150" s="177"/>
      <c r="L3150" s="177"/>
    </row>
    <row r="3151" customHeight="1" spans="1:12">
      <c r="A3151" s="177"/>
      <c r="B3151" s="1090"/>
      <c r="C3151" s="177"/>
      <c r="D3151" s="177"/>
      <c r="E3151" s="177"/>
      <c r="F3151" s="177"/>
      <c r="G3151" s="177"/>
      <c r="H3151" s="177"/>
      <c r="I3151" s="177"/>
      <c r="J3151" s="177"/>
      <c r="K3151" s="177"/>
      <c r="L3151" s="177"/>
    </row>
    <row r="3152" customHeight="1" spans="1:12">
      <c r="A3152" s="177"/>
      <c r="B3152" s="1090"/>
      <c r="C3152" s="177"/>
      <c r="D3152" s="177"/>
      <c r="E3152" s="177"/>
      <c r="F3152" s="177"/>
      <c r="G3152" s="177"/>
      <c r="H3152" s="177"/>
      <c r="I3152" s="177"/>
      <c r="J3152" s="177"/>
      <c r="K3152" s="177"/>
      <c r="L3152" s="177"/>
    </row>
    <row r="3153" customHeight="1" spans="1:12">
      <c r="A3153" s="177"/>
      <c r="B3153" s="1090"/>
      <c r="C3153" s="177"/>
      <c r="D3153" s="177"/>
      <c r="E3153" s="177"/>
      <c r="F3153" s="177"/>
      <c r="G3153" s="177"/>
      <c r="H3153" s="177"/>
      <c r="I3153" s="177"/>
      <c r="J3153" s="177"/>
      <c r="K3153" s="177"/>
      <c r="L3153" s="177"/>
    </row>
    <row r="3154" customHeight="1" spans="1:12">
      <c r="A3154" s="177"/>
      <c r="B3154" s="1090"/>
      <c r="C3154" s="177"/>
      <c r="D3154" s="177"/>
      <c r="E3154" s="177"/>
      <c r="F3154" s="177"/>
      <c r="G3154" s="177"/>
      <c r="H3154" s="177"/>
      <c r="I3154" s="177"/>
      <c r="J3154" s="177"/>
      <c r="K3154" s="177"/>
      <c r="L3154" s="177"/>
    </row>
    <row r="3155" customHeight="1" spans="1:12">
      <c r="A3155" s="177"/>
      <c r="B3155" s="1090"/>
      <c r="C3155" s="177"/>
      <c r="D3155" s="177"/>
      <c r="E3155" s="177"/>
      <c r="F3155" s="177"/>
      <c r="G3155" s="177"/>
      <c r="H3155" s="177"/>
      <c r="I3155" s="177"/>
      <c r="J3155" s="177"/>
      <c r="K3155" s="177"/>
      <c r="L3155" s="177"/>
    </row>
    <row r="3156" customHeight="1" spans="1:12">
      <c r="A3156" s="177"/>
      <c r="B3156" s="1090"/>
      <c r="C3156" s="177"/>
      <c r="D3156" s="177"/>
      <c r="E3156" s="177"/>
      <c r="F3156" s="177"/>
      <c r="G3156" s="177"/>
      <c r="H3156" s="177"/>
      <c r="I3156" s="177"/>
      <c r="J3156" s="177"/>
      <c r="K3156" s="177"/>
      <c r="L3156" s="177"/>
    </row>
    <row r="3157" customHeight="1" spans="1:12">
      <c r="A3157" s="177"/>
      <c r="B3157" s="1090"/>
      <c r="C3157" s="177"/>
      <c r="D3157" s="177"/>
      <c r="E3157" s="177"/>
      <c r="F3157" s="177"/>
      <c r="G3157" s="177"/>
      <c r="H3157" s="177"/>
      <c r="I3157" s="177"/>
      <c r="J3157" s="177"/>
      <c r="K3157" s="177"/>
      <c r="L3157" s="177"/>
    </row>
    <row r="3158" customHeight="1" spans="1:12">
      <c r="A3158" s="177"/>
      <c r="B3158" s="1090"/>
      <c r="C3158" s="177"/>
      <c r="D3158" s="177"/>
      <c r="E3158" s="177"/>
      <c r="F3158" s="177"/>
      <c r="G3158" s="177"/>
      <c r="H3158" s="177"/>
      <c r="I3158" s="177"/>
      <c r="J3158" s="177"/>
      <c r="K3158" s="177"/>
      <c r="L3158" s="177"/>
    </row>
    <row r="3159" customHeight="1" spans="1:12">
      <c r="A3159" s="177"/>
      <c r="B3159" s="1090"/>
      <c r="C3159" s="177"/>
      <c r="D3159" s="177"/>
      <c r="E3159" s="177"/>
      <c r="F3159" s="177"/>
      <c r="G3159" s="177"/>
      <c r="H3159" s="177"/>
      <c r="I3159" s="177"/>
      <c r="J3159" s="177"/>
      <c r="K3159" s="177"/>
      <c r="L3159" s="177"/>
    </row>
    <row r="3160" customHeight="1" spans="1:12">
      <c r="A3160" s="177"/>
      <c r="B3160" s="1090"/>
      <c r="C3160" s="177"/>
      <c r="D3160" s="177"/>
      <c r="E3160" s="177"/>
      <c r="F3160" s="177"/>
      <c r="G3160" s="177"/>
      <c r="H3160" s="177"/>
      <c r="I3160" s="177"/>
      <c r="J3160" s="177"/>
      <c r="K3160" s="177"/>
      <c r="L3160" s="177"/>
    </row>
    <row r="3161" customHeight="1" spans="1:12">
      <c r="A3161" s="177"/>
      <c r="B3161" s="1090"/>
      <c r="C3161" s="177"/>
      <c r="D3161" s="177"/>
      <c r="E3161" s="177"/>
      <c r="F3161" s="177"/>
      <c r="G3161" s="177"/>
      <c r="H3161" s="177"/>
      <c r="I3161" s="177"/>
      <c r="J3161" s="177"/>
      <c r="K3161" s="177"/>
      <c r="L3161" s="177"/>
    </row>
    <row r="3162" customHeight="1" spans="1:12">
      <c r="A3162" s="177"/>
      <c r="B3162" s="1090"/>
      <c r="C3162" s="177"/>
      <c r="D3162" s="177"/>
      <c r="E3162" s="177"/>
      <c r="F3162" s="177"/>
      <c r="G3162" s="177"/>
      <c r="H3162" s="177"/>
      <c r="I3162" s="177"/>
      <c r="J3162" s="177"/>
      <c r="K3162" s="177"/>
      <c r="L3162" s="177"/>
    </row>
    <row r="3163" customHeight="1" spans="1:12">
      <c r="A3163" s="177"/>
      <c r="B3163" s="1090"/>
      <c r="C3163" s="177"/>
      <c r="D3163" s="177"/>
      <c r="E3163" s="177"/>
      <c r="F3163" s="177"/>
      <c r="G3163" s="177"/>
      <c r="H3163" s="177"/>
      <c r="I3163" s="177"/>
      <c r="J3163" s="177"/>
      <c r="K3163" s="177"/>
      <c r="L3163" s="177"/>
    </row>
    <row r="3164" customHeight="1" spans="1:12">
      <c r="A3164" s="177"/>
      <c r="B3164" s="1090"/>
      <c r="C3164" s="177"/>
      <c r="D3164" s="177"/>
      <c r="E3164" s="177"/>
      <c r="F3164" s="177"/>
      <c r="G3164" s="177"/>
      <c r="H3164" s="177"/>
      <c r="I3164" s="177"/>
      <c r="J3164" s="177"/>
      <c r="K3164" s="177"/>
      <c r="L3164" s="177"/>
    </row>
    <row r="3165" customHeight="1" spans="1:12">
      <c r="A3165" s="177"/>
      <c r="B3165" s="1090"/>
      <c r="C3165" s="177"/>
      <c r="D3165" s="177"/>
      <c r="E3165" s="177"/>
      <c r="F3165" s="177"/>
      <c r="G3165" s="177"/>
      <c r="H3165" s="177"/>
      <c r="I3165" s="177"/>
      <c r="J3165" s="177"/>
      <c r="K3165" s="177"/>
      <c r="L3165" s="177"/>
    </row>
    <row r="3166" customHeight="1" spans="1:12">
      <c r="A3166" s="177"/>
      <c r="B3166" s="1090"/>
      <c r="C3166" s="177"/>
      <c r="D3166" s="177"/>
      <c r="E3166" s="177"/>
      <c r="F3166" s="177"/>
      <c r="G3166" s="177"/>
      <c r="H3166" s="177"/>
      <c r="I3166" s="177"/>
      <c r="J3166" s="177"/>
      <c r="K3166" s="177"/>
      <c r="L3166" s="177"/>
    </row>
    <row r="3167" customHeight="1" spans="1:12">
      <c r="A3167" s="177"/>
      <c r="B3167" s="1090"/>
      <c r="C3167" s="177"/>
      <c r="D3167" s="177"/>
      <c r="E3167" s="177"/>
      <c r="F3167" s="177"/>
      <c r="G3167" s="177"/>
      <c r="H3167" s="177"/>
      <c r="I3167" s="177"/>
      <c r="J3167" s="177"/>
      <c r="K3167" s="177"/>
      <c r="L3167" s="177"/>
    </row>
    <row r="3168" customHeight="1" spans="1:12">
      <c r="A3168" s="177"/>
      <c r="B3168" s="1090"/>
      <c r="C3168" s="177"/>
      <c r="D3168" s="177"/>
      <c r="E3168" s="177"/>
      <c r="F3168" s="177"/>
      <c r="G3168" s="177"/>
      <c r="H3168" s="177"/>
      <c r="I3168" s="177"/>
      <c r="J3168" s="177"/>
      <c r="K3168" s="177"/>
      <c r="L3168" s="177"/>
    </row>
    <row r="3169" customHeight="1" spans="1:12">
      <c r="A3169" s="177"/>
      <c r="B3169" s="1090"/>
      <c r="C3169" s="177"/>
      <c r="D3169" s="177"/>
      <c r="E3169" s="177"/>
      <c r="F3169" s="177"/>
      <c r="G3169" s="177"/>
      <c r="H3169" s="177"/>
      <c r="I3169" s="177"/>
      <c r="J3169" s="177"/>
      <c r="K3169" s="177"/>
      <c r="L3169" s="177"/>
    </row>
    <row r="3170" customHeight="1" spans="1:12">
      <c r="A3170" s="177"/>
      <c r="B3170" s="1090"/>
      <c r="C3170" s="177"/>
      <c r="D3170" s="177"/>
      <c r="E3170" s="177"/>
      <c r="F3170" s="177"/>
      <c r="G3170" s="177"/>
      <c r="H3170" s="177"/>
      <c r="I3170" s="177"/>
      <c r="J3170" s="177"/>
      <c r="K3170" s="177"/>
      <c r="L3170" s="177"/>
    </row>
    <row r="3171" customHeight="1" spans="1:12">
      <c r="A3171" s="177"/>
      <c r="B3171" s="1090"/>
      <c r="C3171" s="177"/>
      <c r="D3171" s="177"/>
      <c r="E3171" s="177"/>
      <c r="F3171" s="177"/>
      <c r="G3171" s="177"/>
      <c r="H3171" s="177"/>
      <c r="I3171" s="177"/>
      <c r="J3171" s="177"/>
      <c r="K3171" s="177"/>
      <c r="L3171" s="177"/>
    </row>
    <row r="3172" customHeight="1" spans="1:12">
      <c r="A3172" s="177"/>
      <c r="B3172" s="1090"/>
      <c r="C3172" s="177"/>
      <c r="D3172" s="177"/>
      <c r="E3172" s="177"/>
      <c r="F3172" s="177"/>
      <c r="G3172" s="177"/>
      <c r="H3172" s="177"/>
      <c r="I3172" s="177"/>
      <c r="J3172" s="177"/>
      <c r="K3172" s="177"/>
      <c r="L3172" s="177"/>
    </row>
    <row r="3173" customHeight="1" spans="1:12">
      <c r="A3173" s="177"/>
      <c r="B3173" s="1090"/>
      <c r="C3173" s="177"/>
      <c r="D3173" s="177"/>
      <c r="E3173" s="177"/>
      <c r="F3173" s="177"/>
      <c r="G3173" s="177"/>
      <c r="H3173" s="177"/>
      <c r="I3173" s="177"/>
      <c r="J3173" s="177"/>
      <c r="K3173" s="177"/>
      <c r="L3173" s="177"/>
    </row>
    <row r="3174" customHeight="1" spans="1:12">
      <c r="A3174" s="177"/>
      <c r="B3174" s="1090"/>
      <c r="C3174" s="177"/>
      <c r="D3174" s="177"/>
      <c r="E3174" s="177"/>
      <c r="F3174" s="177"/>
      <c r="G3174" s="177"/>
      <c r="H3174" s="177"/>
      <c r="I3174" s="177"/>
      <c r="J3174" s="177"/>
      <c r="K3174" s="177"/>
      <c r="L3174" s="177"/>
    </row>
    <row r="3175" customHeight="1" spans="1:12">
      <c r="A3175" s="177"/>
      <c r="B3175" s="1090"/>
      <c r="C3175" s="177"/>
      <c r="D3175" s="177"/>
      <c r="E3175" s="177"/>
      <c r="F3175" s="177"/>
      <c r="G3175" s="177"/>
      <c r="H3175" s="177"/>
      <c r="I3175" s="177"/>
      <c r="J3175" s="177"/>
      <c r="K3175" s="177"/>
      <c r="L3175" s="177"/>
    </row>
    <row r="3176" customHeight="1" spans="1:12">
      <c r="A3176" s="177"/>
      <c r="B3176" s="1090"/>
      <c r="C3176" s="177"/>
      <c r="D3176" s="177"/>
      <c r="E3176" s="177"/>
      <c r="F3176" s="177"/>
      <c r="G3176" s="177"/>
      <c r="H3176" s="177"/>
      <c r="I3176" s="177"/>
      <c r="J3176" s="177"/>
      <c r="K3176" s="177"/>
      <c r="L3176" s="177"/>
    </row>
    <row r="3177" customHeight="1" spans="1:12">
      <c r="A3177" s="177"/>
      <c r="B3177" s="1090"/>
      <c r="C3177" s="177"/>
      <c r="D3177" s="177"/>
      <c r="E3177" s="177"/>
      <c r="F3177" s="177"/>
      <c r="G3177" s="177"/>
      <c r="H3177" s="177"/>
      <c r="I3177" s="177"/>
      <c r="J3177" s="177"/>
      <c r="K3177" s="177"/>
      <c r="L3177" s="177"/>
    </row>
    <row r="3178" customHeight="1" spans="1:12">
      <c r="A3178" s="177"/>
      <c r="B3178" s="1090"/>
      <c r="C3178" s="177"/>
      <c r="D3178" s="177"/>
      <c r="E3178" s="177"/>
      <c r="F3178" s="177"/>
      <c r="G3178" s="177"/>
      <c r="H3178" s="177"/>
      <c r="I3178" s="177"/>
      <c r="J3178" s="177"/>
      <c r="K3178" s="177"/>
      <c r="L3178" s="177"/>
    </row>
    <row r="3179" customHeight="1" spans="1:12">
      <c r="A3179" s="177"/>
      <c r="B3179" s="1090"/>
      <c r="C3179" s="177"/>
      <c r="D3179" s="177"/>
      <c r="E3179" s="177"/>
      <c r="F3179" s="177"/>
      <c r="G3179" s="177"/>
      <c r="H3179" s="177"/>
      <c r="I3179" s="177"/>
      <c r="J3179" s="177"/>
      <c r="K3179" s="177"/>
      <c r="L3179" s="177"/>
    </row>
    <row r="3180" customHeight="1" spans="1:12">
      <c r="A3180" s="177"/>
      <c r="B3180" s="1090"/>
      <c r="C3180" s="177"/>
      <c r="D3180" s="177"/>
      <c r="E3180" s="177"/>
      <c r="F3180" s="177"/>
      <c r="G3180" s="177"/>
      <c r="H3180" s="177"/>
      <c r="I3180" s="177"/>
      <c r="J3180" s="177"/>
      <c r="K3180" s="177"/>
      <c r="L3180" s="177"/>
    </row>
    <row r="3181" customHeight="1" spans="1:12">
      <c r="A3181" s="177"/>
      <c r="B3181" s="1090"/>
      <c r="C3181" s="177"/>
      <c r="D3181" s="177"/>
      <c r="E3181" s="177"/>
      <c r="F3181" s="177"/>
      <c r="G3181" s="177"/>
      <c r="H3181" s="177"/>
      <c r="I3181" s="177"/>
      <c r="J3181" s="177"/>
      <c r="K3181" s="177"/>
      <c r="L3181" s="177"/>
    </row>
    <row r="3182" customHeight="1" spans="1:12">
      <c r="A3182" s="177"/>
      <c r="B3182" s="1090"/>
      <c r="C3182" s="177"/>
      <c r="D3182" s="177"/>
      <c r="E3182" s="177"/>
      <c r="F3182" s="177"/>
      <c r="G3182" s="177"/>
      <c r="H3182" s="177"/>
      <c r="I3182" s="177"/>
      <c r="J3182" s="177"/>
      <c r="K3182" s="177"/>
      <c r="L3182" s="177"/>
    </row>
    <row r="3183" customHeight="1" spans="1:12">
      <c r="A3183" s="177"/>
      <c r="B3183" s="1090"/>
      <c r="C3183" s="177"/>
      <c r="D3183" s="177"/>
      <c r="E3183" s="177"/>
      <c r="F3183" s="177"/>
      <c r="G3183" s="177"/>
      <c r="H3183" s="177"/>
      <c r="I3183" s="177"/>
      <c r="J3183" s="177"/>
      <c r="K3183" s="177"/>
      <c r="L3183" s="177"/>
    </row>
    <row r="3184" customHeight="1" spans="1:12">
      <c r="A3184" s="177"/>
      <c r="B3184" s="1090"/>
      <c r="C3184" s="177"/>
      <c r="D3184" s="177"/>
      <c r="E3184" s="177"/>
      <c r="F3184" s="177"/>
      <c r="G3184" s="177"/>
      <c r="H3184" s="177"/>
      <c r="I3184" s="177"/>
      <c r="J3184" s="177"/>
      <c r="K3184" s="177"/>
      <c r="L3184" s="177"/>
    </row>
    <row r="3185" customHeight="1" spans="1:12">
      <c r="A3185" s="177"/>
      <c r="B3185" s="1090"/>
      <c r="C3185" s="177"/>
      <c r="D3185" s="177"/>
      <c r="E3185" s="177"/>
      <c r="F3185" s="177"/>
      <c r="G3185" s="177"/>
      <c r="H3185" s="177"/>
      <c r="I3185" s="177"/>
      <c r="J3185" s="177"/>
      <c r="K3185" s="177"/>
      <c r="L3185" s="177"/>
    </row>
    <row r="3186" customHeight="1" spans="1:12">
      <c r="A3186" s="177"/>
      <c r="B3186" s="1090"/>
      <c r="C3186" s="177"/>
      <c r="D3186" s="177"/>
      <c r="E3186" s="177"/>
      <c r="F3186" s="177"/>
      <c r="G3186" s="177"/>
      <c r="H3186" s="177"/>
      <c r="I3186" s="177"/>
      <c r="J3186" s="177"/>
      <c r="K3186" s="177"/>
      <c r="L3186" s="177"/>
    </row>
    <row r="3187" customHeight="1" spans="1:12">
      <c r="A3187" s="177"/>
      <c r="B3187" s="1090"/>
      <c r="C3187" s="177"/>
      <c r="D3187" s="177"/>
      <c r="E3187" s="177"/>
      <c r="F3187" s="177"/>
      <c r="G3187" s="177"/>
      <c r="H3187" s="177"/>
      <c r="I3187" s="177"/>
      <c r="J3187" s="177"/>
      <c r="K3187" s="177"/>
      <c r="L3187" s="177"/>
    </row>
    <row r="3188" customHeight="1" spans="1:12">
      <c r="A3188" s="177"/>
      <c r="B3188" s="1090"/>
      <c r="C3188" s="177"/>
      <c r="D3188" s="177"/>
      <c r="E3188" s="177"/>
      <c r="F3188" s="177"/>
      <c r="G3188" s="177"/>
      <c r="H3188" s="177"/>
      <c r="I3188" s="177"/>
      <c r="J3188" s="177"/>
      <c r="K3188" s="177"/>
      <c r="L3188" s="177"/>
    </row>
    <row r="3189" customHeight="1" spans="1:12">
      <c r="A3189" s="177"/>
      <c r="B3189" s="1090"/>
      <c r="C3189" s="177"/>
      <c r="D3189" s="177"/>
      <c r="E3189" s="177"/>
      <c r="F3189" s="177"/>
      <c r="G3189" s="177"/>
      <c r="H3189" s="177"/>
      <c r="I3189" s="177"/>
      <c r="J3189" s="177"/>
      <c r="K3189" s="177"/>
      <c r="L3189" s="177"/>
    </row>
    <row r="3190" customHeight="1" spans="1:12">
      <c r="A3190" s="177"/>
      <c r="B3190" s="1090"/>
      <c r="C3190" s="177"/>
      <c r="D3190" s="177"/>
      <c r="E3190" s="177"/>
      <c r="F3190" s="177"/>
      <c r="G3190" s="177"/>
      <c r="H3190" s="177"/>
      <c r="I3190" s="177"/>
      <c r="J3190" s="177"/>
      <c r="K3190" s="177"/>
      <c r="L3190" s="177"/>
    </row>
    <row r="3191" customHeight="1" spans="1:12">
      <c r="A3191" s="177"/>
      <c r="B3191" s="1090"/>
      <c r="C3191" s="177"/>
      <c r="D3191" s="177"/>
      <c r="E3191" s="177"/>
      <c r="F3191" s="177"/>
      <c r="G3191" s="177"/>
      <c r="H3191" s="177"/>
      <c r="I3191" s="177"/>
      <c r="J3191" s="177"/>
      <c r="K3191" s="177"/>
      <c r="L3191" s="177"/>
    </row>
    <row r="3192" customHeight="1" spans="1:12">
      <c r="A3192" s="177"/>
      <c r="B3192" s="1090"/>
      <c r="C3192" s="177"/>
      <c r="D3192" s="177"/>
      <c r="E3192" s="177"/>
      <c r="F3192" s="177"/>
      <c r="G3192" s="177"/>
      <c r="H3192" s="177"/>
      <c r="I3192" s="177"/>
      <c r="J3192" s="177"/>
      <c r="K3192" s="177"/>
      <c r="L3192" s="177"/>
    </row>
    <row r="3193" customHeight="1" spans="1:12">
      <c r="A3193" s="177"/>
      <c r="B3193" s="1090"/>
      <c r="C3193" s="177"/>
      <c r="D3193" s="177"/>
      <c r="E3193" s="177"/>
      <c r="F3193" s="177"/>
      <c r="G3193" s="177"/>
      <c r="H3193" s="177"/>
      <c r="I3193" s="177"/>
      <c r="J3193" s="177"/>
      <c r="K3193" s="177"/>
      <c r="L3193" s="177"/>
    </row>
    <row r="3194" customHeight="1" spans="1:12">
      <c r="A3194" s="177"/>
      <c r="B3194" s="1090"/>
      <c r="C3194" s="177"/>
      <c r="D3194" s="177"/>
      <c r="E3194" s="177"/>
      <c r="F3194" s="177"/>
      <c r="G3194" s="177"/>
      <c r="H3194" s="177"/>
      <c r="I3194" s="177"/>
      <c r="J3194" s="177"/>
      <c r="K3194" s="177"/>
      <c r="L3194" s="177"/>
    </row>
    <row r="3195" customHeight="1" spans="1:12">
      <c r="A3195" s="177"/>
      <c r="B3195" s="1090"/>
      <c r="C3195" s="177"/>
      <c r="D3195" s="177"/>
      <c r="E3195" s="177"/>
      <c r="F3195" s="177"/>
      <c r="G3195" s="177"/>
      <c r="H3195" s="177"/>
      <c r="I3195" s="177"/>
      <c r="J3195" s="177"/>
      <c r="K3195" s="177"/>
      <c r="L3195" s="177"/>
    </row>
    <row r="3196" customHeight="1" spans="1:12">
      <c r="A3196" s="177"/>
      <c r="B3196" s="1090"/>
      <c r="C3196" s="177"/>
      <c r="D3196" s="177"/>
      <c r="E3196" s="177"/>
      <c r="F3196" s="177"/>
      <c r="G3196" s="177"/>
      <c r="H3196" s="177"/>
      <c r="I3196" s="177"/>
      <c r="J3196" s="177"/>
      <c r="K3196" s="177"/>
      <c r="L3196" s="177"/>
    </row>
    <row r="3197" customHeight="1" spans="1:12">
      <c r="A3197" s="177"/>
      <c r="B3197" s="1090"/>
      <c r="C3197" s="177"/>
      <c r="D3197" s="177"/>
      <c r="E3197" s="177"/>
      <c r="F3197" s="177"/>
      <c r="G3197" s="177"/>
      <c r="H3197" s="177"/>
      <c r="I3197" s="177"/>
      <c r="J3197" s="177"/>
      <c r="K3197" s="177"/>
      <c r="L3197" s="177"/>
    </row>
    <row r="3198" customHeight="1" spans="1:12">
      <c r="A3198" s="177"/>
      <c r="B3198" s="1090"/>
      <c r="C3198" s="177"/>
      <c r="D3198" s="177"/>
      <c r="E3198" s="177"/>
      <c r="F3198" s="177"/>
      <c r="G3198" s="177"/>
      <c r="H3198" s="177"/>
      <c r="I3198" s="177"/>
      <c r="J3198" s="177"/>
      <c r="K3198" s="177"/>
      <c r="L3198" s="177"/>
    </row>
    <row r="3199" customHeight="1" spans="1:12">
      <c r="A3199" s="177"/>
      <c r="B3199" s="1090"/>
      <c r="C3199" s="177"/>
      <c r="D3199" s="177"/>
      <c r="E3199" s="177"/>
      <c r="F3199" s="177"/>
      <c r="G3199" s="177"/>
      <c r="H3199" s="177"/>
      <c r="I3199" s="177"/>
      <c r="J3199" s="177"/>
      <c r="K3199" s="177"/>
      <c r="L3199" s="177"/>
    </row>
    <row r="3200" customHeight="1" spans="1:12">
      <c r="A3200" s="177"/>
      <c r="B3200" s="1090"/>
      <c r="C3200" s="177"/>
      <c r="D3200" s="177"/>
      <c r="E3200" s="177"/>
      <c r="F3200" s="177"/>
      <c r="G3200" s="177"/>
      <c r="H3200" s="177"/>
      <c r="I3200" s="177"/>
      <c r="J3200" s="177"/>
      <c r="K3200" s="177"/>
      <c r="L3200" s="177"/>
    </row>
    <row r="3201" customHeight="1" spans="1:12">
      <c r="A3201" s="177"/>
      <c r="B3201" s="1090"/>
      <c r="C3201" s="177"/>
      <c r="D3201" s="177"/>
      <c r="E3201" s="177"/>
      <c r="F3201" s="177"/>
      <c r="G3201" s="177"/>
      <c r="H3201" s="177"/>
      <c r="I3201" s="177"/>
      <c r="J3201" s="177"/>
      <c r="K3201" s="177"/>
      <c r="L3201" s="177"/>
    </row>
    <row r="3202" customHeight="1" spans="1:12">
      <c r="A3202" s="177"/>
      <c r="B3202" s="1090"/>
      <c r="C3202" s="177"/>
      <c r="D3202" s="177"/>
      <c r="E3202" s="177"/>
      <c r="F3202" s="177"/>
      <c r="G3202" s="177"/>
      <c r="H3202" s="177"/>
      <c r="I3202" s="177"/>
      <c r="J3202" s="177"/>
      <c r="K3202" s="177"/>
      <c r="L3202" s="177"/>
    </row>
    <row r="3203" customHeight="1" spans="1:12">
      <c r="A3203" s="177"/>
      <c r="B3203" s="1090"/>
      <c r="C3203" s="177"/>
      <c r="D3203" s="177"/>
      <c r="E3203" s="177"/>
      <c r="F3203" s="177"/>
      <c r="G3203" s="177"/>
      <c r="H3203" s="177"/>
      <c r="I3203" s="177"/>
      <c r="J3203" s="177"/>
      <c r="K3203" s="177"/>
      <c r="L3203" s="177"/>
    </row>
    <row r="3204" customHeight="1" spans="1:12">
      <c r="A3204" s="177"/>
      <c r="B3204" s="1090"/>
      <c r="C3204" s="177"/>
      <c r="D3204" s="177"/>
      <c r="E3204" s="177"/>
      <c r="F3204" s="177"/>
      <c r="G3204" s="177"/>
      <c r="H3204" s="177"/>
      <c r="I3204" s="177"/>
      <c r="J3204" s="177"/>
      <c r="K3204" s="177"/>
      <c r="L3204" s="177"/>
    </row>
    <row r="3205" customHeight="1" spans="1:12">
      <c r="A3205" s="177"/>
      <c r="B3205" s="1090"/>
      <c r="C3205" s="177"/>
      <c r="D3205" s="177"/>
      <c r="E3205" s="177"/>
      <c r="F3205" s="177"/>
      <c r="G3205" s="177"/>
      <c r="H3205" s="177"/>
      <c r="I3205" s="177"/>
      <c r="J3205" s="177"/>
      <c r="K3205" s="177"/>
      <c r="L3205" s="177"/>
    </row>
    <row r="3206" customHeight="1" spans="1:12">
      <c r="A3206" s="177"/>
      <c r="B3206" s="1090"/>
      <c r="C3206" s="177"/>
      <c r="D3206" s="177"/>
      <c r="E3206" s="177"/>
      <c r="F3206" s="177"/>
      <c r="G3206" s="177"/>
      <c r="H3206" s="177"/>
      <c r="I3206" s="177"/>
      <c r="J3206" s="177"/>
      <c r="K3206" s="177"/>
      <c r="L3206" s="177"/>
    </row>
    <row r="3207" customHeight="1" spans="1:12">
      <c r="A3207" s="177"/>
      <c r="B3207" s="1090"/>
      <c r="C3207" s="177"/>
      <c r="D3207" s="177"/>
      <c r="E3207" s="177"/>
      <c r="F3207" s="177"/>
      <c r="G3207" s="177"/>
      <c r="H3207" s="177"/>
      <c r="I3207" s="177"/>
      <c r="J3207" s="177"/>
      <c r="K3207" s="177"/>
      <c r="L3207" s="177"/>
    </row>
    <row r="3208" customHeight="1" spans="1:12">
      <c r="A3208" s="177"/>
      <c r="B3208" s="1090"/>
      <c r="C3208" s="177"/>
      <c r="D3208" s="177"/>
      <c r="E3208" s="177"/>
      <c r="F3208" s="177"/>
      <c r="G3208" s="177"/>
      <c r="H3208" s="177"/>
      <c r="I3208" s="177"/>
      <c r="J3208" s="177"/>
      <c r="K3208" s="177"/>
      <c r="L3208" s="177"/>
    </row>
    <row r="3209" customHeight="1" spans="1:12">
      <c r="A3209" s="177"/>
      <c r="B3209" s="1090"/>
      <c r="C3209" s="177"/>
      <c r="D3209" s="177"/>
      <c r="E3209" s="177"/>
      <c r="F3209" s="177"/>
      <c r="G3209" s="177"/>
      <c r="H3209" s="177"/>
      <c r="I3209" s="177"/>
      <c r="J3209" s="177"/>
      <c r="K3209" s="177"/>
      <c r="L3209" s="177"/>
    </row>
    <row r="3210" customHeight="1" spans="1:12">
      <c r="A3210" s="177"/>
      <c r="B3210" s="1090"/>
      <c r="C3210" s="177"/>
      <c r="D3210" s="177"/>
      <c r="E3210" s="177"/>
      <c r="F3210" s="177"/>
      <c r="G3210" s="177"/>
      <c r="H3210" s="177"/>
      <c r="I3210" s="177"/>
      <c r="J3210" s="177"/>
      <c r="K3210" s="177"/>
      <c r="L3210" s="177"/>
    </row>
    <row r="3211" customHeight="1" spans="1:12">
      <c r="A3211" s="177"/>
      <c r="B3211" s="1090"/>
      <c r="C3211" s="177"/>
      <c r="D3211" s="177"/>
      <c r="E3211" s="177"/>
      <c r="F3211" s="177"/>
      <c r="G3211" s="177"/>
      <c r="H3211" s="177"/>
      <c r="I3211" s="177"/>
      <c r="J3211" s="177"/>
      <c r="K3211" s="177"/>
      <c r="L3211" s="177"/>
    </row>
    <row r="3212" customHeight="1" spans="1:12">
      <c r="A3212" s="177"/>
      <c r="B3212" s="1090"/>
      <c r="C3212" s="177"/>
      <c r="D3212" s="177"/>
      <c r="E3212" s="177"/>
      <c r="F3212" s="177"/>
      <c r="G3212" s="177"/>
      <c r="H3212" s="177"/>
      <c r="I3212" s="177"/>
      <c r="J3212" s="177"/>
      <c r="K3212" s="177"/>
      <c r="L3212" s="177"/>
    </row>
    <row r="3213" customHeight="1" spans="1:12">
      <c r="A3213" s="177"/>
      <c r="B3213" s="1090"/>
      <c r="C3213" s="177"/>
      <c r="D3213" s="177"/>
      <c r="E3213" s="177"/>
      <c r="F3213" s="177"/>
      <c r="G3213" s="177"/>
      <c r="H3213" s="177"/>
      <c r="I3213" s="177"/>
      <c r="J3213" s="177"/>
      <c r="K3213" s="177"/>
      <c r="L3213" s="177"/>
    </row>
    <row r="3214" customHeight="1" spans="1:12">
      <c r="A3214" s="177"/>
      <c r="B3214" s="1090"/>
      <c r="C3214" s="177"/>
      <c r="D3214" s="177"/>
      <c r="E3214" s="177"/>
      <c r="F3214" s="177"/>
      <c r="G3214" s="177"/>
      <c r="H3214" s="177"/>
      <c r="I3214" s="177"/>
      <c r="J3214" s="177"/>
      <c r="K3214" s="177"/>
      <c r="L3214" s="177"/>
    </row>
    <row r="3215" customHeight="1" spans="1:12">
      <c r="A3215" s="177"/>
      <c r="B3215" s="1090"/>
      <c r="C3215" s="177"/>
      <c r="D3215" s="177"/>
      <c r="E3215" s="177"/>
      <c r="F3215" s="177"/>
      <c r="G3215" s="177"/>
      <c r="H3215" s="177"/>
      <c r="I3215" s="177"/>
      <c r="J3215" s="177"/>
      <c r="K3215" s="177"/>
      <c r="L3215" s="177"/>
    </row>
    <row r="3216" customHeight="1" spans="1:12">
      <c r="A3216" s="177"/>
      <c r="B3216" s="1090"/>
      <c r="C3216" s="177"/>
      <c r="D3216" s="177"/>
      <c r="E3216" s="177"/>
      <c r="F3216" s="177"/>
      <c r="G3216" s="177"/>
      <c r="H3216" s="177"/>
      <c r="I3216" s="177"/>
      <c r="J3216" s="177"/>
      <c r="K3216" s="177"/>
      <c r="L3216" s="177"/>
    </row>
    <row r="3217" customHeight="1" spans="1:12">
      <c r="A3217" s="177"/>
      <c r="B3217" s="1090"/>
      <c r="C3217" s="177"/>
      <c r="D3217" s="177"/>
      <c r="E3217" s="177"/>
      <c r="F3217" s="177"/>
      <c r="G3217" s="177"/>
      <c r="H3217" s="177"/>
      <c r="I3217" s="177"/>
      <c r="J3217" s="177"/>
      <c r="K3217" s="177"/>
      <c r="L3217" s="177"/>
    </row>
    <row r="3218" customHeight="1" spans="1:12">
      <c r="A3218" s="177"/>
      <c r="B3218" s="1090"/>
      <c r="C3218" s="177"/>
      <c r="D3218" s="177"/>
      <c r="E3218" s="177"/>
      <c r="F3218" s="177"/>
      <c r="G3218" s="177"/>
      <c r="H3218" s="177"/>
      <c r="I3218" s="177"/>
      <c r="J3218" s="177"/>
      <c r="K3218" s="177"/>
      <c r="L3218" s="177"/>
    </row>
    <row r="3219" customHeight="1" spans="1:12">
      <c r="A3219" s="177"/>
      <c r="B3219" s="1090"/>
      <c r="C3219" s="177"/>
      <c r="D3219" s="177"/>
      <c r="E3219" s="177"/>
      <c r="F3219" s="177"/>
      <c r="G3219" s="177"/>
      <c r="H3219" s="177"/>
      <c r="I3219" s="177"/>
      <c r="J3219" s="177"/>
      <c r="K3219" s="177"/>
      <c r="L3219" s="177"/>
    </row>
    <row r="3220" customHeight="1" spans="1:12">
      <c r="A3220" s="177"/>
      <c r="B3220" s="1090"/>
      <c r="C3220" s="177"/>
      <c r="D3220" s="177"/>
      <c r="E3220" s="177"/>
      <c r="F3220" s="177"/>
      <c r="G3220" s="177"/>
      <c r="H3220" s="177"/>
      <c r="I3220" s="177"/>
      <c r="J3220" s="177"/>
      <c r="K3220" s="177"/>
      <c r="L3220" s="177"/>
    </row>
    <row r="3221" customHeight="1" spans="1:12">
      <c r="A3221" s="177"/>
      <c r="B3221" s="1090"/>
      <c r="C3221" s="177"/>
      <c r="D3221" s="177"/>
      <c r="E3221" s="177"/>
      <c r="F3221" s="177"/>
      <c r="G3221" s="177"/>
      <c r="H3221" s="177"/>
      <c r="I3221" s="177"/>
      <c r="J3221" s="177"/>
      <c r="K3221" s="177"/>
      <c r="L3221" s="177"/>
    </row>
    <row r="3222" customHeight="1" spans="1:12">
      <c r="A3222" s="177"/>
      <c r="B3222" s="1090"/>
      <c r="C3222" s="177"/>
      <c r="D3222" s="177"/>
      <c r="E3222" s="177"/>
      <c r="F3222" s="177"/>
      <c r="G3222" s="177"/>
      <c r="H3222" s="177"/>
      <c r="I3222" s="177"/>
      <c r="J3222" s="177"/>
      <c r="K3222" s="177"/>
      <c r="L3222" s="177"/>
    </row>
    <row r="3223" customHeight="1" spans="1:12">
      <c r="A3223" s="177"/>
      <c r="B3223" s="1090"/>
      <c r="C3223" s="177"/>
      <c r="D3223" s="177"/>
      <c r="E3223" s="177"/>
      <c r="F3223" s="177"/>
      <c r="G3223" s="177"/>
      <c r="H3223" s="177"/>
      <c r="I3223" s="177"/>
      <c r="J3223" s="177"/>
      <c r="K3223" s="177"/>
      <c r="L3223" s="177"/>
    </row>
    <row r="3224" customHeight="1" spans="1:12">
      <c r="A3224" s="177"/>
      <c r="B3224" s="1090"/>
      <c r="C3224" s="177"/>
      <c r="D3224" s="177"/>
      <c r="E3224" s="177"/>
      <c r="F3224" s="177"/>
      <c r="G3224" s="177"/>
      <c r="H3224" s="177"/>
      <c r="I3224" s="177"/>
      <c r="J3224" s="177"/>
      <c r="K3224" s="177"/>
      <c r="L3224" s="177"/>
    </row>
    <row r="3225" customHeight="1" spans="1:12">
      <c r="A3225" s="177"/>
      <c r="B3225" s="1090"/>
      <c r="C3225" s="177"/>
      <c r="D3225" s="177"/>
      <c r="E3225" s="177"/>
      <c r="F3225" s="177"/>
      <c r="G3225" s="177"/>
      <c r="H3225" s="177"/>
      <c r="I3225" s="177"/>
      <c r="J3225" s="177"/>
      <c r="K3225" s="177"/>
      <c r="L3225" s="177"/>
    </row>
    <row r="3226" customHeight="1" spans="1:12">
      <c r="A3226" s="177"/>
      <c r="B3226" s="1090"/>
      <c r="C3226" s="177"/>
      <c r="D3226" s="177"/>
      <c r="E3226" s="177"/>
      <c r="F3226" s="177"/>
      <c r="G3226" s="177"/>
      <c r="H3226" s="177"/>
      <c r="I3226" s="177"/>
      <c r="J3226" s="177"/>
      <c r="K3226" s="177"/>
      <c r="L3226" s="177"/>
    </row>
    <row r="3227" customHeight="1" spans="1:12">
      <c r="A3227" s="177"/>
      <c r="B3227" s="1090"/>
      <c r="C3227" s="177"/>
      <c r="D3227" s="177"/>
      <c r="E3227" s="177"/>
      <c r="F3227" s="177"/>
      <c r="G3227" s="177"/>
      <c r="H3227" s="177"/>
      <c r="I3227" s="177"/>
      <c r="J3227" s="177"/>
      <c r="K3227" s="177"/>
      <c r="L3227" s="177"/>
    </row>
    <row r="3228" customHeight="1" spans="1:12">
      <c r="A3228" s="177"/>
      <c r="B3228" s="1090"/>
      <c r="C3228" s="177"/>
      <c r="D3228" s="177"/>
      <c r="E3228" s="177"/>
      <c r="F3228" s="177"/>
      <c r="G3228" s="177"/>
      <c r="H3228" s="177"/>
      <c r="I3228" s="177"/>
      <c r="J3228" s="177"/>
      <c r="K3228" s="177"/>
      <c r="L3228" s="177"/>
    </row>
    <row r="3229" customHeight="1" spans="1:12">
      <c r="A3229" s="177"/>
      <c r="B3229" s="1090"/>
      <c r="C3229" s="177"/>
      <c r="D3229" s="177"/>
      <c r="E3229" s="177"/>
      <c r="F3229" s="177"/>
      <c r="G3229" s="177"/>
      <c r="H3229" s="177"/>
      <c r="I3229" s="177"/>
      <c r="J3229" s="177"/>
      <c r="K3229" s="177"/>
      <c r="L3229" s="177"/>
    </row>
    <row r="3230" customHeight="1" spans="1:12">
      <c r="A3230" s="177"/>
      <c r="B3230" s="1090"/>
      <c r="C3230" s="177"/>
      <c r="D3230" s="177"/>
      <c r="E3230" s="177"/>
      <c r="F3230" s="177"/>
      <c r="G3230" s="177"/>
      <c r="H3230" s="177"/>
      <c r="I3230" s="177"/>
      <c r="J3230" s="177"/>
      <c r="K3230" s="177"/>
      <c r="L3230" s="177"/>
    </row>
    <row r="3231" customHeight="1" spans="1:12">
      <c r="A3231" s="177"/>
      <c r="B3231" s="1090"/>
      <c r="C3231" s="177"/>
      <c r="D3231" s="177"/>
      <c r="E3231" s="177"/>
      <c r="F3231" s="177"/>
      <c r="G3231" s="177"/>
      <c r="H3231" s="177"/>
      <c r="I3231" s="177"/>
      <c r="J3231" s="177"/>
      <c r="K3231" s="177"/>
      <c r="L3231" s="177"/>
    </row>
    <row r="3232" customHeight="1" spans="1:12">
      <c r="A3232" s="177"/>
      <c r="B3232" s="1090"/>
      <c r="C3232" s="177"/>
      <c r="D3232" s="177"/>
      <c r="E3232" s="177"/>
      <c r="F3232" s="177"/>
      <c r="G3232" s="177"/>
      <c r="H3232" s="177"/>
      <c r="I3232" s="177"/>
      <c r="J3232" s="177"/>
      <c r="K3232" s="177"/>
      <c r="L3232" s="177"/>
    </row>
    <row r="3233" customHeight="1" spans="1:12">
      <c r="A3233" s="177"/>
      <c r="B3233" s="1090"/>
      <c r="C3233" s="177"/>
      <c r="D3233" s="177"/>
      <c r="E3233" s="177"/>
      <c r="F3233" s="177"/>
      <c r="G3233" s="177"/>
      <c r="H3233" s="177"/>
      <c r="I3233" s="177"/>
      <c r="J3233" s="177"/>
      <c r="K3233" s="177"/>
      <c r="L3233" s="177"/>
    </row>
    <row r="3234" customHeight="1" spans="1:12">
      <c r="A3234" s="177"/>
      <c r="B3234" s="1090"/>
      <c r="C3234" s="177"/>
      <c r="D3234" s="177"/>
      <c r="E3234" s="177"/>
      <c r="F3234" s="177"/>
      <c r="G3234" s="177"/>
      <c r="H3234" s="177"/>
      <c r="I3234" s="177"/>
      <c r="J3234" s="177"/>
      <c r="K3234" s="177"/>
      <c r="L3234" s="177"/>
    </row>
    <row r="3235" customHeight="1" spans="1:12">
      <c r="A3235" s="177"/>
      <c r="B3235" s="1090"/>
      <c r="C3235" s="177"/>
      <c r="D3235" s="177"/>
      <c r="E3235" s="177"/>
      <c r="F3235" s="177"/>
      <c r="G3235" s="177"/>
      <c r="H3235" s="177"/>
      <c r="I3235" s="177"/>
      <c r="J3235" s="177"/>
      <c r="K3235" s="177"/>
      <c r="L3235" s="177"/>
    </row>
    <row r="3236" customHeight="1" spans="1:12">
      <c r="A3236" s="177"/>
      <c r="B3236" s="1090"/>
      <c r="C3236" s="177"/>
      <c r="D3236" s="177"/>
      <c r="E3236" s="177"/>
      <c r="F3236" s="177"/>
      <c r="G3236" s="177"/>
      <c r="H3236" s="177"/>
      <c r="I3236" s="177"/>
      <c r="J3236" s="177"/>
      <c r="K3236" s="177"/>
      <c r="L3236" s="177"/>
    </row>
    <row r="3237" customHeight="1" spans="1:12">
      <c r="A3237" s="177"/>
      <c r="B3237" s="1090"/>
      <c r="C3237" s="177"/>
      <c r="D3237" s="177"/>
      <c r="E3237" s="177"/>
      <c r="F3237" s="177"/>
      <c r="G3237" s="177"/>
      <c r="H3237" s="177"/>
      <c r="I3237" s="177"/>
      <c r="J3237" s="177"/>
      <c r="K3237" s="177"/>
      <c r="L3237" s="177"/>
    </row>
    <row r="3238" customHeight="1" spans="1:12">
      <c r="A3238" s="177"/>
      <c r="B3238" s="1090"/>
      <c r="C3238" s="177"/>
      <c r="D3238" s="177"/>
      <c r="E3238" s="177"/>
      <c r="F3238" s="177"/>
      <c r="G3238" s="177"/>
      <c r="H3238" s="177"/>
      <c r="I3238" s="177"/>
      <c r="J3238" s="177"/>
      <c r="K3238" s="177"/>
      <c r="L3238" s="177"/>
    </row>
    <row r="3239" customHeight="1" spans="1:12">
      <c r="A3239" s="177"/>
      <c r="B3239" s="1090"/>
      <c r="C3239" s="177"/>
      <c r="D3239" s="177"/>
      <c r="E3239" s="177"/>
      <c r="F3239" s="177"/>
      <c r="G3239" s="177"/>
      <c r="H3239" s="177"/>
      <c r="I3239" s="177"/>
      <c r="J3239" s="177"/>
      <c r="K3239" s="177"/>
      <c r="L3239" s="177"/>
    </row>
    <row r="3240" customHeight="1" spans="1:12">
      <c r="A3240" s="177"/>
      <c r="B3240" s="1090"/>
      <c r="C3240" s="177"/>
      <c r="D3240" s="177"/>
      <c r="E3240" s="177"/>
      <c r="F3240" s="177"/>
      <c r="G3240" s="177"/>
      <c r="H3240" s="177"/>
      <c r="I3240" s="177"/>
      <c r="J3240" s="177"/>
      <c r="K3240" s="177"/>
      <c r="L3240" s="177"/>
    </row>
    <row r="3241" customHeight="1" spans="1:12">
      <c r="A3241" s="177"/>
      <c r="B3241" s="1090"/>
      <c r="C3241" s="177"/>
      <c r="D3241" s="177"/>
      <c r="E3241" s="177"/>
      <c r="F3241" s="177"/>
      <c r="G3241" s="177"/>
      <c r="H3241" s="177"/>
      <c r="I3241" s="177"/>
      <c r="J3241" s="177"/>
      <c r="K3241" s="177"/>
      <c r="L3241" s="177"/>
    </row>
    <row r="3242" customHeight="1" spans="1:12">
      <c r="A3242" s="177"/>
      <c r="B3242" s="1090"/>
      <c r="C3242" s="177"/>
      <c r="D3242" s="177"/>
      <c r="E3242" s="177"/>
      <c r="F3242" s="177"/>
      <c r="G3242" s="177"/>
      <c r="H3242" s="177"/>
      <c r="I3242" s="177"/>
      <c r="J3242" s="177"/>
      <c r="K3242" s="177"/>
      <c r="L3242" s="177"/>
    </row>
    <row r="3243" customHeight="1" spans="1:12">
      <c r="A3243" s="177"/>
      <c r="B3243" s="1090"/>
      <c r="C3243" s="177"/>
      <c r="D3243" s="177"/>
      <c r="E3243" s="177"/>
      <c r="F3243" s="177"/>
      <c r="G3243" s="177"/>
      <c r="H3243" s="177"/>
      <c r="I3243" s="177"/>
      <c r="J3243" s="177"/>
      <c r="K3243" s="177"/>
      <c r="L3243" s="177"/>
    </row>
    <row r="3244" customHeight="1" spans="1:12">
      <c r="A3244" s="177"/>
      <c r="B3244" s="1090"/>
      <c r="C3244" s="177"/>
      <c r="D3244" s="177"/>
      <c r="E3244" s="177"/>
      <c r="F3244" s="177"/>
      <c r="G3244" s="177"/>
      <c r="H3244" s="177"/>
      <c r="I3244" s="177"/>
      <c r="J3244" s="177"/>
      <c r="K3244" s="177"/>
      <c r="L3244" s="177"/>
    </row>
    <row r="3245" customHeight="1" spans="1:12">
      <c r="A3245" s="177"/>
      <c r="B3245" s="1090"/>
      <c r="C3245" s="177"/>
      <c r="D3245" s="177"/>
      <c r="E3245" s="177"/>
      <c r="F3245" s="177"/>
      <c r="G3245" s="177"/>
      <c r="H3245" s="177"/>
      <c r="I3245" s="177"/>
      <c r="J3245" s="177"/>
      <c r="K3245" s="177"/>
      <c r="L3245" s="177"/>
    </row>
    <row r="3246" customHeight="1" spans="1:12">
      <c r="A3246" s="177"/>
      <c r="B3246" s="1090"/>
      <c r="C3246" s="177"/>
      <c r="D3246" s="177"/>
      <c r="E3246" s="177"/>
      <c r="F3246" s="177"/>
      <c r="G3246" s="177"/>
      <c r="H3246" s="177"/>
      <c r="I3246" s="177"/>
      <c r="J3246" s="177"/>
      <c r="K3246" s="177"/>
      <c r="L3246" s="177"/>
    </row>
    <row r="3247" customHeight="1" spans="1:12">
      <c r="A3247" s="177"/>
      <c r="B3247" s="1090"/>
      <c r="C3247" s="177"/>
      <c r="D3247" s="177"/>
      <c r="E3247" s="177"/>
      <c r="F3247" s="177"/>
      <c r="G3247" s="177"/>
      <c r="H3247" s="177"/>
      <c r="I3247" s="177"/>
      <c r="J3247" s="177"/>
      <c r="K3247" s="177"/>
      <c r="L3247" s="177"/>
    </row>
    <row r="3248" customHeight="1" spans="1:12">
      <c r="A3248" s="177"/>
      <c r="B3248" s="1090"/>
      <c r="C3248" s="177"/>
      <c r="D3248" s="177"/>
      <c r="E3248" s="177"/>
      <c r="F3248" s="177"/>
      <c r="G3248" s="177"/>
      <c r="H3248" s="177"/>
      <c r="I3248" s="177"/>
      <c r="J3248" s="177"/>
      <c r="K3248" s="177"/>
      <c r="L3248" s="177"/>
    </row>
    <row r="3249" customHeight="1" spans="1:12">
      <c r="A3249" s="177"/>
      <c r="B3249" s="1090"/>
      <c r="C3249" s="177"/>
      <c r="D3249" s="177"/>
      <c r="E3249" s="177"/>
      <c r="F3249" s="177"/>
      <c r="G3249" s="177"/>
      <c r="H3249" s="177"/>
      <c r="I3249" s="177"/>
      <c r="J3249" s="177"/>
      <c r="K3249" s="177"/>
      <c r="L3249" s="177"/>
    </row>
    <row r="3250" customHeight="1" spans="1:12">
      <c r="A3250" s="177"/>
      <c r="B3250" s="1090"/>
      <c r="C3250" s="177"/>
      <c r="D3250" s="177"/>
      <c r="E3250" s="177"/>
      <c r="F3250" s="177"/>
      <c r="G3250" s="177"/>
      <c r="H3250" s="177"/>
      <c r="I3250" s="177"/>
      <c r="J3250" s="177"/>
      <c r="K3250" s="177"/>
      <c r="L3250" s="177"/>
    </row>
    <row r="3251" customHeight="1" spans="1:12">
      <c r="A3251" s="177"/>
      <c r="B3251" s="1090"/>
      <c r="C3251" s="177"/>
      <c r="D3251" s="177"/>
      <c r="E3251" s="177"/>
      <c r="F3251" s="177"/>
      <c r="G3251" s="177"/>
      <c r="H3251" s="177"/>
      <c r="I3251" s="177"/>
      <c r="J3251" s="177"/>
      <c r="K3251" s="177"/>
      <c r="L3251" s="177"/>
    </row>
    <row r="3252" customHeight="1" spans="1:12">
      <c r="A3252" s="177"/>
      <c r="B3252" s="1090"/>
      <c r="C3252" s="177"/>
      <c r="D3252" s="177"/>
      <c r="E3252" s="177"/>
      <c r="F3252" s="177"/>
      <c r="G3252" s="177"/>
      <c r="H3252" s="177"/>
      <c r="I3252" s="177"/>
      <c r="J3252" s="177"/>
      <c r="K3252" s="177"/>
      <c r="L3252" s="177"/>
    </row>
    <row r="3253" customHeight="1" spans="1:12">
      <c r="A3253" s="177"/>
      <c r="B3253" s="1090"/>
      <c r="C3253" s="177"/>
      <c r="D3253" s="177"/>
      <c r="E3253" s="177"/>
      <c r="F3253" s="177"/>
      <c r="G3253" s="177"/>
      <c r="H3253" s="177"/>
      <c r="I3253" s="177"/>
      <c r="J3253" s="177"/>
      <c r="K3253" s="177"/>
      <c r="L3253" s="177"/>
    </row>
    <row r="3254" customHeight="1" spans="1:12">
      <c r="A3254" s="177"/>
      <c r="B3254" s="1090"/>
      <c r="C3254" s="177"/>
      <c r="D3254" s="177"/>
      <c r="E3254" s="177"/>
      <c r="F3254" s="177"/>
      <c r="G3254" s="177"/>
      <c r="H3254" s="177"/>
      <c r="I3254" s="177"/>
      <c r="J3254" s="177"/>
      <c r="K3254" s="177"/>
      <c r="L3254" s="177"/>
    </row>
    <row r="3255" customHeight="1" spans="1:12">
      <c r="A3255" s="177"/>
      <c r="B3255" s="1090"/>
      <c r="C3255" s="177"/>
      <c r="D3255" s="177"/>
      <c r="E3255" s="177"/>
      <c r="F3255" s="177"/>
      <c r="G3255" s="177"/>
      <c r="H3255" s="177"/>
      <c r="I3255" s="177"/>
      <c r="J3255" s="177"/>
      <c r="K3255" s="177"/>
      <c r="L3255" s="177"/>
    </row>
    <row r="3256" customHeight="1" spans="1:12">
      <c r="A3256" s="177"/>
      <c r="B3256" s="1090"/>
      <c r="C3256" s="177"/>
      <c r="D3256" s="177"/>
      <c r="E3256" s="177"/>
      <c r="F3256" s="177"/>
      <c r="G3256" s="177"/>
      <c r="H3256" s="177"/>
      <c r="I3256" s="177"/>
      <c r="J3256" s="177"/>
      <c r="K3256" s="177"/>
      <c r="L3256" s="177"/>
    </row>
    <row r="3257" customHeight="1" spans="1:12">
      <c r="A3257" s="177"/>
      <c r="B3257" s="1090"/>
      <c r="C3257" s="177"/>
      <c r="D3257" s="177"/>
      <c r="E3257" s="177"/>
      <c r="F3257" s="177"/>
      <c r="G3257" s="177"/>
      <c r="H3257" s="177"/>
      <c r="I3257" s="177"/>
      <c r="J3257" s="177"/>
      <c r="K3257" s="177"/>
      <c r="L3257" s="177"/>
    </row>
    <row r="3258" customHeight="1" spans="1:12">
      <c r="A3258" s="177"/>
      <c r="B3258" s="1090"/>
      <c r="C3258" s="177"/>
      <c r="D3258" s="177"/>
      <c r="E3258" s="177"/>
      <c r="F3258" s="177"/>
      <c r="G3258" s="177"/>
      <c r="H3258" s="177"/>
      <c r="I3258" s="177"/>
      <c r="J3258" s="177"/>
      <c r="K3258" s="177"/>
      <c r="L3258" s="177"/>
    </row>
    <row r="3259" customHeight="1" spans="1:12">
      <c r="A3259" s="177"/>
      <c r="B3259" s="1090"/>
      <c r="C3259" s="177"/>
      <c r="D3259" s="177"/>
      <c r="E3259" s="177"/>
      <c r="F3259" s="177"/>
      <c r="G3259" s="177"/>
      <c r="H3259" s="177"/>
      <c r="I3259" s="177"/>
      <c r="J3259" s="177"/>
      <c r="K3259" s="177"/>
      <c r="L3259" s="177"/>
    </row>
    <row r="3260" customHeight="1" spans="1:12">
      <c r="A3260" s="177"/>
      <c r="B3260" s="1090"/>
      <c r="C3260" s="177"/>
      <c r="D3260" s="177"/>
      <c r="E3260" s="177"/>
      <c r="F3260" s="177"/>
      <c r="G3260" s="177"/>
      <c r="H3260" s="177"/>
      <c r="I3260" s="177"/>
      <c r="J3260" s="177"/>
      <c r="K3260" s="177"/>
      <c r="L3260" s="177"/>
    </row>
    <row r="3261" customHeight="1" spans="1:12">
      <c r="A3261" s="177"/>
      <c r="B3261" s="1090"/>
      <c r="C3261" s="177"/>
      <c r="D3261" s="177"/>
      <c r="E3261" s="177"/>
      <c r="F3261" s="177"/>
      <c r="G3261" s="177"/>
      <c r="H3261" s="177"/>
      <c r="I3261" s="177"/>
      <c r="J3261" s="177"/>
      <c r="K3261" s="177"/>
      <c r="L3261" s="177"/>
    </row>
    <row r="3262" customHeight="1" spans="1:12">
      <c r="A3262" s="177"/>
      <c r="B3262" s="1090"/>
      <c r="C3262" s="177"/>
      <c r="D3262" s="177"/>
      <c r="E3262" s="177"/>
      <c r="F3262" s="177"/>
      <c r="G3262" s="177"/>
      <c r="H3262" s="177"/>
      <c r="I3262" s="177"/>
      <c r="J3262" s="177"/>
      <c r="K3262" s="177"/>
      <c r="L3262" s="177"/>
    </row>
    <row r="3263" customHeight="1" spans="1:12">
      <c r="A3263" s="177"/>
      <c r="B3263" s="1090"/>
      <c r="C3263" s="177"/>
      <c r="D3263" s="177"/>
      <c r="E3263" s="177"/>
      <c r="F3263" s="177"/>
      <c r="G3263" s="177"/>
      <c r="H3263" s="177"/>
      <c r="I3263" s="177"/>
      <c r="J3263" s="177"/>
      <c r="K3263" s="177"/>
      <c r="L3263" s="177"/>
    </row>
    <row r="3264" customHeight="1" spans="1:12">
      <c r="A3264" s="177"/>
      <c r="B3264" s="1090"/>
      <c r="C3264" s="177"/>
      <c r="D3264" s="177"/>
      <c r="E3264" s="177"/>
      <c r="F3264" s="177"/>
      <c r="G3264" s="177"/>
      <c r="H3264" s="177"/>
      <c r="I3264" s="177"/>
      <c r="J3264" s="177"/>
      <c r="K3264" s="177"/>
      <c r="L3264" s="177"/>
    </row>
    <row r="3265" customHeight="1" spans="1:12">
      <c r="A3265" s="177"/>
      <c r="B3265" s="1090"/>
      <c r="C3265" s="177"/>
      <c r="D3265" s="177"/>
      <c r="E3265" s="177"/>
      <c r="F3265" s="177"/>
      <c r="G3265" s="177"/>
      <c r="H3265" s="177"/>
      <c r="I3265" s="177"/>
      <c r="J3265" s="177"/>
      <c r="K3265" s="177"/>
      <c r="L3265" s="177"/>
    </row>
    <row r="3266" customHeight="1" spans="1:12">
      <c r="A3266" s="177"/>
      <c r="B3266" s="1090"/>
      <c r="C3266" s="177"/>
      <c r="D3266" s="177"/>
      <c r="E3266" s="177"/>
      <c r="F3266" s="177"/>
      <c r="G3266" s="177"/>
      <c r="H3266" s="177"/>
      <c r="I3266" s="177"/>
      <c r="J3266" s="177"/>
      <c r="K3266" s="177"/>
      <c r="L3266" s="177"/>
    </row>
    <row r="3267" customHeight="1" spans="1:12">
      <c r="A3267" s="177"/>
      <c r="B3267" s="1090"/>
      <c r="C3267" s="177"/>
      <c r="D3267" s="177"/>
      <c r="E3267" s="177"/>
      <c r="F3267" s="177"/>
      <c r="G3267" s="177"/>
      <c r="H3267" s="177"/>
      <c r="I3267" s="177"/>
      <c r="J3267" s="177"/>
      <c r="K3267" s="177"/>
      <c r="L3267" s="177"/>
    </row>
    <row r="3268" customHeight="1" spans="1:12">
      <c r="A3268" s="177"/>
      <c r="B3268" s="1090"/>
      <c r="C3268" s="177"/>
      <c r="D3268" s="177"/>
      <c r="E3268" s="177"/>
      <c r="F3268" s="177"/>
      <c r="G3268" s="177"/>
      <c r="H3268" s="177"/>
      <c r="I3268" s="177"/>
      <c r="J3268" s="177"/>
      <c r="K3268" s="177"/>
      <c r="L3268" s="177"/>
    </row>
    <row r="3269" customHeight="1" spans="1:12">
      <c r="A3269" s="177"/>
      <c r="B3269" s="1090"/>
      <c r="C3269" s="177"/>
      <c r="D3269" s="177"/>
      <c r="E3269" s="177"/>
      <c r="F3269" s="177"/>
      <c r="G3269" s="177"/>
      <c r="H3269" s="177"/>
      <c r="I3269" s="177"/>
      <c r="J3269" s="177"/>
      <c r="K3269" s="177"/>
      <c r="L3269" s="177"/>
    </row>
    <row r="3270" customHeight="1" spans="1:12">
      <c r="A3270" s="177"/>
      <c r="B3270" s="1090"/>
      <c r="C3270" s="177"/>
      <c r="D3270" s="177"/>
      <c r="E3270" s="177"/>
      <c r="F3270" s="177"/>
      <c r="G3270" s="177"/>
      <c r="H3270" s="177"/>
      <c r="I3270" s="177"/>
      <c r="J3270" s="177"/>
      <c r="K3270" s="177"/>
      <c r="L3270" s="177"/>
    </row>
    <row r="3271" customHeight="1" spans="1:12">
      <c r="A3271" s="177"/>
      <c r="B3271" s="1090"/>
      <c r="C3271" s="177"/>
      <c r="D3271" s="177"/>
      <c r="E3271" s="177"/>
      <c r="F3271" s="177"/>
      <c r="G3271" s="177"/>
      <c r="H3271" s="177"/>
      <c r="I3271" s="177"/>
      <c r="J3271" s="177"/>
      <c r="K3271" s="177"/>
      <c r="L3271" s="177"/>
    </row>
    <row r="3272" customHeight="1" spans="1:12">
      <c r="A3272" s="177"/>
      <c r="B3272" s="1090"/>
      <c r="C3272" s="177"/>
      <c r="D3272" s="177"/>
      <c r="E3272" s="177"/>
      <c r="F3272" s="177"/>
      <c r="G3272" s="177"/>
      <c r="H3272" s="177"/>
      <c r="I3272" s="177"/>
      <c r="J3272" s="177"/>
      <c r="K3272" s="177"/>
      <c r="L3272" s="177"/>
    </row>
    <row r="3273" customHeight="1" spans="1:12">
      <c r="A3273" s="177"/>
      <c r="B3273" s="1090"/>
      <c r="C3273" s="177"/>
      <c r="D3273" s="177"/>
      <c r="E3273" s="177"/>
      <c r="F3273" s="177"/>
      <c r="G3273" s="177"/>
      <c r="H3273" s="177"/>
      <c r="I3273" s="177"/>
      <c r="J3273" s="177"/>
      <c r="K3273" s="177"/>
      <c r="L3273" s="177"/>
    </row>
    <row r="3274" customHeight="1" spans="1:12">
      <c r="A3274" s="177"/>
      <c r="B3274" s="1090"/>
      <c r="C3274" s="177"/>
      <c r="D3274" s="177"/>
      <c r="E3274" s="177"/>
      <c r="F3274" s="177"/>
      <c r="G3274" s="177"/>
      <c r="H3274" s="177"/>
      <c r="I3274" s="177"/>
      <c r="J3274" s="177"/>
      <c r="K3274" s="177"/>
      <c r="L3274" s="177"/>
    </row>
    <row r="3275" customHeight="1" spans="1:12">
      <c r="A3275" s="177"/>
      <c r="B3275" s="1090"/>
      <c r="C3275" s="177"/>
      <c r="D3275" s="177"/>
      <c r="E3275" s="177"/>
      <c r="F3275" s="177"/>
      <c r="G3275" s="177"/>
      <c r="H3275" s="177"/>
      <c r="I3275" s="177"/>
      <c r="J3275" s="177"/>
      <c r="K3275" s="177"/>
      <c r="L3275" s="177"/>
    </row>
    <row r="3276" customHeight="1" spans="1:12">
      <c r="A3276" s="177"/>
      <c r="B3276" s="1090"/>
      <c r="C3276" s="177"/>
      <c r="D3276" s="177"/>
      <c r="E3276" s="177"/>
      <c r="F3276" s="177"/>
      <c r="G3276" s="177"/>
      <c r="H3276" s="177"/>
      <c r="I3276" s="177"/>
      <c r="J3276" s="177"/>
      <c r="K3276" s="177"/>
      <c r="L3276" s="177"/>
    </row>
    <row r="3277" customHeight="1" spans="1:12">
      <c r="A3277" s="177"/>
      <c r="B3277" s="1090"/>
      <c r="C3277" s="177"/>
      <c r="D3277" s="177"/>
      <c r="E3277" s="177"/>
      <c r="F3277" s="177"/>
      <c r="G3277" s="177"/>
      <c r="H3277" s="177"/>
      <c r="I3277" s="177"/>
      <c r="J3277" s="177"/>
      <c r="K3277" s="177"/>
      <c r="L3277" s="177"/>
    </row>
    <row r="3278" customHeight="1" spans="1:12">
      <c r="A3278" s="177"/>
      <c r="B3278" s="1090"/>
      <c r="C3278" s="177"/>
      <c r="D3278" s="177"/>
      <c r="E3278" s="177"/>
      <c r="F3278" s="177"/>
      <c r="G3278" s="177"/>
      <c r="H3278" s="177"/>
      <c r="I3278" s="177"/>
      <c r="J3278" s="177"/>
      <c r="K3278" s="177"/>
      <c r="L3278" s="177"/>
    </row>
    <row r="3279" customHeight="1" spans="1:12">
      <c r="A3279" s="177"/>
      <c r="B3279" s="1090"/>
      <c r="C3279" s="177"/>
      <c r="D3279" s="177"/>
      <c r="E3279" s="177"/>
      <c r="F3279" s="177"/>
      <c r="G3279" s="177"/>
      <c r="H3279" s="177"/>
      <c r="I3279" s="177"/>
      <c r="J3279" s="177"/>
      <c r="K3279" s="177"/>
      <c r="L3279" s="177"/>
    </row>
    <row r="3280" customHeight="1" spans="1:12">
      <c r="A3280" s="177"/>
      <c r="B3280" s="1090"/>
      <c r="C3280" s="177"/>
      <c r="D3280" s="177"/>
      <c r="E3280" s="177"/>
      <c r="F3280" s="177"/>
      <c r="G3280" s="177"/>
      <c r="H3280" s="177"/>
      <c r="I3280" s="177"/>
      <c r="J3280" s="177"/>
      <c r="K3280" s="177"/>
      <c r="L3280" s="177"/>
    </row>
    <row r="3281" customHeight="1" spans="1:12">
      <c r="A3281" s="177"/>
      <c r="B3281" s="1090"/>
      <c r="C3281" s="177"/>
      <c r="D3281" s="177"/>
      <c r="E3281" s="177"/>
      <c r="F3281" s="177"/>
      <c r="G3281" s="177"/>
      <c r="H3281" s="177"/>
      <c r="I3281" s="177"/>
      <c r="J3281" s="177"/>
      <c r="K3281" s="177"/>
      <c r="L3281" s="177"/>
    </row>
    <row r="3282" customHeight="1" spans="1:12">
      <c r="A3282" s="177"/>
      <c r="B3282" s="1090"/>
      <c r="C3282" s="177"/>
      <c r="D3282" s="177"/>
      <c r="E3282" s="177"/>
      <c r="F3282" s="177"/>
      <c r="G3282" s="177"/>
      <c r="H3282" s="177"/>
      <c r="I3282" s="177"/>
      <c r="J3282" s="177"/>
      <c r="K3282" s="177"/>
      <c r="L3282" s="177"/>
    </row>
    <row r="3283" customHeight="1" spans="1:12">
      <c r="A3283" s="177"/>
      <c r="B3283" s="1090"/>
      <c r="C3283" s="177"/>
      <c r="D3283" s="177"/>
      <c r="E3283" s="177"/>
      <c r="F3283" s="177"/>
      <c r="G3283" s="177"/>
      <c r="H3283" s="177"/>
      <c r="I3283" s="177"/>
      <c r="J3283" s="177"/>
      <c r="K3283" s="177"/>
      <c r="L3283" s="177"/>
    </row>
    <row r="3284" customHeight="1" spans="1:12">
      <c r="A3284" s="177"/>
      <c r="B3284" s="1090"/>
      <c r="C3284" s="177"/>
      <c r="D3284" s="177"/>
      <c r="E3284" s="177"/>
      <c r="F3284" s="177"/>
      <c r="G3284" s="177"/>
      <c r="H3284" s="177"/>
      <c r="I3284" s="177"/>
      <c r="J3284" s="177"/>
      <c r="K3284" s="177"/>
      <c r="L3284" s="177"/>
    </row>
    <row r="3285" customHeight="1" spans="1:12">
      <c r="A3285" s="177"/>
      <c r="B3285" s="1090"/>
      <c r="C3285" s="177"/>
      <c r="D3285" s="177"/>
      <c r="E3285" s="177"/>
      <c r="F3285" s="177"/>
      <c r="G3285" s="177"/>
      <c r="H3285" s="177"/>
      <c r="I3285" s="177"/>
      <c r="J3285" s="177"/>
      <c r="K3285" s="177"/>
      <c r="L3285" s="177"/>
    </row>
    <row r="3286" customHeight="1" spans="1:12">
      <c r="A3286" s="177"/>
      <c r="B3286" s="1090"/>
      <c r="C3286" s="177"/>
      <c r="D3286" s="177"/>
      <c r="E3286" s="177"/>
      <c r="F3286" s="177"/>
      <c r="G3286" s="177"/>
      <c r="H3286" s="177"/>
      <c r="I3286" s="177"/>
      <c r="J3286" s="177"/>
      <c r="K3286" s="177"/>
      <c r="L3286" s="177"/>
    </row>
    <row r="3287" customHeight="1" spans="1:12">
      <c r="A3287" s="177"/>
      <c r="B3287" s="1090"/>
      <c r="C3287" s="177"/>
      <c r="D3287" s="177"/>
      <c r="E3287" s="177"/>
      <c r="F3287" s="177"/>
      <c r="G3287" s="177"/>
      <c r="H3287" s="177"/>
      <c r="I3287" s="177"/>
      <c r="J3287" s="177"/>
      <c r="K3287" s="177"/>
      <c r="L3287" s="177"/>
    </row>
    <row r="3288" customHeight="1" spans="1:12">
      <c r="A3288" s="177"/>
      <c r="B3288" s="1090"/>
      <c r="C3288" s="177"/>
      <c r="D3288" s="177"/>
      <c r="E3288" s="177"/>
      <c r="F3288" s="177"/>
      <c r="G3288" s="177"/>
      <c r="H3288" s="177"/>
      <c r="I3288" s="177"/>
      <c r="J3288" s="177"/>
      <c r="K3288" s="177"/>
      <c r="L3288" s="177"/>
    </row>
    <row r="3289" customHeight="1" spans="1:12">
      <c r="A3289" s="177"/>
      <c r="B3289" s="1090"/>
      <c r="C3289" s="177"/>
      <c r="D3289" s="177"/>
      <c r="E3289" s="177"/>
      <c r="F3289" s="177"/>
      <c r="G3289" s="177"/>
      <c r="H3289" s="177"/>
      <c r="I3289" s="177"/>
      <c r="J3289" s="177"/>
      <c r="K3289" s="177"/>
      <c r="L3289" s="177"/>
    </row>
    <row r="3290" customHeight="1" spans="1:12">
      <c r="A3290" s="177"/>
      <c r="B3290" s="1090"/>
      <c r="C3290" s="177"/>
      <c r="D3290" s="177"/>
      <c r="E3290" s="177"/>
      <c r="F3290" s="177"/>
      <c r="G3290" s="177"/>
      <c r="H3290" s="177"/>
      <c r="I3290" s="177"/>
      <c r="J3290" s="177"/>
      <c r="K3290" s="177"/>
      <c r="L3290" s="177"/>
    </row>
    <row r="3291" customHeight="1" spans="1:12">
      <c r="A3291" s="177"/>
      <c r="B3291" s="1090"/>
      <c r="C3291" s="177"/>
      <c r="D3291" s="177"/>
      <c r="E3291" s="177"/>
      <c r="F3291" s="177"/>
      <c r="G3291" s="177"/>
      <c r="H3291" s="177"/>
      <c r="I3291" s="177"/>
      <c r="J3291" s="177"/>
      <c r="K3291" s="177"/>
      <c r="L3291" s="177"/>
    </row>
    <row r="3292" customHeight="1" spans="1:12">
      <c r="A3292" s="177"/>
      <c r="B3292" s="1090"/>
      <c r="C3292" s="177"/>
      <c r="D3292" s="177"/>
      <c r="E3292" s="177"/>
      <c r="F3292" s="177"/>
      <c r="G3292" s="177"/>
      <c r="H3292" s="177"/>
      <c r="I3292" s="177"/>
      <c r="J3292" s="177"/>
      <c r="K3292" s="177"/>
      <c r="L3292" s="177"/>
    </row>
    <row r="3293" customHeight="1" spans="1:12">
      <c r="A3293" s="177"/>
      <c r="B3293" s="1090"/>
      <c r="C3293" s="177"/>
      <c r="D3293" s="177"/>
      <c r="E3293" s="177"/>
      <c r="F3293" s="177"/>
      <c r="G3293" s="177"/>
      <c r="H3293" s="177"/>
      <c r="I3293" s="177"/>
      <c r="J3293" s="177"/>
      <c r="K3293" s="177"/>
      <c r="L3293" s="177"/>
    </row>
    <row r="3294" customHeight="1" spans="1:12">
      <c r="A3294" s="177"/>
      <c r="B3294" s="1090"/>
      <c r="C3294" s="177"/>
      <c r="D3294" s="177"/>
      <c r="E3294" s="177"/>
      <c r="F3294" s="177"/>
      <c r="G3294" s="177"/>
      <c r="H3294" s="177"/>
      <c r="I3294" s="177"/>
      <c r="J3294" s="177"/>
      <c r="K3294" s="177"/>
      <c r="L3294" s="177"/>
    </row>
    <row r="3295" customHeight="1" spans="1:12">
      <c r="A3295" s="177"/>
      <c r="B3295" s="1090"/>
      <c r="C3295" s="177"/>
      <c r="D3295" s="177"/>
      <c r="E3295" s="177"/>
      <c r="F3295" s="177"/>
      <c r="G3295" s="177"/>
      <c r="H3295" s="177"/>
      <c r="I3295" s="177"/>
      <c r="J3295" s="177"/>
      <c r="K3295" s="177"/>
      <c r="L3295" s="177"/>
    </row>
    <row r="3296" customHeight="1" spans="1:12">
      <c r="A3296" s="177"/>
      <c r="B3296" s="1090"/>
      <c r="C3296" s="177"/>
      <c r="D3296" s="177"/>
      <c r="E3296" s="177"/>
      <c r="F3296" s="177"/>
      <c r="G3296" s="177"/>
      <c r="H3296" s="177"/>
      <c r="I3296" s="177"/>
      <c r="J3296" s="177"/>
      <c r="K3296" s="177"/>
      <c r="L3296" s="177"/>
    </row>
    <row r="3297" customHeight="1" spans="1:12">
      <c r="A3297" s="177"/>
      <c r="B3297" s="1090"/>
      <c r="C3297" s="177"/>
      <c r="D3297" s="177"/>
      <c r="E3297" s="177"/>
      <c r="F3297" s="177"/>
      <c r="G3297" s="177"/>
      <c r="H3297" s="177"/>
      <c r="I3297" s="177"/>
      <c r="J3297" s="177"/>
      <c r="K3297" s="177"/>
      <c r="L3297" s="177"/>
    </row>
    <row r="3298" customHeight="1" spans="1:12">
      <c r="A3298" s="177"/>
      <c r="B3298" s="1090"/>
      <c r="C3298" s="177"/>
      <c r="D3298" s="177"/>
      <c r="E3298" s="177"/>
      <c r="F3298" s="177"/>
      <c r="G3298" s="177"/>
      <c r="H3298" s="177"/>
      <c r="I3298" s="177"/>
      <c r="J3298" s="177"/>
      <c r="K3298" s="177"/>
      <c r="L3298" s="177"/>
    </row>
    <row r="3299" customHeight="1" spans="1:12">
      <c r="A3299" s="177"/>
      <c r="B3299" s="1090"/>
      <c r="C3299" s="177"/>
      <c r="D3299" s="177"/>
      <c r="E3299" s="177"/>
      <c r="F3299" s="177"/>
      <c r="G3299" s="177"/>
      <c r="H3299" s="177"/>
      <c r="I3299" s="177"/>
      <c r="J3299" s="177"/>
      <c r="K3299" s="177"/>
      <c r="L3299" s="177"/>
    </row>
    <row r="3300" customHeight="1" spans="1:12">
      <c r="A3300" s="177"/>
      <c r="B3300" s="1090"/>
      <c r="C3300" s="177"/>
      <c r="D3300" s="177"/>
      <c r="E3300" s="177"/>
      <c r="F3300" s="177"/>
      <c r="G3300" s="177"/>
      <c r="H3300" s="177"/>
      <c r="I3300" s="177"/>
      <c r="J3300" s="177"/>
      <c r="K3300" s="177"/>
      <c r="L3300" s="177"/>
    </row>
    <row r="3301" customHeight="1" spans="1:12">
      <c r="A3301" s="177"/>
      <c r="B3301" s="1090"/>
      <c r="C3301" s="177"/>
      <c r="D3301" s="177"/>
      <c r="E3301" s="177"/>
      <c r="F3301" s="177"/>
      <c r="G3301" s="177"/>
      <c r="H3301" s="177"/>
      <c r="I3301" s="177"/>
      <c r="J3301" s="177"/>
      <c r="K3301" s="177"/>
      <c r="L3301" s="177"/>
    </row>
    <row r="3302" customHeight="1" spans="1:12">
      <c r="A3302" s="177"/>
      <c r="B3302" s="1090"/>
      <c r="C3302" s="177"/>
      <c r="D3302" s="177"/>
      <c r="E3302" s="177"/>
      <c r="F3302" s="177"/>
      <c r="G3302" s="177"/>
      <c r="H3302" s="177"/>
      <c r="I3302" s="177"/>
      <c r="J3302" s="177"/>
      <c r="K3302" s="177"/>
      <c r="L3302" s="177"/>
    </row>
    <row r="3303" customHeight="1" spans="1:12">
      <c r="A3303" s="177"/>
      <c r="B3303" s="1090"/>
      <c r="C3303" s="177"/>
      <c r="D3303" s="177"/>
      <c r="E3303" s="177"/>
      <c r="F3303" s="177"/>
      <c r="G3303" s="177"/>
      <c r="H3303" s="177"/>
      <c r="I3303" s="177"/>
      <c r="J3303" s="177"/>
      <c r="K3303" s="177"/>
      <c r="L3303" s="177"/>
    </row>
    <row r="3304" customHeight="1" spans="1:12">
      <c r="A3304" s="177"/>
      <c r="B3304" s="1090"/>
      <c r="C3304" s="177"/>
      <c r="D3304" s="177"/>
      <c r="E3304" s="177"/>
      <c r="F3304" s="177"/>
      <c r="G3304" s="177"/>
      <c r="H3304" s="177"/>
      <c r="I3304" s="177"/>
      <c r="J3304" s="177"/>
      <c r="K3304" s="177"/>
      <c r="L3304" s="177"/>
    </row>
    <row r="3305" customHeight="1" spans="1:12">
      <c r="A3305" s="177"/>
      <c r="B3305" s="1090"/>
      <c r="C3305" s="177"/>
      <c r="D3305" s="177"/>
      <c r="E3305" s="177"/>
      <c r="F3305" s="177"/>
      <c r="G3305" s="177"/>
      <c r="H3305" s="177"/>
      <c r="I3305" s="177"/>
      <c r="J3305" s="177"/>
      <c r="K3305" s="177"/>
      <c r="L3305" s="177"/>
    </row>
    <row r="3306" customHeight="1" spans="1:12">
      <c r="A3306" s="177"/>
      <c r="B3306" s="1090"/>
      <c r="C3306" s="177"/>
      <c r="D3306" s="177"/>
      <c r="E3306" s="177"/>
      <c r="F3306" s="177"/>
      <c r="G3306" s="177"/>
      <c r="H3306" s="177"/>
      <c r="I3306" s="177"/>
      <c r="J3306" s="177"/>
      <c r="K3306" s="177"/>
      <c r="L3306" s="177"/>
    </row>
    <row r="3307" customHeight="1" spans="1:12">
      <c r="A3307" s="177"/>
      <c r="B3307" s="1090"/>
      <c r="C3307" s="177"/>
      <c r="D3307" s="177"/>
      <c r="E3307" s="177"/>
      <c r="F3307" s="177"/>
      <c r="G3307" s="177"/>
      <c r="H3307" s="177"/>
      <c r="I3307" s="177"/>
      <c r="J3307" s="177"/>
      <c r="K3307" s="177"/>
      <c r="L3307" s="177"/>
    </row>
    <row r="3308" customHeight="1" spans="1:12">
      <c r="A3308" s="177"/>
      <c r="B3308" s="1090"/>
      <c r="C3308" s="177"/>
      <c r="D3308" s="177"/>
      <c r="E3308" s="177"/>
      <c r="F3308" s="177"/>
      <c r="G3308" s="177"/>
      <c r="H3308" s="177"/>
      <c r="I3308" s="177"/>
      <c r="J3308" s="177"/>
      <c r="K3308" s="177"/>
      <c r="L3308" s="177"/>
    </row>
    <row r="3309" customHeight="1" spans="1:12">
      <c r="A3309" s="177"/>
      <c r="B3309" s="1090"/>
      <c r="C3309" s="177"/>
      <c r="D3309" s="177"/>
      <c r="E3309" s="177"/>
      <c r="F3309" s="177"/>
      <c r="G3309" s="177"/>
      <c r="H3309" s="177"/>
      <c r="I3309" s="177"/>
      <c r="J3309" s="177"/>
      <c r="K3309" s="177"/>
      <c r="L3309" s="177"/>
    </row>
    <row r="3310" customHeight="1" spans="1:12">
      <c r="A3310" s="177"/>
      <c r="B3310" s="1090"/>
      <c r="C3310" s="177"/>
      <c r="D3310" s="177"/>
      <c r="E3310" s="177"/>
      <c r="F3310" s="177"/>
      <c r="G3310" s="177"/>
      <c r="H3310" s="177"/>
      <c r="I3310" s="177"/>
      <c r="J3310" s="177"/>
      <c r="K3310" s="177"/>
      <c r="L3310" s="177"/>
    </row>
    <row r="3311" customHeight="1" spans="1:12">
      <c r="A3311" s="177"/>
      <c r="B3311" s="1090"/>
      <c r="C3311" s="177"/>
      <c r="D3311" s="177"/>
      <c r="E3311" s="177"/>
      <c r="F3311" s="177"/>
      <c r="G3311" s="177"/>
      <c r="H3311" s="177"/>
      <c r="I3311" s="177"/>
      <c r="J3311" s="177"/>
      <c r="K3311" s="177"/>
      <c r="L3311" s="177"/>
    </row>
    <row r="3312" customHeight="1" spans="1:12">
      <c r="A3312" s="177"/>
      <c r="B3312" s="1090"/>
      <c r="C3312" s="177"/>
      <c r="D3312" s="177"/>
      <c r="E3312" s="177"/>
      <c r="F3312" s="177"/>
      <c r="G3312" s="177"/>
      <c r="H3312" s="177"/>
      <c r="I3312" s="177"/>
      <c r="J3312" s="177"/>
      <c r="K3312" s="177"/>
      <c r="L3312" s="177"/>
    </row>
    <row r="3313" customHeight="1" spans="1:12">
      <c r="A3313" s="177"/>
      <c r="B3313" s="1090"/>
      <c r="C3313" s="177"/>
      <c r="D3313" s="177"/>
      <c r="E3313" s="177"/>
      <c r="F3313" s="177"/>
      <c r="G3313" s="177"/>
      <c r="H3313" s="177"/>
      <c r="I3313" s="177"/>
      <c r="J3313" s="177"/>
      <c r="K3313" s="177"/>
      <c r="L3313" s="177"/>
    </row>
    <row r="3314" customHeight="1" spans="1:12">
      <c r="A3314" s="177"/>
      <c r="B3314" s="1090"/>
      <c r="C3314" s="177"/>
      <c r="D3314" s="177"/>
      <c r="E3314" s="177"/>
      <c r="F3314" s="177"/>
      <c r="G3314" s="177"/>
      <c r="H3314" s="177"/>
      <c r="I3314" s="177"/>
      <c r="J3314" s="177"/>
      <c r="K3314" s="177"/>
      <c r="L3314" s="177"/>
    </row>
    <row r="3315" customHeight="1" spans="1:12">
      <c r="A3315" s="177"/>
      <c r="B3315" s="1090"/>
      <c r="C3315" s="177"/>
      <c r="D3315" s="177"/>
      <c r="E3315" s="177"/>
      <c r="F3315" s="177"/>
      <c r="G3315" s="177"/>
      <c r="H3315" s="177"/>
      <c r="I3315" s="177"/>
      <c r="J3315" s="177"/>
      <c r="K3315" s="177"/>
      <c r="L3315" s="177"/>
    </row>
    <row r="3316" customHeight="1" spans="1:12">
      <c r="A3316" s="177"/>
      <c r="B3316" s="1090"/>
      <c r="C3316" s="177"/>
      <c r="D3316" s="177"/>
      <c r="E3316" s="177"/>
      <c r="F3316" s="177"/>
      <c r="G3316" s="177"/>
      <c r="H3316" s="177"/>
      <c r="I3316" s="177"/>
      <c r="J3316" s="177"/>
      <c r="K3316" s="177"/>
      <c r="L3316" s="177"/>
    </row>
    <row r="3317" customHeight="1" spans="1:12">
      <c r="A3317" s="177"/>
      <c r="B3317" s="1090"/>
      <c r="C3317" s="177"/>
      <c r="D3317" s="177"/>
      <c r="E3317" s="177"/>
      <c r="F3317" s="177"/>
      <c r="G3317" s="177"/>
      <c r="H3317" s="177"/>
      <c r="I3317" s="177"/>
      <c r="J3317" s="177"/>
      <c r="K3317" s="177"/>
      <c r="L3317" s="177"/>
    </row>
    <row r="3318" customHeight="1" spans="1:12">
      <c r="A3318" s="177"/>
      <c r="B3318" s="1090"/>
      <c r="C3318" s="177"/>
      <c r="D3318" s="177"/>
      <c r="E3318" s="177"/>
      <c r="F3318" s="177"/>
      <c r="G3318" s="177"/>
      <c r="H3318" s="177"/>
      <c r="I3318" s="177"/>
      <c r="J3318" s="177"/>
      <c r="K3318" s="177"/>
      <c r="L3318" s="177"/>
    </row>
    <row r="3319" customHeight="1" spans="1:12">
      <c r="A3319" s="177"/>
      <c r="B3319" s="1090"/>
      <c r="C3319" s="177"/>
      <c r="D3319" s="177"/>
      <c r="E3319" s="177"/>
      <c r="F3319" s="177"/>
      <c r="G3319" s="177"/>
      <c r="H3319" s="177"/>
      <c r="I3319" s="177"/>
      <c r="J3319" s="177"/>
      <c r="K3319" s="177"/>
      <c r="L3319" s="177"/>
    </row>
    <row r="3320" customHeight="1" spans="1:12">
      <c r="A3320" s="177"/>
      <c r="B3320" s="1090"/>
      <c r="C3320" s="177"/>
      <c r="D3320" s="177"/>
      <c r="E3320" s="177"/>
      <c r="F3320" s="177"/>
      <c r="G3320" s="177"/>
      <c r="H3320" s="177"/>
      <c r="I3320" s="177"/>
      <c r="J3320" s="177"/>
      <c r="K3320" s="177"/>
      <c r="L3320" s="177"/>
    </row>
    <row r="3321" customHeight="1" spans="1:12">
      <c r="A3321" s="177"/>
      <c r="B3321" s="1090"/>
      <c r="C3321" s="177"/>
      <c r="D3321" s="177"/>
      <c r="E3321" s="177"/>
      <c r="F3321" s="177"/>
      <c r="G3321" s="177"/>
      <c r="H3321" s="177"/>
      <c r="I3321" s="177"/>
      <c r="J3321" s="177"/>
      <c r="K3321" s="177"/>
      <c r="L3321" s="177"/>
    </row>
    <row r="3322" customHeight="1" spans="1:12">
      <c r="A3322" s="177"/>
      <c r="B3322" s="1090"/>
      <c r="C3322" s="177"/>
      <c r="D3322" s="177"/>
      <c r="E3322" s="177"/>
      <c r="F3322" s="177"/>
      <c r="G3322" s="177"/>
      <c r="H3322" s="177"/>
      <c r="I3322" s="177"/>
      <c r="J3322" s="177"/>
      <c r="K3322" s="177"/>
      <c r="L3322" s="177"/>
    </row>
  </sheetData>
  <conditionalFormatting sqref="E599">
    <cfRule type="notContainsBlanks" dxfId="0" priority="1">
      <formula>LEN(TRIM(E599))&gt;0</formula>
    </cfRule>
  </conditionalFormatting>
  <conditionalFormatting sqref="E1 H22:H23 H306 E1062:E3322">
    <cfRule type="expression" dxfId="1" priority="2">
      <formula>$J1="Hư hỏng"</formula>
    </cfRule>
  </conditionalFormatting>
  <hyperlinks>
    <hyperlink ref="A1" r:id="rId1" display="https://docs.google.com/spreadsheets/d/1i-eBGlD9GCKjjW_oVzhKXTG7rkg5adA55PmkVD7FH2A/edit?usp=sharing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AEDFB"/>
    <outlinePr summaryBelow="0"/>
  </sheetPr>
  <dimension ref="A1:AH1028"/>
  <sheetViews>
    <sheetView workbookViewId="0">
      <pane xSplit="4" ySplit="4" topLeftCell="E5" activePane="bottomRight" state="frozen"/>
      <selection/>
      <selection pane="topRight"/>
      <selection pane="bottomLeft"/>
      <selection pane="bottomRight" activeCell="E5" sqref="E5"/>
    </sheetView>
  </sheetViews>
  <sheetFormatPr defaultColWidth="12.6333333333333" defaultRowHeight="15" customHeight="1"/>
  <cols>
    <col min="1" max="1" width="5.13333333333333" customWidth="1"/>
    <col min="2" max="2" width="40.6333333333333" customWidth="1"/>
    <col min="3" max="3" width="9.25" customWidth="1"/>
    <col min="4" max="4" width="7.13333333333333" customWidth="1"/>
    <col min="5" max="5" width="5.88333333333333" customWidth="1"/>
    <col min="6" max="6" width="7.75" customWidth="1"/>
    <col min="7" max="7" width="6.88333333333333" customWidth="1"/>
    <col min="8" max="10" width="7.75" customWidth="1"/>
    <col min="11" max="11" width="5.63333333333333" customWidth="1"/>
    <col min="12" max="12" width="7.25" customWidth="1"/>
    <col min="13" max="14" width="7.63333333333333" customWidth="1"/>
    <col min="15" max="15" width="6.13333333333333" customWidth="1"/>
    <col min="16" max="16" width="6.88333333333333" customWidth="1"/>
    <col min="17" max="18" width="7.75" customWidth="1"/>
    <col min="19" max="19" width="6.88333333333333" customWidth="1"/>
    <col min="20" max="20" width="6.13333333333333" customWidth="1"/>
    <col min="21" max="21" width="7.75" customWidth="1"/>
    <col min="22" max="22" width="10.25" customWidth="1"/>
    <col min="23" max="23" width="6.88333333333333" customWidth="1"/>
    <col min="24" max="24" width="8.13333333333333" customWidth="1"/>
    <col min="25" max="25" width="7.25" customWidth="1"/>
    <col min="26" max="26" width="9.38333333333333" customWidth="1"/>
    <col min="27" max="27" width="9.75" customWidth="1"/>
    <col min="28" max="28" width="9.13333333333333" customWidth="1"/>
    <col min="29" max="29" width="7.88333333333333" customWidth="1"/>
    <col min="30" max="30" width="8.13333333333333" customWidth="1"/>
    <col min="31" max="32" width="12.75" customWidth="1"/>
    <col min="33" max="33" width="12.75" hidden="1" customWidth="1"/>
    <col min="34" max="34" width="8.88333333333333" hidden="1" customWidth="1"/>
  </cols>
  <sheetData>
    <row r="1" ht="14.25" customHeight="1" spans="1:34">
      <c r="B1" s="1018"/>
      <c r="C1" s="1019"/>
      <c r="D1" s="1019"/>
      <c r="E1" s="1019"/>
      <c r="F1" s="1020"/>
      <c r="G1" s="1020"/>
      <c r="H1" s="1020"/>
      <c r="I1" s="1020"/>
      <c r="J1" s="1020"/>
      <c r="K1" s="1020"/>
      <c r="L1" s="1020"/>
      <c r="M1" s="1020"/>
      <c r="N1" s="1020"/>
      <c r="O1" s="1020"/>
      <c r="P1" s="1020"/>
      <c r="Q1" s="1020"/>
      <c r="R1" s="1020"/>
      <c r="S1" s="1020"/>
      <c r="T1" s="1020"/>
      <c r="U1" s="1020"/>
      <c r="V1" s="1020"/>
      <c r="W1" s="1020"/>
      <c r="X1" s="1020"/>
      <c r="Y1" s="1020"/>
      <c r="Z1" s="1020"/>
      <c r="AA1" s="1020"/>
      <c r="AB1" s="1020"/>
      <c r="AC1" s="1020"/>
      <c r="AD1" s="1020"/>
      <c r="AE1" s="1020"/>
      <c r="AF1" s="1020"/>
      <c r="AG1" s="467"/>
      <c r="AH1" s="467"/>
    </row>
    <row r="2" ht="41.25" customHeight="1" spans="1:34">
      <c r="A2" s="1021" t="s">
        <v>1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2"/>
      <c r="AF2" s="1022"/>
      <c r="AG2" s="1022"/>
      <c r="AH2" s="1023"/>
    </row>
    <row r="3" ht="29.25" customHeight="1" spans="1:34">
      <c r="A3" s="1024" t="s">
        <v>2</v>
      </c>
      <c r="B3" s="1025" t="s">
        <v>3</v>
      </c>
      <c r="C3" s="1025" t="s">
        <v>4</v>
      </c>
      <c r="D3" s="1025" t="s">
        <v>5</v>
      </c>
      <c r="E3" s="1025" t="s">
        <v>6</v>
      </c>
      <c r="F3" s="1026" t="s">
        <v>7</v>
      </c>
      <c r="G3" s="271"/>
      <c r="H3" s="271"/>
      <c r="I3" s="271"/>
      <c r="J3" s="271"/>
      <c r="K3" s="271"/>
      <c r="L3" s="271"/>
      <c r="M3" s="271"/>
      <c r="N3" s="272"/>
      <c r="O3" s="1027" t="s">
        <v>8</v>
      </c>
      <c r="P3" s="271"/>
      <c r="Q3" s="271"/>
      <c r="R3" s="272"/>
      <c r="S3" s="1028" t="s">
        <v>9</v>
      </c>
      <c r="T3" s="271"/>
      <c r="U3" s="271"/>
      <c r="V3" s="272"/>
      <c r="W3" s="1029" t="s">
        <v>10</v>
      </c>
      <c r="X3" s="271"/>
      <c r="Y3" s="271"/>
      <c r="Z3" s="271"/>
      <c r="AA3" s="271"/>
      <c r="AB3" s="271"/>
      <c r="AC3" s="271"/>
      <c r="AD3" s="272"/>
      <c r="AE3" s="1030" t="s">
        <v>11</v>
      </c>
      <c r="AF3" s="1030" t="s">
        <v>12</v>
      </c>
      <c r="AG3" s="1031"/>
      <c r="AH3" s="1025" t="s">
        <v>13</v>
      </c>
    </row>
    <row r="4" ht="14.25" customHeight="1" spans="1:34">
      <c r="A4" s="278"/>
      <c r="B4" s="278"/>
      <c r="C4" s="278"/>
      <c r="D4" s="278"/>
      <c r="E4" s="278"/>
      <c r="F4" s="1032" t="s">
        <v>14</v>
      </c>
      <c r="G4" s="1032" t="s">
        <v>15</v>
      </c>
      <c r="H4" s="1032" t="s">
        <v>16</v>
      </c>
      <c r="I4" s="1032" t="s">
        <v>17</v>
      </c>
      <c r="J4" s="1032" t="s">
        <v>18</v>
      </c>
      <c r="K4" s="1032" t="s">
        <v>19</v>
      </c>
      <c r="L4" s="1032" t="s">
        <v>20</v>
      </c>
      <c r="M4" s="1032" t="s">
        <v>21</v>
      </c>
      <c r="N4" s="1032" t="s">
        <v>22</v>
      </c>
      <c r="O4" s="1032" t="s">
        <v>23</v>
      </c>
      <c r="P4" s="1032" t="s">
        <v>24</v>
      </c>
      <c r="Q4" s="1032" t="s">
        <v>25</v>
      </c>
      <c r="R4" s="1032" t="s">
        <v>26</v>
      </c>
      <c r="S4" s="1032" t="s">
        <v>27</v>
      </c>
      <c r="T4" s="1032" t="s">
        <v>28</v>
      </c>
      <c r="U4" s="1032" t="s">
        <v>29</v>
      </c>
      <c r="V4" s="1032" t="s">
        <v>30</v>
      </c>
      <c r="W4" s="1032" t="s">
        <v>31</v>
      </c>
      <c r="X4" s="1032" t="s">
        <v>32</v>
      </c>
      <c r="Y4" s="1032" t="s">
        <v>33</v>
      </c>
      <c r="Z4" s="1032" t="s">
        <v>34</v>
      </c>
      <c r="AA4" s="1032" t="s">
        <v>35</v>
      </c>
      <c r="AB4" s="1032" t="s">
        <v>36</v>
      </c>
      <c r="AC4" s="1032" t="s">
        <v>37</v>
      </c>
      <c r="AD4" s="1032" t="s">
        <v>38</v>
      </c>
      <c r="AE4" s="278"/>
      <c r="AF4" s="278"/>
      <c r="AG4" s="1031"/>
      <c r="AH4" s="278"/>
    </row>
    <row r="5" ht="24" customHeight="1" collapsed="1" spans="1:34">
      <c r="A5" s="1033">
        <v>1</v>
      </c>
      <c r="B5" s="1034" t="s">
        <v>39</v>
      </c>
      <c r="C5" s="1035"/>
      <c r="D5" s="1035" t="str">
        <f>IFERROR(VLOOKUP(B5,'Danh mục'!$G:$U,15,0),"")</f>
        <v/>
      </c>
      <c r="E5" s="1035"/>
      <c r="F5" s="1036">
        <f t="shared" ref="F5:AE5" si="0">SUM(F6:F16)</f>
        <v>17</v>
      </c>
      <c r="G5" s="1036">
        <f t="shared" si="0"/>
        <v>0</v>
      </c>
      <c r="H5" s="1036">
        <f t="shared" si="0"/>
        <v>0</v>
      </c>
      <c r="I5" s="1036">
        <f t="shared" si="0"/>
        <v>0</v>
      </c>
      <c r="J5" s="1036">
        <f t="shared" si="0"/>
        <v>0</v>
      </c>
      <c r="K5" s="1036">
        <f t="shared" si="0"/>
        <v>0</v>
      </c>
      <c r="L5" s="1036">
        <f t="shared" si="0"/>
        <v>0</v>
      </c>
      <c r="M5" s="1036">
        <f t="shared" si="0"/>
        <v>0</v>
      </c>
      <c r="N5" s="1036">
        <f t="shared" si="0"/>
        <v>0</v>
      </c>
      <c r="O5" s="1036">
        <f t="shared" si="0"/>
        <v>7</v>
      </c>
      <c r="P5" s="1036">
        <f t="shared" si="0"/>
        <v>0</v>
      </c>
      <c r="Q5" s="1036">
        <f t="shared" si="0"/>
        <v>0</v>
      </c>
      <c r="R5" s="1036">
        <f t="shared" si="0"/>
        <v>0</v>
      </c>
      <c r="S5" s="1036">
        <f t="shared" si="0"/>
        <v>13</v>
      </c>
      <c r="T5" s="1036">
        <f t="shared" si="0"/>
        <v>0</v>
      </c>
      <c r="U5" s="1036">
        <f t="shared" si="0"/>
        <v>0</v>
      </c>
      <c r="V5" s="1036">
        <f t="shared" si="0"/>
        <v>0</v>
      </c>
      <c r="W5" s="1036">
        <f t="shared" si="0"/>
        <v>0</v>
      </c>
      <c r="X5" s="1036">
        <f t="shared" si="0"/>
        <v>0</v>
      </c>
      <c r="Y5" s="1036">
        <f t="shared" si="0"/>
        <v>0</v>
      </c>
      <c r="Z5" s="1036">
        <f t="shared" si="0"/>
        <v>0</v>
      </c>
      <c r="AA5" s="1036">
        <f t="shared" si="0"/>
        <v>0</v>
      </c>
      <c r="AB5" s="1036">
        <f t="shared" si="0"/>
        <v>0</v>
      </c>
      <c r="AC5" s="1036">
        <f t="shared" si="0"/>
        <v>0</v>
      </c>
      <c r="AD5" s="1036">
        <f t="shared" si="0"/>
        <v>0</v>
      </c>
      <c r="AE5" s="1037">
        <f t="shared" si="0"/>
        <v>37</v>
      </c>
      <c r="AF5" s="1037">
        <v>8</v>
      </c>
      <c r="AG5" s="1036">
        <f>AE5+AE17+AE25+AE28+AE33+AE48+AE57+AE67+AE77+AE85+AE90+AE128+AE134+AE140+AE147+AE159+AE162+AE164+AE166+AE168+AE170+AE180+AE183+AE202+AE205+AE230+AE254+AE256</f>
        <v>403</v>
      </c>
      <c r="AH5" s="1038"/>
    </row>
    <row r="6" ht="18.75" hidden="1" customHeight="1" outlineLevel="1" spans="1:34">
      <c r="A6" s="1039"/>
      <c r="B6" s="1040" t="s">
        <v>40</v>
      </c>
      <c r="C6" s="1041" t="s">
        <v>41</v>
      </c>
      <c r="D6" s="1041" t="str">
        <f>IFERROR(VLOOKUP(B6,'Danh mục'!$G:$U,15,0),"")</f>
        <v>5340 x 1980 x 1895</v>
      </c>
      <c r="E6" s="1041" t="s">
        <v>42</v>
      </c>
      <c r="F6" s="1042">
        <f>COUNTIFS('TỔNG KLH + TN'!$B:$B,'01. TH'!$B6,'TỔNG KLH + TN'!$C:$C,'01. TH'!F$4)</f>
        <v>0</v>
      </c>
      <c r="G6" s="1042">
        <f>COUNTIFS('TỔNG KLH + TN'!$B:$B,'01. TH'!$B6,'TỔNG KLH + TN'!$C:$C,'01. TH'!G$4)</f>
        <v>0</v>
      </c>
      <c r="H6" s="1042">
        <f>COUNTIFS('TỔNG KLH + TN'!$B:$B,'01. TH'!$B6,'TỔNG KLH + TN'!$C:$C,'01. TH'!H$4)</f>
        <v>0</v>
      </c>
      <c r="I6" s="1042">
        <f>COUNTIFS('TỔNG KLH + TN'!$B:$B,'01. TH'!$B6,'TỔNG KLH + TN'!$C:$C,'01. TH'!I$4)</f>
        <v>0</v>
      </c>
      <c r="J6" s="1042">
        <f>COUNTIFS('TỔNG KLH + TN'!$B:$B,'01. TH'!$B6,'TỔNG KLH + TN'!$C:$C,'01. TH'!J$4)</f>
        <v>0</v>
      </c>
      <c r="K6" s="1042">
        <f>COUNTIFS('TỔNG KLH + TN'!$B:$B,'01. TH'!$B6,'TỔNG KLH + TN'!$C:$C,'01. TH'!K$4)</f>
        <v>0</v>
      </c>
      <c r="L6" s="1042">
        <f>COUNTIFS('TỔNG KLH + TN'!$B:$B,'01. TH'!$B6,'TỔNG KLH + TN'!$C:$C,'01. TH'!L$4)</f>
        <v>0</v>
      </c>
      <c r="M6" s="1042">
        <f>COUNTIFS('TỔNG KLH + TN'!$B:$B,'01. TH'!$B6,'TỔNG KLH + TN'!$C:$C,'01. TH'!M$4)</f>
        <v>0</v>
      </c>
      <c r="N6" s="1042">
        <f>COUNTIFS('TỔNG KLH + TN'!$B:$B,'01. TH'!$B6,'TỔNG KLH + TN'!$C:$C,'01. TH'!N$4)</f>
        <v>0</v>
      </c>
      <c r="O6" s="1042">
        <f>COUNTIFS('TỔNG KLH + TN'!$B:$B,'01. TH'!$B6,'TỔNG KLH + TN'!$C:$C,'01. TH'!O$4)</f>
        <v>0</v>
      </c>
      <c r="P6" s="1042">
        <f>COUNTIFS('TỔNG KLH + TN'!$B:$B,'01. TH'!$B6,'TỔNG KLH + TN'!$C:$C,'01. TH'!P$4)</f>
        <v>0</v>
      </c>
      <c r="Q6" s="1042">
        <f>COUNTIFS('TỔNG KLH + TN'!$B:$B,'01. TH'!$B6,'TỔNG KLH + TN'!$C:$C,'01. TH'!Q$4)</f>
        <v>0</v>
      </c>
      <c r="R6" s="1042">
        <f>COUNTIFS('TỔNG KLH + TN'!$B:$B,'01. TH'!$B6,'TỔNG KLH + TN'!$C:$C,'01. TH'!R$4)</f>
        <v>0</v>
      </c>
      <c r="S6" s="1042">
        <f>COUNTIFS('TỔNG KLH + TN'!$B:$B,'01. TH'!$B6,'TỔNG KLH + TN'!$C:$C,'01. TH'!S$4)</f>
        <v>1</v>
      </c>
      <c r="T6" s="1042">
        <f>COUNTIFS('TỔNG KLH + TN'!$B:$B,'01. TH'!$B6,'TỔNG KLH + TN'!$C:$C,'01. TH'!T$4)</f>
        <v>0</v>
      </c>
      <c r="U6" s="1042">
        <f>COUNTIFS('TỔNG KLH + TN'!$B:$B,'01. TH'!$B6,'TỔNG KLH + TN'!$C:$C,'01. TH'!U$4)</f>
        <v>0</v>
      </c>
      <c r="V6" s="1042">
        <f>COUNTIFS('TỔNG KLH + TN'!$B:$B,'01. TH'!$B6,'TỔNG KLH + TN'!$C:$C,'01. TH'!V$4)</f>
        <v>0</v>
      </c>
      <c r="W6" s="1042">
        <f>COUNTIFS('TỔNG KLH + TN'!$B:$B,'01. TH'!$B6,'TỔNG KLH + TN'!$C:$C,'01. TH'!W$4)</f>
        <v>0</v>
      </c>
      <c r="X6" s="1042">
        <f>COUNTIFS('TỔNG KLH + TN'!$B:$B,'01. TH'!$B6,'TỔNG KLH + TN'!$C:$C,'01. TH'!X$4)</f>
        <v>0</v>
      </c>
      <c r="Y6" s="1042">
        <f>COUNTIFS('TỔNG KLH + TN'!$B:$B,'01. TH'!$B6,'TỔNG KLH + TN'!$C:$C,'01. TH'!Y$4)</f>
        <v>0</v>
      </c>
      <c r="Z6" s="1042">
        <f>COUNTIFS('TỔNG KLH + TN'!$B:$B,'01. TH'!$B6,'TỔNG KLH + TN'!$C:$C,'01. TH'!Z$4)</f>
        <v>0</v>
      </c>
      <c r="AA6" s="1042">
        <f>COUNTIFS('TỔNG KLH + TN'!$B:$B,'01. TH'!$B6,'TỔNG KLH + TN'!$C:$C,'01. TH'!AA$4)</f>
        <v>0</v>
      </c>
      <c r="AB6" s="1042">
        <f>COUNTIFS('TỔNG KLH + TN'!$B:$B,'01. TH'!$B6,'TỔNG KLH + TN'!$C:$C,'01. TH'!AB$4)</f>
        <v>0</v>
      </c>
      <c r="AC6" s="1042">
        <f>COUNTIFS('TỔNG KLH + TN'!$B:$B,'01. TH'!$B6,'TỔNG KLH + TN'!$C:$C,'01. TH'!AC$4)</f>
        <v>0</v>
      </c>
      <c r="AD6" s="1042">
        <f>COUNTIFS('TỔNG KLH + TN'!$B:$B,'01. TH'!$B6,'TỔNG KLH + TN'!$C:$C,'01. TH'!AD$4)</f>
        <v>0</v>
      </c>
      <c r="AE6" s="1043">
        <f t="shared" ref="AE6:AE16" si="1">SUM(F6:AD6)</f>
        <v>1</v>
      </c>
      <c r="AF6" s="1043"/>
      <c r="AG6" s="1033" t="str">
        <f t="shared" ref="AG6:AG96" si="2">IF(AE6=SUM(F6:AD6),"ok","SAI")</f>
        <v>ok</v>
      </c>
      <c r="AH6" s="1041"/>
    </row>
    <row r="7" ht="18.75" hidden="1" customHeight="1" outlineLevel="1" spans="1:34">
      <c r="A7" s="1039"/>
      <c r="B7" s="1040" t="s">
        <v>43</v>
      </c>
      <c r="C7" s="1041" t="s">
        <v>44</v>
      </c>
      <c r="D7" s="1041" t="str">
        <f>IFERROR(VLOOKUP(B7,'Danh mục'!$G:$U,15,0),"")</f>
        <v>7235 x 2496 x 3351</v>
      </c>
      <c r="E7" s="1041" t="s">
        <v>42</v>
      </c>
      <c r="F7" s="1042">
        <f>COUNTIFS('TỔNG KLH + TN'!$B:$B,'01. TH'!$B7,'TỔNG KLH + TN'!$C:$C,'01. TH'!F$4)</f>
        <v>2</v>
      </c>
      <c r="G7" s="1042">
        <f>COUNTIFS('TỔNG KLH + TN'!$B:$B,'01. TH'!$B7,'TỔNG KLH + TN'!$C:$C,'01. TH'!G$4)</f>
        <v>0</v>
      </c>
      <c r="H7" s="1042">
        <f>COUNTIFS('TỔNG KLH + TN'!$B:$B,'01. TH'!$B7,'TỔNG KLH + TN'!$C:$C,'01. TH'!H$4)</f>
        <v>0</v>
      </c>
      <c r="I7" s="1042">
        <f>COUNTIFS('TỔNG KLH + TN'!$B:$B,'01. TH'!$B7,'TỔNG KLH + TN'!$C:$C,'01. TH'!I$4)</f>
        <v>0</v>
      </c>
      <c r="J7" s="1042">
        <f>COUNTIFS('TỔNG KLH + TN'!$B:$B,'01. TH'!$B7,'TỔNG KLH + TN'!$C:$C,'01. TH'!J$4)</f>
        <v>0</v>
      </c>
      <c r="K7" s="1042">
        <f>COUNTIFS('TỔNG KLH + TN'!$B:$B,'01. TH'!$B7,'TỔNG KLH + TN'!$C:$C,'01. TH'!K$4)</f>
        <v>0</v>
      </c>
      <c r="L7" s="1042">
        <f>COUNTIFS('TỔNG KLH + TN'!$B:$B,'01. TH'!$B7,'TỔNG KLH + TN'!$C:$C,'01. TH'!L$4)</f>
        <v>0</v>
      </c>
      <c r="M7" s="1042">
        <f>COUNTIFS('TỔNG KLH + TN'!$B:$B,'01. TH'!$B7,'TỔNG KLH + TN'!$C:$C,'01. TH'!M$4)</f>
        <v>0</v>
      </c>
      <c r="N7" s="1042">
        <f>COUNTIFS('TỔNG KLH + TN'!$B:$B,'01. TH'!$B7,'TỔNG KLH + TN'!$C:$C,'01. TH'!N$4)</f>
        <v>0</v>
      </c>
      <c r="O7" s="1042">
        <f>COUNTIFS('TỔNG KLH + TN'!$B:$B,'01. TH'!$B7,'TỔNG KLH + TN'!$C:$C,'01. TH'!O$4)</f>
        <v>2</v>
      </c>
      <c r="P7" s="1042">
        <f>COUNTIFS('TỔNG KLH + TN'!$B:$B,'01. TH'!$B7,'TỔNG KLH + TN'!$C:$C,'01. TH'!P$4)</f>
        <v>0</v>
      </c>
      <c r="Q7" s="1042">
        <f>COUNTIFS('TỔNG KLH + TN'!$B:$B,'01. TH'!$B7,'TỔNG KLH + TN'!$C:$C,'01. TH'!Q$4)</f>
        <v>0</v>
      </c>
      <c r="R7" s="1042">
        <f>COUNTIFS('TỔNG KLH + TN'!$B:$B,'01. TH'!$B7,'TỔNG KLH + TN'!$C:$C,'01. TH'!R$4)</f>
        <v>0</v>
      </c>
      <c r="S7" s="1042">
        <f>COUNTIFS('TỔNG KLH + TN'!$B:$B,'01. TH'!$B7,'TỔNG KLH + TN'!$C:$C,'01. TH'!S$4)</f>
        <v>2</v>
      </c>
      <c r="T7" s="1042">
        <f>COUNTIFS('TỔNG KLH + TN'!$B:$B,'01. TH'!$B7,'TỔNG KLH + TN'!$C:$C,'01. TH'!T$4)</f>
        <v>0</v>
      </c>
      <c r="U7" s="1042">
        <f>COUNTIFS('TỔNG KLH + TN'!$B:$B,'01. TH'!$B7,'TỔNG KLH + TN'!$C:$C,'01. TH'!U$4)</f>
        <v>0</v>
      </c>
      <c r="V7" s="1042">
        <f>COUNTIFS('TỔNG KLH + TN'!$B:$B,'01. TH'!$B7,'TỔNG KLH + TN'!$C:$C,'01. TH'!V$4)</f>
        <v>0</v>
      </c>
      <c r="W7" s="1042">
        <f>COUNTIFS('TỔNG KLH + TN'!$B:$B,'01. TH'!$B7,'TỔNG KLH + TN'!$C:$C,'01. TH'!W$4)</f>
        <v>0</v>
      </c>
      <c r="X7" s="1042">
        <f>COUNTIFS('TỔNG KLH + TN'!$B:$B,'01. TH'!$B7,'TỔNG KLH + TN'!$C:$C,'01. TH'!X$4)</f>
        <v>0</v>
      </c>
      <c r="Y7" s="1042">
        <f>COUNTIFS('TỔNG KLH + TN'!$B:$B,'01. TH'!$B7,'TỔNG KLH + TN'!$C:$C,'01. TH'!Y$4)</f>
        <v>0</v>
      </c>
      <c r="Z7" s="1042">
        <f>COUNTIFS('TỔNG KLH + TN'!$B:$B,'01. TH'!$B7,'TỔNG KLH + TN'!$C:$C,'01. TH'!Z$4)</f>
        <v>0</v>
      </c>
      <c r="AA7" s="1042">
        <f>COUNTIFS('TỔNG KLH + TN'!$B:$B,'01. TH'!$B7,'TỔNG KLH + TN'!$C:$C,'01. TH'!AA$4)</f>
        <v>0</v>
      </c>
      <c r="AB7" s="1042">
        <f>COUNTIFS('TỔNG KLH + TN'!$B:$B,'01. TH'!$B7,'TỔNG KLH + TN'!$C:$C,'01. TH'!AB$4)</f>
        <v>0</v>
      </c>
      <c r="AC7" s="1042">
        <f>COUNTIFS('TỔNG KLH + TN'!$B:$B,'01. TH'!$B7,'TỔNG KLH + TN'!$C:$C,'01. TH'!AC$4)</f>
        <v>0</v>
      </c>
      <c r="AD7" s="1042">
        <f>COUNTIFS('TỔNG KLH + TN'!$B:$B,'01. TH'!$B7,'TỔNG KLH + TN'!$C:$C,'01. TH'!AD$4)</f>
        <v>0</v>
      </c>
      <c r="AE7" s="1043">
        <f t="shared" si="1"/>
        <v>6</v>
      </c>
      <c r="AF7" s="1043"/>
      <c r="AG7" s="1033" t="str">
        <f t="shared" si="2"/>
        <v>ok</v>
      </c>
      <c r="AH7" s="1041"/>
    </row>
    <row r="8" ht="18.75" hidden="1" customHeight="1" outlineLevel="1" spans="1:34">
      <c r="A8" s="1039"/>
      <c r="B8" s="1040" t="s">
        <v>45</v>
      </c>
      <c r="C8" s="1041" t="s">
        <v>44</v>
      </c>
      <c r="D8" s="1041" t="str">
        <f>IFERROR(VLOOKUP(B8,'Danh mục'!$G:$U,15,0),"")</f>
        <v>9560 x 2800 x 3160</v>
      </c>
      <c r="E8" s="1041" t="s">
        <v>42</v>
      </c>
      <c r="F8" s="1042">
        <f>COUNTIFS('TỔNG KLH + TN'!$B:$B,'01. TH'!$B8,'TỔNG KLH + TN'!$C:$C,'01. TH'!F$4)</f>
        <v>1</v>
      </c>
      <c r="G8" s="1042">
        <f>COUNTIFS('TỔNG KLH + TN'!$B:$B,'01. TH'!$B8,'TỔNG KLH + TN'!$C:$C,'01. TH'!G$4)</f>
        <v>0</v>
      </c>
      <c r="H8" s="1042">
        <f>COUNTIFS('TỔNG KLH + TN'!$B:$B,'01. TH'!$B8,'TỔNG KLH + TN'!$C:$C,'01. TH'!H$4)</f>
        <v>0</v>
      </c>
      <c r="I8" s="1042">
        <f>COUNTIFS('TỔNG KLH + TN'!$B:$B,'01. TH'!$B8,'TỔNG KLH + TN'!$C:$C,'01. TH'!I$4)</f>
        <v>0</v>
      </c>
      <c r="J8" s="1042">
        <f>COUNTIFS('TỔNG KLH + TN'!$B:$B,'01. TH'!$B8,'TỔNG KLH + TN'!$C:$C,'01. TH'!J$4)</f>
        <v>0</v>
      </c>
      <c r="K8" s="1042">
        <f>COUNTIFS('TỔNG KLH + TN'!$B:$B,'01. TH'!$B8,'TỔNG KLH + TN'!$C:$C,'01. TH'!K$4)</f>
        <v>0</v>
      </c>
      <c r="L8" s="1042">
        <f>COUNTIFS('TỔNG KLH + TN'!$B:$B,'01. TH'!$B8,'TỔNG KLH + TN'!$C:$C,'01. TH'!L$4)</f>
        <v>0</v>
      </c>
      <c r="M8" s="1042">
        <f>COUNTIFS('TỔNG KLH + TN'!$B:$B,'01. TH'!$B8,'TỔNG KLH + TN'!$C:$C,'01. TH'!M$4)</f>
        <v>0</v>
      </c>
      <c r="N8" s="1042">
        <f>COUNTIFS('TỔNG KLH + TN'!$B:$B,'01. TH'!$B8,'TỔNG KLH + TN'!$C:$C,'01. TH'!N$4)</f>
        <v>0</v>
      </c>
      <c r="O8" s="1042">
        <f>COUNTIFS('TỔNG KLH + TN'!$B:$B,'01. TH'!$B8,'TỔNG KLH + TN'!$C:$C,'01. TH'!O$4)</f>
        <v>0</v>
      </c>
      <c r="P8" s="1042">
        <f>COUNTIFS('TỔNG KLH + TN'!$B:$B,'01. TH'!$B8,'TỔNG KLH + TN'!$C:$C,'01. TH'!P$4)</f>
        <v>0</v>
      </c>
      <c r="Q8" s="1042">
        <f>COUNTIFS('TỔNG KLH + TN'!$B:$B,'01. TH'!$B8,'TỔNG KLH + TN'!$C:$C,'01. TH'!Q$4)</f>
        <v>0</v>
      </c>
      <c r="R8" s="1042">
        <f>COUNTIFS('TỔNG KLH + TN'!$B:$B,'01. TH'!$B8,'TỔNG KLH + TN'!$C:$C,'01. TH'!R$4)</f>
        <v>0</v>
      </c>
      <c r="S8" s="1042">
        <f>COUNTIFS('TỔNG KLH + TN'!$B:$B,'01. TH'!$B8,'TỔNG KLH + TN'!$C:$C,'01. TH'!S$4)</f>
        <v>0</v>
      </c>
      <c r="T8" s="1042">
        <f>COUNTIFS('TỔNG KLH + TN'!$B:$B,'01. TH'!$B8,'TỔNG KLH + TN'!$C:$C,'01. TH'!T$4)</f>
        <v>0</v>
      </c>
      <c r="U8" s="1042">
        <f>COUNTIFS('TỔNG KLH + TN'!$B:$B,'01. TH'!$B8,'TỔNG KLH + TN'!$C:$C,'01. TH'!U$4)</f>
        <v>0</v>
      </c>
      <c r="V8" s="1042">
        <f>COUNTIFS('TỔNG KLH + TN'!$B:$B,'01. TH'!$B8,'TỔNG KLH + TN'!$C:$C,'01. TH'!V$4)</f>
        <v>0</v>
      </c>
      <c r="W8" s="1042">
        <f>COUNTIFS('TỔNG KLH + TN'!$B:$B,'01. TH'!$B8,'TỔNG KLH + TN'!$C:$C,'01. TH'!W$4)</f>
        <v>0</v>
      </c>
      <c r="X8" s="1042">
        <f>COUNTIFS('TỔNG KLH + TN'!$B:$B,'01. TH'!$B8,'TỔNG KLH + TN'!$C:$C,'01. TH'!X$4)</f>
        <v>0</v>
      </c>
      <c r="Y8" s="1042">
        <f>COUNTIFS('TỔNG KLH + TN'!$B:$B,'01. TH'!$B8,'TỔNG KLH + TN'!$C:$C,'01. TH'!Y$4)</f>
        <v>0</v>
      </c>
      <c r="Z8" s="1042">
        <f>COUNTIFS('TỔNG KLH + TN'!$B:$B,'01. TH'!$B8,'TỔNG KLH + TN'!$C:$C,'01. TH'!Z$4)</f>
        <v>0</v>
      </c>
      <c r="AA8" s="1042">
        <f>COUNTIFS('TỔNG KLH + TN'!$B:$B,'01. TH'!$B8,'TỔNG KLH + TN'!$C:$C,'01. TH'!AA$4)</f>
        <v>0</v>
      </c>
      <c r="AB8" s="1042">
        <f>COUNTIFS('TỔNG KLH + TN'!$B:$B,'01. TH'!$B8,'TỔNG KLH + TN'!$C:$C,'01. TH'!AB$4)</f>
        <v>0</v>
      </c>
      <c r="AC8" s="1042">
        <f>COUNTIFS('TỔNG KLH + TN'!$B:$B,'01. TH'!$B8,'TỔNG KLH + TN'!$C:$C,'01. TH'!AC$4)</f>
        <v>0</v>
      </c>
      <c r="AD8" s="1042">
        <f>COUNTIFS('TỔNG KLH + TN'!$B:$B,'01. TH'!$B8,'TỔNG KLH + TN'!$C:$C,'01. TH'!AD$4)</f>
        <v>0</v>
      </c>
      <c r="AE8" s="1043">
        <f t="shared" si="1"/>
        <v>1</v>
      </c>
      <c r="AF8" s="1043"/>
      <c r="AG8" s="1033" t="str">
        <f t="shared" si="2"/>
        <v>ok</v>
      </c>
      <c r="AH8" s="1041"/>
    </row>
    <row r="9" ht="18.75" hidden="1" customHeight="1" outlineLevel="1" spans="1:34">
      <c r="A9" s="1039"/>
      <c r="B9" s="1040" t="s">
        <v>46</v>
      </c>
      <c r="C9" s="1041" t="s">
        <v>44</v>
      </c>
      <c r="D9" s="1041" t="str">
        <f>IFERROR(VLOOKUP(B9,'Danh mục'!$G:$U,15,0),"")</f>
        <v>8358 x 2540 x 3200</v>
      </c>
      <c r="E9" s="1041" t="s">
        <v>42</v>
      </c>
      <c r="F9" s="1042">
        <f>COUNTIFS('TỔNG KLH + TN'!$B:$B,'01. TH'!$B9,'TỔNG KLH + TN'!$C:$C,'01. TH'!F$4)</f>
        <v>1</v>
      </c>
      <c r="G9" s="1042">
        <f>COUNTIFS('TỔNG KLH + TN'!$B:$B,'01. TH'!$B9,'TỔNG KLH + TN'!$C:$C,'01. TH'!G$4)</f>
        <v>0</v>
      </c>
      <c r="H9" s="1042">
        <f>COUNTIFS('TỔNG KLH + TN'!$B:$B,'01. TH'!$B9,'TỔNG KLH + TN'!$C:$C,'01. TH'!H$4)</f>
        <v>0</v>
      </c>
      <c r="I9" s="1042">
        <f>COUNTIFS('TỔNG KLH + TN'!$B:$B,'01. TH'!$B9,'TỔNG KLH + TN'!$C:$C,'01. TH'!I$4)</f>
        <v>0</v>
      </c>
      <c r="J9" s="1042">
        <f>COUNTIFS('TỔNG KLH + TN'!$B:$B,'01. TH'!$B9,'TỔNG KLH + TN'!$C:$C,'01. TH'!J$4)</f>
        <v>0</v>
      </c>
      <c r="K9" s="1042">
        <f>COUNTIFS('TỔNG KLH + TN'!$B:$B,'01. TH'!$B9,'TỔNG KLH + TN'!$C:$C,'01. TH'!K$4)</f>
        <v>0</v>
      </c>
      <c r="L9" s="1042">
        <f>COUNTIFS('TỔNG KLH + TN'!$B:$B,'01. TH'!$B9,'TỔNG KLH + TN'!$C:$C,'01. TH'!L$4)</f>
        <v>0</v>
      </c>
      <c r="M9" s="1042">
        <f>COUNTIFS('TỔNG KLH + TN'!$B:$B,'01. TH'!$B9,'TỔNG KLH + TN'!$C:$C,'01. TH'!M$4)</f>
        <v>0</v>
      </c>
      <c r="N9" s="1042">
        <f>COUNTIFS('TỔNG KLH + TN'!$B:$B,'01. TH'!$B9,'TỔNG KLH + TN'!$C:$C,'01. TH'!N$4)</f>
        <v>0</v>
      </c>
      <c r="O9" s="1042">
        <f>COUNTIFS('TỔNG KLH + TN'!$B:$B,'01. TH'!$B9,'TỔNG KLH + TN'!$C:$C,'01. TH'!O$4)</f>
        <v>0</v>
      </c>
      <c r="P9" s="1042">
        <f>COUNTIFS('TỔNG KLH + TN'!$B:$B,'01. TH'!$B9,'TỔNG KLH + TN'!$C:$C,'01. TH'!P$4)</f>
        <v>0</v>
      </c>
      <c r="Q9" s="1042">
        <f>COUNTIFS('TỔNG KLH + TN'!$B:$B,'01. TH'!$B9,'TỔNG KLH + TN'!$C:$C,'01. TH'!Q$4)</f>
        <v>0</v>
      </c>
      <c r="R9" s="1042">
        <f>COUNTIFS('TỔNG KLH + TN'!$B:$B,'01. TH'!$B9,'TỔNG KLH + TN'!$C:$C,'01. TH'!R$4)</f>
        <v>0</v>
      </c>
      <c r="S9" s="1042">
        <f>COUNTIFS('TỔNG KLH + TN'!$B:$B,'01. TH'!$B9,'TỔNG KLH + TN'!$C:$C,'01. TH'!S$4)</f>
        <v>0</v>
      </c>
      <c r="T9" s="1042">
        <f>COUNTIFS('TỔNG KLH + TN'!$B:$B,'01. TH'!$B9,'TỔNG KLH + TN'!$C:$C,'01. TH'!T$4)</f>
        <v>0</v>
      </c>
      <c r="U9" s="1042">
        <f>COUNTIFS('TỔNG KLH + TN'!$B:$B,'01. TH'!$B9,'TỔNG KLH + TN'!$C:$C,'01. TH'!U$4)</f>
        <v>0</v>
      </c>
      <c r="V9" s="1042">
        <f>COUNTIFS('TỔNG KLH + TN'!$B:$B,'01. TH'!$B9,'TỔNG KLH + TN'!$C:$C,'01. TH'!V$4)</f>
        <v>0</v>
      </c>
      <c r="W9" s="1042">
        <f>COUNTIFS('TỔNG KLH + TN'!$B:$B,'01. TH'!$B9,'TỔNG KLH + TN'!$C:$C,'01. TH'!W$4)</f>
        <v>0</v>
      </c>
      <c r="X9" s="1042">
        <f>COUNTIFS('TỔNG KLH + TN'!$B:$B,'01. TH'!$B9,'TỔNG KLH + TN'!$C:$C,'01. TH'!X$4)</f>
        <v>0</v>
      </c>
      <c r="Y9" s="1042">
        <f>COUNTIFS('TỔNG KLH + TN'!$B:$B,'01. TH'!$B9,'TỔNG KLH + TN'!$C:$C,'01. TH'!Y$4)</f>
        <v>0</v>
      </c>
      <c r="Z9" s="1042">
        <f>COUNTIFS('TỔNG KLH + TN'!$B:$B,'01. TH'!$B9,'TỔNG KLH + TN'!$C:$C,'01. TH'!Z$4)</f>
        <v>0</v>
      </c>
      <c r="AA9" s="1042">
        <f>COUNTIFS('TỔNG KLH + TN'!$B:$B,'01. TH'!$B9,'TỔNG KLH + TN'!$C:$C,'01. TH'!AA$4)</f>
        <v>0</v>
      </c>
      <c r="AB9" s="1042">
        <f>COUNTIFS('TỔNG KLH + TN'!$B:$B,'01. TH'!$B9,'TỔNG KLH + TN'!$C:$C,'01. TH'!AB$4)</f>
        <v>0</v>
      </c>
      <c r="AC9" s="1042">
        <f>COUNTIFS('TỔNG KLH + TN'!$B:$B,'01. TH'!$B9,'TỔNG KLH + TN'!$C:$C,'01. TH'!AC$4)</f>
        <v>0</v>
      </c>
      <c r="AD9" s="1042">
        <f>COUNTIFS('TỔNG KLH + TN'!$B:$B,'01. TH'!$B9,'TỔNG KLH + TN'!$C:$C,'01. TH'!AD$4)</f>
        <v>0</v>
      </c>
      <c r="AE9" s="1043">
        <f t="shared" si="1"/>
        <v>1</v>
      </c>
      <c r="AF9" s="1043"/>
      <c r="AG9" s="1033" t="str">
        <f t="shared" si="2"/>
        <v>ok</v>
      </c>
      <c r="AH9" s="1041"/>
    </row>
    <row r="10" ht="18.75" hidden="1" customHeight="1" outlineLevel="1" spans="1:34">
      <c r="A10" s="1039"/>
      <c r="B10" s="1040" t="s">
        <v>47</v>
      </c>
      <c r="C10" s="1041" t="s">
        <v>48</v>
      </c>
      <c r="D10" s="1041" t="str">
        <f>IFERROR(VLOOKUP(B10,'Danh mục'!$G:$U,15,0),"")</f>
        <v>9660 x 2550 x 3985</v>
      </c>
      <c r="E10" s="1041" t="s">
        <v>42</v>
      </c>
      <c r="F10" s="1042">
        <f>COUNTIFS('TỔNG KLH + TN'!$B:$B,'01. TH'!$B10,'TỔNG KLH + TN'!$C:$C,'01. TH'!F$4)</f>
        <v>1</v>
      </c>
      <c r="G10" s="1042">
        <f>COUNTIFS('TỔNG KLH + TN'!$B:$B,'01. TH'!$B10,'TỔNG KLH + TN'!$C:$C,'01. TH'!G$4)</f>
        <v>0</v>
      </c>
      <c r="H10" s="1042">
        <f>COUNTIFS('TỔNG KLH + TN'!$B:$B,'01. TH'!$B10,'TỔNG KLH + TN'!$C:$C,'01. TH'!H$4)</f>
        <v>0</v>
      </c>
      <c r="I10" s="1042">
        <f>COUNTIFS('TỔNG KLH + TN'!$B:$B,'01. TH'!$B10,'TỔNG KLH + TN'!$C:$C,'01. TH'!I$4)</f>
        <v>0</v>
      </c>
      <c r="J10" s="1042">
        <f>COUNTIFS('TỔNG KLH + TN'!$B:$B,'01. TH'!$B10,'TỔNG KLH + TN'!$C:$C,'01. TH'!J$4)</f>
        <v>0</v>
      </c>
      <c r="K10" s="1042">
        <f>COUNTIFS('TỔNG KLH + TN'!$B:$B,'01. TH'!$B10,'TỔNG KLH + TN'!$C:$C,'01. TH'!K$4)</f>
        <v>0</v>
      </c>
      <c r="L10" s="1042">
        <f>COUNTIFS('TỔNG KLH + TN'!$B:$B,'01. TH'!$B10,'TỔNG KLH + TN'!$C:$C,'01. TH'!L$4)</f>
        <v>0</v>
      </c>
      <c r="M10" s="1042">
        <f>COUNTIFS('TỔNG KLH + TN'!$B:$B,'01. TH'!$B10,'TỔNG KLH + TN'!$C:$C,'01. TH'!M$4)</f>
        <v>0</v>
      </c>
      <c r="N10" s="1042">
        <f>COUNTIFS('TỔNG KLH + TN'!$B:$B,'01. TH'!$B10,'TỔNG KLH + TN'!$C:$C,'01. TH'!N$4)</f>
        <v>0</v>
      </c>
      <c r="O10" s="1042">
        <f>COUNTIFS('TỔNG KLH + TN'!$B:$B,'01. TH'!$B10,'TỔNG KLH + TN'!$C:$C,'01. TH'!O$4)</f>
        <v>0</v>
      </c>
      <c r="P10" s="1042">
        <f>COUNTIFS('TỔNG KLH + TN'!$B:$B,'01. TH'!$B10,'TỔNG KLH + TN'!$C:$C,'01. TH'!P$4)</f>
        <v>0</v>
      </c>
      <c r="Q10" s="1042">
        <f>COUNTIFS('TỔNG KLH + TN'!$B:$B,'01. TH'!$B10,'TỔNG KLH + TN'!$C:$C,'01. TH'!Q$4)</f>
        <v>0</v>
      </c>
      <c r="R10" s="1042">
        <f>COUNTIFS('TỔNG KLH + TN'!$B:$B,'01. TH'!$B10,'TỔNG KLH + TN'!$C:$C,'01. TH'!R$4)</f>
        <v>0</v>
      </c>
      <c r="S10" s="1042">
        <f>COUNTIFS('TỔNG KLH + TN'!$B:$B,'01. TH'!$B10,'TỔNG KLH + TN'!$C:$C,'01. TH'!S$4)</f>
        <v>0</v>
      </c>
      <c r="T10" s="1042">
        <f>COUNTIFS('TỔNG KLH + TN'!$B:$B,'01. TH'!$B10,'TỔNG KLH + TN'!$C:$C,'01. TH'!T$4)</f>
        <v>0</v>
      </c>
      <c r="U10" s="1042">
        <f>COUNTIFS('TỔNG KLH + TN'!$B:$B,'01. TH'!$B10,'TỔNG KLH + TN'!$C:$C,'01. TH'!U$4)</f>
        <v>0</v>
      </c>
      <c r="V10" s="1042">
        <f>COUNTIFS('TỔNG KLH + TN'!$B:$B,'01. TH'!$B10,'TỔNG KLH + TN'!$C:$C,'01. TH'!V$4)</f>
        <v>0</v>
      </c>
      <c r="W10" s="1042">
        <f>COUNTIFS('TỔNG KLH + TN'!$B:$B,'01. TH'!$B10,'TỔNG KLH + TN'!$C:$C,'01. TH'!W$4)</f>
        <v>0</v>
      </c>
      <c r="X10" s="1042">
        <f>COUNTIFS('TỔNG KLH + TN'!$B:$B,'01. TH'!$B10,'TỔNG KLH + TN'!$C:$C,'01. TH'!X$4)</f>
        <v>0</v>
      </c>
      <c r="Y10" s="1042">
        <f>COUNTIFS('TỔNG KLH + TN'!$B:$B,'01. TH'!$B10,'TỔNG KLH + TN'!$C:$C,'01. TH'!Y$4)</f>
        <v>0</v>
      </c>
      <c r="Z10" s="1042">
        <f>COUNTIFS('TỔNG KLH + TN'!$B:$B,'01. TH'!$B10,'TỔNG KLH + TN'!$C:$C,'01. TH'!Z$4)</f>
        <v>0</v>
      </c>
      <c r="AA10" s="1042">
        <f>COUNTIFS('TỔNG KLH + TN'!$B:$B,'01. TH'!$B10,'TỔNG KLH + TN'!$C:$C,'01. TH'!AA$4)</f>
        <v>0</v>
      </c>
      <c r="AB10" s="1042">
        <f>COUNTIFS('TỔNG KLH + TN'!$B:$B,'01. TH'!$B10,'TỔNG KLH + TN'!$C:$C,'01. TH'!AB$4)</f>
        <v>0</v>
      </c>
      <c r="AC10" s="1042">
        <f>COUNTIFS('TỔNG KLH + TN'!$B:$B,'01. TH'!$B10,'TỔNG KLH + TN'!$C:$C,'01. TH'!AC$4)</f>
        <v>0</v>
      </c>
      <c r="AD10" s="1042">
        <f>COUNTIFS('TỔNG KLH + TN'!$B:$B,'01. TH'!$B10,'TỔNG KLH + TN'!$C:$C,'01. TH'!AD$4)</f>
        <v>0</v>
      </c>
      <c r="AE10" s="1043">
        <f t="shared" si="1"/>
        <v>1</v>
      </c>
      <c r="AF10" s="1043"/>
      <c r="AG10" s="1033" t="str">
        <f t="shared" si="2"/>
        <v>ok</v>
      </c>
      <c r="AH10" s="1039"/>
    </row>
    <row r="11" ht="18.75" hidden="1" customHeight="1" outlineLevel="1" spans="1:34">
      <c r="A11" s="1039"/>
      <c r="B11" s="1040" t="s">
        <v>49</v>
      </c>
      <c r="C11" s="1041" t="s">
        <v>41</v>
      </c>
      <c r="D11" s="1041" t="str">
        <f>IFERROR(VLOOKUP(B11,'Danh mục'!$G:$U,15,0),"")</f>
        <v>5260 x 1760 x 2415</v>
      </c>
      <c r="E11" s="1041" t="s">
        <v>42</v>
      </c>
      <c r="F11" s="1042">
        <f>COUNTIFS('TỔNG KLH + TN'!$B:$B,'01. TH'!$B11,'TỔNG KLH + TN'!$C:$C,'01. TH'!F$4)</f>
        <v>8</v>
      </c>
      <c r="G11" s="1042">
        <f>COUNTIFS('TỔNG KLH + TN'!$B:$B,'01. TH'!$B11,'TỔNG KLH + TN'!$C:$C,'01. TH'!G$4)</f>
        <v>0</v>
      </c>
      <c r="H11" s="1042">
        <f>COUNTIFS('TỔNG KLH + TN'!$B:$B,'01. TH'!$B11,'TỔNG KLH + TN'!$C:$C,'01. TH'!H$4)</f>
        <v>0</v>
      </c>
      <c r="I11" s="1042">
        <f>COUNTIFS('TỔNG KLH + TN'!$B:$B,'01. TH'!$B11,'TỔNG KLH + TN'!$C:$C,'01. TH'!I$4)</f>
        <v>0</v>
      </c>
      <c r="J11" s="1042">
        <f>COUNTIFS('TỔNG KLH + TN'!$B:$B,'01. TH'!$B11,'TỔNG KLH + TN'!$C:$C,'01. TH'!J$4)</f>
        <v>0</v>
      </c>
      <c r="K11" s="1042">
        <f>COUNTIFS('TỔNG KLH + TN'!$B:$B,'01. TH'!$B11,'TỔNG KLH + TN'!$C:$C,'01. TH'!K$4)</f>
        <v>0</v>
      </c>
      <c r="L11" s="1042">
        <f>COUNTIFS('TỔNG KLH + TN'!$B:$B,'01. TH'!$B11,'TỔNG KLH + TN'!$C:$C,'01. TH'!L$4)</f>
        <v>0</v>
      </c>
      <c r="M11" s="1042">
        <f>COUNTIFS('TỔNG KLH + TN'!$B:$B,'01. TH'!$B11,'TỔNG KLH + TN'!$C:$C,'01. TH'!M$4)</f>
        <v>0</v>
      </c>
      <c r="N11" s="1042">
        <f>COUNTIFS('TỔNG KLH + TN'!$B:$B,'01. TH'!$B11,'TỔNG KLH + TN'!$C:$C,'01. TH'!N$4)</f>
        <v>0</v>
      </c>
      <c r="O11" s="1042">
        <f>COUNTIFS('TỔNG KLH + TN'!$B:$B,'01. TH'!$B11,'TỔNG KLH + TN'!$C:$C,'01. TH'!O$4)</f>
        <v>1</v>
      </c>
      <c r="P11" s="1042">
        <f>COUNTIFS('TỔNG KLH + TN'!$B:$B,'01. TH'!$B11,'TỔNG KLH + TN'!$C:$C,'01. TH'!P$4)</f>
        <v>0</v>
      </c>
      <c r="Q11" s="1042">
        <f>COUNTIFS('TỔNG KLH + TN'!$B:$B,'01. TH'!$B11,'TỔNG KLH + TN'!$C:$C,'01. TH'!Q$4)</f>
        <v>0</v>
      </c>
      <c r="R11" s="1042">
        <f>COUNTIFS('TỔNG KLH + TN'!$B:$B,'01. TH'!$B11,'TỔNG KLH + TN'!$C:$C,'01. TH'!R$4)</f>
        <v>0</v>
      </c>
      <c r="S11" s="1042">
        <f>COUNTIFS('TỔNG KLH + TN'!$B:$B,'01. TH'!$B11,'TỔNG KLH + TN'!$C:$C,'01. TH'!S$4)</f>
        <v>3</v>
      </c>
      <c r="T11" s="1042">
        <f>COUNTIFS('TỔNG KLH + TN'!$B:$B,'01. TH'!$B11,'TỔNG KLH + TN'!$C:$C,'01. TH'!T$4)</f>
        <v>0</v>
      </c>
      <c r="U11" s="1042">
        <f>COUNTIFS('TỔNG KLH + TN'!$B:$B,'01. TH'!$B11,'TỔNG KLH + TN'!$C:$C,'01. TH'!U$4)</f>
        <v>0</v>
      </c>
      <c r="V11" s="1042">
        <f>COUNTIFS('TỔNG KLH + TN'!$B:$B,'01. TH'!$B11,'TỔNG KLH + TN'!$C:$C,'01. TH'!V$4)</f>
        <v>0</v>
      </c>
      <c r="W11" s="1042">
        <f>COUNTIFS('TỔNG KLH + TN'!$B:$B,'01. TH'!$B11,'TỔNG KLH + TN'!$C:$C,'01. TH'!W$4)</f>
        <v>0</v>
      </c>
      <c r="X11" s="1042">
        <f>COUNTIFS('TỔNG KLH + TN'!$B:$B,'01. TH'!$B11,'TỔNG KLH + TN'!$C:$C,'01. TH'!X$4)</f>
        <v>0</v>
      </c>
      <c r="Y11" s="1042">
        <f>COUNTIFS('TỔNG KLH + TN'!$B:$B,'01. TH'!$B11,'TỔNG KLH + TN'!$C:$C,'01. TH'!Y$4)</f>
        <v>0</v>
      </c>
      <c r="Z11" s="1042">
        <f>COUNTIFS('TỔNG KLH + TN'!$B:$B,'01. TH'!$B11,'TỔNG KLH + TN'!$C:$C,'01. TH'!Z$4)</f>
        <v>0</v>
      </c>
      <c r="AA11" s="1042">
        <f>COUNTIFS('TỔNG KLH + TN'!$B:$B,'01. TH'!$B11,'TỔNG KLH + TN'!$C:$C,'01. TH'!AA$4)</f>
        <v>0</v>
      </c>
      <c r="AB11" s="1042">
        <f>COUNTIFS('TỔNG KLH + TN'!$B:$B,'01. TH'!$B11,'TỔNG KLH + TN'!$C:$C,'01. TH'!AB$4)</f>
        <v>0</v>
      </c>
      <c r="AC11" s="1042">
        <f>COUNTIFS('TỔNG KLH + TN'!$B:$B,'01. TH'!$B11,'TỔNG KLH + TN'!$C:$C,'01. TH'!AC$4)</f>
        <v>0</v>
      </c>
      <c r="AD11" s="1042">
        <f>COUNTIFS('TỔNG KLH + TN'!$B:$B,'01. TH'!$B11,'TỔNG KLH + TN'!$C:$C,'01. TH'!AD$4)</f>
        <v>0</v>
      </c>
      <c r="AE11" s="1043">
        <f t="shared" si="1"/>
        <v>12</v>
      </c>
      <c r="AF11" s="1043"/>
      <c r="AG11" s="1033" t="str">
        <f t="shared" si="2"/>
        <v>ok</v>
      </c>
      <c r="AH11" s="1041"/>
    </row>
    <row r="12" ht="18.75" hidden="1" customHeight="1" outlineLevel="1" spans="1:34">
      <c r="A12" s="1039"/>
      <c r="B12" s="1040" t="s">
        <v>50</v>
      </c>
      <c r="C12" s="1041" t="s">
        <v>48</v>
      </c>
      <c r="D12" s="1041" t="str">
        <f>IFERROR(VLOOKUP(B12,'Danh mục'!$G:$U,15,0),"")</f>
        <v>8700 x 2800 x 3010</v>
      </c>
      <c r="E12" s="1041" t="s">
        <v>42</v>
      </c>
      <c r="F12" s="1042">
        <f>COUNTIFS('TỔNG KLH + TN'!$B:$B,'01. TH'!$B12,'TỔNG KLH + TN'!$C:$C,'01. TH'!F$4)</f>
        <v>1</v>
      </c>
      <c r="G12" s="1042">
        <f>COUNTIFS('TỔNG KLH + TN'!$B:$B,'01. TH'!$B12,'TỔNG KLH + TN'!$C:$C,'01. TH'!G$4)</f>
        <v>0</v>
      </c>
      <c r="H12" s="1042">
        <f>COUNTIFS('TỔNG KLH + TN'!$B:$B,'01. TH'!$B12,'TỔNG KLH + TN'!$C:$C,'01. TH'!H$4)</f>
        <v>0</v>
      </c>
      <c r="I12" s="1042">
        <f>COUNTIFS('TỔNG KLH + TN'!$B:$B,'01. TH'!$B12,'TỔNG KLH + TN'!$C:$C,'01. TH'!I$4)</f>
        <v>0</v>
      </c>
      <c r="J12" s="1042">
        <f>COUNTIFS('TỔNG KLH + TN'!$B:$B,'01. TH'!$B12,'TỔNG KLH + TN'!$C:$C,'01. TH'!J$4)</f>
        <v>0</v>
      </c>
      <c r="K12" s="1042">
        <f>COUNTIFS('TỔNG KLH + TN'!$B:$B,'01. TH'!$B12,'TỔNG KLH + TN'!$C:$C,'01. TH'!K$4)</f>
        <v>0</v>
      </c>
      <c r="L12" s="1042">
        <f>COUNTIFS('TỔNG KLH + TN'!$B:$B,'01. TH'!$B12,'TỔNG KLH + TN'!$C:$C,'01. TH'!L$4)</f>
        <v>0</v>
      </c>
      <c r="M12" s="1042">
        <f>COUNTIFS('TỔNG KLH + TN'!$B:$B,'01. TH'!$B12,'TỔNG KLH + TN'!$C:$C,'01. TH'!M$4)</f>
        <v>0</v>
      </c>
      <c r="N12" s="1042">
        <f>COUNTIFS('TỔNG KLH + TN'!$B:$B,'01. TH'!$B12,'TỔNG KLH + TN'!$C:$C,'01. TH'!N$4)</f>
        <v>0</v>
      </c>
      <c r="O12" s="1042">
        <f>COUNTIFS('TỔNG KLH + TN'!$B:$B,'01. TH'!$B12,'TỔNG KLH + TN'!$C:$C,'01. TH'!O$4)</f>
        <v>1</v>
      </c>
      <c r="P12" s="1042">
        <f>COUNTIFS('TỔNG KLH + TN'!$B:$B,'01. TH'!$B12,'TỔNG KLH + TN'!$C:$C,'01. TH'!P$4)</f>
        <v>0</v>
      </c>
      <c r="Q12" s="1042">
        <f>COUNTIFS('TỔNG KLH + TN'!$B:$B,'01. TH'!$B12,'TỔNG KLH + TN'!$C:$C,'01. TH'!Q$4)</f>
        <v>0</v>
      </c>
      <c r="R12" s="1042">
        <f>COUNTIFS('TỔNG KLH + TN'!$B:$B,'01. TH'!$B12,'TỔNG KLH + TN'!$C:$C,'01. TH'!R$4)</f>
        <v>0</v>
      </c>
      <c r="S12" s="1042">
        <f>COUNTIFS('TỔNG KLH + TN'!$B:$B,'01. TH'!$B12,'TỔNG KLH + TN'!$C:$C,'01. TH'!S$4)</f>
        <v>2</v>
      </c>
      <c r="T12" s="1042">
        <f>COUNTIFS('TỔNG KLH + TN'!$B:$B,'01. TH'!$B12,'TỔNG KLH + TN'!$C:$C,'01. TH'!T$4)</f>
        <v>0</v>
      </c>
      <c r="U12" s="1042">
        <f>COUNTIFS('TỔNG KLH + TN'!$B:$B,'01. TH'!$B12,'TỔNG KLH + TN'!$C:$C,'01. TH'!U$4)</f>
        <v>0</v>
      </c>
      <c r="V12" s="1042">
        <f>COUNTIFS('TỔNG KLH + TN'!$B:$B,'01. TH'!$B12,'TỔNG KLH + TN'!$C:$C,'01. TH'!V$4)</f>
        <v>0</v>
      </c>
      <c r="W12" s="1042">
        <f>COUNTIFS('TỔNG KLH + TN'!$B:$B,'01. TH'!$B12,'TỔNG KLH + TN'!$C:$C,'01. TH'!W$4)</f>
        <v>0</v>
      </c>
      <c r="X12" s="1042">
        <f>COUNTIFS('TỔNG KLH + TN'!$B:$B,'01. TH'!$B12,'TỔNG KLH + TN'!$C:$C,'01. TH'!X$4)</f>
        <v>0</v>
      </c>
      <c r="Y12" s="1042">
        <f>COUNTIFS('TỔNG KLH + TN'!$B:$B,'01. TH'!$B12,'TỔNG KLH + TN'!$C:$C,'01. TH'!Y$4)</f>
        <v>0</v>
      </c>
      <c r="Z12" s="1042">
        <f>COUNTIFS('TỔNG KLH + TN'!$B:$B,'01. TH'!$B12,'TỔNG KLH + TN'!$C:$C,'01. TH'!Z$4)</f>
        <v>0</v>
      </c>
      <c r="AA12" s="1042">
        <f>COUNTIFS('TỔNG KLH + TN'!$B:$B,'01. TH'!$B12,'TỔNG KLH + TN'!$C:$C,'01. TH'!AA$4)</f>
        <v>0</v>
      </c>
      <c r="AB12" s="1042">
        <f>COUNTIFS('TỔNG KLH + TN'!$B:$B,'01. TH'!$B12,'TỔNG KLH + TN'!$C:$C,'01. TH'!AB$4)</f>
        <v>0</v>
      </c>
      <c r="AC12" s="1042">
        <f>COUNTIFS('TỔNG KLH + TN'!$B:$B,'01. TH'!$B12,'TỔNG KLH + TN'!$C:$C,'01. TH'!AC$4)</f>
        <v>0</v>
      </c>
      <c r="AD12" s="1042">
        <f>COUNTIFS('TỔNG KLH + TN'!$B:$B,'01. TH'!$B12,'TỔNG KLH + TN'!$C:$C,'01. TH'!AD$4)</f>
        <v>0</v>
      </c>
      <c r="AE12" s="1043">
        <f t="shared" si="1"/>
        <v>4</v>
      </c>
      <c r="AF12" s="1043"/>
      <c r="AG12" s="1033" t="str">
        <f t="shared" si="2"/>
        <v>ok</v>
      </c>
      <c r="AH12" s="1041"/>
    </row>
    <row r="13" ht="18.75" hidden="1" customHeight="1" outlineLevel="1" spans="1:34">
      <c r="A13" s="1044"/>
      <c r="B13" s="1040" t="s">
        <v>51</v>
      </c>
      <c r="C13" s="1041" t="s">
        <v>44</v>
      </c>
      <c r="D13" s="1041" t="str">
        <f>IFERROR(VLOOKUP(B13,'Danh mục'!$G:$U,15,0),"")</f>
        <v>7820 x 2500 x 3140</v>
      </c>
      <c r="E13" s="1041" t="s">
        <v>42</v>
      </c>
      <c r="F13" s="1042">
        <f>COUNTIFS('TỔNG KLH + TN'!$B:$B,'01. TH'!$B13,'TỔNG KLH + TN'!$C:$C,'01. TH'!F$4)</f>
        <v>0</v>
      </c>
      <c r="G13" s="1042">
        <f>COUNTIFS('TỔNG KLH + TN'!$B:$B,'01. TH'!$B13,'TỔNG KLH + TN'!$C:$C,'01. TH'!G$4)</f>
        <v>0</v>
      </c>
      <c r="H13" s="1042">
        <f>COUNTIFS('TỔNG KLH + TN'!$B:$B,'01. TH'!$B13,'TỔNG KLH + TN'!$C:$C,'01. TH'!H$4)</f>
        <v>0</v>
      </c>
      <c r="I13" s="1042">
        <f>COUNTIFS('TỔNG KLH + TN'!$B:$B,'01. TH'!$B13,'TỔNG KLH + TN'!$C:$C,'01. TH'!I$4)</f>
        <v>0</v>
      </c>
      <c r="J13" s="1042">
        <f>COUNTIFS('TỔNG KLH + TN'!$B:$B,'01. TH'!$B13,'TỔNG KLH + TN'!$C:$C,'01. TH'!J$4)</f>
        <v>0</v>
      </c>
      <c r="K13" s="1042">
        <f>COUNTIFS('TỔNG KLH + TN'!$B:$B,'01. TH'!$B13,'TỔNG KLH + TN'!$C:$C,'01. TH'!K$4)</f>
        <v>0</v>
      </c>
      <c r="L13" s="1042">
        <f>COUNTIFS('TỔNG KLH + TN'!$B:$B,'01. TH'!$B13,'TỔNG KLH + TN'!$C:$C,'01. TH'!L$4)</f>
        <v>0</v>
      </c>
      <c r="M13" s="1042">
        <f>COUNTIFS('TỔNG KLH + TN'!$B:$B,'01. TH'!$B13,'TỔNG KLH + TN'!$C:$C,'01. TH'!M$4)</f>
        <v>0</v>
      </c>
      <c r="N13" s="1042">
        <f>COUNTIFS('TỔNG KLH + TN'!$B:$B,'01. TH'!$B13,'TỔNG KLH + TN'!$C:$C,'01. TH'!N$4)</f>
        <v>0</v>
      </c>
      <c r="O13" s="1042">
        <f>COUNTIFS('TỔNG KLH + TN'!$B:$B,'01. TH'!$B13,'TỔNG KLH + TN'!$C:$C,'01. TH'!O$4)</f>
        <v>0</v>
      </c>
      <c r="P13" s="1042">
        <f>COUNTIFS('TỔNG KLH + TN'!$B:$B,'01. TH'!$B13,'TỔNG KLH + TN'!$C:$C,'01. TH'!P$4)</f>
        <v>0</v>
      </c>
      <c r="Q13" s="1042">
        <f>COUNTIFS('TỔNG KLH + TN'!$B:$B,'01. TH'!$B13,'TỔNG KLH + TN'!$C:$C,'01. TH'!Q$4)</f>
        <v>0</v>
      </c>
      <c r="R13" s="1042">
        <f>COUNTIFS('TỔNG KLH + TN'!$B:$B,'01. TH'!$B13,'TỔNG KLH + TN'!$C:$C,'01. TH'!R$4)</f>
        <v>0</v>
      </c>
      <c r="S13" s="1042">
        <f>COUNTIFS('TỔNG KLH + TN'!$B:$B,'01. TH'!$B13,'TỔNG KLH + TN'!$C:$C,'01. TH'!S$4)</f>
        <v>0</v>
      </c>
      <c r="T13" s="1042">
        <f>COUNTIFS('TỔNG KLH + TN'!$B:$B,'01. TH'!$B13,'TỔNG KLH + TN'!$C:$C,'01. TH'!T$4)</f>
        <v>0</v>
      </c>
      <c r="U13" s="1042">
        <f>COUNTIFS('TỔNG KLH + TN'!$B:$B,'01. TH'!$B13,'TỔNG KLH + TN'!$C:$C,'01. TH'!U$4)</f>
        <v>0</v>
      </c>
      <c r="V13" s="1042">
        <f>COUNTIFS('TỔNG KLH + TN'!$B:$B,'01. TH'!$B13,'TỔNG KLH + TN'!$C:$C,'01. TH'!V$4)</f>
        <v>0</v>
      </c>
      <c r="W13" s="1042">
        <f>COUNTIFS('TỔNG KLH + TN'!$B:$B,'01. TH'!$B13,'TỔNG KLH + TN'!$C:$C,'01. TH'!W$4)</f>
        <v>0</v>
      </c>
      <c r="X13" s="1042">
        <f>COUNTIFS('TỔNG KLH + TN'!$B:$B,'01. TH'!$B13,'TỔNG KLH + TN'!$C:$C,'01. TH'!X$4)</f>
        <v>0</v>
      </c>
      <c r="Y13" s="1042">
        <f>COUNTIFS('TỔNG KLH + TN'!$B:$B,'01. TH'!$B13,'TỔNG KLH + TN'!$C:$C,'01. TH'!Y$4)</f>
        <v>0</v>
      </c>
      <c r="Z13" s="1042">
        <f>COUNTIFS('TỔNG KLH + TN'!$B:$B,'01. TH'!$B13,'TỔNG KLH + TN'!$C:$C,'01. TH'!Z$4)</f>
        <v>0</v>
      </c>
      <c r="AA13" s="1042">
        <f>COUNTIFS('TỔNG KLH + TN'!$B:$B,'01. TH'!$B13,'TỔNG KLH + TN'!$C:$C,'01. TH'!AA$4)</f>
        <v>0</v>
      </c>
      <c r="AB13" s="1042">
        <f>COUNTIFS('TỔNG KLH + TN'!$B:$B,'01. TH'!$B13,'TỔNG KLH + TN'!$C:$C,'01. TH'!AB$4)</f>
        <v>0</v>
      </c>
      <c r="AC13" s="1042">
        <f>COUNTIFS('TỔNG KLH + TN'!$B:$B,'01. TH'!$B13,'TỔNG KLH + TN'!$C:$C,'01. TH'!AC$4)</f>
        <v>0</v>
      </c>
      <c r="AD13" s="1042">
        <f>COUNTIFS('TỔNG KLH + TN'!$B:$B,'01. TH'!$B13,'TỔNG KLH + TN'!$C:$C,'01. TH'!AD$4)</f>
        <v>0</v>
      </c>
      <c r="AE13" s="1045">
        <f t="shared" si="1"/>
        <v>0</v>
      </c>
      <c r="AF13" s="1045"/>
      <c r="AG13" s="1033" t="str">
        <f t="shared" si="2"/>
        <v>ok</v>
      </c>
      <c r="AH13" s="1046"/>
    </row>
    <row r="14" ht="18.75" hidden="1" customHeight="1" outlineLevel="1" spans="1:34">
      <c r="A14" s="1044"/>
      <c r="B14" s="1040" t="s">
        <v>52</v>
      </c>
      <c r="C14" s="1041" t="s">
        <v>44</v>
      </c>
      <c r="D14" s="1041" t="str">
        <f>IFERROR(VLOOKUP(B14,'Danh mục'!$G:$U,15,0),"")</f>
        <v>7640 x 2590 x 2820</v>
      </c>
      <c r="E14" s="1041" t="s">
        <v>42</v>
      </c>
      <c r="F14" s="1042">
        <f>COUNTIFS('TỔNG KLH + TN'!$B:$B,'01. TH'!$B14,'TỔNG KLH + TN'!$C:$C,'01. TH'!F$4)</f>
        <v>1</v>
      </c>
      <c r="G14" s="1042">
        <f>COUNTIFS('TỔNG KLH + TN'!$B:$B,'01. TH'!$B14,'TỔNG KLH + TN'!$C:$C,'01. TH'!G$4)</f>
        <v>0</v>
      </c>
      <c r="H14" s="1042">
        <f>COUNTIFS('TỔNG KLH + TN'!$B:$B,'01. TH'!$B14,'TỔNG KLH + TN'!$C:$C,'01. TH'!H$4)</f>
        <v>0</v>
      </c>
      <c r="I14" s="1042">
        <f>COUNTIFS('TỔNG KLH + TN'!$B:$B,'01. TH'!$B14,'TỔNG KLH + TN'!$C:$C,'01. TH'!I$4)</f>
        <v>0</v>
      </c>
      <c r="J14" s="1042">
        <f>COUNTIFS('TỔNG KLH + TN'!$B:$B,'01. TH'!$B14,'TỔNG KLH + TN'!$C:$C,'01. TH'!J$4)</f>
        <v>0</v>
      </c>
      <c r="K14" s="1042">
        <f>COUNTIFS('TỔNG KLH + TN'!$B:$B,'01. TH'!$B14,'TỔNG KLH + TN'!$C:$C,'01. TH'!K$4)</f>
        <v>0</v>
      </c>
      <c r="L14" s="1042">
        <f>COUNTIFS('TỔNG KLH + TN'!$B:$B,'01. TH'!$B14,'TỔNG KLH + TN'!$C:$C,'01. TH'!L$4)</f>
        <v>0</v>
      </c>
      <c r="M14" s="1042">
        <f>COUNTIFS('TỔNG KLH + TN'!$B:$B,'01. TH'!$B14,'TỔNG KLH + TN'!$C:$C,'01. TH'!M$4)</f>
        <v>0</v>
      </c>
      <c r="N14" s="1042">
        <f>COUNTIFS('TỔNG KLH + TN'!$B:$B,'01. TH'!$B14,'TỔNG KLH + TN'!$C:$C,'01. TH'!N$4)</f>
        <v>0</v>
      </c>
      <c r="O14" s="1042">
        <f>COUNTIFS('TỔNG KLH + TN'!$B:$B,'01. TH'!$B14,'TỔNG KLH + TN'!$C:$C,'01. TH'!O$4)</f>
        <v>1</v>
      </c>
      <c r="P14" s="1042">
        <f>COUNTIFS('TỔNG KLH + TN'!$B:$B,'01. TH'!$B14,'TỔNG KLH + TN'!$C:$C,'01. TH'!P$4)</f>
        <v>0</v>
      </c>
      <c r="Q14" s="1042">
        <f>COUNTIFS('TỔNG KLH + TN'!$B:$B,'01. TH'!$B14,'TỔNG KLH + TN'!$C:$C,'01. TH'!Q$4)</f>
        <v>0</v>
      </c>
      <c r="R14" s="1042">
        <f>COUNTIFS('TỔNG KLH + TN'!$B:$B,'01. TH'!$B14,'TỔNG KLH + TN'!$C:$C,'01. TH'!R$4)</f>
        <v>0</v>
      </c>
      <c r="S14" s="1042">
        <f>COUNTIFS('TỔNG KLH + TN'!$B:$B,'01. TH'!$B14,'TỔNG KLH + TN'!$C:$C,'01. TH'!S$4)</f>
        <v>0</v>
      </c>
      <c r="T14" s="1042">
        <f>COUNTIFS('TỔNG KLH + TN'!$B:$B,'01. TH'!$B14,'TỔNG KLH + TN'!$C:$C,'01. TH'!T$4)</f>
        <v>0</v>
      </c>
      <c r="U14" s="1042">
        <f>COUNTIFS('TỔNG KLH + TN'!$B:$B,'01. TH'!$B14,'TỔNG KLH + TN'!$C:$C,'01. TH'!U$4)</f>
        <v>0</v>
      </c>
      <c r="V14" s="1042">
        <f>COUNTIFS('TỔNG KLH + TN'!$B:$B,'01. TH'!$B14,'TỔNG KLH + TN'!$C:$C,'01. TH'!V$4)</f>
        <v>0</v>
      </c>
      <c r="W14" s="1042">
        <f>COUNTIFS('TỔNG KLH + TN'!$B:$B,'01. TH'!$B14,'TỔNG KLH + TN'!$C:$C,'01. TH'!W$4)</f>
        <v>0</v>
      </c>
      <c r="X14" s="1042">
        <f>COUNTIFS('TỔNG KLH + TN'!$B:$B,'01. TH'!$B14,'TỔNG KLH + TN'!$C:$C,'01. TH'!X$4)</f>
        <v>0</v>
      </c>
      <c r="Y14" s="1042">
        <f>COUNTIFS('TỔNG KLH + TN'!$B:$B,'01. TH'!$B14,'TỔNG KLH + TN'!$C:$C,'01. TH'!Y$4)</f>
        <v>0</v>
      </c>
      <c r="Z14" s="1042">
        <f>COUNTIFS('TỔNG KLH + TN'!$B:$B,'01. TH'!$B14,'TỔNG KLH + TN'!$C:$C,'01. TH'!Z$4)</f>
        <v>0</v>
      </c>
      <c r="AA14" s="1042">
        <f>COUNTIFS('TỔNG KLH + TN'!$B:$B,'01. TH'!$B14,'TỔNG KLH + TN'!$C:$C,'01. TH'!AA$4)</f>
        <v>0</v>
      </c>
      <c r="AB14" s="1042">
        <f>COUNTIFS('TỔNG KLH + TN'!$B:$B,'01. TH'!$B14,'TỔNG KLH + TN'!$C:$C,'01. TH'!AB$4)</f>
        <v>0</v>
      </c>
      <c r="AC14" s="1042">
        <f>COUNTIFS('TỔNG KLH + TN'!$B:$B,'01. TH'!$B14,'TỔNG KLH + TN'!$C:$C,'01. TH'!AC$4)</f>
        <v>0</v>
      </c>
      <c r="AD14" s="1042">
        <f>COUNTIFS('TỔNG KLH + TN'!$B:$B,'01. TH'!$B14,'TỔNG KLH + TN'!$C:$C,'01. TH'!AD$4)</f>
        <v>0</v>
      </c>
      <c r="AE14" s="1045">
        <f t="shared" si="1"/>
        <v>2</v>
      </c>
      <c r="AF14" s="1045"/>
      <c r="AG14" s="1033" t="str">
        <f t="shared" si="2"/>
        <v>ok</v>
      </c>
      <c r="AH14" s="1046"/>
    </row>
    <row r="15" ht="18.75" hidden="1" customHeight="1" outlineLevel="1" spans="1:34">
      <c r="A15" s="1039"/>
      <c r="B15" s="1040" t="s">
        <v>53</v>
      </c>
      <c r="C15" s="1041" t="s">
        <v>54</v>
      </c>
      <c r="D15" s="1041" t="str">
        <f>IFERROR(VLOOKUP(B15,'Danh mục'!$G:$U,15,0),"")</f>
        <v>9460 x 2800 x 3200</v>
      </c>
      <c r="E15" s="1041" t="s">
        <v>42</v>
      </c>
      <c r="F15" s="1042">
        <f>COUNTIFS('TỔNG KLH + TN'!$B:$B,'01. TH'!$B15,'TỔNG KLH + TN'!$C:$C,'01. TH'!F$4)</f>
        <v>2</v>
      </c>
      <c r="G15" s="1042">
        <f>COUNTIFS('TỔNG KLH + TN'!$B:$B,'01. TH'!$B15,'TỔNG KLH + TN'!$C:$C,'01. TH'!G$4)</f>
        <v>0</v>
      </c>
      <c r="H15" s="1042">
        <f>COUNTIFS('TỔNG KLH + TN'!$B:$B,'01. TH'!$B15,'TỔNG KLH + TN'!$C:$C,'01. TH'!H$4)</f>
        <v>0</v>
      </c>
      <c r="I15" s="1042">
        <f>COUNTIFS('TỔNG KLH + TN'!$B:$B,'01. TH'!$B15,'TỔNG KLH + TN'!$C:$C,'01. TH'!I$4)</f>
        <v>0</v>
      </c>
      <c r="J15" s="1042">
        <f>COUNTIFS('TỔNG KLH + TN'!$B:$B,'01. TH'!$B15,'TỔNG KLH + TN'!$C:$C,'01. TH'!J$4)</f>
        <v>0</v>
      </c>
      <c r="K15" s="1042">
        <f>COUNTIFS('TỔNG KLH + TN'!$B:$B,'01. TH'!$B15,'TỔNG KLH + TN'!$C:$C,'01. TH'!K$4)</f>
        <v>0</v>
      </c>
      <c r="L15" s="1042">
        <f>COUNTIFS('TỔNG KLH + TN'!$B:$B,'01. TH'!$B15,'TỔNG KLH + TN'!$C:$C,'01. TH'!L$4)</f>
        <v>0</v>
      </c>
      <c r="M15" s="1042">
        <f>COUNTIFS('TỔNG KLH + TN'!$B:$B,'01. TH'!$B15,'TỔNG KLH + TN'!$C:$C,'01. TH'!M$4)</f>
        <v>0</v>
      </c>
      <c r="N15" s="1042">
        <f>COUNTIFS('TỔNG KLH + TN'!$B:$B,'01. TH'!$B15,'TỔNG KLH + TN'!$C:$C,'01. TH'!N$4)</f>
        <v>0</v>
      </c>
      <c r="O15" s="1042">
        <f>COUNTIFS('TỔNG KLH + TN'!$B:$B,'01. TH'!$B15,'TỔNG KLH + TN'!$C:$C,'01. TH'!O$4)</f>
        <v>1</v>
      </c>
      <c r="P15" s="1042">
        <f>COUNTIFS('TỔNG KLH + TN'!$B:$B,'01. TH'!$B15,'TỔNG KLH + TN'!$C:$C,'01. TH'!P$4)</f>
        <v>0</v>
      </c>
      <c r="Q15" s="1042">
        <f>COUNTIFS('TỔNG KLH + TN'!$B:$B,'01. TH'!$B15,'TỔNG KLH + TN'!$C:$C,'01. TH'!Q$4)</f>
        <v>0</v>
      </c>
      <c r="R15" s="1042">
        <f>COUNTIFS('TỔNG KLH + TN'!$B:$B,'01. TH'!$B15,'TỔNG KLH + TN'!$C:$C,'01. TH'!R$4)</f>
        <v>0</v>
      </c>
      <c r="S15" s="1042">
        <f>COUNTIFS('TỔNG KLH + TN'!$B:$B,'01. TH'!$B15,'TỔNG KLH + TN'!$C:$C,'01. TH'!S$4)</f>
        <v>2</v>
      </c>
      <c r="T15" s="1042">
        <f>COUNTIFS('TỔNG KLH + TN'!$B:$B,'01. TH'!$B15,'TỔNG KLH + TN'!$C:$C,'01. TH'!T$4)</f>
        <v>0</v>
      </c>
      <c r="U15" s="1042">
        <f>COUNTIFS('TỔNG KLH + TN'!$B:$B,'01. TH'!$B15,'TỔNG KLH + TN'!$C:$C,'01. TH'!U$4)</f>
        <v>0</v>
      </c>
      <c r="V15" s="1042">
        <f>COUNTIFS('TỔNG KLH + TN'!$B:$B,'01. TH'!$B15,'TỔNG KLH + TN'!$C:$C,'01. TH'!V$4)</f>
        <v>0</v>
      </c>
      <c r="W15" s="1042">
        <f>COUNTIFS('TỔNG KLH + TN'!$B:$B,'01. TH'!$B15,'TỔNG KLH + TN'!$C:$C,'01. TH'!W$4)</f>
        <v>0</v>
      </c>
      <c r="X15" s="1042">
        <f>COUNTIFS('TỔNG KLH + TN'!$B:$B,'01. TH'!$B15,'TỔNG KLH + TN'!$C:$C,'01. TH'!X$4)</f>
        <v>0</v>
      </c>
      <c r="Y15" s="1042">
        <f>COUNTIFS('TỔNG KLH + TN'!$B:$B,'01. TH'!$B15,'TỔNG KLH + TN'!$C:$C,'01. TH'!Y$4)</f>
        <v>0</v>
      </c>
      <c r="Z15" s="1042">
        <f>COUNTIFS('TỔNG KLH + TN'!$B:$B,'01. TH'!$B15,'TỔNG KLH + TN'!$C:$C,'01. TH'!Z$4)</f>
        <v>0</v>
      </c>
      <c r="AA15" s="1042">
        <f>COUNTIFS('TỔNG KLH + TN'!$B:$B,'01. TH'!$B15,'TỔNG KLH + TN'!$C:$C,'01. TH'!AA$4)</f>
        <v>0</v>
      </c>
      <c r="AB15" s="1042">
        <f>COUNTIFS('TỔNG KLH + TN'!$B:$B,'01. TH'!$B15,'TỔNG KLH + TN'!$C:$C,'01. TH'!AB$4)</f>
        <v>0</v>
      </c>
      <c r="AC15" s="1042">
        <f>COUNTIFS('TỔNG KLH + TN'!$B:$B,'01. TH'!$B15,'TỔNG KLH + TN'!$C:$C,'01. TH'!AC$4)</f>
        <v>0</v>
      </c>
      <c r="AD15" s="1042">
        <f>COUNTIFS('TỔNG KLH + TN'!$B:$B,'01. TH'!$B15,'TỔNG KLH + TN'!$C:$C,'01. TH'!AD$4)</f>
        <v>0</v>
      </c>
      <c r="AE15" s="1043">
        <f t="shared" si="1"/>
        <v>5</v>
      </c>
      <c r="AF15" s="1043"/>
      <c r="AG15" s="1033" t="str">
        <f t="shared" si="2"/>
        <v>ok</v>
      </c>
      <c r="AH15" s="1041"/>
    </row>
    <row r="16" ht="18.75" hidden="1" customHeight="1" outlineLevel="1" spans="1:34">
      <c r="A16" s="1039"/>
      <c r="B16" s="1040" t="s">
        <v>55</v>
      </c>
      <c r="C16" s="1041" t="s">
        <v>41</v>
      </c>
      <c r="D16" s="1041" t="str">
        <f>IFERROR(VLOOKUP(B16,'Danh mục'!$G:$U,15,0),"")</f>
        <v>4749 x 1700 x 2470</v>
      </c>
      <c r="E16" s="1041" t="s">
        <v>42</v>
      </c>
      <c r="F16" s="1042">
        <f>COUNTIFS('TỔNG KLH + TN'!$B:$B,'01. TH'!$B16,'TỔNG KLH + TN'!$C:$C,'01. TH'!F$4)</f>
        <v>0</v>
      </c>
      <c r="G16" s="1042">
        <f>COUNTIFS('TỔNG KLH + TN'!$B:$B,'01. TH'!$B16,'TỔNG KLH + TN'!$C:$C,'01. TH'!G$4)</f>
        <v>0</v>
      </c>
      <c r="H16" s="1042">
        <f>COUNTIFS('TỔNG KLH + TN'!$B:$B,'01. TH'!$B16,'TỔNG KLH + TN'!$C:$C,'01. TH'!H$4)</f>
        <v>0</v>
      </c>
      <c r="I16" s="1042">
        <f>COUNTIFS('TỔNG KLH + TN'!$B:$B,'01. TH'!$B16,'TỔNG KLH + TN'!$C:$C,'01. TH'!I$4)</f>
        <v>0</v>
      </c>
      <c r="J16" s="1042">
        <f>COUNTIFS('TỔNG KLH + TN'!$B:$B,'01. TH'!$B16,'TỔNG KLH + TN'!$C:$C,'01. TH'!J$4)</f>
        <v>0</v>
      </c>
      <c r="K16" s="1042">
        <f>COUNTIFS('TỔNG KLH + TN'!$B:$B,'01. TH'!$B16,'TỔNG KLH + TN'!$C:$C,'01. TH'!K$4)</f>
        <v>0</v>
      </c>
      <c r="L16" s="1042">
        <f>COUNTIFS('TỔNG KLH + TN'!$B:$B,'01. TH'!$B16,'TỔNG KLH + TN'!$C:$C,'01. TH'!L$4)</f>
        <v>0</v>
      </c>
      <c r="M16" s="1042">
        <f>COUNTIFS('TỔNG KLH + TN'!$B:$B,'01. TH'!$B16,'TỔNG KLH + TN'!$C:$C,'01. TH'!M$4)</f>
        <v>0</v>
      </c>
      <c r="N16" s="1042">
        <f>COUNTIFS('TỔNG KLH + TN'!$B:$B,'01. TH'!$B16,'TỔNG KLH + TN'!$C:$C,'01. TH'!N$4)</f>
        <v>0</v>
      </c>
      <c r="O16" s="1042">
        <f>COUNTIFS('TỔNG KLH + TN'!$B:$B,'01. TH'!$B16,'TỔNG KLH + TN'!$C:$C,'01. TH'!O$4)</f>
        <v>1</v>
      </c>
      <c r="P16" s="1042">
        <f>COUNTIFS('TỔNG KLH + TN'!$B:$B,'01. TH'!$B16,'TỔNG KLH + TN'!$C:$C,'01. TH'!P$4)</f>
        <v>0</v>
      </c>
      <c r="Q16" s="1042">
        <f>COUNTIFS('TỔNG KLH + TN'!$B:$B,'01. TH'!$B16,'TỔNG KLH + TN'!$C:$C,'01. TH'!Q$4)</f>
        <v>0</v>
      </c>
      <c r="R16" s="1042">
        <f>COUNTIFS('TỔNG KLH + TN'!$B:$B,'01. TH'!$B16,'TỔNG KLH + TN'!$C:$C,'01. TH'!R$4)</f>
        <v>0</v>
      </c>
      <c r="S16" s="1042">
        <f>COUNTIFS('TỔNG KLH + TN'!$B:$B,'01. TH'!$B16,'TỔNG KLH + TN'!$C:$C,'01. TH'!S$4)</f>
        <v>3</v>
      </c>
      <c r="T16" s="1042">
        <f>COUNTIFS('TỔNG KLH + TN'!$B:$B,'01. TH'!$B16,'TỔNG KLH + TN'!$C:$C,'01. TH'!T$4)</f>
        <v>0</v>
      </c>
      <c r="U16" s="1042">
        <f>COUNTIFS('TỔNG KLH + TN'!$B:$B,'01. TH'!$B16,'TỔNG KLH + TN'!$C:$C,'01. TH'!U$4)</f>
        <v>0</v>
      </c>
      <c r="V16" s="1042">
        <f>COUNTIFS('TỔNG KLH + TN'!$B:$B,'01. TH'!$B16,'TỔNG KLH + TN'!$C:$C,'01. TH'!V$4)</f>
        <v>0</v>
      </c>
      <c r="W16" s="1042">
        <f>COUNTIFS('TỔNG KLH + TN'!$B:$B,'01. TH'!$B16,'TỔNG KLH + TN'!$C:$C,'01. TH'!W$4)</f>
        <v>0</v>
      </c>
      <c r="X16" s="1042">
        <f>COUNTIFS('TỔNG KLH + TN'!$B:$B,'01. TH'!$B16,'TỔNG KLH + TN'!$C:$C,'01. TH'!X$4)</f>
        <v>0</v>
      </c>
      <c r="Y16" s="1042">
        <f>COUNTIFS('TỔNG KLH + TN'!$B:$B,'01. TH'!$B16,'TỔNG KLH + TN'!$C:$C,'01. TH'!Y$4)</f>
        <v>0</v>
      </c>
      <c r="Z16" s="1042">
        <f>COUNTIFS('TỔNG KLH + TN'!$B:$B,'01. TH'!$B16,'TỔNG KLH + TN'!$C:$C,'01. TH'!Z$4)</f>
        <v>0</v>
      </c>
      <c r="AA16" s="1042">
        <f>COUNTIFS('TỔNG KLH + TN'!$B:$B,'01. TH'!$B16,'TỔNG KLH + TN'!$C:$C,'01. TH'!AA$4)</f>
        <v>0</v>
      </c>
      <c r="AB16" s="1042">
        <f>COUNTIFS('TỔNG KLH + TN'!$B:$B,'01. TH'!$B16,'TỔNG KLH + TN'!$C:$C,'01. TH'!AB$4)</f>
        <v>0</v>
      </c>
      <c r="AC16" s="1042">
        <f>COUNTIFS('TỔNG KLH + TN'!$B:$B,'01. TH'!$B16,'TỔNG KLH + TN'!$C:$C,'01. TH'!AC$4)</f>
        <v>0</v>
      </c>
      <c r="AD16" s="1042">
        <f>COUNTIFS('TỔNG KLH + TN'!$B:$B,'01. TH'!$B16,'TỔNG KLH + TN'!$C:$C,'01. TH'!AD$4)</f>
        <v>0</v>
      </c>
      <c r="AE16" s="1043">
        <f t="shared" si="1"/>
        <v>4</v>
      </c>
      <c r="AF16" s="1043"/>
      <c r="AG16" s="1033" t="str">
        <f t="shared" si="2"/>
        <v>ok</v>
      </c>
      <c r="AH16" s="1041"/>
    </row>
    <row r="17" ht="24" customHeight="1" collapsed="1" spans="1:34">
      <c r="A17" s="1033">
        <v>2</v>
      </c>
      <c r="B17" s="1034" t="s">
        <v>56</v>
      </c>
      <c r="C17" s="1035"/>
      <c r="D17" s="1035" t="str">
        <f>IFERROR(VLOOKUP(B17,'Danh mục'!$G:$U,15,0),"")</f>
        <v/>
      </c>
      <c r="E17" s="1035"/>
      <c r="F17" s="1047">
        <f t="shared" ref="F17:AE17" si="3">SUM(F18:F24)</f>
        <v>5</v>
      </c>
      <c r="G17" s="1047">
        <f t="shared" si="3"/>
        <v>0</v>
      </c>
      <c r="H17" s="1047">
        <f t="shared" si="3"/>
        <v>0</v>
      </c>
      <c r="I17" s="1047">
        <f t="shared" si="3"/>
        <v>0</v>
      </c>
      <c r="J17" s="1047">
        <f t="shared" si="3"/>
        <v>0</v>
      </c>
      <c r="K17" s="1047">
        <f t="shared" si="3"/>
        <v>0</v>
      </c>
      <c r="L17" s="1047">
        <f t="shared" si="3"/>
        <v>0</v>
      </c>
      <c r="M17" s="1047">
        <f t="shared" si="3"/>
        <v>0</v>
      </c>
      <c r="N17" s="1047">
        <f t="shared" si="3"/>
        <v>0</v>
      </c>
      <c r="O17" s="1047">
        <f t="shared" si="3"/>
        <v>4</v>
      </c>
      <c r="P17" s="1047">
        <f t="shared" si="3"/>
        <v>0</v>
      </c>
      <c r="Q17" s="1047">
        <f t="shared" si="3"/>
        <v>0</v>
      </c>
      <c r="R17" s="1047">
        <f t="shared" si="3"/>
        <v>0</v>
      </c>
      <c r="S17" s="1047">
        <f t="shared" si="3"/>
        <v>6</v>
      </c>
      <c r="T17" s="1047">
        <f t="shared" si="3"/>
        <v>0</v>
      </c>
      <c r="U17" s="1047">
        <f t="shared" si="3"/>
        <v>0</v>
      </c>
      <c r="V17" s="1047">
        <f t="shared" si="3"/>
        <v>0</v>
      </c>
      <c r="W17" s="1047">
        <f t="shared" si="3"/>
        <v>0</v>
      </c>
      <c r="X17" s="1047">
        <f t="shared" si="3"/>
        <v>0</v>
      </c>
      <c r="Y17" s="1047">
        <f t="shared" si="3"/>
        <v>0</v>
      </c>
      <c r="Z17" s="1047">
        <f t="shared" si="3"/>
        <v>0</v>
      </c>
      <c r="AA17" s="1047">
        <f t="shared" si="3"/>
        <v>0</v>
      </c>
      <c r="AB17" s="1047">
        <f t="shared" si="3"/>
        <v>0</v>
      </c>
      <c r="AC17" s="1047">
        <f t="shared" si="3"/>
        <v>0</v>
      </c>
      <c r="AD17" s="1047">
        <f t="shared" si="3"/>
        <v>0</v>
      </c>
      <c r="AE17" s="1048">
        <f t="shared" si="3"/>
        <v>15</v>
      </c>
      <c r="AF17" s="1048">
        <v>5</v>
      </c>
      <c r="AG17" s="1033" t="str">
        <f t="shared" si="2"/>
        <v>ok</v>
      </c>
      <c r="AH17" s="1038"/>
    </row>
    <row r="18" ht="18.75" hidden="1" customHeight="1" outlineLevel="1" spans="1:34">
      <c r="A18" s="1039"/>
      <c r="B18" s="1040" t="s">
        <v>57</v>
      </c>
      <c r="C18" s="1041" t="s">
        <v>58</v>
      </c>
      <c r="D18" s="1041" t="str">
        <f>IFERROR(VLOOKUP(B18,'Danh mục'!$G:$U,15,0),"")</f>
        <v>4200 x 2980 x 2720</v>
      </c>
      <c r="E18" s="1041" t="s">
        <v>42</v>
      </c>
      <c r="F18" s="1042">
        <f>COUNTIFS('TỔNG KLH + TN'!$B:$B,'01. TH'!$B18,'TỔNG KLH + TN'!$C:$C,'01. TH'!F$4)</f>
        <v>2</v>
      </c>
      <c r="G18" s="1042">
        <f>COUNTIFS('TỔNG KLH + TN'!$B:$B,'01. TH'!$B18,'TỔNG KLH + TN'!$C:$C,'01. TH'!G$4)</f>
        <v>0</v>
      </c>
      <c r="H18" s="1042">
        <f>COUNTIFS('TỔNG KLH + TN'!$B:$B,'01. TH'!$B18,'TỔNG KLH + TN'!$C:$C,'01. TH'!H$4)</f>
        <v>0</v>
      </c>
      <c r="I18" s="1042">
        <f>COUNTIFS('TỔNG KLH + TN'!$B:$B,'01. TH'!$B18,'TỔNG KLH + TN'!$C:$C,'01. TH'!I$4)</f>
        <v>0</v>
      </c>
      <c r="J18" s="1042">
        <f>COUNTIFS('TỔNG KLH + TN'!$B:$B,'01. TH'!$B18,'TỔNG KLH + TN'!$C:$C,'01. TH'!J$4)</f>
        <v>0</v>
      </c>
      <c r="K18" s="1042">
        <f>COUNTIFS('TỔNG KLH + TN'!$B:$B,'01. TH'!$B18,'TỔNG KLH + TN'!$C:$C,'01. TH'!K$4)</f>
        <v>0</v>
      </c>
      <c r="L18" s="1042">
        <f>COUNTIFS('TỔNG KLH + TN'!$B:$B,'01. TH'!$B18,'TỔNG KLH + TN'!$C:$C,'01. TH'!L$4)</f>
        <v>0</v>
      </c>
      <c r="M18" s="1042">
        <f>COUNTIFS('TỔNG KLH + TN'!$B:$B,'01. TH'!$B18,'TỔNG KLH + TN'!$C:$C,'01. TH'!M$4)</f>
        <v>0</v>
      </c>
      <c r="N18" s="1042">
        <f>COUNTIFS('TỔNG KLH + TN'!$B:$B,'01. TH'!$B18,'TỔNG KLH + TN'!$C:$C,'01. TH'!N$4)</f>
        <v>0</v>
      </c>
      <c r="O18" s="1042">
        <f>COUNTIFS('TỔNG KLH + TN'!$B:$B,'01. TH'!$B18,'TỔNG KLH + TN'!$C:$C,'01. TH'!O$4)</f>
        <v>2</v>
      </c>
      <c r="P18" s="1042">
        <f>COUNTIFS('TỔNG KLH + TN'!$B:$B,'01. TH'!$B18,'TỔNG KLH + TN'!$C:$C,'01. TH'!P$4)</f>
        <v>0</v>
      </c>
      <c r="Q18" s="1042">
        <f>COUNTIFS('TỔNG KLH + TN'!$B:$B,'01. TH'!$B18,'TỔNG KLH + TN'!$C:$C,'01. TH'!Q$4)</f>
        <v>0</v>
      </c>
      <c r="R18" s="1042">
        <f>COUNTIFS('TỔNG KLH + TN'!$B:$B,'01. TH'!$B18,'TỔNG KLH + TN'!$C:$C,'01. TH'!R$4)</f>
        <v>0</v>
      </c>
      <c r="S18" s="1042">
        <f>COUNTIFS('TỔNG KLH + TN'!$B:$B,'01. TH'!$B18,'TỔNG KLH + TN'!$C:$C,'01. TH'!S$4)</f>
        <v>4</v>
      </c>
      <c r="T18" s="1042">
        <f>COUNTIFS('TỔNG KLH + TN'!$B:$B,'01. TH'!$B18,'TỔNG KLH + TN'!$C:$C,'01. TH'!T$4)</f>
        <v>0</v>
      </c>
      <c r="U18" s="1042">
        <f>COUNTIFS('TỔNG KLH + TN'!$B:$B,'01. TH'!$B18,'TỔNG KLH + TN'!$C:$C,'01. TH'!U$4)</f>
        <v>0</v>
      </c>
      <c r="V18" s="1042">
        <f>COUNTIFS('TỔNG KLH + TN'!$B:$B,'01. TH'!$B18,'TỔNG KLH + TN'!$C:$C,'01. TH'!V$4)</f>
        <v>0</v>
      </c>
      <c r="W18" s="1042">
        <f>COUNTIFS('TỔNG KLH + TN'!$B:$B,'01. TH'!$B18,'TỔNG KLH + TN'!$C:$C,'01. TH'!W$4)</f>
        <v>0</v>
      </c>
      <c r="X18" s="1042">
        <f>COUNTIFS('TỔNG KLH + TN'!$B:$B,'01. TH'!$B18,'TỔNG KLH + TN'!$C:$C,'01. TH'!X$4)</f>
        <v>0</v>
      </c>
      <c r="Y18" s="1042">
        <f>COUNTIFS('TỔNG KLH + TN'!$B:$B,'01. TH'!$B18,'TỔNG KLH + TN'!$C:$C,'01. TH'!Y$4)</f>
        <v>0</v>
      </c>
      <c r="Z18" s="1042">
        <f>COUNTIFS('TỔNG KLH + TN'!$B:$B,'01. TH'!$B18,'TỔNG KLH + TN'!$C:$C,'01. TH'!Z$4)</f>
        <v>0</v>
      </c>
      <c r="AA18" s="1042">
        <f>COUNTIFS('TỔNG KLH + TN'!$B:$B,'01. TH'!$B18,'TỔNG KLH + TN'!$C:$C,'01. TH'!AA$4)</f>
        <v>0</v>
      </c>
      <c r="AB18" s="1042">
        <f>COUNTIFS('TỔNG KLH + TN'!$B:$B,'01. TH'!$B18,'TỔNG KLH + TN'!$C:$C,'01. TH'!AB$4)</f>
        <v>0</v>
      </c>
      <c r="AC18" s="1042">
        <f>COUNTIFS('TỔNG KLH + TN'!$B:$B,'01. TH'!$B18,'TỔNG KLH + TN'!$C:$C,'01. TH'!AC$4)</f>
        <v>0</v>
      </c>
      <c r="AD18" s="1042">
        <f>COUNTIFS('TỔNG KLH + TN'!$B:$B,'01. TH'!$B18,'TỔNG KLH + TN'!$C:$C,'01. TH'!AD$4)</f>
        <v>0</v>
      </c>
      <c r="AE18" s="1043">
        <f t="shared" ref="AE18:AE24" si="4">SUM(F18:AD18)</f>
        <v>8</v>
      </c>
      <c r="AF18" s="1043"/>
      <c r="AG18" s="1033" t="str">
        <f t="shared" si="2"/>
        <v>ok</v>
      </c>
      <c r="AH18" s="1041"/>
    </row>
    <row r="19" ht="18.75" hidden="1" customHeight="1" outlineLevel="1" spans="1:34">
      <c r="A19" s="1039"/>
      <c r="B19" s="1040" t="s">
        <v>59</v>
      </c>
      <c r="C19" s="1041" t="s">
        <v>58</v>
      </c>
      <c r="D19" s="1041" t="str">
        <f>IFERROR(VLOOKUP(B19,'Danh mục'!$G:$U,15,0),"")</f>
        <v>4200 x 2980 x 2720</v>
      </c>
      <c r="E19" s="1041" t="s">
        <v>42</v>
      </c>
      <c r="F19" s="1042">
        <f>COUNTIFS('TỔNG KLH + TN'!$B:$B,'01. TH'!$B19,'TỔNG KLH + TN'!$C:$C,'01. TH'!F$4)</f>
        <v>0</v>
      </c>
      <c r="G19" s="1042">
        <f>COUNTIFS('TỔNG KLH + TN'!$B:$B,'01. TH'!$B19,'TỔNG KLH + TN'!$C:$C,'01. TH'!G$4)</f>
        <v>0</v>
      </c>
      <c r="H19" s="1042">
        <f>COUNTIFS('TỔNG KLH + TN'!$B:$B,'01. TH'!$B19,'TỔNG KLH + TN'!$C:$C,'01. TH'!H$4)</f>
        <v>0</v>
      </c>
      <c r="I19" s="1042">
        <f>COUNTIFS('TỔNG KLH + TN'!$B:$B,'01. TH'!$B19,'TỔNG KLH + TN'!$C:$C,'01. TH'!I$4)</f>
        <v>0</v>
      </c>
      <c r="J19" s="1042">
        <f>COUNTIFS('TỔNG KLH + TN'!$B:$B,'01. TH'!$B19,'TỔNG KLH + TN'!$C:$C,'01. TH'!J$4)</f>
        <v>0</v>
      </c>
      <c r="K19" s="1042">
        <f>COUNTIFS('TỔNG KLH + TN'!$B:$B,'01. TH'!$B19,'TỔNG KLH + TN'!$C:$C,'01. TH'!K$4)</f>
        <v>0</v>
      </c>
      <c r="L19" s="1042">
        <f>COUNTIFS('TỔNG KLH + TN'!$B:$B,'01. TH'!$B19,'TỔNG KLH + TN'!$C:$C,'01. TH'!L$4)</f>
        <v>0</v>
      </c>
      <c r="M19" s="1042">
        <f>COUNTIFS('TỔNG KLH + TN'!$B:$B,'01. TH'!$B19,'TỔNG KLH + TN'!$C:$C,'01. TH'!M$4)</f>
        <v>0</v>
      </c>
      <c r="N19" s="1042">
        <f>COUNTIFS('TỔNG KLH + TN'!$B:$B,'01. TH'!$B19,'TỔNG KLH + TN'!$C:$C,'01. TH'!N$4)</f>
        <v>0</v>
      </c>
      <c r="O19" s="1042">
        <f>COUNTIFS('TỔNG KLH + TN'!$B:$B,'01. TH'!$B19,'TỔNG KLH + TN'!$C:$C,'01. TH'!O$4)</f>
        <v>1</v>
      </c>
      <c r="P19" s="1042">
        <f>COUNTIFS('TỔNG KLH + TN'!$B:$B,'01. TH'!$B19,'TỔNG KLH + TN'!$C:$C,'01. TH'!P$4)</f>
        <v>0</v>
      </c>
      <c r="Q19" s="1042">
        <f>COUNTIFS('TỔNG KLH + TN'!$B:$B,'01. TH'!$B19,'TỔNG KLH + TN'!$C:$C,'01. TH'!Q$4)</f>
        <v>0</v>
      </c>
      <c r="R19" s="1042">
        <f>COUNTIFS('TỔNG KLH + TN'!$B:$B,'01. TH'!$B19,'TỔNG KLH + TN'!$C:$C,'01. TH'!R$4)</f>
        <v>0</v>
      </c>
      <c r="S19" s="1042">
        <f>COUNTIFS('TỔNG KLH + TN'!$B:$B,'01. TH'!$B19,'TỔNG KLH + TN'!$C:$C,'01. TH'!S$4)</f>
        <v>0</v>
      </c>
      <c r="T19" s="1042">
        <f>COUNTIFS('TỔNG KLH + TN'!$B:$B,'01. TH'!$B19,'TỔNG KLH + TN'!$C:$C,'01. TH'!T$4)</f>
        <v>0</v>
      </c>
      <c r="U19" s="1042">
        <f>COUNTIFS('TỔNG KLH + TN'!$B:$B,'01. TH'!$B19,'TỔNG KLH + TN'!$C:$C,'01. TH'!U$4)</f>
        <v>0</v>
      </c>
      <c r="V19" s="1042">
        <f>COUNTIFS('TỔNG KLH + TN'!$B:$B,'01. TH'!$B19,'TỔNG KLH + TN'!$C:$C,'01. TH'!V$4)</f>
        <v>0</v>
      </c>
      <c r="W19" s="1042">
        <f>COUNTIFS('TỔNG KLH + TN'!$B:$B,'01. TH'!$B19,'TỔNG KLH + TN'!$C:$C,'01. TH'!W$4)</f>
        <v>0</v>
      </c>
      <c r="X19" s="1042">
        <f>COUNTIFS('TỔNG KLH + TN'!$B:$B,'01. TH'!$B19,'TỔNG KLH + TN'!$C:$C,'01. TH'!X$4)</f>
        <v>0</v>
      </c>
      <c r="Y19" s="1042">
        <f>COUNTIFS('TỔNG KLH + TN'!$B:$B,'01. TH'!$B19,'TỔNG KLH + TN'!$C:$C,'01. TH'!Y$4)</f>
        <v>0</v>
      </c>
      <c r="Z19" s="1042">
        <f>COUNTIFS('TỔNG KLH + TN'!$B:$B,'01. TH'!$B19,'TỔNG KLH + TN'!$C:$C,'01. TH'!Z$4)</f>
        <v>0</v>
      </c>
      <c r="AA19" s="1042">
        <f>COUNTIFS('TỔNG KLH + TN'!$B:$B,'01. TH'!$B19,'TỔNG KLH + TN'!$C:$C,'01. TH'!AA$4)</f>
        <v>0</v>
      </c>
      <c r="AB19" s="1042">
        <f>COUNTIFS('TỔNG KLH + TN'!$B:$B,'01. TH'!$B19,'TỔNG KLH + TN'!$C:$C,'01. TH'!AB$4)</f>
        <v>0</v>
      </c>
      <c r="AC19" s="1042">
        <f>COUNTIFS('TỔNG KLH + TN'!$B:$B,'01. TH'!$B19,'TỔNG KLH + TN'!$C:$C,'01. TH'!AC$4)</f>
        <v>0</v>
      </c>
      <c r="AD19" s="1042">
        <f>COUNTIFS('TỔNG KLH + TN'!$B:$B,'01. TH'!$B19,'TỔNG KLH + TN'!$C:$C,'01. TH'!AD$4)</f>
        <v>0</v>
      </c>
      <c r="AE19" s="1043">
        <f t="shared" si="4"/>
        <v>1</v>
      </c>
      <c r="AF19" s="1043"/>
      <c r="AG19" s="1033" t="str">
        <f t="shared" si="2"/>
        <v>ok</v>
      </c>
      <c r="AH19" s="1039"/>
    </row>
    <row r="20" ht="18.75" hidden="1" customHeight="1" outlineLevel="1" spans="1:34">
      <c r="A20" s="1039"/>
      <c r="B20" s="1040" t="s">
        <v>60</v>
      </c>
      <c r="C20" s="1041" t="s">
        <v>61</v>
      </c>
      <c r="D20" s="1041" t="str">
        <f>IFERROR(VLOOKUP(B20,'Danh mục'!$G:$U,15,0),"")</f>
        <v>5585 x 3000 x 3055</v>
      </c>
      <c r="E20" s="1041" t="s">
        <v>42</v>
      </c>
      <c r="F20" s="1042">
        <f>COUNTIFS('TỔNG KLH + TN'!$B:$B,'01. TH'!$B20,'TỔNG KLH + TN'!$C:$C,'01. TH'!F$4)</f>
        <v>0</v>
      </c>
      <c r="G20" s="1042">
        <f>COUNTIFS('TỔNG KLH + TN'!$B:$B,'01. TH'!$B20,'TỔNG KLH + TN'!$C:$C,'01. TH'!G$4)</f>
        <v>0</v>
      </c>
      <c r="H20" s="1042">
        <f>COUNTIFS('TỔNG KLH + TN'!$B:$B,'01. TH'!$B20,'TỔNG KLH + TN'!$C:$C,'01. TH'!H$4)</f>
        <v>0</v>
      </c>
      <c r="I20" s="1042">
        <f>COUNTIFS('TỔNG KLH + TN'!$B:$B,'01. TH'!$B20,'TỔNG KLH + TN'!$C:$C,'01. TH'!I$4)</f>
        <v>0</v>
      </c>
      <c r="J20" s="1042">
        <f>COUNTIFS('TỔNG KLH + TN'!$B:$B,'01. TH'!$B20,'TỔNG KLH + TN'!$C:$C,'01. TH'!J$4)</f>
        <v>0</v>
      </c>
      <c r="K20" s="1042">
        <f>COUNTIFS('TỔNG KLH + TN'!$B:$B,'01. TH'!$B20,'TỔNG KLH + TN'!$C:$C,'01. TH'!K$4)</f>
        <v>0</v>
      </c>
      <c r="L20" s="1042">
        <f>COUNTIFS('TỔNG KLH + TN'!$B:$B,'01. TH'!$B20,'TỔNG KLH + TN'!$C:$C,'01. TH'!L$4)</f>
        <v>0</v>
      </c>
      <c r="M20" s="1042">
        <f>COUNTIFS('TỔNG KLH + TN'!$B:$B,'01. TH'!$B20,'TỔNG KLH + TN'!$C:$C,'01. TH'!M$4)</f>
        <v>0</v>
      </c>
      <c r="N20" s="1042">
        <f>COUNTIFS('TỔNG KLH + TN'!$B:$B,'01. TH'!$B20,'TỔNG KLH + TN'!$C:$C,'01. TH'!N$4)</f>
        <v>0</v>
      </c>
      <c r="O20" s="1042">
        <f>COUNTIFS('TỔNG KLH + TN'!$B:$B,'01. TH'!$B20,'TỔNG KLH + TN'!$C:$C,'01. TH'!O$4)</f>
        <v>1</v>
      </c>
      <c r="P20" s="1042">
        <f>COUNTIFS('TỔNG KLH + TN'!$B:$B,'01. TH'!$B20,'TỔNG KLH + TN'!$C:$C,'01. TH'!P$4)</f>
        <v>0</v>
      </c>
      <c r="Q20" s="1042">
        <f>COUNTIFS('TỔNG KLH + TN'!$B:$B,'01. TH'!$B20,'TỔNG KLH + TN'!$C:$C,'01. TH'!Q$4)</f>
        <v>0</v>
      </c>
      <c r="R20" s="1042">
        <f>COUNTIFS('TỔNG KLH + TN'!$B:$B,'01. TH'!$B20,'TỔNG KLH + TN'!$C:$C,'01. TH'!R$4)</f>
        <v>0</v>
      </c>
      <c r="S20" s="1042">
        <f>COUNTIFS('TỔNG KLH + TN'!$B:$B,'01. TH'!$B20,'TỔNG KLH + TN'!$C:$C,'01. TH'!S$4)</f>
        <v>0</v>
      </c>
      <c r="T20" s="1042">
        <f>COUNTIFS('TỔNG KLH + TN'!$B:$B,'01. TH'!$B20,'TỔNG KLH + TN'!$C:$C,'01. TH'!T$4)</f>
        <v>0</v>
      </c>
      <c r="U20" s="1042">
        <f>COUNTIFS('TỔNG KLH + TN'!$B:$B,'01. TH'!$B20,'TỔNG KLH + TN'!$C:$C,'01. TH'!U$4)</f>
        <v>0</v>
      </c>
      <c r="V20" s="1042">
        <f>COUNTIFS('TỔNG KLH + TN'!$B:$B,'01. TH'!$B20,'TỔNG KLH + TN'!$C:$C,'01. TH'!V$4)</f>
        <v>0</v>
      </c>
      <c r="W20" s="1042">
        <f>COUNTIFS('TỔNG KLH + TN'!$B:$B,'01. TH'!$B20,'TỔNG KLH + TN'!$C:$C,'01. TH'!W$4)</f>
        <v>0</v>
      </c>
      <c r="X20" s="1042">
        <f>COUNTIFS('TỔNG KLH + TN'!$B:$B,'01. TH'!$B20,'TỔNG KLH + TN'!$C:$C,'01. TH'!X$4)</f>
        <v>0</v>
      </c>
      <c r="Y20" s="1042">
        <f>COUNTIFS('TỔNG KLH + TN'!$B:$B,'01. TH'!$B20,'TỔNG KLH + TN'!$C:$C,'01. TH'!Y$4)</f>
        <v>0</v>
      </c>
      <c r="Z20" s="1042">
        <f>COUNTIFS('TỔNG KLH + TN'!$B:$B,'01. TH'!$B20,'TỔNG KLH + TN'!$C:$C,'01. TH'!Z$4)</f>
        <v>0</v>
      </c>
      <c r="AA20" s="1042">
        <f>COUNTIFS('TỔNG KLH + TN'!$B:$B,'01. TH'!$B20,'TỔNG KLH + TN'!$C:$C,'01. TH'!AA$4)</f>
        <v>0</v>
      </c>
      <c r="AB20" s="1042">
        <f>COUNTIFS('TỔNG KLH + TN'!$B:$B,'01. TH'!$B20,'TỔNG KLH + TN'!$C:$C,'01. TH'!AB$4)</f>
        <v>0</v>
      </c>
      <c r="AC20" s="1042">
        <f>COUNTIFS('TỔNG KLH + TN'!$B:$B,'01. TH'!$B20,'TỔNG KLH + TN'!$C:$C,'01. TH'!AC$4)</f>
        <v>0</v>
      </c>
      <c r="AD20" s="1042">
        <f>COUNTIFS('TỔNG KLH + TN'!$B:$B,'01. TH'!$B20,'TỔNG KLH + TN'!$C:$C,'01. TH'!AD$4)</f>
        <v>0</v>
      </c>
      <c r="AE20" s="1043">
        <f t="shared" si="4"/>
        <v>1</v>
      </c>
      <c r="AF20" s="1043"/>
      <c r="AG20" s="1033" t="str">
        <f t="shared" si="2"/>
        <v>ok</v>
      </c>
      <c r="AH20" s="1041"/>
    </row>
    <row r="21" ht="18.75" hidden="1" customHeight="1" outlineLevel="1" spans="1:34">
      <c r="A21" s="1039"/>
      <c r="B21" s="1040" t="s">
        <v>62</v>
      </c>
      <c r="C21" s="1041" t="s">
        <v>61</v>
      </c>
      <c r="D21" s="1041" t="str">
        <f>IFERROR(VLOOKUP(B21,'Danh mục'!$G:$U,15,0),"")</f>
        <v>5585 x 3000 x 3055</v>
      </c>
      <c r="E21" s="1041" t="s">
        <v>42</v>
      </c>
      <c r="F21" s="1042">
        <f>COUNTIFS('TỔNG KLH + TN'!$B:$B,'01. TH'!$B21,'TỔNG KLH + TN'!$C:$C,'01. TH'!F$4)</f>
        <v>2</v>
      </c>
      <c r="G21" s="1042">
        <f>COUNTIFS('TỔNG KLH + TN'!$B:$B,'01. TH'!$B21,'TỔNG KLH + TN'!$C:$C,'01. TH'!G$4)</f>
        <v>0</v>
      </c>
      <c r="H21" s="1042">
        <f>COUNTIFS('TỔNG KLH + TN'!$B:$B,'01. TH'!$B21,'TỔNG KLH + TN'!$C:$C,'01. TH'!H$4)</f>
        <v>0</v>
      </c>
      <c r="I21" s="1042">
        <f>COUNTIFS('TỔNG KLH + TN'!$B:$B,'01. TH'!$B21,'TỔNG KLH + TN'!$C:$C,'01. TH'!I$4)</f>
        <v>0</v>
      </c>
      <c r="J21" s="1042">
        <f>COUNTIFS('TỔNG KLH + TN'!$B:$B,'01. TH'!$B21,'TỔNG KLH + TN'!$C:$C,'01. TH'!J$4)</f>
        <v>0</v>
      </c>
      <c r="K21" s="1042">
        <f>COUNTIFS('TỔNG KLH + TN'!$B:$B,'01. TH'!$B21,'TỔNG KLH + TN'!$C:$C,'01. TH'!K$4)</f>
        <v>0</v>
      </c>
      <c r="L21" s="1042">
        <f>COUNTIFS('TỔNG KLH + TN'!$B:$B,'01. TH'!$B21,'TỔNG KLH + TN'!$C:$C,'01. TH'!L$4)</f>
        <v>0</v>
      </c>
      <c r="M21" s="1042">
        <f>COUNTIFS('TỔNG KLH + TN'!$B:$B,'01. TH'!$B21,'TỔNG KLH + TN'!$C:$C,'01. TH'!M$4)</f>
        <v>0</v>
      </c>
      <c r="N21" s="1042">
        <f>COUNTIFS('TỔNG KLH + TN'!$B:$B,'01. TH'!$B21,'TỔNG KLH + TN'!$C:$C,'01. TH'!N$4)</f>
        <v>0</v>
      </c>
      <c r="O21" s="1042">
        <f>COUNTIFS('TỔNG KLH + TN'!$B:$B,'01. TH'!$B21,'TỔNG KLH + TN'!$C:$C,'01. TH'!O$4)</f>
        <v>0</v>
      </c>
      <c r="P21" s="1042">
        <f>COUNTIFS('TỔNG KLH + TN'!$B:$B,'01. TH'!$B21,'TỔNG KLH + TN'!$C:$C,'01. TH'!P$4)</f>
        <v>0</v>
      </c>
      <c r="Q21" s="1042">
        <f>COUNTIFS('TỔNG KLH + TN'!$B:$B,'01. TH'!$B21,'TỔNG KLH + TN'!$C:$C,'01. TH'!Q$4)</f>
        <v>0</v>
      </c>
      <c r="R21" s="1042">
        <f>COUNTIFS('TỔNG KLH + TN'!$B:$B,'01. TH'!$B21,'TỔNG KLH + TN'!$C:$C,'01. TH'!R$4)</f>
        <v>0</v>
      </c>
      <c r="S21" s="1042">
        <f>COUNTIFS('TỔNG KLH + TN'!$B:$B,'01. TH'!$B21,'TỔNG KLH + TN'!$C:$C,'01. TH'!S$4)</f>
        <v>0</v>
      </c>
      <c r="T21" s="1042">
        <f>COUNTIFS('TỔNG KLH + TN'!$B:$B,'01. TH'!$B21,'TỔNG KLH + TN'!$C:$C,'01. TH'!T$4)</f>
        <v>0</v>
      </c>
      <c r="U21" s="1042">
        <f>COUNTIFS('TỔNG KLH + TN'!$B:$B,'01. TH'!$B21,'TỔNG KLH + TN'!$C:$C,'01. TH'!U$4)</f>
        <v>0</v>
      </c>
      <c r="V21" s="1042">
        <f>COUNTIFS('TỔNG KLH + TN'!$B:$B,'01. TH'!$B21,'TỔNG KLH + TN'!$C:$C,'01. TH'!V$4)</f>
        <v>0</v>
      </c>
      <c r="W21" s="1042">
        <f>COUNTIFS('TỔNG KLH + TN'!$B:$B,'01. TH'!$B21,'TỔNG KLH + TN'!$C:$C,'01. TH'!W$4)</f>
        <v>0</v>
      </c>
      <c r="X21" s="1042">
        <f>COUNTIFS('TỔNG KLH + TN'!$B:$B,'01. TH'!$B21,'TỔNG KLH + TN'!$C:$C,'01. TH'!X$4)</f>
        <v>0</v>
      </c>
      <c r="Y21" s="1042">
        <f>COUNTIFS('TỔNG KLH + TN'!$B:$B,'01. TH'!$B21,'TỔNG KLH + TN'!$C:$C,'01. TH'!Y$4)</f>
        <v>0</v>
      </c>
      <c r="Z21" s="1042">
        <f>COUNTIFS('TỔNG KLH + TN'!$B:$B,'01. TH'!$B21,'TỔNG KLH + TN'!$C:$C,'01. TH'!Z$4)</f>
        <v>0</v>
      </c>
      <c r="AA21" s="1042">
        <f>COUNTIFS('TỔNG KLH + TN'!$B:$B,'01. TH'!$B21,'TỔNG KLH + TN'!$C:$C,'01. TH'!AA$4)</f>
        <v>0</v>
      </c>
      <c r="AB21" s="1042">
        <f>COUNTIFS('TỔNG KLH + TN'!$B:$B,'01. TH'!$B21,'TỔNG KLH + TN'!$C:$C,'01. TH'!AB$4)</f>
        <v>0</v>
      </c>
      <c r="AC21" s="1042">
        <f>COUNTIFS('TỔNG KLH + TN'!$B:$B,'01. TH'!$B21,'TỔNG KLH + TN'!$C:$C,'01. TH'!AC$4)</f>
        <v>0</v>
      </c>
      <c r="AD21" s="1042">
        <f>COUNTIFS('TỔNG KLH + TN'!$B:$B,'01. TH'!$B21,'TỔNG KLH + TN'!$C:$C,'01. TH'!AD$4)</f>
        <v>0</v>
      </c>
      <c r="AE21" s="1043">
        <f t="shared" si="4"/>
        <v>2</v>
      </c>
      <c r="AF21" s="1043"/>
      <c r="AG21" s="1033" t="str">
        <f t="shared" si="2"/>
        <v>ok</v>
      </c>
      <c r="AH21" s="1041"/>
    </row>
    <row r="22" ht="18.75" hidden="1" customHeight="1" outlineLevel="1" spans="1:34">
      <c r="A22" s="1039"/>
      <c r="B22" s="1040" t="s">
        <v>63</v>
      </c>
      <c r="C22" s="1041" t="s">
        <v>64</v>
      </c>
      <c r="D22" s="1041" t="str">
        <f>IFERROR(VLOOKUP(B22,'Danh mục'!$G:$U,15,0),"")</f>
        <v>5540 x 3860 x 3150</v>
      </c>
      <c r="E22" s="1041" t="s">
        <v>42</v>
      </c>
      <c r="F22" s="1042">
        <f>COUNTIFS('TỔNG KLH + TN'!$B:$B,'01. TH'!$B22,'TỔNG KLH + TN'!$C:$C,'01. TH'!F$4)</f>
        <v>0</v>
      </c>
      <c r="G22" s="1042">
        <f>COUNTIFS('TỔNG KLH + TN'!$B:$B,'01. TH'!$B22,'TỔNG KLH + TN'!$C:$C,'01. TH'!G$4)</f>
        <v>0</v>
      </c>
      <c r="H22" s="1042">
        <f>COUNTIFS('TỔNG KLH + TN'!$B:$B,'01. TH'!$B22,'TỔNG KLH + TN'!$C:$C,'01. TH'!H$4)</f>
        <v>0</v>
      </c>
      <c r="I22" s="1042">
        <f>COUNTIFS('TỔNG KLH + TN'!$B:$B,'01. TH'!$B22,'TỔNG KLH + TN'!$C:$C,'01. TH'!I$4)</f>
        <v>0</v>
      </c>
      <c r="J22" s="1042">
        <f>COUNTIFS('TỔNG KLH + TN'!$B:$B,'01. TH'!$B22,'TỔNG KLH + TN'!$C:$C,'01. TH'!J$4)</f>
        <v>0</v>
      </c>
      <c r="K22" s="1042">
        <f>COUNTIFS('TỔNG KLH + TN'!$B:$B,'01. TH'!$B22,'TỔNG KLH + TN'!$C:$C,'01. TH'!K$4)</f>
        <v>0</v>
      </c>
      <c r="L22" s="1042">
        <f>COUNTIFS('TỔNG KLH + TN'!$B:$B,'01. TH'!$B22,'TỔNG KLH + TN'!$C:$C,'01. TH'!L$4)</f>
        <v>0</v>
      </c>
      <c r="M22" s="1042">
        <f>COUNTIFS('TỔNG KLH + TN'!$B:$B,'01. TH'!$B22,'TỔNG KLH + TN'!$C:$C,'01. TH'!M$4)</f>
        <v>0</v>
      </c>
      <c r="N22" s="1042">
        <f>COUNTIFS('TỔNG KLH + TN'!$B:$B,'01. TH'!$B22,'TỔNG KLH + TN'!$C:$C,'01. TH'!N$4)</f>
        <v>0</v>
      </c>
      <c r="O22" s="1042">
        <f>COUNTIFS('TỔNG KLH + TN'!$B:$B,'01. TH'!$B22,'TỔNG KLH + TN'!$C:$C,'01. TH'!O$4)</f>
        <v>0</v>
      </c>
      <c r="P22" s="1042">
        <f>COUNTIFS('TỔNG KLH + TN'!$B:$B,'01. TH'!$B22,'TỔNG KLH + TN'!$C:$C,'01. TH'!P$4)</f>
        <v>0</v>
      </c>
      <c r="Q22" s="1042">
        <f>COUNTIFS('TỔNG KLH + TN'!$B:$B,'01. TH'!$B22,'TỔNG KLH + TN'!$C:$C,'01. TH'!Q$4)</f>
        <v>0</v>
      </c>
      <c r="R22" s="1042">
        <f>COUNTIFS('TỔNG KLH + TN'!$B:$B,'01. TH'!$B22,'TỔNG KLH + TN'!$C:$C,'01. TH'!R$4)</f>
        <v>0</v>
      </c>
      <c r="S22" s="1042">
        <f>COUNTIFS('TỔNG KLH + TN'!$B:$B,'01. TH'!$B22,'TỔNG KLH + TN'!$C:$C,'01. TH'!S$4)</f>
        <v>1</v>
      </c>
      <c r="T22" s="1042">
        <f>COUNTIFS('TỔNG KLH + TN'!$B:$B,'01. TH'!$B22,'TỔNG KLH + TN'!$C:$C,'01. TH'!T$4)</f>
        <v>0</v>
      </c>
      <c r="U22" s="1042">
        <f>COUNTIFS('TỔNG KLH + TN'!$B:$B,'01. TH'!$B22,'TỔNG KLH + TN'!$C:$C,'01. TH'!U$4)</f>
        <v>0</v>
      </c>
      <c r="V22" s="1042">
        <f>COUNTIFS('TỔNG KLH + TN'!$B:$B,'01. TH'!$B22,'TỔNG KLH + TN'!$C:$C,'01. TH'!V$4)</f>
        <v>0</v>
      </c>
      <c r="W22" s="1042">
        <f>COUNTIFS('TỔNG KLH + TN'!$B:$B,'01. TH'!$B22,'TỔNG KLH + TN'!$C:$C,'01. TH'!W$4)</f>
        <v>0</v>
      </c>
      <c r="X22" s="1042">
        <f>COUNTIFS('TỔNG KLH + TN'!$B:$B,'01. TH'!$B22,'TỔNG KLH + TN'!$C:$C,'01. TH'!X$4)</f>
        <v>0</v>
      </c>
      <c r="Y22" s="1042">
        <f>COUNTIFS('TỔNG KLH + TN'!$B:$B,'01. TH'!$B22,'TỔNG KLH + TN'!$C:$C,'01. TH'!Y$4)</f>
        <v>0</v>
      </c>
      <c r="Z22" s="1042">
        <f>COUNTIFS('TỔNG KLH + TN'!$B:$B,'01. TH'!$B22,'TỔNG KLH + TN'!$C:$C,'01. TH'!Z$4)</f>
        <v>0</v>
      </c>
      <c r="AA22" s="1042">
        <f>COUNTIFS('TỔNG KLH + TN'!$B:$B,'01. TH'!$B22,'TỔNG KLH + TN'!$C:$C,'01. TH'!AA$4)</f>
        <v>0</v>
      </c>
      <c r="AB22" s="1042">
        <f>COUNTIFS('TỔNG KLH + TN'!$B:$B,'01. TH'!$B22,'TỔNG KLH + TN'!$C:$C,'01. TH'!AB$4)</f>
        <v>0</v>
      </c>
      <c r="AC22" s="1042">
        <f>COUNTIFS('TỔNG KLH + TN'!$B:$B,'01. TH'!$B22,'TỔNG KLH + TN'!$C:$C,'01. TH'!AC$4)</f>
        <v>0</v>
      </c>
      <c r="AD22" s="1042">
        <f>COUNTIFS('TỔNG KLH + TN'!$B:$B,'01. TH'!$B22,'TỔNG KLH + TN'!$C:$C,'01. TH'!AD$4)</f>
        <v>0</v>
      </c>
      <c r="AE22" s="1043">
        <f t="shared" si="4"/>
        <v>1</v>
      </c>
      <c r="AF22" s="1043"/>
      <c r="AG22" s="1033" t="str">
        <f t="shared" si="2"/>
        <v>ok</v>
      </c>
      <c r="AH22" s="1039"/>
    </row>
    <row r="23" ht="18.75" hidden="1" customHeight="1" outlineLevel="1" spans="1:34">
      <c r="A23" s="1044"/>
      <c r="B23" s="1040" t="s">
        <v>65</v>
      </c>
      <c r="C23" s="1041" t="s">
        <v>61</v>
      </c>
      <c r="D23" s="1041" t="str">
        <f>IFERROR(VLOOKUP(B23,'Danh mục'!$G:$U,15,0),"")</f>
        <v>5550 x 3970 x 3090</v>
      </c>
      <c r="E23" s="1041" t="s">
        <v>42</v>
      </c>
      <c r="F23" s="1042">
        <f>COUNTIFS('TỔNG KLH + TN'!$B:$B,'01. TH'!$B23,'TỔNG KLH + TN'!$C:$C,'01. TH'!F$4)</f>
        <v>1</v>
      </c>
      <c r="G23" s="1042">
        <f>COUNTIFS('TỔNG KLH + TN'!$B:$B,'01. TH'!$B23,'TỔNG KLH + TN'!$C:$C,'01. TH'!G$4)</f>
        <v>0</v>
      </c>
      <c r="H23" s="1042">
        <f>COUNTIFS('TỔNG KLH + TN'!$B:$B,'01. TH'!$B23,'TỔNG KLH + TN'!$C:$C,'01. TH'!H$4)</f>
        <v>0</v>
      </c>
      <c r="I23" s="1042">
        <f>COUNTIFS('TỔNG KLH + TN'!$B:$B,'01. TH'!$B23,'TỔNG KLH + TN'!$C:$C,'01. TH'!I$4)</f>
        <v>0</v>
      </c>
      <c r="J23" s="1042">
        <f>COUNTIFS('TỔNG KLH + TN'!$B:$B,'01. TH'!$B23,'TỔNG KLH + TN'!$C:$C,'01. TH'!J$4)</f>
        <v>0</v>
      </c>
      <c r="K23" s="1042">
        <f>COUNTIFS('TỔNG KLH + TN'!$B:$B,'01. TH'!$B23,'TỔNG KLH + TN'!$C:$C,'01. TH'!K$4)</f>
        <v>0</v>
      </c>
      <c r="L23" s="1042">
        <f>COUNTIFS('TỔNG KLH + TN'!$B:$B,'01. TH'!$B23,'TỔNG KLH + TN'!$C:$C,'01. TH'!L$4)</f>
        <v>0</v>
      </c>
      <c r="M23" s="1042">
        <f>COUNTIFS('TỔNG KLH + TN'!$B:$B,'01. TH'!$B23,'TỔNG KLH + TN'!$C:$C,'01. TH'!M$4)</f>
        <v>0</v>
      </c>
      <c r="N23" s="1042">
        <f>COUNTIFS('TỔNG KLH + TN'!$B:$B,'01. TH'!$B23,'TỔNG KLH + TN'!$C:$C,'01. TH'!N$4)</f>
        <v>0</v>
      </c>
      <c r="O23" s="1042">
        <f>COUNTIFS('TỔNG KLH + TN'!$B:$B,'01. TH'!$B23,'TỔNG KLH + TN'!$C:$C,'01. TH'!O$4)</f>
        <v>0</v>
      </c>
      <c r="P23" s="1042">
        <f>COUNTIFS('TỔNG KLH + TN'!$B:$B,'01. TH'!$B23,'TỔNG KLH + TN'!$C:$C,'01. TH'!P$4)</f>
        <v>0</v>
      </c>
      <c r="Q23" s="1042">
        <f>COUNTIFS('TỔNG KLH + TN'!$B:$B,'01. TH'!$B23,'TỔNG KLH + TN'!$C:$C,'01. TH'!Q$4)</f>
        <v>0</v>
      </c>
      <c r="R23" s="1042">
        <f>COUNTIFS('TỔNG KLH + TN'!$B:$B,'01. TH'!$B23,'TỔNG KLH + TN'!$C:$C,'01. TH'!R$4)</f>
        <v>0</v>
      </c>
      <c r="S23" s="1042">
        <f>COUNTIFS('TỔNG KLH + TN'!$B:$B,'01. TH'!$B23,'TỔNG KLH + TN'!$C:$C,'01. TH'!S$4)</f>
        <v>0</v>
      </c>
      <c r="T23" s="1042">
        <f>COUNTIFS('TỔNG KLH + TN'!$B:$B,'01. TH'!$B23,'TỔNG KLH + TN'!$C:$C,'01. TH'!T$4)</f>
        <v>0</v>
      </c>
      <c r="U23" s="1042">
        <f>COUNTIFS('TỔNG KLH + TN'!$B:$B,'01. TH'!$B23,'TỔNG KLH + TN'!$C:$C,'01. TH'!U$4)</f>
        <v>0</v>
      </c>
      <c r="V23" s="1042">
        <f>COUNTIFS('TỔNG KLH + TN'!$B:$B,'01. TH'!$B23,'TỔNG KLH + TN'!$C:$C,'01. TH'!V$4)</f>
        <v>0</v>
      </c>
      <c r="W23" s="1042">
        <f>COUNTIFS('TỔNG KLH + TN'!$B:$B,'01. TH'!$B23,'TỔNG KLH + TN'!$C:$C,'01. TH'!W$4)</f>
        <v>0</v>
      </c>
      <c r="X23" s="1042">
        <f>COUNTIFS('TỔNG KLH + TN'!$B:$B,'01. TH'!$B23,'TỔNG KLH + TN'!$C:$C,'01. TH'!X$4)</f>
        <v>0</v>
      </c>
      <c r="Y23" s="1042">
        <f>COUNTIFS('TỔNG KLH + TN'!$B:$B,'01. TH'!$B23,'TỔNG KLH + TN'!$C:$C,'01. TH'!Y$4)</f>
        <v>0</v>
      </c>
      <c r="Z23" s="1042">
        <f>COUNTIFS('TỔNG KLH + TN'!$B:$B,'01. TH'!$B23,'TỔNG KLH + TN'!$C:$C,'01. TH'!Z$4)</f>
        <v>0</v>
      </c>
      <c r="AA23" s="1042">
        <f>COUNTIFS('TỔNG KLH + TN'!$B:$B,'01. TH'!$B23,'TỔNG KLH + TN'!$C:$C,'01. TH'!AA$4)</f>
        <v>0</v>
      </c>
      <c r="AB23" s="1042">
        <f>COUNTIFS('TỔNG KLH + TN'!$B:$B,'01. TH'!$B23,'TỔNG KLH + TN'!$C:$C,'01. TH'!AB$4)</f>
        <v>0</v>
      </c>
      <c r="AC23" s="1042">
        <f>COUNTIFS('TỔNG KLH + TN'!$B:$B,'01. TH'!$B23,'TỔNG KLH + TN'!$C:$C,'01. TH'!AC$4)</f>
        <v>0</v>
      </c>
      <c r="AD23" s="1042">
        <f>COUNTIFS('TỔNG KLH + TN'!$B:$B,'01. TH'!$B23,'TỔNG KLH + TN'!$C:$C,'01. TH'!AD$4)</f>
        <v>0</v>
      </c>
      <c r="AE23" s="1045">
        <f t="shared" si="4"/>
        <v>1</v>
      </c>
      <c r="AF23" s="1045"/>
      <c r="AG23" s="1033" t="str">
        <f t="shared" si="2"/>
        <v>ok</v>
      </c>
      <c r="AH23" s="1046"/>
    </row>
    <row r="24" ht="18.75" hidden="1" customHeight="1" outlineLevel="1" spans="1:34">
      <c r="A24" s="1039"/>
      <c r="B24" s="1040" t="s">
        <v>66</v>
      </c>
      <c r="C24" s="1041" t="s">
        <v>61</v>
      </c>
      <c r="D24" s="1041" t="str">
        <f>IFERROR(VLOOKUP(B24,'Danh mục'!$G:$U,15,0),"")</f>
        <v>5550 x 3970 x 3090</v>
      </c>
      <c r="E24" s="1041" t="s">
        <v>42</v>
      </c>
      <c r="F24" s="1042">
        <f>COUNTIFS('TỔNG KLH + TN'!$B:$B,'01. TH'!$B24,'TỔNG KLH + TN'!$C:$C,'01. TH'!F$4)</f>
        <v>0</v>
      </c>
      <c r="G24" s="1042">
        <f>COUNTIFS('TỔNG KLH + TN'!$B:$B,'01. TH'!$B24,'TỔNG KLH + TN'!$C:$C,'01. TH'!G$4)</f>
        <v>0</v>
      </c>
      <c r="H24" s="1042">
        <f>COUNTIFS('TỔNG KLH + TN'!$B:$B,'01. TH'!$B24,'TỔNG KLH + TN'!$C:$C,'01. TH'!H$4)</f>
        <v>0</v>
      </c>
      <c r="I24" s="1042">
        <f>COUNTIFS('TỔNG KLH + TN'!$B:$B,'01. TH'!$B24,'TỔNG KLH + TN'!$C:$C,'01. TH'!I$4)</f>
        <v>0</v>
      </c>
      <c r="J24" s="1042">
        <f>COUNTIFS('TỔNG KLH + TN'!$B:$B,'01. TH'!$B24,'TỔNG KLH + TN'!$C:$C,'01. TH'!J$4)</f>
        <v>0</v>
      </c>
      <c r="K24" s="1042">
        <f>COUNTIFS('TỔNG KLH + TN'!$B:$B,'01. TH'!$B24,'TỔNG KLH + TN'!$C:$C,'01. TH'!K$4)</f>
        <v>0</v>
      </c>
      <c r="L24" s="1042">
        <f>COUNTIFS('TỔNG KLH + TN'!$B:$B,'01. TH'!$B24,'TỔNG KLH + TN'!$C:$C,'01. TH'!L$4)</f>
        <v>0</v>
      </c>
      <c r="M24" s="1042">
        <f>COUNTIFS('TỔNG KLH + TN'!$B:$B,'01. TH'!$B24,'TỔNG KLH + TN'!$C:$C,'01. TH'!M$4)</f>
        <v>0</v>
      </c>
      <c r="N24" s="1042">
        <f>COUNTIFS('TỔNG KLH + TN'!$B:$B,'01. TH'!$B24,'TỔNG KLH + TN'!$C:$C,'01. TH'!N$4)</f>
        <v>0</v>
      </c>
      <c r="O24" s="1042">
        <f>COUNTIFS('TỔNG KLH + TN'!$B:$B,'01. TH'!$B24,'TỔNG KLH + TN'!$C:$C,'01. TH'!O$4)</f>
        <v>0</v>
      </c>
      <c r="P24" s="1042">
        <f>COUNTIFS('TỔNG KLH + TN'!$B:$B,'01. TH'!$B24,'TỔNG KLH + TN'!$C:$C,'01. TH'!P$4)</f>
        <v>0</v>
      </c>
      <c r="Q24" s="1042">
        <f>COUNTIFS('TỔNG KLH + TN'!$B:$B,'01. TH'!$B24,'TỔNG KLH + TN'!$C:$C,'01. TH'!Q$4)</f>
        <v>0</v>
      </c>
      <c r="R24" s="1042">
        <f>COUNTIFS('TỔNG KLH + TN'!$B:$B,'01. TH'!$B24,'TỔNG KLH + TN'!$C:$C,'01. TH'!R$4)</f>
        <v>0</v>
      </c>
      <c r="S24" s="1042">
        <f>COUNTIFS('TỔNG KLH + TN'!$B:$B,'01. TH'!$B24,'TỔNG KLH + TN'!$C:$C,'01. TH'!S$4)</f>
        <v>1</v>
      </c>
      <c r="T24" s="1042">
        <f>COUNTIFS('TỔNG KLH + TN'!$B:$B,'01. TH'!$B24,'TỔNG KLH + TN'!$C:$C,'01. TH'!T$4)</f>
        <v>0</v>
      </c>
      <c r="U24" s="1042">
        <f>COUNTIFS('TỔNG KLH + TN'!$B:$B,'01. TH'!$B24,'TỔNG KLH + TN'!$C:$C,'01. TH'!U$4)</f>
        <v>0</v>
      </c>
      <c r="V24" s="1042">
        <f>COUNTIFS('TỔNG KLH + TN'!$B:$B,'01. TH'!$B24,'TỔNG KLH + TN'!$C:$C,'01. TH'!V$4)</f>
        <v>0</v>
      </c>
      <c r="W24" s="1042">
        <f>COUNTIFS('TỔNG KLH + TN'!$B:$B,'01. TH'!$B24,'TỔNG KLH + TN'!$C:$C,'01. TH'!W$4)</f>
        <v>0</v>
      </c>
      <c r="X24" s="1042">
        <f>COUNTIFS('TỔNG KLH + TN'!$B:$B,'01. TH'!$B24,'TỔNG KLH + TN'!$C:$C,'01. TH'!X$4)</f>
        <v>0</v>
      </c>
      <c r="Y24" s="1042">
        <f>COUNTIFS('TỔNG KLH + TN'!$B:$B,'01. TH'!$B24,'TỔNG KLH + TN'!$C:$C,'01. TH'!Y$4)</f>
        <v>0</v>
      </c>
      <c r="Z24" s="1042">
        <f>COUNTIFS('TỔNG KLH + TN'!$B:$B,'01. TH'!$B24,'TỔNG KLH + TN'!$C:$C,'01. TH'!Z$4)</f>
        <v>0</v>
      </c>
      <c r="AA24" s="1042">
        <f>COUNTIFS('TỔNG KLH + TN'!$B:$B,'01. TH'!$B24,'TỔNG KLH + TN'!$C:$C,'01. TH'!AA$4)</f>
        <v>0</v>
      </c>
      <c r="AB24" s="1042">
        <f>COUNTIFS('TỔNG KLH + TN'!$B:$B,'01. TH'!$B24,'TỔNG KLH + TN'!$C:$C,'01. TH'!AB$4)</f>
        <v>0</v>
      </c>
      <c r="AC24" s="1042">
        <f>COUNTIFS('TỔNG KLH + TN'!$B:$B,'01. TH'!$B24,'TỔNG KLH + TN'!$C:$C,'01. TH'!AC$4)</f>
        <v>0</v>
      </c>
      <c r="AD24" s="1042">
        <f>COUNTIFS('TỔNG KLH + TN'!$B:$B,'01. TH'!$B24,'TỔNG KLH + TN'!$C:$C,'01. TH'!AD$4)</f>
        <v>0</v>
      </c>
      <c r="AE24" s="1043">
        <f t="shared" si="4"/>
        <v>1</v>
      </c>
      <c r="AF24" s="1043"/>
      <c r="AG24" s="1033" t="str">
        <f t="shared" si="2"/>
        <v>ok</v>
      </c>
      <c r="AH24" s="1039"/>
    </row>
    <row r="25" ht="24" customHeight="1" collapsed="1" spans="1:34">
      <c r="A25" s="1033">
        <v>3</v>
      </c>
      <c r="B25" s="1034" t="s">
        <v>67</v>
      </c>
      <c r="C25" s="1035"/>
      <c r="D25" s="1035" t="str">
        <f>IFERROR(VLOOKUP(B25,'Danh mục'!$G:$U,15,0),"")</f>
        <v/>
      </c>
      <c r="E25" s="1035"/>
      <c r="F25" s="1047">
        <f t="shared" ref="F25:AE25" si="5">SUM(F26:F27)</f>
        <v>2</v>
      </c>
      <c r="G25" s="1047">
        <f t="shared" si="5"/>
        <v>0</v>
      </c>
      <c r="H25" s="1047">
        <f t="shared" si="5"/>
        <v>0</v>
      </c>
      <c r="I25" s="1047">
        <f t="shared" si="5"/>
        <v>0</v>
      </c>
      <c r="J25" s="1047">
        <f t="shared" si="5"/>
        <v>0</v>
      </c>
      <c r="K25" s="1047">
        <f t="shared" si="5"/>
        <v>0</v>
      </c>
      <c r="L25" s="1047">
        <f t="shared" si="5"/>
        <v>0</v>
      </c>
      <c r="M25" s="1047">
        <f t="shared" si="5"/>
        <v>0</v>
      </c>
      <c r="N25" s="1047">
        <f t="shared" si="5"/>
        <v>0</v>
      </c>
      <c r="O25" s="1047">
        <f t="shared" si="5"/>
        <v>1</v>
      </c>
      <c r="P25" s="1047">
        <f t="shared" si="5"/>
        <v>0</v>
      </c>
      <c r="Q25" s="1047">
        <f t="shared" si="5"/>
        <v>0</v>
      </c>
      <c r="R25" s="1047">
        <f t="shared" si="5"/>
        <v>0</v>
      </c>
      <c r="S25" s="1047">
        <f t="shared" si="5"/>
        <v>2</v>
      </c>
      <c r="T25" s="1047">
        <f t="shared" si="5"/>
        <v>0</v>
      </c>
      <c r="U25" s="1047">
        <f t="shared" si="5"/>
        <v>0</v>
      </c>
      <c r="V25" s="1047">
        <f t="shared" si="5"/>
        <v>0</v>
      </c>
      <c r="W25" s="1047">
        <f t="shared" si="5"/>
        <v>0</v>
      </c>
      <c r="X25" s="1047">
        <f t="shared" si="5"/>
        <v>0</v>
      </c>
      <c r="Y25" s="1047">
        <f t="shared" si="5"/>
        <v>0</v>
      </c>
      <c r="Z25" s="1047">
        <f t="shared" si="5"/>
        <v>0</v>
      </c>
      <c r="AA25" s="1047">
        <f t="shared" si="5"/>
        <v>0</v>
      </c>
      <c r="AB25" s="1047">
        <f t="shared" si="5"/>
        <v>0</v>
      </c>
      <c r="AC25" s="1047">
        <f t="shared" si="5"/>
        <v>0</v>
      </c>
      <c r="AD25" s="1047">
        <f t="shared" si="5"/>
        <v>0</v>
      </c>
      <c r="AE25" s="1048">
        <f t="shared" si="5"/>
        <v>5</v>
      </c>
      <c r="AF25" s="1048">
        <v>2</v>
      </c>
      <c r="AG25" s="1033" t="str">
        <f t="shared" si="2"/>
        <v>ok</v>
      </c>
      <c r="AH25" s="1038"/>
    </row>
    <row r="26" ht="18.75" hidden="1" customHeight="1" outlineLevel="1" spans="1:34">
      <c r="A26" s="1039"/>
      <c r="B26" s="1040" t="s">
        <v>68</v>
      </c>
      <c r="C26" s="1041" t="s">
        <v>69</v>
      </c>
      <c r="D26" s="1041" t="str">
        <f>IFERROR(VLOOKUP(B26,'Danh mục'!$G:$U,15,0),"")</f>
        <v>11050 x 2790 x 3260</v>
      </c>
      <c r="E26" s="1041" t="s">
        <v>42</v>
      </c>
      <c r="F26" s="1042">
        <f>COUNTIFS('TỔNG KLH + TN'!$B:$B,'01. TH'!$B26,'TỔNG KLH + TN'!$C:$C,'01. TH'!F$4)</f>
        <v>1</v>
      </c>
      <c r="G26" s="1042">
        <f>COUNTIFS('TỔNG KLH + TN'!$B:$B,'01. TH'!$B26,'TỔNG KLH + TN'!$C:$C,'01. TH'!G$4)</f>
        <v>0</v>
      </c>
      <c r="H26" s="1042">
        <f>COUNTIFS('TỔNG KLH + TN'!$B:$B,'01. TH'!$B26,'TỔNG KLH + TN'!$C:$C,'01. TH'!H$4)</f>
        <v>0</v>
      </c>
      <c r="I26" s="1042">
        <f>COUNTIFS('TỔNG KLH + TN'!$B:$B,'01. TH'!$B26,'TỔNG KLH + TN'!$C:$C,'01. TH'!I$4)</f>
        <v>0</v>
      </c>
      <c r="J26" s="1042">
        <f>COUNTIFS('TỔNG KLH + TN'!$B:$B,'01. TH'!$B26,'TỔNG KLH + TN'!$C:$C,'01. TH'!J$4)</f>
        <v>0</v>
      </c>
      <c r="K26" s="1042">
        <f>COUNTIFS('TỔNG KLH + TN'!$B:$B,'01. TH'!$B26,'TỔNG KLH + TN'!$C:$C,'01. TH'!K$4)</f>
        <v>0</v>
      </c>
      <c r="L26" s="1042">
        <f>COUNTIFS('TỔNG KLH + TN'!$B:$B,'01. TH'!$B26,'TỔNG KLH + TN'!$C:$C,'01. TH'!L$4)</f>
        <v>0</v>
      </c>
      <c r="M26" s="1042">
        <f>COUNTIFS('TỔNG KLH + TN'!$B:$B,'01. TH'!$B26,'TỔNG KLH + TN'!$C:$C,'01. TH'!M$4)</f>
        <v>0</v>
      </c>
      <c r="N26" s="1042">
        <f>COUNTIFS('TỔNG KLH + TN'!$B:$B,'01. TH'!$B26,'TỔNG KLH + TN'!$C:$C,'01. TH'!N$4)</f>
        <v>0</v>
      </c>
      <c r="O26" s="1042">
        <f>COUNTIFS('TỔNG KLH + TN'!$B:$B,'01. TH'!$B26,'TỔNG KLH + TN'!$C:$C,'01. TH'!O$4)</f>
        <v>0</v>
      </c>
      <c r="P26" s="1042">
        <f>COUNTIFS('TỔNG KLH + TN'!$B:$B,'01. TH'!$B26,'TỔNG KLH + TN'!$C:$C,'01. TH'!P$4)</f>
        <v>0</v>
      </c>
      <c r="Q26" s="1042">
        <f>COUNTIFS('TỔNG KLH + TN'!$B:$B,'01. TH'!$B26,'TỔNG KLH + TN'!$C:$C,'01. TH'!Q$4)</f>
        <v>0</v>
      </c>
      <c r="R26" s="1042">
        <f>COUNTIFS('TỔNG KLH + TN'!$B:$B,'01. TH'!$B26,'TỔNG KLH + TN'!$C:$C,'01. TH'!R$4)</f>
        <v>0</v>
      </c>
      <c r="S26" s="1042">
        <f>COUNTIFS('TỔNG KLH + TN'!$B:$B,'01. TH'!$B26,'TỔNG KLH + TN'!$C:$C,'01. TH'!S$4)</f>
        <v>0</v>
      </c>
      <c r="T26" s="1042">
        <f>COUNTIFS('TỔNG KLH + TN'!$B:$B,'01. TH'!$B26,'TỔNG KLH + TN'!$C:$C,'01. TH'!T$4)</f>
        <v>0</v>
      </c>
      <c r="U26" s="1042">
        <f>COUNTIFS('TỔNG KLH + TN'!$B:$B,'01. TH'!$B26,'TỔNG KLH + TN'!$C:$C,'01. TH'!U$4)</f>
        <v>0</v>
      </c>
      <c r="V26" s="1042">
        <f>COUNTIFS('TỔNG KLH + TN'!$B:$B,'01. TH'!$B26,'TỔNG KLH + TN'!$C:$C,'01. TH'!V$4)</f>
        <v>0</v>
      </c>
      <c r="W26" s="1042">
        <f>COUNTIFS('TỔNG KLH + TN'!$B:$B,'01. TH'!$B26,'TỔNG KLH + TN'!$C:$C,'01. TH'!W$4)</f>
        <v>0</v>
      </c>
      <c r="X26" s="1042">
        <f>COUNTIFS('TỔNG KLH + TN'!$B:$B,'01. TH'!$B26,'TỔNG KLH + TN'!$C:$C,'01. TH'!X$4)</f>
        <v>0</v>
      </c>
      <c r="Y26" s="1042">
        <f>COUNTIFS('TỔNG KLH + TN'!$B:$B,'01. TH'!$B26,'TỔNG KLH + TN'!$C:$C,'01. TH'!Y$4)</f>
        <v>0</v>
      </c>
      <c r="Z26" s="1042">
        <f>COUNTIFS('TỔNG KLH + TN'!$B:$B,'01. TH'!$B26,'TỔNG KLH + TN'!$C:$C,'01. TH'!Z$4)</f>
        <v>0</v>
      </c>
      <c r="AA26" s="1042">
        <f>COUNTIFS('TỔNG KLH + TN'!$B:$B,'01. TH'!$B26,'TỔNG KLH + TN'!$C:$C,'01. TH'!AA$4)</f>
        <v>0</v>
      </c>
      <c r="AB26" s="1042">
        <f>COUNTIFS('TỔNG KLH + TN'!$B:$B,'01. TH'!$B26,'TỔNG KLH + TN'!$C:$C,'01. TH'!AB$4)</f>
        <v>0</v>
      </c>
      <c r="AC26" s="1042">
        <f>COUNTIFS('TỔNG KLH + TN'!$B:$B,'01. TH'!$B26,'TỔNG KLH + TN'!$C:$C,'01. TH'!AC$4)</f>
        <v>0</v>
      </c>
      <c r="AD26" s="1042">
        <f>COUNTIFS('TỔNG KLH + TN'!$B:$B,'01. TH'!$B26,'TỔNG KLH + TN'!$C:$C,'01. TH'!AD$4)</f>
        <v>0</v>
      </c>
      <c r="AE26" s="1043">
        <f t="shared" ref="AE26:AE27" si="6">SUM(F26:AD26)</f>
        <v>1</v>
      </c>
      <c r="AF26" s="1043"/>
      <c r="AG26" s="1033" t="str">
        <f t="shared" si="2"/>
        <v>ok</v>
      </c>
      <c r="AH26" s="1039"/>
    </row>
    <row r="27" ht="18.75" hidden="1" customHeight="1" outlineLevel="1" spans="1:34">
      <c r="A27" s="1039"/>
      <c r="B27" s="1040" t="s">
        <v>70</v>
      </c>
      <c r="C27" s="1041" t="s">
        <v>71</v>
      </c>
      <c r="D27" s="1041" t="str">
        <f>IFERROR(VLOOKUP(B27,'Danh mục'!$G:$U,15,0),"")</f>
        <v>8420 x 2375 x 3240</v>
      </c>
      <c r="E27" s="1041" t="s">
        <v>42</v>
      </c>
      <c r="F27" s="1042">
        <f>COUNTIFS('TỔNG KLH + TN'!$B:$B,'01. TH'!$B27,'TỔNG KLH + TN'!$C:$C,'01. TH'!F$4)</f>
        <v>1</v>
      </c>
      <c r="G27" s="1042">
        <f>COUNTIFS('TỔNG KLH + TN'!$B:$B,'01. TH'!$B27,'TỔNG KLH + TN'!$C:$C,'01. TH'!G$4)</f>
        <v>0</v>
      </c>
      <c r="H27" s="1042">
        <f>COUNTIFS('TỔNG KLH + TN'!$B:$B,'01. TH'!$B27,'TỔNG KLH + TN'!$C:$C,'01. TH'!H$4)</f>
        <v>0</v>
      </c>
      <c r="I27" s="1042">
        <f>COUNTIFS('TỔNG KLH + TN'!$B:$B,'01. TH'!$B27,'TỔNG KLH + TN'!$C:$C,'01. TH'!I$4)</f>
        <v>0</v>
      </c>
      <c r="J27" s="1042">
        <f>COUNTIFS('TỔNG KLH + TN'!$B:$B,'01. TH'!$B27,'TỔNG KLH + TN'!$C:$C,'01. TH'!J$4)</f>
        <v>0</v>
      </c>
      <c r="K27" s="1042">
        <f>COUNTIFS('TỔNG KLH + TN'!$B:$B,'01. TH'!$B27,'TỔNG KLH + TN'!$C:$C,'01. TH'!K$4)</f>
        <v>0</v>
      </c>
      <c r="L27" s="1042">
        <f>COUNTIFS('TỔNG KLH + TN'!$B:$B,'01. TH'!$B27,'TỔNG KLH + TN'!$C:$C,'01. TH'!L$4)</f>
        <v>0</v>
      </c>
      <c r="M27" s="1042">
        <f>COUNTIFS('TỔNG KLH + TN'!$B:$B,'01. TH'!$B27,'TỔNG KLH + TN'!$C:$C,'01. TH'!M$4)</f>
        <v>0</v>
      </c>
      <c r="N27" s="1042">
        <f>COUNTIFS('TỔNG KLH + TN'!$B:$B,'01. TH'!$B27,'TỔNG KLH + TN'!$C:$C,'01. TH'!N$4)</f>
        <v>0</v>
      </c>
      <c r="O27" s="1042">
        <f>COUNTIFS('TỔNG KLH + TN'!$B:$B,'01. TH'!$B27,'TỔNG KLH + TN'!$C:$C,'01. TH'!O$4)</f>
        <v>1</v>
      </c>
      <c r="P27" s="1042">
        <f>COUNTIFS('TỔNG KLH + TN'!$B:$B,'01. TH'!$B27,'TỔNG KLH + TN'!$C:$C,'01. TH'!P$4)</f>
        <v>0</v>
      </c>
      <c r="Q27" s="1042">
        <f>COUNTIFS('TỔNG KLH + TN'!$B:$B,'01. TH'!$B27,'TỔNG KLH + TN'!$C:$C,'01. TH'!Q$4)</f>
        <v>0</v>
      </c>
      <c r="R27" s="1042">
        <f>COUNTIFS('TỔNG KLH + TN'!$B:$B,'01. TH'!$B27,'TỔNG KLH + TN'!$C:$C,'01. TH'!R$4)</f>
        <v>0</v>
      </c>
      <c r="S27" s="1042">
        <f>COUNTIFS('TỔNG KLH + TN'!$B:$B,'01. TH'!$B27,'TỔNG KLH + TN'!$C:$C,'01. TH'!S$4)</f>
        <v>2</v>
      </c>
      <c r="T27" s="1042">
        <f>COUNTIFS('TỔNG KLH + TN'!$B:$B,'01. TH'!$B27,'TỔNG KLH + TN'!$C:$C,'01. TH'!T$4)</f>
        <v>0</v>
      </c>
      <c r="U27" s="1042">
        <f>COUNTIFS('TỔNG KLH + TN'!$B:$B,'01. TH'!$B27,'TỔNG KLH + TN'!$C:$C,'01. TH'!U$4)</f>
        <v>0</v>
      </c>
      <c r="V27" s="1042">
        <f>COUNTIFS('TỔNG KLH + TN'!$B:$B,'01. TH'!$B27,'TỔNG KLH + TN'!$C:$C,'01. TH'!V$4)</f>
        <v>0</v>
      </c>
      <c r="W27" s="1042">
        <f>COUNTIFS('TỔNG KLH + TN'!$B:$B,'01. TH'!$B27,'TỔNG KLH + TN'!$C:$C,'01. TH'!W$4)</f>
        <v>0</v>
      </c>
      <c r="X27" s="1042">
        <f>COUNTIFS('TỔNG KLH + TN'!$B:$B,'01. TH'!$B27,'TỔNG KLH + TN'!$C:$C,'01. TH'!X$4)</f>
        <v>0</v>
      </c>
      <c r="Y27" s="1042">
        <f>COUNTIFS('TỔNG KLH + TN'!$B:$B,'01. TH'!$B27,'TỔNG KLH + TN'!$C:$C,'01. TH'!Y$4)</f>
        <v>0</v>
      </c>
      <c r="Z27" s="1042">
        <f>COUNTIFS('TỔNG KLH + TN'!$B:$B,'01. TH'!$B27,'TỔNG KLH + TN'!$C:$C,'01. TH'!Z$4)</f>
        <v>0</v>
      </c>
      <c r="AA27" s="1042">
        <f>COUNTIFS('TỔNG KLH + TN'!$B:$B,'01. TH'!$B27,'TỔNG KLH + TN'!$C:$C,'01. TH'!AA$4)</f>
        <v>0</v>
      </c>
      <c r="AB27" s="1042">
        <f>COUNTIFS('TỔNG KLH + TN'!$B:$B,'01. TH'!$B27,'TỔNG KLH + TN'!$C:$C,'01. TH'!AB$4)</f>
        <v>0</v>
      </c>
      <c r="AC27" s="1042">
        <f>COUNTIFS('TỔNG KLH + TN'!$B:$B,'01. TH'!$B27,'TỔNG KLH + TN'!$C:$C,'01. TH'!AC$4)</f>
        <v>0</v>
      </c>
      <c r="AD27" s="1042">
        <f>COUNTIFS('TỔNG KLH + TN'!$B:$B,'01. TH'!$B27,'TỔNG KLH + TN'!$C:$C,'01. TH'!AD$4)</f>
        <v>0</v>
      </c>
      <c r="AE27" s="1043">
        <f t="shared" si="6"/>
        <v>4</v>
      </c>
      <c r="AF27" s="1043"/>
      <c r="AG27" s="1033" t="str">
        <f t="shared" si="2"/>
        <v>ok</v>
      </c>
      <c r="AH27" s="1041"/>
    </row>
    <row r="28" ht="24" customHeight="1" collapsed="1" spans="1:34">
      <c r="A28" s="1033">
        <v>4</v>
      </c>
      <c r="B28" s="1034" t="s">
        <v>72</v>
      </c>
      <c r="C28" s="1035"/>
      <c r="D28" s="1035" t="str">
        <f>IFERROR(VLOOKUP(B28,'Danh mục'!$G:$U,15,0),"")</f>
        <v/>
      </c>
      <c r="E28" s="1035"/>
      <c r="F28" s="1047">
        <f t="shared" ref="F28:AE28" si="7">SUM(F29:F32)</f>
        <v>3</v>
      </c>
      <c r="G28" s="1047">
        <f t="shared" si="7"/>
        <v>0</v>
      </c>
      <c r="H28" s="1047">
        <f t="shared" si="7"/>
        <v>0</v>
      </c>
      <c r="I28" s="1047">
        <f t="shared" si="7"/>
        <v>0</v>
      </c>
      <c r="J28" s="1047">
        <f t="shared" si="7"/>
        <v>0</v>
      </c>
      <c r="K28" s="1047">
        <f t="shared" si="7"/>
        <v>0</v>
      </c>
      <c r="L28" s="1047">
        <f t="shared" si="7"/>
        <v>0</v>
      </c>
      <c r="M28" s="1047">
        <f t="shared" si="7"/>
        <v>0</v>
      </c>
      <c r="N28" s="1047">
        <f t="shared" si="7"/>
        <v>0</v>
      </c>
      <c r="O28" s="1047">
        <f t="shared" si="7"/>
        <v>3</v>
      </c>
      <c r="P28" s="1047">
        <f t="shared" si="7"/>
        <v>0</v>
      </c>
      <c r="Q28" s="1047">
        <f t="shared" si="7"/>
        <v>0</v>
      </c>
      <c r="R28" s="1047">
        <f t="shared" si="7"/>
        <v>0</v>
      </c>
      <c r="S28" s="1047">
        <f t="shared" si="7"/>
        <v>2</v>
      </c>
      <c r="T28" s="1047">
        <f t="shared" si="7"/>
        <v>0</v>
      </c>
      <c r="U28" s="1047">
        <f t="shared" si="7"/>
        <v>0</v>
      </c>
      <c r="V28" s="1047">
        <f t="shared" si="7"/>
        <v>0</v>
      </c>
      <c r="W28" s="1047">
        <f t="shared" si="7"/>
        <v>0</v>
      </c>
      <c r="X28" s="1047">
        <f t="shared" si="7"/>
        <v>0</v>
      </c>
      <c r="Y28" s="1047">
        <f t="shared" si="7"/>
        <v>0</v>
      </c>
      <c r="Z28" s="1047">
        <f t="shared" si="7"/>
        <v>0</v>
      </c>
      <c r="AA28" s="1047">
        <f t="shared" si="7"/>
        <v>0</v>
      </c>
      <c r="AB28" s="1047">
        <f t="shared" si="7"/>
        <v>0</v>
      </c>
      <c r="AC28" s="1047">
        <f t="shared" si="7"/>
        <v>0</v>
      </c>
      <c r="AD28" s="1047">
        <f t="shared" si="7"/>
        <v>0</v>
      </c>
      <c r="AE28" s="1048">
        <f t="shared" si="7"/>
        <v>8</v>
      </c>
      <c r="AF28" s="1048">
        <v>3</v>
      </c>
      <c r="AG28" s="1033" t="str">
        <f t="shared" si="2"/>
        <v>ok</v>
      </c>
      <c r="AH28" s="1038"/>
    </row>
    <row r="29" ht="18.75" hidden="1" customHeight="1" outlineLevel="1" spans="1:34">
      <c r="A29" s="1039"/>
      <c r="B29" s="1040" t="s">
        <v>73</v>
      </c>
      <c r="C29" s="1041" t="s">
        <v>58</v>
      </c>
      <c r="D29" s="1041" t="str">
        <f>IFERROR(VLOOKUP(B29,'Danh mục'!$G:$U,15,0),"")</f>
        <v>3100 x 1400 x 1585</v>
      </c>
      <c r="E29" s="1041" t="s">
        <v>42</v>
      </c>
      <c r="F29" s="1042">
        <f>COUNTIFS('TỔNG KLH + TN'!$B:$B,'01. TH'!$B29,'TỔNG KLH + TN'!$C:$C,'01. TH'!F$4)</f>
        <v>1</v>
      </c>
      <c r="G29" s="1042">
        <f>COUNTIFS('TỔNG KLH + TN'!$B:$B,'01. TH'!$B29,'TỔNG KLH + TN'!$C:$C,'01. TH'!G$4)</f>
        <v>0</v>
      </c>
      <c r="H29" s="1042">
        <f>COUNTIFS('TỔNG KLH + TN'!$B:$B,'01. TH'!$B29,'TỔNG KLH + TN'!$C:$C,'01. TH'!H$4)</f>
        <v>0</v>
      </c>
      <c r="I29" s="1042">
        <f>COUNTIFS('TỔNG KLH + TN'!$B:$B,'01. TH'!$B29,'TỔNG KLH + TN'!$C:$C,'01. TH'!I$4)</f>
        <v>0</v>
      </c>
      <c r="J29" s="1042">
        <f>COUNTIFS('TỔNG KLH + TN'!$B:$B,'01. TH'!$B29,'TỔNG KLH + TN'!$C:$C,'01. TH'!J$4)</f>
        <v>0</v>
      </c>
      <c r="K29" s="1042">
        <f>COUNTIFS('TỔNG KLH + TN'!$B:$B,'01. TH'!$B29,'TỔNG KLH + TN'!$C:$C,'01. TH'!K$4)</f>
        <v>0</v>
      </c>
      <c r="L29" s="1042">
        <f>COUNTIFS('TỔNG KLH + TN'!$B:$B,'01. TH'!$B29,'TỔNG KLH + TN'!$C:$C,'01. TH'!L$4)</f>
        <v>0</v>
      </c>
      <c r="M29" s="1042">
        <f>COUNTIFS('TỔNG KLH + TN'!$B:$B,'01. TH'!$B29,'TỔNG KLH + TN'!$C:$C,'01. TH'!M$4)</f>
        <v>0</v>
      </c>
      <c r="N29" s="1042">
        <f>COUNTIFS('TỔNG KLH + TN'!$B:$B,'01. TH'!$B29,'TỔNG KLH + TN'!$C:$C,'01. TH'!N$4)</f>
        <v>0</v>
      </c>
      <c r="O29" s="1042">
        <f>COUNTIFS('TỔNG KLH + TN'!$B:$B,'01. TH'!$B29,'TỔNG KLH + TN'!$C:$C,'01. TH'!O$4)</f>
        <v>0</v>
      </c>
      <c r="P29" s="1042">
        <f>COUNTIFS('TỔNG KLH + TN'!$B:$B,'01. TH'!$B29,'TỔNG KLH + TN'!$C:$C,'01. TH'!P$4)</f>
        <v>0</v>
      </c>
      <c r="Q29" s="1042">
        <f>COUNTIFS('TỔNG KLH + TN'!$B:$B,'01. TH'!$B29,'TỔNG KLH + TN'!$C:$C,'01. TH'!Q$4)</f>
        <v>0</v>
      </c>
      <c r="R29" s="1042">
        <f>COUNTIFS('TỔNG KLH + TN'!$B:$B,'01. TH'!$B29,'TỔNG KLH + TN'!$C:$C,'01. TH'!R$4)</f>
        <v>0</v>
      </c>
      <c r="S29" s="1042">
        <f>COUNTIFS('TỔNG KLH + TN'!$B:$B,'01. TH'!$B29,'TỔNG KLH + TN'!$C:$C,'01. TH'!S$4)</f>
        <v>0</v>
      </c>
      <c r="T29" s="1042">
        <f>COUNTIFS('TỔNG KLH + TN'!$B:$B,'01. TH'!$B29,'TỔNG KLH + TN'!$C:$C,'01. TH'!T$4)</f>
        <v>0</v>
      </c>
      <c r="U29" s="1042">
        <f>COUNTIFS('TỔNG KLH + TN'!$B:$B,'01. TH'!$B29,'TỔNG KLH + TN'!$C:$C,'01. TH'!U$4)</f>
        <v>0</v>
      </c>
      <c r="V29" s="1042">
        <f>COUNTIFS('TỔNG KLH + TN'!$B:$B,'01. TH'!$B29,'TỔNG KLH + TN'!$C:$C,'01. TH'!V$4)</f>
        <v>0</v>
      </c>
      <c r="W29" s="1042">
        <f>COUNTIFS('TỔNG KLH + TN'!$B:$B,'01. TH'!$B29,'TỔNG KLH + TN'!$C:$C,'01. TH'!W$4)</f>
        <v>0</v>
      </c>
      <c r="X29" s="1042">
        <f>COUNTIFS('TỔNG KLH + TN'!$B:$B,'01. TH'!$B29,'TỔNG KLH + TN'!$C:$C,'01. TH'!X$4)</f>
        <v>0</v>
      </c>
      <c r="Y29" s="1042">
        <f>COUNTIFS('TỔNG KLH + TN'!$B:$B,'01. TH'!$B29,'TỔNG KLH + TN'!$C:$C,'01. TH'!Y$4)</f>
        <v>0</v>
      </c>
      <c r="Z29" s="1042">
        <f>COUNTIFS('TỔNG KLH + TN'!$B:$B,'01. TH'!$B29,'TỔNG KLH + TN'!$C:$C,'01. TH'!Z$4)</f>
        <v>0</v>
      </c>
      <c r="AA29" s="1042">
        <f>COUNTIFS('TỔNG KLH + TN'!$B:$B,'01. TH'!$B29,'TỔNG KLH + TN'!$C:$C,'01. TH'!AA$4)</f>
        <v>0</v>
      </c>
      <c r="AB29" s="1042">
        <f>COUNTIFS('TỔNG KLH + TN'!$B:$B,'01. TH'!$B29,'TỔNG KLH + TN'!$C:$C,'01. TH'!AB$4)</f>
        <v>0</v>
      </c>
      <c r="AC29" s="1042">
        <f>COUNTIFS('TỔNG KLH + TN'!$B:$B,'01. TH'!$B29,'TỔNG KLH + TN'!$C:$C,'01. TH'!AC$4)</f>
        <v>0</v>
      </c>
      <c r="AD29" s="1042">
        <f>COUNTIFS('TỔNG KLH + TN'!$B:$B,'01. TH'!$B29,'TỔNG KLH + TN'!$C:$C,'01. TH'!AD$4)</f>
        <v>0</v>
      </c>
      <c r="AE29" s="1043">
        <f t="shared" ref="AE29:AE32" si="8">SUM(F29:AD29)</f>
        <v>1</v>
      </c>
      <c r="AF29" s="1043"/>
      <c r="AG29" s="1033" t="str">
        <f t="shared" si="2"/>
        <v>ok</v>
      </c>
      <c r="AH29" s="1041"/>
    </row>
    <row r="30" ht="18.75" hidden="1" customHeight="1" outlineLevel="1" spans="1:34">
      <c r="A30" s="1039"/>
      <c r="B30" s="1040" t="s">
        <v>74</v>
      </c>
      <c r="C30" s="1041" t="s">
        <v>75</v>
      </c>
      <c r="D30" s="1041" t="str">
        <f>IFERROR(VLOOKUP(B30,'Danh mục'!$G:$U,15,0),"")</f>
        <v>2625 x 1290 x 1570</v>
      </c>
      <c r="E30" s="1041" t="s">
        <v>42</v>
      </c>
      <c r="F30" s="1042">
        <f>COUNTIFS('TỔNG KLH + TN'!$B:$B,'01. TH'!$B30,'TỔNG KLH + TN'!$C:$C,'01. TH'!F$4)</f>
        <v>0</v>
      </c>
      <c r="G30" s="1042">
        <f>COUNTIFS('TỔNG KLH + TN'!$B:$B,'01. TH'!$B30,'TỔNG KLH + TN'!$C:$C,'01. TH'!G$4)</f>
        <v>0</v>
      </c>
      <c r="H30" s="1042">
        <f>COUNTIFS('TỔNG KLH + TN'!$B:$B,'01. TH'!$B30,'TỔNG KLH + TN'!$C:$C,'01. TH'!H$4)</f>
        <v>0</v>
      </c>
      <c r="I30" s="1042">
        <f>COUNTIFS('TỔNG KLH + TN'!$B:$B,'01. TH'!$B30,'TỔNG KLH + TN'!$C:$C,'01. TH'!I$4)</f>
        <v>0</v>
      </c>
      <c r="J30" s="1042">
        <f>COUNTIFS('TỔNG KLH + TN'!$B:$B,'01. TH'!$B30,'TỔNG KLH + TN'!$C:$C,'01. TH'!J$4)</f>
        <v>0</v>
      </c>
      <c r="K30" s="1042">
        <f>COUNTIFS('TỔNG KLH + TN'!$B:$B,'01. TH'!$B30,'TỔNG KLH + TN'!$C:$C,'01. TH'!K$4)</f>
        <v>0</v>
      </c>
      <c r="L30" s="1042">
        <f>COUNTIFS('TỔNG KLH + TN'!$B:$B,'01. TH'!$B30,'TỔNG KLH + TN'!$C:$C,'01. TH'!L$4)</f>
        <v>0</v>
      </c>
      <c r="M30" s="1042">
        <f>COUNTIFS('TỔNG KLH + TN'!$B:$B,'01. TH'!$B30,'TỔNG KLH + TN'!$C:$C,'01. TH'!M$4)</f>
        <v>0</v>
      </c>
      <c r="N30" s="1042">
        <f>COUNTIFS('TỔNG KLH + TN'!$B:$B,'01. TH'!$B30,'TỔNG KLH + TN'!$C:$C,'01. TH'!N$4)</f>
        <v>0</v>
      </c>
      <c r="O30" s="1042">
        <f>COUNTIFS('TỔNG KLH + TN'!$B:$B,'01. TH'!$B30,'TỔNG KLH + TN'!$C:$C,'01. TH'!O$4)</f>
        <v>1</v>
      </c>
      <c r="P30" s="1042">
        <f>COUNTIFS('TỔNG KLH + TN'!$B:$B,'01. TH'!$B30,'TỔNG KLH + TN'!$C:$C,'01. TH'!P$4)</f>
        <v>0</v>
      </c>
      <c r="Q30" s="1042">
        <f>COUNTIFS('TỔNG KLH + TN'!$B:$B,'01. TH'!$B30,'TỔNG KLH + TN'!$C:$C,'01. TH'!Q$4)</f>
        <v>0</v>
      </c>
      <c r="R30" s="1042">
        <f>COUNTIFS('TỔNG KLH + TN'!$B:$B,'01. TH'!$B30,'TỔNG KLH + TN'!$C:$C,'01. TH'!R$4)</f>
        <v>0</v>
      </c>
      <c r="S30" s="1042">
        <f>COUNTIFS('TỔNG KLH + TN'!$B:$B,'01. TH'!$B30,'TỔNG KLH + TN'!$C:$C,'01. TH'!S$4)</f>
        <v>0</v>
      </c>
      <c r="T30" s="1042">
        <f>COUNTIFS('TỔNG KLH + TN'!$B:$B,'01. TH'!$B30,'TỔNG KLH + TN'!$C:$C,'01. TH'!T$4)</f>
        <v>0</v>
      </c>
      <c r="U30" s="1042">
        <f>COUNTIFS('TỔNG KLH + TN'!$B:$B,'01. TH'!$B30,'TỔNG KLH + TN'!$C:$C,'01. TH'!U$4)</f>
        <v>0</v>
      </c>
      <c r="V30" s="1042">
        <f>COUNTIFS('TỔNG KLH + TN'!$B:$B,'01. TH'!$B30,'TỔNG KLH + TN'!$C:$C,'01. TH'!V$4)</f>
        <v>0</v>
      </c>
      <c r="W30" s="1042">
        <f>COUNTIFS('TỔNG KLH + TN'!$B:$B,'01. TH'!$B30,'TỔNG KLH + TN'!$C:$C,'01. TH'!W$4)</f>
        <v>0</v>
      </c>
      <c r="X30" s="1042">
        <f>COUNTIFS('TỔNG KLH + TN'!$B:$B,'01. TH'!$B30,'TỔNG KLH + TN'!$C:$C,'01. TH'!X$4)</f>
        <v>0</v>
      </c>
      <c r="Y30" s="1042">
        <f>COUNTIFS('TỔNG KLH + TN'!$B:$B,'01. TH'!$B30,'TỔNG KLH + TN'!$C:$C,'01. TH'!Y$4)</f>
        <v>0</v>
      </c>
      <c r="Z30" s="1042">
        <f>COUNTIFS('TỔNG KLH + TN'!$B:$B,'01. TH'!$B30,'TỔNG KLH + TN'!$C:$C,'01. TH'!Z$4)</f>
        <v>0</v>
      </c>
      <c r="AA30" s="1042">
        <f>COUNTIFS('TỔNG KLH + TN'!$B:$B,'01. TH'!$B30,'TỔNG KLH + TN'!$C:$C,'01. TH'!AA$4)</f>
        <v>0</v>
      </c>
      <c r="AB30" s="1042">
        <f>COUNTIFS('TỔNG KLH + TN'!$B:$B,'01. TH'!$B30,'TỔNG KLH + TN'!$C:$C,'01. TH'!AB$4)</f>
        <v>0</v>
      </c>
      <c r="AC30" s="1042">
        <f>COUNTIFS('TỔNG KLH + TN'!$B:$B,'01. TH'!$B30,'TỔNG KLH + TN'!$C:$C,'01. TH'!AC$4)</f>
        <v>0</v>
      </c>
      <c r="AD30" s="1042">
        <f>COUNTIFS('TỔNG KLH + TN'!$B:$B,'01. TH'!$B30,'TỔNG KLH + TN'!$C:$C,'01. TH'!AD$4)</f>
        <v>0</v>
      </c>
      <c r="AE30" s="1043">
        <f t="shared" si="8"/>
        <v>1</v>
      </c>
      <c r="AF30" s="1043"/>
      <c r="AG30" s="1033" t="str">
        <f t="shared" si="2"/>
        <v>ok</v>
      </c>
      <c r="AH30" s="1041"/>
    </row>
    <row r="31" ht="18.75" hidden="1" customHeight="1" outlineLevel="1" spans="1:34">
      <c r="A31" s="1044"/>
      <c r="B31" s="1040" t="s">
        <v>76</v>
      </c>
      <c r="C31" s="1041" t="s">
        <v>77</v>
      </c>
      <c r="D31" s="1041" t="str">
        <f>IFERROR(VLOOKUP(B31,'Danh mục'!$G:$U,15,0),"")</f>
        <v>5810 x 2300 x 2860</v>
      </c>
      <c r="E31" s="1041" t="s">
        <v>42</v>
      </c>
      <c r="F31" s="1042">
        <f>COUNTIFS('TỔNG KLH + TN'!$B:$B,'01. TH'!$B31,'TỔNG KLH + TN'!$C:$C,'01. TH'!F$4)</f>
        <v>1</v>
      </c>
      <c r="G31" s="1042">
        <f>COUNTIFS('TỔNG KLH + TN'!$B:$B,'01. TH'!$B31,'TỔNG KLH + TN'!$C:$C,'01. TH'!G$4)</f>
        <v>0</v>
      </c>
      <c r="H31" s="1042">
        <f>COUNTIFS('TỔNG KLH + TN'!$B:$B,'01. TH'!$B31,'TỔNG KLH + TN'!$C:$C,'01. TH'!H$4)</f>
        <v>0</v>
      </c>
      <c r="I31" s="1042">
        <f>COUNTIFS('TỔNG KLH + TN'!$B:$B,'01. TH'!$B31,'TỔNG KLH + TN'!$C:$C,'01. TH'!I$4)</f>
        <v>0</v>
      </c>
      <c r="J31" s="1042">
        <f>COUNTIFS('TỔNG KLH + TN'!$B:$B,'01. TH'!$B31,'TỔNG KLH + TN'!$C:$C,'01. TH'!J$4)</f>
        <v>0</v>
      </c>
      <c r="K31" s="1042">
        <f>COUNTIFS('TỔNG KLH + TN'!$B:$B,'01. TH'!$B31,'TỔNG KLH + TN'!$C:$C,'01. TH'!K$4)</f>
        <v>0</v>
      </c>
      <c r="L31" s="1042">
        <f>COUNTIFS('TỔNG KLH + TN'!$B:$B,'01. TH'!$B31,'TỔNG KLH + TN'!$C:$C,'01. TH'!L$4)</f>
        <v>0</v>
      </c>
      <c r="M31" s="1042">
        <f>COUNTIFS('TỔNG KLH + TN'!$B:$B,'01. TH'!$B31,'TỔNG KLH + TN'!$C:$C,'01. TH'!M$4)</f>
        <v>0</v>
      </c>
      <c r="N31" s="1042">
        <f>COUNTIFS('TỔNG KLH + TN'!$B:$B,'01. TH'!$B31,'TỔNG KLH + TN'!$C:$C,'01. TH'!N$4)</f>
        <v>0</v>
      </c>
      <c r="O31" s="1042">
        <f>COUNTIFS('TỔNG KLH + TN'!$B:$B,'01. TH'!$B31,'TỔNG KLH + TN'!$C:$C,'01. TH'!O$4)</f>
        <v>1</v>
      </c>
      <c r="P31" s="1042">
        <f>COUNTIFS('TỔNG KLH + TN'!$B:$B,'01. TH'!$B31,'TỔNG KLH + TN'!$C:$C,'01. TH'!P$4)</f>
        <v>0</v>
      </c>
      <c r="Q31" s="1042">
        <f>COUNTIFS('TỔNG KLH + TN'!$B:$B,'01. TH'!$B31,'TỔNG KLH + TN'!$C:$C,'01. TH'!Q$4)</f>
        <v>0</v>
      </c>
      <c r="R31" s="1042">
        <f>COUNTIFS('TỔNG KLH + TN'!$B:$B,'01. TH'!$B31,'TỔNG KLH + TN'!$C:$C,'01. TH'!R$4)</f>
        <v>0</v>
      </c>
      <c r="S31" s="1042">
        <f>COUNTIFS('TỔNG KLH + TN'!$B:$B,'01. TH'!$B31,'TỔNG KLH + TN'!$C:$C,'01. TH'!S$4)</f>
        <v>1</v>
      </c>
      <c r="T31" s="1042">
        <f>COUNTIFS('TỔNG KLH + TN'!$B:$B,'01. TH'!$B31,'TỔNG KLH + TN'!$C:$C,'01. TH'!T$4)</f>
        <v>0</v>
      </c>
      <c r="U31" s="1042">
        <f>COUNTIFS('TỔNG KLH + TN'!$B:$B,'01. TH'!$B31,'TỔNG KLH + TN'!$C:$C,'01. TH'!U$4)</f>
        <v>0</v>
      </c>
      <c r="V31" s="1042">
        <f>COUNTIFS('TỔNG KLH + TN'!$B:$B,'01. TH'!$B31,'TỔNG KLH + TN'!$C:$C,'01. TH'!V$4)</f>
        <v>0</v>
      </c>
      <c r="W31" s="1042">
        <f>COUNTIFS('TỔNG KLH + TN'!$B:$B,'01. TH'!$B31,'TỔNG KLH + TN'!$C:$C,'01. TH'!W$4)</f>
        <v>0</v>
      </c>
      <c r="X31" s="1042">
        <f>COUNTIFS('TỔNG KLH + TN'!$B:$B,'01. TH'!$B31,'TỔNG KLH + TN'!$C:$C,'01. TH'!X$4)</f>
        <v>0</v>
      </c>
      <c r="Y31" s="1042">
        <f>COUNTIFS('TỔNG KLH + TN'!$B:$B,'01. TH'!$B31,'TỔNG KLH + TN'!$C:$C,'01. TH'!Y$4)</f>
        <v>0</v>
      </c>
      <c r="Z31" s="1042">
        <f>COUNTIFS('TỔNG KLH + TN'!$B:$B,'01. TH'!$B31,'TỔNG KLH + TN'!$C:$C,'01. TH'!Z$4)</f>
        <v>0</v>
      </c>
      <c r="AA31" s="1042">
        <f>COUNTIFS('TỔNG KLH + TN'!$B:$B,'01. TH'!$B31,'TỔNG KLH + TN'!$C:$C,'01. TH'!AA$4)</f>
        <v>0</v>
      </c>
      <c r="AB31" s="1042">
        <f>COUNTIFS('TỔNG KLH + TN'!$B:$B,'01. TH'!$B31,'TỔNG KLH + TN'!$C:$C,'01. TH'!AB$4)</f>
        <v>0</v>
      </c>
      <c r="AC31" s="1042">
        <f>COUNTIFS('TỔNG KLH + TN'!$B:$B,'01. TH'!$B31,'TỔNG KLH + TN'!$C:$C,'01. TH'!AC$4)</f>
        <v>0</v>
      </c>
      <c r="AD31" s="1042">
        <f>COUNTIFS('TỔNG KLH + TN'!$B:$B,'01. TH'!$B31,'TỔNG KLH + TN'!$C:$C,'01. TH'!AD$4)</f>
        <v>0</v>
      </c>
      <c r="AE31" s="1045">
        <f t="shared" si="8"/>
        <v>3</v>
      </c>
      <c r="AF31" s="1045"/>
      <c r="AG31" s="1033" t="str">
        <f t="shared" si="2"/>
        <v>ok</v>
      </c>
      <c r="AH31" s="1046"/>
    </row>
    <row r="32" ht="18.75" hidden="1" customHeight="1" outlineLevel="1" spans="1:34">
      <c r="A32" s="1039"/>
      <c r="B32" s="1040" t="s">
        <v>78</v>
      </c>
      <c r="C32" s="1041" t="s">
        <v>58</v>
      </c>
      <c r="D32" s="1041" t="str">
        <f>IFERROR(VLOOKUP(B32,'Danh mục'!$G:$U,15,0),"")</f>
        <v>5020 x 2000 x 3115</v>
      </c>
      <c r="E32" s="1041" t="s">
        <v>42</v>
      </c>
      <c r="F32" s="1042">
        <f>COUNTIFS('TỔNG KLH + TN'!$B:$B,'01. TH'!$B32,'TỔNG KLH + TN'!$C:$C,'01. TH'!F$4)</f>
        <v>1</v>
      </c>
      <c r="G32" s="1042">
        <f>COUNTIFS('TỔNG KLH + TN'!$B:$B,'01. TH'!$B32,'TỔNG KLH + TN'!$C:$C,'01. TH'!G$4)</f>
        <v>0</v>
      </c>
      <c r="H32" s="1042">
        <f>COUNTIFS('TỔNG KLH + TN'!$B:$B,'01. TH'!$B32,'TỔNG KLH + TN'!$C:$C,'01. TH'!H$4)</f>
        <v>0</v>
      </c>
      <c r="I32" s="1042">
        <f>COUNTIFS('TỔNG KLH + TN'!$B:$B,'01. TH'!$B32,'TỔNG KLH + TN'!$C:$C,'01. TH'!I$4)</f>
        <v>0</v>
      </c>
      <c r="J32" s="1042">
        <f>COUNTIFS('TỔNG KLH + TN'!$B:$B,'01. TH'!$B32,'TỔNG KLH + TN'!$C:$C,'01. TH'!J$4)</f>
        <v>0</v>
      </c>
      <c r="K32" s="1042">
        <f>COUNTIFS('TỔNG KLH + TN'!$B:$B,'01. TH'!$B32,'TỔNG KLH + TN'!$C:$C,'01. TH'!K$4)</f>
        <v>0</v>
      </c>
      <c r="L32" s="1042">
        <f>COUNTIFS('TỔNG KLH + TN'!$B:$B,'01. TH'!$B32,'TỔNG KLH + TN'!$C:$C,'01. TH'!L$4)</f>
        <v>0</v>
      </c>
      <c r="M32" s="1042">
        <f>COUNTIFS('TỔNG KLH + TN'!$B:$B,'01. TH'!$B32,'TỔNG KLH + TN'!$C:$C,'01. TH'!M$4)</f>
        <v>0</v>
      </c>
      <c r="N32" s="1042">
        <f>COUNTIFS('TỔNG KLH + TN'!$B:$B,'01. TH'!$B32,'TỔNG KLH + TN'!$C:$C,'01. TH'!N$4)</f>
        <v>0</v>
      </c>
      <c r="O32" s="1042">
        <f>COUNTIFS('TỔNG KLH + TN'!$B:$B,'01. TH'!$B32,'TỔNG KLH + TN'!$C:$C,'01. TH'!O$4)</f>
        <v>1</v>
      </c>
      <c r="P32" s="1042">
        <f>COUNTIFS('TỔNG KLH + TN'!$B:$B,'01. TH'!$B32,'TỔNG KLH + TN'!$C:$C,'01. TH'!P$4)</f>
        <v>0</v>
      </c>
      <c r="Q32" s="1042">
        <f>COUNTIFS('TỔNG KLH + TN'!$B:$B,'01. TH'!$B32,'TỔNG KLH + TN'!$C:$C,'01. TH'!Q$4)</f>
        <v>0</v>
      </c>
      <c r="R32" s="1042">
        <f>COUNTIFS('TỔNG KLH + TN'!$B:$B,'01. TH'!$B32,'TỔNG KLH + TN'!$C:$C,'01. TH'!R$4)</f>
        <v>0</v>
      </c>
      <c r="S32" s="1042">
        <f>COUNTIFS('TỔNG KLH + TN'!$B:$B,'01. TH'!$B32,'TỔNG KLH + TN'!$C:$C,'01. TH'!S$4)</f>
        <v>1</v>
      </c>
      <c r="T32" s="1042">
        <f>COUNTIFS('TỔNG KLH + TN'!$B:$B,'01. TH'!$B32,'TỔNG KLH + TN'!$C:$C,'01. TH'!T$4)</f>
        <v>0</v>
      </c>
      <c r="U32" s="1042">
        <f>COUNTIFS('TỔNG KLH + TN'!$B:$B,'01. TH'!$B32,'TỔNG KLH + TN'!$C:$C,'01. TH'!U$4)</f>
        <v>0</v>
      </c>
      <c r="V32" s="1042">
        <f>COUNTIFS('TỔNG KLH + TN'!$B:$B,'01. TH'!$B32,'TỔNG KLH + TN'!$C:$C,'01. TH'!V$4)</f>
        <v>0</v>
      </c>
      <c r="W32" s="1042">
        <f>COUNTIFS('TỔNG KLH + TN'!$B:$B,'01. TH'!$B32,'TỔNG KLH + TN'!$C:$C,'01. TH'!W$4)</f>
        <v>0</v>
      </c>
      <c r="X32" s="1042">
        <f>COUNTIFS('TỔNG KLH + TN'!$B:$B,'01. TH'!$B32,'TỔNG KLH + TN'!$C:$C,'01. TH'!X$4)</f>
        <v>0</v>
      </c>
      <c r="Y32" s="1042">
        <f>COUNTIFS('TỔNG KLH + TN'!$B:$B,'01. TH'!$B32,'TỔNG KLH + TN'!$C:$C,'01. TH'!Y$4)</f>
        <v>0</v>
      </c>
      <c r="Z32" s="1042">
        <f>COUNTIFS('TỔNG KLH + TN'!$B:$B,'01. TH'!$B32,'TỔNG KLH + TN'!$C:$C,'01. TH'!Z$4)</f>
        <v>0</v>
      </c>
      <c r="AA32" s="1042">
        <f>COUNTIFS('TỔNG KLH + TN'!$B:$B,'01. TH'!$B32,'TỔNG KLH + TN'!$C:$C,'01. TH'!AA$4)</f>
        <v>0</v>
      </c>
      <c r="AB32" s="1042">
        <f>COUNTIFS('TỔNG KLH + TN'!$B:$B,'01. TH'!$B32,'TỔNG KLH + TN'!$C:$C,'01. TH'!AB$4)</f>
        <v>0</v>
      </c>
      <c r="AC32" s="1042">
        <f>COUNTIFS('TỔNG KLH + TN'!$B:$B,'01. TH'!$B32,'TỔNG KLH + TN'!$C:$C,'01. TH'!AC$4)</f>
        <v>0</v>
      </c>
      <c r="AD32" s="1042">
        <f>COUNTIFS('TỔNG KLH + TN'!$B:$B,'01. TH'!$B32,'TỔNG KLH + TN'!$C:$C,'01. TH'!AD$4)</f>
        <v>0</v>
      </c>
      <c r="AE32" s="1043">
        <f t="shared" si="8"/>
        <v>3</v>
      </c>
      <c r="AF32" s="1043"/>
      <c r="AG32" s="1033" t="str">
        <f t="shared" si="2"/>
        <v>ok</v>
      </c>
      <c r="AH32" s="1041"/>
    </row>
    <row r="33" ht="24" customHeight="1" collapsed="1" spans="1:34">
      <c r="A33" s="1033">
        <v>5</v>
      </c>
      <c r="B33" s="1034" t="s">
        <v>79</v>
      </c>
      <c r="C33" s="1035"/>
      <c r="D33" s="1035" t="str">
        <f>IFERROR(VLOOKUP(B33,'Danh mục'!$G:$U,15,0),"")</f>
        <v/>
      </c>
      <c r="E33" s="1035"/>
      <c r="F33" s="1047">
        <f t="shared" ref="F33:AE33" si="9">SUM(F34:F47)</f>
        <v>0</v>
      </c>
      <c r="G33" s="1047">
        <f t="shared" si="9"/>
        <v>0</v>
      </c>
      <c r="H33" s="1047">
        <f t="shared" si="9"/>
        <v>0</v>
      </c>
      <c r="I33" s="1047">
        <f t="shared" si="9"/>
        <v>0</v>
      </c>
      <c r="J33" s="1047">
        <f t="shared" si="9"/>
        <v>0</v>
      </c>
      <c r="K33" s="1047">
        <f t="shared" si="9"/>
        <v>0</v>
      </c>
      <c r="L33" s="1047">
        <f t="shared" si="9"/>
        <v>0</v>
      </c>
      <c r="M33" s="1047">
        <f t="shared" si="9"/>
        <v>0</v>
      </c>
      <c r="N33" s="1047">
        <f t="shared" si="9"/>
        <v>0</v>
      </c>
      <c r="O33" s="1047">
        <f t="shared" si="9"/>
        <v>0</v>
      </c>
      <c r="P33" s="1047">
        <f t="shared" si="9"/>
        <v>0</v>
      </c>
      <c r="Q33" s="1047">
        <f t="shared" si="9"/>
        <v>0</v>
      </c>
      <c r="R33" s="1047">
        <f t="shared" si="9"/>
        <v>0</v>
      </c>
      <c r="S33" s="1047">
        <f t="shared" si="9"/>
        <v>0</v>
      </c>
      <c r="T33" s="1047">
        <f t="shared" si="9"/>
        <v>0</v>
      </c>
      <c r="U33" s="1047">
        <f t="shared" si="9"/>
        <v>0</v>
      </c>
      <c r="V33" s="1047">
        <f t="shared" si="9"/>
        <v>0</v>
      </c>
      <c r="W33" s="1047">
        <f t="shared" si="9"/>
        <v>0</v>
      </c>
      <c r="X33" s="1047">
        <f t="shared" si="9"/>
        <v>1</v>
      </c>
      <c r="Y33" s="1047">
        <f t="shared" si="9"/>
        <v>0</v>
      </c>
      <c r="Z33" s="1047">
        <f t="shared" si="9"/>
        <v>0</v>
      </c>
      <c r="AA33" s="1047">
        <f t="shared" si="9"/>
        <v>0</v>
      </c>
      <c r="AB33" s="1047">
        <f t="shared" si="9"/>
        <v>0</v>
      </c>
      <c r="AC33" s="1047">
        <f t="shared" si="9"/>
        <v>0</v>
      </c>
      <c r="AD33" s="1047">
        <f t="shared" si="9"/>
        <v>0</v>
      </c>
      <c r="AE33" s="1048">
        <f t="shared" si="9"/>
        <v>1</v>
      </c>
      <c r="AF33" s="1048">
        <v>6</v>
      </c>
      <c r="AG33" s="1033" t="str">
        <f t="shared" si="2"/>
        <v>ok</v>
      </c>
      <c r="AH33" s="1038"/>
    </row>
    <row r="34" ht="18.75" hidden="1" customHeight="1" outlineLevel="1" spans="1:34">
      <c r="A34" s="1044"/>
      <c r="B34" s="1040" t="s">
        <v>80</v>
      </c>
      <c r="C34" s="1041" t="s">
        <v>81</v>
      </c>
      <c r="D34" s="1041" t="str">
        <f>IFERROR(VLOOKUP(B34,'Danh mục'!$G:$U,15,0),"")</f>
        <v/>
      </c>
      <c r="E34" s="1041" t="s">
        <v>42</v>
      </c>
      <c r="F34" s="1042">
        <f>COUNTIFS('TỔNG KLH + TN'!$B:$B,'01. TH'!$B34,'TỔNG KLH + TN'!$C:$C,'01. TH'!F$4)</f>
        <v>0</v>
      </c>
      <c r="G34" s="1042">
        <f>COUNTIFS('TỔNG KLH + TN'!$B:$B,'01. TH'!$B34,'TỔNG KLH + TN'!$C:$C,'01. TH'!G$4)</f>
        <v>0</v>
      </c>
      <c r="H34" s="1042">
        <f>COUNTIFS('TỔNG KLH + TN'!$B:$B,'01. TH'!$B34,'TỔNG KLH + TN'!$C:$C,'01. TH'!H$4)</f>
        <v>0</v>
      </c>
      <c r="I34" s="1042">
        <f>COUNTIFS('TỔNG KLH + TN'!$B:$B,'01. TH'!$B34,'TỔNG KLH + TN'!$C:$C,'01. TH'!I$4)</f>
        <v>0</v>
      </c>
      <c r="J34" s="1042">
        <f>COUNTIFS('TỔNG KLH + TN'!$B:$B,'01. TH'!$B34,'TỔNG KLH + TN'!$C:$C,'01. TH'!J$4)</f>
        <v>0</v>
      </c>
      <c r="K34" s="1042">
        <f>COUNTIFS('TỔNG KLH + TN'!$B:$B,'01. TH'!$B34,'TỔNG KLH + TN'!$C:$C,'01. TH'!K$4)</f>
        <v>0</v>
      </c>
      <c r="L34" s="1042">
        <f>COUNTIFS('TỔNG KLH + TN'!$B:$B,'01. TH'!$B34,'TỔNG KLH + TN'!$C:$C,'01. TH'!L$4)</f>
        <v>0</v>
      </c>
      <c r="M34" s="1042">
        <f>COUNTIFS('TỔNG KLH + TN'!$B:$B,'01. TH'!$B34,'TỔNG KLH + TN'!$C:$C,'01. TH'!M$4)</f>
        <v>0</v>
      </c>
      <c r="N34" s="1042">
        <f>COUNTIFS('TỔNG KLH + TN'!$B:$B,'01. TH'!$B34,'TỔNG KLH + TN'!$C:$C,'01. TH'!N$4)</f>
        <v>0</v>
      </c>
      <c r="O34" s="1042">
        <f>COUNTIFS('TỔNG KLH + TN'!$B:$B,'01. TH'!$B34,'TỔNG KLH + TN'!$C:$C,'01. TH'!O$4)</f>
        <v>0</v>
      </c>
      <c r="P34" s="1042">
        <f>COUNTIFS('TỔNG KLH + TN'!$B:$B,'01. TH'!$B34,'TỔNG KLH + TN'!$C:$C,'01. TH'!P$4)</f>
        <v>0</v>
      </c>
      <c r="Q34" s="1042">
        <f>COUNTIFS('TỔNG KLH + TN'!$B:$B,'01. TH'!$B34,'TỔNG KLH + TN'!$C:$C,'01. TH'!Q$4)</f>
        <v>0</v>
      </c>
      <c r="R34" s="1042">
        <f>COUNTIFS('TỔNG KLH + TN'!$B:$B,'01. TH'!$B34,'TỔNG KLH + TN'!$C:$C,'01. TH'!R$4)</f>
        <v>0</v>
      </c>
      <c r="S34" s="1042">
        <f>COUNTIFS('TỔNG KLH + TN'!$B:$B,'01. TH'!$B34,'TỔNG KLH + TN'!$C:$C,'01. TH'!S$4)</f>
        <v>0</v>
      </c>
      <c r="T34" s="1042">
        <f>COUNTIFS('TỔNG KLH + TN'!$B:$B,'01. TH'!$B34,'TỔNG KLH + TN'!$C:$C,'01. TH'!T$4)</f>
        <v>0</v>
      </c>
      <c r="U34" s="1042">
        <f>COUNTIFS('TỔNG KLH + TN'!$B:$B,'01. TH'!$B34,'TỔNG KLH + TN'!$C:$C,'01. TH'!U$4)</f>
        <v>0</v>
      </c>
      <c r="V34" s="1042">
        <f>COUNTIFS('TỔNG KLH + TN'!$B:$B,'01. TH'!$B34,'TỔNG KLH + TN'!$C:$C,'01. TH'!V$4)</f>
        <v>0</v>
      </c>
      <c r="W34" s="1042">
        <f>COUNTIFS('TỔNG KLH + TN'!$B:$B,'01. TH'!$B34,'TỔNG KLH + TN'!$C:$C,'01. TH'!W$4)</f>
        <v>0</v>
      </c>
      <c r="X34" s="1042">
        <f>COUNTIFS('TỔNG KLH + TN'!$B:$B,'01. TH'!$B34,'TỔNG KLH + TN'!$C:$C,'01. TH'!X$4)</f>
        <v>0</v>
      </c>
      <c r="Y34" s="1042">
        <f>COUNTIFS('TỔNG KLH + TN'!$B:$B,'01. TH'!$B34,'TỔNG KLH + TN'!$C:$C,'01. TH'!Y$4)</f>
        <v>0</v>
      </c>
      <c r="Z34" s="1042">
        <f>COUNTIFS('TỔNG KLH + TN'!$B:$B,'01. TH'!$B34,'TỔNG KLH + TN'!$C:$C,'01. TH'!Z$4)</f>
        <v>0</v>
      </c>
      <c r="AA34" s="1042">
        <f>COUNTIFS('TỔNG KLH + TN'!$B:$B,'01. TH'!$B34,'TỔNG KLH + TN'!$C:$C,'01. TH'!AA$4)</f>
        <v>0</v>
      </c>
      <c r="AB34" s="1042">
        <f>COUNTIFS('TỔNG KLH + TN'!$B:$B,'01. TH'!$B34,'TỔNG KLH + TN'!$C:$C,'01. TH'!AB$4)</f>
        <v>0</v>
      </c>
      <c r="AC34" s="1042">
        <f>COUNTIFS('TỔNG KLH + TN'!$B:$B,'01. TH'!$B34,'TỔNG KLH + TN'!$C:$C,'01. TH'!AC$4)</f>
        <v>0</v>
      </c>
      <c r="AD34" s="1042">
        <f>COUNTIFS('TỔNG KLH + TN'!$B:$B,'01. TH'!$B34,'TỔNG KLH + TN'!$C:$C,'01. TH'!AD$4)</f>
        <v>0</v>
      </c>
      <c r="AE34" s="1045">
        <f t="shared" ref="AE34:AE47" si="10">SUM(F34:AD34)</f>
        <v>0</v>
      </c>
      <c r="AF34" s="1045"/>
      <c r="AG34" s="1033" t="str">
        <f t="shared" si="2"/>
        <v>ok</v>
      </c>
      <c r="AH34" s="1046"/>
    </row>
    <row r="35" ht="18.75" hidden="1" customHeight="1" outlineLevel="1" spans="1:34">
      <c r="A35" s="1044"/>
      <c r="B35" s="1040" t="s">
        <v>82</v>
      </c>
      <c r="C35" s="1041" t="s">
        <v>83</v>
      </c>
      <c r="D35" s="1041" t="str">
        <f>IFERROR(VLOOKUP(B35,'Danh mục'!$G:$U,15,0),"")</f>
        <v/>
      </c>
      <c r="E35" s="1041" t="s">
        <v>42</v>
      </c>
      <c r="F35" s="1042">
        <f>COUNTIFS('TỔNG KLH + TN'!$B:$B,'01. TH'!$B35,'TỔNG KLH + TN'!$C:$C,'01. TH'!F$4)</f>
        <v>0</v>
      </c>
      <c r="G35" s="1042">
        <f>COUNTIFS('TỔNG KLH + TN'!$B:$B,'01. TH'!$B35,'TỔNG KLH + TN'!$C:$C,'01. TH'!G$4)</f>
        <v>0</v>
      </c>
      <c r="H35" s="1042">
        <f>COUNTIFS('TỔNG KLH + TN'!$B:$B,'01. TH'!$B35,'TỔNG KLH + TN'!$C:$C,'01. TH'!H$4)</f>
        <v>0</v>
      </c>
      <c r="I35" s="1042">
        <f>COUNTIFS('TỔNG KLH + TN'!$B:$B,'01. TH'!$B35,'TỔNG KLH + TN'!$C:$C,'01. TH'!I$4)</f>
        <v>0</v>
      </c>
      <c r="J35" s="1042">
        <f>COUNTIFS('TỔNG KLH + TN'!$B:$B,'01. TH'!$B35,'TỔNG KLH + TN'!$C:$C,'01. TH'!J$4)</f>
        <v>0</v>
      </c>
      <c r="K35" s="1042">
        <f>COUNTIFS('TỔNG KLH + TN'!$B:$B,'01. TH'!$B35,'TỔNG KLH + TN'!$C:$C,'01. TH'!K$4)</f>
        <v>0</v>
      </c>
      <c r="L35" s="1042">
        <f>COUNTIFS('TỔNG KLH + TN'!$B:$B,'01. TH'!$B35,'TỔNG KLH + TN'!$C:$C,'01. TH'!L$4)</f>
        <v>0</v>
      </c>
      <c r="M35" s="1042">
        <f>COUNTIFS('TỔNG KLH + TN'!$B:$B,'01. TH'!$B35,'TỔNG KLH + TN'!$C:$C,'01. TH'!M$4)</f>
        <v>0</v>
      </c>
      <c r="N35" s="1042">
        <f>COUNTIFS('TỔNG KLH + TN'!$B:$B,'01. TH'!$B35,'TỔNG KLH + TN'!$C:$C,'01. TH'!N$4)</f>
        <v>0</v>
      </c>
      <c r="O35" s="1042">
        <f>COUNTIFS('TỔNG KLH + TN'!$B:$B,'01. TH'!$B35,'TỔNG KLH + TN'!$C:$C,'01. TH'!O$4)</f>
        <v>0</v>
      </c>
      <c r="P35" s="1042">
        <f>COUNTIFS('TỔNG KLH + TN'!$B:$B,'01. TH'!$B35,'TỔNG KLH + TN'!$C:$C,'01. TH'!P$4)</f>
        <v>0</v>
      </c>
      <c r="Q35" s="1042">
        <f>COUNTIFS('TỔNG KLH + TN'!$B:$B,'01. TH'!$B35,'TỔNG KLH + TN'!$C:$C,'01. TH'!Q$4)</f>
        <v>0</v>
      </c>
      <c r="R35" s="1042">
        <f>COUNTIFS('TỔNG KLH + TN'!$B:$B,'01. TH'!$B35,'TỔNG KLH + TN'!$C:$C,'01. TH'!R$4)</f>
        <v>0</v>
      </c>
      <c r="S35" s="1042">
        <f>COUNTIFS('TỔNG KLH + TN'!$B:$B,'01. TH'!$B35,'TỔNG KLH + TN'!$C:$C,'01. TH'!S$4)</f>
        <v>0</v>
      </c>
      <c r="T35" s="1042">
        <f>COUNTIFS('TỔNG KLH + TN'!$B:$B,'01. TH'!$B35,'TỔNG KLH + TN'!$C:$C,'01. TH'!T$4)</f>
        <v>0</v>
      </c>
      <c r="U35" s="1042">
        <f>COUNTIFS('TỔNG KLH + TN'!$B:$B,'01. TH'!$B35,'TỔNG KLH + TN'!$C:$C,'01. TH'!U$4)</f>
        <v>0</v>
      </c>
      <c r="V35" s="1042">
        <f>COUNTIFS('TỔNG KLH + TN'!$B:$B,'01. TH'!$B35,'TỔNG KLH + TN'!$C:$C,'01. TH'!V$4)</f>
        <v>0</v>
      </c>
      <c r="W35" s="1042">
        <f>COUNTIFS('TỔNG KLH + TN'!$B:$B,'01. TH'!$B35,'TỔNG KLH + TN'!$C:$C,'01. TH'!W$4)</f>
        <v>0</v>
      </c>
      <c r="X35" s="1042">
        <f>COUNTIFS('TỔNG KLH + TN'!$B:$B,'01. TH'!$B35,'TỔNG KLH + TN'!$C:$C,'01. TH'!X$4)</f>
        <v>0</v>
      </c>
      <c r="Y35" s="1042">
        <f>COUNTIFS('TỔNG KLH + TN'!$B:$B,'01. TH'!$B35,'TỔNG KLH + TN'!$C:$C,'01. TH'!Y$4)</f>
        <v>0</v>
      </c>
      <c r="Z35" s="1042">
        <f>COUNTIFS('TỔNG KLH + TN'!$B:$B,'01. TH'!$B35,'TỔNG KLH + TN'!$C:$C,'01. TH'!Z$4)</f>
        <v>0</v>
      </c>
      <c r="AA35" s="1042">
        <f>COUNTIFS('TỔNG KLH + TN'!$B:$B,'01. TH'!$B35,'TỔNG KLH + TN'!$C:$C,'01. TH'!AA$4)</f>
        <v>0</v>
      </c>
      <c r="AB35" s="1042">
        <f>COUNTIFS('TỔNG KLH + TN'!$B:$B,'01. TH'!$B35,'TỔNG KLH + TN'!$C:$C,'01. TH'!AB$4)</f>
        <v>0</v>
      </c>
      <c r="AC35" s="1042">
        <f>COUNTIFS('TỔNG KLH + TN'!$B:$B,'01. TH'!$B35,'TỔNG KLH + TN'!$C:$C,'01. TH'!AC$4)</f>
        <v>0</v>
      </c>
      <c r="AD35" s="1042">
        <f>COUNTIFS('TỔNG KLH + TN'!$B:$B,'01. TH'!$B35,'TỔNG KLH + TN'!$C:$C,'01. TH'!AD$4)</f>
        <v>0</v>
      </c>
      <c r="AE35" s="1045">
        <f t="shared" si="10"/>
        <v>0</v>
      </c>
      <c r="AF35" s="1045"/>
      <c r="AG35" s="1033" t="str">
        <f t="shared" si="2"/>
        <v>ok</v>
      </c>
      <c r="AH35" s="1046"/>
    </row>
    <row r="36" ht="18.75" hidden="1" customHeight="1" outlineLevel="1" spans="1:34">
      <c r="A36" s="1044"/>
      <c r="B36" s="1040" t="s">
        <v>84</v>
      </c>
      <c r="C36" s="1041" t="s">
        <v>85</v>
      </c>
      <c r="D36" s="1041" t="str">
        <f>IFERROR(VLOOKUP(B36,'Danh mục'!$G:$U,15,0),"")</f>
        <v/>
      </c>
      <c r="E36" s="1041" t="s">
        <v>42</v>
      </c>
      <c r="F36" s="1042">
        <f>COUNTIFS('TỔNG KLH + TN'!$B:$B,'01. TH'!$B36,'TỔNG KLH + TN'!$C:$C,'01. TH'!F$4)</f>
        <v>0</v>
      </c>
      <c r="G36" s="1042">
        <f>COUNTIFS('TỔNG KLH + TN'!$B:$B,'01. TH'!$B36,'TỔNG KLH + TN'!$C:$C,'01. TH'!G$4)</f>
        <v>0</v>
      </c>
      <c r="H36" s="1042">
        <f>COUNTIFS('TỔNG KLH + TN'!$B:$B,'01. TH'!$B36,'TỔNG KLH + TN'!$C:$C,'01. TH'!H$4)</f>
        <v>0</v>
      </c>
      <c r="I36" s="1042">
        <f>COUNTIFS('TỔNG KLH + TN'!$B:$B,'01. TH'!$B36,'TỔNG KLH + TN'!$C:$C,'01. TH'!I$4)</f>
        <v>0</v>
      </c>
      <c r="J36" s="1042">
        <f>COUNTIFS('TỔNG KLH + TN'!$B:$B,'01. TH'!$B36,'TỔNG KLH + TN'!$C:$C,'01. TH'!J$4)</f>
        <v>0</v>
      </c>
      <c r="K36" s="1042">
        <f>COUNTIFS('TỔNG KLH + TN'!$B:$B,'01. TH'!$B36,'TỔNG KLH + TN'!$C:$C,'01. TH'!K$4)</f>
        <v>0</v>
      </c>
      <c r="L36" s="1042">
        <f>COUNTIFS('TỔNG KLH + TN'!$B:$B,'01. TH'!$B36,'TỔNG KLH + TN'!$C:$C,'01. TH'!L$4)</f>
        <v>0</v>
      </c>
      <c r="M36" s="1042">
        <f>COUNTIFS('TỔNG KLH + TN'!$B:$B,'01. TH'!$B36,'TỔNG KLH + TN'!$C:$C,'01. TH'!M$4)</f>
        <v>0</v>
      </c>
      <c r="N36" s="1042">
        <f>COUNTIFS('TỔNG KLH + TN'!$B:$B,'01. TH'!$B36,'TỔNG KLH + TN'!$C:$C,'01. TH'!N$4)</f>
        <v>0</v>
      </c>
      <c r="O36" s="1042">
        <f>COUNTIFS('TỔNG KLH + TN'!$B:$B,'01. TH'!$B36,'TỔNG KLH + TN'!$C:$C,'01. TH'!O$4)</f>
        <v>0</v>
      </c>
      <c r="P36" s="1042">
        <f>COUNTIFS('TỔNG KLH + TN'!$B:$B,'01. TH'!$B36,'TỔNG KLH + TN'!$C:$C,'01. TH'!P$4)</f>
        <v>0</v>
      </c>
      <c r="Q36" s="1042">
        <f>COUNTIFS('TỔNG KLH + TN'!$B:$B,'01. TH'!$B36,'TỔNG KLH + TN'!$C:$C,'01. TH'!Q$4)</f>
        <v>0</v>
      </c>
      <c r="R36" s="1042">
        <f>COUNTIFS('TỔNG KLH + TN'!$B:$B,'01. TH'!$B36,'TỔNG KLH + TN'!$C:$C,'01. TH'!R$4)</f>
        <v>0</v>
      </c>
      <c r="S36" s="1042">
        <f>COUNTIFS('TỔNG KLH + TN'!$B:$B,'01. TH'!$B36,'TỔNG KLH + TN'!$C:$C,'01. TH'!S$4)</f>
        <v>0</v>
      </c>
      <c r="T36" s="1042">
        <f>COUNTIFS('TỔNG KLH + TN'!$B:$B,'01. TH'!$B36,'TỔNG KLH + TN'!$C:$C,'01. TH'!T$4)</f>
        <v>0</v>
      </c>
      <c r="U36" s="1042">
        <f>COUNTIFS('TỔNG KLH + TN'!$B:$B,'01. TH'!$B36,'TỔNG KLH + TN'!$C:$C,'01. TH'!U$4)</f>
        <v>0</v>
      </c>
      <c r="V36" s="1042">
        <f>COUNTIFS('TỔNG KLH + TN'!$B:$B,'01. TH'!$B36,'TỔNG KLH + TN'!$C:$C,'01. TH'!V$4)</f>
        <v>0</v>
      </c>
      <c r="W36" s="1042">
        <f>COUNTIFS('TỔNG KLH + TN'!$B:$B,'01. TH'!$B36,'TỔNG KLH + TN'!$C:$C,'01. TH'!W$4)</f>
        <v>0</v>
      </c>
      <c r="X36" s="1042">
        <f>COUNTIFS('TỔNG KLH + TN'!$B:$B,'01. TH'!$B36,'TỔNG KLH + TN'!$C:$C,'01. TH'!X$4)</f>
        <v>0</v>
      </c>
      <c r="Y36" s="1042">
        <f>COUNTIFS('TỔNG KLH + TN'!$B:$B,'01. TH'!$B36,'TỔNG KLH + TN'!$C:$C,'01. TH'!Y$4)</f>
        <v>0</v>
      </c>
      <c r="Z36" s="1042">
        <f>COUNTIFS('TỔNG KLH + TN'!$B:$B,'01. TH'!$B36,'TỔNG KLH + TN'!$C:$C,'01. TH'!Z$4)</f>
        <v>0</v>
      </c>
      <c r="AA36" s="1042">
        <f>COUNTIFS('TỔNG KLH + TN'!$B:$B,'01. TH'!$B36,'TỔNG KLH + TN'!$C:$C,'01. TH'!AA$4)</f>
        <v>0</v>
      </c>
      <c r="AB36" s="1042">
        <f>COUNTIFS('TỔNG KLH + TN'!$B:$B,'01. TH'!$B36,'TỔNG KLH + TN'!$C:$C,'01. TH'!AB$4)</f>
        <v>0</v>
      </c>
      <c r="AC36" s="1042">
        <f>COUNTIFS('TỔNG KLH + TN'!$B:$B,'01. TH'!$B36,'TỔNG KLH + TN'!$C:$C,'01. TH'!AC$4)</f>
        <v>0</v>
      </c>
      <c r="AD36" s="1042">
        <f>COUNTIFS('TỔNG KLH + TN'!$B:$B,'01. TH'!$B36,'TỔNG KLH + TN'!$C:$C,'01. TH'!AD$4)</f>
        <v>0</v>
      </c>
      <c r="AE36" s="1045">
        <f t="shared" si="10"/>
        <v>0</v>
      </c>
      <c r="AF36" s="1045"/>
      <c r="AG36" s="1033" t="str">
        <f t="shared" si="2"/>
        <v>ok</v>
      </c>
      <c r="AH36" s="1046"/>
    </row>
    <row r="37" ht="18.75" hidden="1" customHeight="1" outlineLevel="1" spans="1:34">
      <c r="A37" s="1049"/>
      <c r="B37" s="1040" t="s">
        <v>86</v>
      </c>
      <c r="C37" s="1041" t="s">
        <v>87</v>
      </c>
      <c r="D37" s="1041" t="str">
        <f>IFERROR(VLOOKUP(B37,'Danh mục'!$G:$U,15,0),"")</f>
        <v/>
      </c>
      <c r="E37" s="1041" t="s">
        <v>42</v>
      </c>
      <c r="F37" s="1042">
        <f>COUNTIFS('TỔNG KLH + TN'!$B:$B,'01. TH'!$B37,'TỔNG KLH + TN'!$C:$C,'01. TH'!F$4)</f>
        <v>0</v>
      </c>
      <c r="G37" s="1042">
        <f>COUNTIFS('TỔNG KLH + TN'!$B:$B,'01. TH'!$B37,'TỔNG KLH + TN'!$C:$C,'01. TH'!G$4)</f>
        <v>0</v>
      </c>
      <c r="H37" s="1042">
        <f>COUNTIFS('TỔNG KLH + TN'!$B:$B,'01. TH'!$B37,'TỔNG KLH + TN'!$C:$C,'01. TH'!H$4)</f>
        <v>0</v>
      </c>
      <c r="I37" s="1042">
        <f>COUNTIFS('TỔNG KLH + TN'!$B:$B,'01. TH'!$B37,'TỔNG KLH + TN'!$C:$C,'01. TH'!I$4)</f>
        <v>0</v>
      </c>
      <c r="J37" s="1042">
        <f>COUNTIFS('TỔNG KLH + TN'!$B:$B,'01. TH'!$B37,'TỔNG KLH + TN'!$C:$C,'01. TH'!J$4)</f>
        <v>0</v>
      </c>
      <c r="K37" s="1042">
        <f>COUNTIFS('TỔNG KLH + TN'!$B:$B,'01. TH'!$B37,'TỔNG KLH + TN'!$C:$C,'01. TH'!K$4)</f>
        <v>0</v>
      </c>
      <c r="L37" s="1042">
        <f>COUNTIFS('TỔNG KLH + TN'!$B:$B,'01. TH'!$B37,'TỔNG KLH + TN'!$C:$C,'01. TH'!L$4)</f>
        <v>0</v>
      </c>
      <c r="M37" s="1042">
        <f>COUNTIFS('TỔNG KLH + TN'!$B:$B,'01. TH'!$B37,'TỔNG KLH + TN'!$C:$C,'01. TH'!M$4)</f>
        <v>0</v>
      </c>
      <c r="N37" s="1042">
        <f>COUNTIFS('TỔNG KLH + TN'!$B:$B,'01. TH'!$B37,'TỔNG KLH + TN'!$C:$C,'01. TH'!N$4)</f>
        <v>0</v>
      </c>
      <c r="O37" s="1042">
        <f>COUNTIFS('TỔNG KLH + TN'!$B:$B,'01. TH'!$B37,'TỔNG KLH + TN'!$C:$C,'01. TH'!O$4)</f>
        <v>0</v>
      </c>
      <c r="P37" s="1042">
        <f>COUNTIFS('TỔNG KLH + TN'!$B:$B,'01. TH'!$B37,'TỔNG KLH + TN'!$C:$C,'01. TH'!P$4)</f>
        <v>0</v>
      </c>
      <c r="Q37" s="1042">
        <f>COUNTIFS('TỔNG KLH + TN'!$B:$B,'01. TH'!$B37,'TỔNG KLH + TN'!$C:$C,'01. TH'!Q$4)</f>
        <v>0</v>
      </c>
      <c r="R37" s="1042">
        <f>COUNTIFS('TỔNG KLH + TN'!$B:$B,'01. TH'!$B37,'TỔNG KLH + TN'!$C:$C,'01. TH'!R$4)</f>
        <v>0</v>
      </c>
      <c r="S37" s="1042">
        <f>COUNTIFS('TỔNG KLH + TN'!$B:$B,'01. TH'!$B37,'TỔNG KLH + TN'!$C:$C,'01. TH'!S$4)</f>
        <v>0</v>
      </c>
      <c r="T37" s="1042">
        <f>COUNTIFS('TỔNG KLH + TN'!$B:$B,'01. TH'!$B37,'TỔNG KLH + TN'!$C:$C,'01. TH'!T$4)</f>
        <v>0</v>
      </c>
      <c r="U37" s="1042">
        <f>COUNTIFS('TỔNG KLH + TN'!$B:$B,'01. TH'!$B37,'TỔNG KLH + TN'!$C:$C,'01. TH'!U$4)</f>
        <v>0</v>
      </c>
      <c r="V37" s="1042">
        <f>COUNTIFS('TỔNG KLH + TN'!$B:$B,'01. TH'!$B37,'TỔNG KLH + TN'!$C:$C,'01. TH'!V$4)</f>
        <v>0</v>
      </c>
      <c r="W37" s="1042">
        <f>COUNTIFS('TỔNG KLH + TN'!$B:$B,'01. TH'!$B37,'TỔNG KLH + TN'!$C:$C,'01. TH'!W$4)</f>
        <v>0</v>
      </c>
      <c r="X37" s="1042">
        <f>COUNTIFS('TỔNG KLH + TN'!$B:$B,'01. TH'!$B37,'TỔNG KLH + TN'!$C:$C,'01. TH'!X$4)</f>
        <v>0</v>
      </c>
      <c r="Y37" s="1042">
        <f>COUNTIFS('TỔNG KLH + TN'!$B:$B,'01. TH'!$B37,'TỔNG KLH + TN'!$C:$C,'01. TH'!Y$4)</f>
        <v>0</v>
      </c>
      <c r="Z37" s="1042">
        <f>COUNTIFS('TỔNG KLH + TN'!$B:$B,'01. TH'!$B37,'TỔNG KLH + TN'!$C:$C,'01. TH'!Z$4)</f>
        <v>0</v>
      </c>
      <c r="AA37" s="1042">
        <f>COUNTIFS('TỔNG KLH + TN'!$B:$B,'01. TH'!$B37,'TỔNG KLH + TN'!$C:$C,'01. TH'!AA$4)</f>
        <v>0</v>
      </c>
      <c r="AB37" s="1042">
        <f>COUNTIFS('TỔNG KLH + TN'!$B:$B,'01. TH'!$B37,'TỔNG KLH + TN'!$C:$C,'01. TH'!AB$4)</f>
        <v>0</v>
      </c>
      <c r="AC37" s="1042">
        <f>COUNTIFS('TỔNG KLH + TN'!$B:$B,'01. TH'!$B37,'TỔNG KLH + TN'!$C:$C,'01. TH'!AC$4)</f>
        <v>0</v>
      </c>
      <c r="AD37" s="1042">
        <f>COUNTIFS('TỔNG KLH + TN'!$B:$B,'01. TH'!$B37,'TỔNG KLH + TN'!$C:$C,'01. TH'!AD$4)</f>
        <v>0</v>
      </c>
      <c r="AE37" s="1045">
        <f t="shared" si="10"/>
        <v>0</v>
      </c>
      <c r="AF37" s="1045"/>
      <c r="AG37" s="1033" t="str">
        <f t="shared" si="2"/>
        <v>ok</v>
      </c>
      <c r="AH37" s="1049"/>
    </row>
    <row r="38" ht="18.75" hidden="1" customHeight="1" outlineLevel="1" spans="1:34">
      <c r="A38" s="1039"/>
      <c r="B38" s="1040" t="s">
        <v>88</v>
      </c>
      <c r="C38" s="1041" t="s">
        <v>89</v>
      </c>
      <c r="D38" s="1041" t="str">
        <f>IFERROR(VLOOKUP(B38,'Danh mục'!$G:$U,15,0),"")</f>
        <v/>
      </c>
      <c r="E38" s="1041" t="s">
        <v>42</v>
      </c>
      <c r="F38" s="1042">
        <f>COUNTIFS('TỔNG KLH + TN'!$B:$B,'01. TH'!$B38,'TỔNG KLH + TN'!$C:$C,'01. TH'!F$4)</f>
        <v>0</v>
      </c>
      <c r="G38" s="1042">
        <f>COUNTIFS('TỔNG KLH + TN'!$B:$B,'01. TH'!$B38,'TỔNG KLH + TN'!$C:$C,'01. TH'!G$4)</f>
        <v>0</v>
      </c>
      <c r="H38" s="1042">
        <f>COUNTIFS('TỔNG KLH + TN'!$B:$B,'01. TH'!$B38,'TỔNG KLH + TN'!$C:$C,'01. TH'!H$4)</f>
        <v>0</v>
      </c>
      <c r="I38" s="1042">
        <f>COUNTIFS('TỔNG KLH + TN'!$B:$B,'01. TH'!$B38,'TỔNG KLH + TN'!$C:$C,'01. TH'!I$4)</f>
        <v>0</v>
      </c>
      <c r="J38" s="1042">
        <f>COUNTIFS('TỔNG KLH + TN'!$B:$B,'01. TH'!$B38,'TỔNG KLH + TN'!$C:$C,'01. TH'!J$4)</f>
        <v>0</v>
      </c>
      <c r="K38" s="1042">
        <f>COUNTIFS('TỔNG KLH + TN'!$B:$B,'01. TH'!$B38,'TỔNG KLH + TN'!$C:$C,'01. TH'!K$4)</f>
        <v>0</v>
      </c>
      <c r="L38" s="1042">
        <f>COUNTIFS('TỔNG KLH + TN'!$B:$B,'01. TH'!$B38,'TỔNG KLH + TN'!$C:$C,'01. TH'!L$4)</f>
        <v>0</v>
      </c>
      <c r="M38" s="1042">
        <f>COUNTIFS('TỔNG KLH + TN'!$B:$B,'01. TH'!$B38,'TỔNG KLH + TN'!$C:$C,'01. TH'!M$4)</f>
        <v>0</v>
      </c>
      <c r="N38" s="1042">
        <f>COUNTIFS('TỔNG KLH + TN'!$B:$B,'01. TH'!$B38,'TỔNG KLH + TN'!$C:$C,'01. TH'!N$4)</f>
        <v>0</v>
      </c>
      <c r="O38" s="1042">
        <f>COUNTIFS('TỔNG KLH + TN'!$B:$B,'01. TH'!$B38,'TỔNG KLH + TN'!$C:$C,'01. TH'!O$4)</f>
        <v>0</v>
      </c>
      <c r="P38" s="1042">
        <f>COUNTIFS('TỔNG KLH + TN'!$B:$B,'01. TH'!$B38,'TỔNG KLH + TN'!$C:$C,'01. TH'!P$4)</f>
        <v>0</v>
      </c>
      <c r="Q38" s="1042">
        <f>COUNTIFS('TỔNG KLH + TN'!$B:$B,'01. TH'!$B38,'TỔNG KLH + TN'!$C:$C,'01. TH'!Q$4)</f>
        <v>0</v>
      </c>
      <c r="R38" s="1042">
        <f>COUNTIFS('TỔNG KLH + TN'!$B:$B,'01. TH'!$B38,'TỔNG KLH + TN'!$C:$C,'01. TH'!R$4)</f>
        <v>0</v>
      </c>
      <c r="S38" s="1042">
        <f>COUNTIFS('TỔNG KLH + TN'!$B:$B,'01. TH'!$B38,'TỔNG KLH + TN'!$C:$C,'01. TH'!S$4)</f>
        <v>0</v>
      </c>
      <c r="T38" s="1042">
        <f>COUNTIFS('TỔNG KLH + TN'!$B:$B,'01. TH'!$B38,'TỔNG KLH + TN'!$C:$C,'01. TH'!T$4)</f>
        <v>0</v>
      </c>
      <c r="U38" s="1042">
        <f>COUNTIFS('TỔNG KLH + TN'!$B:$B,'01. TH'!$B38,'TỔNG KLH + TN'!$C:$C,'01. TH'!U$4)</f>
        <v>0</v>
      </c>
      <c r="V38" s="1042">
        <f>COUNTIFS('TỔNG KLH + TN'!$B:$B,'01. TH'!$B38,'TỔNG KLH + TN'!$C:$C,'01. TH'!V$4)</f>
        <v>0</v>
      </c>
      <c r="W38" s="1042">
        <f>COUNTIFS('TỔNG KLH + TN'!$B:$B,'01. TH'!$B38,'TỔNG KLH + TN'!$C:$C,'01. TH'!W$4)</f>
        <v>0</v>
      </c>
      <c r="X38" s="1042">
        <f>COUNTIFS('TỔNG KLH + TN'!$B:$B,'01. TH'!$B38,'TỔNG KLH + TN'!$C:$C,'01. TH'!X$4)</f>
        <v>0</v>
      </c>
      <c r="Y38" s="1042">
        <f>COUNTIFS('TỔNG KLH + TN'!$B:$B,'01. TH'!$B38,'TỔNG KLH + TN'!$C:$C,'01. TH'!Y$4)</f>
        <v>0</v>
      </c>
      <c r="Z38" s="1042">
        <f>COUNTIFS('TỔNG KLH + TN'!$B:$B,'01. TH'!$B38,'TỔNG KLH + TN'!$C:$C,'01. TH'!Z$4)</f>
        <v>0</v>
      </c>
      <c r="AA38" s="1042">
        <f>COUNTIFS('TỔNG KLH + TN'!$B:$B,'01. TH'!$B38,'TỔNG KLH + TN'!$C:$C,'01. TH'!AA$4)</f>
        <v>0</v>
      </c>
      <c r="AB38" s="1042">
        <f>COUNTIFS('TỔNG KLH + TN'!$B:$B,'01. TH'!$B38,'TỔNG KLH + TN'!$C:$C,'01. TH'!AB$4)</f>
        <v>0</v>
      </c>
      <c r="AC38" s="1042">
        <f>COUNTIFS('TỔNG KLH + TN'!$B:$B,'01. TH'!$B38,'TỔNG KLH + TN'!$C:$C,'01. TH'!AC$4)</f>
        <v>0</v>
      </c>
      <c r="AD38" s="1042">
        <f>COUNTIFS('TỔNG KLH + TN'!$B:$B,'01. TH'!$B38,'TỔNG KLH + TN'!$C:$C,'01. TH'!AD$4)</f>
        <v>0</v>
      </c>
      <c r="AE38" s="1043">
        <f t="shared" si="10"/>
        <v>0</v>
      </c>
      <c r="AF38" s="1043"/>
      <c r="AG38" s="1033" t="str">
        <f t="shared" si="2"/>
        <v>ok</v>
      </c>
      <c r="AH38" s="1041"/>
    </row>
    <row r="39" ht="18.75" hidden="1" customHeight="1" outlineLevel="1" spans="1:34">
      <c r="A39" s="1049"/>
      <c r="B39" s="1040" t="s">
        <v>90</v>
      </c>
      <c r="C39" s="1041" t="s">
        <v>89</v>
      </c>
      <c r="D39" s="1041" t="str">
        <f>IFERROR(VLOOKUP(B39,'Danh mục'!$G:$U,15,0),"")</f>
        <v/>
      </c>
      <c r="E39" s="1041" t="s">
        <v>42</v>
      </c>
      <c r="F39" s="1042">
        <f>COUNTIFS('TỔNG KLH + TN'!$B:$B,'01. TH'!$B39,'TỔNG KLH + TN'!$C:$C,'01. TH'!F$4)</f>
        <v>0</v>
      </c>
      <c r="G39" s="1042">
        <f>COUNTIFS('TỔNG KLH + TN'!$B:$B,'01. TH'!$B39,'TỔNG KLH + TN'!$C:$C,'01. TH'!G$4)</f>
        <v>0</v>
      </c>
      <c r="H39" s="1042">
        <f>COUNTIFS('TỔNG KLH + TN'!$B:$B,'01. TH'!$B39,'TỔNG KLH + TN'!$C:$C,'01. TH'!H$4)</f>
        <v>0</v>
      </c>
      <c r="I39" s="1042">
        <f>COUNTIFS('TỔNG KLH + TN'!$B:$B,'01. TH'!$B39,'TỔNG KLH + TN'!$C:$C,'01. TH'!I$4)</f>
        <v>0</v>
      </c>
      <c r="J39" s="1042">
        <f>COUNTIFS('TỔNG KLH + TN'!$B:$B,'01. TH'!$B39,'TỔNG KLH + TN'!$C:$C,'01. TH'!J$4)</f>
        <v>0</v>
      </c>
      <c r="K39" s="1042">
        <f>COUNTIFS('TỔNG KLH + TN'!$B:$B,'01. TH'!$B39,'TỔNG KLH + TN'!$C:$C,'01. TH'!K$4)</f>
        <v>0</v>
      </c>
      <c r="L39" s="1042">
        <f>COUNTIFS('TỔNG KLH + TN'!$B:$B,'01. TH'!$B39,'TỔNG KLH + TN'!$C:$C,'01. TH'!L$4)</f>
        <v>0</v>
      </c>
      <c r="M39" s="1042">
        <f>COUNTIFS('TỔNG KLH + TN'!$B:$B,'01. TH'!$B39,'TỔNG KLH + TN'!$C:$C,'01. TH'!M$4)</f>
        <v>0</v>
      </c>
      <c r="N39" s="1042">
        <f>COUNTIFS('TỔNG KLH + TN'!$B:$B,'01. TH'!$B39,'TỔNG KLH + TN'!$C:$C,'01. TH'!N$4)</f>
        <v>0</v>
      </c>
      <c r="O39" s="1042">
        <f>COUNTIFS('TỔNG KLH + TN'!$B:$B,'01. TH'!$B39,'TỔNG KLH + TN'!$C:$C,'01. TH'!O$4)</f>
        <v>0</v>
      </c>
      <c r="P39" s="1042">
        <f>COUNTIFS('TỔNG KLH + TN'!$B:$B,'01. TH'!$B39,'TỔNG KLH + TN'!$C:$C,'01. TH'!P$4)</f>
        <v>0</v>
      </c>
      <c r="Q39" s="1042">
        <f>COUNTIFS('TỔNG KLH + TN'!$B:$B,'01. TH'!$B39,'TỔNG KLH + TN'!$C:$C,'01. TH'!Q$4)</f>
        <v>0</v>
      </c>
      <c r="R39" s="1042">
        <f>COUNTIFS('TỔNG KLH + TN'!$B:$B,'01. TH'!$B39,'TỔNG KLH + TN'!$C:$C,'01. TH'!R$4)</f>
        <v>0</v>
      </c>
      <c r="S39" s="1042">
        <f>COUNTIFS('TỔNG KLH + TN'!$B:$B,'01. TH'!$B39,'TỔNG KLH + TN'!$C:$C,'01. TH'!S$4)</f>
        <v>0</v>
      </c>
      <c r="T39" s="1042">
        <f>COUNTIFS('TỔNG KLH + TN'!$B:$B,'01. TH'!$B39,'TỔNG KLH + TN'!$C:$C,'01. TH'!T$4)</f>
        <v>0</v>
      </c>
      <c r="U39" s="1042">
        <f>COUNTIFS('TỔNG KLH + TN'!$B:$B,'01. TH'!$B39,'TỔNG KLH + TN'!$C:$C,'01. TH'!U$4)</f>
        <v>0</v>
      </c>
      <c r="V39" s="1042">
        <f>COUNTIFS('TỔNG KLH + TN'!$B:$B,'01. TH'!$B39,'TỔNG KLH + TN'!$C:$C,'01. TH'!V$4)</f>
        <v>0</v>
      </c>
      <c r="W39" s="1042">
        <f>COUNTIFS('TỔNG KLH + TN'!$B:$B,'01. TH'!$B39,'TỔNG KLH + TN'!$C:$C,'01. TH'!W$4)</f>
        <v>0</v>
      </c>
      <c r="X39" s="1042">
        <f>COUNTIFS('TỔNG KLH + TN'!$B:$B,'01. TH'!$B39,'TỔNG KLH + TN'!$C:$C,'01. TH'!X$4)</f>
        <v>0</v>
      </c>
      <c r="Y39" s="1042">
        <f>COUNTIFS('TỔNG KLH + TN'!$B:$B,'01. TH'!$B39,'TỔNG KLH + TN'!$C:$C,'01. TH'!Y$4)</f>
        <v>0</v>
      </c>
      <c r="Z39" s="1042">
        <f>COUNTIFS('TỔNG KLH + TN'!$B:$B,'01. TH'!$B39,'TỔNG KLH + TN'!$C:$C,'01. TH'!Z$4)</f>
        <v>0</v>
      </c>
      <c r="AA39" s="1042">
        <f>COUNTIFS('TỔNG KLH + TN'!$B:$B,'01. TH'!$B39,'TỔNG KLH + TN'!$C:$C,'01. TH'!AA$4)</f>
        <v>0</v>
      </c>
      <c r="AB39" s="1042">
        <f>COUNTIFS('TỔNG KLH + TN'!$B:$B,'01. TH'!$B39,'TỔNG KLH + TN'!$C:$C,'01. TH'!AB$4)</f>
        <v>0</v>
      </c>
      <c r="AC39" s="1042">
        <f>COUNTIFS('TỔNG KLH + TN'!$B:$B,'01. TH'!$B39,'TỔNG KLH + TN'!$C:$C,'01. TH'!AC$4)</f>
        <v>0</v>
      </c>
      <c r="AD39" s="1042">
        <f>COUNTIFS('TỔNG KLH + TN'!$B:$B,'01. TH'!$B39,'TỔNG KLH + TN'!$C:$C,'01. TH'!AD$4)</f>
        <v>0</v>
      </c>
      <c r="AE39" s="1045">
        <f t="shared" si="10"/>
        <v>0</v>
      </c>
      <c r="AF39" s="1045"/>
      <c r="AG39" s="1033" t="str">
        <f t="shared" si="2"/>
        <v>ok</v>
      </c>
      <c r="AH39" s="1049"/>
    </row>
    <row r="40" ht="18.75" hidden="1" customHeight="1" outlineLevel="1" spans="1:34">
      <c r="A40" s="1039"/>
      <c r="B40" s="1040" t="s">
        <v>91</v>
      </c>
      <c r="C40" s="1041" t="s">
        <v>89</v>
      </c>
      <c r="D40" s="1041" t="str">
        <f>IFERROR(VLOOKUP(B40,'Danh mục'!$G:$U,15,0),"")</f>
        <v/>
      </c>
      <c r="E40" s="1041" t="s">
        <v>42</v>
      </c>
      <c r="F40" s="1042">
        <f>COUNTIFS('TỔNG KLH + TN'!$B:$B,'01. TH'!$B40,'TỔNG KLH + TN'!$C:$C,'01. TH'!F$4)</f>
        <v>0</v>
      </c>
      <c r="G40" s="1042">
        <f>COUNTIFS('TỔNG KLH + TN'!$B:$B,'01. TH'!$B40,'TỔNG KLH + TN'!$C:$C,'01. TH'!G$4)</f>
        <v>0</v>
      </c>
      <c r="H40" s="1042">
        <f>COUNTIFS('TỔNG KLH + TN'!$B:$B,'01. TH'!$B40,'TỔNG KLH + TN'!$C:$C,'01. TH'!H$4)</f>
        <v>0</v>
      </c>
      <c r="I40" s="1042">
        <f>COUNTIFS('TỔNG KLH + TN'!$B:$B,'01. TH'!$B40,'TỔNG KLH + TN'!$C:$C,'01. TH'!I$4)</f>
        <v>0</v>
      </c>
      <c r="J40" s="1042">
        <f>COUNTIFS('TỔNG KLH + TN'!$B:$B,'01. TH'!$B40,'TỔNG KLH + TN'!$C:$C,'01. TH'!J$4)</f>
        <v>0</v>
      </c>
      <c r="K40" s="1042">
        <f>COUNTIFS('TỔNG KLH + TN'!$B:$B,'01. TH'!$B40,'TỔNG KLH + TN'!$C:$C,'01. TH'!K$4)</f>
        <v>0</v>
      </c>
      <c r="L40" s="1042">
        <f>COUNTIFS('TỔNG KLH + TN'!$B:$B,'01. TH'!$B40,'TỔNG KLH + TN'!$C:$C,'01. TH'!L$4)</f>
        <v>0</v>
      </c>
      <c r="M40" s="1042">
        <f>COUNTIFS('TỔNG KLH + TN'!$B:$B,'01. TH'!$B40,'TỔNG KLH + TN'!$C:$C,'01. TH'!M$4)</f>
        <v>0</v>
      </c>
      <c r="N40" s="1042">
        <f>COUNTIFS('TỔNG KLH + TN'!$B:$B,'01. TH'!$B40,'TỔNG KLH + TN'!$C:$C,'01. TH'!N$4)</f>
        <v>0</v>
      </c>
      <c r="O40" s="1042">
        <f>COUNTIFS('TỔNG KLH + TN'!$B:$B,'01. TH'!$B40,'TỔNG KLH + TN'!$C:$C,'01. TH'!O$4)</f>
        <v>0</v>
      </c>
      <c r="P40" s="1042">
        <f>COUNTIFS('TỔNG KLH + TN'!$B:$B,'01. TH'!$B40,'TỔNG KLH + TN'!$C:$C,'01. TH'!P$4)</f>
        <v>0</v>
      </c>
      <c r="Q40" s="1042">
        <f>COUNTIFS('TỔNG KLH + TN'!$B:$B,'01. TH'!$B40,'TỔNG KLH + TN'!$C:$C,'01. TH'!Q$4)</f>
        <v>0</v>
      </c>
      <c r="R40" s="1042">
        <f>COUNTIFS('TỔNG KLH + TN'!$B:$B,'01. TH'!$B40,'TỔNG KLH + TN'!$C:$C,'01. TH'!R$4)</f>
        <v>0</v>
      </c>
      <c r="S40" s="1042">
        <f>COUNTIFS('TỔNG KLH + TN'!$B:$B,'01. TH'!$B40,'TỔNG KLH + TN'!$C:$C,'01. TH'!S$4)</f>
        <v>0</v>
      </c>
      <c r="T40" s="1042">
        <f>COUNTIFS('TỔNG KLH + TN'!$B:$B,'01. TH'!$B40,'TỔNG KLH + TN'!$C:$C,'01. TH'!T$4)</f>
        <v>0</v>
      </c>
      <c r="U40" s="1042">
        <f>COUNTIFS('TỔNG KLH + TN'!$B:$B,'01. TH'!$B40,'TỔNG KLH + TN'!$C:$C,'01. TH'!U$4)</f>
        <v>0</v>
      </c>
      <c r="V40" s="1042">
        <f>COUNTIFS('TỔNG KLH + TN'!$B:$B,'01. TH'!$B40,'TỔNG KLH + TN'!$C:$C,'01. TH'!V$4)</f>
        <v>0</v>
      </c>
      <c r="W40" s="1042">
        <f>COUNTIFS('TỔNG KLH + TN'!$B:$B,'01. TH'!$B40,'TỔNG KLH + TN'!$C:$C,'01. TH'!W$4)</f>
        <v>0</v>
      </c>
      <c r="X40" s="1042">
        <f>COUNTIFS('TỔNG KLH + TN'!$B:$B,'01. TH'!$B40,'TỔNG KLH + TN'!$C:$C,'01. TH'!X$4)</f>
        <v>0</v>
      </c>
      <c r="Y40" s="1042">
        <f>COUNTIFS('TỔNG KLH + TN'!$B:$B,'01. TH'!$B40,'TỔNG KLH + TN'!$C:$C,'01. TH'!Y$4)</f>
        <v>0</v>
      </c>
      <c r="Z40" s="1042">
        <f>COUNTIFS('TỔNG KLH + TN'!$B:$B,'01. TH'!$B40,'TỔNG KLH + TN'!$C:$C,'01. TH'!Z$4)</f>
        <v>0</v>
      </c>
      <c r="AA40" s="1042">
        <f>COUNTIFS('TỔNG KLH + TN'!$B:$B,'01. TH'!$B40,'TỔNG KLH + TN'!$C:$C,'01. TH'!AA$4)</f>
        <v>0</v>
      </c>
      <c r="AB40" s="1042">
        <f>COUNTIFS('TỔNG KLH + TN'!$B:$B,'01. TH'!$B40,'TỔNG KLH + TN'!$C:$C,'01. TH'!AB$4)</f>
        <v>0</v>
      </c>
      <c r="AC40" s="1042">
        <f>COUNTIFS('TỔNG KLH + TN'!$B:$B,'01. TH'!$B40,'TỔNG KLH + TN'!$C:$C,'01. TH'!AC$4)</f>
        <v>0</v>
      </c>
      <c r="AD40" s="1042">
        <f>COUNTIFS('TỔNG KLH + TN'!$B:$B,'01. TH'!$B40,'TỔNG KLH + TN'!$C:$C,'01. TH'!AD$4)</f>
        <v>0</v>
      </c>
      <c r="AE40" s="1043">
        <f t="shared" si="10"/>
        <v>0</v>
      </c>
      <c r="AF40" s="1043"/>
      <c r="AG40" s="1033" t="str">
        <f t="shared" si="2"/>
        <v>ok</v>
      </c>
      <c r="AH40" s="1041"/>
    </row>
    <row r="41" ht="18.75" hidden="1" customHeight="1" outlineLevel="1" spans="1:34">
      <c r="A41" s="1039"/>
      <c r="B41" s="1040" t="s">
        <v>92</v>
      </c>
      <c r="C41" s="1041" t="s">
        <v>58</v>
      </c>
      <c r="D41" s="1041" t="str">
        <f>IFERROR(VLOOKUP(B41,'Danh mục'!$G:$U,15,0),"")</f>
        <v>3830 x 1810 x 1920</v>
      </c>
      <c r="E41" s="1041" t="s">
        <v>42</v>
      </c>
      <c r="F41" s="1042">
        <f>COUNTIFS('TỔNG KLH + TN'!$B:$B,'01. TH'!$B41,'TỔNG KLH + TN'!$C:$C,'01. TH'!F$4)</f>
        <v>0</v>
      </c>
      <c r="G41" s="1042">
        <f>COUNTIFS('TỔNG KLH + TN'!$B:$B,'01. TH'!$B41,'TỔNG KLH + TN'!$C:$C,'01. TH'!G$4)</f>
        <v>0</v>
      </c>
      <c r="H41" s="1042">
        <f>COUNTIFS('TỔNG KLH + TN'!$B:$B,'01. TH'!$B41,'TỔNG KLH + TN'!$C:$C,'01. TH'!H$4)</f>
        <v>0</v>
      </c>
      <c r="I41" s="1042">
        <f>COUNTIFS('TỔNG KLH + TN'!$B:$B,'01. TH'!$B41,'TỔNG KLH + TN'!$C:$C,'01. TH'!I$4)</f>
        <v>0</v>
      </c>
      <c r="J41" s="1042">
        <f>COUNTIFS('TỔNG KLH + TN'!$B:$B,'01. TH'!$B41,'TỔNG KLH + TN'!$C:$C,'01. TH'!J$4)</f>
        <v>0</v>
      </c>
      <c r="K41" s="1042">
        <f>COUNTIFS('TỔNG KLH + TN'!$B:$B,'01. TH'!$B41,'TỔNG KLH + TN'!$C:$C,'01. TH'!K$4)</f>
        <v>0</v>
      </c>
      <c r="L41" s="1042">
        <f>COUNTIFS('TỔNG KLH + TN'!$B:$B,'01. TH'!$B41,'TỔNG KLH + TN'!$C:$C,'01. TH'!L$4)</f>
        <v>0</v>
      </c>
      <c r="M41" s="1042">
        <f>COUNTIFS('TỔNG KLH + TN'!$B:$B,'01. TH'!$B41,'TỔNG KLH + TN'!$C:$C,'01. TH'!M$4)</f>
        <v>0</v>
      </c>
      <c r="N41" s="1042">
        <f>COUNTIFS('TỔNG KLH + TN'!$B:$B,'01. TH'!$B41,'TỔNG KLH + TN'!$C:$C,'01. TH'!N$4)</f>
        <v>0</v>
      </c>
      <c r="O41" s="1042">
        <f>COUNTIFS('TỔNG KLH + TN'!$B:$B,'01. TH'!$B41,'TỔNG KLH + TN'!$C:$C,'01. TH'!O$4)</f>
        <v>0</v>
      </c>
      <c r="P41" s="1042">
        <f>COUNTIFS('TỔNG KLH + TN'!$B:$B,'01. TH'!$B41,'TỔNG KLH + TN'!$C:$C,'01. TH'!P$4)</f>
        <v>0</v>
      </c>
      <c r="Q41" s="1042">
        <f>COUNTIFS('TỔNG KLH + TN'!$B:$B,'01. TH'!$B41,'TỔNG KLH + TN'!$C:$C,'01. TH'!Q$4)</f>
        <v>0</v>
      </c>
      <c r="R41" s="1042">
        <f>COUNTIFS('TỔNG KLH + TN'!$B:$B,'01. TH'!$B41,'TỔNG KLH + TN'!$C:$C,'01. TH'!R$4)</f>
        <v>0</v>
      </c>
      <c r="S41" s="1042">
        <f>COUNTIFS('TỔNG KLH + TN'!$B:$B,'01. TH'!$B41,'TỔNG KLH + TN'!$C:$C,'01. TH'!S$4)</f>
        <v>0</v>
      </c>
      <c r="T41" s="1042">
        <f>COUNTIFS('TỔNG KLH + TN'!$B:$B,'01. TH'!$B41,'TỔNG KLH + TN'!$C:$C,'01. TH'!T$4)</f>
        <v>0</v>
      </c>
      <c r="U41" s="1042">
        <f>COUNTIFS('TỔNG KLH + TN'!$B:$B,'01. TH'!$B41,'TỔNG KLH + TN'!$C:$C,'01. TH'!U$4)</f>
        <v>0</v>
      </c>
      <c r="V41" s="1042">
        <f>COUNTIFS('TỔNG KLH + TN'!$B:$B,'01. TH'!$B41,'TỔNG KLH + TN'!$C:$C,'01. TH'!V$4)</f>
        <v>0</v>
      </c>
      <c r="W41" s="1042">
        <f>COUNTIFS('TỔNG KLH + TN'!$B:$B,'01. TH'!$B41,'TỔNG KLH + TN'!$C:$C,'01. TH'!W$4)</f>
        <v>0</v>
      </c>
      <c r="X41" s="1042">
        <f>COUNTIFS('TỔNG KLH + TN'!$B:$B,'01. TH'!$B41,'TỔNG KLH + TN'!$C:$C,'01. TH'!X$4)</f>
        <v>0</v>
      </c>
      <c r="Y41" s="1042">
        <f>COUNTIFS('TỔNG KLH + TN'!$B:$B,'01. TH'!$B41,'TỔNG KLH + TN'!$C:$C,'01. TH'!Y$4)</f>
        <v>0</v>
      </c>
      <c r="Z41" s="1042">
        <f>COUNTIFS('TỔNG KLH + TN'!$B:$B,'01. TH'!$B41,'TỔNG KLH + TN'!$C:$C,'01. TH'!Z$4)</f>
        <v>0</v>
      </c>
      <c r="AA41" s="1042">
        <f>COUNTIFS('TỔNG KLH + TN'!$B:$B,'01. TH'!$B41,'TỔNG KLH + TN'!$C:$C,'01. TH'!AA$4)</f>
        <v>0</v>
      </c>
      <c r="AB41" s="1042">
        <f>COUNTIFS('TỔNG KLH + TN'!$B:$B,'01. TH'!$B41,'TỔNG KLH + TN'!$C:$C,'01. TH'!AB$4)</f>
        <v>0</v>
      </c>
      <c r="AC41" s="1042">
        <f>COUNTIFS('TỔNG KLH + TN'!$B:$B,'01. TH'!$B41,'TỔNG KLH + TN'!$C:$C,'01. TH'!AC$4)</f>
        <v>0</v>
      </c>
      <c r="AD41" s="1042">
        <f>COUNTIFS('TỔNG KLH + TN'!$B:$B,'01. TH'!$B41,'TỔNG KLH + TN'!$C:$C,'01. TH'!AD$4)</f>
        <v>0</v>
      </c>
      <c r="AE41" s="1043">
        <f t="shared" si="10"/>
        <v>0</v>
      </c>
      <c r="AF41" s="1043"/>
      <c r="AG41" s="1033" t="str">
        <f t="shared" si="2"/>
        <v>ok</v>
      </c>
      <c r="AH41" s="1041"/>
    </row>
    <row r="42" ht="18.75" hidden="1" customHeight="1" outlineLevel="1" spans="1:34">
      <c r="A42" s="1044"/>
      <c r="B42" s="1040" t="s">
        <v>93</v>
      </c>
      <c r="C42" s="1041" t="s">
        <v>94</v>
      </c>
      <c r="D42" s="1041" t="str">
        <f>IFERROR(VLOOKUP(B42,'Danh mục'!$G:$U,15,0),"")</f>
        <v/>
      </c>
      <c r="E42" s="1041" t="s">
        <v>42</v>
      </c>
      <c r="F42" s="1042">
        <f>COUNTIFS('TỔNG KLH + TN'!$B:$B,'01. TH'!$B42,'TỔNG KLH + TN'!$C:$C,'01. TH'!F$4)</f>
        <v>0</v>
      </c>
      <c r="G42" s="1042">
        <f>COUNTIFS('TỔNG KLH + TN'!$B:$B,'01. TH'!$B42,'TỔNG KLH + TN'!$C:$C,'01. TH'!G$4)</f>
        <v>0</v>
      </c>
      <c r="H42" s="1042">
        <f>COUNTIFS('TỔNG KLH + TN'!$B:$B,'01. TH'!$B42,'TỔNG KLH + TN'!$C:$C,'01. TH'!H$4)</f>
        <v>0</v>
      </c>
      <c r="I42" s="1042">
        <f>COUNTIFS('TỔNG KLH + TN'!$B:$B,'01. TH'!$B42,'TỔNG KLH + TN'!$C:$C,'01. TH'!I$4)</f>
        <v>0</v>
      </c>
      <c r="J42" s="1042">
        <f>COUNTIFS('TỔNG KLH + TN'!$B:$B,'01. TH'!$B42,'TỔNG KLH + TN'!$C:$C,'01. TH'!J$4)</f>
        <v>0</v>
      </c>
      <c r="K42" s="1042">
        <f>COUNTIFS('TỔNG KLH + TN'!$B:$B,'01. TH'!$B42,'TỔNG KLH + TN'!$C:$C,'01. TH'!K$4)</f>
        <v>0</v>
      </c>
      <c r="L42" s="1042">
        <f>COUNTIFS('TỔNG KLH + TN'!$B:$B,'01. TH'!$B42,'TỔNG KLH + TN'!$C:$C,'01. TH'!L$4)</f>
        <v>0</v>
      </c>
      <c r="M42" s="1042">
        <f>COUNTIFS('TỔNG KLH + TN'!$B:$B,'01. TH'!$B42,'TỔNG KLH + TN'!$C:$C,'01. TH'!M$4)</f>
        <v>0</v>
      </c>
      <c r="N42" s="1042">
        <f>COUNTIFS('TỔNG KLH + TN'!$B:$B,'01. TH'!$B42,'TỔNG KLH + TN'!$C:$C,'01. TH'!N$4)</f>
        <v>0</v>
      </c>
      <c r="O42" s="1042">
        <f>COUNTIFS('TỔNG KLH + TN'!$B:$B,'01. TH'!$B42,'TỔNG KLH + TN'!$C:$C,'01. TH'!O$4)</f>
        <v>0</v>
      </c>
      <c r="P42" s="1042">
        <f>COUNTIFS('TỔNG KLH + TN'!$B:$B,'01. TH'!$B42,'TỔNG KLH + TN'!$C:$C,'01. TH'!P$4)</f>
        <v>0</v>
      </c>
      <c r="Q42" s="1042">
        <f>COUNTIFS('TỔNG KLH + TN'!$B:$B,'01. TH'!$B42,'TỔNG KLH + TN'!$C:$C,'01. TH'!Q$4)</f>
        <v>0</v>
      </c>
      <c r="R42" s="1042">
        <f>COUNTIFS('TỔNG KLH + TN'!$B:$B,'01. TH'!$B42,'TỔNG KLH + TN'!$C:$C,'01. TH'!R$4)</f>
        <v>0</v>
      </c>
      <c r="S42" s="1042">
        <f>COUNTIFS('TỔNG KLH + TN'!$B:$B,'01. TH'!$B42,'TỔNG KLH + TN'!$C:$C,'01. TH'!S$4)</f>
        <v>0</v>
      </c>
      <c r="T42" s="1042">
        <f>COUNTIFS('TỔNG KLH + TN'!$B:$B,'01. TH'!$B42,'TỔNG KLH + TN'!$C:$C,'01. TH'!T$4)</f>
        <v>0</v>
      </c>
      <c r="U42" s="1042">
        <f>COUNTIFS('TỔNG KLH + TN'!$B:$B,'01. TH'!$B42,'TỔNG KLH + TN'!$C:$C,'01. TH'!U$4)</f>
        <v>0</v>
      </c>
      <c r="V42" s="1042">
        <f>COUNTIFS('TỔNG KLH + TN'!$B:$B,'01. TH'!$B42,'TỔNG KLH + TN'!$C:$C,'01. TH'!V$4)</f>
        <v>0</v>
      </c>
      <c r="W42" s="1042">
        <f>COUNTIFS('TỔNG KLH + TN'!$B:$B,'01. TH'!$B42,'TỔNG KLH + TN'!$C:$C,'01. TH'!W$4)</f>
        <v>0</v>
      </c>
      <c r="X42" s="1042">
        <f>COUNTIFS('TỔNG KLH + TN'!$B:$B,'01. TH'!$B42,'TỔNG KLH + TN'!$C:$C,'01. TH'!X$4)</f>
        <v>0</v>
      </c>
      <c r="Y42" s="1042">
        <f>COUNTIFS('TỔNG KLH + TN'!$B:$B,'01. TH'!$B42,'TỔNG KLH + TN'!$C:$C,'01. TH'!Y$4)</f>
        <v>0</v>
      </c>
      <c r="Z42" s="1042">
        <f>COUNTIFS('TỔNG KLH + TN'!$B:$B,'01. TH'!$B42,'TỔNG KLH + TN'!$C:$C,'01. TH'!Z$4)</f>
        <v>0</v>
      </c>
      <c r="AA42" s="1042">
        <f>COUNTIFS('TỔNG KLH + TN'!$B:$B,'01. TH'!$B42,'TỔNG KLH + TN'!$C:$C,'01. TH'!AA$4)</f>
        <v>0</v>
      </c>
      <c r="AB42" s="1042">
        <f>COUNTIFS('TỔNG KLH + TN'!$B:$B,'01. TH'!$B42,'TỔNG KLH + TN'!$C:$C,'01. TH'!AB$4)</f>
        <v>0</v>
      </c>
      <c r="AC42" s="1042">
        <f>COUNTIFS('TỔNG KLH + TN'!$B:$B,'01. TH'!$B42,'TỔNG KLH + TN'!$C:$C,'01. TH'!AC$4)</f>
        <v>0</v>
      </c>
      <c r="AD42" s="1042">
        <f>COUNTIFS('TỔNG KLH + TN'!$B:$B,'01. TH'!$B42,'TỔNG KLH + TN'!$C:$C,'01. TH'!AD$4)</f>
        <v>0</v>
      </c>
      <c r="AE42" s="1045">
        <f t="shared" si="10"/>
        <v>0</v>
      </c>
      <c r="AF42" s="1045"/>
      <c r="AG42" s="1033" t="str">
        <f t="shared" si="2"/>
        <v>ok</v>
      </c>
      <c r="AH42" s="1046"/>
    </row>
    <row r="43" ht="18.75" hidden="1" customHeight="1" outlineLevel="1" spans="1:34">
      <c r="A43" s="1044"/>
      <c r="B43" s="1040" t="s">
        <v>95</v>
      </c>
      <c r="C43" s="1041" t="s">
        <v>41</v>
      </c>
      <c r="D43" s="1041" t="str">
        <f>IFERROR(VLOOKUP(B43,'Danh mục'!$G:$U,15,0),"")</f>
        <v/>
      </c>
      <c r="E43" s="1041" t="s">
        <v>42</v>
      </c>
      <c r="F43" s="1042">
        <f>COUNTIFS('TỔNG KLH + TN'!$B:$B,'01. TH'!$B43,'TỔNG KLH + TN'!$C:$C,'01. TH'!F$4)</f>
        <v>0</v>
      </c>
      <c r="G43" s="1042">
        <f>COUNTIFS('TỔNG KLH + TN'!$B:$B,'01. TH'!$B43,'TỔNG KLH + TN'!$C:$C,'01. TH'!G$4)</f>
        <v>0</v>
      </c>
      <c r="H43" s="1042">
        <f>COUNTIFS('TỔNG KLH + TN'!$B:$B,'01. TH'!$B43,'TỔNG KLH + TN'!$C:$C,'01. TH'!H$4)</f>
        <v>0</v>
      </c>
      <c r="I43" s="1042">
        <f>COUNTIFS('TỔNG KLH + TN'!$B:$B,'01. TH'!$B43,'TỔNG KLH + TN'!$C:$C,'01. TH'!I$4)</f>
        <v>0</v>
      </c>
      <c r="J43" s="1042">
        <f>COUNTIFS('TỔNG KLH + TN'!$B:$B,'01. TH'!$B43,'TỔNG KLH + TN'!$C:$C,'01. TH'!J$4)</f>
        <v>0</v>
      </c>
      <c r="K43" s="1042">
        <f>COUNTIFS('TỔNG KLH + TN'!$B:$B,'01. TH'!$B43,'TỔNG KLH + TN'!$C:$C,'01. TH'!K$4)</f>
        <v>0</v>
      </c>
      <c r="L43" s="1042">
        <f>COUNTIFS('TỔNG KLH + TN'!$B:$B,'01. TH'!$B43,'TỔNG KLH + TN'!$C:$C,'01. TH'!L$4)</f>
        <v>0</v>
      </c>
      <c r="M43" s="1042">
        <f>COUNTIFS('TỔNG KLH + TN'!$B:$B,'01. TH'!$B43,'TỔNG KLH + TN'!$C:$C,'01. TH'!M$4)</f>
        <v>0</v>
      </c>
      <c r="N43" s="1042">
        <f>COUNTIFS('TỔNG KLH + TN'!$B:$B,'01. TH'!$B43,'TỔNG KLH + TN'!$C:$C,'01. TH'!N$4)</f>
        <v>0</v>
      </c>
      <c r="O43" s="1042">
        <f>COUNTIFS('TỔNG KLH + TN'!$B:$B,'01. TH'!$B43,'TỔNG KLH + TN'!$C:$C,'01. TH'!O$4)</f>
        <v>0</v>
      </c>
      <c r="P43" s="1042">
        <f>COUNTIFS('TỔNG KLH + TN'!$B:$B,'01. TH'!$B43,'TỔNG KLH + TN'!$C:$C,'01. TH'!P$4)</f>
        <v>0</v>
      </c>
      <c r="Q43" s="1042">
        <f>COUNTIFS('TỔNG KLH + TN'!$B:$B,'01. TH'!$B43,'TỔNG KLH + TN'!$C:$C,'01. TH'!Q$4)</f>
        <v>0</v>
      </c>
      <c r="R43" s="1042">
        <f>COUNTIFS('TỔNG KLH + TN'!$B:$B,'01. TH'!$B43,'TỔNG KLH + TN'!$C:$C,'01. TH'!R$4)</f>
        <v>0</v>
      </c>
      <c r="S43" s="1042">
        <f>COUNTIFS('TỔNG KLH + TN'!$B:$B,'01. TH'!$B43,'TỔNG KLH + TN'!$C:$C,'01. TH'!S$4)</f>
        <v>0</v>
      </c>
      <c r="T43" s="1042">
        <f>COUNTIFS('TỔNG KLH + TN'!$B:$B,'01. TH'!$B43,'TỔNG KLH + TN'!$C:$C,'01. TH'!T$4)</f>
        <v>0</v>
      </c>
      <c r="U43" s="1042">
        <f>COUNTIFS('TỔNG KLH + TN'!$B:$B,'01. TH'!$B43,'TỔNG KLH + TN'!$C:$C,'01. TH'!U$4)</f>
        <v>0</v>
      </c>
      <c r="V43" s="1042">
        <f>COUNTIFS('TỔNG KLH + TN'!$B:$B,'01. TH'!$B43,'TỔNG KLH + TN'!$C:$C,'01. TH'!V$4)</f>
        <v>0</v>
      </c>
      <c r="W43" s="1042">
        <f>COUNTIFS('TỔNG KLH + TN'!$B:$B,'01. TH'!$B43,'TỔNG KLH + TN'!$C:$C,'01. TH'!W$4)</f>
        <v>0</v>
      </c>
      <c r="X43" s="1042">
        <f>COUNTIFS('TỔNG KLH + TN'!$B:$B,'01. TH'!$B43,'TỔNG KLH + TN'!$C:$C,'01. TH'!X$4)</f>
        <v>0</v>
      </c>
      <c r="Y43" s="1042">
        <f>COUNTIFS('TỔNG KLH + TN'!$B:$B,'01. TH'!$B43,'TỔNG KLH + TN'!$C:$C,'01. TH'!Y$4)</f>
        <v>0</v>
      </c>
      <c r="Z43" s="1042">
        <f>COUNTIFS('TỔNG KLH + TN'!$B:$B,'01. TH'!$B43,'TỔNG KLH + TN'!$C:$C,'01. TH'!Z$4)</f>
        <v>0</v>
      </c>
      <c r="AA43" s="1042">
        <f>COUNTIFS('TỔNG KLH + TN'!$B:$B,'01. TH'!$B43,'TỔNG KLH + TN'!$C:$C,'01. TH'!AA$4)</f>
        <v>0</v>
      </c>
      <c r="AB43" s="1042">
        <f>COUNTIFS('TỔNG KLH + TN'!$B:$B,'01. TH'!$B43,'TỔNG KLH + TN'!$C:$C,'01. TH'!AB$4)</f>
        <v>0</v>
      </c>
      <c r="AC43" s="1042">
        <f>COUNTIFS('TỔNG KLH + TN'!$B:$B,'01. TH'!$B43,'TỔNG KLH + TN'!$C:$C,'01. TH'!AC$4)</f>
        <v>0</v>
      </c>
      <c r="AD43" s="1042">
        <f>COUNTIFS('TỔNG KLH + TN'!$B:$B,'01. TH'!$B43,'TỔNG KLH + TN'!$C:$C,'01. TH'!AD$4)</f>
        <v>0</v>
      </c>
      <c r="AE43" s="1045">
        <f t="shared" si="10"/>
        <v>0</v>
      </c>
      <c r="AF43" s="1045"/>
      <c r="AG43" s="1033" t="str">
        <f t="shared" si="2"/>
        <v>ok</v>
      </c>
      <c r="AH43" s="1046"/>
    </row>
    <row r="44" ht="18.75" hidden="1" customHeight="1" outlineLevel="1" spans="1:34">
      <c r="A44" s="1044"/>
      <c r="B44" s="1040" t="s">
        <v>96</v>
      </c>
      <c r="C44" s="1041" t="s">
        <v>97</v>
      </c>
      <c r="D44" s="1041" t="str">
        <f>IFERROR(VLOOKUP(B44,'Danh mục'!$G:$U,15,0),"")</f>
        <v>6895 x 2470 x 3180</v>
      </c>
      <c r="E44" s="1041" t="s">
        <v>42</v>
      </c>
      <c r="F44" s="1042">
        <f>COUNTIFS('TỔNG KLH + TN'!$B:$B,'01. TH'!$B44,'TỔNG KLH + TN'!$C:$C,'01. TH'!F$4)</f>
        <v>0</v>
      </c>
      <c r="G44" s="1042">
        <f>COUNTIFS('TỔNG KLH + TN'!$B:$B,'01. TH'!$B44,'TỔNG KLH + TN'!$C:$C,'01. TH'!G$4)</f>
        <v>0</v>
      </c>
      <c r="H44" s="1042">
        <f>COUNTIFS('TỔNG KLH + TN'!$B:$B,'01. TH'!$B44,'TỔNG KLH + TN'!$C:$C,'01. TH'!H$4)</f>
        <v>0</v>
      </c>
      <c r="I44" s="1042">
        <f>COUNTIFS('TỔNG KLH + TN'!$B:$B,'01. TH'!$B44,'TỔNG KLH + TN'!$C:$C,'01. TH'!I$4)</f>
        <v>0</v>
      </c>
      <c r="J44" s="1042">
        <f>COUNTIFS('TỔNG KLH + TN'!$B:$B,'01. TH'!$B44,'TỔNG KLH + TN'!$C:$C,'01. TH'!J$4)</f>
        <v>0</v>
      </c>
      <c r="K44" s="1042">
        <f>COUNTIFS('TỔNG KLH + TN'!$B:$B,'01. TH'!$B44,'TỔNG KLH + TN'!$C:$C,'01. TH'!K$4)</f>
        <v>0</v>
      </c>
      <c r="L44" s="1042">
        <f>COUNTIFS('TỔNG KLH + TN'!$B:$B,'01. TH'!$B44,'TỔNG KLH + TN'!$C:$C,'01. TH'!L$4)</f>
        <v>0</v>
      </c>
      <c r="M44" s="1042">
        <f>COUNTIFS('TỔNG KLH + TN'!$B:$B,'01. TH'!$B44,'TỔNG KLH + TN'!$C:$C,'01. TH'!M$4)</f>
        <v>0</v>
      </c>
      <c r="N44" s="1042">
        <f>COUNTIFS('TỔNG KLH + TN'!$B:$B,'01. TH'!$B44,'TỔNG KLH + TN'!$C:$C,'01. TH'!N$4)</f>
        <v>0</v>
      </c>
      <c r="O44" s="1042">
        <f>COUNTIFS('TỔNG KLH + TN'!$B:$B,'01. TH'!$B44,'TỔNG KLH + TN'!$C:$C,'01. TH'!O$4)</f>
        <v>0</v>
      </c>
      <c r="P44" s="1042">
        <f>COUNTIFS('TỔNG KLH + TN'!$B:$B,'01. TH'!$B44,'TỔNG KLH + TN'!$C:$C,'01. TH'!P$4)</f>
        <v>0</v>
      </c>
      <c r="Q44" s="1042">
        <f>COUNTIFS('TỔNG KLH + TN'!$B:$B,'01. TH'!$B44,'TỔNG KLH + TN'!$C:$C,'01. TH'!Q$4)</f>
        <v>0</v>
      </c>
      <c r="R44" s="1042">
        <f>COUNTIFS('TỔNG KLH + TN'!$B:$B,'01. TH'!$B44,'TỔNG KLH + TN'!$C:$C,'01. TH'!R$4)</f>
        <v>0</v>
      </c>
      <c r="S44" s="1042">
        <f>COUNTIFS('TỔNG KLH + TN'!$B:$B,'01. TH'!$B44,'TỔNG KLH + TN'!$C:$C,'01. TH'!S$4)</f>
        <v>0</v>
      </c>
      <c r="T44" s="1042">
        <f>COUNTIFS('TỔNG KLH + TN'!$B:$B,'01. TH'!$B44,'TỔNG KLH + TN'!$C:$C,'01. TH'!T$4)</f>
        <v>0</v>
      </c>
      <c r="U44" s="1042">
        <f>COUNTIFS('TỔNG KLH + TN'!$B:$B,'01. TH'!$B44,'TỔNG KLH + TN'!$C:$C,'01. TH'!U$4)</f>
        <v>0</v>
      </c>
      <c r="V44" s="1042">
        <f>COUNTIFS('TỔNG KLH + TN'!$B:$B,'01. TH'!$B44,'TỔNG KLH + TN'!$C:$C,'01. TH'!V$4)</f>
        <v>0</v>
      </c>
      <c r="W44" s="1042">
        <f>COUNTIFS('TỔNG KLH + TN'!$B:$B,'01. TH'!$B44,'TỔNG KLH + TN'!$C:$C,'01. TH'!W$4)</f>
        <v>0</v>
      </c>
      <c r="X44" s="1042">
        <f>COUNTIFS('TỔNG KLH + TN'!$B:$B,'01. TH'!$B44,'TỔNG KLH + TN'!$C:$C,'01. TH'!X$4)</f>
        <v>1</v>
      </c>
      <c r="Y44" s="1042">
        <f>COUNTIFS('TỔNG KLH + TN'!$B:$B,'01. TH'!$B44,'TỔNG KLH + TN'!$C:$C,'01. TH'!Y$4)</f>
        <v>0</v>
      </c>
      <c r="Z44" s="1042">
        <f>COUNTIFS('TỔNG KLH + TN'!$B:$B,'01. TH'!$B44,'TỔNG KLH + TN'!$C:$C,'01. TH'!Z$4)</f>
        <v>0</v>
      </c>
      <c r="AA44" s="1042">
        <f>COUNTIFS('TỔNG KLH + TN'!$B:$B,'01. TH'!$B44,'TỔNG KLH + TN'!$C:$C,'01. TH'!AA$4)</f>
        <v>0</v>
      </c>
      <c r="AB44" s="1042">
        <f>COUNTIFS('TỔNG KLH + TN'!$B:$B,'01. TH'!$B44,'TỔNG KLH + TN'!$C:$C,'01. TH'!AB$4)</f>
        <v>0</v>
      </c>
      <c r="AC44" s="1042">
        <f>COUNTIFS('TỔNG KLH + TN'!$B:$B,'01. TH'!$B44,'TỔNG KLH + TN'!$C:$C,'01. TH'!AC$4)</f>
        <v>0</v>
      </c>
      <c r="AD44" s="1042">
        <f>COUNTIFS('TỔNG KLH + TN'!$B:$B,'01. TH'!$B44,'TỔNG KLH + TN'!$C:$C,'01. TH'!AD$4)</f>
        <v>0</v>
      </c>
      <c r="AE44" s="1045">
        <f t="shared" si="10"/>
        <v>1</v>
      </c>
      <c r="AF44" s="1045"/>
      <c r="AG44" s="1033" t="str">
        <f t="shared" si="2"/>
        <v>ok</v>
      </c>
      <c r="AH44" s="1046"/>
    </row>
    <row r="45" ht="18.75" hidden="1" customHeight="1" outlineLevel="1" spans="1:34">
      <c r="A45" s="1039"/>
      <c r="B45" s="1040" t="s">
        <v>98</v>
      </c>
      <c r="C45" s="1041" t="s">
        <v>97</v>
      </c>
      <c r="D45" s="1041" t="str">
        <f>IFERROR(VLOOKUP(B45,'Danh mục'!$G:$U,15,0),"")</f>
        <v>8020 x 2845 x 3375</v>
      </c>
      <c r="E45" s="1041" t="s">
        <v>42</v>
      </c>
      <c r="F45" s="1042">
        <f>COUNTIFS('TỔNG KLH + TN'!$B:$B,'01. TH'!$B45,'TỔNG KLH + TN'!$C:$C,'01. TH'!F$4)</f>
        <v>0</v>
      </c>
      <c r="G45" s="1042">
        <f>COUNTIFS('TỔNG KLH + TN'!$B:$B,'01. TH'!$B45,'TỔNG KLH + TN'!$C:$C,'01. TH'!G$4)</f>
        <v>0</v>
      </c>
      <c r="H45" s="1042">
        <f>COUNTIFS('TỔNG KLH + TN'!$B:$B,'01. TH'!$B45,'TỔNG KLH + TN'!$C:$C,'01. TH'!H$4)</f>
        <v>0</v>
      </c>
      <c r="I45" s="1042">
        <f>COUNTIFS('TỔNG KLH + TN'!$B:$B,'01. TH'!$B45,'TỔNG KLH + TN'!$C:$C,'01. TH'!I$4)</f>
        <v>0</v>
      </c>
      <c r="J45" s="1042">
        <f>COUNTIFS('TỔNG KLH + TN'!$B:$B,'01. TH'!$B45,'TỔNG KLH + TN'!$C:$C,'01. TH'!J$4)</f>
        <v>0</v>
      </c>
      <c r="K45" s="1042">
        <f>COUNTIFS('TỔNG KLH + TN'!$B:$B,'01. TH'!$B45,'TỔNG KLH + TN'!$C:$C,'01. TH'!K$4)</f>
        <v>0</v>
      </c>
      <c r="L45" s="1042">
        <f>COUNTIFS('TỔNG KLH + TN'!$B:$B,'01. TH'!$B45,'TỔNG KLH + TN'!$C:$C,'01. TH'!L$4)</f>
        <v>0</v>
      </c>
      <c r="M45" s="1042">
        <f>COUNTIFS('TỔNG KLH + TN'!$B:$B,'01. TH'!$B45,'TỔNG KLH + TN'!$C:$C,'01. TH'!M$4)</f>
        <v>0</v>
      </c>
      <c r="N45" s="1042">
        <f>COUNTIFS('TỔNG KLH + TN'!$B:$B,'01. TH'!$B45,'TỔNG KLH + TN'!$C:$C,'01. TH'!N$4)</f>
        <v>0</v>
      </c>
      <c r="O45" s="1042">
        <f>COUNTIFS('TỔNG KLH + TN'!$B:$B,'01. TH'!$B45,'TỔNG KLH + TN'!$C:$C,'01. TH'!O$4)</f>
        <v>0</v>
      </c>
      <c r="P45" s="1042">
        <f>COUNTIFS('TỔNG KLH + TN'!$B:$B,'01. TH'!$B45,'TỔNG KLH + TN'!$C:$C,'01. TH'!P$4)</f>
        <v>0</v>
      </c>
      <c r="Q45" s="1042">
        <f>COUNTIFS('TỔNG KLH + TN'!$B:$B,'01. TH'!$B45,'TỔNG KLH + TN'!$C:$C,'01. TH'!Q$4)</f>
        <v>0</v>
      </c>
      <c r="R45" s="1042">
        <f>COUNTIFS('TỔNG KLH + TN'!$B:$B,'01. TH'!$B45,'TỔNG KLH + TN'!$C:$C,'01. TH'!R$4)</f>
        <v>0</v>
      </c>
      <c r="S45" s="1042">
        <f>COUNTIFS('TỔNG KLH + TN'!$B:$B,'01. TH'!$B45,'TỔNG KLH + TN'!$C:$C,'01. TH'!S$4)</f>
        <v>0</v>
      </c>
      <c r="T45" s="1042">
        <f>COUNTIFS('TỔNG KLH + TN'!$B:$B,'01. TH'!$B45,'TỔNG KLH + TN'!$C:$C,'01. TH'!T$4)</f>
        <v>0</v>
      </c>
      <c r="U45" s="1042">
        <f>COUNTIFS('TỔNG KLH + TN'!$B:$B,'01. TH'!$B45,'TỔNG KLH + TN'!$C:$C,'01. TH'!U$4)</f>
        <v>0</v>
      </c>
      <c r="V45" s="1042">
        <f>COUNTIFS('TỔNG KLH + TN'!$B:$B,'01. TH'!$B45,'TỔNG KLH + TN'!$C:$C,'01. TH'!V$4)</f>
        <v>0</v>
      </c>
      <c r="W45" s="1042">
        <f>COUNTIFS('TỔNG KLH + TN'!$B:$B,'01. TH'!$B45,'TỔNG KLH + TN'!$C:$C,'01. TH'!W$4)</f>
        <v>0</v>
      </c>
      <c r="X45" s="1042">
        <f>COUNTIFS('TỔNG KLH + TN'!$B:$B,'01. TH'!$B45,'TỔNG KLH + TN'!$C:$C,'01. TH'!X$4)</f>
        <v>0</v>
      </c>
      <c r="Y45" s="1042">
        <f>COUNTIFS('TỔNG KLH + TN'!$B:$B,'01. TH'!$B45,'TỔNG KLH + TN'!$C:$C,'01. TH'!Y$4)</f>
        <v>0</v>
      </c>
      <c r="Z45" s="1042">
        <f>COUNTIFS('TỔNG KLH + TN'!$B:$B,'01. TH'!$B45,'TỔNG KLH + TN'!$C:$C,'01. TH'!Z$4)</f>
        <v>0</v>
      </c>
      <c r="AA45" s="1042">
        <f>COUNTIFS('TỔNG KLH + TN'!$B:$B,'01. TH'!$B45,'TỔNG KLH + TN'!$C:$C,'01. TH'!AA$4)</f>
        <v>0</v>
      </c>
      <c r="AB45" s="1042">
        <f>COUNTIFS('TỔNG KLH + TN'!$B:$B,'01. TH'!$B45,'TỔNG KLH + TN'!$C:$C,'01. TH'!AB$4)</f>
        <v>0</v>
      </c>
      <c r="AC45" s="1042">
        <f>COUNTIFS('TỔNG KLH + TN'!$B:$B,'01. TH'!$B45,'TỔNG KLH + TN'!$C:$C,'01. TH'!AC$4)</f>
        <v>0</v>
      </c>
      <c r="AD45" s="1042">
        <f>COUNTIFS('TỔNG KLH + TN'!$B:$B,'01. TH'!$B45,'TỔNG KLH + TN'!$C:$C,'01. TH'!AD$4)</f>
        <v>0</v>
      </c>
      <c r="AE45" s="1043">
        <f t="shared" si="10"/>
        <v>0</v>
      </c>
      <c r="AF45" s="1043"/>
      <c r="AG45" s="1033" t="str">
        <f t="shared" si="2"/>
        <v>ok</v>
      </c>
      <c r="AH45" s="1041"/>
    </row>
    <row r="46" ht="18.75" hidden="1" customHeight="1" outlineLevel="1" spans="1:34">
      <c r="A46" s="1049"/>
      <c r="B46" s="1040" t="s">
        <v>99</v>
      </c>
      <c r="C46" s="1041" t="s">
        <v>100</v>
      </c>
      <c r="D46" s="1041" t="str">
        <f>IFERROR(VLOOKUP(B46,'Danh mục'!$G:$U,15,0),"")</f>
        <v>8259 x 2935 x 3384</v>
      </c>
      <c r="E46" s="1041" t="s">
        <v>42</v>
      </c>
      <c r="F46" s="1042">
        <f>COUNTIFS('TỔNG KLH + TN'!$B:$B,'01. TH'!$B46,'TỔNG KLH + TN'!$C:$C,'01. TH'!F$4)</f>
        <v>0</v>
      </c>
      <c r="G46" s="1042">
        <f>COUNTIFS('TỔNG KLH + TN'!$B:$B,'01. TH'!$B46,'TỔNG KLH + TN'!$C:$C,'01. TH'!G$4)</f>
        <v>0</v>
      </c>
      <c r="H46" s="1042">
        <f>COUNTIFS('TỔNG KLH + TN'!$B:$B,'01. TH'!$B46,'TỔNG KLH + TN'!$C:$C,'01. TH'!H$4)</f>
        <v>0</v>
      </c>
      <c r="I46" s="1042">
        <f>COUNTIFS('TỔNG KLH + TN'!$B:$B,'01. TH'!$B46,'TỔNG KLH + TN'!$C:$C,'01. TH'!I$4)</f>
        <v>0</v>
      </c>
      <c r="J46" s="1042">
        <f>COUNTIFS('TỔNG KLH + TN'!$B:$B,'01. TH'!$B46,'TỔNG KLH + TN'!$C:$C,'01. TH'!J$4)</f>
        <v>0</v>
      </c>
      <c r="K46" s="1042">
        <f>COUNTIFS('TỔNG KLH + TN'!$B:$B,'01. TH'!$B46,'TỔNG KLH + TN'!$C:$C,'01. TH'!K$4)</f>
        <v>0</v>
      </c>
      <c r="L46" s="1042">
        <f>COUNTIFS('TỔNG KLH + TN'!$B:$B,'01. TH'!$B46,'TỔNG KLH + TN'!$C:$C,'01. TH'!L$4)</f>
        <v>0</v>
      </c>
      <c r="M46" s="1042">
        <f>COUNTIFS('TỔNG KLH + TN'!$B:$B,'01. TH'!$B46,'TỔNG KLH + TN'!$C:$C,'01. TH'!M$4)</f>
        <v>0</v>
      </c>
      <c r="N46" s="1042">
        <f>COUNTIFS('TỔNG KLH + TN'!$B:$B,'01. TH'!$B46,'TỔNG KLH + TN'!$C:$C,'01. TH'!N$4)</f>
        <v>0</v>
      </c>
      <c r="O46" s="1042">
        <f>COUNTIFS('TỔNG KLH + TN'!$B:$B,'01. TH'!$B46,'TỔNG KLH + TN'!$C:$C,'01. TH'!O$4)</f>
        <v>0</v>
      </c>
      <c r="P46" s="1042">
        <f>COUNTIFS('TỔNG KLH + TN'!$B:$B,'01. TH'!$B46,'TỔNG KLH + TN'!$C:$C,'01. TH'!P$4)</f>
        <v>0</v>
      </c>
      <c r="Q46" s="1042">
        <f>COUNTIFS('TỔNG KLH + TN'!$B:$B,'01. TH'!$B46,'TỔNG KLH + TN'!$C:$C,'01. TH'!Q$4)</f>
        <v>0</v>
      </c>
      <c r="R46" s="1042">
        <f>COUNTIFS('TỔNG KLH + TN'!$B:$B,'01. TH'!$B46,'TỔNG KLH + TN'!$C:$C,'01. TH'!R$4)</f>
        <v>0</v>
      </c>
      <c r="S46" s="1042">
        <f>COUNTIFS('TỔNG KLH + TN'!$B:$B,'01. TH'!$B46,'TỔNG KLH + TN'!$C:$C,'01. TH'!S$4)</f>
        <v>0</v>
      </c>
      <c r="T46" s="1042">
        <f>COUNTIFS('TỔNG KLH + TN'!$B:$B,'01. TH'!$B46,'TỔNG KLH + TN'!$C:$C,'01. TH'!T$4)</f>
        <v>0</v>
      </c>
      <c r="U46" s="1042">
        <f>COUNTIFS('TỔNG KLH + TN'!$B:$B,'01. TH'!$B46,'TỔNG KLH + TN'!$C:$C,'01. TH'!U$4)</f>
        <v>0</v>
      </c>
      <c r="V46" s="1042">
        <f>COUNTIFS('TỔNG KLH + TN'!$B:$B,'01. TH'!$B46,'TỔNG KLH + TN'!$C:$C,'01. TH'!V$4)</f>
        <v>0</v>
      </c>
      <c r="W46" s="1042">
        <f>COUNTIFS('TỔNG KLH + TN'!$B:$B,'01. TH'!$B46,'TỔNG KLH + TN'!$C:$C,'01. TH'!W$4)</f>
        <v>0</v>
      </c>
      <c r="X46" s="1042">
        <f>COUNTIFS('TỔNG KLH + TN'!$B:$B,'01. TH'!$B46,'TỔNG KLH + TN'!$C:$C,'01. TH'!X$4)</f>
        <v>0</v>
      </c>
      <c r="Y46" s="1042">
        <f>COUNTIFS('TỔNG KLH + TN'!$B:$B,'01. TH'!$B46,'TỔNG KLH + TN'!$C:$C,'01. TH'!Y$4)</f>
        <v>0</v>
      </c>
      <c r="Z46" s="1042">
        <f>COUNTIFS('TỔNG KLH + TN'!$B:$B,'01. TH'!$B46,'TỔNG KLH + TN'!$C:$C,'01. TH'!Z$4)</f>
        <v>0</v>
      </c>
      <c r="AA46" s="1042">
        <f>COUNTIFS('TỔNG KLH + TN'!$B:$B,'01. TH'!$B46,'TỔNG KLH + TN'!$C:$C,'01. TH'!AA$4)</f>
        <v>0</v>
      </c>
      <c r="AB46" s="1042">
        <f>COUNTIFS('TỔNG KLH + TN'!$B:$B,'01. TH'!$B46,'TỔNG KLH + TN'!$C:$C,'01. TH'!AB$4)</f>
        <v>0</v>
      </c>
      <c r="AC46" s="1042">
        <f>COUNTIFS('TỔNG KLH + TN'!$B:$B,'01. TH'!$B46,'TỔNG KLH + TN'!$C:$C,'01. TH'!AC$4)</f>
        <v>0</v>
      </c>
      <c r="AD46" s="1042">
        <f>COUNTIFS('TỔNG KLH + TN'!$B:$B,'01. TH'!$B46,'TỔNG KLH + TN'!$C:$C,'01. TH'!AD$4)</f>
        <v>0</v>
      </c>
      <c r="AE46" s="1045">
        <f t="shared" si="10"/>
        <v>0</v>
      </c>
      <c r="AF46" s="1045"/>
      <c r="AG46" s="1033" t="str">
        <f t="shared" si="2"/>
        <v>ok</v>
      </c>
      <c r="AH46" s="1050"/>
    </row>
    <row r="47" ht="18.75" hidden="1" customHeight="1" outlineLevel="1" spans="1:34">
      <c r="A47" s="1049"/>
      <c r="B47" s="1040" t="s">
        <v>101</v>
      </c>
      <c r="C47" s="1041" t="s">
        <v>102</v>
      </c>
      <c r="D47" s="1041" t="str">
        <f>IFERROR(VLOOKUP(B47,'Danh mục'!$G:$U,15,0),"")</f>
        <v/>
      </c>
      <c r="E47" s="1041" t="s">
        <v>42</v>
      </c>
      <c r="F47" s="1042">
        <f>COUNTIFS('TỔNG KLH + TN'!$B:$B,'01. TH'!$B47,'TỔNG KLH + TN'!$C:$C,'01. TH'!F$4)</f>
        <v>0</v>
      </c>
      <c r="G47" s="1042">
        <f>COUNTIFS('TỔNG KLH + TN'!$B:$B,'01. TH'!$B47,'TỔNG KLH + TN'!$C:$C,'01. TH'!G$4)</f>
        <v>0</v>
      </c>
      <c r="H47" s="1042">
        <f>COUNTIFS('TỔNG KLH + TN'!$B:$B,'01. TH'!$B47,'TỔNG KLH + TN'!$C:$C,'01. TH'!H$4)</f>
        <v>0</v>
      </c>
      <c r="I47" s="1042">
        <f>COUNTIFS('TỔNG KLH + TN'!$B:$B,'01. TH'!$B47,'TỔNG KLH + TN'!$C:$C,'01. TH'!I$4)</f>
        <v>0</v>
      </c>
      <c r="J47" s="1042">
        <f>COUNTIFS('TỔNG KLH + TN'!$B:$B,'01. TH'!$B47,'TỔNG KLH + TN'!$C:$C,'01. TH'!J$4)</f>
        <v>0</v>
      </c>
      <c r="K47" s="1042">
        <f>COUNTIFS('TỔNG KLH + TN'!$B:$B,'01. TH'!$B47,'TỔNG KLH + TN'!$C:$C,'01. TH'!K$4)</f>
        <v>0</v>
      </c>
      <c r="L47" s="1042">
        <f>COUNTIFS('TỔNG KLH + TN'!$B:$B,'01. TH'!$B47,'TỔNG KLH + TN'!$C:$C,'01. TH'!L$4)</f>
        <v>0</v>
      </c>
      <c r="M47" s="1042">
        <f>COUNTIFS('TỔNG KLH + TN'!$B:$B,'01. TH'!$B47,'TỔNG KLH + TN'!$C:$C,'01. TH'!M$4)</f>
        <v>0</v>
      </c>
      <c r="N47" s="1042">
        <f>COUNTIFS('TỔNG KLH + TN'!$B:$B,'01. TH'!$B47,'TỔNG KLH + TN'!$C:$C,'01. TH'!N$4)</f>
        <v>0</v>
      </c>
      <c r="O47" s="1042">
        <f>COUNTIFS('TỔNG KLH + TN'!$B:$B,'01. TH'!$B47,'TỔNG KLH + TN'!$C:$C,'01. TH'!O$4)</f>
        <v>0</v>
      </c>
      <c r="P47" s="1042">
        <f>COUNTIFS('TỔNG KLH + TN'!$B:$B,'01. TH'!$B47,'TỔNG KLH + TN'!$C:$C,'01. TH'!P$4)</f>
        <v>0</v>
      </c>
      <c r="Q47" s="1042">
        <f>COUNTIFS('TỔNG KLH + TN'!$B:$B,'01. TH'!$B47,'TỔNG KLH + TN'!$C:$C,'01. TH'!Q$4)</f>
        <v>0</v>
      </c>
      <c r="R47" s="1042">
        <f>COUNTIFS('TỔNG KLH + TN'!$B:$B,'01. TH'!$B47,'TỔNG KLH + TN'!$C:$C,'01. TH'!R$4)</f>
        <v>0</v>
      </c>
      <c r="S47" s="1042">
        <f>COUNTIFS('TỔNG KLH + TN'!$B:$B,'01. TH'!$B47,'TỔNG KLH + TN'!$C:$C,'01. TH'!S$4)</f>
        <v>0</v>
      </c>
      <c r="T47" s="1042">
        <f>COUNTIFS('TỔNG KLH + TN'!$B:$B,'01. TH'!$B47,'TỔNG KLH + TN'!$C:$C,'01. TH'!T$4)</f>
        <v>0</v>
      </c>
      <c r="U47" s="1042">
        <f>COUNTIFS('TỔNG KLH + TN'!$B:$B,'01. TH'!$B47,'TỔNG KLH + TN'!$C:$C,'01. TH'!U$4)</f>
        <v>0</v>
      </c>
      <c r="V47" s="1042">
        <f>COUNTIFS('TỔNG KLH + TN'!$B:$B,'01. TH'!$B47,'TỔNG KLH + TN'!$C:$C,'01. TH'!V$4)</f>
        <v>0</v>
      </c>
      <c r="W47" s="1042">
        <f>COUNTIFS('TỔNG KLH + TN'!$B:$B,'01. TH'!$B47,'TỔNG KLH + TN'!$C:$C,'01. TH'!W$4)</f>
        <v>0</v>
      </c>
      <c r="X47" s="1042">
        <f>COUNTIFS('TỔNG KLH + TN'!$B:$B,'01. TH'!$B47,'TỔNG KLH + TN'!$C:$C,'01. TH'!X$4)</f>
        <v>0</v>
      </c>
      <c r="Y47" s="1042">
        <f>COUNTIFS('TỔNG KLH + TN'!$B:$B,'01. TH'!$B47,'TỔNG KLH + TN'!$C:$C,'01. TH'!Y$4)</f>
        <v>0</v>
      </c>
      <c r="Z47" s="1042">
        <f>COUNTIFS('TỔNG KLH + TN'!$B:$B,'01. TH'!$B47,'TỔNG KLH + TN'!$C:$C,'01. TH'!Z$4)</f>
        <v>0</v>
      </c>
      <c r="AA47" s="1042">
        <f>COUNTIFS('TỔNG KLH + TN'!$B:$B,'01. TH'!$B47,'TỔNG KLH + TN'!$C:$C,'01. TH'!AA$4)</f>
        <v>0</v>
      </c>
      <c r="AB47" s="1042">
        <f>COUNTIFS('TỔNG KLH + TN'!$B:$B,'01. TH'!$B47,'TỔNG KLH + TN'!$C:$C,'01. TH'!AB$4)</f>
        <v>0</v>
      </c>
      <c r="AC47" s="1042">
        <f>COUNTIFS('TỔNG KLH + TN'!$B:$B,'01. TH'!$B47,'TỔNG KLH + TN'!$C:$C,'01. TH'!AC$4)</f>
        <v>0</v>
      </c>
      <c r="AD47" s="1042">
        <f>COUNTIFS('TỔNG KLH + TN'!$B:$B,'01. TH'!$B47,'TỔNG KLH + TN'!$C:$C,'01. TH'!AD$4)</f>
        <v>0</v>
      </c>
      <c r="AE47" s="1045">
        <f t="shared" si="10"/>
        <v>0</v>
      </c>
      <c r="AF47" s="1045"/>
      <c r="AG47" s="1033" t="str">
        <f t="shared" si="2"/>
        <v>ok</v>
      </c>
      <c r="AH47" s="1050"/>
    </row>
    <row r="48" ht="24" customHeight="1" collapsed="1" spans="1:34">
      <c r="A48" s="1033">
        <v>6</v>
      </c>
      <c r="B48" s="1034" t="s">
        <v>103</v>
      </c>
      <c r="C48" s="1035"/>
      <c r="D48" s="1035" t="str">
        <f>IFERROR(VLOOKUP(B48,'Danh mục'!$G:$U,15,0),"")</f>
        <v/>
      </c>
      <c r="E48" s="1035"/>
      <c r="F48" s="1047">
        <f t="shared" ref="F48:AE48" si="11">SUM(F49:F56)</f>
        <v>17</v>
      </c>
      <c r="G48" s="1047">
        <f t="shared" si="11"/>
        <v>0</v>
      </c>
      <c r="H48" s="1047">
        <f t="shared" si="11"/>
        <v>0</v>
      </c>
      <c r="I48" s="1047">
        <f t="shared" si="11"/>
        <v>0</v>
      </c>
      <c r="J48" s="1047">
        <f t="shared" si="11"/>
        <v>0</v>
      </c>
      <c r="K48" s="1047">
        <f t="shared" si="11"/>
        <v>0</v>
      </c>
      <c r="L48" s="1047">
        <f t="shared" si="11"/>
        <v>0</v>
      </c>
      <c r="M48" s="1047">
        <f t="shared" si="11"/>
        <v>0</v>
      </c>
      <c r="N48" s="1047">
        <f t="shared" si="11"/>
        <v>0</v>
      </c>
      <c r="O48" s="1047">
        <f t="shared" si="11"/>
        <v>10</v>
      </c>
      <c r="P48" s="1047">
        <f t="shared" si="11"/>
        <v>0</v>
      </c>
      <c r="Q48" s="1047">
        <f t="shared" si="11"/>
        <v>0</v>
      </c>
      <c r="R48" s="1047">
        <f t="shared" si="11"/>
        <v>0</v>
      </c>
      <c r="S48" s="1047">
        <f t="shared" si="11"/>
        <v>7</v>
      </c>
      <c r="T48" s="1047">
        <f t="shared" si="11"/>
        <v>0</v>
      </c>
      <c r="U48" s="1047">
        <f t="shared" si="11"/>
        <v>0</v>
      </c>
      <c r="V48" s="1047">
        <f t="shared" si="11"/>
        <v>0</v>
      </c>
      <c r="W48" s="1047">
        <f t="shared" si="11"/>
        <v>0</v>
      </c>
      <c r="X48" s="1047">
        <f t="shared" si="11"/>
        <v>0</v>
      </c>
      <c r="Y48" s="1047">
        <f t="shared" si="11"/>
        <v>0</v>
      </c>
      <c r="Z48" s="1047">
        <f t="shared" si="11"/>
        <v>0</v>
      </c>
      <c r="AA48" s="1047">
        <f t="shared" si="11"/>
        <v>0</v>
      </c>
      <c r="AB48" s="1047">
        <f t="shared" si="11"/>
        <v>0</v>
      </c>
      <c r="AC48" s="1047">
        <f t="shared" si="11"/>
        <v>0</v>
      </c>
      <c r="AD48" s="1047">
        <f t="shared" si="11"/>
        <v>0</v>
      </c>
      <c r="AE48" s="1048">
        <f t="shared" si="11"/>
        <v>34</v>
      </c>
      <c r="AF48" s="1048">
        <v>3</v>
      </c>
      <c r="AG48" s="1033" t="str">
        <f t="shared" si="2"/>
        <v>ok</v>
      </c>
      <c r="AH48" s="1038"/>
    </row>
    <row r="49" ht="18.75" hidden="1" customHeight="1" outlineLevel="1" spans="1:34">
      <c r="A49" s="1039"/>
      <c r="B49" s="1040" t="s">
        <v>104</v>
      </c>
      <c r="C49" s="1041" t="s">
        <v>105</v>
      </c>
      <c r="D49" s="1041" t="str">
        <f>IFERROR(VLOOKUP(B49,'Danh mục'!$G:$U,15,0),"")</f>
        <v>9290 x 2500 x 3370</v>
      </c>
      <c r="E49" s="1041" t="s">
        <v>42</v>
      </c>
      <c r="F49" s="1042">
        <f>COUNTIFS('TỔNG KLH + TN'!$B:$B,'01. TH'!$B49,'TỔNG KLH + TN'!$C:$C,'01. TH'!F$4)</f>
        <v>1</v>
      </c>
      <c r="G49" s="1042">
        <f>COUNTIFS('TỔNG KLH + TN'!$B:$B,'01. TH'!$B49,'TỔNG KLH + TN'!$C:$C,'01. TH'!G$4)</f>
        <v>0</v>
      </c>
      <c r="H49" s="1042">
        <f>COUNTIFS('TỔNG KLH + TN'!$B:$B,'01. TH'!$B49,'TỔNG KLH + TN'!$C:$C,'01. TH'!H$4)</f>
        <v>0</v>
      </c>
      <c r="I49" s="1042">
        <f>COUNTIFS('TỔNG KLH + TN'!$B:$B,'01. TH'!$B49,'TỔNG KLH + TN'!$C:$C,'01. TH'!I$4)</f>
        <v>0</v>
      </c>
      <c r="J49" s="1042">
        <f>COUNTIFS('TỔNG KLH + TN'!$B:$B,'01. TH'!$B49,'TỔNG KLH + TN'!$C:$C,'01. TH'!J$4)</f>
        <v>0</v>
      </c>
      <c r="K49" s="1042">
        <f>COUNTIFS('TỔNG KLH + TN'!$B:$B,'01. TH'!$B49,'TỔNG KLH + TN'!$C:$C,'01. TH'!K$4)</f>
        <v>0</v>
      </c>
      <c r="L49" s="1042">
        <f>COUNTIFS('TỔNG KLH + TN'!$B:$B,'01. TH'!$B49,'TỔNG KLH + TN'!$C:$C,'01. TH'!L$4)</f>
        <v>0</v>
      </c>
      <c r="M49" s="1042">
        <f>COUNTIFS('TỔNG KLH + TN'!$B:$B,'01. TH'!$B49,'TỔNG KLH + TN'!$C:$C,'01. TH'!M$4)</f>
        <v>0</v>
      </c>
      <c r="N49" s="1042">
        <f>COUNTIFS('TỔNG KLH + TN'!$B:$B,'01. TH'!$B49,'TỔNG KLH + TN'!$C:$C,'01. TH'!N$4)</f>
        <v>0</v>
      </c>
      <c r="O49" s="1042">
        <f>COUNTIFS('TỔNG KLH + TN'!$B:$B,'01. TH'!$B49,'TỔNG KLH + TN'!$C:$C,'01. TH'!O$4)</f>
        <v>1</v>
      </c>
      <c r="P49" s="1042">
        <f>COUNTIFS('TỔNG KLH + TN'!$B:$B,'01. TH'!$B49,'TỔNG KLH + TN'!$C:$C,'01. TH'!P$4)</f>
        <v>0</v>
      </c>
      <c r="Q49" s="1042">
        <f>COUNTIFS('TỔNG KLH + TN'!$B:$B,'01. TH'!$B49,'TỔNG KLH + TN'!$C:$C,'01. TH'!Q$4)</f>
        <v>0</v>
      </c>
      <c r="R49" s="1042">
        <f>COUNTIFS('TỔNG KLH + TN'!$B:$B,'01. TH'!$B49,'TỔNG KLH + TN'!$C:$C,'01. TH'!R$4)</f>
        <v>0</v>
      </c>
      <c r="S49" s="1042">
        <f>COUNTIFS('TỔNG KLH + TN'!$B:$B,'01. TH'!$B49,'TỔNG KLH + TN'!$C:$C,'01. TH'!S$4)</f>
        <v>2</v>
      </c>
      <c r="T49" s="1042">
        <f>COUNTIFS('TỔNG KLH + TN'!$B:$B,'01. TH'!$B49,'TỔNG KLH + TN'!$C:$C,'01. TH'!T$4)</f>
        <v>0</v>
      </c>
      <c r="U49" s="1042">
        <f>COUNTIFS('TỔNG KLH + TN'!$B:$B,'01. TH'!$B49,'TỔNG KLH + TN'!$C:$C,'01. TH'!U$4)</f>
        <v>0</v>
      </c>
      <c r="V49" s="1042">
        <f>COUNTIFS('TỔNG KLH + TN'!$B:$B,'01. TH'!$B49,'TỔNG KLH + TN'!$C:$C,'01. TH'!V$4)</f>
        <v>0</v>
      </c>
      <c r="W49" s="1042">
        <f>COUNTIFS('TỔNG KLH + TN'!$B:$B,'01. TH'!$B49,'TỔNG KLH + TN'!$C:$C,'01. TH'!W$4)</f>
        <v>0</v>
      </c>
      <c r="X49" s="1042">
        <f>COUNTIFS('TỔNG KLH + TN'!$B:$B,'01. TH'!$B49,'TỔNG KLH + TN'!$C:$C,'01. TH'!X$4)</f>
        <v>0</v>
      </c>
      <c r="Y49" s="1042">
        <f>COUNTIFS('TỔNG KLH + TN'!$B:$B,'01. TH'!$B49,'TỔNG KLH + TN'!$C:$C,'01. TH'!Y$4)</f>
        <v>0</v>
      </c>
      <c r="Z49" s="1042">
        <f>COUNTIFS('TỔNG KLH + TN'!$B:$B,'01. TH'!$B49,'TỔNG KLH + TN'!$C:$C,'01. TH'!Z$4)</f>
        <v>0</v>
      </c>
      <c r="AA49" s="1042">
        <f>COUNTIFS('TỔNG KLH + TN'!$B:$B,'01. TH'!$B49,'TỔNG KLH + TN'!$C:$C,'01. TH'!AA$4)</f>
        <v>0</v>
      </c>
      <c r="AB49" s="1042">
        <f>COUNTIFS('TỔNG KLH + TN'!$B:$B,'01. TH'!$B49,'TỔNG KLH + TN'!$C:$C,'01. TH'!AB$4)</f>
        <v>0</v>
      </c>
      <c r="AC49" s="1042">
        <f>COUNTIFS('TỔNG KLH + TN'!$B:$B,'01. TH'!$B49,'TỔNG KLH + TN'!$C:$C,'01. TH'!AC$4)</f>
        <v>0</v>
      </c>
      <c r="AD49" s="1042">
        <f>COUNTIFS('TỔNG KLH + TN'!$B:$B,'01. TH'!$B49,'TỔNG KLH + TN'!$C:$C,'01. TH'!AD$4)</f>
        <v>0</v>
      </c>
      <c r="AE49" s="1043">
        <f t="shared" ref="AE49:AE56" si="12">SUM(F49:AD49)</f>
        <v>4</v>
      </c>
      <c r="AF49" s="1043"/>
      <c r="AG49" s="1033" t="str">
        <f t="shared" si="2"/>
        <v>ok</v>
      </c>
      <c r="AH49" s="1041"/>
    </row>
    <row r="50" ht="18.75" hidden="1" customHeight="1" outlineLevel="1" spans="1:34">
      <c r="A50" s="1039"/>
      <c r="B50" s="1040" t="s">
        <v>106</v>
      </c>
      <c r="C50" s="1041" t="s">
        <v>48</v>
      </c>
      <c r="D50" s="1041" t="str">
        <f>IFERROR(VLOOKUP(B50,'Danh mục'!$G:$U,15,0),"")</f>
        <v>6160 x 2330 x 2760</v>
      </c>
      <c r="E50" s="1041" t="s">
        <v>42</v>
      </c>
      <c r="F50" s="1042">
        <f>COUNTIFS('TỔNG KLH + TN'!$B:$B,'01. TH'!$B50,'TỔNG KLH + TN'!$C:$C,'01. TH'!F$4)</f>
        <v>4</v>
      </c>
      <c r="G50" s="1042">
        <f>COUNTIFS('TỔNG KLH + TN'!$B:$B,'01. TH'!$B50,'TỔNG KLH + TN'!$C:$C,'01. TH'!G$4)</f>
        <v>0</v>
      </c>
      <c r="H50" s="1042">
        <f>COUNTIFS('TỔNG KLH + TN'!$B:$B,'01. TH'!$B50,'TỔNG KLH + TN'!$C:$C,'01. TH'!H$4)</f>
        <v>0</v>
      </c>
      <c r="I50" s="1042">
        <f>COUNTIFS('TỔNG KLH + TN'!$B:$B,'01. TH'!$B50,'TỔNG KLH + TN'!$C:$C,'01. TH'!I$4)</f>
        <v>0</v>
      </c>
      <c r="J50" s="1042">
        <f>COUNTIFS('TỔNG KLH + TN'!$B:$B,'01. TH'!$B50,'TỔNG KLH + TN'!$C:$C,'01. TH'!J$4)</f>
        <v>0</v>
      </c>
      <c r="K50" s="1042">
        <f>COUNTIFS('TỔNG KLH + TN'!$B:$B,'01. TH'!$B50,'TỔNG KLH + TN'!$C:$C,'01. TH'!K$4)</f>
        <v>0</v>
      </c>
      <c r="L50" s="1042">
        <f>COUNTIFS('TỔNG KLH + TN'!$B:$B,'01. TH'!$B50,'TỔNG KLH + TN'!$C:$C,'01. TH'!L$4)</f>
        <v>0</v>
      </c>
      <c r="M50" s="1042">
        <f>COUNTIFS('TỔNG KLH + TN'!$B:$B,'01. TH'!$B50,'TỔNG KLH + TN'!$C:$C,'01. TH'!M$4)</f>
        <v>0</v>
      </c>
      <c r="N50" s="1042">
        <f>COUNTIFS('TỔNG KLH + TN'!$B:$B,'01. TH'!$B50,'TỔNG KLH + TN'!$C:$C,'01. TH'!N$4)</f>
        <v>0</v>
      </c>
      <c r="O50" s="1042">
        <f>COUNTIFS('TỔNG KLH + TN'!$B:$B,'01. TH'!$B50,'TỔNG KLH + TN'!$C:$C,'01. TH'!O$4)</f>
        <v>3</v>
      </c>
      <c r="P50" s="1042">
        <f>COUNTIFS('TỔNG KLH + TN'!$B:$B,'01. TH'!$B50,'TỔNG KLH + TN'!$C:$C,'01. TH'!P$4)</f>
        <v>0</v>
      </c>
      <c r="Q50" s="1042">
        <f>COUNTIFS('TỔNG KLH + TN'!$B:$B,'01. TH'!$B50,'TỔNG KLH + TN'!$C:$C,'01. TH'!Q$4)</f>
        <v>0</v>
      </c>
      <c r="R50" s="1042">
        <f>COUNTIFS('TỔNG KLH + TN'!$B:$B,'01. TH'!$B50,'TỔNG KLH + TN'!$C:$C,'01. TH'!R$4)</f>
        <v>0</v>
      </c>
      <c r="S50" s="1042">
        <f>COUNTIFS('TỔNG KLH + TN'!$B:$B,'01. TH'!$B50,'TỔNG KLH + TN'!$C:$C,'01. TH'!S$4)</f>
        <v>0</v>
      </c>
      <c r="T50" s="1042">
        <f>COUNTIFS('TỔNG KLH + TN'!$B:$B,'01. TH'!$B50,'TỔNG KLH + TN'!$C:$C,'01. TH'!T$4)</f>
        <v>0</v>
      </c>
      <c r="U50" s="1042">
        <f>COUNTIFS('TỔNG KLH + TN'!$B:$B,'01. TH'!$B50,'TỔNG KLH + TN'!$C:$C,'01. TH'!U$4)</f>
        <v>0</v>
      </c>
      <c r="V50" s="1042">
        <f>COUNTIFS('TỔNG KLH + TN'!$B:$B,'01. TH'!$B50,'TỔNG KLH + TN'!$C:$C,'01. TH'!V$4)</f>
        <v>0</v>
      </c>
      <c r="W50" s="1042">
        <f>COUNTIFS('TỔNG KLH + TN'!$B:$B,'01. TH'!$B50,'TỔNG KLH + TN'!$C:$C,'01. TH'!W$4)</f>
        <v>0</v>
      </c>
      <c r="X50" s="1042">
        <f>COUNTIFS('TỔNG KLH + TN'!$B:$B,'01. TH'!$B50,'TỔNG KLH + TN'!$C:$C,'01. TH'!X$4)</f>
        <v>0</v>
      </c>
      <c r="Y50" s="1042">
        <f>COUNTIFS('TỔNG KLH + TN'!$B:$B,'01. TH'!$B50,'TỔNG KLH + TN'!$C:$C,'01. TH'!Y$4)</f>
        <v>0</v>
      </c>
      <c r="Z50" s="1042">
        <f>COUNTIFS('TỔNG KLH + TN'!$B:$B,'01. TH'!$B50,'TỔNG KLH + TN'!$C:$C,'01. TH'!Z$4)</f>
        <v>0</v>
      </c>
      <c r="AA50" s="1042">
        <f>COUNTIFS('TỔNG KLH + TN'!$B:$B,'01. TH'!$B50,'TỔNG KLH + TN'!$C:$C,'01. TH'!AA$4)</f>
        <v>0</v>
      </c>
      <c r="AB50" s="1042">
        <f>COUNTIFS('TỔNG KLH + TN'!$B:$B,'01. TH'!$B50,'TỔNG KLH + TN'!$C:$C,'01. TH'!AB$4)</f>
        <v>0</v>
      </c>
      <c r="AC50" s="1042">
        <f>COUNTIFS('TỔNG KLH + TN'!$B:$B,'01. TH'!$B50,'TỔNG KLH + TN'!$C:$C,'01. TH'!AC$4)</f>
        <v>0</v>
      </c>
      <c r="AD50" s="1042">
        <f>COUNTIFS('TỔNG KLH + TN'!$B:$B,'01. TH'!$B50,'TỔNG KLH + TN'!$C:$C,'01. TH'!AD$4)</f>
        <v>0</v>
      </c>
      <c r="AE50" s="1043">
        <f t="shared" si="12"/>
        <v>7</v>
      </c>
      <c r="AF50" s="1043"/>
      <c r="AG50" s="1033" t="str">
        <f t="shared" si="2"/>
        <v>ok</v>
      </c>
      <c r="AH50" s="1039"/>
    </row>
    <row r="51" ht="18.75" hidden="1" customHeight="1" outlineLevel="1" spans="1:34">
      <c r="A51" s="1039"/>
      <c r="B51" s="1040" t="s">
        <v>107</v>
      </c>
      <c r="C51" s="1041" t="s">
        <v>102</v>
      </c>
      <c r="D51" s="1041" t="str">
        <f>IFERROR(VLOOKUP(B51,'Danh mục'!$G:$U,15,0),"")</f>
        <v>5910 x 2310 x 2800</v>
      </c>
      <c r="E51" s="1041" t="s">
        <v>42</v>
      </c>
      <c r="F51" s="1042">
        <f>COUNTIFS('TỔNG KLH + TN'!$B:$B,'01. TH'!$B51,'TỔNG KLH + TN'!$C:$C,'01. TH'!F$4)</f>
        <v>4</v>
      </c>
      <c r="G51" s="1042">
        <f>COUNTIFS('TỔNG KLH + TN'!$B:$B,'01. TH'!$B51,'TỔNG KLH + TN'!$C:$C,'01. TH'!G$4)</f>
        <v>0</v>
      </c>
      <c r="H51" s="1042">
        <f>COUNTIFS('TỔNG KLH + TN'!$B:$B,'01. TH'!$B51,'TỔNG KLH + TN'!$C:$C,'01. TH'!H$4)</f>
        <v>0</v>
      </c>
      <c r="I51" s="1042">
        <f>COUNTIFS('TỔNG KLH + TN'!$B:$B,'01. TH'!$B51,'TỔNG KLH + TN'!$C:$C,'01. TH'!I$4)</f>
        <v>0</v>
      </c>
      <c r="J51" s="1042">
        <f>COUNTIFS('TỔNG KLH + TN'!$B:$B,'01. TH'!$B51,'TỔNG KLH + TN'!$C:$C,'01. TH'!J$4)</f>
        <v>0</v>
      </c>
      <c r="K51" s="1042">
        <f>COUNTIFS('TỔNG KLH + TN'!$B:$B,'01. TH'!$B51,'TỔNG KLH + TN'!$C:$C,'01. TH'!K$4)</f>
        <v>0</v>
      </c>
      <c r="L51" s="1042">
        <f>COUNTIFS('TỔNG KLH + TN'!$B:$B,'01. TH'!$B51,'TỔNG KLH + TN'!$C:$C,'01. TH'!L$4)</f>
        <v>0</v>
      </c>
      <c r="M51" s="1042">
        <f>COUNTIFS('TỔNG KLH + TN'!$B:$B,'01. TH'!$B51,'TỔNG KLH + TN'!$C:$C,'01. TH'!M$4)</f>
        <v>0</v>
      </c>
      <c r="N51" s="1042">
        <f>COUNTIFS('TỔNG KLH + TN'!$B:$B,'01. TH'!$B51,'TỔNG KLH + TN'!$C:$C,'01. TH'!N$4)</f>
        <v>0</v>
      </c>
      <c r="O51" s="1042">
        <f>COUNTIFS('TỔNG KLH + TN'!$B:$B,'01. TH'!$B51,'TỔNG KLH + TN'!$C:$C,'01. TH'!O$4)</f>
        <v>0</v>
      </c>
      <c r="P51" s="1042">
        <f>COUNTIFS('TỔNG KLH + TN'!$B:$B,'01. TH'!$B51,'TỔNG KLH + TN'!$C:$C,'01. TH'!P$4)</f>
        <v>0</v>
      </c>
      <c r="Q51" s="1042">
        <f>COUNTIFS('TỔNG KLH + TN'!$B:$B,'01. TH'!$B51,'TỔNG KLH + TN'!$C:$C,'01. TH'!Q$4)</f>
        <v>0</v>
      </c>
      <c r="R51" s="1042">
        <f>COUNTIFS('TỔNG KLH + TN'!$B:$B,'01. TH'!$B51,'TỔNG KLH + TN'!$C:$C,'01. TH'!R$4)</f>
        <v>0</v>
      </c>
      <c r="S51" s="1042">
        <f>COUNTIFS('TỔNG KLH + TN'!$B:$B,'01. TH'!$B51,'TỔNG KLH + TN'!$C:$C,'01. TH'!S$4)</f>
        <v>1</v>
      </c>
      <c r="T51" s="1042">
        <f>COUNTIFS('TỔNG KLH + TN'!$B:$B,'01. TH'!$B51,'TỔNG KLH + TN'!$C:$C,'01. TH'!T$4)</f>
        <v>0</v>
      </c>
      <c r="U51" s="1042">
        <f>COUNTIFS('TỔNG KLH + TN'!$B:$B,'01. TH'!$B51,'TỔNG KLH + TN'!$C:$C,'01. TH'!U$4)</f>
        <v>0</v>
      </c>
      <c r="V51" s="1042">
        <f>COUNTIFS('TỔNG KLH + TN'!$B:$B,'01. TH'!$B51,'TỔNG KLH + TN'!$C:$C,'01. TH'!V$4)</f>
        <v>0</v>
      </c>
      <c r="W51" s="1042">
        <f>COUNTIFS('TỔNG KLH + TN'!$B:$B,'01. TH'!$B51,'TỔNG KLH + TN'!$C:$C,'01. TH'!W$4)</f>
        <v>0</v>
      </c>
      <c r="X51" s="1042">
        <f>COUNTIFS('TỔNG KLH + TN'!$B:$B,'01. TH'!$B51,'TỔNG KLH + TN'!$C:$C,'01. TH'!X$4)</f>
        <v>0</v>
      </c>
      <c r="Y51" s="1042">
        <f>COUNTIFS('TỔNG KLH + TN'!$B:$B,'01. TH'!$B51,'TỔNG KLH + TN'!$C:$C,'01. TH'!Y$4)</f>
        <v>0</v>
      </c>
      <c r="Z51" s="1042">
        <f>COUNTIFS('TỔNG KLH + TN'!$B:$B,'01. TH'!$B51,'TỔNG KLH + TN'!$C:$C,'01. TH'!Z$4)</f>
        <v>0</v>
      </c>
      <c r="AA51" s="1042">
        <f>COUNTIFS('TỔNG KLH + TN'!$B:$B,'01. TH'!$B51,'TỔNG KLH + TN'!$C:$C,'01. TH'!AA$4)</f>
        <v>0</v>
      </c>
      <c r="AB51" s="1042">
        <f>COUNTIFS('TỔNG KLH + TN'!$B:$B,'01. TH'!$B51,'TỔNG KLH + TN'!$C:$C,'01. TH'!AB$4)</f>
        <v>0</v>
      </c>
      <c r="AC51" s="1042">
        <f>COUNTIFS('TỔNG KLH + TN'!$B:$B,'01. TH'!$B51,'TỔNG KLH + TN'!$C:$C,'01. TH'!AC$4)</f>
        <v>0</v>
      </c>
      <c r="AD51" s="1042">
        <f>COUNTIFS('TỔNG KLH + TN'!$B:$B,'01. TH'!$B51,'TỔNG KLH + TN'!$C:$C,'01. TH'!AD$4)</f>
        <v>0</v>
      </c>
      <c r="AE51" s="1043">
        <f t="shared" si="12"/>
        <v>5</v>
      </c>
      <c r="AF51" s="1043"/>
      <c r="AG51" s="1033" t="str">
        <f t="shared" si="2"/>
        <v>ok</v>
      </c>
      <c r="AH51" s="1041"/>
    </row>
    <row r="52" ht="18.75" hidden="1" customHeight="1" outlineLevel="1" spans="1:34">
      <c r="A52" s="1039"/>
      <c r="B52" s="1040" t="s">
        <v>108</v>
      </c>
      <c r="C52" s="1041" t="s">
        <v>85</v>
      </c>
      <c r="D52" s="1041" t="str">
        <f>IFERROR(VLOOKUP(B52,'Danh mục'!$G:$U,15,0),"")</f>
        <v>6160 x 2330 x 2750</v>
      </c>
      <c r="E52" s="1041" t="s">
        <v>42</v>
      </c>
      <c r="F52" s="1042">
        <f>COUNTIFS('TỔNG KLH + TN'!$B:$B,'01. TH'!$B52,'TỔNG KLH + TN'!$C:$C,'01. TH'!F$4)</f>
        <v>0</v>
      </c>
      <c r="G52" s="1042">
        <f>COUNTIFS('TỔNG KLH + TN'!$B:$B,'01. TH'!$B52,'TỔNG KLH + TN'!$C:$C,'01. TH'!G$4)</f>
        <v>0</v>
      </c>
      <c r="H52" s="1042">
        <f>COUNTIFS('TỔNG KLH + TN'!$B:$B,'01. TH'!$B52,'TỔNG KLH + TN'!$C:$C,'01. TH'!H$4)</f>
        <v>0</v>
      </c>
      <c r="I52" s="1042">
        <f>COUNTIFS('TỔNG KLH + TN'!$B:$B,'01. TH'!$B52,'TỔNG KLH + TN'!$C:$C,'01. TH'!I$4)</f>
        <v>0</v>
      </c>
      <c r="J52" s="1042">
        <f>COUNTIFS('TỔNG KLH + TN'!$B:$B,'01. TH'!$B52,'TỔNG KLH + TN'!$C:$C,'01. TH'!J$4)</f>
        <v>0</v>
      </c>
      <c r="K52" s="1042">
        <f>COUNTIFS('TỔNG KLH + TN'!$B:$B,'01. TH'!$B52,'TỔNG KLH + TN'!$C:$C,'01. TH'!K$4)</f>
        <v>0</v>
      </c>
      <c r="L52" s="1042">
        <f>COUNTIFS('TỔNG KLH + TN'!$B:$B,'01. TH'!$B52,'TỔNG KLH + TN'!$C:$C,'01. TH'!L$4)</f>
        <v>0</v>
      </c>
      <c r="M52" s="1042">
        <f>COUNTIFS('TỔNG KLH + TN'!$B:$B,'01. TH'!$B52,'TỔNG KLH + TN'!$C:$C,'01. TH'!M$4)</f>
        <v>0</v>
      </c>
      <c r="N52" s="1042">
        <f>COUNTIFS('TỔNG KLH + TN'!$B:$B,'01. TH'!$B52,'TỔNG KLH + TN'!$C:$C,'01. TH'!N$4)</f>
        <v>0</v>
      </c>
      <c r="O52" s="1042">
        <f>COUNTIFS('TỔNG KLH + TN'!$B:$B,'01. TH'!$B52,'TỔNG KLH + TN'!$C:$C,'01. TH'!O$4)</f>
        <v>1</v>
      </c>
      <c r="P52" s="1042">
        <f>COUNTIFS('TỔNG KLH + TN'!$B:$B,'01. TH'!$B52,'TỔNG KLH + TN'!$C:$C,'01. TH'!P$4)</f>
        <v>0</v>
      </c>
      <c r="Q52" s="1042">
        <f>COUNTIFS('TỔNG KLH + TN'!$B:$B,'01. TH'!$B52,'TỔNG KLH + TN'!$C:$C,'01. TH'!Q$4)</f>
        <v>0</v>
      </c>
      <c r="R52" s="1042">
        <f>COUNTIFS('TỔNG KLH + TN'!$B:$B,'01. TH'!$B52,'TỔNG KLH + TN'!$C:$C,'01. TH'!R$4)</f>
        <v>0</v>
      </c>
      <c r="S52" s="1042">
        <f>COUNTIFS('TỔNG KLH + TN'!$B:$B,'01. TH'!$B52,'TỔNG KLH + TN'!$C:$C,'01. TH'!S$4)</f>
        <v>1</v>
      </c>
      <c r="T52" s="1042">
        <f>COUNTIFS('TỔNG KLH + TN'!$B:$B,'01. TH'!$B52,'TỔNG KLH + TN'!$C:$C,'01. TH'!T$4)</f>
        <v>0</v>
      </c>
      <c r="U52" s="1042">
        <f>COUNTIFS('TỔNG KLH + TN'!$B:$B,'01. TH'!$B52,'TỔNG KLH + TN'!$C:$C,'01. TH'!U$4)</f>
        <v>0</v>
      </c>
      <c r="V52" s="1042">
        <f>COUNTIFS('TỔNG KLH + TN'!$B:$B,'01. TH'!$B52,'TỔNG KLH + TN'!$C:$C,'01. TH'!V$4)</f>
        <v>0</v>
      </c>
      <c r="W52" s="1042">
        <f>COUNTIFS('TỔNG KLH + TN'!$B:$B,'01. TH'!$B52,'TỔNG KLH + TN'!$C:$C,'01. TH'!W$4)</f>
        <v>0</v>
      </c>
      <c r="X52" s="1042">
        <f>COUNTIFS('TỔNG KLH + TN'!$B:$B,'01. TH'!$B52,'TỔNG KLH + TN'!$C:$C,'01. TH'!X$4)</f>
        <v>0</v>
      </c>
      <c r="Y52" s="1042">
        <f>COUNTIFS('TỔNG KLH + TN'!$B:$B,'01. TH'!$B52,'TỔNG KLH + TN'!$C:$C,'01. TH'!Y$4)</f>
        <v>0</v>
      </c>
      <c r="Z52" s="1042">
        <f>COUNTIFS('TỔNG KLH + TN'!$B:$B,'01. TH'!$B52,'TỔNG KLH + TN'!$C:$C,'01. TH'!Z$4)</f>
        <v>0</v>
      </c>
      <c r="AA52" s="1042">
        <f>COUNTIFS('TỔNG KLH + TN'!$B:$B,'01. TH'!$B52,'TỔNG KLH + TN'!$C:$C,'01. TH'!AA$4)</f>
        <v>0</v>
      </c>
      <c r="AB52" s="1042">
        <f>COUNTIFS('TỔNG KLH + TN'!$B:$B,'01. TH'!$B52,'TỔNG KLH + TN'!$C:$C,'01. TH'!AB$4)</f>
        <v>0</v>
      </c>
      <c r="AC52" s="1042">
        <f>COUNTIFS('TỔNG KLH + TN'!$B:$B,'01. TH'!$B52,'TỔNG KLH + TN'!$C:$C,'01. TH'!AC$4)</f>
        <v>0</v>
      </c>
      <c r="AD52" s="1042">
        <f>COUNTIFS('TỔNG KLH + TN'!$B:$B,'01. TH'!$B52,'TỔNG KLH + TN'!$C:$C,'01. TH'!AD$4)</f>
        <v>0</v>
      </c>
      <c r="AE52" s="1043">
        <f t="shared" si="12"/>
        <v>2</v>
      </c>
      <c r="AF52" s="1043"/>
      <c r="AG52" s="1033" t="str">
        <f t="shared" si="2"/>
        <v>ok</v>
      </c>
      <c r="AH52" s="1041"/>
    </row>
    <row r="53" ht="18.75" hidden="1" customHeight="1" outlineLevel="1" spans="1:34">
      <c r="A53" s="1039"/>
      <c r="B53" s="1040" t="s">
        <v>109</v>
      </c>
      <c r="C53" s="1041" t="s">
        <v>48</v>
      </c>
      <c r="D53" s="1041" t="str">
        <f>IFERROR(VLOOKUP(B53,'Danh mục'!$G:$U,15,0),"")</f>
        <v>6160 x 2330 x 2760</v>
      </c>
      <c r="E53" s="1041" t="s">
        <v>42</v>
      </c>
      <c r="F53" s="1042">
        <f>COUNTIFS('TỔNG KLH + TN'!$B:$B,'01. TH'!$B53,'TỔNG KLH + TN'!$C:$C,'01. TH'!F$4)</f>
        <v>2</v>
      </c>
      <c r="G53" s="1042">
        <f>COUNTIFS('TỔNG KLH + TN'!$B:$B,'01. TH'!$B53,'TỔNG KLH + TN'!$C:$C,'01. TH'!G$4)</f>
        <v>0</v>
      </c>
      <c r="H53" s="1042">
        <f>COUNTIFS('TỔNG KLH + TN'!$B:$B,'01. TH'!$B53,'TỔNG KLH + TN'!$C:$C,'01. TH'!H$4)</f>
        <v>0</v>
      </c>
      <c r="I53" s="1042">
        <f>COUNTIFS('TỔNG KLH + TN'!$B:$B,'01. TH'!$B53,'TỔNG KLH + TN'!$C:$C,'01. TH'!I$4)</f>
        <v>0</v>
      </c>
      <c r="J53" s="1042">
        <f>COUNTIFS('TỔNG KLH + TN'!$B:$B,'01. TH'!$B53,'TỔNG KLH + TN'!$C:$C,'01. TH'!J$4)</f>
        <v>0</v>
      </c>
      <c r="K53" s="1042">
        <f>COUNTIFS('TỔNG KLH + TN'!$B:$B,'01. TH'!$B53,'TỔNG KLH + TN'!$C:$C,'01. TH'!K$4)</f>
        <v>0</v>
      </c>
      <c r="L53" s="1042">
        <f>COUNTIFS('TỔNG KLH + TN'!$B:$B,'01. TH'!$B53,'TỔNG KLH + TN'!$C:$C,'01. TH'!L$4)</f>
        <v>0</v>
      </c>
      <c r="M53" s="1042">
        <f>COUNTIFS('TỔNG KLH + TN'!$B:$B,'01. TH'!$B53,'TỔNG KLH + TN'!$C:$C,'01. TH'!M$4)</f>
        <v>0</v>
      </c>
      <c r="N53" s="1042">
        <f>COUNTIFS('TỔNG KLH + TN'!$B:$B,'01. TH'!$B53,'TỔNG KLH + TN'!$C:$C,'01. TH'!N$4)</f>
        <v>0</v>
      </c>
      <c r="O53" s="1042">
        <f>COUNTIFS('TỔNG KLH + TN'!$B:$B,'01. TH'!$B53,'TỔNG KLH + TN'!$C:$C,'01. TH'!O$4)</f>
        <v>2</v>
      </c>
      <c r="P53" s="1042">
        <f>COUNTIFS('TỔNG KLH + TN'!$B:$B,'01. TH'!$B53,'TỔNG KLH + TN'!$C:$C,'01. TH'!P$4)</f>
        <v>0</v>
      </c>
      <c r="Q53" s="1042">
        <f>COUNTIFS('TỔNG KLH + TN'!$B:$B,'01. TH'!$B53,'TỔNG KLH + TN'!$C:$C,'01. TH'!Q$4)</f>
        <v>0</v>
      </c>
      <c r="R53" s="1042">
        <f>COUNTIFS('TỔNG KLH + TN'!$B:$B,'01. TH'!$B53,'TỔNG KLH + TN'!$C:$C,'01. TH'!R$4)</f>
        <v>0</v>
      </c>
      <c r="S53" s="1042">
        <f>COUNTIFS('TỔNG KLH + TN'!$B:$B,'01. TH'!$B53,'TỔNG KLH + TN'!$C:$C,'01. TH'!S$4)</f>
        <v>0</v>
      </c>
      <c r="T53" s="1042">
        <f>COUNTIFS('TỔNG KLH + TN'!$B:$B,'01. TH'!$B53,'TỔNG KLH + TN'!$C:$C,'01. TH'!T$4)</f>
        <v>0</v>
      </c>
      <c r="U53" s="1042">
        <f>COUNTIFS('TỔNG KLH + TN'!$B:$B,'01. TH'!$B53,'TỔNG KLH + TN'!$C:$C,'01. TH'!U$4)</f>
        <v>0</v>
      </c>
      <c r="V53" s="1042">
        <f>COUNTIFS('TỔNG KLH + TN'!$B:$B,'01. TH'!$B53,'TỔNG KLH + TN'!$C:$C,'01. TH'!V$4)</f>
        <v>0</v>
      </c>
      <c r="W53" s="1042">
        <f>COUNTIFS('TỔNG KLH + TN'!$B:$B,'01. TH'!$B53,'TỔNG KLH + TN'!$C:$C,'01. TH'!W$4)</f>
        <v>0</v>
      </c>
      <c r="X53" s="1042">
        <f>COUNTIFS('TỔNG KLH + TN'!$B:$B,'01. TH'!$B53,'TỔNG KLH + TN'!$C:$C,'01. TH'!X$4)</f>
        <v>0</v>
      </c>
      <c r="Y53" s="1042">
        <f>COUNTIFS('TỔNG KLH + TN'!$B:$B,'01. TH'!$B53,'TỔNG KLH + TN'!$C:$C,'01. TH'!Y$4)</f>
        <v>0</v>
      </c>
      <c r="Z53" s="1042">
        <f>COUNTIFS('TỔNG KLH + TN'!$B:$B,'01. TH'!$B53,'TỔNG KLH + TN'!$C:$C,'01. TH'!Z$4)</f>
        <v>0</v>
      </c>
      <c r="AA53" s="1042">
        <f>COUNTIFS('TỔNG KLH + TN'!$B:$B,'01. TH'!$B53,'TỔNG KLH + TN'!$C:$C,'01. TH'!AA$4)</f>
        <v>0</v>
      </c>
      <c r="AB53" s="1042">
        <f>COUNTIFS('TỔNG KLH + TN'!$B:$B,'01. TH'!$B53,'TỔNG KLH + TN'!$C:$C,'01. TH'!AB$4)</f>
        <v>0</v>
      </c>
      <c r="AC53" s="1042">
        <f>COUNTIFS('TỔNG KLH + TN'!$B:$B,'01. TH'!$B53,'TỔNG KLH + TN'!$C:$C,'01. TH'!AC$4)</f>
        <v>0</v>
      </c>
      <c r="AD53" s="1042">
        <f>COUNTIFS('TỔNG KLH + TN'!$B:$B,'01. TH'!$B53,'TỔNG KLH + TN'!$C:$C,'01. TH'!AD$4)</f>
        <v>0</v>
      </c>
      <c r="AE53" s="1043">
        <f t="shared" si="12"/>
        <v>4</v>
      </c>
      <c r="AF53" s="1043"/>
      <c r="AG53" s="1033" t="str">
        <f t="shared" si="2"/>
        <v>ok</v>
      </c>
      <c r="AH53" s="1041"/>
    </row>
    <row r="54" ht="18.75" hidden="1" customHeight="1" outlineLevel="1" spans="1:34">
      <c r="A54" s="1049"/>
      <c r="B54" s="1040" t="s">
        <v>110</v>
      </c>
      <c r="C54" s="1041" t="s">
        <v>85</v>
      </c>
      <c r="D54" s="1041" t="str">
        <f>IFERROR(VLOOKUP(B54,'Danh mục'!$G:$U,15,0),"")</f>
        <v>6170 x 2330 x 2750</v>
      </c>
      <c r="E54" s="1041" t="s">
        <v>42</v>
      </c>
      <c r="F54" s="1042">
        <f>COUNTIFS('TỔNG KLH + TN'!$B:$B,'01. TH'!$B54,'TỔNG KLH + TN'!$C:$C,'01. TH'!F$4)</f>
        <v>0</v>
      </c>
      <c r="G54" s="1042">
        <f>COUNTIFS('TỔNG KLH + TN'!$B:$B,'01. TH'!$B54,'TỔNG KLH + TN'!$C:$C,'01. TH'!G$4)</f>
        <v>0</v>
      </c>
      <c r="H54" s="1042">
        <f>COUNTIFS('TỔNG KLH + TN'!$B:$B,'01. TH'!$B54,'TỔNG KLH + TN'!$C:$C,'01. TH'!H$4)</f>
        <v>0</v>
      </c>
      <c r="I54" s="1042">
        <f>COUNTIFS('TỔNG KLH + TN'!$B:$B,'01. TH'!$B54,'TỔNG KLH + TN'!$C:$C,'01. TH'!I$4)</f>
        <v>0</v>
      </c>
      <c r="J54" s="1042">
        <f>COUNTIFS('TỔNG KLH + TN'!$B:$B,'01. TH'!$B54,'TỔNG KLH + TN'!$C:$C,'01. TH'!J$4)</f>
        <v>0</v>
      </c>
      <c r="K54" s="1042">
        <f>COUNTIFS('TỔNG KLH + TN'!$B:$B,'01. TH'!$B54,'TỔNG KLH + TN'!$C:$C,'01. TH'!K$4)</f>
        <v>0</v>
      </c>
      <c r="L54" s="1042">
        <f>COUNTIFS('TỔNG KLH + TN'!$B:$B,'01. TH'!$B54,'TỔNG KLH + TN'!$C:$C,'01. TH'!L$4)</f>
        <v>0</v>
      </c>
      <c r="M54" s="1042">
        <f>COUNTIFS('TỔNG KLH + TN'!$B:$B,'01. TH'!$B54,'TỔNG KLH + TN'!$C:$C,'01. TH'!M$4)</f>
        <v>0</v>
      </c>
      <c r="N54" s="1042">
        <f>COUNTIFS('TỔNG KLH + TN'!$B:$B,'01. TH'!$B54,'TỔNG KLH + TN'!$C:$C,'01. TH'!N$4)</f>
        <v>0</v>
      </c>
      <c r="O54" s="1042">
        <f>COUNTIFS('TỔNG KLH + TN'!$B:$B,'01. TH'!$B54,'TỔNG KLH + TN'!$C:$C,'01. TH'!O$4)</f>
        <v>1</v>
      </c>
      <c r="P54" s="1042">
        <f>COUNTIFS('TỔNG KLH + TN'!$B:$B,'01. TH'!$B54,'TỔNG KLH + TN'!$C:$C,'01. TH'!P$4)</f>
        <v>0</v>
      </c>
      <c r="Q54" s="1042">
        <f>COUNTIFS('TỔNG KLH + TN'!$B:$B,'01. TH'!$B54,'TỔNG KLH + TN'!$C:$C,'01. TH'!Q$4)</f>
        <v>0</v>
      </c>
      <c r="R54" s="1042">
        <f>COUNTIFS('TỔNG KLH + TN'!$B:$B,'01. TH'!$B54,'TỔNG KLH + TN'!$C:$C,'01. TH'!R$4)</f>
        <v>0</v>
      </c>
      <c r="S54" s="1042">
        <f>COUNTIFS('TỔNG KLH + TN'!$B:$B,'01. TH'!$B54,'TỔNG KLH + TN'!$C:$C,'01. TH'!S$4)</f>
        <v>0</v>
      </c>
      <c r="T54" s="1042">
        <f>COUNTIFS('TỔNG KLH + TN'!$B:$B,'01. TH'!$B54,'TỔNG KLH + TN'!$C:$C,'01. TH'!T$4)</f>
        <v>0</v>
      </c>
      <c r="U54" s="1042">
        <f>COUNTIFS('TỔNG KLH + TN'!$B:$B,'01. TH'!$B54,'TỔNG KLH + TN'!$C:$C,'01. TH'!U$4)</f>
        <v>0</v>
      </c>
      <c r="V54" s="1042">
        <f>COUNTIFS('TỔNG KLH + TN'!$B:$B,'01. TH'!$B54,'TỔNG KLH + TN'!$C:$C,'01. TH'!V$4)</f>
        <v>0</v>
      </c>
      <c r="W54" s="1042">
        <f>COUNTIFS('TỔNG KLH + TN'!$B:$B,'01. TH'!$B54,'TỔNG KLH + TN'!$C:$C,'01. TH'!W$4)</f>
        <v>0</v>
      </c>
      <c r="X54" s="1042">
        <f>COUNTIFS('TỔNG KLH + TN'!$B:$B,'01. TH'!$B54,'TỔNG KLH + TN'!$C:$C,'01. TH'!X$4)</f>
        <v>0</v>
      </c>
      <c r="Y54" s="1042">
        <f>COUNTIFS('TỔNG KLH + TN'!$B:$B,'01. TH'!$B54,'TỔNG KLH + TN'!$C:$C,'01. TH'!Y$4)</f>
        <v>0</v>
      </c>
      <c r="Z54" s="1042">
        <f>COUNTIFS('TỔNG KLH + TN'!$B:$B,'01. TH'!$B54,'TỔNG KLH + TN'!$C:$C,'01. TH'!Z$4)</f>
        <v>0</v>
      </c>
      <c r="AA54" s="1042">
        <f>COUNTIFS('TỔNG KLH + TN'!$B:$B,'01. TH'!$B54,'TỔNG KLH + TN'!$C:$C,'01. TH'!AA$4)</f>
        <v>0</v>
      </c>
      <c r="AB54" s="1042">
        <f>COUNTIFS('TỔNG KLH + TN'!$B:$B,'01. TH'!$B54,'TỔNG KLH + TN'!$C:$C,'01. TH'!AB$4)</f>
        <v>0</v>
      </c>
      <c r="AC54" s="1042">
        <f>COUNTIFS('TỔNG KLH + TN'!$B:$B,'01. TH'!$B54,'TỔNG KLH + TN'!$C:$C,'01. TH'!AC$4)</f>
        <v>0</v>
      </c>
      <c r="AD54" s="1042">
        <f>COUNTIFS('TỔNG KLH + TN'!$B:$B,'01. TH'!$B54,'TỔNG KLH + TN'!$C:$C,'01. TH'!AD$4)</f>
        <v>0</v>
      </c>
      <c r="AE54" s="1045">
        <f t="shared" si="12"/>
        <v>1</v>
      </c>
      <c r="AF54" s="1045"/>
      <c r="AG54" s="1033" t="str">
        <f t="shared" si="2"/>
        <v>ok</v>
      </c>
      <c r="AH54" s="1049"/>
    </row>
    <row r="55" ht="18.75" hidden="1" customHeight="1" outlineLevel="1" spans="1:34">
      <c r="A55" s="1044"/>
      <c r="B55" s="1040" t="s">
        <v>111</v>
      </c>
      <c r="C55" s="1041" t="s">
        <v>112</v>
      </c>
      <c r="D55" s="1041" t="str">
        <f>IFERROR(VLOOKUP(B55,'Danh mục'!$G:$U,15,0),"")</f>
        <v>5250 x 2170 x 2520</v>
      </c>
      <c r="E55" s="1041" t="s">
        <v>42</v>
      </c>
      <c r="F55" s="1042">
        <f>COUNTIFS('TỔNG KLH + TN'!$B:$B,'01. TH'!$B55,'TỔNG KLH + TN'!$C:$C,'01. TH'!F$4)</f>
        <v>0</v>
      </c>
      <c r="G55" s="1042">
        <f>COUNTIFS('TỔNG KLH + TN'!$B:$B,'01. TH'!$B55,'TỔNG KLH + TN'!$C:$C,'01. TH'!G$4)</f>
        <v>0</v>
      </c>
      <c r="H55" s="1042">
        <f>COUNTIFS('TỔNG KLH + TN'!$B:$B,'01. TH'!$B55,'TỔNG KLH + TN'!$C:$C,'01. TH'!H$4)</f>
        <v>0</v>
      </c>
      <c r="I55" s="1042">
        <f>COUNTIFS('TỔNG KLH + TN'!$B:$B,'01. TH'!$B55,'TỔNG KLH + TN'!$C:$C,'01. TH'!I$4)</f>
        <v>0</v>
      </c>
      <c r="J55" s="1042">
        <f>COUNTIFS('TỔNG KLH + TN'!$B:$B,'01. TH'!$B55,'TỔNG KLH + TN'!$C:$C,'01. TH'!J$4)</f>
        <v>0</v>
      </c>
      <c r="K55" s="1042">
        <f>COUNTIFS('TỔNG KLH + TN'!$B:$B,'01. TH'!$B55,'TỔNG KLH + TN'!$C:$C,'01. TH'!K$4)</f>
        <v>0</v>
      </c>
      <c r="L55" s="1042">
        <f>COUNTIFS('TỔNG KLH + TN'!$B:$B,'01. TH'!$B55,'TỔNG KLH + TN'!$C:$C,'01. TH'!L$4)</f>
        <v>0</v>
      </c>
      <c r="M55" s="1042">
        <f>COUNTIFS('TỔNG KLH + TN'!$B:$B,'01. TH'!$B55,'TỔNG KLH + TN'!$C:$C,'01. TH'!M$4)</f>
        <v>0</v>
      </c>
      <c r="N55" s="1042">
        <f>COUNTIFS('TỔNG KLH + TN'!$B:$B,'01. TH'!$B55,'TỔNG KLH + TN'!$C:$C,'01. TH'!N$4)</f>
        <v>0</v>
      </c>
      <c r="O55" s="1042">
        <f>COUNTIFS('TỔNG KLH + TN'!$B:$B,'01. TH'!$B55,'TỔNG KLH + TN'!$C:$C,'01. TH'!O$4)</f>
        <v>0</v>
      </c>
      <c r="P55" s="1042">
        <f>COUNTIFS('TỔNG KLH + TN'!$B:$B,'01. TH'!$B55,'TỔNG KLH + TN'!$C:$C,'01. TH'!P$4)</f>
        <v>0</v>
      </c>
      <c r="Q55" s="1042">
        <f>COUNTIFS('TỔNG KLH + TN'!$B:$B,'01. TH'!$B55,'TỔNG KLH + TN'!$C:$C,'01. TH'!Q$4)</f>
        <v>0</v>
      </c>
      <c r="R55" s="1042">
        <f>COUNTIFS('TỔNG KLH + TN'!$B:$B,'01. TH'!$B55,'TỔNG KLH + TN'!$C:$C,'01. TH'!R$4)</f>
        <v>0</v>
      </c>
      <c r="S55" s="1042">
        <f>COUNTIFS('TỔNG KLH + TN'!$B:$B,'01. TH'!$B55,'TỔNG KLH + TN'!$C:$C,'01. TH'!S$4)</f>
        <v>0</v>
      </c>
      <c r="T55" s="1042">
        <f>COUNTIFS('TỔNG KLH + TN'!$B:$B,'01. TH'!$B55,'TỔNG KLH + TN'!$C:$C,'01. TH'!T$4)</f>
        <v>0</v>
      </c>
      <c r="U55" s="1042">
        <f>COUNTIFS('TỔNG KLH + TN'!$B:$B,'01. TH'!$B55,'TỔNG KLH + TN'!$C:$C,'01. TH'!U$4)</f>
        <v>0</v>
      </c>
      <c r="V55" s="1042">
        <f>COUNTIFS('TỔNG KLH + TN'!$B:$B,'01. TH'!$B55,'TỔNG KLH + TN'!$C:$C,'01. TH'!V$4)</f>
        <v>0</v>
      </c>
      <c r="W55" s="1042">
        <f>COUNTIFS('TỔNG KLH + TN'!$B:$B,'01. TH'!$B55,'TỔNG KLH + TN'!$C:$C,'01. TH'!W$4)</f>
        <v>0</v>
      </c>
      <c r="X55" s="1042">
        <f>COUNTIFS('TỔNG KLH + TN'!$B:$B,'01. TH'!$B55,'TỔNG KLH + TN'!$C:$C,'01. TH'!X$4)</f>
        <v>0</v>
      </c>
      <c r="Y55" s="1042">
        <f>COUNTIFS('TỔNG KLH + TN'!$B:$B,'01. TH'!$B55,'TỔNG KLH + TN'!$C:$C,'01. TH'!Y$4)</f>
        <v>0</v>
      </c>
      <c r="Z55" s="1042">
        <f>COUNTIFS('TỔNG KLH + TN'!$B:$B,'01. TH'!$B55,'TỔNG KLH + TN'!$C:$C,'01. TH'!Z$4)</f>
        <v>0</v>
      </c>
      <c r="AA55" s="1042">
        <f>COUNTIFS('TỔNG KLH + TN'!$B:$B,'01. TH'!$B55,'TỔNG KLH + TN'!$C:$C,'01. TH'!AA$4)</f>
        <v>0</v>
      </c>
      <c r="AB55" s="1042">
        <f>COUNTIFS('TỔNG KLH + TN'!$B:$B,'01. TH'!$B55,'TỔNG KLH + TN'!$C:$C,'01. TH'!AB$4)</f>
        <v>0</v>
      </c>
      <c r="AC55" s="1042">
        <f>COUNTIFS('TỔNG KLH + TN'!$B:$B,'01. TH'!$B55,'TỔNG KLH + TN'!$C:$C,'01. TH'!AC$4)</f>
        <v>0</v>
      </c>
      <c r="AD55" s="1042">
        <f>COUNTIFS('TỔNG KLH + TN'!$B:$B,'01. TH'!$B55,'TỔNG KLH + TN'!$C:$C,'01. TH'!AD$4)</f>
        <v>0</v>
      </c>
      <c r="AE55" s="1045">
        <f t="shared" si="12"/>
        <v>0</v>
      </c>
      <c r="AF55" s="1045"/>
      <c r="AG55" s="1033" t="str">
        <f t="shared" si="2"/>
        <v>ok</v>
      </c>
      <c r="AH55" s="1046"/>
    </row>
    <row r="56" ht="18.75" hidden="1" customHeight="1" outlineLevel="1" spans="1:34">
      <c r="A56" s="1049"/>
      <c r="B56" s="1040" t="s">
        <v>113</v>
      </c>
      <c r="C56" s="1041" t="s">
        <v>114</v>
      </c>
      <c r="D56" s="1041" t="str">
        <f>IFERROR(VLOOKUP(B56,'Danh mục'!$G:$U,15,0),"")</f>
        <v>7800 x 2500 x 3480</v>
      </c>
      <c r="E56" s="1041" t="s">
        <v>42</v>
      </c>
      <c r="F56" s="1042">
        <f>COUNTIFS('TỔNG KLH + TN'!$B:$B,'01. TH'!$B56,'TỔNG KLH + TN'!$C:$C,'01. TH'!F$4)</f>
        <v>6</v>
      </c>
      <c r="G56" s="1042">
        <f>COUNTIFS('TỔNG KLH + TN'!$B:$B,'01. TH'!$B56,'TỔNG KLH + TN'!$C:$C,'01. TH'!G$4)</f>
        <v>0</v>
      </c>
      <c r="H56" s="1042">
        <f>COUNTIFS('TỔNG KLH + TN'!$B:$B,'01. TH'!$B56,'TỔNG KLH + TN'!$C:$C,'01. TH'!H$4)</f>
        <v>0</v>
      </c>
      <c r="I56" s="1042">
        <f>COUNTIFS('TỔNG KLH + TN'!$B:$B,'01. TH'!$B56,'TỔNG KLH + TN'!$C:$C,'01. TH'!I$4)</f>
        <v>0</v>
      </c>
      <c r="J56" s="1042">
        <f>COUNTIFS('TỔNG KLH + TN'!$B:$B,'01. TH'!$B56,'TỔNG KLH + TN'!$C:$C,'01. TH'!J$4)</f>
        <v>0</v>
      </c>
      <c r="K56" s="1042">
        <f>COUNTIFS('TỔNG KLH + TN'!$B:$B,'01. TH'!$B56,'TỔNG KLH + TN'!$C:$C,'01. TH'!K$4)</f>
        <v>0</v>
      </c>
      <c r="L56" s="1042">
        <f>COUNTIFS('TỔNG KLH + TN'!$B:$B,'01. TH'!$B56,'TỔNG KLH + TN'!$C:$C,'01. TH'!L$4)</f>
        <v>0</v>
      </c>
      <c r="M56" s="1042">
        <f>COUNTIFS('TỔNG KLH + TN'!$B:$B,'01. TH'!$B56,'TỔNG KLH + TN'!$C:$C,'01. TH'!M$4)</f>
        <v>0</v>
      </c>
      <c r="N56" s="1042">
        <f>COUNTIFS('TỔNG KLH + TN'!$B:$B,'01. TH'!$B56,'TỔNG KLH + TN'!$C:$C,'01. TH'!N$4)</f>
        <v>0</v>
      </c>
      <c r="O56" s="1042">
        <f>COUNTIFS('TỔNG KLH + TN'!$B:$B,'01. TH'!$B56,'TỔNG KLH + TN'!$C:$C,'01. TH'!O$4)</f>
        <v>2</v>
      </c>
      <c r="P56" s="1042">
        <f>COUNTIFS('TỔNG KLH + TN'!$B:$B,'01. TH'!$B56,'TỔNG KLH + TN'!$C:$C,'01. TH'!P$4)</f>
        <v>0</v>
      </c>
      <c r="Q56" s="1042">
        <f>COUNTIFS('TỔNG KLH + TN'!$B:$B,'01. TH'!$B56,'TỔNG KLH + TN'!$C:$C,'01. TH'!Q$4)</f>
        <v>0</v>
      </c>
      <c r="R56" s="1042">
        <f>COUNTIFS('TỔNG KLH + TN'!$B:$B,'01. TH'!$B56,'TỔNG KLH + TN'!$C:$C,'01. TH'!R$4)</f>
        <v>0</v>
      </c>
      <c r="S56" s="1042">
        <f>COUNTIFS('TỔNG KLH + TN'!$B:$B,'01. TH'!$B56,'TỔNG KLH + TN'!$C:$C,'01. TH'!S$4)</f>
        <v>3</v>
      </c>
      <c r="T56" s="1042">
        <f>COUNTIFS('TỔNG KLH + TN'!$B:$B,'01. TH'!$B56,'TỔNG KLH + TN'!$C:$C,'01. TH'!T$4)</f>
        <v>0</v>
      </c>
      <c r="U56" s="1042">
        <f>COUNTIFS('TỔNG KLH + TN'!$B:$B,'01. TH'!$B56,'TỔNG KLH + TN'!$C:$C,'01. TH'!U$4)</f>
        <v>0</v>
      </c>
      <c r="V56" s="1042">
        <f>COUNTIFS('TỔNG KLH + TN'!$B:$B,'01. TH'!$B56,'TỔNG KLH + TN'!$C:$C,'01. TH'!V$4)</f>
        <v>0</v>
      </c>
      <c r="W56" s="1042">
        <f>COUNTIFS('TỔNG KLH + TN'!$B:$B,'01. TH'!$B56,'TỔNG KLH + TN'!$C:$C,'01. TH'!W$4)</f>
        <v>0</v>
      </c>
      <c r="X56" s="1042">
        <f>COUNTIFS('TỔNG KLH + TN'!$B:$B,'01. TH'!$B56,'TỔNG KLH + TN'!$C:$C,'01. TH'!X$4)</f>
        <v>0</v>
      </c>
      <c r="Y56" s="1042">
        <f>COUNTIFS('TỔNG KLH + TN'!$B:$B,'01. TH'!$B56,'TỔNG KLH + TN'!$C:$C,'01. TH'!Y$4)</f>
        <v>0</v>
      </c>
      <c r="Z56" s="1042">
        <f>COUNTIFS('TỔNG KLH + TN'!$B:$B,'01. TH'!$B56,'TỔNG KLH + TN'!$C:$C,'01. TH'!Z$4)</f>
        <v>0</v>
      </c>
      <c r="AA56" s="1042">
        <f>COUNTIFS('TỔNG KLH + TN'!$B:$B,'01. TH'!$B56,'TỔNG KLH + TN'!$C:$C,'01. TH'!AA$4)</f>
        <v>0</v>
      </c>
      <c r="AB56" s="1042">
        <f>COUNTIFS('TỔNG KLH + TN'!$B:$B,'01. TH'!$B56,'TỔNG KLH + TN'!$C:$C,'01. TH'!AB$4)</f>
        <v>0</v>
      </c>
      <c r="AC56" s="1042">
        <f>COUNTIFS('TỔNG KLH + TN'!$B:$B,'01. TH'!$B56,'TỔNG KLH + TN'!$C:$C,'01. TH'!AC$4)</f>
        <v>0</v>
      </c>
      <c r="AD56" s="1042">
        <f>COUNTIFS('TỔNG KLH + TN'!$B:$B,'01. TH'!$B56,'TỔNG KLH + TN'!$C:$C,'01. TH'!AD$4)</f>
        <v>0</v>
      </c>
      <c r="AE56" s="1045">
        <f t="shared" si="12"/>
        <v>11</v>
      </c>
      <c r="AF56" s="1045"/>
      <c r="AG56" s="1033" t="str">
        <f t="shared" si="2"/>
        <v>ok</v>
      </c>
      <c r="AH56" s="1049"/>
    </row>
    <row r="57" ht="24" customHeight="1" collapsed="1" spans="1:34">
      <c r="A57" s="1033">
        <v>7</v>
      </c>
      <c r="B57" s="1034" t="s">
        <v>115</v>
      </c>
      <c r="C57" s="1035"/>
      <c r="D57" s="1035" t="str">
        <f>IFERROR(VLOOKUP(B57,'Danh mục'!$G:$U,15,0),"")</f>
        <v/>
      </c>
      <c r="E57" s="1035"/>
      <c r="F57" s="1047">
        <f t="shared" ref="F57:AE57" si="13">SUM(F58:F66)</f>
        <v>0</v>
      </c>
      <c r="G57" s="1047">
        <f t="shared" si="13"/>
        <v>1</v>
      </c>
      <c r="H57" s="1047">
        <f t="shared" si="13"/>
        <v>0</v>
      </c>
      <c r="I57" s="1047">
        <f t="shared" si="13"/>
        <v>0</v>
      </c>
      <c r="J57" s="1047">
        <f t="shared" si="13"/>
        <v>0</v>
      </c>
      <c r="K57" s="1047">
        <f t="shared" si="13"/>
        <v>0</v>
      </c>
      <c r="L57" s="1047">
        <f t="shared" si="13"/>
        <v>0</v>
      </c>
      <c r="M57" s="1047">
        <f t="shared" si="13"/>
        <v>0</v>
      </c>
      <c r="N57" s="1047">
        <f t="shared" si="13"/>
        <v>0</v>
      </c>
      <c r="O57" s="1047">
        <f t="shared" si="13"/>
        <v>0</v>
      </c>
      <c r="P57" s="1047">
        <f t="shared" si="13"/>
        <v>0</v>
      </c>
      <c r="Q57" s="1047">
        <f t="shared" si="13"/>
        <v>0</v>
      </c>
      <c r="R57" s="1047">
        <f t="shared" si="13"/>
        <v>0</v>
      </c>
      <c r="S57" s="1047">
        <f t="shared" si="13"/>
        <v>0</v>
      </c>
      <c r="T57" s="1047">
        <f t="shared" si="13"/>
        <v>0</v>
      </c>
      <c r="U57" s="1047">
        <f t="shared" si="13"/>
        <v>0</v>
      </c>
      <c r="V57" s="1047">
        <f t="shared" si="13"/>
        <v>0</v>
      </c>
      <c r="W57" s="1047">
        <f t="shared" si="13"/>
        <v>9</v>
      </c>
      <c r="X57" s="1047">
        <f t="shared" si="13"/>
        <v>0</v>
      </c>
      <c r="Y57" s="1047">
        <f t="shared" si="13"/>
        <v>0</v>
      </c>
      <c r="Z57" s="1047">
        <f t="shared" si="13"/>
        <v>0</v>
      </c>
      <c r="AA57" s="1047">
        <f t="shared" si="13"/>
        <v>2</v>
      </c>
      <c r="AB57" s="1047">
        <f t="shared" si="13"/>
        <v>0</v>
      </c>
      <c r="AC57" s="1047">
        <f t="shared" si="13"/>
        <v>0</v>
      </c>
      <c r="AD57" s="1047">
        <f t="shared" si="13"/>
        <v>0</v>
      </c>
      <c r="AE57" s="1048">
        <f t="shared" si="13"/>
        <v>12</v>
      </c>
      <c r="AF57" s="1048">
        <v>8</v>
      </c>
      <c r="AG57" s="1033" t="str">
        <f t="shared" si="2"/>
        <v>ok</v>
      </c>
      <c r="AH57" s="1038"/>
    </row>
    <row r="58" ht="18.75" hidden="1" customHeight="1" outlineLevel="1" spans="1:34">
      <c r="A58" s="1039"/>
      <c r="B58" s="1040" t="s">
        <v>116</v>
      </c>
      <c r="C58" s="1041" t="s">
        <v>85</v>
      </c>
      <c r="D58" s="1041" t="str">
        <f>IFERROR(VLOOKUP(B58,'Danh mục'!$G:$U,15,0),"")</f>
        <v>6160 x 2330 x 2750</v>
      </c>
      <c r="E58" s="1041" t="s">
        <v>42</v>
      </c>
      <c r="F58" s="1042">
        <f>COUNTIFS('TỔNG KLH + TN'!$B:$B,'01. TH'!$B58,'TỔNG KLH + TN'!$C:$C,'01. TH'!F$4)</f>
        <v>0</v>
      </c>
      <c r="G58" s="1042">
        <f>COUNTIFS('TỔNG KLH + TN'!$B:$B,'01. TH'!$B58,'TỔNG KLH + TN'!$C:$C,'01. TH'!G$4)</f>
        <v>0</v>
      </c>
      <c r="H58" s="1042">
        <f>COUNTIFS('TỔNG KLH + TN'!$B:$B,'01. TH'!$B58,'TỔNG KLH + TN'!$C:$C,'01. TH'!H$4)</f>
        <v>0</v>
      </c>
      <c r="I58" s="1042">
        <f>COUNTIFS('TỔNG KLH + TN'!$B:$B,'01. TH'!$B58,'TỔNG KLH + TN'!$C:$C,'01. TH'!I$4)</f>
        <v>0</v>
      </c>
      <c r="J58" s="1042">
        <f>COUNTIFS('TỔNG KLH + TN'!$B:$B,'01. TH'!$B58,'TỔNG KLH + TN'!$C:$C,'01. TH'!J$4)</f>
        <v>0</v>
      </c>
      <c r="K58" s="1042">
        <f>COUNTIFS('TỔNG KLH + TN'!$B:$B,'01. TH'!$B58,'TỔNG KLH + TN'!$C:$C,'01. TH'!K$4)</f>
        <v>0</v>
      </c>
      <c r="L58" s="1042">
        <f>COUNTIFS('TỔNG KLH + TN'!$B:$B,'01. TH'!$B58,'TỔNG KLH + TN'!$C:$C,'01. TH'!L$4)</f>
        <v>0</v>
      </c>
      <c r="M58" s="1042">
        <f>COUNTIFS('TỔNG KLH + TN'!$B:$B,'01. TH'!$B58,'TỔNG KLH + TN'!$C:$C,'01. TH'!M$4)</f>
        <v>0</v>
      </c>
      <c r="N58" s="1042">
        <f>COUNTIFS('TỔNG KLH + TN'!$B:$B,'01. TH'!$B58,'TỔNG KLH + TN'!$C:$C,'01. TH'!N$4)</f>
        <v>0</v>
      </c>
      <c r="O58" s="1042">
        <f>COUNTIFS('TỔNG KLH + TN'!$B:$B,'01. TH'!$B58,'TỔNG KLH + TN'!$C:$C,'01. TH'!O$4)</f>
        <v>0</v>
      </c>
      <c r="P58" s="1042">
        <f>COUNTIFS('TỔNG KLH + TN'!$B:$B,'01. TH'!$B58,'TỔNG KLH + TN'!$C:$C,'01. TH'!P$4)</f>
        <v>0</v>
      </c>
      <c r="Q58" s="1042">
        <f>COUNTIFS('TỔNG KLH + TN'!$B:$B,'01. TH'!$B58,'TỔNG KLH + TN'!$C:$C,'01. TH'!Q$4)</f>
        <v>0</v>
      </c>
      <c r="R58" s="1042">
        <f>COUNTIFS('TỔNG KLH + TN'!$B:$B,'01. TH'!$B58,'TỔNG KLH + TN'!$C:$C,'01. TH'!R$4)</f>
        <v>0</v>
      </c>
      <c r="S58" s="1042">
        <f>COUNTIFS('TỔNG KLH + TN'!$B:$B,'01. TH'!$B58,'TỔNG KLH + TN'!$C:$C,'01. TH'!S$4)</f>
        <v>0</v>
      </c>
      <c r="T58" s="1042">
        <f>COUNTIFS('TỔNG KLH + TN'!$B:$B,'01. TH'!$B58,'TỔNG KLH + TN'!$C:$C,'01. TH'!T$4)</f>
        <v>0</v>
      </c>
      <c r="U58" s="1042">
        <f>COUNTIFS('TỔNG KLH + TN'!$B:$B,'01. TH'!$B58,'TỔNG KLH + TN'!$C:$C,'01. TH'!U$4)</f>
        <v>0</v>
      </c>
      <c r="V58" s="1042">
        <f>COUNTIFS('TỔNG KLH + TN'!$B:$B,'01. TH'!$B58,'TỔNG KLH + TN'!$C:$C,'01. TH'!V$4)</f>
        <v>0</v>
      </c>
      <c r="W58" s="1042">
        <f>COUNTIFS('TỔNG KLH + TN'!$B:$B,'01. TH'!$B58,'TỔNG KLH + TN'!$C:$C,'01. TH'!W$4)</f>
        <v>0</v>
      </c>
      <c r="X58" s="1042">
        <f>COUNTIFS('TỔNG KLH + TN'!$B:$B,'01. TH'!$B58,'TỔNG KLH + TN'!$C:$C,'01. TH'!X$4)</f>
        <v>0</v>
      </c>
      <c r="Y58" s="1042">
        <f>COUNTIFS('TỔNG KLH + TN'!$B:$B,'01. TH'!$B58,'TỔNG KLH + TN'!$C:$C,'01. TH'!Y$4)</f>
        <v>0</v>
      </c>
      <c r="Z58" s="1042">
        <f>COUNTIFS('TỔNG KLH + TN'!$B:$B,'01. TH'!$B58,'TỔNG KLH + TN'!$C:$C,'01. TH'!Z$4)</f>
        <v>0</v>
      </c>
      <c r="AA58" s="1042">
        <f>COUNTIFS('TỔNG KLH + TN'!$B:$B,'01. TH'!$B58,'TỔNG KLH + TN'!$C:$C,'01. TH'!AA$4)</f>
        <v>0</v>
      </c>
      <c r="AB58" s="1042">
        <f>COUNTIFS('TỔNG KLH + TN'!$B:$B,'01. TH'!$B58,'TỔNG KLH + TN'!$C:$C,'01. TH'!AB$4)</f>
        <v>0</v>
      </c>
      <c r="AC58" s="1042">
        <f>COUNTIFS('TỔNG KLH + TN'!$B:$B,'01. TH'!$B58,'TỔNG KLH + TN'!$C:$C,'01. TH'!AC$4)</f>
        <v>0</v>
      </c>
      <c r="AD58" s="1042">
        <f>COUNTIFS('TỔNG KLH + TN'!$B:$B,'01. TH'!$B58,'TỔNG KLH + TN'!$C:$C,'01. TH'!AD$4)</f>
        <v>0</v>
      </c>
      <c r="AE58" s="1043">
        <f t="shared" ref="AE58:AE66" si="14">SUM(F58:AD58)</f>
        <v>0</v>
      </c>
      <c r="AF58" s="1043"/>
      <c r="AG58" s="1033" t="str">
        <f t="shared" si="2"/>
        <v>ok</v>
      </c>
      <c r="AH58" s="1041"/>
    </row>
    <row r="59" ht="18.75" hidden="1" customHeight="1" outlineLevel="1" spans="1:34">
      <c r="A59" s="1044"/>
      <c r="B59" s="1040" t="s">
        <v>117</v>
      </c>
      <c r="C59" s="1041" t="s">
        <v>118</v>
      </c>
      <c r="D59" s="1041" t="str">
        <f>IFERROR(VLOOKUP(B59,'Danh mục'!$G:$U,15,0),"")</f>
        <v>6380 x 2040 x 2300</v>
      </c>
      <c r="E59" s="1041" t="s">
        <v>42</v>
      </c>
      <c r="F59" s="1042">
        <f>COUNTIFS('TỔNG KLH + TN'!$B:$B,'01. TH'!$B59,'TỔNG KLH + TN'!$C:$C,'01. TH'!F$4)</f>
        <v>0</v>
      </c>
      <c r="G59" s="1042">
        <f>COUNTIFS('TỔNG KLH + TN'!$B:$B,'01. TH'!$B59,'TỔNG KLH + TN'!$C:$C,'01. TH'!G$4)</f>
        <v>1</v>
      </c>
      <c r="H59" s="1042">
        <f>COUNTIFS('TỔNG KLH + TN'!$B:$B,'01. TH'!$B59,'TỔNG KLH + TN'!$C:$C,'01. TH'!H$4)</f>
        <v>0</v>
      </c>
      <c r="I59" s="1042">
        <f>COUNTIFS('TỔNG KLH + TN'!$B:$B,'01. TH'!$B59,'TỔNG KLH + TN'!$C:$C,'01. TH'!I$4)</f>
        <v>0</v>
      </c>
      <c r="J59" s="1042">
        <f>COUNTIFS('TỔNG KLH + TN'!$B:$B,'01. TH'!$B59,'TỔNG KLH + TN'!$C:$C,'01. TH'!J$4)</f>
        <v>0</v>
      </c>
      <c r="K59" s="1042">
        <f>COUNTIFS('TỔNG KLH + TN'!$B:$B,'01. TH'!$B59,'TỔNG KLH + TN'!$C:$C,'01. TH'!K$4)</f>
        <v>0</v>
      </c>
      <c r="L59" s="1042">
        <f>COUNTIFS('TỔNG KLH + TN'!$B:$B,'01. TH'!$B59,'TỔNG KLH + TN'!$C:$C,'01. TH'!L$4)</f>
        <v>0</v>
      </c>
      <c r="M59" s="1042">
        <f>COUNTIFS('TỔNG KLH + TN'!$B:$B,'01. TH'!$B59,'TỔNG KLH + TN'!$C:$C,'01. TH'!M$4)</f>
        <v>0</v>
      </c>
      <c r="N59" s="1042">
        <f>COUNTIFS('TỔNG KLH + TN'!$B:$B,'01. TH'!$B59,'TỔNG KLH + TN'!$C:$C,'01. TH'!N$4)</f>
        <v>0</v>
      </c>
      <c r="O59" s="1042">
        <f>COUNTIFS('TỔNG KLH + TN'!$B:$B,'01. TH'!$B59,'TỔNG KLH + TN'!$C:$C,'01. TH'!O$4)</f>
        <v>0</v>
      </c>
      <c r="P59" s="1042">
        <f>COUNTIFS('TỔNG KLH + TN'!$B:$B,'01. TH'!$B59,'TỔNG KLH + TN'!$C:$C,'01. TH'!P$4)</f>
        <v>0</v>
      </c>
      <c r="Q59" s="1042">
        <f>COUNTIFS('TỔNG KLH + TN'!$B:$B,'01. TH'!$B59,'TỔNG KLH + TN'!$C:$C,'01. TH'!Q$4)</f>
        <v>0</v>
      </c>
      <c r="R59" s="1042">
        <f>COUNTIFS('TỔNG KLH + TN'!$B:$B,'01. TH'!$B59,'TỔNG KLH + TN'!$C:$C,'01. TH'!R$4)</f>
        <v>0</v>
      </c>
      <c r="S59" s="1042">
        <f>COUNTIFS('TỔNG KLH + TN'!$B:$B,'01. TH'!$B59,'TỔNG KLH + TN'!$C:$C,'01. TH'!S$4)</f>
        <v>0</v>
      </c>
      <c r="T59" s="1042">
        <f>COUNTIFS('TỔNG KLH + TN'!$B:$B,'01. TH'!$B59,'TỔNG KLH + TN'!$C:$C,'01. TH'!T$4)</f>
        <v>0</v>
      </c>
      <c r="U59" s="1042">
        <f>COUNTIFS('TỔNG KLH + TN'!$B:$B,'01. TH'!$B59,'TỔNG KLH + TN'!$C:$C,'01. TH'!U$4)</f>
        <v>0</v>
      </c>
      <c r="V59" s="1042">
        <f>COUNTIFS('TỔNG KLH + TN'!$B:$B,'01. TH'!$B59,'TỔNG KLH + TN'!$C:$C,'01. TH'!V$4)</f>
        <v>0</v>
      </c>
      <c r="W59" s="1042">
        <f>COUNTIFS('TỔNG KLH + TN'!$B:$B,'01. TH'!$B59,'TỔNG KLH + TN'!$C:$C,'01. TH'!W$4)</f>
        <v>0</v>
      </c>
      <c r="X59" s="1042">
        <f>COUNTIFS('TỔNG KLH + TN'!$B:$B,'01. TH'!$B59,'TỔNG KLH + TN'!$C:$C,'01. TH'!X$4)</f>
        <v>0</v>
      </c>
      <c r="Y59" s="1042">
        <f>COUNTIFS('TỔNG KLH + TN'!$B:$B,'01. TH'!$B59,'TỔNG KLH + TN'!$C:$C,'01. TH'!Y$4)</f>
        <v>0</v>
      </c>
      <c r="Z59" s="1042">
        <f>COUNTIFS('TỔNG KLH + TN'!$B:$B,'01. TH'!$B59,'TỔNG KLH + TN'!$C:$C,'01. TH'!Z$4)</f>
        <v>0</v>
      </c>
      <c r="AA59" s="1042">
        <f>COUNTIFS('TỔNG KLH + TN'!$B:$B,'01. TH'!$B59,'TỔNG KLH + TN'!$C:$C,'01. TH'!AA$4)</f>
        <v>1</v>
      </c>
      <c r="AB59" s="1042">
        <f>COUNTIFS('TỔNG KLH + TN'!$B:$B,'01. TH'!$B59,'TỔNG KLH + TN'!$C:$C,'01. TH'!AB$4)</f>
        <v>0</v>
      </c>
      <c r="AC59" s="1042">
        <f>COUNTIFS('TỔNG KLH + TN'!$B:$B,'01. TH'!$B59,'TỔNG KLH + TN'!$C:$C,'01. TH'!AC$4)</f>
        <v>0</v>
      </c>
      <c r="AD59" s="1042">
        <f>COUNTIFS('TỔNG KLH + TN'!$B:$B,'01. TH'!$B59,'TỔNG KLH + TN'!$C:$C,'01. TH'!AD$4)</f>
        <v>0</v>
      </c>
      <c r="AE59" s="1045">
        <f t="shared" si="14"/>
        <v>2</v>
      </c>
      <c r="AF59" s="1045"/>
      <c r="AG59" s="1033" t="str">
        <f t="shared" si="2"/>
        <v>ok</v>
      </c>
      <c r="AH59" s="1051"/>
    </row>
    <row r="60" ht="18.75" hidden="1" customHeight="1" outlineLevel="1" spans="1:34">
      <c r="A60" s="1039"/>
      <c r="B60" s="1040" t="s">
        <v>119</v>
      </c>
      <c r="C60" s="1041" t="s">
        <v>120</v>
      </c>
      <c r="D60" s="1041" t="str">
        <f>IFERROR(VLOOKUP(B60,'Danh mục'!$G:$U,15,0),"")</f>
        <v>9510 x 2450 x 2840</v>
      </c>
      <c r="E60" s="1041" t="s">
        <v>42</v>
      </c>
      <c r="F60" s="1042">
        <f>COUNTIFS('TỔNG KLH + TN'!$B:$B,'01. TH'!$B60,'TỔNG KLH + TN'!$C:$C,'01. TH'!F$4)</f>
        <v>0</v>
      </c>
      <c r="G60" s="1042">
        <f>COUNTIFS('TỔNG KLH + TN'!$B:$B,'01. TH'!$B60,'TỔNG KLH + TN'!$C:$C,'01. TH'!G$4)</f>
        <v>0</v>
      </c>
      <c r="H60" s="1042">
        <f>COUNTIFS('TỔNG KLH + TN'!$B:$B,'01. TH'!$B60,'TỔNG KLH + TN'!$C:$C,'01. TH'!H$4)</f>
        <v>0</v>
      </c>
      <c r="I60" s="1042">
        <f>COUNTIFS('TỔNG KLH + TN'!$B:$B,'01. TH'!$B60,'TỔNG KLH + TN'!$C:$C,'01. TH'!I$4)</f>
        <v>0</v>
      </c>
      <c r="J60" s="1042">
        <f>COUNTIFS('TỔNG KLH + TN'!$B:$B,'01. TH'!$B60,'TỔNG KLH + TN'!$C:$C,'01. TH'!J$4)</f>
        <v>0</v>
      </c>
      <c r="K60" s="1042">
        <f>COUNTIFS('TỔNG KLH + TN'!$B:$B,'01. TH'!$B60,'TỔNG KLH + TN'!$C:$C,'01. TH'!K$4)</f>
        <v>0</v>
      </c>
      <c r="L60" s="1042">
        <f>COUNTIFS('TỔNG KLH + TN'!$B:$B,'01. TH'!$B60,'TỔNG KLH + TN'!$C:$C,'01. TH'!L$4)</f>
        <v>0</v>
      </c>
      <c r="M60" s="1042">
        <f>COUNTIFS('TỔNG KLH + TN'!$B:$B,'01. TH'!$B60,'TỔNG KLH + TN'!$C:$C,'01. TH'!M$4)</f>
        <v>0</v>
      </c>
      <c r="N60" s="1042">
        <f>COUNTIFS('TỔNG KLH + TN'!$B:$B,'01. TH'!$B60,'TỔNG KLH + TN'!$C:$C,'01. TH'!N$4)</f>
        <v>0</v>
      </c>
      <c r="O60" s="1042">
        <f>COUNTIFS('TỔNG KLH + TN'!$B:$B,'01. TH'!$B60,'TỔNG KLH + TN'!$C:$C,'01. TH'!O$4)</f>
        <v>0</v>
      </c>
      <c r="P60" s="1042">
        <f>COUNTIFS('TỔNG KLH + TN'!$B:$B,'01. TH'!$B60,'TỔNG KLH + TN'!$C:$C,'01. TH'!P$4)</f>
        <v>0</v>
      </c>
      <c r="Q60" s="1042">
        <f>COUNTIFS('TỔNG KLH + TN'!$B:$B,'01. TH'!$B60,'TỔNG KLH + TN'!$C:$C,'01. TH'!Q$4)</f>
        <v>0</v>
      </c>
      <c r="R60" s="1042">
        <f>COUNTIFS('TỔNG KLH + TN'!$B:$B,'01. TH'!$B60,'TỔNG KLH + TN'!$C:$C,'01. TH'!R$4)</f>
        <v>0</v>
      </c>
      <c r="S60" s="1042">
        <f>COUNTIFS('TỔNG KLH + TN'!$B:$B,'01. TH'!$B60,'TỔNG KLH + TN'!$C:$C,'01. TH'!S$4)</f>
        <v>0</v>
      </c>
      <c r="T60" s="1042">
        <f>COUNTIFS('TỔNG KLH + TN'!$B:$B,'01. TH'!$B60,'TỔNG KLH + TN'!$C:$C,'01. TH'!T$4)</f>
        <v>0</v>
      </c>
      <c r="U60" s="1042">
        <f>COUNTIFS('TỔNG KLH + TN'!$B:$B,'01. TH'!$B60,'TỔNG KLH + TN'!$C:$C,'01. TH'!U$4)</f>
        <v>0</v>
      </c>
      <c r="V60" s="1042">
        <f>COUNTIFS('TỔNG KLH + TN'!$B:$B,'01. TH'!$B60,'TỔNG KLH + TN'!$C:$C,'01. TH'!V$4)</f>
        <v>0</v>
      </c>
      <c r="W60" s="1042">
        <f>COUNTIFS('TỔNG KLH + TN'!$B:$B,'01. TH'!$B60,'TỔNG KLH + TN'!$C:$C,'01. TH'!W$4)</f>
        <v>3</v>
      </c>
      <c r="X60" s="1042">
        <f>COUNTIFS('TỔNG KLH + TN'!$B:$B,'01. TH'!$B60,'TỔNG KLH + TN'!$C:$C,'01. TH'!X$4)</f>
        <v>0</v>
      </c>
      <c r="Y60" s="1042">
        <f>COUNTIFS('TỔNG KLH + TN'!$B:$B,'01. TH'!$B60,'TỔNG KLH + TN'!$C:$C,'01. TH'!Y$4)</f>
        <v>0</v>
      </c>
      <c r="Z60" s="1042">
        <f>COUNTIFS('TỔNG KLH + TN'!$B:$B,'01. TH'!$B60,'TỔNG KLH + TN'!$C:$C,'01. TH'!Z$4)</f>
        <v>0</v>
      </c>
      <c r="AA60" s="1042">
        <f>COUNTIFS('TỔNG KLH + TN'!$B:$B,'01. TH'!$B60,'TỔNG KLH + TN'!$C:$C,'01. TH'!AA$4)</f>
        <v>0</v>
      </c>
      <c r="AB60" s="1042">
        <f>COUNTIFS('TỔNG KLH + TN'!$B:$B,'01. TH'!$B60,'TỔNG KLH + TN'!$C:$C,'01. TH'!AB$4)</f>
        <v>0</v>
      </c>
      <c r="AC60" s="1042">
        <f>COUNTIFS('TỔNG KLH + TN'!$B:$B,'01. TH'!$B60,'TỔNG KLH + TN'!$C:$C,'01. TH'!AC$4)</f>
        <v>0</v>
      </c>
      <c r="AD60" s="1042">
        <f>COUNTIFS('TỔNG KLH + TN'!$B:$B,'01. TH'!$B60,'TỔNG KLH + TN'!$C:$C,'01. TH'!AD$4)</f>
        <v>0</v>
      </c>
      <c r="AE60" s="1043">
        <f t="shared" si="14"/>
        <v>3</v>
      </c>
      <c r="AF60" s="1043"/>
      <c r="AG60" s="1033" t="str">
        <f t="shared" si="2"/>
        <v>ok</v>
      </c>
      <c r="AH60" s="1041"/>
    </row>
    <row r="61" ht="18.75" hidden="1" customHeight="1" outlineLevel="1" spans="1:34">
      <c r="A61" s="1044"/>
      <c r="B61" s="1040" t="s">
        <v>121</v>
      </c>
      <c r="C61" s="1041" t="s">
        <v>48</v>
      </c>
      <c r="D61" s="1041" t="str">
        <f>IFERROR(VLOOKUP(B61,'Danh mục'!$G:$U,15,0),"")</f>
        <v>6160 x 2330 x 2760</v>
      </c>
      <c r="E61" s="1041" t="s">
        <v>42</v>
      </c>
      <c r="F61" s="1042">
        <f>COUNTIFS('TỔNG KLH + TN'!$B:$B,'01. TH'!$B61,'TỔNG KLH + TN'!$C:$C,'01. TH'!F$4)</f>
        <v>0</v>
      </c>
      <c r="G61" s="1042">
        <f>COUNTIFS('TỔNG KLH + TN'!$B:$B,'01. TH'!$B61,'TỔNG KLH + TN'!$C:$C,'01. TH'!G$4)</f>
        <v>0</v>
      </c>
      <c r="H61" s="1042">
        <f>COUNTIFS('TỔNG KLH + TN'!$B:$B,'01. TH'!$B61,'TỔNG KLH + TN'!$C:$C,'01. TH'!H$4)</f>
        <v>0</v>
      </c>
      <c r="I61" s="1042">
        <f>COUNTIFS('TỔNG KLH + TN'!$B:$B,'01. TH'!$B61,'TỔNG KLH + TN'!$C:$C,'01. TH'!I$4)</f>
        <v>0</v>
      </c>
      <c r="J61" s="1042">
        <f>COUNTIFS('TỔNG KLH + TN'!$B:$B,'01. TH'!$B61,'TỔNG KLH + TN'!$C:$C,'01. TH'!J$4)</f>
        <v>0</v>
      </c>
      <c r="K61" s="1042">
        <f>COUNTIFS('TỔNG KLH + TN'!$B:$B,'01. TH'!$B61,'TỔNG KLH + TN'!$C:$C,'01. TH'!K$4)</f>
        <v>0</v>
      </c>
      <c r="L61" s="1042">
        <f>COUNTIFS('TỔNG KLH + TN'!$B:$B,'01. TH'!$B61,'TỔNG KLH + TN'!$C:$C,'01. TH'!L$4)</f>
        <v>0</v>
      </c>
      <c r="M61" s="1042">
        <f>COUNTIFS('TỔNG KLH + TN'!$B:$B,'01. TH'!$B61,'TỔNG KLH + TN'!$C:$C,'01. TH'!M$4)</f>
        <v>0</v>
      </c>
      <c r="N61" s="1042">
        <f>COUNTIFS('TỔNG KLH + TN'!$B:$B,'01. TH'!$B61,'TỔNG KLH + TN'!$C:$C,'01. TH'!N$4)</f>
        <v>0</v>
      </c>
      <c r="O61" s="1042">
        <f>COUNTIFS('TỔNG KLH + TN'!$B:$B,'01. TH'!$B61,'TỔNG KLH + TN'!$C:$C,'01. TH'!O$4)</f>
        <v>0</v>
      </c>
      <c r="P61" s="1042">
        <f>COUNTIFS('TỔNG KLH + TN'!$B:$B,'01. TH'!$B61,'TỔNG KLH + TN'!$C:$C,'01. TH'!P$4)</f>
        <v>0</v>
      </c>
      <c r="Q61" s="1042">
        <f>COUNTIFS('TỔNG KLH + TN'!$B:$B,'01. TH'!$B61,'TỔNG KLH + TN'!$C:$C,'01. TH'!Q$4)</f>
        <v>0</v>
      </c>
      <c r="R61" s="1042">
        <f>COUNTIFS('TỔNG KLH + TN'!$B:$B,'01. TH'!$B61,'TỔNG KLH + TN'!$C:$C,'01. TH'!R$4)</f>
        <v>0</v>
      </c>
      <c r="S61" s="1042">
        <f>COUNTIFS('TỔNG KLH + TN'!$B:$B,'01. TH'!$B61,'TỔNG KLH + TN'!$C:$C,'01. TH'!S$4)</f>
        <v>0</v>
      </c>
      <c r="T61" s="1042">
        <f>COUNTIFS('TỔNG KLH + TN'!$B:$B,'01. TH'!$B61,'TỔNG KLH + TN'!$C:$C,'01. TH'!T$4)</f>
        <v>0</v>
      </c>
      <c r="U61" s="1042">
        <f>COUNTIFS('TỔNG KLH + TN'!$B:$B,'01. TH'!$B61,'TỔNG KLH + TN'!$C:$C,'01. TH'!U$4)</f>
        <v>0</v>
      </c>
      <c r="V61" s="1042">
        <f>COUNTIFS('TỔNG KLH + TN'!$B:$B,'01. TH'!$B61,'TỔNG KLH + TN'!$C:$C,'01. TH'!V$4)</f>
        <v>0</v>
      </c>
      <c r="W61" s="1042">
        <f>COUNTIFS('TỔNG KLH + TN'!$B:$B,'01. TH'!$B61,'TỔNG KLH + TN'!$C:$C,'01. TH'!W$4)</f>
        <v>0</v>
      </c>
      <c r="X61" s="1042">
        <f>COUNTIFS('TỔNG KLH + TN'!$B:$B,'01. TH'!$B61,'TỔNG KLH + TN'!$C:$C,'01. TH'!X$4)</f>
        <v>0</v>
      </c>
      <c r="Y61" s="1042">
        <f>COUNTIFS('TỔNG KLH + TN'!$B:$B,'01. TH'!$B61,'TỔNG KLH + TN'!$C:$C,'01. TH'!Y$4)</f>
        <v>0</v>
      </c>
      <c r="Z61" s="1042">
        <f>COUNTIFS('TỔNG KLH + TN'!$B:$B,'01. TH'!$B61,'TỔNG KLH + TN'!$C:$C,'01. TH'!Z$4)</f>
        <v>0</v>
      </c>
      <c r="AA61" s="1042">
        <f>COUNTIFS('TỔNG KLH + TN'!$B:$B,'01. TH'!$B61,'TỔNG KLH + TN'!$C:$C,'01. TH'!AA$4)</f>
        <v>0</v>
      </c>
      <c r="AB61" s="1042">
        <f>COUNTIFS('TỔNG KLH + TN'!$B:$B,'01. TH'!$B61,'TỔNG KLH + TN'!$C:$C,'01. TH'!AB$4)</f>
        <v>0</v>
      </c>
      <c r="AC61" s="1042">
        <f>COUNTIFS('TỔNG KLH + TN'!$B:$B,'01. TH'!$B61,'TỔNG KLH + TN'!$C:$C,'01. TH'!AC$4)</f>
        <v>0</v>
      </c>
      <c r="AD61" s="1042">
        <f>COUNTIFS('TỔNG KLH + TN'!$B:$B,'01. TH'!$B61,'TỔNG KLH + TN'!$C:$C,'01. TH'!AD$4)</f>
        <v>0</v>
      </c>
      <c r="AE61" s="1045">
        <f t="shared" si="14"/>
        <v>0</v>
      </c>
      <c r="AF61" s="1045"/>
      <c r="AG61" s="1033" t="str">
        <f t="shared" si="2"/>
        <v>ok</v>
      </c>
      <c r="AH61" s="1046"/>
    </row>
    <row r="62" ht="18.75" hidden="1" customHeight="1" outlineLevel="1" spans="1:34">
      <c r="A62" s="1044"/>
      <c r="B62" s="1040" t="s">
        <v>122</v>
      </c>
      <c r="C62" s="1041" t="s">
        <v>85</v>
      </c>
      <c r="D62" s="1041" t="str">
        <f>IFERROR(VLOOKUP(B62,'Danh mục'!$G:$U,15,0),"")</f>
        <v>6160 x 2330 x 2750</v>
      </c>
      <c r="E62" s="1041" t="s">
        <v>42</v>
      </c>
      <c r="F62" s="1042">
        <f>COUNTIFS('TỔNG KLH + TN'!$B:$B,'01. TH'!$B62,'TỔNG KLH + TN'!$C:$C,'01. TH'!F$4)</f>
        <v>0</v>
      </c>
      <c r="G62" s="1042">
        <f>COUNTIFS('TỔNG KLH + TN'!$B:$B,'01. TH'!$B62,'TỔNG KLH + TN'!$C:$C,'01. TH'!G$4)</f>
        <v>0</v>
      </c>
      <c r="H62" s="1042">
        <f>COUNTIFS('TỔNG KLH + TN'!$B:$B,'01. TH'!$B62,'TỔNG KLH + TN'!$C:$C,'01. TH'!H$4)</f>
        <v>0</v>
      </c>
      <c r="I62" s="1042">
        <f>COUNTIFS('TỔNG KLH + TN'!$B:$B,'01. TH'!$B62,'TỔNG KLH + TN'!$C:$C,'01. TH'!I$4)</f>
        <v>0</v>
      </c>
      <c r="J62" s="1042">
        <f>COUNTIFS('TỔNG KLH + TN'!$B:$B,'01. TH'!$B62,'TỔNG KLH + TN'!$C:$C,'01. TH'!J$4)</f>
        <v>0</v>
      </c>
      <c r="K62" s="1042">
        <f>COUNTIFS('TỔNG KLH + TN'!$B:$B,'01. TH'!$B62,'TỔNG KLH + TN'!$C:$C,'01. TH'!K$4)</f>
        <v>0</v>
      </c>
      <c r="L62" s="1042">
        <f>COUNTIFS('TỔNG KLH + TN'!$B:$B,'01. TH'!$B62,'TỔNG KLH + TN'!$C:$C,'01. TH'!L$4)</f>
        <v>0</v>
      </c>
      <c r="M62" s="1042">
        <f>COUNTIFS('TỔNG KLH + TN'!$B:$B,'01. TH'!$B62,'TỔNG KLH + TN'!$C:$C,'01. TH'!M$4)</f>
        <v>0</v>
      </c>
      <c r="N62" s="1042">
        <f>COUNTIFS('TỔNG KLH + TN'!$B:$B,'01. TH'!$B62,'TỔNG KLH + TN'!$C:$C,'01. TH'!N$4)</f>
        <v>0</v>
      </c>
      <c r="O62" s="1042">
        <f>COUNTIFS('TỔNG KLH + TN'!$B:$B,'01. TH'!$B62,'TỔNG KLH + TN'!$C:$C,'01. TH'!O$4)</f>
        <v>0</v>
      </c>
      <c r="P62" s="1042">
        <f>COUNTIFS('TỔNG KLH + TN'!$B:$B,'01. TH'!$B62,'TỔNG KLH + TN'!$C:$C,'01. TH'!P$4)</f>
        <v>0</v>
      </c>
      <c r="Q62" s="1042">
        <f>COUNTIFS('TỔNG KLH + TN'!$B:$B,'01. TH'!$B62,'TỔNG KLH + TN'!$C:$C,'01. TH'!Q$4)</f>
        <v>0</v>
      </c>
      <c r="R62" s="1042">
        <f>COUNTIFS('TỔNG KLH + TN'!$B:$B,'01. TH'!$B62,'TỔNG KLH + TN'!$C:$C,'01. TH'!R$4)</f>
        <v>0</v>
      </c>
      <c r="S62" s="1042">
        <f>COUNTIFS('TỔNG KLH + TN'!$B:$B,'01. TH'!$B62,'TỔNG KLH + TN'!$C:$C,'01. TH'!S$4)</f>
        <v>0</v>
      </c>
      <c r="T62" s="1042">
        <f>COUNTIFS('TỔNG KLH + TN'!$B:$B,'01. TH'!$B62,'TỔNG KLH + TN'!$C:$C,'01. TH'!T$4)</f>
        <v>0</v>
      </c>
      <c r="U62" s="1042">
        <f>COUNTIFS('TỔNG KLH + TN'!$B:$B,'01. TH'!$B62,'TỔNG KLH + TN'!$C:$C,'01. TH'!U$4)</f>
        <v>0</v>
      </c>
      <c r="V62" s="1042">
        <f>COUNTIFS('TỔNG KLH + TN'!$B:$B,'01. TH'!$B62,'TỔNG KLH + TN'!$C:$C,'01. TH'!V$4)</f>
        <v>0</v>
      </c>
      <c r="W62" s="1042">
        <f>COUNTIFS('TỔNG KLH + TN'!$B:$B,'01. TH'!$B62,'TỔNG KLH + TN'!$C:$C,'01. TH'!W$4)</f>
        <v>4</v>
      </c>
      <c r="X62" s="1042">
        <f>COUNTIFS('TỔNG KLH + TN'!$B:$B,'01. TH'!$B62,'TỔNG KLH + TN'!$C:$C,'01. TH'!X$4)</f>
        <v>0</v>
      </c>
      <c r="Y62" s="1042">
        <f>COUNTIFS('TỔNG KLH + TN'!$B:$B,'01. TH'!$B62,'TỔNG KLH + TN'!$C:$C,'01. TH'!Y$4)</f>
        <v>0</v>
      </c>
      <c r="Z62" s="1042">
        <f>COUNTIFS('TỔNG KLH + TN'!$B:$B,'01. TH'!$B62,'TỔNG KLH + TN'!$C:$C,'01. TH'!Z$4)</f>
        <v>0</v>
      </c>
      <c r="AA62" s="1042">
        <f>COUNTIFS('TỔNG KLH + TN'!$B:$B,'01. TH'!$B62,'TỔNG KLH + TN'!$C:$C,'01. TH'!AA$4)</f>
        <v>1</v>
      </c>
      <c r="AB62" s="1042">
        <f>COUNTIFS('TỔNG KLH + TN'!$B:$B,'01. TH'!$B62,'TỔNG KLH + TN'!$C:$C,'01. TH'!AB$4)</f>
        <v>0</v>
      </c>
      <c r="AC62" s="1042">
        <f>COUNTIFS('TỔNG KLH + TN'!$B:$B,'01. TH'!$B62,'TỔNG KLH + TN'!$C:$C,'01. TH'!AC$4)</f>
        <v>0</v>
      </c>
      <c r="AD62" s="1042">
        <f>COUNTIFS('TỔNG KLH + TN'!$B:$B,'01. TH'!$B62,'TỔNG KLH + TN'!$C:$C,'01. TH'!AD$4)</f>
        <v>0</v>
      </c>
      <c r="AE62" s="1045">
        <f t="shared" si="14"/>
        <v>5</v>
      </c>
      <c r="AF62" s="1045"/>
      <c r="AG62" s="1033" t="str">
        <f t="shared" si="2"/>
        <v>ok</v>
      </c>
      <c r="AH62" s="1046"/>
    </row>
    <row r="63" ht="18.75" hidden="1" customHeight="1" outlineLevel="1" spans="1:34">
      <c r="A63" s="1044"/>
      <c r="B63" s="1040" t="s">
        <v>123</v>
      </c>
      <c r="C63" s="1041" t="s">
        <v>124</v>
      </c>
      <c r="D63" s="1041" t="str">
        <f>IFERROR(VLOOKUP(#REF!,'Danh mục'!$G:$U,15,0),"")</f>
        <v/>
      </c>
      <c r="E63" s="1041" t="s">
        <v>42</v>
      </c>
      <c r="F63" s="1042">
        <f>COUNTIFS('TỔNG KLH + TN'!$B:$B,'01. TH'!$B63,'TỔNG KLH + TN'!$C:$C,'01. TH'!F$4)</f>
        <v>0</v>
      </c>
      <c r="G63" s="1042">
        <f>COUNTIFS('TỔNG KLH + TN'!$B:$B,'01. TH'!$B63,'TỔNG KLH + TN'!$C:$C,'01. TH'!G$4)</f>
        <v>0</v>
      </c>
      <c r="H63" s="1042">
        <f>COUNTIFS('TỔNG KLH + TN'!$B:$B,'01. TH'!$B63,'TỔNG KLH + TN'!$C:$C,'01. TH'!H$4)</f>
        <v>0</v>
      </c>
      <c r="I63" s="1042">
        <f>COUNTIFS('TỔNG KLH + TN'!$B:$B,'01. TH'!$B63,'TỔNG KLH + TN'!$C:$C,'01. TH'!I$4)</f>
        <v>0</v>
      </c>
      <c r="J63" s="1042">
        <f>COUNTIFS('TỔNG KLH + TN'!$B:$B,'01. TH'!$B63,'TỔNG KLH + TN'!$C:$C,'01. TH'!J$4)</f>
        <v>0</v>
      </c>
      <c r="K63" s="1042">
        <f>COUNTIFS('TỔNG KLH + TN'!$B:$B,'01. TH'!$B63,'TỔNG KLH + TN'!$C:$C,'01. TH'!K$4)</f>
        <v>0</v>
      </c>
      <c r="L63" s="1042">
        <f>COUNTIFS('TỔNG KLH + TN'!$B:$B,'01. TH'!$B63,'TỔNG KLH + TN'!$C:$C,'01. TH'!L$4)</f>
        <v>0</v>
      </c>
      <c r="M63" s="1042">
        <f>COUNTIFS('TỔNG KLH + TN'!$B:$B,'01. TH'!$B63,'TỔNG KLH + TN'!$C:$C,'01. TH'!M$4)</f>
        <v>0</v>
      </c>
      <c r="N63" s="1042">
        <f>COUNTIFS('TỔNG KLH + TN'!$B:$B,'01. TH'!$B63,'TỔNG KLH + TN'!$C:$C,'01. TH'!N$4)</f>
        <v>0</v>
      </c>
      <c r="O63" s="1042">
        <f>COUNTIFS('TỔNG KLH + TN'!$B:$B,'01. TH'!$B63,'TỔNG KLH + TN'!$C:$C,'01. TH'!O$4)</f>
        <v>0</v>
      </c>
      <c r="P63" s="1042">
        <f>COUNTIFS('TỔNG KLH + TN'!$B:$B,'01. TH'!$B63,'TỔNG KLH + TN'!$C:$C,'01. TH'!P$4)</f>
        <v>0</v>
      </c>
      <c r="Q63" s="1042">
        <f>COUNTIFS('TỔNG KLH + TN'!$B:$B,'01. TH'!$B63,'TỔNG KLH + TN'!$C:$C,'01. TH'!Q$4)</f>
        <v>0</v>
      </c>
      <c r="R63" s="1042">
        <f>COUNTIFS('TỔNG KLH + TN'!$B:$B,'01. TH'!$B63,'TỔNG KLH + TN'!$C:$C,'01. TH'!R$4)</f>
        <v>0</v>
      </c>
      <c r="S63" s="1042">
        <f>COUNTIFS('TỔNG KLH + TN'!$B:$B,'01. TH'!$B63,'TỔNG KLH + TN'!$C:$C,'01. TH'!S$4)</f>
        <v>0</v>
      </c>
      <c r="T63" s="1042">
        <f>COUNTIFS('TỔNG KLH + TN'!$B:$B,'01. TH'!$B63,'TỔNG KLH + TN'!$C:$C,'01. TH'!T$4)</f>
        <v>0</v>
      </c>
      <c r="U63" s="1042">
        <f>COUNTIFS('TỔNG KLH + TN'!$B:$B,'01. TH'!$B63,'TỔNG KLH + TN'!$C:$C,'01. TH'!U$4)</f>
        <v>0</v>
      </c>
      <c r="V63" s="1042">
        <f>COUNTIFS('TỔNG KLH + TN'!$B:$B,'01. TH'!$B63,'TỔNG KLH + TN'!$C:$C,'01. TH'!V$4)</f>
        <v>0</v>
      </c>
      <c r="W63" s="1042">
        <f>COUNTIFS('TỔNG KLH + TN'!$B:$B,'01. TH'!$B63,'TỔNG KLH + TN'!$C:$C,'01. TH'!W$4)</f>
        <v>0</v>
      </c>
      <c r="X63" s="1042">
        <f>COUNTIFS('TỔNG KLH + TN'!$B:$B,'01. TH'!$B63,'TỔNG KLH + TN'!$C:$C,'01. TH'!X$4)</f>
        <v>0</v>
      </c>
      <c r="Y63" s="1042">
        <f>COUNTIFS('TỔNG KLH + TN'!$B:$B,'01. TH'!$B63,'TỔNG KLH + TN'!$C:$C,'01. TH'!Y$4)</f>
        <v>0</v>
      </c>
      <c r="Z63" s="1042">
        <f>COUNTIFS('TỔNG KLH + TN'!$B:$B,'01. TH'!$B63,'TỔNG KLH + TN'!$C:$C,'01. TH'!Z$4)</f>
        <v>0</v>
      </c>
      <c r="AA63" s="1042">
        <f>COUNTIFS('TỔNG KLH + TN'!$B:$B,'01. TH'!$B63,'TỔNG KLH + TN'!$C:$C,'01. TH'!AA$4)</f>
        <v>0</v>
      </c>
      <c r="AB63" s="1042">
        <f>COUNTIFS('TỔNG KLH + TN'!$B:$B,'01. TH'!$B63,'TỔNG KLH + TN'!$C:$C,'01. TH'!AB$4)</f>
        <v>0</v>
      </c>
      <c r="AC63" s="1042">
        <f>COUNTIFS('TỔNG KLH + TN'!$B:$B,'01. TH'!$B63,'TỔNG KLH + TN'!$C:$C,'01. TH'!AC$4)</f>
        <v>0</v>
      </c>
      <c r="AD63" s="1042">
        <f>COUNTIFS('TỔNG KLH + TN'!$B:$B,'01. TH'!$B63,'TỔNG KLH + TN'!$C:$C,'01. TH'!AD$4)</f>
        <v>0</v>
      </c>
      <c r="AE63" s="1045">
        <f t="shared" si="14"/>
        <v>0</v>
      </c>
      <c r="AF63" s="1045"/>
      <c r="AG63" s="1033" t="str">
        <f t="shared" si="2"/>
        <v>ok</v>
      </c>
      <c r="AH63" s="1046"/>
    </row>
    <row r="64" ht="18.75" hidden="1" customHeight="1" outlineLevel="1" spans="1:34">
      <c r="A64" s="1044"/>
      <c r="B64" s="1040" t="s">
        <v>125</v>
      </c>
      <c r="C64" s="1041" t="s">
        <v>124</v>
      </c>
      <c r="D64" s="1041" t="str">
        <f>IFERROR(VLOOKUP(#REF!,'Danh mục'!$G:$U,15,0),"")</f>
        <v/>
      </c>
      <c r="E64" s="1041" t="s">
        <v>42</v>
      </c>
      <c r="F64" s="1042">
        <f>COUNTIFS('TỔNG KLH + TN'!$B:$B,'01. TH'!$B64,'TỔNG KLH + TN'!$C:$C,'01. TH'!F$4)</f>
        <v>0</v>
      </c>
      <c r="G64" s="1042">
        <f>COUNTIFS('TỔNG KLH + TN'!$B:$B,'01. TH'!$B64,'TỔNG KLH + TN'!$C:$C,'01. TH'!G$4)</f>
        <v>0</v>
      </c>
      <c r="H64" s="1042">
        <f>COUNTIFS('TỔNG KLH + TN'!$B:$B,'01. TH'!$B64,'TỔNG KLH + TN'!$C:$C,'01. TH'!H$4)</f>
        <v>0</v>
      </c>
      <c r="I64" s="1042">
        <f>COUNTIFS('TỔNG KLH + TN'!$B:$B,'01. TH'!$B64,'TỔNG KLH + TN'!$C:$C,'01. TH'!I$4)</f>
        <v>0</v>
      </c>
      <c r="J64" s="1042">
        <f>COUNTIFS('TỔNG KLH + TN'!$B:$B,'01. TH'!$B64,'TỔNG KLH + TN'!$C:$C,'01. TH'!J$4)</f>
        <v>0</v>
      </c>
      <c r="K64" s="1042">
        <f>COUNTIFS('TỔNG KLH + TN'!$B:$B,'01. TH'!$B64,'TỔNG KLH + TN'!$C:$C,'01. TH'!K$4)</f>
        <v>0</v>
      </c>
      <c r="L64" s="1042">
        <f>COUNTIFS('TỔNG KLH + TN'!$B:$B,'01. TH'!$B64,'TỔNG KLH + TN'!$C:$C,'01. TH'!L$4)</f>
        <v>0</v>
      </c>
      <c r="M64" s="1042">
        <f>COUNTIFS('TỔNG KLH + TN'!$B:$B,'01. TH'!$B64,'TỔNG KLH + TN'!$C:$C,'01. TH'!M$4)</f>
        <v>0</v>
      </c>
      <c r="N64" s="1042">
        <f>COUNTIFS('TỔNG KLH + TN'!$B:$B,'01. TH'!$B64,'TỔNG KLH + TN'!$C:$C,'01. TH'!N$4)</f>
        <v>0</v>
      </c>
      <c r="O64" s="1042">
        <f>COUNTIFS('TỔNG KLH + TN'!$B:$B,'01. TH'!$B64,'TỔNG KLH + TN'!$C:$C,'01. TH'!O$4)</f>
        <v>0</v>
      </c>
      <c r="P64" s="1042">
        <f>COUNTIFS('TỔNG KLH + TN'!$B:$B,'01. TH'!$B64,'TỔNG KLH + TN'!$C:$C,'01. TH'!P$4)</f>
        <v>0</v>
      </c>
      <c r="Q64" s="1042">
        <f>COUNTIFS('TỔNG KLH + TN'!$B:$B,'01. TH'!$B64,'TỔNG KLH + TN'!$C:$C,'01. TH'!Q$4)</f>
        <v>0</v>
      </c>
      <c r="R64" s="1042">
        <f>COUNTIFS('TỔNG KLH + TN'!$B:$B,'01. TH'!$B64,'TỔNG KLH + TN'!$C:$C,'01. TH'!R$4)</f>
        <v>0</v>
      </c>
      <c r="S64" s="1042">
        <f>COUNTIFS('TỔNG KLH + TN'!$B:$B,'01. TH'!$B64,'TỔNG KLH + TN'!$C:$C,'01. TH'!S$4)</f>
        <v>0</v>
      </c>
      <c r="T64" s="1042">
        <f>COUNTIFS('TỔNG KLH + TN'!$B:$B,'01. TH'!$B64,'TỔNG KLH + TN'!$C:$C,'01. TH'!T$4)</f>
        <v>0</v>
      </c>
      <c r="U64" s="1042">
        <f>COUNTIFS('TỔNG KLH + TN'!$B:$B,'01. TH'!$B64,'TỔNG KLH + TN'!$C:$C,'01. TH'!U$4)</f>
        <v>0</v>
      </c>
      <c r="V64" s="1042">
        <f>COUNTIFS('TỔNG KLH + TN'!$B:$B,'01. TH'!$B64,'TỔNG KLH + TN'!$C:$C,'01. TH'!V$4)</f>
        <v>0</v>
      </c>
      <c r="W64" s="1042">
        <f>COUNTIFS('TỔNG KLH + TN'!$B:$B,'01. TH'!$B64,'TỔNG KLH + TN'!$C:$C,'01. TH'!W$4)</f>
        <v>0</v>
      </c>
      <c r="X64" s="1042">
        <f>COUNTIFS('TỔNG KLH + TN'!$B:$B,'01. TH'!$B64,'TỔNG KLH + TN'!$C:$C,'01. TH'!X$4)</f>
        <v>0</v>
      </c>
      <c r="Y64" s="1042">
        <f>COUNTIFS('TỔNG KLH + TN'!$B:$B,'01. TH'!$B64,'TỔNG KLH + TN'!$C:$C,'01. TH'!Y$4)</f>
        <v>0</v>
      </c>
      <c r="Z64" s="1042">
        <f>COUNTIFS('TỔNG KLH + TN'!$B:$B,'01. TH'!$B64,'TỔNG KLH + TN'!$C:$C,'01. TH'!Z$4)</f>
        <v>0</v>
      </c>
      <c r="AA64" s="1042">
        <f>COUNTIFS('TỔNG KLH + TN'!$B:$B,'01. TH'!$B64,'TỔNG KLH + TN'!$C:$C,'01. TH'!AA$4)</f>
        <v>0</v>
      </c>
      <c r="AB64" s="1042">
        <f>COUNTIFS('TỔNG KLH + TN'!$B:$B,'01. TH'!$B64,'TỔNG KLH + TN'!$C:$C,'01. TH'!AB$4)</f>
        <v>0</v>
      </c>
      <c r="AC64" s="1042">
        <f>COUNTIFS('TỔNG KLH + TN'!$B:$B,'01. TH'!$B64,'TỔNG KLH + TN'!$C:$C,'01. TH'!AC$4)</f>
        <v>0</v>
      </c>
      <c r="AD64" s="1042">
        <f>COUNTIFS('TỔNG KLH + TN'!$B:$B,'01. TH'!$B64,'TỔNG KLH + TN'!$C:$C,'01. TH'!AD$4)</f>
        <v>0</v>
      </c>
      <c r="AE64" s="1045">
        <f t="shared" si="14"/>
        <v>0</v>
      </c>
      <c r="AF64" s="1045"/>
      <c r="AG64" s="1033" t="str">
        <f t="shared" si="2"/>
        <v>ok</v>
      </c>
      <c r="AH64" s="1046"/>
    </row>
    <row r="65" ht="18.75" hidden="1" customHeight="1" outlineLevel="1" spans="1:34">
      <c r="A65" s="1044"/>
      <c r="B65" s="1040" t="s">
        <v>126</v>
      </c>
      <c r="C65" s="1041" t="s">
        <v>124</v>
      </c>
      <c r="D65" s="1041" t="str">
        <f>IFERROR(VLOOKUP(#REF!,'Danh mục'!$G:$U,15,0),"")</f>
        <v/>
      </c>
      <c r="E65" s="1041" t="s">
        <v>42</v>
      </c>
      <c r="F65" s="1042">
        <f>COUNTIFS('TỔNG KLH + TN'!$B:$B,'01. TH'!$B65,'TỔNG KLH + TN'!$C:$C,'01. TH'!F$4)</f>
        <v>0</v>
      </c>
      <c r="G65" s="1042">
        <f>COUNTIFS('TỔNG KLH + TN'!$B:$B,'01. TH'!$B65,'TỔNG KLH + TN'!$C:$C,'01. TH'!G$4)</f>
        <v>0</v>
      </c>
      <c r="H65" s="1042">
        <f>COUNTIFS('TỔNG KLH + TN'!$B:$B,'01. TH'!$B65,'TỔNG KLH + TN'!$C:$C,'01. TH'!H$4)</f>
        <v>0</v>
      </c>
      <c r="I65" s="1042">
        <f>COUNTIFS('TỔNG KLH + TN'!$B:$B,'01. TH'!$B65,'TỔNG KLH + TN'!$C:$C,'01. TH'!I$4)</f>
        <v>0</v>
      </c>
      <c r="J65" s="1042">
        <f>COUNTIFS('TỔNG KLH + TN'!$B:$B,'01. TH'!$B65,'TỔNG KLH + TN'!$C:$C,'01. TH'!J$4)</f>
        <v>0</v>
      </c>
      <c r="K65" s="1042">
        <f>COUNTIFS('TỔNG KLH + TN'!$B:$B,'01. TH'!$B65,'TỔNG KLH + TN'!$C:$C,'01. TH'!K$4)</f>
        <v>0</v>
      </c>
      <c r="L65" s="1042">
        <f>COUNTIFS('TỔNG KLH + TN'!$B:$B,'01. TH'!$B65,'TỔNG KLH + TN'!$C:$C,'01. TH'!L$4)</f>
        <v>0</v>
      </c>
      <c r="M65" s="1042">
        <f>COUNTIFS('TỔNG KLH + TN'!$B:$B,'01. TH'!$B65,'TỔNG KLH + TN'!$C:$C,'01. TH'!M$4)</f>
        <v>0</v>
      </c>
      <c r="N65" s="1042">
        <f>COUNTIFS('TỔNG KLH + TN'!$B:$B,'01. TH'!$B65,'TỔNG KLH + TN'!$C:$C,'01. TH'!N$4)</f>
        <v>0</v>
      </c>
      <c r="O65" s="1042">
        <f>COUNTIFS('TỔNG KLH + TN'!$B:$B,'01. TH'!$B65,'TỔNG KLH + TN'!$C:$C,'01. TH'!O$4)</f>
        <v>0</v>
      </c>
      <c r="P65" s="1042">
        <f>COUNTIFS('TỔNG KLH + TN'!$B:$B,'01. TH'!$B65,'TỔNG KLH + TN'!$C:$C,'01. TH'!P$4)</f>
        <v>0</v>
      </c>
      <c r="Q65" s="1042">
        <f>COUNTIFS('TỔNG KLH + TN'!$B:$B,'01. TH'!$B65,'TỔNG KLH + TN'!$C:$C,'01. TH'!Q$4)</f>
        <v>0</v>
      </c>
      <c r="R65" s="1042">
        <f>COUNTIFS('TỔNG KLH + TN'!$B:$B,'01. TH'!$B65,'TỔNG KLH + TN'!$C:$C,'01. TH'!R$4)</f>
        <v>0</v>
      </c>
      <c r="S65" s="1042">
        <f>COUNTIFS('TỔNG KLH + TN'!$B:$B,'01. TH'!$B65,'TỔNG KLH + TN'!$C:$C,'01. TH'!S$4)</f>
        <v>0</v>
      </c>
      <c r="T65" s="1042">
        <f>COUNTIFS('TỔNG KLH + TN'!$B:$B,'01. TH'!$B65,'TỔNG KLH + TN'!$C:$C,'01. TH'!T$4)</f>
        <v>0</v>
      </c>
      <c r="U65" s="1042">
        <f>COUNTIFS('TỔNG KLH + TN'!$B:$B,'01. TH'!$B65,'TỔNG KLH + TN'!$C:$C,'01. TH'!U$4)</f>
        <v>0</v>
      </c>
      <c r="V65" s="1042">
        <f>COUNTIFS('TỔNG KLH + TN'!$B:$B,'01. TH'!$B65,'TỔNG KLH + TN'!$C:$C,'01. TH'!V$4)</f>
        <v>0</v>
      </c>
      <c r="W65" s="1042">
        <f>COUNTIFS('TỔNG KLH + TN'!$B:$B,'01. TH'!$B65,'TỔNG KLH + TN'!$C:$C,'01. TH'!W$4)</f>
        <v>2</v>
      </c>
      <c r="X65" s="1042">
        <f>COUNTIFS('TỔNG KLH + TN'!$B:$B,'01. TH'!$B65,'TỔNG KLH + TN'!$C:$C,'01. TH'!X$4)</f>
        <v>0</v>
      </c>
      <c r="Y65" s="1042">
        <f>COUNTIFS('TỔNG KLH + TN'!$B:$B,'01. TH'!$B65,'TỔNG KLH + TN'!$C:$C,'01. TH'!Y$4)</f>
        <v>0</v>
      </c>
      <c r="Z65" s="1042">
        <f>COUNTIFS('TỔNG KLH + TN'!$B:$B,'01. TH'!$B65,'TỔNG KLH + TN'!$C:$C,'01. TH'!Z$4)</f>
        <v>0</v>
      </c>
      <c r="AA65" s="1042">
        <f>COUNTIFS('TỔNG KLH + TN'!$B:$B,'01. TH'!$B65,'TỔNG KLH + TN'!$C:$C,'01. TH'!AA$4)</f>
        <v>0</v>
      </c>
      <c r="AB65" s="1042">
        <f>COUNTIFS('TỔNG KLH + TN'!$B:$B,'01. TH'!$B65,'TỔNG KLH + TN'!$C:$C,'01. TH'!AB$4)</f>
        <v>0</v>
      </c>
      <c r="AC65" s="1042">
        <f>COUNTIFS('TỔNG KLH + TN'!$B:$B,'01. TH'!$B65,'TỔNG KLH + TN'!$C:$C,'01. TH'!AC$4)</f>
        <v>0</v>
      </c>
      <c r="AD65" s="1042">
        <f>COUNTIFS('TỔNG KLH + TN'!$B:$B,'01. TH'!$B65,'TỔNG KLH + TN'!$C:$C,'01. TH'!AD$4)</f>
        <v>0</v>
      </c>
      <c r="AE65" s="1045">
        <f t="shared" si="14"/>
        <v>2</v>
      </c>
      <c r="AF65" s="1045"/>
      <c r="AG65" s="1033" t="str">
        <f t="shared" si="2"/>
        <v>ok</v>
      </c>
      <c r="AH65" s="1046"/>
    </row>
    <row r="66" ht="18.75" hidden="1" customHeight="1" outlineLevel="1" spans="1:34">
      <c r="A66" s="1044"/>
      <c r="B66" s="1040" t="s">
        <v>127</v>
      </c>
      <c r="C66" s="1041" t="s">
        <v>128</v>
      </c>
      <c r="D66" s="1041" t="str">
        <f>IFERROR(VLOOKUP(#REF!,'Danh mục'!$G:$U,15,0),"")</f>
        <v/>
      </c>
      <c r="E66" s="1041" t="s">
        <v>42</v>
      </c>
      <c r="F66" s="1042">
        <f>COUNTIFS('TỔNG KLH + TN'!$B:$B,'01. TH'!$B66,'TỔNG KLH + TN'!$C:$C,'01. TH'!F$4)</f>
        <v>0</v>
      </c>
      <c r="G66" s="1042">
        <f>COUNTIFS('TỔNG KLH + TN'!$B:$B,'01. TH'!$B66,'TỔNG KLH + TN'!$C:$C,'01. TH'!G$4)</f>
        <v>0</v>
      </c>
      <c r="H66" s="1042">
        <f>COUNTIFS('TỔNG KLH + TN'!$B:$B,'01. TH'!$B66,'TỔNG KLH + TN'!$C:$C,'01. TH'!H$4)</f>
        <v>0</v>
      </c>
      <c r="I66" s="1042">
        <f>COUNTIFS('TỔNG KLH + TN'!$B:$B,'01. TH'!$B66,'TỔNG KLH + TN'!$C:$C,'01. TH'!I$4)</f>
        <v>0</v>
      </c>
      <c r="J66" s="1042">
        <f>COUNTIFS('TỔNG KLH + TN'!$B:$B,'01. TH'!$B66,'TỔNG KLH + TN'!$C:$C,'01. TH'!J$4)</f>
        <v>0</v>
      </c>
      <c r="K66" s="1042">
        <f>COUNTIFS('TỔNG KLH + TN'!$B:$B,'01. TH'!$B66,'TỔNG KLH + TN'!$C:$C,'01. TH'!K$4)</f>
        <v>0</v>
      </c>
      <c r="L66" s="1042">
        <f>COUNTIFS('TỔNG KLH + TN'!$B:$B,'01. TH'!$B66,'TỔNG KLH + TN'!$C:$C,'01. TH'!L$4)</f>
        <v>0</v>
      </c>
      <c r="M66" s="1042">
        <f>COUNTIFS('TỔNG KLH + TN'!$B:$B,'01. TH'!$B66,'TỔNG KLH + TN'!$C:$C,'01. TH'!M$4)</f>
        <v>0</v>
      </c>
      <c r="N66" s="1042">
        <f>COUNTIFS('TỔNG KLH + TN'!$B:$B,'01. TH'!$B66,'TỔNG KLH + TN'!$C:$C,'01. TH'!N$4)</f>
        <v>0</v>
      </c>
      <c r="O66" s="1042">
        <f>COUNTIFS('TỔNG KLH + TN'!$B:$B,'01. TH'!$B66,'TỔNG KLH + TN'!$C:$C,'01. TH'!O$4)</f>
        <v>0</v>
      </c>
      <c r="P66" s="1042">
        <f>COUNTIFS('TỔNG KLH + TN'!$B:$B,'01. TH'!$B66,'TỔNG KLH + TN'!$C:$C,'01. TH'!P$4)</f>
        <v>0</v>
      </c>
      <c r="Q66" s="1042">
        <f>COUNTIFS('TỔNG KLH + TN'!$B:$B,'01. TH'!$B66,'TỔNG KLH + TN'!$C:$C,'01. TH'!Q$4)</f>
        <v>0</v>
      </c>
      <c r="R66" s="1042">
        <f>COUNTIFS('TỔNG KLH + TN'!$B:$B,'01. TH'!$B66,'TỔNG KLH + TN'!$C:$C,'01. TH'!R$4)</f>
        <v>0</v>
      </c>
      <c r="S66" s="1042">
        <f>COUNTIFS('TỔNG KLH + TN'!$B:$B,'01. TH'!$B66,'TỔNG KLH + TN'!$C:$C,'01. TH'!S$4)</f>
        <v>0</v>
      </c>
      <c r="T66" s="1042">
        <f>COUNTIFS('TỔNG KLH + TN'!$B:$B,'01. TH'!$B66,'TỔNG KLH + TN'!$C:$C,'01. TH'!T$4)</f>
        <v>0</v>
      </c>
      <c r="U66" s="1042">
        <f>COUNTIFS('TỔNG KLH + TN'!$B:$B,'01. TH'!$B66,'TỔNG KLH + TN'!$C:$C,'01. TH'!U$4)</f>
        <v>0</v>
      </c>
      <c r="V66" s="1042">
        <f>COUNTIFS('TỔNG KLH + TN'!$B:$B,'01. TH'!$B66,'TỔNG KLH + TN'!$C:$C,'01. TH'!V$4)</f>
        <v>0</v>
      </c>
      <c r="W66" s="1042">
        <f>COUNTIFS('TỔNG KLH + TN'!$B:$B,'01. TH'!$B66,'TỔNG KLH + TN'!$C:$C,'01. TH'!W$4)</f>
        <v>0</v>
      </c>
      <c r="X66" s="1042">
        <f>COUNTIFS('TỔNG KLH + TN'!$B:$B,'01. TH'!$B66,'TỔNG KLH + TN'!$C:$C,'01. TH'!X$4)</f>
        <v>0</v>
      </c>
      <c r="Y66" s="1042">
        <f>COUNTIFS('TỔNG KLH + TN'!$B:$B,'01. TH'!$B66,'TỔNG KLH + TN'!$C:$C,'01. TH'!Y$4)</f>
        <v>0</v>
      </c>
      <c r="Z66" s="1042">
        <f>COUNTIFS('TỔNG KLH + TN'!$B:$B,'01. TH'!$B66,'TỔNG KLH + TN'!$C:$C,'01. TH'!Z$4)</f>
        <v>0</v>
      </c>
      <c r="AA66" s="1042">
        <f>COUNTIFS('TỔNG KLH + TN'!$B:$B,'01. TH'!$B66,'TỔNG KLH + TN'!$C:$C,'01. TH'!AA$4)</f>
        <v>0</v>
      </c>
      <c r="AB66" s="1042">
        <f>COUNTIFS('TỔNG KLH + TN'!$B:$B,'01. TH'!$B66,'TỔNG KLH + TN'!$C:$C,'01. TH'!AB$4)</f>
        <v>0</v>
      </c>
      <c r="AC66" s="1042">
        <f>COUNTIFS('TỔNG KLH + TN'!$B:$B,'01. TH'!$B66,'TỔNG KLH + TN'!$C:$C,'01. TH'!AC$4)</f>
        <v>0</v>
      </c>
      <c r="AD66" s="1042">
        <f>COUNTIFS('TỔNG KLH + TN'!$B:$B,'01. TH'!$B66,'TỔNG KLH + TN'!$C:$C,'01. TH'!AD$4)</f>
        <v>0</v>
      </c>
      <c r="AE66" s="1045">
        <f t="shared" si="14"/>
        <v>0</v>
      </c>
      <c r="AF66" s="1045"/>
      <c r="AG66" s="1033" t="str">
        <f t="shared" si="2"/>
        <v>ok</v>
      </c>
      <c r="AH66" s="1046"/>
    </row>
    <row r="67" ht="24" customHeight="1" collapsed="1" spans="1:34">
      <c r="A67" s="1033">
        <v>8</v>
      </c>
      <c r="B67" s="1034" t="s">
        <v>129</v>
      </c>
      <c r="C67" s="1035"/>
      <c r="D67" s="1035" t="str">
        <f>IFERROR(VLOOKUP(B67,'Danh mục'!$G:$U,15,0),"")</f>
        <v/>
      </c>
      <c r="E67" s="1035"/>
      <c r="F67" s="1047">
        <f t="shared" ref="F67:AE67" si="15">SUM(F68:F76)</f>
        <v>0</v>
      </c>
      <c r="G67" s="1047">
        <f t="shared" si="15"/>
        <v>0</v>
      </c>
      <c r="H67" s="1047">
        <f t="shared" si="15"/>
        <v>0</v>
      </c>
      <c r="I67" s="1047">
        <f t="shared" si="15"/>
        <v>0</v>
      </c>
      <c r="J67" s="1047">
        <f t="shared" si="15"/>
        <v>0</v>
      </c>
      <c r="K67" s="1047">
        <f t="shared" si="15"/>
        <v>0</v>
      </c>
      <c r="L67" s="1047">
        <f t="shared" si="15"/>
        <v>0</v>
      </c>
      <c r="M67" s="1047">
        <f t="shared" si="15"/>
        <v>0</v>
      </c>
      <c r="N67" s="1047">
        <f t="shared" si="15"/>
        <v>0</v>
      </c>
      <c r="O67" s="1047">
        <f t="shared" si="15"/>
        <v>1</v>
      </c>
      <c r="P67" s="1047">
        <f t="shared" si="15"/>
        <v>0</v>
      </c>
      <c r="Q67" s="1047">
        <f t="shared" si="15"/>
        <v>0</v>
      </c>
      <c r="R67" s="1047">
        <f t="shared" si="15"/>
        <v>0</v>
      </c>
      <c r="S67" s="1047">
        <f t="shared" si="15"/>
        <v>1</v>
      </c>
      <c r="T67" s="1047">
        <f t="shared" si="15"/>
        <v>0</v>
      </c>
      <c r="U67" s="1047">
        <f t="shared" si="15"/>
        <v>0</v>
      </c>
      <c r="V67" s="1047">
        <f t="shared" si="15"/>
        <v>0</v>
      </c>
      <c r="W67" s="1047">
        <f t="shared" si="15"/>
        <v>5</v>
      </c>
      <c r="X67" s="1047">
        <f t="shared" si="15"/>
        <v>10</v>
      </c>
      <c r="Y67" s="1047">
        <f t="shared" si="15"/>
        <v>0</v>
      </c>
      <c r="Z67" s="1047">
        <f t="shared" si="15"/>
        <v>0</v>
      </c>
      <c r="AA67" s="1047">
        <f t="shared" si="15"/>
        <v>0</v>
      </c>
      <c r="AB67" s="1047">
        <f t="shared" si="15"/>
        <v>0</v>
      </c>
      <c r="AC67" s="1047">
        <f t="shared" si="15"/>
        <v>0</v>
      </c>
      <c r="AD67" s="1047">
        <f t="shared" si="15"/>
        <v>0</v>
      </c>
      <c r="AE67" s="1048">
        <f t="shared" si="15"/>
        <v>17</v>
      </c>
      <c r="AF67" s="1048">
        <v>0</v>
      </c>
      <c r="AG67" s="1033" t="str">
        <f t="shared" si="2"/>
        <v>ok</v>
      </c>
      <c r="AH67" s="1038"/>
    </row>
    <row r="68" ht="18.75" hidden="1" customHeight="1" outlineLevel="1" spans="1:34">
      <c r="A68" s="1044"/>
      <c r="B68" s="1040" t="s">
        <v>130</v>
      </c>
      <c r="C68" s="1041" t="s">
        <v>105</v>
      </c>
      <c r="D68" s="1041" t="str">
        <f>IFERROR(VLOOKUP(B68,'Danh mục'!$G:$U,15,0),"")</f>
        <v>9290 x 2500 x 3370</v>
      </c>
      <c r="E68" s="1041" t="s">
        <v>42</v>
      </c>
      <c r="F68" s="1042">
        <f>COUNTIFS('TỔNG KLH + TN'!$B:$B,'01. TH'!$B68,'TỔNG KLH + TN'!$C:$C,'01. TH'!F$4)</f>
        <v>0</v>
      </c>
      <c r="G68" s="1042">
        <f>COUNTIFS('TỔNG KLH + TN'!$B:$B,'01. TH'!$B68,'TỔNG KLH + TN'!$C:$C,'01. TH'!G$4)</f>
        <v>0</v>
      </c>
      <c r="H68" s="1042">
        <f>COUNTIFS('TỔNG KLH + TN'!$B:$B,'01. TH'!$B68,'TỔNG KLH + TN'!$C:$C,'01. TH'!H$4)</f>
        <v>0</v>
      </c>
      <c r="I68" s="1042">
        <f>COUNTIFS('TỔNG KLH + TN'!$B:$B,'01. TH'!$B68,'TỔNG KLH + TN'!$C:$C,'01. TH'!I$4)</f>
        <v>0</v>
      </c>
      <c r="J68" s="1042">
        <f>COUNTIFS('TỔNG KLH + TN'!$B:$B,'01. TH'!$B68,'TỔNG KLH + TN'!$C:$C,'01. TH'!J$4)</f>
        <v>0</v>
      </c>
      <c r="K68" s="1042">
        <f>COUNTIFS('TỔNG KLH + TN'!$B:$B,'01. TH'!$B68,'TỔNG KLH + TN'!$C:$C,'01. TH'!K$4)</f>
        <v>0</v>
      </c>
      <c r="L68" s="1042">
        <f>COUNTIFS('TỔNG KLH + TN'!$B:$B,'01. TH'!$B68,'TỔNG KLH + TN'!$C:$C,'01. TH'!L$4)</f>
        <v>0</v>
      </c>
      <c r="M68" s="1042">
        <f>COUNTIFS('TỔNG KLH + TN'!$B:$B,'01. TH'!$B68,'TỔNG KLH + TN'!$C:$C,'01. TH'!M$4)</f>
        <v>0</v>
      </c>
      <c r="N68" s="1042">
        <f>COUNTIFS('TỔNG KLH + TN'!$B:$B,'01. TH'!$B68,'TỔNG KLH + TN'!$C:$C,'01. TH'!N$4)</f>
        <v>0</v>
      </c>
      <c r="O68" s="1042">
        <f>COUNTIFS('TỔNG KLH + TN'!$B:$B,'01. TH'!$B68,'TỔNG KLH + TN'!$C:$C,'01. TH'!O$4)</f>
        <v>0</v>
      </c>
      <c r="P68" s="1042">
        <f>COUNTIFS('TỔNG KLH + TN'!$B:$B,'01. TH'!$B68,'TỔNG KLH + TN'!$C:$C,'01. TH'!P$4)</f>
        <v>0</v>
      </c>
      <c r="Q68" s="1042">
        <f>COUNTIFS('TỔNG KLH + TN'!$B:$B,'01. TH'!$B68,'TỔNG KLH + TN'!$C:$C,'01. TH'!Q$4)</f>
        <v>0</v>
      </c>
      <c r="R68" s="1042">
        <f>COUNTIFS('TỔNG KLH + TN'!$B:$B,'01. TH'!$B68,'TỔNG KLH + TN'!$C:$C,'01. TH'!R$4)</f>
        <v>0</v>
      </c>
      <c r="S68" s="1042">
        <f>COUNTIFS('TỔNG KLH + TN'!$B:$B,'01. TH'!$B68,'TỔNG KLH + TN'!$C:$C,'01. TH'!S$4)</f>
        <v>0</v>
      </c>
      <c r="T68" s="1042">
        <f>COUNTIFS('TỔNG KLH + TN'!$B:$B,'01. TH'!$B68,'TỔNG KLH + TN'!$C:$C,'01. TH'!T$4)</f>
        <v>0</v>
      </c>
      <c r="U68" s="1042">
        <f>COUNTIFS('TỔNG KLH + TN'!$B:$B,'01. TH'!$B68,'TỔNG KLH + TN'!$C:$C,'01. TH'!U$4)</f>
        <v>0</v>
      </c>
      <c r="V68" s="1042">
        <f>COUNTIFS('TỔNG KLH + TN'!$B:$B,'01. TH'!$B68,'TỔNG KLH + TN'!$C:$C,'01. TH'!V$4)</f>
        <v>0</v>
      </c>
      <c r="W68" s="1042">
        <f>COUNTIFS('TỔNG KLH + TN'!$B:$B,'01. TH'!$B68,'TỔNG KLH + TN'!$C:$C,'01. TH'!W$4)</f>
        <v>0</v>
      </c>
      <c r="X68" s="1042">
        <f>COUNTIFS('TỔNG KLH + TN'!$B:$B,'01. TH'!$B68,'TỔNG KLH + TN'!$C:$C,'01. TH'!X$4)</f>
        <v>0</v>
      </c>
      <c r="Y68" s="1042">
        <f>COUNTIFS('TỔNG KLH + TN'!$B:$B,'01. TH'!$B68,'TỔNG KLH + TN'!$C:$C,'01. TH'!Y$4)</f>
        <v>0</v>
      </c>
      <c r="Z68" s="1042">
        <f>COUNTIFS('TỔNG KLH + TN'!$B:$B,'01. TH'!$B68,'TỔNG KLH + TN'!$C:$C,'01. TH'!Z$4)</f>
        <v>0</v>
      </c>
      <c r="AA68" s="1042">
        <f>COUNTIFS('TỔNG KLH + TN'!$B:$B,'01. TH'!$B68,'TỔNG KLH + TN'!$C:$C,'01. TH'!AA$4)</f>
        <v>0</v>
      </c>
      <c r="AB68" s="1042">
        <f>COUNTIFS('TỔNG KLH + TN'!$B:$B,'01. TH'!$B68,'TỔNG KLH + TN'!$C:$C,'01. TH'!AB$4)</f>
        <v>0</v>
      </c>
      <c r="AC68" s="1042">
        <f>COUNTIFS('TỔNG KLH + TN'!$B:$B,'01. TH'!$B68,'TỔNG KLH + TN'!$C:$C,'01. TH'!AC$4)</f>
        <v>0</v>
      </c>
      <c r="AD68" s="1042">
        <f>COUNTIFS('TỔNG KLH + TN'!$B:$B,'01. TH'!$B68,'TỔNG KLH + TN'!$C:$C,'01. TH'!AD$4)</f>
        <v>0</v>
      </c>
      <c r="AE68" s="1045">
        <f t="shared" ref="AE68:AE76" si="16">SUM(F68:AD68)</f>
        <v>0</v>
      </c>
      <c r="AF68" s="1045"/>
      <c r="AG68" s="1033" t="str">
        <f t="shared" si="2"/>
        <v>ok</v>
      </c>
      <c r="AH68" s="1046"/>
    </row>
    <row r="69" ht="18.75" hidden="1" customHeight="1" outlineLevel="1" spans="1:34">
      <c r="A69" s="1039"/>
      <c r="B69" s="1040" t="s">
        <v>110</v>
      </c>
      <c r="C69" s="1041" t="s">
        <v>85</v>
      </c>
      <c r="D69" s="1041" t="str">
        <f>IFERROR(VLOOKUP(B69,'Danh mục'!$G:$U,15,0),"")</f>
        <v>6170 x 2330 x 2750</v>
      </c>
      <c r="E69" s="1041" t="s">
        <v>42</v>
      </c>
      <c r="F69" s="1042">
        <f>COUNTIFS('TỔNG KLH + TN'!$B:$B,'01. TH'!$B69,'TỔNG KLH + TN'!$C:$C,'01. TH'!F$4)</f>
        <v>0</v>
      </c>
      <c r="G69" s="1042">
        <f>COUNTIFS('TỔNG KLH + TN'!$B:$B,'01. TH'!$B69,'TỔNG KLH + TN'!$C:$C,'01. TH'!G$4)</f>
        <v>0</v>
      </c>
      <c r="H69" s="1042">
        <f>COUNTIFS('TỔNG KLH + TN'!$B:$B,'01. TH'!$B69,'TỔNG KLH + TN'!$C:$C,'01. TH'!H$4)</f>
        <v>0</v>
      </c>
      <c r="I69" s="1042">
        <f>COUNTIFS('TỔNG KLH + TN'!$B:$B,'01. TH'!$B69,'TỔNG KLH + TN'!$C:$C,'01. TH'!I$4)</f>
        <v>0</v>
      </c>
      <c r="J69" s="1042">
        <f>COUNTIFS('TỔNG KLH + TN'!$B:$B,'01. TH'!$B69,'TỔNG KLH + TN'!$C:$C,'01. TH'!J$4)</f>
        <v>0</v>
      </c>
      <c r="K69" s="1042">
        <f>COUNTIFS('TỔNG KLH + TN'!$B:$B,'01. TH'!$B69,'TỔNG KLH + TN'!$C:$C,'01. TH'!K$4)</f>
        <v>0</v>
      </c>
      <c r="L69" s="1042">
        <f>COUNTIFS('TỔNG KLH + TN'!$B:$B,'01. TH'!$B69,'TỔNG KLH + TN'!$C:$C,'01. TH'!L$4)</f>
        <v>0</v>
      </c>
      <c r="M69" s="1042">
        <f>COUNTIFS('TỔNG KLH + TN'!$B:$B,'01. TH'!$B69,'TỔNG KLH + TN'!$C:$C,'01. TH'!M$4)</f>
        <v>0</v>
      </c>
      <c r="N69" s="1042">
        <f>COUNTIFS('TỔNG KLH + TN'!$B:$B,'01. TH'!$B69,'TỔNG KLH + TN'!$C:$C,'01. TH'!N$4)</f>
        <v>0</v>
      </c>
      <c r="O69" s="1042">
        <f>COUNTIFS('TỔNG KLH + TN'!$B:$B,'01. TH'!$B69,'TỔNG KLH + TN'!$C:$C,'01. TH'!O$4)</f>
        <v>1</v>
      </c>
      <c r="P69" s="1042">
        <f>COUNTIFS('TỔNG KLH + TN'!$B:$B,'01. TH'!$B69,'TỔNG KLH + TN'!$C:$C,'01. TH'!P$4)</f>
        <v>0</v>
      </c>
      <c r="Q69" s="1042">
        <f>COUNTIFS('TỔNG KLH + TN'!$B:$B,'01. TH'!$B69,'TỔNG KLH + TN'!$C:$C,'01. TH'!Q$4)</f>
        <v>0</v>
      </c>
      <c r="R69" s="1042">
        <f>COUNTIFS('TỔNG KLH + TN'!$B:$B,'01. TH'!$B69,'TỔNG KLH + TN'!$C:$C,'01. TH'!R$4)</f>
        <v>0</v>
      </c>
      <c r="S69" s="1042">
        <f>COUNTIFS('TỔNG KLH + TN'!$B:$B,'01. TH'!$B69,'TỔNG KLH + TN'!$C:$C,'01. TH'!S$4)</f>
        <v>0</v>
      </c>
      <c r="T69" s="1042">
        <f>COUNTIFS('TỔNG KLH + TN'!$B:$B,'01. TH'!$B69,'TỔNG KLH + TN'!$C:$C,'01. TH'!T$4)</f>
        <v>0</v>
      </c>
      <c r="U69" s="1042">
        <f>COUNTIFS('TỔNG KLH + TN'!$B:$B,'01. TH'!$B69,'TỔNG KLH + TN'!$C:$C,'01. TH'!U$4)</f>
        <v>0</v>
      </c>
      <c r="V69" s="1042">
        <f>COUNTIFS('TỔNG KLH + TN'!$B:$B,'01. TH'!$B69,'TỔNG KLH + TN'!$C:$C,'01. TH'!V$4)</f>
        <v>0</v>
      </c>
      <c r="W69" s="1042">
        <f>COUNTIFS('TỔNG KLH + TN'!$B:$B,'01. TH'!$B69,'TỔNG KLH + TN'!$C:$C,'01. TH'!W$4)</f>
        <v>0</v>
      </c>
      <c r="X69" s="1042">
        <f>COUNTIFS('TỔNG KLH + TN'!$B:$B,'01. TH'!$B69,'TỔNG KLH + TN'!$C:$C,'01. TH'!X$4)</f>
        <v>0</v>
      </c>
      <c r="Y69" s="1042">
        <f>COUNTIFS('TỔNG KLH + TN'!$B:$B,'01. TH'!$B69,'TỔNG KLH + TN'!$C:$C,'01. TH'!Y$4)</f>
        <v>0</v>
      </c>
      <c r="Z69" s="1042">
        <f>COUNTIFS('TỔNG KLH + TN'!$B:$B,'01. TH'!$B69,'TỔNG KLH + TN'!$C:$C,'01. TH'!Z$4)</f>
        <v>0</v>
      </c>
      <c r="AA69" s="1042">
        <f>COUNTIFS('TỔNG KLH + TN'!$B:$B,'01. TH'!$B69,'TỔNG KLH + TN'!$C:$C,'01. TH'!AA$4)</f>
        <v>0</v>
      </c>
      <c r="AB69" s="1042">
        <f>COUNTIFS('TỔNG KLH + TN'!$B:$B,'01. TH'!$B69,'TỔNG KLH + TN'!$C:$C,'01. TH'!AB$4)</f>
        <v>0</v>
      </c>
      <c r="AC69" s="1042">
        <f>COUNTIFS('TỔNG KLH + TN'!$B:$B,'01. TH'!$B69,'TỔNG KLH + TN'!$C:$C,'01. TH'!AC$4)</f>
        <v>0</v>
      </c>
      <c r="AD69" s="1042">
        <f>COUNTIFS('TỔNG KLH + TN'!$B:$B,'01. TH'!$B69,'TỔNG KLH + TN'!$C:$C,'01. TH'!AD$4)</f>
        <v>0</v>
      </c>
      <c r="AE69" s="1043">
        <f t="shared" si="16"/>
        <v>1</v>
      </c>
      <c r="AF69" s="1043"/>
      <c r="AG69" s="1033" t="str">
        <f t="shared" si="2"/>
        <v>ok</v>
      </c>
      <c r="AH69" s="1041"/>
    </row>
    <row r="70" ht="18.75" hidden="1" customHeight="1" outlineLevel="1" spans="1:34">
      <c r="A70" s="1039"/>
      <c r="B70" s="1040" t="s">
        <v>131</v>
      </c>
      <c r="C70" s="1041" t="s">
        <v>132</v>
      </c>
      <c r="D70" s="1041" t="str">
        <f>IFERROR(VLOOKUP(B70,'Danh mục'!$G:$U,15,0),"")</f>
        <v>9290 x 2500 x 3370</v>
      </c>
      <c r="E70" s="1041" t="s">
        <v>42</v>
      </c>
      <c r="F70" s="1042">
        <f>COUNTIFS('TỔNG KLH + TN'!$B:$B,'01. TH'!$B70,'TỔNG KLH + TN'!$C:$C,'01. TH'!F$4)</f>
        <v>0</v>
      </c>
      <c r="G70" s="1042">
        <f>COUNTIFS('TỔNG KLH + TN'!$B:$B,'01. TH'!$B70,'TỔNG KLH + TN'!$C:$C,'01. TH'!G$4)</f>
        <v>0</v>
      </c>
      <c r="H70" s="1042">
        <f>COUNTIFS('TỔNG KLH + TN'!$B:$B,'01. TH'!$B70,'TỔNG KLH + TN'!$C:$C,'01. TH'!H$4)</f>
        <v>0</v>
      </c>
      <c r="I70" s="1042">
        <f>COUNTIFS('TỔNG KLH + TN'!$B:$B,'01. TH'!$B70,'TỔNG KLH + TN'!$C:$C,'01. TH'!I$4)</f>
        <v>0</v>
      </c>
      <c r="J70" s="1042">
        <f>COUNTIFS('TỔNG KLH + TN'!$B:$B,'01. TH'!$B70,'TỔNG KLH + TN'!$C:$C,'01. TH'!J$4)</f>
        <v>0</v>
      </c>
      <c r="K70" s="1042">
        <f>COUNTIFS('TỔNG KLH + TN'!$B:$B,'01. TH'!$B70,'TỔNG KLH + TN'!$C:$C,'01. TH'!K$4)</f>
        <v>0</v>
      </c>
      <c r="L70" s="1042">
        <f>COUNTIFS('TỔNG KLH + TN'!$B:$B,'01. TH'!$B70,'TỔNG KLH + TN'!$C:$C,'01. TH'!L$4)</f>
        <v>0</v>
      </c>
      <c r="M70" s="1042">
        <f>COUNTIFS('TỔNG KLH + TN'!$B:$B,'01. TH'!$B70,'TỔNG KLH + TN'!$C:$C,'01. TH'!M$4)</f>
        <v>0</v>
      </c>
      <c r="N70" s="1042">
        <f>COUNTIFS('TỔNG KLH + TN'!$B:$B,'01. TH'!$B70,'TỔNG KLH + TN'!$C:$C,'01. TH'!N$4)</f>
        <v>0</v>
      </c>
      <c r="O70" s="1042">
        <f>COUNTIFS('TỔNG KLH + TN'!$B:$B,'01. TH'!$B70,'TỔNG KLH + TN'!$C:$C,'01. TH'!O$4)</f>
        <v>0</v>
      </c>
      <c r="P70" s="1042">
        <f>COUNTIFS('TỔNG KLH + TN'!$B:$B,'01. TH'!$B70,'TỔNG KLH + TN'!$C:$C,'01. TH'!P$4)</f>
        <v>0</v>
      </c>
      <c r="Q70" s="1042">
        <f>COUNTIFS('TỔNG KLH + TN'!$B:$B,'01. TH'!$B70,'TỔNG KLH + TN'!$C:$C,'01. TH'!Q$4)</f>
        <v>0</v>
      </c>
      <c r="R70" s="1042">
        <f>COUNTIFS('TỔNG KLH + TN'!$B:$B,'01. TH'!$B70,'TỔNG KLH + TN'!$C:$C,'01. TH'!R$4)</f>
        <v>0</v>
      </c>
      <c r="S70" s="1042">
        <f>COUNTIFS('TỔNG KLH + TN'!$B:$B,'01. TH'!$B70,'TỔNG KLH + TN'!$C:$C,'01. TH'!S$4)</f>
        <v>0</v>
      </c>
      <c r="T70" s="1042">
        <f>COUNTIFS('TỔNG KLH + TN'!$B:$B,'01. TH'!$B70,'TỔNG KLH + TN'!$C:$C,'01. TH'!T$4)</f>
        <v>0</v>
      </c>
      <c r="U70" s="1042">
        <f>COUNTIFS('TỔNG KLH + TN'!$B:$B,'01. TH'!$B70,'TỔNG KLH + TN'!$C:$C,'01. TH'!U$4)</f>
        <v>0</v>
      </c>
      <c r="V70" s="1042">
        <f>COUNTIFS('TỔNG KLH + TN'!$B:$B,'01. TH'!$B70,'TỔNG KLH + TN'!$C:$C,'01. TH'!V$4)</f>
        <v>0</v>
      </c>
      <c r="W70" s="1042">
        <f>COUNTIFS('TỔNG KLH + TN'!$B:$B,'01. TH'!$B70,'TỔNG KLH + TN'!$C:$C,'01. TH'!W$4)</f>
        <v>0</v>
      </c>
      <c r="X70" s="1042">
        <f>COUNTIFS('TỔNG KLH + TN'!$B:$B,'01. TH'!$B70,'TỔNG KLH + TN'!$C:$C,'01. TH'!X$4)</f>
        <v>0</v>
      </c>
      <c r="Y70" s="1042">
        <f>COUNTIFS('TỔNG KLH + TN'!$B:$B,'01. TH'!$B70,'TỔNG KLH + TN'!$C:$C,'01. TH'!Y$4)</f>
        <v>0</v>
      </c>
      <c r="Z70" s="1042">
        <f>COUNTIFS('TỔNG KLH + TN'!$B:$B,'01. TH'!$B70,'TỔNG KLH + TN'!$C:$C,'01. TH'!Z$4)</f>
        <v>0</v>
      </c>
      <c r="AA70" s="1042">
        <f>COUNTIFS('TỔNG KLH + TN'!$B:$B,'01. TH'!$B70,'TỔNG KLH + TN'!$C:$C,'01. TH'!AA$4)</f>
        <v>0</v>
      </c>
      <c r="AB70" s="1042">
        <f>COUNTIFS('TỔNG KLH + TN'!$B:$B,'01. TH'!$B70,'TỔNG KLH + TN'!$C:$C,'01. TH'!AB$4)</f>
        <v>0</v>
      </c>
      <c r="AC70" s="1042">
        <f>COUNTIFS('TỔNG KLH + TN'!$B:$B,'01. TH'!$B70,'TỔNG KLH + TN'!$C:$C,'01. TH'!AC$4)</f>
        <v>0</v>
      </c>
      <c r="AD70" s="1042">
        <f>COUNTIFS('TỔNG KLH + TN'!$B:$B,'01. TH'!$B70,'TỔNG KLH + TN'!$C:$C,'01. TH'!AD$4)</f>
        <v>0</v>
      </c>
      <c r="AE70" s="1043">
        <f t="shared" si="16"/>
        <v>0</v>
      </c>
      <c r="AF70" s="1043"/>
      <c r="AG70" s="1033" t="str">
        <f t="shared" si="2"/>
        <v>ok</v>
      </c>
      <c r="AH70" s="1039"/>
    </row>
    <row r="71" ht="18.75" hidden="1" customHeight="1" outlineLevel="1" spans="1:34">
      <c r="A71" s="1044"/>
      <c r="B71" s="1040" t="s">
        <v>133</v>
      </c>
      <c r="C71" s="1041" t="s">
        <v>134</v>
      </c>
      <c r="D71" s="1041" t="str">
        <f>IFERROR(VLOOKUP(B71,'Danh mục'!$G:$U,15,0),"")</f>
        <v>9290 x 2500 x 3370</v>
      </c>
      <c r="E71" s="1041" t="s">
        <v>42</v>
      </c>
      <c r="F71" s="1042">
        <f>COUNTIFS('TỔNG KLH + TN'!$B:$B,'01. TH'!$B71,'TỔNG KLH + TN'!$C:$C,'01. TH'!F$4)</f>
        <v>0</v>
      </c>
      <c r="G71" s="1042">
        <f>COUNTIFS('TỔNG KLH + TN'!$B:$B,'01. TH'!$B71,'TỔNG KLH + TN'!$C:$C,'01. TH'!G$4)</f>
        <v>0</v>
      </c>
      <c r="H71" s="1042">
        <f>COUNTIFS('TỔNG KLH + TN'!$B:$B,'01. TH'!$B71,'TỔNG KLH + TN'!$C:$C,'01. TH'!H$4)</f>
        <v>0</v>
      </c>
      <c r="I71" s="1042">
        <f>COUNTIFS('TỔNG KLH + TN'!$B:$B,'01. TH'!$B71,'TỔNG KLH + TN'!$C:$C,'01. TH'!I$4)</f>
        <v>0</v>
      </c>
      <c r="J71" s="1042">
        <f>COUNTIFS('TỔNG KLH + TN'!$B:$B,'01. TH'!$B71,'TỔNG KLH + TN'!$C:$C,'01. TH'!J$4)</f>
        <v>0</v>
      </c>
      <c r="K71" s="1042">
        <f>COUNTIFS('TỔNG KLH + TN'!$B:$B,'01. TH'!$B71,'TỔNG KLH + TN'!$C:$C,'01. TH'!K$4)</f>
        <v>0</v>
      </c>
      <c r="L71" s="1042">
        <f>COUNTIFS('TỔNG KLH + TN'!$B:$B,'01. TH'!$B71,'TỔNG KLH + TN'!$C:$C,'01. TH'!L$4)</f>
        <v>0</v>
      </c>
      <c r="M71" s="1042">
        <f>COUNTIFS('TỔNG KLH + TN'!$B:$B,'01. TH'!$B71,'TỔNG KLH + TN'!$C:$C,'01. TH'!M$4)</f>
        <v>0</v>
      </c>
      <c r="N71" s="1042">
        <f>COUNTIFS('TỔNG KLH + TN'!$B:$B,'01. TH'!$B71,'TỔNG KLH + TN'!$C:$C,'01. TH'!N$4)</f>
        <v>0</v>
      </c>
      <c r="O71" s="1042">
        <f>COUNTIFS('TỔNG KLH + TN'!$B:$B,'01. TH'!$B71,'TỔNG KLH + TN'!$C:$C,'01. TH'!O$4)</f>
        <v>0</v>
      </c>
      <c r="P71" s="1042">
        <f>COUNTIFS('TỔNG KLH + TN'!$B:$B,'01. TH'!$B71,'TỔNG KLH + TN'!$C:$C,'01. TH'!P$4)</f>
        <v>0</v>
      </c>
      <c r="Q71" s="1042">
        <f>COUNTIFS('TỔNG KLH + TN'!$B:$B,'01. TH'!$B71,'TỔNG KLH + TN'!$C:$C,'01. TH'!Q$4)</f>
        <v>0</v>
      </c>
      <c r="R71" s="1042">
        <f>COUNTIFS('TỔNG KLH + TN'!$B:$B,'01. TH'!$B71,'TỔNG KLH + TN'!$C:$C,'01. TH'!R$4)</f>
        <v>0</v>
      </c>
      <c r="S71" s="1042">
        <f>COUNTIFS('TỔNG KLH + TN'!$B:$B,'01. TH'!$B71,'TỔNG KLH + TN'!$C:$C,'01. TH'!S$4)</f>
        <v>1</v>
      </c>
      <c r="T71" s="1042">
        <f>COUNTIFS('TỔNG KLH + TN'!$B:$B,'01. TH'!$B71,'TỔNG KLH + TN'!$C:$C,'01. TH'!T$4)</f>
        <v>0</v>
      </c>
      <c r="U71" s="1042">
        <f>COUNTIFS('TỔNG KLH + TN'!$B:$B,'01. TH'!$B71,'TỔNG KLH + TN'!$C:$C,'01. TH'!U$4)</f>
        <v>0</v>
      </c>
      <c r="V71" s="1042">
        <f>COUNTIFS('TỔNG KLH + TN'!$B:$B,'01. TH'!$B71,'TỔNG KLH + TN'!$C:$C,'01. TH'!V$4)</f>
        <v>0</v>
      </c>
      <c r="W71" s="1042">
        <f>COUNTIFS('TỔNG KLH + TN'!$B:$B,'01. TH'!$B71,'TỔNG KLH + TN'!$C:$C,'01. TH'!W$4)</f>
        <v>0</v>
      </c>
      <c r="X71" s="1042">
        <f>COUNTIFS('TỔNG KLH + TN'!$B:$B,'01. TH'!$B71,'TỔNG KLH + TN'!$C:$C,'01. TH'!X$4)</f>
        <v>0</v>
      </c>
      <c r="Y71" s="1042">
        <f>COUNTIFS('TỔNG KLH + TN'!$B:$B,'01. TH'!$B71,'TỔNG KLH + TN'!$C:$C,'01. TH'!Y$4)</f>
        <v>0</v>
      </c>
      <c r="Z71" s="1042">
        <f>COUNTIFS('TỔNG KLH + TN'!$B:$B,'01. TH'!$B71,'TỔNG KLH + TN'!$C:$C,'01. TH'!Z$4)</f>
        <v>0</v>
      </c>
      <c r="AA71" s="1042">
        <f>COUNTIFS('TỔNG KLH + TN'!$B:$B,'01. TH'!$B71,'TỔNG KLH + TN'!$C:$C,'01. TH'!AA$4)</f>
        <v>0</v>
      </c>
      <c r="AB71" s="1042">
        <f>COUNTIFS('TỔNG KLH + TN'!$B:$B,'01. TH'!$B71,'TỔNG KLH + TN'!$C:$C,'01. TH'!AB$4)</f>
        <v>0</v>
      </c>
      <c r="AC71" s="1042">
        <f>COUNTIFS('TỔNG KLH + TN'!$B:$B,'01. TH'!$B71,'TỔNG KLH + TN'!$C:$C,'01. TH'!AC$4)</f>
        <v>0</v>
      </c>
      <c r="AD71" s="1042">
        <f>COUNTIFS('TỔNG KLH + TN'!$B:$B,'01. TH'!$B71,'TỔNG KLH + TN'!$C:$C,'01. TH'!AD$4)</f>
        <v>0</v>
      </c>
      <c r="AE71" s="1045">
        <f t="shared" si="16"/>
        <v>1</v>
      </c>
      <c r="AF71" s="1045"/>
      <c r="AG71" s="1033" t="str">
        <f t="shared" si="2"/>
        <v>ok</v>
      </c>
      <c r="AH71" s="1046"/>
    </row>
    <row r="72" ht="18.75" hidden="1" customHeight="1" outlineLevel="1" spans="1:34">
      <c r="A72" s="1044"/>
      <c r="B72" s="1040" t="s">
        <v>135</v>
      </c>
      <c r="C72" s="1041" t="s">
        <v>105</v>
      </c>
      <c r="D72" s="1041" t="str">
        <f>IFERROR(VLOOKUP(B72,'Danh mục'!$G:$U,15,0),"")</f>
        <v>9290 x 2500 x 3370</v>
      </c>
      <c r="E72" s="1041" t="s">
        <v>42</v>
      </c>
      <c r="F72" s="1042">
        <f>COUNTIFS('TỔNG KLH + TN'!$B:$B,'01. TH'!$B72,'TỔNG KLH + TN'!$C:$C,'01. TH'!F$4)</f>
        <v>0</v>
      </c>
      <c r="G72" s="1042">
        <f>COUNTIFS('TỔNG KLH + TN'!$B:$B,'01. TH'!$B72,'TỔNG KLH + TN'!$C:$C,'01. TH'!G$4)</f>
        <v>0</v>
      </c>
      <c r="H72" s="1042">
        <f>COUNTIFS('TỔNG KLH + TN'!$B:$B,'01. TH'!$B72,'TỔNG KLH + TN'!$C:$C,'01. TH'!H$4)</f>
        <v>0</v>
      </c>
      <c r="I72" s="1042">
        <f>COUNTIFS('TỔNG KLH + TN'!$B:$B,'01. TH'!$B72,'TỔNG KLH + TN'!$C:$C,'01. TH'!I$4)</f>
        <v>0</v>
      </c>
      <c r="J72" s="1042">
        <f>COUNTIFS('TỔNG KLH + TN'!$B:$B,'01. TH'!$B72,'TỔNG KLH + TN'!$C:$C,'01. TH'!J$4)</f>
        <v>0</v>
      </c>
      <c r="K72" s="1042">
        <f>COUNTIFS('TỔNG KLH + TN'!$B:$B,'01. TH'!$B72,'TỔNG KLH + TN'!$C:$C,'01. TH'!K$4)</f>
        <v>0</v>
      </c>
      <c r="L72" s="1042">
        <f>COUNTIFS('TỔNG KLH + TN'!$B:$B,'01. TH'!$B72,'TỔNG KLH + TN'!$C:$C,'01. TH'!L$4)</f>
        <v>0</v>
      </c>
      <c r="M72" s="1042">
        <f>COUNTIFS('TỔNG KLH + TN'!$B:$B,'01. TH'!$B72,'TỔNG KLH + TN'!$C:$C,'01. TH'!M$4)</f>
        <v>0</v>
      </c>
      <c r="N72" s="1042">
        <f>COUNTIFS('TỔNG KLH + TN'!$B:$B,'01. TH'!$B72,'TỔNG KLH + TN'!$C:$C,'01. TH'!N$4)</f>
        <v>0</v>
      </c>
      <c r="O72" s="1042">
        <f>COUNTIFS('TỔNG KLH + TN'!$B:$B,'01. TH'!$B72,'TỔNG KLH + TN'!$C:$C,'01. TH'!O$4)</f>
        <v>0</v>
      </c>
      <c r="P72" s="1042">
        <f>COUNTIFS('TỔNG KLH + TN'!$B:$B,'01. TH'!$B72,'TỔNG KLH + TN'!$C:$C,'01. TH'!P$4)</f>
        <v>0</v>
      </c>
      <c r="Q72" s="1042">
        <f>COUNTIFS('TỔNG KLH + TN'!$B:$B,'01. TH'!$B72,'TỔNG KLH + TN'!$C:$C,'01. TH'!Q$4)</f>
        <v>0</v>
      </c>
      <c r="R72" s="1042">
        <f>COUNTIFS('TỔNG KLH + TN'!$B:$B,'01. TH'!$B72,'TỔNG KLH + TN'!$C:$C,'01. TH'!R$4)</f>
        <v>0</v>
      </c>
      <c r="S72" s="1042">
        <f>COUNTIFS('TỔNG KLH + TN'!$B:$B,'01. TH'!$B72,'TỔNG KLH + TN'!$C:$C,'01. TH'!S$4)</f>
        <v>0</v>
      </c>
      <c r="T72" s="1042">
        <f>COUNTIFS('TỔNG KLH + TN'!$B:$B,'01. TH'!$B72,'TỔNG KLH + TN'!$C:$C,'01. TH'!T$4)</f>
        <v>0</v>
      </c>
      <c r="U72" s="1042">
        <f>COUNTIFS('TỔNG KLH + TN'!$B:$B,'01. TH'!$B72,'TỔNG KLH + TN'!$C:$C,'01. TH'!U$4)</f>
        <v>0</v>
      </c>
      <c r="V72" s="1042">
        <f>COUNTIFS('TỔNG KLH + TN'!$B:$B,'01. TH'!$B72,'TỔNG KLH + TN'!$C:$C,'01. TH'!V$4)</f>
        <v>0</v>
      </c>
      <c r="W72" s="1042">
        <f>COUNTIFS('TỔNG KLH + TN'!$B:$B,'01. TH'!$B72,'TỔNG KLH + TN'!$C:$C,'01. TH'!W$4)</f>
        <v>4</v>
      </c>
      <c r="X72" s="1042">
        <f>COUNTIFS('TỔNG KLH + TN'!$B:$B,'01. TH'!$B72,'TỔNG KLH + TN'!$C:$C,'01. TH'!X$4)</f>
        <v>0</v>
      </c>
      <c r="Y72" s="1042">
        <f>COUNTIFS('TỔNG KLH + TN'!$B:$B,'01. TH'!$B72,'TỔNG KLH + TN'!$C:$C,'01. TH'!Y$4)</f>
        <v>0</v>
      </c>
      <c r="Z72" s="1042">
        <f>COUNTIFS('TỔNG KLH + TN'!$B:$B,'01. TH'!$B72,'TỔNG KLH + TN'!$C:$C,'01. TH'!Z$4)</f>
        <v>0</v>
      </c>
      <c r="AA72" s="1042">
        <f>COUNTIFS('TỔNG KLH + TN'!$B:$B,'01. TH'!$B72,'TỔNG KLH + TN'!$C:$C,'01. TH'!AA$4)</f>
        <v>0</v>
      </c>
      <c r="AB72" s="1042">
        <f>COUNTIFS('TỔNG KLH + TN'!$B:$B,'01. TH'!$B72,'TỔNG KLH + TN'!$C:$C,'01. TH'!AB$4)</f>
        <v>0</v>
      </c>
      <c r="AC72" s="1042">
        <f>COUNTIFS('TỔNG KLH + TN'!$B:$B,'01. TH'!$B72,'TỔNG KLH + TN'!$C:$C,'01. TH'!AC$4)</f>
        <v>0</v>
      </c>
      <c r="AD72" s="1042">
        <f>COUNTIFS('TỔNG KLH + TN'!$B:$B,'01. TH'!$B72,'TỔNG KLH + TN'!$C:$C,'01. TH'!AD$4)</f>
        <v>0</v>
      </c>
      <c r="AE72" s="1045">
        <f t="shared" si="16"/>
        <v>4</v>
      </c>
      <c r="AF72" s="1045"/>
      <c r="AG72" s="1033" t="str">
        <f t="shared" si="2"/>
        <v>ok</v>
      </c>
      <c r="AH72" s="1046"/>
    </row>
    <row r="73" ht="18.75" hidden="1" customHeight="1" outlineLevel="1" spans="1:34">
      <c r="A73" s="1044"/>
      <c r="B73" s="1040" t="s">
        <v>136</v>
      </c>
      <c r="C73" s="1041" t="s">
        <v>137</v>
      </c>
      <c r="D73" s="1041" t="str">
        <f>IFERROR(VLOOKUP(B73,'Danh mục'!$G:$U,15,0),"")</f>
        <v>9270 x 2500 x 3860</v>
      </c>
      <c r="E73" s="1041" t="s">
        <v>42</v>
      </c>
      <c r="F73" s="1042">
        <f>COUNTIFS('TỔNG KLH + TN'!$B:$B,'01. TH'!$B73,'TỔNG KLH + TN'!$C:$C,'01. TH'!F$4)</f>
        <v>0</v>
      </c>
      <c r="G73" s="1042">
        <f>COUNTIFS('TỔNG KLH + TN'!$B:$B,'01. TH'!$B73,'TỔNG KLH + TN'!$C:$C,'01. TH'!G$4)</f>
        <v>0</v>
      </c>
      <c r="H73" s="1042">
        <f>COUNTIFS('TỔNG KLH + TN'!$B:$B,'01. TH'!$B73,'TỔNG KLH + TN'!$C:$C,'01. TH'!H$4)</f>
        <v>0</v>
      </c>
      <c r="I73" s="1042">
        <f>COUNTIFS('TỔNG KLH + TN'!$B:$B,'01. TH'!$B73,'TỔNG KLH + TN'!$C:$C,'01. TH'!I$4)</f>
        <v>0</v>
      </c>
      <c r="J73" s="1042">
        <f>COUNTIFS('TỔNG KLH + TN'!$B:$B,'01. TH'!$B73,'TỔNG KLH + TN'!$C:$C,'01. TH'!J$4)</f>
        <v>0</v>
      </c>
      <c r="K73" s="1042">
        <f>COUNTIFS('TỔNG KLH + TN'!$B:$B,'01. TH'!$B73,'TỔNG KLH + TN'!$C:$C,'01. TH'!K$4)</f>
        <v>0</v>
      </c>
      <c r="L73" s="1042">
        <f>COUNTIFS('TỔNG KLH + TN'!$B:$B,'01. TH'!$B73,'TỔNG KLH + TN'!$C:$C,'01. TH'!L$4)</f>
        <v>0</v>
      </c>
      <c r="M73" s="1042">
        <f>COUNTIFS('TỔNG KLH + TN'!$B:$B,'01. TH'!$B73,'TỔNG KLH + TN'!$C:$C,'01. TH'!M$4)</f>
        <v>0</v>
      </c>
      <c r="N73" s="1042">
        <f>COUNTIFS('TỔNG KLH + TN'!$B:$B,'01. TH'!$B73,'TỔNG KLH + TN'!$C:$C,'01. TH'!N$4)</f>
        <v>0</v>
      </c>
      <c r="O73" s="1042">
        <f>COUNTIFS('TỔNG KLH + TN'!$B:$B,'01. TH'!$B73,'TỔNG KLH + TN'!$C:$C,'01. TH'!O$4)</f>
        <v>0</v>
      </c>
      <c r="P73" s="1042">
        <f>COUNTIFS('TỔNG KLH + TN'!$B:$B,'01. TH'!$B73,'TỔNG KLH + TN'!$C:$C,'01. TH'!P$4)</f>
        <v>0</v>
      </c>
      <c r="Q73" s="1042">
        <f>COUNTIFS('TỔNG KLH + TN'!$B:$B,'01. TH'!$B73,'TỔNG KLH + TN'!$C:$C,'01. TH'!Q$4)</f>
        <v>0</v>
      </c>
      <c r="R73" s="1042">
        <f>COUNTIFS('TỔNG KLH + TN'!$B:$B,'01. TH'!$B73,'TỔNG KLH + TN'!$C:$C,'01. TH'!R$4)</f>
        <v>0</v>
      </c>
      <c r="S73" s="1042">
        <f>COUNTIFS('TỔNG KLH + TN'!$B:$B,'01. TH'!$B73,'TỔNG KLH + TN'!$C:$C,'01. TH'!S$4)</f>
        <v>0</v>
      </c>
      <c r="T73" s="1042">
        <f>COUNTIFS('TỔNG KLH + TN'!$B:$B,'01. TH'!$B73,'TỔNG KLH + TN'!$C:$C,'01. TH'!T$4)</f>
        <v>0</v>
      </c>
      <c r="U73" s="1042">
        <f>COUNTIFS('TỔNG KLH + TN'!$B:$B,'01. TH'!$B73,'TỔNG KLH + TN'!$C:$C,'01. TH'!U$4)</f>
        <v>0</v>
      </c>
      <c r="V73" s="1042">
        <f>COUNTIFS('TỔNG KLH + TN'!$B:$B,'01. TH'!$B73,'TỔNG KLH + TN'!$C:$C,'01. TH'!V$4)</f>
        <v>0</v>
      </c>
      <c r="W73" s="1042">
        <f>COUNTIFS('TỔNG KLH + TN'!$B:$B,'01. TH'!$B73,'TỔNG KLH + TN'!$C:$C,'01. TH'!W$4)</f>
        <v>0</v>
      </c>
      <c r="X73" s="1042">
        <f>COUNTIFS('TỔNG KLH + TN'!$B:$B,'01. TH'!$B73,'TỔNG KLH + TN'!$C:$C,'01. TH'!X$4)</f>
        <v>6</v>
      </c>
      <c r="Y73" s="1042">
        <f>COUNTIFS('TỔNG KLH + TN'!$B:$B,'01. TH'!$B73,'TỔNG KLH + TN'!$C:$C,'01. TH'!Y$4)</f>
        <v>0</v>
      </c>
      <c r="Z73" s="1042">
        <f>COUNTIFS('TỔNG KLH + TN'!$B:$B,'01. TH'!$B73,'TỔNG KLH + TN'!$C:$C,'01. TH'!Z$4)</f>
        <v>0</v>
      </c>
      <c r="AA73" s="1042">
        <f>COUNTIFS('TỔNG KLH + TN'!$B:$B,'01. TH'!$B73,'TỔNG KLH + TN'!$C:$C,'01. TH'!AA$4)</f>
        <v>0</v>
      </c>
      <c r="AB73" s="1042">
        <f>COUNTIFS('TỔNG KLH + TN'!$B:$B,'01. TH'!$B73,'TỔNG KLH + TN'!$C:$C,'01. TH'!AB$4)</f>
        <v>0</v>
      </c>
      <c r="AC73" s="1042">
        <f>COUNTIFS('TỔNG KLH + TN'!$B:$B,'01. TH'!$B73,'TỔNG KLH + TN'!$C:$C,'01. TH'!AC$4)</f>
        <v>0</v>
      </c>
      <c r="AD73" s="1042">
        <f>COUNTIFS('TỔNG KLH + TN'!$B:$B,'01. TH'!$B73,'TỔNG KLH + TN'!$C:$C,'01. TH'!AD$4)</f>
        <v>0</v>
      </c>
      <c r="AE73" s="1045">
        <f t="shared" si="16"/>
        <v>6</v>
      </c>
      <c r="AF73" s="1045"/>
      <c r="AG73" s="1033" t="str">
        <f t="shared" si="2"/>
        <v>ok</v>
      </c>
      <c r="AH73" s="1046"/>
    </row>
    <row r="74" ht="18.75" hidden="1" customHeight="1" outlineLevel="1" spans="1:34">
      <c r="A74" s="1039"/>
      <c r="B74" s="1040" t="s">
        <v>138</v>
      </c>
      <c r="C74" s="1041" t="s">
        <v>139</v>
      </c>
      <c r="D74" s="1041" t="str">
        <f>IFERROR(VLOOKUP(B74,'Danh mục'!$G:$U,15,0),"")</f>
        <v>9830 x 2530 x 4000</v>
      </c>
      <c r="E74" s="1041" t="s">
        <v>42</v>
      </c>
      <c r="F74" s="1042">
        <f>COUNTIFS('TỔNG KLH + TN'!$B:$B,'01. TH'!$B74,'TỔNG KLH + TN'!$C:$C,'01. TH'!F$4)</f>
        <v>0</v>
      </c>
      <c r="G74" s="1042">
        <f>COUNTIFS('TỔNG KLH + TN'!$B:$B,'01. TH'!$B74,'TỔNG KLH + TN'!$C:$C,'01. TH'!G$4)</f>
        <v>0</v>
      </c>
      <c r="H74" s="1042">
        <f>COUNTIFS('TỔNG KLH + TN'!$B:$B,'01. TH'!$B74,'TỔNG KLH + TN'!$C:$C,'01. TH'!H$4)</f>
        <v>0</v>
      </c>
      <c r="I74" s="1042">
        <f>COUNTIFS('TỔNG KLH + TN'!$B:$B,'01. TH'!$B74,'TỔNG KLH + TN'!$C:$C,'01. TH'!I$4)</f>
        <v>0</v>
      </c>
      <c r="J74" s="1042">
        <f>COUNTIFS('TỔNG KLH + TN'!$B:$B,'01. TH'!$B74,'TỔNG KLH + TN'!$C:$C,'01. TH'!J$4)</f>
        <v>0</v>
      </c>
      <c r="K74" s="1042">
        <f>COUNTIFS('TỔNG KLH + TN'!$B:$B,'01. TH'!$B74,'TỔNG KLH + TN'!$C:$C,'01. TH'!K$4)</f>
        <v>0</v>
      </c>
      <c r="L74" s="1042">
        <f>COUNTIFS('TỔNG KLH + TN'!$B:$B,'01. TH'!$B74,'TỔNG KLH + TN'!$C:$C,'01. TH'!L$4)</f>
        <v>0</v>
      </c>
      <c r="M74" s="1042">
        <f>COUNTIFS('TỔNG KLH + TN'!$B:$B,'01. TH'!$B74,'TỔNG KLH + TN'!$C:$C,'01. TH'!M$4)</f>
        <v>0</v>
      </c>
      <c r="N74" s="1042">
        <f>COUNTIFS('TỔNG KLH + TN'!$B:$B,'01. TH'!$B74,'TỔNG KLH + TN'!$C:$C,'01. TH'!N$4)</f>
        <v>0</v>
      </c>
      <c r="O74" s="1042">
        <f>COUNTIFS('TỔNG KLH + TN'!$B:$B,'01. TH'!$B74,'TỔNG KLH + TN'!$C:$C,'01. TH'!O$4)</f>
        <v>0</v>
      </c>
      <c r="P74" s="1042">
        <f>COUNTIFS('TỔNG KLH + TN'!$B:$B,'01. TH'!$B74,'TỔNG KLH + TN'!$C:$C,'01. TH'!P$4)</f>
        <v>0</v>
      </c>
      <c r="Q74" s="1042">
        <f>COUNTIFS('TỔNG KLH + TN'!$B:$B,'01. TH'!$B74,'TỔNG KLH + TN'!$C:$C,'01. TH'!Q$4)</f>
        <v>0</v>
      </c>
      <c r="R74" s="1042">
        <f>COUNTIFS('TỔNG KLH + TN'!$B:$B,'01. TH'!$B74,'TỔNG KLH + TN'!$C:$C,'01. TH'!R$4)</f>
        <v>0</v>
      </c>
      <c r="S74" s="1042">
        <f>COUNTIFS('TỔNG KLH + TN'!$B:$B,'01. TH'!$B74,'TỔNG KLH + TN'!$C:$C,'01. TH'!S$4)</f>
        <v>0</v>
      </c>
      <c r="T74" s="1042">
        <f>COUNTIFS('TỔNG KLH + TN'!$B:$B,'01. TH'!$B74,'TỔNG KLH + TN'!$C:$C,'01. TH'!T$4)</f>
        <v>0</v>
      </c>
      <c r="U74" s="1042">
        <f>COUNTIFS('TỔNG KLH + TN'!$B:$B,'01. TH'!$B74,'TỔNG KLH + TN'!$C:$C,'01. TH'!U$4)</f>
        <v>0</v>
      </c>
      <c r="V74" s="1042">
        <f>COUNTIFS('TỔNG KLH + TN'!$B:$B,'01. TH'!$B74,'TỔNG KLH + TN'!$C:$C,'01. TH'!V$4)</f>
        <v>0</v>
      </c>
      <c r="W74" s="1042">
        <f>COUNTIFS('TỔNG KLH + TN'!$B:$B,'01. TH'!$B74,'TỔNG KLH + TN'!$C:$C,'01. TH'!W$4)</f>
        <v>0</v>
      </c>
      <c r="X74" s="1042">
        <f>COUNTIFS('TỔNG KLH + TN'!$B:$B,'01. TH'!$B74,'TỔNG KLH + TN'!$C:$C,'01. TH'!X$4)</f>
        <v>1</v>
      </c>
      <c r="Y74" s="1042">
        <f>COUNTIFS('TỔNG KLH + TN'!$B:$B,'01. TH'!$B74,'TỔNG KLH + TN'!$C:$C,'01. TH'!Y$4)</f>
        <v>0</v>
      </c>
      <c r="Z74" s="1042">
        <f>COUNTIFS('TỔNG KLH + TN'!$B:$B,'01. TH'!$B74,'TỔNG KLH + TN'!$C:$C,'01. TH'!Z$4)</f>
        <v>0</v>
      </c>
      <c r="AA74" s="1042">
        <f>COUNTIFS('TỔNG KLH + TN'!$B:$B,'01. TH'!$B74,'TỔNG KLH + TN'!$C:$C,'01. TH'!AA$4)</f>
        <v>0</v>
      </c>
      <c r="AB74" s="1042">
        <f>COUNTIFS('TỔNG KLH + TN'!$B:$B,'01. TH'!$B74,'TỔNG KLH + TN'!$C:$C,'01. TH'!AB$4)</f>
        <v>0</v>
      </c>
      <c r="AC74" s="1042">
        <f>COUNTIFS('TỔNG KLH + TN'!$B:$B,'01. TH'!$B74,'TỔNG KLH + TN'!$C:$C,'01. TH'!AC$4)</f>
        <v>0</v>
      </c>
      <c r="AD74" s="1042">
        <f>COUNTIFS('TỔNG KLH + TN'!$B:$B,'01. TH'!$B74,'TỔNG KLH + TN'!$C:$C,'01. TH'!AD$4)</f>
        <v>0</v>
      </c>
      <c r="AE74" s="1043">
        <f t="shared" si="16"/>
        <v>1</v>
      </c>
      <c r="AF74" s="1043"/>
      <c r="AG74" s="1033" t="str">
        <f t="shared" si="2"/>
        <v>ok</v>
      </c>
      <c r="AH74" s="1041"/>
    </row>
    <row r="75" ht="18.75" hidden="1" customHeight="1" outlineLevel="1" spans="1:34">
      <c r="A75" s="1039"/>
      <c r="B75" s="1040" t="s">
        <v>140</v>
      </c>
      <c r="C75" s="1041" t="s">
        <v>141</v>
      </c>
      <c r="D75" s="1041" t="str">
        <f>IFERROR(VLOOKUP(B75,'Danh mục'!$G:$U,15,0),"")</f>
        <v>8310 x 2495 x 3600</v>
      </c>
      <c r="E75" s="1041" t="s">
        <v>42</v>
      </c>
      <c r="F75" s="1042">
        <f>COUNTIFS('TỔNG KLH + TN'!$B:$B,'01. TH'!$B75,'TỔNG KLH + TN'!$C:$C,'01. TH'!F$4)</f>
        <v>0</v>
      </c>
      <c r="G75" s="1042">
        <f>COUNTIFS('TỔNG KLH + TN'!$B:$B,'01. TH'!$B75,'TỔNG KLH + TN'!$C:$C,'01. TH'!G$4)</f>
        <v>0</v>
      </c>
      <c r="H75" s="1042">
        <f>COUNTIFS('TỔNG KLH + TN'!$B:$B,'01. TH'!$B75,'TỔNG KLH + TN'!$C:$C,'01. TH'!H$4)</f>
        <v>0</v>
      </c>
      <c r="I75" s="1042">
        <f>COUNTIFS('TỔNG KLH + TN'!$B:$B,'01. TH'!$B75,'TỔNG KLH + TN'!$C:$C,'01. TH'!I$4)</f>
        <v>0</v>
      </c>
      <c r="J75" s="1042">
        <f>COUNTIFS('TỔNG KLH + TN'!$B:$B,'01. TH'!$B75,'TỔNG KLH + TN'!$C:$C,'01. TH'!J$4)</f>
        <v>0</v>
      </c>
      <c r="K75" s="1042">
        <f>COUNTIFS('TỔNG KLH + TN'!$B:$B,'01. TH'!$B75,'TỔNG KLH + TN'!$C:$C,'01. TH'!K$4)</f>
        <v>0</v>
      </c>
      <c r="L75" s="1042">
        <f>COUNTIFS('TỔNG KLH + TN'!$B:$B,'01. TH'!$B75,'TỔNG KLH + TN'!$C:$C,'01. TH'!L$4)</f>
        <v>0</v>
      </c>
      <c r="M75" s="1042">
        <f>COUNTIFS('TỔNG KLH + TN'!$B:$B,'01. TH'!$B75,'TỔNG KLH + TN'!$C:$C,'01. TH'!M$4)</f>
        <v>0</v>
      </c>
      <c r="N75" s="1042">
        <f>COUNTIFS('TỔNG KLH + TN'!$B:$B,'01. TH'!$B75,'TỔNG KLH + TN'!$C:$C,'01. TH'!N$4)</f>
        <v>0</v>
      </c>
      <c r="O75" s="1042">
        <f>COUNTIFS('TỔNG KLH + TN'!$B:$B,'01. TH'!$B75,'TỔNG KLH + TN'!$C:$C,'01. TH'!O$4)</f>
        <v>0</v>
      </c>
      <c r="P75" s="1042">
        <f>COUNTIFS('TỔNG KLH + TN'!$B:$B,'01. TH'!$B75,'TỔNG KLH + TN'!$C:$C,'01. TH'!P$4)</f>
        <v>0</v>
      </c>
      <c r="Q75" s="1042">
        <f>COUNTIFS('TỔNG KLH + TN'!$B:$B,'01. TH'!$B75,'TỔNG KLH + TN'!$C:$C,'01. TH'!Q$4)</f>
        <v>0</v>
      </c>
      <c r="R75" s="1042">
        <f>COUNTIFS('TỔNG KLH + TN'!$B:$B,'01. TH'!$B75,'TỔNG KLH + TN'!$C:$C,'01. TH'!R$4)</f>
        <v>0</v>
      </c>
      <c r="S75" s="1042">
        <f>COUNTIFS('TỔNG KLH + TN'!$B:$B,'01. TH'!$B75,'TỔNG KLH + TN'!$C:$C,'01. TH'!S$4)</f>
        <v>0</v>
      </c>
      <c r="T75" s="1042">
        <f>COUNTIFS('TỔNG KLH + TN'!$B:$B,'01. TH'!$B75,'TỔNG KLH + TN'!$C:$C,'01. TH'!T$4)</f>
        <v>0</v>
      </c>
      <c r="U75" s="1042">
        <f>COUNTIFS('TỔNG KLH + TN'!$B:$B,'01. TH'!$B75,'TỔNG KLH + TN'!$C:$C,'01. TH'!U$4)</f>
        <v>0</v>
      </c>
      <c r="V75" s="1042">
        <f>COUNTIFS('TỔNG KLH + TN'!$B:$B,'01. TH'!$B75,'TỔNG KLH + TN'!$C:$C,'01. TH'!V$4)</f>
        <v>0</v>
      </c>
      <c r="W75" s="1042">
        <f>COUNTIFS('TỔNG KLH + TN'!$B:$B,'01. TH'!$B75,'TỔNG KLH + TN'!$C:$C,'01. TH'!W$4)</f>
        <v>0</v>
      </c>
      <c r="X75" s="1042">
        <f>COUNTIFS('TỔNG KLH + TN'!$B:$B,'01. TH'!$B75,'TỔNG KLH + TN'!$C:$C,'01. TH'!X$4)</f>
        <v>3</v>
      </c>
      <c r="Y75" s="1042">
        <f>COUNTIFS('TỔNG KLH + TN'!$B:$B,'01. TH'!$B75,'TỔNG KLH + TN'!$C:$C,'01. TH'!Y$4)</f>
        <v>0</v>
      </c>
      <c r="Z75" s="1042">
        <f>COUNTIFS('TỔNG KLH + TN'!$B:$B,'01. TH'!$B75,'TỔNG KLH + TN'!$C:$C,'01. TH'!Z$4)</f>
        <v>0</v>
      </c>
      <c r="AA75" s="1042">
        <f>COUNTIFS('TỔNG KLH + TN'!$B:$B,'01. TH'!$B75,'TỔNG KLH + TN'!$C:$C,'01. TH'!AA$4)</f>
        <v>0</v>
      </c>
      <c r="AB75" s="1042">
        <f>COUNTIFS('TỔNG KLH + TN'!$B:$B,'01. TH'!$B75,'TỔNG KLH + TN'!$C:$C,'01. TH'!AB$4)</f>
        <v>0</v>
      </c>
      <c r="AC75" s="1042">
        <f>COUNTIFS('TỔNG KLH + TN'!$B:$B,'01. TH'!$B75,'TỔNG KLH + TN'!$C:$C,'01. TH'!AC$4)</f>
        <v>0</v>
      </c>
      <c r="AD75" s="1042">
        <f>COUNTIFS('TỔNG KLH + TN'!$B:$B,'01. TH'!$B75,'TỔNG KLH + TN'!$C:$C,'01. TH'!AD$4)</f>
        <v>0</v>
      </c>
      <c r="AE75" s="1043">
        <f t="shared" si="16"/>
        <v>3</v>
      </c>
      <c r="AF75" s="1043"/>
      <c r="AG75" s="1033" t="str">
        <f t="shared" si="2"/>
        <v>ok</v>
      </c>
      <c r="AH75" s="1041"/>
    </row>
    <row r="76" ht="18.75" hidden="1" customHeight="1" outlineLevel="1" spans="1:34">
      <c r="A76" s="1044"/>
      <c r="B76" s="1040" t="s">
        <v>142</v>
      </c>
      <c r="C76" s="1041" t="s">
        <v>85</v>
      </c>
      <c r="D76" s="1041" t="str">
        <f>IFERROR(VLOOKUP(B76,'Danh mục'!$G:$U,15,0),"")</f>
        <v>6170 x 2330 x 2750</v>
      </c>
      <c r="E76" s="1041" t="s">
        <v>42</v>
      </c>
      <c r="F76" s="1042">
        <f>COUNTIFS('TỔNG KLH + TN'!$B:$B,'01. TH'!$B76,'TỔNG KLH + TN'!$C:$C,'01. TH'!F$4)</f>
        <v>0</v>
      </c>
      <c r="G76" s="1042">
        <f>COUNTIFS('TỔNG KLH + TN'!$B:$B,'01. TH'!$B76,'TỔNG KLH + TN'!$C:$C,'01. TH'!G$4)</f>
        <v>0</v>
      </c>
      <c r="H76" s="1042">
        <f>COUNTIFS('TỔNG KLH + TN'!$B:$B,'01. TH'!$B76,'TỔNG KLH + TN'!$C:$C,'01. TH'!H$4)</f>
        <v>0</v>
      </c>
      <c r="I76" s="1042">
        <f>COUNTIFS('TỔNG KLH + TN'!$B:$B,'01. TH'!$B76,'TỔNG KLH + TN'!$C:$C,'01. TH'!I$4)</f>
        <v>0</v>
      </c>
      <c r="J76" s="1042">
        <f>COUNTIFS('TỔNG KLH + TN'!$B:$B,'01. TH'!$B76,'TỔNG KLH + TN'!$C:$C,'01. TH'!J$4)</f>
        <v>0</v>
      </c>
      <c r="K76" s="1042">
        <f>COUNTIFS('TỔNG KLH + TN'!$B:$B,'01. TH'!$B76,'TỔNG KLH + TN'!$C:$C,'01. TH'!K$4)</f>
        <v>0</v>
      </c>
      <c r="L76" s="1042">
        <f>COUNTIFS('TỔNG KLH + TN'!$B:$B,'01. TH'!$B76,'TỔNG KLH + TN'!$C:$C,'01. TH'!L$4)</f>
        <v>0</v>
      </c>
      <c r="M76" s="1042">
        <f>COUNTIFS('TỔNG KLH + TN'!$B:$B,'01. TH'!$B76,'TỔNG KLH + TN'!$C:$C,'01. TH'!M$4)</f>
        <v>0</v>
      </c>
      <c r="N76" s="1042">
        <f>COUNTIFS('TỔNG KLH + TN'!$B:$B,'01. TH'!$B76,'TỔNG KLH + TN'!$C:$C,'01. TH'!N$4)</f>
        <v>0</v>
      </c>
      <c r="O76" s="1042">
        <f>COUNTIFS('TỔNG KLH + TN'!$B:$B,'01. TH'!$B76,'TỔNG KLH + TN'!$C:$C,'01. TH'!O$4)</f>
        <v>0</v>
      </c>
      <c r="P76" s="1042">
        <f>COUNTIFS('TỔNG KLH + TN'!$B:$B,'01. TH'!$B76,'TỔNG KLH + TN'!$C:$C,'01. TH'!P$4)</f>
        <v>0</v>
      </c>
      <c r="Q76" s="1042">
        <f>COUNTIFS('TỔNG KLH + TN'!$B:$B,'01. TH'!$B76,'TỔNG KLH + TN'!$C:$C,'01. TH'!Q$4)</f>
        <v>0</v>
      </c>
      <c r="R76" s="1042">
        <f>COUNTIFS('TỔNG KLH + TN'!$B:$B,'01. TH'!$B76,'TỔNG KLH + TN'!$C:$C,'01. TH'!R$4)</f>
        <v>0</v>
      </c>
      <c r="S76" s="1042">
        <f>COUNTIFS('TỔNG KLH + TN'!$B:$B,'01. TH'!$B76,'TỔNG KLH + TN'!$C:$C,'01. TH'!S$4)</f>
        <v>0</v>
      </c>
      <c r="T76" s="1042">
        <f>COUNTIFS('TỔNG KLH + TN'!$B:$B,'01. TH'!$B76,'TỔNG KLH + TN'!$C:$C,'01. TH'!T$4)</f>
        <v>0</v>
      </c>
      <c r="U76" s="1042">
        <f>COUNTIFS('TỔNG KLH + TN'!$B:$B,'01. TH'!$B76,'TỔNG KLH + TN'!$C:$C,'01. TH'!U$4)</f>
        <v>0</v>
      </c>
      <c r="V76" s="1042">
        <f>COUNTIFS('TỔNG KLH + TN'!$B:$B,'01. TH'!$B76,'TỔNG KLH + TN'!$C:$C,'01. TH'!V$4)</f>
        <v>0</v>
      </c>
      <c r="W76" s="1042">
        <f>COUNTIFS('TỔNG KLH + TN'!$B:$B,'01. TH'!$B76,'TỔNG KLH + TN'!$C:$C,'01. TH'!W$4)</f>
        <v>1</v>
      </c>
      <c r="X76" s="1042">
        <f>COUNTIFS('TỔNG KLH + TN'!$B:$B,'01. TH'!$B76,'TỔNG KLH + TN'!$C:$C,'01. TH'!X$4)</f>
        <v>0</v>
      </c>
      <c r="Y76" s="1042">
        <f>COUNTIFS('TỔNG KLH + TN'!$B:$B,'01. TH'!$B76,'TỔNG KLH + TN'!$C:$C,'01. TH'!Y$4)</f>
        <v>0</v>
      </c>
      <c r="Z76" s="1042">
        <f>COUNTIFS('TỔNG KLH + TN'!$B:$B,'01. TH'!$B76,'TỔNG KLH + TN'!$C:$C,'01. TH'!Z$4)</f>
        <v>0</v>
      </c>
      <c r="AA76" s="1042">
        <f>COUNTIFS('TỔNG KLH + TN'!$B:$B,'01. TH'!$B76,'TỔNG KLH + TN'!$C:$C,'01. TH'!AA$4)</f>
        <v>0</v>
      </c>
      <c r="AB76" s="1042">
        <f>COUNTIFS('TỔNG KLH + TN'!$B:$B,'01. TH'!$B76,'TỔNG KLH + TN'!$C:$C,'01. TH'!AB$4)</f>
        <v>0</v>
      </c>
      <c r="AC76" s="1042">
        <f>COUNTIFS('TỔNG KLH + TN'!$B:$B,'01. TH'!$B76,'TỔNG KLH + TN'!$C:$C,'01. TH'!AC$4)</f>
        <v>0</v>
      </c>
      <c r="AD76" s="1042">
        <f>COUNTIFS('TỔNG KLH + TN'!$B:$B,'01. TH'!$B76,'TỔNG KLH + TN'!$C:$C,'01. TH'!AD$4)</f>
        <v>0</v>
      </c>
      <c r="AE76" s="1045">
        <f t="shared" si="16"/>
        <v>1</v>
      </c>
      <c r="AF76" s="1045"/>
      <c r="AG76" s="1033" t="str">
        <f t="shared" si="2"/>
        <v>ok</v>
      </c>
      <c r="AH76" s="1046"/>
    </row>
    <row r="77" ht="24" customHeight="1" collapsed="1" spans="1:34">
      <c r="A77" s="1033">
        <v>9</v>
      </c>
      <c r="B77" s="1034" t="s">
        <v>143</v>
      </c>
      <c r="C77" s="1035"/>
      <c r="D77" s="1035" t="str">
        <f>IFERROR(VLOOKUP(B77,'Danh mục'!$G:$U,15,0),"")</f>
        <v/>
      </c>
      <c r="E77" s="1035"/>
      <c r="F77" s="1047">
        <f t="shared" ref="F77:AE77" si="17">SUM(F78:F84)</f>
        <v>0</v>
      </c>
      <c r="G77" s="1047">
        <f t="shared" si="17"/>
        <v>0</v>
      </c>
      <c r="H77" s="1047">
        <f t="shared" si="17"/>
        <v>0</v>
      </c>
      <c r="I77" s="1047">
        <f t="shared" si="17"/>
        <v>0</v>
      </c>
      <c r="J77" s="1047">
        <f t="shared" si="17"/>
        <v>0</v>
      </c>
      <c r="K77" s="1047">
        <f t="shared" si="17"/>
        <v>0</v>
      </c>
      <c r="L77" s="1047">
        <f t="shared" si="17"/>
        <v>1</v>
      </c>
      <c r="M77" s="1047">
        <f t="shared" si="17"/>
        <v>0</v>
      </c>
      <c r="N77" s="1047">
        <f t="shared" si="17"/>
        <v>0</v>
      </c>
      <c r="O77" s="1047">
        <f t="shared" si="17"/>
        <v>0</v>
      </c>
      <c r="P77" s="1047">
        <f t="shared" si="17"/>
        <v>0</v>
      </c>
      <c r="Q77" s="1047">
        <f t="shared" si="17"/>
        <v>0</v>
      </c>
      <c r="R77" s="1047">
        <f t="shared" si="17"/>
        <v>0</v>
      </c>
      <c r="S77" s="1047">
        <f t="shared" si="17"/>
        <v>1</v>
      </c>
      <c r="T77" s="1047">
        <f t="shared" si="17"/>
        <v>0</v>
      </c>
      <c r="U77" s="1047">
        <f t="shared" si="17"/>
        <v>0</v>
      </c>
      <c r="V77" s="1047">
        <f t="shared" si="17"/>
        <v>0</v>
      </c>
      <c r="W77" s="1047">
        <f t="shared" si="17"/>
        <v>0</v>
      </c>
      <c r="X77" s="1047">
        <f t="shared" si="17"/>
        <v>0</v>
      </c>
      <c r="Y77" s="1047">
        <f t="shared" si="17"/>
        <v>2</v>
      </c>
      <c r="Z77" s="1047">
        <f t="shared" si="17"/>
        <v>0</v>
      </c>
      <c r="AA77" s="1047">
        <f t="shared" si="17"/>
        <v>0</v>
      </c>
      <c r="AB77" s="1047">
        <f t="shared" si="17"/>
        <v>5</v>
      </c>
      <c r="AC77" s="1047">
        <f t="shared" si="17"/>
        <v>0</v>
      </c>
      <c r="AD77" s="1047">
        <f t="shared" si="17"/>
        <v>0</v>
      </c>
      <c r="AE77" s="1048">
        <f t="shared" si="17"/>
        <v>9</v>
      </c>
      <c r="AF77" s="1048">
        <v>1</v>
      </c>
      <c r="AG77" s="1033" t="str">
        <f t="shared" si="2"/>
        <v>ok</v>
      </c>
      <c r="AH77" s="1038"/>
    </row>
    <row r="78" ht="18.75" hidden="1" customHeight="1" outlineLevel="1" spans="1:34">
      <c r="A78" s="1039"/>
      <c r="B78" s="1040" t="s">
        <v>144</v>
      </c>
      <c r="C78" s="1041" t="s">
        <v>54</v>
      </c>
      <c r="D78" s="1041" t="str">
        <f>IFERROR(VLOOKUP(B78,'Danh mục'!$G:$U,15,0),"")</f>
        <v>9120 x 2450 x 3160</v>
      </c>
      <c r="E78" s="1041" t="s">
        <v>42</v>
      </c>
      <c r="F78" s="1042">
        <f>COUNTIFS('TỔNG KLH + TN'!$B:$B,'01. TH'!$B78,'TỔNG KLH + TN'!$C:$C,'01. TH'!F$4)</f>
        <v>0</v>
      </c>
      <c r="G78" s="1042">
        <f>COUNTIFS('TỔNG KLH + TN'!$B:$B,'01. TH'!$B78,'TỔNG KLH + TN'!$C:$C,'01. TH'!G$4)</f>
        <v>0</v>
      </c>
      <c r="H78" s="1042">
        <f>COUNTIFS('TỔNG KLH + TN'!$B:$B,'01. TH'!$B78,'TỔNG KLH + TN'!$C:$C,'01. TH'!H$4)</f>
        <v>0</v>
      </c>
      <c r="I78" s="1042">
        <f>COUNTIFS('TỔNG KLH + TN'!$B:$B,'01. TH'!$B78,'TỔNG KLH + TN'!$C:$C,'01. TH'!I$4)</f>
        <v>0</v>
      </c>
      <c r="J78" s="1042">
        <f>COUNTIFS('TỔNG KLH + TN'!$B:$B,'01. TH'!$B78,'TỔNG KLH + TN'!$C:$C,'01. TH'!J$4)</f>
        <v>0</v>
      </c>
      <c r="K78" s="1042">
        <f>COUNTIFS('TỔNG KLH + TN'!$B:$B,'01. TH'!$B78,'TỔNG KLH + TN'!$C:$C,'01. TH'!K$4)</f>
        <v>0</v>
      </c>
      <c r="L78" s="1042">
        <f>COUNTIFS('TỔNG KLH + TN'!$B:$B,'01. TH'!$B78,'TỔNG KLH + TN'!$C:$C,'01. TH'!L$4)</f>
        <v>1</v>
      </c>
      <c r="M78" s="1042">
        <f>COUNTIFS('TỔNG KLH + TN'!$B:$B,'01. TH'!$B78,'TỔNG KLH + TN'!$C:$C,'01. TH'!M$4)</f>
        <v>0</v>
      </c>
      <c r="N78" s="1042">
        <f>COUNTIFS('TỔNG KLH + TN'!$B:$B,'01. TH'!$B78,'TỔNG KLH + TN'!$C:$C,'01. TH'!N$4)</f>
        <v>0</v>
      </c>
      <c r="O78" s="1042">
        <f>COUNTIFS('TỔNG KLH + TN'!$B:$B,'01. TH'!$B78,'TỔNG KLH + TN'!$C:$C,'01. TH'!O$4)</f>
        <v>0</v>
      </c>
      <c r="P78" s="1042">
        <f>COUNTIFS('TỔNG KLH + TN'!$B:$B,'01. TH'!$B78,'TỔNG KLH + TN'!$C:$C,'01. TH'!P$4)</f>
        <v>0</v>
      </c>
      <c r="Q78" s="1042">
        <f>COUNTIFS('TỔNG KLH + TN'!$B:$B,'01. TH'!$B78,'TỔNG KLH + TN'!$C:$C,'01. TH'!Q$4)</f>
        <v>0</v>
      </c>
      <c r="R78" s="1042">
        <f>COUNTIFS('TỔNG KLH + TN'!$B:$B,'01. TH'!$B78,'TỔNG KLH + TN'!$C:$C,'01. TH'!R$4)</f>
        <v>0</v>
      </c>
      <c r="S78" s="1042">
        <f>COUNTIFS('TỔNG KLH + TN'!$B:$B,'01. TH'!$B78,'TỔNG KLH + TN'!$C:$C,'01. TH'!S$4)</f>
        <v>0</v>
      </c>
      <c r="T78" s="1042">
        <f>COUNTIFS('TỔNG KLH + TN'!$B:$B,'01. TH'!$B78,'TỔNG KLH + TN'!$C:$C,'01. TH'!T$4)</f>
        <v>0</v>
      </c>
      <c r="U78" s="1042">
        <f>COUNTIFS('TỔNG KLH + TN'!$B:$B,'01. TH'!$B78,'TỔNG KLH + TN'!$C:$C,'01. TH'!U$4)</f>
        <v>0</v>
      </c>
      <c r="V78" s="1042">
        <f>COUNTIFS('TỔNG KLH + TN'!$B:$B,'01. TH'!$B78,'TỔNG KLH + TN'!$C:$C,'01. TH'!V$4)</f>
        <v>0</v>
      </c>
      <c r="W78" s="1042">
        <f>COUNTIFS('TỔNG KLH + TN'!$B:$B,'01. TH'!$B78,'TỔNG KLH + TN'!$C:$C,'01. TH'!W$4)</f>
        <v>0</v>
      </c>
      <c r="X78" s="1042">
        <f>COUNTIFS('TỔNG KLH + TN'!$B:$B,'01. TH'!$B78,'TỔNG KLH + TN'!$C:$C,'01. TH'!X$4)</f>
        <v>0</v>
      </c>
      <c r="Y78" s="1042">
        <f>COUNTIFS('TỔNG KLH + TN'!$B:$B,'01. TH'!$B78,'TỔNG KLH + TN'!$C:$C,'01. TH'!Y$4)</f>
        <v>1</v>
      </c>
      <c r="Z78" s="1042">
        <f>COUNTIFS('TỔNG KLH + TN'!$B:$B,'01. TH'!$B78,'TỔNG KLH + TN'!$C:$C,'01. TH'!Z$4)</f>
        <v>0</v>
      </c>
      <c r="AA78" s="1042">
        <f>COUNTIFS('TỔNG KLH + TN'!$B:$B,'01. TH'!$B78,'TỔNG KLH + TN'!$C:$C,'01. TH'!AA$4)</f>
        <v>0</v>
      </c>
      <c r="AB78" s="1042">
        <f>COUNTIFS('TỔNG KLH + TN'!$B:$B,'01. TH'!$B78,'TỔNG KLH + TN'!$C:$C,'01. TH'!AB$4)</f>
        <v>0</v>
      </c>
      <c r="AC78" s="1042">
        <f>COUNTIFS('TỔNG KLH + TN'!$B:$B,'01. TH'!$B78,'TỔNG KLH + TN'!$C:$C,'01. TH'!AC$4)</f>
        <v>0</v>
      </c>
      <c r="AD78" s="1042">
        <f>COUNTIFS('TỔNG KLH + TN'!$B:$B,'01. TH'!$B78,'TỔNG KLH + TN'!$C:$C,'01. TH'!AD$4)</f>
        <v>0</v>
      </c>
      <c r="AE78" s="1043">
        <f t="shared" ref="AE78:AE84" si="18">SUM(F78:AD78)</f>
        <v>2</v>
      </c>
      <c r="AF78" s="1043"/>
      <c r="AG78" s="1033" t="str">
        <f t="shared" si="2"/>
        <v>ok</v>
      </c>
      <c r="AH78" s="1041"/>
    </row>
    <row r="79" ht="18.75" hidden="1" customHeight="1" outlineLevel="1" spans="1:34">
      <c r="A79" s="1039"/>
      <c r="B79" s="1040" t="s">
        <v>145</v>
      </c>
      <c r="C79" s="1041" t="s">
        <v>146</v>
      </c>
      <c r="D79" s="1041" t="str">
        <f>IFERROR(VLOOKUP(B79,'Danh mục'!$G:$U,15,0),"")</f>
        <v/>
      </c>
      <c r="E79" s="1041" t="s">
        <v>42</v>
      </c>
      <c r="F79" s="1042">
        <f>COUNTIFS('TỔNG KLH + TN'!$B:$B,'01. TH'!$B79,'TỔNG KLH + TN'!$C:$C,'01. TH'!F$4)</f>
        <v>0</v>
      </c>
      <c r="G79" s="1042">
        <f>COUNTIFS('TỔNG KLH + TN'!$B:$B,'01. TH'!$B79,'TỔNG KLH + TN'!$C:$C,'01. TH'!G$4)</f>
        <v>0</v>
      </c>
      <c r="H79" s="1042">
        <f>COUNTIFS('TỔNG KLH + TN'!$B:$B,'01. TH'!$B79,'TỔNG KLH + TN'!$C:$C,'01. TH'!H$4)</f>
        <v>0</v>
      </c>
      <c r="I79" s="1042">
        <f>COUNTIFS('TỔNG KLH + TN'!$B:$B,'01. TH'!$B79,'TỔNG KLH + TN'!$C:$C,'01. TH'!I$4)</f>
        <v>0</v>
      </c>
      <c r="J79" s="1042">
        <f>COUNTIFS('TỔNG KLH + TN'!$B:$B,'01. TH'!$B79,'TỔNG KLH + TN'!$C:$C,'01. TH'!J$4)</f>
        <v>0</v>
      </c>
      <c r="K79" s="1042">
        <f>COUNTIFS('TỔNG KLH + TN'!$B:$B,'01. TH'!$B79,'TỔNG KLH + TN'!$C:$C,'01. TH'!K$4)</f>
        <v>0</v>
      </c>
      <c r="L79" s="1042">
        <f>COUNTIFS('TỔNG KLH + TN'!$B:$B,'01. TH'!$B79,'TỔNG KLH + TN'!$C:$C,'01. TH'!L$4)</f>
        <v>0</v>
      </c>
      <c r="M79" s="1042">
        <f>COUNTIFS('TỔNG KLH + TN'!$B:$B,'01. TH'!$B79,'TỔNG KLH + TN'!$C:$C,'01. TH'!M$4)</f>
        <v>0</v>
      </c>
      <c r="N79" s="1042">
        <f>COUNTIFS('TỔNG KLH + TN'!$B:$B,'01. TH'!$B79,'TỔNG KLH + TN'!$C:$C,'01. TH'!N$4)</f>
        <v>0</v>
      </c>
      <c r="O79" s="1042">
        <f>COUNTIFS('TỔNG KLH + TN'!$B:$B,'01. TH'!$B79,'TỔNG KLH + TN'!$C:$C,'01. TH'!O$4)</f>
        <v>0</v>
      </c>
      <c r="P79" s="1042">
        <f>COUNTIFS('TỔNG KLH + TN'!$B:$B,'01. TH'!$B79,'TỔNG KLH + TN'!$C:$C,'01. TH'!P$4)</f>
        <v>0</v>
      </c>
      <c r="Q79" s="1042">
        <f>COUNTIFS('TỔNG KLH + TN'!$B:$B,'01. TH'!$B79,'TỔNG KLH + TN'!$C:$C,'01. TH'!Q$4)</f>
        <v>0</v>
      </c>
      <c r="R79" s="1042">
        <f>COUNTIFS('TỔNG KLH + TN'!$B:$B,'01. TH'!$B79,'TỔNG KLH + TN'!$C:$C,'01. TH'!R$4)</f>
        <v>0</v>
      </c>
      <c r="S79" s="1042">
        <f>COUNTIFS('TỔNG KLH + TN'!$B:$B,'01. TH'!$B79,'TỔNG KLH + TN'!$C:$C,'01. TH'!S$4)</f>
        <v>0</v>
      </c>
      <c r="T79" s="1042">
        <f>COUNTIFS('TỔNG KLH + TN'!$B:$B,'01. TH'!$B79,'TỔNG KLH + TN'!$C:$C,'01. TH'!T$4)</f>
        <v>0</v>
      </c>
      <c r="U79" s="1042">
        <f>COUNTIFS('TỔNG KLH + TN'!$B:$B,'01. TH'!$B79,'TỔNG KLH + TN'!$C:$C,'01. TH'!U$4)</f>
        <v>0</v>
      </c>
      <c r="V79" s="1042">
        <f>COUNTIFS('TỔNG KLH + TN'!$B:$B,'01. TH'!$B79,'TỔNG KLH + TN'!$C:$C,'01. TH'!V$4)</f>
        <v>0</v>
      </c>
      <c r="W79" s="1042">
        <f>COUNTIFS('TỔNG KLH + TN'!$B:$B,'01. TH'!$B79,'TỔNG KLH + TN'!$C:$C,'01. TH'!W$4)</f>
        <v>0</v>
      </c>
      <c r="X79" s="1042">
        <f>COUNTIFS('TỔNG KLH + TN'!$B:$B,'01. TH'!$B79,'TỔNG KLH + TN'!$C:$C,'01. TH'!X$4)</f>
        <v>0</v>
      </c>
      <c r="Y79" s="1042">
        <f>COUNTIFS('TỔNG KLH + TN'!$B:$B,'01. TH'!$B79,'TỔNG KLH + TN'!$C:$C,'01. TH'!Y$4)</f>
        <v>0</v>
      </c>
      <c r="Z79" s="1042">
        <f>COUNTIFS('TỔNG KLH + TN'!$B:$B,'01. TH'!$B79,'TỔNG KLH + TN'!$C:$C,'01. TH'!Z$4)</f>
        <v>0</v>
      </c>
      <c r="AA79" s="1042">
        <f>COUNTIFS('TỔNG KLH + TN'!$B:$B,'01. TH'!$B79,'TỔNG KLH + TN'!$C:$C,'01. TH'!AA$4)</f>
        <v>0</v>
      </c>
      <c r="AB79" s="1042">
        <f>COUNTIFS('TỔNG KLH + TN'!$B:$B,'01. TH'!$B79,'TỔNG KLH + TN'!$C:$C,'01. TH'!AB$4)</f>
        <v>1</v>
      </c>
      <c r="AC79" s="1042">
        <f>COUNTIFS('TỔNG KLH + TN'!$B:$B,'01. TH'!$B79,'TỔNG KLH + TN'!$C:$C,'01. TH'!AC$4)</f>
        <v>0</v>
      </c>
      <c r="AD79" s="1042">
        <f>COUNTIFS('TỔNG KLH + TN'!$B:$B,'01. TH'!$B79,'TỔNG KLH + TN'!$C:$C,'01. TH'!AD$4)</f>
        <v>0</v>
      </c>
      <c r="AE79" s="1043">
        <f t="shared" si="18"/>
        <v>1</v>
      </c>
      <c r="AF79" s="1043"/>
      <c r="AG79" s="1033" t="str">
        <f t="shared" si="2"/>
        <v>ok</v>
      </c>
      <c r="AH79" s="1041"/>
    </row>
    <row r="80" ht="18.75" hidden="1" customHeight="1" outlineLevel="1" spans="1:34">
      <c r="A80" s="1039"/>
      <c r="B80" s="1040" t="s">
        <v>147</v>
      </c>
      <c r="C80" s="1041" t="s">
        <v>146</v>
      </c>
      <c r="D80" s="1041" t="str">
        <f>IFERROR(VLOOKUP(B80,'Danh mục'!$G:$U,15,0),"")</f>
        <v/>
      </c>
      <c r="E80" s="1041" t="s">
        <v>42</v>
      </c>
      <c r="F80" s="1042">
        <f>COUNTIFS('TỔNG KLH + TN'!$B:$B,'01. TH'!$B80,'TỔNG KLH + TN'!$C:$C,'01. TH'!F$4)</f>
        <v>0</v>
      </c>
      <c r="G80" s="1042">
        <f>COUNTIFS('TỔNG KLH + TN'!$B:$B,'01. TH'!$B80,'TỔNG KLH + TN'!$C:$C,'01. TH'!G$4)</f>
        <v>0</v>
      </c>
      <c r="H80" s="1042">
        <f>COUNTIFS('TỔNG KLH + TN'!$B:$B,'01. TH'!$B80,'TỔNG KLH + TN'!$C:$C,'01. TH'!H$4)</f>
        <v>0</v>
      </c>
      <c r="I80" s="1042">
        <f>COUNTIFS('TỔNG KLH + TN'!$B:$B,'01. TH'!$B80,'TỔNG KLH + TN'!$C:$C,'01. TH'!I$4)</f>
        <v>0</v>
      </c>
      <c r="J80" s="1042">
        <f>COUNTIFS('TỔNG KLH + TN'!$B:$B,'01. TH'!$B80,'TỔNG KLH + TN'!$C:$C,'01. TH'!J$4)</f>
        <v>0</v>
      </c>
      <c r="K80" s="1042">
        <f>COUNTIFS('TỔNG KLH + TN'!$B:$B,'01. TH'!$B80,'TỔNG KLH + TN'!$C:$C,'01. TH'!K$4)</f>
        <v>0</v>
      </c>
      <c r="L80" s="1042">
        <f>COUNTIFS('TỔNG KLH + TN'!$B:$B,'01. TH'!$B80,'TỔNG KLH + TN'!$C:$C,'01. TH'!L$4)</f>
        <v>0</v>
      </c>
      <c r="M80" s="1042">
        <f>COUNTIFS('TỔNG KLH + TN'!$B:$B,'01. TH'!$B80,'TỔNG KLH + TN'!$C:$C,'01. TH'!M$4)</f>
        <v>0</v>
      </c>
      <c r="N80" s="1042">
        <f>COUNTIFS('TỔNG KLH + TN'!$B:$B,'01. TH'!$B80,'TỔNG KLH + TN'!$C:$C,'01. TH'!N$4)</f>
        <v>0</v>
      </c>
      <c r="O80" s="1042">
        <f>COUNTIFS('TỔNG KLH + TN'!$B:$B,'01. TH'!$B80,'TỔNG KLH + TN'!$C:$C,'01. TH'!O$4)</f>
        <v>0</v>
      </c>
      <c r="P80" s="1042">
        <f>COUNTIFS('TỔNG KLH + TN'!$B:$B,'01. TH'!$B80,'TỔNG KLH + TN'!$C:$C,'01. TH'!P$4)</f>
        <v>0</v>
      </c>
      <c r="Q80" s="1042">
        <f>COUNTIFS('TỔNG KLH + TN'!$B:$B,'01. TH'!$B80,'TỔNG KLH + TN'!$C:$C,'01. TH'!Q$4)</f>
        <v>0</v>
      </c>
      <c r="R80" s="1042">
        <f>COUNTIFS('TỔNG KLH + TN'!$B:$B,'01. TH'!$B80,'TỔNG KLH + TN'!$C:$C,'01. TH'!R$4)</f>
        <v>0</v>
      </c>
      <c r="S80" s="1042">
        <f>COUNTIFS('TỔNG KLH + TN'!$B:$B,'01. TH'!$B80,'TỔNG KLH + TN'!$C:$C,'01. TH'!S$4)</f>
        <v>0</v>
      </c>
      <c r="T80" s="1042">
        <f>COUNTIFS('TỔNG KLH + TN'!$B:$B,'01. TH'!$B80,'TỔNG KLH + TN'!$C:$C,'01. TH'!T$4)</f>
        <v>0</v>
      </c>
      <c r="U80" s="1042">
        <f>COUNTIFS('TỔNG KLH + TN'!$B:$B,'01. TH'!$B80,'TỔNG KLH + TN'!$C:$C,'01. TH'!U$4)</f>
        <v>0</v>
      </c>
      <c r="V80" s="1042">
        <f>COUNTIFS('TỔNG KLH + TN'!$B:$B,'01. TH'!$B80,'TỔNG KLH + TN'!$C:$C,'01. TH'!V$4)</f>
        <v>0</v>
      </c>
      <c r="W80" s="1042">
        <f>COUNTIFS('TỔNG KLH + TN'!$B:$B,'01. TH'!$B80,'TỔNG KLH + TN'!$C:$C,'01. TH'!W$4)</f>
        <v>0</v>
      </c>
      <c r="X80" s="1042">
        <f>COUNTIFS('TỔNG KLH + TN'!$B:$B,'01. TH'!$B80,'TỔNG KLH + TN'!$C:$C,'01. TH'!X$4)</f>
        <v>0</v>
      </c>
      <c r="Y80" s="1042">
        <f>COUNTIFS('TỔNG KLH + TN'!$B:$B,'01. TH'!$B80,'TỔNG KLH + TN'!$C:$C,'01. TH'!Y$4)</f>
        <v>1</v>
      </c>
      <c r="Z80" s="1042">
        <f>COUNTIFS('TỔNG KLH + TN'!$B:$B,'01. TH'!$B80,'TỔNG KLH + TN'!$C:$C,'01. TH'!Z$4)</f>
        <v>0</v>
      </c>
      <c r="AA80" s="1042">
        <f>COUNTIFS('TỔNG KLH + TN'!$B:$B,'01. TH'!$B80,'TỔNG KLH + TN'!$C:$C,'01. TH'!AA$4)</f>
        <v>0</v>
      </c>
      <c r="AB80" s="1042">
        <f>COUNTIFS('TỔNG KLH + TN'!$B:$B,'01. TH'!$B80,'TỔNG KLH + TN'!$C:$C,'01. TH'!AB$4)</f>
        <v>0</v>
      </c>
      <c r="AC80" s="1042">
        <f>COUNTIFS('TỔNG KLH + TN'!$B:$B,'01. TH'!$B80,'TỔNG KLH + TN'!$C:$C,'01. TH'!AC$4)</f>
        <v>0</v>
      </c>
      <c r="AD80" s="1042">
        <f>COUNTIFS('TỔNG KLH + TN'!$B:$B,'01. TH'!$B80,'TỔNG KLH + TN'!$C:$C,'01. TH'!AD$4)</f>
        <v>0</v>
      </c>
      <c r="AE80" s="1043">
        <f t="shared" si="18"/>
        <v>1</v>
      </c>
      <c r="AF80" s="1043"/>
      <c r="AG80" s="1033" t="str">
        <f t="shared" si="2"/>
        <v>ok</v>
      </c>
      <c r="AH80" s="1041"/>
    </row>
    <row r="81" ht="18.75" hidden="1" customHeight="1" outlineLevel="1" spans="1:34">
      <c r="A81" s="1039"/>
      <c r="B81" s="1040" t="s">
        <v>148</v>
      </c>
      <c r="C81" s="1041" t="s">
        <v>139</v>
      </c>
      <c r="D81" s="1041" t="str">
        <f>IFERROR(VLOOKUP(B81,'Danh mục'!$G:$U,15,0),"")</f>
        <v>12160 x 2500 x 3950</v>
      </c>
      <c r="E81" s="1041" t="s">
        <v>42</v>
      </c>
      <c r="F81" s="1042">
        <f>COUNTIFS('TỔNG KLH + TN'!$B:$B,'01. TH'!$B81,'TỔNG KLH + TN'!$C:$C,'01. TH'!F$4)</f>
        <v>0</v>
      </c>
      <c r="G81" s="1042">
        <f>COUNTIFS('TỔNG KLH + TN'!$B:$B,'01. TH'!$B81,'TỔNG KLH + TN'!$C:$C,'01. TH'!G$4)</f>
        <v>0</v>
      </c>
      <c r="H81" s="1042">
        <f>COUNTIFS('TỔNG KLH + TN'!$B:$B,'01. TH'!$B81,'TỔNG KLH + TN'!$C:$C,'01. TH'!H$4)</f>
        <v>0</v>
      </c>
      <c r="I81" s="1042">
        <f>COUNTIFS('TỔNG KLH + TN'!$B:$B,'01. TH'!$B81,'TỔNG KLH + TN'!$C:$C,'01. TH'!I$4)</f>
        <v>0</v>
      </c>
      <c r="J81" s="1042">
        <f>COUNTIFS('TỔNG KLH + TN'!$B:$B,'01. TH'!$B81,'TỔNG KLH + TN'!$C:$C,'01. TH'!J$4)</f>
        <v>0</v>
      </c>
      <c r="K81" s="1042">
        <f>COUNTIFS('TỔNG KLH + TN'!$B:$B,'01. TH'!$B81,'TỔNG KLH + TN'!$C:$C,'01. TH'!K$4)</f>
        <v>0</v>
      </c>
      <c r="L81" s="1042">
        <f>COUNTIFS('TỔNG KLH + TN'!$B:$B,'01. TH'!$B81,'TỔNG KLH + TN'!$C:$C,'01. TH'!L$4)</f>
        <v>0</v>
      </c>
      <c r="M81" s="1042">
        <f>COUNTIFS('TỔNG KLH + TN'!$B:$B,'01. TH'!$B81,'TỔNG KLH + TN'!$C:$C,'01. TH'!M$4)</f>
        <v>0</v>
      </c>
      <c r="N81" s="1042">
        <f>COUNTIFS('TỔNG KLH + TN'!$B:$B,'01. TH'!$B81,'TỔNG KLH + TN'!$C:$C,'01. TH'!N$4)</f>
        <v>0</v>
      </c>
      <c r="O81" s="1042">
        <f>COUNTIFS('TỔNG KLH + TN'!$B:$B,'01. TH'!$B81,'TỔNG KLH + TN'!$C:$C,'01. TH'!O$4)</f>
        <v>0</v>
      </c>
      <c r="P81" s="1042">
        <f>COUNTIFS('TỔNG KLH + TN'!$B:$B,'01. TH'!$B81,'TỔNG KLH + TN'!$C:$C,'01. TH'!P$4)</f>
        <v>0</v>
      </c>
      <c r="Q81" s="1042">
        <f>COUNTIFS('TỔNG KLH + TN'!$B:$B,'01. TH'!$B81,'TỔNG KLH + TN'!$C:$C,'01. TH'!Q$4)</f>
        <v>0</v>
      </c>
      <c r="R81" s="1042">
        <f>COUNTIFS('TỔNG KLH + TN'!$B:$B,'01. TH'!$B81,'TỔNG KLH + TN'!$C:$C,'01. TH'!R$4)</f>
        <v>0</v>
      </c>
      <c r="S81" s="1042">
        <f>COUNTIFS('TỔNG KLH + TN'!$B:$B,'01. TH'!$B81,'TỔNG KLH + TN'!$C:$C,'01. TH'!S$4)</f>
        <v>0</v>
      </c>
      <c r="T81" s="1042">
        <f>COUNTIFS('TỔNG KLH + TN'!$B:$B,'01. TH'!$B81,'TỔNG KLH + TN'!$C:$C,'01. TH'!T$4)</f>
        <v>0</v>
      </c>
      <c r="U81" s="1042">
        <f>COUNTIFS('TỔNG KLH + TN'!$B:$B,'01. TH'!$B81,'TỔNG KLH + TN'!$C:$C,'01. TH'!U$4)</f>
        <v>0</v>
      </c>
      <c r="V81" s="1042">
        <f>COUNTIFS('TỔNG KLH + TN'!$B:$B,'01. TH'!$B81,'TỔNG KLH + TN'!$C:$C,'01. TH'!V$4)</f>
        <v>0</v>
      </c>
      <c r="W81" s="1042">
        <f>COUNTIFS('TỔNG KLH + TN'!$B:$B,'01. TH'!$B81,'TỔNG KLH + TN'!$C:$C,'01. TH'!W$4)</f>
        <v>0</v>
      </c>
      <c r="X81" s="1042">
        <f>COUNTIFS('TỔNG KLH + TN'!$B:$B,'01. TH'!$B81,'TỔNG KLH + TN'!$C:$C,'01. TH'!X$4)</f>
        <v>0</v>
      </c>
      <c r="Y81" s="1042">
        <f>COUNTIFS('TỔNG KLH + TN'!$B:$B,'01. TH'!$B81,'TỔNG KLH + TN'!$C:$C,'01. TH'!Y$4)</f>
        <v>0</v>
      </c>
      <c r="Z81" s="1042">
        <f>COUNTIFS('TỔNG KLH + TN'!$B:$B,'01. TH'!$B81,'TỔNG KLH + TN'!$C:$C,'01. TH'!Z$4)</f>
        <v>0</v>
      </c>
      <c r="AA81" s="1042">
        <f>COUNTIFS('TỔNG KLH + TN'!$B:$B,'01. TH'!$B81,'TỔNG KLH + TN'!$C:$C,'01. TH'!AA$4)</f>
        <v>0</v>
      </c>
      <c r="AB81" s="1042">
        <f>COUNTIFS('TỔNG KLH + TN'!$B:$B,'01. TH'!$B81,'TỔNG KLH + TN'!$C:$C,'01. TH'!AB$4)</f>
        <v>1</v>
      </c>
      <c r="AC81" s="1042">
        <f>COUNTIFS('TỔNG KLH + TN'!$B:$B,'01. TH'!$B81,'TỔNG KLH + TN'!$C:$C,'01. TH'!AC$4)</f>
        <v>0</v>
      </c>
      <c r="AD81" s="1042">
        <f>COUNTIFS('TỔNG KLH + TN'!$B:$B,'01. TH'!$B81,'TỔNG KLH + TN'!$C:$C,'01. TH'!AD$4)</f>
        <v>0</v>
      </c>
      <c r="AE81" s="1043">
        <f t="shared" si="18"/>
        <v>1</v>
      </c>
      <c r="AF81" s="1043"/>
      <c r="AG81" s="1033" t="str">
        <f t="shared" si="2"/>
        <v>ok</v>
      </c>
      <c r="AH81" s="1041"/>
    </row>
    <row r="82" ht="18.75" hidden="1" customHeight="1" outlineLevel="1" spans="1:34">
      <c r="A82" s="1049"/>
      <c r="B82" s="1040" t="s">
        <v>149</v>
      </c>
      <c r="C82" s="1041" t="s">
        <v>114</v>
      </c>
      <c r="D82" s="1041" t="str">
        <f>IFERROR(VLOOKUP(B82,'Danh mục'!$G:$U,15,0),"")</f>
        <v>11825 x 2500 x 3720</v>
      </c>
      <c r="E82" s="1041" t="s">
        <v>42</v>
      </c>
      <c r="F82" s="1042">
        <f>COUNTIFS('TỔNG KLH + TN'!$B:$B,'01. TH'!$B82,'TỔNG KLH + TN'!$C:$C,'01. TH'!F$4)</f>
        <v>0</v>
      </c>
      <c r="G82" s="1042">
        <f>COUNTIFS('TỔNG KLH + TN'!$B:$B,'01. TH'!$B82,'TỔNG KLH + TN'!$C:$C,'01. TH'!G$4)</f>
        <v>0</v>
      </c>
      <c r="H82" s="1042">
        <f>COUNTIFS('TỔNG KLH + TN'!$B:$B,'01. TH'!$B82,'TỔNG KLH + TN'!$C:$C,'01. TH'!H$4)</f>
        <v>0</v>
      </c>
      <c r="I82" s="1042">
        <f>COUNTIFS('TỔNG KLH + TN'!$B:$B,'01. TH'!$B82,'TỔNG KLH + TN'!$C:$C,'01. TH'!I$4)</f>
        <v>0</v>
      </c>
      <c r="J82" s="1042">
        <f>COUNTIFS('TỔNG KLH + TN'!$B:$B,'01. TH'!$B82,'TỔNG KLH + TN'!$C:$C,'01. TH'!J$4)</f>
        <v>0</v>
      </c>
      <c r="K82" s="1042">
        <f>COUNTIFS('TỔNG KLH + TN'!$B:$B,'01. TH'!$B82,'TỔNG KLH + TN'!$C:$C,'01. TH'!K$4)</f>
        <v>0</v>
      </c>
      <c r="L82" s="1042">
        <f>COUNTIFS('TỔNG KLH + TN'!$B:$B,'01. TH'!$B82,'TỔNG KLH + TN'!$C:$C,'01. TH'!L$4)</f>
        <v>0</v>
      </c>
      <c r="M82" s="1042">
        <f>COUNTIFS('TỔNG KLH + TN'!$B:$B,'01. TH'!$B82,'TỔNG KLH + TN'!$C:$C,'01. TH'!M$4)</f>
        <v>0</v>
      </c>
      <c r="N82" s="1042">
        <f>COUNTIFS('TỔNG KLH + TN'!$B:$B,'01. TH'!$B82,'TỔNG KLH + TN'!$C:$C,'01. TH'!N$4)</f>
        <v>0</v>
      </c>
      <c r="O82" s="1042">
        <f>COUNTIFS('TỔNG KLH + TN'!$B:$B,'01. TH'!$B82,'TỔNG KLH + TN'!$C:$C,'01. TH'!O$4)</f>
        <v>0</v>
      </c>
      <c r="P82" s="1042">
        <f>COUNTIFS('TỔNG KLH + TN'!$B:$B,'01. TH'!$B82,'TỔNG KLH + TN'!$C:$C,'01. TH'!P$4)</f>
        <v>0</v>
      </c>
      <c r="Q82" s="1042">
        <f>COUNTIFS('TỔNG KLH + TN'!$B:$B,'01. TH'!$B82,'TỔNG KLH + TN'!$C:$C,'01. TH'!Q$4)</f>
        <v>0</v>
      </c>
      <c r="R82" s="1042">
        <f>COUNTIFS('TỔNG KLH + TN'!$B:$B,'01. TH'!$B82,'TỔNG KLH + TN'!$C:$C,'01. TH'!R$4)</f>
        <v>0</v>
      </c>
      <c r="S82" s="1042">
        <f>COUNTIFS('TỔNG KLH + TN'!$B:$B,'01. TH'!$B82,'TỔNG KLH + TN'!$C:$C,'01. TH'!S$4)</f>
        <v>1</v>
      </c>
      <c r="T82" s="1042">
        <f>COUNTIFS('TỔNG KLH + TN'!$B:$B,'01. TH'!$B82,'TỔNG KLH + TN'!$C:$C,'01. TH'!T$4)</f>
        <v>0</v>
      </c>
      <c r="U82" s="1042">
        <f>COUNTIFS('TỔNG KLH + TN'!$B:$B,'01. TH'!$B82,'TỔNG KLH + TN'!$C:$C,'01. TH'!U$4)</f>
        <v>0</v>
      </c>
      <c r="V82" s="1042">
        <f>COUNTIFS('TỔNG KLH + TN'!$B:$B,'01. TH'!$B82,'TỔNG KLH + TN'!$C:$C,'01. TH'!V$4)</f>
        <v>0</v>
      </c>
      <c r="W82" s="1042">
        <f>COUNTIFS('TỔNG KLH + TN'!$B:$B,'01. TH'!$B82,'TỔNG KLH + TN'!$C:$C,'01. TH'!W$4)</f>
        <v>0</v>
      </c>
      <c r="X82" s="1042">
        <f>COUNTIFS('TỔNG KLH + TN'!$B:$B,'01. TH'!$B82,'TỔNG KLH + TN'!$C:$C,'01. TH'!X$4)</f>
        <v>0</v>
      </c>
      <c r="Y82" s="1042">
        <f>COUNTIFS('TỔNG KLH + TN'!$B:$B,'01. TH'!$B82,'TỔNG KLH + TN'!$C:$C,'01. TH'!Y$4)</f>
        <v>0</v>
      </c>
      <c r="Z82" s="1042">
        <f>COUNTIFS('TỔNG KLH + TN'!$B:$B,'01. TH'!$B82,'TỔNG KLH + TN'!$C:$C,'01. TH'!Z$4)</f>
        <v>0</v>
      </c>
      <c r="AA82" s="1042">
        <f>COUNTIFS('TỔNG KLH + TN'!$B:$B,'01. TH'!$B82,'TỔNG KLH + TN'!$C:$C,'01. TH'!AA$4)</f>
        <v>0</v>
      </c>
      <c r="AB82" s="1042">
        <f>COUNTIFS('TỔNG KLH + TN'!$B:$B,'01. TH'!$B82,'TỔNG KLH + TN'!$C:$C,'01. TH'!AB$4)</f>
        <v>0</v>
      </c>
      <c r="AC82" s="1042">
        <f>COUNTIFS('TỔNG KLH + TN'!$B:$B,'01. TH'!$B82,'TỔNG KLH + TN'!$C:$C,'01. TH'!AC$4)</f>
        <v>0</v>
      </c>
      <c r="AD82" s="1042">
        <f>COUNTIFS('TỔNG KLH + TN'!$B:$B,'01. TH'!$B82,'TỔNG KLH + TN'!$C:$C,'01. TH'!AD$4)</f>
        <v>0</v>
      </c>
      <c r="AE82" s="1045">
        <f t="shared" si="18"/>
        <v>1</v>
      </c>
      <c r="AF82" s="1045"/>
      <c r="AG82" s="1033" t="str">
        <f t="shared" si="2"/>
        <v>ok</v>
      </c>
      <c r="AH82" s="1049"/>
    </row>
    <row r="83" ht="18.75" hidden="1" customHeight="1" outlineLevel="1" spans="1:34">
      <c r="A83" s="1039"/>
      <c r="B83" s="1040" t="s">
        <v>150</v>
      </c>
      <c r="C83" s="1041" t="s">
        <v>151</v>
      </c>
      <c r="D83" s="1041" t="str">
        <f>IFERROR(VLOOKUP(B83,'Danh mục'!$G:$U,15,0),"")</f>
        <v>11845 x 2500 x 3690</v>
      </c>
      <c r="E83" s="1041" t="s">
        <v>42</v>
      </c>
      <c r="F83" s="1042">
        <f>COUNTIFS('TỔNG KLH + TN'!$B:$B,'01. TH'!$B83,'TỔNG KLH + TN'!$C:$C,'01. TH'!F$4)</f>
        <v>0</v>
      </c>
      <c r="G83" s="1042">
        <f>COUNTIFS('TỔNG KLH + TN'!$B:$B,'01. TH'!$B83,'TỔNG KLH + TN'!$C:$C,'01. TH'!G$4)</f>
        <v>0</v>
      </c>
      <c r="H83" s="1042">
        <f>COUNTIFS('TỔNG KLH + TN'!$B:$B,'01. TH'!$B83,'TỔNG KLH + TN'!$C:$C,'01. TH'!H$4)</f>
        <v>0</v>
      </c>
      <c r="I83" s="1042">
        <f>COUNTIFS('TỔNG KLH + TN'!$B:$B,'01. TH'!$B83,'TỔNG KLH + TN'!$C:$C,'01. TH'!I$4)</f>
        <v>0</v>
      </c>
      <c r="J83" s="1042">
        <f>COUNTIFS('TỔNG KLH + TN'!$B:$B,'01. TH'!$B83,'TỔNG KLH + TN'!$C:$C,'01. TH'!J$4)</f>
        <v>0</v>
      </c>
      <c r="K83" s="1042">
        <f>COUNTIFS('TỔNG KLH + TN'!$B:$B,'01. TH'!$B83,'TỔNG KLH + TN'!$C:$C,'01. TH'!K$4)</f>
        <v>0</v>
      </c>
      <c r="L83" s="1042">
        <f>COUNTIFS('TỔNG KLH + TN'!$B:$B,'01. TH'!$B83,'TỔNG KLH + TN'!$C:$C,'01. TH'!L$4)</f>
        <v>0</v>
      </c>
      <c r="M83" s="1042">
        <f>COUNTIFS('TỔNG KLH + TN'!$B:$B,'01. TH'!$B83,'TỔNG KLH + TN'!$C:$C,'01. TH'!M$4)</f>
        <v>0</v>
      </c>
      <c r="N83" s="1042">
        <f>COUNTIFS('TỔNG KLH + TN'!$B:$B,'01. TH'!$B83,'TỔNG KLH + TN'!$C:$C,'01. TH'!N$4)</f>
        <v>0</v>
      </c>
      <c r="O83" s="1042">
        <f>COUNTIFS('TỔNG KLH + TN'!$B:$B,'01. TH'!$B83,'TỔNG KLH + TN'!$C:$C,'01. TH'!O$4)</f>
        <v>0</v>
      </c>
      <c r="P83" s="1042">
        <f>COUNTIFS('TỔNG KLH + TN'!$B:$B,'01. TH'!$B83,'TỔNG KLH + TN'!$C:$C,'01. TH'!P$4)</f>
        <v>0</v>
      </c>
      <c r="Q83" s="1042">
        <f>COUNTIFS('TỔNG KLH + TN'!$B:$B,'01. TH'!$B83,'TỔNG KLH + TN'!$C:$C,'01. TH'!Q$4)</f>
        <v>0</v>
      </c>
      <c r="R83" s="1042">
        <f>COUNTIFS('TỔNG KLH + TN'!$B:$B,'01. TH'!$B83,'TỔNG KLH + TN'!$C:$C,'01. TH'!R$4)</f>
        <v>0</v>
      </c>
      <c r="S83" s="1042">
        <f>COUNTIFS('TỔNG KLH + TN'!$B:$B,'01. TH'!$B83,'TỔNG KLH + TN'!$C:$C,'01. TH'!S$4)</f>
        <v>0</v>
      </c>
      <c r="T83" s="1042">
        <f>COUNTIFS('TỔNG KLH + TN'!$B:$B,'01. TH'!$B83,'TỔNG KLH + TN'!$C:$C,'01. TH'!T$4)</f>
        <v>0</v>
      </c>
      <c r="U83" s="1042">
        <f>COUNTIFS('TỔNG KLH + TN'!$B:$B,'01. TH'!$B83,'TỔNG KLH + TN'!$C:$C,'01. TH'!U$4)</f>
        <v>0</v>
      </c>
      <c r="V83" s="1042">
        <f>COUNTIFS('TỔNG KLH + TN'!$B:$B,'01. TH'!$B83,'TỔNG KLH + TN'!$C:$C,'01. TH'!V$4)</f>
        <v>0</v>
      </c>
      <c r="W83" s="1042">
        <f>COUNTIFS('TỔNG KLH + TN'!$B:$B,'01. TH'!$B83,'TỔNG KLH + TN'!$C:$C,'01. TH'!W$4)</f>
        <v>0</v>
      </c>
      <c r="X83" s="1042">
        <f>COUNTIFS('TỔNG KLH + TN'!$B:$B,'01. TH'!$B83,'TỔNG KLH + TN'!$C:$C,'01. TH'!X$4)</f>
        <v>0</v>
      </c>
      <c r="Y83" s="1042">
        <f>COUNTIFS('TỔNG KLH + TN'!$B:$B,'01. TH'!$B83,'TỔNG KLH + TN'!$C:$C,'01. TH'!Y$4)</f>
        <v>0</v>
      </c>
      <c r="Z83" s="1042">
        <f>COUNTIFS('TỔNG KLH + TN'!$B:$B,'01. TH'!$B83,'TỔNG KLH + TN'!$C:$C,'01. TH'!Z$4)</f>
        <v>0</v>
      </c>
      <c r="AA83" s="1042">
        <f>COUNTIFS('TỔNG KLH + TN'!$B:$B,'01. TH'!$B83,'TỔNG KLH + TN'!$C:$C,'01. TH'!AA$4)</f>
        <v>0</v>
      </c>
      <c r="AB83" s="1042">
        <f>COUNTIFS('TỔNG KLH + TN'!$B:$B,'01. TH'!$B83,'TỔNG KLH + TN'!$C:$C,'01. TH'!AB$4)</f>
        <v>2</v>
      </c>
      <c r="AC83" s="1042">
        <f>COUNTIFS('TỔNG KLH + TN'!$B:$B,'01. TH'!$B83,'TỔNG KLH + TN'!$C:$C,'01. TH'!AC$4)</f>
        <v>0</v>
      </c>
      <c r="AD83" s="1042">
        <f>COUNTIFS('TỔNG KLH + TN'!$B:$B,'01. TH'!$B83,'TỔNG KLH + TN'!$C:$C,'01. TH'!AD$4)</f>
        <v>0</v>
      </c>
      <c r="AE83" s="1043">
        <f t="shared" si="18"/>
        <v>2</v>
      </c>
      <c r="AF83" s="1043"/>
      <c r="AG83" s="1033" t="str">
        <f t="shared" si="2"/>
        <v>ok</v>
      </c>
      <c r="AH83" s="1041"/>
    </row>
    <row r="84" ht="18.75" hidden="1" customHeight="1" outlineLevel="1" spans="1:34">
      <c r="A84" s="1049"/>
      <c r="B84" s="1040" t="s">
        <v>152</v>
      </c>
      <c r="C84" s="1041" t="s">
        <v>134</v>
      </c>
      <c r="D84" s="1041" t="str">
        <f>IFERROR(VLOOKUP(B84,'Danh mục'!$G:$U,15,0),"")</f>
        <v>13530 x 2600 x 3700</v>
      </c>
      <c r="E84" s="1041" t="s">
        <v>42</v>
      </c>
      <c r="F84" s="1042">
        <f>COUNTIFS('TỔNG KLH + TN'!$B:$B,'01. TH'!$B84,'TỔNG KLH + TN'!$C:$C,'01. TH'!F$4)</f>
        <v>0</v>
      </c>
      <c r="G84" s="1042">
        <f>COUNTIFS('TỔNG KLH + TN'!$B:$B,'01. TH'!$B84,'TỔNG KLH + TN'!$C:$C,'01. TH'!G$4)</f>
        <v>0</v>
      </c>
      <c r="H84" s="1042">
        <f>COUNTIFS('TỔNG KLH + TN'!$B:$B,'01. TH'!$B84,'TỔNG KLH + TN'!$C:$C,'01. TH'!H$4)</f>
        <v>0</v>
      </c>
      <c r="I84" s="1042">
        <f>COUNTIFS('TỔNG KLH + TN'!$B:$B,'01. TH'!$B84,'TỔNG KLH + TN'!$C:$C,'01. TH'!I$4)</f>
        <v>0</v>
      </c>
      <c r="J84" s="1042">
        <f>COUNTIFS('TỔNG KLH + TN'!$B:$B,'01. TH'!$B84,'TỔNG KLH + TN'!$C:$C,'01. TH'!J$4)</f>
        <v>0</v>
      </c>
      <c r="K84" s="1042">
        <f>COUNTIFS('TỔNG KLH + TN'!$B:$B,'01. TH'!$B84,'TỔNG KLH + TN'!$C:$C,'01. TH'!K$4)</f>
        <v>0</v>
      </c>
      <c r="L84" s="1042">
        <f>COUNTIFS('TỔNG KLH + TN'!$B:$B,'01. TH'!$B84,'TỔNG KLH + TN'!$C:$C,'01. TH'!L$4)</f>
        <v>0</v>
      </c>
      <c r="M84" s="1042">
        <f>COUNTIFS('TỔNG KLH + TN'!$B:$B,'01. TH'!$B84,'TỔNG KLH + TN'!$C:$C,'01. TH'!M$4)</f>
        <v>0</v>
      </c>
      <c r="N84" s="1042">
        <f>COUNTIFS('TỔNG KLH + TN'!$B:$B,'01. TH'!$B84,'TỔNG KLH + TN'!$C:$C,'01. TH'!N$4)</f>
        <v>0</v>
      </c>
      <c r="O84" s="1042">
        <f>COUNTIFS('TỔNG KLH + TN'!$B:$B,'01. TH'!$B84,'TỔNG KLH + TN'!$C:$C,'01. TH'!O$4)</f>
        <v>0</v>
      </c>
      <c r="P84" s="1042">
        <f>COUNTIFS('TỔNG KLH + TN'!$B:$B,'01. TH'!$B84,'TỔNG KLH + TN'!$C:$C,'01. TH'!P$4)</f>
        <v>0</v>
      </c>
      <c r="Q84" s="1042">
        <f>COUNTIFS('TỔNG KLH + TN'!$B:$B,'01. TH'!$B84,'TỔNG KLH + TN'!$C:$C,'01. TH'!Q$4)</f>
        <v>0</v>
      </c>
      <c r="R84" s="1042">
        <f>COUNTIFS('TỔNG KLH + TN'!$B:$B,'01. TH'!$B84,'TỔNG KLH + TN'!$C:$C,'01. TH'!R$4)</f>
        <v>0</v>
      </c>
      <c r="S84" s="1042">
        <f>COUNTIFS('TỔNG KLH + TN'!$B:$B,'01. TH'!$B84,'TỔNG KLH + TN'!$C:$C,'01. TH'!S$4)</f>
        <v>0</v>
      </c>
      <c r="T84" s="1042">
        <f>COUNTIFS('TỔNG KLH + TN'!$B:$B,'01. TH'!$B84,'TỔNG KLH + TN'!$C:$C,'01. TH'!T$4)</f>
        <v>0</v>
      </c>
      <c r="U84" s="1042">
        <f>COUNTIFS('TỔNG KLH + TN'!$B:$B,'01. TH'!$B84,'TỔNG KLH + TN'!$C:$C,'01. TH'!U$4)</f>
        <v>0</v>
      </c>
      <c r="V84" s="1042">
        <f>COUNTIFS('TỔNG KLH + TN'!$B:$B,'01. TH'!$B84,'TỔNG KLH + TN'!$C:$C,'01. TH'!V$4)</f>
        <v>0</v>
      </c>
      <c r="W84" s="1042">
        <f>COUNTIFS('TỔNG KLH + TN'!$B:$B,'01. TH'!$B84,'TỔNG KLH + TN'!$C:$C,'01. TH'!W$4)</f>
        <v>0</v>
      </c>
      <c r="X84" s="1042">
        <f>COUNTIFS('TỔNG KLH + TN'!$B:$B,'01. TH'!$B84,'TỔNG KLH + TN'!$C:$C,'01. TH'!X$4)</f>
        <v>0</v>
      </c>
      <c r="Y84" s="1042">
        <f>COUNTIFS('TỔNG KLH + TN'!$B:$B,'01. TH'!$B84,'TỔNG KLH + TN'!$C:$C,'01. TH'!Y$4)</f>
        <v>0</v>
      </c>
      <c r="Z84" s="1042">
        <f>COUNTIFS('TỔNG KLH + TN'!$B:$B,'01. TH'!$B84,'TỔNG KLH + TN'!$C:$C,'01. TH'!Z$4)</f>
        <v>0</v>
      </c>
      <c r="AA84" s="1042">
        <f>COUNTIFS('TỔNG KLH + TN'!$B:$B,'01. TH'!$B84,'TỔNG KLH + TN'!$C:$C,'01. TH'!AA$4)</f>
        <v>0</v>
      </c>
      <c r="AB84" s="1042">
        <f>COUNTIFS('TỔNG KLH + TN'!$B:$B,'01. TH'!$B84,'TỔNG KLH + TN'!$C:$C,'01. TH'!AB$4)</f>
        <v>1</v>
      </c>
      <c r="AC84" s="1042">
        <f>COUNTIFS('TỔNG KLH + TN'!$B:$B,'01. TH'!$B84,'TỔNG KLH + TN'!$C:$C,'01. TH'!AC$4)</f>
        <v>0</v>
      </c>
      <c r="AD84" s="1042">
        <f>COUNTIFS('TỔNG KLH + TN'!$B:$B,'01. TH'!$B84,'TỔNG KLH + TN'!$C:$C,'01. TH'!AD$4)</f>
        <v>0</v>
      </c>
      <c r="AE84" s="1045">
        <f t="shared" si="18"/>
        <v>1</v>
      </c>
      <c r="AF84" s="1045"/>
      <c r="AG84" s="1033" t="str">
        <f t="shared" si="2"/>
        <v>ok</v>
      </c>
      <c r="AH84" s="1049"/>
    </row>
    <row r="85" ht="24" customHeight="1" collapsed="1" spans="1:34">
      <c r="A85" s="1033">
        <v>10</v>
      </c>
      <c r="B85" s="1034" t="s">
        <v>153</v>
      </c>
      <c r="C85" s="1035"/>
      <c r="D85" s="1035" t="str">
        <f>IFERROR(VLOOKUP(B85,'Danh mục'!$G:$U,15,0),"")</f>
        <v/>
      </c>
      <c r="E85" s="1035"/>
      <c r="F85" s="1047">
        <f t="shared" ref="F85:AE85" si="19">SUM(F86:F89)</f>
        <v>0</v>
      </c>
      <c r="G85" s="1047">
        <f t="shared" si="19"/>
        <v>0</v>
      </c>
      <c r="H85" s="1047">
        <f t="shared" si="19"/>
        <v>0</v>
      </c>
      <c r="I85" s="1047">
        <f t="shared" si="19"/>
        <v>0</v>
      </c>
      <c r="J85" s="1047">
        <f t="shared" si="19"/>
        <v>0</v>
      </c>
      <c r="K85" s="1047">
        <f t="shared" si="19"/>
        <v>0</v>
      </c>
      <c r="L85" s="1047">
        <f t="shared" si="19"/>
        <v>0</v>
      </c>
      <c r="M85" s="1047">
        <f t="shared" si="19"/>
        <v>0</v>
      </c>
      <c r="N85" s="1047">
        <f t="shared" si="19"/>
        <v>0</v>
      </c>
      <c r="O85" s="1047">
        <f t="shared" si="19"/>
        <v>0</v>
      </c>
      <c r="P85" s="1047">
        <f t="shared" si="19"/>
        <v>0</v>
      </c>
      <c r="Q85" s="1047">
        <f t="shared" si="19"/>
        <v>0</v>
      </c>
      <c r="R85" s="1047">
        <f t="shared" si="19"/>
        <v>0</v>
      </c>
      <c r="S85" s="1047">
        <f t="shared" si="19"/>
        <v>0</v>
      </c>
      <c r="T85" s="1047">
        <f t="shared" si="19"/>
        <v>0</v>
      </c>
      <c r="U85" s="1047">
        <f t="shared" si="19"/>
        <v>0</v>
      </c>
      <c r="V85" s="1047">
        <f t="shared" si="19"/>
        <v>0</v>
      </c>
      <c r="W85" s="1047">
        <f t="shared" si="19"/>
        <v>6</v>
      </c>
      <c r="X85" s="1047">
        <f t="shared" si="19"/>
        <v>0</v>
      </c>
      <c r="Y85" s="1047">
        <f t="shared" si="19"/>
        <v>0</v>
      </c>
      <c r="Z85" s="1047">
        <f t="shared" si="19"/>
        <v>0</v>
      </c>
      <c r="AA85" s="1047">
        <f t="shared" si="19"/>
        <v>0</v>
      </c>
      <c r="AB85" s="1047">
        <f t="shared" si="19"/>
        <v>0</v>
      </c>
      <c r="AC85" s="1047">
        <f t="shared" si="19"/>
        <v>0</v>
      </c>
      <c r="AD85" s="1047">
        <f t="shared" si="19"/>
        <v>0</v>
      </c>
      <c r="AE85" s="1048">
        <f t="shared" si="19"/>
        <v>6</v>
      </c>
      <c r="AF85" s="1048">
        <v>0</v>
      </c>
      <c r="AG85" s="1033" t="str">
        <f t="shared" si="2"/>
        <v>ok</v>
      </c>
      <c r="AH85" s="1038"/>
    </row>
    <row r="86" ht="18.75" hidden="1" customHeight="1" outlineLevel="1" spans="1:34">
      <c r="A86" s="1039"/>
      <c r="B86" s="1040" t="s">
        <v>154</v>
      </c>
      <c r="C86" s="1041" t="s">
        <v>141</v>
      </c>
      <c r="D86" s="1041" t="str">
        <f>IFERROR(VLOOKUP(B86,'Danh mục'!$G:$U,15,0),"")</f>
        <v/>
      </c>
      <c r="E86" s="1041" t="s">
        <v>42</v>
      </c>
      <c r="F86" s="1042">
        <f>COUNTIFS('TỔNG KLH + TN'!$B:$B,'01. TH'!$B86,'TỔNG KLH + TN'!$C:$C,'01. TH'!F$4)</f>
        <v>0</v>
      </c>
      <c r="G86" s="1042">
        <f>COUNTIFS('TỔNG KLH + TN'!$B:$B,'01. TH'!$B86,'TỔNG KLH + TN'!$C:$C,'01. TH'!G$4)</f>
        <v>0</v>
      </c>
      <c r="H86" s="1042">
        <f>COUNTIFS('TỔNG KLH + TN'!$B:$B,'01. TH'!$B86,'TỔNG KLH + TN'!$C:$C,'01. TH'!H$4)</f>
        <v>0</v>
      </c>
      <c r="I86" s="1042">
        <f>COUNTIFS('TỔNG KLH + TN'!$B:$B,'01. TH'!$B86,'TỔNG KLH + TN'!$C:$C,'01. TH'!I$4)</f>
        <v>0</v>
      </c>
      <c r="J86" s="1042">
        <f>COUNTIFS('TỔNG KLH + TN'!$B:$B,'01. TH'!$B86,'TỔNG KLH + TN'!$C:$C,'01. TH'!J$4)</f>
        <v>0</v>
      </c>
      <c r="K86" s="1042">
        <f>COUNTIFS('TỔNG KLH + TN'!$B:$B,'01. TH'!$B86,'TỔNG KLH + TN'!$C:$C,'01. TH'!K$4)</f>
        <v>0</v>
      </c>
      <c r="L86" s="1042">
        <f>COUNTIFS('TỔNG KLH + TN'!$B:$B,'01. TH'!$B86,'TỔNG KLH + TN'!$C:$C,'01. TH'!L$4)</f>
        <v>0</v>
      </c>
      <c r="M86" s="1042">
        <f>COUNTIFS('TỔNG KLH + TN'!$B:$B,'01. TH'!$B86,'TỔNG KLH + TN'!$C:$C,'01. TH'!M$4)</f>
        <v>0</v>
      </c>
      <c r="N86" s="1042">
        <f>COUNTIFS('TỔNG KLH + TN'!$B:$B,'01. TH'!$B86,'TỔNG KLH + TN'!$C:$C,'01. TH'!N$4)</f>
        <v>0</v>
      </c>
      <c r="O86" s="1042">
        <f>COUNTIFS('TỔNG KLH + TN'!$B:$B,'01. TH'!$B86,'TỔNG KLH + TN'!$C:$C,'01. TH'!O$4)</f>
        <v>0</v>
      </c>
      <c r="P86" s="1042">
        <f>COUNTIFS('TỔNG KLH + TN'!$B:$B,'01. TH'!$B86,'TỔNG KLH + TN'!$C:$C,'01. TH'!P$4)</f>
        <v>0</v>
      </c>
      <c r="Q86" s="1042">
        <f>COUNTIFS('TỔNG KLH + TN'!$B:$B,'01. TH'!$B86,'TỔNG KLH + TN'!$C:$C,'01. TH'!Q$4)</f>
        <v>0</v>
      </c>
      <c r="R86" s="1042">
        <f>COUNTIFS('TỔNG KLH + TN'!$B:$B,'01. TH'!$B86,'TỔNG KLH + TN'!$C:$C,'01. TH'!R$4)</f>
        <v>0</v>
      </c>
      <c r="S86" s="1042">
        <f>COUNTIFS('TỔNG KLH + TN'!$B:$B,'01. TH'!$B86,'TỔNG KLH + TN'!$C:$C,'01. TH'!S$4)</f>
        <v>0</v>
      </c>
      <c r="T86" s="1042">
        <f>COUNTIFS('TỔNG KLH + TN'!$B:$B,'01. TH'!$B86,'TỔNG KLH + TN'!$C:$C,'01. TH'!T$4)</f>
        <v>0</v>
      </c>
      <c r="U86" s="1042">
        <f>COUNTIFS('TỔNG KLH + TN'!$B:$B,'01. TH'!$B86,'TỔNG KLH + TN'!$C:$C,'01. TH'!U$4)</f>
        <v>0</v>
      </c>
      <c r="V86" s="1042">
        <f>COUNTIFS('TỔNG KLH + TN'!$B:$B,'01. TH'!$B86,'TỔNG KLH + TN'!$C:$C,'01. TH'!V$4)</f>
        <v>0</v>
      </c>
      <c r="W86" s="1042">
        <f>COUNTIFS('TỔNG KLH + TN'!$B:$B,'01. TH'!$B86,'TỔNG KLH + TN'!$C:$C,'01. TH'!W$4)</f>
        <v>6</v>
      </c>
      <c r="X86" s="1042">
        <f>COUNTIFS('TỔNG KLH + TN'!$B:$B,'01. TH'!$B86,'TỔNG KLH + TN'!$C:$C,'01. TH'!X$4)</f>
        <v>0</v>
      </c>
      <c r="Y86" s="1042">
        <f>COUNTIFS('TỔNG KLH + TN'!$B:$B,'01. TH'!$B86,'TỔNG KLH + TN'!$C:$C,'01. TH'!Y$4)</f>
        <v>0</v>
      </c>
      <c r="Z86" s="1042">
        <f>COUNTIFS('TỔNG KLH + TN'!$B:$B,'01. TH'!$B86,'TỔNG KLH + TN'!$C:$C,'01. TH'!Z$4)</f>
        <v>0</v>
      </c>
      <c r="AA86" s="1042">
        <f>COUNTIFS('TỔNG KLH + TN'!$B:$B,'01. TH'!$B86,'TỔNG KLH + TN'!$C:$C,'01. TH'!AA$4)</f>
        <v>0</v>
      </c>
      <c r="AB86" s="1042">
        <f>COUNTIFS('TỔNG KLH + TN'!$B:$B,'01. TH'!$B86,'TỔNG KLH + TN'!$C:$C,'01. TH'!AB$4)</f>
        <v>0</v>
      </c>
      <c r="AC86" s="1042">
        <f>COUNTIFS('TỔNG KLH + TN'!$B:$B,'01. TH'!$B86,'TỔNG KLH + TN'!$C:$C,'01. TH'!AC$4)</f>
        <v>0</v>
      </c>
      <c r="AD86" s="1042">
        <f>COUNTIFS('TỔNG KLH + TN'!$B:$B,'01. TH'!$B86,'TỔNG KLH + TN'!$C:$C,'01. TH'!AD$4)</f>
        <v>0</v>
      </c>
      <c r="AE86" s="1043">
        <f t="shared" ref="AE86:AE89" si="20">SUM(F86:AD86)</f>
        <v>6</v>
      </c>
      <c r="AF86" s="1043"/>
      <c r="AG86" s="1033" t="str">
        <f t="shared" si="2"/>
        <v>ok</v>
      </c>
      <c r="AH86" s="1039"/>
    </row>
    <row r="87" ht="18.75" hidden="1" customHeight="1" outlineLevel="1" spans="1:34">
      <c r="A87" s="1044"/>
      <c r="B87" s="1040" t="s">
        <v>155</v>
      </c>
      <c r="C87" s="1041" t="s">
        <v>156</v>
      </c>
      <c r="D87" s="1041" t="s">
        <v>157</v>
      </c>
      <c r="E87" s="1041" t="s">
        <v>42</v>
      </c>
      <c r="F87" s="1042">
        <f>COUNTIFS('TỔNG KLH + TN'!$B:$B,'01. TH'!$B87,'TỔNG KLH + TN'!$C:$C,'01. TH'!F$4)</f>
        <v>0</v>
      </c>
      <c r="G87" s="1042">
        <f>COUNTIFS('TỔNG KLH + TN'!$B:$B,'01. TH'!$B87,'TỔNG KLH + TN'!$C:$C,'01. TH'!G$4)</f>
        <v>0</v>
      </c>
      <c r="H87" s="1042">
        <f>COUNTIFS('TỔNG KLH + TN'!$B:$B,'01. TH'!$B87,'TỔNG KLH + TN'!$C:$C,'01. TH'!H$4)</f>
        <v>0</v>
      </c>
      <c r="I87" s="1042">
        <f>COUNTIFS('TỔNG KLH + TN'!$B:$B,'01. TH'!$B87,'TỔNG KLH + TN'!$C:$C,'01. TH'!I$4)</f>
        <v>0</v>
      </c>
      <c r="J87" s="1042">
        <f>COUNTIFS('TỔNG KLH + TN'!$B:$B,'01. TH'!$B87,'TỔNG KLH + TN'!$C:$C,'01. TH'!J$4)</f>
        <v>0</v>
      </c>
      <c r="K87" s="1042">
        <f>COUNTIFS('TỔNG KLH + TN'!$B:$B,'01. TH'!$B87,'TỔNG KLH + TN'!$C:$C,'01. TH'!K$4)</f>
        <v>0</v>
      </c>
      <c r="L87" s="1042">
        <f>COUNTIFS('TỔNG KLH + TN'!$B:$B,'01. TH'!$B87,'TỔNG KLH + TN'!$C:$C,'01. TH'!L$4)</f>
        <v>0</v>
      </c>
      <c r="M87" s="1042">
        <f>COUNTIFS('TỔNG KLH + TN'!$B:$B,'01. TH'!$B87,'TỔNG KLH + TN'!$C:$C,'01. TH'!M$4)</f>
        <v>0</v>
      </c>
      <c r="N87" s="1042">
        <f>COUNTIFS('TỔNG KLH + TN'!$B:$B,'01. TH'!$B87,'TỔNG KLH + TN'!$C:$C,'01. TH'!N$4)</f>
        <v>0</v>
      </c>
      <c r="O87" s="1042">
        <f>COUNTIFS('TỔNG KLH + TN'!$B:$B,'01. TH'!$B87,'TỔNG KLH + TN'!$C:$C,'01. TH'!O$4)</f>
        <v>0</v>
      </c>
      <c r="P87" s="1042">
        <f>COUNTIFS('TỔNG KLH + TN'!$B:$B,'01. TH'!$B87,'TỔNG KLH + TN'!$C:$C,'01. TH'!P$4)</f>
        <v>0</v>
      </c>
      <c r="Q87" s="1042">
        <f>COUNTIFS('TỔNG KLH + TN'!$B:$B,'01. TH'!$B87,'TỔNG KLH + TN'!$C:$C,'01. TH'!Q$4)</f>
        <v>0</v>
      </c>
      <c r="R87" s="1042">
        <f>COUNTIFS('TỔNG KLH + TN'!$B:$B,'01. TH'!$B87,'TỔNG KLH + TN'!$C:$C,'01. TH'!R$4)</f>
        <v>0</v>
      </c>
      <c r="S87" s="1042">
        <f>COUNTIFS('TỔNG KLH + TN'!$B:$B,'01. TH'!$B87,'TỔNG KLH + TN'!$C:$C,'01. TH'!S$4)</f>
        <v>0</v>
      </c>
      <c r="T87" s="1042">
        <f>COUNTIFS('TỔNG KLH + TN'!$B:$B,'01. TH'!$B87,'TỔNG KLH + TN'!$C:$C,'01. TH'!T$4)</f>
        <v>0</v>
      </c>
      <c r="U87" s="1042">
        <f>COUNTIFS('TỔNG KLH + TN'!$B:$B,'01. TH'!$B87,'TỔNG KLH + TN'!$C:$C,'01. TH'!U$4)</f>
        <v>0</v>
      </c>
      <c r="V87" s="1042">
        <f>COUNTIFS('TỔNG KLH + TN'!$B:$B,'01. TH'!$B87,'TỔNG KLH + TN'!$C:$C,'01. TH'!V$4)</f>
        <v>0</v>
      </c>
      <c r="W87" s="1042">
        <f>COUNTIFS('TỔNG KLH + TN'!$B:$B,'01. TH'!$B87,'TỔNG KLH + TN'!$C:$C,'01. TH'!W$4)</f>
        <v>0</v>
      </c>
      <c r="X87" s="1042">
        <f>COUNTIFS('TỔNG KLH + TN'!$B:$B,'01. TH'!$B87,'TỔNG KLH + TN'!$C:$C,'01. TH'!X$4)</f>
        <v>0</v>
      </c>
      <c r="Y87" s="1042">
        <f>COUNTIFS('TỔNG KLH + TN'!$B:$B,'01. TH'!$B87,'TỔNG KLH + TN'!$C:$C,'01. TH'!Y$4)</f>
        <v>0</v>
      </c>
      <c r="Z87" s="1042">
        <f>COUNTIFS('TỔNG KLH + TN'!$B:$B,'01. TH'!$B87,'TỔNG KLH + TN'!$C:$C,'01. TH'!Z$4)</f>
        <v>0</v>
      </c>
      <c r="AA87" s="1042">
        <f>COUNTIFS('TỔNG KLH + TN'!$B:$B,'01. TH'!$B87,'TỔNG KLH + TN'!$C:$C,'01. TH'!AA$4)</f>
        <v>0</v>
      </c>
      <c r="AB87" s="1042">
        <f>COUNTIFS('TỔNG KLH + TN'!$B:$B,'01. TH'!$B87,'TỔNG KLH + TN'!$C:$C,'01. TH'!AB$4)</f>
        <v>0</v>
      </c>
      <c r="AC87" s="1042">
        <f>COUNTIFS('TỔNG KLH + TN'!$B:$B,'01. TH'!$B87,'TỔNG KLH + TN'!$C:$C,'01. TH'!AC$4)</f>
        <v>0</v>
      </c>
      <c r="AD87" s="1042">
        <f>COUNTIFS('TỔNG KLH + TN'!$B:$B,'01. TH'!$B87,'TỔNG KLH + TN'!$C:$C,'01. TH'!AD$4)</f>
        <v>0</v>
      </c>
      <c r="AE87" s="1045">
        <f t="shared" si="20"/>
        <v>0</v>
      </c>
      <c r="AF87" s="1045"/>
      <c r="AG87" s="1033" t="str">
        <f t="shared" si="2"/>
        <v>ok</v>
      </c>
      <c r="AH87" s="1041"/>
    </row>
    <row r="88" ht="18.75" hidden="1" customHeight="1" outlineLevel="1" spans="1:34">
      <c r="A88" s="1049"/>
      <c r="B88" s="1040" t="s">
        <v>158</v>
      </c>
      <c r="C88" s="1041" t="s">
        <v>159</v>
      </c>
      <c r="D88" s="1041" t="s">
        <v>160</v>
      </c>
      <c r="E88" s="1041" t="s">
        <v>42</v>
      </c>
      <c r="F88" s="1042">
        <f>COUNTIFS('TỔNG KLH + TN'!$B:$B,'01. TH'!$B88,'TỔNG KLH + TN'!$C:$C,'01. TH'!F$4)</f>
        <v>0</v>
      </c>
      <c r="G88" s="1042">
        <f>COUNTIFS('TỔNG KLH + TN'!$B:$B,'01. TH'!$B88,'TỔNG KLH + TN'!$C:$C,'01. TH'!G$4)</f>
        <v>0</v>
      </c>
      <c r="H88" s="1042">
        <f>COUNTIFS('TỔNG KLH + TN'!$B:$B,'01. TH'!$B88,'TỔNG KLH + TN'!$C:$C,'01. TH'!H$4)</f>
        <v>0</v>
      </c>
      <c r="I88" s="1042">
        <f>COUNTIFS('TỔNG KLH + TN'!$B:$B,'01. TH'!$B88,'TỔNG KLH + TN'!$C:$C,'01. TH'!I$4)</f>
        <v>0</v>
      </c>
      <c r="J88" s="1042">
        <f>COUNTIFS('TỔNG KLH + TN'!$B:$B,'01. TH'!$B88,'TỔNG KLH + TN'!$C:$C,'01. TH'!J$4)</f>
        <v>0</v>
      </c>
      <c r="K88" s="1042">
        <f>COUNTIFS('TỔNG KLH + TN'!$B:$B,'01. TH'!$B88,'TỔNG KLH + TN'!$C:$C,'01. TH'!K$4)</f>
        <v>0</v>
      </c>
      <c r="L88" s="1042">
        <f>COUNTIFS('TỔNG KLH + TN'!$B:$B,'01. TH'!$B88,'TỔNG KLH + TN'!$C:$C,'01. TH'!L$4)</f>
        <v>0</v>
      </c>
      <c r="M88" s="1042">
        <f>COUNTIFS('TỔNG KLH + TN'!$B:$B,'01. TH'!$B88,'TỔNG KLH + TN'!$C:$C,'01. TH'!M$4)</f>
        <v>0</v>
      </c>
      <c r="N88" s="1042">
        <f>COUNTIFS('TỔNG KLH + TN'!$B:$B,'01. TH'!$B88,'TỔNG KLH + TN'!$C:$C,'01. TH'!N$4)</f>
        <v>0</v>
      </c>
      <c r="O88" s="1042">
        <f>COUNTIFS('TỔNG KLH + TN'!$B:$B,'01. TH'!$B88,'TỔNG KLH + TN'!$C:$C,'01. TH'!O$4)</f>
        <v>0</v>
      </c>
      <c r="P88" s="1042">
        <f>COUNTIFS('TỔNG KLH + TN'!$B:$B,'01. TH'!$B88,'TỔNG KLH + TN'!$C:$C,'01. TH'!P$4)</f>
        <v>0</v>
      </c>
      <c r="Q88" s="1042">
        <f>COUNTIFS('TỔNG KLH + TN'!$B:$B,'01. TH'!$B88,'TỔNG KLH + TN'!$C:$C,'01. TH'!Q$4)</f>
        <v>0</v>
      </c>
      <c r="R88" s="1042">
        <f>COUNTIFS('TỔNG KLH + TN'!$B:$B,'01. TH'!$B88,'TỔNG KLH + TN'!$C:$C,'01. TH'!R$4)</f>
        <v>0</v>
      </c>
      <c r="S88" s="1042">
        <f>COUNTIFS('TỔNG KLH + TN'!$B:$B,'01. TH'!$B88,'TỔNG KLH + TN'!$C:$C,'01. TH'!S$4)</f>
        <v>0</v>
      </c>
      <c r="T88" s="1042">
        <f>COUNTIFS('TỔNG KLH + TN'!$B:$B,'01. TH'!$B88,'TỔNG KLH + TN'!$C:$C,'01. TH'!T$4)</f>
        <v>0</v>
      </c>
      <c r="U88" s="1042">
        <f>COUNTIFS('TỔNG KLH + TN'!$B:$B,'01. TH'!$B88,'TỔNG KLH + TN'!$C:$C,'01. TH'!U$4)</f>
        <v>0</v>
      </c>
      <c r="V88" s="1042">
        <f>COUNTIFS('TỔNG KLH + TN'!$B:$B,'01. TH'!$B88,'TỔNG KLH + TN'!$C:$C,'01. TH'!V$4)</f>
        <v>0</v>
      </c>
      <c r="W88" s="1042">
        <f>COUNTIFS('TỔNG KLH + TN'!$B:$B,'01. TH'!$B88,'TỔNG KLH + TN'!$C:$C,'01. TH'!W$4)</f>
        <v>0</v>
      </c>
      <c r="X88" s="1042">
        <f>COUNTIFS('TỔNG KLH + TN'!$B:$B,'01. TH'!$B88,'TỔNG KLH + TN'!$C:$C,'01. TH'!X$4)</f>
        <v>0</v>
      </c>
      <c r="Y88" s="1042">
        <f>COUNTIFS('TỔNG KLH + TN'!$B:$B,'01. TH'!$B88,'TỔNG KLH + TN'!$C:$C,'01. TH'!Y$4)</f>
        <v>0</v>
      </c>
      <c r="Z88" s="1042">
        <f>COUNTIFS('TỔNG KLH + TN'!$B:$B,'01. TH'!$B88,'TỔNG KLH + TN'!$C:$C,'01. TH'!Z$4)</f>
        <v>0</v>
      </c>
      <c r="AA88" s="1042">
        <f>COUNTIFS('TỔNG KLH + TN'!$B:$B,'01. TH'!$B88,'TỔNG KLH + TN'!$C:$C,'01. TH'!AA$4)</f>
        <v>0</v>
      </c>
      <c r="AB88" s="1042">
        <f>COUNTIFS('TỔNG KLH + TN'!$B:$B,'01. TH'!$B88,'TỔNG KLH + TN'!$C:$C,'01. TH'!AB$4)</f>
        <v>0</v>
      </c>
      <c r="AC88" s="1042">
        <f>COUNTIFS('TỔNG KLH + TN'!$B:$B,'01. TH'!$B88,'TỔNG KLH + TN'!$C:$C,'01. TH'!AC$4)</f>
        <v>0</v>
      </c>
      <c r="AD88" s="1042">
        <f>COUNTIFS('TỔNG KLH + TN'!$B:$B,'01. TH'!$B88,'TỔNG KLH + TN'!$C:$C,'01. TH'!AD$4)</f>
        <v>0</v>
      </c>
      <c r="AE88" s="1045">
        <f t="shared" si="20"/>
        <v>0</v>
      </c>
      <c r="AF88" s="1045"/>
      <c r="AG88" s="1033" t="str">
        <f t="shared" si="2"/>
        <v>ok</v>
      </c>
      <c r="AH88" s="1049"/>
    </row>
    <row r="89" ht="18.75" hidden="1" customHeight="1" outlineLevel="1" spans="1:34">
      <c r="A89" s="1044"/>
      <c r="B89" s="1040" t="s">
        <v>161</v>
      </c>
      <c r="C89" s="1041" t="s">
        <v>162</v>
      </c>
      <c r="D89" s="1041" t="s">
        <v>160</v>
      </c>
      <c r="E89" s="1041" t="s">
        <v>42</v>
      </c>
      <c r="F89" s="1042">
        <f>COUNTIFS('TỔNG KLH + TN'!$B:$B,'01. TH'!$B89,'TỔNG KLH + TN'!$C:$C,'01. TH'!F$4)</f>
        <v>0</v>
      </c>
      <c r="G89" s="1042">
        <f>COUNTIFS('TỔNG KLH + TN'!$B:$B,'01. TH'!$B89,'TỔNG KLH + TN'!$C:$C,'01. TH'!G$4)</f>
        <v>0</v>
      </c>
      <c r="H89" s="1042">
        <f>COUNTIFS('TỔNG KLH + TN'!$B:$B,'01. TH'!$B89,'TỔNG KLH + TN'!$C:$C,'01. TH'!H$4)</f>
        <v>0</v>
      </c>
      <c r="I89" s="1042">
        <f>COUNTIFS('TỔNG KLH + TN'!$B:$B,'01. TH'!$B89,'TỔNG KLH + TN'!$C:$C,'01. TH'!I$4)</f>
        <v>0</v>
      </c>
      <c r="J89" s="1042">
        <f>COUNTIFS('TỔNG KLH + TN'!$B:$B,'01. TH'!$B89,'TỔNG KLH + TN'!$C:$C,'01. TH'!J$4)</f>
        <v>0</v>
      </c>
      <c r="K89" s="1042">
        <f>COUNTIFS('TỔNG KLH + TN'!$B:$B,'01. TH'!$B89,'TỔNG KLH + TN'!$C:$C,'01. TH'!K$4)</f>
        <v>0</v>
      </c>
      <c r="L89" s="1042">
        <f>COUNTIFS('TỔNG KLH + TN'!$B:$B,'01. TH'!$B89,'TỔNG KLH + TN'!$C:$C,'01. TH'!L$4)</f>
        <v>0</v>
      </c>
      <c r="M89" s="1042">
        <f>COUNTIFS('TỔNG KLH + TN'!$B:$B,'01. TH'!$B89,'TỔNG KLH + TN'!$C:$C,'01. TH'!M$4)</f>
        <v>0</v>
      </c>
      <c r="N89" s="1042">
        <f>COUNTIFS('TỔNG KLH + TN'!$B:$B,'01. TH'!$B89,'TỔNG KLH + TN'!$C:$C,'01. TH'!N$4)</f>
        <v>0</v>
      </c>
      <c r="O89" s="1042">
        <f>COUNTIFS('TỔNG KLH + TN'!$B:$B,'01. TH'!$B89,'TỔNG KLH + TN'!$C:$C,'01. TH'!O$4)</f>
        <v>0</v>
      </c>
      <c r="P89" s="1042">
        <f>COUNTIFS('TỔNG KLH + TN'!$B:$B,'01. TH'!$B89,'TỔNG KLH + TN'!$C:$C,'01. TH'!P$4)</f>
        <v>0</v>
      </c>
      <c r="Q89" s="1042">
        <f>COUNTIFS('TỔNG KLH + TN'!$B:$B,'01. TH'!$B89,'TỔNG KLH + TN'!$C:$C,'01. TH'!Q$4)</f>
        <v>0</v>
      </c>
      <c r="R89" s="1042">
        <f>COUNTIFS('TỔNG KLH + TN'!$B:$B,'01. TH'!$B89,'TỔNG KLH + TN'!$C:$C,'01. TH'!R$4)</f>
        <v>0</v>
      </c>
      <c r="S89" s="1042">
        <f>COUNTIFS('TỔNG KLH + TN'!$B:$B,'01. TH'!$B89,'TỔNG KLH + TN'!$C:$C,'01. TH'!S$4)</f>
        <v>0</v>
      </c>
      <c r="T89" s="1042">
        <f>COUNTIFS('TỔNG KLH + TN'!$B:$B,'01. TH'!$B89,'TỔNG KLH + TN'!$C:$C,'01. TH'!T$4)</f>
        <v>0</v>
      </c>
      <c r="U89" s="1042">
        <f>COUNTIFS('TỔNG KLH + TN'!$B:$B,'01. TH'!$B89,'TỔNG KLH + TN'!$C:$C,'01. TH'!U$4)</f>
        <v>0</v>
      </c>
      <c r="V89" s="1042">
        <f>COUNTIFS('TỔNG KLH + TN'!$B:$B,'01. TH'!$B89,'TỔNG KLH + TN'!$C:$C,'01. TH'!V$4)</f>
        <v>0</v>
      </c>
      <c r="W89" s="1042">
        <f>COUNTIFS('TỔNG KLH + TN'!$B:$B,'01. TH'!$B89,'TỔNG KLH + TN'!$C:$C,'01. TH'!W$4)</f>
        <v>0</v>
      </c>
      <c r="X89" s="1042">
        <f>COUNTIFS('TỔNG KLH + TN'!$B:$B,'01. TH'!$B89,'TỔNG KLH + TN'!$C:$C,'01. TH'!X$4)</f>
        <v>0</v>
      </c>
      <c r="Y89" s="1042">
        <f>COUNTIFS('TỔNG KLH + TN'!$B:$B,'01. TH'!$B89,'TỔNG KLH + TN'!$C:$C,'01. TH'!Y$4)</f>
        <v>0</v>
      </c>
      <c r="Z89" s="1042">
        <f>COUNTIFS('TỔNG KLH + TN'!$B:$B,'01. TH'!$B89,'TỔNG KLH + TN'!$C:$C,'01. TH'!Z$4)</f>
        <v>0</v>
      </c>
      <c r="AA89" s="1042">
        <f>COUNTIFS('TỔNG KLH + TN'!$B:$B,'01. TH'!$B89,'TỔNG KLH + TN'!$C:$C,'01. TH'!AA$4)</f>
        <v>0</v>
      </c>
      <c r="AB89" s="1042">
        <f>COUNTIFS('TỔNG KLH + TN'!$B:$B,'01. TH'!$B89,'TỔNG KLH + TN'!$C:$C,'01. TH'!AB$4)</f>
        <v>0</v>
      </c>
      <c r="AC89" s="1042">
        <f>COUNTIFS('TỔNG KLH + TN'!$B:$B,'01. TH'!$B89,'TỔNG KLH + TN'!$C:$C,'01. TH'!AC$4)</f>
        <v>0</v>
      </c>
      <c r="AD89" s="1042">
        <f>COUNTIFS('TỔNG KLH + TN'!$B:$B,'01. TH'!$B89,'TỔNG KLH + TN'!$C:$C,'01. TH'!AD$4)</f>
        <v>0</v>
      </c>
      <c r="AE89" s="1045">
        <f t="shared" si="20"/>
        <v>0</v>
      </c>
      <c r="AF89" s="1045"/>
      <c r="AG89" s="1033" t="str">
        <f t="shared" si="2"/>
        <v>ok</v>
      </c>
      <c r="AH89" s="1046"/>
    </row>
    <row r="90" ht="24" customHeight="1" collapsed="1" spans="1:34">
      <c r="A90" s="1033">
        <v>11</v>
      </c>
      <c r="B90" s="1034" t="s">
        <v>163</v>
      </c>
      <c r="C90" s="1035"/>
      <c r="D90" s="1035" t="str">
        <f>IFERROR(VLOOKUP(B90,'Danh mục'!$G:$U,15,0),"")</f>
        <v/>
      </c>
      <c r="E90" s="1035"/>
      <c r="F90" s="1047">
        <f t="shared" ref="F90:AE90" si="21">SUM(F91:F127)</f>
        <v>0</v>
      </c>
      <c r="G90" s="1047">
        <f t="shared" si="21"/>
        <v>13</v>
      </c>
      <c r="H90" s="1047">
        <f t="shared" si="21"/>
        <v>0</v>
      </c>
      <c r="I90" s="1047">
        <f t="shared" si="21"/>
        <v>0</v>
      </c>
      <c r="J90" s="1047">
        <f t="shared" si="21"/>
        <v>0</v>
      </c>
      <c r="K90" s="1047">
        <f t="shared" si="21"/>
        <v>0</v>
      </c>
      <c r="L90" s="1047">
        <f t="shared" si="21"/>
        <v>3</v>
      </c>
      <c r="M90" s="1047">
        <f t="shared" si="21"/>
        <v>0</v>
      </c>
      <c r="N90" s="1047">
        <f t="shared" si="21"/>
        <v>0</v>
      </c>
      <c r="O90" s="1047">
        <f t="shared" si="21"/>
        <v>0</v>
      </c>
      <c r="P90" s="1047">
        <f t="shared" si="21"/>
        <v>14</v>
      </c>
      <c r="Q90" s="1047">
        <f t="shared" si="21"/>
        <v>0</v>
      </c>
      <c r="R90" s="1047">
        <f t="shared" si="21"/>
        <v>0</v>
      </c>
      <c r="S90" s="1047">
        <f t="shared" si="21"/>
        <v>0</v>
      </c>
      <c r="T90" s="1047">
        <f t="shared" si="21"/>
        <v>0</v>
      </c>
      <c r="U90" s="1047">
        <f t="shared" si="21"/>
        <v>0</v>
      </c>
      <c r="V90" s="1047">
        <f t="shared" si="21"/>
        <v>0</v>
      </c>
      <c r="W90" s="1047">
        <f t="shared" si="21"/>
        <v>0</v>
      </c>
      <c r="X90" s="1047">
        <f t="shared" si="21"/>
        <v>0</v>
      </c>
      <c r="Y90" s="1047">
        <f t="shared" si="21"/>
        <v>2</v>
      </c>
      <c r="Z90" s="1047">
        <f t="shared" si="21"/>
        <v>0</v>
      </c>
      <c r="AA90" s="1047">
        <f t="shared" si="21"/>
        <v>2</v>
      </c>
      <c r="AB90" s="1047">
        <f t="shared" si="21"/>
        <v>2</v>
      </c>
      <c r="AC90" s="1047">
        <f t="shared" si="21"/>
        <v>0</v>
      </c>
      <c r="AD90" s="1047">
        <f t="shared" si="21"/>
        <v>0</v>
      </c>
      <c r="AE90" s="1048">
        <f t="shared" si="21"/>
        <v>36</v>
      </c>
      <c r="AF90" s="1048">
        <v>19</v>
      </c>
      <c r="AG90" s="1033" t="str">
        <f t="shared" si="2"/>
        <v>ok</v>
      </c>
      <c r="AH90" s="1038"/>
    </row>
    <row r="91" ht="18.75" hidden="1" customHeight="1" outlineLevel="1" spans="1:34">
      <c r="A91" s="1044"/>
      <c r="B91" s="1040" t="s">
        <v>164</v>
      </c>
      <c r="C91" s="1041" t="s">
        <v>102</v>
      </c>
      <c r="D91" s="1041" t="str">
        <f>IFERROR(VLOOKUP(B91,'Danh mục'!$G:$U,15,0),"")</f>
        <v/>
      </c>
      <c r="E91" s="1041" t="s">
        <v>42</v>
      </c>
      <c r="F91" s="1042">
        <f>COUNTIFS('TỔNG KLH + TN'!$B:$B,'01. TH'!$B91,'TỔNG KLH + TN'!$C:$C,'01. TH'!F$4)</f>
        <v>0</v>
      </c>
      <c r="G91" s="1042">
        <f>COUNTIFS('TỔNG KLH + TN'!$B:$B,'01. TH'!$B91,'TỔNG KLH + TN'!$C:$C,'01. TH'!G$4)</f>
        <v>0</v>
      </c>
      <c r="H91" s="1042">
        <f>COUNTIFS('TỔNG KLH + TN'!$B:$B,'01. TH'!$B91,'TỔNG KLH + TN'!$C:$C,'01. TH'!H$4)</f>
        <v>0</v>
      </c>
      <c r="I91" s="1042">
        <f>COUNTIFS('TỔNG KLH + TN'!$B:$B,'01. TH'!$B91,'TỔNG KLH + TN'!$C:$C,'01. TH'!I$4)</f>
        <v>0</v>
      </c>
      <c r="J91" s="1042">
        <f>COUNTIFS('TỔNG KLH + TN'!$B:$B,'01. TH'!$B91,'TỔNG KLH + TN'!$C:$C,'01. TH'!J$4)</f>
        <v>0</v>
      </c>
      <c r="K91" s="1042">
        <f>COUNTIFS('TỔNG KLH + TN'!$B:$B,'01. TH'!$B91,'TỔNG KLH + TN'!$C:$C,'01. TH'!K$4)</f>
        <v>0</v>
      </c>
      <c r="L91" s="1042">
        <f>COUNTIFS('TỔNG KLH + TN'!$B:$B,'01. TH'!$B91,'TỔNG KLH + TN'!$C:$C,'01. TH'!L$4)</f>
        <v>0</v>
      </c>
      <c r="M91" s="1042">
        <f>COUNTIFS('TỔNG KLH + TN'!$B:$B,'01. TH'!$B91,'TỔNG KLH + TN'!$C:$C,'01. TH'!M$4)</f>
        <v>0</v>
      </c>
      <c r="N91" s="1042">
        <f>COUNTIFS('TỔNG KLH + TN'!$B:$B,'01. TH'!$B91,'TỔNG KLH + TN'!$C:$C,'01. TH'!N$4)</f>
        <v>0</v>
      </c>
      <c r="O91" s="1042">
        <f>COUNTIFS('TỔNG KLH + TN'!$B:$B,'01. TH'!$B91,'TỔNG KLH + TN'!$C:$C,'01. TH'!O$4)</f>
        <v>0</v>
      </c>
      <c r="P91" s="1042">
        <f>COUNTIFS('TỔNG KLH + TN'!$B:$B,'01. TH'!$B91,'TỔNG KLH + TN'!$C:$C,'01. TH'!P$4)</f>
        <v>0</v>
      </c>
      <c r="Q91" s="1042">
        <f>COUNTIFS('TỔNG KLH + TN'!$B:$B,'01. TH'!$B91,'TỔNG KLH + TN'!$C:$C,'01. TH'!Q$4)</f>
        <v>0</v>
      </c>
      <c r="R91" s="1042">
        <f>COUNTIFS('TỔNG KLH + TN'!$B:$B,'01. TH'!$B91,'TỔNG KLH + TN'!$C:$C,'01. TH'!R$4)</f>
        <v>0</v>
      </c>
      <c r="S91" s="1042">
        <f>COUNTIFS('TỔNG KLH + TN'!$B:$B,'01. TH'!$B91,'TỔNG KLH + TN'!$C:$C,'01. TH'!S$4)</f>
        <v>0</v>
      </c>
      <c r="T91" s="1042">
        <f>COUNTIFS('TỔNG KLH + TN'!$B:$B,'01. TH'!$B91,'TỔNG KLH + TN'!$C:$C,'01. TH'!T$4)</f>
        <v>0</v>
      </c>
      <c r="U91" s="1042">
        <f>COUNTIFS('TỔNG KLH + TN'!$B:$B,'01. TH'!$B91,'TỔNG KLH + TN'!$C:$C,'01. TH'!U$4)</f>
        <v>0</v>
      </c>
      <c r="V91" s="1042">
        <f>COUNTIFS('TỔNG KLH + TN'!$B:$B,'01. TH'!$B91,'TỔNG KLH + TN'!$C:$C,'01. TH'!V$4)</f>
        <v>0</v>
      </c>
      <c r="W91" s="1042">
        <f>COUNTIFS('TỔNG KLH + TN'!$B:$B,'01. TH'!$B91,'TỔNG KLH + TN'!$C:$C,'01. TH'!W$4)</f>
        <v>0</v>
      </c>
      <c r="X91" s="1042">
        <f>COUNTIFS('TỔNG KLH + TN'!$B:$B,'01. TH'!$B91,'TỔNG KLH + TN'!$C:$C,'01. TH'!X$4)</f>
        <v>0</v>
      </c>
      <c r="Y91" s="1042">
        <f>COUNTIFS('TỔNG KLH + TN'!$B:$B,'01. TH'!$B91,'TỔNG KLH + TN'!$C:$C,'01. TH'!Y$4)</f>
        <v>0</v>
      </c>
      <c r="Z91" s="1042">
        <f>COUNTIFS('TỔNG KLH + TN'!$B:$B,'01. TH'!$B91,'TỔNG KLH + TN'!$C:$C,'01. TH'!Z$4)</f>
        <v>0</v>
      </c>
      <c r="AA91" s="1042">
        <f>COUNTIFS('TỔNG KLH + TN'!$B:$B,'01. TH'!$B91,'TỔNG KLH + TN'!$C:$C,'01. TH'!AA$4)</f>
        <v>0</v>
      </c>
      <c r="AB91" s="1042">
        <f>COUNTIFS('TỔNG KLH + TN'!$B:$B,'01. TH'!$B91,'TỔNG KLH + TN'!$C:$C,'01. TH'!AB$4)</f>
        <v>0</v>
      </c>
      <c r="AC91" s="1042">
        <f>COUNTIFS('TỔNG KLH + TN'!$B:$B,'01. TH'!$B91,'TỔNG KLH + TN'!$C:$C,'01. TH'!AC$4)</f>
        <v>0</v>
      </c>
      <c r="AD91" s="1042">
        <f>COUNTIFS('TỔNG KLH + TN'!$B:$B,'01. TH'!$B91,'TỔNG KLH + TN'!$C:$C,'01. TH'!AD$4)</f>
        <v>0</v>
      </c>
      <c r="AE91" s="1045">
        <f t="shared" ref="AE91:AE127" si="22">SUM(F91:AD91)</f>
        <v>0</v>
      </c>
      <c r="AF91" s="1045"/>
      <c r="AG91" s="1033" t="str">
        <f t="shared" si="2"/>
        <v>ok</v>
      </c>
      <c r="AH91" s="1046"/>
    </row>
    <row r="92" ht="18.75" hidden="1" customHeight="1" outlineLevel="1" spans="1:34">
      <c r="A92" s="1044"/>
      <c r="B92" s="1040" t="s">
        <v>165</v>
      </c>
      <c r="C92" s="1041" t="s">
        <v>124</v>
      </c>
      <c r="D92" s="1041" t="str">
        <f>IFERROR(VLOOKUP(B92,'Danh mục'!$G:$U,15,0),"")</f>
        <v/>
      </c>
      <c r="E92" s="1041" t="s">
        <v>42</v>
      </c>
      <c r="F92" s="1042">
        <f>COUNTIFS('TỔNG KLH + TN'!$B:$B,'01. TH'!$B92,'TỔNG KLH + TN'!$C:$C,'01. TH'!F$4)</f>
        <v>0</v>
      </c>
      <c r="G92" s="1042">
        <f>COUNTIFS('TỔNG KLH + TN'!$B:$B,'01. TH'!$B92,'TỔNG KLH + TN'!$C:$C,'01. TH'!G$4)</f>
        <v>0</v>
      </c>
      <c r="H92" s="1042">
        <f>COUNTIFS('TỔNG KLH + TN'!$B:$B,'01. TH'!$B92,'TỔNG KLH + TN'!$C:$C,'01. TH'!H$4)</f>
        <v>0</v>
      </c>
      <c r="I92" s="1042">
        <f>COUNTIFS('TỔNG KLH + TN'!$B:$B,'01. TH'!$B92,'TỔNG KLH + TN'!$C:$C,'01. TH'!I$4)</f>
        <v>0</v>
      </c>
      <c r="J92" s="1042">
        <f>COUNTIFS('TỔNG KLH + TN'!$B:$B,'01. TH'!$B92,'TỔNG KLH + TN'!$C:$C,'01. TH'!J$4)</f>
        <v>0</v>
      </c>
      <c r="K92" s="1042">
        <f>COUNTIFS('TỔNG KLH + TN'!$B:$B,'01. TH'!$B92,'TỔNG KLH + TN'!$C:$C,'01. TH'!K$4)</f>
        <v>0</v>
      </c>
      <c r="L92" s="1042">
        <f>COUNTIFS('TỔNG KLH + TN'!$B:$B,'01. TH'!$B92,'TỔNG KLH + TN'!$C:$C,'01. TH'!L$4)</f>
        <v>0</v>
      </c>
      <c r="M92" s="1042">
        <f>COUNTIFS('TỔNG KLH + TN'!$B:$B,'01. TH'!$B92,'TỔNG KLH + TN'!$C:$C,'01. TH'!M$4)</f>
        <v>0</v>
      </c>
      <c r="N92" s="1042">
        <f>COUNTIFS('TỔNG KLH + TN'!$B:$B,'01. TH'!$B92,'TỔNG KLH + TN'!$C:$C,'01. TH'!N$4)</f>
        <v>0</v>
      </c>
      <c r="O92" s="1042">
        <f>COUNTIFS('TỔNG KLH + TN'!$B:$B,'01. TH'!$B92,'TỔNG KLH + TN'!$C:$C,'01. TH'!O$4)</f>
        <v>0</v>
      </c>
      <c r="P92" s="1042">
        <f>COUNTIFS('TỔNG KLH + TN'!$B:$B,'01. TH'!$B92,'TỔNG KLH + TN'!$C:$C,'01. TH'!P$4)</f>
        <v>0</v>
      </c>
      <c r="Q92" s="1042">
        <f>COUNTIFS('TỔNG KLH + TN'!$B:$B,'01. TH'!$B92,'TỔNG KLH + TN'!$C:$C,'01. TH'!Q$4)</f>
        <v>0</v>
      </c>
      <c r="R92" s="1042">
        <f>COUNTIFS('TỔNG KLH + TN'!$B:$B,'01. TH'!$B92,'TỔNG KLH + TN'!$C:$C,'01. TH'!R$4)</f>
        <v>0</v>
      </c>
      <c r="S92" s="1042">
        <f>COUNTIFS('TỔNG KLH + TN'!$B:$B,'01. TH'!$B92,'TỔNG KLH + TN'!$C:$C,'01. TH'!S$4)</f>
        <v>0</v>
      </c>
      <c r="T92" s="1042">
        <f>COUNTIFS('TỔNG KLH + TN'!$B:$B,'01. TH'!$B92,'TỔNG KLH + TN'!$C:$C,'01. TH'!T$4)</f>
        <v>0</v>
      </c>
      <c r="U92" s="1042">
        <f>COUNTIFS('TỔNG KLH + TN'!$B:$B,'01. TH'!$B92,'TỔNG KLH + TN'!$C:$C,'01. TH'!U$4)</f>
        <v>0</v>
      </c>
      <c r="V92" s="1042">
        <f>COUNTIFS('TỔNG KLH + TN'!$B:$B,'01. TH'!$B92,'TỔNG KLH + TN'!$C:$C,'01. TH'!V$4)</f>
        <v>0</v>
      </c>
      <c r="W92" s="1042">
        <f>COUNTIFS('TỔNG KLH + TN'!$B:$B,'01. TH'!$B92,'TỔNG KLH + TN'!$C:$C,'01. TH'!W$4)</f>
        <v>0</v>
      </c>
      <c r="X92" s="1042">
        <f>COUNTIFS('TỔNG KLH + TN'!$B:$B,'01. TH'!$B92,'TỔNG KLH + TN'!$C:$C,'01. TH'!X$4)</f>
        <v>0</v>
      </c>
      <c r="Y92" s="1042">
        <f>COUNTIFS('TỔNG KLH + TN'!$B:$B,'01. TH'!$B92,'TỔNG KLH + TN'!$C:$C,'01. TH'!Y$4)</f>
        <v>0</v>
      </c>
      <c r="Z92" s="1042">
        <f>COUNTIFS('TỔNG KLH + TN'!$B:$B,'01. TH'!$B92,'TỔNG KLH + TN'!$C:$C,'01. TH'!Z$4)</f>
        <v>0</v>
      </c>
      <c r="AA92" s="1042">
        <f>COUNTIFS('TỔNG KLH + TN'!$B:$B,'01. TH'!$B92,'TỔNG KLH + TN'!$C:$C,'01. TH'!AA$4)</f>
        <v>0</v>
      </c>
      <c r="AB92" s="1042">
        <f>COUNTIFS('TỔNG KLH + TN'!$B:$B,'01. TH'!$B92,'TỔNG KLH + TN'!$C:$C,'01. TH'!AB$4)</f>
        <v>0</v>
      </c>
      <c r="AC92" s="1042">
        <f>COUNTIFS('TỔNG KLH + TN'!$B:$B,'01. TH'!$B92,'TỔNG KLH + TN'!$C:$C,'01. TH'!AC$4)</f>
        <v>0</v>
      </c>
      <c r="AD92" s="1042">
        <f>COUNTIFS('TỔNG KLH + TN'!$B:$B,'01. TH'!$B92,'TỔNG KLH + TN'!$C:$C,'01. TH'!AD$4)</f>
        <v>0</v>
      </c>
      <c r="AE92" s="1045">
        <f t="shared" si="22"/>
        <v>0</v>
      </c>
      <c r="AF92" s="1045"/>
      <c r="AG92" s="1033" t="str">
        <f t="shared" si="2"/>
        <v>ok</v>
      </c>
      <c r="AH92" s="1046"/>
    </row>
    <row r="93" ht="18.75" hidden="1" customHeight="1" outlineLevel="1" spans="1:34">
      <c r="A93" s="1044"/>
      <c r="B93" s="1040" t="s">
        <v>166</v>
      </c>
      <c r="C93" s="1041" t="s">
        <v>124</v>
      </c>
      <c r="D93" s="1041" t="str">
        <f>IFERROR(VLOOKUP(B93,'Danh mục'!$G:$U,15,0),"")</f>
        <v/>
      </c>
      <c r="E93" s="1041" t="s">
        <v>42</v>
      </c>
      <c r="F93" s="1042">
        <f>COUNTIFS('TỔNG KLH + TN'!$B:$B,'01. TH'!$B93,'TỔNG KLH + TN'!$C:$C,'01. TH'!F$4)</f>
        <v>0</v>
      </c>
      <c r="G93" s="1042">
        <f>COUNTIFS('TỔNG KLH + TN'!$B:$B,'01. TH'!$B93,'TỔNG KLH + TN'!$C:$C,'01. TH'!G$4)</f>
        <v>0</v>
      </c>
      <c r="H93" s="1042">
        <f>COUNTIFS('TỔNG KLH + TN'!$B:$B,'01. TH'!$B93,'TỔNG KLH + TN'!$C:$C,'01. TH'!H$4)</f>
        <v>0</v>
      </c>
      <c r="I93" s="1042">
        <f>COUNTIFS('TỔNG KLH + TN'!$B:$B,'01. TH'!$B93,'TỔNG KLH + TN'!$C:$C,'01. TH'!I$4)</f>
        <v>0</v>
      </c>
      <c r="J93" s="1042">
        <f>COUNTIFS('TỔNG KLH + TN'!$B:$B,'01. TH'!$B93,'TỔNG KLH + TN'!$C:$C,'01. TH'!J$4)</f>
        <v>0</v>
      </c>
      <c r="K93" s="1042">
        <f>COUNTIFS('TỔNG KLH + TN'!$B:$B,'01. TH'!$B93,'TỔNG KLH + TN'!$C:$C,'01. TH'!K$4)</f>
        <v>0</v>
      </c>
      <c r="L93" s="1042">
        <f>COUNTIFS('TỔNG KLH + TN'!$B:$B,'01. TH'!$B93,'TỔNG KLH + TN'!$C:$C,'01. TH'!L$4)</f>
        <v>0</v>
      </c>
      <c r="M93" s="1042">
        <f>COUNTIFS('TỔNG KLH + TN'!$B:$B,'01. TH'!$B93,'TỔNG KLH + TN'!$C:$C,'01. TH'!M$4)</f>
        <v>0</v>
      </c>
      <c r="N93" s="1042">
        <f>COUNTIFS('TỔNG KLH + TN'!$B:$B,'01. TH'!$B93,'TỔNG KLH + TN'!$C:$C,'01. TH'!N$4)</f>
        <v>0</v>
      </c>
      <c r="O93" s="1042">
        <f>COUNTIFS('TỔNG KLH + TN'!$B:$B,'01. TH'!$B93,'TỔNG KLH + TN'!$C:$C,'01. TH'!O$4)</f>
        <v>0</v>
      </c>
      <c r="P93" s="1042">
        <f>COUNTIFS('TỔNG KLH + TN'!$B:$B,'01. TH'!$B93,'TỔNG KLH + TN'!$C:$C,'01. TH'!P$4)</f>
        <v>0</v>
      </c>
      <c r="Q93" s="1042">
        <f>COUNTIFS('TỔNG KLH + TN'!$B:$B,'01. TH'!$B93,'TỔNG KLH + TN'!$C:$C,'01. TH'!Q$4)</f>
        <v>0</v>
      </c>
      <c r="R93" s="1042">
        <f>COUNTIFS('TỔNG KLH + TN'!$B:$B,'01. TH'!$B93,'TỔNG KLH + TN'!$C:$C,'01. TH'!R$4)</f>
        <v>0</v>
      </c>
      <c r="S93" s="1042">
        <f>COUNTIFS('TỔNG KLH + TN'!$B:$B,'01. TH'!$B93,'TỔNG KLH + TN'!$C:$C,'01. TH'!S$4)</f>
        <v>0</v>
      </c>
      <c r="T93" s="1042">
        <f>COUNTIFS('TỔNG KLH + TN'!$B:$B,'01. TH'!$B93,'TỔNG KLH + TN'!$C:$C,'01. TH'!T$4)</f>
        <v>0</v>
      </c>
      <c r="U93" s="1042">
        <f>COUNTIFS('TỔNG KLH + TN'!$B:$B,'01. TH'!$B93,'TỔNG KLH + TN'!$C:$C,'01. TH'!U$4)</f>
        <v>0</v>
      </c>
      <c r="V93" s="1042">
        <f>COUNTIFS('TỔNG KLH + TN'!$B:$B,'01. TH'!$B93,'TỔNG KLH + TN'!$C:$C,'01. TH'!V$4)</f>
        <v>0</v>
      </c>
      <c r="W93" s="1042">
        <f>COUNTIFS('TỔNG KLH + TN'!$B:$B,'01. TH'!$B93,'TỔNG KLH + TN'!$C:$C,'01. TH'!W$4)</f>
        <v>0</v>
      </c>
      <c r="X93" s="1042">
        <f>COUNTIFS('TỔNG KLH + TN'!$B:$B,'01. TH'!$B93,'TỔNG KLH + TN'!$C:$C,'01. TH'!X$4)</f>
        <v>0</v>
      </c>
      <c r="Y93" s="1042">
        <f>COUNTIFS('TỔNG KLH + TN'!$B:$B,'01. TH'!$B93,'TỔNG KLH + TN'!$C:$C,'01. TH'!Y$4)</f>
        <v>0</v>
      </c>
      <c r="Z93" s="1042">
        <f>COUNTIFS('TỔNG KLH + TN'!$B:$B,'01. TH'!$B93,'TỔNG KLH + TN'!$C:$C,'01. TH'!Z$4)</f>
        <v>0</v>
      </c>
      <c r="AA93" s="1042">
        <f>COUNTIFS('TỔNG KLH + TN'!$B:$B,'01. TH'!$B93,'TỔNG KLH + TN'!$C:$C,'01. TH'!AA$4)</f>
        <v>0</v>
      </c>
      <c r="AB93" s="1042">
        <f>COUNTIFS('TỔNG KLH + TN'!$B:$B,'01. TH'!$B93,'TỔNG KLH + TN'!$C:$C,'01. TH'!AB$4)</f>
        <v>0</v>
      </c>
      <c r="AC93" s="1042">
        <f>COUNTIFS('TỔNG KLH + TN'!$B:$B,'01. TH'!$B93,'TỔNG KLH + TN'!$C:$C,'01. TH'!AC$4)</f>
        <v>0</v>
      </c>
      <c r="AD93" s="1042">
        <f>COUNTIFS('TỔNG KLH + TN'!$B:$B,'01. TH'!$B93,'TỔNG KLH + TN'!$C:$C,'01. TH'!AD$4)</f>
        <v>0</v>
      </c>
      <c r="AE93" s="1045">
        <f t="shared" si="22"/>
        <v>0</v>
      </c>
      <c r="AF93" s="1045"/>
      <c r="AG93" s="1033" t="str">
        <f t="shared" si="2"/>
        <v>ok</v>
      </c>
      <c r="AH93" s="1046"/>
    </row>
    <row r="94" ht="18.75" hidden="1" customHeight="1" outlineLevel="1" spans="1:34">
      <c r="A94" s="1044"/>
      <c r="B94" s="1040" t="s">
        <v>167</v>
      </c>
      <c r="C94" s="1041" t="s">
        <v>124</v>
      </c>
      <c r="D94" s="1041" t="str">
        <f>IFERROR(VLOOKUP(B94,'Danh mục'!$G:$U,15,0),"")</f>
        <v/>
      </c>
      <c r="E94" s="1041" t="s">
        <v>42</v>
      </c>
      <c r="F94" s="1042">
        <f>COUNTIFS('TỔNG KLH + TN'!$B:$B,'01. TH'!$B94,'TỔNG KLH + TN'!$C:$C,'01. TH'!F$4)</f>
        <v>0</v>
      </c>
      <c r="G94" s="1042">
        <f>COUNTIFS('TỔNG KLH + TN'!$B:$B,'01. TH'!$B94,'TỔNG KLH + TN'!$C:$C,'01. TH'!G$4)</f>
        <v>1</v>
      </c>
      <c r="H94" s="1042">
        <f>COUNTIFS('TỔNG KLH + TN'!$B:$B,'01. TH'!$B94,'TỔNG KLH + TN'!$C:$C,'01. TH'!H$4)</f>
        <v>0</v>
      </c>
      <c r="I94" s="1042">
        <f>COUNTIFS('TỔNG KLH + TN'!$B:$B,'01. TH'!$B94,'TỔNG KLH + TN'!$C:$C,'01. TH'!I$4)</f>
        <v>0</v>
      </c>
      <c r="J94" s="1042">
        <f>COUNTIFS('TỔNG KLH + TN'!$B:$B,'01. TH'!$B94,'TỔNG KLH + TN'!$C:$C,'01. TH'!J$4)</f>
        <v>0</v>
      </c>
      <c r="K94" s="1042">
        <f>COUNTIFS('TỔNG KLH + TN'!$B:$B,'01. TH'!$B94,'TỔNG KLH + TN'!$C:$C,'01. TH'!K$4)</f>
        <v>0</v>
      </c>
      <c r="L94" s="1042">
        <f>COUNTIFS('TỔNG KLH + TN'!$B:$B,'01. TH'!$B94,'TỔNG KLH + TN'!$C:$C,'01. TH'!L$4)</f>
        <v>0</v>
      </c>
      <c r="M94" s="1042">
        <f>COUNTIFS('TỔNG KLH + TN'!$B:$B,'01. TH'!$B94,'TỔNG KLH + TN'!$C:$C,'01. TH'!M$4)</f>
        <v>0</v>
      </c>
      <c r="N94" s="1042">
        <f>COUNTIFS('TỔNG KLH + TN'!$B:$B,'01. TH'!$B94,'TỔNG KLH + TN'!$C:$C,'01. TH'!N$4)</f>
        <v>0</v>
      </c>
      <c r="O94" s="1042">
        <f>COUNTIFS('TỔNG KLH + TN'!$B:$B,'01. TH'!$B94,'TỔNG KLH + TN'!$C:$C,'01. TH'!O$4)</f>
        <v>0</v>
      </c>
      <c r="P94" s="1042">
        <f>COUNTIFS('TỔNG KLH + TN'!$B:$B,'01. TH'!$B94,'TỔNG KLH + TN'!$C:$C,'01. TH'!P$4)</f>
        <v>0</v>
      </c>
      <c r="Q94" s="1042">
        <f>COUNTIFS('TỔNG KLH + TN'!$B:$B,'01. TH'!$B94,'TỔNG KLH + TN'!$C:$C,'01. TH'!Q$4)</f>
        <v>0</v>
      </c>
      <c r="R94" s="1042">
        <f>COUNTIFS('TỔNG KLH + TN'!$B:$B,'01. TH'!$B94,'TỔNG KLH + TN'!$C:$C,'01. TH'!R$4)</f>
        <v>0</v>
      </c>
      <c r="S94" s="1042">
        <f>COUNTIFS('TỔNG KLH + TN'!$B:$B,'01. TH'!$B94,'TỔNG KLH + TN'!$C:$C,'01. TH'!S$4)</f>
        <v>0</v>
      </c>
      <c r="T94" s="1042">
        <f>COUNTIFS('TỔNG KLH + TN'!$B:$B,'01. TH'!$B94,'TỔNG KLH + TN'!$C:$C,'01. TH'!T$4)</f>
        <v>0</v>
      </c>
      <c r="U94" s="1042">
        <f>COUNTIFS('TỔNG KLH + TN'!$B:$B,'01. TH'!$B94,'TỔNG KLH + TN'!$C:$C,'01. TH'!U$4)</f>
        <v>0</v>
      </c>
      <c r="V94" s="1042">
        <f>COUNTIFS('TỔNG KLH + TN'!$B:$B,'01. TH'!$B94,'TỔNG KLH + TN'!$C:$C,'01. TH'!V$4)</f>
        <v>0</v>
      </c>
      <c r="W94" s="1042">
        <f>COUNTIFS('TỔNG KLH + TN'!$B:$B,'01. TH'!$B94,'TỔNG KLH + TN'!$C:$C,'01. TH'!W$4)</f>
        <v>0</v>
      </c>
      <c r="X94" s="1042">
        <f>COUNTIFS('TỔNG KLH + TN'!$B:$B,'01. TH'!$B94,'TỔNG KLH + TN'!$C:$C,'01. TH'!X$4)</f>
        <v>0</v>
      </c>
      <c r="Y94" s="1042">
        <f>COUNTIFS('TỔNG KLH + TN'!$B:$B,'01. TH'!$B94,'TỔNG KLH + TN'!$C:$C,'01. TH'!Y$4)</f>
        <v>0</v>
      </c>
      <c r="Z94" s="1042">
        <f>COUNTIFS('TỔNG KLH + TN'!$B:$B,'01. TH'!$B94,'TỔNG KLH + TN'!$C:$C,'01. TH'!Z$4)</f>
        <v>0</v>
      </c>
      <c r="AA94" s="1042">
        <f>COUNTIFS('TỔNG KLH + TN'!$B:$B,'01. TH'!$B94,'TỔNG KLH + TN'!$C:$C,'01. TH'!AA$4)</f>
        <v>0</v>
      </c>
      <c r="AB94" s="1042">
        <f>COUNTIFS('TỔNG KLH + TN'!$B:$B,'01. TH'!$B94,'TỔNG KLH + TN'!$C:$C,'01. TH'!AB$4)</f>
        <v>0</v>
      </c>
      <c r="AC94" s="1042">
        <f>COUNTIFS('TỔNG KLH + TN'!$B:$B,'01. TH'!$B94,'TỔNG KLH + TN'!$C:$C,'01. TH'!AC$4)</f>
        <v>0</v>
      </c>
      <c r="AD94" s="1042">
        <f>COUNTIFS('TỔNG KLH + TN'!$B:$B,'01. TH'!$B94,'TỔNG KLH + TN'!$C:$C,'01. TH'!AD$4)</f>
        <v>0</v>
      </c>
      <c r="AE94" s="1045">
        <f t="shared" si="22"/>
        <v>1</v>
      </c>
      <c r="AF94" s="1045"/>
      <c r="AG94" s="1033" t="str">
        <f t="shared" si="2"/>
        <v>ok</v>
      </c>
      <c r="AH94" s="1046"/>
    </row>
    <row r="95" ht="18.75" hidden="1" customHeight="1" outlineLevel="1" spans="1:34">
      <c r="A95" s="1044"/>
      <c r="B95" s="1040" t="s">
        <v>168</v>
      </c>
      <c r="C95" s="1041" t="s">
        <v>169</v>
      </c>
      <c r="D95" s="1041" t="str">
        <f>IFERROR(VLOOKUP(B95,'Danh mục'!$G:$U,15,0),"")</f>
        <v>6800 x 3200 x 3400</v>
      </c>
      <c r="E95" s="1041" t="s">
        <v>42</v>
      </c>
      <c r="F95" s="1042">
        <f>COUNTIFS('TỔNG KLH + TN'!$B:$B,'01. TH'!$B95,'TỔNG KLH + TN'!$C:$C,'01. TH'!F$4)</f>
        <v>0</v>
      </c>
      <c r="G95" s="1042">
        <f>COUNTIFS('TỔNG KLH + TN'!$B:$B,'01. TH'!$B95,'TỔNG KLH + TN'!$C:$C,'01. TH'!G$4)</f>
        <v>0</v>
      </c>
      <c r="H95" s="1042">
        <f>COUNTIFS('TỔNG KLH + TN'!$B:$B,'01. TH'!$B95,'TỔNG KLH + TN'!$C:$C,'01. TH'!H$4)</f>
        <v>0</v>
      </c>
      <c r="I95" s="1042">
        <f>COUNTIFS('TỔNG KLH + TN'!$B:$B,'01. TH'!$B95,'TỔNG KLH + TN'!$C:$C,'01. TH'!I$4)</f>
        <v>0</v>
      </c>
      <c r="J95" s="1042">
        <f>COUNTIFS('TỔNG KLH + TN'!$B:$B,'01. TH'!$B95,'TỔNG KLH + TN'!$C:$C,'01. TH'!J$4)</f>
        <v>0</v>
      </c>
      <c r="K95" s="1042">
        <f>COUNTIFS('TỔNG KLH + TN'!$B:$B,'01. TH'!$B95,'TỔNG KLH + TN'!$C:$C,'01. TH'!K$4)</f>
        <v>0</v>
      </c>
      <c r="L95" s="1042">
        <f>COUNTIFS('TỔNG KLH + TN'!$B:$B,'01. TH'!$B95,'TỔNG KLH + TN'!$C:$C,'01. TH'!L$4)</f>
        <v>0</v>
      </c>
      <c r="M95" s="1042">
        <f>COUNTIFS('TỔNG KLH + TN'!$B:$B,'01. TH'!$B95,'TỔNG KLH + TN'!$C:$C,'01. TH'!M$4)</f>
        <v>0</v>
      </c>
      <c r="N95" s="1042">
        <f>COUNTIFS('TỔNG KLH + TN'!$B:$B,'01. TH'!$B95,'TỔNG KLH + TN'!$C:$C,'01. TH'!N$4)</f>
        <v>0</v>
      </c>
      <c r="O95" s="1042">
        <f>COUNTIFS('TỔNG KLH + TN'!$B:$B,'01. TH'!$B95,'TỔNG KLH + TN'!$C:$C,'01. TH'!O$4)</f>
        <v>0</v>
      </c>
      <c r="P95" s="1042">
        <f>COUNTIFS('TỔNG KLH + TN'!$B:$B,'01. TH'!$B95,'TỔNG KLH + TN'!$C:$C,'01. TH'!P$4)</f>
        <v>0</v>
      </c>
      <c r="Q95" s="1042">
        <f>COUNTIFS('TỔNG KLH + TN'!$B:$B,'01. TH'!$B95,'TỔNG KLH + TN'!$C:$C,'01. TH'!Q$4)</f>
        <v>0</v>
      </c>
      <c r="R95" s="1042">
        <f>COUNTIFS('TỔNG KLH + TN'!$B:$B,'01. TH'!$B95,'TỔNG KLH + TN'!$C:$C,'01. TH'!R$4)</f>
        <v>0</v>
      </c>
      <c r="S95" s="1042">
        <f>COUNTIFS('TỔNG KLH + TN'!$B:$B,'01. TH'!$B95,'TỔNG KLH + TN'!$C:$C,'01. TH'!S$4)</f>
        <v>0</v>
      </c>
      <c r="T95" s="1042">
        <f>COUNTIFS('TỔNG KLH + TN'!$B:$B,'01. TH'!$B95,'TỔNG KLH + TN'!$C:$C,'01. TH'!T$4)</f>
        <v>0</v>
      </c>
      <c r="U95" s="1042">
        <f>COUNTIFS('TỔNG KLH + TN'!$B:$B,'01. TH'!$B95,'TỔNG KLH + TN'!$C:$C,'01. TH'!U$4)</f>
        <v>0</v>
      </c>
      <c r="V95" s="1042">
        <f>COUNTIFS('TỔNG KLH + TN'!$B:$B,'01. TH'!$B95,'TỔNG KLH + TN'!$C:$C,'01. TH'!V$4)</f>
        <v>0</v>
      </c>
      <c r="W95" s="1042">
        <f>COUNTIFS('TỔNG KLH + TN'!$B:$B,'01. TH'!$B95,'TỔNG KLH + TN'!$C:$C,'01. TH'!W$4)</f>
        <v>0</v>
      </c>
      <c r="X95" s="1042">
        <f>COUNTIFS('TỔNG KLH + TN'!$B:$B,'01. TH'!$B95,'TỔNG KLH + TN'!$C:$C,'01. TH'!X$4)</f>
        <v>0</v>
      </c>
      <c r="Y95" s="1042">
        <f>COUNTIFS('TỔNG KLH + TN'!$B:$B,'01. TH'!$B95,'TỔNG KLH + TN'!$C:$C,'01. TH'!Y$4)</f>
        <v>0</v>
      </c>
      <c r="Z95" s="1042">
        <f>COUNTIFS('TỔNG KLH + TN'!$B:$B,'01. TH'!$B95,'TỔNG KLH + TN'!$C:$C,'01. TH'!Z$4)</f>
        <v>0</v>
      </c>
      <c r="AA95" s="1042">
        <f>COUNTIFS('TỔNG KLH + TN'!$B:$B,'01. TH'!$B95,'TỔNG KLH + TN'!$C:$C,'01. TH'!AA$4)</f>
        <v>0</v>
      </c>
      <c r="AB95" s="1042">
        <f>COUNTIFS('TỔNG KLH + TN'!$B:$B,'01. TH'!$B95,'TỔNG KLH + TN'!$C:$C,'01. TH'!AB$4)</f>
        <v>0</v>
      </c>
      <c r="AC95" s="1042">
        <f>COUNTIFS('TỔNG KLH + TN'!$B:$B,'01. TH'!$B95,'TỔNG KLH + TN'!$C:$C,'01. TH'!AC$4)</f>
        <v>0</v>
      </c>
      <c r="AD95" s="1042">
        <f>COUNTIFS('TỔNG KLH + TN'!$B:$B,'01. TH'!$B95,'TỔNG KLH + TN'!$C:$C,'01. TH'!AD$4)</f>
        <v>0</v>
      </c>
      <c r="AE95" s="1045">
        <f t="shared" si="22"/>
        <v>0</v>
      </c>
      <c r="AF95" s="1045"/>
      <c r="AG95" s="1033" t="str">
        <f t="shared" si="2"/>
        <v>ok</v>
      </c>
      <c r="AH95" s="1046"/>
    </row>
    <row r="96" ht="18.75" hidden="1" customHeight="1" outlineLevel="1" spans="1:34">
      <c r="A96" s="1044"/>
      <c r="B96" s="1040" t="s">
        <v>170</v>
      </c>
      <c r="C96" s="1041" t="s">
        <v>120</v>
      </c>
      <c r="D96" s="1041" t="str">
        <f>IFERROR(VLOOKUP(B96,'Danh mục'!$G:$U,15,0),"")</f>
        <v/>
      </c>
      <c r="E96" s="1041" t="s">
        <v>42</v>
      </c>
      <c r="F96" s="1042">
        <f>COUNTIFS('TỔNG KLH + TN'!$B:$B,'01. TH'!$B96,'TỔNG KLH + TN'!$C:$C,'01. TH'!F$4)</f>
        <v>0</v>
      </c>
      <c r="G96" s="1042">
        <f>COUNTIFS('TỔNG KLH + TN'!$B:$B,'01. TH'!$B96,'TỔNG KLH + TN'!$C:$C,'01. TH'!G$4)</f>
        <v>0</v>
      </c>
      <c r="H96" s="1042">
        <f>COUNTIFS('TỔNG KLH + TN'!$B:$B,'01. TH'!$B96,'TỔNG KLH + TN'!$C:$C,'01. TH'!H$4)</f>
        <v>0</v>
      </c>
      <c r="I96" s="1042">
        <f>COUNTIFS('TỔNG KLH + TN'!$B:$B,'01. TH'!$B96,'TỔNG KLH + TN'!$C:$C,'01. TH'!I$4)</f>
        <v>0</v>
      </c>
      <c r="J96" s="1042">
        <f>COUNTIFS('TỔNG KLH + TN'!$B:$B,'01. TH'!$B96,'TỔNG KLH + TN'!$C:$C,'01. TH'!J$4)</f>
        <v>0</v>
      </c>
      <c r="K96" s="1042">
        <f>COUNTIFS('TỔNG KLH + TN'!$B:$B,'01. TH'!$B96,'TỔNG KLH + TN'!$C:$C,'01. TH'!K$4)</f>
        <v>0</v>
      </c>
      <c r="L96" s="1042">
        <f>COUNTIFS('TỔNG KLH + TN'!$B:$B,'01. TH'!$B96,'TỔNG KLH + TN'!$C:$C,'01. TH'!L$4)</f>
        <v>0</v>
      </c>
      <c r="M96" s="1042">
        <f>COUNTIFS('TỔNG KLH + TN'!$B:$B,'01. TH'!$B96,'TỔNG KLH + TN'!$C:$C,'01. TH'!M$4)</f>
        <v>0</v>
      </c>
      <c r="N96" s="1042">
        <f>COUNTIFS('TỔNG KLH + TN'!$B:$B,'01. TH'!$B96,'TỔNG KLH + TN'!$C:$C,'01. TH'!N$4)</f>
        <v>0</v>
      </c>
      <c r="O96" s="1042">
        <f>COUNTIFS('TỔNG KLH + TN'!$B:$B,'01. TH'!$B96,'TỔNG KLH + TN'!$C:$C,'01. TH'!O$4)</f>
        <v>0</v>
      </c>
      <c r="P96" s="1042">
        <f>COUNTIFS('TỔNG KLH + TN'!$B:$B,'01. TH'!$B96,'TỔNG KLH + TN'!$C:$C,'01. TH'!P$4)</f>
        <v>0</v>
      </c>
      <c r="Q96" s="1042">
        <f>COUNTIFS('TỔNG KLH + TN'!$B:$B,'01. TH'!$B96,'TỔNG KLH + TN'!$C:$C,'01. TH'!Q$4)</f>
        <v>0</v>
      </c>
      <c r="R96" s="1042">
        <f>COUNTIFS('TỔNG KLH + TN'!$B:$B,'01. TH'!$B96,'TỔNG KLH + TN'!$C:$C,'01. TH'!R$4)</f>
        <v>0</v>
      </c>
      <c r="S96" s="1042">
        <f>COUNTIFS('TỔNG KLH + TN'!$B:$B,'01. TH'!$B96,'TỔNG KLH + TN'!$C:$C,'01. TH'!S$4)</f>
        <v>0</v>
      </c>
      <c r="T96" s="1042">
        <f>COUNTIFS('TỔNG KLH + TN'!$B:$B,'01. TH'!$B96,'TỔNG KLH + TN'!$C:$C,'01. TH'!T$4)</f>
        <v>0</v>
      </c>
      <c r="U96" s="1042">
        <f>COUNTIFS('TỔNG KLH + TN'!$B:$B,'01. TH'!$B96,'TỔNG KLH + TN'!$C:$C,'01. TH'!U$4)</f>
        <v>0</v>
      </c>
      <c r="V96" s="1042">
        <f>COUNTIFS('TỔNG KLH + TN'!$B:$B,'01. TH'!$B96,'TỔNG KLH + TN'!$C:$C,'01. TH'!V$4)</f>
        <v>0</v>
      </c>
      <c r="W96" s="1042">
        <f>COUNTIFS('TỔNG KLH + TN'!$B:$B,'01. TH'!$B96,'TỔNG KLH + TN'!$C:$C,'01. TH'!W$4)</f>
        <v>0</v>
      </c>
      <c r="X96" s="1042">
        <f>COUNTIFS('TỔNG KLH + TN'!$B:$B,'01. TH'!$B96,'TỔNG KLH + TN'!$C:$C,'01. TH'!X$4)</f>
        <v>0</v>
      </c>
      <c r="Y96" s="1042">
        <f>COUNTIFS('TỔNG KLH + TN'!$B:$B,'01. TH'!$B96,'TỔNG KLH + TN'!$C:$C,'01. TH'!Y$4)</f>
        <v>0</v>
      </c>
      <c r="Z96" s="1042">
        <f>COUNTIFS('TỔNG KLH + TN'!$B:$B,'01. TH'!$B96,'TỔNG KLH + TN'!$C:$C,'01. TH'!Z$4)</f>
        <v>0</v>
      </c>
      <c r="AA96" s="1042">
        <f>COUNTIFS('TỔNG KLH + TN'!$B:$B,'01. TH'!$B96,'TỔNG KLH + TN'!$C:$C,'01. TH'!AA$4)</f>
        <v>0</v>
      </c>
      <c r="AB96" s="1042">
        <f>COUNTIFS('TỔNG KLH + TN'!$B:$B,'01. TH'!$B96,'TỔNG KLH + TN'!$C:$C,'01. TH'!AB$4)</f>
        <v>0</v>
      </c>
      <c r="AC96" s="1042">
        <f>COUNTIFS('TỔNG KLH + TN'!$B:$B,'01. TH'!$B96,'TỔNG KLH + TN'!$C:$C,'01. TH'!AC$4)</f>
        <v>0</v>
      </c>
      <c r="AD96" s="1042">
        <f>COUNTIFS('TỔNG KLH + TN'!$B:$B,'01. TH'!$B96,'TỔNG KLH + TN'!$C:$C,'01. TH'!AD$4)</f>
        <v>0</v>
      </c>
      <c r="AE96" s="1045">
        <f t="shared" si="22"/>
        <v>0</v>
      </c>
      <c r="AF96" s="1045"/>
      <c r="AG96" s="1033" t="str">
        <f t="shared" si="2"/>
        <v>ok</v>
      </c>
      <c r="AH96" s="1046"/>
    </row>
    <row r="97" ht="18.75" hidden="1" customHeight="1" outlineLevel="1" spans="1:34">
      <c r="A97" s="1044"/>
      <c r="B97" s="1040" t="s">
        <v>171</v>
      </c>
      <c r="C97" s="1041" t="s">
        <v>172</v>
      </c>
      <c r="D97" s="1041"/>
      <c r="E97" s="1041" t="s">
        <v>42</v>
      </c>
      <c r="F97" s="1042">
        <f>COUNTIFS('TỔNG KLH + TN'!$B:$B,'01. TH'!$B97,'TỔNG KLH + TN'!$C:$C,'01. TH'!F$4)</f>
        <v>0</v>
      </c>
      <c r="G97" s="1042">
        <f>COUNTIFS('TỔNG KLH + TN'!$B:$B,'01. TH'!$B97,'TỔNG KLH + TN'!$C:$C,'01. TH'!G$4)</f>
        <v>0</v>
      </c>
      <c r="H97" s="1042">
        <f>COUNTIFS('TỔNG KLH + TN'!$B:$B,'01. TH'!$B97,'TỔNG KLH + TN'!$C:$C,'01. TH'!H$4)</f>
        <v>0</v>
      </c>
      <c r="I97" s="1042">
        <f>COUNTIFS('TỔNG KLH + TN'!$B:$B,'01. TH'!$B97,'TỔNG KLH + TN'!$C:$C,'01. TH'!I$4)</f>
        <v>0</v>
      </c>
      <c r="J97" s="1042">
        <f>COUNTIFS('TỔNG KLH + TN'!$B:$B,'01. TH'!$B97,'TỔNG KLH + TN'!$C:$C,'01. TH'!J$4)</f>
        <v>0</v>
      </c>
      <c r="K97" s="1042">
        <f>COUNTIFS('TỔNG KLH + TN'!$B:$B,'01. TH'!$B97,'TỔNG KLH + TN'!$C:$C,'01. TH'!K$4)</f>
        <v>0</v>
      </c>
      <c r="L97" s="1042">
        <f>COUNTIFS('TỔNG KLH + TN'!$B:$B,'01. TH'!$B97,'TỔNG KLH + TN'!$C:$C,'01. TH'!L$4)</f>
        <v>0</v>
      </c>
      <c r="M97" s="1042">
        <f>COUNTIFS('TỔNG KLH + TN'!$B:$B,'01. TH'!$B97,'TỔNG KLH + TN'!$C:$C,'01. TH'!M$4)</f>
        <v>0</v>
      </c>
      <c r="N97" s="1042">
        <f>COUNTIFS('TỔNG KLH + TN'!$B:$B,'01. TH'!$B97,'TỔNG KLH + TN'!$C:$C,'01. TH'!N$4)</f>
        <v>0</v>
      </c>
      <c r="O97" s="1042">
        <f>COUNTIFS('TỔNG KLH + TN'!$B:$B,'01. TH'!$B97,'TỔNG KLH + TN'!$C:$C,'01. TH'!O$4)</f>
        <v>0</v>
      </c>
      <c r="P97" s="1042">
        <f>COUNTIFS('TỔNG KLH + TN'!$B:$B,'01. TH'!$B97,'TỔNG KLH + TN'!$C:$C,'01. TH'!P$4)</f>
        <v>0</v>
      </c>
      <c r="Q97" s="1042">
        <f>COUNTIFS('TỔNG KLH + TN'!$B:$B,'01. TH'!$B97,'TỔNG KLH + TN'!$C:$C,'01. TH'!Q$4)</f>
        <v>0</v>
      </c>
      <c r="R97" s="1042">
        <f>COUNTIFS('TỔNG KLH + TN'!$B:$B,'01. TH'!$B97,'TỔNG KLH + TN'!$C:$C,'01. TH'!R$4)</f>
        <v>0</v>
      </c>
      <c r="S97" s="1042">
        <f>COUNTIFS('TỔNG KLH + TN'!$B:$B,'01. TH'!$B97,'TỔNG KLH + TN'!$C:$C,'01. TH'!S$4)</f>
        <v>0</v>
      </c>
      <c r="T97" s="1042">
        <f>COUNTIFS('TỔNG KLH + TN'!$B:$B,'01. TH'!$B97,'TỔNG KLH + TN'!$C:$C,'01. TH'!T$4)</f>
        <v>0</v>
      </c>
      <c r="U97" s="1042">
        <f>COUNTIFS('TỔNG KLH + TN'!$B:$B,'01. TH'!$B97,'TỔNG KLH + TN'!$C:$C,'01. TH'!U$4)</f>
        <v>0</v>
      </c>
      <c r="V97" s="1042">
        <f>COUNTIFS('TỔNG KLH + TN'!$B:$B,'01. TH'!$B97,'TỔNG KLH + TN'!$C:$C,'01. TH'!V$4)</f>
        <v>0</v>
      </c>
      <c r="W97" s="1042">
        <f>COUNTIFS('TỔNG KLH + TN'!$B:$B,'01. TH'!$B97,'TỔNG KLH + TN'!$C:$C,'01. TH'!W$4)</f>
        <v>0</v>
      </c>
      <c r="X97" s="1042">
        <f>COUNTIFS('TỔNG KLH + TN'!$B:$B,'01. TH'!$B97,'TỔNG KLH + TN'!$C:$C,'01. TH'!X$4)</f>
        <v>0</v>
      </c>
      <c r="Y97" s="1042">
        <f>COUNTIFS('TỔNG KLH + TN'!$B:$B,'01. TH'!$B97,'TỔNG KLH + TN'!$C:$C,'01. TH'!Y$4)</f>
        <v>0</v>
      </c>
      <c r="Z97" s="1042">
        <f>COUNTIFS('TỔNG KLH + TN'!$B:$B,'01. TH'!$B97,'TỔNG KLH + TN'!$C:$C,'01. TH'!Z$4)</f>
        <v>0</v>
      </c>
      <c r="AA97" s="1042">
        <f>COUNTIFS('TỔNG KLH + TN'!$B:$B,'01. TH'!$B97,'TỔNG KLH + TN'!$C:$C,'01. TH'!AA$4)</f>
        <v>0</v>
      </c>
      <c r="AB97" s="1042">
        <f>COUNTIFS('TỔNG KLH + TN'!$B:$B,'01. TH'!$B97,'TỔNG KLH + TN'!$C:$C,'01. TH'!AB$4)</f>
        <v>0</v>
      </c>
      <c r="AC97" s="1042">
        <f>COUNTIFS('TỔNG KLH + TN'!$B:$B,'01. TH'!$B97,'TỔNG KLH + TN'!$C:$C,'01. TH'!AC$4)</f>
        <v>0</v>
      </c>
      <c r="AD97" s="1042">
        <f>COUNTIFS('TỔNG KLH + TN'!$B:$B,'01. TH'!$B97,'TỔNG KLH + TN'!$C:$C,'01. TH'!AD$4)</f>
        <v>0</v>
      </c>
      <c r="AE97" s="1045">
        <f t="shared" si="22"/>
        <v>0</v>
      </c>
      <c r="AF97" s="1045"/>
      <c r="AG97" s="1033"/>
      <c r="AH97" s="1046"/>
    </row>
    <row r="98" ht="18.75" hidden="1" customHeight="1" outlineLevel="1" spans="1:34">
      <c r="A98" s="1044"/>
      <c r="B98" s="1040" t="s">
        <v>173</v>
      </c>
      <c r="C98" s="1041" t="s">
        <v>174</v>
      </c>
      <c r="D98" s="1041"/>
      <c r="E98" s="1041" t="s">
        <v>42</v>
      </c>
      <c r="F98" s="1042">
        <f>COUNTIFS('TỔNG KLH + TN'!$B:$B,'01. TH'!$B98,'TỔNG KLH + TN'!$C:$C,'01. TH'!F$4)</f>
        <v>0</v>
      </c>
      <c r="G98" s="1042">
        <f>COUNTIFS('TỔNG KLH + TN'!$B:$B,'01. TH'!$B98,'TỔNG KLH + TN'!$C:$C,'01. TH'!G$4)</f>
        <v>1</v>
      </c>
      <c r="H98" s="1042">
        <f>COUNTIFS('TỔNG KLH + TN'!$B:$B,'01. TH'!$B98,'TỔNG KLH + TN'!$C:$C,'01. TH'!H$4)</f>
        <v>0</v>
      </c>
      <c r="I98" s="1042">
        <f>COUNTIFS('TỔNG KLH + TN'!$B:$B,'01. TH'!$B98,'TỔNG KLH + TN'!$C:$C,'01. TH'!I$4)</f>
        <v>0</v>
      </c>
      <c r="J98" s="1042">
        <f>COUNTIFS('TỔNG KLH + TN'!$B:$B,'01. TH'!$B98,'TỔNG KLH + TN'!$C:$C,'01. TH'!J$4)</f>
        <v>0</v>
      </c>
      <c r="K98" s="1042">
        <f>COUNTIFS('TỔNG KLH + TN'!$B:$B,'01. TH'!$B98,'TỔNG KLH + TN'!$C:$C,'01. TH'!K$4)</f>
        <v>0</v>
      </c>
      <c r="L98" s="1042">
        <f>COUNTIFS('TỔNG KLH + TN'!$B:$B,'01. TH'!$B98,'TỔNG KLH + TN'!$C:$C,'01. TH'!L$4)</f>
        <v>0</v>
      </c>
      <c r="M98" s="1042">
        <f>COUNTIFS('TỔNG KLH + TN'!$B:$B,'01. TH'!$B98,'TỔNG KLH + TN'!$C:$C,'01. TH'!M$4)</f>
        <v>0</v>
      </c>
      <c r="N98" s="1042">
        <f>COUNTIFS('TỔNG KLH + TN'!$B:$B,'01. TH'!$B98,'TỔNG KLH + TN'!$C:$C,'01. TH'!N$4)</f>
        <v>0</v>
      </c>
      <c r="O98" s="1042">
        <f>COUNTIFS('TỔNG KLH + TN'!$B:$B,'01. TH'!$B98,'TỔNG KLH + TN'!$C:$C,'01. TH'!O$4)</f>
        <v>0</v>
      </c>
      <c r="P98" s="1042">
        <f>COUNTIFS('TỔNG KLH + TN'!$B:$B,'01. TH'!$B98,'TỔNG KLH + TN'!$C:$C,'01. TH'!P$4)</f>
        <v>0</v>
      </c>
      <c r="Q98" s="1042">
        <f>COUNTIFS('TỔNG KLH + TN'!$B:$B,'01. TH'!$B98,'TỔNG KLH + TN'!$C:$C,'01. TH'!Q$4)</f>
        <v>0</v>
      </c>
      <c r="R98" s="1042">
        <f>COUNTIFS('TỔNG KLH + TN'!$B:$B,'01. TH'!$B98,'TỔNG KLH + TN'!$C:$C,'01. TH'!R$4)</f>
        <v>0</v>
      </c>
      <c r="S98" s="1042">
        <f>COUNTIFS('TỔNG KLH + TN'!$B:$B,'01. TH'!$B98,'TỔNG KLH + TN'!$C:$C,'01. TH'!S$4)</f>
        <v>0</v>
      </c>
      <c r="T98" s="1042">
        <f>COUNTIFS('TỔNG KLH + TN'!$B:$B,'01. TH'!$B98,'TỔNG KLH + TN'!$C:$C,'01. TH'!T$4)</f>
        <v>0</v>
      </c>
      <c r="U98" s="1042">
        <f>COUNTIFS('TỔNG KLH + TN'!$B:$B,'01. TH'!$B98,'TỔNG KLH + TN'!$C:$C,'01. TH'!U$4)</f>
        <v>0</v>
      </c>
      <c r="V98" s="1042">
        <f>COUNTIFS('TỔNG KLH + TN'!$B:$B,'01. TH'!$B98,'TỔNG KLH + TN'!$C:$C,'01. TH'!V$4)</f>
        <v>0</v>
      </c>
      <c r="W98" s="1042">
        <f>COUNTIFS('TỔNG KLH + TN'!$B:$B,'01. TH'!$B98,'TỔNG KLH + TN'!$C:$C,'01. TH'!W$4)</f>
        <v>0</v>
      </c>
      <c r="X98" s="1042">
        <f>COUNTIFS('TỔNG KLH + TN'!$B:$B,'01. TH'!$B98,'TỔNG KLH + TN'!$C:$C,'01. TH'!X$4)</f>
        <v>0</v>
      </c>
      <c r="Y98" s="1042">
        <f>COUNTIFS('TỔNG KLH + TN'!$B:$B,'01. TH'!$B98,'TỔNG KLH + TN'!$C:$C,'01. TH'!Y$4)</f>
        <v>0</v>
      </c>
      <c r="Z98" s="1042">
        <f>COUNTIFS('TỔNG KLH + TN'!$B:$B,'01. TH'!$B98,'TỔNG KLH + TN'!$C:$C,'01. TH'!Z$4)</f>
        <v>0</v>
      </c>
      <c r="AA98" s="1042">
        <f>COUNTIFS('TỔNG KLH + TN'!$B:$B,'01. TH'!$B98,'TỔNG KLH + TN'!$C:$C,'01. TH'!AA$4)</f>
        <v>0</v>
      </c>
      <c r="AB98" s="1042">
        <f>COUNTIFS('TỔNG KLH + TN'!$B:$B,'01. TH'!$B98,'TỔNG KLH + TN'!$C:$C,'01. TH'!AB$4)</f>
        <v>0</v>
      </c>
      <c r="AC98" s="1042">
        <f>COUNTIFS('TỔNG KLH + TN'!$B:$B,'01. TH'!$B98,'TỔNG KLH + TN'!$C:$C,'01. TH'!AC$4)</f>
        <v>0</v>
      </c>
      <c r="AD98" s="1042">
        <f>COUNTIFS('TỔNG KLH + TN'!$B:$B,'01. TH'!$B98,'TỔNG KLH + TN'!$C:$C,'01. TH'!AD$4)</f>
        <v>0</v>
      </c>
      <c r="AE98" s="1045">
        <f t="shared" si="22"/>
        <v>1</v>
      </c>
      <c r="AF98" s="1045"/>
      <c r="AG98" s="1033"/>
      <c r="AH98" s="1046"/>
    </row>
    <row r="99" ht="18.75" hidden="1" customHeight="1" outlineLevel="1" spans="1:34">
      <c r="A99" s="1044"/>
      <c r="B99" s="1040" t="s">
        <v>175</v>
      </c>
      <c r="C99" s="1041" t="s">
        <v>174</v>
      </c>
      <c r="D99" s="1041"/>
      <c r="E99" s="1041" t="s">
        <v>42</v>
      </c>
      <c r="F99" s="1042">
        <f>COUNTIFS('TỔNG KLH + TN'!$B:$B,'01. TH'!$B99,'TỔNG KLH + TN'!$C:$C,'01. TH'!F$4)</f>
        <v>0</v>
      </c>
      <c r="G99" s="1042">
        <f>COUNTIFS('TỔNG KLH + TN'!$B:$B,'01. TH'!$B99,'TỔNG KLH + TN'!$C:$C,'01. TH'!G$4)</f>
        <v>0</v>
      </c>
      <c r="H99" s="1042">
        <f>COUNTIFS('TỔNG KLH + TN'!$B:$B,'01. TH'!$B99,'TỔNG KLH + TN'!$C:$C,'01. TH'!H$4)</f>
        <v>0</v>
      </c>
      <c r="I99" s="1042">
        <f>COUNTIFS('TỔNG KLH + TN'!$B:$B,'01. TH'!$B99,'TỔNG KLH + TN'!$C:$C,'01. TH'!I$4)</f>
        <v>0</v>
      </c>
      <c r="J99" s="1042">
        <f>COUNTIFS('TỔNG KLH + TN'!$B:$B,'01. TH'!$B99,'TỔNG KLH + TN'!$C:$C,'01. TH'!J$4)</f>
        <v>0</v>
      </c>
      <c r="K99" s="1042">
        <f>COUNTIFS('TỔNG KLH + TN'!$B:$B,'01. TH'!$B99,'TỔNG KLH + TN'!$C:$C,'01. TH'!K$4)</f>
        <v>0</v>
      </c>
      <c r="L99" s="1042">
        <f>COUNTIFS('TỔNG KLH + TN'!$B:$B,'01. TH'!$B99,'TỔNG KLH + TN'!$C:$C,'01. TH'!L$4)</f>
        <v>0</v>
      </c>
      <c r="M99" s="1042">
        <f>COUNTIFS('TỔNG KLH + TN'!$B:$B,'01. TH'!$B99,'TỔNG KLH + TN'!$C:$C,'01. TH'!M$4)</f>
        <v>0</v>
      </c>
      <c r="N99" s="1042">
        <f>COUNTIFS('TỔNG KLH + TN'!$B:$B,'01. TH'!$B99,'TỔNG KLH + TN'!$C:$C,'01. TH'!N$4)</f>
        <v>0</v>
      </c>
      <c r="O99" s="1042">
        <f>COUNTIFS('TỔNG KLH + TN'!$B:$B,'01. TH'!$B99,'TỔNG KLH + TN'!$C:$C,'01. TH'!O$4)</f>
        <v>0</v>
      </c>
      <c r="P99" s="1042">
        <f>COUNTIFS('TỔNG KLH + TN'!$B:$B,'01. TH'!$B99,'TỔNG KLH + TN'!$C:$C,'01. TH'!P$4)</f>
        <v>0</v>
      </c>
      <c r="Q99" s="1042">
        <f>COUNTIFS('TỔNG KLH + TN'!$B:$B,'01. TH'!$B99,'TỔNG KLH + TN'!$C:$C,'01. TH'!Q$4)</f>
        <v>0</v>
      </c>
      <c r="R99" s="1042">
        <f>COUNTIFS('TỔNG KLH + TN'!$B:$B,'01. TH'!$B99,'TỔNG KLH + TN'!$C:$C,'01. TH'!R$4)</f>
        <v>0</v>
      </c>
      <c r="S99" s="1042">
        <f>COUNTIFS('TỔNG KLH + TN'!$B:$B,'01. TH'!$B99,'TỔNG KLH + TN'!$C:$C,'01. TH'!S$4)</f>
        <v>0</v>
      </c>
      <c r="T99" s="1042">
        <f>COUNTIFS('TỔNG KLH + TN'!$B:$B,'01. TH'!$B99,'TỔNG KLH + TN'!$C:$C,'01. TH'!T$4)</f>
        <v>0</v>
      </c>
      <c r="U99" s="1042">
        <f>COUNTIFS('TỔNG KLH + TN'!$B:$B,'01. TH'!$B99,'TỔNG KLH + TN'!$C:$C,'01. TH'!U$4)</f>
        <v>0</v>
      </c>
      <c r="V99" s="1042">
        <f>COUNTIFS('TỔNG KLH + TN'!$B:$B,'01. TH'!$B99,'TỔNG KLH + TN'!$C:$C,'01. TH'!V$4)</f>
        <v>0</v>
      </c>
      <c r="W99" s="1042">
        <f>COUNTIFS('TỔNG KLH + TN'!$B:$B,'01. TH'!$B99,'TỔNG KLH + TN'!$C:$C,'01. TH'!W$4)</f>
        <v>0</v>
      </c>
      <c r="X99" s="1042">
        <f>COUNTIFS('TỔNG KLH + TN'!$B:$B,'01. TH'!$B99,'TỔNG KLH + TN'!$C:$C,'01. TH'!X$4)</f>
        <v>0</v>
      </c>
      <c r="Y99" s="1042">
        <f>COUNTIFS('TỔNG KLH + TN'!$B:$B,'01. TH'!$B99,'TỔNG KLH + TN'!$C:$C,'01. TH'!Y$4)</f>
        <v>0</v>
      </c>
      <c r="Z99" s="1042">
        <f>COUNTIFS('TỔNG KLH + TN'!$B:$B,'01. TH'!$B99,'TỔNG KLH + TN'!$C:$C,'01. TH'!Z$4)</f>
        <v>0</v>
      </c>
      <c r="AA99" s="1042">
        <f>COUNTIFS('TỔNG KLH + TN'!$B:$B,'01. TH'!$B99,'TỔNG KLH + TN'!$C:$C,'01. TH'!AA$4)</f>
        <v>0</v>
      </c>
      <c r="AB99" s="1042">
        <f>COUNTIFS('TỔNG KLH + TN'!$B:$B,'01. TH'!$B99,'TỔNG KLH + TN'!$C:$C,'01. TH'!AB$4)</f>
        <v>0</v>
      </c>
      <c r="AC99" s="1042">
        <f>COUNTIFS('TỔNG KLH + TN'!$B:$B,'01. TH'!$B99,'TỔNG KLH + TN'!$C:$C,'01. TH'!AC$4)</f>
        <v>0</v>
      </c>
      <c r="AD99" s="1042">
        <f>COUNTIFS('TỔNG KLH + TN'!$B:$B,'01. TH'!$B99,'TỔNG KLH + TN'!$C:$C,'01. TH'!AD$4)</f>
        <v>0</v>
      </c>
      <c r="AE99" s="1045">
        <f t="shared" si="22"/>
        <v>0</v>
      </c>
      <c r="AF99" s="1045"/>
      <c r="AG99" s="1033"/>
      <c r="AH99" s="1046"/>
    </row>
    <row r="100" ht="18.75" hidden="1" customHeight="1" outlineLevel="1" spans="1:34">
      <c r="A100" s="1039"/>
      <c r="B100" s="1040" t="s">
        <v>176</v>
      </c>
      <c r="C100" s="1041" t="s">
        <v>177</v>
      </c>
      <c r="D100" s="1041" t="str">
        <f>IFERROR(VLOOKUP(B100,'Danh mục'!$G:$U,15,0),"")</f>
        <v>4200 x 2600 x 2900</v>
      </c>
      <c r="E100" s="1041" t="s">
        <v>42</v>
      </c>
      <c r="F100" s="1042">
        <f>COUNTIFS('TỔNG KLH + TN'!$B:$B,'01. TH'!$B100,'TỔNG KLH + TN'!$C:$C,'01. TH'!F$4)</f>
        <v>0</v>
      </c>
      <c r="G100" s="1042">
        <f>COUNTIFS('TỔNG KLH + TN'!$B:$B,'01. TH'!$B100,'TỔNG KLH + TN'!$C:$C,'01. TH'!G$4)</f>
        <v>1</v>
      </c>
      <c r="H100" s="1042">
        <f>COUNTIFS('TỔNG KLH + TN'!$B:$B,'01. TH'!$B100,'TỔNG KLH + TN'!$C:$C,'01. TH'!H$4)</f>
        <v>0</v>
      </c>
      <c r="I100" s="1042">
        <f>COUNTIFS('TỔNG KLH + TN'!$B:$B,'01. TH'!$B100,'TỔNG KLH + TN'!$C:$C,'01. TH'!I$4)</f>
        <v>0</v>
      </c>
      <c r="J100" s="1042">
        <f>COUNTIFS('TỔNG KLH + TN'!$B:$B,'01. TH'!$B100,'TỔNG KLH + TN'!$C:$C,'01. TH'!J$4)</f>
        <v>0</v>
      </c>
      <c r="K100" s="1042">
        <f>COUNTIFS('TỔNG KLH + TN'!$B:$B,'01. TH'!$B100,'TỔNG KLH + TN'!$C:$C,'01. TH'!K$4)</f>
        <v>0</v>
      </c>
      <c r="L100" s="1042">
        <f>COUNTIFS('TỔNG KLH + TN'!$B:$B,'01. TH'!$B100,'TỔNG KLH + TN'!$C:$C,'01. TH'!L$4)</f>
        <v>0</v>
      </c>
      <c r="M100" s="1042">
        <f>COUNTIFS('TỔNG KLH + TN'!$B:$B,'01. TH'!$B100,'TỔNG KLH + TN'!$C:$C,'01. TH'!M$4)</f>
        <v>0</v>
      </c>
      <c r="N100" s="1042">
        <f>COUNTIFS('TỔNG KLH + TN'!$B:$B,'01. TH'!$B100,'TỔNG KLH + TN'!$C:$C,'01. TH'!N$4)</f>
        <v>0</v>
      </c>
      <c r="O100" s="1042">
        <f>COUNTIFS('TỔNG KLH + TN'!$B:$B,'01. TH'!$B100,'TỔNG KLH + TN'!$C:$C,'01. TH'!O$4)</f>
        <v>0</v>
      </c>
      <c r="P100" s="1042">
        <f>COUNTIFS('TỔNG KLH + TN'!$B:$B,'01. TH'!$B100,'TỔNG KLH + TN'!$C:$C,'01. TH'!P$4)</f>
        <v>0</v>
      </c>
      <c r="Q100" s="1042">
        <f>COUNTIFS('TỔNG KLH + TN'!$B:$B,'01. TH'!$B100,'TỔNG KLH + TN'!$C:$C,'01. TH'!Q$4)</f>
        <v>0</v>
      </c>
      <c r="R100" s="1042">
        <f>COUNTIFS('TỔNG KLH + TN'!$B:$B,'01. TH'!$B100,'TỔNG KLH + TN'!$C:$C,'01. TH'!R$4)</f>
        <v>0</v>
      </c>
      <c r="S100" s="1042">
        <f>COUNTIFS('TỔNG KLH + TN'!$B:$B,'01. TH'!$B100,'TỔNG KLH + TN'!$C:$C,'01. TH'!S$4)</f>
        <v>0</v>
      </c>
      <c r="T100" s="1042">
        <f>COUNTIFS('TỔNG KLH + TN'!$B:$B,'01. TH'!$B100,'TỔNG KLH + TN'!$C:$C,'01. TH'!T$4)</f>
        <v>0</v>
      </c>
      <c r="U100" s="1042">
        <f>COUNTIFS('TỔNG KLH + TN'!$B:$B,'01. TH'!$B100,'TỔNG KLH + TN'!$C:$C,'01. TH'!U$4)</f>
        <v>0</v>
      </c>
      <c r="V100" s="1042">
        <f>COUNTIFS('TỔNG KLH + TN'!$B:$B,'01. TH'!$B100,'TỔNG KLH + TN'!$C:$C,'01. TH'!V$4)</f>
        <v>0</v>
      </c>
      <c r="W100" s="1042">
        <f>COUNTIFS('TỔNG KLH + TN'!$B:$B,'01. TH'!$B100,'TỔNG KLH + TN'!$C:$C,'01. TH'!W$4)</f>
        <v>0</v>
      </c>
      <c r="X100" s="1042">
        <f>COUNTIFS('TỔNG KLH + TN'!$B:$B,'01. TH'!$B100,'TỔNG KLH + TN'!$C:$C,'01. TH'!X$4)</f>
        <v>0</v>
      </c>
      <c r="Y100" s="1042">
        <f>COUNTIFS('TỔNG KLH + TN'!$B:$B,'01. TH'!$B100,'TỔNG KLH + TN'!$C:$C,'01. TH'!Y$4)</f>
        <v>0</v>
      </c>
      <c r="Z100" s="1042">
        <f>COUNTIFS('TỔNG KLH + TN'!$B:$B,'01. TH'!$B100,'TỔNG KLH + TN'!$C:$C,'01. TH'!Z$4)</f>
        <v>0</v>
      </c>
      <c r="AA100" s="1042">
        <f>COUNTIFS('TỔNG KLH + TN'!$B:$B,'01. TH'!$B100,'TỔNG KLH + TN'!$C:$C,'01. TH'!AA$4)</f>
        <v>0</v>
      </c>
      <c r="AB100" s="1042">
        <f>COUNTIFS('TỔNG KLH + TN'!$B:$B,'01. TH'!$B100,'TỔNG KLH + TN'!$C:$C,'01. TH'!AB$4)</f>
        <v>0</v>
      </c>
      <c r="AC100" s="1042">
        <f>COUNTIFS('TỔNG KLH + TN'!$B:$B,'01. TH'!$B100,'TỔNG KLH + TN'!$C:$C,'01. TH'!AC$4)</f>
        <v>0</v>
      </c>
      <c r="AD100" s="1042">
        <f>COUNTIFS('TỔNG KLH + TN'!$B:$B,'01. TH'!$B100,'TỔNG KLH + TN'!$C:$C,'01. TH'!AD$4)</f>
        <v>0</v>
      </c>
      <c r="AE100" s="1043">
        <f t="shared" si="22"/>
        <v>1</v>
      </c>
      <c r="AF100" s="1043"/>
      <c r="AG100" s="1033" t="str">
        <f t="shared" ref="AG100:AG282" si="23">IF(AE100=SUM(F100:AD100),"ok","SAI")</f>
        <v>ok</v>
      </c>
      <c r="AH100" s="1041"/>
    </row>
    <row r="101" ht="18.75" hidden="1" customHeight="1" outlineLevel="1" spans="1:34">
      <c r="A101" s="1044"/>
      <c r="B101" s="1040" t="s">
        <v>178</v>
      </c>
      <c r="C101" s="1041" t="s">
        <v>177</v>
      </c>
      <c r="D101" s="1041" t="str">
        <f>IFERROR(VLOOKUP(B101,'Danh mục'!$G:$U,15,0),"")</f>
        <v>4780 x 2030 x 2840</v>
      </c>
      <c r="E101" s="1041" t="s">
        <v>42</v>
      </c>
      <c r="F101" s="1042">
        <f>COUNTIFS('TỔNG KLH + TN'!$B:$B,'01. TH'!$B101,'TỔNG KLH + TN'!$C:$C,'01. TH'!F$4)</f>
        <v>0</v>
      </c>
      <c r="G101" s="1042">
        <f>COUNTIFS('TỔNG KLH + TN'!$B:$B,'01. TH'!$B101,'TỔNG KLH + TN'!$C:$C,'01. TH'!G$4)</f>
        <v>2</v>
      </c>
      <c r="H101" s="1042">
        <f>COUNTIFS('TỔNG KLH + TN'!$B:$B,'01. TH'!$B101,'TỔNG KLH + TN'!$C:$C,'01. TH'!H$4)</f>
        <v>0</v>
      </c>
      <c r="I101" s="1042">
        <f>COUNTIFS('TỔNG KLH + TN'!$B:$B,'01. TH'!$B101,'TỔNG KLH + TN'!$C:$C,'01. TH'!I$4)</f>
        <v>0</v>
      </c>
      <c r="J101" s="1042">
        <f>COUNTIFS('TỔNG KLH + TN'!$B:$B,'01. TH'!$B101,'TỔNG KLH + TN'!$C:$C,'01. TH'!J$4)</f>
        <v>0</v>
      </c>
      <c r="K101" s="1042">
        <f>COUNTIFS('TỔNG KLH + TN'!$B:$B,'01. TH'!$B101,'TỔNG KLH + TN'!$C:$C,'01. TH'!K$4)</f>
        <v>0</v>
      </c>
      <c r="L101" s="1042">
        <f>COUNTIFS('TỔNG KLH + TN'!$B:$B,'01. TH'!$B101,'TỔNG KLH + TN'!$C:$C,'01. TH'!L$4)</f>
        <v>0</v>
      </c>
      <c r="M101" s="1042">
        <f>COUNTIFS('TỔNG KLH + TN'!$B:$B,'01. TH'!$B101,'TỔNG KLH + TN'!$C:$C,'01. TH'!M$4)</f>
        <v>0</v>
      </c>
      <c r="N101" s="1042">
        <f>COUNTIFS('TỔNG KLH + TN'!$B:$B,'01. TH'!$B101,'TỔNG KLH + TN'!$C:$C,'01. TH'!N$4)</f>
        <v>0</v>
      </c>
      <c r="O101" s="1042">
        <f>COUNTIFS('TỔNG KLH + TN'!$B:$B,'01. TH'!$B101,'TỔNG KLH + TN'!$C:$C,'01. TH'!O$4)</f>
        <v>0</v>
      </c>
      <c r="P101" s="1042">
        <f>COUNTIFS('TỔNG KLH + TN'!$B:$B,'01. TH'!$B101,'TỔNG KLH + TN'!$C:$C,'01. TH'!P$4)</f>
        <v>1</v>
      </c>
      <c r="Q101" s="1042">
        <f>COUNTIFS('TỔNG KLH + TN'!$B:$B,'01. TH'!$B101,'TỔNG KLH + TN'!$C:$C,'01. TH'!Q$4)</f>
        <v>0</v>
      </c>
      <c r="R101" s="1042">
        <f>COUNTIFS('TỔNG KLH + TN'!$B:$B,'01. TH'!$B101,'TỔNG KLH + TN'!$C:$C,'01. TH'!R$4)</f>
        <v>0</v>
      </c>
      <c r="S101" s="1042">
        <f>COUNTIFS('TỔNG KLH + TN'!$B:$B,'01. TH'!$B101,'TỔNG KLH + TN'!$C:$C,'01. TH'!S$4)</f>
        <v>0</v>
      </c>
      <c r="T101" s="1042">
        <f>COUNTIFS('TỔNG KLH + TN'!$B:$B,'01. TH'!$B101,'TỔNG KLH + TN'!$C:$C,'01. TH'!T$4)</f>
        <v>0</v>
      </c>
      <c r="U101" s="1042">
        <f>COUNTIFS('TỔNG KLH + TN'!$B:$B,'01. TH'!$B101,'TỔNG KLH + TN'!$C:$C,'01. TH'!U$4)</f>
        <v>0</v>
      </c>
      <c r="V101" s="1042">
        <f>COUNTIFS('TỔNG KLH + TN'!$B:$B,'01. TH'!$B101,'TỔNG KLH + TN'!$C:$C,'01. TH'!V$4)</f>
        <v>0</v>
      </c>
      <c r="W101" s="1042">
        <f>COUNTIFS('TỔNG KLH + TN'!$B:$B,'01. TH'!$B101,'TỔNG KLH + TN'!$C:$C,'01. TH'!W$4)</f>
        <v>0</v>
      </c>
      <c r="X101" s="1042">
        <f>COUNTIFS('TỔNG KLH + TN'!$B:$B,'01. TH'!$B101,'TỔNG KLH + TN'!$C:$C,'01. TH'!X$4)</f>
        <v>0</v>
      </c>
      <c r="Y101" s="1042">
        <f>COUNTIFS('TỔNG KLH + TN'!$B:$B,'01. TH'!$B101,'TỔNG KLH + TN'!$C:$C,'01. TH'!Y$4)</f>
        <v>0</v>
      </c>
      <c r="Z101" s="1042">
        <f>COUNTIFS('TỔNG KLH + TN'!$B:$B,'01. TH'!$B101,'TỔNG KLH + TN'!$C:$C,'01. TH'!Z$4)</f>
        <v>0</v>
      </c>
      <c r="AA101" s="1042">
        <f>COUNTIFS('TỔNG KLH + TN'!$B:$B,'01. TH'!$B101,'TỔNG KLH + TN'!$C:$C,'01. TH'!AA$4)</f>
        <v>0</v>
      </c>
      <c r="AB101" s="1042">
        <f>COUNTIFS('TỔNG KLH + TN'!$B:$B,'01. TH'!$B101,'TỔNG KLH + TN'!$C:$C,'01. TH'!AB$4)</f>
        <v>0</v>
      </c>
      <c r="AC101" s="1042">
        <f>COUNTIFS('TỔNG KLH + TN'!$B:$B,'01. TH'!$B101,'TỔNG KLH + TN'!$C:$C,'01. TH'!AC$4)</f>
        <v>0</v>
      </c>
      <c r="AD101" s="1042">
        <f>COUNTIFS('TỔNG KLH + TN'!$B:$B,'01. TH'!$B101,'TỔNG KLH + TN'!$C:$C,'01. TH'!AD$4)</f>
        <v>0</v>
      </c>
      <c r="AE101" s="1045">
        <f t="shared" si="22"/>
        <v>3</v>
      </c>
      <c r="AF101" s="1045"/>
      <c r="AG101" s="1033" t="str">
        <f t="shared" si="23"/>
        <v>ok</v>
      </c>
      <c r="AH101" s="1046"/>
    </row>
    <row r="102" ht="18.75" hidden="1" customHeight="1" outlineLevel="1" spans="1:34">
      <c r="A102" s="1039"/>
      <c r="B102" s="1040" t="s">
        <v>179</v>
      </c>
      <c r="C102" s="1041" t="s">
        <v>177</v>
      </c>
      <c r="D102" s="1041" t="str">
        <f>IFERROR(VLOOKUP(B102,'Danh mục'!$G:$U,15,0),"")</f>
        <v>4800 x 2150 x 2970</v>
      </c>
      <c r="E102" s="1041" t="s">
        <v>42</v>
      </c>
      <c r="F102" s="1042">
        <f>COUNTIFS('TỔNG KLH + TN'!$B:$B,'01. TH'!$B102,'TỔNG KLH + TN'!$C:$C,'01. TH'!F$4)</f>
        <v>0</v>
      </c>
      <c r="G102" s="1042">
        <f>COUNTIFS('TỔNG KLH + TN'!$B:$B,'01. TH'!$B102,'TỔNG KLH + TN'!$C:$C,'01. TH'!G$4)</f>
        <v>0</v>
      </c>
      <c r="H102" s="1042">
        <f>COUNTIFS('TỔNG KLH + TN'!$B:$B,'01. TH'!$B102,'TỔNG KLH + TN'!$C:$C,'01. TH'!H$4)</f>
        <v>0</v>
      </c>
      <c r="I102" s="1042">
        <f>COUNTIFS('TỔNG KLH + TN'!$B:$B,'01. TH'!$B102,'TỔNG KLH + TN'!$C:$C,'01. TH'!I$4)</f>
        <v>0</v>
      </c>
      <c r="J102" s="1042">
        <f>COUNTIFS('TỔNG KLH + TN'!$B:$B,'01. TH'!$B102,'TỔNG KLH + TN'!$C:$C,'01. TH'!J$4)</f>
        <v>0</v>
      </c>
      <c r="K102" s="1042">
        <f>COUNTIFS('TỔNG KLH + TN'!$B:$B,'01. TH'!$B102,'TỔNG KLH + TN'!$C:$C,'01. TH'!K$4)</f>
        <v>0</v>
      </c>
      <c r="L102" s="1042">
        <f>COUNTIFS('TỔNG KLH + TN'!$B:$B,'01. TH'!$B102,'TỔNG KLH + TN'!$C:$C,'01. TH'!L$4)</f>
        <v>0</v>
      </c>
      <c r="M102" s="1042">
        <f>COUNTIFS('TỔNG KLH + TN'!$B:$B,'01. TH'!$B102,'TỔNG KLH + TN'!$C:$C,'01. TH'!M$4)</f>
        <v>0</v>
      </c>
      <c r="N102" s="1042">
        <f>COUNTIFS('TỔNG KLH + TN'!$B:$B,'01. TH'!$B102,'TỔNG KLH + TN'!$C:$C,'01. TH'!N$4)</f>
        <v>0</v>
      </c>
      <c r="O102" s="1042">
        <f>COUNTIFS('TỔNG KLH + TN'!$B:$B,'01. TH'!$B102,'TỔNG KLH + TN'!$C:$C,'01. TH'!O$4)</f>
        <v>0</v>
      </c>
      <c r="P102" s="1042">
        <f>COUNTIFS('TỔNG KLH + TN'!$B:$B,'01. TH'!$B102,'TỔNG KLH + TN'!$C:$C,'01. TH'!P$4)</f>
        <v>1</v>
      </c>
      <c r="Q102" s="1042">
        <f>COUNTIFS('TỔNG KLH + TN'!$B:$B,'01. TH'!$B102,'TỔNG KLH + TN'!$C:$C,'01. TH'!Q$4)</f>
        <v>0</v>
      </c>
      <c r="R102" s="1042">
        <f>COUNTIFS('TỔNG KLH + TN'!$B:$B,'01. TH'!$B102,'TỔNG KLH + TN'!$C:$C,'01. TH'!R$4)</f>
        <v>0</v>
      </c>
      <c r="S102" s="1042">
        <f>COUNTIFS('TỔNG KLH + TN'!$B:$B,'01. TH'!$B102,'TỔNG KLH + TN'!$C:$C,'01. TH'!S$4)</f>
        <v>0</v>
      </c>
      <c r="T102" s="1042">
        <f>COUNTIFS('TỔNG KLH + TN'!$B:$B,'01. TH'!$B102,'TỔNG KLH + TN'!$C:$C,'01. TH'!T$4)</f>
        <v>0</v>
      </c>
      <c r="U102" s="1042">
        <f>COUNTIFS('TỔNG KLH + TN'!$B:$B,'01. TH'!$B102,'TỔNG KLH + TN'!$C:$C,'01. TH'!U$4)</f>
        <v>0</v>
      </c>
      <c r="V102" s="1042">
        <f>COUNTIFS('TỔNG KLH + TN'!$B:$B,'01. TH'!$B102,'TỔNG KLH + TN'!$C:$C,'01. TH'!V$4)</f>
        <v>0</v>
      </c>
      <c r="W102" s="1042">
        <f>COUNTIFS('TỔNG KLH + TN'!$B:$B,'01. TH'!$B102,'TỔNG KLH + TN'!$C:$C,'01. TH'!W$4)</f>
        <v>0</v>
      </c>
      <c r="X102" s="1042">
        <f>COUNTIFS('TỔNG KLH + TN'!$B:$B,'01. TH'!$B102,'TỔNG KLH + TN'!$C:$C,'01. TH'!X$4)</f>
        <v>0</v>
      </c>
      <c r="Y102" s="1042">
        <f>COUNTIFS('TỔNG KLH + TN'!$B:$B,'01. TH'!$B102,'TỔNG KLH + TN'!$C:$C,'01. TH'!Y$4)</f>
        <v>0</v>
      </c>
      <c r="Z102" s="1042">
        <f>COUNTIFS('TỔNG KLH + TN'!$B:$B,'01. TH'!$B102,'TỔNG KLH + TN'!$C:$C,'01. TH'!Z$4)</f>
        <v>0</v>
      </c>
      <c r="AA102" s="1042">
        <f>COUNTIFS('TỔNG KLH + TN'!$B:$B,'01. TH'!$B102,'TỔNG KLH + TN'!$C:$C,'01. TH'!AA$4)</f>
        <v>0</v>
      </c>
      <c r="AB102" s="1042">
        <f>COUNTIFS('TỔNG KLH + TN'!$B:$B,'01. TH'!$B102,'TỔNG KLH + TN'!$C:$C,'01. TH'!AB$4)</f>
        <v>0</v>
      </c>
      <c r="AC102" s="1042">
        <f>COUNTIFS('TỔNG KLH + TN'!$B:$B,'01. TH'!$B102,'TỔNG KLH + TN'!$C:$C,'01. TH'!AC$4)</f>
        <v>0</v>
      </c>
      <c r="AD102" s="1042">
        <f>COUNTIFS('TỔNG KLH + TN'!$B:$B,'01. TH'!$B102,'TỔNG KLH + TN'!$C:$C,'01. TH'!AD$4)</f>
        <v>0</v>
      </c>
      <c r="AE102" s="1043">
        <f t="shared" si="22"/>
        <v>1</v>
      </c>
      <c r="AF102" s="1043"/>
      <c r="AG102" s="1033" t="str">
        <f t="shared" si="23"/>
        <v>ok</v>
      </c>
      <c r="AH102" s="1041"/>
    </row>
    <row r="103" ht="18.75" hidden="1" customHeight="1" outlineLevel="1" spans="1:34">
      <c r="A103" s="1044"/>
      <c r="B103" s="1040" t="s">
        <v>180</v>
      </c>
      <c r="C103" s="1041" t="s">
        <v>177</v>
      </c>
      <c r="D103" s="1041" t="str">
        <f>IFERROR(VLOOKUP(B103,'Danh mục'!$G:$U,15,0),"")</f>
        <v>4890 x 2260 x 2880</v>
      </c>
      <c r="E103" s="1041" t="s">
        <v>42</v>
      </c>
      <c r="F103" s="1042">
        <f>COUNTIFS('TỔNG KLH + TN'!$B:$B,'01. TH'!$B103,'TỔNG KLH + TN'!$C:$C,'01. TH'!F$4)</f>
        <v>0</v>
      </c>
      <c r="G103" s="1042">
        <f>COUNTIFS('TỔNG KLH + TN'!$B:$B,'01. TH'!$B103,'TỔNG KLH + TN'!$C:$C,'01. TH'!G$4)</f>
        <v>0</v>
      </c>
      <c r="H103" s="1042">
        <f>COUNTIFS('TỔNG KLH + TN'!$B:$B,'01. TH'!$B103,'TỔNG KLH + TN'!$C:$C,'01. TH'!H$4)</f>
        <v>0</v>
      </c>
      <c r="I103" s="1042">
        <f>COUNTIFS('TỔNG KLH + TN'!$B:$B,'01. TH'!$B103,'TỔNG KLH + TN'!$C:$C,'01. TH'!I$4)</f>
        <v>0</v>
      </c>
      <c r="J103" s="1042">
        <f>COUNTIFS('TỔNG KLH + TN'!$B:$B,'01. TH'!$B103,'TỔNG KLH + TN'!$C:$C,'01. TH'!J$4)</f>
        <v>0</v>
      </c>
      <c r="K103" s="1042">
        <f>COUNTIFS('TỔNG KLH + TN'!$B:$B,'01. TH'!$B103,'TỔNG KLH + TN'!$C:$C,'01. TH'!K$4)</f>
        <v>0</v>
      </c>
      <c r="L103" s="1042">
        <f>COUNTIFS('TỔNG KLH + TN'!$B:$B,'01. TH'!$B103,'TỔNG KLH + TN'!$C:$C,'01. TH'!L$4)</f>
        <v>0</v>
      </c>
      <c r="M103" s="1042">
        <f>COUNTIFS('TỔNG KLH + TN'!$B:$B,'01. TH'!$B103,'TỔNG KLH + TN'!$C:$C,'01. TH'!M$4)</f>
        <v>0</v>
      </c>
      <c r="N103" s="1042">
        <f>COUNTIFS('TỔNG KLH + TN'!$B:$B,'01. TH'!$B103,'TỔNG KLH + TN'!$C:$C,'01. TH'!N$4)</f>
        <v>0</v>
      </c>
      <c r="O103" s="1042">
        <f>COUNTIFS('TỔNG KLH + TN'!$B:$B,'01. TH'!$B103,'TỔNG KLH + TN'!$C:$C,'01. TH'!O$4)</f>
        <v>0</v>
      </c>
      <c r="P103" s="1042">
        <f>COUNTIFS('TỔNG KLH + TN'!$B:$B,'01. TH'!$B103,'TỔNG KLH + TN'!$C:$C,'01. TH'!P$4)</f>
        <v>1</v>
      </c>
      <c r="Q103" s="1042">
        <f>COUNTIFS('TỔNG KLH + TN'!$B:$B,'01. TH'!$B103,'TỔNG KLH + TN'!$C:$C,'01. TH'!Q$4)</f>
        <v>0</v>
      </c>
      <c r="R103" s="1042">
        <f>COUNTIFS('TỔNG KLH + TN'!$B:$B,'01. TH'!$B103,'TỔNG KLH + TN'!$C:$C,'01. TH'!R$4)</f>
        <v>0</v>
      </c>
      <c r="S103" s="1042">
        <f>COUNTIFS('TỔNG KLH + TN'!$B:$B,'01. TH'!$B103,'TỔNG KLH + TN'!$C:$C,'01. TH'!S$4)</f>
        <v>0</v>
      </c>
      <c r="T103" s="1042">
        <f>COUNTIFS('TỔNG KLH + TN'!$B:$B,'01. TH'!$B103,'TỔNG KLH + TN'!$C:$C,'01. TH'!T$4)</f>
        <v>0</v>
      </c>
      <c r="U103" s="1042">
        <f>COUNTIFS('TỔNG KLH + TN'!$B:$B,'01. TH'!$B103,'TỔNG KLH + TN'!$C:$C,'01. TH'!U$4)</f>
        <v>0</v>
      </c>
      <c r="V103" s="1042">
        <f>COUNTIFS('TỔNG KLH + TN'!$B:$B,'01. TH'!$B103,'TỔNG KLH + TN'!$C:$C,'01. TH'!V$4)</f>
        <v>0</v>
      </c>
      <c r="W103" s="1042">
        <f>COUNTIFS('TỔNG KLH + TN'!$B:$B,'01. TH'!$B103,'TỔNG KLH + TN'!$C:$C,'01. TH'!W$4)</f>
        <v>0</v>
      </c>
      <c r="X103" s="1042">
        <f>COUNTIFS('TỔNG KLH + TN'!$B:$B,'01. TH'!$B103,'TỔNG KLH + TN'!$C:$C,'01. TH'!X$4)</f>
        <v>0</v>
      </c>
      <c r="Y103" s="1042">
        <f>COUNTIFS('TỔNG KLH + TN'!$B:$B,'01. TH'!$B103,'TỔNG KLH + TN'!$C:$C,'01. TH'!Y$4)</f>
        <v>0</v>
      </c>
      <c r="Z103" s="1042">
        <f>COUNTIFS('TỔNG KLH + TN'!$B:$B,'01. TH'!$B103,'TỔNG KLH + TN'!$C:$C,'01. TH'!Z$4)</f>
        <v>0</v>
      </c>
      <c r="AA103" s="1042">
        <f>COUNTIFS('TỔNG KLH + TN'!$B:$B,'01. TH'!$B103,'TỔNG KLH + TN'!$C:$C,'01. TH'!AA$4)</f>
        <v>0</v>
      </c>
      <c r="AB103" s="1042">
        <f>COUNTIFS('TỔNG KLH + TN'!$B:$B,'01. TH'!$B103,'TỔNG KLH + TN'!$C:$C,'01. TH'!AB$4)</f>
        <v>0</v>
      </c>
      <c r="AC103" s="1042">
        <f>COUNTIFS('TỔNG KLH + TN'!$B:$B,'01. TH'!$B103,'TỔNG KLH + TN'!$C:$C,'01. TH'!AC$4)</f>
        <v>0</v>
      </c>
      <c r="AD103" s="1042">
        <f>COUNTIFS('TỔNG KLH + TN'!$B:$B,'01. TH'!$B103,'TỔNG KLH + TN'!$C:$C,'01. TH'!AD$4)</f>
        <v>0</v>
      </c>
      <c r="AE103" s="1045">
        <f t="shared" si="22"/>
        <v>1</v>
      </c>
      <c r="AF103" s="1045"/>
      <c r="AG103" s="1033" t="str">
        <f t="shared" si="23"/>
        <v>ok</v>
      </c>
      <c r="AH103" s="1046"/>
    </row>
    <row r="104" ht="18.75" hidden="1" customHeight="1" outlineLevel="1" spans="1:34">
      <c r="A104" s="1044"/>
      <c r="B104" s="1040" t="s">
        <v>181</v>
      </c>
      <c r="C104" s="1041" t="s">
        <v>177</v>
      </c>
      <c r="D104" s="1041" t="str">
        <f>IFERROR(VLOOKUP(B104,'Danh mục'!$G:$U,15,0),"")</f>
        <v>4100 x 2100 x 2600</v>
      </c>
      <c r="E104" s="1041" t="s">
        <v>42</v>
      </c>
      <c r="F104" s="1042">
        <f>COUNTIFS('TỔNG KLH + TN'!$B:$B,'01. TH'!$B104,'TỔNG KLH + TN'!$C:$C,'01. TH'!F$4)</f>
        <v>0</v>
      </c>
      <c r="G104" s="1042">
        <f>COUNTIFS('TỔNG KLH + TN'!$B:$B,'01. TH'!$B104,'TỔNG KLH + TN'!$C:$C,'01. TH'!G$4)</f>
        <v>1</v>
      </c>
      <c r="H104" s="1042">
        <f>COUNTIFS('TỔNG KLH + TN'!$B:$B,'01. TH'!$B104,'TỔNG KLH + TN'!$C:$C,'01. TH'!H$4)</f>
        <v>0</v>
      </c>
      <c r="I104" s="1042">
        <f>COUNTIFS('TỔNG KLH + TN'!$B:$B,'01. TH'!$B104,'TỔNG KLH + TN'!$C:$C,'01. TH'!I$4)</f>
        <v>0</v>
      </c>
      <c r="J104" s="1042">
        <f>COUNTIFS('TỔNG KLH + TN'!$B:$B,'01. TH'!$B104,'TỔNG KLH + TN'!$C:$C,'01. TH'!J$4)</f>
        <v>0</v>
      </c>
      <c r="K104" s="1042">
        <f>COUNTIFS('TỔNG KLH + TN'!$B:$B,'01. TH'!$B104,'TỔNG KLH + TN'!$C:$C,'01. TH'!K$4)</f>
        <v>0</v>
      </c>
      <c r="L104" s="1042">
        <f>COUNTIFS('TỔNG KLH + TN'!$B:$B,'01. TH'!$B104,'TỔNG KLH + TN'!$C:$C,'01. TH'!L$4)</f>
        <v>0</v>
      </c>
      <c r="M104" s="1042">
        <f>COUNTIFS('TỔNG KLH + TN'!$B:$B,'01. TH'!$B104,'TỔNG KLH + TN'!$C:$C,'01. TH'!M$4)</f>
        <v>0</v>
      </c>
      <c r="N104" s="1042">
        <f>COUNTIFS('TỔNG KLH + TN'!$B:$B,'01. TH'!$B104,'TỔNG KLH + TN'!$C:$C,'01. TH'!N$4)</f>
        <v>0</v>
      </c>
      <c r="O104" s="1042">
        <f>COUNTIFS('TỔNG KLH + TN'!$B:$B,'01. TH'!$B104,'TỔNG KLH + TN'!$C:$C,'01. TH'!O$4)</f>
        <v>0</v>
      </c>
      <c r="P104" s="1042">
        <f>COUNTIFS('TỔNG KLH + TN'!$B:$B,'01. TH'!$B104,'TỔNG KLH + TN'!$C:$C,'01. TH'!P$4)</f>
        <v>1</v>
      </c>
      <c r="Q104" s="1042">
        <f>COUNTIFS('TỔNG KLH + TN'!$B:$B,'01. TH'!$B104,'TỔNG KLH + TN'!$C:$C,'01. TH'!Q$4)</f>
        <v>0</v>
      </c>
      <c r="R104" s="1042">
        <f>COUNTIFS('TỔNG KLH + TN'!$B:$B,'01. TH'!$B104,'TỔNG KLH + TN'!$C:$C,'01. TH'!R$4)</f>
        <v>0</v>
      </c>
      <c r="S104" s="1042">
        <f>COUNTIFS('TỔNG KLH + TN'!$B:$B,'01. TH'!$B104,'TỔNG KLH + TN'!$C:$C,'01. TH'!S$4)</f>
        <v>0</v>
      </c>
      <c r="T104" s="1042">
        <f>COUNTIFS('TỔNG KLH + TN'!$B:$B,'01. TH'!$B104,'TỔNG KLH + TN'!$C:$C,'01. TH'!T$4)</f>
        <v>0</v>
      </c>
      <c r="U104" s="1042">
        <f>COUNTIFS('TỔNG KLH + TN'!$B:$B,'01. TH'!$B104,'TỔNG KLH + TN'!$C:$C,'01. TH'!U$4)</f>
        <v>0</v>
      </c>
      <c r="V104" s="1042">
        <f>COUNTIFS('TỔNG KLH + TN'!$B:$B,'01. TH'!$B104,'TỔNG KLH + TN'!$C:$C,'01. TH'!V$4)</f>
        <v>0</v>
      </c>
      <c r="W104" s="1042">
        <f>COUNTIFS('TỔNG KLH + TN'!$B:$B,'01. TH'!$B104,'TỔNG KLH + TN'!$C:$C,'01. TH'!W$4)</f>
        <v>0</v>
      </c>
      <c r="X104" s="1042">
        <f>COUNTIFS('TỔNG KLH + TN'!$B:$B,'01. TH'!$B104,'TỔNG KLH + TN'!$C:$C,'01. TH'!X$4)</f>
        <v>0</v>
      </c>
      <c r="Y104" s="1042">
        <f>COUNTIFS('TỔNG KLH + TN'!$B:$B,'01. TH'!$B104,'TỔNG KLH + TN'!$C:$C,'01. TH'!Y$4)</f>
        <v>0</v>
      </c>
      <c r="Z104" s="1042">
        <f>COUNTIFS('TỔNG KLH + TN'!$B:$B,'01. TH'!$B104,'TỔNG KLH + TN'!$C:$C,'01. TH'!Z$4)</f>
        <v>0</v>
      </c>
      <c r="AA104" s="1042">
        <f>COUNTIFS('TỔNG KLH + TN'!$B:$B,'01. TH'!$B104,'TỔNG KLH + TN'!$C:$C,'01. TH'!AA$4)</f>
        <v>0</v>
      </c>
      <c r="AB104" s="1042">
        <f>COUNTIFS('TỔNG KLH + TN'!$B:$B,'01. TH'!$B104,'TỔNG KLH + TN'!$C:$C,'01. TH'!AB$4)</f>
        <v>0</v>
      </c>
      <c r="AC104" s="1042">
        <f>COUNTIFS('TỔNG KLH + TN'!$B:$B,'01. TH'!$B104,'TỔNG KLH + TN'!$C:$C,'01. TH'!AC$4)</f>
        <v>0</v>
      </c>
      <c r="AD104" s="1042">
        <f>COUNTIFS('TỔNG KLH + TN'!$B:$B,'01. TH'!$B104,'TỔNG KLH + TN'!$C:$C,'01. TH'!AD$4)</f>
        <v>0</v>
      </c>
      <c r="AE104" s="1045">
        <f t="shared" si="22"/>
        <v>2</v>
      </c>
      <c r="AF104" s="1045"/>
      <c r="AG104" s="1033" t="str">
        <f t="shared" si="23"/>
        <v>ok</v>
      </c>
      <c r="AH104" s="1046"/>
    </row>
    <row r="105" ht="18.75" hidden="1" customHeight="1" outlineLevel="1" spans="1:34">
      <c r="A105" s="1044"/>
      <c r="B105" s="1040" t="s">
        <v>182</v>
      </c>
      <c r="C105" s="1041" t="s">
        <v>177</v>
      </c>
      <c r="D105" s="1041" t="str">
        <f>IFERROR(VLOOKUP(B105,'Danh mục'!$G:$U,15,0),"")</f>
        <v>3840 x 1740 x 2650</v>
      </c>
      <c r="E105" s="1041" t="s">
        <v>42</v>
      </c>
      <c r="F105" s="1042">
        <f>COUNTIFS('TỔNG KLH + TN'!$B:$B,'01. TH'!$B105,'TỔNG KLH + TN'!$C:$C,'01. TH'!F$4)</f>
        <v>0</v>
      </c>
      <c r="G105" s="1042">
        <f>COUNTIFS('TỔNG KLH + TN'!$B:$B,'01. TH'!$B105,'TỔNG KLH + TN'!$C:$C,'01. TH'!G$4)</f>
        <v>0</v>
      </c>
      <c r="H105" s="1042">
        <f>COUNTIFS('TỔNG KLH + TN'!$B:$B,'01. TH'!$B105,'TỔNG KLH + TN'!$C:$C,'01. TH'!H$4)</f>
        <v>0</v>
      </c>
      <c r="I105" s="1042">
        <f>COUNTIFS('TỔNG KLH + TN'!$B:$B,'01. TH'!$B105,'TỔNG KLH + TN'!$C:$C,'01. TH'!I$4)</f>
        <v>0</v>
      </c>
      <c r="J105" s="1042">
        <f>COUNTIFS('TỔNG KLH + TN'!$B:$B,'01. TH'!$B105,'TỔNG KLH + TN'!$C:$C,'01. TH'!J$4)</f>
        <v>0</v>
      </c>
      <c r="K105" s="1042">
        <f>COUNTIFS('TỔNG KLH + TN'!$B:$B,'01. TH'!$B105,'TỔNG KLH + TN'!$C:$C,'01. TH'!K$4)</f>
        <v>0</v>
      </c>
      <c r="L105" s="1042">
        <f>COUNTIFS('TỔNG KLH + TN'!$B:$B,'01. TH'!$B105,'TỔNG KLH + TN'!$C:$C,'01. TH'!L$4)</f>
        <v>0</v>
      </c>
      <c r="M105" s="1042">
        <f>COUNTIFS('TỔNG KLH + TN'!$B:$B,'01. TH'!$B105,'TỔNG KLH + TN'!$C:$C,'01. TH'!M$4)</f>
        <v>0</v>
      </c>
      <c r="N105" s="1042">
        <f>COUNTIFS('TỔNG KLH + TN'!$B:$B,'01. TH'!$B105,'TỔNG KLH + TN'!$C:$C,'01. TH'!N$4)</f>
        <v>0</v>
      </c>
      <c r="O105" s="1042">
        <f>COUNTIFS('TỔNG KLH + TN'!$B:$B,'01. TH'!$B105,'TỔNG KLH + TN'!$C:$C,'01. TH'!O$4)</f>
        <v>0</v>
      </c>
      <c r="P105" s="1042">
        <f>COUNTIFS('TỔNG KLH + TN'!$B:$B,'01. TH'!$B105,'TỔNG KLH + TN'!$C:$C,'01. TH'!P$4)</f>
        <v>0</v>
      </c>
      <c r="Q105" s="1042">
        <f>COUNTIFS('TỔNG KLH + TN'!$B:$B,'01. TH'!$B105,'TỔNG KLH + TN'!$C:$C,'01. TH'!Q$4)</f>
        <v>0</v>
      </c>
      <c r="R105" s="1042">
        <f>COUNTIFS('TỔNG KLH + TN'!$B:$B,'01. TH'!$B105,'TỔNG KLH + TN'!$C:$C,'01. TH'!R$4)</f>
        <v>0</v>
      </c>
      <c r="S105" s="1042">
        <f>COUNTIFS('TỔNG KLH + TN'!$B:$B,'01. TH'!$B105,'TỔNG KLH + TN'!$C:$C,'01. TH'!S$4)</f>
        <v>0</v>
      </c>
      <c r="T105" s="1042">
        <f>COUNTIFS('TỔNG KLH + TN'!$B:$B,'01. TH'!$B105,'TỔNG KLH + TN'!$C:$C,'01. TH'!T$4)</f>
        <v>0</v>
      </c>
      <c r="U105" s="1042">
        <f>COUNTIFS('TỔNG KLH + TN'!$B:$B,'01. TH'!$B105,'TỔNG KLH + TN'!$C:$C,'01. TH'!U$4)</f>
        <v>0</v>
      </c>
      <c r="V105" s="1042">
        <f>COUNTIFS('TỔNG KLH + TN'!$B:$B,'01. TH'!$B105,'TỔNG KLH + TN'!$C:$C,'01. TH'!V$4)</f>
        <v>0</v>
      </c>
      <c r="W105" s="1042">
        <f>COUNTIFS('TỔNG KLH + TN'!$B:$B,'01. TH'!$B105,'TỔNG KLH + TN'!$C:$C,'01. TH'!W$4)</f>
        <v>0</v>
      </c>
      <c r="X105" s="1042">
        <f>COUNTIFS('TỔNG KLH + TN'!$B:$B,'01. TH'!$B105,'TỔNG KLH + TN'!$C:$C,'01. TH'!X$4)</f>
        <v>0</v>
      </c>
      <c r="Y105" s="1042">
        <f>COUNTIFS('TỔNG KLH + TN'!$B:$B,'01. TH'!$B105,'TỔNG KLH + TN'!$C:$C,'01. TH'!Y$4)</f>
        <v>0</v>
      </c>
      <c r="Z105" s="1042">
        <f>COUNTIFS('TỔNG KLH + TN'!$B:$B,'01. TH'!$B105,'TỔNG KLH + TN'!$C:$C,'01. TH'!Z$4)</f>
        <v>0</v>
      </c>
      <c r="AA105" s="1042">
        <f>COUNTIFS('TỔNG KLH + TN'!$B:$B,'01. TH'!$B105,'TỔNG KLH + TN'!$C:$C,'01. TH'!AA$4)</f>
        <v>0</v>
      </c>
      <c r="AB105" s="1042">
        <f>COUNTIFS('TỔNG KLH + TN'!$B:$B,'01. TH'!$B105,'TỔNG KLH + TN'!$C:$C,'01. TH'!AB$4)</f>
        <v>0</v>
      </c>
      <c r="AC105" s="1042">
        <f>COUNTIFS('TỔNG KLH + TN'!$B:$B,'01. TH'!$B105,'TỔNG KLH + TN'!$C:$C,'01. TH'!AC$4)</f>
        <v>0</v>
      </c>
      <c r="AD105" s="1042">
        <f>COUNTIFS('TỔNG KLH + TN'!$B:$B,'01. TH'!$B105,'TỔNG KLH + TN'!$C:$C,'01. TH'!AD$4)</f>
        <v>0</v>
      </c>
      <c r="AE105" s="1045">
        <f t="shared" si="22"/>
        <v>0</v>
      </c>
      <c r="AF105" s="1045"/>
      <c r="AG105" s="1033" t="str">
        <f t="shared" si="23"/>
        <v>ok</v>
      </c>
      <c r="AH105" s="1046"/>
    </row>
    <row r="106" ht="18.75" hidden="1" customHeight="1" outlineLevel="1" spans="1:34">
      <c r="A106" s="1039"/>
      <c r="B106" s="1040" t="s">
        <v>183</v>
      </c>
      <c r="C106" s="1041" t="s">
        <v>177</v>
      </c>
      <c r="D106" s="1041" t="str">
        <f>IFERROR(VLOOKUP(B106,'Danh mục'!$G:$U,15,0),"")</f>
        <v>3510 x 1740 x 2550</v>
      </c>
      <c r="E106" s="1041" t="s">
        <v>42</v>
      </c>
      <c r="F106" s="1042">
        <f>COUNTIFS('TỔNG KLH + TN'!$B:$B,'01. TH'!$B106,'TỔNG KLH + TN'!$C:$C,'01. TH'!F$4)</f>
        <v>0</v>
      </c>
      <c r="G106" s="1042">
        <f>COUNTIFS('TỔNG KLH + TN'!$B:$B,'01. TH'!$B106,'TỔNG KLH + TN'!$C:$C,'01. TH'!G$4)</f>
        <v>0</v>
      </c>
      <c r="H106" s="1042">
        <f>COUNTIFS('TỔNG KLH + TN'!$B:$B,'01. TH'!$B106,'TỔNG KLH + TN'!$C:$C,'01. TH'!H$4)</f>
        <v>0</v>
      </c>
      <c r="I106" s="1042">
        <f>COUNTIFS('TỔNG KLH + TN'!$B:$B,'01. TH'!$B106,'TỔNG KLH + TN'!$C:$C,'01. TH'!I$4)</f>
        <v>0</v>
      </c>
      <c r="J106" s="1042">
        <f>COUNTIFS('TỔNG KLH + TN'!$B:$B,'01. TH'!$B106,'TỔNG KLH + TN'!$C:$C,'01. TH'!J$4)</f>
        <v>0</v>
      </c>
      <c r="K106" s="1042">
        <f>COUNTIFS('TỔNG KLH + TN'!$B:$B,'01. TH'!$B106,'TỔNG KLH + TN'!$C:$C,'01. TH'!K$4)</f>
        <v>0</v>
      </c>
      <c r="L106" s="1042">
        <f>COUNTIFS('TỔNG KLH + TN'!$B:$B,'01. TH'!$B106,'TỔNG KLH + TN'!$C:$C,'01. TH'!L$4)</f>
        <v>0</v>
      </c>
      <c r="M106" s="1042">
        <f>COUNTIFS('TỔNG KLH + TN'!$B:$B,'01. TH'!$B106,'TỔNG KLH + TN'!$C:$C,'01. TH'!M$4)</f>
        <v>0</v>
      </c>
      <c r="N106" s="1042">
        <f>COUNTIFS('TỔNG KLH + TN'!$B:$B,'01. TH'!$B106,'TỔNG KLH + TN'!$C:$C,'01. TH'!N$4)</f>
        <v>0</v>
      </c>
      <c r="O106" s="1042">
        <f>COUNTIFS('TỔNG KLH + TN'!$B:$B,'01. TH'!$B106,'TỔNG KLH + TN'!$C:$C,'01. TH'!O$4)</f>
        <v>0</v>
      </c>
      <c r="P106" s="1042">
        <f>COUNTIFS('TỔNG KLH + TN'!$B:$B,'01. TH'!$B106,'TỔNG KLH + TN'!$C:$C,'01. TH'!P$4)</f>
        <v>0</v>
      </c>
      <c r="Q106" s="1042">
        <f>COUNTIFS('TỔNG KLH + TN'!$B:$B,'01. TH'!$B106,'TỔNG KLH + TN'!$C:$C,'01. TH'!Q$4)</f>
        <v>0</v>
      </c>
      <c r="R106" s="1042">
        <f>COUNTIFS('TỔNG KLH + TN'!$B:$B,'01. TH'!$B106,'TỔNG KLH + TN'!$C:$C,'01. TH'!R$4)</f>
        <v>0</v>
      </c>
      <c r="S106" s="1042">
        <f>COUNTIFS('TỔNG KLH + TN'!$B:$B,'01. TH'!$B106,'TỔNG KLH + TN'!$C:$C,'01. TH'!S$4)</f>
        <v>0</v>
      </c>
      <c r="T106" s="1042">
        <f>COUNTIFS('TỔNG KLH + TN'!$B:$B,'01. TH'!$B106,'TỔNG KLH + TN'!$C:$C,'01. TH'!T$4)</f>
        <v>0</v>
      </c>
      <c r="U106" s="1042">
        <f>COUNTIFS('TỔNG KLH + TN'!$B:$B,'01. TH'!$B106,'TỔNG KLH + TN'!$C:$C,'01. TH'!U$4)</f>
        <v>0</v>
      </c>
      <c r="V106" s="1042">
        <f>COUNTIFS('TỔNG KLH + TN'!$B:$B,'01. TH'!$B106,'TỔNG KLH + TN'!$C:$C,'01. TH'!V$4)</f>
        <v>0</v>
      </c>
      <c r="W106" s="1042">
        <f>COUNTIFS('TỔNG KLH + TN'!$B:$B,'01. TH'!$B106,'TỔNG KLH + TN'!$C:$C,'01. TH'!W$4)</f>
        <v>0</v>
      </c>
      <c r="X106" s="1042">
        <f>COUNTIFS('TỔNG KLH + TN'!$B:$B,'01. TH'!$B106,'TỔNG KLH + TN'!$C:$C,'01. TH'!X$4)</f>
        <v>0</v>
      </c>
      <c r="Y106" s="1042">
        <f>COUNTIFS('TỔNG KLH + TN'!$B:$B,'01. TH'!$B106,'TỔNG KLH + TN'!$C:$C,'01. TH'!Y$4)</f>
        <v>0</v>
      </c>
      <c r="Z106" s="1042">
        <f>COUNTIFS('TỔNG KLH + TN'!$B:$B,'01. TH'!$B106,'TỔNG KLH + TN'!$C:$C,'01. TH'!Z$4)</f>
        <v>0</v>
      </c>
      <c r="AA106" s="1042">
        <f>COUNTIFS('TỔNG KLH + TN'!$B:$B,'01. TH'!$B106,'TỔNG KLH + TN'!$C:$C,'01. TH'!AA$4)</f>
        <v>0</v>
      </c>
      <c r="AB106" s="1042">
        <f>COUNTIFS('TỔNG KLH + TN'!$B:$B,'01. TH'!$B106,'TỔNG KLH + TN'!$C:$C,'01. TH'!AB$4)</f>
        <v>0</v>
      </c>
      <c r="AC106" s="1042">
        <f>COUNTIFS('TỔNG KLH + TN'!$B:$B,'01. TH'!$B106,'TỔNG KLH + TN'!$C:$C,'01. TH'!AC$4)</f>
        <v>0</v>
      </c>
      <c r="AD106" s="1042">
        <f>COUNTIFS('TỔNG KLH + TN'!$B:$B,'01. TH'!$B106,'TỔNG KLH + TN'!$C:$C,'01. TH'!AD$4)</f>
        <v>0</v>
      </c>
      <c r="AE106" s="1043">
        <f t="shared" si="22"/>
        <v>0</v>
      </c>
      <c r="AF106" s="1043"/>
      <c r="AG106" s="1033" t="str">
        <f t="shared" si="23"/>
        <v>ok</v>
      </c>
      <c r="AH106" s="1041"/>
    </row>
    <row r="107" ht="18.75" hidden="1" customHeight="1" outlineLevel="1" spans="1:34">
      <c r="A107" s="1039"/>
      <c r="B107" s="1040" t="s">
        <v>184</v>
      </c>
      <c r="C107" s="1041" t="s">
        <v>177</v>
      </c>
      <c r="D107" s="1041" t="str">
        <f>IFERROR(VLOOKUP(B107,'Danh mục'!$G:$U,15,0),"")</f>
        <v>3840 x 1960 x 2550</v>
      </c>
      <c r="E107" s="1041" t="s">
        <v>42</v>
      </c>
      <c r="F107" s="1042">
        <f>COUNTIFS('TỔNG KLH + TN'!$B:$B,'01. TH'!$B107,'TỔNG KLH + TN'!$C:$C,'01. TH'!F$4)</f>
        <v>0</v>
      </c>
      <c r="G107" s="1042">
        <f>COUNTIFS('TỔNG KLH + TN'!$B:$B,'01. TH'!$B107,'TỔNG KLH + TN'!$C:$C,'01. TH'!G$4)</f>
        <v>0</v>
      </c>
      <c r="H107" s="1042">
        <f>COUNTIFS('TỔNG KLH + TN'!$B:$B,'01. TH'!$B107,'TỔNG KLH + TN'!$C:$C,'01. TH'!H$4)</f>
        <v>0</v>
      </c>
      <c r="I107" s="1042">
        <f>COUNTIFS('TỔNG KLH + TN'!$B:$B,'01. TH'!$B107,'TỔNG KLH + TN'!$C:$C,'01. TH'!I$4)</f>
        <v>0</v>
      </c>
      <c r="J107" s="1042">
        <f>COUNTIFS('TỔNG KLH + TN'!$B:$B,'01. TH'!$B107,'TỔNG KLH + TN'!$C:$C,'01. TH'!J$4)</f>
        <v>0</v>
      </c>
      <c r="K107" s="1042">
        <f>COUNTIFS('TỔNG KLH + TN'!$B:$B,'01. TH'!$B107,'TỔNG KLH + TN'!$C:$C,'01. TH'!K$4)</f>
        <v>0</v>
      </c>
      <c r="L107" s="1042">
        <f>COUNTIFS('TỔNG KLH + TN'!$B:$B,'01. TH'!$B107,'TỔNG KLH + TN'!$C:$C,'01. TH'!L$4)</f>
        <v>0</v>
      </c>
      <c r="M107" s="1042">
        <f>COUNTIFS('TỔNG KLH + TN'!$B:$B,'01. TH'!$B107,'TỔNG KLH + TN'!$C:$C,'01. TH'!M$4)</f>
        <v>0</v>
      </c>
      <c r="N107" s="1042">
        <f>COUNTIFS('TỔNG KLH + TN'!$B:$B,'01. TH'!$B107,'TỔNG KLH + TN'!$C:$C,'01. TH'!N$4)</f>
        <v>0</v>
      </c>
      <c r="O107" s="1042">
        <f>COUNTIFS('TỔNG KLH + TN'!$B:$B,'01. TH'!$B107,'TỔNG KLH + TN'!$C:$C,'01. TH'!O$4)</f>
        <v>0</v>
      </c>
      <c r="P107" s="1042">
        <f>COUNTIFS('TỔNG KLH + TN'!$B:$B,'01. TH'!$B107,'TỔNG KLH + TN'!$C:$C,'01. TH'!P$4)</f>
        <v>0</v>
      </c>
      <c r="Q107" s="1042">
        <f>COUNTIFS('TỔNG KLH + TN'!$B:$B,'01. TH'!$B107,'TỔNG KLH + TN'!$C:$C,'01. TH'!Q$4)</f>
        <v>0</v>
      </c>
      <c r="R107" s="1042">
        <f>COUNTIFS('TỔNG KLH + TN'!$B:$B,'01. TH'!$B107,'TỔNG KLH + TN'!$C:$C,'01. TH'!R$4)</f>
        <v>0</v>
      </c>
      <c r="S107" s="1042">
        <f>COUNTIFS('TỔNG KLH + TN'!$B:$B,'01. TH'!$B107,'TỔNG KLH + TN'!$C:$C,'01. TH'!S$4)</f>
        <v>0</v>
      </c>
      <c r="T107" s="1042">
        <f>COUNTIFS('TỔNG KLH + TN'!$B:$B,'01. TH'!$B107,'TỔNG KLH + TN'!$C:$C,'01. TH'!T$4)</f>
        <v>0</v>
      </c>
      <c r="U107" s="1042">
        <f>COUNTIFS('TỔNG KLH + TN'!$B:$B,'01. TH'!$B107,'TỔNG KLH + TN'!$C:$C,'01. TH'!U$4)</f>
        <v>0</v>
      </c>
      <c r="V107" s="1042">
        <f>COUNTIFS('TỔNG KLH + TN'!$B:$B,'01. TH'!$B107,'TỔNG KLH + TN'!$C:$C,'01. TH'!V$4)</f>
        <v>0</v>
      </c>
      <c r="W107" s="1042">
        <f>COUNTIFS('TỔNG KLH + TN'!$B:$B,'01. TH'!$B107,'TỔNG KLH + TN'!$C:$C,'01. TH'!W$4)</f>
        <v>0</v>
      </c>
      <c r="X107" s="1042">
        <f>COUNTIFS('TỔNG KLH + TN'!$B:$B,'01. TH'!$B107,'TỔNG KLH + TN'!$C:$C,'01. TH'!X$4)</f>
        <v>0</v>
      </c>
      <c r="Y107" s="1042">
        <f>COUNTIFS('TỔNG KLH + TN'!$B:$B,'01. TH'!$B107,'TỔNG KLH + TN'!$C:$C,'01. TH'!Y$4)</f>
        <v>0</v>
      </c>
      <c r="Z107" s="1042">
        <f>COUNTIFS('TỔNG KLH + TN'!$B:$B,'01. TH'!$B107,'TỔNG KLH + TN'!$C:$C,'01. TH'!Z$4)</f>
        <v>0</v>
      </c>
      <c r="AA107" s="1042">
        <f>COUNTIFS('TỔNG KLH + TN'!$B:$B,'01. TH'!$B107,'TỔNG KLH + TN'!$C:$C,'01. TH'!AA$4)</f>
        <v>0</v>
      </c>
      <c r="AB107" s="1042">
        <f>COUNTIFS('TỔNG KLH + TN'!$B:$B,'01. TH'!$B107,'TỔNG KLH + TN'!$C:$C,'01. TH'!AB$4)</f>
        <v>0</v>
      </c>
      <c r="AC107" s="1042">
        <f>COUNTIFS('TỔNG KLH + TN'!$B:$B,'01. TH'!$B107,'TỔNG KLH + TN'!$C:$C,'01. TH'!AC$4)</f>
        <v>0</v>
      </c>
      <c r="AD107" s="1042">
        <f>COUNTIFS('TỔNG KLH + TN'!$B:$B,'01. TH'!$B107,'TỔNG KLH + TN'!$C:$C,'01. TH'!AD$4)</f>
        <v>0</v>
      </c>
      <c r="AE107" s="1043">
        <f t="shared" si="22"/>
        <v>0</v>
      </c>
      <c r="AF107" s="1043"/>
      <c r="AG107" s="1033" t="str">
        <f t="shared" si="23"/>
        <v>ok</v>
      </c>
      <c r="AH107" s="1041"/>
    </row>
    <row r="108" ht="18.75" hidden="1" customHeight="1" outlineLevel="1" spans="1:34">
      <c r="A108" s="1049"/>
      <c r="B108" s="1040" t="s">
        <v>185</v>
      </c>
      <c r="C108" s="1041" t="s">
        <v>102</v>
      </c>
      <c r="D108" s="1041" t="str">
        <f>IFERROR(VLOOKUP(B108,'Danh mục'!$G:$U,15,0),"")</f>
        <v>4835 x 2600 x 2965</v>
      </c>
      <c r="E108" s="1041" t="s">
        <v>42</v>
      </c>
      <c r="F108" s="1042">
        <f>COUNTIFS('TỔNG KLH + TN'!$B:$B,'01. TH'!$B108,'TỔNG KLH + TN'!$C:$C,'01. TH'!F$4)</f>
        <v>0</v>
      </c>
      <c r="G108" s="1042">
        <f>COUNTIFS('TỔNG KLH + TN'!$B:$B,'01. TH'!$B108,'TỔNG KLH + TN'!$C:$C,'01. TH'!G$4)</f>
        <v>1</v>
      </c>
      <c r="H108" s="1042">
        <f>COUNTIFS('TỔNG KLH + TN'!$B:$B,'01. TH'!$B108,'TỔNG KLH + TN'!$C:$C,'01. TH'!H$4)</f>
        <v>0</v>
      </c>
      <c r="I108" s="1042">
        <f>COUNTIFS('TỔNG KLH + TN'!$B:$B,'01. TH'!$B108,'TỔNG KLH + TN'!$C:$C,'01. TH'!I$4)</f>
        <v>0</v>
      </c>
      <c r="J108" s="1042">
        <f>COUNTIFS('TỔNG KLH + TN'!$B:$B,'01. TH'!$B108,'TỔNG KLH + TN'!$C:$C,'01. TH'!J$4)</f>
        <v>0</v>
      </c>
      <c r="K108" s="1042">
        <f>COUNTIFS('TỔNG KLH + TN'!$B:$B,'01. TH'!$B108,'TỔNG KLH + TN'!$C:$C,'01. TH'!K$4)</f>
        <v>0</v>
      </c>
      <c r="L108" s="1042">
        <f>COUNTIFS('TỔNG KLH + TN'!$B:$B,'01. TH'!$B108,'TỔNG KLH + TN'!$C:$C,'01. TH'!L$4)</f>
        <v>0</v>
      </c>
      <c r="M108" s="1042">
        <f>COUNTIFS('TỔNG KLH + TN'!$B:$B,'01. TH'!$B108,'TỔNG KLH + TN'!$C:$C,'01. TH'!M$4)</f>
        <v>0</v>
      </c>
      <c r="N108" s="1042">
        <f>COUNTIFS('TỔNG KLH + TN'!$B:$B,'01. TH'!$B108,'TỔNG KLH + TN'!$C:$C,'01. TH'!N$4)</f>
        <v>0</v>
      </c>
      <c r="O108" s="1042">
        <f>COUNTIFS('TỔNG KLH + TN'!$B:$B,'01. TH'!$B108,'TỔNG KLH + TN'!$C:$C,'01. TH'!O$4)</f>
        <v>0</v>
      </c>
      <c r="P108" s="1042">
        <f>COUNTIFS('TỔNG KLH + TN'!$B:$B,'01. TH'!$B108,'TỔNG KLH + TN'!$C:$C,'01. TH'!P$4)</f>
        <v>1</v>
      </c>
      <c r="Q108" s="1042">
        <f>COUNTIFS('TỔNG KLH + TN'!$B:$B,'01. TH'!$B108,'TỔNG KLH + TN'!$C:$C,'01. TH'!Q$4)</f>
        <v>0</v>
      </c>
      <c r="R108" s="1042">
        <f>COUNTIFS('TỔNG KLH + TN'!$B:$B,'01. TH'!$B108,'TỔNG KLH + TN'!$C:$C,'01. TH'!R$4)</f>
        <v>0</v>
      </c>
      <c r="S108" s="1042">
        <f>COUNTIFS('TỔNG KLH + TN'!$B:$B,'01. TH'!$B108,'TỔNG KLH + TN'!$C:$C,'01. TH'!S$4)</f>
        <v>0</v>
      </c>
      <c r="T108" s="1042">
        <f>COUNTIFS('TỔNG KLH + TN'!$B:$B,'01. TH'!$B108,'TỔNG KLH + TN'!$C:$C,'01. TH'!T$4)</f>
        <v>0</v>
      </c>
      <c r="U108" s="1042">
        <f>COUNTIFS('TỔNG KLH + TN'!$B:$B,'01. TH'!$B108,'TỔNG KLH + TN'!$C:$C,'01. TH'!U$4)</f>
        <v>0</v>
      </c>
      <c r="V108" s="1042">
        <f>COUNTIFS('TỔNG KLH + TN'!$B:$B,'01. TH'!$B108,'TỔNG KLH + TN'!$C:$C,'01. TH'!V$4)</f>
        <v>0</v>
      </c>
      <c r="W108" s="1042">
        <f>COUNTIFS('TỔNG KLH + TN'!$B:$B,'01. TH'!$B108,'TỔNG KLH + TN'!$C:$C,'01. TH'!W$4)</f>
        <v>0</v>
      </c>
      <c r="X108" s="1042">
        <f>COUNTIFS('TỔNG KLH + TN'!$B:$B,'01. TH'!$B108,'TỔNG KLH + TN'!$C:$C,'01. TH'!X$4)</f>
        <v>0</v>
      </c>
      <c r="Y108" s="1042">
        <f>COUNTIFS('TỔNG KLH + TN'!$B:$B,'01. TH'!$B108,'TỔNG KLH + TN'!$C:$C,'01. TH'!Y$4)</f>
        <v>0</v>
      </c>
      <c r="Z108" s="1042">
        <f>COUNTIFS('TỔNG KLH + TN'!$B:$B,'01. TH'!$B108,'TỔNG KLH + TN'!$C:$C,'01. TH'!Z$4)</f>
        <v>0</v>
      </c>
      <c r="AA108" s="1042">
        <f>COUNTIFS('TỔNG KLH + TN'!$B:$B,'01. TH'!$B108,'TỔNG KLH + TN'!$C:$C,'01. TH'!AA$4)</f>
        <v>0</v>
      </c>
      <c r="AB108" s="1042">
        <f>COUNTIFS('TỔNG KLH + TN'!$B:$B,'01. TH'!$B108,'TỔNG KLH + TN'!$C:$C,'01. TH'!AB$4)</f>
        <v>0</v>
      </c>
      <c r="AC108" s="1042">
        <f>COUNTIFS('TỔNG KLH + TN'!$B:$B,'01. TH'!$B108,'TỔNG KLH + TN'!$C:$C,'01. TH'!AC$4)</f>
        <v>0</v>
      </c>
      <c r="AD108" s="1042">
        <f>COUNTIFS('TỔNG KLH + TN'!$B:$B,'01. TH'!$B108,'TỔNG KLH + TN'!$C:$C,'01. TH'!AD$4)</f>
        <v>0</v>
      </c>
      <c r="AE108" s="1045">
        <f t="shared" si="22"/>
        <v>2</v>
      </c>
      <c r="AF108" s="1045"/>
      <c r="AG108" s="1033" t="str">
        <f t="shared" si="23"/>
        <v>ok</v>
      </c>
      <c r="AH108" s="1049"/>
    </row>
    <row r="109" ht="18.75" hidden="1" customHeight="1" outlineLevel="1" spans="1:34">
      <c r="A109" s="1039"/>
      <c r="B109" s="1040" t="s">
        <v>186</v>
      </c>
      <c r="C109" s="1041" t="s">
        <v>102</v>
      </c>
      <c r="D109" s="1041" t="str">
        <f>IFERROR(VLOOKUP(B109,'Danh mục'!$G:$U,15,0),"")</f>
        <v>4780 x 2550 x 3000</v>
      </c>
      <c r="E109" s="1041" t="s">
        <v>42</v>
      </c>
      <c r="F109" s="1042">
        <f>COUNTIFS('TỔNG KLH + TN'!$B:$B,'01. TH'!$B109,'TỔNG KLH + TN'!$C:$C,'01. TH'!F$4)</f>
        <v>0</v>
      </c>
      <c r="G109" s="1042">
        <f>COUNTIFS('TỔNG KLH + TN'!$B:$B,'01. TH'!$B109,'TỔNG KLH + TN'!$C:$C,'01. TH'!G$4)</f>
        <v>0</v>
      </c>
      <c r="H109" s="1042">
        <f>COUNTIFS('TỔNG KLH + TN'!$B:$B,'01. TH'!$B109,'TỔNG KLH + TN'!$C:$C,'01. TH'!H$4)</f>
        <v>0</v>
      </c>
      <c r="I109" s="1042">
        <f>COUNTIFS('TỔNG KLH + TN'!$B:$B,'01. TH'!$B109,'TỔNG KLH + TN'!$C:$C,'01. TH'!I$4)</f>
        <v>0</v>
      </c>
      <c r="J109" s="1042">
        <f>COUNTIFS('TỔNG KLH + TN'!$B:$B,'01. TH'!$B109,'TỔNG KLH + TN'!$C:$C,'01. TH'!J$4)</f>
        <v>0</v>
      </c>
      <c r="K109" s="1042">
        <f>COUNTIFS('TỔNG KLH + TN'!$B:$B,'01. TH'!$B109,'TỔNG KLH + TN'!$C:$C,'01. TH'!K$4)</f>
        <v>0</v>
      </c>
      <c r="L109" s="1042">
        <f>COUNTIFS('TỔNG KLH + TN'!$B:$B,'01. TH'!$B109,'TỔNG KLH + TN'!$C:$C,'01. TH'!L$4)</f>
        <v>0</v>
      </c>
      <c r="M109" s="1042">
        <f>COUNTIFS('TỔNG KLH + TN'!$B:$B,'01. TH'!$B109,'TỔNG KLH + TN'!$C:$C,'01. TH'!M$4)</f>
        <v>0</v>
      </c>
      <c r="N109" s="1042">
        <f>COUNTIFS('TỔNG KLH + TN'!$B:$B,'01. TH'!$B109,'TỔNG KLH + TN'!$C:$C,'01. TH'!N$4)</f>
        <v>0</v>
      </c>
      <c r="O109" s="1042">
        <f>COUNTIFS('TỔNG KLH + TN'!$B:$B,'01. TH'!$B109,'TỔNG KLH + TN'!$C:$C,'01. TH'!O$4)</f>
        <v>0</v>
      </c>
      <c r="P109" s="1042">
        <f>COUNTIFS('TỔNG KLH + TN'!$B:$B,'01. TH'!$B109,'TỔNG KLH + TN'!$C:$C,'01. TH'!P$4)</f>
        <v>1</v>
      </c>
      <c r="Q109" s="1042">
        <f>COUNTIFS('TỔNG KLH + TN'!$B:$B,'01. TH'!$B109,'TỔNG KLH + TN'!$C:$C,'01. TH'!Q$4)</f>
        <v>0</v>
      </c>
      <c r="R109" s="1042">
        <f>COUNTIFS('TỔNG KLH + TN'!$B:$B,'01. TH'!$B109,'TỔNG KLH + TN'!$C:$C,'01. TH'!R$4)</f>
        <v>0</v>
      </c>
      <c r="S109" s="1042">
        <f>COUNTIFS('TỔNG KLH + TN'!$B:$B,'01. TH'!$B109,'TỔNG KLH + TN'!$C:$C,'01. TH'!S$4)</f>
        <v>0</v>
      </c>
      <c r="T109" s="1042">
        <f>COUNTIFS('TỔNG KLH + TN'!$B:$B,'01. TH'!$B109,'TỔNG KLH + TN'!$C:$C,'01. TH'!T$4)</f>
        <v>0</v>
      </c>
      <c r="U109" s="1042">
        <f>COUNTIFS('TỔNG KLH + TN'!$B:$B,'01. TH'!$B109,'TỔNG KLH + TN'!$C:$C,'01. TH'!U$4)</f>
        <v>0</v>
      </c>
      <c r="V109" s="1042">
        <f>COUNTIFS('TỔNG KLH + TN'!$B:$B,'01. TH'!$B109,'TỔNG KLH + TN'!$C:$C,'01. TH'!V$4)</f>
        <v>0</v>
      </c>
      <c r="W109" s="1042">
        <f>COUNTIFS('TỔNG KLH + TN'!$B:$B,'01. TH'!$B109,'TỔNG KLH + TN'!$C:$C,'01. TH'!W$4)</f>
        <v>0</v>
      </c>
      <c r="X109" s="1042">
        <f>COUNTIFS('TỔNG KLH + TN'!$B:$B,'01. TH'!$B109,'TỔNG KLH + TN'!$C:$C,'01. TH'!X$4)</f>
        <v>0</v>
      </c>
      <c r="Y109" s="1042">
        <f>COUNTIFS('TỔNG KLH + TN'!$B:$B,'01. TH'!$B109,'TỔNG KLH + TN'!$C:$C,'01. TH'!Y$4)</f>
        <v>0</v>
      </c>
      <c r="Z109" s="1042">
        <f>COUNTIFS('TỔNG KLH + TN'!$B:$B,'01. TH'!$B109,'TỔNG KLH + TN'!$C:$C,'01. TH'!Z$4)</f>
        <v>0</v>
      </c>
      <c r="AA109" s="1042">
        <f>COUNTIFS('TỔNG KLH + TN'!$B:$B,'01. TH'!$B109,'TỔNG KLH + TN'!$C:$C,'01. TH'!AA$4)</f>
        <v>0</v>
      </c>
      <c r="AB109" s="1042">
        <f>COUNTIFS('TỔNG KLH + TN'!$B:$B,'01. TH'!$B109,'TỔNG KLH + TN'!$C:$C,'01. TH'!AB$4)</f>
        <v>0</v>
      </c>
      <c r="AC109" s="1042">
        <f>COUNTIFS('TỔNG KLH + TN'!$B:$B,'01. TH'!$B109,'TỔNG KLH + TN'!$C:$C,'01. TH'!AC$4)</f>
        <v>0</v>
      </c>
      <c r="AD109" s="1042">
        <f>COUNTIFS('TỔNG KLH + TN'!$B:$B,'01. TH'!$B109,'TỔNG KLH + TN'!$C:$C,'01. TH'!AD$4)</f>
        <v>0</v>
      </c>
      <c r="AE109" s="1043">
        <f t="shared" si="22"/>
        <v>1</v>
      </c>
      <c r="AF109" s="1043"/>
      <c r="AG109" s="1033" t="str">
        <f t="shared" si="23"/>
        <v>ok</v>
      </c>
      <c r="AH109" s="1041"/>
    </row>
    <row r="110" ht="18.75" hidden="1" customHeight="1" outlineLevel="1" spans="1:34">
      <c r="A110" s="1039"/>
      <c r="B110" s="1052" t="s">
        <v>187</v>
      </c>
      <c r="C110" s="1041" t="s">
        <v>188</v>
      </c>
      <c r="D110" s="1041" t="str">
        <f>IFERROR(VLOOKUP(B110,'Danh mục'!$G:$U,15,0),"")</f>
        <v>4190 x 2170 x 2590</v>
      </c>
      <c r="E110" s="1041" t="s">
        <v>42</v>
      </c>
      <c r="F110" s="1042">
        <f>COUNTIFS('TỔNG KLH + TN'!$B:$B,'01. TH'!$B110,'TỔNG KLH + TN'!$C:$C,'01. TH'!F$4)</f>
        <v>0</v>
      </c>
      <c r="G110" s="1042">
        <f>COUNTIFS('TỔNG KLH + TN'!$B:$B,'01. TH'!$B110,'TỔNG KLH + TN'!$C:$C,'01. TH'!G$4)</f>
        <v>0</v>
      </c>
      <c r="H110" s="1042">
        <f>COUNTIFS('TỔNG KLH + TN'!$B:$B,'01. TH'!$B110,'TỔNG KLH + TN'!$C:$C,'01. TH'!H$4)</f>
        <v>0</v>
      </c>
      <c r="I110" s="1042">
        <f>COUNTIFS('TỔNG KLH + TN'!$B:$B,'01. TH'!$B110,'TỔNG KLH + TN'!$C:$C,'01. TH'!I$4)</f>
        <v>0</v>
      </c>
      <c r="J110" s="1042">
        <f>COUNTIFS('TỔNG KLH + TN'!$B:$B,'01. TH'!$B110,'TỔNG KLH + TN'!$C:$C,'01. TH'!J$4)</f>
        <v>0</v>
      </c>
      <c r="K110" s="1042">
        <f>COUNTIFS('TỔNG KLH + TN'!$B:$B,'01. TH'!$B110,'TỔNG KLH + TN'!$C:$C,'01. TH'!K$4)</f>
        <v>0</v>
      </c>
      <c r="L110" s="1042">
        <f>COUNTIFS('TỔNG KLH + TN'!$B:$B,'01. TH'!$B110,'TỔNG KLH + TN'!$C:$C,'01. TH'!L$4)</f>
        <v>0</v>
      </c>
      <c r="M110" s="1042">
        <f>COUNTIFS('TỔNG KLH + TN'!$B:$B,'01. TH'!$B110,'TỔNG KLH + TN'!$C:$C,'01. TH'!M$4)</f>
        <v>0</v>
      </c>
      <c r="N110" s="1042">
        <f>COUNTIFS('TỔNG KLH + TN'!$B:$B,'01. TH'!$B110,'TỔNG KLH + TN'!$C:$C,'01. TH'!N$4)</f>
        <v>0</v>
      </c>
      <c r="O110" s="1042">
        <f>COUNTIFS('TỔNG KLH + TN'!$B:$B,'01. TH'!$B110,'TỔNG KLH + TN'!$C:$C,'01. TH'!O$4)</f>
        <v>0</v>
      </c>
      <c r="P110" s="1042">
        <f>COUNTIFS('TỔNG KLH + TN'!$B:$B,'01. TH'!$B110,'TỔNG KLH + TN'!$C:$C,'01. TH'!P$4)</f>
        <v>0</v>
      </c>
      <c r="Q110" s="1042">
        <f>COUNTIFS('TỔNG KLH + TN'!$B:$B,'01. TH'!$B110,'TỔNG KLH + TN'!$C:$C,'01. TH'!Q$4)</f>
        <v>0</v>
      </c>
      <c r="R110" s="1042">
        <f>COUNTIFS('TỔNG KLH + TN'!$B:$B,'01. TH'!$B110,'TỔNG KLH + TN'!$C:$C,'01. TH'!R$4)</f>
        <v>0</v>
      </c>
      <c r="S110" s="1042">
        <f>COUNTIFS('TỔNG KLH + TN'!$B:$B,'01. TH'!$B110,'TỔNG KLH + TN'!$C:$C,'01. TH'!S$4)</f>
        <v>0</v>
      </c>
      <c r="T110" s="1042">
        <f>COUNTIFS('TỔNG KLH + TN'!$B:$B,'01. TH'!$B110,'TỔNG KLH + TN'!$C:$C,'01. TH'!T$4)</f>
        <v>0</v>
      </c>
      <c r="U110" s="1042">
        <f>COUNTIFS('TỔNG KLH + TN'!$B:$B,'01. TH'!$B110,'TỔNG KLH + TN'!$C:$C,'01. TH'!U$4)</f>
        <v>0</v>
      </c>
      <c r="V110" s="1042">
        <f>COUNTIFS('TỔNG KLH + TN'!$B:$B,'01. TH'!$B110,'TỔNG KLH + TN'!$C:$C,'01. TH'!V$4)</f>
        <v>0</v>
      </c>
      <c r="W110" s="1042">
        <f>COUNTIFS('TỔNG KLH + TN'!$B:$B,'01. TH'!$B110,'TỔNG KLH + TN'!$C:$C,'01. TH'!W$4)</f>
        <v>0</v>
      </c>
      <c r="X110" s="1042">
        <f>COUNTIFS('TỔNG KLH + TN'!$B:$B,'01. TH'!$B110,'TỔNG KLH + TN'!$C:$C,'01. TH'!X$4)</f>
        <v>0</v>
      </c>
      <c r="Y110" s="1042">
        <f>COUNTIFS('TỔNG KLH + TN'!$B:$B,'01. TH'!$B110,'TỔNG KLH + TN'!$C:$C,'01. TH'!Y$4)</f>
        <v>0</v>
      </c>
      <c r="Z110" s="1042">
        <f>COUNTIFS('TỔNG KLH + TN'!$B:$B,'01. TH'!$B110,'TỔNG KLH + TN'!$C:$C,'01. TH'!Z$4)</f>
        <v>0</v>
      </c>
      <c r="AA110" s="1042">
        <f>COUNTIFS('TỔNG KLH + TN'!$B:$B,'01. TH'!$B110,'TỔNG KLH + TN'!$C:$C,'01. TH'!AA$4)</f>
        <v>0</v>
      </c>
      <c r="AB110" s="1042">
        <f>COUNTIFS('TỔNG KLH + TN'!$B:$B,'01. TH'!$B110,'TỔNG KLH + TN'!$C:$C,'01. TH'!AB$4)</f>
        <v>0</v>
      </c>
      <c r="AC110" s="1042">
        <f>COUNTIFS('TỔNG KLH + TN'!$B:$B,'01. TH'!$B110,'TỔNG KLH + TN'!$C:$C,'01. TH'!AC$4)</f>
        <v>0</v>
      </c>
      <c r="AD110" s="1042">
        <f>COUNTIFS('TỔNG KLH + TN'!$B:$B,'01. TH'!$B110,'TỔNG KLH + TN'!$C:$C,'01. TH'!AD$4)</f>
        <v>0</v>
      </c>
      <c r="AE110" s="1043">
        <f t="shared" si="22"/>
        <v>0</v>
      </c>
      <c r="AF110" s="1043"/>
      <c r="AG110" s="1033" t="str">
        <f t="shared" si="23"/>
        <v>ok</v>
      </c>
      <c r="AH110" s="1041"/>
    </row>
    <row r="111" ht="18.75" hidden="1" customHeight="1" outlineLevel="1" spans="1:34">
      <c r="A111" s="1044"/>
      <c r="B111" s="1040" t="s">
        <v>189</v>
      </c>
      <c r="C111" s="1041" t="s">
        <v>188</v>
      </c>
      <c r="D111" s="1041" t="str">
        <f>IFERROR(VLOOKUP(B111,'Danh mục'!$G:$U,15,0),"")</f>
        <v>4130 x 2030 x 2580</v>
      </c>
      <c r="E111" s="1041" t="s">
        <v>42</v>
      </c>
      <c r="F111" s="1042">
        <f>COUNTIFS('TỔNG KLH + TN'!$B:$B,'01. TH'!$B111,'TỔNG KLH + TN'!$C:$C,'01. TH'!F$4)</f>
        <v>0</v>
      </c>
      <c r="G111" s="1042">
        <f>COUNTIFS('TỔNG KLH + TN'!$B:$B,'01. TH'!$B111,'TỔNG KLH + TN'!$C:$C,'01. TH'!G$4)</f>
        <v>0</v>
      </c>
      <c r="H111" s="1042">
        <f>COUNTIFS('TỔNG KLH + TN'!$B:$B,'01. TH'!$B111,'TỔNG KLH + TN'!$C:$C,'01. TH'!H$4)</f>
        <v>0</v>
      </c>
      <c r="I111" s="1042">
        <f>COUNTIFS('TỔNG KLH + TN'!$B:$B,'01. TH'!$B111,'TỔNG KLH + TN'!$C:$C,'01. TH'!I$4)</f>
        <v>0</v>
      </c>
      <c r="J111" s="1042">
        <f>COUNTIFS('TỔNG KLH + TN'!$B:$B,'01. TH'!$B111,'TỔNG KLH + TN'!$C:$C,'01. TH'!J$4)</f>
        <v>0</v>
      </c>
      <c r="K111" s="1042">
        <f>COUNTIFS('TỔNG KLH + TN'!$B:$B,'01. TH'!$B111,'TỔNG KLH + TN'!$C:$C,'01. TH'!K$4)</f>
        <v>0</v>
      </c>
      <c r="L111" s="1042">
        <f>COUNTIFS('TỔNG KLH + TN'!$B:$B,'01. TH'!$B111,'TỔNG KLH + TN'!$C:$C,'01. TH'!L$4)</f>
        <v>0</v>
      </c>
      <c r="M111" s="1042">
        <f>COUNTIFS('TỔNG KLH + TN'!$B:$B,'01. TH'!$B111,'TỔNG KLH + TN'!$C:$C,'01. TH'!M$4)</f>
        <v>0</v>
      </c>
      <c r="N111" s="1042">
        <f>COUNTIFS('TỔNG KLH + TN'!$B:$B,'01. TH'!$B111,'TỔNG KLH + TN'!$C:$C,'01. TH'!N$4)</f>
        <v>0</v>
      </c>
      <c r="O111" s="1042">
        <f>COUNTIFS('TỔNG KLH + TN'!$B:$B,'01. TH'!$B111,'TỔNG KLH + TN'!$C:$C,'01. TH'!O$4)</f>
        <v>0</v>
      </c>
      <c r="P111" s="1042">
        <f>COUNTIFS('TỔNG KLH + TN'!$B:$B,'01. TH'!$B111,'TỔNG KLH + TN'!$C:$C,'01. TH'!P$4)</f>
        <v>0</v>
      </c>
      <c r="Q111" s="1042">
        <f>COUNTIFS('TỔNG KLH + TN'!$B:$B,'01. TH'!$B111,'TỔNG KLH + TN'!$C:$C,'01. TH'!Q$4)</f>
        <v>0</v>
      </c>
      <c r="R111" s="1042">
        <f>COUNTIFS('TỔNG KLH + TN'!$B:$B,'01. TH'!$B111,'TỔNG KLH + TN'!$C:$C,'01. TH'!R$4)</f>
        <v>0</v>
      </c>
      <c r="S111" s="1042">
        <f>COUNTIFS('TỔNG KLH + TN'!$B:$B,'01. TH'!$B111,'TỔNG KLH + TN'!$C:$C,'01. TH'!S$4)</f>
        <v>0</v>
      </c>
      <c r="T111" s="1042">
        <f>COUNTIFS('TỔNG KLH + TN'!$B:$B,'01. TH'!$B111,'TỔNG KLH + TN'!$C:$C,'01. TH'!T$4)</f>
        <v>0</v>
      </c>
      <c r="U111" s="1042">
        <f>COUNTIFS('TỔNG KLH + TN'!$B:$B,'01. TH'!$B111,'TỔNG KLH + TN'!$C:$C,'01. TH'!U$4)</f>
        <v>0</v>
      </c>
      <c r="V111" s="1042">
        <f>COUNTIFS('TỔNG KLH + TN'!$B:$B,'01. TH'!$B111,'TỔNG KLH + TN'!$C:$C,'01. TH'!V$4)</f>
        <v>0</v>
      </c>
      <c r="W111" s="1042">
        <f>COUNTIFS('TỔNG KLH + TN'!$B:$B,'01. TH'!$B111,'TỔNG KLH + TN'!$C:$C,'01. TH'!W$4)</f>
        <v>0</v>
      </c>
      <c r="X111" s="1042">
        <f>COUNTIFS('TỔNG KLH + TN'!$B:$B,'01. TH'!$B111,'TỔNG KLH + TN'!$C:$C,'01. TH'!X$4)</f>
        <v>0</v>
      </c>
      <c r="Y111" s="1042">
        <f>COUNTIFS('TỔNG KLH + TN'!$B:$B,'01. TH'!$B111,'TỔNG KLH + TN'!$C:$C,'01. TH'!Y$4)</f>
        <v>0</v>
      </c>
      <c r="Z111" s="1042">
        <f>COUNTIFS('TỔNG KLH + TN'!$B:$B,'01. TH'!$B111,'TỔNG KLH + TN'!$C:$C,'01. TH'!Z$4)</f>
        <v>0</v>
      </c>
      <c r="AA111" s="1042">
        <f>COUNTIFS('TỔNG KLH + TN'!$B:$B,'01. TH'!$B111,'TỔNG KLH + TN'!$C:$C,'01. TH'!AA$4)</f>
        <v>0</v>
      </c>
      <c r="AB111" s="1042">
        <f>COUNTIFS('TỔNG KLH + TN'!$B:$B,'01. TH'!$B111,'TỔNG KLH + TN'!$C:$C,'01. TH'!AB$4)</f>
        <v>0</v>
      </c>
      <c r="AC111" s="1042">
        <f>COUNTIFS('TỔNG KLH + TN'!$B:$B,'01. TH'!$B111,'TỔNG KLH + TN'!$C:$C,'01. TH'!AC$4)</f>
        <v>0</v>
      </c>
      <c r="AD111" s="1042">
        <f>COUNTIFS('TỔNG KLH + TN'!$B:$B,'01. TH'!$B111,'TỔNG KLH + TN'!$C:$C,'01. TH'!AD$4)</f>
        <v>0</v>
      </c>
      <c r="AE111" s="1045">
        <f t="shared" si="22"/>
        <v>0</v>
      </c>
      <c r="AF111" s="1045"/>
      <c r="AG111" s="1033" t="str">
        <f t="shared" si="23"/>
        <v>ok</v>
      </c>
      <c r="AH111" s="1046"/>
    </row>
    <row r="112" ht="18.75" hidden="1" customHeight="1" outlineLevel="1" spans="1:34">
      <c r="A112" s="1039"/>
      <c r="B112" s="1040" t="s">
        <v>190</v>
      </c>
      <c r="C112" s="1041" t="s">
        <v>188</v>
      </c>
      <c r="D112" s="1041" t="str">
        <f>IFERROR(VLOOKUP(B112,'Danh mục'!$G:$U,15,0),"")</f>
        <v>4800 x 2007 x 2743</v>
      </c>
      <c r="E112" s="1041" t="s">
        <v>42</v>
      </c>
      <c r="F112" s="1042">
        <f>COUNTIFS('TỔNG KLH + TN'!$B:$B,'01. TH'!$B112,'TỔNG KLH + TN'!$C:$C,'01. TH'!F$4)</f>
        <v>0</v>
      </c>
      <c r="G112" s="1042">
        <f>COUNTIFS('TỔNG KLH + TN'!$B:$B,'01. TH'!$B112,'TỔNG KLH + TN'!$C:$C,'01. TH'!G$4)</f>
        <v>0</v>
      </c>
      <c r="H112" s="1042">
        <f>COUNTIFS('TỔNG KLH + TN'!$B:$B,'01. TH'!$B112,'TỔNG KLH + TN'!$C:$C,'01. TH'!H$4)</f>
        <v>0</v>
      </c>
      <c r="I112" s="1042">
        <f>COUNTIFS('TỔNG KLH + TN'!$B:$B,'01. TH'!$B112,'TỔNG KLH + TN'!$C:$C,'01. TH'!I$4)</f>
        <v>0</v>
      </c>
      <c r="J112" s="1042">
        <f>COUNTIFS('TỔNG KLH + TN'!$B:$B,'01. TH'!$B112,'TỔNG KLH + TN'!$C:$C,'01. TH'!J$4)</f>
        <v>0</v>
      </c>
      <c r="K112" s="1042">
        <f>COUNTIFS('TỔNG KLH + TN'!$B:$B,'01. TH'!$B112,'TỔNG KLH + TN'!$C:$C,'01. TH'!K$4)</f>
        <v>0</v>
      </c>
      <c r="L112" s="1042">
        <f>COUNTIFS('TỔNG KLH + TN'!$B:$B,'01. TH'!$B112,'TỔNG KLH + TN'!$C:$C,'01. TH'!L$4)</f>
        <v>0</v>
      </c>
      <c r="M112" s="1042">
        <f>COUNTIFS('TỔNG KLH + TN'!$B:$B,'01. TH'!$B112,'TỔNG KLH + TN'!$C:$C,'01. TH'!M$4)</f>
        <v>0</v>
      </c>
      <c r="N112" s="1042">
        <f>COUNTIFS('TỔNG KLH + TN'!$B:$B,'01. TH'!$B112,'TỔNG KLH + TN'!$C:$C,'01. TH'!N$4)</f>
        <v>0</v>
      </c>
      <c r="O112" s="1042">
        <f>COUNTIFS('TỔNG KLH + TN'!$B:$B,'01. TH'!$B112,'TỔNG KLH + TN'!$C:$C,'01. TH'!O$4)</f>
        <v>0</v>
      </c>
      <c r="P112" s="1042">
        <f>COUNTIFS('TỔNG KLH + TN'!$B:$B,'01. TH'!$B112,'TỔNG KLH + TN'!$C:$C,'01. TH'!P$4)</f>
        <v>1</v>
      </c>
      <c r="Q112" s="1042">
        <f>COUNTIFS('TỔNG KLH + TN'!$B:$B,'01. TH'!$B112,'TỔNG KLH + TN'!$C:$C,'01. TH'!Q$4)</f>
        <v>0</v>
      </c>
      <c r="R112" s="1042">
        <f>COUNTIFS('TỔNG KLH + TN'!$B:$B,'01. TH'!$B112,'TỔNG KLH + TN'!$C:$C,'01. TH'!R$4)</f>
        <v>0</v>
      </c>
      <c r="S112" s="1042">
        <f>COUNTIFS('TỔNG KLH + TN'!$B:$B,'01. TH'!$B112,'TỔNG KLH + TN'!$C:$C,'01. TH'!S$4)</f>
        <v>0</v>
      </c>
      <c r="T112" s="1042">
        <f>COUNTIFS('TỔNG KLH + TN'!$B:$B,'01. TH'!$B112,'TỔNG KLH + TN'!$C:$C,'01. TH'!T$4)</f>
        <v>0</v>
      </c>
      <c r="U112" s="1042">
        <f>COUNTIFS('TỔNG KLH + TN'!$B:$B,'01. TH'!$B112,'TỔNG KLH + TN'!$C:$C,'01. TH'!U$4)</f>
        <v>0</v>
      </c>
      <c r="V112" s="1042">
        <f>COUNTIFS('TỔNG KLH + TN'!$B:$B,'01. TH'!$B112,'TỔNG KLH + TN'!$C:$C,'01. TH'!V$4)</f>
        <v>0</v>
      </c>
      <c r="W112" s="1042">
        <f>COUNTIFS('TỔNG KLH + TN'!$B:$B,'01. TH'!$B112,'TỔNG KLH + TN'!$C:$C,'01. TH'!W$4)</f>
        <v>0</v>
      </c>
      <c r="X112" s="1042">
        <f>COUNTIFS('TỔNG KLH + TN'!$B:$B,'01. TH'!$B112,'TỔNG KLH + TN'!$C:$C,'01. TH'!X$4)</f>
        <v>0</v>
      </c>
      <c r="Y112" s="1042">
        <f>COUNTIFS('TỔNG KLH + TN'!$B:$B,'01. TH'!$B112,'TỔNG KLH + TN'!$C:$C,'01. TH'!Y$4)</f>
        <v>0</v>
      </c>
      <c r="Z112" s="1042">
        <f>COUNTIFS('TỔNG KLH + TN'!$B:$B,'01. TH'!$B112,'TỔNG KLH + TN'!$C:$C,'01. TH'!Z$4)</f>
        <v>0</v>
      </c>
      <c r="AA112" s="1042">
        <f>COUNTIFS('TỔNG KLH + TN'!$B:$B,'01. TH'!$B112,'TỔNG KLH + TN'!$C:$C,'01. TH'!AA$4)</f>
        <v>0</v>
      </c>
      <c r="AB112" s="1042">
        <f>COUNTIFS('TỔNG KLH + TN'!$B:$B,'01. TH'!$B112,'TỔNG KLH + TN'!$C:$C,'01. TH'!AB$4)</f>
        <v>0</v>
      </c>
      <c r="AC112" s="1042">
        <f>COUNTIFS('TỔNG KLH + TN'!$B:$B,'01. TH'!$B112,'TỔNG KLH + TN'!$C:$C,'01. TH'!AC$4)</f>
        <v>0</v>
      </c>
      <c r="AD112" s="1042">
        <f>COUNTIFS('TỔNG KLH + TN'!$B:$B,'01. TH'!$B112,'TỔNG KLH + TN'!$C:$C,'01. TH'!AD$4)</f>
        <v>0</v>
      </c>
      <c r="AE112" s="1043">
        <f t="shared" si="22"/>
        <v>1</v>
      </c>
      <c r="AF112" s="1043"/>
      <c r="AG112" s="1033" t="str">
        <f t="shared" si="23"/>
        <v>ok</v>
      </c>
      <c r="AH112" s="1039"/>
    </row>
    <row r="113" ht="18.75" hidden="1" customHeight="1" outlineLevel="1" spans="1:34">
      <c r="A113" s="1044"/>
      <c r="B113" s="1040" t="s">
        <v>191</v>
      </c>
      <c r="C113" s="1041" t="s">
        <v>188</v>
      </c>
      <c r="D113" s="1041" t="str">
        <f>IFERROR(VLOOKUP(B113,'Danh mục'!$G:$U,15,0),"")</f>
        <v>4200 x 2600 x 2900</v>
      </c>
      <c r="E113" s="1041" t="s">
        <v>42</v>
      </c>
      <c r="F113" s="1042">
        <f>COUNTIFS('TỔNG KLH + TN'!$B:$B,'01. TH'!$B113,'TỔNG KLH + TN'!$C:$C,'01. TH'!F$4)</f>
        <v>0</v>
      </c>
      <c r="G113" s="1042">
        <f>COUNTIFS('TỔNG KLH + TN'!$B:$B,'01. TH'!$B113,'TỔNG KLH + TN'!$C:$C,'01. TH'!G$4)</f>
        <v>2</v>
      </c>
      <c r="H113" s="1042">
        <f>COUNTIFS('TỔNG KLH + TN'!$B:$B,'01. TH'!$B113,'TỔNG KLH + TN'!$C:$C,'01. TH'!H$4)</f>
        <v>0</v>
      </c>
      <c r="I113" s="1042">
        <f>COUNTIFS('TỔNG KLH + TN'!$B:$B,'01. TH'!$B113,'TỔNG KLH + TN'!$C:$C,'01. TH'!I$4)</f>
        <v>0</v>
      </c>
      <c r="J113" s="1042">
        <f>COUNTIFS('TỔNG KLH + TN'!$B:$B,'01. TH'!$B113,'TỔNG KLH + TN'!$C:$C,'01. TH'!J$4)</f>
        <v>0</v>
      </c>
      <c r="K113" s="1042">
        <f>COUNTIFS('TỔNG KLH + TN'!$B:$B,'01. TH'!$B113,'TỔNG KLH + TN'!$C:$C,'01. TH'!K$4)</f>
        <v>0</v>
      </c>
      <c r="L113" s="1042">
        <f>COUNTIFS('TỔNG KLH + TN'!$B:$B,'01. TH'!$B113,'TỔNG KLH + TN'!$C:$C,'01. TH'!L$4)</f>
        <v>0</v>
      </c>
      <c r="M113" s="1042">
        <f>COUNTIFS('TỔNG KLH + TN'!$B:$B,'01. TH'!$B113,'TỔNG KLH + TN'!$C:$C,'01. TH'!M$4)</f>
        <v>0</v>
      </c>
      <c r="N113" s="1042">
        <f>COUNTIFS('TỔNG KLH + TN'!$B:$B,'01. TH'!$B113,'TỔNG KLH + TN'!$C:$C,'01. TH'!N$4)</f>
        <v>0</v>
      </c>
      <c r="O113" s="1042">
        <f>COUNTIFS('TỔNG KLH + TN'!$B:$B,'01. TH'!$B113,'TỔNG KLH + TN'!$C:$C,'01. TH'!O$4)</f>
        <v>0</v>
      </c>
      <c r="P113" s="1042">
        <f>COUNTIFS('TỔNG KLH + TN'!$B:$B,'01. TH'!$B113,'TỔNG KLH + TN'!$C:$C,'01. TH'!P$4)</f>
        <v>1</v>
      </c>
      <c r="Q113" s="1042">
        <f>COUNTIFS('TỔNG KLH + TN'!$B:$B,'01. TH'!$B113,'TỔNG KLH + TN'!$C:$C,'01. TH'!Q$4)</f>
        <v>0</v>
      </c>
      <c r="R113" s="1042">
        <f>COUNTIFS('TỔNG KLH + TN'!$B:$B,'01. TH'!$B113,'TỔNG KLH + TN'!$C:$C,'01. TH'!R$4)</f>
        <v>0</v>
      </c>
      <c r="S113" s="1042">
        <f>COUNTIFS('TỔNG KLH + TN'!$B:$B,'01. TH'!$B113,'TỔNG KLH + TN'!$C:$C,'01. TH'!S$4)</f>
        <v>0</v>
      </c>
      <c r="T113" s="1042">
        <f>COUNTIFS('TỔNG KLH + TN'!$B:$B,'01. TH'!$B113,'TỔNG KLH + TN'!$C:$C,'01. TH'!T$4)</f>
        <v>0</v>
      </c>
      <c r="U113" s="1042">
        <f>COUNTIFS('TỔNG KLH + TN'!$B:$B,'01. TH'!$B113,'TỔNG KLH + TN'!$C:$C,'01. TH'!U$4)</f>
        <v>0</v>
      </c>
      <c r="V113" s="1042">
        <f>COUNTIFS('TỔNG KLH + TN'!$B:$B,'01. TH'!$B113,'TỔNG KLH + TN'!$C:$C,'01. TH'!V$4)</f>
        <v>0</v>
      </c>
      <c r="W113" s="1042">
        <f>COUNTIFS('TỔNG KLH + TN'!$B:$B,'01. TH'!$B113,'TỔNG KLH + TN'!$C:$C,'01. TH'!W$4)</f>
        <v>0</v>
      </c>
      <c r="X113" s="1042">
        <f>COUNTIFS('TỔNG KLH + TN'!$B:$B,'01. TH'!$B113,'TỔNG KLH + TN'!$C:$C,'01. TH'!X$4)</f>
        <v>0</v>
      </c>
      <c r="Y113" s="1042">
        <f>COUNTIFS('TỔNG KLH + TN'!$B:$B,'01. TH'!$B113,'TỔNG KLH + TN'!$C:$C,'01. TH'!Y$4)</f>
        <v>0</v>
      </c>
      <c r="Z113" s="1042">
        <f>COUNTIFS('TỔNG KLH + TN'!$B:$B,'01. TH'!$B113,'TỔNG KLH + TN'!$C:$C,'01. TH'!Z$4)</f>
        <v>0</v>
      </c>
      <c r="AA113" s="1042">
        <f>COUNTIFS('TỔNG KLH + TN'!$B:$B,'01. TH'!$B113,'TỔNG KLH + TN'!$C:$C,'01. TH'!AA$4)</f>
        <v>0</v>
      </c>
      <c r="AB113" s="1042">
        <f>COUNTIFS('TỔNG KLH + TN'!$B:$B,'01. TH'!$B113,'TỔNG KLH + TN'!$C:$C,'01. TH'!AB$4)</f>
        <v>0</v>
      </c>
      <c r="AC113" s="1042">
        <f>COUNTIFS('TỔNG KLH + TN'!$B:$B,'01. TH'!$B113,'TỔNG KLH + TN'!$C:$C,'01. TH'!AC$4)</f>
        <v>0</v>
      </c>
      <c r="AD113" s="1042">
        <f>COUNTIFS('TỔNG KLH + TN'!$B:$B,'01. TH'!$B113,'TỔNG KLH + TN'!$C:$C,'01. TH'!AD$4)</f>
        <v>0</v>
      </c>
      <c r="AE113" s="1045">
        <f t="shared" si="22"/>
        <v>3</v>
      </c>
      <c r="AF113" s="1045"/>
      <c r="AG113" s="1033" t="str">
        <f t="shared" si="23"/>
        <v>ok</v>
      </c>
      <c r="AH113" s="1046"/>
    </row>
    <row r="114" ht="18.75" hidden="1" customHeight="1" outlineLevel="1" spans="1:34">
      <c r="A114" s="1044"/>
      <c r="B114" s="1040" t="s">
        <v>192</v>
      </c>
      <c r="C114" s="1041" t="s">
        <v>188</v>
      </c>
      <c r="D114" s="1041" t="str">
        <f>IFERROR(VLOOKUP(B114,'Danh mục'!$G:$U,15,0),"")</f>
        <v/>
      </c>
      <c r="E114" s="1041" t="s">
        <v>42</v>
      </c>
      <c r="F114" s="1042">
        <f>COUNTIFS('TỔNG KLH + TN'!$B:$B,'01. TH'!$B114,'TỔNG KLH + TN'!$C:$C,'01. TH'!F$4)</f>
        <v>0</v>
      </c>
      <c r="G114" s="1042">
        <f>COUNTIFS('TỔNG KLH + TN'!$B:$B,'01. TH'!$B114,'TỔNG KLH + TN'!$C:$C,'01. TH'!G$4)</f>
        <v>0</v>
      </c>
      <c r="H114" s="1042">
        <f>COUNTIFS('TỔNG KLH + TN'!$B:$B,'01. TH'!$B114,'TỔNG KLH + TN'!$C:$C,'01. TH'!H$4)</f>
        <v>0</v>
      </c>
      <c r="I114" s="1042">
        <f>COUNTIFS('TỔNG KLH + TN'!$B:$B,'01. TH'!$B114,'TỔNG KLH + TN'!$C:$C,'01. TH'!I$4)</f>
        <v>0</v>
      </c>
      <c r="J114" s="1042">
        <f>COUNTIFS('TỔNG KLH + TN'!$B:$B,'01. TH'!$B114,'TỔNG KLH + TN'!$C:$C,'01. TH'!J$4)</f>
        <v>0</v>
      </c>
      <c r="K114" s="1042">
        <f>COUNTIFS('TỔNG KLH + TN'!$B:$B,'01. TH'!$B114,'TỔNG KLH + TN'!$C:$C,'01. TH'!K$4)</f>
        <v>0</v>
      </c>
      <c r="L114" s="1042">
        <f>COUNTIFS('TỔNG KLH + TN'!$B:$B,'01. TH'!$B114,'TỔNG KLH + TN'!$C:$C,'01. TH'!L$4)</f>
        <v>0</v>
      </c>
      <c r="M114" s="1042">
        <f>COUNTIFS('TỔNG KLH + TN'!$B:$B,'01. TH'!$B114,'TỔNG KLH + TN'!$C:$C,'01. TH'!M$4)</f>
        <v>0</v>
      </c>
      <c r="N114" s="1042">
        <f>COUNTIFS('TỔNG KLH + TN'!$B:$B,'01. TH'!$B114,'TỔNG KLH + TN'!$C:$C,'01. TH'!N$4)</f>
        <v>0</v>
      </c>
      <c r="O114" s="1042">
        <f>COUNTIFS('TỔNG KLH + TN'!$B:$B,'01. TH'!$B114,'TỔNG KLH + TN'!$C:$C,'01. TH'!O$4)</f>
        <v>0</v>
      </c>
      <c r="P114" s="1042">
        <f>COUNTIFS('TỔNG KLH + TN'!$B:$B,'01. TH'!$B114,'TỔNG KLH + TN'!$C:$C,'01. TH'!P$4)</f>
        <v>0</v>
      </c>
      <c r="Q114" s="1042">
        <f>COUNTIFS('TỔNG KLH + TN'!$B:$B,'01. TH'!$B114,'TỔNG KLH + TN'!$C:$C,'01. TH'!Q$4)</f>
        <v>0</v>
      </c>
      <c r="R114" s="1042">
        <f>COUNTIFS('TỔNG KLH + TN'!$B:$B,'01. TH'!$B114,'TỔNG KLH + TN'!$C:$C,'01. TH'!R$4)</f>
        <v>0</v>
      </c>
      <c r="S114" s="1042">
        <f>COUNTIFS('TỔNG KLH + TN'!$B:$B,'01. TH'!$B114,'TỔNG KLH + TN'!$C:$C,'01. TH'!S$4)</f>
        <v>0</v>
      </c>
      <c r="T114" s="1042">
        <f>COUNTIFS('TỔNG KLH + TN'!$B:$B,'01. TH'!$B114,'TỔNG KLH + TN'!$C:$C,'01. TH'!T$4)</f>
        <v>0</v>
      </c>
      <c r="U114" s="1042">
        <f>COUNTIFS('TỔNG KLH + TN'!$B:$B,'01. TH'!$B114,'TỔNG KLH + TN'!$C:$C,'01. TH'!U$4)</f>
        <v>0</v>
      </c>
      <c r="V114" s="1042">
        <f>COUNTIFS('TỔNG KLH + TN'!$B:$B,'01. TH'!$B114,'TỔNG KLH + TN'!$C:$C,'01. TH'!V$4)</f>
        <v>0</v>
      </c>
      <c r="W114" s="1042">
        <f>COUNTIFS('TỔNG KLH + TN'!$B:$B,'01. TH'!$B114,'TỔNG KLH + TN'!$C:$C,'01. TH'!W$4)</f>
        <v>0</v>
      </c>
      <c r="X114" s="1042">
        <f>COUNTIFS('TỔNG KLH + TN'!$B:$B,'01. TH'!$B114,'TỔNG KLH + TN'!$C:$C,'01. TH'!X$4)</f>
        <v>0</v>
      </c>
      <c r="Y114" s="1042">
        <f>COUNTIFS('TỔNG KLH + TN'!$B:$B,'01. TH'!$B114,'TỔNG KLH + TN'!$C:$C,'01. TH'!Y$4)</f>
        <v>0</v>
      </c>
      <c r="Z114" s="1042">
        <f>COUNTIFS('TỔNG KLH + TN'!$B:$B,'01. TH'!$B114,'TỔNG KLH + TN'!$C:$C,'01. TH'!Z$4)</f>
        <v>0</v>
      </c>
      <c r="AA114" s="1042">
        <f>COUNTIFS('TỔNG KLH + TN'!$B:$B,'01. TH'!$B114,'TỔNG KLH + TN'!$C:$C,'01. TH'!AA$4)</f>
        <v>0</v>
      </c>
      <c r="AB114" s="1042">
        <f>COUNTIFS('TỔNG KLH + TN'!$B:$B,'01. TH'!$B114,'TỔNG KLH + TN'!$C:$C,'01. TH'!AB$4)</f>
        <v>0</v>
      </c>
      <c r="AC114" s="1042">
        <f>COUNTIFS('TỔNG KLH + TN'!$B:$B,'01. TH'!$B114,'TỔNG KLH + TN'!$C:$C,'01. TH'!AC$4)</f>
        <v>0</v>
      </c>
      <c r="AD114" s="1042">
        <f>COUNTIFS('TỔNG KLH + TN'!$B:$B,'01. TH'!$B114,'TỔNG KLH + TN'!$C:$C,'01. TH'!AD$4)</f>
        <v>0</v>
      </c>
      <c r="AE114" s="1045">
        <f t="shared" si="22"/>
        <v>0</v>
      </c>
      <c r="AF114" s="1045"/>
      <c r="AG114" s="1033" t="str">
        <f t="shared" si="23"/>
        <v>ok</v>
      </c>
      <c r="AH114" s="1046"/>
    </row>
    <row r="115" ht="18.75" hidden="1" customHeight="1" outlineLevel="1" spans="1:34">
      <c r="A115" s="1039"/>
      <c r="B115" s="1040" t="s">
        <v>193</v>
      </c>
      <c r="C115" s="1041" t="s">
        <v>102</v>
      </c>
      <c r="D115" s="1041" t="str">
        <f>IFERROR(VLOOKUP(B115,'Danh mục'!$G:$U,15,0),"")</f>
        <v>4200 x 2600 x 2900</v>
      </c>
      <c r="E115" s="1041" t="s">
        <v>42</v>
      </c>
      <c r="F115" s="1042">
        <f>COUNTIFS('TỔNG KLH + TN'!$B:$B,'01. TH'!$B115,'TỔNG KLH + TN'!$C:$C,'01. TH'!F$4)</f>
        <v>0</v>
      </c>
      <c r="G115" s="1042">
        <f>COUNTIFS('TỔNG KLH + TN'!$B:$B,'01. TH'!$B115,'TỔNG KLH + TN'!$C:$C,'01. TH'!G$4)</f>
        <v>2</v>
      </c>
      <c r="H115" s="1042">
        <f>COUNTIFS('TỔNG KLH + TN'!$B:$B,'01. TH'!$B115,'TỔNG KLH + TN'!$C:$C,'01. TH'!H$4)</f>
        <v>0</v>
      </c>
      <c r="I115" s="1042">
        <f>COUNTIFS('TỔNG KLH + TN'!$B:$B,'01. TH'!$B115,'TỔNG KLH + TN'!$C:$C,'01. TH'!I$4)</f>
        <v>0</v>
      </c>
      <c r="J115" s="1042">
        <f>COUNTIFS('TỔNG KLH + TN'!$B:$B,'01. TH'!$B115,'TỔNG KLH + TN'!$C:$C,'01. TH'!J$4)</f>
        <v>0</v>
      </c>
      <c r="K115" s="1042">
        <f>COUNTIFS('TỔNG KLH + TN'!$B:$B,'01. TH'!$B115,'TỔNG KLH + TN'!$C:$C,'01. TH'!K$4)</f>
        <v>0</v>
      </c>
      <c r="L115" s="1042">
        <f>COUNTIFS('TỔNG KLH + TN'!$B:$B,'01. TH'!$B115,'TỔNG KLH + TN'!$C:$C,'01. TH'!L$4)</f>
        <v>0</v>
      </c>
      <c r="M115" s="1042">
        <f>COUNTIFS('TỔNG KLH + TN'!$B:$B,'01. TH'!$B115,'TỔNG KLH + TN'!$C:$C,'01. TH'!M$4)</f>
        <v>0</v>
      </c>
      <c r="N115" s="1042">
        <f>COUNTIFS('TỔNG KLH + TN'!$B:$B,'01. TH'!$B115,'TỔNG KLH + TN'!$C:$C,'01. TH'!N$4)</f>
        <v>0</v>
      </c>
      <c r="O115" s="1042">
        <f>COUNTIFS('TỔNG KLH + TN'!$B:$B,'01. TH'!$B115,'TỔNG KLH + TN'!$C:$C,'01. TH'!O$4)</f>
        <v>0</v>
      </c>
      <c r="P115" s="1042">
        <f>COUNTIFS('TỔNG KLH + TN'!$B:$B,'01. TH'!$B115,'TỔNG KLH + TN'!$C:$C,'01. TH'!P$4)</f>
        <v>3</v>
      </c>
      <c r="Q115" s="1042">
        <f>COUNTIFS('TỔNG KLH + TN'!$B:$B,'01. TH'!$B115,'TỔNG KLH + TN'!$C:$C,'01. TH'!Q$4)</f>
        <v>0</v>
      </c>
      <c r="R115" s="1042">
        <f>COUNTIFS('TỔNG KLH + TN'!$B:$B,'01. TH'!$B115,'TỔNG KLH + TN'!$C:$C,'01. TH'!R$4)</f>
        <v>0</v>
      </c>
      <c r="S115" s="1042">
        <f>COUNTIFS('TỔNG KLH + TN'!$B:$B,'01. TH'!$B115,'TỔNG KLH + TN'!$C:$C,'01. TH'!S$4)</f>
        <v>0</v>
      </c>
      <c r="T115" s="1042">
        <f>COUNTIFS('TỔNG KLH + TN'!$B:$B,'01. TH'!$B115,'TỔNG KLH + TN'!$C:$C,'01. TH'!T$4)</f>
        <v>0</v>
      </c>
      <c r="U115" s="1042">
        <f>COUNTIFS('TỔNG KLH + TN'!$B:$B,'01. TH'!$B115,'TỔNG KLH + TN'!$C:$C,'01. TH'!U$4)</f>
        <v>0</v>
      </c>
      <c r="V115" s="1042">
        <f>COUNTIFS('TỔNG KLH + TN'!$B:$B,'01. TH'!$B115,'TỔNG KLH + TN'!$C:$C,'01. TH'!V$4)</f>
        <v>0</v>
      </c>
      <c r="W115" s="1042">
        <f>COUNTIFS('TỔNG KLH + TN'!$B:$B,'01. TH'!$B115,'TỔNG KLH + TN'!$C:$C,'01. TH'!W$4)</f>
        <v>0</v>
      </c>
      <c r="X115" s="1042">
        <f>COUNTIFS('TỔNG KLH + TN'!$B:$B,'01. TH'!$B115,'TỔNG KLH + TN'!$C:$C,'01. TH'!X$4)</f>
        <v>0</v>
      </c>
      <c r="Y115" s="1042">
        <f>COUNTIFS('TỔNG KLH + TN'!$B:$B,'01. TH'!$B115,'TỔNG KLH + TN'!$C:$C,'01. TH'!Y$4)</f>
        <v>0</v>
      </c>
      <c r="Z115" s="1042">
        <f>COUNTIFS('TỔNG KLH + TN'!$B:$B,'01. TH'!$B115,'TỔNG KLH + TN'!$C:$C,'01. TH'!Z$4)</f>
        <v>0</v>
      </c>
      <c r="AA115" s="1042">
        <f>COUNTIFS('TỔNG KLH + TN'!$B:$B,'01. TH'!$B115,'TỔNG KLH + TN'!$C:$C,'01. TH'!AA$4)</f>
        <v>0</v>
      </c>
      <c r="AB115" s="1042">
        <f>COUNTIFS('TỔNG KLH + TN'!$B:$B,'01. TH'!$B115,'TỔNG KLH + TN'!$C:$C,'01. TH'!AB$4)</f>
        <v>0</v>
      </c>
      <c r="AC115" s="1042">
        <f>COUNTIFS('TỔNG KLH + TN'!$B:$B,'01. TH'!$B115,'TỔNG KLH + TN'!$C:$C,'01. TH'!AC$4)</f>
        <v>0</v>
      </c>
      <c r="AD115" s="1042">
        <f>COUNTIFS('TỔNG KLH + TN'!$B:$B,'01. TH'!$B115,'TỔNG KLH + TN'!$C:$C,'01. TH'!AD$4)</f>
        <v>0</v>
      </c>
      <c r="AE115" s="1043">
        <f t="shared" si="22"/>
        <v>5</v>
      </c>
      <c r="AF115" s="1043"/>
      <c r="AG115" s="1033" t="str">
        <f t="shared" si="23"/>
        <v>ok</v>
      </c>
      <c r="AH115" s="1041"/>
    </row>
    <row r="116" ht="18.75" hidden="1" customHeight="1" outlineLevel="1" spans="1:34">
      <c r="A116" s="1044"/>
      <c r="B116" s="1040" t="s">
        <v>194</v>
      </c>
      <c r="C116" s="1041" t="s">
        <v>124</v>
      </c>
      <c r="D116" s="1041" t="str">
        <f>IFERROR(VLOOKUP(B116,'Danh mục'!$G:$U,15,0),"")</f>
        <v>4705 x 2445 x 2864</v>
      </c>
      <c r="E116" s="1041" t="s">
        <v>42</v>
      </c>
      <c r="F116" s="1042">
        <f>COUNTIFS('TỔNG KLH + TN'!$B:$B,'01. TH'!$B116,'TỔNG KLH + TN'!$C:$C,'01. TH'!F$4)</f>
        <v>0</v>
      </c>
      <c r="G116" s="1042">
        <f>COUNTIFS('TỔNG KLH + TN'!$B:$B,'01. TH'!$B116,'TỔNG KLH + TN'!$C:$C,'01. TH'!G$4)</f>
        <v>0</v>
      </c>
      <c r="H116" s="1042">
        <f>COUNTIFS('TỔNG KLH + TN'!$B:$B,'01. TH'!$B116,'TỔNG KLH + TN'!$C:$C,'01. TH'!H$4)</f>
        <v>0</v>
      </c>
      <c r="I116" s="1042">
        <f>COUNTIFS('TỔNG KLH + TN'!$B:$B,'01. TH'!$B116,'TỔNG KLH + TN'!$C:$C,'01. TH'!I$4)</f>
        <v>0</v>
      </c>
      <c r="J116" s="1042">
        <f>COUNTIFS('TỔNG KLH + TN'!$B:$B,'01. TH'!$B116,'TỔNG KLH + TN'!$C:$C,'01. TH'!J$4)</f>
        <v>0</v>
      </c>
      <c r="K116" s="1042">
        <f>COUNTIFS('TỔNG KLH + TN'!$B:$B,'01. TH'!$B116,'TỔNG KLH + TN'!$C:$C,'01. TH'!K$4)</f>
        <v>0</v>
      </c>
      <c r="L116" s="1042">
        <f>COUNTIFS('TỔNG KLH + TN'!$B:$B,'01. TH'!$B116,'TỔNG KLH + TN'!$C:$C,'01. TH'!L$4)</f>
        <v>0</v>
      </c>
      <c r="M116" s="1042">
        <f>COUNTIFS('TỔNG KLH + TN'!$B:$B,'01. TH'!$B116,'TỔNG KLH + TN'!$C:$C,'01. TH'!M$4)</f>
        <v>0</v>
      </c>
      <c r="N116" s="1042">
        <f>COUNTIFS('TỔNG KLH + TN'!$B:$B,'01. TH'!$B116,'TỔNG KLH + TN'!$C:$C,'01. TH'!N$4)</f>
        <v>0</v>
      </c>
      <c r="O116" s="1042">
        <f>COUNTIFS('TỔNG KLH + TN'!$B:$B,'01. TH'!$B116,'TỔNG KLH + TN'!$C:$C,'01. TH'!O$4)</f>
        <v>0</v>
      </c>
      <c r="P116" s="1042">
        <f>COUNTIFS('TỔNG KLH + TN'!$B:$B,'01. TH'!$B116,'TỔNG KLH + TN'!$C:$C,'01. TH'!P$4)</f>
        <v>0</v>
      </c>
      <c r="Q116" s="1042">
        <f>COUNTIFS('TỔNG KLH + TN'!$B:$B,'01. TH'!$B116,'TỔNG KLH + TN'!$C:$C,'01. TH'!Q$4)</f>
        <v>0</v>
      </c>
      <c r="R116" s="1042">
        <f>COUNTIFS('TỔNG KLH + TN'!$B:$B,'01. TH'!$B116,'TỔNG KLH + TN'!$C:$C,'01. TH'!R$4)</f>
        <v>0</v>
      </c>
      <c r="S116" s="1042">
        <f>COUNTIFS('TỔNG KLH + TN'!$B:$B,'01. TH'!$B116,'TỔNG KLH + TN'!$C:$C,'01. TH'!S$4)</f>
        <v>0</v>
      </c>
      <c r="T116" s="1042">
        <f>COUNTIFS('TỔNG KLH + TN'!$B:$B,'01. TH'!$B116,'TỔNG KLH + TN'!$C:$C,'01. TH'!T$4)</f>
        <v>0</v>
      </c>
      <c r="U116" s="1042">
        <f>COUNTIFS('TỔNG KLH + TN'!$B:$B,'01. TH'!$B116,'TỔNG KLH + TN'!$C:$C,'01. TH'!U$4)</f>
        <v>0</v>
      </c>
      <c r="V116" s="1042">
        <f>COUNTIFS('TỔNG KLH + TN'!$B:$B,'01. TH'!$B116,'TỔNG KLH + TN'!$C:$C,'01. TH'!V$4)</f>
        <v>0</v>
      </c>
      <c r="W116" s="1042">
        <f>COUNTIFS('TỔNG KLH + TN'!$B:$B,'01. TH'!$B116,'TỔNG KLH + TN'!$C:$C,'01. TH'!W$4)</f>
        <v>0</v>
      </c>
      <c r="X116" s="1042">
        <f>COUNTIFS('TỔNG KLH + TN'!$B:$B,'01. TH'!$B116,'TỔNG KLH + TN'!$C:$C,'01. TH'!X$4)</f>
        <v>0</v>
      </c>
      <c r="Y116" s="1042">
        <f>COUNTIFS('TỔNG KLH + TN'!$B:$B,'01. TH'!$B116,'TỔNG KLH + TN'!$C:$C,'01. TH'!Y$4)</f>
        <v>0</v>
      </c>
      <c r="Z116" s="1042">
        <f>COUNTIFS('TỔNG KLH + TN'!$B:$B,'01. TH'!$B116,'TỔNG KLH + TN'!$C:$C,'01. TH'!Z$4)</f>
        <v>0</v>
      </c>
      <c r="AA116" s="1042">
        <f>COUNTIFS('TỔNG KLH + TN'!$B:$B,'01. TH'!$B116,'TỔNG KLH + TN'!$C:$C,'01. TH'!AA$4)</f>
        <v>0</v>
      </c>
      <c r="AB116" s="1042">
        <f>COUNTIFS('TỔNG KLH + TN'!$B:$B,'01. TH'!$B116,'TỔNG KLH + TN'!$C:$C,'01. TH'!AB$4)</f>
        <v>0</v>
      </c>
      <c r="AC116" s="1042">
        <f>COUNTIFS('TỔNG KLH + TN'!$B:$B,'01. TH'!$B116,'TỔNG KLH + TN'!$C:$C,'01. TH'!AC$4)</f>
        <v>0</v>
      </c>
      <c r="AD116" s="1042">
        <f>COUNTIFS('TỔNG KLH + TN'!$B:$B,'01. TH'!$B116,'TỔNG KLH + TN'!$C:$C,'01. TH'!AD$4)</f>
        <v>0</v>
      </c>
      <c r="AE116" s="1045">
        <f t="shared" si="22"/>
        <v>0</v>
      </c>
      <c r="AF116" s="1045"/>
      <c r="AG116" s="1033" t="str">
        <f t="shared" si="23"/>
        <v>ok</v>
      </c>
      <c r="AH116" s="1046"/>
    </row>
    <row r="117" ht="18.75" hidden="1" customHeight="1" outlineLevel="1" spans="1:34">
      <c r="A117" s="1039"/>
      <c r="B117" s="1040" t="s">
        <v>195</v>
      </c>
      <c r="C117" s="1041" t="s">
        <v>196</v>
      </c>
      <c r="D117" s="1041" t="str">
        <f>IFERROR(VLOOKUP(B117,'Danh mục'!$G:$U,15,0),"")</f>
        <v>4750 x 2440 x 3000</v>
      </c>
      <c r="E117" s="1041" t="s">
        <v>42</v>
      </c>
      <c r="F117" s="1042">
        <f>COUNTIFS('TỔNG KLH + TN'!$B:$B,'01. TH'!$B117,'TỔNG KLH + TN'!$C:$C,'01. TH'!F$4)</f>
        <v>0</v>
      </c>
      <c r="G117" s="1042">
        <f>COUNTIFS('TỔNG KLH + TN'!$B:$B,'01. TH'!$B117,'TỔNG KLH + TN'!$C:$C,'01. TH'!G$4)</f>
        <v>1</v>
      </c>
      <c r="H117" s="1042">
        <f>COUNTIFS('TỔNG KLH + TN'!$B:$B,'01. TH'!$B117,'TỔNG KLH + TN'!$C:$C,'01. TH'!H$4)</f>
        <v>0</v>
      </c>
      <c r="I117" s="1042">
        <f>COUNTIFS('TỔNG KLH + TN'!$B:$B,'01. TH'!$B117,'TỔNG KLH + TN'!$C:$C,'01. TH'!I$4)</f>
        <v>0</v>
      </c>
      <c r="J117" s="1042">
        <f>COUNTIFS('TỔNG KLH + TN'!$B:$B,'01. TH'!$B117,'TỔNG KLH + TN'!$C:$C,'01. TH'!J$4)</f>
        <v>0</v>
      </c>
      <c r="K117" s="1042">
        <f>COUNTIFS('TỔNG KLH + TN'!$B:$B,'01. TH'!$B117,'TỔNG KLH + TN'!$C:$C,'01. TH'!K$4)</f>
        <v>0</v>
      </c>
      <c r="L117" s="1042">
        <f>COUNTIFS('TỔNG KLH + TN'!$B:$B,'01. TH'!$B117,'TỔNG KLH + TN'!$C:$C,'01. TH'!L$4)</f>
        <v>0</v>
      </c>
      <c r="M117" s="1042">
        <f>COUNTIFS('TỔNG KLH + TN'!$B:$B,'01. TH'!$B117,'TỔNG KLH + TN'!$C:$C,'01. TH'!M$4)</f>
        <v>0</v>
      </c>
      <c r="N117" s="1042">
        <f>COUNTIFS('TỔNG KLH + TN'!$B:$B,'01. TH'!$B117,'TỔNG KLH + TN'!$C:$C,'01. TH'!N$4)</f>
        <v>0</v>
      </c>
      <c r="O117" s="1042">
        <f>COUNTIFS('TỔNG KLH + TN'!$B:$B,'01. TH'!$B117,'TỔNG KLH + TN'!$C:$C,'01. TH'!O$4)</f>
        <v>0</v>
      </c>
      <c r="P117" s="1042">
        <f>COUNTIFS('TỔNG KLH + TN'!$B:$B,'01. TH'!$B117,'TỔNG KLH + TN'!$C:$C,'01. TH'!P$4)</f>
        <v>0</v>
      </c>
      <c r="Q117" s="1042">
        <f>COUNTIFS('TỔNG KLH + TN'!$B:$B,'01. TH'!$B117,'TỔNG KLH + TN'!$C:$C,'01. TH'!Q$4)</f>
        <v>0</v>
      </c>
      <c r="R117" s="1042">
        <f>COUNTIFS('TỔNG KLH + TN'!$B:$B,'01. TH'!$B117,'TỔNG KLH + TN'!$C:$C,'01. TH'!R$4)</f>
        <v>0</v>
      </c>
      <c r="S117" s="1042">
        <f>COUNTIFS('TỔNG KLH + TN'!$B:$B,'01. TH'!$B117,'TỔNG KLH + TN'!$C:$C,'01. TH'!S$4)</f>
        <v>0</v>
      </c>
      <c r="T117" s="1042">
        <f>COUNTIFS('TỔNG KLH + TN'!$B:$B,'01. TH'!$B117,'TỔNG KLH + TN'!$C:$C,'01. TH'!T$4)</f>
        <v>0</v>
      </c>
      <c r="U117" s="1042">
        <f>COUNTIFS('TỔNG KLH + TN'!$B:$B,'01. TH'!$B117,'TỔNG KLH + TN'!$C:$C,'01. TH'!U$4)</f>
        <v>0</v>
      </c>
      <c r="V117" s="1042">
        <f>COUNTIFS('TỔNG KLH + TN'!$B:$B,'01. TH'!$B117,'TỔNG KLH + TN'!$C:$C,'01. TH'!V$4)</f>
        <v>0</v>
      </c>
      <c r="W117" s="1042">
        <f>COUNTIFS('TỔNG KLH + TN'!$B:$B,'01. TH'!$B117,'TỔNG KLH + TN'!$C:$C,'01. TH'!W$4)</f>
        <v>0</v>
      </c>
      <c r="X117" s="1042">
        <f>COUNTIFS('TỔNG KLH + TN'!$B:$B,'01. TH'!$B117,'TỔNG KLH + TN'!$C:$C,'01. TH'!X$4)</f>
        <v>0</v>
      </c>
      <c r="Y117" s="1042">
        <f>COUNTIFS('TỔNG KLH + TN'!$B:$B,'01. TH'!$B117,'TỔNG KLH + TN'!$C:$C,'01. TH'!Y$4)</f>
        <v>0</v>
      </c>
      <c r="Z117" s="1042">
        <f>COUNTIFS('TỔNG KLH + TN'!$B:$B,'01. TH'!$B117,'TỔNG KLH + TN'!$C:$C,'01. TH'!Z$4)</f>
        <v>0</v>
      </c>
      <c r="AA117" s="1042">
        <f>COUNTIFS('TỔNG KLH + TN'!$B:$B,'01. TH'!$B117,'TỔNG KLH + TN'!$C:$C,'01. TH'!AA$4)</f>
        <v>0</v>
      </c>
      <c r="AB117" s="1042">
        <f>COUNTIFS('TỔNG KLH + TN'!$B:$B,'01. TH'!$B117,'TỔNG KLH + TN'!$C:$C,'01. TH'!AB$4)</f>
        <v>0</v>
      </c>
      <c r="AC117" s="1042">
        <f>COUNTIFS('TỔNG KLH + TN'!$B:$B,'01. TH'!$B117,'TỔNG KLH + TN'!$C:$C,'01. TH'!AC$4)</f>
        <v>0</v>
      </c>
      <c r="AD117" s="1042">
        <f>COUNTIFS('TỔNG KLH + TN'!$B:$B,'01. TH'!$B117,'TỔNG KLH + TN'!$C:$C,'01. TH'!AD$4)</f>
        <v>0</v>
      </c>
      <c r="AE117" s="1043">
        <f t="shared" si="22"/>
        <v>1</v>
      </c>
      <c r="AF117" s="1043"/>
      <c r="AG117" s="1033" t="str">
        <f t="shared" si="23"/>
        <v>ok</v>
      </c>
      <c r="AH117" s="1039"/>
    </row>
    <row r="118" ht="18.75" hidden="1" customHeight="1" outlineLevel="1" spans="1:34">
      <c r="A118" s="1044"/>
      <c r="B118" s="1040" t="s">
        <v>197</v>
      </c>
      <c r="C118" s="1041" t="s">
        <v>128</v>
      </c>
      <c r="D118" s="1041" t="str">
        <f>IFERROR(VLOOKUP(B118,'Danh mục'!$G:$U,15,0),"")</f>
        <v>3226 x 1570 x 1545</v>
      </c>
      <c r="E118" s="1041" t="s">
        <v>42</v>
      </c>
      <c r="F118" s="1042">
        <f>COUNTIFS('TỔNG KLH + TN'!$B:$B,'01. TH'!$B118,'TỔNG KLH + TN'!$C:$C,'01. TH'!F$4)</f>
        <v>0</v>
      </c>
      <c r="G118" s="1042">
        <f>COUNTIFS('TỔNG KLH + TN'!$B:$B,'01. TH'!$B118,'TỔNG KLH + TN'!$C:$C,'01. TH'!G$4)</f>
        <v>0</v>
      </c>
      <c r="H118" s="1042">
        <f>COUNTIFS('TỔNG KLH + TN'!$B:$B,'01. TH'!$B118,'TỔNG KLH + TN'!$C:$C,'01. TH'!H$4)</f>
        <v>0</v>
      </c>
      <c r="I118" s="1042">
        <f>COUNTIFS('TỔNG KLH + TN'!$B:$B,'01. TH'!$B118,'TỔNG KLH + TN'!$C:$C,'01. TH'!I$4)</f>
        <v>0</v>
      </c>
      <c r="J118" s="1042">
        <f>COUNTIFS('TỔNG KLH + TN'!$B:$B,'01. TH'!$B118,'TỔNG KLH + TN'!$C:$C,'01. TH'!J$4)</f>
        <v>0</v>
      </c>
      <c r="K118" s="1042">
        <f>COUNTIFS('TỔNG KLH + TN'!$B:$B,'01. TH'!$B118,'TỔNG KLH + TN'!$C:$C,'01. TH'!K$4)</f>
        <v>0</v>
      </c>
      <c r="L118" s="1042">
        <f>COUNTIFS('TỔNG KLH + TN'!$B:$B,'01. TH'!$B118,'TỔNG KLH + TN'!$C:$C,'01. TH'!L$4)</f>
        <v>3</v>
      </c>
      <c r="M118" s="1042">
        <f>COUNTIFS('TỔNG KLH + TN'!$B:$B,'01. TH'!$B118,'TỔNG KLH + TN'!$C:$C,'01. TH'!M$4)</f>
        <v>0</v>
      </c>
      <c r="N118" s="1042">
        <f>COUNTIFS('TỔNG KLH + TN'!$B:$B,'01. TH'!$B118,'TỔNG KLH + TN'!$C:$C,'01. TH'!N$4)</f>
        <v>0</v>
      </c>
      <c r="O118" s="1042">
        <f>COUNTIFS('TỔNG KLH + TN'!$B:$B,'01. TH'!$B118,'TỔNG KLH + TN'!$C:$C,'01. TH'!O$4)</f>
        <v>0</v>
      </c>
      <c r="P118" s="1042">
        <f>COUNTIFS('TỔNG KLH + TN'!$B:$B,'01. TH'!$B118,'TỔNG KLH + TN'!$C:$C,'01. TH'!P$4)</f>
        <v>0</v>
      </c>
      <c r="Q118" s="1042">
        <f>COUNTIFS('TỔNG KLH + TN'!$B:$B,'01. TH'!$B118,'TỔNG KLH + TN'!$C:$C,'01. TH'!Q$4)</f>
        <v>0</v>
      </c>
      <c r="R118" s="1042">
        <f>COUNTIFS('TỔNG KLH + TN'!$B:$B,'01. TH'!$B118,'TỔNG KLH + TN'!$C:$C,'01. TH'!R$4)</f>
        <v>0</v>
      </c>
      <c r="S118" s="1042">
        <f>COUNTIFS('TỔNG KLH + TN'!$B:$B,'01. TH'!$B118,'TỔNG KLH + TN'!$C:$C,'01. TH'!S$4)</f>
        <v>0</v>
      </c>
      <c r="T118" s="1042">
        <f>COUNTIFS('TỔNG KLH + TN'!$B:$B,'01. TH'!$B118,'TỔNG KLH + TN'!$C:$C,'01. TH'!T$4)</f>
        <v>0</v>
      </c>
      <c r="U118" s="1042">
        <f>COUNTIFS('TỔNG KLH + TN'!$B:$B,'01. TH'!$B118,'TỔNG KLH + TN'!$C:$C,'01. TH'!U$4)</f>
        <v>0</v>
      </c>
      <c r="V118" s="1042">
        <f>COUNTIFS('TỔNG KLH + TN'!$B:$B,'01. TH'!$B118,'TỔNG KLH + TN'!$C:$C,'01. TH'!V$4)</f>
        <v>0</v>
      </c>
      <c r="W118" s="1042">
        <f>COUNTIFS('TỔNG KLH + TN'!$B:$B,'01. TH'!$B118,'TỔNG KLH + TN'!$C:$C,'01. TH'!W$4)</f>
        <v>0</v>
      </c>
      <c r="X118" s="1042">
        <f>COUNTIFS('TỔNG KLH + TN'!$B:$B,'01. TH'!$B118,'TỔNG KLH + TN'!$C:$C,'01. TH'!X$4)</f>
        <v>0</v>
      </c>
      <c r="Y118" s="1042">
        <f>COUNTIFS('TỔNG KLH + TN'!$B:$B,'01. TH'!$B118,'TỔNG KLH + TN'!$C:$C,'01. TH'!Y$4)</f>
        <v>1</v>
      </c>
      <c r="Z118" s="1042">
        <f>COUNTIFS('TỔNG KLH + TN'!$B:$B,'01. TH'!$B118,'TỔNG KLH + TN'!$C:$C,'01. TH'!Z$4)</f>
        <v>0</v>
      </c>
      <c r="AA118" s="1042">
        <f>COUNTIFS('TỔNG KLH + TN'!$B:$B,'01. TH'!$B118,'TỔNG KLH + TN'!$C:$C,'01. TH'!AA$4)</f>
        <v>0</v>
      </c>
      <c r="AB118" s="1042">
        <f>COUNTIFS('TỔNG KLH + TN'!$B:$B,'01. TH'!$B118,'TỔNG KLH + TN'!$C:$C,'01. TH'!AB$4)</f>
        <v>1</v>
      </c>
      <c r="AC118" s="1042">
        <f>COUNTIFS('TỔNG KLH + TN'!$B:$B,'01. TH'!$B118,'TỔNG KLH + TN'!$C:$C,'01. TH'!AC$4)</f>
        <v>0</v>
      </c>
      <c r="AD118" s="1042">
        <f>COUNTIFS('TỔNG KLH + TN'!$B:$B,'01. TH'!$B118,'TỔNG KLH + TN'!$C:$C,'01. TH'!AD$4)</f>
        <v>0</v>
      </c>
      <c r="AE118" s="1045">
        <f t="shared" si="22"/>
        <v>5</v>
      </c>
      <c r="AF118" s="1045"/>
      <c r="AG118" s="1033" t="str">
        <f t="shared" si="23"/>
        <v>ok</v>
      </c>
      <c r="AH118" s="1046"/>
    </row>
    <row r="119" ht="18.75" hidden="1" customHeight="1" outlineLevel="1" spans="1:34">
      <c r="A119" s="1044"/>
      <c r="B119" s="1040" t="s">
        <v>198</v>
      </c>
      <c r="C119" s="1041" t="s">
        <v>199</v>
      </c>
      <c r="D119" s="1041" t="str">
        <f>IFERROR(VLOOKUP(B119,'Danh mục'!$G:$U,15,0),"")</f>
        <v>2570 x 1200 x 1950</v>
      </c>
      <c r="E119" s="1041" t="s">
        <v>42</v>
      </c>
      <c r="F119" s="1042">
        <f>COUNTIFS('TỔNG KLH + TN'!$B:$B,'01. TH'!$B119,'TỔNG KLH + TN'!$C:$C,'01. TH'!F$4)</f>
        <v>0</v>
      </c>
      <c r="G119" s="1042">
        <f>COUNTIFS('TỔNG KLH + TN'!$B:$B,'01. TH'!$B119,'TỔNG KLH + TN'!$C:$C,'01. TH'!G$4)</f>
        <v>0</v>
      </c>
      <c r="H119" s="1042">
        <f>COUNTIFS('TỔNG KLH + TN'!$B:$B,'01. TH'!$B119,'TỔNG KLH + TN'!$C:$C,'01. TH'!H$4)</f>
        <v>0</v>
      </c>
      <c r="I119" s="1042">
        <f>COUNTIFS('TỔNG KLH + TN'!$B:$B,'01. TH'!$B119,'TỔNG KLH + TN'!$C:$C,'01. TH'!I$4)</f>
        <v>0</v>
      </c>
      <c r="J119" s="1042">
        <f>COUNTIFS('TỔNG KLH + TN'!$B:$B,'01. TH'!$B119,'TỔNG KLH + TN'!$C:$C,'01. TH'!J$4)</f>
        <v>0</v>
      </c>
      <c r="K119" s="1042">
        <f>COUNTIFS('TỔNG KLH + TN'!$B:$B,'01. TH'!$B119,'TỔNG KLH + TN'!$C:$C,'01. TH'!K$4)</f>
        <v>0</v>
      </c>
      <c r="L119" s="1042">
        <f>COUNTIFS('TỔNG KLH + TN'!$B:$B,'01. TH'!$B119,'TỔNG KLH + TN'!$C:$C,'01. TH'!L$4)</f>
        <v>0</v>
      </c>
      <c r="M119" s="1042">
        <f>COUNTIFS('TỔNG KLH + TN'!$B:$B,'01. TH'!$B119,'TỔNG KLH + TN'!$C:$C,'01. TH'!M$4)</f>
        <v>0</v>
      </c>
      <c r="N119" s="1042">
        <f>COUNTIFS('TỔNG KLH + TN'!$B:$B,'01. TH'!$B119,'TỔNG KLH + TN'!$C:$C,'01. TH'!N$4)</f>
        <v>0</v>
      </c>
      <c r="O119" s="1042">
        <f>COUNTIFS('TỔNG KLH + TN'!$B:$B,'01. TH'!$B119,'TỔNG KLH + TN'!$C:$C,'01. TH'!O$4)</f>
        <v>0</v>
      </c>
      <c r="P119" s="1042">
        <f>COUNTIFS('TỔNG KLH + TN'!$B:$B,'01. TH'!$B119,'TỔNG KLH + TN'!$C:$C,'01. TH'!P$4)</f>
        <v>0</v>
      </c>
      <c r="Q119" s="1042">
        <f>COUNTIFS('TỔNG KLH + TN'!$B:$B,'01. TH'!$B119,'TỔNG KLH + TN'!$C:$C,'01. TH'!Q$4)</f>
        <v>0</v>
      </c>
      <c r="R119" s="1042">
        <f>COUNTIFS('TỔNG KLH + TN'!$B:$B,'01. TH'!$B119,'TỔNG KLH + TN'!$C:$C,'01. TH'!R$4)</f>
        <v>0</v>
      </c>
      <c r="S119" s="1042">
        <f>COUNTIFS('TỔNG KLH + TN'!$B:$B,'01. TH'!$B119,'TỔNG KLH + TN'!$C:$C,'01. TH'!S$4)</f>
        <v>0</v>
      </c>
      <c r="T119" s="1042">
        <f>COUNTIFS('TỔNG KLH + TN'!$B:$B,'01. TH'!$B119,'TỔNG KLH + TN'!$C:$C,'01. TH'!T$4)</f>
        <v>0</v>
      </c>
      <c r="U119" s="1042">
        <f>COUNTIFS('TỔNG KLH + TN'!$B:$B,'01. TH'!$B119,'TỔNG KLH + TN'!$C:$C,'01. TH'!U$4)</f>
        <v>0</v>
      </c>
      <c r="V119" s="1042">
        <f>COUNTIFS('TỔNG KLH + TN'!$B:$B,'01. TH'!$B119,'TỔNG KLH + TN'!$C:$C,'01. TH'!V$4)</f>
        <v>0</v>
      </c>
      <c r="W119" s="1042">
        <f>COUNTIFS('TỔNG KLH + TN'!$B:$B,'01. TH'!$B119,'TỔNG KLH + TN'!$C:$C,'01. TH'!W$4)</f>
        <v>0</v>
      </c>
      <c r="X119" s="1042">
        <f>COUNTIFS('TỔNG KLH + TN'!$B:$B,'01. TH'!$B119,'TỔNG KLH + TN'!$C:$C,'01. TH'!X$4)</f>
        <v>0</v>
      </c>
      <c r="Y119" s="1042">
        <f>COUNTIFS('TỔNG KLH + TN'!$B:$B,'01. TH'!$B119,'TỔNG KLH + TN'!$C:$C,'01. TH'!Y$4)</f>
        <v>0</v>
      </c>
      <c r="Z119" s="1042">
        <f>COUNTIFS('TỔNG KLH + TN'!$B:$B,'01. TH'!$B119,'TỔNG KLH + TN'!$C:$C,'01. TH'!Z$4)</f>
        <v>0</v>
      </c>
      <c r="AA119" s="1042">
        <f>COUNTIFS('TỔNG KLH + TN'!$B:$B,'01. TH'!$B119,'TỔNG KLH + TN'!$C:$C,'01. TH'!AA$4)</f>
        <v>0</v>
      </c>
      <c r="AB119" s="1042">
        <f>COUNTIFS('TỔNG KLH + TN'!$B:$B,'01. TH'!$B119,'TỔNG KLH + TN'!$C:$C,'01. TH'!AB$4)</f>
        <v>0</v>
      </c>
      <c r="AC119" s="1042">
        <f>COUNTIFS('TỔNG KLH + TN'!$B:$B,'01. TH'!$B119,'TỔNG KLH + TN'!$C:$C,'01. TH'!AC$4)</f>
        <v>0</v>
      </c>
      <c r="AD119" s="1042">
        <f>COUNTIFS('TỔNG KLH + TN'!$B:$B,'01. TH'!$B119,'TỔNG KLH + TN'!$C:$C,'01. TH'!AD$4)</f>
        <v>0</v>
      </c>
      <c r="AE119" s="1045">
        <f t="shared" si="22"/>
        <v>0</v>
      </c>
      <c r="AF119" s="1045"/>
      <c r="AG119" s="1033" t="str">
        <f t="shared" si="23"/>
        <v>ok</v>
      </c>
      <c r="AH119" s="1046"/>
    </row>
    <row r="120" ht="18.75" hidden="1" customHeight="1" outlineLevel="1" spans="1:34">
      <c r="A120" s="1039"/>
      <c r="B120" s="1040" t="s">
        <v>200</v>
      </c>
      <c r="C120" s="1041" t="s">
        <v>41</v>
      </c>
      <c r="D120" s="1041" t="str">
        <f>IFERROR(VLOOKUP(B120,'Danh mục'!$G:$U,15,0),"")</f>
        <v>3120 x 1495 x 1510</v>
      </c>
      <c r="E120" s="1041" t="s">
        <v>42</v>
      </c>
      <c r="F120" s="1042">
        <f>COUNTIFS('TỔNG KLH + TN'!$B:$B,'01. TH'!$B120,'TỔNG KLH + TN'!$C:$C,'01. TH'!F$4)</f>
        <v>0</v>
      </c>
      <c r="G120" s="1042">
        <f>COUNTIFS('TỔNG KLH + TN'!$B:$B,'01. TH'!$B120,'TỔNG KLH + TN'!$C:$C,'01. TH'!G$4)</f>
        <v>0</v>
      </c>
      <c r="H120" s="1042">
        <f>COUNTIFS('TỔNG KLH + TN'!$B:$B,'01. TH'!$B120,'TỔNG KLH + TN'!$C:$C,'01. TH'!H$4)</f>
        <v>0</v>
      </c>
      <c r="I120" s="1042">
        <f>COUNTIFS('TỔNG KLH + TN'!$B:$B,'01. TH'!$B120,'TỔNG KLH + TN'!$C:$C,'01. TH'!I$4)</f>
        <v>0</v>
      </c>
      <c r="J120" s="1042">
        <f>COUNTIFS('TỔNG KLH + TN'!$B:$B,'01. TH'!$B120,'TỔNG KLH + TN'!$C:$C,'01. TH'!J$4)</f>
        <v>0</v>
      </c>
      <c r="K120" s="1042">
        <f>COUNTIFS('TỔNG KLH + TN'!$B:$B,'01. TH'!$B120,'TỔNG KLH + TN'!$C:$C,'01. TH'!K$4)</f>
        <v>0</v>
      </c>
      <c r="L120" s="1042">
        <f>COUNTIFS('TỔNG KLH + TN'!$B:$B,'01. TH'!$B120,'TỔNG KLH + TN'!$C:$C,'01. TH'!L$4)</f>
        <v>0</v>
      </c>
      <c r="M120" s="1042">
        <f>COUNTIFS('TỔNG KLH + TN'!$B:$B,'01. TH'!$B120,'TỔNG KLH + TN'!$C:$C,'01. TH'!M$4)</f>
        <v>0</v>
      </c>
      <c r="N120" s="1042">
        <f>COUNTIFS('TỔNG KLH + TN'!$B:$B,'01. TH'!$B120,'TỔNG KLH + TN'!$C:$C,'01. TH'!N$4)</f>
        <v>0</v>
      </c>
      <c r="O120" s="1042">
        <f>COUNTIFS('TỔNG KLH + TN'!$B:$B,'01. TH'!$B120,'TỔNG KLH + TN'!$C:$C,'01. TH'!O$4)</f>
        <v>0</v>
      </c>
      <c r="P120" s="1042">
        <f>COUNTIFS('TỔNG KLH + TN'!$B:$B,'01. TH'!$B120,'TỔNG KLH + TN'!$C:$C,'01. TH'!P$4)</f>
        <v>0</v>
      </c>
      <c r="Q120" s="1042">
        <f>COUNTIFS('TỔNG KLH + TN'!$B:$B,'01. TH'!$B120,'TỔNG KLH + TN'!$C:$C,'01. TH'!Q$4)</f>
        <v>0</v>
      </c>
      <c r="R120" s="1042">
        <f>COUNTIFS('TỔNG KLH + TN'!$B:$B,'01. TH'!$B120,'TỔNG KLH + TN'!$C:$C,'01. TH'!R$4)</f>
        <v>0</v>
      </c>
      <c r="S120" s="1042">
        <f>COUNTIFS('TỔNG KLH + TN'!$B:$B,'01. TH'!$B120,'TỔNG KLH + TN'!$C:$C,'01. TH'!S$4)</f>
        <v>0</v>
      </c>
      <c r="T120" s="1042">
        <f>COUNTIFS('TỔNG KLH + TN'!$B:$B,'01. TH'!$B120,'TỔNG KLH + TN'!$C:$C,'01. TH'!T$4)</f>
        <v>0</v>
      </c>
      <c r="U120" s="1042">
        <f>COUNTIFS('TỔNG KLH + TN'!$B:$B,'01. TH'!$B120,'TỔNG KLH + TN'!$C:$C,'01. TH'!U$4)</f>
        <v>0</v>
      </c>
      <c r="V120" s="1042">
        <f>COUNTIFS('TỔNG KLH + TN'!$B:$B,'01. TH'!$B120,'TỔNG KLH + TN'!$C:$C,'01. TH'!V$4)</f>
        <v>0</v>
      </c>
      <c r="W120" s="1042">
        <f>COUNTIFS('TỔNG KLH + TN'!$B:$B,'01. TH'!$B120,'TỔNG KLH + TN'!$C:$C,'01. TH'!W$4)</f>
        <v>0</v>
      </c>
      <c r="X120" s="1042">
        <f>COUNTIFS('TỔNG KLH + TN'!$B:$B,'01. TH'!$B120,'TỔNG KLH + TN'!$C:$C,'01. TH'!X$4)</f>
        <v>0</v>
      </c>
      <c r="Y120" s="1042">
        <f>COUNTIFS('TỔNG KLH + TN'!$B:$B,'01. TH'!$B120,'TỔNG KLH + TN'!$C:$C,'01. TH'!Y$4)</f>
        <v>1</v>
      </c>
      <c r="Z120" s="1042">
        <f>COUNTIFS('TỔNG KLH + TN'!$B:$B,'01. TH'!$B120,'TỔNG KLH + TN'!$C:$C,'01. TH'!Z$4)</f>
        <v>0</v>
      </c>
      <c r="AA120" s="1042">
        <f>COUNTIFS('TỔNG KLH + TN'!$B:$B,'01. TH'!$B120,'TỔNG KLH + TN'!$C:$C,'01. TH'!AA$4)</f>
        <v>2</v>
      </c>
      <c r="AB120" s="1042">
        <f>COUNTIFS('TỔNG KLH + TN'!$B:$B,'01. TH'!$B120,'TỔNG KLH + TN'!$C:$C,'01. TH'!AB$4)</f>
        <v>0</v>
      </c>
      <c r="AC120" s="1042">
        <f>COUNTIFS('TỔNG KLH + TN'!$B:$B,'01. TH'!$B120,'TỔNG KLH + TN'!$C:$C,'01. TH'!AC$4)</f>
        <v>0</v>
      </c>
      <c r="AD120" s="1042">
        <f>COUNTIFS('TỔNG KLH + TN'!$B:$B,'01. TH'!$B120,'TỔNG KLH + TN'!$C:$C,'01. TH'!AD$4)</f>
        <v>0</v>
      </c>
      <c r="AE120" s="1043">
        <f t="shared" si="22"/>
        <v>3</v>
      </c>
      <c r="AF120" s="1043"/>
      <c r="AG120" s="1033" t="str">
        <f t="shared" si="23"/>
        <v>ok</v>
      </c>
      <c r="AH120" s="1039"/>
    </row>
    <row r="121" ht="18.75" hidden="1" customHeight="1" outlineLevel="1" spans="1:34">
      <c r="A121" s="1044"/>
      <c r="B121" s="1040" t="s">
        <v>201</v>
      </c>
      <c r="C121" s="1041" t="s">
        <v>48</v>
      </c>
      <c r="D121" s="1041" t="str">
        <f>IFERROR(VLOOKUP(B121,'Danh mục'!$G:$U,15,0),"")</f>
        <v>5300 x 2620 x 3010</v>
      </c>
      <c r="E121" s="1041" t="s">
        <v>42</v>
      </c>
      <c r="F121" s="1042">
        <f>COUNTIFS('TỔNG KLH + TN'!$B:$B,'01. TH'!$B121,'TỔNG KLH + TN'!$C:$C,'01. TH'!F$4)</f>
        <v>0</v>
      </c>
      <c r="G121" s="1042">
        <f>COUNTIFS('TỔNG KLH + TN'!$B:$B,'01. TH'!$B121,'TỔNG KLH + TN'!$C:$C,'01. TH'!G$4)</f>
        <v>1</v>
      </c>
      <c r="H121" s="1042">
        <f>COUNTIFS('TỔNG KLH + TN'!$B:$B,'01. TH'!$B121,'TỔNG KLH + TN'!$C:$C,'01. TH'!H$4)</f>
        <v>0</v>
      </c>
      <c r="I121" s="1042">
        <f>COUNTIFS('TỔNG KLH + TN'!$B:$B,'01. TH'!$B121,'TỔNG KLH + TN'!$C:$C,'01. TH'!I$4)</f>
        <v>0</v>
      </c>
      <c r="J121" s="1042">
        <f>COUNTIFS('TỔNG KLH + TN'!$B:$B,'01. TH'!$B121,'TỔNG KLH + TN'!$C:$C,'01. TH'!J$4)</f>
        <v>0</v>
      </c>
      <c r="K121" s="1042">
        <f>COUNTIFS('TỔNG KLH + TN'!$B:$B,'01. TH'!$B121,'TỔNG KLH + TN'!$C:$C,'01. TH'!K$4)</f>
        <v>0</v>
      </c>
      <c r="L121" s="1042">
        <f>COUNTIFS('TỔNG KLH + TN'!$B:$B,'01. TH'!$B121,'TỔNG KLH + TN'!$C:$C,'01. TH'!L$4)</f>
        <v>0</v>
      </c>
      <c r="M121" s="1042">
        <f>COUNTIFS('TỔNG KLH + TN'!$B:$B,'01. TH'!$B121,'TỔNG KLH + TN'!$C:$C,'01. TH'!M$4)</f>
        <v>0</v>
      </c>
      <c r="N121" s="1042">
        <f>COUNTIFS('TỔNG KLH + TN'!$B:$B,'01. TH'!$B121,'TỔNG KLH + TN'!$C:$C,'01. TH'!N$4)</f>
        <v>0</v>
      </c>
      <c r="O121" s="1042">
        <f>COUNTIFS('TỔNG KLH + TN'!$B:$B,'01. TH'!$B121,'TỔNG KLH + TN'!$C:$C,'01. TH'!O$4)</f>
        <v>0</v>
      </c>
      <c r="P121" s="1042">
        <f>COUNTIFS('TỔNG KLH + TN'!$B:$B,'01. TH'!$B121,'TỔNG KLH + TN'!$C:$C,'01. TH'!P$4)</f>
        <v>2</v>
      </c>
      <c r="Q121" s="1042">
        <f>COUNTIFS('TỔNG KLH + TN'!$B:$B,'01. TH'!$B121,'TỔNG KLH + TN'!$C:$C,'01. TH'!Q$4)</f>
        <v>0</v>
      </c>
      <c r="R121" s="1042">
        <f>COUNTIFS('TỔNG KLH + TN'!$B:$B,'01. TH'!$B121,'TỔNG KLH + TN'!$C:$C,'01. TH'!R$4)</f>
        <v>0</v>
      </c>
      <c r="S121" s="1042">
        <f>COUNTIFS('TỔNG KLH + TN'!$B:$B,'01. TH'!$B121,'TỔNG KLH + TN'!$C:$C,'01. TH'!S$4)</f>
        <v>0</v>
      </c>
      <c r="T121" s="1042">
        <f>COUNTIFS('TỔNG KLH + TN'!$B:$B,'01. TH'!$B121,'TỔNG KLH + TN'!$C:$C,'01. TH'!T$4)</f>
        <v>0</v>
      </c>
      <c r="U121" s="1042">
        <f>COUNTIFS('TỔNG KLH + TN'!$B:$B,'01. TH'!$B121,'TỔNG KLH + TN'!$C:$C,'01. TH'!U$4)</f>
        <v>0</v>
      </c>
      <c r="V121" s="1042">
        <f>COUNTIFS('TỔNG KLH + TN'!$B:$B,'01. TH'!$B121,'TỔNG KLH + TN'!$C:$C,'01. TH'!V$4)</f>
        <v>0</v>
      </c>
      <c r="W121" s="1042">
        <f>COUNTIFS('TỔNG KLH + TN'!$B:$B,'01. TH'!$B121,'TỔNG KLH + TN'!$C:$C,'01. TH'!W$4)</f>
        <v>0</v>
      </c>
      <c r="X121" s="1042">
        <f>COUNTIFS('TỔNG KLH + TN'!$B:$B,'01. TH'!$B121,'TỔNG KLH + TN'!$C:$C,'01. TH'!X$4)</f>
        <v>0</v>
      </c>
      <c r="Y121" s="1042">
        <f>COUNTIFS('TỔNG KLH + TN'!$B:$B,'01. TH'!$B121,'TỔNG KLH + TN'!$C:$C,'01. TH'!Y$4)</f>
        <v>0</v>
      </c>
      <c r="Z121" s="1042">
        <f>COUNTIFS('TỔNG KLH + TN'!$B:$B,'01. TH'!$B121,'TỔNG KLH + TN'!$C:$C,'01. TH'!Z$4)</f>
        <v>0</v>
      </c>
      <c r="AA121" s="1042">
        <f>COUNTIFS('TỔNG KLH + TN'!$B:$B,'01. TH'!$B121,'TỔNG KLH + TN'!$C:$C,'01. TH'!AA$4)</f>
        <v>0</v>
      </c>
      <c r="AB121" s="1042">
        <f>COUNTIFS('TỔNG KLH + TN'!$B:$B,'01. TH'!$B121,'TỔNG KLH + TN'!$C:$C,'01. TH'!AB$4)</f>
        <v>0</v>
      </c>
      <c r="AC121" s="1042">
        <f>COUNTIFS('TỔNG KLH + TN'!$B:$B,'01. TH'!$B121,'TỔNG KLH + TN'!$C:$C,'01. TH'!AC$4)</f>
        <v>0</v>
      </c>
      <c r="AD121" s="1042">
        <f>COUNTIFS('TỔNG KLH + TN'!$B:$B,'01. TH'!$B121,'TỔNG KLH + TN'!$C:$C,'01. TH'!AD$4)</f>
        <v>0</v>
      </c>
      <c r="AE121" s="1045">
        <f t="shared" si="22"/>
        <v>3</v>
      </c>
      <c r="AF121" s="1045"/>
      <c r="AG121" s="1033" t="str">
        <f t="shared" si="23"/>
        <v>ok</v>
      </c>
      <c r="AH121" s="1046"/>
    </row>
    <row r="122" ht="18.75" hidden="1" customHeight="1" outlineLevel="1" spans="1:34">
      <c r="A122" s="1039"/>
      <c r="B122" s="1040" t="s">
        <v>202</v>
      </c>
      <c r="C122" s="1041" t="s">
        <v>203</v>
      </c>
      <c r="D122" s="1041" t="str">
        <f>IFERROR(VLOOKUP(B122,'Danh mục'!$G:$U,15,0),"")</f>
        <v>5300 x 2600 x 3150</v>
      </c>
      <c r="E122" s="1041" t="s">
        <v>42</v>
      </c>
      <c r="F122" s="1042">
        <f>COUNTIFS('TỔNG KLH + TN'!$B:$B,'01. TH'!$B122,'TỔNG KLH + TN'!$C:$C,'01. TH'!F$4)</f>
        <v>0</v>
      </c>
      <c r="G122" s="1042">
        <f>COUNTIFS('TỔNG KLH + TN'!$B:$B,'01. TH'!$B122,'TỔNG KLH + TN'!$C:$C,'01. TH'!G$4)</f>
        <v>0</v>
      </c>
      <c r="H122" s="1042">
        <f>COUNTIFS('TỔNG KLH + TN'!$B:$B,'01. TH'!$B122,'TỔNG KLH + TN'!$C:$C,'01. TH'!H$4)</f>
        <v>0</v>
      </c>
      <c r="I122" s="1042">
        <f>COUNTIFS('TỔNG KLH + TN'!$B:$B,'01. TH'!$B122,'TỔNG KLH + TN'!$C:$C,'01. TH'!I$4)</f>
        <v>0</v>
      </c>
      <c r="J122" s="1042">
        <f>COUNTIFS('TỔNG KLH + TN'!$B:$B,'01. TH'!$B122,'TỔNG KLH + TN'!$C:$C,'01. TH'!J$4)</f>
        <v>0</v>
      </c>
      <c r="K122" s="1042">
        <f>COUNTIFS('TỔNG KLH + TN'!$B:$B,'01. TH'!$B122,'TỔNG KLH + TN'!$C:$C,'01. TH'!K$4)</f>
        <v>0</v>
      </c>
      <c r="L122" s="1042">
        <f>COUNTIFS('TỔNG KLH + TN'!$B:$B,'01. TH'!$B122,'TỔNG KLH + TN'!$C:$C,'01. TH'!L$4)</f>
        <v>0</v>
      </c>
      <c r="M122" s="1042">
        <f>COUNTIFS('TỔNG KLH + TN'!$B:$B,'01. TH'!$B122,'TỔNG KLH + TN'!$C:$C,'01. TH'!M$4)</f>
        <v>0</v>
      </c>
      <c r="N122" s="1042">
        <f>COUNTIFS('TỔNG KLH + TN'!$B:$B,'01. TH'!$B122,'TỔNG KLH + TN'!$C:$C,'01. TH'!N$4)</f>
        <v>0</v>
      </c>
      <c r="O122" s="1042">
        <f>COUNTIFS('TỔNG KLH + TN'!$B:$B,'01. TH'!$B122,'TỔNG KLH + TN'!$C:$C,'01. TH'!O$4)</f>
        <v>0</v>
      </c>
      <c r="P122" s="1042">
        <f>COUNTIFS('TỔNG KLH + TN'!$B:$B,'01. TH'!$B122,'TỔNG KLH + TN'!$C:$C,'01. TH'!P$4)</f>
        <v>0</v>
      </c>
      <c r="Q122" s="1042">
        <f>COUNTIFS('TỔNG KLH + TN'!$B:$B,'01. TH'!$B122,'TỔNG KLH + TN'!$C:$C,'01. TH'!Q$4)</f>
        <v>0</v>
      </c>
      <c r="R122" s="1042">
        <f>COUNTIFS('TỔNG KLH + TN'!$B:$B,'01. TH'!$B122,'TỔNG KLH + TN'!$C:$C,'01. TH'!R$4)</f>
        <v>0</v>
      </c>
      <c r="S122" s="1042">
        <f>COUNTIFS('TỔNG KLH + TN'!$B:$B,'01. TH'!$B122,'TỔNG KLH + TN'!$C:$C,'01. TH'!S$4)</f>
        <v>0</v>
      </c>
      <c r="T122" s="1042">
        <f>COUNTIFS('TỔNG KLH + TN'!$B:$B,'01. TH'!$B122,'TỔNG KLH + TN'!$C:$C,'01. TH'!T$4)</f>
        <v>0</v>
      </c>
      <c r="U122" s="1042">
        <f>COUNTIFS('TỔNG KLH + TN'!$B:$B,'01. TH'!$B122,'TỔNG KLH + TN'!$C:$C,'01. TH'!U$4)</f>
        <v>0</v>
      </c>
      <c r="V122" s="1042">
        <f>COUNTIFS('TỔNG KLH + TN'!$B:$B,'01. TH'!$B122,'TỔNG KLH + TN'!$C:$C,'01. TH'!V$4)</f>
        <v>0</v>
      </c>
      <c r="W122" s="1042">
        <f>COUNTIFS('TỔNG KLH + TN'!$B:$B,'01. TH'!$B122,'TỔNG KLH + TN'!$C:$C,'01. TH'!W$4)</f>
        <v>0</v>
      </c>
      <c r="X122" s="1042">
        <f>COUNTIFS('TỔNG KLH + TN'!$B:$B,'01. TH'!$B122,'TỔNG KLH + TN'!$C:$C,'01. TH'!X$4)</f>
        <v>0</v>
      </c>
      <c r="Y122" s="1042">
        <f>COUNTIFS('TỔNG KLH + TN'!$B:$B,'01. TH'!$B122,'TỔNG KLH + TN'!$C:$C,'01. TH'!Y$4)</f>
        <v>0</v>
      </c>
      <c r="Z122" s="1042">
        <f>COUNTIFS('TỔNG KLH + TN'!$B:$B,'01. TH'!$B122,'TỔNG KLH + TN'!$C:$C,'01. TH'!Z$4)</f>
        <v>0</v>
      </c>
      <c r="AA122" s="1042">
        <f>COUNTIFS('TỔNG KLH + TN'!$B:$B,'01. TH'!$B122,'TỔNG KLH + TN'!$C:$C,'01. TH'!AA$4)</f>
        <v>0</v>
      </c>
      <c r="AB122" s="1042">
        <f>COUNTIFS('TỔNG KLH + TN'!$B:$B,'01. TH'!$B122,'TỔNG KLH + TN'!$C:$C,'01. TH'!AB$4)</f>
        <v>0</v>
      </c>
      <c r="AC122" s="1042">
        <f>COUNTIFS('TỔNG KLH + TN'!$B:$B,'01. TH'!$B122,'TỔNG KLH + TN'!$C:$C,'01. TH'!AC$4)</f>
        <v>0</v>
      </c>
      <c r="AD122" s="1042">
        <f>COUNTIFS('TỔNG KLH + TN'!$B:$B,'01. TH'!$B122,'TỔNG KLH + TN'!$C:$C,'01. TH'!AD$4)</f>
        <v>0</v>
      </c>
      <c r="AE122" s="1043">
        <f t="shared" si="22"/>
        <v>0</v>
      </c>
      <c r="AF122" s="1043"/>
      <c r="AG122" s="1033" t="str">
        <f t="shared" si="23"/>
        <v>ok</v>
      </c>
      <c r="AH122" s="1041"/>
    </row>
    <row r="123" ht="18.75" hidden="1" customHeight="1" outlineLevel="1" spans="1:34">
      <c r="A123" s="1044"/>
      <c r="B123" s="1040" t="s">
        <v>204</v>
      </c>
      <c r="C123" s="1041" t="s">
        <v>205</v>
      </c>
      <c r="D123" s="1041" t="str">
        <f>IFERROR(VLOOKUP(B123,'Danh mục'!$G:$U,15,0),"")</f>
        <v>3400 x 1570 x 2260</v>
      </c>
      <c r="E123" s="1041" t="s">
        <v>42</v>
      </c>
      <c r="F123" s="1042">
        <f>COUNTIFS('TỔNG KLH + TN'!$B:$B,'01. TH'!$B123,'TỔNG KLH + TN'!$C:$C,'01. TH'!F$4)</f>
        <v>0</v>
      </c>
      <c r="G123" s="1042">
        <f>COUNTIFS('TỔNG KLH + TN'!$B:$B,'01. TH'!$B123,'TỔNG KLH + TN'!$C:$C,'01. TH'!G$4)</f>
        <v>0</v>
      </c>
      <c r="H123" s="1042">
        <f>COUNTIFS('TỔNG KLH + TN'!$B:$B,'01. TH'!$B123,'TỔNG KLH + TN'!$C:$C,'01. TH'!H$4)</f>
        <v>0</v>
      </c>
      <c r="I123" s="1042">
        <f>COUNTIFS('TỔNG KLH + TN'!$B:$B,'01. TH'!$B123,'TỔNG KLH + TN'!$C:$C,'01. TH'!I$4)</f>
        <v>0</v>
      </c>
      <c r="J123" s="1042">
        <f>COUNTIFS('TỔNG KLH + TN'!$B:$B,'01. TH'!$B123,'TỔNG KLH + TN'!$C:$C,'01. TH'!J$4)</f>
        <v>0</v>
      </c>
      <c r="K123" s="1042">
        <f>COUNTIFS('TỔNG KLH + TN'!$B:$B,'01. TH'!$B123,'TỔNG KLH + TN'!$C:$C,'01. TH'!K$4)</f>
        <v>0</v>
      </c>
      <c r="L123" s="1042">
        <f>COUNTIFS('TỔNG KLH + TN'!$B:$B,'01. TH'!$B123,'TỔNG KLH + TN'!$C:$C,'01. TH'!L$4)</f>
        <v>0</v>
      </c>
      <c r="M123" s="1042">
        <f>COUNTIFS('TỔNG KLH + TN'!$B:$B,'01. TH'!$B123,'TỔNG KLH + TN'!$C:$C,'01. TH'!M$4)</f>
        <v>0</v>
      </c>
      <c r="N123" s="1042">
        <f>COUNTIFS('TỔNG KLH + TN'!$B:$B,'01. TH'!$B123,'TỔNG KLH + TN'!$C:$C,'01. TH'!N$4)</f>
        <v>0</v>
      </c>
      <c r="O123" s="1042">
        <f>COUNTIFS('TỔNG KLH + TN'!$B:$B,'01. TH'!$B123,'TỔNG KLH + TN'!$C:$C,'01. TH'!O$4)</f>
        <v>0</v>
      </c>
      <c r="P123" s="1042">
        <f>COUNTIFS('TỔNG KLH + TN'!$B:$B,'01. TH'!$B123,'TỔNG KLH + TN'!$C:$C,'01. TH'!P$4)</f>
        <v>0</v>
      </c>
      <c r="Q123" s="1042">
        <f>COUNTIFS('TỔNG KLH + TN'!$B:$B,'01. TH'!$B123,'TỔNG KLH + TN'!$C:$C,'01. TH'!Q$4)</f>
        <v>0</v>
      </c>
      <c r="R123" s="1042">
        <f>COUNTIFS('TỔNG KLH + TN'!$B:$B,'01. TH'!$B123,'TỔNG KLH + TN'!$C:$C,'01. TH'!R$4)</f>
        <v>0</v>
      </c>
      <c r="S123" s="1042">
        <f>COUNTIFS('TỔNG KLH + TN'!$B:$B,'01. TH'!$B123,'TỔNG KLH + TN'!$C:$C,'01. TH'!S$4)</f>
        <v>0</v>
      </c>
      <c r="T123" s="1042">
        <f>COUNTIFS('TỔNG KLH + TN'!$B:$B,'01. TH'!$B123,'TỔNG KLH + TN'!$C:$C,'01. TH'!T$4)</f>
        <v>0</v>
      </c>
      <c r="U123" s="1042">
        <f>COUNTIFS('TỔNG KLH + TN'!$B:$B,'01. TH'!$B123,'TỔNG KLH + TN'!$C:$C,'01. TH'!U$4)</f>
        <v>0</v>
      </c>
      <c r="V123" s="1042">
        <f>COUNTIFS('TỔNG KLH + TN'!$B:$B,'01. TH'!$B123,'TỔNG KLH + TN'!$C:$C,'01. TH'!V$4)</f>
        <v>0</v>
      </c>
      <c r="W123" s="1042">
        <f>COUNTIFS('TỔNG KLH + TN'!$B:$B,'01. TH'!$B123,'TỔNG KLH + TN'!$C:$C,'01. TH'!W$4)</f>
        <v>0</v>
      </c>
      <c r="X123" s="1042">
        <f>COUNTIFS('TỔNG KLH + TN'!$B:$B,'01. TH'!$B123,'TỔNG KLH + TN'!$C:$C,'01. TH'!X$4)</f>
        <v>0</v>
      </c>
      <c r="Y123" s="1042">
        <f>COUNTIFS('TỔNG KLH + TN'!$B:$B,'01. TH'!$B123,'TỔNG KLH + TN'!$C:$C,'01. TH'!Y$4)</f>
        <v>0</v>
      </c>
      <c r="Z123" s="1042">
        <f>COUNTIFS('TỔNG KLH + TN'!$B:$B,'01. TH'!$B123,'TỔNG KLH + TN'!$C:$C,'01. TH'!Z$4)</f>
        <v>0</v>
      </c>
      <c r="AA123" s="1042">
        <f>COUNTIFS('TỔNG KLH + TN'!$B:$B,'01. TH'!$B123,'TỔNG KLH + TN'!$C:$C,'01. TH'!AA$4)</f>
        <v>0</v>
      </c>
      <c r="AB123" s="1042">
        <f>COUNTIFS('TỔNG KLH + TN'!$B:$B,'01. TH'!$B123,'TỔNG KLH + TN'!$C:$C,'01. TH'!AB$4)</f>
        <v>0</v>
      </c>
      <c r="AC123" s="1042">
        <f>COUNTIFS('TỔNG KLH + TN'!$B:$B,'01. TH'!$B123,'TỔNG KLH + TN'!$C:$C,'01. TH'!AC$4)</f>
        <v>0</v>
      </c>
      <c r="AD123" s="1042">
        <f>COUNTIFS('TỔNG KLH + TN'!$B:$B,'01. TH'!$B123,'TỔNG KLH + TN'!$C:$C,'01. TH'!AD$4)</f>
        <v>0</v>
      </c>
      <c r="AE123" s="1045">
        <f t="shared" si="22"/>
        <v>0</v>
      </c>
      <c r="AF123" s="1045"/>
      <c r="AG123" s="1033" t="str">
        <f t="shared" si="23"/>
        <v>ok</v>
      </c>
      <c r="AH123" s="1046"/>
    </row>
    <row r="124" ht="18.75" hidden="1" customHeight="1" outlineLevel="1" spans="1:34">
      <c r="A124" s="1044"/>
      <c r="B124" s="1040" t="s">
        <v>206</v>
      </c>
      <c r="C124" s="1041" t="s">
        <v>124</v>
      </c>
      <c r="D124" s="1041" t="str">
        <f>IFERROR(VLOOKUP(B124,'Danh mục'!$G:$U,15,0),"")</f>
        <v>4725 x 1910 x 3160</v>
      </c>
      <c r="E124" s="1041" t="s">
        <v>42</v>
      </c>
      <c r="F124" s="1042">
        <f>COUNTIFS('TỔNG KLH + TN'!$B:$B,'01. TH'!$B124,'TỔNG KLH + TN'!$C:$C,'01. TH'!F$4)</f>
        <v>0</v>
      </c>
      <c r="G124" s="1042">
        <f>COUNTIFS('TỔNG KLH + TN'!$B:$B,'01. TH'!$B124,'TỔNG KLH + TN'!$C:$C,'01. TH'!G$4)</f>
        <v>0</v>
      </c>
      <c r="H124" s="1042">
        <f>COUNTIFS('TỔNG KLH + TN'!$B:$B,'01. TH'!$B124,'TỔNG KLH + TN'!$C:$C,'01. TH'!H$4)</f>
        <v>0</v>
      </c>
      <c r="I124" s="1042">
        <f>COUNTIFS('TỔNG KLH + TN'!$B:$B,'01. TH'!$B124,'TỔNG KLH + TN'!$C:$C,'01. TH'!I$4)</f>
        <v>0</v>
      </c>
      <c r="J124" s="1042">
        <f>COUNTIFS('TỔNG KLH + TN'!$B:$B,'01. TH'!$B124,'TỔNG KLH + TN'!$C:$C,'01. TH'!J$4)</f>
        <v>0</v>
      </c>
      <c r="K124" s="1042">
        <f>COUNTIFS('TỔNG KLH + TN'!$B:$B,'01. TH'!$B124,'TỔNG KLH + TN'!$C:$C,'01. TH'!K$4)</f>
        <v>0</v>
      </c>
      <c r="L124" s="1042">
        <f>COUNTIFS('TỔNG KLH + TN'!$B:$B,'01. TH'!$B124,'TỔNG KLH + TN'!$C:$C,'01. TH'!L$4)</f>
        <v>0</v>
      </c>
      <c r="M124" s="1042">
        <f>COUNTIFS('TỔNG KLH + TN'!$B:$B,'01. TH'!$B124,'TỔNG KLH + TN'!$C:$C,'01. TH'!M$4)</f>
        <v>0</v>
      </c>
      <c r="N124" s="1042">
        <f>COUNTIFS('TỔNG KLH + TN'!$B:$B,'01. TH'!$B124,'TỔNG KLH + TN'!$C:$C,'01. TH'!N$4)</f>
        <v>0</v>
      </c>
      <c r="O124" s="1042">
        <f>COUNTIFS('TỔNG KLH + TN'!$B:$B,'01. TH'!$B124,'TỔNG KLH + TN'!$C:$C,'01. TH'!O$4)</f>
        <v>0</v>
      </c>
      <c r="P124" s="1042">
        <f>COUNTIFS('TỔNG KLH + TN'!$B:$B,'01. TH'!$B124,'TỔNG KLH + TN'!$C:$C,'01. TH'!P$4)</f>
        <v>0</v>
      </c>
      <c r="Q124" s="1042">
        <f>COUNTIFS('TỔNG KLH + TN'!$B:$B,'01. TH'!$B124,'TỔNG KLH + TN'!$C:$C,'01. TH'!Q$4)</f>
        <v>0</v>
      </c>
      <c r="R124" s="1042">
        <f>COUNTIFS('TỔNG KLH + TN'!$B:$B,'01. TH'!$B124,'TỔNG KLH + TN'!$C:$C,'01. TH'!R$4)</f>
        <v>0</v>
      </c>
      <c r="S124" s="1042">
        <f>COUNTIFS('TỔNG KLH + TN'!$B:$B,'01. TH'!$B124,'TỔNG KLH + TN'!$C:$C,'01. TH'!S$4)</f>
        <v>0</v>
      </c>
      <c r="T124" s="1042">
        <f>COUNTIFS('TỔNG KLH + TN'!$B:$B,'01. TH'!$B124,'TỔNG KLH + TN'!$C:$C,'01. TH'!T$4)</f>
        <v>0</v>
      </c>
      <c r="U124" s="1042">
        <f>COUNTIFS('TỔNG KLH + TN'!$B:$B,'01. TH'!$B124,'TỔNG KLH + TN'!$C:$C,'01. TH'!U$4)</f>
        <v>0</v>
      </c>
      <c r="V124" s="1042">
        <f>COUNTIFS('TỔNG KLH + TN'!$B:$B,'01. TH'!$B124,'TỔNG KLH + TN'!$C:$C,'01. TH'!V$4)</f>
        <v>0</v>
      </c>
      <c r="W124" s="1042">
        <f>COUNTIFS('TỔNG KLH + TN'!$B:$B,'01. TH'!$B124,'TỔNG KLH + TN'!$C:$C,'01. TH'!W$4)</f>
        <v>0</v>
      </c>
      <c r="X124" s="1042">
        <f>COUNTIFS('TỔNG KLH + TN'!$B:$B,'01. TH'!$B124,'TỔNG KLH + TN'!$C:$C,'01. TH'!X$4)</f>
        <v>0</v>
      </c>
      <c r="Y124" s="1042">
        <f>COUNTIFS('TỔNG KLH + TN'!$B:$B,'01. TH'!$B124,'TỔNG KLH + TN'!$C:$C,'01. TH'!Y$4)</f>
        <v>0</v>
      </c>
      <c r="Z124" s="1042">
        <f>COUNTIFS('TỔNG KLH + TN'!$B:$B,'01. TH'!$B124,'TỔNG KLH + TN'!$C:$C,'01. TH'!Z$4)</f>
        <v>0</v>
      </c>
      <c r="AA124" s="1042">
        <f>COUNTIFS('TỔNG KLH + TN'!$B:$B,'01. TH'!$B124,'TỔNG KLH + TN'!$C:$C,'01. TH'!AA$4)</f>
        <v>0</v>
      </c>
      <c r="AB124" s="1042">
        <f>COUNTIFS('TỔNG KLH + TN'!$B:$B,'01. TH'!$B124,'TỔNG KLH + TN'!$C:$C,'01. TH'!AB$4)</f>
        <v>0</v>
      </c>
      <c r="AC124" s="1042">
        <f>COUNTIFS('TỔNG KLH + TN'!$B:$B,'01. TH'!$B124,'TỔNG KLH + TN'!$C:$C,'01. TH'!AC$4)</f>
        <v>0</v>
      </c>
      <c r="AD124" s="1042">
        <f>COUNTIFS('TỔNG KLH + TN'!$B:$B,'01. TH'!$B124,'TỔNG KLH + TN'!$C:$C,'01. TH'!AD$4)</f>
        <v>0</v>
      </c>
      <c r="AE124" s="1045">
        <f t="shared" si="22"/>
        <v>0</v>
      </c>
      <c r="AF124" s="1045"/>
      <c r="AG124" s="1033" t="str">
        <f t="shared" si="23"/>
        <v>ok</v>
      </c>
      <c r="AH124" s="1046"/>
    </row>
    <row r="125" ht="18.75" hidden="1" customHeight="1" outlineLevel="1" spans="1:34">
      <c r="A125" s="1044"/>
      <c r="B125" s="1040" t="s">
        <v>207</v>
      </c>
      <c r="C125" s="1041" t="s">
        <v>208</v>
      </c>
      <c r="D125" s="1041" t="str">
        <f>IFERROR(VLOOKUP(B125,'Danh mục'!$G:$U,15,0),"")</f>
        <v>3445 x 1865 x 2535</v>
      </c>
      <c r="E125" s="1041" t="s">
        <v>42</v>
      </c>
      <c r="F125" s="1042">
        <f>COUNTIFS('TỔNG KLH + TN'!$B:$B,'01. TH'!$B125,'TỔNG KLH + TN'!$C:$C,'01. TH'!F$4)</f>
        <v>0</v>
      </c>
      <c r="G125" s="1042">
        <f>COUNTIFS('TỔNG KLH + TN'!$B:$B,'01. TH'!$B125,'TỔNG KLH + TN'!$C:$C,'01. TH'!G$4)</f>
        <v>0</v>
      </c>
      <c r="H125" s="1042">
        <f>COUNTIFS('TỔNG KLH + TN'!$B:$B,'01. TH'!$B125,'TỔNG KLH + TN'!$C:$C,'01. TH'!H$4)</f>
        <v>0</v>
      </c>
      <c r="I125" s="1042">
        <f>COUNTIFS('TỔNG KLH + TN'!$B:$B,'01. TH'!$B125,'TỔNG KLH + TN'!$C:$C,'01. TH'!I$4)</f>
        <v>0</v>
      </c>
      <c r="J125" s="1042">
        <f>COUNTIFS('TỔNG KLH + TN'!$B:$B,'01. TH'!$B125,'TỔNG KLH + TN'!$C:$C,'01. TH'!J$4)</f>
        <v>0</v>
      </c>
      <c r="K125" s="1042">
        <f>COUNTIFS('TỔNG KLH + TN'!$B:$B,'01. TH'!$B125,'TỔNG KLH + TN'!$C:$C,'01. TH'!K$4)</f>
        <v>0</v>
      </c>
      <c r="L125" s="1042">
        <f>COUNTIFS('TỔNG KLH + TN'!$B:$B,'01. TH'!$B125,'TỔNG KLH + TN'!$C:$C,'01. TH'!L$4)</f>
        <v>0</v>
      </c>
      <c r="M125" s="1042">
        <f>COUNTIFS('TỔNG KLH + TN'!$B:$B,'01. TH'!$B125,'TỔNG KLH + TN'!$C:$C,'01. TH'!M$4)</f>
        <v>0</v>
      </c>
      <c r="N125" s="1042">
        <f>COUNTIFS('TỔNG KLH + TN'!$B:$B,'01. TH'!$B125,'TỔNG KLH + TN'!$C:$C,'01. TH'!N$4)</f>
        <v>0</v>
      </c>
      <c r="O125" s="1042">
        <f>COUNTIFS('TỔNG KLH + TN'!$B:$B,'01. TH'!$B125,'TỔNG KLH + TN'!$C:$C,'01. TH'!O$4)</f>
        <v>0</v>
      </c>
      <c r="P125" s="1042">
        <f>COUNTIFS('TỔNG KLH + TN'!$B:$B,'01. TH'!$B125,'TỔNG KLH + TN'!$C:$C,'01. TH'!P$4)</f>
        <v>1</v>
      </c>
      <c r="Q125" s="1042">
        <f>COUNTIFS('TỔNG KLH + TN'!$B:$B,'01. TH'!$B125,'TỔNG KLH + TN'!$C:$C,'01. TH'!Q$4)</f>
        <v>0</v>
      </c>
      <c r="R125" s="1042">
        <f>COUNTIFS('TỔNG KLH + TN'!$B:$B,'01. TH'!$B125,'TỔNG KLH + TN'!$C:$C,'01. TH'!R$4)</f>
        <v>0</v>
      </c>
      <c r="S125" s="1042">
        <f>COUNTIFS('TỔNG KLH + TN'!$B:$B,'01. TH'!$B125,'TỔNG KLH + TN'!$C:$C,'01. TH'!S$4)</f>
        <v>0</v>
      </c>
      <c r="T125" s="1042">
        <f>COUNTIFS('TỔNG KLH + TN'!$B:$B,'01. TH'!$B125,'TỔNG KLH + TN'!$C:$C,'01. TH'!T$4)</f>
        <v>0</v>
      </c>
      <c r="U125" s="1042">
        <f>COUNTIFS('TỔNG KLH + TN'!$B:$B,'01. TH'!$B125,'TỔNG KLH + TN'!$C:$C,'01. TH'!U$4)</f>
        <v>0</v>
      </c>
      <c r="V125" s="1042">
        <f>COUNTIFS('TỔNG KLH + TN'!$B:$B,'01. TH'!$B125,'TỔNG KLH + TN'!$C:$C,'01. TH'!V$4)</f>
        <v>0</v>
      </c>
      <c r="W125" s="1042">
        <f>COUNTIFS('TỔNG KLH + TN'!$B:$B,'01. TH'!$B125,'TỔNG KLH + TN'!$C:$C,'01. TH'!W$4)</f>
        <v>0</v>
      </c>
      <c r="X125" s="1042">
        <f>COUNTIFS('TỔNG KLH + TN'!$B:$B,'01. TH'!$B125,'TỔNG KLH + TN'!$C:$C,'01. TH'!X$4)</f>
        <v>0</v>
      </c>
      <c r="Y125" s="1042">
        <f>COUNTIFS('TỔNG KLH + TN'!$B:$B,'01. TH'!$B125,'TỔNG KLH + TN'!$C:$C,'01. TH'!Y$4)</f>
        <v>0</v>
      </c>
      <c r="Z125" s="1042">
        <f>COUNTIFS('TỔNG KLH + TN'!$B:$B,'01. TH'!$B125,'TỔNG KLH + TN'!$C:$C,'01. TH'!Z$4)</f>
        <v>0</v>
      </c>
      <c r="AA125" s="1042">
        <f>COUNTIFS('TỔNG KLH + TN'!$B:$B,'01. TH'!$B125,'TỔNG KLH + TN'!$C:$C,'01. TH'!AA$4)</f>
        <v>0</v>
      </c>
      <c r="AB125" s="1042">
        <f>COUNTIFS('TỔNG KLH + TN'!$B:$B,'01. TH'!$B125,'TỔNG KLH + TN'!$C:$C,'01. TH'!AB$4)</f>
        <v>1</v>
      </c>
      <c r="AC125" s="1042">
        <f>COUNTIFS('TỔNG KLH + TN'!$B:$B,'01. TH'!$B125,'TỔNG KLH + TN'!$C:$C,'01. TH'!AC$4)</f>
        <v>0</v>
      </c>
      <c r="AD125" s="1042">
        <f>COUNTIFS('TỔNG KLH + TN'!$B:$B,'01. TH'!$B125,'TỔNG KLH + TN'!$C:$C,'01. TH'!AD$4)</f>
        <v>0</v>
      </c>
      <c r="AE125" s="1045">
        <f t="shared" si="22"/>
        <v>2</v>
      </c>
      <c r="AF125" s="1045"/>
      <c r="AG125" s="1033" t="str">
        <f t="shared" si="23"/>
        <v>ok</v>
      </c>
      <c r="AH125" s="1046"/>
    </row>
    <row r="126" ht="18.75" hidden="1" customHeight="1" outlineLevel="1" spans="1:34">
      <c r="A126" s="1039"/>
      <c r="B126" s="1040" t="s">
        <v>209</v>
      </c>
      <c r="C126" s="1041" t="s">
        <v>120</v>
      </c>
      <c r="D126" s="1041" t="str">
        <f>IFERROR(VLOOKUP(B126,'Danh mục'!$G:$U,15,0),"")</f>
        <v>3760 x 1900 x 2570</v>
      </c>
      <c r="E126" s="1041" t="s">
        <v>42</v>
      </c>
      <c r="F126" s="1042">
        <f>COUNTIFS('TỔNG KLH + TN'!$B:$B,'01. TH'!$B126,'TỔNG KLH + TN'!$C:$C,'01. TH'!F$4)</f>
        <v>0</v>
      </c>
      <c r="G126" s="1042">
        <f>COUNTIFS('TỔNG KLH + TN'!$B:$B,'01. TH'!$B126,'TỔNG KLH + TN'!$C:$C,'01. TH'!G$4)</f>
        <v>0</v>
      </c>
      <c r="H126" s="1042">
        <f>COUNTIFS('TỔNG KLH + TN'!$B:$B,'01. TH'!$B126,'TỔNG KLH + TN'!$C:$C,'01. TH'!H$4)</f>
        <v>0</v>
      </c>
      <c r="I126" s="1042">
        <f>COUNTIFS('TỔNG KLH + TN'!$B:$B,'01. TH'!$B126,'TỔNG KLH + TN'!$C:$C,'01. TH'!I$4)</f>
        <v>0</v>
      </c>
      <c r="J126" s="1042">
        <f>COUNTIFS('TỔNG KLH + TN'!$B:$B,'01. TH'!$B126,'TỔNG KLH + TN'!$C:$C,'01. TH'!J$4)</f>
        <v>0</v>
      </c>
      <c r="K126" s="1042">
        <f>COUNTIFS('TỔNG KLH + TN'!$B:$B,'01. TH'!$B126,'TỔNG KLH + TN'!$C:$C,'01. TH'!K$4)</f>
        <v>0</v>
      </c>
      <c r="L126" s="1042">
        <f>COUNTIFS('TỔNG KLH + TN'!$B:$B,'01. TH'!$B126,'TỔNG KLH + TN'!$C:$C,'01. TH'!L$4)</f>
        <v>0</v>
      </c>
      <c r="M126" s="1042">
        <f>COUNTIFS('TỔNG KLH + TN'!$B:$B,'01. TH'!$B126,'TỔNG KLH + TN'!$C:$C,'01. TH'!M$4)</f>
        <v>0</v>
      </c>
      <c r="N126" s="1042">
        <f>COUNTIFS('TỔNG KLH + TN'!$B:$B,'01. TH'!$B126,'TỔNG KLH + TN'!$C:$C,'01. TH'!N$4)</f>
        <v>0</v>
      </c>
      <c r="O126" s="1042">
        <f>COUNTIFS('TỔNG KLH + TN'!$B:$B,'01. TH'!$B126,'TỔNG KLH + TN'!$C:$C,'01. TH'!O$4)</f>
        <v>0</v>
      </c>
      <c r="P126" s="1042">
        <f>COUNTIFS('TỔNG KLH + TN'!$B:$B,'01. TH'!$B126,'TỔNG KLH + TN'!$C:$C,'01. TH'!P$4)</f>
        <v>0</v>
      </c>
      <c r="Q126" s="1042">
        <f>COUNTIFS('TỔNG KLH + TN'!$B:$B,'01. TH'!$B126,'TỔNG KLH + TN'!$C:$C,'01. TH'!Q$4)</f>
        <v>0</v>
      </c>
      <c r="R126" s="1042">
        <f>COUNTIFS('TỔNG KLH + TN'!$B:$B,'01. TH'!$B126,'TỔNG KLH + TN'!$C:$C,'01. TH'!R$4)</f>
        <v>0</v>
      </c>
      <c r="S126" s="1042">
        <f>COUNTIFS('TỔNG KLH + TN'!$B:$B,'01. TH'!$B126,'TỔNG KLH + TN'!$C:$C,'01. TH'!S$4)</f>
        <v>0</v>
      </c>
      <c r="T126" s="1042">
        <f>COUNTIFS('TỔNG KLH + TN'!$B:$B,'01. TH'!$B126,'TỔNG KLH + TN'!$C:$C,'01. TH'!T$4)</f>
        <v>0</v>
      </c>
      <c r="U126" s="1042">
        <f>COUNTIFS('TỔNG KLH + TN'!$B:$B,'01. TH'!$B126,'TỔNG KLH + TN'!$C:$C,'01. TH'!U$4)</f>
        <v>0</v>
      </c>
      <c r="V126" s="1042">
        <f>COUNTIFS('TỔNG KLH + TN'!$B:$B,'01. TH'!$B126,'TỔNG KLH + TN'!$C:$C,'01. TH'!V$4)</f>
        <v>0</v>
      </c>
      <c r="W126" s="1042">
        <f>COUNTIFS('TỔNG KLH + TN'!$B:$B,'01. TH'!$B126,'TỔNG KLH + TN'!$C:$C,'01. TH'!W$4)</f>
        <v>0</v>
      </c>
      <c r="X126" s="1042">
        <f>COUNTIFS('TỔNG KLH + TN'!$B:$B,'01. TH'!$B126,'TỔNG KLH + TN'!$C:$C,'01. TH'!X$4)</f>
        <v>0</v>
      </c>
      <c r="Y126" s="1042">
        <f>COUNTIFS('TỔNG KLH + TN'!$B:$B,'01. TH'!$B126,'TỔNG KLH + TN'!$C:$C,'01. TH'!Y$4)</f>
        <v>0</v>
      </c>
      <c r="Z126" s="1042">
        <f>COUNTIFS('TỔNG KLH + TN'!$B:$B,'01. TH'!$B126,'TỔNG KLH + TN'!$C:$C,'01. TH'!Z$4)</f>
        <v>0</v>
      </c>
      <c r="AA126" s="1042">
        <f>COUNTIFS('TỔNG KLH + TN'!$B:$B,'01. TH'!$B126,'TỔNG KLH + TN'!$C:$C,'01. TH'!AA$4)</f>
        <v>0</v>
      </c>
      <c r="AB126" s="1042">
        <f>COUNTIFS('TỔNG KLH + TN'!$B:$B,'01. TH'!$B126,'TỔNG KLH + TN'!$C:$C,'01. TH'!AB$4)</f>
        <v>0</v>
      </c>
      <c r="AC126" s="1042">
        <f>COUNTIFS('TỔNG KLH + TN'!$B:$B,'01. TH'!$B126,'TỔNG KLH + TN'!$C:$C,'01. TH'!AC$4)</f>
        <v>0</v>
      </c>
      <c r="AD126" s="1042">
        <f>COUNTIFS('TỔNG KLH + TN'!$B:$B,'01. TH'!$B126,'TỔNG KLH + TN'!$C:$C,'01. TH'!AD$4)</f>
        <v>0</v>
      </c>
      <c r="AE126" s="1043">
        <f t="shared" si="22"/>
        <v>0</v>
      </c>
      <c r="AF126" s="1043"/>
      <c r="AG126" s="1033" t="str">
        <f t="shared" si="23"/>
        <v>ok</v>
      </c>
      <c r="AH126" s="1041"/>
    </row>
    <row r="127" ht="18.75" hidden="1" customHeight="1" outlineLevel="1" spans="1:34">
      <c r="A127" s="1039"/>
      <c r="B127" s="1040" t="s">
        <v>210</v>
      </c>
      <c r="C127" s="1041" t="s">
        <v>211</v>
      </c>
      <c r="D127" s="1041" t="str">
        <f>IFERROR(VLOOKUP(B127,'Danh mục'!$G:$U,15,0),"")</f>
        <v/>
      </c>
      <c r="E127" s="1041" t="s">
        <v>42</v>
      </c>
      <c r="F127" s="1042">
        <f>COUNTIFS('TỔNG KLH + TN'!$B:$B,'01. TH'!$B127,'TỔNG KLH + TN'!$C:$C,'01. TH'!F$4)</f>
        <v>0</v>
      </c>
      <c r="G127" s="1042">
        <f>COUNTIFS('TỔNG KLH + TN'!$B:$B,'01. TH'!$B127,'TỔNG KLH + TN'!$C:$C,'01. TH'!G$4)</f>
        <v>0</v>
      </c>
      <c r="H127" s="1042">
        <f>COUNTIFS('TỔNG KLH + TN'!$B:$B,'01. TH'!$B127,'TỔNG KLH + TN'!$C:$C,'01. TH'!H$4)</f>
        <v>0</v>
      </c>
      <c r="I127" s="1042">
        <f>COUNTIFS('TỔNG KLH + TN'!$B:$B,'01. TH'!$B127,'TỔNG KLH + TN'!$C:$C,'01. TH'!I$4)</f>
        <v>0</v>
      </c>
      <c r="J127" s="1042">
        <f>COUNTIFS('TỔNG KLH + TN'!$B:$B,'01. TH'!$B127,'TỔNG KLH + TN'!$C:$C,'01. TH'!J$4)</f>
        <v>0</v>
      </c>
      <c r="K127" s="1042">
        <f>COUNTIFS('TỔNG KLH + TN'!$B:$B,'01. TH'!$B127,'TỔNG KLH + TN'!$C:$C,'01. TH'!K$4)</f>
        <v>0</v>
      </c>
      <c r="L127" s="1042">
        <f>COUNTIFS('TỔNG KLH + TN'!$B:$B,'01. TH'!$B127,'TỔNG KLH + TN'!$C:$C,'01. TH'!L$4)</f>
        <v>0</v>
      </c>
      <c r="M127" s="1042">
        <f>COUNTIFS('TỔNG KLH + TN'!$B:$B,'01. TH'!$B127,'TỔNG KLH + TN'!$C:$C,'01. TH'!M$4)</f>
        <v>0</v>
      </c>
      <c r="N127" s="1042">
        <f>COUNTIFS('TỔNG KLH + TN'!$B:$B,'01. TH'!$B127,'TỔNG KLH + TN'!$C:$C,'01. TH'!N$4)</f>
        <v>0</v>
      </c>
      <c r="O127" s="1042">
        <f>COUNTIFS('TỔNG KLH + TN'!$B:$B,'01. TH'!$B127,'TỔNG KLH + TN'!$C:$C,'01. TH'!O$4)</f>
        <v>0</v>
      </c>
      <c r="P127" s="1042">
        <f>COUNTIFS('TỔNG KLH + TN'!$B:$B,'01. TH'!$B127,'TỔNG KLH + TN'!$C:$C,'01. TH'!P$4)</f>
        <v>0</v>
      </c>
      <c r="Q127" s="1042">
        <f>COUNTIFS('TỔNG KLH + TN'!$B:$B,'01. TH'!$B127,'TỔNG KLH + TN'!$C:$C,'01. TH'!Q$4)</f>
        <v>0</v>
      </c>
      <c r="R127" s="1042">
        <f>COUNTIFS('TỔNG KLH + TN'!$B:$B,'01. TH'!$B127,'TỔNG KLH + TN'!$C:$C,'01. TH'!R$4)</f>
        <v>0</v>
      </c>
      <c r="S127" s="1042">
        <f>COUNTIFS('TỔNG KLH + TN'!$B:$B,'01. TH'!$B127,'TỔNG KLH + TN'!$C:$C,'01. TH'!S$4)</f>
        <v>0</v>
      </c>
      <c r="T127" s="1042">
        <f>COUNTIFS('TỔNG KLH + TN'!$B:$B,'01. TH'!$B127,'TỔNG KLH + TN'!$C:$C,'01. TH'!T$4)</f>
        <v>0</v>
      </c>
      <c r="U127" s="1042">
        <f>COUNTIFS('TỔNG KLH + TN'!$B:$B,'01. TH'!$B127,'TỔNG KLH + TN'!$C:$C,'01. TH'!U$4)</f>
        <v>0</v>
      </c>
      <c r="V127" s="1042">
        <f>COUNTIFS('TỔNG KLH + TN'!$B:$B,'01. TH'!$B127,'TỔNG KLH + TN'!$C:$C,'01. TH'!V$4)</f>
        <v>0</v>
      </c>
      <c r="W127" s="1042">
        <f>COUNTIFS('TỔNG KLH + TN'!$B:$B,'01. TH'!$B127,'TỔNG KLH + TN'!$C:$C,'01. TH'!W$4)</f>
        <v>0</v>
      </c>
      <c r="X127" s="1042">
        <f>COUNTIFS('TỔNG KLH + TN'!$B:$B,'01. TH'!$B127,'TỔNG KLH + TN'!$C:$C,'01. TH'!X$4)</f>
        <v>0</v>
      </c>
      <c r="Y127" s="1042">
        <f>COUNTIFS('TỔNG KLH + TN'!$B:$B,'01. TH'!$B127,'TỔNG KLH + TN'!$C:$C,'01. TH'!Y$4)</f>
        <v>0</v>
      </c>
      <c r="Z127" s="1042">
        <f>COUNTIFS('TỔNG KLH + TN'!$B:$B,'01. TH'!$B127,'TỔNG KLH + TN'!$C:$C,'01. TH'!Z$4)</f>
        <v>0</v>
      </c>
      <c r="AA127" s="1042">
        <f>COUNTIFS('TỔNG KLH + TN'!$B:$B,'01. TH'!$B127,'TỔNG KLH + TN'!$C:$C,'01. TH'!AA$4)</f>
        <v>0</v>
      </c>
      <c r="AB127" s="1042">
        <f>COUNTIFS('TỔNG KLH + TN'!$B:$B,'01. TH'!$B127,'TỔNG KLH + TN'!$C:$C,'01. TH'!AB$4)</f>
        <v>0</v>
      </c>
      <c r="AC127" s="1042">
        <f>COUNTIFS('TỔNG KLH + TN'!$B:$B,'01. TH'!$B127,'TỔNG KLH + TN'!$C:$C,'01. TH'!AC$4)</f>
        <v>0</v>
      </c>
      <c r="AD127" s="1042">
        <f>COUNTIFS('TỔNG KLH + TN'!$B:$B,'01. TH'!$B127,'TỔNG KLH + TN'!$C:$C,'01. TH'!AD$4)</f>
        <v>0</v>
      </c>
      <c r="AE127" s="1043">
        <f t="shared" si="22"/>
        <v>0</v>
      </c>
      <c r="AF127" s="1043"/>
      <c r="AG127" s="1033" t="str">
        <f t="shared" si="23"/>
        <v>ok</v>
      </c>
      <c r="AH127" s="1041"/>
    </row>
    <row r="128" ht="24" customHeight="1" collapsed="1" spans="1:34">
      <c r="A128" s="1033">
        <v>12</v>
      </c>
      <c r="B128" s="1034" t="s">
        <v>212</v>
      </c>
      <c r="C128" s="1035"/>
      <c r="D128" s="1035" t="str">
        <f>IFERROR(VLOOKUP(B128,'Danh mục'!$G:$U,15,0),"")</f>
        <v/>
      </c>
      <c r="E128" s="1035"/>
      <c r="F128" s="1047">
        <f t="shared" ref="F128:AE128" si="24">SUM(F129:F133)</f>
        <v>0</v>
      </c>
      <c r="G128" s="1047">
        <f t="shared" si="24"/>
        <v>0</v>
      </c>
      <c r="H128" s="1047">
        <f t="shared" si="24"/>
        <v>0</v>
      </c>
      <c r="I128" s="1047">
        <f t="shared" si="24"/>
        <v>0</v>
      </c>
      <c r="J128" s="1047">
        <f t="shared" si="24"/>
        <v>0</v>
      </c>
      <c r="K128" s="1047">
        <f t="shared" si="24"/>
        <v>0</v>
      </c>
      <c r="L128" s="1047">
        <f t="shared" si="24"/>
        <v>0</v>
      </c>
      <c r="M128" s="1047">
        <f t="shared" si="24"/>
        <v>0</v>
      </c>
      <c r="N128" s="1047">
        <f t="shared" si="24"/>
        <v>0</v>
      </c>
      <c r="O128" s="1047">
        <f t="shared" si="24"/>
        <v>0</v>
      </c>
      <c r="P128" s="1047">
        <f t="shared" si="24"/>
        <v>0</v>
      </c>
      <c r="Q128" s="1047">
        <f t="shared" si="24"/>
        <v>0</v>
      </c>
      <c r="R128" s="1047">
        <f t="shared" si="24"/>
        <v>0</v>
      </c>
      <c r="S128" s="1047">
        <f t="shared" si="24"/>
        <v>0</v>
      </c>
      <c r="T128" s="1047">
        <f t="shared" si="24"/>
        <v>0</v>
      </c>
      <c r="U128" s="1047">
        <f t="shared" si="24"/>
        <v>0</v>
      </c>
      <c r="V128" s="1047">
        <f t="shared" si="24"/>
        <v>0</v>
      </c>
      <c r="W128" s="1047">
        <f t="shared" si="24"/>
        <v>0</v>
      </c>
      <c r="X128" s="1047">
        <f t="shared" si="24"/>
        <v>0</v>
      </c>
      <c r="Y128" s="1047">
        <f t="shared" si="24"/>
        <v>0</v>
      </c>
      <c r="Z128" s="1047">
        <f t="shared" si="24"/>
        <v>0</v>
      </c>
      <c r="AA128" s="1047">
        <f t="shared" si="24"/>
        <v>0</v>
      </c>
      <c r="AB128" s="1047">
        <f t="shared" si="24"/>
        <v>1</v>
      </c>
      <c r="AC128" s="1047">
        <f t="shared" si="24"/>
        <v>0</v>
      </c>
      <c r="AD128" s="1047">
        <f t="shared" si="24"/>
        <v>0</v>
      </c>
      <c r="AE128" s="1048">
        <f t="shared" si="24"/>
        <v>1</v>
      </c>
      <c r="AF128" s="1048">
        <v>1</v>
      </c>
      <c r="AG128" s="1033" t="str">
        <f t="shared" si="23"/>
        <v>ok</v>
      </c>
      <c r="AH128" s="1038"/>
    </row>
    <row r="129" ht="18.75" hidden="1" customHeight="1" outlineLevel="1" spans="1:34">
      <c r="A129" s="1039"/>
      <c r="B129" s="1040" t="s">
        <v>213</v>
      </c>
      <c r="C129" s="1041" t="s">
        <v>214</v>
      </c>
      <c r="D129" s="1041" t="str">
        <f>IFERROR(VLOOKUP(B129,'Danh mục'!$G:$U,15,0),"")</f>
        <v/>
      </c>
      <c r="E129" s="1041" t="s">
        <v>42</v>
      </c>
      <c r="F129" s="1042">
        <f>COUNTIFS('TỔNG KLH + TN'!$B:$B,'01. TH'!$B129,'TỔNG KLH + TN'!$C:$C,'01. TH'!F$4)</f>
        <v>0</v>
      </c>
      <c r="G129" s="1042">
        <f>COUNTIFS('TỔNG KLH + TN'!$B:$B,'01. TH'!$B129,'TỔNG KLH + TN'!$C:$C,'01. TH'!G$4)</f>
        <v>0</v>
      </c>
      <c r="H129" s="1042">
        <f>COUNTIFS('TỔNG KLH + TN'!$B:$B,'01. TH'!$B129,'TỔNG KLH + TN'!$C:$C,'01. TH'!H$4)</f>
        <v>0</v>
      </c>
      <c r="I129" s="1042">
        <f>COUNTIFS('TỔNG KLH + TN'!$B:$B,'01. TH'!$B129,'TỔNG KLH + TN'!$C:$C,'01. TH'!I$4)</f>
        <v>0</v>
      </c>
      <c r="J129" s="1042">
        <f>COUNTIFS('TỔNG KLH + TN'!$B:$B,'01. TH'!$B129,'TỔNG KLH + TN'!$C:$C,'01. TH'!J$4)</f>
        <v>0</v>
      </c>
      <c r="K129" s="1042">
        <f>COUNTIFS('TỔNG KLH + TN'!$B:$B,'01. TH'!$B129,'TỔNG KLH + TN'!$C:$C,'01. TH'!K$4)</f>
        <v>0</v>
      </c>
      <c r="L129" s="1042">
        <f>COUNTIFS('TỔNG KLH + TN'!$B:$B,'01. TH'!$B129,'TỔNG KLH + TN'!$C:$C,'01. TH'!L$4)</f>
        <v>0</v>
      </c>
      <c r="M129" s="1042">
        <f>COUNTIFS('TỔNG KLH + TN'!$B:$B,'01. TH'!$B129,'TỔNG KLH + TN'!$C:$C,'01. TH'!M$4)</f>
        <v>0</v>
      </c>
      <c r="N129" s="1042">
        <f>COUNTIFS('TỔNG KLH + TN'!$B:$B,'01. TH'!$B129,'TỔNG KLH + TN'!$C:$C,'01. TH'!N$4)</f>
        <v>0</v>
      </c>
      <c r="O129" s="1042">
        <f>COUNTIFS('TỔNG KLH + TN'!$B:$B,'01. TH'!$B129,'TỔNG KLH + TN'!$C:$C,'01. TH'!O$4)</f>
        <v>0</v>
      </c>
      <c r="P129" s="1042">
        <f>COUNTIFS('TỔNG KLH + TN'!$B:$B,'01. TH'!$B129,'TỔNG KLH + TN'!$C:$C,'01. TH'!P$4)</f>
        <v>0</v>
      </c>
      <c r="Q129" s="1042">
        <f>COUNTIFS('TỔNG KLH + TN'!$B:$B,'01. TH'!$B129,'TỔNG KLH + TN'!$C:$C,'01. TH'!Q$4)</f>
        <v>0</v>
      </c>
      <c r="R129" s="1042">
        <f>COUNTIFS('TỔNG KLH + TN'!$B:$B,'01. TH'!$B129,'TỔNG KLH + TN'!$C:$C,'01. TH'!R$4)</f>
        <v>0</v>
      </c>
      <c r="S129" s="1042">
        <f>COUNTIFS('TỔNG KLH + TN'!$B:$B,'01. TH'!$B129,'TỔNG KLH + TN'!$C:$C,'01. TH'!S$4)</f>
        <v>0</v>
      </c>
      <c r="T129" s="1042">
        <f>COUNTIFS('TỔNG KLH + TN'!$B:$B,'01. TH'!$B129,'TỔNG KLH + TN'!$C:$C,'01. TH'!T$4)</f>
        <v>0</v>
      </c>
      <c r="U129" s="1042">
        <f>COUNTIFS('TỔNG KLH + TN'!$B:$B,'01. TH'!$B129,'TỔNG KLH + TN'!$C:$C,'01. TH'!U$4)</f>
        <v>0</v>
      </c>
      <c r="V129" s="1042">
        <f>COUNTIFS('TỔNG KLH + TN'!$B:$B,'01. TH'!$B129,'TỔNG KLH + TN'!$C:$C,'01. TH'!V$4)</f>
        <v>0</v>
      </c>
      <c r="W129" s="1042">
        <f>COUNTIFS('TỔNG KLH + TN'!$B:$B,'01. TH'!$B129,'TỔNG KLH + TN'!$C:$C,'01. TH'!W$4)</f>
        <v>0</v>
      </c>
      <c r="X129" s="1042">
        <f>COUNTIFS('TỔNG KLH + TN'!$B:$B,'01. TH'!$B129,'TỔNG KLH + TN'!$C:$C,'01. TH'!X$4)</f>
        <v>0</v>
      </c>
      <c r="Y129" s="1042">
        <f>COUNTIFS('TỔNG KLH + TN'!$B:$B,'01. TH'!$B129,'TỔNG KLH + TN'!$C:$C,'01. TH'!Y$4)</f>
        <v>0</v>
      </c>
      <c r="Z129" s="1042">
        <f>COUNTIFS('TỔNG KLH + TN'!$B:$B,'01. TH'!$B129,'TỔNG KLH + TN'!$C:$C,'01. TH'!Z$4)</f>
        <v>0</v>
      </c>
      <c r="AA129" s="1042">
        <f>COUNTIFS('TỔNG KLH + TN'!$B:$B,'01. TH'!$B129,'TỔNG KLH + TN'!$C:$C,'01. TH'!AA$4)</f>
        <v>0</v>
      </c>
      <c r="AB129" s="1042">
        <f>COUNTIFS('TỔNG KLH + TN'!$B:$B,'01. TH'!$B129,'TỔNG KLH + TN'!$C:$C,'01. TH'!AB$4)</f>
        <v>0</v>
      </c>
      <c r="AC129" s="1042">
        <f>COUNTIFS('TỔNG KLH + TN'!$B:$B,'01. TH'!$B129,'TỔNG KLH + TN'!$C:$C,'01. TH'!AC$4)</f>
        <v>0</v>
      </c>
      <c r="AD129" s="1042">
        <f>COUNTIFS('TỔNG KLH + TN'!$B:$B,'01. TH'!$B129,'TỔNG KLH + TN'!$C:$C,'01. TH'!AD$4)</f>
        <v>0</v>
      </c>
      <c r="AE129" s="1043">
        <f t="shared" ref="AE129:AE133" si="25">SUM(F129:AD129)</f>
        <v>0</v>
      </c>
      <c r="AF129" s="1043"/>
      <c r="AG129" s="1033" t="str">
        <f t="shared" si="23"/>
        <v>ok</v>
      </c>
      <c r="AH129" s="1041"/>
    </row>
    <row r="130" ht="18.75" hidden="1" customHeight="1" outlineLevel="1" spans="1:34">
      <c r="A130" s="1039"/>
      <c r="B130" s="1040" t="s">
        <v>215</v>
      </c>
      <c r="C130" s="1041" t="s">
        <v>216</v>
      </c>
      <c r="D130" s="1041" t="str">
        <f>IFERROR(VLOOKUP(B130,'Danh mục'!$G:$U,15,0),"")</f>
        <v>6800 x 3200 x 3400</v>
      </c>
      <c r="E130" s="1041" t="s">
        <v>42</v>
      </c>
      <c r="F130" s="1042">
        <f>COUNTIFS('TỔNG KLH + TN'!$B:$B,'01. TH'!$B130,'TỔNG KLH + TN'!$C:$C,'01. TH'!F$4)</f>
        <v>0</v>
      </c>
      <c r="G130" s="1042">
        <f>COUNTIFS('TỔNG KLH + TN'!$B:$B,'01. TH'!$B130,'TỔNG KLH + TN'!$C:$C,'01. TH'!G$4)</f>
        <v>0</v>
      </c>
      <c r="H130" s="1042">
        <f>COUNTIFS('TỔNG KLH + TN'!$B:$B,'01. TH'!$B130,'TỔNG KLH + TN'!$C:$C,'01. TH'!H$4)</f>
        <v>0</v>
      </c>
      <c r="I130" s="1042">
        <f>COUNTIFS('TỔNG KLH + TN'!$B:$B,'01. TH'!$B130,'TỔNG KLH + TN'!$C:$C,'01. TH'!I$4)</f>
        <v>0</v>
      </c>
      <c r="J130" s="1042">
        <f>COUNTIFS('TỔNG KLH + TN'!$B:$B,'01. TH'!$B130,'TỔNG KLH + TN'!$C:$C,'01. TH'!J$4)</f>
        <v>0</v>
      </c>
      <c r="K130" s="1042">
        <f>COUNTIFS('TỔNG KLH + TN'!$B:$B,'01. TH'!$B130,'TỔNG KLH + TN'!$C:$C,'01. TH'!K$4)</f>
        <v>0</v>
      </c>
      <c r="L130" s="1042">
        <f>COUNTIFS('TỔNG KLH + TN'!$B:$B,'01. TH'!$B130,'TỔNG KLH + TN'!$C:$C,'01. TH'!L$4)</f>
        <v>0</v>
      </c>
      <c r="M130" s="1042">
        <f>COUNTIFS('TỔNG KLH + TN'!$B:$B,'01. TH'!$B130,'TỔNG KLH + TN'!$C:$C,'01. TH'!M$4)</f>
        <v>0</v>
      </c>
      <c r="N130" s="1042">
        <f>COUNTIFS('TỔNG KLH + TN'!$B:$B,'01. TH'!$B130,'TỔNG KLH + TN'!$C:$C,'01. TH'!N$4)</f>
        <v>0</v>
      </c>
      <c r="O130" s="1042">
        <f>COUNTIFS('TỔNG KLH + TN'!$B:$B,'01. TH'!$B130,'TỔNG KLH + TN'!$C:$C,'01. TH'!O$4)</f>
        <v>0</v>
      </c>
      <c r="P130" s="1042">
        <f>COUNTIFS('TỔNG KLH + TN'!$B:$B,'01. TH'!$B130,'TỔNG KLH + TN'!$C:$C,'01. TH'!P$4)</f>
        <v>0</v>
      </c>
      <c r="Q130" s="1042">
        <f>COUNTIFS('TỔNG KLH + TN'!$B:$B,'01. TH'!$B130,'TỔNG KLH + TN'!$C:$C,'01. TH'!Q$4)</f>
        <v>0</v>
      </c>
      <c r="R130" s="1042">
        <f>COUNTIFS('TỔNG KLH + TN'!$B:$B,'01. TH'!$B130,'TỔNG KLH + TN'!$C:$C,'01. TH'!R$4)</f>
        <v>0</v>
      </c>
      <c r="S130" s="1042">
        <f>COUNTIFS('TỔNG KLH + TN'!$B:$B,'01. TH'!$B130,'TỔNG KLH + TN'!$C:$C,'01. TH'!S$4)</f>
        <v>0</v>
      </c>
      <c r="T130" s="1042">
        <f>COUNTIFS('TỔNG KLH + TN'!$B:$B,'01. TH'!$B130,'TỔNG KLH + TN'!$C:$C,'01. TH'!T$4)</f>
        <v>0</v>
      </c>
      <c r="U130" s="1042">
        <f>COUNTIFS('TỔNG KLH + TN'!$B:$B,'01. TH'!$B130,'TỔNG KLH + TN'!$C:$C,'01. TH'!U$4)</f>
        <v>0</v>
      </c>
      <c r="V130" s="1042">
        <f>COUNTIFS('TỔNG KLH + TN'!$B:$B,'01. TH'!$B130,'TỔNG KLH + TN'!$C:$C,'01. TH'!V$4)</f>
        <v>0</v>
      </c>
      <c r="W130" s="1042">
        <f>COUNTIFS('TỔNG KLH + TN'!$B:$B,'01. TH'!$B130,'TỔNG KLH + TN'!$C:$C,'01. TH'!W$4)</f>
        <v>0</v>
      </c>
      <c r="X130" s="1042">
        <f>COUNTIFS('TỔNG KLH + TN'!$B:$B,'01. TH'!$B130,'TỔNG KLH + TN'!$C:$C,'01. TH'!X$4)</f>
        <v>0</v>
      </c>
      <c r="Y130" s="1042">
        <f>COUNTIFS('TỔNG KLH + TN'!$B:$B,'01. TH'!$B130,'TỔNG KLH + TN'!$C:$C,'01. TH'!Y$4)</f>
        <v>0</v>
      </c>
      <c r="Z130" s="1042">
        <f>COUNTIFS('TỔNG KLH + TN'!$B:$B,'01. TH'!$B130,'TỔNG KLH + TN'!$C:$C,'01. TH'!Z$4)</f>
        <v>0</v>
      </c>
      <c r="AA130" s="1042">
        <f>COUNTIFS('TỔNG KLH + TN'!$B:$B,'01. TH'!$B130,'TỔNG KLH + TN'!$C:$C,'01. TH'!AA$4)</f>
        <v>0</v>
      </c>
      <c r="AB130" s="1042">
        <f>COUNTIFS('TỔNG KLH + TN'!$B:$B,'01. TH'!$B130,'TỔNG KLH + TN'!$C:$C,'01. TH'!AB$4)</f>
        <v>0</v>
      </c>
      <c r="AC130" s="1042">
        <f>COUNTIFS('TỔNG KLH + TN'!$B:$B,'01. TH'!$B130,'TỔNG KLH + TN'!$C:$C,'01. TH'!AC$4)</f>
        <v>0</v>
      </c>
      <c r="AD130" s="1042">
        <f>COUNTIFS('TỔNG KLH + TN'!$B:$B,'01. TH'!$B130,'TỔNG KLH + TN'!$C:$C,'01. TH'!AD$4)</f>
        <v>0</v>
      </c>
      <c r="AE130" s="1043">
        <f t="shared" si="25"/>
        <v>0</v>
      </c>
      <c r="AF130" s="1043"/>
      <c r="AG130" s="1033" t="str">
        <f t="shared" si="23"/>
        <v>ok</v>
      </c>
      <c r="AH130" s="1041"/>
    </row>
    <row r="131" ht="18.75" hidden="1" customHeight="1" outlineLevel="1" spans="1:34">
      <c r="A131" s="1039"/>
      <c r="B131" s="1040" t="s">
        <v>217</v>
      </c>
      <c r="C131" s="1041" t="s">
        <v>177</v>
      </c>
      <c r="D131" s="1041" t="str">
        <f>IFERROR(VLOOKUP(B131,'Danh mục'!$G:$U,15,0),"")</f>
        <v/>
      </c>
      <c r="E131" s="1041" t="s">
        <v>42</v>
      </c>
      <c r="F131" s="1042">
        <f>COUNTIFS('TỔNG KLH + TN'!$B:$B,'01. TH'!$B131,'TỔNG KLH + TN'!$C:$C,'01. TH'!F$4)</f>
        <v>0</v>
      </c>
      <c r="G131" s="1042">
        <f>COUNTIFS('TỔNG KLH + TN'!$B:$B,'01. TH'!$B131,'TỔNG KLH + TN'!$C:$C,'01. TH'!G$4)</f>
        <v>0</v>
      </c>
      <c r="H131" s="1042">
        <f>COUNTIFS('TỔNG KLH + TN'!$B:$B,'01. TH'!$B131,'TỔNG KLH + TN'!$C:$C,'01. TH'!H$4)</f>
        <v>0</v>
      </c>
      <c r="I131" s="1042">
        <f>COUNTIFS('TỔNG KLH + TN'!$B:$B,'01. TH'!$B131,'TỔNG KLH + TN'!$C:$C,'01. TH'!I$4)</f>
        <v>0</v>
      </c>
      <c r="J131" s="1042">
        <f>COUNTIFS('TỔNG KLH + TN'!$B:$B,'01. TH'!$B131,'TỔNG KLH + TN'!$C:$C,'01. TH'!J$4)</f>
        <v>0</v>
      </c>
      <c r="K131" s="1042">
        <f>COUNTIFS('TỔNG KLH + TN'!$B:$B,'01. TH'!$B131,'TỔNG KLH + TN'!$C:$C,'01. TH'!K$4)</f>
        <v>0</v>
      </c>
      <c r="L131" s="1042">
        <f>COUNTIFS('TỔNG KLH + TN'!$B:$B,'01. TH'!$B131,'TỔNG KLH + TN'!$C:$C,'01. TH'!L$4)</f>
        <v>0</v>
      </c>
      <c r="M131" s="1042">
        <f>COUNTIFS('TỔNG KLH + TN'!$B:$B,'01. TH'!$B131,'TỔNG KLH + TN'!$C:$C,'01. TH'!M$4)</f>
        <v>0</v>
      </c>
      <c r="N131" s="1042">
        <f>COUNTIFS('TỔNG KLH + TN'!$B:$B,'01. TH'!$B131,'TỔNG KLH + TN'!$C:$C,'01. TH'!N$4)</f>
        <v>0</v>
      </c>
      <c r="O131" s="1042">
        <f>COUNTIFS('TỔNG KLH + TN'!$B:$B,'01. TH'!$B131,'TỔNG KLH + TN'!$C:$C,'01. TH'!O$4)</f>
        <v>0</v>
      </c>
      <c r="P131" s="1042">
        <f>COUNTIFS('TỔNG KLH + TN'!$B:$B,'01. TH'!$B131,'TỔNG KLH + TN'!$C:$C,'01. TH'!P$4)</f>
        <v>0</v>
      </c>
      <c r="Q131" s="1042">
        <f>COUNTIFS('TỔNG KLH + TN'!$B:$B,'01. TH'!$B131,'TỔNG KLH + TN'!$C:$C,'01. TH'!Q$4)</f>
        <v>0</v>
      </c>
      <c r="R131" s="1042">
        <f>COUNTIFS('TỔNG KLH + TN'!$B:$B,'01. TH'!$B131,'TỔNG KLH + TN'!$C:$C,'01. TH'!R$4)</f>
        <v>0</v>
      </c>
      <c r="S131" s="1042">
        <f>COUNTIFS('TỔNG KLH + TN'!$B:$B,'01. TH'!$B131,'TỔNG KLH + TN'!$C:$C,'01. TH'!S$4)</f>
        <v>0</v>
      </c>
      <c r="T131" s="1042">
        <f>COUNTIFS('TỔNG KLH + TN'!$B:$B,'01. TH'!$B131,'TỔNG KLH + TN'!$C:$C,'01. TH'!T$4)</f>
        <v>0</v>
      </c>
      <c r="U131" s="1042">
        <f>COUNTIFS('TỔNG KLH + TN'!$B:$B,'01. TH'!$B131,'TỔNG KLH + TN'!$C:$C,'01. TH'!U$4)</f>
        <v>0</v>
      </c>
      <c r="V131" s="1042">
        <f>COUNTIFS('TỔNG KLH + TN'!$B:$B,'01. TH'!$B131,'TỔNG KLH + TN'!$C:$C,'01. TH'!V$4)</f>
        <v>0</v>
      </c>
      <c r="W131" s="1042">
        <f>COUNTIFS('TỔNG KLH + TN'!$B:$B,'01. TH'!$B131,'TỔNG KLH + TN'!$C:$C,'01. TH'!W$4)</f>
        <v>0</v>
      </c>
      <c r="X131" s="1042">
        <f>COUNTIFS('TỔNG KLH + TN'!$B:$B,'01. TH'!$B131,'TỔNG KLH + TN'!$C:$C,'01. TH'!X$4)</f>
        <v>0</v>
      </c>
      <c r="Y131" s="1042">
        <f>COUNTIFS('TỔNG KLH + TN'!$B:$B,'01. TH'!$B131,'TỔNG KLH + TN'!$C:$C,'01. TH'!Y$4)</f>
        <v>0</v>
      </c>
      <c r="Z131" s="1042">
        <f>COUNTIFS('TỔNG KLH + TN'!$B:$B,'01. TH'!$B131,'TỔNG KLH + TN'!$C:$C,'01. TH'!Z$4)</f>
        <v>0</v>
      </c>
      <c r="AA131" s="1042">
        <f>COUNTIFS('TỔNG KLH + TN'!$B:$B,'01. TH'!$B131,'TỔNG KLH + TN'!$C:$C,'01. TH'!AA$4)</f>
        <v>0</v>
      </c>
      <c r="AB131" s="1042">
        <f>COUNTIFS('TỔNG KLH + TN'!$B:$B,'01. TH'!$B131,'TỔNG KLH + TN'!$C:$C,'01. TH'!AB$4)</f>
        <v>0</v>
      </c>
      <c r="AC131" s="1042">
        <f>COUNTIFS('TỔNG KLH + TN'!$B:$B,'01. TH'!$B131,'TỔNG KLH + TN'!$C:$C,'01. TH'!AC$4)</f>
        <v>0</v>
      </c>
      <c r="AD131" s="1042">
        <f>COUNTIFS('TỔNG KLH + TN'!$B:$B,'01. TH'!$B131,'TỔNG KLH + TN'!$C:$C,'01. TH'!AD$4)</f>
        <v>0</v>
      </c>
      <c r="AE131" s="1043">
        <f t="shared" si="25"/>
        <v>0</v>
      </c>
      <c r="AF131" s="1043"/>
      <c r="AG131" s="1033" t="str">
        <f t="shared" si="23"/>
        <v>ok</v>
      </c>
      <c r="AH131" s="1041"/>
    </row>
    <row r="132" ht="18.75" hidden="1" customHeight="1" outlineLevel="1" spans="1:34">
      <c r="A132" s="1044"/>
      <c r="B132" s="1040" t="s">
        <v>218</v>
      </c>
      <c r="C132" s="1041" t="s">
        <v>219</v>
      </c>
      <c r="D132" s="1041" t="str">
        <f>IFERROR(VLOOKUP(B132,'Danh mục'!$G:$U,15,0),"")</f>
        <v/>
      </c>
      <c r="E132" s="1041" t="s">
        <v>42</v>
      </c>
      <c r="F132" s="1042">
        <f>COUNTIFS('TỔNG KLH + TN'!$B:$B,'01. TH'!$B132,'TỔNG KLH + TN'!$C:$C,'01. TH'!F$4)</f>
        <v>0</v>
      </c>
      <c r="G132" s="1042">
        <f>COUNTIFS('TỔNG KLH + TN'!$B:$B,'01. TH'!$B132,'TỔNG KLH + TN'!$C:$C,'01. TH'!G$4)</f>
        <v>0</v>
      </c>
      <c r="H132" s="1042">
        <f>COUNTIFS('TỔNG KLH + TN'!$B:$B,'01. TH'!$B132,'TỔNG KLH + TN'!$C:$C,'01. TH'!H$4)</f>
        <v>0</v>
      </c>
      <c r="I132" s="1042">
        <f>COUNTIFS('TỔNG KLH + TN'!$B:$B,'01. TH'!$B132,'TỔNG KLH + TN'!$C:$C,'01. TH'!I$4)</f>
        <v>0</v>
      </c>
      <c r="J132" s="1042">
        <f>COUNTIFS('TỔNG KLH + TN'!$B:$B,'01. TH'!$B132,'TỔNG KLH + TN'!$C:$C,'01. TH'!J$4)</f>
        <v>0</v>
      </c>
      <c r="K132" s="1042">
        <f>COUNTIFS('TỔNG KLH + TN'!$B:$B,'01. TH'!$B132,'TỔNG KLH + TN'!$C:$C,'01. TH'!K$4)</f>
        <v>0</v>
      </c>
      <c r="L132" s="1042">
        <f>COUNTIFS('TỔNG KLH + TN'!$B:$B,'01. TH'!$B132,'TỔNG KLH + TN'!$C:$C,'01. TH'!L$4)</f>
        <v>0</v>
      </c>
      <c r="M132" s="1042">
        <f>COUNTIFS('TỔNG KLH + TN'!$B:$B,'01. TH'!$B132,'TỔNG KLH + TN'!$C:$C,'01. TH'!M$4)</f>
        <v>0</v>
      </c>
      <c r="N132" s="1042">
        <f>COUNTIFS('TỔNG KLH + TN'!$B:$B,'01. TH'!$B132,'TỔNG KLH + TN'!$C:$C,'01. TH'!N$4)</f>
        <v>0</v>
      </c>
      <c r="O132" s="1042">
        <f>COUNTIFS('TỔNG KLH + TN'!$B:$B,'01. TH'!$B132,'TỔNG KLH + TN'!$C:$C,'01. TH'!O$4)</f>
        <v>0</v>
      </c>
      <c r="P132" s="1042">
        <f>COUNTIFS('TỔNG KLH + TN'!$B:$B,'01. TH'!$B132,'TỔNG KLH + TN'!$C:$C,'01. TH'!P$4)</f>
        <v>0</v>
      </c>
      <c r="Q132" s="1042">
        <f>COUNTIFS('TỔNG KLH + TN'!$B:$B,'01. TH'!$B132,'TỔNG KLH + TN'!$C:$C,'01. TH'!Q$4)</f>
        <v>0</v>
      </c>
      <c r="R132" s="1042">
        <f>COUNTIFS('TỔNG KLH + TN'!$B:$B,'01. TH'!$B132,'TỔNG KLH + TN'!$C:$C,'01. TH'!R$4)</f>
        <v>0</v>
      </c>
      <c r="S132" s="1042">
        <f>COUNTIFS('TỔNG KLH + TN'!$B:$B,'01. TH'!$B132,'TỔNG KLH + TN'!$C:$C,'01. TH'!S$4)</f>
        <v>0</v>
      </c>
      <c r="T132" s="1042">
        <f>COUNTIFS('TỔNG KLH + TN'!$B:$B,'01. TH'!$B132,'TỔNG KLH + TN'!$C:$C,'01. TH'!T$4)</f>
        <v>0</v>
      </c>
      <c r="U132" s="1042">
        <f>COUNTIFS('TỔNG KLH + TN'!$B:$B,'01. TH'!$B132,'TỔNG KLH + TN'!$C:$C,'01. TH'!U$4)</f>
        <v>0</v>
      </c>
      <c r="V132" s="1042">
        <f>COUNTIFS('TỔNG KLH + TN'!$B:$B,'01. TH'!$B132,'TỔNG KLH + TN'!$C:$C,'01. TH'!V$4)</f>
        <v>0</v>
      </c>
      <c r="W132" s="1042">
        <f>COUNTIFS('TỔNG KLH + TN'!$B:$B,'01. TH'!$B132,'TỔNG KLH + TN'!$C:$C,'01. TH'!W$4)</f>
        <v>0</v>
      </c>
      <c r="X132" s="1042">
        <f>COUNTIFS('TỔNG KLH + TN'!$B:$B,'01. TH'!$B132,'TỔNG KLH + TN'!$C:$C,'01. TH'!X$4)</f>
        <v>0</v>
      </c>
      <c r="Y132" s="1042">
        <f>COUNTIFS('TỔNG KLH + TN'!$B:$B,'01. TH'!$B132,'TỔNG KLH + TN'!$C:$C,'01. TH'!Y$4)</f>
        <v>0</v>
      </c>
      <c r="Z132" s="1042">
        <f>COUNTIFS('TỔNG KLH + TN'!$B:$B,'01. TH'!$B132,'TỔNG KLH + TN'!$C:$C,'01. TH'!Z$4)</f>
        <v>0</v>
      </c>
      <c r="AA132" s="1042">
        <f>COUNTIFS('TỔNG KLH + TN'!$B:$B,'01. TH'!$B132,'TỔNG KLH + TN'!$C:$C,'01. TH'!AA$4)</f>
        <v>0</v>
      </c>
      <c r="AB132" s="1042">
        <f>COUNTIFS('TỔNG KLH + TN'!$B:$B,'01. TH'!$B132,'TỔNG KLH + TN'!$C:$C,'01. TH'!AB$4)</f>
        <v>1</v>
      </c>
      <c r="AC132" s="1042">
        <f>COUNTIFS('TỔNG KLH + TN'!$B:$B,'01. TH'!$B132,'TỔNG KLH + TN'!$C:$C,'01. TH'!AC$4)</f>
        <v>0</v>
      </c>
      <c r="AD132" s="1042">
        <f>COUNTIFS('TỔNG KLH + TN'!$B:$B,'01. TH'!$B132,'TỔNG KLH + TN'!$C:$C,'01. TH'!AD$4)</f>
        <v>0</v>
      </c>
      <c r="AE132" s="1045">
        <f t="shared" si="25"/>
        <v>1</v>
      </c>
      <c r="AF132" s="1045"/>
      <c r="AG132" s="1033" t="str">
        <f t="shared" si="23"/>
        <v>ok</v>
      </c>
      <c r="AH132" s="1046"/>
    </row>
    <row r="133" ht="18.75" hidden="1" customHeight="1" outlineLevel="1" spans="1:34">
      <c r="A133" s="1044"/>
      <c r="B133" s="1040" t="s">
        <v>220</v>
      </c>
      <c r="C133" s="1041" t="s">
        <v>219</v>
      </c>
      <c r="D133" s="1041"/>
      <c r="E133" s="1041" t="s">
        <v>42</v>
      </c>
      <c r="F133" s="1042">
        <f>COUNTIFS('TỔNG KLH + TN'!$B:$B,'01. TH'!$B133,'TỔNG KLH + TN'!$C:$C,'01. TH'!F$4)</f>
        <v>0</v>
      </c>
      <c r="G133" s="1042">
        <f>COUNTIFS('TỔNG KLH + TN'!$B:$B,'01. TH'!$B133,'TỔNG KLH + TN'!$C:$C,'01. TH'!G$4)</f>
        <v>0</v>
      </c>
      <c r="H133" s="1042">
        <f>COUNTIFS('TỔNG KLH + TN'!$B:$B,'01. TH'!$B133,'TỔNG KLH + TN'!$C:$C,'01. TH'!H$4)</f>
        <v>0</v>
      </c>
      <c r="I133" s="1042">
        <f>COUNTIFS('TỔNG KLH + TN'!$B:$B,'01. TH'!$B133,'TỔNG KLH + TN'!$C:$C,'01. TH'!I$4)</f>
        <v>0</v>
      </c>
      <c r="J133" s="1042">
        <f>COUNTIFS('TỔNG KLH + TN'!$B:$B,'01. TH'!$B133,'TỔNG KLH + TN'!$C:$C,'01. TH'!J$4)</f>
        <v>0</v>
      </c>
      <c r="K133" s="1042">
        <f>COUNTIFS('TỔNG KLH + TN'!$B:$B,'01. TH'!$B133,'TỔNG KLH + TN'!$C:$C,'01. TH'!K$4)</f>
        <v>0</v>
      </c>
      <c r="L133" s="1042">
        <f>COUNTIFS('TỔNG KLH + TN'!$B:$B,'01. TH'!$B133,'TỔNG KLH + TN'!$C:$C,'01. TH'!L$4)</f>
        <v>0</v>
      </c>
      <c r="M133" s="1042">
        <f>COUNTIFS('TỔNG KLH + TN'!$B:$B,'01. TH'!$B133,'TỔNG KLH + TN'!$C:$C,'01. TH'!M$4)</f>
        <v>0</v>
      </c>
      <c r="N133" s="1042">
        <f>COUNTIFS('TỔNG KLH + TN'!$B:$B,'01. TH'!$B133,'TỔNG KLH + TN'!$C:$C,'01. TH'!N$4)</f>
        <v>0</v>
      </c>
      <c r="O133" s="1042">
        <f>COUNTIFS('TỔNG KLH + TN'!$B:$B,'01. TH'!$B133,'TỔNG KLH + TN'!$C:$C,'01. TH'!O$4)</f>
        <v>0</v>
      </c>
      <c r="P133" s="1042">
        <f>COUNTIFS('TỔNG KLH + TN'!$B:$B,'01. TH'!$B133,'TỔNG KLH + TN'!$C:$C,'01. TH'!P$4)</f>
        <v>0</v>
      </c>
      <c r="Q133" s="1042">
        <f>COUNTIFS('TỔNG KLH + TN'!$B:$B,'01. TH'!$B133,'TỔNG KLH + TN'!$C:$C,'01. TH'!Q$4)</f>
        <v>0</v>
      </c>
      <c r="R133" s="1042">
        <f>COUNTIFS('TỔNG KLH + TN'!$B:$B,'01. TH'!$B133,'TỔNG KLH + TN'!$C:$C,'01. TH'!R$4)</f>
        <v>0</v>
      </c>
      <c r="S133" s="1042">
        <f>COUNTIFS('TỔNG KLH + TN'!$B:$B,'01. TH'!$B133,'TỔNG KLH + TN'!$C:$C,'01. TH'!S$4)</f>
        <v>0</v>
      </c>
      <c r="T133" s="1042">
        <f>COUNTIFS('TỔNG KLH + TN'!$B:$B,'01. TH'!$B133,'TỔNG KLH + TN'!$C:$C,'01. TH'!T$4)</f>
        <v>0</v>
      </c>
      <c r="U133" s="1042">
        <f>COUNTIFS('TỔNG KLH + TN'!$B:$B,'01. TH'!$B133,'TỔNG KLH + TN'!$C:$C,'01. TH'!U$4)</f>
        <v>0</v>
      </c>
      <c r="V133" s="1042">
        <f>COUNTIFS('TỔNG KLH + TN'!$B:$B,'01. TH'!$B133,'TỔNG KLH + TN'!$C:$C,'01. TH'!V$4)</f>
        <v>0</v>
      </c>
      <c r="W133" s="1042">
        <f>COUNTIFS('TỔNG KLH + TN'!$B:$B,'01. TH'!$B133,'TỔNG KLH + TN'!$C:$C,'01. TH'!W$4)</f>
        <v>0</v>
      </c>
      <c r="X133" s="1042">
        <f>COUNTIFS('TỔNG KLH + TN'!$B:$B,'01. TH'!$B133,'TỔNG KLH + TN'!$C:$C,'01. TH'!X$4)</f>
        <v>0</v>
      </c>
      <c r="Y133" s="1042">
        <f>COUNTIFS('TỔNG KLH + TN'!$B:$B,'01. TH'!$B133,'TỔNG KLH + TN'!$C:$C,'01. TH'!Y$4)</f>
        <v>0</v>
      </c>
      <c r="Z133" s="1042">
        <f>COUNTIFS('TỔNG KLH + TN'!$B:$B,'01. TH'!$B133,'TỔNG KLH + TN'!$C:$C,'01. TH'!Z$4)</f>
        <v>0</v>
      </c>
      <c r="AA133" s="1042">
        <f>COUNTIFS('TỔNG KLH + TN'!$B:$B,'01. TH'!$B133,'TỔNG KLH + TN'!$C:$C,'01. TH'!AA$4)</f>
        <v>0</v>
      </c>
      <c r="AB133" s="1042">
        <f>COUNTIFS('TỔNG KLH + TN'!$B:$B,'01. TH'!$B133,'TỔNG KLH + TN'!$C:$C,'01. TH'!AB$4)</f>
        <v>0</v>
      </c>
      <c r="AC133" s="1042">
        <f>COUNTIFS('TỔNG KLH + TN'!$B:$B,'01. TH'!$B133,'TỔNG KLH + TN'!$C:$C,'01. TH'!AC$4)</f>
        <v>0</v>
      </c>
      <c r="AD133" s="1042">
        <f>COUNTIFS('TỔNG KLH + TN'!$B:$B,'01. TH'!$B133,'TỔNG KLH + TN'!$C:$C,'01. TH'!AD$4)</f>
        <v>0</v>
      </c>
      <c r="AE133" s="1045">
        <f t="shared" si="25"/>
        <v>0</v>
      </c>
      <c r="AF133" s="1045"/>
      <c r="AG133" s="1033" t="str">
        <f t="shared" si="23"/>
        <v>ok</v>
      </c>
      <c r="AH133" s="1046"/>
    </row>
    <row r="134" ht="24" customHeight="1" collapsed="1" spans="1:34">
      <c r="A134" s="1033">
        <v>13</v>
      </c>
      <c r="B134" s="1034" t="s">
        <v>221</v>
      </c>
      <c r="C134" s="1035"/>
      <c r="D134" s="1035" t="str">
        <f>IFERROR(VLOOKUP(B134,'Danh mục'!$G:$U,15,0),"")</f>
        <v/>
      </c>
      <c r="E134" s="1035"/>
      <c r="F134" s="1047">
        <f t="shared" ref="F134:AE134" si="26">SUM(F135:F139)</f>
        <v>0</v>
      </c>
      <c r="G134" s="1047">
        <f t="shared" si="26"/>
        <v>0</v>
      </c>
      <c r="H134" s="1047">
        <f t="shared" si="26"/>
        <v>0</v>
      </c>
      <c r="I134" s="1047">
        <f t="shared" si="26"/>
        <v>0</v>
      </c>
      <c r="J134" s="1047">
        <f t="shared" si="26"/>
        <v>0</v>
      </c>
      <c r="K134" s="1047">
        <f t="shared" si="26"/>
        <v>0</v>
      </c>
      <c r="L134" s="1047">
        <f t="shared" si="26"/>
        <v>0</v>
      </c>
      <c r="M134" s="1047">
        <f t="shared" si="26"/>
        <v>0</v>
      </c>
      <c r="N134" s="1047">
        <f t="shared" si="26"/>
        <v>0</v>
      </c>
      <c r="O134" s="1047">
        <f t="shared" si="26"/>
        <v>0</v>
      </c>
      <c r="P134" s="1047">
        <f t="shared" si="26"/>
        <v>0</v>
      </c>
      <c r="Q134" s="1047">
        <f t="shared" si="26"/>
        <v>0</v>
      </c>
      <c r="R134" s="1047">
        <f t="shared" si="26"/>
        <v>0</v>
      </c>
      <c r="S134" s="1047">
        <f t="shared" si="26"/>
        <v>0</v>
      </c>
      <c r="T134" s="1047">
        <f t="shared" si="26"/>
        <v>0</v>
      </c>
      <c r="U134" s="1047">
        <f t="shared" si="26"/>
        <v>0</v>
      </c>
      <c r="V134" s="1047">
        <f t="shared" si="26"/>
        <v>0</v>
      </c>
      <c r="W134" s="1047">
        <f t="shared" si="26"/>
        <v>0</v>
      </c>
      <c r="X134" s="1047">
        <f t="shared" si="26"/>
        <v>0</v>
      </c>
      <c r="Y134" s="1047">
        <f t="shared" si="26"/>
        <v>0</v>
      </c>
      <c r="Z134" s="1047">
        <f t="shared" si="26"/>
        <v>0</v>
      </c>
      <c r="AA134" s="1047">
        <f t="shared" si="26"/>
        <v>0</v>
      </c>
      <c r="AB134" s="1047">
        <f t="shared" si="26"/>
        <v>0</v>
      </c>
      <c r="AC134" s="1047">
        <f t="shared" si="26"/>
        <v>0</v>
      </c>
      <c r="AD134" s="1047">
        <f t="shared" si="26"/>
        <v>0</v>
      </c>
      <c r="AE134" s="1048">
        <f t="shared" si="26"/>
        <v>0</v>
      </c>
      <c r="AF134" s="1048">
        <v>3</v>
      </c>
      <c r="AG134" s="1033" t="str">
        <f t="shared" si="23"/>
        <v>ok</v>
      </c>
      <c r="AH134" s="1038"/>
    </row>
    <row r="135" ht="18.75" hidden="1" customHeight="1" outlineLevel="1" spans="1:34">
      <c r="A135" s="1039"/>
      <c r="B135" s="1040" t="s">
        <v>222</v>
      </c>
      <c r="C135" s="1041" t="s">
        <v>48</v>
      </c>
      <c r="D135" s="1041" t="str">
        <f>IFERROR(VLOOKUP(B135,'Danh mục'!$G:$U,15,0),"")</f>
        <v/>
      </c>
      <c r="E135" s="1041" t="s">
        <v>42</v>
      </c>
      <c r="F135" s="1042">
        <f>COUNTIFS('TỔNG KLH + TN'!$B:$B,'01. TH'!$B135,'TỔNG KLH + TN'!$C:$C,'01. TH'!F$4)</f>
        <v>0</v>
      </c>
      <c r="G135" s="1042">
        <f>COUNTIFS('TỔNG KLH + TN'!$B:$B,'01. TH'!$B135,'TỔNG KLH + TN'!$C:$C,'01. TH'!G$4)</f>
        <v>0</v>
      </c>
      <c r="H135" s="1042">
        <f>COUNTIFS('TỔNG KLH + TN'!$B:$B,'01. TH'!$B135,'TỔNG KLH + TN'!$C:$C,'01. TH'!H$4)</f>
        <v>0</v>
      </c>
      <c r="I135" s="1042">
        <f>COUNTIFS('TỔNG KLH + TN'!$B:$B,'01. TH'!$B135,'TỔNG KLH + TN'!$C:$C,'01. TH'!I$4)</f>
        <v>0</v>
      </c>
      <c r="J135" s="1042">
        <f>COUNTIFS('TỔNG KLH + TN'!$B:$B,'01. TH'!$B135,'TỔNG KLH + TN'!$C:$C,'01. TH'!J$4)</f>
        <v>0</v>
      </c>
      <c r="K135" s="1042">
        <f>COUNTIFS('TỔNG KLH + TN'!$B:$B,'01. TH'!$B135,'TỔNG KLH + TN'!$C:$C,'01. TH'!K$4)</f>
        <v>0</v>
      </c>
      <c r="L135" s="1042">
        <f>COUNTIFS('TỔNG KLH + TN'!$B:$B,'01. TH'!$B135,'TỔNG KLH + TN'!$C:$C,'01. TH'!L$4)</f>
        <v>0</v>
      </c>
      <c r="M135" s="1042">
        <f>COUNTIFS('TỔNG KLH + TN'!$B:$B,'01. TH'!$B135,'TỔNG KLH + TN'!$C:$C,'01. TH'!M$4)</f>
        <v>0</v>
      </c>
      <c r="N135" s="1042">
        <f>COUNTIFS('TỔNG KLH + TN'!$B:$B,'01. TH'!$B135,'TỔNG KLH + TN'!$C:$C,'01. TH'!N$4)</f>
        <v>0</v>
      </c>
      <c r="O135" s="1042">
        <f>COUNTIFS('TỔNG KLH + TN'!$B:$B,'01. TH'!$B135,'TỔNG KLH + TN'!$C:$C,'01. TH'!O$4)</f>
        <v>0</v>
      </c>
      <c r="P135" s="1042">
        <f>COUNTIFS('TỔNG KLH + TN'!$B:$B,'01. TH'!$B135,'TỔNG KLH + TN'!$C:$C,'01. TH'!P$4)</f>
        <v>0</v>
      </c>
      <c r="Q135" s="1042">
        <f>COUNTIFS('TỔNG KLH + TN'!$B:$B,'01. TH'!$B135,'TỔNG KLH + TN'!$C:$C,'01. TH'!Q$4)</f>
        <v>0</v>
      </c>
      <c r="R135" s="1042">
        <f>COUNTIFS('TỔNG KLH + TN'!$B:$B,'01. TH'!$B135,'TỔNG KLH + TN'!$C:$C,'01. TH'!R$4)</f>
        <v>0</v>
      </c>
      <c r="S135" s="1042">
        <f>COUNTIFS('TỔNG KLH + TN'!$B:$B,'01. TH'!$B135,'TỔNG KLH + TN'!$C:$C,'01. TH'!S$4)</f>
        <v>0</v>
      </c>
      <c r="T135" s="1042">
        <f>COUNTIFS('TỔNG KLH + TN'!$B:$B,'01. TH'!$B135,'TỔNG KLH + TN'!$C:$C,'01. TH'!T$4)</f>
        <v>0</v>
      </c>
      <c r="U135" s="1042">
        <f>COUNTIFS('TỔNG KLH + TN'!$B:$B,'01. TH'!$B135,'TỔNG KLH + TN'!$C:$C,'01. TH'!U$4)</f>
        <v>0</v>
      </c>
      <c r="V135" s="1042">
        <f>COUNTIFS('TỔNG KLH + TN'!$B:$B,'01. TH'!$B135,'TỔNG KLH + TN'!$C:$C,'01. TH'!V$4)</f>
        <v>0</v>
      </c>
      <c r="W135" s="1042">
        <f>COUNTIFS('TỔNG KLH + TN'!$B:$B,'01. TH'!$B135,'TỔNG KLH + TN'!$C:$C,'01. TH'!W$4)</f>
        <v>0</v>
      </c>
      <c r="X135" s="1042">
        <f>COUNTIFS('TỔNG KLH + TN'!$B:$B,'01. TH'!$B135,'TỔNG KLH + TN'!$C:$C,'01. TH'!X$4)</f>
        <v>0</v>
      </c>
      <c r="Y135" s="1042">
        <f>COUNTIFS('TỔNG KLH + TN'!$B:$B,'01. TH'!$B135,'TỔNG KLH + TN'!$C:$C,'01. TH'!Y$4)</f>
        <v>0</v>
      </c>
      <c r="Z135" s="1042">
        <f>COUNTIFS('TỔNG KLH + TN'!$B:$B,'01. TH'!$B135,'TỔNG KLH + TN'!$C:$C,'01. TH'!Z$4)</f>
        <v>0</v>
      </c>
      <c r="AA135" s="1042">
        <f>COUNTIFS('TỔNG KLH + TN'!$B:$B,'01. TH'!$B135,'TỔNG KLH + TN'!$C:$C,'01. TH'!AA$4)</f>
        <v>0</v>
      </c>
      <c r="AB135" s="1042">
        <f>COUNTIFS('TỔNG KLH + TN'!$B:$B,'01. TH'!$B135,'TỔNG KLH + TN'!$C:$C,'01. TH'!AB$4)</f>
        <v>0</v>
      </c>
      <c r="AC135" s="1042">
        <f>COUNTIFS('TỔNG KLH + TN'!$B:$B,'01. TH'!$B135,'TỔNG KLH + TN'!$C:$C,'01. TH'!AC$4)</f>
        <v>0</v>
      </c>
      <c r="AD135" s="1042">
        <f>COUNTIFS('TỔNG KLH + TN'!$B:$B,'01. TH'!$B135,'TỔNG KLH + TN'!$C:$C,'01. TH'!AD$4)</f>
        <v>0</v>
      </c>
      <c r="AE135" s="1043">
        <f t="shared" ref="AE135:AE139" si="27">SUM(F135:AD135)</f>
        <v>0</v>
      </c>
      <c r="AF135" s="1043"/>
      <c r="AG135" s="1033" t="str">
        <f t="shared" si="23"/>
        <v>ok</v>
      </c>
      <c r="AH135" s="1041"/>
    </row>
    <row r="136" ht="18.75" hidden="1" customHeight="1" outlineLevel="1" spans="1:34">
      <c r="A136" s="1044"/>
      <c r="B136" s="1040" t="s">
        <v>223</v>
      </c>
      <c r="C136" s="1041" t="s">
        <v>224</v>
      </c>
      <c r="D136" s="1041" t="str">
        <f>IFERROR(VLOOKUP(B136,'Danh mục'!$G:$U,15,0),"")</f>
        <v/>
      </c>
      <c r="E136" s="1041" t="s">
        <v>42</v>
      </c>
      <c r="F136" s="1042">
        <f>COUNTIFS('TỔNG KLH + TN'!$B:$B,'01. TH'!$B136,'TỔNG KLH + TN'!$C:$C,'01. TH'!F$4)</f>
        <v>0</v>
      </c>
      <c r="G136" s="1042">
        <f>COUNTIFS('TỔNG KLH + TN'!$B:$B,'01. TH'!$B136,'TỔNG KLH + TN'!$C:$C,'01. TH'!G$4)</f>
        <v>0</v>
      </c>
      <c r="H136" s="1042">
        <f>COUNTIFS('TỔNG KLH + TN'!$B:$B,'01. TH'!$B136,'TỔNG KLH + TN'!$C:$C,'01. TH'!H$4)</f>
        <v>0</v>
      </c>
      <c r="I136" s="1042">
        <f>COUNTIFS('TỔNG KLH + TN'!$B:$B,'01. TH'!$B136,'TỔNG KLH + TN'!$C:$C,'01. TH'!I$4)</f>
        <v>0</v>
      </c>
      <c r="J136" s="1042">
        <f>COUNTIFS('TỔNG KLH + TN'!$B:$B,'01. TH'!$B136,'TỔNG KLH + TN'!$C:$C,'01. TH'!J$4)</f>
        <v>0</v>
      </c>
      <c r="K136" s="1042">
        <f>COUNTIFS('TỔNG KLH + TN'!$B:$B,'01. TH'!$B136,'TỔNG KLH + TN'!$C:$C,'01. TH'!K$4)</f>
        <v>0</v>
      </c>
      <c r="L136" s="1042">
        <f>COUNTIFS('TỔNG KLH + TN'!$B:$B,'01. TH'!$B136,'TỔNG KLH + TN'!$C:$C,'01. TH'!L$4)</f>
        <v>0</v>
      </c>
      <c r="M136" s="1042">
        <f>COUNTIFS('TỔNG KLH + TN'!$B:$B,'01. TH'!$B136,'TỔNG KLH + TN'!$C:$C,'01. TH'!M$4)</f>
        <v>0</v>
      </c>
      <c r="N136" s="1042">
        <f>COUNTIFS('TỔNG KLH + TN'!$B:$B,'01. TH'!$B136,'TỔNG KLH + TN'!$C:$C,'01. TH'!N$4)</f>
        <v>0</v>
      </c>
      <c r="O136" s="1042">
        <f>COUNTIFS('TỔNG KLH + TN'!$B:$B,'01. TH'!$B136,'TỔNG KLH + TN'!$C:$C,'01. TH'!O$4)</f>
        <v>0</v>
      </c>
      <c r="P136" s="1042">
        <f>COUNTIFS('TỔNG KLH + TN'!$B:$B,'01. TH'!$B136,'TỔNG KLH + TN'!$C:$C,'01. TH'!P$4)</f>
        <v>0</v>
      </c>
      <c r="Q136" s="1042">
        <f>COUNTIFS('TỔNG KLH + TN'!$B:$B,'01. TH'!$B136,'TỔNG KLH + TN'!$C:$C,'01. TH'!Q$4)</f>
        <v>0</v>
      </c>
      <c r="R136" s="1042">
        <f>COUNTIFS('TỔNG KLH + TN'!$B:$B,'01. TH'!$B136,'TỔNG KLH + TN'!$C:$C,'01. TH'!R$4)</f>
        <v>0</v>
      </c>
      <c r="S136" s="1042">
        <f>COUNTIFS('TỔNG KLH + TN'!$B:$B,'01. TH'!$B136,'TỔNG KLH + TN'!$C:$C,'01. TH'!S$4)</f>
        <v>0</v>
      </c>
      <c r="T136" s="1042">
        <f>COUNTIFS('TỔNG KLH + TN'!$B:$B,'01. TH'!$B136,'TỔNG KLH + TN'!$C:$C,'01. TH'!T$4)</f>
        <v>0</v>
      </c>
      <c r="U136" s="1042">
        <f>COUNTIFS('TỔNG KLH + TN'!$B:$B,'01. TH'!$B136,'TỔNG KLH + TN'!$C:$C,'01. TH'!U$4)</f>
        <v>0</v>
      </c>
      <c r="V136" s="1042">
        <f>COUNTIFS('TỔNG KLH + TN'!$B:$B,'01. TH'!$B136,'TỔNG KLH + TN'!$C:$C,'01. TH'!V$4)</f>
        <v>0</v>
      </c>
      <c r="W136" s="1042">
        <f>COUNTIFS('TỔNG KLH + TN'!$B:$B,'01. TH'!$B136,'TỔNG KLH + TN'!$C:$C,'01. TH'!W$4)</f>
        <v>0</v>
      </c>
      <c r="X136" s="1042">
        <f>COUNTIFS('TỔNG KLH + TN'!$B:$B,'01. TH'!$B136,'TỔNG KLH + TN'!$C:$C,'01. TH'!X$4)</f>
        <v>0</v>
      </c>
      <c r="Y136" s="1042">
        <f>COUNTIFS('TỔNG KLH + TN'!$B:$B,'01. TH'!$B136,'TỔNG KLH + TN'!$C:$C,'01. TH'!Y$4)</f>
        <v>0</v>
      </c>
      <c r="Z136" s="1042">
        <f>COUNTIFS('TỔNG KLH + TN'!$B:$B,'01. TH'!$B136,'TỔNG KLH + TN'!$C:$C,'01. TH'!Z$4)</f>
        <v>0</v>
      </c>
      <c r="AA136" s="1042">
        <f>COUNTIFS('TỔNG KLH + TN'!$B:$B,'01. TH'!$B136,'TỔNG KLH + TN'!$C:$C,'01. TH'!AA$4)</f>
        <v>0</v>
      </c>
      <c r="AB136" s="1042">
        <f>COUNTIFS('TỔNG KLH + TN'!$B:$B,'01. TH'!$B136,'TỔNG KLH + TN'!$C:$C,'01. TH'!AB$4)</f>
        <v>0</v>
      </c>
      <c r="AC136" s="1042">
        <f>COUNTIFS('TỔNG KLH + TN'!$B:$B,'01. TH'!$B136,'TỔNG KLH + TN'!$C:$C,'01. TH'!AC$4)</f>
        <v>0</v>
      </c>
      <c r="AD136" s="1042">
        <f>COUNTIFS('TỔNG KLH + TN'!$B:$B,'01. TH'!$B136,'TỔNG KLH + TN'!$C:$C,'01. TH'!AD$4)</f>
        <v>0</v>
      </c>
      <c r="AE136" s="1045">
        <f t="shared" si="27"/>
        <v>0</v>
      </c>
      <c r="AF136" s="1045"/>
      <c r="AG136" s="1033" t="str">
        <f t="shared" si="23"/>
        <v>ok</v>
      </c>
      <c r="AH136" s="1046"/>
    </row>
    <row r="137" ht="18.75" hidden="1" customHeight="1" outlineLevel="1" spans="1:34">
      <c r="A137" s="1039"/>
      <c r="B137" s="1040" t="s">
        <v>225</v>
      </c>
      <c r="C137" s="1041" t="s">
        <v>124</v>
      </c>
      <c r="D137" s="1041" t="str">
        <f>IFERROR(VLOOKUP(B137,'Danh mục'!$G:$U,15,0),"")</f>
        <v>4890 x 2015 x 2500</v>
      </c>
      <c r="E137" s="1041" t="s">
        <v>42</v>
      </c>
      <c r="F137" s="1042">
        <f>COUNTIFS('TỔNG KLH + TN'!$B:$B,'01. TH'!$B137,'TỔNG KLH + TN'!$C:$C,'01. TH'!F$4)</f>
        <v>0</v>
      </c>
      <c r="G137" s="1042">
        <f>COUNTIFS('TỔNG KLH + TN'!$B:$B,'01. TH'!$B137,'TỔNG KLH + TN'!$C:$C,'01. TH'!G$4)</f>
        <v>0</v>
      </c>
      <c r="H137" s="1042">
        <f>COUNTIFS('TỔNG KLH + TN'!$B:$B,'01. TH'!$B137,'TỔNG KLH + TN'!$C:$C,'01. TH'!H$4)</f>
        <v>0</v>
      </c>
      <c r="I137" s="1042">
        <f>COUNTIFS('TỔNG KLH + TN'!$B:$B,'01. TH'!$B137,'TỔNG KLH + TN'!$C:$C,'01. TH'!I$4)</f>
        <v>0</v>
      </c>
      <c r="J137" s="1042">
        <f>COUNTIFS('TỔNG KLH + TN'!$B:$B,'01. TH'!$B137,'TỔNG KLH + TN'!$C:$C,'01. TH'!J$4)</f>
        <v>0</v>
      </c>
      <c r="K137" s="1042">
        <f>COUNTIFS('TỔNG KLH + TN'!$B:$B,'01. TH'!$B137,'TỔNG KLH + TN'!$C:$C,'01. TH'!K$4)</f>
        <v>0</v>
      </c>
      <c r="L137" s="1042">
        <f>COUNTIFS('TỔNG KLH + TN'!$B:$B,'01. TH'!$B137,'TỔNG KLH + TN'!$C:$C,'01. TH'!L$4)</f>
        <v>0</v>
      </c>
      <c r="M137" s="1042">
        <f>COUNTIFS('TỔNG KLH + TN'!$B:$B,'01. TH'!$B137,'TỔNG KLH + TN'!$C:$C,'01. TH'!M$4)</f>
        <v>0</v>
      </c>
      <c r="N137" s="1042">
        <f>COUNTIFS('TỔNG KLH + TN'!$B:$B,'01. TH'!$B137,'TỔNG KLH + TN'!$C:$C,'01. TH'!N$4)</f>
        <v>0</v>
      </c>
      <c r="O137" s="1042">
        <f>COUNTIFS('TỔNG KLH + TN'!$B:$B,'01. TH'!$B137,'TỔNG KLH + TN'!$C:$C,'01. TH'!O$4)</f>
        <v>0</v>
      </c>
      <c r="P137" s="1042">
        <f>COUNTIFS('TỔNG KLH + TN'!$B:$B,'01. TH'!$B137,'TỔNG KLH + TN'!$C:$C,'01. TH'!P$4)</f>
        <v>0</v>
      </c>
      <c r="Q137" s="1042">
        <f>COUNTIFS('TỔNG KLH + TN'!$B:$B,'01. TH'!$B137,'TỔNG KLH + TN'!$C:$C,'01. TH'!Q$4)</f>
        <v>0</v>
      </c>
      <c r="R137" s="1042">
        <f>COUNTIFS('TỔNG KLH + TN'!$B:$B,'01. TH'!$B137,'TỔNG KLH + TN'!$C:$C,'01. TH'!R$4)</f>
        <v>0</v>
      </c>
      <c r="S137" s="1042">
        <f>COUNTIFS('TỔNG KLH + TN'!$B:$B,'01. TH'!$B137,'TỔNG KLH + TN'!$C:$C,'01. TH'!S$4)</f>
        <v>0</v>
      </c>
      <c r="T137" s="1042">
        <f>COUNTIFS('TỔNG KLH + TN'!$B:$B,'01. TH'!$B137,'TỔNG KLH + TN'!$C:$C,'01. TH'!T$4)</f>
        <v>0</v>
      </c>
      <c r="U137" s="1042">
        <f>COUNTIFS('TỔNG KLH + TN'!$B:$B,'01. TH'!$B137,'TỔNG KLH + TN'!$C:$C,'01. TH'!U$4)</f>
        <v>0</v>
      </c>
      <c r="V137" s="1042">
        <f>COUNTIFS('TỔNG KLH + TN'!$B:$B,'01. TH'!$B137,'TỔNG KLH + TN'!$C:$C,'01. TH'!V$4)</f>
        <v>0</v>
      </c>
      <c r="W137" s="1042">
        <f>COUNTIFS('TỔNG KLH + TN'!$B:$B,'01. TH'!$B137,'TỔNG KLH + TN'!$C:$C,'01. TH'!W$4)</f>
        <v>0</v>
      </c>
      <c r="X137" s="1042">
        <f>COUNTIFS('TỔNG KLH + TN'!$B:$B,'01. TH'!$B137,'TỔNG KLH + TN'!$C:$C,'01. TH'!X$4)</f>
        <v>0</v>
      </c>
      <c r="Y137" s="1042">
        <f>COUNTIFS('TỔNG KLH + TN'!$B:$B,'01. TH'!$B137,'TỔNG KLH + TN'!$C:$C,'01. TH'!Y$4)</f>
        <v>0</v>
      </c>
      <c r="Z137" s="1042">
        <f>COUNTIFS('TỔNG KLH + TN'!$B:$B,'01. TH'!$B137,'TỔNG KLH + TN'!$C:$C,'01. TH'!Z$4)</f>
        <v>0</v>
      </c>
      <c r="AA137" s="1042">
        <f>COUNTIFS('TỔNG KLH + TN'!$B:$B,'01. TH'!$B137,'TỔNG KLH + TN'!$C:$C,'01. TH'!AA$4)</f>
        <v>0</v>
      </c>
      <c r="AB137" s="1042">
        <f>COUNTIFS('TỔNG KLH + TN'!$B:$B,'01. TH'!$B137,'TỔNG KLH + TN'!$C:$C,'01. TH'!AB$4)</f>
        <v>0</v>
      </c>
      <c r="AC137" s="1042">
        <f>COUNTIFS('TỔNG KLH + TN'!$B:$B,'01. TH'!$B137,'TỔNG KLH + TN'!$C:$C,'01. TH'!AC$4)</f>
        <v>0</v>
      </c>
      <c r="AD137" s="1042">
        <f>COUNTIFS('TỔNG KLH + TN'!$B:$B,'01. TH'!$B137,'TỔNG KLH + TN'!$C:$C,'01. TH'!AD$4)</f>
        <v>0</v>
      </c>
      <c r="AE137" s="1043">
        <f t="shared" si="27"/>
        <v>0</v>
      </c>
      <c r="AF137" s="1043"/>
      <c r="AG137" s="1033" t="str">
        <f t="shared" si="23"/>
        <v>ok</v>
      </c>
      <c r="AH137" s="1041"/>
    </row>
    <row r="138" ht="18.75" hidden="1" customHeight="1" outlineLevel="1" spans="1:34">
      <c r="A138" s="1039"/>
      <c r="B138" s="1040" t="s">
        <v>226</v>
      </c>
      <c r="C138" s="1041" t="s">
        <v>124</v>
      </c>
      <c r="D138" s="1041" t="str">
        <f>IFERROR(VLOOKUP(B138,'Danh mục'!$G:$U,15,0),"")</f>
        <v/>
      </c>
      <c r="E138" s="1041" t="s">
        <v>42</v>
      </c>
      <c r="F138" s="1042">
        <f>COUNTIFS('TỔNG KLH + TN'!$B:$B,'01. TH'!$B138,'TỔNG KLH + TN'!$C:$C,'01. TH'!F$4)</f>
        <v>0</v>
      </c>
      <c r="G138" s="1042">
        <f>COUNTIFS('TỔNG KLH + TN'!$B:$B,'01. TH'!$B138,'TỔNG KLH + TN'!$C:$C,'01. TH'!G$4)</f>
        <v>0</v>
      </c>
      <c r="H138" s="1042">
        <f>COUNTIFS('TỔNG KLH + TN'!$B:$B,'01. TH'!$B138,'TỔNG KLH + TN'!$C:$C,'01. TH'!H$4)</f>
        <v>0</v>
      </c>
      <c r="I138" s="1042">
        <f>COUNTIFS('TỔNG KLH + TN'!$B:$B,'01. TH'!$B138,'TỔNG KLH + TN'!$C:$C,'01. TH'!I$4)</f>
        <v>0</v>
      </c>
      <c r="J138" s="1042">
        <f>COUNTIFS('TỔNG KLH + TN'!$B:$B,'01. TH'!$B138,'TỔNG KLH + TN'!$C:$C,'01. TH'!J$4)</f>
        <v>0</v>
      </c>
      <c r="K138" s="1042">
        <f>COUNTIFS('TỔNG KLH + TN'!$B:$B,'01. TH'!$B138,'TỔNG KLH + TN'!$C:$C,'01. TH'!K$4)</f>
        <v>0</v>
      </c>
      <c r="L138" s="1042">
        <f>COUNTIFS('TỔNG KLH + TN'!$B:$B,'01. TH'!$B138,'TỔNG KLH + TN'!$C:$C,'01. TH'!L$4)</f>
        <v>0</v>
      </c>
      <c r="M138" s="1042">
        <f>COUNTIFS('TỔNG KLH + TN'!$B:$B,'01. TH'!$B138,'TỔNG KLH + TN'!$C:$C,'01. TH'!M$4)</f>
        <v>0</v>
      </c>
      <c r="N138" s="1042">
        <f>COUNTIFS('TỔNG KLH + TN'!$B:$B,'01. TH'!$B138,'TỔNG KLH + TN'!$C:$C,'01. TH'!N$4)</f>
        <v>0</v>
      </c>
      <c r="O138" s="1042">
        <f>COUNTIFS('TỔNG KLH + TN'!$B:$B,'01. TH'!$B138,'TỔNG KLH + TN'!$C:$C,'01. TH'!O$4)</f>
        <v>0</v>
      </c>
      <c r="P138" s="1042">
        <f>COUNTIFS('TỔNG KLH + TN'!$B:$B,'01. TH'!$B138,'TỔNG KLH + TN'!$C:$C,'01. TH'!P$4)</f>
        <v>0</v>
      </c>
      <c r="Q138" s="1042">
        <f>COUNTIFS('TỔNG KLH + TN'!$B:$B,'01. TH'!$B138,'TỔNG KLH + TN'!$C:$C,'01. TH'!Q$4)</f>
        <v>0</v>
      </c>
      <c r="R138" s="1042">
        <f>COUNTIFS('TỔNG KLH + TN'!$B:$B,'01. TH'!$B138,'TỔNG KLH + TN'!$C:$C,'01. TH'!R$4)</f>
        <v>0</v>
      </c>
      <c r="S138" s="1042">
        <f>COUNTIFS('TỔNG KLH + TN'!$B:$B,'01. TH'!$B138,'TỔNG KLH + TN'!$C:$C,'01. TH'!S$4)</f>
        <v>0</v>
      </c>
      <c r="T138" s="1042">
        <f>COUNTIFS('TỔNG KLH + TN'!$B:$B,'01. TH'!$B138,'TỔNG KLH + TN'!$C:$C,'01. TH'!T$4)</f>
        <v>0</v>
      </c>
      <c r="U138" s="1042">
        <f>COUNTIFS('TỔNG KLH + TN'!$B:$B,'01. TH'!$B138,'TỔNG KLH + TN'!$C:$C,'01. TH'!U$4)</f>
        <v>0</v>
      </c>
      <c r="V138" s="1042">
        <f>COUNTIFS('TỔNG KLH + TN'!$B:$B,'01. TH'!$B138,'TỔNG KLH + TN'!$C:$C,'01. TH'!V$4)</f>
        <v>0</v>
      </c>
      <c r="W138" s="1042">
        <f>COUNTIFS('TỔNG KLH + TN'!$B:$B,'01. TH'!$B138,'TỔNG KLH + TN'!$C:$C,'01. TH'!W$4)</f>
        <v>0</v>
      </c>
      <c r="X138" s="1042">
        <f>COUNTIFS('TỔNG KLH + TN'!$B:$B,'01. TH'!$B138,'TỔNG KLH + TN'!$C:$C,'01. TH'!X$4)</f>
        <v>0</v>
      </c>
      <c r="Y138" s="1042">
        <f>COUNTIFS('TỔNG KLH + TN'!$B:$B,'01. TH'!$B138,'TỔNG KLH + TN'!$C:$C,'01. TH'!Y$4)</f>
        <v>0</v>
      </c>
      <c r="Z138" s="1042">
        <f>COUNTIFS('TỔNG KLH + TN'!$B:$B,'01. TH'!$B138,'TỔNG KLH + TN'!$C:$C,'01. TH'!Z$4)</f>
        <v>0</v>
      </c>
      <c r="AA138" s="1042">
        <f>COUNTIFS('TỔNG KLH + TN'!$B:$B,'01. TH'!$B138,'TỔNG KLH + TN'!$C:$C,'01. TH'!AA$4)</f>
        <v>0</v>
      </c>
      <c r="AB138" s="1042">
        <f>COUNTIFS('TỔNG KLH + TN'!$B:$B,'01. TH'!$B138,'TỔNG KLH + TN'!$C:$C,'01. TH'!AB$4)</f>
        <v>0</v>
      </c>
      <c r="AC138" s="1042">
        <f>COUNTIFS('TỔNG KLH + TN'!$B:$B,'01. TH'!$B138,'TỔNG KLH + TN'!$C:$C,'01. TH'!AC$4)</f>
        <v>0</v>
      </c>
      <c r="AD138" s="1042">
        <f>COUNTIFS('TỔNG KLH + TN'!$B:$B,'01. TH'!$B138,'TỔNG KLH + TN'!$C:$C,'01. TH'!AD$4)</f>
        <v>0</v>
      </c>
      <c r="AE138" s="1043">
        <f t="shared" si="27"/>
        <v>0</v>
      </c>
      <c r="AF138" s="1043"/>
      <c r="AG138" s="1033" t="str">
        <f t="shared" si="23"/>
        <v>ok</v>
      </c>
      <c r="AH138" s="1041"/>
    </row>
    <row r="139" ht="18.75" hidden="1" customHeight="1" outlineLevel="1" spans="1:34">
      <c r="A139" s="1039"/>
      <c r="B139" s="1040" t="s">
        <v>227</v>
      </c>
      <c r="C139" s="1041" t="s">
        <v>48</v>
      </c>
      <c r="D139" s="1041" t="str">
        <f>IFERROR(VLOOKUP(B139,'Danh mục'!$G:$U,15,0),"")</f>
        <v/>
      </c>
      <c r="E139" s="1041" t="s">
        <v>42</v>
      </c>
      <c r="F139" s="1042">
        <f>COUNTIFS('TỔNG KLH + TN'!$B:$B,'01. TH'!$B139,'TỔNG KLH + TN'!$C:$C,'01. TH'!F$4)</f>
        <v>0</v>
      </c>
      <c r="G139" s="1042">
        <f>COUNTIFS('TỔNG KLH + TN'!$B:$B,'01. TH'!$B139,'TỔNG KLH + TN'!$C:$C,'01. TH'!G$4)</f>
        <v>0</v>
      </c>
      <c r="H139" s="1042">
        <f>COUNTIFS('TỔNG KLH + TN'!$B:$B,'01. TH'!$B139,'TỔNG KLH + TN'!$C:$C,'01. TH'!H$4)</f>
        <v>0</v>
      </c>
      <c r="I139" s="1042">
        <f>COUNTIFS('TỔNG KLH + TN'!$B:$B,'01. TH'!$B139,'TỔNG KLH + TN'!$C:$C,'01. TH'!I$4)</f>
        <v>0</v>
      </c>
      <c r="J139" s="1042">
        <f>COUNTIFS('TỔNG KLH + TN'!$B:$B,'01. TH'!$B139,'TỔNG KLH + TN'!$C:$C,'01. TH'!J$4)</f>
        <v>0</v>
      </c>
      <c r="K139" s="1042">
        <f>COUNTIFS('TỔNG KLH + TN'!$B:$B,'01. TH'!$B139,'TỔNG KLH + TN'!$C:$C,'01. TH'!K$4)</f>
        <v>0</v>
      </c>
      <c r="L139" s="1042">
        <f>COUNTIFS('TỔNG KLH + TN'!$B:$B,'01. TH'!$B139,'TỔNG KLH + TN'!$C:$C,'01. TH'!L$4)</f>
        <v>0</v>
      </c>
      <c r="M139" s="1042">
        <f>COUNTIFS('TỔNG KLH + TN'!$B:$B,'01. TH'!$B139,'TỔNG KLH + TN'!$C:$C,'01. TH'!M$4)</f>
        <v>0</v>
      </c>
      <c r="N139" s="1042">
        <f>COUNTIFS('TỔNG KLH + TN'!$B:$B,'01. TH'!$B139,'TỔNG KLH + TN'!$C:$C,'01. TH'!N$4)</f>
        <v>0</v>
      </c>
      <c r="O139" s="1042">
        <f>COUNTIFS('TỔNG KLH + TN'!$B:$B,'01. TH'!$B139,'TỔNG KLH + TN'!$C:$C,'01. TH'!O$4)</f>
        <v>0</v>
      </c>
      <c r="P139" s="1042">
        <f>COUNTIFS('TỔNG KLH + TN'!$B:$B,'01. TH'!$B139,'TỔNG KLH + TN'!$C:$C,'01. TH'!P$4)</f>
        <v>0</v>
      </c>
      <c r="Q139" s="1042">
        <f>COUNTIFS('TỔNG KLH + TN'!$B:$B,'01. TH'!$B139,'TỔNG KLH + TN'!$C:$C,'01. TH'!Q$4)</f>
        <v>0</v>
      </c>
      <c r="R139" s="1042">
        <f>COUNTIFS('TỔNG KLH + TN'!$B:$B,'01. TH'!$B139,'TỔNG KLH + TN'!$C:$C,'01. TH'!R$4)</f>
        <v>0</v>
      </c>
      <c r="S139" s="1042">
        <f>COUNTIFS('TỔNG KLH + TN'!$B:$B,'01. TH'!$B139,'TỔNG KLH + TN'!$C:$C,'01. TH'!S$4)</f>
        <v>0</v>
      </c>
      <c r="T139" s="1042">
        <f>COUNTIFS('TỔNG KLH + TN'!$B:$B,'01. TH'!$B139,'TỔNG KLH + TN'!$C:$C,'01. TH'!T$4)</f>
        <v>0</v>
      </c>
      <c r="U139" s="1042">
        <f>COUNTIFS('TỔNG KLH + TN'!$B:$B,'01. TH'!$B139,'TỔNG KLH + TN'!$C:$C,'01. TH'!U$4)</f>
        <v>0</v>
      </c>
      <c r="V139" s="1042">
        <f>COUNTIFS('TỔNG KLH + TN'!$B:$B,'01. TH'!$B139,'TỔNG KLH + TN'!$C:$C,'01. TH'!V$4)</f>
        <v>0</v>
      </c>
      <c r="W139" s="1042">
        <f>COUNTIFS('TỔNG KLH + TN'!$B:$B,'01. TH'!$B139,'TỔNG KLH + TN'!$C:$C,'01. TH'!W$4)</f>
        <v>0</v>
      </c>
      <c r="X139" s="1042">
        <f>COUNTIFS('TỔNG KLH + TN'!$B:$B,'01. TH'!$B139,'TỔNG KLH + TN'!$C:$C,'01. TH'!X$4)</f>
        <v>0</v>
      </c>
      <c r="Y139" s="1042">
        <f>COUNTIFS('TỔNG KLH + TN'!$B:$B,'01. TH'!$B139,'TỔNG KLH + TN'!$C:$C,'01. TH'!Y$4)</f>
        <v>0</v>
      </c>
      <c r="Z139" s="1042">
        <f>COUNTIFS('TỔNG KLH + TN'!$B:$B,'01. TH'!$B139,'TỔNG KLH + TN'!$C:$C,'01. TH'!Z$4)</f>
        <v>0</v>
      </c>
      <c r="AA139" s="1042">
        <f>COUNTIFS('TỔNG KLH + TN'!$B:$B,'01. TH'!$B139,'TỔNG KLH + TN'!$C:$C,'01. TH'!AA$4)</f>
        <v>0</v>
      </c>
      <c r="AB139" s="1042">
        <f>COUNTIFS('TỔNG KLH + TN'!$B:$B,'01. TH'!$B139,'TỔNG KLH + TN'!$C:$C,'01. TH'!AB$4)</f>
        <v>0</v>
      </c>
      <c r="AC139" s="1042">
        <f>COUNTIFS('TỔNG KLH + TN'!$B:$B,'01. TH'!$B139,'TỔNG KLH + TN'!$C:$C,'01. TH'!AC$4)</f>
        <v>0</v>
      </c>
      <c r="AD139" s="1042">
        <f>COUNTIFS('TỔNG KLH + TN'!$B:$B,'01. TH'!$B139,'TỔNG KLH + TN'!$C:$C,'01. TH'!AD$4)</f>
        <v>0</v>
      </c>
      <c r="AE139" s="1043">
        <f t="shared" si="27"/>
        <v>0</v>
      </c>
      <c r="AF139" s="1043"/>
      <c r="AG139" s="1033" t="str">
        <f t="shared" si="23"/>
        <v>ok</v>
      </c>
      <c r="AH139" s="1041"/>
    </row>
    <row r="140" ht="24" customHeight="1" collapsed="1" spans="1:34">
      <c r="A140" s="1033">
        <v>14</v>
      </c>
      <c r="B140" s="1034" t="s">
        <v>228</v>
      </c>
      <c r="C140" s="1035"/>
      <c r="D140" s="1035" t="str">
        <f>IFERROR(VLOOKUP(B140,'Danh mục'!$G:$U,15,0),"")</f>
        <v/>
      </c>
      <c r="E140" s="1035"/>
      <c r="F140" s="1047">
        <f t="shared" ref="F140:AE140" si="28">SUM(F141:F146)</f>
        <v>0</v>
      </c>
      <c r="G140" s="1047">
        <f t="shared" si="28"/>
        <v>0</v>
      </c>
      <c r="H140" s="1047">
        <f t="shared" si="28"/>
        <v>0</v>
      </c>
      <c r="I140" s="1047">
        <f t="shared" si="28"/>
        <v>0</v>
      </c>
      <c r="J140" s="1047">
        <f t="shared" si="28"/>
        <v>0</v>
      </c>
      <c r="K140" s="1047">
        <f t="shared" si="28"/>
        <v>0</v>
      </c>
      <c r="L140" s="1047">
        <f t="shared" si="28"/>
        <v>0</v>
      </c>
      <c r="M140" s="1047">
        <f t="shared" si="28"/>
        <v>0</v>
      </c>
      <c r="N140" s="1047">
        <f t="shared" si="28"/>
        <v>0</v>
      </c>
      <c r="O140" s="1047">
        <f t="shared" si="28"/>
        <v>0</v>
      </c>
      <c r="P140" s="1047">
        <f t="shared" si="28"/>
        <v>0</v>
      </c>
      <c r="Q140" s="1047">
        <f t="shared" si="28"/>
        <v>0</v>
      </c>
      <c r="R140" s="1047">
        <f t="shared" si="28"/>
        <v>0</v>
      </c>
      <c r="S140" s="1047">
        <f t="shared" si="28"/>
        <v>0</v>
      </c>
      <c r="T140" s="1047">
        <f t="shared" si="28"/>
        <v>0</v>
      </c>
      <c r="U140" s="1047">
        <f t="shared" si="28"/>
        <v>0</v>
      </c>
      <c r="V140" s="1047">
        <f t="shared" si="28"/>
        <v>0</v>
      </c>
      <c r="W140" s="1047">
        <f t="shared" si="28"/>
        <v>0</v>
      </c>
      <c r="X140" s="1047">
        <f t="shared" si="28"/>
        <v>0</v>
      </c>
      <c r="Y140" s="1047">
        <f t="shared" si="28"/>
        <v>0</v>
      </c>
      <c r="Z140" s="1047">
        <f t="shared" si="28"/>
        <v>0</v>
      </c>
      <c r="AA140" s="1047">
        <f t="shared" si="28"/>
        <v>0</v>
      </c>
      <c r="AB140" s="1047">
        <f t="shared" si="28"/>
        <v>0</v>
      </c>
      <c r="AC140" s="1047">
        <f t="shared" si="28"/>
        <v>0</v>
      </c>
      <c r="AD140" s="1047">
        <f t="shared" si="28"/>
        <v>0</v>
      </c>
      <c r="AE140" s="1048">
        <f t="shared" si="28"/>
        <v>0</v>
      </c>
      <c r="AF140" s="1048">
        <v>3</v>
      </c>
      <c r="AG140" s="1033" t="str">
        <f t="shared" si="23"/>
        <v>ok</v>
      </c>
      <c r="AH140" s="1038"/>
    </row>
    <row r="141" ht="18.75" hidden="1" customHeight="1" outlineLevel="1" spans="1:34">
      <c r="A141" s="1049"/>
      <c r="B141" s="1040" t="s">
        <v>229</v>
      </c>
      <c r="C141" s="1041" t="s">
        <v>54</v>
      </c>
      <c r="D141" s="1041" t="str">
        <f>IFERROR(VLOOKUP(B141,'Danh mục'!$G:$U,15,0),"")</f>
        <v>8800 x 2500 x 3700</v>
      </c>
      <c r="E141" s="1041" t="s">
        <v>42</v>
      </c>
      <c r="F141" s="1042">
        <f>COUNTIFS('TỔNG KLH + TN'!$B:$B,'01. TH'!$B141,'TỔNG KLH + TN'!$C:$C,'01. TH'!F$4)</f>
        <v>0</v>
      </c>
      <c r="G141" s="1042">
        <f>COUNTIFS('TỔNG KLH + TN'!$B:$B,'01. TH'!$B141,'TỔNG KLH + TN'!$C:$C,'01. TH'!G$4)</f>
        <v>0</v>
      </c>
      <c r="H141" s="1042">
        <f>COUNTIFS('TỔNG KLH + TN'!$B:$B,'01. TH'!$B141,'TỔNG KLH + TN'!$C:$C,'01. TH'!H$4)</f>
        <v>0</v>
      </c>
      <c r="I141" s="1042">
        <f>COUNTIFS('TỔNG KLH + TN'!$B:$B,'01. TH'!$B141,'TỔNG KLH + TN'!$C:$C,'01. TH'!I$4)</f>
        <v>0</v>
      </c>
      <c r="J141" s="1042">
        <f>COUNTIFS('TỔNG KLH + TN'!$B:$B,'01. TH'!$B141,'TỔNG KLH + TN'!$C:$C,'01. TH'!J$4)</f>
        <v>0</v>
      </c>
      <c r="K141" s="1042">
        <f>COUNTIFS('TỔNG KLH + TN'!$B:$B,'01. TH'!$B141,'TỔNG KLH + TN'!$C:$C,'01. TH'!K$4)</f>
        <v>0</v>
      </c>
      <c r="L141" s="1042">
        <f>COUNTIFS('TỔNG KLH + TN'!$B:$B,'01. TH'!$B141,'TỔNG KLH + TN'!$C:$C,'01. TH'!L$4)</f>
        <v>0</v>
      </c>
      <c r="M141" s="1042">
        <f>COUNTIFS('TỔNG KLH + TN'!$B:$B,'01. TH'!$B141,'TỔNG KLH + TN'!$C:$C,'01. TH'!M$4)</f>
        <v>0</v>
      </c>
      <c r="N141" s="1042">
        <f>COUNTIFS('TỔNG KLH + TN'!$B:$B,'01. TH'!$B141,'TỔNG KLH + TN'!$C:$C,'01. TH'!N$4)</f>
        <v>0</v>
      </c>
      <c r="O141" s="1042">
        <f>COUNTIFS('TỔNG KLH + TN'!$B:$B,'01. TH'!$B141,'TỔNG KLH + TN'!$C:$C,'01. TH'!O$4)</f>
        <v>0</v>
      </c>
      <c r="P141" s="1042">
        <f>COUNTIFS('TỔNG KLH + TN'!$B:$B,'01. TH'!$B141,'TỔNG KLH + TN'!$C:$C,'01. TH'!P$4)</f>
        <v>0</v>
      </c>
      <c r="Q141" s="1042">
        <f>COUNTIFS('TỔNG KLH + TN'!$B:$B,'01. TH'!$B141,'TỔNG KLH + TN'!$C:$C,'01. TH'!Q$4)</f>
        <v>0</v>
      </c>
      <c r="R141" s="1042">
        <f>COUNTIFS('TỔNG KLH + TN'!$B:$B,'01. TH'!$B141,'TỔNG KLH + TN'!$C:$C,'01. TH'!R$4)</f>
        <v>0</v>
      </c>
      <c r="S141" s="1042">
        <f>COUNTIFS('TỔNG KLH + TN'!$B:$B,'01. TH'!$B141,'TỔNG KLH + TN'!$C:$C,'01. TH'!S$4)</f>
        <v>0</v>
      </c>
      <c r="T141" s="1042">
        <f>COUNTIFS('TỔNG KLH + TN'!$B:$B,'01. TH'!$B141,'TỔNG KLH + TN'!$C:$C,'01. TH'!T$4)</f>
        <v>0</v>
      </c>
      <c r="U141" s="1042">
        <f>COUNTIFS('TỔNG KLH + TN'!$B:$B,'01. TH'!$B141,'TỔNG KLH + TN'!$C:$C,'01. TH'!U$4)</f>
        <v>0</v>
      </c>
      <c r="V141" s="1042">
        <f>COUNTIFS('TỔNG KLH + TN'!$B:$B,'01. TH'!$B141,'TỔNG KLH + TN'!$C:$C,'01. TH'!V$4)</f>
        <v>0</v>
      </c>
      <c r="W141" s="1042">
        <f>COUNTIFS('TỔNG KLH + TN'!$B:$B,'01. TH'!$B141,'TỔNG KLH + TN'!$C:$C,'01. TH'!W$4)</f>
        <v>0</v>
      </c>
      <c r="X141" s="1042">
        <f>COUNTIFS('TỔNG KLH + TN'!$B:$B,'01. TH'!$B141,'TỔNG KLH + TN'!$C:$C,'01. TH'!X$4)</f>
        <v>0</v>
      </c>
      <c r="Y141" s="1042">
        <f>COUNTIFS('TỔNG KLH + TN'!$B:$B,'01. TH'!$B141,'TỔNG KLH + TN'!$C:$C,'01. TH'!Y$4)</f>
        <v>0</v>
      </c>
      <c r="Z141" s="1042">
        <f>COUNTIFS('TỔNG KLH + TN'!$B:$B,'01. TH'!$B141,'TỔNG KLH + TN'!$C:$C,'01. TH'!Z$4)</f>
        <v>0</v>
      </c>
      <c r="AA141" s="1042">
        <f>COUNTIFS('TỔNG KLH + TN'!$B:$B,'01. TH'!$B141,'TỔNG KLH + TN'!$C:$C,'01. TH'!AA$4)</f>
        <v>0</v>
      </c>
      <c r="AB141" s="1042">
        <f>COUNTIFS('TỔNG KLH + TN'!$B:$B,'01. TH'!$B141,'TỔNG KLH + TN'!$C:$C,'01. TH'!AB$4)</f>
        <v>0</v>
      </c>
      <c r="AC141" s="1042">
        <f>COUNTIFS('TỔNG KLH + TN'!$B:$B,'01. TH'!$B141,'TỔNG KLH + TN'!$C:$C,'01. TH'!AC$4)</f>
        <v>0</v>
      </c>
      <c r="AD141" s="1042">
        <f>COUNTIFS('TỔNG KLH + TN'!$B:$B,'01. TH'!$B141,'TỔNG KLH + TN'!$C:$C,'01. TH'!AD$4)</f>
        <v>0</v>
      </c>
      <c r="AE141" s="1045">
        <f t="shared" ref="AE141:AE146" si="29">SUM(F141:AD141)</f>
        <v>0</v>
      </c>
      <c r="AF141" s="1045"/>
      <c r="AG141" s="1033" t="str">
        <f t="shared" si="23"/>
        <v>ok</v>
      </c>
      <c r="AH141" s="1049"/>
    </row>
    <row r="142" ht="18.75" hidden="1" customHeight="1" outlineLevel="1" spans="1:34">
      <c r="A142" s="1044"/>
      <c r="B142" s="1040" t="s">
        <v>230</v>
      </c>
      <c r="C142" s="1041" t="s">
        <v>102</v>
      </c>
      <c r="D142" s="1041" t="str">
        <f>IFERROR(VLOOKUP(B142,'Danh mục'!$G:$U,15,0),"")</f>
        <v>5910 x 2310 x 2800</v>
      </c>
      <c r="E142" s="1041" t="s">
        <v>42</v>
      </c>
      <c r="F142" s="1042">
        <f>COUNTIFS('TỔNG KLH + TN'!$B:$B,'01. TH'!$B142,'TỔNG KLH + TN'!$C:$C,'01. TH'!F$4)</f>
        <v>0</v>
      </c>
      <c r="G142" s="1042">
        <f>COUNTIFS('TỔNG KLH + TN'!$B:$B,'01. TH'!$B142,'TỔNG KLH + TN'!$C:$C,'01. TH'!G$4)</f>
        <v>0</v>
      </c>
      <c r="H142" s="1042">
        <f>COUNTIFS('TỔNG KLH + TN'!$B:$B,'01. TH'!$B142,'TỔNG KLH + TN'!$C:$C,'01. TH'!H$4)</f>
        <v>0</v>
      </c>
      <c r="I142" s="1042">
        <f>COUNTIFS('TỔNG KLH + TN'!$B:$B,'01. TH'!$B142,'TỔNG KLH + TN'!$C:$C,'01. TH'!I$4)</f>
        <v>0</v>
      </c>
      <c r="J142" s="1042">
        <f>COUNTIFS('TỔNG KLH + TN'!$B:$B,'01. TH'!$B142,'TỔNG KLH + TN'!$C:$C,'01. TH'!J$4)</f>
        <v>0</v>
      </c>
      <c r="K142" s="1042">
        <f>COUNTIFS('TỔNG KLH + TN'!$B:$B,'01. TH'!$B142,'TỔNG KLH + TN'!$C:$C,'01. TH'!K$4)</f>
        <v>0</v>
      </c>
      <c r="L142" s="1042">
        <f>COUNTIFS('TỔNG KLH + TN'!$B:$B,'01. TH'!$B142,'TỔNG KLH + TN'!$C:$C,'01. TH'!L$4)</f>
        <v>0</v>
      </c>
      <c r="M142" s="1042">
        <f>COUNTIFS('TỔNG KLH + TN'!$B:$B,'01. TH'!$B142,'TỔNG KLH + TN'!$C:$C,'01. TH'!M$4)</f>
        <v>0</v>
      </c>
      <c r="N142" s="1042">
        <f>COUNTIFS('TỔNG KLH + TN'!$B:$B,'01. TH'!$B142,'TỔNG KLH + TN'!$C:$C,'01. TH'!N$4)</f>
        <v>0</v>
      </c>
      <c r="O142" s="1042">
        <f>COUNTIFS('TỔNG KLH + TN'!$B:$B,'01. TH'!$B142,'TỔNG KLH + TN'!$C:$C,'01. TH'!O$4)</f>
        <v>0</v>
      </c>
      <c r="P142" s="1042">
        <f>COUNTIFS('TỔNG KLH + TN'!$B:$B,'01. TH'!$B142,'TỔNG KLH + TN'!$C:$C,'01. TH'!P$4)</f>
        <v>0</v>
      </c>
      <c r="Q142" s="1042">
        <f>COUNTIFS('TỔNG KLH + TN'!$B:$B,'01. TH'!$B142,'TỔNG KLH + TN'!$C:$C,'01. TH'!Q$4)</f>
        <v>0</v>
      </c>
      <c r="R142" s="1042">
        <f>COUNTIFS('TỔNG KLH + TN'!$B:$B,'01. TH'!$B142,'TỔNG KLH + TN'!$C:$C,'01. TH'!R$4)</f>
        <v>0</v>
      </c>
      <c r="S142" s="1042">
        <f>COUNTIFS('TỔNG KLH + TN'!$B:$B,'01. TH'!$B142,'TỔNG KLH + TN'!$C:$C,'01. TH'!S$4)</f>
        <v>0</v>
      </c>
      <c r="T142" s="1042">
        <f>COUNTIFS('TỔNG KLH + TN'!$B:$B,'01. TH'!$B142,'TỔNG KLH + TN'!$C:$C,'01. TH'!T$4)</f>
        <v>0</v>
      </c>
      <c r="U142" s="1042">
        <f>COUNTIFS('TỔNG KLH + TN'!$B:$B,'01. TH'!$B142,'TỔNG KLH + TN'!$C:$C,'01. TH'!U$4)</f>
        <v>0</v>
      </c>
      <c r="V142" s="1042">
        <f>COUNTIFS('TỔNG KLH + TN'!$B:$B,'01. TH'!$B142,'TỔNG KLH + TN'!$C:$C,'01. TH'!V$4)</f>
        <v>0</v>
      </c>
      <c r="W142" s="1042">
        <f>COUNTIFS('TỔNG KLH + TN'!$B:$B,'01. TH'!$B142,'TỔNG KLH + TN'!$C:$C,'01. TH'!W$4)</f>
        <v>0</v>
      </c>
      <c r="X142" s="1042">
        <f>COUNTIFS('TỔNG KLH + TN'!$B:$B,'01. TH'!$B142,'TỔNG KLH + TN'!$C:$C,'01. TH'!X$4)</f>
        <v>0</v>
      </c>
      <c r="Y142" s="1042">
        <f>COUNTIFS('TỔNG KLH + TN'!$B:$B,'01. TH'!$B142,'TỔNG KLH + TN'!$C:$C,'01. TH'!Y$4)</f>
        <v>0</v>
      </c>
      <c r="Z142" s="1042">
        <f>COUNTIFS('TỔNG KLH + TN'!$B:$B,'01. TH'!$B142,'TỔNG KLH + TN'!$C:$C,'01. TH'!Z$4)</f>
        <v>0</v>
      </c>
      <c r="AA142" s="1042">
        <f>COUNTIFS('TỔNG KLH + TN'!$B:$B,'01. TH'!$B142,'TỔNG KLH + TN'!$C:$C,'01. TH'!AA$4)</f>
        <v>0</v>
      </c>
      <c r="AB142" s="1042">
        <f>COUNTIFS('TỔNG KLH + TN'!$B:$B,'01. TH'!$B142,'TỔNG KLH + TN'!$C:$C,'01. TH'!AB$4)</f>
        <v>0</v>
      </c>
      <c r="AC142" s="1042">
        <f>COUNTIFS('TỔNG KLH + TN'!$B:$B,'01. TH'!$B142,'TỔNG KLH + TN'!$C:$C,'01. TH'!AC$4)</f>
        <v>0</v>
      </c>
      <c r="AD142" s="1042">
        <f>COUNTIFS('TỔNG KLH + TN'!$B:$B,'01. TH'!$B142,'TỔNG KLH + TN'!$C:$C,'01. TH'!AD$4)</f>
        <v>0</v>
      </c>
      <c r="AE142" s="1045">
        <f t="shared" si="29"/>
        <v>0</v>
      </c>
      <c r="AF142" s="1045"/>
      <c r="AG142" s="1033" t="str">
        <f t="shared" si="23"/>
        <v>ok</v>
      </c>
      <c r="AH142" s="1046"/>
    </row>
    <row r="143" ht="18.75" hidden="1" customHeight="1" outlineLevel="1" spans="1:34">
      <c r="A143" s="1049"/>
      <c r="B143" s="1040" t="s">
        <v>231</v>
      </c>
      <c r="C143" s="1041" t="s">
        <v>48</v>
      </c>
      <c r="D143" s="1041" t="str">
        <f>IFERROR(VLOOKUP(B143,'Danh mục'!$G:$U,15,0),"")</f>
        <v>6160 x 2330 x 2760</v>
      </c>
      <c r="E143" s="1041" t="s">
        <v>42</v>
      </c>
      <c r="F143" s="1042">
        <f>COUNTIFS('TỔNG KLH + TN'!$B:$B,'01. TH'!$B143,'TỔNG KLH + TN'!$C:$C,'01. TH'!F$4)</f>
        <v>0</v>
      </c>
      <c r="G143" s="1042">
        <f>COUNTIFS('TỔNG KLH + TN'!$B:$B,'01. TH'!$B143,'TỔNG KLH + TN'!$C:$C,'01. TH'!G$4)</f>
        <v>0</v>
      </c>
      <c r="H143" s="1042">
        <f>COUNTIFS('TỔNG KLH + TN'!$B:$B,'01. TH'!$B143,'TỔNG KLH + TN'!$C:$C,'01. TH'!H$4)</f>
        <v>0</v>
      </c>
      <c r="I143" s="1042">
        <f>COUNTIFS('TỔNG KLH + TN'!$B:$B,'01. TH'!$B143,'TỔNG KLH + TN'!$C:$C,'01. TH'!I$4)</f>
        <v>0</v>
      </c>
      <c r="J143" s="1042">
        <f>COUNTIFS('TỔNG KLH + TN'!$B:$B,'01. TH'!$B143,'TỔNG KLH + TN'!$C:$C,'01. TH'!J$4)</f>
        <v>0</v>
      </c>
      <c r="K143" s="1042">
        <f>COUNTIFS('TỔNG KLH + TN'!$B:$B,'01. TH'!$B143,'TỔNG KLH + TN'!$C:$C,'01. TH'!K$4)</f>
        <v>0</v>
      </c>
      <c r="L143" s="1042">
        <f>COUNTIFS('TỔNG KLH + TN'!$B:$B,'01. TH'!$B143,'TỔNG KLH + TN'!$C:$C,'01. TH'!L$4)</f>
        <v>0</v>
      </c>
      <c r="M143" s="1042">
        <f>COUNTIFS('TỔNG KLH + TN'!$B:$B,'01. TH'!$B143,'TỔNG KLH + TN'!$C:$C,'01. TH'!M$4)</f>
        <v>0</v>
      </c>
      <c r="N143" s="1042">
        <f>COUNTIFS('TỔNG KLH + TN'!$B:$B,'01. TH'!$B143,'TỔNG KLH + TN'!$C:$C,'01. TH'!N$4)</f>
        <v>0</v>
      </c>
      <c r="O143" s="1042">
        <f>COUNTIFS('TỔNG KLH + TN'!$B:$B,'01. TH'!$B143,'TỔNG KLH + TN'!$C:$C,'01. TH'!O$4)</f>
        <v>0</v>
      </c>
      <c r="P143" s="1042">
        <f>COUNTIFS('TỔNG KLH + TN'!$B:$B,'01. TH'!$B143,'TỔNG KLH + TN'!$C:$C,'01. TH'!P$4)</f>
        <v>0</v>
      </c>
      <c r="Q143" s="1042">
        <f>COUNTIFS('TỔNG KLH + TN'!$B:$B,'01. TH'!$B143,'TỔNG KLH + TN'!$C:$C,'01. TH'!Q$4)</f>
        <v>0</v>
      </c>
      <c r="R143" s="1042">
        <f>COUNTIFS('TỔNG KLH + TN'!$B:$B,'01. TH'!$B143,'TỔNG KLH + TN'!$C:$C,'01. TH'!R$4)</f>
        <v>0</v>
      </c>
      <c r="S143" s="1042">
        <f>COUNTIFS('TỔNG KLH + TN'!$B:$B,'01. TH'!$B143,'TỔNG KLH + TN'!$C:$C,'01. TH'!S$4)</f>
        <v>0</v>
      </c>
      <c r="T143" s="1042">
        <f>COUNTIFS('TỔNG KLH + TN'!$B:$B,'01. TH'!$B143,'TỔNG KLH + TN'!$C:$C,'01. TH'!T$4)</f>
        <v>0</v>
      </c>
      <c r="U143" s="1042">
        <f>COUNTIFS('TỔNG KLH + TN'!$B:$B,'01. TH'!$B143,'TỔNG KLH + TN'!$C:$C,'01. TH'!U$4)</f>
        <v>0</v>
      </c>
      <c r="V143" s="1042">
        <f>COUNTIFS('TỔNG KLH + TN'!$B:$B,'01. TH'!$B143,'TỔNG KLH + TN'!$C:$C,'01. TH'!V$4)</f>
        <v>0</v>
      </c>
      <c r="W143" s="1042">
        <f>COUNTIFS('TỔNG KLH + TN'!$B:$B,'01. TH'!$B143,'TỔNG KLH + TN'!$C:$C,'01. TH'!W$4)</f>
        <v>0</v>
      </c>
      <c r="X143" s="1042">
        <f>COUNTIFS('TỔNG KLH + TN'!$B:$B,'01. TH'!$B143,'TỔNG KLH + TN'!$C:$C,'01. TH'!X$4)</f>
        <v>0</v>
      </c>
      <c r="Y143" s="1042">
        <f>COUNTIFS('TỔNG KLH + TN'!$B:$B,'01. TH'!$B143,'TỔNG KLH + TN'!$C:$C,'01. TH'!Y$4)</f>
        <v>0</v>
      </c>
      <c r="Z143" s="1042">
        <f>COUNTIFS('TỔNG KLH + TN'!$B:$B,'01. TH'!$B143,'TỔNG KLH + TN'!$C:$C,'01. TH'!Z$4)</f>
        <v>0</v>
      </c>
      <c r="AA143" s="1042">
        <f>COUNTIFS('TỔNG KLH + TN'!$B:$B,'01. TH'!$B143,'TỔNG KLH + TN'!$C:$C,'01. TH'!AA$4)</f>
        <v>0</v>
      </c>
      <c r="AB143" s="1042">
        <f>COUNTIFS('TỔNG KLH + TN'!$B:$B,'01. TH'!$B143,'TỔNG KLH + TN'!$C:$C,'01. TH'!AB$4)</f>
        <v>0</v>
      </c>
      <c r="AC143" s="1042">
        <f>COUNTIFS('TỔNG KLH + TN'!$B:$B,'01. TH'!$B143,'TỔNG KLH + TN'!$C:$C,'01. TH'!AC$4)</f>
        <v>0</v>
      </c>
      <c r="AD143" s="1042">
        <f>COUNTIFS('TỔNG KLH + TN'!$B:$B,'01. TH'!$B143,'TỔNG KLH + TN'!$C:$C,'01. TH'!AD$4)</f>
        <v>0</v>
      </c>
      <c r="AE143" s="1045">
        <f t="shared" si="29"/>
        <v>0</v>
      </c>
      <c r="AF143" s="1045"/>
      <c r="AG143" s="1033" t="str">
        <f t="shared" si="23"/>
        <v>ok</v>
      </c>
      <c r="AH143" s="1049"/>
    </row>
    <row r="144" ht="18.75" hidden="1" customHeight="1" outlineLevel="1" spans="1:34">
      <c r="A144" s="1044"/>
      <c r="B144" s="1040" t="s">
        <v>232</v>
      </c>
      <c r="C144" s="1041" t="s">
        <v>48</v>
      </c>
      <c r="D144" s="1041" t="str">
        <f>IFERROR(VLOOKUP(B144,'Danh mục'!$G:$U,15,0),"")</f>
        <v>6160 x 2330 x 2760</v>
      </c>
      <c r="E144" s="1041" t="s">
        <v>42</v>
      </c>
      <c r="F144" s="1042">
        <f>COUNTIFS('TỔNG KLH + TN'!$B:$B,'01. TH'!$B144,'TỔNG KLH + TN'!$C:$C,'01. TH'!F$4)</f>
        <v>0</v>
      </c>
      <c r="G144" s="1042">
        <f>COUNTIFS('TỔNG KLH + TN'!$B:$B,'01. TH'!$B144,'TỔNG KLH + TN'!$C:$C,'01. TH'!G$4)</f>
        <v>0</v>
      </c>
      <c r="H144" s="1042">
        <f>COUNTIFS('TỔNG KLH + TN'!$B:$B,'01. TH'!$B144,'TỔNG KLH + TN'!$C:$C,'01. TH'!H$4)</f>
        <v>0</v>
      </c>
      <c r="I144" s="1042">
        <f>COUNTIFS('TỔNG KLH + TN'!$B:$B,'01. TH'!$B144,'TỔNG KLH + TN'!$C:$C,'01. TH'!I$4)</f>
        <v>0</v>
      </c>
      <c r="J144" s="1042">
        <f>COUNTIFS('TỔNG KLH + TN'!$B:$B,'01. TH'!$B144,'TỔNG KLH + TN'!$C:$C,'01. TH'!J$4)</f>
        <v>0</v>
      </c>
      <c r="K144" s="1042">
        <f>COUNTIFS('TỔNG KLH + TN'!$B:$B,'01. TH'!$B144,'TỔNG KLH + TN'!$C:$C,'01. TH'!K$4)</f>
        <v>0</v>
      </c>
      <c r="L144" s="1042">
        <f>COUNTIFS('TỔNG KLH + TN'!$B:$B,'01. TH'!$B144,'TỔNG KLH + TN'!$C:$C,'01. TH'!L$4)</f>
        <v>0</v>
      </c>
      <c r="M144" s="1042">
        <f>COUNTIFS('TỔNG KLH + TN'!$B:$B,'01. TH'!$B144,'TỔNG KLH + TN'!$C:$C,'01. TH'!M$4)</f>
        <v>0</v>
      </c>
      <c r="N144" s="1042">
        <f>COUNTIFS('TỔNG KLH + TN'!$B:$B,'01. TH'!$B144,'TỔNG KLH + TN'!$C:$C,'01. TH'!N$4)</f>
        <v>0</v>
      </c>
      <c r="O144" s="1042">
        <f>COUNTIFS('TỔNG KLH + TN'!$B:$B,'01. TH'!$B144,'TỔNG KLH + TN'!$C:$C,'01. TH'!O$4)</f>
        <v>0</v>
      </c>
      <c r="P144" s="1042">
        <f>COUNTIFS('TỔNG KLH + TN'!$B:$B,'01. TH'!$B144,'TỔNG KLH + TN'!$C:$C,'01. TH'!P$4)</f>
        <v>0</v>
      </c>
      <c r="Q144" s="1042">
        <f>COUNTIFS('TỔNG KLH + TN'!$B:$B,'01. TH'!$B144,'TỔNG KLH + TN'!$C:$C,'01. TH'!Q$4)</f>
        <v>0</v>
      </c>
      <c r="R144" s="1042">
        <f>COUNTIFS('TỔNG KLH + TN'!$B:$B,'01. TH'!$B144,'TỔNG KLH + TN'!$C:$C,'01. TH'!R$4)</f>
        <v>0</v>
      </c>
      <c r="S144" s="1042">
        <f>COUNTIFS('TỔNG KLH + TN'!$B:$B,'01. TH'!$B144,'TỔNG KLH + TN'!$C:$C,'01. TH'!S$4)</f>
        <v>0</v>
      </c>
      <c r="T144" s="1042">
        <f>COUNTIFS('TỔNG KLH + TN'!$B:$B,'01. TH'!$B144,'TỔNG KLH + TN'!$C:$C,'01. TH'!T$4)</f>
        <v>0</v>
      </c>
      <c r="U144" s="1042">
        <f>COUNTIFS('TỔNG KLH + TN'!$B:$B,'01. TH'!$B144,'TỔNG KLH + TN'!$C:$C,'01. TH'!U$4)</f>
        <v>0</v>
      </c>
      <c r="V144" s="1042">
        <f>COUNTIFS('TỔNG KLH + TN'!$B:$B,'01. TH'!$B144,'TỔNG KLH + TN'!$C:$C,'01. TH'!V$4)</f>
        <v>0</v>
      </c>
      <c r="W144" s="1042">
        <f>COUNTIFS('TỔNG KLH + TN'!$B:$B,'01. TH'!$B144,'TỔNG KLH + TN'!$C:$C,'01. TH'!W$4)</f>
        <v>0</v>
      </c>
      <c r="X144" s="1042">
        <f>COUNTIFS('TỔNG KLH + TN'!$B:$B,'01. TH'!$B144,'TỔNG KLH + TN'!$C:$C,'01. TH'!X$4)</f>
        <v>0</v>
      </c>
      <c r="Y144" s="1042">
        <f>COUNTIFS('TỔNG KLH + TN'!$B:$B,'01. TH'!$B144,'TỔNG KLH + TN'!$C:$C,'01. TH'!Y$4)</f>
        <v>0</v>
      </c>
      <c r="Z144" s="1042">
        <f>COUNTIFS('TỔNG KLH + TN'!$B:$B,'01. TH'!$B144,'TỔNG KLH + TN'!$C:$C,'01. TH'!Z$4)</f>
        <v>0</v>
      </c>
      <c r="AA144" s="1042">
        <f>COUNTIFS('TỔNG KLH + TN'!$B:$B,'01. TH'!$B144,'TỔNG KLH + TN'!$C:$C,'01. TH'!AA$4)</f>
        <v>0</v>
      </c>
      <c r="AB144" s="1042">
        <f>COUNTIFS('TỔNG KLH + TN'!$B:$B,'01. TH'!$B144,'TỔNG KLH + TN'!$C:$C,'01. TH'!AB$4)</f>
        <v>0</v>
      </c>
      <c r="AC144" s="1042">
        <f>COUNTIFS('TỔNG KLH + TN'!$B:$B,'01. TH'!$B144,'TỔNG KLH + TN'!$C:$C,'01. TH'!AC$4)</f>
        <v>0</v>
      </c>
      <c r="AD144" s="1042">
        <f>COUNTIFS('TỔNG KLH + TN'!$B:$B,'01. TH'!$B144,'TỔNG KLH + TN'!$C:$C,'01. TH'!AD$4)</f>
        <v>0</v>
      </c>
      <c r="AE144" s="1045">
        <f t="shared" si="29"/>
        <v>0</v>
      </c>
      <c r="AF144" s="1045"/>
      <c r="AG144" s="1033" t="str">
        <f t="shared" si="23"/>
        <v>ok</v>
      </c>
      <c r="AH144" s="1046"/>
    </row>
    <row r="145" ht="18.75" hidden="1" customHeight="1" outlineLevel="1" spans="1:34">
      <c r="A145" s="1044"/>
      <c r="B145" s="1040" t="s">
        <v>233</v>
      </c>
      <c r="C145" s="1041" t="s">
        <v>48</v>
      </c>
      <c r="D145" s="1041" t="str">
        <f>IFERROR(VLOOKUP(B145,'Danh mục'!$G:$U,15,0),"")</f>
        <v>6160 x 2330 x 2760</v>
      </c>
      <c r="E145" s="1041" t="s">
        <v>42</v>
      </c>
      <c r="F145" s="1042">
        <f>COUNTIFS('TỔNG KLH + TN'!$B:$B,'01. TH'!$B145,'TỔNG KLH + TN'!$C:$C,'01. TH'!F$4)</f>
        <v>0</v>
      </c>
      <c r="G145" s="1042">
        <f>COUNTIFS('TỔNG KLH + TN'!$B:$B,'01. TH'!$B145,'TỔNG KLH + TN'!$C:$C,'01. TH'!G$4)</f>
        <v>0</v>
      </c>
      <c r="H145" s="1042">
        <f>COUNTIFS('TỔNG KLH + TN'!$B:$B,'01. TH'!$B145,'TỔNG KLH + TN'!$C:$C,'01. TH'!H$4)</f>
        <v>0</v>
      </c>
      <c r="I145" s="1042">
        <f>COUNTIFS('TỔNG KLH + TN'!$B:$B,'01. TH'!$B145,'TỔNG KLH + TN'!$C:$C,'01. TH'!I$4)</f>
        <v>0</v>
      </c>
      <c r="J145" s="1042">
        <f>COUNTIFS('TỔNG KLH + TN'!$B:$B,'01. TH'!$B145,'TỔNG KLH + TN'!$C:$C,'01. TH'!J$4)</f>
        <v>0</v>
      </c>
      <c r="K145" s="1042">
        <f>COUNTIFS('TỔNG KLH + TN'!$B:$B,'01. TH'!$B145,'TỔNG KLH + TN'!$C:$C,'01. TH'!K$4)</f>
        <v>0</v>
      </c>
      <c r="L145" s="1042">
        <f>COUNTIFS('TỔNG KLH + TN'!$B:$B,'01. TH'!$B145,'TỔNG KLH + TN'!$C:$C,'01. TH'!L$4)</f>
        <v>0</v>
      </c>
      <c r="M145" s="1042">
        <f>COUNTIFS('TỔNG KLH + TN'!$B:$B,'01. TH'!$B145,'TỔNG KLH + TN'!$C:$C,'01. TH'!M$4)</f>
        <v>0</v>
      </c>
      <c r="N145" s="1042">
        <f>COUNTIFS('TỔNG KLH + TN'!$B:$B,'01. TH'!$B145,'TỔNG KLH + TN'!$C:$C,'01. TH'!N$4)</f>
        <v>0</v>
      </c>
      <c r="O145" s="1042">
        <f>COUNTIFS('TỔNG KLH + TN'!$B:$B,'01. TH'!$B145,'TỔNG KLH + TN'!$C:$C,'01. TH'!O$4)</f>
        <v>0</v>
      </c>
      <c r="P145" s="1042">
        <f>COUNTIFS('TỔNG KLH + TN'!$B:$B,'01. TH'!$B145,'TỔNG KLH + TN'!$C:$C,'01. TH'!P$4)</f>
        <v>0</v>
      </c>
      <c r="Q145" s="1042">
        <f>COUNTIFS('TỔNG KLH + TN'!$B:$B,'01. TH'!$B145,'TỔNG KLH + TN'!$C:$C,'01. TH'!Q$4)</f>
        <v>0</v>
      </c>
      <c r="R145" s="1042">
        <f>COUNTIFS('TỔNG KLH + TN'!$B:$B,'01. TH'!$B145,'TỔNG KLH + TN'!$C:$C,'01. TH'!R$4)</f>
        <v>0</v>
      </c>
      <c r="S145" s="1042">
        <f>COUNTIFS('TỔNG KLH + TN'!$B:$B,'01. TH'!$B145,'TỔNG KLH + TN'!$C:$C,'01. TH'!S$4)</f>
        <v>0</v>
      </c>
      <c r="T145" s="1042">
        <f>COUNTIFS('TỔNG KLH + TN'!$B:$B,'01. TH'!$B145,'TỔNG KLH + TN'!$C:$C,'01. TH'!T$4)</f>
        <v>0</v>
      </c>
      <c r="U145" s="1042">
        <f>COUNTIFS('TỔNG KLH + TN'!$B:$B,'01. TH'!$B145,'TỔNG KLH + TN'!$C:$C,'01. TH'!U$4)</f>
        <v>0</v>
      </c>
      <c r="V145" s="1042">
        <f>COUNTIFS('TỔNG KLH + TN'!$B:$B,'01. TH'!$B145,'TỔNG KLH + TN'!$C:$C,'01. TH'!V$4)</f>
        <v>0</v>
      </c>
      <c r="W145" s="1042">
        <f>COUNTIFS('TỔNG KLH + TN'!$B:$B,'01. TH'!$B145,'TỔNG KLH + TN'!$C:$C,'01. TH'!W$4)</f>
        <v>0</v>
      </c>
      <c r="X145" s="1042">
        <f>COUNTIFS('TỔNG KLH + TN'!$B:$B,'01. TH'!$B145,'TỔNG KLH + TN'!$C:$C,'01. TH'!X$4)</f>
        <v>0</v>
      </c>
      <c r="Y145" s="1042">
        <f>COUNTIFS('TỔNG KLH + TN'!$B:$B,'01. TH'!$B145,'TỔNG KLH + TN'!$C:$C,'01. TH'!Y$4)</f>
        <v>0</v>
      </c>
      <c r="Z145" s="1042">
        <f>COUNTIFS('TỔNG KLH + TN'!$B:$B,'01. TH'!$B145,'TỔNG KLH + TN'!$C:$C,'01. TH'!Z$4)</f>
        <v>0</v>
      </c>
      <c r="AA145" s="1042">
        <f>COUNTIFS('TỔNG KLH + TN'!$B:$B,'01. TH'!$B145,'TỔNG KLH + TN'!$C:$C,'01. TH'!AA$4)</f>
        <v>0</v>
      </c>
      <c r="AB145" s="1042">
        <f>COUNTIFS('TỔNG KLH + TN'!$B:$B,'01. TH'!$B145,'TỔNG KLH + TN'!$C:$C,'01. TH'!AB$4)</f>
        <v>0</v>
      </c>
      <c r="AC145" s="1042">
        <f>COUNTIFS('TỔNG KLH + TN'!$B:$B,'01. TH'!$B145,'TỔNG KLH + TN'!$C:$C,'01. TH'!AC$4)</f>
        <v>0</v>
      </c>
      <c r="AD145" s="1042">
        <f>COUNTIFS('TỔNG KLH + TN'!$B:$B,'01. TH'!$B145,'TỔNG KLH + TN'!$C:$C,'01. TH'!AD$4)</f>
        <v>0</v>
      </c>
      <c r="AE145" s="1045">
        <f t="shared" si="29"/>
        <v>0</v>
      </c>
      <c r="AF145" s="1045"/>
      <c r="AG145" s="1033" t="str">
        <f t="shared" si="23"/>
        <v>ok</v>
      </c>
      <c r="AH145" s="1046"/>
    </row>
    <row r="146" ht="18.75" hidden="1" customHeight="1" outlineLevel="1" spans="1:34">
      <c r="A146" s="1039"/>
      <c r="B146" s="1040" t="s">
        <v>234</v>
      </c>
      <c r="C146" s="1041" t="s">
        <v>146</v>
      </c>
      <c r="D146" s="1041" t="s">
        <v>235</v>
      </c>
      <c r="E146" s="1041" t="s">
        <v>42</v>
      </c>
      <c r="F146" s="1042">
        <f>COUNTIFS('TỔNG KLH + TN'!$B:$B,'01. TH'!$B146,'TỔNG KLH + TN'!$C:$C,'01. TH'!F$4)</f>
        <v>0</v>
      </c>
      <c r="G146" s="1042">
        <f>COUNTIFS('TỔNG KLH + TN'!$B:$B,'01. TH'!$B146,'TỔNG KLH + TN'!$C:$C,'01. TH'!G$4)</f>
        <v>0</v>
      </c>
      <c r="H146" s="1042">
        <f>COUNTIFS('TỔNG KLH + TN'!$B:$B,'01. TH'!$B146,'TỔNG KLH + TN'!$C:$C,'01. TH'!H$4)</f>
        <v>0</v>
      </c>
      <c r="I146" s="1042">
        <f>COUNTIFS('TỔNG KLH + TN'!$B:$B,'01. TH'!$B146,'TỔNG KLH + TN'!$C:$C,'01. TH'!I$4)</f>
        <v>0</v>
      </c>
      <c r="J146" s="1042">
        <f>COUNTIFS('TỔNG KLH + TN'!$B:$B,'01. TH'!$B146,'TỔNG KLH + TN'!$C:$C,'01. TH'!J$4)</f>
        <v>0</v>
      </c>
      <c r="K146" s="1042">
        <f>COUNTIFS('TỔNG KLH + TN'!$B:$B,'01. TH'!$B146,'TỔNG KLH + TN'!$C:$C,'01. TH'!K$4)</f>
        <v>0</v>
      </c>
      <c r="L146" s="1042">
        <f>COUNTIFS('TỔNG KLH + TN'!$B:$B,'01. TH'!$B146,'TỔNG KLH + TN'!$C:$C,'01. TH'!L$4)</f>
        <v>0</v>
      </c>
      <c r="M146" s="1042">
        <f>COUNTIFS('TỔNG KLH + TN'!$B:$B,'01. TH'!$B146,'TỔNG KLH + TN'!$C:$C,'01. TH'!M$4)</f>
        <v>0</v>
      </c>
      <c r="N146" s="1042">
        <f>COUNTIFS('TỔNG KLH + TN'!$B:$B,'01. TH'!$B146,'TỔNG KLH + TN'!$C:$C,'01. TH'!N$4)</f>
        <v>0</v>
      </c>
      <c r="O146" s="1042">
        <f>COUNTIFS('TỔNG KLH + TN'!$B:$B,'01. TH'!$B146,'TỔNG KLH + TN'!$C:$C,'01. TH'!O$4)</f>
        <v>0</v>
      </c>
      <c r="P146" s="1042">
        <f>COUNTIFS('TỔNG KLH + TN'!$B:$B,'01. TH'!$B146,'TỔNG KLH + TN'!$C:$C,'01. TH'!P$4)</f>
        <v>0</v>
      </c>
      <c r="Q146" s="1042">
        <f>COUNTIFS('TỔNG KLH + TN'!$B:$B,'01. TH'!$B146,'TỔNG KLH + TN'!$C:$C,'01. TH'!Q$4)</f>
        <v>0</v>
      </c>
      <c r="R146" s="1042">
        <f>COUNTIFS('TỔNG KLH + TN'!$B:$B,'01. TH'!$B146,'TỔNG KLH + TN'!$C:$C,'01. TH'!R$4)</f>
        <v>0</v>
      </c>
      <c r="S146" s="1042">
        <f>COUNTIFS('TỔNG KLH + TN'!$B:$B,'01. TH'!$B146,'TỔNG KLH + TN'!$C:$C,'01. TH'!S$4)</f>
        <v>0</v>
      </c>
      <c r="T146" s="1042">
        <f>COUNTIFS('TỔNG KLH + TN'!$B:$B,'01. TH'!$B146,'TỔNG KLH + TN'!$C:$C,'01. TH'!T$4)</f>
        <v>0</v>
      </c>
      <c r="U146" s="1042">
        <f>COUNTIFS('TỔNG KLH + TN'!$B:$B,'01. TH'!$B146,'TỔNG KLH + TN'!$C:$C,'01. TH'!U$4)</f>
        <v>0</v>
      </c>
      <c r="V146" s="1042">
        <f>COUNTIFS('TỔNG KLH + TN'!$B:$B,'01. TH'!$B146,'TỔNG KLH + TN'!$C:$C,'01. TH'!V$4)</f>
        <v>0</v>
      </c>
      <c r="W146" s="1042">
        <f>COUNTIFS('TỔNG KLH + TN'!$B:$B,'01. TH'!$B146,'TỔNG KLH + TN'!$C:$C,'01. TH'!W$4)</f>
        <v>0</v>
      </c>
      <c r="X146" s="1042">
        <f>COUNTIFS('TỔNG KLH + TN'!$B:$B,'01. TH'!$B146,'TỔNG KLH + TN'!$C:$C,'01. TH'!X$4)</f>
        <v>0</v>
      </c>
      <c r="Y146" s="1042">
        <f>COUNTIFS('TỔNG KLH + TN'!$B:$B,'01. TH'!$B146,'TỔNG KLH + TN'!$C:$C,'01. TH'!Y$4)</f>
        <v>0</v>
      </c>
      <c r="Z146" s="1042">
        <f>COUNTIFS('TỔNG KLH + TN'!$B:$B,'01. TH'!$B146,'TỔNG KLH + TN'!$C:$C,'01. TH'!Z$4)</f>
        <v>0</v>
      </c>
      <c r="AA146" s="1042">
        <f>COUNTIFS('TỔNG KLH + TN'!$B:$B,'01. TH'!$B146,'TỔNG KLH + TN'!$C:$C,'01. TH'!AA$4)</f>
        <v>0</v>
      </c>
      <c r="AB146" s="1042">
        <f>COUNTIFS('TỔNG KLH + TN'!$B:$B,'01. TH'!$B146,'TỔNG KLH + TN'!$C:$C,'01. TH'!AB$4)</f>
        <v>0</v>
      </c>
      <c r="AC146" s="1042">
        <f>COUNTIFS('TỔNG KLH + TN'!$B:$B,'01. TH'!$B146,'TỔNG KLH + TN'!$C:$C,'01. TH'!AC$4)</f>
        <v>0</v>
      </c>
      <c r="AD146" s="1042">
        <f>COUNTIFS('TỔNG KLH + TN'!$B:$B,'01. TH'!$B146,'TỔNG KLH + TN'!$C:$C,'01. TH'!AD$4)</f>
        <v>0</v>
      </c>
      <c r="AE146" s="1043">
        <f t="shared" si="29"/>
        <v>0</v>
      </c>
      <c r="AF146" s="1043"/>
      <c r="AG146" s="1033" t="str">
        <f t="shared" si="23"/>
        <v>ok</v>
      </c>
      <c r="AH146" s="1041"/>
    </row>
    <row r="147" ht="24" customHeight="1" collapsed="1" spans="1:34">
      <c r="A147" s="1033">
        <v>15</v>
      </c>
      <c r="B147" s="1034" t="s">
        <v>236</v>
      </c>
      <c r="C147" s="1035"/>
      <c r="D147" s="1035" t="str">
        <f>IFERROR(VLOOKUP(B147,'Danh mục'!$G:$U,15,0),"")</f>
        <v/>
      </c>
      <c r="E147" s="1035"/>
      <c r="F147" s="1047">
        <f t="shared" ref="F147:AE147" si="30">SUM(F148:F158)</f>
        <v>0</v>
      </c>
      <c r="G147" s="1047">
        <f t="shared" si="30"/>
        <v>0</v>
      </c>
      <c r="H147" s="1047">
        <f t="shared" si="30"/>
        <v>0</v>
      </c>
      <c r="I147" s="1047">
        <f t="shared" si="30"/>
        <v>0</v>
      </c>
      <c r="J147" s="1047">
        <f t="shared" si="30"/>
        <v>0</v>
      </c>
      <c r="K147" s="1047">
        <f t="shared" si="30"/>
        <v>0</v>
      </c>
      <c r="L147" s="1047">
        <f t="shared" si="30"/>
        <v>0</v>
      </c>
      <c r="M147" s="1047">
        <f t="shared" si="30"/>
        <v>4</v>
      </c>
      <c r="N147" s="1047">
        <f t="shared" si="30"/>
        <v>0</v>
      </c>
      <c r="O147" s="1047">
        <f t="shared" si="30"/>
        <v>0</v>
      </c>
      <c r="P147" s="1047">
        <f t="shared" si="30"/>
        <v>0</v>
      </c>
      <c r="Q147" s="1047">
        <f t="shared" si="30"/>
        <v>0</v>
      </c>
      <c r="R147" s="1047">
        <f t="shared" si="30"/>
        <v>0</v>
      </c>
      <c r="S147" s="1047">
        <f t="shared" si="30"/>
        <v>0</v>
      </c>
      <c r="T147" s="1047">
        <f t="shared" si="30"/>
        <v>0</v>
      </c>
      <c r="U147" s="1047">
        <f t="shared" si="30"/>
        <v>0</v>
      </c>
      <c r="V147" s="1047">
        <f t="shared" si="30"/>
        <v>1</v>
      </c>
      <c r="W147" s="1047">
        <f t="shared" si="30"/>
        <v>0</v>
      </c>
      <c r="X147" s="1047">
        <f t="shared" si="30"/>
        <v>0</v>
      </c>
      <c r="Y147" s="1047">
        <f t="shared" si="30"/>
        <v>0</v>
      </c>
      <c r="Z147" s="1047">
        <f t="shared" si="30"/>
        <v>0</v>
      </c>
      <c r="AA147" s="1047">
        <f t="shared" si="30"/>
        <v>0</v>
      </c>
      <c r="AB147" s="1047">
        <f t="shared" si="30"/>
        <v>2</v>
      </c>
      <c r="AC147" s="1047">
        <f t="shared" si="30"/>
        <v>0</v>
      </c>
      <c r="AD147" s="1047">
        <f t="shared" si="30"/>
        <v>0</v>
      </c>
      <c r="AE147" s="1048">
        <f t="shared" si="30"/>
        <v>7</v>
      </c>
      <c r="AF147" s="1048">
        <v>0</v>
      </c>
      <c r="AG147" s="1033" t="str">
        <f t="shared" si="23"/>
        <v>ok</v>
      </c>
      <c r="AH147" s="1038"/>
    </row>
    <row r="148" ht="18.75" hidden="1" customHeight="1" outlineLevel="1" spans="1:34">
      <c r="A148" s="1044"/>
      <c r="B148" s="1040" t="s">
        <v>237</v>
      </c>
      <c r="C148" s="1041" t="s">
        <v>208</v>
      </c>
      <c r="D148" s="1041" t="str">
        <f>IFERROR(VLOOKUP(B148,'Danh mục'!$G:$U,15,0),"")</f>
        <v/>
      </c>
      <c r="E148" s="1041" t="s">
        <v>42</v>
      </c>
      <c r="F148" s="1042">
        <f>COUNTIFS('TỔNG KLH + TN'!$B:$B,'01. TH'!$B148,'TỔNG KLH + TN'!$C:$C,'01. TH'!F$4)</f>
        <v>0</v>
      </c>
      <c r="G148" s="1042">
        <f>COUNTIFS('TỔNG KLH + TN'!$B:$B,'01. TH'!$B148,'TỔNG KLH + TN'!$C:$C,'01. TH'!G$4)</f>
        <v>0</v>
      </c>
      <c r="H148" s="1042">
        <f>COUNTIFS('TỔNG KLH + TN'!$B:$B,'01. TH'!$B148,'TỔNG KLH + TN'!$C:$C,'01. TH'!H$4)</f>
        <v>0</v>
      </c>
      <c r="I148" s="1042">
        <f>COUNTIFS('TỔNG KLH + TN'!$B:$B,'01. TH'!$B148,'TỔNG KLH + TN'!$C:$C,'01. TH'!I$4)</f>
        <v>0</v>
      </c>
      <c r="J148" s="1042">
        <f>COUNTIFS('TỔNG KLH + TN'!$B:$B,'01. TH'!$B148,'TỔNG KLH + TN'!$C:$C,'01. TH'!J$4)</f>
        <v>0</v>
      </c>
      <c r="K148" s="1042">
        <f>COUNTIFS('TỔNG KLH + TN'!$B:$B,'01. TH'!$B148,'TỔNG KLH + TN'!$C:$C,'01. TH'!K$4)</f>
        <v>0</v>
      </c>
      <c r="L148" s="1042">
        <f>COUNTIFS('TỔNG KLH + TN'!$B:$B,'01. TH'!$B148,'TỔNG KLH + TN'!$C:$C,'01. TH'!L$4)</f>
        <v>0</v>
      </c>
      <c r="M148" s="1042">
        <f>COUNTIFS('TỔNG KLH + TN'!$B:$B,'01. TH'!$B148,'TỔNG KLH + TN'!$C:$C,'01. TH'!M$4)</f>
        <v>0</v>
      </c>
      <c r="N148" s="1042">
        <f>COUNTIFS('TỔNG KLH + TN'!$B:$B,'01. TH'!$B148,'TỔNG KLH + TN'!$C:$C,'01. TH'!N$4)</f>
        <v>0</v>
      </c>
      <c r="O148" s="1042">
        <f>COUNTIFS('TỔNG KLH + TN'!$B:$B,'01. TH'!$B148,'TỔNG KLH + TN'!$C:$C,'01. TH'!O$4)</f>
        <v>0</v>
      </c>
      <c r="P148" s="1042">
        <f>COUNTIFS('TỔNG KLH + TN'!$B:$B,'01. TH'!$B148,'TỔNG KLH + TN'!$C:$C,'01. TH'!P$4)</f>
        <v>0</v>
      </c>
      <c r="Q148" s="1042">
        <f>COUNTIFS('TỔNG KLH + TN'!$B:$B,'01. TH'!$B148,'TỔNG KLH + TN'!$C:$C,'01. TH'!Q$4)</f>
        <v>0</v>
      </c>
      <c r="R148" s="1042">
        <f>COUNTIFS('TỔNG KLH + TN'!$B:$B,'01. TH'!$B148,'TỔNG KLH + TN'!$C:$C,'01. TH'!R$4)</f>
        <v>0</v>
      </c>
      <c r="S148" s="1042">
        <f>COUNTIFS('TỔNG KLH + TN'!$B:$B,'01. TH'!$B148,'TỔNG KLH + TN'!$C:$C,'01. TH'!S$4)</f>
        <v>0</v>
      </c>
      <c r="T148" s="1042">
        <f>COUNTIFS('TỔNG KLH + TN'!$B:$B,'01. TH'!$B148,'TỔNG KLH + TN'!$C:$C,'01. TH'!T$4)</f>
        <v>0</v>
      </c>
      <c r="U148" s="1042">
        <f>COUNTIFS('TỔNG KLH + TN'!$B:$B,'01. TH'!$B148,'TỔNG KLH + TN'!$C:$C,'01. TH'!U$4)</f>
        <v>0</v>
      </c>
      <c r="V148" s="1042">
        <f>COUNTIFS('TỔNG KLH + TN'!$B:$B,'01. TH'!$B148,'TỔNG KLH + TN'!$C:$C,'01. TH'!V$4)</f>
        <v>0</v>
      </c>
      <c r="W148" s="1042">
        <f>COUNTIFS('TỔNG KLH + TN'!$B:$B,'01. TH'!$B148,'TỔNG KLH + TN'!$C:$C,'01. TH'!W$4)</f>
        <v>0</v>
      </c>
      <c r="X148" s="1042">
        <f>COUNTIFS('TỔNG KLH + TN'!$B:$B,'01. TH'!$B148,'TỔNG KLH + TN'!$C:$C,'01. TH'!X$4)</f>
        <v>0</v>
      </c>
      <c r="Y148" s="1042">
        <f>COUNTIFS('TỔNG KLH + TN'!$B:$B,'01. TH'!$B148,'TỔNG KLH + TN'!$C:$C,'01. TH'!Y$4)</f>
        <v>0</v>
      </c>
      <c r="Z148" s="1042">
        <f>COUNTIFS('TỔNG KLH + TN'!$B:$B,'01. TH'!$B148,'TỔNG KLH + TN'!$C:$C,'01. TH'!Z$4)</f>
        <v>0</v>
      </c>
      <c r="AA148" s="1042">
        <f>COUNTIFS('TỔNG KLH + TN'!$B:$B,'01. TH'!$B148,'TỔNG KLH + TN'!$C:$C,'01. TH'!AA$4)</f>
        <v>0</v>
      </c>
      <c r="AB148" s="1042">
        <f>COUNTIFS('TỔNG KLH + TN'!$B:$B,'01. TH'!$B148,'TỔNG KLH + TN'!$C:$C,'01. TH'!AB$4)</f>
        <v>0</v>
      </c>
      <c r="AC148" s="1042">
        <f>COUNTIFS('TỔNG KLH + TN'!$B:$B,'01. TH'!$B148,'TỔNG KLH + TN'!$C:$C,'01. TH'!AC$4)</f>
        <v>0</v>
      </c>
      <c r="AD148" s="1042">
        <f>COUNTIFS('TỔNG KLH + TN'!$B:$B,'01. TH'!$B148,'TỔNG KLH + TN'!$C:$C,'01. TH'!AD$4)</f>
        <v>0</v>
      </c>
      <c r="AE148" s="1045">
        <f t="shared" ref="AE148:AE158" si="31">SUM(F148:AD148)</f>
        <v>0</v>
      </c>
      <c r="AF148" s="1045"/>
      <c r="AG148" s="1033" t="str">
        <f t="shared" si="23"/>
        <v>ok</v>
      </c>
      <c r="AH148" s="1046"/>
    </row>
    <row r="149" ht="18.75" hidden="1" customHeight="1" outlineLevel="1" spans="1:34">
      <c r="A149" s="1039"/>
      <c r="B149" s="1040" t="s">
        <v>238</v>
      </c>
      <c r="C149" s="1041" t="s">
        <v>208</v>
      </c>
      <c r="D149" s="1041" t="str">
        <f>IFERROR(VLOOKUP(B149,'Danh mục'!$G:$U,15,0),"")</f>
        <v/>
      </c>
      <c r="E149" s="1041" t="s">
        <v>42</v>
      </c>
      <c r="F149" s="1042">
        <f>COUNTIFS('TỔNG KLH + TN'!$B:$B,'01. TH'!$B149,'TỔNG KLH + TN'!$C:$C,'01. TH'!F$4)</f>
        <v>0</v>
      </c>
      <c r="G149" s="1042">
        <f>COUNTIFS('TỔNG KLH + TN'!$B:$B,'01. TH'!$B149,'TỔNG KLH + TN'!$C:$C,'01. TH'!G$4)</f>
        <v>0</v>
      </c>
      <c r="H149" s="1042">
        <f>COUNTIFS('TỔNG KLH + TN'!$B:$B,'01. TH'!$B149,'TỔNG KLH + TN'!$C:$C,'01. TH'!H$4)</f>
        <v>0</v>
      </c>
      <c r="I149" s="1042">
        <f>COUNTIFS('TỔNG KLH + TN'!$B:$B,'01. TH'!$B149,'TỔNG KLH + TN'!$C:$C,'01. TH'!I$4)</f>
        <v>0</v>
      </c>
      <c r="J149" s="1042">
        <f>COUNTIFS('TỔNG KLH + TN'!$B:$B,'01. TH'!$B149,'TỔNG KLH + TN'!$C:$C,'01. TH'!J$4)</f>
        <v>0</v>
      </c>
      <c r="K149" s="1042">
        <f>COUNTIFS('TỔNG KLH + TN'!$B:$B,'01. TH'!$B149,'TỔNG KLH + TN'!$C:$C,'01. TH'!K$4)</f>
        <v>0</v>
      </c>
      <c r="L149" s="1042">
        <f>COUNTIFS('TỔNG KLH + TN'!$B:$B,'01. TH'!$B149,'TỔNG KLH + TN'!$C:$C,'01. TH'!L$4)</f>
        <v>0</v>
      </c>
      <c r="M149" s="1042">
        <f>COUNTIFS('TỔNG KLH + TN'!$B:$B,'01. TH'!$B149,'TỔNG KLH + TN'!$C:$C,'01. TH'!M$4)</f>
        <v>0</v>
      </c>
      <c r="N149" s="1042">
        <f>COUNTIFS('TỔNG KLH + TN'!$B:$B,'01. TH'!$B149,'TỔNG KLH + TN'!$C:$C,'01. TH'!N$4)</f>
        <v>0</v>
      </c>
      <c r="O149" s="1042">
        <f>COUNTIFS('TỔNG KLH + TN'!$B:$B,'01. TH'!$B149,'TỔNG KLH + TN'!$C:$C,'01. TH'!O$4)</f>
        <v>0</v>
      </c>
      <c r="P149" s="1042">
        <f>COUNTIFS('TỔNG KLH + TN'!$B:$B,'01. TH'!$B149,'TỔNG KLH + TN'!$C:$C,'01. TH'!P$4)</f>
        <v>0</v>
      </c>
      <c r="Q149" s="1042">
        <f>COUNTIFS('TỔNG KLH + TN'!$B:$B,'01. TH'!$B149,'TỔNG KLH + TN'!$C:$C,'01. TH'!Q$4)</f>
        <v>0</v>
      </c>
      <c r="R149" s="1042">
        <f>COUNTIFS('TỔNG KLH + TN'!$B:$B,'01. TH'!$B149,'TỔNG KLH + TN'!$C:$C,'01. TH'!R$4)</f>
        <v>0</v>
      </c>
      <c r="S149" s="1042">
        <f>COUNTIFS('TỔNG KLH + TN'!$B:$B,'01. TH'!$B149,'TỔNG KLH + TN'!$C:$C,'01. TH'!S$4)</f>
        <v>0</v>
      </c>
      <c r="T149" s="1042">
        <f>COUNTIFS('TỔNG KLH + TN'!$B:$B,'01. TH'!$B149,'TỔNG KLH + TN'!$C:$C,'01. TH'!T$4)</f>
        <v>0</v>
      </c>
      <c r="U149" s="1042">
        <f>COUNTIFS('TỔNG KLH + TN'!$B:$B,'01. TH'!$B149,'TỔNG KLH + TN'!$C:$C,'01. TH'!U$4)</f>
        <v>0</v>
      </c>
      <c r="V149" s="1042">
        <f>COUNTIFS('TỔNG KLH + TN'!$B:$B,'01. TH'!$B149,'TỔNG KLH + TN'!$C:$C,'01. TH'!V$4)</f>
        <v>1</v>
      </c>
      <c r="W149" s="1042">
        <f>COUNTIFS('TỔNG KLH + TN'!$B:$B,'01. TH'!$B149,'TỔNG KLH + TN'!$C:$C,'01. TH'!W$4)</f>
        <v>0</v>
      </c>
      <c r="X149" s="1042">
        <f>COUNTIFS('TỔNG KLH + TN'!$B:$B,'01. TH'!$B149,'TỔNG KLH + TN'!$C:$C,'01. TH'!X$4)</f>
        <v>0</v>
      </c>
      <c r="Y149" s="1042">
        <f>COUNTIFS('TỔNG KLH + TN'!$B:$B,'01. TH'!$B149,'TỔNG KLH + TN'!$C:$C,'01. TH'!Y$4)</f>
        <v>0</v>
      </c>
      <c r="Z149" s="1042">
        <f>COUNTIFS('TỔNG KLH + TN'!$B:$B,'01. TH'!$B149,'TỔNG KLH + TN'!$C:$C,'01. TH'!Z$4)</f>
        <v>0</v>
      </c>
      <c r="AA149" s="1042">
        <f>COUNTIFS('TỔNG KLH + TN'!$B:$B,'01. TH'!$B149,'TỔNG KLH + TN'!$C:$C,'01. TH'!AA$4)</f>
        <v>0</v>
      </c>
      <c r="AB149" s="1042">
        <f>COUNTIFS('TỔNG KLH + TN'!$B:$B,'01. TH'!$B149,'TỔNG KLH + TN'!$C:$C,'01. TH'!AB$4)</f>
        <v>0</v>
      </c>
      <c r="AC149" s="1042">
        <f>COUNTIFS('TỔNG KLH + TN'!$B:$B,'01. TH'!$B149,'TỔNG KLH + TN'!$C:$C,'01. TH'!AC$4)</f>
        <v>0</v>
      </c>
      <c r="AD149" s="1042">
        <f>COUNTIFS('TỔNG KLH + TN'!$B:$B,'01. TH'!$B149,'TỔNG KLH + TN'!$C:$C,'01. TH'!AD$4)</f>
        <v>0</v>
      </c>
      <c r="AE149" s="1043">
        <f t="shared" si="31"/>
        <v>1</v>
      </c>
      <c r="AF149" s="1043"/>
      <c r="AG149" s="1033" t="str">
        <f t="shared" si="23"/>
        <v>ok</v>
      </c>
      <c r="AH149" s="1053"/>
    </row>
    <row r="150" ht="18.75" hidden="1" customHeight="1" outlineLevel="1" spans="1:34">
      <c r="A150" s="1044"/>
      <c r="B150" s="1040" t="s">
        <v>239</v>
      </c>
      <c r="C150" s="1041" t="s">
        <v>208</v>
      </c>
      <c r="D150" s="1041" t="str">
        <f>IFERROR(VLOOKUP(B150,'Danh mục'!$G:$U,15,0),"")</f>
        <v/>
      </c>
      <c r="E150" s="1041" t="s">
        <v>42</v>
      </c>
      <c r="F150" s="1042">
        <f>COUNTIFS('TỔNG KLH + TN'!$B:$B,'01. TH'!$B150,'TỔNG KLH + TN'!$C:$C,'01. TH'!F$4)</f>
        <v>0</v>
      </c>
      <c r="G150" s="1042">
        <f>COUNTIFS('TỔNG KLH + TN'!$B:$B,'01. TH'!$B150,'TỔNG KLH + TN'!$C:$C,'01. TH'!G$4)</f>
        <v>0</v>
      </c>
      <c r="H150" s="1042">
        <f>COUNTIFS('TỔNG KLH + TN'!$B:$B,'01. TH'!$B150,'TỔNG KLH + TN'!$C:$C,'01. TH'!H$4)</f>
        <v>0</v>
      </c>
      <c r="I150" s="1042">
        <f>COUNTIFS('TỔNG KLH + TN'!$B:$B,'01. TH'!$B150,'TỔNG KLH + TN'!$C:$C,'01. TH'!I$4)</f>
        <v>0</v>
      </c>
      <c r="J150" s="1042">
        <f>COUNTIFS('TỔNG KLH + TN'!$B:$B,'01. TH'!$B150,'TỔNG KLH + TN'!$C:$C,'01. TH'!J$4)</f>
        <v>0</v>
      </c>
      <c r="K150" s="1042">
        <f>COUNTIFS('TỔNG KLH + TN'!$B:$B,'01. TH'!$B150,'TỔNG KLH + TN'!$C:$C,'01. TH'!K$4)</f>
        <v>0</v>
      </c>
      <c r="L150" s="1042">
        <f>COUNTIFS('TỔNG KLH + TN'!$B:$B,'01. TH'!$B150,'TỔNG KLH + TN'!$C:$C,'01. TH'!L$4)</f>
        <v>0</v>
      </c>
      <c r="M150" s="1042">
        <f>COUNTIFS('TỔNG KLH + TN'!$B:$B,'01. TH'!$B150,'TỔNG KLH + TN'!$C:$C,'01. TH'!M$4)</f>
        <v>0</v>
      </c>
      <c r="N150" s="1042">
        <f>COUNTIFS('TỔNG KLH + TN'!$B:$B,'01. TH'!$B150,'TỔNG KLH + TN'!$C:$C,'01. TH'!N$4)</f>
        <v>0</v>
      </c>
      <c r="O150" s="1042">
        <f>COUNTIFS('TỔNG KLH + TN'!$B:$B,'01. TH'!$B150,'TỔNG KLH + TN'!$C:$C,'01. TH'!O$4)</f>
        <v>0</v>
      </c>
      <c r="P150" s="1042">
        <f>COUNTIFS('TỔNG KLH + TN'!$B:$B,'01. TH'!$B150,'TỔNG KLH + TN'!$C:$C,'01. TH'!P$4)</f>
        <v>0</v>
      </c>
      <c r="Q150" s="1042">
        <f>COUNTIFS('TỔNG KLH + TN'!$B:$B,'01. TH'!$B150,'TỔNG KLH + TN'!$C:$C,'01. TH'!Q$4)</f>
        <v>0</v>
      </c>
      <c r="R150" s="1042">
        <f>COUNTIFS('TỔNG KLH + TN'!$B:$B,'01. TH'!$B150,'TỔNG KLH + TN'!$C:$C,'01. TH'!R$4)</f>
        <v>0</v>
      </c>
      <c r="S150" s="1042">
        <f>COUNTIFS('TỔNG KLH + TN'!$B:$B,'01. TH'!$B150,'TỔNG KLH + TN'!$C:$C,'01. TH'!S$4)</f>
        <v>0</v>
      </c>
      <c r="T150" s="1042">
        <f>COUNTIFS('TỔNG KLH + TN'!$B:$B,'01. TH'!$B150,'TỔNG KLH + TN'!$C:$C,'01. TH'!T$4)</f>
        <v>0</v>
      </c>
      <c r="U150" s="1042">
        <f>COUNTIFS('TỔNG KLH + TN'!$B:$B,'01. TH'!$B150,'TỔNG KLH + TN'!$C:$C,'01. TH'!U$4)</f>
        <v>0</v>
      </c>
      <c r="V150" s="1042">
        <f>COUNTIFS('TỔNG KLH + TN'!$B:$B,'01. TH'!$B150,'TỔNG KLH + TN'!$C:$C,'01. TH'!V$4)</f>
        <v>0</v>
      </c>
      <c r="W150" s="1042">
        <f>COUNTIFS('TỔNG KLH + TN'!$B:$B,'01. TH'!$B150,'TỔNG KLH + TN'!$C:$C,'01. TH'!W$4)</f>
        <v>0</v>
      </c>
      <c r="X150" s="1042">
        <f>COUNTIFS('TỔNG KLH + TN'!$B:$B,'01. TH'!$B150,'TỔNG KLH + TN'!$C:$C,'01. TH'!X$4)</f>
        <v>0</v>
      </c>
      <c r="Y150" s="1042">
        <f>COUNTIFS('TỔNG KLH + TN'!$B:$B,'01. TH'!$B150,'TỔNG KLH + TN'!$C:$C,'01. TH'!Y$4)</f>
        <v>0</v>
      </c>
      <c r="Z150" s="1042">
        <f>COUNTIFS('TỔNG KLH + TN'!$B:$B,'01. TH'!$B150,'TỔNG KLH + TN'!$C:$C,'01. TH'!Z$4)</f>
        <v>0</v>
      </c>
      <c r="AA150" s="1042">
        <f>COUNTIFS('TỔNG KLH + TN'!$B:$B,'01. TH'!$B150,'TỔNG KLH + TN'!$C:$C,'01. TH'!AA$4)</f>
        <v>0</v>
      </c>
      <c r="AB150" s="1042">
        <f>COUNTIFS('TỔNG KLH + TN'!$B:$B,'01. TH'!$B150,'TỔNG KLH + TN'!$C:$C,'01. TH'!AB$4)</f>
        <v>0</v>
      </c>
      <c r="AC150" s="1042">
        <f>COUNTIFS('TỔNG KLH + TN'!$B:$B,'01. TH'!$B150,'TỔNG KLH + TN'!$C:$C,'01. TH'!AC$4)</f>
        <v>0</v>
      </c>
      <c r="AD150" s="1042">
        <f>COUNTIFS('TỔNG KLH + TN'!$B:$B,'01. TH'!$B150,'TỔNG KLH + TN'!$C:$C,'01. TH'!AD$4)</f>
        <v>0</v>
      </c>
      <c r="AE150" s="1045">
        <f t="shared" si="31"/>
        <v>0</v>
      </c>
      <c r="AF150" s="1045"/>
      <c r="AG150" s="1033" t="str">
        <f t="shared" si="23"/>
        <v>ok</v>
      </c>
      <c r="AH150" s="1046"/>
    </row>
    <row r="151" ht="18.75" hidden="1" customHeight="1" outlineLevel="1" spans="1:34">
      <c r="A151" s="1044"/>
      <c r="B151" s="1040" t="s">
        <v>240</v>
      </c>
      <c r="C151" s="1041" t="s">
        <v>208</v>
      </c>
      <c r="D151" s="1041" t="str">
        <f>IFERROR(VLOOKUP(B151,'Danh mục'!$G:$U,15,0),"")</f>
        <v/>
      </c>
      <c r="E151" s="1041" t="s">
        <v>42</v>
      </c>
      <c r="F151" s="1042">
        <f>COUNTIFS('TỔNG KLH + TN'!$B:$B,'01. TH'!$B151,'TỔNG KLH + TN'!$C:$C,'01. TH'!F$4)</f>
        <v>0</v>
      </c>
      <c r="G151" s="1042">
        <f>COUNTIFS('TỔNG KLH + TN'!$B:$B,'01. TH'!$B151,'TỔNG KLH + TN'!$C:$C,'01. TH'!G$4)</f>
        <v>0</v>
      </c>
      <c r="H151" s="1042">
        <f>COUNTIFS('TỔNG KLH + TN'!$B:$B,'01. TH'!$B151,'TỔNG KLH + TN'!$C:$C,'01. TH'!H$4)</f>
        <v>0</v>
      </c>
      <c r="I151" s="1042">
        <f>COUNTIFS('TỔNG KLH + TN'!$B:$B,'01. TH'!$B151,'TỔNG KLH + TN'!$C:$C,'01. TH'!I$4)</f>
        <v>0</v>
      </c>
      <c r="J151" s="1042">
        <f>COUNTIFS('TỔNG KLH + TN'!$B:$B,'01. TH'!$B151,'TỔNG KLH + TN'!$C:$C,'01. TH'!J$4)</f>
        <v>0</v>
      </c>
      <c r="K151" s="1042">
        <f>COUNTIFS('TỔNG KLH + TN'!$B:$B,'01. TH'!$B151,'TỔNG KLH + TN'!$C:$C,'01. TH'!K$4)</f>
        <v>0</v>
      </c>
      <c r="L151" s="1042">
        <f>COUNTIFS('TỔNG KLH + TN'!$B:$B,'01. TH'!$B151,'TỔNG KLH + TN'!$C:$C,'01. TH'!L$4)</f>
        <v>0</v>
      </c>
      <c r="M151" s="1042">
        <f>COUNTIFS('TỔNG KLH + TN'!$B:$B,'01. TH'!$B151,'TỔNG KLH + TN'!$C:$C,'01. TH'!M$4)</f>
        <v>1</v>
      </c>
      <c r="N151" s="1042">
        <f>COUNTIFS('TỔNG KLH + TN'!$B:$B,'01. TH'!$B151,'TỔNG KLH + TN'!$C:$C,'01. TH'!N$4)</f>
        <v>0</v>
      </c>
      <c r="O151" s="1042">
        <f>COUNTIFS('TỔNG KLH + TN'!$B:$B,'01. TH'!$B151,'TỔNG KLH + TN'!$C:$C,'01. TH'!O$4)</f>
        <v>0</v>
      </c>
      <c r="P151" s="1042">
        <f>COUNTIFS('TỔNG KLH + TN'!$B:$B,'01. TH'!$B151,'TỔNG KLH + TN'!$C:$C,'01. TH'!P$4)</f>
        <v>0</v>
      </c>
      <c r="Q151" s="1042">
        <f>COUNTIFS('TỔNG KLH + TN'!$B:$B,'01. TH'!$B151,'TỔNG KLH + TN'!$C:$C,'01. TH'!Q$4)</f>
        <v>0</v>
      </c>
      <c r="R151" s="1042">
        <f>COUNTIFS('TỔNG KLH + TN'!$B:$B,'01. TH'!$B151,'TỔNG KLH + TN'!$C:$C,'01. TH'!R$4)</f>
        <v>0</v>
      </c>
      <c r="S151" s="1042">
        <f>COUNTIFS('TỔNG KLH + TN'!$B:$B,'01. TH'!$B151,'TỔNG KLH + TN'!$C:$C,'01. TH'!S$4)</f>
        <v>0</v>
      </c>
      <c r="T151" s="1042">
        <f>COUNTIFS('TỔNG KLH + TN'!$B:$B,'01. TH'!$B151,'TỔNG KLH + TN'!$C:$C,'01. TH'!T$4)</f>
        <v>0</v>
      </c>
      <c r="U151" s="1042">
        <f>COUNTIFS('TỔNG KLH + TN'!$B:$B,'01. TH'!$B151,'TỔNG KLH + TN'!$C:$C,'01. TH'!U$4)</f>
        <v>0</v>
      </c>
      <c r="V151" s="1042">
        <f>COUNTIFS('TỔNG KLH + TN'!$B:$B,'01. TH'!$B151,'TỔNG KLH + TN'!$C:$C,'01. TH'!V$4)</f>
        <v>0</v>
      </c>
      <c r="W151" s="1042">
        <f>COUNTIFS('TỔNG KLH + TN'!$B:$B,'01. TH'!$B151,'TỔNG KLH + TN'!$C:$C,'01. TH'!W$4)</f>
        <v>0</v>
      </c>
      <c r="X151" s="1042">
        <f>COUNTIFS('TỔNG KLH + TN'!$B:$B,'01. TH'!$B151,'TỔNG KLH + TN'!$C:$C,'01. TH'!X$4)</f>
        <v>0</v>
      </c>
      <c r="Y151" s="1042">
        <f>COUNTIFS('TỔNG KLH + TN'!$B:$B,'01. TH'!$B151,'TỔNG KLH + TN'!$C:$C,'01. TH'!Y$4)</f>
        <v>0</v>
      </c>
      <c r="Z151" s="1042">
        <f>COUNTIFS('TỔNG KLH + TN'!$B:$B,'01. TH'!$B151,'TỔNG KLH + TN'!$C:$C,'01. TH'!Z$4)</f>
        <v>0</v>
      </c>
      <c r="AA151" s="1042">
        <f>COUNTIFS('TỔNG KLH + TN'!$B:$B,'01. TH'!$B151,'TỔNG KLH + TN'!$C:$C,'01. TH'!AA$4)</f>
        <v>0</v>
      </c>
      <c r="AB151" s="1042">
        <f>COUNTIFS('TỔNG KLH + TN'!$B:$B,'01. TH'!$B151,'TỔNG KLH + TN'!$C:$C,'01. TH'!AB$4)</f>
        <v>1</v>
      </c>
      <c r="AC151" s="1042">
        <f>COUNTIFS('TỔNG KLH + TN'!$B:$B,'01. TH'!$B151,'TỔNG KLH + TN'!$C:$C,'01. TH'!AC$4)</f>
        <v>0</v>
      </c>
      <c r="AD151" s="1042">
        <f>COUNTIFS('TỔNG KLH + TN'!$B:$B,'01. TH'!$B151,'TỔNG KLH + TN'!$C:$C,'01. TH'!AD$4)</f>
        <v>0</v>
      </c>
      <c r="AE151" s="1045">
        <f t="shared" si="31"/>
        <v>2</v>
      </c>
      <c r="AF151" s="1045"/>
      <c r="AG151" s="1033" t="str">
        <f t="shared" si="23"/>
        <v>ok</v>
      </c>
      <c r="AH151" s="1053"/>
    </row>
    <row r="152" ht="18.75" hidden="1" customHeight="1" outlineLevel="1" spans="1:34">
      <c r="A152" s="1044"/>
      <c r="B152" s="1040" t="s">
        <v>241</v>
      </c>
      <c r="C152" s="1041" t="s">
        <v>242</v>
      </c>
      <c r="D152" s="1041" t="str">
        <f>IFERROR(VLOOKUP(B152,'Danh mục'!$G:$U,15,0),"")</f>
        <v/>
      </c>
      <c r="E152" s="1041" t="s">
        <v>42</v>
      </c>
      <c r="F152" s="1042">
        <f>COUNTIFS('TỔNG KLH + TN'!$B:$B,'01. TH'!$B152,'TỔNG KLH + TN'!$C:$C,'01. TH'!F$4)</f>
        <v>0</v>
      </c>
      <c r="G152" s="1042">
        <f>COUNTIFS('TỔNG KLH + TN'!$B:$B,'01. TH'!$B152,'TỔNG KLH + TN'!$C:$C,'01. TH'!G$4)</f>
        <v>0</v>
      </c>
      <c r="H152" s="1042">
        <f>COUNTIFS('TỔNG KLH + TN'!$B:$B,'01. TH'!$B152,'TỔNG KLH + TN'!$C:$C,'01. TH'!H$4)</f>
        <v>0</v>
      </c>
      <c r="I152" s="1042">
        <f>COUNTIFS('TỔNG KLH + TN'!$B:$B,'01. TH'!$B152,'TỔNG KLH + TN'!$C:$C,'01. TH'!I$4)</f>
        <v>0</v>
      </c>
      <c r="J152" s="1042">
        <f>COUNTIFS('TỔNG KLH + TN'!$B:$B,'01. TH'!$B152,'TỔNG KLH + TN'!$C:$C,'01. TH'!J$4)</f>
        <v>0</v>
      </c>
      <c r="K152" s="1042">
        <f>COUNTIFS('TỔNG KLH + TN'!$B:$B,'01. TH'!$B152,'TỔNG KLH + TN'!$C:$C,'01. TH'!K$4)</f>
        <v>0</v>
      </c>
      <c r="L152" s="1042">
        <f>COUNTIFS('TỔNG KLH + TN'!$B:$B,'01. TH'!$B152,'TỔNG KLH + TN'!$C:$C,'01. TH'!L$4)</f>
        <v>0</v>
      </c>
      <c r="M152" s="1042">
        <f>COUNTIFS('TỔNG KLH + TN'!$B:$B,'01. TH'!$B152,'TỔNG KLH + TN'!$C:$C,'01. TH'!M$4)</f>
        <v>0</v>
      </c>
      <c r="N152" s="1042">
        <f>COUNTIFS('TỔNG KLH + TN'!$B:$B,'01. TH'!$B152,'TỔNG KLH + TN'!$C:$C,'01. TH'!N$4)</f>
        <v>0</v>
      </c>
      <c r="O152" s="1042">
        <f>COUNTIFS('TỔNG KLH + TN'!$B:$B,'01. TH'!$B152,'TỔNG KLH + TN'!$C:$C,'01. TH'!O$4)</f>
        <v>0</v>
      </c>
      <c r="P152" s="1042">
        <f>COUNTIFS('TỔNG KLH + TN'!$B:$B,'01. TH'!$B152,'TỔNG KLH + TN'!$C:$C,'01. TH'!P$4)</f>
        <v>0</v>
      </c>
      <c r="Q152" s="1042">
        <f>COUNTIFS('TỔNG KLH + TN'!$B:$B,'01. TH'!$B152,'TỔNG KLH + TN'!$C:$C,'01. TH'!Q$4)</f>
        <v>0</v>
      </c>
      <c r="R152" s="1042">
        <f>COUNTIFS('TỔNG KLH + TN'!$B:$B,'01. TH'!$B152,'TỔNG KLH + TN'!$C:$C,'01. TH'!R$4)</f>
        <v>0</v>
      </c>
      <c r="S152" s="1042">
        <f>COUNTIFS('TỔNG KLH + TN'!$B:$B,'01. TH'!$B152,'TỔNG KLH + TN'!$C:$C,'01. TH'!S$4)</f>
        <v>0</v>
      </c>
      <c r="T152" s="1042">
        <f>COUNTIFS('TỔNG KLH + TN'!$B:$B,'01. TH'!$B152,'TỔNG KLH + TN'!$C:$C,'01. TH'!T$4)</f>
        <v>0</v>
      </c>
      <c r="U152" s="1042">
        <f>COUNTIFS('TỔNG KLH + TN'!$B:$B,'01. TH'!$B152,'TỔNG KLH + TN'!$C:$C,'01. TH'!U$4)</f>
        <v>0</v>
      </c>
      <c r="V152" s="1042">
        <f>COUNTIFS('TỔNG KLH + TN'!$B:$B,'01. TH'!$B152,'TỔNG KLH + TN'!$C:$C,'01. TH'!V$4)</f>
        <v>0</v>
      </c>
      <c r="W152" s="1042">
        <f>COUNTIFS('TỔNG KLH + TN'!$B:$B,'01. TH'!$B152,'TỔNG KLH + TN'!$C:$C,'01. TH'!W$4)</f>
        <v>0</v>
      </c>
      <c r="X152" s="1042">
        <f>COUNTIFS('TỔNG KLH + TN'!$B:$B,'01. TH'!$B152,'TỔNG KLH + TN'!$C:$C,'01. TH'!X$4)</f>
        <v>0</v>
      </c>
      <c r="Y152" s="1042">
        <f>COUNTIFS('TỔNG KLH + TN'!$B:$B,'01. TH'!$B152,'TỔNG KLH + TN'!$C:$C,'01. TH'!Y$4)</f>
        <v>0</v>
      </c>
      <c r="Z152" s="1042">
        <f>COUNTIFS('TỔNG KLH + TN'!$B:$B,'01. TH'!$B152,'TỔNG KLH + TN'!$C:$C,'01. TH'!Z$4)</f>
        <v>0</v>
      </c>
      <c r="AA152" s="1042">
        <f>COUNTIFS('TỔNG KLH + TN'!$B:$B,'01. TH'!$B152,'TỔNG KLH + TN'!$C:$C,'01. TH'!AA$4)</f>
        <v>0</v>
      </c>
      <c r="AB152" s="1042">
        <f>COUNTIFS('TỔNG KLH + TN'!$B:$B,'01. TH'!$B152,'TỔNG KLH + TN'!$C:$C,'01. TH'!AB$4)</f>
        <v>0</v>
      </c>
      <c r="AC152" s="1042">
        <f>COUNTIFS('TỔNG KLH + TN'!$B:$B,'01. TH'!$B152,'TỔNG KLH + TN'!$C:$C,'01. TH'!AC$4)</f>
        <v>0</v>
      </c>
      <c r="AD152" s="1042">
        <f>COUNTIFS('TỔNG KLH + TN'!$B:$B,'01. TH'!$B152,'TỔNG KLH + TN'!$C:$C,'01. TH'!AD$4)</f>
        <v>0</v>
      </c>
      <c r="AE152" s="1045">
        <f t="shared" si="31"/>
        <v>0</v>
      </c>
      <c r="AF152" s="1045"/>
      <c r="AG152" s="1033" t="str">
        <f t="shared" si="23"/>
        <v>ok</v>
      </c>
      <c r="AH152" s="1046"/>
    </row>
    <row r="153" ht="18.75" hidden="1" customHeight="1" outlineLevel="1" spans="1:34">
      <c r="A153" s="1044"/>
      <c r="B153" s="1040" t="s">
        <v>243</v>
      </c>
      <c r="C153" s="1041" t="s">
        <v>219</v>
      </c>
      <c r="D153" s="1041" t="str">
        <f>IFERROR(VLOOKUP(B153,'Danh mục'!$G:$U,15,0),"")</f>
        <v/>
      </c>
      <c r="E153" s="1041" t="s">
        <v>42</v>
      </c>
      <c r="F153" s="1042">
        <f>COUNTIFS('TỔNG KLH + TN'!$B:$B,'01. TH'!$B153,'TỔNG KLH + TN'!$C:$C,'01. TH'!F$4)</f>
        <v>0</v>
      </c>
      <c r="G153" s="1042">
        <f>COUNTIFS('TỔNG KLH + TN'!$B:$B,'01. TH'!$B153,'TỔNG KLH + TN'!$C:$C,'01. TH'!G$4)</f>
        <v>0</v>
      </c>
      <c r="H153" s="1042">
        <f>COUNTIFS('TỔNG KLH + TN'!$B:$B,'01. TH'!$B153,'TỔNG KLH + TN'!$C:$C,'01. TH'!H$4)</f>
        <v>0</v>
      </c>
      <c r="I153" s="1042">
        <f>COUNTIFS('TỔNG KLH + TN'!$B:$B,'01. TH'!$B153,'TỔNG KLH + TN'!$C:$C,'01. TH'!I$4)</f>
        <v>0</v>
      </c>
      <c r="J153" s="1042">
        <f>COUNTIFS('TỔNG KLH + TN'!$B:$B,'01. TH'!$B153,'TỔNG KLH + TN'!$C:$C,'01. TH'!J$4)</f>
        <v>0</v>
      </c>
      <c r="K153" s="1042">
        <f>COUNTIFS('TỔNG KLH + TN'!$B:$B,'01. TH'!$B153,'TỔNG KLH + TN'!$C:$C,'01. TH'!K$4)</f>
        <v>0</v>
      </c>
      <c r="L153" s="1042">
        <f>COUNTIFS('TỔNG KLH + TN'!$B:$B,'01. TH'!$B153,'TỔNG KLH + TN'!$C:$C,'01. TH'!L$4)</f>
        <v>0</v>
      </c>
      <c r="M153" s="1042">
        <f>COUNTIFS('TỔNG KLH + TN'!$B:$B,'01. TH'!$B153,'TỔNG KLH + TN'!$C:$C,'01. TH'!M$4)</f>
        <v>0</v>
      </c>
      <c r="N153" s="1042">
        <f>COUNTIFS('TỔNG KLH + TN'!$B:$B,'01. TH'!$B153,'TỔNG KLH + TN'!$C:$C,'01. TH'!N$4)</f>
        <v>0</v>
      </c>
      <c r="O153" s="1042">
        <f>COUNTIFS('TỔNG KLH + TN'!$B:$B,'01. TH'!$B153,'TỔNG KLH + TN'!$C:$C,'01. TH'!O$4)</f>
        <v>0</v>
      </c>
      <c r="P153" s="1042">
        <f>COUNTIFS('TỔNG KLH + TN'!$B:$B,'01. TH'!$B153,'TỔNG KLH + TN'!$C:$C,'01. TH'!P$4)</f>
        <v>0</v>
      </c>
      <c r="Q153" s="1042">
        <f>COUNTIFS('TỔNG KLH + TN'!$B:$B,'01. TH'!$B153,'TỔNG KLH + TN'!$C:$C,'01. TH'!Q$4)</f>
        <v>0</v>
      </c>
      <c r="R153" s="1042">
        <f>COUNTIFS('TỔNG KLH + TN'!$B:$B,'01. TH'!$B153,'TỔNG KLH + TN'!$C:$C,'01. TH'!R$4)</f>
        <v>0</v>
      </c>
      <c r="S153" s="1042">
        <f>COUNTIFS('TỔNG KLH + TN'!$B:$B,'01. TH'!$B153,'TỔNG KLH + TN'!$C:$C,'01. TH'!S$4)</f>
        <v>0</v>
      </c>
      <c r="T153" s="1042">
        <f>COUNTIFS('TỔNG KLH + TN'!$B:$B,'01. TH'!$B153,'TỔNG KLH + TN'!$C:$C,'01. TH'!T$4)</f>
        <v>0</v>
      </c>
      <c r="U153" s="1042">
        <f>COUNTIFS('TỔNG KLH + TN'!$B:$B,'01. TH'!$B153,'TỔNG KLH + TN'!$C:$C,'01. TH'!U$4)</f>
        <v>0</v>
      </c>
      <c r="V153" s="1042">
        <f>COUNTIFS('TỔNG KLH + TN'!$B:$B,'01. TH'!$B153,'TỔNG KLH + TN'!$C:$C,'01. TH'!V$4)</f>
        <v>0</v>
      </c>
      <c r="W153" s="1042">
        <f>COUNTIFS('TỔNG KLH + TN'!$B:$B,'01. TH'!$B153,'TỔNG KLH + TN'!$C:$C,'01. TH'!W$4)</f>
        <v>0</v>
      </c>
      <c r="X153" s="1042">
        <f>COUNTIFS('TỔNG KLH + TN'!$B:$B,'01. TH'!$B153,'TỔNG KLH + TN'!$C:$C,'01. TH'!X$4)</f>
        <v>0</v>
      </c>
      <c r="Y153" s="1042">
        <f>COUNTIFS('TỔNG KLH + TN'!$B:$B,'01. TH'!$B153,'TỔNG KLH + TN'!$C:$C,'01. TH'!Y$4)</f>
        <v>0</v>
      </c>
      <c r="Z153" s="1042">
        <f>COUNTIFS('TỔNG KLH + TN'!$B:$B,'01. TH'!$B153,'TỔNG KLH + TN'!$C:$C,'01. TH'!Z$4)</f>
        <v>0</v>
      </c>
      <c r="AA153" s="1042">
        <f>COUNTIFS('TỔNG KLH + TN'!$B:$B,'01. TH'!$B153,'TỔNG KLH + TN'!$C:$C,'01. TH'!AA$4)</f>
        <v>0</v>
      </c>
      <c r="AB153" s="1042">
        <f>COUNTIFS('TỔNG KLH + TN'!$B:$B,'01. TH'!$B153,'TỔNG KLH + TN'!$C:$C,'01. TH'!AB$4)</f>
        <v>0</v>
      </c>
      <c r="AC153" s="1042">
        <f>COUNTIFS('TỔNG KLH + TN'!$B:$B,'01. TH'!$B153,'TỔNG KLH + TN'!$C:$C,'01. TH'!AC$4)</f>
        <v>0</v>
      </c>
      <c r="AD153" s="1042">
        <f>COUNTIFS('TỔNG KLH + TN'!$B:$B,'01. TH'!$B153,'TỔNG KLH + TN'!$C:$C,'01. TH'!AD$4)</f>
        <v>0</v>
      </c>
      <c r="AE153" s="1045">
        <f t="shared" si="31"/>
        <v>0</v>
      </c>
      <c r="AF153" s="1045"/>
      <c r="AG153" s="1033" t="str">
        <f t="shared" si="23"/>
        <v>ok</v>
      </c>
      <c r="AH153" s="1053"/>
    </row>
    <row r="154" ht="18.75" hidden="1" customHeight="1" outlineLevel="1" spans="1:34">
      <c r="A154" s="1044"/>
      <c r="B154" s="1040" t="s">
        <v>244</v>
      </c>
      <c r="C154" s="1041" t="s">
        <v>208</v>
      </c>
      <c r="D154" s="1041" t="str">
        <f>IFERROR(VLOOKUP(B154,'Danh mục'!$G:$U,15,0),"")</f>
        <v/>
      </c>
      <c r="E154" s="1041" t="s">
        <v>42</v>
      </c>
      <c r="F154" s="1042">
        <f>COUNTIFS('TỔNG KLH + TN'!$B:$B,'01. TH'!$B154,'TỔNG KLH + TN'!$C:$C,'01. TH'!F$4)</f>
        <v>0</v>
      </c>
      <c r="G154" s="1042">
        <f>COUNTIFS('TỔNG KLH + TN'!$B:$B,'01. TH'!$B154,'TỔNG KLH + TN'!$C:$C,'01. TH'!G$4)</f>
        <v>0</v>
      </c>
      <c r="H154" s="1042">
        <f>COUNTIFS('TỔNG KLH + TN'!$B:$B,'01. TH'!$B154,'TỔNG KLH + TN'!$C:$C,'01. TH'!H$4)</f>
        <v>0</v>
      </c>
      <c r="I154" s="1042">
        <f>COUNTIFS('TỔNG KLH + TN'!$B:$B,'01. TH'!$B154,'TỔNG KLH + TN'!$C:$C,'01. TH'!I$4)</f>
        <v>0</v>
      </c>
      <c r="J154" s="1042">
        <f>COUNTIFS('TỔNG KLH + TN'!$B:$B,'01. TH'!$B154,'TỔNG KLH + TN'!$C:$C,'01. TH'!J$4)</f>
        <v>0</v>
      </c>
      <c r="K154" s="1042">
        <f>COUNTIFS('TỔNG KLH + TN'!$B:$B,'01. TH'!$B154,'TỔNG KLH + TN'!$C:$C,'01. TH'!K$4)</f>
        <v>0</v>
      </c>
      <c r="L154" s="1042">
        <f>COUNTIFS('TỔNG KLH + TN'!$B:$B,'01. TH'!$B154,'TỔNG KLH + TN'!$C:$C,'01. TH'!L$4)</f>
        <v>0</v>
      </c>
      <c r="M154" s="1042">
        <f>COUNTIFS('TỔNG KLH + TN'!$B:$B,'01. TH'!$B154,'TỔNG KLH + TN'!$C:$C,'01. TH'!M$4)</f>
        <v>1</v>
      </c>
      <c r="N154" s="1042">
        <f>COUNTIFS('TỔNG KLH + TN'!$B:$B,'01. TH'!$B154,'TỔNG KLH + TN'!$C:$C,'01. TH'!N$4)</f>
        <v>0</v>
      </c>
      <c r="O154" s="1042">
        <f>COUNTIFS('TỔNG KLH + TN'!$B:$B,'01. TH'!$B154,'TỔNG KLH + TN'!$C:$C,'01. TH'!O$4)</f>
        <v>0</v>
      </c>
      <c r="P154" s="1042">
        <f>COUNTIFS('TỔNG KLH + TN'!$B:$B,'01. TH'!$B154,'TỔNG KLH + TN'!$C:$C,'01. TH'!P$4)</f>
        <v>0</v>
      </c>
      <c r="Q154" s="1042">
        <f>COUNTIFS('TỔNG KLH + TN'!$B:$B,'01. TH'!$B154,'TỔNG KLH + TN'!$C:$C,'01. TH'!Q$4)</f>
        <v>0</v>
      </c>
      <c r="R154" s="1042">
        <f>COUNTIFS('TỔNG KLH + TN'!$B:$B,'01. TH'!$B154,'TỔNG KLH + TN'!$C:$C,'01. TH'!R$4)</f>
        <v>0</v>
      </c>
      <c r="S154" s="1042">
        <f>COUNTIFS('TỔNG KLH + TN'!$B:$B,'01. TH'!$B154,'TỔNG KLH + TN'!$C:$C,'01. TH'!S$4)</f>
        <v>0</v>
      </c>
      <c r="T154" s="1042">
        <f>COUNTIFS('TỔNG KLH + TN'!$B:$B,'01. TH'!$B154,'TỔNG KLH + TN'!$C:$C,'01. TH'!T$4)</f>
        <v>0</v>
      </c>
      <c r="U154" s="1042">
        <f>COUNTIFS('TỔNG KLH + TN'!$B:$B,'01. TH'!$B154,'TỔNG KLH + TN'!$C:$C,'01. TH'!U$4)</f>
        <v>0</v>
      </c>
      <c r="V154" s="1042">
        <f>COUNTIFS('TỔNG KLH + TN'!$B:$B,'01. TH'!$B154,'TỔNG KLH + TN'!$C:$C,'01. TH'!V$4)</f>
        <v>0</v>
      </c>
      <c r="W154" s="1042">
        <f>COUNTIFS('TỔNG KLH + TN'!$B:$B,'01. TH'!$B154,'TỔNG KLH + TN'!$C:$C,'01. TH'!W$4)</f>
        <v>0</v>
      </c>
      <c r="X154" s="1042">
        <f>COUNTIFS('TỔNG KLH + TN'!$B:$B,'01. TH'!$B154,'TỔNG KLH + TN'!$C:$C,'01. TH'!X$4)</f>
        <v>0</v>
      </c>
      <c r="Y154" s="1042">
        <f>COUNTIFS('TỔNG KLH + TN'!$B:$B,'01. TH'!$B154,'TỔNG KLH + TN'!$C:$C,'01. TH'!Y$4)</f>
        <v>0</v>
      </c>
      <c r="Z154" s="1042">
        <f>COUNTIFS('TỔNG KLH + TN'!$B:$B,'01. TH'!$B154,'TỔNG KLH + TN'!$C:$C,'01. TH'!Z$4)</f>
        <v>0</v>
      </c>
      <c r="AA154" s="1042">
        <f>COUNTIFS('TỔNG KLH + TN'!$B:$B,'01. TH'!$B154,'TỔNG KLH + TN'!$C:$C,'01. TH'!AA$4)</f>
        <v>0</v>
      </c>
      <c r="AB154" s="1042">
        <f>COUNTIFS('TỔNG KLH + TN'!$B:$B,'01. TH'!$B154,'TỔNG KLH + TN'!$C:$C,'01. TH'!AB$4)</f>
        <v>0</v>
      </c>
      <c r="AC154" s="1042">
        <f>COUNTIFS('TỔNG KLH + TN'!$B:$B,'01. TH'!$B154,'TỔNG KLH + TN'!$C:$C,'01. TH'!AC$4)</f>
        <v>0</v>
      </c>
      <c r="AD154" s="1042">
        <f>COUNTIFS('TỔNG KLH + TN'!$B:$B,'01. TH'!$B154,'TỔNG KLH + TN'!$C:$C,'01. TH'!AD$4)</f>
        <v>0</v>
      </c>
      <c r="AE154" s="1045">
        <f t="shared" si="31"/>
        <v>1</v>
      </c>
      <c r="AF154" s="1045"/>
      <c r="AG154" s="1033" t="str">
        <f t="shared" si="23"/>
        <v>ok</v>
      </c>
      <c r="AH154" s="1053"/>
    </row>
    <row r="155" ht="18.75" hidden="1" customHeight="1" outlineLevel="1" spans="1:34">
      <c r="A155" s="1044"/>
      <c r="B155" s="1040" t="s">
        <v>245</v>
      </c>
      <c r="C155" s="1041" t="s">
        <v>208</v>
      </c>
      <c r="D155" s="1041" t="str">
        <f>IFERROR(VLOOKUP(B155,'Danh mục'!$G:$U,15,0),"")</f>
        <v/>
      </c>
      <c r="E155" s="1041" t="s">
        <v>42</v>
      </c>
      <c r="F155" s="1042">
        <f>COUNTIFS('TỔNG KLH + TN'!$B:$B,'01. TH'!$B155,'TỔNG KLH + TN'!$C:$C,'01. TH'!F$4)</f>
        <v>0</v>
      </c>
      <c r="G155" s="1042">
        <f>COUNTIFS('TỔNG KLH + TN'!$B:$B,'01. TH'!$B155,'TỔNG KLH + TN'!$C:$C,'01. TH'!G$4)</f>
        <v>0</v>
      </c>
      <c r="H155" s="1042">
        <f>COUNTIFS('TỔNG KLH + TN'!$B:$B,'01. TH'!$B155,'TỔNG KLH + TN'!$C:$C,'01. TH'!H$4)</f>
        <v>0</v>
      </c>
      <c r="I155" s="1042">
        <f>COUNTIFS('TỔNG KLH + TN'!$B:$B,'01. TH'!$B155,'TỔNG KLH + TN'!$C:$C,'01. TH'!I$4)</f>
        <v>0</v>
      </c>
      <c r="J155" s="1042">
        <f>COUNTIFS('TỔNG KLH + TN'!$B:$B,'01. TH'!$B155,'TỔNG KLH + TN'!$C:$C,'01. TH'!J$4)</f>
        <v>0</v>
      </c>
      <c r="K155" s="1042">
        <f>COUNTIFS('TỔNG KLH + TN'!$B:$B,'01. TH'!$B155,'TỔNG KLH + TN'!$C:$C,'01. TH'!K$4)</f>
        <v>0</v>
      </c>
      <c r="L155" s="1042">
        <f>COUNTIFS('TỔNG KLH + TN'!$B:$B,'01. TH'!$B155,'TỔNG KLH + TN'!$C:$C,'01. TH'!L$4)</f>
        <v>0</v>
      </c>
      <c r="M155" s="1042">
        <f>COUNTIFS('TỔNG KLH + TN'!$B:$B,'01. TH'!$B155,'TỔNG KLH + TN'!$C:$C,'01. TH'!M$4)</f>
        <v>2</v>
      </c>
      <c r="N155" s="1042">
        <f>COUNTIFS('TỔNG KLH + TN'!$B:$B,'01. TH'!$B155,'TỔNG KLH + TN'!$C:$C,'01. TH'!N$4)</f>
        <v>0</v>
      </c>
      <c r="O155" s="1042">
        <f>COUNTIFS('TỔNG KLH + TN'!$B:$B,'01. TH'!$B155,'TỔNG KLH + TN'!$C:$C,'01. TH'!O$4)</f>
        <v>0</v>
      </c>
      <c r="P155" s="1042">
        <f>COUNTIFS('TỔNG KLH + TN'!$B:$B,'01. TH'!$B155,'TỔNG KLH + TN'!$C:$C,'01. TH'!P$4)</f>
        <v>0</v>
      </c>
      <c r="Q155" s="1042">
        <f>COUNTIFS('TỔNG KLH + TN'!$B:$B,'01. TH'!$B155,'TỔNG KLH + TN'!$C:$C,'01. TH'!Q$4)</f>
        <v>0</v>
      </c>
      <c r="R155" s="1042">
        <f>COUNTIFS('TỔNG KLH + TN'!$B:$B,'01. TH'!$B155,'TỔNG KLH + TN'!$C:$C,'01. TH'!R$4)</f>
        <v>0</v>
      </c>
      <c r="S155" s="1042">
        <f>COUNTIFS('TỔNG KLH + TN'!$B:$B,'01. TH'!$B155,'TỔNG KLH + TN'!$C:$C,'01. TH'!S$4)</f>
        <v>0</v>
      </c>
      <c r="T155" s="1042">
        <f>COUNTIFS('TỔNG KLH + TN'!$B:$B,'01. TH'!$B155,'TỔNG KLH + TN'!$C:$C,'01. TH'!T$4)</f>
        <v>0</v>
      </c>
      <c r="U155" s="1042">
        <f>COUNTIFS('TỔNG KLH + TN'!$B:$B,'01. TH'!$B155,'TỔNG KLH + TN'!$C:$C,'01. TH'!U$4)</f>
        <v>0</v>
      </c>
      <c r="V155" s="1042">
        <f>COUNTIFS('TỔNG KLH + TN'!$B:$B,'01. TH'!$B155,'TỔNG KLH + TN'!$C:$C,'01. TH'!V$4)</f>
        <v>0</v>
      </c>
      <c r="W155" s="1042">
        <f>COUNTIFS('TỔNG KLH + TN'!$B:$B,'01. TH'!$B155,'TỔNG KLH + TN'!$C:$C,'01. TH'!W$4)</f>
        <v>0</v>
      </c>
      <c r="X155" s="1042">
        <f>COUNTIFS('TỔNG KLH + TN'!$B:$B,'01. TH'!$B155,'TỔNG KLH + TN'!$C:$C,'01. TH'!X$4)</f>
        <v>0</v>
      </c>
      <c r="Y155" s="1042">
        <f>COUNTIFS('TỔNG KLH + TN'!$B:$B,'01. TH'!$B155,'TỔNG KLH + TN'!$C:$C,'01. TH'!Y$4)</f>
        <v>0</v>
      </c>
      <c r="Z155" s="1042">
        <f>COUNTIFS('TỔNG KLH + TN'!$B:$B,'01. TH'!$B155,'TỔNG KLH + TN'!$C:$C,'01. TH'!Z$4)</f>
        <v>0</v>
      </c>
      <c r="AA155" s="1042">
        <f>COUNTIFS('TỔNG KLH + TN'!$B:$B,'01. TH'!$B155,'TỔNG KLH + TN'!$C:$C,'01. TH'!AA$4)</f>
        <v>0</v>
      </c>
      <c r="AB155" s="1042">
        <f>COUNTIFS('TỔNG KLH + TN'!$B:$B,'01. TH'!$B155,'TỔNG KLH + TN'!$C:$C,'01. TH'!AB$4)</f>
        <v>0</v>
      </c>
      <c r="AC155" s="1042">
        <f>COUNTIFS('TỔNG KLH + TN'!$B:$B,'01. TH'!$B155,'TỔNG KLH + TN'!$C:$C,'01. TH'!AC$4)</f>
        <v>0</v>
      </c>
      <c r="AD155" s="1042">
        <f>COUNTIFS('TỔNG KLH + TN'!$B:$B,'01. TH'!$B155,'TỔNG KLH + TN'!$C:$C,'01. TH'!AD$4)</f>
        <v>0</v>
      </c>
      <c r="AE155" s="1045">
        <f t="shared" si="31"/>
        <v>2</v>
      </c>
      <c r="AF155" s="1045"/>
      <c r="AG155" s="1033" t="str">
        <f t="shared" si="23"/>
        <v>ok</v>
      </c>
      <c r="AH155" s="1053"/>
    </row>
    <row r="156" ht="18.75" hidden="1" customHeight="1" outlineLevel="1" spans="1:34">
      <c r="A156" s="1044"/>
      <c r="B156" s="1040" t="s">
        <v>246</v>
      </c>
      <c r="C156" s="1041" t="s">
        <v>219</v>
      </c>
      <c r="D156" s="1041" t="str">
        <f>IFERROR(VLOOKUP(B156,'Danh mục'!$G:$U,15,0),"")</f>
        <v/>
      </c>
      <c r="E156" s="1041" t="s">
        <v>42</v>
      </c>
      <c r="F156" s="1042">
        <f>COUNTIFS('TỔNG KLH + TN'!$B:$B,'01. TH'!$B156,'TỔNG KLH + TN'!$C:$C,'01. TH'!F$4)</f>
        <v>0</v>
      </c>
      <c r="G156" s="1042">
        <f>COUNTIFS('TỔNG KLH + TN'!$B:$B,'01. TH'!$B156,'TỔNG KLH + TN'!$C:$C,'01. TH'!G$4)</f>
        <v>0</v>
      </c>
      <c r="H156" s="1042">
        <f>COUNTIFS('TỔNG KLH + TN'!$B:$B,'01. TH'!$B156,'TỔNG KLH + TN'!$C:$C,'01. TH'!H$4)</f>
        <v>0</v>
      </c>
      <c r="I156" s="1042">
        <f>COUNTIFS('TỔNG KLH + TN'!$B:$B,'01. TH'!$B156,'TỔNG KLH + TN'!$C:$C,'01. TH'!I$4)</f>
        <v>0</v>
      </c>
      <c r="J156" s="1042">
        <f>COUNTIFS('TỔNG KLH + TN'!$B:$B,'01. TH'!$B156,'TỔNG KLH + TN'!$C:$C,'01. TH'!J$4)</f>
        <v>0</v>
      </c>
      <c r="K156" s="1042">
        <f>COUNTIFS('TỔNG KLH + TN'!$B:$B,'01. TH'!$B156,'TỔNG KLH + TN'!$C:$C,'01. TH'!K$4)</f>
        <v>0</v>
      </c>
      <c r="L156" s="1042">
        <f>COUNTIFS('TỔNG KLH + TN'!$B:$B,'01. TH'!$B156,'TỔNG KLH + TN'!$C:$C,'01. TH'!L$4)</f>
        <v>0</v>
      </c>
      <c r="M156" s="1042">
        <f>COUNTIFS('TỔNG KLH + TN'!$B:$B,'01. TH'!$B156,'TỔNG KLH + TN'!$C:$C,'01. TH'!M$4)</f>
        <v>0</v>
      </c>
      <c r="N156" s="1042">
        <f>COUNTIFS('TỔNG KLH + TN'!$B:$B,'01. TH'!$B156,'TỔNG KLH + TN'!$C:$C,'01. TH'!N$4)</f>
        <v>0</v>
      </c>
      <c r="O156" s="1042">
        <f>COUNTIFS('TỔNG KLH + TN'!$B:$B,'01. TH'!$B156,'TỔNG KLH + TN'!$C:$C,'01. TH'!O$4)</f>
        <v>0</v>
      </c>
      <c r="P156" s="1042">
        <f>COUNTIFS('TỔNG KLH + TN'!$B:$B,'01. TH'!$B156,'TỔNG KLH + TN'!$C:$C,'01. TH'!P$4)</f>
        <v>0</v>
      </c>
      <c r="Q156" s="1042">
        <f>COUNTIFS('TỔNG KLH + TN'!$B:$B,'01. TH'!$B156,'TỔNG KLH + TN'!$C:$C,'01. TH'!Q$4)</f>
        <v>0</v>
      </c>
      <c r="R156" s="1042">
        <f>COUNTIFS('TỔNG KLH + TN'!$B:$B,'01. TH'!$B156,'TỔNG KLH + TN'!$C:$C,'01. TH'!R$4)</f>
        <v>0</v>
      </c>
      <c r="S156" s="1042">
        <f>COUNTIFS('TỔNG KLH + TN'!$B:$B,'01. TH'!$B156,'TỔNG KLH + TN'!$C:$C,'01. TH'!S$4)</f>
        <v>0</v>
      </c>
      <c r="T156" s="1042">
        <f>COUNTIFS('TỔNG KLH + TN'!$B:$B,'01. TH'!$B156,'TỔNG KLH + TN'!$C:$C,'01. TH'!T$4)</f>
        <v>0</v>
      </c>
      <c r="U156" s="1042">
        <f>COUNTIFS('TỔNG KLH + TN'!$B:$B,'01. TH'!$B156,'TỔNG KLH + TN'!$C:$C,'01. TH'!U$4)</f>
        <v>0</v>
      </c>
      <c r="V156" s="1042">
        <f>COUNTIFS('TỔNG KLH + TN'!$B:$B,'01. TH'!$B156,'TỔNG KLH + TN'!$C:$C,'01. TH'!V$4)</f>
        <v>0</v>
      </c>
      <c r="W156" s="1042">
        <f>COUNTIFS('TỔNG KLH + TN'!$B:$B,'01. TH'!$B156,'TỔNG KLH + TN'!$C:$C,'01. TH'!W$4)</f>
        <v>0</v>
      </c>
      <c r="X156" s="1042">
        <f>COUNTIFS('TỔNG KLH + TN'!$B:$B,'01. TH'!$B156,'TỔNG KLH + TN'!$C:$C,'01. TH'!X$4)</f>
        <v>0</v>
      </c>
      <c r="Y156" s="1042">
        <f>COUNTIFS('TỔNG KLH + TN'!$B:$B,'01. TH'!$B156,'TỔNG KLH + TN'!$C:$C,'01. TH'!Y$4)</f>
        <v>0</v>
      </c>
      <c r="Z156" s="1042">
        <f>COUNTIFS('TỔNG KLH + TN'!$B:$B,'01. TH'!$B156,'TỔNG KLH + TN'!$C:$C,'01. TH'!Z$4)</f>
        <v>0</v>
      </c>
      <c r="AA156" s="1042">
        <f>COUNTIFS('TỔNG KLH + TN'!$B:$B,'01. TH'!$B156,'TỔNG KLH + TN'!$C:$C,'01. TH'!AA$4)</f>
        <v>0</v>
      </c>
      <c r="AB156" s="1042">
        <f>COUNTIFS('TỔNG KLH + TN'!$B:$B,'01. TH'!$B156,'TỔNG KLH + TN'!$C:$C,'01. TH'!AB$4)</f>
        <v>1</v>
      </c>
      <c r="AC156" s="1042">
        <f>COUNTIFS('TỔNG KLH + TN'!$B:$B,'01. TH'!$B156,'TỔNG KLH + TN'!$C:$C,'01. TH'!AC$4)</f>
        <v>0</v>
      </c>
      <c r="AD156" s="1042">
        <f>COUNTIFS('TỔNG KLH + TN'!$B:$B,'01. TH'!$B156,'TỔNG KLH + TN'!$C:$C,'01. TH'!AD$4)</f>
        <v>0</v>
      </c>
      <c r="AE156" s="1045">
        <f t="shared" si="31"/>
        <v>1</v>
      </c>
      <c r="AF156" s="1045"/>
      <c r="AG156" s="1033" t="str">
        <f t="shared" si="23"/>
        <v>ok</v>
      </c>
      <c r="AH156" s="1046"/>
    </row>
    <row r="157" ht="18.75" hidden="1" customHeight="1" outlineLevel="1" spans="1:34">
      <c r="A157" s="1044"/>
      <c r="B157" s="1040" t="s">
        <v>247</v>
      </c>
      <c r="C157" s="1041" t="s">
        <v>248</v>
      </c>
      <c r="D157" s="1041" t="str">
        <f>IFERROR(VLOOKUP(B157,'Danh mục'!$G:$U,15,0),"")</f>
        <v/>
      </c>
      <c r="E157" s="1041" t="s">
        <v>42</v>
      </c>
      <c r="F157" s="1042">
        <f>COUNTIFS('TỔNG KLH + TN'!$B:$B,'01. TH'!$B157,'TỔNG KLH + TN'!$C:$C,'01. TH'!F$4)</f>
        <v>0</v>
      </c>
      <c r="G157" s="1042">
        <f>COUNTIFS('TỔNG KLH + TN'!$B:$B,'01. TH'!$B157,'TỔNG KLH + TN'!$C:$C,'01. TH'!G$4)</f>
        <v>0</v>
      </c>
      <c r="H157" s="1042">
        <f>COUNTIFS('TỔNG KLH + TN'!$B:$B,'01. TH'!$B157,'TỔNG KLH + TN'!$C:$C,'01. TH'!H$4)</f>
        <v>0</v>
      </c>
      <c r="I157" s="1042">
        <f>COUNTIFS('TỔNG KLH + TN'!$B:$B,'01. TH'!$B157,'TỔNG KLH + TN'!$C:$C,'01. TH'!I$4)</f>
        <v>0</v>
      </c>
      <c r="J157" s="1042">
        <f>COUNTIFS('TỔNG KLH + TN'!$B:$B,'01. TH'!$B157,'TỔNG KLH + TN'!$C:$C,'01. TH'!J$4)</f>
        <v>0</v>
      </c>
      <c r="K157" s="1042">
        <f>COUNTIFS('TỔNG KLH + TN'!$B:$B,'01. TH'!$B157,'TỔNG KLH + TN'!$C:$C,'01. TH'!K$4)</f>
        <v>0</v>
      </c>
      <c r="L157" s="1042">
        <f>COUNTIFS('TỔNG KLH + TN'!$B:$B,'01. TH'!$B157,'TỔNG KLH + TN'!$C:$C,'01. TH'!L$4)</f>
        <v>0</v>
      </c>
      <c r="M157" s="1042">
        <f>COUNTIFS('TỔNG KLH + TN'!$B:$B,'01. TH'!$B157,'TỔNG KLH + TN'!$C:$C,'01. TH'!M$4)</f>
        <v>0</v>
      </c>
      <c r="N157" s="1042">
        <f>COUNTIFS('TỔNG KLH + TN'!$B:$B,'01. TH'!$B157,'TỔNG KLH + TN'!$C:$C,'01. TH'!N$4)</f>
        <v>0</v>
      </c>
      <c r="O157" s="1042">
        <f>COUNTIFS('TỔNG KLH + TN'!$B:$B,'01. TH'!$B157,'TỔNG KLH + TN'!$C:$C,'01. TH'!O$4)</f>
        <v>0</v>
      </c>
      <c r="P157" s="1042">
        <f>COUNTIFS('TỔNG KLH + TN'!$B:$B,'01. TH'!$B157,'TỔNG KLH + TN'!$C:$C,'01. TH'!P$4)</f>
        <v>0</v>
      </c>
      <c r="Q157" s="1042">
        <f>COUNTIFS('TỔNG KLH + TN'!$B:$B,'01. TH'!$B157,'TỔNG KLH + TN'!$C:$C,'01. TH'!Q$4)</f>
        <v>0</v>
      </c>
      <c r="R157" s="1042">
        <f>COUNTIFS('TỔNG KLH + TN'!$B:$B,'01. TH'!$B157,'TỔNG KLH + TN'!$C:$C,'01. TH'!R$4)</f>
        <v>0</v>
      </c>
      <c r="S157" s="1042">
        <f>COUNTIFS('TỔNG KLH + TN'!$B:$B,'01. TH'!$B157,'TỔNG KLH + TN'!$C:$C,'01. TH'!S$4)</f>
        <v>0</v>
      </c>
      <c r="T157" s="1042">
        <f>COUNTIFS('TỔNG KLH + TN'!$B:$B,'01. TH'!$B157,'TỔNG KLH + TN'!$C:$C,'01. TH'!T$4)</f>
        <v>0</v>
      </c>
      <c r="U157" s="1042">
        <f>COUNTIFS('TỔNG KLH + TN'!$B:$B,'01. TH'!$B157,'TỔNG KLH + TN'!$C:$C,'01. TH'!U$4)</f>
        <v>0</v>
      </c>
      <c r="V157" s="1042">
        <f>COUNTIFS('TỔNG KLH + TN'!$B:$B,'01. TH'!$B157,'TỔNG KLH + TN'!$C:$C,'01. TH'!V$4)</f>
        <v>0</v>
      </c>
      <c r="W157" s="1042">
        <f>COUNTIFS('TỔNG KLH + TN'!$B:$B,'01. TH'!$B157,'TỔNG KLH + TN'!$C:$C,'01. TH'!W$4)</f>
        <v>0</v>
      </c>
      <c r="X157" s="1042">
        <f>COUNTIFS('TỔNG KLH + TN'!$B:$B,'01. TH'!$B157,'TỔNG KLH + TN'!$C:$C,'01. TH'!X$4)</f>
        <v>0</v>
      </c>
      <c r="Y157" s="1042">
        <f>COUNTIFS('TỔNG KLH + TN'!$B:$B,'01. TH'!$B157,'TỔNG KLH + TN'!$C:$C,'01. TH'!Y$4)</f>
        <v>0</v>
      </c>
      <c r="Z157" s="1042">
        <f>COUNTIFS('TỔNG KLH + TN'!$B:$B,'01. TH'!$B157,'TỔNG KLH + TN'!$C:$C,'01. TH'!Z$4)</f>
        <v>0</v>
      </c>
      <c r="AA157" s="1042">
        <f>COUNTIFS('TỔNG KLH + TN'!$B:$B,'01. TH'!$B157,'TỔNG KLH + TN'!$C:$C,'01. TH'!AA$4)</f>
        <v>0</v>
      </c>
      <c r="AB157" s="1042">
        <f>COUNTIFS('TỔNG KLH + TN'!$B:$B,'01. TH'!$B157,'TỔNG KLH + TN'!$C:$C,'01. TH'!AB$4)</f>
        <v>0</v>
      </c>
      <c r="AC157" s="1042">
        <f>COUNTIFS('TỔNG KLH + TN'!$B:$B,'01. TH'!$B157,'TỔNG KLH + TN'!$C:$C,'01. TH'!AC$4)</f>
        <v>0</v>
      </c>
      <c r="AD157" s="1042">
        <f>COUNTIFS('TỔNG KLH + TN'!$B:$B,'01. TH'!$B157,'TỔNG KLH + TN'!$C:$C,'01. TH'!AD$4)</f>
        <v>0</v>
      </c>
      <c r="AE157" s="1045">
        <f t="shared" si="31"/>
        <v>0</v>
      </c>
      <c r="AF157" s="1045"/>
      <c r="AG157" s="1033" t="str">
        <f t="shared" si="23"/>
        <v>ok</v>
      </c>
      <c r="AH157" s="1046"/>
    </row>
    <row r="158" ht="18.75" hidden="1" customHeight="1" outlineLevel="1" spans="1:34">
      <c r="A158" s="1044"/>
      <c r="B158" s="1040" t="s">
        <v>249</v>
      </c>
      <c r="C158" s="1041" t="s">
        <v>208</v>
      </c>
      <c r="D158" s="1041" t="str">
        <f>IFERROR(VLOOKUP(B158,'Danh mục'!$G:$U,15,0),"")</f>
        <v/>
      </c>
      <c r="E158" s="1041" t="s">
        <v>42</v>
      </c>
      <c r="F158" s="1042">
        <f>COUNTIFS('TỔNG KLH + TN'!$B:$B,'01. TH'!$B158,'TỔNG KLH + TN'!$C:$C,'01. TH'!F$4)</f>
        <v>0</v>
      </c>
      <c r="G158" s="1042">
        <f>COUNTIFS('TỔNG KLH + TN'!$B:$B,'01. TH'!$B158,'TỔNG KLH + TN'!$C:$C,'01. TH'!G$4)</f>
        <v>0</v>
      </c>
      <c r="H158" s="1042">
        <f>COUNTIFS('TỔNG KLH + TN'!$B:$B,'01. TH'!$B158,'TỔNG KLH + TN'!$C:$C,'01. TH'!H$4)</f>
        <v>0</v>
      </c>
      <c r="I158" s="1042">
        <f>COUNTIFS('TỔNG KLH + TN'!$B:$B,'01. TH'!$B158,'TỔNG KLH + TN'!$C:$C,'01. TH'!I$4)</f>
        <v>0</v>
      </c>
      <c r="J158" s="1042">
        <f>COUNTIFS('TỔNG KLH + TN'!$B:$B,'01. TH'!$B158,'TỔNG KLH + TN'!$C:$C,'01. TH'!J$4)</f>
        <v>0</v>
      </c>
      <c r="K158" s="1042">
        <f>COUNTIFS('TỔNG KLH + TN'!$B:$B,'01. TH'!$B158,'TỔNG KLH + TN'!$C:$C,'01. TH'!K$4)</f>
        <v>0</v>
      </c>
      <c r="L158" s="1042">
        <f>COUNTIFS('TỔNG KLH + TN'!$B:$B,'01. TH'!$B158,'TỔNG KLH + TN'!$C:$C,'01. TH'!L$4)</f>
        <v>0</v>
      </c>
      <c r="M158" s="1042">
        <f>COUNTIFS('TỔNG KLH + TN'!$B:$B,'01. TH'!$B158,'TỔNG KLH + TN'!$C:$C,'01. TH'!M$4)</f>
        <v>0</v>
      </c>
      <c r="N158" s="1042">
        <f>COUNTIFS('TỔNG KLH + TN'!$B:$B,'01. TH'!$B158,'TỔNG KLH + TN'!$C:$C,'01. TH'!N$4)</f>
        <v>0</v>
      </c>
      <c r="O158" s="1042">
        <f>COUNTIFS('TỔNG KLH + TN'!$B:$B,'01. TH'!$B158,'TỔNG KLH + TN'!$C:$C,'01. TH'!O$4)</f>
        <v>0</v>
      </c>
      <c r="P158" s="1042">
        <f>COUNTIFS('TỔNG KLH + TN'!$B:$B,'01. TH'!$B158,'TỔNG KLH + TN'!$C:$C,'01. TH'!P$4)</f>
        <v>0</v>
      </c>
      <c r="Q158" s="1042">
        <f>COUNTIFS('TỔNG KLH + TN'!$B:$B,'01. TH'!$B158,'TỔNG KLH + TN'!$C:$C,'01. TH'!Q$4)</f>
        <v>0</v>
      </c>
      <c r="R158" s="1042">
        <f>COUNTIFS('TỔNG KLH + TN'!$B:$B,'01. TH'!$B158,'TỔNG KLH + TN'!$C:$C,'01. TH'!R$4)</f>
        <v>0</v>
      </c>
      <c r="S158" s="1042">
        <f>COUNTIFS('TỔNG KLH + TN'!$B:$B,'01. TH'!$B158,'TỔNG KLH + TN'!$C:$C,'01. TH'!S$4)</f>
        <v>0</v>
      </c>
      <c r="T158" s="1042">
        <f>COUNTIFS('TỔNG KLH + TN'!$B:$B,'01. TH'!$B158,'TỔNG KLH + TN'!$C:$C,'01. TH'!T$4)</f>
        <v>0</v>
      </c>
      <c r="U158" s="1042">
        <f>COUNTIFS('TỔNG KLH + TN'!$B:$B,'01. TH'!$B158,'TỔNG KLH + TN'!$C:$C,'01. TH'!U$4)</f>
        <v>0</v>
      </c>
      <c r="V158" s="1042">
        <f>COUNTIFS('TỔNG KLH + TN'!$B:$B,'01. TH'!$B158,'TỔNG KLH + TN'!$C:$C,'01. TH'!V$4)</f>
        <v>0</v>
      </c>
      <c r="W158" s="1042">
        <f>COUNTIFS('TỔNG KLH + TN'!$B:$B,'01. TH'!$B158,'TỔNG KLH + TN'!$C:$C,'01. TH'!W$4)</f>
        <v>0</v>
      </c>
      <c r="X158" s="1042">
        <f>COUNTIFS('TỔNG KLH + TN'!$B:$B,'01. TH'!$B158,'TỔNG KLH + TN'!$C:$C,'01. TH'!X$4)</f>
        <v>0</v>
      </c>
      <c r="Y158" s="1042">
        <f>COUNTIFS('TỔNG KLH + TN'!$B:$B,'01. TH'!$B158,'TỔNG KLH + TN'!$C:$C,'01. TH'!Y$4)</f>
        <v>0</v>
      </c>
      <c r="Z158" s="1042">
        <f>COUNTIFS('TỔNG KLH + TN'!$B:$B,'01. TH'!$B158,'TỔNG KLH + TN'!$C:$C,'01. TH'!Z$4)</f>
        <v>0</v>
      </c>
      <c r="AA158" s="1042">
        <f>COUNTIFS('TỔNG KLH + TN'!$B:$B,'01. TH'!$B158,'TỔNG KLH + TN'!$C:$C,'01. TH'!AA$4)</f>
        <v>0</v>
      </c>
      <c r="AB158" s="1042">
        <f>COUNTIFS('TỔNG KLH + TN'!$B:$B,'01. TH'!$B158,'TỔNG KLH + TN'!$C:$C,'01. TH'!AB$4)</f>
        <v>0</v>
      </c>
      <c r="AC158" s="1042">
        <f>COUNTIFS('TỔNG KLH + TN'!$B:$B,'01. TH'!$B158,'TỔNG KLH + TN'!$C:$C,'01. TH'!AC$4)</f>
        <v>0</v>
      </c>
      <c r="AD158" s="1042">
        <f>COUNTIFS('TỔNG KLH + TN'!$B:$B,'01. TH'!$B158,'TỔNG KLH + TN'!$C:$C,'01. TH'!AD$4)</f>
        <v>0</v>
      </c>
      <c r="AE158" s="1045">
        <f t="shared" si="31"/>
        <v>0</v>
      </c>
      <c r="AF158" s="1045"/>
      <c r="AG158" s="1033" t="str">
        <f t="shared" si="23"/>
        <v>ok</v>
      </c>
      <c r="AH158" s="1046"/>
    </row>
    <row r="159" ht="24" customHeight="1" collapsed="1" spans="1:34">
      <c r="A159" s="1033">
        <v>16</v>
      </c>
      <c r="B159" s="1034" t="s">
        <v>250</v>
      </c>
      <c r="C159" s="1035"/>
      <c r="D159" s="1035" t="str">
        <f>IFERROR(VLOOKUP(B159,'Danh mục'!$G:$U,15,0),"")</f>
        <v/>
      </c>
      <c r="E159" s="1035"/>
      <c r="F159" s="1047">
        <f t="shared" ref="F159:AE159" si="32">SUM(F160:F161)</f>
        <v>0</v>
      </c>
      <c r="G159" s="1047">
        <f t="shared" si="32"/>
        <v>0</v>
      </c>
      <c r="H159" s="1047">
        <f t="shared" si="32"/>
        <v>0</v>
      </c>
      <c r="I159" s="1047">
        <f t="shared" si="32"/>
        <v>0</v>
      </c>
      <c r="J159" s="1047">
        <f t="shared" si="32"/>
        <v>0</v>
      </c>
      <c r="K159" s="1047">
        <f t="shared" si="32"/>
        <v>0</v>
      </c>
      <c r="L159" s="1047">
        <f t="shared" si="32"/>
        <v>0</v>
      </c>
      <c r="M159" s="1047">
        <f t="shared" si="32"/>
        <v>0</v>
      </c>
      <c r="N159" s="1047">
        <f t="shared" si="32"/>
        <v>0</v>
      </c>
      <c r="O159" s="1047">
        <f t="shared" si="32"/>
        <v>0</v>
      </c>
      <c r="P159" s="1047">
        <f t="shared" si="32"/>
        <v>0</v>
      </c>
      <c r="Q159" s="1047">
        <f t="shared" si="32"/>
        <v>0</v>
      </c>
      <c r="R159" s="1047">
        <f t="shared" si="32"/>
        <v>0</v>
      </c>
      <c r="S159" s="1047">
        <f t="shared" si="32"/>
        <v>0</v>
      </c>
      <c r="T159" s="1047">
        <f t="shared" si="32"/>
        <v>0</v>
      </c>
      <c r="U159" s="1047">
        <f t="shared" si="32"/>
        <v>0</v>
      </c>
      <c r="V159" s="1047">
        <f t="shared" si="32"/>
        <v>0</v>
      </c>
      <c r="W159" s="1047">
        <f t="shared" si="32"/>
        <v>0</v>
      </c>
      <c r="X159" s="1047">
        <f t="shared" si="32"/>
        <v>0</v>
      </c>
      <c r="Y159" s="1047">
        <f t="shared" si="32"/>
        <v>0</v>
      </c>
      <c r="Z159" s="1047">
        <f t="shared" si="32"/>
        <v>0</v>
      </c>
      <c r="AA159" s="1047">
        <f t="shared" si="32"/>
        <v>1</v>
      </c>
      <c r="AB159" s="1047">
        <f t="shared" si="32"/>
        <v>0</v>
      </c>
      <c r="AC159" s="1047">
        <f t="shared" si="32"/>
        <v>2</v>
      </c>
      <c r="AD159" s="1047">
        <f t="shared" si="32"/>
        <v>3</v>
      </c>
      <c r="AE159" s="1048">
        <f t="shared" si="32"/>
        <v>6</v>
      </c>
      <c r="AF159" s="1048">
        <v>2</v>
      </c>
      <c r="AG159" s="1033" t="str">
        <f t="shared" si="23"/>
        <v>ok</v>
      </c>
      <c r="AH159" s="1038"/>
    </row>
    <row r="160" ht="18.75" hidden="1" customHeight="1" outlineLevel="1" spans="1:34">
      <c r="A160" s="1044"/>
      <c r="B160" s="1040" t="s">
        <v>251</v>
      </c>
      <c r="C160" s="1041" t="s">
        <v>44</v>
      </c>
      <c r="D160" s="1041" t="str">
        <f>IFERROR(VLOOKUP(B160,'Danh mục'!$G:$U,15,0),"")</f>
        <v>4730 x 1750 x 2100</v>
      </c>
      <c r="E160" s="1041" t="s">
        <v>42</v>
      </c>
      <c r="F160" s="1042">
        <f>COUNTIFS('TỔNG KLH + TN'!$B:$B,'01. TH'!$B160,'TỔNG KLH + TN'!$C:$C,'01. TH'!F$4)</f>
        <v>0</v>
      </c>
      <c r="G160" s="1042">
        <f>COUNTIFS('TỔNG KLH + TN'!$B:$B,'01. TH'!$B160,'TỔNG KLH + TN'!$C:$C,'01. TH'!G$4)</f>
        <v>0</v>
      </c>
      <c r="H160" s="1042">
        <f>COUNTIFS('TỔNG KLH + TN'!$B:$B,'01. TH'!$B160,'TỔNG KLH + TN'!$C:$C,'01. TH'!H$4)</f>
        <v>0</v>
      </c>
      <c r="I160" s="1042">
        <f>COUNTIFS('TỔNG KLH + TN'!$B:$B,'01. TH'!$B160,'TỔNG KLH + TN'!$C:$C,'01. TH'!I$4)</f>
        <v>0</v>
      </c>
      <c r="J160" s="1042">
        <f>COUNTIFS('TỔNG KLH + TN'!$B:$B,'01. TH'!$B160,'TỔNG KLH + TN'!$C:$C,'01. TH'!J$4)</f>
        <v>0</v>
      </c>
      <c r="K160" s="1042">
        <f>COUNTIFS('TỔNG KLH + TN'!$B:$B,'01. TH'!$B160,'TỔNG KLH + TN'!$C:$C,'01. TH'!K$4)</f>
        <v>0</v>
      </c>
      <c r="L160" s="1042">
        <f>COUNTIFS('TỔNG KLH + TN'!$B:$B,'01. TH'!$B160,'TỔNG KLH + TN'!$C:$C,'01. TH'!L$4)</f>
        <v>0</v>
      </c>
      <c r="M160" s="1042">
        <f>COUNTIFS('TỔNG KLH + TN'!$B:$B,'01. TH'!$B160,'TỔNG KLH + TN'!$C:$C,'01. TH'!M$4)</f>
        <v>0</v>
      </c>
      <c r="N160" s="1042">
        <f>COUNTIFS('TỔNG KLH + TN'!$B:$B,'01. TH'!$B160,'TỔNG KLH + TN'!$C:$C,'01. TH'!N$4)</f>
        <v>0</v>
      </c>
      <c r="O160" s="1042">
        <f>COUNTIFS('TỔNG KLH + TN'!$B:$B,'01. TH'!$B160,'TỔNG KLH + TN'!$C:$C,'01. TH'!O$4)</f>
        <v>0</v>
      </c>
      <c r="P160" s="1042">
        <f>COUNTIFS('TỔNG KLH + TN'!$B:$B,'01. TH'!$B160,'TỔNG KLH + TN'!$C:$C,'01. TH'!P$4)</f>
        <v>0</v>
      </c>
      <c r="Q160" s="1042">
        <f>COUNTIFS('TỔNG KLH + TN'!$B:$B,'01. TH'!$B160,'TỔNG KLH + TN'!$C:$C,'01. TH'!Q$4)</f>
        <v>0</v>
      </c>
      <c r="R160" s="1042">
        <f>COUNTIFS('TỔNG KLH + TN'!$B:$B,'01. TH'!$B160,'TỔNG KLH + TN'!$C:$C,'01. TH'!R$4)</f>
        <v>0</v>
      </c>
      <c r="S160" s="1042">
        <f>COUNTIFS('TỔNG KLH + TN'!$B:$B,'01. TH'!$B160,'TỔNG KLH + TN'!$C:$C,'01. TH'!S$4)</f>
        <v>0</v>
      </c>
      <c r="T160" s="1042">
        <f>COUNTIFS('TỔNG KLH + TN'!$B:$B,'01. TH'!$B160,'TỔNG KLH + TN'!$C:$C,'01. TH'!T$4)</f>
        <v>0</v>
      </c>
      <c r="U160" s="1042">
        <f>COUNTIFS('TỔNG KLH + TN'!$B:$B,'01. TH'!$B160,'TỔNG KLH + TN'!$C:$C,'01. TH'!U$4)</f>
        <v>0</v>
      </c>
      <c r="V160" s="1042">
        <f>COUNTIFS('TỔNG KLH + TN'!$B:$B,'01. TH'!$B160,'TỔNG KLH + TN'!$C:$C,'01. TH'!V$4)</f>
        <v>0</v>
      </c>
      <c r="W160" s="1042">
        <f>COUNTIFS('TỔNG KLH + TN'!$B:$B,'01. TH'!$B160,'TỔNG KLH + TN'!$C:$C,'01. TH'!W$4)</f>
        <v>0</v>
      </c>
      <c r="X160" s="1042">
        <f>COUNTIFS('TỔNG KLH + TN'!$B:$B,'01. TH'!$B160,'TỔNG KLH + TN'!$C:$C,'01. TH'!X$4)</f>
        <v>0</v>
      </c>
      <c r="Y160" s="1042">
        <f>COUNTIFS('TỔNG KLH + TN'!$B:$B,'01. TH'!$B160,'TỔNG KLH + TN'!$C:$C,'01. TH'!Y$4)</f>
        <v>0</v>
      </c>
      <c r="Z160" s="1042">
        <f>COUNTIFS('TỔNG KLH + TN'!$B:$B,'01. TH'!$B160,'TỔNG KLH + TN'!$C:$C,'01. TH'!Z$4)</f>
        <v>0</v>
      </c>
      <c r="AA160" s="1042">
        <f>COUNTIFS('TỔNG KLH + TN'!$B:$B,'01. TH'!$B160,'TỔNG KLH + TN'!$C:$C,'01. TH'!AA$4)</f>
        <v>1</v>
      </c>
      <c r="AB160" s="1042">
        <f>COUNTIFS('TỔNG KLH + TN'!$B:$B,'01. TH'!$B160,'TỔNG KLH + TN'!$C:$C,'01. TH'!AB$4)</f>
        <v>0</v>
      </c>
      <c r="AC160" s="1042">
        <f>COUNTIFS('TỔNG KLH + TN'!$B:$B,'01. TH'!$B160,'TỔNG KLH + TN'!$C:$C,'01. TH'!AC$4)</f>
        <v>0</v>
      </c>
      <c r="AD160" s="1042">
        <f>COUNTIFS('TỔNG KLH + TN'!$B:$B,'01. TH'!$B160,'TỔNG KLH + TN'!$C:$C,'01. TH'!AD$4)</f>
        <v>1</v>
      </c>
      <c r="AE160" s="1045">
        <f t="shared" ref="AE160:AE161" si="33">SUM(F160:AD160)</f>
        <v>2</v>
      </c>
      <c r="AF160" s="1045"/>
      <c r="AG160" s="1033" t="str">
        <f t="shared" si="23"/>
        <v>ok</v>
      </c>
      <c r="AH160" s="1053"/>
    </row>
    <row r="161" ht="18.75" hidden="1" customHeight="1" outlineLevel="1" spans="1:34">
      <c r="A161" s="1049"/>
      <c r="B161" s="1040" t="s">
        <v>252</v>
      </c>
      <c r="C161" s="1041" t="s">
        <v>44</v>
      </c>
      <c r="D161" s="1041" t="str">
        <f>IFERROR(VLOOKUP(B161,'Danh mục'!$G:$U,15,0),"")</f>
        <v>4730 x 1750 x 2100</v>
      </c>
      <c r="E161" s="1041" t="s">
        <v>42</v>
      </c>
      <c r="F161" s="1042">
        <f>COUNTIFS('TỔNG KLH + TN'!$B:$B,'01. TH'!$B161,'TỔNG KLH + TN'!$C:$C,'01. TH'!F$4)</f>
        <v>0</v>
      </c>
      <c r="G161" s="1042">
        <f>COUNTIFS('TỔNG KLH + TN'!$B:$B,'01. TH'!$B161,'TỔNG KLH + TN'!$C:$C,'01. TH'!G$4)</f>
        <v>0</v>
      </c>
      <c r="H161" s="1042">
        <f>COUNTIFS('TỔNG KLH + TN'!$B:$B,'01. TH'!$B161,'TỔNG KLH + TN'!$C:$C,'01. TH'!H$4)</f>
        <v>0</v>
      </c>
      <c r="I161" s="1042">
        <f>COUNTIFS('TỔNG KLH + TN'!$B:$B,'01. TH'!$B161,'TỔNG KLH + TN'!$C:$C,'01. TH'!I$4)</f>
        <v>0</v>
      </c>
      <c r="J161" s="1042">
        <f>COUNTIFS('TỔNG KLH + TN'!$B:$B,'01. TH'!$B161,'TỔNG KLH + TN'!$C:$C,'01. TH'!J$4)</f>
        <v>0</v>
      </c>
      <c r="K161" s="1042">
        <f>COUNTIFS('TỔNG KLH + TN'!$B:$B,'01. TH'!$B161,'TỔNG KLH + TN'!$C:$C,'01. TH'!K$4)</f>
        <v>0</v>
      </c>
      <c r="L161" s="1042">
        <f>COUNTIFS('TỔNG KLH + TN'!$B:$B,'01. TH'!$B161,'TỔNG KLH + TN'!$C:$C,'01. TH'!L$4)</f>
        <v>0</v>
      </c>
      <c r="M161" s="1042">
        <f>COUNTIFS('TỔNG KLH + TN'!$B:$B,'01. TH'!$B161,'TỔNG KLH + TN'!$C:$C,'01. TH'!M$4)</f>
        <v>0</v>
      </c>
      <c r="N161" s="1042">
        <f>COUNTIFS('TỔNG KLH + TN'!$B:$B,'01. TH'!$B161,'TỔNG KLH + TN'!$C:$C,'01. TH'!N$4)</f>
        <v>0</v>
      </c>
      <c r="O161" s="1042">
        <f>COUNTIFS('TỔNG KLH + TN'!$B:$B,'01. TH'!$B161,'TỔNG KLH + TN'!$C:$C,'01. TH'!O$4)</f>
        <v>0</v>
      </c>
      <c r="P161" s="1042">
        <f>COUNTIFS('TỔNG KLH + TN'!$B:$B,'01. TH'!$B161,'TỔNG KLH + TN'!$C:$C,'01. TH'!P$4)</f>
        <v>0</v>
      </c>
      <c r="Q161" s="1042">
        <f>COUNTIFS('TỔNG KLH + TN'!$B:$B,'01. TH'!$B161,'TỔNG KLH + TN'!$C:$C,'01. TH'!Q$4)</f>
        <v>0</v>
      </c>
      <c r="R161" s="1042">
        <f>COUNTIFS('TỔNG KLH + TN'!$B:$B,'01. TH'!$B161,'TỔNG KLH + TN'!$C:$C,'01. TH'!R$4)</f>
        <v>0</v>
      </c>
      <c r="S161" s="1042">
        <f>COUNTIFS('TỔNG KLH + TN'!$B:$B,'01. TH'!$B161,'TỔNG KLH + TN'!$C:$C,'01. TH'!S$4)</f>
        <v>0</v>
      </c>
      <c r="T161" s="1042">
        <f>COUNTIFS('TỔNG KLH + TN'!$B:$B,'01. TH'!$B161,'TỔNG KLH + TN'!$C:$C,'01. TH'!T$4)</f>
        <v>0</v>
      </c>
      <c r="U161" s="1042">
        <f>COUNTIFS('TỔNG KLH + TN'!$B:$B,'01. TH'!$B161,'TỔNG KLH + TN'!$C:$C,'01. TH'!U$4)</f>
        <v>0</v>
      </c>
      <c r="V161" s="1042">
        <f>COUNTIFS('TỔNG KLH + TN'!$B:$B,'01. TH'!$B161,'TỔNG KLH + TN'!$C:$C,'01. TH'!V$4)</f>
        <v>0</v>
      </c>
      <c r="W161" s="1042">
        <f>COUNTIFS('TỔNG KLH + TN'!$B:$B,'01. TH'!$B161,'TỔNG KLH + TN'!$C:$C,'01. TH'!W$4)</f>
        <v>0</v>
      </c>
      <c r="X161" s="1042">
        <f>COUNTIFS('TỔNG KLH + TN'!$B:$B,'01. TH'!$B161,'TỔNG KLH + TN'!$C:$C,'01. TH'!X$4)</f>
        <v>0</v>
      </c>
      <c r="Y161" s="1042">
        <f>COUNTIFS('TỔNG KLH + TN'!$B:$B,'01. TH'!$B161,'TỔNG KLH + TN'!$C:$C,'01. TH'!Y$4)</f>
        <v>0</v>
      </c>
      <c r="Z161" s="1042">
        <f>COUNTIFS('TỔNG KLH + TN'!$B:$B,'01. TH'!$B161,'TỔNG KLH + TN'!$C:$C,'01. TH'!Z$4)</f>
        <v>0</v>
      </c>
      <c r="AA161" s="1042">
        <f>COUNTIFS('TỔNG KLH + TN'!$B:$B,'01. TH'!$B161,'TỔNG KLH + TN'!$C:$C,'01. TH'!AA$4)</f>
        <v>0</v>
      </c>
      <c r="AB161" s="1042">
        <f>COUNTIFS('TỔNG KLH + TN'!$B:$B,'01. TH'!$B161,'TỔNG KLH + TN'!$C:$C,'01. TH'!AB$4)</f>
        <v>0</v>
      </c>
      <c r="AC161" s="1042">
        <f>COUNTIFS('TỔNG KLH + TN'!$B:$B,'01. TH'!$B161,'TỔNG KLH + TN'!$C:$C,'01. TH'!AC$4)</f>
        <v>2</v>
      </c>
      <c r="AD161" s="1042">
        <f>COUNTIFS('TỔNG KLH + TN'!$B:$B,'01. TH'!$B161,'TỔNG KLH + TN'!$C:$C,'01. TH'!AD$4)</f>
        <v>2</v>
      </c>
      <c r="AE161" s="1045">
        <f t="shared" si="33"/>
        <v>4</v>
      </c>
      <c r="AF161" s="1045"/>
      <c r="AG161" s="1033" t="str">
        <f t="shared" si="23"/>
        <v>ok</v>
      </c>
      <c r="AH161" s="1049"/>
    </row>
    <row r="162" ht="24" customHeight="1" collapsed="1" spans="1:34">
      <c r="A162" s="1033">
        <v>17</v>
      </c>
      <c r="B162" s="1034" t="s">
        <v>253</v>
      </c>
      <c r="C162" s="1035"/>
      <c r="D162" s="1035" t="str">
        <f>IFERROR(VLOOKUP(B162,'Danh mục'!$G:$U,15,0),"")</f>
        <v/>
      </c>
      <c r="E162" s="1035"/>
      <c r="F162" s="1047">
        <f t="shared" ref="F162:AE162" si="34">SUM(F163)</f>
        <v>0</v>
      </c>
      <c r="G162" s="1047">
        <f t="shared" si="34"/>
        <v>1</v>
      </c>
      <c r="H162" s="1047">
        <f t="shared" si="34"/>
        <v>0</v>
      </c>
      <c r="I162" s="1047">
        <f t="shared" si="34"/>
        <v>0</v>
      </c>
      <c r="J162" s="1047">
        <f t="shared" si="34"/>
        <v>0</v>
      </c>
      <c r="K162" s="1047">
        <f t="shared" si="34"/>
        <v>0</v>
      </c>
      <c r="L162" s="1047">
        <f t="shared" si="34"/>
        <v>0</v>
      </c>
      <c r="M162" s="1047">
        <f t="shared" si="34"/>
        <v>0</v>
      </c>
      <c r="N162" s="1047">
        <f t="shared" si="34"/>
        <v>0</v>
      </c>
      <c r="O162" s="1047">
        <f t="shared" si="34"/>
        <v>0</v>
      </c>
      <c r="P162" s="1047">
        <f t="shared" si="34"/>
        <v>0</v>
      </c>
      <c r="Q162" s="1047">
        <f t="shared" si="34"/>
        <v>0</v>
      </c>
      <c r="R162" s="1047">
        <f t="shared" si="34"/>
        <v>0</v>
      </c>
      <c r="S162" s="1047">
        <f t="shared" si="34"/>
        <v>0</v>
      </c>
      <c r="T162" s="1047">
        <f t="shared" si="34"/>
        <v>0</v>
      </c>
      <c r="U162" s="1047">
        <f t="shared" si="34"/>
        <v>0</v>
      </c>
      <c r="V162" s="1047">
        <f t="shared" si="34"/>
        <v>0</v>
      </c>
      <c r="W162" s="1047">
        <f t="shared" si="34"/>
        <v>0</v>
      </c>
      <c r="X162" s="1047">
        <f t="shared" si="34"/>
        <v>0</v>
      </c>
      <c r="Y162" s="1047">
        <f t="shared" si="34"/>
        <v>0</v>
      </c>
      <c r="Z162" s="1047">
        <f t="shared" si="34"/>
        <v>0</v>
      </c>
      <c r="AA162" s="1047">
        <f t="shared" si="34"/>
        <v>0</v>
      </c>
      <c r="AB162" s="1047">
        <f t="shared" si="34"/>
        <v>0</v>
      </c>
      <c r="AC162" s="1047">
        <f t="shared" si="34"/>
        <v>2</v>
      </c>
      <c r="AD162" s="1047">
        <f t="shared" si="34"/>
        <v>0</v>
      </c>
      <c r="AE162" s="1048">
        <f t="shared" si="34"/>
        <v>3</v>
      </c>
      <c r="AF162" s="1048">
        <v>0</v>
      </c>
      <c r="AG162" s="1033" t="str">
        <f t="shared" si="23"/>
        <v>ok</v>
      </c>
      <c r="AH162" s="1038"/>
    </row>
    <row r="163" ht="18.75" hidden="1" customHeight="1" outlineLevel="1" spans="1:34">
      <c r="A163" s="1044"/>
      <c r="B163" s="1040" t="s">
        <v>253</v>
      </c>
      <c r="C163" s="1041" t="s">
        <v>124</v>
      </c>
      <c r="D163" s="1041" t="str">
        <f>IFERROR(VLOOKUP(B163,'Danh mục'!$G:$U,15,0),"")</f>
        <v/>
      </c>
      <c r="E163" s="1041" t="s">
        <v>42</v>
      </c>
      <c r="F163" s="1042">
        <f>COUNTIFS('TỔNG KLH + TN'!$B:$B,'01. TH'!$B163,'TỔNG KLH + TN'!$C:$C,'01. TH'!F$4)</f>
        <v>0</v>
      </c>
      <c r="G163" s="1042">
        <f>COUNTIFS('TỔNG KLH + TN'!$B:$B,'01. TH'!$B163,'TỔNG KLH + TN'!$C:$C,'01. TH'!G$4)</f>
        <v>1</v>
      </c>
      <c r="H163" s="1042">
        <f>COUNTIFS('TỔNG KLH + TN'!$B:$B,'01. TH'!$B163,'TỔNG KLH + TN'!$C:$C,'01. TH'!H$4)</f>
        <v>0</v>
      </c>
      <c r="I163" s="1042">
        <f>COUNTIFS('TỔNG KLH + TN'!$B:$B,'01. TH'!$B163,'TỔNG KLH + TN'!$C:$C,'01. TH'!I$4)</f>
        <v>0</v>
      </c>
      <c r="J163" s="1042">
        <f>COUNTIFS('TỔNG KLH + TN'!$B:$B,'01. TH'!$B163,'TỔNG KLH + TN'!$C:$C,'01. TH'!J$4)</f>
        <v>0</v>
      </c>
      <c r="K163" s="1042">
        <f>COUNTIFS('TỔNG KLH + TN'!$B:$B,'01. TH'!$B163,'TỔNG KLH + TN'!$C:$C,'01. TH'!K$4)</f>
        <v>0</v>
      </c>
      <c r="L163" s="1042">
        <f>COUNTIFS('TỔNG KLH + TN'!$B:$B,'01. TH'!$B163,'TỔNG KLH + TN'!$C:$C,'01. TH'!L$4)</f>
        <v>0</v>
      </c>
      <c r="M163" s="1042">
        <f>COUNTIFS('TỔNG KLH + TN'!$B:$B,'01. TH'!$B163,'TỔNG KLH + TN'!$C:$C,'01. TH'!M$4)</f>
        <v>0</v>
      </c>
      <c r="N163" s="1042">
        <f>COUNTIFS('TỔNG KLH + TN'!$B:$B,'01. TH'!$B163,'TỔNG KLH + TN'!$C:$C,'01. TH'!N$4)</f>
        <v>0</v>
      </c>
      <c r="O163" s="1042">
        <f>COUNTIFS('TỔNG KLH + TN'!$B:$B,'01. TH'!$B163,'TỔNG KLH + TN'!$C:$C,'01. TH'!O$4)</f>
        <v>0</v>
      </c>
      <c r="P163" s="1042">
        <f>COUNTIFS('TỔNG KLH + TN'!$B:$B,'01. TH'!$B163,'TỔNG KLH + TN'!$C:$C,'01. TH'!P$4)</f>
        <v>0</v>
      </c>
      <c r="Q163" s="1042">
        <f>COUNTIFS('TỔNG KLH + TN'!$B:$B,'01. TH'!$B163,'TỔNG KLH + TN'!$C:$C,'01. TH'!Q$4)</f>
        <v>0</v>
      </c>
      <c r="R163" s="1042">
        <f>COUNTIFS('TỔNG KLH + TN'!$B:$B,'01. TH'!$B163,'TỔNG KLH + TN'!$C:$C,'01. TH'!R$4)</f>
        <v>0</v>
      </c>
      <c r="S163" s="1042">
        <f>COUNTIFS('TỔNG KLH + TN'!$B:$B,'01. TH'!$B163,'TỔNG KLH + TN'!$C:$C,'01. TH'!S$4)</f>
        <v>0</v>
      </c>
      <c r="T163" s="1042">
        <f>COUNTIFS('TỔNG KLH + TN'!$B:$B,'01. TH'!$B163,'TỔNG KLH + TN'!$C:$C,'01. TH'!T$4)</f>
        <v>0</v>
      </c>
      <c r="U163" s="1042">
        <f>COUNTIFS('TỔNG KLH + TN'!$B:$B,'01. TH'!$B163,'TỔNG KLH + TN'!$C:$C,'01. TH'!U$4)</f>
        <v>0</v>
      </c>
      <c r="V163" s="1042">
        <f>COUNTIFS('TỔNG KLH + TN'!$B:$B,'01. TH'!$B163,'TỔNG KLH + TN'!$C:$C,'01. TH'!V$4)</f>
        <v>0</v>
      </c>
      <c r="W163" s="1042">
        <f>COUNTIFS('TỔNG KLH + TN'!$B:$B,'01. TH'!$B163,'TỔNG KLH + TN'!$C:$C,'01. TH'!W$4)</f>
        <v>0</v>
      </c>
      <c r="X163" s="1042">
        <f>COUNTIFS('TỔNG KLH + TN'!$B:$B,'01. TH'!$B163,'TỔNG KLH + TN'!$C:$C,'01. TH'!X$4)</f>
        <v>0</v>
      </c>
      <c r="Y163" s="1042">
        <f>COUNTIFS('TỔNG KLH + TN'!$B:$B,'01. TH'!$B163,'TỔNG KLH + TN'!$C:$C,'01. TH'!Y$4)</f>
        <v>0</v>
      </c>
      <c r="Z163" s="1042">
        <f>COUNTIFS('TỔNG KLH + TN'!$B:$B,'01. TH'!$B163,'TỔNG KLH + TN'!$C:$C,'01. TH'!Z$4)</f>
        <v>0</v>
      </c>
      <c r="AA163" s="1042">
        <f>COUNTIFS('TỔNG KLH + TN'!$B:$B,'01. TH'!$B163,'TỔNG KLH + TN'!$C:$C,'01. TH'!AA$4)</f>
        <v>0</v>
      </c>
      <c r="AB163" s="1042">
        <f>COUNTIFS('TỔNG KLH + TN'!$B:$B,'01. TH'!$B163,'TỔNG KLH + TN'!$C:$C,'01. TH'!AB$4)</f>
        <v>0</v>
      </c>
      <c r="AC163" s="1042">
        <f>COUNTIFS('TỔNG KLH + TN'!$B:$B,'01. TH'!$B163,'TỔNG KLH + TN'!$C:$C,'01. TH'!AC$4)</f>
        <v>2</v>
      </c>
      <c r="AD163" s="1042">
        <f>COUNTIFS('TỔNG KLH + TN'!$B:$B,'01. TH'!$B163,'TỔNG KLH + TN'!$C:$C,'01. TH'!AD$4)</f>
        <v>0</v>
      </c>
      <c r="AE163" s="1045">
        <f>SUM(F163:AD163)</f>
        <v>3</v>
      </c>
      <c r="AF163" s="1045"/>
      <c r="AG163" s="1033" t="str">
        <f t="shared" si="23"/>
        <v>ok</v>
      </c>
      <c r="AH163" s="1053"/>
    </row>
    <row r="164" ht="24" customHeight="1" collapsed="1" spans="1:34">
      <c r="A164" s="1033">
        <v>18</v>
      </c>
      <c r="B164" s="1034" t="s">
        <v>254</v>
      </c>
      <c r="C164" s="1035"/>
      <c r="D164" s="1035" t="str">
        <f>IFERROR(VLOOKUP(B164,'Danh mục'!$G:$U,15,0),"")</f>
        <v/>
      </c>
      <c r="E164" s="1035"/>
      <c r="F164" s="1047">
        <f t="shared" ref="F164:AE164" si="35">SUM(F165)</f>
        <v>0</v>
      </c>
      <c r="G164" s="1047">
        <f t="shared" si="35"/>
        <v>0</v>
      </c>
      <c r="H164" s="1047">
        <f t="shared" si="35"/>
        <v>0</v>
      </c>
      <c r="I164" s="1047">
        <f t="shared" si="35"/>
        <v>0</v>
      </c>
      <c r="J164" s="1047">
        <f t="shared" si="35"/>
        <v>0</v>
      </c>
      <c r="K164" s="1047">
        <f t="shared" si="35"/>
        <v>0</v>
      </c>
      <c r="L164" s="1047">
        <f t="shared" si="35"/>
        <v>0</v>
      </c>
      <c r="M164" s="1047">
        <f t="shared" si="35"/>
        <v>0</v>
      </c>
      <c r="N164" s="1047">
        <f t="shared" si="35"/>
        <v>0</v>
      </c>
      <c r="O164" s="1047">
        <f t="shared" si="35"/>
        <v>0</v>
      </c>
      <c r="P164" s="1047">
        <f t="shared" si="35"/>
        <v>0</v>
      </c>
      <c r="Q164" s="1047">
        <f t="shared" si="35"/>
        <v>0</v>
      </c>
      <c r="R164" s="1047">
        <f t="shared" si="35"/>
        <v>0</v>
      </c>
      <c r="S164" s="1047">
        <f t="shared" si="35"/>
        <v>0</v>
      </c>
      <c r="T164" s="1047">
        <f t="shared" si="35"/>
        <v>0</v>
      </c>
      <c r="U164" s="1047">
        <f t="shared" si="35"/>
        <v>0</v>
      </c>
      <c r="V164" s="1047">
        <f t="shared" si="35"/>
        <v>0</v>
      </c>
      <c r="W164" s="1047">
        <f t="shared" si="35"/>
        <v>0</v>
      </c>
      <c r="X164" s="1047">
        <f t="shared" si="35"/>
        <v>0</v>
      </c>
      <c r="Y164" s="1047">
        <f t="shared" si="35"/>
        <v>0</v>
      </c>
      <c r="Z164" s="1047">
        <f t="shared" si="35"/>
        <v>0</v>
      </c>
      <c r="AA164" s="1047">
        <f t="shared" si="35"/>
        <v>1</v>
      </c>
      <c r="AB164" s="1047">
        <f t="shared" si="35"/>
        <v>0</v>
      </c>
      <c r="AC164" s="1047">
        <f t="shared" si="35"/>
        <v>0</v>
      </c>
      <c r="AD164" s="1047">
        <f t="shared" si="35"/>
        <v>0</v>
      </c>
      <c r="AE164" s="1048">
        <f t="shared" si="35"/>
        <v>1</v>
      </c>
      <c r="AF164" s="1048">
        <v>0</v>
      </c>
      <c r="AG164" s="1033" t="str">
        <f t="shared" si="23"/>
        <v>ok</v>
      </c>
      <c r="AH164" s="1038"/>
    </row>
    <row r="165" ht="18.75" hidden="1" customHeight="1" outlineLevel="1" spans="1:34">
      <c r="A165" s="1049"/>
      <c r="B165" s="1040" t="s">
        <v>255</v>
      </c>
      <c r="C165" s="1041" t="s">
        <v>124</v>
      </c>
      <c r="D165" s="1041" t="str">
        <f>IFERROR(VLOOKUP(B165,'Danh mục'!$G:$U,15,0),"")</f>
        <v/>
      </c>
      <c r="E165" s="1041" t="s">
        <v>42</v>
      </c>
      <c r="F165" s="1042">
        <f>COUNTIFS('TỔNG KLH + TN'!$B:$B,'01. TH'!$B165,'TỔNG KLH + TN'!$C:$C,'01. TH'!F$4)</f>
        <v>0</v>
      </c>
      <c r="G165" s="1042">
        <f>COUNTIFS('TỔNG KLH + TN'!$B:$B,'01. TH'!$B165,'TỔNG KLH + TN'!$C:$C,'01. TH'!G$4)</f>
        <v>0</v>
      </c>
      <c r="H165" s="1042">
        <f>COUNTIFS('TỔNG KLH + TN'!$B:$B,'01. TH'!$B165,'TỔNG KLH + TN'!$C:$C,'01. TH'!H$4)</f>
        <v>0</v>
      </c>
      <c r="I165" s="1042">
        <f>COUNTIFS('TỔNG KLH + TN'!$B:$B,'01. TH'!$B165,'TỔNG KLH + TN'!$C:$C,'01. TH'!I$4)</f>
        <v>0</v>
      </c>
      <c r="J165" s="1042">
        <f>COUNTIFS('TỔNG KLH + TN'!$B:$B,'01. TH'!$B165,'TỔNG KLH + TN'!$C:$C,'01. TH'!J$4)</f>
        <v>0</v>
      </c>
      <c r="K165" s="1042">
        <f>COUNTIFS('TỔNG KLH + TN'!$B:$B,'01. TH'!$B165,'TỔNG KLH + TN'!$C:$C,'01. TH'!K$4)</f>
        <v>0</v>
      </c>
      <c r="L165" s="1042">
        <f>COUNTIFS('TỔNG KLH + TN'!$B:$B,'01. TH'!$B165,'TỔNG KLH + TN'!$C:$C,'01. TH'!L$4)</f>
        <v>0</v>
      </c>
      <c r="M165" s="1042">
        <f>COUNTIFS('TỔNG KLH + TN'!$B:$B,'01. TH'!$B165,'TỔNG KLH + TN'!$C:$C,'01. TH'!M$4)</f>
        <v>0</v>
      </c>
      <c r="N165" s="1042">
        <f>COUNTIFS('TỔNG KLH + TN'!$B:$B,'01. TH'!$B165,'TỔNG KLH + TN'!$C:$C,'01. TH'!N$4)</f>
        <v>0</v>
      </c>
      <c r="O165" s="1042">
        <f>COUNTIFS('TỔNG KLH + TN'!$B:$B,'01. TH'!$B165,'TỔNG KLH + TN'!$C:$C,'01. TH'!O$4)</f>
        <v>0</v>
      </c>
      <c r="P165" s="1042">
        <f>COUNTIFS('TỔNG KLH + TN'!$B:$B,'01. TH'!$B165,'TỔNG KLH + TN'!$C:$C,'01. TH'!P$4)</f>
        <v>0</v>
      </c>
      <c r="Q165" s="1042">
        <f>COUNTIFS('TỔNG KLH + TN'!$B:$B,'01. TH'!$B165,'TỔNG KLH + TN'!$C:$C,'01. TH'!Q$4)</f>
        <v>0</v>
      </c>
      <c r="R165" s="1042">
        <f>COUNTIFS('TỔNG KLH + TN'!$B:$B,'01. TH'!$B165,'TỔNG KLH + TN'!$C:$C,'01. TH'!R$4)</f>
        <v>0</v>
      </c>
      <c r="S165" s="1042">
        <f>COUNTIFS('TỔNG KLH + TN'!$B:$B,'01. TH'!$B165,'TỔNG KLH + TN'!$C:$C,'01. TH'!S$4)</f>
        <v>0</v>
      </c>
      <c r="T165" s="1042">
        <f>COUNTIFS('TỔNG KLH + TN'!$B:$B,'01. TH'!$B165,'TỔNG KLH + TN'!$C:$C,'01. TH'!T$4)</f>
        <v>0</v>
      </c>
      <c r="U165" s="1042">
        <f>COUNTIFS('TỔNG KLH + TN'!$B:$B,'01. TH'!$B165,'TỔNG KLH + TN'!$C:$C,'01. TH'!U$4)</f>
        <v>0</v>
      </c>
      <c r="V165" s="1042">
        <f>COUNTIFS('TỔNG KLH + TN'!$B:$B,'01. TH'!$B165,'TỔNG KLH + TN'!$C:$C,'01. TH'!V$4)</f>
        <v>0</v>
      </c>
      <c r="W165" s="1042">
        <f>COUNTIFS('TỔNG KLH + TN'!$B:$B,'01. TH'!$B165,'TỔNG KLH + TN'!$C:$C,'01. TH'!W$4)</f>
        <v>0</v>
      </c>
      <c r="X165" s="1042">
        <f>COUNTIFS('TỔNG KLH + TN'!$B:$B,'01. TH'!$B165,'TỔNG KLH + TN'!$C:$C,'01. TH'!X$4)</f>
        <v>0</v>
      </c>
      <c r="Y165" s="1042">
        <f>COUNTIFS('TỔNG KLH + TN'!$B:$B,'01. TH'!$B165,'TỔNG KLH + TN'!$C:$C,'01. TH'!Y$4)</f>
        <v>0</v>
      </c>
      <c r="Z165" s="1042">
        <f>COUNTIFS('TỔNG KLH + TN'!$B:$B,'01. TH'!$B165,'TỔNG KLH + TN'!$C:$C,'01. TH'!Z$4)</f>
        <v>0</v>
      </c>
      <c r="AA165" s="1042">
        <f>COUNTIFS('TỔNG KLH + TN'!$B:$B,'01. TH'!$B165,'TỔNG KLH + TN'!$C:$C,'01. TH'!AA$4)</f>
        <v>1</v>
      </c>
      <c r="AB165" s="1042">
        <f>COUNTIFS('TỔNG KLH + TN'!$B:$B,'01. TH'!$B165,'TỔNG KLH + TN'!$C:$C,'01. TH'!AB$4)</f>
        <v>0</v>
      </c>
      <c r="AC165" s="1042">
        <f>COUNTIFS('TỔNG KLH + TN'!$B:$B,'01. TH'!$B165,'TỔNG KLH + TN'!$C:$C,'01. TH'!AC$4)</f>
        <v>0</v>
      </c>
      <c r="AD165" s="1042">
        <f>COUNTIFS('TỔNG KLH + TN'!$B:$B,'01. TH'!$B165,'TỔNG KLH + TN'!$C:$C,'01. TH'!AD$4)</f>
        <v>0</v>
      </c>
      <c r="AE165" s="1045">
        <f>SUM(F165:AD165)</f>
        <v>1</v>
      </c>
      <c r="AF165" s="1045"/>
      <c r="AG165" s="1033" t="str">
        <f t="shared" si="23"/>
        <v>ok</v>
      </c>
      <c r="AH165" s="1050"/>
    </row>
    <row r="166" ht="24" customHeight="1" collapsed="1" spans="1:34">
      <c r="A166" s="1033">
        <v>19</v>
      </c>
      <c r="B166" s="1034" t="s">
        <v>256</v>
      </c>
      <c r="C166" s="1035"/>
      <c r="D166" s="1035" t="str">
        <f>IFERROR(VLOOKUP(B166,'Danh mục'!$G:$U,15,0),"")</f>
        <v/>
      </c>
      <c r="E166" s="1035"/>
      <c r="F166" s="1047">
        <f t="shared" ref="F166:AE166" si="36">SUM(F167)</f>
        <v>0</v>
      </c>
      <c r="G166" s="1047">
        <f t="shared" si="36"/>
        <v>0</v>
      </c>
      <c r="H166" s="1047">
        <f t="shared" si="36"/>
        <v>0</v>
      </c>
      <c r="I166" s="1047">
        <f t="shared" si="36"/>
        <v>0</v>
      </c>
      <c r="J166" s="1047">
        <f t="shared" si="36"/>
        <v>0</v>
      </c>
      <c r="K166" s="1047">
        <f t="shared" si="36"/>
        <v>0</v>
      </c>
      <c r="L166" s="1047">
        <f t="shared" si="36"/>
        <v>0</v>
      </c>
      <c r="M166" s="1047">
        <f t="shared" si="36"/>
        <v>0</v>
      </c>
      <c r="N166" s="1047">
        <f t="shared" si="36"/>
        <v>0</v>
      </c>
      <c r="O166" s="1047">
        <f t="shared" si="36"/>
        <v>0</v>
      </c>
      <c r="P166" s="1047">
        <f t="shared" si="36"/>
        <v>0</v>
      </c>
      <c r="Q166" s="1047">
        <f t="shared" si="36"/>
        <v>0</v>
      </c>
      <c r="R166" s="1047">
        <f t="shared" si="36"/>
        <v>0</v>
      </c>
      <c r="S166" s="1047">
        <f t="shared" si="36"/>
        <v>0</v>
      </c>
      <c r="T166" s="1047">
        <f t="shared" si="36"/>
        <v>0</v>
      </c>
      <c r="U166" s="1047">
        <f t="shared" si="36"/>
        <v>0</v>
      </c>
      <c r="V166" s="1047">
        <f t="shared" si="36"/>
        <v>0</v>
      </c>
      <c r="W166" s="1047">
        <f t="shared" si="36"/>
        <v>0</v>
      </c>
      <c r="X166" s="1047">
        <f t="shared" si="36"/>
        <v>0</v>
      </c>
      <c r="Y166" s="1047">
        <f t="shared" si="36"/>
        <v>0</v>
      </c>
      <c r="Z166" s="1047">
        <f t="shared" si="36"/>
        <v>0</v>
      </c>
      <c r="AA166" s="1047">
        <f t="shared" si="36"/>
        <v>1</v>
      </c>
      <c r="AB166" s="1047">
        <f t="shared" si="36"/>
        <v>0</v>
      </c>
      <c r="AC166" s="1047">
        <f t="shared" si="36"/>
        <v>0</v>
      </c>
      <c r="AD166" s="1047">
        <f t="shared" si="36"/>
        <v>0</v>
      </c>
      <c r="AE166" s="1048">
        <f t="shared" si="36"/>
        <v>1</v>
      </c>
      <c r="AF166" s="1048">
        <v>0</v>
      </c>
      <c r="AG166" s="1033" t="str">
        <f t="shared" si="23"/>
        <v>ok</v>
      </c>
      <c r="AH166" s="1038"/>
    </row>
    <row r="167" ht="18.75" hidden="1" customHeight="1" outlineLevel="1" spans="1:34">
      <c r="A167" s="1039"/>
      <c r="B167" s="1040" t="s">
        <v>257</v>
      </c>
      <c r="C167" s="1041" t="s">
        <v>44</v>
      </c>
      <c r="D167" s="1041" t="str">
        <f>IFERROR(VLOOKUP(B167,'Danh mục'!$G:$U,15,0),"")</f>
        <v>4730 x 1750 x 2100</v>
      </c>
      <c r="E167" s="1041" t="s">
        <v>42</v>
      </c>
      <c r="F167" s="1042">
        <f>COUNTIFS('TỔNG KLH + TN'!$B:$B,'01. TH'!$B167,'TỔNG KLH + TN'!$C:$C,'01. TH'!F$4)</f>
        <v>0</v>
      </c>
      <c r="G167" s="1042">
        <f>COUNTIFS('TỔNG KLH + TN'!$B:$B,'01. TH'!$B167,'TỔNG KLH + TN'!$C:$C,'01. TH'!G$4)</f>
        <v>0</v>
      </c>
      <c r="H167" s="1042">
        <f>COUNTIFS('TỔNG KLH + TN'!$B:$B,'01. TH'!$B167,'TỔNG KLH + TN'!$C:$C,'01. TH'!H$4)</f>
        <v>0</v>
      </c>
      <c r="I167" s="1042">
        <f>COUNTIFS('TỔNG KLH + TN'!$B:$B,'01. TH'!$B167,'TỔNG KLH + TN'!$C:$C,'01. TH'!I$4)</f>
        <v>0</v>
      </c>
      <c r="J167" s="1042">
        <f>COUNTIFS('TỔNG KLH + TN'!$B:$B,'01. TH'!$B167,'TỔNG KLH + TN'!$C:$C,'01. TH'!J$4)</f>
        <v>0</v>
      </c>
      <c r="K167" s="1042">
        <f>COUNTIFS('TỔNG KLH + TN'!$B:$B,'01. TH'!$B167,'TỔNG KLH + TN'!$C:$C,'01. TH'!K$4)</f>
        <v>0</v>
      </c>
      <c r="L167" s="1042">
        <f>COUNTIFS('TỔNG KLH + TN'!$B:$B,'01. TH'!$B167,'TỔNG KLH + TN'!$C:$C,'01. TH'!L$4)</f>
        <v>0</v>
      </c>
      <c r="M167" s="1042">
        <f>COUNTIFS('TỔNG KLH + TN'!$B:$B,'01. TH'!$B167,'TỔNG KLH + TN'!$C:$C,'01. TH'!M$4)</f>
        <v>0</v>
      </c>
      <c r="N167" s="1042">
        <f>COUNTIFS('TỔNG KLH + TN'!$B:$B,'01. TH'!$B167,'TỔNG KLH + TN'!$C:$C,'01. TH'!N$4)</f>
        <v>0</v>
      </c>
      <c r="O167" s="1042">
        <f>COUNTIFS('TỔNG KLH + TN'!$B:$B,'01. TH'!$B167,'TỔNG KLH + TN'!$C:$C,'01. TH'!O$4)</f>
        <v>0</v>
      </c>
      <c r="P167" s="1042">
        <f>COUNTIFS('TỔNG KLH + TN'!$B:$B,'01. TH'!$B167,'TỔNG KLH + TN'!$C:$C,'01. TH'!P$4)</f>
        <v>0</v>
      </c>
      <c r="Q167" s="1042">
        <f>COUNTIFS('TỔNG KLH + TN'!$B:$B,'01. TH'!$B167,'TỔNG KLH + TN'!$C:$C,'01. TH'!Q$4)</f>
        <v>0</v>
      </c>
      <c r="R167" s="1042">
        <f>COUNTIFS('TỔNG KLH + TN'!$B:$B,'01. TH'!$B167,'TỔNG KLH + TN'!$C:$C,'01. TH'!R$4)</f>
        <v>0</v>
      </c>
      <c r="S167" s="1042">
        <f>COUNTIFS('TỔNG KLH + TN'!$B:$B,'01. TH'!$B167,'TỔNG KLH + TN'!$C:$C,'01. TH'!S$4)</f>
        <v>0</v>
      </c>
      <c r="T167" s="1042">
        <f>COUNTIFS('TỔNG KLH + TN'!$B:$B,'01. TH'!$B167,'TỔNG KLH + TN'!$C:$C,'01. TH'!T$4)</f>
        <v>0</v>
      </c>
      <c r="U167" s="1042">
        <f>COUNTIFS('TỔNG KLH + TN'!$B:$B,'01. TH'!$B167,'TỔNG KLH + TN'!$C:$C,'01. TH'!U$4)</f>
        <v>0</v>
      </c>
      <c r="V167" s="1042">
        <f>COUNTIFS('TỔNG KLH + TN'!$B:$B,'01. TH'!$B167,'TỔNG KLH + TN'!$C:$C,'01. TH'!V$4)</f>
        <v>0</v>
      </c>
      <c r="W167" s="1042">
        <f>COUNTIFS('TỔNG KLH + TN'!$B:$B,'01. TH'!$B167,'TỔNG KLH + TN'!$C:$C,'01. TH'!W$4)</f>
        <v>0</v>
      </c>
      <c r="X167" s="1042">
        <f>COUNTIFS('TỔNG KLH + TN'!$B:$B,'01. TH'!$B167,'TỔNG KLH + TN'!$C:$C,'01. TH'!X$4)</f>
        <v>0</v>
      </c>
      <c r="Y167" s="1042">
        <f>COUNTIFS('TỔNG KLH + TN'!$B:$B,'01. TH'!$B167,'TỔNG KLH + TN'!$C:$C,'01. TH'!Y$4)</f>
        <v>0</v>
      </c>
      <c r="Z167" s="1042">
        <f>COUNTIFS('TỔNG KLH + TN'!$B:$B,'01. TH'!$B167,'TỔNG KLH + TN'!$C:$C,'01. TH'!Z$4)</f>
        <v>0</v>
      </c>
      <c r="AA167" s="1042">
        <f>COUNTIFS('TỔNG KLH + TN'!$B:$B,'01. TH'!$B167,'TỔNG KLH + TN'!$C:$C,'01. TH'!AA$4)</f>
        <v>1</v>
      </c>
      <c r="AB167" s="1042">
        <f>COUNTIFS('TỔNG KLH + TN'!$B:$B,'01. TH'!$B167,'TỔNG KLH + TN'!$C:$C,'01. TH'!AB$4)</f>
        <v>0</v>
      </c>
      <c r="AC167" s="1042">
        <f>COUNTIFS('TỔNG KLH + TN'!$B:$B,'01. TH'!$B167,'TỔNG KLH + TN'!$C:$C,'01. TH'!AC$4)</f>
        <v>0</v>
      </c>
      <c r="AD167" s="1042">
        <f>COUNTIFS('TỔNG KLH + TN'!$B:$B,'01. TH'!$B167,'TỔNG KLH + TN'!$C:$C,'01. TH'!AD$4)</f>
        <v>0</v>
      </c>
      <c r="AE167" s="1043">
        <f>SUM(F167:AD167)</f>
        <v>1</v>
      </c>
      <c r="AF167" s="1043"/>
      <c r="AG167" s="1033" t="str">
        <f t="shared" si="23"/>
        <v>ok</v>
      </c>
      <c r="AH167" s="1041"/>
    </row>
    <row r="168" ht="24" customHeight="1" collapsed="1" spans="1:34">
      <c r="A168" s="1033">
        <v>20</v>
      </c>
      <c r="B168" s="1034" t="s">
        <v>258</v>
      </c>
      <c r="C168" s="1035"/>
      <c r="D168" s="1035" t="str">
        <f>IFERROR(VLOOKUP(B168,'Danh mục'!$G:$U,15,0),"")</f>
        <v/>
      </c>
      <c r="E168" s="1035"/>
      <c r="F168" s="1047">
        <f t="shared" ref="F168:AE168" si="37">SUM(F169)</f>
        <v>0</v>
      </c>
      <c r="G168" s="1047">
        <f t="shared" si="37"/>
        <v>0</v>
      </c>
      <c r="H168" s="1047">
        <f t="shared" si="37"/>
        <v>0</v>
      </c>
      <c r="I168" s="1047">
        <f t="shared" si="37"/>
        <v>0</v>
      </c>
      <c r="J168" s="1047">
        <f t="shared" si="37"/>
        <v>0</v>
      </c>
      <c r="K168" s="1047">
        <f t="shared" si="37"/>
        <v>0</v>
      </c>
      <c r="L168" s="1047">
        <f t="shared" si="37"/>
        <v>0</v>
      </c>
      <c r="M168" s="1047">
        <f t="shared" si="37"/>
        <v>0</v>
      </c>
      <c r="N168" s="1047">
        <f t="shared" si="37"/>
        <v>0</v>
      </c>
      <c r="O168" s="1047">
        <f t="shared" si="37"/>
        <v>0</v>
      </c>
      <c r="P168" s="1047">
        <f t="shared" si="37"/>
        <v>0</v>
      </c>
      <c r="Q168" s="1047">
        <f t="shared" si="37"/>
        <v>0</v>
      </c>
      <c r="R168" s="1047">
        <f t="shared" si="37"/>
        <v>0</v>
      </c>
      <c r="S168" s="1047">
        <f t="shared" si="37"/>
        <v>0</v>
      </c>
      <c r="T168" s="1047">
        <f t="shared" si="37"/>
        <v>0</v>
      </c>
      <c r="U168" s="1047">
        <f t="shared" si="37"/>
        <v>0</v>
      </c>
      <c r="V168" s="1047">
        <f t="shared" si="37"/>
        <v>0</v>
      </c>
      <c r="W168" s="1047">
        <f t="shared" si="37"/>
        <v>0</v>
      </c>
      <c r="X168" s="1047">
        <f t="shared" si="37"/>
        <v>0</v>
      </c>
      <c r="Y168" s="1047">
        <f t="shared" si="37"/>
        <v>0</v>
      </c>
      <c r="Z168" s="1047">
        <f t="shared" si="37"/>
        <v>0</v>
      </c>
      <c r="AA168" s="1047">
        <f t="shared" si="37"/>
        <v>3</v>
      </c>
      <c r="AB168" s="1047">
        <f t="shared" si="37"/>
        <v>0</v>
      </c>
      <c r="AC168" s="1047">
        <f t="shared" si="37"/>
        <v>0</v>
      </c>
      <c r="AD168" s="1047">
        <f t="shared" si="37"/>
        <v>0</v>
      </c>
      <c r="AE168" s="1048">
        <f t="shared" si="37"/>
        <v>3</v>
      </c>
      <c r="AF168" s="1048">
        <v>0</v>
      </c>
      <c r="AG168" s="1033" t="str">
        <f t="shared" si="23"/>
        <v>ok</v>
      </c>
      <c r="AH168" s="1038"/>
    </row>
    <row r="169" ht="18.75" hidden="1" customHeight="1" outlineLevel="1" spans="1:34">
      <c r="A169" s="1049"/>
      <c r="B169" s="1040" t="s">
        <v>259</v>
      </c>
      <c r="C169" s="1041" t="s">
        <v>44</v>
      </c>
      <c r="D169" s="1041" t="str">
        <f>IFERROR(VLOOKUP(B169,'Danh mục'!$G:$U,15,0),"")</f>
        <v>4730 x 1750 x 2100</v>
      </c>
      <c r="E169" s="1041" t="s">
        <v>42</v>
      </c>
      <c r="F169" s="1042">
        <f>COUNTIFS('TỔNG KLH + TN'!$B:$B,'01. TH'!$B169,'TỔNG KLH + TN'!$C:$C,'01. TH'!F$4)</f>
        <v>0</v>
      </c>
      <c r="G169" s="1042">
        <f>COUNTIFS('TỔNG KLH + TN'!$B:$B,'01. TH'!$B169,'TỔNG KLH + TN'!$C:$C,'01. TH'!G$4)</f>
        <v>0</v>
      </c>
      <c r="H169" s="1042">
        <f>COUNTIFS('TỔNG KLH + TN'!$B:$B,'01. TH'!$B169,'TỔNG KLH + TN'!$C:$C,'01. TH'!H$4)</f>
        <v>0</v>
      </c>
      <c r="I169" s="1042">
        <f>COUNTIFS('TỔNG KLH + TN'!$B:$B,'01. TH'!$B169,'TỔNG KLH + TN'!$C:$C,'01. TH'!I$4)</f>
        <v>0</v>
      </c>
      <c r="J169" s="1042">
        <f>COUNTIFS('TỔNG KLH + TN'!$B:$B,'01. TH'!$B169,'TỔNG KLH + TN'!$C:$C,'01. TH'!J$4)</f>
        <v>0</v>
      </c>
      <c r="K169" s="1042">
        <f>COUNTIFS('TỔNG KLH + TN'!$B:$B,'01. TH'!$B169,'TỔNG KLH + TN'!$C:$C,'01. TH'!K$4)</f>
        <v>0</v>
      </c>
      <c r="L169" s="1042">
        <f>COUNTIFS('TỔNG KLH + TN'!$B:$B,'01. TH'!$B169,'TỔNG KLH + TN'!$C:$C,'01. TH'!L$4)</f>
        <v>0</v>
      </c>
      <c r="M169" s="1042">
        <f>COUNTIFS('TỔNG KLH + TN'!$B:$B,'01. TH'!$B169,'TỔNG KLH + TN'!$C:$C,'01. TH'!M$4)</f>
        <v>0</v>
      </c>
      <c r="N169" s="1042">
        <f>COUNTIFS('TỔNG KLH + TN'!$B:$B,'01. TH'!$B169,'TỔNG KLH + TN'!$C:$C,'01. TH'!N$4)</f>
        <v>0</v>
      </c>
      <c r="O169" s="1042">
        <f>COUNTIFS('TỔNG KLH + TN'!$B:$B,'01. TH'!$B169,'TỔNG KLH + TN'!$C:$C,'01. TH'!O$4)</f>
        <v>0</v>
      </c>
      <c r="P169" s="1042">
        <f>COUNTIFS('TỔNG KLH + TN'!$B:$B,'01. TH'!$B169,'TỔNG KLH + TN'!$C:$C,'01. TH'!P$4)</f>
        <v>0</v>
      </c>
      <c r="Q169" s="1042">
        <f>COUNTIFS('TỔNG KLH + TN'!$B:$B,'01. TH'!$B169,'TỔNG KLH + TN'!$C:$C,'01. TH'!Q$4)</f>
        <v>0</v>
      </c>
      <c r="R169" s="1042">
        <f>COUNTIFS('TỔNG KLH + TN'!$B:$B,'01. TH'!$B169,'TỔNG KLH + TN'!$C:$C,'01. TH'!R$4)</f>
        <v>0</v>
      </c>
      <c r="S169" s="1042">
        <f>COUNTIFS('TỔNG KLH + TN'!$B:$B,'01. TH'!$B169,'TỔNG KLH + TN'!$C:$C,'01. TH'!S$4)</f>
        <v>0</v>
      </c>
      <c r="T169" s="1042">
        <f>COUNTIFS('TỔNG KLH + TN'!$B:$B,'01. TH'!$B169,'TỔNG KLH + TN'!$C:$C,'01. TH'!T$4)</f>
        <v>0</v>
      </c>
      <c r="U169" s="1042">
        <f>COUNTIFS('TỔNG KLH + TN'!$B:$B,'01. TH'!$B169,'TỔNG KLH + TN'!$C:$C,'01. TH'!U$4)</f>
        <v>0</v>
      </c>
      <c r="V169" s="1042">
        <f>COUNTIFS('TỔNG KLH + TN'!$B:$B,'01. TH'!$B169,'TỔNG KLH + TN'!$C:$C,'01. TH'!V$4)</f>
        <v>0</v>
      </c>
      <c r="W169" s="1042">
        <f>COUNTIFS('TỔNG KLH + TN'!$B:$B,'01. TH'!$B169,'TỔNG KLH + TN'!$C:$C,'01. TH'!W$4)</f>
        <v>0</v>
      </c>
      <c r="X169" s="1042">
        <f>COUNTIFS('TỔNG KLH + TN'!$B:$B,'01. TH'!$B169,'TỔNG KLH + TN'!$C:$C,'01. TH'!X$4)</f>
        <v>0</v>
      </c>
      <c r="Y169" s="1042">
        <f>COUNTIFS('TỔNG KLH + TN'!$B:$B,'01. TH'!$B169,'TỔNG KLH + TN'!$C:$C,'01. TH'!Y$4)</f>
        <v>0</v>
      </c>
      <c r="Z169" s="1042">
        <f>COUNTIFS('TỔNG KLH + TN'!$B:$B,'01. TH'!$B169,'TỔNG KLH + TN'!$C:$C,'01. TH'!Z$4)</f>
        <v>0</v>
      </c>
      <c r="AA169" s="1042">
        <f>COUNTIFS('TỔNG KLH + TN'!$B:$B,'01. TH'!$B169,'TỔNG KLH + TN'!$C:$C,'01. TH'!AA$4)</f>
        <v>3</v>
      </c>
      <c r="AB169" s="1042">
        <f>COUNTIFS('TỔNG KLH + TN'!$B:$B,'01. TH'!$B169,'TỔNG KLH + TN'!$C:$C,'01. TH'!AB$4)</f>
        <v>0</v>
      </c>
      <c r="AC169" s="1042">
        <f>COUNTIFS('TỔNG KLH + TN'!$B:$B,'01. TH'!$B169,'TỔNG KLH + TN'!$C:$C,'01. TH'!AC$4)</f>
        <v>0</v>
      </c>
      <c r="AD169" s="1042">
        <f>COUNTIFS('TỔNG KLH + TN'!$B:$B,'01. TH'!$B169,'TỔNG KLH + TN'!$C:$C,'01. TH'!AD$4)</f>
        <v>0</v>
      </c>
      <c r="AE169" s="1045">
        <f>SUM(F169:AD169)</f>
        <v>3</v>
      </c>
      <c r="AF169" s="1045"/>
      <c r="AG169" s="1033" t="str">
        <f t="shared" si="23"/>
        <v>ok</v>
      </c>
      <c r="AH169" s="1050"/>
    </row>
    <row r="170" ht="24" customHeight="1" collapsed="1" spans="1:34">
      <c r="A170" s="1033">
        <v>21</v>
      </c>
      <c r="B170" s="1034" t="s">
        <v>260</v>
      </c>
      <c r="C170" s="1035"/>
      <c r="D170" s="1035" t="str">
        <f>IFERROR(VLOOKUP(B170,'Danh mục'!$G:$U,15,0),"")</f>
        <v/>
      </c>
      <c r="E170" s="1035"/>
      <c r="F170" s="1047">
        <f t="shared" ref="F170:AE170" si="38">SUM(F171:F179)</f>
        <v>0</v>
      </c>
      <c r="G170" s="1047">
        <f t="shared" si="38"/>
        <v>0</v>
      </c>
      <c r="H170" s="1047">
        <f t="shared" si="38"/>
        <v>0</v>
      </c>
      <c r="I170" s="1047">
        <f t="shared" si="38"/>
        <v>0</v>
      </c>
      <c r="J170" s="1047">
        <f t="shared" si="38"/>
        <v>0</v>
      </c>
      <c r="K170" s="1047">
        <f t="shared" si="38"/>
        <v>0</v>
      </c>
      <c r="L170" s="1047">
        <f t="shared" si="38"/>
        <v>0</v>
      </c>
      <c r="M170" s="1047">
        <f t="shared" si="38"/>
        <v>0</v>
      </c>
      <c r="N170" s="1047">
        <f t="shared" si="38"/>
        <v>0</v>
      </c>
      <c r="O170" s="1047">
        <f t="shared" si="38"/>
        <v>0</v>
      </c>
      <c r="P170" s="1047">
        <f t="shared" si="38"/>
        <v>0</v>
      </c>
      <c r="Q170" s="1047">
        <f t="shared" si="38"/>
        <v>0</v>
      </c>
      <c r="R170" s="1047">
        <f t="shared" si="38"/>
        <v>0</v>
      </c>
      <c r="S170" s="1047">
        <f t="shared" si="38"/>
        <v>0</v>
      </c>
      <c r="T170" s="1047">
        <f t="shared" si="38"/>
        <v>0</v>
      </c>
      <c r="U170" s="1047">
        <f t="shared" si="38"/>
        <v>0</v>
      </c>
      <c r="V170" s="1047">
        <f t="shared" si="38"/>
        <v>0</v>
      </c>
      <c r="W170" s="1047">
        <f t="shared" si="38"/>
        <v>2</v>
      </c>
      <c r="X170" s="1047">
        <f t="shared" si="38"/>
        <v>0</v>
      </c>
      <c r="Y170" s="1047">
        <f t="shared" si="38"/>
        <v>0</v>
      </c>
      <c r="Z170" s="1047">
        <f t="shared" si="38"/>
        <v>0</v>
      </c>
      <c r="AA170" s="1047">
        <f t="shared" si="38"/>
        <v>14</v>
      </c>
      <c r="AB170" s="1047">
        <f t="shared" si="38"/>
        <v>0</v>
      </c>
      <c r="AC170" s="1047">
        <f t="shared" si="38"/>
        <v>0</v>
      </c>
      <c r="AD170" s="1047">
        <f t="shared" si="38"/>
        <v>0</v>
      </c>
      <c r="AE170" s="1048">
        <f t="shared" si="38"/>
        <v>16</v>
      </c>
      <c r="AF170" s="1048">
        <v>0</v>
      </c>
      <c r="AG170" s="1033" t="str">
        <f t="shared" si="23"/>
        <v>ok</v>
      </c>
      <c r="AH170" s="1038"/>
    </row>
    <row r="171" ht="18.75" hidden="1" customHeight="1" outlineLevel="1" spans="1:34">
      <c r="A171" s="1049"/>
      <c r="B171" s="1040" t="s">
        <v>261</v>
      </c>
      <c r="C171" s="1041" t="s">
        <v>124</v>
      </c>
      <c r="D171" s="1041" t="str">
        <f>IFERROR(VLOOKUP(B171,'Danh mục'!$G:$U,15,0),"")</f>
        <v/>
      </c>
      <c r="E171" s="1041" t="s">
        <v>42</v>
      </c>
      <c r="F171" s="1042">
        <f>COUNTIFS('TỔNG KLH + TN'!$B:$B,'01. TH'!$B171,'TỔNG KLH + TN'!$C:$C,'01. TH'!F$4)</f>
        <v>0</v>
      </c>
      <c r="G171" s="1042">
        <f>COUNTIFS('TỔNG KLH + TN'!$B:$B,'01. TH'!$B171,'TỔNG KLH + TN'!$C:$C,'01. TH'!G$4)</f>
        <v>0</v>
      </c>
      <c r="H171" s="1042">
        <f>COUNTIFS('TỔNG KLH + TN'!$B:$B,'01. TH'!$B171,'TỔNG KLH + TN'!$C:$C,'01. TH'!H$4)</f>
        <v>0</v>
      </c>
      <c r="I171" s="1042">
        <f>COUNTIFS('TỔNG KLH + TN'!$B:$B,'01. TH'!$B171,'TỔNG KLH + TN'!$C:$C,'01. TH'!I$4)</f>
        <v>0</v>
      </c>
      <c r="J171" s="1042">
        <f>COUNTIFS('TỔNG KLH + TN'!$B:$B,'01. TH'!$B171,'TỔNG KLH + TN'!$C:$C,'01. TH'!J$4)</f>
        <v>0</v>
      </c>
      <c r="K171" s="1042">
        <f>COUNTIFS('TỔNG KLH + TN'!$B:$B,'01. TH'!$B171,'TỔNG KLH + TN'!$C:$C,'01. TH'!K$4)</f>
        <v>0</v>
      </c>
      <c r="L171" s="1042">
        <f>COUNTIFS('TỔNG KLH + TN'!$B:$B,'01. TH'!$B171,'TỔNG KLH + TN'!$C:$C,'01. TH'!L$4)</f>
        <v>0</v>
      </c>
      <c r="M171" s="1042">
        <f>COUNTIFS('TỔNG KLH + TN'!$B:$B,'01. TH'!$B171,'TỔNG KLH + TN'!$C:$C,'01. TH'!M$4)</f>
        <v>0</v>
      </c>
      <c r="N171" s="1042">
        <f>COUNTIFS('TỔNG KLH + TN'!$B:$B,'01. TH'!$B171,'TỔNG KLH + TN'!$C:$C,'01. TH'!N$4)</f>
        <v>0</v>
      </c>
      <c r="O171" s="1042">
        <f>COUNTIFS('TỔNG KLH + TN'!$B:$B,'01. TH'!$B171,'TỔNG KLH + TN'!$C:$C,'01. TH'!O$4)</f>
        <v>0</v>
      </c>
      <c r="P171" s="1042">
        <f>COUNTIFS('TỔNG KLH + TN'!$B:$B,'01. TH'!$B171,'TỔNG KLH + TN'!$C:$C,'01. TH'!P$4)</f>
        <v>0</v>
      </c>
      <c r="Q171" s="1042">
        <f>COUNTIFS('TỔNG KLH + TN'!$B:$B,'01. TH'!$B171,'TỔNG KLH + TN'!$C:$C,'01. TH'!Q$4)</f>
        <v>0</v>
      </c>
      <c r="R171" s="1042">
        <f>COUNTIFS('TỔNG KLH + TN'!$B:$B,'01. TH'!$B171,'TỔNG KLH + TN'!$C:$C,'01. TH'!R$4)</f>
        <v>0</v>
      </c>
      <c r="S171" s="1042">
        <f>COUNTIFS('TỔNG KLH + TN'!$B:$B,'01. TH'!$B171,'TỔNG KLH + TN'!$C:$C,'01. TH'!S$4)</f>
        <v>0</v>
      </c>
      <c r="T171" s="1042">
        <f>COUNTIFS('TỔNG KLH + TN'!$B:$B,'01. TH'!$B171,'TỔNG KLH + TN'!$C:$C,'01. TH'!T$4)</f>
        <v>0</v>
      </c>
      <c r="U171" s="1042">
        <f>COUNTIFS('TỔNG KLH + TN'!$B:$B,'01. TH'!$B171,'TỔNG KLH + TN'!$C:$C,'01. TH'!U$4)</f>
        <v>0</v>
      </c>
      <c r="V171" s="1042">
        <f>COUNTIFS('TỔNG KLH + TN'!$B:$B,'01. TH'!$B171,'TỔNG KLH + TN'!$C:$C,'01. TH'!V$4)</f>
        <v>0</v>
      </c>
      <c r="W171" s="1042">
        <f>COUNTIFS('TỔNG KLH + TN'!$B:$B,'01. TH'!$B171,'TỔNG KLH + TN'!$C:$C,'01. TH'!W$4)</f>
        <v>0</v>
      </c>
      <c r="X171" s="1042">
        <f>COUNTIFS('TỔNG KLH + TN'!$B:$B,'01. TH'!$B171,'TỔNG KLH + TN'!$C:$C,'01. TH'!X$4)</f>
        <v>0</v>
      </c>
      <c r="Y171" s="1042">
        <f>COUNTIFS('TỔNG KLH + TN'!$B:$B,'01. TH'!$B171,'TỔNG KLH + TN'!$C:$C,'01. TH'!Y$4)</f>
        <v>0</v>
      </c>
      <c r="Z171" s="1042">
        <f>COUNTIFS('TỔNG KLH + TN'!$B:$B,'01. TH'!$B171,'TỔNG KLH + TN'!$C:$C,'01. TH'!Z$4)</f>
        <v>0</v>
      </c>
      <c r="AA171" s="1042">
        <f>COUNTIFS('TỔNG KLH + TN'!$B:$B,'01. TH'!$B171,'TỔNG KLH + TN'!$C:$C,'01. TH'!AA$4)</f>
        <v>7</v>
      </c>
      <c r="AB171" s="1042">
        <f>COUNTIFS('TỔNG KLH + TN'!$B:$B,'01. TH'!$B171,'TỔNG KLH + TN'!$C:$C,'01. TH'!AB$4)</f>
        <v>0</v>
      </c>
      <c r="AC171" s="1042">
        <f>COUNTIFS('TỔNG KLH + TN'!$B:$B,'01. TH'!$B171,'TỔNG KLH + TN'!$C:$C,'01. TH'!AC$4)</f>
        <v>0</v>
      </c>
      <c r="AD171" s="1042">
        <f>COUNTIFS('TỔNG KLH + TN'!$B:$B,'01. TH'!$B171,'TỔNG KLH + TN'!$C:$C,'01. TH'!AD$4)</f>
        <v>0</v>
      </c>
      <c r="AE171" s="1045">
        <f t="shared" ref="AE171:AE179" si="39">SUM(F171:AD171)</f>
        <v>7</v>
      </c>
      <c r="AF171" s="1045"/>
      <c r="AG171" s="1033" t="str">
        <f t="shared" si="23"/>
        <v>ok</v>
      </c>
      <c r="AH171" s="1050"/>
    </row>
    <row r="172" ht="18.75" hidden="1" customHeight="1" outlineLevel="1" spans="1:34">
      <c r="A172" s="1049"/>
      <c r="B172" s="1040" t="s">
        <v>262</v>
      </c>
      <c r="C172" s="1041" t="s">
        <v>124</v>
      </c>
      <c r="D172" s="1041" t="str">
        <f>IFERROR(VLOOKUP(B172,'Danh mục'!$G:$U,15,0),"")</f>
        <v/>
      </c>
      <c r="E172" s="1041" t="s">
        <v>42</v>
      </c>
      <c r="F172" s="1042">
        <f>COUNTIFS('TỔNG KLH + TN'!$B:$B,'01. TH'!$B172,'TỔNG KLH + TN'!$C:$C,'01. TH'!F$4)</f>
        <v>0</v>
      </c>
      <c r="G172" s="1042">
        <f>COUNTIFS('TỔNG KLH + TN'!$B:$B,'01. TH'!$B172,'TỔNG KLH + TN'!$C:$C,'01. TH'!G$4)</f>
        <v>0</v>
      </c>
      <c r="H172" s="1042">
        <f>COUNTIFS('TỔNG KLH + TN'!$B:$B,'01. TH'!$B172,'TỔNG KLH + TN'!$C:$C,'01. TH'!H$4)</f>
        <v>0</v>
      </c>
      <c r="I172" s="1042">
        <f>COUNTIFS('TỔNG KLH + TN'!$B:$B,'01. TH'!$B172,'TỔNG KLH + TN'!$C:$C,'01. TH'!I$4)</f>
        <v>0</v>
      </c>
      <c r="J172" s="1042">
        <f>COUNTIFS('TỔNG KLH + TN'!$B:$B,'01. TH'!$B172,'TỔNG KLH + TN'!$C:$C,'01. TH'!J$4)</f>
        <v>0</v>
      </c>
      <c r="K172" s="1042">
        <f>COUNTIFS('TỔNG KLH + TN'!$B:$B,'01. TH'!$B172,'TỔNG KLH + TN'!$C:$C,'01. TH'!K$4)</f>
        <v>0</v>
      </c>
      <c r="L172" s="1042">
        <f>COUNTIFS('TỔNG KLH + TN'!$B:$B,'01. TH'!$B172,'TỔNG KLH + TN'!$C:$C,'01. TH'!L$4)</f>
        <v>0</v>
      </c>
      <c r="M172" s="1042">
        <f>COUNTIFS('TỔNG KLH + TN'!$B:$B,'01. TH'!$B172,'TỔNG KLH + TN'!$C:$C,'01. TH'!M$4)</f>
        <v>0</v>
      </c>
      <c r="N172" s="1042">
        <f>COUNTIFS('TỔNG KLH + TN'!$B:$B,'01. TH'!$B172,'TỔNG KLH + TN'!$C:$C,'01. TH'!N$4)</f>
        <v>0</v>
      </c>
      <c r="O172" s="1042">
        <f>COUNTIFS('TỔNG KLH + TN'!$B:$B,'01. TH'!$B172,'TỔNG KLH + TN'!$C:$C,'01. TH'!O$4)</f>
        <v>0</v>
      </c>
      <c r="P172" s="1042">
        <f>COUNTIFS('TỔNG KLH + TN'!$B:$B,'01. TH'!$B172,'TỔNG KLH + TN'!$C:$C,'01. TH'!P$4)</f>
        <v>0</v>
      </c>
      <c r="Q172" s="1042">
        <f>COUNTIFS('TỔNG KLH + TN'!$B:$B,'01. TH'!$B172,'TỔNG KLH + TN'!$C:$C,'01. TH'!Q$4)</f>
        <v>0</v>
      </c>
      <c r="R172" s="1042">
        <f>COUNTIFS('TỔNG KLH + TN'!$B:$B,'01. TH'!$B172,'TỔNG KLH + TN'!$C:$C,'01. TH'!R$4)</f>
        <v>0</v>
      </c>
      <c r="S172" s="1042">
        <f>COUNTIFS('TỔNG KLH + TN'!$B:$B,'01. TH'!$B172,'TỔNG KLH + TN'!$C:$C,'01. TH'!S$4)</f>
        <v>0</v>
      </c>
      <c r="T172" s="1042">
        <f>COUNTIFS('TỔNG KLH + TN'!$B:$B,'01. TH'!$B172,'TỔNG KLH + TN'!$C:$C,'01. TH'!T$4)</f>
        <v>0</v>
      </c>
      <c r="U172" s="1042">
        <f>COUNTIFS('TỔNG KLH + TN'!$B:$B,'01. TH'!$B172,'TỔNG KLH + TN'!$C:$C,'01. TH'!U$4)</f>
        <v>0</v>
      </c>
      <c r="V172" s="1042">
        <f>COUNTIFS('TỔNG KLH + TN'!$B:$B,'01. TH'!$B172,'TỔNG KLH + TN'!$C:$C,'01. TH'!V$4)</f>
        <v>0</v>
      </c>
      <c r="W172" s="1042">
        <f>COUNTIFS('TỔNG KLH + TN'!$B:$B,'01. TH'!$B172,'TỔNG KLH + TN'!$C:$C,'01. TH'!W$4)</f>
        <v>0</v>
      </c>
      <c r="X172" s="1042">
        <f>COUNTIFS('TỔNG KLH + TN'!$B:$B,'01. TH'!$B172,'TỔNG KLH + TN'!$C:$C,'01. TH'!X$4)</f>
        <v>0</v>
      </c>
      <c r="Y172" s="1042">
        <f>COUNTIFS('TỔNG KLH + TN'!$B:$B,'01. TH'!$B172,'TỔNG KLH + TN'!$C:$C,'01. TH'!Y$4)</f>
        <v>0</v>
      </c>
      <c r="Z172" s="1042">
        <f>COUNTIFS('TỔNG KLH + TN'!$B:$B,'01. TH'!$B172,'TỔNG KLH + TN'!$C:$C,'01. TH'!Z$4)</f>
        <v>0</v>
      </c>
      <c r="AA172" s="1042">
        <f>COUNTIFS('TỔNG KLH + TN'!$B:$B,'01. TH'!$B172,'TỔNG KLH + TN'!$C:$C,'01. TH'!AA$4)</f>
        <v>2</v>
      </c>
      <c r="AB172" s="1042">
        <f>COUNTIFS('TỔNG KLH + TN'!$B:$B,'01. TH'!$B172,'TỔNG KLH + TN'!$C:$C,'01. TH'!AB$4)</f>
        <v>0</v>
      </c>
      <c r="AC172" s="1042">
        <f>COUNTIFS('TỔNG KLH + TN'!$B:$B,'01. TH'!$B172,'TỔNG KLH + TN'!$C:$C,'01. TH'!AC$4)</f>
        <v>0</v>
      </c>
      <c r="AD172" s="1042">
        <f>COUNTIFS('TỔNG KLH + TN'!$B:$B,'01. TH'!$B172,'TỔNG KLH + TN'!$C:$C,'01. TH'!AD$4)</f>
        <v>0</v>
      </c>
      <c r="AE172" s="1045">
        <f t="shared" si="39"/>
        <v>2</v>
      </c>
      <c r="AF172" s="1045"/>
      <c r="AG172" s="1033" t="str">
        <f t="shared" si="23"/>
        <v>ok</v>
      </c>
      <c r="AH172" s="1050"/>
    </row>
    <row r="173" ht="18.75" hidden="1" customHeight="1" outlineLevel="1" spans="1:34">
      <c r="A173" s="1049"/>
      <c r="B173" s="1040" t="s">
        <v>263</v>
      </c>
      <c r="C173" s="1041" t="s">
        <v>124</v>
      </c>
      <c r="D173" s="1041" t="str">
        <f>IFERROR(VLOOKUP(B173,'Danh mục'!$G:$U,15,0),"")</f>
        <v/>
      </c>
      <c r="E173" s="1041" t="s">
        <v>42</v>
      </c>
      <c r="F173" s="1042">
        <f>COUNTIFS('TỔNG KLH + TN'!$B:$B,'01. TH'!$B173,'TỔNG KLH + TN'!$C:$C,'01. TH'!F$4)</f>
        <v>0</v>
      </c>
      <c r="G173" s="1042">
        <f>COUNTIFS('TỔNG KLH + TN'!$B:$B,'01. TH'!$B173,'TỔNG KLH + TN'!$C:$C,'01. TH'!G$4)</f>
        <v>0</v>
      </c>
      <c r="H173" s="1042">
        <f>COUNTIFS('TỔNG KLH + TN'!$B:$B,'01. TH'!$B173,'TỔNG KLH + TN'!$C:$C,'01. TH'!H$4)</f>
        <v>0</v>
      </c>
      <c r="I173" s="1042">
        <f>COUNTIFS('TỔNG KLH + TN'!$B:$B,'01. TH'!$B173,'TỔNG KLH + TN'!$C:$C,'01. TH'!I$4)</f>
        <v>0</v>
      </c>
      <c r="J173" s="1042">
        <f>COUNTIFS('TỔNG KLH + TN'!$B:$B,'01. TH'!$B173,'TỔNG KLH + TN'!$C:$C,'01. TH'!J$4)</f>
        <v>0</v>
      </c>
      <c r="K173" s="1042">
        <f>COUNTIFS('TỔNG KLH + TN'!$B:$B,'01. TH'!$B173,'TỔNG KLH + TN'!$C:$C,'01. TH'!K$4)</f>
        <v>0</v>
      </c>
      <c r="L173" s="1042">
        <f>COUNTIFS('TỔNG KLH + TN'!$B:$B,'01. TH'!$B173,'TỔNG KLH + TN'!$C:$C,'01. TH'!L$4)</f>
        <v>0</v>
      </c>
      <c r="M173" s="1042">
        <f>COUNTIFS('TỔNG KLH + TN'!$B:$B,'01. TH'!$B173,'TỔNG KLH + TN'!$C:$C,'01. TH'!M$4)</f>
        <v>0</v>
      </c>
      <c r="N173" s="1042">
        <f>COUNTIFS('TỔNG KLH + TN'!$B:$B,'01. TH'!$B173,'TỔNG KLH + TN'!$C:$C,'01. TH'!N$4)</f>
        <v>0</v>
      </c>
      <c r="O173" s="1042">
        <f>COUNTIFS('TỔNG KLH + TN'!$B:$B,'01. TH'!$B173,'TỔNG KLH + TN'!$C:$C,'01. TH'!O$4)</f>
        <v>0</v>
      </c>
      <c r="P173" s="1042">
        <f>COUNTIFS('TỔNG KLH + TN'!$B:$B,'01. TH'!$B173,'TỔNG KLH + TN'!$C:$C,'01. TH'!P$4)</f>
        <v>0</v>
      </c>
      <c r="Q173" s="1042">
        <f>COUNTIFS('TỔNG KLH + TN'!$B:$B,'01. TH'!$B173,'TỔNG KLH + TN'!$C:$C,'01. TH'!Q$4)</f>
        <v>0</v>
      </c>
      <c r="R173" s="1042">
        <f>COUNTIFS('TỔNG KLH + TN'!$B:$B,'01. TH'!$B173,'TỔNG KLH + TN'!$C:$C,'01. TH'!R$4)</f>
        <v>0</v>
      </c>
      <c r="S173" s="1042">
        <f>COUNTIFS('TỔNG KLH + TN'!$B:$B,'01. TH'!$B173,'TỔNG KLH + TN'!$C:$C,'01. TH'!S$4)</f>
        <v>0</v>
      </c>
      <c r="T173" s="1042">
        <f>COUNTIFS('TỔNG KLH + TN'!$B:$B,'01. TH'!$B173,'TỔNG KLH + TN'!$C:$C,'01. TH'!T$4)</f>
        <v>0</v>
      </c>
      <c r="U173" s="1042">
        <f>COUNTIFS('TỔNG KLH + TN'!$B:$B,'01. TH'!$B173,'TỔNG KLH + TN'!$C:$C,'01. TH'!U$4)</f>
        <v>0</v>
      </c>
      <c r="V173" s="1042">
        <f>COUNTIFS('TỔNG KLH + TN'!$B:$B,'01. TH'!$B173,'TỔNG KLH + TN'!$C:$C,'01. TH'!V$4)</f>
        <v>0</v>
      </c>
      <c r="W173" s="1042">
        <f>COUNTIFS('TỔNG KLH + TN'!$B:$B,'01. TH'!$B173,'TỔNG KLH + TN'!$C:$C,'01. TH'!W$4)</f>
        <v>0</v>
      </c>
      <c r="X173" s="1042">
        <f>COUNTIFS('TỔNG KLH + TN'!$B:$B,'01. TH'!$B173,'TỔNG KLH + TN'!$C:$C,'01. TH'!X$4)</f>
        <v>0</v>
      </c>
      <c r="Y173" s="1042">
        <f>COUNTIFS('TỔNG KLH + TN'!$B:$B,'01. TH'!$B173,'TỔNG KLH + TN'!$C:$C,'01. TH'!Y$4)</f>
        <v>0</v>
      </c>
      <c r="Z173" s="1042">
        <f>COUNTIFS('TỔNG KLH + TN'!$B:$B,'01. TH'!$B173,'TỔNG KLH + TN'!$C:$C,'01. TH'!Z$4)</f>
        <v>0</v>
      </c>
      <c r="AA173" s="1042">
        <f>COUNTIFS('TỔNG KLH + TN'!$B:$B,'01. TH'!$B173,'TỔNG KLH + TN'!$C:$C,'01. TH'!AA$4)</f>
        <v>1</v>
      </c>
      <c r="AB173" s="1042">
        <f>COUNTIFS('TỔNG KLH + TN'!$B:$B,'01. TH'!$B173,'TỔNG KLH + TN'!$C:$C,'01. TH'!AB$4)</f>
        <v>0</v>
      </c>
      <c r="AC173" s="1042">
        <f>COUNTIFS('TỔNG KLH + TN'!$B:$B,'01. TH'!$B173,'TỔNG KLH + TN'!$C:$C,'01. TH'!AC$4)</f>
        <v>0</v>
      </c>
      <c r="AD173" s="1042">
        <f>COUNTIFS('TỔNG KLH + TN'!$B:$B,'01. TH'!$B173,'TỔNG KLH + TN'!$C:$C,'01. TH'!AD$4)</f>
        <v>0</v>
      </c>
      <c r="AE173" s="1045">
        <f t="shared" si="39"/>
        <v>1</v>
      </c>
      <c r="AF173" s="1045"/>
      <c r="AG173" s="1033" t="str">
        <f t="shared" si="23"/>
        <v>ok</v>
      </c>
      <c r="AH173" s="1050"/>
    </row>
    <row r="174" ht="18.75" hidden="1" customHeight="1" outlineLevel="1" spans="1:34">
      <c r="A174" s="1049"/>
      <c r="B174" s="1040" t="s">
        <v>264</v>
      </c>
      <c r="C174" s="1041" t="s">
        <v>124</v>
      </c>
      <c r="D174" s="1041" t="str">
        <f>IFERROR(VLOOKUP(B174,'Danh mục'!$G:$U,15,0),"")</f>
        <v/>
      </c>
      <c r="E174" s="1041" t="s">
        <v>42</v>
      </c>
      <c r="F174" s="1042">
        <f>COUNTIFS('TỔNG KLH + TN'!$B:$B,'01. TH'!$B174,'TỔNG KLH + TN'!$C:$C,'01. TH'!F$4)</f>
        <v>0</v>
      </c>
      <c r="G174" s="1042">
        <f>COUNTIFS('TỔNG KLH + TN'!$B:$B,'01. TH'!$B174,'TỔNG KLH + TN'!$C:$C,'01. TH'!G$4)</f>
        <v>0</v>
      </c>
      <c r="H174" s="1042">
        <f>COUNTIFS('TỔNG KLH + TN'!$B:$B,'01. TH'!$B174,'TỔNG KLH + TN'!$C:$C,'01. TH'!H$4)</f>
        <v>0</v>
      </c>
      <c r="I174" s="1042">
        <f>COUNTIFS('TỔNG KLH + TN'!$B:$B,'01. TH'!$B174,'TỔNG KLH + TN'!$C:$C,'01. TH'!I$4)</f>
        <v>0</v>
      </c>
      <c r="J174" s="1042">
        <f>COUNTIFS('TỔNG KLH + TN'!$B:$B,'01. TH'!$B174,'TỔNG KLH + TN'!$C:$C,'01. TH'!J$4)</f>
        <v>0</v>
      </c>
      <c r="K174" s="1042">
        <f>COUNTIFS('TỔNG KLH + TN'!$B:$B,'01. TH'!$B174,'TỔNG KLH + TN'!$C:$C,'01. TH'!K$4)</f>
        <v>0</v>
      </c>
      <c r="L174" s="1042">
        <f>COUNTIFS('TỔNG KLH + TN'!$B:$B,'01. TH'!$B174,'TỔNG KLH + TN'!$C:$C,'01. TH'!L$4)</f>
        <v>0</v>
      </c>
      <c r="M174" s="1042">
        <f>COUNTIFS('TỔNG KLH + TN'!$B:$B,'01. TH'!$B174,'TỔNG KLH + TN'!$C:$C,'01. TH'!M$4)</f>
        <v>0</v>
      </c>
      <c r="N174" s="1042">
        <f>COUNTIFS('TỔNG KLH + TN'!$B:$B,'01. TH'!$B174,'TỔNG KLH + TN'!$C:$C,'01. TH'!N$4)</f>
        <v>0</v>
      </c>
      <c r="O174" s="1042">
        <f>COUNTIFS('TỔNG KLH + TN'!$B:$B,'01. TH'!$B174,'TỔNG KLH + TN'!$C:$C,'01. TH'!O$4)</f>
        <v>0</v>
      </c>
      <c r="P174" s="1042">
        <f>COUNTIFS('TỔNG KLH + TN'!$B:$B,'01. TH'!$B174,'TỔNG KLH + TN'!$C:$C,'01. TH'!P$4)</f>
        <v>0</v>
      </c>
      <c r="Q174" s="1042">
        <f>COUNTIFS('TỔNG KLH + TN'!$B:$B,'01. TH'!$B174,'TỔNG KLH + TN'!$C:$C,'01. TH'!Q$4)</f>
        <v>0</v>
      </c>
      <c r="R174" s="1042">
        <f>COUNTIFS('TỔNG KLH + TN'!$B:$B,'01. TH'!$B174,'TỔNG KLH + TN'!$C:$C,'01. TH'!R$4)</f>
        <v>0</v>
      </c>
      <c r="S174" s="1042">
        <f>COUNTIFS('TỔNG KLH + TN'!$B:$B,'01. TH'!$B174,'TỔNG KLH + TN'!$C:$C,'01. TH'!S$4)</f>
        <v>0</v>
      </c>
      <c r="T174" s="1042">
        <f>COUNTIFS('TỔNG KLH + TN'!$B:$B,'01. TH'!$B174,'TỔNG KLH + TN'!$C:$C,'01. TH'!T$4)</f>
        <v>0</v>
      </c>
      <c r="U174" s="1042">
        <f>COUNTIFS('TỔNG KLH + TN'!$B:$B,'01. TH'!$B174,'TỔNG KLH + TN'!$C:$C,'01. TH'!U$4)</f>
        <v>0</v>
      </c>
      <c r="V174" s="1042">
        <f>COUNTIFS('TỔNG KLH + TN'!$B:$B,'01. TH'!$B174,'TỔNG KLH + TN'!$C:$C,'01. TH'!V$4)</f>
        <v>0</v>
      </c>
      <c r="W174" s="1042">
        <f>COUNTIFS('TỔNG KLH + TN'!$B:$B,'01. TH'!$B174,'TỔNG KLH + TN'!$C:$C,'01. TH'!W$4)</f>
        <v>0</v>
      </c>
      <c r="X174" s="1042">
        <f>COUNTIFS('TỔNG KLH + TN'!$B:$B,'01. TH'!$B174,'TỔNG KLH + TN'!$C:$C,'01. TH'!X$4)</f>
        <v>0</v>
      </c>
      <c r="Y174" s="1042">
        <f>COUNTIFS('TỔNG KLH + TN'!$B:$B,'01. TH'!$B174,'TỔNG KLH + TN'!$C:$C,'01. TH'!Y$4)</f>
        <v>0</v>
      </c>
      <c r="Z174" s="1042">
        <f>COUNTIFS('TỔNG KLH + TN'!$B:$B,'01. TH'!$B174,'TỔNG KLH + TN'!$C:$C,'01. TH'!Z$4)</f>
        <v>0</v>
      </c>
      <c r="AA174" s="1042">
        <f>COUNTIFS('TỔNG KLH + TN'!$B:$B,'01. TH'!$B174,'TỔNG KLH + TN'!$C:$C,'01. TH'!AA$4)</f>
        <v>1</v>
      </c>
      <c r="AB174" s="1042">
        <f>COUNTIFS('TỔNG KLH + TN'!$B:$B,'01. TH'!$B174,'TỔNG KLH + TN'!$C:$C,'01. TH'!AB$4)</f>
        <v>0</v>
      </c>
      <c r="AC174" s="1042">
        <f>COUNTIFS('TỔNG KLH + TN'!$B:$B,'01. TH'!$B174,'TỔNG KLH + TN'!$C:$C,'01. TH'!AC$4)</f>
        <v>0</v>
      </c>
      <c r="AD174" s="1042">
        <f>COUNTIFS('TỔNG KLH + TN'!$B:$B,'01. TH'!$B174,'TỔNG KLH + TN'!$C:$C,'01. TH'!AD$4)</f>
        <v>0</v>
      </c>
      <c r="AE174" s="1045">
        <f t="shared" si="39"/>
        <v>1</v>
      </c>
      <c r="AF174" s="1045"/>
      <c r="AG174" s="1033" t="str">
        <f t="shared" si="23"/>
        <v>ok</v>
      </c>
      <c r="AH174" s="1050"/>
    </row>
    <row r="175" ht="18.75" hidden="1" customHeight="1" outlineLevel="1" spans="1:34">
      <c r="A175" s="1049"/>
      <c r="B175" s="1040" t="s">
        <v>265</v>
      </c>
      <c r="C175" s="1041" t="s">
        <v>124</v>
      </c>
      <c r="D175" s="1041" t="str">
        <f>IFERROR(VLOOKUP(B175,'Danh mục'!$G:$U,15,0),"")</f>
        <v/>
      </c>
      <c r="E175" s="1041" t="s">
        <v>42</v>
      </c>
      <c r="F175" s="1042">
        <f>COUNTIFS('TỔNG KLH + TN'!$B:$B,'01. TH'!$B175,'TỔNG KLH + TN'!$C:$C,'01. TH'!F$4)</f>
        <v>0</v>
      </c>
      <c r="G175" s="1042">
        <f>COUNTIFS('TỔNG KLH + TN'!$B:$B,'01. TH'!$B175,'TỔNG KLH + TN'!$C:$C,'01. TH'!G$4)</f>
        <v>0</v>
      </c>
      <c r="H175" s="1042">
        <f>COUNTIFS('TỔNG KLH + TN'!$B:$B,'01. TH'!$B175,'TỔNG KLH + TN'!$C:$C,'01. TH'!H$4)</f>
        <v>0</v>
      </c>
      <c r="I175" s="1042">
        <f>COUNTIFS('TỔNG KLH + TN'!$B:$B,'01. TH'!$B175,'TỔNG KLH + TN'!$C:$C,'01. TH'!I$4)</f>
        <v>0</v>
      </c>
      <c r="J175" s="1042">
        <f>COUNTIFS('TỔNG KLH + TN'!$B:$B,'01. TH'!$B175,'TỔNG KLH + TN'!$C:$C,'01. TH'!J$4)</f>
        <v>0</v>
      </c>
      <c r="K175" s="1042">
        <f>COUNTIFS('TỔNG KLH + TN'!$B:$B,'01. TH'!$B175,'TỔNG KLH + TN'!$C:$C,'01. TH'!K$4)</f>
        <v>0</v>
      </c>
      <c r="L175" s="1042">
        <f>COUNTIFS('TỔNG KLH + TN'!$B:$B,'01. TH'!$B175,'TỔNG KLH + TN'!$C:$C,'01. TH'!L$4)</f>
        <v>0</v>
      </c>
      <c r="M175" s="1042">
        <f>COUNTIFS('TỔNG KLH + TN'!$B:$B,'01. TH'!$B175,'TỔNG KLH + TN'!$C:$C,'01. TH'!M$4)</f>
        <v>0</v>
      </c>
      <c r="N175" s="1042">
        <f>COUNTIFS('TỔNG KLH + TN'!$B:$B,'01. TH'!$B175,'TỔNG KLH + TN'!$C:$C,'01. TH'!N$4)</f>
        <v>0</v>
      </c>
      <c r="O175" s="1042">
        <f>COUNTIFS('TỔNG KLH + TN'!$B:$B,'01. TH'!$B175,'TỔNG KLH + TN'!$C:$C,'01. TH'!O$4)</f>
        <v>0</v>
      </c>
      <c r="P175" s="1042">
        <f>COUNTIFS('TỔNG KLH + TN'!$B:$B,'01. TH'!$B175,'TỔNG KLH + TN'!$C:$C,'01. TH'!P$4)</f>
        <v>0</v>
      </c>
      <c r="Q175" s="1042">
        <f>COUNTIFS('TỔNG KLH + TN'!$B:$B,'01. TH'!$B175,'TỔNG KLH + TN'!$C:$C,'01. TH'!Q$4)</f>
        <v>0</v>
      </c>
      <c r="R175" s="1042">
        <f>COUNTIFS('TỔNG KLH + TN'!$B:$B,'01. TH'!$B175,'TỔNG KLH + TN'!$C:$C,'01. TH'!R$4)</f>
        <v>0</v>
      </c>
      <c r="S175" s="1042">
        <f>COUNTIFS('TỔNG KLH + TN'!$B:$B,'01. TH'!$B175,'TỔNG KLH + TN'!$C:$C,'01. TH'!S$4)</f>
        <v>0</v>
      </c>
      <c r="T175" s="1042">
        <f>COUNTIFS('TỔNG KLH + TN'!$B:$B,'01. TH'!$B175,'TỔNG KLH + TN'!$C:$C,'01. TH'!T$4)</f>
        <v>0</v>
      </c>
      <c r="U175" s="1042">
        <f>COUNTIFS('TỔNG KLH + TN'!$B:$B,'01. TH'!$B175,'TỔNG KLH + TN'!$C:$C,'01. TH'!U$4)</f>
        <v>0</v>
      </c>
      <c r="V175" s="1042">
        <f>COUNTIFS('TỔNG KLH + TN'!$B:$B,'01. TH'!$B175,'TỔNG KLH + TN'!$C:$C,'01. TH'!V$4)</f>
        <v>0</v>
      </c>
      <c r="W175" s="1042">
        <f>COUNTIFS('TỔNG KLH + TN'!$B:$B,'01. TH'!$B175,'TỔNG KLH + TN'!$C:$C,'01. TH'!W$4)</f>
        <v>0</v>
      </c>
      <c r="X175" s="1042">
        <f>COUNTIFS('TỔNG KLH + TN'!$B:$B,'01. TH'!$B175,'TỔNG KLH + TN'!$C:$C,'01. TH'!X$4)</f>
        <v>0</v>
      </c>
      <c r="Y175" s="1042">
        <f>COUNTIFS('TỔNG KLH + TN'!$B:$B,'01. TH'!$B175,'TỔNG KLH + TN'!$C:$C,'01. TH'!Y$4)</f>
        <v>0</v>
      </c>
      <c r="Z175" s="1042">
        <f>COUNTIFS('TỔNG KLH + TN'!$B:$B,'01. TH'!$B175,'TỔNG KLH + TN'!$C:$C,'01. TH'!Z$4)</f>
        <v>0</v>
      </c>
      <c r="AA175" s="1042">
        <f>COUNTIFS('TỔNG KLH + TN'!$B:$B,'01. TH'!$B175,'TỔNG KLH + TN'!$C:$C,'01. TH'!AA$4)</f>
        <v>1</v>
      </c>
      <c r="AB175" s="1042">
        <f>COUNTIFS('TỔNG KLH + TN'!$B:$B,'01. TH'!$B175,'TỔNG KLH + TN'!$C:$C,'01. TH'!AB$4)</f>
        <v>0</v>
      </c>
      <c r="AC175" s="1042">
        <f>COUNTIFS('TỔNG KLH + TN'!$B:$B,'01. TH'!$B175,'TỔNG KLH + TN'!$C:$C,'01. TH'!AC$4)</f>
        <v>0</v>
      </c>
      <c r="AD175" s="1042">
        <f>COUNTIFS('TỔNG KLH + TN'!$B:$B,'01. TH'!$B175,'TỔNG KLH + TN'!$C:$C,'01. TH'!AD$4)</f>
        <v>0</v>
      </c>
      <c r="AE175" s="1045">
        <f t="shared" si="39"/>
        <v>1</v>
      </c>
      <c r="AF175" s="1045"/>
      <c r="AG175" s="1033" t="str">
        <f t="shared" si="23"/>
        <v>ok</v>
      </c>
      <c r="AH175" s="1050"/>
    </row>
    <row r="176" ht="18.75" hidden="1" customHeight="1" outlineLevel="1" spans="1:34">
      <c r="A176" s="1049"/>
      <c r="B176" s="1040" t="s">
        <v>266</v>
      </c>
      <c r="C176" s="1041" t="s">
        <v>124</v>
      </c>
      <c r="D176" s="1041" t="str">
        <f>IFERROR(VLOOKUP(B176,'Danh mục'!$G:$U,15,0),"")</f>
        <v/>
      </c>
      <c r="E176" s="1041" t="s">
        <v>42</v>
      </c>
      <c r="F176" s="1042">
        <f>COUNTIFS('TỔNG KLH + TN'!$B:$B,'01. TH'!$B176,'TỔNG KLH + TN'!$C:$C,'01. TH'!F$4)</f>
        <v>0</v>
      </c>
      <c r="G176" s="1042">
        <f>COUNTIFS('TỔNG KLH + TN'!$B:$B,'01. TH'!$B176,'TỔNG KLH + TN'!$C:$C,'01. TH'!G$4)</f>
        <v>0</v>
      </c>
      <c r="H176" s="1042">
        <f>COUNTIFS('TỔNG KLH + TN'!$B:$B,'01. TH'!$B176,'TỔNG KLH + TN'!$C:$C,'01. TH'!H$4)</f>
        <v>0</v>
      </c>
      <c r="I176" s="1042">
        <f>COUNTIFS('TỔNG KLH + TN'!$B:$B,'01. TH'!$B176,'TỔNG KLH + TN'!$C:$C,'01. TH'!I$4)</f>
        <v>0</v>
      </c>
      <c r="J176" s="1042">
        <f>COUNTIFS('TỔNG KLH + TN'!$B:$B,'01. TH'!$B176,'TỔNG KLH + TN'!$C:$C,'01. TH'!J$4)</f>
        <v>0</v>
      </c>
      <c r="K176" s="1042">
        <f>COUNTIFS('TỔNG KLH + TN'!$B:$B,'01. TH'!$B176,'TỔNG KLH + TN'!$C:$C,'01. TH'!K$4)</f>
        <v>0</v>
      </c>
      <c r="L176" s="1042">
        <f>COUNTIFS('TỔNG KLH + TN'!$B:$B,'01. TH'!$B176,'TỔNG KLH + TN'!$C:$C,'01. TH'!L$4)</f>
        <v>0</v>
      </c>
      <c r="M176" s="1042">
        <f>COUNTIFS('TỔNG KLH + TN'!$B:$B,'01. TH'!$B176,'TỔNG KLH + TN'!$C:$C,'01. TH'!M$4)</f>
        <v>0</v>
      </c>
      <c r="N176" s="1042">
        <f>COUNTIFS('TỔNG KLH + TN'!$B:$B,'01. TH'!$B176,'TỔNG KLH + TN'!$C:$C,'01. TH'!N$4)</f>
        <v>0</v>
      </c>
      <c r="O176" s="1042">
        <f>COUNTIFS('TỔNG KLH + TN'!$B:$B,'01. TH'!$B176,'TỔNG KLH + TN'!$C:$C,'01. TH'!O$4)</f>
        <v>0</v>
      </c>
      <c r="P176" s="1042">
        <f>COUNTIFS('TỔNG KLH + TN'!$B:$B,'01. TH'!$B176,'TỔNG KLH + TN'!$C:$C,'01. TH'!P$4)</f>
        <v>0</v>
      </c>
      <c r="Q176" s="1042">
        <f>COUNTIFS('TỔNG KLH + TN'!$B:$B,'01. TH'!$B176,'TỔNG KLH + TN'!$C:$C,'01. TH'!Q$4)</f>
        <v>0</v>
      </c>
      <c r="R176" s="1042">
        <f>COUNTIFS('TỔNG KLH + TN'!$B:$B,'01. TH'!$B176,'TỔNG KLH + TN'!$C:$C,'01. TH'!R$4)</f>
        <v>0</v>
      </c>
      <c r="S176" s="1042">
        <f>COUNTIFS('TỔNG KLH + TN'!$B:$B,'01. TH'!$B176,'TỔNG KLH + TN'!$C:$C,'01. TH'!S$4)</f>
        <v>0</v>
      </c>
      <c r="T176" s="1042">
        <f>COUNTIFS('TỔNG KLH + TN'!$B:$B,'01. TH'!$B176,'TỔNG KLH + TN'!$C:$C,'01. TH'!T$4)</f>
        <v>0</v>
      </c>
      <c r="U176" s="1042">
        <f>COUNTIFS('TỔNG KLH + TN'!$B:$B,'01. TH'!$B176,'TỔNG KLH + TN'!$C:$C,'01. TH'!U$4)</f>
        <v>0</v>
      </c>
      <c r="V176" s="1042">
        <f>COUNTIFS('TỔNG KLH + TN'!$B:$B,'01. TH'!$B176,'TỔNG KLH + TN'!$C:$C,'01. TH'!V$4)</f>
        <v>0</v>
      </c>
      <c r="W176" s="1042">
        <f>COUNTIFS('TỔNG KLH + TN'!$B:$B,'01. TH'!$B176,'TỔNG KLH + TN'!$C:$C,'01. TH'!W$4)</f>
        <v>0</v>
      </c>
      <c r="X176" s="1042">
        <f>COUNTIFS('TỔNG KLH + TN'!$B:$B,'01. TH'!$B176,'TỔNG KLH + TN'!$C:$C,'01. TH'!X$4)</f>
        <v>0</v>
      </c>
      <c r="Y176" s="1042">
        <f>COUNTIFS('TỔNG KLH + TN'!$B:$B,'01. TH'!$B176,'TỔNG KLH + TN'!$C:$C,'01. TH'!Y$4)</f>
        <v>0</v>
      </c>
      <c r="Z176" s="1042">
        <f>COUNTIFS('TỔNG KLH + TN'!$B:$B,'01. TH'!$B176,'TỔNG KLH + TN'!$C:$C,'01. TH'!Z$4)</f>
        <v>0</v>
      </c>
      <c r="AA176" s="1042">
        <f>COUNTIFS('TỔNG KLH + TN'!$B:$B,'01. TH'!$B176,'TỔNG KLH + TN'!$C:$C,'01. TH'!AA$4)</f>
        <v>1</v>
      </c>
      <c r="AB176" s="1042">
        <f>COUNTIFS('TỔNG KLH + TN'!$B:$B,'01. TH'!$B176,'TỔNG KLH + TN'!$C:$C,'01. TH'!AB$4)</f>
        <v>0</v>
      </c>
      <c r="AC176" s="1042">
        <f>COUNTIFS('TỔNG KLH + TN'!$B:$B,'01. TH'!$B176,'TỔNG KLH + TN'!$C:$C,'01. TH'!AC$4)</f>
        <v>0</v>
      </c>
      <c r="AD176" s="1042">
        <f>COUNTIFS('TỔNG KLH + TN'!$B:$B,'01. TH'!$B176,'TỔNG KLH + TN'!$C:$C,'01. TH'!AD$4)</f>
        <v>0</v>
      </c>
      <c r="AE176" s="1045">
        <f t="shared" si="39"/>
        <v>1</v>
      </c>
      <c r="AF176" s="1045"/>
      <c r="AG176" s="1033" t="str">
        <f t="shared" si="23"/>
        <v>ok</v>
      </c>
      <c r="AH176" s="1050"/>
    </row>
    <row r="177" ht="18.75" hidden="1" customHeight="1" outlineLevel="1" spans="1:34">
      <c r="A177" s="1044"/>
      <c r="B177" s="1040" t="s">
        <v>267</v>
      </c>
      <c r="C177" s="1041" t="s">
        <v>124</v>
      </c>
      <c r="D177" s="1041" t="str">
        <f>IFERROR(VLOOKUP(B177,'Danh mục'!$G:$U,15,0),"")</f>
        <v/>
      </c>
      <c r="E177" s="1041" t="s">
        <v>42</v>
      </c>
      <c r="F177" s="1042">
        <f>COUNTIFS('TỔNG KLH + TN'!$B:$B,'01. TH'!$B177,'TỔNG KLH + TN'!$C:$C,'01. TH'!F$4)</f>
        <v>0</v>
      </c>
      <c r="G177" s="1042">
        <f>COUNTIFS('TỔNG KLH + TN'!$B:$B,'01. TH'!$B177,'TỔNG KLH + TN'!$C:$C,'01. TH'!G$4)</f>
        <v>0</v>
      </c>
      <c r="H177" s="1042">
        <f>COUNTIFS('TỔNG KLH + TN'!$B:$B,'01. TH'!$B177,'TỔNG KLH + TN'!$C:$C,'01. TH'!H$4)</f>
        <v>0</v>
      </c>
      <c r="I177" s="1042">
        <f>COUNTIFS('TỔNG KLH + TN'!$B:$B,'01. TH'!$B177,'TỔNG KLH + TN'!$C:$C,'01. TH'!I$4)</f>
        <v>0</v>
      </c>
      <c r="J177" s="1042">
        <f>COUNTIFS('TỔNG KLH + TN'!$B:$B,'01. TH'!$B177,'TỔNG KLH + TN'!$C:$C,'01. TH'!J$4)</f>
        <v>0</v>
      </c>
      <c r="K177" s="1042">
        <f>COUNTIFS('TỔNG KLH + TN'!$B:$B,'01. TH'!$B177,'TỔNG KLH + TN'!$C:$C,'01. TH'!K$4)</f>
        <v>0</v>
      </c>
      <c r="L177" s="1042">
        <f>COUNTIFS('TỔNG KLH + TN'!$B:$B,'01. TH'!$B177,'TỔNG KLH + TN'!$C:$C,'01. TH'!L$4)</f>
        <v>0</v>
      </c>
      <c r="M177" s="1042">
        <f>COUNTIFS('TỔNG KLH + TN'!$B:$B,'01. TH'!$B177,'TỔNG KLH + TN'!$C:$C,'01. TH'!M$4)</f>
        <v>0</v>
      </c>
      <c r="N177" s="1042">
        <f>COUNTIFS('TỔNG KLH + TN'!$B:$B,'01. TH'!$B177,'TỔNG KLH + TN'!$C:$C,'01. TH'!N$4)</f>
        <v>0</v>
      </c>
      <c r="O177" s="1042">
        <f>COUNTIFS('TỔNG KLH + TN'!$B:$B,'01. TH'!$B177,'TỔNG KLH + TN'!$C:$C,'01. TH'!O$4)</f>
        <v>0</v>
      </c>
      <c r="P177" s="1042">
        <f>COUNTIFS('TỔNG KLH + TN'!$B:$B,'01. TH'!$B177,'TỔNG KLH + TN'!$C:$C,'01. TH'!P$4)</f>
        <v>0</v>
      </c>
      <c r="Q177" s="1042">
        <f>COUNTIFS('TỔNG KLH + TN'!$B:$B,'01. TH'!$B177,'TỔNG KLH + TN'!$C:$C,'01. TH'!Q$4)</f>
        <v>0</v>
      </c>
      <c r="R177" s="1042">
        <f>COUNTIFS('TỔNG KLH + TN'!$B:$B,'01. TH'!$B177,'TỔNG KLH + TN'!$C:$C,'01. TH'!R$4)</f>
        <v>0</v>
      </c>
      <c r="S177" s="1042">
        <f>COUNTIFS('TỔNG KLH + TN'!$B:$B,'01. TH'!$B177,'TỔNG KLH + TN'!$C:$C,'01. TH'!S$4)</f>
        <v>0</v>
      </c>
      <c r="T177" s="1042">
        <f>COUNTIFS('TỔNG KLH + TN'!$B:$B,'01. TH'!$B177,'TỔNG KLH + TN'!$C:$C,'01. TH'!T$4)</f>
        <v>0</v>
      </c>
      <c r="U177" s="1042">
        <f>COUNTIFS('TỔNG KLH + TN'!$B:$B,'01. TH'!$B177,'TỔNG KLH + TN'!$C:$C,'01. TH'!U$4)</f>
        <v>0</v>
      </c>
      <c r="V177" s="1042">
        <f>COUNTIFS('TỔNG KLH + TN'!$B:$B,'01. TH'!$B177,'TỔNG KLH + TN'!$C:$C,'01. TH'!V$4)</f>
        <v>0</v>
      </c>
      <c r="W177" s="1042">
        <f>COUNTIFS('TỔNG KLH + TN'!$B:$B,'01. TH'!$B177,'TỔNG KLH + TN'!$C:$C,'01. TH'!W$4)</f>
        <v>0</v>
      </c>
      <c r="X177" s="1042">
        <f>COUNTIFS('TỔNG KLH + TN'!$B:$B,'01. TH'!$B177,'TỔNG KLH + TN'!$C:$C,'01. TH'!X$4)</f>
        <v>0</v>
      </c>
      <c r="Y177" s="1042">
        <f>COUNTIFS('TỔNG KLH + TN'!$B:$B,'01. TH'!$B177,'TỔNG KLH + TN'!$C:$C,'01. TH'!Y$4)</f>
        <v>0</v>
      </c>
      <c r="Z177" s="1042">
        <f>COUNTIFS('TỔNG KLH + TN'!$B:$B,'01. TH'!$B177,'TỔNG KLH + TN'!$C:$C,'01. TH'!Z$4)</f>
        <v>0</v>
      </c>
      <c r="AA177" s="1042">
        <f>COUNTIFS('TỔNG KLH + TN'!$B:$B,'01. TH'!$B177,'TỔNG KLH + TN'!$C:$C,'01. TH'!AA$4)</f>
        <v>0</v>
      </c>
      <c r="AB177" s="1042">
        <f>COUNTIFS('TỔNG KLH + TN'!$B:$B,'01. TH'!$B177,'TỔNG KLH + TN'!$C:$C,'01. TH'!AB$4)</f>
        <v>0</v>
      </c>
      <c r="AC177" s="1042">
        <f>COUNTIFS('TỔNG KLH + TN'!$B:$B,'01. TH'!$B177,'TỔNG KLH + TN'!$C:$C,'01. TH'!AC$4)</f>
        <v>0</v>
      </c>
      <c r="AD177" s="1042">
        <f>COUNTIFS('TỔNG KLH + TN'!$B:$B,'01. TH'!$B177,'TỔNG KLH + TN'!$C:$C,'01. TH'!AD$4)</f>
        <v>0</v>
      </c>
      <c r="AE177" s="1045">
        <f t="shared" si="39"/>
        <v>0</v>
      </c>
      <c r="AF177" s="1045"/>
      <c r="AG177" s="1033" t="str">
        <f t="shared" si="23"/>
        <v>ok</v>
      </c>
      <c r="AH177" s="1050"/>
    </row>
    <row r="178" ht="18.75" hidden="1" customHeight="1" outlineLevel="1" spans="1:34">
      <c r="A178" s="1049"/>
      <c r="B178" s="1040" t="s">
        <v>268</v>
      </c>
      <c r="C178" s="1041" t="s">
        <v>124</v>
      </c>
      <c r="D178" s="1041" t="str">
        <f>IFERROR(VLOOKUP(B178,'Danh mục'!$G:$U,15,0),"")</f>
        <v/>
      </c>
      <c r="E178" s="1041" t="s">
        <v>42</v>
      </c>
      <c r="F178" s="1042">
        <f>COUNTIFS('TỔNG KLH + TN'!$B:$B,'01. TH'!$B178,'TỔNG KLH + TN'!$C:$C,'01. TH'!F$4)</f>
        <v>0</v>
      </c>
      <c r="G178" s="1042">
        <f>COUNTIFS('TỔNG KLH + TN'!$B:$B,'01. TH'!$B178,'TỔNG KLH + TN'!$C:$C,'01. TH'!G$4)</f>
        <v>0</v>
      </c>
      <c r="H178" s="1042">
        <f>COUNTIFS('TỔNG KLH + TN'!$B:$B,'01. TH'!$B178,'TỔNG KLH + TN'!$C:$C,'01. TH'!H$4)</f>
        <v>0</v>
      </c>
      <c r="I178" s="1042">
        <f>COUNTIFS('TỔNG KLH + TN'!$B:$B,'01. TH'!$B178,'TỔNG KLH + TN'!$C:$C,'01. TH'!I$4)</f>
        <v>0</v>
      </c>
      <c r="J178" s="1042">
        <f>COUNTIFS('TỔNG KLH + TN'!$B:$B,'01. TH'!$B178,'TỔNG KLH + TN'!$C:$C,'01. TH'!J$4)</f>
        <v>0</v>
      </c>
      <c r="K178" s="1042">
        <f>COUNTIFS('TỔNG KLH + TN'!$B:$B,'01. TH'!$B178,'TỔNG KLH + TN'!$C:$C,'01. TH'!K$4)</f>
        <v>0</v>
      </c>
      <c r="L178" s="1042">
        <f>COUNTIFS('TỔNG KLH + TN'!$B:$B,'01. TH'!$B178,'TỔNG KLH + TN'!$C:$C,'01. TH'!L$4)</f>
        <v>0</v>
      </c>
      <c r="M178" s="1042">
        <f>COUNTIFS('TỔNG KLH + TN'!$B:$B,'01. TH'!$B178,'TỔNG KLH + TN'!$C:$C,'01. TH'!M$4)</f>
        <v>0</v>
      </c>
      <c r="N178" s="1042">
        <f>COUNTIFS('TỔNG KLH + TN'!$B:$B,'01. TH'!$B178,'TỔNG KLH + TN'!$C:$C,'01. TH'!N$4)</f>
        <v>0</v>
      </c>
      <c r="O178" s="1042">
        <f>COUNTIFS('TỔNG KLH + TN'!$B:$B,'01. TH'!$B178,'TỔNG KLH + TN'!$C:$C,'01. TH'!O$4)</f>
        <v>0</v>
      </c>
      <c r="P178" s="1042">
        <f>COUNTIFS('TỔNG KLH + TN'!$B:$B,'01. TH'!$B178,'TỔNG KLH + TN'!$C:$C,'01. TH'!P$4)</f>
        <v>0</v>
      </c>
      <c r="Q178" s="1042">
        <f>COUNTIFS('TỔNG KLH + TN'!$B:$B,'01. TH'!$B178,'TỔNG KLH + TN'!$C:$C,'01. TH'!Q$4)</f>
        <v>0</v>
      </c>
      <c r="R178" s="1042">
        <f>COUNTIFS('TỔNG KLH + TN'!$B:$B,'01. TH'!$B178,'TỔNG KLH + TN'!$C:$C,'01. TH'!R$4)</f>
        <v>0</v>
      </c>
      <c r="S178" s="1042">
        <f>COUNTIFS('TỔNG KLH + TN'!$B:$B,'01. TH'!$B178,'TỔNG KLH + TN'!$C:$C,'01. TH'!S$4)</f>
        <v>0</v>
      </c>
      <c r="T178" s="1042">
        <f>COUNTIFS('TỔNG KLH + TN'!$B:$B,'01. TH'!$B178,'TỔNG KLH + TN'!$C:$C,'01. TH'!T$4)</f>
        <v>0</v>
      </c>
      <c r="U178" s="1042">
        <f>COUNTIFS('TỔNG KLH + TN'!$B:$B,'01. TH'!$B178,'TỔNG KLH + TN'!$C:$C,'01. TH'!U$4)</f>
        <v>0</v>
      </c>
      <c r="V178" s="1042">
        <f>COUNTIFS('TỔNG KLH + TN'!$B:$B,'01. TH'!$B178,'TỔNG KLH + TN'!$C:$C,'01. TH'!V$4)</f>
        <v>0</v>
      </c>
      <c r="W178" s="1042">
        <f>COUNTIFS('TỔNG KLH + TN'!$B:$B,'01. TH'!$B178,'TỔNG KLH + TN'!$C:$C,'01. TH'!W$4)</f>
        <v>0</v>
      </c>
      <c r="X178" s="1042">
        <f>COUNTIFS('TỔNG KLH + TN'!$B:$B,'01. TH'!$B178,'TỔNG KLH + TN'!$C:$C,'01. TH'!X$4)</f>
        <v>0</v>
      </c>
      <c r="Y178" s="1042">
        <f>COUNTIFS('TỔNG KLH + TN'!$B:$B,'01. TH'!$B178,'TỔNG KLH + TN'!$C:$C,'01. TH'!Y$4)</f>
        <v>0</v>
      </c>
      <c r="Z178" s="1042">
        <f>COUNTIFS('TỔNG KLH + TN'!$B:$B,'01. TH'!$B178,'TỔNG KLH + TN'!$C:$C,'01. TH'!Z$4)</f>
        <v>0</v>
      </c>
      <c r="AA178" s="1042">
        <f>COUNTIFS('TỔNG KLH + TN'!$B:$B,'01. TH'!$B178,'TỔNG KLH + TN'!$C:$C,'01. TH'!AA$4)</f>
        <v>1</v>
      </c>
      <c r="AB178" s="1042">
        <f>COUNTIFS('TỔNG KLH + TN'!$B:$B,'01. TH'!$B178,'TỔNG KLH + TN'!$C:$C,'01. TH'!AB$4)</f>
        <v>0</v>
      </c>
      <c r="AC178" s="1042">
        <f>COUNTIFS('TỔNG KLH + TN'!$B:$B,'01. TH'!$B178,'TỔNG KLH + TN'!$C:$C,'01. TH'!AC$4)</f>
        <v>0</v>
      </c>
      <c r="AD178" s="1042">
        <f>COUNTIFS('TỔNG KLH + TN'!$B:$B,'01. TH'!$B178,'TỔNG KLH + TN'!$C:$C,'01. TH'!AD$4)</f>
        <v>0</v>
      </c>
      <c r="AE178" s="1045">
        <f t="shared" si="39"/>
        <v>1</v>
      </c>
      <c r="AF178" s="1045"/>
      <c r="AG178" s="1033" t="str">
        <f t="shared" si="23"/>
        <v>ok</v>
      </c>
      <c r="AH178" s="1050"/>
    </row>
    <row r="179" ht="18.75" hidden="1" customHeight="1" outlineLevel="1" spans="1:34">
      <c r="A179" s="1044"/>
      <c r="B179" s="1040" t="s">
        <v>269</v>
      </c>
      <c r="C179" s="1041" t="s">
        <v>124</v>
      </c>
      <c r="D179" s="1041" t="str">
        <f>IFERROR(VLOOKUP(B179,'Danh mục'!$G:$U,15,0),"")</f>
        <v/>
      </c>
      <c r="E179" s="1041" t="s">
        <v>42</v>
      </c>
      <c r="F179" s="1042">
        <f>COUNTIFS('TỔNG KLH + TN'!$B:$B,'01. TH'!$B179,'TỔNG KLH + TN'!$C:$C,'01. TH'!F$4)</f>
        <v>0</v>
      </c>
      <c r="G179" s="1042">
        <f>COUNTIFS('TỔNG KLH + TN'!$B:$B,'01. TH'!$B179,'TỔNG KLH + TN'!$C:$C,'01. TH'!G$4)</f>
        <v>0</v>
      </c>
      <c r="H179" s="1042">
        <f>COUNTIFS('TỔNG KLH + TN'!$B:$B,'01. TH'!$B179,'TỔNG KLH + TN'!$C:$C,'01. TH'!H$4)</f>
        <v>0</v>
      </c>
      <c r="I179" s="1042">
        <f>COUNTIFS('TỔNG KLH + TN'!$B:$B,'01. TH'!$B179,'TỔNG KLH + TN'!$C:$C,'01. TH'!I$4)</f>
        <v>0</v>
      </c>
      <c r="J179" s="1042">
        <f>COUNTIFS('TỔNG KLH + TN'!$B:$B,'01. TH'!$B179,'TỔNG KLH + TN'!$C:$C,'01. TH'!J$4)</f>
        <v>0</v>
      </c>
      <c r="K179" s="1042">
        <f>COUNTIFS('TỔNG KLH + TN'!$B:$B,'01. TH'!$B179,'TỔNG KLH + TN'!$C:$C,'01. TH'!K$4)</f>
        <v>0</v>
      </c>
      <c r="L179" s="1042">
        <f>COUNTIFS('TỔNG KLH + TN'!$B:$B,'01. TH'!$B179,'TỔNG KLH + TN'!$C:$C,'01. TH'!L$4)</f>
        <v>0</v>
      </c>
      <c r="M179" s="1042">
        <f>COUNTIFS('TỔNG KLH + TN'!$B:$B,'01. TH'!$B179,'TỔNG KLH + TN'!$C:$C,'01. TH'!M$4)</f>
        <v>0</v>
      </c>
      <c r="N179" s="1042">
        <f>COUNTIFS('TỔNG KLH + TN'!$B:$B,'01. TH'!$B179,'TỔNG KLH + TN'!$C:$C,'01. TH'!N$4)</f>
        <v>0</v>
      </c>
      <c r="O179" s="1042">
        <f>COUNTIFS('TỔNG KLH + TN'!$B:$B,'01. TH'!$B179,'TỔNG KLH + TN'!$C:$C,'01. TH'!O$4)</f>
        <v>0</v>
      </c>
      <c r="P179" s="1042">
        <f>COUNTIFS('TỔNG KLH + TN'!$B:$B,'01. TH'!$B179,'TỔNG KLH + TN'!$C:$C,'01. TH'!P$4)</f>
        <v>0</v>
      </c>
      <c r="Q179" s="1042">
        <f>COUNTIFS('TỔNG KLH + TN'!$B:$B,'01. TH'!$B179,'TỔNG KLH + TN'!$C:$C,'01. TH'!Q$4)</f>
        <v>0</v>
      </c>
      <c r="R179" s="1042">
        <f>COUNTIFS('TỔNG KLH + TN'!$B:$B,'01. TH'!$B179,'TỔNG KLH + TN'!$C:$C,'01. TH'!R$4)</f>
        <v>0</v>
      </c>
      <c r="S179" s="1042">
        <f>COUNTIFS('TỔNG KLH + TN'!$B:$B,'01. TH'!$B179,'TỔNG KLH + TN'!$C:$C,'01. TH'!S$4)</f>
        <v>0</v>
      </c>
      <c r="T179" s="1042">
        <f>COUNTIFS('TỔNG KLH + TN'!$B:$B,'01. TH'!$B179,'TỔNG KLH + TN'!$C:$C,'01. TH'!T$4)</f>
        <v>0</v>
      </c>
      <c r="U179" s="1042">
        <f>COUNTIFS('TỔNG KLH + TN'!$B:$B,'01. TH'!$B179,'TỔNG KLH + TN'!$C:$C,'01. TH'!U$4)</f>
        <v>0</v>
      </c>
      <c r="V179" s="1042">
        <f>COUNTIFS('TỔNG KLH + TN'!$B:$B,'01. TH'!$B179,'TỔNG KLH + TN'!$C:$C,'01. TH'!V$4)</f>
        <v>0</v>
      </c>
      <c r="W179" s="1042">
        <f>COUNTIFS('TỔNG KLH + TN'!$B:$B,'01. TH'!$B179,'TỔNG KLH + TN'!$C:$C,'01. TH'!W$4)</f>
        <v>2</v>
      </c>
      <c r="X179" s="1042">
        <f>COUNTIFS('TỔNG KLH + TN'!$B:$B,'01. TH'!$B179,'TỔNG KLH + TN'!$C:$C,'01. TH'!X$4)</f>
        <v>0</v>
      </c>
      <c r="Y179" s="1042">
        <f>COUNTIFS('TỔNG KLH + TN'!$B:$B,'01. TH'!$B179,'TỔNG KLH + TN'!$C:$C,'01. TH'!Y$4)</f>
        <v>0</v>
      </c>
      <c r="Z179" s="1042">
        <f>COUNTIFS('TỔNG KLH + TN'!$B:$B,'01. TH'!$B179,'TỔNG KLH + TN'!$C:$C,'01. TH'!Z$4)</f>
        <v>0</v>
      </c>
      <c r="AA179" s="1042">
        <f>COUNTIFS('TỔNG KLH + TN'!$B:$B,'01. TH'!$B179,'TỔNG KLH + TN'!$C:$C,'01. TH'!AA$4)</f>
        <v>0</v>
      </c>
      <c r="AB179" s="1042">
        <f>COUNTIFS('TỔNG KLH + TN'!$B:$B,'01. TH'!$B179,'TỔNG KLH + TN'!$C:$C,'01. TH'!AB$4)</f>
        <v>0</v>
      </c>
      <c r="AC179" s="1042">
        <f>COUNTIFS('TỔNG KLH + TN'!$B:$B,'01. TH'!$B179,'TỔNG KLH + TN'!$C:$C,'01. TH'!AC$4)</f>
        <v>0</v>
      </c>
      <c r="AD179" s="1042">
        <f>COUNTIFS('TỔNG KLH + TN'!$B:$B,'01. TH'!$B179,'TỔNG KLH + TN'!$C:$C,'01. TH'!AD$4)</f>
        <v>0</v>
      </c>
      <c r="AE179" s="1045">
        <f t="shared" si="39"/>
        <v>2</v>
      </c>
      <c r="AF179" s="1045"/>
      <c r="AG179" s="1033" t="str">
        <f t="shared" si="23"/>
        <v>ok</v>
      </c>
      <c r="AH179" s="1050"/>
    </row>
    <row r="180" ht="24" customHeight="1" collapsed="1" spans="1:34">
      <c r="A180" s="1033">
        <v>22</v>
      </c>
      <c r="B180" s="1034" t="s">
        <v>270</v>
      </c>
      <c r="C180" s="1035"/>
      <c r="D180" s="1035"/>
      <c r="E180" s="1035"/>
      <c r="F180" s="1047">
        <f t="shared" ref="F180:AE180" si="40">SUM(F181:F182)</f>
        <v>0</v>
      </c>
      <c r="G180" s="1047">
        <f t="shared" si="40"/>
        <v>0</v>
      </c>
      <c r="H180" s="1047">
        <f t="shared" si="40"/>
        <v>0</v>
      </c>
      <c r="I180" s="1047">
        <f t="shared" si="40"/>
        <v>0</v>
      </c>
      <c r="J180" s="1047">
        <f t="shared" si="40"/>
        <v>0</v>
      </c>
      <c r="K180" s="1047">
        <f t="shared" si="40"/>
        <v>0</v>
      </c>
      <c r="L180" s="1047">
        <f t="shared" si="40"/>
        <v>0</v>
      </c>
      <c r="M180" s="1047">
        <f t="shared" si="40"/>
        <v>0</v>
      </c>
      <c r="N180" s="1047">
        <f t="shared" si="40"/>
        <v>0</v>
      </c>
      <c r="O180" s="1047">
        <f t="shared" si="40"/>
        <v>0</v>
      </c>
      <c r="P180" s="1047">
        <f t="shared" si="40"/>
        <v>0</v>
      </c>
      <c r="Q180" s="1047">
        <f t="shared" si="40"/>
        <v>0</v>
      </c>
      <c r="R180" s="1047">
        <f t="shared" si="40"/>
        <v>0</v>
      </c>
      <c r="S180" s="1047">
        <f t="shared" si="40"/>
        <v>0</v>
      </c>
      <c r="T180" s="1047">
        <f t="shared" si="40"/>
        <v>0</v>
      </c>
      <c r="U180" s="1047">
        <f t="shared" si="40"/>
        <v>0</v>
      </c>
      <c r="V180" s="1047">
        <f t="shared" si="40"/>
        <v>0</v>
      </c>
      <c r="W180" s="1047">
        <f t="shared" si="40"/>
        <v>0</v>
      </c>
      <c r="X180" s="1047">
        <f t="shared" si="40"/>
        <v>0</v>
      </c>
      <c r="Y180" s="1047">
        <f t="shared" si="40"/>
        <v>0</v>
      </c>
      <c r="Z180" s="1047">
        <f t="shared" si="40"/>
        <v>0</v>
      </c>
      <c r="AA180" s="1047">
        <f t="shared" si="40"/>
        <v>0</v>
      </c>
      <c r="AB180" s="1047">
        <f t="shared" si="40"/>
        <v>0</v>
      </c>
      <c r="AC180" s="1047">
        <f t="shared" si="40"/>
        <v>0</v>
      </c>
      <c r="AD180" s="1047">
        <f t="shared" si="40"/>
        <v>0</v>
      </c>
      <c r="AE180" s="1048">
        <f t="shared" si="40"/>
        <v>0</v>
      </c>
      <c r="AF180" s="1048">
        <v>0</v>
      </c>
      <c r="AG180" s="1033" t="str">
        <f t="shared" si="23"/>
        <v>ok</v>
      </c>
      <c r="AH180" s="1038"/>
    </row>
    <row r="181" ht="18.75" hidden="1" customHeight="1" outlineLevel="1" spans="1:34">
      <c r="A181" s="1044"/>
      <c r="B181" s="1040" t="s">
        <v>271</v>
      </c>
      <c r="C181" s="1041" t="s">
        <v>272</v>
      </c>
      <c r="D181" s="1041"/>
      <c r="E181" s="1041" t="s">
        <v>273</v>
      </c>
      <c r="F181" s="1042">
        <f>COUNTIFS('TỔNG KLH + TN'!$B:$B,'01. TH'!$B181,'TỔNG KLH + TN'!$C:$C,'01. TH'!F$4)</f>
        <v>0</v>
      </c>
      <c r="G181" s="1042">
        <f>COUNTIFS('TỔNG KLH + TN'!$B:$B,'01. TH'!$B181,'TỔNG KLH + TN'!$C:$C,'01. TH'!G$4)</f>
        <v>0</v>
      </c>
      <c r="H181" s="1042">
        <f>COUNTIFS('TỔNG KLH + TN'!$B:$B,'01. TH'!$B181,'TỔNG KLH + TN'!$C:$C,'01. TH'!H$4)</f>
        <v>0</v>
      </c>
      <c r="I181" s="1042">
        <f>COUNTIFS('TỔNG KLH + TN'!$B:$B,'01. TH'!$B181,'TỔNG KLH + TN'!$C:$C,'01. TH'!I$4)</f>
        <v>0</v>
      </c>
      <c r="J181" s="1042">
        <f>COUNTIFS('TỔNG KLH + TN'!$B:$B,'01. TH'!$B181,'TỔNG KLH + TN'!$C:$C,'01. TH'!J$4)</f>
        <v>0</v>
      </c>
      <c r="K181" s="1042">
        <f>COUNTIFS('TỔNG KLH + TN'!$B:$B,'01. TH'!$B181,'TỔNG KLH + TN'!$C:$C,'01. TH'!K$4)</f>
        <v>0</v>
      </c>
      <c r="L181" s="1042">
        <f>COUNTIFS('TỔNG KLH + TN'!$B:$B,'01. TH'!$B181,'TỔNG KLH + TN'!$C:$C,'01. TH'!L$4)</f>
        <v>0</v>
      </c>
      <c r="M181" s="1042">
        <f>COUNTIFS('TỔNG KLH + TN'!$B:$B,'01. TH'!$B181,'TỔNG KLH + TN'!$C:$C,'01. TH'!M$4)</f>
        <v>0</v>
      </c>
      <c r="N181" s="1042">
        <f>COUNTIFS('TỔNG KLH + TN'!$B:$B,'01. TH'!$B181,'TỔNG KLH + TN'!$C:$C,'01. TH'!N$4)</f>
        <v>0</v>
      </c>
      <c r="O181" s="1042">
        <f>COUNTIFS('TỔNG KLH + TN'!$B:$B,'01. TH'!$B181,'TỔNG KLH + TN'!$C:$C,'01. TH'!O$4)</f>
        <v>0</v>
      </c>
      <c r="P181" s="1042">
        <f>COUNTIFS('TỔNG KLH + TN'!$B:$B,'01. TH'!$B181,'TỔNG KLH + TN'!$C:$C,'01. TH'!P$4)</f>
        <v>0</v>
      </c>
      <c r="Q181" s="1042">
        <f>COUNTIFS('TỔNG KLH + TN'!$B:$B,'01. TH'!$B181,'TỔNG KLH + TN'!$C:$C,'01. TH'!Q$4)</f>
        <v>0</v>
      </c>
      <c r="R181" s="1042">
        <f>COUNTIFS('TỔNG KLH + TN'!$B:$B,'01. TH'!$B181,'TỔNG KLH + TN'!$C:$C,'01. TH'!R$4)</f>
        <v>0</v>
      </c>
      <c r="S181" s="1042">
        <f>COUNTIFS('TỔNG KLH + TN'!$B:$B,'01. TH'!$B181,'TỔNG KLH + TN'!$C:$C,'01. TH'!S$4)</f>
        <v>0</v>
      </c>
      <c r="T181" s="1042">
        <f>COUNTIFS('TỔNG KLH + TN'!$B:$B,'01. TH'!$B181,'TỔNG KLH + TN'!$C:$C,'01. TH'!T$4)</f>
        <v>0</v>
      </c>
      <c r="U181" s="1042">
        <f>COUNTIFS('TỔNG KLH + TN'!$B:$B,'01. TH'!$B181,'TỔNG KLH + TN'!$C:$C,'01. TH'!U$4)</f>
        <v>0</v>
      </c>
      <c r="V181" s="1042">
        <f>COUNTIFS('TỔNG KLH + TN'!$B:$B,'01. TH'!$B181,'TỔNG KLH + TN'!$C:$C,'01. TH'!V$4)</f>
        <v>0</v>
      </c>
      <c r="W181" s="1042">
        <f>COUNTIFS('TỔNG KLH + TN'!$B:$B,'01. TH'!$B181,'TỔNG KLH + TN'!$C:$C,'01. TH'!W$4)</f>
        <v>0</v>
      </c>
      <c r="X181" s="1042">
        <f>COUNTIFS('TỔNG KLH + TN'!$B:$B,'01. TH'!$B181,'TỔNG KLH + TN'!$C:$C,'01. TH'!X$4)</f>
        <v>0</v>
      </c>
      <c r="Y181" s="1042">
        <f>COUNTIFS('TỔNG KLH + TN'!$B:$B,'01. TH'!$B181,'TỔNG KLH + TN'!$C:$C,'01. TH'!Y$4)</f>
        <v>0</v>
      </c>
      <c r="Z181" s="1042">
        <f>COUNTIFS('TỔNG KLH + TN'!$B:$B,'01. TH'!$B181,'TỔNG KLH + TN'!$C:$C,'01. TH'!Z$4)</f>
        <v>0</v>
      </c>
      <c r="AA181" s="1042">
        <f>COUNTIFS('TỔNG KLH + TN'!$B:$B,'01. TH'!$B181,'TỔNG KLH + TN'!$C:$C,'01. TH'!AA$4)</f>
        <v>0</v>
      </c>
      <c r="AB181" s="1042">
        <f>COUNTIFS('TỔNG KLH + TN'!$B:$B,'01. TH'!$B181,'TỔNG KLH + TN'!$C:$C,'01. TH'!AB$4)</f>
        <v>0</v>
      </c>
      <c r="AC181" s="1042">
        <f>COUNTIFS('TỔNG KLH + TN'!$B:$B,'01. TH'!$B181,'TỔNG KLH + TN'!$C:$C,'01. TH'!AC$4)</f>
        <v>0</v>
      </c>
      <c r="AD181" s="1042">
        <f>COUNTIFS('TỔNG KLH + TN'!$B:$B,'01. TH'!$B181,'TỔNG KLH + TN'!$C:$C,'01. TH'!AD$4)</f>
        <v>0</v>
      </c>
      <c r="AE181" s="1045">
        <f t="shared" ref="AE181:AE182" si="41">SUM(F181:AD181)</f>
        <v>0</v>
      </c>
      <c r="AF181" s="1045"/>
      <c r="AG181" s="1033" t="str">
        <f t="shared" si="23"/>
        <v>ok</v>
      </c>
      <c r="AH181" s="1046"/>
    </row>
    <row r="182" ht="18.75" hidden="1" customHeight="1" outlineLevel="1" spans="1:34">
      <c r="A182" s="1039"/>
      <c r="B182" s="1040" t="s">
        <v>274</v>
      </c>
      <c r="C182" s="1041" t="s">
        <v>272</v>
      </c>
      <c r="D182" s="1040"/>
      <c r="E182" s="1041" t="s">
        <v>273</v>
      </c>
      <c r="F182" s="1042">
        <f>COUNTIFS('TỔNG KLH + TN'!$B:$B,'01. TH'!$B182,'TỔNG KLH + TN'!$C:$C,'01. TH'!F$4)</f>
        <v>0</v>
      </c>
      <c r="G182" s="1042">
        <f>COUNTIFS('TỔNG KLH + TN'!$B:$B,'01. TH'!$B182,'TỔNG KLH + TN'!$C:$C,'01. TH'!G$4)</f>
        <v>0</v>
      </c>
      <c r="H182" s="1042">
        <f>COUNTIFS('TỔNG KLH + TN'!$B:$B,'01. TH'!$B182,'TỔNG KLH + TN'!$C:$C,'01. TH'!H$4)</f>
        <v>0</v>
      </c>
      <c r="I182" s="1042">
        <f>COUNTIFS('TỔNG KLH + TN'!$B:$B,'01. TH'!$B182,'TỔNG KLH + TN'!$C:$C,'01. TH'!I$4)</f>
        <v>0</v>
      </c>
      <c r="J182" s="1042">
        <f>COUNTIFS('TỔNG KLH + TN'!$B:$B,'01. TH'!$B182,'TỔNG KLH + TN'!$C:$C,'01. TH'!J$4)</f>
        <v>0</v>
      </c>
      <c r="K182" s="1042">
        <f>COUNTIFS('TỔNG KLH + TN'!$B:$B,'01. TH'!$B182,'TỔNG KLH + TN'!$C:$C,'01. TH'!K$4)</f>
        <v>0</v>
      </c>
      <c r="L182" s="1042">
        <f>COUNTIFS('TỔNG KLH + TN'!$B:$B,'01. TH'!$B182,'TỔNG KLH + TN'!$C:$C,'01. TH'!L$4)</f>
        <v>0</v>
      </c>
      <c r="M182" s="1042">
        <f>COUNTIFS('TỔNG KLH + TN'!$B:$B,'01. TH'!$B182,'TỔNG KLH + TN'!$C:$C,'01. TH'!M$4)</f>
        <v>0</v>
      </c>
      <c r="N182" s="1042">
        <f>COUNTIFS('TỔNG KLH + TN'!$B:$B,'01. TH'!$B182,'TỔNG KLH + TN'!$C:$C,'01. TH'!N$4)</f>
        <v>0</v>
      </c>
      <c r="O182" s="1042">
        <f>COUNTIFS('TỔNG KLH + TN'!$B:$B,'01. TH'!$B182,'TỔNG KLH + TN'!$C:$C,'01. TH'!O$4)</f>
        <v>0</v>
      </c>
      <c r="P182" s="1042">
        <f>COUNTIFS('TỔNG KLH + TN'!$B:$B,'01. TH'!$B182,'TỔNG KLH + TN'!$C:$C,'01. TH'!P$4)</f>
        <v>0</v>
      </c>
      <c r="Q182" s="1042">
        <f>COUNTIFS('TỔNG KLH + TN'!$B:$B,'01. TH'!$B182,'TỔNG KLH + TN'!$C:$C,'01. TH'!Q$4)</f>
        <v>0</v>
      </c>
      <c r="R182" s="1042">
        <f>COUNTIFS('TỔNG KLH + TN'!$B:$B,'01. TH'!$B182,'TỔNG KLH + TN'!$C:$C,'01. TH'!R$4)</f>
        <v>0</v>
      </c>
      <c r="S182" s="1042">
        <f>COUNTIFS('TỔNG KLH + TN'!$B:$B,'01. TH'!$B182,'TỔNG KLH + TN'!$C:$C,'01. TH'!S$4)</f>
        <v>0</v>
      </c>
      <c r="T182" s="1042">
        <f>COUNTIFS('TỔNG KLH + TN'!$B:$B,'01. TH'!$B182,'TỔNG KLH + TN'!$C:$C,'01. TH'!T$4)</f>
        <v>0</v>
      </c>
      <c r="U182" s="1042">
        <f>COUNTIFS('TỔNG KLH + TN'!$B:$B,'01. TH'!$B182,'TỔNG KLH + TN'!$C:$C,'01. TH'!U$4)</f>
        <v>0</v>
      </c>
      <c r="V182" s="1042">
        <f>COUNTIFS('TỔNG KLH + TN'!$B:$B,'01. TH'!$B182,'TỔNG KLH + TN'!$C:$C,'01. TH'!V$4)</f>
        <v>0</v>
      </c>
      <c r="W182" s="1042">
        <f>COUNTIFS('TỔNG KLH + TN'!$B:$B,'01. TH'!$B182,'TỔNG KLH + TN'!$C:$C,'01. TH'!W$4)</f>
        <v>0</v>
      </c>
      <c r="X182" s="1042">
        <f>COUNTIFS('TỔNG KLH + TN'!$B:$B,'01. TH'!$B182,'TỔNG KLH + TN'!$C:$C,'01. TH'!X$4)</f>
        <v>0</v>
      </c>
      <c r="Y182" s="1042">
        <f>COUNTIFS('TỔNG KLH + TN'!$B:$B,'01. TH'!$B182,'TỔNG KLH + TN'!$C:$C,'01. TH'!Y$4)</f>
        <v>0</v>
      </c>
      <c r="Z182" s="1042">
        <f>COUNTIFS('TỔNG KLH + TN'!$B:$B,'01. TH'!$B182,'TỔNG KLH + TN'!$C:$C,'01. TH'!Z$4)</f>
        <v>0</v>
      </c>
      <c r="AA182" s="1042">
        <f>COUNTIFS('TỔNG KLH + TN'!$B:$B,'01. TH'!$B182,'TỔNG KLH + TN'!$C:$C,'01. TH'!AA$4)</f>
        <v>0</v>
      </c>
      <c r="AB182" s="1042">
        <f>COUNTIFS('TỔNG KLH + TN'!$B:$B,'01. TH'!$B182,'TỔNG KLH + TN'!$C:$C,'01. TH'!AB$4)</f>
        <v>0</v>
      </c>
      <c r="AC182" s="1042">
        <f>COUNTIFS('TỔNG KLH + TN'!$B:$B,'01. TH'!$B182,'TỔNG KLH + TN'!$C:$C,'01. TH'!AC$4)</f>
        <v>0</v>
      </c>
      <c r="AD182" s="1042">
        <f>COUNTIFS('TỔNG KLH + TN'!$B:$B,'01. TH'!$B182,'TỔNG KLH + TN'!$C:$C,'01. TH'!AD$4)</f>
        <v>0</v>
      </c>
      <c r="AE182" s="1043">
        <f t="shared" si="41"/>
        <v>0</v>
      </c>
      <c r="AF182" s="1043"/>
      <c r="AG182" s="1033" t="str">
        <f t="shared" si="23"/>
        <v>ok</v>
      </c>
      <c r="AH182" s="1039"/>
    </row>
    <row r="183" ht="24" customHeight="1" collapsed="1" spans="1:34">
      <c r="A183" s="1033">
        <v>23</v>
      </c>
      <c r="B183" s="1034" t="s">
        <v>275</v>
      </c>
      <c r="C183" s="1035"/>
      <c r="D183" s="1035" t="str">
        <f>IFERROR(VLOOKUP(B183,'Danh mục'!$G:$U,15,0),"")</f>
        <v/>
      </c>
      <c r="E183" s="1035"/>
      <c r="F183" s="1047">
        <f t="shared" ref="F183:AE183" si="42">SUM(F184:F201)</f>
        <v>0</v>
      </c>
      <c r="G183" s="1047">
        <f t="shared" si="42"/>
        <v>0</v>
      </c>
      <c r="H183" s="1047">
        <f t="shared" si="42"/>
        <v>7</v>
      </c>
      <c r="I183" s="1047">
        <f t="shared" si="42"/>
        <v>2</v>
      </c>
      <c r="J183" s="1047">
        <f t="shared" si="42"/>
        <v>3</v>
      </c>
      <c r="K183" s="1047">
        <f t="shared" si="42"/>
        <v>0</v>
      </c>
      <c r="L183" s="1047">
        <f t="shared" si="42"/>
        <v>0</v>
      </c>
      <c r="M183" s="1047">
        <f t="shared" si="42"/>
        <v>0</v>
      </c>
      <c r="N183" s="1047">
        <f t="shared" si="42"/>
        <v>0</v>
      </c>
      <c r="O183" s="1047">
        <f t="shared" si="42"/>
        <v>0</v>
      </c>
      <c r="P183" s="1047">
        <f t="shared" si="42"/>
        <v>0</v>
      </c>
      <c r="Q183" s="1047">
        <f t="shared" si="42"/>
        <v>8</v>
      </c>
      <c r="R183" s="1047">
        <f t="shared" si="42"/>
        <v>2</v>
      </c>
      <c r="S183" s="1047">
        <f t="shared" si="42"/>
        <v>0</v>
      </c>
      <c r="T183" s="1047">
        <f t="shared" si="42"/>
        <v>0</v>
      </c>
      <c r="U183" s="1047">
        <f t="shared" si="42"/>
        <v>16</v>
      </c>
      <c r="V183" s="1047">
        <f t="shared" si="42"/>
        <v>3</v>
      </c>
      <c r="W183" s="1047">
        <f t="shared" si="42"/>
        <v>0</v>
      </c>
      <c r="X183" s="1047">
        <f t="shared" si="42"/>
        <v>0</v>
      </c>
      <c r="Y183" s="1047">
        <f t="shared" si="42"/>
        <v>7</v>
      </c>
      <c r="Z183" s="1047">
        <f t="shared" si="42"/>
        <v>0</v>
      </c>
      <c r="AA183" s="1047">
        <f t="shared" si="42"/>
        <v>0</v>
      </c>
      <c r="AB183" s="1047">
        <f t="shared" si="42"/>
        <v>9</v>
      </c>
      <c r="AC183" s="1047">
        <f t="shared" si="42"/>
        <v>4</v>
      </c>
      <c r="AD183" s="1047">
        <f t="shared" si="42"/>
        <v>0</v>
      </c>
      <c r="AE183" s="1048">
        <f t="shared" si="42"/>
        <v>61</v>
      </c>
      <c r="AF183" s="1048">
        <v>0</v>
      </c>
      <c r="AG183" s="1033" t="str">
        <f t="shared" si="23"/>
        <v>ok</v>
      </c>
      <c r="AH183" s="1038"/>
    </row>
    <row r="184" ht="18.75" hidden="1" customHeight="1" outlineLevel="1" spans="1:34">
      <c r="A184" s="1044"/>
      <c r="B184" s="1040" t="s">
        <v>276</v>
      </c>
      <c r="C184" s="1041" t="s">
        <v>277</v>
      </c>
      <c r="D184" s="1041" t="str">
        <f>IFERROR(VLOOKUP(B184,'Danh mục'!$G:$U,15,0),"")</f>
        <v/>
      </c>
      <c r="E184" s="1041" t="s">
        <v>273</v>
      </c>
      <c r="F184" s="1042">
        <f>COUNTIFS('TỔNG KLH + TN'!$B:$B,'01. TH'!$B184,'TỔNG KLH + TN'!$C:$C,'01. TH'!F$4)</f>
        <v>0</v>
      </c>
      <c r="G184" s="1042">
        <f>COUNTIFS('TỔNG KLH + TN'!$B:$B,'01. TH'!$B184,'TỔNG KLH + TN'!$C:$C,'01. TH'!G$4)</f>
        <v>0</v>
      </c>
      <c r="H184" s="1042">
        <f>COUNTIFS('TỔNG KLH + TN'!$B:$B,'01. TH'!$B184,'TỔNG KLH + TN'!$C:$C,'01. TH'!H$4)</f>
        <v>0</v>
      </c>
      <c r="I184" s="1042">
        <f>COUNTIFS('TỔNG KLH + TN'!$B:$B,'01. TH'!$B184,'TỔNG KLH + TN'!$C:$C,'01. TH'!I$4)</f>
        <v>0</v>
      </c>
      <c r="J184" s="1042">
        <f>COUNTIFS('TỔNG KLH + TN'!$B:$B,'01. TH'!$B184,'TỔNG KLH + TN'!$C:$C,'01. TH'!J$4)</f>
        <v>0</v>
      </c>
      <c r="K184" s="1042">
        <f>COUNTIFS('TỔNG KLH + TN'!$B:$B,'01. TH'!$B184,'TỔNG KLH + TN'!$C:$C,'01. TH'!K$4)</f>
        <v>0</v>
      </c>
      <c r="L184" s="1042">
        <f>COUNTIFS('TỔNG KLH + TN'!$B:$B,'01. TH'!$B184,'TỔNG KLH + TN'!$C:$C,'01. TH'!L$4)</f>
        <v>0</v>
      </c>
      <c r="M184" s="1042">
        <f>COUNTIFS('TỔNG KLH + TN'!$B:$B,'01. TH'!$B184,'TỔNG KLH + TN'!$C:$C,'01. TH'!M$4)</f>
        <v>0</v>
      </c>
      <c r="N184" s="1042">
        <f>COUNTIFS('TỔNG KLH + TN'!$B:$B,'01. TH'!$B184,'TỔNG KLH + TN'!$C:$C,'01. TH'!N$4)</f>
        <v>0</v>
      </c>
      <c r="O184" s="1042">
        <f>COUNTIFS('TỔNG KLH + TN'!$B:$B,'01. TH'!$B184,'TỔNG KLH + TN'!$C:$C,'01. TH'!O$4)</f>
        <v>0</v>
      </c>
      <c r="P184" s="1042">
        <f>COUNTIFS('TỔNG KLH + TN'!$B:$B,'01. TH'!$B184,'TỔNG KLH + TN'!$C:$C,'01. TH'!P$4)</f>
        <v>0</v>
      </c>
      <c r="Q184" s="1042">
        <f>COUNTIFS('TỔNG KLH + TN'!$B:$B,'01. TH'!$B184,'TỔNG KLH + TN'!$C:$C,'01. TH'!Q$4)</f>
        <v>0</v>
      </c>
      <c r="R184" s="1042">
        <f>COUNTIFS('TỔNG KLH + TN'!$B:$B,'01. TH'!$B184,'TỔNG KLH + TN'!$C:$C,'01. TH'!R$4)</f>
        <v>0</v>
      </c>
      <c r="S184" s="1042">
        <f>COUNTIFS('TỔNG KLH + TN'!$B:$B,'01. TH'!$B184,'TỔNG KLH + TN'!$C:$C,'01. TH'!S$4)</f>
        <v>0</v>
      </c>
      <c r="T184" s="1042">
        <f>COUNTIFS('TỔNG KLH + TN'!$B:$B,'01. TH'!$B184,'TỔNG KLH + TN'!$C:$C,'01. TH'!T$4)</f>
        <v>0</v>
      </c>
      <c r="U184" s="1042">
        <f>COUNTIFS('TỔNG KLH + TN'!$B:$B,'01. TH'!$B184,'TỔNG KLH + TN'!$C:$C,'01. TH'!U$4)</f>
        <v>0</v>
      </c>
      <c r="V184" s="1042">
        <f>COUNTIFS('TỔNG KLH + TN'!$B:$B,'01. TH'!$B184,'TỔNG KLH + TN'!$C:$C,'01. TH'!V$4)</f>
        <v>0</v>
      </c>
      <c r="W184" s="1042">
        <f>COUNTIFS('TỔNG KLH + TN'!$B:$B,'01. TH'!$B184,'TỔNG KLH + TN'!$C:$C,'01. TH'!W$4)</f>
        <v>0</v>
      </c>
      <c r="X184" s="1042">
        <f>COUNTIFS('TỔNG KLH + TN'!$B:$B,'01. TH'!$B184,'TỔNG KLH + TN'!$C:$C,'01. TH'!X$4)</f>
        <v>0</v>
      </c>
      <c r="Y184" s="1042">
        <f>COUNTIFS('TỔNG KLH + TN'!$B:$B,'01. TH'!$B184,'TỔNG KLH + TN'!$C:$C,'01. TH'!Y$4)</f>
        <v>0</v>
      </c>
      <c r="Z184" s="1042">
        <f>COUNTIFS('TỔNG KLH + TN'!$B:$B,'01. TH'!$B184,'TỔNG KLH + TN'!$C:$C,'01. TH'!Z$4)</f>
        <v>0</v>
      </c>
      <c r="AA184" s="1042">
        <f>COUNTIFS('TỔNG KLH + TN'!$B:$B,'01. TH'!$B184,'TỔNG KLH + TN'!$C:$C,'01. TH'!AA$4)</f>
        <v>0</v>
      </c>
      <c r="AB184" s="1042">
        <f>COUNTIFS('TỔNG KLH + TN'!$B:$B,'01. TH'!$B184,'TỔNG KLH + TN'!$C:$C,'01. TH'!AB$4)</f>
        <v>0</v>
      </c>
      <c r="AC184" s="1042">
        <f>COUNTIFS('TỔNG KLH + TN'!$B:$B,'01. TH'!$B184,'TỔNG KLH + TN'!$C:$C,'01. TH'!AC$4)</f>
        <v>0</v>
      </c>
      <c r="AD184" s="1042">
        <f>COUNTIFS('TỔNG KLH + TN'!$B:$B,'01. TH'!$B184,'TỔNG KLH + TN'!$C:$C,'01. TH'!AD$4)</f>
        <v>0</v>
      </c>
      <c r="AE184" s="1045">
        <f t="shared" ref="AE184:AE201" si="43">SUM(F184:AD184)</f>
        <v>0</v>
      </c>
      <c r="AF184" s="1045"/>
      <c r="AG184" s="1033" t="str">
        <f t="shared" si="23"/>
        <v>ok</v>
      </c>
      <c r="AH184" s="1046"/>
    </row>
    <row r="185" ht="18.75" hidden="1" customHeight="1" outlineLevel="1" spans="1:34">
      <c r="A185" s="1039"/>
      <c r="B185" s="1040" t="s">
        <v>278</v>
      </c>
      <c r="C185" s="1041" t="s">
        <v>279</v>
      </c>
      <c r="D185" s="1041" t="str">
        <f>IFERROR(VLOOKUP(B185,'Danh mục'!$G:$U,15,0),"")</f>
        <v/>
      </c>
      <c r="E185" s="1041" t="s">
        <v>273</v>
      </c>
      <c r="F185" s="1042">
        <f>COUNTIFS('TỔNG KLH + TN'!$B:$B,'01. TH'!$B185,'TỔNG KLH + TN'!$C:$C,'01. TH'!F$4)</f>
        <v>0</v>
      </c>
      <c r="G185" s="1042">
        <f>COUNTIFS('TỔNG KLH + TN'!$B:$B,'01. TH'!$B185,'TỔNG KLH + TN'!$C:$C,'01. TH'!G$4)</f>
        <v>0</v>
      </c>
      <c r="H185" s="1042">
        <f>COUNTIFS('TỔNG KLH + TN'!$B:$B,'01. TH'!$B185,'TỔNG KLH + TN'!$C:$C,'01. TH'!H$4)</f>
        <v>0</v>
      </c>
      <c r="I185" s="1042">
        <f>COUNTIFS('TỔNG KLH + TN'!$B:$B,'01. TH'!$B185,'TỔNG KLH + TN'!$C:$C,'01. TH'!I$4)</f>
        <v>0</v>
      </c>
      <c r="J185" s="1042">
        <f>COUNTIFS('TỔNG KLH + TN'!$B:$B,'01. TH'!$B185,'TỔNG KLH + TN'!$C:$C,'01. TH'!J$4)</f>
        <v>0</v>
      </c>
      <c r="K185" s="1042">
        <f>COUNTIFS('TỔNG KLH + TN'!$B:$B,'01. TH'!$B185,'TỔNG KLH + TN'!$C:$C,'01. TH'!K$4)</f>
        <v>0</v>
      </c>
      <c r="L185" s="1042">
        <f>COUNTIFS('TỔNG KLH + TN'!$B:$B,'01. TH'!$B185,'TỔNG KLH + TN'!$C:$C,'01. TH'!L$4)</f>
        <v>0</v>
      </c>
      <c r="M185" s="1042">
        <f>COUNTIFS('TỔNG KLH + TN'!$B:$B,'01. TH'!$B185,'TỔNG KLH + TN'!$C:$C,'01. TH'!M$4)</f>
        <v>0</v>
      </c>
      <c r="N185" s="1042">
        <f>COUNTIFS('TỔNG KLH + TN'!$B:$B,'01. TH'!$B185,'TỔNG KLH + TN'!$C:$C,'01. TH'!N$4)</f>
        <v>0</v>
      </c>
      <c r="O185" s="1042">
        <f>COUNTIFS('TỔNG KLH + TN'!$B:$B,'01. TH'!$B185,'TỔNG KLH + TN'!$C:$C,'01. TH'!O$4)</f>
        <v>0</v>
      </c>
      <c r="P185" s="1042">
        <f>COUNTIFS('TỔNG KLH + TN'!$B:$B,'01. TH'!$B185,'TỔNG KLH + TN'!$C:$C,'01. TH'!P$4)</f>
        <v>0</v>
      </c>
      <c r="Q185" s="1042">
        <f>COUNTIFS('TỔNG KLH + TN'!$B:$B,'01. TH'!$B185,'TỔNG KLH + TN'!$C:$C,'01. TH'!Q$4)</f>
        <v>0</v>
      </c>
      <c r="R185" s="1042">
        <f>COUNTIFS('TỔNG KLH + TN'!$B:$B,'01. TH'!$B185,'TỔNG KLH + TN'!$C:$C,'01. TH'!R$4)</f>
        <v>0</v>
      </c>
      <c r="S185" s="1042">
        <f>COUNTIFS('TỔNG KLH + TN'!$B:$B,'01. TH'!$B185,'TỔNG KLH + TN'!$C:$C,'01. TH'!S$4)</f>
        <v>0</v>
      </c>
      <c r="T185" s="1042">
        <f>COUNTIFS('TỔNG KLH + TN'!$B:$B,'01. TH'!$B185,'TỔNG KLH + TN'!$C:$C,'01. TH'!T$4)</f>
        <v>0</v>
      </c>
      <c r="U185" s="1042">
        <f>COUNTIFS('TỔNG KLH + TN'!$B:$B,'01. TH'!$B185,'TỔNG KLH + TN'!$C:$C,'01. TH'!U$4)</f>
        <v>0</v>
      </c>
      <c r="V185" s="1042">
        <f>COUNTIFS('TỔNG KLH + TN'!$B:$B,'01. TH'!$B185,'TỔNG KLH + TN'!$C:$C,'01. TH'!V$4)</f>
        <v>0</v>
      </c>
      <c r="W185" s="1042">
        <f>COUNTIFS('TỔNG KLH + TN'!$B:$B,'01. TH'!$B185,'TỔNG KLH + TN'!$C:$C,'01. TH'!W$4)</f>
        <v>0</v>
      </c>
      <c r="X185" s="1042">
        <f>COUNTIFS('TỔNG KLH + TN'!$B:$B,'01. TH'!$B185,'TỔNG KLH + TN'!$C:$C,'01. TH'!X$4)</f>
        <v>0</v>
      </c>
      <c r="Y185" s="1042">
        <f>COUNTIFS('TỔNG KLH + TN'!$B:$B,'01. TH'!$B185,'TỔNG KLH + TN'!$C:$C,'01. TH'!Y$4)</f>
        <v>0</v>
      </c>
      <c r="Z185" s="1042">
        <f>COUNTIFS('TỔNG KLH + TN'!$B:$B,'01. TH'!$B185,'TỔNG KLH + TN'!$C:$C,'01. TH'!Z$4)</f>
        <v>0</v>
      </c>
      <c r="AA185" s="1042">
        <f>COUNTIFS('TỔNG KLH + TN'!$B:$B,'01. TH'!$B185,'TỔNG KLH + TN'!$C:$C,'01. TH'!AA$4)</f>
        <v>0</v>
      </c>
      <c r="AB185" s="1042">
        <f>COUNTIFS('TỔNG KLH + TN'!$B:$B,'01. TH'!$B185,'TỔNG KLH + TN'!$C:$C,'01. TH'!AB$4)</f>
        <v>0</v>
      </c>
      <c r="AC185" s="1042">
        <f>COUNTIFS('TỔNG KLH + TN'!$B:$B,'01. TH'!$B185,'TỔNG KLH + TN'!$C:$C,'01. TH'!AC$4)</f>
        <v>0</v>
      </c>
      <c r="AD185" s="1042">
        <f>COUNTIFS('TỔNG KLH + TN'!$B:$B,'01. TH'!$B185,'TỔNG KLH + TN'!$C:$C,'01. TH'!AD$4)</f>
        <v>0</v>
      </c>
      <c r="AE185" s="1043">
        <f t="shared" si="43"/>
        <v>0</v>
      </c>
      <c r="AF185" s="1043"/>
      <c r="AG185" s="1033" t="str">
        <f t="shared" si="23"/>
        <v>ok</v>
      </c>
      <c r="AH185" s="1041"/>
    </row>
    <row r="186" ht="18.75" hidden="1" customHeight="1" outlineLevel="1" spans="1:34">
      <c r="A186" s="1044"/>
      <c r="B186" s="1040" t="s">
        <v>280</v>
      </c>
      <c r="C186" s="1041" t="s">
        <v>281</v>
      </c>
      <c r="D186" s="1041" t="str">
        <f>IFERROR(VLOOKUP(B186,'Danh mục'!$G:$U,15,0),"")</f>
        <v/>
      </c>
      <c r="E186" s="1041" t="s">
        <v>273</v>
      </c>
      <c r="F186" s="1042">
        <f>COUNTIFS('TỔNG KLH + TN'!$B:$B,'01. TH'!$B186,'TỔNG KLH + TN'!$C:$C,'01. TH'!F$4)</f>
        <v>0</v>
      </c>
      <c r="G186" s="1042">
        <f>COUNTIFS('TỔNG KLH + TN'!$B:$B,'01. TH'!$B186,'TỔNG KLH + TN'!$C:$C,'01. TH'!G$4)</f>
        <v>0</v>
      </c>
      <c r="H186" s="1042">
        <f>COUNTIFS('TỔNG KLH + TN'!$B:$B,'01. TH'!$B186,'TỔNG KLH + TN'!$C:$C,'01. TH'!H$4)</f>
        <v>0</v>
      </c>
      <c r="I186" s="1042">
        <f>COUNTIFS('TỔNG KLH + TN'!$B:$B,'01. TH'!$B186,'TỔNG KLH + TN'!$C:$C,'01. TH'!I$4)</f>
        <v>0</v>
      </c>
      <c r="J186" s="1042">
        <f>COUNTIFS('TỔNG KLH + TN'!$B:$B,'01. TH'!$B186,'TỔNG KLH + TN'!$C:$C,'01. TH'!J$4)</f>
        <v>0</v>
      </c>
      <c r="K186" s="1042">
        <f>COUNTIFS('TỔNG KLH + TN'!$B:$B,'01. TH'!$B186,'TỔNG KLH + TN'!$C:$C,'01. TH'!K$4)</f>
        <v>0</v>
      </c>
      <c r="L186" s="1042">
        <f>COUNTIFS('TỔNG KLH + TN'!$B:$B,'01. TH'!$B186,'TỔNG KLH + TN'!$C:$C,'01. TH'!L$4)</f>
        <v>0</v>
      </c>
      <c r="M186" s="1042">
        <f>COUNTIFS('TỔNG KLH + TN'!$B:$B,'01. TH'!$B186,'TỔNG KLH + TN'!$C:$C,'01. TH'!M$4)</f>
        <v>0</v>
      </c>
      <c r="N186" s="1042">
        <f>COUNTIFS('TỔNG KLH + TN'!$B:$B,'01. TH'!$B186,'TỔNG KLH + TN'!$C:$C,'01. TH'!N$4)</f>
        <v>0</v>
      </c>
      <c r="O186" s="1042">
        <f>COUNTIFS('TỔNG KLH + TN'!$B:$B,'01. TH'!$B186,'TỔNG KLH + TN'!$C:$C,'01. TH'!O$4)</f>
        <v>0</v>
      </c>
      <c r="P186" s="1042">
        <f>COUNTIFS('TỔNG KLH + TN'!$B:$B,'01. TH'!$B186,'TỔNG KLH + TN'!$C:$C,'01. TH'!P$4)</f>
        <v>0</v>
      </c>
      <c r="Q186" s="1042">
        <f>COUNTIFS('TỔNG KLH + TN'!$B:$B,'01. TH'!$B186,'TỔNG KLH + TN'!$C:$C,'01. TH'!Q$4)</f>
        <v>0</v>
      </c>
      <c r="R186" s="1042">
        <f>COUNTIFS('TỔNG KLH + TN'!$B:$B,'01. TH'!$B186,'TỔNG KLH + TN'!$C:$C,'01. TH'!R$4)</f>
        <v>0</v>
      </c>
      <c r="S186" s="1042">
        <f>COUNTIFS('TỔNG KLH + TN'!$B:$B,'01. TH'!$B186,'TỔNG KLH + TN'!$C:$C,'01. TH'!S$4)</f>
        <v>0</v>
      </c>
      <c r="T186" s="1042">
        <f>COUNTIFS('TỔNG KLH + TN'!$B:$B,'01. TH'!$B186,'TỔNG KLH + TN'!$C:$C,'01. TH'!T$4)</f>
        <v>0</v>
      </c>
      <c r="U186" s="1042">
        <f>COUNTIFS('TỔNG KLH + TN'!$B:$B,'01. TH'!$B186,'TỔNG KLH + TN'!$C:$C,'01. TH'!U$4)</f>
        <v>0</v>
      </c>
      <c r="V186" s="1042">
        <f>COUNTIFS('TỔNG KLH + TN'!$B:$B,'01. TH'!$B186,'TỔNG KLH + TN'!$C:$C,'01. TH'!V$4)</f>
        <v>0</v>
      </c>
      <c r="W186" s="1042">
        <f>COUNTIFS('TỔNG KLH + TN'!$B:$B,'01. TH'!$B186,'TỔNG KLH + TN'!$C:$C,'01. TH'!W$4)</f>
        <v>0</v>
      </c>
      <c r="X186" s="1042">
        <f>COUNTIFS('TỔNG KLH + TN'!$B:$B,'01. TH'!$B186,'TỔNG KLH + TN'!$C:$C,'01. TH'!X$4)</f>
        <v>0</v>
      </c>
      <c r="Y186" s="1042">
        <f>COUNTIFS('TỔNG KLH + TN'!$B:$B,'01. TH'!$B186,'TỔNG KLH + TN'!$C:$C,'01. TH'!Y$4)</f>
        <v>0</v>
      </c>
      <c r="Z186" s="1042">
        <f>COUNTIFS('TỔNG KLH + TN'!$B:$B,'01. TH'!$B186,'TỔNG KLH + TN'!$C:$C,'01. TH'!Z$4)</f>
        <v>0</v>
      </c>
      <c r="AA186" s="1042">
        <f>COUNTIFS('TỔNG KLH + TN'!$B:$B,'01. TH'!$B186,'TỔNG KLH + TN'!$C:$C,'01. TH'!AA$4)</f>
        <v>0</v>
      </c>
      <c r="AB186" s="1042">
        <f>COUNTIFS('TỔNG KLH + TN'!$B:$B,'01. TH'!$B186,'TỔNG KLH + TN'!$C:$C,'01. TH'!AB$4)</f>
        <v>0</v>
      </c>
      <c r="AC186" s="1042">
        <f>COUNTIFS('TỔNG KLH + TN'!$B:$B,'01. TH'!$B186,'TỔNG KLH + TN'!$C:$C,'01. TH'!AC$4)</f>
        <v>0</v>
      </c>
      <c r="AD186" s="1042">
        <f>COUNTIFS('TỔNG KLH + TN'!$B:$B,'01. TH'!$B186,'TỔNG KLH + TN'!$C:$C,'01. TH'!AD$4)</f>
        <v>0</v>
      </c>
      <c r="AE186" s="1045">
        <f t="shared" si="43"/>
        <v>0</v>
      </c>
      <c r="AF186" s="1045"/>
      <c r="AG186" s="1033" t="str">
        <f t="shared" si="23"/>
        <v>ok</v>
      </c>
      <c r="AH186" s="1046"/>
    </row>
    <row r="187" ht="18.75" hidden="1" customHeight="1" outlineLevel="1" spans="1:34">
      <c r="A187" s="1039"/>
      <c r="B187" s="1040" t="s">
        <v>282</v>
      </c>
      <c r="C187" s="1041" t="s">
        <v>272</v>
      </c>
      <c r="D187" s="1041" t="str">
        <f>IFERROR(VLOOKUP(B187,'Danh mục'!$G:$U,15,0),"")</f>
        <v/>
      </c>
      <c r="E187" s="1041" t="s">
        <v>273</v>
      </c>
      <c r="F187" s="1042">
        <f>COUNTIFS('TỔNG KLH + TN'!$B:$B,'01. TH'!$B187,'TỔNG KLH + TN'!$C:$C,'01. TH'!F$4)</f>
        <v>0</v>
      </c>
      <c r="G187" s="1042">
        <f>COUNTIFS('TỔNG KLH + TN'!$B:$B,'01. TH'!$B187,'TỔNG KLH + TN'!$C:$C,'01. TH'!G$4)</f>
        <v>0</v>
      </c>
      <c r="H187" s="1042">
        <f>COUNTIFS('TỔNG KLH + TN'!$B:$B,'01. TH'!$B187,'TỔNG KLH + TN'!$C:$C,'01. TH'!H$4)</f>
        <v>0</v>
      </c>
      <c r="I187" s="1042">
        <f>COUNTIFS('TỔNG KLH + TN'!$B:$B,'01. TH'!$B187,'TỔNG KLH + TN'!$C:$C,'01. TH'!I$4)</f>
        <v>0</v>
      </c>
      <c r="J187" s="1042">
        <f>COUNTIFS('TỔNG KLH + TN'!$B:$B,'01. TH'!$B187,'TỔNG KLH + TN'!$C:$C,'01. TH'!J$4)</f>
        <v>0</v>
      </c>
      <c r="K187" s="1042">
        <f>COUNTIFS('TỔNG KLH + TN'!$B:$B,'01. TH'!$B187,'TỔNG KLH + TN'!$C:$C,'01. TH'!K$4)</f>
        <v>0</v>
      </c>
      <c r="L187" s="1042">
        <f>COUNTIFS('TỔNG KLH + TN'!$B:$B,'01. TH'!$B187,'TỔNG KLH + TN'!$C:$C,'01. TH'!L$4)</f>
        <v>0</v>
      </c>
      <c r="M187" s="1042">
        <f>COUNTIFS('TỔNG KLH + TN'!$B:$B,'01. TH'!$B187,'TỔNG KLH + TN'!$C:$C,'01. TH'!M$4)</f>
        <v>0</v>
      </c>
      <c r="N187" s="1042">
        <f>COUNTIFS('TỔNG KLH + TN'!$B:$B,'01. TH'!$B187,'TỔNG KLH + TN'!$C:$C,'01. TH'!N$4)</f>
        <v>0</v>
      </c>
      <c r="O187" s="1042">
        <f>COUNTIFS('TỔNG KLH + TN'!$B:$B,'01. TH'!$B187,'TỔNG KLH + TN'!$C:$C,'01. TH'!O$4)</f>
        <v>0</v>
      </c>
      <c r="P187" s="1042">
        <f>COUNTIFS('TỔNG KLH + TN'!$B:$B,'01. TH'!$B187,'TỔNG KLH + TN'!$C:$C,'01. TH'!P$4)</f>
        <v>0</v>
      </c>
      <c r="Q187" s="1042">
        <f>COUNTIFS('TỔNG KLH + TN'!$B:$B,'01. TH'!$B187,'TỔNG KLH + TN'!$C:$C,'01. TH'!Q$4)</f>
        <v>0</v>
      </c>
      <c r="R187" s="1042">
        <f>COUNTIFS('TỔNG KLH + TN'!$B:$B,'01. TH'!$B187,'TỔNG KLH + TN'!$C:$C,'01. TH'!R$4)</f>
        <v>0</v>
      </c>
      <c r="S187" s="1042">
        <f>COUNTIFS('TỔNG KLH + TN'!$B:$B,'01. TH'!$B187,'TỔNG KLH + TN'!$C:$C,'01. TH'!S$4)</f>
        <v>0</v>
      </c>
      <c r="T187" s="1042">
        <f>COUNTIFS('TỔNG KLH + TN'!$B:$B,'01. TH'!$B187,'TỔNG KLH + TN'!$C:$C,'01. TH'!T$4)</f>
        <v>0</v>
      </c>
      <c r="U187" s="1042">
        <f>COUNTIFS('TỔNG KLH + TN'!$B:$B,'01. TH'!$B187,'TỔNG KLH + TN'!$C:$C,'01. TH'!U$4)</f>
        <v>0</v>
      </c>
      <c r="V187" s="1042">
        <f>COUNTIFS('TỔNG KLH + TN'!$B:$B,'01. TH'!$B187,'TỔNG KLH + TN'!$C:$C,'01. TH'!V$4)</f>
        <v>0</v>
      </c>
      <c r="W187" s="1042">
        <f>COUNTIFS('TỔNG KLH + TN'!$B:$B,'01. TH'!$B187,'TỔNG KLH + TN'!$C:$C,'01. TH'!W$4)</f>
        <v>0</v>
      </c>
      <c r="X187" s="1042">
        <f>COUNTIFS('TỔNG KLH + TN'!$B:$B,'01. TH'!$B187,'TỔNG KLH + TN'!$C:$C,'01. TH'!X$4)</f>
        <v>0</v>
      </c>
      <c r="Y187" s="1042">
        <f>COUNTIFS('TỔNG KLH + TN'!$B:$B,'01. TH'!$B187,'TỔNG KLH + TN'!$C:$C,'01. TH'!Y$4)</f>
        <v>0</v>
      </c>
      <c r="Z187" s="1042">
        <f>COUNTIFS('TỔNG KLH + TN'!$B:$B,'01. TH'!$B187,'TỔNG KLH + TN'!$C:$C,'01. TH'!Z$4)</f>
        <v>0</v>
      </c>
      <c r="AA187" s="1042">
        <f>COUNTIFS('TỔNG KLH + TN'!$B:$B,'01. TH'!$B187,'TỔNG KLH + TN'!$C:$C,'01. TH'!AA$4)</f>
        <v>0</v>
      </c>
      <c r="AB187" s="1042">
        <f>COUNTIFS('TỔNG KLH + TN'!$B:$B,'01. TH'!$B187,'TỔNG KLH + TN'!$C:$C,'01. TH'!AB$4)</f>
        <v>0</v>
      </c>
      <c r="AC187" s="1042">
        <f>COUNTIFS('TỔNG KLH + TN'!$B:$B,'01. TH'!$B187,'TỔNG KLH + TN'!$C:$C,'01. TH'!AC$4)</f>
        <v>0</v>
      </c>
      <c r="AD187" s="1042">
        <f>COUNTIFS('TỔNG KLH + TN'!$B:$B,'01. TH'!$B187,'TỔNG KLH + TN'!$C:$C,'01. TH'!AD$4)</f>
        <v>0</v>
      </c>
      <c r="AE187" s="1043">
        <f t="shared" si="43"/>
        <v>0</v>
      </c>
      <c r="AF187" s="1043"/>
      <c r="AG187" s="1033" t="str">
        <f t="shared" si="23"/>
        <v>ok</v>
      </c>
      <c r="AH187" s="1041"/>
    </row>
    <row r="188" ht="18.75" hidden="1" customHeight="1" outlineLevel="1" spans="1:34">
      <c r="A188" s="1039"/>
      <c r="B188" s="1040" t="s">
        <v>283</v>
      </c>
      <c r="C188" s="1041" t="s">
        <v>272</v>
      </c>
      <c r="D188" s="1041" t="str">
        <f>IFERROR(VLOOKUP(B188,'Danh mục'!$G:$U,15,0),"")</f>
        <v/>
      </c>
      <c r="E188" s="1041" t="s">
        <v>273</v>
      </c>
      <c r="F188" s="1042">
        <f>COUNTIFS('TỔNG KLH + TN'!$B:$B,'01. TH'!$B188,'TỔNG KLH + TN'!$C:$C,'01. TH'!F$4)</f>
        <v>0</v>
      </c>
      <c r="G188" s="1042">
        <f>COUNTIFS('TỔNG KLH + TN'!$B:$B,'01. TH'!$B188,'TỔNG KLH + TN'!$C:$C,'01. TH'!G$4)</f>
        <v>0</v>
      </c>
      <c r="H188" s="1042">
        <f>COUNTIFS('TỔNG KLH + TN'!$B:$B,'01. TH'!$B188,'TỔNG KLH + TN'!$C:$C,'01. TH'!H$4)</f>
        <v>0</v>
      </c>
      <c r="I188" s="1042">
        <f>COUNTIFS('TỔNG KLH + TN'!$B:$B,'01. TH'!$B188,'TỔNG KLH + TN'!$C:$C,'01. TH'!I$4)</f>
        <v>0</v>
      </c>
      <c r="J188" s="1042">
        <f>COUNTIFS('TỔNG KLH + TN'!$B:$B,'01. TH'!$B188,'TỔNG KLH + TN'!$C:$C,'01. TH'!J$4)</f>
        <v>0</v>
      </c>
      <c r="K188" s="1042">
        <f>COUNTIFS('TỔNG KLH + TN'!$B:$B,'01. TH'!$B188,'TỔNG KLH + TN'!$C:$C,'01. TH'!K$4)</f>
        <v>0</v>
      </c>
      <c r="L188" s="1042">
        <f>COUNTIFS('TỔNG KLH + TN'!$B:$B,'01. TH'!$B188,'TỔNG KLH + TN'!$C:$C,'01. TH'!L$4)</f>
        <v>0</v>
      </c>
      <c r="M188" s="1042">
        <f>COUNTIFS('TỔNG KLH + TN'!$B:$B,'01. TH'!$B188,'TỔNG KLH + TN'!$C:$C,'01. TH'!M$4)</f>
        <v>0</v>
      </c>
      <c r="N188" s="1042">
        <f>COUNTIFS('TỔNG KLH + TN'!$B:$B,'01. TH'!$B188,'TỔNG KLH + TN'!$C:$C,'01. TH'!N$4)</f>
        <v>0</v>
      </c>
      <c r="O188" s="1042">
        <f>COUNTIFS('TỔNG KLH + TN'!$B:$B,'01. TH'!$B188,'TỔNG KLH + TN'!$C:$C,'01. TH'!O$4)</f>
        <v>0</v>
      </c>
      <c r="P188" s="1042">
        <f>COUNTIFS('TỔNG KLH + TN'!$B:$B,'01. TH'!$B188,'TỔNG KLH + TN'!$C:$C,'01. TH'!P$4)</f>
        <v>0</v>
      </c>
      <c r="Q188" s="1042">
        <f>COUNTIFS('TỔNG KLH + TN'!$B:$B,'01. TH'!$B188,'TỔNG KLH + TN'!$C:$C,'01. TH'!Q$4)</f>
        <v>0</v>
      </c>
      <c r="R188" s="1042">
        <f>COUNTIFS('TỔNG KLH + TN'!$B:$B,'01. TH'!$B188,'TỔNG KLH + TN'!$C:$C,'01. TH'!R$4)</f>
        <v>0</v>
      </c>
      <c r="S188" s="1042">
        <f>COUNTIFS('TỔNG KLH + TN'!$B:$B,'01. TH'!$B188,'TỔNG KLH + TN'!$C:$C,'01. TH'!S$4)</f>
        <v>0</v>
      </c>
      <c r="T188" s="1042">
        <f>COUNTIFS('TỔNG KLH + TN'!$B:$B,'01. TH'!$B188,'TỔNG KLH + TN'!$C:$C,'01. TH'!T$4)</f>
        <v>0</v>
      </c>
      <c r="U188" s="1042">
        <f>COUNTIFS('TỔNG KLH + TN'!$B:$B,'01. TH'!$B188,'TỔNG KLH + TN'!$C:$C,'01. TH'!U$4)</f>
        <v>0</v>
      </c>
      <c r="V188" s="1042">
        <f>COUNTIFS('TỔNG KLH + TN'!$B:$B,'01. TH'!$B188,'TỔNG KLH + TN'!$C:$C,'01. TH'!V$4)</f>
        <v>0</v>
      </c>
      <c r="W188" s="1042">
        <f>COUNTIFS('TỔNG KLH + TN'!$B:$B,'01. TH'!$B188,'TỔNG KLH + TN'!$C:$C,'01. TH'!W$4)</f>
        <v>0</v>
      </c>
      <c r="X188" s="1042">
        <f>COUNTIFS('TỔNG KLH + TN'!$B:$B,'01. TH'!$B188,'TỔNG KLH + TN'!$C:$C,'01. TH'!X$4)</f>
        <v>0</v>
      </c>
      <c r="Y188" s="1042">
        <f>COUNTIFS('TỔNG KLH + TN'!$B:$B,'01. TH'!$B188,'TỔNG KLH + TN'!$C:$C,'01. TH'!Y$4)</f>
        <v>0</v>
      </c>
      <c r="Z188" s="1042">
        <f>COUNTIFS('TỔNG KLH + TN'!$B:$B,'01. TH'!$B188,'TỔNG KLH + TN'!$C:$C,'01. TH'!Z$4)</f>
        <v>0</v>
      </c>
      <c r="AA188" s="1042">
        <f>COUNTIFS('TỔNG KLH + TN'!$B:$B,'01. TH'!$B188,'TỔNG KLH + TN'!$C:$C,'01. TH'!AA$4)</f>
        <v>0</v>
      </c>
      <c r="AB188" s="1042">
        <f>COUNTIFS('TỔNG KLH + TN'!$B:$B,'01. TH'!$B188,'TỔNG KLH + TN'!$C:$C,'01. TH'!AB$4)</f>
        <v>0</v>
      </c>
      <c r="AC188" s="1042">
        <f>COUNTIFS('TỔNG KLH + TN'!$B:$B,'01. TH'!$B188,'TỔNG KLH + TN'!$C:$C,'01. TH'!AC$4)</f>
        <v>0</v>
      </c>
      <c r="AD188" s="1042">
        <f>COUNTIFS('TỔNG KLH + TN'!$B:$B,'01. TH'!$B188,'TỔNG KLH + TN'!$C:$C,'01. TH'!AD$4)</f>
        <v>0</v>
      </c>
      <c r="AE188" s="1043">
        <f t="shared" si="43"/>
        <v>0</v>
      </c>
      <c r="AF188" s="1043"/>
      <c r="AG188" s="1033" t="str">
        <f t="shared" si="23"/>
        <v>ok</v>
      </c>
      <c r="AH188" s="1041"/>
    </row>
    <row r="189" ht="18.75" hidden="1" customHeight="1" outlineLevel="1" spans="1:34">
      <c r="A189" s="1044"/>
      <c r="B189" s="1040" t="s">
        <v>284</v>
      </c>
      <c r="C189" s="1041" t="s">
        <v>279</v>
      </c>
      <c r="D189" s="1041" t="str">
        <f>IFERROR(VLOOKUP(B189,'Danh mục'!$G:$U,15,0),"")</f>
        <v/>
      </c>
      <c r="E189" s="1041" t="s">
        <v>273</v>
      </c>
      <c r="F189" s="1042">
        <f>COUNTIFS('TỔNG KLH + TN'!$B:$B,'01. TH'!$B189,'TỔNG KLH + TN'!$C:$C,'01. TH'!F$4)</f>
        <v>0</v>
      </c>
      <c r="G189" s="1042">
        <f>COUNTIFS('TỔNG KLH + TN'!$B:$B,'01. TH'!$B189,'TỔNG KLH + TN'!$C:$C,'01. TH'!G$4)</f>
        <v>0</v>
      </c>
      <c r="H189" s="1042">
        <f>COUNTIFS('TỔNG KLH + TN'!$B:$B,'01. TH'!$B189,'TỔNG KLH + TN'!$C:$C,'01. TH'!H$4)</f>
        <v>0</v>
      </c>
      <c r="I189" s="1042">
        <f>COUNTIFS('TỔNG KLH + TN'!$B:$B,'01. TH'!$B189,'TỔNG KLH + TN'!$C:$C,'01. TH'!I$4)</f>
        <v>0</v>
      </c>
      <c r="J189" s="1042">
        <f>COUNTIFS('TỔNG KLH + TN'!$B:$B,'01. TH'!$B189,'TỔNG KLH + TN'!$C:$C,'01. TH'!J$4)</f>
        <v>0</v>
      </c>
      <c r="K189" s="1042">
        <f>COUNTIFS('TỔNG KLH + TN'!$B:$B,'01. TH'!$B189,'TỔNG KLH + TN'!$C:$C,'01. TH'!K$4)</f>
        <v>0</v>
      </c>
      <c r="L189" s="1042">
        <f>COUNTIFS('TỔNG KLH + TN'!$B:$B,'01. TH'!$B189,'TỔNG KLH + TN'!$C:$C,'01. TH'!L$4)</f>
        <v>0</v>
      </c>
      <c r="M189" s="1042">
        <f>COUNTIFS('TỔNG KLH + TN'!$B:$B,'01. TH'!$B189,'TỔNG KLH + TN'!$C:$C,'01. TH'!M$4)</f>
        <v>0</v>
      </c>
      <c r="N189" s="1042">
        <f>COUNTIFS('TỔNG KLH + TN'!$B:$B,'01. TH'!$B189,'TỔNG KLH + TN'!$C:$C,'01. TH'!N$4)</f>
        <v>0</v>
      </c>
      <c r="O189" s="1042">
        <f>COUNTIFS('TỔNG KLH + TN'!$B:$B,'01. TH'!$B189,'TỔNG KLH + TN'!$C:$C,'01. TH'!O$4)</f>
        <v>0</v>
      </c>
      <c r="P189" s="1042">
        <f>COUNTIFS('TỔNG KLH + TN'!$B:$B,'01. TH'!$B189,'TỔNG KLH + TN'!$C:$C,'01. TH'!P$4)</f>
        <v>0</v>
      </c>
      <c r="Q189" s="1042">
        <f>COUNTIFS('TỔNG KLH + TN'!$B:$B,'01. TH'!$B189,'TỔNG KLH + TN'!$C:$C,'01. TH'!Q$4)</f>
        <v>0</v>
      </c>
      <c r="R189" s="1042">
        <f>COUNTIFS('TỔNG KLH + TN'!$B:$B,'01. TH'!$B189,'TỔNG KLH + TN'!$C:$C,'01. TH'!R$4)</f>
        <v>0</v>
      </c>
      <c r="S189" s="1042">
        <f>COUNTIFS('TỔNG KLH + TN'!$B:$B,'01. TH'!$B189,'TỔNG KLH + TN'!$C:$C,'01. TH'!S$4)</f>
        <v>0</v>
      </c>
      <c r="T189" s="1042">
        <f>COUNTIFS('TỔNG KLH + TN'!$B:$B,'01. TH'!$B189,'TỔNG KLH + TN'!$C:$C,'01. TH'!T$4)</f>
        <v>0</v>
      </c>
      <c r="U189" s="1042">
        <f>COUNTIFS('TỔNG KLH + TN'!$B:$B,'01. TH'!$B189,'TỔNG KLH + TN'!$C:$C,'01. TH'!U$4)</f>
        <v>0</v>
      </c>
      <c r="V189" s="1042">
        <f>COUNTIFS('TỔNG KLH + TN'!$B:$B,'01. TH'!$B189,'TỔNG KLH + TN'!$C:$C,'01. TH'!V$4)</f>
        <v>0</v>
      </c>
      <c r="W189" s="1042">
        <f>COUNTIFS('TỔNG KLH + TN'!$B:$B,'01. TH'!$B189,'TỔNG KLH + TN'!$C:$C,'01. TH'!W$4)</f>
        <v>0</v>
      </c>
      <c r="X189" s="1042">
        <f>COUNTIFS('TỔNG KLH + TN'!$B:$B,'01. TH'!$B189,'TỔNG KLH + TN'!$C:$C,'01. TH'!X$4)</f>
        <v>0</v>
      </c>
      <c r="Y189" s="1042">
        <f>COUNTIFS('TỔNG KLH + TN'!$B:$B,'01. TH'!$B189,'TỔNG KLH + TN'!$C:$C,'01. TH'!Y$4)</f>
        <v>0</v>
      </c>
      <c r="Z189" s="1042">
        <f>COUNTIFS('TỔNG KLH + TN'!$B:$B,'01. TH'!$B189,'TỔNG KLH + TN'!$C:$C,'01. TH'!Z$4)</f>
        <v>0</v>
      </c>
      <c r="AA189" s="1042">
        <f>COUNTIFS('TỔNG KLH + TN'!$B:$B,'01. TH'!$B189,'TỔNG KLH + TN'!$C:$C,'01. TH'!AA$4)</f>
        <v>0</v>
      </c>
      <c r="AB189" s="1042">
        <f>COUNTIFS('TỔNG KLH + TN'!$B:$B,'01. TH'!$B189,'TỔNG KLH + TN'!$C:$C,'01. TH'!AB$4)</f>
        <v>0</v>
      </c>
      <c r="AC189" s="1042">
        <f>COUNTIFS('TỔNG KLH + TN'!$B:$B,'01. TH'!$B189,'TỔNG KLH + TN'!$C:$C,'01. TH'!AC$4)</f>
        <v>0</v>
      </c>
      <c r="AD189" s="1042">
        <f>COUNTIFS('TỔNG KLH + TN'!$B:$B,'01. TH'!$B189,'TỔNG KLH + TN'!$C:$C,'01. TH'!AD$4)</f>
        <v>0</v>
      </c>
      <c r="AE189" s="1045">
        <f t="shared" si="43"/>
        <v>0</v>
      </c>
      <c r="AF189" s="1045"/>
      <c r="AG189" s="1033" t="str">
        <f t="shared" si="23"/>
        <v>ok</v>
      </c>
      <c r="AH189" s="1046"/>
    </row>
    <row r="190" ht="18.75" hidden="1" customHeight="1" outlineLevel="1" spans="1:34">
      <c r="A190" s="1039"/>
      <c r="B190" s="1040" t="s">
        <v>285</v>
      </c>
      <c r="C190" s="1041" t="s">
        <v>286</v>
      </c>
      <c r="D190" s="1041" t="str">
        <f>IFERROR(VLOOKUP(B190,'Danh mục'!$G:$U,15,0),"")</f>
        <v/>
      </c>
      <c r="E190" s="1041" t="s">
        <v>273</v>
      </c>
      <c r="F190" s="1042">
        <f>COUNTIFS('TỔNG KLH + TN'!$B:$B,'01. TH'!$B190,'TỔNG KLH + TN'!$C:$C,'01. TH'!F$4)</f>
        <v>0</v>
      </c>
      <c r="G190" s="1042">
        <f>COUNTIFS('TỔNG KLH + TN'!$B:$B,'01. TH'!$B190,'TỔNG KLH + TN'!$C:$C,'01. TH'!G$4)</f>
        <v>0</v>
      </c>
      <c r="H190" s="1042">
        <f>COUNTIFS('TỔNG KLH + TN'!$B:$B,'01. TH'!$B190,'TỔNG KLH + TN'!$C:$C,'01. TH'!H$4)</f>
        <v>0</v>
      </c>
      <c r="I190" s="1042">
        <f>COUNTIFS('TỔNG KLH + TN'!$B:$B,'01. TH'!$B190,'TỔNG KLH + TN'!$C:$C,'01. TH'!I$4)</f>
        <v>0</v>
      </c>
      <c r="J190" s="1042">
        <f>COUNTIFS('TỔNG KLH + TN'!$B:$B,'01. TH'!$B190,'TỔNG KLH + TN'!$C:$C,'01. TH'!J$4)</f>
        <v>0</v>
      </c>
      <c r="K190" s="1042">
        <f>COUNTIFS('TỔNG KLH + TN'!$B:$B,'01. TH'!$B190,'TỔNG KLH + TN'!$C:$C,'01. TH'!K$4)</f>
        <v>0</v>
      </c>
      <c r="L190" s="1042">
        <f>COUNTIFS('TỔNG KLH + TN'!$B:$B,'01. TH'!$B190,'TỔNG KLH + TN'!$C:$C,'01. TH'!L$4)</f>
        <v>0</v>
      </c>
      <c r="M190" s="1042">
        <f>COUNTIFS('TỔNG KLH + TN'!$B:$B,'01. TH'!$B190,'TỔNG KLH + TN'!$C:$C,'01. TH'!M$4)</f>
        <v>0</v>
      </c>
      <c r="N190" s="1042">
        <f>COUNTIFS('TỔNG KLH + TN'!$B:$B,'01. TH'!$B190,'TỔNG KLH + TN'!$C:$C,'01. TH'!N$4)</f>
        <v>0</v>
      </c>
      <c r="O190" s="1042">
        <f>COUNTIFS('TỔNG KLH + TN'!$B:$B,'01. TH'!$B190,'TỔNG KLH + TN'!$C:$C,'01. TH'!O$4)</f>
        <v>0</v>
      </c>
      <c r="P190" s="1042">
        <f>COUNTIFS('TỔNG KLH + TN'!$B:$B,'01. TH'!$B190,'TỔNG KLH + TN'!$C:$C,'01. TH'!P$4)</f>
        <v>0</v>
      </c>
      <c r="Q190" s="1042">
        <f>COUNTIFS('TỔNG KLH + TN'!$B:$B,'01. TH'!$B190,'TỔNG KLH + TN'!$C:$C,'01. TH'!Q$4)</f>
        <v>0</v>
      </c>
      <c r="R190" s="1042">
        <f>COUNTIFS('TỔNG KLH + TN'!$B:$B,'01. TH'!$B190,'TỔNG KLH + TN'!$C:$C,'01. TH'!R$4)</f>
        <v>0</v>
      </c>
      <c r="S190" s="1042">
        <f>COUNTIFS('TỔNG KLH + TN'!$B:$B,'01. TH'!$B190,'TỔNG KLH + TN'!$C:$C,'01. TH'!S$4)</f>
        <v>0</v>
      </c>
      <c r="T190" s="1042">
        <f>COUNTIFS('TỔNG KLH + TN'!$B:$B,'01. TH'!$B190,'TỔNG KLH + TN'!$C:$C,'01. TH'!T$4)</f>
        <v>0</v>
      </c>
      <c r="U190" s="1042">
        <f>COUNTIFS('TỔNG KLH + TN'!$B:$B,'01. TH'!$B190,'TỔNG KLH + TN'!$C:$C,'01. TH'!U$4)</f>
        <v>0</v>
      </c>
      <c r="V190" s="1042">
        <f>COUNTIFS('TỔNG KLH + TN'!$B:$B,'01. TH'!$B190,'TỔNG KLH + TN'!$C:$C,'01. TH'!V$4)</f>
        <v>0</v>
      </c>
      <c r="W190" s="1042">
        <f>COUNTIFS('TỔNG KLH + TN'!$B:$B,'01. TH'!$B190,'TỔNG KLH + TN'!$C:$C,'01. TH'!W$4)</f>
        <v>0</v>
      </c>
      <c r="X190" s="1042">
        <f>COUNTIFS('TỔNG KLH + TN'!$B:$B,'01. TH'!$B190,'TỔNG KLH + TN'!$C:$C,'01. TH'!X$4)</f>
        <v>0</v>
      </c>
      <c r="Y190" s="1042">
        <f>COUNTIFS('TỔNG KLH + TN'!$B:$B,'01. TH'!$B190,'TỔNG KLH + TN'!$C:$C,'01. TH'!Y$4)</f>
        <v>0</v>
      </c>
      <c r="Z190" s="1042">
        <f>COUNTIFS('TỔNG KLH + TN'!$B:$B,'01. TH'!$B190,'TỔNG KLH + TN'!$C:$C,'01. TH'!Z$4)</f>
        <v>0</v>
      </c>
      <c r="AA190" s="1042">
        <f>COUNTIFS('TỔNG KLH + TN'!$B:$B,'01. TH'!$B190,'TỔNG KLH + TN'!$C:$C,'01. TH'!AA$4)</f>
        <v>0</v>
      </c>
      <c r="AB190" s="1042">
        <f>COUNTIFS('TỔNG KLH + TN'!$B:$B,'01. TH'!$B190,'TỔNG KLH + TN'!$C:$C,'01. TH'!AB$4)</f>
        <v>0</v>
      </c>
      <c r="AC190" s="1042">
        <f>COUNTIFS('TỔNG KLH + TN'!$B:$B,'01. TH'!$B190,'TỔNG KLH + TN'!$C:$C,'01. TH'!AC$4)</f>
        <v>0</v>
      </c>
      <c r="AD190" s="1042">
        <f>COUNTIFS('TỔNG KLH + TN'!$B:$B,'01. TH'!$B190,'TỔNG KLH + TN'!$C:$C,'01. TH'!AD$4)</f>
        <v>0</v>
      </c>
      <c r="AE190" s="1043">
        <f t="shared" si="43"/>
        <v>0</v>
      </c>
      <c r="AF190" s="1043"/>
      <c r="AG190" s="1033" t="str">
        <f t="shared" si="23"/>
        <v>ok</v>
      </c>
      <c r="AH190" s="1041"/>
    </row>
    <row r="191" ht="18.75" hidden="1" customHeight="1" outlineLevel="1" spans="1:34">
      <c r="A191" s="1049"/>
      <c r="B191" s="1040" t="s">
        <v>287</v>
      </c>
      <c r="C191" s="1041" t="s">
        <v>219</v>
      </c>
      <c r="D191" s="1041" t="str">
        <f>IFERROR(VLOOKUP(B191,'Danh mục'!$G:$U,15,0),"")</f>
        <v/>
      </c>
      <c r="E191" s="1041" t="s">
        <v>273</v>
      </c>
      <c r="F191" s="1042">
        <f>COUNTIFS('TỔNG KLH + TN'!$B:$B,'01. TH'!$B191,'TỔNG KLH + TN'!$C:$C,'01. TH'!F$4)</f>
        <v>0</v>
      </c>
      <c r="G191" s="1042">
        <f>COUNTIFS('TỔNG KLH + TN'!$B:$B,'01. TH'!$B191,'TỔNG KLH + TN'!$C:$C,'01. TH'!G$4)</f>
        <v>0</v>
      </c>
      <c r="H191" s="1042">
        <f>COUNTIFS('TỔNG KLH + TN'!$B:$B,'01. TH'!$B191,'TỔNG KLH + TN'!$C:$C,'01. TH'!H$4)</f>
        <v>0</v>
      </c>
      <c r="I191" s="1042">
        <f>COUNTIFS('TỔNG KLH + TN'!$B:$B,'01. TH'!$B191,'TỔNG KLH + TN'!$C:$C,'01. TH'!I$4)</f>
        <v>0</v>
      </c>
      <c r="J191" s="1042">
        <f>COUNTIFS('TỔNG KLH + TN'!$B:$B,'01. TH'!$B191,'TỔNG KLH + TN'!$C:$C,'01. TH'!J$4)</f>
        <v>0</v>
      </c>
      <c r="K191" s="1042">
        <f>COUNTIFS('TỔNG KLH + TN'!$B:$B,'01. TH'!$B191,'TỔNG KLH + TN'!$C:$C,'01. TH'!K$4)</f>
        <v>0</v>
      </c>
      <c r="L191" s="1042">
        <f>COUNTIFS('TỔNG KLH + TN'!$B:$B,'01. TH'!$B191,'TỔNG KLH + TN'!$C:$C,'01. TH'!L$4)</f>
        <v>0</v>
      </c>
      <c r="M191" s="1042">
        <f>COUNTIFS('TỔNG KLH + TN'!$B:$B,'01. TH'!$B191,'TỔNG KLH + TN'!$C:$C,'01. TH'!M$4)</f>
        <v>0</v>
      </c>
      <c r="N191" s="1042">
        <f>COUNTIFS('TỔNG KLH + TN'!$B:$B,'01. TH'!$B191,'TỔNG KLH + TN'!$C:$C,'01. TH'!N$4)</f>
        <v>0</v>
      </c>
      <c r="O191" s="1042">
        <f>COUNTIFS('TỔNG KLH + TN'!$B:$B,'01. TH'!$B191,'TỔNG KLH + TN'!$C:$C,'01. TH'!O$4)</f>
        <v>0</v>
      </c>
      <c r="P191" s="1042">
        <f>COUNTIFS('TỔNG KLH + TN'!$B:$B,'01. TH'!$B191,'TỔNG KLH + TN'!$C:$C,'01. TH'!P$4)</f>
        <v>0</v>
      </c>
      <c r="Q191" s="1042">
        <f>COUNTIFS('TỔNG KLH + TN'!$B:$B,'01. TH'!$B191,'TỔNG KLH + TN'!$C:$C,'01. TH'!Q$4)</f>
        <v>0</v>
      </c>
      <c r="R191" s="1042">
        <f>COUNTIFS('TỔNG KLH + TN'!$B:$B,'01. TH'!$B191,'TỔNG KLH + TN'!$C:$C,'01. TH'!R$4)</f>
        <v>0</v>
      </c>
      <c r="S191" s="1042">
        <f>COUNTIFS('TỔNG KLH + TN'!$B:$B,'01. TH'!$B191,'TỔNG KLH + TN'!$C:$C,'01. TH'!S$4)</f>
        <v>0</v>
      </c>
      <c r="T191" s="1042">
        <f>COUNTIFS('TỔNG KLH + TN'!$B:$B,'01. TH'!$B191,'TỔNG KLH + TN'!$C:$C,'01. TH'!T$4)</f>
        <v>0</v>
      </c>
      <c r="U191" s="1042">
        <f>COUNTIFS('TỔNG KLH + TN'!$B:$B,'01. TH'!$B191,'TỔNG KLH + TN'!$C:$C,'01. TH'!U$4)</f>
        <v>0</v>
      </c>
      <c r="V191" s="1042">
        <f>COUNTIFS('TỔNG KLH + TN'!$B:$B,'01. TH'!$B191,'TỔNG KLH + TN'!$C:$C,'01. TH'!V$4)</f>
        <v>0</v>
      </c>
      <c r="W191" s="1042">
        <f>COUNTIFS('TỔNG KLH + TN'!$B:$B,'01. TH'!$B191,'TỔNG KLH + TN'!$C:$C,'01. TH'!W$4)</f>
        <v>0</v>
      </c>
      <c r="X191" s="1042">
        <f>COUNTIFS('TỔNG KLH + TN'!$B:$B,'01. TH'!$B191,'TỔNG KLH + TN'!$C:$C,'01. TH'!X$4)</f>
        <v>0</v>
      </c>
      <c r="Y191" s="1042">
        <f>COUNTIFS('TỔNG KLH + TN'!$B:$B,'01. TH'!$B191,'TỔNG KLH + TN'!$C:$C,'01. TH'!Y$4)</f>
        <v>0</v>
      </c>
      <c r="Z191" s="1042">
        <f>COUNTIFS('TỔNG KLH + TN'!$B:$B,'01. TH'!$B191,'TỔNG KLH + TN'!$C:$C,'01. TH'!Z$4)</f>
        <v>0</v>
      </c>
      <c r="AA191" s="1042">
        <f>COUNTIFS('TỔNG KLH + TN'!$B:$B,'01. TH'!$B191,'TỔNG KLH + TN'!$C:$C,'01. TH'!AA$4)</f>
        <v>0</v>
      </c>
      <c r="AB191" s="1042">
        <f>COUNTIFS('TỔNG KLH + TN'!$B:$B,'01. TH'!$B191,'TỔNG KLH + TN'!$C:$C,'01. TH'!AB$4)</f>
        <v>0</v>
      </c>
      <c r="AC191" s="1042">
        <f>COUNTIFS('TỔNG KLH + TN'!$B:$B,'01. TH'!$B191,'TỔNG KLH + TN'!$C:$C,'01. TH'!AC$4)</f>
        <v>0</v>
      </c>
      <c r="AD191" s="1042">
        <f>COUNTIFS('TỔNG KLH + TN'!$B:$B,'01. TH'!$B191,'TỔNG KLH + TN'!$C:$C,'01. TH'!AD$4)</f>
        <v>0</v>
      </c>
      <c r="AE191" s="1045">
        <f t="shared" si="43"/>
        <v>0</v>
      </c>
      <c r="AF191" s="1045"/>
      <c r="AG191" s="1033" t="str">
        <f t="shared" si="23"/>
        <v>ok</v>
      </c>
      <c r="AH191" s="1049"/>
    </row>
    <row r="192" ht="18.75" hidden="1" customHeight="1" outlineLevel="1" spans="1:34">
      <c r="A192" s="1044"/>
      <c r="B192" s="1040" t="s">
        <v>288</v>
      </c>
      <c r="C192" s="1041" t="s">
        <v>272</v>
      </c>
      <c r="D192" s="1041" t="str">
        <f>IFERROR(VLOOKUP(B192,'Danh mục'!$G:$U,15,0),"")</f>
        <v>3300 x 1300 x 1600</v>
      </c>
      <c r="E192" s="1041" t="s">
        <v>273</v>
      </c>
      <c r="F192" s="1042">
        <f>COUNTIFS('TỔNG KLH + TN'!$B:$B,'01. TH'!$B192,'TỔNG KLH + TN'!$C:$C,'01. TH'!F$4)</f>
        <v>0</v>
      </c>
      <c r="G192" s="1042">
        <f>COUNTIFS('TỔNG KLH + TN'!$B:$B,'01. TH'!$B192,'TỔNG KLH + TN'!$C:$C,'01. TH'!G$4)</f>
        <v>0</v>
      </c>
      <c r="H192" s="1042">
        <f>COUNTIFS('TỔNG KLH + TN'!$B:$B,'01. TH'!$B192,'TỔNG KLH + TN'!$C:$C,'01. TH'!H$4)</f>
        <v>0</v>
      </c>
      <c r="I192" s="1042">
        <f>COUNTIFS('TỔNG KLH + TN'!$B:$B,'01. TH'!$B192,'TỔNG KLH + TN'!$C:$C,'01. TH'!I$4)</f>
        <v>0</v>
      </c>
      <c r="J192" s="1042">
        <f>COUNTIFS('TỔNG KLH + TN'!$B:$B,'01. TH'!$B192,'TỔNG KLH + TN'!$C:$C,'01. TH'!J$4)</f>
        <v>0</v>
      </c>
      <c r="K192" s="1042">
        <f>COUNTIFS('TỔNG KLH + TN'!$B:$B,'01. TH'!$B192,'TỔNG KLH + TN'!$C:$C,'01. TH'!K$4)</f>
        <v>0</v>
      </c>
      <c r="L192" s="1042">
        <f>COUNTIFS('TỔNG KLH + TN'!$B:$B,'01. TH'!$B192,'TỔNG KLH + TN'!$C:$C,'01. TH'!L$4)</f>
        <v>0</v>
      </c>
      <c r="M192" s="1042">
        <f>COUNTIFS('TỔNG KLH + TN'!$B:$B,'01. TH'!$B192,'TỔNG KLH + TN'!$C:$C,'01. TH'!M$4)</f>
        <v>0</v>
      </c>
      <c r="N192" s="1042">
        <f>COUNTIFS('TỔNG KLH + TN'!$B:$B,'01. TH'!$B192,'TỔNG KLH + TN'!$C:$C,'01. TH'!N$4)</f>
        <v>0</v>
      </c>
      <c r="O192" s="1042">
        <f>COUNTIFS('TỔNG KLH + TN'!$B:$B,'01. TH'!$B192,'TỔNG KLH + TN'!$C:$C,'01. TH'!O$4)</f>
        <v>0</v>
      </c>
      <c r="P192" s="1042">
        <f>COUNTIFS('TỔNG KLH + TN'!$B:$B,'01. TH'!$B192,'TỔNG KLH + TN'!$C:$C,'01. TH'!P$4)</f>
        <v>0</v>
      </c>
      <c r="Q192" s="1042">
        <f>COUNTIFS('TỔNG KLH + TN'!$B:$B,'01. TH'!$B192,'TỔNG KLH + TN'!$C:$C,'01. TH'!Q$4)</f>
        <v>0</v>
      </c>
      <c r="R192" s="1042">
        <f>COUNTIFS('TỔNG KLH + TN'!$B:$B,'01. TH'!$B192,'TỔNG KLH + TN'!$C:$C,'01. TH'!R$4)</f>
        <v>0</v>
      </c>
      <c r="S192" s="1042">
        <f>COUNTIFS('TỔNG KLH + TN'!$B:$B,'01. TH'!$B192,'TỔNG KLH + TN'!$C:$C,'01. TH'!S$4)</f>
        <v>0</v>
      </c>
      <c r="T192" s="1042">
        <f>COUNTIFS('TỔNG KLH + TN'!$B:$B,'01. TH'!$B192,'TỔNG KLH + TN'!$C:$C,'01. TH'!T$4)</f>
        <v>0</v>
      </c>
      <c r="U192" s="1042">
        <f>COUNTIFS('TỔNG KLH + TN'!$B:$B,'01. TH'!$B192,'TỔNG KLH + TN'!$C:$C,'01. TH'!U$4)</f>
        <v>0</v>
      </c>
      <c r="V192" s="1042">
        <f>COUNTIFS('TỔNG KLH + TN'!$B:$B,'01. TH'!$B192,'TỔNG KLH + TN'!$C:$C,'01. TH'!V$4)</f>
        <v>3</v>
      </c>
      <c r="W192" s="1042">
        <f>COUNTIFS('TỔNG KLH + TN'!$B:$B,'01. TH'!$B192,'TỔNG KLH + TN'!$C:$C,'01. TH'!W$4)</f>
        <v>0</v>
      </c>
      <c r="X192" s="1042">
        <f>COUNTIFS('TỔNG KLH + TN'!$B:$B,'01. TH'!$B192,'TỔNG KLH + TN'!$C:$C,'01. TH'!X$4)</f>
        <v>0</v>
      </c>
      <c r="Y192" s="1042">
        <f>COUNTIFS('TỔNG KLH + TN'!$B:$B,'01. TH'!$B192,'TỔNG KLH + TN'!$C:$C,'01. TH'!Y$4)</f>
        <v>3</v>
      </c>
      <c r="Z192" s="1042">
        <f>COUNTIFS('TỔNG KLH + TN'!$B:$B,'01. TH'!$B192,'TỔNG KLH + TN'!$C:$C,'01. TH'!Z$4)</f>
        <v>0</v>
      </c>
      <c r="AA192" s="1042">
        <f>COUNTIFS('TỔNG KLH + TN'!$B:$B,'01. TH'!$B192,'TỔNG KLH + TN'!$C:$C,'01. TH'!AA$4)</f>
        <v>0</v>
      </c>
      <c r="AB192" s="1042">
        <f>COUNTIFS('TỔNG KLH + TN'!$B:$B,'01. TH'!$B192,'TỔNG KLH + TN'!$C:$C,'01. TH'!AB$4)</f>
        <v>9</v>
      </c>
      <c r="AC192" s="1042">
        <f>COUNTIFS('TỔNG KLH + TN'!$B:$B,'01. TH'!$B192,'TỔNG KLH + TN'!$C:$C,'01. TH'!AC$4)</f>
        <v>0</v>
      </c>
      <c r="AD192" s="1042">
        <f>COUNTIFS('TỔNG KLH + TN'!$B:$B,'01. TH'!$B192,'TỔNG KLH + TN'!$C:$C,'01. TH'!AD$4)</f>
        <v>0</v>
      </c>
      <c r="AE192" s="1045">
        <f t="shared" si="43"/>
        <v>15</v>
      </c>
      <c r="AF192" s="1045"/>
      <c r="AG192" s="1033" t="str">
        <f t="shared" si="23"/>
        <v>ok</v>
      </c>
      <c r="AH192" s="1046"/>
    </row>
    <row r="193" ht="18.75" hidden="1" customHeight="1" outlineLevel="1" spans="1:34">
      <c r="A193" s="1039"/>
      <c r="B193" s="1040" t="s">
        <v>289</v>
      </c>
      <c r="C193" s="1041" t="s">
        <v>290</v>
      </c>
      <c r="D193" s="1041" t="s">
        <v>291</v>
      </c>
      <c r="E193" s="1041" t="s">
        <v>273</v>
      </c>
      <c r="F193" s="1042">
        <f>COUNTIFS('TỔNG KLH + TN'!$B:$B,'01. TH'!$B193,'TỔNG KLH + TN'!$C:$C,'01. TH'!F$4)</f>
        <v>0</v>
      </c>
      <c r="G193" s="1042">
        <f>COUNTIFS('TỔNG KLH + TN'!$B:$B,'01. TH'!$B193,'TỔNG KLH + TN'!$C:$C,'01. TH'!G$4)</f>
        <v>0</v>
      </c>
      <c r="H193" s="1042">
        <f>COUNTIFS('TỔNG KLH + TN'!$B:$B,'01. TH'!$B193,'TỔNG KLH + TN'!$C:$C,'01. TH'!H$4)</f>
        <v>0</v>
      </c>
      <c r="I193" s="1042">
        <f>COUNTIFS('TỔNG KLH + TN'!$B:$B,'01. TH'!$B193,'TỔNG KLH + TN'!$C:$C,'01. TH'!I$4)</f>
        <v>0</v>
      </c>
      <c r="J193" s="1042">
        <f>COUNTIFS('TỔNG KLH + TN'!$B:$B,'01. TH'!$B193,'TỔNG KLH + TN'!$C:$C,'01. TH'!J$4)</f>
        <v>0</v>
      </c>
      <c r="K193" s="1042">
        <f>COUNTIFS('TỔNG KLH + TN'!$B:$B,'01. TH'!$B193,'TỔNG KLH + TN'!$C:$C,'01. TH'!K$4)</f>
        <v>0</v>
      </c>
      <c r="L193" s="1042">
        <f>COUNTIFS('TỔNG KLH + TN'!$B:$B,'01. TH'!$B193,'TỔNG KLH + TN'!$C:$C,'01. TH'!L$4)</f>
        <v>0</v>
      </c>
      <c r="M193" s="1042">
        <f>COUNTIFS('TỔNG KLH + TN'!$B:$B,'01. TH'!$B193,'TỔNG KLH + TN'!$C:$C,'01. TH'!M$4)</f>
        <v>0</v>
      </c>
      <c r="N193" s="1042">
        <f>COUNTIFS('TỔNG KLH + TN'!$B:$B,'01. TH'!$B193,'TỔNG KLH + TN'!$C:$C,'01. TH'!N$4)</f>
        <v>0</v>
      </c>
      <c r="O193" s="1042">
        <f>COUNTIFS('TỔNG KLH + TN'!$B:$B,'01. TH'!$B193,'TỔNG KLH + TN'!$C:$C,'01. TH'!O$4)</f>
        <v>0</v>
      </c>
      <c r="P193" s="1042">
        <f>COUNTIFS('TỔNG KLH + TN'!$B:$B,'01. TH'!$B193,'TỔNG KLH + TN'!$C:$C,'01. TH'!P$4)</f>
        <v>0</v>
      </c>
      <c r="Q193" s="1042">
        <f>COUNTIFS('TỔNG KLH + TN'!$B:$B,'01. TH'!$B193,'TỔNG KLH + TN'!$C:$C,'01. TH'!Q$4)</f>
        <v>0</v>
      </c>
      <c r="R193" s="1042">
        <f>COUNTIFS('TỔNG KLH + TN'!$B:$B,'01. TH'!$B193,'TỔNG KLH + TN'!$C:$C,'01. TH'!R$4)</f>
        <v>0</v>
      </c>
      <c r="S193" s="1042">
        <f>COUNTIFS('TỔNG KLH + TN'!$B:$B,'01. TH'!$B193,'TỔNG KLH + TN'!$C:$C,'01. TH'!S$4)</f>
        <v>0</v>
      </c>
      <c r="T193" s="1042">
        <f>COUNTIFS('TỔNG KLH + TN'!$B:$B,'01. TH'!$B193,'TỔNG KLH + TN'!$C:$C,'01. TH'!T$4)</f>
        <v>0</v>
      </c>
      <c r="U193" s="1042">
        <f>COUNTIFS('TỔNG KLH + TN'!$B:$B,'01. TH'!$B193,'TỔNG KLH + TN'!$C:$C,'01. TH'!U$4)</f>
        <v>0</v>
      </c>
      <c r="V193" s="1042">
        <f>COUNTIFS('TỔNG KLH + TN'!$B:$B,'01. TH'!$B193,'TỔNG KLH + TN'!$C:$C,'01. TH'!V$4)</f>
        <v>0</v>
      </c>
      <c r="W193" s="1042">
        <f>COUNTIFS('TỔNG KLH + TN'!$B:$B,'01. TH'!$B193,'TỔNG KLH + TN'!$C:$C,'01. TH'!W$4)</f>
        <v>0</v>
      </c>
      <c r="X193" s="1042">
        <f>COUNTIFS('TỔNG KLH + TN'!$B:$B,'01. TH'!$B193,'TỔNG KLH + TN'!$C:$C,'01. TH'!X$4)</f>
        <v>0</v>
      </c>
      <c r="Y193" s="1042">
        <f>COUNTIFS('TỔNG KLH + TN'!$B:$B,'01. TH'!$B193,'TỔNG KLH + TN'!$C:$C,'01. TH'!Y$4)</f>
        <v>0</v>
      </c>
      <c r="Z193" s="1042">
        <f>COUNTIFS('TỔNG KLH + TN'!$B:$B,'01. TH'!$B193,'TỔNG KLH + TN'!$C:$C,'01. TH'!Z$4)</f>
        <v>0</v>
      </c>
      <c r="AA193" s="1042">
        <f>COUNTIFS('TỔNG KLH + TN'!$B:$B,'01. TH'!$B193,'TỔNG KLH + TN'!$C:$C,'01. TH'!AA$4)</f>
        <v>0</v>
      </c>
      <c r="AB193" s="1042">
        <f>COUNTIFS('TỔNG KLH + TN'!$B:$B,'01. TH'!$B193,'TỔNG KLH + TN'!$C:$C,'01. TH'!AB$4)</f>
        <v>0</v>
      </c>
      <c r="AC193" s="1042">
        <f>COUNTIFS('TỔNG KLH + TN'!$B:$B,'01. TH'!$B193,'TỔNG KLH + TN'!$C:$C,'01. TH'!AC$4)</f>
        <v>4</v>
      </c>
      <c r="AD193" s="1042">
        <f>COUNTIFS('TỔNG KLH + TN'!$B:$B,'01. TH'!$B193,'TỔNG KLH + TN'!$C:$C,'01. TH'!AD$4)</f>
        <v>0</v>
      </c>
      <c r="AE193" s="1043">
        <f t="shared" si="43"/>
        <v>4</v>
      </c>
      <c r="AF193" s="1043"/>
      <c r="AG193" s="1033" t="str">
        <f t="shared" si="23"/>
        <v>ok</v>
      </c>
      <c r="AH193" s="1041"/>
    </row>
    <row r="194" ht="18.75" hidden="1" customHeight="1" outlineLevel="1" spans="1:34">
      <c r="A194" s="1039"/>
      <c r="B194" s="1040" t="s">
        <v>292</v>
      </c>
      <c r="C194" s="1041" t="s">
        <v>290</v>
      </c>
      <c r="D194" s="1041" t="s">
        <v>291</v>
      </c>
      <c r="E194" s="1041" t="s">
        <v>273</v>
      </c>
      <c r="F194" s="1042">
        <f>COUNTIFS('TỔNG KLH + TN'!$B:$B,'01. TH'!$B194,'TỔNG KLH + TN'!$C:$C,'01. TH'!F$4)</f>
        <v>0</v>
      </c>
      <c r="G194" s="1042">
        <f>COUNTIFS('TỔNG KLH + TN'!$B:$B,'01. TH'!$B194,'TỔNG KLH + TN'!$C:$C,'01. TH'!G$4)</f>
        <v>0</v>
      </c>
      <c r="H194" s="1042">
        <f>COUNTIFS('TỔNG KLH + TN'!$B:$B,'01. TH'!$B194,'TỔNG KLH + TN'!$C:$C,'01. TH'!H$4)</f>
        <v>0</v>
      </c>
      <c r="I194" s="1042">
        <f>COUNTIFS('TỔNG KLH + TN'!$B:$B,'01. TH'!$B194,'TỔNG KLH + TN'!$C:$C,'01. TH'!I$4)</f>
        <v>0</v>
      </c>
      <c r="J194" s="1042">
        <f>COUNTIFS('TỔNG KLH + TN'!$B:$B,'01. TH'!$B194,'TỔNG KLH + TN'!$C:$C,'01. TH'!J$4)</f>
        <v>0</v>
      </c>
      <c r="K194" s="1042">
        <f>COUNTIFS('TỔNG KLH + TN'!$B:$B,'01. TH'!$B194,'TỔNG KLH + TN'!$C:$C,'01. TH'!K$4)</f>
        <v>0</v>
      </c>
      <c r="L194" s="1042">
        <f>COUNTIFS('TỔNG KLH + TN'!$B:$B,'01. TH'!$B194,'TỔNG KLH + TN'!$C:$C,'01. TH'!L$4)</f>
        <v>0</v>
      </c>
      <c r="M194" s="1042">
        <f>COUNTIFS('TỔNG KLH + TN'!$B:$B,'01. TH'!$B194,'TỔNG KLH + TN'!$C:$C,'01. TH'!M$4)</f>
        <v>0</v>
      </c>
      <c r="N194" s="1042">
        <f>COUNTIFS('TỔNG KLH + TN'!$B:$B,'01. TH'!$B194,'TỔNG KLH + TN'!$C:$C,'01. TH'!N$4)</f>
        <v>0</v>
      </c>
      <c r="O194" s="1042">
        <f>COUNTIFS('TỔNG KLH + TN'!$B:$B,'01. TH'!$B194,'TỔNG KLH + TN'!$C:$C,'01. TH'!O$4)</f>
        <v>0</v>
      </c>
      <c r="P194" s="1042">
        <f>COUNTIFS('TỔNG KLH + TN'!$B:$B,'01. TH'!$B194,'TỔNG KLH + TN'!$C:$C,'01. TH'!P$4)</f>
        <v>0</v>
      </c>
      <c r="Q194" s="1042">
        <f>COUNTIFS('TỔNG KLH + TN'!$B:$B,'01. TH'!$B194,'TỔNG KLH + TN'!$C:$C,'01. TH'!Q$4)</f>
        <v>0</v>
      </c>
      <c r="R194" s="1042">
        <f>COUNTIFS('TỔNG KLH + TN'!$B:$B,'01. TH'!$B194,'TỔNG KLH + TN'!$C:$C,'01. TH'!R$4)</f>
        <v>0</v>
      </c>
      <c r="S194" s="1042">
        <f>COUNTIFS('TỔNG KLH + TN'!$B:$B,'01. TH'!$B194,'TỔNG KLH + TN'!$C:$C,'01. TH'!S$4)</f>
        <v>0</v>
      </c>
      <c r="T194" s="1042">
        <f>COUNTIFS('TỔNG KLH + TN'!$B:$B,'01. TH'!$B194,'TỔNG KLH + TN'!$C:$C,'01. TH'!T$4)</f>
        <v>0</v>
      </c>
      <c r="U194" s="1042">
        <f>COUNTIFS('TỔNG KLH + TN'!$B:$B,'01. TH'!$B194,'TỔNG KLH + TN'!$C:$C,'01. TH'!U$4)</f>
        <v>0</v>
      </c>
      <c r="V194" s="1042">
        <f>COUNTIFS('TỔNG KLH + TN'!$B:$B,'01. TH'!$B194,'TỔNG KLH + TN'!$C:$C,'01. TH'!V$4)</f>
        <v>0</v>
      </c>
      <c r="W194" s="1042">
        <f>COUNTIFS('TỔNG KLH + TN'!$B:$B,'01. TH'!$B194,'TỔNG KLH + TN'!$C:$C,'01. TH'!W$4)</f>
        <v>0</v>
      </c>
      <c r="X194" s="1042">
        <f>COUNTIFS('TỔNG KLH + TN'!$B:$B,'01. TH'!$B194,'TỔNG KLH + TN'!$C:$C,'01. TH'!X$4)</f>
        <v>0</v>
      </c>
      <c r="Y194" s="1042">
        <f>COUNTIFS('TỔNG KLH + TN'!$B:$B,'01. TH'!$B194,'TỔNG KLH + TN'!$C:$C,'01. TH'!Y$4)</f>
        <v>0</v>
      </c>
      <c r="Z194" s="1042">
        <f>COUNTIFS('TỔNG KLH + TN'!$B:$B,'01. TH'!$B194,'TỔNG KLH + TN'!$C:$C,'01. TH'!Z$4)</f>
        <v>0</v>
      </c>
      <c r="AA194" s="1042">
        <f>COUNTIFS('TỔNG KLH + TN'!$B:$B,'01. TH'!$B194,'TỔNG KLH + TN'!$C:$C,'01. TH'!AA$4)</f>
        <v>0</v>
      </c>
      <c r="AB194" s="1042">
        <f>COUNTIFS('TỔNG KLH + TN'!$B:$B,'01. TH'!$B194,'TỔNG KLH + TN'!$C:$C,'01. TH'!AB$4)</f>
        <v>0</v>
      </c>
      <c r="AC194" s="1042">
        <f>COUNTIFS('TỔNG KLH + TN'!$B:$B,'01. TH'!$B194,'TỔNG KLH + TN'!$C:$C,'01. TH'!AC$4)</f>
        <v>0</v>
      </c>
      <c r="AD194" s="1042">
        <f>COUNTIFS('TỔNG KLH + TN'!$B:$B,'01. TH'!$B194,'TỔNG KLH + TN'!$C:$C,'01. TH'!AD$4)</f>
        <v>0</v>
      </c>
      <c r="AE194" s="1043">
        <f t="shared" si="43"/>
        <v>0</v>
      </c>
      <c r="AF194" s="1043"/>
      <c r="AG194" s="1033" t="str">
        <f t="shared" si="23"/>
        <v>ok</v>
      </c>
      <c r="AH194" s="1041"/>
    </row>
    <row r="195" ht="18.75" hidden="1" customHeight="1" outlineLevel="1" spans="1:34">
      <c r="A195" s="1044"/>
      <c r="B195" s="1054" t="s">
        <v>293</v>
      </c>
      <c r="C195" s="1041" t="s">
        <v>290</v>
      </c>
      <c r="D195" s="1041"/>
      <c r="E195" s="1041" t="s">
        <v>273</v>
      </c>
      <c r="F195" s="1042">
        <f>COUNTIFS('TỔNG KLH + TN'!$B:$B,'01. TH'!$B195,'TỔNG KLH + TN'!$C:$C,'01. TH'!F$4)</f>
        <v>0</v>
      </c>
      <c r="G195" s="1042">
        <f>COUNTIFS('TỔNG KLH + TN'!$B:$B,'01. TH'!$B195,'TỔNG KLH + TN'!$C:$C,'01. TH'!G$4)</f>
        <v>0</v>
      </c>
      <c r="H195" s="1042">
        <f>COUNTIFS('TỔNG KLH + TN'!$B:$B,'01. TH'!$B195,'TỔNG KLH + TN'!$C:$C,'01. TH'!H$4)</f>
        <v>0</v>
      </c>
      <c r="I195" s="1042">
        <f>COUNTIFS('TỔNG KLH + TN'!$B:$B,'01. TH'!$B195,'TỔNG KLH + TN'!$C:$C,'01. TH'!I$4)</f>
        <v>0</v>
      </c>
      <c r="J195" s="1042">
        <f>COUNTIFS('TỔNG KLH + TN'!$B:$B,'01. TH'!$B195,'TỔNG KLH + TN'!$C:$C,'01. TH'!J$4)</f>
        <v>0</v>
      </c>
      <c r="K195" s="1042">
        <f>COUNTIFS('TỔNG KLH + TN'!$B:$B,'01. TH'!$B195,'TỔNG KLH + TN'!$C:$C,'01. TH'!K$4)</f>
        <v>0</v>
      </c>
      <c r="L195" s="1042">
        <f>COUNTIFS('TỔNG KLH + TN'!$B:$B,'01. TH'!$B195,'TỔNG KLH + TN'!$C:$C,'01. TH'!L$4)</f>
        <v>0</v>
      </c>
      <c r="M195" s="1042">
        <f>COUNTIFS('TỔNG KLH + TN'!$B:$B,'01. TH'!$B195,'TỔNG KLH + TN'!$C:$C,'01. TH'!M$4)</f>
        <v>0</v>
      </c>
      <c r="N195" s="1042">
        <f>COUNTIFS('TỔNG KLH + TN'!$B:$B,'01. TH'!$B195,'TỔNG KLH + TN'!$C:$C,'01. TH'!N$4)</f>
        <v>0</v>
      </c>
      <c r="O195" s="1042">
        <f>COUNTIFS('TỔNG KLH + TN'!$B:$B,'01. TH'!$B195,'TỔNG KLH + TN'!$C:$C,'01. TH'!O$4)</f>
        <v>0</v>
      </c>
      <c r="P195" s="1042">
        <f>COUNTIFS('TỔNG KLH + TN'!$B:$B,'01. TH'!$B195,'TỔNG KLH + TN'!$C:$C,'01. TH'!P$4)</f>
        <v>0</v>
      </c>
      <c r="Q195" s="1042">
        <f>COUNTIFS('TỔNG KLH + TN'!$B:$B,'01. TH'!$B195,'TỔNG KLH + TN'!$C:$C,'01. TH'!Q$4)</f>
        <v>0</v>
      </c>
      <c r="R195" s="1042">
        <f>COUNTIFS('TỔNG KLH + TN'!$B:$B,'01. TH'!$B195,'TỔNG KLH + TN'!$C:$C,'01. TH'!R$4)</f>
        <v>0</v>
      </c>
      <c r="S195" s="1042">
        <f>COUNTIFS('TỔNG KLH + TN'!$B:$B,'01. TH'!$B195,'TỔNG KLH + TN'!$C:$C,'01. TH'!S$4)</f>
        <v>0</v>
      </c>
      <c r="T195" s="1042">
        <f>COUNTIFS('TỔNG KLH + TN'!$B:$B,'01. TH'!$B195,'TỔNG KLH + TN'!$C:$C,'01. TH'!T$4)</f>
        <v>0</v>
      </c>
      <c r="U195" s="1042">
        <f>COUNTIFS('TỔNG KLH + TN'!$B:$B,'01. TH'!$B195,'TỔNG KLH + TN'!$C:$C,'01. TH'!U$4)</f>
        <v>0</v>
      </c>
      <c r="V195" s="1042">
        <f>COUNTIFS('TỔNG KLH + TN'!$B:$B,'01. TH'!$B195,'TỔNG KLH + TN'!$C:$C,'01. TH'!V$4)</f>
        <v>0</v>
      </c>
      <c r="W195" s="1042">
        <f>COUNTIFS('TỔNG KLH + TN'!$B:$B,'01. TH'!$B195,'TỔNG KLH + TN'!$C:$C,'01. TH'!W$4)</f>
        <v>0</v>
      </c>
      <c r="X195" s="1042">
        <f>COUNTIFS('TỔNG KLH + TN'!$B:$B,'01. TH'!$B195,'TỔNG KLH + TN'!$C:$C,'01. TH'!X$4)</f>
        <v>0</v>
      </c>
      <c r="Y195" s="1042">
        <f>COUNTIFS('TỔNG KLH + TN'!$B:$B,'01. TH'!$B195,'TỔNG KLH + TN'!$C:$C,'01. TH'!Y$4)</f>
        <v>0</v>
      </c>
      <c r="Z195" s="1042">
        <f>COUNTIFS('TỔNG KLH + TN'!$B:$B,'01. TH'!$B195,'TỔNG KLH + TN'!$C:$C,'01. TH'!Z$4)</f>
        <v>0</v>
      </c>
      <c r="AA195" s="1042">
        <f>COUNTIFS('TỔNG KLH + TN'!$B:$B,'01. TH'!$B195,'TỔNG KLH + TN'!$C:$C,'01. TH'!AA$4)</f>
        <v>0</v>
      </c>
      <c r="AB195" s="1042">
        <f>COUNTIFS('TỔNG KLH + TN'!$B:$B,'01. TH'!$B195,'TỔNG KLH + TN'!$C:$C,'01. TH'!AB$4)</f>
        <v>0</v>
      </c>
      <c r="AC195" s="1042">
        <f>COUNTIFS('TỔNG KLH + TN'!$B:$B,'01. TH'!$B195,'TỔNG KLH + TN'!$C:$C,'01. TH'!AC$4)</f>
        <v>0</v>
      </c>
      <c r="AD195" s="1042">
        <f>COUNTIFS('TỔNG KLH + TN'!$B:$B,'01. TH'!$B195,'TỔNG KLH + TN'!$C:$C,'01. TH'!AD$4)</f>
        <v>0</v>
      </c>
      <c r="AE195" s="1045">
        <f t="shared" si="43"/>
        <v>0</v>
      </c>
      <c r="AF195" s="1045"/>
      <c r="AG195" s="1033" t="str">
        <f t="shared" si="23"/>
        <v>ok</v>
      </c>
      <c r="AH195" s="1046"/>
    </row>
    <row r="196" ht="18.75" hidden="1" customHeight="1" outlineLevel="1" spans="1:34">
      <c r="A196" s="1044"/>
      <c r="B196" s="1054" t="s">
        <v>294</v>
      </c>
      <c r="C196" s="1041" t="s">
        <v>290</v>
      </c>
      <c r="D196" s="1041"/>
      <c r="E196" s="1041" t="s">
        <v>273</v>
      </c>
      <c r="F196" s="1042">
        <f>COUNTIFS('TỔNG KLH + TN'!$B:$B,'01. TH'!$B196,'TỔNG KLH + TN'!$C:$C,'01. TH'!F$4)</f>
        <v>0</v>
      </c>
      <c r="G196" s="1042">
        <f>COUNTIFS('TỔNG KLH + TN'!$B:$B,'01. TH'!$B196,'TỔNG KLH + TN'!$C:$C,'01. TH'!G$4)</f>
        <v>0</v>
      </c>
      <c r="H196" s="1042">
        <f>COUNTIFS('TỔNG KLH + TN'!$B:$B,'01. TH'!$B196,'TỔNG KLH + TN'!$C:$C,'01. TH'!H$4)</f>
        <v>0</v>
      </c>
      <c r="I196" s="1042">
        <f>COUNTIFS('TỔNG KLH + TN'!$B:$B,'01. TH'!$B196,'TỔNG KLH + TN'!$C:$C,'01. TH'!I$4)</f>
        <v>0</v>
      </c>
      <c r="J196" s="1042">
        <f>COUNTIFS('TỔNG KLH + TN'!$B:$B,'01. TH'!$B196,'TỔNG KLH + TN'!$C:$C,'01. TH'!J$4)</f>
        <v>0</v>
      </c>
      <c r="K196" s="1042">
        <f>COUNTIFS('TỔNG KLH + TN'!$B:$B,'01. TH'!$B196,'TỔNG KLH + TN'!$C:$C,'01. TH'!K$4)</f>
        <v>0</v>
      </c>
      <c r="L196" s="1042">
        <f>COUNTIFS('TỔNG KLH + TN'!$B:$B,'01. TH'!$B196,'TỔNG KLH + TN'!$C:$C,'01. TH'!L$4)</f>
        <v>0</v>
      </c>
      <c r="M196" s="1042">
        <f>COUNTIFS('TỔNG KLH + TN'!$B:$B,'01. TH'!$B196,'TỔNG KLH + TN'!$C:$C,'01. TH'!M$4)</f>
        <v>0</v>
      </c>
      <c r="N196" s="1042">
        <f>COUNTIFS('TỔNG KLH + TN'!$B:$B,'01. TH'!$B196,'TỔNG KLH + TN'!$C:$C,'01. TH'!N$4)</f>
        <v>0</v>
      </c>
      <c r="O196" s="1042">
        <f>COUNTIFS('TỔNG KLH + TN'!$B:$B,'01. TH'!$B196,'TỔNG KLH + TN'!$C:$C,'01. TH'!O$4)</f>
        <v>0</v>
      </c>
      <c r="P196" s="1042">
        <f>COUNTIFS('TỔNG KLH + TN'!$B:$B,'01. TH'!$B196,'TỔNG KLH + TN'!$C:$C,'01. TH'!P$4)</f>
        <v>0</v>
      </c>
      <c r="Q196" s="1042">
        <f>COUNTIFS('TỔNG KLH + TN'!$B:$B,'01. TH'!$B196,'TỔNG KLH + TN'!$C:$C,'01. TH'!Q$4)</f>
        <v>0</v>
      </c>
      <c r="R196" s="1042">
        <f>COUNTIFS('TỔNG KLH + TN'!$B:$B,'01. TH'!$B196,'TỔNG KLH + TN'!$C:$C,'01. TH'!R$4)</f>
        <v>0</v>
      </c>
      <c r="S196" s="1042">
        <f>COUNTIFS('TỔNG KLH + TN'!$B:$B,'01. TH'!$B196,'TỔNG KLH + TN'!$C:$C,'01. TH'!S$4)</f>
        <v>0</v>
      </c>
      <c r="T196" s="1042">
        <f>COUNTIFS('TỔNG KLH + TN'!$B:$B,'01. TH'!$B196,'TỔNG KLH + TN'!$C:$C,'01. TH'!T$4)</f>
        <v>0</v>
      </c>
      <c r="U196" s="1042">
        <f>COUNTIFS('TỔNG KLH + TN'!$B:$B,'01. TH'!$B196,'TỔNG KLH + TN'!$C:$C,'01. TH'!U$4)</f>
        <v>0</v>
      </c>
      <c r="V196" s="1042">
        <f>COUNTIFS('TỔNG KLH + TN'!$B:$B,'01. TH'!$B196,'TỔNG KLH + TN'!$C:$C,'01. TH'!V$4)</f>
        <v>0</v>
      </c>
      <c r="W196" s="1042">
        <f>COUNTIFS('TỔNG KLH + TN'!$B:$B,'01. TH'!$B196,'TỔNG KLH + TN'!$C:$C,'01. TH'!W$4)</f>
        <v>0</v>
      </c>
      <c r="X196" s="1042">
        <f>COUNTIFS('TỔNG KLH + TN'!$B:$B,'01. TH'!$B196,'TỔNG KLH + TN'!$C:$C,'01. TH'!X$4)</f>
        <v>0</v>
      </c>
      <c r="Y196" s="1042">
        <f>COUNTIFS('TỔNG KLH + TN'!$B:$B,'01. TH'!$B196,'TỔNG KLH + TN'!$C:$C,'01. TH'!Y$4)</f>
        <v>4</v>
      </c>
      <c r="Z196" s="1042">
        <f>COUNTIFS('TỔNG KLH + TN'!$B:$B,'01. TH'!$B196,'TỔNG KLH + TN'!$C:$C,'01. TH'!Z$4)</f>
        <v>0</v>
      </c>
      <c r="AA196" s="1042">
        <f>COUNTIFS('TỔNG KLH + TN'!$B:$B,'01. TH'!$B196,'TỔNG KLH + TN'!$C:$C,'01. TH'!AA$4)</f>
        <v>0</v>
      </c>
      <c r="AB196" s="1042">
        <f>COUNTIFS('TỔNG KLH + TN'!$B:$B,'01. TH'!$B196,'TỔNG KLH + TN'!$C:$C,'01. TH'!AB$4)</f>
        <v>0</v>
      </c>
      <c r="AC196" s="1042">
        <f>COUNTIFS('TỔNG KLH + TN'!$B:$B,'01. TH'!$B196,'TỔNG KLH + TN'!$C:$C,'01. TH'!AC$4)</f>
        <v>0</v>
      </c>
      <c r="AD196" s="1042">
        <f>COUNTIFS('TỔNG KLH + TN'!$B:$B,'01. TH'!$B196,'TỔNG KLH + TN'!$C:$C,'01. TH'!AD$4)</f>
        <v>0</v>
      </c>
      <c r="AE196" s="1045">
        <f t="shared" si="43"/>
        <v>4</v>
      </c>
      <c r="AF196" s="1045"/>
      <c r="AG196" s="1033" t="str">
        <f t="shared" si="23"/>
        <v>ok</v>
      </c>
      <c r="AH196" s="1046"/>
    </row>
    <row r="197" ht="18.75" hidden="1" customHeight="1" outlineLevel="1" spans="1:34">
      <c r="A197" s="1044"/>
      <c r="B197" s="1054" t="s">
        <v>295</v>
      </c>
      <c r="C197" s="1041" t="s">
        <v>290</v>
      </c>
      <c r="D197" s="1041"/>
      <c r="E197" s="1041" t="s">
        <v>273</v>
      </c>
      <c r="F197" s="1042">
        <f>COUNTIFS('TỔNG KLH + TN'!$B:$B,'01. TH'!$B197,'TỔNG KLH + TN'!$C:$C,'01. TH'!F$4)</f>
        <v>0</v>
      </c>
      <c r="G197" s="1042">
        <f>COUNTIFS('TỔNG KLH + TN'!$B:$B,'01. TH'!$B197,'TỔNG KLH + TN'!$C:$C,'01. TH'!G$4)</f>
        <v>0</v>
      </c>
      <c r="H197" s="1042">
        <f>COUNTIFS('TỔNG KLH + TN'!$B:$B,'01. TH'!$B197,'TỔNG KLH + TN'!$C:$C,'01. TH'!H$4)</f>
        <v>1</v>
      </c>
      <c r="I197" s="1042">
        <f>COUNTIFS('TỔNG KLH + TN'!$B:$B,'01. TH'!$B197,'TỔNG KLH + TN'!$C:$C,'01. TH'!I$4)</f>
        <v>0</v>
      </c>
      <c r="J197" s="1042">
        <f>COUNTIFS('TỔNG KLH + TN'!$B:$B,'01. TH'!$B197,'TỔNG KLH + TN'!$C:$C,'01. TH'!J$4)</f>
        <v>0</v>
      </c>
      <c r="K197" s="1042">
        <f>COUNTIFS('TỔNG KLH + TN'!$B:$B,'01. TH'!$B197,'TỔNG KLH + TN'!$C:$C,'01. TH'!K$4)</f>
        <v>0</v>
      </c>
      <c r="L197" s="1042">
        <f>COUNTIFS('TỔNG KLH + TN'!$B:$B,'01. TH'!$B197,'TỔNG KLH + TN'!$C:$C,'01. TH'!L$4)</f>
        <v>0</v>
      </c>
      <c r="M197" s="1042">
        <f>COUNTIFS('TỔNG KLH + TN'!$B:$B,'01. TH'!$B197,'TỔNG KLH + TN'!$C:$C,'01. TH'!M$4)</f>
        <v>0</v>
      </c>
      <c r="N197" s="1042">
        <f>COUNTIFS('TỔNG KLH + TN'!$B:$B,'01. TH'!$B197,'TỔNG KLH + TN'!$C:$C,'01. TH'!N$4)</f>
        <v>0</v>
      </c>
      <c r="O197" s="1042">
        <f>COUNTIFS('TỔNG KLH + TN'!$B:$B,'01. TH'!$B197,'TỔNG KLH + TN'!$C:$C,'01. TH'!O$4)</f>
        <v>0</v>
      </c>
      <c r="P197" s="1042">
        <f>COUNTIFS('TỔNG KLH + TN'!$B:$B,'01. TH'!$B197,'TỔNG KLH + TN'!$C:$C,'01. TH'!P$4)</f>
        <v>0</v>
      </c>
      <c r="Q197" s="1042">
        <f>COUNTIFS('TỔNG KLH + TN'!$B:$B,'01. TH'!$B197,'TỔNG KLH + TN'!$C:$C,'01. TH'!Q$4)</f>
        <v>1</v>
      </c>
      <c r="R197" s="1042">
        <f>COUNTIFS('TỔNG KLH + TN'!$B:$B,'01. TH'!$B197,'TỔNG KLH + TN'!$C:$C,'01. TH'!R$4)</f>
        <v>0</v>
      </c>
      <c r="S197" s="1042">
        <f>COUNTIFS('TỔNG KLH + TN'!$B:$B,'01. TH'!$B197,'TỔNG KLH + TN'!$C:$C,'01. TH'!S$4)</f>
        <v>0</v>
      </c>
      <c r="T197" s="1042">
        <f>COUNTIFS('TỔNG KLH + TN'!$B:$B,'01. TH'!$B197,'TỔNG KLH + TN'!$C:$C,'01. TH'!T$4)</f>
        <v>0</v>
      </c>
      <c r="U197" s="1042">
        <f>COUNTIFS('TỔNG KLH + TN'!$B:$B,'01. TH'!$B197,'TỔNG KLH + TN'!$C:$C,'01. TH'!U$4)</f>
        <v>16</v>
      </c>
      <c r="V197" s="1042">
        <f>COUNTIFS('TỔNG KLH + TN'!$B:$B,'01. TH'!$B197,'TỔNG KLH + TN'!$C:$C,'01. TH'!V$4)</f>
        <v>0</v>
      </c>
      <c r="W197" s="1042">
        <f>COUNTIFS('TỔNG KLH + TN'!$B:$B,'01. TH'!$B197,'TỔNG KLH + TN'!$C:$C,'01. TH'!W$4)</f>
        <v>0</v>
      </c>
      <c r="X197" s="1042">
        <f>COUNTIFS('TỔNG KLH + TN'!$B:$B,'01. TH'!$B197,'TỔNG KLH + TN'!$C:$C,'01. TH'!X$4)</f>
        <v>0</v>
      </c>
      <c r="Y197" s="1042">
        <f>COUNTIFS('TỔNG KLH + TN'!$B:$B,'01. TH'!$B197,'TỔNG KLH + TN'!$C:$C,'01. TH'!Y$4)</f>
        <v>0</v>
      </c>
      <c r="Z197" s="1042">
        <f>COUNTIFS('TỔNG KLH + TN'!$B:$B,'01. TH'!$B197,'TỔNG KLH + TN'!$C:$C,'01. TH'!Z$4)</f>
        <v>0</v>
      </c>
      <c r="AA197" s="1042">
        <f>COUNTIFS('TỔNG KLH + TN'!$B:$B,'01. TH'!$B197,'TỔNG KLH + TN'!$C:$C,'01. TH'!AA$4)</f>
        <v>0</v>
      </c>
      <c r="AB197" s="1042">
        <f>COUNTIFS('TỔNG KLH + TN'!$B:$B,'01. TH'!$B197,'TỔNG KLH + TN'!$C:$C,'01. TH'!AB$4)</f>
        <v>0</v>
      </c>
      <c r="AC197" s="1042">
        <f>COUNTIFS('TỔNG KLH + TN'!$B:$B,'01. TH'!$B197,'TỔNG KLH + TN'!$C:$C,'01. TH'!AC$4)</f>
        <v>0</v>
      </c>
      <c r="AD197" s="1042">
        <f>COUNTIFS('TỔNG KLH + TN'!$B:$B,'01. TH'!$B197,'TỔNG KLH + TN'!$C:$C,'01. TH'!AD$4)</f>
        <v>0</v>
      </c>
      <c r="AE197" s="1045">
        <f t="shared" si="43"/>
        <v>18</v>
      </c>
      <c r="AF197" s="1045"/>
      <c r="AG197" s="1033" t="str">
        <f t="shared" si="23"/>
        <v>ok</v>
      </c>
      <c r="AH197" s="1046"/>
    </row>
    <row r="198" ht="18.75" hidden="1" customHeight="1" outlineLevel="1" spans="1:34">
      <c r="A198" s="1044"/>
      <c r="B198" s="1054" t="s">
        <v>296</v>
      </c>
      <c r="C198" s="1041" t="s">
        <v>290</v>
      </c>
      <c r="D198" s="1041"/>
      <c r="E198" s="1041" t="s">
        <v>273</v>
      </c>
      <c r="F198" s="1042">
        <f>COUNTIFS('TỔNG KLH + TN'!$B:$B,'01. TH'!$B198,'TỔNG KLH + TN'!$C:$C,'01. TH'!F$4)</f>
        <v>0</v>
      </c>
      <c r="G198" s="1042">
        <f>COUNTIFS('TỔNG KLH + TN'!$B:$B,'01. TH'!$B198,'TỔNG KLH + TN'!$C:$C,'01. TH'!G$4)</f>
        <v>0</v>
      </c>
      <c r="H198" s="1042">
        <f>COUNTIFS('TỔNG KLH + TN'!$B:$B,'01. TH'!$B198,'TỔNG KLH + TN'!$C:$C,'01. TH'!H$4)</f>
        <v>6</v>
      </c>
      <c r="I198" s="1042">
        <f>COUNTIFS('TỔNG KLH + TN'!$B:$B,'01. TH'!$B198,'TỔNG KLH + TN'!$C:$C,'01. TH'!I$4)</f>
        <v>2</v>
      </c>
      <c r="J198" s="1042">
        <f>COUNTIFS('TỔNG KLH + TN'!$B:$B,'01. TH'!$B198,'TỔNG KLH + TN'!$C:$C,'01. TH'!J$4)</f>
        <v>3</v>
      </c>
      <c r="K198" s="1042">
        <f>COUNTIFS('TỔNG KLH + TN'!$B:$B,'01. TH'!$B198,'TỔNG KLH + TN'!$C:$C,'01. TH'!K$4)</f>
        <v>0</v>
      </c>
      <c r="L198" s="1042">
        <f>COUNTIFS('TỔNG KLH + TN'!$B:$B,'01. TH'!$B198,'TỔNG KLH + TN'!$C:$C,'01. TH'!L$4)</f>
        <v>0</v>
      </c>
      <c r="M198" s="1042">
        <f>COUNTIFS('TỔNG KLH + TN'!$B:$B,'01. TH'!$B198,'TỔNG KLH + TN'!$C:$C,'01. TH'!M$4)</f>
        <v>0</v>
      </c>
      <c r="N198" s="1042">
        <f>COUNTIFS('TỔNG KLH + TN'!$B:$B,'01. TH'!$B198,'TỔNG KLH + TN'!$C:$C,'01. TH'!N$4)</f>
        <v>0</v>
      </c>
      <c r="O198" s="1042">
        <f>COUNTIFS('TỔNG KLH + TN'!$B:$B,'01. TH'!$B198,'TỔNG KLH + TN'!$C:$C,'01. TH'!O$4)</f>
        <v>0</v>
      </c>
      <c r="P198" s="1042">
        <f>COUNTIFS('TỔNG KLH + TN'!$B:$B,'01. TH'!$B198,'TỔNG KLH + TN'!$C:$C,'01. TH'!P$4)</f>
        <v>0</v>
      </c>
      <c r="Q198" s="1042">
        <f>COUNTIFS('TỔNG KLH + TN'!$B:$B,'01. TH'!$B198,'TỔNG KLH + TN'!$C:$C,'01. TH'!Q$4)</f>
        <v>3</v>
      </c>
      <c r="R198" s="1042">
        <f>COUNTIFS('TỔNG KLH + TN'!$B:$B,'01. TH'!$B198,'TỔNG KLH + TN'!$C:$C,'01. TH'!R$4)</f>
        <v>2</v>
      </c>
      <c r="S198" s="1042">
        <f>COUNTIFS('TỔNG KLH + TN'!$B:$B,'01. TH'!$B198,'TỔNG KLH + TN'!$C:$C,'01. TH'!S$4)</f>
        <v>0</v>
      </c>
      <c r="T198" s="1042">
        <f>COUNTIFS('TỔNG KLH + TN'!$B:$B,'01. TH'!$B198,'TỔNG KLH + TN'!$C:$C,'01. TH'!T$4)</f>
        <v>0</v>
      </c>
      <c r="U198" s="1042">
        <f>COUNTIFS('TỔNG KLH + TN'!$B:$B,'01. TH'!$B198,'TỔNG KLH + TN'!$C:$C,'01. TH'!U$4)</f>
        <v>0</v>
      </c>
      <c r="V198" s="1042">
        <f>COUNTIFS('TỔNG KLH + TN'!$B:$B,'01. TH'!$B198,'TỔNG KLH + TN'!$C:$C,'01. TH'!V$4)</f>
        <v>0</v>
      </c>
      <c r="W198" s="1042">
        <f>COUNTIFS('TỔNG KLH + TN'!$B:$B,'01. TH'!$B198,'TỔNG KLH + TN'!$C:$C,'01. TH'!W$4)</f>
        <v>0</v>
      </c>
      <c r="X198" s="1042">
        <f>COUNTIFS('TỔNG KLH + TN'!$B:$B,'01. TH'!$B198,'TỔNG KLH + TN'!$C:$C,'01. TH'!X$4)</f>
        <v>0</v>
      </c>
      <c r="Y198" s="1042">
        <f>COUNTIFS('TỔNG KLH + TN'!$B:$B,'01. TH'!$B198,'TỔNG KLH + TN'!$C:$C,'01. TH'!Y$4)</f>
        <v>0</v>
      </c>
      <c r="Z198" s="1042">
        <f>COUNTIFS('TỔNG KLH + TN'!$B:$B,'01. TH'!$B198,'TỔNG KLH + TN'!$C:$C,'01. TH'!Z$4)</f>
        <v>0</v>
      </c>
      <c r="AA198" s="1042">
        <f>COUNTIFS('TỔNG KLH + TN'!$B:$B,'01. TH'!$B198,'TỔNG KLH + TN'!$C:$C,'01. TH'!AA$4)</f>
        <v>0</v>
      </c>
      <c r="AB198" s="1042">
        <f>COUNTIFS('TỔNG KLH + TN'!$B:$B,'01. TH'!$B198,'TỔNG KLH + TN'!$C:$C,'01. TH'!AB$4)</f>
        <v>0</v>
      </c>
      <c r="AC198" s="1042">
        <f>COUNTIFS('TỔNG KLH + TN'!$B:$B,'01. TH'!$B198,'TỔNG KLH + TN'!$C:$C,'01. TH'!AC$4)</f>
        <v>0</v>
      </c>
      <c r="AD198" s="1042">
        <f>COUNTIFS('TỔNG KLH + TN'!$B:$B,'01. TH'!$B198,'TỔNG KLH + TN'!$C:$C,'01. TH'!AD$4)</f>
        <v>0</v>
      </c>
      <c r="AE198" s="1045">
        <f t="shared" si="43"/>
        <v>16</v>
      </c>
      <c r="AF198" s="1045"/>
      <c r="AG198" s="1033" t="str">
        <f t="shared" si="23"/>
        <v>ok</v>
      </c>
      <c r="AH198" s="1046"/>
    </row>
    <row r="199" ht="18.75" hidden="1" customHeight="1" outlineLevel="1" spans="1:34">
      <c r="A199" s="1044"/>
      <c r="B199" s="1054" t="s">
        <v>297</v>
      </c>
      <c r="C199" s="1041" t="s">
        <v>290</v>
      </c>
      <c r="D199" s="1041"/>
      <c r="E199" s="1041" t="s">
        <v>273</v>
      </c>
      <c r="F199" s="1042">
        <f>COUNTIFS('TỔNG KLH + TN'!$B:$B,'01. TH'!$B199,'TỔNG KLH + TN'!$C:$C,'01. TH'!F$4)</f>
        <v>0</v>
      </c>
      <c r="G199" s="1042">
        <f>COUNTIFS('TỔNG KLH + TN'!$B:$B,'01. TH'!$B199,'TỔNG KLH + TN'!$C:$C,'01. TH'!G$4)</f>
        <v>0</v>
      </c>
      <c r="H199" s="1042">
        <f>COUNTIFS('TỔNG KLH + TN'!$B:$B,'01. TH'!$B199,'TỔNG KLH + TN'!$C:$C,'01. TH'!H$4)</f>
        <v>0</v>
      </c>
      <c r="I199" s="1042">
        <f>COUNTIFS('TỔNG KLH + TN'!$B:$B,'01. TH'!$B199,'TỔNG KLH + TN'!$C:$C,'01. TH'!I$4)</f>
        <v>0</v>
      </c>
      <c r="J199" s="1042">
        <f>COUNTIFS('TỔNG KLH + TN'!$B:$B,'01. TH'!$B199,'TỔNG KLH + TN'!$C:$C,'01. TH'!J$4)</f>
        <v>0</v>
      </c>
      <c r="K199" s="1042">
        <f>COUNTIFS('TỔNG KLH + TN'!$B:$B,'01. TH'!$B199,'TỔNG KLH + TN'!$C:$C,'01. TH'!K$4)</f>
        <v>0</v>
      </c>
      <c r="L199" s="1042">
        <f>COUNTIFS('TỔNG KLH + TN'!$B:$B,'01. TH'!$B199,'TỔNG KLH + TN'!$C:$C,'01. TH'!L$4)</f>
        <v>0</v>
      </c>
      <c r="M199" s="1042">
        <f>COUNTIFS('TỔNG KLH + TN'!$B:$B,'01. TH'!$B199,'TỔNG KLH + TN'!$C:$C,'01. TH'!M$4)</f>
        <v>0</v>
      </c>
      <c r="N199" s="1042">
        <f>COUNTIFS('TỔNG KLH + TN'!$B:$B,'01. TH'!$B199,'TỔNG KLH + TN'!$C:$C,'01. TH'!N$4)</f>
        <v>0</v>
      </c>
      <c r="O199" s="1042">
        <f>COUNTIFS('TỔNG KLH + TN'!$B:$B,'01. TH'!$B199,'TỔNG KLH + TN'!$C:$C,'01. TH'!O$4)</f>
        <v>0</v>
      </c>
      <c r="P199" s="1042">
        <f>COUNTIFS('TỔNG KLH + TN'!$B:$B,'01. TH'!$B199,'TỔNG KLH + TN'!$C:$C,'01. TH'!P$4)</f>
        <v>0</v>
      </c>
      <c r="Q199" s="1042">
        <f>COUNTIFS('TỔNG KLH + TN'!$B:$B,'01. TH'!$B199,'TỔNG KLH + TN'!$C:$C,'01. TH'!Q$4)</f>
        <v>0</v>
      </c>
      <c r="R199" s="1042">
        <f>COUNTIFS('TỔNG KLH + TN'!$B:$B,'01. TH'!$B199,'TỔNG KLH + TN'!$C:$C,'01. TH'!R$4)</f>
        <v>0</v>
      </c>
      <c r="S199" s="1042">
        <f>COUNTIFS('TỔNG KLH + TN'!$B:$B,'01. TH'!$B199,'TỔNG KLH + TN'!$C:$C,'01. TH'!S$4)</f>
        <v>0</v>
      </c>
      <c r="T199" s="1042">
        <f>COUNTIFS('TỔNG KLH + TN'!$B:$B,'01. TH'!$B199,'TỔNG KLH + TN'!$C:$C,'01. TH'!T$4)</f>
        <v>0</v>
      </c>
      <c r="U199" s="1042">
        <f>COUNTIFS('TỔNG KLH + TN'!$B:$B,'01. TH'!$B199,'TỔNG KLH + TN'!$C:$C,'01. TH'!U$4)</f>
        <v>0</v>
      </c>
      <c r="V199" s="1042">
        <f>COUNTIFS('TỔNG KLH + TN'!$B:$B,'01. TH'!$B199,'TỔNG KLH + TN'!$C:$C,'01. TH'!V$4)</f>
        <v>0</v>
      </c>
      <c r="W199" s="1042">
        <f>COUNTIFS('TỔNG KLH + TN'!$B:$B,'01. TH'!$B199,'TỔNG KLH + TN'!$C:$C,'01. TH'!W$4)</f>
        <v>0</v>
      </c>
      <c r="X199" s="1042">
        <f>COUNTIFS('TỔNG KLH + TN'!$B:$B,'01. TH'!$B199,'TỔNG KLH + TN'!$C:$C,'01. TH'!X$4)</f>
        <v>0</v>
      </c>
      <c r="Y199" s="1042">
        <f>COUNTIFS('TỔNG KLH + TN'!$B:$B,'01. TH'!$B199,'TỔNG KLH + TN'!$C:$C,'01. TH'!Y$4)</f>
        <v>0</v>
      </c>
      <c r="Z199" s="1042">
        <f>COUNTIFS('TỔNG KLH + TN'!$B:$B,'01. TH'!$B199,'TỔNG KLH + TN'!$C:$C,'01. TH'!Z$4)</f>
        <v>0</v>
      </c>
      <c r="AA199" s="1042">
        <f>COUNTIFS('TỔNG KLH + TN'!$B:$B,'01. TH'!$B199,'TỔNG KLH + TN'!$C:$C,'01. TH'!AA$4)</f>
        <v>0</v>
      </c>
      <c r="AB199" s="1042">
        <f>COUNTIFS('TỔNG KLH + TN'!$B:$B,'01. TH'!$B199,'TỔNG KLH + TN'!$C:$C,'01. TH'!AB$4)</f>
        <v>0</v>
      </c>
      <c r="AC199" s="1042">
        <f>COUNTIFS('TỔNG KLH + TN'!$B:$B,'01. TH'!$B199,'TỔNG KLH + TN'!$C:$C,'01. TH'!AC$4)</f>
        <v>0</v>
      </c>
      <c r="AD199" s="1042">
        <f>COUNTIFS('TỔNG KLH + TN'!$B:$B,'01. TH'!$B199,'TỔNG KLH + TN'!$C:$C,'01. TH'!AD$4)</f>
        <v>0</v>
      </c>
      <c r="AE199" s="1045">
        <f t="shared" si="43"/>
        <v>0</v>
      </c>
      <c r="AF199" s="1045"/>
      <c r="AG199" s="1033" t="str">
        <f t="shared" si="23"/>
        <v>ok</v>
      </c>
      <c r="AH199" s="1046"/>
    </row>
    <row r="200" ht="18.75" hidden="1" customHeight="1" outlineLevel="1" spans="1:34">
      <c r="A200" s="1044"/>
      <c r="B200" s="1040" t="s">
        <v>298</v>
      </c>
      <c r="C200" s="1041" t="s">
        <v>290</v>
      </c>
      <c r="D200" s="1041"/>
      <c r="E200" s="1041" t="s">
        <v>273</v>
      </c>
      <c r="F200" s="1042">
        <f>COUNTIFS('TỔNG KLH + TN'!$B:$B,'01. TH'!$B200,'TỔNG KLH + TN'!$C:$C,'01. TH'!F$4)</f>
        <v>0</v>
      </c>
      <c r="G200" s="1042">
        <f>COUNTIFS('TỔNG KLH + TN'!$B:$B,'01. TH'!$B200,'TỔNG KLH + TN'!$C:$C,'01. TH'!G$4)</f>
        <v>0</v>
      </c>
      <c r="H200" s="1042">
        <f>COUNTIFS('TỔNG KLH + TN'!$B:$B,'01. TH'!$B200,'TỔNG KLH + TN'!$C:$C,'01. TH'!H$4)</f>
        <v>0</v>
      </c>
      <c r="I200" s="1042">
        <f>COUNTIFS('TỔNG KLH + TN'!$B:$B,'01. TH'!$B200,'TỔNG KLH + TN'!$C:$C,'01. TH'!I$4)</f>
        <v>0</v>
      </c>
      <c r="J200" s="1042">
        <f>COUNTIFS('TỔNG KLH + TN'!$B:$B,'01. TH'!$B200,'TỔNG KLH + TN'!$C:$C,'01. TH'!J$4)</f>
        <v>0</v>
      </c>
      <c r="K200" s="1042">
        <f>COUNTIFS('TỔNG KLH + TN'!$B:$B,'01. TH'!$B200,'TỔNG KLH + TN'!$C:$C,'01. TH'!K$4)</f>
        <v>0</v>
      </c>
      <c r="L200" s="1042">
        <f>COUNTIFS('TỔNG KLH + TN'!$B:$B,'01. TH'!$B200,'TỔNG KLH + TN'!$C:$C,'01. TH'!L$4)</f>
        <v>0</v>
      </c>
      <c r="M200" s="1042">
        <f>COUNTIFS('TỔNG KLH + TN'!$B:$B,'01. TH'!$B200,'TỔNG KLH + TN'!$C:$C,'01. TH'!M$4)</f>
        <v>0</v>
      </c>
      <c r="N200" s="1042">
        <f>COUNTIFS('TỔNG KLH + TN'!$B:$B,'01. TH'!$B200,'TỔNG KLH + TN'!$C:$C,'01. TH'!N$4)</f>
        <v>0</v>
      </c>
      <c r="O200" s="1042">
        <f>COUNTIFS('TỔNG KLH + TN'!$B:$B,'01. TH'!$B200,'TỔNG KLH + TN'!$C:$C,'01. TH'!O$4)</f>
        <v>0</v>
      </c>
      <c r="P200" s="1042">
        <f>COUNTIFS('TỔNG KLH + TN'!$B:$B,'01. TH'!$B200,'TỔNG KLH + TN'!$C:$C,'01. TH'!P$4)</f>
        <v>0</v>
      </c>
      <c r="Q200" s="1042">
        <f>COUNTIFS('TỔNG KLH + TN'!$B:$B,'01. TH'!$B200,'TỔNG KLH + TN'!$C:$C,'01. TH'!Q$4)</f>
        <v>4</v>
      </c>
      <c r="R200" s="1042">
        <f>COUNTIFS('TỔNG KLH + TN'!$B:$B,'01. TH'!$B200,'TỔNG KLH + TN'!$C:$C,'01. TH'!R$4)</f>
        <v>0</v>
      </c>
      <c r="S200" s="1042">
        <f>COUNTIFS('TỔNG KLH + TN'!$B:$B,'01. TH'!$B200,'TỔNG KLH + TN'!$C:$C,'01. TH'!S$4)</f>
        <v>0</v>
      </c>
      <c r="T200" s="1042">
        <f>COUNTIFS('TỔNG KLH + TN'!$B:$B,'01. TH'!$B200,'TỔNG KLH + TN'!$C:$C,'01. TH'!T$4)</f>
        <v>0</v>
      </c>
      <c r="U200" s="1042">
        <f>COUNTIFS('TỔNG KLH + TN'!$B:$B,'01. TH'!$B200,'TỔNG KLH + TN'!$C:$C,'01. TH'!U$4)</f>
        <v>0</v>
      </c>
      <c r="V200" s="1042">
        <f>COUNTIFS('TỔNG KLH + TN'!$B:$B,'01. TH'!$B200,'TỔNG KLH + TN'!$C:$C,'01. TH'!V$4)</f>
        <v>0</v>
      </c>
      <c r="W200" s="1042">
        <f>COUNTIFS('TỔNG KLH + TN'!$B:$B,'01. TH'!$B200,'TỔNG KLH + TN'!$C:$C,'01. TH'!W$4)</f>
        <v>0</v>
      </c>
      <c r="X200" s="1042">
        <f>COUNTIFS('TỔNG KLH + TN'!$B:$B,'01. TH'!$B200,'TỔNG KLH + TN'!$C:$C,'01. TH'!X$4)</f>
        <v>0</v>
      </c>
      <c r="Y200" s="1042">
        <f>COUNTIFS('TỔNG KLH + TN'!$B:$B,'01. TH'!$B200,'TỔNG KLH + TN'!$C:$C,'01. TH'!Y$4)</f>
        <v>0</v>
      </c>
      <c r="Z200" s="1042">
        <f>COUNTIFS('TỔNG KLH + TN'!$B:$B,'01. TH'!$B200,'TỔNG KLH + TN'!$C:$C,'01. TH'!Z$4)</f>
        <v>0</v>
      </c>
      <c r="AA200" s="1042">
        <f>COUNTIFS('TỔNG KLH + TN'!$B:$B,'01. TH'!$B200,'TỔNG KLH + TN'!$C:$C,'01. TH'!AA$4)</f>
        <v>0</v>
      </c>
      <c r="AB200" s="1042">
        <f>COUNTIFS('TỔNG KLH + TN'!$B:$B,'01. TH'!$B200,'TỔNG KLH + TN'!$C:$C,'01. TH'!AB$4)</f>
        <v>0</v>
      </c>
      <c r="AC200" s="1042">
        <f>COUNTIFS('TỔNG KLH + TN'!$B:$B,'01. TH'!$B200,'TỔNG KLH + TN'!$C:$C,'01. TH'!AC$4)</f>
        <v>0</v>
      </c>
      <c r="AD200" s="1042">
        <f>COUNTIFS('TỔNG KLH + TN'!$B:$B,'01. TH'!$B200,'TỔNG KLH + TN'!$C:$C,'01. TH'!AD$4)</f>
        <v>0</v>
      </c>
      <c r="AE200" s="1045">
        <f t="shared" si="43"/>
        <v>4</v>
      </c>
      <c r="AF200" s="1045"/>
      <c r="AG200" s="1033" t="str">
        <f t="shared" si="23"/>
        <v>ok</v>
      </c>
      <c r="AH200" s="1046"/>
    </row>
    <row r="201" ht="18.75" hidden="1" customHeight="1" outlineLevel="1" spans="1:34">
      <c r="A201" s="1044"/>
      <c r="B201" s="1040" t="s">
        <v>299</v>
      </c>
      <c r="C201" s="1041" t="s">
        <v>290</v>
      </c>
      <c r="D201" s="1041"/>
      <c r="E201" s="1041" t="s">
        <v>273</v>
      </c>
      <c r="F201" s="1042">
        <f>COUNTIFS('TỔNG KLH + TN'!$B:$B,'01. TH'!$B201,'TỔNG KLH + TN'!$C:$C,'01. TH'!F$4)</f>
        <v>0</v>
      </c>
      <c r="G201" s="1042">
        <f>COUNTIFS('TỔNG KLH + TN'!$B:$B,'01. TH'!$B201,'TỔNG KLH + TN'!$C:$C,'01. TH'!G$4)</f>
        <v>0</v>
      </c>
      <c r="H201" s="1042">
        <f>COUNTIFS('TỔNG KLH + TN'!$B:$B,'01. TH'!$B201,'TỔNG KLH + TN'!$C:$C,'01. TH'!H$4)</f>
        <v>0</v>
      </c>
      <c r="I201" s="1042">
        <f>COUNTIFS('TỔNG KLH + TN'!$B:$B,'01. TH'!$B201,'TỔNG KLH + TN'!$C:$C,'01. TH'!I$4)</f>
        <v>0</v>
      </c>
      <c r="J201" s="1042">
        <f>COUNTIFS('TỔNG KLH + TN'!$B:$B,'01. TH'!$B201,'TỔNG KLH + TN'!$C:$C,'01. TH'!J$4)</f>
        <v>0</v>
      </c>
      <c r="K201" s="1042">
        <f>COUNTIFS('TỔNG KLH + TN'!$B:$B,'01. TH'!$B201,'TỔNG KLH + TN'!$C:$C,'01. TH'!K$4)</f>
        <v>0</v>
      </c>
      <c r="L201" s="1042">
        <f>COUNTIFS('TỔNG KLH + TN'!$B:$B,'01. TH'!$B201,'TỔNG KLH + TN'!$C:$C,'01. TH'!L$4)</f>
        <v>0</v>
      </c>
      <c r="M201" s="1042">
        <f>COUNTIFS('TỔNG KLH + TN'!$B:$B,'01. TH'!$B201,'TỔNG KLH + TN'!$C:$C,'01. TH'!M$4)</f>
        <v>0</v>
      </c>
      <c r="N201" s="1042">
        <f>COUNTIFS('TỔNG KLH + TN'!$B:$B,'01. TH'!$B201,'TỔNG KLH + TN'!$C:$C,'01. TH'!N$4)</f>
        <v>0</v>
      </c>
      <c r="O201" s="1042">
        <f>COUNTIFS('TỔNG KLH + TN'!$B:$B,'01. TH'!$B201,'TỔNG KLH + TN'!$C:$C,'01. TH'!O$4)</f>
        <v>0</v>
      </c>
      <c r="P201" s="1042">
        <f>COUNTIFS('TỔNG KLH + TN'!$B:$B,'01. TH'!$B201,'TỔNG KLH + TN'!$C:$C,'01. TH'!P$4)</f>
        <v>0</v>
      </c>
      <c r="Q201" s="1042">
        <f>COUNTIFS('TỔNG KLH + TN'!$B:$B,'01. TH'!$B201,'TỔNG KLH + TN'!$C:$C,'01. TH'!Q$4)</f>
        <v>0</v>
      </c>
      <c r="R201" s="1042">
        <f>COUNTIFS('TỔNG KLH + TN'!$B:$B,'01. TH'!$B201,'TỔNG KLH + TN'!$C:$C,'01. TH'!R$4)</f>
        <v>0</v>
      </c>
      <c r="S201" s="1042">
        <f>COUNTIFS('TỔNG KLH + TN'!$B:$B,'01. TH'!$B201,'TỔNG KLH + TN'!$C:$C,'01. TH'!S$4)</f>
        <v>0</v>
      </c>
      <c r="T201" s="1042">
        <f>COUNTIFS('TỔNG KLH + TN'!$B:$B,'01. TH'!$B201,'TỔNG KLH + TN'!$C:$C,'01. TH'!T$4)</f>
        <v>0</v>
      </c>
      <c r="U201" s="1042">
        <f>COUNTIFS('TỔNG KLH + TN'!$B:$B,'01. TH'!$B201,'TỔNG KLH + TN'!$C:$C,'01. TH'!U$4)</f>
        <v>0</v>
      </c>
      <c r="V201" s="1042">
        <f>COUNTIFS('TỔNG KLH + TN'!$B:$B,'01. TH'!$B201,'TỔNG KLH + TN'!$C:$C,'01. TH'!V$4)</f>
        <v>0</v>
      </c>
      <c r="W201" s="1042">
        <f>COUNTIFS('TỔNG KLH + TN'!$B:$B,'01. TH'!$B201,'TỔNG KLH + TN'!$C:$C,'01. TH'!W$4)</f>
        <v>0</v>
      </c>
      <c r="X201" s="1042">
        <f>COUNTIFS('TỔNG KLH + TN'!$B:$B,'01. TH'!$B201,'TỔNG KLH + TN'!$C:$C,'01. TH'!X$4)</f>
        <v>0</v>
      </c>
      <c r="Y201" s="1042">
        <f>COUNTIFS('TỔNG KLH + TN'!$B:$B,'01. TH'!$B201,'TỔNG KLH + TN'!$C:$C,'01. TH'!Y$4)</f>
        <v>0</v>
      </c>
      <c r="Z201" s="1042">
        <f>COUNTIFS('TỔNG KLH + TN'!$B:$B,'01. TH'!$B201,'TỔNG KLH + TN'!$C:$C,'01. TH'!Z$4)</f>
        <v>0</v>
      </c>
      <c r="AA201" s="1042">
        <f>COUNTIFS('TỔNG KLH + TN'!$B:$B,'01. TH'!$B201,'TỔNG KLH + TN'!$C:$C,'01. TH'!AA$4)</f>
        <v>0</v>
      </c>
      <c r="AB201" s="1042">
        <f>COUNTIFS('TỔNG KLH + TN'!$B:$B,'01. TH'!$B201,'TỔNG KLH + TN'!$C:$C,'01. TH'!AB$4)</f>
        <v>0</v>
      </c>
      <c r="AC201" s="1042">
        <f>COUNTIFS('TỔNG KLH + TN'!$B:$B,'01. TH'!$B201,'TỔNG KLH + TN'!$C:$C,'01. TH'!AC$4)</f>
        <v>0</v>
      </c>
      <c r="AD201" s="1042">
        <f>COUNTIFS('TỔNG KLH + TN'!$B:$B,'01. TH'!$B201,'TỔNG KLH + TN'!$C:$C,'01. TH'!AD$4)</f>
        <v>0</v>
      </c>
      <c r="AE201" s="1045">
        <f t="shared" si="43"/>
        <v>0</v>
      </c>
      <c r="AF201" s="1045"/>
      <c r="AG201" s="1033" t="str">
        <f t="shared" si="23"/>
        <v>ok</v>
      </c>
      <c r="AH201" s="1046"/>
    </row>
    <row r="202" ht="24" customHeight="1" collapsed="1" spans="1:34">
      <c r="A202" s="1033">
        <v>24</v>
      </c>
      <c r="B202" s="1034" t="s">
        <v>300</v>
      </c>
      <c r="C202" s="1035"/>
      <c r="D202" s="1035"/>
      <c r="E202" s="1035"/>
      <c r="F202" s="1047">
        <f t="shared" ref="F202:AE202" si="44">SUM(F203:F204)</f>
        <v>2</v>
      </c>
      <c r="G202" s="1047">
        <f t="shared" si="44"/>
        <v>0</v>
      </c>
      <c r="H202" s="1047">
        <f t="shared" si="44"/>
        <v>0</v>
      </c>
      <c r="I202" s="1047">
        <f t="shared" si="44"/>
        <v>0</v>
      </c>
      <c r="J202" s="1047">
        <f t="shared" si="44"/>
        <v>0</v>
      </c>
      <c r="K202" s="1047">
        <f t="shared" si="44"/>
        <v>0</v>
      </c>
      <c r="L202" s="1047">
        <f t="shared" si="44"/>
        <v>0</v>
      </c>
      <c r="M202" s="1047">
        <f t="shared" si="44"/>
        <v>0</v>
      </c>
      <c r="N202" s="1047">
        <f t="shared" si="44"/>
        <v>0</v>
      </c>
      <c r="O202" s="1047">
        <f t="shared" si="44"/>
        <v>4</v>
      </c>
      <c r="P202" s="1047">
        <f t="shared" si="44"/>
        <v>0</v>
      </c>
      <c r="Q202" s="1047">
        <f t="shared" si="44"/>
        <v>0</v>
      </c>
      <c r="R202" s="1047">
        <f t="shared" si="44"/>
        <v>0</v>
      </c>
      <c r="S202" s="1047">
        <f t="shared" si="44"/>
        <v>8</v>
      </c>
      <c r="T202" s="1047">
        <f t="shared" si="44"/>
        <v>0</v>
      </c>
      <c r="U202" s="1047">
        <f t="shared" si="44"/>
        <v>0</v>
      </c>
      <c r="V202" s="1047">
        <f t="shared" si="44"/>
        <v>0</v>
      </c>
      <c r="W202" s="1047">
        <f t="shared" si="44"/>
        <v>0</v>
      </c>
      <c r="X202" s="1047">
        <f t="shared" si="44"/>
        <v>0</v>
      </c>
      <c r="Y202" s="1047">
        <f t="shared" si="44"/>
        <v>0</v>
      </c>
      <c r="Z202" s="1047">
        <f t="shared" si="44"/>
        <v>0</v>
      </c>
      <c r="AA202" s="1047">
        <f t="shared" si="44"/>
        <v>0</v>
      </c>
      <c r="AB202" s="1047">
        <f t="shared" si="44"/>
        <v>0</v>
      </c>
      <c r="AC202" s="1047">
        <f t="shared" si="44"/>
        <v>0</v>
      </c>
      <c r="AD202" s="1047">
        <f t="shared" si="44"/>
        <v>0</v>
      </c>
      <c r="AE202" s="1048">
        <f t="shared" si="44"/>
        <v>14</v>
      </c>
      <c r="AF202" s="1048">
        <v>0</v>
      </c>
      <c r="AG202" s="1033" t="str">
        <f t="shared" si="23"/>
        <v>ok</v>
      </c>
      <c r="AH202" s="1038"/>
    </row>
    <row r="203" ht="18.75" hidden="1" customHeight="1" outlineLevel="1" spans="1:34">
      <c r="A203" s="1044"/>
      <c r="B203" s="1040" t="s">
        <v>301</v>
      </c>
      <c r="C203" s="1041"/>
      <c r="D203" s="1041"/>
      <c r="E203" s="1041" t="s">
        <v>302</v>
      </c>
      <c r="F203" s="1042">
        <f>COUNTIFS('TỔNG KLH + TN'!$B:$B,'01. TH'!$B203,'TỔNG KLH + TN'!$C:$C,'01. TH'!F$4)</f>
        <v>1</v>
      </c>
      <c r="G203" s="1042">
        <f>COUNTIFS('TỔNG KLH + TN'!$B:$B,'01. TH'!$B203,'TỔNG KLH + TN'!$C:$C,'01. TH'!G$4)</f>
        <v>0</v>
      </c>
      <c r="H203" s="1042">
        <f>COUNTIFS('TỔNG KLH + TN'!$B:$B,'01. TH'!$B203,'TỔNG KLH + TN'!$C:$C,'01. TH'!H$4)</f>
        <v>0</v>
      </c>
      <c r="I203" s="1042">
        <f>COUNTIFS('TỔNG KLH + TN'!$B:$B,'01. TH'!$B203,'TỔNG KLH + TN'!$C:$C,'01. TH'!I$4)</f>
        <v>0</v>
      </c>
      <c r="J203" s="1042">
        <f>COUNTIFS('TỔNG KLH + TN'!$B:$B,'01. TH'!$B203,'TỔNG KLH + TN'!$C:$C,'01. TH'!J$4)</f>
        <v>0</v>
      </c>
      <c r="K203" s="1042">
        <f>COUNTIFS('TỔNG KLH + TN'!$B:$B,'01. TH'!$B203,'TỔNG KLH + TN'!$C:$C,'01. TH'!K$4)</f>
        <v>0</v>
      </c>
      <c r="L203" s="1042">
        <f>COUNTIFS('TỔNG KLH + TN'!$B:$B,'01. TH'!$B203,'TỔNG KLH + TN'!$C:$C,'01. TH'!L$4)</f>
        <v>0</v>
      </c>
      <c r="M203" s="1042">
        <f>COUNTIFS('TỔNG KLH + TN'!$B:$B,'01. TH'!$B203,'TỔNG KLH + TN'!$C:$C,'01. TH'!M$4)</f>
        <v>0</v>
      </c>
      <c r="N203" s="1042">
        <f>COUNTIFS('TỔNG KLH + TN'!$B:$B,'01. TH'!$B203,'TỔNG KLH + TN'!$C:$C,'01. TH'!N$4)</f>
        <v>0</v>
      </c>
      <c r="O203" s="1042">
        <f>COUNTIFS('TỔNG KLH + TN'!$B:$B,'01. TH'!$B203,'TỔNG KLH + TN'!$C:$C,'01. TH'!O$4)</f>
        <v>3</v>
      </c>
      <c r="P203" s="1042">
        <f>COUNTIFS('TỔNG KLH + TN'!$B:$B,'01. TH'!$B203,'TỔNG KLH + TN'!$C:$C,'01. TH'!P$4)</f>
        <v>0</v>
      </c>
      <c r="Q203" s="1042">
        <f>COUNTIFS('TỔNG KLH + TN'!$B:$B,'01. TH'!$B203,'TỔNG KLH + TN'!$C:$C,'01. TH'!Q$4)</f>
        <v>0</v>
      </c>
      <c r="R203" s="1042">
        <f>COUNTIFS('TỔNG KLH + TN'!$B:$B,'01. TH'!$B203,'TỔNG KLH + TN'!$C:$C,'01. TH'!R$4)</f>
        <v>0</v>
      </c>
      <c r="S203" s="1042">
        <f>COUNTIFS('TỔNG KLH + TN'!$B:$B,'01. TH'!$B203,'TỔNG KLH + TN'!$C:$C,'01. TH'!S$4)</f>
        <v>6</v>
      </c>
      <c r="T203" s="1042">
        <f>COUNTIFS('TỔNG KLH + TN'!$B:$B,'01. TH'!$B203,'TỔNG KLH + TN'!$C:$C,'01. TH'!T$4)</f>
        <v>0</v>
      </c>
      <c r="U203" s="1042">
        <f>COUNTIFS('TỔNG KLH + TN'!$B:$B,'01. TH'!$B203,'TỔNG KLH + TN'!$C:$C,'01. TH'!U$4)</f>
        <v>0</v>
      </c>
      <c r="V203" s="1042">
        <f>COUNTIFS('TỔNG KLH + TN'!$B:$B,'01. TH'!$B203,'TỔNG KLH + TN'!$C:$C,'01. TH'!V$4)</f>
        <v>0</v>
      </c>
      <c r="W203" s="1042">
        <f>COUNTIFS('TỔNG KLH + TN'!$B:$B,'01. TH'!$B203,'TỔNG KLH + TN'!$C:$C,'01. TH'!W$4)</f>
        <v>0</v>
      </c>
      <c r="X203" s="1042">
        <f>COUNTIFS('TỔNG KLH + TN'!$B:$B,'01. TH'!$B203,'TỔNG KLH + TN'!$C:$C,'01. TH'!X$4)</f>
        <v>0</v>
      </c>
      <c r="Y203" s="1042">
        <f>COUNTIFS('TỔNG KLH + TN'!$B:$B,'01. TH'!$B203,'TỔNG KLH + TN'!$C:$C,'01. TH'!Y$4)</f>
        <v>0</v>
      </c>
      <c r="Z203" s="1042">
        <f>COUNTIFS('TỔNG KLH + TN'!$B:$B,'01. TH'!$B203,'TỔNG KLH + TN'!$C:$C,'01. TH'!Z$4)</f>
        <v>0</v>
      </c>
      <c r="AA203" s="1042">
        <f>COUNTIFS('TỔNG KLH + TN'!$B:$B,'01. TH'!$B203,'TỔNG KLH + TN'!$C:$C,'01. TH'!AA$4)</f>
        <v>0</v>
      </c>
      <c r="AB203" s="1042">
        <f>COUNTIFS('TỔNG KLH + TN'!$B:$B,'01. TH'!$B203,'TỔNG KLH + TN'!$C:$C,'01. TH'!AB$4)</f>
        <v>0</v>
      </c>
      <c r="AC203" s="1042">
        <f>COUNTIFS('TỔNG KLH + TN'!$B:$B,'01. TH'!$B203,'TỔNG KLH + TN'!$C:$C,'01. TH'!AC$4)</f>
        <v>0</v>
      </c>
      <c r="AD203" s="1042">
        <f>COUNTIFS('TỔNG KLH + TN'!$B:$B,'01. TH'!$B203,'TỔNG KLH + TN'!$C:$C,'01. TH'!AD$4)</f>
        <v>0</v>
      </c>
      <c r="AE203" s="1045">
        <f t="shared" ref="AE203:AE204" si="45">SUM(F203:AD203)</f>
        <v>10</v>
      </c>
      <c r="AF203" s="1045"/>
      <c r="AG203" s="1033" t="str">
        <f t="shared" si="23"/>
        <v>ok</v>
      </c>
      <c r="AH203" s="1046"/>
    </row>
    <row r="204" ht="18.75" hidden="1" customHeight="1" outlineLevel="1" spans="1:34">
      <c r="A204" s="1039"/>
      <c r="B204" s="1040" t="s">
        <v>303</v>
      </c>
      <c r="C204" s="1041"/>
      <c r="D204" s="1041"/>
      <c r="E204" s="1041" t="s">
        <v>302</v>
      </c>
      <c r="F204" s="1042">
        <f>COUNTIFS('TỔNG KLH + TN'!$B:$B,'01. TH'!$B204,'TỔNG KLH + TN'!$C:$C,'01. TH'!F$4)</f>
        <v>1</v>
      </c>
      <c r="G204" s="1042">
        <f>COUNTIFS('TỔNG KLH + TN'!$B:$B,'01. TH'!$B204,'TỔNG KLH + TN'!$C:$C,'01. TH'!G$4)</f>
        <v>0</v>
      </c>
      <c r="H204" s="1042">
        <f>COUNTIFS('TỔNG KLH + TN'!$B:$B,'01. TH'!$B204,'TỔNG KLH + TN'!$C:$C,'01. TH'!H$4)</f>
        <v>0</v>
      </c>
      <c r="I204" s="1042">
        <f>COUNTIFS('TỔNG KLH + TN'!$B:$B,'01. TH'!$B204,'TỔNG KLH + TN'!$C:$C,'01. TH'!I$4)</f>
        <v>0</v>
      </c>
      <c r="J204" s="1042">
        <f>COUNTIFS('TỔNG KLH + TN'!$B:$B,'01. TH'!$B204,'TỔNG KLH + TN'!$C:$C,'01. TH'!J$4)</f>
        <v>0</v>
      </c>
      <c r="K204" s="1042">
        <f>COUNTIFS('TỔNG KLH + TN'!$B:$B,'01. TH'!$B204,'TỔNG KLH + TN'!$C:$C,'01. TH'!K$4)</f>
        <v>0</v>
      </c>
      <c r="L204" s="1042">
        <f>COUNTIFS('TỔNG KLH + TN'!$B:$B,'01. TH'!$B204,'TỔNG KLH + TN'!$C:$C,'01. TH'!L$4)</f>
        <v>0</v>
      </c>
      <c r="M204" s="1042">
        <f>COUNTIFS('TỔNG KLH + TN'!$B:$B,'01. TH'!$B204,'TỔNG KLH + TN'!$C:$C,'01. TH'!M$4)</f>
        <v>0</v>
      </c>
      <c r="N204" s="1042">
        <f>COUNTIFS('TỔNG KLH + TN'!$B:$B,'01. TH'!$B204,'TỔNG KLH + TN'!$C:$C,'01. TH'!N$4)</f>
        <v>0</v>
      </c>
      <c r="O204" s="1042">
        <f>COUNTIFS('TỔNG KLH + TN'!$B:$B,'01. TH'!$B204,'TỔNG KLH + TN'!$C:$C,'01. TH'!O$4)</f>
        <v>1</v>
      </c>
      <c r="P204" s="1042">
        <f>COUNTIFS('TỔNG KLH + TN'!$B:$B,'01. TH'!$B204,'TỔNG KLH + TN'!$C:$C,'01. TH'!P$4)</f>
        <v>0</v>
      </c>
      <c r="Q204" s="1042">
        <f>COUNTIFS('TỔNG KLH + TN'!$B:$B,'01. TH'!$B204,'TỔNG KLH + TN'!$C:$C,'01. TH'!Q$4)</f>
        <v>0</v>
      </c>
      <c r="R204" s="1042">
        <f>COUNTIFS('TỔNG KLH + TN'!$B:$B,'01. TH'!$B204,'TỔNG KLH + TN'!$C:$C,'01. TH'!R$4)</f>
        <v>0</v>
      </c>
      <c r="S204" s="1042">
        <f>COUNTIFS('TỔNG KLH + TN'!$B:$B,'01. TH'!$B204,'TỔNG KLH + TN'!$C:$C,'01. TH'!S$4)</f>
        <v>2</v>
      </c>
      <c r="T204" s="1042">
        <f>COUNTIFS('TỔNG KLH + TN'!$B:$B,'01. TH'!$B204,'TỔNG KLH + TN'!$C:$C,'01. TH'!T$4)</f>
        <v>0</v>
      </c>
      <c r="U204" s="1042">
        <f>COUNTIFS('TỔNG KLH + TN'!$B:$B,'01. TH'!$B204,'TỔNG KLH + TN'!$C:$C,'01. TH'!U$4)</f>
        <v>0</v>
      </c>
      <c r="V204" s="1042">
        <f>COUNTIFS('TỔNG KLH + TN'!$B:$B,'01. TH'!$B204,'TỔNG KLH + TN'!$C:$C,'01. TH'!V$4)</f>
        <v>0</v>
      </c>
      <c r="W204" s="1042">
        <f>COUNTIFS('TỔNG KLH + TN'!$B:$B,'01. TH'!$B204,'TỔNG KLH + TN'!$C:$C,'01. TH'!W$4)</f>
        <v>0</v>
      </c>
      <c r="X204" s="1042">
        <f>COUNTIFS('TỔNG KLH + TN'!$B:$B,'01. TH'!$B204,'TỔNG KLH + TN'!$C:$C,'01. TH'!X$4)</f>
        <v>0</v>
      </c>
      <c r="Y204" s="1042">
        <f>COUNTIFS('TỔNG KLH + TN'!$B:$B,'01. TH'!$B204,'TỔNG KLH + TN'!$C:$C,'01. TH'!Y$4)</f>
        <v>0</v>
      </c>
      <c r="Z204" s="1042">
        <f>COUNTIFS('TỔNG KLH + TN'!$B:$B,'01. TH'!$B204,'TỔNG KLH + TN'!$C:$C,'01. TH'!Z$4)</f>
        <v>0</v>
      </c>
      <c r="AA204" s="1042">
        <f>COUNTIFS('TỔNG KLH + TN'!$B:$B,'01. TH'!$B204,'TỔNG KLH + TN'!$C:$C,'01. TH'!AA$4)</f>
        <v>0</v>
      </c>
      <c r="AB204" s="1042">
        <f>COUNTIFS('TỔNG KLH + TN'!$B:$B,'01. TH'!$B204,'TỔNG KLH + TN'!$C:$C,'01. TH'!AB$4)</f>
        <v>0</v>
      </c>
      <c r="AC204" s="1042">
        <f>COUNTIFS('TỔNG KLH + TN'!$B:$B,'01. TH'!$B204,'TỔNG KLH + TN'!$C:$C,'01. TH'!AC$4)</f>
        <v>0</v>
      </c>
      <c r="AD204" s="1042">
        <f>COUNTIFS('TỔNG KLH + TN'!$B:$B,'01. TH'!$B204,'TỔNG KLH + TN'!$C:$C,'01. TH'!AD$4)</f>
        <v>0</v>
      </c>
      <c r="AE204" s="1043">
        <f t="shared" si="45"/>
        <v>4</v>
      </c>
      <c r="AF204" s="1043"/>
      <c r="AG204" s="1033" t="str">
        <f t="shared" si="23"/>
        <v>ok</v>
      </c>
      <c r="AH204" s="1041"/>
    </row>
    <row r="205" ht="24" customHeight="1" collapsed="1" spans="1:34">
      <c r="A205" s="1033">
        <v>25</v>
      </c>
      <c r="B205" s="1034" t="s">
        <v>304</v>
      </c>
      <c r="C205" s="1035"/>
      <c r="D205" s="1035" t="str">
        <f>IFERROR(VLOOKUP(B205,'Danh mục'!$G:$U,15,0),"")</f>
        <v/>
      </c>
      <c r="E205" s="1035"/>
      <c r="F205" s="1047">
        <f t="shared" ref="F205:AE205" si="46">SUM(F206:F229)</f>
        <v>0</v>
      </c>
      <c r="G205" s="1047">
        <f t="shared" si="46"/>
        <v>38</v>
      </c>
      <c r="H205" s="1047">
        <f t="shared" si="46"/>
        <v>0</v>
      </c>
      <c r="I205" s="1047">
        <f t="shared" si="46"/>
        <v>0</v>
      </c>
      <c r="J205" s="1047">
        <f t="shared" si="46"/>
        <v>0</v>
      </c>
      <c r="K205" s="1047">
        <f t="shared" si="46"/>
        <v>0</v>
      </c>
      <c r="L205" s="1047">
        <f t="shared" si="46"/>
        <v>0</v>
      </c>
      <c r="M205" s="1047">
        <f t="shared" si="46"/>
        <v>0</v>
      </c>
      <c r="N205" s="1047">
        <f t="shared" si="46"/>
        <v>0</v>
      </c>
      <c r="O205" s="1047">
        <f t="shared" si="46"/>
        <v>0</v>
      </c>
      <c r="P205" s="1047">
        <f t="shared" si="46"/>
        <v>24</v>
      </c>
      <c r="Q205" s="1047">
        <f t="shared" si="46"/>
        <v>2</v>
      </c>
      <c r="R205" s="1047">
        <f t="shared" si="46"/>
        <v>0</v>
      </c>
      <c r="S205" s="1047">
        <f t="shared" si="46"/>
        <v>1</v>
      </c>
      <c r="T205" s="1047">
        <f t="shared" si="46"/>
        <v>0</v>
      </c>
      <c r="U205" s="1047">
        <f t="shared" si="46"/>
        <v>14</v>
      </c>
      <c r="V205" s="1047">
        <f t="shared" si="46"/>
        <v>0</v>
      </c>
      <c r="W205" s="1047">
        <f t="shared" si="46"/>
        <v>0</v>
      </c>
      <c r="X205" s="1047">
        <f t="shared" si="46"/>
        <v>0</v>
      </c>
      <c r="Y205" s="1047">
        <f t="shared" si="46"/>
        <v>0</v>
      </c>
      <c r="Z205" s="1047">
        <f t="shared" si="46"/>
        <v>0</v>
      </c>
      <c r="AA205" s="1047">
        <f t="shared" si="46"/>
        <v>0</v>
      </c>
      <c r="AB205" s="1047">
        <f t="shared" si="46"/>
        <v>0</v>
      </c>
      <c r="AC205" s="1047">
        <f t="shared" si="46"/>
        <v>0</v>
      </c>
      <c r="AD205" s="1047">
        <f t="shared" si="46"/>
        <v>0</v>
      </c>
      <c r="AE205" s="1048">
        <f t="shared" si="46"/>
        <v>79</v>
      </c>
      <c r="AF205" s="1048">
        <v>0</v>
      </c>
      <c r="AG205" s="1033" t="str">
        <f t="shared" si="23"/>
        <v>ok</v>
      </c>
      <c r="AH205" s="1038"/>
    </row>
    <row r="206" ht="18.75" hidden="1" customHeight="1" outlineLevel="1" spans="1:34">
      <c r="A206" s="1044"/>
      <c r="B206" s="1040" t="s">
        <v>305</v>
      </c>
      <c r="C206" s="1041"/>
      <c r="D206" s="1041" t="s">
        <v>306</v>
      </c>
      <c r="E206" s="1041" t="s">
        <v>302</v>
      </c>
      <c r="F206" s="1042">
        <f>COUNTIFS('TỔNG KLH + TN'!$B:$B,'01. TH'!$B206,'TỔNG KLH + TN'!$C:$C,'01. TH'!F$4)</f>
        <v>0</v>
      </c>
      <c r="G206" s="1042">
        <f>COUNTIFS('TỔNG KLH + TN'!$B:$B,'01. TH'!$B206,'TỔNG KLH + TN'!$C:$C,'01. TH'!G$4)</f>
        <v>2</v>
      </c>
      <c r="H206" s="1042">
        <f>COUNTIFS('TỔNG KLH + TN'!$B:$B,'01. TH'!$B206,'TỔNG KLH + TN'!$C:$C,'01. TH'!H$4)</f>
        <v>0</v>
      </c>
      <c r="I206" s="1042">
        <f>COUNTIFS('TỔNG KLH + TN'!$B:$B,'01. TH'!$B206,'TỔNG KLH + TN'!$C:$C,'01. TH'!I$4)</f>
        <v>0</v>
      </c>
      <c r="J206" s="1042">
        <f>COUNTIFS('TỔNG KLH + TN'!$B:$B,'01. TH'!$B206,'TỔNG KLH + TN'!$C:$C,'01. TH'!J$4)</f>
        <v>0</v>
      </c>
      <c r="K206" s="1042">
        <f>COUNTIFS('TỔNG KLH + TN'!$B:$B,'01. TH'!$B206,'TỔNG KLH + TN'!$C:$C,'01. TH'!K$4)</f>
        <v>0</v>
      </c>
      <c r="L206" s="1042">
        <f>COUNTIFS('TỔNG KLH + TN'!$B:$B,'01. TH'!$B206,'TỔNG KLH + TN'!$C:$C,'01. TH'!L$4)</f>
        <v>0</v>
      </c>
      <c r="M206" s="1042">
        <f>COUNTIFS('TỔNG KLH + TN'!$B:$B,'01. TH'!$B206,'TỔNG KLH + TN'!$C:$C,'01. TH'!M$4)</f>
        <v>0</v>
      </c>
      <c r="N206" s="1042">
        <f>COUNTIFS('TỔNG KLH + TN'!$B:$B,'01. TH'!$B206,'TỔNG KLH + TN'!$C:$C,'01. TH'!N$4)</f>
        <v>0</v>
      </c>
      <c r="O206" s="1042">
        <f>COUNTIFS('TỔNG KLH + TN'!$B:$B,'01. TH'!$B206,'TỔNG KLH + TN'!$C:$C,'01. TH'!O$4)</f>
        <v>0</v>
      </c>
      <c r="P206" s="1042">
        <f>COUNTIFS('TỔNG KLH + TN'!$B:$B,'01. TH'!$B206,'TỔNG KLH + TN'!$C:$C,'01. TH'!P$4)</f>
        <v>2</v>
      </c>
      <c r="Q206" s="1042">
        <f>COUNTIFS('TỔNG KLH + TN'!$B:$B,'01. TH'!$B206,'TỔNG KLH + TN'!$C:$C,'01. TH'!Q$4)</f>
        <v>1</v>
      </c>
      <c r="R206" s="1042">
        <f>COUNTIFS('TỔNG KLH + TN'!$B:$B,'01. TH'!$B206,'TỔNG KLH + TN'!$C:$C,'01. TH'!R$4)</f>
        <v>0</v>
      </c>
      <c r="S206" s="1042">
        <f>COUNTIFS('TỔNG KLH + TN'!$B:$B,'01. TH'!$B206,'TỔNG KLH + TN'!$C:$C,'01. TH'!S$4)</f>
        <v>0</v>
      </c>
      <c r="T206" s="1042">
        <f>COUNTIFS('TỔNG KLH + TN'!$B:$B,'01. TH'!$B206,'TỔNG KLH + TN'!$C:$C,'01. TH'!T$4)</f>
        <v>0</v>
      </c>
      <c r="U206" s="1042">
        <f>COUNTIFS('TỔNG KLH + TN'!$B:$B,'01. TH'!$B206,'TỔNG KLH + TN'!$C:$C,'01. TH'!U$4)</f>
        <v>0</v>
      </c>
      <c r="V206" s="1042">
        <f>COUNTIFS('TỔNG KLH + TN'!$B:$B,'01. TH'!$B206,'TỔNG KLH + TN'!$C:$C,'01. TH'!V$4)</f>
        <v>0</v>
      </c>
      <c r="W206" s="1042">
        <f>COUNTIFS('TỔNG KLH + TN'!$B:$B,'01. TH'!$B206,'TỔNG KLH + TN'!$C:$C,'01. TH'!W$4)</f>
        <v>0</v>
      </c>
      <c r="X206" s="1042">
        <f>COUNTIFS('TỔNG KLH + TN'!$B:$B,'01. TH'!$B206,'TỔNG KLH + TN'!$C:$C,'01. TH'!X$4)</f>
        <v>0</v>
      </c>
      <c r="Y206" s="1042">
        <f>COUNTIFS('TỔNG KLH + TN'!$B:$B,'01. TH'!$B206,'TỔNG KLH + TN'!$C:$C,'01. TH'!Y$4)</f>
        <v>0</v>
      </c>
      <c r="Z206" s="1042">
        <f>COUNTIFS('TỔNG KLH + TN'!$B:$B,'01. TH'!$B206,'TỔNG KLH + TN'!$C:$C,'01. TH'!Z$4)</f>
        <v>0</v>
      </c>
      <c r="AA206" s="1042">
        <f>COUNTIFS('TỔNG KLH + TN'!$B:$B,'01. TH'!$B206,'TỔNG KLH + TN'!$C:$C,'01. TH'!AA$4)</f>
        <v>0</v>
      </c>
      <c r="AB206" s="1042">
        <f>COUNTIFS('TỔNG KLH + TN'!$B:$B,'01. TH'!$B206,'TỔNG KLH + TN'!$C:$C,'01. TH'!AB$4)</f>
        <v>0</v>
      </c>
      <c r="AC206" s="1042">
        <f>COUNTIFS('TỔNG KLH + TN'!$B:$B,'01. TH'!$B206,'TỔNG KLH + TN'!$C:$C,'01. TH'!AC$4)</f>
        <v>0</v>
      </c>
      <c r="AD206" s="1042">
        <f>COUNTIFS('TỔNG KLH + TN'!$B:$B,'01. TH'!$B206,'TỔNG KLH + TN'!$C:$C,'01. TH'!AD$4)</f>
        <v>0</v>
      </c>
      <c r="AE206" s="1045">
        <f t="shared" ref="AE206:AE229" si="47">SUM(F206:AD206)</f>
        <v>5</v>
      </c>
      <c r="AF206" s="1045"/>
      <c r="AG206" s="1033" t="str">
        <f t="shared" si="23"/>
        <v>ok</v>
      </c>
      <c r="AH206" s="1046"/>
    </row>
    <row r="207" ht="18.75" hidden="1" customHeight="1" outlineLevel="1" spans="1:34">
      <c r="A207" s="1044"/>
      <c r="B207" s="1055" t="s">
        <v>307</v>
      </c>
      <c r="C207" s="1041"/>
      <c r="D207" s="1041" t="s">
        <v>308</v>
      </c>
      <c r="E207" s="1041" t="s">
        <v>302</v>
      </c>
      <c r="F207" s="1042">
        <f>COUNTIFS('TỔNG KLH + TN'!$B:$B,'01. TH'!$B207,'TỔNG KLH + TN'!$C:$C,'01. TH'!F$4)</f>
        <v>0</v>
      </c>
      <c r="G207" s="1042">
        <f>COUNTIFS('TỔNG KLH + TN'!$B:$B,'01. TH'!$B207,'TỔNG KLH + TN'!$C:$C,'01. TH'!G$4)</f>
        <v>2</v>
      </c>
      <c r="H207" s="1042">
        <f>COUNTIFS('TỔNG KLH + TN'!$B:$B,'01. TH'!$B207,'TỔNG KLH + TN'!$C:$C,'01. TH'!H$4)</f>
        <v>0</v>
      </c>
      <c r="I207" s="1042">
        <f>COUNTIFS('TỔNG KLH + TN'!$B:$B,'01. TH'!$B207,'TỔNG KLH + TN'!$C:$C,'01. TH'!I$4)</f>
        <v>0</v>
      </c>
      <c r="J207" s="1042">
        <f>COUNTIFS('TỔNG KLH + TN'!$B:$B,'01. TH'!$B207,'TỔNG KLH + TN'!$C:$C,'01. TH'!J$4)</f>
        <v>0</v>
      </c>
      <c r="K207" s="1042">
        <f>COUNTIFS('TỔNG KLH + TN'!$B:$B,'01. TH'!$B207,'TỔNG KLH + TN'!$C:$C,'01. TH'!K$4)</f>
        <v>0</v>
      </c>
      <c r="L207" s="1042">
        <f>COUNTIFS('TỔNG KLH + TN'!$B:$B,'01. TH'!$B207,'TỔNG KLH + TN'!$C:$C,'01. TH'!L$4)</f>
        <v>0</v>
      </c>
      <c r="M207" s="1042">
        <f>COUNTIFS('TỔNG KLH + TN'!$B:$B,'01. TH'!$B207,'TỔNG KLH + TN'!$C:$C,'01. TH'!M$4)</f>
        <v>0</v>
      </c>
      <c r="N207" s="1042">
        <f>COUNTIFS('TỔNG KLH + TN'!$B:$B,'01. TH'!$B207,'TỔNG KLH + TN'!$C:$C,'01. TH'!N$4)</f>
        <v>0</v>
      </c>
      <c r="O207" s="1042">
        <f>COUNTIFS('TỔNG KLH + TN'!$B:$B,'01. TH'!$B207,'TỔNG KLH + TN'!$C:$C,'01. TH'!O$4)</f>
        <v>0</v>
      </c>
      <c r="P207" s="1042">
        <f>COUNTIFS('TỔNG KLH + TN'!$B:$B,'01. TH'!$B207,'TỔNG KLH + TN'!$C:$C,'01. TH'!P$4)</f>
        <v>1</v>
      </c>
      <c r="Q207" s="1042">
        <f>COUNTIFS('TỔNG KLH + TN'!$B:$B,'01. TH'!$B207,'TỔNG KLH + TN'!$C:$C,'01. TH'!Q$4)</f>
        <v>0</v>
      </c>
      <c r="R207" s="1042">
        <f>COUNTIFS('TỔNG KLH + TN'!$B:$B,'01. TH'!$B207,'TỔNG KLH + TN'!$C:$C,'01. TH'!R$4)</f>
        <v>0</v>
      </c>
      <c r="S207" s="1042">
        <f>COUNTIFS('TỔNG KLH + TN'!$B:$B,'01. TH'!$B207,'TỔNG KLH + TN'!$C:$C,'01. TH'!S$4)</f>
        <v>0</v>
      </c>
      <c r="T207" s="1042">
        <f>COUNTIFS('TỔNG KLH + TN'!$B:$B,'01. TH'!$B207,'TỔNG KLH + TN'!$C:$C,'01. TH'!T$4)</f>
        <v>0</v>
      </c>
      <c r="U207" s="1042">
        <f>COUNTIFS('TỔNG KLH + TN'!$B:$B,'01. TH'!$B207,'TỔNG KLH + TN'!$C:$C,'01. TH'!U$4)</f>
        <v>0</v>
      </c>
      <c r="V207" s="1042">
        <f>COUNTIFS('TỔNG KLH + TN'!$B:$B,'01. TH'!$B207,'TỔNG KLH + TN'!$C:$C,'01. TH'!V$4)</f>
        <v>0</v>
      </c>
      <c r="W207" s="1042">
        <f>COUNTIFS('TỔNG KLH + TN'!$B:$B,'01. TH'!$B207,'TỔNG KLH + TN'!$C:$C,'01. TH'!W$4)</f>
        <v>0</v>
      </c>
      <c r="X207" s="1042">
        <f>COUNTIFS('TỔNG KLH + TN'!$B:$B,'01. TH'!$B207,'TỔNG KLH + TN'!$C:$C,'01. TH'!X$4)</f>
        <v>0</v>
      </c>
      <c r="Y207" s="1042">
        <f>COUNTIFS('TỔNG KLH + TN'!$B:$B,'01. TH'!$B207,'TỔNG KLH + TN'!$C:$C,'01. TH'!Y$4)</f>
        <v>0</v>
      </c>
      <c r="Z207" s="1042">
        <f>COUNTIFS('TỔNG KLH + TN'!$B:$B,'01. TH'!$B207,'TỔNG KLH + TN'!$C:$C,'01. TH'!Z$4)</f>
        <v>0</v>
      </c>
      <c r="AA207" s="1042">
        <f>COUNTIFS('TỔNG KLH + TN'!$B:$B,'01. TH'!$B207,'TỔNG KLH + TN'!$C:$C,'01. TH'!AA$4)</f>
        <v>0</v>
      </c>
      <c r="AB207" s="1042">
        <f>COUNTIFS('TỔNG KLH + TN'!$B:$B,'01. TH'!$B207,'TỔNG KLH + TN'!$C:$C,'01. TH'!AB$4)</f>
        <v>0</v>
      </c>
      <c r="AC207" s="1042">
        <f>COUNTIFS('TỔNG KLH + TN'!$B:$B,'01. TH'!$B207,'TỔNG KLH + TN'!$C:$C,'01. TH'!AC$4)</f>
        <v>0</v>
      </c>
      <c r="AD207" s="1042">
        <f>COUNTIFS('TỔNG KLH + TN'!$B:$B,'01. TH'!$B207,'TỔNG KLH + TN'!$C:$C,'01. TH'!AD$4)</f>
        <v>0</v>
      </c>
      <c r="AE207" s="1045">
        <f t="shared" si="47"/>
        <v>3</v>
      </c>
      <c r="AF207" s="1045"/>
      <c r="AG207" s="1033" t="str">
        <f t="shared" si="23"/>
        <v>ok</v>
      </c>
      <c r="AH207" s="1046"/>
    </row>
    <row r="208" ht="18.75" hidden="1" customHeight="1" outlineLevel="1" spans="1:34">
      <c r="A208" s="1044"/>
      <c r="B208" s="1055" t="s">
        <v>309</v>
      </c>
      <c r="C208" s="1041"/>
      <c r="D208" s="1041" t="s">
        <v>308</v>
      </c>
      <c r="E208" s="1041" t="s">
        <v>302</v>
      </c>
      <c r="F208" s="1042">
        <f>COUNTIFS('TỔNG KLH + TN'!$B:$B,'01. TH'!$B208,'TỔNG KLH + TN'!$C:$C,'01. TH'!F$4)</f>
        <v>0</v>
      </c>
      <c r="G208" s="1042">
        <f>COUNTIFS('TỔNG KLH + TN'!$B:$B,'01. TH'!$B208,'TỔNG KLH + TN'!$C:$C,'01. TH'!G$4)</f>
        <v>1</v>
      </c>
      <c r="H208" s="1042">
        <f>COUNTIFS('TỔNG KLH + TN'!$B:$B,'01. TH'!$B208,'TỔNG KLH + TN'!$C:$C,'01. TH'!H$4)</f>
        <v>0</v>
      </c>
      <c r="I208" s="1042">
        <f>COUNTIFS('TỔNG KLH + TN'!$B:$B,'01. TH'!$B208,'TỔNG KLH + TN'!$C:$C,'01. TH'!I$4)</f>
        <v>0</v>
      </c>
      <c r="J208" s="1042">
        <f>COUNTIFS('TỔNG KLH + TN'!$B:$B,'01. TH'!$B208,'TỔNG KLH + TN'!$C:$C,'01. TH'!J$4)</f>
        <v>0</v>
      </c>
      <c r="K208" s="1042">
        <f>COUNTIFS('TỔNG KLH + TN'!$B:$B,'01. TH'!$B208,'TỔNG KLH + TN'!$C:$C,'01. TH'!K$4)</f>
        <v>0</v>
      </c>
      <c r="L208" s="1042">
        <f>COUNTIFS('TỔNG KLH + TN'!$B:$B,'01. TH'!$B208,'TỔNG KLH + TN'!$C:$C,'01. TH'!L$4)</f>
        <v>0</v>
      </c>
      <c r="M208" s="1042">
        <f>COUNTIFS('TỔNG KLH + TN'!$B:$B,'01. TH'!$B208,'TỔNG KLH + TN'!$C:$C,'01. TH'!M$4)</f>
        <v>0</v>
      </c>
      <c r="N208" s="1042">
        <f>COUNTIFS('TỔNG KLH + TN'!$B:$B,'01. TH'!$B208,'TỔNG KLH + TN'!$C:$C,'01. TH'!N$4)</f>
        <v>0</v>
      </c>
      <c r="O208" s="1042">
        <f>COUNTIFS('TỔNG KLH + TN'!$B:$B,'01. TH'!$B208,'TỔNG KLH + TN'!$C:$C,'01. TH'!O$4)</f>
        <v>0</v>
      </c>
      <c r="P208" s="1042">
        <f>COUNTIFS('TỔNG KLH + TN'!$B:$B,'01. TH'!$B208,'TỔNG KLH + TN'!$C:$C,'01. TH'!P$4)</f>
        <v>0</v>
      </c>
      <c r="Q208" s="1042">
        <f>COUNTIFS('TỔNG KLH + TN'!$B:$B,'01. TH'!$B208,'TỔNG KLH + TN'!$C:$C,'01. TH'!Q$4)</f>
        <v>0</v>
      </c>
      <c r="R208" s="1042">
        <f>COUNTIFS('TỔNG KLH + TN'!$B:$B,'01. TH'!$B208,'TỔNG KLH + TN'!$C:$C,'01. TH'!R$4)</f>
        <v>0</v>
      </c>
      <c r="S208" s="1042">
        <f>COUNTIFS('TỔNG KLH + TN'!$B:$B,'01. TH'!$B208,'TỔNG KLH + TN'!$C:$C,'01. TH'!S$4)</f>
        <v>0</v>
      </c>
      <c r="T208" s="1042">
        <f>COUNTIFS('TỔNG KLH + TN'!$B:$B,'01. TH'!$B208,'TỔNG KLH + TN'!$C:$C,'01. TH'!T$4)</f>
        <v>0</v>
      </c>
      <c r="U208" s="1042">
        <f>COUNTIFS('TỔNG KLH + TN'!$B:$B,'01. TH'!$B208,'TỔNG KLH + TN'!$C:$C,'01. TH'!U$4)</f>
        <v>0</v>
      </c>
      <c r="V208" s="1042">
        <f>COUNTIFS('TỔNG KLH + TN'!$B:$B,'01. TH'!$B208,'TỔNG KLH + TN'!$C:$C,'01. TH'!V$4)</f>
        <v>0</v>
      </c>
      <c r="W208" s="1042">
        <f>COUNTIFS('TỔNG KLH + TN'!$B:$B,'01. TH'!$B208,'TỔNG KLH + TN'!$C:$C,'01. TH'!W$4)</f>
        <v>0</v>
      </c>
      <c r="X208" s="1042">
        <f>COUNTIFS('TỔNG KLH + TN'!$B:$B,'01. TH'!$B208,'TỔNG KLH + TN'!$C:$C,'01. TH'!X$4)</f>
        <v>0</v>
      </c>
      <c r="Y208" s="1042">
        <f>COUNTIFS('TỔNG KLH + TN'!$B:$B,'01. TH'!$B208,'TỔNG KLH + TN'!$C:$C,'01. TH'!Y$4)</f>
        <v>0</v>
      </c>
      <c r="Z208" s="1042">
        <f>COUNTIFS('TỔNG KLH + TN'!$B:$B,'01. TH'!$B208,'TỔNG KLH + TN'!$C:$C,'01. TH'!Z$4)</f>
        <v>0</v>
      </c>
      <c r="AA208" s="1042">
        <f>COUNTIFS('TỔNG KLH + TN'!$B:$B,'01. TH'!$B208,'TỔNG KLH + TN'!$C:$C,'01. TH'!AA$4)</f>
        <v>0</v>
      </c>
      <c r="AB208" s="1042">
        <f>COUNTIFS('TỔNG KLH + TN'!$B:$B,'01. TH'!$B208,'TỔNG KLH + TN'!$C:$C,'01. TH'!AB$4)</f>
        <v>0</v>
      </c>
      <c r="AC208" s="1042">
        <f>COUNTIFS('TỔNG KLH + TN'!$B:$B,'01. TH'!$B208,'TỔNG KLH + TN'!$C:$C,'01. TH'!AC$4)</f>
        <v>0</v>
      </c>
      <c r="AD208" s="1042">
        <f>COUNTIFS('TỔNG KLH + TN'!$B:$B,'01. TH'!$B208,'TỔNG KLH + TN'!$C:$C,'01. TH'!AD$4)</f>
        <v>0</v>
      </c>
      <c r="AE208" s="1045">
        <f t="shared" si="47"/>
        <v>1</v>
      </c>
      <c r="AF208" s="1045"/>
      <c r="AG208" s="1033" t="str">
        <f t="shared" si="23"/>
        <v>ok</v>
      </c>
      <c r="AH208" s="1046"/>
    </row>
    <row r="209" ht="18.75" hidden="1" customHeight="1" outlineLevel="1" spans="1:34">
      <c r="A209" s="1044"/>
      <c r="B209" s="1055" t="s">
        <v>310</v>
      </c>
      <c r="C209" s="1041"/>
      <c r="D209" s="1041" t="s">
        <v>308</v>
      </c>
      <c r="E209" s="1041" t="s">
        <v>302</v>
      </c>
      <c r="F209" s="1042">
        <f>COUNTIFS('TỔNG KLH + TN'!$B:$B,'01. TH'!$B209,'TỔNG KLH + TN'!$C:$C,'01. TH'!F$4)</f>
        <v>0</v>
      </c>
      <c r="G209" s="1042">
        <f>COUNTIFS('TỔNG KLH + TN'!$B:$B,'01. TH'!$B209,'TỔNG KLH + TN'!$C:$C,'01. TH'!G$4)</f>
        <v>0</v>
      </c>
      <c r="H209" s="1042">
        <f>COUNTIFS('TỔNG KLH + TN'!$B:$B,'01. TH'!$B209,'TỔNG KLH + TN'!$C:$C,'01. TH'!H$4)</f>
        <v>0</v>
      </c>
      <c r="I209" s="1042">
        <f>COUNTIFS('TỔNG KLH + TN'!$B:$B,'01. TH'!$B209,'TỔNG KLH + TN'!$C:$C,'01. TH'!I$4)</f>
        <v>0</v>
      </c>
      <c r="J209" s="1042">
        <f>COUNTIFS('TỔNG KLH + TN'!$B:$B,'01. TH'!$B209,'TỔNG KLH + TN'!$C:$C,'01. TH'!J$4)</f>
        <v>0</v>
      </c>
      <c r="K209" s="1042">
        <f>COUNTIFS('TỔNG KLH + TN'!$B:$B,'01. TH'!$B209,'TỔNG KLH + TN'!$C:$C,'01. TH'!K$4)</f>
        <v>0</v>
      </c>
      <c r="L209" s="1042">
        <f>COUNTIFS('TỔNG KLH + TN'!$B:$B,'01. TH'!$B209,'TỔNG KLH + TN'!$C:$C,'01. TH'!L$4)</f>
        <v>0</v>
      </c>
      <c r="M209" s="1042">
        <f>COUNTIFS('TỔNG KLH + TN'!$B:$B,'01. TH'!$B209,'TỔNG KLH + TN'!$C:$C,'01. TH'!M$4)</f>
        <v>0</v>
      </c>
      <c r="N209" s="1042">
        <f>COUNTIFS('TỔNG KLH + TN'!$B:$B,'01. TH'!$B209,'TỔNG KLH + TN'!$C:$C,'01. TH'!N$4)</f>
        <v>0</v>
      </c>
      <c r="O209" s="1042">
        <f>COUNTIFS('TỔNG KLH + TN'!$B:$B,'01. TH'!$B209,'TỔNG KLH + TN'!$C:$C,'01. TH'!O$4)</f>
        <v>0</v>
      </c>
      <c r="P209" s="1042">
        <f>COUNTIFS('TỔNG KLH + TN'!$B:$B,'01. TH'!$B209,'TỔNG KLH + TN'!$C:$C,'01. TH'!P$4)</f>
        <v>1</v>
      </c>
      <c r="Q209" s="1042">
        <f>COUNTIFS('TỔNG KLH + TN'!$B:$B,'01. TH'!$B209,'TỔNG KLH + TN'!$C:$C,'01. TH'!Q$4)</f>
        <v>0</v>
      </c>
      <c r="R209" s="1042">
        <f>COUNTIFS('TỔNG KLH + TN'!$B:$B,'01. TH'!$B209,'TỔNG KLH + TN'!$C:$C,'01. TH'!R$4)</f>
        <v>0</v>
      </c>
      <c r="S209" s="1042">
        <f>COUNTIFS('TỔNG KLH + TN'!$B:$B,'01. TH'!$B209,'TỔNG KLH + TN'!$C:$C,'01. TH'!S$4)</f>
        <v>0</v>
      </c>
      <c r="T209" s="1042">
        <f>COUNTIFS('TỔNG KLH + TN'!$B:$B,'01. TH'!$B209,'TỔNG KLH + TN'!$C:$C,'01. TH'!T$4)</f>
        <v>0</v>
      </c>
      <c r="U209" s="1042">
        <f>COUNTIFS('TỔNG KLH + TN'!$B:$B,'01. TH'!$B209,'TỔNG KLH + TN'!$C:$C,'01. TH'!U$4)</f>
        <v>0</v>
      </c>
      <c r="V209" s="1042">
        <f>COUNTIFS('TỔNG KLH + TN'!$B:$B,'01. TH'!$B209,'TỔNG KLH + TN'!$C:$C,'01. TH'!V$4)</f>
        <v>0</v>
      </c>
      <c r="W209" s="1042">
        <f>COUNTIFS('TỔNG KLH + TN'!$B:$B,'01. TH'!$B209,'TỔNG KLH + TN'!$C:$C,'01. TH'!W$4)</f>
        <v>0</v>
      </c>
      <c r="X209" s="1042">
        <f>COUNTIFS('TỔNG KLH + TN'!$B:$B,'01. TH'!$B209,'TỔNG KLH + TN'!$C:$C,'01. TH'!X$4)</f>
        <v>0</v>
      </c>
      <c r="Y209" s="1042">
        <f>COUNTIFS('TỔNG KLH + TN'!$B:$B,'01. TH'!$B209,'TỔNG KLH + TN'!$C:$C,'01. TH'!Y$4)</f>
        <v>0</v>
      </c>
      <c r="Z209" s="1042">
        <f>COUNTIFS('TỔNG KLH + TN'!$B:$B,'01. TH'!$B209,'TỔNG KLH + TN'!$C:$C,'01. TH'!Z$4)</f>
        <v>0</v>
      </c>
      <c r="AA209" s="1042">
        <f>COUNTIFS('TỔNG KLH + TN'!$B:$B,'01. TH'!$B209,'TỔNG KLH + TN'!$C:$C,'01. TH'!AA$4)</f>
        <v>0</v>
      </c>
      <c r="AB209" s="1042">
        <f>COUNTIFS('TỔNG KLH + TN'!$B:$B,'01. TH'!$B209,'TỔNG KLH + TN'!$C:$C,'01. TH'!AB$4)</f>
        <v>0</v>
      </c>
      <c r="AC209" s="1042">
        <f>COUNTIFS('TỔNG KLH + TN'!$B:$B,'01. TH'!$B209,'TỔNG KLH + TN'!$C:$C,'01. TH'!AC$4)</f>
        <v>0</v>
      </c>
      <c r="AD209" s="1042">
        <f>COUNTIFS('TỔNG KLH + TN'!$B:$B,'01. TH'!$B209,'TỔNG KLH + TN'!$C:$C,'01. TH'!AD$4)</f>
        <v>0</v>
      </c>
      <c r="AE209" s="1045">
        <f t="shared" si="47"/>
        <v>1</v>
      </c>
      <c r="AF209" s="1045"/>
      <c r="AG209" s="1033" t="str">
        <f t="shared" si="23"/>
        <v>ok</v>
      </c>
      <c r="AH209" s="1046"/>
    </row>
    <row r="210" ht="18.75" hidden="1" customHeight="1" outlineLevel="1" spans="1:34">
      <c r="A210" s="1044"/>
      <c r="B210" s="1055" t="s">
        <v>311</v>
      </c>
      <c r="C210" s="1041"/>
      <c r="D210" s="1041" t="s">
        <v>308</v>
      </c>
      <c r="E210" s="1041" t="s">
        <v>302</v>
      </c>
      <c r="F210" s="1042">
        <f>COUNTIFS('TỔNG KLH + TN'!$B:$B,'01. TH'!$B210,'TỔNG KLH + TN'!$C:$C,'01. TH'!F$4)</f>
        <v>0</v>
      </c>
      <c r="G210" s="1042">
        <f>COUNTIFS('TỔNG KLH + TN'!$B:$B,'01. TH'!$B210,'TỔNG KLH + TN'!$C:$C,'01. TH'!G$4)</f>
        <v>0</v>
      </c>
      <c r="H210" s="1042">
        <f>COUNTIFS('TỔNG KLH + TN'!$B:$B,'01. TH'!$B210,'TỔNG KLH + TN'!$C:$C,'01. TH'!H$4)</f>
        <v>0</v>
      </c>
      <c r="I210" s="1042">
        <f>COUNTIFS('TỔNG KLH + TN'!$B:$B,'01. TH'!$B210,'TỔNG KLH + TN'!$C:$C,'01. TH'!I$4)</f>
        <v>0</v>
      </c>
      <c r="J210" s="1042">
        <f>COUNTIFS('TỔNG KLH + TN'!$B:$B,'01. TH'!$B210,'TỔNG KLH + TN'!$C:$C,'01. TH'!J$4)</f>
        <v>0</v>
      </c>
      <c r="K210" s="1042">
        <f>COUNTIFS('TỔNG KLH + TN'!$B:$B,'01. TH'!$B210,'TỔNG KLH + TN'!$C:$C,'01. TH'!K$4)</f>
        <v>0</v>
      </c>
      <c r="L210" s="1042">
        <f>COUNTIFS('TỔNG KLH + TN'!$B:$B,'01. TH'!$B210,'TỔNG KLH + TN'!$C:$C,'01. TH'!L$4)</f>
        <v>0</v>
      </c>
      <c r="M210" s="1042">
        <f>COUNTIFS('TỔNG KLH + TN'!$B:$B,'01. TH'!$B210,'TỔNG KLH + TN'!$C:$C,'01. TH'!M$4)</f>
        <v>0</v>
      </c>
      <c r="N210" s="1042">
        <f>COUNTIFS('TỔNG KLH + TN'!$B:$B,'01. TH'!$B210,'TỔNG KLH + TN'!$C:$C,'01. TH'!N$4)</f>
        <v>0</v>
      </c>
      <c r="O210" s="1042">
        <f>COUNTIFS('TỔNG KLH + TN'!$B:$B,'01. TH'!$B210,'TỔNG KLH + TN'!$C:$C,'01. TH'!O$4)</f>
        <v>0</v>
      </c>
      <c r="P210" s="1042">
        <f>COUNTIFS('TỔNG KLH + TN'!$B:$B,'01. TH'!$B210,'TỔNG KLH + TN'!$C:$C,'01. TH'!P$4)</f>
        <v>0</v>
      </c>
      <c r="Q210" s="1042">
        <f>COUNTIFS('TỔNG KLH + TN'!$B:$B,'01. TH'!$B210,'TỔNG KLH + TN'!$C:$C,'01. TH'!Q$4)</f>
        <v>0</v>
      </c>
      <c r="R210" s="1042">
        <f>COUNTIFS('TỔNG KLH + TN'!$B:$B,'01. TH'!$B210,'TỔNG KLH + TN'!$C:$C,'01. TH'!R$4)</f>
        <v>0</v>
      </c>
      <c r="S210" s="1042">
        <f>COUNTIFS('TỔNG KLH + TN'!$B:$B,'01. TH'!$B210,'TỔNG KLH + TN'!$C:$C,'01. TH'!S$4)</f>
        <v>0</v>
      </c>
      <c r="T210" s="1042">
        <f>COUNTIFS('TỔNG KLH + TN'!$B:$B,'01. TH'!$B210,'TỔNG KLH + TN'!$C:$C,'01. TH'!T$4)</f>
        <v>0</v>
      </c>
      <c r="U210" s="1042">
        <f>COUNTIFS('TỔNG KLH + TN'!$B:$B,'01. TH'!$B210,'TỔNG KLH + TN'!$C:$C,'01. TH'!U$4)</f>
        <v>1</v>
      </c>
      <c r="V210" s="1042">
        <f>COUNTIFS('TỔNG KLH + TN'!$B:$B,'01. TH'!$B210,'TỔNG KLH + TN'!$C:$C,'01. TH'!V$4)</f>
        <v>0</v>
      </c>
      <c r="W210" s="1042">
        <f>COUNTIFS('TỔNG KLH + TN'!$B:$B,'01. TH'!$B210,'TỔNG KLH + TN'!$C:$C,'01. TH'!W$4)</f>
        <v>0</v>
      </c>
      <c r="X210" s="1042">
        <f>COUNTIFS('TỔNG KLH + TN'!$B:$B,'01. TH'!$B210,'TỔNG KLH + TN'!$C:$C,'01. TH'!X$4)</f>
        <v>0</v>
      </c>
      <c r="Y210" s="1042">
        <f>COUNTIFS('TỔNG KLH + TN'!$B:$B,'01. TH'!$B210,'TỔNG KLH + TN'!$C:$C,'01. TH'!Y$4)</f>
        <v>0</v>
      </c>
      <c r="Z210" s="1042">
        <f>COUNTIFS('TỔNG KLH + TN'!$B:$B,'01. TH'!$B210,'TỔNG KLH + TN'!$C:$C,'01. TH'!Z$4)</f>
        <v>0</v>
      </c>
      <c r="AA210" s="1042">
        <f>COUNTIFS('TỔNG KLH + TN'!$B:$B,'01. TH'!$B210,'TỔNG KLH + TN'!$C:$C,'01. TH'!AA$4)</f>
        <v>0</v>
      </c>
      <c r="AB210" s="1042">
        <f>COUNTIFS('TỔNG KLH + TN'!$B:$B,'01. TH'!$B210,'TỔNG KLH + TN'!$C:$C,'01. TH'!AB$4)</f>
        <v>0</v>
      </c>
      <c r="AC210" s="1042">
        <f>COUNTIFS('TỔNG KLH + TN'!$B:$B,'01. TH'!$B210,'TỔNG KLH + TN'!$C:$C,'01. TH'!AC$4)</f>
        <v>0</v>
      </c>
      <c r="AD210" s="1042">
        <f>COUNTIFS('TỔNG KLH + TN'!$B:$B,'01. TH'!$B210,'TỔNG KLH + TN'!$C:$C,'01. TH'!AD$4)</f>
        <v>0</v>
      </c>
      <c r="AE210" s="1045">
        <f t="shared" si="47"/>
        <v>1</v>
      </c>
      <c r="AF210" s="1045"/>
      <c r="AG210" s="1033" t="str">
        <f t="shared" si="23"/>
        <v>ok</v>
      </c>
      <c r="AH210" s="1046"/>
    </row>
    <row r="211" ht="18.75" hidden="1" customHeight="1" outlineLevel="1" spans="1:34">
      <c r="A211" s="1044"/>
      <c r="B211" s="1055" t="s">
        <v>312</v>
      </c>
      <c r="C211" s="1041"/>
      <c r="D211" s="1041" t="s">
        <v>313</v>
      </c>
      <c r="E211" s="1041" t="s">
        <v>302</v>
      </c>
      <c r="F211" s="1042">
        <f>COUNTIFS('TỔNG KLH + TN'!$B:$B,'01. TH'!$B211,'TỔNG KLH + TN'!$C:$C,'01. TH'!F$4)</f>
        <v>0</v>
      </c>
      <c r="G211" s="1042">
        <f>COUNTIFS('TỔNG KLH + TN'!$B:$B,'01. TH'!$B211,'TỔNG KLH + TN'!$C:$C,'01. TH'!G$4)</f>
        <v>3</v>
      </c>
      <c r="H211" s="1042">
        <f>COUNTIFS('TỔNG KLH + TN'!$B:$B,'01. TH'!$B211,'TỔNG KLH + TN'!$C:$C,'01. TH'!H$4)</f>
        <v>0</v>
      </c>
      <c r="I211" s="1042">
        <f>COUNTIFS('TỔNG KLH + TN'!$B:$B,'01. TH'!$B211,'TỔNG KLH + TN'!$C:$C,'01. TH'!I$4)</f>
        <v>0</v>
      </c>
      <c r="J211" s="1042">
        <f>COUNTIFS('TỔNG KLH + TN'!$B:$B,'01. TH'!$B211,'TỔNG KLH + TN'!$C:$C,'01. TH'!J$4)</f>
        <v>0</v>
      </c>
      <c r="K211" s="1042">
        <f>COUNTIFS('TỔNG KLH + TN'!$B:$B,'01. TH'!$B211,'TỔNG KLH + TN'!$C:$C,'01. TH'!K$4)</f>
        <v>0</v>
      </c>
      <c r="L211" s="1042">
        <f>COUNTIFS('TỔNG KLH + TN'!$B:$B,'01. TH'!$B211,'TỔNG KLH + TN'!$C:$C,'01. TH'!L$4)</f>
        <v>0</v>
      </c>
      <c r="M211" s="1042">
        <f>COUNTIFS('TỔNG KLH + TN'!$B:$B,'01. TH'!$B211,'TỔNG KLH + TN'!$C:$C,'01. TH'!M$4)</f>
        <v>0</v>
      </c>
      <c r="N211" s="1042">
        <f>COUNTIFS('TỔNG KLH + TN'!$B:$B,'01. TH'!$B211,'TỔNG KLH + TN'!$C:$C,'01. TH'!N$4)</f>
        <v>0</v>
      </c>
      <c r="O211" s="1042">
        <f>COUNTIFS('TỔNG KLH + TN'!$B:$B,'01. TH'!$B211,'TỔNG KLH + TN'!$C:$C,'01. TH'!O$4)</f>
        <v>0</v>
      </c>
      <c r="P211" s="1042">
        <f>COUNTIFS('TỔNG KLH + TN'!$B:$B,'01. TH'!$B211,'TỔNG KLH + TN'!$C:$C,'01. TH'!P$4)</f>
        <v>0</v>
      </c>
      <c r="Q211" s="1042">
        <f>COUNTIFS('TỔNG KLH + TN'!$B:$B,'01. TH'!$B211,'TỔNG KLH + TN'!$C:$C,'01. TH'!Q$4)</f>
        <v>0</v>
      </c>
      <c r="R211" s="1042">
        <f>COUNTIFS('TỔNG KLH + TN'!$B:$B,'01. TH'!$B211,'TỔNG KLH + TN'!$C:$C,'01. TH'!R$4)</f>
        <v>0</v>
      </c>
      <c r="S211" s="1042">
        <f>COUNTIFS('TỔNG KLH + TN'!$B:$B,'01. TH'!$B211,'TỔNG KLH + TN'!$C:$C,'01. TH'!S$4)</f>
        <v>0</v>
      </c>
      <c r="T211" s="1042">
        <f>COUNTIFS('TỔNG KLH + TN'!$B:$B,'01. TH'!$B211,'TỔNG KLH + TN'!$C:$C,'01. TH'!T$4)</f>
        <v>0</v>
      </c>
      <c r="U211" s="1042">
        <f>COUNTIFS('TỔNG KLH + TN'!$B:$B,'01. TH'!$B211,'TỔNG KLH + TN'!$C:$C,'01. TH'!U$4)</f>
        <v>1</v>
      </c>
      <c r="V211" s="1042">
        <f>COUNTIFS('TỔNG KLH + TN'!$B:$B,'01. TH'!$B211,'TỔNG KLH + TN'!$C:$C,'01. TH'!V$4)</f>
        <v>0</v>
      </c>
      <c r="W211" s="1042">
        <f>COUNTIFS('TỔNG KLH + TN'!$B:$B,'01. TH'!$B211,'TỔNG KLH + TN'!$C:$C,'01. TH'!W$4)</f>
        <v>0</v>
      </c>
      <c r="X211" s="1042">
        <f>COUNTIFS('TỔNG KLH + TN'!$B:$B,'01. TH'!$B211,'TỔNG KLH + TN'!$C:$C,'01. TH'!X$4)</f>
        <v>0</v>
      </c>
      <c r="Y211" s="1042">
        <f>COUNTIFS('TỔNG KLH + TN'!$B:$B,'01. TH'!$B211,'TỔNG KLH + TN'!$C:$C,'01. TH'!Y$4)</f>
        <v>0</v>
      </c>
      <c r="Z211" s="1042">
        <f>COUNTIFS('TỔNG KLH + TN'!$B:$B,'01. TH'!$B211,'TỔNG KLH + TN'!$C:$C,'01. TH'!Z$4)</f>
        <v>0</v>
      </c>
      <c r="AA211" s="1042">
        <f>COUNTIFS('TỔNG KLH + TN'!$B:$B,'01. TH'!$B211,'TỔNG KLH + TN'!$C:$C,'01. TH'!AA$4)</f>
        <v>0</v>
      </c>
      <c r="AB211" s="1042">
        <f>COUNTIFS('TỔNG KLH + TN'!$B:$B,'01. TH'!$B211,'TỔNG KLH + TN'!$C:$C,'01. TH'!AB$4)</f>
        <v>0</v>
      </c>
      <c r="AC211" s="1042">
        <f>COUNTIFS('TỔNG KLH + TN'!$B:$B,'01. TH'!$B211,'TỔNG KLH + TN'!$C:$C,'01. TH'!AC$4)</f>
        <v>0</v>
      </c>
      <c r="AD211" s="1042">
        <f>COUNTIFS('TỔNG KLH + TN'!$B:$B,'01. TH'!$B211,'TỔNG KLH + TN'!$C:$C,'01. TH'!AD$4)</f>
        <v>0</v>
      </c>
      <c r="AE211" s="1045">
        <f t="shared" si="47"/>
        <v>4</v>
      </c>
      <c r="AF211" s="1045"/>
      <c r="AG211" s="1033" t="str">
        <f t="shared" si="23"/>
        <v>ok</v>
      </c>
      <c r="AH211" s="1046"/>
    </row>
    <row r="212" ht="18.75" hidden="1" customHeight="1" outlineLevel="1" spans="1:34">
      <c r="A212" s="1044"/>
      <c r="B212" s="1055" t="s">
        <v>314</v>
      </c>
      <c r="C212" s="1041"/>
      <c r="D212" s="1041" t="s">
        <v>315</v>
      </c>
      <c r="E212" s="1041" t="s">
        <v>302</v>
      </c>
      <c r="F212" s="1042">
        <f>COUNTIFS('TỔNG KLH + TN'!$B:$B,'01. TH'!$B212,'TỔNG KLH + TN'!$C:$C,'01. TH'!F$4)</f>
        <v>0</v>
      </c>
      <c r="G212" s="1042">
        <f>COUNTIFS('TỔNG KLH + TN'!$B:$B,'01. TH'!$B212,'TỔNG KLH + TN'!$C:$C,'01. TH'!G$4)</f>
        <v>1</v>
      </c>
      <c r="H212" s="1042">
        <f>COUNTIFS('TỔNG KLH + TN'!$B:$B,'01. TH'!$B212,'TỔNG KLH + TN'!$C:$C,'01. TH'!H$4)</f>
        <v>0</v>
      </c>
      <c r="I212" s="1042">
        <f>COUNTIFS('TỔNG KLH + TN'!$B:$B,'01. TH'!$B212,'TỔNG KLH + TN'!$C:$C,'01. TH'!I$4)</f>
        <v>0</v>
      </c>
      <c r="J212" s="1042">
        <f>COUNTIFS('TỔNG KLH + TN'!$B:$B,'01. TH'!$B212,'TỔNG KLH + TN'!$C:$C,'01. TH'!J$4)</f>
        <v>0</v>
      </c>
      <c r="K212" s="1042">
        <f>COUNTIFS('TỔNG KLH + TN'!$B:$B,'01. TH'!$B212,'TỔNG KLH + TN'!$C:$C,'01. TH'!K$4)</f>
        <v>0</v>
      </c>
      <c r="L212" s="1042">
        <f>COUNTIFS('TỔNG KLH + TN'!$B:$B,'01. TH'!$B212,'TỔNG KLH + TN'!$C:$C,'01. TH'!L$4)</f>
        <v>0</v>
      </c>
      <c r="M212" s="1042">
        <f>COUNTIFS('TỔNG KLH + TN'!$B:$B,'01. TH'!$B212,'TỔNG KLH + TN'!$C:$C,'01. TH'!M$4)</f>
        <v>0</v>
      </c>
      <c r="N212" s="1042">
        <f>COUNTIFS('TỔNG KLH + TN'!$B:$B,'01. TH'!$B212,'TỔNG KLH + TN'!$C:$C,'01. TH'!N$4)</f>
        <v>0</v>
      </c>
      <c r="O212" s="1042">
        <f>COUNTIFS('TỔNG KLH + TN'!$B:$B,'01. TH'!$B212,'TỔNG KLH + TN'!$C:$C,'01. TH'!O$4)</f>
        <v>0</v>
      </c>
      <c r="P212" s="1042">
        <f>COUNTIFS('TỔNG KLH + TN'!$B:$B,'01. TH'!$B212,'TỔNG KLH + TN'!$C:$C,'01. TH'!P$4)</f>
        <v>1</v>
      </c>
      <c r="Q212" s="1042">
        <f>COUNTIFS('TỔNG KLH + TN'!$B:$B,'01. TH'!$B212,'TỔNG KLH + TN'!$C:$C,'01. TH'!Q$4)</f>
        <v>0</v>
      </c>
      <c r="R212" s="1042">
        <f>COUNTIFS('TỔNG KLH + TN'!$B:$B,'01. TH'!$B212,'TỔNG KLH + TN'!$C:$C,'01. TH'!R$4)</f>
        <v>0</v>
      </c>
      <c r="S212" s="1042">
        <f>COUNTIFS('TỔNG KLH + TN'!$B:$B,'01. TH'!$B212,'TỔNG KLH + TN'!$C:$C,'01. TH'!S$4)</f>
        <v>0</v>
      </c>
      <c r="T212" s="1042">
        <f>COUNTIFS('TỔNG KLH + TN'!$B:$B,'01. TH'!$B212,'TỔNG KLH + TN'!$C:$C,'01. TH'!T$4)</f>
        <v>0</v>
      </c>
      <c r="U212" s="1042">
        <f>COUNTIFS('TỔNG KLH + TN'!$B:$B,'01. TH'!$B212,'TỔNG KLH + TN'!$C:$C,'01. TH'!U$4)</f>
        <v>2</v>
      </c>
      <c r="V212" s="1042">
        <f>COUNTIFS('TỔNG KLH + TN'!$B:$B,'01. TH'!$B212,'TỔNG KLH + TN'!$C:$C,'01. TH'!V$4)</f>
        <v>0</v>
      </c>
      <c r="W212" s="1042">
        <f>COUNTIFS('TỔNG KLH + TN'!$B:$B,'01. TH'!$B212,'TỔNG KLH + TN'!$C:$C,'01. TH'!W$4)</f>
        <v>0</v>
      </c>
      <c r="X212" s="1042">
        <f>COUNTIFS('TỔNG KLH + TN'!$B:$B,'01. TH'!$B212,'TỔNG KLH + TN'!$C:$C,'01. TH'!X$4)</f>
        <v>0</v>
      </c>
      <c r="Y212" s="1042">
        <f>COUNTIFS('TỔNG KLH + TN'!$B:$B,'01. TH'!$B212,'TỔNG KLH + TN'!$C:$C,'01. TH'!Y$4)</f>
        <v>0</v>
      </c>
      <c r="Z212" s="1042">
        <f>COUNTIFS('TỔNG KLH + TN'!$B:$B,'01. TH'!$B212,'TỔNG KLH + TN'!$C:$C,'01. TH'!Z$4)</f>
        <v>0</v>
      </c>
      <c r="AA212" s="1042">
        <f>COUNTIFS('TỔNG KLH + TN'!$B:$B,'01. TH'!$B212,'TỔNG KLH + TN'!$C:$C,'01. TH'!AA$4)</f>
        <v>0</v>
      </c>
      <c r="AB212" s="1042">
        <f>COUNTIFS('TỔNG KLH + TN'!$B:$B,'01. TH'!$B212,'TỔNG KLH + TN'!$C:$C,'01. TH'!AB$4)</f>
        <v>0</v>
      </c>
      <c r="AC212" s="1042">
        <f>COUNTIFS('TỔNG KLH + TN'!$B:$B,'01. TH'!$B212,'TỔNG KLH + TN'!$C:$C,'01. TH'!AC$4)</f>
        <v>0</v>
      </c>
      <c r="AD212" s="1042">
        <f>COUNTIFS('TỔNG KLH + TN'!$B:$B,'01. TH'!$B212,'TỔNG KLH + TN'!$C:$C,'01. TH'!AD$4)</f>
        <v>0</v>
      </c>
      <c r="AE212" s="1045">
        <f t="shared" si="47"/>
        <v>4</v>
      </c>
      <c r="AF212" s="1045"/>
      <c r="AG212" s="1033" t="str">
        <f t="shared" si="23"/>
        <v>ok</v>
      </c>
      <c r="AH212" s="1046"/>
    </row>
    <row r="213" ht="18.75" hidden="1" customHeight="1" outlineLevel="1" spans="1:34">
      <c r="A213" s="1044"/>
      <c r="B213" s="1055" t="s">
        <v>316</v>
      </c>
      <c r="C213" s="1041"/>
      <c r="D213" s="1041" t="s">
        <v>317</v>
      </c>
      <c r="E213" s="1041" t="s">
        <v>302</v>
      </c>
      <c r="F213" s="1042">
        <f>COUNTIFS('TỔNG KLH + TN'!$B:$B,'01. TH'!$B213,'TỔNG KLH + TN'!$C:$C,'01. TH'!F$4)</f>
        <v>0</v>
      </c>
      <c r="G213" s="1042">
        <f>COUNTIFS('TỔNG KLH + TN'!$B:$B,'01. TH'!$B213,'TỔNG KLH + TN'!$C:$C,'01. TH'!G$4)</f>
        <v>1</v>
      </c>
      <c r="H213" s="1042">
        <f>COUNTIFS('TỔNG KLH + TN'!$B:$B,'01. TH'!$B213,'TỔNG KLH + TN'!$C:$C,'01. TH'!H$4)</f>
        <v>0</v>
      </c>
      <c r="I213" s="1042">
        <f>COUNTIFS('TỔNG KLH + TN'!$B:$B,'01. TH'!$B213,'TỔNG KLH + TN'!$C:$C,'01. TH'!I$4)</f>
        <v>0</v>
      </c>
      <c r="J213" s="1042">
        <f>COUNTIFS('TỔNG KLH + TN'!$B:$B,'01. TH'!$B213,'TỔNG KLH + TN'!$C:$C,'01. TH'!J$4)</f>
        <v>0</v>
      </c>
      <c r="K213" s="1042">
        <f>COUNTIFS('TỔNG KLH + TN'!$B:$B,'01. TH'!$B213,'TỔNG KLH + TN'!$C:$C,'01. TH'!K$4)</f>
        <v>0</v>
      </c>
      <c r="L213" s="1042">
        <f>COUNTIFS('TỔNG KLH + TN'!$B:$B,'01. TH'!$B213,'TỔNG KLH + TN'!$C:$C,'01. TH'!L$4)</f>
        <v>0</v>
      </c>
      <c r="M213" s="1042">
        <f>COUNTIFS('TỔNG KLH + TN'!$B:$B,'01. TH'!$B213,'TỔNG KLH + TN'!$C:$C,'01. TH'!M$4)</f>
        <v>0</v>
      </c>
      <c r="N213" s="1042">
        <f>COUNTIFS('TỔNG KLH + TN'!$B:$B,'01. TH'!$B213,'TỔNG KLH + TN'!$C:$C,'01. TH'!N$4)</f>
        <v>0</v>
      </c>
      <c r="O213" s="1042">
        <f>COUNTIFS('TỔNG KLH + TN'!$B:$B,'01. TH'!$B213,'TỔNG KLH + TN'!$C:$C,'01. TH'!O$4)</f>
        <v>0</v>
      </c>
      <c r="P213" s="1042">
        <f>COUNTIFS('TỔNG KLH + TN'!$B:$B,'01. TH'!$B213,'TỔNG KLH + TN'!$C:$C,'01. TH'!P$4)</f>
        <v>0</v>
      </c>
      <c r="Q213" s="1042">
        <f>COUNTIFS('TỔNG KLH + TN'!$B:$B,'01. TH'!$B213,'TỔNG KLH + TN'!$C:$C,'01. TH'!Q$4)</f>
        <v>0</v>
      </c>
      <c r="R213" s="1042">
        <f>COUNTIFS('TỔNG KLH + TN'!$B:$B,'01. TH'!$B213,'TỔNG KLH + TN'!$C:$C,'01. TH'!R$4)</f>
        <v>0</v>
      </c>
      <c r="S213" s="1042">
        <f>COUNTIFS('TỔNG KLH + TN'!$B:$B,'01. TH'!$B213,'TỔNG KLH + TN'!$C:$C,'01. TH'!S$4)</f>
        <v>0</v>
      </c>
      <c r="T213" s="1042">
        <f>COUNTIFS('TỔNG KLH + TN'!$B:$B,'01. TH'!$B213,'TỔNG KLH + TN'!$C:$C,'01. TH'!T$4)</f>
        <v>0</v>
      </c>
      <c r="U213" s="1042">
        <f>COUNTIFS('TỔNG KLH + TN'!$B:$B,'01. TH'!$B213,'TỔNG KLH + TN'!$C:$C,'01. TH'!U$4)</f>
        <v>0</v>
      </c>
      <c r="V213" s="1042">
        <f>COUNTIFS('TỔNG KLH + TN'!$B:$B,'01. TH'!$B213,'TỔNG KLH + TN'!$C:$C,'01. TH'!V$4)</f>
        <v>0</v>
      </c>
      <c r="W213" s="1042">
        <f>COUNTIFS('TỔNG KLH + TN'!$B:$B,'01. TH'!$B213,'TỔNG KLH + TN'!$C:$C,'01. TH'!W$4)</f>
        <v>0</v>
      </c>
      <c r="X213" s="1042">
        <f>COUNTIFS('TỔNG KLH + TN'!$B:$B,'01. TH'!$B213,'TỔNG KLH + TN'!$C:$C,'01. TH'!X$4)</f>
        <v>0</v>
      </c>
      <c r="Y213" s="1042">
        <f>COUNTIFS('TỔNG KLH + TN'!$B:$B,'01. TH'!$B213,'TỔNG KLH + TN'!$C:$C,'01. TH'!Y$4)</f>
        <v>0</v>
      </c>
      <c r="Z213" s="1042">
        <f>COUNTIFS('TỔNG KLH + TN'!$B:$B,'01. TH'!$B213,'TỔNG KLH + TN'!$C:$C,'01. TH'!Z$4)</f>
        <v>0</v>
      </c>
      <c r="AA213" s="1042">
        <f>COUNTIFS('TỔNG KLH + TN'!$B:$B,'01. TH'!$B213,'TỔNG KLH + TN'!$C:$C,'01. TH'!AA$4)</f>
        <v>0</v>
      </c>
      <c r="AB213" s="1042">
        <f>COUNTIFS('TỔNG KLH + TN'!$B:$B,'01. TH'!$B213,'TỔNG KLH + TN'!$C:$C,'01. TH'!AB$4)</f>
        <v>0</v>
      </c>
      <c r="AC213" s="1042">
        <f>COUNTIFS('TỔNG KLH + TN'!$B:$B,'01. TH'!$B213,'TỔNG KLH + TN'!$C:$C,'01. TH'!AC$4)</f>
        <v>0</v>
      </c>
      <c r="AD213" s="1042">
        <f>COUNTIFS('TỔNG KLH + TN'!$B:$B,'01. TH'!$B213,'TỔNG KLH + TN'!$C:$C,'01. TH'!AD$4)</f>
        <v>0</v>
      </c>
      <c r="AE213" s="1045">
        <f t="shared" si="47"/>
        <v>1</v>
      </c>
      <c r="AF213" s="1045"/>
      <c r="AG213" s="1033" t="str">
        <f t="shared" si="23"/>
        <v>ok</v>
      </c>
      <c r="AH213" s="1046"/>
    </row>
    <row r="214" ht="18.75" hidden="1" customHeight="1" outlineLevel="1" spans="1:34">
      <c r="A214" s="1044"/>
      <c r="B214" s="1040" t="s">
        <v>318</v>
      </c>
      <c r="C214" s="1041"/>
      <c r="D214" s="1041" t="s">
        <v>319</v>
      </c>
      <c r="E214" s="1041" t="s">
        <v>302</v>
      </c>
      <c r="F214" s="1042">
        <f>COUNTIFS('TỔNG KLH + TN'!$B:$B,'01. TH'!$B214,'TỔNG KLH + TN'!$C:$C,'01. TH'!F$4)</f>
        <v>0</v>
      </c>
      <c r="G214" s="1042">
        <f>COUNTIFS('TỔNG KLH + TN'!$B:$B,'01. TH'!$B214,'TỔNG KLH + TN'!$C:$C,'01. TH'!G$4)</f>
        <v>4</v>
      </c>
      <c r="H214" s="1042">
        <f>COUNTIFS('TỔNG KLH + TN'!$B:$B,'01. TH'!$B214,'TỔNG KLH + TN'!$C:$C,'01. TH'!H$4)</f>
        <v>0</v>
      </c>
      <c r="I214" s="1042">
        <f>COUNTIFS('TỔNG KLH + TN'!$B:$B,'01. TH'!$B214,'TỔNG KLH + TN'!$C:$C,'01. TH'!I$4)</f>
        <v>0</v>
      </c>
      <c r="J214" s="1042">
        <f>COUNTIFS('TỔNG KLH + TN'!$B:$B,'01. TH'!$B214,'TỔNG KLH + TN'!$C:$C,'01. TH'!J$4)</f>
        <v>0</v>
      </c>
      <c r="K214" s="1042">
        <f>COUNTIFS('TỔNG KLH + TN'!$B:$B,'01. TH'!$B214,'TỔNG KLH + TN'!$C:$C,'01. TH'!K$4)</f>
        <v>0</v>
      </c>
      <c r="L214" s="1042">
        <f>COUNTIFS('TỔNG KLH + TN'!$B:$B,'01. TH'!$B214,'TỔNG KLH + TN'!$C:$C,'01. TH'!L$4)</f>
        <v>0</v>
      </c>
      <c r="M214" s="1042">
        <f>COUNTIFS('TỔNG KLH + TN'!$B:$B,'01. TH'!$B214,'TỔNG KLH + TN'!$C:$C,'01. TH'!M$4)</f>
        <v>0</v>
      </c>
      <c r="N214" s="1042">
        <f>COUNTIFS('TỔNG KLH + TN'!$B:$B,'01. TH'!$B214,'TỔNG KLH + TN'!$C:$C,'01. TH'!N$4)</f>
        <v>0</v>
      </c>
      <c r="O214" s="1042">
        <f>COUNTIFS('TỔNG KLH + TN'!$B:$B,'01. TH'!$B214,'TỔNG KLH + TN'!$C:$C,'01. TH'!O$4)</f>
        <v>0</v>
      </c>
      <c r="P214" s="1042">
        <f>COUNTIFS('TỔNG KLH + TN'!$B:$B,'01. TH'!$B214,'TỔNG KLH + TN'!$C:$C,'01. TH'!P$4)</f>
        <v>1</v>
      </c>
      <c r="Q214" s="1042">
        <f>COUNTIFS('TỔNG KLH + TN'!$B:$B,'01. TH'!$B214,'TỔNG KLH + TN'!$C:$C,'01. TH'!Q$4)</f>
        <v>0</v>
      </c>
      <c r="R214" s="1042">
        <f>COUNTIFS('TỔNG KLH + TN'!$B:$B,'01. TH'!$B214,'TỔNG KLH + TN'!$C:$C,'01. TH'!R$4)</f>
        <v>0</v>
      </c>
      <c r="S214" s="1042">
        <f>COUNTIFS('TỔNG KLH + TN'!$B:$B,'01. TH'!$B214,'TỔNG KLH + TN'!$C:$C,'01. TH'!S$4)</f>
        <v>0</v>
      </c>
      <c r="T214" s="1042">
        <f>COUNTIFS('TỔNG KLH + TN'!$B:$B,'01. TH'!$B214,'TỔNG KLH + TN'!$C:$C,'01. TH'!T$4)</f>
        <v>0</v>
      </c>
      <c r="U214" s="1042">
        <f>COUNTIFS('TỔNG KLH + TN'!$B:$B,'01. TH'!$B214,'TỔNG KLH + TN'!$C:$C,'01. TH'!U$4)</f>
        <v>1</v>
      </c>
      <c r="V214" s="1042">
        <f>COUNTIFS('TỔNG KLH + TN'!$B:$B,'01. TH'!$B214,'TỔNG KLH + TN'!$C:$C,'01. TH'!V$4)</f>
        <v>0</v>
      </c>
      <c r="W214" s="1042">
        <f>COUNTIFS('TỔNG KLH + TN'!$B:$B,'01. TH'!$B214,'TỔNG KLH + TN'!$C:$C,'01. TH'!W$4)</f>
        <v>0</v>
      </c>
      <c r="X214" s="1042">
        <f>COUNTIFS('TỔNG KLH + TN'!$B:$B,'01. TH'!$B214,'TỔNG KLH + TN'!$C:$C,'01. TH'!X$4)</f>
        <v>0</v>
      </c>
      <c r="Y214" s="1042">
        <f>COUNTIFS('TỔNG KLH + TN'!$B:$B,'01. TH'!$B214,'TỔNG KLH + TN'!$C:$C,'01. TH'!Y$4)</f>
        <v>0</v>
      </c>
      <c r="Z214" s="1042">
        <f>COUNTIFS('TỔNG KLH + TN'!$B:$B,'01. TH'!$B214,'TỔNG KLH + TN'!$C:$C,'01. TH'!Z$4)</f>
        <v>0</v>
      </c>
      <c r="AA214" s="1042">
        <f>COUNTIFS('TỔNG KLH + TN'!$B:$B,'01. TH'!$B214,'TỔNG KLH + TN'!$C:$C,'01. TH'!AA$4)</f>
        <v>0</v>
      </c>
      <c r="AB214" s="1042">
        <f>COUNTIFS('TỔNG KLH + TN'!$B:$B,'01. TH'!$B214,'TỔNG KLH + TN'!$C:$C,'01. TH'!AB$4)</f>
        <v>0</v>
      </c>
      <c r="AC214" s="1042">
        <f>COUNTIFS('TỔNG KLH + TN'!$B:$B,'01. TH'!$B214,'TỔNG KLH + TN'!$C:$C,'01. TH'!AC$4)</f>
        <v>0</v>
      </c>
      <c r="AD214" s="1042">
        <f>COUNTIFS('TỔNG KLH + TN'!$B:$B,'01. TH'!$B214,'TỔNG KLH + TN'!$C:$C,'01. TH'!AD$4)</f>
        <v>0</v>
      </c>
      <c r="AE214" s="1045">
        <f t="shared" si="47"/>
        <v>6</v>
      </c>
      <c r="AF214" s="1045"/>
      <c r="AG214" s="1033" t="str">
        <f t="shared" si="23"/>
        <v>ok</v>
      </c>
      <c r="AH214" s="1046"/>
    </row>
    <row r="215" ht="18.75" hidden="1" customHeight="1" outlineLevel="1" spans="1:34">
      <c r="A215" s="1056"/>
      <c r="B215" s="1054" t="s">
        <v>320</v>
      </c>
      <c r="C215" s="1041"/>
      <c r="D215" s="1041" t="s">
        <v>321</v>
      </c>
      <c r="E215" s="1041" t="s">
        <v>302</v>
      </c>
      <c r="F215" s="1042">
        <f>COUNTIFS('TỔNG KLH + TN'!$B:$B,'01. TH'!$B215,'TỔNG KLH + TN'!$C:$C,'01. TH'!F$4)</f>
        <v>0</v>
      </c>
      <c r="G215" s="1042">
        <f>COUNTIFS('TỔNG KLH + TN'!$B:$B,'01. TH'!$B215,'TỔNG KLH + TN'!$C:$C,'01. TH'!G$4)</f>
        <v>3</v>
      </c>
      <c r="H215" s="1042">
        <f>COUNTIFS('TỔNG KLH + TN'!$B:$B,'01. TH'!$B215,'TỔNG KLH + TN'!$C:$C,'01. TH'!H$4)</f>
        <v>0</v>
      </c>
      <c r="I215" s="1042">
        <f>COUNTIFS('TỔNG KLH + TN'!$B:$B,'01. TH'!$B215,'TỔNG KLH + TN'!$C:$C,'01. TH'!I$4)</f>
        <v>0</v>
      </c>
      <c r="J215" s="1042">
        <f>COUNTIFS('TỔNG KLH + TN'!$B:$B,'01. TH'!$B215,'TỔNG KLH + TN'!$C:$C,'01. TH'!J$4)</f>
        <v>0</v>
      </c>
      <c r="K215" s="1042">
        <f>COUNTIFS('TỔNG KLH + TN'!$B:$B,'01. TH'!$B215,'TỔNG KLH + TN'!$C:$C,'01. TH'!K$4)</f>
        <v>0</v>
      </c>
      <c r="L215" s="1042">
        <f>COUNTIFS('TỔNG KLH + TN'!$B:$B,'01. TH'!$B215,'TỔNG KLH + TN'!$C:$C,'01. TH'!L$4)</f>
        <v>0</v>
      </c>
      <c r="M215" s="1042">
        <f>COUNTIFS('TỔNG KLH + TN'!$B:$B,'01. TH'!$B215,'TỔNG KLH + TN'!$C:$C,'01. TH'!M$4)</f>
        <v>0</v>
      </c>
      <c r="N215" s="1042">
        <f>COUNTIFS('TỔNG KLH + TN'!$B:$B,'01. TH'!$B215,'TỔNG KLH + TN'!$C:$C,'01. TH'!N$4)</f>
        <v>0</v>
      </c>
      <c r="O215" s="1042">
        <f>COUNTIFS('TỔNG KLH + TN'!$B:$B,'01. TH'!$B215,'TỔNG KLH + TN'!$C:$C,'01. TH'!O$4)</f>
        <v>0</v>
      </c>
      <c r="P215" s="1042">
        <f>COUNTIFS('TỔNG KLH + TN'!$B:$B,'01. TH'!$B215,'TỔNG KLH + TN'!$C:$C,'01. TH'!P$4)</f>
        <v>2</v>
      </c>
      <c r="Q215" s="1042">
        <f>COUNTIFS('TỔNG KLH + TN'!$B:$B,'01. TH'!$B215,'TỔNG KLH + TN'!$C:$C,'01. TH'!Q$4)</f>
        <v>0</v>
      </c>
      <c r="R215" s="1042">
        <f>COUNTIFS('TỔNG KLH + TN'!$B:$B,'01. TH'!$B215,'TỔNG KLH + TN'!$C:$C,'01. TH'!R$4)</f>
        <v>0</v>
      </c>
      <c r="S215" s="1042">
        <f>COUNTIFS('TỔNG KLH + TN'!$B:$B,'01. TH'!$B215,'TỔNG KLH + TN'!$C:$C,'01. TH'!S$4)</f>
        <v>0</v>
      </c>
      <c r="T215" s="1042">
        <f>COUNTIFS('TỔNG KLH + TN'!$B:$B,'01. TH'!$B215,'TỔNG KLH + TN'!$C:$C,'01. TH'!T$4)</f>
        <v>0</v>
      </c>
      <c r="U215" s="1042">
        <f>COUNTIFS('TỔNG KLH + TN'!$B:$B,'01. TH'!$B215,'TỔNG KLH + TN'!$C:$C,'01. TH'!U$4)</f>
        <v>0</v>
      </c>
      <c r="V215" s="1042">
        <f>COUNTIFS('TỔNG KLH + TN'!$B:$B,'01. TH'!$B215,'TỔNG KLH + TN'!$C:$C,'01. TH'!V$4)</f>
        <v>0</v>
      </c>
      <c r="W215" s="1042">
        <f>COUNTIFS('TỔNG KLH + TN'!$B:$B,'01. TH'!$B215,'TỔNG KLH + TN'!$C:$C,'01. TH'!W$4)</f>
        <v>0</v>
      </c>
      <c r="X215" s="1042">
        <f>COUNTIFS('TỔNG KLH + TN'!$B:$B,'01. TH'!$B215,'TỔNG KLH + TN'!$C:$C,'01. TH'!X$4)</f>
        <v>0</v>
      </c>
      <c r="Y215" s="1042">
        <f>COUNTIFS('TỔNG KLH + TN'!$B:$B,'01. TH'!$B215,'TỔNG KLH + TN'!$C:$C,'01. TH'!Y$4)</f>
        <v>0</v>
      </c>
      <c r="Z215" s="1042">
        <f>COUNTIFS('TỔNG KLH + TN'!$B:$B,'01. TH'!$B215,'TỔNG KLH + TN'!$C:$C,'01. TH'!Z$4)</f>
        <v>0</v>
      </c>
      <c r="AA215" s="1042">
        <f>COUNTIFS('TỔNG KLH + TN'!$B:$B,'01. TH'!$B215,'TỔNG KLH + TN'!$C:$C,'01. TH'!AA$4)</f>
        <v>0</v>
      </c>
      <c r="AB215" s="1042">
        <f>COUNTIFS('TỔNG KLH + TN'!$B:$B,'01. TH'!$B215,'TỔNG KLH + TN'!$C:$C,'01. TH'!AB$4)</f>
        <v>0</v>
      </c>
      <c r="AC215" s="1042">
        <f>COUNTIFS('TỔNG KLH + TN'!$B:$B,'01. TH'!$B215,'TỔNG KLH + TN'!$C:$C,'01. TH'!AC$4)</f>
        <v>0</v>
      </c>
      <c r="AD215" s="1042">
        <f>COUNTIFS('TỔNG KLH + TN'!$B:$B,'01. TH'!$B215,'TỔNG KLH + TN'!$C:$C,'01. TH'!AD$4)</f>
        <v>0</v>
      </c>
      <c r="AE215" s="1057">
        <f t="shared" si="47"/>
        <v>5</v>
      </c>
      <c r="AF215" s="1057"/>
      <c r="AG215" s="1033" t="str">
        <f t="shared" si="23"/>
        <v>ok</v>
      </c>
      <c r="AH215" s="1058"/>
    </row>
    <row r="216" ht="18.75" hidden="1" customHeight="1" outlineLevel="1" spans="1:34">
      <c r="A216" s="1039"/>
      <c r="B216" s="1040" t="s">
        <v>322</v>
      </c>
      <c r="C216" s="1041"/>
      <c r="D216" s="1041" t="s">
        <v>323</v>
      </c>
      <c r="E216" s="1041" t="s">
        <v>302</v>
      </c>
      <c r="F216" s="1042">
        <f>COUNTIFS('TỔNG KLH + TN'!$B:$B,'01. TH'!$B216,'TỔNG KLH + TN'!$C:$C,'01. TH'!F$4)</f>
        <v>0</v>
      </c>
      <c r="G216" s="1042">
        <f>COUNTIFS('TỔNG KLH + TN'!$B:$B,'01. TH'!$B216,'TỔNG KLH + TN'!$C:$C,'01. TH'!G$4)</f>
        <v>0</v>
      </c>
      <c r="H216" s="1042">
        <f>COUNTIFS('TỔNG KLH + TN'!$B:$B,'01. TH'!$B216,'TỔNG KLH + TN'!$C:$C,'01. TH'!H$4)</f>
        <v>0</v>
      </c>
      <c r="I216" s="1042">
        <f>COUNTIFS('TỔNG KLH + TN'!$B:$B,'01. TH'!$B216,'TỔNG KLH + TN'!$C:$C,'01. TH'!I$4)</f>
        <v>0</v>
      </c>
      <c r="J216" s="1042">
        <f>COUNTIFS('TỔNG KLH + TN'!$B:$B,'01. TH'!$B216,'TỔNG KLH + TN'!$C:$C,'01. TH'!J$4)</f>
        <v>0</v>
      </c>
      <c r="K216" s="1042">
        <f>COUNTIFS('TỔNG KLH + TN'!$B:$B,'01. TH'!$B216,'TỔNG KLH + TN'!$C:$C,'01. TH'!K$4)</f>
        <v>0</v>
      </c>
      <c r="L216" s="1042">
        <f>COUNTIFS('TỔNG KLH + TN'!$B:$B,'01. TH'!$B216,'TỔNG KLH + TN'!$C:$C,'01. TH'!L$4)</f>
        <v>0</v>
      </c>
      <c r="M216" s="1042">
        <f>COUNTIFS('TỔNG KLH + TN'!$B:$B,'01. TH'!$B216,'TỔNG KLH + TN'!$C:$C,'01. TH'!M$4)</f>
        <v>0</v>
      </c>
      <c r="N216" s="1042">
        <f>COUNTIFS('TỔNG KLH + TN'!$B:$B,'01. TH'!$B216,'TỔNG KLH + TN'!$C:$C,'01. TH'!N$4)</f>
        <v>0</v>
      </c>
      <c r="O216" s="1042">
        <f>COUNTIFS('TỔNG KLH + TN'!$B:$B,'01. TH'!$B216,'TỔNG KLH + TN'!$C:$C,'01. TH'!O$4)</f>
        <v>0</v>
      </c>
      <c r="P216" s="1042">
        <f>COUNTIFS('TỔNG KLH + TN'!$B:$B,'01. TH'!$B216,'TỔNG KLH + TN'!$C:$C,'01. TH'!P$4)</f>
        <v>0</v>
      </c>
      <c r="Q216" s="1042">
        <f>COUNTIFS('TỔNG KLH + TN'!$B:$B,'01. TH'!$B216,'TỔNG KLH + TN'!$C:$C,'01. TH'!Q$4)</f>
        <v>0</v>
      </c>
      <c r="R216" s="1042">
        <f>COUNTIFS('TỔNG KLH + TN'!$B:$B,'01. TH'!$B216,'TỔNG KLH + TN'!$C:$C,'01. TH'!R$4)</f>
        <v>0</v>
      </c>
      <c r="S216" s="1042">
        <f>COUNTIFS('TỔNG KLH + TN'!$B:$B,'01. TH'!$B216,'TỔNG KLH + TN'!$C:$C,'01. TH'!S$4)</f>
        <v>0</v>
      </c>
      <c r="T216" s="1042">
        <f>COUNTIFS('TỔNG KLH + TN'!$B:$B,'01. TH'!$B216,'TỔNG KLH + TN'!$C:$C,'01. TH'!T$4)</f>
        <v>0</v>
      </c>
      <c r="U216" s="1042">
        <f>COUNTIFS('TỔNG KLH + TN'!$B:$B,'01. TH'!$B216,'TỔNG KLH + TN'!$C:$C,'01. TH'!U$4)</f>
        <v>0</v>
      </c>
      <c r="V216" s="1042">
        <f>COUNTIFS('TỔNG KLH + TN'!$B:$B,'01. TH'!$B216,'TỔNG KLH + TN'!$C:$C,'01. TH'!V$4)</f>
        <v>0</v>
      </c>
      <c r="W216" s="1042">
        <f>COUNTIFS('TỔNG KLH + TN'!$B:$B,'01. TH'!$B216,'TỔNG KLH + TN'!$C:$C,'01. TH'!W$4)</f>
        <v>0</v>
      </c>
      <c r="X216" s="1042">
        <f>COUNTIFS('TỔNG KLH + TN'!$B:$B,'01. TH'!$B216,'TỔNG KLH + TN'!$C:$C,'01. TH'!X$4)</f>
        <v>0</v>
      </c>
      <c r="Y216" s="1042">
        <f>COUNTIFS('TỔNG KLH + TN'!$B:$B,'01. TH'!$B216,'TỔNG KLH + TN'!$C:$C,'01. TH'!Y$4)</f>
        <v>0</v>
      </c>
      <c r="Z216" s="1042">
        <f>COUNTIFS('TỔNG KLH + TN'!$B:$B,'01. TH'!$B216,'TỔNG KLH + TN'!$C:$C,'01. TH'!Z$4)</f>
        <v>0</v>
      </c>
      <c r="AA216" s="1042">
        <f>COUNTIFS('TỔNG KLH + TN'!$B:$B,'01. TH'!$B216,'TỔNG KLH + TN'!$C:$C,'01. TH'!AA$4)</f>
        <v>0</v>
      </c>
      <c r="AB216" s="1042">
        <f>COUNTIFS('TỔNG KLH + TN'!$B:$B,'01. TH'!$B216,'TỔNG KLH + TN'!$C:$C,'01. TH'!AB$4)</f>
        <v>0</v>
      </c>
      <c r="AC216" s="1042">
        <f>COUNTIFS('TỔNG KLH + TN'!$B:$B,'01. TH'!$B216,'TỔNG KLH + TN'!$C:$C,'01. TH'!AC$4)</f>
        <v>0</v>
      </c>
      <c r="AD216" s="1042">
        <f>COUNTIFS('TỔNG KLH + TN'!$B:$B,'01. TH'!$B216,'TỔNG KLH + TN'!$C:$C,'01. TH'!AD$4)</f>
        <v>0</v>
      </c>
      <c r="AE216" s="1043">
        <f t="shared" si="47"/>
        <v>0</v>
      </c>
      <c r="AF216" s="1043"/>
      <c r="AG216" s="1033" t="str">
        <f t="shared" si="23"/>
        <v>ok</v>
      </c>
      <c r="AH216" s="1041"/>
    </row>
    <row r="217" ht="18.75" hidden="1" customHeight="1" outlineLevel="1" spans="1:34">
      <c r="A217" s="1044"/>
      <c r="B217" s="1040" t="s">
        <v>324</v>
      </c>
      <c r="C217" s="1041"/>
      <c r="D217" s="1041" t="s">
        <v>325</v>
      </c>
      <c r="E217" s="1041" t="s">
        <v>302</v>
      </c>
      <c r="F217" s="1042">
        <f>COUNTIFS('TỔNG KLH + TN'!$B:$B,'01. TH'!$B217,'TỔNG KLH + TN'!$C:$C,'01. TH'!F$4)</f>
        <v>0</v>
      </c>
      <c r="G217" s="1042">
        <f>COUNTIFS('TỔNG KLH + TN'!$B:$B,'01. TH'!$B217,'TỔNG KLH + TN'!$C:$C,'01. TH'!G$4)</f>
        <v>3</v>
      </c>
      <c r="H217" s="1042">
        <f>COUNTIFS('TỔNG KLH + TN'!$B:$B,'01. TH'!$B217,'TỔNG KLH + TN'!$C:$C,'01. TH'!H$4)</f>
        <v>0</v>
      </c>
      <c r="I217" s="1042">
        <f>COUNTIFS('TỔNG KLH + TN'!$B:$B,'01. TH'!$B217,'TỔNG KLH + TN'!$C:$C,'01. TH'!I$4)</f>
        <v>0</v>
      </c>
      <c r="J217" s="1042">
        <f>COUNTIFS('TỔNG KLH + TN'!$B:$B,'01. TH'!$B217,'TỔNG KLH + TN'!$C:$C,'01. TH'!J$4)</f>
        <v>0</v>
      </c>
      <c r="K217" s="1042">
        <f>COUNTIFS('TỔNG KLH + TN'!$B:$B,'01. TH'!$B217,'TỔNG KLH + TN'!$C:$C,'01. TH'!K$4)</f>
        <v>0</v>
      </c>
      <c r="L217" s="1042">
        <f>COUNTIFS('TỔNG KLH + TN'!$B:$B,'01. TH'!$B217,'TỔNG KLH + TN'!$C:$C,'01. TH'!L$4)</f>
        <v>0</v>
      </c>
      <c r="M217" s="1042">
        <f>COUNTIFS('TỔNG KLH + TN'!$B:$B,'01. TH'!$B217,'TỔNG KLH + TN'!$C:$C,'01. TH'!M$4)</f>
        <v>0</v>
      </c>
      <c r="N217" s="1042">
        <f>COUNTIFS('TỔNG KLH + TN'!$B:$B,'01. TH'!$B217,'TỔNG KLH + TN'!$C:$C,'01. TH'!N$4)</f>
        <v>0</v>
      </c>
      <c r="O217" s="1042">
        <f>COUNTIFS('TỔNG KLH + TN'!$B:$B,'01. TH'!$B217,'TỔNG KLH + TN'!$C:$C,'01. TH'!O$4)</f>
        <v>0</v>
      </c>
      <c r="P217" s="1042">
        <f>COUNTIFS('TỔNG KLH + TN'!$B:$B,'01. TH'!$B217,'TỔNG KLH + TN'!$C:$C,'01. TH'!P$4)</f>
        <v>3</v>
      </c>
      <c r="Q217" s="1042">
        <f>COUNTIFS('TỔNG KLH + TN'!$B:$B,'01. TH'!$B217,'TỔNG KLH + TN'!$C:$C,'01. TH'!Q$4)</f>
        <v>0</v>
      </c>
      <c r="R217" s="1042">
        <f>COUNTIFS('TỔNG KLH + TN'!$B:$B,'01. TH'!$B217,'TỔNG KLH + TN'!$C:$C,'01. TH'!R$4)</f>
        <v>0</v>
      </c>
      <c r="S217" s="1042">
        <f>COUNTIFS('TỔNG KLH + TN'!$B:$B,'01. TH'!$B217,'TỔNG KLH + TN'!$C:$C,'01. TH'!S$4)</f>
        <v>0</v>
      </c>
      <c r="T217" s="1042">
        <f>COUNTIFS('TỔNG KLH + TN'!$B:$B,'01. TH'!$B217,'TỔNG KLH + TN'!$C:$C,'01. TH'!T$4)</f>
        <v>0</v>
      </c>
      <c r="U217" s="1042">
        <f>COUNTIFS('TỔNG KLH + TN'!$B:$B,'01. TH'!$B217,'TỔNG KLH + TN'!$C:$C,'01. TH'!U$4)</f>
        <v>5</v>
      </c>
      <c r="V217" s="1042">
        <f>COUNTIFS('TỔNG KLH + TN'!$B:$B,'01. TH'!$B217,'TỔNG KLH + TN'!$C:$C,'01. TH'!V$4)</f>
        <v>0</v>
      </c>
      <c r="W217" s="1042">
        <f>COUNTIFS('TỔNG KLH + TN'!$B:$B,'01. TH'!$B217,'TỔNG KLH + TN'!$C:$C,'01. TH'!W$4)</f>
        <v>0</v>
      </c>
      <c r="X217" s="1042">
        <f>COUNTIFS('TỔNG KLH + TN'!$B:$B,'01. TH'!$B217,'TỔNG KLH + TN'!$C:$C,'01. TH'!X$4)</f>
        <v>0</v>
      </c>
      <c r="Y217" s="1042">
        <f>COUNTIFS('TỔNG KLH + TN'!$B:$B,'01. TH'!$B217,'TỔNG KLH + TN'!$C:$C,'01. TH'!Y$4)</f>
        <v>0</v>
      </c>
      <c r="Z217" s="1042">
        <f>COUNTIFS('TỔNG KLH + TN'!$B:$B,'01. TH'!$B217,'TỔNG KLH + TN'!$C:$C,'01. TH'!Z$4)</f>
        <v>0</v>
      </c>
      <c r="AA217" s="1042">
        <f>COUNTIFS('TỔNG KLH + TN'!$B:$B,'01. TH'!$B217,'TỔNG KLH + TN'!$C:$C,'01. TH'!AA$4)</f>
        <v>0</v>
      </c>
      <c r="AB217" s="1042">
        <f>COUNTIFS('TỔNG KLH + TN'!$B:$B,'01. TH'!$B217,'TỔNG KLH + TN'!$C:$C,'01. TH'!AB$4)</f>
        <v>0</v>
      </c>
      <c r="AC217" s="1042">
        <f>COUNTIFS('TỔNG KLH + TN'!$B:$B,'01. TH'!$B217,'TỔNG KLH + TN'!$C:$C,'01. TH'!AC$4)</f>
        <v>0</v>
      </c>
      <c r="AD217" s="1042">
        <f>COUNTIFS('TỔNG KLH + TN'!$B:$B,'01. TH'!$B217,'TỔNG KLH + TN'!$C:$C,'01. TH'!AD$4)</f>
        <v>0</v>
      </c>
      <c r="AE217" s="1045">
        <f t="shared" si="47"/>
        <v>11</v>
      </c>
      <c r="AF217" s="1045"/>
      <c r="AG217" s="1033" t="str">
        <f t="shared" si="23"/>
        <v>ok</v>
      </c>
      <c r="AH217" s="1046"/>
    </row>
    <row r="218" ht="18.75" hidden="1" customHeight="1" outlineLevel="1" spans="1:34">
      <c r="A218" s="1044"/>
      <c r="B218" s="1040" t="s">
        <v>326</v>
      </c>
      <c r="C218" s="1041"/>
      <c r="D218" s="1041" t="s">
        <v>327</v>
      </c>
      <c r="E218" s="1041" t="s">
        <v>302</v>
      </c>
      <c r="F218" s="1042">
        <f>COUNTIFS('TỔNG KLH + TN'!$B:$B,'01. TH'!$B218,'TỔNG KLH + TN'!$C:$C,'01. TH'!F$4)</f>
        <v>0</v>
      </c>
      <c r="G218" s="1042">
        <f>COUNTIFS('TỔNG KLH + TN'!$B:$B,'01. TH'!$B218,'TỔNG KLH + TN'!$C:$C,'01. TH'!G$4)</f>
        <v>2</v>
      </c>
      <c r="H218" s="1042">
        <f>COUNTIFS('TỔNG KLH + TN'!$B:$B,'01. TH'!$B218,'TỔNG KLH + TN'!$C:$C,'01. TH'!H$4)</f>
        <v>0</v>
      </c>
      <c r="I218" s="1042">
        <f>COUNTIFS('TỔNG KLH + TN'!$B:$B,'01. TH'!$B218,'TỔNG KLH + TN'!$C:$C,'01. TH'!I$4)</f>
        <v>0</v>
      </c>
      <c r="J218" s="1042">
        <f>COUNTIFS('TỔNG KLH + TN'!$B:$B,'01. TH'!$B218,'TỔNG KLH + TN'!$C:$C,'01. TH'!J$4)</f>
        <v>0</v>
      </c>
      <c r="K218" s="1042">
        <f>COUNTIFS('TỔNG KLH + TN'!$B:$B,'01. TH'!$B218,'TỔNG KLH + TN'!$C:$C,'01. TH'!K$4)</f>
        <v>0</v>
      </c>
      <c r="L218" s="1042">
        <f>COUNTIFS('TỔNG KLH + TN'!$B:$B,'01. TH'!$B218,'TỔNG KLH + TN'!$C:$C,'01. TH'!L$4)</f>
        <v>0</v>
      </c>
      <c r="M218" s="1042">
        <f>COUNTIFS('TỔNG KLH + TN'!$B:$B,'01. TH'!$B218,'TỔNG KLH + TN'!$C:$C,'01. TH'!M$4)</f>
        <v>0</v>
      </c>
      <c r="N218" s="1042">
        <f>COUNTIFS('TỔNG KLH + TN'!$B:$B,'01. TH'!$B218,'TỔNG KLH + TN'!$C:$C,'01. TH'!N$4)</f>
        <v>0</v>
      </c>
      <c r="O218" s="1042">
        <f>COUNTIFS('TỔNG KLH + TN'!$B:$B,'01. TH'!$B218,'TỔNG KLH + TN'!$C:$C,'01. TH'!O$4)</f>
        <v>0</v>
      </c>
      <c r="P218" s="1042">
        <f>COUNTIFS('TỔNG KLH + TN'!$B:$B,'01. TH'!$B218,'TỔNG KLH + TN'!$C:$C,'01. TH'!P$4)</f>
        <v>1</v>
      </c>
      <c r="Q218" s="1042">
        <f>COUNTIFS('TỔNG KLH + TN'!$B:$B,'01. TH'!$B218,'TỔNG KLH + TN'!$C:$C,'01. TH'!Q$4)</f>
        <v>0</v>
      </c>
      <c r="R218" s="1042">
        <f>COUNTIFS('TỔNG KLH + TN'!$B:$B,'01. TH'!$B218,'TỔNG KLH + TN'!$C:$C,'01. TH'!R$4)</f>
        <v>0</v>
      </c>
      <c r="S218" s="1042">
        <f>COUNTIFS('TỔNG KLH + TN'!$B:$B,'01. TH'!$B218,'TỔNG KLH + TN'!$C:$C,'01. TH'!S$4)</f>
        <v>0</v>
      </c>
      <c r="T218" s="1042">
        <f>COUNTIFS('TỔNG KLH + TN'!$B:$B,'01. TH'!$B218,'TỔNG KLH + TN'!$C:$C,'01. TH'!T$4)</f>
        <v>0</v>
      </c>
      <c r="U218" s="1042">
        <f>COUNTIFS('TỔNG KLH + TN'!$B:$B,'01. TH'!$B218,'TỔNG KLH + TN'!$C:$C,'01. TH'!U$4)</f>
        <v>0</v>
      </c>
      <c r="V218" s="1042">
        <f>COUNTIFS('TỔNG KLH + TN'!$B:$B,'01. TH'!$B218,'TỔNG KLH + TN'!$C:$C,'01. TH'!V$4)</f>
        <v>0</v>
      </c>
      <c r="W218" s="1042">
        <f>COUNTIFS('TỔNG KLH + TN'!$B:$B,'01. TH'!$B218,'TỔNG KLH + TN'!$C:$C,'01. TH'!W$4)</f>
        <v>0</v>
      </c>
      <c r="X218" s="1042">
        <f>COUNTIFS('TỔNG KLH + TN'!$B:$B,'01. TH'!$B218,'TỔNG KLH + TN'!$C:$C,'01. TH'!X$4)</f>
        <v>0</v>
      </c>
      <c r="Y218" s="1042">
        <f>COUNTIFS('TỔNG KLH + TN'!$B:$B,'01. TH'!$B218,'TỔNG KLH + TN'!$C:$C,'01. TH'!Y$4)</f>
        <v>0</v>
      </c>
      <c r="Z218" s="1042">
        <f>COUNTIFS('TỔNG KLH + TN'!$B:$B,'01. TH'!$B218,'TỔNG KLH + TN'!$C:$C,'01. TH'!Z$4)</f>
        <v>0</v>
      </c>
      <c r="AA218" s="1042">
        <f>COUNTIFS('TỔNG KLH + TN'!$B:$B,'01. TH'!$B218,'TỔNG KLH + TN'!$C:$C,'01. TH'!AA$4)</f>
        <v>0</v>
      </c>
      <c r="AB218" s="1042">
        <f>COUNTIFS('TỔNG KLH + TN'!$B:$B,'01. TH'!$B218,'TỔNG KLH + TN'!$C:$C,'01. TH'!AB$4)</f>
        <v>0</v>
      </c>
      <c r="AC218" s="1042">
        <f>COUNTIFS('TỔNG KLH + TN'!$B:$B,'01. TH'!$B218,'TỔNG KLH + TN'!$C:$C,'01. TH'!AC$4)</f>
        <v>0</v>
      </c>
      <c r="AD218" s="1042">
        <f>COUNTIFS('TỔNG KLH + TN'!$B:$B,'01. TH'!$B218,'TỔNG KLH + TN'!$C:$C,'01. TH'!AD$4)</f>
        <v>0</v>
      </c>
      <c r="AE218" s="1045">
        <f t="shared" si="47"/>
        <v>3</v>
      </c>
      <c r="AF218" s="1045"/>
      <c r="AG218" s="1033" t="str">
        <f t="shared" si="23"/>
        <v>ok</v>
      </c>
      <c r="AH218" s="1046"/>
    </row>
    <row r="219" ht="18.75" hidden="1" customHeight="1" outlineLevel="1" spans="1:34">
      <c r="A219" s="1044"/>
      <c r="B219" s="1040" t="s">
        <v>328</v>
      </c>
      <c r="C219" s="1041"/>
      <c r="D219" s="1041" t="s">
        <v>329</v>
      </c>
      <c r="E219" s="1041" t="s">
        <v>302</v>
      </c>
      <c r="F219" s="1042">
        <f>COUNTIFS('TỔNG KLH + TN'!$B:$B,'01. TH'!$B219,'TỔNG KLH + TN'!$C:$C,'01. TH'!F$4)</f>
        <v>0</v>
      </c>
      <c r="G219" s="1042">
        <f>COUNTIFS('TỔNG KLH + TN'!$B:$B,'01. TH'!$B219,'TỔNG KLH + TN'!$C:$C,'01. TH'!G$4)</f>
        <v>2</v>
      </c>
      <c r="H219" s="1042">
        <f>COUNTIFS('TỔNG KLH + TN'!$B:$B,'01. TH'!$B219,'TỔNG KLH + TN'!$C:$C,'01. TH'!H$4)</f>
        <v>0</v>
      </c>
      <c r="I219" s="1042">
        <f>COUNTIFS('TỔNG KLH + TN'!$B:$B,'01. TH'!$B219,'TỔNG KLH + TN'!$C:$C,'01. TH'!I$4)</f>
        <v>0</v>
      </c>
      <c r="J219" s="1042">
        <f>COUNTIFS('TỔNG KLH + TN'!$B:$B,'01. TH'!$B219,'TỔNG KLH + TN'!$C:$C,'01. TH'!J$4)</f>
        <v>0</v>
      </c>
      <c r="K219" s="1042">
        <f>COUNTIFS('TỔNG KLH + TN'!$B:$B,'01. TH'!$B219,'TỔNG KLH + TN'!$C:$C,'01. TH'!K$4)</f>
        <v>0</v>
      </c>
      <c r="L219" s="1042">
        <f>COUNTIFS('TỔNG KLH + TN'!$B:$B,'01. TH'!$B219,'TỔNG KLH + TN'!$C:$C,'01. TH'!L$4)</f>
        <v>0</v>
      </c>
      <c r="M219" s="1042">
        <f>COUNTIFS('TỔNG KLH + TN'!$B:$B,'01. TH'!$B219,'TỔNG KLH + TN'!$C:$C,'01. TH'!M$4)</f>
        <v>0</v>
      </c>
      <c r="N219" s="1042">
        <f>COUNTIFS('TỔNG KLH + TN'!$B:$B,'01. TH'!$B219,'TỔNG KLH + TN'!$C:$C,'01. TH'!N$4)</f>
        <v>0</v>
      </c>
      <c r="O219" s="1042">
        <f>COUNTIFS('TỔNG KLH + TN'!$B:$B,'01. TH'!$B219,'TỔNG KLH + TN'!$C:$C,'01. TH'!O$4)</f>
        <v>0</v>
      </c>
      <c r="P219" s="1042">
        <f>COUNTIFS('TỔNG KLH + TN'!$B:$B,'01. TH'!$B219,'TỔNG KLH + TN'!$C:$C,'01. TH'!P$4)</f>
        <v>4</v>
      </c>
      <c r="Q219" s="1042">
        <f>COUNTIFS('TỔNG KLH + TN'!$B:$B,'01. TH'!$B219,'TỔNG KLH + TN'!$C:$C,'01. TH'!Q$4)</f>
        <v>0</v>
      </c>
      <c r="R219" s="1042">
        <f>COUNTIFS('TỔNG KLH + TN'!$B:$B,'01. TH'!$B219,'TỔNG KLH + TN'!$C:$C,'01. TH'!R$4)</f>
        <v>0</v>
      </c>
      <c r="S219" s="1042">
        <f>COUNTIFS('TỔNG KLH + TN'!$B:$B,'01. TH'!$B219,'TỔNG KLH + TN'!$C:$C,'01. TH'!S$4)</f>
        <v>1</v>
      </c>
      <c r="T219" s="1042">
        <f>COUNTIFS('TỔNG KLH + TN'!$B:$B,'01. TH'!$B219,'TỔNG KLH + TN'!$C:$C,'01. TH'!T$4)</f>
        <v>0</v>
      </c>
      <c r="U219" s="1042">
        <f>COUNTIFS('TỔNG KLH + TN'!$B:$B,'01. TH'!$B219,'TỔNG KLH + TN'!$C:$C,'01. TH'!U$4)</f>
        <v>1</v>
      </c>
      <c r="V219" s="1042">
        <f>COUNTIFS('TỔNG KLH + TN'!$B:$B,'01. TH'!$B219,'TỔNG KLH + TN'!$C:$C,'01. TH'!V$4)</f>
        <v>0</v>
      </c>
      <c r="W219" s="1042">
        <f>COUNTIFS('TỔNG KLH + TN'!$B:$B,'01. TH'!$B219,'TỔNG KLH + TN'!$C:$C,'01. TH'!W$4)</f>
        <v>0</v>
      </c>
      <c r="X219" s="1042">
        <f>COUNTIFS('TỔNG KLH + TN'!$B:$B,'01. TH'!$B219,'TỔNG KLH + TN'!$C:$C,'01. TH'!X$4)</f>
        <v>0</v>
      </c>
      <c r="Y219" s="1042">
        <f>COUNTIFS('TỔNG KLH + TN'!$B:$B,'01. TH'!$B219,'TỔNG KLH + TN'!$C:$C,'01. TH'!Y$4)</f>
        <v>0</v>
      </c>
      <c r="Z219" s="1042">
        <f>COUNTIFS('TỔNG KLH + TN'!$B:$B,'01. TH'!$B219,'TỔNG KLH + TN'!$C:$C,'01. TH'!Z$4)</f>
        <v>0</v>
      </c>
      <c r="AA219" s="1042">
        <f>COUNTIFS('TỔNG KLH + TN'!$B:$B,'01. TH'!$B219,'TỔNG KLH + TN'!$C:$C,'01. TH'!AA$4)</f>
        <v>0</v>
      </c>
      <c r="AB219" s="1042">
        <f>COUNTIFS('TỔNG KLH + TN'!$B:$B,'01. TH'!$B219,'TỔNG KLH + TN'!$C:$C,'01. TH'!AB$4)</f>
        <v>0</v>
      </c>
      <c r="AC219" s="1042">
        <f>COUNTIFS('TỔNG KLH + TN'!$B:$B,'01. TH'!$B219,'TỔNG KLH + TN'!$C:$C,'01. TH'!AC$4)</f>
        <v>0</v>
      </c>
      <c r="AD219" s="1042">
        <f>COUNTIFS('TỔNG KLH + TN'!$B:$B,'01. TH'!$B219,'TỔNG KLH + TN'!$C:$C,'01. TH'!AD$4)</f>
        <v>0</v>
      </c>
      <c r="AE219" s="1045">
        <f t="shared" si="47"/>
        <v>8</v>
      </c>
      <c r="AF219" s="1045"/>
      <c r="AG219" s="1033" t="str">
        <f t="shared" si="23"/>
        <v>ok</v>
      </c>
      <c r="AH219" s="1053"/>
    </row>
    <row r="220" ht="18.75" hidden="1" customHeight="1" outlineLevel="1" spans="1:34">
      <c r="A220" s="1056"/>
      <c r="B220" s="1054" t="s">
        <v>330</v>
      </c>
      <c r="C220" s="1041"/>
      <c r="D220" s="1041" t="s">
        <v>331</v>
      </c>
      <c r="E220" s="1041" t="s">
        <v>302</v>
      </c>
      <c r="F220" s="1042">
        <f>COUNTIFS('TỔNG KLH + TN'!$B:$B,'01. TH'!$B220,'TỔNG KLH + TN'!$C:$C,'01. TH'!F$4)</f>
        <v>0</v>
      </c>
      <c r="G220" s="1042">
        <f>COUNTIFS('TỔNG KLH + TN'!$B:$B,'01. TH'!$B220,'TỔNG KLH + TN'!$C:$C,'01. TH'!G$4)</f>
        <v>2</v>
      </c>
      <c r="H220" s="1042">
        <f>COUNTIFS('TỔNG KLH + TN'!$B:$B,'01. TH'!$B220,'TỔNG KLH + TN'!$C:$C,'01. TH'!H$4)</f>
        <v>0</v>
      </c>
      <c r="I220" s="1042">
        <f>COUNTIFS('TỔNG KLH + TN'!$B:$B,'01. TH'!$B220,'TỔNG KLH + TN'!$C:$C,'01. TH'!I$4)</f>
        <v>0</v>
      </c>
      <c r="J220" s="1042">
        <f>COUNTIFS('TỔNG KLH + TN'!$B:$B,'01. TH'!$B220,'TỔNG KLH + TN'!$C:$C,'01. TH'!J$4)</f>
        <v>0</v>
      </c>
      <c r="K220" s="1042">
        <f>COUNTIFS('TỔNG KLH + TN'!$B:$B,'01. TH'!$B220,'TỔNG KLH + TN'!$C:$C,'01. TH'!K$4)</f>
        <v>0</v>
      </c>
      <c r="L220" s="1042">
        <f>COUNTIFS('TỔNG KLH + TN'!$B:$B,'01. TH'!$B220,'TỔNG KLH + TN'!$C:$C,'01. TH'!L$4)</f>
        <v>0</v>
      </c>
      <c r="M220" s="1042">
        <f>COUNTIFS('TỔNG KLH + TN'!$B:$B,'01. TH'!$B220,'TỔNG KLH + TN'!$C:$C,'01. TH'!M$4)</f>
        <v>0</v>
      </c>
      <c r="N220" s="1042">
        <f>COUNTIFS('TỔNG KLH + TN'!$B:$B,'01. TH'!$B220,'TỔNG KLH + TN'!$C:$C,'01. TH'!N$4)</f>
        <v>0</v>
      </c>
      <c r="O220" s="1042">
        <f>COUNTIFS('TỔNG KLH + TN'!$B:$B,'01. TH'!$B220,'TỔNG KLH + TN'!$C:$C,'01. TH'!O$4)</f>
        <v>0</v>
      </c>
      <c r="P220" s="1042">
        <f>COUNTIFS('TỔNG KLH + TN'!$B:$B,'01. TH'!$B220,'TỔNG KLH + TN'!$C:$C,'01. TH'!P$4)</f>
        <v>2</v>
      </c>
      <c r="Q220" s="1042">
        <f>COUNTIFS('TỔNG KLH + TN'!$B:$B,'01. TH'!$B220,'TỔNG KLH + TN'!$C:$C,'01. TH'!Q$4)</f>
        <v>0</v>
      </c>
      <c r="R220" s="1042">
        <f>COUNTIFS('TỔNG KLH + TN'!$B:$B,'01. TH'!$B220,'TỔNG KLH + TN'!$C:$C,'01. TH'!R$4)</f>
        <v>0</v>
      </c>
      <c r="S220" s="1042">
        <f>COUNTIFS('TỔNG KLH + TN'!$B:$B,'01. TH'!$B220,'TỔNG KLH + TN'!$C:$C,'01. TH'!S$4)</f>
        <v>0</v>
      </c>
      <c r="T220" s="1042">
        <f>COUNTIFS('TỔNG KLH + TN'!$B:$B,'01. TH'!$B220,'TỔNG KLH + TN'!$C:$C,'01. TH'!T$4)</f>
        <v>0</v>
      </c>
      <c r="U220" s="1042">
        <f>COUNTIFS('TỔNG KLH + TN'!$B:$B,'01. TH'!$B220,'TỔNG KLH + TN'!$C:$C,'01. TH'!U$4)</f>
        <v>1</v>
      </c>
      <c r="V220" s="1042">
        <f>COUNTIFS('TỔNG KLH + TN'!$B:$B,'01. TH'!$B220,'TỔNG KLH + TN'!$C:$C,'01. TH'!V$4)</f>
        <v>0</v>
      </c>
      <c r="W220" s="1042">
        <f>COUNTIFS('TỔNG KLH + TN'!$B:$B,'01. TH'!$B220,'TỔNG KLH + TN'!$C:$C,'01. TH'!W$4)</f>
        <v>0</v>
      </c>
      <c r="X220" s="1042">
        <f>COUNTIFS('TỔNG KLH + TN'!$B:$B,'01. TH'!$B220,'TỔNG KLH + TN'!$C:$C,'01. TH'!X$4)</f>
        <v>0</v>
      </c>
      <c r="Y220" s="1042">
        <f>COUNTIFS('TỔNG KLH + TN'!$B:$B,'01. TH'!$B220,'TỔNG KLH + TN'!$C:$C,'01. TH'!Y$4)</f>
        <v>0</v>
      </c>
      <c r="Z220" s="1042">
        <f>COUNTIFS('TỔNG KLH + TN'!$B:$B,'01. TH'!$B220,'TỔNG KLH + TN'!$C:$C,'01. TH'!Z$4)</f>
        <v>0</v>
      </c>
      <c r="AA220" s="1042">
        <f>COUNTIFS('TỔNG KLH + TN'!$B:$B,'01. TH'!$B220,'TỔNG KLH + TN'!$C:$C,'01. TH'!AA$4)</f>
        <v>0</v>
      </c>
      <c r="AB220" s="1042">
        <f>COUNTIFS('TỔNG KLH + TN'!$B:$B,'01. TH'!$B220,'TỔNG KLH + TN'!$C:$C,'01. TH'!AB$4)</f>
        <v>0</v>
      </c>
      <c r="AC220" s="1042">
        <f>COUNTIFS('TỔNG KLH + TN'!$B:$B,'01. TH'!$B220,'TỔNG KLH + TN'!$C:$C,'01. TH'!AC$4)</f>
        <v>0</v>
      </c>
      <c r="AD220" s="1042">
        <f>COUNTIFS('TỔNG KLH + TN'!$B:$B,'01. TH'!$B220,'TỔNG KLH + TN'!$C:$C,'01. TH'!AD$4)</f>
        <v>0</v>
      </c>
      <c r="AE220" s="1057">
        <f t="shared" si="47"/>
        <v>5</v>
      </c>
      <c r="AF220" s="1057"/>
      <c r="AG220" s="1033" t="str">
        <f t="shared" si="23"/>
        <v>ok</v>
      </c>
      <c r="AH220" s="1058"/>
    </row>
    <row r="221" ht="18.75" hidden="1" customHeight="1" outlineLevel="1" spans="1:34">
      <c r="A221" s="1056"/>
      <c r="B221" s="1054" t="s">
        <v>332</v>
      </c>
      <c r="C221" s="1041"/>
      <c r="D221" s="1041"/>
      <c r="E221" s="1041" t="s">
        <v>302</v>
      </c>
      <c r="F221" s="1042">
        <f>COUNTIFS('TỔNG KLH + TN'!$B:$B,'01. TH'!$B221,'TỔNG KLH + TN'!$C:$C,'01. TH'!F$4)</f>
        <v>0</v>
      </c>
      <c r="G221" s="1042">
        <f>COUNTIFS('TỔNG KLH + TN'!$B:$B,'01. TH'!$B221,'TỔNG KLH + TN'!$C:$C,'01. TH'!G$4)</f>
        <v>6</v>
      </c>
      <c r="H221" s="1042">
        <f>COUNTIFS('TỔNG KLH + TN'!$B:$B,'01. TH'!$B221,'TỔNG KLH + TN'!$C:$C,'01. TH'!H$4)</f>
        <v>0</v>
      </c>
      <c r="I221" s="1042">
        <f>COUNTIFS('TỔNG KLH + TN'!$B:$B,'01. TH'!$B221,'TỔNG KLH + TN'!$C:$C,'01. TH'!I$4)</f>
        <v>0</v>
      </c>
      <c r="J221" s="1042">
        <f>COUNTIFS('TỔNG KLH + TN'!$B:$B,'01. TH'!$B221,'TỔNG KLH + TN'!$C:$C,'01. TH'!J$4)</f>
        <v>0</v>
      </c>
      <c r="K221" s="1042">
        <f>COUNTIFS('TỔNG KLH + TN'!$B:$B,'01. TH'!$B221,'TỔNG KLH + TN'!$C:$C,'01. TH'!K$4)</f>
        <v>0</v>
      </c>
      <c r="L221" s="1042">
        <f>COUNTIFS('TỔNG KLH + TN'!$B:$B,'01. TH'!$B221,'TỔNG KLH + TN'!$C:$C,'01. TH'!L$4)</f>
        <v>0</v>
      </c>
      <c r="M221" s="1042">
        <f>COUNTIFS('TỔNG KLH + TN'!$B:$B,'01. TH'!$B221,'TỔNG KLH + TN'!$C:$C,'01. TH'!M$4)</f>
        <v>0</v>
      </c>
      <c r="N221" s="1042">
        <f>COUNTIFS('TỔNG KLH + TN'!$B:$B,'01. TH'!$B221,'TỔNG KLH + TN'!$C:$C,'01. TH'!N$4)</f>
        <v>0</v>
      </c>
      <c r="O221" s="1042">
        <f>COUNTIFS('TỔNG KLH + TN'!$B:$B,'01. TH'!$B221,'TỔNG KLH + TN'!$C:$C,'01. TH'!O$4)</f>
        <v>0</v>
      </c>
      <c r="P221" s="1042">
        <f>COUNTIFS('TỔNG KLH + TN'!$B:$B,'01. TH'!$B221,'TỔNG KLH + TN'!$C:$C,'01. TH'!P$4)</f>
        <v>1</v>
      </c>
      <c r="Q221" s="1042">
        <f>COUNTIFS('TỔNG KLH + TN'!$B:$B,'01. TH'!$B221,'TỔNG KLH + TN'!$C:$C,'01. TH'!Q$4)</f>
        <v>0</v>
      </c>
      <c r="R221" s="1042">
        <f>COUNTIFS('TỔNG KLH + TN'!$B:$B,'01. TH'!$B221,'TỔNG KLH + TN'!$C:$C,'01. TH'!R$4)</f>
        <v>0</v>
      </c>
      <c r="S221" s="1042">
        <f>COUNTIFS('TỔNG KLH + TN'!$B:$B,'01. TH'!$B221,'TỔNG KLH + TN'!$C:$C,'01. TH'!S$4)</f>
        <v>0</v>
      </c>
      <c r="T221" s="1042">
        <f>COUNTIFS('TỔNG KLH + TN'!$B:$B,'01. TH'!$B221,'TỔNG KLH + TN'!$C:$C,'01. TH'!T$4)</f>
        <v>0</v>
      </c>
      <c r="U221" s="1042">
        <f>COUNTIFS('TỔNG KLH + TN'!$B:$B,'01. TH'!$B221,'TỔNG KLH + TN'!$C:$C,'01. TH'!U$4)</f>
        <v>0</v>
      </c>
      <c r="V221" s="1042">
        <f>COUNTIFS('TỔNG KLH + TN'!$B:$B,'01. TH'!$B221,'TỔNG KLH + TN'!$C:$C,'01. TH'!V$4)</f>
        <v>0</v>
      </c>
      <c r="W221" s="1042">
        <f>COUNTIFS('TỔNG KLH + TN'!$B:$B,'01. TH'!$B221,'TỔNG KLH + TN'!$C:$C,'01. TH'!W$4)</f>
        <v>0</v>
      </c>
      <c r="X221" s="1042">
        <f>COUNTIFS('TỔNG KLH + TN'!$B:$B,'01. TH'!$B221,'TỔNG KLH + TN'!$C:$C,'01. TH'!X$4)</f>
        <v>0</v>
      </c>
      <c r="Y221" s="1042">
        <f>COUNTIFS('TỔNG KLH + TN'!$B:$B,'01. TH'!$B221,'TỔNG KLH + TN'!$C:$C,'01. TH'!Y$4)</f>
        <v>0</v>
      </c>
      <c r="Z221" s="1042">
        <f>COUNTIFS('TỔNG KLH + TN'!$B:$B,'01. TH'!$B221,'TỔNG KLH + TN'!$C:$C,'01. TH'!Z$4)</f>
        <v>0</v>
      </c>
      <c r="AA221" s="1042">
        <f>COUNTIFS('TỔNG KLH + TN'!$B:$B,'01. TH'!$B221,'TỔNG KLH + TN'!$C:$C,'01. TH'!AA$4)</f>
        <v>0</v>
      </c>
      <c r="AB221" s="1042">
        <f>COUNTIFS('TỔNG KLH + TN'!$B:$B,'01. TH'!$B221,'TỔNG KLH + TN'!$C:$C,'01. TH'!AB$4)</f>
        <v>0</v>
      </c>
      <c r="AC221" s="1042">
        <f>COUNTIFS('TỔNG KLH + TN'!$B:$B,'01. TH'!$B221,'TỔNG KLH + TN'!$C:$C,'01. TH'!AC$4)</f>
        <v>0</v>
      </c>
      <c r="AD221" s="1042">
        <f>COUNTIFS('TỔNG KLH + TN'!$B:$B,'01. TH'!$B221,'TỔNG KLH + TN'!$C:$C,'01. TH'!AD$4)</f>
        <v>0</v>
      </c>
      <c r="AE221" s="1057">
        <f t="shared" si="47"/>
        <v>7</v>
      </c>
      <c r="AF221" s="1057"/>
      <c r="AG221" s="1033" t="str">
        <f t="shared" si="23"/>
        <v>ok</v>
      </c>
      <c r="AH221" s="1058"/>
    </row>
    <row r="222" ht="18.75" hidden="1" customHeight="1" outlineLevel="1" spans="1:34">
      <c r="A222" s="1056"/>
      <c r="B222" s="1054" t="s">
        <v>333</v>
      </c>
      <c r="C222" s="1041"/>
      <c r="D222" s="1041" t="s">
        <v>334</v>
      </c>
      <c r="E222" s="1041" t="s">
        <v>302</v>
      </c>
      <c r="F222" s="1042">
        <f>COUNTIFS('TỔNG KLH + TN'!$B:$B,'01. TH'!$B222,'TỔNG KLH + TN'!$C:$C,'01. TH'!F$4)</f>
        <v>0</v>
      </c>
      <c r="G222" s="1042">
        <f>COUNTIFS('TỔNG KLH + TN'!$B:$B,'01. TH'!$B222,'TỔNG KLH + TN'!$C:$C,'01. TH'!G$4)</f>
        <v>0</v>
      </c>
      <c r="H222" s="1042">
        <f>COUNTIFS('TỔNG KLH + TN'!$B:$B,'01. TH'!$B222,'TỔNG KLH + TN'!$C:$C,'01. TH'!H$4)</f>
        <v>0</v>
      </c>
      <c r="I222" s="1042">
        <f>COUNTIFS('TỔNG KLH + TN'!$B:$B,'01. TH'!$B222,'TỔNG KLH + TN'!$C:$C,'01. TH'!I$4)</f>
        <v>0</v>
      </c>
      <c r="J222" s="1042">
        <f>COUNTIFS('TỔNG KLH + TN'!$B:$B,'01. TH'!$B222,'TỔNG KLH + TN'!$C:$C,'01. TH'!J$4)</f>
        <v>0</v>
      </c>
      <c r="K222" s="1042">
        <f>COUNTIFS('TỔNG KLH + TN'!$B:$B,'01. TH'!$B222,'TỔNG KLH + TN'!$C:$C,'01. TH'!K$4)</f>
        <v>0</v>
      </c>
      <c r="L222" s="1042">
        <f>COUNTIFS('TỔNG KLH + TN'!$B:$B,'01. TH'!$B222,'TỔNG KLH + TN'!$C:$C,'01. TH'!L$4)</f>
        <v>0</v>
      </c>
      <c r="M222" s="1042">
        <f>COUNTIFS('TỔNG KLH + TN'!$B:$B,'01. TH'!$B222,'TỔNG KLH + TN'!$C:$C,'01. TH'!M$4)</f>
        <v>0</v>
      </c>
      <c r="N222" s="1042">
        <f>COUNTIFS('TỔNG KLH + TN'!$B:$B,'01. TH'!$B222,'TỔNG KLH + TN'!$C:$C,'01. TH'!N$4)</f>
        <v>0</v>
      </c>
      <c r="O222" s="1042">
        <f>COUNTIFS('TỔNG KLH + TN'!$B:$B,'01. TH'!$B222,'TỔNG KLH + TN'!$C:$C,'01. TH'!O$4)</f>
        <v>0</v>
      </c>
      <c r="P222" s="1042">
        <f>COUNTIFS('TỔNG KLH + TN'!$B:$B,'01. TH'!$B222,'TỔNG KLH + TN'!$C:$C,'01. TH'!P$4)</f>
        <v>0</v>
      </c>
      <c r="Q222" s="1042">
        <f>COUNTIFS('TỔNG KLH + TN'!$B:$B,'01. TH'!$B222,'TỔNG KLH + TN'!$C:$C,'01. TH'!Q$4)</f>
        <v>0</v>
      </c>
      <c r="R222" s="1042">
        <f>COUNTIFS('TỔNG KLH + TN'!$B:$B,'01. TH'!$B222,'TỔNG KLH + TN'!$C:$C,'01. TH'!R$4)</f>
        <v>0</v>
      </c>
      <c r="S222" s="1042">
        <f>COUNTIFS('TỔNG KLH + TN'!$B:$B,'01. TH'!$B222,'TỔNG KLH + TN'!$C:$C,'01. TH'!S$4)</f>
        <v>0</v>
      </c>
      <c r="T222" s="1042">
        <f>COUNTIFS('TỔNG KLH + TN'!$B:$B,'01. TH'!$B222,'TỔNG KLH + TN'!$C:$C,'01. TH'!T$4)</f>
        <v>0</v>
      </c>
      <c r="U222" s="1042">
        <f>COUNTIFS('TỔNG KLH + TN'!$B:$B,'01. TH'!$B222,'TỔNG KLH + TN'!$C:$C,'01. TH'!U$4)</f>
        <v>0</v>
      </c>
      <c r="V222" s="1042">
        <f>COUNTIFS('TỔNG KLH + TN'!$B:$B,'01. TH'!$B222,'TỔNG KLH + TN'!$C:$C,'01. TH'!V$4)</f>
        <v>0</v>
      </c>
      <c r="W222" s="1042">
        <f>COUNTIFS('TỔNG KLH + TN'!$B:$B,'01. TH'!$B222,'TỔNG KLH + TN'!$C:$C,'01. TH'!W$4)</f>
        <v>0</v>
      </c>
      <c r="X222" s="1042">
        <f>COUNTIFS('TỔNG KLH + TN'!$B:$B,'01. TH'!$B222,'TỔNG KLH + TN'!$C:$C,'01. TH'!X$4)</f>
        <v>0</v>
      </c>
      <c r="Y222" s="1042">
        <f>COUNTIFS('TỔNG KLH + TN'!$B:$B,'01. TH'!$B222,'TỔNG KLH + TN'!$C:$C,'01. TH'!Y$4)</f>
        <v>0</v>
      </c>
      <c r="Z222" s="1042">
        <f>COUNTIFS('TỔNG KLH + TN'!$B:$B,'01. TH'!$B222,'TỔNG KLH + TN'!$C:$C,'01. TH'!Z$4)</f>
        <v>0</v>
      </c>
      <c r="AA222" s="1042">
        <f>COUNTIFS('TỔNG KLH + TN'!$B:$B,'01. TH'!$B222,'TỔNG KLH + TN'!$C:$C,'01. TH'!AA$4)</f>
        <v>0</v>
      </c>
      <c r="AB222" s="1042">
        <f>COUNTIFS('TỔNG KLH + TN'!$B:$B,'01. TH'!$B222,'TỔNG KLH + TN'!$C:$C,'01. TH'!AB$4)</f>
        <v>0</v>
      </c>
      <c r="AC222" s="1042">
        <f>COUNTIFS('TỔNG KLH + TN'!$B:$B,'01. TH'!$B222,'TỔNG KLH + TN'!$C:$C,'01. TH'!AC$4)</f>
        <v>0</v>
      </c>
      <c r="AD222" s="1042">
        <f>COUNTIFS('TỔNG KLH + TN'!$B:$B,'01. TH'!$B222,'TỔNG KLH + TN'!$C:$C,'01. TH'!AD$4)</f>
        <v>0</v>
      </c>
      <c r="AE222" s="1057">
        <f t="shared" si="47"/>
        <v>0</v>
      </c>
      <c r="AF222" s="1057"/>
      <c r="AG222" s="1033" t="str">
        <f t="shared" si="23"/>
        <v>ok</v>
      </c>
      <c r="AH222" s="1058"/>
    </row>
    <row r="223" ht="18.75" hidden="1" customHeight="1" outlineLevel="1" spans="1:34">
      <c r="A223" s="1056"/>
      <c r="B223" s="1054" t="s">
        <v>335</v>
      </c>
      <c r="C223" s="1041"/>
      <c r="D223" s="1041"/>
      <c r="E223" s="1041" t="s">
        <v>302</v>
      </c>
      <c r="F223" s="1042">
        <f>COUNTIFS('TỔNG KLH + TN'!$B:$B,'01. TH'!$B223,'TỔNG KLH + TN'!$C:$C,'01. TH'!F$4)</f>
        <v>0</v>
      </c>
      <c r="G223" s="1042">
        <f>COUNTIFS('TỔNG KLH + TN'!$B:$B,'01. TH'!$B223,'TỔNG KLH + TN'!$C:$C,'01. TH'!G$4)</f>
        <v>4</v>
      </c>
      <c r="H223" s="1042">
        <f>COUNTIFS('TỔNG KLH + TN'!$B:$B,'01. TH'!$B223,'TỔNG KLH + TN'!$C:$C,'01. TH'!H$4)</f>
        <v>0</v>
      </c>
      <c r="I223" s="1042">
        <f>COUNTIFS('TỔNG KLH + TN'!$B:$B,'01. TH'!$B223,'TỔNG KLH + TN'!$C:$C,'01. TH'!I$4)</f>
        <v>0</v>
      </c>
      <c r="J223" s="1042">
        <f>COUNTIFS('TỔNG KLH + TN'!$B:$B,'01. TH'!$B223,'TỔNG KLH + TN'!$C:$C,'01. TH'!J$4)</f>
        <v>0</v>
      </c>
      <c r="K223" s="1042">
        <f>COUNTIFS('TỔNG KLH + TN'!$B:$B,'01. TH'!$B223,'TỔNG KLH + TN'!$C:$C,'01. TH'!K$4)</f>
        <v>0</v>
      </c>
      <c r="L223" s="1042">
        <f>COUNTIFS('TỔNG KLH + TN'!$B:$B,'01. TH'!$B223,'TỔNG KLH + TN'!$C:$C,'01. TH'!L$4)</f>
        <v>0</v>
      </c>
      <c r="M223" s="1042">
        <f>COUNTIFS('TỔNG KLH + TN'!$B:$B,'01. TH'!$B223,'TỔNG KLH + TN'!$C:$C,'01. TH'!M$4)</f>
        <v>0</v>
      </c>
      <c r="N223" s="1042">
        <f>COUNTIFS('TỔNG KLH + TN'!$B:$B,'01. TH'!$B223,'TỔNG KLH + TN'!$C:$C,'01. TH'!N$4)</f>
        <v>0</v>
      </c>
      <c r="O223" s="1042">
        <f>COUNTIFS('TỔNG KLH + TN'!$B:$B,'01. TH'!$B223,'TỔNG KLH + TN'!$C:$C,'01. TH'!O$4)</f>
        <v>0</v>
      </c>
      <c r="P223" s="1042">
        <f>COUNTIFS('TỔNG KLH + TN'!$B:$B,'01. TH'!$B223,'TỔNG KLH + TN'!$C:$C,'01. TH'!P$4)</f>
        <v>3</v>
      </c>
      <c r="Q223" s="1042">
        <f>COUNTIFS('TỔNG KLH + TN'!$B:$B,'01. TH'!$B223,'TỔNG KLH + TN'!$C:$C,'01. TH'!Q$4)</f>
        <v>0</v>
      </c>
      <c r="R223" s="1042">
        <f>COUNTIFS('TỔNG KLH + TN'!$B:$B,'01. TH'!$B223,'TỔNG KLH + TN'!$C:$C,'01. TH'!R$4)</f>
        <v>0</v>
      </c>
      <c r="S223" s="1042">
        <f>COUNTIFS('TỔNG KLH + TN'!$B:$B,'01. TH'!$B223,'TỔNG KLH + TN'!$C:$C,'01. TH'!S$4)</f>
        <v>0</v>
      </c>
      <c r="T223" s="1042">
        <f>COUNTIFS('TỔNG KLH + TN'!$B:$B,'01. TH'!$B223,'TỔNG KLH + TN'!$C:$C,'01. TH'!T$4)</f>
        <v>0</v>
      </c>
      <c r="U223" s="1042">
        <f>COUNTIFS('TỔNG KLH + TN'!$B:$B,'01. TH'!$B223,'TỔNG KLH + TN'!$C:$C,'01. TH'!U$4)</f>
        <v>1</v>
      </c>
      <c r="V223" s="1042">
        <f>COUNTIFS('TỔNG KLH + TN'!$B:$B,'01. TH'!$B223,'TỔNG KLH + TN'!$C:$C,'01. TH'!V$4)</f>
        <v>0</v>
      </c>
      <c r="W223" s="1042">
        <f>COUNTIFS('TỔNG KLH + TN'!$B:$B,'01. TH'!$B223,'TỔNG KLH + TN'!$C:$C,'01. TH'!W$4)</f>
        <v>0</v>
      </c>
      <c r="X223" s="1042">
        <f>COUNTIFS('TỔNG KLH + TN'!$B:$B,'01. TH'!$B223,'TỔNG KLH + TN'!$C:$C,'01. TH'!X$4)</f>
        <v>0</v>
      </c>
      <c r="Y223" s="1042">
        <f>COUNTIFS('TỔNG KLH + TN'!$B:$B,'01. TH'!$B223,'TỔNG KLH + TN'!$C:$C,'01. TH'!Y$4)</f>
        <v>0</v>
      </c>
      <c r="Z223" s="1042">
        <f>COUNTIFS('TỔNG KLH + TN'!$B:$B,'01. TH'!$B223,'TỔNG KLH + TN'!$C:$C,'01. TH'!Z$4)</f>
        <v>0</v>
      </c>
      <c r="AA223" s="1042">
        <f>COUNTIFS('TỔNG KLH + TN'!$B:$B,'01. TH'!$B223,'TỔNG KLH + TN'!$C:$C,'01. TH'!AA$4)</f>
        <v>0</v>
      </c>
      <c r="AB223" s="1042">
        <f>COUNTIFS('TỔNG KLH + TN'!$B:$B,'01. TH'!$B223,'TỔNG KLH + TN'!$C:$C,'01. TH'!AB$4)</f>
        <v>0</v>
      </c>
      <c r="AC223" s="1042">
        <f>COUNTIFS('TỔNG KLH + TN'!$B:$B,'01. TH'!$B223,'TỔNG KLH + TN'!$C:$C,'01. TH'!AC$4)</f>
        <v>0</v>
      </c>
      <c r="AD223" s="1042">
        <f>COUNTIFS('TỔNG KLH + TN'!$B:$B,'01. TH'!$B223,'TỔNG KLH + TN'!$C:$C,'01. TH'!AD$4)</f>
        <v>0</v>
      </c>
      <c r="AE223" s="1057">
        <f t="shared" si="47"/>
        <v>8</v>
      </c>
      <c r="AF223" s="1057"/>
      <c r="AG223" s="1033" t="str">
        <f t="shared" si="23"/>
        <v>ok</v>
      </c>
      <c r="AH223" s="1058"/>
    </row>
    <row r="224" ht="18.75" hidden="1" customHeight="1" outlineLevel="1" spans="1:34">
      <c r="A224" s="1056"/>
      <c r="B224" s="1054" t="s">
        <v>336</v>
      </c>
      <c r="C224" s="1041"/>
      <c r="D224" s="1041"/>
      <c r="E224" s="1041" t="s">
        <v>302</v>
      </c>
      <c r="F224" s="1042">
        <f>COUNTIFS('TỔNG KLH + TN'!$B:$B,'01. TH'!$B224,'TỔNG KLH + TN'!$C:$C,'01. TH'!F$4)</f>
        <v>0</v>
      </c>
      <c r="G224" s="1042">
        <f>COUNTIFS('TỔNG KLH + TN'!$B:$B,'01. TH'!$B224,'TỔNG KLH + TN'!$C:$C,'01. TH'!G$4)</f>
        <v>1</v>
      </c>
      <c r="H224" s="1042">
        <f>COUNTIFS('TỔNG KLH + TN'!$B:$B,'01. TH'!$B224,'TỔNG KLH + TN'!$C:$C,'01. TH'!H$4)</f>
        <v>0</v>
      </c>
      <c r="I224" s="1042">
        <f>COUNTIFS('TỔNG KLH + TN'!$B:$B,'01. TH'!$B224,'TỔNG KLH + TN'!$C:$C,'01. TH'!I$4)</f>
        <v>0</v>
      </c>
      <c r="J224" s="1042">
        <f>COUNTIFS('TỔNG KLH + TN'!$B:$B,'01. TH'!$B224,'TỔNG KLH + TN'!$C:$C,'01. TH'!J$4)</f>
        <v>0</v>
      </c>
      <c r="K224" s="1042">
        <f>COUNTIFS('TỔNG KLH + TN'!$B:$B,'01. TH'!$B224,'TỔNG KLH + TN'!$C:$C,'01. TH'!K$4)</f>
        <v>0</v>
      </c>
      <c r="L224" s="1042">
        <f>COUNTIFS('TỔNG KLH + TN'!$B:$B,'01. TH'!$B224,'TỔNG KLH + TN'!$C:$C,'01. TH'!L$4)</f>
        <v>0</v>
      </c>
      <c r="M224" s="1042">
        <f>COUNTIFS('TỔNG KLH + TN'!$B:$B,'01. TH'!$B224,'TỔNG KLH + TN'!$C:$C,'01. TH'!M$4)</f>
        <v>0</v>
      </c>
      <c r="N224" s="1042">
        <f>COUNTIFS('TỔNG KLH + TN'!$B:$B,'01. TH'!$B224,'TỔNG KLH + TN'!$C:$C,'01. TH'!N$4)</f>
        <v>0</v>
      </c>
      <c r="O224" s="1042">
        <f>COUNTIFS('TỔNG KLH + TN'!$B:$B,'01. TH'!$B224,'TỔNG KLH + TN'!$C:$C,'01. TH'!O$4)</f>
        <v>0</v>
      </c>
      <c r="P224" s="1042">
        <f>COUNTIFS('TỔNG KLH + TN'!$B:$B,'01. TH'!$B224,'TỔNG KLH + TN'!$C:$C,'01. TH'!P$4)</f>
        <v>0</v>
      </c>
      <c r="Q224" s="1042">
        <f>COUNTIFS('TỔNG KLH + TN'!$B:$B,'01. TH'!$B224,'TỔNG KLH + TN'!$C:$C,'01. TH'!Q$4)</f>
        <v>0</v>
      </c>
      <c r="R224" s="1042">
        <f>COUNTIFS('TỔNG KLH + TN'!$B:$B,'01. TH'!$B224,'TỔNG KLH + TN'!$C:$C,'01. TH'!R$4)</f>
        <v>0</v>
      </c>
      <c r="S224" s="1042">
        <f>COUNTIFS('TỔNG KLH + TN'!$B:$B,'01. TH'!$B224,'TỔNG KLH + TN'!$C:$C,'01. TH'!S$4)</f>
        <v>0</v>
      </c>
      <c r="T224" s="1042">
        <f>COUNTIFS('TỔNG KLH + TN'!$B:$B,'01. TH'!$B224,'TỔNG KLH + TN'!$C:$C,'01. TH'!T$4)</f>
        <v>0</v>
      </c>
      <c r="U224" s="1042">
        <f>COUNTIFS('TỔNG KLH + TN'!$B:$B,'01. TH'!$B224,'TỔNG KLH + TN'!$C:$C,'01. TH'!U$4)</f>
        <v>1</v>
      </c>
      <c r="V224" s="1042">
        <f>COUNTIFS('TỔNG KLH + TN'!$B:$B,'01. TH'!$B224,'TỔNG KLH + TN'!$C:$C,'01. TH'!V$4)</f>
        <v>0</v>
      </c>
      <c r="W224" s="1042">
        <f>COUNTIFS('TỔNG KLH + TN'!$B:$B,'01. TH'!$B224,'TỔNG KLH + TN'!$C:$C,'01. TH'!W$4)</f>
        <v>0</v>
      </c>
      <c r="X224" s="1042">
        <f>COUNTIFS('TỔNG KLH + TN'!$B:$B,'01. TH'!$B224,'TỔNG KLH + TN'!$C:$C,'01. TH'!X$4)</f>
        <v>0</v>
      </c>
      <c r="Y224" s="1042">
        <f>COUNTIFS('TỔNG KLH + TN'!$B:$B,'01. TH'!$B224,'TỔNG KLH + TN'!$C:$C,'01. TH'!Y$4)</f>
        <v>0</v>
      </c>
      <c r="Z224" s="1042">
        <f>COUNTIFS('TỔNG KLH + TN'!$B:$B,'01. TH'!$B224,'TỔNG KLH + TN'!$C:$C,'01. TH'!Z$4)</f>
        <v>0</v>
      </c>
      <c r="AA224" s="1042">
        <f>COUNTIFS('TỔNG KLH + TN'!$B:$B,'01. TH'!$B224,'TỔNG KLH + TN'!$C:$C,'01. TH'!AA$4)</f>
        <v>0</v>
      </c>
      <c r="AB224" s="1042">
        <f>COUNTIFS('TỔNG KLH + TN'!$B:$B,'01. TH'!$B224,'TỔNG KLH + TN'!$C:$C,'01. TH'!AB$4)</f>
        <v>0</v>
      </c>
      <c r="AC224" s="1042">
        <f>COUNTIFS('TỔNG KLH + TN'!$B:$B,'01. TH'!$B224,'TỔNG KLH + TN'!$C:$C,'01. TH'!AC$4)</f>
        <v>0</v>
      </c>
      <c r="AD224" s="1042">
        <f>COUNTIFS('TỔNG KLH + TN'!$B:$B,'01. TH'!$B224,'TỔNG KLH + TN'!$C:$C,'01. TH'!AD$4)</f>
        <v>0</v>
      </c>
      <c r="AE224" s="1057">
        <f t="shared" si="47"/>
        <v>2</v>
      </c>
      <c r="AF224" s="1057"/>
      <c r="AG224" s="1033" t="str">
        <f t="shared" si="23"/>
        <v>ok</v>
      </c>
      <c r="AH224" s="1058"/>
    </row>
    <row r="225" ht="18.75" hidden="1" customHeight="1" outlineLevel="1" spans="1:34">
      <c r="A225" s="1056"/>
      <c r="B225" s="1054" t="s">
        <v>337</v>
      </c>
      <c r="C225" s="1041"/>
      <c r="D225" s="1041"/>
      <c r="E225" s="1041" t="s">
        <v>302</v>
      </c>
      <c r="F225" s="1042">
        <f>COUNTIFS('TỔNG KLH + TN'!$B:$B,'01. TH'!$B225,'TỔNG KLH + TN'!$C:$C,'01. TH'!F$4)</f>
        <v>0</v>
      </c>
      <c r="G225" s="1042">
        <f>COUNTIFS('TỔNG KLH + TN'!$B:$B,'01. TH'!$B225,'TỔNG KLH + TN'!$C:$C,'01. TH'!G$4)</f>
        <v>1</v>
      </c>
      <c r="H225" s="1042">
        <f>COUNTIFS('TỔNG KLH + TN'!$B:$B,'01. TH'!$B225,'TỔNG KLH + TN'!$C:$C,'01. TH'!H$4)</f>
        <v>0</v>
      </c>
      <c r="I225" s="1042">
        <f>COUNTIFS('TỔNG KLH + TN'!$B:$B,'01. TH'!$B225,'TỔNG KLH + TN'!$C:$C,'01. TH'!I$4)</f>
        <v>0</v>
      </c>
      <c r="J225" s="1042">
        <f>COUNTIFS('TỔNG KLH + TN'!$B:$B,'01. TH'!$B225,'TỔNG KLH + TN'!$C:$C,'01. TH'!J$4)</f>
        <v>0</v>
      </c>
      <c r="K225" s="1042">
        <f>COUNTIFS('TỔNG KLH + TN'!$B:$B,'01. TH'!$B225,'TỔNG KLH + TN'!$C:$C,'01. TH'!K$4)</f>
        <v>0</v>
      </c>
      <c r="L225" s="1042">
        <f>COUNTIFS('TỔNG KLH + TN'!$B:$B,'01. TH'!$B225,'TỔNG KLH + TN'!$C:$C,'01. TH'!L$4)</f>
        <v>0</v>
      </c>
      <c r="M225" s="1042">
        <f>COUNTIFS('TỔNG KLH + TN'!$B:$B,'01. TH'!$B225,'TỔNG KLH + TN'!$C:$C,'01. TH'!M$4)</f>
        <v>0</v>
      </c>
      <c r="N225" s="1042">
        <f>COUNTIFS('TỔNG KLH + TN'!$B:$B,'01. TH'!$B225,'TỔNG KLH + TN'!$C:$C,'01. TH'!N$4)</f>
        <v>0</v>
      </c>
      <c r="O225" s="1042">
        <f>COUNTIFS('TỔNG KLH + TN'!$B:$B,'01. TH'!$B225,'TỔNG KLH + TN'!$C:$C,'01. TH'!O$4)</f>
        <v>0</v>
      </c>
      <c r="P225" s="1042">
        <f>COUNTIFS('TỔNG KLH + TN'!$B:$B,'01. TH'!$B225,'TỔNG KLH + TN'!$C:$C,'01. TH'!P$4)</f>
        <v>1</v>
      </c>
      <c r="Q225" s="1042">
        <f>COUNTIFS('TỔNG KLH + TN'!$B:$B,'01. TH'!$B225,'TỔNG KLH + TN'!$C:$C,'01. TH'!Q$4)</f>
        <v>0</v>
      </c>
      <c r="R225" s="1042">
        <f>COUNTIFS('TỔNG KLH + TN'!$B:$B,'01. TH'!$B225,'TỔNG KLH + TN'!$C:$C,'01. TH'!R$4)</f>
        <v>0</v>
      </c>
      <c r="S225" s="1042">
        <f>COUNTIFS('TỔNG KLH + TN'!$B:$B,'01. TH'!$B225,'TỔNG KLH + TN'!$C:$C,'01. TH'!S$4)</f>
        <v>0</v>
      </c>
      <c r="T225" s="1042">
        <f>COUNTIFS('TỔNG KLH + TN'!$B:$B,'01. TH'!$B225,'TỔNG KLH + TN'!$C:$C,'01. TH'!T$4)</f>
        <v>0</v>
      </c>
      <c r="U225" s="1042">
        <f>COUNTIFS('TỔNG KLH + TN'!$B:$B,'01. TH'!$B225,'TỔNG KLH + TN'!$C:$C,'01. TH'!U$4)</f>
        <v>0</v>
      </c>
      <c r="V225" s="1042">
        <f>COUNTIFS('TỔNG KLH + TN'!$B:$B,'01. TH'!$B225,'TỔNG KLH + TN'!$C:$C,'01. TH'!V$4)</f>
        <v>0</v>
      </c>
      <c r="W225" s="1042">
        <f>COUNTIFS('TỔNG KLH + TN'!$B:$B,'01. TH'!$B225,'TỔNG KLH + TN'!$C:$C,'01. TH'!W$4)</f>
        <v>0</v>
      </c>
      <c r="X225" s="1042">
        <f>COUNTIFS('TỔNG KLH + TN'!$B:$B,'01. TH'!$B225,'TỔNG KLH + TN'!$C:$C,'01. TH'!X$4)</f>
        <v>0</v>
      </c>
      <c r="Y225" s="1042">
        <f>COUNTIFS('TỔNG KLH + TN'!$B:$B,'01. TH'!$B225,'TỔNG KLH + TN'!$C:$C,'01. TH'!Y$4)</f>
        <v>0</v>
      </c>
      <c r="Z225" s="1042">
        <f>COUNTIFS('TỔNG KLH + TN'!$B:$B,'01. TH'!$B225,'TỔNG KLH + TN'!$C:$C,'01. TH'!Z$4)</f>
        <v>0</v>
      </c>
      <c r="AA225" s="1042">
        <f>COUNTIFS('TỔNG KLH + TN'!$B:$B,'01. TH'!$B225,'TỔNG KLH + TN'!$C:$C,'01. TH'!AA$4)</f>
        <v>0</v>
      </c>
      <c r="AB225" s="1042">
        <f>COUNTIFS('TỔNG KLH + TN'!$B:$B,'01. TH'!$B225,'TỔNG KLH + TN'!$C:$C,'01. TH'!AB$4)</f>
        <v>0</v>
      </c>
      <c r="AC225" s="1042">
        <f>COUNTIFS('TỔNG KLH + TN'!$B:$B,'01. TH'!$B225,'TỔNG KLH + TN'!$C:$C,'01. TH'!AC$4)</f>
        <v>0</v>
      </c>
      <c r="AD225" s="1042">
        <f>COUNTIFS('TỔNG KLH + TN'!$B:$B,'01. TH'!$B225,'TỔNG KLH + TN'!$C:$C,'01. TH'!AD$4)</f>
        <v>0</v>
      </c>
      <c r="AE225" s="1057">
        <f t="shared" si="47"/>
        <v>2</v>
      </c>
      <c r="AF225" s="1057"/>
      <c r="AG225" s="1033" t="str">
        <f t="shared" si="23"/>
        <v>ok</v>
      </c>
      <c r="AH225" s="1058"/>
    </row>
    <row r="226" ht="18.75" hidden="1" customHeight="1" outlineLevel="1" spans="1:34">
      <c r="A226" s="1056"/>
      <c r="B226" s="1054" t="s">
        <v>338</v>
      </c>
      <c r="C226" s="1041"/>
      <c r="D226" s="1041"/>
      <c r="E226" s="1041" t="s">
        <v>302</v>
      </c>
      <c r="F226" s="1042">
        <f>COUNTIFS('TỔNG KLH + TN'!$B:$B,'01. TH'!$B226,'TỔNG KLH + TN'!$C:$C,'01. TH'!F$4)</f>
        <v>0</v>
      </c>
      <c r="G226" s="1042">
        <f>COUNTIFS('TỔNG KLH + TN'!$B:$B,'01. TH'!$B226,'TỔNG KLH + TN'!$C:$C,'01. TH'!G$4)</f>
        <v>0</v>
      </c>
      <c r="H226" s="1042">
        <f>COUNTIFS('TỔNG KLH + TN'!$B:$B,'01. TH'!$B226,'TỔNG KLH + TN'!$C:$C,'01. TH'!H$4)</f>
        <v>0</v>
      </c>
      <c r="I226" s="1042">
        <f>COUNTIFS('TỔNG KLH + TN'!$B:$B,'01. TH'!$B226,'TỔNG KLH + TN'!$C:$C,'01. TH'!I$4)</f>
        <v>0</v>
      </c>
      <c r="J226" s="1042">
        <f>COUNTIFS('TỔNG KLH + TN'!$B:$B,'01. TH'!$B226,'TỔNG KLH + TN'!$C:$C,'01. TH'!J$4)</f>
        <v>0</v>
      </c>
      <c r="K226" s="1042">
        <f>COUNTIFS('TỔNG KLH + TN'!$B:$B,'01. TH'!$B226,'TỔNG KLH + TN'!$C:$C,'01. TH'!K$4)</f>
        <v>0</v>
      </c>
      <c r="L226" s="1042">
        <f>COUNTIFS('TỔNG KLH + TN'!$B:$B,'01. TH'!$B226,'TỔNG KLH + TN'!$C:$C,'01. TH'!L$4)</f>
        <v>0</v>
      </c>
      <c r="M226" s="1042">
        <f>COUNTIFS('TỔNG KLH + TN'!$B:$B,'01. TH'!$B226,'TỔNG KLH + TN'!$C:$C,'01. TH'!M$4)</f>
        <v>0</v>
      </c>
      <c r="N226" s="1042">
        <f>COUNTIFS('TỔNG KLH + TN'!$B:$B,'01. TH'!$B226,'TỔNG KLH + TN'!$C:$C,'01. TH'!N$4)</f>
        <v>0</v>
      </c>
      <c r="O226" s="1042">
        <f>COUNTIFS('TỔNG KLH + TN'!$B:$B,'01. TH'!$B226,'TỔNG KLH + TN'!$C:$C,'01. TH'!O$4)</f>
        <v>0</v>
      </c>
      <c r="P226" s="1042">
        <f>COUNTIFS('TỔNG KLH + TN'!$B:$B,'01. TH'!$B226,'TỔNG KLH + TN'!$C:$C,'01. TH'!P$4)</f>
        <v>0</v>
      </c>
      <c r="Q226" s="1042">
        <f>COUNTIFS('TỔNG KLH + TN'!$B:$B,'01. TH'!$B226,'TỔNG KLH + TN'!$C:$C,'01. TH'!Q$4)</f>
        <v>0</v>
      </c>
      <c r="R226" s="1042">
        <f>COUNTIFS('TỔNG KLH + TN'!$B:$B,'01. TH'!$B226,'TỔNG KLH + TN'!$C:$C,'01. TH'!R$4)</f>
        <v>0</v>
      </c>
      <c r="S226" s="1042">
        <f>COUNTIFS('TỔNG KLH + TN'!$B:$B,'01. TH'!$B226,'TỔNG KLH + TN'!$C:$C,'01. TH'!S$4)</f>
        <v>0</v>
      </c>
      <c r="T226" s="1042">
        <f>COUNTIFS('TỔNG KLH + TN'!$B:$B,'01. TH'!$B226,'TỔNG KLH + TN'!$C:$C,'01. TH'!T$4)</f>
        <v>0</v>
      </c>
      <c r="U226" s="1042">
        <f>COUNTIFS('TỔNG KLH + TN'!$B:$B,'01. TH'!$B226,'TỔNG KLH + TN'!$C:$C,'01. TH'!U$4)</f>
        <v>0</v>
      </c>
      <c r="V226" s="1042">
        <f>COUNTIFS('TỔNG KLH + TN'!$B:$B,'01. TH'!$B226,'TỔNG KLH + TN'!$C:$C,'01. TH'!V$4)</f>
        <v>0</v>
      </c>
      <c r="W226" s="1042">
        <f>COUNTIFS('TỔNG KLH + TN'!$B:$B,'01. TH'!$B226,'TỔNG KLH + TN'!$C:$C,'01. TH'!W$4)</f>
        <v>0</v>
      </c>
      <c r="X226" s="1042">
        <f>COUNTIFS('TỔNG KLH + TN'!$B:$B,'01. TH'!$B226,'TỔNG KLH + TN'!$C:$C,'01. TH'!X$4)</f>
        <v>0</v>
      </c>
      <c r="Y226" s="1042">
        <f>COUNTIFS('TỔNG KLH + TN'!$B:$B,'01. TH'!$B226,'TỔNG KLH + TN'!$C:$C,'01. TH'!Y$4)</f>
        <v>0</v>
      </c>
      <c r="Z226" s="1042">
        <f>COUNTIFS('TỔNG KLH + TN'!$B:$B,'01. TH'!$B226,'TỔNG KLH + TN'!$C:$C,'01. TH'!Z$4)</f>
        <v>0</v>
      </c>
      <c r="AA226" s="1042">
        <f>COUNTIFS('TỔNG KLH + TN'!$B:$B,'01. TH'!$B226,'TỔNG KLH + TN'!$C:$C,'01. TH'!AA$4)</f>
        <v>0</v>
      </c>
      <c r="AB226" s="1042">
        <f>COUNTIFS('TỔNG KLH + TN'!$B:$B,'01. TH'!$B226,'TỔNG KLH + TN'!$C:$C,'01. TH'!AB$4)</f>
        <v>0</v>
      </c>
      <c r="AC226" s="1042">
        <f>COUNTIFS('TỔNG KLH + TN'!$B:$B,'01. TH'!$B226,'TỔNG KLH + TN'!$C:$C,'01. TH'!AC$4)</f>
        <v>0</v>
      </c>
      <c r="AD226" s="1042">
        <f>COUNTIFS('TỔNG KLH + TN'!$B:$B,'01. TH'!$B226,'TỔNG KLH + TN'!$C:$C,'01. TH'!AD$4)</f>
        <v>0</v>
      </c>
      <c r="AE226" s="1057">
        <f t="shared" si="47"/>
        <v>0</v>
      </c>
      <c r="AF226" s="1057"/>
      <c r="AG226" s="1033" t="str">
        <f t="shared" si="23"/>
        <v>ok</v>
      </c>
      <c r="AH226" s="1058"/>
    </row>
    <row r="227" ht="18.75" hidden="1" customHeight="1" outlineLevel="1" spans="1:34">
      <c r="A227" s="1056"/>
      <c r="B227" s="1054" t="s">
        <v>339</v>
      </c>
      <c r="C227" s="1041"/>
      <c r="D227" s="1041"/>
      <c r="E227" s="1041" t="s">
        <v>302</v>
      </c>
      <c r="F227" s="1042">
        <f>COUNTIFS('TỔNG KLH + TN'!$B:$B,'01. TH'!$B227,'TỔNG KLH + TN'!$C:$C,'01. TH'!F$4)</f>
        <v>0</v>
      </c>
      <c r="G227" s="1042">
        <f>COUNTIFS('TỔNG KLH + TN'!$B:$B,'01. TH'!$B227,'TỔNG KLH + TN'!$C:$C,'01. TH'!G$4)</f>
        <v>0</v>
      </c>
      <c r="H227" s="1042">
        <f>COUNTIFS('TỔNG KLH + TN'!$B:$B,'01. TH'!$B227,'TỔNG KLH + TN'!$C:$C,'01. TH'!H$4)</f>
        <v>0</v>
      </c>
      <c r="I227" s="1042">
        <f>COUNTIFS('TỔNG KLH + TN'!$B:$B,'01. TH'!$B227,'TỔNG KLH + TN'!$C:$C,'01. TH'!I$4)</f>
        <v>0</v>
      </c>
      <c r="J227" s="1042">
        <f>COUNTIFS('TỔNG KLH + TN'!$B:$B,'01. TH'!$B227,'TỔNG KLH + TN'!$C:$C,'01. TH'!J$4)</f>
        <v>0</v>
      </c>
      <c r="K227" s="1042">
        <f>COUNTIFS('TỔNG KLH + TN'!$B:$B,'01. TH'!$B227,'TỔNG KLH + TN'!$C:$C,'01. TH'!K$4)</f>
        <v>0</v>
      </c>
      <c r="L227" s="1042">
        <f>COUNTIFS('TỔNG KLH + TN'!$B:$B,'01. TH'!$B227,'TỔNG KLH + TN'!$C:$C,'01. TH'!L$4)</f>
        <v>0</v>
      </c>
      <c r="M227" s="1042">
        <f>COUNTIFS('TỔNG KLH + TN'!$B:$B,'01. TH'!$B227,'TỔNG KLH + TN'!$C:$C,'01. TH'!M$4)</f>
        <v>0</v>
      </c>
      <c r="N227" s="1042">
        <f>COUNTIFS('TỔNG KLH + TN'!$B:$B,'01. TH'!$B227,'TỔNG KLH + TN'!$C:$C,'01. TH'!N$4)</f>
        <v>0</v>
      </c>
      <c r="O227" s="1042">
        <f>COUNTIFS('TỔNG KLH + TN'!$B:$B,'01. TH'!$B227,'TỔNG KLH + TN'!$C:$C,'01. TH'!O$4)</f>
        <v>0</v>
      </c>
      <c r="P227" s="1042">
        <f>COUNTIFS('TỔNG KLH + TN'!$B:$B,'01. TH'!$B227,'TỔNG KLH + TN'!$C:$C,'01. TH'!P$4)</f>
        <v>1</v>
      </c>
      <c r="Q227" s="1042">
        <f>COUNTIFS('TỔNG KLH + TN'!$B:$B,'01. TH'!$B227,'TỔNG KLH + TN'!$C:$C,'01. TH'!Q$4)</f>
        <v>0</v>
      </c>
      <c r="R227" s="1042">
        <f>COUNTIFS('TỔNG KLH + TN'!$B:$B,'01. TH'!$B227,'TỔNG KLH + TN'!$C:$C,'01. TH'!R$4)</f>
        <v>0</v>
      </c>
      <c r="S227" s="1042">
        <f>COUNTIFS('TỔNG KLH + TN'!$B:$B,'01. TH'!$B227,'TỔNG KLH + TN'!$C:$C,'01. TH'!S$4)</f>
        <v>0</v>
      </c>
      <c r="T227" s="1042">
        <f>COUNTIFS('TỔNG KLH + TN'!$B:$B,'01. TH'!$B227,'TỔNG KLH + TN'!$C:$C,'01. TH'!T$4)</f>
        <v>0</v>
      </c>
      <c r="U227" s="1042">
        <f>COUNTIFS('TỔNG KLH + TN'!$B:$B,'01. TH'!$B227,'TỔNG KLH + TN'!$C:$C,'01. TH'!U$4)</f>
        <v>0</v>
      </c>
      <c r="V227" s="1042">
        <f>COUNTIFS('TỔNG KLH + TN'!$B:$B,'01. TH'!$B227,'TỔNG KLH + TN'!$C:$C,'01. TH'!V$4)</f>
        <v>0</v>
      </c>
      <c r="W227" s="1042">
        <f>COUNTIFS('TỔNG KLH + TN'!$B:$B,'01. TH'!$B227,'TỔNG KLH + TN'!$C:$C,'01. TH'!W$4)</f>
        <v>0</v>
      </c>
      <c r="X227" s="1042">
        <f>COUNTIFS('TỔNG KLH + TN'!$B:$B,'01. TH'!$B227,'TỔNG KLH + TN'!$C:$C,'01. TH'!X$4)</f>
        <v>0</v>
      </c>
      <c r="Y227" s="1042">
        <f>COUNTIFS('TỔNG KLH + TN'!$B:$B,'01. TH'!$B227,'TỔNG KLH + TN'!$C:$C,'01. TH'!Y$4)</f>
        <v>0</v>
      </c>
      <c r="Z227" s="1042">
        <f>COUNTIFS('TỔNG KLH + TN'!$B:$B,'01. TH'!$B227,'TỔNG KLH + TN'!$C:$C,'01. TH'!Z$4)</f>
        <v>0</v>
      </c>
      <c r="AA227" s="1042">
        <f>COUNTIFS('TỔNG KLH + TN'!$B:$B,'01. TH'!$B227,'TỔNG KLH + TN'!$C:$C,'01. TH'!AA$4)</f>
        <v>0</v>
      </c>
      <c r="AB227" s="1042">
        <f>COUNTIFS('TỔNG KLH + TN'!$B:$B,'01. TH'!$B227,'TỔNG KLH + TN'!$C:$C,'01. TH'!AB$4)</f>
        <v>0</v>
      </c>
      <c r="AC227" s="1042">
        <f>COUNTIFS('TỔNG KLH + TN'!$B:$B,'01. TH'!$B227,'TỔNG KLH + TN'!$C:$C,'01. TH'!AC$4)</f>
        <v>0</v>
      </c>
      <c r="AD227" s="1042">
        <f>COUNTIFS('TỔNG KLH + TN'!$B:$B,'01. TH'!$B227,'TỔNG KLH + TN'!$C:$C,'01. TH'!AD$4)</f>
        <v>0</v>
      </c>
      <c r="AE227" s="1057">
        <f t="shared" si="47"/>
        <v>1</v>
      </c>
      <c r="AF227" s="1057"/>
      <c r="AG227" s="1033" t="str">
        <f t="shared" si="23"/>
        <v>ok</v>
      </c>
      <c r="AH227" s="1058"/>
    </row>
    <row r="228" ht="18.75" hidden="1" customHeight="1" outlineLevel="1" spans="1:34">
      <c r="A228" s="1056"/>
      <c r="B228" s="1054" t="s">
        <v>340</v>
      </c>
      <c r="C228" s="1041"/>
      <c r="D228" s="1041"/>
      <c r="E228" s="1041" t="s">
        <v>302</v>
      </c>
      <c r="F228" s="1042">
        <f>COUNTIFS('TỔNG KLH + TN'!$B:$B,'01. TH'!$B228,'TỔNG KLH + TN'!$C:$C,'01. TH'!F$4)</f>
        <v>0</v>
      </c>
      <c r="G228" s="1042">
        <f>COUNTIFS('TỔNG KLH + TN'!$B:$B,'01. TH'!$B228,'TỔNG KLH + TN'!$C:$C,'01. TH'!G$4)</f>
        <v>0</v>
      </c>
      <c r="H228" s="1042">
        <f>COUNTIFS('TỔNG KLH + TN'!$B:$B,'01. TH'!$B228,'TỔNG KLH + TN'!$C:$C,'01. TH'!H$4)</f>
        <v>0</v>
      </c>
      <c r="I228" s="1042">
        <f>COUNTIFS('TỔNG KLH + TN'!$B:$B,'01. TH'!$B228,'TỔNG KLH + TN'!$C:$C,'01. TH'!I$4)</f>
        <v>0</v>
      </c>
      <c r="J228" s="1042">
        <f>COUNTIFS('TỔNG KLH + TN'!$B:$B,'01. TH'!$B228,'TỔNG KLH + TN'!$C:$C,'01. TH'!J$4)</f>
        <v>0</v>
      </c>
      <c r="K228" s="1042">
        <f>COUNTIFS('TỔNG KLH + TN'!$B:$B,'01. TH'!$B228,'TỔNG KLH + TN'!$C:$C,'01. TH'!K$4)</f>
        <v>0</v>
      </c>
      <c r="L228" s="1042">
        <f>COUNTIFS('TỔNG KLH + TN'!$B:$B,'01. TH'!$B228,'TỔNG KLH + TN'!$C:$C,'01. TH'!L$4)</f>
        <v>0</v>
      </c>
      <c r="M228" s="1042">
        <f>COUNTIFS('TỔNG KLH + TN'!$B:$B,'01. TH'!$B228,'TỔNG KLH + TN'!$C:$C,'01. TH'!M$4)</f>
        <v>0</v>
      </c>
      <c r="N228" s="1042">
        <f>COUNTIFS('TỔNG KLH + TN'!$B:$B,'01. TH'!$B228,'TỔNG KLH + TN'!$C:$C,'01. TH'!N$4)</f>
        <v>0</v>
      </c>
      <c r="O228" s="1042">
        <f>COUNTIFS('TỔNG KLH + TN'!$B:$B,'01. TH'!$B228,'TỔNG KLH + TN'!$C:$C,'01. TH'!O$4)</f>
        <v>0</v>
      </c>
      <c r="P228" s="1042">
        <f>COUNTIFS('TỔNG KLH + TN'!$B:$B,'01. TH'!$B228,'TỔNG KLH + TN'!$C:$C,'01. TH'!P$4)</f>
        <v>0</v>
      </c>
      <c r="Q228" s="1042">
        <f>COUNTIFS('TỔNG KLH + TN'!$B:$B,'01. TH'!$B228,'TỔNG KLH + TN'!$C:$C,'01. TH'!Q$4)</f>
        <v>1</v>
      </c>
      <c r="R228" s="1042">
        <f>COUNTIFS('TỔNG KLH + TN'!$B:$B,'01. TH'!$B228,'TỔNG KLH + TN'!$C:$C,'01. TH'!R$4)</f>
        <v>0</v>
      </c>
      <c r="S228" s="1042">
        <f>COUNTIFS('TỔNG KLH + TN'!$B:$B,'01. TH'!$B228,'TỔNG KLH + TN'!$C:$C,'01. TH'!S$4)</f>
        <v>0</v>
      </c>
      <c r="T228" s="1042">
        <f>COUNTIFS('TỔNG KLH + TN'!$B:$B,'01. TH'!$B228,'TỔNG KLH + TN'!$C:$C,'01. TH'!T$4)</f>
        <v>0</v>
      </c>
      <c r="U228" s="1042">
        <f>COUNTIFS('TỔNG KLH + TN'!$B:$B,'01. TH'!$B228,'TỔNG KLH + TN'!$C:$C,'01. TH'!U$4)</f>
        <v>0</v>
      </c>
      <c r="V228" s="1042">
        <f>COUNTIFS('TỔNG KLH + TN'!$B:$B,'01. TH'!$B228,'TỔNG KLH + TN'!$C:$C,'01. TH'!V$4)</f>
        <v>0</v>
      </c>
      <c r="W228" s="1042">
        <f>COUNTIFS('TỔNG KLH + TN'!$B:$B,'01. TH'!$B228,'TỔNG KLH + TN'!$C:$C,'01. TH'!W$4)</f>
        <v>0</v>
      </c>
      <c r="X228" s="1042">
        <f>COUNTIFS('TỔNG KLH + TN'!$B:$B,'01. TH'!$B228,'TỔNG KLH + TN'!$C:$C,'01. TH'!X$4)</f>
        <v>0</v>
      </c>
      <c r="Y228" s="1042">
        <f>COUNTIFS('TỔNG KLH + TN'!$B:$B,'01. TH'!$B228,'TỔNG KLH + TN'!$C:$C,'01. TH'!Y$4)</f>
        <v>0</v>
      </c>
      <c r="Z228" s="1042">
        <f>COUNTIFS('TỔNG KLH + TN'!$B:$B,'01. TH'!$B228,'TỔNG KLH + TN'!$C:$C,'01. TH'!Z$4)</f>
        <v>0</v>
      </c>
      <c r="AA228" s="1042">
        <f>COUNTIFS('TỔNG KLH + TN'!$B:$B,'01. TH'!$B228,'TỔNG KLH + TN'!$C:$C,'01. TH'!AA$4)</f>
        <v>0</v>
      </c>
      <c r="AB228" s="1042">
        <f>COUNTIFS('TỔNG KLH + TN'!$B:$B,'01. TH'!$B228,'TỔNG KLH + TN'!$C:$C,'01. TH'!AB$4)</f>
        <v>0</v>
      </c>
      <c r="AC228" s="1042">
        <f>COUNTIFS('TỔNG KLH + TN'!$B:$B,'01. TH'!$B228,'TỔNG KLH + TN'!$C:$C,'01. TH'!AC$4)</f>
        <v>0</v>
      </c>
      <c r="AD228" s="1042">
        <f>COUNTIFS('TỔNG KLH + TN'!$B:$B,'01. TH'!$B228,'TỔNG KLH + TN'!$C:$C,'01. TH'!AD$4)</f>
        <v>0</v>
      </c>
      <c r="AE228" s="1057">
        <f t="shared" si="47"/>
        <v>1</v>
      </c>
      <c r="AF228" s="1057"/>
      <c r="AG228" s="1033" t="str">
        <f t="shared" si="23"/>
        <v>ok</v>
      </c>
      <c r="AH228" s="1058"/>
    </row>
    <row r="229" ht="18.75" hidden="1" customHeight="1" outlineLevel="1" spans="1:34">
      <c r="A229" s="1056"/>
      <c r="B229" s="1054" t="s">
        <v>341</v>
      </c>
      <c r="C229" s="1041"/>
      <c r="D229" s="1041" t="s">
        <v>342</v>
      </c>
      <c r="E229" s="1041" t="s">
        <v>302</v>
      </c>
      <c r="F229" s="1042">
        <f>COUNTIFS('TỔNG KLH + TN'!$B:$B,'01. TH'!$B229,'TỔNG KLH + TN'!$C:$C,'01. TH'!F$4)</f>
        <v>0</v>
      </c>
      <c r="G229" s="1042">
        <f>COUNTIFS('TỔNG KLH + TN'!$B:$B,'01. TH'!$B229,'TỔNG KLH + TN'!$C:$C,'01. TH'!G$4)</f>
        <v>0</v>
      </c>
      <c r="H229" s="1042">
        <f>COUNTIFS('TỔNG KLH + TN'!$B:$B,'01. TH'!$B229,'TỔNG KLH + TN'!$C:$C,'01. TH'!H$4)</f>
        <v>0</v>
      </c>
      <c r="I229" s="1042">
        <f>COUNTIFS('TỔNG KLH + TN'!$B:$B,'01. TH'!$B229,'TỔNG KLH + TN'!$C:$C,'01. TH'!I$4)</f>
        <v>0</v>
      </c>
      <c r="J229" s="1042">
        <f>COUNTIFS('TỔNG KLH + TN'!$B:$B,'01. TH'!$B229,'TỔNG KLH + TN'!$C:$C,'01. TH'!J$4)</f>
        <v>0</v>
      </c>
      <c r="K229" s="1042">
        <f>COUNTIFS('TỔNG KLH + TN'!$B:$B,'01. TH'!$B229,'TỔNG KLH + TN'!$C:$C,'01. TH'!K$4)</f>
        <v>0</v>
      </c>
      <c r="L229" s="1042">
        <f>COUNTIFS('TỔNG KLH + TN'!$B:$B,'01. TH'!$B229,'TỔNG KLH + TN'!$C:$C,'01. TH'!L$4)</f>
        <v>0</v>
      </c>
      <c r="M229" s="1042">
        <f>COUNTIFS('TỔNG KLH + TN'!$B:$B,'01. TH'!$B229,'TỔNG KLH + TN'!$C:$C,'01. TH'!M$4)</f>
        <v>0</v>
      </c>
      <c r="N229" s="1042">
        <f>COUNTIFS('TỔNG KLH + TN'!$B:$B,'01. TH'!$B229,'TỔNG KLH + TN'!$C:$C,'01. TH'!N$4)</f>
        <v>0</v>
      </c>
      <c r="O229" s="1042">
        <f>COUNTIFS('TỔNG KLH + TN'!$B:$B,'01. TH'!$B229,'TỔNG KLH + TN'!$C:$C,'01. TH'!O$4)</f>
        <v>0</v>
      </c>
      <c r="P229" s="1042">
        <f>COUNTIFS('TỔNG KLH + TN'!$B:$B,'01. TH'!$B229,'TỔNG KLH + TN'!$C:$C,'01. TH'!P$4)</f>
        <v>0</v>
      </c>
      <c r="Q229" s="1042">
        <f>COUNTIFS('TỔNG KLH + TN'!$B:$B,'01. TH'!$B229,'TỔNG KLH + TN'!$C:$C,'01. TH'!Q$4)</f>
        <v>0</v>
      </c>
      <c r="R229" s="1042">
        <f>COUNTIFS('TỔNG KLH + TN'!$B:$B,'01. TH'!$B229,'TỔNG KLH + TN'!$C:$C,'01. TH'!R$4)</f>
        <v>0</v>
      </c>
      <c r="S229" s="1042">
        <f>COUNTIFS('TỔNG KLH + TN'!$B:$B,'01. TH'!$B229,'TỔNG KLH + TN'!$C:$C,'01. TH'!S$4)</f>
        <v>0</v>
      </c>
      <c r="T229" s="1042">
        <f>COUNTIFS('TỔNG KLH + TN'!$B:$B,'01. TH'!$B229,'TỔNG KLH + TN'!$C:$C,'01. TH'!T$4)</f>
        <v>0</v>
      </c>
      <c r="U229" s="1042">
        <f>COUNTIFS('TỔNG KLH + TN'!$B:$B,'01. TH'!$B229,'TỔNG KLH + TN'!$C:$C,'01. TH'!U$4)</f>
        <v>0</v>
      </c>
      <c r="V229" s="1042">
        <f>COUNTIFS('TỔNG KLH + TN'!$B:$B,'01. TH'!$B229,'TỔNG KLH + TN'!$C:$C,'01. TH'!V$4)</f>
        <v>0</v>
      </c>
      <c r="W229" s="1042">
        <f>COUNTIFS('TỔNG KLH + TN'!$B:$B,'01. TH'!$B229,'TỔNG KLH + TN'!$C:$C,'01. TH'!W$4)</f>
        <v>0</v>
      </c>
      <c r="X229" s="1042">
        <f>COUNTIFS('TỔNG KLH + TN'!$B:$B,'01. TH'!$B229,'TỔNG KLH + TN'!$C:$C,'01. TH'!X$4)</f>
        <v>0</v>
      </c>
      <c r="Y229" s="1042">
        <f>COUNTIFS('TỔNG KLH + TN'!$B:$B,'01. TH'!$B229,'TỔNG KLH + TN'!$C:$C,'01. TH'!Y$4)</f>
        <v>0</v>
      </c>
      <c r="Z229" s="1042">
        <f>COUNTIFS('TỔNG KLH + TN'!$B:$B,'01. TH'!$B229,'TỔNG KLH + TN'!$C:$C,'01. TH'!Z$4)</f>
        <v>0</v>
      </c>
      <c r="AA229" s="1042">
        <f>COUNTIFS('TỔNG KLH + TN'!$B:$B,'01. TH'!$B229,'TỔNG KLH + TN'!$C:$C,'01. TH'!AA$4)</f>
        <v>0</v>
      </c>
      <c r="AB229" s="1042">
        <f>COUNTIFS('TỔNG KLH + TN'!$B:$B,'01. TH'!$B229,'TỔNG KLH + TN'!$C:$C,'01. TH'!AB$4)</f>
        <v>0</v>
      </c>
      <c r="AC229" s="1042">
        <f>COUNTIFS('TỔNG KLH + TN'!$B:$B,'01. TH'!$B229,'TỔNG KLH + TN'!$C:$C,'01. TH'!AC$4)</f>
        <v>0</v>
      </c>
      <c r="AD229" s="1042">
        <f>COUNTIFS('TỔNG KLH + TN'!$B:$B,'01. TH'!$B229,'TỔNG KLH + TN'!$C:$C,'01. TH'!AD$4)</f>
        <v>0</v>
      </c>
      <c r="AE229" s="1057">
        <f t="shared" si="47"/>
        <v>0</v>
      </c>
      <c r="AF229" s="1057"/>
      <c r="AG229" s="1033" t="str">
        <f t="shared" si="23"/>
        <v>ok</v>
      </c>
      <c r="AH229" s="1058"/>
    </row>
    <row r="230" ht="24" customHeight="1" collapsed="1" spans="1:34">
      <c r="A230" s="1033">
        <v>26</v>
      </c>
      <c r="B230" s="1034" t="s">
        <v>343</v>
      </c>
      <c r="C230" s="1035"/>
      <c r="D230" s="1035"/>
      <c r="E230" s="1035"/>
      <c r="F230" s="1047">
        <f t="shared" ref="F230:AE230" si="48">SUM(F231:F253)</f>
        <v>0</v>
      </c>
      <c r="G230" s="1047">
        <f t="shared" si="48"/>
        <v>0</v>
      </c>
      <c r="H230" s="1047">
        <f t="shared" si="48"/>
        <v>0</v>
      </c>
      <c r="I230" s="1047">
        <f t="shared" si="48"/>
        <v>0</v>
      </c>
      <c r="J230" s="1047">
        <f t="shared" si="48"/>
        <v>0</v>
      </c>
      <c r="K230" s="1047">
        <f t="shared" si="48"/>
        <v>0</v>
      </c>
      <c r="L230" s="1047">
        <f t="shared" si="48"/>
        <v>0</v>
      </c>
      <c r="M230" s="1047">
        <f t="shared" si="48"/>
        <v>0</v>
      </c>
      <c r="N230" s="1047">
        <f t="shared" si="48"/>
        <v>0</v>
      </c>
      <c r="O230" s="1047">
        <f t="shared" si="48"/>
        <v>0</v>
      </c>
      <c r="P230" s="1047">
        <f t="shared" si="48"/>
        <v>0</v>
      </c>
      <c r="Q230" s="1047">
        <f t="shared" si="48"/>
        <v>0</v>
      </c>
      <c r="R230" s="1047">
        <f t="shared" si="48"/>
        <v>0</v>
      </c>
      <c r="S230" s="1047">
        <f t="shared" si="48"/>
        <v>0</v>
      </c>
      <c r="T230" s="1047">
        <f t="shared" si="48"/>
        <v>0</v>
      </c>
      <c r="U230" s="1047">
        <f t="shared" si="48"/>
        <v>0</v>
      </c>
      <c r="V230" s="1047">
        <f t="shared" si="48"/>
        <v>0</v>
      </c>
      <c r="W230" s="1047">
        <f t="shared" si="48"/>
        <v>0</v>
      </c>
      <c r="X230" s="1047">
        <f t="shared" si="48"/>
        <v>0</v>
      </c>
      <c r="Y230" s="1047">
        <f t="shared" si="48"/>
        <v>0</v>
      </c>
      <c r="Z230" s="1047">
        <f t="shared" si="48"/>
        <v>0</v>
      </c>
      <c r="AA230" s="1047">
        <f t="shared" si="48"/>
        <v>0</v>
      </c>
      <c r="AB230" s="1047">
        <f t="shared" si="48"/>
        <v>0</v>
      </c>
      <c r="AC230" s="1047">
        <f t="shared" si="48"/>
        <v>0</v>
      </c>
      <c r="AD230" s="1047">
        <f t="shared" si="48"/>
        <v>0</v>
      </c>
      <c r="AE230" s="1048">
        <f t="shared" si="48"/>
        <v>0</v>
      </c>
      <c r="AF230" s="1048">
        <v>0</v>
      </c>
      <c r="AG230" s="1033" t="str">
        <f t="shared" si="23"/>
        <v>ok</v>
      </c>
      <c r="AH230" s="1038"/>
    </row>
    <row r="231" ht="18.75" hidden="1" customHeight="1" outlineLevel="1" spans="1:34">
      <c r="A231" s="1044"/>
      <c r="B231" s="1059" t="s">
        <v>344</v>
      </c>
      <c r="C231" s="1060"/>
      <c r="D231" s="1041" t="s">
        <v>345</v>
      </c>
      <c r="E231" s="1041" t="s">
        <v>302</v>
      </c>
      <c r="F231" s="1042">
        <f>COUNTIFS('TỔNG KLH + TN'!$B:$B,'01. TH'!$B231,'TỔNG KLH + TN'!$C:$C,'01. TH'!F$4)</f>
        <v>0</v>
      </c>
      <c r="G231" s="1042">
        <f>COUNTIFS('TỔNG KLH + TN'!$B:$B,'01. TH'!$B231,'TỔNG KLH + TN'!$C:$C,'01. TH'!G$4)</f>
        <v>0</v>
      </c>
      <c r="H231" s="1042">
        <f>COUNTIFS('TỔNG KLH + TN'!$B:$B,'01. TH'!$B231,'TỔNG KLH + TN'!$C:$C,'01. TH'!H$4)</f>
        <v>0</v>
      </c>
      <c r="I231" s="1042">
        <f>COUNTIFS('TỔNG KLH + TN'!$B:$B,'01. TH'!$B231,'TỔNG KLH + TN'!$C:$C,'01. TH'!I$4)</f>
        <v>0</v>
      </c>
      <c r="J231" s="1042">
        <f>COUNTIFS('TỔNG KLH + TN'!$B:$B,'01. TH'!$B231,'TỔNG KLH + TN'!$C:$C,'01. TH'!J$4)</f>
        <v>0</v>
      </c>
      <c r="K231" s="1042">
        <f>COUNTIFS('TỔNG KLH + TN'!$B:$B,'01. TH'!$B231,'TỔNG KLH + TN'!$C:$C,'01. TH'!K$4)</f>
        <v>0</v>
      </c>
      <c r="L231" s="1042">
        <f>COUNTIFS('TỔNG KLH + TN'!$B:$B,'01. TH'!$B231,'TỔNG KLH + TN'!$C:$C,'01. TH'!L$4)</f>
        <v>0</v>
      </c>
      <c r="M231" s="1042">
        <f>COUNTIFS('TỔNG KLH + TN'!$B:$B,'01. TH'!$B231,'TỔNG KLH + TN'!$C:$C,'01. TH'!M$4)</f>
        <v>0</v>
      </c>
      <c r="N231" s="1042">
        <f>COUNTIFS('TỔNG KLH + TN'!$B:$B,'01. TH'!$B231,'TỔNG KLH + TN'!$C:$C,'01. TH'!N$4)</f>
        <v>0</v>
      </c>
      <c r="O231" s="1042">
        <f>COUNTIFS('TỔNG KLH + TN'!$B:$B,'01. TH'!$B231,'TỔNG KLH + TN'!$C:$C,'01. TH'!O$4)</f>
        <v>0</v>
      </c>
      <c r="P231" s="1042">
        <f>COUNTIFS('TỔNG KLH + TN'!$B:$B,'01. TH'!$B231,'TỔNG KLH + TN'!$C:$C,'01. TH'!P$4)</f>
        <v>0</v>
      </c>
      <c r="Q231" s="1042">
        <f>COUNTIFS('TỔNG KLH + TN'!$B:$B,'01. TH'!$B231,'TỔNG KLH + TN'!$C:$C,'01. TH'!Q$4)</f>
        <v>0</v>
      </c>
      <c r="R231" s="1042">
        <f>COUNTIFS('TỔNG KLH + TN'!$B:$B,'01. TH'!$B231,'TỔNG KLH + TN'!$C:$C,'01. TH'!R$4)</f>
        <v>0</v>
      </c>
      <c r="S231" s="1042">
        <f>COUNTIFS('TỔNG KLH + TN'!$B:$B,'01. TH'!$B231,'TỔNG KLH + TN'!$C:$C,'01. TH'!S$4)</f>
        <v>0</v>
      </c>
      <c r="T231" s="1042">
        <f>COUNTIFS('TỔNG KLH + TN'!$B:$B,'01. TH'!$B231,'TỔNG KLH + TN'!$C:$C,'01. TH'!T$4)</f>
        <v>0</v>
      </c>
      <c r="U231" s="1042">
        <f>COUNTIFS('TỔNG KLH + TN'!$B:$B,'01. TH'!$B231,'TỔNG KLH + TN'!$C:$C,'01. TH'!U$4)</f>
        <v>0</v>
      </c>
      <c r="V231" s="1042">
        <f>COUNTIFS('TỔNG KLH + TN'!$B:$B,'01. TH'!$B231,'TỔNG KLH + TN'!$C:$C,'01. TH'!V$4)</f>
        <v>0</v>
      </c>
      <c r="W231" s="1042">
        <f>COUNTIFS('TỔNG KLH + TN'!$B:$B,'01. TH'!$B231,'TỔNG KLH + TN'!$C:$C,'01. TH'!W$4)</f>
        <v>0</v>
      </c>
      <c r="X231" s="1042">
        <f>COUNTIFS('TỔNG KLH + TN'!$B:$B,'01. TH'!$B231,'TỔNG KLH + TN'!$C:$C,'01. TH'!X$4)</f>
        <v>0</v>
      </c>
      <c r="Y231" s="1042">
        <f>COUNTIFS('TỔNG KLH + TN'!$B:$B,'01. TH'!$B231,'TỔNG KLH + TN'!$C:$C,'01. TH'!Y$4)</f>
        <v>0</v>
      </c>
      <c r="Z231" s="1042">
        <f>COUNTIFS('TỔNG KLH + TN'!$B:$B,'01. TH'!$B231,'TỔNG KLH + TN'!$C:$C,'01. TH'!Z$4)</f>
        <v>0</v>
      </c>
      <c r="AA231" s="1042">
        <f>COUNTIFS('TỔNG KLH + TN'!$B:$B,'01. TH'!$B231,'TỔNG KLH + TN'!$C:$C,'01. TH'!AA$4)</f>
        <v>0</v>
      </c>
      <c r="AB231" s="1042">
        <f>COUNTIFS('TỔNG KLH + TN'!$B:$B,'01. TH'!$B231,'TỔNG KLH + TN'!$C:$C,'01. TH'!AB$4)</f>
        <v>0</v>
      </c>
      <c r="AC231" s="1042">
        <f>COUNTIFS('TỔNG KLH + TN'!$B:$B,'01. TH'!$B231,'TỔNG KLH + TN'!$C:$C,'01. TH'!AC$4)</f>
        <v>0</v>
      </c>
      <c r="AD231" s="1042">
        <f>COUNTIFS('TỔNG KLH + TN'!$B:$B,'01. TH'!$B231,'TỔNG KLH + TN'!$C:$C,'01. TH'!AD$4)</f>
        <v>0</v>
      </c>
      <c r="AE231" s="1045">
        <f t="shared" ref="AE231:AE253" si="49">SUM(F231:AD231)</f>
        <v>0</v>
      </c>
      <c r="AF231" s="1045"/>
      <c r="AG231" s="1033" t="str">
        <f t="shared" si="23"/>
        <v>ok</v>
      </c>
      <c r="AH231" s="1046"/>
    </row>
    <row r="232" ht="18.75" hidden="1" customHeight="1" outlineLevel="1" spans="1:34">
      <c r="A232" s="1044"/>
      <c r="B232" s="1040" t="s">
        <v>346</v>
      </c>
      <c r="C232" s="1041"/>
      <c r="D232" s="1041" t="s">
        <v>347</v>
      </c>
      <c r="E232" s="1041" t="s">
        <v>302</v>
      </c>
      <c r="F232" s="1042">
        <f>COUNTIFS('TỔNG KLH + TN'!$B:$B,'01. TH'!$B232,'TỔNG KLH + TN'!$C:$C,'01. TH'!F$4)</f>
        <v>0</v>
      </c>
      <c r="G232" s="1042">
        <f>COUNTIFS('TỔNG KLH + TN'!$B:$B,'01. TH'!$B232,'TỔNG KLH + TN'!$C:$C,'01. TH'!G$4)</f>
        <v>0</v>
      </c>
      <c r="H232" s="1042">
        <f>COUNTIFS('TỔNG KLH + TN'!$B:$B,'01. TH'!$B232,'TỔNG KLH + TN'!$C:$C,'01. TH'!H$4)</f>
        <v>0</v>
      </c>
      <c r="I232" s="1042">
        <f>COUNTIFS('TỔNG KLH + TN'!$B:$B,'01. TH'!$B232,'TỔNG KLH + TN'!$C:$C,'01. TH'!I$4)</f>
        <v>0</v>
      </c>
      <c r="J232" s="1042">
        <f>COUNTIFS('TỔNG KLH + TN'!$B:$B,'01. TH'!$B232,'TỔNG KLH + TN'!$C:$C,'01. TH'!J$4)</f>
        <v>0</v>
      </c>
      <c r="K232" s="1042">
        <f>COUNTIFS('TỔNG KLH + TN'!$B:$B,'01. TH'!$B232,'TỔNG KLH + TN'!$C:$C,'01. TH'!K$4)</f>
        <v>0</v>
      </c>
      <c r="L232" s="1042">
        <f>COUNTIFS('TỔNG KLH + TN'!$B:$B,'01. TH'!$B232,'TỔNG KLH + TN'!$C:$C,'01. TH'!L$4)</f>
        <v>0</v>
      </c>
      <c r="M232" s="1042">
        <f>COUNTIFS('TỔNG KLH + TN'!$B:$B,'01. TH'!$B232,'TỔNG KLH + TN'!$C:$C,'01. TH'!M$4)</f>
        <v>0</v>
      </c>
      <c r="N232" s="1042">
        <f>COUNTIFS('TỔNG KLH + TN'!$B:$B,'01. TH'!$B232,'TỔNG KLH + TN'!$C:$C,'01. TH'!N$4)</f>
        <v>0</v>
      </c>
      <c r="O232" s="1042">
        <f>COUNTIFS('TỔNG KLH + TN'!$B:$B,'01. TH'!$B232,'TỔNG KLH + TN'!$C:$C,'01. TH'!O$4)</f>
        <v>0</v>
      </c>
      <c r="P232" s="1042">
        <f>COUNTIFS('TỔNG KLH + TN'!$B:$B,'01. TH'!$B232,'TỔNG KLH + TN'!$C:$C,'01. TH'!P$4)</f>
        <v>0</v>
      </c>
      <c r="Q232" s="1042">
        <f>COUNTIFS('TỔNG KLH + TN'!$B:$B,'01. TH'!$B232,'TỔNG KLH + TN'!$C:$C,'01. TH'!Q$4)</f>
        <v>0</v>
      </c>
      <c r="R232" s="1042">
        <f>COUNTIFS('TỔNG KLH + TN'!$B:$B,'01. TH'!$B232,'TỔNG KLH + TN'!$C:$C,'01. TH'!R$4)</f>
        <v>0</v>
      </c>
      <c r="S232" s="1042">
        <f>COUNTIFS('TỔNG KLH + TN'!$B:$B,'01. TH'!$B232,'TỔNG KLH + TN'!$C:$C,'01. TH'!S$4)</f>
        <v>0</v>
      </c>
      <c r="T232" s="1042">
        <f>COUNTIFS('TỔNG KLH + TN'!$B:$B,'01. TH'!$B232,'TỔNG KLH + TN'!$C:$C,'01. TH'!T$4)</f>
        <v>0</v>
      </c>
      <c r="U232" s="1042">
        <f>COUNTIFS('TỔNG KLH + TN'!$B:$B,'01. TH'!$B232,'TỔNG KLH + TN'!$C:$C,'01. TH'!U$4)</f>
        <v>0</v>
      </c>
      <c r="V232" s="1042">
        <f>COUNTIFS('TỔNG KLH + TN'!$B:$B,'01. TH'!$B232,'TỔNG KLH + TN'!$C:$C,'01. TH'!V$4)</f>
        <v>0</v>
      </c>
      <c r="W232" s="1042">
        <f>COUNTIFS('TỔNG KLH + TN'!$B:$B,'01. TH'!$B232,'TỔNG KLH + TN'!$C:$C,'01. TH'!W$4)</f>
        <v>0</v>
      </c>
      <c r="X232" s="1042">
        <f>COUNTIFS('TỔNG KLH + TN'!$B:$B,'01. TH'!$B232,'TỔNG KLH + TN'!$C:$C,'01. TH'!X$4)</f>
        <v>0</v>
      </c>
      <c r="Y232" s="1042">
        <f>COUNTIFS('TỔNG KLH + TN'!$B:$B,'01. TH'!$B232,'TỔNG KLH + TN'!$C:$C,'01. TH'!Y$4)</f>
        <v>0</v>
      </c>
      <c r="Z232" s="1042">
        <f>COUNTIFS('TỔNG KLH + TN'!$B:$B,'01. TH'!$B232,'TỔNG KLH + TN'!$C:$C,'01. TH'!Z$4)</f>
        <v>0</v>
      </c>
      <c r="AA232" s="1042">
        <f>COUNTIFS('TỔNG KLH + TN'!$B:$B,'01. TH'!$B232,'TỔNG KLH + TN'!$C:$C,'01. TH'!AA$4)</f>
        <v>0</v>
      </c>
      <c r="AB232" s="1042">
        <f>COUNTIFS('TỔNG KLH + TN'!$B:$B,'01. TH'!$B232,'TỔNG KLH + TN'!$C:$C,'01. TH'!AB$4)</f>
        <v>0</v>
      </c>
      <c r="AC232" s="1042">
        <f>COUNTIFS('TỔNG KLH + TN'!$B:$B,'01. TH'!$B232,'TỔNG KLH + TN'!$C:$C,'01. TH'!AC$4)</f>
        <v>0</v>
      </c>
      <c r="AD232" s="1042">
        <f>COUNTIFS('TỔNG KLH + TN'!$B:$B,'01. TH'!$B232,'TỔNG KLH + TN'!$C:$C,'01. TH'!AD$4)</f>
        <v>0</v>
      </c>
      <c r="AE232" s="1045">
        <f t="shared" si="49"/>
        <v>0</v>
      </c>
      <c r="AF232" s="1045"/>
      <c r="AG232" s="1033" t="str">
        <f t="shared" si="23"/>
        <v>ok</v>
      </c>
      <c r="AH232" s="1046"/>
    </row>
    <row r="233" ht="18.75" hidden="1" customHeight="1" outlineLevel="1" spans="1:34">
      <c r="A233" s="1044"/>
      <c r="B233" s="1040" t="s">
        <v>348</v>
      </c>
      <c r="C233" s="1041"/>
      <c r="D233" s="1041" t="s">
        <v>349</v>
      </c>
      <c r="E233" s="1041" t="s">
        <v>302</v>
      </c>
      <c r="F233" s="1042">
        <f>COUNTIFS('TỔNG KLH + TN'!$B:$B,'01. TH'!$B233,'TỔNG KLH + TN'!$C:$C,'01. TH'!F$4)</f>
        <v>0</v>
      </c>
      <c r="G233" s="1042">
        <f>COUNTIFS('TỔNG KLH + TN'!$B:$B,'01. TH'!$B233,'TỔNG KLH + TN'!$C:$C,'01. TH'!G$4)</f>
        <v>0</v>
      </c>
      <c r="H233" s="1042">
        <f>COUNTIFS('TỔNG KLH + TN'!$B:$B,'01. TH'!$B233,'TỔNG KLH + TN'!$C:$C,'01. TH'!H$4)</f>
        <v>0</v>
      </c>
      <c r="I233" s="1042">
        <f>COUNTIFS('TỔNG KLH + TN'!$B:$B,'01. TH'!$B233,'TỔNG KLH + TN'!$C:$C,'01. TH'!I$4)</f>
        <v>0</v>
      </c>
      <c r="J233" s="1042">
        <f>COUNTIFS('TỔNG KLH + TN'!$B:$B,'01. TH'!$B233,'TỔNG KLH + TN'!$C:$C,'01. TH'!J$4)</f>
        <v>0</v>
      </c>
      <c r="K233" s="1042">
        <f>COUNTIFS('TỔNG KLH + TN'!$B:$B,'01. TH'!$B233,'TỔNG KLH + TN'!$C:$C,'01. TH'!K$4)</f>
        <v>0</v>
      </c>
      <c r="L233" s="1042">
        <f>COUNTIFS('TỔNG KLH + TN'!$B:$B,'01. TH'!$B233,'TỔNG KLH + TN'!$C:$C,'01. TH'!L$4)</f>
        <v>0</v>
      </c>
      <c r="M233" s="1042">
        <f>COUNTIFS('TỔNG KLH + TN'!$B:$B,'01. TH'!$B233,'TỔNG KLH + TN'!$C:$C,'01. TH'!M$4)</f>
        <v>0</v>
      </c>
      <c r="N233" s="1042">
        <f>COUNTIFS('TỔNG KLH + TN'!$B:$B,'01. TH'!$B233,'TỔNG KLH + TN'!$C:$C,'01. TH'!N$4)</f>
        <v>0</v>
      </c>
      <c r="O233" s="1042">
        <f>COUNTIFS('TỔNG KLH + TN'!$B:$B,'01. TH'!$B233,'TỔNG KLH + TN'!$C:$C,'01. TH'!O$4)</f>
        <v>0</v>
      </c>
      <c r="P233" s="1042">
        <f>COUNTIFS('TỔNG KLH + TN'!$B:$B,'01. TH'!$B233,'TỔNG KLH + TN'!$C:$C,'01. TH'!P$4)</f>
        <v>0</v>
      </c>
      <c r="Q233" s="1042">
        <f>COUNTIFS('TỔNG KLH + TN'!$B:$B,'01. TH'!$B233,'TỔNG KLH + TN'!$C:$C,'01. TH'!Q$4)</f>
        <v>0</v>
      </c>
      <c r="R233" s="1042">
        <f>COUNTIFS('TỔNG KLH + TN'!$B:$B,'01. TH'!$B233,'TỔNG KLH + TN'!$C:$C,'01. TH'!R$4)</f>
        <v>0</v>
      </c>
      <c r="S233" s="1042">
        <f>COUNTIFS('TỔNG KLH + TN'!$B:$B,'01. TH'!$B233,'TỔNG KLH + TN'!$C:$C,'01. TH'!S$4)</f>
        <v>0</v>
      </c>
      <c r="T233" s="1042">
        <f>COUNTIFS('TỔNG KLH + TN'!$B:$B,'01. TH'!$B233,'TỔNG KLH + TN'!$C:$C,'01. TH'!T$4)</f>
        <v>0</v>
      </c>
      <c r="U233" s="1042">
        <f>COUNTIFS('TỔNG KLH + TN'!$B:$B,'01. TH'!$B233,'TỔNG KLH + TN'!$C:$C,'01. TH'!U$4)</f>
        <v>0</v>
      </c>
      <c r="V233" s="1042">
        <f>COUNTIFS('TỔNG KLH + TN'!$B:$B,'01. TH'!$B233,'TỔNG KLH + TN'!$C:$C,'01. TH'!V$4)</f>
        <v>0</v>
      </c>
      <c r="W233" s="1042">
        <f>COUNTIFS('TỔNG KLH + TN'!$B:$B,'01. TH'!$B233,'TỔNG KLH + TN'!$C:$C,'01. TH'!W$4)</f>
        <v>0</v>
      </c>
      <c r="X233" s="1042">
        <f>COUNTIFS('TỔNG KLH + TN'!$B:$B,'01. TH'!$B233,'TỔNG KLH + TN'!$C:$C,'01. TH'!X$4)</f>
        <v>0</v>
      </c>
      <c r="Y233" s="1042">
        <f>COUNTIFS('TỔNG KLH + TN'!$B:$B,'01. TH'!$B233,'TỔNG KLH + TN'!$C:$C,'01. TH'!Y$4)</f>
        <v>0</v>
      </c>
      <c r="Z233" s="1042">
        <f>COUNTIFS('TỔNG KLH + TN'!$B:$B,'01. TH'!$B233,'TỔNG KLH + TN'!$C:$C,'01. TH'!Z$4)</f>
        <v>0</v>
      </c>
      <c r="AA233" s="1042">
        <f>COUNTIFS('TỔNG KLH + TN'!$B:$B,'01. TH'!$B233,'TỔNG KLH + TN'!$C:$C,'01. TH'!AA$4)</f>
        <v>0</v>
      </c>
      <c r="AB233" s="1042">
        <f>COUNTIFS('TỔNG KLH + TN'!$B:$B,'01. TH'!$B233,'TỔNG KLH + TN'!$C:$C,'01. TH'!AB$4)</f>
        <v>0</v>
      </c>
      <c r="AC233" s="1042">
        <f>COUNTIFS('TỔNG KLH + TN'!$B:$B,'01. TH'!$B233,'TỔNG KLH + TN'!$C:$C,'01. TH'!AC$4)</f>
        <v>0</v>
      </c>
      <c r="AD233" s="1042">
        <f>COUNTIFS('TỔNG KLH + TN'!$B:$B,'01. TH'!$B233,'TỔNG KLH + TN'!$C:$C,'01. TH'!AD$4)</f>
        <v>0</v>
      </c>
      <c r="AE233" s="1045">
        <f t="shared" si="49"/>
        <v>0</v>
      </c>
      <c r="AF233" s="1045"/>
      <c r="AG233" s="1033" t="str">
        <f t="shared" si="23"/>
        <v>ok</v>
      </c>
      <c r="AH233" s="1046"/>
    </row>
    <row r="234" ht="18.75" hidden="1" customHeight="1" outlineLevel="1" spans="1:34">
      <c r="A234" s="1044"/>
      <c r="B234" s="1040" t="s">
        <v>350</v>
      </c>
      <c r="C234" s="1041"/>
      <c r="D234" s="1041" t="s">
        <v>351</v>
      </c>
      <c r="E234" s="1041" t="s">
        <v>302</v>
      </c>
      <c r="F234" s="1042">
        <f>COUNTIFS('TỔNG KLH + TN'!$B:$B,'01. TH'!$B234,'TỔNG KLH + TN'!$C:$C,'01. TH'!F$4)</f>
        <v>0</v>
      </c>
      <c r="G234" s="1042">
        <f>COUNTIFS('TỔNG KLH + TN'!$B:$B,'01. TH'!$B234,'TỔNG KLH + TN'!$C:$C,'01. TH'!G$4)</f>
        <v>0</v>
      </c>
      <c r="H234" s="1042">
        <f>COUNTIFS('TỔNG KLH + TN'!$B:$B,'01. TH'!$B234,'TỔNG KLH + TN'!$C:$C,'01. TH'!H$4)</f>
        <v>0</v>
      </c>
      <c r="I234" s="1042">
        <f>COUNTIFS('TỔNG KLH + TN'!$B:$B,'01. TH'!$B234,'TỔNG KLH + TN'!$C:$C,'01. TH'!I$4)</f>
        <v>0</v>
      </c>
      <c r="J234" s="1042">
        <f>COUNTIFS('TỔNG KLH + TN'!$B:$B,'01. TH'!$B234,'TỔNG KLH + TN'!$C:$C,'01. TH'!J$4)</f>
        <v>0</v>
      </c>
      <c r="K234" s="1042">
        <f>COUNTIFS('TỔNG KLH + TN'!$B:$B,'01. TH'!$B234,'TỔNG KLH + TN'!$C:$C,'01. TH'!K$4)</f>
        <v>0</v>
      </c>
      <c r="L234" s="1042">
        <f>COUNTIFS('TỔNG KLH + TN'!$B:$B,'01. TH'!$B234,'TỔNG KLH + TN'!$C:$C,'01. TH'!L$4)</f>
        <v>0</v>
      </c>
      <c r="M234" s="1042">
        <f>COUNTIFS('TỔNG KLH + TN'!$B:$B,'01. TH'!$B234,'TỔNG KLH + TN'!$C:$C,'01. TH'!M$4)</f>
        <v>0</v>
      </c>
      <c r="N234" s="1042">
        <f>COUNTIFS('TỔNG KLH + TN'!$B:$B,'01. TH'!$B234,'TỔNG KLH + TN'!$C:$C,'01. TH'!N$4)</f>
        <v>0</v>
      </c>
      <c r="O234" s="1042">
        <f>COUNTIFS('TỔNG KLH + TN'!$B:$B,'01. TH'!$B234,'TỔNG KLH + TN'!$C:$C,'01. TH'!O$4)</f>
        <v>0</v>
      </c>
      <c r="P234" s="1042">
        <f>COUNTIFS('TỔNG KLH + TN'!$B:$B,'01. TH'!$B234,'TỔNG KLH + TN'!$C:$C,'01. TH'!P$4)</f>
        <v>0</v>
      </c>
      <c r="Q234" s="1042">
        <f>COUNTIFS('TỔNG KLH + TN'!$B:$B,'01. TH'!$B234,'TỔNG KLH + TN'!$C:$C,'01. TH'!Q$4)</f>
        <v>0</v>
      </c>
      <c r="R234" s="1042">
        <f>COUNTIFS('TỔNG KLH + TN'!$B:$B,'01. TH'!$B234,'TỔNG KLH + TN'!$C:$C,'01. TH'!R$4)</f>
        <v>0</v>
      </c>
      <c r="S234" s="1042">
        <f>COUNTIFS('TỔNG KLH + TN'!$B:$B,'01. TH'!$B234,'TỔNG KLH + TN'!$C:$C,'01. TH'!S$4)</f>
        <v>0</v>
      </c>
      <c r="T234" s="1042">
        <f>COUNTIFS('TỔNG KLH + TN'!$B:$B,'01. TH'!$B234,'TỔNG KLH + TN'!$C:$C,'01. TH'!T$4)</f>
        <v>0</v>
      </c>
      <c r="U234" s="1042">
        <f>COUNTIFS('TỔNG KLH + TN'!$B:$B,'01. TH'!$B234,'TỔNG KLH + TN'!$C:$C,'01. TH'!U$4)</f>
        <v>0</v>
      </c>
      <c r="V234" s="1042">
        <f>COUNTIFS('TỔNG KLH + TN'!$B:$B,'01. TH'!$B234,'TỔNG KLH + TN'!$C:$C,'01. TH'!V$4)</f>
        <v>0</v>
      </c>
      <c r="W234" s="1042">
        <f>COUNTIFS('TỔNG KLH + TN'!$B:$B,'01. TH'!$B234,'TỔNG KLH + TN'!$C:$C,'01. TH'!W$4)</f>
        <v>0</v>
      </c>
      <c r="X234" s="1042">
        <f>COUNTIFS('TỔNG KLH + TN'!$B:$B,'01. TH'!$B234,'TỔNG KLH + TN'!$C:$C,'01. TH'!X$4)</f>
        <v>0</v>
      </c>
      <c r="Y234" s="1042">
        <f>COUNTIFS('TỔNG KLH + TN'!$B:$B,'01. TH'!$B234,'TỔNG KLH + TN'!$C:$C,'01. TH'!Y$4)</f>
        <v>0</v>
      </c>
      <c r="Z234" s="1042">
        <f>COUNTIFS('TỔNG KLH + TN'!$B:$B,'01. TH'!$B234,'TỔNG KLH + TN'!$C:$C,'01. TH'!Z$4)</f>
        <v>0</v>
      </c>
      <c r="AA234" s="1042">
        <f>COUNTIFS('TỔNG KLH + TN'!$B:$B,'01. TH'!$B234,'TỔNG KLH + TN'!$C:$C,'01. TH'!AA$4)</f>
        <v>0</v>
      </c>
      <c r="AB234" s="1042">
        <f>COUNTIFS('TỔNG KLH + TN'!$B:$B,'01. TH'!$B234,'TỔNG KLH + TN'!$C:$C,'01. TH'!AB$4)</f>
        <v>0</v>
      </c>
      <c r="AC234" s="1042">
        <f>COUNTIFS('TỔNG KLH + TN'!$B:$B,'01. TH'!$B234,'TỔNG KLH + TN'!$C:$C,'01. TH'!AC$4)</f>
        <v>0</v>
      </c>
      <c r="AD234" s="1042">
        <f>COUNTIFS('TỔNG KLH + TN'!$B:$B,'01. TH'!$B234,'TỔNG KLH + TN'!$C:$C,'01. TH'!AD$4)</f>
        <v>0</v>
      </c>
      <c r="AE234" s="1045">
        <f t="shared" si="49"/>
        <v>0</v>
      </c>
      <c r="AF234" s="1045"/>
      <c r="AG234" s="1033" t="str">
        <f t="shared" si="23"/>
        <v>ok</v>
      </c>
      <c r="AH234" s="1046"/>
    </row>
    <row r="235" ht="18.75" hidden="1" customHeight="1" outlineLevel="1" spans="1:34">
      <c r="A235" s="1044"/>
      <c r="B235" s="1040" t="s">
        <v>352</v>
      </c>
      <c r="C235" s="1041"/>
      <c r="D235" s="1041" t="s">
        <v>353</v>
      </c>
      <c r="E235" s="1041" t="s">
        <v>302</v>
      </c>
      <c r="F235" s="1042">
        <f>COUNTIFS('TỔNG KLH + TN'!$B:$B,'01. TH'!$B235,'TỔNG KLH + TN'!$C:$C,'01. TH'!F$4)</f>
        <v>0</v>
      </c>
      <c r="G235" s="1042">
        <f>COUNTIFS('TỔNG KLH + TN'!$B:$B,'01. TH'!$B235,'TỔNG KLH + TN'!$C:$C,'01. TH'!G$4)</f>
        <v>0</v>
      </c>
      <c r="H235" s="1042">
        <f>COUNTIFS('TỔNG KLH + TN'!$B:$B,'01. TH'!$B235,'TỔNG KLH + TN'!$C:$C,'01. TH'!H$4)</f>
        <v>0</v>
      </c>
      <c r="I235" s="1042">
        <f>COUNTIFS('TỔNG KLH + TN'!$B:$B,'01. TH'!$B235,'TỔNG KLH + TN'!$C:$C,'01. TH'!I$4)</f>
        <v>0</v>
      </c>
      <c r="J235" s="1042">
        <f>COUNTIFS('TỔNG KLH + TN'!$B:$B,'01. TH'!$B235,'TỔNG KLH + TN'!$C:$C,'01. TH'!J$4)</f>
        <v>0</v>
      </c>
      <c r="K235" s="1042">
        <f>COUNTIFS('TỔNG KLH + TN'!$B:$B,'01. TH'!$B235,'TỔNG KLH + TN'!$C:$C,'01. TH'!K$4)</f>
        <v>0</v>
      </c>
      <c r="L235" s="1042">
        <f>COUNTIFS('TỔNG KLH + TN'!$B:$B,'01. TH'!$B235,'TỔNG KLH + TN'!$C:$C,'01. TH'!L$4)</f>
        <v>0</v>
      </c>
      <c r="M235" s="1042">
        <f>COUNTIFS('TỔNG KLH + TN'!$B:$B,'01. TH'!$B235,'TỔNG KLH + TN'!$C:$C,'01. TH'!M$4)</f>
        <v>0</v>
      </c>
      <c r="N235" s="1042">
        <f>COUNTIFS('TỔNG KLH + TN'!$B:$B,'01. TH'!$B235,'TỔNG KLH + TN'!$C:$C,'01. TH'!N$4)</f>
        <v>0</v>
      </c>
      <c r="O235" s="1042">
        <f>COUNTIFS('TỔNG KLH + TN'!$B:$B,'01. TH'!$B235,'TỔNG KLH + TN'!$C:$C,'01. TH'!O$4)</f>
        <v>0</v>
      </c>
      <c r="P235" s="1042">
        <f>COUNTIFS('TỔNG KLH + TN'!$B:$B,'01. TH'!$B235,'TỔNG KLH + TN'!$C:$C,'01. TH'!P$4)</f>
        <v>0</v>
      </c>
      <c r="Q235" s="1042">
        <f>COUNTIFS('TỔNG KLH + TN'!$B:$B,'01. TH'!$B235,'TỔNG KLH + TN'!$C:$C,'01. TH'!Q$4)</f>
        <v>0</v>
      </c>
      <c r="R235" s="1042">
        <f>COUNTIFS('TỔNG KLH + TN'!$B:$B,'01. TH'!$B235,'TỔNG KLH + TN'!$C:$C,'01. TH'!R$4)</f>
        <v>0</v>
      </c>
      <c r="S235" s="1042">
        <f>COUNTIFS('TỔNG KLH + TN'!$B:$B,'01. TH'!$B235,'TỔNG KLH + TN'!$C:$C,'01. TH'!S$4)</f>
        <v>0</v>
      </c>
      <c r="T235" s="1042">
        <f>COUNTIFS('TỔNG KLH + TN'!$B:$B,'01. TH'!$B235,'TỔNG KLH + TN'!$C:$C,'01. TH'!T$4)</f>
        <v>0</v>
      </c>
      <c r="U235" s="1042">
        <f>COUNTIFS('TỔNG KLH + TN'!$B:$B,'01. TH'!$B235,'TỔNG KLH + TN'!$C:$C,'01. TH'!U$4)</f>
        <v>0</v>
      </c>
      <c r="V235" s="1042">
        <f>COUNTIFS('TỔNG KLH + TN'!$B:$B,'01. TH'!$B235,'TỔNG KLH + TN'!$C:$C,'01. TH'!V$4)</f>
        <v>0</v>
      </c>
      <c r="W235" s="1042">
        <f>COUNTIFS('TỔNG KLH + TN'!$B:$B,'01. TH'!$B235,'TỔNG KLH + TN'!$C:$C,'01. TH'!W$4)</f>
        <v>0</v>
      </c>
      <c r="X235" s="1042">
        <f>COUNTIFS('TỔNG KLH + TN'!$B:$B,'01. TH'!$B235,'TỔNG KLH + TN'!$C:$C,'01. TH'!X$4)</f>
        <v>0</v>
      </c>
      <c r="Y235" s="1042">
        <f>COUNTIFS('TỔNG KLH + TN'!$B:$B,'01. TH'!$B235,'TỔNG KLH + TN'!$C:$C,'01. TH'!Y$4)</f>
        <v>0</v>
      </c>
      <c r="Z235" s="1042">
        <f>COUNTIFS('TỔNG KLH + TN'!$B:$B,'01. TH'!$B235,'TỔNG KLH + TN'!$C:$C,'01. TH'!Z$4)</f>
        <v>0</v>
      </c>
      <c r="AA235" s="1042">
        <f>COUNTIFS('TỔNG KLH + TN'!$B:$B,'01. TH'!$B235,'TỔNG KLH + TN'!$C:$C,'01. TH'!AA$4)</f>
        <v>0</v>
      </c>
      <c r="AB235" s="1042">
        <f>COUNTIFS('TỔNG KLH + TN'!$B:$B,'01. TH'!$B235,'TỔNG KLH + TN'!$C:$C,'01. TH'!AB$4)</f>
        <v>0</v>
      </c>
      <c r="AC235" s="1042">
        <f>COUNTIFS('TỔNG KLH + TN'!$B:$B,'01. TH'!$B235,'TỔNG KLH + TN'!$C:$C,'01. TH'!AC$4)</f>
        <v>0</v>
      </c>
      <c r="AD235" s="1042">
        <f>COUNTIFS('TỔNG KLH + TN'!$B:$B,'01. TH'!$B235,'TỔNG KLH + TN'!$C:$C,'01. TH'!AD$4)</f>
        <v>0</v>
      </c>
      <c r="AE235" s="1045">
        <f t="shared" si="49"/>
        <v>0</v>
      </c>
      <c r="AF235" s="1045"/>
      <c r="AG235" s="1033" t="str">
        <f t="shared" si="23"/>
        <v>ok</v>
      </c>
      <c r="AH235" s="1046"/>
    </row>
    <row r="236" ht="18.75" hidden="1" customHeight="1" outlineLevel="1" spans="1:34">
      <c r="A236" s="1044"/>
      <c r="B236" s="1040" t="s">
        <v>354</v>
      </c>
      <c r="C236" s="1041"/>
      <c r="D236" s="1041" t="s">
        <v>355</v>
      </c>
      <c r="E236" s="1041" t="s">
        <v>302</v>
      </c>
      <c r="F236" s="1042">
        <f>COUNTIFS('TỔNG KLH + TN'!$B:$B,'01. TH'!$B236,'TỔNG KLH + TN'!$C:$C,'01. TH'!F$4)</f>
        <v>0</v>
      </c>
      <c r="G236" s="1042">
        <f>COUNTIFS('TỔNG KLH + TN'!$B:$B,'01. TH'!$B236,'TỔNG KLH + TN'!$C:$C,'01. TH'!G$4)</f>
        <v>0</v>
      </c>
      <c r="H236" s="1042">
        <f>COUNTIFS('TỔNG KLH + TN'!$B:$B,'01. TH'!$B236,'TỔNG KLH + TN'!$C:$C,'01. TH'!H$4)</f>
        <v>0</v>
      </c>
      <c r="I236" s="1042">
        <f>COUNTIFS('TỔNG KLH + TN'!$B:$B,'01. TH'!$B236,'TỔNG KLH + TN'!$C:$C,'01. TH'!I$4)</f>
        <v>0</v>
      </c>
      <c r="J236" s="1042">
        <f>COUNTIFS('TỔNG KLH + TN'!$B:$B,'01. TH'!$B236,'TỔNG KLH + TN'!$C:$C,'01. TH'!J$4)</f>
        <v>0</v>
      </c>
      <c r="K236" s="1042">
        <f>COUNTIFS('TỔNG KLH + TN'!$B:$B,'01. TH'!$B236,'TỔNG KLH + TN'!$C:$C,'01. TH'!K$4)</f>
        <v>0</v>
      </c>
      <c r="L236" s="1042">
        <f>COUNTIFS('TỔNG KLH + TN'!$B:$B,'01. TH'!$B236,'TỔNG KLH + TN'!$C:$C,'01. TH'!L$4)</f>
        <v>0</v>
      </c>
      <c r="M236" s="1042">
        <f>COUNTIFS('TỔNG KLH + TN'!$B:$B,'01. TH'!$B236,'TỔNG KLH + TN'!$C:$C,'01. TH'!M$4)</f>
        <v>0</v>
      </c>
      <c r="N236" s="1042">
        <f>COUNTIFS('TỔNG KLH + TN'!$B:$B,'01. TH'!$B236,'TỔNG KLH + TN'!$C:$C,'01. TH'!N$4)</f>
        <v>0</v>
      </c>
      <c r="O236" s="1042">
        <f>COUNTIFS('TỔNG KLH + TN'!$B:$B,'01. TH'!$B236,'TỔNG KLH + TN'!$C:$C,'01. TH'!O$4)</f>
        <v>0</v>
      </c>
      <c r="P236" s="1042">
        <f>COUNTIFS('TỔNG KLH + TN'!$B:$B,'01. TH'!$B236,'TỔNG KLH + TN'!$C:$C,'01. TH'!P$4)</f>
        <v>0</v>
      </c>
      <c r="Q236" s="1042">
        <f>COUNTIFS('TỔNG KLH + TN'!$B:$B,'01. TH'!$B236,'TỔNG KLH + TN'!$C:$C,'01. TH'!Q$4)</f>
        <v>0</v>
      </c>
      <c r="R236" s="1042">
        <f>COUNTIFS('TỔNG KLH + TN'!$B:$B,'01. TH'!$B236,'TỔNG KLH + TN'!$C:$C,'01. TH'!R$4)</f>
        <v>0</v>
      </c>
      <c r="S236" s="1042">
        <f>COUNTIFS('TỔNG KLH + TN'!$B:$B,'01. TH'!$B236,'TỔNG KLH + TN'!$C:$C,'01. TH'!S$4)</f>
        <v>0</v>
      </c>
      <c r="T236" s="1042">
        <f>COUNTIFS('TỔNG KLH + TN'!$B:$B,'01. TH'!$B236,'TỔNG KLH + TN'!$C:$C,'01. TH'!T$4)</f>
        <v>0</v>
      </c>
      <c r="U236" s="1042">
        <f>COUNTIFS('TỔNG KLH + TN'!$B:$B,'01. TH'!$B236,'TỔNG KLH + TN'!$C:$C,'01. TH'!U$4)</f>
        <v>0</v>
      </c>
      <c r="V236" s="1042">
        <f>COUNTIFS('TỔNG KLH + TN'!$B:$B,'01. TH'!$B236,'TỔNG KLH + TN'!$C:$C,'01. TH'!V$4)</f>
        <v>0</v>
      </c>
      <c r="W236" s="1042">
        <f>COUNTIFS('TỔNG KLH + TN'!$B:$B,'01. TH'!$B236,'TỔNG KLH + TN'!$C:$C,'01. TH'!W$4)</f>
        <v>0</v>
      </c>
      <c r="X236" s="1042">
        <f>COUNTIFS('TỔNG KLH + TN'!$B:$B,'01. TH'!$B236,'TỔNG KLH + TN'!$C:$C,'01. TH'!X$4)</f>
        <v>0</v>
      </c>
      <c r="Y236" s="1042">
        <f>COUNTIFS('TỔNG KLH + TN'!$B:$B,'01. TH'!$B236,'TỔNG KLH + TN'!$C:$C,'01. TH'!Y$4)</f>
        <v>0</v>
      </c>
      <c r="Z236" s="1042">
        <f>COUNTIFS('TỔNG KLH + TN'!$B:$B,'01. TH'!$B236,'TỔNG KLH + TN'!$C:$C,'01. TH'!Z$4)</f>
        <v>0</v>
      </c>
      <c r="AA236" s="1042">
        <f>COUNTIFS('TỔNG KLH + TN'!$B:$B,'01. TH'!$B236,'TỔNG KLH + TN'!$C:$C,'01. TH'!AA$4)</f>
        <v>0</v>
      </c>
      <c r="AB236" s="1042">
        <f>COUNTIFS('TỔNG KLH + TN'!$B:$B,'01. TH'!$B236,'TỔNG KLH + TN'!$C:$C,'01. TH'!AB$4)</f>
        <v>0</v>
      </c>
      <c r="AC236" s="1042">
        <f>COUNTIFS('TỔNG KLH + TN'!$B:$B,'01. TH'!$B236,'TỔNG KLH + TN'!$C:$C,'01. TH'!AC$4)</f>
        <v>0</v>
      </c>
      <c r="AD236" s="1042">
        <f>COUNTIFS('TỔNG KLH + TN'!$B:$B,'01. TH'!$B236,'TỔNG KLH + TN'!$C:$C,'01. TH'!AD$4)</f>
        <v>0</v>
      </c>
      <c r="AE236" s="1045">
        <f t="shared" si="49"/>
        <v>0</v>
      </c>
      <c r="AF236" s="1045"/>
      <c r="AG236" s="1033" t="str">
        <f t="shared" si="23"/>
        <v>ok</v>
      </c>
      <c r="AH236" s="1046"/>
    </row>
    <row r="237" ht="18.75" hidden="1" customHeight="1" outlineLevel="1" spans="1:34">
      <c r="A237" s="1056"/>
      <c r="B237" s="1054" t="s">
        <v>356</v>
      </c>
      <c r="C237" s="1041"/>
      <c r="D237" s="1041" t="s">
        <v>357</v>
      </c>
      <c r="E237" s="1041" t="s">
        <v>302</v>
      </c>
      <c r="F237" s="1042">
        <f>COUNTIFS('TỔNG KLH + TN'!$B:$B,'01. TH'!$B237,'TỔNG KLH + TN'!$C:$C,'01. TH'!F$4)</f>
        <v>0</v>
      </c>
      <c r="G237" s="1042">
        <f>COUNTIFS('TỔNG KLH + TN'!$B:$B,'01. TH'!$B237,'TỔNG KLH + TN'!$C:$C,'01. TH'!G$4)</f>
        <v>0</v>
      </c>
      <c r="H237" s="1042">
        <f>COUNTIFS('TỔNG KLH + TN'!$B:$B,'01. TH'!$B237,'TỔNG KLH + TN'!$C:$C,'01. TH'!H$4)</f>
        <v>0</v>
      </c>
      <c r="I237" s="1042">
        <f>COUNTIFS('TỔNG KLH + TN'!$B:$B,'01. TH'!$B237,'TỔNG KLH + TN'!$C:$C,'01. TH'!I$4)</f>
        <v>0</v>
      </c>
      <c r="J237" s="1042">
        <f>COUNTIFS('TỔNG KLH + TN'!$B:$B,'01. TH'!$B237,'TỔNG KLH + TN'!$C:$C,'01. TH'!J$4)</f>
        <v>0</v>
      </c>
      <c r="K237" s="1042">
        <f>COUNTIFS('TỔNG KLH + TN'!$B:$B,'01. TH'!$B237,'TỔNG KLH + TN'!$C:$C,'01. TH'!K$4)</f>
        <v>0</v>
      </c>
      <c r="L237" s="1042">
        <f>COUNTIFS('TỔNG KLH + TN'!$B:$B,'01. TH'!$B237,'TỔNG KLH + TN'!$C:$C,'01. TH'!L$4)</f>
        <v>0</v>
      </c>
      <c r="M237" s="1042">
        <f>COUNTIFS('TỔNG KLH + TN'!$B:$B,'01. TH'!$B237,'TỔNG KLH + TN'!$C:$C,'01. TH'!M$4)</f>
        <v>0</v>
      </c>
      <c r="N237" s="1042">
        <f>COUNTIFS('TỔNG KLH + TN'!$B:$B,'01. TH'!$B237,'TỔNG KLH + TN'!$C:$C,'01. TH'!N$4)</f>
        <v>0</v>
      </c>
      <c r="O237" s="1042">
        <f>COUNTIFS('TỔNG KLH + TN'!$B:$B,'01. TH'!$B237,'TỔNG KLH + TN'!$C:$C,'01. TH'!O$4)</f>
        <v>0</v>
      </c>
      <c r="P237" s="1042">
        <f>COUNTIFS('TỔNG KLH + TN'!$B:$B,'01. TH'!$B237,'TỔNG KLH + TN'!$C:$C,'01. TH'!P$4)</f>
        <v>0</v>
      </c>
      <c r="Q237" s="1042">
        <f>COUNTIFS('TỔNG KLH + TN'!$B:$B,'01. TH'!$B237,'TỔNG KLH + TN'!$C:$C,'01. TH'!Q$4)</f>
        <v>0</v>
      </c>
      <c r="R237" s="1042">
        <f>COUNTIFS('TỔNG KLH + TN'!$B:$B,'01. TH'!$B237,'TỔNG KLH + TN'!$C:$C,'01. TH'!R$4)</f>
        <v>0</v>
      </c>
      <c r="S237" s="1042">
        <f>COUNTIFS('TỔNG KLH + TN'!$B:$B,'01. TH'!$B237,'TỔNG KLH + TN'!$C:$C,'01. TH'!S$4)</f>
        <v>0</v>
      </c>
      <c r="T237" s="1042">
        <f>COUNTIFS('TỔNG KLH + TN'!$B:$B,'01. TH'!$B237,'TỔNG KLH + TN'!$C:$C,'01. TH'!T$4)</f>
        <v>0</v>
      </c>
      <c r="U237" s="1042">
        <f>COUNTIFS('TỔNG KLH + TN'!$B:$B,'01. TH'!$B237,'TỔNG KLH + TN'!$C:$C,'01. TH'!U$4)</f>
        <v>0</v>
      </c>
      <c r="V237" s="1042">
        <f>COUNTIFS('TỔNG KLH + TN'!$B:$B,'01. TH'!$B237,'TỔNG KLH + TN'!$C:$C,'01. TH'!V$4)</f>
        <v>0</v>
      </c>
      <c r="W237" s="1042">
        <f>COUNTIFS('TỔNG KLH + TN'!$B:$B,'01. TH'!$B237,'TỔNG KLH + TN'!$C:$C,'01. TH'!W$4)</f>
        <v>0</v>
      </c>
      <c r="X237" s="1042">
        <f>COUNTIFS('TỔNG KLH + TN'!$B:$B,'01. TH'!$B237,'TỔNG KLH + TN'!$C:$C,'01. TH'!X$4)</f>
        <v>0</v>
      </c>
      <c r="Y237" s="1042">
        <f>COUNTIFS('TỔNG KLH + TN'!$B:$B,'01. TH'!$B237,'TỔNG KLH + TN'!$C:$C,'01. TH'!Y$4)</f>
        <v>0</v>
      </c>
      <c r="Z237" s="1042">
        <f>COUNTIFS('TỔNG KLH + TN'!$B:$B,'01. TH'!$B237,'TỔNG KLH + TN'!$C:$C,'01. TH'!Z$4)</f>
        <v>0</v>
      </c>
      <c r="AA237" s="1042">
        <f>COUNTIFS('TỔNG KLH + TN'!$B:$B,'01. TH'!$B237,'TỔNG KLH + TN'!$C:$C,'01. TH'!AA$4)</f>
        <v>0</v>
      </c>
      <c r="AB237" s="1042">
        <f>COUNTIFS('TỔNG KLH + TN'!$B:$B,'01. TH'!$B237,'TỔNG KLH + TN'!$C:$C,'01. TH'!AB$4)</f>
        <v>0</v>
      </c>
      <c r="AC237" s="1042">
        <f>COUNTIFS('TỔNG KLH + TN'!$B:$B,'01. TH'!$B237,'TỔNG KLH + TN'!$C:$C,'01. TH'!AC$4)</f>
        <v>0</v>
      </c>
      <c r="AD237" s="1042">
        <f>COUNTIFS('TỔNG KLH + TN'!$B:$B,'01. TH'!$B237,'TỔNG KLH + TN'!$C:$C,'01. TH'!AD$4)</f>
        <v>0</v>
      </c>
      <c r="AE237" s="1057">
        <f t="shared" si="49"/>
        <v>0</v>
      </c>
      <c r="AF237" s="1057"/>
      <c r="AG237" s="1033" t="str">
        <f t="shared" si="23"/>
        <v>ok</v>
      </c>
      <c r="AH237" s="1058"/>
    </row>
    <row r="238" ht="18.75" hidden="1" customHeight="1" outlineLevel="1" spans="1:34">
      <c r="A238" s="1056"/>
      <c r="B238" s="1054" t="s">
        <v>344</v>
      </c>
      <c r="C238" s="1041"/>
      <c r="D238" s="1041" t="s">
        <v>358</v>
      </c>
      <c r="E238" s="1041" t="s">
        <v>302</v>
      </c>
      <c r="F238" s="1042">
        <f>COUNTIFS('TỔNG KLH + TN'!$B:$B,'01. TH'!$B238,'TỔNG KLH + TN'!$C:$C,'01. TH'!F$4)</f>
        <v>0</v>
      </c>
      <c r="G238" s="1042">
        <f>COUNTIFS('TỔNG KLH + TN'!$B:$B,'01. TH'!$B238,'TỔNG KLH + TN'!$C:$C,'01. TH'!G$4)</f>
        <v>0</v>
      </c>
      <c r="H238" s="1042">
        <f>COUNTIFS('TỔNG KLH + TN'!$B:$B,'01. TH'!$B238,'TỔNG KLH + TN'!$C:$C,'01. TH'!H$4)</f>
        <v>0</v>
      </c>
      <c r="I238" s="1042">
        <f>COUNTIFS('TỔNG KLH + TN'!$B:$B,'01. TH'!$B238,'TỔNG KLH + TN'!$C:$C,'01. TH'!I$4)</f>
        <v>0</v>
      </c>
      <c r="J238" s="1042">
        <f>COUNTIFS('TỔNG KLH + TN'!$B:$B,'01. TH'!$B238,'TỔNG KLH + TN'!$C:$C,'01. TH'!J$4)</f>
        <v>0</v>
      </c>
      <c r="K238" s="1042">
        <f>COUNTIFS('TỔNG KLH + TN'!$B:$B,'01. TH'!$B238,'TỔNG KLH + TN'!$C:$C,'01. TH'!K$4)</f>
        <v>0</v>
      </c>
      <c r="L238" s="1042">
        <f>COUNTIFS('TỔNG KLH + TN'!$B:$B,'01. TH'!$B238,'TỔNG KLH + TN'!$C:$C,'01. TH'!L$4)</f>
        <v>0</v>
      </c>
      <c r="M238" s="1042">
        <f>COUNTIFS('TỔNG KLH + TN'!$B:$B,'01. TH'!$B238,'TỔNG KLH + TN'!$C:$C,'01. TH'!M$4)</f>
        <v>0</v>
      </c>
      <c r="N238" s="1042">
        <f>COUNTIFS('TỔNG KLH + TN'!$B:$B,'01. TH'!$B238,'TỔNG KLH + TN'!$C:$C,'01. TH'!N$4)</f>
        <v>0</v>
      </c>
      <c r="O238" s="1042">
        <f>COUNTIFS('TỔNG KLH + TN'!$B:$B,'01. TH'!$B238,'TỔNG KLH + TN'!$C:$C,'01. TH'!O$4)</f>
        <v>0</v>
      </c>
      <c r="P238" s="1042">
        <f>COUNTIFS('TỔNG KLH + TN'!$B:$B,'01. TH'!$B238,'TỔNG KLH + TN'!$C:$C,'01. TH'!P$4)</f>
        <v>0</v>
      </c>
      <c r="Q238" s="1042">
        <f>COUNTIFS('TỔNG KLH + TN'!$B:$B,'01. TH'!$B238,'TỔNG KLH + TN'!$C:$C,'01. TH'!Q$4)</f>
        <v>0</v>
      </c>
      <c r="R238" s="1042">
        <f>COUNTIFS('TỔNG KLH + TN'!$B:$B,'01. TH'!$B238,'TỔNG KLH + TN'!$C:$C,'01. TH'!R$4)</f>
        <v>0</v>
      </c>
      <c r="S238" s="1042">
        <f>COUNTIFS('TỔNG KLH + TN'!$B:$B,'01. TH'!$B238,'TỔNG KLH + TN'!$C:$C,'01. TH'!S$4)</f>
        <v>0</v>
      </c>
      <c r="T238" s="1042">
        <f>COUNTIFS('TỔNG KLH + TN'!$B:$B,'01. TH'!$B238,'TỔNG KLH + TN'!$C:$C,'01. TH'!T$4)</f>
        <v>0</v>
      </c>
      <c r="U238" s="1042">
        <f>COUNTIFS('TỔNG KLH + TN'!$B:$B,'01. TH'!$B238,'TỔNG KLH + TN'!$C:$C,'01. TH'!U$4)</f>
        <v>0</v>
      </c>
      <c r="V238" s="1042">
        <f>COUNTIFS('TỔNG KLH + TN'!$B:$B,'01. TH'!$B238,'TỔNG KLH + TN'!$C:$C,'01. TH'!V$4)</f>
        <v>0</v>
      </c>
      <c r="W238" s="1042">
        <f>COUNTIFS('TỔNG KLH + TN'!$B:$B,'01. TH'!$B238,'TỔNG KLH + TN'!$C:$C,'01. TH'!W$4)</f>
        <v>0</v>
      </c>
      <c r="X238" s="1042">
        <f>COUNTIFS('TỔNG KLH + TN'!$B:$B,'01. TH'!$B238,'TỔNG KLH + TN'!$C:$C,'01. TH'!X$4)</f>
        <v>0</v>
      </c>
      <c r="Y238" s="1042">
        <f>COUNTIFS('TỔNG KLH + TN'!$B:$B,'01. TH'!$B238,'TỔNG KLH + TN'!$C:$C,'01. TH'!Y$4)</f>
        <v>0</v>
      </c>
      <c r="Z238" s="1042">
        <f>COUNTIFS('TỔNG KLH + TN'!$B:$B,'01. TH'!$B238,'TỔNG KLH + TN'!$C:$C,'01. TH'!Z$4)</f>
        <v>0</v>
      </c>
      <c r="AA238" s="1042">
        <f>COUNTIFS('TỔNG KLH + TN'!$B:$B,'01. TH'!$B238,'TỔNG KLH + TN'!$C:$C,'01. TH'!AA$4)</f>
        <v>0</v>
      </c>
      <c r="AB238" s="1042">
        <f>COUNTIFS('TỔNG KLH + TN'!$B:$B,'01. TH'!$B238,'TỔNG KLH + TN'!$C:$C,'01. TH'!AB$4)</f>
        <v>0</v>
      </c>
      <c r="AC238" s="1042">
        <f>COUNTIFS('TỔNG KLH + TN'!$B:$B,'01. TH'!$B238,'TỔNG KLH + TN'!$C:$C,'01. TH'!AC$4)</f>
        <v>0</v>
      </c>
      <c r="AD238" s="1042">
        <f>COUNTIFS('TỔNG KLH + TN'!$B:$B,'01. TH'!$B238,'TỔNG KLH + TN'!$C:$C,'01. TH'!AD$4)</f>
        <v>0</v>
      </c>
      <c r="AE238" s="1057">
        <f t="shared" si="49"/>
        <v>0</v>
      </c>
      <c r="AF238" s="1057"/>
      <c r="AG238" s="1033" t="str">
        <f t="shared" si="23"/>
        <v>ok</v>
      </c>
      <c r="AH238" s="1058"/>
    </row>
    <row r="239" ht="18.75" hidden="1" customHeight="1" outlineLevel="1" spans="1:34">
      <c r="A239" s="1056"/>
      <c r="B239" s="1054" t="s">
        <v>359</v>
      </c>
      <c r="C239" s="1041"/>
      <c r="D239" s="1041" t="s">
        <v>360</v>
      </c>
      <c r="E239" s="1041" t="s">
        <v>302</v>
      </c>
      <c r="F239" s="1042">
        <f>COUNTIFS('TỔNG KLH + TN'!$B:$B,'01. TH'!$B239,'TỔNG KLH + TN'!$C:$C,'01. TH'!F$4)</f>
        <v>0</v>
      </c>
      <c r="G239" s="1042">
        <f>COUNTIFS('TỔNG KLH + TN'!$B:$B,'01. TH'!$B239,'TỔNG KLH + TN'!$C:$C,'01. TH'!G$4)</f>
        <v>0</v>
      </c>
      <c r="H239" s="1042">
        <f>COUNTIFS('TỔNG KLH + TN'!$B:$B,'01. TH'!$B239,'TỔNG KLH + TN'!$C:$C,'01. TH'!H$4)</f>
        <v>0</v>
      </c>
      <c r="I239" s="1042">
        <f>COUNTIFS('TỔNG KLH + TN'!$B:$B,'01. TH'!$B239,'TỔNG KLH + TN'!$C:$C,'01. TH'!I$4)</f>
        <v>0</v>
      </c>
      <c r="J239" s="1042">
        <f>COUNTIFS('TỔNG KLH + TN'!$B:$B,'01. TH'!$B239,'TỔNG KLH + TN'!$C:$C,'01. TH'!J$4)</f>
        <v>0</v>
      </c>
      <c r="K239" s="1042">
        <f>COUNTIFS('TỔNG KLH + TN'!$B:$B,'01. TH'!$B239,'TỔNG KLH + TN'!$C:$C,'01. TH'!K$4)</f>
        <v>0</v>
      </c>
      <c r="L239" s="1042">
        <f>COUNTIFS('TỔNG KLH + TN'!$B:$B,'01. TH'!$B239,'TỔNG KLH + TN'!$C:$C,'01. TH'!L$4)</f>
        <v>0</v>
      </c>
      <c r="M239" s="1042">
        <f>COUNTIFS('TỔNG KLH + TN'!$B:$B,'01. TH'!$B239,'TỔNG KLH + TN'!$C:$C,'01. TH'!M$4)</f>
        <v>0</v>
      </c>
      <c r="N239" s="1042">
        <f>COUNTIFS('TỔNG KLH + TN'!$B:$B,'01. TH'!$B239,'TỔNG KLH + TN'!$C:$C,'01. TH'!N$4)</f>
        <v>0</v>
      </c>
      <c r="O239" s="1042">
        <f>COUNTIFS('TỔNG KLH + TN'!$B:$B,'01. TH'!$B239,'TỔNG KLH + TN'!$C:$C,'01. TH'!O$4)</f>
        <v>0</v>
      </c>
      <c r="P239" s="1042">
        <f>COUNTIFS('TỔNG KLH + TN'!$B:$B,'01. TH'!$B239,'TỔNG KLH + TN'!$C:$C,'01. TH'!P$4)</f>
        <v>0</v>
      </c>
      <c r="Q239" s="1042">
        <f>COUNTIFS('TỔNG KLH + TN'!$B:$B,'01. TH'!$B239,'TỔNG KLH + TN'!$C:$C,'01. TH'!Q$4)</f>
        <v>0</v>
      </c>
      <c r="R239" s="1042">
        <f>COUNTIFS('TỔNG KLH + TN'!$B:$B,'01. TH'!$B239,'TỔNG KLH + TN'!$C:$C,'01. TH'!R$4)</f>
        <v>0</v>
      </c>
      <c r="S239" s="1042">
        <f>COUNTIFS('TỔNG KLH + TN'!$B:$B,'01. TH'!$B239,'TỔNG KLH + TN'!$C:$C,'01. TH'!S$4)</f>
        <v>0</v>
      </c>
      <c r="T239" s="1042">
        <f>COUNTIFS('TỔNG KLH + TN'!$B:$B,'01. TH'!$B239,'TỔNG KLH + TN'!$C:$C,'01. TH'!T$4)</f>
        <v>0</v>
      </c>
      <c r="U239" s="1042">
        <f>COUNTIFS('TỔNG KLH + TN'!$B:$B,'01. TH'!$B239,'TỔNG KLH + TN'!$C:$C,'01. TH'!U$4)</f>
        <v>0</v>
      </c>
      <c r="V239" s="1042">
        <f>COUNTIFS('TỔNG KLH + TN'!$B:$B,'01. TH'!$B239,'TỔNG KLH + TN'!$C:$C,'01. TH'!V$4)</f>
        <v>0</v>
      </c>
      <c r="W239" s="1042">
        <f>COUNTIFS('TỔNG KLH + TN'!$B:$B,'01. TH'!$B239,'TỔNG KLH + TN'!$C:$C,'01. TH'!W$4)</f>
        <v>0</v>
      </c>
      <c r="X239" s="1042">
        <f>COUNTIFS('TỔNG KLH + TN'!$B:$B,'01. TH'!$B239,'TỔNG KLH + TN'!$C:$C,'01. TH'!X$4)</f>
        <v>0</v>
      </c>
      <c r="Y239" s="1042">
        <f>COUNTIFS('TỔNG KLH + TN'!$B:$B,'01. TH'!$B239,'TỔNG KLH + TN'!$C:$C,'01. TH'!Y$4)</f>
        <v>0</v>
      </c>
      <c r="Z239" s="1042">
        <f>COUNTIFS('TỔNG KLH + TN'!$B:$B,'01. TH'!$B239,'TỔNG KLH + TN'!$C:$C,'01. TH'!Z$4)</f>
        <v>0</v>
      </c>
      <c r="AA239" s="1042">
        <f>COUNTIFS('TỔNG KLH + TN'!$B:$B,'01. TH'!$B239,'TỔNG KLH + TN'!$C:$C,'01. TH'!AA$4)</f>
        <v>0</v>
      </c>
      <c r="AB239" s="1042">
        <f>COUNTIFS('TỔNG KLH + TN'!$B:$B,'01. TH'!$B239,'TỔNG KLH + TN'!$C:$C,'01. TH'!AB$4)</f>
        <v>0</v>
      </c>
      <c r="AC239" s="1042">
        <f>COUNTIFS('TỔNG KLH + TN'!$B:$B,'01. TH'!$B239,'TỔNG KLH + TN'!$C:$C,'01. TH'!AC$4)</f>
        <v>0</v>
      </c>
      <c r="AD239" s="1042">
        <f>COUNTIFS('TỔNG KLH + TN'!$B:$B,'01. TH'!$B239,'TỔNG KLH + TN'!$C:$C,'01. TH'!AD$4)</f>
        <v>0</v>
      </c>
      <c r="AE239" s="1057">
        <f t="shared" si="49"/>
        <v>0</v>
      </c>
      <c r="AF239" s="1057"/>
      <c r="AG239" s="1033" t="str">
        <f t="shared" si="23"/>
        <v>ok</v>
      </c>
      <c r="AH239" s="1058"/>
    </row>
    <row r="240" ht="18.75" hidden="1" customHeight="1" outlineLevel="1" spans="1:34">
      <c r="A240" s="1056"/>
      <c r="B240" s="1054" t="s">
        <v>361</v>
      </c>
      <c r="C240" s="1041"/>
      <c r="D240" s="1041" t="s">
        <v>362</v>
      </c>
      <c r="E240" s="1041" t="s">
        <v>302</v>
      </c>
      <c r="F240" s="1042">
        <f>COUNTIFS('TỔNG KLH + TN'!$B:$B,'01. TH'!$B240,'TỔNG KLH + TN'!$C:$C,'01. TH'!F$4)</f>
        <v>0</v>
      </c>
      <c r="G240" s="1042">
        <f>COUNTIFS('TỔNG KLH + TN'!$B:$B,'01. TH'!$B240,'TỔNG KLH + TN'!$C:$C,'01. TH'!G$4)</f>
        <v>0</v>
      </c>
      <c r="H240" s="1042">
        <f>COUNTIFS('TỔNG KLH + TN'!$B:$B,'01. TH'!$B240,'TỔNG KLH + TN'!$C:$C,'01. TH'!H$4)</f>
        <v>0</v>
      </c>
      <c r="I240" s="1042">
        <f>COUNTIFS('TỔNG KLH + TN'!$B:$B,'01. TH'!$B240,'TỔNG KLH + TN'!$C:$C,'01. TH'!I$4)</f>
        <v>0</v>
      </c>
      <c r="J240" s="1042">
        <f>COUNTIFS('TỔNG KLH + TN'!$B:$B,'01. TH'!$B240,'TỔNG KLH + TN'!$C:$C,'01. TH'!J$4)</f>
        <v>0</v>
      </c>
      <c r="K240" s="1042">
        <f>COUNTIFS('TỔNG KLH + TN'!$B:$B,'01. TH'!$B240,'TỔNG KLH + TN'!$C:$C,'01. TH'!K$4)</f>
        <v>0</v>
      </c>
      <c r="L240" s="1042">
        <f>COUNTIFS('TỔNG KLH + TN'!$B:$B,'01. TH'!$B240,'TỔNG KLH + TN'!$C:$C,'01. TH'!L$4)</f>
        <v>0</v>
      </c>
      <c r="M240" s="1042">
        <f>COUNTIFS('TỔNG KLH + TN'!$B:$B,'01. TH'!$B240,'TỔNG KLH + TN'!$C:$C,'01. TH'!M$4)</f>
        <v>0</v>
      </c>
      <c r="N240" s="1042">
        <f>COUNTIFS('TỔNG KLH + TN'!$B:$B,'01. TH'!$B240,'TỔNG KLH + TN'!$C:$C,'01. TH'!N$4)</f>
        <v>0</v>
      </c>
      <c r="O240" s="1042">
        <f>COUNTIFS('TỔNG KLH + TN'!$B:$B,'01. TH'!$B240,'TỔNG KLH + TN'!$C:$C,'01. TH'!O$4)</f>
        <v>0</v>
      </c>
      <c r="P240" s="1042">
        <f>COUNTIFS('TỔNG KLH + TN'!$B:$B,'01. TH'!$B240,'TỔNG KLH + TN'!$C:$C,'01. TH'!P$4)</f>
        <v>0</v>
      </c>
      <c r="Q240" s="1042">
        <f>COUNTIFS('TỔNG KLH + TN'!$B:$B,'01. TH'!$B240,'TỔNG KLH + TN'!$C:$C,'01. TH'!Q$4)</f>
        <v>0</v>
      </c>
      <c r="R240" s="1042">
        <f>COUNTIFS('TỔNG KLH + TN'!$B:$B,'01. TH'!$B240,'TỔNG KLH + TN'!$C:$C,'01. TH'!R$4)</f>
        <v>0</v>
      </c>
      <c r="S240" s="1042">
        <f>COUNTIFS('TỔNG KLH + TN'!$B:$B,'01. TH'!$B240,'TỔNG KLH + TN'!$C:$C,'01. TH'!S$4)</f>
        <v>0</v>
      </c>
      <c r="T240" s="1042">
        <f>COUNTIFS('TỔNG KLH + TN'!$B:$B,'01. TH'!$B240,'TỔNG KLH + TN'!$C:$C,'01. TH'!T$4)</f>
        <v>0</v>
      </c>
      <c r="U240" s="1042">
        <f>COUNTIFS('TỔNG KLH + TN'!$B:$B,'01. TH'!$B240,'TỔNG KLH + TN'!$C:$C,'01. TH'!U$4)</f>
        <v>0</v>
      </c>
      <c r="V240" s="1042">
        <f>COUNTIFS('TỔNG KLH + TN'!$B:$B,'01. TH'!$B240,'TỔNG KLH + TN'!$C:$C,'01. TH'!V$4)</f>
        <v>0</v>
      </c>
      <c r="W240" s="1042">
        <f>COUNTIFS('TỔNG KLH + TN'!$B:$B,'01. TH'!$B240,'TỔNG KLH + TN'!$C:$C,'01. TH'!W$4)</f>
        <v>0</v>
      </c>
      <c r="X240" s="1042">
        <f>COUNTIFS('TỔNG KLH + TN'!$B:$B,'01. TH'!$B240,'TỔNG KLH + TN'!$C:$C,'01. TH'!X$4)</f>
        <v>0</v>
      </c>
      <c r="Y240" s="1042">
        <f>COUNTIFS('TỔNG KLH + TN'!$B:$B,'01. TH'!$B240,'TỔNG KLH + TN'!$C:$C,'01. TH'!Y$4)</f>
        <v>0</v>
      </c>
      <c r="Z240" s="1042">
        <f>COUNTIFS('TỔNG KLH + TN'!$B:$B,'01. TH'!$B240,'TỔNG KLH + TN'!$C:$C,'01. TH'!Z$4)</f>
        <v>0</v>
      </c>
      <c r="AA240" s="1042">
        <f>COUNTIFS('TỔNG KLH + TN'!$B:$B,'01. TH'!$B240,'TỔNG KLH + TN'!$C:$C,'01. TH'!AA$4)</f>
        <v>0</v>
      </c>
      <c r="AB240" s="1042">
        <f>COUNTIFS('TỔNG KLH + TN'!$B:$B,'01. TH'!$B240,'TỔNG KLH + TN'!$C:$C,'01. TH'!AB$4)</f>
        <v>0</v>
      </c>
      <c r="AC240" s="1042">
        <f>COUNTIFS('TỔNG KLH + TN'!$B:$B,'01. TH'!$B240,'TỔNG KLH + TN'!$C:$C,'01. TH'!AC$4)</f>
        <v>0</v>
      </c>
      <c r="AD240" s="1042">
        <f>COUNTIFS('TỔNG KLH + TN'!$B:$B,'01. TH'!$B240,'TỔNG KLH + TN'!$C:$C,'01. TH'!AD$4)</f>
        <v>0</v>
      </c>
      <c r="AE240" s="1057">
        <f t="shared" si="49"/>
        <v>0</v>
      </c>
      <c r="AF240" s="1057"/>
      <c r="AG240" s="1033" t="str">
        <f t="shared" si="23"/>
        <v>ok</v>
      </c>
      <c r="AH240" s="1058"/>
    </row>
    <row r="241" ht="18.75" hidden="1" customHeight="1" outlineLevel="1" spans="1:34">
      <c r="A241" s="1056"/>
      <c r="B241" s="1054" t="s">
        <v>363</v>
      </c>
      <c r="C241" s="1041"/>
      <c r="D241" s="1041" t="s">
        <v>364</v>
      </c>
      <c r="E241" s="1041" t="s">
        <v>302</v>
      </c>
      <c r="F241" s="1042">
        <f>COUNTIFS('TỔNG KLH + TN'!$B:$B,'01. TH'!$B241,'TỔNG KLH + TN'!$C:$C,'01. TH'!F$4)</f>
        <v>0</v>
      </c>
      <c r="G241" s="1042">
        <f>COUNTIFS('TỔNG KLH + TN'!$B:$B,'01. TH'!$B241,'TỔNG KLH + TN'!$C:$C,'01. TH'!G$4)</f>
        <v>0</v>
      </c>
      <c r="H241" s="1042">
        <f>COUNTIFS('TỔNG KLH + TN'!$B:$B,'01. TH'!$B241,'TỔNG KLH + TN'!$C:$C,'01. TH'!H$4)</f>
        <v>0</v>
      </c>
      <c r="I241" s="1042">
        <f>COUNTIFS('TỔNG KLH + TN'!$B:$B,'01. TH'!$B241,'TỔNG KLH + TN'!$C:$C,'01. TH'!I$4)</f>
        <v>0</v>
      </c>
      <c r="J241" s="1042">
        <f>COUNTIFS('TỔNG KLH + TN'!$B:$B,'01. TH'!$B241,'TỔNG KLH + TN'!$C:$C,'01. TH'!J$4)</f>
        <v>0</v>
      </c>
      <c r="K241" s="1042">
        <f>COUNTIFS('TỔNG KLH + TN'!$B:$B,'01. TH'!$B241,'TỔNG KLH + TN'!$C:$C,'01. TH'!K$4)</f>
        <v>0</v>
      </c>
      <c r="L241" s="1042">
        <f>COUNTIFS('TỔNG KLH + TN'!$B:$B,'01. TH'!$B241,'TỔNG KLH + TN'!$C:$C,'01. TH'!L$4)</f>
        <v>0</v>
      </c>
      <c r="M241" s="1042">
        <f>COUNTIFS('TỔNG KLH + TN'!$B:$B,'01. TH'!$B241,'TỔNG KLH + TN'!$C:$C,'01. TH'!M$4)</f>
        <v>0</v>
      </c>
      <c r="N241" s="1042">
        <f>COUNTIFS('TỔNG KLH + TN'!$B:$B,'01. TH'!$B241,'TỔNG KLH + TN'!$C:$C,'01. TH'!N$4)</f>
        <v>0</v>
      </c>
      <c r="O241" s="1042">
        <f>COUNTIFS('TỔNG KLH + TN'!$B:$B,'01. TH'!$B241,'TỔNG KLH + TN'!$C:$C,'01. TH'!O$4)</f>
        <v>0</v>
      </c>
      <c r="P241" s="1042">
        <f>COUNTIFS('TỔNG KLH + TN'!$B:$B,'01. TH'!$B241,'TỔNG KLH + TN'!$C:$C,'01. TH'!P$4)</f>
        <v>0</v>
      </c>
      <c r="Q241" s="1042">
        <f>COUNTIFS('TỔNG KLH + TN'!$B:$B,'01. TH'!$B241,'TỔNG KLH + TN'!$C:$C,'01. TH'!Q$4)</f>
        <v>0</v>
      </c>
      <c r="R241" s="1042">
        <f>COUNTIFS('TỔNG KLH + TN'!$B:$B,'01. TH'!$B241,'TỔNG KLH + TN'!$C:$C,'01. TH'!R$4)</f>
        <v>0</v>
      </c>
      <c r="S241" s="1042">
        <f>COUNTIFS('TỔNG KLH + TN'!$B:$B,'01. TH'!$B241,'TỔNG KLH + TN'!$C:$C,'01. TH'!S$4)</f>
        <v>0</v>
      </c>
      <c r="T241" s="1042">
        <f>COUNTIFS('TỔNG KLH + TN'!$B:$B,'01. TH'!$B241,'TỔNG KLH + TN'!$C:$C,'01. TH'!T$4)</f>
        <v>0</v>
      </c>
      <c r="U241" s="1042">
        <f>COUNTIFS('TỔNG KLH + TN'!$B:$B,'01. TH'!$B241,'TỔNG KLH + TN'!$C:$C,'01. TH'!U$4)</f>
        <v>0</v>
      </c>
      <c r="V241" s="1042">
        <f>COUNTIFS('TỔNG KLH + TN'!$B:$B,'01. TH'!$B241,'TỔNG KLH + TN'!$C:$C,'01. TH'!V$4)</f>
        <v>0</v>
      </c>
      <c r="W241" s="1042">
        <f>COUNTIFS('TỔNG KLH + TN'!$B:$B,'01. TH'!$B241,'TỔNG KLH + TN'!$C:$C,'01. TH'!W$4)</f>
        <v>0</v>
      </c>
      <c r="X241" s="1042">
        <f>COUNTIFS('TỔNG KLH + TN'!$B:$B,'01. TH'!$B241,'TỔNG KLH + TN'!$C:$C,'01. TH'!X$4)</f>
        <v>0</v>
      </c>
      <c r="Y241" s="1042">
        <f>COUNTIFS('TỔNG KLH + TN'!$B:$B,'01. TH'!$B241,'TỔNG KLH + TN'!$C:$C,'01. TH'!Y$4)</f>
        <v>0</v>
      </c>
      <c r="Z241" s="1042">
        <f>COUNTIFS('TỔNG KLH + TN'!$B:$B,'01. TH'!$B241,'TỔNG KLH + TN'!$C:$C,'01. TH'!Z$4)</f>
        <v>0</v>
      </c>
      <c r="AA241" s="1042">
        <f>COUNTIFS('TỔNG KLH + TN'!$B:$B,'01. TH'!$B241,'TỔNG KLH + TN'!$C:$C,'01. TH'!AA$4)</f>
        <v>0</v>
      </c>
      <c r="AB241" s="1042">
        <f>COUNTIFS('TỔNG KLH + TN'!$B:$B,'01. TH'!$B241,'TỔNG KLH + TN'!$C:$C,'01. TH'!AB$4)</f>
        <v>0</v>
      </c>
      <c r="AC241" s="1042">
        <f>COUNTIFS('TỔNG KLH + TN'!$B:$B,'01. TH'!$B241,'TỔNG KLH + TN'!$C:$C,'01. TH'!AC$4)</f>
        <v>0</v>
      </c>
      <c r="AD241" s="1042">
        <f>COUNTIFS('TỔNG KLH + TN'!$B:$B,'01. TH'!$B241,'TỔNG KLH + TN'!$C:$C,'01. TH'!AD$4)</f>
        <v>0</v>
      </c>
      <c r="AE241" s="1057">
        <f t="shared" si="49"/>
        <v>0</v>
      </c>
      <c r="AF241" s="1057"/>
      <c r="AG241" s="1033" t="str">
        <f t="shared" si="23"/>
        <v>ok</v>
      </c>
      <c r="AH241" s="1058"/>
    </row>
    <row r="242" ht="18.75" hidden="1" customHeight="1" outlineLevel="1" spans="1:34">
      <c r="A242" s="1056"/>
      <c r="B242" s="1054" t="s">
        <v>365</v>
      </c>
      <c r="C242" s="1041"/>
      <c r="D242" s="1041" t="s">
        <v>364</v>
      </c>
      <c r="E242" s="1041" t="s">
        <v>302</v>
      </c>
      <c r="F242" s="1042">
        <f>COUNTIFS('TỔNG KLH + TN'!$B:$B,'01. TH'!$B242,'TỔNG KLH + TN'!$C:$C,'01. TH'!F$4)</f>
        <v>0</v>
      </c>
      <c r="G242" s="1042">
        <f>COUNTIFS('TỔNG KLH + TN'!$B:$B,'01. TH'!$B242,'TỔNG KLH + TN'!$C:$C,'01. TH'!G$4)</f>
        <v>0</v>
      </c>
      <c r="H242" s="1042">
        <f>COUNTIFS('TỔNG KLH + TN'!$B:$B,'01. TH'!$B242,'TỔNG KLH + TN'!$C:$C,'01. TH'!H$4)</f>
        <v>0</v>
      </c>
      <c r="I242" s="1042">
        <f>COUNTIFS('TỔNG KLH + TN'!$B:$B,'01. TH'!$B242,'TỔNG KLH + TN'!$C:$C,'01. TH'!I$4)</f>
        <v>0</v>
      </c>
      <c r="J242" s="1042">
        <f>COUNTIFS('TỔNG KLH + TN'!$B:$B,'01. TH'!$B242,'TỔNG KLH + TN'!$C:$C,'01. TH'!J$4)</f>
        <v>0</v>
      </c>
      <c r="K242" s="1042">
        <f>COUNTIFS('TỔNG KLH + TN'!$B:$B,'01. TH'!$B242,'TỔNG KLH + TN'!$C:$C,'01. TH'!K$4)</f>
        <v>0</v>
      </c>
      <c r="L242" s="1042">
        <f>COUNTIFS('TỔNG KLH + TN'!$B:$B,'01. TH'!$B242,'TỔNG KLH + TN'!$C:$C,'01. TH'!L$4)</f>
        <v>0</v>
      </c>
      <c r="M242" s="1042">
        <f>COUNTIFS('TỔNG KLH + TN'!$B:$B,'01. TH'!$B242,'TỔNG KLH + TN'!$C:$C,'01. TH'!M$4)</f>
        <v>0</v>
      </c>
      <c r="N242" s="1042">
        <f>COUNTIFS('TỔNG KLH + TN'!$B:$B,'01. TH'!$B242,'TỔNG KLH + TN'!$C:$C,'01. TH'!N$4)</f>
        <v>0</v>
      </c>
      <c r="O242" s="1042">
        <f>COUNTIFS('TỔNG KLH + TN'!$B:$B,'01. TH'!$B242,'TỔNG KLH + TN'!$C:$C,'01. TH'!O$4)</f>
        <v>0</v>
      </c>
      <c r="P242" s="1042">
        <f>COUNTIFS('TỔNG KLH + TN'!$B:$B,'01. TH'!$B242,'TỔNG KLH + TN'!$C:$C,'01. TH'!P$4)</f>
        <v>0</v>
      </c>
      <c r="Q242" s="1042">
        <f>COUNTIFS('TỔNG KLH + TN'!$B:$B,'01. TH'!$B242,'TỔNG KLH + TN'!$C:$C,'01. TH'!Q$4)</f>
        <v>0</v>
      </c>
      <c r="R242" s="1042">
        <f>COUNTIFS('TỔNG KLH + TN'!$B:$B,'01. TH'!$B242,'TỔNG KLH + TN'!$C:$C,'01. TH'!R$4)</f>
        <v>0</v>
      </c>
      <c r="S242" s="1042">
        <f>COUNTIFS('TỔNG KLH + TN'!$B:$B,'01. TH'!$B242,'TỔNG KLH + TN'!$C:$C,'01. TH'!S$4)</f>
        <v>0</v>
      </c>
      <c r="T242" s="1042">
        <f>COUNTIFS('TỔNG KLH + TN'!$B:$B,'01. TH'!$B242,'TỔNG KLH + TN'!$C:$C,'01. TH'!T$4)</f>
        <v>0</v>
      </c>
      <c r="U242" s="1042">
        <f>COUNTIFS('TỔNG KLH + TN'!$B:$B,'01. TH'!$B242,'TỔNG KLH + TN'!$C:$C,'01. TH'!U$4)</f>
        <v>0</v>
      </c>
      <c r="V242" s="1042">
        <f>COUNTIFS('TỔNG KLH + TN'!$B:$B,'01. TH'!$B242,'TỔNG KLH + TN'!$C:$C,'01. TH'!V$4)</f>
        <v>0</v>
      </c>
      <c r="W242" s="1042">
        <f>COUNTIFS('TỔNG KLH + TN'!$B:$B,'01. TH'!$B242,'TỔNG KLH + TN'!$C:$C,'01. TH'!W$4)</f>
        <v>0</v>
      </c>
      <c r="X242" s="1042">
        <f>COUNTIFS('TỔNG KLH + TN'!$B:$B,'01. TH'!$B242,'TỔNG KLH + TN'!$C:$C,'01. TH'!X$4)</f>
        <v>0</v>
      </c>
      <c r="Y242" s="1042">
        <f>COUNTIFS('TỔNG KLH + TN'!$B:$B,'01. TH'!$B242,'TỔNG KLH + TN'!$C:$C,'01. TH'!Y$4)</f>
        <v>0</v>
      </c>
      <c r="Z242" s="1042">
        <f>COUNTIFS('TỔNG KLH + TN'!$B:$B,'01. TH'!$B242,'TỔNG KLH + TN'!$C:$C,'01. TH'!Z$4)</f>
        <v>0</v>
      </c>
      <c r="AA242" s="1042">
        <f>COUNTIFS('TỔNG KLH + TN'!$B:$B,'01. TH'!$B242,'TỔNG KLH + TN'!$C:$C,'01. TH'!AA$4)</f>
        <v>0</v>
      </c>
      <c r="AB242" s="1042">
        <f>COUNTIFS('TỔNG KLH + TN'!$B:$B,'01. TH'!$B242,'TỔNG KLH + TN'!$C:$C,'01. TH'!AB$4)</f>
        <v>0</v>
      </c>
      <c r="AC242" s="1042">
        <f>COUNTIFS('TỔNG KLH + TN'!$B:$B,'01. TH'!$B242,'TỔNG KLH + TN'!$C:$C,'01. TH'!AC$4)</f>
        <v>0</v>
      </c>
      <c r="AD242" s="1042">
        <f>COUNTIFS('TỔNG KLH + TN'!$B:$B,'01. TH'!$B242,'TỔNG KLH + TN'!$C:$C,'01. TH'!AD$4)</f>
        <v>0</v>
      </c>
      <c r="AE242" s="1057">
        <f t="shared" si="49"/>
        <v>0</v>
      </c>
      <c r="AF242" s="1057"/>
      <c r="AG242" s="1033" t="str">
        <f t="shared" si="23"/>
        <v>ok</v>
      </c>
      <c r="AH242" s="1058"/>
    </row>
    <row r="243" ht="18.75" hidden="1" customHeight="1" outlineLevel="1" spans="1:34">
      <c r="A243" s="1056"/>
      <c r="B243" s="1054" t="s">
        <v>366</v>
      </c>
      <c r="C243" s="1041"/>
      <c r="D243" s="1041"/>
      <c r="E243" s="1041" t="s">
        <v>302</v>
      </c>
      <c r="F243" s="1042">
        <f>COUNTIFS('TỔNG KLH + TN'!$B:$B,'01. TH'!$B243,'TỔNG KLH + TN'!$C:$C,'01. TH'!F$4)</f>
        <v>0</v>
      </c>
      <c r="G243" s="1042">
        <f>COUNTIFS('TỔNG KLH + TN'!$B:$B,'01. TH'!$B243,'TỔNG KLH + TN'!$C:$C,'01. TH'!G$4)</f>
        <v>0</v>
      </c>
      <c r="H243" s="1042">
        <f>COUNTIFS('TỔNG KLH + TN'!$B:$B,'01. TH'!$B243,'TỔNG KLH + TN'!$C:$C,'01. TH'!H$4)</f>
        <v>0</v>
      </c>
      <c r="I243" s="1042">
        <f>COUNTIFS('TỔNG KLH + TN'!$B:$B,'01. TH'!$B243,'TỔNG KLH + TN'!$C:$C,'01. TH'!I$4)</f>
        <v>0</v>
      </c>
      <c r="J243" s="1042">
        <f>COUNTIFS('TỔNG KLH + TN'!$B:$B,'01. TH'!$B243,'TỔNG KLH + TN'!$C:$C,'01. TH'!J$4)</f>
        <v>0</v>
      </c>
      <c r="K243" s="1042">
        <f>COUNTIFS('TỔNG KLH + TN'!$B:$B,'01. TH'!$B243,'TỔNG KLH + TN'!$C:$C,'01. TH'!K$4)</f>
        <v>0</v>
      </c>
      <c r="L243" s="1042">
        <f>COUNTIFS('TỔNG KLH + TN'!$B:$B,'01. TH'!$B243,'TỔNG KLH + TN'!$C:$C,'01. TH'!L$4)</f>
        <v>0</v>
      </c>
      <c r="M243" s="1042">
        <f>COUNTIFS('TỔNG KLH + TN'!$B:$B,'01. TH'!$B243,'TỔNG KLH + TN'!$C:$C,'01. TH'!M$4)</f>
        <v>0</v>
      </c>
      <c r="N243" s="1042">
        <f>COUNTIFS('TỔNG KLH + TN'!$B:$B,'01. TH'!$B243,'TỔNG KLH + TN'!$C:$C,'01. TH'!N$4)</f>
        <v>0</v>
      </c>
      <c r="O243" s="1042">
        <f>COUNTIFS('TỔNG KLH + TN'!$B:$B,'01. TH'!$B243,'TỔNG KLH + TN'!$C:$C,'01. TH'!O$4)</f>
        <v>0</v>
      </c>
      <c r="P243" s="1042">
        <f>COUNTIFS('TỔNG KLH + TN'!$B:$B,'01. TH'!$B243,'TỔNG KLH + TN'!$C:$C,'01. TH'!P$4)</f>
        <v>0</v>
      </c>
      <c r="Q243" s="1042">
        <f>COUNTIFS('TỔNG KLH + TN'!$B:$B,'01. TH'!$B243,'TỔNG KLH + TN'!$C:$C,'01. TH'!Q$4)</f>
        <v>0</v>
      </c>
      <c r="R243" s="1042">
        <f>COUNTIFS('TỔNG KLH + TN'!$B:$B,'01. TH'!$B243,'TỔNG KLH + TN'!$C:$C,'01. TH'!R$4)</f>
        <v>0</v>
      </c>
      <c r="S243" s="1042">
        <f>COUNTIFS('TỔNG KLH + TN'!$B:$B,'01. TH'!$B243,'TỔNG KLH + TN'!$C:$C,'01. TH'!S$4)</f>
        <v>0</v>
      </c>
      <c r="T243" s="1042">
        <f>COUNTIFS('TỔNG KLH + TN'!$B:$B,'01. TH'!$B243,'TỔNG KLH + TN'!$C:$C,'01. TH'!T$4)</f>
        <v>0</v>
      </c>
      <c r="U243" s="1042">
        <f>COUNTIFS('TỔNG KLH + TN'!$B:$B,'01. TH'!$B243,'TỔNG KLH + TN'!$C:$C,'01. TH'!U$4)</f>
        <v>0</v>
      </c>
      <c r="V243" s="1042">
        <f>COUNTIFS('TỔNG KLH + TN'!$B:$B,'01. TH'!$B243,'TỔNG KLH + TN'!$C:$C,'01. TH'!V$4)</f>
        <v>0</v>
      </c>
      <c r="W243" s="1042">
        <f>COUNTIFS('TỔNG KLH + TN'!$B:$B,'01. TH'!$B243,'TỔNG KLH + TN'!$C:$C,'01. TH'!W$4)</f>
        <v>0</v>
      </c>
      <c r="X243" s="1042">
        <f>COUNTIFS('TỔNG KLH + TN'!$B:$B,'01. TH'!$B243,'TỔNG KLH + TN'!$C:$C,'01. TH'!X$4)</f>
        <v>0</v>
      </c>
      <c r="Y243" s="1042">
        <f>COUNTIFS('TỔNG KLH + TN'!$B:$B,'01. TH'!$B243,'TỔNG KLH + TN'!$C:$C,'01. TH'!Y$4)</f>
        <v>0</v>
      </c>
      <c r="Z243" s="1042">
        <f>COUNTIFS('TỔNG KLH + TN'!$B:$B,'01. TH'!$B243,'TỔNG KLH + TN'!$C:$C,'01. TH'!Z$4)</f>
        <v>0</v>
      </c>
      <c r="AA243" s="1042">
        <f>COUNTIFS('TỔNG KLH + TN'!$B:$B,'01. TH'!$B243,'TỔNG KLH + TN'!$C:$C,'01. TH'!AA$4)</f>
        <v>0</v>
      </c>
      <c r="AB243" s="1042">
        <f>COUNTIFS('TỔNG KLH + TN'!$B:$B,'01. TH'!$B243,'TỔNG KLH + TN'!$C:$C,'01. TH'!AB$4)</f>
        <v>0</v>
      </c>
      <c r="AC243" s="1042">
        <f>COUNTIFS('TỔNG KLH + TN'!$B:$B,'01. TH'!$B243,'TỔNG KLH + TN'!$C:$C,'01. TH'!AC$4)</f>
        <v>0</v>
      </c>
      <c r="AD243" s="1042">
        <f>COUNTIFS('TỔNG KLH + TN'!$B:$B,'01. TH'!$B243,'TỔNG KLH + TN'!$C:$C,'01. TH'!AD$4)</f>
        <v>0</v>
      </c>
      <c r="AE243" s="1057">
        <f t="shared" si="49"/>
        <v>0</v>
      </c>
      <c r="AF243" s="1057"/>
      <c r="AG243" s="1033" t="str">
        <f t="shared" si="23"/>
        <v>ok</v>
      </c>
      <c r="AH243" s="1058"/>
    </row>
    <row r="244" ht="18.75" hidden="1" customHeight="1" outlineLevel="1" spans="1:34">
      <c r="A244" s="1056"/>
      <c r="B244" s="1054" t="s">
        <v>367</v>
      </c>
      <c r="C244" s="1041"/>
      <c r="D244" s="1041"/>
      <c r="E244" s="1041" t="s">
        <v>302</v>
      </c>
      <c r="F244" s="1042">
        <f>COUNTIFS('TỔNG KLH + TN'!$B:$B,'01. TH'!$B244,'TỔNG KLH + TN'!$C:$C,'01. TH'!F$4)</f>
        <v>0</v>
      </c>
      <c r="G244" s="1042">
        <f>COUNTIFS('TỔNG KLH + TN'!$B:$B,'01. TH'!$B244,'TỔNG KLH + TN'!$C:$C,'01. TH'!G$4)</f>
        <v>0</v>
      </c>
      <c r="H244" s="1042">
        <f>COUNTIFS('TỔNG KLH + TN'!$B:$B,'01. TH'!$B244,'TỔNG KLH + TN'!$C:$C,'01. TH'!H$4)</f>
        <v>0</v>
      </c>
      <c r="I244" s="1042">
        <f>COUNTIFS('TỔNG KLH + TN'!$B:$B,'01. TH'!$B244,'TỔNG KLH + TN'!$C:$C,'01. TH'!I$4)</f>
        <v>0</v>
      </c>
      <c r="J244" s="1042">
        <f>COUNTIFS('TỔNG KLH + TN'!$B:$B,'01. TH'!$B244,'TỔNG KLH + TN'!$C:$C,'01. TH'!J$4)</f>
        <v>0</v>
      </c>
      <c r="K244" s="1042">
        <f>COUNTIFS('TỔNG KLH + TN'!$B:$B,'01. TH'!$B244,'TỔNG KLH + TN'!$C:$C,'01. TH'!K$4)</f>
        <v>0</v>
      </c>
      <c r="L244" s="1042">
        <f>COUNTIFS('TỔNG KLH + TN'!$B:$B,'01. TH'!$B244,'TỔNG KLH + TN'!$C:$C,'01. TH'!L$4)</f>
        <v>0</v>
      </c>
      <c r="M244" s="1042">
        <f>COUNTIFS('TỔNG KLH + TN'!$B:$B,'01. TH'!$B244,'TỔNG KLH + TN'!$C:$C,'01. TH'!M$4)</f>
        <v>0</v>
      </c>
      <c r="N244" s="1042">
        <f>COUNTIFS('TỔNG KLH + TN'!$B:$B,'01. TH'!$B244,'TỔNG KLH + TN'!$C:$C,'01. TH'!N$4)</f>
        <v>0</v>
      </c>
      <c r="O244" s="1042">
        <f>COUNTIFS('TỔNG KLH + TN'!$B:$B,'01. TH'!$B244,'TỔNG KLH + TN'!$C:$C,'01. TH'!O$4)</f>
        <v>0</v>
      </c>
      <c r="P244" s="1042">
        <f>COUNTIFS('TỔNG KLH + TN'!$B:$B,'01. TH'!$B244,'TỔNG KLH + TN'!$C:$C,'01. TH'!P$4)</f>
        <v>0</v>
      </c>
      <c r="Q244" s="1042">
        <f>COUNTIFS('TỔNG KLH + TN'!$B:$B,'01. TH'!$B244,'TỔNG KLH + TN'!$C:$C,'01. TH'!Q$4)</f>
        <v>0</v>
      </c>
      <c r="R244" s="1042">
        <f>COUNTIFS('TỔNG KLH + TN'!$B:$B,'01. TH'!$B244,'TỔNG KLH + TN'!$C:$C,'01. TH'!R$4)</f>
        <v>0</v>
      </c>
      <c r="S244" s="1042">
        <f>COUNTIFS('TỔNG KLH + TN'!$B:$B,'01. TH'!$B244,'TỔNG KLH + TN'!$C:$C,'01. TH'!S$4)</f>
        <v>0</v>
      </c>
      <c r="T244" s="1042">
        <f>COUNTIFS('TỔNG KLH + TN'!$B:$B,'01. TH'!$B244,'TỔNG KLH + TN'!$C:$C,'01. TH'!T$4)</f>
        <v>0</v>
      </c>
      <c r="U244" s="1042">
        <f>COUNTIFS('TỔNG KLH + TN'!$B:$B,'01. TH'!$B244,'TỔNG KLH + TN'!$C:$C,'01. TH'!U$4)</f>
        <v>0</v>
      </c>
      <c r="V244" s="1042">
        <f>COUNTIFS('TỔNG KLH + TN'!$B:$B,'01. TH'!$B244,'TỔNG KLH + TN'!$C:$C,'01. TH'!V$4)</f>
        <v>0</v>
      </c>
      <c r="W244" s="1042">
        <f>COUNTIFS('TỔNG KLH + TN'!$B:$B,'01. TH'!$B244,'TỔNG KLH + TN'!$C:$C,'01. TH'!W$4)</f>
        <v>0</v>
      </c>
      <c r="X244" s="1042">
        <f>COUNTIFS('TỔNG KLH + TN'!$B:$B,'01. TH'!$B244,'TỔNG KLH + TN'!$C:$C,'01. TH'!X$4)</f>
        <v>0</v>
      </c>
      <c r="Y244" s="1042">
        <f>COUNTIFS('TỔNG KLH + TN'!$B:$B,'01. TH'!$B244,'TỔNG KLH + TN'!$C:$C,'01. TH'!Y$4)</f>
        <v>0</v>
      </c>
      <c r="Z244" s="1042">
        <f>COUNTIFS('TỔNG KLH + TN'!$B:$B,'01. TH'!$B244,'TỔNG KLH + TN'!$C:$C,'01. TH'!Z$4)</f>
        <v>0</v>
      </c>
      <c r="AA244" s="1042">
        <f>COUNTIFS('TỔNG KLH + TN'!$B:$B,'01. TH'!$B244,'TỔNG KLH + TN'!$C:$C,'01. TH'!AA$4)</f>
        <v>0</v>
      </c>
      <c r="AB244" s="1042">
        <f>COUNTIFS('TỔNG KLH + TN'!$B:$B,'01. TH'!$B244,'TỔNG KLH + TN'!$C:$C,'01. TH'!AB$4)</f>
        <v>0</v>
      </c>
      <c r="AC244" s="1042">
        <f>COUNTIFS('TỔNG KLH + TN'!$B:$B,'01. TH'!$B244,'TỔNG KLH + TN'!$C:$C,'01. TH'!AC$4)</f>
        <v>0</v>
      </c>
      <c r="AD244" s="1042">
        <f>COUNTIFS('TỔNG KLH + TN'!$B:$B,'01. TH'!$B244,'TỔNG KLH + TN'!$C:$C,'01. TH'!AD$4)</f>
        <v>0</v>
      </c>
      <c r="AE244" s="1057">
        <f t="shared" si="49"/>
        <v>0</v>
      </c>
      <c r="AF244" s="1057"/>
      <c r="AG244" s="1033" t="str">
        <f t="shared" si="23"/>
        <v>ok</v>
      </c>
      <c r="AH244" s="1058"/>
    </row>
    <row r="245" ht="18.75" hidden="1" customHeight="1" outlineLevel="1" spans="1:34">
      <c r="A245" s="1056"/>
      <c r="B245" s="1054" t="s">
        <v>368</v>
      </c>
      <c r="C245" s="1041"/>
      <c r="D245" s="1041"/>
      <c r="E245" s="1041" t="s">
        <v>302</v>
      </c>
      <c r="F245" s="1042">
        <f>COUNTIFS('TỔNG KLH + TN'!$B:$B,'01. TH'!$B245,'TỔNG KLH + TN'!$C:$C,'01. TH'!F$4)</f>
        <v>0</v>
      </c>
      <c r="G245" s="1042">
        <f>COUNTIFS('TỔNG KLH + TN'!$B:$B,'01. TH'!$B245,'TỔNG KLH + TN'!$C:$C,'01. TH'!G$4)</f>
        <v>0</v>
      </c>
      <c r="H245" s="1042">
        <f>COUNTIFS('TỔNG KLH + TN'!$B:$B,'01. TH'!$B245,'TỔNG KLH + TN'!$C:$C,'01. TH'!H$4)</f>
        <v>0</v>
      </c>
      <c r="I245" s="1042">
        <f>COUNTIFS('TỔNG KLH + TN'!$B:$B,'01. TH'!$B245,'TỔNG KLH + TN'!$C:$C,'01. TH'!I$4)</f>
        <v>0</v>
      </c>
      <c r="J245" s="1042">
        <f>COUNTIFS('TỔNG KLH + TN'!$B:$B,'01. TH'!$B245,'TỔNG KLH + TN'!$C:$C,'01. TH'!J$4)</f>
        <v>0</v>
      </c>
      <c r="K245" s="1042">
        <f>COUNTIFS('TỔNG KLH + TN'!$B:$B,'01. TH'!$B245,'TỔNG KLH + TN'!$C:$C,'01. TH'!K$4)</f>
        <v>0</v>
      </c>
      <c r="L245" s="1042">
        <f>COUNTIFS('TỔNG KLH + TN'!$B:$B,'01. TH'!$B245,'TỔNG KLH + TN'!$C:$C,'01. TH'!L$4)</f>
        <v>0</v>
      </c>
      <c r="M245" s="1042">
        <f>COUNTIFS('TỔNG KLH + TN'!$B:$B,'01. TH'!$B245,'TỔNG KLH + TN'!$C:$C,'01. TH'!M$4)</f>
        <v>0</v>
      </c>
      <c r="N245" s="1042">
        <f>COUNTIFS('TỔNG KLH + TN'!$B:$B,'01. TH'!$B245,'TỔNG KLH + TN'!$C:$C,'01. TH'!N$4)</f>
        <v>0</v>
      </c>
      <c r="O245" s="1042">
        <f>COUNTIFS('TỔNG KLH + TN'!$B:$B,'01. TH'!$B245,'TỔNG KLH + TN'!$C:$C,'01. TH'!O$4)</f>
        <v>0</v>
      </c>
      <c r="P245" s="1042">
        <f>COUNTIFS('TỔNG KLH + TN'!$B:$B,'01. TH'!$B245,'TỔNG KLH + TN'!$C:$C,'01. TH'!P$4)</f>
        <v>0</v>
      </c>
      <c r="Q245" s="1042">
        <f>COUNTIFS('TỔNG KLH + TN'!$B:$B,'01. TH'!$B245,'TỔNG KLH + TN'!$C:$C,'01. TH'!Q$4)</f>
        <v>0</v>
      </c>
      <c r="R245" s="1042">
        <f>COUNTIFS('TỔNG KLH + TN'!$B:$B,'01. TH'!$B245,'TỔNG KLH + TN'!$C:$C,'01. TH'!R$4)</f>
        <v>0</v>
      </c>
      <c r="S245" s="1042">
        <f>COUNTIFS('TỔNG KLH + TN'!$B:$B,'01. TH'!$B245,'TỔNG KLH + TN'!$C:$C,'01. TH'!S$4)</f>
        <v>0</v>
      </c>
      <c r="T245" s="1042">
        <f>COUNTIFS('TỔNG KLH + TN'!$B:$B,'01. TH'!$B245,'TỔNG KLH + TN'!$C:$C,'01. TH'!T$4)</f>
        <v>0</v>
      </c>
      <c r="U245" s="1042">
        <f>COUNTIFS('TỔNG KLH + TN'!$B:$B,'01. TH'!$B245,'TỔNG KLH + TN'!$C:$C,'01. TH'!U$4)</f>
        <v>0</v>
      </c>
      <c r="V245" s="1042">
        <f>COUNTIFS('TỔNG KLH + TN'!$B:$B,'01. TH'!$B245,'TỔNG KLH + TN'!$C:$C,'01. TH'!V$4)</f>
        <v>0</v>
      </c>
      <c r="W245" s="1042">
        <f>COUNTIFS('TỔNG KLH + TN'!$B:$B,'01. TH'!$B245,'TỔNG KLH + TN'!$C:$C,'01. TH'!W$4)</f>
        <v>0</v>
      </c>
      <c r="X245" s="1042">
        <f>COUNTIFS('TỔNG KLH + TN'!$B:$B,'01. TH'!$B245,'TỔNG KLH + TN'!$C:$C,'01. TH'!X$4)</f>
        <v>0</v>
      </c>
      <c r="Y245" s="1042">
        <f>COUNTIFS('TỔNG KLH + TN'!$B:$B,'01. TH'!$B245,'TỔNG KLH + TN'!$C:$C,'01. TH'!Y$4)</f>
        <v>0</v>
      </c>
      <c r="Z245" s="1042">
        <f>COUNTIFS('TỔNG KLH + TN'!$B:$B,'01. TH'!$B245,'TỔNG KLH + TN'!$C:$C,'01. TH'!Z$4)</f>
        <v>0</v>
      </c>
      <c r="AA245" s="1042">
        <f>COUNTIFS('TỔNG KLH + TN'!$B:$B,'01. TH'!$B245,'TỔNG KLH + TN'!$C:$C,'01. TH'!AA$4)</f>
        <v>0</v>
      </c>
      <c r="AB245" s="1042">
        <f>COUNTIFS('TỔNG KLH + TN'!$B:$B,'01. TH'!$B245,'TỔNG KLH + TN'!$C:$C,'01. TH'!AB$4)</f>
        <v>0</v>
      </c>
      <c r="AC245" s="1042">
        <f>COUNTIFS('TỔNG KLH + TN'!$B:$B,'01. TH'!$B245,'TỔNG KLH + TN'!$C:$C,'01. TH'!AC$4)</f>
        <v>0</v>
      </c>
      <c r="AD245" s="1042">
        <f>COUNTIFS('TỔNG KLH + TN'!$B:$B,'01. TH'!$B245,'TỔNG KLH + TN'!$C:$C,'01. TH'!AD$4)</f>
        <v>0</v>
      </c>
      <c r="AE245" s="1057">
        <f t="shared" si="49"/>
        <v>0</v>
      </c>
      <c r="AF245" s="1057"/>
      <c r="AG245" s="1033" t="str">
        <f t="shared" si="23"/>
        <v>ok</v>
      </c>
      <c r="AH245" s="1058"/>
    </row>
    <row r="246" ht="18.75" hidden="1" customHeight="1" outlineLevel="1" spans="1:34">
      <c r="A246" s="1056"/>
      <c r="B246" s="1054" t="s">
        <v>369</v>
      </c>
      <c r="C246" s="1041"/>
      <c r="D246" s="1041"/>
      <c r="E246" s="1041" t="s">
        <v>302</v>
      </c>
      <c r="F246" s="1042">
        <f>COUNTIFS('TỔNG KLH + TN'!$B:$B,'01. TH'!$B246,'TỔNG KLH + TN'!$C:$C,'01. TH'!F$4)</f>
        <v>0</v>
      </c>
      <c r="G246" s="1042">
        <f>COUNTIFS('TỔNG KLH + TN'!$B:$B,'01. TH'!$B246,'TỔNG KLH + TN'!$C:$C,'01. TH'!G$4)</f>
        <v>0</v>
      </c>
      <c r="H246" s="1042">
        <f>COUNTIFS('TỔNG KLH + TN'!$B:$B,'01. TH'!$B246,'TỔNG KLH + TN'!$C:$C,'01. TH'!H$4)</f>
        <v>0</v>
      </c>
      <c r="I246" s="1042">
        <f>COUNTIFS('TỔNG KLH + TN'!$B:$B,'01. TH'!$B246,'TỔNG KLH + TN'!$C:$C,'01. TH'!I$4)</f>
        <v>0</v>
      </c>
      <c r="J246" s="1042">
        <f>COUNTIFS('TỔNG KLH + TN'!$B:$B,'01. TH'!$B246,'TỔNG KLH + TN'!$C:$C,'01. TH'!J$4)</f>
        <v>0</v>
      </c>
      <c r="K246" s="1042">
        <f>COUNTIFS('TỔNG KLH + TN'!$B:$B,'01. TH'!$B246,'TỔNG KLH + TN'!$C:$C,'01. TH'!K$4)</f>
        <v>0</v>
      </c>
      <c r="L246" s="1042">
        <f>COUNTIFS('TỔNG KLH + TN'!$B:$B,'01. TH'!$B246,'TỔNG KLH + TN'!$C:$C,'01. TH'!L$4)</f>
        <v>0</v>
      </c>
      <c r="M246" s="1042">
        <f>COUNTIFS('TỔNG KLH + TN'!$B:$B,'01. TH'!$B246,'TỔNG KLH + TN'!$C:$C,'01. TH'!M$4)</f>
        <v>0</v>
      </c>
      <c r="N246" s="1042">
        <f>COUNTIFS('TỔNG KLH + TN'!$B:$B,'01. TH'!$B246,'TỔNG KLH + TN'!$C:$C,'01. TH'!N$4)</f>
        <v>0</v>
      </c>
      <c r="O246" s="1042">
        <f>COUNTIFS('TỔNG KLH + TN'!$B:$B,'01. TH'!$B246,'TỔNG KLH + TN'!$C:$C,'01. TH'!O$4)</f>
        <v>0</v>
      </c>
      <c r="P246" s="1042">
        <f>COUNTIFS('TỔNG KLH + TN'!$B:$B,'01. TH'!$B246,'TỔNG KLH + TN'!$C:$C,'01. TH'!P$4)</f>
        <v>0</v>
      </c>
      <c r="Q246" s="1042">
        <f>COUNTIFS('TỔNG KLH + TN'!$B:$B,'01. TH'!$B246,'TỔNG KLH + TN'!$C:$C,'01. TH'!Q$4)</f>
        <v>0</v>
      </c>
      <c r="R246" s="1042">
        <f>COUNTIFS('TỔNG KLH + TN'!$B:$B,'01. TH'!$B246,'TỔNG KLH + TN'!$C:$C,'01. TH'!R$4)</f>
        <v>0</v>
      </c>
      <c r="S246" s="1042">
        <f>COUNTIFS('TỔNG KLH + TN'!$B:$B,'01. TH'!$B246,'TỔNG KLH + TN'!$C:$C,'01. TH'!S$4)</f>
        <v>0</v>
      </c>
      <c r="T246" s="1042">
        <f>COUNTIFS('TỔNG KLH + TN'!$B:$B,'01. TH'!$B246,'TỔNG KLH + TN'!$C:$C,'01. TH'!T$4)</f>
        <v>0</v>
      </c>
      <c r="U246" s="1042">
        <f>COUNTIFS('TỔNG KLH + TN'!$B:$B,'01. TH'!$B246,'TỔNG KLH + TN'!$C:$C,'01. TH'!U$4)</f>
        <v>0</v>
      </c>
      <c r="V246" s="1042">
        <f>COUNTIFS('TỔNG KLH + TN'!$B:$B,'01. TH'!$B246,'TỔNG KLH + TN'!$C:$C,'01. TH'!V$4)</f>
        <v>0</v>
      </c>
      <c r="W246" s="1042">
        <f>COUNTIFS('TỔNG KLH + TN'!$B:$B,'01. TH'!$B246,'TỔNG KLH + TN'!$C:$C,'01. TH'!W$4)</f>
        <v>0</v>
      </c>
      <c r="X246" s="1042">
        <f>COUNTIFS('TỔNG KLH + TN'!$B:$B,'01. TH'!$B246,'TỔNG KLH + TN'!$C:$C,'01. TH'!X$4)</f>
        <v>0</v>
      </c>
      <c r="Y246" s="1042">
        <f>COUNTIFS('TỔNG KLH + TN'!$B:$B,'01. TH'!$B246,'TỔNG KLH + TN'!$C:$C,'01. TH'!Y$4)</f>
        <v>0</v>
      </c>
      <c r="Z246" s="1042">
        <f>COUNTIFS('TỔNG KLH + TN'!$B:$B,'01. TH'!$B246,'TỔNG KLH + TN'!$C:$C,'01. TH'!Z$4)</f>
        <v>0</v>
      </c>
      <c r="AA246" s="1042">
        <f>COUNTIFS('TỔNG KLH + TN'!$B:$B,'01. TH'!$B246,'TỔNG KLH + TN'!$C:$C,'01. TH'!AA$4)</f>
        <v>0</v>
      </c>
      <c r="AB246" s="1042">
        <f>COUNTIFS('TỔNG KLH + TN'!$B:$B,'01. TH'!$B246,'TỔNG KLH + TN'!$C:$C,'01. TH'!AB$4)</f>
        <v>0</v>
      </c>
      <c r="AC246" s="1042">
        <f>COUNTIFS('TỔNG KLH + TN'!$B:$B,'01. TH'!$B246,'TỔNG KLH + TN'!$C:$C,'01. TH'!AC$4)</f>
        <v>0</v>
      </c>
      <c r="AD246" s="1042">
        <f>COUNTIFS('TỔNG KLH + TN'!$B:$B,'01. TH'!$B246,'TỔNG KLH + TN'!$C:$C,'01. TH'!AD$4)</f>
        <v>0</v>
      </c>
      <c r="AE246" s="1057">
        <f t="shared" si="49"/>
        <v>0</v>
      </c>
      <c r="AF246" s="1057"/>
      <c r="AG246" s="1033" t="str">
        <f t="shared" si="23"/>
        <v>ok</v>
      </c>
      <c r="AH246" s="1058"/>
    </row>
    <row r="247" ht="18.75" hidden="1" customHeight="1" outlineLevel="1" spans="1:34">
      <c r="A247" s="1056"/>
      <c r="B247" s="1054" t="s">
        <v>370</v>
      </c>
      <c r="C247" s="1041"/>
      <c r="D247" s="1041"/>
      <c r="E247" s="1041" t="s">
        <v>302</v>
      </c>
      <c r="F247" s="1042">
        <f>COUNTIFS('TỔNG KLH + TN'!$B:$B,'01. TH'!$B247,'TỔNG KLH + TN'!$C:$C,'01. TH'!F$4)</f>
        <v>0</v>
      </c>
      <c r="G247" s="1042">
        <f>COUNTIFS('TỔNG KLH + TN'!$B:$B,'01. TH'!$B247,'TỔNG KLH + TN'!$C:$C,'01. TH'!G$4)</f>
        <v>0</v>
      </c>
      <c r="H247" s="1042">
        <f>COUNTIFS('TỔNG KLH + TN'!$B:$B,'01. TH'!$B247,'TỔNG KLH + TN'!$C:$C,'01. TH'!H$4)</f>
        <v>0</v>
      </c>
      <c r="I247" s="1042">
        <f>COUNTIFS('TỔNG KLH + TN'!$B:$B,'01. TH'!$B247,'TỔNG KLH + TN'!$C:$C,'01. TH'!I$4)</f>
        <v>0</v>
      </c>
      <c r="J247" s="1042">
        <f>COUNTIFS('TỔNG KLH + TN'!$B:$B,'01. TH'!$B247,'TỔNG KLH + TN'!$C:$C,'01. TH'!J$4)</f>
        <v>0</v>
      </c>
      <c r="K247" s="1042">
        <f>COUNTIFS('TỔNG KLH + TN'!$B:$B,'01. TH'!$B247,'TỔNG KLH + TN'!$C:$C,'01. TH'!K$4)</f>
        <v>0</v>
      </c>
      <c r="L247" s="1042">
        <f>COUNTIFS('TỔNG KLH + TN'!$B:$B,'01. TH'!$B247,'TỔNG KLH + TN'!$C:$C,'01. TH'!L$4)</f>
        <v>0</v>
      </c>
      <c r="M247" s="1042">
        <f>COUNTIFS('TỔNG KLH + TN'!$B:$B,'01. TH'!$B247,'TỔNG KLH + TN'!$C:$C,'01. TH'!M$4)</f>
        <v>0</v>
      </c>
      <c r="N247" s="1042">
        <f>COUNTIFS('TỔNG KLH + TN'!$B:$B,'01. TH'!$B247,'TỔNG KLH + TN'!$C:$C,'01. TH'!N$4)</f>
        <v>0</v>
      </c>
      <c r="O247" s="1042">
        <f>COUNTIFS('TỔNG KLH + TN'!$B:$B,'01. TH'!$B247,'TỔNG KLH + TN'!$C:$C,'01. TH'!O$4)</f>
        <v>0</v>
      </c>
      <c r="P247" s="1042">
        <f>COUNTIFS('TỔNG KLH + TN'!$B:$B,'01. TH'!$B247,'TỔNG KLH + TN'!$C:$C,'01. TH'!P$4)</f>
        <v>0</v>
      </c>
      <c r="Q247" s="1042">
        <f>COUNTIFS('TỔNG KLH + TN'!$B:$B,'01. TH'!$B247,'TỔNG KLH + TN'!$C:$C,'01. TH'!Q$4)</f>
        <v>0</v>
      </c>
      <c r="R247" s="1042">
        <f>COUNTIFS('TỔNG KLH + TN'!$B:$B,'01. TH'!$B247,'TỔNG KLH + TN'!$C:$C,'01. TH'!R$4)</f>
        <v>0</v>
      </c>
      <c r="S247" s="1042">
        <f>COUNTIFS('TỔNG KLH + TN'!$B:$B,'01. TH'!$B247,'TỔNG KLH + TN'!$C:$C,'01. TH'!S$4)</f>
        <v>0</v>
      </c>
      <c r="T247" s="1042">
        <f>COUNTIFS('TỔNG KLH + TN'!$B:$B,'01. TH'!$B247,'TỔNG KLH + TN'!$C:$C,'01. TH'!T$4)</f>
        <v>0</v>
      </c>
      <c r="U247" s="1042">
        <f>COUNTIFS('TỔNG KLH + TN'!$B:$B,'01. TH'!$B247,'TỔNG KLH + TN'!$C:$C,'01. TH'!U$4)</f>
        <v>0</v>
      </c>
      <c r="V247" s="1042">
        <f>COUNTIFS('TỔNG KLH + TN'!$B:$B,'01. TH'!$B247,'TỔNG KLH + TN'!$C:$C,'01. TH'!V$4)</f>
        <v>0</v>
      </c>
      <c r="W247" s="1042">
        <f>COUNTIFS('TỔNG KLH + TN'!$B:$B,'01. TH'!$B247,'TỔNG KLH + TN'!$C:$C,'01. TH'!W$4)</f>
        <v>0</v>
      </c>
      <c r="X247" s="1042">
        <f>COUNTIFS('TỔNG KLH + TN'!$B:$B,'01. TH'!$B247,'TỔNG KLH + TN'!$C:$C,'01. TH'!X$4)</f>
        <v>0</v>
      </c>
      <c r="Y247" s="1042">
        <f>COUNTIFS('TỔNG KLH + TN'!$B:$B,'01. TH'!$B247,'TỔNG KLH + TN'!$C:$C,'01. TH'!Y$4)</f>
        <v>0</v>
      </c>
      <c r="Z247" s="1042">
        <f>COUNTIFS('TỔNG KLH + TN'!$B:$B,'01. TH'!$B247,'TỔNG KLH + TN'!$C:$C,'01. TH'!Z$4)</f>
        <v>0</v>
      </c>
      <c r="AA247" s="1042">
        <f>COUNTIFS('TỔNG KLH + TN'!$B:$B,'01. TH'!$B247,'TỔNG KLH + TN'!$C:$C,'01. TH'!AA$4)</f>
        <v>0</v>
      </c>
      <c r="AB247" s="1042">
        <f>COUNTIFS('TỔNG KLH + TN'!$B:$B,'01. TH'!$B247,'TỔNG KLH + TN'!$C:$C,'01. TH'!AB$4)</f>
        <v>0</v>
      </c>
      <c r="AC247" s="1042">
        <f>COUNTIFS('TỔNG KLH + TN'!$B:$B,'01. TH'!$B247,'TỔNG KLH + TN'!$C:$C,'01. TH'!AC$4)</f>
        <v>0</v>
      </c>
      <c r="AD247" s="1042">
        <f>COUNTIFS('TỔNG KLH + TN'!$B:$B,'01. TH'!$B247,'TỔNG KLH + TN'!$C:$C,'01. TH'!AD$4)</f>
        <v>0</v>
      </c>
      <c r="AE247" s="1057">
        <f t="shared" si="49"/>
        <v>0</v>
      </c>
      <c r="AF247" s="1057"/>
      <c r="AG247" s="1033" t="str">
        <f t="shared" si="23"/>
        <v>ok</v>
      </c>
      <c r="AH247" s="1058"/>
    </row>
    <row r="248" ht="18.75" hidden="1" customHeight="1" outlineLevel="1" spans="1:34">
      <c r="A248" s="1056"/>
      <c r="B248" s="1054" t="s">
        <v>371</v>
      </c>
      <c r="C248" s="1041"/>
      <c r="D248" s="1041" t="s">
        <v>372</v>
      </c>
      <c r="E248" s="1041" t="s">
        <v>302</v>
      </c>
      <c r="F248" s="1042">
        <f>COUNTIFS('TỔNG KLH + TN'!$B:$B,'01. TH'!$B248,'TỔNG KLH + TN'!$C:$C,'01. TH'!F$4)</f>
        <v>0</v>
      </c>
      <c r="G248" s="1042">
        <f>COUNTIFS('TỔNG KLH + TN'!$B:$B,'01. TH'!$B248,'TỔNG KLH + TN'!$C:$C,'01. TH'!G$4)</f>
        <v>0</v>
      </c>
      <c r="H248" s="1042">
        <f>COUNTIFS('TỔNG KLH + TN'!$B:$B,'01. TH'!$B248,'TỔNG KLH + TN'!$C:$C,'01. TH'!H$4)</f>
        <v>0</v>
      </c>
      <c r="I248" s="1042">
        <f>COUNTIFS('TỔNG KLH + TN'!$B:$B,'01. TH'!$B248,'TỔNG KLH + TN'!$C:$C,'01. TH'!I$4)</f>
        <v>0</v>
      </c>
      <c r="J248" s="1042">
        <f>COUNTIFS('TỔNG KLH + TN'!$B:$B,'01. TH'!$B248,'TỔNG KLH + TN'!$C:$C,'01. TH'!J$4)</f>
        <v>0</v>
      </c>
      <c r="K248" s="1042">
        <f>COUNTIFS('TỔNG KLH + TN'!$B:$B,'01. TH'!$B248,'TỔNG KLH + TN'!$C:$C,'01. TH'!K$4)</f>
        <v>0</v>
      </c>
      <c r="L248" s="1042">
        <f>COUNTIFS('TỔNG KLH + TN'!$B:$B,'01. TH'!$B248,'TỔNG KLH + TN'!$C:$C,'01. TH'!L$4)</f>
        <v>0</v>
      </c>
      <c r="M248" s="1042">
        <f>COUNTIFS('TỔNG KLH + TN'!$B:$B,'01. TH'!$B248,'TỔNG KLH + TN'!$C:$C,'01. TH'!M$4)</f>
        <v>0</v>
      </c>
      <c r="N248" s="1042">
        <f>COUNTIFS('TỔNG KLH + TN'!$B:$B,'01. TH'!$B248,'TỔNG KLH + TN'!$C:$C,'01. TH'!N$4)</f>
        <v>0</v>
      </c>
      <c r="O248" s="1042">
        <f>COUNTIFS('TỔNG KLH + TN'!$B:$B,'01. TH'!$B248,'TỔNG KLH + TN'!$C:$C,'01. TH'!O$4)</f>
        <v>0</v>
      </c>
      <c r="P248" s="1042">
        <f>COUNTIFS('TỔNG KLH + TN'!$B:$B,'01. TH'!$B248,'TỔNG KLH + TN'!$C:$C,'01. TH'!P$4)</f>
        <v>0</v>
      </c>
      <c r="Q248" s="1042">
        <f>COUNTIFS('TỔNG KLH + TN'!$B:$B,'01. TH'!$B248,'TỔNG KLH + TN'!$C:$C,'01. TH'!Q$4)</f>
        <v>0</v>
      </c>
      <c r="R248" s="1042">
        <f>COUNTIFS('TỔNG KLH + TN'!$B:$B,'01. TH'!$B248,'TỔNG KLH + TN'!$C:$C,'01. TH'!R$4)</f>
        <v>0</v>
      </c>
      <c r="S248" s="1042">
        <f>COUNTIFS('TỔNG KLH + TN'!$B:$B,'01. TH'!$B248,'TỔNG KLH + TN'!$C:$C,'01. TH'!S$4)</f>
        <v>0</v>
      </c>
      <c r="T248" s="1042">
        <f>COUNTIFS('TỔNG KLH + TN'!$B:$B,'01. TH'!$B248,'TỔNG KLH + TN'!$C:$C,'01. TH'!T$4)</f>
        <v>0</v>
      </c>
      <c r="U248" s="1042">
        <f>COUNTIFS('TỔNG KLH + TN'!$B:$B,'01. TH'!$B248,'TỔNG KLH + TN'!$C:$C,'01. TH'!U$4)</f>
        <v>0</v>
      </c>
      <c r="V248" s="1042">
        <f>COUNTIFS('TỔNG KLH + TN'!$B:$B,'01. TH'!$B248,'TỔNG KLH + TN'!$C:$C,'01. TH'!V$4)</f>
        <v>0</v>
      </c>
      <c r="W248" s="1042">
        <f>COUNTIFS('TỔNG KLH + TN'!$B:$B,'01. TH'!$B248,'TỔNG KLH + TN'!$C:$C,'01. TH'!W$4)</f>
        <v>0</v>
      </c>
      <c r="X248" s="1042">
        <f>COUNTIFS('TỔNG KLH + TN'!$B:$B,'01. TH'!$B248,'TỔNG KLH + TN'!$C:$C,'01. TH'!X$4)</f>
        <v>0</v>
      </c>
      <c r="Y248" s="1042">
        <f>COUNTIFS('TỔNG KLH + TN'!$B:$B,'01. TH'!$B248,'TỔNG KLH + TN'!$C:$C,'01. TH'!Y$4)</f>
        <v>0</v>
      </c>
      <c r="Z248" s="1042">
        <f>COUNTIFS('TỔNG KLH + TN'!$B:$B,'01. TH'!$B248,'TỔNG KLH + TN'!$C:$C,'01. TH'!Z$4)</f>
        <v>0</v>
      </c>
      <c r="AA248" s="1042">
        <f>COUNTIFS('TỔNG KLH + TN'!$B:$B,'01. TH'!$B248,'TỔNG KLH + TN'!$C:$C,'01. TH'!AA$4)</f>
        <v>0</v>
      </c>
      <c r="AB248" s="1042">
        <f>COUNTIFS('TỔNG KLH + TN'!$B:$B,'01. TH'!$B248,'TỔNG KLH + TN'!$C:$C,'01. TH'!AB$4)</f>
        <v>0</v>
      </c>
      <c r="AC248" s="1042">
        <f>COUNTIFS('TỔNG KLH + TN'!$B:$B,'01. TH'!$B248,'TỔNG KLH + TN'!$C:$C,'01. TH'!AC$4)</f>
        <v>0</v>
      </c>
      <c r="AD248" s="1042">
        <f>COUNTIFS('TỔNG KLH + TN'!$B:$B,'01. TH'!$B248,'TỔNG KLH + TN'!$C:$C,'01. TH'!AD$4)</f>
        <v>0</v>
      </c>
      <c r="AE248" s="1057">
        <f t="shared" si="49"/>
        <v>0</v>
      </c>
      <c r="AF248" s="1057"/>
      <c r="AG248" s="1033" t="str">
        <f t="shared" si="23"/>
        <v>ok</v>
      </c>
      <c r="AH248" s="1058"/>
    </row>
    <row r="249" ht="18.75" hidden="1" customHeight="1" outlineLevel="1" spans="1:34">
      <c r="A249" s="1056"/>
      <c r="B249" s="1054" t="s">
        <v>373</v>
      </c>
      <c r="C249" s="1041"/>
      <c r="D249" s="1041" t="s">
        <v>372</v>
      </c>
      <c r="E249" s="1041" t="s">
        <v>302</v>
      </c>
      <c r="F249" s="1042">
        <f>COUNTIFS('TỔNG KLH + TN'!$B:$B,'01. TH'!$B249,'TỔNG KLH + TN'!$C:$C,'01. TH'!F$4)</f>
        <v>0</v>
      </c>
      <c r="G249" s="1042">
        <f>COUNTIFS('TỔNG KLH + TN'!$B:$B,'01. TH'!$B249,'TỔNG KLH + TN'!$C:$C,'01. TH'!G$4)</f>
        <v>0</v>
      </c>
      <c r="H249" s="1042">
        <f>COUNTIFS('TỔNG KLH + TN'!$B:$B,'01. TH'!$B249,'TỔNG KLH + TN'!$C:$C,'01. TH'!H$4)</f>
        <v>0</v>
      </c>
      <c r="I249" s="1042">
        <f>COUNTIFS('TỔNG KLH + TN'!$B:$B,'01. TH'!$B249,'TỔNG KLH + TN'!$C:$C,'01. TH'!I$4)</f>
        <v>0</v>
      </c>
      <c r="J249" s="1042">
        <f>COUNTIFS('TỔNG KLH + TN'!$B:$B,'01. TH'!$B249,'TỔNG KLH + TN'!$C:$C,'01. TH'!J$4)</f>
        <v>0</v>
      </c>
      <c r="K249" s="1042">
        <f>COUNTIFS('TỔNG KLH + TN'!$B:$B,'01. TH'!$B249,'TỔNG KLH + TN'!$C:$C,'01. TH'!K$4)</f>
        <v>0</v>
      </c>
      <c r="L249" s="1042">
        <f>COUNTIFS('TỔNG KLH + TN'!$B:$B,'01. TH'!$B249,'TỔNG KLH + TN'!$C:$C,'01. TH'!L$4)</f>
        <v>0</v>
      </c>
      <c r="M249" s="1042">
        <f>COUNTIFS('TỔNG KLH + TN'!$B:$B,'01. TH'!$B249,'TỔNG KLH + TN'!$C:$C,'01. TH'!M$4)</f>
        <v>0</v>
      </c>
      <c r="N249" s="1042">
        <f>COUNTIFS('TỔNG KLH + TN'!$B:$B,'01. TH'!$B249,'TỔNG KLH + TN'!$C:$C,'01. TH'!N$4)</f>
        <v>0</v>
      </c>
      <c r="O249" s="1042">
        <f>COUNTIFS('TỔNG KLH + TN'!$B:$B,'01. TH'!$B249,'TỔNG KLH + TN'!$C:$C,'01. TH'!O$4)</f>
        <v>0</v>
      </c>
      <c r="P249" s="1042">
        <f>COUNTIFS('TỔNG KLH + TN'!$B:$B,'01. TH'!$B249,'TỔNG KLH + TN'!$C:$C,'01. TH'!P$4)</f>
        <v>0</v>
      </c>
      <c r="Q249" s="1042">
        <f>COUNTIFS('TỔNG KLH + TN'!$B:$B,'01. TH'!$B249,'TỔNG KLH + TN'!$C:$C,'01. TH'!Q$4)</f>
        <v>0</v>
      </c>
      <c r="R249" s="1042">
        <f>COUNTIFS('TỔNG KLH + TN'!$B:$B,'01. TH'!$B249,'TỔNG KLH + TN'!$C:$C,'01. TH'!R$4)</f>
        <v>0</v>
      </c>
      <c r="S249" s="1042">
        <f>COUNTIFS('TỔNG KLH + TN'!$B:$B,'01. TH'!$B249,'TỔNG KLH + TN'!$C:$C,'01. TH'!S$4)</f>
        <v>0</v>
      </c>
      <c r="T249" s="1042">
        <f>COUNTIFS('TỔNG KLH + TN'!$B:$B,'01. TH'!$B249,'TỔNG KLH + TN'!$C:$C,'01. TH'!T$4)</f>
        <v>0</v>
      </c>
      <c r="U249" s="1042">
        <f>COUNTIFS('TỔNG KLH + TN'!$B:$B,'01. TH'!$B249,'TỔNG KLH + TN'!$C:$C,'01. TH'!U$4)</f>
        <v>0</v>
      </c>
      <c r="V249" s="1042">
        <f>COUNTIFS('TỔNG KLH + TN'!$B:$B,'01. TH'!$B249,'TỔNG KLH + TN'!$C:$C,'01. TH'!V$4)</f>
        <v>0</v>
      </c>
      <c r="W249" s="1042">
        <f>COUNTIFS('TỔNG KLH + TN'!$B:$B,'01. TH'!$B249,'TỔNG KLH + TN'!$C:$C,'01. TH'!W$4)</f>
        <v>0</v>
      </c>
      <c r="X249" s="1042">
        <f>COUNTIFS('TỔNG KLH + TN'!$B:$B,'01. TH'!$B249,'TỔNG KLH + TN'!$C:$C,'01. TH'!X$4)</f>
        <v>0</v>
      </c>
      <c r="Y249" s="1042">
        <f>COUNTIFS('TỔNG KLH + TN'!$B:$B,'01. TH'!$B249,'TỔNG KLH + TN'!$C:$C,'01. TH'!Y$4)</f>
        <v>0</v>
      </c>
      <c r="Z249" s="1042">
        <f>COUNTIFS('TỔNG KLH + TN'!$B:$B,'01. TH'!$B249,'TỔNG KLH + TN'!$C:$C,'01. TH'!Z$4)</f>
        <v>0</v>
      </c>
      <c r="AA249" s="1042">
        <f>COUNTIFS('TỔNG KLH + TN'!$B:$B,'01. TH'!$B249,'TỔNG KLH + TN'!$C:$C,'01. TH'!AA$4)</f>
        <v>0</v>
      </c>
      <c r="AB249" s="1042">
        <f>COUNTIFS('TỔNG KLH + TN'!$B:$B,'01. TH'!$B249,'TỔNG KLH + TN'!$C:$C,'01. TH'!AB$4)</f>
        <v>0</v>
      </c>
      <c r="AC249" s="1042">
        <f>COUNTIFS('TỔNG KLH + TN'!$B:$B,'01. TH'!$B249,'TỔNG KLH + TN'!$C:$C,'01. TH'!AC$4)</f>
        <v>0</v>
      </c>
      <c r="AD249" s="1042">
        <f>COUNTIFS('TỔNG KLH + TN'!$B:$B,'01. TH'!$B249,'TỔNG KLH + TN'!$C:$C,'01. TH'!AD$4)</f>
        <v>0</v>
      </c>
      <c r="AE249" s="1057">
        <f t="shared" si="49"/>
        <v>0</v>
      </c>
      <c r="AF249" s="1057"/>
      <c r="AG249" s="1033" t="str">
        <f t="shared" si="23"/>
        <v>ok</v>
      </c>
      <c r="AH249" s="1058"/>
    </row>
    <row r="250" ht="18.75" hidden="1" customHeight="1" outlineLevel="1" spans="1:34">
      <c r="A250" s="1056"/>
      <c r="B250" s="1054" t="s">
        <v>374</v>
      </c>
      <c r="C250" s="1041"/>
      <c r="D250" s="1041" t="s">
        <v>375</v>
      </c>
      <c r="E250" s="1041" t="s">
        <v>302</v>
      </c>
      <c r="F250" s="1042">
        <f>COUNTIFS('TỔNG KLH + TN'!$B:$B,'01. TH'!$B250,'TỔNG KLH + TN'!$C:$C,'01. TH'!F$4)</f>
        <v>0</v>
      </c>
      <c r="G250" s="1042">
        <f>COUNTIFS('TỔNG KLH + TN'!$B:$B,'01. TH'!$B250,'TỔNG KLH + TN'!$C:$C,'01. TH'!G$4)</f>
        <v>0</v>
      </c>
      <c r="H250" s="1042">
        <f>COUNTIFS('TỔNG KLH + TN'!$B:$B,'01. TH'!$B250,'TỔNG KLH + TN'!$C:$C,'01. TH'!H$4)</f>
        <v>0</v>
      </c>
      <c r="I250" s="1042">
        <f>COUNTIFS('TỔNG KLH + TN'!$B:$B,'01. TH'!$B250,'TỔNG KLH + TN'!$C:$C,'01. TH'!I$4)</f>
        <v>0</v>
      </c>
      <c r="J250" s="1042">
        <f>COUNTIFS('TỔNG KLH + TN'!$B:$B,'01. TH'!$B250,'TỔNG KLH + TN'!$C:$C,'01. TH'!J$4)</f>
        <v>0</v>
      </c>
      <c r="K250" s="1042">
        <f>COUNTIFS('TỔNG KLH + TN'!$B:$B,'01. TH'!$B250,'TỔNG KLH + TN'!$C:$C,'01. TH'!K$4)</f>
        <v>0</v>
      </c>
      <c r="L250" s="1042">
        <f>COUNTIFS('TỔNG KLH + TN'!$B:$B,'01. TH'!$B250,'TỔNG KLH + TN'!$C:$C,'01. TH'!L$4)</f>
        <v>0</v>
      </c>
      <c r="M250" s="1042">
        <f>COUNTIFS('TỔNG KLH + TN'!$B:$B,'01. TH'!$B250,'TỔNG KLH + TN'!$C:$C,'01. TH'!M$4)</f>
        <v>0</v>
      </c>
      <c r="N250" s="1042">
        <f>COUNTIFS('TỔNG KLH + TN'!$B:$B,'01. TH'!$B250,'TỔNG KLH + TN'!$C:$C,'01. TH'!N$4)</f>
        <v>0</v>
      </c>
      <c r="O250" s="1042">
        <f>COUNTIFS('TỔNG KLH + TN'!$B:$B,'01. TH'!$B250,'TỔNG KLH + TN'!$C:$C,'01. TH'!O$4)</f>
        <v>0</v>
      </c>
      <c r="P250" s="1042">
        <f>COUNTIFS('TỔNG KLH + TN'!$B:$B,'01. TH'!$B250,'TỔNG KLH + TN'!$C:$C,'01. TH'!P$4)</f>
        <v>0</v>
      </c>
      <c r="Q250" s="1042">
        <f>COUNTIFS('TỔNG KLH + TN'!$B:$B,'01. TH'!$B250,'TỔNG KLH + TN'!$C:$C,'01. TH'!Q$4)</f>
        <v>0</v>
      </c>
      <c r="R250" s="1042">
        <f>COUNTIFS('TỔNG KLH + TN'!$B:$B,'01. TH'!$B250,'TỔNG KLH + TN'!$C:$C,'01. TH'!R$4)</f>
        <v>0</v>
      </c>
      <c r="S250" s="1042">
        <f>COUNTIFS('TỔNG KLH + TN'!$B:$B,'01. TH'!$B250,'TỔNG KLH + TN'!$C:$C,'01. TH'!S$4)</f>
        <v>0</v>
      </c>
      <c r="T250" s="1042">
        <f>COUNTIFS('TỔNG KLH + TN'!$B:$B,'01. TH'!$B250,'TỔNG KLH + TN'!$C:$C,'01. TH'!T$4)</f>
        <v>0</v>
      </c>
      <c r="U250" s="1042">
        <f>COUNTIFS('TỔNG KLH + TN'!$B:$B,'01. TH'!$B250,'TỔNG KLH + TN'!$C:$C,'01. TH'!U$4)</f>
        <v>0</v>
      </c>
      <c r="V250" s="1042">
        <f>COUNTIFS('TỔNG KLH + TN'!$B:$B,'01. TH'!$B250,'TỔNG KLH + TN'!$C:$C,'01. TH'!V$4)</f>
        <v>0</v>
      </c>
      <c r="W250" s="1042">
        <f>COUNTIFS('TỔNG KLH + TN'!$B:$B,'01. TH'!$B250,'TỔNG KLH + TN'!$C:$C,'01. TH'!W$4)</f>
        <v>0</v>
      </c>
      <c r="X250" s="1042">
        <f>COUNTIFS('TỔNG KLH + TN'!$B:$B,'01. TH'!$B250,'TỔNG KLH + TN'!$C:$C,'01. TH'!X$4)</f>
        <v>0</v>
      </c>
      <c r="Y250" s="1042">
        <f>COUNTIFS('TỔNG KLH + TN'!$B:$B,'01. TH'!$B250,'TỔNG KLH + TN'!$C:$C,'01. TH'!Y$4)</f>
        <v>0</v>
      </c>
      <c r="Z250" s="1042">
        <f>COUNTIFS('TỔNG KLH + TN'!$B:$B,'01. TH'!$B250,'TỔNG KLH + TN'!$C:$C,'01. TH'!Z$4)</f>
        <v>0</v>
      </c>
      <c r="AA250" s="1042">
        <f>COUNTIFS('TỔNG KLH + TN'!$B:$B,'01. TH'!$B250,'TỔNG KLH + TN'!$C:$C,'01. TH'!AA$4)</f>
        <v>0</v>
      </c>
      <c r="AB250" s="1042">
        <f>COUNTIFS('TỔNG KLH + TN'!$B:$B,'01. TH'!$B250,'TỔNG KLH + TN'!$C:$C,'01. TH'!AB$4)</f>
        <v>0</v>
      </c>
      <c r="AC250" s="1042">
        <f>COUNTIFS('TỔNG KLH + TN'!$B:$B,'01. TH'!$B250,'TỔNG KLH + TN'!$C:$C,'01. TH'!AC$4)</f>
        <v>0</v>
      </c>
      <c r="AD250" s="1042">
        <f>COUNTIFS('TỔNG KLH + TN'!$B:$B,'01. TH'!$B250,'TỔNG KLH + TN'!$C:$C,'01. TH'!AD$4)</f>
        <v>0</v>
      </c>
      <c r="AE250" s="1057">
        <f t="shared" si="49"/>
        <v>0</v>
      </c>
      <c r="AF250" s="1057"/>
      <c r="AG250" s="1033" t="str">
        <f t="shared" si="23"/>
        <v>ok</v>
      </c>
      <c r="AH250" s="1058"/>
    </row>
    <row r="251" ht="18.75" hidden="1" customHeight="1" outlineLevel="1" spans="1:34">
      <c r="A251" s="1056"/>
      <c r="B251" s="1054" t="s">
        <v>376</v>
      </c>
      <c r="C251" s="1041"/>
      <c r="D251" s="1041" t="s">
        <v>377</v>
      </c>
      <c r="E251" s="1041" t="s">
        <v>302</v>
      </c>
      <c r="F251" s="1042">
        <f>COUNTIFS('TỔNG KLH + TN'!$B:$B,'01. TH'!$B251,'TỔNG KLH + TN'!$C:$C,'01. TH'!F$4)</f>
        <v>0</v>
      </c>
      <c r="G251" s="1042">
        <f>COUNTIFS('TỔNG KLH + TN'!$B:$B,'01. TH'!$B251,'TỔNG KLH + TN'!$C:$C,'01. TH'!G$4)</f>
        <v>0</v>
      </c>
      <c r="H251" s="1042">
        <f>COUNTIFS('TỔNG KLH + TN'!$B:$B,'01. TH'!$B251,'TỔNG KLH + TN'!$C:$C,'01. TH'!H$4)</f>
        <v>0</v>
      </c>
      <c r="I251" s="1042">
        <f>COUNTIFS('TỔNG KLH + TN'!$B:$B,'01. TH'!$B251,'TỔNG KLH + TN'!$C:$C,'01. TH'!I$4)</f>
        <v>0</v>
      </c>
      <c r="J251" s="1042">
        <f>COUNTIFS('TỔNG KLH + TN'!$B:$B,'01. TH'!$B251,'TỔNG KLH + TN'!$C:$C,'01. TH'!J$4)</f>
        <v>0</v>
      </c>
      <c r="K251" s="1042">
        <f>COUNTIFS('TỔNG KLH + TN'!$B:$B,'01. TH'!$B251,'TỔNG KLH + TN'!$C:$C,'01. TH'!K$4)</f>
        <v>0</v>
      </c>
      <c r="L251" s="1042">
        <f>COUNTIFS('TỔNG KLH + TN'!$B:$B,'01. TH'!$B251,'TỔNG KLH + TN'!$C:$C,'01. TH'!L$4)</f>
        <v>0</v>
      </c>
      <c r="M251" s="1042">
        <f>COUNTIFS('TỔNG KLH + TN'!$B:$B,'01. TH'!$B251,'TỔNG KLH + TN'!$C:$C,'01. TH'!M$4)</f>
        <v>0</v>
      </c>
      <c r="N251" s="1042">
        <f>COUNTIFS('TỔNG KLH + TN'!$B:$B,'01. TH'!$B251,'TỔNG KLH + TN'!$C:$C,'01. TH'!N$4)</f>
        <v>0</v>
      </c>
      <c r="O251" s="1042">
        <f>COUNTIFS('TỔNG KLH + TN'!$B:$B,'01. TH'!$B251,'TỔNG KLH + TN'!$C:$C,'01. TH'!O$4)</f>
        <v>0</v>
      </c>
      <c r="P251" s="1042">
        <f>COUNTIFS('TỔNG KLH + TN'!$B:$B,'01. TH'!$B251,'TỔNG KLH + TN'!$C:$C,'01. TH'!P$4)</f>
        <v>0</v>
      </c>
      <c r="Q251" s="1042">
        <f>COUNTIFS('TỔNG KLH + TN'!$B:$B,'01. TH'!$B251,'TỔNG KLH + TN'!$C:$C,'01. TH'!Q$4)</f>
        <v>0</v>
      </c>
      <c r="R251" s="1042">
        <f>COUNTIFS('TỔNG KLH + TN'!$B:$B,'01. TH'!$B251,'TỔNG KLH + TN'!$C:$C,'01. TH'!R$4)</f>
        <v>0</v>
      </c>
      <c r="S251" s="1042">
        <f>COUNTIFS('TỔNG KLH + TN'!$B:$B,'01. TH'!$B251,'TỔNG KLH + TN'!$C:$C,'01. TH'!S$4)</f>
        <v>0</v>
      </c>
      <c r="T251" s="1042">
        <f>COUNTIFS('TỔNG KLH + TN'!$B:$B,'01. TH'!$B251,'TỔNG KLH + TN'!$C:$C,'01. TH'!T$4)</f>
        <v>0</v>
      </c>
      <c r="U251" s="1042">
        <f>COUNTIFS('TỔNG KLH + TN'!$B:$B,'01. TH'!$B251,'TỔNG KLH + TN'!$C:$C,'01. TH'!U$4)</f>
        <v>0</v>
      </c>
      <c r="V251" s="1042">
        <f>COUNTIFS('TỔNG KLH + TN'!$B:$B,'01. TH'!$B251,'TỔNG KLH + TN'!$C:$C,'01. TH'!V$4)</f>
        <v>0</v>
      </c>
      <c r="W251" s="1042">
        <f>COUNTIFS('TỔNG KLH + TN'!$B:$B,'01. TH'!$B251,'TỔNG KLH + TN'!$C:$C,'01. TH'!W$4)</f>
        <v>0</v>
      </c>
      <c r="X251" s="1042">
        <f>COUNTIFS('TỔNG KLH + TN'!$B:$B,'01. TH'!$B251,'TỔNG KLH + TN'!$C:$C,'01. TH'!X$4)</f>
        <v>0</v>
      </c>
      <c r="Y251" s="1042">
        <f>COUNTIFS('TỔNG KLH + TN'!$B:$B,'01. TH'!$B251,'TỔNG KLH + TN'!$C:$C,'01. TH'!Y$4)</f>
        <v>0</v>
      </c>
      <c r="Z251" s="1042">
        <f>COUNTIFS('TỔNG KLH + TN'!$B:$B,'01. TH'!$B251,'TỔNG KLH + TN'!$C:$C,'01. TH'!Z$4)</f>
        <v>0</v>
      </c>
      <c r="AA251" s="1042">
        <f>COUNTIFS('TỔNG KLH + TN'!$B:$B,'01. TH'!$B251,'TỔNG KLH + TN'!$C:$C,'01. TH'!AA$4)</f>
        <v>0</v>
      </c>
      <c r="AB251" s="1042">
        <f>COUNTIFS('TỔNG KLH + TN'!$B:$B,'01. TH'!$B251,'TỔNG KLH + TN'!$C:$C,'01. TH'!AB$4)</f>
        <v>0</v>
      </c>
      <c r="AC251" s="1042">
        <f>COUNTIFS('TỔNG KLH + TN'!$B:$B,'01. TH'!$B251,'TỔNG KLH + TN'!$C:$C,'01. TH'!AC$4)</f>
        <v>0</v>
      </c>
      <c r="AD251" s="1042">
        <f>COUNTIFS('TỔNG KLH + TN'!$B:$B,'01. TH'!$B251,'TỔNG KLH + TN'!$C:$C,'01. TH'!AD$4)</f>
        <v>0</v>
      </c>
      <c r="AE251" s="1057">
        <f t="shared" si="49"/>
        <v>0</v>
      </c>
      <c r="AF251" s="1057"/>
      <c r="AG251" s="1033" t="str">
        <f t="shared" si="23"/>
        <v>ok</v>
      </c>
      <c r="AH251" s="1058"/>
    </row>
    <row r="252" ht="18.75" hidden="1" customHeight="1" outlineLevel="1" spans="1:34">
      <c r="A252" s="1056"/>
      <c r="B252" s="1054" t="s">
        <v>378</v>
      </c>
      <c r="C252" s="1041"/>
      <c r="D252" s="1041" t="s">
        <v>379</v>
      </c>
      <c r="E252" s="1041" t="s">
        <v>302</v>
      </c>
      <c r="F252" s="1042">
        <f>COUNTIFS('TỔNG KLH + TN'!$B:$B,'01. TH'!$B252,'TỔNG KLH + TN'!$C:$C,'01. TH'!F$4)</f>
        <v>0</v>
      </c>
      <c r="G252" s="1042">
        <f>COUNTIFS('TỔNG KLH + TN'!$B:$B,'01. TH'!$B252,'TỔNG KLH + TN'!$C:$C,'01. TH'!G$4)</f>
        <v>0</v>
      </c>
      <c r="H252" s="1042">
        <f>COUNTIFS('TỔNG KLH + TN'!$B:$B,'01. TH'!$B252,'TỔNG KLH + TN'!$C:$C,'01. TH'!H$4)</f>
        <v>0</v>
      </c>
      <c r="I252" s="1042">
        <f>COUNTIFS('TỔNG KLH + TN'!$B:$B,'01. TH'!$B252,'TỔNG KLH + TN'!$C:$C,'01. TH'!I$4)</f>
        <v>0</v>
      </c>
      <c r="J252" s="1042">
        <f>COUNTIFS('TỔNG KLH + TN'!$B:$B,'01. TH'!$B252,'TỔNG KLH + TN'!$C:$C,'01. TH'!J$4)</f>
        <v>0</v>
      </c>
      <c r="K252" s="1042">
        <f>COUNTIFS('TỔNG KLH + TN'!$B:$B,'01. TH'!$B252,'TỔNG KLH + TN'!$C:$C,'01. TH'!K$4)</f>
        <v>0</v>
      </c>
      <c r="L252" s="1042">
        <f>COUNTIFS('TỔNG KLH + TN'!$B:$B,'01. TH'!$B252,'TỔNG KLH + TN'!$C:$C,'01. TH'!L$4)</f>
        <v>0</v>
      </c>
      <c r="M252" s="1042">
        <f>COUNTIFS('TỔNG KLH + TN'!$B:$B,'01. TH'!$B252,'TỔNG KLH + TN'!$C:$C,'01. TH'!M$4)</f>
        <v>0</v>
      </c>
      <c r="N252" s="1042">
        <f>COUNTIFS('TỔNG KLH + TN'!$B:$B,'01. TH'!$B252,'TỔNG KLH + TN'!$C:$C,'01. TH'!N$4)</f>
        <v>0</v>
      </c>
      <c r="O252" s="1042">
        <f>COUNTIFS('TỔNG KLH + TN'!$B:$B,'01. TH'!$B252,'TỔNG KLH + TN'!$C:$C,'01. TH'!O$4)</f>
        <v>0</v>
      </c>
      <c r="P252" s="1042">
        <f>COUNTIFS('TỔNG KLH + TN'!$B:$B,'01. TH'!$B252,'TỔNG KLH + TN'!$C:$C,'01. TH'!P$4)</f>
        <v>0</v>
      </c>
      <c r="Q252" s="1042">
        <f>COUNTIFS('TỔNG KLH + TN'!$B:$B,'01. TH'!$B252,'TỔNG KLH + TN'!$C:$C,'01. TH'!Q$4)</f>
        <v>0</v>
      </c>
      <c r="R252" s="1042">
        <f>COUNTIFS('TỔNG KLH + TN'!$B:$B,'01. TH'!$B252,'TỔNG KLH + TN'!$C:$C,'01. TH'!R$4)</f>
        <v>0</v>
      </c>
      <c r="S252" s="1042">
        <f>COUNTIFS('TỔNG KLH + TN'!$B:$B,'01. TH'!$B252,'TỔNG KLH + TN'!$C:$C,'01. TH'!S$4)</f>
        <v>0</v>
      </c>
      <c r="T252" s="1042">
        <f>COUNTIFS('TỔNG KLH + TN'!$B:$B,'01. TH'!$B252,'TỔNG KLH + TN'!$C:$C,'01. TH'!T$4)</f>
        <v>0</v>
      </c>
      <c r="U252" s="1042">
        <f>COUNTIFS('TỔNG KLH + TN'!$B:$B,'01. TH'!$B252,'TỔNG KLH + TN'!$C:$C,'01. TH'!U$4)</f>
        <v>0</v>
      </c>
      <c r="V252" s="1042">
        <f>COUNTIFS('TỔNG KLH + TN'!$B:$B,'01. TH'!$B252,'TỔNG KLH + TN'!$C:$C,'01. TH'!V$4)</f>
        <v>0</v>
      </c>
      <c r="W252" s="1042">
        <f>COUNTIFS('TỔNG KLH + TN'!$B:$B,'01. TH'!$B252,'TỔNG KLH + TN'!$C:$C,'01. TH'!W$4)</f>
        <v>0</v>
      </c>
      <c r="X252" s="1042">
        <f>COUNTIFS('TỔNG KLH + TN'!$B:$B,'01. TH'!$B252,'TỔNG KLH + TN'!$C:$C,'01. TH'!X$4)</f>
        <v>0</v>
      </c>
      <c r="Y252" s="1042">
        <f>COUNTIFS('TỔNG KLH + TN'!$B:$B,'01. TH'!$B252,'TỔNG KLH + TN'!$C:$C,'01. TH'!Y$4)</f>
        <v>0</v>
      </c>
      <c r="Z252" s="1042">
        <f>COUNTIFS('TỔNG KLH + TN'!$B:$B,'01. TH'!$B252,'TỔNG KLH + TN'!$C:$C,'01. TH'!Z$4)</f>
        <v>0</v>
      </c>
      <c r="AA252" s="1042">
        <f>COUNTIFS('TỔNG KLH + TN'!$B:$B,'01. TH'!$B252,'TỔNG KLH + TN'!$C:$C,'01. TH'!AA$4)</f>
        <v>0</v>
      </c>
      <c r="AB252" s="1042">
        <f>COUNTIFS('TỔNG KLH + TN'!$B:$B,'01. TH'!$B252,'TỔNG KLH + TN'!$C:$C,'01. TH'!AB$4)</f>
        <v>0</v>
      </c>
      <c r="AC252" s="1042">
        <f>COUNTIFS('TỔNG KLH + TN'!$B:$B,'01. TH'!$B252,'TỔNG KLH + TN'!$C:$C,'01. TH'!AC$4)</f>
        <v>0</v>
      </c>
      <c r="AD252" s="1042">
        <f>COUNTIFS('TỔNG KLH + TN'!$B:$B,'01. TH'!$B252,'TỔNG KLH + TN'!$C:$C,'01. TH'!AD$4)</f>
        <v>0</v>
      </c>
      <c r="AE252" s="1057">
        <f t="shared" si="49"/>
        <v>0</v>
      </c>
      <c r="AF252" s="1057"/>
      <c r="AG252" s="1033" t="str">
        <f t="shared" si="23"/>
        <v>ok</v>
      </c>
      <c r="AH252" s="1058"/>
    </row>
    <row r="253" ht="18.75" hidden="1" customHeight="1" outlineLevel="1" spans="1:34">
      <c r="A253" s="1056"/>
      <c r="B253" s="1054" t="s">
        <v>380</v>
      </c>
      <c r="C253" s="1041"/>
      <c r="D253" s="1041"/>
      <c r="E253" s="1041" t="s">
        <v>302</v>
      </c>
      <c r="F253" s="1042">
        <f>COUNTIFS('TỔNG KLH + TN'!$B:$B,'01. TH'!$B253,'TỔNG KLH + TN'!$C:$C,'01. TH'!F$4)</f>
        <v>0</v>
      </c>
      <c r="G253" s="1042">
        <f>COUNTIFS('TỔNG KLH + TN'!$B:$B,'01. TH'!$B253,'TỔNG KLH + TN'!$C:$C,'01. TH'!G$4)</f>
        <v>0</v>
      </c>
      <c r="H253" s="1042">
        <f>COUNTIFS('TỔNG KLH + TN'!$B:$B,'01. TH'!$B253,'TỔNG KLH + TN'!$C:$C,'01. TH'!H$4)</f>
        <v>0</v>
      </c>
      <c r="I253" s="1042">
        <f>COUNTIFS('TỔNG KLH + TN'!$B:$B,'01. TH'!$B253,'TỔNG KLH + TN'!$C:$C,'01. TH'!I$4)</f>
        <v>0</v>
      </c>
      <c r="J253" s="1042">
        <f>COUNTIFS('TỔNG KLH + TN'!$B:$B,'01. TH'!$B253,'TỔNG KLH + TN'!$C:$C,'01. TH'!J$4)</f>
        <v>0</v>
      </c>
      <c r="K253" s="1042">
        <f>COUNTIFS('TỔNG KLH + TN'!$B:$B,'01. TH'!$B253,'TỔNG KLH + TN'!$C:$C,'01. TH'!K$4)</f>
        <v>0</v>
      </c>
      <c r="L253" s="1042">
        <f>COUNTIFS('TỔNG KLH + TN'!$B:$B,'01. TH'!$B253,'TỔNG KLH + TN'!$C:$C,'01. TH'!L$4)</f>
        <v>0</v>
      </c>
      <c r="M253" s="1042">
        <f>COUNTIFS('TỔNG KLH + TN'!$B:$B,'01. TH'!$B253,'TỔNG KLH + TN'!$C:$C,'01. TH'!M$4)</f>
        <v>0</v>
      </c>
      <c r="N253" s="1042">
        <f>COUNTIFS('TỔNG KLH + TN'!$B:$B,'01. TH'!$B253,'TỔNG KLH + TN'!$C:$C,'01. TH'!N$4)</f>
        <v>0</v>
      </c>
      <c r="O253" s="1042">
        <f>COUNTIFS('TỔNG KLH + TN'!$B:$B,'01. TH'!$B253,'TỔNG KLH + TN'!$C:$C,'01. TH'!O$4)</f>
        <v>0</v>
      </c>
      <c r="P253" s="1042">
        <f>COUNTIFS('TỔNG KLH + TN'!$B:$B,'01. TH'!$B253,'TỔNG KLH + TN'!$C:$C,'01. TH'!P$4)</f>
        <v>0</v>
      </c>
      <c r="Q253" s="1042">
        <f>COUNTIFS('TỔNG KLH + TN'!$B:$B,'01. TH'!$B253,'TỔNG KLH + TN'!$C:$C,'01. TH'!Q$4)</f>
        <v>0</v>
      </c>
      <c r="R253" s="1042">
        <f>COUNTIFS('TỔNG KLH + TN'!$B:$B,'01. TH'!$B253,'TỔNG KLH + TN'!$C:$C,'01. TH'!R$4)</f>
        <v>0</v>
      </c>
      <c r="S253" s="1042">
        <f>COUNTIFS('TỔNG KLH + TN'!$B:$B,'01. TH'!$B253,'TỔNG KLH + TN'!$C:$C,'01. TH'!S$4)</f>
        <v>0</v>
      </c>
      <c r="T253" s="1042">
        <f>COUNTIFS('TỔNG KLH + TN'!$B:$B,'01. TH'!$B253,'TỔNG KLH + TN'!$C:$C,'01. TH'!T$4)</f>
        <v>0</v>
      </c>
      <c r="U253" s="1042">
        <f>COUNTIFS('TỔNG KLH + TN'!$B:$B,'01. TH'!$B253,'TỔNG KLH + TN'!$C:$C,'01. TH'!U$4)</f>
        <v>0</v>
      </c>
      <c r="V253" s="1042">
        <f>COUNTIFS('TỔNG KLH + TN'!$B:$B,'01. TH'!$B253,'TỔNG KLH + TN'!$C:$C,'01. TH'!V$4)</f>
        <v>0</v>
      </c>
      <c r="W253" s="1042">
        <f>COUNTIFS('TỔNG KLH + TN'!$B:$B,'01. TH'!$B253,'TỔNG KLH + TN'!$C:$C,'01. TH'!W$4)</f>
        <v>0</v>
      </c>
      <c r="X253" s="1042">
        <f>COUNTIFS('TỔNG KLH + TN'!$B:$B,'01. TH'!$B253,'TỔNG KLH + TN'!$C:$C,'01. TH'!X$4)</f>
        <v>0</v>
      </c>
      <c r="Y253" s="1042">
        <f>COUNTIFS('TỔNG KLH + TN'!$B:$B,'01. TH'!$B253,'TỔNG KLH + TN'!$C:$C,'01. TH'!Y$4)</f>
        <v>0</v>
      </c>
      <c r="Z253" s="1042">
        <f>COUNTIFS('TỔNG KLH + TN'!$B:$B,'01. TH'!$B253,'TỔNG KLH + TN'!$C:$C,'01. TH'!Z$4)</f>
        <v>0</v>
      </c>
      <c r="AA253" s="1042">
        <f>COUNTIFS('TỔNG KLH + TN'!$B:$B,'01. TH'!$B253,'TỔNG KLH + TN'!$C:$C,'01. TH'!AA$4)</f>
        <v>0</v>
      </c>
      <c r="AB253" s="1042">
        <f>COUNTIFS('TỔNG KLH + TN'!$B:$B,'01. TH'!$B253,'TỔNG KLH + TN'!$C:$C,'01. TH'!AB$4)</f>
        <v>0</v>
      </c>
      <c r="AC253" s="1042">
        <f>COUNTIFS('TỔNG KLH + TN'!$B:$B,'01. TH'!$B253,'TỔNG KLH + TN'!$C:$C,'01. TH'!AC$4)</f>
        <v>0</v>
      </c>
      <c r="AD253" s="1042">
        <f>COUNTIFS('TỔNG KLH + TN'!$B:$B,'01. TH'!$B253,'TỔNG KLH + TN'!$C:$C,'01. TH'!AD$4)</f>
        <v>0</v>
      </c>
      <c r="AE253" s="1057">
        <f t="shared" si="49"/>
        <v>0</v>
      </c>
      <c r="AF253" s="1057"/>
      <c r="AG253" s="1033" t="str">
        <f t="shared" si="23"/>
        <v>ok</v>
      </c>
      <c r="AH253" s="1058"/>
    </row>
    <row r="254" ht="24" customHeight="1" collapsed="1" spans="1:34">
      <c r="A254" s="1033">
        <v>27</v>
      </c>
      <c r="B254" s="1034" t="s">
        <v>381</v>
      </c>
      <c r="C254" s="1035"/>
      <c r="D254" s="1035" t="s">
        <v>382</v>
      </c>
      <c r="E254" s="1035"/>
      <c r="F254" s="1047">
        <f t="shared" ref="F254:AE254" si="50">SUM(F255)</f>
        <v>0</v>
      </c>
      <c r="G254" s="1047">
        <f t="shared" si="50"/>
        <v>0</v>
      </c>
      <c r="H254" s="1047">
        <f t="shared" si="50"/>
        <v>0</v>
      </c>
      <c r="I254" s="1047">
        <f t="shared" si="50"/>
        <v>0</v>
      </c>
      <c r="J254" s="1047">
        <f t="shared" si="50"/>
        <v>0</v>
      </c>
      <c r="K254" s="1047">
        <f t="shared" si="50"/>
        <v>0</v>
      </c>
      <c r="L254" s="1047">
        <f t="shared" si="50"/>
        <v>0</v>
      </c>
      <c r="M254" s="1047">
        <f t="shared" si="50"/>
        <v>0</v>
      </c>
      <c r="N254" s="1047">
        <f t="shared" si="50"/>
        <v>0</v>
      </c>
      <c r="O254" s="1047">
        <f t="shared" si="50"/>
        <v>0</v>
      </c>
      <c r="P254" s="1047">
        <f t="shared" si="50"/>
        <v>0</v>
      </c>
      <c r="Q254" s="1047">
        <f t="shared" si="50"/>
        <v>1</v>
      </c>
      <c r="R254" s="1047">
        <f t="shared" si="50"/>
        <v>0</v>
      </c>
      <c r="S254" s="1047">
        <f t="shared" si="50"/>
        <v>0</v>
      </c>
      <c r="T254" s="1047">
        <f t="shared" si="50"/>
        <v>0</v>
      </c>
      <c r="U254" s="1047">
        <f t="shared" si="50"/>
        <v>0</v>
      </c>
      <c r="V254" s="1047">
        <f t="shared" si="50"/>
        <v>0</v>
      </c>
      <c r="W254" s="1047">
        <f t="shared" si="50"/>
        <v>0</v>
      </c>
      <c r="X254" s="1047">
        <f t="shared" si="50"/>
        <v>0</v>
      </c>
      <c r="Y254" s="1047">
        <f t="shared" si="50"/>
        <v>0</v>
      </c>
      <c r="Z254" s="1047">
        <f t="shared" si="50"/>
        <v>0</v>
      </c>
      <c r="AA254" s="1047">
        <f t="shared" si="50"/>
        <v>0</v>
      </c>
      <c r="AB254" s="1047">
        <f t="shared" si="50"/>
        <v>0</v>
      </c>
      <c r="AC254" s="1047">
        <f t="shared" si="50"/>
        <v>0</v>
      </c>
      <c r="AD254" s="1047">
        <f t="shared" si="50"/>
        <v>0</v>
      </c>
      <c r="AE254" s="1048">
        <f t="shared" si="50"/>
        <v>1</v>
      </c>
      <c r="AF254" s="1048">
        <v>0</v>
      </c>
      <c r="AG254" s="1033" t="str">
        <f t="shared" si="23"/>
        <v>ok</v>
      </c>
      <c r="AH254" s="1033"/>
    </row>
    <row r="255" ht="18.75" hidden="1" customHeight="1" outlineLevel="1" spans="1:34">
      <c r="A255" s="1044"/>
      <c r="B255" s="1040" t="s">
        <v>383</v>
      </c>
      <c r="C255" s="1041"/>
      <c r="D255" s="1041"/>
      <c r="E255" s="1041" t="s">
        <v>302</v>
      </c>
      <c r="F255" s="1042">
        <f>COUNTIFS('TỔNG KLH + TN'!$B:$B,'01. TH'!$B255,'TỔNG KLH + TN'!$C:$C,'01. TH'!F$4)</f>
        <v>0</v>
      </c>
      <c r="G255" s="1042">
        <f>COUNTIFS('TỔNG KLH + TN'!$B:$B,'01. TH'!$B255,'TỔNG KLH + TN'!$C:$C,'01. TH'!G$4)</f>
        <v>0</v>
      </c>
      <c r="H255" s="1042">
        <f>COUNTIFS('TỔNG KLH + TN'!$B:$B,'01. TH'!$B255,'TỔNG KLH + TN'!$C:$C,'01. TH'!H$4)</f>
        <v>0</v>
      </c>
      <c r="I255" s="1042">
        <f>COUNTIFS('TỔNG KLH + TN'!$B:$B,'01. TH'!$B255,'TỔNG KLH + TN'!$C:$C,'01. TH'!I$4)</f>
        <v>0</v>
      </c>
      <c r="J255" s="1042">
        <f>COUNTIFS('TỔNG KLH + TN'!$B:$B,'01. TH'!$B255,'TỔNG KLH + TN'!$C:$C,'01. TH'!J$4)</f>
        <v>0</v>
      </c>
      <c r="K255" s="1042">
        <f>COUNTIFS('TỔNG KLH + TN'!$B:$B,'01. TH'!$B255,'TỔNG KLH + TN'!$C:$C,'01. TH'!K$4)</f>
        <v>0</v>
      </c>
      <c r="L255" s="1042">
        <f>COUNTIFS('TỔNG KLH + TN'!$B:$B,'01. TH'!$B255,'TỔNG KLH + TN'!$C:$C,'01. TH'!L$4)</f>
        <v>0</v>
      </c>
      <c r="M255" s="1042">
        <f>COUNTIFS('TỔNG KLH + TN'!$B:$B,'01. TH'!$B255,'TỔNG KLH + TN'!$C:$C,'01. TH'!M$4)</f>
        <v>0</v>
      </c>
      <c r="N255" s="1042">
        <f>COUNTIFS('TỔNG KLH + TN'!$B:$B,'01. TH'!$B255,'TỔNG KLH + TN'!$C:$C,'01. TH'!N$4)</f>
        <v>0</v>
      </c>
      <c r="O255" s="1042">
        <f>COUNTIFS('TỔNG KLH + TN'!$B:$B,'01. TH'!$B255,'TỔNG KLH + TN'!$C:$C,'01. TH'!O$4)</f>
        <v>0</v>
      </c>
      <c r="P255" s="1042">
        <f>COUNTIFS('TỔNG KLH + TN'!$B:$B,'01. TH'!$B255,'TỔNG KLH + TN'!$C:$C,'01. TH'!P$4)</f>
        <v>0</v>
      </c>
      <c r="Q255" s="1042">
        <f>COUNTIFS('TỔNG KLH + TN'!$B:$B,'01. TH'!$B255,'TỔNG KLH + TN'!$C:$C,'01. TH'!Q$4)</f>
        <v>1</v>
      </c>
      <c r="R255" s="1042">
        <f>COUNTIFS('TỔNG KLH + TN'!$B:$B,'01. TH'!$B255,'TỔNG KLH + TN'!$C:$C,'01. TH'!R$4)</f>
        <v>0</v>
      </c>
      <c r="S255" s="1042">
        <f>COUNTIFS('TỔNG KLH + TN'!$B:$B,'01. TH'!$B255,'TỔNG KLH + TN'!$C:$C,'01. TH'!S$4)</f>
        <v>0</v>
      </c>
      <c r="T255" s="1042">
        <f>COUNTIFS('TỔNG KLH + TN'!$B:$B,'01. TH'!$B255,'TỔNG KLH + TN'!$C:$C,'01. TH'!T$4)</f>
        <v>0</v>
      </c>
      <c r="U255" s="1042">
        <f>COUNTIFS('TỔNG KLH + TN'!$B:$B,'01. TH'!$B255,'TỔNG KLH + TN'!$C:$C,'01. TH'!U$4)</f>
        <v>0</v>
      </c>
      <c r="V255" s="1042">
        <f>COUNTIFS('TỔNG KLH + TN'!$B:$B,'01. TH'!$B255,'TỔNG KLH + TN'!$C:$C,'01. TH'!V$4)</f>
        <v>0</v>
      </c>
      <c r="W255" s="1042">
        <f>COUNTIFS('TỔNG KLH + TN'!$B:$B,'01. TH'!$B255,'TỔNG KLH + TN'!$C:$C,'01. TH'!W$4)</f>
        <v>0</v>
      </c>
      <c r="X255" s="1042">
        <f>COUNTIFS('TỔNG KLH + TN'!$B:$B,'01. TH'!$B255,'TỔNG KLH + TN'!$C:$C,'01. TH'!X$4)</f>
        <v>0</v>
      </c>
      <c r="Y255" s="1042">
        <f>COUNTIFS('TỔNG KLH + TN'!$B:$B,'01. TH'!$B255,'TỔNG KLH + TN'!$C:$C,'01. TH'!Y$4)</f>
        <v>0</v>
      </c>
      <c r="Z255" s="1042">
        <f>COUNTIFS('TỔNG KLH + TN'!$B:$B,'01. TH'!$B255,'TỔNG KLH + TN'!$C:$C,'01. TH'!Z$4)</f>
        <v>0</v>
      </c>
      <c r="AA255" s="1042">
        <f>COUNTIFS('TỔNG KLH + TN'!$B:$B,'01. TH'!$B255,'TỔNG KLH + TN'!$C:$C,'01. TH'!AA$4)</f>
        <v>0</v>
      </c>
      <c r="AB255" s="1042">
        <f>COUNTIFS('TỔNG KLH + TN'!$B:$B,'01. TH'!$B255,'TỔNG KLH + TN'!$C:$C,'01. TH'!AB$4)</f>
        <v>0</v>
      </c>
      <c r="AC255" s="1042">
        <f>COUNTIFS('TỔNG KLH + TN'!$B:$B,'01. TH'!$B255,'TỔNG KLH + TN'!$C:$C,'01. TH'!AC$4)</f>
        <v>0</v>
      </c>
      <c r="AD255" s="1042">
        <f>COUNTIFS('TỔNG KLH + TN'!$B:$B,'01. TH'!$B255,'TỔNG KLH + TN'!$C:$C,'01. TH'!AD$4)</f>
        <v>0</v>
      </c>
      <c r="AE255" s="1045">
        <f>SUM(F255:AD255)</f>
        <v>1</v>
      </c>
      <c r="AF255" s="1045"/>
      <c r="AG255" s="1033" t="str">
        <f t="shared" si="23"/>
        <v>ok</v>
      </c>
      <c r="AH255" s="1046"/>
    </row>
    <row r="256" ht="24" customHeight="1" collapsed="1" spans="1:34">
      <c r="A256" s="1033">
        <v>28</v>
      </c>
      <c r="B256" s="1034" t="s">
        <v>384</v>
      </c>
      <c r="C256" s="1035"/>
      <c r="D256" s="1035" t="s">
        <v>382</v>
      </c>
      <c r="E256" s="1035"/>
      <c r="F256" s="1047">
        <f t="shared" ref="F256:AE256" si="51">SUM(F257:F279)</f>
        <v>0</v>
      </c>
      <c r="G256" s="1047">
        <f t="shared" si="51"/>
        <v>2</v>
      </c>
      <c r="H256" s="1047">
        <f t="shared" si="51"/>
        <v>0</v>
      </c>
      <c r="I256" s="1047">
        <f t="shared" si="51"/>
        <v>0</v>
      </c>
      <c r="J256" s="1047">
        <f t="shared" si="51"/>
        <v>0</v>
      </c>
      <c r="K256" s="1047">
        <f t="shared" si="51"/>
        <v>0</v>
      </c>
      <c r="L256" s="1047">
        <f t="shared" si="51"/>
        <v>0</v>
      </c>
      <c r="M256" s="1047">
        <f t="shared" si="51"/>
        <v>0</v>
      </c>
      <c r="N256" s="1047">
        <f t="shared" si="51"/>
        <v>0</v>
      </c>
      <c r="O256" s="1047">
        <f t="shared" si="51"/>
        <v>0</v>
      </c>
      <c r="P256" s="1047">
        <f t="shared" si="51"/>
        <v>0</v>
      </c>
      <c r="Q256" s="1047">
        <f t="shared" si="51"/>
        <v>9</v>
      </c>
      <c r="R256" s="1047">
        <f t="shared" si="51"/>
        <v>0</v>
      </c>
      <c r="S256" s="1047">
        <f t="shared" si="51"/>
        <v>1</v>
      </c>
      <c r="T256" s="1047">
        <f t="shared" si="51"/>
        <v>0</v>
      </c>
      <c r="U256" s="1047">
        <f t="shared" si="51"/>
        <v>0</v>
      </c>
      <c r="V256" s="1047">
        <f t="shared" si="51"/>
        <v>0</v>
      </c>
      <c r="W256" s="1047">
        <f t="shared" si="51"/>
        <v>18</v>
      </c>
      <c r="X256" s="1047">
        <f t="shared" si="51"/>
        <v>0</v>
      </c>
      <c r="Y256" s="1047">
        <f t="shared" si="51"/>
        <v>0</v>
      </c>
      <c r="Z256" s="1047">
        <f t="shared" si="51"/>
        <v>0</v>
      </c>
      <c r="AA256" s="1047">
        <f t="shared" si="51"/>
        <v>0</v>
      </c>
      <c r="AB256" s="1047">
        <f t="shared" si="51"/>
        <v>0</v>
      </c>
      <c r="AC256" s="1047">
        <f t="shared" si="51"/>
        <v>0</v>
      </c>
      <c r="AD256" s="1047">
        <f t="shared" si="51"/>
        <v>0</v>
      </c>
      <c r="AE256" s="1048">
        <f t="shared" si="51"/>
        <v>30</v>
      </c>
      <c r="AF256" s="1048">
        <v>0</v>
      </c>
      <c r="AG256" s="1033" t="str">
        <f t="shared" si="23"/>
        <v>ok</v>
      </c>
      <c r="AH256" s="1038"/>
    </row>
    <row r="257" ht="17.25" hidden="1" customHeight="1" outlineLevel="1" spans="1:34">
      <c r="A257" s="1061"/>
      <c r="B257" s="1062" t="s">
        <v>385</v>
      </c>
      <c r="C257" s="1063"/>
      <c r="D257" s="1063" t="s">
        <v>386</v>
      </c>
      <c r="E257" s="1063" t="s">
        <v>302</v>
      </c>
      <c r="F257" s="1042">
        <f>COUNTIFS('TỔNG KLH + TN'!$B:$B,'01. TH'!$B257,'TỔNG KLH + TN'!$C:$C,'01. TH'!F$4)</f>
        <v>0</v>
      </c>
      <c r="G257" s="1042">
        <f>COUNTIFS('TỔNG KLH + TN'!$B:$B,'01. TH'!$B257,'TỔNG KLH + TN'!$C:$C,'01. TH'!G$4)</f>
        <v>0</v>
      </c>
      <c r="H257" s="1042">
        <f>COUNTIFS('TỔNG KLH + TN'!$B:$B,'01. TH'!$B257,'TỔNG KLH + TN'!$C:$C,'01. TH'!H$4)</f>
        <v>0</v>
      </c>
      <c r="I257" s="1042">
        <f>COUNTIFS('TỔNG KLH + TN'!$B:$B,'01. TH'!$B257,'TỔNG KLH + TN'!$C:$C,'01. TH'!I$4)</f>
        <v>0</v>
      </c>
      <c r="J257" s="1042">
        <f>COUNTIFS('TỔNG KLH + TN'!$B:$B,'01. TH'!$B257,'TỔNG KLH + TN'!$C:$C,'01. TH'!J$4)</f>
        <v>0</v>
      </c>
      <c r="K257" s="1042">
        <f>COUNTIFS('TỔNG KLH + TN'!$B:$B,'01. TH'!$B257,'TỔNG KLH + TN'!$C:$C,'01. TH'!K$4)</f>
        <v>0</v>
      </c>
      <c r="L257" s="1042">
        <f>COUNTIFS('TỔNG KLH + TN'!$B:$B,'01. TH'!$B257,'TỔNG KLH + TN'!$C:$C,'01. TH'!L$4)</f>
        <v>0</v>
      </c>
      <c r="M257" s="1042">
        <f>COUNTIFS('TỔNG KLH + TN'!$B:$B,'01. TH'!$B257,'TỔNG KLH + TN'!$C:$C,'01. TH'!M$4)</f>
        <v>0</v>
      </c>
      <c r="N257" s="1042">
        <f>COUNTIFS('TỔNG KLH + TN'!$B:$B,'01. TH'!$B257,'TỔNG KLH + TN'!$C:$C,'01. TH'!N$4)</f>
        <v>0</v>
      </c>
      <c r="O257" s="1042">
        <f>COUNTIFS('TỔNG KLH + TN'!$B:$B,'01. TH'!$B257,'TỔNG KLH + TN'!$C:$C,'01. TH'!O$4)</f>
        <v>0</v>
      </c>
      <c r="P257" s="1042">
        <f>COUNTIFS('TỔNG KLH + TN'!$B:$B,'01. TH'!$B257,'TỔNG KLH + TN'!$C:$C,'01. TH'!P$4)</f>
        <v>0</v>
      </c>
      <c r="Q257" s="1042">
        <f>COUNTIFS('TỔNG KLH + TN'!$B:$B,'01. TH'!$B257,'TỔNG KLH + TN'!$C:$C,'01. TH'!Q$4)</f>
        <v>1</v>
      </c>
      <c r="R257" s="1042">
        <f>COUNTIFS('TỔNG KLH + TN'!$B:$B,'01. TH'!$B257,'TỔNG KLH + TN'!$C:$C,'01. TH'!R$4)</f>
        <v>0</v>
      </c>
      <c r="S257" s="1042">
        <f>COUNTIFS('TỔNG KLH + TN'!$B:$B,'01. TH'!$B257,'TỔNG KLH + TN'!$C:$C,'01. TH'!S$4)</f>
        <v>0</v>
      </c>
      <c r="T257" s="1042">
        <f>COUNTIFS('TỔNG KLH + TN'!$B:$B,'01. TH'!$B257,'TỔNG KLH + TN'!$C:$C,'01. TH'!T$4)</f>
        <v>0</v>
      </c>
      <c r="U257" s="1042">
        <f>COUNTIFS('TỔNG KLH + TN'!$B:$B,'01. TH'!$B257,'TỔNG KLH + TN'!$C:$C,'01. TH'!U$4)</f>
        <v>0</v>
      </c>
      <c r="V257" s="1042">
        <f>COUNTIFS('TỔNG KLH + TN'!$B:$B,'01. TH'!$B257,'TỔNG KLH + TN'!$C:$C,'01. TH'!V$4)</f>
        <v>0</v>
      </c>
      <c r="W257" s="1042">
        <f>COUNTIFS('TỔNG KLH + TN'!$B:$B,'01. TH'!$B257,'TỔNG KLH + TN'!$C:$C,'01. TH'!W$4)</f>
        <v>0</v>
      </c>
      <c r="X257" s="1042">
        <f>COUNTIFS('TỔNG KLH + TN'!$B:$B,'01. TH'!$B257,'TỔNG KLH + TN'!$C:$C,'01. TH'!X$4)</f>
        <v>0</v>
      </c>
      <c r="Y257" s="1042">
        <f>COUNTIFS('TỔNG KLH + TN'!$B:$B,'01. TH'!$B257,'TỔNG KLH + TN'!$C:$C,'01. TH'!Y$4)</f>
        <v>0</v>
      </c>
      <c r="Z257" s="1042">
        <f>COUNTIFS('TỔNG KLH + TN'!$B:$B,'01. TH'!$B257,'TỔNG KLH + TN'!$C:$C,'01. TH'!Z$4)</f>
        <v>0</v>
      </c>
      <c r="AA257" s="1042">
        <f>COUNTIFS('TỔNG KLH + TN'!$B:$B,'01. TH'!$B257,'TỔNG KLH + TN'!$C:$C,'01. TH'!AA$4)</f>
        <v>0</v>
      </c>
      <c r="AB257" s="1042">
        <f>COUNTIFS('TỔNG KLH + TN'!$B:$B,'01. TH'!$B257,'TỔNG KLH + TN'!$C:$C,'01. TH'!AB$4)</f>
        <v>0</v>
      </c>
      <c r="AC257" s="1042">
        <f>COUNTIFS('TỔNG KLH + TN'!$B:$B,'01. TH'!$B257,'TỔNG KLH + TN'!$C:$C,'01. TH'!AC$4)</f>
        <v>0</v>
      </c>
      <c r="AD257" s="1042">
        <f>COUNTIFS('TỔNG KLH + TN'!$B:$B,'01. TH'!$B257,'TỔNG KLH + TN'!$C:$C,'01. TH'!AD$4)</f>
        <v>0</v>
      </c>
      <c r="AE257" s="1045">
        <f t="shared" ref="AE257:AE279" si="52">SUM(F257:AD257)</f>
        <v>1</v>
      </c>
      <c r="AF257" s="1045"/>
      <c r="AG257" s="1033" t="str">
        <f t="shared" si="23"/>
        <v>ok</v>
      </c>
      <c r="AH257" s="1064"/>
    </row>
    <row r="258" ht="17.25" hidden="1" customHeight="1" outlineLevel="1" spans="1:34">
      <c r="A258" s="1061"/>
      <c r="B258" s="1062" t="s">
        <v>387</v>
      </c>
      <c r="C258" s="1063"/>
      <c r="D258" s="1063" t="s">
        <v>388</v>
      </c>
      <c r="E258" s="1063" t="s">
        <v>302</v>
      </c>
      <c r="F258" s="1042">
        <f>COUNTIFS('TỔNG KLH + TN'!$B:$B,'01. TH'!$B258,'TỔNG KLH + TN'!$C:$C,'01. TH'!F$4)</f>
        <v>0</v>
      </c>
      <c r="G258" s="1042">
        <f>COUNTIFS('TỔNG KLH + TN'!$B:$B,'01. TH'!$B258,'TỔNG KLH + TN'!$C:$C,'01. TH'!G$4)</f>
        <v>0</v>
      </c>
      <c r="H258" s="1042">
        <f>COUNTIFS('TỔNG KLH + TN'!$B:$B,'01. TH'!$B258,'TỔNG KLH + TN'!$C:$C,'01. TH'!H$4)</f>
        <v>0</v>
      </c>
      <c r="I258" s="1042">
        <f>COUNTIFS('TỔNG KLH + TN'!$B:$B,'01. TH'!$B258,'TỔNG KLH + TN'!$C:$C,'01. TH'!I$4)</f>
        <v>0</v>
      </c>
      <c r="J258" s="1042">
        <f>COUNTIFS('TỔNG KLH + TN'!$B:$B,'01. TH'!$B258,'TỔNG KLH + TN'!$C:$C,'01. TH'!J$4)</f>
        <v>0</v>
      </c>
      <c r="K258" s="1042">
        <f>COUNTIFS('TỔNG KLH + TN'!$B:$B,'01. TH'!$B258,'TỔNG KLH + TN'!$C:$C,'01. TH'!K$4)</f>
        <v>0</v>
      </c>
      <c r="L258" s="1042">
        <f>COUNTIFS('TỔNG KLH + TN'!$B:$B,'01. TH'!$B258,'TỔNG KLH + TN'!$C:$C,'01. TH'!L$4)</f>
        <v>0</v>
      </c>
      <c r="M258" s="1042">
        <f>COUNTIFS('TỔNG KLH + TN'!$B:$B,'01. TH'!$B258,'TỔNG KLH + TN'!$C:$C,'01. TH'!M$4)</f>
        <v>0</v>
      </c>
      <c r="N258" s="1042">
        <f>COUNTIFS('TỔNG KLH + TN'!$B:$B,'01. TH'!$B258,'TỔNG KLH + TN'!$C:$C,'01. TH'!N$4)</f>
        <v>0</v>
      </c>
      <c r="O258" s="1042">
        <f>COUNTIFS('TỔNG KLH + TN'!$B:$B,'01. TH'!$B258,'TỔNG KLH + TN'!$C:$C,'01. TH'!O$4)</f>
        <v>0</v>
      </c>
      <c r="P258" s="1042">
        <f>COUNTIFS('TỔNG KLH + TN'!$B:$B,'01. TH'!$B258,'TỔNG KLH + TN'!$C:$C,'01. TH'!P$4)</f>
        <v>0</v>
      </c>
      <c r="Q258" s="1042">
        <f>COUNTIFS('TỔNG KLH + TN'!$B:$B,'01. TH'!$B258,'TỔNG KLH + TN'!$C:$C,'01. TH'!Q$4)</f>
        <v>0</v>
      </c>
      <c r="R258" s="1042">
        <f>COUNTIFS('TỔNG KLH + TN'!$B:$B,'01. TH'!$B258,'TỔNG KLH + TN'!$C:$C,'01. TH'!R$4)</f>
        <v>0</v>
      </c>
      <c r="S258" s="1042">
        <f>COUNTIFS('TỔNG KLH + TN'!$B:$B,'01. TH'!$B258,'TỔNG KLH + TN'!$C:$C,'01. TH'!S$4)</f>
        <v>0</v>
      </c>
      <c r="T258" s="1042">
        <f>COUNTIFS('TỔNG KLH + TN'!$B:$B,'01. TH'!$B258,'TỔNG KLH + TN'!$C:$C,'01. TH'!T$4)</f>
        <v>0</v>
      </c>
      <c r="U258" s="1042">
        <f>COUNTIFS('TỔNG KLH + TN'!$B:$B,'01. TH'!$B258,'TỔNG KLH + TN'!$C:$C,'01. TH'!U$4)</f>
        <v>0</v>
      </c>
      <c r="V258" s="1042">
        <f>COUNTIFS('TỔNG KLH + TN'!$B:$B,'01. TH'!$B258,'TỔNG KLH + TN'!$C:$C,'01. TH'!V$4)</f>
        <v>0</v>
      </c>
      <c r="W258" s="1042">
        <f>COUNTIFS('TỔNG KLH + TN'!$B:$B,'01. TH'!$B258,'TỔNG KLH + TN'!$C:$C,'01. TH'!W$4)</f>
        <v>0</v>
      </c>
      <c r="X258" s="1042">
        <f>COUNTIFS('TỔNG KLH + TN'!$B:$B,'01. TH'!$B258,'TỔNG KLH + TN'!$C:$C,'01. TH'!X$4)</f>
        <v>0</v>
      </c>
      <c r="Y258" s="1042">
        <f>COUNTIFS('TỔNG KLH + TN'!$B:$B,'01. TH'!$B258,'TỔNG KLH + TN'!$C:$C,'01. TH'!Y$4)</f>
        <v>0</v>
      </c>
      <c r="Z258" s="1042">
        <f>COUNTIFS('TỔNG KLH + TN'!$B:$B,'01. TH'!$B258,'TỔNG KLH + TN'!$C:$C,'01. TH'!Z$4)</f>
        <v>0</v>
      </c>
      <c r="AA258" s="1042">
        <f>COUNTIFS('TỔNG KLH + TN'!$B:$B,'01. TH'!$B258,'TỔNG KLH + TN'!$C:$C,'01. TH'!AA$4)</f>
        <v>0</v>
      </c>
      <c r="AB258" s="1042">
        <f>COUNTIFS('TỔNG KLH + TN'!$B:$B,'01. TH'!$B258,'TỔNG KLH + TN'!$C:$C,'01. TH'!AB$4)</f>
        <v>0</v>
      </c>
      <c r="AC258" s="1042">
        <f>COUNTIFS('TỔNG KLH + TN'!$B:$B,'01. TH'!$B258,'TỔNG KLH + TN'!$C:$C,'01. TH'!AC$4)</f>
        <v>0</v>
      </c>
      <c r="AD258" s="1042">
        <f>COUNTIFS('TỔNG KLH + TN'!$B:$B,'01. TH'!$B258,'TỔNG KLH + TN'!$C:$C,'01. TH'!AD$4)</f>
        <v>0</v>
      </c>
      <c r="AE258" s="1045">
        <f t="shared" si="52"/>
        <v>0</v>
      </c>
      <c r="AF258" s="1045"/>
      <c r="AG258" s="1033" t="str">
        <f t="shared" si="23"/>
        <v>ok</v>
      </c>
      <c r="AH258" s="1064"/>
    </row>
    <row r="259" ht="17.25" hidden="1" customHeight="1" outlineLevel="1" spans="1:34">
      <c r="A259" s="1061"/>
      <c r="B259" s="1065" t="s">
        <v>389</v>
      </c>
      <c r="C259" s="1063"/>
      <c r="D259" s="1063" t="s">
        <v>390</v>
      </c>
      <c r="E259" s="1063" t="s">
        <v>302</v>
      </c>
      <c r="F259" s="1042">
        <f>COUNTIFS('TỔNG KLH + TN'!$B:$B,'01. TH'!$B259,'TỔNG KLH + TN'!$C:$C,'01. TH'!F$4)</f>
        <v>0</v>
      </c>
      <c r="G259" s="1042">
        <f>COUNTIFS('TỔNG KLH + TN'!$B:$B,'01. TH'!$B259,'TỔNG KLH + TN'!$C:$C,'01. TH'!G$4)</f>
        <v>0</v>
      </c>
      <c r="H259" s="1042">
        <f>COUNTIFS('TỔNG KLH + TN'!$B:$B,'01. TH'!$B259,'TỔNG KLH + TN'!$C:$C,'01. TH'!H$4)</f>
        <v>0</v>
      </c>
      <c r="I259" s="1042">
        <f>COUNTIFS('TỔNG KLH + TN'!$B:$B,'01. TH'!$B259,'TỔNG KLH + TN'!$C:$C,'01. TH'!I$4)</f>
        <v>0</v>
      </c>
      <c r="J259" s="1042">
        <f>COUNTIFS('TỔNG KLH + TN'!$B:$B,'01. TH'!$B259,'TỔNG KLH + TN'!$C:$C,'01. TH'!J$4)</f>
        <v>0</v>
      </c>
      <c r="K259" s="1042">
        <f>COUNTIFS('TỔNG KLH + TN'!$B:$B,'01. TH'!$B259,'TỔNG KLH + TN'!$C:$C,'01. TH'!K$4)</f>
        <v>0</v>
      </c>
      <c r="L259" s="1042">
        <f>COUNTIFS('TỔNG KLH + TN'!$B:$B,'01. TH'!$B259,'TỔNG KLH + TN'!$C:$C,'01. TH'!L$4)</f>
        <v>0</v>
      </c>
      <c r="M259" s="1042">
        <f>COUNTIFS('TỔNG KLH + TN'!$B:$B,'01. TH'!$B259,'TỔNG KLH + TN'!$C:$C,'01. TH'!M$4)</f>
        <v>0</v>
      </c>
      <c r="N259" s="1042">
        <f>COUNTIFS('TỔNG KLH + TN'!$B:$B,'01. TH'!$B259,'TỔNG KLH + TN'!$C:$C,'01. TH'!N$4)</f>
        <v>0</v>
      </c>
      <c r="O259" s="1042">
        <f>COUNTIFS('TỔNG KLH + TN'!$B:$B,'01. TH'!$B259,'TỔNG KLH + TN'!$C:$C,'01. TH'!O$4)</f>
        <v>0</v>
      </c>
      <c r="P259" s="1042">
        <f>COUNTIFS('TỔNG KLH + TN'!$B:$B,'01. TH'!$B259,'TỔNG KLH + TN'!$C:$C,'01. TH'!P$4)</f>
        <v>0</v>
      </c>
      <c r="Q259" s="1042">
        <f>COUNTIFS('TỔNG KLH + TN'!$B:$B,'01. TH'!$B259,'TỔNG KLH + TN'!$C:$C,'01. TH'!Q$4)</f>
        <v>0</v>
      </c>
      <c r="R259" s="1042">
        <f>COUNTIFS('TỔNG KLH + TN'!$B:$B,'01. TH'!$B259,'TỔNG KLH + TN'!$C:$C,'01. TH'!R$4)</f>
        <v>0</v>
      </c>
      <c r="S259" s="1042">
        <f>COUNTIFS('TỔNG KLH + TN'!$B:$B,'01. TH'!$B259,'TỔNG KLH + TN'!$C:$C,'01. TH'!S$4)</f>
        <v>0</v>
      </c>
      <c r="T259" s="1042">
        <f>COUNTIFS('TỔNG KLH + TN'!$B:$B,'01. TH'!$B259,'TỔNG KLH + TN'!$C:$C,'01. TH'!T$4)</f>
        <v>0</v>
      </c>
      <c r="U259" s="1042">
        <f>COUNTIFS('TỔNG KLH + TN'!$B:$B,'01. TH'!$B259,'TỔNG KLH + TN'!$C:$C,'01. TH'!U$4)</f>
        <v>0</v>
      </c>
      <c r="V259" s="1042">
        <f>COUNTIFS('TỔNG KLH + TN'!$B:$B,'01. TH'!$B259,'TỔNG KLH + TN'!$C:$C,'01. TH'!V$4)</f>
        <v>0</v>
      </c>
      <c r="W259" s="1042">
        <f>COUNTIFS('TỔNG KLH + TN'!$B:$B,'01. TH'!$B259,'TỔNG KLH + TN'!$C:$C,'01. TH'!W$4)</f>
        <v>0</v>
      </c>
      <c r="X259" s="1042">
        <f>COUNTIFS('TỔNG KLH + TN'!$B:$B,'01. TH'!$B259,'TỔNG KLH + TN'!$C:$C,'01. TH'!X$4)</f>
        <v>0</v>
      </c>
      <c r="Y259" s="1042">
        <f>COUNTIFS('TỔNG KLH + TN'!$B:$B,'01. TH'!$B259,'TỔNG KLH + TN'!$C:$C,'01. TH'!Y$4)</f>
        <v>0</v>
      </c>
      <c r="Z259" s="1042">
        <f>COUNTIFS('TỔNG KLH + TN'!$B:$B,'01. TH'!$B259,'TỔNG KLH + TN'!$C:$C,'01. TH'!Z$4)</f>
        <v>0</v>
      </c>
      <c r="AA259" s="1042">
        <f>COUNTIFS('TỔNG KLH + TN'!$B:$B,'01. TH'!$B259,'TỔNG KLH + TN'!$C:$C,'01. TH'!AA$4)</f>
        <v>0</v>
      </c>
      <c r="AB259" s="1042">
        <f>COUNTIFS('TỔNG KLH + TN'!$B:$B,'01. TH'!$B259,'TỔNG KLH + TN'!$C:$C,'01. TH'!AB$4)</f>
        <v>0</v>
      </c>
      <c r="AC259" s="1042">
        <f>COUNTIFS('TỔNG KLH + TN'!$B:$B,'01. TH'!$B259,'TỔNG KLH + TN'!$C:$C,'01. TH'!AC$4)</f>
        <v>0</v>
      </c>
      <c r="AD259" s="1042">
        <f>COUNTIFS('TỔNG KLH + TN'!$B:$B,'01. TH'!$B259,'TỔNG KLH + TN'!$C:$C,'01. TH'!AD$4)</f>
        <v>0</v>
      </c>
      <c r="AE259" s="1045">
        <f t="shared" si="52"/>
        <v>0</v>
      </c>
      <c r="AF259" s="1045"/>
      <c r="AG259" s="1033" t="str">
        <f t="shared" si="23"/>
        <v>ok</v>
      </c>
      <c r="AH259" s="1064"/>
    </row>
    <row r="260" ht="17.25" hidden="1" customHeight="1" outlineLevel="1" spans="1:34">
      <c r="A260" s="1061"/>
      <c r="B260" s="1066" t="s">
        <v>391</v>
      </c>
      <c r="C260" s="1063"/>
      <c r="D260" s="1063" t="s">
        <v>392</v>
      </c>
      <c r="E260" s="1063" t="s">
        <v>302</v>
      </c>
      <c r="F260" s="1042">
        <f>COUNTIFS('TỔNG KLH + TN'!$B:$B,'01. TH'!$B260,'TỔNG KLH + TN'!$C:$C,'01. TH'!F$4)</f>
        <v>0</v>
      </c>
      <c r="G260" s="1042">
        <f>COUNTIFS('TỔNG KLH + TN'!$B:$B,'01. TH'!$B260,'TỔNG KLH + TN'!$C:$C,'01. TH'!G$4)</f>
        <v>0</v>
      </c>
      <c r="H260" s="1042">
        <f>COUNTIFS('TỔNG KLH + TN'!$B:$B,'01. TH'!$B260,'TỔNG KLH + TN'!$C:$C,'01. TH'!H$4)</f>
        <v>0</v>
      </c>
      <c r="I260" s="1042">
        <f>COUNTIFS('TỔNG KLH + TN'!$B:$B,'01. TH'!$B260,'TỔNG KLH + TN'!$C:$C,'01. TH'!I$4)</f>
        <v>0</v>
      </c>
      <c r="J260" s="1042">
        <f>COUNTIFS('TỔNG KLH + TN'!$B:$B,'01. TH'!$B260,'TỔNG KLH + TN'!$C:$C,'01. TH'!J$4)</f>
        <v>0</v>
      </c>
      <c r="K260" s="1042">
        <f>COUNTIFS('TỔNG KLH + TN'!$B:$B,'01. TH'!$B260,'TỔNG KLH + TN'!$C:$C,'01. TH'!K$4)</f>
        <v>0</v>
      </c>
      <c r="L260" s="1042">
        <f>COUNTIFS('TỔNG KLH + TN'!$B:$B,'01. TH'!$B260,'TỔNG KLH + TN'!$C:$C,'01. TH'!L$4)</f>
        <v>0</v>
      </c>
      <c r="M260" s="1042">
        <f>COUNTIFS('TỔNG KLH + TN'!$B:$B,'01. TH'!$B260,'TỔNG KLH + TN'!$C:$C,'01. TH'!M$4)</f>
        <v>0</v>
      </c>
      <c r="N260" s="1042">
        <f>COUNTIFS('TỔNG KLH + TN'!$B:$B,'01. TH'!$B260,'TỔNG KLH + TN'!$C:$C,'01. TH'!N$4)</f>
        <v>0</v>
      </c>
      <c r="O260" s="1042">
        <f>COUNTIFS('TỔNG KLH + TN'!$B:$B,'01. TH'!$B260,'TỔNG KLH + TN'!$C:$C,'01. TH'!O$4)</f>
        <v>0</v>
      </c>
      <c r="P260" s="1042">
        <f>COUNTIFS('TỔNG KLH + TN'!$B:$B,'01. TH'!$B260,'TỔNG KLH + TN'!$C:$C,'01. TH'!P$4)</f>
        <v>0</v>
      </c>
      <c r="Q260" s="1042">
        <f>COUNTIFS('TỔNG KLH + TN'!$B:$B,'01. TH'!$B260,'TỔNG KLH + TN'!$C:$C,'01. TH'!Q$4)</f>
        <v>0</v>
      </c>
      <c r="R260" s="1042">
        <f>COUNTIFS('TỔNG KLH + TN'!$B:$B,'01. TH'!$B260,'TỔNG KLH + TN'!$C:$C,'01. TH'!R$4)</f>
        <v>0</v>
      </c>
      <c r="S260" s="1042">
        <f>COUNTIFS('TỔNG KLH + TN'!$B:$B,'01. TH'!$B260,'TỔNG KLH + TN'!$C:$C,'01. TH'!S$4)</f>
        <v>0</v>
      </c>
      <c r="T260" s="1042">
        <f>COUNTIFS('TỔNG KLH + TN'!$B:$B,'01. TH'!$B260,'TỔNG KLH + TN'!$C:$C,'01. TH'!T$4)</f>
        <v>0</v>
      </c>
      <c r="U260" s="1042">
        <f>COUNTIFS('TỔNG KLH + TN'!$B:$B,'01. TH'!$B260,'TỔNG KLH + TN'!$C:$C,'01. TH'!U$4)</f>
        <v>0</v>
      </c>
      <c r="V260" s="1042">
        <f>COUNTIFS('TỔNG KLH + TN'!$B:$B,'01. TH'!$B260,'TỔNG KLH + TN'!$C:$C,'01. TH'!V$4)</f>
        <v>0</v>
      </c>
      <c r="W260" s="1042">
        <f>COUNTIFS('TỔNG KLH + TN'!$B:$B,'01. TH'!$B260,'TỔNG KLH + TN'!$C:$C,'01. TH'!W$4)</f>
        <v>0</v>
      </c>
      <c r="X260" s="1042">
        <f>COUNTIFS('TỔNG KLH + TN'!$B:$B,'01. TH'!$B260,'TỔNG KLH + TN'!$C:$C,'01. TH'!X$4)</f>
        <v>0</v>
      </c>
      <c r="Y260" s="1042">
        <f>COUNTIFS('TỔNG KLH + TN'!$B:$B,'01. TH'!$B260,'TỔNG KLH + TN'!$C:$C,'01. TH'!Y$4)</f>
        <v>0</v>
      </c>
      <c r="Z260" s="1042">
        <f>COUNTIFS('TỔNG KLH + TN'!$B:$B,'01. TH'!$B260,'TỔNG KLH + TN'!$C:$C,'01. TH'!Z$4)</f>
        <v>0</v>
      </c>
      <c r="AA260" s="1042">
        <f>COUNTIFS('TỔNG KLH + TN'!$B:$B,'01. TH'!$B260,'TỔNG KLH + TN'!$C:$C,'01. TH'!AA$4)</f>
        <v>0</v>
      </c>
      <c r="AB260" s="1042">
        <f>COUNTIFS('TỔNG KLH + TN'!$B:$B,'01. TH'!$B260,'TỔNG KLH + TN'!$C:$C,'01. TH'!AB$4)</f>
        <v>0</v>
      </c>
      <c r="AC260" s="1042">
        <f>COUNTIFS('TỔNG KLH + TN'!$B:$B,'01. TH'!$B260,'TỔNG KLH + TN'!$C:$C,'01. TH'!AC$4)</f>
        <v>0</v>
      </c>
      <c r="AD260" s="1042">
        <f>COUNTIFS('TỔNG KLH + TN'!$B:$B,'01. TH'!$B260,'TỔNG KLH + TN'!$C:$C,'01. TH'!AD$4)</f>
        <v>0</v>
      </c>
      <c r="AE260" s="1045">
        <f t="shared" si="52"/>
        <v>0</v>
      </c>
      <c r="AF260" s="1045"/>
      <c r="AG260" s="1033" t="str">
        <f t="shared" si="23"/>
        <v>ok</v>
      </c>
      <c r="AH260" s="1064"/>
    </row>
    <row r="261" ht="17.25" hidden="1" customHeight="1" outlineLevel="1" spans="1:34">
      <c r="A261" s="1061"/>
      <c r="B261" s="1066" t="s">
        <v>393</v>
      </c>
      <c r="C261" s="1063"/>
      <c r="D261" s="1063" t="s">
        <v>394</v>
      </c>
      <c r="E261" s="1063" t="s">
        <v>302</v>
      </c>
      <c r="F261" s="1042">
        <f>COUNTIFS('TỔNG KLH + TN'!$B:$B,'01. TH'!$B261,'TỔNG KLH + TN'!$C:$C,'01. TH'!F$4)</f>
        <v>0</v>
      </c>
      <c r="G261" s="1042">
        <f>COUNTIFS('TỔNG KLH + TN'!$B:$B,'01. TH'!$B261,'TỔNG KLH + TN'!$C:$C,'01. TH'!G$4)</f>
        <v>0</v>
      </c>
      <c r="H261" s="1042">
        <f>COUNTIFS('TỔNG KLH + TN'!$B:$B,'01. TH'!$B261,'TỔNG KLH + TN'!$C:$C,'01. TH'!H$4)</f>
        <v>0</v>
      </c>
      <c r="I261" s="1042">
        <f>COUNTIFS('TỔNG KLH + TN'!$B:$B,'01. TH'!$B261,'TỔNG KLH + TN'!$C:$C,'01. TH'!I$4)</f>
        <v>0</v>
      </c>
      <c r="J261" s="1042">
        <f>COUNTIFS('TỔNG KLH + TN'!$B:$B,'01. TH'!$B261,'TỔNG KLH + TN'!$C:$C,'01. TH'!J$4)</f>
        <v>0</v>
      </c>
      <c r="K261" s="1042">
        <f>COUNTIFS('TỔNG KLH + TN'!$B:$B,'01. TH'!$B261,'TỔNG KLH + TN'!$C:$C,'01. TH'!K$4)</f>
        <v>0</v>
      </c>
      <c r="L261" s="1042">
        <f>COUNTIFS('TỔNG KLH + TN'!$B:$B,'01. TH'!$B261,'TỔNG KLH + TN'!$C:$C,'01. TH'!L$4)</f>
        <v>0</v>
      </c>
      <c r="M261" s="1042">
        <f>COUNTIFS('TỔNG KLH + TN'!$B:$B,'01. TH'!$B261,'TỔNG KLH + TN'!$C:$C,'01. TH'!M$4)</f>
        <v>0</v>
      </c>
      <c r="N261" s="1042">
        <f>COUNTIFS('TỔNG KLH + TN'!$B:$B,'01. TH'!$B261,'TỔNG KLH + TN'!$C:$C,'01. TH'!N$4)</f>
        <v>0</v>
      </c>
      <c r="O261" s="1042">
        <f>COUNTIFS('TỔNG KLH + TN'!$B:$B,'01. TH'!$B261,'TỔNG KLH + TN'!$C:$C,'01. TH'!O$4)</f>
        <v>0</v>
      </c>
      <c r="P261" s="1042">
        <f>COUNTIFS('TỔNG KLH + TN'!$B:$B,'01. TH'!$B261,'TỔNG KLH + TN'!$C:$C,'01. TH'!P$4)</f>
        <v>0</v>
      </c>
      <c r="Q261" s="1042">
        <f>COUNTIFS('TỔNG KLH + TN'!$B:$B,'01. TH'!$B261,'TỔNG KLH + TN'!$C:$C,'01. TH'!Q$4)</f>
        <v>0</v>
      </c>
      <c r="R261" s="1042">
        <f>COUNTIFS('TỔNG KLH + TN'!$B:$B,'01. TH'!$B261,'TỔNG KLH + TN'!$C:$C,'01. TH'!R$4)</f>
        <v>0</v>
      </c>
      <c r="S261" s="1042">
        <f>COUNTIFS('TỔNG KLH + TN'!$B:$B,'01. TH'!$B261,'TỔNG KLH + TN'!$C:$C,'01. TH'!S$4)</f>
        <v>0</v>
      </c>
      <c r="T261" s="1042">
        <f>COUNTIFS('TỔNG KLH + TN'!$B:$B,'01. TH'!$B261,'TỔNG KLH + TN'!$C:$C,'01. TH'!T$4)</f>
        <v>0</v>
      </c>
      <c r="U261" s="1042">
        <f>COUNTIFS('TỔNG KLH + TN'!$B:$B,'01. TH'!$B261,'TỔNG KLH + TN'!$C:$C,'01. TH'!U$4)</f>
        <v>0</v>
      </c>
      <c r="V261" s="1042">
        <f>COUNTIFS('TỔNG KLH + TN'!$B:$B,'01. TH'!$B261,'TỔNG KLH + TN'!$C:$C,'01. TH'!V$4)</f>
        <v>0</v>
      </c>
      <c r="W261" s="1042">
        <f>COUNTIFS('TỔNG KLH + TN'!$B:$B,'01. TH'!$B261,'TỔNG KLH + TN'!$C:$C,'01. TH'!W$4)</f>
        <v>0</v>
      </c>
      <c r="X261" s="1042">
        <f>COUNTIFS('TỔNG KLH + TN'!$B:$B,'01. TH'!$B261,'TỔNG KLH + TN'!$C:$C,'01. TH'!X$4)</f>
        <v>0</v>
      </c>
      <c r="Y261" s="1042">
        <f>COUNTIFS('TỔNG KLH + TN'!$B:$B,'01. TH'!$B261,'TỔNG KLH + TN'!$C:$C,'01. TH'!Y$4)</f>
        <v>0</v>
      </c>
      <c r="Z261" s="1042">
        <f>COUNTIFS('TỔNG KLH + TN'!$B:$B,'01. TH'!$B261,'TỔNG KLH + TN'!$C:$C,'01. TH'!Z$4)</f>
        <v>0</v>
      </c>
      <c r="AA261" s="1042">
        <f>COUNTIFS('TỔNG KLH + TN'!$B:$B,'01. TH'!$B261,'TỔNG KLH + TN'!$C:$C,'01. TH'!AA$4)</f>
        <v>0</v>
      </c>
      <c r="AB261" s="1042">
        <f>COUNTIFS('TỔNG KLH + TN'!$B:$B,'01. TH'!$B261,'TỔNG KLH + TN'!$C:$C,'01. TH'!AB$4)</f>
        <v>0</v>
      </c>
      <c r="AC261" s="1042">
        <f>COUNTIFS('TỔNG KLH + TN'!$B:$B,'01. TH'!$B261,'TỔNG KLH + TN'!$C:$C,'01. TH'!AC$4)</f>
        <v>0</v>
      </c>
      <c r="AD261" s="1042">
        <f>COUNTIFS('TỔNG KLH + TN'!$B:$B,'01. TH'!$B261,'TỔNG KLH + TN'!$C:$C,'01. TH'!AD$4)</f>
        <v>0</v>
      </c>
      <c r="AE261" s="1045">
        <f t="shared" si="52"/>
        <v>0</v>
      </c>
      <c r="AF261" s="1045"/>
      <c r="AG261" s="1033" t="str">
        <f t="shared" si="23"/>
        <v>ok</v>
      </c>
      <c r="AH261" s="1064"/>
    </row>
    <row r="262" ht="17.25" hidden="1" customHeight="1" outlineLevel="1" spans="1:34">
      <c r="A262" s="1061"/>
      <c r="B262" s="1067" t="s">
        <v>395</v>
      </c>
      <c r="C262" s="1063"/>
      <c r="D262" s="1063" t="s">
        <v>396</v>
      </c>
      <c r="E262" s="1063" t="s">
        <v>302</v>
      </c>
      <c r="F262" s="1042">
        <f>COUNTIFS('TỔNG KLH + TN'!$B:$B,'01. TH'!$B262,'TỔNG KLH + TN'!$C:$C,'01. TH'!F$4)</f>
        <v>0</v>
      </c>
      <c r="G262" s="1042">
        <f>COUNTIFS('TỔNG KLH + TN'!$B:$B,'01. TH'!$B262,'TỔNG KLH + TN'!$C:$C,'01. TH'!G$4)</f>
        <v>0</v>
      </c>
      <c r="H262" s="1042">
        <f>COUNTIFS('TỔNG KLH + TN'!$B:$B,'01. TH'!$B262,'TỔNG KLH + TN'!$C:$C,'01. TH'!H$4)</f>
        <v>0</v>
      </c>
      <c r="I262" s="1042">
        <f>COUNTIFS('TỔNG KLH + TN'!$B:$B,'01. TH'!$B262,'TỔNG KLH + TN'!$C:$C,'01. TH'!I$4)</f>
        <v>0</v>
      </c>
      <c r="J262" s="1042">
        <f>COUNTIFS('TỔNG KLH + TN'!$B:$B,'01. TH'!$B262,'TỔNG KLH + TN'!$C:$C,'01. TH'!J$4)</f>
        <v>0</v>
      </c>
      <c r="K262" s="1042">
        <f>COUNTIFS('TỔNG KLH + TN'!$B:$B,'01. TH'!$B262,'TỔNG KLH + TN'!$C:$C,'01. TH'!K$4)</f>
        <v>0</v>
      </c>
      <c r="L262" s="1042">
        <f>COUNTIFS('TỔNG KLH + TN'!$B:$B,'01. TH'!$B262,'TỔNG KLH + TN'!$C:$C,'01. TH'!L$4)</f>
        <v>0</v>
      </c>
      <c r="M262" s="1042">
        <f>COUNTIFS('TỔNG KLH + TN'!$B:$B,'01. TH'!$B262,'TỔNG KLH + TN'!$C:$C,'01. TH'!M$4)</f>
        <v>0</v>
      </c>
      <c r="N262" s="1042">
        <f>COUNTIFS('TỔNG KLH + TN'!$B:$B,'01. TH'!$B262,'TỔNG KLH + TN'!$C:$C,'01. TH'!N$4)</f>
        <v>0</v>
      </c>
      <c r="O262" s="1042">
        <f>COUNTIFS('TỔNG KLH + TN'!$B:$B,'01. TH'!$B262,'TỔNG KLH + TN'!$C:$C,'01. TH'!O$4)</f>
        <v>0</v>
      </c>
      <c r="P262" s="1042">
        <f>COUNTIFS('TỔNG KLH + TN'!$B:$B,'01. TH'!$B262,'TỔNG KLH + TN'!$C:$C,'01. TH'!P$4)</f>
        <v>0</v>
      </c>
      <c r="Q262" s="1042">
        <f>COUNTIFS('TỔNG KLH + TN'!$B:$B,'01. TH'!$B262,'TỔNG KLH + TN'!$C:$C,'01. TH'!Q$4)</f>
        <v>0</v>
      </c>
      <c r="R262" s="1042">
        <f>COUNTIFS('TỔNG KLH + TN'!$B:$B,'01. TH'!$B262,'TỔNG KLH + TN'!$C:$C,'01. TH'!R$4)</f>
        <v>0</v>
      </c>
      <c r="S262" s="1042">
        <f>COUNTIFS('TỔNG KLH + TN'!$B:$B,'01. TH'!$B262,'TỔNG KLH + TN'!$C:$C,'01. TH'!S$4)</f>
        <v>0</v>
      </c>
      <c r="T262" s="1042">
        <f>COUNTIFS('TỔNG KLH + TN'!$B:$B,'01. TH'!$B262,'TỔNG KLH + TN'!$C:$C,'01. TH'!T$4)</f>
        <v>0</v>
      </c>
      <c r="U262" s="1042">
        <f>COUNTIFS('TỔNG KLH + TN'!$B:$B,'01. TH'!$B262,'TỔNG KLH + TN'!$C:$C,'01. TH'!U$4)</f>
        <v>0</v>
      </c>
      <c r="V262" s="1042">
        <f>COUNTIFS('TỔNG KLH + TN'!$B:$B,'01. TH'!$B262,'TỔNG KLH + TN'!$C:$C,'01. TH'!V$4)</f>
        <v>0</v>
      </c>
      <c r="W262" s="1042">
        <f>COUNTIFS('TỔNG KLH + TN'!$B:$B,'01. TH'!$B262,'TỔNG KLH + TN'!$C:$C,'01. TH'!W$4)</f>
        <v>0</v>
      </c>
      <c r="X262" s="1042">
        <f>COUNTIFS('TỔNG KLH + TN'!$B:$B,'01. TH'!$B262,'TỔNG KLH + TN'!$C:$C,'01. TH'!X$4)</f>
        <v>0</v>
      </c>
      <c r="Y262" s="1042">
        <f>COUNTIFS('TỔNG KLH + TN'!$B:$B,'01. TH'!$B262,'TỔNG KLH + TN'!$C:$C,'01. TH'!Y$4)</f>
        <v>0</v>
      </c>
      <c r="Z262" s="1042">
        <f>COUNTIFS('TỔNG KLH + TN'!$B:$B,'01. TH'!$B262,'TỔNG KLH + TN'!$C:$C,'01. TH'!Z$4)</f>
        <v>0</v>
      </c>
      <c r="AA262" s="1042">
        <f>COUNTIFS('TỔNG KLH + TN'!$B:$B,'01. TH'!$B262,'TỔNG KLH + TN'!$C:$C,'01. TH'!AA$4)</f>
        <v>0</v>
      </c>
      <c r="AB262" s="1042">
        <f>COUNTIFS('TỔNG KLH + TN'!$B:$B,'01. TH'!$B262,'TỔNG KLH + TN'!$C:$C,'01. TH'!AB$4)</f>
        <v>0</v>
      </c>
      <c r="AC262" s="1042">
        <f>COUNTIFS('TỔNG KLH + TN'!$B:$B,'01. TH'!$B262,'TỔNG KLH + TN'!$C:$C,'01. TH'!AC$4)</f>
        <v>0</v>
      </c>
      <c r="AD262" s="1042">
        <f>COUNTIFS('TỔNG KLH + TN'!$B:$B,'01. TH'!$B262,'TỔNG KLH + TN'!$C:$C,'01. TH'!AD$4)</f>
        <v>0</v>
      </c>
      <c r="AE262" s="1045">
        <f t="shared" si="52"/>
        <v>0</v>
      </c>
      <c r="AF262" s="1045"/>
      <c r="AG262" s="1033" t="str">
        <f t="shared" si="23"/>
        <v>ok</v>
      </c>
      <c r="AH262" s="1064"/>
    </row>
    <row r="263" ht="17.25" hidden="1" customHeight="1" outlineLevel="1" spans="1:34">
      <c r="A263" s="1061"/>
      <c r="B263" s="1067" t="s">
        <v>397</v>
      </c>
      <c r="C263" s="1063"/>
      <c r="D263" s="1063" t="s">
        <v>398</v>
      </c>
      <c r="E263" s="1063" t="s">
        <v>302</v>
      </c>
      <c r="F263" s="1042">
        <f>COUNTIFS('TỔNG KLH + TN'!$B:$B,'01. TH'!$B263,'TỔNG KLH + TN'!$C:$C,'01. TH'!F$4)</f>
        <v>0</v>
      </c>
      <c r="G263" s="1042">
        <f>COUNTIFS('TỔNG KLH + TN'!$B:$B,'01. TH'!$B263,'TỔNG KLH + TN'!$C:$C,'01. TH'!G$4)</f>
        <v>0</v>
      </c>
      <c r="H263" s="1042">
        <f>COUNTIFS('TỔNG KLH + TN'!$B:$B,'01. TH'!$B263,'TỔNG KLH + TN'!$C:$C,'01. TH'!H$4)</f>
        <v>0</v>
      </c>
      <c r="I263" s="1042">
        <f>COUNTIFS('TỔNG KLH + TN'!$B:$B,'01. TH'!$B263,'TỔNG KLH + TN'!$C:$C,'01. TH'!I$4)</f>
        <v>0</v>
      </c>
      <c r="J263" s="1042">
        <f>COUNTIFS('TỔNG KLH + TN'!$B:$B,'01. TH'!$B263,'TỔNG KLH + TN'!$C:$C,'01. TH'!J$4)</f>
        <v>0</v>
      </c>
      <c r="K263" s="1042">
        <f>COUNTIFS('TỔNG KLH + TN'!$B:$B,'01. TH'!$B263,'TỔNG KLH + TN'!$C:$C,'01. TH'!K$4)</f>
        <v>0</v>
      </c>
      <c r="L263" s="1042">
        <f>COUNTIFS('TỔNG KLH + TN'!$B:$B,'01. TH'!$B263,'TỔNG KLH + TN'!$C:$C,'01. TH'!L$4)</f>
        <v>0</v>
      </c>
      <c r="M263" s="1042">
        <f>COUNTIFS('TỔNG KLH + TN'!$B:$B,'01. TH'!$B263,'TỔNG KLH + TN'!$C:$C,'01. TH'!M$4)</f>
        <v>0</v>
      </c>
      <c r="N263" s="1042">
        <f>COUNTIFS('TỔNG KLH + TN'!$B:$B,'01. TH'!$B263,'TỔNG KLH + TN'!$C:$C,'01. TH'!N$4)</f>
        <v>0</v>
      </c>
      <c r="O263" s="1042">
        <f>COUNTIFS('TỔNG KLH + TN'!$B:$B,'01. TH'!$B263,'TỔNG KLH + TN'!$C:$C,'01. TH'!O$4)</f>
        <v>0</v>
      </c>
      <c r="P263" s="1042">
        <f>COUNTIFS('TỔNG KLH + TN'!$B:$B,'01. TH'!$B263,'TỔNG KLH + TN'!$C:$C,'01. TH'!P$4)</f>
        <v>0</v>
      </c>
      <c r="Q263" s="1042">
        <f>COUNTIFS('TỔNG KLH + TN'!$B:$B,'01. TH'!$B263,'TỔNG KLH + TN'!$C:$C,'01. TH'!Q$4)</f>
        <v>0</v>
      </c>
      <c r="R263" s="1042">
        <f>COUNTIFS('TỔNG KLH + TN'!$B:$B,'01. TH'!$B263,'TỔNG KLH + TN'!$C:$C,'01. TH'!R$4)</f>
        <v>0</v>
      </c>
      <c r="S263" s="1042">
        <f>COUNTIFS('TỔNG KLH + TN'!$B:$B,'01. TH'!$B263,'TỔNG KLH + TN'!$C:$C,'01. TH'!S$4)</f>
        <v>0</v>
      </c>
      <c r="T263" s="1042">
        <f>COUNTIFS('TỔNG KLH + TN'!$B:$B,'01. TH'!$B263,'TỔNG KLH + TN'!$C:$C,'01. TH'!T$4)</f>
        <v>0</v>
      </c>
      <c r="U263" s="1042">
        <f>COUNTIFS('TỔNG KLH + TN'!$B:$B,'01. TH'!$B263,'TỔNG KLH + TN'!$C:$C,'01. TH'!U$4)</f>
        <v>0</v>
      </c>
      <c r="V263" s="1042">
        <f>COUNTIFS('TỔNG KLH + TN'!$B:$B,'01. TH'!$B263,'TỔNG KLH + TN'!$C:$C,'01. TH'!V$4)</f>
        <v>0</v>
      </c>
      <c r="W263" s="1042">
        <f>COUNTIFS('TỔNG KLH + TN'!$B:$B,'01. TH'!$B263,'TỔNG KLH + TN'!$C:$C,'01. TH'!W$4)</f>
        <v>0</v>
      </c>
      <c r="X263" s="1042">
        <f>COUNTIFS('TỔNG KLH + TN'!$B:$B,'01. TH'!$B263,'TỔNG KLH + TN'!$C:$C,'01. TH'!X$4)</f>
        <v>0</v>
      </c>
      <c r="Y263" s="1042">
        <f>COUNTIFS('TỔNG KLH + TN'!$B:$B,'01. TH'!$B263,'TỔNG KLH + TN'!$C:$C,'01. TH'!Y$4)</f>
        <v>0</v>
      </c>
      <c r="Z263" s="1042">
        <f>COUNTIFS('TỔNG KLH + TN'!$B:$B,'01. TH'!$B263,'TỔNG KLH + TN'!$C:$C,'01. TH'!Z$4)</f>
        <v>0</v>
      </c>
      <c r="AA263" s="1042">
        <f>COUNTIFS('TỔNG KLH + TN'!$B:$B,'01. TH'!$B263,'TỔNG KLH + TN'!$C:$C,'01. TH'!AA$4)</f>
        <v>0</v>
      </c>
      <c r="AB263" s="1042">
        <f>COUNTIFS('TỔNG KLH + TN'!$B:$B,'01. TH'!$B263,'TỔNG KLH + TN'!$C:$C,'01. TH'!AB$4)</f>
        <v>0</v>
      </c>
      <c r="AC263" s="1042">
        <f>COUNTIFS('TỔNG KLH + TN'!$B:$B,'01. TH'!$B263,'TỔNG KLH + TN'!$C:$C,'01. TH'!AC$4)</f>
        <v>0</v>
      </c>
      <c r="AD263" s="1042">
        <f>COUNTIFS('TỔNG KLH + TN'!$B:$B,'01. TH'!$B263,'TỔNG KLH + TN'!$C:$C,'01. TH'!AD$4)</f>
        <v>0</v>
      </c>
      <c r="AE263" s="1045">
        <f t="shared" si="52"/>
        <v>0</v>
      </c>
      <c r="AF263" s="1045"/>
      <c r="AG263" s="1033" t="str">
        <f t="shared" si="23"/>
        <v>ok</v>
      </c>
      <c r="AH263" s="1064"/>
    </row>
    <row r="264" ht="17.25" hidden="1" customHeight="1" outlineLevel="1" spans="1:34">
      <c r="A264" s="1061"/>
      <c r="B264" s="1066" t="s">
        <v>399</v>
      </c>
      <c r="C264" s="1063"/>
      <c r="D264" s="1063" t="s">
        <v>400</v>
      </c>
      <c r="E264" s="1063" t="s">
        <v>302</v>
      </c>
      <c r="F264" s="1042">
        <f>COUNTIFS('TỔNG KLH + TN'!$B:$B,'01. TH'!$B264,'TỔNG KLH + TN'!$C:$C,'01. TH'!F$4)</f>
        <v>0</v>
      </c>
      <c r="G264" s="1042">
        <f>COUNTIFS('TỔNG KLH + TN'!$B:$B,'01. TH'!$B264,'TỔNG KLH + TN'!$C:$C,'01. TH'!G$4)</f>
        <v>0</v>
      </c>
      <c r="H264" s="1042">
        <f>COUNTIFS('TỔNG KLH + TN'!$B:$B,'01. TH'!$B264,'TỔNG KLH + TN'!$C:$C,'01. TH'!H$4)</f>
        <v>0</v>
      </c>
      <c r="I264" s="1042">
        <f>COUNTIFS('TỔNG KLH + TN'!$B:$B,'01. TH'!$B264,'TỔNG KLH + TN'!$C:$C,'01. TH'!I$4)</f>
        <v>0</v>
      </c>
      <c r="J264" s="1042">
        <f>COUNTIFS('TỔNG KLH + TN'!$B:$B,'01. TH'!$B264,'TỔNG KLH + TN'!$C:$C,'01. TH'!J$4)</f>
        <v>0</v>
      </c>
      <c r="K264" s="1042">
        <f>COUNTIFS('TỔNG KLH + TN'!$B:$B,'01. TH'!$B264,'TỔNG KLH + TN'!$C:$C,'01. TH'!K$4)</f>
        <v>0</v>
      </c>
      <c r="L264" s="1042">
        <f>COUNTIFS('TỔNG KLH + TN'!$B:$B,'01. TH'!$B264,'TỔNG KLH + TN'!$C:$C,'01. TH'!L$4)</f>
        <v>0</v>
      </c>
      <c r="M264" s="1042">
        <f>COUNTIFS('TỔNG KLH + TN'!$B:$B,'01. TH'!$B264,'TỔNG KLH + TN'!$C:$C,'01. TH'!M$4)</f>
        <v>0</v>
      </c>
      <c r="N264" s="1042">
        <f>COUNTIFS('TỔNG KLH + TN'!$B:$B,'01. TH'!$B264,'TỔNG KLH + TN'!$C:$C,'01. TH'!N$4)</f>
        <v>0</v>
      </c>
      <c r="O264" s="1042">
        <f>COUNTIFS('TỔNG KLH + TN'!$B:$B,'01. TH'!$B264,'TỔNG KLH + TN'!$C:$C,'01. TH'!O$4)</f>
        <v>0</v>
      </c>
      <c r="P264" s="1042">
        <f>COUNTIFS('TỔNG KLH + TN'!$B:$B,'01. TH'!$B264,'TỔNG KLH + TN'!$C:$C,'01. TH'!P$4)</f>
        <v>0</v>
      </c>
      <c r="Q264" s="1042">
        <f>COUNTIFS('TỔNG KLH + TN'!$B:$B,'01. TH'!$B264,'TỔNG KLH + TN'!$C:$C,'01. TH'!Q$4)</f>
        <v>0</v>
      </c>
      <c r="R264" s="1042">
        <f>COUNTIFS('TỔNG KLH + TN'!$B:$B,'01. TH'!$B264,'TỔNG KLH + TN'!$C:$C,'01. TH'!R$4)</f>
        <v>0</v>
      </c>
      <c r="S264" s="1042">
        <f>COUNTIFS('TỔNG KLH + TN'!$B:$B,'01. TH'!$B264,'TỔNG KLH + TN'!$C:$C,'01. TH'!S$4)</f>
        <v>0</v>
      </c>
      <c r="T264" s="1042">
        <f>COUNTIFS('TỔNG KLH + TN'!$B:$B,'01. TH'!$B264,'TỔNG KLH + TN'!$C:$C,'01. TH'!T$4)</f>
        <v>0</v>
      </c>
      <c r="U264" s="1042">
        <f>COUNTIFS('TỔNG KLH + TN'!$B:$B,'01. TH'!$B264,'TỔNG KLH + TN'!$C:$C,'01. TH'!U$4)</f>
        <v>0</v>
      </c>
      <c r="V264" s="1042">
        <f>COUNTIFS('TỔNG KLH + TN'!$B:$B,'01. TH'!$B264,'TỔNG KLH + TN'!$C:$C,'01. TH'!V$4)</f>
        <v>0</v>
      </c>
      <c r="W264" s="1042">
        <f>COUNTIFS('TỔNG KLH + TN'!$B:$B,'01. TH'!$B264,'TỔNG KLH + TN'!$C:$C,'01. TH'!W$4)</f>
        <v>0</v>
      </c>
      <c r="X264" s="1042">
        <f>COUNTIFS('TỔNG KLH + TN'!$B:$B,'01. TH'!$B264,'TỔNG KLH + TN'!$C:$C,'01. TH'!X$4)</f>
        <v>0</v>
      </c>
      <c r="Y264" s="1042">
        <f>COUNTIFS('TỔNG KLH + TN'!$B:$B,'01. TH'!$B264,'TỔNG KLH + TN'!$C:$C,'01. TH'!Y$4)</f>
        <v>0</v>
      </c>
      <c r="Z264" s="1042">
        <f>COUNTIFS('TỔNG KLH + TN'!$B:$B,'01. TH'!$B264,'TỔNG KLH + TN'!$C:$C,'01. TH'!Z$4)</f>
        <v>0</v>
      </c>
      <c r="AA264" s="1042">
        <f>COUNTIFS('TỔNG KLH + TN'!$B:$B,'01. TH'!$B264,'TỔNG KLH + TN'!$C:$C,'01. TH'!AA$4)</f>
        <v>0</v>
      </c>
      <c r="AB264" s="1042">
        <f>COUNTIFS('TỔNG KLH + TN'!$B:$B,'01. TH'!$B264,'TỔNG KLH + TN'!$C:$C,'01. TH'!AB$4)</f>
        <v>0</v>
      </c>
      <c r="AC264" s="1042">
        <f>COUNTIFS('TỔNG KLH + TN'!$B:$B,'01. TH'!$B264,'TỔNG KLH + TN'!$C:$C,'01. TH'!AC$4)</f>
        <v>0</v>
      </c>
      <c r="AD264" s="1042">
        <f>COUNTIFS('TỔNG KLH + TN'!$B:$B,'01. TH'!$B264,'TỔNG KLH + TN'!$C:$C,'01. TH'!AD$4)</f>
        <v>0</v>
      </c>
      <c r="AE264" s="1045">
        <f t="shared" si="52"/>
        <v>0</v>
      </c>
      <c r="AF264" s="1045"/>
      <c r="AG264" s="1033" t="str">
        <f t="shared" si="23"/>
        <v>ok</v>
      </c>
      <c r="AH264" s="1064"/>
    </row>
    <row r="265" ht="17.25" hidden="1" customHeight="1" outlineLevel="1" spans="1:34">
      <c r="A265" s="1039"/>
      <c r="B265" s="1068" t="s">
        <v>401</v>
      </c>
      <c r="C265" s="1041"/>
      <c r="D265" s="1041" t="s">
        <v>402</v>
      </c>
      <c r="E265" s="1063" t="s">
        <v>302</v>
      </c>
      <c r="F265" s="1042">
        <f>COUNTIFS('TỔNG KLH + TN'!$B:$B,'01. TH'!$B265,'TỔNG KLH + TN'!$C:$C,'01. TH'!F$4)</f>
        <v>0</v>
      </c>
      <c r="G265" s="1042">
        <f>COUNTIFS('TỔNG KLH + TN'!$B:$B,'01. TH'!$B265,'TỔNG KLH + TN'!$C:$C,'01. TH'!G$4)</f>
        <v>1</v>
      </c>
      <c r="H265" s="1042">
        <f>COUNTIFS('TỔNG KLH + TN'!$B:$B,'01. TH'!$B265,'TỔNG KLH + TN'!$C:$C,'01. TH'!H$4)</f>
        <v>0</v>
      </c>
      <c r="I265" s="1042">
        <f>COUNTIFS('TỔNG KLH + TN'!$B:$B,'01. TH'!$B265,'TỔNG KLH + TN'!$C:$C,'01. TH'!I$4)</f>
        <v>0</v>
      </c>
      <c r="J265" s="1042">
        <f>COUNTIFS('TỔNG KLH + TN'!$B:$B,'01. TH'!$B265,'TỔNG KLH + TN'!$C:$C,'01. TH'!J$4)</f>
        <v>0</v>
      </c>
      <c r="K265" s="1042">
        <f>COUNTIFS('TỔNG KLH + TN'!$B:$B,'01. TH'!$B265,'TỔNG KLH + TN'!$C:$C,'01. TH'!K$4)</f>
        <v>0</v>
      </c>
      <c r="L265" s="1042">
        <f>COUNTIFS('TỔNG KLH + TN'!$B:$B,'01. TH'!$B265,'TỔNG KLH + TN'!$C:$C,'01. TH'!L$4)</f>
        <v>0</v>
      </c>
      <c r="M265" s="1042">
        <f>COUNTIFS('TỔNG KLH + TN'!$B:$B,'01. TH'!$B265,'TỔNG KLH + TN'!$C:$C,'01. TH'!M$4)</f>
        <v>0</v>
      </c>
      <c r="N265" s="1042">
        <f>COUNTIFS('TỔNG KLH + TN'!$B:$B,'01. TH'!$B265,'TỔNG KLH + TN'!$C:$C,'01. TH'!N$4)</f>
        <v>0</v>
      </c>
      <c r="O265" s="1042">
        <f>COUNTIFS('TỔNG KLH + TN'!$B:$B,'01. TH'!$B265,'TỔNG KLH + TN'!$C:$C,'01. TH'!O$4)</f>
        <v>0</v>
      </c>
      <c r="P265" s="1042">
        <f>COUNTIFS('TỔNG KLH + TN'!$B:$B,'01. TH'!$B265,'TỔNG KLH + TN'!$C:$C,'01. TH'!P$4)</f>
        <v>0</v>
      </c>
      <c r="Q265" s="1042">
        <f>COUNTIFS('TỔNG KLH + TN'!$B:$B,'01. TH'!$B265,'TỔNG KLH + TN'!$C:$C,'01. TH'!Q$4)</f>
        <v>3</v>
      </c>
      <c r="R265" s="1042">
        <f>COUNTIFS('TỔNG KLH + TN'!$B:$B,'01. TH'!$B265,'TỔNG KLH + TN'!$C:$C,'01. TH'!R$4)</f>
        <v>0</v>
      </c>
      <c r="S265" s="1042">
        <f>COUNTIFS('TỔNG KLH + TN'!$B:$B,'01. TH'!$B265,'TỔNG KLH + TN'!$C:$C,'01. TH'!S$4)</f>
        <v>0</v>
      </c>
      <c r="T265" s="1042">
        <f>COUNTIFS('TỔNG KLH + TN'!$B:$B,'01. TH'!$B265,'TỔNG KLH + TN'!$C:$C,'01. TH'!T$4)</f>
        <v>0</v>
      </c>
      <c r="U265" s="1042">
        <f>COUNTIFS('TỔNG KLH + TN'!$B:$B,'01. TH'!$B265,'TỔNG KLH + TN'!$C:$C,'01. TH'!U$4)</f>
        <v>0</v>
      </c>
      <c r="V265" s="1042">
        <f>COUNTIFS('TỔNG KLH + TN'!$B:$B,'01. TH'!$B265,'TỔNG KLH + TN'!$C:$C,'01. TH'!V$4)</f>
        <v>0</v>
      </c>
      <c r="W265" s="1042">
        <f>COUNTIFS('TỔNG KLH + TN'!$B:$B,'01. TH'!$B265,'TỔNG KLH + TN'!$C:$C,'01. TH'!W$4)</f>
        <v>0</v>
      </c>
      <c r="X265" s="1042">
        <f>COUNTIFS('TỔNG KLH + TN'!$B:$B,'01. TH'!$B265,'TỔNG KLH + TN'!$C:$C,'01. TH'!X$4)</f>
        <v>0</v>
      </c>
      <c r="Y265" s="1042">
        <f>COUNTIFS('TỔNG KLH + TN'!$B:$B,'01. TH'!$B265,'TỔNG KLH + TN'!$C:$C,'01. TH'!Y$4)</f>
        <v>0</v>
      </c>
      <c r="Z265" s="1042">
        <f>COUNTIFS('TỔNG KLH + TN'!$B:$B,'01. TH'!$B265,'TỔNG KLH + TN'!$C:$C,'01. TH'!Z$4)</f>
        <v>0</v>
      </c>
      <c r="AA265" s="1042">
        <f>COUNTIFS('TỔNG KLH + TN'!$B:$B,'01. TH'!$B265,'TỔNG KLH + TN'!$C:$C,'01. TH'!AA$4)</f>
        <v>0</v>
      </c>
      <c r="AB265" s="1042">
        <f>COUNTIFS('TỔNG KLH + TN'!$B:$B,'01. TH'!$B265,'TỔNG KLH + TN'!$C:$C,'01. TH'!AB$4)</f>
        <v>0</v>
      </c>
      <c r="AC265" s="1042">
        <f>COUNTIFS('TỔNG KLH + TN'!$B:$B,'01. TH'!$B265,'TỔNG KLH + TN'!$C:$C,'01. TH'!AC$4)</f>
        <v>0</v>
      </c>
      <c r="AD265" s="1042">
        <f>COUNTIFS('TỔNG KLH + TN'!$B:$B,'01. TH'!$B265,'TỔNG KLH + TN'!$C:$C,'01. TH'!AD$4)</f>
        <v>0</v>
      </c>
      <c r="AE265" s="1043">
        <f t="shared" si="52"/>
        <v>4</v>
      </c>
      <c r="AF265" s="1043"/>
      <c r="AG265" s="1033" t="str">
        <f t="shared" si="23"/>
        <v>ok</v>
      </c>
      <c r="AH265" s="1039"/>
    </row>
    <row r="266" ht="17.25" hidden="1" customHeight="1" outlineLevel="1" spans="1:34">
      <c r="A266" s="1061"/>
      <c r="B266" s="1066" t="s">
        <v>403</v>
      </c>
      <c r="C266" s="1041"/>
      <c r="D266" s="1041" t="s">
        <v>402</v>
      </c>
      <c r="E266" s="1063" t="s">
        <v>302</v>
      </c>
      <c r="F266" s="1042">
        <f>COUNTIFS('TỔNG KLH + TN'!$B:$B,'01. TH'!$B266,'TỔNG KLH + TN'!$C:$C,'01. TH'!F$4)</f>
        <v>0</v>
      </c>
      <c r="G266" s="1042">
        <f>COUNTIFS('TỔNG KLH + TN'!$B:$B,'01. TH'!$B266,'TỔNG KLH + TN'!$C:$C,'01. TH'!G$4)</f>
        <v>0</v>
      </c>
      <c r="H266" s="1042">
        <f>COUNTIFS('TỔNG KLH + TN'!$B:$B,'01. TH'!$B266,'TỔNG KLH + TN'!$C:$C,'01. TH'!H$4)</f>
        <v>0</v>
      </c>
      <c r="I266" s="1042">
        <f>COUNTIFS('TỔNG KLH + TN'!$B:$B,'01. TH'!$B266,'TỔNG KLH + TN'!$C:$C,'01. TH'!I$4)</f>
        <v>0</v>
      </c>
      <c r="J266" s="1042">
        <f>COUNTIFS('TỔNG KLH + TN'!$B:$B,'01. TH'!$B266,'TỔNG KLH + TN'!$C:$C,'01. TH'!J$4)</f>
        <v>0</v>
      </c>
      <c r="K266" s="1042">
        <f>COUNTIFS('TỔNG KLH + TN'!$B:$B,'01. TH'!$B266,'TỔNG KLH + TN'!$C:$C,'01. TH'!K$4)</f>
        <v>0</v>
      </c>
      <c r="L266" s="1042">
        <f>COUNTIFS('TỔNG KLH + TN'!$B:$B,'01. TH'!$B266,'TỔNG KLH + TN'!$C:$C,'01. TH'!L$4)</f>
        <v>0</v>
      </c>
      <c r="M266" s="1042">
        <f>COUNTIFS('TỔNG KLH + TN'!$B:$B,'01. TH'!$B266,'TỔNG KLH + TN'!$C:$C,'01. TH'!M$4)</f>
        <v>0</v>
      </c>
      <c r="N266" s="1042">
        <f>COUNTIFS('TỔNG KLH + TN'!$B:$B,'01. TH'!$B266,'TỔNG KLH + TN'!$C:$C,'01. TH'!N$4)</f>
        <v>0</v>
      </c>
      <c r="O266" s="1042">
        <f>COUNTIFS('TỔNG KLH + TN'!$B:$B,'01. TH'!$B266,'TỔNG KLH + TN'!$C:$C,'01. TH'!O$4)</f>
        <v>0</v>
      </c>
      <c r="P266" s="1042">
        <f>COUNTIFS('TỔNG KLH + TN'!$B:$B,'01. TH'!$B266,'TỔNG KLH + TN'!$C:$C,'01. TH'!P$4)</f>
        <v>0</v>
      </c>
      <c r="Q266" s="1042">
        <f>COUNTIFS('TỔNG KLH + TN'!$B:$B,'01. TH'!$B266,'TỔNG KLH + TN'!$C:$C,'01. TH'!Q$4)</f>
        <v>0</v>
      </c>
      <c r="R266" s="1042">
        <f>COUNTIFS('TỔNG KLH + TN'!$B:$B,'01. TH'!$B266,'TỔNG KLH + TN'!$C:$C,'01. TH'!R$4)</f>
        <v>0</v>
      </c>
      <c r="S266" s="1042">
        <f>COUNTIFS('TỔNG KLH + TN'!$B:$B,'01. TH'!$B266,'TỔNG KLH + TN'!$C:$C,'01. TH'!S$4)</f>
        <v>0</v>
      </c>
      <c r="T266" s="1042">
        <f>COUNTIFS('TỔNG KLH + TN'!$B:$B,'01. TH'!$B266,'TỔNG KLH + TN'!$C:$C,'01. TH'!T$4)</f>
        <v>0</v>
      </c>
      <c r="U266" s="1042">
        <f>COUNTIFS('TỔNG KLH + TN'!$B:$B,'01. TH'!$B266,'TỔNG KLH + TN'!$C:$C,'01. TH'!U$4)</f>
        <v>0</v>
      </c>
      <c r="V266" s="1042">
        <f>COUNTIFS('TỔNG KLH + TN'!$B:$B,'01. TH'!$B266,'TỔNG KLH + TN'!$C:$C,'01. TH'!V$4)</f>
        <v>0</v>
      </c>
      <c r="W266" s="1042">
        <f>COUNTIFS('TỔNG KLH + TN'!$B:$B,'01. TH'!$B266,'TỔNG KLH + TN'!$C:$C,'01. TH'!W$4)</f>
        <v>0</v>
      </c>
      <c r="X266" s="1042">
        <f>COUNTIFS('TỔNG KLH + TN'!$B:$B,'01. TH'!$B266,'TỔNG KLH + TN'!$C:$C,'01. TH'!X$4)</f>
        <v>0</v>
      </c>
      <c r="Y266" s="1042">
        <f>COUNTIFS('TỔNG KLH + TN'!$B:$B,'01. TH'!$B266,'TỔNG KLH + TN'!$C:$C,'01. TH'!Y$4)</f>
        <v>0</v>
      </c>
      <c r="Z266" s="1042">
        <f>COUNTIFS('TỔNG KLH + TN'!$B:$B,'01. TH'!$B266,'TỔNG KLH + TN'!$C:$C,'01. TH'!Z$4)</f>
        <v>0</v>
      </c>
      <c r="AA266" s="1042">
        <f>COUNTIFS('TỔNG KLH + TN'!$B:$B,'01. TH'!$B266,'TỔNG KLH + TN'!$C:$C,'01. TH'!AA$4)</f>
        <v>0</v>
      </c>
      <c r="AB266" s="1042">
        <f>COUNTIFS('TỔNG KLH + TN'!$B:$B,'01. TH'!$B266,'TỔNG KLH + TN'!$C:$C,'01. TH'!AB$4)</f>
        <v>0</v>
      </c>
      <c r="AC266" s="1042">
        <f>COUNTIFS('TỔNG KLH + TN'!$B:$B,'01. TH'!$B266,'TỔNG KLH + TN'!$C:$C,'01. TH'!AC$4)</f>
        <v>0</v>
      </c>
      <c r="AD266" s="1042">
        <f>COUNTIFS('TỔNG KLH + TN'!$B:$B,'01. TH'!$B266,'TỔNG KLH + TN'!$C:$C,'01. TH'!AD$4)</f>
        <v>0</v>
      </c>
      <c r="AE266" s="1045">
        <f t="shared" si="52"/>
        <v>0</v>
      </c>
      <c r="AF266" s="1045"/>
      <c r="AG266" s="1033" t="str">
        <f t="shared" si="23"/>
        <v>ok</v>
      </c>
      <c r="AH266" s="1064"/>
    </row>
    <row r="267" ht="17.25" hidden="1" customHeight="1" outlineLevel="1" spans="1:34">
      <c r="A267" s="1061"/>
      <c r="B267" s="1066" t="s">
        <v>404</v>
      </c>
      <c r="C267" s="1041"/>
      <c r="D267" s="1041" t="s">
        <v>402</v>
      </c>
      <c r="E267" s="1063" t="s">
        <v>302</v>
      </c>
      <c r="F267" s="1042">
        <f>COUNTIFS('TỔNG KLH + TN'!$B:$B,'01. TH'!$B267,'TỔNG KLH + TN'!$C:$C,'01. TH'!F$4)</f>
        <v>0</v>
      </c>
      <c r="G267" s="1042">
        <f>COUNTIFS('TỔNG KLH + TN'!$B:$B,'01. TH'!$B267,'TỔNG KLH + TN'!$C:$C,'01. TH'!G$4)</f>
        <v>0</v>
      </c>
      <c r="H267" s="1042">
        <f>COUNTIFS('TỔNG KLH + TN'!$B:$B,'01. TH'!$B267,'TỔNG KLH + TN'!$C:$C,'01. TH'!H$4)</f>
        <v>0</v>
      </c>
      <c r="I267" s="1042">
        <f>COUNTIFS('TỔNG KLH + TN'!$B:$B,'01. TH'!$B267,'TỔNG KLH + TN'!$C:$C,'01. TH'!I$4)</f>
        <v>0</v>
      </c>
      <c r="J267" s="1042">
        <f>COUNTIFS('TỔNG KLH + TN'!$B:$B,'01. TH'!$B267,'TỔNG KLH + TN'!$C:$C,'01. TH'!J$4)</f>
        <v>0</v>
      </c>
      <c r="K267" s="1042">
        <f>COUNTIFS('TỔNG KLH + TN'!$B:$B,'01. TH'!$B267,'TỔNG KLH + TN'!$C:$C,'01. TH'!K$4)</f>
        <v>0</v>
      </c>
      <c r="L267" s="1042">
        <f>COUNTIFS('TỔNG KLH + TN'!$B:$B,'01. TH'!$B267,'TỔNG KLH + TN'!$C:$C,'01. TH'!L$4)</f>
        <v>0</v>
      </c>
      <c r="M267" s="1042">
        <f>COUNTIFS('TỔNG KLH + TN'!$B:$B,'01. TH'!$B267,'TỔNG KLH + TN'!$C:$C,'01. TH'!M$4)</f>
        <v>0</v>
      </c>
      <c r="N267" s="1042">
        <f>COUNTIFS('TỔNG KLH + TN'!$B:$B,'01. TH'!$B267,'TỔNG KLH + TN'!$C:$C,'01. TH'!N$4)</f>
        <v>0</v>
      </c>
      <c r="O267" s="1042">
        <f>COUNTIFS('TỔNG KLH + TN'!$B:$B,'01. TH'!$B267,'TỔNG KLH + TN'!$C:$C,'01. TH'!O$4)</f>
        <v>0</v>
      </c>
      <c r="P267" s="1042">
        <f>COUNTIFS('TỔNG KLH + TN'!$B:$B,'01. TH'!$B267,'TỔNG KLH + TN'!$C:$C,'01. TH'!P$4)</f>
        <v>0</v>
      </c>
      <c r="Q267" s="1042">
        <f>COUNTIFS('TỔNG KLH + TN'!$B:$B,'01. TH'!$B267,'TỔNG KLH + TN'!$C:$C,'01. TH'!Q$4)</f>
        <v>0</v>
      </c>
      <c r="R267" s="1042">
        <f>COUNTIFS('TỔNG KLH + TN'!$B:$B,'01. TH'!$B267,'TỔNG KLH + TN'!$C:$C,'01. TH'!R$4)</f>
        <v>0</v>
      </c>
      <c r="S267" s="1042">
        <f>COUNTIFS('TỔNG KLH + TN'!$B:$B,'01. TH'!$B267,'TỔNG KLH + TN'!$C:$C,'01. TH'!S$4)</f>
        <v>0</v>
      </c>
      <c r="T267" s="1042">
        <f>COUNTIFS('TỔNG KLH + TN'!$B:$B,'01. TH'!$B267,'TỔNG KLH + TN'!$C:$C,'01. TH'!T$4)</f>
        <v>0</v>
      </c>
      <c r="U267" s="1042">
        <f>COUNTIFS('TỔNG KLH + TN'!$B:$B,'01. TH'!$B267,'TỔNG KLH + TN'!$C:$C,'01. TH'!U$4)</f>
        <v>0</v>
      </c>
      <c r="V267" s="1042">
        <f>COUNTIFS('TỔNG KLH + TN'!$B:$B,'01. TH'!$B267,'TỔNG KLH + TN'!$C:$C,'01. TH'!V$4)</f>
        <v>0</v>
      </c>
      <c r="W267" s="1042">
        <f>COUNTIFS('TỔNG KLH + TN'!$B:$B,'01. TH'!$B267,'TỔNG KLH + TN'!$C:$C,'01. TH'!W$4)</f>
        <v>0</v>
      </c>
      <c r="X267" s="1042">
        <f>COUNTIFS('TỔNG KLH + TN'!$B:$B,'01. TH'!$B267,'TỔNG KLH + TN'!$C:$C,'01. TH'!X$4)</f>
        <v>0</v>
      </c>
      <c r="Y267" s="1042">
        <f>COUNTIFS('TỔNG KLH + TN'!$B:$B,'01. TH'!$B267,'TỔNG KLH + TN'!$C:$C,'01. TH'!Y$4)</f>
        <v>0</v>
      </c>
      <c r="Z267" s="1042">
        <f>COUNTIFS('TỔNG KLH + TN'!$B:$B,'01. TH'!$B267,'TỔNG KLH + TN'!$C:$C,'01. TH'!Z$4)</f>
        <v>0</v>
      </c>
      <c r="AA267" s="1042">
        <f>COUNTIFS('TỔNG KLH + TN'!$B:$B,'01. TH'!$B267,'TỔNG KLH + TN'!$C:$C,'01. TH'!AA$4)</f>
        <v>0</v>
      </c>
      <c r="AB267" s="1042">
        <f>COUNTIFS('TỔNG KLH + TN'!$B:$B,'01. TH'!$B267,'TỔNG KLH + TN'!$C:$C,'01. TH'!AB$4)</f>
        <v>0</v>
      </c>
      <c r="AC267" s="1042">
        <f>COUNTIFS('TỔNG KLH + TN'!$B:$B,'01. TH'!$B267,'TỔNG KLH + TN'!$C:$C,'01. TH'!AC$4)</f>
        <v>0</v>
      </c>
      <c r="AD267" s="1042">
        <f>COUNTIFS('TỔNG KLH + TN'!$B:$B,'01. TH'!$B267,'TỔNG KLH + TN'!$C:$C,'01. TH'!AD$4)</f>
        <v>0</v>
      </c>
      <c r="AE267" s="1045">
        <f t="shared" si="52"/>
        <v>0</v>
      </c>
      <c r="AF267" s="1045"/>
      <c r="AG267" s="1033" t="str">
        <f t="shared" si="23"/>
        <v>ok</v>
      </c>
      <c r="AH267" s="1064"/>
    </row>
    <row r="268" ht="17.25" hidden="1" customHeight="1" outlineLevel="1" spans="1:34">
      <c r="A268" s="1061"/>
      <c r="B268" s="1066" t="s">
        <v>405</v>
      </c>
      <c r="C268" s="1041"/>
      <c r="D268" s="1041" t="s">
        <v>402</v>
      </c>
      <c r="E268" s="1063" t="s">
        <v>302</v>
      </c>
      <c r="F268" s="1042">
        <f>COUNTIFS('TỔNG KLH + TN'!$B:$B,'01. TH'!$B268,'TỔNG KLH + TN'!$C:$C,'01. TH'!F$4)</f>
        <v>0</v>
      </c>
      <c r="G268" s="1042">
        <f>COUNTIFS('TỔNG KLH + TN'!$B:$B,'01. TH'!$B268,'TỔNG KLH + TN'!$C:$C,'01. TH'!G$4)</f>
        <v>0</v>
      </c>
      <c r="H268" s="1042">
        <f>COUNTIFS('TỔNG KLH + TN'!$B:$B,'01. TH'!$B268,'TỔNG KLH + TN'!$C:$C,'01. TH'!H$4)</f>
        <v>0</v>
      </c>
      <c r="I268" s="1042">
        <f>COUNTIFS('TỔNG KLH + TN'!$B:$B,'01. TH'!$B268,'TỔNG KLH + TN'!$C:$C,'01. TH'!I$4)</f>
        <v>0</v>
      </c>
      <c r="J268" s="1042">
        <f>COUNTIFS('TỔNG KLH + TN'!$B:$B,'01. TH'!$B268,'TỔNG KLH + TN'!$C:$C,'01. TH'!J$4)</f>
        <v>0</v>
      </c>
      <c r="K268" s="1042">
        <f>COUNTIFS('TỔNG KLH + TN'!$B:$B,'01. TH'!$B268,'TỔNG KLH + TN'!$C:$C,'01. TH'!K$4)</f>
        <v>0</v>
      </c>
      <c r="L268" s="1042">
        <f>COUNTIFS('TỔNG KLH + TN'!$B:$B,'01. TH'!$B268,'TỔNG KLH + TN'!$C:$C,'01. TH'!L$4)</f>
        <v>0</v>
      </c>
      <c r="M268" s="1042">
        <f>COUNTIFS('TỔNG KLH + TN'!$B:$B,'01. TH'!$B268,'TỔNG KLH + TN'!$C:$C,'01. TH'!M$4)</f>
        <v>0</v>
      </c>
      <c r="N268" s="1042">
        <f>COUNTIFS('TỔNG KLH + TN'!$B:$B,'01. TH'!$B268,'TỔNG KLH + TN'!$C:$C,'01. TH'!N$4)</f>
        <v>0</v>
      </c>
      <c r="O268" s="1042">
        <f>COUNTIFS('TỔNG KLH + TN'!$B:$B,'01. TH'!$B268,'TỔNG KLH + TN'!$C:$C,'01. TH'!O$4)</f>
        <v>0</v>
      </c>
      <c r="P268" s="1042">
        <f>COUNTIFS('TỔNG KLH + TN'!$B:$B,'01. TH'!$B268,'TỔNG KLH + TN'!$C:$C,'01. TH'!P$4)</f>
        <v>0</v>
      </c>
      <c r="Q268" s="1042">
        <f>COUNTIFS('TỔNG KLH + TN'!$B:$B,'01. TH'!$B268,'TỔNG KLH + TN'!$C:$C,'01. TH'!Q$4)</f>
        <v>0</v>
      </c>
      <c r="R268" s="1042">
        <f>COUNTIFS('TỔNG KLH + TN'!$B:$B,'01. TH'!$B268,'TỔNG KLH + TN'!$C:$C,'01. TH'!R$4)</f>
        <v>0</v>
      </c>
      <c r="S268" s="1042">
        <f>COUNTIFS('TỔNG KLH + TN'!$B:$B,'01. TH'!$B268,'TỔNG KLH + TN'!$C:$C,'01. TH'!S$4)</f>
        <v>0</v>
      </c>
      <c r="T268" s="1042">
        <f>COUNTIFS('TỔNG KLH + TN'!$B:$B,'01. TH'!$B268,'TỔNG KLH + TN'!$C:$C,'01. TH'!T$4)</f>
        <v>0</v>
      </c>
      <c r="U268" s="1042">
        <f>COUNTIFS('TỔNG KLH + TN'!$B:$B,'01. TH'!$B268,'TỔNG KLH + TN'!$C:$C,'01. TH'!U$4)</f>
        <v>0</v>
      </c>
      <c r="V268" s="1042">
        <f>COUNTIFS('TỔNG KLH + TN'!$B:$B,'01. TH'!$B268,'TỔNG KLH + TN'!$C:$C,'01. TH'!V$4)</f>
        <v>0</v>
      </c>
      <c r="W268" s="1042">
        <f>COUNTIFS('TỔNG KLH + TN'!$B:$B,'01. TH'!$B268,'TỔNG KLH + TN'!$C:$C,'01. TH'!W$4)</f>
        <v>0</v>
      </c>
      <c r="X268" s="1042">
        <f>COUNTIFS('TỔNG KLH + TN'!$B:$B,'01. TH'!$B268,'TỔNG KLH + TN'!$C:$C,'01. TH'!X$4)</f>
        <v>0</v>
      </c>
      <c r="Y268" s="1042">
        <f>COUNTIFS('TỔNG KLH + TN'!$B:$B,'01. TH'!$B268,'TỔNG KLH + TN'!$C:$C,'01. TH'!Y$4)</f>
        <v>0</v>
      </c>
      <c r="Z268" s="1042">
        <f>COUNTIFS('TỔNG KLH + TN'!$B:$B,'01. TH'!$B268,'TỔNG KLH + TN'!$C:$C,'01. TH'!Z$4)</f>
        <v>0</v>
      </c>
      <c r="AA268" s="1042">
        <f>COUNTIFS('TỔNG KLH + TN'!$B:$B,'01. TH'!$B268,'TỔNG KLH + TN'!$C:$C,'01. TH'!AA$4)</f>
        <v>0</v>
      </c>
      <c r="AB268" s="1042">
        <f>COUNTIFS('TỔNG KLH + TN'!$B:$B,'01. TH'!$B268,'TỔNG KLH + TN'!$C:$C,'01. TH'!AB$4)</f>
        <v>0</v>
      </c>
      <c r="AC268" s="1042">
        <f>COUNTIFS('TỔNG KLH + TN'!$B:$B,'01. TH'!$B268,'TỔNG KLH + TN'!$C:$C,'01. TH'!AC$4)</f>
        <v>0</v>
      </c>
      <c r="AD268" s="1042">
        <f>COUNTIFS('TỔNG KLH + TN'!$B:$B,'01. TH'!$B268,'TỔNG KLH + TN'!$C:$C,'01. TH'!AD$4)</f>
        <v>0</v>
      </c>
      <c r="AE268" s="1045">
        <f t="shared" si="52"/>
        <v>0</v>
      </c>
      <c r="AF268" s="1045"/>
      <c r="AG268" s="1033" t="str">
        <f t="shared" si="23"/>
        <v>ok</v>
      </c>
      <c r="AH268" s="1064"/>
    </row>
    <row r="269" ht="17.25" hidden="1" customHeight="1" outlineLevel="1" spans="1:34">
      <c r="A269" s="1039"/>
      <c r="B269" s="1040" t="s">
        <v>406</v>
      </c>
      <c r="C269" s="1041"/>
      <c r="D269" s="1041" t="s">
        <v>407</v>
      </c>
      <c r="E269" s="1063" t="s">
        <v>302</v>
      </c>
      <c r="F269" s="1042">
        <f>COUNTIFS('TỔNG KLH + TN'!$B:$B,'01. TH'!$B269,'TỔNG KLH + TN'!$C:$C,'01. TH'!F$4)</f>
        <v>0</v>
      </c>
      <c r="G269" s="1042">
        <f>COUNTIFS('TỔNG KLH + TN'!$B:$B,'01. TH'!$B269,'TỔNG KLH + TN'!$C:$C,'01. TH'!G$4)</f>
        <v>0</v>
      </c>
      <c r="H269" s="1042">
        <f>COUNTIFS('TỔNG KLH + TN'!$B:$B,'01. TH'!$B269,'TỔNG KLH + TN'!$C:$C,'01. TH'!H$4)</f>
        <v>0</v>
      </c>
      <c r="I269" s="1042">
        <f>COUNTIFS('TỔNG KLH + TN'!$B:$B,'01. TH'!$B269,'TỔNG KLH + TN'!$C:$C,'01. TH'!I$4)</f>
        <v>0</v>
      </c>
      <c r="J269" s="1042">
        <f>COUNTIFS('TỔNG KLH + TN'!$B:$B,'01. TH'!$B269,'TỔNG KLH + TN'!$C:$C,'01. TH'!J$4)</f>
        <v>0</v>
      </c>
      <c r="K269" s="1042">
        <f>COUNTIFS('TỔNG KLH + TN'!$B:$B,'01. TH'!$B269,'TỔNG KLH + TN'!$C:$C,'01. TH'!K$4)</f>
        <v>0</v>
      </c>
      <c r="L269" s="1042">
        <f>COUNTIFS('TỔNG KLH + TN'!$B:$B,'01. TH'!$B269,'TỔNG KLH + TN'!$C:$C,'01. TH'!L$4)</f>
        <v>0</v>
      </c>
      <c r="M269" s="1042">
        <f>COUNTIFS('TỔNG KLH + TN'!$B:$B,'01. TH'!$B269,'TỔNG KLH + TN'!$C:$C,'01. TH'!M$4)</f>
        <v>0</v>
      </c>
      <c r="N269" s="1042">
        <f>COUNTIFS('TỔNG KLH + TN'!$B:$B,'01. TH'!$B269,'TỔNG KLH + TN'!$C:$C,'01. TH'!N$4)</f>
        <v>0</v>
      </c>
      <c r="O269" s="1042">
        <f>COUNTIFS('TỔNG KLH + TN'!$B:$B,'01. TH'!$B269,'TỔNG KLH + TN'!$C:$C,'01. TH'!O$4)</f>
        <v>0</v>
      </c>
      <c r="P269" s="1042">
        <f>COUNTIFS('TỔNG KLH + TN'!$B:$B,'01. TH'!$B269,'TỔNG KLH + TN'!$C:$C,'01. TH'!P$4)</f>
        <v>0</v>
      </c>
      <c r="Q269" s="1042">
        <f>COUNTIFS('TỔNG KLH + TN'!$B:$B,'01. TH'!$B269,'TỔNG KLH + TN'!$C:$C,'01. TH'!Q$4)</f>
        <v>0</v>
      </c>
      <c r="R269" s="1042">
        <f>COUNTIFS('TỔNG KLH + TN'!$B:$B,'01. TH'!$B269,'TỔNG KLH + TN'!$C:$C,'01. TH'!R$4)</f>
        <v>0</v>
      </c>
      <c r="S269" s="1042">
        <f>COUNTIFS('TỔNG KLH + TN'!$B:$B,'01. TH'!$B269,'TỔNG KLH + TN'!$C:$C,'01. TH'!S$4)</f>
        <v>0</v>
      </c>
      <c r="T269" s="1042">
        <f>COUNTIFS('TỔNG KLH + TN'!$B:$B,'01. TH'!$B269,'TỔNG KLH + TN'!$C:$C,'01. TH'!T$4)</f>
        <v>0</v>
      </c>
      <c r="U269" s="1042">
        <f>COUNTIFS('TỔNG KLH + TN'!$B:$B,'01. TH'!$B269,'TỔNG KLH + TN'!$C:$C,'01. TH'!U$4)</f>
        <v>0</v>
      </c>
      <c r="V269" s="1042">
        <f>COUNTIFS('TỔNG KLH + TN'!$B:$B,'01. TH'!$B269,'TỔNG KLH + TN'!$C:$C,'01. TH'!V$4)</f>
        <v>0</v>
      </c>
      <c r="W269" s="1042">
        <f>COUNTIFS('TỔNG KLH + TN'!$B:$B,'01. TH'!$B269,'TỔNG KLH + TN'!$C:$C,'01. TH'!W$4)</f>
        <v>0</v>
      </c>
      <c r="X269" s="1042">
        <f>COUNTIFS('TỔNG KLH + TN'!$B:$B,'01. TH'!$B269,'TỔNG KLH + TN'!$C:$C,'01. TH'!X$4)</f>
        <v>0</v>
      </c>
      <c r="Y269" s="1042">
        <f>COUNTIFS('TỔNG KLH + TN'!$B:$B,'01. TH'!$B269,'TỔNG KLH + TN'!$C:$C,'01. TH'!Y$4)</f>
        <v>0</v>
      </c>
      <c r="Z269" s="1042">
        <f>COUNTIFS('TỔNG KLH + TN'!$B:$B,'01. TH'!$B269,'TỔNG KLH + TN'!$C:$C,'01. TH'!Z$4)</f>
        <v>0</v>
      </c>
      <c r="AA269" s="1042">
        <f>COUNTIFS('TỔNG KLH + TN'!$B:$B,'01. TH'!$B269,'TỔNG KLH + TN'!$C:$C,'01. TH'!AA$4)</f>
        <v>0</v>
      </c>
      <c r="AB269" s="1042">
        <f>COUNTIFS('TỔNG KLH + TN'!$B:$B,'01. TH'!$B269,'TỔNG KLH + TN'!$C:$C,'01. TH'!AB$4)</f>
        <v>0</v>
      </c>
      <c r="AC269" s="1042">
        <f>COUNTIFS('TỔNG KLH + TN'!$B:$B,'01. TH'!$B269,'TỔNG KLH + TN'!$C:$C,'01. TH'!AC$4)</f>
        <v>0</v>
      </c>
      <c r="AD269" s="1042">
        <f>COUNTIFS('TỔNG KLH + TN'!$B:$B,'01. TH'!$B269,'TỔNG KLH + TN'!$C:$C,'01. TH'!AD$4)</f>
        <v>0</v>
      </c>
      <c r="AE269" s="1043">
        <f t="shared" si="52"/>
        <v>0</v>
      </c>
      <c r="AF269" s="1043"/>
      <c r="AG269" s="1033" t="str">
        <f t="shared" si="23"/>
        <v>ok</v>
      </c>
      <c r="AH269" s="1039"/>
    </row>
    <row r="270" ht="17.25" hidden="1" customHeight="1" outlineLevel="1" spans="1:34">
      <c r="A270" s="1061"/>
      <c r="B270" s="1066" t="s">
        <v>408</v>
      </c>
      <c r="C270" s="1063"/>
      <c r="D270" s="1063" t="s">
        <v>409</v>
      </c>
      <c r="E270" s="1063" t="s">
        <v>302</v>
      </c>
      <c r="F270" s="1042">
        <f>COUNTIFS('TỔNG KLH + TN'!$B:$B,'01. TH'!$B270,'TỔNG KLH + TN'!$C:$C,'01. TH'!F$4)</f>
        <v>0</v>
      </c>
      <c r="G270" s="1042">
        <f>COUNTIFS('TỔNG KLH + TN'!$B:$B,'01. TH'!$B270,'TỔNG KLH + TN'!$C:$C,'01. TH'!G$4)</f>
        <v>1</v>
      </c>
      <c r="H270" s="1042">
        <f>COUNTIFS('TỔNG KLH + TN'!$B:$B,'01. TH'!$B270,'TỔNG KLH + TN'!$C:$C,'01. TH'!H$4)</f>
        <v>0</v>
      </c>
      <c r="I270" s="1042">
        <f>COUNTIFS('TỔNG KLH + TN'!$B:$B,'01. TH'!$B270,'TỔNG KLH + TN'!$C:$C,'01. TH'!I$4)</f>
        <v>0</v>
      </c>
      <c r="J270" s="1042">
        <f>COUNTIFS('TỔNG KLH + TN'!$B:$B,'01. TH'!$B270,'TỔNG KLH + TN'!$C:$C,'01. TH'!J$4)</f>
        <v>0</v>
      </c>
      <c r="K270" s="1042">
        <f>COUNTIFS('TỔNG KLH + TN'!$B:$B,'01. TH'!$B270,'TỔNG KLH + TN'!$C:$C,'01. TH'!K$4)</f>
        <v>0</v>
      </c>
      <c r="L270" s="1042">
        <f>COUNTIFS('TỔNG KLH + TN'!$B:$B,'01. TH'!$B270,'TỔNG KLH + TN'!$C:$C,'01. TH'!L$4)</f>
        <v>0</v>
      </c>
      <c r="M270" s="1042">
        <f>COUNTIFS('TỔNG KLH + TN'!$B:$B,'01. TH'!$B270,'TỔNG KLH + TN'!$C:$C,'01. TH'!M$4)</f>
        <v>0</v>
      </c>
      <c r="N270" s="1042">
        <f>COUNTIFS('TỔNG KLH + TN'!$B:$B,'01. TH'!$B270,'TỔNG KLH + TN'!$C:$C,'01. TH'!N$4)</f>
        <v>0</v>
      </c>
      <c r="O270" s="1042">
        <f>COUNTIFS('TỔNG KLH + TN'!$B:$B,'01. TH'!$B270,'TỔNG KLH + TN'!$C:$C,'01. TH'!O$4)</f>
        <v>0</v>
      </c>
      <c r="P270" s="1042">
        <f>COUNTIFS('TỔNG KLH + TN'!$B:$B,'01. TH'!$B270,'TỔNG KLH + TN'!$C:$C,'01. TH'!P$4)</f>
        <v>0</v>
      </c>
      <c r="Q270" s="1042">
        <f>COUNTIFS('TỔNG KLH + TN'!$B:$B,'01. TH'!$B270,'TỔNG KLH + TN'!$C:$C,'01. TH'!Q$4)</f>
        <v>0</v>
      </c>
      <c r="R270" s="1042">
        <f>COUNTIFS('TỔNG KLH + TN'!$B:$B,'01. TH'!$B270,'TỔNG KLH + TN'!$C:$C,'01. TH'!R$4)</f>
        <v>0</v>
      </c>
      <c r="S270" s="1042">
        <f>COUNTIFS('TỔNG KLH + TN'!$B:$B,'01. TH'!$B270,'TỔNG KLH + TN'!$C:$C,'01. TH'!S$4)</f>
        <v>1</v>
      </c>
      <c r="T270" s="1042">
        <f>COUNTIFS('TỔNG KLH + TN'!$B:$B,'01. TH'!$B270,'TỔNG KLH + TN'!$C:$C,'01. TH'!T$4)</f>
        <v>0</v>
      </c>
      <c r="U270" s="1042">
        <f>COUNTIFS('TỔNG KLH + TN'!$B:$B,'01. TH'!$B270,'TỔNG KLH + TN'!$C:$C,'01. TH'!U$4)</f>
        <v>0</v>
      </c>
      <c r="V270" s="1042">
        <f>COUNTIFS('TỔNG KLH + TN'!$B:$B,'01. TH'!$B270,'TỔNG KLH + TN'!$C:$C,'01. TH'!V$4)</f>
        <v>0</v>
      </c>
      <c r="W270" s="1042">
        <f>COUNTIFS('TỔNG KLH + TN'!$B:$B,'01. TH'!$B270,'TỔNG KLH + TN'!$C:$C,'01. TH'!W$4)</f>
        <v>0</v>
      </c>
      <c r="X270" s="1042">
        <f>COUNTIFS('TỔNG KLH + TN'!$B:$B,'01. TH'!$B270,'TỔNG KLH + TN'!$C:$C,'01. TH'!X$4)</f>
        <v>0</v>
      </c>
      <c r="Y270" s="1042">
        <f>COUNTIFS('TỔNG KLH + TN'!$B:$B,'01. TH'!$B270,'TỔNG KLH + TN'!$C:$C,'01. TH'!Y$4)</f>
        <v>0</v>
      </c>
      <c r="Z270" s="1042">
        <f>COUNTIFS('TỔNG KLH + TN'!$B:$B,'01. TH'!$B270,'TỔNG KLH + TN'!$C:$C,'01. TH'!Z$4)</f>
        <v>0</v>
      </c>
      <c r="AA270" s="1042">
        <f>COUNTIFS('TỔNG KLH + TN'!$B:$B,'01. TH'!$B270,'TỔNG KLH + TN'!$C:$C,'01. TH'!AA$4)</f>
        <v>0</v>
      </c>
      <c r="AB270" s="1042">
        <f>COUNTIFS('TỔNG KLH + TN'!$B:$B,'01. TH'!$B270,'TỔNG KLH + TN'!$C:$C,'01. TH'!AB$4)</f>
        <v>0</v>
      </c>
      <c r="AC270" s="1042">
        <f>COUNTIFS('TỔNG KLH + TN'!$B:$B,'01. TH'!$B270,'TỔNG KLH + TN'!$C:$C,'01. TH'!AC$4)</f>
        <v>0</v>
      </c>
      <c r="AD270" s="1042">
        <f>COUNTIFS('TỔNG KLH + TN'!$B:$B,'01. TH'!$B270,'TỔNG KLH + TN'!$C:$C,'01. TH'!AD$4)</f>
        <v>0</v>
      </c>
      <c r="AE270" s="1045">
        <f t="shared" si="52"/>
        <v>2</v>
      </c>
      <c r="AF270" s="1045"/>
      <c r="AG270" s="1033" t="str">
        <f t="shared" si="23"/>
        <v>ok</v>
      </c>
      <c r="AH270" s="1064"/>
    </row>
    <row r="271" ht="17.25" hidden="1" customHeight="1" outlineLevel="1" spans="1:34">
      <c r="A271" s="1061"/>
      <c r="B271" s="1066" t="s">
        <v>410</v>
      </c>
      <c r="C271" s="1063"/>
      <c r="D271" s="1063"/>
      <c r="E271" s="1063" t="s">
        <v>302</v>
      </c>
      <c r="F271" s="1042">
        <f>COUNTIFS('TỔNG KLH + TN'!$B:$B,'01. TH'!$B271,'TỔNG KLH + TN'!$C:$C,'01. TH'!F$4)</f>
        <v>0</v>
      </c>
      <c r="G271" s="1042">
        <f>COUNTIFS('TỔNG KLH + TN'!$B:$B,'01. TH'!$B271,'TỔNG KLH + TN'!$C:$C,'01. TH'!G$4)</f>
        <v>0</v>
      </c>
      <c r="H271" s="1042">
        <f>COUNTIFS('TỔNG KLH + TN'!$B:$B,'01. TH'!$B271,'TỔNG KLH + TN'!$C:$C,'01. TH'!H$4)</f>
        <v>0</v>
      </c>
      <c r="I271" s="1042">
        <f>COUNTIFS('TỔNG KLH + TN'!$B:$B,'01. TH'!$B271,'TỔNG KLH + TN'!$C:$C,'01. TH'!I$4)</f>
        <v>0</v>
      </c>
      <c r="J271" s="1042">
        <f>COUNTIFS('TỔNG KLH + TN'!$B:$B,'01. TH'!$B271,'TỔNG KLH + TN'!$C:$C,'01. TH'!J$4)</f>
        <v>0</v>
      </c>
      <c r="K271" s="1042">
        <f>COUNTIFS('TỔNG KLH + TN'!$B:$B,'01. TH'!$B271,'TỔNG KLH + TN'!$C:$C,'01. TH'!K$4)</f>
        <v>0</v>
      </c>
      <c r="L271" s="1042">
        <f>COUNTIFS('TỔNG KLH + TN'!$B:$B,'01. TH'!$B271,'TỔNG KLH + TN'!$C:$C,'01. TH'!L$4)</f>
        <v>0</v>
      </c>
      <c r="M271" s="1042">
        <f>COUNTIFS('TỔNG KLH + TN'!$B:$B,'01. TH'!$B271,'TỔNG KLH + TN'!$C:$C,'01. TH'!M$4)</f>
        <v>0</v>
      </c>
      <c r="N271" s="1042">
        <f>COUNTIFS('TỔNG KLH + TN'!$B:$B,'01. TH'!$B271,'TỔNG KLH + TN'!$C:$C,'01. TH'!N$4)</f>
        <v>0</v>
      </c>
      <c r="O271" s="1042">
        <f>COUNTIFS('TỔNG KLH + TN'!$B:$B,'01. TH'!$B271,'TỔNG KLH + TN'!$C:$C,'01. TH'!O$4)</f>
        <v>0</v>
      </c>
      <c r="P271" s="1042">
        <f>COUNTIFS('TỔNG KLH + TN'!$B:$B,'01. TH'!$B271,'TỔNG KLH + TN'!$C:$C,'01. TH'!P$4)</f>
        <v>0</v>
      </c>
      <c r="Q271" s="1042">
        <f>COUNTIFS('TỔNG KLH + TN'!$B:$B,'01. TH'!$B271,'TỔNG KLH + TN'!$C:$C,'01. TH'!Q$4)</f>
        <v>4</v>
      </c>
      <c r="R271" s="1042">
        <f>COUNTIFS('TỔNG KLH + TN'!$B:$B,'01. TH'!$B271,'TỔNG KLH + TN'!$C:$C,'01. TH'!R$4)</f>
        <v>0</v>
      </c>
      <c r="S271" s="1042">
        <f>COUNTIFS('TỔNG KLH + TN'!$B:$B,'01. TH'!$B271,'TỔNG KLH + TN'!$C:$C,'01. TH'!S$4)</f>
        <v>0</v>
      </c>
      <c r="T271" s="1042">
        <f>COUNTIFS('TỔNG KLH + TN'!$B:$B,'01. TH'!$B271,'TỔNG KLH + TN'!$C:$C,'01. TH'!T$4)</f>
        <v>0</v>
      </c>
      <c r="U271" s="1042">
        <f>COUNTIFS('TỔNG KLH + TN'!$B:$B,'01. TH'!$B271,'TỔNG KLH + TN'!$C:$C,'01. TH'!U$4)</f>
        <v>0</v>
      </c>
      <c r="V271" s="1042">
        <f>COUNTIFS('TỔNG KLH + TN'!$B:$B,'01. TH'!$B271,'TỔNG KLH + TN'!$C:$C,'01. TH'!V$4)</f>
        <v>0</v>
      </c>
      <c r="W271" s="1042">
        <f>COUNTIFS('TỔNG KLH + TN'!$B:$B,'01. TH'!$B271,'TỔNG KLH + TN'!$C:$C,'01. TH'!W$4)</f>
        <v>0</v>
      </c>
      <c r="X271" s="1042">
        <f>COUNTIFS('TỔNG KLH + TN'!$B:$B,'01. TH'!$B271,'TỔNG KLH + TN'!$C:$C,'01. TH'!X$4)</f>
        <v>0</v>
      </c>
      <c r="Y271" s="1042">
        <f>COUNTIFS('TỔNG KLH + TN'!$B:$B,'01. TH'!$B271,'TỔNG KLH + TN'!$C:$C,'01. TH'!Y$4)</f>
        <v>0</v>
      </c>
      <c r="Z271" s="1042">
        <f>COUNTIFS('TỔNG KLH + TN'!$B:$B,'01. TH'!$B271,'TỔNG KLH + TN'!$C:$C,'01. TH'!Z$4)</f>
        <v>0</v>
      </c>
      <c r="AA271" s="1042">
        <f>COUNTIFS('TỔNG KLH + TN'!$B:$B,'01. TH'!$B271,'TỔNG KLH + TN'!$C:$C,'01. TH'!AA$4)</f>
        <v>0</v>
      </c>
      <c r="AB271" s="1042">
        <f>COUNTIFS('TỔNG KLH + TN'!$B:$B,'01. TH'!$B271,'TỔNG KLH + TN'!$C:$C,'01. TH'!AB$4)</f>
        <v>0</v>
      </c>
      <c r="AC271" s="1042">
        <f>COUNTIFS('TỔNG KLH + TN'!$B:$B,'01. TH'!$B271,'TỔNG KLH + TN'!$C:$C,'01. TH'!AC$4)</f>
        <v>0</v>
      </c>
      <c r="AD271" s="1042">
        <f>COUNTIFS('TỔNG KLH + TN'!$B:$B,'01. TH'!$B271,'TỔNG KLH + TN'!$C:$C,'01. TH'!AD$4)</f>
        <v>0</v>
      </c>
      <c r="AE271" s="1045">
        <f t="shared" si="52"/>
        <v>4</v>
      </c>
      <c r="AF271" s="1045"/>
      <c r="AG271" s="1033" t="str">
        <f t="shared" si="23"/>
        <v>ok</v>
      </c>
      <c r="AH271" s="1064"/>
    </row>
    <row r="272" ht="17.25" hidden="1" customHeight="1" outlineLevel="1" spans="1:34">
      <c r="A272" s="1061"/>
      <c r="B272" s="1066" t="s">
        <v>411</v>
      </c>
      <c r="C272" s="1063"/>
      <c r="D272" s="1063"/>
      <c r="E272" s="1063" t="s">
        <v>302</v>
      </c>
      <c r="F272" s="1042">
        <f>COUNTIFS('TỔNG KLH + TN'!$B:$B,'01. TH'!$B272,'TỔNG KLH + TN'!$C:$C,'01. TH'!F$4)</f>
        <v>0</v>
      </c>
      <c r="G272" s="1042">
        <f>COUNTIFS('TỔNG KLH + TN'!$B:$B,'01. TH'!$B272,'TỔNG KLH + TN'!$C:$C,'01. TH'!G$4)</f>
        <v>0</v>
      </c>
      <c r="H272" s="1042">
        <f>COUNTIFS('TỔNG KLH + TN'!$B:$B,'01. TH'!$B272,'TỔNG KLH + TN'!$C:$C,'01. TH'!H$4)</f>
        <v>0</v>
      </c>
      <c r="I272" s="1042">
        <f>COUNTIFS('TỔNG KLH + TN'!$B:$B,'01. TH'!$B272,'TỔNG KLH + TN'!$C:$C,'01. TH'!I$4)</f>
        <v>0</v>
      </c>
      <c r="J272" s="1042">
        <f>COUNTIFS('TỔNG KLH + TN'!$B:$B,'01. TH'!$B272,'TỔNG KLH + TN'!$C:$C,'01. TH'!J$4)</f>
        <v>0</v>
      </c>
      <c r="K272" s="1042">
        <f>COUNTIFS('TỔNG KLH + TN'!$B:$B,'01. TH'!$B272,'TỔNG KLH + TN'!$C:$C,'01. TH'!K$4)</f>
        <v>0</v>
      </c>
      <c r="L272" s="1042">
        <f>COUNTIFS('TỔNG KLH + TN'!$B:$B,'01. TH'!$B272,'TỔNG KLH + TN'!$C:$C,'01. TH'!L$4)</f>
        <v>0</v>
      </c>
      <c r="M272" s="1042">
        <f>COUNTIFS('TỔNG KLH + TN'!$B:$B,'01. TH'!$B272,'TỔNG KLH + TN'!$C:$C,'01. TH'!M$4)</f>
        <v>0</v>
      </c>
      <c r="N272" s="1042">
        <f>COUNTIFS('TỔNG KLH + TN'!$B:$B,'01. TH'!$B272,'TỔNG KLH + TN'!$C:$C,'01. TH'!N$4)</f>
        <v>0</v>
      </c>
      <c r="O272" s="1042">
        <f>COUNTIFS('TỔNG KLH + TN'!$B:$B,'01. TH'!$B272,'TỔNG KLH + TN'!$C:$C,'01. TH'!O$4)</f>
        <v>0</v>
      </c>
      <c r="P272" s="1042">
        <f>COUNTIFS('TỔNG KLH + TN'!$B:$B,'01. TH'!$B272,'TỔNG KLH + TN'!$C:$C,'01. TH'!P$4)</f>
        <v>0</v>
      </c>
      <c r="Q272" s="1042">
        <f>COUNTIFS('TỔNG KLH + TN'!$B:$B,'01. TH'!$B272,'TỔNG KLH + TN'!$C:$C,'01. TH'!Q$4)</f>
        <v>1</v>
      </c>
      <c r="R272" s="1042">
        <f>COUNTIFS('TỔNG KLH + TN'!$B:$B,'01. TH'!$B272,'TỔNG KLH + TN'!$C:$C,'01. TH'!R$4)</f>
        <v>0</v>
      </c>
      <c r="S272" s="1042">
        <f>COUNTIFS('TỔNG KLH + TN'!$B:$B,'01. TH'!$B272,'TỔNG KLH + TN'!$C:$C,'01. TH'!S$4)</f>
        <v>0</v>
      </c>
      <c r="T272" s="1042">
        <f>COUNTIFS('TỔNG KLH + TN'!$B:$B,'01. TH'!$B272,'TỔNG KLH + TN'!$C:$C,'01. TH'!T$4)</f>
        <v>0</v>
      </c>
      <c r="U272" s="1042">
        <f>COUNTIFS('TỔNG KLH + TN'!$B:$B,'01. TH'!$B272,'TỔNG KLH + TN'!$C:$C,'01. TH'!U$4)</f>
        <v>0</v>
      </c>
      <c r="V272" s="1042">
        <f>COUNTIFS('TỔNG KLH + TN'!$B:$B,'01. TH'!$B272,'TỔNG KLH + TN'!$C:$C,'01. TH'!V$4)</f>
        <v>0</v>
      </c>
      <c r="W272" s="1042">
        <f>COUNTIFS('TỔNG KLH + TN'!$B:$B,'01. TH'!$B272,'TỔNG KLH + TN'!$C:$C,'01. TH'!W$4)</f>
        <v>0</v>
      </c>
      <c r="X272" s="1042">
        <f>COUNTIFS('TỔNG KLH + TN'!$B:$B,'01. TH'!$B272,'TỔNG KLH + TN'!$C:$C,'01. TH'!X$4)</f>
        <v>0</v>
      </c>
      <c r="Y272" s="1042">
        <f>COUNTIFS('TỔNG KLH + TN'!$B:$B,'01. TH'!$B272,'TỔNG KLH + TN'!$C:$C,'01. TH'!Y$4)</f>
        <v>0</v>
      </c>
      <c r="Z272" s="1042">
        <f>COUNTIFS('TỔNG KLH + TN'!$B:$B,'01. TH'!$B272,'TỔNG KLH + TN'!$C:$C,'01. TH'!Z$4)</f>
        <v>0</v>
      </c>
      <c r="AA272" s="1042">
        <f>COUNTIFS('TỔNG KLH + TN'!$B:$B,'01. TH'!$B272,'TỔNG KLH + TN'!$C:$C,'01. TH'!AA$4)</f>
        <v>0</v>
      </c>
      <c r="AB272" s="1042">
        <f>COUNTIFS('TỔNG KLH + TN'!$B:$B,'01. TH'!$B272,'TỔNG KLH + TN'!$C:$C,'01. TH'!AB$4)</f>
        <v>0</v>
      </c>
      <c r="AC272" s="1042">
        <f>COUNTIFS('TỔNG KLH + TN'!$B:$B,'01. TH'!$B272,'TỔNG KLH + TN'!$C:$C,'01. TH'!AC$4)</f>
        <v>0</v>
      </c>
      <c r="AD272" s="1042">
        <f>COUNTIFS('TỔNG KLH + TN'!$B:$B,'01. TH'!$B272,'TỔNG KLH + TN'!$C:$C,'01. TH'!AD$4)</f>
        <v>0</v>
      </c>
      <c r="AE272" s="1045">
        <f t="shared" si="52"/>
        <v>1</v>
      </c>
      <c r="AF272" s="1045"/>
      <c r="AG272" s="1033" t="str">
        <f t="shared" si="23"/>
        <v>ok</v>
      </c>
      <c r="AH272" s="1064"/>
    </row>
    <row r="273" ht="17.25" hidden="1" customHeight="1" outlineLevel="1" spans="1:34">
      <c r="A273" s="1061"/>
      <c r="B273" s="1066" t="s">
        <v>412</v>
      </c>
      <c r="C273" s="1063"/>
      <c r="D273" s="1063"/>
      <c r="E273" s="1063" t="s">
        <v>302</v>
      </c>
      <c r="F273" s="1042">
        <f>COUNTIFS('TỔNG KLH + TN'!$B:$B,'01. TH'!$B273,'TỔNG KLH + TN'!$C:$C,'01. TH'!F$4)</f>
        <v>0</v>
      </c>
      <c r="G273" s="1042">
        <f>COUNTIFS('TỔNG KLH + TN'!$B:$B,'01. TH'!$B273,'TỔNG KLH + TN'!$C:$C,'01. TH'!G$4)</f>
        <v>0</v>
      </c>
      <c r="H273" s="1042">
        <f>COUNTIFS('TỔNG KLH + TN'!$B:$B,'01. TH'!$B273,'TỔNG KLH + TN'!$C:$C,'01. TH'!H$4)</f>
        <v>0</v>
      </c>
      <c r="I273" s="1042">
        <f>COUNTIFS('TỔNG KLH + TN'!$B:$B,'01. TH'!$B273,'TỔNG KLH + TN'!$C:$C,'01. TH'!I$4)</f>
        <v>0</v>
      </c>
      <c r="J273" s="1042">
        <f>COUNTIFS('TỔNG KLH + TN'!$B:$B,'01. TH'!$B273,'TỔNG KLH + TN'!$C:$C,'01. TH'!J$4)</f>
        <v>0</v>
      </c>
      <c r="K273" s="1042">
        <f>COUNTIFS('TỔNG KLH + TN'!$B:$B,'01. TH'!$B273,'TỔNG KLH + TN'!$C:$C,'01. TH'!K$4)</f>
        <v>0</v>
      </c>
      <c r="L273" s="1042">
        <f>COUNTIFS('TỔNG KLH + TN'!$B:$B,'01. TH'!$B273,'TỔNG KLH + TN'!$C:$C,'01. TH'!L$4)</f>
        <v>0</v>
      </c>
      <c r="M273" s="1042">
        <f>COUNTIFS('TỔNG KLH + TN'!$B:$B,'01. TH'!$B273,'TỔNG KLH + TN'!$C:$C,'01. TH'!M$4)</f>
        <v>0</v>
      </c>
      <c r="N273" s="1042">
        <f>COUNTIFS('TỔNG KLH + TN'!$B:$B,'01. TH'!$B273,'TỔNG KLH + TN'!$C:$C,'01. TH'!N$4)</f>
        <v>0</v>
      </c>
      <c r="O273" s="1042">
        <f>COUNTIFS('TỔNG KLH + TN'!$B:$B,'01. TH'!$B273,'TỔNG KLH + TN'!$C:$C,'01. TH'!O$4)</f>
        <v>0</v>
      </c>
      <c r="P273" s="1042">
        <f>COUNTIFS('TỔNG KLH + TN'!$B:$B,'01. TH'!$B273,'TỔNG KLH + TN'!$C:$C,'01. TH'!P$4)</f>
        <v>0</v>
      </c>
      <c r="Q273" s="1042">
        <f>COUNTIFS('TỔNG KLH + TN'!$B:$B,'01. TH'!$B273,'TỔNG KLH + TN'!$C:$C,'01. TH'!Q$4)</f>
        <v>0</v>
      </c>
      <c r="R273" s="1042">
        <f>COUNTIFS('TỔNG KLH + TN'!$B:$B,'01. TH'!$B273,'TỔNG KLH + TN'!$C:$C,'01. TH'!R$4)</f>
        <v>0</v>
      </c>
      <c r="S273" s="1042">
        <f>COUNTIFS('TỔNG KLH + TN'!$B:$B,'01. TH'!$B273,'TỔNG KLH + TN'!$C:$C,'01. TH'!S$4)</f>
        <v>0</v>
      </c>
      <c r="T273" s="1042">
        <f>COUNTIFS('TỔNG KLH + TN'!$B:$B,'01. TH'!$B273,'TỔNG KLH + TN'!$C:$C,'01. TH'!T$4)</f>
        <v>0</v>
      </c>
      <c r="U273" s="1042">
        <f>COUNTIFS('TỔNG KLH + TN'!$B:$B,'01. TH'!$B273,'TỔNG KLH + TN'!$C:$C,'01. TH'!U$4)</f>
        <v>0</v>
      </c>
      <c r="V273" s="1042">
        <f>COUNTIFS('TỔNG KLH + TN'!$B:$B,'01. TH'!$B273,'TỔNG KLH + TN'!$C:$C,'01. TH'!V$4)</f>
        <v>0</v>
      </c>
      <c r="W273" s="1042">
        <f>COUNTIFS('TỔNG KLH + TN'!$B:$B,'01. TH'!$B273,'TỔNG KLH + TN'!$C:$C,'01. TH'!W$4)</f>
        <v>11</v>
      </c>
      <c r="X273" s="1042">
        <f>COUNTIFS('TỔNG KLH + TN'!$B:$B,'01. TH'!$B273,'TỔNG KLH + TN'!$C:$C,'01. TH'!X$4)</f>
        <v>0</v>
      </c>
      <c r="Y273" s="1042">
        <f>COUNTIFS('TỔNG KLH + TN'!$B:$B,'01. TH'!$B273,'TỔNG KLH + TN'!$C:$C,'01. TH'!Y$4)</f>
        <v>0</v>
      </c>
      <c r="Z273" s="1042">
        <f>COUNTIFS('TỔNG KLH + TN'!$B:$B,'01. TH'!$B273,'TỔNG KLH + TN'!$C:$C,'01. TH'!Z$4)</f>
        <v>0</v>
      </c>
      <c r="AA273" s="1042">
        <f>COUNTIFS('TỔNG KLH + TN'!$B:$B,'01. TH'!$B273,'TỔNG KLH + TN'!$C:$C,'01. TH'!AA$4)</f>
        <v>0</v>
      </c>
      <c r="AB273" s="1042">
        <f>COUNTIFS('TỔNG KLH + TN'!$B:$B,'01. TH'!$B273,'TỔNG KLH + TN'!$C:$C,'01. TH'!AB$4)</f>
        <v>0</v>
      </c>
      <c r="AC273" s="1042">
        <f>COUNTIFS('TỔNG KLH + TN'!$B:$B,'01. TH'!$B273,'TỔNG KLH + TN'!$C:$C,'01. TH'!AC$4)</f>
        <v>0</v>
      </c>
      <c r="AD273" s="1042">
        <f>COUNTIFS('TỔNG KLH + TN'!$B:$B,'01. TH'!$B273,'TỔNG KLH + TN'!$C:$C,'01. TH'!AD$4)</f>
        <v>0</v>
      </c>
      <c r="AE273" s="1045">
        <f t="shared" si="52"/>
        <v>11</v>
      </c>
      <c r="AF273" s="1045"/>
      <c r="AG273" s="1033" t="str">
        <f t="shared" si="23"/>
        <v>ok</v>
      </c>
      <c r="AH273" s="1064"/>
    </row>
    <row r="274" ht="17.25" hidden="1" customHeight="1" outlineLevel="1" spans="1:34">
      <c r="A274" s="1039"/>
      <c r="B274" s="1040" t="s">
        <v>413</v>
      </c>
      <c r="C274" s="1041"/>
      <c r="D274" s="1041"/>
      <c r="E274" s="1063" t="s">
        <v>302</v>
      </c>
      <c r="F274" s="1042">
        <f>COUNTIFS('TỔNG KLH + TN'!$B:$B,'01. TH'!$B274,'TỔNG KLH + TN'!$C:$C,'01. TH'!F$4)</f>
        <v>0</v>
      </c>
      <c r="G274" s="1042">
        <f>COUNTIFS('TỔNG KLH + TN'!$B:$B,'01. TH'!$B274,'TỔNG KLH + TN'!$C:$C,'01. TH'!G$4)</f>
        <v>0</v>
      </c>
      <c r="H274" s="1042">
        <f>COUNTIFS('TỔNG KLH + TN'!$B:$B,'01. TH'!$B274,'TỔNG KLH + TN'!$C:$C,'01. TH'!H$4)</f>
        <v>0</v>
      </c>
      <c r="I274" s="1042">
        <f>COUNTIFS('TỔNG KLH + TN'!$B:$B,'01. TH'!$B274,'TỔNG KLH + TN'!$C:$C,'01. TH'!I$4)</f>
        <v>0</v>
      </c>
      <c r="J274" s="1042">
        <f>COUNTIFS('TỔNG KLH + TN'!$B:$B,'01. TH'!$B274,'TỔNG KLH + TN'!$C:$C,'01. TH'!J$4)</f>
        <v>0</v>
      </c>
      <c r="K274" s="1042">
        <f>COUNTIFS('TỔNG KLH + TN'!$B:$B,'01. TH'!$B274,'TỔNG KLH + TN'!$C:$C,'01. TH'!K$4)</f>
        <v>0</v>
      </c>
      <c r="L274" s="1042">
        <f>COUNTIFS('TỔNG KLH + TN'!$B:$B,'01. TH'!$B274,'TỔNG KLH + TN'!$C:$C,'01. TH'!L$4)</f>
        <v>0</v>
      </c>
      <c r="M274" s="1042">
        <f>COUNTIFS('TỔNG KLH + TN'!$B:$B,'01. TH'!$B274,'TỔNG KLH + TN'!$C:$C,'01. TH'!M$4)</f>
        <v>0</v>
      </c>
      <c r="N274" s="1042">
        <f>COUNTIFS('TỔNG KLH + TN'!$B:$B,'01. TH'!$B274,'TỔNG KLH + TN'!$C:$C,'01. TH'!N$4)</f>
        <v>0</v>
      </c>
      <c r="O274" s="1042">
        <f>COUNTIFS('TỔNG KLH + TN'!$B:$B,'01. TH'!$B274,'TỔNG KLH + TN'!$C:$C,'01. TH'!O$4)</f>
        <v>0</v>
      </c>
      <c r="P274" s="1042">
        <f>COUNTIFS('TỔNG KLH + TN'!$B:$B,'01. TH'!$B274,'TỔNG KLH + TN'!$C:$C,'01. TH'!P$4)</f>
        <v>0</v>
      </c>
      <c r="Q274" s="1042">
        <f>COUNTIFS('TỔNG KLH + TN'!$B:$B,'01. TH'!$B274,'TỔNG KLH + TN'!$C:$C,'01. TH'!Q$4)</f>
        <v>0</v>
      </c>
      <c r="R274" s="1042">
        <f>COUNTIFS('TỔNG KLH + TN'!$B:$B,'01. TH'!$B274,'TỔNG KLH + TN'!$C:$C,'01. TH'!R$4)</f>
        <v>0</v>
      </c>
      <c r="S274" s="1042">
        <f>COUNTIFS('TỔNG KLH + TN'!$B:$B,'01. TH'!$B274,'TỔNG KLH + TN'!$C:$C,'01. TH'!S$4)</f>
        <v>0</v>
      </c>
      <c r="T274" s="1042">
        <f>COUNTIFS('TỔNG KLH + TN'!$B:$B,'01. TH'!$B274,'TỔNG KLH + TN'!$C:$C,'01. TH'!T$4)</f>
        <v>0</v>
      </c>
      <c r="U274" s="1042">
        <f>COUNTIFS('TỔNG KLH + TN'!$B:$B,'01. TH'!$B274,'TỔNG KLH + TN'!$C:$C,'01. TH'!U$4)</f>
        <v>0</v>
      </c>
      <c r="V274" s="1042">
        <f>COUNTIFS('TỔNG KLH + TN'!$B:$B,'01. TH'!$B274,'TỔNG KLH + TN'!$C:$C,'01. TH'!V$4)</f>
        <v>0</v>
      </c>
      <c r="W274" s="1042">
        <f>COUNTIFS('TỔNG KLH + TN'!$B:$B,'01. TH'!$B274,'TỔNG KLH + TN'!$C:$C,'01. TH'!W$4)</f>
        <v>0</v>
      </c>
      <c r="X274" s="1042">
        <f>COUNTIFS('TỔNG KLH + TN'!$B:$B,'01. TH'!$B274,'TỔNG KLH + TN'!$C:$C,'01. TH'!X$4)</f>
        <v>0</v>
      </c>
      <c r="Y274" s="1042">
        <f>COUNTIFS('TỔNG KLH + TN'!$B:$B,'01. TH'!$B274,'TỔNG KLH + TN'!$C:$C,'01. TH'!Y$4)</f>
        <v>0</v>
      </c>
      <c r="Z274" s="1042">
        <f>COUNTIFS('TỔNG KLH + TN'!$B:$B,'01. TH'!$B274,'TỔNG KLH + TN'!$C:$C,'01. TH'!Z$4)</f>
        <v>0</v>
      </c>
      <c r="AA274" s="1042">
        <f>COUNTIFS('TỔNG KLH + TN'!$B:$B,'01. TH'!$B274,'TỔNG KLH + TN'!$C:$C,'01. TH'!AA$4)</f>
        <v>0</v>
      </c>
      <c r="AB274" s="1042">
        <f>COUNTIFS('TỔNG KLH + TN'!$B:$B,'01. TH'!$B274,'TỔNG KLH + TN'!$C:$C,'01. TH'!AB$4)</f>
        <v>0</v>
      </c>
      <c r="AC274" s="1042">
        <f>COUNTIFS('TỔNG KLH + TN'!$B:$B,'01. TH'!$B274,'TỔNG KLH + TN'!$C:$C,'01. TH'!AC$4)</f>
        <v>0</v>
      </c>
      <c r="AD274" s="1042">
        <f>COUNTIFS('TỔNG KLH + TN'!$B:$B,'01. TH'!$B274,'TỔNG KLH + TN'!$C:$C,'01. TH'!AD$4)</f>
        <v>0</v>
      </c>
      <c r="AE274" s="1043">
        <f t="shared" si="52"/>
        <v>0</v>
      </c>
      <c r="AF274" s="1043"/>
      <c r="AG274" s="1033" t="str">
        <f t="shared" si="23"/>
        <v>ok</v>
      </c>
      <c r="AH274" s="1039"/>
    </row>
    <row r="275" ht="17.25" hidden="1" customHeight="1" outlineLevel="1" spans="1:34">
      <c r="A275" s="1061"/>
      <c r="B275" s="1066" t="s">
        <v>414</v>
      </c>
      <c r="C275" s="1063"/>
      <c r="D275" s="1063"/>
      <c r="E275" s="1063" t="s">
        <v>302</v>
      </c>
      <c r="F275" s="1042">
        <f>COUNTIFS('TỔNG KLH + TN'!$B:$B,'01. TH'!$B275,'TỔNG KLH + TN'!$C:$C,'01. TH'!F$4)</f>
        <v>0</v>
      </c>
      <c r="G275" s="1042">
        <f>COUNTIFS('TỔNG KLH + TN'!$B:$B,'01. TH'!$B275,'TỔNG KLH + TN'!$C:$C,'01. TH'!G$4)</f>
        <v>0</v>
      </c>
      <c r="H275" s="1042">
        <f>COUNTIFS('TỔNG KLH + TN'!$B:$B,'01. TH'!$B275,'TỔNG KLH + TN'!$C:$C,'01. TH'!H$4)</f>
        <v>0</v>
      </c>
      <c r="I275" s="1042">
        <f>COUNTIFS('TỔNG KLH + TN'!$B:$B,'01. TH'!$B275,'TỔNG KLH + TN'!$C:$C,'01. TH'!I$4)</f>
        <v>0</v>
      </c>
      <c r="J275" s="1042">
        <f>COUNTIFS('TỔNG KLH + TN'!$B:$B,'01. TH'!$B275,'TỔNG KLH + TN'!$C:$C,'01. TH'!J$4)</f>
        <v>0</v>
      </c>
      <c r="K275" s="1042">
        <f>COUNTIFS('TỔNG KLH + TN'!$B:$B,'01. TH'!$B275,'TỔNG KLH + TN'!$C:$C,'01. TH'!K$4)</f>
        <v>0</v>
      </c>
      <c r="L275" s="1042">
        <f>COUNTIFS('TỔNG KLH + TN'!$B:$B,'01. TH'!$B275,'TỔNG KLH + TN'!$C:$C,'01. TH'!L$4)</f>
        <v>0</v>
      </c>
      <c r="M275" s="1042">
        <f>COUNTIFS('TỔNG KLH + TN'!$B:$B,'01. TH'!$B275,'TỔNG KLH + TN'!$C:$C,'01. TH'!M$4)</f>
        <v>0</v>
      </c>
      <c r="N275" s="1042">
        <f>COUNTIFS('TỔNG KLH + TN'!$B:$B,'01. TH'!$B275,'TỔNG KLH + TN'!$C:$C,'01. TH'!N$4)</f>
        <v>0</v>
      </c>
      <c r="O275" s="1042">
        <f>COUNTIFS('TỔNG KLH + TN'!$B:$B,'01. TH'!$B275,'TỔNG KLH + TN'!$C:$C,'01. TH'!O$4)</f>
        <v>0</v>
      </c>
      <c r="P275" s="1042">
        <f>COUNTIFS('TỔNG KLH + TN'!$B:$B,'01. TH'!$B275,'TỔNG KLH + TN'!$C:$C,'01. TH'!P$4)</f>
        <v>0</v>
      </c>
      <c r="Q275" s="1042">
        <f>COUNTIFS('TỔNG KLH + TN'!$B:$B,'01. TH'!$B275,'TỔNG KLH + TN'!$C:$C,'01. TH'!Q$4)</f>
        <v>0</v>
      </c>
      <c r="R275" s="1042">
        <f>COUNTIFS('TỔNG KLH + TN'!$B:$B,'01. TH'!$B275,'TỔNG KLH + TN'!$C:$C,'01. TH'!R$4)</f>
        <v>0</v>
      </c>
      <c r="S275" s="1042">
        <f>COUNTIFS('TỔNG KLH + TN'!$B:$B,'01. TH'!$B275,'TỔNG KLH + TN'!$C:$C,'01. TH'!S$4)</f>
        <v>0</v>
      </c>
      <c r="T275" s="1042">
        <f>COUNTIFS('TỔNG KLH + TN'!$B:$B,'01. TH'!$B275,'TỔNG KLH + TN'!$C:$C,'01. TH'!T$4)</f>
        <v>0</v>
      </c>
      <c r="U275" s="1042">
        <f>COUNTIFS('TỔNG KLH + TN'!$B:$B,'01. TH'!$B275,'TỔNG KLH + TN'!$C:$C,'01. TH'!U$4)</f>
        <v>0</v>
      </c>
      <c r="V275" s="1042">
        <f>COUNTIFS('TỔNG KLH + TN'!$B:$B,'01. TH'!$B275,'TỔNG KLH + TN'!$C:$C,'01. TH'!V$4)</f>
        <v>0</v>
      </c>
      <c r="W275" s="1042">
        <f>COUNTIFS('TỔNG KLH + TN'!$B:$B,'01. TH'!$B275,'TỔNG KLH + TN'!$C:$C,'01. TH'!W$4)</f>
        <v>0</v>
      </c>
      <c r="X275" s="1042">
        <f>COUNTIFS('TỔNG KLH + TN'!$B:$B,'01. TH'!$B275,'TỔNG KLH + TN'!$C:$C,'01. TH'!X$4)</f>
        <v>0</v>
      </c>
      <c r="Y275" s="1042">
        <f>COUNTIFS('TỔNG KLH + TN'!$B:$B,'01. TH'!$B275,'TỔNG KLH + TN'!$C:$C,'01. TH'!Y$4)</f>
        <v>0</v>
      </c>
      <c r="Z275" s="1042">
        <f>COUNTIFS('TỔNG KLH + TN'!$B:$B,'01. TH'!$B275,'TỔNG KLH + TN'!$C:$C,'01. TH'!Z$4)</f>
        <v>0</v>
      </c>
      <c r="AA275" s="1042">
        <f>COUNTIFS('TỔNG KLH + TN'!$B:$B,'01. TH'!$B275,'TỔNG KLH + TN'!$C:$C,'01. TH'!AA$4)</f>
        <v>0</v>
      </c>
      <c r="AB275" s="1042">
        <f>COUNTIFS('TỔNG KLH + TN'!$B:$B,'01. TH'!$B275,'TỔNG KLH + TN'!$C:$C,'01. TH'!AB$4)</f>
        <v>0</v>
      </c>
      <c r="AC275" s="1042">
        <f>COUNTIFS('TỔNG KLH + TN'!$B:$B,'01. TH'!$B275,'TỔNG KLH + TN'!$C:$C,'01. TH'!AC$4)</f>
        <v>0</v>
      </c>
      <c r="AD275" s="1042">
        <f>COUNTIFS('TỔNG KLH + TN'!$B:$B,'01. TH'!$B275,'TỔNG KLH + TN'!$C:$C,'01. TH'!AD$4)</f>
        <v>0</v>
      </c>
      <c r="AE275" s="1045">
        <f t="shared" si="52"/>
        <v>0</v>
      </c>
      <c r="AF275" s="1045"/>
      <c r="AG275" s="1033" t="str">
        <f t="shared" si="23"/>
        <v>ok</v>
      </c>
      <c r="AH275" s="1064"/>
    </row>
    <row r="276" ht="17.25" hidden="1" customHeight="1" outlineLevel="1" spans="1:34">
      <c r="A276" s="1039"/>
      <c r="B276" s="1040" t="s">
        <v>415</v>
      </c>
      <c r="C276" s="1041"/>
      <c r="D276" s="1041"/>
      <c r="E276" s="1063" t="s">
        <v>302</v>
      </c>
      <c r="F276" s="1042">
        <f>COUNTIFS('TỔNG KLH + TN'!$B:$B,'01. TH'!$B276,'TỔNG KLH + TN'!$C:$C,'01. TH'!F$4)</f>
        <v>0</v>
      </c>
      <c r="G276" s="1042">
        <f>COUNTIFS('TỔNG KLH + TN'!$B:$B,'01. TH'!$B276,'TỔNG KLH + TN'!$C:$C,'01. TH'!G$4)</f>
        <v>0</v>
      </c>
      <c r="H276" s="1042">
        <f>COUNTIFS('TỔNG KLH + TN'!$B:$B,'01. TH'!$B276,'TỔNG KLH + TN'!$C:$C,'01. TH'!H$4)</f>
        <v>0</v>
      </c>
      <c r="I276" s="1042">
        <f>COUNTIFS('TỔNG KLH + TN'!$B:$B,'01. TH'!$B276,'TỔNG KLH + TN'!$C:$C,'01. TH'!I$4)</f>
        <v>0</v>
      </c>
      <c r="J276" s="1042">
        <f>COUNTIFS('TỔNG KLH + TN'!$B:$B,'01. TH'!$B276,'TỔNG KLH + TN'!$C:$C,'01. TH'!J$4)</f>
        <v>0</v>
      </c>
      <c r="K276" s="1042">
        <f>COUNTIFS('TỔNG KLH + TN'!$B:$B,'01. TH'!$B276,'TỔNG KLH + TN'!$C:$C,'01. TH'!K$4)</f>
        <v>0</v>
      </c>
      <c r="L276" s="1042">
        <f>COUNTIFS('TỔNG KLH + TN'!$B:$B,'01. TH'!$B276,'TỔNG KLH + TN'!$C:$C,'01. TH'!L$4)</f>
        <v>0</v>
      </c>
      <c r="M276" s="1042">
        <f>COUNTIFS('TỔNG KLH + TN'!$B:$B,'01. TH'!$B276,'TỔNG KLH + TN'!$C:$C,'01. TH'!M$4)</f>
        <v>0</v>
      </c>
      <c r="N276" s="1042">
        <f>COUNTIFS('TỔNG KLH + TN'!$B:$B,'01. TH'!$B276,'TỔNG KLH + TN'!$C:$C,'01. TH'!N$4)</f>
        <v>0</v>
      </c>
      <c r="O276" s="1042">
        <f>COUNTIFS('TỔNG KLH + TN'!$B:$B,'01. TH'!$B276,'TỔNG KLH + TN'!$C:$C,'01. TH'!O$4)</f>
        <v>0</v>
      </c>
      <c r="P276" s="1042">
        <f>COUNTIFS('TỔNG KLH + TN'!$B:$B,'01. TH'!$B276,'TỔNG KLH + TN'!$C:$C,'01. TH'!P$4)</f>
        <v>0</v>
      </c>
      <c r="Q276" s="1042">
        <f>COUNTIFS('TỔNG KLH + TN'!$B:$B,'01. TH'!$B276,'TỔNG KLH + TN'!$C:$C,'01. TH'!Q$4)</f>
        <v>0</v>
      </c>
      <c r="R276" s="1042">
        <f>COUNTIFS('TỔNG KLH + TN'!$B:$B,'01. TH'!$B276,'TỔNG KLH + TN'!$C:$C,'01. TH'!R$4)</f>
        <v>0</v>
      </c>
      <c r="S276" s="1042">
        <f>COUNTIFS('TỔNG KLH + TN'!$B:$B,'01. TH'!$B276,'TỔNG KLH + TN'!$C:$C,'01. TH'!S$4)</f>
        <v>0</v>
      </c>
      <c r="T276" s="1042">
        <f>COUNTIFS('TỔNG KLH + TN'!$B:$B,'01. TH'!$B276,'TỔNG KLH + TN'!$C:$C,'01. TH'!T$4)</f>
        <v>0</v>
      </c>
      <c r="U276" s="1042">
        <f>COUNTIFS('TỔNG KLH + TN'!$B:$B,'01. TH'!$B276,'TỔNG KLH + TN'!$C:$C,'01. TH'!U$4)</f>
        <v>0</v>
      </c>
      <c r="V276" s="1042">
        <f>COUNTIFS('TỔNG KLH + TN'!$B:$B,'01. TH'!$B276,'TỔNG KLH + TN'!$C:$C,'01. TH'!V$4)</f>
        <v>0</v>
      </c>
      <c r="W276" s="1042">
        <f>COUNTIFS('TỔNG KLH + TN'!$B:$B,'01. TH'!$B276,'TỔNG KLH + TN'!$C:$C,'01. TH'!W$4)</f>
        <v>0</v>
      </c>
      <c r="X276" s="1042">
        <f>COUNTIFS('TỔNG KLH + TN'!$B:$B,'01. TH'!$B276,'TỔNG KLH + TN'!$C:$C,'01. TH'!X$4)</f>
        <v>0</v>
      </c>
      <c r="Y276" s="1042">
        <f>COUNTIFS('TỔNG KLH + TN'!$B:$B,'01. TH'!$B276,'TỔNG KLH + TN'!$C:$C,'01. TH'!Y$4)</f>
        <v>0</v>
      </c>
      <c r="Z276" s="1042">
        <f>COUNTIFS('TỔNG KLH + TN'!$B:$B,'01. TH'!$B276,'TỔNG KLH + TN'!$C:$C,'01. TH'!Z$4)</f>
        <v>0</v>
      </c>
      <c r="AA276" s="1042">
        <f>COUNTIFS('TỔNG KLH + TN'!$B:$B,'01. TH'!$B276,'TỔNG KLH + TN'!$C:$C,'01. TH'!AA$4)</f>
        <v>0</v>
      </c>
      <c r="AB276" s="1042">
        <f>COUNTIFS('TỔNG KLH + TN'!$B:$B,'01. TH'!$B276,'TỔNG KLH + TN'!$C:$C,'01. TH'!AB$4)</f>
        <v>0</v>
      </c>
      <c r="AC276" s="1042">
        <f>COUNTIFS('TỔNG KLH + TN'!$B:$B,'01. TH'!$B276,'TỔNG KLH + TN'!$C:$C,'01. TH'!AC$4)</f>
        <v>0</v>
      </c>
      <c r="AD276" s="1042">
        <f>COUNTIFS('TỔNG KLH + TN'!$B:$B,'01. TH'!$B276,'TỔNG KLH + TN'!$C:$C,'01. TH'!AD$4)</f>
        <v>0</v>
      </c>
      <c r="AE276" s="1043">
        <f t="shared" si="52"/>
        <v>0</v>
      </c>
      <c r="AF276" s="1043"/>
      <c r="AG276" s="1033" t="str">
        <f t="shared" si="23"/>
        <v>ok</v>
      </c>
      <c r="AH276" s="1039"/>
    </row>
    <row r="277" ht="17.25" hidden="1" customHeight="1" outlineLevel="1" spans="1:34">
      <c r="A277" s="1061"/>
      <c r="B277" s="1066" t="s">
        <v>416</v>
      </c>
      <c r="C277" s="1063"/>
      <c r="D277" s="1063"/>
      <c r="E277" s="1063" t="s">
        <v>302</v>
      </c>
      <c r="F277" s="1042">
        <f>COUNTIFS('TỔNG KLH + TN'!$B:$B,'01. TH'!$B277,'TỔNG KLH + TN'!$C:$C,'01. TH'!F$4)</f>
        <v>0</v>
      </c>
      <c r="G277" s="1042">
        <f>COUNTIFS('TỔNG KLH + TN'!$B:$B,'01. TH'!$B277,'TỔNG KLH + TN'!$C:$C,'01. TH'!G$4)</f>
        <v>0</v>
      </c>
      <c r="H277" s="1042">
        <f>COUNTIFS('TỔNG KLH + TN'!$B:$B,'01. TH'!$B277,'TỔNG KLH + TN'!$C:$C,'01. TH'!H$4)</f>
        <v>0</v>
      </c>
      <c r="I277" s="1042">
        <f>COUNTIFS('TỔNG KLH + TN'!$B:$B,'01. TH'!$B277,'TỔNG KLH + TN'!$C:$C,'01. TH'!I$4)</f>
        <v>0</v>
      </c>
      <c r="J277" s="1042">
        <f>COUNTIFS('TỔNG KLH + TN'!$B:$B,'01. TH'!$B277,'TỔNG KLH + TN'!$C:$C,'01. TH'!J$4)</f>
        <v>0</v>
      </c>
      <c r="K277" s="1042">
        <f>COUNTIFS('TỔNG KLH + TN'!$B:$B,'01. TH'!$B277,'TỔNG KLH + TN'!$C:$C,'01. TH'!K$4)</f>
        <v>0</v>
      </c>
      <c r="L277" s="1042">
        <f>COUNTIFS('TỔNG KLH + TN'!$B:$B,'01. TH'!$B277,'TỔNG KLH + TN'!$C:$C,'01. TH'!L$4)</f>
        <v>0</v>
      </c>
      <c r="M277" s="1042">
        <f>COUNTIFS('TỔNG KLH + TN'!$B:$B,'01. TH'!$B277,'TỔNG KLH + TN'!$C:$C,'01. TH'!M$4)</f>
        <v>0</v>
      </c>
      <c r="N277" s="1042">
        <f>COUNTIFS('TỔNG KLH + TN'!$B:$B,'01. TH'!$B277,'TỔNG KLH + TN'!$C:$C,'01. TH'!N$4)</f>
        <v>0</v>
      </c>
      <c r="O277" s="1042">
        <f>COUNTIFS('TỔNG KLH + TN'!$B:$B,'01. TH'!$B277,'TỔNG KLH + TN'!$C:$C,'01. TH'!O$4)</f>
        <v>0</v>
      </c>
      <c r="P277" s="1042">
        <f>COUNTIFS('TỔNG KLH + TN'!$B:$B,'01. TH'!$B277,'TỔNG KLH + TN'!$C:$C,'01. TH'!P$4)</f>
        <v>0</v>
      </c>
      <c r="Q277" s="1042">
        <f>COUNTIFS('TỔNG KLH + TN'!$B:$B,'01. TH'!$B277,'TỔNG KLH + TN'!$C:$C,'01. TH'!Q$4)</f>
        <v>0</v>
      </c>
      <c r="R277" s="1042">
        <f>COUNTIFS('TỔNG KLH + TN'!$B:$B,'01. TH'!$B277,'TỔNG KLH + TN'!$C:$C,'01. TH'!R$4)</f>
        <v>0</v>
      </c>
      <c r="S277" s="1042">
        <f>COUNTIFS('TỔNG KLH + TN'!$B:$B,'01. TH'!$B277,'TỔNG KLH + TN'!$C:$C,'01. TH'!S$4)</f>
        <v>0</v>
      </c>
      <c r="T277" s="1042">
        <f>COUNTIFS('TỔNG KLH + TN'!$B:$B,'01. TH'!$B277,'TỔNG KLH + TN'!$C:$C,'01. TH'!T$4)</f>
        <v>0</v>
      </c>
      <c r="U277" s="1042">
        <f>COUNTIFS('TỔNG KLH + TN'!$B:$B,'01. TH'!$B277,'TỔNG KLH + TN'!$C:$C,'01. TH'!U$4)</f>
        <v>0</v>
      </c>
      <c r="V277" s="1042">
        <f>COUNTIFS('TỔNG KLH + TN'!$B:$B,'01. TH'!$B277,'TỔNG KLH + TN'!$C:$C,'01. TH'!V$4)</f>
        <v>0</v>
      </c>
      <c r="W277" s="1042">
        <f>COUNTIFS('TỔNG KLH + TN'!$B:$B,'01. TH'!$B277,'TỔNG KLH + TN'!$C:$C,'01. TH'!W$4)</f>
        <v>0</v>
      </c>
      <c r="X277" s="1042">
        <f>COUNTIFS('TỔNG KLH + TN'!$B:$B,'01. TH'!$B277,'TỔNG KLH + TN'!$C:$C,'01. TH'!X$4)</f>
        <v>0</v>
      </c>
      <c r="Y277" s="1042">
        <f>COUNTIFS('TỔNG KLH + TN'!$B:$B,'01. TH'!$B277,'TỔNG KLH + TN'!$C:$C,'01. TH'!Y$4)</f>
        <v>0</v>
      </c>
      <c r="Z277" s="1042">
        <f>COUNTIFS('TỔNG KLH + TN'!$B:$B,'01. TH'!$B277,'TỔNG KLH + TN'!$C:$C,'01. TH'!Z$4)</f>
        <v>0</v>
      </c>
      <c r="AA277" s="1042">
        <f>COUNTIFS('TỔNG KLH + TN'!$B:$B,'01. TH'!$B277,'TỔNG KLH + TN'!$C:$C,'01. TH'!AA$4)</f>
        <v>0</v>
      </c>
      <c r="AB277" s="1042">
        <f>COUNTIFS('TỔNG KLH + TN'!$B:$B,'01. TH'!$B277,'TỔNG KLH + TN'!$C:$C,'01. TH'!AB$4)</f>
        <v>0</v>
      </c>
      <c r="AC277" s="1042">
        <f>COUNTIFS('TỔNG KLH + TN'!$B:$B,'01. TH'!$B277,'TỔNG KLH + TN'!$C:$C,'01. TH'!AC$4)</f>
        <v>0</v>
      </c>
      <c r="AD277" s="1042">
        <f>COUNTIFS('TỔNG KLH + TN'!$B:$B,'01. TH'!$B277,'TỔNG KLH + TN'!$C:$C,'01. TH'!AD$4)</f>
        <v>0</v>
      </c>
      <c r="AE277" s="1045">
        <f t="shared" si="52"/>
        <v>0</v>
      </c>
      <c r="AF277" s="1045"/>
      <c r="AG277" s="1033" t="str">
        <f t="shared" si="23"/>
        <v>ok</v>
      </c>
      <c r="AH277" s="1064"/>
    </row>
    <row r="278" ht="17.25" hidden="1" customHeight="1" outlineLevel="1" spans="1:34">
      <c r="A278" s="1061"/>
      <c r="B278" s="1066" t="s">
        <v>417</v>
      </c>
      <c r="C278" s="1063"/>
      <c r="D278" s="1063"/>
      <c r="E278" s="1063" t="s">
        <v>302</v>
      </c>
      <c r="F278" s="1042">
        <f>COUNTIFS('TỔNG KLH + TN'!$B:$B,'01. TH'!$B278,'TỔNG KLH + TN'!$C:$C,'01. TH'!F$4)</f>
        <v>0</v>
      </c>
      <c r="G278" s="1042">
        <f>COUNTIFS('TỔNG KLH + TN'!$B:$B,'01. TH'!$B278,'TỔNG KLH + TN'!$C:$C,'01. TH'!G$4)</f>
        <v>0</v>
      </c>
      <c r="H278" s="1042">
        <f>COUNTIFS('TỔNG KLH + TN'!$B:$B,'01. TH'!$B278,'TỔNG KLH + TN'!$C:$C,'01. TH'!H$4)</f>
        <v>0</v>
      </c>
      <c r="I278" s="1042">
        <f>COUNTIFS('TỔNG KLH + TN'!$B:$B,'01. TH'!$B278,'TỔNG KLH + TN'!$C:$C,'01. TH'!I$4)</f>
        <v>0</v>
      </c>
      <c r="J278" s="1042">
        <f>COUNTIFS('TỔNG KLH + TN'!$B:$B,'01. TH'!$B278,'TỔNG KLH + TN'!$C:$C,'01. TH'!J$4)</f>
        <v>0</v>
      </c>
      <c r="K278" s="1042">
        <f>COUNTIFS('TỔNG KLH + TN'!$B:$B,'01. TH'!$B278,'TỔNG KLH + TN'!$C:$C,'01. TH'!K$4)</f>
        <v>0</v>
      </c>
      <c r="L278" s="1042">
        <f>COUNTIFS('TỔNG KLH + TN'!$B:$B,'01. TH'!$B278,'TỔNG KLH + TN'!$C:$C,'01. TH'!L$4)</f>
        <v>0</v>
      </c>
      <c r="M278" s="1042">
        <f>COUNTIFS('TỔNG KLH + TN'!$B:$B,'01. TH'!$B278,'TỔNG KLH + TN'!$C:$C,'01. TH'!M$4)</f>
        <v>0</v>
      </c>
      <c r="N278" s="1042">
        <f>COUNTIFS('TỔNG KLH + TN'!$B:$B,'01. TH'!$B278,'TỔNG KLH + TN'!$C:$C,'01. TH'!N$4)</f>
        <v>0</v>
      </c>
      <c r="O278" s="1042">
        <f>COUNTIFS('TỔNG KLH + TN'!$B:$B,'01. TH'!$B278,'TỔNG KLH + TN'!$C:$C,'01. TH'!O$4)</f>
        <v>0</v>
      </c>
      <c r="P278" s="1042">
        <f>COUNTIFS('TỔNG KLH + TN'!$B:$B,'01. TH'!$B278,'TỔNG KLH + TN'!$C:$C,'01. TH'!P$4)</f>
        <v>0</v>
      </c>
      <c r="Q278" s="1042">
        <f>COUNTIFS('TỔNG KLH + TN'!$B:$B,'01. TH'!$B278,'TỔNG KLH + TN'!$C:$C,'01. TH'!Q$4)</f>
        <v>0</v>
      </c>
      <c r="R278" s="1042">
        <f>COUNTIFS('TỔNG KLH + TN'!$B:$B,'01. TH'!$B278,'TỔNG KLH + TN'!$C:$C,'01. TH'!R$4)</f>
        <v>0</v>
      </c>
      <c r="S278" s="1042">
        <f>COUNTIFS('TỔNG KLH + TN'!$B:$B,'01. TH'!$B278,'TỔNG KLH + TN'!$C:$C,'01. TH'!S$4)</f>
        <v>0</v>
      </c>
      <c r="T278" s="1042">
        <f>COUNTIFS('TỔNG KLH + TN'!$B:$B,'01. TH'!$B278,'TỔNG KLH + TN'!$C:$C,'01. TH'!T$4)</f>
        <v>0</v>
      </c>
      <c r="U278" s="1042">
        <f>COUNTIFS('TỔNG KLH + TN'!$B:$B,'01. TH'!$B278,'TỔNG KLH + TN'!$C:$C,'01. TH'!U$4)</f>
        <v>0</v>
      </c>
      <c r="V278" s="1042">
        <f>COUNTIFS('TỔNG KLH + TN'!$B:$B,'01. TH'!$B278,'TỔNG KLH + TN'!$C:$C,'01. TH'!V$4)</f>
        <v>0</v>
      </c>
      <c r="W278" s="1042">
        <f>COUNTIFS('TỔNG KLH + TN'!$B:$B,'01. TH'!$B278,'TỔNG KLH + TN'!$C:$C,'01. TH'!W$4)</f>
        <v>7</v>
      </c>
      <c r="X278" s="1042">
        <f>COUNTIFS('TỔNG KLH + TN'!$B:$B,'01. TH'!$B278,'TỔNG KLH + TN'!$C:$C,'01. TH'!X$4)</f>
        <v>0</v>
      </c>
      <c r="Y278" s="1042">
        <f>COUNTIFS('TỔNG KLH + TN'!$B:$B,'01. TH'!$B278,'TỔNG KLH + TN'!$C:$C,'01. TH'!Y$4)</f>
        <v>0</v>
      </c>
      <c r="Z278" s="1042">
        <f>COUNTIFS('TỔNG KLH + TN'!$B:$B,'01. TH'!$B278,'TỔNG KLH + TN'!$C:$C,'01. TH'!Z$4)</f>
        <v>0</v>
      </c>
      <c r="AA278" s="1042">
        <f>COUNTIFS('TỔNG KLH + TN'!$B:$B,'01. TH'!$B278,'TỔNG KLH + TN'!$C:$C,'01. TH'!AA$4)</f>
        <v>0</v>
      </c>
      <c r="AB278" s="1042">
        <f>COUNTIFS('TỔNG KLH + TN'!$B:$B,'01. TH'!$B278,'TỔNG KLH + TN'!$C:$C,'01. TH'!AB$4)</f>
        <v>0</v>
      </c>
      <c r="AC278" s="1042">
        <f>COUNTIFS('TỔNG KLH + TN'!$B:$B,'01. TH'!$B278,'TỔNG KLH + TN'!$C:$C,'01. TH'!AC$4)</f>
        <v>0</v>
      </c>
      <c r="AD278" s="1042">
        <f>COUNTIFS('TỔNG KLH + TN'!$B:$B,'01. TH'!$B278,'TỔNG KLH + TN'!$C:$C,'01. TH'!AD$4)</f>
        <v>0</v>
      </c>
      <c r="AE278" s="1045">
        <f t="shared" si="52"/>
        <v>7</v>
      </c>
      <c r="AF278" s="1045"/>
      <c r="AG278" s="1033" t="str">
        <f t="shared" si="23"/>
        <v>ok</v>
      </c>
      <c r="AH278" s="1064"/>
    </row>
    <row r="279" ht="17.25" hidden="1" customHeight="1" outlineLevel="1" spans="1:34">
      <c r="A279" s="1039"/>
      <c r="B279" s="1040" t="s">
        <v>418</v>
      </c>
      <c r="C279" s="1041"/>
      <c r="D279" s="1041"/>
      <c r="E279" s="1063" t="s">
        <v>302</v>
      </c>
      <c r="F279" s="1042">
        <f>COUNTIFS('TỔNG KLH + TN'!$B:$B,'01. TH'!$B279,'TỔNG KLH + TN'!$C:$C,'01. TH'!F$4)</f>
        <v>0</v>
      </c>
      <c r="G279" s="1042">
        <f>COUNTIFS('TỔNG KLH + TN'!$B:$B,'01. TH'!$B279,'TỔNG KLH + TN'!$C:$C,'01. TH'!G$4)</f>
        <v>0</v>
      </c>
      <c r="H279" s="1042">
        <f>COUNTIFS('TỔNG KLH + TN'!$B:$B,'01. TH'!$B279,'TỔNG KLH + TN'!$C:$C,'01. TH'!H$4)</f>
        <v>0</v>
      </c>
      <c r="I279" s="1042">
        <f>COUNTIFS('TỔNG KLH + TN'!$B:$B,'01. TH'!$B279,'TỔNG KLH + TN'!$C:$C,'01. TH'!I$4)</f>
        <v>0</v>
      </c>
      <c r="J279" s="1042">
        <f>COUNTIFS('TỔNG KLH + TN'!$B:$B,'01. TH'!$B279,'TỔNG KLH + TN'!$C:$C,'01. TH'!J$4)</f>
        <v>0</v>
      </c>
      <c r="K279" s="1042">
        <f>COUNTIFS('TỔNG KLH + TN'!$B:$B,'01. TH'!$B279,'TỔNG KLH + TN'!$C:$C,'01. TH'!K$4)</f>
        <v>0</v>
      </c>
      <c r="L279" s="1042">
        <f>COUNTIFS('TỔNG KLH + TN'!$B:$B,'01. TH'!$B279,'TỔNG KLH + TN'!$C:$C,'01. TH'!L$4)</f>
        <v>0</v>
      </c>
      <c r="M279" s="1042">
        <f>COUNTIFS('TỔNG KLH + TN'!$B:$B,'01. TH'!$B279,'TỔNG KLH + TN'!$C:$C,'01. TH'!M$4)</f>
        <v>0</v>
      </c>
      <c r="N279" s="1042">
        <f>COUNTIFS('TỔNG KLH + TN'!$B:$B,'01. TH'!$B279,'TỔNG KLH + TN'!$C:$C,'01. TH'!N$4)</f>
        <v>0</v>
      </c>
      <c r="O279" s="1042">
        <f>COUNTIFS('TỔNG KLH + TN'!$B:$B,'01. TH'!$B279,'TỔNG KLH + TN'!$C:$C,'01. TH'!O$4)</f>
        <v>0</v>
      </c>
      <c r="P279" s="1042">
        <f>COUNTIFS('TỔNG KLH + TN'!$B:$B,'01. TH'!$B279,'TỔNG KLH + TN'!$C:$C,'01. TH'!P$4)</f>
        <v>0</v>
      </c>
      <c r="Q279" s="1042">
        <f>COUNTIFS('TỔNG KLH + TN'!$B:$B,'01. TH'!$B279,'TỔNG KLH + TN'!$C:$C,'01. TH'!Q$4)</f>
        <v>0</v>
      </c>
      <c r="R279" s="1042">
        <f>COUNTIFS('TỔNG KLH + TN'!$B:$B,'01. TH'!$B279,'TỔNG KLH + TN'!$C:$C,'01. TH'!R$4)</f>
        <v>0</v>
      </c>
      <c r="S279" s="1042">
        <f>COUNTIFS('TỔNG KLH + TN'!$B:$B,'01. TH'!$B279,'TỔNG KLH + TN'!$C:$C,'01. TH'!S$4)</f>
        <v>0</v>
      </c>
      <c r="T279" s="1042">
        <f>COUNTIFS('TỔNG KLH + TN'!$B:$B,'01. TH'!$B279,'TỔNG KLH + TN'!$C:$C,'01. TH'!T$4)</f>
        <v>0</v>
      </c>
      <c r="U279" s="1042">
        <f>COUNTIFS('TỔNG KLH + TN'!$B:$B,'01. TH'!$B279,'TỔNG KLH + TN'!$C:$C,'01. TH'!U$4)</f>
        <v>0</v>
      </c>
      <c r="V279" s="1042">
        <f>COUNTIFS('TỔNG KLH + TN'!$B:$B,'01. TH'!$B279,'TỔNG KLH + TN'!$C:$C,'01. TH'!V$4)</f>
        <v>0</v>
      </c>
      <c r="W279" s="1042">
        <f>COUNTIFS('TỔNG KLH + TN'!$B:$B,'01. TH'!$B279,'TỔNG KLH + TN'!$C:$C,'01. TH'!W$4)</f>
        <v>0</v>
      </c>
      <c r="X279" s="1042">
        <f>COUNTIFS('TỔNG KLH + TN'!$B:$B,'01. TH'!$B279,'TỔNG KLH + TN'!$C:$C,'01. TH'!X$4)</f>
        <v>0</v>
      </c>
      <c r="Y279" s="1042">
        <f>COUNTIFS('TỔNG KLH + TN'!$B:$B,'01. TH'!$B279,'TỔNG KLH + TN'!$C:$C,'01. TH'!Y$4)</f>
        <v>0</v>
      </c>
      <c r="Z279" s="1042">
        <f>COUNTIFS('TỔNG KLH + TN'!$B:$B,'01. TH'!$B279,'TỔNG KLH + TN'!$C:$C,'01. TH'!Z$4)</f>
        <v>0</v>
      </c>
      <c r="AA279" s="1042">
        <f>COUNTIFS('TỔNG KLH + TN'!$B:$B,'01. TH'!$B279,'TỔNG KLH + TN'!$C:$C,'01. TH'!AA$4)</f>
        <v>0</v>
      </c>
      <c r="AB279" s="1042">
        <f>COUNTIFS('TỔNG KLH + TN'!$B:$B,'01. TH'!$B279,'TỔNG KLH + TN'!$C:$C,'01. TH'!AB$4)</f>
        <v>0</v>
      </c>
      <c r="AC279" s="1042">
        <f>COUNTIFS('TỔNG KLH + TN'!$B:$B,'01. TH'!$B279,'TỔNG KLH + TN'!$C:$C,'01. TH'!AC$4)</f>
        <v>0</v>
      </c>
      <c r="AD279" s="1042">
        <f>COUNTIFS('TỔNG KLH + TN'!$B:$B,'01. TH'!$B279,'TỔNG KLH + TN'!$C:$C,'01. TH'!AD$4)</f>
        <v>0</v>
      </c>
      <c r="AE279" s="1043">
        <f t="shared" si="52"/>
        <v>0</v>
      </c>
      <c r="AF279" s="1043"/>
      <c r="AG279" s="1033" t="str">
        <f t="shared" si="23"/>
        <v>ok</v>
      </c>
      <c r="AH279" s="1039"/>
    </row>
    <row r="280" ht="24" customHeight="1" spans="1:34">
      <c r="A280" s="1069" t="s">
        <v>42</v>
      </c>
      <c r="B280" s="271"/>
      <c r="C280" s="271"/>
      <c r="D280" s="272"/>
      <c r="E280" s="1070"/>
      <c r="F280" s="1071">
        <f t="shared" ref="F280:AE280" si="53">SUMIF($E$1:$E$279,$A280,F$1:F$279)</f>
        <v>44</v>
      </c>
      <c r="G280" s="1071">
        <f t="shared" si="53"/>
        <v>15</v>
      </c>
      <c r="H280" s="1071">
        <f t="shared" si="53"/>
        <v>0</v>
      </c>
      <c r="I280" s="1071">
        <f t="shared" si="53"/>
        <v>0</v>
      </c>
      <c r="J280" s="1071">
        <f t="shared" si="53"/>
        <v>0</v>
      </c>
      <c r="K280" s="1071">
        <f t="shared" si="53"/>
        <v>0</v>
      </c>
      <c r="L280" s="1071">
        <f t="shared" si="53"/>
        <v>4</v>
      </c>
      <c r="M280" s="1071">
        <f t="shared" si="53"/>
        <v>4</v>
      </c>
      <c r="N280" s="1071">
        <f t="shared" si="53"/>
        <v>0</v>
      </c>
      <c r="O280" s="1071">
        <f t="shared" si="53"/>
        <v>26</v>
      </c>
      <c r="P280" s="1071">
        <f t="shared" si="53"/>
        <v>14</v>
      </c>
      <c r="Q280" s="1071">
        <f t="shared" si="53"/>
        <v>0</v>
      </c>
      <c r="R280" s="1071">
        <f t="shared" si="53"/>
        <v>0</v>
      </c>
      <c r="S280" s="1071">
        <f t="shared" si="53"/>
        <v>32</v>
      </c>
      <c r="T280" s="1071">
        <f t="shared" si="53"/>
        <v>0</v>
      </c>
      <c r="U280" s="1071">
        <f t="shared" si="53"/>
        <v>0</v>
      </c>
      <c r="V280" s="1071">
        <f t="shared" si="53"/>
        <v>1</v>
      </c>
      <c r="W280" s="1071">
        <f t="shared" si="53"/>
        <v>22</v>
      </c>
      <c r="X280" s="1071">
        <f t="shared" si="53"/>
        <v>11</v>
      </c>
      <c r="Y280" s="1071">
        <f t="shared" si="53"/>
        <v>4</v>
      </c>
      <c r="Z280" s="1071">
        <f t="shared" si="53"/>
        <v>0</v>
      </c>
      <c r="AA280" s="1071">
        <f t="shared" si="53"/>
        <v>24</v>
      </c>
      <c r="AB280" s="1071">
        <f t="shared" si="53"/>
        <v>10</v>
      </c>
      <c r="AC280" s="1071">
        <f t="shared" si="53"/>
        <v>4</v>
      </c>
      <c r="AD280" s="1071">
        <f t="shared" si="53"/>
        <v>3</v>
      </c>
      <c r="AE280" s="1048">
        <f t="shared" si="53"/>
        <v>218</v>
      </c>
      <c r="AF280" s="1072">
        <f>SUM(AF5:AF256)</f>
        <v>64</v>
      </c>
      <c r="AG280" s="1033" t="str">
        <f t="shared" si="23"/>
        <v>ok</v>
      </c>
      <c r="AH280" s="1073"/>
    </row>
    <row r="281" ht="24" customHeight="1" spans="1:34">
      <c r="A281" s="1069" t="s">
        <v>273</v>
      </c>
      <c r="B281" s="271"/>
      <c r="C281" s="271"/>
      <c r="D281" s="272"/>
      <c r="E281" s="1070"/>
      <c r="F281" s="1071">
        <f t="shared" ref="F281:AE281" si="54">SUMIF($E$1:$E$279,$A281,F$1:F$279)</f>
        <v>0</v>
      </c>
      <c r="G281" s="1071">
        <f t="shared" si="54"/>
        <v>0</v>
      </c>
      <c r="H281" s="1071">
        <f t="shared" si="54"/>
        <v>7</v>
      </c>
      <c r="I281" s="1071">
        <f t="shared" si="54"/>
        <v>2</v>
      </c>
      <c r="J281" s="1071">
        <f t="shared" si="54"/>
        <v>3</v>
      </c>
      <c r="K281" s="1071">
        <f t="shared" si="54"/>
        <v>0</v>
      </c>
      <c r="L281" s="1071">
        <f t="shared" si="54"/>
        <v>0</v>
      </c>
      <c r="M281" s="1071">
        <f t="shared" si="54"/>
        <v>0</v>
      </c>
      <c r="N281" s="1071">
        <f t="shared" si="54"/>
        <v>0</v>
      </c>
      <c r="O281" s="1071">
        <f t="shared" si="54"/>
        <v>0</v>
      </c>
      <c r="P281" s="1071">
        <f t="shared" si="54"/>
        <v>0</v>
      </c>
      <c r="Q281" s="1071">
        <f t="shared" si="54"/>
        <v>8</v>
      </c>
      <c r="R281" s="1071">
        <f t="shared" si="54"/>
        <v>2</v>
      </c>
      <c r="S281" s="1071">
        <f t="shared" si="54"/>
        <v>0</v>
      </c>
      <c r="T281" s="1071">
        <f t="shared" si="54"/>
        <v>0</v>
      </c>
      <c r="U281" s="1071">
        <f t="shared" si="54"/>
        <v>16</v>
      </c>
      <c r="V281" s="1071">
        <f t="shared" si="54"/>
        <v>3</v>
      </c>
      <c r="W281" s="1071">
        <f t="shared" si="54"/>
        <v>0</v>
      </c>
      <c r="X281" s="1071">
        <f t="shared" si="54"/>
        <v>0</v>
      </c>
      <c r="Y281" s="1071">
        <f t="shared" si="54"/>
        <v>7</v>
      </c>
      <c r="Z281" s="1071">
        <f t="shared" si="54"/>
        <v>0</v>
      </c>
      <c r="AA281" s="1071">
        <f t="shared" si="54"/>
        <v>0</v>
      </c>
      <c r="AB281" s="1071">
        <f t="shared" si="54"/>
        <v>9</v>
      </c>
      <c r="AC281" s="1071">
        <f t="shared" si="54"/>
        <v>4</v>
      </c>
      <c r="AD281" s="1071">
        <f t="shared" si="54"/>
        <v>0</v>
      </c>
      <c r="AE281" s="1048">
        <f t="shared" si="54"/>
        <v>61</v>
      </c>
      <c r="AF281" s="275"/>
      <c r="AG281" s="1033" t="str">
        <f t="shared" si="23"/>
        <v>ok</v>
      </c>
      <c r="AH281" s="1073"/>
    </row>
    <row r="282" ht="24" customHeight="1" spans="1:34">
      <c r="A282" s="1069" t="s">
        <v>302</v>
      </c>
      <c r="B282" s="271"/>
      <c r="C282" s="271"/>
      <c r="D282" s="272"/>
      <c r="E282" s="1070"/>
      <c r="F282" s="1071">
        <f t="shared" ref="F282:AE282" si="55">SUMIF($E$1:$E$279,$A282,F$1:F$279)</f>
        <v>2</v>
      </c>
      <c r="G282" s="1071">
        <f t="shared" si="55"/>
        <v>40</v>
      </c>
      <c r="H282" s="1071">
        <f t="shared" si="55"/>
        <v>0</v>
      </c>
      <c r="I282" s="1071">
        <f t="shared" si="55"/>
        <v>0</v>
      </c>
      <c r="J282" s="1071">
        <f t="shared" si="55"/>
        <v>0</v>
      </c>
      <c r="K282" s="1071">
        <f t="shared" si="55"/>
        <v>0</v>
      </c>
      <c r="L282" s="1071">
        <f t="shared" si="55"/>
        <v>0</v>
      </c>
      <c r="M282" s="1071">
        <f t="shared" si="55"/>
        <v>0</v>
      </c>
      <c r="N282" s="1071">
        <f t="shared" si="55"/>
        <v>0</v>
      </c>
      <c r="O282" s="1071">
        <f t="shared" si="55"/>
        <v>4</v>
      </c>
      <c r="P282" s="1071">
        <f t="shared" si="55"/>
        <v>24</v>
      </c>
      <c r="Q282" s="1071">
        <f t="shared" si="55"/>
        <v>12</v>
      </c>
      <c r="R282" s="1071">
        <f t="shared" si="55"/>
        <v>0</v>
      </c>
      <c r="S282" s="1071">
        <f t="shared" si="55"/>
        <v>10</v>
      </c>
      <c r="T282" s="1071">
        <f t="shared" si="55"/>
        <v>0</v>
      </c>
      <c r="U282" s="1071">
        <f t="shared" si="55"/>
        <v>14</v>
      </c>
      <c r="V282" s="1071">
        <f t="shared" si="55"/>
        <v>0</v>
      </c>
      <c r="W282" s="1071">
        <f t="shared" si="55"/>
        <v>18</v>
      </c>
      <c r="X282" s="1071">
        <f t="shared" si="55"/>
        <v>0</v>
      </c>
      <c r="Y282" s="1071">
        <f t="shared" si="55"/>
        <v>0</v>
      </c>
      <c r="Z282" s="1071">
        <f t="shared" si="55"/>
        <v>0</v>
      </c>
      <c r="AA282" s="1071">
        <f t="shared" si="55"/>
        <v>0</v>
      </c>
      <c r="AB282" s="1071">
        <f t="shared" si="55"/>
        <v>0</v>
      </c>
      <c r="AC282" s="1071">
        <f t="shared" si="55"/>
        <v>0</v>
      </c>
      <c r="AD282" s="1071">
        <f t="shared" si="55"/>
        <v>0</v>
      </c>
      <c r="AE282" s="1048">
        <f t="shared" si="55"/>
        <v>124</v>
      </c>
      <c r="AF282" s="278"/>
      <c r="AG282" s="1033" t="str">
        <f t="shared" si="23"/>
        <v>ok</v>
      </c>
      <c r="AH282" s="1073"/>
    </row>
    <row r="283" ht="14.25" customHeight="1" spans="1:34">
      <c r="B283" s="1018"/>
      <c r="C283" s="1019"/>
      <c r="D283" s="1019"/>
      <c r="E283" s="1019"/>
      <c r="F283" s="1020"/>
      <c r="G283" s="1020"/>
      <c r="H283" s="1020"/>
      <c r="I283" s="1020"/>
      <c r="J283" s="1020"/>
      <c r="K283" s="1020"/>
      <c r="L283" s="1020"/>
      <c r="M283" s="1020"/>
      <c r="N283" s="1020"/>
      <c r="O283" s="1020"/>
      <c r="P283" s="1020"/>
      <c r="Q283" s="1020"/>
      <c r="R283" s="1020"/>
      <c r="S283" s="1020"/>
      <c r="T283" s="1020"/>
      <c r="U283" s="1020"/>
      <c r="V283" s="1020"/>
      <c r="W283" s="1020"/>
      <c r="X283" s="1020"/>
      <c r="Y283" s="1020"/>
      <c r="Z283" s="1020"/>
      <c r="AA283" s="1020"/>
      <c r="AB283" s="1020"/>
      <c r="AC283" s="1020"/>
      <c r="AD283" s="1020"/>
      <c r="AE283" s="1020"/>
      <c r="AF283" s="1020"/>
      <c r="AG283" s="467"/>
      <c r="AH283" s="467"/>
    </row>
    <row r="284" ht="14.25" customHeight="1" spans="1:34">
      <c r="B284" s="1018"/>
      <c r="C284" s="1019"/>
      <c r="D284" s="1019"/>
      <c r="E284" s="1019"/>
      <c r="F284" s="1020"/>
      <c r="G284" s="1020"/>
      <c r="H284" s="1020"/>
      <c r="I284" s="1020"/>
      <c r="J284" s="1020"/>
      <c r="K284" s="1020"/>
      <c r="L284" s="1020"/>
      <c r="M284" s="1020"/>
      <c r="N284" s="1020"/>
      <c r="O284" s="1020"/>
      <c r="P284" s="1020"/>
      <c r="Q284" s="1020"/>
      <c r="R284" s="1020"/>
      <c r="S284" s="1020"/>
      <c r="T284" s="1020"/>
      <c r="U284" s="1020"/>
      <c r="V284" s="1020"/>
      <c r="W284" s="1020"/>
      <c r="X284" s="1020"/>
      <c r="Y284" s="1020"/>
      <c r="Z284" s="1020"/>
      <c r="AA284" s="1020"/>
      <c r="AB284" s="1020"/>
      <c r="AC284" s="1020"/>
      <c r="AD284" s="1020"/>
      <c r="AE284" s="1020"/>
      <c r="AF284" s="1020"/>
      <c r="AG284" s="467"/>
      <c r="AH284" s="467"/>
    </row>
    <row r="285" ht="14.25" customHeight="1" spans="1:34">
      <c r="B285" s="1018"/>
      <c r="C285" s="1019"/>
      <c r="D285" s="1019"/>
      <c r="E285" s="1019"/>
      <c r="F285" s="1020"/>
      <c r="G285" s="1020"/>
      <c r="H285" s="1020"/>
      <c r="I285" s="1020"/>
      <c r="J285" s="1020"/>
      <c r="K285" s="1020"/>
      <c r="L285" s="1020"/>
      <c r="M285" s="1020"/>
      <c r="N285" s="1020"/>
      <c r="O285" s="1020"/>
      <c r="P285" s="1020"/>
      <c r="Q285" s="1020"/>
      <c r="R285" s="1020"/>
      <c r="S285" s="1020"/>
      <c r="T285" s="1020"/>
      <c r="U285" s="1020"/>
      <c r="V285" s="1020"/>
      <c r="W285" s="1020"/>
      <c r="X285" s="1020"/>
      <c r="Y285" s="1020"/>
      <c r="Z285" s="1020"/>
      <c r="AA285" s="1020"/>
      <c r="AB285" s="1020"/>
      <c r="AC285" s="1020"/>
      <c r="AD285" s="1020"/>
      <c r="AE285" s="1020"/>
      <c r="AF285" s="1020"/>
      <c r="AG285" s="467"/>
      <c r="AH285" s="467"/>
    </row>
    <row r="286" ht="14.25" customHeight="1" spans="1:34">
      <c r="B286" s="1018"/>
      <c r="C286" s="1019"/>
      <c r="D286" s="1019"/>
      <c r="E286" s="1019"/>
      <c r="F286" s="1020"/>
      <c r="G286" s="1020"/>
      <c r="H286" s="1020"/>
      <c r="I286" s="1020"/>
      <c r="J286" s="1020"/>
      <c r="K286" s="1020"/>
      <c r="L286" s="1020"/>
      <c r="M286" s="1020"/>
      <c r="N286" s="1020"/>
      <c r="O286" s="1020"/>
      <c r="P286" s="1020"/>
      <c r="Q286" s="1020"/>
      <c r="R286" s="1020"/>
      <c r="S286" s="1020"/>
      <c r="T286" s="1020"/>
      <c r="U286" s="1020"/>
      <c r="V286" s="1020"/>
      <c r="W286" s="1020"/>
      <c r="X286" s="1020"/>
      <c r="Y286" s="1020"/>
      <c r="Z286" s="1020"/>
      <c r="AA286" s="1020"/>
      <c r="AB286" s="1020"/>
      <c r="AC286" s="1020"/>
      <c r="AD286" s="1020"/>
      <c r="AE286" s="1020"/>
      <c r="AF286" s="1020"/>
      <c r="AG286" s="467"/>
      <c r="AH286" s="467"/>
    </row>
    <row r="287" ht="14.25" customHeight="1" spans="1:34">
      <c r="B287" s="1018"/>
      <c r="C287" s="1019"/>
      <c r="D287" s="1019"/>
      <c r="E287" s="1019"/>
      <c r="F287" s="1020"/>
      <c r="G287" s="1020"/>
      <c r="H287" s="1020"/>
      <c r="I287" s="1020"/>
      <c r="J287" s="1020"/>
      <c r="K287" s="1020"/>
      <c r="L287" s="1020"/>
      <c r="M287" s="1020"/>
      <c r="N287" s="1020"/>
      <c r="O287" s="1020"/>
      <c r="P287" s="1020"/>
      <c r="Q287" s="1020"/>
      <c r="R287" s="1020"/>
      <c r="S287" s="1020"/>
      <c r="T287" s="1020"/>
      <c r="U287" s="1020"/>
      <c r="V287" s="1020"/>
      <c r="W287" s="1020"/>
      <c r="X287" s="1020"/>
      <c r="Y287" s="1020"/>
      <c r="Z287" s="1020"/>
      <c r="AA287" s="1020"/>
      <c r="AB287" s="1020"/>
      <c r="AC287" s="1020"/>
      <c r="AD287" s="1020"/>
      <c r="AE287" s="1020"/>
      <c r="AF287" s="1020"/>
      <c r="AG287" s="467"/>
      <c r="AH287" s="467"/>
    </row>
    <row r="288" ht="14.25" customHeight="1" spans="1:34">
      <c r="B288" s="1018"/>
      <c r="C288" s="1019"/>
      <c r="D288" s="1019"/>
      <c r="E288" s="1019"/>
      <c r="F288" s="1020"/>
      <c r="G288" s="1020"/>
      <c r="H288" s="1020"/>
      <c r="I288" s="1020"/>
      <c r="J288" s="1020"/>
      <c r="K288" s="1020"/>
      <c r="L288" s="1020"/>
      <c r="M288" s="1020"/>
      <c r="N288" s="1020"/>
      <c r="O288" s="1020"/>
      <c r="P288" s="1020"/>
      <c r="Q288" s="1020"/>
      <c r="R288" s="1020"/>
      <c r="S288" s="1020"/>
      <c r="T288" s="1020"/>
      <c r="U288" s="1020"/>
      <c r="V288" s="1020"/>
      <c r="W288" s="1020"/>
      <c r="X288" s="1020"/>
      <c r="Y288" s="1020"/>
      <c r="Z288" s="1020"/>
      <c r="AA288" s="1020"/>
      <c r="AB288" s="1020"/>
      <c r="AC288" s="1020"/>
      <c r="AD288" s="1020"/>
      <c r="AE288" s="1020"/>
      <c r="AF288" s="1020"/>
      <c r="AG288" s="467"/>
      <c r="AH288" s="467"/>
    </row>
    <row r="289" ht="14.25" customHeight="1" spans="2:34">
      <c r="B289" s="1018"/>
      <c r="C289" s="1019"/>
      <c r="D289" s="1019"/>
      <c r="E289" s="1019"/>
      <c r="F289" s="1020"/>
      <c r="G289" s="1020"/>
      <c r="H289" s="1020"/>
      <c r="I289" s="1020"/>
      <c r="J289" s="1020"/>
      <c r="K289" s="1020"/>
      <c r="L289" s="1020"/>
      <c r="M289" s="1020"/>
      <c r="N289" s="1020"/>
      <c r="O289" s="1020"/>
      <c r="P289" s="1020"/>
      <c r="Q289" s="1020"/>
      <c r="R289" s="1020"/>
      <c r="S289" s="1020"/>
      <c r="T289" s="1020"/>
      <c r="U289" s="1020"/>
      <c r="V289" s="1020"/>
      <c r="W289" s="1020"/>
      <c r="X289" s="1020"/>
      <c r="Y289" s="1020"/>
      <c r="Z289" s="1020"/>
      <c r="AA289" s="1020"/>
      <c r="AB289" s="1020"/>
      <c r="AC289" s="1020"/>
      <c r="AD289" s="1020"/>
      <c r="AE289" s="1020"/>
      <c r="AF289" s="1020"/>
      <c r="AG289" s="467"/>
      <c r="AH289" s="467"/>
    </row>
    <row r="290" ht="14.25" customHeight="1" spans="2:34">
      <c r="B290" s="1018"/>
      <c r="C290" s="1019"/>
      <c r="D290" s="1019"/>
      <c r="E290" s="1019"/>
      <c r="F290" s="1020"/>
      <c r="G290" s="1020"/>
      <c r="H290" s="1020"/>
      <c r="I290" s="1020"/>
      <c r="J290" s="1020"/>
      <c r="K290" s="1020"/>
      <c r="L290" s="1020"/>
      <c r="M290" s="1020"/>
      <c r="N290" s="1020"/>
      <c r="O290" s="1020"/>
      <c r="P290" s="1020"/>
      <c r="Q290" s="1020"/>
      <c r="R290" s="1020"/>
      <c r="S290" s="1020"/>
      <c r="T290" s="1020"/>
      <c r="U290" s="1020"/>
      <c r="V290" s="1020"/>
      <c r="W290" s="1020"/>
      <c r="X290" s="1020"/>
      <c r="Y290" s="1020"/>
      <c r="Z290" s="1020"/>
      <c r="AA290" s="1020"/>
      <c r="AB290" s="1020"/>
      <c r="AC290" s="1020"/>
      <c r="AD290" s="1020"/>
      <c r="AE290" s="1020"/>
      <c r="AF290" s="1020"/>
      <c r="AG290" s="467"/>
      <c r="AH290" s="467"/>
    </row>
    <row r="291" ht="14.25" customHeight="1" spans="2:34">
      <c r="B291" s="1018"/>
      <c r="C291" s="1019"/>
      <c r="D291" s="1019"/>
      <c r="E291" s="1019"/>
      <c r="F291" s="1020"/>
      <c r="G291" s="1020"/>
      <c r="H291" s="1020"/>
      <c r="I291" s="1020"/>
      <c r="J291" s="1020"/>
      <c r="K291" s="1020"/>
      <c r="L291" s="1020"/>
      <c r="M291" s="1020"/>
      <c r="N291" s="1020"/>
      <c r="O291" s="1020"/>
      <c r="P291" s="1020"/>
      <c r="Q291" s="1020"/>
      <c r="R291" s="1020"/>
      <c r="S291" s="1020"/>
      <c r="T291" s="1020"/>
      <c r="U291" s="1020"/>
      <c r="V291" s="1020"/>
      <c r="W291" s="1020"/>
      <c r="X291" s="1020"/>
      <c r="Y291" s="1020"/>
      <c r="Z291" s="1020"/>
      <c r="AA291" s="1020"/>
      <c r="AB291" s="1020"/>
      <c r="AC291" s="1020"/>
      <c r="AD291" s="1020"/>
      <c r="AE291" s="1020"/>
      <c r="AF291" s="1020"/>
      <c r="AG291" s="467"/>
      <c r="AH291" s="467"/>
    </row>
    <row r="292" ht="14.25" customHeight="1" spans="2:34">
      <c r="B292" s="1018"/>
      <c r="C292" s="1019"/>
      <c r="D292" s="1019"/>
      <c r="E292" s="1019"/>
      <c r="F292" s="1020"/>
      <c r="G292" s="1020"/>
      <c r="H292" s="1020"/>
      <c r="I292" s="1020"/>
      <c r="J292" s="1020"/>
      <c r="K292" s="1020"/>
      <c r="L292" s="1020"/>
      <c r="M292" s="1020"/>
      <c r="N292" s="1020"/>
      <c r="O292" s="1020"/>
      <c r="P292" s="1020"/>
      <c r="Q292" s="1020"/>
      <c r="R292" s="1020"/>
      <c r="S292" s="1020"/>
      <c r="T292" s="1020"/>
      <c r="U292" s="1020"/>
      <c r="V292" s="1020"/>
      <c r="W292" s="1020"/>
      <c r="X292" s="1020"/>
      <c r="Y292" s="1020"/>
      <c r="Z292" s="1020"/>
      <c r="AA292" s="1020"/>
      <c r="AB292" s="1020"/>
      <c r="AC292" s="1020"/>
      <c r="AD292" s="1020"/>
      <c r="AE292" s="1020"/>
      <c r="AF292" s="1020"/>
      <c r="AG292" s="467"/>
      <c r="AH292" s="467"/>
    </row>
    <row r="293" ht="14.25" customHeight="1" spans="2:34">
      <c r="B293" s="1018"/>
      <c r="C293" s="1019"/>
      <c r="D293" s="1019"/>
      <c r="E293" s="1019"/>
      <c r="F293" s="1020"/>
      <c r="G293" s="1020"/>
      <c r="H293" s="1020"/>
      <c r="I293" s="1020"/>
      <c r="J293" s="1020"/>
      <c r="K293" s="1020"/>
      <c r="L293" s="1020"/>
      <c r="M293" s="1020"/>
      <c r="N293" s="1020"/>
      <c r="O293" s="1020"/>
      <c r="P293" s="1020"/>
      <c r="Q293" s="1020"/>
      <c r="R293" s="1020"/>
      <c r="S293" s="1020"/>
      <c r="T293" s="1020"/>
      <c r="U293" s="1020"/>
      <c r="V293" s="1020"/>
      <c r="W293" s="1020"/>
      <c r="X293" s="1020"/>
      <c r="Y293" s="1020"/>
      <c r="Z293" s="1020"/>
      <c r="AA293" s="1020"/>
      <c r="AB293" s="1020"/>
      <c r="AC293" s="1020"/>
      <c r="AD293" s="1020"/>
      <c r="AE293" s="1020"/>
      <c r="AF293" s="1020"/>
      <c r="AG293" s="467"/>
      <c r="AH293" s="467"/>
    </row>
    <row r="294" ht="14.25" customHeight="1" spans="2:34">
      <c r="B294" s="1018"/>
      <c r="C294" s="1019"/>
      <c r="D294" s="1019"/>
      <c r="E294" s="1019"/>
      <c r="F294" s="1020"/>
      <c r="G294" s="1020"/>
      <c r="H294" s="1020"/>
      <c r="I294" s="1020"/>
      <c r="J294" s="1020"/>
      <c r="K294" s="1020"/>
      <c r="L294" s="1020"/>
      <c r="M294" s="1020"/>
      <c r="N294" s="1020"/>
      <c r="O294" s="1020"/>
      <c r="P294" s="1020"/>
      <c r="Q294" s="1020"/>
      <c r="R294" s="1020"/>
      <c r="S294" s="1020"/>
      <c r="T294" s="1020"/>
      <c r="U294" s="1020"/>
      <c r="V294" s="1020"/>
      <c r="W294" s="1020"/>
      <c r="X294" s="1020"/>
      <c r="Y294" s="1020"/>
      <c r="Z294" s="1020"/>
      <c r="AA294" s="1020"/>
      <c r="AB294" s="1020"/>
      <c r="AC294" s="1020"/>
      <c r="AD294" s="1020"/>
      <c r="AE294" s="1020"/>
      <c r="AF294" s="1020"/>
      <c r="AG294" s="467"/>
      <c r="AH294" s="467"/>
    </row>
    <row r="295" ht="14.25" customHeight="1" spans="2:34">
      <c r="B295" s="1018"/>
      <c r="C295" s="1019"/>
      <c r="D295" s="1019"/>
      <c r="E295" s="1019"/>
      <c r="F295" s="1020"/>
      <c r="G295" s="1020"/>
      <c r="H295" s="1020"/>
      <c r="I295" s="1020"/>
      <c r="J295" s="1020"/>
      <c r="K295" s="1020"/>
      <c r="L295" s="1020"/>
      <c r="M295" s="1020"/>
      <c r="N295" s="1020"/>
      <c r="O295" s="1020"/>
      <c r="P295" s="1020"/>
      <c r="Q295" s="1020"/>
      <c r="R295" s="1020"/>
      <c r="S295" s="1020"/>
      <c r="T295" s="1020"/>
      <c r="U295" s="1020"/>
      <c r="V295" s="1020"/>
      <c r="W295" s="1020"/>
      <c r="X295" s="1020"/>
      <c r="Y295" s="1020"/>
      <c r="Z295" s="1020"/>
      <c r="AA295" s="1020"/>
      <c r="AB295" s="1020"/>
      <c r="AC295" s="1020"/>
      <c r="AD295" s="1020"/>
      <c r="AE295" s="1020"/>
      <c r="AF295" s="1020"/>
      <c r="AG295" s="467"/>
      <c r="AH295" s="467"/>
    </row>
    <row r="296" ht="14.25" customHeight="1" spans="2:34">
      <c r="B296" s="1018"/>
      <c r="C296" s="1019"/>
      <c r="D296" s="1019"/>
      <c r="E296" s="1019"/>
      <c r="F296" s="1020"/>
      <c r="G296" s="1020"/>
      <c r="H296" s="1020"/>
      <c r="I296" s="1020"/>
      <c r="J296" s="1020"/>
      <c r="K296" s="1020"/>
      <c r="L296" s="1020"/>
      <c r="M296" s="1020"/>
      <c r="N296" s="1020"/>
      <c r="O296" s="1020"/>
      <c r="P296" s="1020"/>
      <c r="Q296" s="1020"/>
      <c r="R296" s="1020"/>
      <c r="S296" s="1020"/>
      <c r="T296" s="1020"/>
      <c r="U296" s="1020"/>
      <c r="V296" s="1020"/>
      <c r="W296" s="1020"/>
      <c r="X296" s="1020"/>
      <c r="Y296" s="1020"/>
      <c r="Z296" s="1020"/>
      <c r="AA296" s="1020"/>
      <c r="AB296" s="1020"/>
      <c r="AC296" s="1020"/>
      <c r="AD296" s="1020"/>
      <c r="AE296" s="1020"/>
      <c r="AF296" s="1020"/>
      <c r="AG296" s="467"/>
      <c r="AH296" s="467"/>
    </row>
    <row r="297" ht="14.25" customHeight="1" spans="2:34">
      <c r="B297" s="1018"/>
      <c r="C297" s="1019"/>
      <c r="D297" s="1019"/>
      <c r="E297" s="1019"/>
      <c r="F297" s="1020"/>
      <c r="G297" s="1020"/>
      <c r="H297" s="1020"/>
      <c r="I297" s="1020"/>
      <c r="J297" s="1020"/>
      <c r="K297" s="1020"/>
      <c r="L297" s="1020"/>
      <c r="M297" s="1020"/>
      <c r="N297" s="1020"/>
      <c r="O297" s="1020"/>
      <c r="P297" s="1020"/>
      <c r="Q297" s="1020"/>
      <c r="R297" s="1020"/>
      <c r="S297" s="1020"/>
      <c r="T297" s="1020"/>
      <c r="U297" s="1020"/>
      <c r="V297" s="1020"/>
      <c r="W297" s="1020"/>
      <c r="X297" s="1020"/>
      <c r="Y297" s="1020"/>
      <c r="Z297" s="1020"/>
      <c r="AA297" s="1020"/>
      <c r="AB297" s="1020"/>
      <c r="AC297" s="1020"/>
      <c r="AD297" s="1020"/>
      <c r="AE297" s="1020"/>
      <c r="AF297" s="1020"/>
      <c r="AG297" s="467"/>
      <c r="AH297" s="467"/>
    </row>
    <row r="298" ht="14.25" customHeight="1" spans="2:34">
      <c r="B298" s="1018"/>
      <c r="C298" s="1019"/>
      <c r="D298" s="1019"/>
      <c r="E298" s="1019"/>
      <c r="F298" s="1020"/>
      <c r="G298" s="1020"/>
      <c r="H298" s="1020"/>
      <c r="I298" s="1020"/>
      <c r="J298" s="1020"/>
      <c r="K298" s="1020"/>
      <c r="L298" s="1020"/>
      <c r="M298" s="1020"/>
      <c r="N298" s="1020"/>
      <c r="O298" s="1020"/>
      <c r="P298" s="1020"/>
      <c r="Q298" s="1020"/>
      <c r="R298" s="1020"/>
      <c r="S298" s="1020"/>
      <c r="T298" s="1020"/>
      <c r="U298" s="1020"/>
      <c r="V298" s="1020"/>
      <c r="W298" s="1020"/>
      <c r="X298" s="1020"/>
      <c r="Y298" s="1020"/>
      <c r="Z298" s="1020"/>
      <c r="AA298" s="1020"/>
      <c r="AB298" s="1020"/>
      <c r="AC298" s="1020"/>
      <c r="AD298" s="1020"/>
      <c r="AE298" s="1020"/>
      <c r="AF298" s="1020"/>
      <c r="AG298" s="467"/>
      <c r="AH298" s="467"/>
    </row>
    <row r="299" ht="14.25" customHeight="1" spans="2:34">
      <c r="B299" s="1018"/>
      <c r="C299" s="1019"/>
      <c r="D299" s="1019"/>
      <c r="E299" s="1019"/>
      <c r="F299" s="1020"/>
      <c r="G299" s="1020"/>
      <c r="H299" s="1020"/>
      <c r="I299" s="1020"/>
      <c r="J299" s="1020"/>
      <c r="K299" s="1020"/>
      <c r="L299" s="1020"/>
      <c r="M299" s="1020"/>
      <c r="N299" s="1020"/>
      <c r="O299" s="1020"/>
      <c r="P299" s="1020"/>
      <c r="Q299" s="1020"/>
      <c r="R299" s="1020"/>
      <c r="S299" s="1020"/>
      <c r="T299" s="1020"/>
      <c r="U299" s="1020"/>
      <c r="V299" s="1020"/>
      <c r="W299" s="1020"/>
      <c r="X299" s="1020"/>
      <c r="Y299" s="1020"/>
      <c r="Z299" s="1020"/>
      <c r="AA299" s="1020"/>
      <c r="AB299" s="1020"/>
      <c r="AC299" s="1020"/>
      <c r="AD299" s="1020"/>
      <c r="AE299" s="1020"/>
      <c r="AF299" s="1020"/>
      <c r="AG299" s="467"/>
      <c r="AH299" s="467"/>
    </row>
    <row r="300" ht="14.25" customHeight="1" spans="2:34">
      <c r="B300" s="1018"/>
      <c r="C300" s="1019"/>
      <c r="D300" s="1019"/>
      <c r="E300" s="1019"/>
      <c r="F300" s="1020"/>
      <c r="G300" s="1020"/>
      <c r="H300" s="1020"/>
      <c r="I300" s="1020"/>
      <c r="J300" s="1020"/>
      <c r="K300" s="1020"/>
      <c r="L300" s="1020"/>
      <c r="M300" s="1020"/>
      <c r="N300" s="1020"/>
      <c r="O300" s="1020"/>
      <c r="P300" s="1020"/>
      <c r="Q300" s="1020"/>
      <c r="R300" s="1020"/>
      <c r="S300" s="1020"/>
      <c r="T300" s="1020"/>
      <c r="U300" s="1020"/>
      <c r="V300" s="1020"/>
      <c r="W300" s="1020"/>
      <c r="X300" s="1020"/>
      <c r="Y300" s="1020"/>
      <c r="Z300" s="1020"/>
      <c r="AA300" s="1020"/>
      <c r="AB300" s="1020"/>
      <c r="AC300" s="1020"/>
      <c r="AD300" s="1020"/>
      <c r="AE300" s="1020"/>
      <c r="AF300" s="1020"/>
      <c r="AG300" s="467"/>
      <c r="AH300" s="467"/>
    </row>
    <row r="301" ht="14.25" customHeight="1" spans="2:34">
      <c r="B301" s="1018"/>
      <c r="C301" s="1019"/>
      <c r="D301" s="1019"/>
      <c r="E301" s="1019"/>
      <c r="F301" s="1020"/>
      <c r="G301" s="1020"/>
      <c r="H301" s="1020"/>
      <c r="I301" s="1020"/>
      <c r="J301" s="1020"/>
      <c r="K301" s="1020"/>
      <c r="L301" s="1020"/>
      <c r="M301" s="1020"/>
      <c r="N301" s="1020"/>
      <c r="O301" s="1020"/>
      <c r="P301" s="1020"/>
      <c r="Q301" s="1020"/>
      <c r="R301" s="1020"/>
      <c r="S301" s="1020"/>
      <c r="T301" s="1020"/>
      <c r="U301" s="1020"/>
      <c r="V301" s="1020"/>
      <c r="W301" s="1020"/>
      <c r="X301" s="1020"/>
      <c r="Y301" s="1020"/>
      <c r="Z301" s="1020"/>
      <c r="AA301" s="1020"/>
      <c r="AB301" s="1020"/>
      <c r="AC301" s="1020"/>
      <c r="AD301" s="1020"/>
      <c r="AE301" s="1020"/>
      <c r="AF301" s="1020"/>
      <c r="AG301" s="467"/>
      <c r="AH301" s="467"/>
    </row>
    <row r="302" ht="14.25" customHeight="1" spans="2:34">
      <c r="B302" s="1018"/>
      <c r="C302" s="1019"/>
      <c r="D302" s="1019"/>
      <c r="E302" s="1019"/>
      <c r="F302" s="1020"/>
      <c r="G302" s="1020"/>
      <c r="H302" s="1020"/>
      <c r="I302" s="1020"/>
      <c r="J302" s="1020"/>
      <c r="K302" s="1020"/>
      <c r="L302" s="1020"/>
      <c r="M302" s="1020"/>
      <c r="N302" s="1020"/>
      <c r="O302" s="1020"/>
      <c r="P302" s="1020"/>
      <c r="Q302" s="1020"/>
      <c r="R302" s="1020"/>
      <c r="S302" s="1020"/>
      <c r="T302" s="1020"/>
      <c r="U302" s="1020"/>
      <c r="V302" s="1020"/>
      <c r="W302" s="1020"/>
      <c r="X302" s="1020"/>
      <c r="Y302" s="1020"/>
      <c r="Z302" s="1020"/>
      <c r="AA302" s="1020"/>
      <c r="AB302" s="1020"/>
      <c r="AC302" s="1020"/>
      <c r="AD302" s="1020"/>
      <c r="AE302" s="1020"/>
      <c r="AF302" s="1020"/>
      <c r="AG302" s="467"/>
      <c r="AH302" s="467"/>
    </row>
    <row r="303" ht="14.25" customHeight="1" spans="2:34">
      <c r="B303" s="1018"/>
      <c r="C303" s="1019"/>
      <c r="D303" s="1019"/>
      <c r="E303" s="1019"/>
      <c r="F303" s="1020"/>
      <c r="G303" s="1020"/>
      <c r="H303" s="1020"/>
      <c r="I303" s="1020"/>
      <c r="J303" s="1020"/>
      <c r="K303" s="1020"/>
      <c r="L303" s="1020"/>
      <c r="M303" s="1020"/>
      <c r="N303" s="1020"/>
      <c r="O303" s="1020"/>
      <c r="P303" s="1020"/>
      <c r="Q303" s="1020"/>
      <c r="R303" s="1020"/>
      <c r="S303" s="1020"/>
      <c r="T303" s="1020"/>
      <c r="U303" s="1020"/>
      <c r="V303" s="1020"/>
      <c r="W303" s="1020"/>
      <c r="X303" s="1020"/>
      <c r="Y303" s="1020"/>
      <c r="Z303" s="1020"/>
      <c r="AA303" s="1020"/>
      <c r="AB303" s="1020"/>
      <c r="AC303" s="1020"/>
      <c r="AD303" s="1020"/>
      <c r="AE303" s="1020"/>
      <c r="AF303" s="1020"/>
      <c r="AG303" s="467"/>
      <c r="AH303" s="467"/>
    </row>
    <row r="304" ht="14.25" customHeight="1" spans="2:34">
      <c r="B304" s="1018"/>
      <c r="C304" s="1019"/>
      <c r="D304" s="1019"/>
      <c r="E304" s="1019"/>
      <c r="F304" s="1020"/>
      <c r="G304" s="1020"/>
      <c r="H304" s="1020"/>
      <c r="I304" s="1020"/>
      <c r="J304" s="1020"/>
      <c r="K304" s="1020"/>
      <c r="L304" s="1020"/>
      <c r="M304" s="1020"/>
      <c r="N304" s="1020"/>
      <c r="O304" s="1020"/>
      <c r="P304" s="1020"/>
      <c r="Q304" s="1020"/>
      <c r="R304" s="1020"/>
      <c r="S304" s="1020"/>
      <c r="T304" s="1020"/>
      <c r="U304" s="1020"/>
      <c r="V304" s="1020"/>
      <c r="W304" s="1020"/>
      <c r="X304" s="1020"/>
      <c r="Y304" s="1020"/>
      <c r="Z304" s="1020"/>
      <c r="AA304" s="1020"/>
      <c r="AB304" s="1020"/>
      <c r="AC304" s="1020"/>
      <c r="AD304" s="1020"/>
      <c r="AE304" s="1020"/>
      <c r="AF304" s="1020"/>
      <c r="AG304" s="467"/>
      <c r="AH304" s="467"/>
    </row>
    <row r="305" ht="14.25" customHeight="1" spans="2:34">
      <c r="B305" s="1018"/>
      <c r="C305" s="1019"/>
      <c r="D305" s="1019"/>
      <c r="E305" s="1019"/>
      <c r="F305" s="1020"/>
      <c r="G305" s="1020"/>
      <c r="H305" s="1020"/>
      <c r="I305" s="1020"/>
      <c r="J305" s="1020"/>
      <c r="K305" s="1020"/>
      <c r="L305" s="1020"/>
      <c r="M305" s="1020"/>
      <c r="N305" s="1020"/>
      <c r="O305" s="1020"/>
      <c r="P305" s="1020"/>
      <c r="Q305" s="1020"/>
      <c r="R305" s="1020"/>
      <c r="S305" s="1020"/>
      <c r="T305" s="1020"/>
      <c r="U305" s="1020"/>
      <c r="V305" s="1020"/>
      <c r="W305" s="1020"/>
      <c r="X305" s="1020"/>
      <c r="Y305" s="1020"/>
      <c r="Z305" s="1020"/>
      <c r="AA305" s="1020"/>
      <c r="AB305" s="1020"/>
      <c r="AC305" s="1020"/>
      <c r="AD305" s="1020"/>
      <c r="AE305" s="1020"/>
      <c r="AF305" s="1020"/>
      <c r="AG305" s="467"/>
      <c r="AH305" s="467"/>
    </row>
    <row r="306" ht="14.25" customHeight="1" spans="2:34">
      <c r="B306" s="1018"/>
      <c r="C306" s="1019"/>
      <c r="D306" s="1019"/>
      <c r="E306" s="1019"/>
      <c r="F306" s="1020"/>
      <c r="G306" s="1020"/>
      <c r="H306" s="1020"/>
      <c r="I306" s="1020"/>
      <c r="J306" s="1020"/>
      <c r="K306" s="1020"/>
      <c r="L306" s="1020"/>
      <c r="M306" s="1020"/>
      <c r="N306" s="1020"/>
      <c r="O306" s="1020"/>
      <c r="P306" s="1020"/>
      <c r="Q306" s="1020"/>
      <c r="R306" s="1020"/>
      <c r="S306" s="1020"/>
      <c r="T306" s="1020"/>
      <c r="U306" s="1020"/>
      <c r="V306" s="1020"/>
      <c r="W306" s="1020"/>
      <c r="X306" s="1020"/>
      <c r="Y306" s="1020"/>
      <c r="Z306" s="1020"/>
      <c r="AA306" s="1020"/>
      <c r="AB306" s="1020"/>
      <c r="AC306" s="1020"/>
      <c r="AD306" s="1020"/>
      <c r="AE306" s="1020"/>
      <c r="AF306" s="1020"/>
      <c r="AG306" s="467"/>
      <c r="AH306" s="467"/>
    </row>
    <row r="307" ht="14.25" customHeight="1" spans="2:34">
      <c r="B307" s="1018"/>
      <c r="C307" s="1019"/>
      <c r="D307" s="1019"/>
      <c r="E307" s="1019"/>
      <c r="F307" s="1020"/>
      <c r="G307" s="1020"/>
      <c r="H307" s="1020"/>
      <c r="I307" s="1020"/>
      <c r="J307" s="1020"/>
      <c r="K307" s="1020"/>
      <c r="L307" s="1020"/>
      <c r="M307" s="1020"/>
      <c r="N307" s="1020"/>
      <c r="O307" s="1020"/>
      <c r="P307" s="1020"/>
      <c r="Q307" s="1020"/>
      <c r="R307" s="1020"/>
      <c r="S307" s="1020"/>
      <c r="T307" s="1020"/>
      <c r="U307" s="1020"/>
      <c r="V307" s="1020"/>
      <c r="W307" s="1020"/>
      <c r="X307" s="1020"/>
      <c r="Y307" s="1020"/>
      <c r="Z307" s="1020"/>
      <c r="AA307" s="1020"/>
      <c r="AB307" s="1020"/>
      <c r="AC307" s="1020"/>
      <c r="AD307" s="1020"/>
      <c r="AE307" s="1020"/>
      <c r="AF307" s="1020"/>
      <c r="AG307" s="467"/>
      <c r="AH307" s="467"/>
    </row>
    <row r="308" ht="14.25" customHeight="1" spans="2:34">
      <c r="B308" s="1018"/>
      <c r="C308" s="1019"/>
      <c r="D308" s="1019"/>
      <c r="E308" s="1019"/>
      <c r="F308" s="1020"/>
      <c r="G308" s="1020"/>
      <c r="H308" s="1020"/>
      <c r="I308" s="1020"/>
      <c r="J308" s="1020"/>
      <c r="K308" s="1020"/>
      <c r="L308" s="1020"/>
      <c r="M308" s="1020"/>
      <c r="N308" s="1020"/>
      <c r="O308" s="1020"/>
      <c r="P308" s="1020"/>
      <c r="Q308" s="1020"/>
      <c r="R308" s="1020"/>
      <c r="S308" s="1020"/>
      <c r="T308" s="1020"/>
      <c r="U308" s="1020"/>
      <c r="V308" s="1020"/>
      <c r="W308" s="1020"/>
      <c r="X308" s="1020"/>
      <c r="Y308" s="1020"/>
      <c r="Z308" s="1020"/>
      <c r="AA308" s="1020"/>
      <c r="AB308" s="1020"/>
      <c r="AC308" s="1020"/>
      <c r="AD308" s="1020"/>
      <c r="AE308" s="1020"/>
      <c r="AF308" s="1020"/>
      <c r="AG308" s="467"/>
      <c r="AH308" s="467"/>
    </row>
    <row r="309" ht="14.25" customHeight="1" spans="2:34">
      <c r="B309" s="1018"/>
      <c r="C309" s="1019"/>
      <c r="D309" s="1019"/>
      <c r="E309" s="1019"/>
      <c r="F309" s="1020"/>
      <c r="G309" s="1020"/>
      <c r="H309" s="1020"/>
      <c r="I309" s="1020"/>
      <c r="J309" s="1020"/>
      <c r="K309" s="1020"/>
      <c r="L309" s="1020"/>
      <c r="M309" s="1020"/>
      <c r="N309" s="1020"/>
      <c r="O309" s="1020"/>
      <c r="P309" s="1020"/>
      <c r="Q309" s="1020"/>
      <c r="R309" s="1020"/>
      <c r="S309" s="1020"/>
      <c r="T309" s="1020"/>
      <c r="U309" s="1020"/>
      <c r="V309" s="1020"/>
      <c r="W309" s="1020"/>
      <c r="X309" s="1020"/>
      <c r="Y309" s="1020"/>
      <c r="Z309" s="1020"/>
      <c r="AA309" s="1020"/>
      <c r="AB309" s="1020"/>
      <c r="AC309" s="1020"/>
      <c r="AD309" s="1020"/>
      <c r="AE309" s="1020"/>
      <c r="AF309" s="1020"/>
      <c r="AG309" s="467"/>
      <c r="AH309" s="467"/>
    </row>
    <row r="310" ht="14.25" customHeight="1" spans="2:34">
      <c r="B310" s="1018"/>
      <c r="C310" s="1019"/>
      <c r="D310" s="1019"/>
      <c r="E310" s="1019"/>
      <c r="F310" s="1020"/>
      <c r="G310" s="1020"/>
      <c r="H310" s="1020"/>
      <c r="I310" s="1020"/>
      <c r="J310" s="1020"/>
      <c r="K310" s="1020"/>
      <c r="L310" s="1020"/>
      <c r="M310" s="1020"/>
      <c r="N310" s="1020"/>
      <c r="O310" s="1020"/>
      <c r="P310" s="1020"/>
      <c r="Q310" s="1020"/>
      <c r="R310" s="1020"/>
      <c r="S310" s="1020"/>
      <c r="T310" s="1020"/>
      <c r="U310" s="1020"/>
      <c r="V310" s="1020"/>
      <c r="W310" s="1020"/>
      <c r="X310" s="1020"/>
      <c r="Y310" s="1020"/>
      <c r="Z310" s="1020"/>
      <c r="AA310" s="1020"/>
      <c r="AB310" s="1020"/>
      <c r="AC310" s="1020"/>
      <c r="AD310" s="1020"/>
      <c r="AE310" s="1020"/>
      <c r="AF310" s="1020"/>
      <c r="AG310" s="467"/>
      <c r="AH310" s="467"/>
    </row>
    <row r="311" ht="14.25" customHeight="1" spans="2:34">
      <c r="B311" s="1018"/>
      <c r="C311" s="1019"/>
      <c r="D311" s="1019"/>
      <c r="E311" s="1019"/>
      <c r="F311" s="1020"/>
      <c r="G311" s="1020"/>
      <c r="H311" s="1020"/>
      <c r="I311" s="1020"/>
      <c r="J311" s="1020"/>
      <c r="K311" s="1020"/>
      <c r="L311" s="1020"/>
      <c r="M311" s="1020"/>
      <c r="N311" s="1020"/>
      <c r="O311" s="1020"/>
      <c r="P311" s="1020"/>
      <c r="Q311" s="1020"/>
      <c r="R311" s="1020"/>
      <c r="S311" s="1020"/>
      <c r="T311" s="1020"/>
      <c r="U311" s="1020"/>
      <c r="V311" s="1020"/>
      <c r="W311" s="1020"/>
      <c r="X311" s="1020"/>
      <c r="Y311" s="1020"/>
      <c r="Z311" s="1020"/>
      <c r="AA311" s="1020"/>
      <c r="AB311" s="1020"/>
      <c r="AC311" s="1020"/>
      <c r="AD311" s="1020"/>
      <c r="AE311" s="1020"/>
      <c r="AF311" s="1020"/>
      <c r="AG311" s="467"/>
      <c r="AH311" s="467"/>
    </row>
    <row r="312" ht="14.25" customHeight="1" spans="2:34">
      <c r="B312" s="1018"/>
      <c r="C312" s="1019"/>
      <c r="D312" s="1019"/>
      <c r="E312" s="1019"/>
      <c r="F312" s="1020"/>
      <c r="G312" s="1020"/>
      <c r="H312" s="1020"/>
      <c r="I312" s="1020"/>
      <c r="J312" s="1020"/>
      <c r="K312" s="1020"/>
      <c r="L312" s="1020"/>
      <c r="M312" s="1020"/>
      <c r="N312" s="1020"/>
      <c r="O312" s="1020"/>
      <c r="P312" s="1020"/>
      <c r="Q312" s="1020"/>
      <c r="R312" s="1020"/>
      <c r="S312" s="1020"/>
      <c r="T312" s="1020"/>
      <c r="U312" s="1020"/>
      <c r="V312" s="1020"/>
      <c r="W312" s="1020"/>
      <c r="X312" s="1020"/>
      <c r="Y312" s="1020"/>
      <c r="Z312" s="1020"/>
      <c r="AA312" s="1020"/>
      <c r="AB312" s="1020"/>
      <c r="AC312" s="1020"/>
      <c r="AD312" s="1020"/>
      <c r="AE312" s="1020"/>
      <c r="AF312" s="1020"/>
      <c r="AG312" s="467"/>
      <c r="AH312" s="467"/>
    </row>
    <row r="313" ht="14.25" customHeight="1" spans="2:34">
      <c r="B313" s="1018"/>
      <c r="C313" s="1019"/>
      <c r="D313" s="1019"/>
      <c r="E313" s="1019"/>
      <c r="F313" s="1020"/>
      <c r="G313" s="1020"/>
      <c r="H313" s="1020"/>
      <c r="I313" s="1020"/>
      <c r="J313" s="1020"/>
      <c r="K313" s="1020"/>
      <c r="L313" s="1020"/>
      <c r="M313" s="1020"/>
      <c r="N313" s="1020"/>
      <c r="O313" s="1020"/>
      <c r="P313" s="1020"/>
      <c r="Q313" s="1020"/>
      <c r="R313" s="1020"/>
      <c r="S313" s="1020"/>
      <c r="T313" s="1020"/>
      <c r="U313" s="1020"/>
      <c r="V313" s="1020"/>
      <c r="W313" s="1020"/>
      <c r="X313" s="1020"/>
      <c r="Y313" s="1020"/>
      <c r="Z313" s="1020"/>
      <c r="AA313" s="1020"/>
      <c r="AB313" s="1020"/>
      <c r="AC313" s="1020"/>
      <c r="AD313" s="1020"/>
      <c r="AE313" s="1020"/>
      <c r="AF313" s="1020"/>
      <c r="AG313" s="467"/>
      <c r="AH313" s="467"/>
    </row>
    <row r="314" ht="14.25" customHeight="1" spans="2:34">
      <c r="B314" s="1018"/>
      <c r="C314" s="1019"/>
      <c r="D314" s="1019"/>
      <c r="E314" s="1019"/>
      <c r="F314" s="1020"/>
      <c r="G314" s="1020"/>
      <c r="H314" s="1020"/>
      <c r="I314" s="1020"/>
      <c r="J314" s="1020"/>
      <c r="K314" s="1020"/>
      <c r="L314" s="1020"/>
      <c r="M314" s="1020"/>
      <c r="N314" s="1020"/>
      <c r="O314" s="1020"/>
      <c r="P314" s="1020"/>
      <c r="Q314" s="1020"/>
      <c r="R314" s="1020"/>
      <c r="S314" s="1020"/>
      <c r="T314" s="1020"/>
      <c r="U314" s="1020"/>
      <c r="V314" s="1020"/>
      <c r="W314" s="1020"/>
      <c r="X314" s="1020"/>
      <c r="Y314" s="1020"/>
      <c r="Z314" s="1020"/>
      <c r="AA314" s="1020"/>
      <c r="AB314" s="1020"/>
      <c r="AC314" s="1020"/>
      <c r="AD314" s="1020"/>
      <c r="AE314" s="1020"/>
      <c r="AF314" s="1020"/>
      <c r="AG314" s="467"/>
      <c r="AH314" s="467"/>
    </row>
    <row r="315" ht="14.25" customHeight="1" spans="2:34">
      <c r="B315" s="1018"/>
      <c r="C315" s="1019"/>
      <c r="D315" s="1019"/>
      <c r="E315" s="1019"/>
      <c r="F315" s="1020"/>
      <c r="G315" s="1020"/>
      <c r="H315" s="1020"/>
      <c r="I315" s="1020"/>
      <c r="J315" s="1020"/>
      <c r="K315" s="1020"/>
      <c r="L315" s="1020"/>
      <c r="M315" s="1020"/>
      <c r="N315" s="1020"/>
      <c r="O315" s="1020"/>
      <c r="P315" s="1020"/>
      <c r="Q315" s="1020"/>
      <c r="R315" s="1020"/>
      <c r="S315" s="1020"/>
      <c r="T315" s="1020"/>
      <c r="U315" s="1020"/>
      <c r="V315" s="1020"/>
      <c r="W315" s="1020"/>
      <c r="X315" s="1020"/>
      <c r="Y315" s="1020"/>
      <c r="Z315" s="1020"/>
      <c r="AA315" s="1020"/>
      <c r="AB315" s="1020"/>
      <c r="AC315" s="1020"/>
      <c r="AD315" s="1020"/>
      <c r="AE315" s="1020"/>
      <c r="AF315" s="1020"/>
      <c r="AG315" s="467"/>
      <c r="AH315" s="467"/>
    </row>
    <row r="316" ht="14.25" customHeight="1" spans="2:34">
      <c r="B316" s="1018"/>
      <c r="C316" s="1019"/>
      <c r="D316" s="1019"/>
      <c r="E316" s="1019"/>
      <c r="F316" s="1020"/>
      <c r="G316" s="1020"/>
      <c r="H316" s="1020"/>
      <c r="I316" s="1020"/>
      <c r="J316" s="1020"/>
      <c r="K316" s="1020"/>
      <c r="L316" s="1020"/>
      <c r="M316" s="1020"/>
      <c r="N316" s="1020"/>
      <c r="O316" s="1020"/>
      <c r="P316" s="1020"/>
      <c r="Q316" s="1020"/>
      <c r="R316" s="1020"/>
      <c r="S316" s="1020"/>
      <c r="T316" s="1020"/>
      <c r="U316" s="1020"/>
      <c r="V316" s="1020"/>
      <c r="W316" s="1020"/>
      <c r="X316" s="1020"/>
      <c r="Y316" s="1020"/>
      <c r="Z316" s="1020"/>
      <c r="AA316" s="1020"/>
      <c r="AB316" s="1020"/>
      <c r="AC316" s="1020"/>
      <c r="AD316" s="1020"/>
      <c r="AE316" s="1020"/>
      <c r="AF316" s="1020"/>
      <c r="AG316" s="467"/>
      <c r="AH316" s="467"/>
    </row>
    <row r="317" ht="14.25" customHeight="1" spans="2:34">
      <c r="B317" s="1018"/>
      <c r="C317" s="1019"/>
      <c r="D317" s="1019"/>
      <c r="E317" s="1019"/>
      <c r="F317" s="1020"/>
      <c r="G317" s="1020"/>
      <c r="H317" s="1020"/>
      <c r="I317" s="1020"/>
      <c r="J317" s="1020"/>
      <c r="K317" s="1020"/>
      <c r="L317" s="1020"/>
      <c r="M317" s="1020"/>
      <c r="N317" s="1020"/>
      <c r="O317" s="1020"/>
      <c r="P317" s="1020"/>
      <c r="Q317" s="1020"/>
      <c r="R317" s="1020"/>
      <c r="S317" s="1020"/>
      <c r="T317" s="1020"/>
      <c r="U317" s="1020"/>
      <c r="V317" s="1020"/>
      <c r="W317" s="1020"/>
      <c r="X317" s="1020"/>
      <c r="Y317" s="1020"/>
      <c r="Z317" s="1020"/>
      <c r="AA317" s="1020"/>
      <c r="AB317" s="1020"/>
      <c r="AC317" s="1020"/>
      <c r="AD317" s="1020"/>
      <c r="AE317" s="1020"/>
      <c r="AF317" s="1020"/>
      <c r="AG317" s="467"/>
      <c r="AH317" s="467"/>
    </row>
    <row r="318" ht="14.25" customHeight="1" spans="2:34">
      <c r="B318" s="1018"/>
      <c r="C318" s="1019"/>
      <c r="D318" s="1019"/>
      <c r="E318" s="1019"/>
      <c r="F318" s="1020"/>
      <c r="G318" s="1020"/>
      <c r="H318" s="1020"/>
      <c r="I318" s="1020"/>
      <c r="J318" s="1020"/>
      <c r="K318" s="1020"/>
      <c r="L318" s="1020"/>
      <c r="M318" s="1020"/>
      <c r="N318" s="1020"/>
      <c r="O318" s="1020"/>
      <c r="P318" s="1020"/>
      <c r="Q318" s="1020"/>
      <c r="R318" s="1020"/>
      <c r="S318" s="1020"/>
      <c r="T318" s="1020"/>
      <c r="U318" s="1020"/>
      <c r="V318" s="1020"/>
      <c r="W318" s="1020"/>
      <c r="X318" s="1020"/>
      <c r="Y318" s="1020"/>
      <c r="Z318" s="1020"/>
      <c r="AA318" s="1020"/>
      <c r="AB318" s="1020"/>
      <c r="AC318" s="1020"/>
      <c r="AD318" s="1020"/>
      <c r="AE318" s="1020"/>
      <c r="AF318" s="1020"/>
      <c r="AG318" s="467"/>
      <c r="AH318" s="467"/>
    </row>
    <row r="319" ht="14.25" customHeight="1" spans="2:34">
      <c r="B319" s="1018"/>
      <c r="C319" s="1019"/>
      <c r="D319" s="1019"/>
      <c r="E319" s="1019"/>
      <c r="F319" s="1020"/>
      <c r="G319" s="1020"/>
      <c r="H319" s="1020"/>
      <c r="I319" s="1020"/>
      <c r="J319" s="1020"/>
      <c r="K319" s="1020"/>
      <c r="L319" s="1020"/>
      <c r="M319" s="1020"/>
      <c r="N319" s="1020"/>
      <c r="O319" s="1020"/>
      <c r="P319" s="1020"/>
      <c r="Q319" s="1020"/>
      <c r="R319" s="1020"/>
      <c r="S319" s="1020"/>
      <c r="T319" s="1020"/>
      <c r="U319" s="1020"/>
      <c r="V319" s="1020"/>
      <c r="W319" s="1020"/>
      <c r="X319" s="1020"/>
      <c r="Y319" s="1020"/>
      <c r="Z319" s="1020"/>
      <c r="AA319" s="1020"/>
      <c r="AB319" s="1020"/>
      <c r="AC319" s="1020"/>
      <c r="AD319" s="1020"/>
      <c r="AE319" s="1020"/>
      <c r="AF319" s="1020"/>
      <c r="AG319" s="467"/>
      <c r="AH319" s="467"/>
    </row>
    <row r="320" ht="14.25" customHeight="1" spans="2:34">
      <c r="B320" s="1018"/>
      <c r="C320" s="1019"/>
      <c r="D320" s="1019"/>
      <c r="E320" s="1019"/>
      <c r="F320" s="1020"/>
      <c r="G320" s="1020"/>
      <c r="H320" s="1020"/>
      <c r="I320" s="1020"/>
      <c r="J320" s="1020"/>
      <c r="K320" s="1020"/>
      <c r="L320" s="1020"/>
      <c r="M320" s="1020"/>
      <c r="N320" s="1020"/>
      <c r="O320" s="1020"/>
      <c r="P320" s="1020"/>
      <c r="Q320" s="1020"/>
      <c r="R320" s="1020"/>
      <c r="S320" s="1020"/>
      <c r="T320" s="1020"/>
      <c r="U320" s="1020"/>
      <c r="V320" s="1020"/>
      <c r="W320" s="1020"/>
      <c r="X320" s="1020"/>
      <c r="Y320" s="1020"/>
      <c r="Z320" s="1020"/>
      <c r="AA320" s="1020"/>
      <c r="AB320" s="1020"/>
      <c r="AC320" s="1020"/>
      <c r="AD320" s="1020"/>
      <c r="AE320" s="1020"/>
      <c r="AF320" s="1020"/>
      <c r="AG320" s="467"/>
      <c r="AH320" s="467"/>
    </row>
    <row r="321" ht="14.25" customHeight="1" spans="2:34">
      <c r="B321" s="1018"/>
      <c r="C321" s="1019"/>
      <c r="D321" s="1019"/>
      <c r="E321" s="1019"/>
      <c r="F321" s="1020"/>
      <c r="G321" s="1020"/>
      <c r="H321" s="1020"/>
      <c r="I321" s="1020"/>
      <c r="J321" s="1020"/>
      <c r="K321" s="1020"/>
      <c r="L321" s="1020"/>
      <c r="M321" s="1020"/>
      <c r="N321" s="1020"/>
      <c r="O321" s="1020"/>
      <c r="P321" s="1020"/>
      <c r="Q321" s="1020"/>
      <c r="R321" s="1020"/>
      <c r="S321" s="1020"/>
      <c r="T321" s="1020"/>
      <c r="U321" s="1020"/>
      <c r="V321" s="1020"/>
      <c r="W321" s="1020"/>
      <c r="X321" s="1020"/>
      <c r="Y321" s="1020"/>
      <c r="Z321" s="1020"/>
      <c r="AA321" s="1020"/>
      <c r="AB321" s="1020"/>
      <c r="AC321" s="1020"/>
      <c r="AD321" s="1020"/>
      <c r="AE321" s="1020"/>
      <c r="AF321" s="1020"/>
      <c r="AG321" s="467"/>
      <c r="AH321" s="467"/>
    </row>
    <row r="322" ht="14.25" customHeight="1" spans="2:34">
      <c r="B322" s="1018"/>
      <c r="C322" s="1019"/>
      <c r="D322" s="1019"/>
      <c r="E322" s="1019"/>
      <c r="F322" s="1020"/>
      <c r="G322" s="1020"/>
      <c r="H322" s="1020"/>
      <c r="I322" s="1020"/>
      <c r="J322" s="1020"/>
      <c r="K322" s="1020"/>
      <c r="L322" s="1020"/>
      <c r="M322" s="1020"/>
      <c r="N322" s="1020"/>
      <c r="O322" s="1020"/>
      <c r="P322" s="1020"/>
      <c r="Q322" s="1020"/>
      <c r="R322" s="1020"/>
      <c r="S322" s="1020"/>
      <c r="T322" s="1020"/>
      <c r="U322" s="1020"/>
      <c r="V322" s="1020"/>
      <c r="W322" s="1020"/>
      <c r="X322" s="1020"/>
      <c r="Y322" s="1020"/>
      <c r="Z322" s="1020"/>
      <c r="AA322" s="1020"/>
      <c r="AB322" s="1020"/>
      <c r="AC322" s="1020"/>
      <c r="AD322" s="1020"/>
      <c r="AE322" s="1020"/>
      <c r="AF322" s="1020"/>
      <c r="AG322" s="467"/>
      <c r="AH322" s="467"/>
    </row>
    <row r="323" ht="14.25" customHeight="1" spans="2:34">
      <c r="B323" s="1018"/>
      <c r="C323" s="1019"/>
      <c r="D323" s="1019"/>
      <c r="E323" s="1019"/>
      <c r="F323" s="1020"/>
      <c r="G323" s="1020"/>
      <c r="H323" s="1020"/>
      <c r="I323" s="1020"/>
      <c r="J323" s="1020"/>
      <c r="K323" s="1020"/>
      <c r="L323" s="1020"/>
      <c r="M323" s="1020"/>
      <c r="N323" s="1020"/>
      <c r="O323" s="1020"/>
      <c r="P323" s="1020"/>
      <c r="Q323" s="1020"/>
      <c r="R323" s="1020"/>
      <c r="S323" s="1020"/>
      <c r="T323" s="1020"/>
      <c r="U323" s="1020"/>
      <c r="V323" s="1020"/>
      <c r="W323" s="1020"/>
      <c r="X323" s="1020"/>
      <c r="Y323" s="1020"/>
      <c r="Z323" s="1020"/>
      <c r="AA323" s="1020"/>
      <c r="AB323" s="1020"/>
      <c r="AC323" s="1020"/>
      <c r="AD323" s="1020"/>
      <c r="AE323" s="1020"/>
      <c r="AF323" s="1020"/>
      <c r="AG323" s="467"/>
      <c r="AH323" s="467"/>
    </row>
    <row r="324" ht="14.25" customHeight="1" spans="2:34">
      <c r="B324" s="1018"/>
      <c r="C324" s="1019"/>
      <c r="D324" s="1019"/>
      <c r="E324" s="1019"/>
      <c r="F324" s="1020"/>
      <c r="G324" s="1020"/>
      <c r="H324" s="1020"/>
      <c r="I324" s="1020"/>
      <c r="J324" s="1020"/>
      <c r="K324" s="1020"/>
      <c r="L324" s="1020"/>
      <c r="M324" s="1020"/>
      <c r="N324" s="1020"/>
      <c r="O324" s="1020"/>
      <c r="P324" s="1020"/>
      <c r="Q324" s="1020"/>
      <c r="R324" s="1020"/>
      <c r="S324" s="1020"/>
      <c r="T324" s="1020"/>
      <c r="U324" s="1020"/>
      <c r="V324" s="1020"/>
      <c r="W324" s="1020"/>
      <c r="X324" s="1020"/>
      <c r="Y324" s="1020"/>
      <c r="Z324" s="1020"/>
      <c r="AA324" s="1020"/>
      <c r="AB324" s="1020"/>
      <c r="AC324" s="1020"/>
      <c r="AD324" s="1020"/>
      <c r="AE324" s="1020"/>
      <c r="AF324" s="1020"/>
      <c r="AG324" s="467"/>
      <c r="AH324" s="467"/>
    </row>
    <row r="325" ht="14.25" customHeight="1" spans="2:34">
      <c r="B325" s="1018"/>
      <c r="C325" s="1019"/>
      <c r="D325" s="1019"/>
      <c r="E325" s="1019"/>
      <c r="F325" s="1020"/>
      <c r="G325" s="1020"/>
      <c r="H325" s="1020"/>
      <c r="I325" s="1020"/>
      <c r="J325" s="1020"/>
      <c r="K325" s="1020"/>
      <c r="L325" s="1020"/>
      <c r="M325" s="1020"/>
      <c r="N325" s="1020"/>
      <c r="O325" s="1020"/>
      <c r="P325" s="1020"/>
      <c r="Q325" s="1020"/>
      <c r="R325" s="1020"/>
      <c r="S325" s="1020"/>
      <c r="T325" s="1020"/>
      <c r="U325" s="1020"/>
      <c r="V325" s="1020"/>
      <c r="W325" s="1020"/>
      <c r="X325" s="1020"/>
      <c r="Y325" s="1020"/>
      <c r="Z325" s="1020"/>
      <c r="AA325" s="1020"/>
      <c r="AB325" s="1020"/>
      <c r="AC325" s="1020"/>
      <c r="AD325" s="1020"/>
      <c r="AE325" s="1020"/>
      <c r="AF325" s="1020"/>
      <c r="AG325" s="467"/>
      <c r="AH325" s="467"/>
    </row>
    <row r="326" ht="14.25" customHeight="1" spans="2:34">
      <c r="B326" s="1018"/>
      <c r="C326" s="1019"/>
      <c r="D326" s="1019"/>
      <c r="E326" s="1019"/>
      <c r="F326" s="1020"/>
      <c r="G326" s="1020"/>
      <c r="H326" s="1020"/>
      <c r="I326" s="1020"/>
      <c r="J326" s="1020"/>
      <c r="K326" s="1020"/>
      <c r="L326" s="1020"/>
      <c r="M326" s="1020"/>
      <c r="N326" s="1020"/>
      <c r="O326" s="1020"/>
      <c r="P326" s="1020"/>
      <c r="Q326" s="1020"/>
      <c r="R326" s="1020"/>
      <c r="S326" s="1020"/>
      <c r="T326" s="1020"/>
      <c r="U326" s="1020"/>
      <c r="V326" s="1020"/>
      <c r="W326" s="1020"/>
      <c r="X326" s="1020"/>
      <c r="Y326" s="1020"/>
      <c r="Z326" s="1020"/>
      <c r="AA326" s="1020"/>
      <c r="AB326" s="1020"/>
      <c r="AC326" s="1020"/>
      <c r="AD326" s="1020"/>
      <c r="AE326" s="1020"/>
      <c r="AF326" s="1020"/>
      <c r="AG326" s="467"/>
      <c r="AH326" s="467"/>
    </row>
    <row r="327" ht="14.25" customHeight="1" spans="2:34">
      <c r="B327" s="1018"/>
      <c r="C327" s="1019"/>
      <c r="D327" s="1019"/>
      <c r="E327" s="1019"/>
      <c r="F327" s="1020"/>
      <c r="G327" s="1020"/>
      <c r="H327" s="1020"/>
      <c r="I327" s="1020"/>
      <c r="J327" s="1020"/>
      <c r="K327" s="1020"/>
      <c r="L327" s="1020"/>
      <c r="M327" s="1020"/>
      <c r="N327" s="1020"/>
      <c r="O327" s="1020"/>
      <c r="P327" s="1020"/>
      <c r="Q327" s="1020"/>
      <c r="R327" s="1020"/>
      <c r="S327" s="1020"/>
      <c r="T327" s="1020"/>
      <c r="U327" s="1020"/>
      <c r="V327" s="1020"/>
      <c r="W327" s="1020"/>
      <c r="X327" s="1020"/>
      <c r="Y327" s="1020"/>
      <c r="Z327" s="1020"/>
      <c r="AA327" s="1020"/>
      <c r="AB327" s="1020"/>
      <c r="AC327" s="1020"/>
      <c r="AD327" s="1020"/>
      <c r="AE327" s="1020"/>
      <c r="AF327" s="1020"/>
      <c r="AG327" s="467"/>
      <c r="AH327" s="467"/>
    </row>
    <row r="328" ht="14.25" customHeight="1" spans="2:34">
      <c r="B328" s="1018"/>
      <c r="C328" s="1019"/>
      <c r="D328" s="1019"/>
      <c r="E328" s="1019"/>
      <c r="F328" s="1020"/>
      <c r="G328" s="1020"/>
      <c r="H328" s="1020"/>
      <c r="I328" s="1020"/>
      <c r="J328" s="1020"/>
      <c r="K328" s="1020"/>
      <c r="L328" s="1020"/>
      <c r="M328" s="1020"/>
      <c r="N328" s="1020"/>
      <c r="O328" s="1020"/>
      <c r="P328" s="1020"/>
      <c r="Q328" s="1020"/>
      <c r="R328" s="1020"/>
      <c r="S328" s="1020"/>
      <c r="T328" s="1020"/>
      <c r="U328" s="1020"/>
      <c r="V328" s="1020"/>
      <c r="W328" s="1020"/>
      <c r="X328" s="1020"/>
      <c r="Y328" s="1020"/>
      <c r="Z328" s="1020"/>
      <c r="AA328" s="1020"/>
      <c r="AB328" s="1020"/>
      <c r="AC328" s="1020"/>
      <c r="AD328" s="1020"/>
      <c r="AE328" s="1020"/>
      <c r="AF328" s="1020"/>
      <c r="AG328" s="467"/>
      <c r="AH328" s="467"/>
    </row>
    <row r="329" ht="14.25" customHeight="1" spans="2:34">
      <c r="B329" s="1018"/>
      <c r="C329" s="1019"/>
      <c r="D329" s="1019"/>
      <c r="E329" s="1019"/>
      <c r="F329" s="1020"/>
      <c r="G329" s="1020"/>
      <c r="H329" s="1020"/>
      <c r="I329" s="1020"/>
      <c r="J329" s="1020"/>
      <c r="K329" s="1020"/>
      <c r="L329" s="1020"/>
      <c r="M329" s="1020"/>
      <c r="N329" s="1020"/>
      <c r="O329" s="1020"/>
      <c r="P329" s="1020"/>
      <c r="Q329" s="1020"/>
      <c r="R329" s="1020"/>
      <c r="S329" s="1020"/>
      <c r="T329" s="1020"/>
      <c r="U329" s="1020"/>
      <c r="V329" s="1020"/>
      <c r="W329" s="1020"/>
      <c r="X329" s="1020"/>
      <c r="Y329" s="1020"/>
      <c r="Z329" s="1020"/>
      <c r="AA329" s="1020"/>
      <c r="AB329" s="1020"/>
      <c r="AC329" s="1020"/>
      <c r="AD329" s="1020"/>
      <c r="AE329" s="1020"/>
      <c r="AF329" s="1020"/>
      <c r="AG329" s="467"/>
      <c r="AH329" s="467"/>
    </row>
    <row r="330" ht="14.25" customHeight="1" spans="2:34">
      <c r="B330" s="1018"/>
      <c r="C330" s="1019"/>
      <c r="D330" s="1019"/>
      <c r="E330" s="1019"/>
      <c r="F330" s="1020"/>
      <c r="G330" s="1020"/>
      <c r="H330" s="1020"/>
      <c r="I330" s="1020"/>
      <c r="J330" s="1020"/>
      <c r="K330" s="1020"/>
      <c r="L330" s="1020"/>
      <c r="M330" s="1020"/>
      <c r="N330" s="1020"/>
      <c r="O330" s="1020"/>
      <c r="P330" s="1020"/>
      <c r="Q330" s="1020"/>
      <c r="R330" s="1020"/>
      <c r="S330" s="1020"/>
      <c r="T330" s="1020"/>
      <c r="U330" s="1020"/>
      <c r="V330" s="1020"/>
      <c r="W330" s="1020"/>
      <c r="X330" s="1020"/>
      <c r="Y330" s="1020"/>
      <c r="Z330" s="1020"/>
      <c r="AA330" s="1020"/>
      <c r="AB330" s="1020"/>
      <c r="AC330" s="1020"/>
      <c r="AD330" s="1020"/>
      <c r="AE330" s="1020"/>
      <c r="AF330" s="1020"/>
      <c r="AG330" s="467"/>
      <c r="AH330" s="467"/>
    </row>
    <row r="331" ht="14.25" customHeight="1" spans="2:34">
      <c r="B331" s="1018"/>
      <c r="C331" s="1019"/>
      <c r="D331" s="1019"/>
      <c r="E331" s="1019"/>
      <c r="F331" s="1020"/>
      <c r="G331" s="1020"/>
      <c r="H331" s="1020"/>
      <c r="I331" s="1020"/>
      <c r="J331" s="1020"/>
      <c r="K331" s="1020"/>
      <c r="L331" s="1020"/>
      <c r="M331" s="1020"/>
      <c r="N331" s="1020"/>
      <c r="O331" s="1020"/>
      <c r="P331" s="1020"/>
      <c r="Q331" s="1020"/>
      <c r="R331" s="1020"/>
      <c r="S331" s="1020"/>
      <c r="T331" s="1020"/>
      <c r="U331" s="1020"/>
      <c r="V331" s="1020"/>
      <c r="W331" s="1020"/>
      <c r="X331" s="1020"/>
      <c r="Y331" s="1020"/>
      <c r="Z331" s="1020"/>
      <c r="AA331" s="1020"/>
      <c r="AB331" s="1020"/>
      <c r="AC331" s="1020"/>
      <c r="AD331" s="1020"/>
      <c r="AE331" s="1020"/>
      <c r="AF331" s="1020"/>
      <c r="AG331" s="467"/>
      <c r="AH331" s="467"/>
    </row>
    <row r="332" ht="14.25" customHeight="1" spans="2:34">
      <c r="B332" s="1018"/>
      <c r="C332" s="1019"/>
      <c r="D332" s="1019"/>
      <c r="E332" s="1019"/>
      <c r="F332" s="1020"/>
      <c r="G332" s="1020"/>
      <c r="H332" s="1020"/>
      <c r="I332" s="1020"/>
      <c r="J332" s="1020"/>
      <c r="K332" s="1020"/>
      <c r="L332" s="1020"/>
      <c r="M332" s="1020"/>
      <c r="N332" s="1020"/>
      <c r="O332" s="1020"/>
      <c r="P332" s="1020"/>
      <c r="Q332" s="1020"/>
      <c r="R332" s="1020"/>
      <c r="S332" s="1020"/>
      <c r="T332" s="1020"/>
      <c r="U332" s="1020"/>
      <c r="V332" s="1020"/>
      <c r="W332" s="1020"/>
      <c r="X332" s="1020"/>
      <c r="Y332" s="1020"/>
      <c r="Z332" s="1020"/>
      <c r="AA332" s="1020"/>
      <c r="AB332" s="1020"/>
      <c r="AC332" s="1020"/>
      <c r="AD332" s="1020"/>
      <c r="AE332" s="1020"/>
      <c r="AF332" s="1020"/>
      <c r="AG332" s="467"/>
      <c r="AH332" s="467"/>
    </row>
    <row r="333" ht="14.25" customHeight="1" spans="2:34">
      <c r="B333" s="1018"/>
      <c r="C333" s="1019"/>
      <c r="D333" s="1019"/>
      <c r="E333" s="1019"/>
      <c r="F333" s="1020"/>
      <c r="G333" s="1020"/>
      <c r="H333" s="1020"/>
      <c r="I333" s="1020"/>
      <c r="J333" s="1020"/>
      <c r="K333" s="1020"/>
      <c r="L333" s="1020"/>
      <c r="M333" s="1020"/>
      <c r="N333" s="1020"/>
      <c r="O333" s="1020"/>
      <c r="P333" s="1020"/>
      <c r="Q333" s="1020"/>
      <c r="R333" s="1020"/>
      <c r="S333" s="1020"/>
      <c r="T333" s="1020"/>
      <c r="U333" s="1020"/>
      <c r="V333" s="1020"/>
      <c r="W333" s="1020"/>
      <c r="X333" s="1020"/>
      <c r="Y333" s="1020"/>
      <c r="Z333" s="1020"/>
      <c r="AA333" s="1020"/>
      <c r="AB333" s="1020"/>
      <c r="AC333" s="1020"/>
      <c r="AD333" s="1020"/>
      <c r="AE333" s="1020"/>
      <c r="AF333" s="1020"/>
      <c r="AG333" s="467"/>
      <c r="AH333" s="467"/>
    </row>
    <row r="334" ht="14.25" customHeight="1" spans="2:34">
      <c r="B334" s="1018"/>
      <c r="C334" s="1019"/>
      <c r="D334" s="1019"/>
      <c r="E334" s="1019"/>
      <c r="F334" s="1020"/>
      <c r="G334" s="1020"/>
      <c r="H334" s="1020"/>
      <c r="I334" s="1020"/>
      <c r="J334" s="1020"/>
      <c r="K334" s="1020"/>
      <c r="L334" s="1020"/>
      <c r="M334" s="1020"/>
      <c r="N334" s="1020"/>
      <c r="O334" s="1020"/>
      <c r="P334" s="1020"/>
      <c r="Q334" s="1020"/>
      <c r="R334" s="1020"/>
      <c r="S334" s="1020"/>
      <c r="T334" s="1020"/>
      <c r="U334" s="1020"/>
      <c r="V334" s="1020"/>
      <c r="W334" s="1020"/>
      <c r="X334" s="1020"/>
      <c r="Y334" s="1020"/>
      <c r="Z334" s="1020"/>
      <c r="AA334" s="1020"/>
      <c r="AB334" s="1020"/>
      <c r="AC334" s="1020"/>
      <c r="AD334" s="1020"/>
      <c r="AE334" s="1020"/>
      <c r="AF334" s="1020"/>
      <c r="AG334" s="467"/>
      <c r="AH334" s="467"/>
    </row>
    <row r="335" ht="14.25" customHeight="1" spans="2:34">
      <c r="B335" s="1018"/>
      <c r="C335" s="1019"/>
      <c r="D335" s="1019"/>
      <c r="E335" s="1019"/>
      <c r="F335" s="1020"/>
      <c r="G335" s="1020"/>
      <c r="H335" s="1020"/>
      <c r="I335" s="1020"/>
      <c r="J335" s="1020"/>
      <c r="K335" s="1020"/>
      <c r="L335" s="1020"/>
      <c r="M335" s="1020"/>
      <c r="N335" s="1020"/>
      <c r="O335" s="1020"/>
      <c r="P335" s="1020"/>
      <c r="Q335" s="1020"/>
      <c r="R335" s="1020"/>
      <c r="S335" s="1020"/>
      <c r="T335" s="1020"/>
      <c r="U335" s="1020"/>
      <c r="V335" s="1020"/>
      <c r="W335" s="1020"/>
      <c r="X335" s="1020"/>
      <c r="Y335" s="1020"/>
      <c r="Z335" s="1020"/>
      <c r="AA335" s="1020"/>
      <c r="AB335" s="1020"/>
      <c r="AC335" s="1020"/>
      <c r="AD335" s="1020"/>
      <c r="AE335" s="1020"/>
      <c r="AF335" s="1020"/>
      <c r="AG335" s="467"/>
      <c r="AH335" s="467"/>
    </row>
    <row r="336" ht="14.25" customHeight="1" spans="2:34">
      <c r="B336" s="1018"/>
      <c r="C336" s="1019"/>
      <c r="D336" s="1019"/>
      <c r="E336" s="1019"/>
      <c r="F336" s="1020"/>
      <c r="G336" s="1020"/>
      <c r="H336" s="1020"/>
      <c r="I336" s="1020"/>
      <c r="J336" s="1020"/>
      <c r="K336" s="1020"/>
      <c r="L336" s="1020"/>
      <c r="M336" s="1020"/>
      <c r="N336" s="1020"/>
      <c r="O336" s="1020"/>
      <c r="P336" s="1020"/>
      <c r="Q336" s="1020"/>
      <c r="R336" s="1020"/>
      <c r="S336" s="1020"/>
      <c r="T336" s="1020"/>
      <c r="U336" s="1020"/>
      <c r="V336" s="1020"/>
      <c r="W336" s="1020"/>
      <c r="X336" s="1020"/>
      <c r="Y336" s="1020"/>
      <c r="Z336" s="1020"/>
      <c r="AA336" s="1020"/>
      <c r="AB336" s="1020"/>
      <c r="AC336" s="1020"/>
      <c r="AD336" s="1020"/>
      <c r="AE336" s="1020"/>
      <c r="AF336" s="1020"/>
      <c r="AG336" s="467"/>
      <c r="AH336" s="467"/>
    </row>
    <row r="337" ht="14.25" customHeight="1" spans="2:34">
      <c r="B337" s="1018"/>
      <c r="C337" s="1019"/>
      <c r="D337" s="1019"/>
      <c r="E337" s="1019"/>
      <c r="F337" s="1020"/>
      <c r="G337" s="1020"/>
      <c r="H337" s="1020"/>
      <c r="I337" s="1020"/>
      <c r="J337" s="1020"/>
      <c r="K337" s="1020"/>
      <c r="L337" s="1020"/>
      <c r="M337" s="1020"/>
      <c r="N337" s="1020"/>
      <c r="O337" s="1020"/>
      <c r="P337" s="1020"/>
      <c r="Q337" s="1020"/>
      <c r="R337" s="1020"/>
      <c r="S337" s="1020"/>
      <c r="T337" s="1020"/>
      <c r="U337" s="1020"/>
      <c r="V337" s="1020"/>
      <c r="W337" s="1020"/>
      <c r="X337" s="1020"/>
      <c r="Y337" s="1020"/>
      <c r="Z337" s="1020"/>
      <c r="AA337" s="1020"/>
      <c r="AB337" s="1020"/>
      <c r="AC337" s="1020"/>
      <c r="AD337" s="1020"/>
      <c r="AE337" s="1020"/>
      <c r="AF337" s="1020"/>
      <c r="AG337" s="467"/>
      <c r="AH337" s="467"/>
    </row>
    <row r="338" ht="14.25" customHeight="1" spans="2:34">
      <c r="B338" s="1018"/>
      <c r="C338" s="1019"/>
      <c r="D338" s="1019"/>
      <c r="E338" s="1019"/>
      <c r="F338" s="1020"/>
      <c r="G338" s="1020"/>
      <c r="H338" s="1020"/>
      <c r="I338" s="1020"/>
      <c r="J338" s="1020"/>
      <c r="K338" s="1020"/>
      <c r="L338" s="1020"/>
      <c r="M338" s="1020"/>
      <c r="N338" s="1020"/>
      <c r="O338" s="1020"/>
      <c r="P338" s="1020"/>
      <c r="Q338" s="1020"/>
      <c r="R338" s="1020"/>
      <c r="S338" s="1020"/>
      <c r="T338" s="1020"/>
      <c r="U338" s="1020"/>
      <c r="V338" s="1020"/>
      <c r="W338" s="1020"/>
      <c r="X338" s="1020"/>
      <c r="Y338" s="1020"/>
      <c r="Z338" s="1020"/>
      <c r="AA338" s="1020"/>
      <c r="AB338" s="1020"/>
      <c r="AC338" s="1020"/>
      <c r="AD338" s="1020"/>
      <c r="AE338" s="1020"/>
      <c r="AF338" s="1020"/>
      <c r="AG338" s="467"/>
      <c r="AH338" s="467"/>
    </row>
    <row r="339" ht="14.25" customHeight="1" spans="2:34">
      <c r="B339" s="1018"/>
      <c r="C339" s="1019"/>
      <c r="D339" s="1019"/>
      <c r="E339" s="1019"/>
      <c r="F339" s="1020"/>
      <c r="G339" s="1020"/>
      <c r="H339" s="1020"/>
      <c r="I339" s="1020"/>
      <c r="J339" s="1020"/>
      <c r="K339" s="1020"/>
      <c r="L339" s="1020"/>
      <c r="M339" s="1020"/>
      <c r="N339" s="1020"/>
      <c r="O339" s="1020"/>
      <c r="P339" s="1020"/>
      <c r="Q339" s="1020"/>
      <c r="R339" s="1020"/>
      <c r="S339" s="1020"/>
      <c r="T339" s="1020"/>
      <c r="U339" s="1020"/>
      <c r="V339" s="1020"/>
      <c r="W339" s="1020"/>
      <c r="X339" s="1020"/>
      <c r="Y339" s="1020"/>
      <c r="Z339" s="1020"/>
      <c r="AA339" s="1020"/>
      <c r="AB339" s="1020"/>
      <c r="AC339" s="1020"/>
      <c r="AD339" s="1020"/>
      <c r="AE339" s="1020"/>
      <c r="AF339" s="1020"/>
      <c r="AG339" s="467"/>
      <c r="AH339" s="467"/>
    </row>
    <row r="340" ht="14.25" customHeight="1" spans="2:34">
      <c r="B340" s="1018"/>
      <c r="C340" s="1019"/>
      <c r="D340" s="1019"/>
      <c r="E340" s="1019"/>
      <c r="F340" s="1020"/>
      <c r="G340" s="1020"/>
      <c r="H340" s="1020"/>
      <c r="I340" s="1020"/>
      <c r="J340" s="1020"/>
      <c r="K340" s="1020"/>
      <c r="L340" s="1020"/>
      <c r="M340" s="1020"/>
      <c r="N340" s="1020"/>
      <c r="O340" s="1020"/>
      <c r="P340" s="1020"/>
      <c r="Q340" s="1020"/>
      <c r="R340" s="1020"/>
      <c r="S340" s="1020"/>
      <c r="T340" s="1020"/>
      <c r="U340" s="1020"/>
      <c r="V340" s="1020"/>
      <c r="W340" s="1020"/>
      <c r="X340" s="1020"/>
      <c r="Y340" s="1020"/>
      <c r="Z340" s="1020"/>
      <c r="AA340" s="1020"/>
      <c r="AB340" s="1020"/>
      <c r="AC340" s="1020"/>
      <c r="AD340" s="1020"/>
      <c r="AE340" s="1020"/>
      <c r="AF340" s="1020"/>
      <c r="AG340" s="467"/>
      <c r="AH340" s="467"/>
    </row>
    <row r="341" ht="14.25" customHeight="1" spans="2:34">
      <c r="B341" s="1018"/>
      <c r="C341" s="1019"/>
      <c r="D341" s="1019"/>
      <c r="E341" s="1019"/>
      <c r="F341" s="1020"/>
      <c r="G341" s="1020"/>
      <c r="H341" s="1020"/>
      <c r="I341" s="1020"/>
      <c r="J341" s="1020"/>
      <c r="K341" s="1020"/>
      <c r="L341" s="1020"/>
      <c r="M341" s="1020"/>
      <c r="N341" s="1020"/>
      <c r="O341" s="1020"/>
      <c r="P341" s="1020"/>
      <c r="Q341" s="1020"/>
      <c r="R341" s="1020"/>
      <c r="S341" s="1020"/>
      <c r="T341" s="1020"/>
      <c r="U341" s="1020"/>
      <c r="V341" s="1020"/>
      <c r="W341" s="1020"/>
      <c r="X341" s="1020"/>
      <c r="Y341" s="1020"/>
      <c r="Z341" s="1020"/>
      <c r="AA341" s="1020"/>
      <c r="AB341" s="1020"/>
      <c r="AC341" s="1020"/>
      <c r="AD341" s="1020"/>
      <c r="AE341" s="1020"/>
      <c r="AF341" s="1020"/>
      <c r="AG341" s="467"/>
      <c r="AH341" s="467"/>
    </row>
    <row r="342" ht="14.25" customHeight="1" spans="2:34">
      <c r="B342" s="1018"/>
      <c r="C342" s="1019"/>
      <c r="D342" s="1019"/>
      <c r="E342" s="1019"/>
      <c r="F342" s="1020"/>
      <c r="G342" s="1020"/>
      <c r="H342" s="1020"/>
      <c r="I342" s="1020"/>
      <c r="J342" s="1020"/>
      <c r="K342" s="1020"/>
      <c r="L342" s="1020"/>
      <c r="M342" s="1020"/>
      <c r="N342" s="1020"/>
      <c r="O342" s="1020"/>
      <c r="P342" s="1020"/>
      <c r="Q342" s="1020"/>
      <c r="R342" s="1020"/>
      <c r="S342" s="1020"/>
      <c r="T342" s="1020"/>
      <c r="U342" s="1020"/>
      <c r="V342" s="1020"/>
      <c r="W342" s="1020"/>
      <c r="X342" s="1020"/>
      <c r="Y342" s="1020"/>
      <c r="Z342" s="1020"/>
      <c r="AA342" s="1020"/>
      <c r="AB342" s="1020"/>
      <c r="AC342" s="1020"/>
      <c r="AD342" s="1020"/>
      <c r="AE342" s="1020"/>
      <c r="AF342" s="1020"/>
      <c r="AG342" s="467"/>
      <c r="AH342" s="467"/>
    </row>
    <row r="343" ht="14.25" customHeight="1" spans="2:34">
      <c r="B343" s="1018"/>
      <c r="C343" s="1019"/>
      <c r="D343" s="1019"/>
      <c r="E343" s="1019"/>
      <c r="F343" s="1020"/>
      <c r="G343" s="1020"/>
      <c r="H343" s="1020"/>
      <c r="I343" s="1020"/>
      <c r="J343" s="1020"/>
      <c r="K343" s="1020"/>
      <c r="L343" s="1020"/>
      <c r="M343" s="1020"/>
      <c r="N343" s="1020"/>
      <c r="O343" s="1020"/>
      <c r="P343" s="1020"/>
      <c r="Q343" s="1020"/>
      <c r="R343" s="1020"/>
      <c r="S343" s="1020"/>
      <c r="T343" s="1020"/>
      <c r="U343" s="1020"/>
      <c r="V343" s="1020"/>
      <c r="W343" s="1020"/>
      <c r="X343" s="1020"/>
      <c r="Y343" s="1020"/>
      <c r="Z343" s="1020"/>
      <c r="AA343" s="1020"/>
      <c r="AB343" s="1020"/>
      <c r="AC343" s="1020"/>
      <c r="AD343" s="1020"/>
      <c r="AE343" s="1020"/>
      <c r="AF343" s="1020"/>
      <c r="AG343" s="467"/>
      <c r="AH343" s="467"/>
    </row>
    <row r="344" ht="14.25" customHeight="1" spans="2:34">
      <c r="B344" s="1018"/>
      <c r="C344" s="1019"/>
      <c r="D344" s="1019"/>
      <c r="E344" s="1019"/>
      <c r="F344" s="1020"/>
      <c r="G344" s="1020"/>
      <c r="H344" s="1020"/>
      <c r="I344" s="1020"/>
      <c r="J344" s="1020"/>
      <c r="K344" s="1020"/>
      <c r="L344" s="1020"/>
      <c r="M344" s="1020"/>
      <c r="N344" s="1020"/>
      <c r="O344" s="1020"/>
      <c r="P344" s="1020"/>
      <c r="Q344" s="1020"/>
      <c r="R344" s="1020"/>
      <c r="S344" s="1020"/>
      <c r="T344" s="1020"/>
      <c r="U344" s="1020"/>
      <c r="V344" s="1020"/>
      <c r="W344" s="1020"/>
      <c r="X344" s="1020"/>
      <c r="Y344" s="1020"/>
      <c r="Z344" s="1020"/>
      <c r="AA344" s="1020"/>
      <c r="AB344" s="1020"/>
      <c r="AC344" s="1020"/>
      <c r="AD344" s="1020"/>
      <c r="AE344" s="1020"/>
      <c r="AF344" s="1020"/>
      <c r="AG344" s="467"/>
      <c r="AH344" s="467"/>
    </row>
    <row r="345" ht="14.25" customHeight="1" spans="2:34">
      <c r="B345" s="1018"/>
      <c r="C345" s="1019"/>
      <c r="D345" s="1019"/>
      <c r="E345" s="1019"/>
      <c r="F345" s="1020"/>
      <c r="G345" s="1020"/>
      <c r="H345" s="1020"/>
      <c r="I345" s="1020"/>
      <c r="J345" s="1020"/>
      <c r="K345" s="1020"/>
      <c r="L345" s="1020"/>
      <c r="M345" s="1020"/>
      <c r="N345" s="1020"/>
      <c r="O345" s="1020"/>
      <c r="P345" s="1020"/>
      <c r="Q345" s="1020"/>
      <c r="R345" s="1020"/>
      <c r="S345" s="1020"/>
      <c r="T345" s="1020"/>
      <c r="U345" s="1020"/>
      <c r="V345" s="1020"/>
      <c r="W345" s="1020"/>
      <c r="X345" s="1020"/>
      <c r="Y345" s="1020"/>
      <c r="Z345" s="1020"/>
      <c r="AA345" s="1020"/>
      <c r="AB345" s="1020"/>
      <c r="AC345" s="1020"/>
      <c r="AD345" s="1020"/>
      <c r="AE345" s="1020"/>
      <c r="AF345" s="1020"/>
      <c r="AG345" s="467"/>
      <c r="AH345" s="467"/>
    </row>
    <row r="346" ht="14.25" customHeight="1" spans="2:34">
      <c r="B346" s="1018"/>
      <c r="C346" s="1019"/>
      <c r="D346" s="1019"/>
      <c r="E346" s="1019"/>
      <c r="F346" s="1020"/>
      <c r="G346" s="1020"/>
      <c r="H346" s="1020"/>
      <c r="I346" s="1020"/>
      <c r="J346" s="1020"/>
      <c r="K346" s="1020"/>
      <c r="L346" s="1020"/>
      <c r="M346" s="1020"/>
      <c r="N346" s="1020"/>
      <c r="O346" s="1020"/>
      <c r="P346" s="1020"/>
      <c r="Q346" s="1020"/>
      <c r="R346" s="1020"/>
      <c r="S346" s="1020"/>
      <c r="T346" s="1020"/>
      <c r="U346" s="1020"/>
      <c r="V346" s="1020"/>
      <c r="W346" s="1020"/>
      <c r="X346" s="1020"/>
      <c r="Y346" s="1020"/>
      <c r="Z346" s="1020"/>
      <c r="AA346" s="1020"/>
      <c r="AB346" s="1020"/>
      <c r="AC346" s="1020"/>
      <c r="AD346" s="1020"/>
      <c r="AE346" s="1020"/>
      <c r="AF346" s="1020"/>
      <c r="AG346" s="467"/>
      <c r="AH346" s="467"/>
    </row>
    <row r="347" ht="14.25" customHeight="1" spans="2:34">
      <c r="B347" s="1018"/>
      <c r="C347" s="1019"/>
      <c r="D347" s="1019"/>
      <c r="E347" s="1019"/>
      <c r="F347" s="1020"/>
      <c r="G347" s="1020"/>
      <c r="H347" s="1020"/>
      <c r="I347" s="1020"/>
      <c r="J347" s="1020"/>
      <c r="K347" s="1020"/>
      <c r="L347" s="1020"/>
      <c r="M347" s="1020"/>
      <c r="N347" s="1020"/>
      <c r="O347" s="1020"/>
      <c r="P347" s="1020"/>
      <c r="Q347" s="1020"/>
      <c r="R347" s="1020"/>
      <c r="S347" s="1020"/>
      <c r="T347" s="1020"/>
      <c r="U347" s="1020"/>
      <c r="V347" s="1020"/>
      <c r="W347" s="1020"/>
      <c r="X347" s="1020"/>
      <c r="Y347" s="1020"/>
      <c r="Z347" s="1020"/>
      <c r="AA347" s="1020"/>
      <c r="AB347" s="1020"/>
      <c r="AC347" s="1020"/>
      <c r="AD347" s="1020"/>
      <c r="AE347" s="1020"/>
      <c r="AF347" s="1020"/>
      <c r="AG347" s="467"/>
      <c r="AH347" s="467"/>
    </row>
    <row r="348" ht="14.25" customHeight="1" spans="2:34">
      <c r="B348" s="1018"/>
      <c r="C348" s="1019"/>
      <c r="D348" s="1019"/>
      <c r="E348" s="1019"/>
      <c r="F348" s="1020"/>
      <c r="G348" s="1020"/>
      <c r="H348" s="1020"/>
      <c r="I348" s="1020"/>
      <c r="J348" s="1020"/>
      <c r="K348" s="1020"/>
      <c r="L348" s="1020"/>
      <c r="M348" s="1020"/>
      <c r="N348" s="1020"/>
      <c r="O348" s="1020"/>
      <c r="P348" s="1020"/>
      <c r="Q348" s="1020"/>
      <c r="R348" s="1020"/>
      <c r="S348" s="1020"/>
      <c r="T348" s="1020"/>
      <c r="U348" s="1020"/>
      <c r="V348" s="1020"/>
      <c r="W348" s="1020"/>
      <c r="X348" s="1020"/>
      <c r="Y348" s="1020"/>
      <c r="Z348" s="1020"/>
      <c r="AA348" s="1020"/>
      <c r="AB348" s="1020"/>
      <c r="AC348" s="1020"/>
      <c r="AD348" s="1020"/>
      <c r="AE348" s="1020"/>
      <c r="AF348" s="1020"/>
      <c r="AG348" s="467"/>
      <c r="AH348" s="467"/>
    </row>
    <row r="349" ht="14.25" customHeight="1" spans="2:34">
      <c r="B349" s="1018"/>
      <c r="C349" s="1019"/>
      <c r="D349" s="1019"/>
      <c r="E349" s="1019"/>
      <c r="F349" s="1020"/>
      <c r="G349" s="1020"/>
      <c r="H349" s="1020"/>
      <c r="I349" s="1020"/>
      <c r="J349" s="1020"/>
      <c r="K349" s="1020"/>
      <c r="L349" s="1020"/>
      <c r="M349" s="1020"/>
      <c r="N349" s="1020"/>
      <c r="O349" s="1020"/>
      <c r="P349" s="1020"/>
      <c r="Q349" s="1020"/>
      <c r="R349" s="1020"/>
      <c r="S349" s="1020"/>
      <c r="T349" s="1020"/>
      <c r="U349" s="1020"/>
      <c r="V349" s="1020"/>
      <c r="W349" s="1020"/>
      <c r="X349" s="1020"/>
      <c r="Y349" s="1020"/>
      <c r="Z349" s="1020"/>
      <c r="AA349" s="1020"/>
      <c r="AB349" s="1020"/>
      <c r="AC349" s="1020"/>
      <c r="AD349" s="1020"/>
      <c r="AE349" s="1020"/>
      <c r="AF349" s="1020"/>
      <c r="AG349" s="467"/>
      <c r="AH349" s="467"/>
    </row>
    <row r="350" ht="14.25" customHeight="1" spans="2:34">
      <c r="B350" s="1018"/>
      <c r="C350" s="1019"/>
      <c r="D350" s="1019"/>
      <c r="E350" s="1019"/>
      <c r="F350" s="1020"/>
      <c r="G350" s="1020"/>
      <c r="H350" s="1020"/>
      <c r="I350" s="1020"/>
      <c r="J350" s="1020"/>
      <c r="K350" s="1020"/>
      <c r="L350" s="1020"/>
      <c r="M350" s="1020"/>
      <c r="N350" s="1020"/>
      <c r="O350" s="1020"/>
      <c r="P350" s="1020"/>
      <c r="Q350" s="1020"/>
      <c r="R350" s="1020"/>
      <c r="S350" s="1020"/>
      <c r="T350" s="1020"/>
      <c r="U350" s="1020"/>
      <c r="V350" s="1020"/>
      <c r="W350" s="1020"/>
      <c r="X350" s="1020"/>
      <c r="Y350" s="1020"/>
      <c r="Z350" s="1020"/>
      <c r="AA350" s="1020"/>
      <c r="AB350" s="1020"/>
      <c r="AC350" s="1020"/>
      <c r="AD350" s="1020"/>
      <c r="AE350" s="1020"/>
      <c r="AF350" s="1020"/>
      <c r="AG350" s="467"/>
      <c r="AH350" s="467"/>
    </row>
    <row r="351" ht="14.25" customHeight="1" spans="2:34">
      <c r="B351" s="1018"/>
      <c r="C351" s="1019"/>
      <c r="D351" s="1019"/>
      <c r="E351" s="1019"/>
      <c r="F351" s="1020"/>
      <c r="G351" s="1020"/>
      <c r="H351" s="1020"/>
      <c r="I351" s="1020"/>
      <c r="J351" s="1020"/>
      <c r="K351" s="1020"/>
      <c r="L351" s="1020"/>
      <c r="M351" s="1020"/>
      <c r="N351" s="1020"/>
      <c r="O351" s="1020"/>
      <c r="P351" s="1020"/>
      <c r="Q351" s="1020"/>
      <c r="R351" s="1020"/>
      <c r="S351" s="1020"/>
      <c r="T351" s="1020"/>
      <c r="U351" s="1020"/>
      <c r="V351" s="1020"/>
      <c r="W351" s="1020"/>
      <c r="X351" s="1020"/>
      <c r="Y351" s="1020"/>
      <c r="Z351" s="1020"/>
      <c r="AA351" s="1020"/>
      <c r="AB351" s="1020"/>
      <c r="AC351" s="1020"/>
      <c r="AD351" s="1020"/>
      <c r="AE351" s="1020"/>
      <c r="AF351" s="1020"/>
      <c r="AG351" s="467"/>
      <c r="AH351" s="467"/>
    </row>
    <row r="352" ht="14.25" customHeight="1" spans="2:34">
      <c r="B352" s="1018"/>
      <c r="C352" s="1019"/>
      <c r="D352" s="1019"/>
      <c r="E352" s="1019"/>
      <c r="F352" s="1020"/>
      <c r="G352" s="1020"/>
      <c r="H352" s="1020"/>
      <c r="I352" s="1020"/>
      <c r="J352" s="1020"/>
      <c r="K352" s="1020"/>
      <c r="L352" s="1020"/>
      <c r="M352" s="1020"/>
      <c r="N352" s="1020"/>
      <c r="O352" s="1020"/>
      <c r="P352" s="1020"/>
      <c r="Q352" s="1020"/>
      <c r="R352" s="1020"/>
      <c r="S352" s="1020"/>
      <c r="T352" s="1020"/>
      <c r="U352" s="1020"/>
      <c r="V352" s="1020"/>
      <c r="W352" s="1020"/>
      <c r="X352" s="1020"/>
      <c r="Y352" s="1020"/>
      <c r="Z352" s="1020"/>
      <c r="AA352" s="1020"/>
      <c r="AB352" s="1020"/>
      <c r="AC352" s="1020"/>
      <c r="AD352" s="1020"/>
      <c r="AE352" s="1020"/>
      <c r="AF352" s="1020"/>
      <c r="AG352" s="467"/>
      <c r="AH352" s="467"/>
    </row>
    <row r="353" ht="14.25" customHeight="1" spans="2:34">
      <c r="B353" s="1018"/>
      <c r="C353" s="1019"/>
      <c r="D353" s="1019"/>
      <c r="E353" s="1019"/>
      <c r="F353" s="1020"/>
      <c r="G353" s="1020"/>
      <c r="H353" s="1020"/>
      <c r="I353" s="1020"/>
      <c r="J353" s="1020"/>
      <c r="K353" s="1020"/>
      <c r="L353" s="1020"/>
      <c r="M353" s="1020"/>
      <c r="N353" s="1020"/>
      <c r="O353" s="1020"/>
      <c r="P353" s="1020"/>
      <c r="Q353" s="1020"/>
      <c r="R353" s="1020"/>
      <c r="S353" s="1020"/>
      <c r="T353" s="1020"/>
      <c r="U353" s="1020"/>
      <c r="V353" s="1020"/>
      <c r="W353" s="1020"/>
      <c r="X353" s="1020"/>
      <c r="Y353" s="1020"/>
      <c r="Z353" s="1020"/>
      <c r="AA353" s="1020"/>
      <c r="AB353" s="1020"/>
      <c r="AC353" s="1020"/>
      <c r="AD353" s="1020"/>
      <c r="AE353" s="1020"/>
      <c r="AF353" s="1020"/>
      <c r="AG353" s="467"/>
      <c r="AH353" s="467"/>
    </row>
    <row r="354" ht="14.25" customHeight="1" spans="2:34">
      <c r="B354" s="1018"/>
      <c r="C354" s="1019"/>
      <c r="D354" s="1019"/>
      <c r="E354" s="1019"/>
      <c r="F354" s="1020"/>
      <c r="G354" s="1020"/>
      <c r="H354" s="1020"/>
      <c r="I354" s="1020"/>
      <c r="J354" s="1020"/>
      <c r="K354" s="1020"/>
      <c r="L354" s="1020"/>
      <c r="M354" s="1020"/>
      <c r="N354" s="1020"/>
      <c r="O354" s="1020"/>
      <c r="P354" s="1020"/>
      <c r="Q354" s="1020"/>
      <c r="R354" s="1020"/>
      <c r="S354" s="1020"/>
      <c r="T354" s="1020"/>
      <c r="U354" s="1020"/>
      <c r="V354" s="1020"/>
      <c r="W354" s="1020"/>
      <c r="X354" s="1020"/>
      <c r="Y354" s="1020"/>
      <c r="Z354" s="1020"/>
      <c r="AA354" s="1020"/>
      <c r="AB354" s="1020"/>
      <c r="AC354" s="1020"/>
      <c r="AD354" s="1020"/>
      <c r="AE354" s="1020"/>
      <c r="AF354" s="1020"/>
      <c r="AG354" s="467"/>
      <c r="AH354" s="467"/>
    </row>
    <row r="355" ht="14.25" customHeight="1" spans="2:34">
      <c r="B355" s="1018"/>
      <c r="C355" s="1019"/>
      <c r="D355" s="1019"/>
      <c r="E355" s="1019"/>
      <c r="F355" s="1020"/>
      <c r="G355" s="1020"/>
      <c r="H355" s="1020"/>
      <c r="I355" s="1020"/>
      <c r="J355" s="1020"/>
      <c r="K355" s="1020"/>
      <c r="L355" s="1020"/>
      <c r="M355" s="1020"/>
      <c r="N355" s="1020"/>
      <c r="O355" s="1020"/>
      <c r="P355" s="1020"/>
      <c r="Q355" s="1020"/>
      <c r="R355" s="1020"/>
      <c r="S355" s="1020"/>
      <c r="T355" s="1020"/>
      <c r="U355" s="1020"/>
      <c r="V355" s="1020"/>
      <c r="W355" s="1020"/>
      <c r="X355" s="1020"/>
      <c r="Y355" s="1020"/>
      <c r="Z355" s="1020"/>
      <c r="AA355" s="1020"/>
      <c r="AB355" s="1020"/>
      <c r="AC355" s="1020"/>
      <c r="AD355" s="1020"/>
      <c r="AE355" s="1020"/>
      <c r="AF355" s="1020"/>
      <c r="AG355" s="467"/>
      <c r="AH355" s="467"/>
    </row>
    <row r="356" ht="14.25" customHeight="1" spans="2:34">
      <c r="B356" s="1018"/>
      <c r="C356" s="1019"/>
      <c r="D356" s="1019"/>
      <c r="E356" s="1019"/>
      <c r="F356" s="1020"/>
      <c r="G356" s="1020"/>
      <c r="H356" s="1020"/>
      <c r="I356" s="1020"/>
      <c r="J356" s="1020"/>
      <c r="K356" s="1020"/>
      <c r="L356" s="1020"/>
      <c r="M356" s="1020"/>
      <c r="N356" s="1020"/>
      <c r="O356" s="1020"/>
      <c r="P356" s="1020"/>
      <c r="Q356" s="1020"/>
      <c r="R356" s="1020"/>
      <c r="S356" s="1020"/>
      <c r="T356" s="1020"/>
      <c r="U356" s="1020"/>
      <c r="V356" s="1020"/>
      <c r="W356" s="1020"/>
      <c r="X356" s="1020"/>
      <c r="Y356" s="1020"/>
      <c r="Z356" s="1020"/>
      <c r="AA356" s="1020"/>
      <c r="AB356" s="1020"/>
      <c r="AC356" s="1020"/>
      <c r="AD356" s="1020"/>
      <c r="AE356" s="1020"/>
      <c r="AF356" s="1020"/>
      <c r="AG356" s="467"/>
      <c r="AH356" s="467"/>
    </row>
    <row r="357" ht="14.25" customHeight="1" spans="2:34">
      <c r="B357" s="1018"/>
      <c r="C357" s="1019"/>
      <c r="D357" s="1019"/>
      <c r="E357" s="1019"/>
      <c r="F357" s="1020"/>
      <c r="G357" s="1020"/>
      <c r="H357" s="1020"/>
      <c r="I357" s="1020"/>
      <c r="J357" s="1020"/>
      <c r="K357" s="1020"/>
      <c r="L357" s="1020"/>
      <c r="M357" s="1020"/>
      <c r="N357" s="1020"/>
      <c r="O357" s="1020"/>
      <c r="P357" s="1020"/>
      <c r="Q357" s="1020"/>
      <c r="R357" s="1020"/>
      <c r="S357" s="1020"/>
      <c r="T357" s="1020"/>
      <c r="U357" s="1020"/>
      <c r="V357" s="1020"/>
      <c r="W357" s="1020"/>
      <c r="X357" s="1020"/>
      <c r="Y357" s="1020"/>
      <c r="Z357" s="1020"/>
      <c r="AA357" s="1020"/>
      <c r="AB357" s="1020"/>
      <c r="AC357" s="1020"/>
      <c r="AD357" s="1020"/>
      <c r="AE357" s="1020"/>
      <c r="AF357" s="1020"/>
      <c r="AG357" s="467"/>
      <c r="AH357" s="467"/>
    </row>
    <row r="358" ht="14.25" customHeight="1" spans="2:34">
      <c r="B358" s="1018"/>
      <c r="C358" s="1019"/>
      <c r="D358" s="1019"/>
      <c r="E358" s="1019"/>
      <c r="F358" s="1020"/>
      <c r="G358" s="1020"/>
      <c r="H358" s="1020"/>
      <c r="I358" s="1020"/>
      <c r="J358" s="1020"/>
      <c r="K358" s="1020"/>
      <c r="L358" s="1020"/>
      <c r="M358" s="1020"/>
      <c r="N358" s="1020"/>
      <c r="O358" s="1020"/>
      <c r="P358" s="1020"/>
      <c r="Q358" s="1020"/>
      <c r="R358" s="1020"/>
      <c r="S358" s="1020"/>
      <c r="T358" s="1020"/>
      <c r="U358" s="1020"/>
      <c r="V358" s="1020"/>
      <c r="W358" s="1020"/>
      <c r="X358" s="1020"/>
      <c r="Y358" s="1020"/>
      <c r="Z358" s="1020"/>
      <c r="AA358" s="1020"/>
      <c r="AB358" s="1020"/>
      <c r="AC358" s="1020"/>
      <c r="AD358" s="1020"/>
      <c r="AE358" s="1020"/>
      <c r="AF358" s="1020"/>
      <c r="AG358" s="467"/>
      <c r="AH358" s="467"/>
    </row>
    <row r="359" ht="14.25" customHeight="1" spans="2:34">
      <c r="B359" s="1018"/>
      <c r="C359" s="1019"/>
      <c r="D359" s="1019"/>
      <c r="E359" s="1019"/>
      <c r="F359" s="1020"/>
      <c r="G359" s="1020"/>
      <c r="H359" s="1020"/>
      <c r="I359" s="1020"/>
      <c r="J359" s="1020"/>
      <c r="K359" s="1020"/>
      <c r="L359" s="1020"/>
      <c r="M359" s="1020"/>
      <c r="N359" s="1020"/>
      <c r="O359" s="1020"/>
      <c r="P359" s="1020"/>
      <c r="Q359" s="1020"/>
      <c r="R359" s="1020"/>
      <c r="S359" s="1020"/>
      <c r="T359" s="1020"/>
      <c r="U359" s="1020"/>
      <c r="V359" s="1020"/>
      <c r="W359" s="1020"/>
      <c r="X359" s="1020"/>
      <c r="Y359" s="1020"/>
      <c r="Z359" s="1020"/>
      <c r="AA359" s="1020"/>
      <c r="AB359" s="1020"/>
      <c r="AC359" s="1020"/>
      <c r="AD359" s="1020"/>
      <c r="AE359" s="1020"/>
      <c r="AF359" s="1020"/>
      <c r="AG359" s="467"/>
      <c r="AH359" s="467"/>
    </row>
    <row r="360" ht="14.25" customHeight="1" spans="2:34">
      <c r="B360" s="1018"/>
      <c r="C360" s="1019"/>
      <c r="D360" s="1019"/>
      <c r="E360" s="1019"/>
      <c r="F360" s="1020"/>
      <c r="G360" s="1020"/>
      <c r="H360" s="1020"/>
      <c r="I360" s="1020"/>
      <c r="J360" s="1020"/>
      <c r="K360" s="1020"/>
      <c r="L360" s="1020"/>
      <c r="M360" s="1020"/>
      <c r="N360" s="1020"/>
      <c r="O360" s="1020"/>
      <c r="P360" s="1020"/>
      <c r="Q360" s="1020"/>
      <c r="R360" s="1020"/>
      <c r="S360" s="1020"/>
      <c r="T360" s="1020"/>
      <c r="U360" s="1020"/>
      <c r="V360" s="1020"/>
      <c r="W360" s="1020"/>
      <c r="X360" s="1020"/>
      <c r="Y360" s="1020"/>
      <c r="Z360" s="1020"/>
      <c r="AA360" s="1020"/>
      <c r="AB360" s="1020"/>
      <c r="AC360" s="1020"/>
      <c r="AD360" s="1020"/>
      <c r="AE360" s="1020"/>
      <c r="AF360" s="1020"/>
      <c r="AG360" s="467"/>
      <c r="AH360" s="467"/>
    </row>
    <row r="361" ht="14.25" customHeight="1" spans="2:34">
      <c r="B361" s="1018"/>
      <c r="C361" s="1019"/>
      <c r="D361" s="1019"/>
      <c r="E361" s="1019"/>
      <c r="F361" s="1020"/>
      <c r="G361" s="1020"/>
      <c r="H361" s="1020"/>
      <c r="I361" s="1020"/>
      <c r="J361" s="1020"/>
      <c r="K361" s="1020"/>
      <c r="L361" s="1020"/>
      <c r="M361" s="1020"/>
      <c r="N361" s="1020"/>
      <c r="O361" s="1020"/>
      <c r="P361" s="1020"/>
      <c r="Q361" s="1020"/>
      <c r="R361" s="1020"/>
      <c r="S361" s="1020"/>
      <c r="T361" s="1020"/>
      <c r="U361" s="1020"/>
      <c r="V361" s="1020"/>
      <c r="W361" s="1020"/>
      <c r="X361" s="1020"/>
      <c r="Y361" s="1020"/>
      <c r="Z361" s="1020"/>
      <c r="AA361" s="1020"/>
      <c r="AB361" s="1020"/>
      <c r="AC361" s="1020"/>
      <c r="AD361" s="1020"/>
      <c r="AE361" s="1020"/>
      <c r="AF361" s="1020"/>
      <c r="AG361" s="467"/>
      <c r="AH361" s="467"/>
    </row>
    <row r="362" ht="14.25" customHeight="1" spans="2:34">
      <c r="B362" s="1018"/>
      <c r="C362" s="1019"/>
      <c r="D362" s="1019"/>
      <c r="E362" s="1019"/>
      <c r="F362" s="1020"/>
      <c r="G362" s="1020"/>
      <c r="H362" s="1020"/>
      <c r="I362" s="1020"/>
      <c r="J362" s="1020"/>
      <c r="K362" s="1020"/>
      <c r="L362" s="1020"/>
      <c r="M362" s="1020"/>
      <c r="N362" s="1020"/>
      <c r="O362" s="1020"/>
      <c r="P362" s="1020"/>
      <c r="Q362" s="1020"/>
      <c r="R362" s="1020"/>
      <c r="S362" s="1020"/>
      <c r="T362" s="1020"/>
      <c r="U362" s="1020"/>
      <c r="V362" s="1020"/>
      <c r="W362" s="1020"/>
      <c r="X362" s="1020"/>
      <c r="Y362" s="1020"/>
      <c r="Z362" s="1020"/>
      <c r="AA362" s="1020"/>
      <c r="AB362" s="1020"/>
      <c r="AC362" s="1020"/>
      <c r="AD362" s="1020"/>
      <c r="AE362" s="1020"/>
      <c r="AF362" s="1020"/>
      <c r="AG362" s="467"/>
      <c r="AH362" s="467"/>
    </row>
    <row r="363" ht="14.25" customHeight="1" spans="2:34">
      <c r="B363" s="1018"/>
      <c r="C363" s="1019"/>
      <c r="D363" s="1019"/>
      <c r="E363" s="1019"/>
      <c r="F363" s="1020"/>
      <c r="G363" s="1020"/>
      <c r="H363" s="1020"/>
      <c r="I363" s="1020"/>
      <c r="J363" s="1020"/>
      <c r="K363" s="1020"/>
      <c r="L363" s="1020"/>
      <c r="M363" s="1020"/>
      <c r="N363" s="1020"/>
      <c r="O363" s="1020"/>
      <c r="P363" s="1020"/>
      <c r="Q363" s="1020"/>
      <c r="R363" s="1020"/>
      <c r="S363" s="1020"/>
      <c r="T363" s="1020"/>
      <c r="U363" s="1020"/>
      <c r="V363" s="1020"/>
      <c r="W363" s="1020"/>
      <c r="X363" s="1020"/>
      <c r="Y363" s="1020"/>
      <c r="Z363" s="1020"/>
      <c r="AA363" s="1020"/>
      <c r="AB363" s="1020"/>
      <c r="AC363" s="1020"/>
      <c r="AD363" s="1020"/>
      <c r="AE363" s="1020"/>
      <c r="AF363" s="1020"/>
      <c r="AG363" s="467"/>
      <c r="AH363" s="467"/>
    </row>
    <row r="364" ht="14.25" customHeight="1" spans="2:34">
      <c r="B364" s="1018"/>
      <c r="C364" s="1019"/>
      <c r="D364" s="1019"/>
      <c r="E364" s="1019"/>
      <c r="F364" s="1020"/>
      <c r="G364" s="1020"/>
      <c r="H364" s="1020"/>
      <c r="I364" s="1020"/>
      <c r="J364" s="1020"/>
      <c r="K364" s="1020"/>
      <c r="L364" s="1020"/>
      <c r="M364" s="1020"/>
      <c r="N364" s="1020"/>
      <c r="O364" s="1020"/>
      <c r="P364" s="1020"/>
      <c r="Q364" s="1020"/>
      <c r="R364" s="1020"/>
      <c r="S364" s="1020"/>
      <c r="T364" s="1020"/>
      <c r="U364" s="1020"/>
      <c r="V364" s="1020"/>
      <c r="W364" s="1020"/>
      <c r="X364" s="1020"/>
      <c r="Y364" s="1020"/>
      <c r="Z364" s="1020"/>
      <c r="AA364" s="1020"/>
      <c r="AB364" s="1020"/>
      <c r="AC364" s="1020"/>
      <c r="AD364" s="1020"/>
      <c r="AE364" s="1020"/>
      <c r="AF364" s="1020"/>
      <c r="AG364" s="467"/>
      <c r="AH364" s="467"/>
    </row>
    <row r="365" ht="14.25" customHeight="1" spans="2:34">
      <c r="B365" s="1018"/>
      <c r="C365" s="1019"/>
      <c r="D365" s="1019"/>
      <c r="E365" s="1019"/>
      <c r="F365" s="1020"/>
      <c r="G365" s="1020"/>
      <c r="H365" s="1020"/>
      <c r="I365" s="1020"/>
      <c r="J365" s="1020"/>
      <c r="K365" s="1020"/>
      <c r="L365" s="1020"/>
      <c r="M365" s="1020"/>
      <c r="N365" s="1020"/>
      <c r="O365" s="1020"/>
      <c r="P365" s="1020"/>
      <c r="Q365" s="1020"/>
      <c r="R365" s="1020"/>
      <c r="S365" s="1020"/>
      <c r="T365" s="1020"/>
      <c r="U365" s="1020"/>
      <c r="V365" s="1020"/>
      <c r="W365" s="1020"/>
      <c r="X365" s="1020"/>
      <c r="Y365" s="1020"/>
      <c r="Z365" s="1020"/>
      <c r="AA365" s="1020"/>
      <c r="AB365" s="1020"/>
      <c r="AC365" s="1020"/>
      <c r="AD365" s="1020"/>
      <c r="AE365" s="1020"/>
      <c r="AF365" s="1020"/>
      <c r="AG365" s="467"/>
      <c r="AH365" s="467"/>
    </row>
    <row r="366" ht="14.25" customHeight="1" spans="2:34">
      <c r="B366" s="1018"/>
      <c r="C366" s="1019"/>
      <c r="D366" s="1019"/>
      <c r="E366" s="1019"/>
      <c r="F366" s="1020"/>
      <c r="G366" s="1020"/>
      <c r="H366" s="1020"/>
      <c r="I366" s="1020"/>
      <c r="J366" s="1020"/>
      <c r="K366" s="1020"/>
      <c r="L366" s="1020"/>
      <c r="M366" s="1020"/>
      <c r="N366" s="1020"/>
      <c r="O366" s="1020"/>
      <c r="P366" s="1020"/>
      <c r="Q366" s="1020"/>
      <c r="R366" s="1020"/>
      <c r="S366" s="1020"/>
      <c r="T366" s="1020"/>
      <c r="U366" s="1020"/>
      <c r="V366" s="1020"/>
      <c r="W366" s="1020"/>
      <c r="X366" s="1020"/>
      <c r="Y366" s="1020"/>
      <c r="Z366" s="1020"/>
      <c r="AA366" s="1020"/>
      <c r="AB366" s="1020"/>
      <c r="AC366" s="1020"/>
      <c r="AD366" s="1020"/>
      <c r="AE366" s="1020"/>
      <c r="AF366" s="1020"/>
      <c r="AG366" s="467"/>
      <c r="AH366" s="467"/>
    </row>
    <row r="367" ht="14.25" customHeight="1" spans="2:34">
      <c r="B367" s="1018"/>
      <c r="C367" s="1019"/>
      <c r="D367" s="1019"/>
      <c r="E367" s="1019"/>
      <c r="F367" s="1020"/>
      <c r="G367" s="1020"/>
      <c r="H367" s="1020"/>
      <c r="I367" s="1020"/>
      <c r="J367" s="1020"/>
      <c r="K367" s="1020"/>
      <c r="L367" s="1020"/>
      <c r="M367" s="1020"/>
      <c r="N367" s="1020"/>
      <c r="O367" s="1020"/>
      <c r="P367" s="1020"/>
      <c r="Q367" s="1020"/>
      <c r="R367" s="1020"/>
      <c r="S367" s="1020"/>
      <c r="T367" s="1020"/>
      <c r="U367" s="1020"/>
      <c r="V367" s="1020"/>
      <c r="W367" s="1020"/>
      <c r="X367" s="1020"/>
      <c r="Y367" s="1020"/>
      <c r="Z367" s="1020"/>
      <c r="AA367" s="1020"/>
      <c r="AB367" s="1020"/>
      <c r="AC367" s="1020"/>
      <c r="AD367" s="1020"/>
      <c r="AE367" s="1020"/>
      <c r="AF367" s="1020"/>
      <c r="AG367" s="467"/>
      <c r="AH367" s="467"/>
    </row>
    <row r="368" ht="14.25" customHeight="1" spans="2:34">
      <c r="B368" s="1018"/>
      <c r="C368" s="1019"/>
      <c r="D368" s="1019"/>
      <c r="E368" s="1019"/>
      <c r="F368" s="1020"/>
      <c r="G368" s="1020"/>
      <c r="H368" s="1020"/>
      <c r="I368" s="1020"/>
      <c r="J368" s="1020"/>
      <c r="K368" s="1020"/>
      <c r="L368" s="1020"/>
      <c r="M368" s="1020"/>
      <c r="N368" s="1020"/>
      <c r="O368" s="1020"/>
      <c r="P368" s="1020"/>
      <c r="Q368" s="1020"/>
      <c r="R368" s="1020"/>
      <c r="S368" s="1020"/>
      <c r="T368" s="1020"/>
      <c r="U368" s="1020"/>
      <c r="V368" s="1020"/>
      <c r="W368" s="1020"/>
      <c r="X368" s="1020"/>
      <c r="Y368" s="1020"/>
      <c r="Z368" s="1020"/>
      <c r="AA368" s="1020"/>
      <c r="AB368" s="1020"/>
      <c r="AC368" s="1020"/>
      <c r="AD368" s="1020"/>
      <c r="AE368" s="1020"/>
      <c r="AF368" s="1020"/>
      <c r="AG368" s="467"/>
      <c r="AH368" s="467"/>
    </row>
    <row r="369" ht="14.25" customHeight="1" spans="2:34">
      <c r="B369" s="1018"/>
      <c r="C369" s="1019"/>
      <c r="D369" s="1019"/>
      <c r="E369" s="1019"/>
      <c r="F369" s="1020"/>
      <c r="G369" s="1020"/>
      <c r="H369" s="1020"/>
      <c r="I369" s="1020"/>
      <c r="J369" s="1020"/>
      <c r="K369" s="1020"/>
      <c r="L369" s="1020"/>
      <c r="M369" s="1020"/>
      <c r="N369" s="1020"/>
      <c r="O369" s="1020"/>
      <c r="P369" s="1020"/>
      <c r="Q369" s="1020"/>
      <c r="R369" s="1020"/>
      <c r="S369" s="1020"/>
      <c r="T369" s="1020"/>
      <c r="U369" s="1020"/>
      <c r="V369" s="1020"/>
      <c r="W369" s="1020"/>
      <c r="X369" s="1020"/>
      <c r="Y369" s="1020"/>
      <c r="Z369" s="1020"/>
      <c r="AA369" s="1020"/>
      <c r="AB369" s="1020"/>
      <c r="AC369" s="1020"/>
      <c r="AD369" s="1020"/>
      <c r="AE369" s="1020"/>
      <c r="AF369" s="1020"/>
      <c r="AG369" s="467"/>
      <c r="AH369" s="467"/>
    </row>
    <row r="370" ht="14.25" customHeight="1" spans="2:34">
      <c r="B370" s="1018"/>
      <c r="C370" s="1019"/>
      <c r="D370" s="1019"/>
      <c r="E370" s="1019"/>
      <c r="F370" s="1020"/>
      <c r="G370" s="1020"/>
      <c r="H370" s="1020"/>
      <c r="I370" s="1020"/>
      <c r="J370" s="1020"/>
      <c r="K370" s="1020"/>
      <c r="L370" s="1020"/>
      <c r="M370" s="1020"/>
      <c r="N370" s="1020"/>
      <c r="O370" s="1020"/>
      <c r="P370" s="1020"/>
      <c r="Q370" s="1020"/>
      <c r="R370" s="1020"/>
      <c r="S370" s="1020"/>
      <c r="T370" s="1020"/>
      <c r="U370" s="1020"/>
      <c r="V370" s="1020"/>
      <c r="W370" s="1020"/>
      <c r="X370" s="1020"/>
      <c r="Y370" s="1020"/>
      <c r="Z370" s="1020"/>
      <c r="AA370" s="1020"/>
      <c r="AB370" s="1020"/>
      <c r="AC370" s="1020"/>
      <c r="AD370" s="1020"/>
      <c r="AE370" s="1020"/>
      <c r="AF370" s="1020"/>
      <c r="AG370" s="467"/>
      <c r="AH370" s="467"/>
    </row>
    <row r="371" ht="14.25" customHeight="1" spans="2:34">
      <c r="B371" s="1018"/>
      <c r="C371" s="1019"/>
      <c r="D371" s="1019"/>
      <c r="E371" s="1019"/>
      <c r="F371" s="1020"/>
      <c r="G371" s="1020"/>
      <c r="H371" s="1020"/>
      <c r="I371" s="1020"/>
      <c r="J371" s="1020"/>
      <c r="K371" s="1020"/>
      <c r="L371" s="1020"/>
      <c r="M371" s="1020"/>
      <c r="N371" s="1020"/>
      <c r="O371" s="1020"/>
      <c r="P371" s="1020"/>
      <c r="Q371" s="1020"/>
      <c r="R371" s="1020"/>
      <c r="S371" s="1020"/>
      <c r="T371" s="1020"/>
      <c r="U371" s="1020"/>
      <c r="V371" s="1020"/>
      <c r="W371" s="1020"/>
      <c r="X371" s="1020"/>
      <c r="Y371" s="1020"/>
      <c r="Z371" s="1020"/>
      <c r="AA371" s="1020"/>
      <c r="AB371" s="1020"/>
      <c r="AC371" s="1020"/>
      <c r="AD371" s="1020"/>
      <c r="AE371" s="1020"/>
      <c r="AF371" s="1020"/>
      <c r="AG371" s="467"/>
      <c r="AH371" s="467"/>
    </row>
    <row r="372" ht="14.25" customHeight="1" spans="2:34">
      <c r="B372" s="1018"/>
      <c r="C372" s="1019"/>
      <c r="D372" s="1019"/>
      <c r="E372" s="1019"/>
      <c r="F372" s="1020"/>
      <c r="G372" s="1020"/>
      <c r="H372" s="1020"/>
      <c r="I372" s="1020"/>
      <c r="J372" s="1020"/>
      <c r="K372" s="1020"/>
      <c r="L372" s="1020"/>
      <c r="M372" s="1020"/>
      <c r="N372" s="1020"/>
      <c r="O372" s="1020"/>
      <c r="P372" s="1020"/>
      <c r="Q372" s="1020"/>
      <c r="R372" s="1020"/>
      <c r="S372" s="1020"/>
      <c r="T372" s="1020"/>
      <c r="U372" s="1020"/>
      <c r="V372" s="1020"/>
      <c r="W372" s="1020"/>
      <c r="X372" s="1020"/>
      <c r="Y372" s="1020"/>
      <c r="Z372" s="1020"/>
      <c r="AA372" s="1020"/>
      <c r="AB372" s="1020"/>
      <c r="AC372" s="1020"/>
      <c r="AD372" s="1020"/>
      <c r="AE372" s="1020"/>
      <c r="AF372" s="1020"/>
      <c r="AG372" s="467"/>
      <c r="AH372" s="467"/>
    </row>
    <row r="373" ht="14.25" customHeight="1" spans="2:34">
      <c r="B373" s="1018"/>
      <c r="C373" s="1019"/>
      <c r="D373" s="1019"/>
      <c r="E373" s="1019"/>
      <c r="F373" s="1020"/>
      <c r="G373" s="1020"/>
      <c r="H373" s="1020"/>
      <c r="I373" s="1020"/>
      <c r="J373" s="1020"/>
      <c r="K373" s="1020"/>
      <c r="L373" s="1020"/>
      <c r="M373" s="1020"/>
      <c r="N373" s="1020"/>
      <c r="O373" s="1020"/>
      <c r="P373" s="1020"/>
      <c r="Q373" s="1020"/>
      <c r="R373" s="1020"/>
      <c r="S373" s="1020"/>
      <c r="T373" s="1020"/>
      <c r="U373" s="1020"/>
      <c r="V373" s="1020"/>
      <c r="W373" s="1020"/>
      <c r="X373" s="1020"/>
      <c r="Y373" s="1020"/>
      <c r="Z373" s="1020"/>
      <c r="AA373" s="1020"/>
      <c r="AB373" s="1020"/>
      <c r="AC373" s="1020"/>
      <c r="AD373" s="1020"/>
      <c r="AE373" s="1020"/>
      <c r="AF373" s="1020"/>
      <c r="AG373" s="467"/>
      <c r="AH373" s="467"/>
    </row>
    <row r="374" ht="14.25" customHeight="1" spans="2:34">
      <c r="B374" s="1018"/>
      <c r="C374" s="1019"/>
      <c r="D374" s="1019"/>
      <c r="E374" s="1019"/>
      <c r="F374" s="1020"/>
      <c r="G374" s="1020"/>
      <c r="H374" s="1020"/>
      <c r="I374" s="1020"/>
      <c r="J374" s="1020"/>
      <c r="K374" s="1020"/>
      <c r="L374" s="1020"/>
      <c r="M374" s="1020"/>
      <c r="N374" s="1020"/>
      <c r="O374" s="1020"/>
      <c r="P374" s="1020"/>
      <c r="Q374" s="1020"/>
      <c r="R374" s="1020"/>
      <c r="S374" s="1020"/>
      <c r="T374" s="1020"/>
      <c r="U374" s="1020"/>
      <c r="V374" s="1020"/>
      <c r="W374" s="1020"/>
      <c r="X374" s="1020"/>
      <c r="Y374" s="1020"/>
      <c r="Z374" s="1020"/>
      <c r="AA374" s="1020"/>
      <c r="AB374" s="1020"/>
      <c r="AC374" s="1020"/>
      <c r="AD374" s="1020"/>
      <c r="AE374" s="1020"/>
      <c r="AF374" s="1020"/>
      <c r="AG374" s="467"/>
      <c r="AH374" s="467"/>
    </row>
    <row r="375" ht="14.25" customHeight="1" spans="2:34">
      <c r="B375" s="1018"/>
      <c r="C375" s="1019"/>
      <c r="D375" s="1019"/>
      <c r="E375" s="1019"/>
      <c r="F375" s="1020"/>
      <c r="G375" s="1020"/>
      <c r="H375" s="1020"/>
      <c r="I375" s="1020"/>
      <c r="J375" s="1020"/>
      <c r="K375" s="1020"/>
      <c r="L375" s="1020"/>
      <c r="M375" s="1020"/>
      <c r="N375" s="1020"/>
      <c r="O375" s="1020"/>
      <c r="P375" s="1020"/>
      <c r="Q375" s="1020"/>
      <c r="R375" s="1020"/>
      <c r="S375" s="1020"/>
      <c r="T375" s="1020"/>
      <c r="U375" s="1020"/>
      <c r="V375" s="1020"/>
      <c r="W375" s="1020"/>
      <c r="X375" s="1020"/>
      <c r="Y375" s="1020"/>
      <c r="Z375" s="1020"/>
      <c r="AA375" s="1020"/>
      <c r="AB375" s="1020"/>
      <c r="AC375" s="1020"/>
      <c r="AD375" s="1020"/>
      <c r="AE375" s="1020"/>
      <c r="AF375" s="1020"/>
      <c r="AG375" s="467"/>
      <c r="AH375" s="467"/>
    </row>
    <row r="376" ht="14.25" customHeight="1" spans="2:34">
      <c r="B376" s="1018"/>
      <c r="C376" s="1019"/>
      <c r="D376" s="1019"/>
      <c r="E376" s="1019"/>
      <c r="F376" s="1020"/>
      <c r="G376" s="1020"/>
      <c r="H376" s="1020"/>
      <c r="I376" s="1020"/>
      <c r="J376" s="1020"/>
      <c r="K376" s="1020"/>
      <c r="L376" s="1020"/>
      <c r="M376" s="1020"/>
      <c r="N376" s="1020"/>
      <c r="O376" s="1020"/>
      <c r="P376" s="1020"/>
      <c r="Q376" s="1020"/>
      <c r="R376" s="1020"/>
      <c r="S376" s="1020"/>
      <c r="T376" s="1020"/>
      <c r="U376" s="1020"/>
      <c r="V376" s="1020"/>
      <c r="W376" s="1020"/>
      <c r="X376" s="1020"/>
      <c r="Y376" s="1020"/>
      <c r="Z376" s="1020"/>
      <c r="AA376" s="1020"/>
      <c r="AB376" s="1020"/>
      <c r="AC376" s="1020"/>
      <c r="AD376" s="1020"/>
      <c r="AE376" s="1020"/>
      <c r="AF376" s="1020"/>
      <c r="AG376" s="467"/>
      <c r="AH376" s="467"/>
    </row>
    <row r="377" ht="14.25" customHeight="1" spans="2:34">
      <c r="B377" s="1018"/>
      <c r="C377" s="1019"/>
      <c r="D377" s="1019"/>
      <c r="E377" s="1019"/>
      <c r="F377" s="1020"/>
      <c r="G377" s="1020"/>
      <c r="H377" s="1020"/>
      <c r="I377" s="1020"/>
      <c r="J377" s="1020"/>
      <c r="K377" s="1020"/>
      <c r="L377" s="1020"/>
      <c r="M377" s="1020"/>
      <c r="N377" s="1020"/>
      <c r="O377" s="1020"/>
      <c r="P377" s="1020"/>
      <c r="Q377" s="1020"/>
      <c r="R377" s="1020"/>
      <c r="S377" s="1020"/>
      <c r="T377" s="1020"/>
      <c r="U377" s="1020"/>
      <c r="V377" s="1020"/>
      <c r="W377" s="1020"/>
      <c r="X377" s="1020"/>
      <c r="Y377" s="1020"/>
      <c r="Z377" s="1020"/>
      <c r="AA377" s="1020"/>
      <c r="AB377" s="1020"/>
      <c r="AC377" s="1020"/>
      <c r="AD377" s="1020"/>
      <c r="AE377" s="1020"/>
      <c r="AF377" s="1020"/>
      <c r="AG377" s="467"/>
      <c r="AH377" s="467"/>
    </row>
    <row r="378" ht="14.25" customHeight="1" spans="2:34">
      <c r="B378" s="1018"/>
      <c r="C378" s="1019"/>
      <c r="D378" s="1019"/>
      <c r="E378" s="1019"/>
      <c r="F378" s="1020"/>
      <c r="G378" s="1020"/>
      <c r="H378" s="1020"/>
      <c r="I378" s="1020"/>
      <c r="J378" s="1020"/>
      <c r="K378" s="1020"/>
      <c r="L378" s="1020"/>
      <c r="M378" s="1020"/>
      <c r="N378" s="1020"/>
      <c r="O378" s="1020"/>
      <c r="P378" s="1020"/>
      <c r="Q378" s="1020"/>
      <c r="R378" s="1020"/>
      <c r="S378" s="1020"/>
      <c r="T378" s="1020"/>
      <c r="U378" s="1020"/>
      <c r="V378" s="1020"/>
      <c r="W378" s="1020"/>
      <c r="X378" s="1020"/>
      <c r="Y378" s="1020"/>
      <c r="Z378" s="1020"/>
      <c r="AA378" s="1020"/>
      <c r="AB378" s="1020"/>
      <c r="AC378" s="1020"/>
      <c r="AD378" s="1020"/>
      <c r="AE378" s="1020"/>
      <c r="AF378" s="1020"/>
      <c r="AG378" s="467"/>
      <c r="AH378" s="467"/>
    </row>
    <row r="379" ht="14.25" customHeight="1" spans="2:34">
      <c r="B379" s="1018"/>
      <c r="C379" s="1019"/>
      <c r="D379" s="1019"/>
      <c r="E379" s="1019"/>
      <c r="F379" s="1020"/>
      <c r="G379" s="1020"/>
      <c r="H379" s="1020"/>
      <c r="I379" s="1020"/>
      <c r="J379" s="1020"/>
      <c r="K379" s="1020"/>
      <c r="L379" s="1020"/>
      <c r="M379" s="1020"/>
      <c r="N379" s="1020"/>
      <c r="O379" s="1020"/>
      <c r="P379" s="1020"/>
      <c r="Q379" s="1020"/>
      <c r="R379" s="1020"/>
      <c r="S379" s="1020"/>
      <c r="T379" s="1020"/>
      <c r="U379" s="1020"/>
      <c r="V379" s="1020"/>
      <c r="W379" s="1020"/>
      <c r="X379" s="1020"/>
      <c r="Y379" s="1020"/>
      <c r="Z379" s="1020"/>
      <c r="AA379" s="1020"/>
      <c r="AB379" s="1020"/>
      <c r="AC379" s="1020"/>
      <c r="AD379" s="1020"/>
      <c r="AE379" s="1020"/>
      <c r="AF379" s="1020"/>
      <c r="AG379" s="467"/>
      <c r="AH379" s="467"/>
    </row>
    <row r="380" ht="14.25" customHeight="1" spans="2:34">
      <c r="B380" s="1018"/>
      <c r="C380" s="1019"/>
      <c r="D380" s="1019"/>
      <c r="E380" s="1019"/>
      <c r="F380" s="1020"/>
      <c r="G380" s="1020"/>
      <c r="H380" s="1020"/>
      <c r="I380" s="1020"/>
      <c r="J380" s="1020"/>
      <c r="K380" s="1020"/>
      <c r="L380" s="1020"/>
      <c r="M380" s="1020"/>
      <c r="N380" s="1020"/>
      <c r="O380" s="1020"/>
      <c r="P380" s="1020"/>
      <c r="Q380" s="1020"/>
      <c r="R380" s="1020"/>
      <c r="S380" s="1020"/>
      <c r="T380" s="1020"/>
      <c r="U380" s="1020"/>
      <c r="V380" s="1020"/>
      <c r="W380" s="1020"/>
      <c r="X380" s="1020"/>
      <c r="Y380" s="1020"/>
      <c r="Z380" s="1020"/>
      <c r="AA380" s="1020"/>
      <c r="AB380" s="1020"/>
      <c r="AC380" s="1020"/>
      <c r="AD380" s="1020"/>
      <c r="AE380" s="1020"/>
      <c r="AF380" s="1020"/>
      <c r="AG380" s="467"/>
      <c r="AH380" s="467"/>
    </row>
    <row r="381" ht="14.25" customHeight="1" spans="2:34">
      <c r="B381" s="1018"/>
      <c r="C381" s="1019"/>
      <c r="D381" s="1019"/>
      <c r="E381" s="1019"/>
      <c r="F381" s="1020"/>
      <c r="G381" s="1020"/>
      <c r="H381" s="1020"/>
      <c r="I381" s="1020"/>
      <c r="J381" s="1020"/>
      <c r="K381" s="1020"/>
      <c r="L381" s="1020"/>
      <c r="M381" s="1020"/>
      <c r="N381" s="1020"/>
      <c r="O381" s="1020"/>
      <c r="P381" s="1020"/>
      <c r="Q381" s="1020"/>
      <c r="R381" s="1020"/>
      <c r="S381" s="1020"/>
      <c r="T381" s="1020"/>
      <c r="U381" s="1020"/>
      <c r="V381" s="1020"/>
      <c r="W381" s="1020"/>
      <c r="X381" s="1020"/>
      <c r="Y381" s="1020"/>
      <c r="Z381" s="1020"/>
      <c r="AA381" s="1020"/>
      <c r="AB381" s="1020"/>
      <c r="AC381" s="1020"/>
      <c r="AD381" s="1020"/>
      <c r="AE381" s="1020"/>
      <c r="AF381" s="1020"/>
      <c r="AG381" s="467"/>
      <c r="AH381" s="467"/>
    </row>
    <row r="382" ht="14.25" customHeight="1" spans="2:34">
      <c r="B382" s="1018"/>
      <c r="C382" s="1019"/>
      <c r="D382" s="1019"/>
      <c r="E382" s="1019"/>
      <c r="F382" s="1020"/>
      <c r="G382" s="1020"/>
      <c r="H382" s="1020"/>
      <c r="I382" s="1020"/>
      <c r="J382" s="1020"/>
      <c r="K382" s="1020"/>
      <c r="L382" s="1020"/>
      <c r="M382" s="1020"/>
      <c r="N382" s="1020"/>
      <c r="O382" s="1020"/>
      <c r="P382" s="1020"/>
      <c r="Q382" s="1020"/>
      <c r="R382" s="1020"/>
      <c r="S382" s="1020"/>
      <c r="T382" s="1020"/>
      <c r="U382" s="1020"/>
      <c r="V382" s="1020"/>
      <c r="W382" s="1020"/>
      <c r="X382" s="1020"/>
      <c r="Y382" s="1020"/>
      <c r="Z382" s="1020"/>
      <c r="AA382" s="1020"/>
      <c r="AB382" s="1020"/>
      <c r="AC382" s="1020"/>
      <c r="AD382" s="1020"/>
      <c r="AE382" s="1020"/>
      <c r="AF382" s="1020"/>
      <c r="AG382" s="467"/>
      <c r="AH382" s="467"/>
    </row>
    <row r="383" ht="14.25" customHeight="1" spans="2:34">
      <c r="B383" s="1018"/>
      <c r="C383" s="1019"/>
      <c r="D383" s="1019"/>
      <c r="E383" s="1019"/>
      <c r="F383" s="1020"/>
      <c r="G383" s="1020"/>
      <c r="H383" s="1020"/>
      <c r="I383" s="1020"/>
      <c r="J383" s="1020"/>
      <c r="K383" s="1020"/>
      <c r="L383" s="1020"/>
      <c r="M383" s="1020"/>
      <c r="N383" s="1020"/>
      <c r="O383" s="1020"/>
      <c r="P383" s="1020"/>
      <c r="Q383" s="1020"/>
      <c r="R383" s="1020"/>
      <c r="S383" s="1020"/>
      <c r="T383" s="1020"/>
      <c r="U383" s="1020"/>
      <c r="V383" s="1020"/>
      <c r="W383" s="1020"/>
      <c r="X383" s="1020"/>
      <c r="Y383" s="1020"/>
      <c r="Z383" s="1020"/>
      <c r="AA383" s="1020"/>
      <c r="AB383" s="1020"/>
      <c r="AC383" s="1020"/>
      <c r="AD383" s="1020"/>
      <c r="AE383" s="1020"/>
      <c r="AF383" s="1020"/>
      <c r="AG383" s="467"/>
      <c r="AH383" s="467"/>
    </row>
    <row r="384" ht="14.25" customHeight="1" spans="2:34">
      <c r="B384" s="1018"/>
      <c r="C384" s="1019"/>
      <c r="D384" s="1019"/>
      <c r="E384" s="1019"/>
      <c r="F384" s="1020"/>
      <c r="G384" s="1020"/>
      <c r="H384" s="1020"/>
      <c r="I384" s="1020"/>
      <c r="J384" s="1020"/>
      <c r="K384" s="1020"/>
      <c r="L384" s="1020"/>
      <c r="M384" s="1020"/>
      <c r="N384" s="1020"/>
      <c r="O384" s="1020"/>
      <c r="P384" s="1020"/>
      <c r="Q384" s="1020"/>
      <c r="R384" s="1020"/>
      <c r="S384" s="1020"/>
      <c r="T384" s="1020"/>
      <c r="U384" s="1020"/>
      <c r="V384" s="1020"/>
      <c r="W384" s="1020"/>
      <c r="X384" s="1020"/>
      <c r="Y384" s="1020"/>
      <c r="Z384" s="1020"/>
      <c r="AA384" s="1020"/>
      <c r="AB384" s="1020"/>
      <c r="AC384" s="1020"/>
      <c r="AD384" s="1020"/>
      <c r="AE384" s="1020"/>
      <c r="AF384" s="1020"/>
      <c r="AG384" s="467"/>
      <c r="AH384" s="467"/>
    </row>
    <row r="385" ht="14.25" customHeight="1" spans="2:34">
      <c r="B385" s="1018"/>
      <c r="C385" s="1019"/>
      <c r="D385" s="1019"/>
      <c r="E385" s="1019"/>
      <c r="F385" s="1020"/>
      <c r="G385" s="1020"/>
      <c r="H385" s="1020"/>
      <c r="I385" s="1020"/>
      <c r="J385" s="1020"/>
      <c r="K385" s="1020"/>
      <c r="L385" s="1020"/>
      <c r="M385" s="1020"/>
      <c r="N385" s="1020"/>
      <c r="O385" s="1020"/>
      <c r="P385" s="1020"/>
      <c r="Q385" s="1020"/>
      <c r="R385" s="1020"/>
      <c r="S385" s="1020"/>
      <c r="T385" s="1020"/>
      <c r="U385" s="1020"/>
      <c r="V385" s="1020"/>
      <c r="W385" s="1020"/>
      <c r="X385" s="1020"/>
      <c r="Y385" s="1020"/>
      <c r="Z385" s="1020"/>
      <c r="AA385" s="1020"/>
      <c r="AB385" s="1020"/>
      <c r="AC385" s="1020"/>
      <c r="AD385" s="1020"/>
      <c r="AE385" s="1020"/>
      <c r="AF385" s="1020"/>
      <c r="AG385" s="467"/>
      <c r="AH385" s="467"/>
    </row>
    <row r="386" ht="14.25" customHeight="1" spans="2:34">
      <c r="B386" s="1018"/>
      <c r="C386" s="1019"/>
      <c r="D386" s="1019"/>
      <c r="E386" s="1019"/>
      <c r="F386" s="1020"/>
      <c r="G386" s="1020"/>
      <c r="H386" s="1020"/>
      <c r="I386" s="1020"/>
      <c r="J386" s="1020"/>
      <c r="K386" s="1020"/>
      <c r="L386" s="1020"/>
      <c r="M386" s="1020"/>
      <c r="N386" s="1020"/>
      <c r="O386" s="1020"/>
      <c r="P386" s="1020"/>
      <c r="Q386" s="1020"/>
      <c r="R386" s="1020"/>
      <c r="S386" s="1020"/>
      <c r="T386" s="1020"/>
      <c r="U386" s="1020"/>
      <c r="V386" s="1020"/>
      <c r="W386" s="1020"/>
      <c r="X386" s="1020"/>
      <c r="Y386" s="1020"/>
      <c r="Z386" s="1020"/>
      <c r="AA386" s="1020"/>
      <c r="AB386" s="1020"/>
      <c r="AC386" s="1020"/>
      <c r="AD386" s="1020"/>
      <c r="AE386" s="1020"/>
      <c r="AF386" s="1020"/>
      <c r="AG386" s="467"/>
      <c r="AH386" s="467"/>
    </row>
    <row r="387" ht="14.25" customHeight="1" spans="2:34">
      <c r="B387" s="1018"/>
      <c r="C387" s="1019"/>
      <c r="D387" s="1019"/>
      <c r="E387" s="1019"/>
      <c r="F387" s="1020"/>
      <c r="G387" s="1020"/>
      <c r="H387" s="1020"/>
      <c r="I387" s="1020"/>
      <c r="J387" s="1020"/>
      <c r="K387" s="1020"/>
      <c r="L387" s="1020"/>
      <c r="M387" s="1020"/>
      <c r="N387" s="1020"/>
      <c r="O387" s="1020"/>
      <c r="P387" s="1020"/>
      <c r="Q387" s="1020"/>
      <c r="R387" s="1020"/>
      <c r="S387" s="1020"/>
      <c r="T387" s="1020"/>
      <c r="U387" s="1020"/>
      <c r="V387" s="1020"/>
      <c r="W387" s="1020"/>
      <c r="X387" s="1020"/>
      <c r="Y387" s="1020"/>
      <c r="Z387" s="1020"/>
      <c r="AA387" s="1020"/>
      <c r="AB387" s="1020"/>
      <c r="AC387" s="1020"/>
      <c r="AD387" s="1020"/>
      <c r="AE387" s="1020"/>
      <c r="AF387" s="1020"/>
      <c r="AG387" s="467"/>
      <c r="AH387" s="467"/>
    </row>
    <row r="388" ht="14.25" customHeight="1" spans="2:34">
      <c r="B388" s="1018"/>
      <c r="C388" s="1019"/>
      <c r="D388" s="1019"/>
      <c r="E388" s="1019"/>
      <c r="F388" s="1020"/>
      <c r="G388" s="1020"/>
      <c r="H388" s="1020"/>
      <c r="I388" s="1020"/>
      <c r="J388" s="1020"/>
      <c r="K388" s="1020"/>
      <c r="L388" s="1020"/>
      <c r="M388" s="1020"/>
      <c r="N388" s="1020"/>
      <c r="O388" s="1020"/>
      <c r="P388" s="1020"/>
      <c r="Q388" s="1020"/>
      <c r="R388" s="1020"/>
      <c r="S388" s="1020"/>
      <c r="T388" s="1020"/>
      <c r="U388" s="1020"/>
      <c r="V388" s="1020"/>
      <c r="W388" s="1020"/>
      <c r="X388" s="1020"/>
      <c r="Y388" s="1020"/>
      <c r="Z388" s="1020"/>
      <c r="AA388" s="1020"/>
      <c r="AB388" s="1020"/>
      <c r="AC388" s="1020"/>
      <c r="AD388" s="1020"/>
      <c r="AE388" s="1020"/>
      <c r="AF388" s="1020"/>
      <c r="AG388" s="467"/>
      <c r="AH388" s="467"/>
    </row>
    <row r="389" ht="14.25" customHeight="1" spans="2:34">
      <c r="B389" s="1018"/>
      <c r="C389" s="1019"/>
      <c r="D389" s="1019"/>
      <c r="E389" s="1019"/>
      <c r="F389" s="1020"/>
      <c r="G389" s="1020"/>
      <c r="H389" s="1020"/>
      <c r="I389" s="1020"/>
      <c r="J389" s="1020"/>
      <c r="K389" s="1020"/>
      <c r="L389" s="1020"/>
      <c r="M389" s="1020"/>
      <c r="N389" s="1020"/>
      <c r="O389" s="1020"/>
      <c r="P389" s="1020"/>
      <c r="Q389" s="1020"/>
      <c r="R389" s="1020"/>
      <c r="S389" s="1020"/>
      <c r="T389" s="1020"/>
      <c r="U389" s="1020"/>
      <c r="V389" s="1020"/>
      <c r="W389" s="1020"/>
      <c r="X389" s="1020"/>
      <c r="Y389" s="1020"/>
      <c r="Z389" s="1020"/>
      <c r="AA389" s="1020"/>
      <c r="AB389" s="1020"/>
      <c r="AC389" s="1020"/>
      <c r="AD389" s="1020"/>
      <c r="AE389" s="1020"/>
      <c r="AF389" s="1020"/>
      <c r="AG389" s="467"/>
      <c r="AH389" s="467"/>
    </row>
    <row r="390" ht="14.25" customHeight="1" spans="2:34">
      <c r="B390" s="1018"/>
      <c r="C390" s="1019"/>
      <c r="D390" s="1019"/>
      <c r="E390" s="1019"/>
      <c r="F390" s="1020"/>
      <c r="G390" s="1020"/>
      <c r="H390" s="1020"/>
      <c r="I390" s="1020"/>
      <c r="J390" s="1020"/>
      <c r="K390" s="1020"/>
      <c r="L390" s="1020"/>
      <c r="M390" s="1020"/>
      <c r="N390" s="1020"/>
      <c r="O390" s="1020"/>
      <c r="P390" s="1020"/>
      <c r="Q390" s="1020"/>
      <c r="R390" s="1020"/>
      <c r="S390" s="1020"/>
      <c r="T390" s="1020"/>
      <c r="U390" s="1020"/>
      <c r="V390" s="1020"/>
      <c r="W390" s="1020"/>
      <c r="X390" s="1020"/>
      <c r="Y390" s="1020"/>
      <c r="Z390" s="1020"/>
      <c r="AA390" s="1020"/>
      <c r="AB390" s="1020"/>
      <c r="AC390" s="1020"/>
      <c r="AD390" s="1020"/>
      <c r="AE390" s="1020"/>
      <c r="AF390" s="1020"/>
      <c r="AG390" s="467"/>
      <c r="AH390" s="467"/>
    </row>
    <row r="391" ht="14.25" customHeight="1" spans="2:34">
      <c r="B391" s="1018"/>
      <c r="C391" s="1019"/>
      <c r="D391" s="1019"/>
      <c r="E391" s="1019"/>
      <c r="F391" s="1020"/>
      <c r="G391" s="1020"/>
      <c r="H391" s="1020"/>
      <c r="I391" s="1020"/>
      <c r="J391" s="1020"/>
      <c r="K391" s="1020"/>
      <c r="L391" s="1020"/>
      <c r="M391" s="1020"/>
      <c r="N391" s="1020"/>
      <c r="O391" s="1020"/>
      <c r="P391" s="1020"/>
      <c r="Q391" s="1020"/>
      <c r="R391" s="1020"/>
      <c r="S391" s="1020"/>
      <c r="T391" s="1020"/>
      <c r="U391" s="1020"/>
      <c r="V391" s="1020"/>
      <c r="W391" s="1020"/>
      <c r="X391" s="1020"/>
      <c r="Y391" s="1020"/>
      <c r="Z391" s="1020"/>
      <c r="AA391" s="1020"/>
      <c r="AB391" s="1020"/>
      <c r="AC391" s="1020"/>
      <c r="AD391" s="1020"/>
      <c r="AE391" s="1020"/>
      <c r="AF391" s="1020"/>
      <c r="AG391" s="467"/>
      <c r="AH391" s="467"/>
    </row>
    <row r="392" ht="14.25" customHeight="1" spans="2:34">
      <c r="B392" s="1018"/>
      <c r="C392" s="1019"/>
      <c r="D392" s="1019"/>
      <c r="E392" s="1019"/>
      <c r="F392" s="1020"/>
      <c r="G392" s="1020"/>
      <c r="H392" s="1020"/>
      <c r="I392" s="1020"/>
      <c r="J392" s="1020"/>
      <c r="K392" s="1020"/>
      <c r="L392" s="1020"/>
      <c r="M392" s="1020"/>
      <c r="N392" s="1020"/>
      <c r="O392" s="1020"/>
      <c r="P392" s="1020"/>
      <c r="Q392" s="1020"/>
      <c r="R392" s="1020"/>
      <c r="S392" s="1020"/>
      <c r="T392" s="1020"/>
      <c r="U392" s="1020"/>
      <c r="V392" s="1020"/>
      <c r="W392" s="1020"/>
      <c r="X392" s="1020"/>
      <c r="Y392" s="1020"/>
      <c r="Z392" s="1020"/>
      <c r="AA392" s="1020"/>
      <c r="AB392" s="1020"/>
      <c r="AC392" s="1020"/>
      <c r="AD392" s="1020"/>
      <c r="AE392" s="1020"/>
      <c r="AF392" s="1020"/>
      <c r="AG392" s="467"/>
      <c r="AH392" s="467"/>
    </row>
    <row r="393" ht="14.25" customHeight="1" spans="2:34">
      <c r="B393" s="1018"/>
      <c r="C393" s="1019"/>
      <c r="D393" s="1019"/>
      <c r="E393" s="1019"/>
      <c r="F393" s="1020"/>
      <c r="G393" s="1020"/>
      <c r="H393" s="1020"/>
      <c r="I393" s="1020"/>
      <c r="J393" s="1020"/>
      <c r="K393" s="1020"/>
      <c r="L393" s="1020"/>
      <c r="M393" s="1020"/>
      <c r="N393" s="1020"/>
      <c r="O393" s="1020"/>
      <c r="P393" s="1020"/>
      <c r="Q393" s="1020"/>
      <c r="R393" s="1020"/>
      <c r="S393" s="1020"/>
      <c r="T393" s="1020"/>
      <c r="U393" s="1020"/>
      <c r="V393" s="1020"/>
      <c r="W393" s="1020"/>
      <c r="X393" s="1020"/>
      <c r="Y393" s="1020"/>
      <c r="Z393" s="1020"/>
      <c r="AA393" s="1020"/>
      <c r="AB393" s="1020"/>
      <c r="AC393" s="1020"/>
      <c r="AD393" s="1020"/>
      <c r="AE393" s="1020"/>
      <c r="AF393" s="1020"/>
      <c r="AG393" s="467"/>
      <c r="AH393" s="467"/>
    </row>
    <row r="394" ht="14.25" customHeight="1" spans="2:34">
      <c r="B394" s="1018"/>
      <c r="C394" s="1019"/>
      <c r="D394" s="1019"/>
      <c r="E394" s="1019"/>
      <c r="F394" s="1020"/>
      <c r="G394" s="1020"/>
      <c r="H394" s="1020"/>
      <c r="I394" s="1020"/>
      <c r="J394" s="1020"/>
      <c r="K394" s="1020"/>
      <c r="L394" s="1020"/>
      <c r="M394" s="1020"/>
      <c r="N394" s="1020"/>
      <c r="O394" s="1020"/>
      <c r="P394" s="1020"/>
      <c r="Q394" s="1020"/>
      <c r="R394" s="1020"/>
      <c r="S394" s="1020"/>
      <c r="T394" s="1020"/>
      <c r="U394" s="1020"/>
      <c r="V394" s="1020"/>
      <c r="W394" s="1020"/>
      <c r="X394" s="1020"/>
      <c r="Y394" s="1020"/>
      <c r="Z394" s="1020"/>
      <c r="AA394" s="1020"/>
      <c r="AB394" s="1020"/>
      <c r="AC394" s="1020"/>
      <c r="AD394" s="1020"/>
      <c r="AE394" s="1020"/>
      <c r="AF394" s="1020"/>
      <c r="AG394" s="467"/>
      <c r="AH394" s="467"/>
    </row>
    <row r="395" ht="14.25" customHeight="1" spans="2:34">
      <c r="B395" s="1018"/>
      <c r="C395" s="1019"/>
      <c r="D395" s="1019"/>
      <c r="E395" s="1019"/>
      <c r="F395" s="1020"/>
      <c r="G395" s="1020"/>
      <c r="H395" s="1020"/>
      <c r="I395" s="1020"/>
      <c r="J395" s="1020"/>
      <c r="K395" s="1020"/>
      <c r="L395" s="1020"/>
      <c r="M395" s="1020"/>
      <c r="N395" s="1020"/>
      <c r="O395" s="1020"/>
      <c r="P395" s="1020"/>
      <c r="Q395" s="1020"/>
      <c r="R395" s="1020"/>
      <c r="S395" s="1020"/>
      <c r="T395" s="1020"/>
      <c r="U395" s="1020"/>
      <c r="V395" s="1020"/>
      <c r="W395" s="1020"/>
      <c r="X395" s="1020"/>
      <c r="Y395" s="1020"/>
      <c r="Z395" s="1020"/>
      <c r="AA395" s="1020"/>
      <c r="AB395" s="1020"/>
      <c r="AC395" s="1020"/>
      <c r="AD395" s="1020"/>
      <c r="AE395" s="1020"/>
      <c r="AF395" s="1020"/>
      <c r="AG395" s="467"/>
      <c r="AH395" s="467"/>
    </row>
    <row r="396" ht="14.25" customHeight="1" spans="2:34">
      <c r="B396" s="1018"/>
      <c r="C396" s="1019"/>
      <c r="D396" s="1019"/>
      <c r="E396" s="1019"/>
      <c r="F396" s="1020"/>
      <c r="G396" s="1020"/>
      <c r="H396" s="1020"/>
      <c r="I396" s="1020"/>
      <c r="J396" s="1020"/>
      <c r="K396" s="1020"/>
      <c r="L396" s="1020"/>
      <c r="M396" s="1020"/>
      <c r="N396" s="1020"/>
      <c r="O396" s="1020"/>
      <c r="P396" s="1020"/>
      <c r="Q396" s="1020"/>
      <c r="R396" s="1020"/>
      <c r="S396" s="1020"/>
      <c r="T396" s="1020"/>
      <c r="U396" s="1020"/>
      <c r="V396" s="1020"/>
      <c r="W396" s="1020"/>
      <c r="X396" s="1020"/>
      <c r="Y396" s="1020"/>
      <c r="Z396" s="1020"/>
      <c r="AA396" s="1020"/>
      <c r="AB396" s="1020"/>
      <c r="AC396" s="1020"/>
      <c r="AD396" s="1020"/>
      <c r="AE396" s="1020"/>
      <c r="AF396" s="1020"/>
      <c r="AG396" s="467"/>
      <c r="AH396" s="467"/>
    </row>
    <row r="397" ht="14.25" customHeight="1" spans="2:34">
      <c r="B397" s="1018"/>
      <c r="C397" s="1019"/>
      <c r="D397" s="1019"/>
      <c r="E397" s="1019"/>
      <c r="F397" s="1020"/>
      <c r="G397" s="1020"/>
      <c r="H397" s="1020"/>
      <c r="I397" s="1020"/>
      <c r="J397" s="1020"/>
      <c r="K397" s="1020"/>
      <c r="L397" s="1020"/>
      <c r="M397" s="1020"/>
      <c r="N397" s="1020"/>
      <c r="O397" s="1020"/>
      <c r="P397" s="1020"/>
      <c r="Q397" s="1020"/>
      <c r="R397" s="1020"/>
      <c r="S397" s="1020"/>
      <c r="T397" s="1020"/>
      <c r="U397" s="1020"/>
      <c r="V397" s="1020"/>
      <c r="W397" s="1020"/>
      <c r="X397" s="1020"/>
      <c r="Y397" s="1020"/>
      <c r="Z397" s="1020"/>
      <c r="AA397" s="1020"/>
      <c r="AB397" s="1020"/>
      <c r="AC397" s="1020"/>
      <c r="AD397" s="1020"/>
      <c r="AE397" s="1020"/>
      <c r="AF397" s="1020"/>
      <c r="AG397" s="467"/>
      <c r="AH397" s="467"/>
    </row>
    <row r="398" ht="14.25" customHeight="1" spans="2:34">
      <c r="B398" s="1018"/>
      <c r="C398" s="1019"/>
      <c r="D398" s="1019"/>
      <c r="E398" s="1019"/>
      <c r="F398" s="1020"/>
      <c r="G398" s="1020"/>
      <c r="H398" s="1020"/>
      <c r="I398" s="1020"/>
      <c r="J398" s="1020"/>
      <c r="K398" s="1020"/>
      <c r="L398" s="1020"/>
      <c r="M398" s="1020"/>
      <c r="N398" s="1020"/>
      <c r="O398" s="1020"/>
      <c r="P398" s="1020"/>
      <c r="Q398" s="1020"/>
      <c r="R398" s="1020"/>
      <c r="S398" s="1020"/>
      <c r="T398" s="1020"/>
      <c r="U398" s="1020"/>
      <c r="V398" s="1020"/>
      <c r="W398" s="1020"/>
      <c r="X398" s="1020"/>
      <c r="Y398" s="1020"/>
      <c r="Z398" s="1020"/>
      <c r="AA398" s="1020"/>
      <c r="AB398" s="1020"/>
      <c r="AC398" s="1020"/>
      <c r="AD398" s="1020"/>
      <c r="AE398" s="1020"/>
      <c r="AF398" s="1020"/>
      <c r="AG398" s="467"/>
      <c r="AH398" s="467"/>
    </row>
    <row r="399" ht="14.25" customHeight="1" spans="2:34">
      <c r="B399" s="1018"/>
      <c r="C399" s="1019"/>
      <c r="D399" s="1019"/>
      <c r="E399" s="1019"/>
      <c r="F399" s="1020"/>
      <c r="G399" s="1020"/>
      <c r="H399" s="1020"/>
      <c r="I399" s="1020"/>
      <c r="J399" s="1020"/>
      <c r="K399" s="1020"/>
      <c r="L399" s="1020"/>
      <c r="M399" s="1020"/>
      <c r="N399" s="1020"/>
      <c r="O399" s="1020"/>
      <c r="P399" s="1020"/>
      <c r="Q399" s="1020"/>
      <c r="R399" s="1020"/>
      <c r="S399" s="1020"/>
      <c r="T399" s="1020"/>
      <c r="U399" s="1020"/>
      <c r="V399" s="1020"/>
      <c r="W399" s="1020"/>
      <c r="X399" s="1020"/>
      <c r="Y399" s="1020"/>
      <c r="Z399" s="1020"/>
      <c r="AA399" s="1020"/>
      <c r="AB399" s="1020"/>
      <c r="AC399" s="1020"/>
      <c r="AD399" s="1020"/>
      <c r="AE399" s="1020"/>
      <c r="AF399" s="1020"/>
      <c r="AG399" s="467"/>
      <c r="AH399" s="467"/>
    </row>
    <row r="400" ht="14.25" customHeight="1" spans="2:34">
      <c r="B400" s="1018"/>
      <c r="C400" s="1019"/>
      <c r="D400" s="1019"/>
      <c r="E400" s="1019"/>
      <c r="F400" s="1020"/>
      <c r="G400" s="1020"/>
      <c r="H400" s="1020"/>
      <c r="I400" s="1020"/>
      <c r="J400" s="1020"/>
      <c r="K400" s="1020"/>
      <c r="L400" s="1020"/>
      <c r="M400" s="1020"/>
      <c r="N400" s="1020"/>
      <c r="O400" s="1020"/>
      <c r="P400" s="1020"/>
      <c r="Q400" s="1020"/>
      <c r="R400" s="1020"/>
      <c r="S400" s="1020"/>
      <c r="T400" s="1020"/>
      <c r="U400" s="1020"/>
      <c r="V400" s="1020"/>
      <c r="W400" s="1020"/>
      <c r="X400" s="1020"/>
      <c r="Y400" s="1020"/>
      <c r="Z400" s="1020"/>
      <c r="AA400" s="1020"/>
      <c r="AB400" s="1020"/>
      <c r="AC400" s="1020"/>
      <c r="AD400" s="1020"/>
      <c r="AE400" s="1020"/>
      <c r="AF400" s="1020"/>
      <c r="AG400" s="467"/>
      <c r="AH400" s="467"/>
    </row>
    <row r="401" ht="14.25" customHeight="1" spans="2:34">
      <c r="B401" s="1018"/>
      <c r="C401" s="1019"/>
      <c r="D401" s="1019"/>
      <c r="E401" s="1019"/>
      <c r="F401" s="1020"/>
      <c r="G401" s="1020"/>
      <c r="H401" s="1020"/>
      <c r="I401" s="1020"/>
      <c r="J401" s="1020"/>
      <c r="K401" s="1020"/>
      <c r="L401" s="1020"/>
      <c r="M401" s="1020"/>
      <c r="N401" s="1020"/>
      <c r="O401" s="1020"/>
      <c r="P401" s="1020"/>
      <c r="Q401" s="1020"/>
      <c r="R401" s="1020"/>
      <c r="S401" s="1020"/>
      <c r="T401" s="1020"/>
      <c r="U401" s="1020"/>
      <c r="V401" s="1020"/>
      <c r="W401" s="1020"/>
      <c r="X401" s="1020"/>
      <c r="Y401" s="1020"/>
      <c r="Z401" s="1020"/>
      <c r="AA401" s="1020"/>
      <c r="AB401" s="1020"/>
      <c r="AC401" s="1020"/>
      <c r="AD401" s="1020"/>
      <c r="AE401" s="1020"/>
      <c r="AF401" s="1020"/>
      <c r="AG401" s="467"/>
      <c r="AH401" s="467"/>
    </row>
    <row r="402" ht="14.25" customHeight="1" spans="2:34">
      <c r="B402" s="1018"/>
      <c r="C402" s="1019"/>
      <c r="D402" s="1019"/>
      <c r="E402" s="1019"/>
      <c r="F402" s="1020"/>
      <c r="G402" s="1020"/>
      <c r="H402" s="1020"/>
      <c r="I402" s="1020"/>
      <c r="J402" s="1020"/>
      <c r="K402" s="1020"/>
      <c r="L402" s="1020"/>
      <c r="M402" s="1020"/>
      <c r="N402" s="1020"/>
      <c r="O402" s="1020"/>
      <c r="P402" s="1020"/>
      <c r="Q402" s="1020"/>
      <c r="R402" s="1020"/>
      <c r="S402" s="1020"/>
      <c r="T402" s="1020"/>
      <c r="U402" s="1020"/>
      <c r="V402" s="1020"/>
      <c r="W402" s="1020"/>
      <c r="X402" s="1020"/>
      <c r="Y402" s="1020"/>
      <c r="Z402" s="1020"/>
      <c r="AA402" s="1020"/>
      <c r="AB402" s="1020"/>
      <c r="AC402" s="1020"/>
      <c r="AD402" s="1020"/>
      <c r="AE402" s="1020"/>
      <c r="AF402" s="1020"/>
      <c r="AG402" s="467"/>
      <c r="AH402" s="467"/>
    </row>
    <row r="403" ht="14.25" customHeight="1" spans="2:34">
      <c r="B403" s="1018"/>
      <c r="C403" s="1019"/>
      <c r="D403" s="1019"/>
      <c r="E403" s="1019"/>
      <c r="F403" s="1020"/>
      <c r="G403" s="1020"/>
      <c r="H403" s="1020"/>
      <c r="I403" s="1020"/>
      <c r="J403" s="1020"/>
      <c r="K403" s="1020"/>
      <c r="L403" s="1020"/>
      <c r="M403" s="1020"/>
      <c r="N403" s="1020"/>
      <c r="O403" s="1020"/>
      <c r="P403" s="1020"/>
      <c r="Q403" s="1020"/>
      <c r="R403" s="1020"/>
      <c r="S403" s="1020"/>
      <c r="T403" s="1020"/>
      <c r="U403" s="1020"/>
      <c r="V403" s="1020"/>
      <c r="W403" s="1020"/>
      <c r="X403" s="1020"/>
      <c r="Y403" s="1020"/>
      <c r="Z403" s="1020"/>
      <c r="AA403" s="1020"/>
      <c r="AB403" s="1020"/>
      <c r="AC403" s="1020"/>
      <c r="AD403" s="1020"/>
      <c r="AE403" s="1020"/>
      <c r="AF403" s="1020"/>
      <c r="AG403" s="467"/>
      <c r="AH403" s="467"/>
    </row>
    <row r="404" ht="14.25" customHeight="1" spans="2:34">
      <c r="B404" s="1018"/>
      <c r="C404" s="1019"/>
      <c r="D404" s="1019"/>
      <c r="E404" s="1019"/>
      <c r="F404" s="1020"/>
      <c r="G404" s="1020"/>
      <c r="H404" s="1020"/>
      <c r="I404" s="1020"/>
      <c r="J404" s="1020"/>
      <c r="K404" s="1020"/>
      <c r="L404" s="1020"/>
      <c r="M404" s="1020"/>
      <c r="N404" s="1020"/>
      <c r="O404" s="1020"/>
      <c r="P404" s="1020"/>
      <c r="Q404" s="1020"/>
      <c r="R404" s="1020"/>
      <c r="S404" s="1020"/>
      <c r="T404" s="1020"/>
      <c r="U404" s="1020"/>
      <c r="V404" s="1020"/>
      <c r="W404" s="1020"/>
      <c r="X404" s="1020"/>
      <c r="Y404" s="1020"/>
      <c r="Z404" s="1020"/>
      <c r="AA404" s="1020"/>
      <c r="AB404" s="1020"/>
      <c r="AC404" s="1020"/>
      <c r="AD404" s="1020"/>
      <c r="AE404" s="1020"/>
      <c r="AF404" s="1020"/>
      <c r="AG404" s="467"/>
      <c r="AH404" s="467"/>
    </row>
    <row r="405" ht="14.25" customHeight="1" spans="2:34">
      <c r="B405" s="1018"/>
      <c r="C405" s="1019"/>
      <c r="D405" s="1019"/>
      <c r="E405" s="1019"/>
      <c r="F405" s="1020"/>
      <c r="G405" s="1020"/>
      <c r="H405" s="1020"/>
      <c r="I405" s="1020"/>
      <c r="J405" s="1020"/>
      <c r="K405" s="1020"/>
      <c r="L405" s="1020"/>
      <c r="M405" s="1020"/>
      <c r="N405" s="1020"/>
      <c r="O405" s="1020"/>
      <c r="P405" s="1020"/>
      <c r="Q405" s="1020"/>
      <c r="R405" s="1020"/>
      <c r="S405" s="1020"/>
      <c r="T405" s="1020"/>
      <c r="U405" s="1020"/>
      <c r="V405" s="1020"/>
      <c r="W405" s="1020"/>
      <c r="X405" s="1020"/>
      <c r="Y405" s="1020"/>
      <c r="Z405" s="1020"/>
      <c r="AA405" s="1020"/>
      <c r="AB405" s="1020"/>
      <c r="AC405" s="1020"/>
      <c r="AD405" s="1020"/>
      <c r="AE405" s="1020"/>
      <c r="AF405" s="1020"/>
      <c r="AG405" s="467"/>
      <c r="AH405" s="467"/>
    </row>
    <row r="406" ht="14.25" customHeight="1" spans="2:34">
      <c r="B406" s="1018"/>
      <c r="C406" s="1019"/>
      <c r="D406" s="1019"/>
      <c r="E406" s="1019"/>
      <c r="F406" s="1020"/>
      <c r="G406" s="1020"/>
      <c r="H406" s="1020"/>
      <c r="I406" s="1020"/>
      <c r="J406" s="1020"/>
      <c r="K406" s="1020"/>
      <c r="L406" s="1020"/>
      <c r="M406" s="1020"/>
      <c r="N406" s="1020"/>
      <c r="O406" s="1020"/>
      <c r="P406" s="1020"/>
      <c r="Q406" s="1020"/>
      <c r="R406" s="1020"/>
      <c r="S406" s="1020"/>
      <c r="T406" s="1020"/>
      <c r="U406" s="1020"/>
      <c r="V406" s="1020"/>
      <c r="W406" s="1020"/>
      <c r="X406" s="1020"/>
      <c r="Y406" s="1020"/>
      <c r="Z406" s="1020"/>
      <c r="AA406" s="1020"/>
      <c r="AB406" s="1020"/>
      <c r="AC406" s="1020"/>
      <c r="AD406" s="1020"/>
      <c r="AE406" s="1020"/>
      <c r="AF406" s="1020"/>
      <c r="AG406" s="467"/>
      <c r="AH406" s="467"/>
    </row>
    <row r="407" ht="14.25" customHeight="1" spans="2:34">
      <c r="B407" s="1018"/>
      <c r="C407" s="1019"/>
      <c r="D407" s="1019"/>
      <c r="E407" s="1019"/>
      <c r="F407" s="1020"/>
      <c r="G407" s="1020"/>
      <c r="H407" s="1020"/>
      <c r="I407" s="1020"/>
      <c r="J407" s="1020"/>
      <c r="K407" s="1020"/>
      <c r="L407" s="1020"/>
      <c r="M407" s="1020"/>
      <c r="N407" s="1020"/>
      <c r="O407" s="1020"/>
      <c r="P407" s="1020"/>
      <c r="Q407" s="1020"/>
      <c r="R407" s="1020"/>
      <c r="S407" s="1020"/>
      <c r="T407" s="1020"/>
      <c r="U407" s="1020"/>
      <c r="V407" s="1020"/>
      <c r="W407" s="1020"/>
      <c r="X407" s="1020"/>
      <c r="Y407" s="1020"/>
      <c r="Z407" s="1020"/>
      <c r="AA407" s="1020"/>
      <c r="AB407" s="1020"/>
      <c r="AC407" s="1020"/>
      <c r="AD407" s="1020"/>
      <c r="AE407" s="1020"/>
      <c r="AF407" s="1020"/>
      <c r="AG407" s="467"/>
      <c r="AH407" s="467"/>
    </row>
    <row r="408" ht="14.25" customHeight="1" spans="2:34">
      <c r="B408" s="1018"/>
      <c r="C408" s="1019"/>
      <c r="D408" s="1019"/>
      <c r="E408" s="1019"/>
      <c r="F408" s="1020"/>
      <c r="G408" s="1020"/>
      <c r="H408" s="1020"/>
      <c r="I408" s="1020"/>
      <c r="J408" s="1020"/>
      <c r="K408" s="1020"/>
      <c r="L408" s="1020"/>
      <c r="M408" s="1020"/>
      <c r="N408" s="1020"/>
      <c r="O408" s="1020"/>
      <c r="P408" s="1020"/>
      <c r="Q408" s="1020"/>
      <c r="R408" s="1020"/>
      <c r="S408" s="1020"/>
      <c r="T408" s="1020"/>
      <c r="U408" s="1020"/>
      <c r="V408" s="1020"/>
      <c r="W408" s="1020"/>
      <c r="X408" s="1020"/>
      <c r="Y408" s="1020"/>
      <c r="Z408" s="1020"/>
      <c r="AA408" s="1020"/>
      <c r="AB408" s="1020"/>
      <c r="AC408" s="1020"/>
      <c r="AD408" s="1020"/>
      <c r="AE408" s="1020"/>
      <c r="AF408" s="1020"/>
      <c r="AG408" s="467"/>
      <c r="AH408" s="467"/>
    </row>
    <row r="409" ht="14.25" customHeight="1" spans="2:34">
      <c r="B409" s="1018"/>
      <c r="C409" s="1019"/>
      <c r="D409" s="1019"/>
      <c r="E409" s="1019"/>
      <c r="F409" s="1020"/>
      <c r="G409" s="1020"/>
      <c r="H409" s="1020"/>
      <c r="I409" s="1020"/>
      <c r="J409" s="1020"/>
      <c r="K409" s="1020"/>
      <c r="L409" s="1020"/>
      <c r="M409" s="1020"/>
      <c r="N409" s="1020"/>
      <c r="O409" s="1020"/>
      <c r="P409" s="1020"/>
      <c r="Q409" s="1020"/>
      <c r="R409" s="1020"/>
      <c r="S409" s="1020"/>
      <c r="T409" s="1020"/>
      <c r="U409" s="1020"/>
      <c r="V409" s="1020"/>
      <c r="W409" s="1020"/>
      <c r="X409" s="1020"/>
      <c r="Y409" s="1020"/>
      <c r="Z409" s="1020"/>
      <c r="AA409" s="1020"/>
      <c r="AB409" s="1020"/>
      <c r="AC409" s="1020"/>
      <c r="AD409" s="1020"/>
      <c r="AE409" s="1020"/>
      <c r="AF409" s="1020"/>
      <c r="AG409" s="467"/>
      <c r="AH409" s="467"/>
    </row>
    <row r="410" ht="14.25" customHeight="1" spans="2:34">
      <c r="B410" s="1018"/>
      <c r="C410" s="1019"/>
      <c r="D410" s="1019"/>
      <c r="E410" s="1019"/>
      <c r="F410" s="1020"/>
      <c r="G410" s="1020"/>
      <c r="H410" s="1020"/>
      <c r="I410" s="1020"/>
      <c r="J410" s="1020"/>
      <c r="K410" s="1020"/>
      <c r="L410" s="1020"/>
      <c r="M410" s="1020"/>
      <c r="N410" s="1020"/>
      <c r="O410" s="1020"/>
      <c r="P410" s="1020"/>
      <c r="Q410" s="1020"/>
      <c r="R410" s="1020"/>
      <c r="S410" s="1020"/>
      <c r="T410" s="1020"/>
      <c r="U410" s="1020"/>
      <c r="V410" s="1020"/>
      <c r="W410" s="1020"/>
      <c r="X410" s="1020"/>
      <c r="Y410" s="1020"/>
      <c r="Z410" s="1020"/>
      <c r="AA410" s="1020"/>
      <c r="AB410" s="1020"/>
      <c r="AC410" s="1020"/>
      <c r="AD410" s="1020"/>
      <c r="AE410" s="1020"/>
      <c r="AF410" s="1020"/>
      <c r="AG410" s="467"/>
      <c r="AH410" s="467"/>
    </row>
    <row r="411" ht="14.25" customHeight="1" spans="2:34">
      <c r="B411" s="1018"/>
      <c r="C411" s="1019"/>
      <c r="D411" s="1019"/>
      <c r="E411" s="1019"/>
      <c r="F411" s="1020"/>
      <c r="G411" s="1020"/>
      <c r="H411" s="1020"/>
      <c r="I411" s="1020"/>
      <c r="J411" s="1020"/>
      <c r="K411" s="1020"/>
      <c r="L411" s="1020"/>
      <c r="M411" s="1020"/>
      <c r="N411" s="1020"/>
      <c r="O411" s="1020"/>
      <c r="P411" s="1020"/>
      <c r="Q411" s="1020"/>
      <c r="R411" s="1020"/>
      <c r="S411" s="1020"/>
      <c r="T411" s="1020"/>
      <c r="U411" s="1020"/>
      <c r="V411" s="1020"/>
      <c r="W411" s="1020"/>
      <c r="X411" s="1020"/>
      <c r="Y411" s="1020"/>
      <c r="Z411" s="1020"/>
      <c r="AA411" s="1020"/>
      <c r="AB411" s="1020"/>
      <c r="AC411" s="1020"/>
      <c r="AD411" s="1020"/>
      <c r="AE411" s="1020"/>
      <c r="AF411" s="1020"/>
      <c r="AG411" s="467"/>
      <c r="AH411" s="467"/>
    </row>
    <row r="412" ht="14.25" customHeight="1" spans="2:34">
      <c r="B412" s="1018"/>
      <c r="C412" s="1019"/>
      <c r="D412" s="1019"/>
      <c r="E412" s="1019"/>
      <c r="F412" s="1020"/>
      <c r="G412" s="1020"/>
      <c r="H412" s="1020"/>
      <c r="I412" s="1020"/>
      <c r="J412" s="1020"/>
      <c r="K412" s="1020"/>
      <c r="L412" s="1020"/>
      <c r="M412" s="1020"/>
      <c r="N412" s="1020"/>
      <c r="O412" s="1020"/>
      <c r="P412" s="1020"/>
      <c r="Q412" s="1020"/>
      <c r="R412" s="1020"/>
      <c r="S412" s="1020"/>
      <c r="T412" s="1020"/>
      <c r="U412" s="1020"/>
      <c r="V412" s="1020"/>
      <c r="W412" s="1020"/>
      <c r="X412" s="1020"/>
      <c r="Y412" s="1020"/>
      <c r="Z412" s="1020"/>
      <c r="AA412" s="1020"/>
      <c r="AB412" s="1020"/>
      <c r="AC412" s="1020"/>
      <c r="AD412" s="1020"/>
      <c r="AE412" s="1020"/>
      <c r="AF412" s="1020"/>
      <c r="AG412" s="467"/>
      <c r="AH412" s="467"/>
    </row>
    <row r="413" ht="14.25" customHeight="1" spans="2:34">
      <c r="B413" s="1018"/>
      <c r="C413" s="1019"/>
      <c r="D413" s="1019"/>
      <c r="E413" s="1019"/>
      <c r="F413" s="1020"/>
      <c r="G413" s="1020"/>
      <c r="H413" s="1020"/>
      <c r="I413" s="1020"/>
      <c r="J413" s="1020"/>
      <c r="K413" s="1020"/>
      <c r="L413" s="1020"/>
      <c r="M413" s="1020"/>
      <c r="N413" s="1020"/>
      <c r="O413" s="1020"/>
      <c r="P413" s="1020"/>
      <c r="Q413" s="1020"/>
      <c r="R413" s="1020"/>
      <c r="S413" s="1020"/>
      <c r="T413" s="1020"/>
      <c r="U413" s="1020"/>
      <c r="V413" s="1020"/>
      <c r="W413" s="1020"/>
      <c r="X413" s="1020"/>
      <c r="Y413" s="1020"/>
      <c r="Z413" s="1020"/>
      <c r="AA413" s="1020"/>
      <c r="AB413" s="1020"/>
      <c r="AC413" s="1020"/>
      <c r="AD413" s="1020"/>
      <c r="AE413" s="1020"/>
      <c r="AF413" s="1020"/>
      <c r="AG413" s="467"/>
      <c r="AH413" s="467"/>
    </row>
    <row r="414" ht="14.25" customHeight="1" spans="2:34">
      <c r="B414" s="1018"/>
      <c r="C414" s="1019"/>
      <c r="D414" s="1019"/>
      <c r="E414" s="1019"/>
      <c r="F414" s="1020"/>
      <c r="G414" s="1020"/>
      <c r="H414" s="1020"/>
      <c r="I414" s="1020"/>
      <c r="J414" s="1020"/>
      <c r="K414" s="1020"/>
      <c r="L414" s="1020"/>
      <c r="M414" s="1020"/>
      <c r="N414" s="1020"/>
      <c r="O414" s="1020"/>
      <c r="P414" s="1020"/>
      <c r="Q414" s="1020"/>
      <c r="R414" s="1020"/>
      <c r="S414" s="1020"/>
      <c r="T414" s="1020"/>
      <c r="U414" s="1020"/>
      <c r="V414" s="1020"/>
      <c r="W414" s="1020"/>
      <c r="X414" s="1020"/>
      <c r="Y414" s="1020"/>
      <c r="Z414" s="1020"/>
      <c r="AA414" s="1020"/>
      <c r="AB414" s="1020"/>
      <c r="AC414" s="1020"/>
      <c r="AD414" s="1020"/>
      <c r="AE414" s="1020"/>
      <c r="AF414" s="1020"/>
      <c r="AG414" s="467"/>
      <c r="AH414" s="467"/>
    </row>
    <row r="415" ht="14.25" customHeight="1" spans="2:34">
      <c r="B415" s="1018"/>
      <c r="C415" s="1019"/>
      <c r="D415" s="1019"/>
      <c r="E415" s="1019"/>
      <c r="F415" s="1020"/>
      <c r="G415" s="1020"/>
      <c r="H415" s="1020"/>
      <c r="I415" s="1020"/>
      <c r="J415" s="1020"/>
      <c r="K415" s="1020"/>
      <c r="L415" s="1020"/>
      <c r="M415" s="1020"/>
      <c r="N415" s="1020"/>
      <c r="O415" s="1020"/>
      <c r="P415" s="1020"/>
      <c r="Q415" s="1020"/>
      <c r="R415" s="1020"/>
      <c r="S415" s="1020"/>
      <c r="T415" s="1020"/>
      <c r="U415" s="1020"/>
      <c r="V415" s="1020"/>
      <c r="W415" s="1020"/>
      <c r="X415" s="1020"/>
      <c r="Y415" s="1020"/>
      <c r="Z415" s="1020"/>
      <c r="AA415" s="1020"/>
      <c r="AB415" s="1020"/>
      <c r="AC415" s="1020"/>
      <c r="AD415" s="1020"/>
      <c r="AE415" s="1020"/>
      <c r="AF415" s="1020"/>
      <c r="AG415" s="467"/>
      <c r="AH415" s="467"/>
    </row>
    <row r="416" ht="14.25" customHeight="1" spans="2:34">
      <c r="B416" s="1018"/>
      <c r="C416" s="1019"/>
      <c r="D416" s="1019"/>
      <c r="E416" s="1019"/>
      <c r="F416" s="1020"/>
      <c r="G416" s="1020"/>
      <c r="H416" s="1020"/>
      <c r="I416" s="1020"/>
      <c r="J416" s="1020"/>
      <c r="K416" s="1020"/>
      <c r="L416" s="1020"/>
      <c r="M416" s="1020"/>
      <c r="N416" s="1020"/>
      <c r="O416" s="1020"/>
      <c r="P416" s="1020"/>
      <c r="Q416" s="1020"/>
      <c r="R416" s="1020"/>
      <c r="S416" s="1020"/>
      <c r="T416" s="1020"/>
      <c r="U416" s="1020"/>
      <c r="V416" s="1020"/>
      <c r="W416" s="1020"/>
      <c r="X416" s="1020"/>
      <c r="Y416" s="1020"/>
      <c r="Z416" s="1020"/>
      <c r="AA416" s="1020"/>
      <c r="AB416" s="1020"/>
      <c r="AC416" s="1020"/>
      <c r="AD416" s="1020"/>
      <c r="AE416" s="1020"/>
      <c r="AF416" s="1020"/>
      <c r="AG416" s="467"/>
      <c r="AH416" s="467"/>
    </row>
    <row r="417" ht="14.25" customHeight="1" spans="2:34">
      <c r="B417" s="1018"/>
      <c r="C417" s="1019"/>
      <c r="D417" s="1019"/>
      <c r="E417" s="1019"/>
      <c r="F417" s="1020"/>
      <c r="G417" s="1020"/>
      <c r="H417" s="1020"/>
      <c r="I417" s="1020"/>
      <c r="J417" s="1020"/>
      <c r="K417" s="1020"/>
      <c r="L417" s="1020"/>
      <c r="M417" s="1020"/>
      <c r="N417" s="1020"/>
      <c r="O417" s="1020"/>
      <c r="P417" s="1020"/>
      <c r="Q417" s="1020"/>
      <c r="R417" s="1020"/>
      <c r="S417" s="1020"/>
      <c r="T417" s="1020"/>
      <c r="U417" s="1020"/>
      <c r="V417" s="1020"/>
      <c r="W417" s="1020"/>
      <c r="X417" s="1020"/>
      <c r="Y417" s="1020"/>
      <c r="Z417" s="1020"/>
      <c r="AA417" s="1020"/>
      <c r="AB417" s="1020"/>
      <c r="AC417" s="1020"/>
      <c r="AD417" s="1020"/>
      <c r="AE417" s="1020"/>
      <c r="AF417" s="1020"/>
      <c r="AG417" s="467"/>
      <c r="AH417" s="467"/>
    </row>
    <row r="418" ht="14.25" customHeight="1" spans="2:34">
      <c r="B418" s="1018"/>
      <c r="C418" s="1019"/>
      <c r="D418" s="1019"/>
      <c r="E418" s="1019"/>
      <c r="F418" s="1020"/>
      <c r="G418" s="1020"/>
      <c r="H418" s="1020"/>
      <c r="I418" s="1020"/>
      <c r="J418" s="1020"/>
      <c r="K418" s="1020"/>
      <c r="L418" s="1020"/>
      <c r="M418" s="1020"/>
      <c r="N418" s="1020"/>
      <c r="O418" s="1020"/>
      <c r="P418" s="1020"/>
      <c r="Q418" s="1020"/>
      <c r="R418" s="1020"/>
      <c r="S418" s="1020"/>
      <c r="T418" s="1020"/>
      <c r="U418" s="1020"/>
      <c r="V418" s="1020"/>
      <c r="W418" s="1020"/>
      <c r="X418" s="1020"/>
      <c r="Y418" s="1020"/>
      <c r="Z418" s="1020"/>
      <c r="AA418" s="1020"/>
      <c r="AB418" s="1020"/>
      <c r="AC418" s="1020"/>
      <c r="AD418" s="1020"/>
      <c r="AE418" s="1020"/>
      <c r="AF418" s="1020"/>
      <c r="AG418" s="467"/>
      <c r="AH418" s="467"/>
    </row>
    <row r="419" ht="14.25" customHeight="1" spans="2:34">
      <c r="B419" s="1018"/>
      <c r="C419" s="1019"/>
      <c r="D419" s="1019"/>
      <c r="E419" s="1019"/>
      <c r="F419" s="1020"/>
      <c r="G419" s="1020"/>
      <c r="H419" s="1020"/>
      <c r="I419" s="1020"/>
      <c r="J419" s="1020"/>
      <c r="K419" s="1020"/>
      <c r="L419" s="1020"/>
      <c r="M419" s="1020"/>
      <c r="N419" s="1020"/>
      <c r="O419" s="1020"/>
      <c r="P419" s="1020"/>
      <c r="Q419" s="1020"/>
      <c r="R419" s="1020"/>
      <c r="S419" s="1020"/>
      <c r="T419" s="1020"/>
      <c r="U419" s="1020"/>
      <c r="V419" s="1020"/>
      <c r="W419" s="1020"/>
      <c r="X419" s="1020"/>
      <c r="Y419" s="1020"/>
      <c r="Z419" s="1020"/>
      <c r="AA419" s="1020"/>
      <c r="AB419" s="1020"/>
      <c r="AC419" s="1020"/>
      <c r="AD419" s="1020"/>
      <c r="AE419" s="1020"/>
      <c r="AF419" s="1020"/>
      <c r="AG419" s="467"/>
      <c r="AH419" s="467"/>
    </row>
    <row r="420" ht="14.25" customHeight="1" spans="2:34">
      <c r="B420" s="1018"/>
      <c r="C420" s="1019"/>
      <c r="D420" s="1019"/>
      <c r="E420" s="1019"/>
      <c r="F420" s="1020"/>
      <c r="G420" s="1020"/>
      <c r="H420" s="1020"/>
      <c r="I420" s="1020"/>
      <c r="J420" s="1020"/>
      <c r="K420" s="1020"/>
      <c r="L420" s="1020"/>
      <c r="M420" s="1020"/>
      <c r="N420" s="1020"/>
      <c r="O420" s="1020"/>
      <c r="P420" s="1020"/>
      <c r="Q420" s="1020"/>
      <c r="R420" s="1020"/>
      <c r="S420" s="1020"/>
      <c r="T420" s="1020"/>
      <c r="U420" s="1020"/>
      <c r="V420" s="1020"/>
      <c r="W420" s="1020"/>
      <c r="X420" s="1020"/>
      <c r="Y420" s="1020"/>
      <c r="Z420" s="1020"/>
      <c r="AA420" s="1020"/>
      <c r="AB420" s="1020"/>
      <c r="AC420" s="1020"/>
      <c r="AD420" s="1020"/>
      <c r="AE420" s="1020"/>
      <c r="AF420" s="1020"/>
      <c r="AG420" s="467"/>
      <c r="AH420" s="467"/>
    </row>
    <row r="421" ht="14.25" customHeight="1" spans="2:34">
      <c r="B421" s="1018"/>
      <c r="C421" s="1019"/>
      <c r="D421" s="1019"/>
      <c r="E421" s="1019"/>
      <c r="F421" s="1020"/>
      <c r="G421" s="1020"/>
      <c r="H421" s="1020"/>
      <c r="I421" s="1020"/>
      <c r="J421" s="1020"/>
      <c r="K421" s="1020"/>
      <c r="L421" s="1020"/>
      <c r="M421" s="1020"/>
      <c r="N421" s="1020"/>
      <c r="O421" s="1020"/>
      <c r="P421" s="1020"/>
      <c r="Q421" s="1020"/>
      <c r="R421" s="1020"/>
      <c r="S421" s="1020"/>
      <c r="T421" s="1020"/>
      <c r="U421" s="1020"/>
      <c r="V421" s="1020"/>
      <c r="W421" s="1020"/>
      <c r="X421" s="1020"/>
      <c r="Y421" s="1020"/>
      <c r="Z421" s="1020"/>
      <c r="AA421" s="1020"/>
      <c r="AB421" s="1020"/>
      <c r="AC421" s="1020"/>
      <c r="AD421" s="1020"/>
      <c r="AE421" s="1020"/>
      <c r="AF421" s="1020"/>
      <c r="AG421" s="467"/>
      <c r="AH421" s="467"/>
    </row>
    <row r="422" ht="14.25" customHeight="1" spans="2:34">
      <c r="B422" s="1018"/>
      <c r="C422" s="1019"/>
      <c r="D422" s="1019"/>
      <c r="E422" s="1019"/>
      <c r="F422" s="1020"/>
      <c r="G422" s="1020"/>
      <c r="H422" s="1020"/>
      <c r="I422" s="1020"/>
      <c r="J422" s="1020"/>
      <c r="K422" s="1020"/>
      <c r="L422" s="1020"/>
      <c r="M422" s="1020"/>
      <c r="N422" s="1020"/>
      <c r="O422" s="1020"/>
      <c r="P422" s="1020"/>
      <c r="Q422" s="1020"/>
      <c r="R422" s="1020"/>
      <c r="S422" s="1020"/>
      <c r="T422" s="1020"/>
      <c r="U422" s="1020"/>
      <c r="V422" s="1020"/>
      <c r="W422" s="1020"/>
      <c r="X422" s="1020"/>
      <c r="Y422" s="1020"/>
      <c r="Z422" s="1020"/>
      <c r="AA422" s="1020"/>
      <c r="AB422" s="1020"/>
      <c r="AC422" s="1020"/>
      <c r="AD422" s="1020"/>
      <c r="AE422" s="1020"/>
      <c r="AF422" s="1020"/>
      <c r="AG422" s="467"/>
      <c r="AH422" s="467"/>
    </row>
    <row r="423" ht="14.25" customHeight="1" spans="2:34">
      <c r="B423" s="1018"/>
      <c r="C423" s="1019"/>
      <c r="D423" s="1019"/>
      <c r="E423" s="1019"/>
      <c r="F423" s="1020"/>
      <c r="G423" s="1020"/>
      <c r="H423" s="1020"/>
      <c r="I423" s="1020"/>
      <c r="J423" s="1020"/>
      <c r="K423" s="1020"/>
      <c r="L423" s="1020"/>
      <c r="M423" s="1020"/>
      <c r="N423" s="1020"/>
      <c r="O423" s="1020"/>
      <c r="P423" s="1020"/>
      <c r="Q423" s="1020"/>
      <c r="R423" s="1020"/>
      <c r="S423" s="1020"/>
      <c r="T423" s="1020"/>
      <c r="U423" s="1020"/>
      <c r="V423" s="1020"/>
      <c r="W423" s="1020"/>
      <c r="X423" s="1020"/>
      <c r="Y423" s="1020"/>
      <c r="Z423" s="1020"/>
      <c r="AA423" s="1020"/>
      <c r="AB423" s="1020"/>
      <c r="AC423" s="1020"/>
      <c r="AD423" s="1020"/>
      <c r="AE423" s="1020"/>
      <c r="AF423" s="1020"/>
      <c r="AG423" s="467"/>
      <c r="AH423" s="467"/>
    </row>
    <row r="424" ht="14.25" customHeight="1" spans="2:34">
      <c r="B424" s="1018"/>
      <c r="C424" s="1019"/>
      <c r="D424" s="1019"/>
      <c r="E424" s="1019"/>
      <c r="F424" s="1020"/>
      <c r="G424" s="1020"/>
      <c r="H424" s="1020"/>
      <c r="I424" s="1020"/>
      <c r="J424" s="1020"/>
      <c r="K424" s="1020"/>
      <c r="L424" s="1020"/>
      <c r="M424" s="1020"/>
      <c r="N424" s="1020"/>
      <c r="O424" s="1020"/>
      <c r="P424" s="1020"/>
      <c r="Q424" s="1020"/>
      <c r="R424" s="1020"/>
      <c r="S424" s="1020"/>
      <c r="T424" s="1020"/>
      <c r="U424" s="1020"/>
      <c r="V424" s="1020"/>
      <c r="W424" s="1020"/>
      <c r="X424" s="1020"/>
      <c r="Y424" s="1020"/>
      <c r="Z424" s="1020"/>
      <c r="AA424" s="1020"/>
      <c r="AB424" s="1020"/>
      <c r="AC424" s="1020"/>
      <c r="AD424" s="1020"/>
      <c r="AE424" s="1020"/>
      <c r="AF424" s="1020"/>
      <c r="AG424" s="467"/>
      <c r="AH424" s="467"/>
    </row>
    <row r="425" ht="14.25" customHeight="1" spans="2:34">
      <c r="B425" s="1018"/>
      <c r="C425" s="1019"/>
      <c r="D425" s="1019"/>
      <c r="E425" s="1019"/>
      <c r="F425" s="1020"/>
      <c r="G425" s="1020"/>
      <c r="H425" s="1020"/>
      <c r="I425" s="1020"/>
      <c r="J425" s="1020"/>
      <c r="K425" s="1020"/>
      <c r="L425" s="1020"/>
      <c r="M425" s="1020"/>
      <c r="N425" s="1020"/>
      <c r="O425" s="1020"/>
      <c r="P425" s="1020"/>
      <c r="Q425" s="1020"/>
      <c r="R425" s="1020"/>
      <c r="S425" s="1020"/>
      <c r="T425" s="1020"/>
      <c r="U425" s="1020"/>
      <c r="V425" s="1020"/>
      <c r="W425" s="1020"/>
      <c r="X425" s="1020"/>
      <c r="Y425" s="1020"/>
      <c r="Z425" s="1020"/>
      <c r="AA425" s="1020"/>
      <c r="AB425" s="1020"/>
      <c r="AC425" s="1020"/>
      <c r="AD425" s="1020"/>
      <c r="AE425" s="1020"/>
      <c r="AF425" s="1020"/>
      <c r="AG425" s="467"/>
      <c r="AH425" s="467"/>
    </row>
    <row r="426" ht="14.25" customHeight="1" spans="2:34">
      <c r="B426" s="1018"/>
      <c r="C426" s="1019"/>
      <c r="D426" s="1019"/>
      <c r="E426" s="1019"/>
      <c r="F426" s="1020"/>
      <c r="G426" s="1020"/>
      <c r="H426" s="1020"/>
      <c r="I426" s="1020"/>
      <c r="J426" s="1020"/>
      <c r="K426" s="1020"/>
      <c r="L426" s="1020"/>
      <c r="M426" s="1020"/>
      <c r="N426" s="1020"/>
      <c r="O426" s="1020"/>
      <c r="P426" s="1020"/>
      <c r="Q426" s="1020"/>
      <c r="R426" s="1020"/>
      <c r="S426" s="1020"/>
      <c r="T426" s="1020"/>
      <c r="U426" s="1020"/>
      <c r="V426" s="1020"/>
      <c r="W426" s="1020"/>
      <c r="X426" s="1020"/>
      <c r="Y426" s="1020"/>
      <c r="Z426" s="1020"/>
      <c r="AA426" s="1020"/>
      <c r="AB426" s="1020"/>
      <c r="AC426" s="1020"/>
      <c r="AD426" s="1020"/>
      <c r="AE426" s="1020"/>
      <c r="AF426" s="1020"/>
      <c r="AG426" s="467"/>
      <c r="AH426" s="467"/>
    </row>
    <row r="427" ht="14.25" customHeight="1" spans="2:34">
      <c r="B427" s="1018"/>
      <c r="C427" s="1019"/>
      <c r="D427" s="1019"/>
      <c r="E427" s="1019"/>
      <c r="F427" s="1020"/>
      <c r="G427" s="1020"/>
      <c r="H427" s="1020"/>
      <c r="I427" s="1020"/>
      <c r="J427" s="1020"/>
      <c r="K427" s="1020"/>
      <c r="L427" s="1020"/>
      <c r="M427" s="1020"/>
      <c r="N427" s="1020"/>
      <c r="O427" s="1020"/>
      <c r="P427" s="1020"/>
      <c r="Q427" s="1020"/>
      <c r="R427" s="1020"/>
      <c r="S427" s="1020"/>
      <c r="T427" s="1020"/>
      <c r="U427" s="1020"/>
      <c r="V427" s="1020"/>
      <c r="W427" s="1020"/>
      <c r="X427" s="1020"/>
      <c r="Y427" s="1020"/>
      <c r="Z427" s="1020"/>
      <c r="AA427" s="1020"/>
      <c r="AB427" s="1020"/>
      <c r="AC427" s="1020"/>
      <c r="AD427" s="1020"/>
      <c r="AE427" s="1020"/>
      <c r="AF427" s="1020"/>
      <c r="AG427" s="467"/>
      <c r="AH427" s="467"/>
    </row>
    <row r="428" ht="14.25" customHeight="1" spans="2:34">
      <c r="B428" s="1018"/>
      <c r="C428" s="1019"/>
      <c r="D428" s="1019"/>
      <c r="E428" s="1019"/>
      <c r="F428" s="1020"/>
      <c r="G428" s="1020"/>
      <c r="H428" s="1020"/>
      <c r="I428" s="1020"/>
      <c r="J428" s="1020"/>
      <c r="K428" s="1020"/>
      <c r="L428" s="1020"/>
      <c r="M428" s="1020"/>
      <c r="N428" s="1020"/>
      <c r="O428" s="1020"/>
      <c r="P428" s="1020"/>
      <c r="Q428" s="1020"/>
      <c r="R428" s="1020"/>
      <c r="S428" s="1020"/>
      <c r="T428" s="1020"/>
      <c r="U428" s="1020"/>
      <c r="V428" s="1020"/>
      <c r="W428" s="1020"/>
      <c r="X428" s="1020"/>
      <c r="Y428" s="1020"/>
      <c r="Z428" s="1020"/>
      <c r="AA428" s="1020"/>
      <c r="AB428" s="1020"/>
      <c r="AC428" s="1020"/>
      <c r="AD428" s="1020"/>
      <c r="AE428" s="1020"/>
      <c r="AF428" s="1020"/>
      <c r="AG428" s="467"/>
      <c r="AH428" s="467"/>
    </row>
    <row r="429" ht="14.25" customHeight="1" spans="2:34">
      <c r="B429" s="1018"/>
      <c r="C429" s="1019"/>
      <c r="D429" s="1019"/>
      <c r="E429" s="1019"/>
      <c r="F429" s="1020"/>
      <c r="G429" s="1020"/>
      <c r="H429" s="1020"/>
      <c r="I429" s="1020"/>
      <c r="J429" s="1020"/>
      <c r="K429" s="1020"/>
      <c r="L429" s="1020"/>
      <c r="M429" s="1020"/>
      <c r="N429" s="1020"/>
      <c r="O429" s="1020"/>
      <c r="P429" s="1020"/>
      <c r="Q429" s="1020"/>
      <c r="R429" s="1020"/>
      <c r="S429" s="1020"/>
      <c r="T429" s="1020"/>
      <c r="U429" s="1020"/>
      <c r="V429" s="1020"/>
      <c r="W429" s="1020"/>
      <c r="X429" s="1020"/>
      <c r="Y429" s="1020"/>
      <c r="Z429" s="1020"/>
      <c r="AA429" s="1020"/>
      <c r="AB429" s="1020"/>
      <c r="AC429" s="1020"/>
      <c r="AD429" s="1020"/>
      <c r="AE429" s="1020"/>
      <c r="AF429" s="1020"/>
      <c r="AG429" s="467"/>
      <c r="AH429" s="467"/>
    </row>
    <row r="430" ht="14.25" customHeight="1" spans="2:34">
      <c r="B430" s="1018"/>
      <c r="C430" s="1019"/>
      <c r="D430" s="1019"/>
      <c r="E430" s="1019"/>
      <c r="F430" s="1020"/>
      <c r="G430" s="1020"/>
      <c r="H430" s="1020"/>
      <c r="I430" s="1020"/>
      <c r="J430" s="1020"/>
      <c r="K430" s="1020"/>
      <c r="L430" s="1020"/>
      <c r="M430" s="1020"/>
      <c r="N430" s="1020"/>
      <c r="O430" s="1020"/>
      <c r="P430" s="1020"/>
      <c r="Q430" s="1020"/>
      <c r="R430" s="1020"/>
      <c r="S430" s="1020"/>
      <c r="T430" s="1020"/>
      <c r="U430" s="1020"/>
      <c r="V430" s="1020"/>
      <c r="W430" s="1020"/>
      <c r="X430" s="1020"/>
      <c r="Y430" s="1020"/>
      <c r="Z430" s="1020"/>
      <c r="AA430" s="1020"/>
      <c r="AB430" s="1020"/>
      <c r="AC430" s="1020"/>
      <c r="AD430" s="1020"/>
      <c r="AE430" s="1020"/>
      <c r="AF430" s="1020"/>
      <c r="AG430" s="467"/>
      <c r="AH430" s="467"/>
    </row>
    <row r="431" ht="14.25" customHeight="1" spans="2:34">
      <c r="B431" s="1018"/>
      <c r="C431" s="1019"/>
      <c r="D431" s="1019"/>
      <c r="E431" s="1019"/>
      <c r="F431" s="1020"/>
      <c r="G431" s="1020"/>
      <c r="H431" s="1020"/>
      <c r="I431" s="1020"/>
      <c r="J431" s="1020"/>
      <c r="K431" s="1020"/>
      <c r="L431" s="1020"/>
      <c r="M431" s="1020"/>
      <c r="N431" s="1020"/>
      <c r="O431" s="1020"/>
      <c r="P431" s="1020"/>
      <c r="Q431" s="1020"/>
      <c r="R431" s="1020"/>
      <c r="S431" s="1020"/>
      <c r="T431" s="1020"/>
      <c r="U431" s="1020"/>
      <c r="V431" s="1020"/>
      <c r="W431" s="1020"/>
      <c r="X431" s="1020"/>
      <c r="Y431" s="1020"/>
      <c r="Z431" s="1020"/>
      <c r="AA431" s="1020"/>
      <c r="AB431" s="1020"/>
      <c r="AC431" s="1020"/>
      <c r="AD431" s="1020"/>
      <c r="AE431" s="1020"/>
      <c r="AF431" s="1020"/>
      <c r="AG431" s="467"/>
      <c r="AH431" s="467"/>
    </row>
    <row r="432" ht="14.25" customHeight="1" spans="2:34">
      <c r="B432" s="1018"/>
      <c r="C432" s="1019"/>
      <c r="D432" s="1019"/>
      <c r="E432" s="1019"/>
      <c r="F432" s="1020"/>
      <c r="G432" s="1020"/>
      <c r="H432" s="1020"/>
      <c r="I432" s="1020"/>
      <c r="J432" s="1020"/>
      <c r="K432" s="1020"/>
      <c r="L432" s="1020"/>
      <c r="M432" s="1020"/>
      <c r="N432" s="1020"/>
      <c r="O432" s="1020"/>
      <c r="P432" s="1020"/>
      <c r="Q432" s="1020"/>
      <c r="R432" s="1020"/>
      <c r="S432" s="1020"/>
      <c r="T432" s="1020"/>
      <c r="U432" s="1020"/>
      <c r="V432" s="1020"/>
      <c r="W432" s="1020"/>
      <c r="X432" s="1020"/>
      <c r="Y432" s="1020"/>
      <c r="Z432" s="1020"/>
      <c r="AA432" s="1020"/>
      <c r="AB432" s="1020"/>
      <c r="AC432" s="1020"/>
      <c r="AD432" s="1020"/>
      <c r="AE432" s="1020"/>
      <c r="AF432" s="1020"/>
      <c r="AG432" s="467"/>
      <c r="AH432" s="467"/>
    </row>
    <row r="433" ht="14.25" customHeight="1" spans="2:34">
      <c r="B433" s="1018"/>
      <c r="C433" s="1019"/>
      <c r="D433" s="1019"/>
      <c r="E433" s="1019"/>
      <c r="F433" s="1020"/>
      <c r="G433" s="1020"/>
      <c r="H433" s="1020"/>
      <c r="I433" s="1020"/>
      <c r="J433" s="1020"/>
      <c r="K433" s="1020"/>
      <c r="L433" s="1020"/>
      <c r="M433" s="1020"/>
      <c r="N433" s="1020"/>
      <c r="O433" s="1020"/>
      <c r="P433" s="1020"/>
      <c r="Q433" s="1020"/>
      <c r="R433" s="1020"/>
      <c r="S433" s="1020"/>
      <c r="T433" s="1020"/>
      <c r="U433" s="1020"/>
      <c r="V433" s="1020"/>
      <c r="W433" s="1020"/>
      <c r="X433" s="1020"/>
      <c r="Y433" s="1020"/>
      <c r="Z433" s="1020"/>
      <c r="AA433" s="1020"/>
      <c r="AB433" s="1020"/>
      <c r="AC433" s="1020"/>
      <c r="AD433" s="1020"/>
      <c r="AE433" s="1020"/>
      <c r="AF433" s="1020"/>
      <c r="AG433" s="467"/>
      <c r="AH433" s="467"/>
    </row>
    <row r="434" ht="14.25" customHeight="1" spans="2:34">
      <c r="B434" s="1018"/>
      <c r="C434" s="1019"/>
      <c r="D434" s="1019"/>
      <c r="E434" s="1019"/>
      <c r="F434" s="1020"/>
      <c r="G434" s="1020"/>
      <c r="H434" s="1020"/>
      <c r="I434" s="1020"/>
      <c r="J434" s="1020"/>
      <c r="K434" s="1020"/>
      <c r="L434" s="1020"/>
      <c r="M434" s="1020"/>
      <c r="N434" s="1020"/>
      <c r="O434" s="1020"/>
      <c r="P434" s="1020"/>
      <c r="Q434" s="1020"/>
      <c r="R434" s="1020"/>
      <c r="S434" s="1020"/>
      <c r="T434" s="1020"/>
      <c r="U434" s="1020"/>
      <c r="V434" s="1020"/>
      <c r="W434" s="1020"/>
      <c r="X434" s="1020"/>
      <c r="Y434" s="1020"/>
      <c r="Z434" s="1020"/>
      <c r="AA434" s="1020"/>
      <c r="AB434" s="1020"/>
      <c r="AC434" s="1020"/>
      <c r="AD434" s="1020"/>
      <c r="AE434" s="1020"/>
      <c r="AF434" s="1020"/>
      <c r="AG434" s="467"/>
      <c r="AH434" s="467"/>
    </row>
    <row r="435" ht="14.25" customHeight="1" spans="2:34">
      <c r="B435" s="1018"/>
      <c r="C435" s="1019"/>
      <c r="D435" s="1019"/>
      <c r="E435" s="1019"/>
      <c r="F435" s="1020"/>
      <c r="G435" s="1020"/>
      <c r="H435" s="1020"/>
      <c r="I435" s="1020"/>
      <c r="J435" s="1020"/>
      <c r="K435" s="1020"/>
      <c r="L435" s="1020"/>
      <c r="M435" s="1020"/>
      <c r="N435" s="1020"/>
      <c r="O435" s="1020"/>
      <c r="P435" s="1020"/>
      <c r="Q435" s="1020"/>
      <c r="R435" s="1020"/>
      <c r="S435" s="1020"/>
      <c r="T435" s="1020"/>
      <c r="U435" s="1020"/>
      <c r="V435" s="1020"/>
      <c r="W435" s="1020"/>
      <c r="X435" s="1020"/>
      <c r="Y435" s="1020"/>
      <c r="Z435" s="1020"/>
      <c r="AA435" s="1020"/>
      <c r="AB435" s="1020"/>
      <c r="AC435" s="1020"/>
      <c r="AD435" s="1020"/>
      <c r="AE435" s="1020"/>
      <c r="AF435" s="1020"/>
      <c r="AG435" s="467"/>
      <c r="AH435" s="467"/>
    </row>
    <row r="436" ht="14.25" customHeight="1" spans="2:34">
      <c r="B436" s="1018"/>
      <c r="C436" s="1019"/>
      <c r="D436" s="1019"/>
      <c r="E436" s="1019"/>
      <c r="F436" s="1020"/>
      <c r="G436" s="1020"/>
      <c r="H436" s="1020"/>
      <c r="I436" s="1020"/>
      <c r="J436" s="1020"/>
      <c r="K436" s="1020"/>
      <c r="L436" s="1020"/>
      <c r="M436" s="1020"/>
      <c r="N436" s="1020"/>
      <c r="O436" s="1020"/>
      <c r="P436" s="1020"/>
      <c r="Q436" s="1020"/>
      <c r="R436" s="1020"/>
      <c r="S436" s="1020"/>
      <c r="T436" s="1020"/>
      <c r="U436" s="1020"/>
      <c r="V436" s="1020"/>
      <c r="W436" s="1020"/>
      <c r="X436" s="1020"/>
      <c r="Y436" s="1020"/>
      <c r="Z436" s="1020"/>
      <c r="AA436" s="1020"/>
      <c r="AB436" s="1020"/>
      <c r="AC436" s="1020"/>
      <c r="AD436" s="1020"/>
      <c r="AE436" s="1020"/>
      <c r="AF436" s="1020"/>
      <c r="AG436" s="467"/>
      <c r="AH436" s="467"/>
    </row>
    <row r="437" ht="14.25" customHeight="1" spans="2:34">
      <c r="B437" s="1018"/>
      <c r="C437" s="1019"/>
      <c r="D437" s="1019"/>
      <c r="E437" s="1019"/>
      <c r="F437" s="1020"/>
      <c r="G437" s="1020"/>
      <c r="H437" s="1020"/>
      <c r="I437" s="1020"/>
      <c r="J437" s="1020"/>
      <c r="K437" s="1020"/>
      <c r="L437" s="1020"/>
      <c r="M437" s="1020"/>
      <c r="N437" s="1020"/>
      <c r="O437" s="1020"/>
      <c r="P437" s="1020"/>
      <c r="Q437" s="1020"/>
      <c r="R437" s="1020"/>
      <c r="S437" s="1020"/>
      <c r="T437" s="1020"/>
      <c r="U437" s="1020"/>
      <c r="V437" s="1020"/>
      <c r="W437" s="1020"/>
      <c r="X437" s="1020"/>
      <c r="Y437" s="1020"/>
      <c r="Z437" s="1020"/>
      <c r="AA437" s="1020"/>
      <c r="AB437" s="1020"/>
      <c r="AC437" s="1020"/>
      <c r="AD437" s="1020"/>
      <c r="AE437" s="1020"/>
      <c r="AF437" s="1020"/>
      <c r="AG437" s="467"/>
      <c r="AH437" s="467"/>
    </row>
    <row r="438" ht="14.25" customHeight="1" spans="2:34">
      <c r="B438" s="1018"/>
      <c r="C438" s="1019"/>
      <c r="D438" s="1019"/>
      <c r="E438" s="1019"/>
      <c r="F438" s="1020"/>
      <c r="G438" s="1020"/>
      <c r="H438" s="1020"/>
      <c r="I438" s="1020"/>
      <c r="J438" s="1020"/>
      <c r="K438" s="1020"/>
      <c r="L438" s="1020"/>
      <c r="M438" s="1020"/>
      <c r="N438" s="1020"/>
      <c r="O438" s="1020"/>
      <c r="P438" s="1020"/>
      <c r="Q438" s="1020"/>
      <c r="R438" s="1020"/>
      <c r="S438" s="1020"/>
      <c r="T438" s="1020"/>
      <c r="U438" s="1020"/>
      <c r="V438" s="1020"/>
      <c r="W438" s="1020"/>
      <c r="X438" s="1020"/>
      <c r="Y438" s="1020"/>
      <c r="Z438" s="1020"/>
      <c r="AA438" s="1020"/>
      <c r="AB438" s="1020"/>
      <c r="AC438" s="1020"/>
      <c r="AD438" s="1020"/>
      <c r="AE438" s="1020"/>
      <c r="AF438" s="1020"/>
      <c r="AG438" s="467"/>
      <c r="AH438" s="467"/>
    </row>
    <row r="439" ht="14.25" customHeight="1" spans="2:34">
      <c r="B439" s="1018"/>
      <c r="C439" s="1019"/>
      <c r="D439" s="1019"/>
      <c r="E439" s="1019"/>
      <c r="F439" s="1020"/>
      <c r="G439" s="1020"/>
      <c r="H439" s="1020"/>
      <c r="I439" s="1020"/>
      <c r="J439" s="1020"/>
      <c r="K439" s="1020"/>
      <c r="L439" s="1020"/>
      <c r="M439" s="1020"/>
      <c r="N439" s="1020"/>
      <c r="O439" s="1020"/>
      <c r="P439" s="1020"/>
      <c r="Q439" s="1020"/>
      <c r="R439" s="1020"/>
      <c r="S439" s="1020"/>
      <c r="T439" s="1020"/>
      <c r="U439" s="1020"/>
      <c r="V439" s="1020"/>
      <c r="W439" s="1020"/>
      <c r="X439" s="1020"/>
      <c r="Y439" s="1020"/>
      <c r="Z439" s="1020"/>
      <c r="AA439" s="1020"/>
      <c r="AB439" s="1020"/>
      <c r="AC439" s="1020"/>
      <c r="AD439" s="1020"/>
      <c r="AE439" s="1020"/>
      <c r="AF439" s="1020"/>
      <c r="AG439" s="467"/>
      <c r="AH439" s="467"/>
    </row>
    <row r="440" ht="14.25" customHeight="1" spans="2:34">
      <c r="B440" s="1018"/>
      <c r="C440" s="1019"/>
      <c r="D440" s="1019"/>
      <c r="E440" s="1019"/>
      <c r="F440" s="1020"/>
      <c r="G440" s="1020"/>
      <c r="H440" s="1020"/>
      <c r="I440" s="1020"/>
      <c r="J440" s="1020"/>
      <c r="K440" s="1020"/>
      <c r="L440" s="1020"/>
      <c r="M440" s="1020"/>
      <c r="N440" s="1020"/>
      <c r="O440" s="1020"/>
      <c r="P440" s="1020"/>
      <c r="Q440" s="1020"/>
      <c r="R440" s="1020"/>
      <c r="S440" s="1020"/>
      <c r="T440" s="1020"/>
      <c r="U440" s="1020"/>
      <c r="V440" s="1020"/>
      <c r="W440" s="1020"/>
      <c r="X440" s="1020"/>
      <c r="Y440" s="1020"/>
      <c r="Z440" s="1020"/>
      <c r="AA440" s="1020"/>
      <c r="AB440" s="1020"/>
      <c r="AC440" s="1020"/>
      <c r="AD440" s="1020"/>
      <c r="AE440" s="1020"/>
      <c r="AF440" s="1020"/>
      <c r="AG440" s="467"/>
      <c r="AH440" s="467"/>
    </row>
    <row r="441" ht="14.25" customHeight="1" spans="2:34">
      <c r="B441" s="1018"/>
      <c r="C441" s="1019"/>
      <c r="D441" s="1019"/>
      <c r="E441" s="1019"/>
      <c r="F441" s="1020"/>
      <c r="G441" s="1020"/>
      <c r="H441" s="1020"/>
      <c r="I441" s="1020"/>
      <c r="J441" s="1020"/>
      <c r="K441" s="1020"/>
      <c r="L441" s="1020"/>
      <c r="M441" s="1020"/>
      <c r="N441" s="1020"/>
      <c r="O441" s="1020"/>
      <c r="P441" s="1020"/>
      <c r="Q441" s="1020"/>
      <c r="R441" s="1020"/>
      <c r="S441" s="1020"/>
      <c r="T441" s="1020"/>
      <c r="U441" s="1020"/>
      <c r="V441" s="1020"/>
      <c r="W441" s="1020"/>
      <c r="X441" s="1020"/>
      <c r="Y441" s="1020"/>
      <c r="Z441" s="1020"/>
      <c r="AA441" s="1020"/>
      <c r="AB441" s="1020"/>
      <c r="AC441" s="1020"/>
      <c r="AD441" s="1020"/>
      <c r="AE441" s="1020"/>
      <c r="AF441" s="1020"/>
      <c r="AG441" s="467"/>
      <c r="AH441" s="467"/>
    </row>
    <row r="442" ht="14.25" customHeight="1" spans="2:34">
      <c r="B442" s="1018"/>
      <c r="C442" s="1019"/>
      <c r="D442" s="1019"/>
      <c r="E442" s="1019"/>
      <c r="F442" s="1020"/>
      <c r="G442" s="1020"/>
      <c r="H442" s="1020"/>
      <c r="I442" s="1020"/>
      <c r="J442" s="1020"/>
      <c r="K442" s="1020"/>
      <c r="L442" s="1020"/>
      <c r="M442" s="1020"/>
      <c r="N442" s="1020"/>
      <c r="O442" s="1020"/>
      <c r="P442" s="1020"/>
      <c r="Q442" s="1020"/>
      <c r="R442" s="1020"/>
      <c r="S442" s="1020"/>
      <c r="T442" s="1020"/>
      <c r="U442" s="1020"/>
      <c r="V442" s="1020"/>
      <c r="W442" s="1020"/>
      <c r="X442" s="1020"/>
      <c r="Y442" s="1020"/>
      <c r="Z442" s="1020"/>
      <c r="AA442" s="1020"/>
      <c r="AB442" s="1020"/>
      <c r="AC442" s="1020"/>
      <c r="AD442" s="1020"/>
      <c r="AE442" s="1020"/>
      <c r="AF442" s="1020"/>
      <c r="AG442" s="467"/>
      <c r="AH442" s="467"/>
    </row>
    <row r="443" ht="14.25" customHeight="1" spans="2:34">
      <c r="B443" s="1018"/>
      <c r="C443" s="1019"/>
      <c r="D443" s="1019"/>
      <c r="E443" s="1019"/>
      <c r="F443" s="1020"/>
      <c r="G443" s="1020"/>
      <c r="H443" s="1020"/>
      <c r="I443" s="1020"/>
      <c r="J443" s="1020"/>
      <c r="K443" s="1020"/>
      <c r="L443" s="1020"/>
      <c r="M443" s="1020"/>
      <c r="N443" s="1020"/>
      <c r="O443" s="1020"/>
      <c r="P443" s="1020"/>
      <c r="Q443" s="1020"/>
      <c r="R443" s="1020"/>
      <c r="S443" s="1020"/>
      <c r="T443" s="1020"/>
      <c r="U443" s="1020"/>
      <c r="V443" s="1020"/>
      <c r="W443" s="1020"/>
      <c r="X443" s="1020"/>
      <c r="Y443" s="1020"/>
      <c r="Z443" s="1020"/>
      <c r="AA443" s="1020"/>
      <c r="AB443" s="1020"/>
      <c r="AC443" s="1020"/>
      <c r="AD443" s="1020"/>
      <c r="AE443" s="1020"/>
      <c r="AF443" s="1020"/>
      <c r="AG443" s="467"/>
      <c r="AH443" s="467"/>
    </row>
    <row r="444" ht="14.25" customHeight="1" spans="2:34">
      <c r="B444" s="1018"/>
      <c r="C444" s="1019"/>
      <c r="D444" s="1019"/>
      <c r="E444" s="1019"/>
      <c r="F444" s="1020"/>
      <c r="G444" s="1020"/>
      <c r="H444" s="1020"/>
      <c r="I444" s="1020"/>
      <c r="J444" s="1020"/>
      <c r="K444" s="1020"/>
      <c r="L444" s="1020"/>
      <c r="M444" s="1020"/>
      <c r="N444" s="1020"/>
      <c r="O444" s="1020"/>
      <c r="P444" s="1020"/>
      <c r="Q444" s="1020"/>
      <c r="R444" s="1020"/>
      <c r="S444" s="1020"/>
      <c r="T444" s="1020"/>
      <c r="U444" s="1020"/>
      <c r="V444" s="1020"/>
      <c r="W444" s="1020"/>
      <c r="X444" s="1020"/>
      <c r="Y444" s="1020"/>
      <c r="Z444" s="1020"/>
      <c r="AA444" s="1020"/>
      <c r="AB444" s="1020"/>
      <c r="AC444" s="1020"/>
      <c r="AD444" s="1020"/>
      <c r="AE444" s="1020"/>
      <c r="AF444" s="1020"/>
      <c r="AG444" s="467"/>
      <c r="AH444" s="467"/>
    </row>
    <row r="445" ht="14.25" customHeight="1" spans="2:34">
      <c r="B445" s="1018"/>
      <c r="C445" s="1019"/>
      <c r="D445" s="1019"/>
      <c r="E445" s="1019"/>
      <c r="F445" s="1020"/>
      <c r="G445" s="1020"/>
      <c r="H445" s="1020"/>
      <c r="I445" s="1020"/>
      <c r="J445" s="1020"/>
      <c r="K445" s="1020"/>
      <c r="L445" s="1020"/>
      <c r="M445" s="1020"/>
      <c r="N445" s="1020"/>
      <c r="O445" s="1020"/>
      <c r="P445" s="1020"/>
      <c r="Q445" s="1020"/>
      <c r="R445" s="1020"/>
      <c r="S445" s="1020"/>
      <c r="T445" s="1020"/>
      <c r="U445" s="1020"/>
      <c r="V445" s="1020"/>
      <c r="W445" s="1020"/>
      <c r="X445" s="1020"/>
      <c r="Y445" s="1020"/>
      <c r="Z445" s="1020"/>
      <c r="AA445" s="1020"/>
      <c r="AB445" s="1020"/>
      <c r="AC445" s="1020"/>
      <c r="AD445" s="1020"/>
      <c r="AE445" s="1020"/>
      <c r="AF445" s="1020"/>
      <c r="AG445" s="467"/>
      <c r="AH445" s="467"/>
    </row>
    <row r="446" ht="14.25" customHeight="1" spans="2:34">
      <c r="B446" s="1018"/>
      <c r="C446" s="1019"/>
      <c r="D446" s="1019"/>
      <c r="E446" s="1019"/>
      <c r="F446" s="1020"/>
      <c r="G446" s="1020"/>
      <c r="H446" s="1020"/>
      <c r="I446" s="1020"/>
      <c r="J446" s="1020"/>
      <c r="K446" s="1020"/>
      <c r="L446" s="1020"/>
      <c r="M446" s="1020"/>
      <c r="N446" s="1020"/>
      <c r="O446" s="1020"/>
      <c r="P446" s="1020"/>
      <c r="Q446" s="1020"/>
      <c r="R446" s="1020"/>
      <c r="S446" s="1020"/>
      <c r="T446" s="1020"/>
      <c r="U446" s="1020"/>
      <c r="V446" s="1020"/>
      <c r="W446" s="1020"/>
      <c r="X446" s="1020"/>
      <c r="Y446" s="1020"/>
      <c r="Z446" s="1020"/>
      <c r="AA446" s="1020"/>
      <c r="AB446" s="1020"/>
      <c r="AC446" s="1020"/>
      <c r="AD446" s="1020"/>
      <c r="AE446" s="1020"/>
      <c r="AF446" s="1020"/>
      <c r="AG446" s="467"/>
      <c r="AH446" s="467"/>
    </row>
    <row r="447" ht="14.25" customHeight="1" spans="2:34">
      <c r="B447" s="1018"/>
      <c r="C447" s="1019"/>
      <c r="D447" s="1019"/>
      <c r="E447" s="1019"/>
      <c r="F447" s="1020"/>
      <c r="G447" s="1020"/>
      <c r="H447" s="1020"/>
      <c r="I447" s="1020"/>
      <c r="J447" s="1020"/>
      <c r="K447" s="1020"/>
      <c r="L447" s="1020"/>
      <c r="M447" s="1020"/>
      <c r="N447" s="1020"/>
      <c r="O447" s="1020"/>
      <c r="P447" s="1020"/>
      <c r="Q447" s="1020"/>
      <c r="R447" s="1020"/>
      <c r="S447" s="1020"/>
      <c r="T447" s="1020"/>
      <c r="U447" s="1020"/>
      <c r="V447" s="1020"/>
      <c r="W447" s="1020"/>
      <c r="X447" s="1020"/>
      <c r="Y447" s="1020"/>
      <c r="Z447" s="1020"/>
      <c r="AA447" s="1020"/>
      <c r="AB447" s="1020"/>
      <c r="AC447" s="1020"/>
      <c r="AD447" s="1020"/>
      <c r="AE447" s="1020"/>
      <c r="AF447" s="1020"/>
      <c r="AG447" s="467"/>
      <c r="AH447" s="467"/>
    </row>
    <row r="448" ht="14.25" customHeight="1" spans="2:34">
      <c r="B448" s="1018"/>
      <c r="C448" s="1019"/>
      <c r="D448" s="1019"/>
      <c r="E448" s="1019"/>
      <c r="F448" s="1020"/>
      <c r="G448" s="1020"/>
      <c r="H448" s="1020"/>
      <c r="I448" s="1020"/>
      <c r="J448" s="1020"/>
      <c r="K448" s="1020"/>
      <c r="L448" s="1020"/>
      <c r="M448" s="1020"/>
      <c r="N448" s="1020"/>
      <c r="O448" s="1020"/>
      <c r="P448" s="1020"/>
      <c r="Q448" s="1020"/>
      <c r="R448" s="1020"/>
      <c r="S448" s="1020"/>
      <c r="T448" s="1020"/>
      <c r="U448" s="1020"/>
      <c r="V448" s="1020"/>
      <c r="W448" s="1020"/>
      <c r="X448" s="1020"/>
      <c r="Y448" s="1020"/>
      <c r="Z448" s="1020"/>
      <c r="AA448" s="1020"/>
      <c r="AB448" s="1020"/>
      <c r="AC448" s="1020"/>
      <c r="AD448" s="1020"/>
      <c r="AE448" s="1020"/>
      <c r="AF448" s="1020"/>
      <c r="AG448" s="467"/>
      <c r="AH448" s="467"/>
    </row>
    <row r="449" ht="14.25" customHeight="1" spans="2:34">
      <c r="B449" s="1018"/>
      <c r="C449" s="1019"/>
      <c r="D449" s="1019"/>
      <c r="E449" s="1019"/>
      <c r="F449" s="1020"/>
      <c r="G449" s="1020"/>
      <c r="H449" s="1020"/>
      <c r="I449" s="1020"/>
      <c r="J449" s="1020"/>
      <c r="K449" s="1020"/>
      <c r="L449" s="1020"/>
      <c r="M449" s="1020"/>
      <c r="N449" s="1020"/>
      <c r="O449" s="1020"/>
      <c r="P449" s="1020"/>
      <c r="Q449" s="1020"/>
      <c r="R449" s="1020"/>
      <c r="S449" s="1020"/>
      <c r="T449" s="1020"/>
      <c r="U449" s="1020"/>
      <c r="V449" s="1020"/>
      <c r="W449" s="1020"/>
      <c r="X449" s="1020"/>
      <c r="Y449" s="1020"/>
      <c r="Z449" s="1020"/>
      <c r="AA449" s="1020"/>
      <c r="AB449" s="1020"/>
      <c r="AC449" s="1020"/>
      <c r="AD449" s="1020"/>
      <c r="AE449" s="1020"/>
      <c r="AF449" s="1020"/>
      <c r="AG449" s="467"/>
      <c r="AH449" s="467"/>
    </row>
    <row r="450" ht="14.25" customHeight="1" spans="2:34">
      <c r="B450" s="1018"/>
      <c r="C450" s="1019"/>
      <c r="D450" s="1019"/>
      <c r="E450" s="1019"/>
      <c r="F450" s="1020"/>
      <c r="G450" s="1020"/>
      <c r="H450" s="1020"/>
      <c r="I450" s="1020"/>
      <c r="J450" s="1020"/>
      <c r="K450" s="1020"/>
      <c r="L450" s="1020"/>
      <c r="M450" s="1020"/>
      <c r="N450" s="1020"/>
      <c r="O450" s="1020"/>
      <c r="P450" s="1020"/>
      <c r="Q450" s="1020"/>
      <c r="R450" s="1020"/>
      <c r="S450" s="1020"/>
      <c r="T450" s="1020"/>
      <c r="U450" s="1020"/>
      <c r="V450" s="1020"/>
      <c r="W450" s="1020"/>
      <c r="X450" s="1020"/>
      <c r="Y450" s="1020"/>
      <c r="Z450" s="1020"/>
      <c r="AA450" s="1020"/>
      <c r="AB450" s="1020"/>
      <c r="AC450" s="1020"/>
      <c r="AD450" s="1020"/>
      <c r="AE450" s="1020"/>
      <c r="AF450" s="1020"/>
      <c r="AG450" s="467"/>
      <c r="AH450" s="467"/>
    </row>
    <row r="451" ht="14.25" customHeight="1" spans="2:34">
      <c r="B451" s="1018"/>
      <c r="C451" s="1019"/>
      <c r="D451" s="1019"/>
      <c r="E451" s="1019"/>
      <c r="F451" s="1020"/>
      <c r="G451" s="1020"/>
      <c r="H451" s="1020"/>
      <c r="I451" s="1020"/>
      <c r="J451" s="1020"/>
      <c r="K451" s="1020"/>
      <c r="L451" s="1020"/>
      <c r="M451" s="1020"/>
      <c r="N451" s="1020"/>
      <c r="O451" s="1020"/>
      <c r="P451" s="1020"/>
      <c r="Q451" s="1020"/>
      <c r="R451" s="1020"/>
      <c r="S451" s="1020"/>
      <c r="T451" s="1020"/>
      <c r="U451" s="1020"/>
      <c r="V451" s="1020"/>
      <c r="W451" s="1020"/>
      <c r="X451" s="1020"/>
      <c r="Y451" s="1020"/>
      <c r="Z451" s="1020"/>
      <c r="AA451" s="1020"/>
      <c r="AB451" s="1020"/>
      <c r="AC451" s="1020"/>
      <c r="AD451" s="1020"/>
      <c r="AE451" s="1020"/>
      <c r="AF451" s="1020"/>
      <c r="AG451" s="467"/>
      <c r="AH451" s="467"/>
    </row>
    <row r="452" ht="14.25" customHeight="1" spans="2:34">
      <c r="B452" s="1018"/>
      <c r="C452" s="1019"/>
      <c r="D452" s="1019"/>
      <c r="E452" s="1019"/>
      <c r="F452" s="1020"/>
      <c r="G452" s="1020"/>
      <c r="H452" s="1020"/>
      <c r="I452" s="1020"/>
      <c r="J452" s="1020"/>
      <c r="K452" s="1020"/>
      <c r="L452" s="1020"/>
      <c r="M452" s="1020"/>
      <c r="N452" s="1020"/>
      <c r="O452" s="1020"/>
      <c r="P452" s="1020"/>
      <c r="Q452" s="1020"/>
      <c r="R452" s="1020"/>
      <c r="S452" s="1020"/>
      <c r="T452" s="1020"/>
      <c r="U452" s="1020"/>
      <c r="V452" s="1020"/>
      <c r="W452" s="1020"/>
      <c r="X452" s="1020"/>
      <c r="Y452" s="1020"/>
      <c r="Z452" s="1020"/>
      <c r="AA452" s="1020"/>
      <c r="AB452" s="1020"/>
      <c r="AC452" s="1020"/>
      <c r="AD452" s="1020"/>
      <c r="AE452" s="1020"/>
      <c r="AF452" s="1020"/>
      <c r="AG452" s="467"/>
      <c r="AH452" s="467"/>
    </row>
    <row r="453" ht="14.25" customHeight="1" spans="2:34">
      <c r="B453" s="1018"/>
      <c r="C453" s="1019"/>
      <c r="D453" s="1019"/>
      <c r="E453" s="1019"/>
      <c r="F453" s="1020"/>
      <c r="G453" s="1020"/>
      <c r="H453" s="1020"/>
      <c r="I453" s="1020"/>
      <c r="J453" s="1020"/>
      <c r="K453" s="1020"/>
      <c r="L453" s="1020"/>
      <c r="M453" s="1020"/>
      <c r="N453" s="1020"/>
      <c r="O453" s="1020"/>
      <c r="P453" s="1020"/>
      <c r="Q453" s="1020"/>
      <c r="R453" s="1020"/>
      <c r="S453" s="1020"/>
      <c r="T453" s="1020"/>
      <c r="U453" s="1020"/>
      <c r="V453" s="1020"/>
      <c r="W453" s="1020"/>
      <c r="X453" s="1020"/>
      <c r="Y453" s="1020"/>
      <c r="Z453" s="1020"/>
      <c r="AA453" s="1020"/>
      <c r="AB453" s="1020"/>
      <c r="AC453" s="1020"/>
      <c r="AD453" s="1020"/>
      <c r="AE453" s="1020"/>
      <c r="AF453" s="1020"/>
      <c r="AG453" s="467"/>
      <c r="AH453" s="467"/>
    </row>
    <row r="454" ht="14.25" customHeight="1" spans="2:34">
      <c r="B454" s="1018"/>
      <c r="C454" s="1019"/>
      <c r="D454" s="1019"/>
      <c r="E454" s="1019"/>
      <c r="F454" s="1020"/>
      <c r="G454" s="1020"/>
      <c r="H454" s="1020"/>
      <c r="I454" s="1020"/>
      <c r="J454" s="1020"/>
      <c r="K454" s="1020"/>
      <c r="L454" s="1020"/>
      <c r="M454" s="1020"/>
      <c r="N454" s="1020"/>
      <c r="O454" s="1020"/>
      <c r="P454" s="1020"/>
      <c r="Q454" s="1020"/>
      <c r="R454" s="1020"/>
      <c r="S454" s="1020"/>
      <c r="T454" s="1020"/>
      <c r="U454" s="1020"/>
      <c r="V454" s="1020"/>
      <c r="W454" s="1020"/>
      <c r="X454" s="1020"/>
      <c r="Y454" s="1020"/>
      <c r="Z454" s="1020"/>
      <c r="AA454" s="1020"/>
      <c r="AB454" s="1020"/>
      <c r="AC454" s="1020"/>
      <c r="AD454" s="1020"/>
      <c r="AE454" s="1020"/>
      <c r="AF454" s="1020"/>
      <c r="AG454" s="467"/>
      <c r="AH454" s="467"/>
    </row>
    <row r="455" ht="14.25" customHeight="1" spans="2:34">
      <c r="B455" s="1018"/>
      <c r="C455" s="1019"/>
      <c r="D455" s="1019"/>
      <c r="E455" s="1019"/>
      <c r="F455" s="1020"/>
      <c r="G455" s="1020"/>
      <c r="H455" s="1020"/>
      <c r="I455" s="1020"/>
      <c r="J455" s="1020"/>
      <c r="K455" s="1020"/>
      <c r="L455" s="1020"/>
      <c r="M455" s="1020"/>
      <c r="N455" s="1020"/>
      <c r="O455" s="1020"/>
      <c r="P455" s="1020"/>
      <c r="Q455" s="1020"/>
      <c r="R455" s="1020"/>
      <c r="S455" s="1020"/>
      <c r="T455" s="1020"/>
      <c r="U455" s="1020"/>
      <c r="V455" s="1020"/>
      <c r="W455" s="1020"/>
      <c r="X455" s="1020"/>
      <c r="Y455" s="1020"/>
      <c r="Z455" s="1020"/>
      <c r="AA455" s="1020"/>
      <c r="AB455" s="1020"/>
      <c r="AC455" s="1020"/>
      <c r="AD455" s="1020"/>
      <c r="AE455" s="1020"/>
      <c r="AF455" s="1020"/>
      <c r="AG455" s="467"/>
      <c r="AH455" s="467"/>
    </row>
    <row r="456" ht="14.25" customHeight="1" spans="2:34">
      <c r="B456" s="1018"/>
      <c r="C456" s="1019"/>
      <c r="D456" s="1019"/>
      <c r="E456" s="1019"/>
      <c r="F456" s="1020"/>
      <c r="G456" s="1020"/>
      <c r="H456" s="1020"/>
      <c r="I456" s="1020"/>
      <c r="J456" s="1020"/>
      <c r="K456" s="1020"/>
      <c r="L456" s="1020"/>
      <c r="M456" s="1020"/>
      <c r="N456" s="1020"/>
      <c r="O456" s="1020"/>
      <c r="P456" s="1020"/>
      <c r="Q456" s="1020"/>
      <c r="R456" s="1020"/>
      <c r="S456" s="1020"/>
      <c r="T456" s="1020"/>
      <c r="U456" s="1020"/>
      <c r="V456" s="1020"/>
      <c r="W456" s="1020"/>
      <c r="X456" s="1020"/>
      <c r="Y456" s="1020"/>
      <c r="Z456" s="1020"/>
      <c r="AA456" s="1020"/>
      <c r="AB456" s="1020"/>
      <c r="AC456" s="1020"/>
      <c r="AD456" s="1020"/>
      <c r="AE456" s="1020"/>
      <c r="AF456" s="1020"/>
      <c r="AG456" s="467"/>
      <c r="AH456" s="467"/>
    </row>
    <row r="457" ht="14.25" customHeight="1" spans="2:34">
      <c r="B457" s="1018"/>
      <c r="C457" s="1019"/>
      <c r="D457" s="1019"/>
      <c r="E457" s="1019"/>
      <c r="F457" s="1020"/>
      <c r="G457" s="1020"/>
      <c r="H457" s="1020"/>
      <c r="I457" s="1020"/>
      <c r="J457" s="1020"/>
      <c r="K457" s="1020"/>
      <c r="L457" s="1020"/>
      <c r="M457" s="1020"/>
      <c r="N457" s="1020"/>
      <c r="O457" s="1020"/>
      <c r="P457" s="1020"/>
      <c r="Q457" s="1020"/>
      <c r="R457" s="1020"/>
      <c r="S457" s="1020"/>
      <c r="T457" s="1020"/>
      <c r="U457" s="1020"/>
      <c r="V457" s="1020"/>
      <c r="W457" s="1020"/>
      <c r="X457" s="1020"/>
      <c r="Y457" s="1020"/>
      <c r="Z457" s="1020"/>
      <c r="AA457" s="1020"/>
      <c r="AB457" s="1020"/>
      <c r="AC457" s="1020"/>
      <c r="AD457" s="1020"/>
      <c r="AE457" s="1020"/>
      <c r="AF457" s="1020"/>
      <c r="AG457" s="467"/>
      <c r="AH457" s="467"/>
    </row>
    <row r="458" ht="14.25" customHeight="1" spans="2:34">
      <c r="B458" s="1018"/>
      <c r="C458" s="1019"/>
      <c r="D458" s="1019"/>
      <c r="E458" s="1019"/>
      <c r="F458" s="1020"/>
      <c r="G458" s="1020"/>
      <c r="H458" s="1020"/>
      <c r="I458" s="1020"/>
      <c r="J458" s="1020"/>
      <c r="K458" s="1020"/>
      <c r="L458" s="1020"/>
      <c r="M458" s="1020"/>
      <c r="N458" s="1020"/>
      <c r="O458" s="1020"/>
      <c r="P458" s="1020"/>
      <c r="Q458" s="1020"/>
      <c r="R458" s="1020"/>
      <c r="S458" s="1020"/>
      <c r="T458" s="1020"/>
      <c r="U458" s="1020"/>
      <c r="V458" s="1020"/>
      <c r="W458" s="1020"/>
      <c r="X458" s="1020"/>
      <c r="Y458" s="1020"/>
      <c r="Z458" s="1020"/>
      <c r="AA458" s="1020"/>
      <c r="AB458" s="1020"/>
      <c r="AC458" s="1020"/>
      <c r="AD458" s="1020"/>
      <c r="AE458" s="1020"/>
      <c r="AF458" s="1020"/>
      <c r="AG458" s="467"/>
      <c r="AH458" s="467"/>
    </row>
    <row r="459" ht="14.25" customHeight="1" spans="2:34">
      <c r="B459" s="1018"/>
      <c r="C459" s="1019"/>
      <c r="D459" s="1019"/>
      <c r="E459" s="1019"/>
      <c r="F459" s="1020"/>
      <c r="G459" s="1020"/>
      <c r="H459" s="1020"/>
      <c r="I459" s="1020"/>
      <c r="J459" s="1020"/>
      <c r="K459" s="1020"/>
      <c r="L459" s="1020"/>
      <c r="M459" s="1020"/>
      <c r="N459" s="1020"/>
      <c r="O459" s="1020"/>
      <c r="P459" s="1020"/>
      <c r="Q459" s="1020"/>
      <c r="R459" s="1020"/>
      <c r="S459" s="1020"/>
      <c r="T459" s="1020"/>
      <c r="U459" s="1020"/>
      <c r="V459" s="1020"/>
      <c r="W459" s="1020"/>
      <c r="X459" s="1020"/>
      <c r="Y459" s="1020"/>
      <c r="Z459" s="1020"/>
      <c r="AA459" s="1020"/>
      <c r="AB459" s="1020"/>
      <c r="AC459" s="1020"/>
      <c r="AD459" s="1020"/>
      <c r="AE459" s="1020"/>
      <c r="AF459" s="1020"/>
      <c r="AG459" s="467"/>
      <c r="AH459" s="467"/>
    </row>
    <row r="460" ht="14.25" customHeight="1" spans="2:34">
      <c r="B460" s="1018"/>
      <c r="C460" s="1019"/>
      <c r="D460" s="1019"/>
      <c r="E460" s="1019"/>
      <c r="F460" s="1020"/>
      <c r="G460" s="1020"/>
      <c r="H460" s="1020"/>
      <c r="I460" s="1020"/>
      <c r="J460" s="1020"/>
      <c r="K460" s="1020"/>
      <c r="L460" s="1020"/>
      <c r="M460" s="1020"/>
      <c r="N460" s="1020"/>
      <c r="O460" s="1020"/>
      <c r="P460" s="1020"/>
      <c r="Q460" s="1020"/>
      <c r="R460" s="1020"/>
      <c r="S460" s="1020"/>
      <c r="T460" s="1020"/>
      <c r="U460" s="1020"/>
      <c r="V460" s="1020"/>
      <c r="W460" s="1020"/>
      <c r="X460" s="1020"/>
      <c r="Y460" s="1020"/>
      <c r="Z460" s="1020"/>
      <c r="AA460" s="1020"/>
      <c r="AB460" s="1020"/>
      <c r="AC460" s="1020"/>
      <c r="AD460" s="1020"/>
      <c r="AE460" s="1020"/>
      <c r="AF460" s="1020"/>
      <c r="AG460" s="467"/>
      <c r="AH460" s="467"/>
    </row>
    <row r="461" ht="14.25" customHeight="1" spans="2:34">
      <c r="B461" s="1018"/>
      <c r="C461" s="1019"/>
      <c r="D461" s="1019"/>
      <c r="E461" s="1019"/>
      <c r="F461" s="1020"/>
      <c r="G461" s="1020"/>
      <c r="H461" s="1020"/>
      <c r="I461" s="1020"/>
      <c r="J461" s="1020"/>
      <c r="K461" s="1020"/>
      <c r="L461" s="1020"/>
      <c r="M461" s="1020"/>
      <c r="N461" s="1020"/>
      <c r="O461" s="1020"/>
      <c r="P461" s="1020"/>
      <c r="Q461" s="1020"/>
      <c r="R461" s="1020"/>
      <c r="S461" s="1020"/>
      <c r="T461" s="1020"/>
      <c r="U461" s="1020"/>
      <c r="V461" s="1020"/>
      <c r="W461" s="1020"/>
      <c r="X461" s="1020"/>
      <c r="Y461" s="1020"/>
      <c r="Z461" s="1020"/>
      <c r="AA461" s="1020"/>
      <c r="AB461" s="1020"/>
      <c r="AC461" s="1020"/>
      <c r="AD461" s="1020"/>
      <c r="AE461" s="1020"/>
      <c r="AF461" s="1020"/>
      <c r="AG461" s="467"/>
      <c r="AH461" s="467"/>
    </row>
    <row r="462" ht="14.25" customHeight="1" spans="2:34">
      <c r="B462" s="1018"/>
      <c r="C462" s="1019"/>
      <c r="D462" s="1019"/>
      <c r="E462" s="1019"/>
      <c r="F462" s="1020"/>
      <c r="G462" s="1020"/>
      <c r="H462" s="1020"/>
      <c r="I462" s="1020"/>
      <c r="J462" s="1020"/>
      <c r="K462" s="1020"/>
      <c r="L462" s="1020"/>
      <c r="M462" s="1020"/>
      <c r="N462" s="1020"/>
      <c r="O462" s="1020"/>
      <c r="P462" s="1020"/>
      <c r="Q462" s="1020"/>
      <c r="R462" s="1020"/>
      <c r="S462" s="1020"/>
      <c r="T462" s="1020"/>
      <c r="U462" s="1020"/>
      <c r="V462" s="1020"/>
      <c r="W462" s="1020"/>
      <c r="X462" s="1020"/>
      <c r="Y462" s="1020"/>
      <c r="Z462" s="1020"/>
      <c r="AA462" s="1020"/>
      <c r="AB462" s="1020"/>
      <c r="AC462" s="1020"/>
      <c r="AD462" s="1020"/>
      <c r="AE462" s="1020"/>
      <c r="AF462" s="1020"/>
      <c r="AG462" s="467"/>
      <c r="AH462" s="467"/>
    </row>
    <row r="463" ht="14.25" customHeight="1" spans="2:34">
      <c r="B463" s="1018"/>
      <c r="C463" s="1019"/>
      <c r="D463" s="1019"/>
      <c r="E463" s="1019"/>
      <c r="F463" s="1020"/>
      <c r="G463" s="1020"/>
      <c r="H463" s="1020"/>
      <c r="I463" s="1020"/>
      <c r="J463" s="1020"/>
      <c r="K463" s="1020"/>
      <c r="L463" s="1020"/>
      <c r="M463" s="1020"/>
      <c r="N463" s="1020"/>
      <c r="O463" s="1020"/>
      <c r="P463" s="1020"/>
      <c r="Q463" s="1020"/>
      <c r="R463" s="1020"/>
      <c r="S463" s="1020"/>
      <c r="T463" s="1020"/>
      <c r="U463" s="1020"/>
      <c r="V463" s="1020"/>
      <c r="W463" s="1020"/>
      <c r="X463" s="1020"/>
      <c r="Y463" s="1020"/>
      <c r="Z463" s="1020"/>
      <c r="AA463" s="1020"/>
      <c r="AB463" s="1020"/>
      <c r="AC463" s="1020"/>
      <c r="AD463" s="1020"/>
      <c r="AE463" s="1020"/>
      <c r="AF463" s="1020"/>
      <c r="AG463" s="467"/>
      <c r="AH463" s="467"/>
    </row>
    <row r="464" ht="14.25" customHeight="1" spans="2:34">
      <c r="B464" s="1018"/>
      <c r="C464" s="1019"/>
      <c r="D464" s="1019"/>
      <c r="E464" s="1019"/>
      <c r="F464" s="1020"/>
      <c r="G464" s="1020"/>
      <c r="H464" s="1020"/>
      <c r="I464" s="1020"/>
      <c r="J464" s="1020"/>
      <c r="K464" s="1020"/>
      <c r="L464" s="1020"/>
      <c r="M464" s="1020"/>
      <c r="N464" s="1020"/>
      <c r="O464" s="1020"/>
      <c r="P464" s="1020"/>
      <c r="Q464" s="1020"/>
      <c r="R464" s="1020"/>
      <c r="S464" s="1020"/>
      <c r="T464" s="1020"/>
      <c r="U464" s="1020"/>
      <c r="V464" s="1020"/>
      <c r="W464" s="1020"/>
      <c r="X464" s="1020"/>
      <c r="Y464" s="1020"/>
      <c r="Z464" s="1020"/>
      <c r="AA464" s="1020"/>
      <c r="AB464" s="1020"/>
      <c r="AC464" s="1020"/>
      <c r="AD464" s="1020"/>
      <c r="AE464" s="1020"/>
      <c r="AF464" s="1020"/>
      <c r="AG464" s="467"/>
      <c r="AH464" s="467"/>
    </row>
    <row r="465" ht="14.25" customHeight="1" spans="2:34">
      <c r="B465" s="1018"/>
      <c r="C465" s="1019"/>
      <c r="D465" s="1019"/>
      <c r="E465" s="1019"/>
      <c r="F465" s="1020"/>
      <c r="G465" s="1020"/>
      <c r="H465" s="1020"/>
      <c r="I465" s="1020"/>
      <c r="J465" s="1020"/>
      <c r="K465" s="1020"/>
      <c r="L465" s="1020"/>
      <c r="M465" s="1020"/>
      <c r="N465" s="1020"/>
      <c r="O465" s="1020"/>
      <c r="P465" s="1020"/>
      <c r="Q465" s="1020"/>
      <c r="R465" s="1020"/>
      <c r="S465" s="1020"/>
      <c r="T465" s="1020"/>
      <c r="U465" s="1020"/>
      <c r="V465" s="1020"/>
      <c r="W465" s="1020"/>
      <c r="X465" s="1020"/>
      <c r="Y465" s="1020"/>
      <c r="Z465" s="1020"/>
      <c r="AA465" s="1020"/>
      <c r="AB465" s="1020"/>
      <c r="AC465" s="1020"/>
      <c r="AD465" s="1020"/>
      <c r="AE465" s="1020"/>
      <c r="AF465" s="1020"/>
      <c r="AG465" s="467"/>
      <c r="AH465" s="467"/>
    </row>
    <row r="466" ht="14.25" customHeight="1" spans="2:34">
      <c r="B466" s="1018"/>
      <c r="C466" s="1019"/>
      <c r="D466" s="1019"/>
      <c r="E466" s="1019"/>
      <c r="F466" s="1020"/>
      <c r="G466" s="1020"/>
      <c r="H466" s="1020"/>
      <c r="I466" s="1020"/>
      <c r="J466" s="1020"/>
      <c r="K466" s="1020"/>
      <c r="L466" s="1020"/>
      <c r="M466" s="1020"/>
      <c r="N466" s="1020"/>
      <c r="O466" s="1020"/>
      <c r="P466" s="1020"/>
      <c r="Q466" s="1020"/>
      <c r="R466" s="1020"/>
      <c r="S466" s="1020"/>
      <c r="T466" s="1020"/>
      <c r="U466" s="1020"/>
      <c r="V466" s="1020"/>
      <c r="W466" s="1020"/>
      <c r="X466" s="1020"/>
      <c r="Y466" s="1020"/>
      <c r="Z466" s="1020"/>
      <c r="AA466" s="1020"/>
      <c r="AB466" s="1020"/>
      <c r="AC466" s="1020"/>
      <c r="AD466" s="1020"/>
      <c r="AE466" s="1020"/>
      <c r="AF466" s="1020"/>
      <c r="AG466" s="467"/>
      <c r="AH466" s="467"/>
    </row>
    <row r="467" ht="14.25" customHeight="1" spans="2:34">
      <c r="B467" s="1018"/>
      <c r="C467" s="1019"/>
      <c r="D467" s="1019"/>
      <c r="E467" s="1019"/>
      <c r="F467" s="1020"/>
      <c r="G467" s="1020"/>
      <c r="H467" s="1020"/>
      <c r="I467" s="1020"/>
      <c r="J467" s="1020"/>
      <c r="K467" s="1020"/>
      <c r="L467" s="1020"/>
      <c r="M467" s="1020"/>
      <c r="N467" s="1020"/>
      <c r="O467" s="1020"/>
      <c r="P467" s="1020"/>
      <c r="Q467" s="1020"/>
      <c r="R467" s="1020"/>
      <c r="S467" s="1020"/>
      <c r="T467" s="1020"/>
      <c r="U467" s="1020"/>
      <c r="V467" s="1020"/>
      <c r="W467" s="1020"/>
      <c r="X467" s="1020"/>
      <c r="Y467" s="1020"/>
      <c r="Z467" s="1020"/>
      <c r="AA467" s="1020"/>
      <c r="AB467" s="1020"/>
      <c r="AC467" s="1020"/>
      <c r="AD467" s="1020"/>
      <c r="AE467" s="1020"/>
      <c r="AF467" s="1020"/>
      <c r="AG467" s="467"/>
      <c r="AH467" s="467"/>
    </row>
    <row r="468" ht="14.25" customHeight="1" spans="2:34">
      <c r="B468" s="1018"/>
      <c r="C468" s="1019"/>
      <c r="D468" s="1019"/>
      <c r="E468" s="1019"/>
      <c r="F468" s="1020"/>
      <c r="G468" s="1020"/>
      <c r="H468" s="1020"/>
      <c r="I468" s="1020"/>
      <c r="J468" s="1020"/>
      <c r="K468" s="1020"/>
      <c r="L468" s="1020"/>
      <c r="M468" s="1020"/>
      <c r="N468" s="1020"/>
      <c r="O468" s="1020"/>
      <c r="P468" s="1020"/>
      <c r="Q468" s="1020"/>
      <c r="R468" s="1020"/>
      <c r="S468" s="1020"/>
      <c r="T468" s="1020"/>
      <c r="U468" s="1020"/>
      <c r="V468" s="1020"/>
      <c r="W468" s="1020"/>
      <c r="X468" s="1020"/>
      <c r="Y468" s="1020"/>
      <c r="Z468" s="1020"/>
      <c r="AA468" s="1020"/>
      <c r="AB468" s="1020"/>
      <c r="AC468" s="1020"/>
      <c r="AD468" s="1020"/>
      <c r="AE468" s="1020"/>
      <c r="AF468" s="1020"/>
      <c r="AG468" s="467"/>
      <c r="AH468" s="467"/>
    </row>
    <row r="469" ht="14.25" customHeight="1" spans="2:34">
      <c r="B469" s="1018"/>
      <c r="C469" s="1019"/>
      <c r="D469" s="1019"/>
      <c r="E469" s="1019"/>
      <c r="F469" s="1020"/>
      <c r="G469" s="1020"/>
      <c r="H469" s="1020"/>
      <c r="I469" s="1020"/>
      <c r="J469" s="1020"/>
      <c r="K469" s="1020"/>
      <c r="L469" s="1020"/>
      <c r="M469" s="1020"/>
      <c r="N469" s="1020"/>
      <c r="O469" s="1020"/>
      <c r="P469" s="1020"/>
      <c r="Q469" s="1020"/>
      <c r="R469" s="1020"/>
      <c r="S469" s="1020"/>
      <c r="T469" s="1020"/>
      <c r="U469" s="1020"/>
      <c r="V469" s="1020"/>
      <c r="W469" s="1020"/>
      <c r="X469" s="1020"/>
      <c r="Y469" s="1020"/>
      <c r="Z469" s="1020"/>
      <c r="AA469" s="1020"/>
      <c r="AB469" s="1020"/>
      <c r="AC469" s="1020"/>
      <c r="AD469" s="1020"/>
      <c r="AE469" s="1020"/>
      <c r="AF469" s="1020"/>
      <c r="AG469" s="467"/>
      <c r="AH469" s="467"/>
    </row>
    <row r="470" ht="14.25" customHeight="1" spans="2:34">
      <c r="B470" s="1018"/>
      <c r="C470" s="1019"/>
      <c r="D470" s="1019"/>
      <c r="E470" s="1019"/>
      <c r="F470" s="1020"/>
      <c r="G470" s="1020"/>
      <c r="H470" s="1020"/>
      <c r="I470" s="1020"/>
      <c r="J470" s="1020"/>
      <c r="K470" s="1020"/>
      <c r="L470" s="1020"/>
      <c r="M470" s="1020"/>
      <c r="N470" s="1020"/>
      <c r="O470" s="1020"/>
      <c r="P470" s="1020"/>
      <c r="Q470" s="1020"/>
      <c r="R470" s="1020"/>
      <c r="S470" s="1020"/>
      <c r="T470" s="1020"/>
      <c r="U470" s="1020"/>
      <c r="V470" s="1020"/>
      <c r="W470" s="1020"/>
      <c r="X470" s="1020"/>
      <c r="Y470" s="1020"/>
      <c r="Z470" s="1020"/>
      <c r="AA470" s="1020"/>
      <c r="AB470" s="1020"/>
      <c r="AC470" s="1020"/>
      <c r="AD470" s="1020"/>
      <c r="AE470" s="1020"/>
      <c r="AF470" s="1020"/>
      <c r="AG470" s="467"/>
      <c r="AH470" s="467"/>
    </row>
    <row r="471" ht="14.25" customHeight="1" spans="2:34">
      <c r="B471" s="1018"/>
      <c r="C471" s="1019"/>
      <c r="D471" s="1019"/>
      <c r="E471" s="1019"/>
      <c r="F471" s="1020"/>
      <c r="G471" s="1020"/>
      <c r="H471" s="1020"/>
      <c r="I471" s="1020"/>
      <c r="J471" s="1020"/>
      <c r="K471" s="1020"/>
      <c r="L471" s="1020"/>
      <c r="M471" s="1020"/>
      <c r="N471" s="1020"/>
      <c r="O471" s="1020"/>
      <c r="P471" s="1020"/>
      <c r="Q471" s="1020"/>
      <c r="R471" s="1020"/>
      <c r="S471" s="1020"/>
      <c r="T471" s="1020"/>
      <c r="U471" s="1020"/>
      <c r="V471" s="1020"/>
      <c r="W471" s="1020"/>
      <c r="X471" s="1020"/>
      <c r="Y471" s="1020"/>
      <c r="Z471" s="1020"/>
      <c r="AA471" s="1020"/>
      <c r="AB471" s="1020"/>
      <c r="AC471" s="1020"/>
      <c r="AD471" s="1020"/>
      <c r="AE471" s="1020"/>
      <c r="AF471" s="1020"/>
      <c r="AG471" s="467"/>
      <c r="AH471" s="467"/>
    </row>
    <row r="472" ht="14.25" customHeight="1" spans="2:34">
      <c r="B472" s="1018"/>
      <c r="C472" s="1019"/>
      <c r="D472" s="1019"/>
      <c r="E472" s="1019"/>
      <c r="F472" s="1020"/>
      <c r="G472" s="1020"/>
      <c r="H472" s="1020"/>
      <c r="I472" s="1020"/>
      <c r="J472" s="1020"/>
      <c r="K472" s="1020"/>
      <c r="L472" s="1020"/>
      <c r="M472" s="1020"/>
      <c r="N472" s="1020"/>
      <c r="O472" s="1020"/>
      <c r="P472" s="1020"/>
      <c r="Q472" s="1020"/>
      <c r="R472" s="1020"/>
      <c r="S472" s="1020"/>
      <c r="T472" s="1020"/>
      <c r="U472" s="1020"/>
      <c r="V472" s="1020"/>
      <c r="W472" s="1020"/>
      <c r="X472" s="1020"/>
      <c r="Y472" s="1020"/>
      <c r="Z472" s="1020"/>
      <c r="AA472" s="1020"/>
      <c r="AB472" s="1020"/>
      <c r="AC472" s="1020"/>
      <c r="AD472" s="1020"/>
      <c r="AE472" s="1020"/>
      <c r="AF472" s="1020"/>
      <c r="AG472" s="467"/>
      <c r="AH472" s="467"/>
    </row>
    <row r="473" ht="14.25" customHeight="1" spans="2:34">
      <c r="B473" s="1018"/>
      <c r="C473" s="1019"/>
      <c r="D473" s="1019"/>
      <c r="E473" s="1019"/>
      <c r="F473" s="1020"/>
      <c r="G473" s="1020"/>
      <c r="H473" s="1020"/>
      <c r="I473" s="1020"/>
      <c r="J473" s="1020"/>
      <c r="K473" s="1020"/>
      <c r="L473" s="1020"/>
      <c r="M473" s="1020"/>
      <c r="N473" s="1020"/>
      <c r="O473" s="1020"/>
      <c r="P473" s="1020"/>
      <c r="Q473" s="1020"/>
      <c r="R473" s="1020"/>
      <c r="S473" s="1020"/>
      <c r="T473" s="1020"/>
      <c r="U473" s="1020"/>
      <c r="V473" s="1020"/>
      <c r="W473" s="1020"/>
      <c r="X473" s="1020"/>
      <c r="Y473" s="1020"/>
      <c r="Z473" s="1020"/>
      <c r="AA473" s="1020"/>
      <c r="AB473" s="1020"/>
      <c r="AC473" s="1020"/>
      <c r="AD473" s="1020"/>
      <c r="AE473" s="1020"/>
      <c r="AF473" s="1020"/>
      <c r="AG473" s="467"/>
      <c r="AH473" s="467"/>
    </row>
    <row r="474" ht="14.25" customHeight="1" spans="2:34">
      <c r="B474" s="1018"/>
      <c r="C474" s="1019"/>
      <c r="D474" s="1019"/>
      <c r="E474" s="1019"/>
      <c r="F474" s="1020"/>
      <c r="G474" s="1020"/>
      <c r="H474" s="1020"/>
      <c r="I474" s="1020"/>
      <c r="J474" s="1020"/>
      <c r="K474" s="1020"/>
      <c r="L474" s="1020"/>
      <c r="M474" s="1020"/>
      <c r="N474" s="1020"/>
      <c r="O474" s="1020"/>
      <c r="P474" s="1020"/>
      <c r="Q474" s="1020"/>
      <c r="R474" s="1020"/>
      <c r="S474" s="1020"/>
      <c r="T474" s="1020"/>
      <c r="U474" s="1020"/>
      <c r="V474" s="1020"/>
      <c r="W474" s="1020"/>
      <c r="X474" s="1020"/>
      <c r="Y474" s="1020"/>
      <c r="Z474" s="1020"/>
      <c r="AA474" s="1020"/>
      <c r="AB474" s="1020"/>
      <c r="AC474" s="1020"/>
      <c r="AD474" s="1020"/>
      <c r="AE474" s="1020"/>
      <c r="AF474" s="1020"/>
      <c r="AG474" s="467"/>
      <c r="AH474" s="467"/>
    </row>
    <row r="475" ht="14.25" customHeight="1" spans="2:34">
      <c r="B475" s="1018"/>
      <c r="C475" s="1019"/>
      <c r="D475" s="1019"/>
      <c r="E475" s="1019"/>
      <c r="F475" s="1020"/>
      <c r="G475" s="1020"/>
      <c r="H475" s="1020"/>
      <c r="I475" s="1020"/>
      <c r="J475" s="1020"/>
      <c r="K475" s="1020"/>
      <c r="L475" s="1020"/>
      <c r="M475" s="1020"/>
      <c r="N475" s="1020"/>
      <c r="O475" s="1020"/>
      <c r="P475" s="1020"/>
      <c r="Q475" s="1020"/>
      <c r="R475" s="1020"/>
      <c r="S475" s="1020"/>
      <c r="T475" s="1020"/>
      <c r="U475" s="1020"/>
      <c r="V475" s="1020"/>
      <c r="W475" s="1020"/>
      <c r="X475" s="1020"/>
      <c r="Y475" s="1020"/>
      <c r="Z475" s="1020"/>
      <c r="AA475" s="1020"/>
      <c r="AB475" s="1020"/>
      <c r="AC475" s="1020"/>
      <c r="AD475" s="1020"/>
      <c r="AE475" s="1020"/>
      <c r="AF475" s="1020"/>
      <c r="AG475" s="467"/>
      <c r="AH475" s="467"/>
    </row>
    <row r="476" ht="14.25" customHeight="1" spans="2:34">
      <c r="B476" s="1018"/>
      <c r="C476" s="1019"/>
      <c r="D476" s="1019"/>
      <c r="E476" s="1019"/>
      <c r="F476" s="1020"/>
      <c r="G476" s="1020"/>
      <c r="H476" s="1020"/>
      <c r="I476" s="1020"/>
      <c r="J476" s="1020"/>
      <c r="K476" s="1020"/>
      <c r="L476" s="1020"/>
      <c r="M476" s="1020"/>
      <c r="N476" s="1020"/>
      <c r="O476" s="1020"/>
      <c r="P476" s="1020"/>
      <c r="Q476" s="1020"/>
      <c r="R476" s="1020"/>
      <c r="S476" s="1020"/>
      <c r="T476" s="1020"/>
      <c r="U476" s="1020"/>
      <c r="V476" s="1020"/>
      <c r="W476" s="1020"/>
      <c r="X476" s="1020"/>
      <c r="Y476" s="1020"/>
      <c r="Z476" s="1020"/>
      <c r="AA476" s="1020"/>
      <c r="AB476" s="1020"/>
      <c r="AC476" s="1020"/>
      <c r="AD476" s="1020"/>
      <c r="AE476" s="1020"/>
      <c r="AF476" s="1020"/>
      <c r="AG476" s="467"/>
      <c r="AH476" s="467"/>
    </row>
    <row r="477" ht="14.25" customHeight="1" spans="2:34">
      <c r="B477" s="1018"/>
      <c r="C477" s="1019"/>
      <c r="D477" s="1019"/>
      <c r="E477" s="1019"/>
      <c r="F477" s="1020"/>
      <c r="G477" s="1020"/>
      <c r="H477" s="1020"/>
      <c r="I477" s="1020"/>
      <c r="J477" s="1020"/>
      <c r="K477" s="1020"/>
      <c r="L477" s="1020"/>
      <c r="M477" s="1020"/>
      <c r="N477" s="1020"/>
      <c r="O477" s="1020"/>
      <c r="P477" s="1020"/>
      <c r="Q477" s="1020"/>
      <c r="R477" s="1020"/>
      <c r="S477" s="1020"/>
      <c r="T477" s="1020"/>
      <c r="U477" s="1020"/>
      <c r="V477" s="1020"/>
      <c r="W477" s="1020"/>
      <c r="X477" s="1020"/>
      <c r="Y477" s="1020"/>
      <c r="Z477" s="1020"/>
      <c r="AA477" s="1020"/>
      <c r="AB477" s="1020"/>
      <c r="AC477" s="1020"/>
      <c r="AD477" s="1020"/>
      <c r="AE477" s="1020"/>
      <c r="AF477" s="1020"/>
      <c r="AG477" s="467"/>
      <c r="AH477" s="467"/>
    </row>
    <row r="478" ht="14.25" customHeight="1" spans="2:34">
      <c r="B478" s="1018"/>
      <c r="C478" s="1019"/>
      <c r="D478" s="1019"/>
      <c r="E478" s="1019"/>
      <c r="F478" s="1020"/>
      <c r="G478" s="1020"/>
      <c r="H478" s="1020"/>
      <c r="I478" s="1020"/>
      <c r="J478" s="1020"/>
      <c r="K478" s="1020"/>
      <c r="L478" s="1020"/>
      <c r="M478" s="1020"/>
      <c r="N478" s="1020"/>
      <c r="O478" s="1020"/>
      <c r="P478" s="1020"/>
      <c r="Q478" s="1020"/>
      <c r="R478" s="1020"/>
      <c r="S478" s="1020"/>
      <c r="T478" s="1020"/>
      <c r="U478" s="1020"/>
      <c r="V478" s="1020"/>
      <c r="W478" s="1020"/>
      <c r="X478" s="1020"/>
      <c r="Y478" s="1020"/>
      <c r="Z478" s="1020"/>
      <c r="AA478" s="1020"/>
      <c r="AB478" s="1020"/>
      <c r="AC478" s="1020"/>
      <c r="AD478" s="1020"/>
      <c r="AE478" s="1020"/>
      <c r="AF478" s="1020"/>
      <c r="AG478" s="467"/>
      <c r="AH478" s="467"/>
    </row>
    <row r="479" ht="14.25" customHeight="1" spans="2:34">
      <c r="B479" s="1018"/>
      <c r="C479" s="1019"/>
      <c r="D479" s="1019"/>
      <c r="E479" s="1019"/>
      <c r="F479" s="1020"/>
      <c r="G479" s="1020"/>
      <c r="H479" s="1020"/>
      <c r="I479" s="1020"/>
      <c r="J479" s="1020"/>
      <c r="K479" s="1020"/>
      <c r="L479" s="1020"/>
      <c r="M479" s="1020"/>
      <c r="N479" s="1020"/>
      <c r="O479" s="1020"/>
      <c r="P479" s="1020"/>
      <c r="Q479" s="1020"/>
      <c r="R479" s="1020"/>
      <c r="S479" s="1020"/>
      <c r="T479" s="1020"/>
      <c r="U479" s="1020"/>
      <c r="V479" s="1020"/>
      <c r="W479" s="1020"/>
      <c r="X479" s="1020"/>
      <c r="Y479" s="1020"/>
      <c r="Z479" s="1020"/>
      <c r="AA479" s="1020"/>
      <c r="AB479" s="1020"/>
      <c r="AC479" s="1020"/>
      <c r="AD479" s="1020"/>
      <c r="AE479" s="1020"/>
      <c r="AF479" s="1020"/>
      <c r="AG479" s="467"/>
      <c r="AH479" s="467"/>
    </row>
    <row r="480" ht="14.25" customHeight="1" spans="2:34">
      <c r="B480" s="1018"/>
      <c r="C480" s="1019"/>
      <c r="D480" s="1019"/>
      <c r="E480" s="1019"/>
      <c r="F480" s="1020"/>
      <c r="G480" s="1020"/>
      <c r="H480" s="1020"/>
      <c r="I480" s="1020"/>
      <c r="J480" s="1020"/>
      <c r="K480" s="1020"/>
      <c r="L480" s="1020"/>
      <c r="M480" s="1020"/>
      <c r="N480" s="1020"/>
      <c r="O480" s="1020"/>
      <c r="P480" s="1020"/>
      <c r="Q480" s="1020"/>
      <c r="R480" s="1020"/>
      <c r="S480" s="1020"/>
      <c r="T480" s="1020"/>
      <c r="U480" s="1020"/>
      <c r="V480" s="1020"/>
      <c r="W480" s="1020"/>
      <c r="X480" s="1020"/>
      <c r="Y480" s="1020"/>
      <c r="Z480" s="1020"/>
      <c r="AA480" s="1020"/>
      <c r="AB480" s="1020"/>
      <c r="AC480" s="1020"/>
      <c r="AD480" s="1020"/>
      <c r="AE480" s="1020"/>
      <c r="AF480" s="1020"/>
      <c r="AG480" s="467"/>
      <c r="AH480" s="467"/>
    </row>
    <row r="481" ht="14.25" customHeight="1" spans="2:34">
      <c r="B481" s="1018"/>
      <c r="C481" s="1019"/>
      <c r="D481" s="1019"/>
      <c r="E481" s="1019"/>
      <c r="F481" s="1020"/>
      <c r="G481" s="1020"/>
      <c r="H481" s="1020"/>
      <c r="I481" s="1020"/>
      <c r="J481" s="1020"/>
      <c r="K481" s="1020"/>
      <c r="L481" s="1020"/>
      <c r="M481" s="1020"/>
      <c r="N481" s="1020"/>
      <c r="O481" s="1020"/>
      <c r="P481" s="1020"/>
      <c r="Q481" s="1020"/>
      <c r="R481" s="1020"/>
      <c r="S481" s="1020"/>
      <c r="T481" s="1020"/>
      <c r="U481" s="1020"/>
      <c r="V481" s="1020"/>
      <c r="W481" s="1020"/>
      <c r="X481" s="1020"/>
      <c r="Y481" s="1020"/>
      <c r="Z481" s="1020"/>
      <c r="AA481" s="1020"/>
      <c r="AB481" s="1020"/>
      <c r="AC481" s="1020"/>
      <c r="AD481" s="1020"/>
      <c r="AE481" s="1020"/>
      <c r="AF481" s="1020"/>
      <c r="AG481" s="467"/>
      <c r="AH481" s="467"/>
    </row>
    <row r="482" ht="14.25" customHeight="1" spans="2:34">
      <c r="B482" s="1018"/>
      <c r="C482" s="1019"/>
      <c r="D482" s="1019"/>
      <c r="E482" s="1019"/>
      <c r="F482" s="1020"/>
      <c r="G482" s="1020"/>
      <c r="H482" s="1020"/>
      <c r="I482" s="1020"/>
      <c r="J482" s="1020"/>
      <c r="K482" s="1020"/>
      <c r="L482" s="1020"/>
      <c r="M482" s="1020"/>
      <c r="N482" s="1020"/>
      <c r="O482" s="1020"/>
      <c r="P482" s="1020"/>
      <c r="Q482" s="1020"/>
      <c r="R482" s="1020"/>
      <c r="S482" s="1020"/>
      <c r="T482" s="1020"/>
      <c r="U482" s="1020"/>
      <c r="V482" s="1020"/>
      <c r="W482" s="1020"/>
      <c r="X482" s="1020"/>
      <c r="Y482" s="1020"/>
      <c r="Z482" s="1020"/>
      <c r="AA482" s="1020"/>
      <c r="AB482" s="1020"/>
      <c r="AC482" s="1020"/>
      <c r="AD482" s="1020"/>
      <c r="AE482" s="1020"/>
      <c r="AF482" s="1020"/>
      <c r="AG482" s="467"/>
      <c r="AH482" s="467"/>
    </row>
    <row r="483" ht="14.25" customHeight="1" spans="2:34">
      <c r="B483" s="1018"/>
      <c r="C483" s="1019"/>
      <c r="D483" s="1019"/>
      <c r="E483" s="1019"/>
      <c r="F483" s="1020"/>
      <c r="G483" s="1020"/>
      <c r="H483" s="1020"/>
      <c r="I483" s="1020"/>
      <c r="J483" s="1020"/>
      <c r="K483" s="1020"/>
      <c r="L483" s="1020"/>
      <c r="M483" s="1020"/>
      <c r="N483" s="1020"/>
      <c r="O483" s="1020"/>
      <c r="P483" s="1020"/>
      <c r="Q483" s="1020"/>
      <c r="R483" s="1020"/>
      <c r="S483" s="1020"/>
      <c r="T483" s="1020"/>
      <c r="U483" s="1020"/>
      <c r="V483" s="1020"/>
      <c r="W483" s="1020"/>
      <c r="X483" s="1020"/>
      <c r="Y483" s="1020"/>
      <c r="Z483" s="1020"/>
      <c r="AA483" s="1020"/>
      <c r="AB483" s="1020"/>
      <c r="AC483" s="1020"/>
      <c r="AD483" s="1020"/>
      <c r="AE483" s="1020"/>
      <c r="AF483" s="1020"/>
      <c r="AG483" s="467"/>
      <c r="AH483" s="467"/>
    </row>
    <row r="484" ht="14.25" customHeight="1" spans="2:34">
      <c r="B484" s="1018"/>
      <c r="C484" s="1019"/>
      <c r="D484" s="1019"/>
      <c r="E484" s="1019"/>
      <c r="F484" s="1020"/>
      <c r="G484" s="1020"/>
      <c r="H484" s="1020"/>
      <c r="I484" s="1020"/>
      <c r="J484" s="1020"/>
      <c r="K484" s="1020"/>
      <c r="L484" s="1020"/>
      <c r="M484" s="1020"/>
      <c r="N484" s="1020"/>
      <c r="O484" s="1020"/>
      <c r="P484" s="1020"/>
      <c r="Q484" s="1020"/>
      <c r="R484" s="1020"/>
      <c r="S484" s="1020"/>
      <c r="T484" s="1020"/>
      <c r="U484" s="1020"/>
      <c r="V484" s="1020"/>
      <c r="W484" s="1020"/>
      <c r="X484" s="1020"/>
      <c r="Y484" s="1020"/>
      <c r="Z484" s="1020"/>
      <c r="AA484" s="1020"/>
      <c r="AB484" s="1020"/>
      <c r="AC484" s="1020"/>
      <c r="AD484" s="1020"/>
      <c r="AE484" s="1020"/>
      <c r="AF484" s="1020"/>
      <c r="AG484" s="467"/>
      <c r="AH484" s="467"/>
    </row>
    <row r="485" ht="14.25" customHeight="1" spans="2:34">
      <c r="B485" s="1018"/>
      <c r="C485" s="1019"/>
      <c r="D485" s="1019"/>
      <c r="E485" s="1019"/>
      <c r="F485" s="1020"/>
      <c r="G485" s="1020"/>
      <c r="H485" s="1020"/>
      <c r="I485" s="1020"/>
      <c r="J485" s="1020"/>
      <c r="K485" s="1020"/>
      <c r="L485" s="1020"/>
      <c r="M485" s="1020"/>
      <c r="N485" s="1020"/>
      <c r="O485" s="1020"/>
      <c r="P485" s="1020"/>
      <c r="Q485" s="1020"/>
      <c r="R485" s="1020"/>
      <c r="S485" s="1020"/>
      <c r="T485" s="1020"/>
      <c r="U485" s="1020"/>
      <c r="V485" s="1020"/>
      <c r="W485" s="1020"/>
      <c r="X485" s="1020"/>
      <c r="Y485" s="1020"/>
      <c r="Z485" s="1020"/>
      <c r="AA485" s="1020"/>
      <c r="AB485" s="1020"/>
      <c r="AC485" s="1020"/>
      <c r="AD485" s="1020"/>
      <c r="AE485" s="1020"/>
      <c r="AF485" s="1020"/>
      <c r="AG485" s="467"/>
      <c r="AH485" s="467"/>
    </row>
    <row r="486" ht="14.25" customHeight="1" spans="2:34">
      <c r="B486" s="1018"/>
      <c r="C486" s="1019"/>
      <c r="D486" s="1019"/>
      <c r="E486" s="1019"/>
      <c r="F486" s="1020"/>
      <c r="G486" s="1020"/>
      <c r="H486" s="1020"/>
      <c r="I486" s="1020"/>
      <c r="J486" s="1020"/>
      <c r="K486" s="1020"/>
      <c r="L486" s="1020"/>
      <c r="M486" s="1020"/>
      <c r="N486" s="1020"/>
      <c r="O486" s="1020"/>
      <c r="P486" s="1020"/>
      <c r="Q486" s="1020"/>
      <c r="R486" s="1020"/>
      <c r="S486" s="1020"/>
      <c r="T486" s="1020"/>
      <c r="U486" s="1020"/>
      <c r="V486" s="1020"/>
      <c r="W486" s="1020"/>
      <c r="X486" s="1020"/>
      <c r="Y486" s="1020"/>
      <c r="Z486" s="1020"/>
      <c r="AA486" s="1020"/>
      <c r="AB486" s="1020"/>
      <c r="AC486" s="1020"/>
      <c r="AD486" s="1020"/>
      <c r="AE486" s="1020"/>
      <c r="AF486" s="1020"/>
      <c r="AG486" s="467"/>
      <c r="AH486" s="467"/>
    </row>
    <row r="487" ht="14.25" customHeight="1" spans="2:34">
      <c r="B487" s="1018"/>
      <c r="C487" s="1019"/>
      <c r="D487" s="1019"/>
      <c r="E487" s="1019"/>
      <c r="F487" s="1020"/>
      <c r="G487" s="1020"/>
      <c r="H487" s="1020"/>
      <c r="I487" s="1020"/>
      <c r="J487" s="1020"/>
      <c r="K487" s="1020"/>
      <c r="L487" s="1020"/>
      <c r="M487" s="1020"/>
      <c r="N487" s="1020"/>
      <c r="O487" s="1020"/>
      <c r="P487" s="1020"/>
      <c r="Q487" s="1020"/>
      <c r="R487" s="1020"/>
      <c r="S487" s="1020"/>
      <c r="T487" s="1020"/>
      <c r="U487" s="1020"/>
      <c r="V487" s="1020"/>
      <c r="W487" s="1020"/>
      <c r="X487" s="1020"/>
      <c r="Y487" s="1020"/>
      <c r="Z487" s="1020"/>
      <c r="AA487" s="1020"/>
      <c r="AB487" s="1020"/>
      <c r="AC487" s="1020"/>
      <c r="AD487" s="1020"/>
      <c r="AE487" s="1020"/>
      <c r="AF487" s="1020"/>
      <c r="AG487" s="467"/>
      <c r="AH487" s="467"/>
    </row>
    <row r="488" ht="14.25" customHeight="1" spans="2:34">
      <c r="B488" s="1018"/>
      <c r="C488" s="1019"/>
      <c r="D488" s="1019"/>
      <c r="E488" s="1019"/>
      <c r="F488" s="1020"/>
      <c r="G488" s="1020"/>
      <c r="H488" s="1020"/>
      <c r="I488" s="1020"/>
      <c r="J488" s="1020"/>
      <c r="K488" s="1020"/>
      <c r="L488" s="1020"/>
      <c r="M488" s="1020"/>
      <c r="N488" s="1020"/>
      <c r="O488" s="1020"/>
      <c r="P488" s="1020"/>
      <c r="Q488" s="1020"/>
      <c r="R488" s="1020"/>
      <c r="S488" s="1020"/>
      <c r="T488" s="1020"/>
      <c r="U488" s="1020"/>
      <c r="V488" s="1020"/>
      <c r="W488" s="1020"/>
      <c r="X488" s="1020"/>
      <c r="Y488" s="1020"/>
      <c r="Z488" s="1020"/>
      <c r="AA488" s="1020"/>
      <c r="AB488" s="1020"/>
      <c r="AC488" s="1020"/>
      <c r="AD488" s="1020"/>
      <c r="AE488" s="1020"/>
      <c r="AF488" s="1020"/>
      <c r="AG488" s="467"/>
      <c r="AH488" s="467"/>
    </row>
    <row r="489" ht="14.25" customHeight="1" spans="2:34">
      <c r="B489" s="1018"/>
      <c r="C489" s="1019"/>
      <c r="D489" s="1019"/>
      <c r="E489" s="1019"/>
      <c r="F489" s="1020"/>
      <c r="G489" s="1020"/>
      <c r="H489" s="1020"/>
      <c r="I489" s="1020"/>
      <c r="J489" s="1020"/>
      <c r="K489" s="1020"/>
      <c r="L489" s="1020"/>
      <c r="M489" s="1020"/>
      <c r="N489" s="1020"/>
      <c r="O489" s="1020"/>
      <c r="P489" s="1020"/>
      <c r="Q489" s="1020"/>
      <c r="R489" s="1020"/>
      <c r="S489" s="1020"/>
      <c r="T489" s="1020"/>
      <c r="U489" s="1020"/>
      <c r="V489" s="1020"/>
      <c r="W489" s="1020"/>
      <c r="X489" s="1020"/>
      <c r="Y489" s="1020"/>
      <c r="Z489" s="1020"/>
      <c r="AA489" s="1020"/>
      <c r="AB489" s="1020"/>
      <c r="AC489" s="1020"/>
      <c r="AD489" s="1020"/>
      <c r="AE489" s="1020"/>
      <c r="AF489" s="1020"/>
      <c r="AG489" s="467"/>
      <c r="AH489" s="467"/>
    </row>
    <row r="490" ht="14.25" customHeight="1" spans="2:34">
      <c r="B490" s="1018"/>
      <c r="C490" s="1019"/>
      <c r="D490" s="1019"/>
      <c r="E490" s="1019"/>
      <c r="F490" s="1020"/>
      <c r="G490" s="1020"/>
      <c r="H490" s="1020"/>
      <c r="I490" s="1020"/>
      <c r="J490" s="1020"/>
      <c r="K490" s="1020"/>
      <c r="L490" s="1020"/>
      <c r="M490" s="1020"/>
      <c r="N490" s="1020"/>
      <c r="O490" s="1020"/>
      <c r="P490" s="1020"/>
      <c r="Q490" s="1020"/>
      <c r="R490" s="1020"/>
      <c r="S490" s="1020"/>
      <c r="T490" s="1020"/>
      <c r="U490" s="1020"/>
      <c r="V490" s="1020"/>
      <c r="W490" s="1020"/>
      <c r="X490" s="1020"/>
      <c r="Y490" s="1020"/>
      <c r="Z490" s="1020"/>
      <c r="AA490" s="1020"/>
      <c r="AB490" s="1020"/>
      <c r="AC490" s="1020"/>
      <c r="AD490" s="1020"/>
      <c r="AE490" s="1020"/>
      <c r="AF490" s="1020"/>
      <c r="AG490" s="467"/>
      <c r="AH490" s="467"/>
    </row>
    <row r="491" ht="14.25" customHeight="1" spans="2:34">
      <c r="B491" s="1018"/>
      <c r="C491" s="1019"/>
      <c r="D491" s="1019"/>
      <c r="E491" s="1019"/>
      <c r="F491" s="1020"/>
      <c r="G491" s="1020"/>
      <c r="H491" s="1020"/>
      <c r="I491" s="1020"/>
      <c r="J491" s="1020"/>
      <c r="K491" s="1020"/>
      <c r="L491" s="1020"/>
      <c r="M491" s="1020"/>
      <c r="N491" s="1020"/>
      <c r="O491" s="1020"/>
      <c r="P491" s="1020"/>
      <c r="Q491" s="1020"/>
      <c r="R491" s="1020"/>
      <c r="S491" s="1020"/>
      <c r="T491" s="1020"/>
      <c r="U491" s="1020"/>
      <c r="V491" s="1020"/>
      <c r="W491" s="1020"/>
      <c r="X491" s="1020"/>
      <c r="Y491" s="1020"/>
      <c r="Z491" s="1020"/>
      <c r="AA491" s="1020"/>
      <c r="AB491" s="1020"/>
      <c r="AC491" s="1020"/>
      <c r="AD491" s="1020"/>
      <c r="AE491" s="1020"/>
      <c r="AF491" s="1020"/>
      <c r="AG491" s="467"/>
      <c r="AH491" s="467"/>
    </row>
    <row r="492" ht="14.25" customHeight="1" spans="2:34">
      <c r="B492" s="1018"/>
      <c r="C492" s="1019"/>
      <c r="D492" s="1019"/>
      <c r="E492" s="1019"/>
      <c r="F492" s="1020"/>
      <c r="G492" s="1020"/>
      <c r="H492" s="1020"/>
      <c r="I492" s="1020"/>
      <c r="J492" s="1020"/>
      <c r="K492" s="1020"/>
      <c r="L492" s="1020"/>
      <c r="M492" s="1020"/>
      <c r="N492" s="1020"/>
      <c r="O492" s="1020"/>
      <c r="P492" s="1020"/>
      <c r="Q492" s="1020"/>
      <c r="R492" s="1020"/>
      <c r="S492" s="1020"/>
      <c r="T492" s="1020"/>
      <c r="U492" s="1020"/>
      <c r="V492" s="1020"/>
      <c r="W492" s="1020"/>
      <c r="X492" s="1020"/>
      <c r="Y492" s="1020"/>
      <c r="Z492" s="1020"/>
      <c r="AA492" s="1020"/>
      <c r="AB492" s="1020"/>
      <c r="AC492" s="1020"/>
      <c r="AD492" s="1020"/>
      <c r="AE492" s="1020"/>
      <c r="AF492" s="1020"/>
      <c r="AG492" s="467"/>
      <c r="AH492" s="467"/>
    </row>
    <row r="493" ht="14.25" customHeight="1" spans="2:34">
      <c r="B493" s="1018"/>
      <c r="C493" s="1019"/>
      <c r="D493" s="1019"/>
      <c r="E493" s="1019"/>
      <c r="F493" s="1020"/>
      <c r="G493" s="1020"/>
      <c r="H493" s="1020"/>
      <c r="I493" s="1020"/>
      <c r="J493" s="1020"/>
      <c r="K493" s="1020"/>
      <c r="L493" s="1020"/>
      <c r="M493" s="1020"/>
      <c r="N493" s="1020"/>
      <c r="O493" s="1020"/>
      <c r="P493" s="1020"/>
      <c r="Q493" s="1020"/>
      <c r="R493" s="1020"/>
      <c r="S493" s="1020"/>
      <c r="T493" s="1020"/>
      <c r="U493" s="1020"/>
      <c r="V493" s="1020"/>
      <c r="W493" s="1020"/>
      <c r="X493" s="1020"/>
      <c r="Y493" s="1020"/>
      <c r="Z493" s="1020"/>
      <c r="AA493" s="1020"/>
      <c r="AB493" s="1020"/>
      <c r="AC493" s="1020"/>
      <c r="AD493" s="1020"/>
      <c r="AE493" s="1020"/>
      <c r="AF493" s="1020"/>
      <c r="AG493" s="467"/>
      <c r="AH493" s="467"/>
    </row>
    <row r="494" ht="14.25" customHeight="1" spans="2:34">
      <c r="B494" s="1018"/>
      <c r="C494" s="1019"/>
      <c r="D494" s="1019"/>
      <c r="E494" s="1019"/>
      <c r="F494" s="1020"/>
      <c r="G494" s="1020"/>
      <c r="H494" s="1020"/>
      <c r="I494" s="1020"/>
      <c r="J494" s="1020"/>
      <c r="K494" s="1020"/>
      <c r="L494" s="1020"/>
      <c r="M494" s="1020"/>
      <c r="N494" s="1020"/>
      <c r="O494" s="1020"/>
      <c r="P494" s="1020"/>
      <c r="Q494" s="1020"/>
      <c r="R494" s="1020"/>
      <c r="S494" s="1020"/>
      <c r="T494" s="1020"/>
      <c r="U494" s="1020"/>
      <c r="V494" s="1020"/>
      <c r="W494" s="1020"/>
      <c r="X494" s="1020"/>
      <c r="Y494" s="1020"/>
      <c r="Z494" s="1020"/>
      <c r="AA494" s="1020"/>
      <c r="AB494" s="1020"/>
      <c r="AC494" s="1020"/>
      <c r="AD494" s="1020"/>
      <c r="AE494" s="1020"/>
      <c r="AF494" s="1020"/>
      <c r="AG494" s="467"/>
      <c r="AH494" s="467"/>
    </row>
    <row r="495" ht="14.25" customHeight="1" spans="2:34">
      <c r="B495" s="1018"/>
      <c r="C495" s="1019"/>
      <c r="D495" s="1019"/>
      <c r="E495" s="1019"/>
      <c r="F495" s="1020"/>
      <c r="G495" s="1020"/>
      <c r="H495" s="1020"/>
      <c r="I495" s="1020"/>
      <c r="J495" s="1020"/>
      <c r="K495" s="1020"/>
      <c r="L495" s="1020"/>
      <c r="M495" s="1020"/>
      <c r="N495" s="1020"/>
      <c r="O495" s="1020"/>
      <c r="P495" s="1020"/>
      <c r="Q495" s="1020"/>
      <c r="R495" s="1020"/>
      <c r="S495" s="1020"/>
      <c r="T495" s="1020"/>
      <c r="U495" s="1020"/>
      <c r="V495" s="1020"/>
      <c r="W495" s="1020"/>
      <c r="X495" s="1020"/>
      <c r="Y495" s="1020"/>
      <c r="Z495" s="1020"/>
      <c r="AA495" s="1020"/>
      <c r="AB495" s="1020"/>
      <c r="AC495" s="1020"/>
      <c r="AD495" s="1020"/>
      <c r="AE495" s="1020"/>
      <c r="AF495" s="1020"/>
      <c r="AG495" s="467"/>
      <c r="AH495" s="467"/>
    </row>
    <row r="496" ht="14.25" customHeight="1" spans="2:34">
      <c r="B496" s="1018"/>
      <c r="C496" s="1019"/>
      <c r="D496" s="1019"/>
      <c r="E496" s="1019"/>
      <c r="F496" s="1020"/>
      <c r="G496" s="1020"/>
      <c r="H496" s="1020"/>
      <c r="I496" s="1020"/>
      <c r="J496" s="1020"/>
      <c r="K496" s="1020"/>
      <c r="L496" s="1020"/>
      <c r="M496" s="1020"/>
      <c r="N496" s="1020"/>
      <c r="O496" s="1020"/>
      <c r="P496" s="1020"/>
      <c r="Q496" s="1020"/>
      <c r="R496" s="1020"/>
      <c r="S496" s="1020"/>
      <c r="T496" s="1020"/>
      <c r="U496" s="1020"/>
      <c r="V496" s="1020"/>
      <c r="W496" s="1020"/>
      <c r="X496" s="1020"/>
      <c r="Y496" s="1020"/>
      <c r="Z496" s="1020"/>
      <c r="AA496" s="1020"/>
      <c r="AB496" s="1020"/>
      <c r="AC496" s="1020"/>
      <c r="AD496" s="1020"/>
      <c r="AE496" s="1020"/>
      <c r="AF496" s="1020"/>
      <c r="AG496" s="467"/>
      <c r="AH496" s="467"/>
    </row>
    <row r="497" ht="14.25" customHeight="1" spans="2:34">
      <c r="B497" s="1018"/>
      <c r="C497" s="1019"/>
      <c r="D497" s="1019"/>
      <c r="E497" s="1019"/>
      <c r="F497" s="1020"/>
      <c r="G497" s="1020"/>
      <c r="H497" s="1020"/>
      <c r="I497" s="1020"/>
      <c r="J497" s="1020"/>
      <c r="K497" s="1020"/>
      <c r="L497" s="1020"/>
      <c r="M497" s="1020"/>
      <c r="N497" s="1020"/>
      <c r="O497" s="1020"/>
      <c r="P497" s="1020"/>
      <c r="Q497" s="1020"/>
      <c r="R497" s="1020"/>
      <c r="S497" s="1020"/>
      <c r="T497" s="1020"/>
      <c r="U497" s="1020"/>
      <c r="V497" s="1020"/>
      <c r="W497" s="1020"/>
      <c r="X497" s="1020"/>
      <c r="Y497" s="1020"/>
      <c r="Z497" s="1020"/>
      <c r="AA497" s="1020"/>
      <c r="AB497" s="1020"/>
      <c r="AC497" s="1020"/>
      <c r="AD497" s="1020"/>
      <c r="AE497" s="1020"/>
      <c r="AF497" s="1020"/>
      <c r="AG497" s="467"/>
      <c r="AH497" s="467"/>
    </row>
    <row r="498" ht="14.25" customHeight="1" spans="2:34">
      <c r="B498" s="1018"/>
      <c r="C498" s="1019"/>
      <c r="D498" s="1019"/>
      <c r="E498" s="1019"/>
      <c r="F498" s="1020"/>
      <c r="G498" s="1020"/>
      <c r="H498" s="1020"/>
      <c r="I498" s="1020"/>
      <c r="J498" s="1020"/>
      <c r="K498" s="1020"/>
      <c r="L498" s="1020"/>
      <c r="M498" s="1020"/>
      <c r="N498" s="1020"/>
      <c r="O498" s="1020"/>
      <c r="P498" s="1020"/>
      <c r="Q498" s="1020"/>
      <c r="R498" s="1020"/>
      <c r="S498" s="1020"/>
      <c r="T498" s="1020"/>
      <c r="U498" s="1020"/>
      <c r="V498" s="1020"/>
      <c r="W498" s="1020"/>
      <c r="X498" s="1020"/>
      <c r="Y498" s="1020"/>
      <c r="Z498" s="1020"/>
      <c r="AA498" s="1020"/>
      <c r="AB498" s="1020"/>
      <c r="AC498" s="1020"/>
      <c r="AD498" s="1020"/>
      <c r="AE498" s="1020"/>
      <c r="AF498" s="1020"/>
      <c r="AG498" s="467"/>
      <c r="AH498" s="467"/>
    </row>
    <row r="499" ht="14.25" customHeight="1" spans="2:34">
      <c r="B499" s="1018"/>
      <c r="C499" s="1019"/>
      <c r="D499" s="1019"/>
      <c r="E499" s="1019"/>
      <c r="F499" s="1020"/>
      <c r="G499" s="1020"/>
      <c r="H499" s="1020"/>
      <c r="I499" s="1020"/>
      <c r="J499" s="1020"/>
      <c r="K499" s="1020"/>
      <c r="L499" s="1020"/>
      <c r="M499" s="1020"/>
      <c r="N499" s="1020"/>
      <c r="O499" s="1020"/>
      <c r="P499" s="1020"/>
      <c r="Q499" s="1020"/>
      <c r="R499" s="1020"/>
      <c r="S499" s="1020"/>
      <c r="T499" s="1020"/>
      <c r="U499" s="1020"/>
      <c r="V499" s="1020"/>
      <c r="W499" s="1020"/>
      <c r="X499" s="1020"/>
      <c r="Y499" s="1020"/>
      <c r="Z499" s="1020"/>
      <c r="AA499" s="1020"/>
      <c r="AB499" s="1020"/>
      <c r="AC499" s="1020"/>
      <c r="AD499" s="1020"/>
      <c r="AE499" s="1020"/>
      <c r="AF499" s="1020"/>
      <c r="AG499" s="467"/>
      <c r="AH499" s="467"/>
    </row>
    <row r="500" ht="14.25" customHeight="1" spans="2:34">
      <c r="B500" s="1018"/>
      <c r="C500" s="1019"/>
      <c r="D500" s="1019"/>
      <c r="E500" s="1019"/>
      <c r="F500" s="1020"/>
      <c r="G500" s="1020"/>
      <c r="H500" s="1020"/>
      <c r="I500" s="1020"/>
      <c r="J500" s="1020"/>
      <c r="K500" s="1020"/>
      <c r="L500" s="1020"/>
      <c r="M500" s="1020"/>
      <c r="N500" s="1020"/>
      <c r="O500" s="1020"/>
      <c r="P500" s="1020"/>
      <c r="Q500" s="1020"/>
      <c r="R500" s="1020"/>
      <c r="S500" s="1020"/>
      <c r="T500" s="1020"/>
      <c r="U500" s="1020"/>
      <c r="V500" s="1020"/>
      <c r="W500" s="1020"/>
      <c r="X500" s="1020"/>
      <c r="Y500" s="1020"/>
      <c r="Z500" s="1020"/>
      <c r="AA500" s="1020"/>
      <c r="AB500" s="1020"/>
      <c r="AC500" s="1020"/>
      <c r="AD500" s="1020"/>
      <c r="AE500" s="1020"/>
      <c r="AF500" s="1020"/>
      <c r="AG500" s="467"/>
      <c r="AH500" s="467"/>
    </row>
    <row r="501" ht="14.25" customHeight="1" spans="2:34">
      <c r="B501" s="1018"/>
      <c r="C501" s="1019"/>
      <c r="D501" s="1019"/>
      <c r="E501" s="1019"/>
      <c r="F501" s="1020"/>
      <c r="G501" s="1020"/>
      <c r="H501" s="1020"/>
      <c r="I501" s="1020"/>
      <c r="J501" s="1020"/>
      <c r="K501" s="1020"/>
      <c r="L501" s="1020"/>
      <c r="M501" s="1020"/>
      <c r="N501" s="1020"/>
      <c r="O501" s="1020"/>
      <c r="P501" s="1020"/>
      <c r="Q501" s="1020"/>
      <c r="R501" s="1020"/>
      <c r="S501" s="1020"/>
      <c r="T501" s="1020"/>
      <c r="U501" s="1020"/>
      <c r="V501" s="1020"/>
      <c r="W501" s="1020"/>
      <c r="X501" s="1020"/>
      <c r="Y501" s="1020"/>
      <c r="Z501" s="1020"/>
      <c r="AA501" s="1020"/>
      <c r="AB501" s="1020"/>
      <c r="AC501" s="1020"/>
      <c r="AD501" s="1020"/>
      <c r="AE501" s="1020"/>
      <c r="AF501" s="1020"/>
      <c r="AG501" s="467"/>
      <c r="AH501" s="467"/>
    </row>
    <row r="502" ht="14.25" customHeight="1" spans="2:34">
      <c r="B502" s="1018"/>
      <c r="C502" s="1019"/>
      <c r="D502" s="1019"/>
      <c r="E502" s="1019"/>
      <c r="F502" s="1020"/>
      <c r="G502" s="1020"/>
      <c r="H502" s="1020"/>
      <c r="I502" s="1020"/>
      <c r="J502" s="1020"/>
      <c r="K502" s="1020"/>
      <c r="L502" s="1020"/>
      <c r="M502" s="1020"/>
      <c r="N502" s="1020"/>
      <c r="O502" s="1020"/>
      <c r="P502" s="1020"/>
      <c r="Q502" s="1020"/>
      <c r="R502" s="1020"/>
      <c r="S502" s="1020"/>
      <c r="T502" s="1020"/>
      <c r="U502" s="1020"/>
      <c r="V502" s="1020"/>
      <c r="W502" s="1020"/>
      <c r="X502" s="1020"/>
      <c r="Y502" s="1020"/>
      <c r="Z502" s="1020"/>
      <c r="AA502" s="1020"/>
      <c r="AB502" s="1020"/>
      <c r="AC502" s="1020"/>
      <c r="AD502" s="1020"/>
      <c r="AE502" s="1020"/>
      <c r="AF502" s="1020"/>
      <c r="AG502" s="467"/>
      <c r="AH502" s="467"/>
    </row>
    <row r="503" ht="14.25" customHeight="1" spans="2:34">
      <c r="B503" s="1018"/>
      <c r="C503" s="1019"/>
      <c r="D503" s="1019"/>
      <c r="E503" s="1019"/>
      <c r="F503" s="1020"/>
      <c r="G503" s="1020"/>
      <c r="H503" s="1020"/>
      <c r="I503" s="1020"/>
      <c r="J503" s="1020"/>
      <c r="K503" s="1020"/>
      <c r="L503" s="1020"/>
      <c r="M503" s="1020"/>
      <c r="N503" s="1020"/>
      <c r="O503" s="1020"/>
      <c r="P503" s="1020"/>
      <c r="Q503" s="1020"/>
      <c r="R503" s="1020"/>
      <c r="S503" s="1020"/>
      <c r="T503" s="1020"/>
      <c r="U503" s="1020"/>
      <c r="V503" s="1020"/>
      <c r="W503" s="1020"/>
      <c r="X503" s="1020"/>
      <c r="Y503" s="1020"/>
      <c r="Z503" s="1020"/>
      <c r="AA503" s="1020"/>
      <c r="AB503" s="1020"/>
      <c r="AC503" s="1020"/>
      <c r="AD503" s="1020"/>
      <c r="AE503" s="1020"/>
      <c r="AF503" s="1020"/>
      <c r="AG503" s="467"/>
      <c r="AH503" s="467"/>
    </row>
    <row r="504" ht="14.25" customHeight="1" spans="2:34">
      <c r="B504" s="1018"/>
      <c r="C504" s="1019"/>
      <c r="D504" s="1019"/>
      <c r="E504" s="1019"/>
      <c r="F504" s="1020"/>
      <c r="G504" s="1020"/>
      <c r="H504" s="1020"/>
      <c r="I504" s="1020"/>
      <c r="J504" s="1020"/>
      <c r="K504" s="1020"/>
      <c r="L504" s="1020"/>
      <c r="M504" s="1020"/>
      <c r="N504" s="1020"/>
      <c r="O504" s="1020"/>
      <c r="P504" s="1020"/>
      <c r="Q504" s="1020"/>
      <c r="R504" s="1020"/>
      <c r="S504" s="1020"/>
      <c r="T504" s="1020"/>
      <c r="U504" s="1020"/>
      <c r="V504" s="1020"/>
      <c r="W504" s="1020"/>
      <c r="X504" s="1020"/>
      <c r="Y504" s="1020"/>
      <c r="Z504" s="1020"/>
      <c r="AA504" s="1020"/>
      <c r="AB504" s="1020"/>
      <c r="AC504" s="1020"/>
      <c r="AD504" s="1020"/>
      <c r="AE504" s="1020"/>
      <c r="AF504" s="1020"/>
      <c r="AG504" s="467"/>
      <c r="AH504" s="467"/>
    </row>
    <row r="505" ht="14.25" customHeight="1" spans="2:34">
      <c r="B505" s="1018"/>
      <c r="C505" s="1019"/>
      <c r="D505" s="1019"/>
      <c r="E505" s="1019"/>
      <c r="F505" s="1020"/>
      <c r="G505" s="1020"/>
      <c r="H505" s="1020"/>
      <c r="I505" s="1020"/>
      <c r="J505" s="1020"/>
      <c r="K505" s="1020"/>
      <c r="L505" s="1020"/>
      <c r="M505" s="1020"/>
      <c r="N505" s="1020"/>
      <c r="O505" s="1020"/>
      <c r="P505" s="1020"/>
      <c r="Q505" s="1020"/>
      <c r="R505" s="1020"/>
      <c r="S505" s="1020"/>
      <c r="T505" s="1020"/>
      <c r="U505" s="1020"/>
      <c r="V505" s="1020"/>
      <c r="W505" s="1020"/>
      <c r="X505" s="1020"/>
      <c r="Y505" s="1020"/>
      <c r="Z505" s="1020"/>
      <c r="AA505" s="1020"/>
      <c r="AB505" s="1020"/>
      <c r="AC505" s="1020"/>
      <c r="AD505" s="1020"/>
      <c r="AE505" s="1020"/>
      <c r="AF505" s="1020"/>
      <c r="AG505" s="467"/>
      <c r="AH505" s="467"/>
    </row>
    <row r="506" ht="14.25" customHeight="1" spans="2:34">
      <c r="B506" s="1018"/>
      <c r="C506" s="1019"/>
      <c r="D506" s="1019"/>
      <c r="E506" s="1019"/>
      <c r="F506" s="1020"/>
      <c r="G506" s="1020"/>
      <c r="H506" s="1020"/>
      <c r="I506" s="1020"/>
      <c r="J506" s="1020"/>
      <c r="K506" s="1020"/>
      <c r="L506" s="1020"/>
      <c r="M506" s="1020"/>
      <c r="N506" s="1020"/>
      <c r="O506" s="1020"/>
      <c r="P506" s="1020"/>
      <c r="Q506" s="1020"/>
      <c r="R506" s="1020"/>
      <c r="S506" s="1020"/>
      <c r="T506" s="1020"/>
      <c r="U506" s="1020"/>
      <c r="V506" s="1020"/>
      <c r="W506" s="1020"/>
      <c r="X506" s="1020"/>
      <c r="Y506" s="1020"/>
      <c r="Z506" s="1020"/>
      <c r="AA506" s="1020"/>
      <c r="AB506" s="1020"/>
      <c r="AC506" s="1020"/>
      <c r="AD506" s="1020"/>
      <c r="AE506" s="1020"/>
      <c r="AF506" s="1020"/>
      <c r="AG506" s="467"/>
      <c r="AH506" s="467"/>
    </row>
    <row r="507" ht="14.25" customHeight="1" spans="2:34">
      <c r="B507" s="1018"/>
      <c r="C507" s="1019"/>
      <c r="D507" s="1019"/>
      <c r="E507" s="1019"/>
      <c r="F507" s="1020"/>
      <c r="G507" s="1020"/>
      <c r="H507" s="1020"/>
      <c r="I507" s="1020"/>
      <c r="J507" s="1020"/>
      <c r="K507" s="1020"/>
      <c r="L507" s="1020"/>
      <c r="M507" s="1020"/>
      <c r="N507" s="1020"/>
      <c r="O507" s="1020"/>
      <c r="P507" s="1020"/>
      <c r="Q507" s="1020"/>
      <c r="R507" s="1020"/>
      <c r="S507" s="1020"/>
      <c r="T507" s="1020"/>
      <c r="U507" s="1020"/>
      <c r="V507" s="1020"/>
      <c r="W507" s="1020"/>
      <c r="X507" s="1020"/>
      <c r="Y507" s="1020"/>
      <c r="Z507" s="1020"/>
      <c r="AA507" s="1020"/>
      <c r="AB507" s="1020"/>
      <c r="AC507" s="1020"/>
      <c r="AD507" s="1020"/>
      <c r="AE507" s="1020"/>
      <c r="AF507" s="1020"/>
      <c r="AG507" s="467"/>
      <c r="AH507" s="467"/>
    </row>
    <row r="508" ht="14.25" customHeight="1" spans="2:34">
      <c r="B508" s="1018"/>
      <c r="C508" s="1019"/>
      <c r="D508" s="1019"/>
      <c r="E508" s="1019"/>
      <c r="F508" s="1020"/>
      <c r="G508" s="1020"/>
      <c r="H508" s="1020"/>
      <c r="I508" s="1020"/>
      <c r="J508" s="1020"/>
      <c r="K508" s="1020"/>
      <c r="L508" s="1020"/>
      <c r="M508" s="1020"/>
      <c r="N508" s="1020"/>
      <c r="O508" s="1020"/>
      <c r="P508" s="1020"/>
      <c r="Q508" s="1020"/>
      <c r="R508" s="1020"/>
      <c r="S508" s="1020"/>
      <c r="T508" s="1020"/>
      <c r="U508" s="1020"/>
      <c r="V508" s="1020"/>
      <c r="W508" s="1020"/>
      <c r="X508" s="1020"/>
      <c r="Y508" s="1020"/>
      <c r="Z508" s="1020"/>
      <c r="AA508" s="1020"/>
      <c r="AB508" s="1020"/>
      <c r="AC508" s="1020"/>
      <c r="AD508" s="1020"/>
      <c r="AE508" s="1020"/>
      <c r="AF508" s="1020"/>
      <c r="AG508" s="467"/>
      <c r="AH508" s="467"/>
    </row>
    <row r="509" ht="14.25" customHeight="1" spans="2:34">
      <c r="B509" s="1018"/>
      <c r="C509" s="1019"/>
      <c r="D509" s="1019"/>
      <c r="E509" s="1019"/>
      <c r="F509" s="1020"/>
      <c r="G509" s="1020"/>
      <c r="H509" s="1020"/>
      <c r="I509" s="1020"/>
      <c r="J509" s="1020"/>
      <c r="K509" s="1020"/>
      <c r="L509" s="1020"/>
      <c r="M509" s="1020"/>
      <c r="N509" s="1020"/>
      <c r="O509" s="1020"/>
      <c r="P509" s="1020"/>
      <c r="Q509" s="1020"/>
      <c r="R509" s="1020"/>
      <c r="S509" s="1020"/>
      <c r="T509" s="1020"/>
      <c r="U509" s="1020"/>
      <c r="V509" s="1020"/>
      <c r="W509" s="1020"/>
      <c r="X509" s="1020"/>
      <c r="Y509" s="1020"/>
      <c r="Z509" s="1020"/>
      <c r="AA509" s="1020"/>
      <c r="AB509" s="1020"/>
      <c r="AC509" s="1020"/>
      <c r="AD509" s="1020"/>
      <c r="AE509" s="1020"/>
      <c r="AF509" s="1020"/>
      <c r="AG509" s="467"/>
      <c r="AH509" s="467"/>
    </row>
    <row r="510" ht="14.25" customHeight="1" spans="2:34">
      <c r="B510" s="1018"/>
      <c r="C510" s="1019"/>
      <c r="D510" s="1019"/>
      <c r="E510" s="1019"/>
      <c r="F510" s="1020"/>
      <c r="G510" s="1020"/>
      <c r="H510" s="1020"/>
      <c r="I510" s="1020"/>
      <c r="J510" s="1020"/>
      <c r="K510" s="1020"/>
      <c r="L510" s="1020"/>
      <c r="M510" s="1020"/>
      <c r="N510" s="1020"/>
      <c r="O510" s="1020"/>
      <c r="P510" s="1020"/>
      <c r="Q510" s="1020"/>
      <c r="R510" s="1020"/>
      <c r="S510" s="1020"/>
      <c r="T510" s="1020"/>
      <c r="U510" s="1020"/>
      <c r="V510" s="1020"/>
      <c r="W510" s="1020"/>
      <c r="X510" s="1020"/>
      <c r="Y510" s="1020"/>
      <c r="Z510" s="1020"/>
      <c r="AA510" s="1020"/>
      <c r="AB510" s="1020"/>
      <c r="AC510" s="1020"/>
      <c r="AD510" s="1020"/>
      <c r="AE510" s="1020"/>
      <c r="AF510" s="1020"/>
      <c r="AG510" s="467"/>
      <c r="AH510" s="467"/>
    </row>
    <row r="511" ht="14.25" customHeight="1" spans="2:34">
      <c r="B511" s="1018"/>
      <c r="C511" s="1019"/>
      <c r="D511" s="1019"/>
      <c r="E511" s="1019"/>
      <c r="F511" s="1020"/>
      <c r="G511" s="1020"/>
      <c r="H511" s="1020"/>
      <c r="I511" s="1020"/>
      <c r="J511" s="1020"/>
      <c r="K511" s="1020"/>
      <c r="L511" s="1020"/>
      <c r="M511" s="1020"/>
      <c r="N511" s="1020"/>
      <c r="O511" s="1020"/>
      <c r="P511" s="1020"/>
      <c r="Q511" s="1020"/>
      <c r="R511" s="1020"/>
      <c r="S511" s="1020"/>
      <c r="T511" s="1020"/>
      <c r="U511" s="1020"/>
      <c r="V511" s="1020"/>
      <c r="W511" s="1020"/>
      <c r="X511" s="1020"/>
      <c r="Y511" s="1020"/>
      <c r="Z511" s="1020"/>
      <c r="AA511" s="1020"/>
      <c r="AB511" s="1020"/>
      <c r="AC511" s="1020"/>
      <c r="AD511" s="1020"/>
      <c r="AE511" s="1020"/>
      <c r="AF511" s="1020"/>
      <c r="AG511" s="467"/>
      <c r="AH511" s="467"/>
    </row>
    <row r="512" ht="14.25" customHeight="1" spans="2:34">
      <c r="B512" s="1018"/>
      <c r="C512" s="1019"/>
      <c r="D512" s="1019"/>
      <c r="E512" s="1019"/>
      <c r="F512" s="1020"/>
      <c r="G512" s="1020"/>
      <c r="H512" s="1020"/>
      <c r="I512" s="1020"/>
      <c r="J512" s="1020"/>
      <c r="K512" s="1020"/>
      <c r="L512" s="1020"/>
      <c r="M512" s="1020"/>
      <c r="N512" s="1020"/>
      <c r="O512" s="1020"/>
      <c r="P512" s="1020"/>
      <c r="Q512" s="1020"/>
      <c r="R512" s="1020"/>
      <c r="S512" s="1020"/>
      <c r="T512" s="1020"/>
      <c r="U512" s="1020"/>
      <c r="V512" s="1020"/>
      <c r="W512" s="1020"/>
      <c r="X512" s="1020"/>
      <c r="Y512" s="1020"/>
      <c r="Z512" s="1020"/>
      <c r="AA512" s="1020"/>
      <c r="AB512" s="1020"/>
      <c r="AC512" s="1020"/>
      <c r="AD512" s="1020"/>
      <c r="AE512" s="1020"/>
      <c r="AF512" s="1020"/>
      <c r="AG512" s="467"/>
      <c r="AH512" s="467"/>
    </row>
    <row r="513" ht="14.25" customHeight="1" spans="2:34">
      <c r="B513" s="1018"/>
      <c r="C513" s="1019"/>
      <c r="D513" s="1019"/>
      <c r="E513" s="1019"/>
      <c r="F513" s="1020"/>
      <c r="G513" s="1020"/>
      <c r="H513" s="1020"/>
      <c r="I513" s="1020"/>
      <c r="J513" s="1020"/>
      <c r="K513" s="1020"/>
      <c r="L513" s="1020"/>
      <c r="M513" s="1020"/>
      <c r="N513" s="1020"/>
      <c r="O513" s="1020"/>
      <c r="P513" s="1020"/>
      <c r="Q513" s="1020"/>
      <c r="R513" s="1020"/>
      <c r="S513" s="1020"/>
      <c r="T513" s="1020"/>
      <c r="U513" s="1020"/>
      <c r="V513" s="1020"/>
      <c r="W513" s="1020"/>
      <c r="X513" s="1020"/>
      <c r="Y513" s="1020"/>
      <c r="Z513" s="1020"/>
      <c r="AA513" s="1020"/>
      <c r="AB513" s="1020"/>
      <c r="AC513" s="1020"/>
      <c r="AD513" s="1020"/>
      <c r="AE513" s="1020"/>
      <c r="AF513" s="1020"/>
      <c r="AG513" s="467"/>
      <c r="AH513" s="467"/>
    </row>
    <row r="514" ht="14.25" customHeight="1" spans="2:34">
      <c r="B514" s="1018"/>
      <c r="C514" s="1019"/>
      <c r="D514" s="1019"/>
      <c r="E514" s="1019"/>
      <c r="F514" s="1020"/>
      <c r="G514" s="1020"/>
      <c r="H514" s="1020"/>
      <c r="I514" s="1020"/>
      <c r="J514" s="1020"/>
      <c r="K514" s="1020"/>
      <c r="L514" s="1020"/>
      <c r="M514" s="1020"/>
      <c r="N514" s="1020"/>
      <c r="O514" s="1020"/>
      <c r="P514" s="1020"/>
      <c r="Q514" s="1020"/>
      <c r="R514" s="1020"/>
      <c r="S514" s="1020"/>
      <c r="T514" s="1020"/>
      <c r="U514" s="1020"/>
      <c r="V514" s="1020"/>
      <c r="W514" s="1020"/>
      <c r="X514" s="1020"/>
      <c r="Y514" s="1020"/>
      <c r="Z514" s="1020"/>
      <c r="AA514" s="1020"/>
      <c r="AB514" s="1020"/>
      <c r="AC514" s="1020"/>
      <c r="AD514" s="1020"/>
      <c r="AE514" s="1020"/>
      <c r="AF514" s="1020"/>
      <c r="AG514" s="467"/>
      <c r="AH514" s="467"/>
    </row>
    <row r="515" ht="14.25" customHeight="1" spans="2:34">
      <c r="B515" s="1018"/>
      <c r="C515" s="1019"/>
      <c r="D515" s="1019"/>
      <c r="E515" s="1019"/>
      <c r="F515" s="1020"/>
      <c r="G515" s="1020"/>
      <c r="H515" s="1020"/>
      <c r="I515" s="1020"/>
      <c r="J515" s="1020"/>
      <c r="K515" s="1020"/>
      <c r="L515" s="1020"/>
      <c r="M515" s="1020"/>
      <c r="N515" s="1020"/>
      <c r="O515" s="1020"/>
      <c r="P515" s="1020"/>
      <c r="Q515" s="1020"/>
      <c r="R515" s="1020"/>
      <c r="S515" s="1020"/>
      <c r="T515" s="1020"/>
      <c r="U515" s="1020"/>
      <c r="V515" s="1020"/>
      <c r="W515" s="1020"/>
      <c r="X515" s="1020"/>
      <c r="Y515" s="1020"/>
      <c r="Z515" s="1020"/>
      <c r="AA515" s="1020"/>
      <c r="AB515" s="1020"/>
      <c r="AC515" s="1020"/>
      <c r="AD515" s="1020"/>
      <c r="AE515" s="1020"/>
      <c r="AF515" s="1020"/>
      <c r="AG515" s="467"/>
      <c r="AH515" s="467"/>
    </row>
    <row r="516" ht="14.25" customHeight="1" spans="2:34">
      <c r="B516" s="1018"/>
      <c r="C516" s="1019"/>
      <c r="D516" s="1019"/>
      <c r="E516" s="1019"/>
      <c r="F516" s="1020"/>
      <c r="G516" s="1020"/>
      <c r="H516" s="1020"/>
      <c r="I516" s="1020"/>
      <c r="J516" s="1020"/>
      <c r="K516" s="1020"/>
      <c r="L516" s="1020"/>
      <c r="M516" s="1020"/>
      <c r="N516" s="1020"/>
      <c r="O516" s="1020"/>
      <c r="P516" s="1020"/>
      <c r="Q516" s="1020"/>
      <c r="R516" s="1020"/>
      <c r="S516" s="1020"/>
      <c r="T516" s="1020"/>
      <c r="U516" s="1020"/>
      <c r="V516" s="1020"/>
      <c r="W516" s="1020"/>
      <c r="X516" s="1020"/>
      <c r="Y516" s="1020"/>
      <c r="Z516" s="1020"/>
      <c r="AA516" s="1020"/>
      <c r="AB516" s="1020"/>
      <c r="AC516" s="1020"/>
      <c r="AD516" s="1020"/>
      <c r="AE516" s="1020"/>
      <c r="AF516" s="1020"/>
      <c r="AG516" s="467"/>
      <c r="AH516" s="467"/>
    </row>
    <row r="517" ht="14.25" customHeight="1" spans="2:34">
      <c r="B517" s="1018"/>
      <c r="C517" s="1019"/>
      <c r="D517" s="1019"/>
      <c r="E517" s="1019"/>
      <c r="F517" s="1020"/>
      <c r="G517" s="1020"/>
      <c r="H517" s="1020"/>
      <c r="I517" s="1020"/>
      <c r="J517" s="1020"/>
      <c r="K517" s="1020"/>
      <c r="L517" s="1020"/>
      <c r="M517" s="1020"/>
      <c r="N517" s="1020"/>
      <c r="O517" s="1020"/>
      <c r="P517" s="1020"/>
      <c r="Q517" s="1020"/>
      <c r="R517" s="1020"/>
      <c r="S517" s="1020"/>
      <c r="T517" s="1020"/>
      <c r="U517" s="1020"/>
      <c r="V517" s="1020"/>
      <c r="W517" s="1020"/>
      <c r="X517" s="1020"/>
      <c r="Y517" s="1020"/>
      <c r="Z517" s="1020"/>
      <c r="AA517" s="1020"/>
      <c r="AB517" s="1020"/>
      <c r="AC517" s="1020"/>
      <c r="AD517" s="1020"/>
      <c r="AE517" s="1020"/>
      <c r="AF517" s="1020"/>
      <c r="AG517" s="467"/>
      <c r="AH517" s="467"/>
    </row>
    <row r="518" ht="14.25" customHeight="1" spans="2:34">
      <c r="B518" s="1018"/>
      <c r="C518" s="1019"/>
      <c r="D518" s="1019"/>
      <c r="E518" s="1019"/>
      <c r="F518" s="1020"/>
      <c r="G518" s="1020"/>
      <c r="H518" s="1020"/>
      <c r="I518" s="1020"/>
      <c r="J518" s="1020"/>
      <c r="K518" s="1020"/>
      <c r="L518" s="1020"/>
      <c r="M518" s="1020"/>
      <c r="N518" s="1020"/>
      <c r="O518" s="1020"/>
      <c r="P518" s="1020"/>
      <c r="Q518" s="1020"/>
      <c r="R518" s="1020"/>
      <c r="S518" s="1020"/>
      <c r="T518" s="1020"/>
      <c r="U518" s="1020"/>
      <c r="V518" s="1020"/>
      <c r="W518" s="1020"/>
      <c r="X518" s="1020"/>
      <c r="Y518" s="1020"/>
      <c r="Z518" s="1020"/>
      <c r="AA518" s="1020"/>
      <c r="AB518" s="1020"/>
      <c r="AC518" s="1020"/>
      <c r="AD518" s="1020"/>
      <c r="AE518" s="1020"/>
      <c r="AF518" s="1020"/>
      <c r="AG518" s="467"/>
      <c r="AH518" s="467"/>
    </row>
    <row r="519" ht="14.25" customHeight="1" spans="2:34">
      <c r="B519" s="1018"/>
      <c r="C519" s="1019"/>
      <c r="D519" s="1019"/>
      <c r="E519" s="1019"/>
      <c r="F519" s="1020"/>
      <c r="G519" s="1020"/>
      <c r="H519" s="1020"/>
      <c r="I519" s="1020"/>
      <c r="J519" s="1020"/>
      <c r="K519" s="1020"/>
      <c r="L519" s="1020"/>
      <c r="M519" s="1020"/>
      <c r="N519" s="1020"/>
      <c r="O519" s="1020"/>
      <c r="P519" s="1020"/>
      <c r="Q519" s="1020"/>
      <c r="R519" s="1020"/>
      <c r="S519" s="1020"/>
      <c r="T519" s="1020"/>
      <c r="U519" s="1020"/>
      <c r="V519" s="1020"/>
      <c r="W519" s="1020"/>
      <c r="X519" s="1020"/>
      <c r="Y519" s="1020"/>
      <c r="Z519" s="1020"/>
      <c r="AA519" s="1020"/>
      <c r="AB519" s="1020"/>
      <c r="AC519" s="1020"/>
      <c r="AD519" s="1020"/>
      <c r="AE519" s="1020"/>
      <c r="AF519" s="1020"/>
      <c r="AG519" s="467"/>
      <c r="AH519" s="467"/>
    </row>
    <row r="520" ht="14.25" customHeight="1" spans="2:34">
      <c r="B520" s="1018"/>
      <c r="C520" s="1019"/>
      <c r="D520" s="1019"/>
      <c r="E520" s="1019"/>
      <c r="F520" s="1020"/>
      <c r="G520" s="1020"/>
      <c r="H520" s="1020"/>
      <c r="I520" s="1020"/>
      <c r="J520" s="1020"/>
      <c r="K520" s="1020"/>
      <c r="L520" s="1020"/>
      <c r="M520" s="1020"/>
      <c r="N520" s="1020"/>
      <c r="O520" s="1020"/>
      <c r="P520" s="1020"/>
      <c r="Q520" s="1020"/>
      <c r="R520" s="1020"/>
      <c r="S520" s="1020"/>
      <c r="T520" s="1020"/>
      <c r="U520" s="1020"/>
      <c r="V520" s="1020"/>
      <c r="W520" s="1020"/>
      <c r="X520" s="1020"/>
      <c r="Y520" s="1020"/>
      <c r="Z520" s="1020"/>
      <c r="AA520" s="1020"/>
      <c r="AB520" s="1020"/>
      <c r="AC520" s="1020"/>
      <c r="AD520" s="1020"/>
      <c r="AE520" s="1020"/>
      <c r="AF520" s="1020"/>
      <c r="AG520" s="467"/>
      <c r="AH520" s="467"/>
    </row>
    <row r="521" ht="14.25" customHeight="1" spans="2:34">
      <c r="B521" s="1018"/>
      <c r="C521" s="1019"/>
      <c r="D521" s="1019"/>
      <c r="E521" s="1019"/>
      <c r="F521" s="1020"/>
      <c r="G521" s="1020"/>
      <c r="H521" s="1020"/>
      <c r="I521" s="1020"/>
      <c r="J521" s="1020"/>
      <c r="K521" s="1020"/>
      <c r="L521" s="1020"/>
      <c r="M521" s="1020"/>
      <c r="N521" s="1020"/>
      <c r="O521" s="1020"/>
      <c r="P521" s="1020"/>
      <c r="Q521" s="1020"/>
      <c r="R521" s="1020"/>
      <c r="S521" s="1020"/>
      <c r="T521" s="1020"/>
      <c r="U521" s="1020"/>
      <c r="V521" s="1020"/>
      <c r="W521" s="1020"/>
      <c r="X521" s="1020"/>
      <c r="Y521" s="1020"/>
      <c r="Z521" s="1020"/>
      <c r="AA521" s="1020"/>
      <c r="AB521" s="1020"/>
      <c r="AC521" s="1020"/>
      <c r="AD521" s="1020"/>
      <c r="AE521" s="1020"/>
      <c r="AF521" s="1020"/>
      <c r="AG521" s="467"/>
      <c r="AH521" s="467"/>
    </row>
    <row r="522" ht="14.25" customHeight="1" spans="2:34">
      <c r="B522" s="1018"/>
      <c r="C522" s="1019"/>
      <c r="D522" s="1019"/>
      <c r="E522" s="1019"/>
      <c r="F522" s="1020"/>
      <c r="G522" s="1020"/>
      <c r="H522" s="1020"/>
      <c r="I522" s="1020"/>
      <c r="J522" s="1020"/>
      <c r="K522" s="1020"/>
      <c r="L522" s="1020"/>
      <c r="M522" s="1020"/>
      <c r="N522" s="1020"/>
      <c r="O522" s="1020"/>
      <c r="P522" s="1020"/>
      <c r="Q522" s="1020"/>
      <c r="R522" s="1020"/>
      <c r="S522" s="1020"/>
      <c r="T522" s="1020"/>
      <c r="U522" s="1020"/>
      <c r="V522" s="1020"/>
      <c r="W522" s="1020"/>
      <c r="X522" s="1020"/>
      <c r="Y522" s="1020"/>
      <c r="Z522" s="1020"/>
      <c r="AA522" s="1020"/>
      <c r="AB522" s="1020"/>
      <c r="AC522" s="1020"/>
      <c r="AD522" s="1020"/>
      <c r="AE522" s="1020"/>
      <c r="AF522" s="1020"/>
      <c r="AG522" s="467"/>
      <c r="AH522" s="467"/>
    </row>
    <row r="523" ht="14.25" customHeight="1" spans="2:34">
      <c r="B523" s="1018"/>
      <c r="C523" s="1019"/>
      <c r="D523" s="1019"/>
      <c r="E523" s="1019"/>
      <c r="F523" s="1020"/>
      <c r="G523" s="1020"/>
      <c r="H523" s="1020"/>
      <c r="I523" s="1020"/>
      <c r="J523" s="1020"/>
      <c r="K523" s="1020"/>
      <c r="L523" s="1020"/>
      <c r="M523" s="1020"/>
      <c r="N523" s="1020"/>
      <c r="O523" s="1020"/>
      <c r="P523" s="1020"/>
      <c r="Q523" s="1020"/>
      <c r="R523" s="1020"/>
      <c r="S523" s="1020"/>
      <c r="T523" s="1020"/>
      <c r="U523" s="1020"/>
      <c r="V523" s="1020"/>
      <c r="W523" s="1020"/>
      <c r="X523" s="1020"/>
      <c r="Y523" s="1020"/>
      <c r="Z523" s="1020"/>
      <c r="AA523" s="1020"/>
      <c r="AB523" s="1020"/>
      <c r="AC523" s="1020"/>
      <c r="AD523" s="1020"/>
      <c r="AE523" s="1020"/>
      <c r="AF523" s="1020"/>
      <c r="AG523" s="467"/>
      <c r="AH523" s="467"/>
    </row>
    <row r="524" ht="14.25" customHeight="1" spans="2:34">
      <c r="B524" s="1018"/>
      <c r="C524" s="1019"/>
      <c r="D524" s="1019"/>
      <c r="E524" s="1019"/>
      <c r="F524" s="1020"/>
      <c r="G524" s="1020"/>
      <c r="H524" s="1020"/>
      <c r="I524" s="1020"/>
      <c r="J524" s="1020"/>
      <c r="K524" s="1020"/>
      <c r="L524" s="1020"/>
      <c r="M524" s="1020"/>
      <c r="N524" s="1020"/>
      <c r="O524" s="1020"/>
      <c r="P524" s="1020"/>
      <c r="Q524" s="1020"/>
      <c r="R524" s="1020"/>
      <c r="S524" s="1020"/>
      <c r="T524" s="1020"/>
      <c r="U524" s="1020"/>
      <c r="V524" s="1020"/>
      <c r="W524" s="1020"/>
      <c r="X524" s="1020"/>
      <c r="Y524" s="1020"/>
      <c r="Z524" s="1020"/>
      <c r="AA524" s="1020"/>
      <c r="AB524" s="1020"/>
      <c r="AC524" s="1020"/>
      <c r="AD524" s="1020"/>
      <c r="AE524" s="1020"/>
      <c r="AF524" s="1020"/>
      <c r="AG524" s="467"/>
      <c r="AH524" s="467"/>
    </row>
    <row r="525" ht="14.25" customHeight="1" spans="2:34">
      <c r="B525" s="1018"/>
      <c r="C525" s="1019"/>
      <c r="D525" s="1019"/>
      <c r="E525" s="1019"/>
      <c r="F525" s="1020"/>
      <c r="G525" s="1020"/>
      <c r="H525" s="1020"/>
      <c r="I525" s="1020"/>
      <c r="J525" s="1020"/>
      <c r="K525" s="1020"/>
      <c r="L525" s="1020"/>
      <c r="M525" s="1020"/>
      <c r="N525" s="1020"/>
      <c r="O525" s="1020"/>
      <c r="P525" s="1020"/>
      <c r="Q525" s="1020"/>
      <c r="R525" s="1020"/>
      <c r="S525" s="1020"/>
      <c r="T525" s="1020"/>
      <c r="U525" s="1020"/>
      <c r="V525" s="1020"/>
      <c r="W525" s="1020"/>
      <c r="X525" s="1020"/>
      <c r="Y525" s="1020"/>
      <c r="Z525" s="1020"/>
      <c r="AA525" s="1020"/>
      <c r="AB525" s="1020"/>
      <c r="AC525" s="1020"/>
      <c r="AD525" s="1020"/>
      <c r="AE525" s="1020"/>
      <c r="AF525" s="1020"/>
      <c r="AG525" s="467"/>
      <c r="AH525" s="467"/>
    </row>
    <row r="526" ht="14.25" customHeight="1" spans="2:34">
      <c r="B526" s="1018"/>
      <c r="C526" s="1019"/>
      <c r="D526" s="1019"/>
      <c r="E526" s="1019"/>
      <c r="F526" s="1020"/>
      <c r="G526" s="1020"/>
      <c r="H526" s="1020"/>
      <c r="I526" s="1020"/>
      <c r="J526" s="1020"/>
      <c r="K526" s="1020"/>
      <c r="L526" s="1020"/>
      <c r="M526" s="1020"/>
      <c r="N526" s="1020"/>
      <c r="O526" s="1020"/>
      <c r="P526" s="1020"/>
      <c r="Q526" s="1020"/>
      <c r="R526" s="1020"/>
      <c r="S526" s="1020"/>
      <c r="T526" s="1020"/>
      <c r="U526" s="1020"/>
      <c r="V526" s="1020"/>
      <c r="W526" s="1020"/>
      <c r="X526" s="1020"/>
      <c r="Y526" s="1020"/>
      <c r="Z526" s="1020"/>
      <c r="AA526" s="1020"/>
      <c r="AB526" s="1020"/>
      <c r="AC526" s="1020"/>
      <c r="AD526" s="1020"/>
      <c r="AE526" s="1020"/>
      <c r="AF526" s="1020"/>
      <c r="AG526" s="467"/>
      <c r="AH526" s="467"/>
    </row>
    <row r="527" ht="14.25" customHeight="1" spans="2:34">
      <c r="B527" s="1018"/>
      <c r="C527" s="1019"/>
      <c r="D527" s="1019"/>
      <c r="E527" s="1019"/>
      <c r="F527" s="1020"/>
      <c r="G527" s="1020"/>
      <c r="H527" s="1020"/>
      <c r="I527" s="1020"/>
      <c r="J527" s="1020"/>
      <c r="K527" s="1020"/>
      <c r="L527" s="1020"/>
      <c r="M527" s="1020"/>
      <c r="N527" s="1020"/>
      <c r="O527" s="1020"/>
      <c r="P527" s="1020"/>
      <c r="Q527" s="1020"/>
      <c r="R527" s="1020"/>
      <c r="S527" s="1020"/>
      <c r="T527" s="1020"/>
      <c r="U527" s="1020"/>
      <c r="V527" s="1020"/>
      <c r="W527" s="1020"/>
      <c r="X527" s="1020"/>
      <c r="Y527" s="1020"/>
      <c r="Z527" s="1020"/>
      <c r="AA527" s="1020"/>
      <c r="AB527" s="1020"/>
      <c r="AC527" s="1020"/>
      <c r="AD527" s="1020"/>
      <c r="AE527" s="1020"/>
      <c r="AF527" s="1020"/>
      <c r="AG527" s="467"/>
      <c r="AH527" s="467"/>
    </row>
    <row r="528" ht="14.25" customHeight="1" spans="2:34">
      <c r="B528" s="1018"/>
      <c r="C528" s="1019"/>
      <c r="D528" s="1019"/>
      <c r="E528" s="1019"/>
      <c r="F528" s="1020"/>
      <c r="G528" s="1020"/>
      <c r="H528" s="1020"/>
      <c r="I528" s="1020"/>
      <c r="J528" s="1020"/>
      <c r="K528" s="1020"/>
      <c r="L528" s="1020"/>
      <c r="M528" s="1020"/>
      <c r="N528" s="1020"/>
      <c r="O528" s="1020"/>
      <c r="P528" s="1020"/>
      <c r="Q528" s="1020"/>
      <c r="R528" s="1020"/>
      <c r="S528" s="1020"/>
      <c r="T528" s="1020"/>
      <c r="U528" s="1020"/>
      <c r="V528" s="1020"/>
      <c r="W528" s="1020"/>
      <c r="X528" s="1020"/>
      <c r="Y528" s="1020"/>
      <c r="Z528" s="1020"/>
      <c r="AA528" s="1020"/>
      <c r="AB528" s="1020"/>
      <c r="AC528" s="1020"/>
      <c r="AD528" s="1020"/>
      <c r="AE528" s="1020"/>
      <c r="AF528" s="1020"/>
      <c r="AG528" s="467"/>
      <c r="AH528" s="467"/>
    </row>
    <row r="529" ht="14.25" customHeight="1" spans="2:34">
      <c r="B529" s="1018"/>
      <c r="C529" s="1019"/>
      <c r="D529" s="1019"/>
      <c r="E529" s="1019"/>
      <c r="F529" s="1020"/>
      <c r="G529" s="1020"/>
      <c r="H529" s="1020"/>
      <c r="I529" s="1020"/>
      <c r="J529" s="1020"/>
      <c r="K529" s="1020"/>
      <c r="L529" s="1020"/>
      <c r="M529" s="1020"/>
      <c r="N529" s="1020"/>
      <c r="O529" s="1020"/>
      <c r="P529" s="1020"/>
      <c r="Q529" s="1020"/>
      <c r="R529" s="1020"/>
      <c r="S529" s="1020"/>
      <c r="T529" s="1020"/>
      <c r="U529" s="1020"/>
      <c r="V529" s="1020"/>
      <c r="W529" s="1020"/>
      <c r="X529" s="1020"/>
      <c r="Y529" s="1020"/>
      <c r="Z529" s="1020"/>
      <c r="AA529" s="1020"/>
      <c r="AB529" s="1020"/>
      <c r="AC529" s="1020"/>
      <c r="AD529" s="1020"/>
      <c r="AE529" s="1020"/>
      <c r="AF529" s="1020"/>
      <c r="AG529" s="467"/>
      <c r="AH529" s="467"/>
    </row>
    <row r="530" ht="14.25" customHeight="1" spans="2:34">
      <c r="B530" s="1018"/>
      <c r="C530" s="1019"/>
      <c r="D530" s="1019"/>
      <c r="E530" s="1019"/>
      <c r="F530" s="1020"/>
      <c r="G530" s="1020"/>
      <c r="H530" s="1020"/>
      <c r="I530" s="1020"/>
      <c r="J530" s="1020"/>
      <c r="K530" s="1020"/>
      <c r="L530" s="1020"/>
      <c r="M530" s="1020"/>
      <c r="N530" s="1020"/>
      <c r="O530" s="1020"/>
      <c r="P530" s="1020"/>
      <c r="Q530" s="1020"/>
      <c r="R530" s="1020"/>
      <c r="S530" s="1020"/>
      <c r="T530" s="1020"/>
      <c r="U530" s="1020"/>
      <c r="V530" s="1020"/>
      <c r="W530" s="1020"/>
      <c r="X530" s="1020"/>
      <c r="Y530" s="1020"/>
      <c r="Z530" s="1020"/>
      <c r="AA530" s="1020"/>
      <c r="AB530" s="1020"/>
      <c r="AC530" s="1020"/>
      <c r="AD530" s="1020"/>
      <c r="AE530" s="1020"/>
      <c r="AF530" s="1020"/>
      <c r="AG530" s="467"/>
      <c r="AH530" s="467"/>
    </row>
    <row r="531" ht="14.25" customHeight="1" spans="2:34">
      <c r="B531" s="1018"/>
      <c r="C531" s="1019"/>
      <c r="D531" s="1019"/>
      <c r="E531" s="1019"/>
      <c r="F531" s="1020"/>
      <c r="G531" s="1020"/>
      <c r="H531" s="1020"/>
      <c r="I531" s="1020"/>
      <c r="J531" s="1020"/>
      <c r="K531" s="1020"/>
      <c r="L531" s="1020"/>
      <c r="M531" s="1020"/>
      <c r="N531" s="1020"/>
      <c r="O531" s="1020"/>
      <c r="P531" s="1020"/>
      <c r="Q531" s="1020"/>
      <c r="R531" s="1020"/>
      <c r="S531" s="1020"/>
      <c r="T531" s="1020"/>
      <c r="U531" s="1020"/>
      <c r="V531" s="1020"/>
      <c r="W531" s="1020"/>
      <c r="X531" s="1020"/>
      <c r="Y531" s="1020"/>
      <c r="Z531" s="1020"/>
      <c r="AA531" s="1020"/>
      <c r="AB531" s="1020"/>
      <c r="AC531" s="1020"/>
      <c r="AD531" s="1020"/>
      <c r="AE531" s="1020"/>
      <c r="AF531" s="1020"/>
      <c r="AG531" s="467"/>
      <c r="AH531" s="467"/>
    </row>
    <row r="532" ht="14.25" customHeight="1" spans="2:34">
      <c r="B532" s="1018"/>
      <c r="C532" s="1019"/>
      <c r="D532" s="1019"/>
      <c r="E532" s="1019"/>
      <c r="F532" s="1020"/>
      <c r="G532" s="1020"/>
      <c r="H532" s="1020"/>
      <c r="I532" s="1020"/>
      <c r="J532" s="1020"/>
      <c r="K532" s="1020"/>
      <c r="L532" s="1020"/>
      <c r="M532" s="1020"/>
      <c r="N532" s="1020"/>
      <c r="O532" s="1020"/>
      <c r="P532" s="1020"/>
      <c r="Q532" s="1020"/>
      <c r="R532" s="1020"/>
      <c r="S532" s="1020"/>
      <c r="T532" s="1020"/>
      <c r="U532" s="1020"/>
      <c r="V532" s="1020"/>
      <c r="W532" s="1020"/>
      <c r="X532" s="1020"/>
      <c r="Y532" s="1020"/>
      <c r="Z532" s="1020"/>
      <c r="AA532" s="1020"/>
      <c r="AB532" s="1020"/>
      <c r="AC532" s="1020"/>
      <c r="AD532" s="1020"/>
      <c r="AE532" s="1020"/>
      <c r="AF532" s="1020"/>
      <c r="AG532" s="467"/>
      <c r="AH532" s="467"/>
    </row>
    <row r="533" ht="14.25" customHeight="1" spans="2:34">
      <c r="B533" s="1018"/>
      <c r="C533" s="1019"/>
      <c r="D533" s="1019"/>
      <c r="E533" s="1019"/>
      <c r="F533" s="1020"/>
      <c r="G533" s="1020"/>
      <c r="H533" s="1020"/>
      <c r="I533" s="1020"/>
      <c r="J533" s="1020"/>
      <c r="K533" s="1020"/>
      <c r="L533" s="1020"/>
      <c r="M533" s="1020"/>
      <c r="N533" s="1020"/>
      <c r="O533" s="1020"/>
      <c r="P533" s="1020"/>
      <c r="Q533" s="1020"/>
      <c r="R533" s="1020"/>
      <c r="S533" s="1020"/>
      <c r="T533" s="1020"/>
      <c r="U533" s="1020"/>
      <c r="V533" s="1020"/>
      <c r="W533" s="1020"/>
      <c r="X533" s="1020"/>
      <c r="Y533" s="1020"/>
      <c r="Z533" s="1020"/>
      <c r="AA533" s="1020"/>
      <c r="AB533" s="1020"/>
      <c r="AC533" s="1020"/>
      <c r="AD533" s="1020"/>
      <c r="AE533" s="1020"/>
      <c r="AF533" s="1020"/>
      <c r="AG533" s="467"/>
      <c r="AH533" s="467"/>
    </row>
    <row r="534" ht="14.25" customHeight="1" spans="2:34">
      <c r="B534" s="1018"/>
      <c r="C534" s="1019"/>
      <c r="D534" s="1019"/>
      <c r="E534" s="1019"/>
      <c r="F534" s="1020"/>
      <c r="G534" s="1020"/>
      <c r="H534" s="1020"/>
      <c r="I534" s="1020"/>
      <c r="J534" s="1020"/>
      <c r="K534" s="1020"/>
      <c r="L534" s="1020"/>
      <c r="M534" s="1020"/>
      <c r="N534" s="1020"/>
      <c r="O534" s="1020"/>
      <c r="P534" s="1020"/>
      <c r="Q534" s="1020"/>
      <c r="R534" s="1020"/>
      <c r="S534" s="1020"/>
      <c r="T534" s="1020"/>
      <c r="U534" s="1020"/>
      <c r="V534" s="1020"/>
      <c r="W534" s="1020"/>
      <c r="X534" s="1020"/>
      <c r="Y534" s="1020"/>
      <c r="Z534" s="1020"/>
      <c r="AA534" s="1020"/>
      <c r="AB534" s="1020"/>
      <c r="AC534" s="1020"/>
      <c r="AD534" s="1020"/>
      <c r="AE534" s="1020"/>
      <c r="AF534" s="1020"/>
      <c r="AG534" s="467"/>
      <c r="AH534" s="467"/>
    </row>
    <row r="535" ht="14.25" customHeight="1" spans="2:34">
      <c r="B535" s="1018"/>
      <c r="C535" s="1019"/>
      <c r="D535" s="1019"/>
      <c r="E535" s="1019"/>
      <c r="F535" s="1020"/>
      <c r="G535" s="1020"/>
      <c r="H535" s="1020"/>
      <c r="I535" s="1020"/>
      <c r="J535" s="1020"/>
      <c r="K535" s="1020"/>
      <c r="L535" s="1020"/>
      <c r="M535" s="1020"/>
      <c r="N535" s="1020"/>
      <c r="O535" s="1020"/>
      <c r="P535" s="1020"/>
      <c r="Q535" s="1020"/>
      <c r="R535" s="1020"/>
      <c r="S535" s="1020"/>
      <c r="T535" s="1020"/>
      <c r="U535" s="1020"/>
      <c r="V535" s="1020"/>
      <c r="W535" s="1020"/>
      <c r="X535" s="1020"/>
      <c r="Y535" s="1020"/>
      <c r="Z535" s="1020"/>
      <c r="AA535" s="1020"/>
      <c r="AB535" s="1020"/>
      <c r="AC535" s="1020"/>
      <c r="AD535" s="1020"/>
      <c r="AE535" s="1020"/>
      <c r="AF535" s="1020"/>
      <c r="AG535" s="467"/>
      <c r="AH535" s="467"/>
    </row>
    <row r="536" ht="14.25" customHeight="1" spans="2:34">
      <c r="B536" s="1018"/>
      <c r="C536" s="1019"/>
      <c r="D536" s="1019"/>
      <c r="E536" s="1019"/>
      <c r="F536" s="1020"/>
      <c r="G536" s="1020"/>
      <c r="H536" s="1020"/>
      <c r="I536" s="1020"/>
      <c r="J536" s="1020"/>
      <c r="K536" s="1020"/>
      <c r="L536" s="1020"/>
      <c r="M536" s="1020"/>
      <c r="N536" s="1020"/>
      <c r="O536" s="1020"/>
      <c r="P536" s="1020"/>
      <c r="Q536" s="1020"/>
      <c r="R536" s="1020"/>
      <c r="S536" s="1020"/>
      <c r="T536" s="1020"/>
      <c r="U536" s="1020"/>
      <c r="V536" s="1020"/>
      <c r="W536" s="1020"/>
      <c r="X536" s="1020"/>
      <c r="Y536" s="1020"/>
      <c r="Z536" s="1020"/>
      <c r="AA536" s="1020"/>
      <c r="AB536" s="1020"/>
      <c r="AC536" s="1020"/>
      <c r="AD536" s="1020"/>
      <c r="AE536" s="1020"/>
      <c r="AF536" s="1020"/>
      <c r="AG536" s="467"/>
      <c r="AH536" s="467"/>
    </row>
    <row r="537" ht="14.25" customHeight="1" spans="2:34">
      <c r="B537" s="1018"/>
      <c r="C537" s="1019"/>
      <c r="D537" s="1019"/>
      <c r="E537" s="1019"/>
      <c r="F537" s="1020"/>
      <c r="G537" s="1020"/>
      <c r="H537" s="1020"/>
      <c r="I537" s="1020"/>
      <c r="J537" s="1020"/>
      <c r="K537" s="1020"/>
      <c r="L537" s="1020"/>
      <c r="M537" s="1020"/>
      <c r="N537" s="1020"/>
      <c r="O537" s="1020"/>
      <c r="P537" s="1020"/>
      <c r="Q537" s="1020"/>
      <c r="R537" s="1020"/>
      <c r="S537" s="1020"/>
      <c r="T537" s="1020"/>
      <c r="U537" s="1020"/>
      <c r="V537" s="1020"/>
      <c r="W537" s="1020"/>
      <c r="X537" s="1020"/>
      <c r="Y537" s="1020"/>
      <c r="Z537" s="1020"/>
      <c r="AA537" s="1020"/>
      <c r="AB537" s="1020"/>
      <c r="AC537" s="1020"/>
      <c r="AD537" s="1020"/>
      <c r="AE537" s="1020"/>
      <c r="AF537" s="1020"/>
      <c r="AG537" s="467"/>
      <c r="AH537" s="467"/>
    </row>
    <row r="538" ht="14.25" customHeight="1" spans="2:34">
      <c r="B538" s="1018"/>
      <c r="C538" s="1019"/>
      <c r="D538" s="1019"/>
      <c r="E538" s="1019"/>
      <c r="F538" s="1020"/>
      <c r="G538" s="1020"/>
      <c r="H538" s="1020"/>
      <c r="I538" s="1020"/>
      <c r="J538" s="1020"/>
      <c r="K538" s="1020"/>
      <c r="L538" s="1020"/>
      <c r="M538" s="1020"/>
      <c r="N538" s="1020"/>
      <c r="O538" s="1020"/>
      <c r="P538" s="1020"/>
      <c r="Q538" s="1020"/>
      <c r="R538" s="1020"/>
      <c r="S538" s="1020"/>
      <c r="T538" s="1020"/>
      <c r="U538" s="1020"/>
      <c r="V538" s="1020"/>
      <c r="W538" s="1020"/>
      <c r="X538" s="1020"/>
      <c r="Y538" s="1020"/>
      <c r="Z538" s="1020"/>
      <c r="AA538" s="1020"/>
      <c r="AB538" s="1020"/>
      <c r="AC538" s="1020"/>
      <c r="AD538" s="1020"/>
      <c r="AE538" s="1020"/>
      <c r="AF538" s="1020"/>
      <c r="AG538" s="467"/>
      <c r="AH538" s="467"/>
    </row>
    <row r="539" ht="14.25" customHeight="1" spans="2:34">
      <c r="B539" s="1018"/>
      <c r="C539" s="1019"/>
      <c r="D539" s="1019"/>
      <c r="E539" s="1019"/>
      <c r="F539" s="1020"/>
      <c r="G539" s="1020"/>
      <c r="H539" s="1020"/>
      <c r="I539" s="1020"/>
      <c r="J539" s="1020"/>
      <c r="K539" s="1020"/>
      <c r="L539" s="1020"/>
      <c r="M539" s="1020"/>
      <c r="N539" s="1020"/>
      <c r="O539" s="1020"/>
      <c r="P539" s="1020"/>
      <c r="Q539" s="1020"/>
      <c r="R539" s="1020"/>
      <c r="S539" s="1020"/>
      <c r="T539" s="1020"/>
      <c r="U539" s="1020"/>
      <c r="V539" s="1020"/>
      <c r="W539" s="1020"/>
      <c r="X539" s="1020"/>
      <c r="Y539" s="1020"/>
      <c r="Z539" s="1020"/>
      <c r="AA539" s="1020"/>
      <c r="AB539" s="1020"/>
      <c r="AC539" s="1020"/>
      <c r="AD539" s="1020"/>
      <c r="AE539" s="1020"/>
      <c r="AF539" s="1020"/>
      <c r="AG539" s="467"/>
      <c r="AH539" s="467"/>
    </row>
    <row r="540" ht="14.25" customHeight="1" spans="2:34">
      <c r="B540" s="1018"/>
      <c r="C540" s="1019"/>
      <c r="D540" s="1019"/>
      <c r="E540" s="1019"/>
      <c r="F540" s="1020"/>
      <c r="G540" s="1020"/>
      <c r="H540" s="1020"/>
      <c r="I540" s="1020"/>
      <c r="J540" s="1020"/>
      <c r="K540" s="1020"/>
      <c r="L540" s="1020"/>
      <c r="M540" s="1020"/>
      <c r="N540" s="1020"/>
      <c r="O540" s="1020"/>
      <c r="P540" s="1020"/>
      <c r="Q540" s="1020"/>
      <c r="R540" s="1020"/>
      <c r="S540" s="1020"/>
      <c r="T540" s="1020"/>
      <c r="U540" s="1020"/>
      <c r="V540" s="1020"/>
      <c r="W540" s="1020"/>
      <c r="X540" s="1020"/>
      <c r="Y540" s="1020"/>
      <c r="Z540" s="1020"/>
      <c r="AA540" s="1020"/>
      <c r="AB540" s="1020"/>
      <c r="AC540" s="1020"/>
      <c r="AD540" s="1020"/>
      <c r="AE540" s="1020"/>
      <c r="AF540" s="1020"/>
      <c r="AG540" s="467"/>
      <c r="AH540" s="467"/>
    </row>
    <row r="541" ht="14.25" customHeight="1" spans="2:34">
      <c r="B541" s="1018"/>
      <c r="C541" s="1019"/>
      <c r="D541" s="1019"/>
      <c r="E541" s="1019"/>
      <c r="F541" s="1020"/>
      <c r="G541" s="1020"/>
      <c r="H541" s="1020"/>
      <c r="I541" s="1020"/>
      <c r="J541" s="1020"/>
      <c r="K541" s="1020"/>
      <c r="L541" s="1020"/>
      <c r="M541" s="1020"/>
      <c r="N541" s="1020"/>
      <c r="O541" s="1020"/>
      <c r="P541" s="1020"/>
      <c r="Q541" s="1020"/>
      <c r="R541" s="1020"/>
      <c r="S541" s="1020"/>
      <c r="T541" s="1020"/>
      <c r="U541" s="1020"/>
      <c r="V541" s="1020"/>
      <c r="W541" s="1020"/>
      <c r="X541" s="1020"/>
      <c r="Y541" s="1020"/>
      <c r="Z541" s="1020"/>
      <c r="AA541" s="1020"/>
      <c r="AB541" s="1020"/>
      <c r="AC541" s="1020"/>
      <c r="AD541" s="1020"/>
      <c r="AE541" s="1020"/>
      <c r="AF541" s="1020"/>
      <c r="AG541" s="467"/>
      <c r="AH541" s="467"/>
    </row>
    <row r="542" ht="14.25" customHeight="1" spans="2:34">
      <c r="B542" s="1018"/>
      <c r="C542" s="1019"/>
      <c r="D542" s="1019"/>
      <c r="E542" s="1019"/>
      <c r="F542" s="1020"/>
      <c r="G542" s="1020"/>
      <c r="H542" s="1020"/>
      <c r="I542" s="1020"/>
      <c r="J542" s="1020"/>
      <c r="K542" s="1020"/>
      <c r="L542" s="1020"/>
      <c r="M542" s="1020"/>
      <c r="N542" s="1020"/>
      <c r="O542" s="1020"/>
      <c r="P542" s="1020"/>
      <c r="Q542" s="1020"/>
      <c r="R542" s="1020"/>
      <c r="S542" s="1020"/>
      <c r="T542" s="1020"/>
      <c r="U542" s="1020"/>
      <c r="V542" s="1020"/>
      <c r="W542" s="1020"/>
      <c r="X542" s="1020"/>
      <c r="Y542" s="1020"/>
      <c r="Z542" s="1020"/>
      <c r="AA542" s="1020"/>
      <c r="AB542" s="1020"/>
      <c r="AC542" s="1020"/>
      <c r="AD542" s="1020"/>
      <c r="AE542" s="1020"/>
      <c r="AF542" s="1020"/>
      <c r="AG542" s="467"/>
      <c r="AH542" s="467"/>
    </row>
    <row r="543" ht="14.25" customHeight="1" spans="2:34">
      <c r="B543" s="1018"/>
      <c r="C543" s="1019"/>
      <c r="D543" s="1019"/>
      <c r="E543" s="1019"/>
      <c r="F543" s="1020"/>
      <c r="G543" s="1020"/>
      <c r="H543" s="1020"/>
      <c r="I543" s="1020"/>
      <c r="J543" s="1020"/>
      <c r="K543" s="1020"/>
      <c r="L543" s="1020"/>
      <c r="M543" s="1020"/>
      <c r="N543" s="1020"/>
      <c r="O543" s="1020"/>
      <c r="P543" s="1020"/>
      <c r="Q543" s="1020"/>
      <c r="R543" s="1020"/>
      <c r="S543" s="1020"/>
      <c r="T543" s="1020"/>
      <c r="U543" s="1020"/>
      <c r="V543" s="1020"/>
      <c r="W543" s="1020"/>
      <c r="X543" s="1020"/>
      <c r="Y543" s="1020"/>
      <c r="Z543" s="1020"/>
      <c r="AA543" s="1020"/>
      <c r="AB543" s="1020"/>
      <c r="AC543" s="1020"/>
      <c r="AD543" s="1020"/>
      <c r="AE543" s="1020"/>
      <c r="AF543" s="1020"/>
      <c r="AG543" s="467"/>
      <c r="AH543" s="467"/>
    </row>
    <row r="544" ht="14.25" customHeight="1" spans="2:34">
      <c r="B544" s="1018"/>
      <c r="C544" s="1019"/>
      <c r="D544" s="1019"/>
      <c r="E544" s="1019"/>
      <c r="F544" s="1020"/>
      <c r="G544" s="1020"/>
      <c r="H544" s="1020"/>
      <c r="I544" s="1020"/>
      <c r="J544" s="1020"/>
      <c r="K544" s="1020"/>
      <c r="L544" s="1020"/>
      <c r="M544" s="1020"/>
      <c r="N544" s="1020"/>
      <c r="O544" s="1020"/>
      <c r="P544" s="1020"/>
      <c r="Q544" s="1020"/>
      <c r="R544" s="1020"/>
      <c r="S544" s="1020"/>
      <c r="T544" s="1020"/>
      <c r="U544" s="1020"/>
      <c r="V544" s="1020"/>
      <c r="W544" s="1020"/>
      <c r="X544" s="1020"/>
      <c r="Y544" s="1020"/>
      <c r="Z544" s="1020"/>
      <c r="AA544" s="1020"/>
      <c r="AB544" s="1020"/>
      <c r="AC544" s="1020"/>
      <c r="AD544" s="1020"/>
      <c r="AE544" s="1020"/>
      <c r="AF544" s="1020"/>
      <c r="AG544" s="467"/>
      <c r="AH544" s="467"/>
    </row>
    <row r="545" ht="14.25" customHeight="1" spans="2:34">
      <c r="B545" s="1018"/>
      <c r="C545" s="1019"/>
      <c r="D545" s="1019"/>
      <c r="E545" s="1019"/>
      <c r="F545" s="1020"/>
      <c r="G545" s="1020"/>
      <c r="H545" s="1020"/>
      <c r="I545" s="1020"/>
      <c r="J545" s="1020"/>
      <c r="K545" s="1020"/>
      <c r="L545" s="1020"/>
      <c r="M545" s="1020"/>
      <c r="N545" s="1020"/>
      <c r="O545" s="1020"/>
      <c r="P545" s="1020"/>
      <c r="Q545" s="1020"/>
      <c r="R545" s="1020"/>
      <c r="S545" s="1020"/>
      <c r="T545" s="1020"/>
      <c r="U545" s="1020"/>
      <c r="V545" s="1020"/>
      <c r="W545" s="1020"/>
      <c r="X545" s="1020"/>
      <c r="Y545" s="1020"/>
      <c r="Z545" s="1020"/>
      <c r="AA545" s="1020"/>
      <c r="AB545" s="1020"/>
      <c r="AC545" s="1020"/>
      <c r="AD545" s="1020"/>
      <c r="AE545" s="1020"/>
      <c r="AF545" s="1020"/>
      <c r="AG545" s="467"/>
      <c r="AH545" s="467"/>
    </row>
    <row r="546" ht="14.25" customHeight="1" spans="2:34">
      <c r="B546" s="1018"/>
      <c r="C546" s="1019"/>
      <c r="D546" s="1019"/>
      <c r="E546" s="1019"/>
      <c r="F546" s="1020"/>
      <c r="G546" s="1020"/>
      <c r="H546" s="1020"/>
      <c r="I546" s="1020"/>
      <c r="J546" s="1020"/>
      <c r="K546" s="1020"/>
      <c r="L546" s="1020"/>
      <c r="M546" s="1020"/>
      <c r="N546" s="1020"/>
      <c r="O546" s="1020"/>
      <c r="P546" s="1020"/>
      <c r="Q546" s="1020"/>
      <c r="R546" s="1020"/>
      <c r="S546" s="1020"/>
      <c r="T546" s="1020"/>
      <c r="U546" s="1020"/>
      <c r="V546" s="1020"/>
      <c r="W546" s="1020"/>
      <c r="X546" s="1020"/>
      <c r="Y546" s="1020"/>
      <c r="Z546" s="1020"/>
      <c r="AA546" s="1020"/>
      <c r="AB546" s="1020"/>
      <c r="AC546" s="1020"/>
      <c r="AD546" s="1020"/>
      <c r="AE546" s="1020"/>
      <c r="AF546" s="1020"/>
      <c r="AG546" s="467"/>
      <c r="AH546" s="467"/>
    </row>
    <row r="547" ht="14.25" customHeight="1" spans="2:34">
      <c r="B547" s="1018"/>
      <c r="C547" s="1019"/>
      <c r="D547" s="1019"/>
      <c r="E547" s="1019"/>
      <c r="F547" s="1020"/>
      <c r="G547" s="1020"/>
      <c r="H547" s="1020"/>
      <c r="I547" s="1020"/>
      <c r="J547" s="1020"/>
      <c r="K547" s="1020"/>
      <c r="L547" s="1020"/>
      <c r="M547" s="1020"/>
      <c r="N547" s="1020"/>
      <c r="O547" s="1020"/>
      <c r="P547" s="1020"/>
      <c r="Q547" s="1020"/>
      <c r="R547" s="1020"/>
      <c r="S547" s="1020"/>
      <c r="T547" s="1020"/>
      <c r="U547" s="1020"/>
      <c r="V547" s="1020"/>
      <c r="W547" s="1020"/>
      <c r="X547" s="1020"/>
      <c r="Y547" s="1020"/>
      <c r="Z547" s="1020"/>
      <c r="AA547" s="1020"/>
      <c r="AB547" s="1020"/>
      <c r="AC547" s="1020"/>
      <c r="AD547" s="1020"/>
      <c r="AE547" s="1020"/>
      <c r="AF547" s="1020"/>
      <c r="AG547" s="467"/>
      <c r="AH547" s="467"/>
    </row>
    <row r="548" ht="14.25" customHeight="1" spans="2:34">
      <c r="B548" s="1018"/>
      <c r="C548" s="1019"/>
      <c r="D548" s="1019"/>
      <c r="E548" s="1019"/>
      <c r="F548" s="1020"/>
      <c r="G548" s="1020"/>
      <c r="H548" s="1020"/>
      <c r="I548" s="1020"/>
      <c r="J548" s="1020"/>
      <c r="K548" s="1020"/>
      <c r="L548" s="1020"/>
      <c r="M548" s="1020"/>
      <c r="N548" s="1020"/>
      <c r="O548" s="1020"/>
      <c r="P548" s="1020"/>
      <c r="Q548" s="1020"/>
      <c r="R548" s="1020"/>
      <c r="S548" s="1020"/>
      <c r="T548" s="1020"/>
      <c r="U548" s="1020"/>
      <c r="V548" s="1020"/>
      <c r="W548" s="1020"/>
      <c r="X548" s="1020"/>
      <c r="Y548" s="1020"/>
      <c r="Z548" s="1020"/>
      <c r="AA548" s="1020"/>
      <c r="AB548" s="1020"/>
      <c r="AC548" s="1020"/>
      <c r="AD548" s="1020"/>
      <c r="AE548" s="1020"/>
      <c r="AF548" s="1020"/>
      <c r="AG548" s="467"/>
      <c r="AH548" s="467"/>
    </row>
    <row r="549" ht="14.25" customHeight="1" spans="2:34">
      <c r="B549" s="1018"/>
      <c r="C549" s="1019"/>
      <c r="D549" s="1019"/>
      <c r="E549" s="1019"/>
      <c r="F549" s="1020"/>
      <c r="G549" s="1020"/>
      <c r="H549" s="1020"/>
      <c r="I549" s="1020"/>
      <c r="J549" s="1020"/>
      <c r="K549" s="1020"/>
      <c r="L549" s="1020"/>
      <c r="M549" s="1020"/>
      <c r="N549" s="1020"/>
      <c r="O549" s="1020"/>
      <c r="P549" s="1020"/>
      <c r="Q549" s="1020"/>
      <c r="R549" s="1020"/>
      <c r="S549" s="1020"/>
      <c r="T549" s="1020"/>
      <c r="U549" s="1020"/>
      <c r="V549" s="1020"/>
      <c r="W549" s="1020"/>
      <c r="X549" s="1020"/>
      <c r="Y549" s="1020"/>
      <c r="Z549" s="1020"/>
      <c r="AA549" s="1020"/>
      <c r="AB549" s="1020"/>
      <c r="AC549" s="1020"/>
      <c r="AD549" s="1020"/>
      <c r="AE549" s="1020"/>
      <c r="AF549" s="1020"/>
      <c r="AG549" s="467"/>
      <c r="AH549" s="467"/>
    </row>
    <row r="550" ht="14.25" customHeight="1" spans="2:34">
      <c r="B550" s="1018"/>
      <c r="C550" s="1019"/>
      <c r="D550" s="1019"/>
      <c r="E550" s="1019"/>
      <c r="F550" s="1020"/>
      <c r="G550" s="1020"/>
      <c r="H550" s="1020"/>
      <c r="I550" s="1020"/>
      <c r="J550" s="1020"/>
      <c r="K550" s="1020"/>
      <c r="L550" s="1020"/>
      <c r="M550" s="1020"/>
      <c r="N550" s="1020"/>
      <c r="O550" s="1020"/>
      <c r="P550" s="1020"/>
      <c r="Q550" s="1020"/>
      <c r="R550" s="1020"/>
      <c r="S550" s="1020"/>
      <c r="T550" s="1020"/>
      <c r="U550" s="1020"/>
      <c r="V550" s="1020"/>
      <c r="W550" s="1020"/>
      <c r="X550" s="1020"/>
      <c r="Y550" s="1020"/>
      <c r="Z550" s="1020"/>
      <c r="AA550" s="1020"/>
      <c r="AB550" s="1020"/>
      <c r="AC550" s="1020"/>
      <c r="AD550" s="1020"/>
      <c r="AE550" s="1020"/>
      <c r="AF550" s="1020"/>
      <c r="AG550" s="467"/>
      <c r="AH550" s="467"/>
    </row>
    <row r="551" ht="14.25" customHeight="1" spans="2:34">
      <c r="B551" s="1018"/>
      <c r="C551" s="1019"/>
      <c r="D551" s="1019"/>
      <c r="E551" s="1019"/>
      <c r="F551" s="1020"/>
      <c r="G551" s="1020"/>
      <c r="H551" s="1020"/>
      <c r="I551" s="1020"/>
      <c r="J551" s="1020"/>
      <c r="K551" s="1020"/>
      <c r="L551" s="1020"/>
      <c r="M551" s="1020"/>
      <c r="N551" s="1020"/>
      <c r="O551" s="1020"/>
      <c r="P551" s="1020"/>
      <c r="Q551" s="1020"/>
      <c r="R551" s="1020"/>
      <c r="S551" s="1020"/>
      <c r="T551" s="1020"/>
      <c r="U551" s="1020"/>
      <c r="V551" s="1020"/>
      <c r="W551" s="1020"/>
      <c r="X551" s="1020"/>
      <c r="Y551" s="1020"/>
      <c r="Z551" s="1020"/>
      <c r="AA551" s="1020"/>
      <c r="AB551" s="1020"/>
      <c r="AC551" s="1020"/>
      <c r="AD551" s="1020"/>
      <c r="AE551" s="1020"/>
      <c r="AF551" s="1020"/>
      <c r="AG551" s="467"/>
      <c r="AH551" s="467"/>
    </row>
    <row r="552" ht="14.25" customHeight="1" spans="2:34">
      <c r="B552" s="1018"/>
      <c r="C552" s="1019"/>
      <c r="D552" s="1019"/>
      <c r="E552" s="1019"/>
      <c r="F552" s="1020"/>
      <c r="G552" s="1020"/>
      <c r="H552" s="1020"/>
      <c r="I552" s="1020"/>
      <c r="J552" s="1020"/>
      <c r="K552" s="1020"/>
      <c r="L552" s="1020"/>
      <c r="M552" s="1020"/>
      <c r="N552" s="1020"/>
      <c r="O552" s="1020"/>
      <c r="P552" s="1020"/>
      <c r="Q552" s="1020"/>
      <c r="R552" s="1020"/>
      <c r="S552" s="1020"/>
      <c r="T552" s="1020"/>
      <c r="U552" s="1020"/>
      <c r="V552" s="1020"/>
      <c r="W552" s="1020"/>
      <c r="X552" s="1020"/>
      <c r="Y552" s="1020"/>
      <c r="Z552" s="1020"/>
      <c r="AA552" s="1020"/>
      <c r="AB552" s="1020"/>
      <c r="AC552" s="1020"/>
      <c r="AD552" s="1020"/>
      <c r="AE552" s="1020"/>
      <c r="AF552" s="1020"/>
      <c r="AG552" s="467"/>
      <c r="AH552" s="467"/>
    </row>
    <row r="553" ht="14.25" customHeight="1" spans="2:34">
      <c r="B553" s="1018"/>
      <c r="C553" s="1019"/>
      <c r="D553" s="1019"/>
      <c r="E553" s="1019"/>
      <c r="F553" s="1020"/>
      <c r="G553" s="1020"/>
      <c r="H553" s="1020"/>
      <c r="I553" s="1020"/>
      <c r="J553" s="1020"/>
      <c r="K553" s="1020"/>
      <c r="L553" s="1020"/>
      <c r="M553" s="1020"/>
      <c r="N553" s="1020"/>
      <c r="O553" s="1020"/>
      <c r="P553" s="1020"/>
      <c r="Q553" s="1020"/>
      <c r="R553" s="1020"/>
      <c r="S553" s="1020"/>
      <c r="T553" s="1020"/>
      <c r="U553" s="1020"/>
      <c r="V553" s="1020"/>
      <c r="W553" s="1020"/>
      <c r="X553" s="1020"/>
      <c r="Y553" s="1020"/>
      <c r="Z553" s="1020"/>
      <c r="AA553" s="1020"/>
      <c r="AB553" s="1020"/>
      <c r="AC553" s="1020"/>
      <c r="AD553" s="1020"/>
      <c r="AE553" s="1020"/>
      <c r="AF553" s="1020"/>
      <c r="AG553" s="467"/>
      <c r="AH553" s="467"/>
    </row>
    <row r="554" ht="14.25" customHeight="1" spans="2:34">
      <c r="B554" s="1018"/>
      <c r="C554" s="1019"/>
      <c r="D554" s="1019"/>
      <c r="E554" s="1019"/>
      <c r="F554" s="1020"/>
      <c r="G554" s="1020"/>
      <c r="H554" s="1020"/>
      <c r="I554" s="1020"/>
      <c r="J554" s="1020"/>
      <c r="K554" s="1020"/>
      <c r="L554" s="1020"/>
      <c r="M554" s="1020"/>
      <c r="N554" s="1020"/>
      <c r="O554" s="1020"/>
      <c r="P554" s="1020"/>
      <c r="Q554" s="1020"/>
      <c r="R554" s="1020"/>
      <c r="S554" s="1020"/>
      <c r="T554" s="1020"/>
      <c r="U554" s="1020"/>
      <c r="V554" s="1020"/>
      <c r="W554" s="1020"/>
      <c r="X554" s="1020"/>
      <c r="Y554" s="1020"/>
      <c r="Z554" s="1020"/>
      <c r="AA554" s="1020"/>
      <c r="AB554" s="1020"/>
      <c r="AC554" s="1020"/>
      <c r="AD554" s="1020"/>
      <c r="AE554" s="1020"/>
      <c r="AF554" s="1020"/>
      <c r="AG554" s="467"/>
      <c r="AH554" s="467"/>
    </row>
    <row r="555" ht="14.25" customHeight="1" spans="2:34">
      <c r="B555" s="1018"/>
      <c r="C555" s="1019"/>
      <c r="D555" s="1019"/>
      <c r="E555" s="1019"/>
      <c r="F555" s="1020"/>
      <c r="G555" s="1020"/>
      <c r="H555" s="1020"/>
      <c r="I555" s="1020"/>
      <c r="J555" s="1020"/>
      <c r="K555" s="1020"/>
      <c r="L555" s="1020"/>
      <c r="M555" s="1020"/>
      <c r="N555" s="1020"/>
      <c r="O555" s="1020"/>
      <c r="P555" s="1020"/>
      <c r="Q555" s="1020"/>
      <c r="R555" s="1020"/>
      <c r="S555" s="1020"/>
      <c r="T555" s="1020"/>
      <c r="U555" s="1020"/>
      <c r="V555" s="1020"/>
      <c r="W555" s="1020"/>
      <c r="X555" s="1020"/>
      <c r="Y555" s="1020"/>
      <c r="Z555" s="1020"/>
      <c r="AA555" s="1020"/>
      <c r="AB555" s="1020"/>
      <c r="AC555" s="1020"/>
      <c r="AD555" s="1020"/>
      <c r="AE555" s="1020"/>
      <c r="AF555" s="1020"/>
      <c r="AG555" s="467"/>
      <c r="AH555" s="467"/>
    </row>
    <row r="556" ht="14.25" customHeight="1" spans="2:34">
      <c r="B556" s="1018"/>
      <c r="C556" s="1019"/>
      <c r="D556" s="1019"/>
      <c r="E556" s="1019"/>
      <c r="F556" s="1020"/>
      <c r="G556" s="1020"/>
      <c r="H556" s="1020"/>
      <c r="I556" s="1020"/>
      <c r="J556" s="1020"/>
      <c r="K556" s="1020"/>
      <c r="L556" s="1020"/>
      <c r="M556" s="1020"/>
      <c r="N556" s="1020"/>
      <c r="O556" s="1020"/>
      <c r="P556" s="1020"/>
      <c r="Q556" s="1020"/>
      <c r="R556" s="1020"/>
      <c r="S556" s="1020"/>
      <c r="T556" s="1020"/>
      <c r="U556" s="1020"/>
      <c r="V556" s="1020"/>
      <c r="W556" s="1020"/>
      <c r="X556" s="1020"/>
      <c r="Y556" s="1020"/>
      <c r="Z556" s="1020"/>
      <c r="AA556" s="1020"/>
      <c r="AB556" s="1020"/>
      <c r="AC556" s="1020"/>
      <c r="AD556" s="1020"/>
      <c r="AE556" s="1020"/>
      <c r="AF556" s="1020"/>
      <c r="AG556" s="467"/>
      <c r="AH556" s="467"/>
    </row>
    <row r="557" ht="14.25" customHeight="1" spans="2:34">
      <c r="B557" s="1018"/>
      <c r="C557" s="1019"/>
      <c r="D557" s="1019"/>
      <c r="E557" s="1019"/>
      <c r="F557" s="1020"/>
      <c r="G557" s="1020"/>
      <c r="H557" s="1020"/>
      <c r="I557" s="1020"/>
      <c r="J557" s="1020"/>
      <c r="K557" s="1020"/>
      <c r="L557" s="1020"/>
      <c r="M557" s="1020"/>
      <c r="N557" s="1020"/>
      <c r="O557" s="1020"/>
      <c r="P557" s="1020"/>
      <c r="Q557" s="1020"/>
      <c r="R557" s="1020"/>
      <c r="S557" s="1020"/>
      <c r="T557" s="1020"/>
      <c r="U557" s="1020"/>
      <c r="V557" s="1020"/>
      <c r="W557" s="1020"/>
      <c r="X557" s="1020"/>
      <c r="Y557" s="1020"/>
      <c r="Z557" s="1020"/>
      <c r="AA557" s="1020"/>
      <c r="AB557" s="1020"/>
      <c r="AC557" s="1020"/>
      <c r="AD557" s="1020"/>
      <c r="AE557" s="1020"/>
      <c r="AF557" s="1020"/>
      <c r="AG557" s="467"/>
      <c r="AH557" s="467"/>
    </row>
    <row r="558" ht="14.25" customHeight="1" spans="2:34">
      <c r="B558" s="1018"/>
      <c r="C558" s="1019"/>
      <c r="D558" s="1019"/>
      <c r="E558" s="1019"/>
      <c r="F558" s="1020"/>
      <c r="G558" s="1020"/>
      <c r="H558" s="1020"/>
      <c r="I558" s="1020"/>
      <c r="J558" s="1020"/>
      <c r="K558" s="1020"/>
      <c r="L558" s="1020"/>
      <c r="M558" s="1020"/>
      <c r="N558" s="1020"/>
      <c r="O558" s="1020"/>
      <c r="P558" s="1020"/>
      <c r="Q558" s="1020"/>
      <c r="R558" s="1020"/>
      <c r="S558" s="1020"/>
      <c r="T558" s="1020"/>
      <c r="U558" s="1020"/>
      <c r="V558" s="1020"/>
      <c r="W558" s="1020"/>
      <c r="X558" s="1020"/>
      <c r="Y558" s="1020"/>
      <c r="Z558" s="1020"/>
      <c r="AA558" s="1020"/>
      <c r="AB558" s="1020"/>
      <c r="AC558" s="1020"/>
      <c r="AD558" s="1020"/>
      <c r="AE558" s="1020"/>
      <c r="AF558" s="1020"/>
      <c r="AG558" s="467"/>
      <c r="AH558" s="467"/>
    </row>
    <row r="559" ht="14.25" customHeight="1" spans="2:34">
      <c r="B559" s="1018"/>
      <c r="C559" s="1019"/>
      <c r="D559" s="1019"/>
      <c r="E559" s="1019"/>
      <c r="F559" s="1020"/>
      <c r="G559" s="1020"/>
      <c r="H559" s="1020"/>
      <c r="I559" s="1020"/>
      <c r="J559" s="1020"/>
      <c r="K559" s="1020"/>
      <c r="L559" s="1020"/>
      <c r="M559" s="1020"/>
      <c r="N559" s="1020"/>
      <c r="O559" s="1020"/>
      <c r="P559" s="1020"/>
      <c r="Q559" s="1020"/>
      <c r="R559" s="1020"/>
      <c r="S559" s="1020"/>
      <c r="T559" s="1020"/>
      <c r="U559" s="1020"/>
      <c r="V559" s="1020"/>
      <c r="W559" s="1020"/>
      <c r="X559" s="1020"/>
      <c r="Y559" s="1020"/>
      <c r="Z559" s="1020"/>
      <c r="AA559" s="1020"/>
      <c r="AB559" s="1020"/>
      <c r="AC559" s="1020"/>
      <c r="AD559" s="1020"/>
      <c r="AE559" s="1020"/>
      <c r="AF559" s="1020"/>
      <c r="AG559" s="467"/>
      <c r="AH559" s="467"/>
    </row>
    <row r="560" ht="14.25" customHeight="1" spans="2:34">
      <c r="B560" s="1018"/>
      <c r="C560" s="1019"/>
      <c r="D560" s="1019"/>
      <c r="E560" s="1019"/>
      <c r="F560" s="1020"/>
      <c r="G560" s="1020"/>
      <c r="H560" s="1020"/>
      <c r="I560" s="1020"/>
      <c r="J560" s="1020"/>
      <c r="K560" s="1020"/>
      <c r="L560" s="1020"/>
      <c r="M560" s="1020"/>
      <c r="N560" s="1020"/>
      <c r="O560" s="1020"/>
      <c r="P560" s="1020"/>
      <c r="Q560" s="1020"/>
      <c r="R560" s="1020"/>
      <c r="S560" s="1020"/>
      <c r="T560" s="1020"/>
      <c r="U560" s="1020"/>
      <c r="V560" s="1020"/>
      <c r="W560" s="1020"/>
      <c r="X560" s="1020"/>
      <c r="Y560" s="1020"/>
      <c r="Z560" s="1020"/>
      <c r="AA560" s="1020"/>
      <c r="AB560" s="1020"/>
      <c r="AC560" s="1020"/>
      <c r="AD560" s="1020"/>
      <c r="AE560" s="1020"/>
      <c r="AF560" s="1020"/>
      <c r="AG560" s="467"/>
      <c r="AH560" s="467"/>
    </row>
    <row r="561" ht="14.25" customHeight="1" spans="2:34">
      <c r="B561" s="1018"/>
      <c r="C561" s="1019"/>
      <c r="D561" s="1019"/>
      <c r="E561" s="1019"/>
      <c r="F561" s="1020"/>
      <c r="G561" s="1020"/>
      <c r="H561" s="1020"/>
      <c r="I561" s="1020"/>
      <c r="J561" s="1020"/>
      <c r="K561" s="1020"/>
      <c r="L561" s="1020"/>
      <c r="M561" s="1020"/>
      <c r="N561" s="1020"/>
      <c r="O561" s="1020"/>
      <c r="P561" s="1020"/>
      <c r="Q561" s="1020"/>
      <c r="R561" s="1020"/>
      <c r="S561" s="1020"/>
      <c r="T561" s="1020"/>
      <c r="U561" s="1020"/>
      <c r="V561" s="1020"/>
      <c r="W561" s="1020"/>
      <c r="X561" s="1020"/>
      <c r="Y561" s="1020"/>
      <c r="Z561" s="1020"/>
      <c r="AA561" s="1020"/>
      <c r="AB561" s="1020"/>
      <c r="AC561" s="1020"/>
      <c r="AD561" s="1020"/>
      <c r="AE561" s="1020"/>
      <c r="AF561" s="1020"/>
      <c r="AG561" s="467"/>
      <c r="AH561" s="467"/>
    </row>
    <row r="562" ht="14.25" customHeight="1" spans="2:34">
      <c r="B562" s="1018"/>
      <c r="C562" s="1019"/>
      <c r="D562" s="1019"/>
      <c r="E562" s="1019"/>
      <c r="F562" s="1020"/>
      <c r="G562" s="1020"/>
      <c r="H562" s="1020"/>
      <c r="I562" s="1020"/>
      <c r="J562" s="1020"/>
      <c r="K562" s="1020"/>
      <c r="L562" s="1020"/>
      <c r="M562" s="1020"/>
      <c r="N562" s="1020"/>
      <c r="O562" s="1020"/>
      <c r="P562" s="1020"/>
      <c r="Q562" s="1020"/>
      <c r="R562" s="1020"/>
      <c r="S562" s="1020"/>
      <c r="T562" s="1020"/>
      <c r="U562" s="1020"/>
      <c r="V562" s="1020"/>
      <c r="W562" s="1020"/>
      <c r="X562" s="1020"/>
      <c r="Y562" s="1020"/>
      <c r="Z562" s="1020"/>
      <c r="AA562" s="1020"/>
      <c r="AB562" s="1020"/>
      <c r="AC562" s="1020"/>
      <c r="AD562" s="1020"/>
      <c r="AE562" s="1020"/>
      <c r="AF562" s="1020"/>
      <c r="AG562" s="467"/>
      <c r="AH562" s="467"/>
    </row>
    <row r="563" ht="14.25" customHeight="1" spans="2:34">
      <c r="B563" s="1018"/>
      <c r="C563" s="1019"/>
      <c r="D563" s="1019"/>
      <c r="E563" s="1019"/>
      <c r="F563" s="1020"/>
      <c r="G563" s="1020"/>
      <c r="H563" s="1020"/>
      <c r="I563" s="1020"/>
      <c r="J563" s="1020"/>
      <c r="K563" s="1020"/>
      <c r="L563" s="1020"/>
      <c r="M563" s="1020"/>
      <c r="N563" s="1020"/>
      <c r="O563" s="1020"/>
      <c r="P563" s="1020"/>
      <c r="Q563" s="1020"/>
      <c r="R563" s="1020"/>
      <c r="S563" s="1020"/>
      <c r="T563" s="1020"/>
      <c r="U563" s="1020"/>
      <c r="V563" s="1020"/>
      <c r="W563" s="1020"/>
      <c r="X563" s="1020"/>
      <c r="Y563" s="1020"/>
      <c r="Z563" s="1020"/>
      <c r="AA563" s="1020"/>
      <c r="AB563" s="1020"/>
      <c r="AC563" s="1020"/>
      <c r="AD563" s="1020"/>
      <c r="AE563" s="1020"/>
      <c r="AF563" s="1020"/>
      <c r="AG563" s="467"/>
      <c r="AH563" s="467"/>
    </row>
    <row r="564" ht="14.25" customHeight="1" spans="2:34">
      <c r="B564" s="1018"/>
      <c r="C564" s="1019"/>
      <c r="D564" s="1019"/>
      <c r="E564" s="1019"/>
      <c r="F564" s="1020"/>
      <c r="G564" s="1020"/>
      <c r="H564" s="1020"/>
      <c r="I564" s="1020"/>
      <c r="J564" s="1020"/>
      <c r="K564" s="1020"/>
      <c r="L564" s="1020"/>
      <c r="M564" s="1020"/>
      <c r="N564" s="1020"/>
      <c r="O564" s="1020"/>
      <c r="P564" s="1020"/>
      <c r="Q564" s="1020"/>
      <c r="R564" s="1020"/>
      <c r="S564" s="1020"/>
      <c r="T564" s="1020"/>
      <c r="U564" s="1020"/>
      <c r="V564" s="1020"/>
      <c r="W564" s="1020"/>
      <c r="X564" s="1020"/>
      <c r="Y564" s="1020"/>
      <c r="Z564" s="1020"/>
      <c r="AA564" s="1020"/>
      <c r="AB564" s="1020"/>
      <c r="AC564" s="1020"/>
      <c r="AD564" s="1020"/>
      <c r="AE564" s="1020"/>
      <c r="AF564" s="1020"/>
      <c r="AG564" s="467"/>
      <c r="AH564" s="467"/>
    </row>
    <row r="565" ht="14.25" customHeight="1" spans="2:34">
      <c r="B565" s="1018"/>
      <c r="C565" s="1019"/>
      <c r="D565" s="1019"/>
      <c r="E565" s="1019"/>
      <c r="F565" s="1020"/>
      <c r="G565" s="1020"/>
      <c r="H565" s="1020"/>
      <c r="I565" s="1020"/>
      <c r="J565" s="1020"/>
      <c r="K565" s="1020"/>
      <c r="L565" s="1020"/>
      <c r="M565" s="1020"/>
      <c r="N565" s="1020"/>
      <c r="O565" s="1020"/>
      <c r="P565" s="1020"/>
      <c r="Q565" s="1020"/>
      <c r="R565" s="1020"/>
      <c r="S565" s="1020"/>
      <c r="T565" s="1020"/>
      <c r="U565" s="1020"/>
      <c r="V565" s="1020"/>
      <c r="W565" s="1020"/>
      <c r="X565" s="1020"/>
      <c r="Y565" s="1020"/>
      <c r="Z565" s="1020"/>
      <c r="AA565" s="1020"/>
      <c r="AB565" s="1020"/>
      <c r="AC565" s="1020"/>
      <c r="AD565" s="1020"/>
      <c r="AE565" s="1020"/>
      <c r="AF565" s="1020"/>
      <c r="AG565" s="467"/>
      <c r="AH565" s="467"/>
    </row>
    <row r="566" ht="14.25" customHeight="1" spans="2:34">
      <c r="B566" s="1018"/>
      <c r="C566" s="1019"/>
      <c r="D566" s="1019"/>
      <c r="E566" s="1019"/>
      <c r="F566" s="1020"/>
      <c r="G566" s="1020"/>
      <c r="H566" s="1020"/>
      <c r="I566" s="1020"/>
      <c r="J566" s="1020"/>
      <c r="K566" s="1020"/>
      <c r="L566" s="1020"/>
      <c r="M566" s="1020"/>
      <c r="N566" s="1020"/>
      <c r="O566" s="1020"/>
      <c r="P566" s="1020"/>
      <c r="Q566" s="1020"/>
      <c r="R566" s="1020"/>
      <c r="S566" s="1020"/>
      <c r="T566" s="1020"/>
      <c r="U566" s="1020"/>
      <c r="V566" s="1020"/>
      <c r="W566" s="1020"/>
      <c r="X566" s="1020"/>
      <c r="Y566" s="1020"/>
      <c r="Z566" s="1020"/>
      <c r="AA566" s="1020"/>
      <c r="AB566" s="1020"/>
      <c r="AC566" s="1020"/>
      <c r="AD566" s="1020"/>
      <c r="AE566" s="1020"/>
      <c r="AF566" s="1020"/>
      <c r="AG566" s="467"/>
      <c r="AH566" s="467"/>
    </row>
    <row r="567" ht="14.25" customHeight="1" spans="2:34">
      <c r="B567" s="1018"/>
      <c r="C567" s="1019"/>
      <c r="D567" s="1019"/>
      <c r="E567" s="1019"/>
      <c r="F567" s="1020"/>
      <c r="G567" s="1020"/>
      <c r="H567" s="1020"/>
      <c r="I567" s="1020"/>
      <c r="J567" s="1020"/>
      <c r="K567" s="1020"/>
      <c r="L567" s="1020"/>
      <c r="M567" s="1020"/>
      <c r="N567" s="1020"/>
      <c r="O567" s="1020"/>
      <c r="P567" s="1020"/>
      <c r="Q567" s="1020"/>
      <c r="R567" s="1020"/>
      <c r="S567" s="1020"/>
      <c r="T567" s="1020"/>
      <c r="U567" s="1020"/>
      <c r="V567" s="1020"/>
      <c r="W567" s="1020"/>
      <c r="X567" s="1020"/>
      <c r="Y567" s="1020"/>
      <c r="Z567" s="1020"/>
      <c r="AA567" s="1020"/>
      <c r="AB567" s="1020"/>
      <c r="AC567" s="1020"/>
      <c r="AD567" s="1020"/>
      <c r="AE567" s="1020"/>
      <c r="AF567" s="1020"/>
      <c r="AG567" s="467"/>
      <c r="AH567" s="467"/>
    </row>
    <row r="568" ht="14.25" customHeight="1" spans="2:34">
      <c r="B568" s="1018"/>
      <c r="C568" s="1019"/>
      <c r="D568" s="1019"/>
      <c r="E568" s="1019"/>
      <c r="F568" s="1020"/>
      <c r="G568" s="1020"/>
      <c r="H568" s="1020"/>
      <c r="I568" s="1020"/>
      <c r="J568" s="1020"/>
      <c r="K568" s="1020"/>
      <c r="L568" s="1020"/>
      <c r="M568" s="1020"/>
      <c r="N568" s="1020"/>
      <c r="O568" s="1020"/>
      <c r="P568" s="1020"/>
      <c r="Q568" s="1020"/>
      <c r="R568" s="1020"/>
      <c r="S568" s="1020"/>
      <c r="T568" s="1020"/>
      <c r="U568" s="1020"/>
      <c r="V568" s="1020"/>
      <c r="W568" s="1020"/>
      <c r="X568" s="1020"/>
      <c r="Y568" s="1020"/>
      <c r="Z568" s="1020"/>
      <c r="AA568" s="1020"/>
      <c r="AB568" s="1020"/>
      <c r="AC568" s="1020"/>
      <c r="AD568" s="1020"/>
      <c r="AE568" s="1020"/>
      <c r="AF568" s="1020"/>
      <c r="AG568" s="467"/>
      <c r="AH568" s="467"/>
    </row>
    <row r="569" ht="14.25" customHeight="1" spans="2:34">
      <c r="B569" s="1018"/>
      <c r="C569" s="1019"/>
      <c r="D569" s="1019"/>
      <c r="E569" s="1019"/>
      <c r="F569" s="1020"/>
      <c r="G569" s="1020"/>
      <c r="H569" s="1020"/>
      <c r="I569" s="1020"/>
      <c r="J569" s="1020"/>
      <c r="K569" s="1020"/>
      <c r="L569" s="1020"/>
      <c r="M569" s="1020"/>
      <c r="N569" s="1020"/>
      <c r="O569" s="1020"/>
      <c r="P569" s="1020"/>
      <c r="Q569" s="1020"/>
      <c r="R569" s="1020"/>
      <c r="S569" s="1020"/>
      <c r="T569" s="1020"/>
      <c r="U569" s="1020"/>
      <c r="V569" s="1020"/>
      <c r="W569" s="1020"/>
      <c r="X569" s="1020"/>
      <c r="Y569" s="1020"/>
      <c r="Z569" s="1020"/>
      <c r="AA569" s="1020"/>
      <c r="AB569" s="1020"/>
      <c r="AC569" s="1020"/>
      <c r="AD569" s="1020"/>
      <c r="AE569" s="1020"/>
      <c r="AF569" s="1020"/>
      <c r="AG569" s="467"/>
      <c r="AH569" s="467"/>
    </row>
    <row r="570" ht="14.25" customHeight="1" spans="2:34">
      <c r="B570" s="1018"/>
      <c r="C570" s="1019"/>
      <c r="D570" s="1019"/>
      <c r="E570" s="1019"/>
      <c r="F570" s="1020"/>
      <c r="G570" s="1020"/>
      <c r="H570" s="1020"/>
      <c r="I570" s="1020"/>
      <c r="J570" s="1020"/>
      <c r="K570" s="1020"/>
      <c r="L570" s="1020"/>
      <c r="M570" s="1020"/>
      <c r="N570" s="1020"/>
      <c r="O570" s="1020"/>
      <c r="P570" s="1020"/>
      <c r="Q570" s="1020"/>
      <c r="R570" s="1020"/>
      <c r="S570" s="1020"/>
      <c r="T570" s="1020"/>
      <c r="U570" s="1020"/>
      <c r="V570" s="1020"/>
      <c r="W570" s="1020"/>
      <c r="X570" s="1020"/>
      <c r="Y570" s="1020"/>
      <c r="Z570" s="1020"/>
      <c r="AA570" s="1020"/>
      <c r="AB570" s="1020"/>
      <c r="AC570" s="1020"/>
      <c r="AD570" s="1020"/>
      <c r="AE570" s="1020"/>
      <c r="AF570" s="1020"/>
      <c r="AG570" s="467"/>
      <c r="AH570" s="467"/>
    </row>
    <row r="571" ht="14.25" customHeight="1" spans="2:34">
      <c r="B571" s="1018"/>
      <c r="C571" s="1019"/>
      <c r="D571" s="1019"/>
      <c r="E571" s="1019"/>
      <c r="F571" s="1020"/>
      <c r="G571" s="1020"/>
      <c r="H571" s="1020"/>
      <c r="I571" s="1020"/>
      <c r="J571" s="1020"/>
      <c r="K571" s="1020"/>
      <c r="L571" s="1020"/>
      <c r="M571" s="1020"/>
      <c r="N571" s="1020"/>
      <c r="O571" s="1020"/>
      <c r="P571" s="1020"/>
      <c r="Q571" s="1020"/>
      <c r="R571" s="1020"/>
      <c r="S571" s="1020"/>
      <c r="T571" s="1020"/>
      <c r="U571" s="1020"/>
      <c r="V571" s="1020"/>
      <c r="W571" s="1020"/>
      <c r="X571" s="1020"/>
      <c r="Y571" s="1020"/>
      <c r="Z571" s="1020"/>
      <c r="AA571" s="1020"/>
      <c r="AB571" s="1020"/>
      <c r="AC571" s="1020"/>
      <c r="AD571" s="1020"/>
      <c r="AE571" s="1020"/>
      <c r="AF571" s="1020"/>
      <c r="AG571" s="467"/>
      <c r="AH571" s="467"/>
    </row>
    <row r="572" ht="14.25" customHeight="1" spans="2:34">
      <c r="B572" s="1018"/>
      <c r="C572" s="1019"/>
      <c r="D572" s="1019"/>
      <c r="E572" s="1019"/>
      <c r="F572" s="1020"/>
      <c r="G572" s="1020"/>
      <c r="H572" s="1020"/>
      <c r="I572" s="1020"/>
      <c r="J572" s="1020"/>
      <c r="K572" s="1020"/>
      <c r="L572" s="1020"/>
      <c r="M572" s="1020"/>
      <c r="N572" s="1020"/>
      <c r="O572" s="1020"/>
      <c r="P572" s="1020"/>
      <c r="Q572" s="1020"/>
      <c r="R572" s="1020"/>
      <c r="S572" s="1020"/>
      <c r="T572" s="1020"/>
      <c r="U572" s="1020"/>
      <c r="V572" s="1020"/>
      <c r="W572" s="1020"/>
      <c r="X572" s="1020"/>
      <c r="Y572" s="1020"/>
      <c r="Z572" s="1020"/>
      <c r="AA572" s="1020"/>
      <c r="AB572" s="1020"/>
      <c r="AC572" s="1020"/>
      <c r="AD572" s="1020"/>
      <c r="AE572" s="1020"/>
      <c r="AF572" s="1020"/>
      <c r="AG572" s="467"/>
      <c r="AH572" s="467"/>
    </row>
    <row r="573" ht="14.25" customHeight="1" spans="2:34">
      <c r="B573" s="1018"/>
      <c r="C573" s="1019"/>
      <c r="D573" s="1019"/>
      <c r="E573" s="1019"/>
      <c r="F573" s="1020"/>
      <c r="G573" s="1020"/>
      <c r="H573" s="1020"/>
      <c r="I573" s="1020"/>
      <c r="J573" s="1020"/>
      <c r="K573" s="1020"/>
      <c r="L573" s="1020"/>
      <c r="M573" s="1020"/>
      <c r="N573" s="1020"/>
      <c r="O573" s="1020"/>
      <c r="P573" s="1020"/>
      <c r="Q573" s="1020"/>
      <c r="R573" s="1020"/>
      <c r="S573" s="1020"/>
      <c r="T573" s="1020"/>
      <c r="U573" s="1020"/>
      <c r="V573" s="1020"/>
      <c r="W573" s="1020"/>
      <c r="X573" s="1020"/>
      <c r="Y573" s="1020"/>
      <c r="Z573" s="1020"/>
      <c r="AA573" s="1020"/>
      <c r="AB573" s="1020"/>
      <c r="AC573" s="1020"/>
      <c r="AD573" s="1020"/>
      <c r="AE573" s="1020"/>
      <c r="AF573" s="1020"/>
      <c r="AG573" s="467"/>
      <c r="AH573" s="467"/>
    </row>
    <row r="574" ht="14.25" customHeight="1" spans="2:34">
      <c r="B574" s="1018"/>
      <c r="C574" s="1019"/>
      <c r="D574" s="1019"/>
      <c r="E574" s="1019"/>
      <c r="F574" s="1020"/>
      <c r="G574" s="1020"/>
      <c r="H574" s="1020"/>
      <c r="I574" s="1020"/>
      <c r="J574" s="1020"/>
      <c r="K574" s="1020"/>
      <c r="L574" s="1020"/>
      <c r="M574" s="1020"/>
      <c r="N574" s="1020"/>
      <c r="O574" s="1020"/>
      <c r="P574" s="1020"/>
      <c r="Q574" s="1020"/>
      <c r="R574" s="1020"/>
      <c r="S574" s="1020"/>
      <c r="T574" s="1020"/>
      <c r="U574" s="1020"/>
      <c r="V574" s="1020"/>
      <c r="W574" s="1020"/>
      <c r="X574" s="1020"/>
      <c r="Y574" s="1020"/>
      <c r="Z574" s="1020"/>
      <c r="AA574" s="1020"/>
      <c r="AB574" s="1020"/>
      <c r="AC574" s="1020"/>
      <c r="AD574" s="1020"/>
      <c r="AE574" s="1020"/>
      <c r="AF574" s="1020"/>
      <c r="AG574" s="467"/>
      <c r="AH574" s="467"/>
    </row>
    <row r="575" ht="14.25" customHeight="1" spans="2:34">
      <c r="B575" s="1018"/>
      <c r="C575" s="1019"/>
      <c r="D575" s="1019"/>
      <c r="E575" s="1019"/>
      <c r="F575" s="1020"/>
      <c r="G575" s="1020"/>
      <c r="H575" s="1020"/>
      <c r="I575" s="1020"/>
      <c r="J575" s="1020"/>
      <c r="K575" s="1020"/>
      <c r="L575" s="1020"/>
      <c r="M575" s="1020"/>
      <c r="N575" s="1020"/>
      <c r="O575" s="1020"/>
      <c r="P575" s="1020"/>
      <c r="Q575" s="1020"/>
      <c r="R575" s="1020"/>
      <c r="S575" s="1020"/>
      <c r="T575" s="1020"/>
      <c r="U575" s="1020"/>
      <c r="V575" s="1020"/>
      <c r="W575" s="1020"/>
      <c r="X575" s="1020"/>
      <c r="Y575" s="1020"/>
      <c r="Z575" s="1020"/>
      <c r="AA575" s="1020"/>
      <c r="AB575" s="1020"/>
      <c r="AC575" s="1020"/>
      <c r="AD575" s="1020"/>
      <c r="AE575" s="1020"/>
      <c r="AF575" s="1020"/>
      <c r="AG575" s="467"/>
      <c r="AH575" s="467"/>
    </row>
    <row r="576" ht="14.25" customHeight="1" spans="2:34">
      <c r="B576" s="1018"/>
      <c r="C576" s="1019"/>
      <c r="D576" s="1019"/>
      <c r="E576" s="1019"/>
      <c r="F576" s="1020"/>
      <c r="G576" s="1020"/>
      <c r="H576" s="1020"/>
      <c r="I576" s="1020"/>
      <c r="J576" s="1020"/>
      <c r="K576" s="1020"/>
      <c r="L576" s="1020"/>
      <c r="M576" s="1020"/>
      <c r="N576" s="1020"/>
      <c r="O576" s="1020"/>
      <c r="P576" s="1020"/>
      <c r="Q576" s="1020"/>
      <c r="R576" s="1020"/>
      <c r="S576" s="1020"/>
      <c r="T576" s="1020"/>
      <c r="U576" s="1020"/>
      <c r="V576" s="1020"/>
      <c r="W576" s="1020"/>
      <c r="X576" s="1020"/>
      <c r="Y576" s="1020"/>
      <c r="Z576" s="1020"/>
      <c r="AA576" s="1020"/>
      <c r="AB576" s="1020"/>
      <c r="AC576" s="1020"/>
      <c r="AD576" s="1020"/>
      <c r="AE576" s="1020"/>
      <c r="AF576" s="1020"/>
      <c r="AG576" s="467"/>
      <c r="AH576" s="467"/>
    </row>
    <row r="577" ht="14.25" customHeight="1" spans="2:34">
      <c r="B577" s="1018"/>
      <c r="C577" s="1019"/>
      <c r="D577" s="1019"/>
      <c r="E577" s="1019"/>
      <c r="F577" s="1020"/>
      <c r="G577" s="1020"/>
      <c r="H577" s="1020"/>
      <c r="I577" s="1020"/>
      <c r="J577" s="1020"/>
      <c r="K577" s="1020"/>
      <c r="L577" s="1020"/>
      <c r="M577" s="1020"/>
      <c r="N577" s="1020"/>
      <c r="O577" s="1020"/>
      <c r="P577" s="1020"/>
      <c r="Q577" s="1020"/>
      <c r="R577" s="1020"/>
      <c r="S577" s="1020"/>
      <c r="T577" s="1020"/>
      <c r="U577" s="1020"/>
      <c r="V577" s="1020"/>
      <c r="W577" s="1020"/>
      <c r="X577" s="1020"/>
      <c r="Y577" s="1020"/>
      <c r="Z577" s="1020"/>
      <c r="AA577" s="1020"/>
      <c r="AB577" s="1020"/>
      <c r="AC577" s="1020"/>
      <c r="AD577" s="1020"/>
      <c r="AE577" s="1020"/>
      <c r="AF577" s="1020"/>
      <c r="AG577" s="467"/>
      <c r="AH577" s="467"/>
    </row>
    <row r="578" ht="14.25" customHeight="1" spans="2:34">
      <c r="B578" s="1018"/>
      <c r="C578" s="1019"/>
      <c r="D578" s="1019"/>
      <c r="E578" s="1019"/>
      <c r="F578" s="1020"/>
      <c r="G578" s="1020"/>
      <c r="H578" s="1020"/>
      <c r="I578" s="1020"/>
      <c r="J578" s="1020"/>
      <c r="K578" s="1020"/>
      <c r="L578" s="1020"/>
      <c r="M578" s="1020"/>
      <c r="N578" s="1020"/>
      <c r="O578" s="1020"/>
      <c r="P578" s="1020"/>
      <c r="Q578" s="1020"/>
      <c r="R578" s="1020"/>
      <c r="S578" s="1020"/>
      <c r="T578" s="1020"/>
      <c r="U578" s="1020"/>
      <c r="V578" s="1020"/>
      <c r="W578" s="1020"/>
      <c r="X578" s="1020"/>
      <c r="Y578" s="1020"/>
      <c r="Z578" s="1020"/>
      <c r="AA578" s="1020"/>
      <c r="AB578" s="1020"/>
      <c r="AC578" s="1020"/>
      <c r="AD578" s="1020"/>
      <c r="AE578" s="1020"/>
      <c r="AF578" s="1020"/>
      <c r="AG578" s="467"/>
      <c r="AH578" s="467"/>
    </row>
    <row r="579" ht="14.25" customHeight="1" spans="2:34">
      <c r="B579" s="1018"/>
      <c r="C579" s="1019"/>
      <c r="D579" s="1019"/>
      <c r="E579" s="1019"/>
      <c r="F579" s="1020"/>
      <c r="G579" s="1020"/>
      <c r="H579" s="1020"/>
      <c r="I579" s="1020"/>
      <c r="J579" s="1020"/>
      <c r="K579" s="1020"/>
      <c r="L579" s="1020"/>
      <c r="M579" s="1020"/>
      <c r="N579" s="1020"/>
      <c r="O579" s="1020"/>
      <c r="P579" s="1020"/>
      <c r="Q579" s="1020"/>
      <c r="R579" s="1020"/>
      <c r="S579" s="1020"/>
      <c r="T579" s="1020"/>
      <c r="U579" s="1020"/>
      <c r="V579" s="1020"/>
      <c r="W579" s="1020"/>
      <c r="X579" s="1020"/>
      <c r="Y579" s="1020"/>
      <c r="Z579" s="1020"/>
      <c r="AA579" s="1020"/>
      <c r="AB579" s="1020"/>
      <c r="AC579" s="1020"/>
      <c r="AD579" s="1020"/>
      <c r="AE579" s="1020"/>
      <c r="AF579" s="1020"/>
      <c r="AG579" s="467"/>
      <c r="AH579" s="467"/>
    </row>
    <row r="580" ht="14.25" customHeight="1" spans="2:34">
      <c r="B580" s="1018"/>
      <c r="C580" s="1019"/>
      <c r="D580" s="1019"/>
      <c r="E580" s="1019"/>
      <c r="F580" s="1020"/>
      <c r="G580" s="1020"/>
      <c r="H580" s="1020"/>
      <c r="I580" s="1020"/>
      <c r="J580" s="1020"/>
      <c r="K580" s="1020"/>
      <c r="L580" s="1020"/>
      <c r="M580" s="1020"/>
      <c r="N580" s="1020"/>
      <c r="O580" s="1020"/>
      <c r="P580" s="1020"/>
      <c r="Q580" s="1020"/>
      <c r="R580" s="1020"/>
      <c r="S580" s="1020"/>
      <c r="T580" s="1020"/>
      <c r="U580" s="1020"/>
      <c r="V580" s="1020"/>
      <c r="W580" s="1020"/>
      <c r="X580" s="1020"/>
      <c r="Y580" s="1020"/>
      <c r="Z580" s="1020"/>
      <c r="AA580" s="1020"/>
      <c r="AB580" s="1020"/>
      <c r="AC580" s="1020"/>
      <c r="AD580" s="1020"/>
      <c r="AE580" s="1020"/>
      <c r="AF580" s="1020"/>
      <c r="AG580" s="467"/>
      <c r="AH580" s="467"/>
    </row>
    <row r="581" ht="14.25" customHeight="1" spans="2:34">
      <c r="B581" s="1018"/>
      <c r="C581" s="1019"/>
      <c r="D581" s="1019"/>
      <c r="E581" s="1019"/>
      <c r="F581" s="1020"/>
      <c r="G581" s="1020"/>
      <c r="H581" s="1020"/>
      <c r="I581" s="1020"/>
      <c r="J581" s="1020"/>
      <c r="K581" s="1020"/>
      <c r="L581" s="1020"/>
      <c r="M581" s="1020"/>
      <c r="N581" s="1020"/>
      <c r="O581" s="1020"/>
      <c r="P581" s="1020"/>
      <c r="Q581" s="1020"/>
      <c r="R581" s="1020"/>
      <c r="S581" s="1020"/>
      <c r="T581" s="1020"/>
      <c r="U581" s="1020"/>
      <c r="V581" s="1020"/>
      <c r="W581" s="1020"/>
      <c r="X581" s="1020"/>
      <c r="Y581" s="1020"/>
      <c r="Z581" s="1020"/>
      <c r="AA581" s="1020"/>
      <c r="AB581" s="1020"/>
      <c r="AC581" s="1020"/>
      <c r="AD581" s="1020"/>
      <c r="AE581" s="1020"/>
      <c r="AF581" s="1020"/>
      <c r="AG581" s="467"/>
      <c r="AH581" s="467"/>
    </row>
    <row r="582" ht="14.25" customHeight="1" spans="2:34">
      <c r="B582" s="1018"/>
      <c r="C582" s="1019"/>
      <c r="D582" s="1019"/>
      <c r="E582" s="1019"/>
      <c r="F582" s="1020"/>
      <c r="G582" s="1020"/>
      <c r="H582" s="1020"/>
      <c r="I582" s="1020"/>
      <c r="J582" s="1020"/>
      <c r="K582" s="1020"/>
      <c r="L582" s="1020"/>
      <c r="M582" s="1020"/>
      <c r="N582" s="1020"/>
      <c r="O582" s="1020"/>
      <c r="P582" s="1020"/>
      <c r="Q582" s="1020"/>
      <c r="R582" s="1020"/>
      <c r="S582" s="1020"/>
      <c r="T582" s="1020"/>
      <c r="U582" s="1020"/>
      <c r="V582" s="1020"/>
      <c r="W582" s="1020"/>
      <c r="X582" s="1020"/>
      <c r="Y582" s="1020"/>
      <c r="Z582" s="1020"/>
      <c r="AA582" s="1020"/>
      <c r="AB582" s="1020"/>
      <c r="AC582" s="1020"/>
      <c r="AD582" s="1020"/>
      <c r="AE582" s="1020"/>
      <c r="AF582" s="1020"/>
      <c r="AG582" s="467"/>
      <c r="AH582" s="467"/>
    </row>
    <row r="583" ht="14.25" customHeight="1" spans="2:34">
      <c r="B583" s="1018"/>
      <c r="C583" s="1019"/>
      <c r="D583" s="1019"/>
      <c r="E583" s="1019"/>
      <c r="F583" s="1020"/>
      <c r="G583" s="1020"/>
      <c r="H583" s="1020"/>
      <c r="I583" s="1020"/>
      <c r="J583" s="1020"/>
      <c r="K583" s="1020"/>
      <c r="L583" s="1020"/>
      <c r="M583" s="1020"/>
      <c r="N583" s="1020"/>
      <c r="O583" s="1020"/>
      <c r="P583" s="1020"/>
      <c r="Q583" s="1020"/>
      <c r="R583" s="1020"/>
      <c r="S583" s="1020"/>
      <c r="T583" s="1020"/>
      <c r="U583" s="1020"/>
      <c r="V583" s="1020"/>
      <c r="W583" s="1020"/>
      <c r="X583" s="1020"/>
      <c r="Y583" s="1020"/>
      <c r="Z583" s="1020"/>
      <c r="AA583" s="1020"/>
      <c r="AB583" s="1020"/>
      <c r="AC583" s="1020"/>
      <c r="AD583" s="1020"/>
      <c r="AE583" s="1020"/>
      <c r="AF583" s="1020"/>
      <c r="AG583" s="467"/>
      <c r="AH583" s="467"/>
    </row>
    <row r="584" ht="14.25" customHeight="1" spans="2:34">
      <c r="B584" s="1018"/>
      <c r="C584" s="1019"/>
      <c r="D584" s="1019"/>
      <c r="E584" s="1019"/>
      <c r="F584" s="1020"/>
      <c r="G584" s="1020"/>
      <c r="H584" s="1020"/>
      <c r="I584" s="1020"/>
      <c r="J584" s="1020"/>
      <c r="K584" s="1020"/>
      <c r="L584" s="1020"/>
      <c r="M584" s="1020"/>
      <c r="N584" s="1020"/>
      <c r="O584" s="1020"/>
      <c r="P584" s="1020"/>
      <c r="Q584" s="1020"/>
      <c r="R584" s="1020"/>
      <c r="S584" s="1020"/>
      <c r="T584" s="1020"/>
      <c r="U584" s="1020"/>
      <c r="V584" s="1020"/>
      <c r="W584" s="1020"/>
      <c r="X584" s="1020"/>
      <c r="Y584" s="1020"/>
      <c r="Z584" s="1020"/>
      <c r="AA584" s="1020"/>
      <c r="AB584" s="1020"/>
      <c r="AC584" s="1020"/>
      <c r="AD584" s="1020"/>
      <c r="AE584" s="1020"/>
      <c r="AF584" s="1020"/>
      <c r="AG584" s="467"/>
      <c r="AH584" s="467"/>
    </row>
    <row r="585" ht="14.25" customHeight="1" spans="2:34">
      <c r="B585" s="1018"/>
      <c r="C585" s="1019"/>
      <c r="D585" s="1019"/>
      <c r="E585" s="1019"/>
      <c r="F585" s="1020"/>
      <c r="G585" s="1020"/>
      <c r="H585" s="1020"/>
      <c r="I585" s="1020"/>
      <c r="J585" s="1020"/>
      <c r="K585" s="1020"/>
      <c r="L585" s="1020"/>
      <c r="M585" s="1020"/>
      <c r="N585" s="1020"/>
      <c r="O585" s="1020"/>
      <c r="P585" s="1020"/>
      <c r="Q585" s="1020"/>
      <c r="R585" s="1020"/>
      <c r="S585" s="1020"/>
      <c r="T585" s="1020"/>
      <c r="U585" s="1020"/>
      <c r="V585" s="1020"/>
      <c r="W585" s="1020"/>
      <c r="X585" s="1020"/>
      <c r="Y585" s="1020"/>
      <c r="Z585" s="1020"/>
      <c r="AA585" s="1020"/>
      <c r="AB585" s="1020"/>
      <c r="AC585" s="1020"/>
      <c r="AD585" s="1020"/>
      <c r="AE585" s="1020"/>
      <c r="AF585" s="1020"/>
      <c r="AG585" s="467"/>
      <c r="AH585" s="467"/>
    </row>
    <row r="586" ht="14.25" customHeight="1" spans="2:34">
      <c r="B586" s="1018"/>
      <c r="C586" s="1019"/>
      <c r="D586" s="1019"/>
      <c r="E586" s="1019"/>
      <c r="F586" s="1020"/>
      <c r="G586" s="1020"/>
      <c r="H586" s="1020"/>
      <c r="I586" s="1020"/>
      <c r="J586" s="1020"/>
      <c r="K586" s="1020"/>
      <c r="L586" s="1020"/>
      <c r="M586" s="1020"/>
      <c r="N586" s="1020"/>
      <c r="O586" s="1020"/>
      <c r="P586" s="1020"/>
      <c r="Q586" s="1020"/>
      <c r="R586" s="1020"/>
      <c r="S586" s="1020"/>
      <c r="T586" s="1020"/>
      <c r="U586" s="1020"/>
      <c r="V586" s="1020"/>
      <c r="W586" s="1020"/>
      <c r="X586" s="1020"/>
      <c r="Y586" s="1020"/>
      <c r="Z586" s="1020"/>
      <c r="AA586" s="1020"/>
      <c r="AB586" s="1020"/>
      <c r="AC586" s="1020"/>
      <c r="AD586" s="1020"/>
      <c r="AE586" s="1020"/>
      <c r="AF586" s="1020"/>
      <c r="AG586" s="467"/>
      <c r="AH586" s="467"/>
    </row>
    <row r="587" ht="14.25" customHeight="1" spans="2:34">
      <c r="B587" s="1018"/>
      <c r="C587" s="1019"/>
      <c r="D587" s="1019"/>
      <c r="E587" s="1019"/>
      <c r="F587" s="1020"/>
      <c r="G587" s="1020"/>
      <c r="H587" s="1020"/>
      <c r="I587" s="1020"/>
      <c r="J587" s="1020"/>
      <c r="K587" s="1020"/>
      <c r="L587" s="1020"/>
      <c r="M587" s="1020"/>
      <c r="N587" s="1020"/>
      <c r="O587" s="1020"/>
      <c r="P587" s="1020"/>
      <c r="Q587" s="1020"/>
      <c r="R587" s="1020"/>
      <c r="S587" s="1020"/>
      <c r="T587" s="1020"/>
      <c r="U587" s="1020"/>
      <c r="V587" s="1020"/>
      <c r="W587" s="1020"/>
      <c r="X587" s="1020"/>
      <c r="Y587" s="1020"/>
      <c r="Z587" s="1020"/>
      <c r="AA587" s="1020"/>
      <c r="AB587" s="1020"/>
      <c r="AC587" s="1020"/>
      <c r="AD587" s="1020"/>
      <c r="AE587" s="1020"/>
      <c r="AF587" s="1020"/>
      <c r="AG587" s="467"/>
      <c r="AH587" s="467"/>
    </row>
    <row r="588" ht="14.25" customHeight="1" spans="2:34">
      <c r="B588" s="1018"/>
      <c r="C588" s="1019"/>
      <c r="D588" s="1019"/>
      <c r="E588" s="1019"/>
      <c r="F588" s="1020"/>
      <c r="G588" s="1020"/>
      <c r="H588" s="1020"/>
      <c r="I588" s="1020"/>
      <c r="J588" s="1020"/>
      <c r="K588" s="1020"/>
      <c r="L588" s="1020"/>
      <c r="M588" s="1020"/>
      <c r="N588" s="1020"/>
      <c r="O588" s="1020"/>
      <c r="P588" s="1020"/>
      <c r="Q588" s="1020"/>
      <c r="R588" s="1020"/>
      <c r="S588" s="1020"/>
      <c r="T588" s="1020"/>
      <c r="U588" s="1020"/>
      <c r="V588" s="1020"/>
      <c r="W588" s="1020"/>
      <c r="X588" s="1020"/>
      <c r="Y588" s="1020"/>
      <c r="Z588" s="1020"/>
      <c r="AA588" s="1020"/>
      <c r="AB588" s="1020"/>
      <c r="AC588" s="1020"/>
      <c r="AD588" s="1020"/>
      <c r="AE588" s="1020"/>
      <c r="AF588" s="1020"/>
      <c r="AG588" s="467"/>
      <c r="AH588" s="467"/>
    </row>
    <row r="589" ht="14.25" customHeight="1" spans="2:34">
      <c r="B589" s="1018"/>
      <c r="C589" s="1019"/>
      <c r="D589" s="1019"/>
      <c r="E589" s="1019"/>
      <c r="F589" s="1020"/>
      <c r="G589" s="1020"/>
      <c r="H589" s="1020"/>
      <c r="I589" s="1020"/>
      <c r="J589" s="1020"/>
      <c r="K589" s="1020"/>
      <c r="L589" s="1020"/>
      <c r="M589" s="1020"/>
      <c r="N589" s="1020"/>
      <c r="O589" s="1020"/>
      <c r="P589" s="1020"/>
      <c r="Q589" s="1020"/>
      <c r="R589" s="1020"/>
      <c r="S589" s="1020"/>
      <c r="T589" s="1020"/>
      <c r="U589" s="1020"/>
      <c r="V589" s="1020"/>
      <c r="W589" s="1020"/>
      <c r="X589" s="1020"/>
      <c r="Y589" s="1020"/>
      <c r="Z589" s="1020"/>
      <c r="AA589" s="1020"/>
      <c r="AB589" s="1020"/>
      <c r="AC589" s="1020"/>
      <c r="AD589" s="1020"/>
      <c r="AE589" s="1020"/>
      <c r="AF589" s="1020"/>
      <c r="AG589" s="467"/>
      <c r="AH589" s="467"/>
    </row>
    <row r="590" ht="14.25" customHeight="1" spans="2:34">
      <c r="B590" s="1018"/>
      <c r="C590" s="1019"/>
      <c r="D590" s="1019"/>
      <c r="E590" s="1019"/>
      <c r="F590" s="1020"/>
      <c r="G590" s="1020"/>
      <c r="H590" s="1020"/>
      <c r="I590" s="1020"/>
      <c r="J590" s="1020"/>
      <c r="K590" s="1020"/>
      <c r="L590" s="1020"/>
      <c r="M590" s="1020"/>
      <c r="N590" s="1020"/>
      <c r="O590" s="1020"/>
      <c r="P590" s="1020"/>
      <c r="Q590" s="1020"/>
      <c r="R590" s="1020"/>
      <c r="S590" s="1020"/>
      <c r="T590" s="1020"/>
      <c r="U590" s="1020"/>
      <c r="V590" s="1020"/>
      <c r="W590" s="1020"/>
      <c r="X590" s="1020"/>
      <c r="Y590" s="1020"/>
      <c r="Z590" s="1020"/>
      <c r="AA590" s="1020"/>
      <c r="AB590" s="1020"/>
      <c r="AC590" s="1020"/>
      <c r="AD590" s="1020"/>
      <c r="AE590" s="1020"/>
      <c r="AF590" s="1020"/>
      <c r="AG590" s="467"/>
      <c r="AH590" s="467"/>
    </row>
    <row r="591" ht="14.25" customHeight="1" spans="2:34">
      <c r="B591" s="1018"/>
      <c r="C591" s="1019"/>
      <c r="D591" s="1019"/>
      <c r="E591" s="1019"/>
      <c r="F591" s="1020"/>
      <c r="G591" s="1020"/>
      <c r="H591" s="1020"/>
      <c r="I591" s="1020"/>
      <c r="J591" s="1020"/>
      <c r="K591" s="1020"/>
      <c r="L591" s="1020"/>
      <c r="M591" s="1020"/>
      <c r="N591" s="1020"/>
      <c r="O591" s="1020"/>
      <c r="P591" s="1020"/>
      <c r="Q591" s="1020"/>
      <c r="R591" s="1020"/>
      <c r="S591" s="1020"/>
      <c r="T591" s="1020"/>
      <c r="U591" s="1020"/>
      <c r="V591" s="1020"/>
      <c r="W591" s="1020"/>
      <c r="X591" s="1020"/>
      <c r="Y591" s="1020"/>
      <c r="Z591" s="1020"/>
      <c r="AA591" s="1020"/>
      <c r="AB591" s="1020"/>
      <c r="AC591" s="1020"/>
      <c r="AD591" s="1020"/>
      <c r="AE591" s="1020"/>
      <c r="AF591" s="1020"/>
      <c r="AG591" s="467"/>
      <c r="AH591" s="467"/>
    </row>
    <row r="592" ht="14.25" customHeight="1" spans="2:34">
      <c r="B592" s="1018"/>
      <c r="C592" s="1019"/>
      <c r="D592" s="1019"/>
      <c r="E592" s="1019"/>
      <c r="F592" s="1020"/>
      <c r="G592" s="1020"/>
      <c r="H592" s="1020"/>
      <c r="I592" s="1020"/>
      <c r="J592" s="1020"/>
      <c r="K592" s="1020"/>
      <c r="L592" s="1020"/>
      <c r="M592" s="1020"/>
      <c r="N592" s="1020"/>
      <c r="O592" s="1020"/>
      <c r="P592" s="1020"/>
      <c r="Q592" s="1020"/>
      <c r="R592" s="1020"/>
      <c r="S592" s="1020"/>
      <c r="T592" s="1020"/>
      <c r="U592" s="1020"/>
      <c r="V592" s="1020"/>
      <c r="W592" s="1020"/>
      <c r="X592" s="1020"/>
      <c r="Y592" s="1020"/>
      <c r="Z592" s="1020"/>
      <c r="AA592" s="1020"/>
      <c r="AB592" s="1020"/>
      <c r="AC592" s="1020"/>
      <c r="AD592" s="1020"/>
      <c r="AE592" s="1020"/>
      <c r="AF592" s="1020"/>
      <c r="AG592" s="467"/>
      <c r="AH592" s="467"/>
    </row>
    <row r="593" ht="14.25" customHeight="1" spans="2:34">
      <c r="B593" s="1018"/>
      <c r="C593" s="1019"/>
      <c r="D593" s="1019"/>
      <c r="E593" s="1019"/>
      <c r="F593" s="1020"/>
      <c r="G593" s="1020"/>
      <c r="H593" s="1020"/>
      <c r="I593" s="1020"/>
      <c r="J593" s="1020"/>
      <c r="K593" s="1020"/>
      <c r="L593" s="1020"/>
      <c r="M593" s="1020"/>
      <c r="N593" s="1020"/>
      <c r="O593" s="1020"/>
      <c r="P593" s="1020"/>
      <c r="Q593" s="1020"/>
      <c r="R593" s="1020"/>
      <c r="S593" s="1020"/>
      <c r="T593" s="1020"/>
      <c r="U593" s="1020"/>
      <c r="V593" s="1020"/>
      <c r="W593" s="1020"/>
      <c r="X593" s="1020"/>
      <c r="Y593" s="1020"/>
      <c r="Z593" s="1020"/>
      <c r="AA593" s="1020"/>
      <c r="AB593" s="1020"/>
      <c r="AC593" s="1020"/>
      <c r="AD593" s="1020"/>
      <c r="AE593" s="1020"/>
      <c r="AF593" s="1020"/>
      <c r="AG593" s="467"/>
      <c r="AH593" s="467"/>
    </row>
    <row r="594" ht="14.25" customHeight="1" spans="2:34">
      <c r="B594" s="1018"/>
      <c r="C594" s="1019"/>
      <c r="D594" s="1019"/>
      <c r="E594" s="1019"/>
      <c r="F594" s="1020"/>
      <c r="G594" s="1020"/>
      <c r="H594" s="1020"/>
      <c r="I594" s="1020"/>
      <c r="J594" s="1020"/>
      <c r="K594" s="1020"/>
      <c r="L594" s="1020"/>
      <c r="M594" s="1020"/>
      <c r="N594" s="1020"/>
      <c r="O594" s="1020"/>
      <c r="P594" s="1020"/>
      <c r="Q594" s="1020"/>
      <c r="R594" s="1020"/>
      <c r="S594" s="1020"/>
      <c r="T594" s="1020"/>
      <c r="U594" s="1020"/>
      <c r="V594" s="1020"/>
      <c r="W594" s="1020"/>
      <c r="X594" s="1020"/>
      <c r="Y594" s="1020"/>
      <c r="Z594" s="1020"/>
      <c r="AA594" s="1020"/>
      <c r="AB594" s="1020"/>
      <c r="AC594" s="1020"/>
      <c r="AD594" s="1020"/>
      <c r="AE594" s="1020"/>
      <c r="AF594" s="1020"/>
      <c r="AG594" s="467"/>
      <c r="AH594" s="467"/>
    </row>
    <row r="595" ht="14.25" customHeight="1" spans="2:34">
      <c r="B595" s="1018"/>
      <c r="C595" s="1019"/>
      <c r="D595" s="1019"/>
      <c r="E595" s="1019"/>
      <c r="F595" s="1020"/>
      <c r="G595" s="1020"/>
      <c r="H595" s="1020"/>
      <c r="I595" s="1020"/>
      <c r="J595" s="1020"/>
      <c r="K595" s="1020"/>
      <c r="L595" s="1020"/>
      <c r="M595" s="1020"/>
      <c r="N595" s="1020"/>
      <c r="O595" s="1020"/>
      <c r="P595" s="1020"/>
      <c r="Q595" s="1020"/>
      <c r="R595" s="1020"/>
      <c r="S595" s="1020"/>
      <c r="T595" s="1020"/>
      <c r="U595" s="1020"/>
      <c r="V595" s="1020"/>
      <c r="W595" s="1020"/>
      <c r="X595" s="1020"/>
      <c r="Y595" s="1020"/>
      <c r="Z595" s="1020"/>
      <c r="AA595" s="1020"/>
      <c r="AB595" s="1020"/>
      <c r="AC595" s="1020"/>
      <c r="AD595" s="1020"/>
      <c r="AE595" s="1020"/>
      <c r="AF595" s="1020"/>
      <c r="AG595" s="467"/>
      <c r="AH595" s="467"/>
    </row>
    <row r="596" ht="14.25" customHeight="1" spans="2:34">
      <c r="B596" s="1018"/>
      <c r="C596" s="1019"/>
      <c r="D596" s="1019"/>
      <c r="E596" s="1019"/>
      <c r="F596" s="1020"/>
      <c r="G596" s="1020"/>
      <c r="H596" s="1020"/>
      <c r="I596" s="1020"/>
      <c r="J596" s="1020"/>
      <c r="K596" s="1020"/>
      <c r="L596" s="1020"/>
      <c r="M596" s="1020"/>
      <c r="N596" s="1020"/>
      <c r="O596" s="1020"/>
      <c r="P596" s="1020"/>
      <c r="Q596" s="1020"/>
      <c r="R596" s="1020"/>
      <c r="S596" s="1020"/>
      <c r="T596" s="1020"/>
      <c r="U596" s="1020"/>
      <c r="V596" s="1020"/>
      <c r="W596" s="1020"/>
      <c r="X596" s="1020"/>
      <c r="Y596" s="1020"/>
      <c r="Z596" s="1020"/>
      <c r="AA596" s="1020"/>
      <c r="AB596" s="1020"/>
      <c r="AC596" s="1020"/>
      <c r="AD596" s="1020"/>
      <c r="AE596" s="1020"/>
      <c r="AF596" s="1020"/>
      <c r="AG596" s="467"/>
      <c r="AH596" s="467"/>
    </row>
    <row r="597" ht="14.25" customHeight="1" spans="2:34">
      <c r="B597" s="1018"/>
      <c r="C597" s="1019"/>
      <c r="D597" s="1019"/>
      <c r="E597" s="1019"/>
      <c r="F597" s="1020"/>
      <c r="G597" s="1020"/>
      <c r="H597" s="1020"/>
      <c r="I597" s="1020"/>
      <c r="J597" s="1020"/>
      <c r="K597" s="1020"/>
      <c r="L597" s="1020"/>
      <c r="M597" s="1020"/>
      <c r="N597" s="1020"/>
      <c r="O597" s="1020"/>
      <c r="P597" s="1020"/>
      <c r="Q597" s="1020"/>
      <c r="R597" s="1020"/>
      <c r="S597" s="1020"/>
      <c r="T597" s="1020"/>
      <c r="U597" s="1020"/>
      <c r="V597" s="1020"/>
      <c r="W597" s="1020"/>
      <c r="X597" s="1020"/>
      <c r="Y597" s="1020"/>
      <c r="Z597" s="1020"/>
      <c r="AA597" s="1020"/>
      <c r="AB597" s="1020"/>
      <c r="AC597" s="1020"/>
      <c r="AD597" s="1020"/>
      <c r="AE597" s="1020"/>
      <c r="AF597" s="1020"/>
      <c r="AG597" s="467"/>
      <c r="AH597" s="467"/>
    </row>
    <row r="598" ht="14.25" customHeight="1" spans="2:34">
      <c r="B598" s="1018"/>
      <c r="C598" s="1019"/>
      <c r="D598" s="1019"/>
      <c r="E598" s="1019"/>
      <c r="F598" s="1020"/>
      <c r="G598" s="1020"/>
      <c r="H598" s="1020"/>
      <c r="I598" s="1020"/>
      <c r="J598" s="1020"/>
      <c r="K598" s="1020"/>
      <c r="L598" s="1020"/>
      <c r="M598" s="1020"/>
      <c r="N598" s="1020"/>
      <c r="O598" s="1020"/>
      <c r="P598" s="1020"/>
      <c r="Q598" s="1020"/>
      <c r="R598" s="1020"/>
      <c r="S598" s="1020"/>
      <c r="T598" s="1020"/>
      <c r="U598" s="1020"/>
      <c r="V598" s="1020"/>
      <c r="W598" s="1020"/>
      <c r="X598" s="1020"/>
      <c r="Y598" s="1020"/>
      <c r="Z598" s="1020"/>
      <c r="AA598" s="1020"/>
      <c r="AB598" s="1020"/>
      <c r="AC598" s="1020"/>
      <c r="AD598" s="1020"/>
      <c r="AE598" s="1020"/>
      <c r="AF598" s="1020"/>
      <c r="AG598" s="467"/>
      <c r="AH598" s="467"/>
    </row>
    <row r="599" ht="14.25" customHeight="1" spans="2:34">
      <c r="B599" s="1018"/>
      <c r="C599" s="1019"/>
      <c r="D599" s="1019"/>
      <c r="E599" s="1019"/>
      <c r="F599" s="1020"/>
      <c r="G599" s="1020"/>
      <c r="H599" s="1020"/>
      <c r="I599" s="1020"/>
      <c r="J599" s="1020"/>
      <c r="K599" s="1020"/>
      <c r="L599" s="1020"/>
      <c r="M599" s="1020"/>
      <c r="N599" s="1020"/>
      <c r="O599" s="1020"/>
      <c r="P599" s="1020"/>
      <c r="Q599" s="1020"/>
      <c r="R599" s="1020"/>
      <c r="S599" s="1020"/>
      <c r="T599" s="1020"/>
      <c r="U599" s="1020"/>
      <c r="V599" s="1020"/>
      <c r="W599" s="1020"/>
      <c r="X599" s="1020"/>
      <c r="Y599" s="1020"/>
      <c r="Z599" s="1020"/>
      <c r="AA599" s="1020"/>
      <c r="AB599" s="1020"/>
      <c r="AC599" s="1020"/>
      <c r="AD599" s="1020"/>
      <c r="AE599" s="1020"/>
      <c r="AF599" s="1020"/>
      <c r="AG599" s="467"/>
      <c r="AH599" s="467"/>
    </row>
    <row r="600" ht="14.25" customHeight="1" spans="2:34">
      <c r="B600" s="1018"/>
      <c r="C600" s="1019"/>
      <c r="D600" s="1019"/>
      <c r="E600" s="1019"/>
      <c r="F600" s="1020"/>
      <c r="G600" s="1020"/>
      <c r="H600" s="1020"/>
      <c r="I600" s="1020"/>
      <c r="J600" s="1020"/>
      <c r="K600" s="1020"/>
      <c r="L600" s="1020"/>
      <c r="M600" s="1020"/>
      <c r="N600" s="1020"/>
      <c r="O600" s="1020"/>
      <c r="P600" s="1020"/>
      <c r="Q600" s="1020"/>
      <c r="R600" s="1020"/>
      <c r="S600" s="1020"/>
      <c r="T600" s="1020"/>
      <c r="U600" s="1020"/>
      <c r="V600" s="1020"/>
      <c r="W600" s="1020"/>
      <c r="X600" s="1020"/>
      <c r="Y600" s="1020"/>
      <c r="Z600" s="1020"/>
      <c r="AA600" s="1020"/>
      <c r="AB600" s="1020"/>
      <c r="AC600" s="1020"/>
      <c r="AD600" s="1020"/>
      <c r="AE600" s="1020"/>
      <c r="AF600" s="1020"/>
      <c r="AG600" s="467"/>
      <c r="AH600" s="467"/>
    </row>
    <row r="601" ht="14.25" customHeight="1" spans="2:34">
      <c r="B601" s="1018"/>
      <c r="C601" s="1019"/>
      <c r="D601" s="1019"/>
      <c r="E601" s="1019"/>
      <c r="F601" s="1020"/>
      <c r="G601" s="1020"/>
      <c r="H601" s="1020"/>
      <c r="I601" s="1020"/>
      <c r="J601" s="1020"/>
      <c r="K601" s="1020"/>
      <c r="L601" s="1020"/>
      <c r="M601" s="1020"/>
      <c r="N601" s="1020"/>
      <c r="O601" s="1020"/>
      <c r="P601" s="1020"/>
      <c r="Q601" s="1020"/>
      <c r="R601" s="1020"/>
      <c r="S601" s="1020"/>
      <c r="T601" s="1020"/>
      <c r="U601" s="1020"/>
      <c r="V601" s="1020"/>
      <c r="W601" s="1020"/>
      <c r="X601" s="1020"/>
      <c r="Y601" s="1020"/>
      <c r="Z601" s="1020"/>
      <c r="AA601" s="1020"/>
      <c r="AB601" s="1020"/>
      <c r="AC601" s="1020"/>
      <c r="AD601" s="1020"/>
      <c r="AE601" s="1020"/>
      <c r="AF601" s="1020"/>
      <c r="AG601" s="467"/>
      <c r="AH601" s="467"/>
    </row>
    <row r="602" ht="14.25" customHeight="1" spans="2:34">
      <c r="B602" s="1018"/>
      <c r="C602" s="1019"/>
      <c r="D602" s="1019"/>
      <c r="E602" s="1019"/>
      <c r="F602" s="1020"/>
      <c r="G602" s="1020"/>
      <c r="H602" s="1020"/>
      <c r="I602" s="1020"/>
      <c r="J602" s="1020"/>
      <c r="K602" s="1020"/>
      <c r="L602" s="1020"/>
      <c r="M602" s="1020"/>
      <c r="N602" s="1020"/>
      <c r="O602" s="1020"/>
      <c r="P602" s="1020"/>
      <c r="Q602" s="1020"/>
      <c r="R602" s="1020"/>
      <c r="S602" s="1020"/>
      <c r="T602" s="1020"/>
      <c r="U602" s="1020"/>
      <c r="V602" s="1020"/>
      <c r="W602" s="1020"/>
      <c r="X602" s="1020"/>
      <c r="Y602" s="1020"/>
      <c r="Z602" s="1020"/>
      <c r="AA602" s="1020"/>
      <c r="AB602" s="1020"/>
      <c r="AC602" s="1020"/>
      <c r="AD602" s="1020"/>
      <c r="AE602" s="1020"/>
      <c r="AF602" s="1020"/>
      <c r="AG602" s="467"/>
      <c r="AH602" s="467"/>
    </row>
    <row r="603" ht="14.25" customHeight="1" spans="2:34">
      <c r="B603" s="1018"/>
      <c r="C603" s="1019"/>
      <c r="D603" s="1019"/>
      <c r="E603" s="1019"/>
      <c r="F603" s="1020"/>
      <c r="G603" s="1020"/>
      <c r="H603" s="1020"/>
      <c r="I603" s="1020"/>
      <c r="J603" s="1020"/>
      <c r="K603" s="1020"/>
      <c r="L603" s="1020"/>
      <c r="M603" s="1020"/>
      <c r="N603" s="1020"/>
      <c r="O603" s="1020"/>
      <c r="P603" s="1020"/>
      <c r="Q603" s="1020"/>
      <c r="R603" s="1020"/>
      <c r="S603" s="1020"/>
      <c r="T603" s="1020"/>
      <c r="U603" s="1020"/>
      <c r="V603" s="1020"/>
      <c r="W603" s="1020"/>
      <c r="X603" s="1020"/>
      <c r="Y603" s="1020"/>
      <c r="Z603" s="1020"/>
      <c r="AA603" s="1020"/>
      <c r="AB603" s="1020"/>
      <c r="AC603" s="1020"/>
      <c r="AD603" s="1020"/>
      <c r="AE603" s="1020"/>
      <c r="AF603" s="1020"/>
      <c r="AG603" s="467"/>
      <c r="AH603" s="467"/>
    </row>
    <row r="604" ht="14.25" customHeight="1" spans="2:34">
      <c r="B604" s="1018"/>
      <c r="C604" s="1019"/>
      <c r="D604" s="1019"/>
      <c r="E604" s="1019"/>
      <c r="F604" s="1020"/>
      <c r="G604" s="1020"/>
      <c r="H604" s="1020"/>
      <c r="I604" s="1020"/>
      <c r="J604" s="1020"/>
      <c r="K604" s="1020"/>
      <c r="L604" s="1020"/>
      <c r="M604" s="1020"/>
      <c r="N604" s="1020"/>
      <c r="O604" s="1020"/>
      <c r="P604" s="1020"/>
      <c r="Q604" s="1020"/>
      <c r="R604" s="1020"/>
      <c r="S604" s="1020"/>
      <c r="T604" s="1020"/>
      <c r="U604" s="1020"/>
      <c r="V604" s="1020"/>
      <c r="W604" s="1020"/>
      <c r="X604" s="1020"/>
      <c r="Y604" s="1020"/>
      <c r="Z604" s="1020"/>
      <c r="AA604" s="1020"/>
      <c r="AB604" s="1020"/>
      <c r="AC604" s="1020"/>
      <c r="AD604" s="1020"/>
      <c r="AE604" s="1020"/>
      <c r="AF604" s="1020"/>
      <c r="AG604" s="467"/>
      <c r="AH604" s="467"/>
    </row>
    <row r="605" ht="14.25" customHeight="1" spans="2:34">
      <c r="B605" s="1018"/>
      <c r="C605" s="1019"/>
      <c r="D605" s="1019"/>
      <c r="E605" s="1019"/>
      <c r="F605" s="1020"/>
      <c r="G605" s="1020"/>
      <c r="H605" s="1020"/>
      <c r="I605" s="1020"/>
      <c r="J605" s="1020"/>
      <c r="K605" s="1020"/>
      <c r="L605" s="1020"/>
      <c r="M605" s="1020"/>
      <c r="N605" s="1020"/>
      <c r="O605" s="1020"/>
      <c r="P605" s="1020"/>
      <c r="Q605" s="1020"/>
      <c r="R605" s="1020"/>
      <c r="S605" s="1020"/>
      <c r="T605" s="1020"/>
      <c r="U605" s="1020"/>
      <c r="V605" s="1020"/>
      <c r="W605" s="1020"/>
      <c r="X605" s="1020"/>
      <c r="Y605" s="1020"/>
      <c r="Z605" s="1020"/>
      <c r="AA605" s="1020"/>
      <c r="AB605" s="1020"/>
      <c r="AC605" s="1020"/>
      <c r="AD605" s="1020"/>
      <c r="AE605" s="1020"/>
      <c r="AF605" s="1020"/>
      <c r="AG605" s="467"/>
      <c r="AH605" s="467"/>
    </row>
    <row r="606" ht="14.25" customHeight="1" spans="2:34">
      <c r="B606" s="1018"/>
      <c r="C606" s="1019"/>
      <c r="D606" s="1019"/>
      <c r="E606" s="1019"/>
      <c r="F606" s="1020"/>
      <c r="G606" s="1020"/>
      <c r="H606" s="1020"/>
      <c r="I606" s="1020"/>
      <c r="J606" s="1020"/>
      <c r="K606" s="1020"/>
      <c r="L606" s="1020"/>
      <c r="M606" s="1020"/>
      <c r="N606" s="1020"/>
      <c r="O606" s="1020"/>
      <c r="P606" s="1020"/>
      <c r="Q606" s="1020"/>
      <c r="R606" s="1020"/>
      <c r="S606" s="1020"/>
      <c r="T606" s="1020"/>
      <c r="U606" s="1020"/>
      <c r="V606" s="1020"/>
      <c r="W606" s="1020"/>
      <c r="X606" s="1020"/>
      <c r="Y606" s="1020"/>
      <c r="Z606" s="1020"/>
      <c r="AA606" s="1020"/>
      <c r="AB606" s="1020"/>
      <c r="AC606" s="1020"/>
      <c r="AD606" s="1020"/>
      <c r="AE606" s="1020"/>
      <c r="AF606" s="1020"/>
      <c r="AG606" s="467"/>
      <c r="AH606" s="467"/>
    </row>
    <row r="607" ht="14.25" customHeight="1" spans="2:34">
      <c r="B607" s="1018"/>
      <c r="C607" s="1019"/>
      <c r="D607" s="1019"/>
      <c r="E607" s="1019"/>
      <c r="F607" s="1020"/>
      <c r="G607" s="1020"/>
      <c r="H607" s="1020"/>
      <c r="I607" s="1020"/>
      <c r="J607" s="1020"/>
      <c r="K607" s="1020"/>
      <c r="L607" s="1020"/>
      <c r="M607" s="1020"/>
      <c r="N607" s="1020"/>
      <c r="O607" s="1020"/>
      <c r="P607" s="1020"/>
      <c r="Q607" s="1020"/>
      <c r="R607" s="1020"/>
      <c r="S607" s="1020"/>
      <c r="T607" s="1020"/>
      <c r="U607" s="1020"/>
      <c r="V607" s="1020"/>
      <c r="W607" s="1020"/>
      <c r="X607" s="1020"/>
      <c r="Y607" s="1020"/>
      <c r="Z607" s="1020"/>
      <c r="AA607" s="1020"/>
      <c r="AB607" s="1020"/>
      <c r="AC607" s="1020"/>
      <c r="AD607" s="1020"/>
      <c r="AE607" s="1020"/>
      <c r="AF607" s="1020"/>
      <c r="AG607" s="467"/>
      <c r="AH607" s="467"/>
    </row>
    <row r="608" ht="14.25" customHeight="1" spans="2:34">
      <c r="B608" s="1018"/>
      <c r="C608" s="1019"/>
      <c r="D608" s="1019"/>
      <c r="E608" s="1019"/>
      <c r="F608" s="1020"/>
      <c r="G608" s="1020"/>
      <c r="H608" s="1020"/>
      <c r="I608" s="1020"/>
      <c r="J608" s="1020"/>
      <c r="K608" s="1020"/>
      <c r="L608" s="1020"/>
      <c r="M608" s="1020"/>
      <c r="N608" s="1020"/>
      <c r="O608" s="1020"/>
      <c r="P608" s="1020"/>
      <c r="Q608" s="1020"/>
      <c r="R608" s="1020"/>
      <c r="S608" s="1020"/>
      <c r="T608" s="1020"/>
      <c r="U608" s="1020"/>
      <c r="V608" s="1020"/>
      <c r="W608" s="1020"/>
      <c r="X608" s="1020"/>
      <c r="Y608" s="1020"/>
      <c r="Z608" s="1020"/>
      <c r="AA608" s="1020"/>
      <c r="AB608" s="1020"/>
      <c r="AC608" s="1020"/>
      <c r="AD608" s="1020"/>
      <c r="AE608" s="1020"/>
      <c r="AF608" s="1020"/>
      <c r="AG608" s="467"/>
      <c r="AH608" s="467"/>
    </row>
    <row r="609" ht="14.25" customHeight="1" spans="2:34">
      <c r="B609" s="1018"/>
      <c r="C609" s="1019"/>
      <c r="D609" s="1019"/>
      <c r="E609" s="1019"/>
      <c r="F609" s="1020"/>
      <c r="G609" s="1020"/>
      <c r="H609" s="1020"/>
      <c r="I609" s="1020"/>
      <c r="J609" s="1020"/>
      <c r="K609" s="1020"/>
      <c r="L609" s="1020"/>
      <c r="M609" s="1020"/>
      <c r="N609" s="1020"/>
      <c r="O609" s="1020"/>
      <c r="P609" s="1020"/>
      <c r="Q609" s="1020"/>
      <c r="R609" s="1020"/>
      <c r="S609" s="1020"/>
      <c r="T609" s="1020"/>
      <c r="U609" s="1020"/>
      <c r="V609" s="1020"/>
      <c r="W609" s="1020"/>
      <c r="X609" s="1020"/>
      <c r="Y609" s="1020"/>
      <c r="Z609" s="1020"/>
      <c r="AA609" s="1020"/>
      <c r="AB609" s="1020"/>
      <c r="AC609" s="1020"/>
      <c r="AD609" s="1020"/>
      <c r="AE609" s="1020"/>
      <c r="AF609" s="1020"/>
      <c r="AG609" s="467"/>
      <c r="AH609" s="467"/>
    </row>
    <row r="610" ht="14.25" customHeight="1" spans="2:34">
      <c r="B610" s="1018"/>
      <c r="C610" s="1019"/>
      <c r="D610" s="1019"/>
      <c r="E610" s="1019"/>
      <c r="F610" s="1020"/>
      <c r="G610" s="1020"/>
      <c r="H610" s="1020"/>
      <c r="I610" s="1020"/>
      <c r="J610" s="1020"/>
      <c r="K610" s="1020"/>
      <c r="L610" s="1020"/>
      <c r="M610" s="1020"/>
      <c r="N610" s="1020"/>
      <c r="O610" s="1020"/>
      <c r="P610" s="1020"/>
      <c r="Q610" s="1020"/>
      <c r="R610" s="1020"/>
      <c r="S610" s="1020"/>
      <c r="T610" s="1020"/>
      <c r="U610" s="1020"/>
      <c r="V610" s="1020"/>
      <c r="W610" s="1020"/>
      <c r="X610" s="1020"/>
      <c r="Y610" s="1020"/>
      <c r="Z610" s="1020"/>
      <c r="AA610" s="1020"/>
      <c r="AB610" s="1020"/>
      <c r="AC610" s="1020"/>
      <c r="AD610" s="1020"/>
      <c r="AE610" s="1020"/>
      <c r="AF610" s="1020"/>
      <c r="AG610" s="467"/>
      <c r="AH610" s="467"/>
    </row>
    <row r="611" ht="14.25" customHeight="1" spans="2:34">
      <c r="B611" s="1018"/>
      <c r="C611" s="1019"/>
      <c r="D611" s="1019"/>
      <c r="E611" s="1019"/>
      <c r="F611" s="1020"/>
      <c r="G611" s="1020"/>
      <c r="H611" s="1020"/>
      <c r="I611" s="1020"/>
      <c r="J611" s="1020"/>
      <c r="K611" s="1020"/>
      <c r="L611" s="1020"/>
      <c r="M611" s="1020"/>
      <c r="N611" s="1020"/>
      <c r="O611" s="1020"/>
      <c r="P611" s="1020"/>
      <c r="Q611" s="1020"/>
      <c r="R611" s="1020"/>
      <c r="S611" s="1020"/>
      <c r="T611" s="1020"/>
      <c r="U611" s="1020"/>
      <c r="V611" s="1020"/>
      <c r="W611" s="1020"/>
      <c r="X611" s="1020"/>
      <c r="Y611" s="1020"/>
      <c r="Z611" s="1020"/>
      <c r="AA611" s="1020"/>
      <c r="AB611" s="1020"/>
      <c r="AC611" s="1020"/>
      <c r="AD611" s="1020"/>
      <c r="AE611" s="1020"/>
      <c r="AF611" s="1020"/>
      <c r="AG611" s="467"/>
      <c r="AH611" s="467"/>
    </row>
    <row r="612" ht="14.25" customHeight="1" spans="2:34">
      <c r="B612" s="1018"/>
      <c r="C612" s="1019"/>
      <c r="D612" s="1019"/>
      <c r="E612" s="1019"/>
      <c r="F612" s="1020"/>
      <c r="G612" s="1020"/>
      <c r="H612" s="1020"/>
      <c r="I612" s="1020"/>
      <c r="J612" s="1020"/>
      <c r="K612" s="1020"/>
      <c r="L612" s="1020"/>
      <c r="M612" s="1020"/>
      <c r="N612" s="1020"/>
      <c r="O612" s="1020"/>
      <c r="P612" s="1020"/>
      <c r="Q612" s="1020"/>
      <c r="R612" s="1020"/>
      <c r="S612" s="1020"/>
      <c r="T612" s="1020"/>
      <c r="U612" s="1020"/>
      <c r="V612" s="1020"/>
      <c r="W612" s="1020"/>
      <c r="X612" s="1020"/>
      <c r="Y612" s="1020"/>
      <c r="Z612" s="1020"/>
      <c r="AA612" s="1020"/>
      <c r="AB612" s="1020"/>
      <c r="AC612" s="1020"/>
      <c r="AD612" s="1020"/>
      <c r="AE612" s="1020"/>
      <c r="AF612" s="1020"/>
      <c r="AG612" s="467"/>
      <c r="AH612" s="467"/>
    </row>
    <row r="613" ht="14.25" customHeight="1" spans="2:34">
      <c r="B613" s="1018"/>
      <c r="C613" s="1019"/>
      <c r="D613" s="1019"/>
      <c r="E613" s="1019"/>
      <c r="F613" s="1020"/>
      <c r="G613" s="1020"/>
      <c r="H613" s="1020"/>
      <c r="I613" s="1020"/>
      <c r="J613" s="1020"/>
      <c r="K613" s="1020"/>
      <c r="L613" s="1020"/>
      <c r="M613" s="1020"/>
      <c r="N613" s="1020"/>
      <c r="O613" s="1020"/>
      <c r="P613" s="1020"/>
      <c r="Q613" s="1020"/>
      <c r="R613" s="1020"/>
      <c r="S613" s="1020"/>
      <c r="T613" s="1020"/>
      <c r="U613" s="1020"/>
      <c r="V613" s="1020"/>
      <c r="W613" s="1020"/>
      <c r="X613" s="1020"/>
      <c r="Y613" s="1020"/>
      <c r="Z613" s="1020"/>
      <c r="AA613" s="1020"/>
      <c r="AB613" s="1020"/>
      <c r="AC613" s="1020"/>
      <c r="AD613" s="1020"/>
      <c r="AE613" s="1020"/>
      <c r="AF613" s="1020"/>
      <c r="AG613" s="467"/>
      <c r="AH613" s="467"/>
    </row>
    <row r="614" ht="14.25" customHeight="1" spans="2:34">
      <c r="B614" s="1018"/>
      <c r="C614" s="1019"/>
      <c r="D614" s="1019"/>
      <c r="E614" s="1019"/>
      <c r="F614" s="1020"/>
      <c r="G614" s="1020"/>
      <c r="H614" s="1020"/>
      <c r="I614" s="1020"/>
      <c r="J614" s="1020"/>
      <c r="K614" s="1020"/>
      <c r="L614" s="1020"/>
      <c r="M614" s="1020"/>
      <c r="N614" s="1020"/>
      <c r="O614" s="1020"/>
      <c r="P614" s="1020"/>
      <c r="Q614" s="1020"/>
      <c r="R614" s="1020"/>
      <c r="S614" s="1020"/>
      <c r="T614" s="1020"/>
      <c r="U614" s="1020"/>
      <c r="V614" s="1020"/>
      <c r="W614" s="1020"/>
      <c r="X614" s="1020"/>
      <c r="Y614" s="1020"/>
      <c r="Z614" s="1020"/>
      <c r="AA614" s="1020"/>
      <c r="AB614" s="1020"/>
      <c r="AC614" s="1020"/>
      <c r="AD614" s="1020"/>
      <c r="AE614" s="1020"/>
      <c r="AF614" s="1020"/>
      <c r="AG614" s="467"/>
      <c r="AH614" s="467"/>
    </row>
    <row r="615" ht="14.25" customHeight="1" spans="2:34">
      <c r="B615" s="1018"/>
      <c r="C615" s="1019"/>
      <c r="D615" s="1019"/>
      <c r="E615" s="1019"/>
      <c r="F615" s="1020"/>
      <c r="G615" s="1020"/>
      <c r="H615" s="1020"/>
      <c r="I615" s="1020"/>
      <c r="J615" s="1020"/>
      <c r="K615" s="1020"/>
      <c r="L615" s="1020"/>
      <c r="M615" s="1020"/>
      <c r="N615" s="1020"/>
      <c r="O615" s="1020"/>
      <c r="P615" s="1020"/>
      <c r="Q615" s="1020"/>
      <c r="R615" s="1020"/>
      <c r="S615" s="1020"/>
      <c r="T615" s="1020"/>
      <c r="U615" s="1020"/>
      <c r="V615" s="1020"/>
      <c r="W615" s="1020"/>
      <c r="X615" s="1020"/>
      <c r="Y615" s="1020"/>
      <c r="Z615" s="1020"/>
      <c r="AA615" s="1020"/>
      <c r="AB615" s="1020"/>
      <c r="AC615" s="1020"/>
      <c r="AD615" s="1020"/>
      <c r="AE615" s="1020"/>
      <c r="AF615" s="1020"/>
      <c r="AG615" s="467"/>
      <c r="AH615" s="467"/>
    </row>
    <row r="616" ht="14.25" customHeight="1" spans="2:34">
      <c r="B616" s="1018"/>
      <c r="C616" s="1019"/>
      <c r="D616" s="1019"/>
      <c r="E616" s="1019"/>
      <c r="F616" s="1020"/>
      <c r="G616" s="1020"/>
      <c r="H616" s="1020"/>
      <c r="I616" s="1020"/>
      <c r="J616" s="1020"/>
      <c r="K616" s="1020"/>
      <c r="L616" s="1020"/>
      <c r="M616" s="1020"/>
      <c r="N616" s="1020"/>
      <c r="O616" s="1020"/>
      <c r="P616" s="1020"/>
      <c r="Q616" s="1020"/>
      <c r="R616" s="1020"/>
      <c r="S616" s="1020"/>
      <c r="T616" s="1020"/>
      <c r="U616" s="1020"/>
      <c r="V616" s="1020"/>
      <c r="W616" s="1020"/>
      <c r="X616" s="1020"/>
      <c r="Y616" s="1020"/>
      <c r="Z616" s="1020"/>
      <c r="AA616" s="1020"/>
      <c r="AB616" s="1020"/>
      <c r="AC616" s="1020"/>
      <c r="AD616" s="1020"/>
      <c r="AE616" s="1020"/>
      <c r="AF616" s="1020"/>
      <c r="AG616" s="467"/>
      <c r="AH616" s="467"/>
    </row>
    <row r="617" ht="14.25" customHeight="1" spans="2:34">
      <c r="B617" s="1018"/>
      <c r="C617" s="1019"/>
      <c r="D617" s="1019"/>
      <c r="E617" s="1019"/>
      <c r="F617" s="1020"/>
      <c r="G617" s="1020"/>
      <c r="H617" s="1020"/>
      <c r="I617" s="1020"/>
      <c r="J617" s="1020"/>
      <c r="K617" s="1020"/>
      <c r="L617" s="1020"/>
      <c r="M617" s="1020"/>
      <c r="N617" s="1020"/>
      <c r="O617" s="1020"/>
      <c r="P617" s="1020"/>
      <c r="Q617" s="1020"/>
      <c r="R617" s="1020"/>
      <c r="S617" s="1020"/>
      <c r="T617" s="1020"/>
      <c r="U617" s="1020"/>
      <c r="V617" s="1020"/>
      <c r="W617" s="1020"/>
      <c r="X617" s="1020"/>
      <c r="Y617" s="1020"/>
      <c r="Z617" s="1020"/>
      <c r="AA617" s="1020"/>
      <c r="AB617" s="1020"/>
      <c r="AC617" s="1020"/>
      <c r="AD617" s="1020"/>
      <c r="AE617" s="1020"/>
      <c r="AF617" s="1020"/>
      <c r="AG617" s="467"/>
      <c r="AH617" s="467"/>
    </row>
    <row r="618" ht="14.25" customHeight="1" spans="2:34">
      <c r="B618" s="1018"/>
      <c r="C618" s="1019"/>
      <c r="D618" s="1019"/>
      <c r="E618" s="1019"/>
      <c r="F618" s="1020"/>
      <c r="G618" s="1020"/>
      <c r="H618" s="1020"/>
      <c r="I618" s="1020"/>
      <c r="J618" s="1020"/>
      <c r="K618" s="1020"/>
      <c r="L618" s="1020"/>
      <c r="M618" s="1020"/>
      <c r="N618" s="1020"/>
      <c r="O618" s="1020"/>
      <c r="P618" s="1020"/>
      <c r="Q618" s="1020"/>
      <c r="R618" s="1020"/>
      <c r="S618" s="1020"/>
      <c r="T618" s="1020"/>
      <c r="U618" s="1020"/>
      <c r="V618" s="1020"/>
      <c r="W618" s="1020"/>
      <c r="X618" s="1020"/>
      <c r="Y618" s="1020"/>
      <c r="Z618" s="1020"/>
      <c r="AA618" s="1020"/>
      <c r="AB618" s="1020"/>
      <c r="AC618" s="1020"/>
      <c r="AD618" s="1020"/>
      <c r="AE618" s="1020"/>
      <c r="AF618" s="1020"/>
      <c r="AG618" s="467"/>
      <c r="AH618" s="467"/>
    </row>
    <row r="619" ht="14.25" customHeight="1" spans="2:34">
      <c r="B619" s="1018"/>
      <c r="C619" s="1019"/>
      <c r="D619" s="1019"/>
      <c r="E619" s="1019"/>
      <c r="F619" s="1020"/>
      <c r="G619" s="1020"/>
      <c r="H619" s="1020"/>
      <c r="I619" s="1020"/>
      <c r="J619" s="1020"/>
      <c r="K619" s="1020"/>
      <c r="L619" s="1020"/>
      <c r="M619" s="1020"/>
      <c r="N619" s="1020"/>
      <c r="O619" s="1020"/>
      <c r="P619" s="1020"/>
      <c r="Q619" s="1020"/>
      <c r="R619" s="1020"/>
      <c r="S619" s="1020"/>
      <c r="T619" s="1020"/>
      <c r="U619" s="1020"/>
      <c r="V619" s="1020"/>
      <c r="W619" s="1020"/>
      <c r="X619" s="1020"/>
      <c r="Y619" s="1020"/>
      <c r="Z619" s="1020"/>
      <c r="AA619" s="1020"/>
      <c r="AB619" s="1020"/>
      <c r="AC619" s="1020"/>
      <c r="AD619" s="1020"/>
      <c r="AE619" s="1020"/>
      <c r="AF619" s="1020"/>
      <c r="AG619" s="467"/>
      <c r="AH619" s="467"/>
    </row>
    <row r="620" ht="14.25" customHeight="1" spans="2:34">
      <c r="B620" s="1018"/>
      <c r="C620" s="1019"/>
      <c r="D620" s="1019"/>
      <c r="E620" s="1019"/>
      <c r="F620" s="1020"/>
      <c r="G620" s="1020"/>
      <c r="H620" s="1020"/>
      <c r="I620" s="1020"/>
      <c r="J620" s="1020"/>
      <c r="K620" s="1020"/>
      <c r="L620" s="1020"/>
      <c r="M620" s="1020"/>
      <c r="N620" s="1020"/>
      <c r="O620" s="1020"/>
      <c r="P620" s="1020"/>
      <c r="Q620" s="1020"/>
      <c r="R620" s="1020"/>
      <c r="S620" s="1020"/>
      <c r="T620" s="1020"/>
      <c r="U620" s="1020"/>
      <c r="V620" s="1020"/>
      <c r="W620" s="1020"/>
      <c r="X620" s="1020"/>
      <c r="Y620" s="1020"/>
      <c r="Z620" s="1020"/>
      <c r="AA620" s="1020"/>
      <c r="AB620" s="1020"/>
      <c r="AC620" s="1020"/>
      <c r="AD620" s="1020"/>
      <c r="AE620" s="1020"/>
      <c r="AF620" s="1020"/>
      <c r="AG620" s="467"/>
      <c r="AH620" s="467"/>
    </row>
    <row r="621" ht="14.25" customHeight="1" spans="2:34">
      <c r="B621" s="1018"/>
      <c r="C621" s="1019"/>
      <c r="D621" s="1019"/>
      <c r="E621" s="1019"/>
      <c r="F621" s="1020"/>
      <c r="G621" s="1020"/>
      <c r="H621" s="1020"/>
      <c r="I621" s="1020"/>
      <c r="J621" s="1020"/>
      <c r="K621" s="1020"/>
      <c r="L621" s="1020"/>
      <c r="M621" s="1020"/>
      <c r="N621" s="1020"/>
      <c r="O621" s="1020"/>
      <c r="P621" s="1020"/>
      <c r="Q621" s="1020"/>
      <c r="R621" s="1020"/>
      <c r="S621" s="1020"/>
      <c r="T621" s="1020"/>
      <c r="U621" s="1020"/>
      <c r="V621" s="1020"/>
      <c r="W621" s="1020"/>
      <c r="X621" s="1020"/>
      <c r="Y621" s="1020"/>
      <c r="Z621" s="1020"/>
      <c r="AA621" s="1020"/>
      <c r="AB621" s="1020"/>
      <c r="AC621" s="1020"/>
      <c r="AD621" s="1020"/>
      <c r="AE621" s="1020"/>
      <c r="AF621" s="1020"/>
      <c r="AG621" s="467"/>
      <c r="AH621" s="467"/>
    </row>
    <row r="622" ht="14.25" customHeight="1" spans="2:34">
      <c r="B622" s="1018"/>
      <c r="C622" s="1019"/>
      <c r="D622" s="1019"/>
      <c r="E622" s="1019"/>
      <c r="F622" s="1020"/>
      <c r="G622" s="1020"/>
      <c r="H622" s="1020"/>
      <c r="I622" s="1020"/>
      <c r="J622" s="1020"/>
      <c r="K622" s="1020"/>
      <c r="L622" s="1020"/>
      <c r="M622" s="1020"/>
      <c r="N622" s="1020"/>
      <c r="O622" s="1020"/>
      <c r="P622" s="1020"/>
      <c r="Q622" s="1020"/>
      <c r="R622" s="1020"/>
      <c r="S622" s="1020"/>
      <c r="T622" s="1020"/>
      <c r="U622" s="1020"/>
      <c r="V622" s="1020"/>
      <c r="W622" s="1020"/>
      <c r="X622" s="1020"/>
      <c r="Y622" s="1020"/>
      <c r="Z622" s="1020"/>
      <c r="AA622" s="1020"/>
      <c r="AB622" s="1020"/>
      <c r="AC622" s="1020"/>
      <c r="AD622" s="1020"/>
      <c r="AE622" s="1020"/>
      <c r="AF622" s="1020"/>
      <c r="AG622" s="467"/>
      <c r="AH622" s="467"/>
    </row>
    <row r="623" ht="14.25" customHeight="1" spans="2:34">
      <c r="B623" s="1018"/>
      <c r="C623" s="1019"/>
      <c r="D623" s="1019"/>
      <c r="E623" s="1019"/>
      <c r="F623" s="1020"/>
      <c r="G623" s="1020"/>
      <c r="H623" s="1020"/>
      <c r="I623" s="1020"/>
      <c r="J623" s="1020"/>
      <c r="K623" s="1020"/>
      <c r="L623" s="1020"/>
      <c r="M623" s="1020"/>
      <c r="N623" s="1020"/>
      <c r="O623" s="1020"/>
      <c r="P623" s="1020"/>
      <c r="Q623" s="1020"/>
      <c r="R623" s="1020"/>
      <c r="S623" s="1020"/>
      <c r="T623" s="1020"/>
      <c r="U623" s="1020"/>
      <c r="V623" s="1020"/>
      <c r="W623" s="1020"/>
      <c r="X623" s="1020"/>
      <c r="Y623" s="1020"/>
      <c r="Z623" s="1020"/>
      <c r="AA623" s="1020"/>
      <c r="AB623" s="1020"/>
      <c r="AC623" s="1020"/>
      <c r="AD623" s="1020"/>
      <c r="AE623" s="1020"/>
      <c r="AF623" s="1020"/>
      <c r="AG623" s="467"/>
      <c r="AH623" s="467"/>
    </row>
    <row r="624" ht="14.25" customHeight="1" spans="2:34">
      <c r="B624" s="1018"/>
      <c r="C624" s="1019"/>
      <c r="D624" s="1019"/>
      <c r="E624" s="1019"/>
      <c r="F624" s="1020"/>
      <c r="G624" s="1020"/>
      <c r="H624" s="1020"/>
      <c r="I624" s="1020"/>
      <c r="J624" s="1020"/>
      <c r="K624" s="1020"/>
      <c r="L624" s="1020"/>
      <c r="M624" s="1020"/>
      <c r="N624" s="1020"/>
      <c r="O624" s="1020"/>
      <c r="P624" s="1020"/>
      <c r="Q624" s="1020"/>
      <c r="R624" s="1020"/>
      <c r="S624" s="1020"/>
      <c r="T624" s="1020"/>
      <c r="U624" s="1020"/>
      <c r="V624" s="1020"/>
      <c r="W624" s="1020"/>
      <c r="X624" s="1020"/>
      <c r="Y624" s="1020"/>
      <c r="Z624" s="1020"/>
      <c r="AA624" s="1020"/>
      <c r="AB624" s="1020"/>
      <c r="AC624" s="1020"/>
      <c r="AD624" s="1020"/>
      <c r="AE624" s="1020"/>
      <c r="AF624" s="1020"/>
      <c r="AG624" s="467"/>
      <c r="AH624" s="467"/>
    </row>
    <row r="625" ht="14.25" customHeight="1" spans="2:34">
      <c r="B625" s="1018"/>
      <c r="C625" s="1019"/>
      <c r="D625" s="1019"/>
      <c r="E625" s="1019"/>
      <c r="F625" s="1020"/>
      <c r="G625" s="1020"/>
      <c r="H625" s="1020"/>
      <c r="I625" s="1020"/>
      <c r="J625" s="1020"/>
      <c r="K625" s="1020"/>
      <c r="L625" s="1020"/>
      <c r="M625" s="1020"/>
      <c r="N625" s="1020"/>
      <c r="O625" s="1020"/>
      <c r="P625" s="1020"/>
      <c r="Q625" s="1020"/>
      <c r="R625" s="1020"/>
      <c r="S625" s="1020"/>
      <c r="T625" s="1020"/>
      <c r="U625" s="1020"/>
      <c r="V625" s="1020"/>
      <c r="W625" s="1020"/>
      <c r="X625" s="1020"/>
      <c r="Y625" s="1020"/>
      <c r="Z625" s="1020"/>
      <c r="AA625" s="1020"/>
      <c r="AB625" s="1020"/>
      <c r="AC625" s="1020"/>
      <c r="AD625" s="1020"/>
      <c r="AE625" s="1020"/>
      <c r="AF625" s="1020"/>
      <c r="AG625" s="467"/>
      <c r="AH625" s="467"/>
    </row>
    <row r="626" ht="14.25" customHeight="1" spans="2:34">
      <c r="B626" s="1018"/>
      <c r="C626" s="1019"/>
      <c r="D626" s="1019"/>
      <c r="E626" s="1019"/>
      <c r="F626" s="1020"/>
      <c r="G626" s="1020"/>
      <c r="H626" s="1020"/>
      <c r="I626" s="1020"/>
      <c r="J626" s="1020"/>
      <c r="K626" s="1020"/>
      <c r="L626" s="1020"/>
      <c r="M626" s="1020"/>
      <c r="N626" s="1020"/>
      <c r="O626" s="1020"/>
      <c r="P626" s="1020"/>
      <c r="Q626" s="1020"/>
      <c r="R626" s="1020"/>
      <c r="S626" s="1020"/>
      <c r="T626" s="1020"/>
      <c r="U626" s="1020"/>
      <c r="V626" s="1020"/>
      <c r="W626" s="1020"/>
      <c r="X626" s="1020"/>
      <c r="Y626" s="1020"/>
      <c r="Z626" s="1020"/>
      <c r="AA626" s="1020"/>
      <c r="AB626" s="1020"/>
      <c r="AC626" s="1020"/>
      <c r="AD626" s="1020"/>
      <c r="AE626" s="1020"/>
      <c r="AF626" s="1020"/>
      <c r="AG626" s="467"/>
      <c r="AH626" s="467"/>
    </row>
    <row r="627" ht="14.25" customHeight="1" spans="2:34">
      <c r="B627" s="1018"/>
      <c r="C627" s="1019"/>
      <c r="D627" s="1019"/>
      <c r="E627" s="1019"/>
      <c r="F627" s="1020"/>
      <c r="G627" s="1020"/>
      <c r="H627" s="1020"/>
      <c r="I627" s="1020"/>
      <c r="J627" s="1020"/>
      <c r="K627" s="1020"/>
      <c r="L627" s="1020"/>
      <c r="M627" s="1020"/>
      <c r="N627" s="1020"/>
      <c r="O627" s="1020"/>
      <c r="P627" s="1020"/>
      <c r="Q627" s="1020"/>
      <c r="R627" s="1020"/>
      <c r="S627" s="1020"/>
      <c r="T627" s="1020"/>
      <c r="U627" s="1020"/>
      <c r="V627" s="1020"/>
      <c r="W627" s="1020"/>
      <c r="X627" s="1020"/>
      <c r="Y627" s="1020"/>
      <c r="Z627" s="1020"/>
      <c r="AA627" s="1020"/>
      <c r="AB627" s="1020"/>
      <c r="AC627" s="1020"/>
      <c r="AD627" s="1020"/>
      <c r="AE627" s="1020"/>
      <c r="AF627" s="1020"/>
      <c r="AG627" s="467"/>
      <c r="AH627" s="467"/>
    </row>
    <row r="628" ht="14.25" customHeight="1" spans="2:34">
      <c r="B628" s="1018"/>
      <c r="C628" s="1019"/>
      <c r="D628" s="1019"/>
      <c r="E628" s="1019"/>
      <c r="F628" s="1020"/>
      <c r="G628" s="1020"/>
      <c r="H628" s="1020"/>
      <c r="I628" s="1020"/>
      <c r="J628" s="1020"/>
      <c r="K628" s="1020"/>
      <c r="L628" s="1020"/>
      <c r="M628" s="1020"/>
      <c r="N628" s="1020"/>
      <c r="O628" s="1020"/>
      <c r="P628" s="1020"/>
      <c r="Q628" s="1020"/>
      <c r="R628" s="1020"/>
      <c r="S628" s="1020"/>
      <c r="T628" s="1020"/>
      <c r="U628" s="1020"/>
      <c r="V628" s="1020"/>
      <c r="W628" s="1020"/>
      <c r="X628" s="1020"/>
      <c r="Y628" s="1020"/>
      <c r="Z628" s="1020"/>
      <c r="AA628" s="1020"/>
      <c r="AB628" s="1020"/>
      <c r="AC628" s="1020"/>
      <c r="AD628" s="1020"/>
      <c r="AE628" s="1020"/>
      <c r="AF628" s="1020"/>
      <c r="AG628" s="467"/>
      <c r="AH628" s="467"/>
    </row>
    <row r="629" ht="14.25" customHeight="1" spans="2:34">
      <c r="B629" s="1018"/>
      <c r="C629" s="1019"/>
      <c r="D629" s="1019"/>
      <c r="E629" s="1019"/>
      <c r="F629" s="1020"/>
      <c r="G629" s="1020"/>
      <c r="H629" s="1020"/>
      <c r="I629" s="1020"/>
      <c r="J629" s="1020"/>
      <c r="K629" s="1020"/>
      <c r="L629" s="1020"/>
      <c r="M629" s="1020"/>
      <c r="N629" s="1020"/>
      <c r="O629" s="1020"/>
      <c r="P629" s="1020"/>
      <c r="Q629" s="1020"/>
      <c r="R629" s="1020"/>
      <c r="S629" s="1020"/>
      <c r="T629" s="1020"/>
      <c r="U629" s="1020"/>
      <c r="V629" s="1020"/>
      <c r="W629" s="1020"/>
      <c r="X629" s="1020"/>
      <c r="Y629" s="1020"/>
      <c r="Z629" s="1020"/>
      <c r="AA629" s="1020"/>
      <c r="AB629" s="1020"/>
      <c r="AC629" s="1020"/>
      <c r="AD629" s="1020"/>
      <c r="AE629" s="1020"/>
      <c r="AF629" s="1020"/>
      <c r="AG629" s="467"/>
      <c r="AH629" s="467"/>
    </row>
    <row r="630" ht="14.25" customHeight="1" spans="2:34">
      <c r="B630" s="1018"/>
      <c r="C630" s="1019"/>
      <c r="D630" s="1019"/>
      <c r="E630" s="1019"/>
      <c r="F630" s="1020"/>
      <c r="G630" s="1020"/>
      <c r="H630" s="1020"/>
      <c r="I630" s="1020"/>
      <c r="J630" s="1020"/>
      <c r="K630" s="1020"/>
      <c r="L630" s="1020"/>
      <c r="M630" s="1020"/>
      <c r="N630" s="1020"/>
      <c r="O630" s="1020"/>
      <c r="P630" s="1020"/>
      <c r="Q630" s="1020"/>
      <c r="R630" s="1020"/>
      <c r="S630" s="1020"/>
      <c r="T630" s="1020"/>
      <c r="U630" s="1020"/>
      <c r="V630" s="1020"/>
      <c r="W630" s="1020"/>
      <c r="X630" s="1020"/>
      <c r="Y630" s="1020"/>
      <c r="Z630" s="1020"/>
      <c r="AA630" s="1020"/>
      <c r="AB630" s="1020"/>
      <c r="AC630" s="1020"/>
      <c r="AD630" s="1020"/>
      <c r="AE630" s="1020"/>
      <c r="AF630" s="1020"/>
      <c r="AG630" s="467"/>
      <c r="AH630" s="467"/>
    </row>
    <row r="631" ht="14.25" customHeight="1" spans="2:34">
      <c r="B631" s="1018"/>
      <c r="C631" s="1019"/>
      <c r="D631" s="1019"/>
      <c r="E631" s="1019"/>
      <c r="F631" s="1020"/>
      <c r="G631" s="1020"/>
      <c r="H631" s="1020"/>
      <c r="I631" s="1020"/>
      <c r="J631" s="1020"/>
      <c r="K631" s="1020"/>
      <c r="L631" s="1020"/>
      <c r="M631" s="1020"/>
      <c r="N631" s="1020"/>
      <c r="O631" s="1020"/>
      <c r="P631" s="1020"/>
      <c r="Q631" s="1020"/>
      <c r="R631" s="1020"/>
      <c r="S631" s="1020"/>
      <c r="T631" s="1020"/>
      <c r="U631" s="1020"/>
      <c r="V631" s="1020"/>
      <c r="W631" s="1020"/>
      <c r="X631" s="1020"/>
      <c r="Y631" s="1020"/>
      <c r="Z631" s="1020"/>
      <c r="AA631" s="1020"/>
      <c r="AB631" s="1020"/>
      <c r="AC631" s="1020"/>
      <c r="AD631" s="1020"/>
      <c r="AE631" s="1020"/>
      <c r="AF631" s="1020"/>
      <c r="AG631" s="467"/>
      <c r="AH631" s="467"/>
    </row>
    <row r="632" ht="14.25" customHeight="1" spans="2:34">
      <c r="B632" s="1018"/>
      <c r="C632" s="1019"/>
      <c r="D632" s="1019"/>
      <c r="E632" s="1019"/>
      <c r="F632" s="1020"/>
      <c r="G632" s="1020"/>
      <c r="H632" s="1020"/>
      <c r="I632" s="1020"/>
      <c r="J632" s="1020"/>
      <c r="K632" s="1020"/>
      <c r="L632" s="1020"/>
      <c r="M632" s="1020"/>
      <c r="N632" s="1020"/>
      <c r="O632" s="1020"/>
      <c r="P632" s="1020"/>
      <c r="Q632" s="1020"/>
      <c r="R632" s="1020"/>
      <c r="S632" s="1020"/>
      <c r="T632" s="1020"/>
      <c r="U632" s="1020"/>
      <c r="V632" s="1020"/>
      <c r="W632" s="1020"/>
      <c r="X632" s="1020"/>
      <c r="Y632" s="1020"/>
      <c r="Z632" s="1020"/>
      <c r="AA632" s="1020"/>
      <c r="AB632" s="1020"/>
      <c r="AC632" s="1020"/>
      <c r="AD632" s="1020"/>
      <c r="AE632" s="1020"/>
      <c r="AF632" s="1020"/>
      <c r="AG632" s="467"/>
      <c r="AH632" s="467"/>
    </row>
    <row r="633" ht="14.25" customHeight="1" spans="2:34">
      <c r="B633" s="1018"/>
      <c r="C633" s="1019"/>
      <c r="D633" s="1019"/>
      <c r="E633" s="1019"/>
      <c r="F633" s="1020"/>
      <c r="G633" s="1020"/>
      <c r="H633" s="1020"/>
      <c r="I633" s="1020"/>
      <c r="J633" s="1020"/>
      <c r="K633" s="1020"/>
      <c r="L633" s="1020"/>
      <c r="M633" s="1020"/>
      <c r="N633" s="1020"/>
      <c r="O633" s="1020"/>
      <c r="P633" s="1020"/>
      <c r="Q633" s="1020"/>
      <c r="R633" s="1020"/>
      <c r="S633" s="1020"/>
      <c r="T633" s="1020"/>
      <c r="U633" s="1020"/>
      <c r="V633" s="1020"/>
      <c r="W633" s="1020"/>
      <c r="X633" s="1020"/>
      <c r="Y633" s="1020"/>
      <c r="Z633" s="1020"/>
      <c r="AA633" s="1020"/>
      <c r="AB633" s="1020"/>
      <c r="AC633" s="1020"/>
      <c r="AD633" s="1020"/>
      <c r="AE633" s="1020"/>
      <c r="AF633" s="1020"/>
      <c r="AG633" s="467"/>
      <c r="AH633" s="467"/>
    </row>
    <row r="634" ht="14.25" customHeight="1" spans="2:34">
      <c r="B634" s="1018"/>
      <c r="C634" s="1019"/>
      <c r="D634" s="1019"/>
      <c r="E634" s="1019"/>
      <c r="F634" s="1020"/>
      <c r="G634" s="1020"/>
      <c r="H634" s="1020"/>
      <c r="I634" s="1020"/>
      <c r="J634" s="1020"/>
      <c r="K634" s="1020"/>
      <c r="L634" s="1020"/>
      <c r="M634" s="1020"/>
      <c r="N634" s="1020"/>
      <c r="O634" s="1020"/>
      <c r="P634" s="1020"/>
      <c r="Q634" s="1020"/>
      <c r="R634" s="1020"/>
      <c r="S634" s="1020"/>
      <c r="T634" s="1020"/>
      <c r="U634" s="1020"/>
      <c r="V634" s="1020"/>
      <c r="W634" s="1020"/>
      <c r="X634" s="1020"/>
      <c r="Y634" s="1020"/>
      <c r="Z634" s="1020"/>
      <c r="AA634" s="1020"/>
      <c r="AB634" s="1020"/>
      <c r="AC634" s="1020"/>
      <c r="AD634" s="1020"/>
      <c r="AE634" s="1020"/>
      <c r="AF634" s="1020"/>
      <c r="AG634" s="467"/>
      <c r="AH634" s="467"/>
    </row>
    <row r="635" ht="14.25" customHeight="1" spans="2:34">
      <c r="B635" s="1018"/>
      <c r="C635" s="1019"/>
      <c r="D635" s="1019"/>
      <c r="E635" s="1019"/>
      <c r="F635" s="1020"/>
      <c r="G635" s="1020"/>
      <c r="H635" s="1020"/>
      <c r="I635" s="1020"/>
      <c r="J635" s="1020"/>
      <c r="K635" s="1020"/>
      <c r="L635" s="1020"/>
      <c r="M635" s="1020"/>
      <c r="N635" s="1020"/>
      <c r="O635" s="1020"/>
      <c r="P635" s="1020"/>
      <c r="Q635" s="1020"/>
      <c r="R635" s="1020"/>
      <c r="S635" s="1020"/>
      <c r="T635" s="1020"/>
      <c r="U635" s="1020"/>
      <c r="V635" s="1020"/>
      <c r="W635" s="1020"/>
      <c r="X635" s="1020"/>
      <c r="Y635" s="1020"/>
      <c r="Z635" s="1020"/>
      <c r="AA635" s="1020"/>
      <c r="AB635" s="1020"/>
      <c r="AC635" s="1020"/>
      <c r="AD635" s="1020"/>
      <c r="AE635" s="1020"/>
      <c r="AF635" s="1020"/>
      <c r="AG635" s="467"/>
      <c r="AH635" s="467"/>
    </row>
    <row r="636" ht="14.25" customHeight="1" spans="2:34">
      <c r="B636" s="1018"/>
      <c r="C636" s="1019"/>
      <c r="D636" s="1019"/>
      <c r="E636" s="1019"/>
      <c r="F636" s="1020"/>
      <c r="G636" s="1020"/>
      <c r="H636" s="1020"/>
      <c r="I636" s="1020"/>
      <c r="J636" s="1020"/>
      <c r="K636" s="1020"/>
      <c r="L636" s="1020"/>
      <c r="M636" s="1020"/>
      <c r="N636" s="1020"/>
      <c r="O636" s="1020"/>
      <c r="P636" s="1020"/>
      <c r="Q636" s="1020"/>
      <c r="R636" s="1020"/>
      <c r="S636" s="1020"/>
      <c r="T636" s="1020"/>
      <c r="U636" s="1020"/>
      <c r="V636" s="1020"/>
      <c r="W636" s="1020"/>
      <c r="X636" s="1020"/>
      <c r="Y636" s="1020"/>
      <c r="Z636" s="1020"/>
      <c r="AA636" s="1020"/>
      <c r="AB636" s="1020"/>
      <c r="AC636" s="1020"/>
      <c r="AD636" s="1020"/>
      <c r="AE636" s="1020"/>
      <c r="AF636" s="1020"/>
      <c r="AG636" s="467"/>
      <c r="AH636" s="467"/>
    </row>
    <row r="637" ht="14.25" customHeight="1" spans="2:34">
      <c r="B637" s="1018"/>
      <c r="C637" s="1019"/>
      <c r="D637" s="1019"/>
      <c r="E637" s="1019"/>
      <c r="F637" s="1020"/>
      <c r="G637" s="1020"/>
      <c r="H637" s="1020"/>
      <c r="I637" s="1020"/>
      <c r="J637" s="1020"/>
      <c r="K637" s="1020"/>
      <c r="L637" s="1020"/>
      <c r="M637" s="1020"/>
      <c r="N637" s="1020"/>
      <c r="O637" s="1020"/>
      <c r="P637" s="1020"/>
      <c r="Q637" s="1020"/>
      <c r="R637" s="1020"/>
      <c r="S637" s="1020"/>
      <c r="T637" s="1020"/>
      <c r="U637" s="1020"/>
      <c r="V637" s="1020"/>
      <c r="W637" s="1020"/>
      <c r="X637" s="1020"/>
      <c r="Y637" s="1020"/>
      <c r="Z637" s="1020"/>
      <c r="AA637" s="1020"/>
      <c r="AB637" s="1020"/>
      <c r="AC637" s="1020"/>
      <c r="AD637" s="1020"/>
      <c r="AE637" s="1020"/>
      <c r="AF637" s="1020"/>
      <c r="AG637" s="467"/>
      <c r="AH637" s="467"/>
    </row>
    <row r="638" ht="14.25" customHeight="1" spans="2:34">
      <c r="B638" s="1018"/>
      <c r="C638" s="1019"/>
      <c r="D638" s="1019"/>
      <c r="E638" s="1019"/>
      <c r="F638" s="1020"/>
      <c r="G638" s="1020"/>
      <c r="H638" s="1020"/>
      <c r="I638" s="1020"/>
      <c r="J638" s="1020"/>
      <c r="K638" s="1020"/>
      <c r="L638" s="1020"/>
      <c r="M638" s="1020"/>
      <c r="N638" s="1020"/>
      <c r="O638" s="1020"/>
      <c r="P638" s="1020"/>
      <c r="Q638" s="1020"/>
      <c r="R638" s="1020"/>
      <c r="S638" s="1020"/>
      <c r="T638" s="1020"/>
      <c r="U638" s="1020"/>
      <c r="V638" s="1020"/>
      <c r="W638" s="1020"/>
      <c r="X638" s="1020"/>
      <c r="Y638" s="1020"/>
      <c r="Z638" s="1020"/>
      <c r="AA638" s="1020"/>
      <c r="AB638" s="1020"/>
      <c r="AC638" s="1020"/>
      <c r="AD638" s="1020"/>
      <c r="AE638" s="1020"/>
      <c r="AF638" s="1020"/>
      <c r="AG638" s="467"/>
      <c r="AH638" s="467"/>
    </row>
    <row r="639" ht="14.25" customHeight="1" spans="2:34">
      <c r="B639" s="1018"/>
      <c r="C639" s="1019"/>
      <c r="D639" s="1019"/>
      <c r="E639" s="1019"/>
      <c r="F639" s="1020"/>
      <c r="G639" s="1020"/>
      <c r="H639" s="1020"/>
      <c r="I639" s="1020"/>
      <c r="J639" s="1020"/>
      <c r="K639" s="1020"/>
      <c r="L639" s="1020"/>
      <c r="M639" s="1020"/>
      <c r="N639" s="1020"/>
      <c r="O639" s="1020"/>
      <c r="P639" s="1020"/>
      <c r="Q639" s="1020"/>
      <c r="R639" s="1020"/>
      <c r="S639" s="1020"/>
      <c r="T639" s="1020"/>
      <c r="U639" s="1020"/>
      <c r="V639" s="1020"/>
      <c r="W639" s="1020"/>
      <c r="X639" s="1020"/>
      <c r="Y639" s="1020"/>
      <c r="Z639" s="1020"/>
      <c r="AA639" s="1020"/>
      <c r="AB639" s="1020"/>
      <c r="AC639" s="1020"/>
      <c r="AD639" s="1020"/>
      <c r="AE639" s="1020"/>
      <c r="AF639" s="1020"/>
      <c r="AG639" s="467"/>
      <c r="AH639" s="467"/>
    </row>
    <row r="640" ht="14.25" customHeight="1" spans="2:34">
      <c r="B640" s="1018"/>
      <c r="C640" s="1019"/>
      <c r="D640" s="1019"/>
      <c r="E640" s="1019"/>
      <c r="F640" s="1020"/>
      <c r="G640" s="1020"/>
      <c r="H640" s="1020"/>
      <c r="I640" s="1020"/>
      <c r="J640" s="1020"/>
      <c r="K640" s="1020"/>
      <c r="L640" s="1020"/>
      <c r="M640" s="1020"/>
      <c r="N640" s="1020"/>
      <c r="O640" s="1020"/>
      <c r="P640" s="1020"/>
      <c r="Q640" s="1020"/>
      <c r="R640" s="1020"/>
      <c r="S640" s="1020"/>
      <c r="T640" s="1020"/>
      <c r="U640" s="1020"/>
      <c r="V640" s="1020"/>
      <c r="W640" s="1020"/>
      <c r="X640" s="1020"/>
      <c r="Y640" s="1020"/>
      <c r="Z640" s="1020"/>
      <c r="AA640" s="1020"/>
      <c r="AB640" s="1020"/>
      <c r="AC640" s="1020"/>
      <c r="AD640" s="1020"/>
      <c r="AE640" s="1020"/>
      <c r="AF640" s="1020"/>
      <c r="AG640" s="467"/>
      <c r="AH640" s="467"/>
    </row>
    <row r="641" ht="14.25" customHeight="1" spans="2:34">
      <c r="B641" s="1018"/>
      <c r="C641" s="1019"/>
      <c r="D641" s="1019"/>
      <c r="E641" s="1019"/>
      <c r="F641" s="1020"/>
      <c r="G641" s="1020"/>
      <c r="H641" s="1020"/>
      <c r="I641" s="1020"/>
      <c r="J641" s="1020"/>
      <c r="K641" s="1020"/>
      <c r="L641" s="1020"/>
      <c r="M641" s="1020"/>
      <c r="N641" s="1020"/>
      <c r="O641" s="1020"/>
      <c r="P641" s="1020"/>
      <c r="Q641" s="1020"/>
      <c r="R641" s="1020"/>
      <c r="S641" s="1020"/>
      <c r="T641" s="1020"/>
      <c r="U641" s="1020"/>
      <c r="V641" s="1020"/>
      <c r="W641" s="1020"/>
      <c r="X641" s="1020"/>
      <c r="Y641" s="1020"/>
      <c r="Z641" s="1020"/>
      <c r="AA641" s="1020"/>
      <c r="AB641" s="1020"/>
      <c r="AC641" s="1020"/>
      <c r="AD641" s="1020"/>
      <c r="AE641" s="1020"/>
      <c r="AF641" s="1020"/>
      <c r="AG641" s="467"/>
      <c r="AH641" s="467"/>
    </row>
    <row r="642" ht="14.25" customHeight="1" spans="2:34">
      <c r="B642" s="1018"/>
      <c r="C642" s="1019"/>
      <c r="D642" s="1019"/>
      <c r="E642" s="1019"/>
      <c r="F642" s="1020"/>
      <c r="G642" s="1020"/>
      <c r="H642" s="1020"/>
      <c r="I642" s="1020"/>
      <c r="J642" s="1020"/>
      <c r="K642" s="1020"/>
      <c r="L642" s="1020"/>
      <c r="M642" s="1020"/>
      <c r="N642" s="1020"/>
      <c r="O642" s="1020"/>
      <c r="P642" s="1020"/>
      <c r="Q642" s="1020"/>
      <c r="R642" s="1020"/>
      <c r="S642" s="1020"/>
      <c r="T642" s="1020"/>
      <c r="U642" s="1020"/>
      <c r="V642" s="1020"/>
      <c r="W642" s="1020"/>
      <c r="X642" s="1020"/>
      <c r="Y642" s="1020"/>
      <c r="Z642" s="1020"/>
      <c r="AA642" s="1020"/>
      <c r="AB642" s="1020"/>
      <c r="AC642" s="1020"/>
      <c r="AD642" s="1020"/>
      <c r="AE642" s="1020"/>
      <c r="AF642" s="1020"/>
      <c r="AG642" s="467"/>
      <c r="AH642" s="467"/>
    </row>
    <row r="643" ht="14.25" customHeight="1" spans="2:34">
      <c r="B643" s="1018"/>
      <c r="C643" s="1019"/>
      <c r="D643" s="1019"/>
      <c r="E643" s="1019"/>
      <c r="F643" s="1020"/>
      <c r="G643" s="1020"/>
      <c r="H643" s="1020"/>
      <c r="I643" s="1020"/>
      <c r="J643" s="1020"/>
      <c r="K643" s="1020"/>
      <c r="L643" s="1020"/>
      <c r="M643" s="1020"/>
      <c r="N643" s="1020"/>
      <c r="O643" s="1020"/>
      <c r="P643" s="1020"/>
      <c r="Q643" s="1020"/>
      <c r="R643" s="1020"/>
      <c r="S643" s="1020"/>
      <c r="T643" s="1020"/>
      <c r="U643" s="1020"/>
      <c r="V643" s="1020"/>
      <c r="W643" s="1020"/>
      <c r="X643" s="1020"/>
      <c r="Y643" s="1020"/>
      <c r="Z643" s="1020"/>
      <c r="AA643" s="1020"/>
      <c r="AB643" s="1020"/>
      <c r="AC643" s="1020"/>
      <c r="AD643" s="1020"/>
      <c r="AE643" s="1020"/>
      <c r="AF643" s="1020"/>
      <c r="AG643" s="467"/>
      <c r="AH643" s="467"/>
    </row>
    <row r="644" ht="14.25" customHeight="1" spans="2:34">
      <c r="B644" s="1018"/>
      <c r="C644" s="1019"/>
      <c r="D644" s="1019"/>
      <c r="E644" s="1019"/>
      <c r="F644" s="1020"/>
      <c r="G644" s="1020"/>
      <c r="H644" s="1020"/>
      <c r="I644" s="1020"/>
      <c r="J644" s="1020"/>
      <c r="K644" s="1020"/>
      <c r="L644" s="1020"/>
      <c r="M644" s="1020"/>
      <c r="N644" s="1020"/>
      <c r="O644" s="1020"/>
      <c r="P644" s="1020"/>
      <c r="Q644" s="1020"/>
      <c r="R644" s="1020"/>
      <c r="S644" s="1020"/>
      <c r="T644" s="1020"/>
      <c r="U644" s="1020"/>
      <c r="V644" s="1020"/>
      <c r="W644" s="1020"/>
      <c r="X644" s="1020"/>
      <c r="Y644" s="1020"/>
      <c r="Z644" s="1020"/>
      <c r="AA644" s="1020"/>
      <c r="AB644" s="1020"/>
      <c r="AC644" s="1020"/>
      <c r="AD644" s="1020"/>
      <c r="AE644" s="1020"/>
      <c r="AF644" s="1020"/>
      <c r="AG644" s="467"/>
      <c r="AH644" s="467"/>
    </row>
    <row r="645" ht="14.25" customHeight="1" spans="2:34">
      <c r="B645" s="1018"/>
      <c r="C645" s="1019"/>
      <c r="D645" s="1019"/>
      <c r="E645" s="1019"/>
      <c r="F645" s="1020"/>
      <c r="G645" s="1020"/>
      <c r="H645" s="1020"/>
      <c r="I645" s="1020"/>
      <c r="J645" s="1020"/>
      <c r="K645" s="1020"/>
      <c r="L645" s="1020"/>
      <c r="M645" s="1020"/>
      <c r="N645" s="1020"/>
      <c r="O645" s="1020"/>
      <c r="P645" s="1020"/>
      <c r="Q645" s="1020"/>
      <c r="R645" s="1020"/>
      <c r="S645" s="1020"/>
      <c r="T645" s="1020"/>
      <c r="U645" s="1020"/>
      <c r="V645" s="1020"/>
      <c r="W645" s="1020"/>
      <c r="X645" s="1020"/>
      <c r="Y645" s="1020"/>
      <c r="Z645" s="1020"/>
      <c r="AA645" s="1020"/>
      <c r="AB645" s="1020"/>
      <c r="AC645" s="1020"/>
      <c r="AD645" s="1020"/>
      <c r="AE645" s="1020"/>
      <c r="AF645" s="1020"/>
      <c r="AG645" s="467"/>
      <c r="AH645" s="467"/>
    </row>
    <row r="646" ht="14.25" customHeight="1" spans="2:34">
      <c r="B646" s="1018"/>
      <c r="C646" s="1019"/>
      <c r="D646" s="1019"/>
      <c r="E646" s="1019"/>
      <c r="F646" s="1020"/>
      <c r="G646" s="1020"/>
      <c r="H646" s="1020"/>
      <c r="I646" s="1020"/>
      <c r="J646" s="1020"/>
      <c r="K646" s="1020"/>
      <c r="L646" s="1020"/>
      <c r="M646" s="1020"/>
      <c r="N646" s="1020"/>
      <c r="O646" s="1020"/>
      <c r="P646" s="1020"/>
      <c r="Q646" s="1020"/>
      <c r="R646" s="1020"/>
      <c r="S646" s="1020"/>
      <c r="T646" s="1020"/>
      <c r="U646" s="1020"/>
      <c r="V646" s="1020"/>
      <c r="W646" s="1020"/>
      <c r="X646" s="1020"/>
      <c r="Y646" s="1020"/>
      <c r="Z646" s="1020"/>
      <c r="AA646" s="1020"/>
      <c r="AB646" s="1020"/>
      <c r="AC646" s="1020"/>
      <c r="AD646" s="1020"/>
      <c r="AE646" s="1020"/>
      <c r="AF646" s="1020"/>
      <c r="AG646" s="467"/>
      <c r="AH646" s="467"/>
    </row>
    <row r="647" ht="14.25" customHeight="1" spans="2:34">
      <c r="B647" s="1018"/>
      <c r="C647" s="1019"/>
      <c r="D647" s="1019"/>
      <c r="E647" s="1019"/>
      <c r="F647" s="1020"/>
      <c r="G647" s="1020"/>
      <c r="H647" s="1020"/>
      <c r="I647" s="1020"/>
      <c r="J647" s="1020"/>
      <c r="K647" s="1020"/>
      <c r="L647" s="1020"/>
      <c r="M647" s="1020"/>
      <c r="N647" s="1020"/>
      <c r="O647" s="1020"/>
      <c r="P647" s="1020"/>
      <c r="Q647" s="1020"/>
      <c r="R647" s="1020"/>
      <c r="S647" s="1020"/>
      <c r="T647" s="1020"/>
      <c r="U647" s="1020"/>
      <c r="V647" s="1020"/>
      <c r="W647" s="1020"/>
      <c r="X647" s="1020"/>
      <c r="Y647" s="1020"/>
      <c r="Z647" s="1020"/>
      <c r="AA647" s="1020"/>
      <c r="AB647" s="1020"/>
      <c r="AC647" s="1020"/>
      <c r="AD647" s="1020"/>
      <c r="AE647" s="1020"/>
      <c r="AF647" s="1020"/>
      <c r="AG647" s="467"/>
      <c r="AH647" s="467"/>
    </row>
    <row r="648" ht="14.25" customHeight="1" spans="2:34">
      <c r="B648" s="1018"/>
      <c r="C648" s="1019"/>
      <c r="D648" s="1019"/>
      <c r="E648" s="1019"/>
      <c r="F648" s="1020"/>
      <c r="G648" s="1020"/>
      <c r="H648" s="1020"/>
      <c r="I648" s="1020"/>
      <c r="J648" s="1020"/>
      <c r="K648" s="1020"/>
      <c r="L648" s="1020"/>
      <c r="M648" s="1020"/>
      <c r="N648" s="1020"/>
      <c r="O648" s="1020"/>
      <c r="P648" s="1020"/>
      <c r="Q648" s="1020"/>
      <c r="R648" s="1020"/>
      <c r="S648" s="1020"/>
      <c r="T648" s="1020"/>
      <c r="U648" s="1020"/>
      <c r="V648" s="1020"/>
      <c r="W648" s="1020"/>
      <c r="X648" s="1020"/>
      <c r="Y648" s="1020"/>
      <c r="Z648" s="1020"/>
      <c r="AA648" s="1020"/>
      <c r="AB648" s="1020"/>
      <c r="AC648" s="1020"/>
      <c r="AD648" s="1020"/>
      <c r="AE648" s="1020"/>
      <c r="AF648" s="1020"/>
      <c r="AG648" s="467"/>
      <c r="AH648" s="467"/>
    </row>
    <row r="649" ht="14.25" customHeight="1" spans="2:34">
      <c r="B649" s="1018"/>
      <c r="C649" s="1019"/>
      <c r="D649" s="1019"/>
      <c r="E649" s="1019"/>
      <c r="F649" s="1020"/>
      <c r="G649" s="1020"/>
      <c r="H649" s="1020"/>
      <c r="I649" s="1020"/>
      <c r="J649" s="1020"/>
      <c r="K649" s="1020"/>
      <c r="L649" s="1020"/>
      <c r="M649" s="1020"/>
      <c r="N649" s="1020"/>
      <c r="O649" s="1020"/>
      <c r="P649" s="1020"/>
      <c r="Q649" s="1020"/>
      <c r="R649" s="1020"/>
      <c r="S649" s="1020"/>
      <c r="T649" s="1020"/>
      <c r="U649" s="1020"/>
      <c r="V649" s="1020"/>
      <c r="W649" s="1020"/>
      <c r="X649" s="1020"/>
      <c r="Y649" s="1020"/>
      <c r="Z649" s="1020"/>
      <c r="AA649" s="1020"/>
      <c r="AB649" s="1020"/>
      <c r="AC649" s="1020"/>
      <c r="AD649" s="1020"/>
      <c r="AE649" s="1020"/>
      <c r="AF649" s="1020"/>
      <c r="AG649" s="467"/>
      <c r="AH649" s="467"/>
    </row>
    <row r="650" ht="14.25" customHeight="1" spans="2:34">
      <c r="B650" s="1018"/>
      <c r="C650" s="1019"/>
      <c r="D650" s="1019"/>
      <c r="E650" s="1019"/>
      <c r="F650" s="1020"/>
      <c r="G650" s="1020"/>
      <c r="H650" s="1020"/>
      <c r="I650" s="1020"/>
      <c r="J650" s="1020"/>
      <c r="K650" s="1020"/>
      <c r="L650" s="1020"/>
      <c r="M650" s="1020"/>
      <c r="N650" s="1020"/>
      <c r="O650" s="1020"/>
      <c r="P650" s="1020"/>
      <c r="Q650" s="1020"/>
      <c r="R650" s="1020"/>
      <c r="S650" s="1020"/>
      <c r="T650" s="1020"/>
      <c r="U650" s="1020"/>
      <c r="V650" s="1020"/>
      <c r="W650" s="1020"/>
      <c r="X650" s="1020"/>
      <c r="Y650" s="1020"/>
      <c r="Z650" s="1020"/>
      <c r="AA650" s="1020"/>
      <c r="AB650" s="1020"/>
      <c r="AC650" s="1020"/>
      <c r="AD650" s="1020"/>
      <c r="AE650" s="1020"/>
      <c r="AF650" s="1020"/>
      <c r="AG650" s="467"/>
      <c r="AH650" s="467"/>
    </row>
    <row r="651" ht="14.25" customHeight="1" spans="2:34">
      <c r="B651" s="1018"/>
      <c r="C651" s="1019"/>
      <c r="D651" s="1019"/>
      <c r="E651" s="1019"/>
      <c r="F651" s="1020"/>
      <c r="G651" s="1020"/>
      <c r="H651" s="1020"/>
      <c r="I651" s="1020"/>
      <c r="J651" s="1020"/>
      <c r="K651" s="1020"/>
      <c r="L651" s="1020"/>
      <c r="M651" s="1020"/>
      <c r="N651" s="1020"/>
      <c r="O651" s="1020"/>
      <c r="P651" s="1020"/>
      <c r="Q651" s="1020"/>
      <c r="R651" s="1020"/>
      <c r="S651" s="1020"/>
      <c r="T651" s="1020"/>
      <c r="U651" s="1020"/>
      <c r="V651" s="1020"/>
      <c r="W651" s="1020"/>
      <c r="X651" s="1020"/>
      <c r="Y651" s="1020"/>
      <c r="Z651" s="1020"/>
      <c r="AA651" s="1020"/>
      <c r="AB651" s="1020"/>
      <c r="AC651" s="1020"/>
      <c r="AD651" s="1020"/>
      <c r="AE651" s="1020"/>
      <c r="AF651" s="1020"/>
      <c r="AG651" s="467"/>
      <c r="AH651" s="467"/>
    </row>
    <row r="652" ht="14.25" customHeight="1" spans="2:34">
      <c r="B652" s="1018"/>
      <c r="C652" s="1019"/>
      <c r="D652" s="1019"/>
      <c r="E652" s="1019"/>
      <c r="F652" s="1020"/>
      <c r="G652" s="1020"/>
      <c r="H652" s="1020"/>
      <c r="I652" s="1020"/>
      <c r="J652" s="1020"/>
      <c r="K652" s="1020"/>
      <c r="L652" s="1020"/>
      <c r="M652" s="1020"/>
      <c r="N652" s="1020"/>
      <c r="O652" s="1020"/>
      <c r="P652" s="1020"/>
      <c r="Q652" s="1020"/>
      <c r="R652" s="1020"/>
      <c r="S652" s="1020"/>
      <c r="T652" s="1020"/>
      <c r="U652" s="1020"/>
      <c r="V652" s="1020"/>
      <c r="W652" s="1020"/>
      <c r="X652" s="1020"/>
      <c r="Y652" s="1020"/>
      <c r="Z652" s="1020"/>
      <c r="AA652" s="1020"/>
      <c r="AB652" s="1020"/>
      <c r="AC652" s="1020"/>
      <c r="AD652" s="1020"/>
      <c r="AE652" s="1020"/>
      <c r="AF652" s="1020"/>
      <c r="AG652" s="467"/>
      <c r="AH652" s="467"/>
    </row>
    <row r="653" ht="14.25" customHeight="1" spans="2:34">
      <c r="B653" s="1018"/>
      <c r="C653" s="1019"/>
      <c r="D653" s="1019"/>
      <c r="E653" s="1019"/>
      <c r="F653" s="1020"/>
      <c r="G653" s="1020"/>
      <c r="H653" s="1020"/>
      <c r="I653" s="1020"/>
      <c r="J653" s="1020"/>
      <c r="K653" s="1020"/>
      <c r="L653" s="1020"/>
      <c r="M653" s="1020"/>
      <c r="N653" s="1020"/>
      <c r="O653" s="1020"/>
      <c r="P653" s="1020"/>
      <c r="Q653" s="1020"/>
      <c r="R653" s="1020"/>
      <c r="S653" s="1020"/>
      <c r="T653" s="1020"/>
      <c r="U653" s="1020"/>
      <c r="V653" s="1020"/>
      <c r="W653" s="1020"/>
      <c r="X653" s="1020"/>
      <c r="Y653" s="1020"/>
      <c r="Z653" s="1020"/>
      <c r="AA653" s="1020"/>
      <c r="AB653" s="1020"/>
      <c r="AC653" s="1020"/>
      <c r="AD653" s="1020"/>
      <c r="AE653" s="1020"/>
      <c r="AF653" s="1020"/>
      <c r="AG653" s="467"/>
      <c r="AH653" s="467"/>
    </row>
    <row r="654" ht="14.25" customHeight="1" spans="2:34">
      <c r="B654" s="1018"/>
      <c r="C654" s="1019"/>
      <c r="D654" s="1019"/>
      <c r="E654" s="1019"/>
      <c r="F654" s="1020"/>
      <c r="G654" s="1020"/>
      <c r="H654" s="1020"/>
      <c r="I654" s="1020"/>
      <c r="J654" s="1020"/>
      <c r="K654" s="1020"/>
      <c r="L654" s="1020"/>
      <c r="M654" s="1020"/>
      <c r="N654" s="1020"/>
      <c r="O654" s="1020"/>
      <c r="P654" s="1020"/>
      <c r="Q654" s="1020"/>
      <c r="R654" s="1020"/>
      <c r="S654" s="1020"/>
      <c r="T654" s="1020"/>
      <c r="U654" s="1020"/>
      <c r="V654" s="1020"/>
      <c r="W654" s="1020"/>
      <c r="X654" s="1020"/>
      <c r="Y654" s="1020"/>
      <c r="Z654" s="1020"/>
      <c r="AA654" s="1020"/>
      <c r="AB654" s="1020"/>
      <c r="AC654" s="1020"/>
      <c r="AD654" s="1020"/>
      <c r="AE654" s="1020"/>
      <c r="AF654" s="1020"/>
      <c r="AG654" s="467"/>
      <c r="AH654" s="467"/>
    </row>
    <row r="655" ht="14.25" customHeight="1" spans="2:34">
      <c r="B655" s="1018"/>
      <c r="C655" s="1019"/>
      <c r="D655" s="1019"/>
      <c r="E655" s="1019"/>
      <c r="F655" s="1020"/>
      <c r="G655" s="1020"/>
      <c r="H655" s="1020"/>
      <c r="I655" s="1020"/>
      <c r="J655" s="1020"/>
      <c r="K655" s="1020"/>
      <c r="L655" s="1020"/>
      <c r="M655" s="1020"/>
      <c r="N655" s="1020"/>
      <c r="O655" s="1020"/>
      <c r="P655" s="1020"/>
      <c r="Q655" s="1020"/>
      <c r="R655" s="1020"/>
      <c r="S655" s="1020"/>
      <c r="T655" s="1020"/>
      <c r="U655" s="1020"/>
      <c r="V655" s="1020"/>
      <c r="W655" s="1020"/>
      <c r="X655" s="1020"/>
      <c r="Y655" s="1020"/>
      <c r="Z655" s="1020"/>
      <c r="AA655" s="1020"/>
      <c r="AB655" s="1020"/>
      <c r="AC655" s="1020"/>
      <c r="AD655" s="1020"/>
      <c r="AE655" s="1020"/>
      <c r="AF655" s="1020"/>
      <c r="AG655" s="467"/>
      <c r="AH655" s="467"/>
    </row>
    <row r="656" ht="14.25" customHeight="1" spans="2:34">
      <c r="B656" s="1018"/>
      <c r="C656" s="1019"/>
      <c r="D656" s="1019"/>
      <c r="E656" s="1019"/>
      <c r="F656" s="1020"/>
      <c r="G656" s="1020"/>
      <c r="H656" s="1020"/>
      <c r="I656" s="1020"/>
      <c r="J656" s="1020"/>
      <c r="K656" s="1020"/>
      <c r="L656" s="1020"/>
      <c r="M656" s="1020"/>
      <c r="N656" s="1020"/>
      <c r="O656" s="1020"/>
      <c r="P656" s="1020"/>
      <c r="Q656" s="1020"/>
      <c r="R656" s="1020"/>
      <c r="S656" s="1020"/>
      <c r="T656" s="1020"/>
      <c r="U656" s="1020"/>
      <c r="V656" s="1020"/>
      <c r="W656" s="1020"/>
      <c r="X656" s="1020"/>
      <c r="Y656" s="1020"/>
      <c r="Z656" s="1020"/>
      <c r="AA656" s="1020"/>
      <c r="AB656" s="1020"/>
      <c r="AC656" s="1020"/>
      <c r="AD656" s="1020"/>
      <c r="AE656" s="1020"/>
      <c r="AF656" s="1020"/>
      <c r="AG656" s="467"/>
      <c r="AH656" s="467"/>
    </row>
    <row r="657" ht="14.25" customHeight="1" spans="2:34">
      <c r="B657" s="1018"/>
      <c r="C657" s="1019"/>
      <c r="D657" s="1019"/>
      <c r="E657" s="1019"/>
      <c r="F657" s="1020"/>
      <c r="G657" s="1020"/>
      <c r="H657" s="1020"/>
      <c r="I657" s="1020"/>
      <c r="J657" s="1020"/>
      <c r="K657" s="1020"/>
      <c r="L657" s="1020"/>
      <c r="M657" s="1020"/>
      <c r="N657" s="1020"/>
      <c r="O657" s="1020"/>
      <c r="P657" s="1020"/>
      <c r="Q657" s="1020"/>
      <c r="R657" s="1020"/>
      <c r="S657" s="1020"/>
      <c r="T657" s="1020"/>
      <c r="U657" s="1020"/>
      <c r="V657" s="1020"/>
      <c r="W657" s="1020"/>
      <c r="X657" s="1020"/>
      <c r="Y657" s="1020"/>
      <c r="Z657" s="1020"/>
      <c r="AA657" s="1020"/>
      <c r="AB657" s="1020"/>
      <c r="AC657" s="1020"/>
      <c r="AD657" s="1020"/>
      <c r="AE657" s="1020"/>
      <c r="AF657" s="1020"/>
      <c r="AG657" s="467"/>
      <c r="AH657" s="467"/>
    </row>
    <row r="658" ht="14.25" customHeight="1" spans="2:34">
      <c r="B658" s="1018"/>
      <c r="C658" s="1019"/>
      <c r="D658" s="1019"/>
      <c r="E658" s="1019"/>
      <c r="F658" s="1020"/>
      <c r="G658" s="1020"/>
      <c r="H658" s="1020"/>
      <c r="I658" s="1020"/>
      <c r="J658" s="1020"/>
      <c r="K658" s="1020"/>
      <c r="L658" s="1020"/>
      <c r="M658" s="1020"/>
      <c r="N658" s="1020"/>
      <c r="O658" s="1020"/>
      <c r="P658" s="1020"/>
      <c r="Q658" s="1020"/>
      <c r="R658" s="1020"/>
      <c r="S658" s="1020"/>
      <c r="T658" s="1020"/>
      <c r="U658" s="1020"/>
      <c r="V658" s="1020"/>
      <c r="W658" s="1020"/>
      <c r="X658" s="1020"/>
      <c r="Y658" s="1020"/>
      <c r="Z658" s="1020"/>
      <c r="AA658" s="1020"/>
      <c r="AB658" s="1020"/>
      <c r="AC658" s="1020"/>
      <c r="AD658" s="1020"/>
      <c r="AE658" s="1020"/>
      <c r="AF658" s="1020"/>
      <c r="AG658" s="467"/>
      <c r="AH658" s="467"/>
    </row>
    <row r="659" ht="14.25" customHeight="1" spans="2:34">
      <c r="B659" s="1018"/>
      <c r="C659" s="1019"/>
      <c r="D659" s="1019"/>
      <c r="E659" s="1019"/>
      <c r="F659" s="1020"/>
      <c r="G659" s="1020"/>
      <c r="H659" s="1020"/>
      <c r="I659" s="1020"/>
      <c r="J659" s="1020"/>
      <c r="K659" s="1020"/>
      <c r="L659" s="1020"/>
      <c r="M659" s="1020"/>
      <c r="N659" s="1020"/>
      <c r="O659" s="1020"/>
      <c r="P659" s="1020"/>
      <c r="Q659" s="1020"/>
      <c r="R659" s="1020"/>
      <c r="S659" s="1020"/>
      <c r="T659" s="1020"/>
      <c r="U659" s="1020"/>
      <c r="V659" s="1020"/>
      <c r="W659" s="1020"/>
      <c r="X659" s="1020"/>
      <c r="Y659" s="1020"/>
      <c r="Z659" s="1020"/>
      <c r="AA659" s="1020"/>
      <c r="AB659" s="1020"/>
      <c r="AC659" s="1020"/>
      <c r="AD659" s="1020"/>
      <c r="AE659" s="1020"/>
      <c r="AF659" s="1020"/>
      <c r="AG659" s="467"/>
      <c r="AH659" s="467"/>
    </row>
    <row r="660" ht="14.25" customHeight="1" spans="2:34">
      <c r="B660" s="1018"/>
      <c r="C660" s="1019"/>
      <c r="D660" s="1019"/>
      <c r="E660" s="1019"/>
      <c r="F660" s="1020"/>
      <c r="G660" s="1020"/>
      <c r="H660" s="1020"/>
      <c r="I660" s="1020"/>
      <c r="J660" s="1020"/>
      <c r="K660" s="1020"/>
      <c r="L660" s="1020"/>
      <c r="M660" s="1020"/>
      <c r="N660" s="1020"/>
      <c r="O660" s="1020"/>
      <c r="P660" s="1020"/>
      <c r="Q660" s="1020"/>
      <c r="R660" s="1020"/>
      <c r="S660" s="1020"/>
      <c r="T660" s="1020"/>
      <c r="U660" s="1020"/>
      <c r="V660" s="1020"/>
      <c r="W660" s="1020"/>
      <c r="X660" s="1020"/>
      <c r="Y660" s="1020"/>
      <c r="Z660" s="1020"/>
      <c r="AA660" s="1020"/>
      <c r="AB660" s="1020"/>
      <c r="AC660" s="1020"/>
      <c r="AD660" s="1020"/>
      <c r="AE660" s="1020"/>
      <c r="AF660" s="1020"/>
      <c r="AG660" s="467"/>
      <c r="AH660" s="467"/>
    </row>
    <row r="661" ht="14.25" customHeight="1" spans="2:34">
      <c r="B661" s="1018"/>
      <c r="C661" s="1019"/>
      <c r="D661" s="1019"/>
      <c r="E661" s="1019"/>
      <c r="F661" s="1020"/>
      <c r="G661" s="1020"/>
      <c r="H661" s="1020"/>
      <c r="I661" s="1020"/>
      <c r="J661" s="1020"/>
      <c r="K661" s="1020"/>
      <c r="L661" s="1020"/>
      <c r="M661" s="1020"/>
      <c r="N661" s="1020"/>
      <c r="O661" s="1020"/>
      <c r="P661" s="1020"/>
      <c r="Q661" s="1020"/>
      <c r="R661" s="1020"/>
      <c r="S661" s="1020"/>
      <c r="T661" s="1020"/>
      <c r="U661" s="1020"/>
      <c r="V661" s="1020"/>
      <c r="W661" s="1020"/>
      <c r="X661" s="1020"/>
      <c r="Y661" s="1020"/>
      <c r="Z661" s="1020"/>
      <c r="AA661" s="1020"/>
      <c r="AB661" s="1020"/>
      <c r="AC661" s="1020"/>
      <c r="AD661" s="1020"/>
      <c r="AE661" s="1020"/>
      <c r="AF661" s="1020"/>
      <c r="AG661" s="467"/>
      <c r="AH661" s="467"/>
    </row>
    <row r="662" ht="14.25" customHeight="1" spans="2:34">
      <c r="B662" s="1018"/>
      <c r="C662" s="1019"/>
      <c r="D662" s="1019"/>
      <c r="E662" s="1019"/>
      <c r="F662" s="1020"/>
      <c r="G662" s="1020"/>
      <c r="H662" s="1020"/>
      <c r="I662" s="1020"/>
      <c r="J662" s="1020"/>
      <c r="K662" s="1020"/>
      <c r="L662" s="1020"/>
      <c r="M662" s="1020"/>
      <c r="N662" s="1020"/>
      <c r="O662" s="1020"/>
      <c r="P662" s="1020"/>
      <c r="Q662" s="1020"/>
      <c r="R662" s="1020"/>
      <c r="S662" s="1020"/>
      <c r="T662" s="1020"/>
      <c r="U662" s="1020"/>
      <c r="V662" s="1020"/>
      <c r="W662" s="1020"/>
      <c r="X662" s="1020"/>
      <c r="Y662" s="1020"/>
      <c r="Z662" s="1020"/>
      <c r="AA662" s="1020"/>
      <c r="AB662" s="1020"/>
      <c r="AC662" s="1020"/>
      <c r="AD662" s="1020"/>
      <c r="AE662" s="1020"/>
      <c r="AF662" s="1020"/>
      <c r="AG662" s="467"/>
      <c r="AH662" s="467"/>
    </row>
    <row r="663" ht="14.25" customHeight="1" spans="2:34">
      <c r="B663" s="1018"/>
      <c r="C663" s="1019"/>
      <c r="D663" s="1019"/>
      <c r="E663" s="1019"/>
      <c r="F663" s="1020"/>
      <c r="G663" s="1020"/>
      <c r="H663" s="1020"/>
      <c r="I663" s="1020"/>
      <c r="J663" s="1020"/>
      <c r="K663" s="1020"/>
      <c r="L663" s="1020"/>
      <c r="M663" s="1020"/>
      <c r="N663" s="1020"/>
      <c r="O663" s="1020"/>
      <c r="P663" s="1020"/>
      <c r="Q663" s="1020"/>
      <c r="R663" s="1020"/>
      <c r="S663" s="1020"/>
      <c r="T663" s="1020"/>
      <c r="U663" s="1020"/>
      <c r="V663" s="1020"/>
      <c r="W663" s="1020"/>
      <c r="X663" s="1020"/>
      <c r="Y663" s="1020"/>
      <c r="Z663" s="1020"/>
      <c r="AA663" s="1020"/>
      <c r="AB663" s="1020"/>
      <c r="AC663" s="1020"/>
      <c r="AD663" s="1020"/>
      <c r="AE663" s="1020"/>
      <c r="AF663" s="1020"/>
      <c r="AG663" s="467"/>
      <c r="AH663" s="467"/>
    </row>
    <row r="664" ht="14.25" customHeight="1" spans="2:34">
      <c r="B664" s="1018"/>
      <c r="C664" s="1019"/>
      <c r="D664" s="1019"/>
      <c r="E664" s="1019"/>
      <c r="F664" s="1020"/>
      <c r="G664" s="1020"/>
      <c r="H664" s="1020"/>
      <c r="I664" s="1020"/>
      <c r="J664" s="1020"/>
      <c r="K664" s="1020"/>
      <c r="L664" s="1020"/>
      <c r="M664" s="1020"/>
      <c r="N664" s="1020"/>
      <c r="O664" s="1020"/>
      <c r="P664" s="1020"/>
      <c r="Q664" s="1020"/>
      <c r="R664" s="1020"/>
      <c r="S664" s="1020"/>
      <c r="T664" s="1020"/>
      <c r="U664" s="1020"/>
      <c r="V664" s="1020"/>
      <c r="W664" s="1020"/>
      <c r="X664" s="1020"/>
      <c r="Y664" s="1020"/>
      <c r="Z664" s="1020"/>
      <c r="AA664" s="1020"/>
      <c r="AB664" s="1020"/>
      <c r="AC664" s="1020"/>
      <c r="AD664" s="1020"/>
      <c r="AE664" s="1020"/>
      <c r="AF664" s="1020"/>
      <c r="AG664" s="467"/>
      <c r="AH664" s="467"/>
    </row>
    <row r="665" ht="14.25" customHeight="1" spans="2:34">
      <c r="B665" s="1018"/>
      <c r="C665" s="1019"/>
      <c r="D665" s="1019"/>
      <c r="E665" s="1019"/>
      <c r="F665" s="1020"/>
      <c r="G665" s="1020"/>
      <c r="H665" s="1020"/>
      <c r="I665" s="1020"/>
      <c r="J665" s="1020"/>
      <c r="K665" s="1020"/>
      <c r="L665" s="1020"/>
      <c r="M665" s="1020"/>
      <c r="N665" s="1020"/>
      <c r="O665" s="1020"/>
      <c r="P665" s="1020"/>
      <c r="Q665" s="1020"/>
      <c r="R665" s="1020"/>
      <c r="S665" s="1020"/>
      <c r="T665" s="1020"/>
      <c r="U665" s="1020"/>
      <c r="V665" s="1020"/>
      <c r="W665" s="1020"/>
      <c r="X665" s="1020"/>
      <c r="Y665" s="1020"/>
      <c r="Z665" s="1020"/>
      <c r="AA665" s="1020"/>
      <c r="AB665" s="1020"/>
      <c r="AC665" s="1020"/>
      <c r="AD665" s="1020"/>
      <c r="AE665" s="1020"/>
      <c r="AF665" s="1020"/>
      <c r="AG665" s="467"/>
      <c r="AH665" s="467"/>
    </row>
    <row r="666" ht="14.25" customHeight="1" spans="2:34">
      <c r="B666" s="1018"/>
      <c r="C666" s="1019"/>
      <c r="D666" s="1019"/>
      <c r="E666" s="1019"/>
      <c r="F666" s="1020"/>
      <c r="G666" s="1020"/>
      <c r="H666" s="1020"/>
      <c r="I666" s="1020"/>
      <c r="J666" s="1020"/>
      <c r="K666" s="1020"/>
      <c r="L666" s="1020"/>
      <c r="M666" s="1020"/>
      <c r="N666" s="1020"/>
      <c r="O666" s="1020"/>
      <c r="P666" s="1020"/>
      <c r="Q666" s="1020"/>
      <c r="R666" s="1020"/>
      <c r="S666" s="1020"/>
      <c r="T666" s="1020"/>
      <c r="U666" s="1020"/>
      <c r="V666" s="1020"/>
      <c r="W666" s="1020"/>
      <c r="X666" s="1020"/>
      <c r="Y666" s="1020"/>
      <c r="Z666" s="1020"/>
      <c r="AA666" s="1020"/>
      <c r="AB666" s="1020"/>
      <c r="AC666" s="1020"/>
      <c r="AD666" s="1020"/>
      <c r="AE666" s="1020"/>
      <c r="AF666" s="1020"/>
      <c r="AG666" s="467"/>
      <c r="AH666" s="467"/>
    </row>
    <row r="667" ht="14.25" customHeight="1" spans="2:34">
      <c r="B667" s="1018"/>
      <c r="C667" s="1019"/>
      <c r="D667" s="1019"/>
      <c r="E667" s="1019"/>
      <c r="F667" s="1020"/>
      <c r="G667" s="1020"/>
      <c r="H667" s="1020"/>
      <c r="I667" s="1020"/>
      <c r="J667" s="1020"/>
      <c r="K667" s="1020"/>
      <c r="L667" s="1020"/>
      <c r="M667" s="1020"/>
      <c r="N667" s="1020"/>
      <c r="O667" s="1020"/>
      <c r="P667" s="1020"/>
      <c r="Q667" s="1020"/>
      <c r="R667" s="1020"/>
      <c r="S667" s="1020"/>
      <c r="T667" s="1020"/>
      <c r="U667" s="1020"/>
      <c r="V667" s="1020"/>
      <c r="W667" s="1020"/>
      <c r="X667" s="1020"/>
      <c r="Y667" s="1020"/>
      <c r="Z667" s="1020"/>
      <c r="AA667" s="1020"/>
      <c r="AB667" s="1020"/>
      <c r="AC667" s="1020"/>
      <c r="AD667" s="1020"/>
      <c r="AE667" s="1020"/>
      <c r="AF667" s="1020"/>
      <c r="AG667" s="467"/>
      <c r="AH667" s="467"/>
    </row>
    <row r="668" ht="14.25" customHeight="1" spans="2:34">
      <c r="B668" s="1018"/>
      <c r="C668" s="1019"/>
      <c r="D668" s="1019"/>
      <c r="E668" s="1019"/>
      <c r="F668" s="1020"/>
      <c r="G668" s="1020"/>
      <c r="H668" s="1020"/>
      <c r="I668" s="1020"/>
      <c r="J668" s="1020"/>
      <c r="K668" s="1020"/>
      <c r="L668" s="1020"/>
      <c r="M668" s="1020"/>
      <c r="N668" s="1020"/>
      <c r="O668" s="1020"/>
      <c r="P668" s="1020"/>
      <c r="Q668" s="1020"/>
      <c r="R668" s="1020"/>
      <c r="S668" s="1020"/>
      <c r="T668" s="1020"/>
      <c r="U668" s="1020"/>
      <c r="V668" s="1020"/>
      <c r="W668" s="1020"/>
      <c r="X668" s="1020"/>
      <c r="Y668" s="1020"/>
      <c r="Z668" s="1020"/>
      <c r="AA668" s="1020"/>
      <c r="AB668" s="1020"/>
      <c r="AC668" s="1020"/>
      <c r="AD668" s="1020"/>
      <c r="AE668" s="1020"/>
      <c r="AF668" s="1020"/>
      <c r="AG668" s="467"/>
      <c r="AH668" s="467"/>
    </row>
    <row r="669" ht="14.25" customHeight="1" spans="2:34">
      <c r="B669" s="1018"/>
      <c r="C669" s="1019"/>
      <c r="D669" s="1019"/>
      <c r="E669" s="1019"/>
      <c r="F669" s="1020"/>
      <c r="G669" s="1020"/>
      <c r="H669" s="1020"/>
      <c r="I669" s="1020"/>
      <c r="J669" s="1020"/>
      <c r="K669" s="1020"/>
      <c r="L669" s="1020"/>
      <c r="M669" s="1020"/>
      <c r="N669" s="1020"/>
      <c r="O669" s="1020"/>
      <c r="P669" s="1020"/>
      <c r="Q669" s="1020"/>
      <c r="R669" s="1020"/>
      <c r="S669" s="1020"/>
      <c r="T669" s="1020"/>
      <c r="U669" s="1020"/>
      <c r="V669" s="1020"/>
      <c r="W669" s="1020"/>
      <c r="X669" s="1020"/>
      <c r="Y669" s="1020"/>
      <c r="Z669" s="1020"/>
      <c r="AA669" s="1020"/>
      <c r="AB669" s="1020"/>
      <c r="AC669" s="1020"/>
      <c r="AD669" s="1020"/>
      <c r="AE669" s="1020"/>
      <c r="AF669" s="1020"/>
      <c r="AG669" s="467"/>
      <c r="AH669" s="467"/>
    </row>
    <row r="670" ht="14.25" customHeight="1" spans="2:34">
      <c r="B670" s="1018"/>
      <c r="C670" s="1019"/>
      <c r="D670" s="1019"/>
      <c r="E670" s="1019"/>
      <c r="F670" s="1020"/>
      <c r="G670" s="1020"/>
      <c r="H670" s="1020"/>
      <c r="I670" s="1020"/>
      <c r="J670" s="1020"/>
      <c r="K670" s="1020"/>
      <c r="L670" s="1020"/>
      <c r="M670" s="1020"/>
      <c r="N670" s="1020"/>
      <c r="O670" s="1020"/>
      <c r="P670" s="1020"/>
      <c r="Q670" s="1020"/>
      <c r="R670" s="1020"/>
      <c r="S670" s="1020"/>
      <c r="T670" s="1020"/>
      <c r="U670" s="1020"/>
      <c r="V670" s="1020"/>
      <c r="W670" s="1020"/>
      <c r="X670" s="1020"/>
      <c r="Y670" s="1020"/>
      <c r="Z670" s="1020"/>
      <c r="AA670" s="1020"/>
      <c r="AB670" s="1020"/>
      <c r="AC670" s="1020"/>
      <c r="AD670" s="1020"/>
      <c r="AE670" s="1020"/>
      <c r="AF670" s="1020"/>
      <c r="AG670" s="467"/>
      <c r="AH670" s="467"/>
    </row>
    <row r="671" ht="14.25" customHeight="1" spans="2:34">
      <c r="B671" s="1018"/>
      <c r="C671" s="1019"/>
      <c r="D671" s="1019"/>
      <c r="E671" s="1019"/>
      <c r="F671" s="1020"/>
      <c r="G671" s="1020"/>
      <c r="H671" s="1020"/>
      <c r="I671" s="1020"/>
      <c r="J671" s="1020"/>
      <c r="K671" s="1020"/>
      <c r="L671" s="1020"/>
      <c r="M671" s="1020"/>
      <c r="N671" s="1020"/>
      <c r="O671" s="1020"/>
      <c r="P671" s="1020"/>
      <c r="Q671" s="1020"/>
      <c r="R671" s="1020"/>
      <c r="S671" s="1020"/>
      <c r="T671" s="1020"/>
      <c r="U671" s="1020"/>
      <c r="V671" s="1020"/>
      <c r="W671" s="1020"/>
      <c r="X671" s="1020"/>
      <c r="Y671" s="1020"/>
      <c r="Z671" s="1020"/>
      <c r="AA671" s="1020"/>
      <c r="AB671" s="1020"/>
      <c r="AC671" s="1020"/>
      <c r="AD671" s="1020"/>
      <c r="AE671" s="1020"/>
      <c r="AF671" s="1020"/>
      <c r="AG671" s="467"/>
      <c r="AH671" s="467"/>
    </row>
    <row r="672" ht="14.25" customHeight="1" spans="2:34">
      <c r="B672" s="1018"/>
      <c r="C672" s="1019"/>
      <c r="D672" s="1019"/>
      <c r="E672" s="1019"/>
      <c r="F672" s="1020"/>
      <c r="G672" s="1020"/>
      <c r="H672" s="1020"/>
      <c r="I672" s="1020"/>
      <c r="J672" s="1020"/>
      <c r="K672" s="1020"/>
      <c r="L672" s="1020"/>
      <c r="M672" s="1020"/>
      <c r="N672" s="1020"/>
      <c r="O672" s="1020"/>
      <c r="P672" s="1020"/>
      <c r="Q672" s="1020"/>
      <c r="R672" s="1020"/>
      <c r="S672" s="1020"/>
      <c r="T672" s="1020"/>
      <c r="U672" s="1020"/>
      <c r="V672" s="1020"/>
      <c r="W672" s="1020"/>
      <c r="X672" s="1020"/>
      <c r="Y672" s="1020"/>
      <c r="Z672" s="1020"/>
      <c r="AA672" s="1020"/>
      <c r="AB672" s="1020"/>
      <c r="AC672" s="1020"/>
      <c r="AD672" s="1020"/>
      <c r="AE672" s="1020"/>
      <c r="AF672" s="1020"/>
      <c r="AG672" s="467"/>
      <c r="AH672" s="467"/>
    </row>
    <row r="673" ht="14.25" customHeight="1" spans="2:34">
      <c r="B673" s="1018"/>
      <c r="C673" s="1019"/>
      <c r="D673" s="1019"/>
      <c r="E673" s="1019"/>
      <c r="F673" s="1020"/>
      <c r="G673" s="1020"/>
      <c r="H673" s="1020"/>
      <c r="I673" s="1020"/>
      <c r="J673" s="1020"/>
      <c r="K673" s="1020"/>
      <c r="L673" s="1020"/>
      <c r="M673" s="1020"/>
      <c r="N673" s="1020"/>
      <c r="O673" s="1020"/>
      <c r="P673" s="1020"/>
      <c r="Q673" s="1020"/>
      <c r="R673" s="1020"/>
      <c r="S673" s="1020"/>
      <c r="T673" s="1020"/>
      <c r="U673" s="1020"/>
      <c r="V673" s="1020"/>
      <c r="W673" s="1020"/>
      <c r="X673" s="1020"/>
      <c r="Y673" s="1020"/>
      <c r="Z673" s="1020"/>
      <c r="AA673" s="1020"/>
      <c r="AB673" s="1020"/>
      <c r="AC673" s="1020"/>
      <c r="AD673" s="1020"/>
      <c r="AE673" s="1020"/>
      <c r="AF673" s="1020"/>
      <c r="AG673" s="467"/>
      <c r="AH673" s="467"/>
    </row>
    <row r="674" ht="14.25" customHeight="1" spans="2:34">
      <c r="B674" s="1018"/>
      <c r="C674" s="1019"/>
      <c r="D674" s="1019"/>
      <c r="E674" s="1019"/>
      <c r="F674" s="1020"/>
      <c r="G674" s="1020"/>
      <c r="H674" s="1020"/>
      <c r="I674" s="1020"/>
      <c r="J674" s="1020"/>
      <c r="K674" s="1020"/>
      <c r="L674" s="1020"/>
      <c r="M674" s="1020"/>
      <c r="N674" s="1020"/>
      <c r="O674" s="1020"/>
      <c r="P674" s="1020"/>
      <c r="Q674" s="1020"/>
      <c r="R674" s="1020"/>
      <c r="S674" s="1020"/>
      <c r="T674" s="1020"/>
      <c r="U674" s="1020"/>
      <c r="V674" s="1020"/>
      <c r="W674" s="1020"/>
      <c r="X674" s="1020"/>
      <c r="Y674" s="1020"/>
      <c r="Z674" s="1020"/>
      <c r="AA674" s="1020"/>
      <c r="AB674" s="1020"/>
      <c r="AC674" s="1020"/>
      <c r="AD674" s="1020"/>
      <c r="AE674" s="1020"/>
      <c r="AF674" s="1020"/>
      <c r="AG674" s="467"/>
      <c r="AH674" s="467"/>
    </row>
    <row r="675" ht="14.25" customHeight="1" spans="2:34">
      <c r="B675" s="1018"/>
      <c r="C675" s="1019"/>
      <c r="D675" s="1019"/>
      <c r="E675" s="1019"/>
      <c r="F675" s="1020"/>
      <c r="G675" s="1020"/>
      <c r="H675" s="1020"/>
      <c r="I675" s="1020"/>
      <c r="J675" s="1020"/>
      <c r="K675" s="1020"/>
      <c r="L675" s="1020"/>
      <c r="M675" s="1020"/>
      <c r="N675" s="1020"/>
      <c r="O675" s="1020"/>
      <c r="P675" s="1020"/>
      <c r="Q675" s="1020"/>
      <c r="R675" s="1020"/>
      <c r="S675" s="1020"/>
      <c r="T675" s="1020"/>
      <c r="U675" s="1020"/>
      <c r="V675" s="1020"/>
      <c r="W675" s="1020"/>
      <c r="X675" s="1020"/>
      <c r="Y675" s="1020"/>
      <c r="Z675" s="1020"/>
      <c r="AA675" s="1020"/>
      <c r="AB675" s="1020"/>
      <c r="AC675" s="1020"/>
      <c r="AD675" s="1020"/>
      <c r="AE675" s="1020"/>
      <c r="AF675" s="1020"/>
      <c r="AG675" s="467"/>
      <c r="AH675" s="467"/>
    </row>
    <row r="676" ht="14.25" customHeight="1" spans="2:34">
      <c r="B676" s="1018"/>
      <c r="C676" s="1019"/>
      <c r="D676" s="1019"/>
      <c r="E676" s="1019"/>
      <c r="F676" s="1020"/>
      <c r="G676" s="1020"/>
      <c r="H676" s="1020"/>
      <c r="I676" s="1020"/>
      <c r="J676" s="1020"/>
      <c r="K676" s="1020"/>
      <c r="L676" s="1020"/>
      <c r="M676" s="1020"/>
      <c r="N676" s="1020"/>
      <c r="O676" s="1020"/>
      <c r="P676" s="1020"/>
      <c r="Q676" s="1020"/>
      <c r="R676" s="1020"/>
      <c r="S676" s="1020"/>
      <c r="T676" s="1020"/>
      <c r="U676" s="1020"/>
      <c r="V676" s="1020"/>
      <c r="W676" s="1020"/>
      <c r="X676" s="1020"/>
      <c r="Y676" s="1020"/>
      <c r="Z676" s="1020"/>
      <c r="AA676" s="1020"/>
      <c r="AB676" s="1020"/>
      <c r="AC676" s="1020"/>
      <c r="AD676" s="1020"/>
      <c r="AE676" s="1020"/>
      <c r="AF676" s="1020"/>
      <c r="AG676" s="467"/>
      <c r="AH676" s="467"/>
    </row>
    <row r="677" ht="14.25" customHeight="1" spans="2:34">
      <c r="B677" s="1018"/>
      <c r="C677" s="1019"/>
      <c r="D677" s="1019"/>
      <c r="E677" s="1019"/>
      <c r="F677" s="1020"/>
      <c r="G677" s="1020"/>
      <c r="H677" s="1020"/>
      <c r="I677" s="1020"/>
      <c r="J677" s="1020"/>
      <c r="K677" s="1020"/>
      <c r="L677" s="1020"/>
      <c r="M677" s="1020"/>
      <c r="N677" s="1020"/>
      <c r="O677" s="1020"/>
      <c r="P677" s="1020"/>
      <c r="Q677" s="1020"/>
      <c r="R677" s="1020"/>
      <c r="S677" s="1020"/>
      <c r="T677" s="1020"/>
      <c r="U677" s="1020"/>
      <c r="V677" s="1020"/>
      <c r="W677" s="1020"/>
      <c r="X677" s="1020"/>
      <c r="Y677" s="1020"/>
      <c r="Z677" s="1020"/>
      <c r="AA677" s="1020"/>
      <c r="AB677" s="1020"/>
      <c r="AC677" s="1020"/>
      <c r="AD677" s="1020"/>
      <c r="AE677" s="1020"/>
      <c r="AF677" s="1020"/>
      <c r="AG677" s="467"/>
      <c r="AH677" s="467"/>
    </row>
    <row r="678" ht="14.25" customHeight="1" spans="2:34">
      <c r="B678" s="1018"/>
      <c r="C678" s="1019"/>
      <c r="D678" s="1019"/>
      <c r="E678" s="1019"/>
      <c r="F678" s="1020"/>
      <c r="G678" s="1020"/>
      <c r="H678" s="1020"/>
      <c r="I678" s="1020"/>
      <c r="J678" s="1020"/>
      <c r="K678" s="1020"/>
      <c r="L678" s="1020"/>
      <c r="M678" s="1020"/>
      <c r="N678" s="1020"/>
      <c r="O678" s="1020"/>
      <c r="P678" s="1020"/>
      <c r="Q678" s="1020"/>
      <c r="R678" s="1020"/>
      <c r="S678" s="1020"/>
      <c r="T678" s="1020"/>
      <c r="U678" s="1020"/>
      <c r="V678" s="1020"/>
      <c r="W678" s="1020"/>
      <c r="X678" s="1020"/>
      <c r="Y678" s="1020"/>
      <c r="Z678" s="1020"/>
      <c r="AA678" s="1020"/>
      <c r="AB678" s="1020"/>
      <c r="AC678" s="1020"/>
      <c r="AD678" s="1020"/>
      <c r="AE678" s="1020"/>
      <c r="AF678" s="1020"/>
      <c r="AG678" s="467"/>
      <c r="AH678" s="467"/>
    </row>
    <row r="679" ht="14.25" customHeight="1" spans="2:34">
      <c r="B679" s="1018"/>
      <c r="C679" s="1019"/>
      <c r="D679" s="1019"/>
      <c r="E679" s="1019"/>
      <c r="F679" s="1020"/>
      <c r="G679" s="1020"/>
      <c r="H679" s="1020"/>
      <c r="I679" s="1020"/>
      <c r="J679" s="1020"/>
      <c r="K679" s="1020"/>
      <c r="L679" s="1020"/>
      <c r="M679" s="1020"/>
      <c r="N679" s="1020"/>
      <c r="O679" s="1020"/>
      <c r="P679" s="1020"/>
      <c r="Q679" s="1020"/>
      <c r="R679" s="1020"/>
      <c r="S679" s="1020"/>
      <c r="T679" s="1020"/>
      <c r="U679" s="1020"/>
      <c r="V679" s="1020"/>
      <c r="W679" s="1020"/>
      <c r="X679" s="1020"/>
      <c r="Y679" s="1020"/>
      <c r="Z679" s="1020"/>
      <c r="AA679" s="1020"/>
      <c r="AB679" s="1020"/>
      <c r="AC679" s="1020"/>
      <c r="AD679" s="1020"/>
      <c r="AE679" s="1020"/>
      <c r="AF679" s="1020"/>
      <c r="AG679" s="467"/>
      <c r="AH679" s="467"/>
    </row>
    <row r="680" ht="14.25" customHeight="1" spans="2:34">
      <c r="B680" s="1018"/>
      <c r="C680" s="1019"/>
      <c r="D680" s="1019"/>
      <c r="E680" s="1019"/>
      <c r="F680" s="1020"/>
      <c r="G680" s="1020"/>
      <c r="H680" s="1020"/>
      <c r="I680" s="1020"/>
      <c r="J680" s="1020"/>
      <c r="K680" s="1020"/>
      <c r="L680" s="1020"/>
      <c r="M680" s="1020"/>
      <c r="N680" s="1020"/>
      <c r="O680" s="1020"/>
      <c r="P680" s="1020"/>
      <c r="Q680" s="1020"/>
      <c r="R680" s="1020"/>
      <c r="S680" s="1020"/>
      <c r="T680" s="1020"/>
      <c r="U680" s="1020"/>
      <c r="V680" s="1020"/>
      <c r="W680" s="1020"/>
      <c r="X680" s="1020"/>
      <c r="Y680" s="1020"/>
      <c r="Z680" s="1020"/>
      <c r="AA680" s="1020"/>
      <c r="AB680" s="1020"/>
      <c r="AC680" s="1020"/>
      <c r="AD680" s="1020"/>
      <c r="AE680" s="1020"/>
      <c r="AF680" s="1020"/>
      <c r="AG680" s="467"/>
      <c r="AH680" s="467"/>
    </row>
    <row r="681" ht="14.25" customHeight="1" spans="2:34">
      <c r="B681" s="1018"/>
      <c r="C681" s="1019"/>
      <c r="D681" s="1019"/>
      <c r="E681" s="1019"/>
      <c r="F681" s="1020"/>
      <c r="G681" s="1020"/>
      <c r="H681" s="1020"/>
      <c r="I681" s="1020"/>
      <c r="J681" s="1020"/>
      <c r="K681" s="1020"/>
      <c r="L681" s="1020"/>
      <c r="M681" s="1020"/>
      <c r="N681" s="1020"/>
      <c r="O681" s="1020"/>
      <c r="P681" s="1020"/>
      <c r="Q681" s="1020"/>
      <c r="R681" s="1020"/>
      <c r="S681" s="1020"/>
      <c r="T681" s="1020"/>
      <c r="U681" s="1020"/>
      <c r="V681" s="1020"/>
      <c r="W681" s="1020"/>
      <c r="X681" s="1020"/>
      <c r="Y681" s="1020"/>
      <c r="Z681" s="1020"/>
      <c r="AA681" s="1020"/>
      <c r="AB681" s="1020"/>
      <c r="AC681" s="1020"/>
      <c r="AD681" s="1020"/>
      <c r="AE681" s="1020"/>
      <c r="AF681" s="1020"/>
      <c r="AG681" s="467"/>
      <c r="AH681" s="467"/>
    </row>
    <row r="682" ht="14.25" customHeight="1" spans="2:34">
      <c r="B682" s="1018"/>
      <c r="C682" s="1019"/>
      <c r="D682" s="1019"/>
      <c r="E682" s="1019"/>
      <c r="F682" s="1020"/>
      <c r="G682" s="1020"/>
      <c r="H682" s="1020"/>
      <c r="I682" s="1020"/>
      <c r="J682" s="1020"/>
      <c r="K682" s="1020"/>
      <c r="L682" s="1020"/>
      <c r="M682" s="1020"/>
      <c r="N682" s="1020"/>
      <c r="O682" s="1020"/>
      <c r="P682" s="1020"/>
      <c r="Q682" s="1020"/>
      <c r="R682" s="1020"/>
      <c r="S682" s="1020"/>
      <c r="T682" s="1020"/>
      <c r="U682" s="1020"/>
      <c r="V682" s="1020"/>
      <c r="W682" s="1020"/>
      <c r="X682" s="1020"/>
      <c r="Y682" s="1020"/>
      <c r="Z682" s="1020"/>
      <c r="AA682" s="1020"/>
      <c r="AB682" s="1020"/>
      <c r="AC682" s="1020"/>
      <c r="AD682" s="1020"/>
      <c r="AE682" s="1020"/>
      <c r="AF682" s="1020"/>
      <c r="AG682" s="467"/>
      <c r="AH682" s="467"/>
    </row>
    <row r="683" ht="14.25" customHeight="1" spans="2:34">
      <c r="B683" s="1018"/>
      <c r="C683" s="1019"/>
      <c r="D683" s="1019"/>
      <c r="E683" s="1019"/>
      <c r="F683" s="1020"/>
      <c r="G683" s="1020"/>
      <c r="H683" s="1020"/>
      <c r="I683" s="1020"/>
      <c r="J683" s="1020"/>
      <c r="K683" s="1020"/>
      <c r="L683" s="1020"/>
      <c r="M683" s="1020"/>
      <c r="N683" s="1020"/>
      <c r="O683" s="1020"/>
      <c r="P683" s="1020"/>
      <c r="Q683" s="1020"/>
      <c r="R683" s="1020"/>
      <c r="S683" s="1020"/>
      <c r="T683" s="1020"/>
      <c r="U683" s="1020"/>
      <c r="V683" s="1020"/>
      <c r="W683" s="1020"/>
      <c r="X683" s="1020"/>
      <c r="Y683" s="1020"/>
      <c r="Z683" s="1020"/>
      <c r="AA683" s="1020"/>
      <c r="AB683" s="1020"/>
      <c r="AC683" s="1020"/>
      <c r="AD683" s="1020"/>
      <c r="AE683" s="1020"/>
      <c r="AF683" s="1020"/>
      <c r="AG683" s="467"/>
      <c r="AH683" s="467"/>
    </row>
    <row r="684" ht="14.25" customHeight="1" spans="2:34">
      <c r="B684" s="1018"/>
      <c r="C684" s="1019"/>
      <c r="D684" s="1019"/>
      <c r="E684" s="1019"/>
      <c r="F684" s="1020"/>
      <c r="G684" s="1020"/>
      <c r="H684" s="1020"/>
      <c r="I684" s="1020"/>
      <c r="J684" s="1020"/>
      <c r="K684" s="1020"/>
      <c r="L684" s="1020"/>
      <c r="M684" s="1020"/>
      <c r="N684" s="1020"/>
      <c r="O684" s="1020"/>
      <c r="P684" s="1020"/>
      <c r="Q684" s="1020"/>
      <c r="R684" s="1020"/>
      <c r="S684" s="1020"/>
      <c r="T684" s="1020"/>
      <c r="U684" s="1020"/>
      <c r="V684" s="1020"/>
      <c r="W684" s="1020"/>
      <c r="X684" s="1020"/>
      <c r="Y684" s="1020"/>
      <c r="Z684" s="1020"/>
      <c r="AA684" s="1020"/>
      <c r="AB684" s="1020"/>
      <c r="AC684" s="1020"/>
      <c r="AD684" s="1020"/>
      <c r="AE684" s="1020"/>
      <c r="AF684" s="1020"/>
      <c r="AG684" s="467"/>
      <c r="AH684" s="467"/>
    </row>
    <row r="685" ht="14.25" customHeight="1" spans="2:34">
      <c r="B685" s="1018"/>
      <c r="C685" s="1019"/>
      <c r="D685" s="1019"/>
      <c r="E685" s="1019"/>
      <c r="F685" s="1020"/>
      <c r="G685" s="1020"/>
      <c r="H685" s="1020"/>
      <c r="I685" s="1020"/>
      <c r="J685" s="1020"/>
      <c r="K685" s="1020"/>
      <c r="L685" s="1020"/>
      <c r="M685" s="1020"/>
      <c r="N685" s="1020"/>
      <c r="O685" s="1020"/>
      <c r="P685" s="1020"/>
      <c r="Q685" s="1020"/>
      <c r="R685" s="1020"/>
      <c r="S685" s="1020"/>
      <c r="T685" s="1020"/>
      <c r="U685" s="1020"/>
      <c r="V685" s="1020"/>
      <c r="W685" s="1020"/>
      <c r="X685" s="1020"/>
      <c r="Y685" s="1020"/>
      <c r="Z685" s="1020"/>
      <c r="AA685" s="1020"/>
      <c r="AB685" s="1020"/>
      <c r="AC685" s="1020"/>
      <c r="AD685" s="1020"/>
      <c r="AE685" s="1020"/>
      <c r="AF685" s="1020"/>
      <c r="AG685" s="467"/>
      <c r="AH685" s="467"/>
    </row>
    <row r="686" ht="14.25" customHeight="1" spans="2:34">
      <c r="B686" s="1018"/>
      <c r="C686" s="1019"/>
      <c r="D686" s="1019"/>
      <c r="E686" s="1019"/>
      <c r="F686" s="1020"/>
      <c r="G686" s="1020"/>
      <c r="H686" s="1020"/>
      <c r="I686" s="1020"/>
      <c r="J686" s="1020"/>
      <c r="K686" s="1020"/>
      <c r="L686" s="1020"/>
      <c r="M686" s="1020"/>
      <c r="N686" s="1020"/>
      <c r="O686" s="1020"/>
      <c r="P686" s="1020"/>
      <c r="Q686" s="1020"/>
      <c r="R686" s="1020"/>
      <c r="S686" s="1020"/>
      <c r="T686" s="1020"/>
      <c r="U686" s="1020"/>
      <c r="V686" s="1020"/>
      <c r="W686" s="1020"/>
      <c r="X686" s="1020"/>
      <c r="Y686" s="1020"/>
      <c r="Z686" s="1020"/>
      <c r="AA686" s="1020"/>
      <c r="AB686" s="1020"/>
      <c r="AC686" s="1020"/>
      <c r="AD686" s="1020"/>
      <c r="AE686" s="1020"/>
      <c r="AF686" s="1020"/>
      <c r="AG686" s="467"/>
      <c r="AH686" s="467"/>
    </row>
    <row r="687" ht="14.25" customHeight="1" spans="2:34">
      <c r="B687" s="1018"/>
      <c r="C687" s="1019"/>
      <c r="D687" s="1019"/>
      <c r="E687" s="1019"/>
      <c r="F687" s="1020"/>
      <c r="G687" s="1020"/>
      <c r="H687" s="1020"/>
      <c r="I687" s="1020"/>
      <c r="J687" s="1020"/>
      <c r="K687" s="1020"/>
      <c r="L687" s="1020"/>
      <c r="M687" s="1020"/>
      <c r="N687" s="1020"/>
      <c r="O687" s="1020"/>
      <c r="P687" s="1020"/>
      <c r="Q687" s="1020"/>
      <c r="R687" s="1020"/>
      <c r="S687" s="1020"/>
      <c r="T687" s="1020"/>
      <c r="U687" s="1020"/>
      <c r="V687" s="1020"/>
      <c r="W687" s="1020"/>
      <c r="X687" s="1020"/>
      <c r="Y687" s="1020"/>
      <c r="Z687" s="1020"/>
      <c r="AA687" s="1020"/>
      <c r="AB687" s="1020"/>
      <c r="AC687" s="1020"/>
      <c r="AD687" s="1020"/>
      <c r="AE687" s="1020"/>
      <c r="AF687" s="1020"/>
      <c r="AG687" s="467"/>
      <c r="AH687" s="467"/>
    </row>
    <row r="688" ht="14.25" customHeight="1" spans="2:34">
      <c r="B688" s="1018"/>
      <c r="C688" s="1019"/>
      <c r="D688" s="1019"/>
      <c r="E688" s="1019"/>
      <c r="F688" s="1020"/>
      <c r="G688" s="1020"/>
      <c r="H688" s="1020"/>
      <c r="I688" s="1020"/>
      <c r="J688" s="1020"/>
      <c r="K688" s="1020"/>
      <c r="L688" s="1020"/>
      <c r="M688" s="1020"/>
      <c r="N688" s="1020"/>
      <c r="O688" s="1020"/>
      <c r="P688" s="1020"/>
      <c r="Q688" s="1020"/>
      <c r="R688" s="1020"/>
      <c r="S688" s="1020"/>
      <c r="T688" s="1020"/>
      <c r="U688" s="1020"/>
      <c r="V688" s="1020"/>
      <c r="W688" s="1020"/>
      <c r="X688" s="1020"/>
      <c r="Y688" s="1020"/>
      <c r="Z688" s="1020"/>
      <c r="AA688" s="1020"/>
      <c r="AB688" s="1020"/>
      <c r="AC688" s="1020"/>
      <c r="AD688" s="1020"/>
      <c r="AE688" s="1020"/>
      <c r="AF688" s="1020"/>
      <c r="AG688" s="467"/>
      <c r="AH688" s="467"/>
    </row>
    <row r="689" ht="14.25" customHeight="1" spans="2:34">
      <c r="B689" s="1018"/>
      <c r="C689" s="1019"/>
      <c r="D689" s="1019"/>
      <c r="E689" s="1019"/>
      <c r="F689" s="1020"/>
      <c r="G689" s="1020"/>
      <c r="H689" s="1020"/>
      <c r="I689" s="1020"/>
      <c r="J689" s="1020"/>
      <c r="K689" s="1020"/>
      <c r="L689" s="1020"/>
      <c r="M689" s="1020"/>
      <c r="N689" s="1020"/>
      <c r="O689" s="1020"/>
      <c r="P689" s="1020"/>
      <c r="Q689" s="1020"/>
      <c r="R689" s="1020"/>
      <c r="S689" s="1020"/>
      <c r="T689" s="1020"/>
      <c r="U689" s="1020"/>
      <c r="V689" s="1020"/>
      <c r="W689" s="1020"/>
      <c r="X689" s="1020"/>
      <c r="Y689" s="1020"/>
      <c r="Z689" s="1020"/>
      <c r="AA689" s="1020"/>
      <c r="AB689" s="1020"/>
      <c r="AC689" s="1020"/>
      <c r="AD689" s="1020"/>
      <c r="AE689" s="1020"/>
      <c r="AF689" s="1020"/>
      <c r="AG689" s="467"/>
      <c r="AH689" s="467"/>
    </row>
    <row r="690" ht="14.25" customHeight="1" spans="2:34">
      <c r="B690" s="1018"/>
      <c r="C690" s="1019"/>
      <c r="D690" s="1019"/>
      <c r="E690" s="1019"/>
      <c r="F690" s="1020"/>
      <c r="G690" s="1020"/>
      <c r="H690" s="1020"/>
      <c r="I690" s="1020"/>
      <c r="J690" s="1020"/>
      <c r="K690" s="1020"/>
      <c r="L690" s="1020"/>
      <c r="M690" s="1020"/>
      <c r="N690" s="1020"/>
      <c r="O690" s="1020"/>
      <c r="P690" s="1020"/>
      <c r="Q690" s="1020"/>
      <c r="R690" s="1020"/>
      <c r="S690" s="1020"/>
      <c r="T690" s="1020"/>
      <c r="U690" s="1020"/>
      <c r="V690" s="1020"/>
      <c r="W690" s="1020"/>
      <c r="X690" s="1020"/>
      <c r="Y690" s="1020"/>
      <c r="Z690" s="1020"/>
      <c r="AA690" s="1020"/>
      <c r="AB690" s="1020"/>
      <c r="AC690" s="1020"/>
      <c r="AD690" s="1020"/>
      <c r="AE690" s="1020"/>
      <c r="AF690" s="1020"/>
      <c r="AG690" s="467"/>
      <c r="AH690" s="467"/>
    </row>
    <row r="691" ht="14.25" customHeight="1" spans="2:34">
      <c r="B691" s="1018"/>
      <c r="C691" s="1019"/>
      <c r="D691" s="1019"/>
      <c r="E691" s="1019"/>
      <c r="F691" s="1020"/>
      <c r="G691" s="1020"/>
      <c r="H691" s="1020"/>
      <c r="I691" s="1020"/>
      <c r="J691" s="1020"/>
      <c r="K691" s="1020"/>
      <c r="L691" s="1020"/>
      <c r="M691" s="1020"/>
      <c r="N691" s="1020"/>
      <c r="O691" s="1020"/>
      <c r="P691" s="1020"/>
      <c r="Q691" s="1020"/>
      <c r="R691" s="1020"/>
      <c r="S691" s="1020"/>
      <c r="T691" s="1020"/>
      <c r="U691" s="1020"/>
      <c r="V691" s="1020"/>
      <c r="W691" s="1020"/>
      <c r="X691" s="1020"/>
      <c r="Y691" s="1020"/>
      <c r="Z691" s="1020"/>
      <c r="AA691" s="1020"/>
      <c r="AB691" s="1020"/>
      <c r="AC691" s="1020"/>
      <c r="AD691" s="1020"/>
      <c r="AE691" s="1020"/>
      <c r="AF691" s="1020"/>
      <c r="AG691" s="467"/>
      <c r="AH691" s="467"/>
    </row>
    <row r="692" ht="14.25" customHeight="1" spans="2:34">
      <c r="B692" s="1018"/>
      <c r="C692" s="1019"/>
      <c r="D692" s="1019"/>
      <c r="E692" s="1019"/>
      <c r="F692" s="1020"/>
      <c r="G692" s="1020"/>
      <c r="H692" s="1020"/>
      <c r="I692" s="1020"/>
      <c r="J692" s="1020"/>
      <c r="K692" s="1020"/>
      <c r="L692" s="1020"/>
      <c r="M692" s="1020"/>
      <c r="N692" s="1020"/>
      <c r="O692" s="1020"/>
      <c r="P692" s="1020"/>
      <c r="Q692" s="1020"/>
      <c r="R692" s="1020"/>
      <c r="S692" s="1020"/>
      <c r="T692" s="1020"/>
      <c r="U692" s="1020"/>
      <c r="V692" s="1020"/>
      <c r="W692" s="1020"/>
      <c r="X692" s="1020"/>
      <c r="Y692" s="1020"/>
      <c r="Z692" s="1020"/>
      <c r="AA692" s="1020"/>
      <c r="AB692" s="1020"/>
      <c r="AC692" s="1020"/>
      <c r="AD692" s="1020"/>
      <c r="AE692" s="1020"/>
      <c r="AF692" s="1020"/>
      <c r="AG692" s="467"/>
      <c r="AH692" s="467"/>
    </row>
    <row r="693" ht="14.25" customHeight="1" spans="2:34">
      <c r="B693" s="1018"/>
      <c r="C693" s="1019"/>
      <c r="D693" s="1019"/>
      <c r="E693" s="1019"/>
      <c r="F693" s="1020"/>
      <c r="G693" s="1020"/>
      <c r="H693" s="1020"/>
      <c r="I693" s="1020"/>
      <c r="J693" s="1020"/>
      <c r="K693" s="1020"/>
      <c r="L693" s="1020"/>
      <c r="M693" s="1020"/>
      <c r="N693" s="1020"/>
      <c r="O693" s="1020"/>
      <c r="P693" s="1020"/>
      <c r="Q693" s="1020"/>
      <c r="R693" s="1020"/>
      <c r="S693" s="1020"/>
      <c r="T693" s="1020"/>
      <c r="U693" s="1020"/>
      <c r="V693" s="1020"/>
      <c r="W693" s="1020"/>
      <c r="X693" s="1020"/>
      <c r="Y693" s="1020"/>
      <c r="Z693" s="1020"/>
      <c r="AA693" s="1020"/>
      <c r="AB693" s="1020"/>
      <c r="AC693" s="1020"/>
      <c r="AD693" s="1020"/>
      <c r="AE693" s="1020"/>
      <c r="AF693" s="1020"/>
      <c r="AG693" s="467"/>
      <c r="AH693" s="467"/>
    </row>
    <row r="694" ht="14.25" customHeight="1" spans="2:34">
      <c r="B694" s="1018"/>
      <c r="C694" s="1019"/>
      <c r="D694" s="1019"/>
      <c r="E694" s="1019"/>
      <c r="F694" s="1020"/>
      <c r="G694" s="1020"/>
      <c r="H694" s="1020"/>
      <c r="I694" s="1020"/>
      <c r="J694" s="1020"/>
      <c r="K694" s="1020"/>
      <c r="L694" s="1020"/>
      <c r="M694" s="1020"/>
      <c r="N694" s="1020"/>
      <c r="O694" s="1020"/>
      <c r="P694" s="1020"/>
      <c r="Q694" s="1020"/>
      <c r="R694" s="1020"/>
      <c r="S694" s="1020"/>
      <c r="T694" s="1020"/>
      <c r="U694" s="1020"/>
      <c r="V694" s="1020"/>
      <c r="W694" s="1020"/>
      <c r="X694" s="1020"/>
      <c r="Y694" s="1020"/>
      <c r="Z694" s="1020"/>
      <c r="AA694" s="1020"/>
      <c r="AB694" s="1020"/>
      <c r="AC694" s="1020"/>
      <c r="AD694" s="1020"/>
      <c r="AE694" s="1020"/>
      <c r="AF694" s="1020"/>
      <c r="AG694" s="467"/>
      <c r="AH694" s="467"/>
    </row>
    <row r="695" ht="14.25" customHeight="1" spans="2:34">
      <c r="B695" s="1018"/>
      <c r="C695" s="1019"/>
      <c r="D695" s="1019"/>
      <c r="E695" s="1019"/>
      <c r="F695" s="1020"/>
      <c r="G695" s="1020"/>
      <c r="H695" s="1020"/>
      <c r="I695" s="1020"/>
      <c r="J695" s="1020"/>
      <c r="K695" s="1020"/>
      <c r="L695" s="1020"/>
      <c r="M695" s="1020"/>
      <c r="N695" s="1020"/>
      <c r="O695" s="1020"/>
      <c r="P695" s="1020"/>
      <c r="Q695" s="1020"/>
      <c r="R695" s="1020"/>
      <c r="S695" s="1020"/>
      <c r="T695" s="1020"/>
      <c r="U695" s="1020"/>
      <c r="V695" s="1020"/>
      <c r="W695" s="1020"/>
      <c r="X695" s="1020"/>
      <c r="Y695" s="1020"/>
      <c r="Z695" s="1020"/>
      <c r="AA695" s="1020"/>
      <c r="AB695" s="1020"/>
      <c r="AC695" s="1020"/>
      <c r="AD695" s="1020"/>
      <c r="AE695" s="1020"/>
      <c r="AF695" s="1020"/>
      <c r="AG695" s="467"/>
      <c r="AH695" s="467"/>
    </row>
    <row r="696" ht="14.25" customHeight="1" spans="2:34">
      <c r="B696" s="1018"/>
      <c r="C696" s="1019"/>
      <c r="D696" s="1019"/>
      <c r="E696" s="1019"/>
      <c r="F696" s="1020"/>
      <c r="G696" s="1020"/>
      <c r="H696" s="1020"/>
      <c r="I696" s="1020"/>
      <c r="J696" s="1020"/>
      <c r="K696" s="1020"/>
      <c r="L696" s="1020"/>
      <c r="M696" s="1020"/>
      <c r="N696" s="1020"/>
      <c r="O696" s="1020"/>
      <c r="P696" s="1020"/>
      <c r="Q696" s="1020"/>
      <c r="R696" s="1020"/>
      <c r="S696" s="1020"/>
      <c r="T696" s="1020"/>
      <c r="U696" s="1020"/>
      <c r="V696" s="1020"/>
      <c r="W696" s="1020"/>
      <c r="X696" s="1020"/>
      <c r="Y696" s="1020"/>
      <c r="Z696" s="1020"/>
      <c r="AA696" s="1020"/>
      <c r="AB696" s="1020"/>
      <c r="AC696" s="1020"/>
      <c r="AD696" s="1020"/>
      <c r="AE696" s="1020"/>
      <c r="AF696" s="1020"/>
      <c r="AG696" s="467"/>
      <c r="AH696" s="467"/>
    </row>
    <row r="697" ht="14.25" customHeight="1" spans="2:34">
      <c r="B697" s="1018"/>
      <c r="C697" s="1019"/>
      <c r="D697" s="1019"/>
      <c r="E697" s="1019"/>
      <c r="F697" s="1020"/>
      <c r="G697" s="1020"/>
      <c r="H697" s="1020"/>
      <c r="I697" s="1020"/>
      <c r="J697" s="1020"/>
      <c r="K697" s="1020"/>
      <c r="L697" s="1020"/>
      <c r="M697" s="1020"/>
      <c r="N697" s="1020"/>
      <c r="O697" s="1020"/>
      <c r="P697" s="1020"/>
      <c r="Q697" s="1020"/>
      <c r="R697" s="1020"/>
      <c r="S697" s="1020"/>
      <c r="T697" s="1020"/>
      <c r="U697" s="1020"/>
      <c r="V697" s="1020"/>
      <c r="W697" s="1020"/>
      <c r="X697" s="1020"/>
      <c r="Y697" s="1020"/>
      <c r="Z697" s="1020"/>
      <c r="AA697" s="1020"/>
      <c r="AB697" s="1020"/>
      <c r="AC697" s="1020"/>
      <c r="AD697" s="1020"/>
      <c r="AE697" s="1020"/>
      <c r="AF697" s="1020"/>
      <c r="AG697" s="467"/>
      <c r="AH697" s="467"/>
    </row>
    <row r="698" ht="14.25" customHeight="1" spans="2:34">
      <c r="B698" s="1018"/>
      <c r="C698" s="1019"/>
      <c r="D698" s="1019"/>
      <c r="E698" s="1019"/>
      <c r="F698" s="1020"/>
      <c r="G698" s="1020"/>
      <c r="H698" s="1020"/>
      <c r="I698" s="1020"/>
      <c r="J698" s="1020"/>
      <c r="K698" s="1020"/>
      <c r="L698" s="1020"/>
      <c r="M698" s="1020"/>
      <c r="N698" s="1020"/>
      <c r="O698" s="1020"/>
      <c r="P698" s="1020"/>
      <c r="Q698" s="1020"/>
      <c r="R698" s="1020"/>
      <c r="S698" s="1020"/>
      <c r="T698" s="1020"/>
      <c r="U698" s="1020"/>
      <c r="V698" s="1020"/>
      <c r="W698" s="1020"/>
      <c r="X698" s="1020"/>
      <c r="Y698" s="1020"/>
      <c r="Z698" s="1020"/>
      <c r="AA698" s="1020"/>
      <c r="AB698" s="1020"/>
      <c r="AC698" s="1020"/>
      <c r="AD698" s="1020"/>
      <c r="AE698" s="1020"/>
      <c r="AF698" s="1020"/>
      <c r="AG698" s="467"/>
      <c r="AH698" s="467"/>
    </row>
    <row r="699" ht="14.25" customHeight="1" spans="2:34">
      <c r="B699" s="1018"/>
      <c r="C699" s="1019"/>
      <c r="D699" s="1019"/>
      <c r="E699" s="1019"/>
      <c r="F699" s="1020"/>
      <c r="G699" s="1020"/>
      <c r="H699" s="1020"/>
      <c r="I699" s="1020"/>
      <c r="J699" s="1020"/>
      <c r="K699" s="1020"/>
      <c r="L699" s="1020"/>
      <c r="M699" s="1020"/>
      <c r="N699" s="1020"/>
      <c r="O699" s="1020"/>
      <c r="P699" s="1020"/>
      <c r="Q699" s="1020"/>
      <c r="R699" s="1020"/>
      <c r="S699" s="1020"/>
      <c r="T699" s="1020"/>
      <c r="U699" s="1020"/>
      <c r="V699" s="1020"/>
      <c r="W699" s="1020"/>
      <c r="X699" s="1020"/>
      <c r="Y699" s="1020"/>
      <c r="Z699" s="1020"/>
      <c r="AA699" s="1020"/>
      <c r="AB699" s="1020"/>
      <c r="AC699" s="1020"/>
      <c r="AD699" s="1020"/>
      <c r="AE699" s="1020"/>
      <c r="AF699" s="1020"/>
      <c r="AG699" s="467"/>
      <c r="AH699" s="467"/>
    </row>
    <row r="700" ht="14.25" customHeight="1" spans="2:34">
      <c r="B700" s="1018"/>
      <c r="C700" s="1019"/>
      <c r="D700" s="1019"/>
      <c r="E700" s="1019"/>
      <c r="F700" s="1020"/>
      <c r="G700" s="1020"/>
      <c r="H700" s="1020"/>
      <c r="I700" s="1020"/>
      <c r="J700" s="1020"/>
      <c r="K700" s="1020"/>
      <c r="L700" s="1020"/>
      <c r="M700" s="1020"/>
      <c r="N700" s="1020"/>
      <c r="O700" s="1020"/>
      <c r="P700" s="1020"/>
      <c r="Q700" s="1020"/>
      <c r="R700" s="1020"/>
      <c r="S700" s="1020"/>
      <c r="T700" s="1020"/>
      <c r="U700" s="1020"/>
      <c r="V700" s="1020"/>
      <c r="W700" s="1020"/>
      <c r="X700" s="1020"/>
      <c r="Y700" s="1020"/>
      <c r="Z700" s="1020"/>
      <c r="AA700" s="1020"/>
      <c r="AB700" s="1020"/>
      <c r="AC700" s="1020"/>
      <c r="AD700" s="1020"/>
      <c r="AE700" s="1020"/>
      <c r="AF700" s="1020"/>
      <c r="AG700" s="467"/>
      <c r="AH700" s="467"/>
    </row>
    <row r="701" ht="14.25" customHeight="1" spans="2:34">
      <c r="B701" s="1018"/>
      <c r="C701" s="1019"/>
      <c r="D701" s="1019"/>
      <c r="E701" s="1019"/>
      <c r="F701" s="1020"/>
      <c r="G701" s="1020"/>
      <c r="H701" s="1020"/>
      <c r="I701" s="1020"/>
      <c r="J701" s="1020"/>
      <c r="K701" s="1020"/>
      <c r="L701" s="1020"/>
      <c r="M701" s="1020"/>
      <c r="N701" s="1020"/>
      <c r="O701" s="1020"/>
      <c r="P701" s="1020"/>
      <c r="Q701" s="1020"/>
      <c r="R701" s="1020"/>
      <c r="S701" s="1020"/>
      <c r="T701" s="1020"/>
      <c r="U701" s="1020"/>
      <c r="V701" s="1020"/>
      <c r="W701" s="1020"/>
      <c r="X701" s="1020"/>
      <c r="Y701" s="1020"/>
      <c r="Z701" s="1020"/>
      <c r="AA701" s="1020"/>
      <c r="AB701" s="1020"/>
      <c r="AC701" s="1020"/>
      <c r="AD701" s="1020"/>
      <c r="AE701" s="1020"/>
      <c r="AF701" s="1020"/>
      <c r="AG701" s="467"/>
      <c r="AH701" s="467"/>
    </row>
    <row r="702" ht="14.25" customHeight="1" spans="2:34">
      <c r="B702" s="1018"/>
      <c r="C702" s="1019"/>
      <c r="D702" s="1019"/>
      <c r="E702" s="1019"/>
      <c r="F702" s="1020"/>
      <c r="G702" s="1020"/>
      <c r="H702" s="1020"/>
      <c r="I702" s="1020"/>
      <c r="J702" s="1020"/>
      <c r="K702" s="1020"/>
      <c r="L702" s="1020"/>
      <c r="M702" s="1020"/>
      <c r="N702" s="1020"/>
      <c r="O702" s="1020"/>
      <c r="P702" s="1020"/>
      <c r="Q702" s="1020"/>
      <c r="R702" s="1020"/>
      <c r="S702" s="1020"/>
      <c r="T702" s="1020"/>
      <c r="U702" s="1020"/>
      <c r="V702" s="1020"/>
      <c r="W702" s="1020"/>
      <c r="X702" s="1020"/>
      <c r="Y702" s="1020"/>
      <c r="Z702" s="1020"/>
      <c r="AA702" s="1020"/>
      <c r="AB702" s="1020"/>
      <c r="AC702" s="1020"/>
      <c r="AD702" s="1020"/>
      <c r="AE702" s="1020"/>
      <c r="AF702" s="1020"/>
      <c r="AG702" s="467"/>
      <c r="AH702" s="467"/>
    </row>
    <row r="703" ht="14.25" customHeight="1" spans="2:34">
      <c r="B703" s="1018"/>
      <c r="C703" s="1019"/>
      <c r="D703" s="1019"/>
      <c r="E703" s="1019"/>
      <c r="F703" s="1020"/>
      <c r="G703" s="1020"/>
      <c r="H703" s="1020"/>
      <c r="I703" s="1020"/>
      <c r="J703" s="1020"/>
      <c r="K703" s="1020"/>
      <c r="L703" s="1020"/>
      <c r="M703" s="1020"/>
      <c r="N703" s="1020"/>
      <c r="O703" s="1020"/>
      <c r="P703" s="1020"/>
      <c r="Q703" s="1020"/>
      <c r="R703" s="1020"/>
      <c r="S703" s="1020"/>
      <c r="T703" s="1020"/>
      <c r="U703" s="1020"/>
      <c r="V703" s="1020"/>
      <c r="W703" s="1020"/>
      <c r="X703" s="1020"/>
      <c r="Y703" s="1020"/>
      <c r="Z703" s="1020"/>
      <c r="AA703" s="1020"/>
      <c r="AB703" s="1020"/>
      <c r="AC703" s="1020"/>
      <c r="AD703" s="1020"/>
      <c r="AE703" s="1020"/>
      <c r="AF703" s="1020"/>
      <c r="AG703" s="467"/>
      <c r="AH703" s="467"/>
    </row>
    <row r="704" ht="14.25" customHeight="1" spans="2:34">
      <c r="B704" s="1018"/>
      <c r="C704" s="1019"/>
      <c r="D704" s="1019"/>
      <c r="E704" s="1019"/>
      <c r="F704" s="1020"/>
      <c r="G704" s="1020"/>
      <c r="H704" s="1020"/>
      <c r="I704" s="1020"/>
      <c r="J704" s="1020"/>
      <c r="K704" s="1020"/>
      <c r="L704" s="1020"/>
      <c r="M704" s="1020"/>
      <c r="N704" s="1020"/>
      <c r="O704" s="1020"/>
      <c r="P704" s="1020"/>
      <c r="Q704" s="1020"/>
      <c r="R704" s="1020"/>
      <c r="S704" s="1020"/>
      <c r="T704" s="1020"/>
      <c r="U704" s="1020"/>
      <c r="V704" s="1020"/>
      <c r="W704" s="1020"/>
      <c r="X704" s="1020"/>
      <c r="Y704" s="1020"/>
      <c r="Z704" s="1020"/>
      <c r="AA704" s="1020"/>
      <c r="AB704" s="1020"/>
      <c r="AC704" s="1020"/>
      <c r="AD704" s="1020"/>
      <c r="AE704" s="1020"/>
      <c r="AF704" s="1020"/>
      <c r="AG704" s="467"/>
      <c r="AH704" s="467"/>
    </row>
    <row r="705" ht="14.25" customHeight="1" spans="2:34">
      <c r="B705" s="1018"/>
      <c r="C705" s="1019"/>
      <c r="D705" s="1019"/>
      <c r="E705" s="1019"/>
      <c r="F705" s="1020"/>
      <c r="G705" s="1020"/>
      <c r="H705" s="1020"/>
      <c r="I705" s="1020"/>
      <c r="J705" s="1020"/>
      <c r="K705" s="1020"/>
      <c r="L705" s="1020"/>
      <c r="M705" s="1020"/>
      <c r="N705" s="1020"/>
      <c r="O705" s="1020"/>
      <c r="P705" s="1020"/>
      <c r="Q705" s="1020"/>
      <c r="R705" s="1020"/>
      <c r="S705" s="1020"/>
      <c r="T705" s="1020"/>
      <c r="U705" s="1020"/>
      <c r="V705" s="1020"/>
      <c r="W705" s="1020"/>
      <c r="X705" s="1020"/>
      <c r="Y705" s="1020"/>
      <c r="Z705" s="1020"/>
      <c r="AA705" s="1020"/>
      <c r="AB705" s="1020"/>
      <c r="AC705" s="1020"/>
      <c r="AD705" s="1020"/>
      <c r="AE705" s="1020"/>
      <c r="AF705" s="1020"/>
      <c r="AG705" s="467"/>
      <c r="AH705" s="467"/>
    </row>
    <row r="706" ht="14.25" customHeight="1" spans="2:34">
      <c r="B706" s="1018"/>
      <c r="C706" s="1019"/>
      <c r="D706" s="1019"/>
      <c r="E706" s="1019"/>
      <c r="F706" s="1020"/>
      <c r="G706" s="1020"/>
      <c r="H706" s="1020"/>
      <c r="I706" s="1020"/>
      <c r="J706" s="1020"/>
      <c r="K706" s="1020"/>
      <c r="L706" s="1020"/>
      <c r="M706" s="1020"/>
      <c r="N706" s="1020"/>
      <c r="O706" s="1020"/>
      <c r="P706" s="1020"/>
      <c r="Q706" s="1020"/>
      <c r="R706" s="1020"/>
      <c r="S706" s="1020"/>
      <c r="T706" s="1020"/>
      <c r="U706" s="1020"/>
      <c r="V706" s="1020"/>
      <c r="W706" s="1020"/>
      <c r="X706" s="1020"/>
      <c r="Y706" s="1020"/>
      <c r="Z706" s="1020"/>
      <c r="AA706" s="1020"/>
      <c r="AB706" s="1020"/>
      <c r="AC706" s="1020"/>
      <c r="AD706" s="1020"/>
      <c r="AE706" s="1020"/>
      <c r="AF706" s="1020"/>
      <c r="AG706" s="467"/>
      <c r="AH706" s="467"/>
    </row>
    <row r="707" ht="14.25" customHeight="1" spans="2:34">
      <c r="B707" s="1018"/>
      <c r="C707" s="1019"/>
      <c r="D707" s="1019"/>
      <c r="E707" s="1019"/>
      <c r="F707" s="1020"/>
      <c r="G707" s="1020"/>
      <c r="H707" s="1020"/>
      <c r="I707" s="1020"/>
      <c r="J707" s="1020"/>
      <c r="K707" s="1020"/>
      <c r="L707" s="1020"/>
      <c r="M707" s="1020"/>
      <c r="N707" s="1020"/>
      <c r="O707" s="1020"/>
      <c r="P707" s="1020"/>
      <c r="Q707" s="1020"/>
      <c r="R707" s="1020"/>
      <c r="S707" s="1020"/>
      <c r="T707" s="1020"/>
      <c r="U707" s="1020"/>
      <c r="V707" s="1020"/>
      <c r="W707" s="1020"/>
      <c r="X707" s="1020"/>
      <c r="Y707" s="1020"/>
      <c r="Z707" s="1020"/>
      <c r="AA707" s="1020"/>
      <c r="AB707" s="1020"/>
      <c r="AC707" s="1020"/>
      <c r="AD707" s="1020"/>
      <c r="AE707" s="1020"/>
      <c r="AF707" s="1020"/>
      <c r="AG707" s="467"/>
      <c r="AH707" s="467"/>
    </row>
    <row r="708" ht="14.25" customHeight="1" spans="2:34">
      <c r="B708" s="1018"/>
      <c r="C708" s="1019"/>
      <c r="D708" s="1019"/>
      <c r="E708" s="1019"/>
      <c r="F708" s="1020"/>
      <c r="G708" s="1020"/>
      <c r="H708" s="1020"/>
      <c r="I708" s="1020"/>
      <c r="J708" s="1020"/>
      <c r="K708" s="1020"/>
      <c r="L708" s="1020"/>
      <c r="M708" s="1020"/>
      <c r="N708" s="1020"/>
      <c r="O708" s="1020"/>
      <c r="P708" s="1020"/>
      <c r="Q708" s="1020"/>
      <c r="R708" s="1020"/>
      <c r="S708" s="1020"/>
      <c r="T708" s="1020"/>
      <c r="U708" s="1020"/>
      <c r="V708" s="1020"/>
      <c r="W708" s="1020"/>
      <c r="X708" s="1020"/>
      <c r="Y708" s="1020"/>
      <c r="Z708" s="1020"/>
      <c r="AA708" s="1020"/>
      <c r="AB708" s="1020"/>
      <c r="AC708" s="1020"/>
      <c r="AD708" s="1020"/>
      <c r="AE708" s="1020"/>
      <c r="AF708" s="1020"/>
      <c r="AG708" s="467"/>
      <c r="AH708" s="467"/>
    </row>
    <row r="709" ht="14.25" customHeight="1" spans="2:34">
      <c r="B709" s="1018"/>
      <c r="C709" s="1019"/>
      <c r="D709" s="1019"/>
      <c r="E709" s="1019"/>
      <c r="F709" s="1020"/>
      <c r="G709" s="1020"/>
      <c r="H709" s="1020"/>
      <c r="I709" s="1020"/>
      <c r="J709" s="1020"/>
      <c r="K709" s="1020"/>
      <c r="L709" s="1020"/>
      <c r="M709" s="1020"/>
      <c r="N709" s="1020"/>
      <c r="O709" s="1020"/>
      <c r="P709" s="1020"/>
      <c r="Q709" s="1020"/>
      <c r="R709" s="1020"/>
      <c r="S709" s="1020"/>
      <c r="T709" s="1020"/>
      <c r="U709" s="1020"/>
      <c r="V709" s="1020"/>
      <c r="W709" s="1020"/>
      <c r="X709" s="1020"/>
      <c r="Y709" s="1020"/>
      <c r="Z709" s="1020"/>
      <c r="AA709" s="1020"/>
      <c r="AB709" s="1020"/>
      <c r="AC709" s="1020"/>
      <c r="AD709" s="1020"/>
      <c r="AE709" s="1020"/>
      <c r="AF709" s="1020"/>
      <c r="AG709" s="467"/>
      <c r="AH709" s="467"/>
    </row>
    <row r="710" ht="14.25" customHeight="1" spans="2:34">
      <c r="B710" s="1018"/>
      <c r="C710" s="1019"/>
      <c r="D710" s="1019"/>
      <c r="E710" s="1019"/>
      <c r="F710" s="1020"/>
      <c r="G710" s="1020"/>
      <c r="H710" s="1020"/>
      <c r="I710" s="1020"/>
      <c r="J710" s="1020"/>
      <c r="K710" s="1020"/>
      <c r="L710" s="1020"/>
      <c r="M710" s="1020"/>
      <c r="N710" s="1020"/>
      <c r="O710" s="1020"/>
      <c r="P710" s="1020"/>
      <c r="Q710" s="1020"/>
      <c r="R710" s="1020"/>
      <c r="S710" s="1020"/>
      <c r="T710" s="1020"/>
      <c r="U710" s="1020"/>
      <c r="V710" s="1020"/>
      <c r="W710" s="1020"/>
      <c r="X710" s="1020"/>
      <c r="Y710" s="1020"/>
      <c r="Z710" s="1020"/>
      <c r="AA710" s="1020"/>
      <c r="AB710" s="1020"/>
      <c r="AC710" s="1020"/>
      <c r="AD710" s="1020"/>
      <c r="AE710" s="1020"/>
      <c r="AF710" s="1020"/>
      <c r="AG710" s="467"/>
      <c r="AH710" s="467"/>
    </row>
    <row r="711" ht="14.25" customHeight="1" spans="2:34">
      <c r="B711" s="1018"/>
      <c r="C711" s="1019"/>
      <c r="D711" s="1019"/>
      <c r="E711" s="1019"/>
      <c r="F711" s="1020"/>
      <c r="G711" s="1020"/>
      <c r="H711" s="1020"/>
      <c r="I711" s="1020"/>
      <c r="J711" s="1020"/>
      <c r="K711" s="1020"/>
      <c r="L711" s="1020"/>
      <c r="M711" s="1020"/>
      <c r="N711" s="1020"/>
      <c r="O711" s="1020"/>
      <c r="P711" s="1020"/>
      <c r="Q711" s="1020"/>
      <c r="R711" s="1020"/>
      <c r="S711" s="1020"/>
      <c r="T711" s="1020"/>
      <c r="U711" s="1020"/>
      <c r="V711" s="1020"/>
      <c r="W711" s="1020"/>
      <c r="X711" s="1020"/>
      <c r="Y711" s="1020"/>
      <c r="Z711" s="1020"/>
      <c r="AA711" s="1020"/>
      <c r="AB711" s="1020"/>
      <c r="AC711" s="1020"/>
      <c r="AD711" s="1020"/>
      <c r="AE711" s="1020"/>
      <c r="AF711" s="1020"/>
      <c r="AG711" s="467"/>
      <c r="AH711" s="467"/>
    </row>
    <row r="712" ht="14.25" customHeight="1" spans="2:34">
      <c r="B712" s="1018"/>
      <c r="C712" s="1019"/>
      <c r="D712" s="1019"/>
      <c r="E712" s="1019"/>
      <c r="F712" s="1020"/>
      <c r="G712" s="1020"/>
      <c r="H712" s="1020"/>
      <c r="I712" s="1020"/>
      <c r="J712" s="1020"/>
      <c r="K712" s="1020"/>
      <c r="L712" s="1020"/>
      <c r="M712" s="1020"/>
      <c r="N712" s="1020"/>
      <c r="O712" s="1020"/>
      <c r="P712" s="1020"/>
      <c r="Q712" s="1020"/>
      <c r="R712" s="1020"/>
      <c r="S712" s="1020"/>
      <c r="T712" s="1020"/>
      <c r="U712" s="1020"/>
      <c r="V712" s="1020"/>
      <c r="W712" s="1020"/>
      <c r="X712" s="1020"/>
      <c r="Y712" s="1020"/>
      <c r="Z712" s="1020"/>
      <c r="AA712" s="1020"/>
      <c r="AB712" s="1020"/>
      <c r="AC712" s="1020"/>
      <c r="AD712" s="1020"/>
      <c r="AE712" s="1020"/>
      <c r="AF712" s="1020"/>
      <c r="AG712" s="467"/>
      <c r="AH712" s="467"/>
    </row>
    <row r="713" ht="14.25" customHeight="1" spans="2:34">
      <c r="B713" s="1018"/>
      <c r="C713" s="1019"/>
      <c r="D713" s="1019"/>
      <c r="E713" s="1019"/>
      <c r="F713" s="1020"/>
      <c r="G713" s="1020"/>
      <c r="H713" s="1020"/>
      <c r="I713" s="1020"/>
      <c r="J713" s="1020"/>
      <c r="K713" s="1020"/>
      <c r="L713" s="1020"/>
      <c r="M713" s="1020"/>
      <c r="N713" s="1020"/>
      <c r="O713" s="1020"/>
      <c r="P713" s="1020"/>
      <c r="Q713" s="1020"/>
      <c r="R713" s="1020"/>
      <c r="S713" s="1020"/>
      <c r="T713" s="1020"/>
      <c r="U713" s="1020"/>
      <c r="V713" s="1020"/>
      <c r="W713" s="1020"/>
      <c r="X713" s="1020"/>
      <c r="Y713" s="1020"/>
      <c r="Z713" s="1020"/>
      <c r="AA713" s="1020"/>
      <c r="AB713" s="1020"/>
      <c r="AC713" s="1020"/>
      <c r="AD713" s="1020"/>
      <c r="AE713" s="1020"/>
      <c r="AF713" s="1020"/>
      <c r="AG713" s="467"/>
      <c r="AH713" s="467"/>
    </row>
    <row r="714" ht="14.25" customHeight="1" spans="2:34">
      <c r="B714" s="1018"/>
      <c r="C714" s="1019"/>
      <c r="D714" s="1019"/>
      <c r="E714" s="1019"/>
      <c r="F714" s="1020"/>
      <c r="G714" s="1020"/>
      <c r="H714" s="1020"/>
      <c r="I714" s="1020"/>
      <c r="J714" s="1020"/>
      <c r="K714" s="1020"/>
      <c r="L714" s="1020"/>
      <c r="M714" s="1020"/>
      <c r="N714" s="1020"/>
      <c r="O714" s="1020"/>
      <c r="P714" s="1020"/>
      <c r="Q714" s="1020"/>
      <c r="R714" s="1020"/>
      <c r="S714" s="1020"/>
      <c r="T714" s="1020"/>
      <c r="U714" s="1020"/>
      <c r="V714" s="1020"/>
      <c r="W714" s="1020"/>
      <c r="X714" s="1020"/>
      <c r="Y714" s="1020"/>
      <c r="Z714" s="1020"/>
      <c r="AA714" s="1020"/>
      <c r="AB714" s="1020"/>
      <c r="AC714" s="1020"/>
      <c r="AD714" s="1020"/>
      <c r="AE714" s="1020"/>
      <c r="AF714" s="1020"/>
      <c r="AG714" s="467"/>
      <c r="AH714" s="467"/>
    </row>
    <row r="715" ht="14.25" customHeight="1" spans="2:34">
      <c r="B715" s="1018"/>
      <c r="C715" s="1019"/>
      <c r="D715" s="1019"/>
      <c r="E715" s="1019"/>
      <c r="F715" s="1020"/>
      <c r="G715" s="1020"/>
      <c r="H715" s="1020"/>
      <c r="I715" s="1020"/>
      <c r="J715" s="1020"/>
      <c r="K715" s="1020"/>
      <c r="L715" s="1020"/>
      <c r="M715" s="1020"/>
      <c r="N715" s="1020"/>
      <c r="O715" s="1020"/>
      <c r="P715" s="1020"/>
      <c r="Q715" s="1020"/>
      <c r="R715" s="1020"/>
      <c r="S715" s="1020"/>
      <c r="T715" s="1020"/>
      <c r="U715" s="1020"/>
      <c r="V715" s="1020"/>
      <c r="W715" s="1020"/>
      <c r="X715" s="1020"/>
      <c r="Y715" s="1020"/>
      <c r="Z715" s="1020"/>
      <c r="AA715" s="1020"/>
      <c r="AB715" s="1020"/>
      <c r="AC715" s="1020"/>
      <c r="AD715" s="1020"/>
      <c r="AE715" s="1020"/>
      <c r="AF715" s="1020"/>
      <c r="AG715" s="467"/>
      <c r="AH715" s="467"/>
    </row>
    <row r="716" ht="14.25" customHeight="1" spans="2:34">
      <c r="B716" s="1018"/>
      <c r="C716" s="1019"/>
      <c r="D716" s="1019"/>
      <c r="E716" s="1019"/>
      <c r="F716" s="1020"/>
      <c r="G716" s="1020"/>
      <c r="H716" s="1020"/>
      <c r="I716" s="1020"/>
      <c r="J716" s="1020"/>
      <c r="K716" s="1020"/>
      <c r="L716" s="1020"/>
      <c r="M716" s="1020"/>
      <c r="N716" s="1020"/>
      <c r="O716" s="1020"/>
      <c r="P716" s="1020"/>
      <c r="Q716" s="1020"/>
      <c r="R716" s="1020"/>
      <c r="S716" s="1020"/>
      <c r="T716" s="1020"/>
      <c r="U716" s="1020"/>
      <c r="V716" s="1020"/>
      <c r="W716" s="1020"/>
      <c r="X716" s="1020"/>
      <c r="Y716" s="1020"/>
      <c r="Z716" s="1020"/>
      <c r="AA716" s="1020"/>
      <c r="AB716" s="1020"/>
      <c r="AC716" s="1020"/>
      <c r="AD716" s="1020"/>
      <c r="AE716" s="1020"/>
      <c r="AF716" s="1020"/>
      <c r="AG716" s="467"/>
      <c r="AH716" s="467"/>
    </row>
    <row r="717" ht="14.25" customHeight="1" spans="2:34">
      <c r="B717" s="1018"/>
      <c r="C717" s="1019"/>
      <c r="D717" s="1019"/>
      <c r="E717" s="1019"/>
      <c r="F717" s="1020"/>
      <c r="G717" s="1020"/>
      <c r="H717" s="1020"/>
      <c r="I717" s="1020"/>
      <c r="J717" s="1020"/>
      <c r="K717" s="1020"/>
      <c r="L717" s="1020"/>
      <c r="M717" s="1020"/>
      <c r="N717" s="1020"/>
      <c r="O717" s="1020"/>
      <c r="P717" s="1020"/>
      <c r="Q717" s="1020"/>
      <c r="R717" s="1020"/>
      <c r="S717" s="1020"/>
      <c r="T717" s="1020"/>
      <c r="U717" s="1020"/>
      <c r="V717" s="1020"/>
      <c r="W717" s="1020"/>
      <c r="X717" s="1020"/>
      <c r="Y717" s="1020"/>
      <c r="Z717" s="1020"/>
      <c r="AA717" s="1020"/>
      <c r="AB717" s="1020"/>
      <c r="AC717" s="1020"/>
      <c r="AD717" s="1020"/>
      <c r="AE717" s="1020"/>
      <c r="AF717" s="1020"/>
      <c r="AG717" s="467"/>
      <c r="AH717" s="467"/>
    </row>
    <row r="718" ht="14.25" customHeight="1" spans="2:34">
      <c r="B718" s="1018"/>
      <c r="C718" s="1019"/>
      <c r="D718" s="1019"/>
      <c r="E718" s="1019"/>
      <c r="F718" s="1020"/>
      <c r="G718" s="1020"/>
      <c r="H718" s="1020"/>
      <c r="I718" s="1020"/>
      <c r="J718" s="1020"/>
      <c r="K718" s="1020"/>
      <c r="L718" s="1020"/>
      <c r="M718" s="1020"/>
      <c r="N718" s="1020"/>
      <c r="O718" s="1020"/>
      <c r="P718" s="1020"/>
      <c r="Q718" s="1020"/>
      <c r="R718" s="1020"/>
      <c r="S718" s="1020"/>
      <c r="T718" s="1020"/>
      <c r="U718" s="1020"/>
      <c r="V718" s="1020"/>
      <c r="W718" s="1020"/>
      <c r="X718" s="1020"/>
      <c r="Y718" s="1020"/>
      <c r="Z718" s="1020"/>
      <c r="AA718" s="1020"/>
      <c r="AB718" s="1020"/>
      <c r="AC718" s="1020"/>
      <c r="AD718" s="1020"/>
      <c r="AE718" s="1020"/>
      <c r="AF718" s="1020"/>
      <c r="AG718" s="467"/>
      <c r="AH718" s="467"/>
    </row>
    <row r="719" ht="14.25" customHeight="1" spans="2:34">
      <c r="B719" s="1018"/>
      <c r="C719" s="1019"/>
      <c r="D719" s="1019"/>
      <c r="E719" s="1019"/>
      <c r="F719" s="1020"/>
      <c r="G719" s="1020"/>
      <c r="H719" s="1020"/>
      <c r="I719" s="1020"/>
      <c r="J719" s="1020"/>
      <c r="K719" s="1020"/>
      <c r="L719" s="1020"/>
      <c r="M719" s="1020"/>
      <c r="N719" s="1020"/>
      <c r="O719" s="1020"/>
      <c r="P719" s="1020"/>
      <c r="Q719" s="1020"/>
      <c r="R719" s="1020"/>
      <c r="S719" s="1020"/>
      <c r="T719" s="1020"/>
      <c r="U719" s="1020"/>
      <c r="V719" s="1020"/>
      <c r="W719" s="1020"/>
      <c r="X719" s="1020"/>
      <c r="Y719" s="1020"/>
      <c r="Z719" s="1020"/>
      <c r="AA719" s="1020"/>
      <c r="AB719" s="1020"/>
      <c r="AC719" s="1020"/>
      <c r="AD719" s="1020"/>
      <c r="AE719" s="1020"/>
      <c r="AF719" s="1020"/>
      <c r="AG719" s="467"/>
      <c r="AH719" s="467"/>
    </row>
    <row r="720" ht="14.25" customHeight="1" spans="2:34">
      <c r="B720" s="1018"/>
      <c r="C720" s="1019"/>
      <c r="D720" s="1019"/>
      <c r="E720" s="1019"/>
      <c r="F720" s="1020"/>
      <c r="G720" s="1020"/>
      <c r="H720" s="1020"/>
      <c r="I720" s="1020"/>
      <c r="J720" s="1020"/>
      <c r="K720" s="1020"/>
      <c r="L720" s="1020"/>
      <c r="M720" s="1020"/>
      <c r="N720" s="1020"/>
      <c r="O720" s="1020"/>
      <c r="P720" s="1020"/>
      <c r="Q720" s="1020"/>
      <c r="R720" s="1020"/>
      <c r="S720" s="1020"/>
      <c r="T720" s="1020"/>
      <c r="U720" s="1020"/>
      <c r="V720" s="1020"/>
      <c r="W720" s="1020"/>
      <c r="X720" s="1020"/>
      <c r="Y720" s="1020"/>
      <c r="Z720" s="1020"/>
      <c r="AA720" s="1020"/>
      <c r="AB720" s="1020"/>
      <c r="AC720" s="1020"/>
      <c r="AD720" s="1020"/>
      <c r="AE720" s="1020"/>
      <c r="AF720" s="1020"/>
      <c r="AG720" s="467"/>
      <c r="AH720" s="467"/>
    </row>
    <row r="721" ht="14.25" customHeight="1" spans="2:34">
      <c r="B721" s="1018"/>
      <c r="C721" s="1019"/>
      <c r="D721" s="1019"/>
      <c r="E721" s="1019"/>
      <c r="F721" s="1020"/>
      <c r="G721" s="1020"/>
      <c r="H721" s="1020"/>
      <c r="I721" s="1020"/>
      <c r="J721" s="1020"/>
      <c r="K721" s="1020"/>
      <c r="L721" s="1020"/>
      <c r="M721" s="1020"/>
      <c r="N721" s="1020"/>
      <c r="O721" s="1020"/>
      <c r="P721" s="1020"/>
      <c r="Q721" s="1020"/>
      <c r="R721" s="1020"/>
      <c r="S721" s="1020"/>
      <c r="T721" s="1020"/>
      <c r="U721" s="1020"/>
      <c r="V721" s="1020"/>
      <c r="W721" s="1020"/>
      <c r="X721" s="1020"/>
      <c r="Y721" s="1020"/>
      <c r="Z721" s="1020"/>
      <c r="AA721" s="1020"/>
      <c r="AB721" s="1020"/>
      <c r="AC721" s="1020"/>
      <c r="AD721" s="1020"/>
      <c r="AE721" s="1020"/>
      <c r="AF721" s="1020"/>
      <c r="AG721" s="467"/>
      <c r="AH721" s="467"/>
    </row>
    <row r="722" ht="14.25" customHeight="1" spans="2:34">
      <c r="B722" s="1018"/>
      <c r="C722" s="1019"/>
      <c r="D722" s="1019"/>
      <c r="E722" s="1019"/>
      <c r="F722" s="1020"/>
      <c r="G722" s="1020"/>
      <c r="H722" s="1020"/>
      <c r="I722" s="1020"/>
      <c r="J722" s="1020"/>
      <c r="K722" s="1020"/>
      <c r="L722" s="1020"/>
      <c r="M722" s="1020"/>
      <c r="N722" s="1020"/>
      <c r="O722" s="1020"/>
      <c r="P722" s="1020"/>
      <c r="Q722" s="1020"/>
      <c r="R722" s="1020"/>
      <c r="S722" s="1020"/>
      <c r="T722" s="1020"/>
      <c r="U722" s="1020"/>
      <c r="V722" s="1020"/>
      <c r="W722" s="1020"/>
      <c r="X722" s="1020"/>
      <c r="Y722" s="1020"/>
      <c r="Z722" s="1020"/>
      <c r="AA722" s="1020"/>
      <c r="AB722" s="1020"/>
      <c r="AC722" s="1020"/>
      <c r="AD722" s="1020"/>
      <c r="AE722" s="1020"/>
      <c r="AF722" s="1020"/>
      <c r="AG722" s="467"/>
      <c r="AH722" s="467"/>
    </row>
    <row r="723" ht="14.25" customHeight="1" spans="2:34">
      <c r="B723" s="1018"/>
      <c r="C723" s="1019"/>
      <c r="D723" s="1019"/>
      <c r="E723" s="1019"/>
      <c r="F723" s="1020"/>
      <c r="G723" s="1020"/>
      <c r="H723" s="1020"/>
      <c r="I723" s="1020"/>
      <c r="J723" s="1020"/>
      <c r="K723" s="1020"/>
      <c r="L723" s="1020"/>
      <c r="M723" s="1020"/>
      <c r="N723" s="1020"/>
      <c r="O723" s="1020"/>
      <c r="P723" s="1020"/>
      <c r="Q723" s="1020"/>
      <c r="R723" s="1020"/>
      <c r="S723" s="1020"/>
      <c r="T723" s="1020"/>
      <c r="U723" s="1020"/>
      <c r="V723" s="1020"/>
      <c r="W723" s="1020"/>
      <c r="X723" s="1020"/>
      <c r="Y723" s="1020"/>
      <c r="Z723" s="1020"/>
      <c r="AA723" s="1020"/>
      <c r="AB723" s="1020"/>
      <c r="AC723" s="1020"/>
      <c r="AD723" s="1020"/>
      <c r="AE723" s="1020"/>
      <c r="AF723" s="1020"/>
      <c r="AG723" s="467"/>
      <c r="AH723" s="467"/>
    </row>
    <row r="724" ht="14.25" customHeight="1" spans="2:34">
      <c r="B724" s="1018"/>
      <c r="C724" s="1019"/>
      <c r="D724" s="1019"/>
      <c r="E724" s="1019"/>
      <c r="F724" s="1020"/>
      <c r="G724" s="1020"/>
      <c r="H724" s="1020"/>
      <c r="I724" s="1020"/>
      <c r="J724" s="1020"/>
      <c r="K724" s="1020"/>
      <c r="L724" s="1020"/>
      <c r="M724" s="1020"/>
      <c r="N724" s="1020"/>
      <c r="O724" s="1020"/>
      <c r="P724" s="1020"/>
      <c r="Q724" s="1020"/>
      <c r="R724" s="1020"/>
      <c r="S724" s="1020"/>
      <c r="T724" s="1020"/>
      <c r="U724" s="1020"/>
      <c r="V724" s="1020"/>
      <c r="W724" s="1020"/>
      <c r="X724" s="1020"/>
      <c r="Y724" s="1020"/>
      <c r="Z724" s="1020"/>
      <c r="AA724" s="1020"/>
      <c r="AB724" s="1020"/>
      <c r="AC724" s="1020"/>
      <c r="AD724" s="1020"/>
      <c r="AE724" s="1020"/>
      <c r="AF724" s="1020"/>
      <c r="AG724" s="467"/>
      <c r="AH724" s="467"/>
    </row>
    <row r="725" ht="14.25" customHeight="1" spans="2:34">
      <c r="B725" s="1018"/>
      <c r="C725" s="1019"/>
      <c r="D725" s="1019"/>
      <c r="E725" s="1019"/>
      <c r="F725" s="1020"/>
      <c r="G725" s="1020"/>
      <c r="H725" s="1020"/>
      <c r="I725" s="1020"/>
      <c r="J725" s="1020"/>
      <c r="K725" s="1020"/>
      <c r="L725" s="1020"/>
      <c r="M725" s="1020"/>
      <c r="N725" s="1020"/>
      <c r="O725" s="1020"/>
      <c r="P725" s="1020"/>
      <c r="Q725" s="1020"/>
      <c r="R725" s="1020"/>
      <c r="S725" s="1020"/>
      <c r="T725" s="1020"/>
      <c r="U725" s="1020"/>
      <c r="V725" s="1020"/>
      <c r="W725" s="1020"/>
      <c r="X725" s="1020"/>
      <c r="Y725" s="1020"/>
      <c r="Z725" s="1020"/>
      <c r="AA725" s="1020"/>
      <c r="AB725" s="1020"/>
      <c r="AC725" s="1020"/>
      <c r="AD725" s="1020"/>
      <c r="AE725" s="1020"/>
      <c r="AF725" s="1020"/>
      <c r="AG725" s="467"/>
      <c r="AH725" s="467"/>
    </row>
    <row r="726" ht="14.25" customHeight="1" spans="2:34">
      <c r="B726" s="1018"/>
      <c r="C726" s="1019"/>
      <c r="D726" s="1019"/>
      <c r="E726" s="1019"/>
      <c r="F726" s="1020"/>
      <c r="G726" s="1020"/>
      <c r="H726" s="1020"/>
      <c r="I726" s="1020"/>
      <c r="J726" s="1020"/>
      <c r="K726" s="1020"/>
      <c r="L726" s="1020"/>
      <c r="M726" s="1020"/>
      <c r="N726" s="1020"/>
      <c r="O726" s="1020"/>
      <c r="P726" s="1020"/>
      <c r="Q726" s="1020"/>
      <c r="R726" s="1020"/>
      <c r="S726" s="1020"/>
      <c r="T726" s="1020"/>
      <c r="U726" s="1020"/>
      <c r="V726" s="1020"/>
      <c r="W726" s="1020"/>
      <c r="X726" s="1020"/>
      <c r="Y726" s="1020"/>
      <c r="Z726" s="1020"/>
      <c r="AA726" s="1020"/>
      <c r="AB726" s="1020"/>
      <c r="AC726" s="1020"/>
      <c r="AD726" s="1020"/>
      <c r="AE726" s="1020"/>
      <c r="AF726" s="1020"/>
      <c r="AG726" s="467"/>
      <c r="AH726" s="467"/>
    </row>
    <row r="727" ht="14.25" customHeight="1" spans="2:34">
      <c r="B727" s="1018"/>
      <c r="C727" s="1019"/>
      <c r="D727" s="1019"/>
      <c r="E727" s="1019"/>
      <c r="F727" s="1020"/>
      <c r="G727" s="1020"/>
      <c r="H727" s="1020"/>
      <c r="I727" s="1020"/>
      <c r="J727" s="1020"/>
      <c r="K727" s="1020"/>
      <c r="L727" s="1020"/>
      <c r="M727" s="1020"/>
      <c r="N727" s="1020"/>
      <c r="O727" s="1020"/>
      <c r="P727" s="1020"/>
      <c r="Q727" s="1020"/>
      <c r="R727" s="1020"/>
      <c r="S727" s="1020"/>
      <c r="T727" s="1020"/>
      <c r="U727" s="1020"/>
      <c r="V727" s="1020"/>
      <c r="W727" s="1020"/>
      <c r="X727" s="1020"/>
      <c r="Y727" s="1020"/>
      <c r="Z727" s="1020"/>
      <c r="AA727" s="1020"/>
      <c r="AB727" s="1020"/>
      <c r="AC727" s="1020"/>
      <c r="AD727" s="1020"/>
      <c r="AE727" s="1020"/>
      <c r="AF727" s="1020"/>
      <c r="AG727" s="467"/>
      <c r="AH727" s="467"/>
    </row>
    <row r="728" ht="14.25" customHeight="1" spans="2:34">
      <c r="B728" s="1018"/>
      <c r="C728" s="1019"/>
      <c r="D728" s="1019"/>
      <c r="E728" s="1019"/>
      <c r="F728" s="1020"/>
      <c r="G728" s="1020"/>
      <c r="H728" s="1020"/>
      <c r="I728" s="1020"/>
      <c r="J728" s="1020"/>
      <c r="K728" s="1020"/>
      <c r="L728" s="1020"/>
      <c r="M728" s="1020"/>
      <c r="N728" s="1020"/>
      <c r="O728" s="1020"/>
      <c r="P728" s="1020"/>
      <c r="Q728" s="1020"/>
      <c r="R728" s="1020"/>
      <c r="S728" s="1020"/>
      <c r="T728" s="1020"/>
      <c r="U728" s="1020"/>
      <c r="V728" s="1020"/>
      <c r="W728" s="1020"/>
      <c r="X728" s="1020"/>
      <c r="Y728" s="1020"/>
      <c r="Z728" s="1020"/>
      <c r="AA728" s="1020"/>
      <c r="AB728" s="1020"/>
      <c r="AC728" s="1020"/>
      <c r="AD728" s="1020"/>
      <c r="AE728" s="1020"/>
      <c r="AF728" s="1020"/>
      <c r="AG728" s="467"/>
      <c r="AH728" s="467"/>
    </row>
    <row r="729" ht="14.25" customHeight="1" spans="2:34">
      <c r="B729" s="1018"/>
      <c r="C729" s="1019"/>
      <c r="D729" s="1019"/>
      <c r="E729" s="1019"/>
      <c r="F729" s="1020"/>
      <c r="G729" s="1020"/>
      <c r="H729" s="1020"/>
      <c r="I729" s="1020"/>
      <c r="J729" s="1020"/>
      <c r="K729" s="1020"/>
      <c r="L729" s="1020"/>
      <c r="M729" s="1020"/>
      <c r="N729" s="1020"/>
      <c r="O729" s="1020"/>
      <c r="P729" s="1020"/>
      <c r="Q729" s="1020"/>
      <c r="R729" s="1020"/>
      <c r="S729" s="1020"/>
      <c r="T729" s="1020"/>
      <c r="U729" s="1020"/>
      <c r="V729" s="1020"/>
      <c r="W729" s="1020"/>
      <c r="X729" s="1020"/>
      <c r="Y729" s="1020"/>
      <c r="Z729" s="1020"/>
      <c r="AA729" s="1020"/>
      <c r="AB729" s="1020"/>
      <c r="AC729" s="1020"/>
      <c r="AD729" s="1020"/>
      <c r="AE729" s="1020"/>
      <c r="AF729" s="1020"/>
      <c r="AG729" s="467"/>
      <c r="AH729" s="467"/>
    </row>
    <row r="730" ht="14.25" customHeight="1" spans="2:34">
      <c r="B730" s="1018"/>
      <c r="C730" s="1019"/>
      <c r="D730" s="1019"/>
      <c r="E730" s="1019"/>
      <c r="F730" s="1020"/>
      <c r="G730" s="1020"/>
      <c r="H730" s="1020"/>
      <c r="I730" s="1020"/>
      <c r="J730" s="1020"/>
      <c r="K730" s="1020"/>
      <c r="L730" s="1020"/>
      <c r="M730" s="1020"/>
      <c r="N730" s="1020"/>
      <c r="O730" s="1020"/>
      <c r="P730" s="1020"/>
      <c r="Q730" s="1020"/>
      <c r="R730" s="1020"/>
      <c r="S730" s="1020"/>
      <c r="T730" s="1020"/>
      <c r="U730" s="1020"/>
      <c r="V730" s="1020"/>
      <c r="W730" s="1020"/>
      <c r="X730" s="1020"/>
      <c r="Y730" s="1020"/>
      <c r="Z730" s="1020"/>
      <c r="AA730" s="1020"/>
      <c r="AB730" s="1020"/>
      <c r="AC730" s="1020"/>
      <c r="AD730" s="1020"/>
      <c r="AE730" s="1020"/>
      <c r="AF730" s="1020"/>
      <c r="AG730" s="467"/>
      <c r="AH730" s="467"/>
    </row>
    <row r="731" ht="14.25" customHeight="1" spans="2:34">
      <c r="B731" s="1018"/>
      <c r="C731" s="1019"/>
      <c r="D731" s="1019"/>
      <c r="E731" s="1019"/>
      <c r="F731" s="1020"/>
      <c r="G731" s="1020"/>
      <c r="H731" s="1020"/>
      <c r="I731" s="1020"/>
      <c r="J731" s="1020"/>
      <c r="K731" s="1020"/>
      <c r="L731" s="1020"/>
      <c r="M731" s="1020"/>
      <c r="N731" s="1020"/>
      <c r="O731" s="1020"/>
      <c r="P731" s="1020"/>
      <c r="Q731" s="1020"/>
      <c r="R731" s="1020"/>
      <c r="S731" s="1020"/>
      <c r="T731" s="1020"/>
      <c r="U731" s="1020"/>
      <c r="V731" s="1020"/>
      <c r="W731" s="1020"/>
      <c r="X731" s="1020"/>
      <c r="Y731" s="1020"/>
      <c r="Z731" s="1020"/>
      <c r="AA731" s="1020"/>
      <c r="AB731" s="1020"/>
      <c r="AC731" s="1020"/>
      <c r="AD731" s="1020"/>
      <c r="AE731" s="1020"/>
      <c r="AF731" s="1020"/>
      <c r="AG731" s="467"/>
      <c r="AH731" s="467"/>
    </row>
    <row r="732" ht="14.25" customHeight="1" spans="2:34">
      <c r="B732" s="1018"/>
      <c r="C732" s="1019"/>
      <c r="D732" s="1019"/>
      <c r="E732" s="1019"/>
      <c r="F732" s="1020"/>
      <c r="G732" s="1020"/>
      <c r="H732" s="1020"/>
      <c r="I732" s="1020"/>
      <c r="J732" s="1020"/>
      <c r="K732" s="1020"/>
      <c r="L732" s="1020"/>
      <c r="M732" s="1020"/>
      <c r="N732" s="1020"/>
      <c r="O732" s="1020"/>
      <c r="P732" s="1020"/>
      <c r="Q732" s="1020"/>
      <c r="R732" s="1020"/>
      <c r="S732" s="1020"/>
      <c r="T732" s="1020"/>
      <c r="U732" s="1020"/>
      <c r="V732" s="1020"/>
      <c r="W732" s="1020"/>
      <c r="X732" s="1020"/>
      <c r="Y732" s="1020"/>
      <c r="Z732" s="1020"/>
      <c r="AA732" s="1020"/>
      <c r="AB732" s="1020"/>
      <c r="AC732" s="1020"/>
      <c r="AD732" s="1020"/>
      <c r="AE732" s="1020"/>
      <c r="AF732" s="1020"/>
      <c r="AG732" s="467"/>
      <c r="AH732" s="467"/>
    </row>
    <row r="733" ht="14.25" customHeight="1" spans="2:34">
      <c r="B733" s="1018"/>
      <c r="C733" s="1019"/>
      <c r="D733" s="1019"/>
      <c r="E733" s="1019"/>
      <c r="F733" s="1020"/>
      <c r="G733" s="1020"/>
      <c r="H733" s="1020"/>
      <c r="I733" s="1020"/>
      <c r="J733" s="1020"/>
      <c r="K733" s="1020"/>
      <c r="L733" s="1020"/>
      <c r="M733" s="1020"/>
      <c r="N733" s="1020"/>
      <c r="O733" s="1020"/>
      <c r="P733" s="1020"/>
      <c r="Q733" s="1020"/>
      <c r="R733" s="1020"/>
      <c r="S733" s="1020"/>
      <c r="T733" s="1020"/>
      <c r="U733" s="1020"/>
      <c r="V733" s="1020"/>
      <c r="W733" s="1020"/>
      <c r="X733" s="1020"/>
      <c r="Y733" s="1020"/>
      <c r="Z733" s="1020"/>
      <c r="AA733" s="1020"/>
      <c r="AB733" s="1020"/>
      <c r="AC733" s="1020"/>
      <c r="AD733" s="1020"/>
      <c r="AE733" s="1020"/>
      <c r="AF733" s="1020"/>
      <c r="AG733" s="467"/>
      <c r="AH733" s="467"/>
    </row>
    <row r="734" ht="14.25" customHeight="1" spans="2:34">
      <c r="B734" s="1018"/>
      <c r="C734" s="1019"/>
      <c r="D734" s="1019"/>
      <c r="E734" s="1019"/>
      <c r="F734" s="1020"/>
      <c r="G734" s="1020"/>
      <c r="H734" s="1020"/>
      <c r="I734" s="1020"/>
      <c r="J734" s="1020"/>
      <c r="K734" s="1020"/>
      <c r="L734" s="1020"/>
      <c r="M734" s="1020"/>
      <c r="N734" s="1020"/>
      <c r="O734" s="1020"/>
      <c r="P734" s="1020"/>
      <c r="Q734" s="1020"/>
      <c r="R734" s="1020"/>
      <c r="S734" s="1020"/>
      <c r="T734" s="1020"/>
      <c r="U734" s="1020"/>
      <c r="V734" s="1020"/>
      <c r="W734" s="1020"/>
      <c r="X734" s="1020"/>
      <c r="Y734" s="1020"/>
      <c r="Z734" s="1020"/>
      <c r="AA734" s="1020"/>
      <c r="AB734" s="1020"/>
      <c r="AC734" s="1020"/>
      <c r="AD734" s="1020"/>
      <c r="AE734" s="1020"/>
      <c r="AF734" s="1020"/>
      <c r="AG734" s="467"/>
      <c r="AH734" s="467"/>
    </row>
    <row r="735" ht="14.25" customHeight="1" spans="2:34">
      <c r="B735" s="1018"/>
      <c r="C735" s="1019"/>
      <c r="D735" s="1019"/>
      <c r="E735" s="1019"/>
      <c r="F735" s="1020"/>
      <c r="G735" s="1020"/>
      <c r="H735" s="1020"/>
      <c r="I735" s="1020"/>
      <c r="J735" s="1020"/>
      <c r="K735" s="1020"/>
      <c r="L735" s="1020"/>
      <c r="M735" s="1020"/>
      <c r="N735" s="1020"/>
      <c r="O735" s="1020"/>
      <c r="P735" s="1020"/>
      <c r="Q735" s="1020"/>
      <c r="R735" s="1020"/>
      <c r="S735" s="1020"/>
      <c r="T735" s="1020"/>
      <c r="U735" s="1020"/>
      <c r="V735" s="1020"/>
      <c r="W735" s="1020"/>
      <c r="X735" s="1020"/>
      <c r="Y735" s="1020"/>
      <c r="Z735" s="1020"/>
      <c r="AA735" s="1020"/>
      <c r="AB735" s="1020"/>
      <c r="AC735" s="1020"/>
      <c r="AD735" s="1020"/>
      <c r="AE735" s="1020"/>
      <c r="AF735" s="1020"/>
      <c r="AG735" s="467"/>
      <c r="AH735" s="467"/>
    </row>
    <row r="736" ht="14.25" customHeight="1" spans="2:34">
      <c r="B736" s="1018"/>
      <c r="C736" s="1019"/>
      <c r="D736" s="1019"/>
      <c r="E736" s="1019"/>
      <c r="F736" s="1020"/>
      <c r="G736" s="1020"/>
      <c r="H736" s="1020"/>
      <c r="I736" s="1020"/>
      <c r="J736" s="1020"/>
      <c r="K736" s="1020"/>
      <c r="L736" s="1020"/>
      <c r="M736" s="1020"/>
      <c r="N736" s="1020"/>
      <c r="O736" s="1020"/>
      <c r="P736" s="1020"/>
      <c r="Q736" s="1020"/>
      <c r="R736" s="1020"/>
      <c r="S736" s="1020"/>
      <c r="T736" s="1020"/>
      <c r="U736" s="1020"/>
      <c r="V736" s="1020"/>
      <c r="W736" s="1020"/>
      <c r="X736" s="1020"/>
      <c r="Y736" s="1020"/>
      <c r="Z736" s="1020"/>
      <c r="AA736" s="1020"/>
      <c r="AB736" s="1020"/>
      <c r="AC736" s="1020"/>
      <c r="AD736" s="1020"/>
      <c r="AE736" s="1020"/>
      <c r="AF736" s="1020"/>
      <c r="AG736" s="467"/>
      <c r="AH736" s="467"/>
    </row>
    <row r="737" ht="14.25" customHeight="1" spans="2:34">
      <c r="B737" s="1018"/>
      <c r="C737" s="1019"/>
      <c r="D737" s="1019"/>
      <c r="E737" s="1019"/>
      <c r="F737" s="1020"/>
      <c r="G737" s="1020"/>
      <c r="H737" s="1020"/>
      <c r="I737" s="1020"/>
      <c r="J737" s="1020"/>
      <c r="K737" s="1020"/>
      <c r="L737" s="1020"/>
      <c r="M737" s="1020"/>
      <c r="N737" s="1020"/>
      <c r="O737" s="1020"/>
      <c r="P737" s="1020"/>
      <c r="Q737" s="1020"/>
      <c r="R737" s="1020"/>
      <c r="S737" s="1020"/>
      <c r="T737" s="1020"/>
      <c r="U737" s="1020"/>
      <c r="V737" s="1020"/>
      <c r="W737" s="1020"/>
      <c r="X737" s="1020"/>
      <c r="Y737" s="1020"/>
      <c r="Z737" s="1020"/>
      <c r="AA737" s="1020"/>
      <c r="AB737" s="1020"/>
      <c r="AC737" s="1020"/>
      <c r="AD737" s="1020"/>
      <c r="AE737" s="1020"/>
      <c r="AF737" s="1020"/>
      <c r="AG737" s="467"/>
      <c r="AH737" s="467"/>
    </row>
    <row r="738" ht="14.25" customHeight="1" spans="2:34">
      <c r="B738" s="1018"/>
      <c r="C738" s="1019"/>
      <c r="D738" s="1019"/>
      <c r="E738" s="1019"/>
      <c r="F738" s="1020"/>
      <c r="G738" s="1020"/>
      <c r="H738" s="1020"/>
      <c r="I738" s="1020"/>
      <c r="J738" s="1020"/>
      <c r="K738" s="1020"/>
      <c r="L738" s="1020"/>
      <c r="M738" s="1020"/>
      <c r="N738" s="1020"/>
      <c r="O738" s="1020"/>
      <c r="P738" s="1020"/>
      <c r="Q738" s="1020"/>
      <c r="R738" s="1020"/>
      <c r="S738" s="1020"/>
      <c r="T738" s="1020"/>
      <c r="U738" s="1020"/>
      <c r="V738" s="1020"/>
      <c r="W738" s="1020"/>
      <c r="X738" s="1020"/>
      <c r="Y738" s="1020"/>
      <c r="Z738" s="1020"/>
      <c r="AA738" s="1020"/>
      <c r="AB738" s="1020"/>
      <c r="AC738" s="1020"/>
      <c r="AD738" s="1020"/>
      <c r="AE738" s="1020"/>
      <c r="AF738" s="1020"/>
      <c r="AG738" s="467"/>
      <c r="AH738" s="467"/>
    </row>
    <row r="739" ht="14.25" customHeight="1" spans="2:34">
      <c r="B739" s="1018"/>
      <c r="C739" s="1019"/>
      <c r="D739" s="1019"/>
      <c r="E739" s="1019"/>
      <c r="F739" s="1020"/>
      <c r="G739" s="1020"/>
      <c r="H739" s="1020"/>
      <c r="I739" s="1020"/>
      <c r="J739" s="1020"/>
      <c r="K739" s="1020"/>
      <c r="L739" s="1020"/>
      <c r="M739" s="1020"/>
      <c r="N739" s="1020"/>
      <c r="O739" s="1020"/>
      <c r="P739" s="1020"/>
      <c r="Q739" s="1020"/>
      <c r="R739" s="1020"/>
      <c r="S739" s="1020"/>
      <c r="T739" s="1020"/>
      <c r="U739" s="1020"/>
      <c r="V739" s="1020"/>
      <c r="W739" s="1020"/>
      <c r="X739" s="1020"/>
      <c r="Y739" s="1020"/>
      <c r="Z739" s="1020"/>
      <c r="AA739" s="1020"/>
      <c r="AB739" s="1020"/>
      <c r="AC739" s="1020"/>
      <c r="AD739" s="1020"/>
      <c r="AE739" s="1020"/>
      <c r="AF739" s="1020"/>
      <c r="AG739" s="467"/>
      <c r="AH739" s="467"/>
    </row>
    <row r="740" ht="14.25" customHeight="1" spans="2:34">
      <c r="B740" s="1018"/>
      <c r="C740" s="1019"/>
      <c r="D740" s="1019"/>
      <c r="E740" s="1019"/>
      <c r="F740" s="1020"/>
      <c r="G740" s="1020"/>
      <c r="H740" s="1020"/>
      <c r="I740" s="1020"/>
      <c r="J740" s="1020"/>
      <c r="K740" s="1020"/>
      <c r="L740" s="1020"/>
      <c r="M740" s="1020"/>
      <c r="N740" s="1020"/>
      <c r="O740" s="1020"/>
      <c r="P740" s="1020"/>
      <c r="Q740" s="1020"/>
      <c r="R740" s="1020"/>
      <c r="S740" s="1020"/>
      <c r="T740" s="1020"/>
      <c r="U740" s="1020"/>
      <c r="V740" s="1020"/>
      <c r="W740" s="1020"/>
      <c r="X740" s="1020"/>
      <c r="Y740" s="1020"/>
      <c r="Z740" s="1020"/>
      <c r="AA740" s="1020"/>
      <c r="AB740" s="1020"/>
      <c r="AC740" s="1020"/>
      <c r="AD740" s="1020"/>
      <c r="AE740" s="1020"/>
      <c r="AF740" s="1020"/>
      <c r="AG740" s="467"/>
      <c r="AH740" s="467"/>
    </row>
    <row r="741" ht="14.25" customHeight="1" spans="2:34">
      <c r="B741" s="1018"/>
      <c r="C741" s="1019"/>
      <c r="D741" s="1019"/>
      <c r="E741" s="1019"/>
      <c r="F741" s="1020"/>
      <c r="G741" s="1020"/>
      <c r="H741" s="1020"/>
      <c r="I741" s="1020"/>
      <c r="J741" s="1020"/>
      <c r="K741" s="1020"/>
      <c r="L741" s="1020"/>
      <c r="M741" s="1020"/>
      <c r="N741" s="1020"/>
      <c r="O741" s="1020"/>
      <c r="P741" s="1020"/>
      <c r="Q741" s="1020"/>
      <c r="R741" s="1020"/>
      <c r="S741" s="1020"/>
      <c r="T741" s="1020"/>
      <c r="U741" s="1020"/>
      <c r="V741" s="1020"/>
      <c r="W741" s="1020"/>
      <c r="X741" s="1020"/>
      <c r="Y741" s="1020"/>
      <c r="Z741" s="1020"/>
      <c r="AA741" s="1020"/>
      <c r="AB741" s="1020"/>
      <c r="AC741" s="1020"/>
      <c r="AD741" s="1020"/>
      <c r="AE741" s="1020"/>
      <c r="AF741" s="1020"/>
      <c r="AG741" s="467"/>
      <c r="AH741" s="467"/>
    </row>
    <row r="742" ht="14.25" customHeight="1" spans="2:34">
      <c r="B742" s="1018"/>
      <c r="C742" s="1019"/>
      <c r="D742" s="1019"/>
      <c r="E742" s="1019"/>
      <c r="F742" s="1020"/>
      <c r="G742" s="1020"/>
      <c r="H742" s="1020"/>
      <c r="I742" s="1020"/>
      <c r="J742" s="1020"/>
      <c r="K742" s="1020"/>
      <c r="L742" s="1020"/>
      <c r="M742" s="1020"/>
      <c r="N742" s="1020"/>
      <c r="O742" s="1020"/>
      <c r="P742" s="1020"/>
      <c r="Q742" s="1020"/>
      <c r="R742" s="1020"/>
      <c r="S742" s="1020"/>
      <c r="T742" s="1020"/>
      <c r="U742" s="1020"/>
      <c r="V742" s="1020"/>
      <c r="W742" s="1020"/>
      <c r="X742" s="1020"/>
      <c r="Y742" s="1020"/>
      <c r="Z742" s="1020"/>
      <c r="AA742" s="1020"/>
      <c r="AB742" s="1020"/>
      <c r="AC742" s="1020"/>
      <c r="AD742" s="1020"/>
      <c r="AE742" s="1020"/>
      <c r="AF742" s="1020"/>
      <c r="AG742" s="467"/>
      <c r="AH742" s="467"/>
    </row>
    <row r="743" ht="14.25" customHeight="1" spans="2:34">
      <c r="B743" s="1018"/>
      <c r="C743" s="1019"/>
      <c r="D743" s="1019"/>
      <c r="E743" s="1019"/>
      <c r="F743" s="1020"/>
      <c r="G743" s="1020"/>
      <c r="H743" s="1020"/>
      <c r="I743" s="1020"/>
      <c r="J743" s="1020"/>
      <c r="K743" s="1020"/>
      <c r="L743" s="1020"/>
      <c r="M743" s="1020"/>
      <c r="N743" s="1020"/>
      <c r="O743" s="1020"/>
      <c r="P743" s="1020"/>
      <c r="Q743" s="1020"/>
      <c r="R743" s="1020"/>
      <c r="S743" s="1020"/>
      <c r="T743" s="1020"/>
      <c r="U743" s="1020"/>
      <c r="V743" s="1020"/>
      <c r="W743" s="1020"/>
      <c r="X743" s="1020"/>
      <c r="Y743" s="1020"/>
      <c r="Z743" s="1020"/>
      <c r="AA743" s="1020"/>
      <c r="AB743" s="1020"/>
      <c r="AC743" s="1020"/>
      <c r="AD743" s="1020"/>
      <c r="AE743" s="1020"/>
      <c r="AF743" s="1020"/>
      <c r="AG743" s="467"/>
      <c r="AH743" s="467"/>
    </row>
    <row r="744" ht="14.25" customHeight="1" spans="2:34">
      <c r="B744" s="1018"/>
      <c r="C744" s="1019"/>
      <c r="D744" s="1019"/>
      <c r="E744" s="1019"/>
      <c r="F744" s="1020"/>
      <c r="G744" s="1020"/>
      <c r="H744" s="1020"/>
      <c r="I744" s="1020"/>
      <c r="J744" s="1020"/>
      <c r="K744" s="1020"/>
      <c r="L744" s="1020"/>
      <c r="M744" s="1020"/>
      <c r="N744" s="1020"/>
      <c r="O744" s="1020"/>
      <c r="P744" s="1020"/>
      <c r="Q744" s="1020"/>
      <c r="R744" s="1020"/>
      <c r="S744" s="1020"/>
      <c r="T744" s="1020"/>
      <c r="U744" s="1020"/>
      <c r="V744" s="1020"/>
      <c r="W744" s="1020"/>
      <c r="X744" s="1020"/>
      <c r="Y744" s="1020"/>
      <c r="Z744" s="1020"/>
      <c r="AA744" s="1020"/>
      <c r="AB744" s="1020"/>
      <c r="AC744" s="1020"/>
      <c r="AD744" s="1020"/>
      <c r="AE744" s="1020"/>
      <c r="AF744" s="1020"/>
      <c r="AG744" s="467"/>
      <c r="AH744" s="467"/>
    </row>
    <row r="745" ht="14.25" customHeight="1" spans="2:34">
      <c r="B745" s="1018"/>
      <c r="C745" s="1019"/>
      <c r="D745" s="1019"/>
      <c r="E745" s="1019"/>
      <c r="F745" s="1020"/>
      <c r="G745" s="1020"/>
      <c r="H745" s="1020"/>
      <c r="I745" s="1020"/>
      <c r="J745" s="1020"/>
      <c r="K745" s="1020"/>
      <c r="L745" s="1020"/>
      <c r="M745" s="1020"/>
      <c r="N745" s="1020"/>
      <c r="O745" s="1020"/>
      <c r="P745" s="1020"/>
      <c r="Q745" s="1020"/>
      <c r="R745" s="1020"/>
      <c r="S745" s="1020"/>
      <c r="T745" s="1020"/>
      <c r="U745" s="1020"/>
      <c r="V745" s="1020"/>
      <c r="W745" s="1020"/>
      <c r="X745" s="1020"/>
      <c r="Y745" s="1020"/>
      <c r="Z745" s="1020"/>
      <c r="AA745" s="1020"/>
      <c r="AB745" s="1020"/>
      <c r="AC745" s="1020"/>
      <c r="AD745" s="1020"/>
      <c r="AE745" s="1020"/>
      <c r="AF745" s="1020"/>
      <c r="AG745" s="467"/>
      <c r="AH745" s="467"/>
    </row>
    <row r="746" ht="14.25" customHeight="1" spans="2:34">
      <c r="B746" s="1018"/>
      <c r="C746" s="1019"/>
      <c r="D746" s="1019"/>
      <c r="E746" s="1019"/>
      <c r="F746" s="1020"/>
      <c r="G746" s="1020"/>
      <c r="H746" s="1020"/>
      <c r="I746" s="1020"/>
      <c r="J746" s="1020"/>
      <c r="K746" s="1020"/>
      <c r="L746" s="1020"/>
      <c r="M746" s="1020"/>
      <c r="N746" s="1020"/>
      <c r="O746" s="1020"/>
      <c r="P746" s="1020"/>
      <c r="Q746" s="1020"/>
      <c r="R746" s="1020"/>
      <c r="S746" s="1020"/>
      <c r="T746" s="1020"/>
      <c r="U746" s="1020"/>
      <c r="V746" s="1020"/>
      <c r="W746" s="1020"/>
      <c r="X746" s="1020"/>
      <c r="Y746" s="1020"/>
      <c r="Z746" s="1020"/>
      <c r="AA746" s="1020"/>
      <c r="AB746" s="1020"/>
      <c r="AC746" s="1020"/>
      <c r="AD746" s="1020"/>
      <c r="AE746" s="1020"/>
      <c r="AF746" s="1020"/>
      <c r="AG746" s="467"/>
      <c r="AH746" s="467"/>
    </row>
    <row r="747" ht="14.25" customHeight="1" spans="2:34">
      <c r="B747" s="1018"/>
      <c r="C747" s="1019"/>
      <c r="D747" s="1019"/>
      <c r="E747" s="1019"/>
      <c r="F747" s="1020"/>
      <c r="G747" s="1020"/>
      <c r="H747" s="1020"/>
      <c r="I747" s="1020"/>
      <c r="J747" s="1020"/>
      <c r="K747" s="1020"/>
      <c r="L747" s="1020"/>
      <c r="M747" s="1020"/>
      <c r="N747" s="1020"/>
      <c r="O747" s="1020"/>
      <c r="P747" s="1020"/>
      <c r="Q747" s="1020"/>
      <c r="R747" s="1020"/>
      <c r="S747" s="1020"/>
      <c r="T747" s="1020"/>
      <c r="U747" s="1020"/>
      <c r="V747" s="1020"/>
      <c r="W747" s="1020"/>
      <c r="X747" s="1020"/>
      <c r="Y747" s="1020"/>
      <c r="Z747" s="1020"/>
      <c r="AA747" s="1020"/>
      <c r="AB747" s="1020"/>
      <c r="AC747" s="1020"/>
      <c r="AD747" s="1020"/>
      <c r="AE747" s="1020"/>
      <c r="AF747" s="1020"/>
      <c r="AG747" s="467"/>
      <c r="AH747" s="467"/>
    </row>
    <row r="748" ht="14.25" customHeight="1" spans="2:34">
      <c r="B748" s="1018"/>
      <c r="C748" s="1019"/>
      <c r="D748" s="1019"/>
      <c r="E748" s="1019"/>
      <c r="F748" s="1020"/>
      <c r="G748" s="1020"/>
      <c r="H748" s="1020"/>
      <c r="I748" s="1020"/>
      <c r="J748" s="1020"/>
      <c r="K748" s="1020"/>
      <c r="L748" s="1020"/>
      <c r="M748" s="1020"/>
      <c r="N748" s="1020"/>
      <c r="O748" s="1020"/>
      <c r="P748" s="1020"/>
      <c r="Q748" s="1020"/>
      <c r="R748" s="1020"/>
      <c r="S748" s="1020"/>
      <c r="T748" s="1020"/>
      <c r="U748" s="1020"/>
      <c r="V748" s="1020"/>
      <c r="W748" s="1020"/>
      <c r="X748" s="1020"/>
      <c r="Y748" s="1020"/>
      <c r="Z748" s="1020"/>
      <c r="AA748" s="1020"/>
      <c r="AB748" s="1020"/>
      <c r="AC748" s="1020"/>
      <c r="AD748" s="1020"/>
      <c r="AE748" s="1020"/>
      <c r="AF748" s="1020"/>
      <c r="AG748" s="467"/>
      <c r="AH748" s="467"/>
    </row>
    <row r="749" ht="14.25" customHeight="1" spans="2:34">
      <c r="B749" s="1018"/>
      <c r="C749" s="1019"/>
      <c r="D749" s="1019"/>
      <c r="E749" s="1019"/>
      <c r="F749" s="1020"/>
      <c r="G749" s="1020"/>
      <c r="H749" s="1020"/>
      <c r="I749" s="1020"/>
      <c r="J749" s="1020"/>
      <c r="K749" s="1020"/>
      <c r="L749" s="1020"/>
      <c r="M749" s="1020"/>
      <c r="N749" s="1020"/>
      <c r="O749" s="1020"/>
      <c r="P749" s="1020"/>
      <c r="Q749" s="1020"/>
      <c r="R749" s="1020"/>
      <c r="S749" s="1020"/>
      <c r="T749" s="1020"/>
      <c r="U749" s="1020"/>
      <c r="V749" s="1020"/>
      <c r="W749" s="1020"/>
      <c r="X749" s="1020"/>
      <c r="Y749" s="1020"/>
      <c r="Z749" s="1020"/>
      <c r="AA749" s="1020"/>
      <c r="AB749" s="1020"/>
      <c r="AC749" s="1020"/>
      <c r="AD749" s="1020"/>
      <c r="AE749" s="1020"/>
      <c r="AF749" s="1020"/>
      <c r="AG749" s="467"/>
      <c r="AH749" s="467"/>
    </row>
    <row r="750" ht="14.25" customHeight="1" spans="2:34">
      <c r="B750" s="1018"/>
      <c r="C750" s="1019"/>
      <c r="D750" s="1019"/>
      <c r="E750" s="1019"/>
      <c r="F750" s="1020"/>
      <c r="G750" s="1020"/>
      <c r="H750" s="1020"/>
      <c r="I750" s="1020"/>
      <c r="J750" s="1020"/>
      <c r="K750" s="1020"/>
      <c r="L750" s="1020"/>
      <c r="M750" s="1020"/>
      <c r="N750" s="1020"/>
      <c r="O750" s="1020"/>
      <c r="P750" s="1020"/>
      <c r="Q750" s="1020"/>
      <c r="R750" s="1020"/>
      <c r="S750" s="1020"/>
      <c r="T750" s="1020"/>
      <c r="U750" s="1020"/>
      <c r="V750" s="1020"/>
      <c r="W750" s="1020"/>
      <c r="X750" s="1020"/>
      <c r="Y750" s="1020"/>
      <c r="Z750" s="1020"/>
      <c r="AA750" s="1020"/>
      <c r="AB750" s="1020"/>
      <c r="AC750" s="1020"/>
      <c r="AD750" s="1020"/>
      <c r="AE750" s="1020"/>
      <c r="AF750" s="1020"/>
      <c r="AG750" s="467"/>
      <c r="AH750" s="467"/>
    </row>
    <row r="751" ht="14.25" customHeight="1" spans="2:34">
      <c r="B751" s="1018"/>
      <c r="C751" s="1019"/>
      <c r="D751" s="1019"/>
      <c r="E751" s="1019"/>
      <c r="F751" s="1020"/>
      <c r="G751" s="1020"/>
      <c r="H751" s="1020"/>
      <c r="I751" s="1020"/>
      <c r="J751" s="1020"/>
      <c r="K751" s="1020"/>
      <c r="L751" s="1020"/>
      <c r="M751" s="1020"/>
      <c r="N751" s="1020"/>
      <c r="O751" s="1020"/>
      <c r="P751" s="1020"/>
      <c r="Q751" s="1020"/>
      <c r="R751" s="1020"/>
      <c r="S751" s="1020"/>
      <c r="T751" s="1020"/>
      <c r="U751" s="1020"/>
      <c r="V751" s="1020"/>
      <c r="W751" s="1020"/>
      <c r="X751" s="1020"/>
      <c r="Y751" s="1020"/>
      <c r="Z751" s="1020"/>
      <c r="AA751" s="1020"/>
      <c r="AB751" s="1020"/>
      <c r="AC751" s="1020"/>
      <c r="AD751" s="1020"/>
      <c r="AE751" s="1020"/>
      <c r="AF751" s="1020"/>
      <c r="AG751" s="467"/>
      <c r="AH751" s="467"/>
    </row>
    <row r="752" ht="14.25" customHeight="1" spans="2:34">
      <c r="B752" s="1018"/>
      <c r="C752" s="1019"/>
      <c r="D752" s="1019"/>
      <c r="E752" s="1019"/>
      <c r="F752" s="1020"/>
      <c r="G752" s="1020"/>
      <c r="H752" s="1020"/>
      <c r="I752" s="1020"/>
      <c r="J752" s="1020"/>
      <c r="K752" s="1020"/>
      <c r="L752" s="1020"/>
      <c r="M752" s="1020"/>
      <c r="N752" s="1020"/>
      <c r="O752" s="1020"/>
      <c r="P752" s="1020"/>
      <c r="Q752" s="1020"/>
      <c r="R752" s="1020"/>
      <c r="S752" s="1020"/>
      <c r="T752" s="1020"/>
      <c r="U752" s="1020"/>
      <c r="V752" s="1020"/>
      <c r="W752" s="1020"/>
      <c r="X752" s="1020"/>
      <c r="Y752" s="1020"/>
      <c r="Z752" s="1020"/>
      <c r="AA752" s="1020"/>
      <c r="AB752" s="1020"/>
      <c r="AC752" s="1020"/>
      <c r="AD752" s="1020"/>
      <c r="AE752" s="1020"/>
      <c r="AF752" s="1020"/>
      <c r="AG752" s="467"/>
      <c r="AH752" s="467"/>
    </row>
    <row r="753" ht="14.25" customHeight="1" spans="2:34">
      <c r="B753" s="1018"/>
      <c r="C753" s="1019"/>
      <c r="D753" s="1019"/>
      <c r="E753" s="1019"/>
      <c r="F753" s="1020"/>
      <c r="G753" s="1020"/>
      <c r="H753" s="1020"/>
      <c r="I753" s="1020"/>
      <c r="J753" s="1020"/>
      <c r="K753" s="1020"/>
      <c r="L753" s="1020"/>
      <c r="M753" s="1020"/>
      <c r="N753" s="1020"/>
      <c r="O753" s="1020"/>
      <c r="P753" s="1020"/>
      <c r="Q753" s="1020"/>
      <c r="R753" s="1020"/>
      <c r="S753" s="1020"/>
      <c r="T753" s="1020"/>
      <c r="U753" s="1020"/>
      <c r="V753" s="1020"/>
      <c r="W753" s="1020"/>
      <c r="X753" s="1020"/>
      <c r="Y753" s="1020"/>
      <c r="Z753" s="1020"/>
      <c r="AA753" s="1020"/>
      <c r="AB753" s="1020"/>
      <c r="AC753" s="1020"/>
      <c r="AD753" s="1020"/>
      <c r="AE753" s="1020"/>
      <c r="AF753" s="1020"/>
      <c r="AG753" s="467"/>
      <c r="AH753" s="467"/>
    </row>
    <row r="754" ht="14.25" customHeight="1" spans="2:34">
      <c r="B754" s="1018"/>
      <c r="C754" s="1019"/>
      <c r="D754" s="1019"/>
      <c r="E754" s="1019"/>
      <c r="F754" s="1020"/>
      <c r="G754" s="1020"/>
      <c r="H754" s="1020"/>
      <c r="I754" s="1020"/>
      <c r="J754" s="1020"/>
      <c r="K754" s="1020"/>
      <c r="L754" s="1020"/>
      <c r="M754" s="1020"/>
      <c r="N754" s="1020"/>
      <c r="O754" s="1020"/>
      <c r="P754" s="1020"/>
      <c r="Q754" s="1020"/>
      <c r="R754" s="1020"/>
      <c r="S754" s="1020"/>
      <c r="T754" s="1020"/>
      <c r="U754" s="1020"/>
      <c r="V754" s="1020"/>
      <c r="W754" s="1020"/>
      <c r="X754" s="1020"/>
      <c r="Y754" s="1020"/>
      <c r="Z754" s="1020"/>
      <c r="AA754" s="1020"/>
      <c r="AB754" s="1020"/>
      <c r="AC754" s="1020"/>
      <c r="AD754" s="1020"/>
      <c r="AE754" s="1020"/>
      <c r="AF754" s="1020"/>
      <c r="AG754" s="467"/>
      <c r="AH754" s="467"/>
    </row>
    <row r="755" ht="14.25" customHeight="1" spans="2:34">
      <c r="B755" s="1018"/>
      <c r="C755" s="1019"/>
      <c r="D755" s="1019"/>
      <c r="E755" s="1019"/>
      <c r="F755" s="1020"/>
      <c r="G755" s="1020"/>
      <c r="H755" s="1020"/>
      <c r="I755" s="1020"/>
      <c r="J755" s="1020"/>
      <c r="K755" s="1020"/>
      <c r="L755" s="1020"/>
      <c r="M755" s="1020"/>
      <c r="N755" s="1020"/>
      <c r="O755" s="1020"/>
      <c r="P755" s="1020"/>
      <c r="Q755" s="1020"/>
      <c r="R755" s="1020"/>
      <c r="S755" s="1020"/>
      <c r="T755" s="1020"/>
      <c r="U755" s="1020"/>
      <c r="V755" s="1020"/>
      <c r="W755" s="1020"/>
      <c r="X755" s="1020"/>
      <c r="Y755" s="1020"/>
      <c r="Z755" s="1020"/>
      <c r="AA755" s="1020"/>
      <c r="AB755" s="1020"/>
      <c r="AC755" s="1020"/>
      <c r="AD755" s="1020"/>
      <c r="AE755" s="1020"/>
      <c r="AF755" s="1020"/>
      <c r="AG755" s="467"/>
      <c r="AH755" s="467"/>
    </row>
    <row r="756" ht="14.25" customHeight="1" spans="2:34">
      <c r="B756" s="1018"/>
      <c r="C756" s="1019"/>
      <c r="D756" s="1019"/>
      <c r="E756" s="1019"/>
      <c r="F756" s="1020"/>
      <c r="G756" s="1020"/>
      <c r="H756" s="1020"/>
      <c r="I756" s="1020"/>
      <c r="J756" s="1020"/>
      <c r="K756" s="1020"/>
      <c r="L756" s="1020"/>
      <c r="M756" s="1020"/>
      <c r="N756" s="1020"/>
      <c r="O756" s="1020"/>
      <c r="P756" s="1020"/>
      <c r="Q756" s="1020"/>
      <c r="R756" s="1020"/>
      <c r="S756" s="1020"/>
      <c r="T756" s="1020"/>
      <c r="U756" s="1020"/>
      <c r="V756" s="1020"/>
      <c r="W756" s="1020"/>
      <c r="X756" s="1020"/>
      <c r="Y756" s="1020"/>
      <c r="Z756" s="1020"/>
      <c r="AA756" s="1020"/>
      <c r="AB756" s="1020"/>
      <c r="AC756" s="1020"/>
      <c r="AD756" s="1020"/>
      <c r="AE756" s="1020"/>
      <c r="AF756" s="1020"/>
      <c r="AG756" s="467"/>
      <c r="AH756" s="467"/>
    </row>
    <row r="757" ht="14.25" customHeight="1" spans="2:34">
      <c r="B757" s="1018"/>
      <c r="C757" s="1019"/>
      <c r="D757" s="1019"/>
      <c r="E757" s="1019"/>
      <c r="F757" s="1020"/>
      <c r="G757" s="1020"/>
      <c r="H757" s="1020"/>
      <c r="I757" s="1020"/>
      <c r="J757" s="1020"/>
      <c r="K757" s="1020"/>
      <c r="L757" s="1020"/>
      <c r="M757" s="1020"/>
      <c r="N757" s="1020"/>
      <c r="O757" s="1020"/>
      <c r="P757" s="1020"/>
      <c r="Q757" s="1020"/>
      <c r="R757" s="1020"/>
      <c r="S757" s="1020"/>
      <c r="T757" s="1020"/>
      <c r="U757" s="1020"/>
      <c r="V757" s="1020"/>
      <c r="W757" s="1020"/>
      <c r="X757" s="1020"/>
      <c r="Y757" s="1020"/>
      <c r="Z757" s="1020"/>
      <c r="AA757" s="1020"/>
      <c r="AB757" s="1020"/>
      <c r="AC757" s="1020"/>
      <c r="AD757" s="1020"/>
      <c r="AE757" s="1020"/>
      <c r="AF757" s="1020"/>
      <c r="AG757" s="467"/>
      <c r="AH757" s="467"/>
    </row>
    <row r="758" ht="14.25" customHeight="1" spans="2:34">
      <c r="B758" s="1018"/>
      <c r="C758" s="1019"/>
      <c r="D758" s="1019"/>
      <c r="E758" s="1019"/>
      <c r="F758" s="1020"/>
      <c r="G758" s="1020"/>
      <c r="H758" s="1020"/>
      <c r="I758" s="1020"/>
      <c r="J758" s="1020"/>
      <c r="K758" s="1020"/>
      <c r="L758" s="1020"/>
      <c r="M758" s="1020"/>
      <c r="N758" s="1020"/>
      <c r="O758" s="1020"/>
      <c r="P758" s="1020"/>
      <c r="Q758" s="1020"/>
      <c r="R758" s="1020"/>
      <c r="S758" s="1020"/>
      <c r="T758" s="1020"/>
      <c r="U758" s="1020"/>
      <c r="V758" s="1020"/>
      <c r="W758" s="1020"/>
      <c r="X758" s="1020"/>
      <c r="Y758" s="1020"/>
      <c r="Z758" s="1020"/>
      <c r="AA758" s="1020"/>
      <c r="AB758" s="1020"/>
      <c r="AC758" s="1020"/>
      <c r="AD758" s="1020"/>
      <c r="AE758" s="1020"/>
      <c r="AF758" s="1020"/>
      <c r="AG758" s="467"/>
      <c r="AH758" s="467"/>
    </row>
    <row r="759" ht="14.25" customHeight="1" spans="2:34">
      <c r="B759" s="1018"/>
      <c r="C759" s="1019"/>
      <c r="D759" s="1019"/>
      <c r="E759" s="1019"/>
      <c r="F759" s="1020"/>
      <c r="G759" s="1020"/>
      <c r="H759" s="1020"/>
      <c r="I759" s="1020"/>
      <c r="J759" s="1020"/>
      <c r="K759" s="1020"/>
      <c r="L759" s="1020"/>
      <c r="M759" s="1020"/>
      <c r="N759" s="1020"/>
      <c r="O759" s="1020"/>
      <c r="P759" s="1020"/>
      <c r="Q759" s="1020"/>
      <c r="R759" s="1020"/>
      <c r="S759" s="1020"/>
      <c r="T759" s="1020"/>
      <c r="U759" s="1020"/>
      <c r="V759" s="1020"/>
      <c r="W759" s="1020"/>
      <c r="X759" s="1020"/>
      <c r="Y759" s="1020"/>
      <c r="Z759" s="1020"/>
      <c r="AA759" s="1020"/>
      <c r="AB759" s="1020"/>
      <c r="AC759" s="1020"/>
      <c r="AD759" s="1020"/>
      <c r="AE759" s="1020"/>
      <c r="AF759" s="1020"/>
      <c r="AG759" s="467"/>
      <c r="AH759" s="467"/>
    </row>
    <row r="760" ht="14.25" customHeight="1" spans="2:34">
      <c r="B760" s="1018"/>
      <c r="C760" s="1019"/>
      <c r="D760" s="1019"/>
      <c r="E760" s="1019"/>
      <c r="F760" s="1020"/>
      <c r="G760" s="1020"/>
      <c r="H760" s="1020"/>
      <c r="I760" s="1020"/>
      <c r="J760" s="1020"/>
      <c r="K760" s="1020"/>
      <c r="L760" s="1020"/>
      <c r="M760" s="1020"/>
      <c r="N760" s="1020"/>
      <c r="O760" s="1020"/>
      <c r="P760" s="1020"/>
      <c r="Q760" s="1020"/>
      <c r="R760" s="1020"/>
      <c r="S760" s="1020"/>
      <c r="T760" s="1020"/>
      <c r="U760" s="1020"/>
      <c r="V760" s="1020"/>
      <c r="W760" s="1020"/>
      <c r="X760" s="1020"/>
      <c r="Y760" s="1020"/>
      <c r="Z760" s="1020"/>
      <c r="AA760" s="1020"/>
      <c r="AB760" s="1020"/>
      <c r="AC760" s="1020"/>
      <c r="AD760" s="1020"/>
      <c r="AE760" s="1020"/>
      <c r="AF760" s="1020"/>
      <c r="AG760" s="467"/>
      <c r="AH760" s="467"/>
    </row>
    <row r="761" ht="14.25" customHeight="1" spans="2:34">
      <c r="B761" s="1018"/>
      <c r="C761" s="1019"/>
      <c r="D761" s="1019"/>
      <c r="E761" s="1019"/>
      <c r="F761" s="1020"/>
      <c r="G761" s="1020"/>
      <c r="H761" s="1020"/>
      <c r="I761" s="1020"/>
      <c r="J761" s="1020"/>
      <c r="K761" s="1020"/>
      <c r="L761" s="1020"/>
      <c r="M761" s="1020"/>
      <c r="N761" s="1020"/>
      <c r="O761" s="1020"/>
      <c r="P761" s="1020"/>
      <c r="Q761" s="1020"/>
      <c r="R761" s="1020"/>
      <c r="S761" s="1020"/>
      <c r="T761" s="1020"/>
      <c r="U761" s="1020"/>
      <c r="V761" s="1020"/>
      <c r="W761" s="1020"/>
      <c r="X761" s="1020"/>
      <c r="Y761" s="1020"/>
      <c r="Z761" s="1020"/>
      <c r="AA761" s="1020"/>
      <c r="AB761" s="1020"/>
      <c r="AC761" s="1020"/>
      <c r="AD761" s="1020"/>
      <c r="AE761" s="1020"/>
      <c r="AF761" s="1020"/>
      <c r="AG761" s="467"/>
      <c r="AH761" s="467"/>
    </row>
    <row r="762" ht="14.25" customHeight="1" spans="2:34">
      <c r="B762" s="1018"/>
      <c r="C762" s="1019"/>
      <c r="D762" s="1019"/>
      <c r="E762" s="1019"/>
      <c r="F762" s="1020"/>
      <c r="G762" s="1020"/>
      <c r="H762" s="1020"/>
      <c r="I762" s="1020"/>
      <c r="J762" s="1020"/>
      <c r="K762" s="1020"/>
      <c r="L762" s="1020"/>
      <c r="M762" s="1020"/>
      <c r="N762" s="1020"/>
      <c r="O762" s="1020"/>
      <c r="P762" s="1020"/>
      <c r="Q762" s="1020"/>
      <c r="R762" s="1020"/>
      <c r="S762" s="1020"/>
      <c r="T762" s="1020"/>
      <c r="U762" s="1020"/>
      <c r="V762" s="1020"/>
      <c r="W762" s="1020"/>
      <c r="X762" s="1020"/>
      <c r="Y762" s="1020"/>
      <c r="Z762" s="1020"/>
      <c r="AA762" s="1020"/>
      <c r="AB762" s="1020"/>
      <c r="AC762" s="1020"/>
      <c r="AD762" s="1020"/>
      <c r="AE762" s="1020"/>
      <c r="AF762" s="1020"/>
      <c r="AG762" s="467"/>
      <c r="AH762" s="467"/>
    </row>
    <row r="763" ht="14.25" customHeight="1" spans="2:34">
      <c r="B763" s="1018"/>
      <c r="C763" s="1019"/>
      <c r="D763" s="1019"/>
      <c r="E763" s="1019"/>
      <c r="F763" s="1020"/>
      <c r="G763" s="1020"/>
      <c r="H763" s="1020"/>
      <c r="I763" s="1020"/>
      <c r="J763" s="1020"/>
      <c r="K763" s="1020"/>
      <c r="L763" s="1020"/>
      <c r="M763" s="1020"/>
      <c r="N763" s="1020"/>
      <c r="O763" s="1020"/>
      <c r="P763" s="1020"/>
      <c r="Q763" s="1020"/>
      <c r="R763" s="1020"/>
      <c r="S763" s="1020"/>
      <c r="T763" s="1020"/>
      <c r="U763" s="1020"/>
      <c r="V763" s="1020"/>
      <c r="W763" s="1020"/>
      <c r="X763" s="1020"/>
      <c r="Y763" s="1020"/>
      <c r="Z763" s="1020"/>
      <c r="AA763" s="1020"/>
      <c r="AB763" s="1020"/>
      <c r="AC763" s="1020"/>
      <c r="AD763" s="1020"/>
      <c r="AE763" s="1020"/>
      <c r="AF763" s="1020"/>
      <c r="AG763" s="467"/>
      <c r="AH763" s="467"/>
    </row>
    <row r="764" ht="14.25" customHeight="1" spans="2:34">
      <c r="B764" s="1018"/>
      <c r="C764" s="1019"/>
      <c r="D764" s="1019"/>
      <c r="E764" s="1019"/>
      <c r="F764" s="1020"/>
      <c r="G764" s="1020"/>
      <c r="H764" s="1020"/>
      <c r="I764" s="1020"/>
      <c r="J764" s="1020"/>
      <c r="K764" s="1020"/>
      <c r="L764" s="1020"/>
      <c r="M764" s="1020"/>
      <c r="N764" s="1020"/>
      <c r="O764" s="1020"/>
      <c r="P764" s="1020"/>
      <c r="Q764" s="1020"/>
      <c r="R764" s="1020"/>
      <c r="S764" s="1020"/>
      <c r="T764" s="1020"/>
      <c r="U764" s="1020"/>
      <c r="V764" s="1020"/>
      <c r="W764" s="1020"/>
      <c r="X764" s="1020"/>
      <c r="Y764" s="1020"/>
      <c r="Z764" s="1020"/>
      <c r="AA764" s="1020"/>
      <c r="AB764" s="1020"/>
      <c r="AC764" s="1020"/>
      <c r="AD764" s="1020"/>
      <c r="AE764" s="1020"/>
      <c r="AF764" s="1020"/>
      <c r="AG764" s="467"/>
      <c r="AH764" s="467"/>
    </row>
    <row r="765" ht="14.25" customHeight="1" spans="2:34">
      <c r="B765" s="1018"/>
      <c r="C765" s="1019"/>
      <c r="D765" s="1019"/>
      <c r="E765" s="1019"/>
      <c r="F765" s="1020"/>
      <c r="G765" s="1020"/>
      <c r="H765" s="1020"/>
      <c r="I765" s="1020"/>
      <c r="J765" s="1020"/>
      <c r="K765" s="1020"/>
      <c r="L765" s="1020"/>
      <c r="M765" s="1020"/>
      <c r="N765" s="1020"/>
      <c r="O765" s="1020"/>
      <c r="P765" s="1020"/>
      <c r="Q765" s="1020"/>
      <c r="R765" s="1020"/>
      <c r="S765" s="1020"/>
      <c r="T765" s="1020"/>
      <c r="U765" s="1020"/>
      <c r="V765" s="1020"/>
      <c r="W765" s="1020"/>
      <c r="X765" s="1020"/>
      <c r="Y765" s="1020"/>
      <c r="Z765" s="1020"/>
      <c r="AA765" s="1020"/>
      <c r="AB765" s="1020"/>
      <c r="AC765" s="1020"/>
      <c r="AD765" s="1020"/>
      <c r="AE765" s="1020"/>
      <c r="AF765" s="1020"/>
      <c r="AG765" s="467"/>
      <c r="AH765" s="467"/>
    </row>
    <row r="766" ht="14.25" customHeight="1" spans="2:34">
      <c r="B766" s="1018"/>
      <c r="C766" s="1019"/>
      <c r="D766" s="1019"/>
      <c r="E766" s="1019"/>
      <c r="F766" s="1020"/>
      <c r="G766" s="1020"/>
      <c r="H766" s="1020"/>
      <c r="I766" s="1020"/>
      <c r="J766" s="1020"/>
      <c r="K766" s="1020"/>
      <c r="L766" s="1020"/>
      <c r="M766" s="1020"/>
      <c r="N766" s="1020"/>
      <c r="O766" s="1020"/>
      <c r="P766" s="1020"/>
      <c r="Q766" s="1020"/>
      <c r="R766" s="1020"/>
      <c r="S766" s="1020"/>
      <c r="T766" s="1020"/>
      <c r="U766" s="1020"/>
      <c r="V766" s="1020"/>
      <c r="W766" s="1020"/>
      <c r="X766" s="1020"/>
      <c r="Y766" s="1020"/>
      <c r="Z766" s="1020"/>
      <c r="AA766" s="1020"/>
      <c r="AB766" s="1020"/>
      <c r="AC766" s="1020"/>
      <c r="AD766" s="1020"/>
      <c r="AE766" s="1020"/>
      <c r="AF766" s="1020"/>
      <c r="AG766" s="467"/>
      <c r="AH766" s="467"/>
    </row>
    <row r="767" ht="14.25" customHeight="1" spans="2:34">
      <c r="B767" s="1018"/>
      <c r="C767" s="1019"/>
      <c r="D767" s="1019"/>
      <c r="E767" s="1019"/>
      <c r="F767" s="1020"/>
      <c r="G767" s="1020"/>
      <c r="H767" s="1020"/>
      <c r="I767" s="1020"/>
      <c r="J767" s="1020"/>
      <c r="K767" s="1020"/>
      <c r="L767" s="1020"/>
      <c r="M767" s="1020"/>
      <c r="N767" s="1020"/>
      <c r="O767" s="1020"/>
      <c r="P767" s="1020"/>
      <c r="Q767" s="1020"/>
      <c r="R767" s="1020"/>
      <c r="S767" s="1020"/>
      <c r="T767" s="1020"/>
      <c r="U767" s="1020"/>
      <c r="V767" s="1020"/>
      <c r="W767" s="1020"/>
      <c r="X767" s="1020"/>
      <c r="Y767" s="1020"/>
      <c r="Z767" s="1020"/>
      <c r="AA767" s="1020"/>
      <c r="AB767" s="1020"/>
      <c r="AC767" s="1020"/>
      <c r="AD767" s="1020"/>
      <c r="AE767" s="1020"/>
      <c r="AF767" s="1020"/>
      <c r="AG767" s="467"/>
      <c r="AH767" s="467"/>
    </row>
    <row r="768" ht="14.25" customHeight="1" spans="2:34">
      <c r="B768" s="1018"/>
      <c r="C768" s="1019"/>
      <c r="D768" s="1019"/>
      <c r="E768" s="1019"/>
      <c r="F768" s="1020"/>
      <c r="G768" s="1020"/>
      <c r="H768" s="1020"/>
      <c r="I768" s="1020"/>
      <c r="J768" s="1020"/>
      <c r="K768" s="1020"/>
      <c r="L768" s="1020"/>
      <c r="M768" s="1020"/>
      <c r="N768" s="1020"/>
      <c r="O768" s="1020"/>
      <c r="P768" s="1020"/>
      <c r="Q768" s="1020"/>
      <c r="R768" s="1020"/>
      <c r="S768" s="1020"/>
      <c r="T768" s="1020"/>
      <c r="U768" s="1020"/>
      <c r="V768" s="1020"/>
      <c r="W768" s="1020"/>
      <c r="X768" s="1020"/>
      <c r="Y768" s="1020"/>
      <c r="Z768" s="1020"/>
      <c r="AA768" s="1020"/>
      <c r="AB768" s="1020"/>
      <c r="AC768" s="1020"/>
      <c r="AD768" s="1020"/>
      <c r="AE768" s="1020"/>
      <c r="AF768" s="1020"/>
      <c r="AG768" s="467"/>
      <c r="AH768" s="467"/>
    </row>
    <row r="769" ht="14.25" customHeight="1" spans="2:34">
      <c r="B769" s="1018"/>
      <c r="C769" s="1019"/>
      <c r="D769" s="1019"/>
      <c r="E769" s="1019"/>
      <c r="F769" s="1020"/>
      <c r="G769" s="1020"/>
      <c r="H769" s="1020"/>
      <c r="I769" s="1020"/>
      <c r="J769" s="1020"/>
      <c r="K769" s="1020"/>
      <c r="L769" s="1020"/>
      <c r="M769" s="1020"/>
      <c r="N769" s="1020"/>
      <c r="O769" s="1020"/>
      <c r="P769" s="1020"/>
      <c r="Q769" s="1020"/>
      <c r="R769" s="1020"/>
      <c r="S769" s="1020"/>
      <c r="T769" s="1020"/>
      <c r="U769" s="1020"/>
      <c r="V769" s="1020"/>
      <c r="W769" s="1020"/>
      <c r="X769" s="1020"/>
      <c r="Y769" s="1020"/>
      <c r="Z769" s="1020"/>
      <c r="AA769" s="1020"/>
      <c r="AB769" s="1020"/>
      <c r="AC769" s="1020"/>
      <c r="AD769" s="1020"/>
      <c r="AE769" s="1020"/>
      <c r="AF769" s="1020"/>
      <c r="AG769" s="467"/>
      <c r="AH769" s="467"/>
    </row>
    <row r="770" ht="14.25" customHeight="1" spans="2:34">
      <c r="B770" s="1018"/>
      <c r="C770" s="1019"/>
      <c r="D770" s="1019"/>
      <c r="E770" s="1019"/>
      <c r="F770" s="1020"/>
      <c r="G770" s="1020"/>
      <c r="H770" s="1020"/>
      <c r="I770" s="1020"/>
      <c r="J770" s="1020"/>
      <c r="K770" s="1020"/>
      <c r="L770" s="1020"/>
      <c r="M770" s="1020"/>
      <c r="N770" s="1020"/>
      <c r="O770" s="1020"/>
      <c r="P770" s="1020"/>
      <c r="Q770" s="1020"/>
      <c r="R770" s="1020"/>
      <c r="S770" s="1020"/>
      <c r="T770" s="1020"/>
      <c r="U770" s="1020"/>
      <c r="V770" s="1020"/>
      <c r="W770" s="1020"/>
      <c r="X770" s="1020"/>
      <c r="Y770" s="1020"/>
      <c r="Z770" s="1020"/>
      <c r="AA770" s="1020"/>
      <c r="AB770" s="1020"/>
      <c r="AC770" s="1020"/>
      <c r="AD770" s="1020"/>
      <c r="AE770" s="1020"/>
      <c r="AF770" s="1020"/>
      <c r="AG770" s="467"/>
      <c r="AH770" s="467"/>
    </row>
    <row r="771" ht="14.25" customHeight="1" spans="2:34">
      <c r="B771" s="1018"/>
      <c r="C771" s="1019"/>
      <c r="D771" s="1019"/>
      <c r="E771" s="1019"/>
      <c r="F771" s="1020"/>
      <c r="G771" s="1020"/>
      <c r="H771" s="1020"/>
      <c r="I771" s="1020"/>
      <c r="J771" s="1020"/>
      <c r="K771" s="1020"/>
      <c r="L771" s="1020"/>
      <c r="M771" s="1020"/>
      <c r="N771" s="1020"/>
      <c r="O771" s="1020"/>
      <c r="P771" s="1020"/>
      <c r="Q771" s="1020"/>
      <c r="R771" s="1020"/>
      <c r="S771" s="1020"/>
      <c r="T771" s="1020"/>
      <c r="U771" s="1020"/>
      <c r="V771" s="1020"/>
      <c r="W771" s="1020"/>
      <c r="X771" s="1020"/>
      <c r="Y771" s="1020"/>
      <c r="Z771" s="1020"/>
      <c r="AA771" s="1020"/>
      <c r="AB771" s="1020"/>
      <c r="AC771" s="1020"/>
      <c r="AD771" s="1020"/>
      <c r="AE771" s="1020"/>
      <c r="AF771" s="1020"/>
      <c r="AG771" s="467"/>
      <c r="AH771" s="467"/>
    </row>
    <row r="772" ht="14.25" customHeight="1" spans="2:34">
      <c r="B772" s="1018"/>
      <c r="C772" s="1019"/>
      <c r="D772" s="1019"/>
      <c r="E772" s="1019"/>
      <c r="F772" s="1020"/>
      <c r="G772" s="1020"/>
      <c r="H772" s="1020"/>
      <c r="I772" s="1020"/>
      <c r="J772" s="1020"/>
      <c r="K772" s="1020"/>
      <c r="L772" s="1020"/>
      <c r="M772" s="1020"/>
      <c r="N772" s="1020"/>
      <c r="O772" s="1020"/>
      <c r="P772" s="1020"/>
      <c r="Q772" s="1020"/>
      <c r="R772" s="1020"/>
      <c r="S772" s="1020"/>
      <c r="T772" s="1020"/>
      <c r="U772" s="1020"/>
      <c r="V772" s="1020"/>
      <c r="W772" s="1020"/>
      <c r="X772" s="1020"/>
      <c r="Y772" s="1020"/>
      <c r="Z772" s="1020"/>
      <c r="AA772" s="1020"/>
      <c r="AB772" s="1020"/>
      <c r="AC772" s="1020"/>
      <c r="AD772" s="1020"/>
      <c r="AE772" s="1020"/>
      <c r="AF772" s="1020"/>
      <c r="AG772" s="467"/>
      <c r="AH772" s="467"/>
    </row>
    <row r="773" ht="14.25" customHeight="1" spans="2:34">
      <c r="B773" s="1018"/>
      <c r="C773" s="1019"/>
      <c r="D773" s="1019"/>
      <c r="E773" s="1019"/>
      <c r="F773" s="1020"/>
      <c r="G773" s="1020"/>
      <c r="H773" s="1020"/>
      <c r="I773" s="1020"/>
      <c r="J773" s="1020"/>
      <c r="K773" s="1020"/>
      <c r="L773" s="1020"/>
      <c r="M773" s="1020"/>
      <c r="N773" s="1020"/>
      <c r="O773" s="1020"/>
      <c r="P773" s="1020"/>
      <c r="Q773" s="1020"/>
      <c r="R773" s="1020"/>
      <c r="S773" s="1020"/>
      <c r="T773" s="1020"/>
      <c r="U773" s="1020"/>
      <c r="V773" s="1020"/>
      <c r="W773" s="1020"/>
      <c r="X773" s="1020"/>
      <c r="Y773" s="1020"/>
      <c r="Z773" s="1020"/>
      <c r="AA773" s="1020"/>
      <c r="AB773" s="1020"/>
      <c r="AC773" s="1020"/>
      <c r="AD773" s="1020"/>
      <c r="AE773" s="1020"/>
      <c r="AF773" s="1020"/>
      <c r="AG773" s="467"/>
      <c r="AH773" s="467"/>
    </row>
    <row r="774" ht="14.25" customHeight="1" spans="2:34">
      <c r="B774" s="1018"/>
      <c r="C774" s="1019"/>
      <c r="D774" s="1019"/>
      <c r="E774" s="1019"/>
      <c r="F774" s="1020"/>
      <c r="G774" s="1020"/>
      <c r="H774" s="1020"/>
      <c r="I774" s="1020"/>
      <c r="J774" s="1020"/>
      <c r="K774" s="1020"/>
      <c r="L774" s="1020"/>
      <c r="M774" s="1020"/>
      <c r="N774" s="1020"/>
      <c r="O774" s="1020"/>
      <c r="P774" s="1020"/>
      <c r="Q774" s="1020"/>
      <c r="R774" s="1020"/>
      <c r="S774" s="1020"/>
      <c r="T774" s="1020"/>
      <c r="U774" s="1020"/>
      <c r="V774" s="1020"/>
      <c r="W774" s="1020"/>
      <c r="X774" s="1020"/>
      <c r="Y774" s="1020"/>
      <c r="Z774" s="1020"/>
      <c r="AA774" s="1020"/>
      <c r="AB774" s="1020"/>
      <c r="AC774" s="1020"/>
      <c r="AD774" s="1020"/>
      <c r="AE774" s="1020"/>
      <c r="AF774" s="1020"/>
      <c r="AG774" s="467"/>
      <c r="AH774" s="467"/>
    </row>
    <row r="775" ht="14.25" customHeight="1" spans="2:34">
      <c r="B775" s="1018"/>
      <c r="C775" s="1019"/>
      <c r="D775" s="1019"/>
      <c r="E775" s="1019"/>
      <c r="F775" s="1020"/>
      <c r="G775" s="1020"/>
      <c r="H775" s="1020"/>
      <c r="I775" s="1020"/>
      <c r="J775" s="1020"/>
      <c r="K775" s="1020"/>
      <c r="L775" s="1020"/>
      <c r="M775" s="1020"/>
      <c r="N775" s="1020"/>
      <c r="O775" s="1020"/>
      <c r="P775" s="1020"/>
      <c r="Q775" s="1020"/>
      <c r="R775" s="1020"/>
      <c r="S775" s="1020"/>
      <c r="T775" s="1020"/>
      <c r="U775" s="1020"/>
      <c r="V775" s="1020"/>
      <c r="W775" s="1020"/>
      <c r="X775" s="1020"/>
      <c r="Y775" s="1020"/>
      <c r="Z775" s="1020"/>
      <c r="AA775" s="1020"/>
      <c r="AB775" s="1020"/>
      <c r="AC775" s="1020"/>
      <c r="AD775" s="1020"/>
      <c r="AE775" s="1020"/>
      <c r="AF775" s="1020"/>
      <c r="AG775" s="467"/>
      <c r="AH775" s="467"/>
    </row>
    <row r="776" ht="14.25" customHeight="1" spans="2:34">
      <c r="B776" s="1018"/>
      <c r="C776" s="1019"/>
      <c r="D776" s="1019"/>
      <c r="E776" s="1019"/>
      <c r="F776" s="1020"/>
      <c r="G776" s="1020"/>
      <c r="H776" s="1020"/>
      <c r="I776" s="1020"/>
      <c r="J776" s="1020"/>
      <c r="K776" s="1020"/>
      <c r="L776" s="1020"/>
      <c r="M776" s="1020"/>
      <c r="N776" s="1020"/>
      <c r="O776" s="1020"/>
      <c r="P776" s="1020"/>
      <c r="Q776" s="1020"/>
      <c r="R776" s="1020"/>
      <c r="S776" s="1020"/>
      <c r="T776" s="1020"/>
      <c r="U776" s="1020"/>
      <c r="V776" s="1020"/>
      <c r="W776" s="1020"/>
      <c r="X776" s="1020"/>
      <c r="Y776" s="1020"/>
      <c r="Z776" s="1020"/>
      <c r="AA776" s="1020"/>
      <c r="AB776" s="1020"/>
      <c r="AC776" s="1020"/>
      <c r="AD776" s="1020"/>
      <c r="AE776" s="1020"/>
      <c r="AF776" s="1020"/>
      <c r="AG776" s="467"/>
      <c r="AH776" s="467"/>
    </row>
    <row r="777" ht="14.25" customHeight="1" spans="2:34">
      <c r="B777" s="1018"/>
      <c r="C777" s="1019"/>
      <c r="D777" s="1019"/>
      <c r="E777" s="1019"/>
      <c r="F777" s="1020"/>
      <c r="G777" s="1020"/>
      <c r="H777" s="1020"/>
      <c r="I777" s="1020"/>
      <c r="J777" s="1020"/>
      <c r="K777" s="1020"/>
      <c r="L777" s="1020"/>
      <c r="M777" s="1020"/>
      <c r="N777" s="1020"/>
      <c r="O777" s="1020"/>
      <c r="P777" s="1020"/>
      <c r="Q777" s="1020"/>
      <c r="R777" s="1020"/>
      <c r="S777" s="1020"/>
      <c r="T777" s="1020"/>
      <c r="U777" s="1020"/>
      <c r="V777" s="1020"/>
      <c r="W777" s="1020"/>
      <c r="X777" s="1020"/>
      <c r="Y777" s="1020"/>
      <c r="Z777" s="1020"/>
      <c r="AA777" s="1020"/>
      <c r="AB777" s="1020"/>
      <c r="AC777" s="1020"/>
      <c r="AD777" s="1020"/>
      <c r="AE777" s="1020"/>
      <c r="AF777" s="1020"/>
      <c r="AG777" s="467"/>
      <c r="AH777" s="467"/>
    </row>
    <row r="778" ht="14.25" customHeight="1" spans="2:34">
      <c r="B778" s="1018"/>
      <c r="C778" s="1019"/>
      <c r="D778" s="1019"/>
      <c r="E778" s="1019"/>
      <c r="F778" s="1020"/>
      <c r="G778" s="1020"/>
      <c r="H778" s="1020"/>
      <c r="I778" s="1020"/>
      <c r="J778" s="1020"/>
      <c r="K778" s="1020"/>
      <c r="L778" s="1020"/>
      <c r="M778" s="1020"/>
      <c r="N778" s="1020"/>
      <c r="O778" s="1020"/>
      <c r="P778" s="1020"/>
      <c r="Q778" s="1020"/>
      <c r="R778" s="1020"/>
      <c r="S778" s="1020"/>
      <c r="T778" s="1020"/>
      <c r="U778" s="1020"/>
      <c r="V778" s="1020"/>
      <c r="W778" s="1020"/>
      <c r="X778" s="1020"/>
      <c r="Y778" s="1020"/>
      <c r="Z778" s="1020"/>
      <c r="AA778" s="1020"/>
      <c r="AB778" s="1020"/>
      <c r="AC778" s="1020"/>
      <c r="AD778" s="1020"/>
      <c r="AE778" s="1020"/>
      <c r="AF778" s="1020"/>
      <c r="AG778" s="467"/>
      <c r="AH778" s="467"/>
    </row>
    <row r="779" ht="14.25" customHeight="1" spans="2:34">
      <c r="B779" s="1018"/>
      <c r="C779" s="1019"/>
      <c r="D779" s="1019"/>
      <c r="E779" s="1019"/>
      <c r="F779" s="1020"/>
      <c r="G779" s="1020"/>
      <c r="H779" s="1020"/>
      <c r="I779" s="1020"/>
      <c r="J779" s="1020"/>
      <c r="K779" s="1020"/>
      <c r="L779" s="1020"/>
      <c r="M779" s="1020"/>
      <c r="N779" s="1020"/>
      <c r="O779" s="1020"/>
      <c r="P779" s="1020"/>
      <c r="Q779" s="1020"/>
      <c r="R779" s="1020"/>
      <c r="S779" s="1020"/>
      <c r="T779" s="1020"/>
      <c r="U779" s="1020"/>
      <c r="V779" s="1020"/>
      <c r="W779" s="1020"/>
      <c r="X779" s="1020"/>
      <c r="Y779" s="1020"/>
      <c r="Z779" s="1020"/>
      <c r="AA779" s="1020"/>
      <c r="AB779" s="1020"/>
      <c r="AC779" s="1020"/>
      <c r="AD779" s="1020"/>
      <c r="AE779" s="1020"/>
      <c r="AF779" s="1020"/>
      <c r="AG779" s="467"/>
      <c r="AH779" s="467"/>
    </row>
    <row r="780" ht="14.25" customHeight="1" spans="2:34">
      <c r="B780" s="1018"/>
      <c r="C780" s="1019"/>
      <c r="D780" s="1019"/>
      <c r="E780" s="1019"/>
      <c r="F780" s="1020"/>
      <c r="G780" s="1020"/>
      <c r="H780" s="1020"/>
      <c r="I780" s="1020"/>
      <c r="J780" s="1020"/>
      <c r="K780" s="1020"/>
      <c r="L780" s="1020"/>
      <c r="M780" s="1020"/>
      <c r="N780" s="1020"/>
      <c r="O780" s="1020"/>
      <c r="P780" s="1020"/>
      <c r="Q780" s="1020"/>
      <c r="R780" s="1020"/>
      <c r="S780" s="1020"/>
      <c r="T780" s="1020"/>
      <c r="U780" s="1020"/>
      <c r="V780" s="1020"/>
      <c r="W780" s="1020"/>
      <c r="X780" s="1020"/>
      <c r="Y780" s="1020"/>
      <c r="Z780" s="1020"/>
      <c r="AA780" s="1020"/>
      <c r="AB780" s="1020"/>
      <c r="AC780" s="1020"/>
      <c r="AD780" s="1020"/>
      <c r="AE780" s="1020"/>
      <c r="AF780" s="1020"/>
      <c r="AG780" s="467"/>
      <c r="AH780" s="467"/>
    </row>
    <row r="781" ht="14.25" customHeight="1" spans="2:34">
      <c r="B781" s="1018"/>
      <c r="C781" s="1019"/>
      <c r="D781" s="1019"/>
      <c r="E781" s="1019"/>
      <c r="F781" s="1020"/>
      <c r="G781" s="1020"/>
      <c r="H781" s="1020"/>
      <c r="I781" s="1020"/>
      <c r="J781" s="1020"/>
      <c r="K781" s="1020"/>
      <c r="L781" s="1020"/>
      <c r="M781" s="1020"/>
      <c r="N781" s="1020"/>
      <c r="O781" s="1020"/>
      <c r="P781" s="1020"/>
      <c r="Q781" s="1020"/>
      <c r="R781" s="1020"/>
      <c r="S781" s="1020"/>
      <c r="T781" s="1020"/>
      <c r="U781" s="1020"/>
      <c r="V781" s="1020"/>
      <c r="W781" s="1020"/>
      <c r="X781" s="1020"/>
      <c r="Y781" s="1020"/>
      <c r="Z781" s="1020"/>
      <c r="AA781" s="1020"/>
      <c r="AB781" s="1020"/>
      <c r="AC781" s="1020"/>
      <c r="AD781" s="1020"/>
      <c r="AE781" s="1020"/>
      <c r="AF781" s="1020"/>
      <c r="AG781" s="467"/>
      <c r="AH781" s="467"/>
    </row>
    <row r="782" ht="14.25" customHeight="1" spans="2:34">
      <c r="B782" s="1018"/>
      <c r="C782" s="1019"/>
      <c r="D782" s="1019"/>
      <c r="E782" s="1019"/>
      <c r="F782" s="1020"/>
      <c r="G782" s="1020"/>
      <c r="H782" s="1020"/>
      <c r="I782" s="1020"/>
      <c r="J782" s="1020"/>
      <c r="K782" s="1020"/>
      <c r="L782" s="1020"/>
      <c r="M782" s="1020"/>
      <c r="N782" s="1020"/>
      <c r="O782" s="1020"/>
      <c r="P782" s="1020"/>
      <c r="Q782" s="1020"/>
      <c r="R782" s="1020"/>
      <c r="S782" s="1020"/>
      <c r="T782" s="1020"/>
      <c r="U782" s="1020"/>
      <c r="V782" s="1020"/>
      <c r="W782" s="1020"/>
      <c r="X782" s="1020"/>
      <c r="Y782" s="1020"/>
      <c r="Z782" s="1020"/>
      <c r="AA782" s="1020"/>
      <c r="AB782" s="1020"/>
      <c r="AC782" s="1020"/>
      <c r="AD782" s="1020"/>
      <c r="AE782" s="1020"/>
      <c r="AF782" s="1020"/>
      <c r="AG782" s="467"/>
      <c r="AH782" s="467"/>
    </row>
    <row r="783" ht="14.25" customHeight="1" spans="2:34">
      <c r="B783" s="1018"/>
      <c r="C783" s="1019"/>
      <c r="D783" s="1019"/>
      <c r="E783" s="1019"/>
      <c r="F783" s="1020"/>
      <c r="G783" s="1020"/>
      <c r="H783" s="1020"/>
      <c r="I783" s="1020"/>
      <c r="J783" s="1020"/>
      <c r="K783" s="1020"/>
      <c r="L783" s="1020"/>
      <c r="M783" s="1020"/>
      <c r="N783" s="1020"/>
      <c r="O783" s="1020"/>
      <c r="P783" s="1020"/>
      <c r="Q783" s="1020"/>
      <c r="R783" s="1020"/>
      <c r="S783" s="1020"/>
      <c r="T783" s="1020"/>
      <c r="U783" s="1020"/>
      <c r="V783" s="1020"/>
      <c r="W783" s="1020"/>
      <c r="X783" s="1020"/>
      <c r="Y783" s="1020"/>
      <c r="Z783" s="1020"/>
      <c r="AA783" s="1020"/>
      <c r="AB783" s="1020"/>
      <c r="AC783" s="1020"/>
      <c r="AD783" s="1020"/>
      <c r="AE783" s="1020"/>
      <c r="AF783" s="1020"/>
      <c r="AG783" s="467"/>
      <c r="AH783" s="467"/>
    </row>
    <row r="784" ht="14.25" customHeight="1" spans="2:34">
      <c r="B784" s="1018"/>
      <c r="C784" s="1019"/>
      <c r="D784" s="1019"/>
      <c r="E784" s="1019"/>
      <c r="F784" s="1020"/>
      <c r="G784" s="1020"/>
      <c r="H784" s="1020"/>
      <c r="I784" s="1020"/>
      <c r="J784" s="1020"/>
      <c r="K784" s="1020"/>
      <c r="L784" s="1020"/>
      <c r="M784" s="1020"/>
      <c r="N784" s="1020"/>
      <c r="O784" s="1020"/>
      <c r="P784" s="1020"/>
      <c r="Q784" s="1020"/>
      <c r="R784" s="1020"/>
      <c r="S784" s="1020"/>
      <c r="T784" s="1020"/>
      <c r="U784" s="1020"/>
      <c r="V784" s="1020"/>
      <c r="W784" s="1020"/>
      <c r="X784" s="1020"/>
      <c r="Y784" s="1020"/>
      <c r="Z784" s="1020"/>
      <c r="AA784" s="1020"/>
      <c r="AB784" s="1020"/>
      <c r="AC784" s="1020"/>
      <c r="AD784" s="1020"/>
      <c r="AE784" s="1020"/>
      <c r="AF784" s="1020"/>
      <c r="AG784" s="467"/>
      <c r="AH784" s="467"/>
    </row>
    <row r="785" ht="14.25" customHeight="1" spans="2:34">
      <c r="B785" s="1018"/>
      <c r="C785" s="1019"/>
      <c r="D785" s="1019"/>
      <c r="E785" s="1019"/>
      <c r="F785" s="1020"/>
      <c r="G785" s="1020"/>
      <c r="H785" s="1020"/>
      <c r="I785" s="1020"/>
      <c r="J785" s="1020"/>
      <c r="K785" s="1020"/>
      <c r="L785" s="1020"/>
      <c r="M785" s="1020"/>
      <c r="N785" s="1020"/>
      <c r="O785" s="1020"/>
      <c r="P785" s="1020"/>
      <c r="Q785" s="1020"/>
      <c r="R785" s="1020"/>
      <c r="S785" s="1020"/>
      <c r="T785" s="1020"/>
      <c r="U785" s="1020"/>
      <c r="V785" s="1020"/>
      <c r="W785" s="1020"/>
      <c r="X785" s="1020"/>
      <c r="Y785" s="1020"/>
      <c r="Z785" s="1020"/>
      <c r="AA785" s="1020"/>
      <c r="AB785" s="1020"/>
      <c r="AC785" s="1020"/>
      <c r="AD785" s="1020"/>
      <c r="AE785" s="1020"/>
      <c r="AF785" s="1020"/>
      <c r="AG785" s="467"/>
      <c r="AH785" s="467"/>
    </row>
    <row r="786" ht="14.25" customHeight="1" spans="2:34">
      <c r="B786" s="1018"/>
      <c r="C786" s="1019"/>
      <c r="D786" s="1019"/>
      <c r="E786" s="1019"/>
      <c r="F786" s="1020"/>
      <c r="G786" s="1020"/>
      <c r="H786" s="1020"/>
      <c r="I786" s="1020"/>
      <c r="J786" s="1020"/>
      <c r="K786" s="1020"/>
      <c r="L786" s="1020"/>
      <c r="M786" s="1020"/>
      <c r="N786" s="1020"/>
      <c r="O786" s="1020"/>
      <c r="P786" s="1020"/>
      <c r="Q786" s="1020"/>
      <c r="R786" s="1020"/>
      <c r="S786" s="1020"/>
      <c r="T786" s="1020"/>
      <c r="U786" s="1020"/>
      <c r="V786" s="1020"/>
      <c r="W786" s="1020"/>
      <c r="X786" s="1020"/>
      <c r="Y786" s="1020"/>
      <c r="Z786" s="1020"/>
      <c r="AA786" s="1020"/>
      <c r="AB786" s="1020"/>
      <c r="AC786" s="1020"/>
      <c r="AD786" s="1020"/>
      <c r="AE786" s="1020"/>
      <c r="AF786" s="1020"/>
      <c r="AG786" s="467"/>
      <c r="AH786" s="467"/>
    </row>
    <row r="787" ht="14.25" customHeight="1" spans="2:34">
      <c r="B787" s="1018"/>
      <c r="C787" s="1019"/>
      <c r="D787" s="1019"/>
      <c r="E787" s="1019"/>
      <c r="F787" s="1020"/>
      <c r="G787" s="1020"/>
      <c r="H787" s="1020"/>
      <c r="I787" s="1020"/>
      <c r="J787" s="1020"/>
      <c r="K787" s="1020"/>
      <c r="L787" s="1020"/>
      <c r="M787" s="1020"/>
      <c r="N787" s="1020"/>
      <c r="O787" s="1020"/>
      <c r="P787" s="1020"/>
      <c r="Q787" s="1020"/>
      <c r="R787" s="1020"/>
      <c r="S787" s="1020"/>
      <c r="T787" s="1020"/>
      <c r="U787" s="1020"/>
      <c r="V787" s="1020"/>
      <c r="W787" s="1020"/>
      <c r="X787" s="1020"/>
      <c r="Y787" s="1020"/>
      <c r="Z787" s="1020"/>
      <c r="AA787" s="1020"/>
      <c r="AB787" s="1020"/>
      <c r="AC787" s="1020"/>
      <c r="AD787" s="1020"/>
      <c r="AE787" s="1020"/>
      <c r="AF787" s="1020"/>
      <c r="AG787" s="467"/>
      <c r="AH787" s="467"/>
    </row>
    <row r="788" ht="14.25" customHeight="1" spans="2:34">
      <c r="B788" s="1018"/>
      <c r="C788" s="1019"/>
      <c r="D788" s="1019"/>
      <c r="E788" s="1019"/>
      <c r="F788" s="1020"/>
      <c r="G788" s="1020"/>
      <c r="H788" s="1020"/>
      <c r="I788" s="1020"/>
      <c r="J788" s="1020"/>
      <c r="K788" s="1020"/>
      <c r="L788" s="1020"/>
      <c r="M788" s="1020"/>
      <c r="N788" s="1020"/>
      <c r="O788" s="1020"/>
      <c r="P788" s="1020"/>
      <c r="Q788" s="1020"/>
      <c r="R788" s="1020"/>
      <c r="S788" s="1020"/>
      <c r="T788" s="1020"/>
      <c r="U788" s="1020"/>
      <c r="V788" s="1020"/>
      <c r="W788" s="1020"/>
      <c r="X788" s="1020"/>
      <c r="Y788" s="1020"/>
      <c r="Z788" s="1020"/>
      <c r="AA788" s="1020"/>
      <c r="AB788" s="1020"/>
      <c r="AC788" s="1020"/>
      <c r="AD788" s="1020"/>
      <c r="AE788" s="1020"/>
      <c r="AF788" s="1020"/>
      <c r="AG788" s="467"/>
      <c r="AH788" s="467"/>
    </row>
    <row r="789" ht="14.25" customHeight="1" spans="2:34">
      <c r="B789" s="1018"/>
      <c r="C789" s="1019"/>
      <c r="D789" s="1019"/>
      <c r="E789" s="1019"/>
      <c r="F789" s="1020"/>
      <c r="G789" s="1020"/>
      <c r="H789" s="1020"/>
      <c r="I789" s="1020"/>
      <c r="J789" s="1020"/>
      <c r="K789" s="1020"/>
      <c r="L789" s="1020"/>
      <c r="M789" s="1020"/>
      <c r="N789" s="1020"/>
      <c r="O789" s="1020"/>
      <c r="P789" s="1020"/>
      <c r="Q789" s="1020"/>
      <c r="R789" s="1020"/>
      <c r="S789" s="1020"/>
      <c r="T789" s="1020"/>
      <c r="U789" s="1020"/>
      <c r="V789" s="1020"/>
      <c r="W789" s="1020"/>
      <c r="X789" s="1020"/>
      <c r="Y789" s="1020"/>
      <c r="Z789" s="1020"/>
      <c r="AA789" s="1020"/>
      <c r="AB789" s="1020"/>
      <c r="AC789" s="1020"/>
      <c r="AD789" s="1020"/>
      <c r="AE789" s="1020"/>
      <c r="AF789" s="1020"/>
      <c r="AG789" s="467"/>
      <c r="AH789" s="467"/>
    </row>
    <row r="790" ht="14.25" customHeight="1" spans="2:34">
      <c r="B790" s="1018"/>
      <c r="C790" s="1019"/>
      <c r="D790" s="1019"/>
      <c r="E790" s="1019"/>
      <c r="F790" s="1020"/>
      <c r="G790" s="1020"/>
      <c r="H790" s="1020"/>
      <c r="I790" s="1020"/>
      <c r="J790" s="1020"/>
      <c r="K790" s="1020"/>
      <c r="L790" s="1020"/>
      <c r="M790" s="1020"/>
      <c r="N790" s="1020"/>
      <c r="O790" s="1020"/>
      <c r="P790" s="1020"/>
      <c r="Q790" s="1020"/>
      <c r="R790" s="1020"/>
      <c r="S790" s="1020"/>
      <c r="T790" s="1020"/>
      <c r="U790" s="1020"/>
      <c r="V790" s="1020"/>
      <c r="W790" s="1020"/>
      <c r="X790" s="1020"/>
      <c r="Y790" s="1020"/>
      <c r="Z790" s="1020"/>
      <c r="AA790" s="1020"/>
      <c r="AB790" s="1020"/>
      <c r="AC790" s="1020"/>
      <c r="AD790" s="1020"/>
      <c r="AE790" s="1020"/>
      <c r="AF790" s="1020"/>
      <c r="AG790" s="467"/>
      <c r="AH790" s="467"/>
    </row>
    <row r="791" ht="14.25" customHeight="1" spans="2:34">
      <c r="B791" s="1018"/>
      <c r="C791" s="1019"/>
      <c r="D791" s="1019"/>
      <c r="E791" s="1019"/>
      <c r="F791" s="1020"/>
      <c r="G791" s="1020"/>
      <c r="H791" s="1020"/>
      <c r="I791" s="1020"/>
      <c r="J791" s="1020"/>
      <c r="K791" s="1020"/>
      <c r="L791" s="1020"/>
      <c r="M791" s="1020"/>
      <c r="N791" s="1020"/>
      <c r="O791" s="1020"/>
      <c r="P791" s="1020"/>
      <c r="Q791" s="1020"/>
      <c r="R791" s="1020"/>
      <c r="S791" s="1020"/>
      <c r="T791" s="1020"/>
      <c r="U791" s="1020"/>
      <c r="V791" s="1020"/>
      <c r="W791" s="1020"/>
      <c r="X791" s="1020"/>
      <c r="Y791" s="1020"/>
      <c r="Z791" s="1020"/>
      <c r="AA791" s="1020"/>
      <c r="AB791" s="1020"/>
      <c r="AC791" s="1020"/>
      <c r="AD791" s="1020"/>
      <c r="AE791" s="1020"/>
      <c r="AF791" s="1020"/>
      <c r="AG791" s="467"/>
      <c r="AH791" s="467"/>
    </row>
    <row r="792" ht="14.25" customHeight="1" spans="2:34">
      <c r="B792" s="1018"/>
      <c r="C792" s="1019"/>
      <c r="D792" s="1019"/>
      <c r="E792" s="1019"/>
      <c r="F792" s="1020"/>
      <c r="G792" s="1020"/>
      <c r="H792" s="1020"/>
      <c r="I792" s="1020"/>
      <c r="J792" s="1020"/>
      <c r="K792" s="1020"/>
      <c r="L792" s="1020"/>
      <c r="M792" s="1020"/>
      <c r="N792" s="1020"/>
      <c r="O792" s="1020"/>
      <c r="P792" s="1020"/>
      <c r="Q792" s="1020"/>
      <c r="R792" s="1020"/>
      <c r="S792" s="1020"/>
      <c r="T792" s="1020"/>
      <c r="U792" s="1020"/>
      <c r="V792" s="1020"/>
      <c r="W792" s="1020"/>
      <c r="X792" s="1020"/>
      <c r="Y792" s="1020"/>
      <c r="Z792" s="1020"/>
      <c r="AA792" s="1020"/>
      <c r="AB792" s="1020"/>
      <c r="AC792" s="1020"/>
      <c r="AD792" s="1020"/>
      <c r="AE792" s="1020"/>
      <c r="AF792" s="1020"/>
      <c r="AG792" s="467"/>
      <c r="AH792" s="467"/>
    </row>
    <row r="793" ht="14.25" customHeight="1" spans="2:34">
      <c r="B793" s="1018"/>
      <c r="C793" s="1019"/>
      <c r="D793" s="1019"/>
      <c r="E793" s="1019"/>
      <c r="F793" s="1020"/>
      <c r="G793" s="1020"/>
      <c r="H793" s="1020"/>
      <c r="I793" s="1020"/>
      <c r="J793" s="1020"/>
      <c r="K793" s="1020"/>
      <c r="L793" s="1020"/>
      <c r="M793" s="1020"/>
      <c r="N793" s="1020"/>
      <c r="O793" s="1020"/>
      <c r="P793" s="1020"/>
      <c r="Q793" s="1020"/>
      <c r="R793" s="1020"/>
      <c r="S793" s="1020"/>
      <c r="T793" s="1020"/>
      <c r="U793" s="1020"/>
      <c r="V793" s="1020"/>
      <c r="W793" s="1020"/>
      <c r="X793" s="1020"/>
      <c r="Y793" s="1020"/>
      <c r="Z793" s="1020"/>
      <c r="AA793" s="1020"/>
      <c r="AB793" s="1020"/>
      <c r="AC793" s="1020"/>
      <c r="AD793" s="1020"/>
      <c r="AE793" s="1020"/>
      <c r="AF793" s="1020"/>
      <c r="AG793" s="467"/>
      <c r="AH793" s="467"/>
    </row>
    <row r="794" ht="14.25" customHeight="1" spans="2:34">
      <c r="B794" s="1018"/>
      <c r="C794" s="1019"/>
      <c r="D794" s="1019"/>
      <c r="E794" s="1019"/>
      <c r="F794" s="1020"/>
      <c r="G794" s="1020"/>
      <c r="H794" s="1020"/>
      <c r="I794" s="1020"/>
      <c r="J794" s="1020"/>
      <c r="K794" s="1020"/>
      <c r="L794" s="1020"/>
      <c r="M794" s="1020"/>
      <c r="N794" s="1020"/>
      <c r="O794" s="1020"/>
      <c r="P794" s="1020"/>
      <c r="Q794" s="1020"/>
      <c r="R794" s="1020"/>
      <c r="S794" s="1020"/>
      <c r="T794" s="1020"/>
      <c r="U794" s="1020"/>
      <c r="V794" s="1020"/>
      <c r="W794" s="1020"/>
      <c r="X794" s="1020"/>
      <c r="Y794" s="1020"/>
      <c r="Z794" s="1020"/>
      <c r="AA794" s="1020"/>
      <c r="AB794" s="1020"/>
      <c r="AC794" s="1020"/>
      <c r="AD794" s="1020"/>
      <c r="AE794" s="1020"/>
      <c r="AF794" s="1020"/>
      <c r="AG794" s="467"/>
      <c r="AH794" s="467"/>
    </row>
    <row r="795" ht="14.25" customHeight="1" spans="2:34">
      <c r="B795" s="1018"/>
      <c r="C795" s="1019"/>
      <c r="D795" s="1019"/>
      <c r="E795" s="1019"/>
      <c r="F795" s="1020"/>
      <c r="G795" s="1020"/>
      <c r="H795" s="1020"/>
      <c r="I795" s="1020"/>
      <c r="J795" s="1020"/>
      <c r="K795" s="1020"/>
      <c r="L795" s="1020"/>
      <c r="M795" s="1020"/>
      <c r="N795" s="1020"/>
      <c r="O795" s="1020"/>
      <c r="P795" s="1020"/>
      <c r="Q795" s="1020"/>
      <c r="R795" s="1020"/>
      <c r="S795" s="1020"/>
      <c r="T795" s="1020"/>
      <c r="U795" s="1020"/>
      <c r="V795" s="1020"/>
      <c r="W795" s="1020"/>
      <c r="X795" s="1020"/>
      <c r="Y795" s="1020"/>
      <c r="Z795" s="1020"/>
      <c r="AA795" s="1020"/>
      <c r="AB795" s="1020"/>
      <c r="AC795" s="1020"/>
      <c r="AD795" s="1020"/>
      <c r="AE795" s="1020"/>
      <c r="AF795" s="1020"/>
      <c r="AG795" s="467"/>
      <c r="AH795" s="467"/>
    </row>
    <row r="796" ht="14.25" customHeight="1" spans="2:34">
      <c r="B796" s="1018"/>
      <c r="C796" s="1019"/>
      <c r="D796" s="1019"/>
      <c r="E796" s="1019"/>
      <c r="F796" s="1020"/>
      <c r="G796" s="1020"/>
      <c r="H796" s="1020"/>
      <c r="I796" s="1020"/>
      <c r="J796" s="1020"/>
      <c r="K796" s="1020"/>
      <c r="L796" s="1020"/>
      <c r="M796" s="1020"/>
      <c r="N796" s="1020"/>
      <c r="O796" s="1020"/>
      <c r="P796" s="1020"/>
      <c r="Q796" s="1020"/>
      <c r="R796" s="1020"/>
      <c r="S796" s="1020"/>
      <c r="T796" s="1020"/>
      <c r="U796" s="1020"/>
      <c r="V796" s="1020"/>
      <c r="W796" s="1020"/>
      <c r="X796" s="1020"/>
      <c r="Y796" s="1020"/>
      <c r="Z796" s="1020"/>
      <c r="AA796" s="1020"/>
      <c r="AB796" s="1020"/>
      <c r="AC796" s="1020"/>
      <c r="AD796" s="1020"/>
      <c r="AE796" s="1020"/>
      <c r="AF796" s="1020"/>
      <c r="AG796" s="467"/>
      <c r="AH796" s="467"/>
    </row>
    <row r="797" ht="14.25" customHeight="1" spans="2:34">
      <c r="B797" s="1018"/>
      <c r="C797" s="1019"/>
      <c r="D797" s="1019"/>
      <c r="E797" s="1019"/>
      <c r="F797" s="1020"/>
      <c r="G797" s="1020"/>
      <c r="H797" s="1020"/>
      <c r="I797" s="1020"/>
      <c r="J797" s="1020"/>
      <c r="K797" s="1020"/>
      <c r="L797" s="1020"/>
      <c r="M797" s="1020"/>
      <c r="N797" s="1020"/>
      <c r="O797" s="1020"/>
      <c r="P797" s="1020"/>
      <c r="Q797" s="1020"/>
      <c r="R797" s="1020"/>
      <c r="S797" s="1020"/>
      <c r="T797" s="1020"/>
      <c r="U797" s="1020"/>
      <c r="V797" s="1020"/>
      <c r="W797" s="1020"/>
      <c r="X797" s="1020"/>
      <c r="Y797" s="1020"/>
      <c r="Z797" s="1020"/>
      <c r="AA797" s="1020"/>
      <c r="AB797" s="1020"/>
      <c r="AC797" s="1020"/>
      <c r="AD797" s="1020"/>
      <c r="AE797" s="1020"/>
      <c r="AF797" s="1020"/>
      <c r="AG797" s="467"/>
      <c r="AH797" s="467"/>
    </row>
    <row r="798" ht="14.25" customHeight="1" spans="2:34">
      <c r="B798" s="1018"/>
      <c r="C798" s="1019"/>
      <c r="D798" s="1019"/>
      <c r="E798" s="1019"/>
      <c r="F798" s="1020"/>
      <c r="G798" s="1020"/>
      <c r="H798" s="1020"/>
      <c r="I798" s="1020"/>
      <c r="J798" s="1020"/>
      <c r="K798" s="1020"/>
      <c r="L798" s="1020"/>
      <c r="M798" s="1020"/>
      <c r="N798" s="1020"/>
      <c r="O798" s="1020"/>
      <c r="P798" s="1020"/>
      <c r="Q798" s="1020"/>
      <c r="R798" s="1020"/>
      <c r="S798" s="1020"/>
      <c r="T798" s="1020"/>
      <c r="U798" s="1020"/>
      <c r="V798" s="1020"/>
      <c r="W798" s="1020"/>
      <c r="X798" s="1020"/>
      <c r="Y798" s="1020"/>
      <c r="Z798" s="1020"/>
      <c r="AA798" s="1020"/>
      <c r="AB798" s="1020"/>
      <c r="AC798" s="1020"/>
      <c r="AD798" s="1020"/>
      <c r="AE798" s="1020"/>
      <c r="AF798" s="1020"/>
      <c r="AG798" s="467"/>
      <c r="AH798" s="467"/>
    </row>
    <row r="799" ht="14.25" customHeight="1" spans="2:34">
      <c r="B799" s="1018"/>
      <c r="C799" s="1019"/>
      <c r="D799" s="1019"/>
      <c r="E799" s="1019"/>
      <c r="F799" s="1020"/>
      <c r="G799" s="1020"/>
      <c r="H799" s="1020"/>
      <c r="I799" s="1020"/>
      <c r="J799" s="1020"/>
      <c r="K799" s="1020"/>
      <c r="L799" s="1020"/>
      <c r="M799" s="1020"/>
      <c r="N799" s="1020"/>
      <c r="O799" s="1020"/>
      <c r="P799" s="1020"/>
      <c r="Q799" s="1020"/>
      <c r="R799" s="1020"/>
      <c r="S799" s="1020"/>
      <c r="T799" s="1020"/>
      <c r="U799" s="1020"/>
      <c r="V799" s="1020"/>
      <c r="W799" s="1020"/>
      <c r="X799" s="1020"/>
      <c r="Y799" s="1020"/>
      <c r="Z799" s="1020"/>
      <c r="AA799" s="1020"/>
      <c r="AB799" s="1020"/>
      <c r="AC799" s="1020"/>
      <c r="AD799" s="1020"/>
      <c r="AE799" s="1020"/>
      <c r="AF799" s="1020"/>
      <c r="AG799" s="467"/>
      <c r="AH799" s="467"/>
    </row>
    <row r="800" ht="14.25" customHeight="1" spans="2:34">
      <c r="B800" s="1018"/>
      <c r="C800" s="1019"/>
      <c r="D800" s="1019"/>
      <c r="E800" s="1019"/>
      <c r="F800" s="1020"/>
      <c r="G800" s="1020"/>
      <c r="H800" s="1020"/>
      <c r="I800" s="1020"/>
      <c r="J800" s="1020"/>
      <c r="K800" s="1020"/>
      <c r="L800" s="1020"/>
      <c r="M800" s="1020"/>
      <c r="N800" s="1020"/>
      <c r="O800" s="1020"/>
      <c r="P800" s="1020"/>
      <c r="Q800" s="1020"/>
      <c r="R800" s="1020"/>
      <c r="S800" s="1020"/>
      <c r="T800" s="1020"/>
      <c r="U800" s="1020"/>
      <c r="V800" s="1020"/>
      <c r="W800" s="1020"/>
      <c r="X800" s="1020"/>
      <c r="Y800" s="1020"/>
      <c r="Z800" s="1020"/>
      <c r="AA800" s="1020"/>
      <c r="AB800" s="1020"/>
      <c r="AC800" s="1020"/>
      <c r="AD800" s="1020"/>
      <c r="AE800" s="1020"/>
      <c r="AF800" s="1020"/>
      <c r="AG800" s="467"/>
      <c r="AH800" s="467"/>
    </row>
    <row r="801" ht="14.25" customHeight="1" spans="2:34">
      <c r="B801" s="1018"/>
      <c r="C801" s="1019"/>
      <c r="D801" s="1019"/>
      <c r="E801" s="1019"/>
      <c r="F801" s="1020"/>
      <c r="G801" s="1020"/>
      <c r="H801" s="1020"/>
      <c r="I801" s="1020"/>
      <c r="J801" s="1020"/>
      <c r="K801" s="1020"/>
      <c r="L801" s="1020"/>
      <c r="M801" s="1020"/>
      <c r="N801" s="1020"/>
      <c r="O801" s="1020"/>
      <c r="P801" s="1020"/>
      <c r="Q801" s="1020"/>
      <c r="R801" s="1020"/>
      <c r="S801" s="1020"/>
      <c r="T801" s="1020"/>
      <c r="U801" s="1020"/>
      <c r="V801" s="1020"/>
      <c r="W801" s="1020"/>
      <c r="X801" s="1020"/>
      <c r="Y801" s="1020"/>
      <c r="Z801" s="1020"/>
      <c r="AA801" s="1020"/>
      <c r="AB801" s="1020"/>
      <c r="AC801" s="1020"/>
      <c r="AD801" s="1020"/>
      <c r="AE801" s="1020"/>
      <c r="AF801" s="1020"/>
      <c r="AG801" s="467"/>
      <c r="AH801" s="467"/>
    </row>
    <row r="802" ht="14.25" customHeight="1" spans="2:34">
      <c r="B802" s="1018"/>
      <c r="C802" s="1019"/>
      <c r="D802" s="1019"/>
      <c r="E802" s="1019"/>
      <c r="F802" s="1020"/>
      <c r="G802" s="1020"/>
      <c r="H802" s="1020"/>
      <c r="I802" s="1020"/>
      <c r="J802" s="1020"/>
      <c r="K802" s="1020"/>
      <c r="L802" s="1020"/>
      <c r="M802" s="1020"/>
      <c r="N802" s="1020"/>
      <c r="O802" s="1020"/>
      <c r="P802" s="1020"/>
      <c r="Q802" s="1020"/>
      <c r="R802" s="1020"/>
      <c r="S802" s="1020"/>
      <c r="T802" s="1020"/>
      <c r="U802" s="1020"/>
      <c r="V802" s="1020"/>
      <c r="W802" s="1020"/>
      <c r="X802" s="1020"/>
      <c r="Y802" s="1020"/>
      <c r="Z802" s="1020"/>
      <c r="AA802" s="1020"/>
      <c r="AB802" s="1020"/>
      <c r="AC802" s="1020"/>
      <c r="AD802" s="1020"/>
      <c r="AE802" s="1020"/>
      <c r="AF802" s="1020"/>
      <c r="AG802" s="467"/>
      <c r="AH802" s="467"/>
    </row>
    <row r="803" ht="14.25" customHeight="1" spans="2:34">
      <c r="B803" s="1018"/>
      <c r="C803" s="1019"/>
      <c r="D803" s="1019"/>
      <c r="E803" s="1019"/>
      <c r="F803" s="1020"/>
      <c r="G803" s="1020"/>
      <c r="H803" s="1020"/>
      <c r="I803" s="1020"/>
      <c r="J803" s="1020"/>
      <c r="K803" s="1020"/>
      <c r="L803" s="1020"/>
      <c r="M803" s="1020"/>
      <c r="N803" s="1020"/>
      <c r="O803" s="1020"/>
      <c r="P803" s="1020"/>
      <c r="Q803" s="1020"/>
      <c r="R803" s="1020"/>
      <c r="S803" s="1020"/>
      <c r="T803" s="1020"/>
      <c r="U803" s="1020"/>
      <c r="V803" s="1020"/>
      <c r="W803" s="1020"/>
      <c r="X803" s="1020"/>
      <c r="Y803" s="1020"/>
      <c r="Z803" s="1020"/>
      <c r="AA803" s="1020"/>
      <c r="AB803" s="1020"/>
      <c r="AC803" s="1020"/>
      <c r="AD803" s="1020"/>
      <c r="AE803" s="1020"/>
      <c r="AF803" s="1020"/>
      <c r="AG803" s="467"/>
      <c r="AH803" s="467"/>
    </row>
    <row r="804" ht="14.25" customHeight="1" spans="2:34">
      <c r="B804" s="1018"/>
      <c r="C804" s="1019"/>
      <c r="D804" s="1019"/>
      <c r="E804" s="1019"/>
      <c r="F804" s="1020"/>
      <c r="G804" s="1020"/>
      <c r="H804" s="1020"/>
      <c r="I804" s="1020"/>
      <c r="J804" s="1020"/>
      <c r="K804" s="1020"/>
      <c r="L804" s="1020"/>
      <c r="M804" s="1020"/>
      <c r="N804" s="1020"/>
      <c r="O804" s="1020"/>
      <c r="P804" s="1020"/>
      <c r="Q804" s="1020"/>
      <c r="R804" s="1020"/>
      <c r="S804" s="1020"/>
      <c r="T804" s="1020"/>
      <c r="U804" s="1020"/>
      <c r="V804" s="1020"/>
      <c r="W804" s="1020"/>
      <c r="X804" s="1020"/>
      <c r="Y804" s="1020"/>
      <c r="Z804" s="1020"/>
      <c r="AA804" s="1020"/>
      <c r="AB804" s="1020"/>
      <c r="AC804" s="1020"/>
      <c r="AD804" s="1020"/>
      <c r="AE804" s="1020"/>
      <c r="AF804" s="1020"/>
      <c r="AG804" s="467"/>
      <c r="AH804" s="467"/>
    </row>
    <row r="805" ht="14.25" customHeight="1" spans="2:34">
      <c r="B805" s="1018"/>
      <c r="C805" s="1019"/>
      <c r="D805" s="1019"/>
      <c r="E805" s="1019"/>
      <c r="F805" s="1020"/>
      <c r="G805" s="1020"/>
      <c r="H805" s="1020"/>
      <c r="I805" s="1020"/>
      <c r="J805" s="1020"/>
      <c r="K805" s="1020"/>
      <c r="L805" s="1020"/>
      <c r="M805" s="1020"/>
      <c r="N805" s="1020"/>
      <c r="O805" s="1020"/>
      <c r="P805" s="1020"/>
      <c r="Q805" s="1020"/>
      <c r="R805" s="1020"/>
      <c r="S805" s="1020"/>
      <c r="T805" s="1020"/>
      <c r="U805" s="1020"/>
      <c r="V805" s="1020"/>
      <c r="W805" s="1020"/>
      <c r="X805" s="1020"/>
      <c r="Y805" s="1020"/>
      <c r="Z805" s="1020"/>
      <c r="AA805" s="1020"/>
      <c r="AB805" s="1020"/>
      <c r="AC805" s="1020"/>
      <c r="AD805" s="1020"/>
      <c r="AE805" s="1020"/>
      <c r="AF805" s="1020"/>
      <c r="AG805" s="467"/>
      <c r="AH805" s="467"/>
    </row>
    <row r="806" ht="14.25" customHeight="1" spans="2:34">
      <c r="B806" s="1018"/>
      <c r="C806" s="1019"/>
      <c r="D806" s="1019"/>
      <c r="E806" s="1019"/>
      <c r="F806" s="1020"/>
      <c r="G806" s="1020"/>
      <c r="H806" s="1020"/>
      <c r="I806" s="1020"/>
      <c r="J806" s="1020"/>
      <c r="K806" s="1020"/>
      <c r="L806" s="1020"/>
      <c r="M806" s="1020"/>
      <c r="N806" s="1020"/>
      <c r="O806" s="1020"/>
      <c r="P806" s="1020"/>
      <c r="Q806" s="1020"/>
      <c r="R806" s="1020"/>
      <c r="S806" s="1020"/>
      <c r="T806" s="1020"/>
      <c r="U806" s="1020"/>
      <c r="V806" s="1020"/>
      <c r="W806" s="1020"/>
      <c r="X806" s="1020"/>
      <c r="Y806" s="1020"/>
      <c r="Z806" s="1020"/>
      <c r="AA806" s="1020"/>
      <c r="AB806" s="1020"/>
      <c r="AC806" s="1020"/>
      <c r="AD806" s="1020"/>
      <c r="AE806" s="1020"/>
      <c r="AF806" s="1020"/>
      <c r="AG806" s="467"/>
      <c r="AH806" s="467"/>
    </row>
    <row r="807" ht="14.25" customHeight="1" spans="2:34">
      <c r="B807" s="1018"/>
      <c r="C807" s="1019"/>
      <c r="D807" s="1019"/>
      <c r="E807" s="1019"/>
      <c r="F807" s="1020"/>
      <c r="G807" s="1020"/>
      <c r="H807" s="1020"/>
      <c r="I807" s="1020"/>
      <c r="J807" s="1020"/>
      <c r="K807" s="1020"/>
      <c r="L807" s="1020"/>
      <c r="M807" s="1020"/>
      <c r="N807" s="1020"/>
      <c r="O807" s="1020"/>
      <c r="P807" s="1020"/>
      <c r="Q807" s="1020"/>
      <c r="R807" s="1020"/>
      <c r="S807" s="1020"/>
      <c r="T807" s="1020"/>
      <c r="U807" s="1020"/>
      <c r="V807" s="1020"/>
      <c r="W807" s="1020"/>
      <c r="X807" s="1020"/>
      <c r="Y807" s="1020"/>
      <c r="Z807" s="1020"/>
      <c r="AA807" s="1020"/>
      <c r="AB807" s="1020"/>
      <c r="AC807" s="1020"/>
      <c r="AD807" s="1020"/>
      <c r="AE807" s="1020"/>
      <c r="AF807" s="1020"/>
      <c r="AG807" s="467"/>
      <c r="AH807" s="467"/>
    </row>
    <row r="808" ht="14.25" customHeight="1" spans="2:34">
      <c r="B808" s="1018"/>
      <c r="C808" s="1019"/>
      <c r="D808" s="1019"/>
      <c r="E808" s="1019"/>
      <c r="F808" s="1020"/>
      <c r="G808" s="1020"/>
      <c r="H808" s="1020"/>
      <c r="I808" s="1020"/>
      <c r="J808" s="1020"/>
      <c r="K808" s="1020"/>
      <c r="L808" s="1020"/>
      <c r="M808" s="1020"/>
      <c r="N808" s="1020"/>
      <c r="O808" s="1020"/>
      <c r="P808" s="1020"/>
      <c r="Q808" s="1020"/>
      <c r="R808" s="1020"/>
      <c r="S808" s="1020"/>
      <c r="T808" s="1020"/>
      <c r="U808" s="1020"/>
      <c r="V808" s="1020"/>
      <c r="W808" s="1020"/>
      <c r="X808" s="1020"/>
      <c r="Y808" s="1020"/>
      <c r="Z808" s="1020"/>
      <c r="AA808" s="1020"/>
      <c r="AB808" s="1020"/>
      <c r="AC808" s="1020"/>
      <c r="AD808" s="1020"/>
      <c r="AE808" s="1020"/>
      <c r="AF808" s="1020"/>
      <c r="AG808" s="467"/>
      <c r="AH808" s="467"/>
    </row>
    <row r="809" ht="14.25" customHeight="1" spans="2:34">
      <c r="B809" s="1018"/>
      <c r="C809" s="1019"/>
      <c r="D809" s="1019"/>
      <c r="E809" s="1019"/>
      <c r="F809" s="1020"/>
      <c r="G809" s="1020"/>
      <c r="H809" s="1020"/>
      <c r="I809" s="1020"/>
      <c r="J809" s="1020"/>
      <c r="K809" s="1020"/>
      <c r="L809" s="1020"/>
      <c r="M809" s="1020"/>
      <c r="N809" s="1020"/>
      <c r="O809" s="1020"/>
      <c r="P809" s="1020"/>
      <c r="Q809" s="1020"/>
      <c r="R809" s="1020"/>
      <c r="S809" s="1020"/>
      <c r="T809" s="1020"/>
      <c r="U809" s="1020"/>
      <c r="V809" s="1020"/>
      <c r="W809" s="1020"/>
      <c r="X809" s="1020"/>
      <c r="Y809" s="1020"/>
      <c r="Z809" s="1020"/>
      <c r="AA809" s="1020"/>
      <c r="AB809" s="1020"/>
      <c r="AC809" s="1020"/>
      <c r="AD809" s="1020"/>
      <c r="AE809" s="1020"/>
      <c r="AF809" s="1020"/>
      <c r="AG809" s="467"/>
      <c r="AH809" s="467"/>
    </row>
    <row r="810" ht="14.25" customHeight="1" spans="2:34">
      <c r="B810" s="1018"/>
      <c r="C810" s="1019"/>
      <c r="D810" s="1019"/>
      <c r="E810" s="1019"/>
      <c r="F810" s="1020"/>
      <c r="G810" s="1020"/>
      <c r="H810" s="1020"/>
      <c r="I810" s="1020"/>
      <c r="J810" s="1020"/>
      <c r="K810" s="1020"/>
      <c r="L810" s="1020"/>
      <c r="M810" s="1020"/>
      <c r="N810" s="1020"/>
      <c r="O810" s="1020"/>
      <c r="P810" s="1020"/>
      <c r="Q810" s="1020"/>
      <c r="R810" s="1020"/>
      <c r="S810" s="1020"/>
      <c r="T810" s="1020"/>
      <c r="U810" s="1020"/>
      <c r="V810" s="1020"/>
      <c r="W810" s="1020"/>
      <c r="X810" s="1020"/>
      <c r="Y810" s="1020"/>
      <c r="Z810" s="1020"/>
      <c r="AA810" s="1020"/>
      <c r="AB810" s="1020"/>
      <c r="AC810" s="1020"/>
      <c r="AD810" s="1020"/>
      <c r="AE810" s="1020"/>
      <c r="AF810" s="1020"/>
      <c r="AG810" s="467"/>
      <c r="AH810" s="467"/>
    </row>
    <row r="811" ht="14.25" customHeight="1" spans="2:34">
      <c r="B811" s="1018"/>
      <c r="C811" s="1019"/>
      <c r="D811" s="1019"/>
      <c r="E811" s="1019"/>
      <c r="F811" s="1020"/>
      <c r="G811" s="1020"/>
      <c r="H811" s="1020"/>
      <c r="I811" s="1020"/>
      <c r="J811" s="1020"/>
      <c r="K811" s="1020"/>
      <c r="L811" s="1020"/>
      <c r="M811" s="1020"/>
      <c r="N811" s="1020"/>
      <c r="O811" s="1020"/>
      <c r="P811" s="1020"/>
      <c r="Q811" s="1020"/>
      <c r="R811" s="1020"/>
      <c r="S811" s="1020"/>
      <c r="T811" s="1020"/>
      <c r="U811" s="1020"/>
      <c r="V811" s="1020"/>
      <c r="W811" s="1020"/>
      <c r="X811" s="1020"/>
      <c r="Y811" s="1020"/>
      <c r="Z811" s="1020"/>
      <c r="AA811" s="1020"/>
      <c r="AB811" s="1020"/>
      <c r="AC811" s="1020"/>
      <c r="AD811" s="1020"/>
      <c r="AE811" s="1020"/>
      <c r="AF811" s="1020"/>
      <c r="AG811" s="467"/>
      <c r="AH811" s="467"/>
    </row>
    <row r="812" ht="14.25" customHeight="1" spans="2:34">
      <c r="B812" s="1018"/>
      <c r="C812" s="1019"/>
      <c r="D812" s="1019"/>
      <c r="E812" s="1019"/>
      <c r="F812" s="1020"/>
      <c r="G812" s="1020"/>
      <c r="H812" s="1020"/>
      <c r="I812" s="1020"/>
      <c r="J812" s="1020"/>
      <c r="K812" s="1020"/>
      <c r="L812" s="1020"/>
      <c r="M812" s="1020"/>
      <c r="N812" s="1020"/>
      <c r="O812" s="1020"/>
      <c r="P812" s="1020"/>
      <c r="Q812" s="1020"/>
      <c r="R812" s="1020"/>
      <c r="S812" s="1020"/>
      <c r="T812" s="1020"/>
      <c r="U812" s="1020"/>
      <c r="V812" s="1020"/>
      <c r="W812" s="1020"/>
      <c r="X812" s="1020"/>
      <c r="Y812" s="1020"/>
      <c r="Z812" s="1020"/>
      <c r="AA812" s="1020"/>
      <c r="AB812" s="1020"/>
      <c r="AC812" s="1020"/>
      <c r="AD812" s="1020"/>
      <c r="AE812" s="1020"/>
      <c r="AF812" s="1020"/>
      <c r="AG812" s="467"/>
      <c r="AH812" s="467"/>
    </row>
    <row r="813" ht="14.25" customHeight="1" spans="2:34">
      <c r="B813" s="1018"/>
      <c r="C813" s="1019"/>
      <c r="D813" s="1019"/>
      <c r="E813" s="1019"/>
      <c r="F813" s="1020"/>
      <c r="G813" s="1020"/>
      <c r="H813" s="1020"/>
      <c r="I813" s="1020"/>
      <c r="J813" s="1020"/>
      <c r="K813" s="1020"/>
      <c r="L813" s="1020"/>
      <c r="M813" s="1020"/>
      <c r="N813" s="1020"/>
      <c r="O813" s="1020"/>
      <c r="P813" s="1020"/>
      <c r="Q813" s="1020"/>
      <c r="R813" s="1020"/>
      <c r="S813" s="1020"/>
      <c r="T813" s="1020"/>
      <c r="U813" s="1020"/>
      <c r="V813" s="1020"/>
      <c r="W813" s="1020"/>
      <c r="X813" s="1020"/>
      <c r="Y813" s="1020"/>
      <c r="Z813" s="1020"/>
      <c r="AA813" s="1020"/>
      <c r="AB813" s="1020"/>
      <c r="AC813" s="1020"/>
      <c r="AD813" s="1020"/>
      <c r="AE813" s="1020"/>
      <c r="AF813" s="1020"/>
      <c r="AG813" s="467"/>
      <c r="AH813" s="467"/>
    </row>
    <row r="814" ht="14.25" customHeight="1" spans="2:34">
      <c r="B814" s="1018"/>
      <c r="C814" s="1019"/>
      <c r="D814" s="1019"/>
      <c r="E814" s="1019"/>
      <c r="F814" s="1020"/>
      <c r="G814" s="1020"/>
      <c r="H814" s="1020"/>
      <c r="I814" s="1020"/>
      <c r="J814" s="1020"/>
      <c r="K814" s="1020"/>
      <c r="L814" s="1020"/>
      <c r="M814" s="1020"/>
      <c r="N814" s="1020"/>
      <c r="O814" s="1020"/>
      <c r="P814" s="1020"/>
      <c r="Q814" s="1020"/>
      <c r="R814" s="1020"/>
      <c r="S814" s="1020"/>
      <c r="T814" s="1020"/>
      <c r="U814" s="1020"/>
      <c r="V814" s="1020"/>
      <c r="W814" s="1020"/>
      <c r="X814" s="1020"/>
      <c r="Y814" s="1020"/>
      <c r="Z814" s="1020"/>
      <c r="AA814" s="1020"/>
      <c r="AB814" s="1020"/>
      <c r="AC814" s="1020"/>
      <c r="AD814" s="1020"/>
      <c r="AE814" s="1020"/>
      <c r="AF814" s="1020"/>
      <c r="AG814" s="467"/>
      <c r="AH814" s="467"/>
    </row>
    <row r="815" ht="14.25" customHeight="1" spans="2:34">
      <c r="B815" s="1018"/>
      <c r="C815" s="1019"/>
      <c r="D815" s="1019"/>
      <c r="E815" s="1019"/>
      <c r="F815" s="1020"/>
      <c r="G815" s="1020"/>
      <c r="H815" s="1020"/>
      <c r="I815" s="1020"/>
      <c r="J815" s="1020"/>
      <c r="K815" s="1020"/>
      <c r="L815" s="1020"/>
      <c r="M815" s="1020"/>
      <c r="N815" s="1020"/>
      <c r="O815" s="1020"/>
      <c r="P815" s="1020"/>
      <c r="Q815" s="1020"/>
      <c r="R815" s="1020"/>
      <c r="S815" s="1020"/>
      <c r="T815" s="1020"/>
      <c r="U815" s="1020"/>
      <c r="V815" s="1020"/>
      <c r="W815" s="1020"/>
      <c r="X815" s="1020"/>
      <c r="Y815" s="1020"/>
      <c r="Z815" s="1020"/>
      <c r="AA815" s="1020"/>
      <c r="AB815" s="1020"/>
      <c r="AC815" s="1020"/>
      <c r="AD815" s="1020"/>
      <c r="AE815" s="1020"/>
      <c r="AF815" s="1020"/>
      <c r="AG815" s="467"/>
      <c r="AH815" s="467"/>
    </row>
    <row r="816" ht="14.25" customHeight="1" spans="2:34">
      <c r="B816" s="1018"/>
      <c r="C816" s="1019"/>
      <c r="D816" s="1019"/>
      <c r="E816" s="1019"/>
      <c r="F816" s="1020"/>
      <c r="G816" s="1020"/>
      <c r="H816" s="1020"/>
      <c r="I816" s="1020"/>
      <c r="J816" s="1020"/>
      <c r="K816" s="1020"/>
      <c r="L816" s="1020"/>
      <c r="M816" s="1020"/>
      <c r="N816" s="1020"/>
      <c r="O816" s="1020"/>
      <c r="P816" s="1020"/>
      <c r="Q816" s="1020"/>
      <c r="R816" s="1020"/>
      <c r="S816" s="1020"/>
      <c r="T816" s="1020"/>
      <c r="U816" s="1020"/>
      <c r="V816" s="1020"/>
      <c r="W816" s="1020"/>
      <c r="X816" s="1020"/>
      <c r="Y816" s="1020"/>
      <c r="Z816" s="1020"/>
      <c r="AA816" s="1020"/>
      <c r="AB816" s="1020"/>
      <c r="AC816" s="1020"/>
      <c r="AD816" s="1020"/>
      <c r="AE816" s="1020"/>
      <c r="AF816" s="1020"/>
      <c r="AG816" s="467"/>
      <c r="AH816" s="467"/>
    </row>
    <row r="817" ht="14.25" customHeight="1" spans="2:34">
      <c r="B817" s="1018"/>
      <c r="C817" s="1019"/>
      <c r="D817" s="1019"/>
      <c r="E817" s="1019"/>
      <c r="F817" s="1020"/>
      <c r="G817" s="1020"/>
      <c r="H817" s="1020"/>
      <c r="I817" s="1020"/>
      <c r="J817" s="1020"/>
      <c r="K817" s="1020"/>
      <c r="L817" s="1020"/>
      <c r="M817" s="1020"/>
      <c r="N817" s="1020"/>
      <c r="O817" s="1020"/>
      <c r="P817" s="1020"/>
      <c r="Q817" s="1020"/>
      <c r="R817" s="1020"/>
      <c r="S817" s="1020"/>
      <c r="T817" s="1020"/>
      <c r="U817" s="1020"/>
      <c r="V817" s="1020"/>
      <c r="W817" s="1020"/>
      <c r="X817" s="1020"/>
      <c r="Y817" s="1020"/>
      <c r="Z817" s="1020"/>
      <c r="AA817" s="1020"/>
      <c r="AB817" s="1020"/>
      <c r="AC817" s="1020"/>
      <c r="AD817" s="1020"/>
      <c r="AE817" s="1020"/>
      <c r="AF817" s="1020"/>
      <c r="AG817" s="467"/>
      <c r="AH817" s="467"/>
    </row>
    <row r="818" ht="14.25" customHeight="1" spans="2:34">
      <c r="B818" s="1018"/>
      <c r="C818" s="1019"/>
      <c r="D818" s="1019"/>
      <c r="E818" s="1019"/>
      <c r="F818" s="1020"/>
      <c r="G818" s="1020"/>
      <c r="H818" s="1020"/>
      <c r="I818" s="1020"/>
      <c r="J818" s="1020"/>
      <c r="K818" s="1020"/>
      <c r="L818" s="1020"/>
      <c r="M818" s="1020"/>
      <c r="N818" s="1020"/>
      <c r="O818" s="1020"/>
      <c r="P818" s="1020"/>
      <c r="Q818" s="1020"/>
      <c r="R818" s="1020"/>
      <c r="S818" s="1020"/>
      <c r="T818" s="1020"/>
      <c r="U818" s="1020"/>
      <c r="V818" s="1020"/>
      <c r="W818" s="1020"/>
      <c r="X818" s="1020"/>
      <c r="Y818" s="1020"/>
      <c r="Z818" s="1020"/>
      <c r="AA818" s="1020"/>
      <c r="AB818" s="1020"/>
      <c r="AC818" s="1020"/>
      <c r="AD818" s="1020"/>
      <c r="AE818" s="1020"/>
      <c r="AF818" s="1020"/>
      <c r="AG818" s="467"/>
      <c r="AH818" s="467"/>
    </row>
    <row r="819" ht="14.25" customHeight="1" spans="2:34">
      <c r="B819" s="1018"/>
      <c r="C819" s="1019"/>
      <c r="D819" s="1019"/>
      <c r="E819" s="1019"/>
      <c r="F819" s="1020"/>
      <c r="G819" s="1020"/>
      <c r="H819" s="1020"/>
      <c r="I819" s="1020"/>
      <c r="J819" s="1020"/>
      <c r="K819" s="1020"/>
      <c r="L819" s="1020"/>
      <c r="M819" s="1020"/>
      <c r="N819" s="1020"/>
      <c r="O819" s="1020"/>
      <c r="P819" s="1020"/>
      <c r="Q819" s="1020"/>
      <c r="R819" s="1020"/>
      <c r="S819" s="1020"/>
      <c r="T819" s="1020"/>
      <c r="U819" s="1020"/>
      <c r="V819" s="1020"/>
      <c r="W819" s="1020"/>
      <c r="X819" s="1020"/>
      <c r="Y819" s="1020"/>
      <c r="Z819" s="1020"/>
      <c r="AA819" s="1020"/>
      <c r="AB819" s="1020"/>
      <c r="AC819" s="1020"/>
      <c r="AD819" s="1020"/>
      <c r="AE819" s="1020"/>
      <c r="AF819" s="1020"/>
      <c r="AG819" s="467"/>
      <c r="AH819" s="467"/>
    </row>
    <row r="820" ht="14.25" customHeight="1" spans="2:34">
      <c r="B820" s="1018"/>
      <c r="C820" s="1019"/>
      <c r="D820" s="1019"/>
      <c r="E820" s="1019"/>
      <c r="F820" s="1020"/>
      <c r="G820" s="1020"/>
      <c r="H820" s="1020"/>
      <c r="I820" s="1020"/>
      <c r="J820" s="1020"/>
      <c r="K820" s="1020"/>
      <c r="L820" s="1020"/>
      <c r="M820" s="1020"/>
      <c r="N820" s="1020"/>
      <c r="O820" s="1020"/>
      <c r="P820" s="1020"/>
      <c r="Q820" s="1020"/>
      <c r="R820" s="1020"/>
      <c r="S820" s="1020"/>
      <c r="T820" s="1020"/>
      <c r="U820" s="1020"/>
      <c r="V820" s="1020"/>
      <c r="W820" s="1020"/>
      <c r="X820" s="1020"/>
      <c r="Y820" s="1020"/>
      <c r="Z820" s="1020"/>
      <c r="AA820" s="1020"/>
      <c r="AB820" s="1020"/>
      <c r="AC820" s="1020"/>
      <c r="AD820" s="1020"/>
      <c r="AE820" s="1020"/>
      <c r="AF820" s="1020"/>
      <c r="AG820" s="467"/>
      <c r="AH820" s="467"/>
    </row>
    <row r="821" ht="14.25" customHeight="1" spans="2:34">
      <c r="B821" s="1018"/>
      <c r="C821" s="1019"/>
      <c r="D821" s="1019"/>
      <c r="E821" s="1019"/>
      <c r="F821" s="1020"/>
      <c r="G821" s="1020"/>
      <c r="H821" s="1020"/>
      <c r="I821" s="1020"/>
      <c r="J821" s="1020"/>
      <c r="K821" s="1020"/>
      <c r="L821" s="1020"/>
      <c r="M821" s="1020"/>
      <c r="N821" s="1020"/>
      <c r="O821" s="1020"/>
      <c r="P821" s="1020"/>
      <c r="Q821" s="1020"/>
      <c r="R821" s="1020"/>
      <c r="S821" s="1020"/>
      <c r="T821" s="1020"/>
      <c r="U821" s="1020"/>
      <c r="V821" s="1020"/>
      <c r="W821" s="1020"/>
      <c r="X821" s="1020"/>
      <c r="Y821" s="1020"/>
      <c r="Z821" s="1020"/>
      <c r="AA821" s="1020"/>
      <c r="AB821" s="1020"/>
      <c r="AC821" s="1020"/>
      <c r="AD821" s="1020"/>
      <c r="AE821" s="1020"/>
      <c r="AF821" s="1020"/>
      <c r="AG821" s="467"/>
      <c r="AH821" s="467"/>
    </row>
    <row r="822" ht="14.25" customHeight="1" spans="2:34">
      <c r="B822" s="1018"/>
      <c r="C822" s="1019"/>
      <c r="D822" s="1019"/>
      <c r="E822" s="1019"/>
      <c r="F822" s="1020"/>
      <c r="G822" s="1020"/>
      <c r="H822" s="1020"/>
      <c r="I822" s="1020"/>
      <c r="J822" s="1020"/>
      <c r="K822" s="1020"/>
      <c r="L822" s="1020"/>
      <c r="M822" s="1020"/>
      <c r="N822" s="1020"/>
      <c r="O822" s="1020"/>
      <c r="P822" s="1020"/>
      <c r="Q822" s="1020"/>
      <c r="R822" s="1020"/>
      <c r="S822" s="1020"/>
      <c r="T822" s="1020"/>
      <c r="U822" s="1020"/>
      <c r="V822" s="1020"/>
      <c r="W822" s="1020"/>
      <c r="X822" s="1020"/>
      <c r="Y822" s="1020"/>
      <c r="Z822" s="1020"/>
      <c r="AA822" s="1020"/>
      <c r="AB822" s="1020"/>
      <c r="AC822" s="1020"/>
      <c r="AD822" s="1020"/>
      <c r="AE822" s="1020"/>
      <c r="AF822" s="1020"/>
      <c r="AG822" s="467"/>
      <c r="AH822" s="467"/>
    </row>
    <row r="823" ht="14.25" customHeight="1" spans="2:34">
      <c r="B823" s="1018"/>
      <c r="C823" s="1019"/>
      <c r="D823" s="1019"/>
      <c r="E823" s="1019"/>
      <c r="F823" s="1020"/>
      <c r="G823" s="1020"/>
      <c r="H823" s="1020"/>
      <c r="I823" s="1020"/>
      <c r="J823" s="1020"/>
      <c r="K823" s="1020"/>
      <c r="L823" s="1020"/>
      <c r="M823" s="1020"/>
      <c r="N823" s="1020"/>
      <c r="O823" s="1020"/>
      <c r="P823" s="1020"/>
      <c r="Q823" s="1020"/>
      <c r="R823" s="1020"/>
      <c r="S823" s="1020"/>
      <c r="T823" s="1020"/>
      <c r="U823" s="1020"/>
      <c r="V823" s="1020"/>
      <c r="W823" s="1020"/>
      <c r="X823" s="1020"/>
      <c r="Y823" s="1020"/>
      <c r="Z823" s="1020"/>
      <c r="AA823" s="1020"/>
      <c r="AB823" s="1020"/>
      <c r="AC823" s="1020"/>
      <c r="AD823" s="1020"/>
      <c r="AE823" s="1020"/>
      <c r="AF823" s="1020"/>
      <c r="AG823" s="467"/>
      <c r="AH823" s="467"/>
    </row>
    <row r="824" ht="14.25" customHeight="1" spans="2:34">
      <c r="B824" s="1018"/>
      <c r="C824" s="1019"/>
      <c r="D824" s="1019"/>
      <c r="E824" s="1019"/>
      <c r="F824" s="1020"/>
      <c r="G824" s="1020"/>
      <c r="H824" s="1020"/>
      <c r="I824" s="1020"/>
      <c r="J824" s="1020"/>
      <c r="K824" s="1020"/>
      <c r="L824" s="1020"/>
      <c r="M824" s="1020"/>
      <c r="N824" s="1020"/>
      <c r="O824" s="1020"/>
      <c r="P824" s="1020"/>
      <c r="Q824" s="1020"/>
      <c r="R824" s="1020"/>
      <c r="S824" s="1020"/>
      <c r="T824" s="1020"/>
      <c r="U824" s="1020"/>
      <c r="V824" s="1020"/>
      <c r="W824" s="1020"/>
      <c r="X824" s="1020"/>
      <c r="Y824" s="1020"/>
      <c r="Z824" s="1020"/>
      <c r="AA824" s="1020"/>
      <c r="AB824" s="1020"/>
      <c r="AC824" s="1020"/>
      <c r="AD824" s="1020"/>
      <c r="AE824" s="1020"/>
      <c r="AF824" s="1020"/>
      <c r="AG824" s="467"/>
      <c r="AH824" s="467"/>
    </row>
    <row r="825" ht="14.25" customHeight="1" spans="2:34">
      <c r="B825" s="1018"/>
      <c r="C825" s="1019"/>
      <c r="D825" s="1019"/>
      <c r="E825" s="1019"/>
      <c r="F825" s="1020"/>
      <c r="G825" s="1020"/>
      <c r="H825" s="1020"/>
      <c r="I825" s="1020"/>
      <c r="J825" s="1020"/>
      <c r="K825" s="1020"/>
      <c r="L825" s="1020"/>
      <c r="M825" s="1020"/>
      <c r="N825" s="1020"/>
      <c r="O825" s="1020"/>
      <c r="P825" s="1020"/>
      <c r="Q825" s="1020"/>
      <c r="R825" s="1020"/>
      <c r="S825" s="1020"/>
      <c r="T825" s="1020"/>
      <c r="U825" s="1020"/>
      <c r="V825" s="1020"/>
      <c r="W825" s="1020"/>
      <c r="X825" s="1020"/>
      <c r="Y825" s="1020"/>
      <c r="Z825" s="1020"/>
      <c r="AA825" s="1020"/>
      <c r="AB825" s="1020"/>
      <c r="AC825" s="1020"/>
      <c r="AD825" s="1020"/>
      <c r="AE825" s="1020"/>
      <c r="AF825" s="1020"/>
      <c r="AG825" s="467"/>
      <c r="AH825" s="467"/>
    </row>
    <row r="826" ht="14.25" customHeight="1" spans="2:34">
      <c r="B826" s="1018"/>
      <c r="C826" s="1019"/>
      <c r="D826" s="1019"/>
      <c r="E826" s="1019"/>
      <c r="F826" s="1020"/>
      <c r="G826" s="1020"/>
      <c r="H826" s="1020"/>
      <c r="I826" s="1020"/>
      <c r="J826" s="1020"/>
      <c r="K826" s="1020"/>
      <c r="L826" s="1020"/>
      <c r="M826" s="1020"/>
      <c r="N826" s="1020"/>
      <c r="O826" s="1020"/>
      <c r="P826" s="1020"/>
      <c r="Q826" s="1020"/>
      <c r="R826" s="1020"/>
      <c r="S826" s="1020"/>
      <c r="T826" s="1020"/>
      <c r="U826" s="1020"/>
      <c r="V826" s="1020"/>
      <c r="W826" s="1020"/>
      <c r="X826" s="1020"/>
      <c r="Y826" s="1020"/>
      <c r="Z826" s="1020"/>
      <c r="AA826" s="1020"/>
      <c r="AB826" s="1020"/>
      <c r="AC826" s="1020"/>
      <c r="AD826" s="1020"/>
      <c r="AE826" s="1020"/>
      <c r="AF826" s="1020"/>
      <c r="AG826" s="467"/>
      <c r="AH826" s="467"/>
    </row>
    <row r="827" ht="14.25" customHeight="1" spans="2:34">
      <c r="B827" s="1018"/>
      <c r="C827" s="1019"/>
      <c r="D827" s="1019"/>
      <c r="E827" s="1019"/>
      <c r="F827" s="1020"/>
      <c r="G827" s="1020"/>
      <c r="H827" s="1020"/>
      <c r="I827" s="1020"/>
      <c r="J827" s="1020"/>
      <c r="K827" s="1020"/>
      <c r="L827" s="1020"/>
      <c r="M827" s="1020"/>
      <c r="N827" s="1020"/>
      <c r="O827" s="1020"/>
      <c r="P827" s="1020"/>
      <c r="Q827" s="1020"/>
      <c r="R827" s="1020"/>
      <c r="S827" s="1020"/>
      <c r="T827" s="1020"/>
      <c r="U827" s="1020"/>
      <c r="V827" s="1020"/>
      <c r="W827" s="1020"/>
      <c r="X827" s="1020"/>
      <c r="Y827" s="1020"/>
      <c r="Z827" s="1020"/>
      <c r="AA827" s="1020"/>
      <c r="AB827" s="1020"/>
      <c r="AC827" s="1020"/>
      <c r="AD827" s="1020"/>
      <c r="AE827" s="1020"/>
      <c r="AF827" s="1020"/>
      <c r="AG827" s="467"/>
      <c r="AH827" s="467"/>
    </row>
    <row r="828" ht="14.25" customHeight="1" spans="2:34">
      <c r="B828" s="1018"/>
      <c r="C828" s="1019"/>
      <c r="D828" s="1019"/>
      <c r="E828" s="1019"/>
      <c r="F828" s="1020"/>
      <c r="G828" s="1020"/>
      <c r="H828" s="1020"/>
      <c r="I828" s="1020"/>
      <c r="J828" s="1020"/>
      <c r="K828" s="1020"/>
      <c r="L828" s="1020"/>
      <c r="M828" s="1020"/>
      <c r="N828" s="1020"/>
      <c r="O828" s="1020"/>
      <c r="P828" s="1020"/>
      <c r="Q828" s="1020"/>
      <c r="R828" s="1020"/>
      <c r="S828" s="1020"/>
      <c r="T828" s="1020"/>
      <c r="U828" s="1020"/>
      <c r="V828" s="1020"/>
      <c r="W828" s="1020"/>
      <c r="X828" s="1020"/>
      <c r="Y828" s="1020"/>
      <c r="Z828" s="1020"/>
      <c r="AA828" s="1020"/>
      <c r="AB828" s="1020"/>
      <c r="AC828" s="1020"/>
      <c r="AD828" s="1020"/>
      <c r="AE828" s="1020"/>
      <c r="AF828" s="1020"/>
      <c r="AG828" s="467"/>
      <c r="AH828" s="467"/>
    </row>
    <row r="829" ht="14.25" customHeight="1" spans="2:34">
      <c r="B829" s="1018"/>
      <c r="C829" s="1019"/>
      <c r="D829" s="1019"/>
      <c r="E829" s="1019"/>
      <c r="F829" s="1020"/>
      <c r="G829" s="1020"/>
      <c r="H829" s="1020"/>
      <c r="I829" s="1020"/>
      <c r="J829" s="1020"/>
      <c r="K829" s="1020"/>
      <c r="L829" s="1020"/>
      <c r="M829" s="1020"/>
      <c r="N829" s="1020"/>
      <c r="O829" s="1020"/>
      <c r="P829" s="1020"/>
      <c r="Q829" s="1020"/>
      <c r="R829" s="1020"/>
      <c r="S829" s="1020"/>
      <c r="T829" s="1020"/>
      <c r="U829" s="1020"/>
      <c r="V829" s="1020"/>
      <c r="W829" s="1020"/>
      <c r="X829" s="1020"/>
      <c r="Y829" s="1020"/>
      <c r="Z829" s="1020"/>
      <c r="AA829" s="1020"/>
      <c r="AB829" s="1020"/>
      <c r="AC829" s="1020"/>
      <c r="AD829" s="1020"/>
      <c r="AE829" s="1020"/>
      <c r="AF829" s="1020"/>
      <c r="AG829" s="467"/>
      <c r="AH829" s="467"/>
    </row>
    <row r="830" ht="14.25" customHeight="1" spans="2:34">
      <c r="B830" s="1018"/>
      <c r="C830" s="1019"/>
      <c r="D830" s="1019"/>
      <c r="E830" s="1019"/>
      <c r="F830" s="1020"/>
      <c r="G830" s="1020"/>
      <c r="H830" s="1020"/>
      <c r="I830" s="1020"/>
      <c r="J830" s="1020"/>
      <c r="K830" s="1020"/>
      <c r="L830" s="1020"/>
      <c r="M830" s="1020"/>
      <c r="N830" s="1020"/>
      <c r="O830" s="1020"/>
      <c r="P830" s="1020"/>
      <c r="Q830" s="1020"/>
      <c r="R830" s="1020"/>
      <c r="S830" s="1020"/>
      <c r="T830" s="1020"/>
      <c r="U830" s="1020"/>
      <c r="V830" s="1020"/>
      <c r="W830" s="1020"/>
      <c r="X830" s="1020"/>
      <c r="Y830" s="1020"/>
      <c r="Z830" s="1020"/>
      <c r="AA830" s="1020"/>
      <c r="AB830" s="1020"/>
      <c r="AC830" s="1020"/>
      <c r="AD830" s="1020"/>
      <c r="AE830" s="1020"/>
      <c r="AF830" s="1020"/>
      <c r="AG830" s="467"/>
      <c r="AH830" s="467"/>
    </row>
    <row r="831" ht="14.25" customHeight="1" spans="2:34">
      <c r="B831" s="1018"/>
      <c r="C831" s="1019"/>
      <c r="D831" s="1019"/>
      <c r="E831" s="1019"/>
      <c r="F831" s="1020"/>
      <c r="G831" s="1020"/>
      <c r="H831" s="1020"/>
      <c r="I831" s="1020"/>
      <c r="J831" s="1020"/>
      <c r="K831" s="1020"/>
      <c r="L831" s="1020"/>
      <c r="M831" s="1020"/>
      <c r="N831" s="1020"/>
      <c r="O831" s="1020"/>
      <c r="P831" s="1020"/>
      <c r="Q831" s="1020"/>
      <c r="R831" s="1020"/>
      <c r="S831" s="1020"/>
      <c r="T831" s="1020"/>
      <c r="U831" s="1020"/>
      <c r="V831" s="1020"/>
      <c r="W831" s="1020"/>
      <c r="X831" s="1020"/>
      <c r="Y831" s="1020"/>
      <c r="Z831" s="1020"/>
      <c r="AA831" s="1020"/>
      <c r="AB831" s="1020"/>
      <c r="AC831" s="1020"/>
      <c r="AD831" s="1020"/>
      <c r="AE831" s="1020"/>
      <c r="AF831" s="1020"/>
      <c r="AG831" s="467"/>
      <c r="AH831" s="467"/>
    </row>
    <row r="832" ht="14.25" customHeight="1" spans="2:34">
      <c r="B832" s="1018"/>
      <c r="C832" s="1019"/>
      <c r="D832" s="1019"/>
      <c r="E832" s="1019"/>
      <c r="F832" s="1020"/>
      <c r="G832" s="1020"/>
      <c r="H832" s="1020"/>
      <c r="I832" s="1020"/>
      <c r="J832" s="1020"/>
      <c r="K832" s="1020"/>
      <c r="L832" s="1020"/>
      <c r="M832" s="1020"/>
      <c r="N832" s="1020"/>
      <c r="O832" s="1020"/>
      <c r="P832" s="1020"/>
      <c r="Q832" s="1020"/>
      <c r="R832" s="1020"/>
      <c r="S832" s="1020"/>
      <c r="T832" s="1020"/>
      <c r="U832" s="1020"/>
      <c r="V832" s="1020"/>
      <c r="W832" s="1020"/>
      <c r="X832" s="1020"/>
      <c r="Y832" s="1020"/>
      <c r="Z832" s="1020"/>
      <c r="AA832" s="1020"/>
      <c r="AB832" s="1020"/>
      <c r="AC832" s="1020"/>
      <c r="AD832" s="1020"/>
      <c r="AE832" s="1020"/>
      <c r="AF832" s="1020"/>
      <c r="AG832" s="467"/>
      <c r="AH832" s="467"/>
    </row>
    <row r="833" ht="14.25" customHeight="1" spans="2:34">
      <c r="B833" s="1018"/>
      <c r="C833" s="1019"/>
      <c r="D833" s="1019"/>
      <c r="E833" s="1019"/>
      <c r="F833" s="1020"/>
      <c r="G833" s="1020"/>
      <c r="H833" s="1020"/>
      <c r="I833" s="1020"/>
      <c r="J833" s="1020"/>
      <c r="K833" s="1020"/>
      <c r="L833" s="1020"/>
      <c r="M833" s="1020"/>
      <c r="N833" s="1020"/>
      <c r="O833" s="1020"/>
      <c r="P833" s="1020"/>
      <c r="Q833" s="1020"/>
      <c r="R833" s="1020"/>
      <c r="S833" s="1020"/>
      <c r="T833" s="1020"/>
      <c r="U833" s="1020"/>
      <c r="V833" s="1020"/>
      <c r="W833" s="1020"/>
      <c r="X833" s="1020"/>
      <c r="Y833" s="1020"/>
      <c r="Z833" s="1020"/>
      <c r="AA833" s="1020"/>
      <c r="AB833" s="1020"/>
      <c r="AC833" s="1020"/>
      <c r="AD833" s="1020"/>
      <c r="AE833" s="1020"/>
      <c r="AF833" s="1020"/>
      <c r="AG833" s="467"/>
      <c r="AH833" s="467"/>
    </row>
    <row r="834" ht="14.25" customHeight="1" spans="2:34">
      <c r="B834" s="1018"/>
      <c r="C834" s="1019"/>
      <c r="D834" s="1019"/>
      <c r="E834" s="1019"/>
      <c r="F834" s="1020"/>
      <c r="G834" s="1020"/>
      <c r="H834" s="1020"/>
      <c r="I834" s="1020"/>
      <c r="J834" s="1020"/>
      <c r="K834" s="1020"/>
      <c r="L834" s="1020"/>
      <c r="M834" s="1020"/>
      <c r="N834" s="1020"/>
      <c r="O834" s="1020"/>
      <c r="P834" s="1020"/>
      <c r="Q834" s="1020"/>
      <c r="R834" s="1020"/>
      <c r="S834" s="1020"/>
      <c r="T834" s="1020"/>
      <c r="U834" s="1020"/>
      <c r="V834" s="1020"/>
      <c r="W834" s="1020"/>
      <c r="X834" s="1020"/>
      <c r="Y834" s="1020"/>
      <c r="Z834" s="1020"/>
      <c r="AA834" s="1020"/>
      <c r="AB834" s="1020"/>
      <c r="AC834" s="1020"/>
      <c r="AD834" s="1020"/>
      <c r="AE834" s="1020"/>
      <c r="AF834" s="1020"/>
      <c r="AG834" s="467"/>
      <c r="AH834" s="467"/>
    </row>
    <row r="835" ht="14.25" customHeight="1" spans="2:34">
      <c r="B835" s="1018"/>
      <c r="C835" s="1019"/>
      <c r="D835" s="1019"/>
      <c r="E835" s="1019"/>
      <c r="F835" s="1020"/>
      <c r="G835" s="1020"/>
      <c r="H835" s="1020"/>
      <c r="I835" s="1020"/>
      <c r="J835" s="1020"/>
      <c r="K835" s="1020"/>
      <c r="L835" s="1020"/>
      <c r="M835" s="1020"/>
      <c r="N835" s="1020"/>
      <c r="O835" s="1020"/>
      <c r="P835" s="1020"/>
      <c r="Q835" s="1020"/>
      <c r="R835" s="1020"/>
      <c r="S835" s="1020"/>
      <c r="T835" s="1020"/>
      <c r="U835" s="1020"/>
      <c r="V835" s="1020"/>
      <c r="W835" s="1020"/>
      <c r="X835" s="1020"/>
      <c r="Y835" s="1020"/>
      <c r="Z835" s="1020"/>
      <c r="AA835" s="1020"/>
      <c r="AB835" s="1020"/>
      <c r="AC835" s="1020"/>
      <c r="AD835" s="1020"/>
      <c r="AE835" s="1020"/>
      <c r="AF835" s="1020"/>
      <c r="AG835" s="467"/>
      <c r="AH835" s="467"/>
    </row>
    <row r="836" ht="14.25" customHeight="1" spans="2:34">
      <c r="B836" s="1018"/>
      <c r="C836" s="1019"/>
      <c r="D836" s="1019"/>
      <c r="E836" s="1019"/>
      <c r="F836" s="1020"/>
      <c r="G836" s="1020"/>
      <c r="H836" s="1020"/>
      <c r="I836" s="1020"/>
      <c r="J836" s="1020"/>
      <c r="K836" s="1020"/>
      <c r="L836" s="1020"/>
      <c r="M836" s="1020"/>
      <c r="N836" s="1020"/>
      <c r="O836" s="1020"/>
      <c r="P836" s="1020"/>
      <c r="Q836" s="1020"/>
      <c r="R836" s="1020"/>
      <c r="S836" s="1020"/>
      <c r="T836" s="1020"/>
      <c r="U836" s="1020"/>
      <c r="V836" s="1020"/>
      <c r="W836" s="1020"/>
      <c r="X836" s="1020"/>
      <c r="Y836" s="1020"/>
      <c r="Z836" s="1020"/>
      <c r="AA836" s="1020"/>
      <c r="AB836" s="1020"/>
      <c r="AC836" s="1020"/>
      <c r="AD836" s="1020"/>
      <c r="AE836" s="1020"/>
      <c r="AF836" s="1020"/>
      <c r="AG836" s="467"/>
      <c r="AH836" s="467"/>
    </row>
    <row r="837" ht="14.25" customHeight="1" spans="2:34">
      <c r="B837" s="1018"/>
      <c r="C837" s="1019"/>
      <c r="D837" s="1019"/>
      <c r="E837" s="1019"/>
      <c r="F837" s="1020"/>
      <c r="G837" s="1020"/>
      <c r="H837" s="1020"/>
      <c r="I837" s="1020"/>
      <c r="J837" s="1020"/>
      <c r="K837" s="1020"/>
      <c r="L837" s="1020"/>
      <c r="M837" s="1020"/>
      <c r="N837" s="1020"/>
      <c r="O837" s="1020"/>
      <c r="P837" s="1020"/>
      <c r="Q837" s="1020"/>
      <c r="R837" s="1020"/>
      <c r="S837" s="1020"/>
      <c r="T837" s="1020"/>
      <c r="U837" s="1020"/>
      <c r="V837" s="1020"/>
      <c r="W837" s="1020"/>
      <c r="X837" s="1020"/>
      <c r="Y837" s="1020"/>
      <c r="Z837" s="1020"/>
      <c r="AA837" s="1020"/>
      <c r="AB837" s="1020"/>
      <c r="AC837" s="1020"/>
      <c r="AD837" s="1020"/>
      <c r="AE837" s="1020"/>
      <c r="AF837" s="1020"/>
      <c r="AG837" s="467"/>
      <c r="AH837" s="467"/>
    </row>
    <row r="838" ht="14.25" customHeight="1" spans="2:34">
      <c r="B838" s="1018"/>
      <c r="C838" s="1019"/>
      <c r="D838" s="1019"/>
      <c r="E838" s="1019"/>
      <c r="F838" s="1020"/>
      <c r="G838" s="1020"/>
      <c r="H838" s="1020"/>
      <c r="I838" s="1020"/>
      <c r="J838" s="1020"/>
      <c r="K838" s="1020"/>
      <c r="L838" s="1020"/>
      <c r="M838" s="1020"/>
      <c r="N838" s="1020"/>
      <c r="O838" s="1020"/>
      <c r="P838" s="1020"/>
      <c r="Q838" s="1020"/>
      <c r="R838" s="1020"/>
      <c r="S838" s="1020"/>
      <c r="T838" s="1020"/>
      <c r="U838" s="1020"/>
      <c r="V838" s="1020"/>
      <c r="W838" s="1020"/>
      <c r="X838" s="1020"/>
      <c r="Y838" s="1020"/>
      <c r="Z838" s="1020"/>
      <c r="AA838" s="1020"/>
      <c r="AB838" s="1020"/>
      <c r="AC838" s="1020"/>
      <c r="AD838" s="1020"/>
      <c r="AE838" s="1020"/>
      <c r="AF838" s="1020"/>
      <c r="AG838" s="467"/>
      <c r="AH838" s="467"/>
    </row>
    <row r="839" ht="14.25" customHeight="1" spans="2:34">
      <c r="B839" s="1018"/>
      <c r="C839" s="1019"/>
      <c r="D839" s="1019"/>
      <c r="E839" s="1019"/>
      <c r="F839" s="1020"/>
      <c r="G839" s="1020"/>
      <c r="H839" s="1020"/>
      <c r="I839" s="1020"/>
      <c r="J839" s="1020"/>
      <c r="K839" s="1020"/>
      <c r="L839" s="1020"/>
      <c r="M839" s="1020"/>
      <c r="N839" s="1020"/>
      <c r="O839" s="1020"/>
      <c r="P839" s="1020"/>
      <c r="Q839" s="1020"/>
      <c r="R839" s="1020"/>
      <c r="S839" s="1020"/>
      <c r="T839" s="1020"/>
      <c r="U839" s="1020"/>
      <c r="V839" s="1020"/>
      <c r="W839" s="1020"/>
      <c r="X839" s="1020"/>
      <c r="Y839" s="1020"/>
      <c r="Z839" s="1020"/>
      <c r="AA839" s="1020"/>
      <c r="AB839" s="1020"/>
      <c r="AC839" s="1020"/>
      <c r="AD839" s="1020"/>
      <c r="AE839" s="1020"/>
      <c r="AF839" s="1020"/>
      <c r="AG839" s="467"/>
      <c r="AH839" s="467"/>
    </row>
    <row r="840" ht="14.25" customHeight="1" spans="2:34">
      <c r="B840" s="1018"/>
      <c r="C840" s="1019"/>
      <c r="D840" s="1019"/>
      <c r="E840" s="1019"/>
      <c r="F840" s="1020"/>
      <c r="G840" s="1020"/>
      <c r="H840" s="1020"/>
      <c r="I840" s="1020"/>
      <c r="J840" s="1020"/>
      <c r="K840" s="1020"/>
      <c r="L840" s="1020"/>
      <c r="M840" s="1020"/>
      <c r="N840" s="1020"/>
      <c r="O840" s="1020"/>
      <c r="P840" s="1020"/>
      <c r="Q840" s="1020"/>
      <c r="R840" s="1020"/>
      <c r="S840" s="1020"/>
      <c r="T840" s="1020"/>
      <c r="U840" s="1020"/>
      <c r="V840" s="1020"/>
      <c r="W840" s="1020"/>
      <c r="X840" s="1020"/>
      <c r="Y840" s="1020"/>
      <c r="Z840" s="1020"/>
      <c r="AA840" s="1020"/>
      <c r="AB840" s="1020"/>
      <c r="AC840" s="1020"/>
      <c r="AD840" s="1020"/>
      <c r="AE840" s="1020"/>
      <c r="AF840" s="1020"/>
      <c r="AG840" s="467"/>
      <c r="AH840" s="467"/>
    </row>
    <row r="841" ht="14.25" customHeight="1" spans="2:34">
      <c r="B841" s="1018"/>
      <c r="C841" s="1019"/>
      <c r="D841" s="1019"/>
      <c r="E841" s="1019"/>
      <c r="F841" s="1020"/>
      <c r="G841" s="1020"/>
      <c r="H841" s="1020"/>
      <c r="I841" s="1020"/>
      <c r="J841" s="1020"/>
      <c r="K841" s="1020"/>
      <c r="L841" s="1020"/>
      <c r="M841" s="1020"/>
      <c r="N841" s="1020"/>
      <c r="O841" s="1020"/>
      <c r="P841" s="1020"/>
      <c r="Q841" s="1020"/>
      <c r="R841" s="1020"/>
      <c r="S841" s="1020"/>
      <c r="T841" s="1020"/>
      <c r="U841" s="1020"/>
      <c r="V841" s="1020"/>
      <c r="W841" s="1020"/>
      <c r="X841" s="1020"/>
      <c r="Y841" s="1020"/>
      <c r="Z841" s="1020"/>
      <c r="AA841" s="1020"/>
      <c r="AB841" s="1020"/>
      <c r="AC841" s="1020"/>
      <c r="AD841" s="1020"/>
      <c r="AE841" s="1020"/>
      <c r="AF841" s="1020"/>
      <c r="AG841" s="467"/>
      <c r="AH841" s="467"/>
    </row>
    <row r="842" ht="14.25" customHeight="1" spans="2:34">
      <c r="B842" s="1018"/>
      <c r="C842" s="1019"/>
      <c r="D842" s="1019"/>
      <c r="E842" s="1019"/>
      <c r="F842" s="1020"/>
      <c r="G842" s="1020"/>
      <c r="H842" s="1020"/>
      <c r="I842" s="1020"/>
      <c r="J842" s="1020"/>
      <c r="K842" s="1020"/>
      <c r="L842" s="1020"/>
      <c r="M842" s="1020"/>
      <c r="N842" s="1020"/>
      <c r="O842" s="1020"/>
      <c r="P842" s="1020"/>
      <c r="Q842" s="1020"/>
      <c r="R842" s="1020"/>
      <c r="S842" s="1020"/>
      <c r="T842" s="1020"/>
      <c r="U842" s="1020"/>
      <c r="V842" s="1020"/>
      <c r="W842" s="1020"/>
      <c r="X842" s="1020"/>
      <c r="Y842" s="1020"/>
      <c r="Z842" s="1020"/>
      <c r="AA842" s="1020"/>
      <c r="AB842" s="1020"/>
      <c r="AC842" s="1020"/>
      <c r="AD842" s="1020"/>
      <c r="AE842" s="1020"/>
      <c r="AF842" s="1020"/>
      <c r="AG842" s="467"/>
      <c r="AH842" s="467"/>
    </row>
    <row r="843" ht="14.25" customHeight="1" spans="2:34">
      <c r="B843" s="1018"/>
      <c r="C843" s="1019"/>
      <c r="D843" s="1019"/>
      <c r="E843" s="1019"/>
      <c r="F843" s="1020"/>
      <c r="G843" s="1020"/>
      <c r="H843" s="1020"/>
      <c r="I843" s="1020"/>
      <c r="J843" s="1020"/>
      <c r="K843" s="1020"/>
      <c r="L843" s="1020"/>
      <c r="M843" s="1020"/>
      <c r="N843" s="1020"/>
      <c r="O843" s="1020"/>
      <c r="P843" s="1020"/>
      <c r="Q843" s="1020"/>
      <c r="R843" s="1020"/>
      <c r="S843" s="1020"/>
      <c r="T843" s="1020"/>
      <c r="U843" s="1020"/>
      <c r="V843" s="1020"/>
      <c r="W843" s="1020"/>
      <c r="X843" s="1020"/>
      <c r="Y843" s="1020"/>
      <c r="Z843" s="1020"/>
      <c r="AA843" s="1020"/>
      <c r="AB843" s="1020"/>
      <c r="AC843" s="1020"/>
      <c r="AD843" s="1020"/>
      <c r="AE843" s="1020"/>
      <c r="AF843" s="1020"/>
      <c r="AG843" s="467"/>
      <c r="AH843" s="467"/>
    </row>
    <row r="844" ht="14.25" customHeight="1" spans="2:34">
      <c r="B844" s="1018"/>
      <c r="C844" s="1019"/>
      <c r="D844" s="1019"/>
      <c r="E844" s="1019"/>
      <c r="F844" s="1020"/>
      <c r="G844" s="1020"/>
      <c r="H844" s="1020"/>
      <c r="I844" s="1020"/>
      <c r="J844" s="1020"/>
      <c r="K844" s="1020"/>
      <c r="L844" s="1020"/>
      <c r="M844" s="1020"/>
      <c r="N844" s="1020"/>
      <c r="O844" s="1020"/>
      <c r="P844" s="1020"/>
      <c r="Q844" s="1020"/>
      <c r="R844" s="1020"/>
      <c r="S844" s="1020"/>
      <c r="T844" s="1020"/>
      <c r="U844" s="1020"/>
      <c r="V844" s="1020"/>
      <c r="W844" s="1020"/>
      <c r="X844" s="1020"/>
      <c r="Y844" s="1020"/>
      <c r="Z844" s="1020"/>
      <c r="AA844" s="1020"/>
      <c r="AB844" s="1020"/>
      <c r="AC844" s="1020"/>
      <c r="AD844" s="1020"/>
      <c r="AE844" s="1020"/>
      <c r="AF844" s="1020"/>
      <c r="AG844" s="467"/>
      <c r="AH844" s="467"/>
    </row>
    <row r="845" ht="14.25" customHeight="1" spans="2:34">
      <c r="B845" s="1018"/>
      <c r="C845" s="1019"/>
      <c r="D845" s="1019"/>
      <c r="E845" s="1019"/>
      <c r="F845" s="1020"/>
      <c r="G845" s="1020"/>
      <c r="H845" s="1020"/>
      <c r="I845" s="1020"/>
      <c r="J845" s="1020"/>
      <c r="K845" s="1020"/>
      <c r="L845" s="1020"/>
      <c r="M845" s="1020"/>
      <c r="N845" s="1020"/>
      <c r="O845" s="1020"/>
      <c r="P845" s="1020"/>
      <c r="Q845" s="1020"/>
      <c r="R845" s="1020"/>
      <c r="S845" s="1020"/>
      <c r="T845" s="1020"/>
      <c r="U845" s="1020"/>
      <c r="V845" s="1020"/>
      <c r="W845" s="1020"/>
      <c r="X845" s="1020"/>
      <c r="Y845" s="1020"/>
      <c 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"846" ht="14.25" customHeight="1" spans="2:34">
      <c r="B846" s="1018"/>
      <c r="C846" s="1019"/>
      <c r="D846" s="1019"/>
      <c r="E846" s="1019"/>
      <c r="F846" s="1020"/>
      <c r="G846" s="1020"/>
      <c r="H846" s="1020"/>
      <c r="I846" s="1020"/>
      <c r="J846" s="1020"/>
      <c r="K846" s="1020"/>
      <c r="L846" s="1020"/>
      <c r="M846" s="1020"/>
      <c r="N846" s="1020"/>
      <c r="O846" s="1020"/>
      <c r="P846" s="1020"/>
      <c r="Q846" s="1020"/>
      <c r="R846" s="1020"/>
      <c r="S846" s="1020"/>
      <c r="T846" s="1020"/>
      <c r="U846" s="1020"/>
      <c r="V846" s="1020"/>
      <c r="W846" s="1020"/>
      <c r="X846" s="1020"/>
      <c r="Y846" s="1020"/>
      <c r="Z846" s="1020"/>
      <c r="AA846" s="1020"/>
      <c r="AB846" s="1020"/>
      <c r="AC846" s="1020"/>
      <c r="AD846" s="1020"/>
      <c r="AE846" s="1020"/>
      <c r="AF846" s="1020"/>
      <c r="AG846" s="467"/>
      <c r="AH846" s="467"/>
    </row>
    <row r="847" ht="14.25" customHeight="1" spans="2:34">
      <c r="B847" s="1018"/>
      <c r="C847" s="1019"/>
      <c r="D847" s="1019"/>
      <c r="E847" s="1019"/>
      <c r="F847" s="1020"/>
      <c r="G847" s="1020"/>
      <c r="H847" s="1020"/>
      <c r="I847" s="1020"/>
      <c r="J847" s="1020"/>
      <c r="K847" s="1020"/>
      <c r="L847" s="1020"/>
      <c r="M847" s="1020"/>
      <c r="N847" s="1020"/>
      <c r="O847" s="1020"/>
      <c r="P847" s="1020"/>
      <c r="Q847" s="1020"/>
      <c r="R847" s="1020"/>
      <c r="S847" s="1020"/>
      <c r="T847" s="1020"/>
      <c r="U847" s="1020"/>
      <c r="V847" s="1020"/>
      <c r="W847" s="1020"/>
      <c r="X847" s="1020"/>
      <c r="Y847" s="1020"/>
      <c r="Z847" s="1020"/>
      <c r="AA847" s="1020"/>
      <c r="AB847" s="1020"/>
      <c r="AC847" s="1020"/>
      <c r="AD847" s="1020"/>
      <c r="AE847" s="1020"/>
      <c r="AF847" s="1020"/>
      <c r="AG847" s="467"/>
      <c r="AH847" s="467"/>
    </row>
    <row r="848" ht="14.25" customHeight="1" spans="2:34">
      <c r="B848" s="1018"/>
      <c r="C848" s="1019"/>
      <c r="D848" s="1019"/>
      <c r="E848" s="1019"/>
      <c r="F848" s="1020"/>
      <c r="G848" s="1020"/>
      <c r="H848" s="1020"/>
      <c r="I848" s="1020"/>
      <c r="J848" s="1020"/>
      <c r="K848" s="1020"/>
      <c r="L848" s="1020"/>
      <c r="M848" s="1020"/>
      <c r="N848" s="1020"/>
      <c r="O848" s="1020"/>
      <c r="P848" s="1020"/>
      <c r="Q848" s="1020"/>
      <c r="R848" s="1020"/>
      <c r="S848" s="1020"/>
      <c r="T848" s="1020"/>
      <c r="U848" s="1020"/>
      <c r="V848" s="1020"/>
      <c r="W848" s="1020"/>
      <c r="X848" s="1020"/>
      <c r="Y848" s="1020"/>
      <c r="Z848" s="1020"/>
      <c r="AA848" s="1020"/>
      <c r="AB848" s="1020"/>
      <c r="AC848" s="1020"/>
      <c r="AD848" s="1020"/>
      <c r="AE848" s="1020"/>
      <c r="AF848" s="1020"/>
      <c r="AG848" s="467"/>
      <c r="AH848" s="467"/>
    </row>
    <row r="849" ht="14.25" customHeight="1" spans="2:34">
      <c r="B849" s="1018"/>
      <c r="C849" s="1019"/>
      <c r="D849" s="1019"/>
      <c r="E849" s="1019"/>
      <c r="F849" s="1020"/>
      <c r="G849" s="1020"/>
      <c r="H849" s="1020"/>
      <c r="I849" s="1020"/>
      <c r="J849" s="1020"/>
      <c r="K849" s="1020"/>
      <c r="L849" s="1020"/>
      <c r="M849" s="1020"/>
      <c r="N849" s="1020"/>
      <c r="O849" s="1020"/>
      <c r="P849" s="1020"/>
      <c r="Q849" s="1020"/>
      <c r="R849" s="1020"/>
      <c r="S849" s="1020"/>
      <c r="T849" s="1020"/>
      <c r="U849" s="1020"/>
      <c r="V849" s="1020"/>
      <c r="W849" s="1020"/>
      <c r="X849" s="1020"/>
      <c r="Y849" s="1020"/>
      <c r="Z849" s="1020"/>
      <c r="AA849" s="1020"/>
      <c r="AB849" s="1020"/>
      <c r="AC849" s="1020"/>
      <c r="AD849" s="1020"/>
      <c r="AE849" s="1020"/>
      <c r="AF849" s="1020"/>
      <c r="AG849" s="467"/>
      <c r="AH849" s="467"/>
    </row>
    <row r="850" ht="14.25" customHeight="1" spans="2:34">
      <c r="B850" s="1018"/>
      <c r="C850" s="1019"/>
      <c r="D850" s="1019"/>
      <c r="E850" s="1019"/>
      <c r="F850" s="1020"/>
      <c r="G850" s="1020"/>
      <c r="H850" s="1020"/>
      <c r="I850" s="1020"/>
      <c r="J850" s="1020"/>
      <c r="K850" s="1020"/>
      <c r="L850" s="1020"/>
      <c r="M850" s="1020"/>
      <c r="N850" s="1020"/>
      <c r="O850" s="1020"/>
      <c r="P850" s="1020"/>
      <c r="Q850" s="1020"/>
      <c r="R850" s="1020"/>
      <c r="S850" s="1020"/>
      <c r="T850" s="1020"/>
      <c r="U850" s="1020"/>
      <c r="V850" s="1020"/>
      <c r="W850" s="1020"/>
      <c r="X850" s="1020"/>
      <c r="Y850" s="1020"/>
      <c r="Z850" s="1020"/>
      <c r="AA850" s="1020"/>
      <c r="AB850" s="1020"/>
      <c r="AC850" s="1020"/>
      <c r="AD850" s="1020"/>
      <c r="AE850" s="1020"/>
      <c r="AF850" s="1020"/>
      <c r="AG850" s="467"/>
      <c r="AH850" s="467"/>
    </row>
    <row r="851" ht="14.25" customHeight="1" spans="2:34">
      <c r="B851" s="1018"/>
      <c r="C851" s="1019"/>
      <c r="D851" s="1019"/>
      <c r="E851" s="1019"/>
      <c r="F851" s="1020"/>
      <c r="G851" s="1020"/>
      <c r="H851" s="1020"/>
      <c r="I851" s="1020"/>
      <c r="J851" s="1020"/>
      <c r="K851" s="1020"/>
      <c r="L851" s="1020"/>
      <c r="M851" s="1020"/>
      <c r="N851" s="1020"/>
      <c r="O851" s="1020"/>
      <c r="P851" s="1020"/>
      <c r="Q851" s="1020"/>
      <c r="R851" s="1020"/>
      <c r="S851" s="1020"/>
      <c r="T851" s="1020"/>
      <c r="U851" s="1020"/>
      <c r="V851" s="1020"/>
      <c r="W851" s="1020"/>
      <c r="X851" s="1020"/>
      <c r="Y851" s="1020"/>
      <c r="Z851" s="1020"/>
      <c r="AA851" s="1020"/>
      <c r="AB851" s="1020"/>
      <c r="AC851" s="1020"/>
      <c r="AD851" s="1020"/>
      <c r="AE851" s="1020"/>
      <c r="AF851" s="1020"/>
      <c r="AG851" s="467"/>
      <c r="AH851" s="467"/>
    </row>
    <row r="852" ht="14.25" customHeight="1" spans="2:34">
      <c r="B852" s="1018"/>
      <c r="C852" s="1019"/>
      <c r="D852" s="1019"/>
      <c r="E852" s="1019"/>
      <c r="F852" s="1020"/>
      <c r="G852" s="1020"/>
      <c r="H852" s="1020"/>
      <c r="I852" s="1020"/>
      <c r="J852" s="1020"/>
      <c r="K852" s="1020"/>
      <c r="L852" s="1020"/>
      <c r="M852" s="1020"/>
      <c r="N852" s="1020"/>
      <c r="O852" s="1020"/>
      <c r="P852" s="1020"/>
      <c r="Q852" s="1020"/>
      <c r="R852" s="1020"/>
      <c r="S852" s="1020"/>
      <c r="T852" s="1020"/>
      <c r="U852" s="1020"/>
      <c r="V852" s="1020"/>
      <c r="W852" s="1020"/>
      <c r="X852" s="1020"/>
      <c r="Y852" s="1020"/>
      <c r="Z852" s="1020"/>
      <c r="AA852" s="1020"/>
      <c r="AB852" s="1020"/>
      <c r="AC852" s="1020"/>
      <c r="AD852" s="1020"/>
      <c r="AE852" s="1020"/>
      <c r="AF852" s="1020"/>
      <c r="AG852" s="467"/>
      <c r="AH852" s="467"/>
    </row>
    <row r="853" ht="14.25" customHeight="1" spans="2:34">
      <c r="B853" s="1018"/>
      <c r="C853" s="1019"/>
      <c r="D853" s="1019"/>
      <c r="E853" s="1019"/>
      <c r="F853" s="1020"/>
      <c r="G853" s="1020"/>
      <c r="H853" s="1020"/>
      <c r="I853" s="1020"/>
      <c r="J853" s="1020"/>
      <c r="K853" s="1020"/>
      <c r="L853" s="1020"/>
      <c r="M853" s="1020"/>
      <c r="N853" s="1020"/>
      <c r="O853" s="1020"/>
      <c r="P853" s="1020"/>
      <c r="Q853" s="1020"/>
      <c r="R853" s="1020"/>
      <c r="S853" s="1020"/>
      <c r="T853" s="1020"/>
      <c r="U853" s="1020"/>
      <c r="V853" s="1020"/>
      <c r="W853" s="1020"/>
      <c r="X853" s="1020"/>
      <c r="Y853" s="1020"/>
      <c r="Z853" s="1020"/>
      <c r="AA853" s="1020"/>
      <c r="AB853" s="1020"/>
      <c r="AC853" s="1020"/>
      <c r="AD853" s="1020"/>
      <c r="AE853" s="1020"/>
      <c r="AF853" s="1020"/>
      <c r="AG853" s="467"/>
      <c r="AH853" s="467"/>
    </row>
    <row r="854" ht="14.25" customHeight="1" spans="2:34">
      <c r="B854" s="1018"/>
      <c r="C854" s="1019"/>
      <c r="D854" s="1019"/>
      <c r="E854" s="1019"/>
      <c r="F854" s="1020"/>
      <c r="G854" s="1020"/>
      <c r="H854" s="1020"/>
      <c r="I854" s="1020"/>
      <c r="J854" s="1020"/>
      <c r="K854" s="1020"/>
      <c r="L854" s="1020"/>
      <c r="M854" s="1020"/>
      <c r="N854" s="1020"/>
      <c r="O854" s="1020"/>
      <c r="P854" s="1020"/>
      <c r="Q854" s="1020"/>
      <c r="R854" s="1020"/>
      <c r="S854" s="1020"/>
      <c r="T854" s="1020"/>
      <c r="U854" s="1020"/>
      <c r="V854" s="1020"/>
      <c r="W854" s="1020"/>
      <c r="X854" s="1020"/>
      <c r="Y854" s="1020"/>
      <c r="Z854" s="1020"/>
      <c r="AA854" s="1020"/>
      <c r="AB854" s="1020"/>
      <c r="AC854" s="1020"/>
      <c r="AD854" s="1020"/>
      <c r="AE854" s="1020"/>
      <c r="AF854" s="1020"/>
      <c r="AG854" s="467"/>
      <c r="AH854" s="467"/>
    </row>
    <row r="855" ht="14.25" customHeight="1" spans="2:34">
      <c r="B855" s="1018"/>
      <c r="C855" s="1019"/>
      <c r="D855" s="1019"/>
      <c r="E855" s="1019"/>
      <c r="F855" s="1020"/>
      <c r="G855" s="1020"/>
      <c r="H855" s="1020"/>
      <c r="I855" s="1020"/>
      <c r="J855" s="1020"/>
      <c r="K855" s="1020"/>
      <c r="L855" s="1020"/>
      <c r="M855" s="1020"/>
      <c r="N855" s="1020"/>
      <c r="O855" s="1020"/>
      <c r="P855" s="1020"/>
      <c r="Q855" s="1020"/>
      <c r="R855" s="1020"/>
      <c r="S855" s="1020"/>
      <c r="T855" s="1020"/>
      <c r="U855" s="1020"/>
      <c r="V855" s="1020"/>
      <c r="W855" s="1020"/>
      <c r="X855" s="1020"/>
      <c r="Y855" s="1020"/>
      <c r="Z855" s="1020"/>
      <c r="AA855" s="1020"/>
      <c r="AB855" s="1020"/>
      <c r="AC855" s="1020"/>
      <c r="AD855" s="1020"/>
      <c r="AE855" s="1020"/>
      <c r="AF855" s="1020"/>
      <c r="AG855" s="467"/>
      <c r="AH855" s="467"/>
    </row>
    <row r="856" ht="14.25" customHeight="1" spans="2:34">
      <c r="B856" s="1018"/>
      <c r="C856" s="1019"/>
      <c r="D856" s="1019"/>
      <c r="E856" s="1019"/>
      <c r="F856" s="1020"/>
      <c r="G856" s="1020"/>
      <c r="H856" s="1020"/>
      <c r="I856" s="1020"/>
      <c r="J856" s="1020"/>
      <c r="K856" s="1020"/>
      <c r="L856" s="1020"/>
      <c r="M856" s="1020"/>
      <c r="N856" s="1020"/>
      <c r="O856" s="1020"/>
      <c r="P856" s="1020"/>
      <c r="Q856" s="1020"/>
      <c r="R856" s="1020"/>
      <c r="S856" s="1020"/>
      <c r="T856" s="1020"/>
      <c r="U856" s="1020"/>
      <c r="V856" s="1020"/>
      <c r="W856" s="1020"/>
      <c r="X856" s="1020"/>
      <c r="Y856" s="1020"/>
      <c r="Z856" s="1020"/>
      <c r="AA856" s="1020"/>
      <c r="AB856" s="1020"/>
      <c r="AC856" s="1020"/>
      <c r="AD856" s="1020"/>
      <c r="AE856" s="1020"/>
      <c r="AF856" s="1020"/>
      <c r="AG856" s="467"/>
      <c r="AH856" s="467"/>
    </row>
    <row r="857" ht="14.25" customHeight="1" spans="2:34">
      <c r="B857" s="1018"/>
      <c r="C857" s="1019"/>
      <c r="D857" s="1019"/>
      <c r="E857" s="1019"/>
      <c r="F857" s="1020"/>
      <c r="G857" s="1020"/>
      <c r="H857" s="1020"/>
      <c r="I857" s="1020"/>
      <c r="J857" s="1020"/>
      <c r="K857" s="1020"/>
      <c r="L857" s="1020"/>
      <c r="M857" s="1020"/>
      <c r="N857" s="1020"/>
      <c r="O857" s="1020"/>
      <c r="P857" s="1020"/>
      <c r="Q857" s="1020"/>
      <c r="R857" s="1020"/>
      <c r="S857" s="1020"/>
      <c r="T857" s="1020"/>
      <c r="U857" s="1020"/>
      <c r="V857" s="1020"/>
      <c r="W857" s="1020"/>
      <c r="X857" s="1020"/>
      <c r="Y857" s="1020"/>
      <c r="Z857" s="1020"/>
      <c r="AA857" s="1020"/>
      <c r="AB857" s="1020"/>
      <c r="AC857" s="1020"/>
      <c r="AD857" s="1020"/>
      <c r="AE857" s="1020"/>
      <c r="AF857" s="1020"/>
      <c r="AG857" s="467"/>
      <c r="AH857" s="467"/>
    </row>
    <row r="858" ht="14.25" customHeight="1" spans="2:34">
      <c r="B858" s="1018"/>
      <c r="C858" s="1019"/>
      <c r="D858" s="1019"/>
      <c r="E858" s="1019"/>
      <c r="F858" s="1020"/>
      <c r="G858" s="1020"/>
      <c r="H858" s="1020"/>
      <c r="I858" s="1020"/>
      <c r="J858" s="1020"/>
      <c r="K858" s="1020"/>
      <c r="L858" s="1020"/>
      <c r="M858" s="1020"/>
      <c r="N858" s="1020"/>
      <c r="O858" s="1020"/>
      <c r="P858" s="1020"/>
      <c r="Q858" s="1020"/>
      <c r="R858" s="1020"/>
      <c r="S858" s="1020"/>
      <c r="T858" s="1020"/>
      <c r="U858" s="1020"/>
      <c r="V858" s="1020"/>
      <c r="W858" s="1020"/>
      <c r="X858" s="1020"/>
      <c r="Y858" s="1020"/>
      <c r="Z858" s="1020"/>
      <c r="AA858" s="1020"/>
      <c r="AB858" s="1020"/>
      <c r="AC858" s="1020"/>
      <c r="AD858" s="1020"/>
      <c r="AE858" s="1020"/>
      <c r="AF858" s="1020"/>
      <c r="AG858" s="467"/>
      <c r="AH858" s="467"/>
    </row>
    <row r="859" ht="14.25" customHeight="1" spans="2:34">
      <c r="B859" s="1018"/>
      <c r="C859" s="1019"/>
      <c r="D859" s="1019"/>
      <c r="E859" s="1019"/>
      <c r="F859" s="1020"/>
      <c r="G859" s="1020"/>
      <c r="H859" s="1020"/>
      <c r="I859" s="1020"/>
      <c r="J859" s="1020"/>
      <c r="K859" s="1020"/>
      <c r="L859" s="1020"/>
      <c r="M859" s="1020"/>
      <c r="N859" s="1020"/>
      <c r="O859" s="1020"/>
      <c r="P859" s="1020"/>
      <c r="Q859" s="1020"/>
      <c r="R859" s="1020"/>
      <c r="S859" s="1020"/>
      <c r="T859" s="1020"/>
      <c r="U859" s="1020"/>
      <c r="V859" s="1020"/>
      <c r="W859" s="1020"/>
      <c r="X859" s="1020"/>
      <c r="Y859" s="1020"/>
      <c r="Z859" s="1020"/>
      <c r="AA859" s="1020"/>
      <c r="AB859" s="1020"/>
      <c r="AC859" s="1020"/>
      <c r="AD859" s="1020"/>
      <c r="AE859" s="1020"/>
      <c r="AF859" s="1020"/>
      <c r="AG859" s="467"/>
      <c r="AH859" s="467"/>
    </row>
    <row r="860" ht="14.25" customHeight="1" spans="2:34">
      <c r="B860" s="1018"/>
      <c r="C860" s="1019"/>
      <c r="D860" s="1019"/>
      <c r="E860" s="1019"/>
      <c r="F860" s="1020"/>
      <c r="G860" s="1020"/>
      <c r="H860" s="1020"/>
      <c r="I860" s="1020"/>
      <c r="J860" s="1020"/>
      <c r="K860" s="1020"/>
      <c r="L860" s="1020"/>
      <c r="M860" s="1020"/>
      <c r="N860" s="1020"/>
      <c r="O860" s="1020"/>
      <c r="P860" s="1020"/>
      <c r="Q860" s="1020"/>
      <c r="R860" s="1020"/>
      <c r="S860" s="1020"/>
      <c r="T860" s="1020"/>
      <c r="U860" s="1020"/>
      <c r="V860" s="1020"/>
      <c r="W860" s="1020"/>
      <c r="X860" s="1020"/>
      <c r="Y860" s="1020"/>
      <c r="Z860" s="1020"/>
      <c r="AA860" s="1020"/>
      <c r="AB860" s="1020"/>
      <c r="AC860" s="1020"/>
      <c r="AD860" s="1020"/>
      <c r="AE860" s="1020"/>
      <c r="AF860" s="1020"/>
      <c r="AG860" s="467"/>
      <c r="AH860" s="467"/>
    </row>
    <row r="861" ht="14.25" customHeight="1" spans="2:34">
      <c r="B861" s="1018"/>
      <c r="C861" s="1019"/>
      <c r="D861" s="1019"/>
      <c r="E861" s="1019"/>
      <c r="F861" s="1020"/>
      <c r="G861" s="1020"/>
      <c r="H861" s="1020"/>
      <c r="I861" s="1020"/>
      <c r="J861" s="1020"/>
      <c r="K861" s="1020"/>
      <c r="L861" s="1020"/>
      <c r="M861" s="1020"/>
      <c r="N861" s="1020"/>
      <c r="O861" s="1020"/>
      <c r="P861" s="1020"/>
      <c r="Q861" s="1020"/>
      <c r="R861" s="1020"/>
      <c r="S861" s="1020"/>
      <c r="T861" s="1020"/>
      <c r="U861" s="1020"/>
      <c r="V861" s="1020"/>
      <c r="W861" s="1020"/>
      <c r="X861" s="1020"/>
      <c r="Y861" s="1020"/>
      <c r="Z861" s="1020"/>
      <c r="AA861" s="1020"/>
      <c r="AB861" s="1020"/>
      <c r="AC861" s="1020"/>
      <c r="AD861" s="1020"/>
      <c r="AE861" s="1020"/>
      <c r="AF861" s="1020"/>
      <c r="AG861" s="467"/>
      <c r="AH861" s="467"/>
    </row>
    <row r="862" ht="14.25" customHeight="1" spans="2:34">
      <c r="B862" s="1018"/>
      <c r="C862" s="1019"/>
      <c r="D862" s="1019"/>
      <c r="E862" s="1019"/>
      <c r="F862" s="1020"/>
      <c r="G862" s="1020"/>
      <c r="H862" s="1020"/>
      <c r="I862" s="1020"/>
      <c r="J862" s="1020"/>
      <c r="K862" s="1020"/>
      <c r="L862" s="1020"/>
      <c r="M862" s="1020"/>
      <c r="N862" s="1020"/>
      <c r="O862" s="1020"/>
      <c r="P862" s="1020"/>
      <c r="Q862" s="1020"/>
      <c r="R862" s="1020"/>
      <c r="S862" s="1020"/>
      <c r="T862" s="1020"/>
      <c r="U862" s="1020"/>
      <c r="V862" s="1020"/>
      <c r="W862" s="1020"/>
      <c r="X862" s="1020"/>
      <c r="Y862" s="1020"/>
      <c r="Z862" s="1020"/>
      <c r="AA862" s="1020"/>
      <c r="AB862" s="1020"/>
      <c r="AC862" s="1020"/>
      <c r="AD862" s="1020"/>
      <c r="AE862" s="1020"/>
      <c r="AF862" s="1020"/>
      <c r="AG862" s="467"/>
      <c r="AH862" s="467"/>
    </row>
    <row r="863" ht="14.25" customHeight="1" spans="2:34">
      <c r="B863" s="1018"/>
      <c r="C863" s="1019"/>
      <c r="D863" s="1019"/>
      <c r="E863" s="1019"/>
      <c r="F863" s="1020"/>
      <c r="G863" s="1020"/>
      <c r="H863" s="1020"/>
      <c r="I863" s="1020"/>
      <c r="J863" s="1020"/>
      <c r="K863" s="1020"/>
      <c r="L863" s="1020"/>
      <c r="M863" s="1020"/>
      <c r="N863" s="1020"/>
      <c r="O863" s="1020"/>
      <c r="P863" s="1020"/>
      <c r="Q863" s="1020"/>
      <c r="R863" s="1020"/>
      <c r="S863" s="1020"/>
      <c r="T863" s="1020"/>
      <c r="U863" s="1020"/>
      <c r="V863" s="1020"/>
      <c r="W863" s="1020"/>
      <c r="X863" s="1020"/>
      <c r="Y863" s="1020"/>
      <c r="Z863" s="1020"/>
      <c r="AA863" s="1020"/>
      <c r="AB863" s="1020"/>
      <c r="AC863" s="1020"/>
      <c r="AD863" s="1020"/>
      <c r="AE863" s="1020"/>
      <c r="AF863" s="1020"/>
      <c r="AG863" s="467"/>
      <c r="AH863" s="467"/>
    </row>
    <row r="864" ht="14.25" customHeight="1" spans="2:34">
      <c r="B864" s="1018"/>
      <c r="C864" s="1019"/>
      <c r="D864" s="1019"/>
      <c r="E864" s="1019"/>
      <c r="F864" s="1020"/>
      <c r="G864" s="1020"/>
      <c r="H864" s="1020"/>
      <c r="I864" s="1020"/>
      <c r="J864" s="1020"/>
      <c r="K864" s="1020"/>
      <c r="L864" s="1020"/>
      <c r="M864" s="1020"/>
      <c r="N864" s="1020"/>
      <c r="O864" s="1020"/>
      <c r="P864" s="1020"/>
      <c r="Q864" s="1020"/>
      <c r="R864" s="1020"/>
      <c r="S864" s="1020"/>
      <c r="T864" s="1020"/>
      <c r="U864" s="1020"/>
      <c r="V864" s="1020"/>
      <c r="W864" s="1020"/>
      <c r="X864" s="1020"/>
      <c r="Y864" s="1020"/>
      <c r="Z864" s="1020"/>
      <c r="AA864" s="1020"/>
      <c r="AB864" s="1020"/>
      <c r="AC864" s="1020"/>
      <c r="AD864" s="1020"/>
      <c r="AE864" s="1020"/>
      <c r="AF864" s="1020"/>
      <c r="AG864" s="467"/>
      <c r="AH864" s="467"/>
    </row>
    <row r="865" ht="14.25" customHeight="1" spans="2:34">
      <c r="B865" s="1018"/>
      <c r="C865" s="1019"/>
      <c r="D865" s="1019"/>
      <c r="E865" s="1019"/>
      <c r="F865" s="1020"/>
      <c r="G865" s="1020"/>
      <c r="H865" s="1020"/>
      <c r="I865" s="1020"/>
      <c r="J865" s="1020"/>
      <c r="K865" s="1020"/>
      <c r="L865" s="1020"/>
      <c r="M865" s="1020"/>
      <c r="N865" s="1020"/>
      <c r="O865" s="1020"/>
      <c r="P865" s="1020"/>
      <c r="Q865" s="1020"/>
      <c r="R865" s="1020"/>
      <c r="S865" s="1020"/>
      <c r="T865" s="1020"/>
      <c r="U865" s="1020"/>
      <c r="V865" s="1020"/>
      <c r="W865" s="1020"/>
      <c r="X865" s="1020"/>
      <c r="Y865" s="1020"/>
      <c r="Z865" s="1020"/>
      <c r="AA865" s="1020"/>
      <c r="AB865" s="1020"/>
      <c r="AC865" s="1020"/>
      <c r="AD865" s="1020"/>
      <c r="AE865" s="1020"/>
      <c r="AF865" s="1020"/>
      <c r="AG865" s="467"/>
      <c r="AH865" s="467"/>
    </row>
    <row r="866" ht="14.25" customHeight="1" spans="2:34">
      <c r="B866" s="1018"/>
      <c r="C866" s="1019"/>
      <c r="D866" s="1019"/>
      <c r="E866" s="1019"/>
      <c r="F866" s="1020"/>
      <c r="G866" s="1020"/>
      <c r="H866" s="1020"/>
      <c r="I866" s="1020"/>
      <c r="J866" s="1020"/>
      <c r="K866" s="1020"/>
      <c r="L866" s="1020"/>
      <c r="M866" s="1020"/>
      <c r="N866" s="1020"/>
      <c r="O866" s="1020"/>
      <c r="P866" s="1020"/>
      <c r="Q866" s="1020"/>
      <c r="R866" s="1020"/>
      <c r="S866" s="1020"/>
      <c r="T866" s="1020"/>
      <c r="U866" s="1020"/>
      <c r="V866" s="1020"/>
      <c r="W866" s="1020"/>
      <c r="X866" s="1020"/>
      <c r="Y866" s="1020"/>
      <c r="Z866" s="1020"/>
      <c r="AA866" s="1020"/>
      <c r="AB866" s="1020"/>
      <c r="AC866" s="1020"/>
      <c r="AD866" s="1020"/>
      <c r="AE866" s="1020"/>
      <c r="AF866" s="1020"/>
      <c r="AG866" s="467"/>
      <c r="AH866" s="467"/>
    </row>
    <row r="867" ht="14.25" customHeight="1" spans="2:34">
      <c r="B867" s="1018"/>
      <c r="C867" s="1019"/>
      <c r="D867" s="1019"/>
      <c r="E867" s="1019"/>
      <c r="F867" s="1020"/>
      <c r="G867" s="1020"/>
      <c r="H867" s="1020"/>
      <c r="I867" s="1020"/>
      <c r="J867" s="1020"/>
      <c r="K867" s="1020"/>
      <c r="L867" s="1020"/>
      <c r="M867" s="1020"/>
      <c r="N867" s="1020"/>
      <c r="O867" s="1020"/>
      <c r="P867" s="1020"/>
      <c r="Q867" s="1020"/>
      <c r="R867" s="1020"/>
      <c r="S867" s="1020"/>
      <c r="T867" s="1020"/>
      <c r="U867" s="1020"/>
      <c r="V867" s="1020"/>
      <c r="W867" s="1020"/>
      <c r="X867" s="1020"/>
      <c r="Y867" s="1020"/>
      <c r="Z867" s="1020"/>
      <c r="AA867" s="1020"/>
      <c r="AB867" s="1020"/>
      <c r="AC867" s="1020"/>
      <c r="AD867" s="1020"/>
      <c r="AE867" s="1020"/>
      <c r="AF867" s="1020"/>
      <c r="AG867" s="467"/>
      <c r="AH867" s="467"/>
    </row>
    <row r="868" ht="14.25" customHeight="1" spans="2:34">
      <c r="B868" s="1018"/>
      <c r="C868" s="1019"/>
      <c r="D868" s="1019"/>
      <c r="E868" s="1019"/>
      <c r="F868" s="1020"/>
      <c r="G868" s="1020"/>
      <c r="H868" s="1020"/>
      <c r="I868" s="1020"/>
      <c r="J868" s="1020"/>
      <c r="K868" s="1020"/>
      <c r="L868" s="1020"/>
      <c r="M868" s="1020"/>
      <c r="N868" s="1020"/>
      <c r="O868" s="1020"/>
      <c r="P868" s="1020"/>
      <c r="Q868" s="1020"/>
      <c r="R868" s="1020"/>
      <c r="S868" s="1020"/>
      <c r="T868" s="1020"/>
      <c r="U868" s="1020"/>
      <c r="V868" s="1020"/>
      <c r="W868" s="1020"/>
      <c r="X868" s="1020"/>
      <c r="Y868" s="1020"/>
      <c r="Z868" s="1020"/>
      <c r="AA868" s="1020"/>
      <c r="AB868" s="1020"/>
      <c r="AC868" s="1020"/>
      <c r="AD868" s="1020"/>
      <c r="AE868" s="1020"/>
      <c r="AF868" s="1020"/>
      <c r="AG868" s="467"/>
      <c r="AH868" s="467"/>
    </row>
    <row r="869" ht="14.25" customHeight="1" spans="2:34">
      <c r="B869" s="1018"/>
      <c r="C869" s="1019"/>
      <c r="D869" s="1019"/>
      <c r="E869" s="1019"/>
      <c r="F869" s="1020"/>
      <c r="G869" s="1020"/>
      <c r="H869" s="1020"/>
      <c r="I869" s="1020"/>
      <c r="J869" s="1020"/>
      <c r="K869" s="1020"/>
      <c r="L869" s="1020"/>
      <c r="M869" s="1020"/>
      <c r="N869" s="1020"/>
      <c r="O869" s="1020"/>
      <c r="P869" s="1020"/>
      <c r="Q869" s="1020"/>
      <c r="R869" s="1020"/>
      <c r="S869" s="1020"/>
      <c r="T869" s="1020"/>
      <c r="U869" s="1020"/>
      <c r="V869" s="1020"/>
      <c r="W869" s="1020"/>
      <c r="X869" s="1020"/>
      <c r="Y869" s="1020"/>
      <c r="Z869" s="1020"/>
      <c r="AA869" s="1020"/>
      <c r="AB869" s="1020"/>
      <c r="AC869" s="1020"/>
      <c r="AD869" s="1020"/>
      <c r="AE869" s="1020"/>
      <c r="AF869" s="1020"/>
      <c r="AG869" s="467"/>
      <c r="AH869" s="467"/>
    </row>
    <row r="870" ht="14.25" customHeight="1" spans="2:34">
      <c r="B870" s="1018"/>
      <c r="C870" s="1019"/>
      <c r="D870" s="1019"/>
      <c r="E870" s="1019"/>
      <c r="F870" s="1020"/>
      <c r="G870" s="1020"/>
      <c r="H870" s="1020"/>
      <c r="I870" s="1020"/>
      <c r="J870" s="1020"/>
      <c r="K870" s="1020"/>
      <c r="L870" s="1020"/>
      <c r="M870" s="1020"/>
      <c r="N870" s="1020"/>
      <c r="O870" s="1020"/>
      <c r="P870" s="1020"/>
      <c r="Q870" s="1020"/>
      <c r="R870" s="1020"/>
      <c r="S870" s="1020"/>
      <c r="T870" s="1020"/>
      <c r="U870" s="1020"/>
      <c r="V870" s="1020"/>
      <c r="W870" s="1020"/>
      <c r="X870" s="1020"/>
      <c r="Y870" s="1020"/>
      <c r="Z870" s="1020"/>
      <c r="AA870" s="1020"/>
      <c r="AB870" s="1020"/>
      <c r="AC870" s="1020"/>
      <c r="AD870" s="1020"/>
      <c r="AE870" s="1020"/>
      <c r="AF870" s="1020"/>
      <c r="AG870" s="467"/>
      <c r="AH870" s="467"/>
    </row>
    <row r="871" ht="14.25" customHeight="1" spans="2:34">
      <c r="B871" s="1018"/>
      <c r="C871" s="1019"/>
      <c r="D871" s="1019"/>
      <c r="E871" s="1019"/>
      <c r="F871" s="1020"/>
      <c r="G871" s="1020"/>
      <c r="H871" s="1020"/>
      <c r="I871" s="1020"/>
      <c r="J871" s="1020"/>
      <c r="K871" s="1020"/>
      <c r="L871" s="1020"/>
      <c r="M871" s="1020"/>
      <c r="N871" s="1020"/>
      <c r="O871" s="1020"/>
      <c r="P871" s="1020"/>
      <c r="Q871" s="1020"/>
      <c r="R871" s="1020"/>
      <c r="S871" s="1020"/>
      <c r="T871" s="1020"/>
      <c r="U871" s="1020"/>
      <c r="V871" s="1020"/>
      <c r="W871" s="1020"/>
      <c r="X871" s="1020"/>
      <c r="Y871" s="1020"/>
      <c r="Z871" s="1020"/>
      <c r="AA871" s="1020"/>
      <c r="AB871" s="1020"/>
      <c r="AC871" s="1020"/>
      <c r="AD871" s="1020"/>
      <c r="AE871" s="1020"/>
      <c r="AF871" s="1020"/>
      <c r="AG871" s="467"/>
      <c r="AH871" s="467"/>
    </row>
    <row r="872" ht="14.25" customHeight="1" spans="2:34">
      <c r="B872" s="1018"/>
      <c r="C872" s="1019"/>
      <c r="D872" s="1019"/>
      <c r="E872" s="1019"/>
      <c r="F872" s="1020"/>
      <c r="G872" s="1020"/>
      <c r="H872" s="1020"/>
      <c r="I872" s="1020"/>
      <c r="J872" s="1020"/>
      <c r="K872" s="1020"/>
      <c r="L872" s="1020"/>
      <c r="M872" s="1020"/>
      <c r="N872" s="1020"/>
      <c r="O872" s="1020"/>
      <c r="P872" s="1020"/>
      <c r="Q872" s="1020"/>
      <c r="R872" s="1020"/>
      <c r="S872" s="1020"/>
      <c r="T872" s="1020"/>
      <c r="U872" s="1020"/>
      <c r="V872" s="1020"/>
      <c r="W872" s="1020"/>
      <c r="X872" s="1020"/>
      <c r="Y872" s="1020"/>
      <c r="Z872" s="1020"/>
      <c r="AA872" s="1020"/>
      <c r="AB872" s="1020"/>
      <c r="AC872" s="1020"/>
      <c r="AD872" s="1020"/>
      <c r="AE872" s="1020"/>
      <c r="AF872" s="1020"/>
      <c r="AG872" s="467"/>
      <c r="AH872" s="467"/>
    </row>
    <row r="873" ht="14.25" customHeight="1" spans="2:34">
      <c r="B873" s="1018"/>
      <c r="C873" s="1019"/>
      <c r="D873" s="1019"/>
      <c r="E873" s="1019"/>
      <c r="F873" s="1020"/>
      <c r="G873" s="1020"/>
      <c r="H873" s="1020"/>
      <c r="I873" s="1020"/>
      <c r="J873" s="1020"/>
      <c r="K873" s="1020"/>
      <c r="L873" s="1020"/>
      <c r="M873" s="1020"/>
      <c r="N873" s="1020"/>
      <c r="O873" s="1020"/>
      <c r="P873" s="1020"/>
      <c r="Q873" s="1020"/>
      <c r="R873" s="1020"/>
      <c r="S873" s="1020"/>
      <c r="T873" s="1020"/>
      <c r="U873" s="1020"/>
      <c r="V873" s="1020"/>
      <c r="W873" s="1020"/>
      <c r="X873" s="1020"/>
      <c r="Y873" s="1020"/>
      <c r="Z873" s="1020"/>
      <c r="AA873" s="1020"/>
      <c r="AB873" s="1020"/>
      <c r="AC873" s="1020"/>
      <c r="AD873" s="1020"/>
      <c r="AE873" s="1020"/>
      <c r="AF873" s="1020"/>
      <c r="AG873" s="467"/>
      <c r="AH873" s="467"/>
    </row>
    <row r="874" ht="14.25" customHeight="1" spans="2:34">
      <c r="B874" s="1018"/>
      <c r="C874" s="1019"/>
      <c r="D874" s="1019"/>
      <c r="E874" s="1019"/>
      <c r="F874" s="1020"/>
      <c r="G874" s="1020"/>
      <c r="H874" s="1020"/>
      <c r="I874" s="1020"/>
      <c r="J874" s="1020"/>
      <c r="K874" s="1020"/>
      <c r="L874" s="1020"/>
      <c r="M874" s="1020"/>
      <c r="N874" s="1020"/>
      <c r="O874" s="1020"/>
      <c r="P874" s="1020"/>
      <c r="Q874" s="1020"/>
      <c r="R874" s="1020"/>
      <c r="S874" s="1020"/>
      <c r="T874" s="1020"/>
      <c r="U874" s="1020"/>
      <c r="V874" s="1020"/>
      <c r="W874" s="1020"/>
      <c r="X874" s="1020"/>
      <c r="Y874" s="1020"/>
      <c r="Z874" s="1020"/>
      <c r="AA874" s="1020"/>
      <c r="AB874" s="1020"/>
      <c r="AC874" s="1020"/>
      <c r="AD874" s="1020"/>
      <c r="AE874" s="1020"/>
      <c r="AF874" s="1020"/>
      <c r="AG874" s="467"/>
      <c r="AH874" s="467"/>
    </row>
    <row r="875" ht="14.25" customHeight="1" spans="2:34">
      <c r="B875" s="1018"/>
      <c r="C875" s="1019"/>
      <c r="D875" s="1019"/>
      <c r="E875" s="1019"/>
      <c r="F875" s="1020"/>
      <c r="G875" s="1020"/>
      <c r="H875" s="1020"/>
      <c r="I875" s="1020"/>
      <c r="J875" s="1020"/>
      <c r="K875" s="1020"/>
      <c r="L875" s="1020"/>
      <c r="M875" s="1020"/>
      <c r="N875" s="1020"/>
      <c r="O875" s="1020"/>
      <c r="P875" s="1020"/>
      <c r="Q875" s="1020"/>
      <c r="R875" s="1020"/>
      <c r="S875" s="1020"/>
      <c r="T875" s="1020"/>
      <c r="U875" s="1020"/>
      <c r="V875" s="1020"/>
      <c r="W875" s="1020"/>
      <c r="X875" s="1020"/>
      <c r="Y875" s="1020"/>
      <c r="Z875" s="1020"/>
      <c r="AA875" s="1020"/>
      <c r="AB875" s="1020"/>
      <c r="AC875" s="1020"/>
      <c r="AD875" s="1020"/>
      <c r="AE875" s="1020"/>
      <c r="AF875" s="1020"/>
      <c r="AG875" s="467"/>
      <c r="AH875" s="467"/>
    </row>
    <row r="876" ht="14.25" customHeight="1" spans="2:34">
      <c r="B876" s="1018"/>
      <c r="C876" s="1019"/>
      <c r="D876" s="1019"/>
      <c r="E876" s="1019"/>
      <c r="F876" s="1020"/>
      <c r="G876" s="1020"/>
      <c r="H876" s="1020"/>
      <c r="I876" s="1020"/>
      <c r="J876" s="1020"/>
      <c r="K876" s="1020"/>
      <c r="L876" s="1020"/>
      <c r="M876" s="1020"/>
      <c r="N876" s="1020"/>
      <c r="O876" s="1020"/>
      <c r="P876" s="1020"/>
      <c r="Q876" s="1020"/>
      <c r="R876" s="1020"/>
      <c r="S876" s="1020"/>
      <c r="T876" s="1020"/>
      <c r="U876" s="1020"/>
      <c r="V876" s="1020"/>
      <c r="W876" s="1020"/>
      <c r="X876" s="1020"/>
      <c r="Y876" s="1020"/>
      <c r="Z876" s="1020"/>
      <c r="AA876" s="1020"/>
      <c r="AB876" s="1020"/>
      <c r="AC876" s="1020"/>
      <c r="AD876" s="1020"/>
      <c r="AE876" s="1020"/>
      <c r="AF876" s="1020"/>
      <c r="AG876" s="467"/>
      <c r="AH876" s="467"/>
    </row>
    <row r="877" ht="14.25" customHeight="1" spans="2:34">
      <c r="B877" s="1018"/>
      <c r="C877" s="1019"/>
      <c r="D877" s="1019"/>
      <c r="E877" s="1019"/>
      <c r="F877" s="1020"/>
      <c r="G877" s="1020"/>
      <c r="H877" s="1020"/>
      <c r="I877" s="1020"/>
      <c r="J877" s="1020"/>
      <c r="K877" s="1020"/>
      <c r="L877" s="1020"/>
      <c r="M877" s="1020"/>
      <c r="N877" s="1020"/>
      <c r="O877" s="1020"/>
      <c r="P877" s="1020"/>
      <c r="Q877" s="1020"/>
      <c r="R877" s="1020"/>
      <c r="S877" s="1020"/>
      <c r="T877" s="1020"/>
      <c r="U877" s="1020"/>
      <c r="V877" s="1020"/>
      <c r="W877" s="1020"/>
      <c r="X877" s="1020"/>
      <c r="Y877" s="1020"/>
      <c r="Z877" s="1020"/>
      <c r="AA877" s="1020"/>
      <c r="AB877" s="1020"/>
      <c r="AC877" s="1020"/>
      <c r="AD877" s="1020"/>
      <c r="AE877" s="1020"/>
      <c r="AF877" s="1020"/>
      <c r="AG877" s="467"/>
      <c r="AH877" s="467"/>
    </row>
    <row r="878" ht="14.25" customHeight="1" spans="2:34">
      <c r="B878" s="1018"/>
      <c r="C878" s="1019"/>
      <c r="D878" s="1019"/>
      <c r="E878" s="1019"/>
      <c r="F878" s="1020"/>
      <c r="G878" s="1020"/>
      <c r="H878" s="1020"/>
      <c r="I878" s="1020"/>
      <c r="J878" s="1020"/>
      <c r="K878" s="1020"/>
      <c r="L878" s="1020"/>
      <c r="M878" s="1020"/>
      <c r="N878" s="1020"/>
      <c r="O878" s="1020"/>
      <c r="P878" s="1020"/>
      <c r="Q878" s="1020"/>
      <c r="R878" s="1020"/>
      <c r="S878" s="1020"/>
      <c r="T878" s="1020"/>
      <c r="U878" s="1020"/>
      <c r="V878" s="1020"/>
      <c r="W878" s="1020"/>
      <c r="X878" s="1020"/>
      <c r="Y878" s="1020"/>
      <c r="Z878" s="1020"/>
      <c r="AA878" s="1020"/>
      <c r="AB878" s="1020"/>
      <c r="AC878" s="1020"/>
      <c r="AD878" s="1020"/>
      <c r="AE878" s="1020"/>
      <c r="AF878" s="1020"/>
      <c r="AG878" s="467"/>
      <c r="AH878" s="467"/>
    </row>
    <row r="879" ht="14.25" customHeight="1" spans="2:34">
      <c r="B879" s="1018"/>
      <c r="C879" s="1019"/>
      <c r="D879" s="1019"/>
      <c r="E879" s="1019"/>
      <c r="F879" s="1020"/>
      <c r="G879" s="1020"/>
      <c r="H879" s="1020"/>
      <c r="I879" s="1020"/>
      <c r="J879" s="1020"/>
      <c r="K879" s="1020"/>
      <c r="L879" s="1020"/>
      <c r="M879" s="1020"/>
      <c r="N879" s="1020"/>
      <c r="O879" s="1020"/>
      <c r="P879" s="1020"/>
      <c r="Q879" s="1020"/>
      <c r="R879" s="1020"/>
      <c r="S879" s="1020"/>
      <c r="T879" s="1020"/>
      <c r="U879" s="1020"/>
      <c r="V879" s="1020"/>
      <c r="W879" s="1020"/>
      <c r="X879" s="1020"/>
      <c r="Y879" s="1020"/>
      <c r="Z879" s="1020"/>
      <c r="AA879" s="1020"/>
      <c r="AB879" s="1020"/>
      <c r="AC879" s="1020"/>
      <c r="AD879" s="1020"/>
      <c r="AE879" s="1020"/>
      <c r="AF879" s="1020"/>
      <c r="AG879" s="467"/>
      <c r="AH879" s="467"/>
    </row>
    <row r="880" ht="14.25" customHeight="1" spans="2:34">
      <c r="B880" s="1018"/>
      <c r="C880" s="1019"/>
      <c r="D880" s="1019"/>
      <c r="E880" s="1019"/>
      <c r="F880" s="1020"/>
      <c r="G880" s="1020"/>
      <c r="H880" s="1020"/>
      <c r="I880" s="1020"/>
      <c r="J880" s="1020"/>
      <c r="K880" s="1020"/>
      <c r="L880" s="1020"/>
      <c r="M880" s="1020"/>
      <c r="N880" s="1020"/>
      <c r="O880" s="1020"/>
      <c r="P880" s="1020"/>
      <c r="Q880" s="1020"/>
      <c r="R880" s="1020"/>
      <c r="S880" s="1020"/>
      <c r="T880" s="1020"/>
      <c r="U880" s="1020"/>
      <c r="V880" s="1020"/>
      <c r="W880" s="1020"/>
      <c r="X880" s="1020"/>
      <c r="Y880" s="1020"/>
      <c r="Z880" s="1020"/>
      <c r="AA880" s="1020"/>
      <c r="AB880" s="1020"/>
      <c r="AC880" s="1020"/>
      <c r="AD880" s="1020"/>
      <c r="AE880" s="1020"/>
      <c r="AF880" s="1020"/>
      <c r="AG880" s="467"/>
      <c r="AH880" s="467"/>
    </row>
    <row r="881" ht="14.25" customHeight="1" spans="2:34">
      <c r="B881" s="1018"/>
      <c r="C881" s="1019"/>
      <c r="D881" s="1019"/>
      <c r="E881" s="1019"/>
      <c r="F881" s="1020"/>
      <c r="G881" s="1020"/>
      <c r="H881" s="1020"/>
      <c r="I881" s="1020"/>
      <c r="J881" s="1020"/>
      <c r="K881" s="1020"/>
      <c r="L881" s="1020"/>
      <c r="M881" s="1020"/>
      <c r="N881" s="1020"/>
      <c r="O881" s="1020"/>
      <c r="P881" s="1020"/>
      <c r="Q881" s="1020"/>
      <c r="R881" s="1020"/>
      <c r="S881" s="1020"/>
      <c r="T881" s="1020"/>
      <c r="U881" s="1020"/>
      <c r="V881" s="1020"/>
      <c r="W881" s="1020"/>
      <c r="X881" s="1020"/>
      <c r="Y881" s="1020"/>
      <c r="Z881" s="1020"/>
      <c r="AA881" s="1020"/>
      <c r="AB881" s="1020"/>
      <c r="AC881" s="1020"/>
      <c r="AD881" s="1020"/>
      <c r="AE881" s="1020"/>
      <c r="AF881" s="1020"/>
      <c r="AG881" s="467"/>
      <c r="AH881" s="467"/>
    </row>
    <row r="882" ht="14.25" customHeight="1" spans="2:34">
      <c r="B882" s="1018"/>
      <c r="C882" s="1019"/>
      <c r="D882" s="1019"/>
      <c r="E882" s="1019"/>
      <c r="F882" s="1020"/>
      <c r="G882" s="1020"/>
      <c r="H882" s="1020"/>
      <c r="I882" s="1020"/>
      <c r="J882" s="1020"/>
      <c r="K882" s="1020"/>
      <c r="L882" s="1020"/>
      <c r="M882" s="1020"/>
      <c r="N882" s="1020"/>
      <c r="O882" s="1020"/>
      <c r="P882" s="1020"/>
      <c r="Q882" s="1020"/>
      <c r="R882" s="1020"/>
      <c r="S882" s="1020"/>
      <c r="T882" s="1020"/>
      <c r="U882" s="1020"/>
      <c r="V882" s="1020"/>
      <c r="W882" s="1020"/>
      <c r="X882" s="1020"/>
      <c r="Y882" s="1020"/>
      <c r="Z882" s="1020"/>
      <c r="AA882" s="1020"/>
      <c r="AB882" s="1020"/>
      <c r="AC882" s="1020"/>
      <c r="AD882" s="1020"/>
      <c r="AE882" s="1020"/>
      <c r="AF882" s="1020"/>
      <c r="AG882" s="467"/>
      <c r="AH882" s="467"/>
    </row>
    <row r="883" ht="14.25" customHeight="1" spans="2:34">
      <c r="B883" s="1018"/>
      <c r="C883" s="1019"/>
      <c r="D883" s="1019"/>
      <c r="E883" s="1019"/>
      <c r="F883" s="1020"/>
      <c r="G883" s="1020"/>
      <c r="H883" s="1020"/>
      <c r="I883" s="1020"/>
      <c r="J883" s="1020"/>
      <c r="K883" s="1020"/>
      <c r="L883" s="1020"/>
      <c r="M883" s="1020"/>
      <c r="N883" s="1020"/>
      <c r="O883" s="1020"/>
      <c r="P883" s="1020"/>
      <c r="Q883" s="1020"/>
      <c r="R883" s="1020"/>
      <c r="S883" s="1020"/>
      <c r="T883" s="1020"/>
      <c r="U883" s="1020"/>
      <c r="V883" s="1020"/>
      <c r="W883" s="1020"/>
      <c r="X883" s="1020"/>
      <c r="Y883" s="1020"/>
      <c r="Z883" s="1020"/>
      <c r="AA883" s="1020"/>
      <c r="AB883" s="1020"/>
      <c r="AC883" s="1020"/>
      <c r="AD883" s="1020"/>
      <c r="AE883" s="1020"/>
      <c r="AF883" s="1020"/>
      <c r="AG883" s="467"/>
      <c r="AH883" s="467"/>
    </row>
    <row r="884" ht="14.25" customHeight="1" spans="2:34">
      <c r="B884" s="1018"/>
      <c r="C884" s="1019"/>
      <c r="D884" s="1019"/>
      <c r="E884" s="1019"/>
      <c r="F884" s="1020"/>
      <c r="G884" s="1020"/>
      <c r="H884" s="1020"/>
      <c r="I884" s="1020"/>
      <c r="J884" s="1020"/>
      <c r="K884" s="1020"/>
      <c r="L884" s="1020"/>
      <c r="M884" s="1020"/>
      <c r="N884" s="1020"/>
      <c r="O884" s="1020"/>
      <c r="P884" s="1020"/>
      <c r="Q884" s="1020"/>
      <c r="R884" s="1020"/>
      <c r="S884" s="1020"/>
      <c r="T884" s="1020"/>
      <c r="U884" s="1020"/>
      <c r="V884" s="1020"/>
      <c r="W884" s="1020"/>
      <c r="X884" s="1020"/>
      <c r="Y884" s="1020"/>
      <c r="Z884" s="1020"/>
      <c r="AA884" s="1020"/>
      <c r="AB884" s="1020"/>
      <c r="AC884" s="1020"/>
      <c r="AD884" s="1020"/>
      <c r="AE884" s="1020"/>
      <c r="AF884" s="1020"/>
      <c r="AG884" s="467"/>
      <c r="AH884" s="467"/>
    </row>
    <row r="885" ht="14.25" customHeight="1" spans="2:34">
      <c r="B885" s="1018"/>
      <c r="C885" s="1019"/>
      <c r="D885" s="1019"/>
      <c r="E885" s="1019"/>
      <c r="F885" s="1020"/>
      <c r="G885" s="1020"/>
      <c r="H885" s="1020"/>
      <c r="I885" s="1020"/>
      <c r="J885" s="1020"/>
      <c r="K885" s="1020"/>
      <c r="L885" s="1020"/>
      <c r="M885" s="1020"/>
      <c r="N885" s="1020"/>
      <c r="O885" s="1020"/>
      <c r="P885" s="1020"/>
      <c r="Q885" s="1020"/>
      <c r="R885" s="1020"/>
      <c r="S885" s="1020"/>
      <c r="T885" s="1020"/>
      <c r="U885" s="1020"/>
      <c r="V885" s="1020"/>
      <c r="W885" s="1020"/>
      <c r="X885" s="1020"/>
      <c r="Y885" s="1020"/>
      <c r="Z885" s="1020"/>
      <c r="AA885" s="1020"/>
      <c r="AB885" s="1020"/>
      <c r="AC885" s="1020"/>
      <c r="AD885" s="1020"/>
      <c r="AE885" s="1020"/>
      <c r="AF885" s="1020"/>
      <c r="AG885" s="467"/>
      <c r="AH885" s="467"/>
    </row>
    <row r="886" ht="14.25" customHeight="1" spans="2:34">
      <c r="B886" s="1018"/>
      <c r="C886" s="1019"/>
      <c r="D886" s="1019"/>
      <c r="E886" s="1019"/>
      <c r="F886" s="1020"/>
      <c r="G886" s="1020"/>
      <c r="H886" s="1020"/>
      <c r="I886" s="1020"/>
      <c r="J886" s="1020"/>
      <c r="K886" s="1020"/>
      <c r="L886" s="1020"/>
      <c r="M886" s="1020"/>
      <c r="N886" s="1020"/>
      <c r="O886" s="1020"/>
      <c r="P886" s="1020"/>
      <c r="Q886" s="1020"/>
      <c r="R886" s="1020"/>
      <c r="S886" s="1020"/>
      <c r="T886" s="1020"/>
      <c r="U886" s="1020"/>
      <c r="V886" s="1020"/>
      <c r="W886" s="1020"/>
      <c r="X886" s="1020"/>
      <c r="Y886" s="1020"/>
      <c r="Z886" s="1020"/>
      <c r="AA886" s="1020"/>
      <c r="AB886" s="1020"/>
      <c r="AC886" s="1020"/>
      <c r="AD886" s="1020"/>
      <c r="AE886" s="1020"/>
      <c r="AF886" s="1020"/>
      <c r="AG886" s="467"/>
      <c r="AH886" s="467"/>
    </row>
    <row r="887" ht="14.25" customHeight="1" spans="2:34">
      <c r="B887" s="1018"/>
      <c r="C887" s="1019"/>
      <c r="D887" s="1019"/>
      <c r="E887" s="1019"/>
      <c r="F887" s="1020"/>
      <c r="G887" s="1020"/>
      <c r="H887" s="1020"/>
      <c r="I887" s="1020"/>
      <c r="J887" s="1020"/>
      <c r="K887" s="1020"/>
      <c r="L887" s="1020"/>
      <c r="M887" s="1020"/>
      <c r="N887" s="1020"/>
      <c r="O887" s="1020"/>
      <c r="P887" s="1020"/>
      <c r="Q887" s="1020"/>
      <c r="R887" s="1020"/>
      <c r="S887" s="1020"/>
      <c r="T887" s="1020"/>
      <c r="U887" s="1020"/>
      <c r="V887" s="1020"/>
      <c r="W887" s="1020"/>
      <c r="X887" s="1020"/>
      <c r="Y887" s="1020"/>
      <c r="Z887" s="1020"/>
      <c r="AA887" s="1020"/>
      <c r="AB887" s="1020"/>
      <c r="AC887" s="1020"/>
      <c r="AD887" s="1020"/>
      <c r="AE887" s="1020"/>
      <c r="AF887" s="1020"/>
      <c r="AG887" s="467"/>
      <c r="AH887" s="467"/>
    </row>
    <row r="888" ht="14.25" customHeight="1" spans="2:34">
      <c r="B888" s="1018"/>
      <c r="C888" s="1019"/>
      <c r="D888" s="1019"/>
      <c r="E888" s="1019"/>
      <c r="F888" s="1020"/>
      <c r="G888" s="1020"/>
      <c r="H888" s="1020"/>
      <c r="I888" s="1020"/>
      <c r="J888" s="1020"/>
      <c r="K888" s="1020"/>
      <c r="L888" s="1020"/>
      <c r="M888" s="1020"/>
      <c r="N888" s="1020"/>
      <c r="O888" s="1020"/>
      <c r="P888" s="1020"/>
      <c r="Q888" s="1020"/>
      <c r="R888" s="1020"/>
      <c r="S888" s="1020"/>
      <c r="T888" s="1020"/>
      <c r="U888" s="1020"/>
      <c r="V888" s="1020"/>
      <c r="W888" s="1020"/>
      <c r="X888" s="1020"/>
      <c r="Y888" s="1020"/>
      <c r="Z888" s="1020"/>
      <c r="AA888" s="1020"/>
      <c r="AB888" s="1020"/>
      <c r="AC888" s="1020"/>
      <c r="AD888" s="1020"/>
      <c r="AE888" s="1020"/>
      <c r="AF888" s="1020"/>
      <c r="AG888" s="467"/>
      <c r="AH888" s="467"/>
    </row>
    <row r="889" ht="14.25" customHeight="1" spans="2:34">
      <c r="B889" s="1018"/>
      <c r="C889" s="1019"/>
      <c r="D889" s="1019"/>
      <c r="E889" s="1019"/>
      <c r="F889" s="1020"/>
      <c r="G889" s="1020"/>
      <c r="H889" s="1020"/>
      <c r="I889" s="1020"/>
      <c r="J889" s="1020"/>
      <c r="K889" s="1020"/>
      <c r="L889" s="1020"/>
      <c r="M889" s="1020"/>
      <c r="N889" s="1020"/>
      <c r="O889" s="1020"/>
      <c r="P889" s="1020"/>
      <c r="Q889" s="1020"/>
      <c r="R889" s="1020"/>
      <c r="S889" s="1020"/>
      <c r="T889" s="1020"/>
      <c r="U889" s="1020"/>
      <c r="V889" s="1020"/>
      <c r="W889" s="1020"/>
      <c r="X889" s="1020"/>
      <c r="Y889" s="1020"/>
      <c r="Z889" s="1020"/>
      <c r="AA889" s="1020"/>
      <c r="AB889" s="1020"/>
      <c r="AC889" s="1020"/>
      <c r="AD889" s="1020"/>
      <c r="AE889" s="1020"/>
      <c r="AF889" s="1020"/>
      <c r="AG889" s="467"/>
      <c r="AH889" s="467"/>
    </row>
    <row r="890" ht="14.25" customHeight="1" spans="2:34">
      <c r="B890" s="1018"/>
      <c r="C890" s="1019"/>
      <c r="D890" s="1019"/>
      <c r="E890" s="1019"/>
      <c r="F890" s="1020"/>
      <c r="G890" s="1020"/>
      <c r="H890" s="1020"/>
      <c r="I890" s="1020"/>
      <c r="J890" s="1020"/>
      <c r="K890" s="1020"/>
      <c r="L890" s="1020"/>
      <c r="M890" s="1020"/>
      <c r="N890" s="1020"/>
      <c r="O890" s="1020"/>
      <c r="P890" s="1020"/>
      <c r="Q890" s="1020"/>
      <c r="R890" s="1020"/>
      <c r="S890" s="1020"/>
      <c r="T890" s="1020"/>
      <c r="U890" s="1020"/>
      <c r="V890" s="1020"/>
      <c r="W890" s="1020"/>
      <c r="X890" s="1020"/>
      <c r="Y890" s="1020"/>
      <c r="Z890" s="1020"/>
      <c r="AA890" s="1020"/>
      <c r="AB890" s="1020"/>
      <c r="AC890" s="1020"/>
      <c r="AD890" s="1020"/>
      <c r="AE890" s="1020"/>
      <c r="AF890" s="1020"/>
      <c r="AG890" s="467"/>
      <c r="AH890" s="467"/>
    </row>
    <row r="891" ht="14.25" customHeight="1" spans="2:34">
      <c r="B891" s="1018"/>
      <c r="C891" s="1019"/>
      <c r="D891" s="1019"/>
      <c r="E891" s="1019"/>
      <c r="F891" s="1020"/>
      <c r="G891" s="1020"/>
      <c r="H891" s="1020"/>
      <c r="I891" s="1020"/>
      <c r="J891" s="1020"/>
      <c r="K891" s="1020"/>
      <c r="L891" s="1020"/>
      <c r="M891" s="1020"/>
      <c r="N891" s="1020"/>
      <c r="O891" s="1020"/>
      <c r="P891" s="1020"/>
      <c r="Q891" s="1020"/>
      <c r="R891" s="1020"/>
      <c r="S891" s="1020"/>
      <c r="T891" s="1020"/>
      <c r="U891" s="1020"/>
      <c r="V891" s="1020"/>
      <c r="W891" s="1020"/>
      <c r="X891" s="1020"/>
      <c r="Y891" s="1020"/>
      <c r="Z891" s="1020"/>
      <c r="AA891" s="1020"/>
      <c r="AB891" s="1020"/>
      <c r="AC891" s="1020"/>
      <c r="AD891" s="1020"/>
      <c r="AE891" s="1020"/>
      <c r="AF891" s="1020"/>
      <c r="AG891" s="467"/>
      <c r="AH891" s="467"/>
    </row>
    <row r="892" ht="14.25" customHeight="1" spans="2:34">
      <c r="B892" s="1018"/>
      <c r="C892" s="1019"/>
      <c r="D892" s="1019"/>
      <c r="E892" s="1019"/>
      <c r="F892" s="1020"/>
      <c r="G892" s="1020"/>
      <c r="H892" s="1020"/>
      <c r="I892" s="1020"/>
      <c r="J892" s="1020"/>
      <c r="K892" s="1020"/>
      <c r="L892" s="1020"/>
      <c r="M892" s="1020"/>
      <c r="N892" s="1020"/>
      <c r="O892" s="1020"/>
      <c r="P892" s="1020"/>
      <c r="Q892" s="1020"/>
      <c r="R892" s="1020"/>
      <c r="S892" s="1020"/>
      <c r="T892" s="1020"/>
      <c r="U892" s="1020"/>
      <c r="V892" s="1020"/>
      <c r="W892" s="1020"/>
      <c r="X892" s="1020"/>
      <c r="Y892" s="1020"/>
      <c r="Z892" s="1020"/>
      <c r="AA892" s="1020"/>
      <c r="AB892" s="1020"/>
      <c r="AC892" s="1020"/>
      <c r="AD892" s="1020"/>
      <c r="AE892" s="1020"/>
      <c r="AF892" s="1020"/>
      <c r="AG892" s="467"/>
      <c r="AH892" s="467"/>
    </row>
    <row r="893" ht="14.25" customHeight="1" spans="2:34">
      <c r="B893" s="1018"/>
      <c r="C893" s="1019"/>
      <c r="D893" s="1019"/>
      <c r="E893" s="1019"/>
      <c r="F893" s="1020"/>
      <c r="G893" s="1020"/>
      <c r="H893" s="1020"/>
      <c r="I893" s="1020"/>
      <c r="J893" s="1020"/>
      <c r="K893" s="1020"/>
      <c r="L893" s="1020"/>
      <c r="M893" s="1020"/>
      <c r="N893" s="1020"/>
      <c r="O893" s="1020"/>
      <c r="P893" s="1020"/>
      <c r="Q893" s="1020"/>
      <c r="R893" s="1020"/>
      <c r="S893" s="1020"/>
      <c r="T893" s="1020"/>
      <c r="U893" s="1020"/>
      <c r="V893" s="1020"/>
      <c r="W893" s="1020"/>
      <c r="X893" s="1020"/>
      <c r="Y893" s="1020"/>
      <c r="Z893" s="1020"/>
      <c r="AA893" s="1020"/>
      <c r="AB893" s="1020"/>
      <c r="AC893" s="1020"/>
      <c r="AD893" s="1020"/>
      <c r="AE893" s="1020"/>
      <c r="AF893" s="1020"/>
      <c r="AG893" s="467"/>
      <c r="AH893" s="467"/>
    </row>
    <row r="894" ht="14.25" customHeight="1" spans="2:34">
      <c r="B894" s="1018"/>
      <c r="C894" s="1019"/>
      <c r="D894" s="1019"/>
      <c r="E894" s="1019"/>
      <c r="F894" s="1020"/>
      <c r="G894" s="1020"/>
      <c r="H894" s="1020"/>
      <c r="I894" s="1020"/>
      <c r="J894" s="1020"/>
      <c r="K894" s="1020"/>
      <c r="L894" s="1020"/>
      <c r="M894" s="1020"/>
      <c r="N894" s="1020"/>
      <c r="O894" s="1020"/>
      <c r="P894" s="1020"/>
      <c r="Q894" s="1020"/>
      <c r="R894" s="1020"/>
      <c r="S894" s="1020"/>
      <c r="T894" s="1020"/>
      <c r="U894" s="1020"/>
      <c r="V894" s="1020"/>
      <c r="W894" s="1020"/>
      <c r="X894" s="1020"/>
      <c r="Y894" s="1020"/>
      <c r="Z894" s="1020"/>
      <c r="AA894" s="1020"/>
      <c r="AB894" s="1020"/>
      <c r="AC894" s="1020"/>
      <c r="AD894" s="1020"/>
      <c r="AE894" s="1020"/>
      <c r="AF894" s="1020"/>
      <c r="AG894" s="467"/>
      <c r="AH894" s="467"/>
    </row>
    <row r="895" ht="14.25" customHeight="1" spans="2:34">
      <c r="B895" s="1018"/>
      <c r="C895" s="1019"/>
      <c r="D895" s="1019"/>
      <c r="E895" s="1019"/>
      <c r="F895" s="1020"/>
      <c r="G895" s="1020"/>
      <c r="H895" s="1020"/>
      <c r="I895" s="1020"/>
      <c r="J895" s="1020"/>
      <c r="K895" s="1020"/>
      <c r="L895" s="1020"/>
      <c r="M895" s="1020"/>
      <c r="N895" s="1020"/>
      <c r="O895" s="1020"/>
      <c r="P895" s="1020"/>
      <c r="Q895" s="1020"/>
      <c r="R895" s="1020"/>
      <c r="S895" s="1020"/>
      <c r="T895" s="1020"/>
      <c r="U895" s="1020"/>
      <c r="V895" s="1020"/>
      <c r="W895" s="1020"/>
      <c r="X895" s="1020"/>
      <c r="Y895" s="1020"/>
      <c r="Z895" s="1020"/>
      <c r="AA895" s="1020"/>
      <c r="AB895" s="1020"/>
      <c r="AC895" s="1020"/>
      <c r="AD895" s="1020"/>
      <c r="AE895" s="1020"/>
      <c r="AF895" s="1020"/>
      <c r="AG895" s="467"/>
      <c r="AH895" s="467"/>
    </row>
    <row r="896" ht="14.25" customHeight="1" spans="2:34">
      <c r="B896" s="1018"/>
      <c r="C896" s="1019"/>
      <c r="D896" s="1019"/>
      <c r="E896" s="1019"/>
      <c r="F896" s="1020"/>
      <c r="G896" s="1020"/>
      <c r="H896" s="1020"/>
      <c r="I896" s="1020"/>
      <c r="J896" s="1020"/>
      <c r="K896" s="1020"/>
      <c r="L896" s="1020"/>
      <c r="M896" s="1020"/>
      <c r="N896" s="1020"/>
      <c r="O896" s="1020"/>
      <c r="P896" s="1020"/>
      <c r="Q896" s="1020"/>
      <c r="R896" s="1020"/>
      <c r="S896" s="1020"/>
      <c r="T896" s="1020"/>
      <c r="U896" s="1020"/>
      <c r="V896" s="1020"/>
      <c r="W896" s="1020"/>
      <c r="X896" s="1020"/>
      <c r="Y896" s="1020"/>
      <c r="Z896" s="1020"/>
      <c r="AA896" s="1020"/>
      <c r="AB896" s="1020"/>
      <c r="AC896" s="1020"/>
      <c r="AD896" s="1020"/>
      <c r="AE896" s="1020"/>
      <c r="AF896" s="1020"/>
      <c r="AG896" s="467"/>
      <c r="AH896" s="467"/>
    </row>
    <row r="897" ht="14.25" customHeight="1" spans="2:34">
      <c r="B897" s="1018"/>
      <c r="C897" s="1019"/>
      <c r="D897" s="1019"/>
      <c r="E897" s="1019"/>
      <c r="F897" s="1020"/>
      <c r="G897" s="1020"/>
      <c r="H897" s="1020"/>
      <c r="I897" s="1020"/>
      <c r="J897" s="1020"/>
      <c r="K897" s="1020"/>
      <c r="L897" s="1020"/>
      <c r="M897" s="1020"/>
      <c r="N897" s="1020"/>
      <c r="O897" s="1020"/>
      <c r="P897" s="1020"/>
      <c r="Q897" s="1020"/>
      <c r="R897" s="1020"/>
      <c r="S897" s="1020"/>
      <c r="T897" s="1020"/>
      <c r="U897" s="1020"/>
      <c r="V897" s="1020"/>
      <c r="W897" s="1020"/>
      <c r="X897" s="1020"/>
      <c r="Y897" s="1020"/>
      <c r="Z897" s="1020"/>
      <c r="AA897" s="1020"/>
      <c r="AB897" s="1020"/>
      <c r="AC897" s="1020"/>
      <c r="AD897" s="1020"/>
      <c r="AE897" s="1020"/>
      <c r="AF897" s="1020"/>
      <c r="AG897" s="467"/>
      <c r="AH897" s="467"/>
    </row>
    <row r="898" ht="14.25" customHeight="1" spans="2:34">
      <c r="B898" s="1018"/>
      <c r="C898" s="1019"/>
      <c r="D898" s="1019"/>
      <c r="E898" s="1019"/>
      <c r="F898" s="1020"/>
      <c r="G898" s="1020"/>
      <c r="H898" s="1020"/>
      <c r="I898" s="1020"/>
      <c r="J898" s="1020"/>
      <c r="K898" s="1020"/>
      <c r="L898" s="1020"/>
      <c r="M898" s="1020"/>
      <c r="N898" s="1020"/>
      <c r="O898" s="1020"/>
      <c r="P898" s="1020"/>
      <c r="Q898" s="1020"/>
      <c r="R898" s="1020"/>
      <c r="S898" s="1020"/>
      <c r="T898" s="1020"/>
      <c r="U898" s="1020"/>
      <c r="V898" s="1020"/>
      <c r="W898" s="1020"/>
      <c r="X898" s="1020"/>
      <c r="Y898" s="1020"/>
      <c r="Z898" s="1020"/>
      <c r="AA898" s="1020"/>
      <c r="AB898" s="1020"/>
      <c r="AC898" s="1020"/>
      <c r="AD898" s="1020"/>
      <c r="AE898" s="1020"/>
      <c r="AF898" s="1020"/>
      <c r="AG898" s="467"/>
      <c r="AH898" s="467"/>
    </row>
    <row r="899" ht="14.25" customHeight="1" spans="2:34">
      <c r="B899" s="1018"/>
      <c r="C899" s="1019"/>
      <c r="D899" s="1019"/>
      <c r="E899" s="1019"/>
      <c r="F899" s="1020"/>
      <c r="G899" s="1020"/>
      <c r="H899" s="1020"/>
      <c r="I899" s="1020"/>
      <c r="J899" s="1020"/>
      <c r="K899" s="1020"/>
      <c r="L899" s="1020"/>
      <c r="M899" s="1020"/>
      <c r="N899" s="1020"/>
      <c r="O899" s="1020"/>
      <c r="P899" s="1020"/>
      <c r="Q899" s="1020"/>
      <c r="R899" s="1020"/>
      <c r="S899" s="1020"/>
      <c r="T899" s="1020"/>
      <c r="U899" s="1020"/>
      <c r="V899" s="1020"/>
      <c r="W899" s="1020"/>
      <c r="X899" s="1020"/>
      <c r="Y899" s="1020"/>
      <c r="Z899" s="1020"/>
      <c r="AA899" s="1020"/>
      <c r="AB899" s="1020"/>
      <c r="AC899" s="1020"/>
      <c r="AD899" s="1020"/>
      <c r="AE899" s="1020"/>
      <c r="AF899" s="1020"/>
      <c r="AG899" s="467"/>
      <c r="AH899" s="467"/>
    </row>
    <row r="900" ht="14.25" customHeight="1" spans="2:34">
      <c r="B900" s="1018"/>
      <c r="C900" s="1019"/>
      <c r="D900" s="1019"/>
      <c r="E900" s="1019"/>
      <c r="F900" s="1020"/>
      <c r="G900" s="1020"/>
      <c r="H900" s="1020"/>
      <c r="I900" s="1020"/>
      <c r="J900" s="1020"/>
      <c r="K900" s="1020"/>
      <c r="L900" s="1020"/>
      <c r="M900" s="1020"/>
      <c r="N900" s="1020"/>
      <c r="O900" s="1020"/>
      <c r="P900" s="1020"/>
      <c r="Q900" s="1020"/>
      <c r="R900" s="1020"/>
      <c r="S900" s="1020"/>
      <c r="T900" s="1020"/>
      <c r="U900" s="1020"/>
      <c r="V900" s="1020"/>
      <c r="W900" s="1020"/>
      <c r="X900" s="1020"/>
      <c r="Y900" s="1020"/>
      <c r="Z900" s="1020"/>
      <c r="AA900" s="1020"/>
      <c r="AB900" s="1020"/>
      <c r="AC900" s="1020"/>
      <c r="AD900" s="1020"/>
      <c r="AE900" s="1020"/>
      <c r="AF900" s="1020"/>
      <c r="AG900" s="467"/>
      <c r="AH900" s="467"/>
    </row>
    <row r="901" ht="14.25" customHeight="1" spans="2:34">
      <c r="B901" s="1018"/>
      <c r="C901" s="1019"/>
      <c r="D901" s="1019"/>
      <c r="E901" s="1019"/>
      <c r="F901" s="1020"/>
      <c r="G901" s="1020"/>
      <c r="H901" s="1020"/>
      <c r="I901" s="1020"/>
      <c r="J901" s="1020"/>
      <c r="K901" s="1020"/>
      <c r="L901" s="1020"/>
      <c r="M901" s="1020"/>
      <c r="N901" s="1020"/>
      <c r="O901" s="1020"/>
      <c r="P901" s="1020"/>
      <c r="Q901" s="1020"/>
      <c r="R901" s="1020"/>
      <c r="S901" s="1020"/>
      <c r="T901" s="1020"/>
      <c r="U901" s="1020"/>
      <c r="V901" s="1020"/>
      <c r="W901" s="1020"/>
      <c r="X901" s="1020"/>
      <c r="Y901" s="1020"/>
      <c r="Z901" s="1020"/>
      <c r="AA901" s="1020"/>
      <c r="AB901" s="1020"/>
      <c r="AC901" s="1020"/>
      <c r="AD901" s="1020"/>
      <c r="AE901" s="1020"/>
      <c r="AF901" s="1020"/>
      <c r="AG901" s="467"/>
      <c r="AH901" s="467"/>
    </row>
    <row r="902" ht="14.25" customHeight="1" spans="2:34">
      <c r="B902" s="1018"/>
      <c r="C902" s="1019"/>
      <c r="D902" s="1019"/>
      <c r="E902" s="1019"/>
      <c r="F902" s="1020"/>
      <c r="G902" s="1020"/>
      <c r="H902" s="1020"/>
      <c r="I902" s="1020"/>
      <c r="J902" s="1020"/>
      <c r="K902" s="1020"/>
      <c r="L902" s="1020"/>
      <c r="M902" s="1020"/>
      <c r="N902" s="1020"/>
      <c r="O902" s="1020"/>
      <c r="P902" s="1020"/>
      <c r="Q902" s="1020"/>
      <c r="R902" s="1020"/>
      <c r="S902" s="1020"/>
      <c r="T902" s="1020"/>
      <c r="U902" s="1020"/>
      <c r="V902" s="1020"/>
      <c r="W902" s="1020"/>
      <c r="X902" s="1020"/>
      <c r="Y902" s="1020"/>
      <c r="Z902" s="1020"/>
      <c r="AA902" s="1020"/>
      <c r="AB902" s="1020"/>
      <c r="AC902" s="1020"/>
      <c r="AD902" s="1020"/>
      <c r="AE902" s="1020"/>
      <c r="AF902" s="1020"/>
      <c r="AG902" s="467"/>
      <c r="AH902" s="467"/>
    </row>
    <row r="903" ht="14.25" customHeight="1" spans="2:34">
      <c r="B903" s="1018"/>
      <c r="C903" s="1019"/>
      <c r="D903" s="1019"/>
      <c r="E903" s="1019"/>
      <c r="F903" s="1020"/>
      <c r="G903" s="1020"/>
      <c r="H903" s="1020"/>
      <c r="I903" s="1020"/>
      <c r="J903" s="1020"/>
      <c r="K903" s="1020"/>
      <c r="L903" s="1020"/>
      <c r="M903" s="1020"/>
      <c r="N903" s="1020"/>
      <c r="O903" s="1020"/>
      <c r="P903" s="1020"/>
      <c r="Q903" s="1020"/>
      <c r="R903" s="1020"/>
      <c r="S903" s="1020"/>
      <c r="T903" s="1020"/>
      <c r="U903" s="1020"/>
      <c r="V903" s="1020"/>
      <c r="W903" s="1020"/>
      <c r="X903" s="1020"/>
      <c r="Y903" s="1020"/>
      <c r="Z903" s="1020"/>
      <c r="AA903" s="1020"/>
      <c r="AB903" s="1020"/>
      <c r="AC903" s="1020"/>
      <c r="AD903" s="1020"/>
      <c r="AE903" s="1020"/>
      <c r="AF903" s="1020"/>
      <c r="AG903" s="467"/>
      <c r="AH903" s="467"/>
    </row>
    <row r="904" ht="14.25" customHeight="1" spans="2:34">
      <c r="B904" s="1018"/>
      <c r="C904" s="1019"/>
      <c r="D904" s="1019"/>
      <c r="E904" s="1019"/>
      <c r="F904" s="1020"/>
      <c r="G904" s="1020"/>
      <c r="H904" s="1020"/>
      <c r="I904" s="1020"/>
      <c r="J904" s="1020"/>
      <c r="K904" s="1020"/>
      <c r="L904" s="1020"/>
      <c r="M904" s="1020"/>
      <c r="N904" s="1020"/>
      <c r="O904" s="1020"/>
      <c r="P904" s="1020"/>
      <c r="Q904" s="1020"/>
      <c r="R904" s="1020"/>
      <c r="S904" s="1020"/>
      <c r="T904" s="1020"/>
      <c r="U904" s="1020"/>
      <c r="V904" s="1020"/>
      <c r="W904" s="1020"/>
      <c r="X904" s="1020"/>
      <c r="Y904" s="1020"/>
      <c r="Z904" s="1020"/>
      <c r="AA904" s="1020"/>
      <c r="AB904" s="1020"/>
      <c r="AC904" s="1020"/>
      <c r="AD904" s="1020"/>
      <c r="AE904" s="1020"/>
      <c r="AF904" s="1020"/>
      <c r="AG904" s="467"/>
      <c r="AH904" s="467"/>
    </row>
    <row r="905" ht="14.25" customHeight="1" spans="2:34">
      <c r="B905" s="1018"/>
      <c r="C905" s="1019"/>
      <c r="D905" s="1019"/>
      <c r="E905" s="1019"/>
      <c r="F905" s="1020"/>
      <c r="G905" s="1020"/>
      <c r="H905" s="1020"/>
      <c r="I905" s="1020"/>
      <c r="J905" s="1020"/>
      <c r="K905" s="1020"/>
      <c r="L905" s="1020"/>
      <c r="M905" s="1020"/>
      <c r="N905" s="1020"/>
      <c r="O905" s="1020"/>
      <c r="P905" s="1020"/>
      <c r="Q905" s="1020"/>
      <c r="R905" s="1020"/>
      <c r="S905" s="1020"/>
      <c r="T905" s="1020"/>
      <c r="U905" s="1020"/>
      <c r="V905" s="1020"/>
      <c r="W905" s="1020"/>
      <c r="X905" s="1020"/>
      <c r="Y905" s="1020"/>
      <c r="Z905" s="1020"/>
      <c r="AA905" s="1020"/>
      <c r="AB905" s="1020"/>
      <c r="AC905" s="1020"/>
      <c r="AD905" s="1020"/>
      <c r="AE905" s="1020"/>
      <c r="AF905" s="1020"/>
      <c r="AG905" s="467"/>
      <c r="AH905" s="467"/>
    </row>
    <row r="906" ht="14.25" customHeight="1" spans="2:34">
      <c r="B906" s="1018"/>
      <c r="C906" s="1019"/>
      <c r="D906" s="1019"/>
      <c r="E906" s="1019"/>
      <c r="F906" s="1020"/>
      <c r="G906" s="1020"/>
      <c r="H906" s="1020"/>
      <c r="I906" s="1020"/>
      <c r="J906" s="1020"/>
      <c r="K906" s="1020"/>
      <c r="L906" s="1020"/>
      <c r="M906" s="1020"/>
      <c r="N906" s="1020"/>
      <c r="O906" s="1020"/>
      <c r="P906" s="1020"/>
      <c r="Q906" s="1020"/>
      <c r="R906" s="1020"/>
      <c r="S906" s="1020"/>
      <c r="T906" s="1020"/>
      <c r="U906" s="1020"/>
      <c r="V906" s="1020"/>
      <c r="W906" s="1020"/>
      <c r="X906" s="1020"/>
      <c r="Y906" s="1020"/>
      <c r="Z906" s="1020"/>
      <c r="AA906" s="1020"/>
      <c r="AB906" s="1020"/>
      <c r="AC906" s="1020"/>
      <c r="AD906" s="1020"/>
      <c r="AE906" s="1020"/>
      <c r="AF906" s="1020"/>
      <c r="AG906" s="467"/>
      <c r="AH906" s="467"/>
    </row>
    <row r="907" ht="14.25" customHeight="1" spans="2:34">
      <c r="B907" s="1018"/>
      <c r="C907" s="1019"/>
      <c r="D907" s="1019"/>
      <c r="E907" s="1019"/>
      <c r="F907" s="1020"/>
      <c r="G907" s="1020"/>
      <c r="H907" s="1020"/>
      <c r="I907" s="1020"/>
      <c r="J907" s="1020"/>
      <c r="K907" s="1020"/>
      <c r="L907" s="1020"/>
      <c r="M907" s="1020"/>
      <c r="N907" s="1020"/>
      <c r="O907" s="1020"/>
      <c r="P907" s="1020"/>
      <c r="Q907" s="1020"/>
      <c r="R907" s="1020"/>
      <c r="S907" s="1020"/>
      <c r="T907" s="1020"/>
      <c r="U907" s="1020"/>
      <c r="V907" s="1020"/>
      <c r="W907" s="1020"/>
      <c r="X907" s="1020"/>
      <c r="Y907" s="1020"/>
      <c r="Z907" s="1020"/>
      <c r="AA907" s="1020"/>
      <c r="AB907" s="1020"/>
      <c r="AC907" s="1020"/>
      <c r="AD907" s="1020"/>
      <c r="AE907" s="1020"/>
      <c r="AF907" s="1020"/>
      <c r="AG907" s="467"/>
      <c r="AH907" s="467"/>
    </row>
    <row r="908" ht="14.25" customHeight="1" spans="2:34">
      <c r="B908" s="1018"/>
      <c r="C908" s="1019"/>
      <c r="D908" s="1019"/>
      <c r="E908" s="1019"/>
      <c r="F908" s="1020"/>
      <c r="G908" s="1020"/>
      <c r="H908" s="1020"/>
      <c r="I908" s="1020"/>
      <c r="J908" s="1020"/>
      <c r="K908" s="1020"/>
      <c r="L908" s="1020"/>
      <c r="M908" s="1020"/>
      <c r="N908" s="1020"/>
      <c r="O908" s="1020"/>
      <c r="P908" s="1020"/>
      <c r="Q908" s="1020"/>
      <c r="R908" s="1020"/>
      <c r="S908" s="1020"/>
      <c r="T908" s="1020"/>
      <c r="U908" s="1020"/>
      <c r="V908" s="1020"/>
      <c r="W908" s="1020"/>
      <c r="X908" s="1020"/>
      <c r="Y908" s="1020"/>
      <c r="Z908" s="1020"/>
      <c r="AA908" s="1020"/>
      <c r="AB908" s="1020"/>
      <c r="AC908" s="1020"/>
      <c r="AD908" s="1020"/>
      <c r="AE908" s="1020"/>
      <c r="AF908" s="1020"/>
      <c r="AG908" s="467"/>
      <c r="AH908" s="467"/>
    </row>
    <row r="909" ht="14.25" customHeight="1" spans="2:34">
      <c r="B909" s="1018"/>
      <c r="C909" s="1019"/>
      <c r="D909" s="1019"/>
      <c r="E909" s="1019"/>
      <c r="F909" s="1020"/>
      <c r="G909" s="1020"/>
      <c r="H909" s="1020"/>
      <c r="I909" s="1020"/>
      <c r="J909" s="1020"/>
      <c r="K909" s="1020"/>
      <c r="L909" s="1020"/>
      <c r="M909" s="1020"/>
      <c r="N909" s="1020"/>
      <c r="O909" s="1020"/>
      <c r="P909" s="1020"/>
      <c r="Q909" s="1020"/>
      <c r="R909" s="1020"/>
      <c r="S909" s="1020"/>
      <c r="T909" s="1020"/>
      <c r="U909" s="1020"/>
      <c r="V909" s="1020"/>
      <c r="W909" s="1020"/>
      <c r="X909" s="1020"/>
      <c r="Y909" s="1020"/>
      <c r="Z909" s="1020"/>
      <c r="AA909" s="1020"/>
      <c r="AB909" s="1020"/>
      <c r="AC909" s="1020"/>
      <c r="AD909" s="1020"/>
      <c r="AE909" s="1020"/>
      <c r="AF909" s="1020"/>
      <c r="AG909" s="467"/>
      <c r="AH909" s="467"/>
    </row>
    <row r="910" ht="14.25" customHeight="1" spans="2:34">
      <c r="B910" s="1018"/>
      <c r="C910" s="1019"/>
      <c r="D910" s="1019"/>
      <c r="E910" s="1019"/>
      <c r="F910" s="1020"/>
      <c r="G910" s="1020"/>
      <c r="H910" s="1020"/>
      <c r="I910" s="1020"/>
      <c r="J910" s="1020"/>
      <c r="K910" s="1020"/>
      <c r="L910" s="1020"/>
      <c r="M910" s="1020"/>
      <c r="N910" s="1020"/>
      <c r="O910" s="1020"/>
      <c r="P910" s="1020"/>
      <c r="Q910" s="1020"/>
      <c r="R910" s="1020"/>
      <c r="S910" s="1020"/>
      <c r="T910" s="1020"/>
      <c r="U910" s="1020"/>
      <c r="V910" s="1020"/>
      <c r="W910" s="1020"/>
      <c r="X910" s="1020"/>
      <c r="Y910" s="1020"/>
      <c r="Z910" s="1020"/>
      <c r="AA910" s="1020"/>
      <c r="AB910" s="1020"/>
      <c r="AC910" s="1020"/>
      <c r="AD910" s="1020"/>
      <c r="AE910" s="1020"/>
      <c r="AF910" s="1020"/>
      <c r="AG910" s="467"/>
      <c r="AH910" s="467"/>
    </row>
    <row r="911" ht="14.25" customHeight="1" spans="2:34">
      <c r="B911" s="1018"/>
      <c r="C911" s="1019"/>
      <c r="D911" s="1019"/>
      <c r="E911" s="1019"/>
      <c r="F911" s="1020"/>
      <c r="G911" s="1020"/>
      <c r="H911" s="1020"/>
      <c r="I911" s="1020"/>
      <c r="J911" s="1020"/>
      <c r="K911" s="1020"/>
      <c r="L911" s="1020"/>
      <c r="M911" s="1020"/>
      <c r="N911" s="1020"/>
      <c r="O911" s="1020"/>
      <c r="P911" s="1020"/>
      <c r="Q911" s="1020"/>
      <c r="R911" s="1020"/>
      <c r="S911" s="1020"/>
      <c r="T911" s="1020"/>
      <c r="U911" s="1020"/>
      <c r="V911" s="1020"/>
      <c r="W911" s="1020"/>
      <c r="X911" s="1020"/>
      <c r="Y911" s="1020"/>
      <c r="Z911" s="1020"/>
      <c r="AA911" s="1020"/>
      <c r="AB911" s="1020"/>
      <c r="AC911" s="1020"/>
      <c r="AD911" s="1020"/>
      <c r="AE911" s="1020"/>
      <c r="AF911" s="1020"/>
      <c r="AG911" s="467"/>
      <c r="AH911" s="467"/>
    </row>
    <row r="912" ht="14.25" customHeight="1" spans="2:34">
      <c r="B912" s="1018"/>
      <c r="C912" s="1019"/>
      <c r="D912" s="1019"/>
      <c r="E912" s="1019"/>
      <c r="F912" s="1020"/>
      <c r="G912" s="1020"/>
      <c r="H912" s="1020"/>
      <c r="I912" s="1020"/>
      <c r="J912" s="1020"/>
      <c r="K912" s="1020"/>
      <c r="L912" s="1020"/>
      <c r="M912" s="1020"/>
      <c r="N912" s="1020"/>
      <c r="O912" s="1020"/>
      <c r="P912" s="1020"/>
      <c r="Q912" s="1020"/>
      <c r="R912" s="1020"/>
      <c r="S912" s="1020"/>
      <c r="T912" s="1020"/>
      <c r="U912" s="1020"/>
      <c r="V912" s="1020"/>
      <c r="W912" s="1020"/>
      <c r="X912" s="1020"/>
      <c r="Y912" s="1020"/>
      <c r="Z912" s="1020"/>
      <c r="AA912" s="1020"/>
      <c r="AB912" s="1020"/>
      <c r="AC912" s="1020"/>
      <c r="AD912" s="1020"/>
      <c r="AE912" s="1020"/>
      <c r="AF912" s="1020"/>
      <c r="AG912" s="467"/>
      <c r="AH912" s="467"/>
    </row>
    <row r="913" ht="14.25" customHeight="1" spans="2:34">
      <c r="B913" s="1018"/>
      <c r="C913" s="1019"/>
      <c r="D913" s="1019"/>
      <c r="E913" s="1019"/>
      <c r="F913" s="1020"/>
      <c r="G913" s="1020"/>
      <c r="H913" s="1020"/>
      <c r="I913" s="1020"/>
      <c r="J913" s="1020"/>
      <c r="K913" s="1020"/>
      <c r="L913" s="1020"/>
      <c r="M913" s="1020"/>
      <c r="N913" s="1020"/>
      <c r="O913" s="1020"/>
      <c r="P913" s="1020"/>
      <c r="Q913" s="1020"/>
      <c r="R913" s="1020"/>
      <c r="S913" s="1020"/>
      <c r="T913" s="1020"/>
      <c r="U913" s="1020"/>
      <c r="V913" s="1020"/>
      <c r="W913" s="1020"/>
      <c r="X913" s="1020"/>
      <c r="Y913" s="1020"/>
      <c r="Z913" s="1020"/>
      <c r="AA913" s="1020"/>
      <c r="AB913" s="1020"/>
      <c r="AC913" s="1020"/>
      <c r="AD913" s="1020"/>
      <c r="AE913" s="1020"/>
      <c r="AF913" s="1020"/>
      <c r="AG913" s="467"/>
      <c r="AH913" s="467"/>
    </row>
    <row r="914" ht="14.25" customHeight="1" spans="2:34">
      <c r="B914" s="1018"/>
      <c r="C914" s="1019"/>
      <c r="D914" s="1019"/>
      <c r="E914" s="1019"/>
      <c r="F914" s="1020"/>
      <c r="G914" s="1020"/>
      <c r="H914" s="1020"/>
      <c r="I914" s="1020"/>
      <c r="J914" s="1020"/>
      <c r="K914" s="1020"/>
      <c r="L914" s="1020"/>
      <c r="M914" s="1020"/>
      <c r="N914" s="1020"/>
      <c r="O914" s="1020"/>
      <c r="P914" s="1020"/>
      <c r="Q914" s="1020"/>
      <c r="R914" s="1020"/>
      <c r="S914" s="1020"/>
      <c r="T914" s="1020"/>
      <c r="U914" s="1020"/>
      <c r="V914" s="1020"/>
      <c r="W914" s="1020"/>
      <c r="X914" s="1020"/>
      <c r="Y914" s="1020"/>
      <c r="Z914" s="1020"/>
      <c r="AA914" s="1020"/>
      <c r="AB914" s="1020"/>
      <c r="AC914" s="1020"/>
      <c r="AD914" s="1020"/>
      <c r="AE914" s="1020"/>
      <c r="AF914" s="1020"/>
      <c r="AG914" s="467"/>
      <c r="AH914" s="467"/>
    </row>
    <row r="915" ht="14.25" customHeight="1" spans="2:34">
      <c r="B915" s="1018"/>
      <c r="C915" s="1019"/>
      <c r="D915" s="1019"/>
      <c r="E915" s="1019"/>
      <c r="F915" s="1020"/>
      <c r="G915" s="1020"/>
      <c r="H915" s="1020"/>
      <c r="I915" s="1020"/>
      <c r="J915" s="1020"/>
      <c r="K915" s="1020"/>
      <c r="L915" s="1020"/>
      <c r="M915" s="1020"/>
      <c r="N915" s="1020"/>
      <c r="O915" s="1020"/>
      <c r="P915" s="1020"/>
      <c r="Q915" s="1020"/>
      <c r="R915" s="1020"/>
      <c r="S915" s="1020"/>
      <c r="T915" s="1020"/>
      <c r="U915" s="1020"/>
      <c r="V915" s="1020"/>
      <c r="W915" s="1020"/>
      <c r="X915" s="1020"/>
      <c r="Y915" s="1020"/>
      <c r="Z915" s="1020"/>
      <c r="AA915" s="1020"/>
      <c r="AB915" s="1020"/>
      <c r="AC915" s="1020"/>
      <c r="AD915" s="1020"/>
      <c r="AE915" s="1020"/>
      <c r="AF915" s="1020"/>
      <c r="AG915" s="467"/>
      <c r="AH915" s="467"/>
    </row>
    <row r="916" ht="14.25" customHeight="1" spans="2:34">
      <c r="B916" s="1018"/>
      <c r="C916" s="1019"/>
      <c r="D916" s="1019"/>
      <c r="E916" s="1019"/>
      <c r="F916" s="1020"/>
      <c r="G916" s="1020"/>
      <c r="H916" s="1020"/>
      <c r="I916" s="1020"/>
      <c r="J916" s="1020"/>
      <c r="K916" s="1020"/>
      <c r="L916" s="1020"/>
      <c r="M916" s="1020"/>
      <c r="N916" s="1020"/>
      <c r="O916" s="1020"/>
      <c r="P916" s="1020"/>
      <c r="Q916" s="1020"/>
      <c r="R916" s="1020"/>
      <c r="S916" s="1020"/>
      <c r="T916" s="1020"/>
      <c r="U916" s="1020"/>
      <c r="V916" s="1020"/>
      <c r="W916" s="1020"/>
      <c r="X916" s="1020"/>
      <c r="Y916" s="1020"/>
      <c r="Z916" s="1020"/>
      <c r="AA916" s="1020"/>
      <c r="AB916" s="1020"/>
      <c r="AC916" s="1020"/>
      <c r="AD916" s="1020"/>
      <c r="AE916" s="1020"/>
      <c r="AF916" s="1020"/>
      <c r="AG916" s="467"/>
      <c r="AH916" s="467"/>
    </row>
    <row r="917" ht="14.25" customHeight="1" spans="2:34">
      <c r="B917" s="1018"/>
      <c r="C917" s="1019"/>
      <c r="D917" s="1019"/>
      <c r="E917" s="1019"/>
      <c r="F917" s="1020"/>
      <c r="G917" s="1020"/>
      <c r="H917" s="1020"/>
      <c r="I917" s="1020"/>
      <c r="J917" s="1020"/>
      <c r="K917" s="1020"/>
      <c r="L917" s="1020"/>
      <c r="M917" s="1020"/>
      <c r="N917" s="1020"/>
      <c r="O917" s="1020"/>
      <c r="P917" s="1020"/>
      <c r="Q917" s="1020"/>
      <c r="R917" s="1020"/>
      <c r="S917" s="1020"/>
      <c r="T917" s="1020"/>
      <c r="U917" s="1020"/>
      <c r="V917" s="1020"/>
      <c r="W917" s="1020"/>
      <c r="X917" s="1020"/>
      <c r="Y917" s="1020"/>
      <c r="Z917" s="1020"/>
      <c r="AA917" s="1020"/>
      <c r="AB917" s="1020"/>
      <c r="AC917" s="1020"/>
      <c r="AD917" s="1020"/>
      <c r="AE917" s="1020"/>
      <c r="AF917" s="1020"/>
      <c r="AG917" s="467"/>
      <c r="AH917" s="467"/>
    </row>
    <row r="918" ht="14.25" customHeight="1" spans="2:34">
      <c r="B918" s="1018"/>
      <c r="C918" s="1019"/>
      <c r="D918" s="1019"/>
      <c r="E918" s="1019"/>
      <c r="F918" s="1020"/>
      <c r="G918" s="1020"/>
      <c r="H918" s="1020"/>
      <c r="I918" s="1020"/>
      <c r="J918" s="1020"/>
      <c r="K918" s="1020"/>
      <c r="L918" s="1020"/>
      <c r="M918" s="1020"/>
      <c r="N918" s="1020"/>
      <c r="O918" s="1020"/>
      <c r="P918" s="1020"/>
      <c r="Q918" s="1020"/>
      <c r="R918" s="1020"/>
      <c r="S918" s="1020"/>
      <c r="T918" s="1020"/>
      <c r="U918" s="1020"/>
      <c r="V918" s="1020"/>
      <c r="W918" s="1020"/>
      <c r="X918" s="1020"/>
      <c r="Y918" s="1020"/>
      <c r="Z918" s="1020"/>
      <c r="AA918" s="1020"/>
      <c r="AB918" s="1020"/>
      <c r="AC918" s="1020"/>
      <c r="AD918" s="1020"/>
      <c r="AE918" s="1020"/>
      <c r="AF918" s="1020"/>
      <c r="AG918" s="467"/>
      <c r="AH918" s="467"/>
    </row>
    <row r="919" ht="14.25" customHeight="1" spans="2:34">
      <c r="B919" s="1018"/>
      <c r="C919" s="1019"/>
      <c r="D919" s="1019"/>
      <c r="E919" s="1019"/>
      <c r="F919" s="1020"/>
      <c r="G919" s="1020"/>
      <c r="H919" s="1020"/>
      <c r="I919" s="1020"/>
      <c r="J919" s="1020"/>
      <c r="K919" s="1020"/>
      <c r="L919" s="1020"/>
      <c r="M919" s="1020"/>
      <c r="N919" s="1020"/>
      <c r="O919" s="1020"/>
      <c r="P919" s="1020"/>
      <c r="Q919" s="1020"/>
      <c r="R919" s="1020"/>
      <c r="S919" s="1020"/>
      <c r="T919" s="1020"/>
      <c r="U919" s="1020"/>
      <c r="V919" s="1020"/>
      <c r="W919" s="1020"/>
      <c r="X919" s="1020"/>
      <c r="Y919" s="1020"/>
      <c r="Z919" s="1020"/>
      <c r="AA919" s="1020"/>
      <c r="AB919" s="1020"/>
      <c r="AC919" s="1020"/>
      <c r="AD919" s="1020"/>
      <c r="AE919" s="1020"/>
      <c r="AF919" s="1020"/>
      <c r="AG919" s="467"/>
      <c r="AH919" s="467"/>
    </row>
    <row r="920" ht="14.25" customHeight="1" spans="2:34">
      <c r="B920" s="1018"/>
      <c r="C920" s="1019"/>
      <c r="D920" s="1019"/>
      <c r="E920" s="1019"/>
      <c r="F920" s="1020"/>
      <c r="G920" s="1020"/>
      <c r="H920" s="1020"/>
      <c r="I920" s="1020"/>
      <c r="J920" s="1020"/>
      <c r="K920" s="1020"/>
      <c r="L920" s="1020"/>
      <c r="M920" s="1020"/>
      <c r="N920" s="1020"/>
      <c r="O920" s="1020"/>
      <c r="P920" s="1020"/>
      <c r="Q920" s="1020"/>
      <c r="R920" s="1020"/>
      <c r="S920" s="1020"/>
      <c r="T920" s="1020"/>
      <c r="U920" s="1020"/>
      <c r="V920" s="1020"/>
      <c r="W920" s="1020"/>
      <c r="X920" s="1020"/>
      <c r="Y920" s="1020"/>
      <c r="Z920" s="1020"/>
      <c r="AA920" s="1020"/>
      <c r="AB920" s="1020"/>
      <c r="AC920" s="1020"/>
      <c r="AD920" s="1020"/>
      <c r="AE920" s="1020"/>
      <c r="AF920" s="1020"/>
      <c r="AG920" s="467"/>
      <c r="AH920" s="467"/>
    </row>
    <row r="921" ht="14.25" customHeight="1" spans="2:34">
      <c r="B921" s="1018"/>
      <c r="C921" s="1019"/>
      <c r="D921" s="1019"/>
      <c r="E921" s="1019"/>
      <c r="F921" s="1020"/>
      <c r="G921" s="1020"/>
      <c r="H921" s="1020"/>
      <c r="I921" s="1020"/>
      <c r="J921" s="1020"/>
      <c r="K921" s="1020"/>
      <c r="L921" s="1020"/>
      <c r="M921" s="1020"/>
      <c r="N921" s="1020"/>
      <c r="O921" s="1020"/>
      <c r="P921" s="1020"/>
      <c r="Q921" s="1020"/>
      <c r="R921" s="1020"/>
      <c r="S921" s="1020"/>
      <c r="T921" s="1020"/>
      <c r="U921" s="1020"/>
      <c r="V921" s="1020"/>
      <c r="W921" s="1020"/>
      <c r="X921" s="1020"/>
      <c r="Y921" s="1020"/>
      <c r="Z921" s="1020"/>
      <c r="AA921" s="1020"/>
      <c r="AB921" s="1020"/>
      <c r="AC921" s="1020"/>
      <c r="AD921" s="1020"/>
      <c r="AE921" s="1020"/>
      <c r="AF921" s="1020"/>
      <c r="AG921" s="467"/>
      <c r="AH921" s="467"/>
    </row>
    <row r="922" ht="14.25" customHeight="1" spans="2:34">
      <c r="B922" s="1018"/>
      <c r="C922" s="1019"/>
      <c r="D922" s="1019"/>
      <c r="E922" s="1019"/>
      <c r="F922" s="1020"/>
      <c r="G922" s="1020"/>
      <c r="H922" s="1020"/>
      <c r="I922" s="1020"/>
      <c r="J922" s="1020"/>
      <c r="K922" s="1020"/>
      <c r="L922" s="1020"/>
      <c r="M922" s="1020"/>
      <c r="N922" s="1020"/>
      <c r="O922" s="1020"/>
      <c r="P922" s="1020"/>
      <c r="Q922" s="1020"/>
      <c r="R922" s="1020"/>
      <c r="S922" s="1020"/>
      <c r="T922" s="1020"/>
      <c r="U922" s="1020"/>
      <c r="V922" s="1020"/>
      <c r="W922" s="1020"/>
      <c r="X922" s="1020"/>
      <c r="Y922" s="1020"/>
      <c r="Z922" s="1020"/>
      <c r="AA922" s="1020"/>
      <c r="AB922" s="1020"/>
      <c r="AC922" s="1020"/>
      <c r="AD922" s="1020"/>
      <c r="AE922" s="1020"/>
      <c r="AF922" s="1020"/>
      <c r="AG922" s="467"/>
      <c r="AH922" s="467"/>
    </row>
    <row r="923" ht="14.25" customHeight="1" spans="2:34">
      <c r="B923" s="1018"/>
      <c r="C923" s="1019"/>
      <c r="D923" s="1019"/>
      <c r="E923" s="1019"/>
      <c r="F923" s="1020"/>
      <c r="G923" s="1020"/>
      <c r="H923" s="1020"/>
      <c r="I923" s="1020"/>
      <c r="J923" s="1020"/>
      <c r="K923" s="1020"/>
      <c r="L923" s="1020"/>
      <c r="M923" s="1020"/>
      <c r="N923" s="1020"/>
      <c r="O923" s="1020"/>
      <c r="P923" s="1020"/>
      <c r="Q923" s="1020"/>
      <c r="R923" s="1020"/>
      <c r="S923" s="1020"/>
      <c r="T923" s="1020"/>
      <c r="U923" s="1020"/>
      <c r="V923" s="1020"/>
      <c r="W923" s="1020"/>
      <c r="X923" s="1020"/>
      <c r="Y923" s="1020"/>
      <c r="Z923" s="1020"/>
      <c r="AA923" s="1020"/>
      <c r="AB923" s="1020"/>
      <c r="AC923" s="1020"/>
      <c r="AD923" s="1020"/>
      <c r="AE923" s="1020"/>
      <c r="AF923" s="1020"/>
      <c r="AG923" s="467"/>
      <c r="AH923" s="467"/>
    </row>
    <row r="924" ht="14.25" customHeight="1" spans="2:34">
      <c r="B924" s="1018"/>
      <c r="C924" s="1019"/>
      <c r="D924" s="1019"/>
      <c r="E924" s="1019"/>
      <c r="F924" s="1020"/>
      <c r="G924" s="1020"/>
      <c r="H924" s="1020"/>
      <c r="I924" s="1020"/>
      <c r="J924" s="1020"/>
      <c r="K924" s="1020"/>
      <c r="L924" s="1020"/>
      <c r="M924" s="1020"/>
      <c r="N924" s="1020"/>
      <c r="O924" s="1020"/>
      <c r="P924" s="1020"/>
      <c r="Q924" s="1020"/>
      <c r="R924" s="1020"/>
      <c r="S924" s="1020"/>
      <c r="T924" s="1020"/>
      <c r="U924" s="1020"/>
      <c r="V924" s="1020"/>
      <c r="W924" s="1020"/>
      <c r="X924" s="1020"/>
      <c r="Y924" s="1020"/>
      <c r="Z924" s="1020"/>
      <c r="AA924" s="1020"/>
      <c r="AB924" s="1020"/>
      <c r="AC924" s="1020"/>
      <c r="AD924" s="1020"/>
      <c r="AE924" s="1020"/>
      <c r="AF924" s="1020"/>
      <c r="AG924" s="467"/>
      <c r="AH924" s="467"/>
    </row>
    <row r="925" ht="14.25" customHeight="1" spans="2:34">
      <c r="B925" s="1018"/>
      <c r="C925" s="1019"/>
      <c r="D925" s="1019"/>
      <c r="E925" s="1019"/>
      <c r="F925" s="1020"/>
      <c r="G925" s="1020"/>
      <c r="H925" s="1020"/>
      <c r="I925" s="1020"/>
      <c r="J925" s="1020"/>
      <c r="K925" s="1020"/>
      <c r="L925" s="1020"/>
      <c r="M925" s="1020"/>
      <c r="N925" s="1020"/>
      <c r="O925" s="1020"/>
      <c r="P925" s="1020"/>
      <c r="Q925" s="1020"/>
      <c r="R925" s="1020"/>
      <c r="S925" s="1020"/>
      <c r="T925" s="1020"/>
      <c r="U925" s="1020"/>
      <c r="V925" s="1020"/>
      <c r="W925" s="1020"/>
      <c r="X925" s="1020"/>
      <c r="Y925" s="1020"/>
      <c r="Z925" s="1020"/>
      <c r="AA925" s="1020"/>
      <c r="AB925" s="1020"/>
      <c r="AC925" s="1020"/>
      <c r="AD925" s="1020"/>
      <c r="AE925" s="1020"/>
      <c r="AF925" s="1020"/>
      <c r="AG925" s="467"/>
      <c r="AH925" s="467"/>
    </row>
    <row r="926" ht="14.25" customHeight="1" spans="2:34">
      <c r="B926" s="1018"/>
      <c r="C926" s="1019"/>
      <c r="D926" s="1019"/>
      <c r="E926" s="1019"/>
      <c r="F926" s="1020"/>
      <c r="G926" s="1020"/>
      <c r="H926" s="1020"/>
      <c r="I926" s="1020"/>
      <c r="J926" s="1020"/>
      <c r="K926" s="1020"/>
      <c r="L926" s="1020"/>
      <c r="M926" s="1020"/>
      <c r="N926" s="1020"/>
      <c r="O926" s="1020"/>
      <c r="P926" s="1020"/>
      <c r="Q926" s="1020"/>
      <c r="R926" s="1020"/>
      <c r="S926" s="1020"/>
      <c r="T926" s="1020"/>
      <c r="U926" s="1020"/>
      <c r="V926" s="1020"/>
      <c r="W926" s="1020"/>
      <c r="X926" s="1020"/>
      <c r="Y926" s="1020"/>
      <c r="Z926" s="1020"/>
      <c r="AA926" s="1020"/>
      <c r="AB926" s="1020"/>
      <c r="AC926" s="1020"/>
      <c r="AD926" s="1020"/>
      <c r="AE926" s="1020"/>
      <c r="AF926" s="1020"/>
      <c r="AG926" s="467"/>
      <c r="AH926" s="467"/>
    </row>
    <row r="927" ht="14.25" customHeight="1" spans="2:34">
      <c r="B927" s="1018"/>
      <c r="C927" s="1019"/>
      <c r="D927" s="1019"/>
      <c r="E927" s="1019"/>
      <c r="F927" s="1020"/>
      <c r="G927" s="1020"/>
      <c r="H927" s="1020"/>
      <c r="I927" s="1020"/>
      <c r="J927" s="1020"/>
      <c r="K927" s="1020"/>
      <c r="L927" s="1020"/>
      <c r="M927" s="1020"/>
      <c r="N927" s="1020"/>
      <c r="O927" s="1020"/>
      <c r="P927" s="1020"/>
      <c r="Q927" s="1020"/>
      <c r="R927" s="1020"/>
      <c r="S927" s="1020"/>
      <c r="T927" s="1020"/>
      <c r="U927" s="1020"/>
      <c r="V927" s="1020"/>
      <c r="W927" s="1020"/>
      <c r="X927" s="1020"/>
      <c r="Y927" s="1020"/>
      <c r="Z927" s="1020"/>
      <c r="AA927" s="1020"/>
      <c r="AB927" s="1020"/>
      <c r="AC927" s="1020"/>
      <c r="AD927" s="1020"/>
      <c r="AE927" s="1020"/>
      <c r="AF927" s="1020"/>
      <c r="AG927" s="467"/>
      <c r="AH927" s="467"/>
    </row>
    <row r="928" ht="14.25" customHeight="1" spans="2:34">
      <c r="B928" s="1018"/>
      <c r="C928" s="1019"/>
      <c r="D928" s="1019"/>
      <c r="E928" s="1019"/>
      <c r="F928" s="1020"/>
      <c r="G928" s="1020"/>
      <c r="H928" s="1020"/>
      <c r="I928" s="1020"/>
      <c r="J928" s="1020"/>
      <c r="K928" s="1020"/>
      <c r="L928" s="1020"/>
      <c r="M928" s="1020"/>
      <c r="N928" s="1020"/>
      <c r="O928" s="1020"/>
      <c r="P928" s="1020"/>
      <c r="Q928" s="1020"/>
      <c r="R928" s="1020"/>
      <c r="S928" s="1020"/>
      <c r="T928" s="1020"/>
      <c r="U928" s="1020"/>
      <c r="V928" s="1020"/>
      <c r="W928" s="1020"/>
      <c r="X928" s="1020"/>
      <c r="Y928" s="1020"/>
      <c r="Z928" s="1020"/>
      <c r="AA928" s="1020"/>
      <c r="AB928" s="1020"/>
      <c r="AC928" s="1020"/>
      <c r="AD928" s="1020"/>
      <c r="AE928" s="1020"/>
      <c r="AF928" s="1020"/>
      <c r="AG928" s="467"/>
      <c r="AH928" s="467"/>
    </row>
    <row r="929" ht="14.25" customHeight="1" spans="2:34">
      <c r="B929" s="1018"/>
      <c r="C929" s="1019"/>
      <c r="D929" s="1019"/>
      <c r="E929" s="1019"/>
      <c r="F929" s="1020"/>
      <c r="G929" s="1020"/>
      <c r="H929" s="1020"/>
      <c r="I929" s="1020"/>
      <c r="J929" s="1020"/>
      <c r="K929" s="1020"/>
      <c r="L929" s="1020"/>
      <c r="M929" s="1020"/>
      <c r="N929" s="1020"/>
      <c r="O929" s="1020"/>
      <c r="P929" s="1020"/>
      <c r="Q929" s="1020"/>
      <c r="R929" s="1020"/>
      <c r="S929" s="1020"/>
      <c r="T929" s="1020"/>
      <c r="U929" s="1020"/>
      <c r="V929" s="1020"/>
      <c r="W929" s="1020"/>
      <c r="X929" s="1020"/>
      <c r="Y929" s="1020"/>
      <c r="Z929" s="1020"/>
      <c r="AA929" s="1020"/>
      <c r="AB929" s="1020"/>
      <c r="AC929" s="1020"/>
      <c r="AD929" s="1020"/>
      <c r="AE929" s="1020"/>
      <c r="AF929" s="1020"/>
      <c r="AG929" s="467"/>
      <c r="AH929" s="467"/>
    </row>
    <row r="930" ht="14.25" customHeight="1" spans="2:34">
      <c r="B930" s="1018"/>
      <c r="C930" s="1019"/>
      <c r="D930" s="1019"/>
      <c r="E930" s="1019"/>
      <c r="F930" s="1020"/>
      <c r="G930" s="1020"/>
      <c r="H930" s="1020"/>
      <c r="I930" s="1020"/>
      <c r="J930" s="1020"/>
      <c r="K930" s="1020"/>
      <c r="L930" s="1020"/>
      <c r="M930" s="1020"/>
      <c r="N930" s="1020"/>
      <c r="O930" s="1020"/>
      <c r="P930" s="1020"/>
      <c r="Q930" s="1020"/>
      <c r="R930" s="1020"/>
      <c r="S930" s="1020"/>
      <c r="T930" s="1020"/>
      <c r="U930" s="1020"/>
      <c r="V930" s="1020"/>
      <c r="W930" s="1020"/>
      <c r="X930" s="1020"/>
      <c r="Y930" s="1020"/>
      <c r="Z930" s="1020"/>
      <c r="AA930" s="1020"/>
      <c r="AB930" s="1020"/>
      <c r="AC930" s="1020"/>
      <c r="AD930" s="1020"/>
      <c r="AE930" s="1020"/>
      <c r="AF930" s="1020"/>
      <c r="AG930" s="467"/>
      <c r="AH930" s="467"/>
    </row>
    <row r="931" ht="14.25" customHeight="1" spans="2:34">
      <c r="B931" s="1018"/>
      <c r="C931" s="1019"/>
      <c r="D931" s="1019"/>
      <c r="E931" s="1019"/>
      <c r="F931" s="1020"/>
      <c r="G931" s="1020"/>
      <c r="H931" s="1020"/>
      <c r="I931" s="1020"/>
      <c r="J931" s="1020"/>
      <c r="K931" s="1020"/>
      <c r="L931" s="1020"/>
      <c r="M931" s="1020"/>
      <c r="N931" s="1020"/>
      <c r="O931" s="1020"/>
      <c r="P931" s="1020"/>
      <c r="Q931" s="1020"/>
      <c r="R931" s="1020"/>
      <c r="S931" s="1020"/>
      <c r="T931" s="1020"/>
      <c r="U931" s="1020"/>
      <c r="V931" s="1020"/>
      <c r="W931" s="1020"/>
      <c r="X931" s="1020"/>
      <c r="Y931" s="1020"/>
      <c r="Z931" s="1020"/>
      <c r="AA931" s="1020"/>
      <c r="AB931" s="1020"/>
      <c r="AC931" s="1020"/>
      <c r="AD931" s="1020"/>
      <c r="AE931" s="1020"/>
      <c r="AF931" s="1020"/>
      <c r="AG931" s="467"/>
      <c r="AH931" s="467"/>
    </row>
    <row r="932" ht="14.25" customHeight="1" spans="2:34">
      <c r="B932" s="1018"/>
      <c r="C932" s="1019"/>
      <c r="D932" s="1019"/>
      <c r="E932" s="1019"/>
      <c r="F932" s="1020"/>
      <c r="G932" s="1020"/>
      <c r="H932" s="1020"/>
      <c r="I932" s="1020"/>
      <c r="J932" s="1020"/>
      <c r="K932" s="1020"/>
      <c r="L932" s="1020"/>
      <c r="M932" s="1020"/>
      <c r="N932" s="1020"/>
      <c r="O932" s="1020"/>
      <c r="P932" s="1020"/>
      <c r="Q932" s="1020"/>
      <c r="R932" s="1020"/>
      <c r="S932" s="1020"/>
      <c r="T932" s="1020"/>
      <c r="U932" s="1020"/>
      <c r="V932" s="1020"/>
      <c r="W932" s="1020"/>
      <c r="X932" s="1020"/>
      <c r="Y932" s="1020"/>
      <c r="Z932" s="1020"/>
      <c r="AA932" s="1020"/>
      <c r="AB932" s="1020"/>
      <c r="AC932" s="1020"/>
      <c r="AD932" s="1020"/>
      <c r="AE932" s="1020"/>
      <c r="AF932" s="1020"/>
      <c r="AG932" s="467"/>
      <c r="AH932" s="467"/>
    </row>
    <row r="933" ht="14.25" customHeight="1" spans="2:34">
      <c r="B933" s="1018"/>
      <c r="C933" s="1019"/>
      <c r="D933" s="1019"/>
      <c r="E933" s="1019"/>
      <c r="F933" s="1020"/>
      <c r="G933" s="1020"/>
      <c r="H933" s="1020"/>
      <c r="I933" s="1020"/>
      <c r="J933" s="1020"/>
      <c r="K933" s="1020"/>
      <c r="L933" s="1020"/>
      <c r="M933" s="1020"/>
      <c r="N933" s="1020"/>
      <c r="O933" s="1020"/>
      <c r="P933" s="1020"/>
      <c r="Q933" s="1020"/>
      <c r="R933" s="1020"/>
      <c r="S933" s="1020"/>
      <c r="T933" s="1020"/>
      <c r="U933" s="1020"/>
      <c r="V933" s="1020"/>
      <c r="W933" s="1020"/>
      <c r="X933" s="1020"/>
      <c r="Y933" s="1020"/>
      <c r="Z933" s="1020"/>
      <c r="AA933" s="1020"/>
      <c r="AB933" s="1020"/>
      <c r="AC933" s="1020"/>
      <c r="AD933" s="1020"/>
      <c r="AE933" s="1020"/>
      <c r="AF933" s="1020"/>
      <c r="AG933" s="467"/>
      <c r="AH933" s="467"/>
    </row>
    <row r="934" ht="14.25" customHeight="1" spans="2:34">
      <c r="B934" s="1018"/>
      <c r="C934" s="1019"/>
      <c r="D934" s="1019"/>
      <c r="E934" s="1019"/>
      <c r="F934" s="1020"/>
      <c r="G934" s="1020"/>
      <c r="H934" s="1020"/>
      <c r="I934" s="1020"/>
      <c r="J934" s="1020"/>
      <c r="K934" s="1020"/>
      <c r="L934" s="1020"/>
      <c r="M934" s="1020"/>
      <c r="N934" s="1020"/>
      <c r="O934" s="1020"/>
      <c r="P934" s="1020"/>
      <c r="Q934" s="1020"/>
      <c r="R934" s="1020"/>
      <c r="S934" s="1020"/>
      <c r="T934" s="1020"/>
      <c r="U934" s="1020"/>
      <c r="V934" s="1020"/>
      <c r="W934" s="1020"/>
      <c r="X934" s="1020"/>
      <c r="Y934" s="1020"/>
      <c r="Z934" s="1020"/>
      <c r="AA934" s="1020"/>
      <c r="AB934" s="1020"/>
      <c r="AC934" s="1020"/>
      <c r="AD934" s="1020"/>
      <c r="AE934" s="1020"/>
      <c r="AF934" s="1020"/>
      <c r="AG934" s="467"/>
      <c r="AH934" s="467"/>
    </row>
    <row r="935" ht="14.25" customHeight="1" spans="2:34">
      <c r="B935" s="1018"/>
      <c r="C935" s="1019"/>
      <c r="D935" s="1019"/>
      <c r="E935" s="1019"/>
      <c r="F935" s="1020"/>
      <c r="G935" s="1020"/>
      <c r="H935" s="1020"/>
      <c r="I935" s="1020"/>
      <c r="J935" s="1020"/>
      <c r="K935" s="1020"/>
      <c r="L935" s="1020"/>
      <c r="M935" s="1020"/>
      <c r="N935" s="1020"/>
      <c r="O935" s="1020"/>
      <c r="P935" s="1020"/>
      <c r="Q935" s="1020"/>
      <c r="R935" s="1020"/>
      <c r="S935" s="1020"/>
      <c r="T935" s="1020"/>
      <c r="U935" s="1020"/>
      <c r="V935" s="1020"/>
      <c r="W935" s="1020"/>
      <c r="X935" s="1020"/>
      <c r="Y935" s="1020"/>
      <c r="Z935" s="1020"/>
      <c r="AA935" s="1020"/>
      <c r="AB935" s="1020"/>
      <c r="AC935" s="1020"/>
      <c r="AD935" s="1020"/>
      <c r="AE935" s="1020"/>
      <c r="AF935" s="1020"/>
      <c r="AG935" s="467"/>
      <c r="AH935" s="467"/>
    </row>
    <row r="936" ht="14.25" customHeight="1" spans="2:34">
      <c r="B936" s="1018"/>
      <c r="C936" s="1019"/>
      <c r="D936" s="1019"/>
      <c r="E936" s="1019"/>
      <c r="F936" s="1020"/>
      <c r="G936" s="1020"/>
      <c r="H936" s="1020"/>
      <c r="I936" s="1020"/>
      <c r="J936" s="1020"/>
      <c r="K936" s="1020"/>
      <c r="L936" s="1020"/>
      <c r="M936" s="1020"/>
      <c r="N936" s="1020"/>
      <c r="O936" s="1020"/>
      <c r="P936" s="1020"/>
      <c r="Q936" s="1020"/>
      <c r="R936" s="1020"/>
      <c r="S936" s="1020"/>
      <c r="T936" s="1020"/>
      <c r="U936" s="1020"/>
      <c r="V936" s="1020"/>
      <c r="W936" s="1020"/>
      <c r="X936" s="1020"/>
      <c r="Y936" s="1020"/>
      <c r="Z936" s="1020"/>
      <c r="AA936" s="1020"/>
      <c r="AB936" s="1020"/>
      <c r="AC936" s="1020"/>
      <c r="AD936" s="1020"/>
      <c r="AE936" s="1020"/>
      <c r="AF936" s="1020"/>
      <c r="AG936" s="467"/>
      <c r="AH936" s="467"/>
    </row>
    <row r="937" ht="14.25" customHeight="1" spans="2:34">
      <c r="B937" s="1018"/>
      <c r="C937" s="1019"/>
      <c r="D937" s="1019"/>
      <c r="E937" s="1019"/>
      <c r="F937" s="1020"/>
      <c r="G937" s="1020"/>
      <c r="H937" s="1020"/>
      <c r="I937" s="1020"/>
      <c r="J937" s="1020"/>
      <c r="K937" s="1020"/>
      <c r="L937" s="1020"/>
      <c r="M937" s="1020"/>
      <c r="N937" s="1020"/>
      <c r="O937" s="1020"/>
      <c r="P937" s="1020"/>
      <c r="Q937" s="1020"/>
      <c r="R937" s="1020"/>
      <c r="S937" s="1020"/>
      <c r="T937" s="1020"/>
      <c r="U937" s="1020"/>
      <c r="V937" s="1020"/>
      <c r="W937" s="1020"/>
      <c r="X937" s="1020"/>
      <c r="Y937" s="1020"/>
      <c r="Z937" s="1020"/>
      <c r="AA937" s="1020"/>
      <c r="AB937" s="1020"/>
      <c r="AC937" s="1020"/>
      <c r="AD937" s="1020"/>
      <c r="AE937" s="1020"/>
      <c r="AF937" s="1020"/>
      <c r="AG937" s="467"/>
      <c r="AH937" s="467"/>
    </row>
    <row r="938" ht="14.25" customHeight="1" spans="2:34">
      <c r="B938" s="1018"/>
      <c r="C938" s="1019"/>
      <c r="D938" s="1019"/>
      <c r="E938" s="1019"/>
      <c r="F938" s="1020"/>
      <c r="G938" s="1020"/>
      <c r="H938" s="1020"/>
      <c r="I938" s="1020"/>
      <c r="J938" s="1020"/>
      <c r="K938" s="1020"/>
      <c r="L938" s="1020"/>
      <c r="M938" s="1020"/>
      <c r="N938" s="1020"/>
      <c r="O938" s="1020"/>
      <c r="P938" s="1020"/>
      <c r="Q938" s="1020"/>
      <c r="R938" s="1020"/>
      <c r="S938" s="1020"/>
      <c r="T938" s="1020"/>
      <c r="U938" s="1020"/>
      <c r="V938" s="1020"/>
      <c r="W938" s="1020"/>
      <c r="X938" s="1020"/>
      <c r="Y938" s="1020"/>
      <c r="Z938" s="1020"/>
      <c r="AA938" s="1020"/>
      <c r="AB938" s="1020"/>
      <c r="AC938" s="1020"/>
      <c r="AD938" s="1020"/>
      <c r="AE938" s="1020"/>
      <c r="AF938" s="1020"/>
      <c r="AG938" s="467"/>
      <c r="AH938" s="467"/>
    </row>
    <row r="939" ht="14.25" customHeight="1" spans="2:34">
      <c r="B939" s="1018"/>
      <c r="C939" s="1019"/>
      <c r="D939" s="1019"/>
      <c r="E939" s="1019"/>
      <c r="F939" s="1020"/>
      <c r="G939" s="1020"/>
      <c r="H939" s="1020"/>
      <c r="I939" s="1020"/>
      <c r="J939" s="1020"/>
      <c r="K939" s="1020"/>
      <c r="L939" s="1020"/>
      <c r="M939" s="1020"/>
      <c r="N939" s="1020"/>
      <c r="O939" s="1020"/>
      <c r="P939" s="1020"/>
      <c r="Q939" s="1020"/>
      <c r="R939" s="1020"/>
      <c r="S939" s="1020"/>
      <c r="T939" s="1020"/>
      <c r="U939" s="1020"/>
      <c r="V939" s="1020"/>
      <c r="W939" s="1020"/>
      <c r="X939" s="1020"/>
      <c r="Y939" s="1020"/>
      <c r="Z939" s="1020"/>
      <c r="AA939" s="1020"/>
      <c r="AB939" s="1020"/>
      <c r="AC939" s="1020"/>
      <c r="AD939" s="1020"/>
      <c r="AE939" s="1020"/>
      <c r="AF939" s="1020"/>
      <c r="AG939" s="467"/>
      <c r="AH939" s="467"/>
    </row>
    <row r="940" ht="14.25" customHeight="1" spans="2:34">
      <c r="B940" s="1018"/>
      <c r="C940" s="1019"/>
      <c r="D940" s="1019"/>
      <c r="E940" s="1019"/>
      <c r="F940" s="1020"/>
      <c r="G940" s="1020"/>
      <c r="H940" s="1020"/>
      <c r="I940" s="1020"/>
      <c r="J940" s="1020"/>
      <c r="K940" s="1020"/>
      <c r="L940" s="1020"/>
      <c r="M940" s="1020"/>
      <c r="N940" s="1020"/>
      <c r="O940" s="1020"/>
      <c r="P940" s="1020"/>
      <c r="Q940" s="1020"/>
      <c r="R940" s="1020"/>
      <c r="S940" s="1020"/>
      <c r="T940" s="1020"/>
      <c r="U940" s="1020"/>
      <c r="V940" s="1020"/>
      <c r="W940" s="1020"/>
      <c r="X940" s="1020"/>
      <c r="Y940" s="1020"/>
      <c r="Z940" s="1020"/>
      <c r="AA940" s="1020"/>
      <c r="AB940" s="1020"/>
      <c r="AC940" s="1020"/>
      <c r="AD940" s="1020"/>
      <c r="AE940" s="1020"/>
      <c r="AF940" s="1020"/>
      <c r="AG940" s="467"/>
      <c r="AH940" s="467"/>
    </row>
    <row r="941" ht="14.25" customHeight="1" spans="2:34">
      <c r="B941" s="1018"/>
      <c r="C941" s="1019"/>
      <c r="D941" s="1019"/>
      <c r="E941" s="1019"/>
      <c r="F941" s="1020"/>
      <c r="G941" s="1020"/>
      <c r="H941" s="1020"/>
      <c r="I941" s="1020"/>
      <c r="J941" s="1020"/>
      <c r="K941" s="1020"/>
      <c r="L941" s="1020"/>
      <c r="M941" s="1020"/>
      <c r="N941" s="1020"/>
      <c r="O941" s="1020"/>
      <c r="P941" s="1020"/>
      <c r="Q941" s="1020"/>
      <c r="R941" s="1020"/>
      <c r="S941" s="1020"/>
      <c r="T941" s="1020"/>
      <c r="U941" s="1020"/>
      <c r="V941" s="1020"/>
      <c r="W941" s="1020"/>
      <c r="X941" s="1020"/>
      <c r="Y941" s="1020"/>
      <c r="Z941" s="1020"/>
      <c r="AA941" s="1020"/>
      <c r="AB941" s="1020"/>
      <c r="AC941" s="1020"/>
      <c r="AD941" s="1020"/>
      <c r="AE941" s="1020"/>
      <c r="AF941" s="1020"/>
      <c r="AG941" s="467"/>
      <c r="AH941" s="467"/>
    </row>
    <row r="942" ht="14.25" customHeight="1" spans="2:34">
      <c r="B942" s="1018"/>
      <c r="C942" s="1019"/>
      <c r="D942" s="1019"/>
      <c r="E942" s="1019"/>
      <c r="F942" s="1020"/>
      <c r="G942" s="1020"/>
      <c r="H942" s="1020"/>
      <c r="I942" s="1020"/>
      <c r="J942" s="1020"/>
      <c r="K942" s="1020"/>
      <c r="L942" s="1020"/>
      <c r="M942" s="1020"/>
      <c r="N942" s="1020"/>
      <c r="O942" s="1020"/>
      <c r="P942" s="1020"/>
      <c r="Q942" s="1020"/>
      <c r="R942" s="1020"/>
      <c r="S942" s="1020"/>
      <c r="T942" s="1020"/>
      <c r="U942" s="1020"/>
      <c r="V942" s="1020"/>
      <c r="W942" s="1020"/>
      <c r="X942" s="1020"/>
      <c r="Y942" s="1020"/>
      <c r="Z942" s="1020"/>
      <c r="AA942" s="1020"/>
      <c r="AB942" s="1020"/>
      <c r="AC942" s="1020"/>
      <c r="AD942" s="1020"/>
      <c r="AE942" s="1020"/>
      <c r="AF942" s="1020"/>
      <c r="AG942" s="467"/>
      <c r="AH942" s="467"/>
    </row>
    <row r="943" ht="14.25" customHeight="1" spans="2:34">
      <c r="B943" s="1018"/>
      <c r="C943" s="1019"/>
      <c r="D943" s="1019"/>
      <c r="E943" s="1019"/>
      <c r="F943" s="1020"/>
      <c r="G943" s="1020"/>
      <c r="H943" s="1020"/>
      <c r="I943" s="1020"/>
      <c r="J943" s="1020"/>
      <c r="K943" s="1020"/>
      <c r="L943" s="1020"/>
      <c r="M943" s="1020"/>
      <c r="N943" s="1020"/>
      <c r="O943" s="1020"/>
      <c r="P943" s="1020"/>
      <c r="Q943" s="1020"/>
      <c r="R943" s="1020"/>
      <c r="S943" s="1020"/>
      <c r="T943" s="1020"/>
      <c r="U943" s="1020"/>
      <c r="V943" s="1020"/>
      <c r="W943" s="1020"/>
      <c r="X943" s="1020"/>
      <c r="Y943" s="1020"/>
      <c r="Z943" s="1020"/>
      <c r="AA943" s="1020"/>
      <c r="AB943" s="1020"/>
      <c r="AC943" s="1020"/>
      <c r="AD943" s="1020"/>
      <c r="AE943" s="1020"/>
      <c r="AF943" s="1020"/>
      <c r="AG943" s="467"/>
      <c r="AH943" s="467"/>
    </row>
    <row r="944" ht="14.25" customHeight="1" spans="2:34">
      <c r="B944" s="1018"/>
      <c r="C944" s="1019"/>
      <c r="D944" s="1019"/>
      <c r="E944" s="1019"/>
      <c r="F944" s="1020"/>
      <c r="G944" s="1020"/>
      <c r="H944" s="1020"/>
      <c r="I944" s="1020"/>
      <c r="J944" s="1020"/>
      <c r="K944" s="1020"/>
      <c r="L944" s="1020"/>
      <c r="M944" s="1020"/>
      <c r="N944" s="1020"/>
      <c r="O944" s="1020"/>
      <c r="P944" s="1020"/>
      <c r="Q944" s="1020"/>
      <c r="R944" s="1020"/>
      <c r="S944" s="1020"/>
      <c r="T944" s="1020"/>
      <c r="U944" s="1020"/>
      <c r="V944" s="1020"/>
      <c r="W944" s="1020"/>
      <c r="X944" s="1020"/>
      <c r="Y944" s="1020"/>
      <c r="Z944" s="1020"/>
      <c r="AA944" s="1020"/>
      <c r="AB944" s="1020"/>
      <c r="AC944" s="1020"/>
      <c r="AD944" s="1020"/>
      <c r="AE944" s="1020"/>
      <c r="AF944" s="1020"/>
      <c r="AG944" s="467"/>
      <c r="AH944" s="467"/>
    </row>
    <row r="945" ht="14.25" customHeight="1" spans="2:34">
      <c r="B945" s="1018"/>
      <c r="C945" s="1019"/>
      <c r="D945" s="1019"/>
      <c r="E945" s="1019"/>
      <c r="F945" s="1020"/>
      <c r="G945" s="1020"/>
      <c r="H945" s="1020"/>
      <c r="I945" s="1020"/>
      <c r="J945" s="1020"/>
      <c r="K945" s="1020"/>
      <c r="L945" s="1020"/>
      <c r="M945" s="1020"/>
      <c r="N945" s="1020"/>
      <c r="O945" s="1020"/>
      <c r="P945" s="1020"/>
      <c r="Q945" s="1020"/>
      <c r="R945" s="1020"/>
      <c r="S945" s="1020"/>
      <c r="T945" s="1020"/>
      <c r="U945" s="1020"/>
      <c r="V945" s="1020"/>
      <c r="W945" s="1020"/>
      <c r="X945" s="1020"/>
      <c r="Y945" s="1020"/>
      <c r="Z945" s="1020"/>
      <c r="AA945" s="1020"/>
      <c r="AB945" s="1020"/>
      <c r="AC945" s="1020"/>
      <c r="AD945" s="1020"/>
      <c r="AE945" s="1020"/>
      <c r="AF945" s="1020"/>
      <c r="AG945" s="467"/>
      <c r="AH945" s="467"/>
    </row>
    <row r="946" ht="14.25" customHeight="1" spans="2:34">
      <c r="B946" s="1018"/>
      <c r="C946" s="1019"/>
      <c r="D946" s="1019"/>
      <c r="E946" s="1019"/>
      <c r="F946" s="1020"/>
      <c r="G946" s="1020"/>
      <c r="H946" s="1020"/>
      <c r="I946" s="1020"/>
      <c r="J946" s="1020"/>
      <c r="K946" s="1020"/>
      <c r="L946" s="1020"/>
      <c r="M946" s="1020"/>
      <c r="N946" s="1020"/>
      <c r="O946" s="1020"/>
      <c r="P946" s="1020"/>
      <c r="Q946" s="1020"/>
      <c r="R946" s="1020"/>
      <c r="S946" s="1020"/>
      <c r="T946" s="1020"/>
      <c r="U946" s="1020"/>
      <c r="V946" s="1020"/>
      <c r="W946" s="1020"/>
      <c r="X946" s="1020"/>
      <c r="Y946" s="1020"/>
      <c r="Z946" s="1020"/>
      <c r="AA946" s="1020"/>
      <c r="AB946" s="1020"/>
      <c r="AC946" s="1020"/>
      <c r="AD946" s="1020"/>
      <c r="AE946" s="1020"/>
      <c r="AF946" s="1020"/>
      <c r="AG946" s="467"/>
      <c r="AH946" s="467"/>
    </row>
    <row r="947" ht="14.25" customHeight="1" spans="2:34">
      <c r="B947" s="1018"/>
      <c r="C947" s="1019"/>
      <c r="D947" s="1019"/>
      <c r="E947" s="1019"/>
      <c r="F947" s="1020"/>
      <c r="G947" s="1020"/>
      <c r="H947" s="1020"/>
      <c r="I947" s="1020"/>
      <c r="J947" s="1020"/>
      <c r="K947" s="1020"/>
      <c r="L947" s="1020"/>
      <c r="M947" s="1020"/>
      <c r="N947" s="1020"/>
      <c r="O947" s="1020"/>
      <c r="P947" s="1020"/>
      <c r="Q947" s="1020"/>
      <c r="R947" s="1020"/>
      <c r="S947" s="1020"/>
      <c r="T947" s="1020"/>
      <c r="U947" s="1020"/>
      <c r="V947" s="1020"/>
      <c r="W947" s="1020"/>
      <c r="X947" s="1020"/>
      <c r="Y947" s="1020"/>
      <c r="Z947" s="1020"/>
      <c r="AA947" s="1020"/>
      <c r="AB947" s="1020"/>
      <c r="AC947" s="1020"/>
      <c r="AD947" s="1020"/>
      <c r="AE947" s="1020"/>
      <c r="AF947" s="1020"/>
      <c r="AG947" s="467"/>
      <c r="AH947" s="467"/>
    </row>
    <row r="948" ht="14.25" customHeight="1" spans="2:34">
      <c r="B948" s="1018"/>
      <c r="C948" s="1019"/>
      <c r="D948" s="1019"/>
      <c r="E948" s="1019"/>
      <c r="F948" s="1020"/>
      <c r="G948" s="1020"/>
      <c r="H948" s="1020"/>
      <c r="I948" s="1020"/>
      <c r="J948" s="1020"/>
      <c r="K948" s="1020"/>
      <c r="L948" s="1020"/>
      <c r="M948" s="1020"/>
      <c r="N948" s="1020"/>
      <c r="O948" s="1020"/>
      <c r="P948" s="1020"/>
      <c r="Q948" s="1020"/>
      <c r="R948" s="1020"/>
      <c r="S948" s="1020"/>
      <c r="T948" s="1020"/>
      <c r="U948" s="1020"/>
      <c r="V948" s="1020"/>
      <c r="W948" s="1020"/>
      <c r="X948" s="1020"/>
      <c r="Y948" s="1020"/>
      <c r="Z948" s="1020"/>
      <c r="AA948" s="1020"/>
      <c r="AB948" s="1020"/>
      <c r="AC948" s="1020"/>
      <c r="AD948" s="1020"/>
      <c r="AE948" s="1020"/>
      <c r="AF948" s="1020"/>
      <c r="AG948" s="467"/>
      <c r="AH948" s="467"/>
    </row>
    <row r="949" ht="14.25" customHeight="1" spans="2:34">
      <c r="B949" s="1018"/>
      <c r="C949" s="1019"/>
      <c r="D949" s="1019"/>
      <c r="E949" s="1019"/>
      <c r="F949" s="1020"/>
      <c r="G949" s="1020"/>
      <c r="H949" s="1020"/>
      <c r="I949" s="1020"/>
      <c r="J949" s="1020"/>
      <c r="K949" s="1020"/>
      <c r="L949" s="1020"/>
      <c r="M949" s="1020"/>
      <c r="N949" s="1020"/>
      <c r="O949" s="1020"/>
      <c r="P949" s="1020"/>
      <c r="Q949" s="1020"/>
      <c r="R949" s="1020"/>
      <c r="S949" s="1020"/>
      <c r="T949" s="1020"/>
      <c r="U949" s="1020"/>
      <c r="V949" s="1020"/>
      <c r="W949" s="1020"/>
      <c r="X949" s="1020"/>
      <c r="Y949" s="1020"/>
      <c r="Z949" s="1020"/>
      <c r="AA949" s="1020"/>
      <c r="AB949" s="1020"/>
      <c r="AC949" s="1020"/>
      <c r="AD949" s="1020"/>
      <c r="AE949" s="1020"/>
      <c r="AF949" s="1020"/>
      <c r="AG949" s="467"/>
      <c r="AH949" s="467"/>
    </row>
    <row r="950" ht="14.25" customHeight="1" spans="2:34">
      <c r="B950" s="1018"/>
      <c r="C950" s="1019"/>
      <c r="D950" s="1019"/>
      <c r="E950" s="1019"/>
      <c r="F950" s="1020"/>
      <c r="G950" s="1020"/>
      <c r="H950" s="1020"/>
      <c r="I950" s="1020"/>
      <c r="J950" s="1020"/>
      <c r="K950" s="1020"/>
      <c r="L950" s="1020"/>
      <c r="M950" s="1020"/>
      <c r="N950" s="1020"/>
      <c r="O950" s="1020"/>
      <c r="P950" s="1020"/>
      <c r="Q950" s="1020"/>
      <c r="R950" s="1020"/>
      <c r="S950" s="1020"/>
      <c r="T950" s="1020"/>
      <c r="U950" s="1020"/>
      <c r="V950" s="1020"/>
      <c r="W950" s="1020"/>
      <c r="X950" s="1020"/>
      <c r="Y950" s="1020"/>
      <c r="Z950" s="1020"/>
      <c r="AA950" s="1020"/>
      <c r="AB950" s="1020"/>
      <c r="AC950" s="1020"/>
      <c r="AD950" s="1020"/>
      <c r="AE950" s="1020"/>
      <c r="AF950" s="1020"/>
      <c r="AG950" s="467"/>
      <c r="AH950" s="467"/>
    </row>
    <row r="951" ht="14.25" customHeight="1" spans="2:34">
      <c r="B951" s="1018"/>
      <c r="C951" s="1019"/>
      <c r="D951" s="1019"/>
      <c r="E951" s="1019"/>
      <c r="F951" s="1020"/>
      <c r="G951" s="1020"/>
      <c r="H951" s="1020"/>
      <c r="I951" s="1020"/>
      <c r="J951" s="1020"/>
      <c r="K951" s="1020"/>
      <c r="L951" s="1020"/>
      <c r="M951" s="1020"/>
      <c r="N951" s="1020"/>
      <c r="O951" s="1020"/>
      <c r="P951" s="1020"/>
      <c r="Q951" s="1020"/>
      <c r="R951" s="1020"/>
      <c r="S951" s="1020"/>
      <c r="T951" s="1020"/>
      <c r="U951" s="1020"/>
      <c r="V951" s="1020"/>
      <c r="W951" s="1020"/>
      <c r="X951" s="1020"/>
      <c r="Y951" s="1020"/>
      <c r="Z951" s="1020"/>
      <c r="AA951" s="1020"/>
      <c r="AB951" s="1020"/>
      <c r="AC951" s="1020"/>
      <c r="AD951" s="1020"/>
      <c r="AE951" s="1020"/>
      <c r="AF951" s="1020"/>
      <c r="AG951" s="467"/>
      <c r="AH951" s="467"/>
    </row>
    <row r="952" ht="14.25" customHeight="1" spans="2:34">
      <c r="B952" s="1018"/>
      <c r="C952" s="1019"/>
      <c r="D952" s="1019"/>
      <c r="E952" s="1019"/>
      <c r="F952" s="1020"/>
      <c r="G952" s="1020"/>
      <c r="H952" s="1020"/>
      <c r="I952" s="1020"/>
      <c r="J952" s="1020"/>
      <c r="K952" s="1020"/>
      <c r="L952" s="1020"/>
      <c r="M952" s="1020"/>
      <c r="N952" s="1020"/>
      <c r="O952" s="1020"/>
      <c r="P952" s="1020"/>
      <c r="Q952" s="1020"/>
      <c r="R952" s="1020"/>
      <c r="S952" s="1020"/>
      <c r="T952" s="1020"/>
      <c r="U952" s="1020"/>
      <c r="V952" s="1020"/>
      <c r="W952" s="1020"/>
      <c r="X952" s="1020"/>
      <c r="Y952" s="1020"/>
      <c r="Z952" s="1020"/>
      <c r="AA952" s="1020"/>
      <c r="AB952" s="1020"/>
      <c r="AC952" s="1020"/>
      <c r="AD952" s="1020"/>
      <c r="AE952" s="1020"/>
      <c r="AF952" s="1020"/>
      <c r="AG952" s="467"/>
      <c r="AH952" s="467"/>
    </row>
    <row r="953" ht="14.25" customHeight="1" spans="2:34">
      <c r="B953" s="1018"/>
      <c r="C953" s="1019"/>
      <c r="D953" s="1019"/>
      <c r="E953" s="1019"/>
      <c r="F953" s="1020"/>
      <c r="G953" s="1020"/>
      <c r="H953" s="1020"/>
      <c r="I953" s="1020"/>
      <c r="J953" s="1020"/>
      <c r="K953" s="1020"/>
      <c r="L953" s="1020"/>
      <c r="M953" s="1020"/>
      <c r="N953" s="1020"/>
      <c r="O953" s="1020"/>
      <c r="P953" s="1020"/>
      <c r="Q953" s="1020"/>
      <c r="R953" s="1020"/>
      <c r="S953" s="1020"/>
      <c r="T953" s="1020"/>
      <c r="U953" s="1020"/>
      <c r="V953" s="1020"/>
      <c r="W953" s="1020"/>
      <c r="X953" s="1020"/>
      <c r="Y953" s="1020"/>
      <c r="Z953" s="1020"/>
      <c r="AA953" s="1020"/>
      <c r="AB953" s="1020"/>
      <c r="AC953" s="1020"/>
      <c r="AD953" s="1020"/>
      <c r="AE953" s="1020"/>
      <c r="AF953" s="1020"/>
      <c r="AG953" s="467"/>
      <c r="AH953" s="467"/>
    </row>
    <row r="954" ht="14.25" customHeight="1" spans="2:34">
      <c r="B954" s="1018"/>
      <c r="C954" s="1019"/>
      <c r="D954" s="1019"/>
      <c r="E954" s="1019"/>
      <c r="F954" s="1020"/>
      <c r="G954" s="1020"/>
      <c r="H954" s="1020"/>
      <c r="I954" s="1020"/>
      <c r="J954" s="1020"/>
      <c r="K954" s="1020"/>
      <c r="L954" s="1020"/>
      <c r="M954" s="1020"/>
      <c r="N954" s="1020"/>
      <c r="O954" s="1020"/>
      <c r="P954" s="1020"/>
      <c r="Q954" s="1020"/>
      <c r="R954" s="1020"/>
      <c r="S954" s="1020"/>
      <c r="T954" s="1020"/>
      <c r="U954" s="1020"/>
      <c r="V954" s="1020"/>
      <c r="W954" s="1020"/>
      <c r="X954" s="1020"/>
      <c r="Y954" s="1020"/>
      <c r="Z954" s="1020"/>
      <c r="AA954" s="1020"/>
      <c r="AB954" s="1020"/>
      <c r="AC954" s="1020"/>
      <c r="AD954" s="1020"/>
      <c r="AE954" s="1020"/>
      <c r="AF954" s="1020"/>
      <c r="AG954" s="467"/>
      <c r="AH954" s="467"/>
    </row>
    <row r="955" ht="14.25" customHeight="1" spans="2:34">
      <c r="B955" s="1018"/>
      <c r="C955" s="1019"/>
      <c r="D955" s="1019"/>
      <c r="E955" s="1019"/>
      <c r="F955" s="1020"/>
      <c r="G955" s="1020"/>
      <c r="H955" s="1020"/>
      <c r="I955" s="1020"/>
      <c r="J955" s="1020"/>
      <c r="K955" s="1020"/>
      <c r="L955" s="1020"/>
      <c r="M955" s="1020"/>
      <c r="N955" s="1020"/>
      <c r="O955" s="1020"/>
      <c r="P955" s="1020"/>
      <c r="Q955" s="1020"/>
      <c r="R955" s="1020"/>
      <c r="S955" s="1020"/>
      <c r="T955" s="1020"/>
      <c r="U955" s="1020"/>
      <c r="V955" s="1020"/>
      <c r="W955" s="1020"/>
      <c r="X955" s="1020"/>
      <c r="Y955" s="1020"/>
      <c r="Z955" s="1020"/>
      <c r="AA955" s="1020"/>
      <c r="AB955" s="1020"/>
      <c r="AC955" s="1020"/>
      <c r="AD955" s="1020"/>
      <c r="AE955" s="1020"/>
      <c r="AF955" s="1020"/>
      <c r="AG955" s="467"/>
      <c r="AH955" s="467"/>
    </row>
    <row r="956" ht="14.25" customHeight="1" spans="2:34">
      <c r="B956" s="1018"/>
      <c r="C956" s="1019"/>
      <c r="D956" s="1019"/>
      <c r="E956" s="1019"/>
      <c r="F956" s="1020"/>
      <c r="G956" s="1020"/>
      <c r="H956" s="1020"/>
      <c r="I956" s="1020"/>
      <c r="J956" s="1020"/>
      <c r="K956" s="1020"/>
      <c r="L956" s="1020"/>
      <c r="M956" s="1020"/>
      <c r="N956" s="1020"/>
      <c r="O956" s="1020"/>
      <c r="P956" s="1020"/>
      <c r="Q956" s="1020"/>
      <c r="R956" s="1020"/>
      <c r="S956" s="1020"/>
      <c r="T956" s="1020"/>
      <c r="U956" s="1020"/>
      <c r="V956" s="1020"/>
      <c r="W956" s="1020"/>
      <c r="X956" s="1020"/>
      <c r="Y956" s="1020"/>
      <c r="Z956" s="1020"/>
      <c r="AA956" s="1020"/>
      <c r="AB956" s="1020"/>
      <c r="AC956" s="1020"/>
      <c r="AD956" s="1020"/>
      <c r="AE956" s="1020"/>
      <c r="AF956" s="1020"/>
      <c r="AG956" s="467"/>
      <c r="AH956" s="467"/>
    </row>
    <row r="957" ht="14.25" customHeight="1" spans="2:34">
      <c r="B957" s="1018"/>
      <c r="C957" s="1019"/>
      <c r="D957" s="1019"/>
      <c r="E957" s="1019"/>
      <c r="F957" s="1020"/>
      <c r="G957" s="1020"/>
      <c r="H957" s="1020"/>
      <c r="I957" s="1020"/>
      <c r="J957" s="1020"/>
      <c r="K957" s="1020"/>
      <c r="L957" s="1020"/>
      <c r="M957" s="1020"/>
      <c r="N957" s="1020"/>
      <c r="O957" s="1020"/>
      <c r="P957" s="1020"/>
      <c r="Q957" s="1020"/>
      <c r="R957" s="1020"/>
      <c r="S957" s="1020"/>
      <c r="T957" s="1020"/>
      <c r="U957" s="1020"/>
      <c r="V957" s="1020"/>
      <c r="W957" s="1020"/>
      <c r="X957" s="1020"/>
      <c r="Y957" s="1020"/>
      <c r="Z957" s="1020"/>
      <c r="AA957" s="1020"/>
      <c r="AB957" s="1020"/>
      <c r="AC957" s="1020"/>
      <c r="AD957" s="1020"/>
      <c r="AE957" s="1020"/>
      <c r="AF957" s="1020"/>
      <c r="AG957" s="467"/>
      <c r="AH957" s="467"/>
    </row>
    <row r="958" ht="14.25" customHeight="1" spans="2:34">
      <c r="B958" s="1018"/>
      <c r="C958" s="1019"/>
      <c r="D958" s="1019"/>
      <c r="E958" s="1019"/>
      <c r="F958" s="1020"/>
      <c r="G958" s="1020"/>
      <c r="H958" s="1020"/>
      <c r="I958" s="1020"/>
      <c r="J958" s="1020"/>
      <c r="K958" s="1020"/>
      <c r="L958" s="1020"/>
      <c r="M958" s="1020"/>
      <c r="N958" s="1020"/>
      <c r="O958" s="1020"/>
      <c r="P958" s="1020"/>
      <c r="Q958" s="1020"/>
      <c r="R958" s="1020"/>
      <c r="S958" s="1020"/>
      <c r="T958" s="1020"/>
      <c r="U958" s="1020"/>
      <c r="V958" s="1020"/>
      <c r="W958" s="1020"/>
      <c r="X958" s="1020"/>
      <c r="Y958" s="1020"/>
      <c r="Z958" s="1020"/>
      <c r="AA958" s="1020"/>
      <c r="AB958" s="1020"/>
      <c r="AC958" s="1020"/>
      <c r="AD958" s="1020"/>
      <c r="AE958" s="1020"/>
      <c r="AF958" s="1020"/>
      <c r="AG958" s="467"/>
      <c r="AH958" s="467"/>
    </row>
    <row r="959" ht="14.25" customHeight="1" spans="2:34">
      <c r="B959" s="1018"/>
      <c r="C959" s="1019"/>
      <c r="D959" s="1019"/>
      <c r="E959" s="1019"/>
      <c r="F959" s="1020"/>
      <c r="G959" s="1020"/>
      <c r="H959" s="1020"/>
      <c r="I959" s="1020"/>
      <c r="J959" s="1020"/>
      <c r="K959" s="1020"/>
      <c r="L959" s="1020"/>
      <c r="M959" s="1020"/>
      <c r="N959" s="1020"/>
      <c r="O959" s="1020"/>
      <c r="P959" s="1020"/>
      <c r="Q959" s="1020"/>
      <c r="R959" s="1020"/>
      <c r="S959" s="1020"/>
      <c r="T959" s="1020"/>
      <c r="U959" s="1020"/>
      <c r="V959" s="1020"/>
      <c r="W959" s="1020"/>
      <c r="X959" s="1020"/>
      <c r="Y959" s="1020"/>
      <c r="Z959" s="1020"/>
      <c r="AA959" s="1020"/>
      <c r="AB959" s="1020"/>
      <c r="AC959" s="1020"/>
      <c r="AD959" s="1020"/>
      <c r="AE959" s="1020"/>
      <c r="AF959" s="1020"/>
      <c r="AG959" s="467"/>
      <c r="AH959" s="467"/>
    </row>
    <row r="960" ht="14.25" customHeight="1" spans="2:34">
      <c r="B960" s="1018"/>
      <c r="C960" s="1019"/>
      <c r="D960" s="1019"/>
      <c r="E960" s="1019"/>
      <c r="F960" s="1020"/>
      <c r="G960" s="1020"/>
      <c r="H960" s="1020"/>
      <c r="I960" s="1020"/>
      <c r="J960" s="1020"/>
      <c r="K960" s="1020"/>
      <c r="L960" s="1020"/>
      <c r="M960" s="1020"/>
      <c r="N960" s="1020"/>
      <c r="O960" s="1020"/>
      <c r="P960" s="1020"/>
      <c r="Q960" s="1020"/>
      <c r="R960" s="1020"/>
      <c r="S960" s="1020"/>
      <c r="T960" s="1020"/>
      <c r="U960" s="1020"/>
      <c r="V960" s="1020"/>
      <c r="W960" s="1020"/>
      <c r="X960" s="1020"/>
      <c r="Y960" s="1020"/>
      <c r="Z960" s="1020"/>
      <c r="AA960" s="1020"/>
      <c r="AB960" s="1020"/>
      <c r="AC960" s="1020"/>
      <c r="AD960" s="1020"/>
      <c r="AE960" s="1020"/>
      <c r="AF960" s="1020"/>
      <c r="AG960" s="467"/>
      <c r="AH960" s="467"/>
    </row>
    <row r="961" ht="14.25" customHeight="1" spans="2:34">
      <c r="B961" s="1018"/>
      <c r="C961" s="1019"/>
      <c r="D961" s="1019"/>
      <c r="E961" s="1019"/>
      <c r="F961" s="1020"/>
      <c r="G961" s="1020"/>
      <c r="H961" s="1020"/>
      <c r="I961" s="1020"/>
      <c r="J961" s="1020"/>
      <c r="K961" s="1020"/>
      <c r="L961" s="1020"/>
      <c r="M961" s="1020"/>
      <c r="N961" s="1020"/>
      <c r="O961" s="1020"/>
      <c r="P961" s="1020"/>
      <c r="Q961" s="1020"/>
      <c r="R961" s="1020"/>
      <c r="S961" s="1020"/>
      <c r="T961" s="1020"/>
      <c r="U961" s="1020"/>
      <c r="V961" s="1020"/>
      <c r="W961" s="1020"/>
      <c r="X961" s="1020"/>
      <c r="Y961" s="1020"/>
      <c r="Z961" s="1020"/>
      <c r="AA961" s="1020"/>
      <c r="AB961" s="1020"/>
      <c r="AC961" s="1020"/>
      <c r="AD961" s="1020"/>
      <c r="AE961" s="1020"/>
      <c r="AF961" s="1020"/>
      <c r="AG961" s="467"/>
      <c r="AH961" s="467"/>
    </row>
    <row r="962" ht="14.25" customHeight="1" spans="2:34">
      <c r="B962" s="1018"/>
      <c r="C962" s="1019"/>
      <c r="D962" s="1019"/>
      <c r="E962" s="1019"/>
      <c r="F962" s="1020"/>
      <c r="G962" s="1020"/>
      <c r="H962" s="1020"/>
      <c r="I962" s="1020"/>
      <c r="J962" s="1020"/>
      <c r="K962" s="1020"/>
      <c r="L962" s="1020"/>
      <c r="M962" s="1020"/>
      <c r="N962" s="1020"/>
      <c r="O962" s="1020"/>
      <c r="P962" s="1020"/>
      <c r="Q962" s="1020"/>
      <c r="R962" s="1020"/>
      <c r="S962" s="1020"/>
      <c r="T962" s="1020"/>
      <c r="U962" s="1020"/>
      <c r="V962" s="1020"/>
      <c r="W962" s="1020"/>
      <c r="X962" s="1020"/>
      <c r="Y962" s="1020"/>
      <c r="Z962" s="1020"/>
      <c r="AA962" s="1020"/>
      <c r="AB962" s="1020"/>
      <c r="AC962" s="1020"/>
      <c r="AD962" s="1020"/>
      <c r="AE962" s="1020"/>
      <c r="AF962" s="1020"/>
      <c r="AG962" s="467"/>
      <c r="AH962" s="467"/>
    </row>
    <row r="963" ht="14.25" customHeight="1" spans="2:34">
      <c r="B963" s="1018"/>
      <c r="C963" s="1019"/>
      <c r="D963" s="1019"/>
      <c r="E963" s="1019"/>
      <c r="F963" s="1020"/>
      <c r="G963" s="1020"/>
      <c r="H963" s="1020"/>
      <c r="I963" s="1020"/>
      <c r="J963" s="1020"/>
      <c r="K963" s="1020"/>
      <c r="L963" s="1020"/>
      <c r="M963" s="1020"/>
      <c r="N963" s="1020"/>
      <c r="O963" s="1020"/>
      <c r="P963" s="1020"/>
      <c r="Q963" s="1020"/>
      <c r="R963" s="1020"/>
      <c r="S963" s="1020"/>
      <c r="T963" s="1020"/>
      <c r="U963" s="1020"/>
      <c r="V963" s="1020"/>
      <c r="W963" s="1020"/>
      <c r="X963" s="1020"/>
      <c r="Y963" s="1020"/>
      <c r="Z963" s="1020"/>
      <c r="AA963" s="1020"/>
      <c r="AB963" s="1020"/>
      <c r="AC963" s="1020"/>
      <c r="AD963" s="1020"/>
      <c r="AE963" s="1020"/>
      <c r="AF963" s="1020"/>
      <c r="AG963" s="467"/>
      <c r="AH963" s="467"/>
    </row>
    <row r="964" ht="14.25" customHeight="1" spans="2:34">
      <c r="B964" s="1018"/>
      <c r="C964" s="1019"/>
      <c r="D964" s="1019"/>
      <c r="E964" s="1019"/>
      <c r="F964" s="1020"/>
      <c r="G964" s="1020"/>
      <c r="H964" s="1020"/>
      <c r="I964" s="1020"/>
      <c r="J964" s="1020"/>
      <c r="K964" s="1020"/>
      <c r="L964" s="1020"/>
      <c r="M964" s="1020"/>
      <c r="N964" s="1020"/>
      <c r="O964" s="1020"/>
      <c r="P964" s="1020"/>
      <c r="Q964" s="1020"/>
      <c r="R964" s="1020"/>
      <c r="S964" s="1020"/>
      <c r="T964" s="1020"/>
      <c r="U964" s="1020"/>
      <c r="V964" s="1020"/>
      <c r="W964" s="1020"/>
      <c r="X964" s="1020"/>
      <c r="Y964" s="1020"/>
      <c r="Z964" s="1020"/>
      <c r="AA964" s="1020"/>
      <c r="AB964" s="1020"/>
      <c r="AC964" s="1020"/>
      <c r="AD964" s="1020"/>
      <c r="AE964" s="1020"/>
      <c r="AF964" s="1020"/>
      <c r="AG964" s="467"/>
      <c r="AH964" s="467"/>
    </row>
    <row r="965" ht="14.25" customHeight="1" spans="2:34">
      <c r="B965" s="1018"/>
      <c r="C965" s="1019"/>
      <c r="D965" s="1019"/>
      <c r="E965" s="1019"/>
      <c r="F965" s="1020"/>
      <c r="G965" s="1020"/>
      <c r="H965" s="1020"/>
      <c r="I965" s="1020"/>
      <c r="J965" s="1020"/>
      <c r="K965" s="1020"/>
      <c r="L965" s="1020"/>
      <c r="M965" s="1020"/>
      <c r="N965" s="1020"/>
      <c r="O965" s="1020"/>
      <c r="P965" s="1020"/>
      <c r="Q965" s="1020"/>
      <c r="R965" s="1020"/>
      <c r="S965" s="1020"/>
      <c r="T965" s="1020"/>
      <c r="U965" s="1020"/>
      <c r="V965" s="1020"/>
      <c r="W965" s="1020"/>
      <c r="X965" s="1020"/>
      <c r="Y965" s="1020"/>
      <c r="Z965" s="1020"/>
      <c r="AA965" s="1020"/>
      <c r="AB965" s="1020"/>
      <c r="AC965" s="1020"/>
      <c r="AD965" s="1020"/>
      <c r="AE965" s="1020"/>
      <c r="AF965" s="1020"/>
      <c r="AG965" s="467"/>
      <c r="AH965" s="467"/>
    </row>
    <row r="966" ht="14.25" customHeight="1" spans="2:34">
      <c r="B966" s="1018"/>
      <c r="C966" s="1019"/>
      <c r="D966" s="1019"/>
      <c r="E966" s="1019"/>
      <c r="F966" s="1020"/>
      <c r="G966" s="1020"/>
      <c r="H966" s="1020"/>
      <c r="I966" s="1020"/>
      <c r="J966" s="1020"/>
      <c r="K966" s="1020"/>
      <c r="L966" s="1020"/>
      <c r="M966" s="1020"/>
      <c r="N966" s="1020"/>
      <c r="O966" s="1020"/>
      <c r="P966" s="1020"/>
      <c r="Q966" s="1020"/>
      <c r="R966" s="1020"/>
      <c r="S966" s="1020"/>
      <c r="T966" s="1020"/>
      <c r="U966" s="1020"/>
      <c r="V966" s="1020"/>
      <c r="W966" s="1020"/>
      <c r="X966" s="1020"/>
      <c r="Y966" s="1020"/>
      <c r="Z966" s="1020"/>
      <c r="AA966" s="1020"/>
      <c r="AB966" s="1020"/>
      <c r="AC966" s="1020"/>
      <c r="AD966" s="1020"/>
      <c r="AE966" s="1020"/>
      <c r="AF966" s="1020"/>
      <c r="AG966" s="467"/>
      <c r="AH966" s="467"/>
    </row>
    <row r="967" ht="14.25" customHeight="1" spans="2:34">
      <c r="B967" s="1018"/>
      <c r="C967" s="1019"/>
      <c r="D967" s="1019"/>
      <c r="E967" s="1019"/>
      <c r="F967" s="1020"/>
      <c r="G967" s="1020"/>
      <c r="H967" s="1020"/>
      <c r="I967" s="1020"/>
      <c r="J967" s="1020"/>
      <c r="K967" s="1020"/>
      <c r="L967" s="1020"/>
      <c r="M967" s="1020"/>
      <c r="N967" s="1020"/>
      <c r="O967" s="1020"/>
      <c r="P967" s="1020"/>
      <c r="Q967" s="1020"/>
      <c r="R967" s="1020"/>
      <c r="S967" s="1020"/>
      <c r="T967" s="1020"/>
      <c r="U967" s="1020"/>
      <c r="V967" s="1020"/>
      <c r="W967" s="1020"/>
      <c r="X967" s="1020"/>
      <c r="Y967" s="1020"/>
      <c r="Z967" s="1020"/>
      <c r="AA967" s="1020"/>
      <c r="AB967" s="1020"/>
      <c r="AC967" s="1020"/>
      <c r="AD967" s="1020"/>
      <c r="AE967" s="1020"/>
      <c r="AF967" s="1020"/>
      <c r="AG967" s="467"/>
      <c r="AH967" s="467"/>
    </row>
    <row r="968" ht="14.25" customHeight="1" spans="2:34">
      <c r="B968" s="1018"/>
      <c r="C968" s="1019"/>
      <c r="D968" s="1019"/>
      <c r="E968" s="1019"/>
      <c r="F968" s="1020"/>
      <c r="G968" s="1020"/>
      <c r="H968" s="1020"/>
      <c r="I968" s="1020"/>
      <c r="J968" s="1020"/>
      <c r="K968" s="1020"/>
      <c r="L968" s="1020"/>
      <c r="M968" s="1020"/>
      <c r="N968" s="1020"/>
      <c r="O968" s="1020"/>
      <c r="P968" s="1020"/>
      <c r="Q968" s="1020"/>
      <c r="R968" s="1020"/>
      <c r="S968" s="1020"/>
      <c r="T968" s="1020"/>
      <c r="U968" s="1020"/>
      <c r="V968" s="1020"/>
      <c r="W968" s="1020"/>
      <c r="X968" s="1020"/>
      <c r="Y968" s="1020"/>
      <c r="Z968" s="1020"/>
      <c r="AA968" s="1020"/>
      <c r="AB968" s="1020"/>
      <c r="AC968" s="1020"/>
      <c r="AD968" s="1020"/>
      <c r="AE968" s="1020"/>
      <c r="AF968" s="1020"/>
      <c r="AG968" s="467"/>
      <c r="AH968" s="467"/>
    </row>
    <row r="969" ht="14.25" customHeight="1" spans="2:34">
      <c r="B969" s="1018"/>
      <c r="C969" s="1019"/>
      <c r="D969" s="1019"/>
      <c r="E969" s="1019"/>
      <c r="F969" s="1020"/>
      <c r="G969" s="1020"/>
      <c r="H969" s="1020"/>
      <c r="I969" s="1020"/>
      <c r="J969" s="1020"/>
      <c r="K969" s="1020"/>
      <c r="L969" s="1020"/>
      <c r="M969" s="1020"/>
      <c r="N969" s="1020"/>
      <c r="O969" s="1020"/>
      <c r="P969" s="1020"/>
      <c r="Q969" s="1020"/>
      <c r="R969" s="1020"/>
      <c r="S969" s="1020"/>
      <c r="T969" s="1020"/>
      <c r="U969" s="1020"/>
      <c r="V969" s="1020"/>
      <c r="W969" s="1020"/>
      <c r="X969" s="1020"/>
      <c r="Y969" s="1020"/>
      <c r="Z969" s="1020"/>
      <c r="AA969" s="1020"/>
      <c r="AB969" s="1020"/>
      <c r="AC969" s="1020"/>
      <c r="AD969" s="1020"/>
      <c r="AE969" s="1020"/>
      <c r="AF969" s="1020"/>
      <c r="AG969" s="467"/>
      <c r="AH969" s="467"/>
    </row>
    <row r="970" ht="14.25" customHeight="1" spans="2:34">
      <c r="B970" s="1018"/>
      <c r="C970" s="1019"/>
      <c r="D970" s="1019"/>
      <c r="E970" s="1019"/>
      <c r="F970" s="1020"/>
      <c r="G970" s="1020"/>
      <c r="H970" s="1020"/>
      <c r="I970" s="1020"/>
      <c r="J970" s="1020"/>
      <c r="K970" s="1020"/>
      <c r="L970" s="1020"/>
      <c r="M970" s="1020"/>
      <c r="N970" s="1020"/>
      <c r="O970" s="1020"/>
      <c r="P970" s="1020"/>
      <c r="Q970" s="1020"/>
      <c r="R970" s="1020"/>
      <c r="S970" s="1020"/>
      <c r="T970" s="1020"/>
      <c r="U970" s="1020"/>
      <c r="V970" s="1020"/>
      <c r="W970" s="1020"/>
      <c r="X970" s="1020"/>
      <c r="Y970" s="1020"/>
      <c r="Z970" s="1020"/>
      <c r="AA970" s="1020"/>
      <c r="AB970" s="1020"/>
      <c r="AC970" s="1020"/>
      <c r="AD970" s="1020"/>
      <c r="AE970" s="1020"/>
      <c r="AF970" s="1020"/>
      <c r="AG970" s="467"/>
      <c r="AH970" s="467"/>
    </row>
    <row r="971" ht="14.25" customHeight="1" spans="2:34">
      <c r="B971" s="1018"/>
      <c r="C971" s="1019"/>
      <c r="D971" s="1019"/>
      <c r="E971" s="1019"/>
      <c r="F971" s="1020"/>
      <c r="G971" s="1020"/>
      <c r="H971" s="1020"/>
      <c r="I971" s="1020"/>
      <c r="J971" s="1020"/>
      <c r="K971" s="1020"/>
      <c r="L971" s="1020"/>
      <c r="M971" s="1020"/>
      <c r="N971" s="1020"/>
      <c r="O971" s="1020"/>
      <c r="P971" s="1020"/>
      <c r="Q971" s="1020"/>
      <c r="R971" s="1020"/>
      <c r="S971" s="1020"/>
      <c r="T971" s="1020"/>
      <c r="U971" s="1020"/>
      <c r="V971" s="1020"/>
      <c r="W971" s="1020"/>
      <c r="X971" s="1020"/>
      <c r="Y971" s="1020"/>
      <c r="Z971" s="1020"/>
      <c r="AA971" s="1020"/>
      <c r="AB971" s="1020"/>
      <c r="AC971" s="1020"/>
      <c r="AD971" s="1020"/>
      <c r="AE971" s="1020"/>
      <c r="AF971" s="1020"/>
      <c r="AG971" s="467"/>
      <c r="AH971" s="467"/>
    </row>
    <row r="972" ht="14.25" customHeight="1" spans="2:34">
      <c r="B972" s="1018"/>
      <c r="C972" s="1019"/>
      <c r="D972" s="1019"/>
      <c r="E972" s="1019"/>
      <c r="F972" s="1020"/>
      <c r="G972" s="1020"/>
      <c r="H972" s="1020"/>
      <c r="I972" s="1020"/>
      <c r="J972" s="1020"/>
      <c r="K972" s="1020"/>
      <c r="L972" s="1020"/>
      <c r="M972" s="1020"/>
      <c r="N972" s="1020"/>
      <c r="O972" s="1020"/>
      <c r="P972" s="1020"/>
      <c r="Q972" s="1020"/>
      <c r="R972" s="1020"/>
      <c r="S972" s="1020"/>
      <c r="T972" s="1020"/>
      <c r="U972" s="1020"/>
      <c r="V972" s="1020"/>
      <c r="W972" s="1020"/>
      <c r="X972" s="1020"/>
      <c r="Y972" s="1020"/>
      <c r="Z972" s="1020"/>
      <c r="AA972" s="1020"/>
      <c r="AB972" s="1020"/>
      <c r="AC972" s="1020"/>
      <c r="AD972" s="1020"/>
      <c r="AE972" s="1020"/>
      <c r="AF972" s="1020"/>
      <c r="AG972" s="467"/>
      <c r="AH972" s="467"/>
    </row>
    <row r="973" ht="14.25" customHeight="1" spans="2:34">
      <c r="B973" s="1018"/>
      <c r="C973" s="1019"/>
      <c r="D973" s="1019"/>
      <c r="E973" s="1019"/>
      <c r="F973" s="1020"/>
      <c r="G973" s="1020"/>
      <c r="H973" s="1020"/>
      <c r="I973" s="1020"/>
      <c r="J973" s="1020"/>
      <c r="K973" s="1020"/>
      <c r="L973" s="1020"/>
      <c r="M973" s="1020"/>
      <c r="N973" s="1020"/>
      <c r="O973" s="1020"/>
      <c r="P973" s="1020"/>
      <c r="Q973" s="1020"/>
      <c r="R973" s="1020"/>
      <c r="S973" s="1020"/>
      <c r="T973" s="1020"/>
      <c r="U973" s="1020"/>
      <c r="V973" s="1020"/>
      <c r="W973" s="1020"/>
      <c r="X973" s="1020"/>
      <c r="Y973" s="1020"/>
      <c r="Z973" s="1020"/>
      <c r="AA973" s="1020"/>
      <c r="AB973" s="1020"/>
      <c r="AC973" s="1020"/>
      <c r="AD973" s="1020"/>
      <c r="AE973" s="1020"/>
      <c r="AF973" s="1020"/>
      <c r="AG973" s="467"/>
      <c r="AH973" s="467"/>
    </row>
    <row r="974" ht="14.25" customHeight="1" spans="2:34">
      <c r="B974" s="1018"/>
      <c r="C974" s="1019"/>
      <c r="D974" s="1019"/>
      <c r="E974" s="1019"/>
      <c r="F974" s="1020"/>
      <c r="G974" s="1020"/>
      <c r="H974" s="1020"/>
      <c r="I974" s="1020"/>
      <c r="J974" s="1020"/>
      <c r="K974" s="1020"/>
      <c r="L974" s="1020"/>
      <c r="M974" s="1020"/>
      <c r="N974" s="1020"/>
      <c r="O974" s="1020"/>
      <c r="P974" s="1020"/>
      <c r="Q974" s="1020"/>
      <c r="R974" s="1020"/>
      <c r="S974" s="1020"/>
      <c r="T974" s="1020"/>
      <c r="U974" s="1020"/>
      <c r="V974" s="1020"/>
      <c r="W974" s="1020"/>
      <c r="X974" s="1020"/>
      <c r="Y974" s="1020"/>
      <c r="Z974" s="1020"/>
      <c r="AA974" s="1020"/>
      <c r="AB974" s="1020"/>
      <c r="AC974" s="1020"/>
      <c r="AD974" s="1020"/>
      <c r="AE974" s="1020"/>
      <c r="AF974" s="1020"/>
      <c r="AG974" s="467"/>
      <c r="AH974" s="467"/>
    </row>
    <row r="975" ht="14.25" customHeight="1" spans="2:34">
      <c r="B975" s="1018"/>
      <c r="C975" s="1019"/>
      <c r="D975" s="1019"/>
      <c r="E975" s="1019"/>
      <c r="F975" s="1020"/>
      <c r="G975" s="1020"/>
      <c r="H975" s="1020"/>
      <c r="I975" s="1020"/>
      <c r="J975" s="1020"/>
      <c r="K975" s="1020"/>
      <c r="L975" s="1020"/>
      <c r="M975" s="1020"/>
      <c r="N975" s="1020"/>
      <c r="O975" s="1020"/>
      <c r="P975" s="1020"/>
      <c r="Q975" s="1020"/>
      <c r="R975" s="1020"/>
      <c r="S975" s="1020"/>
      <c r="T975" s="1020"/>
      <c r="U975" s="1020"/>
      <c r="V975" s="1020"/>
      <c r="W975" s="1020"/>
      <c r="X975" s="1020"/>
      <c r="Y975" s="1020"/>
      <c r="Z975" s="1020"/>
      <c r="AA975" s="1020"/>
      <c r="AB975" s="1020"/>
      <c r="AC975" s="1020"/>
      <c r="AD975" s="1020"/>
      <c r="AE975" s="1020"/>
      <c r="AF975" s="1020"/>
      <c r="AG975" s="467"/>
      <c r="AH975" s="467"/>
    </row>
    <row r="976" ht="14.25" customHeight="1" spans="2:34">
      <c r="B976" s="1018"/>
      <c r="C976" s="1019"/>
      <c r="D976" s="1019"/>
      <c r="E976" s="1019"/>
      <c r="F976" s="1020"/>
      <c r="G976" s="1020"/>
      <c r="H976" s="1020"/>
      <c r="I976" s="1020"/>
      <c r="J976" s="1020"/>
      <c r="K976" s="1020"/>
      <c r="L976" s="1020"/>
      <c r="M976" s="1020"/>
      <c r="N976" s="1020"/>
      <c r="O976" s="1020"/>
      <c r="P976" s="1020"/>
      <c r="Q976" s="1020"/>
      <c r="R976" s="1020"/>
      <c r="S976" s="1020"/>
      <c r="T976" s="1020"/>
      <c r="U976" s="1020"/>
      <c r="V976" s="1020"/>
      <c r="W976" s="1020"/>
      <c r="X976" s="1020"/>
      <c r="Y976" s="1020"/>
      <c r="Z976" s="1020"/>
      <c r="AA976" s="1020"/>
      <c r="AB976" s="1020"/>
      <c r="AC976" s="1020"/>
      <c r="AD976" s="1020"/>
      <c r="AE976" s="1020"/>
      <c r="AF976" s="1020"/>
      <c r="AG976" s="467"/>
      <c r="AH976" s="467"/>
    </row>
    <row r="977" ht="14.25" customHeight="1" spans="2:34">
      <c r="B977" s="1018"/>
      <c r="C977" s="1019"/>
      <c r="D977" s="1019"/>
      <c r="E977" s="1019"/>
      <c r="F977" s="1020"/>
      <c r="G977" s="1020"/>
      <c r="H977" s="1020"/>
      <c r="I977" s="1020"/>
      <c r="J977" s="1020"/>
      <c r="K977" s="1020"/>
      <c r="L977" s="1020"/>
      <c r="M977" s="1020"/>
      <c r="N977" s="1020"/>
      <c r="O977" s="1020"/>
      <c r="P977" s="1020"/>
      <c r="Q977" s="1020"/>
      <c r="R977" s="1020"/>
      <c r="S977" s="1020"/>
      <c r="T977" s="1020"/>
      <c r="U977" s="1020"/>
      <c r="V977" s="1020"/>
      <c r="W977" s="1020"/>
      <c r="X977" s="1020"/>
      <c r="Y977" s="1020"/>
      <c r="Z977" s="1020"/>
      <c r="AA977" s="1020"/>
      <c r="AB977" s="1020"/>
      <c r="AC977" s="1020"/>
      <c r="AD977" s="1020"/>
      <c r="AE977" s="1020"/>
      <c r="AF977" s="1020"/>
      <c r="AG977" s="467"/>
      <c r="AH977" s="467"/>
    </row>
    <row r="978" ht="14.25" customHeight="1" spans="2:34">
      <c r="B978" s="1018"/>
      <c r="C978" s="1019"/>
      <c r="D978" s="1019"/>
      <c r="E978" s="1019"/>
      <c r="F978" s="1020"/>
      <c r="G978" s="1020"/>
      <c r="H978" s="1020"/>
      <c r="I978" s="1020"/>
      <c r="J978" s="1020"/>
      <c r="K978" s="1020"/>
      <c r="L978" s="1020"/>
      <c r="M978" s="1020"/>
      <c r="N978" s="1020"/>
      <c r="O978" s="1020"/>
      <c r="P978" s="1020"/>
      <c r="Q978" s="1020"/>
      <c r="R978" s="1020"/>
      <c r="S978" s="1020"/>
      <c r="T978" s="1020"/>
      <c r="U978" s="1020"/>
      <c r="V978" s="1020"/>
      <c r="W978" s="1020"/>
      <c r="X978" s="1020"/>
      <c r="Y978" s="1020"/>
      <c r="Z978" s="1020"/>
      <c r="AA978" s="1020"/>
      <c r="AB978" s="1020"/>
      <c r="AC978" s="1020"/>
      <c r="AD978" s="1020"/>
      <c r="AE978" s="1020"/>
      <c r="AF978" s="1020"/>
      <c r="AG978" s="467"/>
      <c r="AH978" s="467"/>
    </row>
    <row r="979" ht="14.25" customHeight="1" spans="2:34">
      <c r="B979" s="1018"/>
      <c r="C979" s="1019"/>
      <c r="D979" s="1019"/>
      <c r="E979" s="1019"/>
      <c r="F979" s="1020"/>
      <c r="G979" s="1020"/>
      <c r="H979" s="1020"/>
      <c r="I979" s="1020"/>
      <c r="J979" s="1020"/>
      <c r="K979" s="1020"/>
      <c r="L979" s="1020"/>
      <c r="M979" s="1020"/>
      <c r="N979" s="1020"/>
      <c r="O979" s="1020"/>
      <c r="P979" s="1020"/>
      <c r="Q979" s="1020"/>
      <c r="R979" s="1020"/>
      <c r="S979" s="1020"/>
      <c r="T979" s="1020"/>
      <c r="U979" s="1020"/>
      <c r="V979" s="1020"/>
      <c r="W979" s="1020"/>
      <c r="X979" s="1020"/>
      <c r="Y979" s="1020"/>
      <c r="Z979" s="1020"/>
      <c r="AA979" s="1020"/>
      <c r="AB979" s="1020"/>
      <c r="AC979" s="1020"/>
      <c r="AD979" s="1020"/>
      <c r="AE979" s="1020"/>
      <c r="AF979" s="1020"/>
      <c r="AG979" s="467"/>
      <c r="AH979" s="467"/>
    </row>
    <row r="980" ht="14.25" customHeight="1" spans="2:34">
      <c r="B980" s="1018"/>
      <c r="C980" s="1019"/>
      <c r="D980" s="1019"/>
      <c r="E980" s="1019"/>
      <c r="F980" s="1020"/>
      <c r="G980" s="1020"/>
      <c r="H980" s="1020"/>
      <c r="I980" s="1020"/>
      <c r="J980" s="1020"/>
      <c r="K980" s="1020"/>
      <c r="L980" s="1020"/>
      <c r="M980" s="1020"/>
      <c r="N980" s="1020"/>
      <c r="O980" s="1020"/>
      <c r="P980" s="1020"/>
      <c r="Q980" s="1020"/>
      <c r="R980" s="1020"/>
      <c r="S980" s="1020"/>
      <c r="T980" s="1020"/>
      <c r="U980" s="1020"/>
      <c r="V980" s="1020"/>
      <c r="W980" s="1020"/>
      <c r="X980" s="1020"/>
      <c r="Y980" s="1020"/>
      <c r="Z980" s="1020"/>
      <c r="AA980" s="1020"/>
      <c r="AB980" s="1020"/>
      <c r="AC980" s="1020"/>
      <c r="AD980" s="1020"/>
      <c r="AE980" s="1020"/>
      <c r="AF980" s="1020"/>
      <c r="AG980" s="467"/>
      <c r="AH980" s="467"/>
    </row>
    <row r="981" ht="14.25" customHeight="1" spans="2:34">
      <c r="B981" s="1018"/>
      <c r="C981" s="1019"/>
      <c r="D981" s="1019"/>
      <c r="E981" s="1019"/>
      <c r="F981" s="1020"/>
      <c r="G981" s="1020"/>
      <c r="H981" s="1020"/>
      <c r="I981" s="1020"/>
      <c r="J981" s="1020"/>
      <c r="K981" s="1020"/>
      <c r="L981" s="1020"/>
      <c r="M981" s="1020"/>
      <c r="N981" s="1020"/>
      <c r="O981" s="1020"/>
      <c r="P981" s="1020"/>
      <c r="Q981" s="1020"/>
      <c r="R981" s="1020"/>
      <c r="S981" s="1020"/>
      <c r="T981" s="1020"/>
      <c r="U981" s="1020"/>
      <c r="V981" s="1020"/>
      <c r="W981" s="1020"/>
      <c r="X981" s="1020"/>
      <c r="Y981" s="1020"/>
      <c r="Z981" s="1020"/>
      <c r="AA981" s="1020"/>
      <c r="AB981" s="1020"/>
      <c r="AC981" s="1020"/>
      <c r="AD981" s="1020"/>
      <c r="AE981" s="1020"/>
      <c r="AF981" s="1020"/>
      <c r="AG981" s="467"/>
      <c r="AH981" s="467"/>
    </row>
    <row r="982" ht="14.25" customHeight="1" spans="2:34">
      <c r="B982" s="1018"/>
      <c r="C982" s="1019"/>
      <c r="D982" s="1019"/>
      <c r="E982" s="1019"/>
      <c r="F982" s="1020"/>
      <c r="G982" s="1020"/>
      <c r="H982" s="1020"/>
      <c r="I982" s="1020"/>
      <c r="J982" s="1020"/>
      <c r="K982" s="1020"/>
      <c r="L982" s="1020"/>
      <c r="M982" s="1020"/>
      <c r="N982" s="1020"/>
      <c r="O982" s="1020"/>
      <c r="P982" s="1020"/>
      <c r="Q982" s="1020"/>
      <c r="R982" s="1020"/>
      <c r="S982" s="1020"/>
      <c r="T982" s="1020"/>
      <c r="U982" s="1020"/>
      <c r="V982" s="1020"/>
      <c r="W982" s="1020"/>
      <c r="X982" s="1020"/>
      <c r="Y982" s="1020"/>
      <c r="Z982" s="1020"/>
      <c r="AA982" s="1020"/>
      <c r="AB982" s="1020"/>
      <c r="AC982" s="1020"/>
      <c r="AD982" s="1020"/>
      <c r="AE982" s="1020"/>
      <c r="AF982" s="1020"/>
      <c r="AG982" s="467"/>
      <c r="AH982" s="467"/>
    </row>
    <row r="983" ht="14.25" customHeight="1" spans="2:34">
      <c r="B983" s="1018"/>
      <c r="C983" s="1019"/>
      <c r="D983" s="1019"/>
      <c r="E983" s="1019"/>
      <c r="F983" s="1020"/>
      <c r="G983" s="1020"/>
      <c r="H983" s="1020"/>
      <c r="I983" s="1020"/>
      <c r="J983" s="1020"/>
      <c r="K983" s="1020"/>
      <c r="L983" s="1020"/>
      <c r="M983" s="1020"/>
      <c r="N983" s="1020"/>
      <c r="O983" s="1020"/>
      <c r="P983" s="1020"/>
      <c r="Q983" s="1020"/>
      <c r="R983" s="1020"/>
      <c r="S983" s="1020"/>
      <c r="T983" s="1020"/>
      <c r="U983" s="1020"/>
      <c r="V983" s="1020"/>
      <c r="W983" s="1020"/>
      <c r="X983" s="1020"/>
      <c r="Y983" s="1020"/>
      <c r="Z983" s="1020"/>
      <c r="AA983" s="1020"/>
      <c r="AB983" s="1020"/>
      <c r="AC983" s="1020"/>
      <c r="AD983" s="1020"/>
      <c r="AE983" s="1020"/>
      <c r="AF983" s="1020"/>
      <c r="AG983" s="467"/>
      <c r="AH983" s="467"/>
    </row>
    <row r="984" ht="14.25" customHeight="1" spans="2:34">
      <c r="B984" s="1018"/>
      <c r="C984" s="1019"/>
      <c r="D984" s="1019"/>
      <c r="E984" s="1019"/>
      <c r="F984" s="1020"/>
      <c r="G984" s="1020"/>
      <c r="H984" s="1020"/>
      <c r="I984" s="1020"/>
      <c r="J984" s="1020"/>
      <c r="K984" s="1020"/>
      <c r="L984" s="1020"/>
      <c r="M984" s="1020"/>
      <c r="N984" s="1020"/>
      <c r="O984" s="1020"/>
      <c r="P984" s="1020"/>
      <c r="Q984" s="1020"/>
      <c r="R984" s="1020"/>
      <c r="S984" s="1020"/>
      <c r="T984" s="1020"/>
      <c r="U984" s="1020"/>
      <c r="V984" s="1020"/>
      <c r="W984" s="1020"/>
      <c r="X984" s="1020"/>
      <c r="Y984" s="1020"/>
      <c r="Z984" s="1020"/>
      <c r="AA984" s="1020"/>
      <c r="AB984" s="1020"/>
      <c r="AC984" s="1020"/>
      <c r="AD984" s="1020"/>
      <c r="AE984" s="1020"/>
      <c r="AF984" s="1020"/>
      <c r="AG984" s="467"/>
      <c r="AH984" s="467"/>
    </row>
    <row r="985" ht="14.25" customHeight="1" spans="2:34">
      <c r="B985" s="1018"/>
      <c r="C985" s="1019"/>
      <c r="D985" s="1019"/>
      <c r="E985" s="1019"/>
      <c r="F985" s="1020"/>
      <c r="G985" s="1020"/>
      <c r="H985" s="1020"/>
      <c r="I985" s="1020"/>
      <c r="J985" s="1020"/>
      <c r="K985" s="1020"/>
      <c r="L985" s="1020"/>
      <c r="M985" s="1020"/>
      <c r="N985" s="1020"/>
      <c r="O985" s="1020"/>
      <c r="P985" s="1020"/>
      <c r="Q985" s="1020"/>
      <c r="R985" s="1020"/>
      <c r="S985" s="1020"/>
      <c r="T985" s="1020"/>
      <c r="U985" s="1020"/>
      <c r="V985" s="1020"/>
      <c r="W985" s="1020"/>
      <c r="X985" s="1020"/>
      <c r="Y985" s="1020"/>
      <c r="Z985" s="1020"/>
      <c r="AA985" s="1020"/>
      <c r="AB985" s="1020"/>
      <c r="AC985" s="1020"/>
      <c r="AD985" s="1020"/>
      <c r="AE985" s="1020"/>
      <c r="AF985" s="1020"/>
      <c r="AG985" s="467"/>
      <c r="AH985" s="467"/>
    </row>
    <row r="986" ht="14.25" customHeight="1" spans="2:34">
      <c r="B986" s="1018"/>
      <c r="C986" s="1019"/>
      <c r="D986" s="1019"/>
      <c r="E986" s="1019"/>
      <c r="F986" s="1020"/>
      <c r="G986" s="1020"/>
      <c r="H986" s="1020"/>
      <c r="I986" s="1020"/>
      <c r="J986" s="1020"/>
      <c r="K986" s="1020"/>
      <c r="L986" s="1020"/>
      <c r="M986" s="1020"/>
      <c r="N986" s="1020"/>
      <c r="O986" s="1020"/>
      <c r="P986" s="1020"/>
      <c r="Q986" s="1020"/>
      <c r="R986" s="1020"/>
      <c r="S986" s="1020"/>
      <c r="T986" s="1020"/>
      <c r="U986" s="1020"/>
      <c r="V986" s="1020"/>
      <c r="W986" s="1020"/>
      <c r="X986" s="1020"/>
      <c r="Y986" s="1020"/>
      <c r="Z986" s="1020"/>
      <c r="AA986" s="1020"/>
      <c r="AB986" s="1020"/>
      <c r="AC986" s="1020"/>
      <c r="AD986" s="1020"/>
      <c r="AE986" s="1020"/>
      <c r="AF986" s="1020"/>
      <c r="AG986" s="467"/>
      <c r="AH986" s="467"/>
    </row>
    <row r="987" ht="14.25" customHeight="1" spans="2:34">
      <c r="B987" s="1018"/>
      <c r="C987" s="1019"/>
      <c r="D987" s="1019"/>
      <c r="E987" s="1019"/>
      <c r="F987" s="1020"/>
      <c r="G987" s="1020"/>
      <c r="H987" s="1020"/>
      <c r="I987" s="1020"/>
      <c r="J987" s="1020"/>
      <c r="K987" s="1020"/>
      <c r="L987" s="1020"/>
      <c r="M987" s="1020"/>
      <c r="N987" s="1020"/>
      <c r="O987" s="1020"/>
      <c r="P987" s="1020"/>
      <c r="Q987" s="1020"/>
      <c r="R987" s="1020"/>
      <c r="S987" s="1020"/>
      <c r="T987" s="1020"/>
      <c r="U987" s="1020"/>
      <c r="V987" s="1020"/>
      <c r="W987" s="1020"/>
      <c r="X987" s="1020"/>
      <c r="Y987" s="1020"/>
      <c r="Z987" s="1020"/>
      <c r="AA987" s="1020"/>
      <c r="AB987" s="1020"/>
      <c r="AC987" s="1020"/>
      <c r="AD987" s="1020"/>
      <c r="AE987" s="1020"/>
      <c r="AF987" s="1020"/>
      <c r="AG987" s="467"/>
      <c r="AH987" s="467"/>
    </row>
    <row r="988" ht="14.25" customHeight="1" spans="2:34">
      <c r="B988" s="1018"/>
      <c r="C988" s="1019"/>
      <c r="D988" s="1019"/>
      <c r="E988" s="1019"/>
      <c r="F988" s="1020"/>
      <c r="G988" s="1020"/>
      <c r="H988" s="1020"/>
      <c r="I988" s="1020"/>
      <c r="J988" s="1020"/>
      <c r="K988" s="1020"/>
      <c r="L988" s="1020"/>
      <c r="M988" s="1020"/>
      <c r="N988" s="1020"/>
      <c r="O988" s="1020"/>
      <c r="P988" s="1020"/>
      <c r="Q988" s="1020"/>
      <c r="R988" s="1020"/>
      <c r="S988" s="1020"/>
      <c r="T988" s="1020"/>
      <c r="U988" s="1020"/>
      <c r="V988" s="1020"/>
      <c r="W988" s="1020"/>
      <c r="X988" s="1020"/>
      <c r="Y988" s="1020"/>
      <c r="Z988" s="1020"/>
      <c r="AA988" s="1020"/>
      <c r="AB988" s="1020"/>
      <c r="AC988" s="1020"/>
      <c r="AD988" s="1020"/>
      <c r="AE988" s="1020"/>
      <c r="AF988" s="1020"/>
      <c r="AG988" s="467"/>
      <c r="AH988" s="467"/>
    </row>
    <row r="989" ht="14.25" customHeight="1" spans="2:34">
      <c r="B989" s="1018"/>
      <c r="C989" s="1019"/>
      <c r="D989" s="1019"/>
      <c r="E989" s="1019"/>
      <c r="F989" s="1020"/>
      <c r="G989" s="1020"/>
      <c r="H989" s="1020"/>
      <c r="I989" s="1020"/>
      <c r="J989" s="1020"/>
      <c r="K989" s="1020"/>
      <c r="L989" s="1020"/>
      <c r="M989" s="1020"/>
      <c r="N989" s="1020"/>
      <c r="O989" s="1020"/>
      <c r="P989" s="1020"/>
      <c r="Q989" s="1020"/>
      <c r="R989" s="1020"/>
      <c r="S989" s="1020"/>
      <c r="T989" s="1020"/>
      <c r="U989" s="1020"/>
      <c r="V989" s="1020"/>
      <c r="W989" s="1020"/>
      <c r="X989" s="1020"/>
      <c r="Y989" s="1020"/>
      <c r="Z989" s="1020"/>
      <c r="AA989" s="1020"/>
      <c r="AB989" s="1020"/>
      <c r="AC989" s="1020"/>
      <c r="AD989" s="1020"/>
      <c r="AE989" s="1020"/>
      <c r="AF989" s="1020"/>
      <c r="AG989" s="467"/>
      <c r="AH989" s="467"/>
    </row>
    <row r="990" ht="14.25" customHeight="1" spans="2:34">
      <c r="B990" s="1018"/>
      <c r="C990" s="1019"/>
      <c r="D990" s="1019"/>
      <c r="E990" s="1019"/>
      <c r="F990" s="1020"/>
      <c r="G990" s="1020"/>
      <c r="H990" s="1020"/>
      <c r="I990" s="1020"/>
      <c r="J990" s="1020"/>
      <c r="K990" s="1020"/>
      <c r="L990" s="1020"/>
      <c r="M990" s="1020"/>
      <c r="N990" s="1020"/>
      <c r="O990" s="1020"/>
      <c r="P990" s="1020"/>
      <c r="Q990" s="1020"/>
      <c r="R990" s="1020"/>
      <c r="S990" s="1020"/>
      <c r="T990" s="1020"/>
      <c r="U990" s="1020"/>
      <c r="V990" s="1020"/>
      <c r="W990" s="1020"/>
      <c r="X990" s="1020"/>
      <c r="Y990" s="1020"/>
      <c r="Z990" s="1020"/>
      <c r="AA990" s="1020"/>
      <c r="AB990" s="1020"/>
      <c r="AC990" s="1020"/>
      <c r="AD990" s="1020"/>
      <c r="AE990" s="1020"/>
      <c r="AF990" s="1020"/>
      <c r="AG990" s="467"/>
      <c r="AH990" s="467"/>
    </row>
    <row r="991" ht="14.25" customHeight="1" spans="2:34">
      <c r="B991" s="1018"/>
      <c r="C991" s="1019"/>
      <c r="D991" s="1019"/>
      <c r="E991" s="1019"/>
      <c r="F991" s="1020"/>
      <c r="G991" s="1020"/>
      <c r="H991" s="1020"/>
      <c r="I991" s="1020"/>
      <c r="J991" s="1020"/>
      <c r="K991" s="1020"/>
      <c r="L991" s="1020"/>
      <c r="M991" s="1020"/>
      <c r="N991" s="1020"/>
      <c r="O991" s="1020"/>
      <c r="P991" s="1020"/>
      <c r="Q991" s="1020"/>
      <c r="R991" s="1020"/>
      <c r="S991" s="1020"/>
      <c r="T991" s="1020"/>
      <c r="U991" s="1020"/>
      <c r="V991" s="1020"/>
      <c r="W991" s="1020"/>
      <c r="X991" s="1020"/>
      <c r="Y991" s="1020"/>
      <c r="Z991" s="1020"/>
      <c r="AA991" s="1020"/>
      <c r="AB991" s="1020"/>
      <c r="AC991" s="1020"/>
      <c r="AD991" s="1020"/>
      <c r="AE991" s="1020"/>
      <c r="AF991" s="1020"/>
      <c r="AG991" s="467"/>
      <c r="AH991" s="467"/>
    </row>
    <row r="992" ht="14.25" customHeight="1" spans="2:34">
      <c r="B992" s="1018"/>
      <c r="C992" s="1019"/>
      <c r="D992" s="1019"/>
      <c r="E992" s="1019"/>
      <c r="F992" s="1020"/>
      <c r="G992" s="1020"/>
      <c r="H992" s="1020"/>
      <c r="I992" s="1020"/>
      <c r="J992" s="1020"/>
      <c r="K992" s="1020"/>
      <c r="L992" s="1020"/>
      <c r="M992" s="1020"/>
      <c r="N992" s="1020"/>
      <c r="O992" s="1020"/>
      <c r="P992" s="1020"/>
      <c r="Q992" s="1020"/>
      <c r="R992" s="1020"/>
      <c r="S992" s="1020"/>
      <c r="T992" s="1020"/>
      <c r="U992" s="1020"/>
      <c r="V992" s="1020"/>
      <c r="W992" s="1020"/>
      <c r="X992" s="1020"/>
      <c r="Y992" s="1020"/>
      <c r="Z992" s="1020"/>
      <c r="AA992" s="1020"/>
      <c r="AB992" s="1020"/>
      <c r="AC992" s="1020"/>
      <c r="AD992" s="1020"/>
      <c r="AE992" s="1020"/>
      <c r="AF992" s="1020"/>
      <c r="AG992" s="467"/>
      <c r="AH992" s="467"/>
    </row>
    <row r="993" ht="14.25" customHeight="1" spans="2:34">
      <c r="B993" s="1018"/>
      <c r="C993" s="1019"/>
      <c r="D993" s="1019"/>
      <c r="E993" s="1019"/>
      <c r="F993" s="1020"/>
      <c r="G993" s="1020"/>
      <c r="H993" s="1020"/>
      <c r="I993" s="1020"/>
      <c r="J993" s="1020"/>
      <c r="K993" s="1020"/>
      <c r="L993" s="1020"/>
      <c r="M993" s="1020"/>
      <c r="N993" s="1020"/>
      <c r="O993" s="1020"/>
      <c r="P993" s="1020"/>
      <c r="Q993" s="1020"/>
      <c r="R993" s="1020"/>
      <c r="S993" s="1020"/>
      <c r="T993" s="1020"/>
      <c r="U993" s="1020"/>
      <c r="V993" s="1020"/>
      <c r="W993" s="1020"/>
      <c r="X993" s="1020"/>
      <c r="Y993" s="1020"/>
      <c r="Z993" s="1020"/>
      <c r="AA993" s="1020"/>
      <c r="AB993" s="1020"/>
      <c r="AC993" s="1020"/>
      <c r="AD993" s="1020"/>
      <c r="AE993" s="1020"/>
      <c r="AF993" s="1020"/>
      <c r="AG993" s="467"/>
      <c r="AH993" s="467"/>
    </row>
    <row r="994" ht="14.25" customHeight="1" spans="2:34">
      <c r="B994" s="1018"/>
      <c r="C994" s="1019"/>
      <c r="D994" s="1019"/>
      <c r="E994" s="1019"/>
      <c r="F994" s="1020"/>
      <c r="G994" s="1020"/>
      <c r="H994" s="1020"/>
      <c r="I994" s="1020"/>
      <c r="J994" s="1020"/>
      <c r="K994" s="1020"/>
      <c r="L994" s="1020"/>
      <c r="M994" s="1020"/>
      <c r="N994" s="1020"/>
      <c r="O994" s="1020"/>
      <c r="P994" s="1020"/>
      <c r="Q994" s="1020"/>
      <c r="R994" s="1020"/>
      <c r="S994" s="1020"/>
      <c r="T994" s="1020"/>
      <c r="U994" s="1020"/>
      <c r="V994" s="1020"/>
      <c r="W994" s="1020"/>
      <c r="X994" s="1020"/>
      <c r="Y994" s="1020"/>
      <c r="Z994" s="1020"/>
      <c r="AA994" s="1020"/>
      <c r="AB994" s="1020"/>
      <c r="AC994" s="1020"/>
      <c r="AD994" s="1020"/>
      <c r="AE994" s="1020"/>
      <c r="AF994" s="1020"/>
      <c r="AG994" s="467"/>
      <c r="AH994" s="467"/>
    </row>
    <row r="995" ht="14.25" customHeight="1" spans="2:34">
      <c r="B995" s="1018"/>
      <c r="C995" s="1019"/>
      <c r="D995" s="1019"/>
      <c r="E995" s="1019"/>
      <c r="F995" s="1020"/>
      <c r="G995" s="1020"/>
      <c r="H995" s="1020"/>
      <c r="I995" s="1020"/>
      <c r="J995" s="1020"/>
      <c r="K995" s="1020"/>
      <c r="L995" s="1020"/>
      <c r="M995" s="1020"/>
      <c r="N995" s="1020"/>
      <c r="O995" s="1020"/>
      <c r="P995" s="1020"/>
      <c r="Q995" s="1020"/>
      <c r="R995" s="1020"/>
      <c r="S995" s="1020"/>
      <c r="T995" s="1020"/>
      <c r="U995" s="1020"/>
      <c r="V995" s="1020"/>
      <c r="W995" s="1020"/>
      <c r="X995" s="1020"/>
      <c r="Y995" s="1020"/>
      <c r="Z995" s="1020"/>
      <c r="AA995" s="1020"/>
      <c r="AB995" s="1020"/>
      <c r="AC995" s="1020"/>
      <c r="AD995" s="1020"/>
      <c r="AE995" s="1020"/>
      <c r="AF995" s="1020"/>
      <c r="AG995" s="467"/>
      <c r="AH995" s="467"/>
    </row>
    <row r="996" ht="14.25" customHeight="1" spans="2:34">
      <c r="B996" s="1018"/>
      <c r="C996" s="1019"/>
      <c r="D996" s="1019"/>
      <c r="E996" s="1019"/>
      <c r="F996" s="1020"/>
      <c r="G996" s="1020"/>
      <c r="H996" s="1020"/>
      <c r="I996" s="1020"/>
      <c r="J996" s="1020"/>
      <c r="K996" s="1020"/>
      <c r="L996" s="1020"/>
      <c r="M996" s="1020"/>
      <c r="N996" s="1020"/>
      <c r="O996" s="1020"/>
      <c r="P996" s="1020"/>
      <c r="Q996" s="1020"/>
      <c r="R996" s="1020"/>
      <c r="S996" s="1020"/>
      <c r="T996" s="1020"/>
      <c r="U996" s="1020"/>
      <c r="V996" s="1020"/>
      <c r="W996" s="1020"/>
      <c r="X996" s="1020"/>
      <c r="Y996" s="1020"/>
      <c r="Z996" s="1020"/>
      <c r="AA996" s="1020"/>
      <c r="AB996" s="1020"/>
      <c r="AC996" s="1020"/>
      <c r="AD996" s="1020"/>
      <c r="AE996" s="1020"/>
      <c r="AF996" s="1020"/>
      <c r="AG996" s="467"/>
      <c r="AH996" s="467"/>
    </row>
    <row r="997" ht="14.25" customHeight="1" spans="2:34">
      <c r="B997" s="1018"/>
      <c r="C997" s="1019"/>
      <c r="D997" s="1019"/>
      <c r="E997" s="1019"/>
      <c r="F997" s="1020"/>
      <c r="G997" s="1020"/>
      <c r="H997" s="1020"/>
      <c r="I997" s="1020"/>
      <c r="J997" s="1020"/>
      <c r="K997" s="1020"/>
      <c r="L997" s="1020"/>
      <c r="M997" s="1020"/>
      <c r="N997" s="1020"/>
      <c r="O997" s="1020"/>
      <c r="P997" s="1020"/>
      <c r="Q997" s="1020"/>
      <c r="R997" s="1020"/>
      <c r="S997" s="1020"/>
      <c r="T997" s="1020"/>
      <c r="U997" s="1020"/>
      <c r="V997" s="1020"/>
      <c r="W997" s="1020"/>
      <c r="X997" s="1020"/>
      <c r="Y997" s="1020"/>
      <c r="Z997" s="1020"/>
      <c r="AA997" s="1020"/>
      <c r="AB997" s="1020"/>
      <c r="AC997" s="1020"/>
      <c r="AD997" s="1020"/>
      <c r="AE997" s="1020"/>
      <c r="AF997" s="1020"/>
      <c r="AG997" s="467"/>
      <c r="AH997" s="467"/>
    </row>
    <row r="998" ht="14.25" customHeight="1" spans="2:34">
      <c r="B998" s="1018"/>
      <c r="C998" s="1019"/>
      <c r="D998" s="1019"/>
      <c r="E998" s="1019"/>
      <c r="F998" s="1020"/>
      <c r="G998" s="1020"/>
      <c r="H998" s="1020"/>
      <c r="I998" s="1020"/>
      <c r="J998" s="1020"/>
      <c r="K998" s="1020"/>
      <c r="L998" s="1020"/>
      <c r="M998" s="1020"/>
      <c r="N998" s="1020"/>
      <c r="O998" s="1020"/>
      <c r="P998" s="1020"/>
      <c r="Q998" s="1020"/>
      <c r="R998" s="1020"/>
      <c r="S998" s="1020"/>
      <c r="T998" s="1020"/>
      <c r="U998" s="1020"/>
      <c r="V998" s="1020"/>
      <c r="W998" s="1020"/>
      <c r="X998" s="1020"/>
      <c r="Y998" s="1020"/>
      <c r="Z998" s="1020"/>
      <c r="AA998" s="1020"/>
      <c r="AB998" s="1020"/>
      <c r="AC998" s="1020"/>
      <c r="AD998" s="1020"/>
      <c r="AE998" s="1020"/>
      <c r="AF998" s="1020"/>
      <c r="AG998" s="467"/>
      <c r="AH998" s="467"/>
    </row>
    <row r="999" ht="14.25" customHeight="1" spans="2:34">
      <c r="B999" s="1018"/>
      <c r="C999" s="1019"/>
      <c r="D999" s="1019"/>
      <c r="E999" s="1019"/>
      <c r="F999" s="1020"/>
      <c r="G999" s="1020"/>
      <c r="H999" s="1020"/>
      <c r="I999" s="1020"/>
      <c r="J999" s="1020"/>
      <c r="K999" s="1020"/>
      <c r="L999" s="1020"/>
      <c r="M999" s="1020"/>
      <c r="N999" s="1020"/>
      <c r="O999" s="1020"/>
      <c r="P999" s="1020"/>
      <c r="Q999" s="1020"/>
      <c r="R999" s="1020"/>
      <c r="S999" s="1020"/>
      <c r="T999" s="1020"/>
      <c r="U999" s="1020"/>
      <c r="V999" s="1020"/>
      <c r="W999" s="1020"/>
      <c r="X999" s="1020"/>
      <c r="Y999" s="1020"/>
      <c r="Z999" s="1020"/>
      <c r="AA999" s="1020"/>
      <c r="AB999" s="1020"/>
      <c r="AC999" s="1020"/>
      <c r="AD999" s="1020"/>
      <c r="AE999" s="1020"/>
      <c r="AF999" s="1020"/>
      <c r="AG999" s="467"/>
      <c r="AH999" s="467"/>
    </row>
    <row r="1000" ht="14.25" customHeight="1" spans="2:34">
      <c r="B1000" s="1018"/>
      <c r="C1000" s="1019"/>
      <c r="D1000" s="1019"/>
      <c r="E1000" s="1019"/>
      <c r="F1000" s="1020"/>
      <c r="G1000" s="1020"/>
      <c r="H1000" s="1020"/>
      <c r="I1000" s="1020"/>
      <c r="J1000" s="1020"/>
      <c r="K1000" s="1020"/>
      <c r="L1000" s="1020"/>
      <c r="M1000" s="1020"/>
      <c r="N1000" s="1020"/>
      <c r="O1000" s="1020"/>
      <c r="P1000" s="1020"/>
      <c r="Q1000" s="1020"/>
      <c r="R1000" s="1020"/>
      <c r="S1000" s="1020"/>
      <c r="T1000" s="1020"/>
      <c r="U1000" s="1020"/>
      <c r="V1000" s="1020"/>
      <c r="W1000" s="1020"/>
      <c r="X1000" s="1020"/>
      <c r="Y1000" s="1020"/>
      <c r="Z1000" s="1020"/>
      <c r="AA1000" s="1020"/>
      <c r="AB1000" s="1020"/>
      <c r="AC1000" s="1020"/>
      <c r="AD1000" s="1020"/>
      <c r="AE1000" s="1020"/>
      <c r="AF1000" s="1020"/>
      <c r="AG1000" s="467"/>
      <c r="AH1000" s="467"/>
    </row>
    <row r="1001" ht="14.25" customHeight="1" spans="2:34">
      <c r="B1001" s="1018"/>
      <c r="C1001" s="1019"/>
      <c r="D1001" s="1019"/>
      <c r="E1001" s="1019"/>
      <c r="F1001" s="1020"/>
      <c r="G1001" s="1020"/>
      <c r="H1001" s="1020"/>
      <c r="I1001" s="1020"/>
      <c r="J1001" s="1020"/>
      <c r="K1001" s="1020"/>
      <c r="L1001" s="1020"/>
      <c r="M1001" s="1020"/>
      <c r="N1001" s="1020"/>
      <c r="O1001" s="1020"/>
      <c r="P1001" s="1020"/>
      <c r="Q1001" s="1020"/>
      <c r="R1001" s="1020"/>
      <c r="S1001" s="1020"/>
      <c r="T1001" s="1020"/>
      <c r="U1001" s="1020"/>
      <c r="V1001" s="1020"/>
      <c r="W1001" s="1020"/>
      <c r="X1001" s="1020"/>
      <c r="Y1001" s="1020"/>
      <c r="Z1001" s="1020"/>
      <c r="AA1001" s="1020"/>
      <c r="AB1001" s="1020"/>
      <c r="AC1001" s="1020"/>
      <c r="AD1001" s="1020"/>
      <c r="AE1001" s="1020"/>
      <c r="AF1001" s="1020"/>
      <c r="AG1001" s="467"/>
      <c r="AH1001" s="467"/>
    </row>
    <row r="1002" ht="14.25" customHeight="1" spans="2:34">
      <c r="B1002" s="1018"/>
      <c r="C1002" s="1019"/>
      <c r="D1002" s="1019"/>
      <c r="E1002" s="1019"/>
      <c r="F1002" s="1020"/>
      <c r="G1002" s="1020"/>
      <c r="H1002" s="1020"/>
      <c r="I1002" s="1020"/>
      <c r="J1002" s="1020"/>
      <c r="K1002" s="1020"/>
      <c r="L1002" s="1020"/>
      <c r="M1002" s="1020"/>
      <c r="N1002" s="1020"/>
      <c r="O1002" s="1020"/>
      <c r="P1002" s="1020"/>
      <c r="Q1002" s="1020"/>
      <c r="R1002" s="1020"/>
      <c r="S1002" s="1020"/>
      <c r="T1002" s="1020"/>
      <c r="U1002" s="1020"/>
      <c r="V1002" s="1020"/>
      <c r="W1002" s="1020"/>
      <c r="X1002" s="1020"/>
      <c r="Y1002" s="1020"/>
      <c r="Z1002" s="1020"/>
      <c r="AA1002" s="1020"/>
      <c r="AB1002" s="1020"/>
      <c r="AC1002" s="1020"/>
      <c r="AD1002" s="1020"/>
      <c r="AE1002" s="1020"/>
      <c r="AF1002" s="1020"/>
      <c r="AG1002" s="467"/>
      <c r="AH1002" s="467"/>
    </row>
    <row r="1003" ht="14.25" customHeight="1" spans="2:34">
      <c r="B1003" s="1018"/>
      <c r="C1003" s="1019"/>
      <c r="D1003" s="1019"/>
      <c r="E1003" s="1019"/>
      <c r="F1003" s="1020"/>
      <c r="G1003" s="1020"/>
      <c r="H1003" s="1020"/>
      <c r="I1003" s="1020"/>
      <c r="J1003" s="1020"/>
      <c r="K1003" s="1020"/>
      <c r="L1003" s="1020"/>
      <c r="M1003" s="1020"/>
      <c r="N1003" s="1020"/>
      <c r="O1003" s="1020"/>
      <c r="P1003" s="1020"/>
      <c r="Q1003" s="1020"/>
      <c r="R1003" s="1020"/>
      <c r="S1003" s="1020"/>
      <c r="T1003" s="1020"/>
      <c r="U1003" s="1020"/>
      <c r="V1003" s="1020"/>
      <c r="W1003" s="1020"/>
      <c r="X1003" s="1020"/>
      <c r="Y1003" s="1020"/>
      <c r="Z1003" s="1020"/>
      <c r="AA1003" s="1020"/>
      <c r="AB1003" s="1020"/>
      <c r="AC1003" s="1020"/>
      <c r="AD1003" s="1020"/>
      <c r="AE1003" s="1020"/>
      <c r="AF1003" s="1020"/>
      <c r="AG1003" s="467"/>
      <c r="AH1003" s="467"/>
    </row>
    <row r="1004" ht="14.25" customHeight="1" spans="2:34">
      <c r="B1004" s="1018"/>
      <c r="C1004" s="1019"/>
      <c r="D1004" s="1019"/>
      <c r="E1004" s="1019"/>
      <c r="F1004" s="1020"/>
      <c r="G1004" s="1020"/>
      <c r="H1004" s="1020"/>
      <c r="I1004" s="1020"/>
      <c r="J1004" s="1020"/>
      <c r="K1004" s="1020"/>
      <c r="L1004" s="1020"/>
      <c r="M1004" s="1020"/>
      <c r="N1004" s="1020"/>
      <c r="O1004" s="1020"/>
      <c r="P1004" s="1020"/>
      <c r="Q1004" s="1020"/>
      <c r="R1004" s="1020"/>
      <c r="S1004" s="1020"/>
      <c r="T1004" s="1020"/>
      <c r="U1004" s="1020"/>
      <c r="V1004" s="1020"/>
      <c r="W1004" s="1020"/>
      <c r="X1004" s="1020"/>
      <c r="Y1004" s="1020"/>
      <c r="Z1004" s="1020"/>
      <c r="AA1004" s="1020"/>
      <c r="AB1004" s="1020"/>
      <c r="AC1004" s="1020"/>
      <c r="AD1004" s="1020"/>
      <c r="AE1004" s="1020"/>
      <c r="AF1004" s="1020"/>
      <c r="AG1004" s="467"/>
      <c r="AH1004" s="467"/>
    </row>
    <row r="1005" ht="14.25" customHeight="1" spans="2:34">
      <c r="B1005" s="1018"/>
      <c r="C1005" s="1019"/>
      <c r="D1005" s="1019"/>
      <c r="E1005" s="1019"/>
      <c r="F1005" s="1020"/>
      <c r="G1005" s="1020"/>
      <c r="H1005" s="1020"/>
      <c r="I1005" s="1020"/>
      <c r="J1005" s="1020"/>
      <c r="K1005" s="1020"/>
      <c r="L1005" s="1020"/>
      <c r="M1005" s="1020"/>
      <c r="N1005" s="1020"/>
      <c r="O1005" s="1020"/>
      <c r="P1005" s="1020"/>
      <c r="Q1005" s="1020"/>
      <c r="R1005" s="1020"/>
      <c r="S1005" s="1020"/>
      <c r="T1005" s="1020"/>
      <c r="U1005" s="1020"/>
      <c r="V1005" s="1020"/>
      <c r="W1005" s="1020"/>
      <c r="X1005" s="1020"/>
      <c r="Y1005" s="1020"/>
      <c r="Z1005" s="1020"/>
      <c r="AA1005" s="1020"/>
      <c r="AB1005" s="1020"/>
      <c r="AC1005" s="1020"/>
      <c r="AD1005" s="1020"/>
      <c r="AE1005" s="1020"/>
      <c r="AF1005" s="1020"/>
      <c r="AG1005" s="467"/>
      <c r="AH1005" s="467"/>
    </row>
    <row r="1006" ht="14.25" customHeight="1" spans="2:34">
      <c r="B1006" s="1018"/>
      <c r="C1006" s="1019"/>
      <c r="D1006" s="1019"/>
      <c r="E1006" s="1019"/>
      <c r="F1006" s="1020"/>
      <c r="G1006" s="1020"/>
      <c r="H1006" s="1020"/>
      <c r="I1006" s="1020"/>
      <c r="J1006" s="1020"/>
      <c r="K1006" s="1020"/>
      <c r="L1006" s="1020"/>
      <c r="M1006" s="1020"/>
      <c r="N1006" s="1020"/>
      <c r="O1006" s="1020"/>
      <c r="P1006" s="1020"/>
      <c r="Q1006" s="1020"/>
      <c r="R1006" s="1020"/>
      <c r="S1006" s="1020"/>
      <c r="T1006" s="1020"/>
      <c r="U1006" s="1020"/>
      <c r="V1006" s="1020"/>
      <c r="W1006" s="1020"/>
      <c r="X1006" s="1020"/>
      <c r="Y1006" s="1020"/>
      <c r="Z1006" s="1020"/>
      <c r="AA1006" s="1020"/>
      <c r="AB1006" s="1020"/>
      <c r="AC1006" s="1020"/>
      <c r="AD1006" s="1020"/>
      <c r="AE1006" s="1020"/>
      <c r="AF1006" s="1020"/>
      <c r="AG1006" s="467"/>
      <c r="AH1006" s="467"/>
    </row>
    <row r="1007" ht="14.25" customHeight="1" spans="2:34">
      <c r="B1007" s="1018"/>
      <c r="C1007" s="1019"/>
      <c r="D1007" s="1019"/>
      <c r="E1007" s="1019"/>
      <c r="F1007" s="1020"/>
      <c r="G1007" s="1020"/>
      <c r="H1007" s="1020"/>
      <c r="I1007" s="1020"/>
      <c r="J1007" s="1020"/>
      <c r="K1007" s="1020"/>
      <c r="L1007" s="1020"/>
      <c r="M1007" s="1020"/>
      <c r="N1007" s="1020"/>
      <c r="O1007" s="1020"/>
      <c r="P1007" s="1020"/>
      <c r="Q1007" s="1020"/>
      <c r="R1007" s="1020"/>
      <c r="S1007" s="1020"/>
      <c r="T1007" s="1020"/>
      <c r="U1007" s="1020"/>
      <c r="V1007" s="1020"/>
      <c r="W1007" s="1020"/>
      <c r="X1007" s="1020"/>
      <c r="Y1007" s="1020"/>
      <c r="Z1007" s="1020"/>
      <c r="AA1007" s="1020"/>
      <c r="AB1007" s="1020"/>
      <c r="AC1007" s="1020"/>
      <c r="AD1007" s="1020"/>
      <c r="AE1007" s="1020"/>
      <c r="AF1007" s="1020"/>
      <c r="AG1007" s="467"/>
      <c r="AH1007" s="467"/>
    </row>
    <row r="1008" ht="14.25" customHeight="1" spans="2:34">
      <c r="B1008" s="1018"/>
      <c r="C1008" s="1019"/>
      <c r="D1008" s="1019"/>
      <c r="E1008" s="1019"/>
      <c r="F1008" s="1020"/>
      <c r="G1008" s="1020"/>
      <c r="H1008" s="1020"/>
      <c r="I1008" s="1020"/>
      <c r="J1008" s="1020"/>
      <c r="K1008" s="1020"/>
      <c r="L1008" s="1020"/>
      <c r="M1008" s="1020"/>
      <c r="N1008" s="1020"/>
      <c r="O1008" s="1020"/>
      <c r="P1008" s="1020"/>
      <c r="Q1008" s="1020"/>
      <c r="R1008" s="1020"/>
      <c r="S1008" s="1020"/>
      <c r="T1008" s="1020"/>
      <c r="U1008" s="1020"/>
      <c r="V1008" s="1020"/>
      <c r="W1008" s="1020"/>
      <c r="X1008" s="1020"/>
      <c r="Y1008" s="1020"/>
      <c r="Z1008" s="1020"/>
      <c r="AA1008" s="1020"/>
      <c r="AB1008" s="1020"/>
      <c r="AC1008" s="1020"/>
      <c r="AD1008" s="1020"/>
      <c r="AE1008" s="1020"/>
      <c r="AF1008" s="1020"/>
      <c r="AG1008" s="467"/>
      <c r="AH1008" s="467"/>
    </row>
    <row r="1009" ht="14.25" customHeight="1" spans="2:34">
      <c r="B1009" s="1018"/>
      <c r="C1009" s="1019"/>
      <c r="D1009" s="1019"/>
      <c r="E1009" s="1019"/>
      <c r="F1009" s="1020"/>
      <c r="G1009" s="1020"/>
      <c r="H1009" s="1020"/>
      <c r="I1009" s="1020"/>
      <c r="J1009" s="1020"/>
      <c r="K1009" s="1020"/>
      <c r="L1009" s="1020"/>
      <c r="M1009" s="1020"/>
      <c r="N1009" s="1020"/>
      <c r="O1009" s="1020"/>
      <c r="P1009" s="1020"/>
      <c r="Q1009" s="1020"/>
      <c r="R1009" s="1020"/>
      <c r="S1009" s="1020"/>
      <c r="T1009" s="1020"/>
      <c r="U1009" s="1020"/>
      <c r="V1009" s="1020"/>
      <c r="W1009" s="1020"/>
      <c r="X1009" s="1020"/>
      <c r="Y1009" s="1020"/>
      <c r="Z1009" s="1020"/>
      <c r="AA1009" s="1020"/>
      <c r="AB1009" s="1020"/>
      <c r="AC1009" s="1020"/>
      <c r="AD1009" s="1020"/>
      <c r="AE1009" s="1020"/>
      <c r="AF1009" s="1020"/>
      <c r="AG1009" s="467"/>
      <c r="AH1009" s="467"/>
    </row>
    <row r="1010" ht="14.25" customHeight="1" spans="2:34">
      <c r="B1010" s="1018"/>
      <c r="C1010" s="1019"/>
      <c r="D1010" s="1019"/>
      <c r="E1010" s="1019"/>
      <c r="F1010" s="1020"/>
      <c r="G1010" s="1020"/>
      <c r="H1010" s="1020"/>
      <c r="I1010" s="1020"/>
      <c r="J1010" s="1020"/>
      <c r="K1010" s="1020"/>
      <c r="L1010" s="1020"/>
      <c r="M1010" s="1020"/>
      <c r="N1010" s="1020"/>
      <c r="O1010" s="1020"/>
      <c r="P1010" s="1020"/>
      <c r="Q1010" s="1020"/>
      <c r="R1010" s="1020"/>
      <c r="S1010" s="1020"/>
      <c r="T1010" s="1020"/>
      <c r="U1010" s="1020"/>
      <c r="V1010" s="1020"/>
      <c r="W1010" s="1020"/>
      <c r="X1010" s="1020"/>
      <c r="Y1010" s="1020"/>
      <c r="Z1010" s="1020"/>
      <c r="AA1010" s="1020"/>
      <c r="AB1010" s="1020"/>
      <c r="AC1010" s="1020"/>
      <c r="AD1010" s="1020"/>
      <c r="AE1010" s="1020"/>
      <c r="AF1010" s="1020"/>
      <c r="AG1010" s="467"/>
      <c r="AH1010" s="467"/>
    </row>
    <row r="1011" ht="14.25" customHeight="1" spans="2:34">
      <c r="B1011" s="1018"/>
      <c r="C1011" s="1019"/>
      <c r="D1011" s="1019"/>
      <c r="E1011" s="1019"/>
      <c r="F1011" s="1020"/>
      <c r="G1011" s="1020"/>
      <c r="H1011" s="1020"/>
      <c r="I1011" s="1020"/>
      <c r="J1011" s="1020"/>
      <c r="K1011" s="1020"/>
      <c r="L1011" s="1020"/>
      <c r="M1011" s="1020"/>
      <c r="N1011" s="1020"/>
      <c r="O1011" s="1020"/>
      <c r="P1011" s="1020"/>
      <c r="Q1011" s="1020"/>
      <c r="R1011" s="1020"/>
      <c r="S1011" s="1020"/>
      <c r="T1011" s="1020"/>
      <c r="U1011" s="1020"/>
      <c r="V1011" s="1020"/>
      <c r="W1011" s="1020"/>
      <c r="X1011" s="1020"/>
      <c r="Y1011" s="1020"/>
      <c r="Z1011" s="1020"/>
      <c r="AA1011" s="1020"/>
      <c r="AB1011" s="1020"/>
      <c r="AC1011" s="1020"/>
      <c r="AD1011" s="1020"/>
      <c r="AE1011" s="1020"/>
      <c r="AF1011" s="1020"/>
      <c r="AG1011" s="467"/>
      <c r="AH1011" s="467"/>
    </row>
    <row r="1012" ht="14.25" customHeight="1" spans="2:34">
      <c r="B1012" s="1018"/>
      <c r="C1012" s="1019"/>
      <c r="D1012" s="1019"/>
      <c r="E1012" s="1019"/>
      <c r="F1012" s="1020"/>
      <c r="G1012" s="1020"/>
      <c r="H1012" s="1020"/>
      <c r="I1012" s="1020"/>
      <c r="J1012" s="1020"/>
      <c r="K1012" s="1020"/>
      <c r="L1012" s="1020"/>
      <c r="M1012" s="1020"/>
      <c r="N1012" s="1020"/>
      <c r="O1012" s="1020"/>
      <c r="P1012" s="1020"/>
      <c r="Q1012" s="1020"/>
      <c r="R1012" s="1020"/>
      <c r="S1012" s="1020"/>
      <c r="T1012" s="1020"/>
      <c r="U1012" s="1020"/>
      <c r="V1012" s="1020"/>
      <c r="W1012" s="1020"/>
      <c r="X1012" s="1020"/>
      <c r="Y1012" s="1020"/>
      <c r="Z1012" s="1020"/>
      <c r="AA1012" s="1020"/>
      <c r="AB1012" s="1020"/>
      <c r="AC1012" s="1020"/>
      <c r="AD1012" s="1020"/>
      <c r="AE1012" s="1020"/>
      <c r="AF1012" s="1020"/>
      <c r="AG1012" s="467"/>
      <c r="AH1012" s="467"/>
    </row>
    <row r="1013" ht="14.25" customHeight="1" spans="2:34">
      <c r="B1013" s="1018"/>
      <c r="C1013" s="1019"/>
      <c r="D1013" s="1019"/>
      <c r="E1013" s="1019"/>
      <c r="F1013" s="1020"/>
      <c r="G1013" s="1020"/>
      <c r="H1013" s="1020"/>
      <c r="I1013" s="1020"/>
      <c r="J1013" s="1020"/>
      <c r="K1013" s="1020"/>
      <c r="L1013" s="1020"/>
      <c r="M1013" s="1020"/>
      <c r="N1013" s="1020"/>
      <c r="O1013" s="1020"/>
      <c r="P1013" s="1020"/>
      <c r="Q1013" s="1020"/>
      <c r="R1013" s="1020"/>
      <c r="S1013" s="1020"/>
      <c r="T1013" s="1020"/>
      <c r="U1013" s="1020"/>
      <c r="V1013" s="1020"/>
      <c r="W1013" s="1020"/>
      <c r="X1013" s="1020"/>
      <c r="Y1013" s="1020"/>
      <c r="Z1013" s="1020"/>
      <c r="AA1013" s="1020"/>
      <c r="AB1013" s="1020"/>
      <c r="AC1013" s="1020"/>
      <c r="AD1013" s="1020"/>
      <c r="AE1013" s="1020"/>
      <c r="AF1013" s="1020"/>
      <c r="AG1013" s="467"/>
      <c r="AH1013" s="467"/>
    </row>
    <row r="1014" ht="14.25" customHeight="1" spans="2:34">
      <c r="B1014" s="1018"/>
      <c r="C1014" s="1019"/>
      <c r="D1014" s="1019"/>
      <c r="E1014" s="1019"/>
      <c r="F1014" s="1020"/>
      <c r="G1014" s="1020"/>
      <c r="H1014" s="1020"/>
      <c r="I1014" s="1020"/>
      <c r="J1014" s="1020"/>
      <c r="K1014" s="1020"/>
      <c r="L1014" s="1020"/>
      <c r="M1014" s="1020"/>
      <c r="N1014" s="1020"/>
      <c r="O1014" s="1020"/>
      <c r="P1014" s="1020"/>
      <c r="Q1014" s="1020"/>
      <c r="R1014" s="1020"/>
      <c r="S1014" s="1020"/>
      <c r="T1014" s="1020"/>
      <c r="U1014" s="1020"/>
      <c r="V1014" s="1020"/>
      <c r="W1014" s="1020"/>
      <c r="X1014" s="1020"/>
      <c r="Y1014" s="1020"/>
      <c r="Z1014" s="1020"/>
      <c r="AA1014" s="1020"/>
      <c r="AB1014" s="1020"/>
      <c r="AC1014" s="1020"/>
      <c r="AD1014" s="1020"/>
      <c r="AE1014" s="1020"/>
      <c r="AF1014" s="1020"/>
      <c r="AG1014" s="467"/>
      <c r="AH1014" s="467"/>
    </row>
    <row r="1015" ht="14.25" customHeight="1" spans="2:34">
      <c r="B1015" s="1018"/>
      <c r="C1015" s="1019"/>
      <c r="D1015" s="1019"/>
      <c r="E1015" s="1019"/>
      <c r="F1015" s="1020"/>
      <c r="G1015" s="1020"/>
      <c r="H1015" s="1020"/>
      <c r="I1015" s="1020"/>
      <c r="J1015" s="1020"/>
      <c r="K1015" s="1020"/>
      <c r="L1015" s="1020"/>
      <c r="M1015" s="1020"/>
      <c r="N1015" s="1020"/>
      <c r="O1015" s="1020"/>
      <c r="P1015" s="1020"/>
      <c r="Q1015" s="1020"/>
      <c r="R1015" s="1020"/>
      <c r="S1015" s="1020"/>
      <c r="T1015" s="1020"/>
      <c r="U1015" s="1020"/>
      <c r="V1015" s="1020"/>
      <c r="W1015" s="1020"/>
      <c r="X1015" s="1020"/>
      <c r="Y1015" s="1020"/>
      <c r="Z1015" s="1020"/>
      <c r="AA1015" s="1020"/>
      <c r="AB1015" s="1020"/>
      <c r="AC1015" s="1020"/>
      <c r="AD1015" s="1020"/>
      <c r="AE1015" s="1020"/>
      <c r="AF1015" s="1020"/>
      <c r="AG1015" s="467"/>
      <c r="AH1015" s="467"/>
    </row>
    <row r="1016" ht="14.25" customHeight="1" spans="2:34">
      <c r="B1016" s="1018"/>
      <c r="C1016" s="1019"/>
      <c r="D1016" s="1019"/>
      <c r="E1016" s="1019"/>
      <c r="F1016" s="1020"/>
      <c r="G1016" s="1020"/>
      <c r="H1016" s="1020"/>
      <c r="I1016" s="1020"/>
      <c r="J1016" s="1020"/>
      <c r="K1016" s="1020"/>
      <c r="L1016" s="1020"/>
      <c r="M1016" s="1020"/>
      <c r="N1016" s="1020"/>
      <c r="O1016" s="1020"/>
      <c r="P1016" s="1020"/>
      <c r="Q1016" s="1020"/>
      <c r="R1016" s="1020"/>
      <c r="S1016" s="1020"/>
      <c r="T1016" s="1020"/>
      <c r="U1016" s="1020"/>
      <c r="V1016" s="1020"/>
      <c r="W1016" s="1020"/>
      <c r="X1016" s="1020"/>
      <c r="Y1016" s="1020"/>
      <c r="Z1016" s="1020"/>
      <c r="AA1016" s="1020"/>
      <c r="AB1016" s="1020"/>
      <c r="AC1016" s="1020"/>
      <c r="AD1016" s="1020"/>
      <c r="AE1016" s="1020"/>
      <c r="AF1016" s="1020"/>
      <c r="AG1016" s="467"/>
      <c r="AH1016" s="467"/>
    </row>
    <row r="1017" ht="14.25" customHeight="1" spans="2:34">
      <c r="B1017" s="1018"/>
      <c r="C1017" s="1019"/>
      <c r="D1017" s="1019"/>
      <c r="E1017" s="1019"/>
      <c r="F1017" s="1020"/>
      <c r="G1017" s="1020"/>
      <c r="H1017" s="1020"/>
      <c r="I1017" s="1020"/>
      <c r="J1017" s="1020"/>
      <c r="K1017" s="1020"/>
      <c r="L1017" s="1020"/>
      <c r="M1017" s="1020"/>
      <c r="N1017" s="1020"/>
      <c r="O1017" s="1020"/>
      <c r="P1017" s="1020"/>
      <c r="Q1017" s="1020"/>
      <c r="R1017" s="1020"/>
      <c r="S1017" s="1020"/>
      <c r="T1017" s="1020"/>
      <c r="U1017" s="1020"/>
      <c r="V1017" s="1020"/>
      <c r="W1017" s="1020"/>
      <c r="X1017" s="1020"/>
      <c r="Y1017" s="1020"/>
      <c r="Z1017" s="1020"/>
      <c r="AA1017" s="1020"/>
      <c r="AB1017" s="1020"/>
      <c r="AC1017" s="1020"/>
      <c r="AD1017" s="1020"/>
      <c r="AE1017" s="1020"/>
      <c r="AF1017" s="1020"/>
      <c r="AG1017" s="467"/>
      <c r="AH1017" s="467"/>
    </row>
    <row r="1018" ht="14.25" customHeight="1" spans="2:34">
      <c r="B1018" s="1018"/>
      <c r="C1018" s="1019"/>
      <c r="D1018" s="1019"/>
      <c r="E1018" s="1019"/>
      <c r="F1018" s="1020"/>
      <c r="G1018" s="1020"/>
      <c r="H1018" s="1020"/>
      <c r="I1018" s="1020"/>
      <c r="J1018" s="1020"/>
      <c r="K1018" s="1020"/>
      <c r="L1018" s="1020"/>
      <c r="M1018" s="1020"/>
      <c r="N1018" s="1020"/>
      <c r="O1018" s="1020"/>
      <c r="P1018" s="1020"/>
      <c r="Q1018" s="1020"/>
      <c r="R1018" s="1020"/>
      <c r="S1018" s="1020"/>
      <c r="T1018" s="1020"/>
      <c r="U1018" s="1020"/>
      <c r="V1018" s="1020"/>
      <c r="W1018" s="1020"/>
      <c r="X1018" s="1020"/>
      <c r="Y1018" s="1020"/>
      <c r="Z1018" s="1020"/>
      <c r="AA1018" s="1020"/>
      <c r="AB1018" s="1020"/>
      <c r="AC1018" s="1020"/>
      <c r="AD1018" s="1020"/>
      <c r="AE1018" s="1020"/>
      <c r="AF1018" s="1020"/>
      <c r="AG1018" s="467"/>
      <c r="AH1018" s="467"/>
    </row>
    <row r="1019" ht="14.25" customHeight="1" spans="2:34">
      <c r="B1019" s="1018"/>
      <c r="C1019" s="1019"/>
      <c r="D1019" s="1019"/>
      <c r="E1019" s="1019"/>
      <c r="F1019" s="1020"/>
      <c r="G1019" s="1020"/>
      <c r="H1019" s="1020"/>
      <c r="I1019" s="1020"/>
      <c r="J1019" s="1020"/>
      <c r="K1019" s="1020"/>
      <c r="L1019" s="1020"/>
      <c r="M1019" s="1020"/>
      <c r="N1019" s="1020"/>
      <c r="O1019" s="1020"/>
      <c r="P1019" s="1020"/>
      <c r="Q1019" s="1020"/>
      <c r="R1019" s="1020"/>
      <c r="S1019" s="1020"/>
      <c r="T1019" s="1020"/>
      <c r="U1019" s="1020"/>
      <c r="V1019" s="1020"/>
      <c r="W1019" s="1020"/>
      <c r="X1019" s="1020"/>
      <c r="Y1019" s="1020"/>
      <c r="Z1019" s="1020"/>
      <c r="AA1019" s="1020"/>
      <c r="AB1019" s="1020"/>
      <c r="AC1019" s="1020"/>
      <c r="AD1019" s="1020"/>
      <c r="AE1019" s="1020"/>
      <c r="AF1019" s="1020"/>
      <c r="AG1019" s="467"/>
      <c r="AH1019" s="467"/>
    </row>
    <row r="1020" ht="14.25" customHeight="1" spans="2:34">
      <c r="B1020" s="1018"/>
      <c r="C1020" s="1019"/>
      <c r="D1020" s="1019"/>
      <c r="E1020" s="1019"/>
      <c r="F1020" s="1020"/>
      <c r="G1020" s="1020"/>
      <c r="H1020" s="1020"/>
      <c r="I1020" s="1020"/>
      <c r="J1020" s="1020"/>
      <c r="K1020" s="1020"/>
      <c r="L1020" s="1020"/>
      <c r="M1020" s="1020"/>
      <c r="N1020" s="1020"/>
      <c r="O1020" s="1020"/>
      <c r="P1020" s="1020"/>
      <c r="Q1020" s="1020"/>
      <c r="R1020" s="1020"/>
      <c r="S1020" s="1020"/>
      <c r="T1020" s="1020"/>
      <c r="U1020" s="1020"/>
      <c r="V1020" s="1020"/>
      <c r="W1020" s="1020"/>
      <c r="X1020" s="1020"/>
      <c r="Y1020" s="1020"/>
      <c r="Z1020" s="1020"/>
      <c r="AA1020" s="1020"/>
      <c r="AB1020" s="1020"/>
      <c r="AC1020" s="1020"/>
      <c r="AD1020" s="1020"/>
      <c r="AE1020" s="1020"/>
      <c r="AF1020" s="1020"/>
      <c r="AG1020" s="467"/>
      <c r="AH1020" s="467"/>
    </row>
    <row r="1021" ht="14.25" customHeight="1" spans="2:34">
      <c r="B1021" s="1018"/>
      <c r="C1021" s="1019"/>
      <c r="D1021" s="1019"/>
      <c r="E1021" s="1019"/>
      <c r="F1021" s="1020"/>
      <c r="G1021" s="1020"/>
      <c r="H1021" s="1020"/>
      <c r="I1021" s="1020"/>
      <c r="J1021" s="1020"/>
      <c r="K1021" s="1020"/>
      <c r="L1021" s="1020"/>
      <c r="M1021" s="1020"/>
      <c r="N1021" s="1020"/>
      <c r="O1021" s="1020"/>
      <c r="P1021" s="1020"/>
      <c r="Q1021" s="1020"/>
      <c r="R1021" s="1020"/>
      <c r="S1021" s="1020"/>
      <c r="T1021" s="1020"/>
      <c r="U1021" s="1020"/>
      <c r="V1021" s="1020"/>
      <c r="W1021" s="1020"/>
      <c r="X1021" s="1020"/>
      <c r="Y1021" s="1020"/>
      <c r="Z1021" s="1020"/>
      <c r="AA1021" s="1020"/>
      <c r="AB1021" s="1020"/>
      <c r="AC1021" s="1020"/>
      <c r="AD1021" s="1020"/>
      <c r="AE1021" s="1020"/>
      <c r="AF1021" s="1020"/>
      <c r="AG1021" s="467"/>
      <c r="AH1021" s="467"/>
    </row>
    <row r="1022" ht="14.25" customHeight="1" spans="2:34">
      <c r="B1022" s="1018"/>
      <c r="C1022" s="1019"/>
      <c r="D1022" s="1019"/>
      <c r="E1022" s="1019"/>
      <c r="F1022" s="1020"/>
      <c r="G1022" s="1020"/>
      <c r="H1022" s="1020"/>
      <c r="I1022" s="1020"/>
      <c r="J1022" s="1020"/>
      <c r="K1022" s="1020"/>
      <c r="L1022" s="1020"/>
      <c r="M1022" s="1020"/>
      <c r="N1022" s="1020"/>
      <c r="O1022" s="1020"/>
      <c r="P1022" s="1020"/>
      <c r="Q1022" s="1020"/>
      <c r="R1022" s="1020"/>
      <c r="S1022" s="1020"/>
      <c r="T1022" s="1020"/>
      <c r="U1022" s="1020"/>
      <c r="V1022" s="1020"/>
      <c r="W1022" s="1020"/>
      <c r="X1022" s="1020"/>
      <c r="Y1022" s="1020"/>
      <c r="Z1022" s="1020"/>
      <c r="AA1022" s="1020"/>
      <c r="AB1022" s="1020"/>
      <c r="AC1022" s="1020"/>
      <c r="AD1022" s="1020"/>
      <c r="AE1022" s="1020"/>
      <c r="AF1022" s="1020"/>
      <c r="AG1022" s="467"/>
      <c r="AH1022" s="467"/>
    </row>
    <row r="1023" ht="14.25" customHeight="1" spans="2:34">
      <c r="B1023" s="1018"/>
      <c r="C1023" s="1019"/>
      <c r="D1023" s="1019"/>
      <c r="E1023" s="1019"/>
      <c r="F1023" s="1020"/>
      <c r="G1023" s="1020"/>
      <c r="H1023" s="1020"/>
      <c r="I1023" s="1020"/>
      <c r="J1023" s="1020"/>
      <c r="K1023" s="1020"/>
      <c r="L1023" s="1020"/>
      <c r="M1023" s="1020"/>
      <c r="N1023" s="1020"/>
      <c r="O1023" s="1020"/>
      <c r="P1023" s="1020"/>
      <c r="Q1023" s="1020"/>
      <c r="R1023" s="1020"/>
      <c r="S1023" s="1020"/>
      <c r="T1023" s="1020"/>
      <c r="U1023" s="1020"/>
      <c r="V1023" s="1020"/>
      <c r="W1023" s="1020"/>
      <c r="X1023" s="1020"/>
      <c r="Y1023" s="1020"/>
      <c r="Z1023" s="1020"/>
      <c r="AA1023" s="1020"/>
      <c r="AB1023" s="1020"/>
      <c r="AC1023" s="1020"/>
      <c r="AD1023" s="1020"/>
      <c r="AE1023" s="1020"/>
      <c r="AF1023" s="1020"/>
      <c r="AG1023" s="467"/>
      <c r="AH1023" s="467"/>
    </row>
    <row r="1024" ht="14.25" customHeight="1" spans="2:34">
      <c r="B1024" s="1018"/>
      <c r="C1024" s="1019"/>
      <c r="D1024" s="1019"/>
      <c r="E1024" s="1019"/>
      <c r="F1024" s="1020"/>
      <c r="G1024" s="1020"/>
      <c r="H1024" s="1020"/>
      <c r="I1024" s="1020"/>
      <c r="J1024" s="1020"/>
      <c r="K1024" s="1020"/>
      <c r="L1024" s="1020"/>
      <c r="M1024" s="1020"/>
      <c r="N1024" s="1020"/>
      <c r="O1024" s="1020"/>
      <c r="P1024" s="1020"/>
      <c r="Q1024" s="1020"/>
      <c r="R1024" s="1020"/>
      <c r="S1024" s="1020"/>
      <c r="T1024" s="1020"/>
      <c r="U1024" s="1020"/>
      <c r="V1024" s="1020"/>
      <c r="W1024" s="1020"/>
      <c r="X1024" s="1020"/>
      <c r="Y1024" s="1020"/>
      <c r="Z1024" s="1020"/>
      <c r="AA1024" s="1020"/>
      <c r="AB1024" s="1020"/>
      <c r="AC1024" s="1020"/>
      <c r="AD1024" s="1020"/>
      <c r="AE1024" s="1020"/>
      <c r="AF1024" s="1020"/>
      <c r="AG1024" s="467"/>
      <c r="AH1024" s="467"/>
    </row>
    <row r="1025" ht="14.25" customHeight="1" spans="2:34">
      <c r="B1025" s="1018"/>
      <c r="C1025" s="1019"/>
      <c r="D1025" s="1019"/>
      <c r="E1025" s="1019"/>
      <c r="F1025" s="1020"/>
      <c r="G1025" s="1020"/>
      <c r="H1025" s="1020"/>
      <c r="I1025" s="1020"/>
      <c r="J1025" s="1020"/>
      <c r="K1025" s="1020"/>
      <c r="L1025" s="1020"/>
      <c r="M1025" s="1020"/>
      <c r="N1025" s="1020"/>
      <c r="O1025" s="1020"/>
      <c r="P1025" s="1020"/>
      <c r="Q1025" s="1020"/>
      <c r="R1025" s="1020"/>
      <c r="S1025" s="1020"/>
      <c r="T1025" s="1020"/>
      <c r="U1025" s="1020"/>
      <c r="V1025" s="1020"/>
      <c r="W1025" s="1020"/>
      <c r="X1025" s="1020"/>
      <c r="Y1025" s="1020"/>
      <c r="Z1025" s="1020"/>
      <c r="AA1025" s="1020"/>
      <c r="AB1025" s="1020"/>
      <c r="AC1025" s="1020"/>
      <c r="AD1025" s="1020"/>
      <c r="AE1025" s="1020"/>
      <c r="AF1025" s="1020"/>
      <c r="AG1025" s="467"/>
      <c r="AH1025" s="467"/>
    </row>
    <row r="1026" ht="14.25" customHeight="1" spans="2:34">
      <c r="B1026" s="1018"/>
      <c r="C1026" s="1019"/>
      <c r="D1026" s="1019"/>
      <c r="E1026" s="1019"/>
      <c r="F1026" s="1020"/>
      <c r="G1026" s="1020"/>
      <c r="H1026" s="1020"/>
      <c r="I1026" s="1020"/>
      <c r="J1026" s="1020"/>
      <c r="K1026" s="1020"/>
      <c r="L1026" s="1020"/>
      <c r="M1026" s="1020"/>
      <c r="N1026" s="1020"/>
      <c r="O1026" s="1020"/>
      <c r="P1026" s="1020"/>
      <c r="Q1026" s="1020"/>
      <c r="R1026" s="1020"/>
      <c r="S1026" s="1020"/>
      <c r="T1026" s="1020"/>
      <c r="U1026" s="1020"/>
      <c r="V1026" s="1020"/>
      <c r="W1026" s="1020"/>
      <c r="X1026" s="1020"/>
      <c r="Y1026" s="1020"/>
      <c r="Z1026" s="1020"/>
      <c r="AA1026" s="1020"/>
      <c r="AB1026" s="1020"/>
      <c r="AC1026" s="1020"/>
      <c r="AD1026" s="1020"/>
      <c r="AE1026" s="1020"/>
      <c r="AF1026" s="1020"/>
      <c r="AG1026" s="467"/>
      <c r="AH1026" s="467"/>
    </row>
    <row r="1027" ht="14.25" customHeight="1" spans="2:34">
      <c r="B1027" s="1018"/>
      <c r="C1027" s="1019"/>
      <c r="D1027" s="1019"/>
      <c r="E1027" s="1019"/>
      <c r="F1027" s="1020"/>
      <c r="G1027" s="1020"/>
      <c r="H1027" s="1020"/>
      <c r="I1027" s="1020"/>
      <c r="J1027" s="1020"/>
      <c r="K1027" s="1020"/>
      <c r="L1027" s="1020"/>
      <c r="M1027" s="1020"/>
      <c r="N1027" s="1020"/>
      <c r="O1027" s="1020"/>
      <c r="P1027" s="1020"/>
      <c r="Q1027" s="1020"/>
      <c r="R1027" s="1020"/>
      <c r="S1027" s="1020"/>
      <c r="T1027" s="1020"/>
      <c r="U1027" s="1020"/>
      <c r="V1027" s="1020"/>
      <c r="W1027" s="1020"/>
      <c r="X1027" s="1020"/>
      <c r="Y1027" s="1020"/>
      <c r="Z1027" s="1020"/>
      <c r="AA1027" s="1020"/>
      <c r="AB1027" s="1020"/>
      <c r="AC1027" s="1020"/>
      <c r="AD1027" s="1020"/>
      <c r="AE1027" s="1020"/>
      <c r="AF1027" s="1020"/>
      <c r="AG1027" s="467"/>
      <c r="AH1027" s="467"/>
    </row>
    <row r="1028" ht="14.25" customHeight="1" spans="2:34">
      <c r="B1028" s="1018"/>
      <c r="C1028" s="1019"/>
      <c r="D1028" s="1019"/>
      <c r="E1028" s="1019"/>
      <c r="F1028" s="1020"/>
      <c r="G1028" s="1020"/>
      <c r="H1028" s="1020"/>
      <c r="I1028" s="1020"/>
      <c r="J1028" s="1020"/>
      <c r="K1028" s="1020"/>
      <c r="L1028" s="1020"/>
      <c r="M1028" s="1020"/>
      <c r="N1028" s="1020"/>
      <c r="O1028" s="1020"/>
      <c r="P1028" s="1020"/>
      <c r="Q1028" s="1020"/>
      <c r="R1028" s="1020"/>
      <c r="S1028" s="1020"/>
      <c r="T1028" s="1020"/>
      <c r="U1028" s="1020"/>
      <c r="V1028" s="1020"/>
      <c r="W1028" s="1020"/>
      <c r="X1028" s="1020"/>
      <c r="Y1028" s="1020"/>
      <c r="Z1028" s="1020"/>
      <c r="AA1028" s="1020"/>
      <c r="AB1028" s="1020"/>
      <c r="AC1028" s="1020"/>
      <c r="AD1028" s="1020"/>
      <c r="AE1028" s="1020"/>
      <c r="AF1028" s="1020"/>
      <c r="AG1028" s="467"/>
      <c r="AH1028" s="467"/>
    </row>
  </sheetData>
  <mergeCells count="17">
    <mergeCell ref="A2:AE2"/>
    <mergeCell ref="F3:N3"/>
    <mergeCell ref="O3:R3"/>
    <mergeCell ref="S3:V3"/>
    <mergeCell ref="W3:AD3"/>
    <mergeCell ref="A280:D280"/>
    <mergeCell ref="A281:D281"/>
    <mergeCell ref="A282:D282"/>
    <mergeCell ref="A3:A4"/>
    <mergeCell ref="B3:B4"/>
    <mergeCell ref="C3:C4"/>
    <mergeCell ref="D3:D4"/>
    <mergeCell ref="E3:E4"/>
    <mergeCell ref="AE3:AE4"/>
    <mergeCell ref="AF3:AF4"/>
    <mergeCell ref="AF280:AF282"/>
    <mergeCell ref="AH3:AH4"/>
  </mergeCells>
  <pageMargins left="0.12" right="0.13" top="0.748031496062992" bottom="0.748031496062992" header="0" footer="0"/>
  <pageSetup paperSize="1" scale="48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135"/>
    <outlinePr summaryBelow="0"/>
  </sheetPr>
  <dimension ref="A1:Y1368"/>
  <sheetViews>
    <sheetView showGridLines="0" workbookViewId="0">
      <pane xSplit="9" ySplit="2" topLeftCell="J3" activePane="bottomRight" state="frozen"/>
      <selection/>
      <selection pane="topRight"/>
      <selection pane="bottomLeft"/>
      <selection pane="bottomRight" activeCell="J3" sqref="J3"/>
    </sheetView>
  </sheetViews>
  <sheetFormatPr defaultColWidth="12.6333333333333" defaultRowHeight="15" customHeight="1"/>
  <cols>
    <col min="1" max="1" width="6.38333333333333" customWidth="1"/>
    <col min="2" max="2" width="23.75" customWidth="1"/>
    <col min="3" max="3" width="21.6333333333333" customWidth="1"/>
    <col min="4" max="4" width="13.75" customWidth="1"/>
    <col min="5" max="5" width="10" customWidth="1"/>
    <col min="6" max="6" width="12.6333333333333" customWidth="1"/>
    <col min="7" max="7" width="29.1333333333333" customWidth="1"/>
    <col min="8" max="8" width="12.1333333333333" hidden="1" customWidth="1"/>
    <col min="9" max="9" width="14.3833333333333" customWidth="1"/>
    <col min="10" max="10" width="13.8833333333333" customWidth="1"/>
    <col min="11" max="11" width="10.8833333333333" customWidth="1"/>
    <col min="12" max="12" width="7.63333333333333" hidden="1" customWidth="1"/>
    <col min="13" max="13" width="44.5" customWidth="1"/>
    <col min="14" max="14" width="13.6333333333333" customWidth="1"/>
    <col min="15" max="16" width="9.63333333333333" customWidth="1"/>
    <col min="17" max="17" width="14" customWidth="1"/>
    <col min="18" max="18" width="10.1333333333333" customWidth="1"/>
    <col min="19" max="19" width="20.6333333333333" customWidth="1"/>
    <col min="20" max="20" width="22.8833333333333" customWidth="1"/>
    <col min="21" max="21" width="13.1333333333333" customWidth="1"/>
    <col min="22" max="22" width="11.3833333333333" customWidth="1"/>
    <col min="23" max="23" width="13.5" customWidth="1"/>
    <col min="24" max="25" width="14.75" customWidth="1"/>
  </cols>
  <sheetData>
    <row r="1" ht="19.5" customHeight="1" spans="1:25">
      <c r="A1" s="840" t="s">
        <v>419</v>
      </c>
      <c r="B1" s="840"/>
      <c r="C1" s="840"/>
      <c r="D1" s="891"/>
      <c r="E1" s="891"/>
      <c r="F1" s="891"/>
      <c r="G1" s="840"/>
      <c r="H1" s="892"/>
      <c r="I1" s="892"/>
      <c r="J1" s="840"/>
      <c r="K1" s="840"/>
      <c r="L1" s="891"/>
      <c r="M1" s="840"/>
      <c r="N1" s="891" t="s">
        <v>420</v>
      </c>
      <c r="O1" s="840"/>
      <c r="P1" s="840"/>
      <c r="Q1" s="840"/>
      <c r="R1" s="840"/>
      <c r="S1" s="840"/>
      <c r="T1" s="840"/>
      <c r="U1" s="840"/>
      <c r="V1" s="893"/>
      <c r="W1" s="893"/>
      <c r="X1" s="893"/>
      <c r="Y1" s="893"/>
    </row>
    <row r="2" ht="35.25" customHeight="1" spans="1:25">
      <c r="A2" s="87" t="s">
        <v>421</v>
      </c>
      <c r="B2" s="87" t="s">
        <v>422</v>
      </c>
      <c r="C2" s="87" t="s">
        <v>423</v>
      </c>
      <c r="D2" s="87" t="s">
        <v>424</v>
      </c>
      <c r="E2" s="87" t="s">
        <v>425</v>
      </c>
      <c r="F2" s="87" t="s">
        <v>426</v>
      </c>
      <c r="G2" s="87" t="s">
        <v>427</v>
      </c>
      <c r="H2" s="87" t="s">
        <v>428</v>
      </c>
      <c r="I2" s="87" t="s">
        <v>429</v>
      </c>
      <c r="J2" s="87" t="s">
        <v>430</v>
      </c>
      <c r="K2" s="87" t="str">
        <f>"Tình trạng "&amp;CHAR(10)&amp;"Hỏng: "&amp;COUNTIF(K3:K1368,"Hư hỏng")&amp;"/"&amp;C3</f>
        <v>Tình trạng 
Hỏng: 5/577</v>
      </c>
      <c r="L2" s="87" t="s">
        <v>431</v>
      </c>
      <c r="M2" s="87" t="s">
        <v>432</v>
      </c>
      <c r="N2" s="87" t="s">
        <v>433</v>
      </c>
      <c r="O2" s="87" t="s">
        <v>434</v>
      </c>
      <c r="P2" s="87" t="s">
        <v>435</v>
      </c>
      <c r="Q2" s="87" t="s">
        <v>436</v>
      </c>
      <c r="R2" s="87" t="s">
        <v>437</v>
      </c>
      <c r="S2" s="90" t="s">
        <v>438</v>
      </c>
      <c r="T2" s="87" t="s">
        <v>439</v>
      </c>
      <c r="U2" s="90" t="s">
        <v>440</v>
      </c>
      <c r="V2" s="90" t="s">
        <v>441</v>
      </c>
      <c r="W2" s="90" t="s">
        <v>442</v>
      </c>
      <c r="X2" s="90" t="s">
        <v>443</v>
      </c>
      <c r="Y2" s="90" t="s">
        <v>444</v>
      </c>
    </row>
    <row r="3" ht="12.75" customHeight="1" spans="1:25">
      <c r="A3" s="87"/>
      <c r="B3" s="87"/>
      <c r="C3" s="87">
        <f>SUM(C4,C117,C160,C348,C498,C521,C535,C545,C553,C559,C582,C609,C622,C634,C665,C640,C649,C659)</f>
        <v>577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90"/>
      <c r="T3" s="87"/>
      <c r="U3" s="894"/>
      <c r="V3" s="192"/>
      <c r="W3" s="192"/>
      <c r="X3" s="192"/>
      <c r="Y3" s="192" t="s">
        <v>445</v>
      </c>
    </row>
    <row r="4" ht="13.5" customHeight="1" spans="1:25">
      <c r="A4" s="91" t="s">
        <v>446</v>
      </c>
      <c r="B4" s="91"/>
      <c r="C4" s="92">
        <f>$C$5+$C$54+$C$83</f>
        <v>103</v>
      </c>
      <c r="D4" s="92"/>
      <c r="E4" s="92"/>
      <c r="F4" s="92"/>
      <c r="G4" s="92"/>
      <c r="H4" s="91"/>
      <c r="I4" s="91"/>
      <c r="J4" s="93"/>
      <c r="K4" s="91"/>
      <c r="L4" s="92"/>
      <c r="M4" s="91"/>
      <c r="N4" s="92"/>
      <c r="O4" s="91"/>
      <c r="P4" s="91"/>
      <c r="Q4" s="91"/>
      <c r="R4" s="91"/>
      <c r="S4" s="91"/>
      <c r="T4" s="91"/>
      <c r="U4" s="91"/>
      <c r="V4" s="192"/>
      <c r="W4" s="784"/>
      <c r="X4" s="784"/>
      <c r="Y4" s="785" t="s">
        <v>447</v>
      </c>
    </row>
    <row r="5" ht="13.5" customHeight="1" spans="1:25">
      <c r="A5" s="96" t="s">
        <v>448</v>
      </c>
      <c r="B5" s="97" t="s">
        <v>449</v>
      </c>
      <c r="C5" s="96">
        <f>COUNTA($B$6:$B$53)</f>
        <v>46</v>
      </c>
      <c r="D5" s="96"/>
      <c r="E5" s="96"/>
      <c r="F5" s="96"/>
      <c r="G5" s="96"/>
      <c r="H5" s="97"/>
      <c r="I5" s="97"/>
      <c r="J5" s="98"/>
      <c r="K5" s="97"/>
      <c r="L5" s="96"/>
      <c r="M5" s="97"/>
      <c r="N5" s="96"/>
      <c r="O5" s="97"/>
      <c r="P5" s="97"/>
      <c r="Q5" s="97"/>
      <c r="R5" s="97"/>
      <c r="S5" s="97"/>
      <c r="T5" s="97"/>
      <c r="U5" s="97"/>
      <c r="V5" s="192"/>
      <c r="W5" s="192"/>
      <c r="X5" s="192"/>
      <c r="Y5" s="192"/>
    </row>
    <row r="6" ht="13.5" customHeight="1" outlineLevel="1" spans="1:25">
      <c r="A6" s="101">
        <v>1</v>
      </c>
      <c r="B6" s="102" t="s">
        <v>450</v>
      </c>
      <c r="C6" s="102" t="s">
        <v>451</v>
      </c>
      <c r="D6" s="103" t="str">
        <f>IFERROR(VLOOKUP(B6,' 02.1 KLH-CN MÃ BRAVO MM'!$B:$C,2,0),"")</f>
        <v>ATT-A23-0025</v>
      </c>
      <c r="E6" s="103"/>
      <c r="F6" s="103" t="s">
        <v>451</v>
      </c>
      <c r="G6" s="102" t="s">
        <v>45</v>
      </c>
      <c r="H6" s="101" t="str">
        <f>VLOOKUP(G6,'01. TH'!$B:$E,3,0)</f>
        <v>9560 x 2800 x 3160</v>
      </c>
      <c r="I6" s="101" t="s">
        <v>14</v>
      </c>
      <c r="J6" s="105">
        <v>43835</v>
      </c>
      <c r="K6" s="101" t="str">
        <f>IF(COUNTIF('TT BTSC'!$D:$D,B6)&gt;0,"Hư hỏng","Bình thường")</f>
        <v>Bình thường</v>
      </c>
      <c r="L6" s="107">
        <v>0.67</v>
      </c>
      <c r="M6" s="182"/>
      <c r="N6" s="101" t="s">
        <v>452</v>
      </c>
      <c r="O6" s="110" t="s">
        <v>453</v>
      </c>
      <c r="P6" s="101">
        <v>2019</v>
      </c>
      <c r="Q6" s="101" t="s">
        <v>454</v>
      </c>
      <c r="R6" s="101" t="s">
        <v>196</v>
      </c>
      <c r="S6" s="110" t="s">
        <v>455</v>
      </c>
      <c r="T6" s="111" t="s">
        <v>456</v>
      </c>
      <c r="U6" s="111">
        <v>17</v>
      </c>
      <c r="V6" s="895">
        <v>340</v>
      </c>
      <c r="W6" s="895"/>
      <c r="X6" s="895"/>
      <c r="Y6" s="895"/>
    </row>
    <row r="7" ht="13.5" customHeight="1" outlineLevel="1" spans="1:25">
      <c r="A7" s="103">
        <f t="shared" ref="A7:A51" si="0">A6+1</f>
        <v>2</v>
      </c>
      <c r="B7" s="104" t="s">
        <v>457</v>
      </c>
      <c r="C7" s="104"/>
      <c r="D7" s="103" t="str">
        <f>IFERROR(VLOOKUP(B7,' 02.1 KLH-CN MÃ BRAVO MM'!$B:$C,2,0),"")</f>
        <v>ATT-A23-0011</v>
      </c>
      <c r="E7" s="103"/>
      <c r="F7" s="103" t="s">
        <v>451</v>
      </c>
      <c r="G7" s="104" t="s">
        <v>53</v>
      </c>
      <c r="H7" s="101" t="str">
        <f>VLOOKUP(G7,'01. TH'!$B:$E,3,0)</f>
        <v>9460 x 2800 x 3200</v>
      </c>
      <c r="I7" s="103" t="s">
        <v>14</v>
      </c>
      <c r="J7" s="112">
        <v>43801</v>
      </c>
      <c r="K7" s="101" t="str">
        <f>IF(COUNTIF('TT BTSC'!$D:$D,B7)&gt;0,"Hư hỏng","Bình thường")</f>
        <v>Bình thường</v>
      </c>
      <c r="L7" s="113">
        <v>0.4</v>
      </c>
      <c r="M7" s="183"/>
      <c r="N7" s="103" t="s">
        <v>458</v>
      </c>
      <c r="O7" s="111" t="s">
        <v>453</v>
      </c>
      <c r="P7" s="103">
        <v>1993</v>
      </c>
      <c r="Q7" s="103" t="s">
        <v>459</v>
      </c>
      <c r="R7" s="103" t="s">
        <v>460</v>
      </c>
      <c r="S7" s="111" t="s">
        <v>461</v>
      </c>
      <c r="T7" s="111" t="s">
        <v>462</v>
      </c>
      <c r="U7" s="111">
        <v>13</v>
      </c>
      <c r="V7" s="895">
        <v>410</v>
      </c>
      <c r="W7" s="895"/>
      <c r="X7" s="895"/>
      <c r="Y7" s="895"/>
    </row>
    <row r="8" ht="13.5" customHeight="1" outlineLevel="1" spans="1:25">
      <c r="A8" s="103">
        <f t="shared" si="0"/>
        <v>3</v>
      </c>
      <c r="B8" s="102" t="s">
        <v>463</v>
      </c>
      <c r="C8" s="102"/>
      <c r="D8" s="103" t="str">
        <f>IFERROR(VLOOKUP(B8,' 02.1 KLH-CN MÃ BRAVO MM'!$B:$C,2,0),"")</f>
        <v>ATT-A23-0034</v>
      </c>
      <c r="E8" s="103"/>
      <c r="F8" s="103" t="s">
        <v>451</v>
      </c>
      <c r="G8" s="102" t="s">
        <v>43</v>
      </c>
      <c r="H8" s="101" t="str">
        <f>VLOOKUP(G8,'01. TH'!$B:$E,3,0)</f>
        <v>7235 x 2496 x 3351</v>
      </c>
      <c r="I8" s="101" t="s">
        <v>14</v>
      </c>
      <c r="J8" s="105">
        <v>44110</v>
      </c>
      <c r="K8" s="101" t="str">
        <f>IF(COUNTIF('TT BTSC'!$D:$D,B8)&gt;0,"Hư hỏng","Bình thường")</f>
        <v>Bình thường</v>
      </c>
      <c r="L8" s="107">
        <v>0.68</v>
      </c>
      <c r="N8" s="101" t="s">
        <v>464</v>
      </c>
      <c r="O8" s="110" t="s">
        <v>465</v>
      </c>
      <c r="P8" s="101">
        <v>2019</v>
      </c>
      <c r="Q8" s="101" t="s">
        <v>466</v>
      </c>
      <c r="R8" s="101" t="s">
        <v>467</v>
      </c>
      <c r="S8" s="110" t="s">
        <v>468</v>
      </c>
      <c r="T8" s="111" t="s">
        <v>462</v>
      </c>
      <c r="U8" s="111">
        <v>10</v>
      </c>
      <c r="V8" s="895">
        <v>280</v>
      </c>
      <c r="W8" s="895"/>
      <c r="X8" s="895"/>
      <c r="Y8" s="895"/>
    </row>
    <row r="9" ht="13.5" customHeight="1" outlineLevel="1" spans="1:25">
      <c r="A9" s="103">
        <f t="shared" si="0"/>
        <v>4</v>
      </c>
      <c r="B9" s="104" t="s">
        <v>469</v>
      </c>
      <c r="C9" s="104"/>
      <c r="D9" s="103" t="str">
        <f>IFERROR(VLOOKUP(B9,' 02.1 KLH-CN MÃ BRAVO MM'!$B:$C,2,0),"")</f>
        <v>ATT-A23-0012</v>
      </c>
      <c r="E9" s="103"/>
      <c r="F9" s="103" t="s">
        <v>451</v>
      </c>
      <c r="G9" s="102" t="s">
        <v>43</v>
      </c>
      <c r="H9" s="101" t="str">
        <f>VLOOKUP(G9,'01. TH'!$B:$E,3,0)</f>
        <v>7235 x 2496 x 3351</v>
      </c>
      <c r="I9" s="103" t="s">
        <v>14</v>
      </c>
      <c r="J9" s="112">
        <v>43801</v>
      </c>
      <c r="K9" s="101" t="str">
        <f>IF(COUNTIF('TT BTSC'!$D:$D,B9)&gt;0,"Hư hỏng","Bình thường")</f>
        <v>Bình thường</v>
      </c>
      <c r="L9" s="113">
        <v>0.4</v>
      </c>
      <c r="M9" s="183"/>
      <c r="N9" s="103" t="s">
        <v>464</v>
      </c>
      <c r="O9" s="111" t="s">
        <v>465</v>
      </c>
      <c r="P9" s="103">
        <v>2018</v>
      </c>
      <c r="Q9" s="103" t="s">
        <v>466</v>
      </c>
      <c r="R9" s="103" t="s">
        <v>467</v>
      </c>
      <c r="S9" s="111" t="s">
        <v>470</v>
      </c>
      <c r="T9" s="111" t="s">
        <v>462</v>
      </c>
      <c r="U9" s="111">
        <v>10</v>
      </c>
      <c r="V9" s="895">
        <v>280</v>
      </c>
      <c r="W9" s="895"/>
      <c r="X9" s="895"/>
      <c r="Y9" s="895"/>
    </row>
    <row r="10" ht="13.5" customHeight="1" outlineLevel="1" spans="1:25">
      <c r="A10" s="103">
        <f t="shared" si="0"/>
        <v>5</v>
      </c>
      <c r="B10" s="102" t="s">
        <v>471</v>
      </c>
      <c r="C10" s="21"/>
      <c r="D10" s="103" t="str">
        <f>IFERROR(VLOOKUP(B10,' 02.1 KLH-CN MÃ BRAVO MM'!$B:$C,2,0),"")</f>
        <v>ATM-A22-0087</v>
      </c>
      <c r="E10" s="103"/>
      <c r="F10" s="103" t="s">
        <v>451</v>
      </c>
      <c r="G10" s="102" t="s">
        <v>53</v>
      </c>
      <c r="H10" s="101" t="str">
        <f>VLOOKUP(G10,'01. TH'!$B:$E,3,0)</f>
        <v>9460 x 2800 x 3200</v>
      </c>
      <c r="I10" s="101" t="s">
        <v>14</v>
      </c>
      <c r="J10" s="105">
        <v>44200</v>
      </c>
      <c r="K10" s="101" t="str">
        <f>IF(COUNTIF('TT BTSC'!$D:$D,B10)&gt;0,"Hư hỏng","Bình thường")</f>
        <v>Bình thường</v>
      </c>
      <c r="L10" s="107">
        <v>0.7</v>
      </c>
      <c r="M10" s="182"/>
      <c r="N10" s="101" t="s">
        <v>458</v>
      </c>
      <c r="O10" s="110" t="s">
        <v>453</v>
      </c>
      <c r="P10" s="101">
        <v>2020</v>
      </c>
      <c r="Q10" s="101" t="s">
        <v>472</v>
      </c>
      <c r="R10" s="101" t="s">
        <v>54</v>
      </c>
      <c r="S10" s="110" t="s">
        <v>473</v>
      </c>
      <c r="T10" s="111">
        <v>801502</v>
      </c>
      <c r="U10" s="111">
        <v>13</v>
      </c>
      <c r="V10" s="895">
        <v>410</v>
      </c>
      <c r="W10" s="895"/>
      <c r="X10" s="895"/>
      <c r="Y10" s="895"/>
    </row>
    <row r="11" ht="13.5" customHeight="1" outlineLevel="1" spans="1:25">
      <c r="A11" s="103">
        <f t="shared" si="0"/>
        <v>6</v>
      </c>
      <c r="B11" s="102" t="s">
        <v>474</v>
      </c>
      <c r="C11" s="21"/>
      <c r="D11" s="103" t="str">
        <f>IFERROR(VLOOKUP(B11,' 02.1 KLH-CN MÃ BRAVO MM'!$B:$C,2,0),"")</f>
        <v>ATM-A22-0088</v>
      </c>
      <c r="E11" s="103"/>
      <c r="F11" s="103" t="s">
        <v>451</v>
      </c>
      <c r="G11" s="102" t="s">
        <v>52</v>
      </c>
      <c r="H11" s="101" t="str">
        <f>VLOOKUP(G11,'01. TH'!$B:$E,3,0)</f>
        <v>7640 x 2590 x 2820</v>
      </c>
      <c r="I11" s="101" t="s">
        <v>14</v>
      </c>
      <c r="J11" s="105">
        <v>44200</v>
      </c>
      <c r="K11" s="101" t="str">
        <f>IF(COUNTIF('TT BTSC'!$D:$D,B11)&gt;0,"Hư hỏng","Bình thường")</f>
        <v>Bình thường</v>
      </c>
      <c r="L11" s="107">
        <v>0.7</v>
      </c>
      <c r="M11" s="182"/>
      <c r="N11" s="101" t="s">
        <v>458</v>
      </c>
      <c r="O11" s="110" t="s">
        <v>453</v>
      </c>
      <c r="P11" s="101">
        <v>2021</v>
      </c>
      <c r="Q11" s="101" t="s">
        <v>475</v>
      </c>
      <c r="R11" s="101" t="s">
        <v>476</v>
      </c>
      <c r="S11" s="110" t="s">
        <v>477</v>
      </c>
      <c r="T11" s="111" t="s">
        <v>478</v>
      </c>
      <c r="U11" s="111">
        <v>12</v>
      </c>
      <c r="V11" s="895">
        <v>260</v>
      </c>
      <c r="W11" s="895"/>
      <c r="X11" s="895"/>
      <c r="Y11" s="895"/>
    </row>
    <row r="12" ht="13.5" customHeight="1" outlineLevel="1" spans="1:25">
      <c r="A12" s="103">
        <f t="shared" si="0"/>
        <v>7</v>
      </c>
      <c r="B12" s="104" t="s">
        <v>479</v>
      </c>
      <c r="C12" s="102"/>
      <c r="D12" s="103" t="str">
        <f>IFERROR(VLOOKUP(B12,' 02.1 KLH-CN MÃ BRAVO MM'!$B:$C,2,0),"")</f>
        <v>ATT-A23-0027</v>
      </c>
      <c r="E12" s="103"/>
      <c r="F12" s="103" t="s">
        <v>451</v>
      </c>
      <c r="G12" s="104" t="s">
        <v>57</v>
      </c>
      <c r="H12" s="101" t="str">
        <f>VLOOKUP(G12,'01. TH'!$B:$E,3,0)</f>
        <v>4200 x 2980 x 2720</v>
      </c>
      <c r="I12" s="103" t="s">
        <v>14</v>
      </c>
      <c r="J12" s="112">
        <v>43952</v>
      </c>
      <c r="K12" s="101" t="str">
        <f>IF(COUNTIF('TT BTSC'!$D:$D,B12)&gt;0,"Hư hỏng","Bình thường")</f>
        <v>Bình thường</v>
      </c>
      <c r="L12" s="103"/>
      <c r="M12" s="183"/>
      <c r="N12" s="103" t="s">
        <v>480</v>
      </c>
      <c r="O12" s="111" t="s">
        <v>453</v>
      </c>
      <c r="P12" s="103">
        <v>1997</v>
      </c>
      <c r="Q12" s="103" t="s">
        <v>481</v>
      </c>
      <c r="R12" s="103" t="s">
        <v>482</v>
      </c>
      <c r="S12" s="111" t="s">
        <v>483</v>
      </c>
      <c r="T12" s="111" t="s">
        <v>462</v>
      </c>
      <c r="U12" s="111">
        <v>8</v>
      </c>
      <c r="V12" s="895">
        <v>165</v>
      </c>
      <c r="W12" s="895"/>
      <c r="X12" s="895"/>
      <c r="Y12" s="895"/>
    </row>
    <row r="13" ht="13.5" customHeight="1" outlineLevel="1" spans="1:25">
      <c r="A13" s="103">
        <f t="shared" si="0"/>
        <v>8</v>
      </c>
      <c r="B13" s="104" t="s">
        <v>484</v>
      </c>
      <c r="C13" s="104"/>
      <c r="D13" s="103" t="str">
        <f>IFERROR(VLOOKUP(B13,' 02.1 KLH-CN MÃ BRAVO MM'!$B:$C,2,0),"")</f>
        <v>ATT-A23-0031</v>
      </c>
      <c r="E13" s="103"/>
      <c r="F13" s="103" t="s">
        <v>451</v>
      </c>
      <c r="G13" s="104" t="s">
        <v>62</v>
      </c>
      <c r="H13" s="101" t="str">
        <f>VLOOKUP(G13,'01. TH'!$B:$E,3,0)</f>
        <v>5585 x 3000 x 3055</v>
      </c>
      <c r="I13" s="103" t="s">
        <v>14</v>
      </c>
      <c r="J13" s="112">
        <v>43837</v>
      </c>
      <c r="K13" s="101" t="str">
        <f>IF(COUNTIF('TT BTSC'!$D:$D,B13)&gt;0,"Hư hỏng","Bình thường")</f>
        <v>Bình thường</v>
      </c>
      <c r="L13" s="103"/>
      <c r="M13" s="183"/>
      <c r="N13" s="103" t="s">
        <v>480</v>
      </c>
      <c r="O13" s="111" t="s">
        <v>453</v>
      </c>
      <c r="P13" s="103">
        <v>2002</v>
      </c>
      <c r="Q13" s="103" t="s">
        <v>485</v>
      </c>
      <c r="R13" s="103" t="s">
        <v>61</v>
      </c>
      <c r="S13" s="111" t="s">
        <v>486</v>
      </c>
      <c r="T13" s="111" t="s">
        <v>462</v>
      </c>
      <c r="U13" s="896">
        <v>14</v>
      </c>
      <c r="V13" s="895">
        <v>320</v>
      </c>
      <c r="W13" s="895"/>
      <c r="X13" s="895"/>
      <c r="Y13" s="895"/>
    </row>
    <row r="14" ht="13.5" customHeight="1" outlineLevel="1" spans="1:25">
      <c r="A14" s="103">
        <f t="shared" si="0"/>
        <v>9</v>
      </c>
      <c r="B14" s="104" t="s">
        <v>487</v>
      </c>
      <c r="C14" s="104"/>
      <c r="D14" s="103" t="str">
        <f>IFERROR(VLOOKUP(B14,' 02.1 KLH-CN MÃ BRAVO MM'!$B:$C,2,0),"")</f>
        <v>ATM-A22-0089</v>
      </c>
      <c r="E14" s="103"/>
      <c r="F14" s="103" t="s">
        <v>451</v>
      </c>
      <c r="G14" s="104" t="s">
        <v>65</v>
      </c>
      <c r="H14" s="101" t="str">
        <f>VLOOKUP(G14,'01. TH'!$B:$E,3,0)</f>
        <v>5550 x 3970 x 3090</v>
      </c>
      <c r="I14" s="103" t="s">
        <v>14</v>
      </c>
      <c r="J14" s="112">
        <v>44287</v>
      </c>
      <c r="K14" s="101" t="str">
        <f>IF(COUNTIF('TT BTSC'!$D:$D,B14)&gt;0,"Hư hỏng","Bình thường")</f>
        <v>Bình thường</v>
      </c>
      <c r="L14" s="113">
        <v>0.7</v>
      </c>
      <c r="M14" s="183"/>
      <c r="N14" s="103" t="s">
        <v>480</v>
      </c>
      <c r="O14" s="111" t="s">
        <v>453</v>
      </c>
      <c r="P14" s="103">
        <v>1992</v>
      </c>
      <c r="Q14" s="103" t="s">
        <v>488</v>
      </c>
      <c r="R14" s="103" t="s">
        <v>61</v>
      </c>
      <c r="S14" s="111" t="s">
        <v>489</v>
      </c>
      <c r="T14" s="111" t="s">
        <v>490</v>
      </c>
      <c r="U14" s="896">
        <v>14</v>
      </c>
      <c r="V14" s="895">
        <v>406</v>
      </c>
      <c r="W14" s="895"/>
      <c r="X14" s="895"/>
      <c r="Y14" s="895"/>
    </row>
    <row r="15" ht="28.5" customHeight="1" outlineLevel="1" spans="1:25">
      <c r="A15" s="103">
        <f t="shared" si="0"/>
        <v>10</v>
      </c>
      <c r="B15" s="104" t="s">
        <v>491</v>
      </c>
      <c r="C15" s="124" t="s">
        <v>492</v>
      </c>
      <c r="D15" s="103" t="s">
        <v>493</v>
      </c>
      <c r="E15" s="103"/>
      <c r="F15" s="103" t="s">
        <v>492</v>
      </c>
      <c r="G15" s="104" t="s">
        <v>62</v>
      </c>
      <c r="H15" s="101" t="str">
        <f>VLOOKUP(G15,'01. TH'!$B:$E,3,0)</f>
        <v>5585 x 3000 x 3055</v>
      </c>
      <c r="I15" s="103" t="s">
        <v>14</v>
      </c>
      <c r="J15" s="103" t="s">
        <v>494</v>
      </c>
      <c r="K15" s="101" t="str">
        <f>IF(COUNTIF('TT BTSC'!$D:$D,B15)&gt;0,"Hư hỏng","Bình thường")</f>
        <v>Bình thường</v>
      </c>
      <c r="L15" s="103"/>
      <c r="M15" s="182" t="s">
        <v>495</v>
      </c>
      <c r="N15" s="103" t="s">
        <v>480</v>
      </c>
      <c r="O15" s="111" t="s">
        <v>453</v>
      </c>
      <c r="P15" s="103">
        <v>1994</v>
      </c>
      <c r="Q15" s="103" t="s">
        <v>485</v>
      </c>
      <c r="R15" s="103" t="s">
        <v>61</v>
      </c>
      <c r="S15" s="111" t="s">
        <v>496</v>
      </c>
      <c r="T15" s="111" t="s">
        <v>497</v>
      </c>
      <c r="U15" s="896">
        <v>14</v>
      </c>
      <c r="V15" s="895">
        <v>320</v>
      </c>
      <c r="W15" s="895"/>
      <c r="X15" s="895"/>
      <c r="Y15" s="895"/>
    </row>
    <row r="16" ht="13.5" customHeight="1" outlineLevel="1" spans="1:25">
      <c r="A16" s="103">
        <f t="shared" si="0"/>
        <v>11</v>
      </c>
      <c r="B16" s="102" t="s">
        <v>498</v>
      </c>
      <c r="C16" s="102"/>
      <c r="D16" s="103" t="str">
        <f>IFERROR(VLOOKUP(B16,' 02.1 KLH-CN MÃ BRAVO MM'!$B:$C,2,0),"")</f>
        <v>A23-XTA-002</v>
      </c>
      <c r="E16" s="103"/>
      <c r="F16" s="103" t="s">
        <v>451</v>
      </c>
      <c r="G16" s="102" t="s">
        <v>104</v>
      </c>
      <c r="H16" s="101" t="str">
        <f>VLOOKUP(G16,'01. TH'!$B:$E,3,0)</f>
        <v>9290 x 2500 x 3370</v>
      </c>
      <c r="I16" s="101" t="s">
        <v>14</v>
      </c>
      <c r="J16" s="105"/>
      <c r="K16" s="101" t="str">
        <f>IF(COUNTIF('TT BTSC'!$D:$D,B16)&gt;0,"Hư hỏng","Bình thường")</f>
        <v>Bình thường</v>
      </c>
      <c r="L16" s="101"/>
      <c r="M16" s="182"/>
      <c r="N16" s="101" t="s">
        <v>499</v>
      </c>
      <c r="O16" s="110" t="s">
        <v>500</v>
      </c>
      <c r="P16" s="101">
        <v>2018</v>
      </c>
      <c r="Q16" s="101" t="s">
        <v>501</v>
      </c>
      <c r="R16" s="101" t="s">
        <v>105</v>
      </c>
      <c r="S16" s="110" t="s">
        <v>502</v>
      </c>
      <c r="T16" s="111" t="s">
        <v>462</v>
      </c>
      <c r="U16" s="111">
        <v>1.41</v>
      </c>
      <c r="V16" s="895">
        <v>300</v>
      </c>
      <c r="W16" s="895"/>
      <c r="X16" s="895"/>
      <c r="Y16" s="895"/>
    </row>
    <row r="17" ht="13.5" customHeight="1" outlineLevel="1" spans="1:25">
      <c r="A17" s="103">
        <f t="shared" si="0"/>
        <v>12</v>
      </c>
      <c r="B17" s="102" t="s">
        <v>503</v>
      </c>
      <c r="C17" s="124" t="s">
        <v>504</v>
      </c>
      <c r="D17" s="103" t="s">
        <v>505</v>
      </c>
      <c r="E17" s="103" t="s">
        <v>506</v>
      </c>
      <c r="F17" s="103" t="s">
        <v>504</v>
      </c>
      <c r="G17" s="102" t="s">
        <v>113</v>
      </c>
      <c r="H17" s="101" t="str">
        <f>VLOOKUP(G17,'01. TH'!$B:$E,3,0)</f>
        <v>7800 x 2500 x 3480</v>
      </c>
      <c r="I17" s="101" t="s">
        <v>14</v>
      </c>
      <c r="J17" s="105">
        <v>45749</v>
      </c>
      <c r="K17" s="101" t="str">
        <f>IF(COUNTIF('TT BTSC'!$D:$D,B17)&gt;0,"Hư hỏng","Bình thường")</f>
        <v>Bình thường</v>
      </c>
      <c r="L17" s="107"/>
      <c r="M17" s="182" t="s">
        <v>507</v>
      </c>
      <c r="N17" s="101" t="s">
        <v>508</v>
      </c>
      <c r="O17" s="110" t="s">
        <v>500</v>
      </c>
      <c r="P17" s="101">
        <v>2022</v>
      </c>
      <c r="Q17" s="101" t="s">
        <v>509</v>
      </c>
      <c r="R17" s="101" t="s">
        <v>114</v>
      </c>
      <c r="S17" s="110" t="s">
        <v>510</v>
      </c>
      <c r="T17" s="111" t="s">
        <v>511</v>
      </c>
      <c r="U17" s="111">
        <v>1.34</v>
      </c>
      <c r="V17" s="895">
        <v>300</v>
      </c>
      <c r="W17" s="895"/>
      <c r="X17" s="895"/>
      <c r="Y17" s="895"/>
    </row>
    <row r="18" ht="13.5" customHeight="1" outlineLevel="1" spans="1:25">
      <c r="A18" s="103">
        <f t="shared" si="0"/>
        <v>13</v>
      </c>
      <c r="B18" s="102" t="s">
        <v>512</v>
      </c>
      <c r="C18" s="124" t="s">
        <v>504</v>
      </c>
      <c r="D18" s="103" t="s">
        <v>513</v>
      </c>
      <c r="E18" s="103" t="s">
        <v>514</v>
      </c>
      <c r="F18" s="103" t="s">
        <v>504</v>
      </c>
      <c r="G18" s="102" t="s">
        <v>113</v>
      </c>
      <c r="H18" s="101" t="str">
        <f>VLOOKUP(G18,'01. TH'!$B:$E,3,0)</f>
        <v>7800 x 2500 x 3480</v>
      </c>
      <c r="I18" s="101" t="s">
        <v>14</v>
      </c>
      <c r="J18" s="105">
        <v>45749</v>
      </c>
      <c r="K18" s="101" t="str">
        <f>IF(COUNTIF('TT BTSC'!$D:$D,B18)&gt;0,"Hư hỏng","Bình thường")</f>
        <v>Bình thường</v>
      </c>
      <c r="L18" s="107"/>
      <c r="M18" s="182" t="s">
        <v>507</v>
      </c>
      <c r="N18" s="101" t="s">
        <v>508</v>
      </c>
      <c r="O18" s="110" t="s">
        <v>500</v>
      </c>
      <c r="P18" s="101">
        <v>2022</v>
      </c>
      <c r="Q18" s="101" t="s">
        <v>509</v>
      </c>
      <c r="R18" s="101" t="s">
        <v>114</v>
      </c>
      <c r="S18" s="110" t="s">
        <v>515</v>
      </c>
      <c r="T18" s="111" t="s">
        <v>516</v>
      </c>
      <c r="U18" s="111">
        <v>1.34</v>
      </c>
      <c r="V18" s="895">
        <v>300</v>
      </c>
      <c r="W18" s="895"/>
      <c r="X18" s="895"/>
      <c r="Y18" s="895"/>
    </row>
    <row r="19" ht="25.5" customHeight="1" outlineLevel="1" spans="1:25">
      <c r="A19" s="103">
        <f t="shared" si="0"/>
        <v>14</v>
      </c>
      <c r="B19" s="102" t="s">
        <v>517</v>
      </c>
      <c r="C19" s="124" t="s">
        <v>518</v>
      </c>
      <c r="D19" s="103" t="s">
        <v>519</v>
      </c>
      <c r="E19" s="103" t="s">
        <v>520</v>
      </c>
      <c r="F19" s="103" t="s">
        <v>504</v>
      </c>
      <c r="G19" s="102" t="s">
        <v>113</v>
      </c>
      <c r="H19" s="101" t="str">
        <f>VLOOKUP(G19,'01. TH'!$B:$E,3,0)</f>
        <v>7800 x 2500 x 3480</v>
      </c>
      <c r="I19" s="101" t="s">
        <v>14</v>
      </c>
      <c r="J19" s="105">
        <v>45749</v>
      </c>
      <c r="K19" s="101" t="str">
        <f>IF(COUNTIF('TT BTSC'!$D:$D,B19)&gt;0,"Hư hỏng","Bình thường")</f>
        <v>Bình thường</v>
      </c>
      <c r="L19" s="107"/>
      <c r="M19" s="182" t="s">
        <v>521</v>
      </c>
      <c r="N19" s="101" t="s">
        <v>508</v>
      </c>
      <c r="O19" s="110" t="s">
        <v>500</v>
      </c>
      <c r="P19" s="101">
        <v>2022</v>
      </c>
      <c r="Q19" s="101" t="s">
        <v>509</v>
      </c>
      <c r="R19" s="101" t="s">
        <v>114</v>
      </c>
      <c r="S19" s="110" t="s">
        <v>522</v>
      </c>
      <c r="T19" s="111" t="s">
        <v>523</v>
      </c>
      <c r="U19" s="111">
        <v>0.9</v>
      </c>
      <c r="V19" s="895">
        <v>300</v>
      </c>
      <c r="W19" s="895"/>
      <c r="X19" s="895"/>
      <c r="Y19" s="895"/>
    </row>
    <row r="20" ht="13.5" customHeight="1" outlineLevel="1" spans="1:25">
      <c r="A20" s="103">
        <f t="shared" si="0"/>
        <v>15</v>
      </c>
      <c r="B20" s="124" t="s">
        <v>524</v>
      </c>
      <c r="C20" s="124" t="s">
        <v>504</v>
      </c>
      <c r="D20" s="157" t="s">
        <v>525</v>
      </c>
      <c r="E20" s="157" t="s">
        <v>526</v>
      </c>
      <c r="F20" s="103" t="s">
        <v>504</v>
      </c>
      <c r="G20" s="124" t="s">
        <v>113</v>
      </c>
      <c r="H20" s="101" t="str">
        <f>VLOOKUP(G20,'01. TH'!$B:$E,3,0)</f>
        <v>7800 x 2500 x 3480</v>
      </c>
      <c r="I20" s="146" t="s">
        <v>14</v>
      </c>
      <c r="J20" s="897">
        <v>45661</v>
      </c>
      <c r="K20" s="101" t="str">
        <f>IF(COUNTIF('TT BTSC'!$D:$D,B20)&gt;0,"Hư hỏng","Bình thường")</f>
        <v>Bình thường</v>
      </c>
      <c r="L20" s="171"/>
      <c r="M20" s="182" t="s">
        <v>507</v>
      </c>
      <c r="N20" s="157" t="s">
        <v>508</v>
      </c>
      <c r="O20" s="160" t="s">
        <v>500</v>
      </c>
      <c r="P20" s="157">
        <v>2022</v>
      </c>
      <c r="Q20" s="157" t="s">
        <v>509</v>
      </c>
      <c r="R20" s="157" t="s">
        <v>114</v>
      </c>
      <c r="S20" s="160" t="s">
        <v>527</v>
      </c>
      <c r="T20" s="160" t="s">
        <v>528</v>
      </c>
      <c r="U20" s="111">
        <v>1.34</v>
      </c>
      <c r="V20" s="895">
        <v>300</v>
      </c>
      <c r="W20" s="895"/>
      <c r="X20" s="895"/>
      <c r="Y20" s="895"/>
    </row>
    <row r="21" ht="13.5" customHeight="1" outlineLevel="1" spans="1:25">
      <c r="A21" s="103">
        <f t="shared" si="0"/>
        <v>16</v>
      </c>
      <c r="B21" s="102" t="s">
        <v>529</v>
      </c>
      <c r="C21" s="102"/>
      <c r="D21" s="103" t="str">
        <f>IFERROR(VLOOKUP(B21,' 02.1 KLH-CN MÃ BRAVO MM'!$B:$C,2,0),"")</f>
        <v>ATT-A23-0026</v>
      </c>
      <c r="E21" s="103"/>
      <c r="F21" s="103" t="s">
        <v>451</v>
      </c>
      <c r="G21" s="102" t="s">
        <v>76</v>
      </c>
      <c r="H21" s="101" t="str">
        <f>VLOOKUP(G21,'01. TH'!$B:$E,3,0)</f>
        <v>5810 x 2300 x 2860</v>
      </c>
      <c r="I21" s="101" t="s">
        <v>14</v>
      </c>
      <c r="J21" s="105">
        <v>43835</v>
      </c>
      <c r="K21" s="101" t="str">
        <f>IF(COUNTIF('TT BTSC'!$D:$D,B21)&gt;0,"Hư hỏng","Bình thường")</f>
        <v>Bình thường</v>
      </c>
      <c r="L21" s="107">
        <v>0.67</v>
      </c>
      <c r="M21" s="182"/>
      <c r="N21" s="101" t="s">
        <v>530</v>
      </c>
      <c r="O21" s="110" t="s">
        <v>453</v>
      </c>
      <c r="P21" s="101">
        <v>2006</v>
      </c>
      <c r="Q21" s="101" t="s">
        <v>531</v>
      </c>
      <c r="R21" s="101" t="s">
        <v>77</v>
      </c>
      <c r="S21" s="110" t="s">
        <v>532</v>
      </c>
      <c r="T21" s="111" t="s">
        <v>462</v>
      </c>
      <c r="U21" s="111">
        <v>7</v>
      </c>
      <c r="V21" s="895">
        <v>250</v>
      </c>
      <c r="W21" s="895"/>
      <c r="X21" s="895"/>
      <c r="Y21" s="895"/>
    </row>
    <row r="22" ht="13.5" customHeight="1" outlineLevel="1" spans="1:25">
      <c r="A22" s="103">
        <f t="shared" si="0"/>
        <v>17</v>
      </c>
      <c r="B22" s="102" t="s">
        <v>533</v>
      </c>
      <c r="C22" s="102"/>
      <c r="D22" s="103" t="str">
        <f>IFERROR(VLOOKUP(B22,' 02.1 KLH-CN MÃ BRAVO MM'!$B:$C,2,0),"")</f>
        <v>ATT-A22-0153</v>
      </c>
      <c r="E22" s="103"/>
      <c r="F22" s="103" t="s">
        <v>451</v>
      </c>
      <c r="G22" s="102" t="s">
        <v>78</v>
      </c>
      <c r="H22" s="101" t="str">
        <f>VLOOKUP(G22,'01. TH'!$B:$E,3,0)</f>
        <v>5020 x 2000 x 3115</v>
      </c>
      <c r="I22" s="101" t="s">
        <v>14</v>
      </c>
      <c r="J22" s="105">
        <v>44136</v>
      </c>
      <c r="K22" s="101" t="str">
        <f>IF(COUNTIF('TT BTSC'!$D:$D,B22)&gt;0,"Hư hỏng","Bình thường")</f>
        <v>Bình thường</v>
      </c>
      <c r="L22" s="107">
        <v>0.5</v>
      </c>
      <c r="M22" s="182"/>
      <c r="N22" s="101" t="s">
        <v>530</v>
      </c>
      <c r="O22" s="110" t="s">
        <v>453</v>
      </c>
      <c r="P22" s="101">
        <v>1990</v>
      </c>
      <c r="Q22" s="101" t="s">
        <v>534</v>
      </c>
      <c r="R22" s="101" t="s">
        <v>535</v>
      </c>
      <c r="S22" s="110" t="s">
        <v>536</v>
      </c>
      <c r="T22" s="111" t="s">
        <v>537</v>
      </c>
      <c r="U22" s="111">
        <v>4</v>
      </c>
      <c r="V22" s="895">
        <v>0</v>
      </c>
      <c r="W22" s="895"/>
      <c r="X22" s="895"/>
      <c r="Y22" s="895"/>
    </row>
    <row r="23" ht="12.75" customHeight="1" outlineLevel="1" spans="1:25">
      <c r="A23" s="103">
        <f t="shared" si="0"/>
        <v>18</v>
      </c>
      <c r="B23" s="102" t="s">
        <v>538</v>
      </c>
      <c r="C23" s="102"/>
      <c r="D23" s="103" t="str">
        <f>IFERROR(VLOOKUP(B23,' 02.1 KLH-CN MÃ BRAVO MM'!$B:$C,2,0),"")</f>
        <v>ATT-A22-0295</v>
      </c>
      <c r="E23" s="103"/>
      <c r="F23" s="103" t="s">
        <v>451</v>
      </c>
      <c r="G23" s="102" t="s">
        <v>539</v>
      </c>
      <c r="H23" s="101" t="e">
        <f>VLOOKUP(G23,'01. TH'!$B:$E,3,0)</f>
        <v>#N/A</v>
      </c>
      <c r="I23" s="101" t="s">
        <v>14</v>
      </c>
      <c r="J23" s="101" t="s">
        <v>518</v>
      </c>
      <c r="K23" s="101" t="str">
        <f>IF(COUNTIF('TT BTSC'!$D:$D,B23)&gt;0,"Hư hỏng","Bình thường")</f>
        <v>Bình thường</v>
      </c>
      <c r="L23" s="107">
        <v>0.97</v>
      </c>
      <c r="M23" s="182"/>
      <c r="N23" s="101" t="s">
        <v>540</v>
      </c>
      <c r="O23" s="110" t="s">
        <v>500</v>
      </c>
      <c r="P23" s="101">
        <v>2022</v>
      </c>
      <c r="Q23" s="101" t="s">
        <v>541</v>
      </c>
      <c r="R23" s="101" t="s">
        <v>132</v>
      </c>
      <c r="S23" s="110" t="s">
        <v>542</v>
      </c>
      <c r="T23" s="111" t="s">
        <v>543</v>
      </c>
      <c r="U23" s="111">
        <v>0.6</v>
      </c>
      <c r="V23" s="895">
        <v>300</v>
      </c>
      <c r="W23" s="895"/>
      <c r="X23" s="895"/>
      <c r="Y23" s="895"/>
    </row>
    <row r="24" ht="13.5" customHeight="1" outlineLevel="1" spans="1:25">
      <c r="A24" s="103">
        <f t="shared" si="0"/>
        <v>19</v>
      </c>
      <c r="B24" s="104" t="s">
        <v>544</v>
      </c>
      <c r="C24" s="104"/>
      <c r="D24" s="103" t="str">
        <f>IFERROR(VLOOKUP(B24,' 02.1 KLH-CN MÃ BRAVO MM'!$B:$C,2,0),"")</f>
        <v>ATT-A22-0156</v>
      </c>
      <c r="E24" s="103"/>
      <c r="F24" s="103" t="s">
        <v>451</v>
      </c>
      <c r="G24" s="104" t="s">
        <v>70</v>
      </c>
      <c r="H24" s="101" t="str">
        <f>VLOOKUP(G24,'01. TH'!$B:$E,3,0)</f>
        <v>8420 x 2375 x 3240</v>
      </c>
      <c r="I24" s="103" t="s">
        <v>14</v>
      </c>
      <c r="J24" s="112">
        <v>44166</v>
      </c>
      <c r="K24" s="101" t="str">
        <f>IF(COUNTIF('TT BTSC'!$D:$D,B24)&gt;0,"Hư hỏng","Bình thường")</f>
        <v>Bình thường</v>
      </c>
      <c r="L24" s="113">
        <v>0.67</v>
      </c>
      <c r="M24" s="183"/>
      <c r="N24" s="103" t="s">
        <v>480</v>
      </c>
      <c r="O24" s="111" t="s">
        <v>453</v>
      </c>
      <c r="P24" s="103">
        <v>1994</v>
      </c>
      <c r="Q24" s="103" t="s">
        <v>545</v>
      </c>
      <c r="R24" s="103" t="s">
        <v>546</v>
      </c>
      <c r="S24" s="111" t="s">
        <v>547</v>
      </c>
      <c r="T24" s="111" t="s">
        <v>548</v>
      </c>
      <c r="U24" s="111">
        <v>9.3</v>
      </c>
      <c r="V24" s="895">
        <v>0</v>
      </c>
      <c r="W24" s="895"/>
      <c r="X24" s="895"/>
      <c r="Y24" s="895"/>
    </row>
    <row r="25" ht="13.5" customHeight="1" outlineLevel="1" spans="1:25">
      <c r="A25" s="103">
        <f t="shared" si="0"/>
        <v>20</v>
      </c>
      <c r="B25" s="102" t="s">
        <v>549</v>
      </c>
      <c r="C25" s="102"/>
      <c r="D25" s="103" t="str">
        <f>IFERROR(VLOOKUP(B25,' 02.1 KLH-CN MÃ BRAVO MM'!$B:$C,2,0),"")</f>
        <v>ATT-A23-0033</v>
      </c>
      <c r="E25" s="103"/>
      <c r="F25" s="103" t="s">
        <v>451</v>
      </c>
      <c r="G25" s="102" t="s">
        <v>68</v>
      </c>
      <c r="H25" s="101" t="str">
        <f>VLOOKUP(G25,'01. TH'!$B:$E,3,0)</f>
        <v>11050 x 2790 x 3260</v>
      </c>
      <c r="I25" s="101" t="s">
        <v>14</v>
      </c>
      <c r="J25" s="105">
        <v>43837</v>
      </c>
      <c r="K25" s="101" t="str">
        <f>IF(COUNTIF('TT BTSC'!$D:$D,B25)&gt;0,"Hư hỏng","Bình thường")</f>
        <v>Bình thường</v>
      </c>
      <c r="L25" s="101"/>
      <c r="M25" s="182"/>
      <c r="N25" s="101" t="s">
        <v>480</v>
      </c>
      <c r="O25" s="110" t="s">
        <v>453</v>
      </c>
      <c r="P25" s="101">
        <v>2018</v>
      </c>
      <c r="Q25" s="101" t="s">
        <v>550</v>
      </c>
      <c r="R25" s="101" t="s">
        <v>69</v>
      </c>
      <c r="S25" s="110" t="s">
        <v>551</v>
      </c>
      <c r="T25" s="111" t="s">
        <v>462</v>
      </c>
      <c r="U25" s="111">
        <v>14.8</v>
      </c>
      <c r="V25" s="895">
        <v>400</v>
      </c>
      <c r="W25" s="895"/>
      <c r="X25" s="895"/>
      <c r="Y25" s="895"/>
    </row>
    <row r="26" ht="13.5" customHeight="1" outlineLevel="1" spans="1:25">
      <c r="A26" s="103">
        <f t="shared" si="0"/>
        <v>21</v>
      </c>
      <c r="B26" s="124" t="s">
        <v>552</v>
      </c>
      <c r="C26" s="124" t="s">
        <v>492</v>
      </c>
      <c r="D26" s="157" t="str">
        <f>IFERROR(VLOOKUP(B26,' 02.1 KLH-CN MÃ BRAVO MM'!$B:$C,2,0),"")</f>
        <v>A23-MĐA-013</v>
      </c>
      <c r="E26" s="157"/>
      <c r="F26" s="103" t="s">
        <v>492</v>
      </c>
      <c r="G26" s="124" t="s">
        <v>49</v>
      </c>
      <c r="H26" s="101" t="str">
        <f>VLOOKUP(G26,'01. TH'!$B:$E,3,0)</f>
        <v>5260 x 1760 x 2415</v>
      </c>
      <c r="I26" s="146" t="s">
        <v>14</v>
      </c>
      <c r="J26" s="157" t="s">
        <v>553</v>
      </c>
      <c r="K26" s="101" t="str">
        <f>IF(COUNTIF('TT BTSC'!$D:$D,B26)&gt;0,"Hư hỏng","Bình thường")</f>
        <v>Bình thường</v>
      </c>
      <c r="L26" s="171"/>
      <c r="M26" s="206" t="s">
        <v>554</v>
      </c>
      <c r="N26" s="157" t="s">
        <v>480</v>
      </c>
      <c r="O26" s="160" t="s">
        <v>555</v>
      </c>
      <c r="P26" s="157">
        <v>2015</v>
      </c>
      <c r="Q26" s="157" t="s">
        <v>556</v>
      </c>
      <c r="R26" s="157" t="s">
        <v>557</v>
      </c>
      <c r="S26" s="160" t="s">
        <v>558</v>
      </c>
      <c r="T26" s="160">
        <v>38204</v>
      </c>
      <c r="U26" s="160">
        <v>4</v>
      </c>
      <c r="V26" s="895">
        <v>60</v>
      </c>
      <c r="W26" s="895"/>
      <c r="X26" s="895"/>
      <c r="Y26" s="895"/>
    </row>
    <row r="27" ht="13.5" customHeight="1" outlineLevel="1" spans="1:25">
      <c r="A27" s="103">
        <f t="shared" si="0"/>
        <v>22</v>
      </c>
      <c r="B27" s="124" t="s">
        <v>559</v>
      </c>
      <c r="C27" s="124" t="s">
        <v>492</v>
      </c>
      <c r="D27" s="157" t="str">
        <f>IFERROR(VLOOKUP(B27,' 02.1 KLH-CN MÃ BRAVO MM'!$B:$C,2,0),"")</f>
        <v>A23-MĐA-014</v>
      </c>
      <c r="E27" s="157"/>
      <c r="F27" s="103" t="s">
        <v>492</v>
      </c>
      <c r="G27" s="124" t="s">
        <v>49</v>
      </c>
      <c r="H27" s="101" t="str">
        <f>VLOOKUP(G27,'01. TH'!$B:$E,3,0)</f>
        <v>5260 x 1760 x 2415</v>
      </c>
      <c r="I27" s="146" t="s">
        <v>14</v>
      </c>
      <c r="J27" s="157" t="s">
        <v>560</v>
      </c>
      <c r="K27" s="101" t="str">
        <f>IF(COUNTIF('TT BTSC'!$D:$D,B27)&gt;0,"Hư hỏng","Bình thường")</f>
        <v>Bình thường</v>
      </c>
      <c r="L27" s="171"/>
      <c r="M27" s="206" t="s">
        <v>561</v>
      </c>
      <c r="N27" s="157" t="s">
        <v>480</v>
      </c>
      <c r="O27" s="160" t="s">
        <v>555</v>
      </c>
      <c r="P27" s="157">
        <v>2012</v>
      </c>
      <c r="Q27" s="157" t="s">
        <v>556</v>
      </c>
      <c r="R27" s="157" t="s">
        <v>557</v>
      </c>
      <c r="S27" s="160" t="s">
        <v>562</v>
      </c>
      <c r="T27" s="160">
        <v>25866</v>
      </c>
      <c r="U27" s="160">
        <v>4</v>
      </c>
      <c r="V27" s="895">
        <v>60</v>
      </c>
      <c r="W27" s="895"/>
      <c r="X27" s="895"/>
      <c r="Y27" s="895"/>
    </row>
    <row r="28" ht="13.5" customHeight="1" outlineLevel="1" spans="1:25">
      <c r="A28" s="103">
        <f t="shared" si="0"/>
        <v>23</v>
      </c>
      <c r="B28" s="124" t="s">
        <v>563</v>
      </c>
      <c r="C28" s="124" t="s">
        <v>492</v>
      </c>
      <c r="D28" s="157" t="str">
        <f>IFERROR(VLOOKUP(B28,' 02.1 KLH-CN MÃ BRAVO MM'!$B:$C,2,0),"")</f>
        <v>A23-MĐA-015</v>
      </c>
      <c r="E28" s="157"/>
      <c r="F28" s="103" t="s">
        <v>492</v>
      </c>
      <c r="G28" s="124" t="s">
        <v>49</v>
      </c>
      <c r="H28" s="101" t="str">
        <f>VLOOKUP(G28,'01. TH'!$B:$E,3,0)</f>
        <v>5260 x 1760 x 2415</v>
      </c>
      <c r="I28" s="146" t="s">
        <v>14</v>
      </c>
      <c r="J28" s="157" t="s">
        <v>553</v>
      </c>
      <c r="K28" s="101" t="str">
        <f>IF(COUNTIF('TT BTSC'!$D:$D,B28)&gt;0,"Hư hỏng","Bình thường")</f>
        <v>Bình thường</v>
      </c>
      <c r="L28" s="171"/>
      <c r="M28" s="206" t="s">
        <v>564</v>
      </c>
      <c r="N28" s="157" t="s">
        <v>480</v>
      </c>
      <c r="O28" s="160" t="s">
        <v>555</v>
      </c>
      <c r="P28" s="157">
        <v>2015</v>
      </c>
      <c r="Q28" s="157" t="s">
        <v>556</v>
      </c>
      <c r="R28" s="157" t="s">
        <v>557</v>
      </c>
      <c r="S28" s="160" t="s">
        <v>565</v>
      </c>
      <c r="T28" s="160">
        <v>36975</v>
      </c>
      <c r="U28" s="160">
        <v>4</v>
      </c>
      <c r="V28" s="895">
        <v>60</v>
      </c>
      <c r="W28" s="895"/>
      <c r="X28" s="895"/>
      <c r="Y28" s="895"/>
    </row>
    <row r="29" ht="13.5" customHeight="1" outlineLevel="1" spans="1:25">
      <c r="A29" s="103">
        <f t="shared" si="0"/>
        <v>24</v>
      </c>
      <c r="B29" s="124" t="s">
        <v>566</v>
      </c>
      <c r="C29" s="124" t="s">
        <v>492</v>
      </c>
      <c r="D29" s="157" t="s">
        <v>567</v>
      </c>
      <c r="E29" s="157"/>
      <c r="F29" s="103" t="s">
        <v>492</v>
      </c>
      <c r="G29" s="124" t="s">
        <v>49</v>
      </c>
      <c r="H29" s="101" t="str">
        <f>VLOOKUP(G29,'01. TH'!$B:$E,3,0)</f>
        <v>5260 x 1760 x 2415</v>
      </c>
      <c r="I29" s="146" t="s">
        <v>14</v>
      </c>
      <c r="J29" s="897">
        <v>45302</v>
      </c>
      <c r="K29" s="101" t="str">
        <f>IF(COUNTIF('TT BTSC'!$D:$D,B29)&gt;0,"Hư hỏng","Bình thường")</f>
        <v>Bình thường</v>
      </c>
      <c r="L29" s="171"/>
      <c r="M29" s="206" t="s">
        <v>568</v>
      </c>
      <c r="N29" s="157" t="s">
        <v>480</v>
      </c>
      <c r="O29" s="160" t="s">
        <v>555</v>
      </c>
      <c r="P29" s="157">
        <v>2017</v>
      </c>
      <c r="Q29" s="157" t="s">
        <v>569</v>
      </c>
      <c r="R29" s="157" t="s">
        <v>557</v>
      </c>
      <c r="S29" s="1091" t="s">
        <v>570</v>
      </c>
      <c r="T29" s="160">
        <v>10671</v>
      </c>
      <c r="U29" s="160">
        <v>4</v>
      </c>
      <c r="V29" s="895">
        <v>65</v>
      </c>
      <c r="W29" s="895"/>
      <c r="X29" s="895"/>
      <c r="Y29" s="895"/>
    </row>
    <row r="30" ht="13.5" customHeight="1" outlineLevel="1" spans="1:25">
      <c r="A30" s="103">
        <f t="shared" si="0"/>
        <v>25</v>
      </c>
      <c r="B30" s="124" t="s">
        <v>571</v>
      </c>
      <c r="C30" s="124" t="s">
        <v>492</v>
      </c>
      <c r="D30" s="157" t="s">
        <v>572</v>
      </c>
      <c r="E30" s="157"/>
      <c r="F30" s="103" t="s">
        <v>492</v>
      </c>
      <c r="G30" s="124" t="s">
        <v>49</v>
      </c>
      <c r="H30" s="101" t="str">
        <f>VLOOKUP(G30,'01. TH'!$B:$E,3,0)</f>
        <v>5260 x 1760 x 2415</v>
      </c>
      <c r="I30" s="146" t="s">
        <v>14</v>
      </c>
      <c r="J30" s="897">
        <v>45302</v>
      </c>
      <c r="K30" s="101" t="str">
        <f>IF(COUNTIF('TT BTSC'!$D:$D,B30)&gt;0,"Hư hỏng","Bình thường")</f>
        <v>Bình thường</v>
      </c>
      <c r="L30" s="171"/>
      <c r="M30" s="206" t="s">
        <v>568</v>
      </c>
      <c r="N30" s="157" t="s">
        <v>480</v>
      </c>
      <c r="O30" s="160" t="s">
        <v>555</v>
      </c>
      <c r="P30" s="157">
        <v>2015</v>
      </c>
      <c r="Q30" s="157" t="s">
        <v>569</v>
      </c>
      <c r="R30" s="157" t="s">
        <v>557</v>
      </c>
      <c r="S30" s="1091" t="s">
        <v>573</v>
      </c>
      <c r="T30" s="160">
        <v>36094</v>
      </c>
      <c r="U30" s="160">
        <v>4</v>
      </c>
      <c r="V30" s="895">
        <v>65</v>
      </c>
      <c r="W30" s="895"/>
      <c r="X30" s="895"/>
      <c r="Y30" s="895"/>
    </row>
    <row r="31" ht="13.5" customHeight="1" outlineLevel="1" spans="1:25">
      <c r="A31" s="103">
        <f t="shared" si="0"/>
        <v>26</v>
      </c>
      <c r="B31" s="124" t="s">
        <v>574</v>
      </c>
      <c r="C31" s="124" t="s">
        <v>492</v>
      </c>
      <c r="D31" s="157" t="str">
        <f>IFERROR(VLOOKUP(B31,' 02.1 KLH-CN MÃ BRAVO MM'!$B:$C,2,0),"")</f>
        <v>A23-MĐA-047</v>
      </c>
      <c r="E31" s="157"/>
      <c r="F31" s="103" t="s">
        <v>492</v>
      </c>
      <c r="G31" s="124" t="s">
        <v>49</v>
      </c>
      <c r="H31" s="101" t="str">
        <f>VLOOKUP(G31,'01. TH'!$B:$E,3,0)</f>
        <v>5260 x 1760 x 2415</v>
      </c>
      <c r="I31" s="146" t="s">
        <v>14</v>
      </c>
      <c r="J31" s="897">
        <v>45298</v>
      </c>
      <c r="K31" s="101" t="str">
        <f>IF(COUNTIF('TT BTSC'!$D:$D,B31)&gt;0,"Hư hỏng","Bình thường")</f>
        <v>Bình thường</v>
      </c>
      <c r="L31" s="171"/>
      <c r="M31" s="206" t="s">
        <v>575</v>
      </c>
      <c r="N31" s="157" t="s">
        <v>480</v>
      </c>
      <c r="O31" s="160" t="s">
        <v>555</v>
      </c>
      <c r="P31" s="157">
        <v>2013</v>
      </c>
      <c r="Q31" s="157" t="s">
        <v>556</v>
      </c>
      <c r="R31" s="157" t="s">
        <v>557</v>
      </c>
      <c r="S31" s="160" t="s">
        <v>576</v>
      </c>
      <c r="T31" s="160">
        <v>25275</v>
      </c>
      <c r="U31" s="160">
        <v>4</v>
      </c>
      <c r="V31" s="895">
        <v>60</v>
      </c>
      <c r="W31" s="895"/>
      <c r="X31" s="895"/>
      <c r="Y31" s="895"/>
    </row>
    <row r="32" ht="13.5" customHeight="1" outlineLevel="1" spans="1:25">
      <c r="A32" s="103">
        <f t="shared" si="0"/>
        <v>27</v>
      </c>
      <c r="B32" s="124" t="s">
        <v>577</v>
      </c>
      <c r="C32" s="124" t="s">
        <v>492</v>
      </c>
      <c r="D32" s="157" t="str">
        <f>IFERROR(VLOOKUP(B32,' 02.1 KLH-CN MÃ BRAVO MM'!$B:$C,2,0),"")</f>
        <v>A23-MĐA-048</v>
      </c>
      <c r="E32" s="157"/>
      <c r="F32" s="103" t="s">
        <v>492</v>
      </c>
      <c r="G32" s="124" t="s">
        <v>49</v>
      </c>
      <c r="H32" s="101" t="str">
        <f>VLOOKUP(G32,'01. TH'!$B:$E,3,0)</f>
        <v>5260 x 1760 x 2415</v>
      </c>
      <c r="I32" s="146" t="s">
        <v>14</v>
      </c>
      <c r="J32" s="897">
        <v>45298</v>
      </c>
      <c r="K32" s="101" t="str">
        <f>IF(COUNTIF('TT BTSC'!$D:$D,B32)&gt;0,"Hư hỏng","Bình thường")</f>
        <v>Bình thường</v>
      </c>
      <c r="L32" s="171"/>
      <c r="M32" s="206" t="s">
        <v>578</v>
      </c>
      <c r="N32" s="157" t="s">
        <v>480</v>
      </c>
      <c r="O32" s="160" t="s">
        <v>555</v>
      </c>
      <c r="P32" s="157">
        <v>2013</v>
      </c>
      <c r="Q32" s="157" t="s">
        <v>556</v>
      </c>
      <c r="R32" s="157" t="s">
        <v>557</v>
      </c>
      <c r="S32" s="160" t="s">
        <v>579</v>
      </c>
      <c r="T32" s="160">
        <v>27440</v>
      </c>
      <c r="U32" s="160">
        <v>4</v>
      </c>
      <c r="V32" s="895">
        <v>60</v>
      </c>
      <c r="W32" s="895"/>
      <c r="X32" s="895"/>
      <c r="Y32" s="895"/>
    </row>
    <row r="33" ht="18" customHeight="1" outlineLevel="1" spans="1:25">
      <c r="A33" s="103">
        <f t="shared" si="0"/>
        <v>28</v>
      </c>
      <c r="B33" s="124" t="s">
        <v>580</v>
      </c>
      <c r="C33" s="124" t="s">
        <v>492</v>
      </c>
      <c r="D33" s="157" t="s">
        <v>581</v>
      </c>
      <c r="E33" s="157"/>
      <c r="F33" s="103" t="s">
        <v>492</v>
      </c>
      <c r="G33" s="124" t="s">
        <v>49</v>
      </c>
      <c r="H33" s="101" t="str">
        <f>VLOOKUP(G33,'01. TH'!$B:$E,3,0)</f>
        <v>5260 x 1760 x 2415</v>
      </c>
      <c r="I33" s="146" t="s">
        <v>14</v>
      </c>
      <c r="J33" s="897">
        <v>46002</v>
      </c>
      <c r="K33" s="101" t="str">
        <f>IF(COUNTIF('TT BTSC'!$D:$D,B33)&gt;0,"Hư hỏng","Bình thường")</f>
        <v>Bình thường</v>
      </c>
      <c r="L33" s="171"/>
      <c r="M33" s="206" t="s">
        <v>582</v>
      </c>
      <c r="N33" s="157" t="s">
        <v>480</v>
      </c>
      <c r="O33" s="160" t="s">
        <v>555</v>
      </c>
      <c r="P33" s="157">
        <v>2015</v>
      </c>
      <c r="Q33" s="157" t="s">
        <v>583</v>
      </c>
      <c r="R33" s="157" t="s">
        <v>557</v>
      </c>
      <c r="S33" s="160" t="s">
        <v>584</v>
      </c>
      <c r="T33" s="160" t="s">
        <v>585</v>
      </c>
      <c r="U33" s="160">
        <v>4</v>
      </c>
      <c r="V33" s="898"/>
      <c r="W33" s="898" t="s">
        <v>586</v>
      </c>
      <c r="X33" s="898"/>
      <c r="Y33" s="898"/>
    </row>
    <row r="34" ht="34.5" customHeight="1" outlineLevel="1" spans="1:25">
      <c r="A34" s="103">
        <f t="shared" si="0"/>
        <v>29</v>
      </c>
      <c r="B34" s="124" t="s">
        <v>587</v>
      </c>
      <c r="C34" s="124" t="s">
        <v>492</v>
      </c>
      <c r="D34" s="157" t="str">
        <f>IFERROR(VLOOKUP(B34,' 02.1 KLH-CN MÃ BRAVO MM'!$B:$C,2,0),"")</f>
        <v>A23-XLU-008</v>
      </c>
      <c r="E34" s="157"/>
      <c r="F34" s="103" t="s">
        <v>492</v>
      </c>
      <c r="G34" s="124" t="s">
        <v>73</v>
      </c>
      <c r="H34" s="101" t="str">
        <f>VLOOKUP(G34,'01. TH'!$B:$E,3,0)</f>
        <v>3100 x 1400 x 1585</v>
      </c>
      <c r="I34" s="146" t="s">
        <v>14</v>
      </c>
      <c r="J34" s="897">
        <v>45330</v>
      </c>
      <c r="K34" s="101" t="str">
        <f>IF(COUNTIF('TT BTSC'!$D:$D,B34)&gt;0,"Hư hỏng","Bình thường")</f>
        <v>Bình thường</v>
      </c>
      <c r="L34" s="171"/>
      <c r="M34" s="206" t="s">
        <v>588</v>
      </c>
      <c r="N34" s="157" t="s">
        <v>589</v>
      </c>
      <c r="O34" s="160" t="s">
        <v>590</v>
      </c>
      <c r="P34" s="157">
        <v>2005</v>
      </c>
      <c r="Q34" s="157" t="s">
        <v>591</v>
      </c>
      <c r="R34" s="157" t="s">
        <v>58</v>
      </c>
      <c r="S34" s="160" t="s">
        <v>592</v>
      </c>
      <c r="T34" s="160" t="s">
        <v>593</v>
      </c>
      <c r="U34" s="160">
        <v>2.6</v>
      </c>
      <c r="V34" s="895">
        <v>0</v>
      </c>
      <c r="W34" s="895"/>
      <c r="X34" s="895"/>
      <c r="Y34" s="895"/>
    </row>
    <row r="35" ht="38.25" customHeight="1" outlineLevel="1" spans="1:25">
      <c r="A35" s="103">
        <f t="shared" si="0"/>
        <v>30</v>
      </c>
      <c r="B35" s="124" t="s">
        <v>594</v>
      </c>
      <c r="C35" s="124" t="s">
        <v>492</v>
      </c>
      <c r="D35" s="157" t="s">
        <v>595</v>
      </c>
      <c r="E35" s="157"/>
      <c r="F35" s="103" t="s">
        <v>492</v>
      </c>
      <c r="G35" s="124" t="s">
        <v>46</v>
      </c>
      <c r="H35" s="101" t="str">
        <f>VLOOKUP(G35,'01. TH'!$B:$E,3,0)</f>
        <v>8358 x 2540 x 3200</v>
      </c>
      <c r="I35" s="146" t="s">
        <v>14</v>
      </c>
      <c r="J35" s="897">
        <v>45963</v>
      </c>
      <c r="K35" s="101" t="str">
        <f>IF(COUNTIF('TT BTSC'!$D:$D,B35)&gt;0,"Hư hỏng","Bình thường")</f>
        <v>Bình thường</v>
      </c>
      <c r="L35" s="171"/>
      <c r="M35" s="206" t="s">
        <v>596</v>
      </c>
      <c r="N35" s="157" t="s">
        <v>480</v>
      </c>
      <c r="O35" s="160" t="s">
        <v>597</v>
      </c>
      <c r="P35" s="157">
        <v>2006</v>
      </c>
      <c r="Q35" s="157" t="s">
        <v>598</v>
      </c>
      <c r="R35" s="157" t="s">
        <v>102</v>
      </c>
      <c r="S35" s="160" t="s">
        <v>599</v>
      </c>
      <c r="T35" s="160">
        <v>21721047</v>
      </c>
      <c r="U35" s="160">
        <v>10</v>
      </c>
      <c r="V35" s="895">
        <v>130</v>
      </c>
      <c r="W35" s="895"/>
      <c r="X35" s="895"/>
      <c r="Y35" s="895"/>
    </row>
    <row r="36" ht="13.5" customHeight="1" outlineLevel="1" spans="1:25">
      <c r="A36" s="103">
        <f t="shared" si="0"/>
        <v>31</v>
      </c>
      <c r="B36" s="124" t="s">
        <v>600</v>
      </c>
      <c r="C36" s="124" t="s">
        <v>492</v>
      </c>
      <c r="D36" s="157" t="s">
        <v>601</v>
      </c>
      <c r="E36" s="157"/>
      <c r="F36" s="103" t="s">
        <v>492</v>
      </c>
      <c r="G36" s="124" t="s">
        <v>47</v>
      </c>
      <c r="H36" s="101" t="str">
        <f>VLOOKUP(G36,'01. TH'!$B:$E,3,0)</f>
        <v>9660 x 2550 x 3985</v>
      </c>
      <c r="I36" s="146" t="s">
        <v>14</v>
      </c>
      <c r="J36" s="897">
        <v>45963</v>
      </c>
      <c r="K36" s="101" t="str">
        <f>IF(COUNTIF('TT BTSC'!$D:$D,B36)&gt;0,"Hư hỏng","Bình thường")</f>
        <v>Bình thường</v>
      </c>
      <c r="L36" s="171"/>
      <c r="M36" s="206" t="s">
        <v>602</v>
      </c>
      <c r="N36" s="157" t="s">
        <v>480</v>
      </c>
      <c r="O36" s="160" t="s">
        <v>555</v>
      </c>
      <c r="P36" s="157">
        <v>2012</v>
      </c>
      <c r="Q36" s="157" t="s">
        <v>603</v>
      </c>
      <c r="R36" s="157" t="s">
        <v>48</v>
      </c>
      <c r="S36" s="160" t="s">
        <v>604</v>
      </c>
      <c r="T36" s="160">
        <v>21719691</v>
      </c>
      <c r="U36" s="160">
        <v>12.5</v>
      </c>
      <c r="V36" s="895">
        <v>370</v>
      </c>
      <c r="W36" s="895"/>
      <c r="X36" s="895"/>
      <c r="Y36" s="895"/>
    </row>
    <row r="37" ht="13.5" customHeight="1" outlineLevel="1" spans="1:25">
      <c r="A37" s="103">
        <f t="shared" si="0"/>
        <v>32</v>
      </c>
      <c r="B37" s="124" t="s">
        <v>605</v>
      </c>
      <c r="C37" s="124" t="s">
        <v>492</v>
      </c>
      <c r="D37" s="157" t="s">
        <v>606</v>
      </c>
      <c r="E37" s="157"/>
      <c r="F37" s="103" t="s">
        <v>492</v>
      </c>
      <c r="G37" s="124" t="s">
        <v>50</v>
      </c>
      <c r="H37" s="101" t="str">
        <f>VLOOKUP(G37,'01. TH'!$B:$E,3,0)</f>
        <v>8700 x 2800 x 3010</v>
      </c>
      <c r="I37" s="101" t="s">
        <v>14</v>
      </c>
      <c r="J37" s="146" t="s">
        <v>494</v>
      </c>
      <c r="K37" s="101" t="str">
        <f>IF(COUNTIF('TT BTSC'!$D:$D,B37)&gt;0,"Hư hỏng","Bình thường")</f>
        <v>Bình thường</v>
      </c>
      <c r="L37" s="899"/>
      <c r="M37" s="182" t="s">
        <v>607</v>
      </c>
      <c r="N37" s="157" t="s">
        <v>480</v>
      </c>
      <c r="O37" s="160" t="s">
        <v>453</v>
      </c>
      <c r="P37" s="157">
        <v>2005</v>
      </c>
      <c r="Q37" s="157" t="s">
        <v>608</v>
      </c>
      <c r="R37" s="157" t="s">
        <v>546</v>
      </c>
      <c r="S37" s="160" t="s">
        <v>609</v>
      </c>
      <c r="T37" s="160" t="s">
        <v>610</v>
      </c>
      <c r="U37" s="111">
        <v>14</v>
      </c>
      <c r="V37" s="895">
        <v>320</v>
      </c>
      <c r="W37" s="895"/>
      <c r="X37" s="895"/>
      <c r="Y37" s="895"/>
    </row>
    <row r="38" ht="13.5" customHeight="1" outlineLevel="1" spans="1:25">
      <c r="A38" s="103">
        <f t="shared" si="0"/>
        <v>33</v>
      </c>
      <c r="B38" s="124" t="s">
        <v>611</v>
      </c>
      <c r="C38" s="124" t="s">
        <v>492</v>
      </c>
      <c r="D38" s="157" t="s">
        <v>612</v>
      </c>
      <c r="E38" s="157"/>
      <c r="F38" s="103" t="s">
        <v>492</v>
      </c>
      <c r="G38" s="124" t="s">
        <v>57</v>
      </c>
      <c r="H38" s="101" t="str">
        <f>VLOOKUP(G38,'01. TH'!$B:$E,3,0)</f>
        <v>4200 x 2980 x 2720</v>
      </c>
      <c r="I38" s="146" t="s">
        <v>14</v>
      </c>
      <c r="J38" s="148">
        <v>45963</v>
      </c>
      <c r="K38" s="101" t="str">
        <f>IF(COUNTIF('TT BTSC'!$D:$D,B38)&gt;0,"Hư hỏng","Bình thường")</f>
        <v>Bình thường</v>
      </c>
      <c r="L38" s="899"/>
      <c r="M38" s="900" t="s">
        <v>602</v>
      </c>
      <c r="N38" s="157" t="s">
        <v>480</v>
      </c>
      <c r="O38" s="160" t="s">
        <v>555</v>
      </c>
      <c r="P38" s="157">
        <v>2003</v>
      </c>
      <c r="Q38" s="157" t="s">
        <v>613</v>
      </c>
      <c r="R38" s="157" t="s">
        <v>614</v>
      </c>
      <c r="S38" s="160" t="s">
        <v>615</v>
      </c>
      <c r="T38" s="160" t="s">
        <v>616</v>
      </c>
      <c r="U38" s="111">
        <v>8</v>
      </c>
      <c r="V38" s="895">
        <v>165</v>
      </c>
      <c r="W38" s="895"/>
      <c r="X38" s="895"/>
      <c r="Y38" s="895"/>
    </row>
    <row r="39" ht="13.5" customHeight="1" outlineLevel="1" spans="1:25">
      <c r="A39" s="103">
        <f t="shared" si="0"/>
        <v>34</v>
      </c>
      <c r="B39" s="124" t="s">
        <v>617</v>
      </c>
      <c r="C39" s="124" t="s">
        <v>504</v>
      </c>
      <c r="D39" s="157" t="s">
        <v>618</v>
      </c>
      <c r="E39" s="157" t="s">
        <v>619</v>
      </c>
      <c r="F39" s="157" t="s">
        <v>504</v>
      </c>
      <c r="G39" s="124" t="s">
        <v>109</v>
      </c>
      <c r="H39" s="101" t="str">
        <f>VLOOKUP(G39,'01. TH'!$B:$E,3,0)</f>
        <v>6160 x 2330 x 2760</v>
      </c>
      <c r="I39" s="146" t="s">
        <v>14</v>
      </c>
      <c r="J39" s="897">
        <v>45841</v>
      </c>
      <c r="K39" s="101" t="str">
        <f>IF(COUNTIF('TT BTSC'!$D:$D,B39)&gt;0,"Hư hỏng","Bình thường")</f>
        <v>Bình thường</v>
      </c>
      <c r="L39" s="171"/>
      <c r="M39" s="900" t="s">
        <v>620</v>
      </c>
      <c r="N39" s="101" t="s">
        <v>621</v>
      </c>
      <c r="O39" s="110" t="s">
        <v>500</v>
      </c>
      <c r="P39" s="157">
        <v>2024</v>
      </c>
      <c r="Q39" s="157" t="s">
        <v>622</v>
      </c>
      <c r="R39" s="157" t="s">
        <v>48</v>
      </c>
      <c r="S39" s="160" t="s">
        <v>623</v>
      </c>
      <c r="T39" s="160" t="s">
        <v>624</v>
      </c>
      <c r="U39" s="160">
        <v>0.63</v>
      </c>
      <c r="V39" s="895">
        <v>150</v>
      </c>
      <c r="W39" s="895"/>
      <c r="X39" s="895"/>
      <c r="Y39" s="895"/>
    </row>
    <row r="40" ht="13.5" customHeight="1" outlineLevel="1" spans="1:25">
      <c r="A40" s="103">
        <f t="shared" si="0"/>
        <v>35</v>
      </c>
      <c r="B40" s="124" t="s">
        <v>625</v>
      </c>
      <c r="C40" s="124" t="s">
        <v>504</v>
      </c>
      <c r="D40" s="157" t="s">
        <v>626</v>
      </c>
      <c r="E40" s="157" t="s">
        <v>627</v>
      </c>
      <c r="F40" s="157" t="s">
        <v>504</v>
      </c>
      <c r="G40" s="124" t="s">
        <v>109</v>
      </c>
      <c r="H40" s="101" t="str">
        <f>VLOOKUP(G40,'01. TH'!$B:$E,3,0)</f>
        <v>6160 x 2330 x 2760</v>
      </c>
      <c r="I40" s="146" t="s">
        <v>14</v>
      </c>
      <c r="J40" s="897">
        <v>45841</v>
      </c>
      <c r="K40" s="101" t="str">
        <f>IF(COUNTIF('TT BTSC'!$D:$D,B40)&gt;0,"Hư hỏng","Bình thường")</f>
        <v>Bình thường</v>
      </c>
      <c r="L40" s="171"/>
      <c r="M40" s="900" t="s">
        <v>620</v>
      </c>
      <c r="N40" s="101" t="s">
        <v>621</v>
      </c>
      <c r="O40" s="110" t="s">
        <v>500</v>
      </c>
      <c r="P40" s="157">
        <v>2024</v>
      </c>
      <c r="Q40" s="157" t="s">
        <v>628</v>
      </c>
      <c r="R40" s="157" t="s">
        <v>48</v>
      </c>
      <c r="S40" s="160" t="s">
        <v>629</v>
      </c>
      <c r="T40" s="160" t="s">
        <v>630</v>
      </c>
      <c r="U40" s="160">
        <v>0.63</v>
      </c>
      <c r="V40" s="895">
        <v>150</v>
      </c>
      <c r="W40" s="895"/>
      <c r="X40" s="895"/>
      <c r="Y40" s="895"/>
    </row>
    <row r="41" ht="13.5" customHeight="1" outlineLevel="1" spans="1:25">
      <c r="A41" s="103">
        <f t="shared" si="0"/>
        <v>36</v>
      </c>
      <c r="B41" s="124" t="s">
        <v>631</v>
      </c>
      <c r="C41" s="124" t="s">
        <v>504</v>
      </c>
      <c r="D41" s="157" t="s">
        <v>632</v>
      </c>
      <c r="E41" s="157"/>
      <c r="F41" s="157" t="s">
        <v>504</v>
      </c>
      <c r="G41" s="124" t="s">
        <v>106</v>
      </c>
      <c r="H41" s="101" t="str">
        <f>VLOOKUP(G41,'01. TH'!$B:$E,3,0)</f>
        <v>6160 x 2330 x 2760</v>
      </c>
      <c r="I41" s="146" t="s">
        <v>14</v>
      </c>
      <c r="J41" s="157" t="s">
        <v>633</v>
      </c>
      <c r="K41" s="101" t="str">
        <f>IF(COUNTIF('TT BTSC'!$D:$D,B41)&gt;0,"Hư hỏng","Bình thường")</f>
        <v>Bình thường</v>
      </c>
      <c r="L41" s="171"/>
      <c r="M41" s="900" t="s">
        <v>634</v>
      </c>
      <c r="N41" s="101" t="s">
        <v>621</v>
      </c>
      <c r="O41" s="110" t="s">
        <v>500</v>
      </c>
      <c r="P41" s="157">
        <v>2024</v>
      </c>
      <c r="Q41" s="157" t="s">
        <v>635</v>
      </c>
      <c r="R41" s="157" t="s">
        <v>48</v>
      </c>
      <c r="S41" s="160" t="s">
        <v>636</v>
      </c>
      <c r="T41" s="160" t="s">
        <v>637</v>
      </c>
      <c r="U41" s="160">
        <v>4.5</v>
      </c>
      <c r="V41" s="895">
        <v>150</v>
      </c>
      <c r="W41" s="895"/>
      <c r="X41" s="895"/>
      <c r="Y41" s="895"/>
    </row>
    <row r="42" ht="13.5" customHeight="1" outlineLevel="1" spans="1:25">
      <c r="A42" s="103">
        <f t="shared" si="0"/>
        <v>37</v>
      </c>
      <c r="B42" s="124" t="s">
        <v>638</v>
      </c>
      <c r="C42" s="124" t="s">
        <v>504</v>
      </c>
      <c r="D42" s="157" t="s">
        <v>639</v>
      </c>
      <c r="E42" s="157"/>
      <c r="F42" s="157" t="s">
        <v>504</v>
      </c>
      <c r="G42" s="124" t="s">
        <v>106</v>
      </c>
      <c r="H42" s="101" t="str">
        <f>VLOOKUP(G42,'01. TH'!$B:$E,3,0)</f>
        <v>6160 x 2330 x 2760</v>
      </c>
      <c r="I42" s="146" t="s">
        <v>14</v>
      </c>
      <c r="J42" s="157" t="s">
        <v>633</v>
      </c>
      <c r="K42" s="101" t="str">
        <f>IF(COUNTIF('TT BTSC'!$D:$D,B42)&gt;0,"Hư hỏng","Bình thường")</f>
        <v>Bình thường</v>
      </c>
      <c r="L42" s="171"/>
      <c r="M42" s="900" t="s">
        <v>634</v>
      </c>
      <c r="N42" s="101" t="s">
        <v>621</v>
      </c>
      <c r="O42" s="110" t="s">
        <v>500</v>
      </c>
      <c r="P42" s="157">
        <v>2024</v>
      </c>
      <c r="Q42" s="157" t="s">
        <v>635</v>
      </c>
      <c r="R42" s="157" t="s">
        <v>48</v>
      </c>
      <c r="S42" s="160" t="s">
        <v>640</v>
      </c>
      <c r="T42" s="160" t="s">
        <v>641</v>
      </c>
      <c r="U42" s="160">
        <v>0.63</v>
      </c>
      <c r="V42" s="895">
        <v>150</v>
      </c>
      <c r="W42" s="895"/>
      <c r="X42" s="895"/>
      <c r="Y42" s="895"/>
    </row>
    <row r="43" ht="13.5" customHeight="1" outlineLevel="1" spans="1:25">
      <c r="A43" s="103">
        <f t="shared" si="0"/>
        <v>38</v>
      </c>
      <c r="B43" s="124" t="s">
        <v>642</v>
      </c>
      <c r="C43" s="124" t="s">
        <v>504</v>
      </c>
      <c r="D43" s="157" t="s">
        <v>643</v>
      </c>
      <c r="E43" s="157"/>
      <c r="F43" s="157" t="s">
        <v>504</v>
      </c>
      <c r="G43" s="124" t="s">
        <v>106</v>
      </c>
      <c r="H43" s="101" t="str">
        <f>VLOOKUP(G43,'01. TH'!$B:$E,3,0)</f>
        <v>6160 x 2330 x 2760</v>
      </c>
      <c r="I43" s="146" t="s">
        <v>14</v>
      </c>
      <c r="J43" s="157" t="s">
        <v>633</v>
      </c>
      <c r="K43" s="101" t="str">
        <f>IF(COUNTIF('TT BTSC'!$D:$D,B43)&gt;0,"Hư hỏng","Bình thường")</f>
        <v>Bình thường</v>
      </c>
      <c r="L43" s="171"/>
      <c r="M43" s="900" t="s">
        <v>634</v>
      </c>
      <c r="N43" s="101" t="s">
        <v>621</v>
      </c>
      <c r="O43" s="110" t="s">
        <v>500</v>
      </c>
      <c r="P43" s="157">
        <v>2024</v>
      </c>
      <c r="Q43" s="157" t="s">
        <v>635</v>
      </c>
      <c r="R43" s="157" t="s">
        <v>48</v>
      </c>
      <c r="S43" s="160" t="s">
        <v>644</v>
      </c>
      <c r="T43" s="160" t="s">
        <v>645</v>
      </c>
      <c r="U43" s="160">
        <v>0.63</v>
      </c>
      <c r="V43" s="895">
        <v>150</v>
      </c>
      <c r="W43" s="895"/>
      <c r="X43" s="895"/>
      <c r="Y43" s="895"/>
    </row>
    <row r="44" ht="13.8" outlineLevel="1" spans="1:25">
      <c r="A44" s="103">
        <f t="shared" si="0"/>
        <v>39</v>
      </c>
      <c r="B44" s="124" t="s">
        <v>646</v>
      </c>
      <c r="C44" s="124" t="s">
        <v>504</v>
      </c>
      <c r="D44" s="157" t="s">
        <v>647</v>
      </c>
      <c r="E44" s="157"/>
      <c r="F44" s="157" t="s">
        <v>504</v>
      </c>
      <c r="G44" s="124" t="s">
        <v>106</v>
      </c>
      <c r="H44" s="101" t="str">
        <f>VLOOKUP(G44,'01. TH'!$B:$E,3,0)</f>
        <v>6160 x 2330 x 2760</v>
      </c>
      <c r="I44" s="146" t="s">
        <v>14</v>
      </c>
      <c r="J44" s="157" t="s">
        <v>633</v>
      </c>
      <c r="K44" s="101" t="str">
        <f>IF(COUNTIF('TT BTSC'!$D:$D,B44)&gt;0,"Hư hỏng","Bình thường")</f>
        <v>Bình thường</v>
      </c>
      <c r="L44" s="171"/>
      <c r="M44" s="900" t="s">
        <v>634</v>
      </c>
      <c r="N44" s="101" t="s">
        <v>621</v>
      </c>
      <c r="O44" s="110" t="s">
        <v>500</v>
      </c>
      <c r="P44" s="157">
        <v>2024</v>
      </c>
      <c r="Q44" s="157" t="s">
        <v>635</v>
      </c>
      <c r="R44" s="157" t="s">
        <v>48</v>
      </c>
      <c r="S44" s="160" t="s">
        <v>648</v>
      </c>
      <c r="T44" s="160" t="s">
        <v>649</v>
      </c>
      <c r="U44" s="160">
        <v>0.63</v>
      </c>
      <c r="V44" s="895">
        <v>150</v>
      </c>
      <c r="W44" s="895"/>
      <c r="X44" s="895"/>
      <c r="Y44" s="895"/>
    </row>
    <row r="45" ht="13.5" customHeight="1" outlineLevel="1" spans="1:25">
      <c r="A45" s="103">
        <f t="shared" si="0"/>
        <v>40</v>
      </c>
      <c r="B45" s="124" t="s">
        <v>650</v>
      </c>
      <c r="C45" s="124" t="s">
        <v>504</v>
      </c>
      <c r="D45" s="157" t="s">
        <v>651</v>
      </c>
      <c r="E45" s="157" t="s">
        <v>652</v>
      </c>
      <c r="F45" s="157" t="s">
        <v>504</v>
      </c>
      <c r="G45" s="124" t="s">
        <v>107</v>
      </c>
      <c r="H45" s="101" t="str">
        <f>VLOOKUP(G45,'01. TH'!$B:$E,3,0)</f>
        <v>5910 x 2310 x 2800</v>
      </c>
      <c r="I45" s="146" t="s">
        <v>14</v>
      </c>
      <c r="J45" s="897">
        <v>45936</v>
      </c>
      <c r="K45" s="101" t="str">
        <f>IF(COUNTIF('TT BTSC'!$D:$D,B45)&gt;0,"Hư hỏng","Bình thường")</f>
        <v>Bình thường</v>
      </c>
      <c r="L45" s="171"/>
      <c r="M45" s="182" t="s">
        <v>653</v>
      </c>
      <c r="N45" s="101" t="s">
        <v>621</v>
      </c>
      <c r="O45" s="110" t="s">
        <v>500</v>
      </c>
      <c r="P45" s="157">
        <v>2024</v>
      </c>
      <c r="Q45" s="157" t="s">
        <v>654</v>
      </c>
      <c r="R45" s="157" t="s">
        <v>655</v>
      </c>
      <c r="S45" s="160" t="s">
        <v>656</v>
      </c>
      <c r="T45" s="160" t="s">
        <v>657</v>
      </c>
      <c r="U45" s="160">
        <v>0.61</v>
      </c>
      <c r="V45" s="895">
        <v>150</v>
      </c>
      <c r="W45" s="895"/>
      <c r="X45" s="895"/>
      <c r="Y45" s="895"/>
    </row>
    <row r="46" ht="13.5" customHeight="1" outlineLevel="1" spans="1:25">
      <c r="A46" s="103">
        <f t="shared" si="0"/>
        <v>41</v>
      </c>
      <c r="B46" s="124" t="s">
        <v>658</v>
      </c>
      <c r="C46" s="124" t="s">
        <v>504</v>
      </c>
      <c r="D46" s="157" t="s">
        <v>659</v>
      </c>
      <c r="E46" s="157" t="s">
        <v>660</v>
      </c>
      <c r="F46" s="157" t="s">
        <v>504</v>
      </c>
      <c r="G46" s="124" t="s">
        <v>107</v>
      </c>
      <c r="H46" s="101" t="str">
        <f>VLOOKUP(G46,'01. TH'!$B:$E,3,0)</f>
        <v>5910 x 2310 x 2800</v>
      </c>
      <c r="I46" s="146" t="s">
        <v>14</v>
      </c>
      <c r="J46" s="897">
        <v>45936</v>
      </c>
      <c r="K46" s="101" t="str">
        <f>IF(COUNTIF('TT BTSC'!$D:$D,B46)&gt;0,"Hư hỏng","Bình thường")</f>
        <v>Bình thường</v>
      </c>
      <c r="L46" s="171"/>
      <c r="M46" s="182" t="s">
        <v>653</v>
      </c>
      <c r="N46" s="101" t="s">
        <v>621</v>
      </c>
      <c r="O46" s="110" t="s">
        <v>500</v>
      </c>
      <c r="P46" s="157">
        <v>2024</v>
      </c>
      <c r="Q46" s="157" t="s">
        <v>654</v>
      </c>
      <c r="R46" s="157" t="s">
        <v>655</v>
      </c>
      <c r="S46" s="160" t="s">
        <v>661</v>
      </c>
      <c r="T46" s="160" t="s">
        <v>662</v>
      </c>
      <c r="U46" s="160">
        <v>0.61</v>
      </c>
      <c r="V46" s="895">
        <v>150</v>
      </c>
      <c r="W46" s="895"/>
      <c r="X46" s="895"/>
      <c r="Y46" s="895"/>
    </row>
    <row r="47" ht="13.5" customHeight="1" outlineLevel="1" spans="1:25">
      <c r="A47" s="103">
        <f t="shared" si="0"/>
        <v>42</v>
      </c>
      <c r="B47" s="124" t="s">
        <v>663</v>
      </c>
      <c r="C47" s="124" t="s">
        <v>504</v>
      </c>
      <c r="D47" s="157" t="s">
        <v>664</v>
      </c>
      <c r="E47" s="157" t="s">
        <v>665</v>
      </c>
      <c r="F47" s="157" t="s">
        <v>504</v>
      </c>
      <c r="G47" s="124" t="s">
        <v>107</v>
      </c>
      <c r="H47" s="101" t="str">
        <f>VLOOKUP(G47,'01. TH'!$B:$E,3,0)</f>
        <v>5910 x 2310 x 2800</v>
      </c>
      <c r="I47" s="146" t="s">
        <v>14</v>
      </c>
      <c r="J47" s="897">
        <v>45936</v>
      </c>
      <c r="K47" s="101" t="str">
        <f>IF(COUNTIF('TT BTSC'!$D:$D,B47)&gt;0,"Hư hỏng","Bình thường")</f>
        <v>Bình thường</v>
      </c>
      <c r="L47" s="171"/>
      <c r="M47" s="182" t="s">
        <v>653</v>
      </c>
      <c r="N47" s="101" t="s">
        <v>621</v>
      </c>
      <c r="O47" s="110" t="s">
        <v>500</v>
      </c>
      <c r="P47" s="157">
        <v>2024</v>
      </c>
      <c r="Q47" s="157" t="s">
        <v>654</v>
      </c>
      <c r="R47" s="157" t="s">
        <v>655</v>
      </c>
      <c r="S47" s="160" t="s">
        <v>666</v>
      </c>
      <c r="T47" s="160" t="s">
        <v>667</v>
      </c>
      <c r="U47" s="160">
        <v>0.61</v>
      </c>
      <c r="V47" s="895">
        <v>150</v>
      </c>
      <c r="W47" s="895"/>
      <c r="X47" s="895"/>
      <c r="Y47" s="895"/>
    </row>
    <row r="48" ht="13.5" customHeight="1" outlineLevel="1" spans="1:25">
      <c r="A48" s="103">
        <f t="shared" si="0"/>
        <v>43</v>
      </c>
      <c r="B48" s="124" t="s">
        <v>668</v>
      </c>
      <c r="C48" s="124" t="s">
        <v>504</v>
      </c>
      <c r="D48" s="157" t="s">
        <v>669</v>
      </c>
      <c r="E48" s="157" t="s">
        <v>670</v>
      </c>
      <c r="F48" s="157" t="s">
        <v>504</v>
      </c>
      <c r="G48" s="124" t="s">
        <v>107</v>
      </c>
      <c r="H48" s="101" t="str">
        <f>VLOOKUP(G48,'01. TH'!$B:$E,3,0)</f>
        <v>5910 x 2310 x 2800</v>
      </c>
      <c r="I48" s="146" t="s">
        <v>14</v>
      </c>
      <c r="J48" s="897">
        <v>45936</v>
      </c>
      <c r="K48" s="101" t="str">
        <f>IF(COUNTIF('TT BTSC'!$D:$D,B48)&gt;0,"Hư hỏng","Bình thường")</f>
        <v>Bình thường</v>
      </c>
      <c r="L48" s="171"/>
      <c r="M48" s="182" t="s">
        <v>653</v>
      </c>
      <c r="N48" s="101" t="s">
        <v>621</v>
      </c>
      <c r="O48" s="110" t="s">
        <v>500</v>
      </c>
      <c r="P48" s="157">
        <v>2024</v>
      </c>
      <c r="Q48" s="157" t="s">
        <v>654</v>
      </c>
      <c r="R48" s="157" t="s">
        <v>655</v>
      </c>
      <c r="S48" s="160" t="s">
        <v>671</v>
      </c>
      <c r="T48" s="160" t="s">
        <v>672</v>
      </c>
      <c r="U48" s="160">
        <v>0.61</v>
      </c>
      <c r="V48" s="895">
        <v>150</v>
      </c>
      <c r="W48" s="895"/>
      <c r="X48" s="895"/>
      <c r="Y48" s="895"/>
    </row>
    <row r="49" ht="13.5" customHeight="1" outlineLevel="1" spans="1:25">
      <c r="A49" s="103">
        <f t="shared" si="0"/>
        <v>44</v>
      </c>
      <c r="B49" s="124" t="s">
        <v>673</v>
      </c>
      <c r="C49" s="124" t="s">
        <v>504</v>
      </c>
      <c r="D49" s="157" t="s">
        <v>674</v>
      </c>
      <c r="E49" s="157" t="s">
        <v>675</v>
      </c>
      <c r="F49" s="157" t="s">
        <v>504</v>
      </c>
      <c r="G49" s="124" t="s">
        <v>113</v>
      </c>
      <c r="H49" s="101" t="str">
        <f>VLOOKUP(G49,'01. TH'!$B:$E,3,0)</f>
        <v>7800 x 2500 x 3480</v>
      </c>
      <c r="I49" s="146" t="s">
        <v>14</v>
      </c>
      <c r="J49" s="897">
        <v>45997</v>
      </c>
      <c r="K49" s="101" t="str">
        <f>IF(COUNTIF('TT BTSC'!$D:$D,B49)&gt;0,"Hư hỏng","Bình thường")</f>
        <v>Bình thường</v>
      </c>
      <c r="L49" s="171"/>
      <c r="M49" s="182" t="s">
        <v>653</v>
      </c>
      <c r="N49" s="157" t="s">
        <v>508</v>
      </c>
      <c r="O49" s="160" t="s">
        <v>500</v>
      </c>
      <c r="P49" s="157">
        <v>2022</v>
      </c>
      <c r="Q49" s="157" t="s">
        <v>509</v>
      </c>
      <c r="R49" s="157" t="s">
        <v>114</v>
      </c>
      <c r="S49" s="160" t="s">
        <v>676</v>
      </c>
      <c r="T49" s="160" t="s">
        <v>677</v>
      </c>
      <c r="U49" s="160">
        <v>1.34</v>
      </c>
      <c r="V49" s="895">
        <v>300</v>
      </c>
      <c r="W49" s="895"/>
      <c r="X49" s="895"/>
      <c r="Y49" s="895"/>
    </row>
    <row r="50" ht="13.5" customHeight="1" outlineLevel="1" spans="1:25">
      <c r="A50" s="103">
        <f t="shared" si="0"/>
        <v>45</v>
      </c>
      <c r="B50" s="124" t="s">
        <v>678</v>
      </c>
      <c r="C50" s="124" t="s">
        <v>504</v>
      </c>
      <c r="D50" s="157" t="s">
        <v>679</v>
      </c>
      <c r="E50" s="157" t="s">
        <v>680</v>
      </c>
      <c r="F50" s="157" t="s">
        <v>504</v>
      </c>
      <c r="G50" s="124" t="s">
        <v>113</v>
      </c>
      <c r="H50" s="101" t="str">
        <f>VLOOKUP(G50,'01. TH'!$B:$E,3,0)</f>
        <v>7800 x 2500 x 3480</v>
      </c>
      <c r="I50" s="146" t="s">
        <v>14</v>
      </c>
      <c r="J50" s="897">
        <v>45997</v>
      </c>
      <c r="K50" s="101" t="str">
        <f>IF(COUNTIF('TT BTSC'!$D:$D,B50)&gt;0,"Hư hỏng","Bình thường")</f>
        <v>Bình thường</v>
      </c>
      <c r="L50" s="171"/>
      <c r="M50" s="182" t="s">
        <v>653</v>
      </c>
      <c r="N50" s="157" t="s">
        <v>508</v>
      </c>
      <c r="O50" s="160" t="s">
        <v>500</v>
      </c>
      <c r="P50" s="157">
        <v>2022</v>
      </c>
      <c r="Q50" s="157" t="s">
        <v>509</v>
      </c>
      <c r="R50" s="157" t="s">
        <v>114</v>
      </c>
      <c r="S50" s="160" t="s">
        <v>681</v>
      </c>
      <c r="T50" s="160" t="s">
        <v>682</v>
      </c>
      <c r="U50" s="160">
        <v>1.34</v>
      </c>
      <c r="V50" s="895">
        <v>300</v>
      </c>
      <c r="W50" s="895"/>
      <c r="X50" s="895"/>
      <c r="Y50" s="895"/>
    </row>
    <row r="51" ht="13.5" customHeight="1" outlineLevel="1" spans="1:25">
      <c r="A51" s="103">
        <f t="shared" si="0"/>
        <v>46</v>
      </c>
      <c r="B51" s="124" t="s">
        <v>683</v>
      </c>
      <c r="C51" s="124" t="s">
        <v>504</v>
      </c>
      <c r="D51" s="157" t="s">
        <v>684</v>
      </c>
      <c r="E51" s="157"/>
      <c r="F51" s="157" t="s">
        <v>504</v>
      </c>
      <c r="G51" s="124" t="s">
        <v>685</v>
      </c>
      <c r="H51" s="101" t="e">
        <f>VLOOKUP(G51,'01. TH'!$B:$E,3,0)</f>
        <v>#N/A</v>
      </c>
      <c r="I51" s="146" t="s">
        <v>14</v>
      </c>
      <c r="J51" s="897">
        <v>46056</v>
      </c>
      <c r="K51" s="101" t="str">
        <f>IF(COUNTIF('TT BTSC'!$D:$D,B51)&gt;0,"Hư hỏng","Bình thường")</f>
        <v>Bình thường</v>
      </c>
      <c r="L51" s="171"/>
      <c r="M51" s="182" t="s">
        <v>653</v>
      </c>
      <c r="N51" s="157" t="s">
        <v>508</v>
      </c>
      <c r="O51" s="160" t="s">
        <v>590</v>
      </c>
      <c r="P51" s="157">
        <v>2022</v>
      </c>
      <c r="Q51" s="157" t="s">
        <v>686</v>
      </c>
      <c r="R51" s="157" t="s">
        <v>114</v>
      </c>
      <c r="S51" s="160" t="s">
        <v>687</v>
      </c>
      <c r="T51" s="160" t="s">
        <v>688</v>
      </c>
      <c r="U51" s="160"/>
      <c r="V51" s="895"/>
      <c r="W51" s="895"/>
      <c r="X51" s="895"/>
      <c r="Y51" s="895"/>
    </row>
    <row r="52" ht="13.5" customHeight="1" outlineLevel="1" spans="1:25">
      <c r="A52" s="103"/>
      <c r="B52" s="124"/>
      <c r="C52" s="124"/>
      <c r="D52" s="157"/>
      <c r="E52" s="157"/>
      <c r="F52" s="157"/>
      <c r="G52" s="124"/>
      <c r="H52" s="101" t="e">
        <f>VLOOKUP(G52,'01. TH'!$B:$E,3,0)</f>
        <v>#N/A</v>
      </c>
      <c r="I52" s="146"/>
      <c r="J52" s="897"/>
      <c r="K52" s="101"/>
      <c r="L52" s="171"/>
      <c r="M52" s="206"/>
      <c r="N52" s="157"/>
      <c r="O52" s="160"/>
      <c r="P52" s="157"/>
      <c r="Q52" s="157"/>
      <c r="R52" s="157"/>
      <c r="S52" s="160"/>
      <c r="T52" s="160"/>
      <c r="U52" s="160"/>
      <c r="V52" s="192"/>
      <c r="W52" s="192"/>
      <c r="X52" s="192"/>
      <c r="Y52" s="192"/>
    </row>
    <row r="53" ht="13.5" customHeight="1" outlineLevel="1" spans="1:25">
      <c r="A53" s="103"/>
      <c r="B53" s="124"/>
      <c r="C53" s="124" t="s">
        <v>689</v>
      </c>
      <c r="D53" s="157"/>
      <c r="E53" s="157"/>
      <c r="F53" s="157"/>
      <c r="G53" s="124"/>
      <c r="H53" s="101" t="e">
        <f>VLOOKUP(G53,'01. TH'!$B:$E,3,0)</f>
        <v>#N/A</v>
      </c>
      <c r="I53" s="146"/>
      <c r="J53" s="897"/>
      <c r="K53" s="101"/>
      <c r="L53" s="171"/>
      <c r="M53" s="206"/>
      <c r="N53" s="157"/>
      <c r="O53" s="160"/>
      <c r="P53" s="157"/>
      <c r="Q53" s="157"/>
      <c r="R53" s="157"/>
      <c r="S53" s="160"/>
      <c r="T53" s="160"/>
      <c r="U53" s="160"/>
      <c r="V53" s="192"/>
      <c r="W53" s="192"/>
      <c r="X53" s="192"/>
      <c r="Y53" s="192"/>
    </row>
    <row r="54" ht="13.5" customHeight="1" spans="1:25">
      <c r="A54" s="96" t="s">
        <v>690</v>
      </c>
      <c r="B54" s="97" t="s">
        <v>691</v>
      </c>
      <c r="C54" s="96">
        <f>COUNTA($B$55:$B$82)</f>
        <v>26</v>
      </c>
      <c r="D54" s="97" t="str">
        <f>IFERROR(VLOOKUP(B54,' 02.1 KLH-CN MÃ BRAVO MM'!$B:$C,2,0),"")</f>
        <v/>
      </c>
      <c r="E54" s="96"/>
      <c r="F54" s="96"/>
      <c r="G54" s="96"/>
      <c r="H54" s="97"/>
      <c r="I54" s="97"/>
      <c r="J54" s="98"/>
      <c r="K54" s="97"/>
      <c r="L54" s="96"/>
      <c r="M54" s="97"/>
      <c r="N54" s="96"/>
      <c r="O54" s="97"/>
      <c r="P54" s="97"/>
      <c r="Q54" s="97"/>
      <c r="R54" s="97"/>
      <c r="S54" s="97"/>
      <c r="T54" s="97"/>
      <c r="U54" s="97"/>
      <c r="V54" s="192"/>
      <c r="W54" s="192"/>
      <c r="X54" s="192"/>
      <c r="Y54" s="192"/>
    </row>
    <row r="55" ht="13.5" customHeight="1" outlineLevel="1" spans="1:25">
      <c r="A55" s="103">
        <v>1</v>
      </c>
      <c r="B55" s="104" t="s">
        <v>692</v>
      </c>
      <c r="C55" s="104" t="s">
        <v>693</v>
      </c>
      <c r="D55" s="103" t="str">
        <f>IFERROR(VLOOKUP(B55,' 02.1 KLH-CN MÃ BRAVO MM'!$B:$C,2,0),"")</f>
        <v>ATT-A24-0059</v>
      </c>
      <c r="E55" s="103"/>
      <c r="F55" s="103" t="s">
        <v>451</v>
      </c>
      <c r="G55" s="104" t="s">
        <v>70</v>
      </c>
      <c r="H55" s="101" t="str">
        <f>VLOOKUP(G55,'01. TH'!$B:$E,3,0)</f>
        <v>8420 x 2375 x 3240</v>
      </c>
      <c r="I55" s="103" t="s">
        <v>23</v>
      </c>
      <c r="J55" s="112">
        <v>44197</v>
      </c>
      <c r="K55" s="101" t="str">
        <f>IF(COUNTIF('TT BTSC'!$D:$D,B55)&gt;0,"Hư hỏng","Bình thường")</f>
        <v>Bình thường</v>
      </c>
      <c r="L55" s="113">
        <v>0.67</v>
      </c>
      <c r="M55" s="183"/>
      <c r="N55" s="103" t="s">
        <v>480</v>
      </c>
      <c r="O55" s="111" t="s">
        <v>453</v>
      </c>
      <c r="P55" s="103">
        <v>1995</v>
      </c>
      <c r="Q55" s="103" t="s">
        <v>545</v>
      </c>
      <c r="R55" s="103" t="s">
        <v>546</v>
      </c>
      <c r="S55" s="111" t="s">
        <v>694</v>
      </c>
      <c r="T55" s="111" t="s">
        <v>695</v>
      </c>
      <c r="U55" s="111">
        <v>9.3</v>
      </c>
      <c r="V55" s="895">
        <v>0</v>
      </c>
      <c r="W55" s="895"/>
      <c r="X55" s="895"/>
      <c r="Y55" s="895"/>
    </row>
    <row r="56" ht="13.5" customHeight="1" outlineLevel="1" spans="1:25">
      <c r="A56" s="103">
        <f t="shared" ref="A56:A80" si="1">A55+1</f>
        <v>2</v>
      </c>
      <c r="B56" s="104" t="s">
        <v>696</v>
      </c>
      <c r="C56" s="104" t="s">
        <v>697</v>
      </c>
      <c r="D56" s="103" t="str">
        <f>IFERROR(VLOOKUP(B56,' 02.1 KLH-CN MÃ BRAVO MM'!$B:$C,2,0),"")</f>
        <v>ATT-A24-0056</v>
      </c>
      <c r="E56" s="103"/>
      <c r="F56" s="103" t="s">
        <v>451</v>
      </c>
      <c r="G56" s="104" t="s">
        <v>57</v>
      </c>
      <c r="H56" s="101" t="str">
        <f>VLOOKUP(G56,'01. TH'!$B:$E,3,0)</f>
        <v>4200 x 2980 x 2720</v>
      </c>
      <c r="I56" s="103" t="s">
        <v>23</v>
      </c>
      <c r="J56" s="112">
        <v>44197</v>
      </c>
      <c r="K56" s="101" t="str">
        <f>IF(COUNTIF('TT BTSC'!$D:$D,B56)&gt;0,"Hư hỏng","Bình thường")</f>
        <v>Bình thường</v>
      </c>
      <c r="L56" s="113">
        <v>0.67</v>
      </c>
      <c r="M56" s="183"/>
      <c r="N56" s="103" t="s">
        <v>480</v>
      </c>
      <c r="O56" s="111" t="s">
        <v>453</v>
      </c>
      <c r="P56" s="103">
        <v>2006</v>
      </c>
      <c r="Q56" s="103" t="s">
        <v>613</v>
      </c>
      <c r="R56" s="103" t="s">
        <v>482</v>
      </c>
      <c r="S56" s="111" t="s">
        <v>698</v>
      </c>
      <c r="T56" s="111" t="s">
        <v>699</v>
      </c>
      <c r="U56" s="111">
        <v>8</v>
      </c>
      <c r="V56" s="895">
        <v>165</v>
      </c>
      <c r="W56" s="895"/>
      <c r="X56" s="895"/>
      <c r="Y56" s="895"/>
    </row>
    <row r="57" ht="13.5" customHeight="1" outlineLevel="1" spans="1:25">
      <c r="A57" s="103">
        <f t="shared" si="1"/>
        <v>3</v>
      </c>
      <c r="B57" s="104" t="s">
        <v>700</v>
      </c>
      <c r="C57" s="104" t="s">
        <v>701</v>
      </c>
      <c r="D57" s="103" t="str">
        <f>IFERROR(VLOOKUP(B57,' 02.1 KLH-CN MÃ BRAVO MM'!$B:$C,2,0),"")</f>
        <v>ATT-A24-0048</v>
      </c>
      <c r="E57" s="103"/>
      <c r="F57" s="103" t="s">
        <v>451</v>
      </c>
      <c r="G57" s="104" t="s">
        <v>57</v>
      </c>
      <c r="H57" s="101" t="str">
        <f>VLOOKUP(G57,'01. TH'!$B:$E,3,0)</f>
        <v>4200 x 2980 x 2720</v>
      </c>
      <c r="I57" s="103" t="s">
        <v>23</v>
      </c>
      <c r="J57" s="112">
        <v>44197</v>
      </c>
      <c r="K57" s="101" t="str">
        <f>IF(COUNTIF('TT BTSC'!$D:$D,B57)&gt;0,"Hư hỏng","Bình thường")</f>
        <v>Bình thường</v>
      </c>
      <c r="L57" s="113">
        <v>0.6</v>
      </c>
      <c r="M57" s="183"/>
      <c r="N57" s="103" t="s">
        <v>480</v>
      </c>
      <c r="O57" s="111" t="s">
        <v>453</v>
      </c>
      <c r="P57" s="103">
        <v>2008</v>
      </c>
      <c r="Q57" s="103" t="s">
        <v>613</v>
      </c>
      <c r="R57" s="103" t="s">
        <v>482</v>
      </c>
      <c r="S57" s="111" t="s">
        <v>702</v>
      </c>
      <c r="T57" s="111" t="s">
        <v>703</v>
      </c>
      <c r="U57" s="111">
        <v>8</v>
      </c>
      <c r="V57" s="895">
        <v>165</v>
      </c>
      <c r="W57" s="895"/>
      <c r="X57" s="895"/>
      <c r="Y57" s="895"/>
    </row>
    <row r="58" ht="13.5" customHeight="1" outlineLevel="1" spans="1:25">
      <c r="A58" s="103">
        <f t="shared" si="1"/>
        <v>4</v>
      </c>
      <c r="B58" s="102" t="s">
        <v>704</v>
      </c>
      <c r="C58" s="102" t="s">
        <v>705</v>
      </c>
      <c r="D58" s="103" t="str">
        <f>IFERROR(VLOOKUP(B58,' 02.1 KLH-CN MÃ BRAVO MM'!$B:$C,2,0),"")</f>
        <v>ATT-A22-0170</v>
      </c>
      <c r="E58" s="103"/>
      <c r="F58" s="103" t="s">
        <v>451</v>
      </c>
      <c r="G58" s="102" t="s">
        <v>60</v>
      </c>
      <c r="H58" s="101" t="str">
        <f>VLOOKUP(G58,'01. TH'!$B:$E,3,0)</f>
        <v>5585 x 3000 x 3055</v>
      </c>
      <c r="I58" s="101" t="s">
        <v>23</v>
      </c>
      <c r="J58" s="105">
        <v>44228</v>
      </c>
      <c r="K58" s="101" t="str">
        <f>IF(COUNTIF('TT BTSC'!$D:$D,B58)&gt;0,"Hư hỏng","Bình thường")</f>
        <v>Bình thường</v>
      </c>
      <c r="L58" s="107">
        <v>0.68</v>
      </c>
      <c r="M58" s="182"/>
      <c r="N58" s="101" t="s">
        <v>480</v>
      </c>
      <c r="O58" s="110" t="s">
        <v>453</v>
      </c>
      <c r="P58" s="101">
        <v>1995</v>
      </c>
      <c r="Q58" s="101" t="s">
        <v>706</v>
      </c>
      <c r="R58" s="101" t="s">
        <v>61</v>
      </c>
      <c r="S58" s="110" t="s">
        <v>707</v>
      </c>
      <c r="T58" s="111" t="s">
        <v>708</v>
      </c>
      <c r="U58" s="896">
        <v>14</v>
      </c>
      <c r="V58" s="895">
        <v>320</v>
      </c>
      <c r="W58" s="895"/>
      <c r="X58" s="895"/>
      <c r="Y58" s="895"/>
    </row>
    <row r="59" ht="13.5" customHeight="1" outlineLevel="1" spans="1:25">
      <c r="A59" s="103">
        <f t="shared" si="1"/>
        <v>5</v>
      </c>
      <c r="B59" s="102" t="s">
        <v>709</v>
      </c>
      <c r="C59" s="102" t="s">
        <v>710</v>
      </c>
      <c r="D59" s="103" t="str">
        <f>IFERROR(VLOOKUP(B59,' 02.1 KLH-CN MÃ BRAVO MM'!$B:$C,2,0),"")</f>
        <v>ATT-A24-0057</v>
      </c>
      <c r="E59" s="103"/>
      <c r="F59" s="103" t="s">
        <v>451</v>
      </c>
      <c r="G59" s="102" t="s">
        <v>76</v>
      </c>
      <c r="H59" s="101" t="str">
        <f>VLOOKUP(G59,'01. TH'!$B:$E,3,0)</f>
        <v>5810 x 2300 x 2860</v>
      </c>
      <c r="I59" s="101" t="s">
        <v>23</v>
      </c>
      <c r="J59" s="105">
        <v>44197</v>
      </c>
      <c r="K59" s="101" t="str">
        <f>IF(COUNTIF('TT BTSC'!$D:$D,B59)&gt;0,"Hư hỏng","Bình thường")</f>
        <v>Bình thường</v>
      </c>
      <c r="L59" s="107">
        <v>0.6</v>
      </c>
      <c r="M59" s="182"/>
      <c r="N59" s="101" t="s">
        <v>530</v>
      </c>
      <c r="O59" s="110" t="s">
        <v>453</v>
      </c>
      <c r="P59" s="101">
        <v>2020</v>
      </c>
      <c r="Q59" s="101" t="s">
        <v>531</v>
      </c>
      <c r="R59" s="101" t="s">
        <v>77</v>
      </c>
      <c r="S59" s="110" t="s">
        <v>711</v>
      </c>
      <c r="T59" s="111">
        <v>133243</v>
      </c>
      <c r="U59" s="111">
        <v>7</v>
      </c>
      <c r="V59" s="895">
        <v>250</v>
      </c>
      <c r="W59" s="895"/>
      <c r="X59" s="895"/>
      <c r="Y59" s="895"/>
    </row>
    <row r="60" ht="13.5" customHeight="1" outlineLevel="1" spans="1:25">
      <c r="A60" s="103">
        <f t="shared" si="1"/>
        <v>6</v>
      </c>
      <c r="B60" s="102" t="s">
        <v>712</v>
      </c>
      <c r="C60" s="102" t="s">
        <v>713</v>
      </c>
      <c r="D60" s="103" t="str">
        <f>IFERROR(VLOOKUP(B60,' 02.1 KLH-CN MÃ BRAVO MM'!$B:$C,2,0),"")</f>
        <v>ATT-A24-0058</v>
      </c>
      <c r="E60" s="103"/>
      <c r="F60" s="103" t="s">
        <v>451</v>
      </c>
      <c r="G60" s="102" t="s">
        <v>78</v>
      </c>
      <c r="H60" s="101" t="str">
        <f>VLOOKUP(G60,'01. TH'!$B:$E,3,0)</f>
        <v>5020 x 2000 x 3115</v>
      </c>
      <c r="I60" s="101" t="s">
        <v>23</v>
      </c>
      <c r="J60" s="105">
        <v>44197</v>
      </c>
      <c r="K60" s="101" t="str">
        <f>IF(COUNTIF('TT BTSC'!$D:$D,B60)&gt;0,"Hư hỏng","Bình thường")</f>
        <v>Bình thường</v>
      </c>
      <c r="L60" s="107">
        <v>0.6</v>
      </c>
      <c r="M60" s="182"/>
      <c r="N60" s="101" t="s">
        <v>530</v>
      </c>
      <c r="O60" s="110" t="s">
        <v>453</v>
      </c>
      <c r="P60" s="101">
        <v>2000</v>
      </c>
      <c r="Q60" s="101" t="s">
        <v>714</v>
      </c>
      <c r="R60" s="101" t="s">
        <v>535</v>
      </c>
      <c r="S60" s="110" t="s">
        <v>715</v>
      </c>
      <c r="T60" s="111" t="s">
        <v>716</v>
      </c>
      <c r="U60" s="111">
        <v>4</v>
      </c>
      <c r="V60" s="895">
        <v>0</v>
      </c>
      <c r="W60" s="895"/>
      <c r="X60" s="895"/>
      <c r="Y60" s="895"/>
    </row>
    <row r="61" ht="13.5" customHeight="1" outlineLevel="1" spans="1:25">
      <c r="A61" s="103">
        <f t="shared" si="1"/>
        <v>7</v>
      </c>
      <c r="B61" s="102" t="s">
        <v>717</v>
      </c>
      <c r="C61" s="102" t="s">
        <v>718</v>
      </c>
      <c r="D61" s="103" t="str">
        <f>IFERROR(VLOOKUP(B61,' 02.1 KLH-CN MÃ BRAVO MM'!$B:$C,2,0),"")</f>
        <v>ATT-A24-0061</v>
      </c>
      <c r="E61" s="103"/>
      <c r="F61" s="103" t="s">
        <v>451</v>
      </c>
      <c r="G61" s="102" t="s">
        <v>108</v>
      </c>
      <c r="H61" s="101" t="str">
        <f>VLOOKUP(G61,'01. TH'!$B:$E,3,0)</f>
        <v>6160 x 2330 x 2750</v>
      </c>
      <c r="I61" s="101" t="s">
        <v>23</v>
      </c>
      <c r="J61" s="105">
        <v>44197</v>
      </c>
      <c r="K61" s="101" t="str">
        <f>IF(COUNTIF('TT BTSC'!$D:$D,B61)&gt;0,"Hư hỏng","Bình thường")</f>
        <v>Bình thường</v>
      </c>
      <c r="L61" s="107">
        <v>0.68</v>
      </c>
      <c r="M61" s="182"/>
      <c r="N61" s="101" t="s">
        <v>621</v>
      </c>
      <c r="O61" s="110" t="s">
        <v>500</v>
      </c>
      <c r="P61" s="101">
        <v>2020</v>
      </c>
      <c r="Q61" s="101" t="s">
        <v>719</v>
      </c>
      <c r="R61" s="101" t="s">
        <v>85</v>
      </c>
      <c r="S61" s="110" t="s">
        <v>720</v>
      </c>
      <c r="T61" s="111" t="s">
        <v>721</v>
      </c>
      <c r="U61" s="111">
        <v>5.7</v>
      </c>
      <c r="V61" s="895">
        <v>150</v>
      </c>
      <c r="W61" s="895"/>
      <c r="X61" s="895"/>
      <c r="Y61" s="895"/>
    </row>
    <row r="62" ht="13.5" customHeight="1" outlineLevel="1" spans="1:25">
      <c r="A62" s="103">
        <f t="shared" si="1"/>
        <v>8</v>
      </c>
      <c r="B62" s="102" t="s">
        <v>722</v>
      </c>
      <c r="C62" s="102" t="s">
        <v>723</v>
      </c>
      <c r="D62" s="103" t="str">
        <f>IFERROR(VLOOKUP(B62,' 02.1 KLH-CN MÃ BRAVO MM'!$B:$C,2,0),"")</f>
        <v>A24-XTA-010</v>
      </c>
      <c r="E62" s="103"/>
      <c r="F62" s="103" t="s">
        <v>451</v>
      </c>
      <c r="G62" s="102" t="s">
        <v>110</v>
      </c>
      <c r="H62" s="101" t="str">
        <f>VLOOKUP(G62,'01. TH'!$B:$E,3,0)</f>
        <v>6170 x 2330 x 2750</v>
      </c>
      <c r="I62" s="101" t="s">
        <v>23</v>
      </c>
      <c r="J62" s="105"/>
      <c r="K62" s="101" t="str">
        <f>IF(COUNTIF('TT BTSC'!$D:$D,B62)&gt;0,"Hư hỏng","Bình thường")</f>
        <v>Bình thường</v>
      </c>
      <c r="L62" s="101"/>
      <c r="M62" s="182"/>
      <c r="N62" s="101" t="s">
        <v>621</v>
      </c>
      <c r="O62" s="110" t="s">
        <v>500</v>
      </c>
      <c r="P62" s="101">
        <v>2020</v>
      </c>
      <c r="Q62" s="101" t="s">
        <v>724</v>
      </c>
      <c r="R62" s="101" t="s">
        <v>85</v>
      </c>
      <c r="S62" s="110" t="s">
        <v>725</v>
      </c>
      <c r="T62" s="111" t="s">
        <v>726</v>
      </c>
      <c r="U62" s="111">
        <v>6</v>
      </c>
      <c r="V62" s="895">
        <v>150</v>
      </c>
      <c r="W62" s="895"/>
      <c r="X62" s="895"/>
      <c r="Y62" s="895"/>
    </row>
    <row r="63" ht="13.5" customHeight="1" outlineLevel="1" spans="1:25">
      <c r="A63" s="103">
        <f t="shared" si="1"/>
        <v>9</v>
      </c>
      <c r="B63" s="102" t="s">
        <v>727</v>
      </c>
      <c r="C63" s="102" t="s">
        <v>728</v>
      </c>
      <c r="D63" s="103" t="str">
        <f>IFERROR(VLOOKUP(B63,' 02.1 KLH-CN MÃ BRAVO MM'!$B:$C,2,0),"")</f>
        <v>ATT-A24-0080</v>
      </c>
      <c r="E63" s="103"/>
      <c r="F63" s="103" t="s">
        <v>451</v>
      </c>
      <c r="G63" s="102" t="s">
        <v>104</v>
      </c>
      <c r="H63" s="101" t="str">
        <f>VLOOKUP(G63,'01. TH'!$B:$E,3,0)</f>
        <v>9290 x 2500 x 3370</v>
      </c>
      <c r="I63" s="101" t="s">
        <v>23</v>
      </c>
      <c r="J63" s="105">
        <v>44205</v>
      </c>
      <c r="K63" s="101" t="str">
        <f>IF(COUNTIF('TT BTSC'!$D:$D,B63)&gt;0,"Hư hỏng","Bình thường")</f>
        <v>Bình thường</v>
      </c>
      <c r="L63" s="107">
        <v>0.7</v>
      </c>
      <c r="M63" s="182"/>
      <c r="N63" s="101" t="s">
        <v>499</v>
      </c>
      <c r="O63" s="110" t="s">
        <v>500</v>
      </c>
      <c r="P63" s="101">
        <v>2018</v>
      </c>
      <c r="Q63" s="101" t="s">
        <v>501</v>
      </c>
      <c r="R63" s="101" t="s">
        <v>105</v>
      </c>
      <c r="S63" s="110" t="s">
        <v>729</v>
      </c>
      <c r="T63" s="111" t="s">
        <v>730</v>
      </c>
      <c r="U63" s="111">
        <v>1.41</v>
      </c>
      <c r="V63" s="895">
        <v>300</v>
      </c>
      <c r="W63" s="895"/>
      <c r="X63" s="895"/>
      <c r="Y63" s="895"/>
    </row>
    <row r="64" ht="13.5" customHeight="1" outlineLevel="1" spans="1:25">
      <c r="A64" s="103">
        <f t="shared" si="1"/>
        <v>10</v>
      </c>
      <c r="B64" s="102" t="s">
        <v>731</v>
      </c>
      <c r="C64" s="124" t="s">
        <v>504</v>
      </c>
      <c r="D64" s="103" t="s">
        <v>732</v>
      </c>
      <c r="E64" s="103" t="s">
        <v>733</v>
      </c>
      <c r="F64" s="103" t="s">
        <v>504</v>
      </c>
      <c r="G64" s="102" t="s">
        <v>113</v>
      </c>
      <c r="H64" s="101" t="str">
        <f>VLOOKUP(G64,'01. TH'!$B:$E,3,0)</f>
        <v>7800 x 2500 x 3480</v>
      </c>
      <c r="I64" s="101" t="s">
        <v>23</v>
      </c>
      <c r="J64" s="105">
        <v>45749</v>
      </c>
      <c r="K64" s="101" t="str">
        <f>IF(COUNTIF('TT BTSC'!$D:$D,B64)&gt;0,"Hư hỏng","Bình thường")</f>
        <v>Bình thường</v>
      </c>
      <c r="L64" s="107"/>
      <c r="M64" s="182" t="s">
        <v>653</v>
      </c>
      <c r="N64" s="101" t="s">
        <v>508</v>
      </c>
      <c r="O64" s="110" t="s">
        <v>500</v>
      </c>
      <c r="P64" s="101">
        <v>2022</v>
      </c>
      <c r="Q64" s="101" t="s">
        <v>509</v>
      </c>
      <c r="R64" s="101" t="s">
        <v>114</v>
      </c>
      <c r="S64" s="110" t="s">
        <v>734</v>
      </c>
      <c r="T64" s="111" t="s">
        <v>735</v>
      </c>
      <c r="U64" s="111">
        <v>1.34</v>
      </c>
      <c r="V64" s="895">
        <v>300</v>
      </c>
      <c r="W64" s="895"/>
      <c r="X64" s="895"/>
      <c r="Y64" s="895"/>
    </row>
    <row r="65" ht="13.5" customHeight="1" outlineLevel="1" spans="1:25">
      <c r="A65" s="103">
        <f t="shared" si="1"/>
        <v>11</v>
      </c>
      <c r="B65" s="102" t="s">
        <v>736</v>
      </c>
      <c r="C65" s="124" t="s">
        <v>504</v>
      </c>
      <c r="D65" s="103" t="s">
        <v>737</v>
      </c>
      <c r="E65" s="103" t="s">
        <v>738</v>
      </c>
      <c r="F65" s="103" t="s">
        <v>504</v>
      </c>
      <c r="G65" s="102" t="s">
        <v>113</v>
      </c>
      <c r="H65" s="101" t="str">
        <f>VLOOKUP(G65,'01. TH'!$B:$E,3,0)</f>
        <v>7800 x 2500 x 3480</v>
      </c>
      <c r="I65" s="101" t="s">
        <v>23</v>
      </c>
      <c r="J65" s="105">
        <v>45749</v>
      </c>
      <c r="K65" s="101" t="str">
        <f>IF(COUNTIF('TT BTSC'!$D:$D,B65)&gt;0,"Hư hỏng","Bình thường")</f>
        <v>Bình thường</v>
      </c>
      <c r="L65" s="107"/>
      <c r="M65" s="182" t="s">
        <v>653</v>
      </c>
      <c r="N65" s="101" t="s">
        <v>508</v>
      </c>
      <c r="O65" s="110" t="s">
        <v>500</v>
      </c>
      <c r="P65" s="101">
        <v>2022</v>
      </c>
      <c r="Q65" s="101" t="s">
        <v>509</v>
      </c>
      <c r="R65" s="101" t="s">
        <v>114</v>
      </c>
      <c r="S65" s="110" t="s">
        <v>739</v>
      </c>
      <c r="T65" s="111" t="s">
        <v>740</v>
      </c>
      <c r="U65" s="111">
        <v>1.34</v>
      </c>
      <c r="V65" s="895">
        <v>300</v>
      </c>
      <c r="W65" s="895"/>
      <c r="X65" s="895"/>
      <c r="Y65" s="895"/>
    </row>
    <row r="66" ht="13.5" customHeight="1" outlineLevel="1" spans="1:25">
      <c r="A66" s="103">
        <f t="shared" si="1"/>
        <v>12</v>
      </c>
      <c r="B66" s="102" t="s">
        <v>741</v>
      </c>
      <c r="C66" s="102" t="s">
        <v>742</v>
      </c>
      <c r="D66" s="103" t="str">
        <f>IFERROR(VLOOKUP(B66,' 02.1 KLH-CN MÃ BRAVO MM'!$B:$C,2,0),"")</f>
        <v>ATT-A24-0053</v>
      </c>
      <c r="E66" s="103"/>
      <c r="F66" s="103" t="s">
        <v>451</v>
      </c>
      <c r="G66" s="102" t="s">
        <v>53</v>
      </c>
      <c r="H66" s="101" t="str">
        <f>VLOOKUP(G66,'01. TH'!$B:$E,3,0)</f>
        <v>9460 x 2800 x 3200</v>
      </c>
      <c r="I66" s="101" t="s">
        <v>23</v>
      </c>
      <c r="J66" s="105">
        <v>44197</v>
      </c>
      <c r="K66" s="101" t="str">
        <f>IF(COUNTIF('TT BTSC'!$D:$D,B66)&gt;0,"Hư hỏng","Bình thường")</f>
        <v>Bình thường</v>
      </c>
      <c r="L66" s="107">
        <v>0.67</v>
      </c>
      <c r="M66" s="182"/>
      <c r="N66" s="101" t="s">
        <v>458</v>
      </c>
      <c r="O66" s="110" t="s">
        <v>453</v>
      </c>
      <c r="P66" s="101">
        <v>2020</v>
      </c>
      <c r="Q66" s="101" t="s">
        <v>472</v>
      </c>
      <c r="R66" s="101" t="s">
        <v>460</v>
      </c>
      <c r="S66" s="110" t="s">
        <v>743</v>
      </c>
      <c r="T66" s="111">
        <v>800391</v>
      </c>
      <c r="U66" s="111">
        <v>15</v>
      </c>
      <c r="V66" s="895">
        <v>410</v>
      </c>
      <c r="W66" s="895"/>
      <c r="X66" s="895"/>
      <c r="Y66" s="895"/>
    </row>
    <row r="67" ht="13.5" customHeight="1" outlineLevel="1" spans="1:25">
      <c r="A67" s="103">
        <f t="shared" si="1"/>
        <v>13</v>
      </c>
      <c r="B67" s="102" t="s">
        <v>744</v>
      </c>
      <c r="C67" s="102" t="s">
        <v>745</v>
      </c>
      <c r="D67" s="103" t="str">
        <f>IFERROR(VLOOKUP(B67,' 02.1 KLH-CN MÃ BRAVO MM'!$B:$C,2,0),"")</f>
        <v>ATT-A24-0052</v>
      </c>
      <c r="E67" s="103"/>
      <c r="F67" s="103" t="s">
        <v>451</v>
      </c>
      <c r="G67" s="102" t="s">
        <v>52</v>
      </c>
      <c r="H67" s="101" t="str">
        <f>VLOOKUP(G67,'01. TH'!$B:$E,3,0)</f>
        <v>7640 x 2590 x 2820</v>
      </c>
      <c r="I67" s="101" t="s">
        <v>23</v>
      </c>
      <c r="J67" s="105">
        <v>44197</v>
      </c>
      <c r="K67" s="101" t="str">
        <f>IF(COUNTIF('TT BTSC'!$D:$D,B67)&gt;0,"Hư hỏng","Bình thường")</f>
        <v>Bình thường</v>
      </c>
      <c r="L67" s="107">
        <v>0.67</v>
      </c>
      <c r="M67" s="182"/>
      <c r="N67" s="101" t="s">
        <v>458</v>
      </c>
      <c r="O67" s="110" t="s">
        <v>453</v>
      </c>
      <c r="P67" s="101">
        <v>2019</v>
      </c>
      <c r="Q67" s="101" t="s">
        <v>475</v>
      </c>
      <c r="R67" s="101" t="s">
        <v>476</v>
      </c>
      <c r="S67" s="110" t="s">
        <v>746</v>
      </c>
      <c r="T67" s="111" t="s">
        <v>747</v>
      </c>
      <c r="U67" s="111">
        <v>12</v>
      </c>
      <c r="V67" s="895">
        <v>260</v>
      </c>
      <c r="W67" s="895"/>
      <c r="X67" s="895"/>
      <c r="Y67" s="895"/>
    </row>
    <row r="68" ht="13.5" customHeight="1" outlineLevel="1" spans="1:25">
      <c r="A68" s="103">
        <f t="shared" si="1"/>
        <v>14</v>
      </c>
      <c r="B68" s="102" t="s">
        <v>748</v>
      </c>
      <c r="C68" s="102" t="s">
        <v>749</v>
      </c>
      <c r="D68" s="103" t="str">
        <f>IFERROR(VLOOKUP(B68,' 02.1 KLH-CN MÃ BRAVO MM'!$B:$C,2,0),"")</f>
        <v>ATT-A24-0049</v>
      </c>
      <c r="E68" s="103"/>
      <c r="F68" s="103" t="s">
        <v>451</v>
      </c>
      <c r="G68" s="102" t="s">
        <v>43</v>
      </c>
      <c r="H68" s="101" t="str">
        <f>VLOOKUP(G68,'01. TH'!$B:$E,3,0)</f>
        <v>7235 x 2496 x 3351</v>
      </c>
      <c r="I68" s="101" t="s">
        <v>23</v>
      </c>
      <c r="J68" s="105">
        <v>44197</v>
      </c>
      <c r="K68" s="101" t="str">
        <f>IF(COUNTIF('TT BTSC'!$D:$D,B68)&gt;0,"Hư hỏng","Bình thường")</f>
        <v>Bình thường</v>
      </c>
      <c r="L68" s="107">
        <v>0.67</v>
      </c>
      <c r="M68" s="182"/>
      <c r="N68" s="101" t="s">
        <v>464</v>
      </c>
      <c r="O68" s="110" t="s">
        <v>465</v>
      </c>
      <c r="P68" s="101">
        <v>2020</v>
      </c>
      <c r="Q68" s="101" t="s">
        <v>466</v>
      </c>
      <c r="R68" s="101" t="s">
        <v>467</v>
      </c>
      <c r="S68" s="110" t="s">
        <v>750</v>
      </c>
      <c r="T68" s="111" t="s">
        <v>751</v>
      </c>
      <c r="U68" s="111">
        <v>10</v>
      </c>
      <c r="V68" s="895">
        <v>280</v>
      </c>
      <c r="W68" s="895"/>
      <c r="X68" s="895"/>
      <c r="Y68" s="895"/>
    </row>
    <row r="69" ht="13.5" customHeight="1" outlineLevel="1" spans="1:25">
      <c r="A69" s="103">
        <f t="shared" si="1"/>
        <v>15</v>
      </c>
      <c r="B69" s="102" t="s">
        <v>752</v>
      </c>
      <c r="C69" s="102" t="s">
        <v>753</v>
      </c>
      <c r="D69" s="103" t="str">
        <f>IFERROR(VLOOKUP(B69,' 02.1 KLH-CN MÃ BRAVO MM'!$B:$C,2,0),"")</f>
        <v>ATT-A24-0050</v>
      </c>
      <c r="E69" s="103"/>
      <c r="F69" s="103" t="s">
        <v>451</v>
      </c>
      <c r="G69" s="102" t="s">
        <v>43</v>
      </c>
      <c r="H69" s="101" t="str">
        <f>VLOOKUP(G69,'01. TH'!$B:$E,3,0)</f>
        <v>7235 x 2496 x 3351</v>
      </c>
      <c r="I69" s="101" t="s">
        <v>23</v>
      </c>
      <c r="J69" s="105">
        <v>44197</v>
      </c>
      <c r="K69" s="101" t="str">
        <f>IF(COUNTIF('TT BTSC'!$D:$D,B69)&gt;0,"Hư hỏng","Bình thường")</f>
        <v>Bình thường</v>
      </c>
      <c r="L69" s="107">
        <v>0.67</v>
      </c>
      <c r="M69" s="182"/>
      <c r="N69" s="101" t="s">
        <v>464</v>
      </c>
      <c r="O69" s="110" t="s">
        <v>465</v>
      </c>
      <c r="P69" s="101">
        <v>2020</v>
      </c>
      <c r="Q69" s="101" t="s">
        <v>466</v>
      </c>
      <c r="R69" s="101" t="s">
        <v>467</v>
      </c>
      <c r="S69" s="110" t="s">
        <v>754</v>
      </c>
      <c r="T69" s="111" t="s">
        <v>755</v>
      </c>
      <c r="U69" s="111">
        <v>10</v>
      </c>
      <c r="V69" s="895">
        <v>280</v>
      </c>
      <c r="W69" s="895"/>
      <c r="X69" s="895"/>
      <c r="Y69" s="895"/>
    </row>
    <row r="70" ht="13.5" customHeight="1" outlineLevel="1" spans="1:25">
      <c r="A70" s="103">
        <f t="shared" si="1"/>
        <v>16</v>
      </c>
      <c r="B70" s="104" t="s">
        <v>756</v>
      </c>
      <c r="C70" s="104" t="s">
        <v>757</v>
      </c>
      <c r="D70" s="103" t="str">
        <f>IFERROR(VLOOKUP(B70,' 02.1 KLH-CN MÃ BRAVO MM'!$B:$C,2,0),"")</f>
        <v/>
      </c>
      <c r="E70" s="103"/>
      <c r="F70" s="103" t="s">
        <v>451</v>
      </c>
      <c r="G70" s="104" t="s">
        <v>55</v>
      </c>
      <c r="H70" s="101" t="str">
        <f>VLOOKUP(G70,'01. TH'!$B:$E,3,0)</f>
        <v>4749 x 1700 x 2470</v>
      </c>
      <c r="I70" s="103" t="s">
        <v>23</v>
      </c>
      <c r="J70" s="112"/>
      <c r="K70" s="101" t="str">
        <f>IF(COUNTIF('TT BTSC'!$D:$D,B70)&gt;0,"Hư hỏng","Bình thường")</f>
        <v>Bình thường</v>
      </c>
      <c r="L70" s="103"/>
      <c r="M70" s="183" t="s">
        <v>758</v>
      </c>
      <c r="N70" s="103" t="s">
        <v>759</v>
      </c>
      <c r="O70" s="111" t="s">
        <v>453</v>
      </c>
      <c r="P70" s="103">
        <v>2015</v>
      </c>
      <c r="Q70" s="103" t="s">
        <v>760</v>
      </c>
      <c r="R70" s="103" t="s">
        <v>761</v>
      </c>
      <c r="S70" s="111">
        <v>60432</v>
      </c>
      <c r="T70" s="111" t="s">
        <v>462</v>
      </c>
      <c r="U70" s="160">
        <v>4</v>
      </c>
      <c r="V70" s="895">
        <v>40</v>
      </c>
      <c r="W70" s="895"/>
      <c r="X70" s="895"/>
      <c r="Y70" s="895"/>
    </row>
    <row r="71" ht="13.5" customHeight="1" outlineLevel="1" spans="1:25">
      <c r="A71" s="103">
        <f t="shared" si="1"/>
        <v>17</v>
      </c>
      <c r="B71" s="102" t="s">
        <v>762</v>
      </c>
      <c r="C71" s="102" t="s">
        <v>763</v>
      </c>
      <c r="D71" s="103" t="str">
        <f>IFERROR(VLOOKUP(B71,' 02.1 KLH-CN MÃ BRAVO MM'!$B:$C,2,0),"")</f>
        <v>A24-MĐA-012</v>
      </c>
      <c r="E71" s="103"/>
      <c r="F71" s="103" t="s">
        <v>451</v>
      </c>
      <c r="G71" s="102" t="s">
        <v>49</v>
      </c>
      <c r="H71" s="101" t="str">
        <f>VLOOKUP(G71,'01. TH'!$B:$E,3,0)</f>
        <v>5260 x 1760 x 2415</v>
      </c>
      <c r="I71" s="101" t="s">
        <v>23</v>
      </c>
      <c r="J71" s="101" t="s">
        <v>764</v>
      </c>
      <c r="K71" s="101" t="str">
        <f>IF(COUNTIF('TT BTSC'!$D:$D,B71)&gt;0,"Hư hỏng","Bình thường")</f>
        <v>Bình thường</v>
      </c>
      <c r="L71" s="101"/>
      <c r="M71" s="182" t="s">
        <v>765</v>
      </c>
      <c r="N71" s="101" t="s">
        <v>480</v>
      </c>
      <c r="O71" s="110" t="s">
        <v>453</v>
      </c>
      <c r="P71" s="101">
        <v>2006</v>
      </c>
      <c r="Q71" s="101" t="s">
        <v>766</v>
      </c>
      <c r="R71" s="101" t="s">
        <v>767</v>
      </c>
      <c r="S71" s="110">
        <v>9101</v>
      </c>
      <c r="T71" s="111" t="s">
        <v>462</v>
      </c>
      <c r="U71" s="160">
        <v>4</v>
      </c>
      <c r="V71" s="895">
        <v>60</v>
      </c>
      <c r="W71" s="895"/>
      <c r="X71" s="895"/>
      <c r="Y71" s="895"/>
    </row>
    <row r="72" ht="13.5" customHeight="1" outlineLevel="1" spans="1:25">
      <c r="A72" s="103">
        <f t="shared" si="1"/>
        <v>18</v>
      </c>
      <c r="B72" s="102" t="s">
        <v>768</v>
      </c>
      <c r="C72" s="102" t="s">
        <v>504</v>
      </c>
      <c r="D72" s="103" t="s">
        <v>769</v>
      </c>
      <c r="E72" s="103" t="s">
        <v>770</v>
      </c>
      <c r="F72" s="103" t="s">
        <v>504</v>
      </c>
      <c r="G72" s="124" t="s">
        <v>109</v>
      </c>
      <c r="H72" s="101" t="str">
        <f>VLOOKUP(G72,'01. TH'!$B:$E,3,0)</f>
        <v>6160 x 2330 x 2760</v>
      </c>
      <c r="I72" s="101" t="s">
        <v>23</v>
      </c>
      <c r="J72" s="105">
        <v>45841</v>
      </c>
      <c r="K72" s="101" t="str">
        <f>IF(COUNTIF('TT BTSC'!$D:$D,B72)&gt;0,"Hư hỏng","Bình thường")</f>
        <v>Bình thường</v>
      </c>
      <c r="L72" s="101"/>
      <c r="M72" s="900" t="s">
        <v>620</v>
      </c>
      <c r="N72" s="101" t="s">
        <v>771</v>
      </c>
      <c r="O72" s="110" t="s">
        <v>500</v>
      </c>
      <c r="P72" s="101">
        <v>2024</v>
      </c>
      <c r="Q72" s="101" t="s">
        <v>628</v>
      </c>
      <c r="R72" s="101" t="s">
        <v>48</v>
      </c>
      <c r="S72" s="110" t="s">
        <v>772</v>
      </c>
      <c r="T72" s="111" t="s">
        <v>773</v>
      </c>
      <c r="U72" s="160">
        <v>1</v>
      </c>
      <c r="V72" s="895">
        <v>150</v>
      </c>
      <c r="W72" s="895"/>
      <c r="X72" s="895"/>
      <c r="Y72" s="895"/>
    </row>
    <row r="73" ht="13.5" customHeight="1" outlineLevel="1" spans="1:25">
      <c r="A73" s="103">
        <f t="shared" si="1"/>
        <v>19</v>
      </c>
      <c r="B73" s="102" t="s">
        <v>774</v>
      </c>
      <c r="C73" s="102" t="s">
        <v>504</v>
      </c>
      <c r="D73" s="103" t="s">
        <v>775</v>
      </c>
      <c r="E73" s="103" t="s">
        <v>776</v>
      </c>
      <c r="F73" s="103" t="s">
        <v>504</v>
      </c>
      <c r="G73" s="124" t="s">
        <v>109</v>
      </c>
      <c r="H73" s="101" t="str">
        <f>VLOOKUP(G73,'01. TH'!$B:$E,3,0)</f>
        <v>6160 x 2330 x 2760</v>
      </c>
      <c r="I73" s="101" t="s">
        <v>23</v>
      </c>
      <c r="J73" s="105">
        <v>45841</v>
      </c>
      <c r="K73" s="101" t="str">
        <f>IF(COUNTIF('TT BTSC'!$D:$D,B73)&gt;0,"Hư hỏng","Bình thường")</f>
        <v>Bình thường</v>
      </c>
      <c r="L73" s="101"/>
      <c r="M73" s="900" t="s">
        <v>620</v>
      </c>
      <c r="N73" s="101" t="s">
        <v>771</v>
      </c>
      <c r="O73" s="110" t="s">
        <v>500</v>
      </c>
      <c r="P73" s="101">
        <v>2024</v>
      </c>
      <c r="Q73" s="101" t="s">
        <v>628</v>
      </c>
      <c r="R73" s="101" t="s">
        <v>48</v>
      </c>
      <c r="S73" s="110" t="s">
        <v>777</v>
      </c>
      <c r="T73" s="111" t="s">
        <v>778</v>
      </c>
      <c r="U73" s="160">
        <v>1</v>
      </c>
      <c r="V73" s="895">
        <v>150</v>
      </c>
      <c r="W73" s="895"/>
      <c r="X73" s="895"/>
      <c r="Y73" s="895"/>
    </row>
    <row r="74" ht="13.5" customHeight="1" outlineLevel="1" spans="1:25">
      <c r="A74" s="103">
        <f t="shared" si="1"/>
        <v>20</v>
      </c>
      <c r="B74" s="102" t="s">
        <v>779</v>
      </c>
      <c r="C74" s="102" t="s">
        <v>504</v>
      </c>
      <c r="D74" s="103" t="s">
        <v>780</v>
      </c>
      <c r="E74" s="103"/>
      <c r="F74" s="103" t="s">
        <v>504</v>
      </c>
      <c r="G74" s="124" t="s">
        <v>106</v>
      </c>
      <c r="H74" s="101" t="str">
        <f>VLOOKUP(G74,'01. TH'!$B:$E,3,0)</f>
        <v>6160 x 2330 x 2760</v>
      </c>
      <c r="I74" s="101" t="s">
        <v>23</v>
      </c>
      <c r="J74" s="157" t="s">
        <v>633</v>
      </c>
      <c r="K74" s="101" t="str">
        <f>IF(COUNTIF('TT BTSC'!$D:$D,B74)&gt;0,"Hư hỏng","Bình thường")</f>
        <v>Bình thường</v>
      </c>
      <c r="L74" s="101"/>
      <c r="M74" s="900" t="s">
        <v>634</v>
      </c>
      <c r="N74" s="101" t="s">
        <v>771</v>
      </c>
      <c r="O74" s="110" t="s">
        <v>500</v>
      </c>
      <c r="P74" s="101">
        <v>2024</v>
      </c>
      <c r="Q74" s="101" t="s">
        <v>635</v>
      </c>
      <c r="R74" s="101" t="s">
        <v>48</v>
      </c>
      <c r="S74" s="110" t="s">
        <v>781</v>
      </c>
      <c r="T74" s="111" t="s">
        <v>782</v>
      </c>
      <c r="U74" s="160">
        <v>1</v>
      </c>
      <c r="V74" s="895">
        <v>150</v>
      </c>
      <c r="W74" s="895"/>
      <c r="X74" s="895"/>
      <c r="Y74" s="895"/>
    </row>
    <row r="75" ht="13.5" customHeight="1" outlineLevel="1" spans="1:25">
      <c r="A75" s="103">
        <f t="shared" si="1"/>
        <v>21</v>
      </c>
      <c r="B75" s="102" t="s">
        <v>783</v>
      </c>
      <c r="C75" s="102" t="s">
        <v>504</v>
      </c>
      <c r="D75" s="103" t="s">
        <v>784</v>
      </c>
      <c r="E75" s="103"/>
      <c r="F75" s="103" t="s">
        <v>504</v>
      </c>
      <c r="G75" s="124" t="s">
        <v>106</v>
      </c>
      <c r="H75" s="101" t="str">
        <f>VLOOKUP(G75,'01. TH'!$B:$E,3,0)</f>
        <v>6160 x 2330 x 2760</v>
      </c>
      <c r="I75" s="101" t="s">
        <v>23</v>
      </c>
      <c r="J75" s="157" t="s">
        <v>633</v>
      </c>
      <c r="K75" s="101" t="str">
        <f>IF(COUNTIF('TT BTSC'!$D:$D,B75)&gt;0,"Hư hỏng","Bình thường")</f>
        <v>Bình thường</v>
      </c>
      <c r="L75" s="101"/>
      <c r="M75" s="900" t="s">
        <v>634</v>
      </c>
      <c r="N75" s="101" t="s">
        <v>771</v>
      </c>
      <c r="O75" s="110" t="s">
        <v>500</v>
      </c>
      <c r="P75" s="101">
        <v>2024</v>
      </c>
      <c r="Q75" s="101" t="s">
        <v>635</v>
      </c>
      <c r="R75" s="101" t="s">
        <v>48</v>
      </c>
      <c r="S75" s="110" t="s">
        <v>785</v>
      </c>
      <c r="T75" s="111" t="s">
        <v>786</v>
      </c>
      <c r="U75" s="160">
        <v>1</v>
      </c>
      <c r="V75" s="895">
        <v>150</v>
      </c>
      <c r="W75" s="895"/>
      <c r="X75" s="895"/>
      <c r="Y75" s="895"/>
    </row>
    <row r="76" ht="13.5" customHeight="1" outlineLevel="1" spans="1:25">
      <c r="A76" s="103">
        <f t="shared" si="1"/>
        <v>22</v>
      </c>
      <c r="B76" s="102" t="s">
        <v>787</v>
      </c>
      <c r="C76" s="102" t="s">
        <v>504</v>
      </c>
      <c r="D76" s="103" t="s">
        <v>788</v>
      </c>
      <c r="E76" s="103"/>
      <c r="F76" s="103" t="s">
        <v>504</v>
      </c>
      <c r="G76" s="124" t="s">
        <v>106</v>
      </c>
      <c r="H76" s="101" t="str">
        <f>VLOOKUP(G76,'01. TH'!$B:$E,3,0)</f>
        <v>6160 x 2330 x 2760</v>
      </c>
      <c r="I76" s="101" t="s">
        <v>23</v>
      </c>
      <c r="J76" s="157" t="s">
        <v>633</v>
      </c>
      <c r="K76" s="101" t="str">
        <f>IF(COUNTIF('TT BTSC'!$D:$D,B76)&gt;0,"Hư hỏng","Bình thường")</f>
        <v>Bình thường</v>
      </c>
      <c r="L76" s="101"/>
      <c r="M76" s="900" t="s">
        <v>634</v>
      </c>
      <c r="N76" s="101" t="s">
        <v>771</v>
      </c>
      <c r="O76" s="110" t="s">
        <v>500</v>
      </c>
      <c r="P76" s="101">
        <v>2024</v>
      </c>
      <c r="Q76" s="101" t="s">
        <v>635</v>
      </c>
      <c r="R76" s="101" t="s">
        <v>48</v>
      </c>
      <c r="S76" s="110" t="s">
        <v>789</v>
      </c>
      <c r="T76" s="111" t="s">
        <v>790</v>
      </c>
      <c r="U76" s="160">
        <v>1</v>
      </c>
      <c r="V76" s="895">
        <v>150</v>
      </c>
      <c r="W76" s="895"/>
      <c r="X76" s="895"/>
      <c r="Y76" s="895"/>
    </row>
    <row r="77" ht="13.5" customHeight="1" outlineLevel="1" spans="1:25">
      <c r="A77" s="103">
        <f t="shared" si="1"/>
        <v>23</v>
      </c>
      <c r="B77" s="102" t="s">
        <v>791</v>
      </c>
      <c r="C77" s="124" t="s">
        <v>492</v>
      </c>
      <c r="D77" s="103" t="s">
        <v>792</v>
      </c>
      <c r="E77" s="103"/>
      <c r="F77" s="157" t="s">
        <v>492</v>
      </c>
      <c r="G77" s="124" t="s">
        <v>50</v>
      </c>
      <c r="H77" s="101" t="str">
        <f>VLOOKUP(G77,'01. TH'!$B:$E,3,0)</f>
        <v>8700 x 2800 x 3010</v>
      </c>
      <c r="I77" s="101" t="s">
        <v>23</v>
      </c>
      <c r="J77" s="897">
        <v>45722</v>
      </c>
      <c r="K77" s="101" t="str">
        <f>IF(COUNTIF('TT BTSC'!$D:$D,B77)&gt;0,"Hư hỏng","Bình thường")</f>
        <v>Bình thường</v>
      </c>
      <c r="L77" s="101"/>
      <c r="M77" s="182" t="s">
        <v>793</v>
      </c>
      <c r="N77" s="101" t="s">
        <v>480</v>
      </c>
      <c r="O77" s="111" t="s">
        <v>453</v>
      </c>
      <c r="P77" s="101">
        <v>2010</v>
      </c>
      <c r="Q77" s="101" t="s">
        <v>794</v>
      </c>
      <c r="R77" s="101" t="s">
        <v>546</v>
      </c>
      <c r="S77" s="110" t="s">
        <v>795</v>
      </c>
      <c r="T77" s="111" t="s">
        <v>796</v>
      </c>
      <c r="U77" s="160">
        <v>14</v>
      </c>
      <c r="V77" s="895">
        <v>400</v>
      </c>
      <c r="W77" s="895"/>
      <c r="X77" s="895"/>
      <c r="Y77" s="895"/>
    </row>
    <row r="78" ht="13.5" customHeight="1" outlineLevel="1" spans="1:25">
      <c r="A78" s="103">
        <f t="shared" si="1"/>
        <v>24</v>
      </c>
      <c r="B78" s="102" t="s">
        <v>797</v>
      </c>
      <c r="C78" s="124" t="s">
        <v>492</v>
      </c>
      <c r="D78" s="103" t="s">
        <v>798</v>
      </c>
      <c r="E78" s="103"/>
      <c r="F78" s="157" t="s">
        <v>492</v>
      </c>
      <c r="G78" s="156" t="s">
        <v>74</v>
      </c>
      <c r="H78" s="101" t="str">
        <f>VLOOKUP(G78,'01. TH'!$B:$E,3,0)</f>
        <v>2625 x 1290 x 1570</v>
      </c>
      <c r="I78" s="101" t="s">
        <v>23</v>
      </c>
      <c r="J78" s="157" t="s">
        <v>799</v>
      </c>
      <c r="K78" s="101" t="str">
        <f>IF(COUNTIF('TT BTSC'!$D:$D,B78)&gt;0,"Hư hỏng","Bình thường")</f>
        <v>Bình thường</v>
      </c>
      <c r="L78" s="101"/>
      <c r="M78" s="182" t="s">
        <v>793</v>
      </c>
      <c r="N78" s="101" t="s">
        <v>530</v>
      </c>
      <c r="O78" s="111" t="s">
        <v>453</v>
      </c>
      <c r="P78" s="101">
        <v>2004</v>
      </c>
      <c r="Q78" s="101" t="s">
        <v>800</v>
      </c>
      <c r="R78" s="101" t="s">
        <v>767</v>
      </c>
      <c r="S78" s="110" t="s">
        <v>801</v>
      </c>
      <c r="T78" s="111">
        <v>166376</v>
      </c>
      <c r="U78" s="160">
        <v>2.5</v>
      </c>
      <c r="V78" s="895">
        <v>52</v>
      </c>
      <c r="W78" s="895"/>
      <c r="X78" s="895"/>
      <c r="Y78" s="895"/>
    </row>
    <row r="79" ht="13.5" customHeight="1" outlineLevel="1" spans="1:25">
      <c r="A79" s="103">
        <f t="shared" si="1"/>
        <v>25</v>
      </c>
      <c r="B79" s="102" t="s">
        <v>802</v>
      </c>
      <c r="C79" s="124" t="s">
        <v>492</v>
      </c>
      <c r="D79" s="103" t="s">
        <v>803</v>
      </c>
      <c r="E79" s="103"/>
      <c r="F79" s="157" t="s">
        <v>492</v>
      </c>
      <c r="G79" s="124" t="s">
        <v>804</v>
      </c>
      <c r="H79" s="101" t="e">
        <f>VLOOKUP(G79,'01. TH'!$B:$E,3,0)</f>
        <v>#N/A</v>
      </c>
      <c r="I79" s="101" t="s">
        <v>23</v>
      </c>
      <c r="J79" s="157" t="s">
        <v>805</v>
      </c>
      <c r="K79" s="101" t="str">
        <f>IF(COUNTIF('TT BTSC'!$D:$D,B79)&gt;0,"Hư hỏng","Bình thường")</f>
        <v>Bình thường</v>
      </c>
      <c r="L79" s="101"/>
      <c r="M79" s="182" t="s">
        <v>793</v>
      </c>
      <c r="N79" s="101" t="s">
        <v>480</v>
      </c>
      <c r="O79" s="111" t="s">
        <v>453</v>
      </c>
      <c r="P79" s="101">
        <v>1990</v>
      </c>
      <c r="Q79" s="101" t="s">
        <v>806</v>
      </c>
      <c r="R79" s="101" t="s">
        <v>87</v>
      </c>
      <c r="S79" s="110" t="s">
        <v>807</v>
      </c>
      <c r="T79" s="111" t="s">
        <v>808</v>
      </c>
      <c r="U79" s="160">
        <v>10</v>
      </c>
      <c r="V79" s="895">
        <v>370</v>
      </c>
      <c r="W79" s="895"/>
      <c r="X79" s="895"/>
      <c r="Y79" s="895"/>
    </row>
    <row r="80" ht="13.5" customHeight="1" outlineLevel="1" spans="1:25">
      <c r="A80" s="103">
        <f t="shared" si="1"/>
        <v>26</v>
      </c>
      <c r="B80" s="102" t="s">
        <v>809</v>
      </c>
      <c r="C80" s="124" t="s">
        <v>492</v>
      </c>
      <c r="D80" s="103" t="s">
        <v>810</v>
      </c>
      <c r="E80" s="103"/>
      <c r="F80" s="157" t="s">
        <v>492</v>
      </c>
      <c r="G80" s="124" t="s">
        <v>59</v>
      </c>
      <c r="H80" s="101" t="str">
        <f>VLOOKUP(G80,'01. TH'!$B:$E,3,0)</f>
        <v>4200 x 2980 x 2720</v>
      </c>
      <c r="I80" s="101" t="s">
        <v>23</v>
      </c>
      <c r="J80" s="157" t="s">
        <v>799</v>
      </c>
      <c r="K80" s="101" t="str">
        <f>IF(COUNTIF('TT BTSC'!$D:$D,B80)&gt;0,"Hư hỏng","Bình thường")</f>
        <v>Bình thường</v>
      </c>
      <c r="L80" s="101"/>
      <c r="M80" s="182" t="s">
        <v>793</v>
      </c>
      <c r="N80" s="101" t="s">
        <v>480</v>
      </c>
      <c r="O80" s="111" t="s">
        <v>811</v>
      </c>
      <c r="P80" s="101">
        <v>2006</v>
      </c>
      <c r="Q80" s="101" t="s">
        <v>613</v>
      </c>
      <c r="R80" s="101" t="s">
        <v>812</v>
      </c>
      <c r="S80" s="110" t="s">
        <v>813</v>
      </c>
      <c r="T80" s="111" t="s">
        <v>814</v>
      </c>
      <c r="U80" s="111">
        <v>8</v>
      </c>
      <c r="V80" s="895">
        <v>165</v>
      </c>
      <c r="W80" s="895"/>
      <c r="X80" s="895"/>
      <c r="Y80" s="895"/>
    </row>
    <row r="81" ht="13.5" customHeight="1" outlineLevel="1" spans="1:25">
      <c r="A81" s="101"/>
      <c r="B81" s="102"/>
      <c r="C81" s="102"/>
      <c r="D81" s="103"/>
      <c r="E81" s="103"/>
      <c r="F81" s="103"/>
      <c r="G81" s="102"/>
      <c r="H81" s="101"/>
      <c r="I81" s="101"/>
      <c r="J81" s="101"/>
      <c r="K81" s="101"/>
      <c r="L81" s="101"/>
      <c r="M81" s="182"/>
      <c r="N81" s="101"/>
      <c r="O81" s="110"/>
      <c r="P81" s="101"/>
      <c r="Q81" s="101"/>
      <c r="R81" s="101"/>
      <c r="S81" s="110"/>
      <c r="T81" s="111"/>
      <c r="U81" s="111"/>
      <c r="V81" s="192"/>
      <c r="W81" s="192"/>
      <c r="X81" s="192"/>
      <c r="Y81" s="192"/>
    </row>
    <row r="82" ht="13.5" customHeight="1" outlineLevel="1" spans="1:25">
      <c r="A82" s="101"/>
      <c r="B82" s="102"/>
      <c r="C82" s="102" t="s">
        <v>689</v>
      </c>
      <c r="D82" s="103"/>
      <c r="E82" s="103"/>
      <c r="F82" s="103"/>
      <c r="G82" s="102"/>
      <c r="H82" s="101" t="e">
        <f>VLOOKUP(G82,'01. TH'!$B:$E,3,0)</f>
        <v>#N/A</v>
      </c>
      <c r="I82" s="101"/>
      <c r="J82" s="101"/>
      <c r="K82" s="101"/>
      <c r="L82" s="101"/>
      <c r="M82" s="182"/>
      <c r="N82" s="101"/>
      <c r="O82" s="110"/>
      <c r="P82" s="101"/>
      <c r="Q82" s="101"/>
      <c r="R82" s="101"/>
      <c r="S82" s="110"/>
      <c r="T82" s="111"/>
      <c r="U82" s="111"/>
      <c r="V82" s="192"/>
      <c r="W82" s="192"/>
      <c r="X82" s="192"/>
      <c r="Y82" s="192"/>
    </row>
    <row r="83" ht="13.5" customHeight="1" spans="1:25">
      <c r="A83" s="96" t="s">
        <v>815</v>
      </c>
      <c r="B83" s="97" t="s">
        <v>816</v>
      </c>
      <c r="C83" s="96">
        <f>COUNTA($B$84:$B$116)</f>
        <v>31</v>
      </c>
      <c r="D83" s="97" t="str">
        <f>IFERROR(VLOOKUP(B83,' 02.1 KLH-CN MÃ BRAVO MM'!$B:$C,2,0),"")</f>
        <v/>
      </c>
      <c r="E83" s="96"/>
      <c r="F83" s="96"/>
      <c r="G83" s="96"/>
      <c r="H83" s="97"/>
      <c r="I83" s="97"/>
      <c r="J83" s="98"/>
      <c r="K83" s="97"/>
      <c r="L83" s="96"/>
      <c r="M83" s="97"/>
      <c r="N83" s="96"/>
      <c r="O83" s="97"/>
      <c r="P83" s="97"/>
      <c r="Q83" s="97"/>
      <c r="R83" s="97"/>
      <c r="S83" s="97"/>
      <c r="T83" s="97"/>
      <c r="U83" s="97"/>
      <c r="V83" s="192"/>
      <c r="W83" s="192"/>
      <c r="X83" s="192"/>
      <c r="Y83" s="192"/>
    </row>
    <row r="84" ht="13.5" customHeight="1" outlineLevel="1" spans="1:25">
      <c r="A84" s="101">
        <v>1</v>
      </c>
      <c r="B84" s="102" t="s">
        <v>817</v>
      </c>
      <c r="C84" s="102" t="s">
        <v>817</v>
      </c>
      <c r="D84" s="103" t="str">
        <f>IFERROR(VLOOKUP(B84,' 02.1 KLH-CN MÃ BRAVO MM'!$B:$C,2,0),"")</f>
        <v>ATT-A22-0135</v>
      </c>
      <c r="E84" s="103"/>
      <c r="F84" s="103" t="s">
        <v>451</v>
      </c>
      <c r="G84" s="104" t="s">
        <v>70</v>
      </c>
      <c r="H84" s="101" t="str">
        <f>VLOOKUP(G84,'01. TH'!$B:$E,3,0)</f>
        <v>8420 x 2375 x 3240</v>
      </c>
      <c r="I84" s="101" t="s">
        <v>27</v>
      </c>
      <c r="J84" s="105">
        <v>44136</v>
      </c>
      <c r="K84" s="101" t="str">
        <f>IF(COUNTIF('TT BTSC'!$D:$D,B84)&gt;0,"Hư hỏng","Bình thường")</f>
        <v>Bình thường</v>
      </c>
      <c r="L84" s="107">
        <v>0.66</v>
      </c>
      <c r="M84" s="182"/>
      <c r="N84" s="101" t="s">
        <v>480</v>
      </c>
      <c r="O84" s="110" t="s">
        <v>453</v>
      </c>
      <c r="P84" s="101">
        <v>1995</v>
      </c>
      <c r="Q84" s="101" t="s">
        <v>545</v>
      </c>
      <c r="R84" s="101" t="s">
        <v>546</v>
      </c>
      <c r="S84" s="110" t="s">
        <v>818</v>
      </c>
      <c r="T84" s="111" t="s">
        <v>819</v>
      </c>
      <c r="U84" s="111">
        <v>9.3</v>
      </c>
      <c r="V84" s="895">
        <v>0</v>
      </c>
      <c r="W84" s="895"/>
      <c r="X84" s="895"/>
      <c r="Y84" s="895"/>
    </row>
    <row r="85" ht="18" customHeight="1" outlineLevel="1" spans="1:25">
      <c r="A85" s="103">
        <f t="shared" ref="A85:A114" si="2">A84+1</f>
        <v>2</v>
      </c>
      <c r="B85" s="104" t="s">
        <v>820</v>
      </c>
      <c r="C85" s="104" t="s">
        <v>820</v>
      </c>
      <c r="D85" s="103" t="str">
        <f>IFERROR(VLOOKUP(B85,' 02.1 KLH-CN MÃ BRAVO MM'!$B:$C,2,0),"")</f>
        <v>ATT-A22-0128</v>
      </c>
      <c r="E85" s="103"/>
      <c r="F85" s="103" t="s">
        <v>451</v>
      </c>
      <c r="G85" s="104" t="s">
        <v>57</v>
      </c>
      <c r="H85" s="101" t="str">
        <f>VLOOKUP(G85,'01. TH'!$B:$E,3,0)</f>
        <v>4200 x 2980 x 2720</v>
      </c>
      <c r="I85" s="103" t="s">
        <v>27</v>
      </c>
      <c r="J85" s="112">
        <v>43841</v>
      </c>
      <c r="K85" s="101" t="str">
        <f>IF(COUNTIF('TT BTSC'!$D:$D,B85)&gt;0,"Hư hỏng","Bình thường")</f>
        <v>Bình thường</v>
      </c>
      <c r="L85" s="113">
        <v>0.5</v>
      </c>
      <c r="M85" s="183" t="s">
        <v>821</v>
      </c>
      <c r="N85" s="103" t="s">
        <v>480</v>
      </c>
      <c r="O85" s="111" t="s">
        <v>453</v>
      </c>
      <c r="P85" s="103">
        <v>2005</v>
      </c>
      <c r="Q85" s="103" t="s">
        <v>481</v>
      </c>
      <c r="R85" s="103" t="s">
        <v>482</v>
      </c>
      <c r="S85" s="111" t="s">
        <v>822</v>
      </c>
      <c r="T85" s="111" t="s">
        <v>823</v>
      </c>
      <c r="U85" s="111">
        <v>8</v>
      </c>
      <c r="V85" s="895">
        <v>165</v>
      </c>
      <c r="W85" s="895"/>
      <c r="X85" s="895"/>
      <c r="Y85" s="895"/>
    </row>
    <row r="86" ht="13.5" customHeight="1" outlineLevel="1" spans="1:25">
      <c r="A86" s="103">
        <f t="shared" si="2"/>
        <v>3</v>
      </c>
      <c r="B86" s="104" t="s">
        <v>824</v>
      </c>
      <c r="C86" s="104" t="s">
        <v>824</v>
      </c>
      <c r="D86" s="103" t="str">
        <f>IFERROR(VLOOKUP(B86,' 02.1 KLH-CN MÃ BRAVO MM'!$B:$C,2,0),"")</f>
        <v>ATT-A22-0148</v>
      </c>
      <c r="E86" s="103"/>
      <c r="F86" s="103" t="s">
        <v>451</v>
      </c>
      <c r="G86" s="104" t="s">
        <v>57</v>
      </c>
      <c r="H86" s="101" t="str">
        <f>VLOOKUP(G86,'01. TH'!$B:$E,3,0)</f>
        <v>4200 x 2980 x 2720</v>
      </c>
      <c r="I86" s="103" t="s">
        <v>27</v>
      </c>
      <c r="J86" s="112">
        <v>43841</v>
      </c>
      <c r="K86" s="101" t="str">
        <f>IF(COUNTIF('TT BTSC'!$D:$D,B86)&gt;0,"Hư hỏng","Bình thường")</f>
        <v>Bình thường</v>
      </c>
      <c r="L86" s="113">
        <v>0.5</v>
      </c>
      <c r="M86" s="183"/>
      <c r="N86" s="103" t="s">
        <v>480</v>
      </c>
      <c r="O86" s="111" t="s">
        <v>453</v>
      </c>
      <c r="P86" s="103">
        <v>2004</v>
      </c>
      <c r="Q86" s="103" t="s">
        <v>481</v>
      </c>
      <c r="R86" s="103" t="s">
        <v>482</v>
      </c>
      <c r="S86" s="111" t="s">
        <v>825</v>
      </c>
      <c r="T86" s="111" t="s">
        <v>826</v>
      </c>
      <c r="U86" s="111">
        <v>8</v>
      </c>
      <c r="V86" s="895">
        <v>165</v>
      </c>
      <c r="W86" s="895"/>
      <c r="X86" s="895"/>
      <c r="Y86" s="895"/>
    </row>
    <row r="87" ht="13.5" customHeight="1" outlineLevel="1" spans="1:25">
      <c r="A87" s="103">
        <f t="shared" si="2"/>
        <v>4</v>
      </c>
      <c r="B87" s="104" t="s">
        <v>827</v>
      </c>
      <c r="C87" s="104" t="s">
        <v>827</v>
      </c>
      <c r="D87" s="103" t="str">
        <f>IFERROR(VLOOKUP(B87,' 02.1 KLH-CN MÃ BRAVO MM'!$B:$C,2,0),"")</f>
        <v>ATT-A22-0136</v>
      </c>
      <c r="E87" s="103"/>
      <c r="F87" s="103" t="s">
        <v>451</v>
      </c>
      <c r="G87" s="104" t="s">
        <v>66</v>
      </c>
      <c r="H87" s="101" t="str">
        <f>VLOOKUP(G87,'01. TH'!$B:$E,3,0)</f>
        <v>5550 x 3970 x 3090</v>
      </c>
      <c r="I87" s="103" t="s">
        <v>27</v>
      </c>
      <c r="J87" s="112">
        <v>43841</v>
      </c>
      <c r="K87" s="101" t="str">
        <f>IF(COUNTIF('TT BTSC'!$D:$D,B87)&gt;0,"Hư hỏng","Bình thường")</f>
        <v>Bình thường</v>
      </c>
      <c r="L87" s="113">
        <v>0.66</v>
      </c>
      <c r="M87" s="183"/>
      <c r="N87" s="103" t="s">
        <v>480</v>
      </c>
      <c r="O87" s="111" t="s">
        <v>453</v>
      </c>
      <c r="P87" s="103">
        <v>1996</v>
      </c>
      <c r="Q87" s="103" t="s">
        <v>828</v>
      </c>
      <c r="R87" s="103" t="s">
        <v>829</v>
      </c>
      <c r="S87" s="111" t="s">
        <v>830</v>
      </c>
      <c r="T87" s="111" t="s">
        <v>831</v>
      </c>
      <c r="U87" s="896">
        <v>14</v>
      </c>
      <c r="V87" s="895">
        <v>406</v>
      </c>
      <c r="W87" s="895"/>
      <c r="X87" s="895"/>
      <c r="Y87" s="895"/>
    </row>
    <row r="88" ht="13.5" customHeight="1" outlineLevel="1" spans="1:25">
      <c r="A88" s="103">
        <f t="shared" si="2"/>
        <v>5</v>
      </c>
      <c r="B88" s="104" t="s">
        <v>832</v>
      </c>
      <c r="C88" s="104" t="s">
        <v>832</v>
      </c>
      <c r="D88" s="103" t="str">
        <f>IFERROR(VLOOKUP(B88,' 02.1 KLH-CN MÃ BRAVO MM'!$B:$C,2,0),"")</f>
        <v>ATT-A22-0169</v>
      </c>
      <c r="E88" s="103"/>
      <c r="F88" s="103" t="s">
        <v>451</v>
      </c>
      <c r="G88" s="104" t="s">
        <v>57</v>
      </c>
      <c r="H88" s="101" t="str">
        <f>VLOOKUP(G88,'01. TH'!$B:$E,3,0)</f>
        <v>4200 x 2980 x 2720</v>
      </c>
      <c r="I88" s="103" t="s">
        <v>27</v>
      </c>
      <c r="J88" s="112">
        <v>44198</v>
      </c>
      <c r="K88" s="101" t="str">
        <f>IF(COUNTIF('TT BTSC'!$D:$D,B88)&gt;0,"Hư hỏng","Bình thường")</f>
        <v>Bình thường</v>
      </c>
      <c r="L88" s="113">
        <v>0.68</v>
      </c>
      <c r="M88" s="183"/>
      <c r="N88" s="103" t="s">
        <v>480</v>
      </c>
      <c r="O88" s="111" t="s">
        <v>453</v>
      </c>
      <c r="P88" s="103">
        <v>2006</v>
      </c>
      <c r="Q88" s="103" t="s">
        <v>613</v>
      </c>
      <c r="R88" s="103" t="s">
        <v>58</v>
      </c>
      <c r="S88" s="111" t="s">
        <v>833</v>
      </c>
      <c r="T88" s="111" t="s">
        <v>834</v>
      </c>
      <c r="U88" s="111">
        <v>8</v>
      </c>
      <c r="V88" s="895">
        <v>165</v>
      </c>
      <c r="W88" s="895"/>
      <c r="X88" s="895"/>
      <c r="Y88" s="895"/>
    </row>
    <row r="89" ht="13.5" customHeight="1" outlineLevel="1" spans="1:25">
      <c r="A89" s="103">
        <f t="shared" si="2"/>
        <v>6</v>
      </c>
      <c r="B89" s="124" t="s">
        <v>835</v>
      </c>
      <c r="C89" s="124" t="s">
        <v>492</v>
      </c>
      <c r="D89" s="157" t="s">
        <v>836</v>
      </c>
      <c r="E89" s="157"/>
      <c r="F89" s="157" t="s">
        <v>492</v>
      </c>
      <c r="G89" s="124" t="s">
        <v>57</v>
      </c>
      <c r="H89" s="101" t="str">
        <f>VLOOKUP(G89,'01. TH'!$B:$E,3,0)</f>
        <v>4200 x 2980 x 2720</v>
      </c>
      <c r="I89" s="103" t="s">
        <v>27</v>
      </c>
      <c r="J89" s="148">
        <v>45963</v>
      </c>
      <c r="K89" s="101" t="str">
        <f>IF(COUNTIF('TT BTSC'!$D:$D,B89)&gt;0,"Hư hỏng","Bình thường")</f>
        <v>Bình thường</v>
      </c>
      <c r="L89" s="899"/>
      <c r="M89" s="900" t="s">
        <v>837</v>
      </c>
      <c r="N89" s="157" t="s">
        <v>480</v>
      </c>
      <c r="O89" s="111" t="s">
        <v>453</v>
      </c>
      <c r="P89" s="157">
        <v>2006</v>
      </c>
      <c r="Q89" s="157" t="s">
        <v>613</v>
      </c>
      <c r="R89" s="157" t="s">
        <v>614</v>
      </c>
      <c r="S89" s="160" t="s">
        <v>838</v>
      </c>
      <c r="T89" s="160" t="s">
        <v>839</v>
      </c>
      <c r="U89" s="111">
        <v>8</v>
      </c>
      <c r="V89" s="895">
        <v>165</v>
      </c>
      <c r="W89" s="895"/>
      <c r="X89" s="895"/>
      <c r="Y89" s="895"/>
    </row>
    <row r="90" ht="35.25" customHeight="1" outlineLevel="1" spans="1:25">
      <c r="A90" s="103">
        <f t="shared" si="2"/>
        <v>7</v>
      </c>
      <c r="B90" s="124" t="s">
        <v>840</v>
      </c>
      <c r="C90" s="124" t="s">
        <v>841</v>
      </c>
      <c r="D90" s="157" t="s">
        <v>842</v>
      </c>
      <c r="E90" s="157"/>
      <c r="F90" s="157" t="s">
        <v>492</v>
      </c>
      <c r="G90" s="124" t="s">
        <v>63</v>
      </c>
      <c r="H90" s="101" t="str">
        <f>VLOOKUP(G90,'01. TH'!$B:$E,3,0)</f>
        <v>5540 x 3860 x 3150</v>
      </c>
      <c r="I90" s="103" t="s">
        <v>27</v>
      </c>
      <c r="J90" s="148" t="s">
        <v>843</v>
      </c>
      <c r="K90" s="101" t="str">
        <f>IF(COUNTIF('TT BTSC'!$D:$D,B90)&gt;0,"Hư hỏng","Bình thường")</f>
        <v>Bình thường</v>
      </c>
      <c r="L90" s="899"/>
      <c r="M90" s="900" t="s">
        <v>844</v>
      </c>
      <c r="N90" s="157" t="s">
        <v>480</v>
      </c>
      <c r="O90" s="111" t="s">
        <v>811</v>
      </c>
      <c r="P90" s="157">
        <v>2006</v>
      </c>
      <c r="Q90" s="157" t="s">
        <v>845</v>
      </c>
      <c r="R90" s="157" t="s">
        <v>64</v>
      </c>
      <c r="S90" s="160" t="s">
        <v>846</v>
      </c>
      <c r="T90" s="160">
        <v>30559211</v>
      </c>
      <c r="U90" s="111">
        <v>14</v>
      </c>
      <c r="V90" s="895"/>
      <c r="W90" s="895"/>
      <c r="X90" s="895"/>
      <c r="Y90" s="895"/>
    </row>
    <row r="91" ht="13.5" customHeight="1" outlineLevel="1" spans="1:25">
      <c r="A91" s="103">
        <f t="shared" si="2"/>
        <v>8</v>
      </c>
      <c r="B91" s="102" t="s">
        <v>847</v>
      </c>
      <c r="C91" s="102" t="s">
        <v>847</v>
      </c>
      <c r="D91" s="103" t="str">
        <f>IFERROR(VLOOKUP(B91,' 02.1 KLH-CN MÃ BRAVO MM'!$B:$C,2,0),"")</f>
        <v>ATT-A22-0152</v>
      </c>
      <c r="E91" s="103"/>
      <c r="F91" s="103" t="s">
        <v>451</v>
      </c>
      <c r="G91" s="102" t="s">
        <v>78</v>
      </c>
      <c r="H91" s="101" t="str">
        <f>VLOOKUP(G91,'01. TH'!$B:$E,3,0)</f>
        <v>5020 x 2000 x 3115</v>
      </c>
      <c r="I91" s="101" t="s">
        <v>27</v>
      </c>
      <c r="J91" s="105">
        <v>44136</v>
      </c>
      <c r="K91" s="101" t="str">
        <f>IF(COUNTIF('TT BTSC'!$D:$D,B91)&gt;0,"Hư hỏng","Bình thường")</f>
        <v>Bình thường</v>
      </c>
      <c r="L91" s="107">
        <v>0.66</v>
      </c>
      <c r="M91" s="21"/>
      <c r="N91" s="101" t="s">
        <v>530</v>
      </c>
      <c r="O91" s="110" t="s">
        <v>453</v>
      </c>
      <c r="P91" s="101">
        <v>1997</v>
      </c>
      <c r="Q91" s="101" t="s">
        <v>848</v>
      </c>
      <c r="R91" s="101" t="s">
        <v>535</v>
      </c>
      <c r="S91" s="110" t="s">
        <v>849</v>
      </c>
      <c r="T91" s="111" t="s">
        <v>850</v>
      </c>
      <c r="U91" s="111">
        <v>4</v>
      </c>
      <c r="V91" s="895">
        <v>0</v>
      </c>
      <c r="W91" s="895"/>
      <c r="X91" s="895"/>
      <c r="Y91" s="895"/>
    </row>
    <row r="92" ht="13.5" customHeight="1" outlineLevel="1" spans="1:25">
      <c r="A92" s="103">
        <f t="shared" si="2"/>
        <v>9</v>
      </c>
      <c r="B92" s="102" t="s">
        <v>851</v>
      </c>
      <c r="C92" s="102" t="s">
        <v>851</v>
      </c>
      <c r="D92" s="103" t="str">
        <f>IFERROR(VLOOKUP(B92,' 02.1 KLH-CN MÃ BRAVO MM'!$B:$C,2,0),"")</f>
        <v>ATM-A22-0090</v>
      </c>
      <c r="E92" s="103"/>
      <c r="F92" s="103" t="s">
        <v>451</v>
      </c>
      <c r="G92" s="102" t="s">
        <v>76</v>
      </c>
      <c r="H92" s="101" t="str">
        <f>VLOOKUP(G92,'01. TH'!$B:$E,3,0)</f>
        <v>5810 x 2300 x 2860</v>
      </c>
      <c r="I92" s="101" t="s">
        <v>27</v>
      </c>
      <c r="J92" s="105">
        <v>44287</v>
      </c>
      <c r="K92" s="101" t="str">
        <f>IF(COUNTIF('TT BTSC'!$D:$D,B92)&gt;0,"Hư hỏng","Bình thường")</f>
        <v>Bình thường</v>
      </c>
      <c r="L92" s="107">
        <v>0.7</v>
      </c>
      <c r="M92" s="182"/>
      <c r="N92" s="101" t="s">
        <v>530</v>
      </c>
      <c r="O92" s="110" t="s">
        <v>453</v>
      </c>
      <c r="P92" s="101">
        <v>2020</v>
      </c>
      <c r="Q92" s="101" t="s">
        <v>531</v>
      </c>
      <c r="R92" s="101" t="s">
        <v>852</v>
      </c>
      <c r="S92" s="110" t="s">
        <v>853</v>
      </c>
      <c r="T92" s="111">
        <v>133945</v>
      </c>
      <c r="U92" s="111">
        <v>7</v>
      </c>
      <c r="V92" s="895">
        <v>250</v>
      </c>
      <c r="W92" s="895"/>
      <c r="X92" s="895"/>
      <c r="Y92" s="895"/>
    </row>
    <row r="93" ht="13.5" customHeight="1" outlineLevel="1" spans="1:25">
      <c r="A93" s="103">
        <f t="shared" si="2"/>
        <v>10</v>
      </c>
      <c r="B93" s="104" t="str">
        <f t="shared" ref="B93:B96" si="3">C93</f>
        <v>CHT-XTA-008</v>
      </c>
      <c r="C93" s="104" t="s">
        <v>854</v>
      </c>
      <c r="D93" s="103" t="str">
        <f>IFERROR(VLOOKUP(B93,' 02.1 KLH-CN MÃ BRAVO MM'!$B:$C,2,0),"")</f>
        <v>ATT-A24-0062</v>
      </c>
      <c r="E93" s="103"/>
      <c r="F93" s="103" t="s">
        <v>451</v>
      </c>
      <c r="G93" s="102" t="s">
        <v>108</v>
      </c>
      <c r="H93" s="101" t="str">
        <f>VLOOKUP(G93,'01. TH'!$B:$E,3,0)</f>
        <v>6160 x 2330 x 2750</v>
      </c>
      <c r="I93" s="103" t="s">
        <v>27</v>
      </c>
      <c r="J93" s="112"/>
      <c r="K93" s="101" t="str">
        <f>IF(COUNTIF('TT BTSC'!$D:$D,B93)&gt;0,"Hư hỏng","Bình thường")</f>
        <v>Bình thường</v>
      </c>
      <c r="L93" s="113">
        <v>0.68</v>
      </c>
      <c r="M93" s="182"/>
      <c r="N93" s="103" t="s">
        <v>621</v>
      </c>
      <c r="O93" s="111" t="s">
        <v>500</v>
      </c>
      <c r="P93" s="103">
        <v>2020</v>
      </c>
      <c r="Q93" s="103" t="s">
        <v>719</v>
      </c>
      <c r="R93" s="103" t="s">
        <v>85</v>
      </c>
      <c r="S93" s="111" t="s">
        <v>855</v>
      </c>
      <c r="T93" s="111" t="s">
        <v>856</v>
      </c>
      <c r="U93" s="111">
        <v>0.4</v>
      </c>
      <c r="V93" s="895">
        <v>150</v>
      </c>
      <c r="W93" s="895"/>
      <c r="X93" s="895"/>
      <c r="Y93" s="895"/>
    </row>
    <row r="94" ht="13.5" customHeight="1" outlineLevel="1" spans="1:25">
      <c r="A94" s="103">
        <f t="shared" si="2"/>
        <v>11</v>
      </c>
      <c r="B94" s="102" t="str">
        <f t="shared" si="3"/>
        <v>CHT-XTA-011</v>
      </c>
      <c r="C94" s="102" t="s">
        <v>857</v>
      </c>
      <c r="D94" s="103" t="str">
        <f>IFERROR(VLOOKUP(B94,' 02.1 KLH-CN MÃ BRAVO MM'!$B:$C,2,0),"")</f>
        <v>ATT-A22-0171</v>
      </c>
      <c r="E94" s="103"/>
      <c r="F94" s="103" t="s">
        <v>451</v>
      </c>
      <c r="G94" s="102" t="s">
        <v>104</v>
      </c>
      <c r="H94" s="101" t="str">
        <f>VLOOKUP(G94,'01. TH'!$B:$E,3,0)</f>
        <v>9290 x 2500 x 3370</v>
      </c>
      <c r="I94" s="101" t="s">
        <v>27</v>
      </c>
      <c r="J94" s="105">
        <v>44198</v>
      </c>
      <c r="K94" s="101" t="str">
        <f>IF(COUNTIF('TT BTSC'!$D:$D,B94)&gt;0,"Hư hỏng","Bình thường")</f>
        <v>Bình thường</v>
      </c>
      <c r="L94" s="107">
        <v>0.32</v>
      </c>
      <c r="M94" s="183"/>
      <c r="N94" s="101" t="s">
        <v>499</v>
      </c>
      <c r="O94" s="110" t="s">
        <v>500</v>
      </c>
      <c r="P94" s="101">
        <v>2018</v>
      </c>
      <c r="Q94" s="101" t="s">
        <v>501</v>
      </c>
      <c r="R94" s="101" t="s">
        <v>105</v>
      </c>
      <c r="S94" s="110" t="s">
        <v>858</v>
      </c>
      <c r="T94" s="111" t="s">
        <v>859</v>
      </c>
      <c r="U94" s="111">
        <v>1.41</v>
      </c>
      <c r="V94" s="895">
        <v>300</v>
      </c>
      <c r="W94" s="895"/>
      <c r="X94" s="895"/>
      <c r="Y94" s="895"/>
    </row>
    <row r="95" ht="13.5" customHeight="1" outlineLevel="1" spans="1:25">
      <c r="A95" s="103">
        <f t="shared" si="2"/>
        <v>12</v>
      </c>
      <c r="B95" s="104" t="str">
        <f t="shared" si="3"/>
        <v>CHT-XTA-012</v>
      </c>
      <c r="C95" s="104" t="s">
        <v>860</v>
      </c>
      <c r="D95" s="103" t="str">
        <f>IFERROR(VLOOKUP(B95,' 02.1 KLH-CN MÃ BRAVO MM'!$B:$C,2,0),"")</f>
        <v>ATT-A22-0171</v>
      </c>
      <c r="E95" s="103"/>
      <c r="F95" s="103" t="s">
        <v>451</v>
      </c>
      <c r="G95" s="104" t="s">
        <v>104</v>
      </c>
      <c r="H95" s="101" t="str">
        <f>VLOOKUP(G95,'01. TH'!$B:$E,3,0)</f>
        <v>9290 x 2500 x 3370</v>
      </c>
      <c r="I95" s="103" t="s">
        <v>27</v>
      </c>
      <c r="J95" s="112">
        <v>44198</v>
      </c>
      <c r="K95" s="101" t="str">
        <f>IF(COUNTIF('TT BTSC'!$D:$D,B95)&gt;0,"Hư hỏng","Bình thường")</f>
        <v>Bình thường</v>
      </c>
      <c r="L95" s="103"/>
      <c r="M95" s="182"/>
      <c r="N95" s="103" t="s">
        <v>499</v>
      </c>
      <c r="O95" s="111" t="s">
        <v>500</v>
      </c>
      <c r="P95" s="103">
        <v>2018</v>
      </c>
      <c r="Q95" s="101" t="s">
        <v>501</v>
      </c>
      <c r="R95" s="103" t="s">
        <v>105</v>
      </c>
      <c r="S95" s="111" t="s">
        <v>861</v>
      </c>
      <c r="T95" s="111" t="s">
        <v>862</v>
      </c>
      <c r="U95" s="111">
        <v>1.41</v>
      </c>
      <c r="V95" s="895">
        <v>300</v>
      </c>
      <c r="W95" s="895"/>
      <c r="X95" s="895"/>
      <c r="Y95" s="895"/>
    </row>
    <row r="96" ht="13.5" customHeight="1" outlineLevel="1" spans="1:25">
      <c r="A96" s="103">
        <f t="shared" si="2"/>
        <v>13</v>
      </c>
      <c r="B96" s="104" t="str">
        <f t="shared" si="3"/>
        <v>CHT-XBO-003</v>
      </c>
      <c r="C96" s="104" t="s">
        <v>863</v>
      </c>
      <c r="D96" s="103" t="str">
        <f>IFERROR(VLOOKUP(B96,' 02.1 KLH-CN MÃ BRAVO MM'!$B:$C,2,0),"")</f>
        <v>ATT-A22-0230</v>
      </c>
      <c r="E96" s="103"/>
      <c r="F96" s="103" t="s">
        <v>451</v>
      </c>
      <c r="G96" s="104" t="s">
        <v>133</v>
      </c>
      <c r="H96" s="101" t="str">
        <f>VLOOKUP(G96,'01. TH'!$B:$E,3,0)</f>
        <v>9290 x 2500 x 3370</v>
      </c>
      <c r="I96" s="103" t="s">
        <v>27</v>
      </c>
      <c r="J96" s="112">
        <v>44198</v>
      </c>
      <c r="K96" s="101" t="str">
        <f>IF(COUNTIF('TT BTSC'!$D:$D,B96)&gt;0,"Hư hỏng","Bình thường")</f>
        <v>Bình thường</v>
      </c>
      <c r="L96" s="113">
        <v>0.69</v>
      </c>
      <c r="M96" s="183"/>
      <c r="N96" s="103" t="s">
        <v>499</v>
      </c>
      <c r="O96" s="111" t="s">
        <v>500</v>
      </c>
      <c r="P96" s="103">
        <v>2019</v>
      </c>
      <c r="Q96" s="103" t="s">
        <v>864</v>
      </c>
      <c r="R96" s="103" t="s">
        <v>134</v>
      </c>
      <c r="S96" s="111" t="s">
        <v>865</v>
      </c>
      <c r="T96" s="111" t="s">
        <v>866</v>
      </c>
      <c r="U96" s="111">
        <v>0.6</v>
      </c>
      <c r="V96" s="895">
        <v>300</v>
      </c>
      <c r="W96" s="895"/>
      <c r="X96" s="895"/>
      <c r="Y96" s="895"/>
    </row>
    <row r="97" ht="13.5" customHeight="1" outlineLevel="1" spans="1:25">
      <c r="A97" s="103">
        <f t="shared" si="2"/>
        <v>14</v>
      </c>
      <c r="B97" s="102" t="s">
        <v>867</v>
      </c>
      <c r="C97" s="102" t="s">
        <v>867</v>
      </c>
      <c r="D97" s="103" t="str">
        <f>IFERROR(VLOOKUP(B97,' 02.1 KLH-CN MÃ BRAVO MM'!$B:$C,2,0),"")</f>
        <v>ATM-A22-0086</v>
      </c>
      <c r="E97" s="103"/>
      <c r="F97" s="103" t="s">
        <v>451</v>
      </c>
      <c r="G97" s="102" t="s">
        <v>53</v>
      </c>
      <c r="H97" s="101" t="str">
        <f>VLOOKUP(G97,'01. TH'!$B:$E,3,0)</f>
        <v>9460 x 2800 x 3200</v>
      </c>
      <c r="I97" s="101" t="s">
        <v>27</v>
      </c>
      <c r="J97" s="105">
        <v>44287</v>
      </c>
      <c r="K97" s="101" t="str">
        <f>IF(COUNTIF('TT BTSC'!$D:$D,B97)&gt;0,"Hư hỏng","Bình thường")</f>
        <v>Bình thường</v>
      </c>
      <c r="L97" s="107">
        <v>0.7</v>
      </c>
      <c r="M97" s="183"/>
      <c r="N97" s="101" t="s">
        <v>458</v>
      </c>
      <c r="O97" s="110" t="s">
        <v>453</v>
      </c>
      <c r="P97" s="101">
        <v>2021</v>
      </c>
      <c r="Q97" s="101" t="s">
        <v>472</v>
      </c>
      <c r="R97" s="101" t="s">
        <v>54</v>
      </c>
      <c r="S97" s="110" t="s">
        <v>868</v>
      </c>
      <c r="T97" s="111">
        <v>816364</v>
      </c>
      <c r="U97" s="111">
        <v>13</v>
      </c>
      <c r="V97" s="895">
        <v>410</v>
      </c>
      <c r="W97" s="895"/>
      <c r="X97" s="895"/>
      <c r="Y97" s="895"/>
    </row>
    <row r="98" ht="13.5" customHeight="1" outlineLevel="1" spans="1:25">
      <c r="A98" s="103">
        <f t="shared" si="2"/>
        <v>15</v>
      </c>
      <c r="B98" s="102" t="s">
        <v>869</v>
      </c>
      <c r="C98" s="102" t="s">
        <v>869</v>
      </c>
      <c r="D98" s="103" t="str">
        <f>IFERROR(VLOOKUP(B98,' 02.1 KLH-CN MÃ BRAVO MM'!$B:$C,2,0),"")</f>
        <v>ATT-A22-0143</v>
      </c>
      <c r="E98" s="103"/>
      <c r="F98" s="103" t="s">
        <v>451</v>
      </c>
      <c r="G98" s="102" t="s">
        <v>53</v>
      </c>
      <c r="H98" s="101" t="str">
        <f>VLOOKUP(G98,'01. TH'!$B:$E,3,0)</f>
        <v>9460 x 2800 x 3200</v>
      </c>
      <c r="I98" s="101" t="s">
        <v>27</v>
      </c>
      <c r="J98" s="105"/>
      <c r="K98" s="101" t="str">
        <f>IF(COUNTIF('TT BTSC'!$D:$D,B98)&gt;0,"Hư hỏng","Bình thường")</f>
        <v>Bình thường</v>
      </c>
      <c r="L98" s="107">
        <v>0.66</v>
      </c>
      <c r="M98" s="182"/>
      <c r="N98" s="101" t="s">
        <v>458</v>
      </c>
      <c r="O98" s="110" t="s">
        <v>453</v>
      </c>
      <c r="P98" s="101">
        <v>2020</v>
      </c>
      <c r="Q98" s="101" t="s">
        <v>472</v>
      </c>
      <c r="R98" s="101" t="s">
        <v>460</v>
      </c>
      <c r="S98" s="110" t="s">
        <v>870</v>
      </c>
      <c r="T98" s="111">
        <v>800456</v>
      </c>
      <c r="U98" s="111">
        <v>15</v>
      </c>
      <c r="V98" s="895">
        <v>410</v>
      </c>
      <c r="W98" s="895"/>
      <c r="X98" s="895"/>
      <c r="Y98" s="895"/>
    </row>
    <row r="99" ht="13.5" customHeight="1" outlineLevel="1" spans="1:25">
      <c r="A99" s="103">
        <f t="shared" si="2"/>
        <v>16</v>
      </c>
      <c r="B99" s="102" t="s">
        <v>871</v>
      </c>
      <c r="C99" s="102" t="s">
        <v>871</v>
      </c>
      <c r="D99" s="103" t="str">
        <f>IFERROR(VLOOKUP(B99,' 02.1 KLH-CN MÃ BRAVO MM'!$B:$C,2,0),"")</f>
        <v>ATT-A22-0120</v>
      </c>
      <c r="E99" s="103"/>
      <c r="F99" s="103" t="s">
        <v>451</v>
      </c>
      <c r="G99" s="102" t="s">
        <v>43</v>
      </c>
      <c r="H99" s="101" t="str">
        <f>VLOOKUP(G99,'01. TH'!$B:$E,3,0)</f>
        <v>7235 x 2496 x 3351</v>
      </c>
      <c r="I99" s="101" t="s">
        <v>27</v>
      </c>
      <c r="J99" s="101" t="s">
        <v>872</v>
      </c>
      <c r="K99" s="101" t="str">
        <f>IF(COUNTIF('TT BTSC'!$D:$D,B99)&gt;0,"Hư hỏng","Bình thường")</f>
        <v>Bình thường</v>
      </c>
      <c r="L99" s="101"/>
      <c r="M99" s="182"/>
      <c r="N99" s="101" t="s">
        <v>464</v>
      </c>
      <c r="O99" s="110" t="s">
        <v>465</v>
      </c>
      <c r="P99" s="101">
        <v>2020</v>
      </c>
      <c r="Q99" s="101" t="s">
        <v>466</v>
      </c>
      <c r="R99" s="101" t="s">
        <v>467</v>
      </c>
      <c r="S99" s="110" t="s">
        <v>873</v>
      </c>
      <c r="T99" s="111" t="s">
        <v>874</v>
      </c>
      <c r="U99" s="111">
        <v>10</v>
      </c>
      <c r="V99" s="895">
        <v>280</v>
      </c>
      <c r="W99" s="895"/>
      <c r="X99" s="895"/>
      <c r="Y99" s="895"/>
    </row>
    <row r="100" ht="13.5" customHeight="1" outlineLevel="1" spans="1:25">
      <c r="A100" s="103">
        <f t="shared" si="2"/>
        <v>17</v>
      </c>
      <c r="B100" s="102" t="s">
        <v>875</v>
      </c>
      <c r="C100" s="102" t="s">
        <v>875</v>
      </c>
      <c r="D100" s="103" t="str">
        <f>IFERROR(VLOOKUP(B100,' 02.1 KLH-CN MÃ BRAVO MM'!$B:$C,2,0),"")</f>
        <v>ATT-A22-0120</v>
      </c>
      <c r="E100" s="103"/>
      <c r="F100" s="103" t="s">
        <v>451</v>
      </c>
      <c r="G100" s="102" t="s">
        <v>43</v>
      </c>
      <c r="H100" s="101" t="str">
        <f>VLOOKUP(G100,'01. TH'!$B:$E,3,0)</f>
        <v>7235 x 2496 x 3351</v>
      </c>
      <c r="I100" s="101" t="s">
        <v>27</v>
      </c>
      <c r="J100" s="101" t="s">
        <v>872</v>
      </c>
      <c r="K100" s="101" t="str">
        <f>IF(COUNTIF('TT BTSC'!$D:$D,B100)&gt;0,"Hư hỏng","Bình thường")</f>
        <v>Bình thường</v>
      </c>
      <c r="L100" s="101"/>
      <c r="M100" s="182"/>
      <c r="N100" s="101" t="s">
        <v>464</v>
      </c>
      <c r="O100" s="110" t="s">
        <v>465</v>
      </c>
      <c r="P100" s="101">
        <v>2020</v>
      </c>
      <c r="Q100" s="101" t="s">
        <v>466</v>
      </c>
      <c r="R100" s="101" t="s">
        <v>467</v>
      </c>
      <c r="S100" s="110" t="s">
        <v>876</v>
      </c>
      <c r="T100" s="111" t="s">
        <v>877</v>
      </c>
      <c r="U100" s="111">
        <v>10</v>
      </c>
      <c r="V100" s="895">
        <v>280</v>
      </c>
      <c r="W100" s="895"/>
      <c r="X100" s="895"/>
      <c r="Y100" s="895"/>
    </row>
    <row r="101" ht="13.5" customHeight="1" outlineLevel="1" spans="1:25">
      <c r="A101" s="103">
        <f t="shared" si="2"/>
        <v>18</v>
      </c>
      <c r="B101" s="104" t="s">
        <v>878</v>
      </c>
      <c r="C101" s="104" t="s">
        <v>879</v>
      </c>
      <c r="D101" s="103" t="str">
        <f>IFERROR(VLOOKUP(B101,' 02.1 KLH-CN MÃ BRAVO MM'!$B:$C,2,0),"")</f>
        <v>ATT-A22-0240</v>
      </c>
      <c r="E101" s="103"/>
      <c r="F101" s="103" t="s">
        <v>451</v>
      </c>
      <c r="G101" s="104" t="s">
        <v>149</v>
      </c>
      <c r="H101" s="101" t="str">
        <f>VLOOKUP(G101,'01. TH'!$B:$E,3,0)</f>
        <v>11825 x 2500 x 3720</v>
      </c>
      <c r="I101" s="103" t="s">
        <v>27</v>
      </c>
      <c r="J101" s="112">
        <v>44317</v>
      </c>
      <c r="K101" s="101" t="str">
        <f>IF(COUNTIF('TT BTSC'!$D:$D,B101)&gt;0,"Hư hỏng","Bình thường")</f>
        <v>Bình thường</v>
      </c>
      <c r="L101" s="113">
        <v>0.74</v>
      </c>
      <c r="M101" s="183"/>
      <c r="N101" s="103" t="s">
        <v>499</v>
      </c>
      <c r="O101" s="111" t="s">
        <v>880</v>
      </c>
      <c r="P101" s="1092" t="s">
        <v>881</v>
      </c>
      <c r="Q101" s="103" t="s">
        <v>882</v>
      </c>
      <c r="R101" s="103" t="s">
        <v>134</v>
      </c>
      <c r="S101" s="111" t="s">
        <v>883</v>
      </c>
      <c r="T101" s="111" t="s">
        <v>884</v>
      </c>
      <c r="U101" s="111">
        <v>0.65</v>
      </c>
      <c r="V101" s="895">
        <v>260</v>
      </c>
      <c r="W101" s="895"/>
      <c r="X101" s="895"/>
      <c r="Y101" s="895"/>
    </row>
    <row r="102" ht="13.5" customHeight="1" outlineLevel="1" spans="1:25">
      <c r="A102" s="103">
        <f t="shared" si="2"/>
        <v>19</v>
      </c>
      <c r="B102" s="102" t="s">
        <v>885</v>
      </c>
      <c r="C102" s="102" t="s">
        <v>886</v>
      </c>
      <c r="D102" s="103" t="str">
        <f>IFERROR(VLOOKUP(B102,' 02.1 KLH-CN MÃ BRAVO MM'!$B:$C,2,0),"")</f>
        <v>ATT-A22-0231</v>
      </c>
      <c r="E102" s="103"/>
      <c r="F102" s="103" t="s">
        <v>451</v>
      </c>
      <c r="G102" s="102" t="s">
        <v>49</v>
      </c>
      <c r="H102" s="101" t="str">
        <f>VLOOKUP(G102,'01. TH'!$B:$E,3,0)</f>
        <v>5260 x 1760 x 2415</v>
      </c>
      <c r="I102" s="101" t="s">
        <v>27</v>
      </c>
      <c r="J102" s="105">
        <v>44199</v>
      </c>
      <c r="K102" s="101" t="str">
        <f>IF(COUNTIF('TT BTSC'!$D:$D,B102)&gt;0,"Hư hỏng","Bình thường")</f>
        <v>Bình thường</v>
      </c>
      <c r="L102" s="107">
        <v>0.69</v>
      </c>
      <c r="M102" s="182" t="s">
        <v>887</v>
      </c>
      <c r="N102" s="101" t="s">
        <v>480</v>
      </c>
      <c r="O102" s="110" t="s">
        <v>453</v>
      </c>
      <c r="P102" s="101">
        <v>2014</v>
      </c>
      <c r="Q102" s="101" t="s">
        <v>556</v>
      </c>
      <c r="R102" s="101" t="s">
        <v>767</v>
      </c>
      <c r="S102" s="110" t="s">
        <v>888</v>
      </c>
      <c r="T102" s="111">
        <v>32816</v>
      </c>
      <c r="U102" s="160">
        <v>4</v>
      </c>
      <c r="V102" s="895">
        <v>60</v>
      </c>
      <c r="W102" s="895"/>
      <c r="X102" s="895"/>
      <c r="Y102" s="895"/>
    </row>
    <row r="103" ht="25.5" customHeight="1" outlineLevel="1" spans="1:25">
      <c r="A103" s="103">
        <f t="shared" si="2"/>
        <v>20</v>
      </c>
      <c r="B103" s="102" t="s">
        <v>889</v>
      </c>
      <c r="C103" s="102" t="s">
        <v>890</v>
      </c>
      <c r="D103" s="103" t="str">
        <f>IFERROR(VLOOKUP(B103,' 02.1 KLH-CN MÃ BRAVO MM'!$B:$C,2,0),"")</f>
        <v>ATM-A22-0018</v>
      </c>
      <c r="E103" s="103"/>
      <c r="F103" s="103" t="s">
        <v>451</v>
      </c>
      <c r="G103" s="102" t="s">
        <v>55</v>
      </c>
      <c r="H103" s="101" t="str">
        <f>VLOOKUP(G103,'01. TH'!$B:$E,3,0)</f>
        <v>4749 x 1700 x 2470</v>
      </c>
      <c r="I103" s="101" t="s">
        <v>27</v>
      </c>
      <c r="J103" s="105"/>
      <c r="K103" s="101" t="str">
        <f>IF(COUNTIF('TT BTSC'!$D:$D,B103)&gt;0,"Hư hỏng","Bình thường")</f>
        <v>Bình thường</v>
      </c>
      <c r="L103" s="113">
        <v>0.4</v>
      </c>
      <c r="M103" s="182" t="s">
        <v>891</v>
      </c>
      <c r="N103" s="101" t="s">
        <v>759</v>
      </c>
      <c r="O103" s="111" t="s">
        <v>453</v>
      </c>
      <c r="P103" s="101">
        <v>2015</v>
      </c>
      <c r="Q103" s="101" t="s">
        <v>760</v>
      </c>
      <c r="R103" s="101" t="s">
        <v>761</v>
      </c>
      <c r="S103" s="110" t="s">
        <v>892</v>
      </c>
      <c r="T103" s="111" t="s">
        <v>893</v>
      </c>
      <c r="U103" s="160">
        <v>4</v>
      </c>
      <c r="V103" s="895">
        <v>40</v>
      </c>
      <c r="W103" s="895"/>
      <c r="X103" s="895"/>
      <c r="Y103" s="895"/>
    </row>
    <row r="104" ht="25.5" customHeight="1" outlineLevel="1" spans="1:25">
      <c r="A104" s="103">
        <f t="shared" si="2"/>
        <v>21</v>
      </c>
      <c r="B104" s="102" t="s">
        <v>894</v>
      </c>
      <c r="C104" s="102" t="s">
        <v>895</v>
      </c>
      <c r="D104" s="103" t="str">
        <f>IFERROR(VLOOKUP(B104,' 02.1 KLH-CN MÃ BRAVO MM'!$B:$C,2,0),"")</f>
        <v>ATM-A22-0018</v>
      </c>
      <c r="E104" s="103"/>
      <c r="F104" s="103" t="s">
        <v>451</v>
      </c>
      <c r="G104" s="102" t="s">
        <v>55</v>
      </c>
      <c r="H104" s="101" t="str">
        <f>VLOOKUP(G104,'01. TH'!$B:$E,3,0)</f>
        <v>4749 x 1700 x 2470</v>
      </c>
      <c r="I104" s="101" t="s">
        <v>27</v>
      </c>
      <c r="J104" s="105"/>
      <c r="K104" s="101" t="str">
        <f>IF(COUNTIF('TT BTSC'!$D:$D,B104)&gt;0,"Hư hỏng","Bình thường")</f>
        <v>Bình thường</v>
      </c>
      <c r="L104" s="113">
        <v>0.4</v>
      </c>
      <c r="M104" s="182" t="s">
        <v>891</v>
      </c>
      <c r="N104" s="101" t="s">
        <v>759</v>
      </c>
      <c r="O104" s="111" t="s">
        <v>453</v>
      </c>
      <c r="P104" s="101">
        <v>2015</v>
      </c>
      <c r="Q104" s="101" t="s">
        <v>760</v>
      </c>
      <c r="R104" s="101" t="s">
        <v>761</v>
      </c>
      <c r="S104" s="110" t="s">
        <v>896</v>
      </c>
      <c r="T104" s="111" t="s">
        <v>897</v>
      </c>
      <c r="U104" s="160">
        <v>4</v>
      </c>
      <c r="V104" s="895">
        <v>40</v>
      </c>
      <c r="W104" s="895"/>
      <c r="X104" s="895"/>
      <c r="Y104" s="895"/>
    </row>
    <row r="105" ht="24" customHeight="1" outlineLevel="1" spans="1:25">
      <c r="A105" s="103">
        <f t="shared" si="2"/>
        <v>22</v>
      </c>
      <c r="B105" s="104" t="s">
        <v>898</v>
      </c>
      <c r="C105" s="104" t="s">
        <v>899</v>
      </c>
      <c r="D105" s="103" t="str">
        <f>IFERROR(VLOOKUP(B105,' 02.1 KLH-CN MÃ BRAVO MM'!$B:$C,2,0),"")</f>
        <v>A22-MĐA-061</v>
      </c>
      <c r="E105" s="103"/>
      <c r="F105" s="103" t="s">
        <v>451</v>
      </c>
      <c r="G105" s="104" t="s">
        <v>55</v>
      </c>
      <c r="H105" s="101" t="str">
        <f>VLOOKUP(G105,'01. TH'!$B:$E,3,0)</f>
        <v>4749 x 1700 x 2470</v>
      </c>
      <c r="I105" s="101" t="s">
        <v>27</v>
      </c>
      <c r="J105" s="112">
        <v>45512</v>
      </c>
      <c r="K105" s="101" t="str">
        <f>IF(COUNTIF('TT BTSC'!$D:$D,B105)&gt;0,"Hư hỏng","Bình thường")</f>
        <v>Bình thường</v>
      </c>
      <c r="L105" s="113">
        <v>0.4</v>
      </c>
      <c r="M105" s="182" t="s">
        <v>900</v>
      </c>
      <c r="N105" s="103" t="s">
        <v>759</v>
      </c>
      <c r="O105" s="111" t="s">
        <v>453</v>
      </c>
      <c r="P105" s="103">
        <v>2015</v>
      </c>
      <c r="Q105" s="103" t="s">
        <v>760</v>
      </c>
      <c r="R105" s="103" t="s">
        <v>761</v>
      </c>
      <c r="S105" s="111" t="s">
        <v>901</v>
      </c>
      <c r="T105" s="111" t="s">
        <v>902</v>
      </c>
      <c r="U105" s="160">
        <v>4</v>
      </c>
      <c r="V105" s="895">
        <v>40</v>
      </c>
      <c r="W105" s="895"/>
      <c r="X105" s="895"/>
      <c r="Y105" s="895"/>
    </row>
    <row r="106" ht="13.5" customHeight="1" outlineLevel="1" spans="1:25">
      <c r="A106" s="103">
        <f t="shared" si="2"/>
        <v>23</v>
      </c>
      <c r="B106" s="124" t="s">
        <v>903</v>
      </c>
      <c r="C106" s="124" t="s">
        <v>492</v>
      </c>
      <c r="D106" s="157" t="s">
        <v>904</v>
      </c>
      <c r="E106" s="157"/>
      <c r="F106" s="157" t="s">
        <v>492</v>
      </c>
      <c r="G106" s="124" t="s">
        <v>49</v>
      </c>
      <c r="H106" s="101" t="str">
        <f>VLOOKUP(G106,'01. TH'!$B:$E,3,0)</f>
        <v>5260 x 1760 x 2415</v>
      </c>
      <c r="I106" s="103" t="s">
        <v>27</v>
      </c>
      <c r="J106" s="148">
        <v>45963</v>
      </c>
      <c r="K106" s="101" t="str">
        <f>IF(COUNTIF('TT BTSC'!$D:$D,B106)&gt;0,"Hư hỏng","Bình thường")</f>
        <v>Bình thường</v>
      </c>
      <c r="L106" s="899"/>
      <c r="M106" s="900" t="s">
        <v>837</v>
      </c>
      <c r="N106" s="157" t="s">
        <v>480</v>
      </c>
      <c r="O106" s="160" t="s">
        <v>555</v>
      </c>
      <c r="P106" s="157">
        <v>2012</v>
      </c>
      <c r="Q106" s="157" t="s">
        <v>569</v>
      </c>
      <c r="R106" s="157" t="s">
        <v>557</v>
      </c>
      <c r="S106" s="160" t="s">
        <v>905</v>
      </c>
      <c r="T106" s="160">
        <v>26018</v>
      </c>
      <c r="U106" s="160">
        <v>4</v>
      </c>
      <c r="V106" s="895">
        <v>65</v>
      </c>
      <c r="W106" s="895"/>
      <c r="X106" s="895"/>
      <c r="Y106" s="895"/>
    </row>
    <row r="107" ht="13.5" customHeight="1" outlineLevel="1" spans="1:25">
      <c r="A107" s="103">
        <f t="shared" si="2"/>
        <v>24</v>
      </c>
      <c r="B107" s="104" t="s">
        <v>906</v>
      </c>
      <c r="C107" s="124" t="s">
        <v>492</v>
      </c>
      <c r="D107" s="103" t="s">
        <v>907</v>
      </c>
      <c r="E107" s="103"/>
      <c r="F107" s="157" t="s">
        <v>492</v>
      </c>
      <c r="G107" s="104" t="s">
        <v>49</v>
      </c>
      <c r="H107" s="101" t="str">
        <f>VLOOKUP(G107,'01. TH'!$B:$E,3,0)</f>
        <v>5260 x 1760 x 2415</v>
      </c>
      <c r="I107" s="101" t="s">
        <v>27</v>
      </c>
      <c r="J107" s="112">
        <v>45660</v>
      </c>
      <c r="K107" s="101" t="str">
        <f>IF(COUNTIF('TT BTSC'!$D:$D,B107)&gt;0,"Hư hỏng","Bình thường")</f>
        <v>Bình thường</v>
      </c>
      <c r="L107" s="113"/>
      <c r="M107" s="900" t="s">
        <v>908</v>
      </c>
      <c r="N107" s="103" t="s">
        <v>480</v>
      </c>
      <c r="O107" s="111" t="s">
        <v>453</v>
      </c>
      <c r="P107" s="103">
        <v>2012</v>
      </c>
      <c r="Q107" s="103" t="s">
        <v>569</v>
      </c>
      <c r="R107" s="157" t="s">
        <v>557</v>
      </c>
      <c r="S107" s="111" t="s">
        <v>909</v>
      </c>
      <c r="T107" s="111">
        <v>25186</v>
      </c>
      <c r="U107" s="160">
        <v>4</v>
      </c>
      <c r="V107" s="895">
        <v>65</v>
      </c>
      <c r="W107" s="895"/>
      <c r="X107" s="895"/>
      <c r="Y107" s="895"/>
    </row>
    <row r="108" ht="13.5" customHeight="1" outlineLevel="1" spans="1:25">
      <c r="A108" s="103">
        <f t="shared" si="2"/>
        <v>25</v>
      </c>
      <c r="B108" s="104" t="s">
        <v>910</v>
      </c>
      <c r="C108" s="124" t="s">
        <v>492</v>
      </c>
      <c r="D108" s="103" t="s">
        <v>911</v>
      </c>
      <c r="E108" s="103"/>
      <c r="F108" s="157" t="s">
        <v>492</v>
      </c>
      <c r="G108" s="124" t="s">
        <v>50</v>
      </c>
      <c r="H108" s="101" t="str">
        <f>VLOOKUP(G108,'01. TH'!$B:$E,3,0)</f>
        <v>8700 x 2800 x 3010</v>
      </c>
      <c r="I108" s="101" t="s">
        <v>27</v>
      </c>
      <c r="J108" s="112">
        <v>45660</v>
      </c>
      <c r="K108" s="101" t="str">
        <f>IF(COUNTIF('TT BTSC'!$D:$D,B108)&gt;0,"Hư hỏng","Bình thường")</f>
        <v>Bình thường</v>
      </c>
      <c r="L108" s="113"/>
      <c r="M108" s="900" t="s">
        <v>908</v>
      </c>
      <c r="N108" s="103" t="s">
        <v>480</v>
      </c>
      <c r="O108" s="111" t="s">
        <v>453</v>
      </c>
      <c r="P108" s="103">
        <v>2012</v>
      </c>
      <c r="Q108" s="103" t="s">
        <v>794</v>
      </c>
      <c r="R108" s="103" t="s">
        <v>48</v>
      </c>
      <c r="S108" s="111" t="s">
        <v>912</v>
      </c>
      <c r="T108" s="111" t="s">
        <v>913</v>
      </c>
      <c r="U108" s="111">
        <v>14</v>
      </c>
      <c r="V108" s="895">
        <v>400</v>
      </c>
      <c r="W108" s="895"/>
      <c r="X108" s="895"/>
      <c r="Y108" s="895"/>
    </row>
    <row r="109" ht="13.5" customHeight="1" outlineLevel="1" spans="1:25">
      <c r="A109" s="103">
        <f t="shared" si="2"/>
        <v>26</v>
      </c>
      <c r="B109" s="104" t="s">
        <v>914</v>
      </c>
      <c r="C109" s="104" t="s">
        <v>504</v>
      </c>
      <c r="D109" s="103" t="s">
        <v>915</v>
      </c>
      <c r="E109" s="103" t="s">
        <v>916</v>
      </c>
      <c r="F109" s="103" t="s">
        <v>504</v>
      </c>
      <c r="G109" s="104" t="s">
        <v>113</v>
      </c>
      <c r="H109" s="101" t="str">
        <f>VLOOKUP(G109,'01. TH'!$B:$E,3,0)</f>
        <v>7800 x 2500 x 3480</v>
      </c>
      <c r="I109" s="101" t="s">
        <v>27</v>
      </c>
      <c r="J109" s="112">
        <v>45661</v>
      </c>
      <c r="K109" s="101" t="str">
        <f>IF(COUNTIF('TT BTSC'!$D:$D,B109)&gt;0,"Hư hỏng","Bình thường")</f>
        <v>Bình thường</v>
      </c>
      <c r="L109" s="113"/>
      <c r="M109" s="900" t="s">
        <v>917</v>
      </c>
      <c r="N109" s="103" t="s">
        <v>508</v>
      </c>
      <c r="O109" s="111" t="s">
        <v>500</v>
      </c>
      <c r="P109" s="103">
        <v>2022</v>
      </c>
      <c r="Q109" s="103" t="s">
        <v>509</v>
      </c>
      <c r="R109" s="103" t="s">
        <v>114</v>
      </c>
      <c r="S109" s="111" t="s">
        <v>918</v>
      </c>
      <c r="T109" s="111" t="s">
        <v>919</v>
      </c>
      <c r="U109" s="111">
        <v>0.9</v>
      </c>
      <c r="V109" s="895">
        <v>300</v>
      </c>
      <c r="W109" s="895"/>
      <c r="X109" s="895"/>
      <c r="Y109" s="895"/>
    </row>
    <row r="110" ht="13.5" customHeight="1" outlineLevel="1" spans="1:25">
      <c r="A110" s="103">
        <f t="shared" si="2"/>
        <v>27</v>
      </c>
      <c r="B110" s="104" t="s">
        <v>920</v>
      </c>
      <c r="C110" s="104" t="s">
        <v>504</v>
      </c>
      <c r="D110" s="103" t="s">
        <v>921</v>
      </c>
      <c r="E110" s="103" t="s">
        <v>922</v>
      </c>
      <c r="F110" s="103" t="s">
        <v>504</v>
      </c>
      <c r="G110" s="104" t="s">
        <v>113</v>
      </c>
      <c r="H110" s="101" t="str">
        <f>VLOOKUP(G110,'01. TH'!$B:$E,3,0)</f>
        <v>7800 x 2500 x 3480</v>
      </c>
      <c r="I110" s="101" t="s">
        <v>27</v>
      </c>
      <c r="J110" s="112">
        <v>45661</v>
      </c>
      <c r="K110" s="101" t="str">
        <f>IF(COUNTIF('TT BTSC'!$D:$D,B110)&gt;0,"Hư hỏng","Bình thường")</f>
        <v>Bình thường</v>
      </c>
      <c r="L110" s="113"/>
      <c r="M110" s="900" t="s">
        <v>917</v>
      </c>
      <c r="N110" s="103" t="s">
        <v>508</v>
      </c>
      <c r="O110" s="111" t="s">
        <v>500</v>
      </c>
      <c r="P110" s="103">
        <v>2022</v>
      </c>
      <c r="Q110" s="103" t="s">
        <v>509</v>
      </c>
      <c r="R110" s="103" t="s">
        <v>114</v>
      </c>
      <c r="S110" s="111" t="s">
        <v>923</v>
      </c>
      <c r="T110" s="111" t="s">
        <v>924</v>
      </c>
      <c r="U110" s="111">
        <v>0.9</v>
      </c>
      <c r="V110" s="895">
        <v>300</v>
      </c>
      <c r="W110" s="895"/>
      <c r="X110" s="895"/>
      <c r="Y110" s="895"/>
    </row>
    <row r="111" ht="30.75" customHeight="1" outlineLevel="1" spans="1:25">
      <c r="A111" s="103">
        <f t="shared" si="2"/>
        <v>28</v>
      </c>
      <c r="B111" s="102" t="s">
        <v>925</v>
      </c>
      <c r="C111" s="124" t="s">
        <v>504</v>
      </c>
      <c r="D111" s="103" t="s">
        <v>926</v>
      </c>
      <c r="E111" s="103" t="s">
        <v>927</v>
      </c>
      <c r="F111" s="103" t="s">
        <v>504</v>
      </c>
      <c r="G111" s="102" t="s">
        <v>113</v>
      </c>
      <c r="H111" s="101" t="str">
        <f>VLOOKUP(G111,'01. TH'!$B:$E,3,0)</f>
        <v>7800 x 2500 x 3480</v>
      </c>
      <c r="I111" s="101" t="s">
        <v>27</v>
      </c>
      <c r="J111" s="105">
        <v>45749</v>
      </c>
      <c r="K111" s="101" t="str">
        <f>IF(COUNTIF('TT BTSC'!$D:$D,B111)&gt;0,"Hư hỏng","Bình thường")</f>
        <v>Bình thường</v>
      </c>
      <c r="L111" s="107"/>
      <c r="M111" s="182" t="s">
        <v>928</v>
      </c>
      <c r="N111" s="101" t="s">
        <v>508</v>
      </c>
      <c r="O111" s="110" t="s">
        <v>500</v>
      </c>
      <c r="P111" s="101">
        <v>2022</v>
      </c>
      <c r="Q111" s="101" t="s">
        <v>509</v>
      </c>
      <c r="R111" s="101" t="s">
        <v>114</v>
      </c>
      <c r="S111" s="110" t="s">
        <v>929</v>
      </c>
      <c r="T111" s="111" t="s">
        <v>930</v>
      </c>
      <c r="U111" s="111">
        <v>0.9</v>
      </c>
      <c r="V111" s="895">
        <v>300</v>
      </c>
      <c r="W111" s="895"/>
      <c r="X111" s="895"/>
      <c r="Y111" s="895"/>
    </row>
    <row r="112" ht="28.5" customHeight="1" outlineLevel="1" spans="1:25">
      <c r="A112" s="103">
        <f t="shared" si="2"/>
        <v>29</v>
      </c>
      <c r="B112" s="104" t="s">
        <v>931</v>
      </c>
      <c r="C112" s="124" t="s">
        <v>492</v>
      </c>
      <c r="D112" s="103" t="s">
        <v>932</v>
      </c>
      <c r="E112" s="103"/>
      <c r="F112" s="124" t="s">
        <v>492</v>
      </c>
      <c r="G112" s="104" t="s">
        <v>70</v>
      </c>
      <c r="H112" s="101" t="str">
        <f>VLOOKUP(G112,'01. TH'!$B:$E,3,0)</f>
        <v>8420 x 2375 x 3240</v>
      </c>
      <c r="I112" s="103" t="s">
        <v>27</v>
      </c>
      <c r="J112" s="103" t="s">
        <v>494</v>
      </c>
      <c r="K112" s="101" t="str">
        <f>IF(COUNTIF('TT BTSC'!$D:$D,B112)&gt;0,"Hư hỏng","Bình thường")</f>
        <v>Bình thường</v>
      </c>
      <c r="L112" s="103"/>
      <c r="M112" s="182" t="s">
        <v>933</v>
      </c>
      <c r="N112" s="103" t="s">
        <v>480</v>
      </c>
      <c r="O112" s="111" t="s">
        <v>453</v>
      </c>
      <c r="P112" s="103">
        <v>1994</v>
      </c>
      <c r="Q112" s="103" t="s">
        <v>545</v>
      </c>
      <c r="R112" s="103" t="s">
        <v>64</v>
      </c>
      <c r="S112" s="111" t="s">
        <v>934</v>
      </c>
      <c r="T112" s="111" t="s">
        <v>935</v>
      </c>
      <c r="U112" s="111">
        <v>9.3</v>
      </c>
      <c r="V112" s="895">
        <v>0</v>
      </c>
      <c r="W112" s="895"/>
      <c r="X112" s="895"/>
      <c r="Y112" s="895"/>
    </row>
    <row r="113" ht="28.5" customHeight="1" outlineLevel="1" spans="1:25">
      <c r="A113" s="103">
        <f t="shared" si="2"/>
        <v>30</v>
      </c>
      <c r="B113" s="104" t="s">
        <v>936</v>
      </c>
      <c r="C113" s="124" t="s">
        <v>492</v>
      </c>
      <c r="D113" s="103" t="s">
        <v>937</v>
      </c>
      <c r="E113" s="103"/>
      <c r="F113" s="124" t="s">
        <v>492</v>
      </c>
      <c r="G113" s="104" t="s">
        <v>50</v>
      </c>
      <c r="H113" s="101" t="str">
        <f>VLOOKUP(G113,'01. TH'!$B:$E,3,0)</f>
        <v>8700 x 2800 x 3010</v>
      </c>
      <c r="I113" s="103" t="s">
        <v>27</v>
      </c>
      <c r="J113" s="103" t="s">
        <v>494</v>
      </c>
      <c r="K113" s="101" t="str">
        <f>IF(COUNTIF('TT BTSC'!$D:$D,B113)&gt;0,"Hư hỏng","Bình thường")</f>
        <v>Bình thường</v>
      </c>
      <c r="L113" s="103"/>
      <c r="M113" s="182" t="s">
        <v>933</v>
      </c>
      <c r="N113" s="103" t="s">
        <v>480</v>
      </c>
      <c r="O113" s="111" t="s">
        <v>453</v>
      </c>
      <c r="P113" s="103">
        <v>2003</v>
      </c>
      <c r="Q113" s="103" t="s">
        <v>608</v>
      </c>
      <c r="R113" s="103" t="s">
        <v>546</v>
      </c>
      <c r="S113" s="111" t="s">
        <v>938</v>
      </c>
      <c r="T113" s="111" t="s">
        <v>939</v>
      </c>
      <c r="U113" s="111">
        <v>14</v>
      </c>
      <c r="V113" s="895">
        <v>320</v>
      </c>
      <c r="W113" s="895"/>
      <c r="X113" s="895"/>
      <c r="Y113" s="895"/>
    </row>
    <row r="114" ht="28.5" customHeight="1" outlineLevel="1" spans="1:25">
      <c r="A114" s="103">
        <f t="shared" si="2"/>
        <v>31</v>
      </c>
      <c r="B114" s="104" t="s">
        <v>940</v>
      </c>
      <c r="C114" s="104" t="s">
        <v>504</v>
      </c>
      <c r="D114" s="103" t="s">
        <v>941</v>
      </c>
      <c r="E114" s="103" t="s">
        <v>942</v>
      </c>
      <c r="F114" s="104" t="s">
        <v>504</v>
      </c>
      <c r="G114" s="104" t="s">
        <v>107</v>
      </c>
      <c r="H114" s="101" t="str">
        <f>VLOOKUP(G114,'01. TH'!$B:$E,3,0)</f>
        <v>5910 x 2310 x 2800</v>
      </c>
      <c r="I114" s="103" t="s">
        <v>27</v>
      </c>
      <c r="J114" s="112">
        <v>45936</v>
      </c>
      <c r="K114" s="101" t="str">
        <f>IF(COUNTIF('TT BTSC'!$D:$D,B114)&gt;0,"Hư hỏng","Bình thường")</f>
        <v>Bình thường</v>
      </c>
      <c r="L114" s="113"/>
      <c r="M114" s="182" t="s">
        <v>290</v>
      </c>
      <c r="N114" s="103" t="s">
        <v>771</v>
      </c>
      <c r="O114" s="111" t="s">
        <v>943</v>
      </c>
      <c r="P114" s="103">
        <v>2024</v>
      </c>
      <c r="Q114" s="103" t="s">
        <v>654</v>
      </c>
      <c r="R114" s="103" t="s">
        <v>655</v>
      </c>
      <c r="S114" s="111" t="s">
        <v>944</v>
      </c>
      <c r="T114" s="111" t="s">
        <v>945</v>
      </c>
      <c r="U114" s="160">
        <v>0.61</v>
      </c>
      <c r="V114" s="895">
        <v>150</v>
      </c>
      <c r="W114" s="895"/>
      <c r="X114" s="895"/>
      <c r="Y114" s="895"/>
    </row>
    <row r="115" ht="13.5" customHeight="1" outlineLevel="1" spans="1:25">
      <c r="A115" s="101"/>
      <c r="B115" s="104"/>
      <c r="C115" s="104"/>
      <c r="D115" s="103"/>
      <c r="E115" s="103"/>
      <c r="F115" s="103"/>
      <c r="G115" s="104"/>
      <c r="H115" s="101" t="e">
        <f>VLOOKUP(G115,'01. TH'!$B:$E,3,0)</f>
        <v>#N/A</v>
      </c>
      <c r="I115" s="101"/>
      <c r="J115" s="112"/>
      <c r="K115" s="101"/>
      <c r="L115" s="113"/>
      <c r="M115" s="182"/>
      <c r="N115" s="103"/>
      <c r="O115" s="111"/>
      <c r="P115" s="103"/>
      <c r="Q115" s="103"/>
      <c r="R115" s="103"/>
      <c r="S115" s="111"/>
      <c r="T115" s="111"/>
      <c r="U115" s="111"/>
      <c r="V115" s="192"/>
      <c r="W115" s="192"/>
      <c r="X115" s="192"/>
      <c r="Y115" s="192"/>
    </row>
    <row r="116" ht="13.5" customHeight="1" outlineLevel="1" spans="1:25">
      <c r="A116" s="101"/>
      <c r="B116" s="104"/>
      <c r="C116" s="104" t="s">
        <v>946</v>
      </c>
      <c r="D116" s="103"/>
      <c r="E116" s="103"/>
      <c r="F116" s="103"/>
      <c r="G116" s="104"/>
      <c r="H116" s="101" t="e">
        <f>VLOOKUP(G116,'01. TH'!$B:$E,3,0)</f>
        <v>#N/A</v>
      </c>
      <c r="I116" s="101"/>
      <c r="J116" s="112"/>
      <c r="K116" s="101"/>
      <c r="L116" s="113"/>
      <c r="M116" s="182"/>
      <c r="N116" s="103"/>
      <c r="O116" s="111"/>
      <c r="P116" s="103"/>
      <c r="Q116" s="103"/>
      <c r="R116" s="103"/>
      <c r="S116" s="111"/>
      <c r="T116" s="111"/>
      <c r="U116" s="111"/>
      <c r="V116" s="192"/>
      <c r="W116" s="192"/>
      <c r="X116" s="192"/>
      <c r="Y116" s="192"/>
    </row>
    <row r="117" ht="13.5" customHeight="1" spans="1:25">
      <c r="A117" s="91" t="s">
        <v>947</v>
      </c>
      <c r="B117" s="91"/>
      <c r="C117" s="92">
        <f>C118+C136+C153</f>
        <v>33</v>
      </c>
      <c r="D117" s="91"/>
      <c r="E117" s="92"/>
      <c r="F117" s="92"/>
      <c r="G117" s="92"/>
      <c r="H117" s="91"/>
      <c r="I117" s="91"/>
      <c r="J117" s="93"/>
      <c r="K117" s="91"/>
      <c r="L117" s="92"/>
      <c r="M117" s="91"/>
      <c r="N117" s="92"/>
      <c r="O117" s="91"/>
      <c r="P117" s="91"/>
      <c r="Q117" s="91"/>
      <c r="R117" s="91"/>
      <c r="S117" s="91"/>
      <c r="T117" s="91"/>
      <c r="U117" s="91"/>
      <c r="V117" s="192"/>
      <c r="W117" s="192"/>
      <c r="X117" s="192"/>
      <c r="Y117" s="192"/>
    </row>
    <row r="118" ht="13.5" customHeight="1" spans="1:25">
      <c r="A118" s="96" t="s">
        <v>948</v>
      </c>
      <c r="B118" s="97" t="s">
        <v>949</v>
      </c>
      <c r="C118" s="96">
        <f>COUNTA(B119:B133)</f>
        <v>15</v>
      </c>
      <c r="D118" s="97" t="str">
        <f>IFERROR(VLOOKUP(B118,' 02.1 KLH-CN MÃ BRAVO MM'!$B:$C,2,0),"")</f>
        <v/>
      </c>
      <c r="E118" s="96"/>
      <c r="F118" s="96"/>
      <c r="G118" s="96"/>
      <c r="H118" s="97"/>
      <c r="I118" s="97"/>
      <c r="J118" s="98"/>
      <c r="K118" s="97"/>
      <c r="L118" s="96"/>
      <c r="M118" s="97"/>
      <c r="N118" s="96"/>
      <c r="O118" s="97"/>
      <c r="P118" s="97"/>
      <c r="Q118" s="97"/>
      <c r="R118" s="97"/>
      <c r="S118" s="97"/>
      <c r="T118" s="97"/>
      <c r="U118" s="97"/>
      <c r="V118" s="192"/>
      <c r="W118" s="192"/>
      <c r="X118" s="192"/>
      <c r="Y118" s="192"/>
    </row>
    <row r="119" ht="27" customHeight="1" outlineLevel="1" spans="1:25">
      <c r="A119" s="101">
        <v>1</v>
      </c>
      <c r="B119" s="102" t="s">
        <v>950</v>
      </c>
      <c r="C119" s="102" t="s">
        <v>951</v>
      </c>
      <c r="D119" s="103" t="s">
        <v>952</v>
      </c>
      <c r="E119" s="103"/>
      <c r="F119" s="104" t="s">
        <v>504</v>
      </c>
      <c r="G119" s="104" t="s">
        <v>117</v>
      </c>
      <c r="H119" s="101" t="str">
        <f>VLOOKUP(G119,'01. TH'!$B:$E,3,0)</f>
        <v>6380 x 2040 x 2300</v>
      </c>
      <c r="I119" s="101" t="s">
        <v>15</v>
      </c>
      <c r="J119" s="112">
        <v>46266</v>
      </c>
      <c r="K119" s="101" t="str">
        <f>IF(COUNTIF('TT BTSC'!$D:$D,B119)&gt;0,"Hư hỏng","Bình thường")</f>
        <v>Bình thường</v>
      </c>
      <c r="L119" s="113"/>
      <c r="M119" s="206" t="s">
        <v>953</v>
      </c>
      <c r="N119" s="103" t="s">
        <v>954</v>
      </c>
      <c r="O119" s="111" t="s">
        <v>955</v>
      </c>
      <c r="P119" s="103">
        <v>2024</v>
      </c>
      <c r="Q119" s="103" t="s">
        <v>956</v>
      </c>
      <c r="R119" s="103" t="s">
        <v>118</v>
      </c>
      <c r="S119" s="111" t="s">
        <v>957</v>
      </c>
      <c r="T119" s="111" t="s">
        <v>958</v>
      </c>
      <c r="U119" s="160">
        <v>0.2</v>
      </c>
      <c r="V119" s="192">
        <v>100</v>
      </c>
      <c r="W119" s="192"/>
      <c r="X119" s="192"/>
      <c r="Y119" s="192"/>
    </row>
    <row r="120" ht="34.5" customHeight="1" outlineLevel="1" spans="1:25">
      <c r="A120" s="101">
        <f t="shared" ref="A120:A133" si="4">A119+1</f>
        <v>2</v>
      </c>
      <c r="B120" s="104" t="s">
        <v>959</v>
      </c>
      <c r="C120" s="104" t="s">
        <v>960</v>
      </c>
      <c r="D120" s="103" t="s">
        <v>961</v>
      </c>
      <c r="E120" s="157"/>
      <c r="F120" s="124" t="s">
        <v>492</v>
      </c>
      <c r="G120" s="104" t="s">
        <v>173</v>
      </c>
      <c r="H120" s="101"/>
      <c r="I120" s="101" t="s">
        <v>15</v>
      </c>
      <c r="J120" s="103" t="s">
        <v>962</v>
      </c>
      <c r="K120" s="101" t="str">
        <f>IF(COUNTIF('TT BTSC'!$D:$D,B120)&gt;0,"Hư hỏng","Bình thường")</f>
        <v>Bình thường</v>
      </c>
      <c r="L120" s="113"/>
      <c r="M120" s="1093" t="s">
        <v>963</v>
      </c>
      <c r="N120" s="103" t="s">
        <v>964</v>
      </c>
      <c r="O120" s="111" t="s">
        <v>811</v>
      </c>
      <c r="P120" s="103"/>
      <c r="Q120" s="103" t="s">
        <v>965</v>
      </c>
      <c r="R120" s="103" t="s">
        <v>174</v>
      </c>
      <c r="S120" s="111">
        <v>10139</v>
      </c>
      <c r="T120" s="111">
        <v>2463</v>
      </c>
      <c r="U120" s="111"/>
      <c r="V120" s="895"/>
      <c r="W120" s="895"/>
      <c r="X120" s="895"/>
      <c r="Y120" s="895"/>
    </row>
    <row r="121" ht="34.5" customHeight="1" outlineLevel="1" spans="1:25">
      <c r="A121" s="101">
        <f t="shared" si="4"/>
        <v>3</v>
      </c>
      <c r="B121" s="104" t="s">
        <v>966</v>
      </c>
      <c r="C121" s="104"/>
      <c r="D121" s="103" t="s">
        <v>967</v>
      </c>
      <c r="E121" s="157"/>
      <c r="F121" s="124" t="s">
        <v>492</v>
      </c>
      <c r="G121" s="104" t="s">
        <v>167</v>
      </c>
      <c r="H121" s="101" t="str">
        <f>VLOOKUP(G121,'01. TH'!$B:$E,3,0)</f>
        <v/>
      </c>
      <c r="I121" s="101" t="s">
        <v>15</v>
      </c>
      <c r="J121" s="112">
        <v>46088</v>
      </c>
      <c r="K121" s="101" t="str">
        <f>IF(COUNTIF('TT BTSC'!$D:$D,B121)&gt;0,"Hư hỏng","Bình thường")</f>
        <v>Bình thường</v>
      </c>
      <c r="L121" s="113"/>
      <c r="M121" s="183" t="s">
        <v>968</v>
      </c>
      <c r="N121" s="103" t="s">
        <v>969</v>
      </c>
      <c r="O121" s="111" t="s">
        <v>555</v>
      </c>
      <c r="P121" s="103">
        <v>2016</v>
      </c>
      <c r="Q121" s="103" t="s">
        <v>970</v>
      </c>
      <c r="R121" s="103" t="s">
        <v>124</v>
      </c>
      <c r="S121" s="111" t="s">
        <v>971</v>
      </c>
      <c r="T121" s="111" t="s">
        <v>972</v>
      </c>
      <c r="U121" s="111"/>
      <c r="V121" s="895">
        <v>0</v>
      </c>
      <c r="W121" s="895"/>
      <c r="X121" s="895"/>
      <c r="Y121" s="895"/>
    </row>
    <row r="122" ht="13.5" customHeight="1" outlineLevel="1" spans="1:25">
      <c r="A122" s="101">
        <f t="shared" si="4"/>
        <v>4</v>
      </c>
      <c r="B122" s="102" t="s">
        <v>973</v>
      </c>
      <c r="C122" s="102" t="s">
        <v>974</v>
      </c>
      <c r="D122" s="103" t="str">
        <f>IFERROR(VLOOKUP(B122,' 02.1 KLH-CN MÃ BRAVO MM'!$B:$C,2,0),"")</f>
        <v>A23-MKE-005</v>
      </c>
      <c r="E122" s="103"/>
      <c r="F122" s="103" t="s">
        <v>451</v>
      </c>
      <c r="G122" s="102" t="s">
        <v>193</v>
      </c>
      <c r="H122" s="101" t="str">
        <f>VLOOKUP(G122,'01. TH'!$B:$E,3,0)</f>
        <v>4200 x 2600 x 2900</v>
      </c>
      <c r="I122" s="101" t="s">
        <v>15</v>
      </c>
      <c r="J122" s="105"/>
      <c r="K122" s="101" t="str">
        <f>IF(COUNTIF('TT BTSC'!$D:$D,B122)&gt;0,"Hư hỏng","Bình thường")</f>
        <v>Bình thường</v>
      </c>
      <c r="L122" s="101"/>
      <c r="M122" s="183" t="s">
        <v>975</v>
      </c>
      <c r="N122" s="101" t="s">
        <v>976</v>
      </c>
      <c r="O122" s="110" t="s">
        <v>977</v>
      </c>
      <c r="P122" s="101">
        <v>2018</v>
      </c>
      <c r="Q122" s="101">
        <v>6603</v>
      </c>
      <c r="R122" s="101" t="s">
        <v>102</v>
      </c>
      <c r="S122" s="110">
        <v>33028</v>
      </c>
      <c r="T122" s="111" t="s">
        <v>462</v>
      </c>
      <c r="U122" s="111">
        <v>9</v>
      </c>
      <c r="V122" s="895">
        <v>158</v>
      </c>
      <c r="W122" s="895"/>
      <c r="X122" s="895"/>
      <c r="Y122" s="895"/>
    </row>
    <row r="123" ht="13.5" customHeight="1" outlineLevel="1" spans="1:25">
      <c r="A123" s="101">
        <f t="shared" si="4"/>
        <v>5</v>
      </c>
      <c r="B123" s="104" t="s">
        <v>978</v>
      </c>
      <c r="C123" s="104" t="s">
        <v>979</v>
      </c>
      <c r="D123" s="103" t="str">
        <f>IFERROR(VLOOKUP(B123,' 02.1 KLH-CN MÃ BRAVO MM'!$B:$C,2,0),"")</f>
        <v>A23-MKE-006</v>
      </c>
      <c r="E123" s="103"/>
      <c r="F123" s="103" t="s">
        <v>451</v>
      </c>
      <c r="G123" s="104" t="s">
        <v>193</v>
      </c>
      <c r="H123" s="101" t="str">
        <f>VLOOKUP(G123,'01. TH'!$B:$E,3,0)</f>
        <v>4200 x 2600 x 2900</v>
      </c>
      <c r="I123" s="103" t="s">
        <v>15</v>
      </c>
      <c r="J123" s="112">
        <v>43862</v>
      </c>
      <c r="K123" s="101" t="str">
        <f>IF(COUNTIF('TT BTSC'!$D:$D,B123)&gt;0,"Hư hỏng","Bình thường")</f>
        <v>Bình thường</v>
      </c>
      <c r="L123" s="113">
        <v>0.5</v>
      </c>
      <c r="M123" s="183"/>
      <c r="N123" s="101" t="s">
        <v>976</v>
      </c>
      <c r="O123" s="111" t="s">
        <v>977</v>
      </c>
      <c r="P123" s="103">
        <v>2018</v>
      </c>
      <c r="Q123" s="103">
        <v>6603</v>
      </c>
      <c r="R123" s="101" t="s">
        <v>102</v>
      </c>
      <c r="S123" s="111">
        <v>33178</v>
      </c>
      <c r="T123" s="111" t="s">
        <v>462</v>
      </c>
      <c r="U123" s="111">
        <v>9</v>
      </c>
      <c r="V123" s="895">
        <v>158</v>
      </c>
      <c r="W123" s="895"/>
      <c r="X123" s="895"/>
      <c r="Y123" s="895"/>
    </row>
    <row r="124" ht="13.5" customHeight="1" outlineLevel="1" spans="1:25">
      <c r="A124" s="101">
        <f t="shared" si="4"/>
        <v>6</v>
      </c>
      <c r="B124" s="102" t="s">
        <v>980</v>
      </c>
      <c r="C124" s="102" t="s">
        <v>981</v>
      </c>
      <c r="D124" s="103" t="str">
        <f>IFERROR(VLOOKUP(B124,' 02.1 KLH-CN MÃ BRAVO MM'!$B:$C,2,0),"")</f>
        <v>A23-MKE-007</v>
      </c>
      <c r="E124" s="103"/>
      <c r="F124" s="103" t="s">
        <v>504</v>
      </c>
      <c r="G124" s="102" t="s">
        <v>185</v>
      </c>
      <c r="H124" s="101" t="str">
        <f>VLOOKUP(G124,'01. TH'!$B:$E,3,0)</f>
        <v>4835 x 2600 x 2965</v>
      </c>
      <c r="I124" s="101" t="s">
        <v>15</v>
      </c>
      <c r="J124" s="101" t="s">
        <v>982</v>
      </c>
      <c r="K124" s="101" t="str">
        <f>IF(COUNTIF('TT BTSC'!$D:$D,B124)&gt;0,"Hư hỏng","Bình thường")</f>
        <v>Bình thường</v>
      </c>
      <c r="L124" s="101"/>
      <c r="M124" s="182"/>
      <c r="N124" s="101" t="s">
        <v>976</v>
      </c>
      <c r="O124" s="110" t="s">
        <v>977</v>
      </c>
      <c r="P124" s="101">
        <v>2022</v>
      </c>
      <c r="Q124" s="101" t="s">
        <v>983</v>
      </c>
      <c r="R124" s="101" t="s">
        <v>102</v>
      </c>
      <c r="S124" s="110" t="s">
        <v>984</v>
      </c>
      <c r="T124" s="111" t="s">
        <v>985</v>
      </c>
      <c r="U124" s="111">
        <v>9.5</v>
      </c>
      <c r="V124" s="895">
        <v>220</v>
      </c>
      <c r="W124" s="895"/>
      <c r="X124" s="895"/>
      <c r="Y124" s="895"/>
    </row>
    <row r="125" ht="13.8" outlineLevel="1" spans="1:25">
      <c r="A125" s="101">
        <f t="shared" si="4"/>
        <v>7</v>
      </c>
      <c r="B125" s="102" t="s">
        <v>986</v>
      </c>
      <c r="C125" s="102" t="s">
        <v>981</v>
      </c>
      <c r="D125" s="103" t="str">
        <f>IFERROR(VLOOKUP(B125,' 02.1 KLH-CN MÃ BRAVO MM'!$B:$C,2,0),"")</f>
        <v>A23-MKE-008</v>
      </c>
      <c r="E125" s="103"/>
      <c r="F125" s="103" t="s">
        <v>504</v>
      </c>
      <c r="G125" s="102" t="s">
        <v>181</v>
      </c>
      <c r="H125" s="101" t="str">
        <f>VLOOKUP(G125,'01. TH'!$B:$E,3,0)</f>
        <v>4100 x 2100 x 2600</v>
      </c>
      <c r="I125" s="101" t="s">
        <v>15</v>
      </c>
      <c r="J125" s="101" t="s">
        <v>982</v>
      </c>
      <c r="K125" s="101" t="str">
        <f>IF(COUNTIF('TT BTSC'!$D:$D,B125)&gt;0,"Hư hỏng","Bình thường")</f>
        <v>Bình thường</v>
      </c>
      <c r="L125" s="101"/>
      <c r="M125" s="182"/>
      <c r="N125" s="101" t="s">
        <v>976</v>
      </c>
      <c r="O125" s="110" t="s">
        <v>977</v>
      </c>
      <c r="P125" s="101">
        <v>2022</v>
      </c>
      <c r="Q125" s="101" t="s">
        <v>987</v>
      </c>
      <c r="R125" s="101" t="s">
        <v>177</v>
      </c>
      <c r="S125" s="110" t="s">
        <v>988</v>
      </c>
      <c r="T125" s="111" t="s">
        <v>989</v>
      </c>
      <c r="U125" s="111">
        <v>6</v>
      </c>
      <c r="V125" s="895">
        <v>112</v>
      </c>
      <c r="W125" s="895"/>
      <c r="X125" s="895"/>
      <c r="Y125" s="895"/>
    </row>
    <row r="126" ht="13.5" customHeight="1" outlineLevel="1" spans="1:25">
      <c r="A126" s="101">
        <f t="shared" si="4"/>
        <v>8</v>
      </c>
      <c r="B126" s="104" t="s">
        <v>990</v>
      </c>
      <c r="C126" s="124" t="s">
        <v>492</v>
      </c>
      <c r="D126" s="103" t="s">
        <v>991</v>
      </c>
      <c r="E126" s="103"/>
      <c r="F126" s="124" t="s">
        <v>492</v>
      </c>
      <c r="G126" s="104" t="s">
        <v>191</v>
      </c>
      <c r="H126" s="101" t="str">
        <f>VLOOKUP(G126,'01. TH'!$B:$E,3,0)</f>
        <v>4200 x 2600 x 2900</v>
      </c>
      <c r="I126" s="101" t="s">
        <v>15</v>
      </c>
      <c r="J126" s="103" t="s">
        <v>992</v>
      </c>
      <c r="K126" s="101" t="str">
        <f>IF(COUNTIF('TT BTSC'!$D:$D,B126)&gt;0,"Hư hỏng","Bình thường")</f>
        <v>Bình thường</v>
      </c>
      <c r="L126" s="113"/>
      <c r="M126" s="183" t="s">
        <v>653</v>
      </c>
      <c r="N126" s="101" t="s">
        <v>976</v>
      </c>
      <c r="O126" s="110" t="s">
        <v>977</v>
      </c>
      <c r="P126" s="103">
        <v>1998</v>
      </c>
      <c r="Q126" s="103">
        <v>6400</v>
      </c>
      <c r="R126" s="101" t="s">
        <v>124</v>
      </c>
      <c r="S126" s="111" t="s">
        <v>993</v>
      </c>
      <c r="T126" s="111" t="s">
        <v>994</v>
      </c>
      <c r="U126" s="111">
        <v>6</v>
      </c>
      <c r="V126" s="895">
        <v>165</v>
      </c>
      <c r="W126" s="895"/>
      <c r="X126" s="895"/>
      <c r="Y126" s="895"/>
    </row>
    <row r="127" ht="13.5" customHeight="1" outlineLevel="1" spans="1:25">
      <c r="A127" s="101">
        <f t="shared" si="4"/>
        <v>9</v>
      </c>
      <c r="B127" s="104" t="s">
        <v>995</v>
      </c>
      <c r="C127" s="124" t="s">
        <v>492</v>
      </c>
      <c r="D127" s="103" t="s">
        <v>996</v>
      </c>
      <c r="E127" s="103"/>
      <c r="F127" s="124" t="s">
        <v>492</v>
      </c>
      <c r="G127" s="104" t="s">
        <v>191</v>
      </c>
      <c r="H127" s="101" t="str">
        <f>VLOOKUP(G127,'01. TH'!$B:$E,3,0)</f>
        <v>4200 x 2600 x 2900</v>
      </c>
      <c r="I127" s="101" t="s">
        <v>15</v>
      </c>
      <c r="J127" s="103" t="s">
        <v>992</v>
      </c>
      <c r="K127" s="101" t="str">
        <f>IF(COUNTIF('TT BTSC'!$D:$D,B127)&gt;0,"Hư hỏng","Bình thường")</f>
        <v>Bình thường</v>
      </c>
      <c r="L127" s="113"/>
      <c r="M127" s="183" t="s">
        <v>653</v>
      </c>
      <c r="N127" s="101" t="s">
        <v>976</v>
      </c>
      <c r="O127" s="110" t="s">
        <v>977</v>
      </c>
      <c r="P127" s="103">
        <v>1998</v>
      </c>
      <c r="Q127" s="103">
        <v>6400</v>
      </c>
      <c r="R127" s="101" t="s">
        <v>124</v>
      </c>
      <c r="S127" s="111" t="s">
        <v>997</v>
      </c>
      <c r="T127" s="111" t="s">
        <v>998</v>
      </c>
      <c r="U127" s="111">
        <v>6.5</v>
      </c>
      <c r="V127" s="895">
        <v>165</v>
      </c>
      <c r="W127" s="895"/>
      <c r="X127" s="895"/>
      <c r="Y127" s="895"/>
    </row>
    <row r="128" ht="13.5" customHeight="1" outlineLevel="1" spans="1:25">
      <c r="A128" s="101">
        <f t="shared" si="4"/>
        <v>10</v>
      </c>
      <c r="B128" s="104" t="s">
        <v>999</v>
      </c>
      <c r="C128" s="124" t="s">
        <v>492</v>
      </c>
      <c r="D128" s="103" t="s">
        <v>1000</v>
      </c>
      <c r="E128" s="103"/>
      <c r="F128" s="124" t="s">
        <v>492</v>
      </c>
      <c r="G128" s="104" t="s">
        <v>176</v>
      </c>
      <c r="H128" s="101" t="str">
        <f>VLOOKUP(G128,'01. TH'!$B:$E,3,0)</f>
        <v>4200 x 2600 x 2900</v>
      </c>
      <c r="I128" s="103" t="s">
        <v>15</v>
      </c>
      <c r="J128" s="112">
        <v>45811</v>
      </c>
      <c r="K128" s="101" t="str">
        <f>IF(COUNTIF('TT BTSC'!$D:$D,B128)&gt;0,"Hư hỏng","Bình thường")</f>
        <v>Bình thường</v>
      </c>
      <c r="L128" s="113"/>
      <c r="M128" s="183" t="s">
        <v>653</v>
      </c>
      <c r="N128" s="101" t="s">
        <v>976</v>
      </c>
      <c r="O128" s="111" t="s">
        <v>597</v>
      </c>
      <c r="P128" s="103">
        <v>1994</v>
      </c>
      <c r="Q128" s="103">
        <v>2850</v>
      </c>
      <c r="R128" s="103" t="s">
        <v>224</v>
      </c>
      <c r="S128" s="111" t="s">
        <v>1001</v>
      </c>
      <c r="T128" s="111" t="s">
        <v>1002</v>
      </c>
      <c r="U128" s="111"/>
      <c r="V128" s="895">
        <v>135</v>
      </c>
      <c r="W128" s="895"/>
      <c r="X128" s="895"/>
      <c r="Y128" s="895"/>
    </row>
    <row r="129" ht="13.5" customHeight="1" outlineLevel="1" spans="1:25">
      <c r="A129" s="101">
        <f t="shared" si="4"/>
        <v>11</v>
      </c>
      <c r="B129" s="104" t="s">
        <v>1003</v>
      </c>
      <c r="C129" s="124" t="s">
        <v>492</v>
      </c>
      <c r="D129" s="103" t="s">
        <v>1004</v>
      </c>
      <c r="E129" s="103"/>
      <c r="F129" s="124" t="s">
        <v>492</v>
      </c>
      <c r="G129" s="104" t="s">
        <v>178</v>
      </c>
      <c r="H129" s="101" t="str">
        <f>VLOOKUP(G129,'01. TH'!$B:$E,3,0)</f>
        <v>4780 x 2030 x 2840</v>
      </c>
      <c r="I129" s="103" t="s">
        <v>15</v>
      </c>
      <c r="J129" s="112">
        <v>45811</v>
      </c>
      <c r="K129" s="101" t="str">
        <f>IF(COUNTIF('TT BTSC'!$D:$D,B129)&gt;0,"Hư hỏng","Bình thường")</f>
        <v>Bình thường</v>
      </c>
      <c r="L129" s="113"/>
      <c r="M129" s="183" t="s">
        <v>653</v>
      </c>
      <c r="N129" s="101" t="s">
        <v>976</v>
      </c>
      <c r="O129" s="111" t="s">
        <v>597</v>
      </c>
      <c r="P129" s="103">
        <v>1993</v>
      </c>
      <c r="Q129" s="103">
        <v>3350</v>
      </c>
      <c r="R129" s="103" t="s">
        <v>124</v>
      </c>
      <c r="S129" s="111" t="s">
        <v>1005</v>
      </c>
      <c r="T129" s="111" t="s">
        <v>1006</v>
      </c>
      <c r="U129" s="111">
        <v>6.5</v>
      </c>
      <c r="V129" s="895">
        <v>173</v>
      </c>
      <c r="W129" s="895"/>
      <c r="X129" s="895"/>
      <c r="Y129" s="895"/>
    </row>
    <row r="130" ht="13.5" customHeight="1" outlineLevel="1" spans="1:25">
      <c r="A130" s="101">
        <f t="shared" si="4"/>
        <v>12</v>
      </c>
      <c r="B130" s="104" t="s">
        <v>1007</v>
      </c>
      <c r="C130" s="124" t="s">
        <v>492</v>
      </c>
      <c r="D130" s="103" t="s">
        <v>1008</v>
      </c>
      <c r="E130" s="103"/>
      <c r="F130" s="124" t="s">
        <v>492</v>
      </c>
      <c r="G130" s="104" t="s">
        <v>195</v>
      </c>
      <c r="H130" s="101" t="str">
        <f>VLOOKUP(G130,'01. TH'!$B:$E,3,0)</f>
        <v>4750 x 2440 x 3000</v>
      </c>
      <c r="I130" s="103" t="s">
        <v>15</v>
      </c>
      <c r="J130" s="112">
        <v>45811</v>
      </c>
      <c r="K130" s="101" t="str">
        <f>IF(COUNTIF('TT BTSC'!$D:$D,B130)&gt;0,"Hư hỏng","Bình thường")</f>
        <v>Bình thường</v>
      </c>
      <c r="L130" s="113"/>
      <c r="M130" s="183" t="s">
        <v>653</v>
      </c>
      <c r="N130" s="101" t="s">
        <v>976</v>
      </c>
      <c r="O130" s="111" t="s">
        <v>1009</v>
      </c>
      <c r="P130" s="103">
        <v>1997</v>
      </c>
      <c r="Q130" s="103">
        <v>7800</v>
      </c>
      <c r="R130" s="103" t="s">
        <v>196</v>
      </c>
      <c r="S130" s="111" t="s">
        <v>1010</v>
      </c>
      <c r="T130" s="111" t="s">
        <v>1011</v>
      </c>
      <c r="U130" s="111">
        <v>11</v>
      </c>
      <c r="V130" s="895">
        <v>344</v>
      </c>
      <c r="W130" s="895"/>
      <c r="X130" s="895"/>
      <c r="Y130" s="895"/>
    </row>
    <row r="131" ht="13.5" customHeight="1" outlineLevel="1" spans="1:25">
      <c r="A131" s="101">
        <f t="shared" si="4"/>
        <v>13</v>
      </c>
      <c r="B131" s="104" t="s">
        <v>1012</v>
      </c>
      <c r="C131" s="104"/>
      <c r="D131" s="103" t="s">
        <v>1013</v>
      </c>
      <c r="E131" s="103"/>
      <c r="F131" s="103" t="s">
        <v>504</v>
      </c>
      <c r="G131" s="104" t="s">
        <v>201</v>
      </c>
      <c r="H131" s="101" t="str">
        <f>VLOOKUP(G131,'01. TH'!$B:$E,3,0)</f>
        <v>5300 x 2620 x 3010</v>
      </c>
      <c r="I131" s="103" t="s">
        <v>15</v>
      </c>
      <c r="J131" s="103" t="s">
        <v>1014</v>
      </c>
      <c r="K131" s="101" t="str">
        <f>IF(COUNTIF('TT BTSC'!$D:$D,B131)&gt;0,"Hư hỏng","Bình thường")</f>
        <v>Bình thường</v>
      </c>
      <c r="L131" s="113"/>
      <c r="M131" s="183" t="s">
        <v>653</v>
      </c>
      <c r="N131" s="103" t="s">
        <v>1015</v>
      </c>
      <c r="O131" s="111" t="s">
        <v>1016</v>
      </c>
      <c r="P131" s="103">
        <v>2025</v>
      </c>
      <c r="Q131" s="103">
        <v>1504</v>
      </c>
      <c r="R131" s="103" t="s">
        <v>48</v>
      </c>
      <c r="S131" s="111" t="s">
        <v>1017</v>
      </c>
      <c r="T131" s="111" t="s">
        <v>1018</v>
      </c>
      <c r="U131" s="111">
        <v>13</v>
      </c>
      <c r="V131" s="895">
        <v>350</v>
      </c>
      <c r="W131" s="192" t="s">
        <v>1019</v>
      </c>
      <c r="X131" s="192"/>
      <c r="Y131" s="192"/>
    </row>
    <row r="132" ht="13.5" customHeight="1" outlineLevel="1" spans="1:25">
      <c r="A132" s="101">
        <f t="shared" si="4"/>
        <v>14</v>
      </c>
      <c r="B132" s="104" t="s">
        <v>1020</v>
      </c>
      <c r="C132" s="124" t="s">
        <v>492</v>
      </c>
      <c r="D132" s="103" t="s">
        <v>1021</v>
      </c>
      <c r="E132" s="103"/>
      <c r="F132" s="124" t="s">
        <v>492</v>
      </c>
      <c r="G132" s="104" t="s">
        <v>178</v>
      </c>
      <c r="H132" s="101"/>
      <c r="I132" s="103" t="s">
        <v>15</v>
      </c>
      <c r="J132" s="103" t="s">
        <v>1022</v>
      </c>
      <c r="K132" s="101" t="str">
        <f>IF(COUNTIF('TT BTSC'!$D:$D,B132)&gt;0,"Hư hỏng","Bình thường")</f>
        <v>Bình thường</v>
      </c>
      <c r="L132" s="113"/>
      <c r="M132" s="183" t="s">
        <v>653</v>
      </c>
      <c r="N132" s="103" t="s">
        <v>1023</v>
      </c>
      <c r="O132" s="111" t="s">
        <v>590</v>
      </c>
      <c r="P132" s="103">
        <v>1993</v>
      </c>
      <c r="Q132" s="103">
        <v>3350</v>
      </c>
      <c r="R132" s="103" t="s">
        <v>124</v>
      </c>
      <c r="S132" s="111" t="s">
        <v>1024</v>
      </c>
      <c r="T132" s="111" t="s">
        <v>1025</v>
      </c>
      <c r="U132" s="111"/>
      <c r="V132" s="895"/>
      <c r="W132" s="192" t="s">
        <v>1026</v>
      </c>
      <c r="X132" s="192"/>
      <c r="Y132" s="192"/>
    </row>
    <row r="133" ht="13.5" customHeight="1" outlineLevel="1" spans="1:25">
      <c r="A133" s="101">
        <f t="shared" si="4"/>
        <v>15</v>
      </c>
      <c r="B133" s="104" t="s">
        <v>1027</v>
      </c>
      <c r="C133" s="104"/>
      <c r="D133" s="103" t="s">
        <v>1028</v>
      </c>
      <c r="E133" s="103" t="s">
        <v>1029</v>
      </c>
      <c r="F133" s="103" t="s">
        <v>451</v>
      </c>
      <c r="G133" s="104" t="s">
        <v>253</v>
      </c>
      <c r="H133" s="101"/>
      <c r="I133" s="103" t="s">
        <v>15</v>
      </c>
      <c r="J133" s="112"/>
      <c r="K133" s="101" t="str">
        <f>IF(COUNTIF('TT BTSC'!$D:$D,B133)&gt;0,"Hư hỏng","Bình thường")</f>
        <v>Bình thường</v>
      </c>
      <c r="L133" s="113"/>
      <c r="M133" s="183" t="s">
        <v>1030</v>
      </c>
      <c r="N133" s="103" t="s">
        <v>1031</v>
      </c>
      <c r="O133" s="111"/>
      <c r="P133" s="103"/>
      <c r="Q133" s="103"/>
      <c r="R133" s="103"/>
      <c r="S133" s="111" t="s">
        <v>1032</v>
      </c>
      <c r="T133" s="111" t="s">
        <v>1033</v>
      </c>
      <c r="U133" s="111"/>
      <c r="V133" s="895"/>
      <c r="W133" s="192"/>
      <c r="X133" s="192"/>
      <c r="Y133" s="192"/>
    </row>
    <row r="134" ht="13.5" customHeight="1" outlineLevel="1" spans="1:25">
      <c r="A134" s="103"/>
      <c r="B134" s="104"/>
      <c r="C134" s="104"/>
      <c r="D134" s="103"/>
      <c r="E134" s="103"/>
      <c r="F134" s="103"/>
      <c r="G134" s="104"/>
      <c r="H134" s="101"/>
      <c r="I134" s="103"/>
      <c r="J134" s="112"/>
      <c r="K134" s="101"/>
      <c r="L134" s="113"/>
      <c r="M134" s="183"/>
      <c r="N134" s="103"/>
      <c r="O134" s="111"/>
      <c r="P134" s="103"/>
      <c r="Q134" s="103"/>
      <c r="R134" s="103"/>
      <c r="S134" s="111"/>
      <c r="T134" s="111"/>
      <c r="U134" s="111"/>
      <c r="V134" s="192"/>
      <c r="W134" s="192"/>
      <c r="X134" s="192"/>
      <c r="Y134" s="192"/>
    </row>
    <row r="135" ht="13.5" customHeight="1" outlineLevel="1" spans="1:25">
      <c r="A135" s="103"/>
      <c r="B135" s="104"/>
      <c r="C135" s="104" t="s">
        <v>1034</v>
      </c>
      <c r="D135" s="103"/>
      <c r="E135" s="103"/>
      <c r="F135" s="103"/>
      <c r="G135" s="104"/>
      <c r="H135" s="101" t="e">
        <f>VLOOKUP(G135,'01. TH'!$B:$E,3,0)</f>
        <v>#N/A</v>
      </c>
      <c r="I135" s="103"/>
      <c r="J135" s="112"/>
      <c r="K135" s="101"/>
      <c r="L135" s="113"/>
      <c r="M135" s="183"/>
      <c r="N135" s="103"/>
      <c r="O135" s="111"/>
      <c r="P135" s="103"/>
      <c r="Q135" s="103"/>
      <c r="R135" s="103"/>
      <c r="S135" s="111"/>
      <c r="T135" s="111"/>
      <c r="U135" s="111"/>
      <c r="V135" s="192"/>
      <c r="W135" s="192"/>
      <c r="X135" s="192"/>
      <c r="Y135" s="192"/>
    </row>
    <row r="136" ht="13.5" customHeight="1" spans="1:25">
      <c r="A136" s="96" t="s">
        <v>1035</v>
      </c>
      <c r="B136" s="97" t="s">
        <v>1036</v>
      </c>
      <c r="C136" s="96">
        <f>COUNTA($B$137:$B$152)</f>
        <v>14</v>
      </c>
      <c r="D136" s="97" t="str">
        <f>IFERROR(VLOOKUP(B136,' 02.1 KLH-CN MÃ BRAVO MM'!$B:$C,2,0),"")</f>
        <v/>
      </c>
      <c r="E136" s="96"/>
      <c r="F136" s="96"/>
      <c r="G136" s="96"/>
      <c r="H136" s="97"/>
      <c r="I136" s="97"/>
      <c r="J136" s="98"/>
      <c r="K136" s="97"/>
      <c r="L136" s="96"/>
      <c r="M136" s="97"/>
      <c r="N136" s="96"/>
      <c r="O136" s="97"/>
      <c r="P136" s="97"/>
      <c r="Q136" s="97"/>
      <c r="R136" s="97"/>
      <c r="S136" s="97"/>
      <c r="T136" s="97"/>
      <c r="U136" s="97"/>
      <c r="V136" s="192"/>
      <c r="W136" s="192"/>
      <c r="X136" s="192"/>
      <c r="Y136" s="192"/>
    </row>
    <row r="137" ht="13.5" customHeight="1" outlineLevel="1" spans="1:25">
      <c r="A137" s="103">
        <v>1</v>
      </c>
      <c r="B137" s="104" t="s">
        <v>1037</v>
      </c>
      <c r="C137" s="104" t="s">
        <v>1038</v>
      </c>
      <c r="D137" s="103" t="str">
        <f>IFERROR(VLOOKUP(B137,' 02.1 KLH-CN MÃ BRAVO MM'!$B:$C,2,0),"")</f>
        <v>ATT-A23-0016</v>
      </c>
      <c r="E137" s="103"/>
      <c r="F137" s="103" t="s">
        <v>451</v>
      </c>
      <c r="G137" s="104" t="s">
        <v>193</v>
      </c>
      <c r="H137" s="101" t="str">
        <f>VLOOKUP(G137,'01. TH'!$B:$E,3,0)</f>
        <v>4200 x 2600 x 2900</v>
      </c>
      <c r="I137" s="103" t="s">
        <v>24</v>
      </c>
      <c r="J137" s="112"/>
      <c r="K137" s="101" t="str">
        <f>IF(COUNTIF('TT BTSC'!$D:$D,B137)&gt;0,"Hư hỏng","Bình thường")</f>
        <v>Bình thường</v>
      </c>
      <c r="L137" s="103"/>
      <c r="M137" s="183" t="s">
        <v>975</v>
      </c>
      <c r="N137" s="101" t="s">
        <v>976</v>
      </c>
      <c r="O137" s="111" t="s">
        <v>977</v>
      </c>
      <c r="P137" s="103">
        <v>2018</v>
      </c>
      <c r="Q137" s="103">
        <v>6603</v>
      </c>
      <c r="R137" s="101" t="s">
        <v>102</v>
      </c>
      <c r="S137" s="111">
        <v>32607</v>
      </c>
      <c r="T137" s="111" t="s">
        <v>462</v>
      </c>
      <c r="U137" s="111">
        <v>9</v>
      </c>
      <c r="V137" s="895">
        <v>158</v>
      </c>
      <c r="W137" s="895"/>
      <c r="X137" s="895"/>
      <c r="Y137" s="895"/>
    </row>
    <row r="138" ht="13.5" customHeight="1" outlineLevel="1" spans="1:25">
      <c r="A138" s="103">
        <f t="shared" ref="A138:A150" si="5">A137+1</f>
        <v>2</v>
      </c>
      <c r="B138" s="104" t="s">
        <v>1039</v>
      </c>
      <c r="C138" s="104" t="s">
        <v>1040</v>
      </c>
      <c r="D138" s="103" t="str">
        <f>IFERROR(VLOOKUP(B138,' 02.1 KLH-CN MÃ BRAVO MM'!$B:$C,2,0),"")</f>
        <v>ATT-A23-0016</v>
      </c>
      <c r="E138" s="103"/>
      <c r="F138" s="103" t="s">
        <v>451</v>
      </c>
      <c r="G138" s="104" t="s">
        <v>193</v>
      </c>
      <c r="H138" s="101" t="str">
        <f>VLOOKUP(G138,'01. TH'!$B:$E,3,0)</f>
        <v>4200 x 2600 x 2900</v>
      </c>
      <c r="I138" s="103" t="s">
        <v>24</v>
      </c>
      <c r="J138" s="112"/>
      <c r="K138" s="101" t="str">
        <f>IF(COUNTIF('TT BTSC'!$D:$D,B138)&gt;0,"Hư hỏng","Bình thường")</f>
        <v>Bình thường</v>
      </c>
      <c r="L138" s="103"/>
      <c r="M138" s="183"/>
      <c r="N138" s="101" t="s">
        <v>976</v>
      </c>
      <c r="O138" s="111" t="s">
        <v>977</v>
      </c>
      <c r="P138" s="103">
        <v>2018</v>
      </c>
      <c r="Q138" s="103">
        <v>6603</v>
      </c>
      <c r="R138" s="101" t="s">
        <v>102</v>
      </c>
      <c r="S138" s="111" t="s">
        <v>1041</v>
      </c>
      <c r="T138" s="1094" t="s">
        <v>1042</v>
      </c>
      <c r="U138" s="111">
        <v>9</v>
      </c>
      <c r="V138" s="895">
        <v>158</v>
      </c>
      <c r="W138" s="895"/>
      <c r="X138" s="895"/>
      <c r="Y138" s="895"/>
    </row>
    <row r="139" ht="13.5" customHeight="1" outlineLevel="1" spans="1:25">
      <c r="A139" s="103">
        <f t="shared" si="5"/>
        <v>3</v>
      </c>
      <c r="B139" s="102" t="s">
        <v>1043</v>
      </c>
      <c r="C139" s="102" t="s">
        <v>1044</v>
      </c>
      <c r="D139" s="103" t="str">
        <f>IFERROR(VLOOKUP(B139,' 02.1 KLH-CN MÃ BRAVO MM'!$B:$C,2,0),"")</f>
        <v>ATT-A23-0016</v>
      </c>
      <c r="E139" s="103"/>
      <c r="F139" s="103" t="s">
        <v>451</v>
      </c>
      <c r="G139" s="102" t="s">
        <v>193</v>
      </c>
      <c r="H139" s="101" t="str">
        <f>VLOOKUP(G139,'01. TH'!$B:$E,3,0)</f>
        <v>4200 x 2600 x 2900</v>
      </c>
      <c r="I139" s="101" t="s">
        <v>24</v>
      </c>
      <c r="J139" s="105"/>
      <c r="K139" s="101" t="str">
        <f>IF(COUNTIF('TT BTSC'!$D:$D,B139)&gt;0,"Hư hỏng","Bình thường")</f>
        <v>Bình thường</v>
      </c>
      <c r="L139" s="101"/>
      <c r="M139" s="182"/>
      <c r="N139" s="101" t="s">
        <v>976</v>
      </c>
      <c r="O139" s="110" t="s">
        <v>977</v>
      </c>
      <c r="P139" s="101">
        <v>2018</v>
      </c>
      <c r="Q139" s="101">
        <v>6603</v>
      </c>
      <c r="R139" s="101" t="s">
        <v>102</v>
      </c>
      <c r="S139" s="110" t="s">
        <v>1045</v>
      </c>
      <c r="T139" s="111" t="s">
        <v>1046</v>
      </c>
      <c r="U139" s="111">
        <v>9</v>
      </c>
      <c r="V139" s="895">
        <v>158</v>
      </c>
      <c r="W139" s="895"/>
      <c r="X139" s="895"/>
      <c r="Y139" s="895"/>
    </row>
    <row r="140" ht="13.5" customHeight="1" outlineLevel="1" spans="1:25">
      <c r="A140" s="103">
        <f t="shared" si="5"/>
        <v>4</v>
      </c>
      <c r="B140" s="102" t="s">
        <v>1047</v>
      </c>
      <c r="C140" s="102" t="s">
        <v>1048</v>
      </c>
      <c r="D140" s="103" t="str">
        <f>IFERROR(VLOOKUP(B140,' 02.1 KLH-CN MÃ BRAVO MM'!$B:$C,2,0),"")</f>
        <v>ATM-A24-0101</v>
      </c>
      <c r="E140" s="103"/>
      <c r="F140" s="102" t="s">
        <v>1048</v>
      </c>
      <c r="G140" s="102" t="s">
        <v>185</v>
      </c>
      <c r="H140" s="101" t="str">
        <f>VLOOKUP(G140,'01. TH'!$B:$E,3,0)</f>
        <v>4835 x 2600 x 2965</v>
      </c>
      <c r="I140" s="101" t="s">
        <v>24</v>
      </c>
      <c r="J140" s="101" t="s">
        <v>982</v>
      </c>
      <c r="K140" s="101" t="str">
        <f>IF(COUNTIF('TT BTSC'!$D:$D,B140)&gt;0,"Hư hỏng","Bình thường")</f>
        <v>Bình thường</v>
      </c>
      <c r="L140" s="101"/>
      <c r="M140" s="182"/>
      <c r="N140" s="101" t="s">
        <v>976</v>
      </c>
      <c r="O140" s="110" t="s">
        <v>977</v>
      </c>
      <c r="P140" s="101">
        <v>2022</v>
      </c>
      <c r="Q140" s="101" t="s">
        <v>983</v>
      </c>
      <c r="R140" s="101" t="s">
        <v>102</v>
      </c>
      <c r="S140" s="110" t="s">
        <v>1049</v>
      </c>
      <c r="T140" s="111" t="s">
        <v>1050</v>
      </c>
      <c r="U140" s="111">
        <v>9.5</v>
      </c>
      <c r="V140" s="895">
        <v>220</v>
      </c>
      <c r="W140" s="895"/>
      <c r="X140" s="895"/>
      <c r="Y140" s="895"/>
    </row>
    <row r="141" ht="13.5" customHeight="1" outlineLevel="1" spans="1:25">
      <c r="A141" s="103">
        <f t="shared" si="5"/>
        <v>5</v>
      </c>
      <c r="B141" s="102" t="s">
        <v>1051</v>
      </c>
      <c r="C141" s="102" t="s">
        <v>1052</v>
      </c>
      <c r="D141" s="103" t="str">
        <f>IFERROR(VLOOKUP(B141,' 02.1 KLH-CN MÃ BRAVO MM'!$B:$C,2,0),"")</f>
        <v>ATT-A22-0312</v>
      </c>
      <c r="E141" s="103"/>
      <c r="F141" s="103" t="s">
        <v>451</v>
      </c>
      <c r="G141" s="102" t="s">
        <v>181</v>
      </c>
      <c r="H141" s="101" t="str">
        <f>VLOOKUP(G141,'01. TH'!$B:$E,3,0)</f>
        <v>4100 x 2100 x 2600</v>
      </c>
      <c r="I141" s="101" t="s">
        <v>24</v>
      </c>
      <c r="J141" s="105">
        <v>45634</v>
      </c>
      <c r="K141" s="101" t="str">
        <f>IF(COUNTIF('TT BTSC'!$D:$D,B141)&gt;0,"Hư hỏng","Bình thường")</f>
        <v>Bình thường</v>
      </c>
      <c r="L141" s="107">
        <v>0.97</v>
      </c>
      <c r="M141" s="182" t="s">
        <v>1053</v>
      </c>
      <c r="N141" s="101" t="s">
        <v>976</v>
      </c>
      <c r="O141" s="110" t="s">
        <v>977</v>
      </c>
      <c r="P141" s="101">
        <v>2022</v>
      </c>
      <c r="Q141" s="101">
        <v>5090</v>
      </c>
      <c r="R141" s="101" t="s">
        <v>177</v>
      </c>
      <c r="S141" s="110" t="s">
        <v>1054</v>
      </c>
      <c r="T141" s="111" t="s">
        <v>1055</v>
      </c>
      <c r="U141" s="111">
        <v>6</v>
      </c>
      <c r="V141" s="895">
        <v>112</v>
      </c>
      <c r="W141" s="895"/>
      <c r="X141" s="895"/>
      <c r="Y141" s="895"/>
    </row>
    <row r="142" ht="13.5" customHeight="1" outlineLevel="1" spans="1:25">
      <c r="A142" s="103">
        <f t="shared" si="5"/>
        <v>6</v>
      </c>
      <c r="B142" s="102" t="s">
        <v>1056</v>
      </c>
      <c r="C142" s="102" t="s">
        <v>1048</v>
      </c>
      <c r="D142" s="103" t="str">
        <f>IFERROR(VLOOKUP(B142,' 02.1 KLH-CN MÃ BRAVO MM'!$B:$C,2,0),"")</f>
        <v>ATM-A24-0103</v>
      </c>
      <c r="E142" s="103"/>
      <c r="F142" s="102" t="s">
        <v>1048</v>
      </c>
      <c r="G142" s="102" t="s">
        <v>186</v>
      </c>
      <c r="H142" s="101" t="str">
        <f>VLOOKUP(G142,'01. TH'!$B:$E,3,0)</f>
        <v>4780 x 2550 x 3000</v>
      </c>
      <c r="I142" s="101" t="s">
        <v>24</v>
      </c>
      <c r="J142" s="105">
        <v>45540</v>
      </c>
      <c r="K142" s="101" t="str">
        <f>IF(COUNTIF('TT BTSC'!$D:$D,B142)&gt;0,"Hư hỏng","Bình thường")</f>
        <v>Bình thường</v>
      </c>
      <c r="L142" s="101"/>
      <c r="M142" s="182"/>
      <c r="N142" s="101" t="s">
        <v>976</v>
      </c>
      <c r="O142" s="110" t="s">
        <v>977</v>
      </c>
      <c r="P142" s="101">
        <v>2022</v>
      </c>
      <c r="Q142" s="101" t="s">
        <v>1057</v>
      </c>
      <c r="R142" s="101" t="s">
        <v>64</v>
      </c>
      <c r="S142" s="110" t="s">
        <v>1058</v>
      </c>
      <c r="T142" s="111" t="s">
        <v>1059</v>
      </c>
      <c r="U142" s="111">
        <v>14</v>
      </c>
      <c r="V142" s="895">
        <v>300</v>
      </c>
      <c r="W142" s="895"/>
      <c r="X142" s="895"/>
      <c r="Y142" s="895"/>
    </row>
    <row r="143" ht="13.5" customHeight="1" outlineLevel="1" spans="1:25">
      <c r="A143" s="103">
        <f t="shared" si="5"/>
        <v>7</v>
      </c>
      <c r="B143" s="102" t="s">
        <v>1060</v>
      </c>
      <c r="C143" s="102" t="s">
        <v>1061</v>
      </c>
      <c r="D143" s="103" t="str">
        <f>IFERROR(VLOOKUP(B143,' 02.1 KLH-CN MÃ BRAVO MM'!$B:$C,2,0),"")</f>
        <v>ATT-A23-0019</v>
      </c>
      <c r="E143" s="103"/>
      <c r="F143" s="103" t="s">
        <v>451</v>
      </c>
      <c r="G143" s="102" t="s">
        <v>207</v>
      </c>
      <c r="H143" s="101" t="str">
        <f>VLOOKUP(G143,'01. TH'!$B:$E,3,0)</f>
        <v>3445 x 1865 x 2535</v>
      </c>
      <c r="I143" s="101" t="s">
        <v>24</v>
      </c>
      <c r="J143" s="101" t="s">
        <v>1062</v>
      </c>
      <c r="K143" s="101" t="str">
        <f>IF(COUNTIF('TT BTSC'!$D:$D,B143)&gt;0,"Hư hỏng","Bình thường")</f>
        <v>Bình thường</v>
      </c>
      <c r="L143" s="101"/>
      <c r="M143" s="182" t="s">
        <v>1063</v>
      </c>
      <c r="N143" s="101" t="s">
        <v>759</v>
      </c>
      <c r="O143" s="110" t="s">
        <v>453</v>
      </c>
      <c r="P143" s="101">
        <v>2013</v>
      </c>
      <c r="Q143" s="101" t="s">
        <v>1064</v>
      </c>
      <c r="R143" s="101" t="s">
        <v>208</v>
      </c>
      <c r="S143" s="110">
        <v>57548</v>
      </c>
      <c r="T143" s="111" t="s">
        <v>462</v>
      </c>
      <c r="U143" s="111">
        <v>3.5</v>
      </c>
      <c r="V143" s="895">
        <v>90</v>
      </c>
      <c r="W143" s="895"/>
      <c r="X143" s="895"/>
      <c r="Y143" s="895"/>
    </row>
    <row r="144" ht="13.5" customHeight="1" outlineLevel="1" spans="1:25">
      <c r="A144" s="103">
        <f t="shared" si="5"/>
        <v>8</v>
      </c>
      <c r="B144" s="102" t="s">
        <v>1065</v>
      </c>
      <c r="C144" s="102" t="s">
        <v>492</v>
      </c>
      <c r="D144" s="103" t="s">
        <v>1066</v>
      </c>
      <c r="E144" s="103"/>
      <c r="F144" s="102" t="s">
        <v>492</v>
      </c>
      <c r="G144" s="102" t="s">
        <v>191</v>
      </c>
      <c r="H144" s="101" t="str">
        <f>VLOOKUP(G144,'01. TH'!$B:$E,3,0)</f>
        <v>4200 x 2600 x 2900</v>
      </c>
      <c r="I144" s="101" t="s">
        <v>24</v>
      </c>
      <c r="J144" s="105">
        <v>45360</v>
      </c>
      <c r="K144" s="101" t="str">
        <f>IF(COUNTIF('TT BTSC'!$D:$D,B144)&gt;0,"Hư hỏng","Bình thường")</f>
        <v>Bình thường</v>
      </c>
      <c r="L144" s="101"/>
      <c r="M144" s="183" t="s">
        <v>653</v>
      </c>
      <c r="N144" s="101" t="s">
        <v>976</v>
      </c>
      <c r="O144" s="110" t="s">
        <v>1067</v>
      </c>
      <c r="P144" s="101">
        <v>1998</v>
      </c>
      <c r="Q144" s="101">
        <v>6400</v>
      </c>
      <c r="R144" s="101" t="s">
        <v>124</v>
      </c>
      <c r="S144" s="110" t="s">
        <v>1068</v>
      </c>
      <c r="T144" s="111" t="s">
        <v>1069</v>
      </c>
      <c r="U144" s="111">
        <v>6</v>
      </c>
      <c r="V144" s="895">
        <v>165</v>
      </c>
      <c r="W144" s="895"/>
      <c r="X144" s="895"/>
      <c r="Y144" s="895"/>
    </row>
    <row r="145" ht="13.5" customHeight="1" outlineLevel="1" spans="1:25">
      <c r="A145" s="103">
        <f t="shared" si="5"/>
        <v>9</v>
      </c>
      <c r="B145" s="102" t="s">
        <v>1070</v>
      </c>
      <c r="C145" s="104" t="s">
        <v>1071</v>
      </c>
      <c r="D145" s="103" t="s">
        <v>1072</v>
      </c>
      <c r="E145" s="103"/>
      <c r="F145" s="103" t="s">
        <v>1073</v>
      </c>
      <c r="G145" s="104" t="s">
        <v>201</v>
      </c>
      <c r="H145" s="101" t="str">
        <f>VLOOKUP(G145,'01. TH'!$B:$E,3,0)</f>
        <v>5300 x 2620 x 3010</v>
      </c>
      <c r="I145" s="101" t="s">
        <v>24</v>
      </c>
      <c r="J145" s="103" t="s">
        <v>1074</v>
      </c>
      <c r="K145" s="101" t="str">
        <f>IF(COUNTIF('TT BTSC'!$D:$D,B145)&gt;0,"Hư hỏng","Bình thường")</f>
        <v>Bình thường</v>
      </c>
      <c r="L145" s="113"/>
      <c r="M145" s="182" t="s">
        <v>1075</v>
      </c>
      <c r="N145" s="103" t="s">
        <v>1015</v>
      </c>
      <c r="O145" s="111" t="s">
        <v>1016</v>
      </c>
      <c r="P145" s="103">
        <v>2024</v>
      </c>
      <c r="Q145" s="103">
        <v>1504</v>
      </c>
      <c r="R145" s="103" t="s">
        <v>1076</v>
      </c>
      <c r="S145" s="111" t="s">
        <v>1077</v>
      </c>
      <c r="T145" s="111" t="s">
        <v>462</v>
      </c>
      <c r="U145" s="111">
        <v>13</v>
      </c>
      <c r="V145" s="895">
        <v>350</v>
      </c>
      <c r="W145" s="895"/>
      <c r="X145" s="895"/>
      <c r="Y145" s="895"/>
    </row>
    <row r="146" ht="13.5" customHeight="1" outlineLevel="1" spans="1:25">
      <c r="A146" s="103">
        <f t="shared" si="5"/>
        <v>10</v>
      </c>
      <c r="B146" s="102" t="s">
        <v>1078</v>
      </c>
      <c r="C146" s="124" t="s">
        <v>492</v>
      </c>
      <c r="D146" s="103" t="s">
        <v>1079</v>
      </c>
      <c r="E146" s="103"/>
      <c r="F146" s="124" t="s">
        <v>492</v>
      </c>
      <c r="G146" s="102" t="s">
        <v>178</v>
      </c>
      <c r="H146" s="101" t="str">
        <f>VLOOKUP(G146,'01. TH'!$B:$E,3,0)</f>
        <v>4780 x 2030 x 2840</v>
      </c>
      <c r="I146" s="101" t="s">
        <v>24</v>
      </c>
      <c r="J146" s="105">
        <v>45993</v>
      </c>
      <c r="K146" s="101" t="str">
        <f>IF(COUNTIF('TT BTSC'!$D:$D,B146)&gt;0,"Hư hỏng","Bình thường")</f>
        <v>Bình thường</v>
      </c>
      <c r="L146" s="101"/>
      <c r="M146" s="182" t="s">
        <v>653</v>
      </c>
      <c r="N146" s="101" t="s">
        <v>976</v>
      </c>
      <c r="O146" s="110" t="s">
        <v>1067</v>
      </c>
      <c r="P146" s="101">
        <v>1993</v>
      </c>
      <c r="Q146" s="101">
        <v>3350</v>
      </c>
      <c r="R146" s="101" t="s">
        <v>124</v>
      </c>
      <c r="S146" s="110">
        <v>608107</v>
      </c>
      <c r="T146" s="111" t="s">
        <v>1080</v>
      </c>
      <c r="U146" s="111">
        <v>6.5</v>
      </c>
      <c r="V146" s="895">
        <v>173</v>
      </c>
      <c r="W146" s="895"/>
      <c r="X146" s="895"/>
      <c r="Y146" s="895"/>
    </row>
    <row r="147" ht="12.75" customHeight="1" outlineLevel="1" spans="1:25">
      <c r="A147" s="103">
        <f t="shared" si="5"/>
        <v>11</v>
      </c>
      <c r="B147" s="102" t="s">
        <v>1081</v>
      </c>
      <c r="C147" s="124" t="s">
        <v>492</v>
      </c>
      <c r="D147" s="103" t="s">
        <v>1082</v>
      </c>
      <c r="E147" s="103"/>
      <c r="F147" s="124" t="s">
        <v>492</v>
      </c>
      <c r="G147" s="102" t="s">
        <v>180</v>
      </c>
      <c r="H147" s="101" t="str">
        <f>VLOOKUP(G147,'01. TH'!$B:$E,3,0)</f>
        <v>4890 x 2260 x 2880</v>
      </c>
      <c r="I147" s="101" t="s">
        <v>24</v>
      </c>
      <c r="J147" s="101" t="s">
        <v>1083</v>
      </c>
      <c r="K147" s="101" t="str">
        <f>IF(COUNTIF('TT BTSC'!$D:$D,B147)&gt;0,"Hư hỏng","Bình thường")</f>
        <v>Bình thường</v>
      </c>
      <c r="L147" s="101"/>
      <c r="M147" s="182" t="s">
        <v>653</v>
      </c>
      <c r="N147" s="101" t="s">
        <v>976</v>
      </c>
      <c r="O147" s="110" t="s">
        <v>1067</v>
      </c>
      <c r="P147" s="101">
        <v>1993</v>
      </c>
      <c r="Q147" s="101">
        <v>3650</v>
      </c>
      <c r="R147" s="101" t="s">
        <v>87</v>
      </c>
      <c r="S147" s="110" t="s">
        <v>1084</v>
      </c>
      <c r="T147" s="111" t="s">
        <v>1085</v>
      </c>
      <c r="U147" s="111">
        <v>9.4</v>
      </c>
      <c r="V147" s="895">
        <v>170</v>
      </c>
      <c r="W147" s="895"/>
      <c r="X147" s="895"/>
      <c r="Y147" s="895"/>
    </row>
    <row r="148" ht="13.5" customHeight="1" outlineLevel="1" spans="1:25">
      <c r="A148" s="103">
        <f t="shared" si="5"/>
        <v>12</v>
      </c>
      <c r="B148" s="102" t="s">
        <v>1086</v>
      </c>
      <c r="C148" s="124" t="s">
        <v>492</v>
      </c>
      <c r="D148" s="103" t="s">
        <v>1087</v>
      </c>
      <c r="E148" s="103"/>
      <c r="F148" s="124" t="s">
        <v>492</v>
      </c>
      <c r="G148" s="102" t="s">
        <v>179</v>
      </c>
      <c r="H148" s="101" t="str">
        <f>VLOOKUP(G148,'01. TH'!$B:$E,3,0)</f>
        <v>4800 x 2150 x 2970</v>
      </c>
      <c r="I148" s="101" t="s">
        <v>24</v>
      </c>
      <c r="J148" s="101" t="s">
        <v>1088</v>
      </c>
      <c r="K148" s="101" t="str">
        <f>IF(COUNTIF('TT BTSC'!$D:$D,B148)&gt;0,"Hư hỏng","Bình thường")</f>
        <v>Bình thường</v>
      </c>
      <c r="L148" s="101"/>
      <c r="M148" s="182" t="s">
        <v>653</v>
      </c>
      <c r="N148" s="101" t="s">
        <v>976</v>
      </c>
      <c r="O148" s="110" t="s">
        <v>597</v>
      </c>
      <c r="P148" s="101">
        <v>1987</v>
      </c>
      <c r="Q148" s="101">
        <v>3640</v>
      </c>
      <c r="R148" s="101" t="s">
        <v>87</v>
      </c>
      <c r="S148" s="110" t="s">
        <v>1089</v>
      </c>
      <c r="T148" s="111" t="s">
        <v>1090</v>
      </c>
      <c r="U148" s="111"/>
      <c r="V148" s="895">
        <v>186</v>
      </c>
      <c r="W148" s="895"/>
      <c r="X148" s="895"/>
      <c r="Y148" s="895"/>
    </row>
    <row r="149" ht="13.5" customHeight="1" outlineLevel="1" spans="1:25">
      <c r="A149" s="103">
        <f t="shared" si="5"/>
        <v>13</v>
      </c>
      <c r="B149" s="102" t="s">
        <v>1091</v>
      </c>
      <c r="C149" s="124" t="s">
        <v>492</v>
      </c>
      <c r="D149" s="103" t="s">
        <v>1092</v>
      </c>
      <c r="E149" s="103"/>
      <c r="F149" s="124" t="s">
        <v>492</v>
      </c>
      <c r="G149" s="102" t="s">
        <v>190</v>
      </c>
      <c r="H149" s="101" t="str">
        <f>VLOOKUP(G149,'01. TH'!$B:$E,3,0)</f>
        <v>4800 x 2007 x 2743</v>
      </c>
      <c r="I149" s="101" t="s">
        <v>24</v>
      </c>
      <c r="J149" s="101" t="s">
        <v>1088</v>
      </c>
      <c r="K149" s="101" t="str">
        <f>IF(COUNTIF('TT BTSC'!$D:$D,B149)&gt;0,"Hư hỏng","Bình thường")</f>
        <v>Bình thường</v>
      </c>
      <c r="L149" s="101"/>
      <c r="M149" s="182" t="s">
        <v>653</v>
      </c>
      <c r="N149" s="101" t="s">
        <v>976</v>
      </c>
      <c r="O149" s="110" t="s">
        <v>597</v>
      </c>
      <c r="P149" s="101">
        <v>1994</v>
      </c>
      <c r="Q149" s="101">
        <v>6300</v>
      </c>
      <c r="R149" s="101" t="s">
        <v>188</v>
      </c>
      <c r="S149" s="110" t="s">
        <v>1093</v>
      </c>
      <c r="T149" s="111" t="s">
        <v>1094</v>
      </c>
      <c r="U149" s="111"/>
      <c r="V149" s="895">
        <v>165</v>
      </c>
      <c r="W149" s="895"/>
      <c r="X149" s="895"/>
      <c r="Y149" s="895"/>
    </row>
    <row r="150" ht="13.5" customHeight="1" outlineLevel="1" spans="1:25">
      <c r="A150" s="103">
        <f t="shared" si="5"/>
        <v>14</v>
      </c>
      <c r="B150" s="102" t="s">
        <v>1095</v>
      </c>
      <c r="C150" s="102"/>
      <c r="D150" s="103" t="s">
        <v>1096</v>
      </c>
      <c r="E150" s="103"/>
      <c r="F150" s="103" t="s">
        <v>1073</v>
      </c>
      <c r="G150" s="102" t="s">
        <v>201</v>
      </c>
      <c r="H150" s="101" t="str">
        <f>VLOOKUP(G150,'01. TH'!$B:$E,3,0)</f>
        <v>5300 x 2620 x 3010</v>
      </c>
      <c r="I150" s="101" t="s">
        <v>24</v>
      </c>
      <c r="J150" s="103" t="s">
        <v>1014</v>
      </c>
      <c r="K150" s="101" t="str">
        <f>IF(COUNTIF('TT BTSC'!$D:$D,B150)&gt;0,"Hư hỏng","Bình thường")</f>
        <v>Bình thường</v>
      </c>
      <c r="L150" s="101"/>
      <c r="M150" s="182" t="s">
        <v>653</v>
      </c>
      <c r="N150" s="101" t="s">
        <v>1015</v>
      </c>
      <c r="O150" s="110" t="s">
        <v>1016</v>
      </c>
      <c r="P150" s="101">
        <v>2025</v>
      </c>
      <c r="Q150" s="101">
        <v>1504</v>
      </c>
      <c r="R150" s="101" t="s">
        <v>48</v>
      </c>
      <c r="S150" s="110" t="s">
        <v>1097</v>
      </c>
      <c r="T150" s="111" t="s">
        <v>1098</v>
      </c>
      <c r="U150" s="111">
        <v>13</v>
      </c>
      <c r="V150" s="895">
        <v>350</v>
      </c>
      <c r="W150" s="192"/>
      <c r="X150" s="192"/>
      <c r="Y150" s="192"/>
    </row>
    <row r="151" ht="13.5" customHeight="1" outlineLevel="1" spans="1:25">
      <c r="A151" s="103"/>
      <c r="B151" s="102"/>
      <c r="C151" s="102"/>
      <c r="D151" s="103"/>
      <c r="E151" s="103"/>
      <c r="F151" s="103"/>
      <c r="G151" s="102"/>
      <c r="H151" s="101"/>
      <c r="I151" s="101"/>
      <c r="J151" s="105"/>
      <c r="K151" s="101"/>
      <c r="L151" s="101"/>
      <c r="M151" s="182"/>
      <c r="N151" s="101"/>
      <c r="O151" s="110"/>
      <c r="P151" s="101"/>
      <c r="Q151" s="101"/>
      <c r="R151" s="101"/>
      <c r="S151" s="110"/>
      <c r="T151" s="111"/>
      <c r="U151" s="111"/>
      <c r="V151" s="192"/>
      <c r="W151" s="192"/>
      <c r="X151" s="192"/>
      <c r="Y151" s="192"/>
    </row>
    <row r="152" ht="13.5" customHeight="1" outlineLevel="1" spans="1:25">
      <c r="A152" s="103"/>
      <c r="B152" s="102"/>
      <c r="C152" s="102" t="s">
        <v>946</v>
      </c>
      <c r="D152" s="103"/>
      <c r="E152" s="103"/>
      <c r="F152" s="103"/>
      <c r="G152" s="102"/>
      <c r="H152" s="101" t="e">
        <f>VLOOKUP(G152,'01. TH'!$B:$E,3,0)</f>
        <v>#N/A</v>
      </c>
      <c r="I152" s="101"/>
      <c r="J152" s="105"/>
      <c r="K152" s="101"/>
      <c r="L152" s="101"/>
      <c r="M152" s="182"/>
      <c r="N152" s="101"/>
      <c r="O152" s="110"/>
      <c r="P152" s="101"/>
      <c r="Q152" s="101"/>
      <c r="R152" s="101"/>
      <c r="S152" s="110"/>
      <c r="T152" s="111"/>
      <c r="U152" s="111"/>
      <c r="V152" s="192"/>
      <c r="W152" s="192"/>
      <c r="X152" s="192"/>
      <c r="Y152" s="192"/>
    </row>
    <row r="153" ht="13.5" customHeight="1" spans="1:25">
      <c r="A153" s="96" t="s">
        <v>1099</v>
      </c>
      <c r="B153" s="901" t="s">
        <v>1100</v>
      </c>
      <c r="C153" s="96">
        <f>COUNTA($B$154:$B$159)</f>
        <v>4</v>
      </c>
      <c r="D153" s="902" t="str">
        <f>IFERROR(VLOOKUP(B153,' 02.1 KLH-CN MÃ BRAVO MM'!$B:$C,2,0),"")</f>
        <v/>
      </c>
      <c r="E153" s="903"/>
      <c r="F153" s="903"/>
      <c r="G153" s="96"/>
      <c r="H153" s="97"/>
      <c r="I153" s="902"/>
      <c r="J153" s="904"/>
      <c r="K153" s="97"/>
      <c r="L153" s="903"/>
      <c r="M153" s="905"/>
      <c r="N153" s="903"/>
      <c r="O153" s="902"/>
      <c r="P153" s="902"/>
      <c r="Q153" s="902"/>
      <c r="R153" s="902"/>
      <c r="S153" s="902"/>
      <c r="T153" s="902"/>
      <c r="U153" s="906"/>
      <c r="V153" s="192"/>
      <c r="W153" s="192"/>
      <c r="X153" s="192"/>
      <c r="Y153" s="192"/>
    </row>
    <row r="154" ht="13.5" customHeight="1" outlineLevel="1" spans="1:25">
      <c r="A154" s="103">
        <v>1</v>
      </c>
      <c r="B154" s="104" t="s">
        <v>1101</v>
      </c>
      <c r="C154" s="104" t="s">
        <v>1102</v>
      </c>
      <c r="D154" s="103" t="str">
        <f>IFERROR(VLOOKUP(B154,' 02.1 KLH-CN MÃ BRAVO MM'!$B:$C,2,0),"")</f>
        <v>ATT-A23-0017</v>
      </c>
      <c r="E154" s="103"/>
      <c r="F154" s="103" t="s">
        <v>451</v>
      </c>
      <c r="G154" s="104" t="s">
        <v>210</v>
      </c>
      <c r="H154" s="101" t="str">
        <f>VLOOKUP(G154,'01. TH'!$B:$E,3,0)</f>
        <v/>
      </c>
      <c r="I154" s="103" t="s">
        <v>1103</v>
      </c>
      <c r="J154" s="112"/>
      <c r="K154" s="101" t="str">
        <f>IF(COUNTIF('TT BTSC'!$D:$D,B154)&gt;0,"Hư hỏng","Bình thường")</f>
        <v>Bình thường</v>
      </c>
      <c r="L154" s="103"/>
      <c r="M154" s="183"/>
      <c r="N154" s="103" t="s">
        <v>1104</v>
      </c>
      <c r="O154" s="111" t="s">
        <v>1105</v>
      </c>
      <c r="P154" s="103">
        <v>2018</v>
      </c>
      <c r="Q154" s="103" t="s">
        <v>1106</v>
      </c>
      <c r="R154" s="103" t="s">
        <v>48</v>
      </c>
      <c r="S154" s="111">
        <v>73737</v>
      </c>
      <c r="T154" s="111" t="s">
        <v>462</v>
      </c>
      <c r="U154" s="111">
        <v>11</v>
      </c>
      <c r="V154" s="895">
        <v>0</v>
      </c>
      <c r="W154" s="895"/>
      <c r="X154" s="895"/>
      <c r="Y154" s="895"/>
    </row>
    <row r="155" ht="13.5" customHeight="1" outlineLevel="1" spans="1:25">
      <c r="A155" s="103">
        <f t="shared" ref="A155:A157" si="6">A154+1</f>
        <v>2</v>
      </c>
      <c r="B155" s="104" t="s">
        <v>1107</v>
      </c>
      <c r="C155" s="104" t="s">
        <v>1108</v>
      </c>
      <c r="D155" s="103" t="str">
        <f>IFERROR(VLOOKUP(B155,' 02.1 KLH-CN MÃ BRAVO MM'!$B:$C,2,0),"")</f>
        <v>ATT-A23-0016</v>
      </c>
      <c r="E155" s="103"/>
      <c r="F155" s="103" t="s">
        <v>451</v>
      </c>
      <c r="G155" s="104" t="s">
        <v>193</v>
      </c>
      <c r="H155" s="101" t="str">
        <f>VLOOKUP(G155,'01. TH'!$B:$E,3,0)</f>
        <v>4200 x 2600 x 2900</v>
      </c>
      <c r="I155" s="103" t="s">
        <v>1103</v>
      </c>
      <c r="J155" s="112">
        <v>43862</v>
      </c>
      <c r="K155" s="101" t="str">
        <f>IF(COUNTIF('TT BTSC'!$D:$D,B155)&gt;0,"Hư hỏng","Bình thường")</f>
        <v>Bình thường</v>
      </c>
      <c r="L155" s="113">
        <v>0.5</v>
      </c>
      <c r="M155" s="183"/>
      <c r="N155" s="101" t="s">
        <v>976</v>
      </c>
      <c r="O155" s="111" t="s">
        <v>977</v>
      </c>
      <c r="P155" s="103">
        <v>2018</v>
      </c>
      <c r="Q155" s="103">
        <v>6603</v>
      </c>
      <c r="R155" s="101" t="s">
        <v>102</v>
      </c>
      <c r="S155" s="111">
        <v>33027</v>
      </c>
      <c r="T155" s="111" t="s">
        <v>462</v>
      </c>
      <c r="U155" s="111">
        <v>9</v>
      </c>
      <c r="V155" s="895">
        <v>158</v>
      </c>
      <c r="W155" s="895"/>
      <c r="X155" s="895"/>
      <c r="Y155" s="895"/>
    </row>
    <row r="156" ht="13.5" customHeight="1" outlineLevel="1" spans="1:25">
      <c r="A156" s="103">
        <f t="shared" si="6"/>
        <v>3</v>
      </c>
      <c r="B156" s="102" t="s">
        <v>1109</v>
      </c>
      <c r="C156" s="102" t="s">
        <v>1110</v>
      </c>
      <c r="D156" s="103" t="str">
        <f>IFERROR(VLOOKUP(B156,' 02.1 KLH-CN MÃ BRAVO MM'!$B:$C,2,0),"")</f>
        <v>ATT-A22-0182</v>
      </c>
      <c r="E156" s="103"/>
      <c r="F156" s="103" t="s">
        <v>451</v>
      </c>
      <c r="G156" s="102" t="s">
        <v>209</v>
      </c>
      <c r="H156" s="101" t="str">
        <f>VLOOKUP(G156,'01. TH'!$B:$E,3,0)</f>
        <v>3760 x 1900 x 2570</v>
      </c>
      <c r="I156" s="101" t="s">
        <v>1103</v>
      </c>
      <c r="J156" s="105"/>
      <c r="K156" s="101" t="str">
        <f>IF(COUNTIF('TT BTSC'!$D:$D,B156)&gt;0,"Hư hỏng","Bình thường")</f>
        <v>Bình thường</v>
      </c>
      <c r="L156" s="101"/>
      <c r="M156" s="182"/>
      <c r="N156" s="101" t="s">
        <v>759</v>
      </c>
      <c r="O156" s="110" t="s">
        <v>453</v>
      </c>
      <c r="P156" s="101">
        <v>2011</v>
      </c>
      <c r="Q156" s="101">
        <v>9540</v>
      </c>
      <c r="R156" s="101" t="s">
        <v>120</v>
      </c>
      <c r="S156" s="110" t="s">
        <v>1111</v>
      </c>
      <c r="T156" s="111" t="s">
        <v>462</v>
      </c>
      <c r="U156" s="111">
        <v>3.8</v>
      </c>
      <c r="V156" s="895">
        <v>110</v>
      </c>
      <c r="W156" s="895"/>
      <c r="X156" s="895"/>
      <c r="Y156" s="895"/>
    </row>
    <row r="157" ht="13.5" customHeight="1" outlineLevel="1" spans="1:25">
      <c r="A157" s="103">
        <f t="shared" si="6"/>
        <v>4</v>
      </c>
      <c r="B157" s="102" t="s">
        <v>1112</v>
      </c>
      <c r="C157" s="102" t="s">
        <v>1048</v>
      </c>
      <c r="D157" s="103" t="str">
        <f>IFERROR(VLOOKUP(B157,' 02.1 KLH-CN MÃ BRAVO MM'!$B:$C,2,0),"")</f>
        <v>ATM-A24-0102</v>
      </c>
      <c r="E157" s="103"/>
      <c r="F157" s="103" t="s">
        <v>451</v>
      </c>
      <c r="G157" s="102" t="s">
        <v>181</v>
      </c>
      <c r="H157" s="101" t="str">
        <f>VLOOKUP(G157,'01. TH'!$B:$E,3,0)</f>
        <v>4100 x 2100 x 2600</v>
      </c>
      <c r="I157" s="101" t="s">
        <v>1103</v>
      </c>
      <c r="J157" s="101" t="s">
        <v>982</v>
      </c>
      <c r="K157" s="101" t="str">
        <f>IF(COUNTIF('TT BTSC'!$D:$D,B157)&gt;0,"Hư hỏng","Bình thường")</f>
        <v>Bình thường</v>
      </c>
      <c r="L157" s="101"/>
      <c r="M157" s="182" t="s">
        <v>1113</v>
      </c>
      <c r="N157" s="101" t="s">
        <v>976</v>
      </c>
      <c r="O157" s="110" t="s">
        <v>977</v>
      </c>
      <c r="P157" s="101">
        <v>2022</v>
      </c>
      <c r="Q157" s="101" t="s">
        <v>987</v>
      </c>
      <c r="R157" s="101" t="s">
        <v>177</v>
      </c>
      <c r="S157" s="110" t="s">
        <v>1114</v>
      </c>
      <c r="T157" s="111" t="s">
        <v>1115</v>
      </c>
      <c r="U157" s="111">
        <v>6</v>
      </c>
      <c r="V157" s="895">
        <v>112</v>
      </c>
      <c r="W157" s="895"/>
      <c r="X157" s="895"/>
      <c r="Y157" s="895"/>
    </row>
    <row r="158" ht="13.5" customHeight="1" outlineLevel="1" spans="1:25">
      <c r="A158" s="103"/>
      <c r="B158" s="102"/>
      <c r="C158" s="102"/>
      <c r="D158" s="103"/>
      <c r="E158" s="103"/>
      <c r="F158" s="103"/>
      <c r="G158" s="102"/>
      <c r="H158" s="101"/>
      <c r="I158" s="101"/>
      <c r="J158" s="101"/>
      <c r="K158" s="101"/>
      <c r="L158" s="101"/>
      <c r="M158" s="182"/>
      <c r="N158" s="101"/>
      <c r="O158" s="110"/>
      <c r="P158" s="101"/>
      <c r="Q158" s="101"/>
      <c r="R158" s="101"/>
      <c r="S158" s="110"/>
      <c r="T158" s="111"/>
      <c r="U158" s="111"/>
      <c r="V158" s="192"/>
      <c r="W158" s="192"/>
      <c r="X158" s="192"/>
      <c r="Y158" s="192"/>
    </row>
    <row r="159" ht="13.5" customHeight="1" outlineLevel="1" spans="1:25">
      <c r="A159" s="103"/>
      <c r="B159" s="102"/>
      <c r="C159" s="102" t="s">
        <v>946</v>
      </c>
      <c r="D159" s="103"/>
      <c r="E159" s="103"/>
      <c r="F159" s="103"/>
      <c r="G159" s="102"/>
      <c r="H159" s="101" t="e">
        <f>VLOOKUP(G159,'01. TH'!$B:$E,3,0)</f>
        <v>#N/A</v>
      </c>
      <c r="I159" s="101"/>
      <c r="J159" s="101"/>
      <c r="K159" s="101"/>
      <c r="L159" s="101"/>
      <c r="M159" s="182"/>
      <c r="N159" s="101"/>
      <c r="O159" s="110"/>
      <c r="P159" s="101"/>
      <c r="Q159" s="101"/>
      <c r="R159" s="101"/>
      <c r="S159" s="110"/>
      <c r="T159" s="111"/>
      <c r="U159" s="111"/>
      <c r="V159" s="192"/>
      <c r="W159" s="192"/>
      <c r="X159" s="192"/>
      <c r="Y159" s="192"/>
    </row>
    <row r="160" ht="13.5" customHeight="1" spans="1:25">
      <c r="A160" s="91" t="s">
        <v>1116</v>
      </c>
      <c r="B160" s="91"/>
      <c r="C160" s="92">
        <f>C161+C190+C218+C253+C282+C323+C324+C325+C332</f>
        <v>164</v>
      </c>
      <c r="D160" s="91" t="str">
        <f>IFERROR(VLOOKUP(B160,' 02.1 KLH-CN MÃ BRAVO MM'!$B:$C,2,0),"")</f>
        <v/>
      </c>
      <c r="E160" s="92"/>
      <c r="F160" s="92"/>
      <c r="G160" s="92"/>
      <c r="H160" s="91"/>
      <c r="I160" s="91"/>
      <c r="J160" s="93"/>
      <c r="K160" s="91"/>
      <c r="L160" s="92"/>
      <c r="M160" s="91"/>
      <c r="N160" s="92"/>
      <c r="O160" s="91"/>
      <c r="P160" s="91"/>
      <c r="Q160" s="91"/>
      <c r="R160" s="91"/>
      <c r="S160" s="91"/>
      <c r="T160" s="91"/>
      <c r="U160" s="91"/>
      <c r="V160" s="192"/>
      <c r="W160" s="192"/>
      <c r="X160" s="192"/>
      <c r="Y160" s="192"/>
    </row>
    <row r="161" ht="13.5" customHeight="1" spans="1:25">
      <c r="A161" s="96" t="s">
        <v>1117</v>
      </c>
      <c r="B161" s="97" t="s">
        <v>1118</v>
      </c>
      <c r="C161" s="96">
        <f>COUNTA($B$162:$B$189)</f>
        <v>26</v>
      </c>
      <c r="D161" s="97" t="str">
        <f>IFERROR(VLOOKUP(B161,' 02.1 KLH-CN MÃ BRAVO MM'!$B:$C,2,0),"")</f>
        <v/>
      </c>
      <c r="E161" s="96"/>
      <c r="F161" s="96"/>
      <c r="G161" s="96"/>
      <c r="H161" s="97"/>
      <c r="I161" s="97"/>
      <c r="J161" s="98"/>
      <c r="K161" s="97"/>
      <c r="L161" s="96"/>
      <c r="M161" s="97"/>
      <c r="N161" s="96"/>
      <c r="O161" s="97"/>
      <c r="P161" s="97"/>
      <c r="Q161" s="97"/>
      <c r="R161" s="97"/>
      <c r="S161" s="97"/>
      <c r="T161" s="97"/>
      <c r="U161" s="97"/>
      <c r="V161" s="192"/>
      <c r="W161" s="192"/>
      <c r="X161" s="192"/>
      <c r="Y161" s="192"/>
    </row>
    <row r="162" ht="13.5" customHeight="1" outlineLevel="1" spans="1:25">
      <c r="A162" s="101">
        <v>1</v>
      </c>
      <c r="B162" s="102" t="s">
        <v>1119</v>
      </c>
      <c r="C162" s="102" t="s">
        <v>1120</v>
      </c>
      <c r="D162" s="103" t="str">
        <f>IFERROR(VLOOKUP(B162,' 02.1 KLH-CN MÃ BRAVO MM'!$B:$C,2,0),"")</f>
        <v>A23-MKE-012</v>
      </c>
      <c r="E162" s="103"/>
      <c r="F162" s="103" t="s">
        <v>451</v>
      </c>
      <c r="G162" s="102" t="s">
        <v>197</v>
      </c>
      <c r="H162" s="101" t="str">
        <f>VLOOKUP(G162,'01. TH'!$B:$E,3,0)</f>
        <v>3226 x 1570 x 1545</v>
      </c>
      <c r="I162" s="101" t="s">
        <v>1121</v>
      </c>
      <c r="J162" s="105"/>
      <c r="K162" s="101" t="str">
        <f>IF(COUNTIF('TT BTSC'!$D:$D,B162)&gt;0,"Hư hỏng","Bình thường")</f>
        <v>Bình thường</v>
      </c>
      <c r="L162" s="101"/>
      <c r="M162" s="182"/>
      <c r="N162" s="101" t="s">
        <v>1019</v>
      </c>
      <c r="O162" s="110" t="s">
        <v>500</v>
      </c>
      <c r="P162" s="101">
        <v>2018</v>
      </c>
      <c r="Q162" s="101" t="s">
        <v>1122</v>
      </c>
      <c r="R162" s="101" t="s">
        <v>128</v>
      </c>
      <c r="S162" s="110" t="s">
        <v>1123</v>
      </c>
      <c r="T162" s="111" t="s">
        <v>462</v>
      </c>
      <c r="U162" s="111">
        <v>2.5</v>
      </c>
      <c r="V162" s="895">
        <v>0</v>
      </c>
      <c r="W162" s="895"/>
      <c r="X162" s="895"/>
      <c r="Y162" s="895"/>
    </row>
    <row r="163" ht="13.5" customHeight="1" outlineLevel="1" spans="1:25">
      <c r="A163" s="101">
        <f t="shared" ref="A163:A187" si="7">A162+1</f>
        <v>2</v>
      </c>
      <c r="B163" s="102" t="s">
        <v>1124</v>
      </c>
      <c r="C163" s="102" t="s">
        <v>1125</v>
      </c>
      <c r="D163" s="103" t="str">
        <f>IFERROR(VLOOKUP(B163,' 02.1 KLH-CN MÃ BRAVO MM'!$B:$C,2,0),"")</f>
        <v>A23-MKE-013</v>
      </c>
      <c r="E163" s="103"/>
      <c r="F163" s="103" t="s">
        <v>451</v>
      </c>
      <c r="G163" s="102" t="s">
        <v>197</v>
      </c>
      <c r="H163" s="101" t="str">
        <f>VLOOKUP(G163,'01. TH'!$B:$E,3,0)</f>
        <v>3226 x 1570 x 1545</v>
      </c>
      <c r="I163" s="101" t="s">
        <v>1121</v>
      </c>
      <c r="J163" s="105"/>
      <c r="K163" s="101" t="s">
        <v>1126</v>
      </c>
      <c r="L163" s="101"/>
      <c r="M163" s="182" t="s">
        <v>1127</v>
      </c>
      <c r="N163" s="101" t="s">
        <v>1019</v>
      </c>
      <c r="O163" s="110" t="s">
        <v>500</v>
      </c>
      <c r="P163" s="101">
        <v>2018</v>
      </c>
      <c r="Q163" s="101" t="s">
        <v>1122</v>
      </c>
      <c r="R163" s="101" t="s">
        <v>128</v>
      </c>
      <c r="S163" s="110" t="s">
        <v>1128</v>
      </c>
      <c r="T163" s="111" t="s">
        <v>462</v>
      </c>
      <c r="U163" s="111">
        <v>2.5</v>
      </c>
      <c r="V163" s="895">
        <v>0</v>
      </c>
      <c r="W163" s="895"/>
      <c r="X163" s="895"/>
      <c r="Y163" s="895"/>
    </row>
    <row r="164" ht="13.5" customHeight="1" outlineLevel="1" spans="1:25">
      <c r="A164" s="101">
        <f t="shared" si="7"/>
        <v>3</v>
      </c>
      <c r="B164" s="102" t="s">
        <v>1129</v>
      </c>
      <c r="C164" s="102" t="s">
        <v>1130</v>
      </c>
      <c r="D164" s="103" t="str">
        <f>IFERROR(VLOOKUP(B164,' 02.1 KLH-CN MÃ BRAVO MM'!$B:$C,2,0),"")</f>
        <v>A23-MKE-014</v>
      </c>
      <c r="E164" s="103"/>
      <c r="F164" s="103" t="s">
        <v>451</v>
      </c>
      <c r="G164" s="102" t="s">
        <v>197</v>
      </c>
      <c r="H164" s="101" t="str">
        <f>VLOOKUP(G164,'01. TH'!$B:$E,3,0)</f>
        <v>3226 x 1570 x 1545</v>
      </c>
      <c r="I164" s="101" t="s">
        <v>1121</v>
      </c>
      <c r="J164" s="101" t="s">
        <v>1131</v>
      </c>
      <c r="K164" s="101" t="str">
        <f>IF(COUNTIF('TT BTSC'!$D:$D,B164)&gt;0,"Hư hỏng","Bình thường")</f>
        <v>Bình thường</v>
      </c>
      <c r="L164" s="101"/>
      <c r="M164" s="182" t="s">
        <v>1132</v>
      </c>
      <c r="N164" s="101" t="s">
        <v>1019</v>
      </c>
      <c r="O164" s="110" t="s">
        <v>500</v>
      </c>
      <c r="P164" s="101">
        <v>2018</v>
      </c>
      <c r="Q164" s="101" t="s">
        <v>1122</v>
      </c>
      <c r="R164" s="101" t="s">
        <v>128</v>
      </c>
      <c r="S164" s="110" t="s">
        <v>1133</v>
      </c>
      <c r="T164" s="111" t="s">
        <v>462</v>
      </c>
      <c r="U164" s="111">
        <v>2.5</v>
      </c>
      <c r="V164" s="895">
        <v>0</v>
      </c>
      <c r="W164" s="895"/>
      <c r="X164" s="895"/>
      <c r="Y164" s="895"/>
    </row>
    <row r="165" ht="13.5" customHeight="1" outlineLevel="1" spans="1:25">
      <c r="A165" s="101">
        <f t="shared" si="7"/>
        <v>4</v>
      </c>
      <c r="B165" s="104" t="s">
        <v>1134</v>
      </c>
      <c r="C165" s="104" t="s">
        <v>1135</v>
      </c>
      <c r="D165" s="103" t="str">
        <f>IFERROR(VLOOKUP(B165,' 02.1 KLH-CN MÃ BRAVO MM'!$B:$C,2,0),"")</f>
        <v/>
      </c>
      <c r="E165" s="103"/>
      <c r="F165" s="103" t="s">
        <v>451</v>
      </c>
      <c r="G165" s="102" t="s">
        <v>200</v>
      </c>
      <c r="H165" s="101" t="str">
        <f>VLOOKUP(G165,'01. TH'!$B:$E,3,0)</f>
        <v>3120 x 1495 x 1510</v>
      </c>
      <c r="I165" s="103" t="s">
        <v>1121</v>
      </c>
      <c r="J165" s="112"/>
      <c r="K165" s="101" t="str">
        <f>IF(COUNTIF('TT BTSC'!$D:$D,B165)&gt;0,"Hư hỏng","Bình thường")</f>
        <v>Bình thường</v>
      </c>
      <c r="L165" s="103"/>
      <c r="M165" s="183" t="s">
        <v>1136</v>
      </c>
      <c r="N165" s="103" t="s">
        <v>759</v>
      </c>
      <c r="O165" s="111" t="s">
        <v>453</v>
      </c>
      <c r="P165" s="103">
        <v>2019</v>
      </c>
      <c r="Q165" s="103" t="s">
        <v>1137</v>
      </c>
      <c r="R165" s="103" t="s">
        <v>41</v>
      </c>
      <c r="S165" s="111">
        <v>14793</v>
      </c>
      <c r="T165" s="111" t="s">
        <v>462</v>
      </c>
      <c r="U165" s="111">
        <v>2</v>
      </c>
      <c r="V165" s="895">
        <v>0</v>
      </c>
      <c r="W165" s="895"/>
      <c r="X165" s="895"/>
      <c r="Y165" s="895"/>
    </row>
    <row r="166" ht="13.5" customHeight="1" outlineLevel="1" spans="1:25">
      <c r="A166" s="101">
        <f t="shared" si="7"/>
        <v>5</v>
      </c>
      <c r="B166" s="102" t="s">
        <v>1138</v>
      </c>
      <c r="C166" s="102"/>
      <c r="D166" s="103" t="str">
        <f>IFERROR(VLOOKUP(B166,' 02.1 KLH-CN MÃ BRAVO MM'!$B:$C,2,0),"")</f>
        <v>ATT-A23-0044</v>
      </c>
      <c r="E166" s="103"/>
      <c r="F166" s="103" t="s">
        <v>451</v>
      </c>
      <c r="G166" s="102" t="s">
        <v>241</v>
      </c>
      <c r="H166" s="101" t="str">
        <f>VLOOKUP(G166,'01. TH'!$B:$E,3,0)</f>
        <v/>
      </c>
      <c r="I166" s="101" t="s">
        <v>1121</v>
      </c>
      <c r="J166" s="105"/>
      <c r="K166" s="101" t="str">
        <f>IF(COUNTIF('TT BTSC'!$D:$D,B166)&gt;0,"Hư hỏng","Bình thường")</f>
        <v>Bình thường</v>
      </c>
      <c r="L166" s="101"/>
      <c r="M166" s="182"/>
      <c r="N166" s="101" t="s">
        <v>1139</v>
      </c>
      <c r="O166" s="110" t="s">
        <v>1140</v>
      </c>
      <c r="P166" s="101">
        <v>2019</v>
      </c>
      <c r="Q166" s="101" t="s">
        <v>1141</v>
      </c>
      <c r="R166" s="101" t="s">
        <v>1142</v>
      </c>
      <c r="S166" s="110">
        <v>1501190100</v>
      </c>
      <c r="T166" s="111" t="s">
        <v>1143</v>
      </c>
      <c r="U166" s="111"/>
      <c r="V166" s="895">
        <v>0</v>
      </c>
      <c r="W166" s="895"/>
      <c r="X166" s="895"/>
      <c r="Y166" s="895"/>
    </row>
    <row r="167" ht="13.5" customHeight="1" outlineLevel="1" spans="1:25">
      <c r="A167" s="101">
        <f t="shared" si="7"/>
        <v>6</v>
      </c>
      <c r="B167" s="102" t="s">
        <v>1144</v>
      </c>
      <c r="C167" s="102"/>
      <c r="D167" s="103" t="s">
        <v>1145</v>
      </c>
      <c r="E167" s="103"/>
      <c r="F167" s="103" t="s">
        <v>504</v>
      </c>
      <c r="G167" s="102" t="s">
        <v>243</v>
      </c>
      <c r="H167" s="101"/>
      <c r="I167" s="101" t="s">
        <v>1121</v>
      </c>
      <c r="J167" s="105">
        <v>46361</v>
      </c>
      <c r="K167" s="101" t="str">
        <f>IF(COUNTIF('TT BTSC'!$D:$D,B167)&gt;0,"Hư hỏng","Bình thường")</f>
        <v>Bình thường</v>
      </c>
      <c r="L167" s="107"/>
      <c r="M167" s="206" t="s">
        <v>1146</v>
      </c>
      <c r="N167" s="101" t="s">
        <v>1015</v>
      </c>
      <c r="O167" s="110" t="s">
        <v>590</v>
      </c>
      <c r="P167" s="101">
        <v>2026</v>
      </c>
      <c r="Q167" s="101" t="s">
        <v>1147</v>
      </c>
      <c r="R167" s="101" t="s">
        <v>1148</v>
      </c>
      <c r="S167" s="110" t="s">
        <v>1149</v>
      </c>
      <c r="T167" s="111"/>
      <c r="U167" s="111"/>
      <c r="V167" s="895"/>
      <c r="W167" s="895"/>
      <c r="X167" s="895"/>
      <c r="Y167" s="895"/>
    </row>
    <row r="168" ht="13.5" customHeight="1" outlineLevel="1" spans="1:25">
      <c r="A168" s="101">
        <f t="shared" si="7"/>
        <v>7</v>
      </c>
      <c r="B168" s="102" t="s">
        <v>1150</v>
      </c>
      <c r="C168" s="102"/>
      <c r="D168" s="103" t="str">
        <f>IFERROR(VLOOKUP(B168,' 02.1 KLH-CN MÃ BRAVO MM'!$B:$C,2,0),"")</f>
        <v>ATT-A22-0314</v>
      </c>
      <c r="E168" s="103" t="s">
        <v>1151</v>
      </c>
      <c r="F168" s="103" t="s">
        <v>451</v>
      </c>
      <c r="G168" s="102" t="s">
        <v>251</v>
      </c>
      <c r="H168" s="101" t="str">
        <f>VLOOKUP(G168,'01. TH'!$B:$E,3,0)</f>
        <v>4730 x 1750 x 2100</v>
      </c>
      <c r="I168" s="101" t="s">
        <v>1121</v>
      </c>
      <c r="J168" s="105">
        <v>45566</v>
      </c>
      <c r="K168" s="101" t="str">
        <f>IF(COUNTIF('TT BTSC'!$D:$D,B168)&gt;0,"Hư hỏng","Bình thường")</f>
        <v>Bình thường</v>
      </c>
      <c r="L168" s="107">
        <v>0.98</v>
      </c>
      <c r="M168" s="182"/>
      <c r="N168" s="101" t="s">
        <v>1152</v>
      </c>
      <c r="O168" s="110" t="s">
        <v>500</v>
      </c>
      <c r="P168" s="101">
        <v>2021</v>
      </c>
      <c r="Q168" s="101" t="s">
        <v>1153</v>
      </c>
      <c r="R168" s="101" t="s">
        <v>44</v>
      </c>
      <c r="S168" s="110" t="s">
        <v>1154</v>
      </c>
      <c r="T168" s="111" t="s">
        <v>1155</v>
      </c>
      <c r="U168" s="111"/>
      <c r="V168" s="895">
        <v>60</v>
      </c>
      <c r="W168" s="895"/>
      <c r="X168" s="895"/>
      <c r="Y168" s="895"/>
    </row>
    <row r="169" ht="13.5" customHeight="1" outlineLevel="1" spans="1:25">
      <c r="A169" s="101">
        <f t="shared" si="7"/>
        <v>8</v>
      </c>
      <c r="B169" s="102" t="s">
        <v>1156</v>
      </c>
      <c r="C169" s="102" t="s">
        <v>1157</v>
      </c>
      <c r="D169" s="103" t="str">
        <f>IFERROR(VLOOKUP(B169,' 02.1 KLH-CN MÃ BRAVO MM'!$B:$C,2,0),"")</f>
        <v>A23-XPT-001</v>
      </c>
      <c r="E169" s="103"/>
      <c r="F169" s="103" t="s">
        <v>451</v>
      </c>
      <c r="G169" s="102" t="s">
        <v>1158</v>
      </c>
      <c r="H169" s="101" t="str">
        <f>VLOOKUP(G169,'01. TH'!$B:$E,3,0)</f>
        <v/>
      </c>
      <c r="I169" s="101" t="s">
        <v>1121</v>
      </c>
      <c r="J169" s="105">
        <v>45446</v>
      </c>
      <c r="K169" s="101" t="str">
        <f>IF(COUNTIF('TT BTSC'!$D:$D,B169)&gt;0,"Hư hỏng","Bình thường")</f>
        <v>Bình thường</v>
      </c>
      <c r="L169" s="101"/>
      <c r="M169" s="182" t="s">
        <v>1159</v>
      </c>
      <c r="N169" s="101" t="s">
        <v>1160</v>
      </c>
      <c r="O169" s="110" t="s">
        <v>1140</v>
      </c>
      <c r="P169" s="101">
        <v>2010</v>
      </c>
      <c r="Q169" s="101"/>
      <c r="R169" s="101"/>
      <c r="S169" s="110" t="s">
        <v>1161</v>
      </c>
      <c r="T169" s="111" t="s">
        <v>462</v>
      </c>
      <c r="U169" s="111">
        <v>3.75</v>
      </c>
      <c r="V169" s="192"/>
      <c r="W169" s="192"/>
      <c r="X169" s="192"/>
      <c r="Y169" s="192"/>
    </row>
    <row r="170" ht="13.5" customHeight="1" outlineLevel="1" spans="1:25">
      <c r="A170" s="101">
        <f t="shared" si="7"/>
        <v>9</v>
      </c>
      <c r="B170" s="104" t="s">
        <v>1162</v>
      </c>
      <c r="C170" s="104" t="s">
        <v>1163</v>
      </c>
      <c r="D170" s="103" t="str">
        <f>IFERROR(VLOOKUP(B170,' 02.1 KLH-CN MÃ BRAVO MM'!$B:$C,2,0),"")</f>
        <v>A23-XTA-008</v>
      </c>
      <c r="E170" s="103"/>
      <c r="F170" s="103" t="s">
        <v>451</v>
      </c>
      <c r="G170" s="104" t="s">
        <v>127</v>
      </c>
      <c r="H170" s="101" t="str">
        <f>VLOOKUP(G170,'01. TH'!$B:$E,3,0)</f>
        <v/>
      </c>
      <c r="I170" s="103" t="s">
        <v>1121</v>
      </c>
      <c r="J170" s="112"/>
      <c r="K170" s="101" t="str">
        <f>IF(COUNTIF('TT BTSC'!$D:$D,B170)&gt;0,"Hư hỏng","Bình thường")</f>
        <v>Bình thường</v>
      </c>
      <c r="L170" s="103"/>
      <c r="M170" s="183"/>
      <c r="N170" s="103" t="s">
        <v>1164</v>
      </c>
      <c r="O170" s="111" t="s">
        <v>1165</v>
      </c>
      <c r="P170" s="103"/>
      <c r="Q170" s="103"/>
      <c r="R170" s="103" t="s">
        <v>208</v>
      </c>
      <c r="S170" s="111">
        <v>113819</v>
      </c>
      <c r="T170" s="111" t="s">
        <v>462</v>
      </c>
      <c r="U170" s="111">
        <v>2</v>
      </c>
      <c r="V170" s="192"/>
      <c r="W170" s="192"/>
      <c r="X170" s="192"/>
      <c r="Y170" s="192"/>
    </row>
    <row r="171" ht="13.5" customHeight="1" outlineLevel="1" spans="1:25">
      <c r="A171" s="101">
        <f t="shared" si="7"/>
        <v>10</v>
      </c>
      <c r="B171" s="102" t="s">
        <v>1166</v>
      </c>
      <c r="C171" s="102" t="s">
        <v>1167</v>
      </c>
      <c r="D171" s="103" t="str">
        <f>IFERROR(VLOOKUP(B171,' 02.1 KLH-CN MÃ BRAVO MM'!$B:$C,2,0),"")</f>
        <v>A23-XTA-009</v>
      </c>
      <c r="E171" s="103"/>
      <c r="F171" s="103" t="s">
        <v>451</v>
      </c>
      <c r="G171" s="102" t="s">
        <v>127</v>
      </c>
      <c r="H171" s="101" t="str">
        <f>VLOOKUP(G171,'01. TH'!$B:$E,3,0)</f>
        <v/>
      </c>
      <c r="I171" s="101" t="s">
        <v>1121</v>
      </c>
      <c r="J171" s="101" t="s">
        <v>1168</v>
      </c>
      <c r="K171" s="101" t="str">
        <f>IF(COUNTIF('TT BTSC'!$D:$D,B171)&gt;0,"Hư hỏng","Bình thường")</f>
        <v>Bình thường</v>
      </c>
      <c r="L171" s="101"/>
      <c r="M171" s="182"/>
      <c r="N171" s="101" t="s">
        <v>1164</v>
      </c>
      <c r="O171" s="110" t="s">
        <v>1165</v>
      </c>
      <c r="P171" s="101"/>
      <c r="Q171" s="101"/>
      <c r="R171" s="101" t="s">
        <v>208</v>
      </c>
      <c r="S171" s="110">
        <v>78504</v>
      </c>
      <c r="T171" s="111" t="s">
        <v>462</v>
      </c>
      <c r="U171" s="111">
        <v>2</v>
      </c>
      <c r="V171" s="192"/>
      <c r="W171" s="192"/>
      <c r="X171" s="192"/>
      <c r="Y171" s="192"/>
    </row>
    <row r="172" ht="29.25" customHeight="1" outlineLevel="1" spans="1:25">
      <c r="A172" s="101">
        <f t="shared" si="7"/>
        <v>11</v>
      </c>
      <c r="B172" s="102" t="s">
        <v>1169</v>
      </c>
      <c r="C172" s="110" t="s">
        <v>1170</v>
      </c>
      <c r="D172" s="103" t="s">
        <v>1171</v>
      </c>
      <c r="E172" s="103"/>
      <c r="F172" s="103" t="s">
        <v>504</v>
      </c>
      <c r="G172" s="102" t="s">
        <v>111</v>
      </c>
      <c r="H172" s="101" t="str">
        <f>VLOOKUP(G172,'01. TH'!$B:$E,3,0)</f>
        <v>5250 x 2170 x 2520</v>
      </c>
      <c r="I172" s="101" t="s">
        <v>1121</v>
      </c>
      <c r="J172" s="105">
        <v>45632</v>
      </c>
      <c r="K172" s="101" t="str">
        <f>IF(COUNTIF('TT BTSC'!$D:$D,B172)&gt;0,"Hư hỏng","Bình thường")</f>
        <v>Bình thường</v>
      </c>
      <c r="L172" s="107">
        <v>1</v>
      </c>
      <c r="M172" s="182" t="s">
        <v>1172</v>
      </c>
      <c r="N172" s="101" t="s">
        <v>1019</v>
      </c>
      <c r="O172" s="110" t="s">
        <v>500</v>
      </c>
      <c r="P172" s="101">
        <v>2024</v>
      </c>
      <c r="Q172" s="101" t="s">
        <v>1173</v>
      </c>
      <c r="R172" s="101" t="s">
        <v>112</v>
      </c>
      <c r="S172" s="110" t="s">
        <v>1174</v>
      </c>
      <c r="T172" s="111" t="s">
        <v>1175</v>
      </c>
      <c r="U172" s="111">
        <v>0.33</v>
      </c>
      <c r="V172" s="895">
        <v>75</v>
      </c>
      <c r="W172" s="895"/>
      <c r="X172" s="895"/>
      <c r="Y172" s="895"/>
    </row>
    <row r="173" ht="29.25" customHeight="1" outlineLevel="1" spans="1:25">
      <c r="A173" s="101">
        <f t="shared" si="7"/>
        <v>12</v>
      </c>
      <c r="B173" s="102" t="s">
        <v>1176</v>
      </c>
      <c r="C173" s="110" t="s">
        <v>1177</v>
      </c>
      <c r="D173" s="103" t="s">
        <v>1178</v>
      </c>
      <c r="E173" s="103"/>
      <c r="F173" s="103" t="s">
        <v>504</v>
      </c>
      <c r="G173" s="102" t="s">
        <v>111</v>
      </c>
      <c r="H173" s="101" t="str">
        <f>VLOOKUP(G173,'01. TH'!$B:$E,3,0)</f>
        <v>5250 x 2170 x 2520</v>
      </c>
      <c r="I173" s="101" t="s">
        <v>1121</v>
      </c>
      <c r="J173" s="105">
        <v>45632</v>
      </c>
      <c r="K173" s="101" t="str">
        <f>IF(COUNTIF('TT BTSC'!$D:$D,B173)&gt;0,"Hư hỏng","Bình thường")</f>
        <v>Bình thường</v>
      </c>
      <c r="L173" s="107">
        <v>1</v>
      </c>
      <c r="M173" s="182" t="s">
        <v>1172</v>
      </c>
      <c r="N173" s="101" t="s">
        <v>1019</v>
      </c>
      <c r="O173" s="110" t="s">
        <v>500</v>
      </c>
      <c r="P173" s="101">
        <v>2024</v>
      </c>
      <c r="Q173" s="101" t="s">
        <v>1173</v>
      </c>
      <c r="R173" s="101" t="s">
        <v>112</v>
      </c>
      <c r="S173" s="110" t="s">
        <v>1179</v>
      </c>
      <c r="T173" s="111" t="s">
        <v>1180</v>
      </c>
      <c r="U173" s="111">
        <v>0.33</v>
      </c>
      <c r="V173" s="895">
        <v>75</v>
      </c>
      <c r="W173" s="895"/>
      <c r="X173" s="895"/>
      <c r="Y173" s="895"/>
    </row>
    <row r="174" ht="29.25" customHeight="1" outlineLevel="1" spans="1:25">
      <c r="A174" s="101">
        <f t="shared" si="7"/>
        <v>13</v>
      </c>
      <c r="B174" s="102" t="s">
        <v>1181</v>
      </c>
      <c r="C174" s="110" t="s">
        <v>1182</v>
      </c>
      <c r="D174" s="103" t="s">
        <v>1183</v>
      </c>
      <c r="E174" s="103"/>
      <c r="F174" s="103" t="s">
        <v>504</v>
      </c>
      <c r="G174" s="102" t="s">
        <v>111</v>
      </c>
      <c r="H174" s="101" t="str">
        <f>VLOOKUP(G174,'01. TH'!$B:$E,3,0)</f>
        <v>5250 x 2170 x 2520</v>
      </c>
      <c r="I174" s="101" t="s">
        <v>1121</v>
      </c>
      <c r="J174" s="105">
        <v>45632</v>
      </c>
      <c r="K174" s="101" t="str">
        <f>IF(COUNTIF('TT BTSC'!$D:$D,B174)&gt;0,"Hư hỏng","Bình thường")</f>
        <v>Bình thường</v>
      </c>
      <c r="L174" s="107">
        <v>1</v>
      </c>
      <c r="M174" s="182" t="s">
        <v>1172</v>
      </c>
      <c r="N174" s="101" t="s">
        <v>1019</v>
      </c>
      <c r="O174" s="110" t="s">
        <v>500</v>
      </c>
      <c r="P174" s="101">
        <v>2024</v>
      </c>
      <c r="Q174" s="101" t="s">
        <v>1173</v>
      </c>
      <c r="R174" s="101" t="s">
        <v>112</v>
      </c>
      <c r="S174" s="110" t="s">
        <v>1184</v>
      </c>
      <c r="T174" s="111" t="s">
        <v>1185</v>
      </c>
      <c r="U174" s="183">
        <v>3</v>
      </c>
      <c r="V174" s="895">
        <v>75</v>
      </c>
      <c r="W174" s="895"/>
      <c r="X174" s="895"/>
      <c r="Y174" s="895"/>
    </row>
    <row r="175" ht="29.25" customHeight="1" outlineLevel="1" spans="1:25">
      <c r="A175" s="101">
        <f t="shared" si="7"/>
        <v>14</v>
      </c>
      <c r="B175" s="102" t="s">
        <v>1186</v>
      </c>
      <c r="C175" s="110" t="s">
        <v>1187</v>
      </c>
      <c r="D175" s="103" t="s">
        <v>1188</v>
      </c>
      <c r="E175" s="103"/>
      <c r="F175" s="103" t="s">
        <v>504</v>
      </c>
      <c r="G175" s="102" t="s">
        <v>111</v>
      </c>
      <c r="H175" s="101" t="str">
        <f>VLOOKUP(G175,'01. TH'!$B:$E,3,0)</f>
        <v>5250 x 2170 x 2520</v>
      </c>
      <c r="I175" s="101" t="s">
        <v>1121</v>
      </c>
      <c r="J175" s="105">
        <v>45632</v>
      </c>
      <c r="K175" s="101" t="str">
        <f>IF(COUNTIF('TT BTSC'!$D:$D,B175)&gt;0,"Hư hỏng","Bình thường")</f>
        <v>Bình thường</v>
      </c>
      <c r="L175" s="107">
        <v>1</v>
      </c>
      <c r="M175" s="182" t="s">
        <v>1172</v>
      </c>
      <c r="N175" s="101" t="s">
        <v>1019</v>
      </c>
      <c r="O175" s="110" t="s">
        <v>500</v>
      </c>
      <c r="P175" s="101">
        <v>2024</v>
      </c>
      <c r="Q175" s="101" t="s">
        <v>1173</v>
      </c>
      <c r="R175" s="101" t="s">
        <v>112</v>
      </c>
      <c r="S175" s="110" t="s">
        <v>1189</v>
      </c>
      <c r="T175" s="111" t="s">
        <v>1190</v>
      </c>
      <c r="U175" s="111">
        <v>0.33</v>
      </c>
      <c r="V175" s="895">
        <v>75</v>
      </c>
      <c r="W175" s="895"/>
      <c r="X175" s="895"/>
      <c r="Y175" s="895"/>
    </row>
    <row r="176" ht="13.5" customHeight="1" outlineLevel="1" spans="1:25">
      <c r="A176" s="101">
        <f t="shared" si="7"/>
        <v>15</v>
      </c>
      <c r="B176" s="124" t="s">
        <v>1191</v>
      </c>
      <c r="C176" s="124" t="s">
        <v>1192</v>
      </c>
      <c r="D176" s="103" t="str">
        <f>IFERROR(VLOOKUP(B176,' 02.1 KLH-CN MÃ BRAVO MM'!$B:$C,2,0),"")</f>
        <v>ATT-A23-0041</v>
      </c>
      <c r="E176" s="103"/>
      <c r="F176" s="103" t="s">
        <v>451</v>
      </c>
      <c r="G176" s="104" t="s">
        <v>49</v>
      </c>
      <c r="H176" s="101" t="str">
        <f>VLOOKUP(G176,'01. TH'!$B:$E,3,0)</f>
        <v>5260 x 1760 x 2415</v>
      </c>
      <c r="I176" s="103" t="s">
        <v>1121</v>
      </c>
      <c r="J176" s="112">
        <v>45419</v>
      </c>
      <c r="K176" s="101" t="str">
        <f>IF(COUNTIF('TT BTSC'!$D:$D,B176)&gt;0,"Hư hỏng","Bình thường")</f>
        <v>Bình thường</v>
      </c>
      <c r="L176" s="113"/>
      <c r="M176" s="183" t="s">
        <v>1193</v>
      </c>
      <c r="N176" s="103" t="s">
        <v>480</v>
      </c>
      <c r="O176" s="111" t="s">
        <v>453</v>
      </c>
      <c r="P176" s="103">
        <v>2006</v>
      </c>
      <c r="Q176" s="101" t="s">
        <v>556</v>
      </c>
      <c r="R176" s="103" t="s">
        <v>767</v>
      </c>
      <c r="S176" s="111">
        <v>5288</v>
      </c>
      <c r="T176" s="111" t="s">
        <v>462</v>
      </c>
      <c r="U176" s="160">
        <v>4</v>
      </c>
      <c r="V176" s="192"/>
      <c r="W176" s="192"/>
      <c r="X176" s="192"/>
      <c r="Y176" s="192"/>
    </row>
    <row r="177" ht="13.5" customHeight="1" outlineLevel="1" spans="1:25">
      <c r="A177" s="101">
        <f t="shared" si="7"/>
        <v>16</v>
      </c>
      <c r="B177" s="102" t="s">
        <v>1194</v>
      </c>
      <c r="C177" s="102"/>
      <c r="D177" s="103" t="s">
        <v>1195</v>
      </c>
      <c r="E177" s="103"/>
      <c r="F177" s="103" t="s">
        <v>504</v>
      </c>
      <c r="G177" s="102" t="s">
        <v>287</v>
      </c>
      <c r="H177" s="101" t="str">
        <f>VLOOKUP(G177,'01. TH'!$B:$E,3,0)</f>
        <v/>
      </c>
      <c r="I177" s="103" t="s">
        <v>1121</v>
      </c>
      <c r="J177" s="101" t="s">
        <v>1196</v>
      </c>
      <c r="K177" s="101" t="str">
        <f>IF(COUNTIF('TT BTSC'!$D:$D,B177)&gt;0,"Hư hỏng","Bình thường")</f>
        <v>Bình thường</v>
      </c>
      <c r="L177" s="107"/>
      <c r="M177" s="206" t="s">
        <v>1146</v>
      </c>
      <c r="N177" s="101" t="s">
        <v>964</v>
      </c>
      <c r="O177" s="110" t="s">
        <v>1197</v>
      </c>
      <c r="P177" s="101">
        <v>2022</v>
      </c>
      <c r="Q177" s="101" t="s">
        <v>1198</v>
      </c>
      <c r="R177" s="101" t="s">
        <v>219</v>
      </c>
      <c r="S177" s="110">
        <v>203065</v>
      </c>
      <c r="T177" s="111" t="s">
        <v>1199</v>
      </c>
      <c r="U177" s="111">
        <v>0.5</v>
      </c>
      <c r="V177" s="895">
        <v>0</v>
      </c>
      <c r="W177" s="895"/>
      <c r="X177" s="895"/>
      <c r="Y177" s="895"/>
    </row>
    <row r="178" ht="13.5" customHeight="1" outlineLevel="1" spans="1:25">
      <c r="A178" s="101">
        <f t="shared" si="7"/>
        <v>17</v>
      </c>
      <c r="B178" s="102" t="s">
        <v>1200</v>
      </c>
      <c r="C178" s="102"/>
      <c r="D178" s="103" t="s">
        <v>1201</v>
      </c>
      <c r="E178" s="103"/>
      <c r="F178" s="103" t="s">
        <v>504</v>
      </c>
      <c r="G178" s="102" t="s">
        <v>287</v>
      </c>
      <c r="H178" s="101" t="str">
        <f>VLOOKUP(G178,'01. TH'!$B:$E,3,0)</f>
        <v/>
      </c>
      <c r="I178" s="103" t="s">
        <v>1121</v>
      </c>
      <c r="J178" s="101" t="s">
        <v>1196</v>
      </c>
      <c r="K178" s="101" t="str">
        <f>IF(COUNTIF('TT BTSC'!$D:$D,B178)&gt;0,"Hư hỏng","Bình thường")</f>
        <v>Bình thường</v>
      </c>
      <c r="L178" s="107"/>
      <c r="M178" s="206" t="s">
        <v>1146</v>
      </c>
      <c r="N178" s="101" t="s">
        <v>964</v>
      </c>
      <c r="O178" s="110" t="s">
        <v>1197</v>
      </c>
      <c r="P178" s="101">
        <v>2022</v>
      </c>
      <c r="Q178" s="101" t="s">
        <v>1198</v>
      </c>
      <c r="R178" s="101" t="s">
        <v>219</v>
      </c>
      <c r="S178" s="110">
        <v>203175</v>
      </c>
      <c r="T178" s="111" t="s">
        <v>1202</v>
      </c>
      <c r="U178" s="111">
        <v>0.5</v>
      </c>
      <c r="V178" s="895">
        <v>0</v>
      </c>
      <c r="W178" s="895"/>
      <c r="X178" s="895"/>
      <c r="Y178" s="895"/>
    </row>
    <row r="179" ht="13.5" customHeight="1" outlineLevel="1" spans="1:25">
      <c r="A179" s="101">
        <f t="shared" si="7"/>
        <v>18</v>
      </c>
      <c r="B179" s="102" t="s">
        <v>1203</v>
      </c>
      <c r="C179" s="102"/>
      <c r="D179" s="103" t="s">
        <v>1204</v>
      </c>
      <c r="E179" s="103"/>
      <c r="F179" s="103" t="s">
        <v>504</v>
      </c>
      <c r="G179" s="102" t="s">
        <v>287</v>
      </c>
      <c r="H179" s="101" t="str">
        <f>VLOOKUP(G179,'01. TH'!$B:$E,3,0)</f>
        <v/>
      </c>
      <c r="I179" s="103" t="s">
        <v>1121</v>
      </c>
      <c r="J179" s="101" t="s">
        <v>1196</v>
      </c>
      <c r="K179" s="101" t="str">
        <f>IF(COUNTIF('TT BTSC'!$D:$D,B179)&gt;0,"Hư hỏng","Bình thường")</f>
        <v>Bình thường</v>
      </c>
      <c r="L179" s="107"/>
      <c r="M179" s="206" t="s">
        <v>1146</v>
      </c>
      <c r="N179" s="101" t="s">
        <v>964</v>
      </c>
      <c r="O179" s="110" t="s">
        <v>1197</v>
      </c>
      <c r="P179" s="101">
        <v>2022</v>
      </c>
      <c r="Q179" s="101" t="s">
        <v>1198</v>
      </c>
      <c r="R179" s="101" t="s">
        <v>219</v>
      </c>
      <c r="S179" s="110">
        <v>203079</v>
      </c>
      <c r="T179" s="111" t="s">
        <v>1205</v>
      </c>
      <c r="U179" s="111">
        <v>0.5</v>
      </c>
      <c r="V179" s="895">
        <v>0</v>
      </c>
      <c r="W179" s="895"/>
      <c r="X179" s="895"/>
      <c r="Y179" s="895"/>
    </row>
    <row r="180" ht="13.5" customHeight="1" outlineLevel="1" spans="1:25">
      <c r="A180" s="101">
        <f t="shared" si="7"/>
        <v>19</v>
      </c>
      <c r="B180" s="102" t="s">
        <v>1206</v>
      </c>
      <c r="C180" s="102"/>
      <c r="D180" s="103" t="s">
        <v>1207</v>
      </c>
      <c r="E180" s="103"/>
      <c r="F180" s="103" t="s">
        <v>504</v>
      </c>
      <c r="G180" s="102" t="s">
        <v>287</v>
      </c>
      <c r="H180" s="101" t="str">
        <f>VLOOKUP(G180,'01. TH'!$B:$E,3,0)</f>
        <v/>
      </c>
      <c r="I180" s="103" t="s">
        <v>1121</v>
      </c>
      <c r="J180" s="101" t="s">
        <v>1196</v>
      </c>
      <c r="K180" s="101" t="str">
        <f>IF(COUNTIF('TT BTSC'!$D:$D,B180)&gt;0,"Hư hỏng","Bình thường")</f>
        <v>Bình thường</v>
      </c>
      <c r="L180" s="107"/>
      <c r="M180" s="206" t="s">
        <v>1146</v>
      </c>
      <c r="N180" s="101" t="s">
        <v>964</v>
      </c>
      <c r="O180" s="110" t="s">
        <v>1197</v>
      </c>
      <c r="P180" s="101">
        <v>2022</v>
      </c>
      <c r="Q180" s="101" t="s">
        <v>1198</v>
      </c>
      <c r="R180" s="101" t="s">
        <v>219</v>
      </c>
      <c r="S180" s="110">
        <v>203080</v>
      </c>
      <c r="T180" s="111" t="s">
        <v>1208</v>
      </c>
      <c r="U180" s="111">
        <v>0.5</v>
      </c>
      <c r="V180" s="895">
        <v>0</v>
      </c>
      <c r="W180" s="895"/>
      <c r="X180" s="895"/>
      <c r="Y180" s="895"/>
    </row>
    <row r="181" ht="13.5" customHeight="1" outlineLevel="1" spans="1:25">
      <c r="A181" s="101">
        <f t="shared" si="7"/>
        <v>20</v>
      </c>
      <c r="B181" s="102" t="s">
        <v>1209</v>
      </c>
      <c r="C181" s="102"/>
      <c r="D181" s="103" t="s">
        <v>1210</v>
      </c>
      <c r="E181" s="103"/>
      <c r="F181" s="103" t="s">
        <v>504</v>
      </c>
      <c r="G181" s="102" t="s">
        <v>287</v>
      </c>
      <c r="H181" s="101" t="str">
        <f>VLOOKUP(G181,'01. TH'!$B:$E,3,0)</f>
        <v/>
      </c>
      <c r="I181" s="103" t="s">
        <v>1121</v>
      </c>
      <c r="J181" s="101" t="s">
        <v>1196</v>
      </c>
      <c r="K181" s="101" t="str">
        <f>IF(COUNTIF('TT BTSC'!$D:$D,B181)&gt;0,"Hư hỏng","Bình thường")</f>
        <v>Bình thường</v>
      </c>
      <c r="L181" s="107"/>
      <c r="M181" s="206" t="s">
        <v>1146</v>
      </c>
      <c r="N181" s="101" t="s">
        <v>964</v>
      </c>
      <c r="O181" s="110" t="s">
        <v>1197</v>
      </c>
      <c r="P181" s="101">
        <v>2022</v>
      </c>
      <c r="Q181" s="101" t="s">
        <v>1198</v>
      </c>
      <c r="R181" s="101" t="s">
        <v>219</v>
      </c>
      <c r="S181" s="110">
        <v>203082</v>
      </c>
      <c r="T181" s="111" t="s">
        <v>1211</v>
      </c>
      <c r="U181" s="111">
        <v>0.5</v>
      </c>
      <c r="V181" s="895">
        <v>0</v>
      </c>
      <c r="W181" s="895"/>
      <c r="X181" s="895"/>
      <c r="Y181" s="895"/>
    </row>
    <row r="182" ht="13.5" customHeight="1" outlineLevel="1" spans="1:25">
      <c r="A182" s="101">
        <f t="shared" si="7"/>
        <v>21</v>
      </c>
      <c r="B182" s="102" t="s">
        <v>1212</v>
      </c>
      <c r="C182" s="102"/>
      <c r="D182" s="103" t="str">
        <f>IFERROR(VLOOKUP(B182,' 02.1 KLH-CN MÃ BRAVO MM'!$B:$C,2,0),"")</f>
        <v>A23-CCM-001</v>
      </c>
      <c r="E182" s="103"/>
      <c r="F182" s="102" t="s">
        <v>492</v>
      </c>
      <c r="G182" s="102" t="s">
        <v>282</v>
      </c>
      <c r="H182" s="101" t="str">
        <f>VLOOKUP(G182,'01. TH'!$B:$E,3,0)</f>
        <v/>
      </c>
      <c r="I182" s="103" t="s">
        <v>1121</v>
      </c>
      <c r="J182" s="105" t="s">
        <v>1213</v>
      </c>
      <c r="K182" s="101" t="str">
        <f>IF(COUNTIF('TT BTSC'!$D:$D,B182)&gt;0,"Hư hỏng","Bình thường")</f>
        <v>Bình thường</v>
      </c>
      <c r="L182" s="107">
        <v>0.7</v>
      </c>
      <c r="M182" s="182" t="s">
        <v>1214</v>
      </c>
      <c r="N182" s="101" t="s">
        <v>964</v>
      </c>
      <c r="O182" s="110" t="s">
        <v>1215</v>
      </c>
      <c r="P182" s="101"/>
      <c r="Q182" s="101" t="s">
        <v>1216</v>
      </c>
      <c r="R182" s="101" t="s">
        <v>272</v>
      </c>
      <c r="S182" s="110" t="s">
        <v>1217</v>
      </c>
      <c r="T182" s="111" t="s">
        <v>1218</v>
      </c>
      <c r="U182" s="111">
        <v>0.5</v>
      </c>
      <c r="V182" s="895">
        <v>0</v>
      </c>
      <c r="W182" s="895"/>
      <c r="X182" s="895"/>
      <c r="Y182" s="895"/>
    </row>
    <row r="183" ht="13.5" customHeight="1" outlineLevel="1" spans="1:25">
      <c r="A183" s="101">
        <f t="shared" si="7"/>
        <v>22</v>
      </c>
      <c r="B183" s="159" t="s">
        <v>1219</v>
      </c>
      <c r="C183" s="156"/>
      <c r="D183" s="146" t="s">
        <v>1220</v>
      </c>
      <c r="E183" s="201"/>
      <c r="F183" s="102" t="s">
        <v>492</v>
      </c>
      <c r="G183" s="102" t="s">
        <v>280</v>
      </c>
      <c r="H183" s="101" t="str">
        <f>VLOOKUP(G183,'01. TH'!$B:$E,3,0)</f>
        <v/>
      </c>
      <c r="I183" s="101" t="s">
        <v>1121</v>
      </c>
      <c r="J183" s="146" t="s">
        <v>1221</v>
      </c>
      <c r="K183" s="101" t="str">
        <f>IF(COUNTIF('TT BTSC'!$D:$D,B183)&gt;0,"Hư hỏng","Bình thường")</f>
        <v>Bình thường</v>
      </c>
      <c r="L183" s="201"/>
      <c r="M183" s="206" t="s">
        <v>1146</v>
      </c>
      <c r="N183" s="146" t="s">
        <v>1222</v>
      </c>
      <c r="O183" s="159" t="s">
        <v>1223</v>
      </c>
      <c r="P183" s="159"/>
      <c r="Q183" s="146" t="s">
        <v>1224</v>
      </c>
      <c r="R183" s="146" t="s">
        <v>281</v>
      </c>
      <c r="S183" s="159">
        <v>341</v>
      </c>
      <c r="T183" s="159" t="s">
        <v>1225</v>
      </c>
      <c r="U183" s="159">
        <v>2.3</v>
      </c>
      <c r="V183" s="895">
        <v>0</v>
      </c>
      <c r="W183" s="895"/>
      <c r="X183" s="895"/>
      <c r="Y183" s="895"/>
    </row>
    <row r="184" ht="13.5" customHeight="1" outlineLevel="1" spans="1:25">
      <c r="A184" s="101">
        <f t="shared" si="7"/>
        <v>23</v>
      </c>
      <c r="B184" s="159" t="s">
        <v>1226</v>
      </c>
      <c r="C184" s="156"/>
      <c r="D184" s="146" t="s">
        <v>1227</v>
      </c>
      <c r="E184" s="201"/>
      <c r="F184" s="103" t="s">
        <v>504</v>
      </c>
      <c r="G184" s="156" t="s">
        <v>283</v>
      </c>
      <c r="H184" s="101" t="str">
        <f>VLOOKUP(G184,'01. TH'!$B:$E,3,0)</f>
        <v/>
      </c>
      <c r="I184" s="101" t="s">
        <v>1121</v>
      </c>
      <c r="J184" s="146" t="s">
        <v>1228</v>
      </c>
      <c r="K184" s="101" t="str">
        <f>IF(COUNTIF('TT BTSC'!$D:$D,B184)&gt;0,"Hư hỏng","Bình thường")</f>
        <v>Bình thường</v>
      </c>
      <c r="L184" s="201"/>
      <c r="M184" s="182" t="s">
        <v>1146</v>
      </c>
      <c r="N184" s="146" t="s">
        <v>1229</v>
      </c>
      <c r="O184" s="159" t="s">
        <v>500</v>
      </c>
      <c r="P184" s="146">
        <v>2025</v>
      </c>
      <c r="Q184" s="146" t="s">
        <v>1230</v>
      </c>
      <c r="R184" s="146" t="s">
        <v>272</v>
      </c>
      <c r="S184" s="159" t="s">
        <v>1231</v>
      </c>
      <c r="T184" s="159" t="s">
        <v>1232</v>
      </c>
      <c r="U184" s="159">
        <v>1.8</v>
      </c>
      <c r="V184" s="895">
        <v>0</v>
      </c>
      <c r="W184" s="895"/>
      <c r="X184" s="895"/>
      <c r="Y184" s="895"/>
    </row>
    <row r="185" ht="13.5" customHeight="1" outlineLevel="1" spans="1:25">
      <c r="A185" s="101">
        <f t="shared" si="7"/>
        <v>24</v>
      </c>
      <c r="B185" s="159" t="s">
        <v>1233</v>
      </c>
      <c r="C185" s="156"/>
      <c r="D185" s="146" t="s">
        <v>1234</v>
      </c>
      <c r="E185" s="201"/>
      <c r="F185" s="103" t="s">
        <v>504</v>
      </c>
      <c r="G185" s="156" t="s">
        <v>283</v>
      </c>
      <c r="H185" s="101" t="str">
        <f>VLOOKUP(G185,'01. TH'!$B:$E,3,0)</f>
        <v/>
      </c>
      <c r="I185" s="101" t="s">
        <v>1121</v>
      </c>
      <c r="J185" s="146" t="s">
        <v>1228</v>
      </c>
      <c r="K185" s="101" t="str">
        <f>IF(COUNTIF('TT BTSC'!$D:$D,B185)&gt;0,"Hư hỏng","Bình thường")</f>
        <v>Bình thường</v>
      </c>
      <c r="L185" s="201"/>
      <c r="M185" s="182" t="s">
        <v>1146</v>
      </c>
      <c r="N185" s="146" t="s">
        <v>1229</v>
      </c>
      <c r="O185" s="159" t="s">
        <v>500</v>
      </c>
      <c r="P185" s="146">
        <v>2025</v>
      </c>
      <c r="Q185" s="146" t="s">
        <v>1230</v>
      </c>
      <c r="R185" s="146" t="s">
        <v>272</v>
      </c>
      <c r="S185" s="159" t="s">
        <v>1235</v>
      </c>
      <c r="T185" s="159" t="s">
        <v>1236</v>
      </c>
      <c r="U185" s="159">
        <v>1.8</v>
      </c>
      <c r="V185" s="895">
        <v>0</v>
      </c>
      <c r="W185" s="895"/>
      <c r="X185" s="895"/>
      <c r="Y185" s="895"/>
    </row>
    <row r="186" ht="13.5" customHeight="1" outlineLevel="1" spans="1:25">
      <c r="A186" s="101">
        <f t="shared" si="7"/>
        <v>25</v>
      </c>
      <c r="B186" s="159" t="s">
        <v>1237</v>
      </c>
      <c r="C186" s="156"/>
      <c r="D186" s="146" t="s">
        <v>1238</v>
      </c>
      <c r="E186" s="201"/>
      <c r="F186" s="103" t="s">
        <v>504</v>
      </c>
      <c r="G186" s="156" t="s">
        <v>283</v>
      </c>
      <c r="H186" s="101" t="str">
        <f>VLOOKUP(G186,'01. TH'!$B:$E,3,0)</f>
        <v/>
      </c>
      <c r="I186" s="101" t="s">
        <v>1121</v>
      </c>
      <c r="J186" s="146" t="s">
        <v>1228</v>
      </c>
      <c r="K186" s="101" t="str">
        <f>IF(COUNTIF('TT BTSC'!$D:$D,B186)&gt;0,"Hư hỏng","Bình thường")</f>
        <v>Bình thường</v>
      </c>
      <c r="L186" s="201"/>
      <c r="M186" s="182" t="s">
        <v>1146</v>
      </c>
      <c r="N186" s="146" t="s">
        <v>1229</v>
      </c>
      <c r="O186" s="159" t="s">
        <v>500</v>
      </c>
      <c r="P186" s="146">
        <v>2025</v>
      </c>
      <c r="Q186" s="146" t="s">
        <v>1230</v>
      </c>
      <c r="R186" s="146" t="s">
        <v>272</v>
      </c>
      <c r="S186" s="159" t="s">
        <v>1239</v>
      </c>
      <c r="T186" s="159" t="s">
        <v>1240</v>
      </c>
      <c r="U186" s="159">
        <v>1.8</v>
      </c>
      <c r="V186" s="895">
        <v>0</v>
      </c>
      <c r="W186" s="895"/>
      <c r="X186" s="895"/>
      <c r="Y186" s="895"/>
    </row>
    <row r="187" ht="13.5" customHeight="1" outlineLevel="1" spans="1:25">
      <c r="A187" s="101">
        <f t="shared" si="7"/>
        <v>26</v>
      </c>
      <c r="B187" s="159" t="s">
        <v>1241</v>
      </c>
      <c r="C187" s="156"/>
      <c r="D187" s="146" t="s">
        <v>1242</v>
      </c>
      <c r="E187" s="201"/>
      <c r="F187" s="103" t="s">
        <v>504</v>
      </c>
      <c r="G187" s="156" t="s">
        <v>283</v>
      </c>
      <c r="H187" s="101" t="str">
        <f>VLOOKUP(G187,'01. TH'!$B:$E,3,0)</f>
        <v/>
      </c>
      <c r="I187" s="101" t="s">
        <v>1121</v>
      </c>
      <c r="J187" s="146" t="s">
        <v>1228</v>
      </c>
      <c r="K187" s="101" t="str">
        <f>IF(COUNTIF('TT BTSC'!$D:$D,B187)&gt;0,"Hư hỏng","Bình thường")</f>
        <v>Bình thường</v>
      </c>
      <c r="L187" s="201"/>
      <c r="M187" s="182" t="s">
        <v>1146</v>
      </c>
      <c r="N187" s="146" t="s">
        <v>1229</v>
      </c>
      <c r="O187" s="159" t="s">
        <v>500</v>
      </c>
      <c r="P187" s="146">
        <v>2025</v>
      </c>
      <c r="Q187" s="146" t="s">
        <v>1230</v>
      </c>
      <c r="R187" s="146" t="s">
        <v>272</v>
      </c>
      <c r="S187" s="159" t="s">
        <v>1243</v>
      </c>
      <c r="T187" s="159" t="s">
        <v>1244</v>
      </c>
      <c r="U187" s="159">
        <v>1.8</v>
      </c>
      <c r="V187" s="895">
        <v>0</v>
      </c>
      <c r="W187" s="895"/>
      <c r="X187" s="895"/>
      <c r="Y187" s="895"/>
    </row>
    <row r="188" ht="13.5" customHeight="1" outlineLevel="1" spans="1:25">
      <c r="A188" s="201"/>
      <c r="B188" s="206"/>
      <c r="C188" s="156"/>
      <c r="D188" s="206"/>
      <c r="E188" s="201"/>
      <c r="F188" s="201"/>
      <c r="G188" s="201"/>
      <c r="H188" s="101" t="e">
        <f>VLOOKUP(G188,'01. TH'!$B:$E,3,0)</f>
        <v>#N/A</v>
      </c>
      <c r="I188" s="206"/>
      <c r="J188" s="907"/>
      <c r="K188" s="101" t="str">
        <f>IF(COUNTIF('TT BTSC'!$D:$D,B188)&gt;0,"Hư hỏng","Bình thường")</f>
        <v>Bình thường</v>
      </c>
      <c r="L188" s="201"/>
      <c r="M188" s="206"/>
      <c r="N188" s="201"/>
      <c r="O188" s="206"/>
      <c r="P188" s="206"/>
      <c r="Q188" s="206"/>
      <c r="R188" s="206"/>
      <c r="S188" s="206"/>
      <c r="T188" s="206"/>
      <c r="U188" s="206"/>
      <c r="V188" s="192"/>
      <c r="W188" s="192"/>
      <c r="X188" s="192"/>
      <c r="Y188" s="192"/>
    </row>
    <row r="189" ht="13.5" customHeight="1" outlineLevel="1" spans="1:25">
      <c r="A189" s="201"/>
      <c r="B189" s="206"/>
      <c r="C189" s="156" t="s">
        <v>1245</v>
      </c>
      <c r="D189" s="206"/>
      <c r="E189" s="201"/>
      <c r="F189" s="201"/>
      <c r="G189" s="201"/>
      <c r="H189" s="101" t="e">
        <f>VLOOKUP(G189,'01. TH'!$B:$E,3,0)</f>
        <v>#N/A</v>
      </c>
      <c r="I189" s="206"/>
      <c r="J189" s="907"/>
      <c r="K189" s="101" t="str">
        <f>IF(COUNTIF('TT BTSC'!$D:$D,B189)&gt;0,"Hư hỏng","Bình thường")</f>
        <v>Bình thường</v>
      </c>
      <c r="L189" s="201"/>
      <c r="M189" s="206"/>
      <c r="N189" s="201"/>
      <c r="O189" s="206"/>
      <c r="P189" s="206"/>
      <c r="Q189" s="206"/>
      <c r="R189" s="206"/>
      <c r="S189" s="206"/>
      <c r="T189" s="206"/>
      <c r="U189" s="206"/>
      <c r="V189" s="192"/>
      <c r="W189" s="192"/>
      <c r="X189" s="192"/>
      <c r="Y189" s="192"/>
    </row>
    <row r="190" ht="13.5" customHeight="1" spans="1:25">
      <c r="A190" s="96" t="s">
        <v>1246</v>
      </c>
      <c r="B190" s="97" t="s">
        <v>1247</v>
      </c>
      <c r="C190" s="96">
        <f>COUNTA($B$191:$B$217)</f>
        <v>25</v>
      </c>
      <c r="D190" s="97" t="str">
        <f>IFERROR(VLOOKUP(B190,' 02.1 KLH-CN MÃ BRAVO MM'!$B:$C,2,0),"")</f>
        <v/>
      </c>
      <c r="E190" s="96"/>
      <c r="F190" s="96"/>
      <c r="G190" s="96"/>
      <c r="H190" s="97"/>
      <c r="I190" s="97"/>
      <c r="J190" s="98"/>
      <c r="K190" s="97"/>
      <c r="L190" s="96"/>
      <c r="M190" s="97"/>
      <c r="N190" s="96"/>
      <c r="O190" s="97"/>
      <c r="P190" s="97"/>
      <c r="Q190" s="97"/>
      <c r="R190" s="97"/>
      <c r="S190" s="97"/>
      <c r="T190" s="97"/>
      <c r="U190" s="97"/>
      <c r="V190" s="192"/>
      <c r="W190" s="192"/>
      <c r="X190" s="192"/>
      <c r="Y190" s="192"/>
    </row>
    <row r="191" ht="13.5" customHeight="1" outlineLevel="1" spans="1:25">
      <c r="A191" s="101">
        <v>1</v>
      </c>
      <c r="B191" s="102" t="s">
        <v>1248</v>
      </c>
      <c r="C191" s="102" t="s">
        <v>1249</v>
      </c>
      <c r="D191" s="103" t="str">
        <f>IFERROR(VLOOKUP(B191,' 02.1 KLH-CN MÃ BRAVO MM'!$B:$C,2,0),"")</f>
        <v>A23-MKE-016</v>
      </c>
      <c r="E191" s="103"/>
      <c r="F191" s="103" t="s">
        <v>451</v>
      </c>
      <c r="G191" s="102" t="s">
        <v>207</v>
      </c>
      <c r="H191" s="101" t="str">
        <f>VLOOKUP(G191,'01. TH'!$B:$E,3,0)</f>
        <v>3445 x 1865 x 2535</v>
      </c>
      <c r="I191" s="101" t="s">
        <v>1250</v>
      </c>
      <c r="J191" s="105"/>
      <c r="K191" s="101" t="str">
        <f>IF(COUNTIF('TT BTSC'!$D:$D,B191)&gt;0,"Hư hỏng","Bình thường")</f>
        <v>Bình thường</v>
      </c>
      <c r="L191" s="101"/>
      <c r="M191" s="182"/>
      <c r="N191" s="101" t="s">
        <v>759</v>
      </c>
      <c r="O191" s="110" t="s">
        <v>453</v>
      </c>
      <c r="P191" s="101">
        <v>2013</v>
      </c>
      <c r="Q191" s="101" t="s">
        <v>1064</v>
      </c>
      <c r="R191" s="101" t="s">
        <v>208</v>
      </c>
      <c r="S191" s="110">
        <v>57646</v>
      </c>
      <c r="T191" s="111" t="s">
        <v>462</v>
      </c>
      <c r="U191" s="111">
        <v>3.5</v>
      </c>
      <c r="V191" s="895">
        <v>90</v>
      </c>
      <c r="W191" s="895"/>
      <c r="X191" s="895"/>
      <c r="Y191" s="895"/>
    </row>
    <row r="192" ht="13.5" customHeight="1" outlineLevel="1" spans="1:25">
      <c r="A192" s="101">
        <f t="shared" ref="A192:A215" si="8">A191+1</f>
        <v>2</v>
      </c>
      <c r="B192" s="102" t="s">
        <v>1251</v>
      </c>
      <c r="C192" s="102" t="s">
        <v>1252</v>
      </c>
      <c r="D192" s="103" t="str">
        <f>IFERROR(VLOOKUP(B192,' 02.1 KLH-CN MÃ BRAVO MM'!$B:$C,2,0),"")</f>
        <v>A23-MKE-017</v>
      </c>
      <c r="E192" s="103"/>
      <c r="F192" s="103" t="s">
        <v>451</v>
      </c>
      <c r="G192" s="102" t="s">
        <v>207</v>
      </c>
      <c r="H192" s="101" t="str">
        <f>VLOOKUP(G192,'01. TH'!$B:$E,3,0)</f>
        <v>3445 x 1865 x 2535</v>
      </c>
      <c r="I192" s="101" t="s">
        <v>1250</v>
      </c>
      <c r="J192" s="105"/>
      <c r="K192" s="101" t="str">
        <f>IF(COUNTIF('TT BTSC'!$D:$D,B192)&gt;0,"Hư hỏng","Bình thường")</f>
        <v>Bình thường</v>
      </c>
      <c r="L192" s="101"/>
      <c r="M192" s="182"/>
      <c r="N192" s="101" t="s">
        <v>759</v>
      </c>
      <c r="O192" s="110" t="s">
        <v>453</v>
      </c>
      <c r="P192" s="101">
        <v>2013</v>
      </c>
      <c r="Q192" s="101" t="s">
        <v>1064</v>
      </c>
      <c r="R192" s="101" t="s">
        <v>208</v>
      </c>
      <c r="S192" s="110">
        <v>56797</v>
      </c>
      <c r="T192" s="111" t="s">
        <v>462</v>
      </c>
      <c r="U192" s="111">
        <v>3.5</v>
      </c>
      <c r="V192" s="895">
        <v>90</v>
      </c>
      <c r="W192" s="895"/>
      <c r="X192" s="895"/>
      <c r="Y192" s="895"/>
    </row>
    <row r="193" ht="12.75" customHeight="1" outlineLevel="1" spans="1:25">
      <c r="A193" s="101">
        <f t="shared" si="8"/>
        <v>3</v>
      </c>
      <c r="B193" s="156" t="s">
        <v>1253</v>
      </c>
      <c r="C193" s="156" t="s">
        <v>1254</v>
      </c>
      <c r="D193" s="103" t="str">
        <f>IFERROR(VLOOKUP(B193,' 02.1 KLH-CN MÃ BRAVO MM'!$B:$C,2,0),"")</f>
        <v>A23-MKE-019</v>
      </c>
      <c r="E193" s="157"/>
      <c r="F193" s="103" t="s">
        <v>451</v>
      </c>
      <c r="G193" s="102" t="s">
        <v>197</v>
      </c>
      <c r="H193" s="101" t="str">
        <f>VLOOKUP(G193,'01. TH'!$B:$E,3,0)</f>
        <v>3226 x 1570 x 1545</v>
      </c>
      <c r="I193" s="146" t="s">
        <v>1250</v>
      </c>
      <c r="J193" s="148"/>
      <c r="K193" s="101" t="s">
        <v>1126</v>
      </c>
      <c r="L193" s="146"/>
      <c r="M193" s="206" t="s">
        <v>1127</v>
      </c>
      <c r="N193" s="146" t="s">
        <v>1019</v>
      </c>
      <c r="O193" s="159" t="s">
        <v>500</v>
      </c>
      <c r="P193" s="146">
        <v>2018</v>
      </c>
      <c r="Q193" s="146" t="s">
        <v>1122</v>
      </c>
      <c r="R193" s="146" t="s">
        <v>128</v>
      </c>
      <c r="S193" s="159" t="s">
        <v>1255</v>
      </c>
      <c r="T193" s="160" t="s">
        <v>462</v>
      </c>
      <c r="U193" s="111">
        <v>2.5</v>
      </c>
      <c r="V193" s="895">
        <v>0</v>
      </c>
      <c r="W193" s="895"/>
      <c r="X193" s="895"/>
      <c r="Y193" s="895"/>
    </row>
    <row r="194" ht="13.5" customHeight="1" outlineLevel="1" spans="1:25">
      <c r="A194" s="101">
        <f t="shared" si="8"/>
        <v>4</v>
      </c>
      <c r="B194" s="102" t="s">
        <v>1256</v>
      </c>
      <c r="C194" s="102" t="s">
        <v>1257</v>
      </c>
      <c r="D194" s="103" t="str">
        <f>IFERROR(VLOOKUP(B194,' 02.1 KLH-CN MÃ BRAVO MM'!$B:$C,2,0),"")</f>
        <v>A23-MKE-020</v>
      </c>
      <c r="E194" s="103"/>
      <c r="F194" s="103" t="s">
        <v>451</v>
      </c>
      <c r="G194" s="102" t="s">
        <v>197</v>
      </c>
      <c r="H194" s="101" t="str">
        <f>VLOOKUP(G194,'01. TH'!$B:$E,3,0)</f>
        <v>3226 x 1570 x 1545</v>
      </c>
      <c r="I194" s="101" t="s">
        <v>1250</v>
      </c>
      <c r="J194" s="105"/>
      <c r="K194" s="101" t="str">
        <f>IF(COUNTIF('TT BTSC'!$D:$D,B194)&gt;0,"Hư hỏng","Bình thường")</f>
        <v>Bình thường</v>
      </c>
      <c r="L194" s="101"/>
      <c r="M194" s="206" t="s">
        <v>1127</v>
      </c>
      <c r="N194" s="101" t="s">
        <v>1019</v>
      </c>
      <c r="O194" s="110" t="s">
        <v>500</v>
      </c>
      <c r="P194" s="101">
        <v>2018</v>
      </c>
      <c r="Q194" s="101" t="s">
        <v>1122</v>
      </c>
      <c r="R194" s="101" t="s">
        <v>128</v>
      </c>
      <c r="S194" s="110" t="s">
        <v>1258</v>
      </c>
      <c r="T194" s="111" t="s">
        <v>462</v>
      </c>
      <c r="U194" s="111">
        <v>2.5</v>
      </c>
      <c r="V194" s="895">
        <v>0</v>
      </c>
      <c r="W194" s="895"/>
      <c r="X194" s="895"/>
      <c r="Y194" s="895"/>
    </row>
    <row r="195" ht="13.5" customHeight="1" outlineLevel="1" spans="1:25">
      <c r="A195" s="101">
        <f t="shared" si="8"/>
        <v>5</v>
      </c>
      <c r="B195" s="102" t="s">
        <v>1259</v>
      </c>
      <c r="C195" s="102" t="s">
        <v>1260</v>
      </c>
      <c r="D195" s="103" t="s">
        <v>1261</v>
      </c>
      <c r="E195" s="103"/>
      <c r="F195" s="103" t="s">
        <v>451</v>
      </c>
      <c r="G195" s="102" t="s">
        <v>207</v>
      </c>
      <c r="H195" s="101" t="s">
        <v>42</v>
      </c>
      <c r="I195" s="101" t="s">
        <v>1250</v>
      </c>
      <c r="J195" s="101" t="s">
        <v>1262</v>
      </c>
      <c r="K195" s="101" t="s">
        <v>1263</v>
      </c>
      <c r="L195" s="101"/>
      <c r="M195" s="182" t="s">
        <v>1264</v>
      </c>
      <c r="N195" s="101" t="s">
        <v>759</v>
      </c>
      <c r="O195" s="110" t="s">
        <v>453</v>
      </c>
      <c r="P195" s="101">
        <v>2013</v>
      </c>
      <c r="Q195" s="101" t="s">
        <v>1064</v>
      </c>
      <c r="R195" s="101" t="s">
        <v>208</v>
      </c>
      <c r="S195" s="110">
        <v>57273</v>
      </c>
      <c r="T195" s="111" t="s">
        <v>462</v>
      </c>
      <c r="U195" s="111">
        <v>3.5</v>
      </c>
      <c r="V195" s="895">
        <v>90</v>
      </c>
      <c r="W195" s="895"/>
      <c r="X195" s="895"/>
      <c r="Y195" s="895"/>
    </row>
    <row r="196" ht="13.5" customHeight="1" outlineLevel="1" spans="1:25">
      <c r="A196" s="101">
        <f t="shared" si="8"/>
        <v>6</v>
      </c>
      <c r="B196" s="102" t="s">
        <v>1265</v>
      </c>
      <c r="C196" s="102" t="s">
        <v>1266</v>
      </c>
      <c r="D196" s="103" t="str">
        <f>IFERROR(VLOOKUP(B196,' 02.1 KLH-CN MÃ BRAVO MM'!$B:$C,2,0),"")</f>
        <v>A23-XPT-002</v>
      </c>
      <c r="E196" s="103"/>
      <c r="F196" s="103" t="s">
        <v>451</v>
      </c>
      <c r="G196" s="102" t="s">
        <v>226</v>
      </c>
      <c r="H196" s="101" t="str">
        <f>VLOOKUP(G196,'01. TH'!$B:$E,3,0)</f>
        <v/>
      </c>
      <c r="I196" s="101" t="s">
        <v>1250</v>
      </c>
      <c r="J196" s="105"/>
      <c r="K196" s="101" t="str">
        <f>IF(COUNTIF('TT BTSC'!$D:$D,B196)&gt;0,"Hư hỏng","Bình thường")</f>
        <v>Bình thường</v>
      </c>
      <c r="L196" s="101"/>
      <c r="M196" s="182"/>
      <c r="N196" s="101" t="s">
        <v>1267</v>
      </c>
      <c r="O196" s="110" t="s">
        <v>465</v>
      </c>
      <c r="P196" s="101">
        <v>1992</v>
      </c>
      <c r="Q196" s="101" t="s">
        <v>1268</v>
      </c>
      <c r="R196" s="101"/>
      <c r="S196" s="110" t="s">
        <v>1269</v>
      </c>
      <c r="T196" s="111" t="s">
        <v>1270</v>
      </c>
      <c r="U196" s="111">
        <v>3.75</v>
      </c>
      <c r="V196" s="895">
        <v>0</v>
      </c>
      <c r="W196" s="895"/>
      <c r="X196" s="895"/>
      <c r="Y196" s="895"/>
    </row>
    <row r="197" ht="13.5" customHeight="1" outlineLevel="1" spans="1:25">
      <c r="A197" s="101">
        <f t="shared" si="8"/>
        <v>7</v>
      </c>
      <c r="B197" s="102" t="s">
        <v>1271</v>
      </c>
      <c r="C197" s="102" t="s">
        <v>1272</v>
      </c>
      <c r="D197" s="103" t="str">
        <f>IFERROR(VLOOKUP(B197,' 02.1 KLH-CN MÃ BRAVO MM'!$B:$C,2,0),"")</f>
        <v>ATT-A23-0035</v>
      </c>
      <c r="E197" s="103"/>
      <c r="F197" s="103" t="s">
        <v>451</v>
      </c>
      <c r="G197" s="102" t="s">
        <v>49</v>
      </c>
      <c r="H197" s="101" t="str">
        <f>VLOOKUP(G197,'01. TH'!$B:$E,3,0)</f>
        <v>5260 x 1760 x 2415</v>
      </c>
      <c r="I197" s="101" t="s">
        <v>1250</v>
      </c>
      <c r="J197" s="105"/>
      <c r="K197" s="101" t="str">
        <f>IF(COUNTIF('TT BTSC'!$D:$D,B197)&gt;0,"Hư hỏng","Bình thường")</f>
        <v>Bình thường</v>
      </c>
      <c r="L197" s="101"/>
      <c r="M197" s="182"/>
      <c r="N197" s="101" t="s">
        <v>480</v>
      </c>
      <c r="O197" s="110" t="s">
        <v>453</v>
      </c>
      <c r="P197" s="101">
        <v>2006</v>
      </c>
      <c r="Q197" s="101" t="s">
        <v>556</v>
      </c>
      <c r="R197" s="101" t="s">
        <v>767</v>
      </c>
      <c r="S197" s="110">
        <v>8332</v>
      </c>
      <c r="T197" s="111" t="s">
        <v>462</v>
      </c>
      <c r="U197" s="160">
        <v>4</v>
      </c>
      <c r="V197" s="192"/>
      <c r="W197" s="192"/>
      <c r="X197" s="192"/>
      <c r="Y197" s="192"/>
    </row>
    <row r="198" ht="13.5" customHeight="1" outlineLevel="1" spans="1:25">
      <c r="A198" s="101">
        <f t="shared" si="8"/>
        <v>8</v>
      </c>
      <c r="B198" s="102" t="s">
        <v>1273</v>
      </c>
      <c r="C198" s="102"/>
      <c r="D198" s="103" t="str">
        <f>IFERROR(VLOOKUP(B198,' 02.1 KLH-CN MÃ BRAVO MM'!$B:$C,2,0),"")</f>
        <v>ATT-A22-0315</v>
      </c>
      <c r="E198" s="101" t="s">
        <v>1274</v>
      </c>
      <c r="F198" s="103" t="s">
        <v>1275</v>
      </c>
      <c r="G198" s="102" t="s">
        <v>251</v>
      </c>
      <c r="H198" s="101" t="str">
        <f>VLOOKUP(G198,'01. TH'!$B:$E,3,0)</f>
        <v>4730 x 1750 x 2100</v>
      </c>
      <c r="I198" s="101" t="s">
        <v>1250</v>
      </c>
      <c r="J198" s="105">
        <v>45566</v>
      </c>
      <c r="K198" s="101" t="str">
        <f>IF(COUNTIF('TT BTSC'!$D:$D,B198)&gt;0,"Hư hỏng","Bình thường")</f>
        <v>Bình thường</v>
      </c>
      <c r="L198" s="107">
        <v>0.98</v>
      </c>
      <c r="M198" s="182"/>
      <c r="N198" s="101" t="s">
        <v>1152</v>
      </c>
      <c r="O198" s="110" t="s">
        <v>500</v>
      </c>
      <c r="P198" s="101">
        <v>2021</v>
      </c>
      <c r="Q198" s="101" t="s">
        <v>1153</v>
      </c>
      <c r="R198" s="101" t="s">
        <v>44</v>
      </c>
      <c r="S198" s="110" t="s">
        <v>1276</v>
      </c>
      <c r="T198" s="111" t="s">
        <v>1277</v>
      </c>
      <c r="U198" s="111"/>
      <c r="V198" s="895">
        <v>60</v>
      </c>
      <c r="W198" s="895"/>
      <c r="X198" s="895"/>
      <c r="Y198" s="895"/>
    </row>
    <row r="199" ht="27.75" customHeight="1" outlineLevel="1" spans="1:25">
      <c r="A199" s="101">
        <f t="shared" si="8"/>
        <v>9</v>
      </c>
      <c r="B199" s="156" t="s">
        <v>1278</v>
      </c>
      <c r="C199" s="156" t="s">
        <v>504</v>
      </c>
      <c r="D199" s="103" t="str">
        <f>IFERROR(VLOOKUP(B199,' 02.1 KLH-CN MÃ BRAVO MM'!$B:$C,2,0),"")</f>
        <v>A23-XTA-019</v>
      </c>
      <c r="E199" s="157"/>
      <c r="F199" s="103" t="s">
        <v>1275</v>
      </c>
      <c r="G199" s="156" t="s">
        <v>111</v>
      </c>
      <c r="H199" s="101" t="str">
        <f>VLOOKUP(G199,'01. TH'!$B:$E,3,0)</f>
        <v>5250 x 2170 x 2520</v>
      </c>
      <c r="I199" s="146" t="s">
        <v>1250</v>
      </c>
      <c r="J199" s="148" t="s">
        <v>1213</v>
      </c>
      <c r="K199" s="101" t="str">
        <f>IF(COUNTIF('TT BTSC'!$D:$D,B199)&gt;0,"Hư hỏng","Bình thường")</f>
        <v>Bình thường</v>
      </c>
      <c r="L199" s="146"/>
      <c r="M199" s="206" t="s">
        <v>1279</v>
      </c>
      <c r="N199" s="146" t="s">
        <v>771</v>
      </c>
      <c r="O199" s="159" t="s">
        <v>943</v>
      </c>
      <c r="P199" s="146">
        <v>2024</v>
      </c>
      <c r="Q199" s="101" t="s">
        <v>1173</v>
      </c>
      <c r="R199" s="146" t="s">
        <v>112</v>
      </c>
      <c r="S199" s="159" t="s">
        <v>1280</v>
      </c>
      <c r="T199" s="160" t="s">
        <v>1281</v>
      </c>
      <c r="U199" s="111">
        <v>0.33</v>
      </c>
      <c r="V199" s="895">
        <v>75</v>
      </c>
      <c r="W199" s="895"/>
      <c r="X199" s="895"/>
      <c r="Y199" s="895"/>
    </row>
    <row r="200" ht="43.5" customHeight="1" outlineLevel="1" spans="1:25">
      <c r="A200" s="101">
        <f t="shared" si="8"/>
        <v>10</v>
      </c>
      <c r="B200" s="156" t="s">
        <v>1282</v>
      </c>
      <c r="C200" s="156" t="s">
        <v>504</v>
      </c>
      <c r="D200" s="103" t="str">
        <f>IFERROR(VLOOKUP(B200,' 02.1 KLH-CN MÃ BRAVO MM'!$B:$C,2,0),"")</f>
        <v>A23-XTA-020</v>
      </c>
      <c r="E200" s="157"/>
      <c r="F200" s="103" t="s">
        <v>1275</v>
      </c>
      <c r="G200" s="156" t="s">
        <v>111</v>
      </c>
      <c r="H200" s="101" t="str">
        <f>VLOOKUP(G200,'01. TH'!$B:$E,3,0)</f>
        <v>5250 x 2170 x 2520</v>
      </c>
      <c r="I200" s="146" t="s">
        <v>1250</v>
      </c>
      <c r="J200" s="148" t="s">
        <v>1213</v>
      </c>
      <c r="K200" s="101" t="str">
        <f>IF(COUNTIF('TT BTSC'!$D:$D,B200)&gt;0,"Hư hỏng","Bình thường")</f>
        <v>Bình thường</v>
      </c>
      <c r="L200" s="146"/>
      <c r="M200" s="206" t="s">
        <v>1283</v>
      </c>
      <c r="N200" s="146" t="s">
        <v>771</v>
      </c>
      <c r="O200" s="159" t="s">
        <v>943</v>
      </c>
      <c r="P200" s="146">
        <v>2024</v>
      </c>
      <c r="Q200" s="101" t="s">
        <v>1173</v>
      </c>
      <c r="R200" s="146" t="s">
        <v>112</v>
      </c>
      <c r="S200" s="159" t="s">
        <v>1284</v>
      </c>
      <c r="T200" s="160" t="s">
        <v>1285</v>
      </c>
      <c r="U200" s="111">
        <v>3</v>
      </c>
      <c r="V200" s="895">
        <v>75</v>
      </c>
      <c r="W200" s="895"/>
      <c r="X200" s="895"/>
      <c r="Y200" s="895"/>
    </row>
    <row r="201" ht="31.5" customHeight="1" outlineLevel="1" spans="1:25">
      <c r="A201" s="101">
        <f t="shared" si="8"/>
        <v>11</v>
      </c>
      <c r="B201" s="156" t="s">
        <v>1286</v>
      </c>
      <c r="C201" s="104" t="s">
        <v>1287</v>
      </c>
      <c r="D201" s="103" t="s">
        <v>1288</v>
      </c>
      <c r="E201" s="103"/>
      <c r="F201" s="103" t="s">
        <v>1275</v>
      </c>
      <c r="G201" s="104" t="s">
        <v>111</v>
      </c>
      <c r="H201" s="101" t="str">
        <f>VLOOKUP(G201,'01. TH'!$B:$E,3,0)</f>
        <v>5250 x 2170 x 2520</v>
      </c>
      <c r="I201" s="146" t="s">
        <v>1250</v>
      </c>
      <c r="J201" s="112">
        <v>45569</v>
      </c>
      <c r="K201" s="101" t="str">
        <f>IF(COUNTIF('TT BTSC'!$D:$D,B201)&gt;0,"Hư hỏng","Bình thường")</f>
        <v>Bình thường</v>
      </c>
      <c r="L201" s="103"/>
      <c r="M201" s="183" t="s">
        <v>1289</v>
      </c>
      <c r="N201" s="103" t="s">
        <v>621</v>
      </c>
      <c r="O201" s="111" t="s">
        <v>500</v>
      </c>
      <c r="P201" s="103">
        <v>2023</v>
      </c>
      <c r="Q201" s="101" t="s">
        <v>1173</v>
      </c>
      <c r="R201" s="103" t="s">
        <v>124</v>
      </c>
      <c r="S201" s="111" t="s">
        <v>1290</v>
      </c>
      <c r="T201" s="111" t="s">
        <v>1291</v>
      </c>
      <c r="U201" s="111">
        <v>0.33</v>
      </c>
      <c r="V201" s="895">
        <v>75</v>
      </c>
      <c r="W201" s="895"/>
      <c r="X201" s="895"/>
      <c r="Y201" s="895"/>
    </row>
    <row r="202" ht="24.75" customHeight="1" outlineLevel="1" spans="1:25">
      <c r="A202" s="101">
        <f t="shared" si="8"/>
        <v>12</v>
      </c>
      <c r="B202" s="156" t="s">
        <v>1292</v>
      </c>
      <c r="C202" s="156"/>
      <c r="D202" s="103" t="s">
        <v>1293</v>
      </c>
      <c r="E202" s="157"/>
      <c r="F202" s="103" t="s">
        <v>1275</v>
      </c>
      <c r="G202" s="104" t="s">
        <v>117</v>
      </c>
      <c r="H202" s="101" t="str">
        <f>VLOOKUP(G202,'01. TH'!$B:$E,3,0)</f>
        <v>6380 x 2040 x 2300</v>
      </c>
      <c r="I202" s="146" t="s">
        <v>1250</v>
      </c>
      <c r="J202" s="148">
        <v>46143</v>
      </c>
      <c r="K202" s="101" t="str">
        <f>IF(COUNTIF('TT BTSC'!$D:$D,B202)&gt;0,"Hư hỏng","Bình thường")</f>
        <v>Bình thường</v>
      </c>
      <c r="L202" s="146"/>
      <c r="M202" s="206" t="s">
        <v>1146</v>
      </c>
      <c r="N202" s="146" t="s">
        <v>954</v>
      </c>
      <c r="O202" s="159" t="s">
        <v>955</v>
      </c>
      <c r="P202" s="146">
        <v>2024</v>
      </c>
      <c r="Q202" s="146" t="s">
        <v>956</v>
      </c>
      <c r="R202" s="146" t="s">
        <v>118</v>
      </c>
      <c r="S202" s="159" t="s">
        <v>1294</v>
      </c>
      <c r="T202" s="160" t="s">
        <v>1295</v>
      </c>
      <c r="U202" s="160">
        <v>0.2</v>
      </c>
      <c r="V202" s="895">
        <v>100</v>
      </c>
      <c r="W202" s="895"/>
      <c r="X202" s="895"/>
      <c r="Y202" s="895"/>
    </row>
    <row r="203" ht="12.75" customHeight="1" outlineLevel="1" spans="1:25">
      <c r="A203" s="101">
        <f t="shared" si="8"/>
        <v>13</v>
      </c>
      <c r="B203" s="156" t="s">
        <v>1296</v>
      </c>
      <c r="C203" s="156"/>
      <c r="D203" s="103" t="s">
        <v>1297</v>
      </c>
      <c r="E203" s="157"/>
      <c r="F203" s="103" t="s">
        <v>1275</v>
      </c>
      <c r="G203" s="102" t="s">
        <v>243</v>
      </c>
      <c r="H203" s="101" t="str">
        <f>VLOOKUP(G203,'01. TH'!$B:$E,3,0)</f>
        <v/>
      </c>
      <c r="I203" s="146" t="s">
        <v>1250</v>
      </c>
      <c r="J203" s="148">
        <v>45789</v>
      </c>
      <c r="K203" s="101" t="str">
        <f>IF(COUNTIF('TT BTSC'!$D:$D,B203)&gt;0,"Hư hỏng","Bình thường")</f>
        <v>Bình thường</v>
      </c>
      <c r="L203" s="146"/>
      <c r="M203" s="206" t="s">
        <v>1146</v>
      </c>
      <c r="N203" s="146" t="s">
        <v>1015</v>
      </c>
      <c r="O203" s="159" t="s">
        <v>590</v>
      </c>
      <c r="P203" s="146">
        <v>2025</v>
      </c>
      <c r="Q203" s="146" t="s">
        <v>1147</v>
      </c>
      <c r="R203" s="146" t="s">
        <v>1298</v>
      </c>
      <c r="S203" s="159" t="s">
        <v>1299</v>
      </c>
      <c r="T203" s="160" t="s">
        <v>1300</v>
      </c>
      <c r="U203" s="111"/>
      <c r="V203" s="895"/>
      <c r="W203" s="895"/>
      <c r="X203" s="895"/>
      <c r="Y203" s="895"/>
    </row>
    <row r="204" ht="12.75" customHeight="1" outlineLevel="1" spans="1:25">
      <c r="A204" s="101">
        <f t="shared" si="8"/>
        <v>14</v>
      </c>
      <c r="B204" s="156" t="s">
        <v>1301</v>
      </c>
      <c r="C204" s="156"/>
      <c r="D204" s="103" t="s">
        <v>1302</v>
      </c>
      <c r="E204" s="157"/>
      <c r="F204" s="103" t="s">
        <v>1275</v>
      </c>
      <c r="G204" s="102" t="s">
        <v>241</v>
      </c>
      <c r="H204" s="101"/>
      <c r="I204" s="146" t="s">
        <v>1250</v>
      </c>
      <c r="J204" s="148">
        <v>46361</v>
      </c>
      <c r="K204" s="101" t="str">
        <f>IF(COUNTIF('TT BTSC'!$D:$D,B204)&gt;0,"Hư hỏng","Bình thường")</f>
        <v>Bình thường</v>
      </c>
      <c r="L204" s="146"/>
      <c r="M204" s="206" t="s">
        <v>1146</v>
      </c>
      <c r="N204" s="146" t="s">
        <v>1015</v>
      </c>
      <c r="O204" s="159" t="s">
        <v>590</v>
      </c>
      <c r="P204" s="146">
        <v>2026</v>
      </c>
      <c r="Q204" s="146" t="s">
        <v>1303</v>
      </c>
      <c r="R204" s="146" t="s">
        <v>1304</v>
      </c>
      <c r="S204" s="159" t="s">
        <v>1305</v>
      </c>
      <c r="T204" s="160"/>
      <c r="U204" s="111"/>
      <c r="V204" s="895"/>
      <c r="W204" s="895"/>
      <c r="X204" s="895"/>
      <c r="Y204" s="895"/>
    </row>
    <row r="205" ht="12.75" customHeight="1" outlineLevel="1" spans="1:25">
      <c r="A205" s="101">
        <f t="shared" si="8"/>
        <v>15</v>
      </c>
      <c r="B205" s="156" t="s">
        <v>1306</v>
      </c>
      <c r="C205" s="156"/>
      <c r="D205" s="103" t="s">
        <v>1307</v>
      </c>
      <c r="E205" s="157"/>
      <c r="F205" s="103" t="s">
        <v>1275</v>
      </c>
      <c r="G205" s="102" t="s">
        <v>287</v>
      </c>
      <c r="H205" s="101" t="str">
        <f>VLOOKUP(G205,'01. TH'!$B:$E,3,0)</f>
        <v/>
      </c>
      <c r="I205" s="146" t="s">
        <v>1250</v>
      </c>
      <c r="J205" s="146" t="s">
        <v>1196</v>
      </c>
      <c r="K205" s="101" t="str">
        <f>IF(COUNTIF('TT BTSC'!$D:$D,B205)&gt;0,"Hư hỏng","Bình thường")</f>
        <v>Bình thường</v>
      </c>
      <c r="L205" s="146"/>
      <c r="M205" s="206" t="s">
        <v>1146</v>
      </c>
      <c r="N205" s="146" t="s">
        <v>964</v>
      </c>
      <c r="O205" s="159" t="s">
        <v>1197</v>
      </c>
      <c r="P205" s="146">
        <v>2022</v>
      </c>
      <c r="Q205" s="146" t="s">
        <v>1198</v>
      </c>
      <c r="R205" s="146" t="s">
        <v>219</v>
      </c>
      <c r="S205" s="159">
        <v>203050</v>
      </c>
      <c r="T205" s="160" t="s">
        <v>1308</v>
      </c>
      <c r="U205" s="111">
        <v>0.5</v>
      </c>
      <c r="V205" s="895">
        <v>0</v>
      </c>
      <c r="W205" s="895"/>
      <c r="X205" s="895"/>
      <c r="Y205" s="895"/>
    </row>
    <row r="206" ht="12.75" customHeight="1" outlineLevel="1" spans="1:25">
      <c r="A206" s="101">
        <f t="shared" si="8"/>
        <v>16</v>
      </c>
      <c r="B206" s="156" t="s">
        <v>1309</v>
      </c>
      <c r="C206" s="156"/>
      <c r="D206" s="103" t="s">
        <v>1310</v>
      </c>
      <c r="E206" s="157"/>
      <c r="F206" s="103" t="s">
        <v>1275</v>
      </c>
      <c r="G206" s="102" t="s">
        <v>287</v>
      </c>
      <c r="H206" s="101" t="str">
        <f>VLOOKUP(G206,'01. TH'!$B:$E,3,0)</f>
        <v/>
      </c>
      <c r="I206" s="146" t="s">
        <v>1250</v>
      </c>
      <c r="J206" s="146" t="s">
        <v>1196</v>
      </c>
      <c r="K206" s="101" t="str">
        <f>IF(COUNTIF('TT BTSC'!$D:$D,B206)&gt;0,"Hư hỏng","Bình thường")</f>
        <v>Bình thường</v>
      </c>
      <c r="L206" s="146"/>
      <c r="M206" s="206" t="s">
        <v>1146</v>
      </c>
      <c r="N206" s="146" t="s">
        <v>964</v>
      </c>
      <c r="O206" s="159" t="s">
        <v>1197</v>
      </c>
      <c r="P206" s="146">
        <v>2022</v>
      </c>
      <c r="Q206" s="146" t="s">
        <v>1198</v>
      </c>
      <c r="R206" s="146" t="s">
        <v>219</v>
      </c>
      <c r="S206" s="159">
        <v>203054</v>
      </c>
      <c r="T206" s="160" t="s">
        <v>1311</v>
      </c>
      <c r="U206" s="111">
        <v>0.5</v>
      </c>
      <c r="V206" s="895">
        <v>0</v>
      </c>
      <c r="W206" s="895"/>
      <c r="X206" s="895"/>
      <c r="Y206" s="895"/>
    </row>
    <row r="207" ht="12.75" customHeight="1" outlineLevel="1" spans="1:25">
      <c r="A207" s="101">
        <f t="shared" si="8"/>
        <v>17</v>
      </c>
      <c r="B207" s="156" t="s">
        <v>1312</v>
      </c>
      <c r="C207" s="156"/>
      <c r="D207" s="103" t="s">
        <v>1313</v>
      </c>
      <c r="E207" s="157"/>
      <c r="F207" s="103" t="s">
        <v>1275</v>
      </c>
      <c r="G207" s="102" t="s">
        <v>287</v>
      </c>
      <c r="H207" s="101" t="str">
        <f>VLOOKUP(G207,'01. TH'!$B:$E,3,0)</f>
        <v/>
      </c>
      <c r="I207" s="146" t="s">
        <v>1250</v>
      </c>
      <c r="J207" s="146" t="s">
        <v>1196</v>
      </c>
      <c r="K207" s="101" t="str">
        <f>IF(COUNTIF('TT BTSC'!$D:$D,B207)&gt;0,"Hư hỏng","Bình thường")</f>
        <v>Bình thường</v>
      </c>
      <c r="L207" s="146"/>
      <c r="M207" s="206" t="s">
        <v>1146</v>
      </c>
      <c r="N207" s="146" t="s">
        <v>964</v>
      </c>
      <c r="O207" s="159" t="s">
        <v>1197</v>
      </c>
      <c r="P207" s="146">
        <v>2022</v>
      </c>
      <c r="Q207" s="146" t="s">
        <v>1198</v>
      </c>
      <c r="R207" s="146" t="s">
        <v>219</v>
      </c>
      <c r="S207" s="159">
        <v>203068</v>
      </c>
      <c r="T207" s="160" t="s">
        <v>1314</v>
      </c>
      <c r="U207" s="111">
        <v>0.5</v>
      </c>
      <c r="V207" s="895">
        <v>0</v>
      </c>
      <c r="W207" s="895"/>
      <c r="X207" s="895"/>
      <c r="Y207" s="895"/>
    </row>
    <row r="208" ht="12.75" customHeight="1" outlineLevel="1" spans="1:25">
      <c r="A208" s="101">
        <f t="shared" si="8"/>
        <v>18</v>
      </c>
      <c r="B208" s="156" t="s">
        <v>1315</v>
      </c>
      <c r="C208" s="156"/>
      <c r="D208" s="103" t="s">
        <v>1316</v>
      </c>
      <c r="E208" s="157"/>
      <c r="F208" s="103" t="s">
        <v>1275</v>
      </c>
      <c r="G208" s="102" t="s">
        <v>287</v>
      </c>
      <c r="H208" s="101" t="str">
        <f>VLOOKUP(G208,'01. TH'!$B:$E,3,0)</f>
        <v/>
      </c>
      <c r="I208" s="146" t="s">
        <v>1250</v>
      </c>
      <c r="J208" s="146" t="s">
        <v>1196</v>
      </c>
      <c r="K208" s="101" t="str">
        <f>IF(COUNTIF('TT BTSC'!$D:$D,B208)&gt;0,"Hư hỏng","Bình thường")</f>
        <v>Bình thường</v>
      </c>
      <c r="L208" s="146"/>
      <c r="M208" s="206" t="s">
        <v>1146</v>
      </c>
      <c r="N208" s="146" t="s">
        <v>964</v>
      </c>
      <c r="O208" s="159" t="s">
        <v>1197</v>
      </c>
      <c r="P208" s="146">
        <v>2022</v>
      </c>
      <c r="Q208" s="146" t="s">
        <v>1198</v>
      </c>
      <c r="R208" s="146" t="s">
        <v>219</v>
      </c>
      <c r="S208" s="159">
        <v>203075</v>
      </c>
      <c r="T208" s="160" t="s">
        <v>1317</v>
      </c>
      <c r="U208" s="111">
        <v>0.5</v>
      </c>
      <c r="V208" s="895">
        <v>0</v>
      </c>
      <c r="W208" s="895"/>
      <c r="X208" s="895"/>
      <c r="Y208" s="895"/>
    </row>
    <row r="209" ht="12.75" customHeight="1" outlineLevel="1" spans="1:25">
      <c r="A209" s="101">
        <f t="shared" si="8"/>
        <v>19</v>
      </c>
      <c r="B209" s="156" t="s">
        <v>1318</v>
      </c>
      <c r="C209" s="156"/>
      <c r="D209" s="103" t="s">
        <v>1319</v>
      </c>
      <c r="E209" s="157"/>
      <c r="F209" s="103" t="s">
        <v>1275</v>
      </c>
      <c r="G209" s="102" t="s">
        <v>287</v>
      </c>
      <c r="H209" s="101" t="str">
        <f>VLOOKUP(G209,'01. TH'!$B:$E,3,0)</f>
        <v/>
      </c>
      <c r="I209" s="146" t="s">
        <v>1250</v>
      </c>
      <c r="J209" s="146" t="s">
        <v>1196</v>
      </c>
      <c r="K209" s="101" t="str">
        <f>IF(COUNTIF('TT BTSC'!$D:$D,B209)&gt;0,"Hư hỏng","Bình thường")</f>
        <v>Bình thường</v>
      </c>
      <c r="L209" s="146"/>
      <c r="M209" s="206" t="s">
        <v>1146</v>
      </c>
      <c r="N209" s="146" t="s">
        <v>964</v>
      </c>
      <c r="O209" s="159" t="s">
        <v>1197</v>
      </c>
      <c r="P209" s="146">
        <v>2022</v>
      </c>
      <c r="Q209" s="146" t="s">
        <v>1198</v>
      </c>
      <c r="R209" s="146" t="s">
        <v>219</v>
      </c>
      <c r="S209" s="159">
        <v>203086</v>
      </c>
      <c r="T209" s="160" t="s">
        <v>1320</v>
      </c>
      <c r="U209" s="111">
        <v>0.5</v>
      </c>
      <c r="V209" s="895">
        <v>0</v>
      </c>
      <c r="W209" s="895"/>
      <c r="X209" s="895"/>
      <c r="Y209" s="895"/>
    </row>
    <row r="210" ht="12.75" customHeight="1" outlineLevel="1" spans="1:25">
      <c r="A210" s="101">
        <f t="shared" si="8"/>
        <v>20</v>
      </c>
      <c r="B210" s="156" t="s">
        <v>1321</v>
      </c>
      <c r="C210" s="156"/>
      <c r="D210" s="103" t="s">
        <v>1322</v>
      </c>
      <c r="E210" s="157"/>
      <c r="F210" s="103" t="s">
        <v>1275</v>
      </c>
      <c r="G210" s="156" t="s">
        <v>280</v>
      </c>
      <c r="H210" s="101" t="str">
        <f>VLOOKUP(G210,'01. TH'!$B:$E,3,0)</f>
        <v/>
      </c>
      <c r="I210" s="146" t="s">
        <v>1250</v>
      </c>
      <c r="J210" s="146" t="s">
        <v>1221</v>
      </c>
      <c r="K210" s="101" t="str">
        <f>IF(COUNTIF('TT BTSC'!$D:$D,B210)&gt;0,"Hư hỏng","Bình thường")</f>
        <v>Bình thường</v>
      </c>
      <c r="L210" s="146"/>
      <c r="M210" s="206" t="s">
        <v>1146</v>
      </c>
      <c r="N210" s="146" t="s">
        <v>1323</v>
      </c>
      <c r="O210" s="159" t="s">
        <v>1223</v>
      </c>
      <c r="P210" s="146"/>
      <c r="Q210" s="146" t="s">
        <v>1324</v>
      </c>
      <c r="R210" s="146" t="s">
        <v>281</v>
      </c>
      <c r="S210" s="159" t="s">
        <v>462</v>
      </c>
      <c r="T210" s="160">
        <v>4418343</v>
      </c>
      <c r="U210" s="159">
        <v>2.3</v>
      </c>
      <c r="V210" s="895">
        <v>0</v>
      </c>
      <c r="W210" s="895"/>
      <c r="X210" s="895"/>
      <c r="Y210" s="895"/>
    </row>
    <row r="211" ht="12.75" customHeight="1" outlineLevel="1" spans="1:25">
      <c r="A211" s="101">
        <f t="shared" si="8"/>
        <v>21</v>
      </c>
      <c r="B211" s="156" t="s">
        <v>1325</v>
      </c>
      <c r="C211" s="156"/>
      <c r="D211" s="103" t="s">
        <v>1326</v>
      </c>
      <c r="E211" s="157"/>
      <c r="F211" s="103" t="s">
        <v>1275</v>
      </c>
      <c r="G211" s="156" t="s">
        <v>280</v>
      </c>
      <c r="H211" s="101" t="str">
        <f>VLOOKUP(G211,'01. TH'!$B:$E,3,0)</f>
        <v/>
      </c>
      <c r="I211" s="146" t="s">
        <v>1250</v>
      </c>
      <c r="J211" s="146" t="s">
        <v>1221</v>
      </c>
      <c r="K211" s="101" t="str">
        <f>IF(COUNTIF('TT BTSC'!$D:$D,B211)&gt;0,"Hư hỏng","Bình thường")</f>
        <v>Bình thường</v>
      </c>
      <c r="L211" s="146"/>
      <c r="M211" s="206" t="s">
        <v>1146</v>
      </c>
      <c r="N211" s="146" t="s">
        <v>964</v>
      </c>
      <c r="O211" s="159" t="s">
        <v>1223</v>
      </c>
      <c r="P211" s="146"/>
      <c r="Q211" s="146" t="s">
        <v>1327</v>
      </c>
      <c r="R211" s="146" t="s">
        <v>281</v>
      </c>
      <c r="S211" s="159">
        <v>871668</v>
      </c>
      <c r="T211" s="160">
        <v>20189</v>
      </c>
      <c r="U211" s="159">
        <v>2.3</v>
      </c>
      <c r="V211" s="895">
        <v>0</v>
      </c>
      <c r="W211" s="895"/>
      <c r="X211" s="895"/>
      <c r="Y211" s="895"/>
    </row>
    <row r="212" ht="12.75" customHeight="1" outlineLevel="1" spans="1:25">
      <c r="A212" s="101">
        <f t="shared" si="8"/>
        <v>22</v>
      </c>
      <c r="B212" s="156" t="s">
        <v>1328</v>
      </c>
      <c r="C212" s="156"/>
      <c r="D212" s="103" t="s">
        <v>1329</v>
      </c>
      <c r="E212" s="157"/>
      <c r="F212" s="103" t="s">
        <v>1275</v>
      </c>
      <c r="G212" s="156" t="s">
        <v>283</v>
      </c>
      <c r="H212" s="101" t="str">
        <f>VLOOKUP(G212,'01. TH'!$B:$E,3,0)</f>
        <v/>
      </c>
      <c r="I212" s="146" t="s">
        <v>1250</v>
      </c>
      <c r="J212" s="146" t="s">
        <v>1228</v>
      </c>
      <c r="K212" s="101" t="str">
        <f>IF(COUNTIF('TT BTSC'!$D:$D,B212)&gt;0,"Hư hỏng","Bình thường")</f>
        <v>Bình thường</v>
      </c>
      <c r="L212" s="146"/>
      <c r="M212" s="206" t="s">
        <v>1146</v>
      </c>
      <c r="N212" s="146" t="s">
        <v>1229</v>
      </c>
      <c r="O212" s="159" t="s">
        <v>500</v>
      </c>
      <c r="P212" s="146">
        <v>2025</v>
      </c>
      <c r="Q212" s="146" t="s">
        <v>1230</v>
      </c>
      <c r="R212" s="146" t="s">
        <v>272</v>
      </c>
      <c r="S212" s="159" t="s">
        <v>1330</v>
      </c>
      <c r="T212" s="160" t="s">
        <v>1331</v>
      </c>
      <c r="U212" s="159">
        <v>1.8</v>
      </c>
      <c r="V212" s="895">
        <v>0</v>
      </c>
      <c r="W212" s="895"/>
      <c r="X212" s="895"/>
      <c r="Y212" s="895"/>
    </row>
    <row r="213" ht="12.75" customHeight="1" outlineLevel="1" spans="1:25">
      <c r="A213" s="101">
        <f t="shared" si="8"/>
        <v>23</v>
      </c>
      <c r="B213" s="156" t="s">
        <v>1332</v>
      </c>
      <c r="C213" s="156"/>
      <c r="D213" s="103" t="s">
        <v>1333</v>
      </c>
      <c r="E213" s="157"/>
      <c r="F213" s="103" t="s">
        <v>1275</v>
      </c>
      <c r="G213" s="156" t="s">
        <v>283</v>
      </c>
      <c r="H213" s="101" t="str">
        <f>VLOOKUP(G213,'01. TH'!$B:$E,3,0)</f>
        <v/>
      </c>
      <c r="I213" s="146" t="s">
        <v>1250</v>
      </c>
      <c r="J213" s="146" t="s">
        <v>1228</v>
      </c>
      <c r="K213" s="101" t="str">
        <f>IF(COUNTIF('TT BTSC'!$D:$D,B213)&gt;0,"Hư hỏng","Bình thường")</f>
        <v>Bình thường</v>
      </c>
      <c r="L213" s="146"/>
      <c r="M213" s="206" t="s">
        <v>1146</v>
      </c>
      <c r="N213" s="146" t="s">
        <v>1229</v>
      </c>
      <c r="O213" s="159" t="s">
        <v>500</v>
      </c>
      <c r="P213" s="146">
        <v>2025</v>
      </c>
      <c r="Q213" s="146" t="s">
        <v>1230</v>
      </c>
      <c r="R213" s="146" t="s">
        <v>272</v>
      </c>
      <c r="S213" s="159" t="s">
        <v>1334</v>
      </c>
      <c r="T213" s="160" t="s">
        <v>1335</v>
      </c>
      <c r="U213" s="159">
        <v>1.8</v>
      </c>
      <c r="V213" s="895">
        <v>0</v>
      </c>
      <c r="W213" s="895"/>
      <c r="X213" s="895"/>
      <c r="Y213" s="895"/>
    </row>
    <row r="214" ht="12.75" customHeight="1" outlineLevel="1" spans="1:25">
      <c r="A214" s="101">
        <f t="shared" si="8"/>
        <v>24</v>
      </c>
      <c r="B214" s="156" t="s">
        <v>1336</v>
      </c>
      <c r="C214" s="156"/>
      <c r="D214" s="103" t="s">
        <v>1337</v>
      </c>
      <c r="E214" s="157"/>
      <c r="F214" s="103" t="s">
        <v>1275</v>
      </c>
      <c r="G214" s="156" t="s">
        <v>283</v>
      </c>
      <c r="H214" s="101" t="str">
        <f>VLOOKUP(G214,'01. TH'!$B:$E,3,0)</f>
        <v/>
      </c>
      <c r="I214" s="146" t="s">
        <v>1250</v>
      </c>
      <c r="J214" s="146" t="s">
        <v>1228</v>
      </c>
      <c r="K214" s="101" t="str">
        <f>IF(COUNTIF('TT BTSC'!$D:$D,B214)&gt;0,"Hư hỏng","Bình thường")</f>
        <v>Bình thường</v>
      </c>
      <c r="L214" s="146"/>
      <c r="M214" s="206" t="s">
        <v>1146</v>
      </c>
      <c r="N214" s="146" t="s">
        <v>1229</v>
      </c>
      <c r="O214" s="159" t="s">
        <v>500</v>
      </c>
      <c r="P214" s="146">
        <v>2025</v>
      </c>
      <c r="Q214" s="146" t="s">
        <v>1230</v>
      </c>
      <c r="R214" s="146" t="s">
        <v>272</v>
      </c>
      <c r="S214" s="159" t="s">
        <v>1338</v>
      </c>
      <c r="T214" s="160" t="s">
        <v>1339</v>
      </c>
      <c r="U214" s="159">
        <v>1.8</v>
      </c>
      <c r="V214" s="895">
        <v>0</v>
      </c>
      <c r="W214" s="895"/>
      <c r="X214" s="895"/>
      <c r="Y214" s="895"/>
    </row>
    <row r="215" ht="12.75" customHeight="1" outlineLevel="1" spans="1:25">
      <c r="A215" s="101">
        <f t="shared" si="8"/>
        <v>25</v>
      </c>
      <c r="B215" s="156" t="s">
        <v>1340</v>
      </c>
      <c r="C215" s="156"/>
      <c r="D215" s="103" t="s">
        <v>1341</v>
      </c>
      <c r="E215" s="157"/>
      <c r="F215" s="103" t="s">
        <v>1275</v>
      </c>
      <c r="G215" s="156" t="s">
        <v>283</v>
      </c>
      <c r="H215" s="101" t="str">
        <f>VLOOKUP(G215,'01. TH'!$B:$E,3,0)</f>
        <v/>
      </c>
      <c r="I215" s="146" t="s">
        <v>1250</v>
      </c>
      <c r="J215" s="146" t="s">
        <v>1228</v>
      </c>
      <c r="K215" s="101" t="str">
        <f>IF(COUNTIF('TT BTSC'!$D:$D,B215)&gt;0,"Hư hỏng","Bình thường")</f>
        <v>Bình thường</v>
      </c>
      <c r="L215" s="146"/>
      <c r="M215" s="206" t="s">
        <v>1146</v>
      </c>
      <c r="N215" s="146" t="s">
        <v>1229</v>
      </c>
      <c r="O215" s="159" t="s">
        <v>500</v>
      </c>
      <c r="P215" s="146">
        <v>2025</v>
      </c>
      <c r="Q215" s="146" t="s">
        <v>1230</v>
      </c>
      <c r="R215" s="146" t="s">
        <v>272</v>
      </c>
      <c r="S215" s="159" t="s">
        <v>1342</v>
      </c>
      <c r="T215" s="160" t="s">
        <v>1343</v>
      </c>
      <c r="U215" s="159">
        <v>1.8</v>
      </c>
      <c r="V215" s="895">
        <v>0</v>
      </c>
      <c r="W215" s="895"/>
      <c r="X215" s="895"/>
      <c r="Y215" s="895"/>
    </row>
    <row r="216" ht="12.75" customHeight="1" outlineLevel="1" spans="1:25">
      <c r="A216" s="101"/>
      <c r="B216" s="156"/>
      <c r="C216" s="156"/>
      <c r="D216" s="103"/>
      <c r="E216" s="157"/>
      <c r="F216" s="157"/>
      <c r="G216" s="156"/>
      <c r="H216" s="101"/>
      <c r="I216" s="146"/>
      <c r="J216" s="148"/>
      <c r="K216" s="101"/>
      <c r="L216" s="146"/>
      <c r="M216" s="206"/>
      <c r="N216" s="146"/>
      <c r="O216" s="159"/>
      <c r="P216" s="146"/>
      <c r="Q216" s="146"/>
      <c r="R216" s="146"/>
      <c r="S216" s="159"/>
      <c r="T216" s="160"/>
      <c r="U216" s="160"/>
      <c r="V216" s="192"/>
      <c r="W216" s="192"/>
      <c r="X216" s="192"/>
      <c r="Y216" s="192"/>
    </row>
    <row r="217" ht="12.75" customHeight="1" outlineLevel="1" spans="1:25">
      <c r="A217" s="101"/>
      <c r="B217" s="156"/>
      <c r="C217" s="156" t="s">
        <v>1245</v>
      </c>
      <c r="D217" s="103"/>
      <c r="E217" s="157"/>
      <c r="F217" s="157"/>
      <c r="G217" s="156"/>
      <c r="H217" s="101" t="e">
        <f>VLOOKUP(G217,'01. TH'!$B:$E,3,0)</f>
        <v>#N/A</v>
      </c>
      <c r="I217" s="146"/>
      <c r="J217" s="148"/>
      <c r="K217" s="101"/>
      <c r="L217" s="146"/>
      <c r="M217" s="206"/>
      <c r="N217" s="146"/>
      <c r="O217" s="159"/>
      <c r="P217" s="146"/>
      <c r="Q217" s="146"/>
      <c r="R217" s="146"/>
      <c r="S217" s="159"/>
      <c r="T217" s="160"/>
      <c r="U217" s="160"/>
      <c r="V217" s="192"/>
      <c r="W217" s="192"/>
      <c r="X217" s="192"/>
      <c r="Y217" s="192"/>
    </row>
    <row r="218" ht="13.5" customHeight="1" spans="1:25">
      <c r="A218" s="96" t="s">
        <v>1344</v>
      </c>
      <c r="B218" s="901" t="s">
        <v>1345</v>
      </c>
      <c r="C218" s="96">
        <f>COUNTA($B$219:$B$252)</f>
        <v>32</v>
      </c>
      <c r="D218" s="902" t="str">
        <f>IFERROR(VLOOKUP(B218,' 02.1 KLH-CN MÃ BRAVO MM'!$B:$C,2,0),"")</f>
        <v/>
      </c>
      <c r="E218" s="903"/>
      <c r="F218" s="903"/>
      <c r="G218" s="908"/>
      <c r="H218" s="97"/>
      <c r="I218" s="902"/>
      <c r="J218" s="904"/>
      <c r="K218" s="97"/>
      <c r="L218" s="903"/>
      <c r="M218" s="909"/>
      <c r="N218" s="903"/>
      <c r="O218" s="902"/>
      <c r="P218" s="902"/>
      <c r="Q218" s="902"/>
      <c r="R218" s="902"/>
      <c r="S218" s="902"/>
      <c r="T218" s="902"/>
      <c r="U218" s="906"/>
      <c r="V218" s="192"/>
      <c r="W218" s="192"/>
      <c r="X218" s="192"/>
      <c r="Y218" s="192"/>
    </row>
    <row r="219" ht="13.5" customHeight="1" outlineLevel="1" spans="1:25">
      <c r="A219" s="101">
        <v>1</v>
      </c>
      <c r="B219" s="102" t="s">
        <v>1346</v>
      </c>
      <c r="C219" s="102" t="s">
        <v>1347</v>
      </c>
      <c r="D219" s="103" t="str">
        <f>IFERROR(VLOOKUP(B219,' 02.1 KLH-CN MÃ BRAVO MM'!$B:$C,2,0),"")</f>
        <v>A23-MKE-023</v>
      </c>
      <c r="E219" s="103"/>
      <c r="F219" s="103" t="s">
        <v>451</v>
      </c>
      <c r="G219" s="102" t="s">
        <v>200</v>
      </c>
      <c r="H219" s="101" t="str">
        <f>VLOOKUP(G219,'01. TH'!$B:$E,3,0)</f>
        <v>3120 x 1495 x 1510</v>
      </c>
      <c r="I219" s="101" t="s">
        <v>1348</v>
      </c>
      <c r="J219" s="105"/>
      <c r="K219" s="101" t="str">
        <f>IF(COUNTIF('TT BTSC'!$D:$D,B219)&gt;0,"Hư hỏng","Bình thường")</f>
        <v>Bình thường</v>
      </c>
      <c r="L219" s="101"/>
      <c r="M219" s="182"/>
      <c r="N219" s="101" t="s">
        <v>759</v>
      </c>
      <c r="O219" s="110" t="s">
        <v>453</v>
      </c>
      <c r="P219" s="101">
        <v>2019</v>
      </c>
      <c r="Q219" s="101" t="s">
        <v>1137</v>
      </c>
      <c r="R219" s="101" t="s">
        <v>41</v>
      </c>
      <c r="S219" s="110">
        <v>14720</v>
      </c>
      <c r="T219" s="111" t="s">
        <v>462</v>
      </c>
      <c r="U219" s="111">
        <v>2</v>
      </c>
      <c r="V219" s="895">
        <v>0</v>
      </c>
      <c r="W219" s="895"/>
      <c r="X219" s="895"/>
      <c r="Y219" s="895"/>
    </row>
    <row r="220" ht="13.5" customHeight="1" outlineLevel="1" spans="1:25">
      <c r="A220" s="101">
        <f t="shared" ref="A220:A250" si="9">1+A219</f>
        <v>2</v>
      </c>
      <c r="B220" s="102" t="s">
        <v>1349</v>
      </c>
      <c r="C220" s="102" t="s">
        <v>1350</v>
      </c>
      <c r="D220" s="103" t="str">
        <f>IFERROR(VLOOKUP(B220,' 02.1 KLH-CN MÃ BRAVO MM'!$B:$C,2,0),"")</f>
        <v>A23-MKE-024</v>
      </c>
      <c r="E220" s="103"/>
      <c r="F220" s="103" t="s">
        <v>451</v>
      </c>
      <c r="G220" s="102" t="s">
        <v>197</v>
      </c>
      <c r="H220" s="101" t="str">
        <f>VLOOKUP(G220,'01. TH'!$B:$E,3,0)</f>
        <v>3226 x 1570 x 1545</v>
      </c>
      <c r="I220" s="101" t="s">
        <v>1348</v>
      </c>
      <c r="J220" s="105">
        <v>43525</v>
      </c>
      <c r="K220" s="101" t="str">
        <f>IF(COUNTIF('TT BTSC'!$D:$D,B220)&gt;0,"Hư hỏng","Bình thường")</f>
        <v>Bình thường</v>
      </c>
      <c r="L220" s="107">
        <v>0.4</v>
      </c>
      <c r="M220" s="182"/>
      <c r="N220" s="101" t="s">
        <v>1019</v>
      </c>
      <c r="O220" s="110" t="s">
        <v>500</v>
      </c>
      <c r="P220" s="101">
        <v>2018</v>
      </c>
      <c r="Q220" s="101" t="s">
        <v>1122</v>
      </c>
      <c r="R220" s="101" t="s">
        <v>128</v>
      </c>
      <c r="S220" s="110" t="s">
        <v>1351</v>
      </c>
      <c r="T220" s="111" t="s">
        <v>462</v>
      </c>
      <c r="U220" s="111">
        <v>2.5</v>
      </c>
      <c r="V220" s="895">
        <v>0</v>
      </c>
      <c r="W220" s="895"/>
      <c r="X220" s="895"/>
      <c r="Y220" s="895"/>
    </row>
    <row r="221" ht="13.5" customHeight="1" outlineLevel="1" spans="1:25">
      <c r="A221" s="101">
        <f t="shared" si="9"/>
        <v>3</v>
      </c>
      <c r="B221" s="102" t="s">
        <v>1352</v>
      </c>
      <c r="C221" s="102" t="s">
        <v>1353</v>
      </c>
      <c r="D221" s="103" t="str">
        <f>IFERROR(VLOOKUP(B221,' 02.1 KLH-CN MÃ BRAVO MM'!$B:$C,2,0),"")</f>
        <v>A23-MKE-025</v>
      </c>
      <c r="E221" s="103"/>
      <c r="F221" s="103" t="s">
        <v>451</v>
      </c>
      <c r="G221" s="102" t="s">
        <v>197</v>
      </c>
      <c r="H221" s="101" t="str">
        <f>VLOOKUP(G221,'01. TH'!$B:$E,3,0)</f>
        <v>3226 x 1570 x 1545</v>
      </c>
      <c r="I221" s="101" t="s">
        <v>1348</v>
      </c>
      <c r="J221" s="105">
        <v>43525</v>
      </c>
      <c r="K221" s="101" t="str">
        <f>IF(COUNTIF('TT BTSC'!$D:$D,B221)&gt;0,"Hư hỏng","Bình thường")</f>
        <v>Bình thường</v>
      </c>
      <c r="L221" s="107">
        <v>0.4</v>
      </c>
      <c r="M221" s="182"/>
      <c r="N221" s="101" t="s">
        <v>1019</v>
      </c>
      <c r="O221" s="110" t="s">
        <v>500</v>
      </c>
      <c r="P221" s="101">
        <v>2018</v>
      </c>
      <c r="Q221" s="101" t="s">
        <v>1122</v>
      </c>
      <c r="R221" s="101" t="s">
        <v>128</v>
      </c>
      <c r="S221" s="110" t="s">
        <v>1354</v>
      </c>
      <c r="T221" s="111" t="s">
        <v>462</v>
      </c>
      <c r="U221" s="111">
        <v>2.5</v>
      </c>
      <c r="V221" s="895">
        <v>0</v>
      </c>
      <c r="W221" s="895"/>
      <c r="X221" s="895"/>
      <c r="Y221" s="895"/>
    </row>
    <row r="222" ht="13.5" customHeight="1" outlineLevel="1" spans="1:25">
      <c r="A222" s="101">
        <f t="shared" si="9"/>
        <v>4</v>
      </c>
      <c r="B222" s="102" t="s">
        <v>1355</v>
      </c>
      <c r="C222" s="102" t="s">
        <v>1356</v>
      </c>
      <c r="D222" s="103" t="str">
        <f>IFERROR(VLOOKUP(B222,' 02.1 KLH-CN MÃ BRAVO MM'!$B:$C,2,0),"")</f>
        <v>A23-MKE-026</v>
      </c>
      <c r="E222" s="103"/>
      <c r="F222" s="103" t="s">
        <v>451</v>
      </c>
      <c r="G222" s="102" t="s">
        <v>197</v>
      </c>
      <c r="H222" s="101" t="str">
        <f>VLOOKUP(G222,'01. TH'!$B:$E,3,0)</f>
        <v>3226 x 1570 x 1545</v>
      </c>
      <c r="I222" s="101" t="s">
        <v>1348</v>
      </c>
      <c r="J222" s="105">
        <v>43525</v>
      </c>
      <c r="K222" s="101" t="str">
        <f>IF(COUNTIF('TT BTSC'!$D:$D,B222)&gt;0,"Hư hỏng","Bình thường")</f>
        <v>Bình thường</v>
      </c>
      <c r="L222" s="107">
        <v>0.4</v>
      </c>
      <c r="M222" s="182"/>
      <c r="N222" s="101" t="s">
        <v>1019</v>
      </c>
      <c r="O222" s="110" t="s">
        <v>500</v>
      </c>
      <c r="P222" s="101">
        <v>2018</v>
      </c>
      <c r="Q222" s="101" t="s">
        <v>1122</v>
      </c>
      <c r="R222" s="101" t="s">
        <v>128</v>
      </c>
      <c r="S222" s="110" t="s">
        <v>1357</v>
      </c>
      <c r="T222" s="111" t="s">
        <v>462</v>
      </c>
      <c r="U222" s="111">
        <v>2.5</v>
      </c>
      <c r="V222" s="895">
        <v>0</v>
      </c>
      <c r="W222" s="895"/>
      <c r="X222" s="895"/>
      <c r="Y222" s="895"/>
    </row>
    <row r="223" ht="13.5" customHeight="1" outlineLevel="1" spans="1:25">
      <c r="A223" s="101">
        <f t="shared" si="9"/>
        <v>5</v>
      </c>
      <c r="B223" s="102" t="s">
        <v>1358</v>
      </c>
      <c r="C223" s="102" t="s">
        <v>1359</v>
      </c>
      <c r="D223" s="103" t="str">
        <f>IFERROR(VLOOKUP(B223,' 02.1 KLH-CN MÃ BRAVO MM'!$B:$C,2,0),"")</f>
        <v>A23-MKE-027</v>
      </c>
      <c r="E223" s="103"/>
      <c r="F223" s="103" t="s">
        <v>451</v>
      </c>
      <c r="G223" s="102" t="s">
        <v>197</v>
      </c>
      <c r="H223" s="101" t="str">
        <f>VLOOKUP(G223,'01. TH'!$B:$E,3,0)</f>
        <v>3226 x 1570 x 1545</v>
      </c>
      <c r="I223" s="101" t="s">
        <v>1348</v>
      </c>
      <c r="J223" s="105">
        <v>43525</v>
      </c>
      <c r="K223" s="101" t="str">
        <f>IF(COUNTIF('TT BTSC'!$D:$D,B223)&gt;0,"Hư hỏng","Bình thường")</f>
        <v>Bình thường</v>
      </c>
      <c r="L223" s="107">
        <v>0.4</v>
      </c>
      <c r="M223" s="182"/>
      <c r="N223" s="101" t="s">
        <v>1019</v>
      </c>
      <c r="O223" s="110" t="s">
        <v>500</v>
      </c>
      <c r="P223" s="101">
        <v>2018</v>
      </c>
      <c r="Q223" s="101" t="s">
        <v>1122</v>
      </c>
      <c r="R223" s="101" t="s">
        <v>128</v>
      </c>
      <c r="S223" s="110" t="s">
        <v>1360</v>
      </c>
      <c r="T223" s="111" t="s">
        <v>462</v>
      </c>
      <c r="U223" s="111">
        <v>2.5</v>
      </c>
      <c r="V223" s="895">
        <v>0</v>
      </c>
      <c r="W223" s="895"/>
      <c r="X223" s="895"/>
      <c r="Y223" s="895"/>
    </row>
    <row r="224" ht="13.5" customHeight="1" outlineLevel="1" spans="1:25">
      <c r="A224" s="101">
        <f t="shared" si="9"/>
        <v>6</v>
      </c>
      <c r="B224" s="102" t="s">
        <v>1361</v>
      </c>
      <c r="C224" s="102" t="s">
        <v>1362</v>
      </c>
      <c r="D224" s="103" t="str">
        <f>IFERROR(VLOOKUP(B224,' 02.1 KLH-CN MÃ BRAVO MM'!$B:$C,2,0),"")</f>
        <v>ATT-A23-0036</v>
      </c>
      <c r="E224" s="103"/>
      <c r="F224" s="103" t="s">
        <v>451</v>
      </c>
      <c r="G224" s="102" t="s">
        <v>49</v>
      </c>
      <c r="H224" s="101" t="str">
        <f>VLOOKUP(G224,'01. TH'!$B:$E,3,0)</f>
        <v>5260 x 1760 x 2415</v>
      </c>
      <c r="I224" s="101" t="s">
        <v>1348</v>
      </c>
      <c r="J224" s="105"/>
      <c r="K224" s="101" t="str">
        <f>IF(COUNTIF('TT BTSC'!$D:$D,B224)&gt;0,"Hư hỏng","Bình thường")</f>
        <v>Bình thường</v>
      </c>
      <c r="L224" s="101"/>
      <c r="M224" s="182"/>
      <c r="N224" s="101" t="s">
        <v>480</v>
      </c>
      <c r="O224" s="110" t="s">
        <v>453</v>
      </c>
      <c r="P224" s="101">
        <v>2006</v>
      </c>
      <c r="Q224" s="101" t="s">
        <v>556</v>
      </c>
      <c r="R224" s="101" t="s">
        <v>767</v>
      </c>
      <c r="S224" s="110">
        <v>8608</v>
      </c>
      <c r="T224" s="111" t="s">
        <v>462</v>
      </c>
      <c r="U224" s="160">
        <v>4</v>
      </c>
      <c r="V224" s="192"/>
      <c r="W224" s="192"/>
      <c r="X224" s="192"/>
      <c r="Y224" s="192"/>
    </row>
    <row r="225" ht="13.5" customHeight="1" outlineLevel="1" spans="1:25">
      <c r="A225" s="101">
        <f t="shared" si="9"/>
        <v>7</v>
      </c>
      <c r="B225" s="102" t="s">
        <v>1363</v>
      </c>
      <c r="C225" s="102" t="s">
        <v>1364</v>
      </c>
      <c r="D225" s="103" t="str">
        <f>IFERROR(VLOOKUP(B225,' 02.1 KLH-CN MÃ BRAVO MM'!$B:$C,2,0),"")</f>
        <v>A23-MKE-028</v>
      </c>
      <c r="E225" s="103"/>
      <c r="F225" s="103" t="s">
        <v>451</v>
      </c>
      <c r="G225" s="102" t="s">
        <v>197</v>
      </c>
      <c r="H225" s="101" t="str">
        <f>VLOOKUP(G225,'01. TH'!$B:$E,3,0)</f>
        <v>3226 x 1570 x 1545</v>
      </c>
      <c r="I225" s="101" t="s">
        <v>1348</v>
      </c>
      <c r="J225" s="105"/>
      <c r="K225" s="101" t="str">
        <f>IF(COUNTIF('TT BTSC'!$D:$D,B225)&gt;0,"Hư hỏng","Bình thường")</f>
        <v>Bình thường</v>
      </c>
      <c r="L225" s="101"/>
      <c r="M225" s="182"/>
      <c r="N225" s="101" t="s">
        <v>1019</v>
      </c>
      <c r="O225" s="110" t="s">
        <v>500</v>
      </c>
      <c r="P225" s="101">
        <v>2018</v>
      </c>
      <c r="Q225" s="101" t="s">
        <v>1122</v>
      </c>
      <c r="R225" s="101" t="s">
        <v>128</v>
      </c>
      <c r="S225" s="110" t="s">
        <v>1365</v>
      </c>
      <c r="T225" s="111" t="s">
        <v>462</v>
      </c>
      <c r="U225" s="111">
        <v>2</v>
      </c>
      <c r="V225" s="895">
        <v>0</v>
      </c>
      <c r="W225" s="895"/>
      <c r="X225" s="895"/>
      <c r="Y225" s="895"/>
    </row>
    <row r="226" ht="13.5" customHeight="1" outlineLevel="1" spans="1:25">
      <c r="A226" s="101">
        <f t="shared" si="9"/>
        <v>8</v>
      </c>
      <c r="B226" s="102" t="s">
        <v>1366</v>
      </c>
      <c r="C226" s="102" t="s">
        <v>1367</v>
      </c>
      <c r="D226" s="103" t="str">
        <f>IFERROR(VLOOKUP(B226,' 02.1 KLH-CN MÃ BRAVO MM'!$B:$C,2,0),"")</f>
        <v>A23-MKE-029</v>
      </c>
      <c r="E226" s="103"/>
      <c r="F226" s="103" t="s">
        <v>451</v>
      </c>
      <c r="G226" s="102" t="s">
        <v>200</v>
      </c>
      <c r="H226" s="101" t="str">
        <f>VLOOKUP(G226,'01. TH'!$B:$E,3,0)</f>
        <v>3120 x 1495 x 1510</v>
      </c>
      <c r="I226" s="101" t="s">
        <v>1348</v>
      </c>
      <c r="J226" s="105"/>
      <c r="K226" s="101" t="str">
        <f>IF(COUNTIF('TT BTSC'!$D:$D,B226)&gt;0,"Hư hỏng","Bình thường")</f>
        <v>Bình thường</v>
      </c>
      <c r="L226" s="101"/>
      <c r="M226" s="182" t="s">
        <v>1368</v>
      </c>
      <c r="N226" s="101" t="s">
        <v>759</v>
      </c>
      <c r="O226" s="110" t="s">
        <v>453</v>
      </c>
      <c r="P226" s="101">
        <v>2019</v>
      </c>
      <c r="Q226" s="101" t="s">
        <v>1137</v>
      </c>
      <c r="R226" s="101" t="s">
        <v>41</v>
      </c>
      <c r="S226" s="110">
        <v>14716</v>
      </c>
      <c r="T226" s="111" t="s">
        <v>462</v>
      </c>
      <c r="U226" s="111">
        <v>2.5</v>
      </c>
      <c r="V226" s="895">
        <v>0</v>
      </c>
      <c r="W226" s="895"/>
      <c r="X226" s="895"/>
      <c r="Y226" s="895"/>
    </row>
    <row r="227" ht="13.5" customHeight="1" outlineLevel="1" spans="1:25">
      <c r="A227" s="101">
        <f t="shared" si="9"/>
        <v>9</v>
      </c>
      <c r="B227" s="102" t="s">
        <v>1369</v>
      </c>
      <c r="C227" s="102" t="s">
        <v>1370</v>
      </c>
      <c r="D227" s="103" t="str">
        <f>IFERROR(VLOOKUP(B227,' 02.1 KLH-CN MÃ BRAVO MM'!$B:$C,2,0),"")</f>
        <v>A23-XPT-003</v>
      </c>
      <c r="E227" s="103"/>
      <c r="F227" s="103" t="s">
        <v>451</v>
      </c>
      <c r="G227" s="102" t="s">
        <v>222</v>
      </c>
      <c r="H227" s="101" t="str">
        <f>VLOOKUP(G227,'01. TH'!$B:$E,3,0)</f>
        <v/>
      </c>
      <c r="I227" s="101" t="s">
        <v>1348</v>
      </c>
      <c r="J227" s="105"/>
      <c r="K227" s="101" t="str">
        <f>IF(COUNTIF('TT BTSC'!$D:$D,B227)&gt;0,"Hư hỏng","Bình thường")</f>
        <v>Bình thường</v>
      </c>
      <c r="L227" s="101"/>
      <c r="M227" s="182"/>
      <c r="N227" s="101" t="s">
        <v>621</v>
      </c>
      <c r="O227" s="110" t="s">
        <v>500</v>
      </c>
      <c r="P227" s="101">
        <v>2018</v>
      </c>
      <c r="Q227" s="101" t="s">
        <v>1371</v>
      </c>
      <c r="R227" s="101" t="s">
        <v>54</v>
      </c>
      <c r="S227" s="110" t="s">
        <v>1372</v>
      </c>
      <c r="T227" s="111" t="s">
        <v>1373</v>
      </c>
      <c r="U227" s="111">
        <v>5</v>
      </c>
      <c r="V227" s="895">
        <v>0</v>
      </c>
      <c r="W227" s="895"/>
      <c r="X227" s="895"/>
      <c r="Y227" s="895"/>
    </row>
    <row r="228" ht="13.5" customHeight="1" outlineLevel="1" spans="1:25">
      <c r="A228" s="101">
        <f t="shared" si="9"/>
        <v>10</v>
      </c>
      <c r="B228" s="102" t="s">
        <v>1374</v>
      </c>
      <c r="C228" s="102"/>
      <c r="D228" s="103" t="str">
        <f>IFERROR(VLOOKUP(B228,' 02.1 KLH-CN MÃ BRAVO MM'!$B:$C,2,0),"")</f>
        <v>ATT-A22-0316</v>
      </c>
      <c r="E228" s="101" t="s">
        <v>1375</v>
      </c>
      <c r="F228" s="103" t="s">
        <v>504</v>
      </c>
      <c r="G228" s="102" t="s">
        <v>251</v>
      </c>
      <c r="H228" s="101" t="str">
        <f>VLOOKUP(G228,'01. TH'!$B:$E,3,0)</f>
        <v>4730 x 1750 x 2100</v>
      </c>
      <c r="I228" s="101" t="s">
        <v>1348</v>
      </c>
      <c r="J228" s="105">
        <v>45566</v>
      </c>
      <c r="K228" s="101" t="str">
        <f>IF(COUNTIF('TT BTSC'!$D:$D,B228)&gt;0,"Hư hỏng","Bình thường")</f>
        <v>Bình thường</v>
      </c>
      <c r="L228" s="107">
        <v>0.98</v>
      </c>
      <c r="M228" s="182"/>
      <c r="N228" s="101" t="s">
        <v>1152</v>
      </c>
      <c r="O228" s="110" t="s">
        <v>500</v>
      </c>
      <c r="P228" s="101">
        <v>2021</v>
      </c>
      <c r="Q228" s="101" t="s">
        <v>1153</v>
      </c>
      <c r="R228" s="101" t="s">
        <v>44</v>
      </c>
      <c r="S228" s="110" t="s">
        <v>1376</v>
      </c>
      <c r="T228" s="111" t="s">
        <v>1377</v>
      </c>
      <c r="U228" s="111"/>
      <c r="V228" s="895">
        <v>60</v>
      </c>
      <c r="W228" s="895"/>
      <c r="X228" s="895"/>
      <c r="Y228" s="895"/>
    </row>
    <row r="229" ht="13.5" customHeight="1" outlineLevel="1" spans="1:25">
      <c r="A229" s="101">
        <f t="shared" si="9"/>
        <v>11</v>
      </c>
      <c r="B229" s="102" t="s">
        <v>1378</v>
      </c>
      <c r="C229" s="102"/>
      <c r="D229" s="103" t="str">
        <f>IFERROR(VLOOKUP(B229,' 02.1 KLH-CN MÃ BRAVO MM'!$B:$C,2,0),"")</f>
        <v>ATT-A23-0044</v>
      </c>
      <c r="E229" s="103"/>
      <c r="F229" s="103" t="s">
        <v>504</v>
      </c>
      <c r="G229" s="102" t="s">
        <v>247</v>
      </c>
      <c r="H229" s="101" t="str">
        <f>VLOOKUP(G229,'01. TH'!$B:$E,3,0)</f>
        <v/>
      </c>
      <c r="I229" s="101" t="s">
        <v>1348</v>
      </c>
      <c r="J229" s="105"/>
      <c r="K229" s="101" t="str">
        <f>IF(COUNTIF('TT BTSC'!$D:$D,B229)&gt;0,"Hư hỏng","Bình thường")</f>
        <v>Bình thường</v>
      </c>
      <c r="L229" s="107"/>
      <c r="M229" s="182" t="s">
        <v>1379</v>
      </c>
      <c r="N229" s="101" t="s">
        <v>1380</v>
      </c>
      <c r="O229" s="110" t="s">
        <v>590</v>
      </c>
      <c r="P229" s="101">
        <v>2022</v>
      </c>
      <c r="Q229" s="101" t="s">
        <v>1381</v>
      </c>
      <c r="R229" s="101" t="s">
        <v>1382</v>
      </c>
      <c r="S229" s="110" t="s">
        <v>1383</v>
      </c>
      <c r="T229" s="111" t="s">
        <v>1384</v>
      </c>
      <c r="U229" s="111">
        <v>0</v>
      </c>
      <c r="V229" s="895">
        <v>0</v>
      </c>
      <c r="W229" s="895"/>
      <c r="X229" s="895"/>
      <c r="Y229" s="895"/>
    </row>
    <row r="230" ht="13.5" customHeight="1" outlineLevel="1" spans="1:25">
      <c r="A230" s="101">
        <f t="shared" si="9"/>
        <v>12</v>
      </c>
      <c r="B230" s="102" t="s">
        <v>1385</v>
      </c>
      <c r="C230" s="102"/>
      <c r="D230" s="103" t="str">
        <f>IFERROR(VLOOKUP(B230,' 02.1 KLH-CN MÃ BRAVO MM'!$B:$C,2,0),"")</f>
        <v>ATT-A23-0044</v>
      </c>
      <c r="E230" s="103"/>
      <c r="F230" s="103" t="s">
        <v>504</v>
      </c>
      <c r="G230" s="102" t="s">
        <v>241</v>
      </c>
      <c r="H230" s="101" t="str">
        <f>VLOOKUP(G230,'01. TH'!$B:$E,3,0)</f>
        <v/>
      </c>
      <c r="I230" s="101" t="s">
        <v>1348</v>
      </c>
      <c r="J230" s="105"/>
      <c r="K230" s="101" t="str">
        <f>IF(COUNTIF('TT BTSC'!$D:$D,B230)&gt;0,"Hư hỏng","Bình thường")</f>
        <v>Bình thường</v>
      </c>
      <c r="L230" s="107"/>
      <c r="M230" s="182"/>
      <c r="N230" s="101" t="s">
        <v>480</v>
      </c>
      <c r="O230" s="110" t="s">
        <v>555</v>
      </c>
      <c r="P230" s="101">
        <v>2008</v>
      </c>
      <c r="Q230" s="101" t="s">
        <v>1386</v>
      </c>
      <c r="R230" s="101"/>
      <c r="S230" s="110">
        <v>809168</v>
      </c>
      <c r="T230" s="145">
        <v>39630</v>
      </c>
      <c r="U230" s="111"/>
      <c r="V230" s="895">
        <v>0</v>
      </c>
      <c r="W230" s="895"/>
      <c r="X230" s="895"/>
      <c r="Y230" s="895"/>
    </row>
    <row r="231" ht="13.5" customHeight="1" outlineLevel="1" spans="1:25">
      <c r="A231" s="101">
        <f t="shared" si="9"/>
        <v>13</v>
      </c>
      <c r="B231" s="102" t="s">
        <v>1387</v>
      </c>
      <c r="C231" s="102"/>
      <c r="D231" s="103" t="s">
        <v>1388</v>
      </c>
      <c r="E231" s="103"/>
      <c r="F231" s="103" t="s">
        <v>504</v>
      </c>
      <c r="G231" s="102" t="s">
        <v>241</v>
      </c>
      <c r="H231" s="101" t="str">
        <f>VLOOKUP(G231,'01. TH'!$B:$E,3,0)</f>
        <v/>
      </c>
      <c r="I231" s="101" t="s">
        <v>1348</v>
      </c>
      <c r="J231" s="105">
        <v>45669</v>
      </c>
      <c r="K231" s="101" t="str">
        <f>IF(COUNTIF('TT BTSC'!$D:$D,B231)&gt;0,"Hư hỏng","Bình thường")</f>
        <v>Bình thường</v>
      </c>
      <c r="L231" s="107"/>
      <c r="M231" s="206" t="s">
        <v>1146</v>
      </c>
      <c r="N231" s="101" t="s">
        <v>1015</v>
      </c>
      <c r="O231" s="110" t="s">
        <v>590</v>
      </c>
      <c r="P231" s="101">
        <v>2025</v>
      </c>
      <c r="Q231" s="101" t="s">
        <v>1303</v>
      </c>
      <c r="R231" s="101" t="s">
        <v>242</v>
      </c>
      <c r="S231" s="110" t="s">
        <v>1389</v>
      </c>
      <c r="T231" s="111" t="s">
        <v>1390</v>
      </c>
      <c r="U231" s="111"/>
      <c r="V231" s="895"/>
      <c r="W231" s="895" t="s">
        <v>1015</v>
      </c>
      <c r="X231" s="895"/>
      <c r="Y231" s="895"/>
    </row>
    <row r="232" ht="13.5" customHeight="1" outlineLevel="1" spans="1:25">
      <c r="A232" s="101">
        <f t="shared" si="9"/>
        <v>14</v>
      </c>
      <c r="B232" s="102" t="s">
        <v>1391</v>
      </c>
      <c r="C232" s="102"/>
      <c r="D232" s="103" t="s">
        <v>1392</v>
      </c>
      <c r="E232" s="103"/>
      <c r="F232" s="103" t="s">
        <v>504</v>
      </c>
      <c r="G232" s="102" t="s">
        <v>243</v>
      </c>
      <c r="H232" s="101"/>
      <c r="I232" s="101" t="s">
        <v>1348</v>
      </c>
      <c r="J232" s="105">
        <v>46361</v>
      </c>
      <c r="K232" s="101" t="str">
        <f>IF(COUNTIF('TT BTSC'!$D:$D,B232)&gt;0,"Hư hỏng","Bình thường")</f>
        <v>Bình thường</v>
      </c>
      <c r="L232" s="107"/>
      <c r="M232" s="206" t="s">
        <v>1146</v>
      </c>
      <c r="N232" s="101" t="s">
        <v>1015</v>
      </c>
      <c r="O232" s="110" t="s">
        <v>590</v>
      </c>
      <c r="P232" s="101">
        <v>2026</v>
      </c>
      <c r="Q232" s="101" t="s">
        <v>1147</v>
      </c>
      <c r="R232" s="101" t="s">
        <v>1148</v>
      </c>
      <c r="S232" s="110" t="s">
        <v>1393</v>
      </c>
      <c r="T232" s="111"/>
      <c r="U232" s="111"/>
      <c r="V232" s="895"/>
      <c r="W232" s="895"/>
      <c r="X232" s="895"/>
      <c r="Y232" s="895"/>
    </row>
    <row r="233" ht="13.5" customHeight="1" outlineLevel="1" spans="1:25">
      <c r="A233" s="101">
        <f t="shared" si="9"/>
        <v>15</v>
      </c>
      <c r="B233" s="102" t="s">
        <v>1394</v>
      </c>
      <c r="C233" s="102"/>
      <c r="D233" s="103" t="str">
        <f>IFERROR(VLOOKUP(B233,' 02.1 KLH-CN MÃ BRAVO MM'!$B:$C,2,0),"")</f>
        <v>A23-XTA-021</v>
      </c>
      <c r="E233" s="103" t="s">
        <v>1395</v>
      </c>
      <c r="F233" s="103" t="s">
        <v>504</v>
      </c>
      <c r="G233" s="102" t="s">
        <v>111</v>
      </c>
      <c r="H233" s="101" t="str">
        <f>VLOOKUP(G233,'01. TH'!$B:$E,3,0)</f>
        <v>5250 x 2170 x 2520</v>
      </c>
      <c r="I233" s="101" t="s">
        <v>1348</v>
      </c>
      <c r="J233" s="101" t="s">
        <v>1213</v>
      </c>
      <c r="K233" s="101" t="str">
        <f>IF(COUNTIF('TT BTSC'!$D:$D,B233)&gt;0,"Hư hỏng","Bình thường")</f>
        <v>Bình thường</v>
      </c>
      <c r="L233" s="107"/>
      <c r="M233" s="182" t="s">
        <v>1396</v>
      </c>
      <c r="N233" s="101" t="s">
        <v>771</v>
      </c>
      <c r="O233" s="110" t="s">
        <v>943</v>
      </c>
      <c r="P233" s="101">
        <v>2024</v>
      </c>
      <c r="Q233" s="101" t="s">
        <v>1173</v>
      </c>
      <c r="R233" s="101" t="s">
        <v>112</v>
      </c>
      <c r="S233" s="110" t="s">
        <v>1397</v>
      </c>
      <c r="T233" s="111" t="s">
        <v>1398</v>
      </c>
      <c r="U233" s="111">
        <v>0.33</v>
      </c>
      <c r="V233" s="895">
        <v>75</v>
      </c>
      <c r="W233" s="895"/>
      <c r="X233" s="895"/>
      <c r="Y233" s="895"/>
    </row>
    <row r="234" ht="13.5" customHeight="1" outlineLevel="1" spans="1:25">
      <c r="A234" s="101">
        <f t="shared" si="9"/>
        <v>16</v>
      </c>
      <c r="B234" s="102" t="s">
        <v>1399</v>
      </c>
      <c r="C234" s="102"/>
      <c r="D234" s="103" t="str">
        <f>IFERROR(VLOOKUP(B234,' 02.1 KLH-CN MÃ BRAVO MM'!$B:$C,2,0),"")</f>
        <v>A23-XTA-022</v>
      </c>
      <c r="E234" s="103" t="s">
        <v>1400</v>
      </c>
      <c r="F234" s="103" t="s">
        <v>504</v>
      </c>
      <c r="G234" s="102" t="s">
        <v>111</v>
      </c>
      <c r="H234" s="101" t="str">
        <f>VLOOKUP(G234,'01. TH'!$B:$E,3,0)</f>
        <v>5250 x 2170 x 2520</v>
      </c>
      <c r="I234" s="101" t="s">
        <v>1348</v>
      </c>
      <c r="J234" s="101" t="s">
        <v>1213</v>
      </c>
      <c r="K234" s="101" t="str">
        <f>IF(COUNTIF('TT BTSC'!$D:$D,B234)&gt;0,"Hư hỏng","Bình thường")</f>
        <v>Bình thường</v>
      </c>
      <c r="L234" s="107"/>
      <c r="M234" s="182" t="s">
        <v>1396</v>
      </c>
      <c r="N234" s="101" t="s">
        <v>771</v>
      </c>
      <c r="O234" s="110" t="s">
        <v>943</v>
      </c>
      <c r="P234" s="101">
        <v>2024</v>
      </c>
      <c r="Q234" s="101" t="s">
        <v>1173</v>
      </c>
      <c r="R234" s="101" t="s">
        <v>112</v>
      </c>
      <c r="S234" s="110" t="s">
        <v>1401</v>
      </c>
      <c r="T234" s="111" t="s">
        <v>1402</v>
      </c>
      <c r="U234" s="111">
        <v>0.33</v>
      </c>
      <c r="V234" s="895">
        <v>75</v>
      </c>
      <c r="W234" s="895"/>
      <c r="X234" s="895"/>
      <c r="Y234" s="895"/>
    </row>
    <row r="235" ht="33" customHeight="1" outlineLevel="1" spans="1:25">
      <c r="A235" s="101">
        <f t="shared" si="9"/>
        <v>17</v>
      </c>
      <c r="B235" s="102" t="s">
        <v>1403</v>
      </c>
      <c r="C235" s="102" t="s">
        <v>1404</v>
      </c>
      <c r="D235" s="103" t="str">
        <f>IFERROR(VLOOKUP(C235,' 02.1 KLH-CN MÃ BRAVO MM'!$B:$C,2,0),"")</f>
        <v>A24-XTA-006</v>
      </c>
      <c r="E235" s="103"/>
      <c r="F235" s="103" t="s">
        <v>504</v>
      </c>
      <c r="G235" s="102" t="s">
        <v>111</v>
      </c>
      <c r="H235" s="101" t="str">
        <f>VLOOKUP(G235,'01. TH'!$B:$E,3,0)</f>
        <v>5250 x 2170 x 2520</v>
      </c>
      <c r="I235" s="101" t="s">
        <v>1348</v>
      </c>
      <c r="J235" s="105">
        <v>45569</v>
      </c>
      <c r="K235" s="101" t="str">
        <f>IF(COUNTIF('TT BTSC'!$D:$D,B235)&gt;0,"Hư hỏng","Bình thường")</f>
        <v>Bình thường</v>
      </c>
      <c r="L235" s="101"/>
      <c r="M235" s="183" t="s">
        <v>1405</v>
      </c>
      <c r="N235" s="101" t="s">
        <v>621</v>
      </c>
      <c r="O235" s="110" t="s">
        <v>500</v>
      </c>
      <c r="P235" s="101">
        <v>2023</v>
      </c>
      <c r="Q235" s="101" t="s">
        <v>1173</v>
      </c>
      <c r="R235" s="101" t="s">
        <v>124</v>
      </c>
      <c r="S235" s="110" t="s">
        <v>1406</v>
      </c>
      <c r="T235" s="111" t="s">
        <v>1407</v>
      </c>
      <c r="U235" s="111">
        <v>0.33</v>
      </c>
      <c r="V235" s="895">
        <v>75</v>
      </c>
      <c r="W235" s="895"/>
      <c r="X235" s="895"/>
      <c r="Y235" s="895"/>
    </row>
    <row r="236" ht="33" customHeight="1" outlineLevel="1" spans="1:25">
      <c r="A236" s="101">
        <f t="shared" si="9"/>
        <v>18</v>
      </c>
      <c r="B236" s="102" t="s">
        <v>1408</v>
      </c>
      <c r="C236" s="102" t="s">
        <v>1409</v>
      </c>
      <c r="D236" s="103" t="str">
        <f>IFERROR(VLOOKUP(C236,' 02.1 KLH-CN MÃ BRAVO MM'!$B:$C,2,0),"")</f>
        <v>A24-XTA-007</v>
      </c>
      <c r="E236" s="103"/>
      <c r="F236" s="103" t="s">
        <v>504</v>
      </c>
      <c r="G236" s="102" t="s">
        <v>111</v>
      </c>
      <c r="H236" s="101" t="str">
        <f>VLOOKUP(G236,'01. TH'!$B:$E,3,0)</f>
        <v>5250 x 2170 x 2520</v>
      </c>
      <c r="I236" s="101" t="s">
        <v>1348</v>
      </c>
      <c r="J236" s="105">
        <v>45569</v>
      </c>
      <c r="K236" s="101" t="str">
        <f>IF(COUNTIF('TT BTSC'!$D:$D,B236)&gt;0,"Hư hỏng","Bình thường")</f>
        <v>Bình thường</v>
      </c>
      <c r="L236" s="101"/>
      <c r="M236" s="183" t="s">
        <v>1410</v>
      </c>
      <c r="N236" s="101" t="s">
        <v>621</v>
      </c>
      <c r="O236" s="110" t="s">
        <v>500</v>
      </c>
      <c r="P236" s="101">
        <v>2023</v>
      </c>
      <c r="Q236" s="101" t="s">
        <v>1173</v>
      </c>
      <c r="R236" s="101" t="s">
        <v>124</v>
      </c>
      <c r="S236" s="110" t="s">
        <v>1411</v>
      </c>
      <c r="T236" s="111" t="s">
        <v>1412</v>
      </c>
      <c r="U236" s="111">
        <v>0.33</v>
      </c>
      <c r="V236" s="895">
        <v>75</v>
      </c>
      <c r="W236" s="895"/>
      <c r="X236" s="895"/>
      <c r="Y236" s="895"/>
    </row>
    <row r="237" ht="29.25" customHeight="1" outlineLevel="1" spans="1:25">
      <c r="A237" s="101">
        <f t="shared" si="9"/>
        <v>19</v>
      </c>
      <c r="B237" s="102" t="s">
        <v>1413</v>
      </c>
      <c r="C237" s="104" t="s">
        <v>1414</v>
      </c>
      <c r="D237" s="103" t="str">
        <f>IFERROR(VLOOKUP(C237,' 02.1 KLH-CN MÃ BRAVO MM'!$B:$C,2,0),"")</f>
        <v>A23-XTA-007</v>
      </c>
      <c r="E237" s="103"/>
      <c r="F237" s="103" t="s">
        <v>451</v>
      </c>
      <c r="G237" s="104" t="s">
        <v>110</v>
      </c>
      <c r="H237" s="101" t="str">
        <f>VLOOKUP(G237,'01. TH'!$B:$E,3,0)</f>
        <v>6170 x 2330 x 2750</v>
      </c>
      <c r="I237" s="101" t="s">
        <v>1348</v>
      </c>
      <c r="J237" s="103" t="s">
        <v>1415</v>
      </c>
      <c r="K237" s="101" t="str">
        <f>IF(COUNTIF('TT BTSC'!$D:$D,B237)&gt;0,"Hư hỏng","Bình thường")</f>
        <v>Bình thường</v>
      </c>
      <c r="L237" s="103"/>
      <c r="M237" s="183" t="s">
        <v>1416</v>
      </c>
      <c r="N237" s="103" t="s">
        <v>621</v>
      </c>
      <c r="O237" s="111" t="s">
        <v>500</v>
      </c>
      <c r="P237" s="103">
        <v>2010</v>
      </c>
      <c r="Q237" s="103" t="s">
        <v>1417</v>
      </c>
      <c r="R237" s="103" t="s">
        <v>85</v>
      </c>
      <c r="S237" s="111" t="s">
        <v>1418</v>
      </c>
      <c r="T237" s="111" t="s">
        <v>462</v>
      </c>
      <c r="U237" s="111"/>
      <c r="V237" s="895">
        <v>150</v>
      </c>
      <c r="W237" s="895"/>
      <c r="X237" s="895"/>
      <c r="Y237" s="895"/>
    </row>
    <row r="238" ht="13.5" customHeight="1" outlineLevel="1" spans="1:25">
      <c r="A238" s="101">
        <f t="shared" si="9"/>
        <v>20</v>
      </c>
      <c r="B238" s="102" t="s">
        <v>1419</v>
      </c>
      <c r="C238" s="102"/>
      <c r="D238" s="103" t="s">
        <v>1420</v>
      </c>
      <c r="E238" s="103"/>
      <c r="F238" s="103" t="s">
        <v>504</v>
      </c>
      <c r="G238" s="102" t="s">
        <v>287</v>
      </c>
      <c r="H238" s="101" t="str">
        <f>VLOOKUP(G238,'01. TH'!$B:$E,3,0)</f>
        <v/>
      </c>
      <c r="I238" s="101" t="s">
        <v>1348</v>
      </c>
      <c r="J238" s="146" t="s">
        <v>1196</v>
      </c>
      <c r="K238" s="101" t="str">
        <f>IF(COUNTIF('TT BTSC'!$D:$D,B238)&gt;0,"Hư hỏng","Bình thường")</f>
        <v>Bình thường</v>
      </c>
      <c r="L238" s="107"/>
      <c r="M238" s="206" t="s">
        <v>1146</v>
      </c>
      <c r="N238" s="101" t="s">
        <v>964</v>
      </c>
      <c r="O238" s="110" t="s">
        <v>1197</v>
      </c>
      <c r="P238" s="101">
        <v>2022</v>
      </c>
      <c r="Q238" s="101" t="s">
        <v>1198</v>
      </c>
      <c r="R238" s="101" t="s">
        <v>219</v>
      </c>
      <c r="S238" s="110">
        <v>203055</v>
      </c>
      <c r="T238" s="111" t="s">
        <v>1421</v>
      </c>
      <c r="U238" s="111">
        <v>0.5</v>
      </c>
      <c r="V238" s="895">
        <v>0</v>
      </c>
      <c r="W238" s="895"/>
      <c r="X238" s="895"/>
      <c r="Y238" s="895"/>
    </row>
    <row r="239" ht="13.5" customHeight="1" outlineLevel="1" spans="1:25">
      <c r="A239" s="101">
        <f t="shared" si="9"/>
        <v>21</v>
      </c>
      <c r="B239" s="102" t="s">
        <v>1422</v>
      </c>
      <c r="C239" s="102"/>
      <c r="D239" s="103" t="s">
        <v>1423</v>
      </c>
      <c r="E239" s="103"/>
      <c r="F239" s="103" t="s">
        <v>504</v>
      </c>
      <c r="G239" s="102" t="s">
        <v>287</v>
      </c>
      <c r="H239" s="101" t="str">
        <f>VLOOKUP(G239,'01. TH'!$B:$E,3,0)</f>
        <v/>
      </c>
      <c r="I239" s="101" t="s">
        <v>1348</v>
      </c>
      <c r="J239" s="146" t="s">
        <v>1196</v>
      </c>
      <c r="K239" s="101" t="str">
        <f>IF(COUNTIF('TT BTSC'!$D:$D,B239)&gt;0,"Hư hỏng","Bình thường")</f>
        <v>Bình thường</v>
      </c>
      <c r="L239" s="107"/>
      <c r="M239" s="206" t="s">
        <v>1146</v>
      </c>
      <c r="N239" s="101" t="s">
        <v>964</v>
      </c>
      <c r="O239" s="110" t="s">
        <v>1197</v>
      </c>
      <c r="P239" s="101">
        <v>2022</v>
      </c>
      <c r="Q239" s="101" t="s">
        <v>1198</v>
      </c>
      <c r="R239" s="101" t="s">
        <v>219</v>
      </c>
      <c r="S239" s="110">
        <v>203059</v>
      </c>
      <c r="T239" s="111" t="s">
        <v>1424</v>
      </c>
      <c r="U239" s="111">
        <v>0.5</v>
      </c>
      <c r="V239" s="895">
        <v>0</v>
      </c>
      <c r="W239" s="895"/>
      <c r="X239" s="895"/>
      <c r="Y239" s="895"/>
    </row>
    <row r="240" ht="13.5" customHeight="1" outlineLevel="1" spans="1:25">
      <c r="A240" s="101">
        <f t="shared" si="9"/>
        <v>22</v>
      </c>
      <c r="B240" s="102" t="s">
        <v>1425</v>
      </c>
      <c r="C240" s="102"/>
      <c r="D240" s="103" t="s">
        <v>1426</v>
      </c>
      <c r="E240" s="103"/>
      <c r="F240" s="103" t="s">
        <v>504</v>
      </c>
      <c r="G240" s="102" t="s">
        <v>287</v>
      </c>
      <c r="H240" s="101" t="str">
        <f>VLOOKUP(G240,'01. TH'!$B:$E,3,0)</f>
        <v/>
      </c>
      <c r="I240" s="101" t="s">
        <v>1348</v>
      </c>
      <c r="J240" s="146" t="s">
        <v>1196</v>
      </c>
      <c r="K240" s="101" t="str">
        <f>IF(COUNTIF('TT BTSC'!$D:$D,B240)&gt;0,"Hư hỏng","Bình thường")</f>
        <v>Bình thường</v>
      </c>
      <c r="L240" s="107"/>
      <c r="M240" s="206" t="s">
        <v>1146</v>
      </c>
      <c r="N240" s="101" t="s">
        <v>964</v>
      </c>
      <c r="O240" s="110" t="s">
        <v>1197</v>
      </c>
      <c r="P240" s="101">
        <v>2022</v>
      </c>
      <c r="Q240" s="101" t="s">
        <v>1198</v>
      </c>
      <c r="R240" s="101" t="s">
        <v>219</v>
      </c>
      <c r="S240" s="110">
        <v>203061</v>
      </c>
      <c r="T240" s="111" t="s">
        <v>1427</v>
      </c>
      <c r="U240" s="111">
        <v>0.5</v>
      </c>
      <c r="V240" s="895">
        <v>0</v>
      </c>
      <c r="W240" s="895"/>
      <c r="X240" s="895"/>
      <c r="Y240" s="895"/>
    </row>
    <row r="241" ht="13.5" customHeight="1" outlineLevel="1" spans="1:25">
      <c r="A241" s="101">
        <f t="shared" si="9"/>
        <v>23</v>
      </c>
      <c r="B241" s="102" t="s">
        <v>1428</v>
      </c>
      <c r="C241" s="102"/>
      <c r="D241" s="103" t="s">
        <v>1429</v>
      </c>
      <c r="E241" s="103"/>
      <c r="F241" s="103" t="s">
        <v>504</v>
      </c>
      <c r="G241" s="102" t="s">
        <v>287</v>
      </c>
      <c r="H241" s="101" t="str">
        <f>VLOOKUP(G241,'01. TH'!$B:$E,3,0)</f>
        <v/>
      </c>
      <c r="I241" s="101" t="s">
        <v>1348</v>
      </c>
      <c r="J241" s="146" t="s">
        <v>1196</v>
      </c>
      <c r="K241" s="101" t="str">
        <f>IF(COUNTIF('TT BTSC'!$D:$D,B241)&gt;0,"Hư hỏng","Bình thường")</f>
        <v>Bình thường</v>
      </c>
      <c r="L241" s="107"/>
      <c r="M241" s="206" t="s">
        <v>1146</v>
      </c>
      <c r="N241" s="101" t="s">
        <v>964</v>
      </c>
      <c r="O241" s="110" t="s">
        <v>1197</v>
      </c>
      <c r="P241" s="101">
        <v>2022</v>
      </c>
      <c r="Q241" s="101" t="s">
        <v>1198</v>
      </c>
      <c r="R241" s="101" t="s">
        <v>219</v>
      </c>
      <c r="S241" s="110">
        <v>203176</v>
      </c>
      <c r="T241" s="111" t="s">
        <v>1430</v>
      </c>
      <c r="U241" s="111">
        <v>0.5</v>
      </c>
      <c r="V241" s="895">
        <v>0</v>
      </c>
      <c r="W241" s="895"/>
      <c r="X241" s="895"/>
      <c r="Y241" s="895"/>
    </row>
    <row r="242" ht="13.5" customHeight="1" outlineLevel="1" spans="1:25">
      <c r="A242" s="101">
        <f t="shared" si="9"/>
        <v>24</v>
      </c>
      <c r="B242" s="102" t="s">
        <v>1431</v>
      </c>
      <c r="C242" s="102"/>
      <c r="D242" s="103" t="s">
        <v>1432</v>
      </c>
      <c r="E242" s="103"/>
      <c r="F242" s="103" t="s">
        <v>504</v>
      </c>
      <c r="G242" s="102" t="s">
        <v>280</v>
      </c>
      <c r="H242" s="101" t="str">
        <f>VLOOKUP(G242,'01. TH'!$B:$E,3,0)</f>
        <v/>
      </c>
      <c r="I242" s="101" t="s">
        <v>1348</v>
      </c>
      <c r="J242" s="101" t="s">
        <v>1221</v>
      </c>
      <c r="K242" s="101" t="str">
        <f>IF(COUNTIF('TT BTSC'!$D:$D,B242)&gt;0,"Hư hỏng","Bình thường")</f>
        <v>Bình thường</v>
      </c>
      <c r="L242" s="107"/>
      <c r="M242" s="206" t="s">
        <v>1146</v>
      </c>
      <c r="N242" s="101" t="s">
        <v>1433</v>
      </c>
      <c r="O242" s="110" t="s">
        <v>1223</v>
      </c>
      <c r="P242" s="101"/>
      <c r="Q242" s="101" t="s">
        <v>1434</v>
      </c>
      <c r="R242" s="101" t="s">
        <v>281</v>
      </c>
      <c r="S242" s="110" t="s">
        <v>1435</v>
      </c>
      <c r="T242" s="111">
        <v>12168</v>
      </c>
      <c r="U242" s="159">
        <v>2.3</v>
      </c>
      <c r="V242" s="895">
        <v>0</v>
      </c>
      <c r="W242" s="895"/>
      <c r="X242" s="895"/>
      <c r="Y242" s="895"/>
    </row>
    <row r="243" ht="13.5" customHeight="1" outlineLevel="1" spans="1:25">
      <c r="A243" s="101">
        <f t="shared" si="9"/>
        <v>25</v>
      </c>
      <c r="B243" s="102" t="s">
        <v>1436</v>
      </c>
      <c r="C243" s="102"/>
      <c r="D243" s="103" t="s">
        <v>1437</v>
      </c>
      <c r="E243" s="103"/>
      <c r="F243" s="103" t="s">
        <v>504</v>
      </c>
      <c r="G243" s="156" t="s">
        <v>283</v>
      </c>
      <c r="H243" s="101" t="str">
        <f>VLOOKUP(G243,'01. TH'!$B:$E,3,0)</f>
        <v/>
      </c>
      <c r="I243" s="101" t="s">
        <v>1348</v>
      </c>
      <c r="J243" s="146" t="s">
        <v>1228</v>
      </c>
      <c r="K243" s="101" t="str">
        <f>IF(COUNTIF('TT BTSC'!$D:$D,B243)&gt;0,"Hư hỏng","Bình thường")</f>
        <v>Bình thường</v>
      </c>
      <c r="L243" s="107"/>
      <c r="M243" s="182" t="s">
        <v>1146</v>
      </c>
      <c r="N243" s="101" t="s">
        <v>1229</v>
      </c>
      <c r="O243" s="110" t="s">
        <v>500</v>
      </c>
      <c r="P243" s="101">
        <v>2025</v>
      </c>
      <c r="Q243" s="101" t="s">
        <v>1230</v>
      </c>
      <c r="R243" s="101" t="s">
        <v>272</v>
      </c>
      <c r="S243" s="110" t="s">
        <v>1438</v>
      </c>
      <c r="T243" s="111" t="s">
        <v>1439</v>
      </c>
      <c r="U243" s="159">
        <v>1.8</v>
      </c>
      <c r="V243" s="895">
        <v>0</v>
      </c>
      <c r="W243" s="895"/>
      <c r="X243" s="895"/>
      <c r="Y243" s="895"/>
    </row>
    <row r="244" ht="13.5" customHeight="1" outlineLevel="1" spans="1:25">
      <c r="A244" s="101">
        <f t="shared" si="9"/>
        <v>26</v>
      </c>
      <c r="B244" s="102" t="s">
        <v>1440</v>
      </c>
      <c r="C244" s="102"/>
      <c r="D244" s="103" t="s">
        <v>1441</v>
      </c>
      <c r="E244" s="103"/>
      <c r="F244" s="103" t="s">
        <v>504</v>
      </c>
      <c r="G244" s="156" t="s">
        <v>283</v>
      </c>
      <c r="H244" s="101" t="str">
        <f>VLOOKUP(G244,'01. TH'!$B:$E,3,0)</f>
        <v/>
      </c>
      <c r="I244" s="101" t="s">
        <v>1348</v>
      </c>
      <c r="J244" s="146" t="s">
        <v>1228</v>
      </c>
      <c r="K244" s="101" t="str">
        <f>IF(COUNTIF('TT BTSC'!$D:$D,B244)&gt;0,"Hư hỏng","Bình thường")</f>
        <v>Bình thường</v>
      </c>
      <c r="L244" s="107"/>
      <c r="M244" s="182" t="s">
        <v>1146</v>
      </c>
      <c r="N244" s="101" t="s">
        <v>1229</v>
      </c>
      <c r="O244" s="110" t="s">
        <v>500</v>
      </c>
      <c r="P244" s="101">
        <v>2025</v>
      </c>
      <c r="Q244" s="101" t="s">
        <v>1230</v>
      </c>
      <c r="R244" s="101" t="s">
        <v>272</v>
      </c>
      <c r="S244" s="110" t="s">
        <v>1442</v>
      </c>
      <c r="T244" s="111" t="s">
        <v>1443</v>
      </c>
      <c r="U244" s="159">
        <v>1.8</v>
      </c>
      <c r="V244" s="895">
        <v>0</v>
      </c>
      <c r="W244" s="895"/>
      <c r="X244" s="895"/>
      <c r="Y244" s="895"/>
    </row>
    <row r="245" ht="13.5" customHeight="1" outlineLevel="1" spans="1:25">
      <c r="A245" s="101">
        <f t="shared" si="9"/>
        <v>27</v>
      </c>
      <c r="B245" s="102" t="s">
        <v>1444</v>
      </c>
      <c r="C245" s="102"/>
      <c r="D245" s="103" t="s">
        <v>1445</v>
      </c>
      <c r="E245" s="103"/>
      <c r="F245" s="103" t="s">
        <v>504</v>
      </c>
      <c r="G245" s="156" t="s">
        <v>283</v>
      </c>
      <c r="H245" s="101" t="str">
        <f>VLOOKUP(G245,'01. TH'!$B:$E,3,0)</f>
        <v/>
      </c>
      <c r="I245" s="101" t="s">
        <v>1348</v>
      </c>
      <c r="J245" s="146" t="s">
        <v>1228</v>
      </c>
      <c r="K245" s="101" t="str">
        <f>IF(COUNTIF('TT BTSC'!$D:$D,B245)&gt;0,"Hư hỏng","Bình thường")</f>
        <v>Bình thường</v>
      </c>
      <c r="L245" s="107"/>
      <c r="M245" s="182" t="s">
        <v>1146</v>
      </c>
      <c r="N245" s="101" t="s">
        <v>1229</v>
      </c>
      <c r="O245" s="110" t="s">
        <v>500</v>
      </c>
      <c r="P245" s="101">
        <v>2025</v>
      </c>
      <c r="Q245" s="101" t="s">
        <v>1230</v>
      </c>
      <c r="R245" s="101" t="s">
        <v>272</v>
      </c>
      <c r="S245" s="110" t="s">
        <v>1446</v>
      </c>
      <c r="T245" s="111" t="s">
        <v>1447</v>
      </c>
      <c r="U245" s="159">
        <v>1.8</v>
      </c>
      <c r="V245" s="895">
        <v>0</v>
      </c>
      <c r="W245" s="895"/>
      <c r="X245" s="895"/>
      <c r="Y245" s="895"/>
    </row>
    <row r="246" ht="13.5" customHeight="1" outlineLevel="1" spans="1:25">
      <c r="A246" s="101">
        <f t="shared" si="9"/>
        <v>28</v>
      </c>
      <c r="B246" s="102" t="s">
        <v>1448</v>
      </c>
      <c r="C246" s="102"/>
      <c r="D246" s="103" t="s">
        <v>1449</v>
      </c>
      <c r="E246" s="103"/>
      <c r="F246" s="103" t="s">
        <v>504</v>
      </c>
      <c r="G246" s="156" t="s">
        <v>283</v>
      </c>
      <c r="H246" s="101" t="str">
        <f>VLOOKUP(G246,'01. TH'!$B:$E,3,0)</f>
        <v/>
      </c>
      <c r="I246" s="101" t="s">
        <v>1348</v>
      </c>
      <c r="J246" s="146" t="s">
        <v>1228</v>
      </c>
      <c r="K246" s="101" t="str">
        <f>IF(COUNTIF('TT BTSC'!$D:$D,B246)&gt;0,"Hư hỏng","Bình thường")</f>
        <v>Bình thường</v>
      </c>
      <c r="L246" s="107"/>
      <c r="M246" s="182" t="s">
        <v>1146</v>
      </c>
      <c r="N246" s="101" t="s">
        <v>1229</v>
      </c>
      <c r="O246" s="110" t="s">
        <v>500</v>
      </c>
      <c r="P246" s="101">
        <v>2025</v>
      </c>
      <c r="Q246" s="101" t="s">
        <v>1230</v>
      </c>
      <c r="R246" s="101" t="s">
        <v>272</v>
      </c>
      <c r="S246" s="110" t="s">
        <v>1450</v>
      </c>
      <c r="T246" s="111" t="s">
        <v>1451</v>
      </c>
      <c r="U246" s="159">
        <v>1.8</v>
      </c>
      <c r="V246" s="895">
        <v>0</v>
      </c>
      <c r="W246" s="895"/>
      <c r="X246" s="895"/>
      <c r="Y246" s="895"/>
    </row>
    <row r="247" ht="13.5" customHeight="1" outlineLevel="1" spans="1:25">
      <c r="A247" s="101">
        <f t="shared" si="9"/>
        <v>29</v>
      </c>
      <c r="B247" s="102" t="s">
        <v>1452</v>
      </c>
      <c r="C247" s="102"/>
      <c r="D247" s="103"/>
      <c r="E247" s="103"/>
      <c r="F247" s="103" t="s">
        <v>504</v>
      </c>
      <c r="G247" s="156" t="s">
        <v>283</v>
      </c>
      <c r="H247" s="101"/>
      <c r="I247" s="101" t="s">
        <v>1348</v>
      </c>
      <c r="J247" s="101" t="s">
        <v>1453</v>
      </c>
      <c r="K247" s="101" t="str">
        <f>IF(COUNTIF('TT BTSC'!$D:$D,B247)&gt;0,"Hư hỏng","Bình thường")</f>
        <v>Bình thường</v>
      </c>
      <c r="L247" s="107"/>
      <c r="M247" s="182" t="s">
        <v>1454</v>
      </c>
      <c r="N247" s="101" t="s">
        <v>1229</v>
      </c>
      <c r="O247" s="110" t="s">
        <v>500</v>
      </c>
      <c r="P247" s="101">
        <v>2025</v>
      </c>
      <c r="Q247" s="101" t="s">
        <v>1455</v>
      </c>
      <c r="R247" s="101" t="s">
        <v>272</v>
      </c>
      <c r="S247" s="110" t="s">
        <v>1456</v>
      </c>
      <c r="T247" s="111"/>
      <c r="U247" s="159">
        <v>1.8</v>
      </c>
      <c r="V247" s="192"/>
      <c r="W247" s="192"/>
      <c r="X247" s="192"/>
      <c r="Y247" s="192"/>
    </row>
    <row r="248" ht="13.5" customHeight="1" outlineLevel="1" spans="1:25">
      <c r="A248" s="101">
        <f t="shared" si="9"/>
        <v>30</v>
      </c>
      <c r="B248" s="102" t="s">
        <v>1457</v>
      </c>
      <c r="C248" s="102"/>
      <c r="D248" s="103"/>
      <c r="E248" s="103"/>
      <c r="F248" s="103" t="s">
        <v>504</v>
      </c>
      <c r="G248" s="156" t="s">
        <v>283</v>
      </c>
      <c r="H248" s="101"/>
      <c r="I248" s="101" t="s">
        <v>1348</v>
      </c>
      <c r="J248" s="101" t="s">
        <v>1453</v>
      </c>
      <c r="K248" s="101" t="str">
        <f>IF(COUNTIF('TT BTSC'!$D:$D,B248)&gt;0,"Hư hỏng","Bình thường")</f>
        <v>Bình thường</v>
      </c>
      <c r="L248" s="107"/>
      <c r="M248" s="182" t="s">
        <v>1454</v>
      </c>
      <c r="N248" s="101" t="s">
        <v>1229</v>
      </c>
      <c r="O248" s="110" t="s">
        <v>500</v>
      </c>
      <c r="P248" s="101">
        <v>2025</v>
      </c>
      <c r="Q248" s="101" t="s">
        <v>1455</v>
      </c>
      <c r="R248" s="101" t="s">
        <v>272</v>
      </c>
      <c r="S248" s="110" t="s">
        <v>1458</v>
      </c>
      <c r="T248" s="111"/>
      <c r="U248" s="159">
        <v>1.8</v>
      </c>
      <c r="V248" s="192"/>
      <c r="W248" s="192"/>
      <c r="X248" s="192"/>
      <c r="Y248" s="192"/>
    </row>
    <row r="249" ht="13.5" customHeight="1" outlineLevel="1" spans="1:25">
      <c r="A249" s="101">
        <f t="shared" si="9"/>
        <v>31</v>
      </c>
      <c r="B249" s="102" t="s">
        <v>1459</v>
      </c>
      <c r="C249" s="102"/>
      <c r="D249" s="103"/>
      <c r="E249" s="103"/>
      <c r="F249" s="103" t="s">
        <v>504</v>
      </c>
      <c r="G249" s="102" t="s">
        <v>1460</v>
      </c>
      <c r="H249" s="101"/>
      <c r="I249" s="101" t="s">
        <v>1348</v>
      </c>
      <c r="J249" s="101" t="s">
        <v>1453</v>
      </c>
      <c r="K249" s="101" t="str">
        <f>IF(COUNTIF('TT BTSC'!$D:$D,B249)&gt;0,"Hư hỏng","Bình thường")</f>
        <v>Bình thường</v>
      </c>
      <c r="L249" s="107"/>
      <c r="M249" s="182" t="s">
        <v>1454</v>
      </c>
      <c r="N249" s="101" t="s">
        <v>1461</v>
      </c>
      <c r="O249" s="110" t="s">
        <v>500</v>
      </c>
      <c r="P249" s="101">
        <v>2025</v>
      </c>
      <c r="Q249" s="101" t="s">
        <v>1462</v>
      </c>
      <c r="R249" s="101" t="s">
        <v>279</v>
      </c>
      <c r="S249" s="110">
        <v>2505401193</v>
      </c>
      <c r="T249" s="111" t="s">
        <v>1463</v>
      </c>
      <c r="U249" s="111"/>
      <c r="V249" s="192"/>
      <c r="W249" s="192"/>
      <c r="X249" s="192"/>
      <c r="Y249" s="192"/>
    </row>
    <row r="250" ht="13.5" customHeight="1" outlineLevel="1" spans="1:25">
      <c r="A250" s="101">
        <f t="shared" si="9"/>
        <v>32</v>
      </c>
      <c r="B250" s="102" t="s">
        <v>1464</v>
      </c>
      <c r="C250" s="102"/>
      <c r="D250" s="103"/>
      <c r="E250" s="103"/>
      <c r="F250" s="103" t="s">
        <v>504</v>
      </c>
      <c r="G250" s="102" t="s">
        <v>1460</v>
      </c>
      <c r="H250" s="101"/>
      <c r="I250" s="101" t="s">
        <v>1348</v>
      </c>
      <c r="J250" s="101" t="s">
        <v>1453</v>
      </c>
      <c r="K250" s="101" t="str">
        <f>IF(COUNTIF('TT BTSC'!$D:$D,B250)&gt;0,"Hư hỏng","Bình thường")</f>
        <v>Bình thường</v>
      </c>
      <c r="L250" s="107"/>
      <c r="M250" s="182" t="s">
        <v>1454</v>
      </c>
      <c r="N250" s="101" t="s">
        <v>1461</v>
      </c>
      <c r="O250" s="110" t="s">
        <v>500</v>
      </c>
      <c r="P250" s="101">
        <v>2025</v>
      </c>
      <c r="Q250" s="101" t="s">
        <v>1462</v>
      </c>
      <c r="R250" s="101" t="s">
        <v>279</v>
      </c>
      <c r="S250" s="110">
        <v>2505401175</v>
      </c>
      <c r="T250" s="111" t="s">
        <v>1465</v>
      </c>
      <c r="U250" s="111"/>
      <c r="V250" s="192"/>
      <c r="W250" s="192"/>
      <c r="X250" s="192"/>
      <c r="Y250" s="192"/>
    </row>
    <row r="251" ht="13.5" customHeight="1" outlineLevel="1" spans="1:25">
      <c r="A251" s="101"/>
      <c r="B251" s="102"/>
      <c r="C251" s="102"/>
      <c r="D251" s="103"/>
      <c r="E251" s="103"/>
      <c r="F251" s="103"/>
      <c r="G251" s="102"/>
      <c r="H251" s="101"/>
      <c r="I251" s="101"/>
      <c r="J251" s="101"/>
      <c r="K251" s="101"/>
      <c r="L251" s="107"/>
      <c r="M251" s="182"/>
      <c r="N251" s="101"/>
      <c r="O251" s="110"/>
      <c r="P251" s="101"/>
      <c r="Q251" s="101"/>
      <c r="R251" s="101"/>
      <c r="S251" s="110"/>
      <c r="T251" s="111"/>
      <c r="U251" s="111"/>
      <c r="V251" s="192"/>
      <c r="W251" s="192"/>
      <c r="X251" s="192"/>
      <c r="Y251" s="192"/>
    </row>
    <row r="252" ht="13.5" customHeight="1" outlineLevel="1" spans="1:25">
      <c r="A252" s="101"/>
      <c r="B252" s="102"/>
      <c r="C252" s="102" t="s">
        <v>1245</v>
      </c>
      <c r="D252" s="103"/>
      <c r="E252" s="103"/>
      <c r="F252" s="103"/>
      <c r="G252" s="102"/>
      <c r="H252" s="101" t="e">
        <f>VLOOKUP(G252,'01. TH'!$B:$E,3,0)</f>
        <v>#N/A</v>
      </c>
      <c r="I252" s="101"/>
      <c r="J252" s="101"/>
      <c r="K252" s="101"/>
      <c r="L252" s="107"/>
      <c r="M252" s="182"/>
      <c r="N252" s="101"/>
      <c r="O252" s="110"/>
      <c r="P252" s="101"/>
      <c r="Q252" s="101"/>
      <c r="R252" s="101"/>
      <c r="S252" s="110"/>
      <c r="T252" s="111"/>
      <c r="U252" s="111"/>
      <c r="V252" s="192"/>
      <c r="W252" s="192"/>
      <c r="X252" s="192"/>
      <c r="Y252" s="192"/>
    </row>
    <row r="253" ht="13.5" customHeight="1" spans="1:25">
      <c r="A253" s="96" t="s">
        <v>1466</v>
      </c>
      <c r="B253" s="901" t="s">
        <v>1467</v>
      </c>
      <c r="C253" s="96">
        <f>COUNTA($B$254:$B$281)</f>
        <v>26</v>
      </c>
      <c r="D253" s="902" t="str">
        <f>IFERROR(VLOOKUP(B253,' 02.1 KLH-CN MÃ BRAVO MM'!$B:$C,2,0),"")</f>
        <v/>
      </c>
      <c r="E253" s="903"/>
      <c r="F253" s="903"/>
      <c r="G253" s="96"/>
      <c r="H253" s="97"/>
      <c r="I253" s="902"/>
      <c r="J253" s="904"/>
      <c r="K253" s="97"/>
      <c r="L253" s="903"/>
      <c r="M253" s="905"/>
      <c r="N253" s="903"/>
      <c r="O253" s="902"/>
      <c r="P253" s="902"/>
      <c r="Q253" s="902"/>
      <c r="R253" s="902"/>
      <c r="S253" s="902"/>
      <c r="T253" s="902"/>
      <c r="U253" s="906"/>
      <c r="V253" s="192"/>
      <c r="W253" s="192"/>
      <c r="X253" s="192"/>
      <c r="Y253" s="192"/>
    </row>
    <row r="254" ht="13.5" customHeight="1" outlineLevel="1" spans="1:25">
      <c r="A254" s="101">
        <v>1</v>
      </c>
      <c r="B254" s="102" t="s">
        <v>1468</v>
      </c>
      <c r="C254" s="102"/>
      <c r="D254" s="103" t="s">
        <v>1469</v>
      </c>
      <c r="E254" s="101" t="s">
        <v>1470</v>
      </c>
      <c r="F254" s="103" t="s">
        <v>504</v>
      </c>
      <c r="G254" s="102" t="s">
        <v>252</v>
      </c>
      <c r="H254" s="101" t="str">
        <f>VLOOKUP(G254,'01. TH'!$B:$E,3,0)</f>
        <v>4730 x 1750 x 2100</v>
      </c>
      <c r="I254" s="101" t="s">
        <v>1471</v>
      </c>
      <c r="J254" s="106">
        <v>45575</v>
      </c>
      <c r="K254" s="101" t="str">
        <f>IF(COUNTIF('TT BTSC'!$D:$D,B254)&gt;0,"Hư hỏng","Bình thường")</f>
        <v>Bình thường</v>
      </c>
      <c r="L254" s="107">
        <v>0.99</v>
      </c>
      <c r="M254" s="182" t="s">
        <v>1472</v>
      </c>
      <c r="N254" s="101" t="s">
        <v>1473</v>
      </c>
      <c r="O254" s="110" t="s">
        <v>500</v>
      </c>
      <c r="P254" s="101">
        <v>2021</v>
      </c>
      <c r="Q254" s="101" t="s">
        <v>1474</v>
      </c>
      <c r="R254" s="103" t="s">
        <v>44</v>
      </c>
      <c r="S254" s="110" t="s">
        <v>1475</v>
      </c>
      <c r="T254" s="111" t="s">
        <v>1476</v>
      </c>
      <c r="U254" s="111"/>
      <c r="V254" s="895">
        <v>60</v>
      </c>
      <c r="W254" s="895"/>
      <c r="X254" s="895"/>
      <c r="Y254" s="895"/>
    </row>
    <row r="255" ht="13.5" customHeight="1" outlineLevel="1" spans="1:25">
      <c r="A255" s="101">
        <f t="shared" ref="A255:A279" si="10">A254+1</f>
        <v>2</v>
      </c>
      <c r="B255" s="102" t="s">
        <v>1477</v>
      </c>
      <c r="C255" s="102" t="s">
        <v>1478</v>
      </c>
      <c r="D255" s="103" t="str">
        <f>IFERROR(VLOOKUP(B255,' 02.1 KLH-CN MÃ BRAVO MM'!$B:$C,2,0),"")</f>
        <v>A24-MKE-010</v>
      </c>
      <c r="E255" s="103"/>
      <c r="F255" s="103" t="s">
        <v>451</v>
      </c>
      <c r="G255" s="102" t="s">
        <v>197</v>
      </c>
      <c r="H255" s="101" t="str">
        <f>VLOOKUP(G255,'01. TH'!$B:$E,3,0)</f>
        <v>3226 x 1570 x 1545</v>
      </c>
      <c r="I255" s="101" t="s">
        <v>1471</v>
      </c>
      <c r="J255" s="101" t="s">
        <v>1479</v>
      </c>
      <c r="K255" s="101" t="str">
        <f>IF(COUNTIF('TT BTSC'!$D:$D,B255)&gt;0,"Hư hỏng","Bình thường")</f>
        <v>Bình thường</v>
      </c>
      <c r="L255" s="101"/>
      <c r="M255" s="182" t="s">
        <v>1480</v>
      </c>
      <c r="N255" s="101" t="s">
        <v>1019</v>
      </c>
      <c r="O255" s="110" t="s">
        <v>500</v>
      </c>
      <c r="P255" s="101">
        <v>2018</v>
      </c>
      <c r="Q255" s="101" t="s">
        <v>1122</v>
      </c>
      <c r="R255" s="101" t="s">
        <v>128</v>
      </c>
      <c r="S255" s="110" t="s">
        <v>1481</v>
      </c>
      <c r="T255" s="111" t="s">
        <v>462</v>
      </c>
      <c r="U255" s="111">
        <v>2</v>
      </c>
      <c r="V255" s="895">
        <v>0</v>
      </c>
      <c r="W255" s="895"/>
      <c r="X255" s="895"/>
      <c r="Y255" s="895"/>
    </row>
    <row r="256" ht="13.5" customHeight="1" outlineLevel="1" spans="1:25">
      <c r="A256" s="101">
        <f t="shared" si="10"/>
        <v>3</v>
      </c>
      <c r="B256" s="102" t="s">
        <v>1482</v>
      </c>
      <c r="C256" s="102" t="s">
        <v>1483</v>
      </c>
      <c r="D256" s="103" t="str">
        <f>IFERROR(VLOOKUP(B256,' 02.1 KLH-CN MÃ BRAVO MM'!$B:$C,2,0),"")</f>
        <v>A24-MKE-018</v>
      </c>
      <c r="E256" s="103"/>
      <c r="F256" s="103" t="s">
        <v>451</v>
      </c>
      <c r="G256" s="102" t="s">
        <v>197</v>
      </c>
      <c r="H256" s="101" t="str">
        <f>VLOOKUP(G256,'01. TH'!$B:$E,3,0)</f>
        <v>3226 x 1570 x 1545</v>
      </c>
      <c r="I256" s="101" t="s">
        <v>1471</v>
      </c>
      <c r="J256" s="105"/>
      <c r="K256" s="101" t="str">
        <f>IF(COUNTIF('TT BTSC'!$D:$D,B256)&gt;0,"Hư hỏng","Bình thường")</f>
        <v>Bình thường</v>
      </c>
      <c r="L256" s="101"/>
      <c r="M256" s="182" t="s">
        <v>1484</v>
      </c>
      <c r="N256" s="101" t="s">
        <v>1019</v>
      </c>
      <c r="O256" s="110" t="s">
        <v>500</v>
      </c>
      <c r="P256" s="101">
        <v>2018</v>
      </c>
      <c r="Q256" s="101" t="s">
        <v>1122</v>
      </c>
      <c r="R256" s="101" t="s">
        <v>128</v>
      </c>
      <c r="S256" s="110" t="s">
        <v>1485</v>
      </c>
      <c r="T256" s="111" t="s">
        <v>462</v>
      </c>
      <c r="U256" s="111">
        <v>2.5</v>
      </c>
      <c r="V256" s="895">
        <v>0</v>
      </c>
      <c r="W256" s="895"/>
      <c r="X256" s="895"/>
      <c r="Y256" s="895"/>
    </row>
    <row r="257" ht="13.5" customHeight="1" outlineLevel="1" spans="1:25">
      <c r="A257" s="101">
        <f t="shared" si="10"/>
        <v>4</v>
      </c>
      <c r="B257" s="102" t="s">
        <v>1486</v>
      </c>
      <c r="C257" s="102" t="s">
        <v>1487</v>
      </c>
      <c r="D257" s="103" t="str">
        <f>IFERROR(VLOOKUP(B257,' 02.1 KLH-CN MÃ BRAVO MM'!$B:$C,2,0),"")</f>
        <v>A24-MKE-019</v>
      </c>
      <c r="E257" s="103"/>
      <c r="F257" s="103" t="s">
        <v>451</v>
      </c>
      <c r="G257" s="102" t="s">
        <v>197</v>
      </c>
      <c r="H257" s="101" t="str">
        <f>VLOOKUP(G257,'01. TH'!$B:$E,3,0)</f>
        <v>3226 x 1570 x 1545</v>
      </c>
      <c r="I257" s="101" t="s">
        <v>1471</v>
      </c>
      <c r="J257" s="105"/>
      <c r="K257" s="101" t="str">
        <f>IF(COUNTIF('TT BTSC'!$D:$D,B257)&gt;0,"Hư hỏng","Bình thường")</f>
        <v>Bình thường</v>
      </c>
      <c r="L257" s="101"/>
      <c r="M257" s="182" t="s">
        <v>1484</v>
      </c>
      <c r="N257" s="101" t="s">
        <v>1019</v>
      </c>
      <c r="O257" s="110" t="s">
        <v>500</v>
      </c>
      <c r="P257" s="101">
        <v>2018</v>
      </c>
      <c r="Q257" s="101" t="s">
        <v>1122</v>
      </c>
      <c r="R257" s="101" t="s">
        <v>128</v>
      </c>
      <c r="S257" s="110" t="s">
        <v>1488</v>
      </c>
      <c r="T257" s="111" t="s">
        <v>462</v>
      </c>
      <c r="U257" s="111">
        <v>2.5</v>
      </c>
      <c r="V257" s="895">
        <v>0</v>
      </c>
      <c r="W257" s="895"/>
      <c r="X257" s="895"/>
      <c r="Y257" s="895"/>
    </row>
    <row r="258" ht="13.5" customHeight="1" outlineLevel="1" spans="1:25">
      <c r="A258" s="101">
        <f t="shared" si="10"/>
        <v>5</v>
      </c>
      <c r="B258" s="102" t="s">
        <v>1489</v>
      </c>
      <c r="C258" s="102" t="s">
        <v>1490</v>
      </c>
      <c r="D258" s="103" t="str">
        <f>IFERROR(VLOOKUP(B258,' 02.1 KLH-CN MÃ BRAVO MM'!$B:$C,2,0),"")</f>
        <v>A24-MKE-020</v>
      </c>
      <c r="E258" s="103"/>
      <c r="F258" s="103" t="s">
        <v>451</v>
      </c>
      <c r="G258" s="102" t="s">
        <v>198</v>
      </c>
      <c r="H258" s="101" t="str">
        <f>VLOOKUP(G258,'01. TH'!$B:$E,3,0)</f>
        <v>2570 x 1200 x 1950</v>
      </c>
      <c r="I258" s="101" t="s">
        <v>1471</v>
      </c>
      <c r="J258" s="101" t="s">
        <v>1491</v>
      </c>
      <c r="K258" s="101" t="str">
        <f>IF(COUNTIF('TT BTSC'!$D:$D,B258)&gt;0,"Hư hỏng","Bình thường")</f>
        <v>Bình thường</v>
      </c>
      <c r="L258" s="101"/>
      <c r="M258" s="182" t="s">
        <v>1484</v>
      </c>
      <c r="N258" s="101" t="s">
        <v>759</v>
      </c>
      <c r="O258" s="110" t="s">
        <v>500</v>
      </c>
      <c r="P258" s="101"/>
      <c r="Q258" s="101" t="s">
        <v>1492</v>
      </c>
      <c r="R258" s="101" t="s">
        <v>199</v>
      </c>
      <c r="S258" s="110" t="s">
        <v>462</v>
      </c>
      <c r="T258" s="111">
        <v>11368</v>
      </c>
      <c r="U258" s="111">
        <v>2.5</v>
      </c>
      <c r="V258" s="895">
        <v>0</v>
      </c>
      <c r="W258" s="895"/>
      <c r="X258" s="895"/>
      <c r="Y258" s="895"/>
    </row>
    <row r="259" ht="13.5" customHeight="1" outlineLevel="1" spans="1:25">
      <c r="A259" s="101">
        <f t="shared" si="10"/>
        <v>6</v>
      </c>
      <c r="B259" s="102" t="s">
        <v>1493</v>
      </c>
      <c r="C259" s="102" t="s">
        <v>1494</v>
      </c>
      <c r="D259" s="103" t="str">
        <f>IFERROR(VLOOKUP(B259,' 02.1 KLH-CN MÃ BRAVO MM'!$B:$C,2,0),"")</f>
        <v>A24-MKE-017</v>
      </c>
      <c r="E259" s="103"/>
      <c r="F259" s="103" t="s">
        <v>451</v>
      </c>
      <c r="G259" s="102" t="s">
        <v>200</v>
      </c>
      <c r="H259" s="101" t="str">
        <f>VLOOKUP(G259,'01. TH'!$B:$E,3,0)</f>
        <v>3120 x 1495 x 1510</v>
      </c>
      <c r="I259" s="101" t="s">
        <v>1471</v>
      </c>
      <c r="J259" s="105"/>
      <c r="K259" s="101" t="str">
        <f>IF(COUNTIF('TT BTSC'!$D:$D,B259)&gt;0,"Hư hỏng","Bình thường")</f>
        <v>Bình thường</v>
      </c>
      <c r="L259" s="101"/>
      <c r="M259" s="182" t="s">
        <v>1495</v>
      </c>
      <c r="N259" s="101" t="s">
        <v>759</v>
      </c>
      <c r="O259" s="110" t="s">
        <v>453</v>
      </c>
      <c r="P259" s="101">
        <v>2019</v>
      </c>
      <c r="Q259" s="101" t="s">
        <v>1137</v>
      </c>
      <c r="R259" s="101" t="s">
        <v>41</v>
      </c>
      <c r="S259" s="110" t="s">
        <v>1496</v>
      </c>
      <c r="T259" s="111" t="s">
        <v>462</v>
      </c>
      <c r="U259" s="111">
        <v>2</v>
      </c>
      <c r="V259" s="895">
        <v>0</v>
      </c>
      <c r="W259" s="895"/>
      <c r="X259" s="895"/>
      <c r="Y259" s="895"/>
    </row>
    <row r="260" ht="24.75" customHeight="1" outlineLevel="1" spans="1:25">
      <c r="A260" s="101">
        <f t="shared" si="10"/>
        <v>7</v>
      </c>
      <c r="B260" s="102" t="s">
        <v>1497</v>
      </c>
      <c r="C260" s="124" t="s">
        <v>492</v>
      </c>
      <c r="D260" s="103" t="s">
        <v>1498</v>
      </c>
      <c r="E260" s="103"/>
      <c r="F260" s="103" t="s">
        <v>451</v>
      </c>
      <c r="G260" s="124" t="s">
        <v>1499</v>
      </c>
      <c r="H260" s="101" t="e">
        <f>VLOOKUP(G260,'01. TH'!$B:$E,3,0)</f>
        <v>#N/A</v>
      </c>
      <c r="I260" s="101" t="s">
        <v>1471</v>
      </c>
      <c r="J260" s="157" t="s">
        <v>805</v>
      </c>
      <c r="K260" s="101" t="str">
        <f>IF(COUNTIF('TT BTSC'!$D:$D,B260)&gt;0,"Hư hỏng","Bình thường")</f>
        <v>Bình thường</v>
      </c>
      <c r="L260" s="101"/>
      <c r="M260" s="182" t="s">
        <v>1500</v>
      </c>
      <c r="N260" s="101" t="s">
        <v>480</v>
      </c>
      <c r="O260" s="111" t="s">
        <v>453</v>
      </c>
      <c r="P260" s="101">
        <v>2013</v>
      </c>
      <c r="Q260" s="101" t="s">
        <v>556</v>
      </c>
      <c r="R260" s="101" t="s">
        <v>767</v>
      </c>
      <c r="S260" s="110" t="s">
        <v>1501</v>
      </c>
      <c r="T260" s="111">
        <v>27539</v>
      </c>
      <c r="U260" s="160">
        <v>4</v>
      </c>
      <c r="V260" s="895">
        <v>60</v>
      </c>
      <c r="W260" s="895"/>
      <c r="X260" s="895"/>
      <c r="Y260" s="895"/>
    </row>
    <row r="261" ht="24.75" customHeight="1" outlineLevel="1" spans="1:25">
      <c r="A261" s="101">
        <f t="shared" si="10"/>
        <v>8</v>
      </c>
      <c r="B261" s="102" t="s">
        <v>1502</v>
      </c>
      <c r="C261" s="124" t="s">
        <v>492</v>
      </c>
      <c r="D261" s="103" t="s">
        <v>1503</v>
      </c>
      <c r="E261" s="103"/>
      <c r="F261" s="103" t="s">
        <v>451</v>
      </c>
      <c r="G261" s="124" t="s">
        <v>1499</v>
      </c>
      <c r="H261" s="101" t="e">
        <f>VLOOKUP(G261,'01. TH'!$B:$E,3,0)</f>
        <v>#N/A</v>
      </c>
      <c r="I261" s="101" t="s">
        <v>1471</v>
      </c>
      <c r="J261" s="157" t="s">
        <v>805</v>
      </c>
      <c r="K261" s="101" t="str">
        <f>IF(COUNTIF('TT BTSC'!$D:$D,B261)&gt;0,"Hư hỏng","Bình thường")</f>
        <v>Bình thường</v>
      </c>
      <c r="L261" s="101"/>
      <c r="M261" s="182" t="s">
        <v>1500</v>
      </c>
      <c r="N261" s="101" t="s">
        <v>480</v>
      </c>
      <c r="O261" s="111" t="s">
        <v>453</v>
      </c>
      <c r="P261" s="101">
        <v>2013</v>
      </c>
      <c r="Q261" s="101" t="s">
        <v>556</v>
      </c>
      <c r="R261" s="101" t="s">
        <v>767</v>
      </c>
      <c r="S261" s="110" t="s">
        <v>1504</v>
      </c>
      <c r="T261" s="111">
        <v>29346</v>
      </c>
      <c r="U261" s="160">
        <v>4</v>
      </c>
      <c r="V261" s="895">
        <v>60</v>
      </c>
      <c r="W261" s="895"/>
      <c r="X261" s="895"/>
      <c r="Y261" s="895"/>
    </row>
    <row r="262" ht="24" customHeight="1" outlineLevel="1" spans="1:25">
      <c r="A262" s="101">
        <f t="shared" si="10"/>
        <v>9</v>
      </c>
      <c r="B262" s="124" t="s">
        <v>1505</v>
      </c>
      <c r="C262" s="124"/>
      <c r="D262" s="157" t="str">
        <f>IFERROR(VLOOKUP(B262,' 02.1 KLH-CN MÃ BRAVO MM'!$B:$C,2,0),"")</f>
        <v>A24-MĐA-013</v>
      </c>
      <c r="E262" s="157"/>
      <c r="F262" s="103" t="s">
        <v>451</v>
      </c>
      <c r="G262" s="124" t="s">
        <v>49</v>
      </c>
      <c r="H262" s="101" t="str">
        <f>VLOOKUP(G262,'01. TH'!$B:$E,3,0)</f>
        <v>5260 x 1760 x 2415</v>
      </c>
      <c r="I262" s="101" t="s">
        <v>1471</v>
      </c>
      <c r="J262" s="157" t="s">
        <v>553</v>
      </c>
      <c r="K262" s="101" t="str">
        <f>IF(COUNTIF('TT BTSC'!$D:$D,B262)&gt;0,"Hư hỏng","Bình thường")</f>
        <v>Bình thường</v>
      </c>
      <c r="L262" s="171"/>
      <c r="M262" s="206" t="s">
        <v>1506</v>
      </c>
      <c r="N262" s="157" t="s">
        <v>480</v>
      </c>
      <c r="O262" s="160" t="s">
        <v>555</v>
      </c>
      <c r="P262" s="157">
        <v>2015</v>
      </c>
      <c r="Q262" s="157" t="s">
        <v>556</v>
      </c>
      <c r="R262" s="157" t="s">
        <v>557</v>
      </c>
      <c r="S262" s="160" t="s">
        <v>1507</v>
      </c>
      <c r="T262" s="160">
        <v>35099</v>
      </c>
      <c r="U262" s="160">
        <v>4</v>
      </c>
      <c r="V262" s="895">
        <v>60</v>
      </c>
      <c r="W262" s="895"/>
      <c r="X262" s="895"/>
      <c r="Y262" s="895"/>
    </row>
    <row r="263" ht="33" customHeight="1" outlineLevel="1" spans="1:25">
      <c r="A263" s="101">
        <f t="shared" si="10"/>
        <v>10</v>
      </c>
      <c r="B263" s="102" t="s">
        <v>1508</v>
      </c>
      <c r="C263" s="124"/>
      <c r="D263" s="103" t="s">
        <v>1509</v>
      </c>
      <c r="E263" s="103"/>
      <c r="F263" s="103" t="s">
        <v>492</v>
      </c>
      <c r="G263" s="156" t="s">
        <v>74</v>
      </c>
      <c r="H263" s="101" t="str">
        <f>VLOOKUP(G263,'01. TH'!$B:$E,3,0)</f>
        <v>2625 x 1290 x 1570</v>
      </c>
      <c r="I263" s="101" t="s">
        <v>1471</v>
      </c>
      <c r="J263" s="897">
        <v>45722</v>
      </c>
      <c r="K263" s="101" t="str">
        <f>IF(COUNTIF('TT BTSC'!$D:$D,B263)&gt;0,"Hư hỏng","Bình thường")</f>
        <v>Bình thường</v>
      </c>
      <c r="L263" s="101"/>
      <c r="M263" s="182" t="s">
        <v>1510</v>
      </c>
      <c r="N263" s="101" t="s">
        <v>530</v>
      </c>
      <c r="O263" s="111" t="s">
        <v>453</v>
      </c>
      <c r="P263" s="101">
        <v>1998</v>
      </c>
      <c r="Q263" s="101" t="s">
        <v>1511</v>
      </c>
      <c r="R263" s="101" t="s">
        <v>1512</v>
      </c>
      <c r="S263" s="110" t="s">
        <v>1513</v>
      </c>
      <c r="T263" s="111">
        <v>256182</v>
      </c>
      <c r="U263" s="160">
        <v>2.5</v>
      </c>
      <c r="V263" s="895">
        <v>42</v>
      </c>
      <c r="W263" s="895"/>
      <c r="X263" s="895"/>
      <c r="Y263" s="895"/>
    </row>
    <row r="264" ht="30" customHeight="1" outlineLevel="1" spans="1:25">
      <c r="A264" s="101">
        <f t="shared" si="10"/>
        <v>11</v>
      </c>
      <c r="B264" s="102" t="s">
        <v>1514</v>
      </c>
      <c r="C264" s="102" t="s">
        <v>1515</v>
      </c>
      <c r="D264" s="103" t="s">
        <v>1516</v>
      </c>
      <c r="E264" s="103"/>
      <c r="F264" s="103" t="s">
        <v>504</v>
      </c>
      <c r="G264" s="102" t="s">
        <v>287</v>
      </c>
      <c r="H264" s="101" t="str">
        <f>VLOOKUP(G264,'01. TH'!$B:$E,3,0)</f>
        <v/>
      </c>
      <c r="I264" s="101" t="s">
        <v>1471</v>
      </c>
      <c r="J264" s="146" t="s">
        <v>1517</v>
      </c>
      <c r="K264" s="101" t="str">
        <f>IF(COUNTIF('TT BTSC'!$D:$D,B264)&gt;0,"Hư hỏng","Bình thường")</f>
        <v>Bình thường</v>
      </c>
      <c r="L264" s="107"/>
      <c r="M264" s="206" t="s">
        <v>1518</v>
      </c>
      <c r="N264" s="101" t="s">
        <v>964</v>
      </c>
      <c r="O264" s="110" t="s">
        <v>1197</v>
      </c>
      <c r="P264" s="101">
        <v>2022</v>
      </c>
      <c r="Q264" s="101" t="s">
        <v>1198</v>
      </c>
      <c r="R264" s="101" t="s">
        <v>219</v>
      </c>
      <c r="S264" s="110">
        <v>203084</v>
      </c>
      <c r="T264" s="111" t="s">
        <v>1519</v>
      </c>
      <c r="U264" s="111">
        <v>0.68</v>
      </c>
      <c r="V264" s="895">
        <v>0</v>
      </c>
      <c r="W264" s="895"/>
      <c r="X264" s="895"/>
      <c r="Y264" s="895"/>
    </row>
    <row r="265" ht="14.25" customHeight="1" outlineLevel="1" spans="1:25">
      <c r="A265" s="101">
        <f t="shared" si="10"/>
        <v>12</v>
      </c>
      <c r="B265" s="102" t="s">
        <v>1520</v>
      </c>
      <c r="C265" s="110" t="s">
        <v>1521</v>
      </c>
      <c r="D265" s="103" t="s">
        <v>1522</v>
      </c>
      <c r="E265" s="103"/>
      <c r="F265" s="103" t="s">
        <v>504</v>
      </c>
      <c r="G265" s="102" t="s">
        <v>111</v>
      </c>
      <c r="H265" s="101" t="str">
        <f>VLOOKUP(G265,'01. TH'!$B:$E,3,0)</f>
        <v>5250 x 2170 x 2520</v>
      </c>
      <c r="I265" s="101" t="s">
        <v>1471</v>
      </c>
      <c r="J265" s="105">
        <v>45632</v>
      </c>
      <c r="K265" s="101" t="str">
        <f>IF(COUNTIF('TT BTSC'!$D:$D,B265)&gt;0,"Hư hỏng","Bình thường")</f>
        <v>Bình thường</v>
      </c>
      <c r="L265" s="107">
        <v>1</v>
      </c>
      <c r="M265" s="182" t="s">
        <v>1523</v>
      </c>
      <c r="N265" s="101" t="s">
        <v>621</v>
      </c>
      <c r="O265" s="110" t="s">
        <v>500</v>
      </c>
      <c r="P265" s="910">
        <v>2024</v>
      </c>
      <c r="Q265" s="101" t="s">
        <v>1173</v>
      </c>
      <c r="R265" s="101" t="s">
        <v>112</v>
      </c>
      <c r="S265" s="110" t="s">
        <v>1524</v>
      </c>
      <c r="T265" s="145" t="s">
        <v>1525</v>
      </c>
      <c r="U265" s="111">
        <v>0.33</v>
      </c>
      <c r="V265" s="895">
        <v>75</v>
      </c>
      <c r="W265" s="895"/>
      <c r="X265" s="895"/>
      <c r="Y265" s="895"/>
    </row>
    <row r="266" ht="13.5" customHeight="1" outlineLevel="1" spans="1:25">
      <c r="A266" s="101">
        <f t="shared" si="10"/>
        <v>13</v>
      </c>
      <c r="B266" s="102" t="s">
        <v>1526</v>
      </c>
      <c r="C266" s="110" t="s">
        <v>1527</v>
      </c>
      <c r="D266" s="103" t="s">
        <v>1528</v>
      </c>
      <c r="E266" s="103"/>
      <c r="F266" s="103" t="s">
        <v>504</v>
      </c>
      <c r="G266" s="102" t="s">
        <v>111</v>
      </c>
      <c r="H266" s="101" t="str">
        <f>VLOOKUP(G266,'01. TH'!$B:$E,3,0)</f>
        <v>5250 x 2170 x 2520</v>
      </c>
      <c r="I266" s="101" t="s">
        <v>1471</v>
      </c>
      <c r="J266" s="105">
        <v>45632</v>
      </c>
      <c r="K266" s="101" t="str">
        <f>IF(COUNTIF('TT BTSC'!$D:$D,B266)&gt;0,"Hư hỏng","Bình thường")</f>
        <v>Bình thường</v>
      </c>
      <c r="L266" s="107">
        <v>0.99</v>
      </c>
      <c r="M266" s="182" t="s">
        <v>1523</v>
      </c>
      <c r="N266" s="101" t="s">
        <v>621</v>
      </c>
      <c r="O266" s="110" t="s">
        <v>500</v>
      </c>
      <c r="P266" s="910">
        <v>2024</v>
      </c>
      <c r="Q266" s="101" t="s">
        <v>1173</v>
      </c>
      <c r="R266" s="101" t="s">
        <v>112</v>
      </c>
      <c r="S266" s="110" t="s">
        <v>1529</v>
      </c>
      <c r="T266" s="145" t="s">
        <v>1530</v>
      </c>
      <c r="U266" s="111">
        <v>0.33</v>
      </c>
      <c r="V266" s="895">
        <v>75</v>
      </c>
      <c r="W266" s="895"/>
      <c r="X266" s="895"/>
      <c r="Y266" s="895"/>
    </row>
    <row r="267" ht="13.5" customHeight="1" outlineLevel="1" spans="1:25">
      <c r="A267" s="101">
        <f t="shared" si="10"/>
        <v>14</v>
      </c>
      <c r="B267" s="102" t="s">
        <v>1531</v>
      </c>
      <c r="C267" s="102"/>
      <c r="D267" s="103" t="str">
        <f>IFERROR(VLOOKUP(B267,' 02.1 KLH-CN MÃ BRAVO MM'!$B:$C,2,0),"")</f>
        <v>A24-XTA-019</v>
      </c>
      <c r="E267" s="103" t="s">
        <v>1532</v>
      </c>
      <c r="F267" s="103" t="s">
        <v>504</v>
      </c>
      <c r="G267" s="102" t="s">
        <v>111</v>
      </c>
      <c r="H267" s="101" t="str">
        <f>VLOOKUP(G267,'01. TH'!$B:$E,3,0)</f>
        <v>5250 x 2170 x 2520</v>
      </c>
      <c r="I267" s="101" t="s">
        <v>1471</v>
      </c>
      <c r="J267" s="101" t="s">
        <v>1213</v>
      </c>
      <c r="K267" s="101" t="str">
        <f>IF(COUNTIF('TT BTSC'!$D:$D,B267)&gt;0,"Hư hỏng","Bình thường")</f>
        <v>Bình thường</v>
      </c>
      <c r="L267" s="101"/>
      <c r="M267" s="182" t="s">
        <v>1533</v>
      </c>
      <c r="N267" s="101" t="s">
        <v>621</v>
      </c>
      <c r="O267" s="110" t="s">
        <v>500</v>
      </c>
      <c r="P267" s="101">
        <v>2024</v>
      </c>
      <c r="Q267" s="101" t="s">
        <v>1173</v>
      </c>
      <c r="R267" s="101" t="s">
        <v>112</v>
      </c>
      <c r="S267" s="110" t="s">
        <v>1534</v>
      </c>
      <c r="T267" s="111" t="s">
        <v>1535</v>
      </c>
      <c r="U267" s="111">
        <v>3</v>
      </c>
      <c r="V267" s="895">
        <v>75</v>
      </c>
      <c r="W267" s="895"/>
      <c r="X267" s="895"/>
      <c r="Y267" s="895"/>
    </row>
    <row r="268" ht="13.5" customHeight="1" outlineLevel="1" spans="1:25">
      <c r="A268" s="101">
        <f t="shared" si="10"/>
        <v>15</v>
      </c>
      <c r="B268" s="102" t="s">
        <v>1536</v>
      </c>
      <c r="C268" s="102"/>
      <c r="D268" s="103" t="s">
        <v>1537</v>
      </c>
      <c r="E268" s="103"/>
      <c r="F268" s="103" t="s">
        <v>504</v>
      </c>
      <c r="G268" s="102" t="s">
        <v>1538</v>
      </c>
      <c r="H268" s="101"/>
      <c r="I268" s="101" t="s">
        <v>1471</v>
      </c>
      <c r="J268" s="101" t="s">
        <v>1539</v>
      </c>
      <c r="K268" s="101" t="str">
        <f>IF(COUNTIF('TT BTSC'!$D:$D,B268)&gt;0,"Hư hỏng","Bình thường")</f>
        <v>Bình thường</v>
      </c>
      <c r="L268" s="101"/>
      <c r="M268" s="182" t="s">
        <v>1146</v>
      </c>
      <c r="N268" s="101" t="s">
        <v>954</v>
      </c>
      <c r="O268" s="110" t="s">
        <v>955</v>
      </c>
      <c r="P268" s="101">
        <v>2024</v>
      </c>
      <c r="Q268" s="101" t="s">
        <v>1540</v>
      </c>
      <c r="R268" s="101" t="s">
        <v>118</v>
      </c>
      <c r="S268" s="110" t="s">
        <v>1541</v>
      </c>
      <c r="T268" s="111" t="s">
        <v>1542</v>
      </c>
      <c r="U268" s="160">
        <v>0.2</v>
      </c>
      <c r="V268" s="192"/>
      <c r="W268" s="192"/>
      <c r="X268" s="192"/>
      <c r="Y268" s="192"/>
    </row>
    <row r="269" ht="13.5" customHeight="1" outlineLevel="1" spans="1:25">
      <c r="A269" s="101">
        <f t="shared" si="10"/>
        <v>16</v>
      </c>
      <c r="B269" s="102" t="s">
        <v>1543</v>
      </c>
      <c r="C269" s="102" t="s">
        <v>1544</v>
      </c>
      <c r="D269" s="103" t="s">
        <v>1545</v>
      </c>
      <c r="E269" s="103"/>
      <c r="F269" s="103" t="s">
        <v>451</v>
      </c>
      <c r="G269" s="102" t="s">
        <v>127</v>
      </c>
      <c r="H269" s="101" t="str">
        <f>VLOOKUP(G269,'01. TH'!$B:$E,3,0)</f>
        <v/>
      </c>
      <c r="I269" s="101" t="s">
        <v>1471</v>
      </c>
      <c r="J269" s="105">
        <v>41651</v>
      </c>
      <c r="K269" s="101" t="str">
        <f>IF(COUNTIF('TT BTSC'!$D:$D,B269)&gt;0,"Hư hỏng","Bình thường")</f>
        <v>Bình thường</v>
      </c>
      <c r="L269" s="101"/>
      <c r="M269" s="182" t="s">
        <v>1546</v>
      </c>
      <c r="N269" s="101" t="s">
        <v>1164</v>
      </c>
      <c r="O269" s="110" t="s">
        <v>1165</v>
      </c>
      <c r="P269" s="101"/>
      <c r="Q269" s="101"/>
      <c r="R269" s="101" t="s">
        <v>208</v>
      </c>
      <c r="S269" s="110">
        <v>29823</v>
      </c>
      <c r="T269" s="111" t="s">
        <v>462</v>
      </c>
      <c r="U269" s="111">
        <v>2</v>
      </c>
      <c r="V269" s="192"/>
      <c r="W269" s="192"/>
      <c r="X269" s="192"/>
      <c r="Y269" s="192"/>
    </row>
    <row r="270" ht="13.5" customHeight="1" outlineLevel="1" spans="1:25">
      <c r="A270" s="101">
        <f t="shared" si="10"/>
        <v>17</v>
      </c>
      <c r="B270" s="102" t="s">
        <v>1547</v>
      </c>
      <c r="C270" s="102" t="s">
        <v>1548</v>
      </c>
      <c r="D270" s="103" t="s">
        <v>1549</v>
      </c>
      <c r="E270" s="103"/>
      <c r="F270" s="103" t="s">
        <v>451</v>
      </c>
      <c r="G270" s="102" t="s">
        <v>127</v>
      </c>
      <c r="H270" s="101" t="str">
        <f>VLOOKUP(G270,'01. TH'!$B:$E,3,0)</f>
        <v/>
      </c>
      <c r="I270" s="101" t="s">
        <v>1471</v>
      </c>
      <c r="J270" s="105">
        <v>41651</v>
      </c>
      <c r="K270" s="101" t="str">
        <f>IF(COUNTIF('TT BTSC'!$D:$D,B270)&gt;0,"Hư hỏng","Bình thường")</f>
        <v>Bình thường</v>
      </c>
      <c r="L270" s="101"/>
      <c r="M270" s="182" t="s">
        <v>1546</v>
      </c>
      <c r="N270" s="101" t="s">
        <v>1164</v>
      </c>
      <c r="O270" s="110" t="s">
        <v>1165</v>
      </c>
      <c r="P270" s="101"/>
      <c r="Q270" s="101"/>
      <c r="R270" s="101" t="s">
        <v>208</v>
      </c>
      <c r="S270" s="110">
        <v>101437</v>
      </c>
      <c r="T270" s="111" t="s">
        <v>462</v>
      </c>
      <c r="U270" s="111">
        <v>2</v>
      </c>
      <c r="V270" s="192"/>
      <c r="W270" s="192"/>
      <c r="X270" s="192"/>
      <c r="Y270" s="192"/>
    </row>
    <row r="271" ht="13.5" customHeight="1" outlineLevel="1" spans="1:25">
      <c r="A271" s="101">
        <f t="shared" si="10"/>
        <v>18</v>
      </c>
      <c r="B271" s="102" t="s">
        <v>1550</v>
      </c>
      <c r="C271" s="102" t="s">
        <v>1551</v>
      </c>
      <c r="D271" s="103" t="str">
        <f>IFERROR(VLOOKUP(B271,' 02.1 KLH-CN MÃ BRAVO MM'!$B:$C,2,0),"")</f>
        <v/>
      </c>
      <c r="E271" s="103"/>
      <c r="F271" s="103" t="s">
        <v>451</v>
      </c>
      <c r="G271" s="102" t="s">
        <v>226</v>
      </c>
      <c r="H271" s="101" t="str">
        <f>VLOOKUP(G271,'01. TH'!$B:$E,3,0)</f>
        <v/>
      </c>
      <c r="I271" s="101" t="s">
        <v>1471</v>
      </c>
      <c r="J271" s="105"/>
      <c r="K271" s="101" t="str">
        <f>IF(COUNTIF('TT BTSC'!$D:$D,B271)&gt;0,"Hư hỏng","Bình thường")</f>
        <v>Bình thường</v>
      </c>
      <c r="L271" s="101"/>
      <c r="M271" s="182" t="s">
        <v>1552</v>
      </c>
      <c r="N271" s="101" t="s">
        <v>1267</v>
      </c>
      <c r="O271" s="110" t="s">
        <v>465</v>
      </c>
      <c r="P271" s="101"/>
      <c r="Q271" s="101"/>
      <c r="R271" s="101" t="s">
        <v>1553</v>
      </c>
      <c r="S271" s="110">
        <v>6958</v>
      </c>
      <c r="T271" s="111" t="s">
        <v>462</v>
      </c>
      <c r="U271" s="111">
        <v>3.75</v>
      </c>
      <c r="V271" s="192"/>
      <c r="W271" s="192"/>
      <c r="X271" s="192"/>
      <c r="Y271" s="192"/>
    </row>
    <row r="272" ht="13.5" customHeight="1" outlineLevel="1" spans="1:25">
      <c r="A272" s="101">
        <f t="shared" si="10"/>
        <v>19</v>
      </c>
      <c r="B272" s="102" t="s">
        <v>1554</v>
      </c>
      <c r="C272" s="102" t="s">
        <v>1555</v>
      </c>
      <c r="D272" s="103" t="str">
        <f>IFERROR(VLOOKUP(B272,' 02.1 KLH-CN MÃ BRAVO MM'!$B:$C,2,0),"")</f>
        <v/>
      </c>
      <c r="E272" s="103"/>
      <c r="F272" s="103" t="s">
        <v>451</v>
      </c>
      <c r="G272" s="102" t="s">
        <v>1556</v>
      </c>
      <c r="H272" s="101" t="e">
        <f>VLOOKUP(G272,'01. TH'!$B:$E,3,0)</f>
        <v>#N/A</v>
      </c>
      <c r="I272" s="101" t="s">
        <v>1471</v>
      </c>
      <c r="J272" s="105"/>
      <c r="K272" s="101" t="str">
        <f>IF(COUNTIF('TT BTSC'!$D:$D,B272)&gt;0,"Hư hỏng","Bình thường")</f>
        <v>Bình thường</v>
      </c>
      <c r="L272" s="101"/>
      <c r="M272" s="182" t="s">
        <v>1552</v>
      </c>
      <c r="N272" s="101" t="s">
        <v>1139</v>
      </c>
      <c r="O272" s="110" t="s">
        <v>1140</v>
      </c>
      <c r="P272" s="101">
        <v>2019</v>
      </c>
      <c r="Q272" s="101" t="s">
        <v>1141</v>
      </c>
      <c r="R272" s="101" t="s">
        <v>1557</v>
      </c>
      <c r="S272" s="110">
        <v>1501190010</v>
      </c>
      <c r="T272" s="111" t="s">
        <v>462</v>
      </c>
      <c r="U272" s="111"/>
      <c r="V272" s="895">
        <v>0</v>
      </c>
      <c r="W272" s="895"/>
      <c r="X272" s="895"/>
      <c r="Y272" s="895"/>
    </row>
    <row r="273" ht="13.5" customHeight="1" outlineLevel="1" spans="1:25">
      <c r="A273" s="101">
        <f t="shared" si="10"/>
        <v>20</v>
      </c>
      <c r="B273" s="102" t="s">
        <v>1558</v>
      </c>
      <c r="C273" s="102"/>
      <c r="D273" s="103" t="s">
        <v>1559</v>
      </c>
      <c r="E273" s="103"/>
      <c r="F273" s="103" t="s">
        <v>504</v>
      </c>
      <c r="G273" s="102" t="s">
        <v>1560</v>
      </c>
      <c r="H273" s="101"/>
      <c r="I273" s="101" t="s">
        <v>1471</v>
      </c>
      <c r="J273" s="105">
        <v>46361</v>
      </c>
      <c r="K273" s="101" t="str">
        <f>IF(COUNTIF('TT BTSC'!$D:$D,B273)&gt;0,"Hư hỏng","Bình thường")</f>
        <v>Bình thường</v>
      </c>
      <c r="L273" s="101"/>
      <c r="M273" s="182" t="s">
        <v>1146</v>
      </c>
      <c r="N273" s="101" t="s">
        <v>1015</v>
      </c>
      <c r="O273" s="110" t="s">
        <v>590</v>
      </c>
      <c r="P273" s="101">
        <v>2026</v>
      </c>
      <c r="Q273" s="101" t="s">
        <v>1147</v>
      </c>
      <c r="R273" s="101" t="s">
        <v>1148</v>
      </c>
      <c r="S273" s="110" t="s">
        <v>1561</v>
      </c>
      <c r="T273" s="111"/>
      <c r="U273" s="111"/>
      <c r="V273" s="895"/>
      <c r="W273" s="895"/>
      <c r="X273" s="895"/>
      <c r="Y273" s="895"/>
    </row>
    <row r="274" ht="13.5" customHeight="1" outlineLevel="1" spans="1:25">
      <c r="A274" s="101">
        <f t="shared" si="10"/>
        <v>21</v>
      </c>
      <c r="B274" s="102" t="s">
        <v>1562</v>
      </c>
      <c r="C274" s="102" t="s">
        <v>1563</v>
      </c>
      <c r="D274" s="103" t="str">
        <f>IFERROR(VLOOKUP(C274,' 02.1 KLH-CN MÃ BRAVO MM'!$B:$C,2,0),"")</f>
        <v/>
      </c>
      <c r="E274" s="103"/>
      <c r="F274" s="103" t="s">
        <v>492</v>
      </c>
      <c r="G274" s="102" t="s">
        <v>284</v>
      </c>
      <c r="H274" s="101" t="str">
        <f>VLOOKUP(G274,'01. TH'!$B:$E,3,0)</f>
        <v/>
      </c>
      <c r="I274" s="101" t="s">
        <v>1471</v>
      </c>
      <c r="J274" s="105">
        <v>45181</v>
      </c>
      <c r="K274" s="101" t="str">
        <f>IF(COUNTIF('TT BTSC'!$D:$D,B274)&gt;0,"Hư hỏng","Bình thường")</f>
        <v>Bình thường</v>
      </c>
      <c r="L274" s="101"/>
      <c r="M274" s="182" t="s">
        <v>1564</v>
      </c>
      <c r="N274" s="101" t="s">
        <v>1565</v>
      </c>
      <c r="O274" s="110" t="s">
        <v>1140</v>
      </c>
      <c r="P274" s="101">
        <v>2022</v>
      </c>
      <c r="Q274" s="101" t="s">
        <v>1566</v>
      </c>
      <c r="R274" s="101" t="s">
        <v>1567</v>
      </c>
      <c r="S274" s="110" t="s">
        <v>462</v>
      </c>
      <c r="T274" s="111" t="s">
        <v>1568</v>
      </c>
      <c r="U274" s="111"/>
      <c r="V274" s="895">
        <v>0</v>
      </c>
      <c r="W274" s="895"/>
      <c r="X274" s="895"/>
      <c r="Y274" s="895"/>
    </row>
    <row r="275" ht="13.5" customHeight="1" outlineLevel="1" spans="1:25">
      <c r="A275" s="101">
        <f t="shared" si="10"/>
        <v>22</v>
      </c>
      <c r="B275" s="102" t="s">
        <v>1569</v>
      </c>
      <c r="C275" s="102"/>
      <c r="D275" s="103" t="s">
        <v>1570</v>
      </c>
      <c r="E275" s="103"/>
      <c r="F275" s="103" t="s">
        <v>504</v>
      </c>
      <c r="G275" s="156" t="s">
        <v>283</v>
      </c>
      <c r="H275" s="101" t="str">
        <f>VLOOKUP(G275,'01. TH'!$B:$E,3,0)</f>
        <v/>
      </c>
      <c r="I275" s="101" t="s">
        <v>1471</v>
      </c>
      <c r="J275" s="146" t="s">
        <v>1228</v>
      </c>
      <c r="K275" s="101" t="str">
        <f>IF(COUNTIF('TT BTSC'!$D:$D,B275)&gt;0,"Hư hỏng","Bình thường")</f>
        <v>Bình thường</v>
      </c>
      <c r="L275" s="101"/>
      <c r="M275" s="182" t="s">
        <v>1146</v>
      </c>
      <c r="N275" s="101" t="s">
        <v>1229</v>
      </c>
      <c r="O275" s="110" t="s">
        <v>500</v>
      </c>
      <c r="P275" s="101">
        <v>2025</v>
      </c>
      <c r="Q275" s="101" t="s">
        <v>1230</v>
      </c>
      <c r="R275" s="101" t="s">
        <v>272</v>
      </c>
      <c r="S275" s="110" t="s">
        <v>1571</v>
      </c>
      <c r="T275" s="111" t="s">
        <v>1572</v>
      </c>
      <c r="U275" s="159">
        <v>1.8</v>
      </c>
      <c r="V275" s="895">
        <v>0</v>
      </c>
      <c r="W275" s="895"/>
      <c r="X275" s="895"/>
      <c r="Y275" s="895"/>
    </row>
    <row r="276" ht="13.5" customHeight="1" outlineLevel="1" spans="1:25">
      <c r="A276" s="101">
        <f t="shared" si="10"/>
        <v>23</v>
      </c>
      <c r="B276" s="102" t="s">
        <v>1573</v>
      </c>
      <c r="C276" s="102"/>
      <c r="D276" s="103" t="s">
        <v>1574</v>
      </c>
      <c r="E276" s="103"/>
      <c r="F276" s="103" t="s">
        <v>504</v>
      </c>
      <c r="G276" s="156" t="s">
        <v>283</v>
      </c>
      <c r="H276" s="101" t="str">
        <f>VLOOKUP(G276,'01. TH'!$B:$E,3,0)</f>
        <v/>
      </c>
      <c r="I276" s="101" t="s">
        <v>1471</v>
      </c>
      <c r="J276" s="146" t="s">
        <v>1228</v>
      </c>
      <c r="K276" s="101" t="str">
        <f>IF(COUNTIF('TT BTSC'!$D:$D,B276)&gt;0,"Hư hỏng","Bình thường")</f>
        <v>Bình thường</v>
      </c>
      <c r="L276" s="101"/>
      <c r="M276" s="182" t="s">
        <v>1146</v>
      </c>
      <c r="N276" s="101" t="s">
        <v>1229</v>
      </c>
      <c r="O276" s="110" t="s">
        <v>500</v>
      </c>
      <c r="P276" s="101">
        <v>2025</v>
      </c>
      <c r="Q276" s="101" t="s">
        <v>1230</v>
      </c>
      <c r="R276" s="101" t="s">
        <v>272</v>
      </c>
      <c r="S276" s="110" t="s">
        <v>1575</v>
      </c>
      <c r="T276" s="111" t="s">
        <v>1576</v>
      </c>
      <c r="U276" s="159">
        <v>1.8</v>
      </c>
      <c r="V276" s="895">
        <v>0</v>
      </c>
      <c r="W276" s="895"/>
      <c r="X276" s="895"/>
      <c r="Y276" s="895"/>
    </row>
    <row r="277" ht="13.5" customHeight="1" outlineLevel="1" spans="1:25">
      <c r="A277" s="101">
        <f t="shared" si="10"/>
        <v>24</v>
      </c>
      <c r="B277" s="102" t="s">
        <v>1577</v>
      </c>
      <c r="C277" s="102"/>
      <c r="D277" s="103" t="s">
        <v>1578</v>
      </c>
      <c r="E277" s="103"/>
      <c r="F277" s="103" t="s">
        <v>504</v>
      </c>
      <c r="G277" s="156" t="s">
        <v>283</v>
      </c>
      <c r="H277" s="101" t="str">
        <f>VLOOKUP(G277,'01. TH'!$B:$E,3,0)</f>
        <v/>
      </c>
      <c r="I277" s="101" t="s">
        <v>1471</v>
      </c>
      <c r="J277" s="146" t="s">
        <v>1228</v>
      </c>
      <c r="K277" s="101" t="str">
        <f>IF(COUNTIF('TT BTSC'!$D:$D,B277)&gt;0,"Hư hỏng","Bình thường")</f>
        <v>Bình thường</v>
      </c>
      <c r="L277" s="101"/>
      <c r="M277" s="182" t="s">
        <v>1146</v>
      </c>
      <c r="N277" s="101" t="s">
        <v>1229</v>
      </c>
      <c r="O277" s="110" t="s">
        <v>500</v>
      </c>
      <c r="P277" s="101">
        <v>2025</v>
      </c>
      <c r="Q277" s="101" t="s">
        <v>1230</v>
      </c>
      <c r="R277" s="101" t="s">
        <v>272</v>
      </c>
      <c r="S277" s="110" t="s">
        <v>1579</v>
      </c>
      <c r="T277" s="111" t="s">
        <v>1572</v>
      </c>
      <c r="U277" s="159">
        <v>1.8</v>
      </c>
      <c r="V277" s="895">
        <v>0</v>
      </c>
      <c r="W277" s="895"/>
      <c r="X277" s="895"/>
      <c r="Y277" s="895"/>
    </row>
    <row r="278" ht="13.5" customHeight="1" outlineLevel="1" spans="1:25">
      <c r="A278" s="101">
        <f t="shared" si="10"/>
        <v>25</v>
      </c>
      <c r="B278" s="102" t="s">
        <v>1580</v>
      </c>
      <c r="C278" s="102"/>
      <c r="D278" s="103" t="s">
        <v>1581</v>
      </c>
      <c r="E278" s="103"/>
      <c r="F278" s="103" t="s">
        <v>504</v>
      </c>
      <c r="G278" s="156" t="s">
        <v>283</v>
      </c>
      <c r="H278" s="101" t="str">
        <f>VLOOKUP(G278,'01. TH'!$B:$E,3,0)</f>
        <v/>
      </c>
      <c r="I278" s="101" t="s">
        <v>1471</v>
      </c>
      <c r="J278" s="146" t="s">
        <v>1228</v>
      </c>
      <c r="K278" s="101" t="str">
        <f>IF(COUNTIF('TT BTSC'!$D:$D,B278)&gt;0,"Hư hỏng","Bình thường")</f>
        <v>Bình thường</v>
      </c>
      <c r="L278" s="101"/>
      <c r="M278" s="182" t="s">
        <v>1146</v>
      </c>
      <c r="N278" s="101" t="s">
        <v>1229</v>
      </c>
      <c r="O278" s="110" t="s">
        <v>500</v>
      </c>
      <c r="P278" s="101">
        <v>2025</v>
      </c>
      <c r="Q278" s="101" t="s">
        <v>1230</v>
      </c>
      <c r="R278" s="101" t="s">
        <v>272</v>
      </c>
      <c r="S278" s="110" t="s">
        <v>1582</v>
      </c>
      <c r="T278" s="111" t="s">
        <v>1583</v>
      </c>
      <c r="U278" s="159">
        <v>1.8</v>
      </c>
      <c r="V278" s="895">
        <v>0</v>
      </c>
      <c r="W278" s="895"/>
      <c r="X278" s="895"/>
      <c r="Y278" s="895"/>
    </row>
    <row r="279" ht="13.5" customHeight="1" outlineLevel="1" spans="1:25">
      <c r="A279" s="101">
        <f t="shared" si="10"/>
        <v>26</v>
      </c>
      <c r="B279" s="102" t="s">
        <v>1584</v>
      </c>
      <c r="C279" s="102" t="s">
        <v>1585</v>
      </c>
      <c r="D279" s="103" t="str">
        <f>IFERROR(VLOOKUP(B279,' 02.1 KLH-CN MÃ BRAVO MM'!$B:$C,2,0),"")</f>
        <v/>
      </c>
      <c r="E279" s="103"/>
      <c r="F279" s="103" t="s">
        <v>451</v>
      </c>
      <c r="G279" s="156" t="s">
        <v>225</v>
      </c>
      <c r="H279" s="101" t="str">
        <f>VLOOKUP(G279,'01. TH'!$B:$E,3,0)</f>
        <v>4890 x 2015 x 2500</v>
      </c>
      <c r="I279" s="101" t="s">
        <v>1471</v>
      </c>
      <c r="J279" s="146"/>
      <c r="K279" s="101" t="str">
        <f>IF(COUNTIF('TT BTSC'!$D:$D,B279)&gt;0,"Hư hỏng","Bình thường")</f>
        <v>Bình thường</v>
      </c>
      <c r="L279" s="101"/>
      <c r="M279" s="182" t="s">
        <v>1586</v>
      </c>
      <c r="N279" s="101" t="s">
        <v>621</v>
      </c>
      <c r="O279" s="110" t="s">
        <v>500</v>
      </c>
      <c r="P279" s="101">
        <v>2018</v>
      </c>
      <c r="Q279" s="101" t="s">
        <v>1587</v>
      </c>
      <c r="R279" s="101" t="s">
        <v>812</v>
      </c>
      <c r="S279" s="110">
        <v>380096</v>
      </c>
      <c r="T279" s="111" t="s">
        <v>462</v>
      </c>
      <c r="U279" s="159">
        <v>3.75</v>
      </c>
      <c r="V279" s="895">
        <v>0</v>
      </c>
      <c r="W279" s="895"/>
      <c r="X279" s="895"/>
      <c r="Y279" s="895"/>
    </row>
    <row r="280" ht="13.5" customHeight="1" outlineLevel="1" spans="1:25">
      <c r="A280" s="101"/>
      <c r="B280" s="102"/>
      <c r="C280" s="102"/>
      <c r="D280" s="103"/>
      <c r="E280" s="103"/>
      <c r="F280" s="103"/>
      <c r="G280" s="102"/>
      <c r="H280" s="101"/>
      <c r="I280" s="101"/>
      <c r="J280" s="105"/>
      <c r="K280" s="101"/>
      <c r="L280" s="101"/>
      <c r="M280" s="182"/>
      <c r="N280" s="101"/>
      <c r="O280" s="110"/>
      <c r="P280" s="101"/>
      <c r="Q280" s="101"/>
      <c r="R280" s="101"/>
      <c r="S280" s="110"/>
      <c r="T280" s="111"/>
      <c r="U280" s="111"/>
      <c r="V280" s="192"/>
      <c r="W280" s="192"/>
      <c r="X280" s="192"/>
      <c r="Y280" s="192"/>
    </row>
    <row r="281" ht="13.5" customHeight="1" outlineLevel="1" spans="1:25">
      <c r="A281" s="101"/>
      <c r="B281" s="102"/>
      <c r="C281" s="102" t="s">
        <v>1588</v>
      </c>
      <c r="D281" s="103"/>
      <c r="E281" s="103"/>
      <c r="F281" s="103"/>
      <c r="G281" s="102"/>
      <c r="H281" s="101" t="e">
        <f>VLOOKUP(G281,'01. TH'!$B:$E,3,0)</f>
        <v>#N/A</v>
      </c>
      <c r="I281" s="101"/>
      <c r="J281" s="105"/>
      <c r="K281" s="101"/>
      <c r="L281" s="101"/>
      <c r="M281" s="182"/>
      <c r="N281" s="101"/>
      <c r="O281" s="110"/>
      <c r="P281" s="101"/>
      <c r="Q281" s="101"/>
      <c r="R281" s="101"/>
      <c r="S281" s="110"/>
      <c r="T281" s="111"/>
      <c r="U281" s="111"/>
      <c r="V281" s="192"/>
      <c r="W281" s="192"/>
      <c r="X281" s="192"/>
      <c r="Y281" s="192"/>
    </row>
    <row r="282" ht="13.5" customHeight="1" spans="1:25">
      <c r="A282" s="96" t="s">
        <v>1589</v>
      </c>
      <c r="B282" s="901" t="s">
        <v>1590</v>
      </c>
      <c r="C282" s="96">
        <f>COUNTA($B$283:$B$322)</f>
        <v>38</v>
      </c>
      <c r="D282" s="902" t="str">
        <f>IFERROR(VLOOKUP(B282,' 02.1 KLH-CN MÃ BRAVO MM'!$B:$C,2,0),"")</f>
        <v/>
      </c>
      <c r="E282" s="903"/>
      <c r="F282" s="903"/>
      <c r="G282" s="908"/>
      <c r="H282" s="97"/>
      <c r="I282" s="902"/>
      <c r="J282" s="904"/>
      <c r="K282" s="97"/>
      <c r="L282" s="903"/>
      <c r="M282" s="905"/>
      <c r="N282" s="903"/>
      <c r="O282" s="902"/>
      <c r="P282" s="902"/>
      <c r="Q282" s="902"/>
      <c r="R282" s="902"/>
      <c r="S282" s="902"/>
      <c r="T282" s="902"/>
      <c r="U282" s="906"/>
      <c r="V282" s="192"/>
      <c r="W282" s="192"/>
      <c r="X282" s="192"/>
      <c r="Y282" s="192"/>
    </row>
    <row r="283" ht="13.5" customHeight="1" outlineLevel="1" spans="1:25">
      <c r="A283" s="101">
        <v>1</v>
      </c>
      <c r="B283" s="102" t="s">
        <v>1591</v>
      </c>
      <c r="C283" s="102" t="s">
        <v>1592</v>
      </c>
      <c r="D283" s="103" t="str">
        <f>IFERROR(VLOOKUP(B283,' 02.1 KLH-CN MÃ BRAVO MM'!$B:$C,2,0),"")</f>
        <v>A24-MKE-011</v>
      </c>
      <c r="E283" s="103"/>
      <c r="F283" s="103" t="s">
        <v>451</v>
      </c>
      <c r="G283" s="102" t="s">
        <v>197</v>
      </c>
      <c r="H283" s="101" t="str">
        <f>VLOOKUP(G283,'01. TH'!$B:$E,3,0)</f>
        <v>3226 x 1570 x 1545</v>
      </c>
      <c r="I283" s="101" t="s">
        <v>1593</v>
      </c>
      <c r="J283" s="105"/>
      <c r="K283" s="101" t="str">
        <f>IF(COUNTIF('TT BTSC'!$D:$D,B283)&gt;0,"Hư hỏng","Bình thường")</f>
        <v>Bình thường</v>
      </c>
      <c r="L283" s="101"/>
      <c r="M283" s="182"/>
      <c r="N283" s="101" t="s">
        <v>1019</v>
      </c>
      <c r="O283" s="110" t="s">
        <v>500</v>
      </c>
      <c r="P283" s="101">
        <v>2018</v>
      </c>
      <c r="Q283" s="101" t="s">
        <v>1122</v>
      </c>
      <c r="R283" s="101" t="s">
        <v>128</v>
      </c>
      <c r="S283" s="110" t="s">
        <v>1594</v>
      </c>
      <c r="T283" s="111" t="s">
        <v>462</v>
      </c>
      <c r="U283" s="111">
        <v>2.5</v>
      </c>
      <c r="V283" s="895">
        <v>0</v>
      </c>
      <c r="W283" s="895"/>
      <c r="X283" s="895"/>
      <c r="Y283" s="895"/>
    </row>
    <row r="284" ht="13.5" customHeight="1" outlineLevel="1" spans="1:25">
      <c r="A284" s="101">
        <f t="shared" ref="A284:A320" si="11">A283+1</f>
        <v>2</v>
      </c>
      <c r="B284" s="102" t="s">
        <v>1595</v>
      </c>
      <c r="C284" s="102" t="s">
        <v>1596</v>
      </c>
      <c r="D284" s="103" t="str">
        <f>IFERROR(VLOOKUP(B284,' 02.1 KLH-CN MÃ BRAVO MM'!$B:$C,2,0),"")</f>
        <v>A24-MKE-012</v>
      </c>
      <c r="E284" s="103"/>
      <c r="F284" s="103" t="s">
        <v>451</v>
      </c>
      <c r="G284" s="102" t="s">
        <v>197</v>
      </c>
      <c r="H284" s="101" t="str">
        <f>VLOOKUP(G284,'01. TH'!$B:$E,3,0)</f>
        <v>3226 x 1570 x 1545</v>
      </c>
      <c r="I284" s="101" t="s">
        <v>1593</v>
      </c>
      <c r="J284" s="105"/>
      <c r="K284" s="101" t="str">
        <f>IF(COUNTIF('TT BTSC'!$D:$D,B284)&gt;0,"Hư hỏng","Bình thường")</f>
        <v>Bình thường</v>
      </c>
      <c r="L284" s="101"/>
      <c r="M284" s="182"/>
      <c r="N284" s="101" t="s">
        <v>1019</v>
      </c>
      <c r="O284" s="110" t="s">
        <v>500</v>
      </c>
      <c r="P284" s="101">
        <v>2018</v>
      </c>
      <c r="Q284" s="101" t="s">
        <v>1122</v>
      </c>
      <c r="R284" s="101" t="s">
        <v>128</v>
      </c>
      <c r="S284" s="110" t="s">
        <v>1597</v>
      </c>
      <c r="T284" s="111" t="s">
        <v>462</v>
      </c>
      <c r="U284" s="111">
        <v>2</v>
      </c>
      <c r="V284" s="895">
        <v>0</v>
      </c>
      <c r="W284" s="895"/>
      <c r="X284" s="895"/>
      <c r="Y284" s="895"/>
    </row>
    <row r="285" ht="14.25" customHeight="1" outlineLevel="1" spans="1:25">
      <c r="A285" s="101">
        <f t="shared" si="11"/>
        <v>3</v>
      </c>
      <c r="B285" s="102" t="s">
        <v>1598</v>
      </c>
      <c r="C285" s="102" t="s">
        <v>1599</v>
      </c>
      <c r="D285" s="103" t="str">
        <f>IFERROR(VLOOKUP(B285,' 02.1 KLH-CN MÃ BRAVO MM'!$B:$C,2,0),"")</f>
        <v>A24-MKE-013</v>
      </c>
      <c r="E285" s="103"/>
      <c r="F285" s="103" t="s">
        <v>451</v>
      </c>
      <c r="G285" s="102" t="s">
        <v>197</v>
      </c>
      <c r="H285" s="101" t="str">
        <f>VLOOKUP(G285,'01. TH'!$B:$E,3,0)</f>
        <v>3226 x 1570 x 1545</v>
      </c>
      <c r="I285" s="101" t="s">
        <v>1593</v>
      </c>
      <c r="J285" s="105"/>
      <c r="K285" s="101" t="str">
        <f>IF(COUNTIF('TT BTSC'!$D:$D,B285)&gt;0,"Hư hỏng","Bình thường")</f>
        <v>Bình thường</v>
      </c>
      <c r="L285" s="101"/>
      <c r="M285" s="182"/>
      <c r="N285" s="101" t="s">
        <v>1019</v>
      </c>
      <c r="O285" s="110" t="s">
        <v>500</v>
      </c>
      <c r="P285" s="101">
        <v>2018</v>
      </c>
      <c r="Q285" s="101" t="s">
        <v>1122</v>
      </c>
      <c r="R285" s="101" t="s">
        <v>128</v>
      </c>
      <c r="S285" s="110" t="s">
        <v>1600</v>
      </c>
      <c r="T285" s="111" t="s">
        <v>462</v>
      </c>
      <c r="U285" s="111">
        <v>2</v>
      </c>
      <c r="V285" s="895">
        <v>0</v>
      </c>
      <c r="W285" s="895"/>
      <c r="X285" s="895"/>
      <c r="Y285" s="895"/>
    </row>
    <row r="286" ht="13.5" customHeight="1" outlineLevel="1" spans="1:25">
      <c r="A286" s="101">
        <f t="shared" si="11"/>
        <v>4</v>
      </c>
      <c r="B286" s="102" t="s">
        <v>1601</v>
      </c>
      <c r="C286" s="102" t="s">
        <v>1602</v>
      </c>
      <c r="D286" s="103" t="str">
        <f>IFERROR(VLOOKUP(B286,' 02.1 KLH-CN MÃ BRAVO MM'!$B:$C,2,0),"")</f>
        <v>A24-MKE-014</v>
      </c>
      <c r="E286" s="103"/>
      <c r="F286" s="103" t="s">
        <v>451</v>
      </c>
      <c r="G286" s="102" t="s">
        <v>200</v>
      </c>
      <c r="H286" s="101" t="str">
        <f>VLOOKUP(G286,'01. TH'!$B:$E,3,0)</f>
        <v>3120 x 1495 x 1510</v>
      </c>
      <c r="I286" s="101" t="s">
        <v>1593</v>
      </c>
      <c r="J286" s="105"/>
      <c r="K286" s="101" t="str">
        <f>IF(COUNTIF('TT BTSC'!$D:$D,B286)&gt;0,"Hư hỏng","Bình thường")</f>
        <v>Bình thường</v>
      </c>
      <c r="L286" s="101"/>
      <c r="M286" s="182"/>
      <c r="N286" s="101" t="s">
        <v>759</v>
      </c>
      <c r="O286" s="110" t="s">
        <v>453</v>
      </c>
      <c r="P286" s="101">
        <v>2019</v>
      </c>
      <c r="Q286" s="101" t="s">
        <v>1137</v>
      </c>
      <c r="R286" s="101" t="s">
        <v>41</v>
      </c>
      <c r="S286" s="110">
        <v>1665</v>
      </c>
      <c r="T286" s="111" t="s">
        <v>462</v>
      </c>
      <c r="U286" s="111">
        <v>2.5</v>
      </c>
      <c r="V286" s="895">
        <v>0</v>
      </c>
      <c r="W286" s="895"/>
      <c r="X286" s="895"/>
      <c r="Y286" s="895"/>
    </row>
    <row r="287" ht="13.5" customHeight="1" outlineLevel="1" spans="1:25">
      <c r="A287" s="101">
        <f t="shared" si="11"/>
        <v>5</v>
      </c>
      <c r="B287" s="156" t="s">
        <v>1603</v>
      </c>
      <c r="C287" s="156" t="s">
        <v>1604</v>
      </c>
      <c r="D287" s="103" t="str">
        <f>IFERROR(VLOOKUP(B287,' 02.1 KLH-CN MÃ BRAVO MM'!$B:$C,2,0),"")</f>
        <v>A24-MKE-015</v>
      </c>
      <c r="E287" s="157"/>
      <c r="F287" s="103" t="s">
        <v>451</v>
      </c>
      <c r="G287" s="156" t="s">
        <v>207</v>
      </c>
      <c r="H287" s="101" t="str">
        <f>VLOOKUP(G287,'01. TH'!$B:$E,3,0)</f>
        <v>3445 x 1865 x 2535</v>
      </c>
      <c r="I287" s="146" t="s">
        <v>1593</v>
      </c>
      <c r="J287" s="146" t="s">
        <v>1605</v>
      </c>
      <c r="K287" s="101" t="str">
        <f>IF(COUNTIF('TT BTSC'!$D:$D,B287)&gt;0,"Hư hỏng","Bình thường")</f>
        <v>Bình thường</v>
      </c>
      <c r="L287" s="101"/>
      <c r="M287" s="206" t="s">
        <v>1606</v>
      </c>
      <c r="N287" s="146" t="s">
        <v>759</v>
      </c>
      <c r="O287" s="159" t="s">
        <v>453</v>
      </c>
      <c r="P287" s="146">
        <v>2013</v>
      </c>
      <c r="Q287" s="146" t="s">
        <v>1064</v>
      </c>
      <c r="R287" s="146" t="s">
        <v>208</v>
      </c>
      <c r="S287" s="159" t="s">
        <v>1607</v>
      </c>
      <c r="T287" s="160" t="s">
        <v>462</v>
      </c>
      <c r="U287" s="111">
        <v>3.5</v>
      </c>
      <c r="V287" s="895">
        <v>90</v>
      </c>
      <c r="W287" s="895"/>
      <c r="X287" s="895"/>
      <c r="Y287" s="895"/>
    </row>
    <row r="288" ht="13.5" customHeight="1" outlineLevel="1" spans="1:25">
      <c r="A288" s="101">
        <f t="shared" si="11"/>
        <v>6</v>
      </c>
      <c r="B288" s="102" t="s">
        <v>1608</v>
      </c>
      <c r="C288" s="102" t="s">
        <v>1609</v>
      </c>
      <c r="D288" s="103" t="str">
        <f>IFERROR(VLOOKUP(B288,' 02.1 KLH-CN MÃ BRAVO MM'!$B:$C,2,0),"")</f>
        <v>A24-MKE-016</v>
      </c>
      <c r="E288" s="103"/>
      <c r="F288" s="103" t="s">
        <v>451</v>
      </c>
      <c r="G288" s="102" t="s">
        <v>197</v>
      </c>
      <c r="H288" s="101" t="str">
        <f>VLOOKUP(G288,'01. TH'!$B:$E,3,0)</f>
        <v>3226 x 1570 x 1545</v>
      </c>
      <c r="I288" s="101" t="s">
        <v>1593</v>
      </c>
      <c r="J288" s="105">
        <v>45600</v>
      </c>
      <c r="K288" s="101" t="str">
        <f>IF(COUNTIF('TT BTSC'!$D:$D,B288)&gt;0,"Hư hỏng","Bình thường")</f>
        <v>Bình thường</v>
      </c>
      <c r="L288" s="835"/>
      <c r="M288" s="182" t="s">
        <v>1610</v>
      </c>
      <c r="N288" s="101" t="s">
        <v>1019</v>
      </c>
      <c r="O288" s="110" t="s">
        <v>500</v>
      </c>
      <c r="P288" s="101">
        <v>2018</v>
      </c>
      <c r="Q288" s="101" t="s">
        <v>1122</v>
      </c>
      <c r="R288" s="101" t="s">
        <v>128</v>
      </c>
      <c r="S288" s="110">
        <v>180046</v>
      </c>
      <c r="T288" s="111" t="s">
        <v>462</v>
      </c>
      <c r="U288" s="111">
        <v>2.5</v>
      </c>
      <c r="V288" s="895">
        <v>0</v>
      </c>
      <c r="W288" s="895"/>
      <c r="X288" s="895"/>
      <c r="Y288" s="895"/>
    </row>
    <row r="289" ht="45.75" customHeight="1" outlineLevel="1" spans="1:25">
      <c r="A289" s="101">
        <f t="shared" si="11"/>
        <v>7</v>
      </c>
      <c r="B289" s="104" t="s">
        <v>1611</v>
      </c>
      <c r="C289" s="104" t="s">
        <v>1612</v>
      </c>
      <c r="D289" s="103" t="s">
        <v>1613</v>
      </c>
      <c r="E289" s="157"/>
      <c r="F289" s="103" t="s">
        <v>504</v>
      </c>
      <c r="G289" s="104" t="s">
        <v>1614</v>
      </c>
      <c r="H289" s="101"/>
      <c r="I289" s="101" t="s">
        <v>1593</v>
      </c>
      <c r="J289" s="103" t="s">
        <v>1615</v>
      </c>
      <c r="K289" s="101" t="str">
        <f>IF(COUNTIF('TT BTSC'!$D:$D,B289)&gt;0,"Hư hỏng","Bình thường")</f>
        <v>Bình thường</v>
      </c>
      <c r="L289" s="113"/>
      <c r="M289" s="1095" t="s">
        <v>1616</v>
      </c>
      <c r="N289" s="101" t="s">
        <v>1015</v>
      </c>
      <c r="O289" s="111" t="s">
        <v>1617</v>
      </c>
      <c r="P289" s="101">
        <v>2024</v>
      </c>
      <c r="Q289" s="101" t="s">
        <v>1618</v>
      </c>
      <c r="R289" s="101" t="s">
        <v>1619</v>
      </c>
      <c r="S289" s="110" t="s">
        <v>1620</v>
      </c>
      <c r="T289" s="111" t="s">
        <v>1621</v>
      </c>
      <c r="U289" s="111">
        <v>3.3</v>
      </c>
      <c r="V289" s="895">
        <v>50</v>
      </c>
      <c r="W289" s="895"/>
      <c r="X289" s="895"/>
      <c r="Y289" s="895"/>
    </row>
    <row r="290" ht="33.75" customHeight="1" outlineLevel="1" spans="1:25">
      <c r="A290" s="101">
        <f t="shared" si="11"/>
        <v>8</v>
      </c>
      <c r="B290" s="104" t="s">
        <v>1622</v>
      </c>
      <c r="C290" s="102" t="s">
        <v>1623</v>
      </c>
      <c r="D290" s="103" t="s">
        <v>1624</v>
      </c>
      <c r="E290" s="103"/>
      <c r="F290" s="103" t="s">
        <v>451</v>
      </c>
      <c r="G290" s="102" t="s">
        <v>207</v>
      </c>
      <c r="H290" s="101" t="str">
        <f>VLOOKUP(G290,'01. TH'!$B:$E,3,0)</f>
        <v>3445 x 1865 x 2535</v>
      </c>
      <c r="I290" s="101" t="s">
        <v>1593</v>
      </c>
      <c r="J290" s="105"/>
      <c r="K290" s="101" t="str">
        <f>IF(COUNTIF('TT BTSC'!$D:$D,C290)&gt;0,"Hư hỏng","Bình thường")</f>
        <v>Bình thường</v>
      </c>
      <c r="L290" s="101"/>
      <c r="M290" s="182" t="s">
        <v>1625</v>
      </c>
      <c r="N290" s="101" t="s">
        <v>759</v>
      </c>
      <c r="O290" s="110" t="s">
        <v>453</v>
      </c>
      <c r="P290" s="101">
        <v>2013</v>
      </c>
      <c r="Q290" s="101" t="s">
        <v>1064</v>
      </c>
      <c r="R290" s="101" t="s">
        <v>208</v>
      </c>
      <c r="S290" s="110">
        <v>57121</v>
      </c>
      <c r="T290" s="111">
        <v>7542</v>
      </c>
      <c r="U290" s="111">
        <v>6.6</v>
      </c>
      <c r="V290" s="895">
        <v>90</v>
      </c>
      <c r="W290" s="895"/>
      <c r="X290" s="895"/>
      <c r="Y290" s="895"/>
    </row>
    <row r="291" ht="35.25" customHeight="1" outlineLevel="1" spans="1:25">
      <c r="A291" s="101">
        <f t="shared" si="11"/>
        <v>9</v>
      </c>
      <c r="B291" s="104" t="s">
        <v>1626</v>
      </c>
      <c r="C291" s="124" t="s">
        <v>1627</v>
      </c>
      <c r="D291" s="103" t="str">
        <f>IFERROR(VLOOKUP(B291,' 02.1 KLH-CN MÃ BRAVO MM'!$B:$C,2,0),"")</f>
        <v>ATT-A22-0233</v>
      </c>
      <c r="E291" s="157"/>
      <c r="F291" s="103" t="s">
        <v>451</v>
      </c>
      <c r="G291" s="124" t="s">
        <v>49</v>
      </c>
      <c r="H291" s="101" t="str">
        <f>VLOOKUP(G291,'01. TH'!$B:$E,3,0)</f>
        <v>5260 x 1760 x 2415</v>
      </c>
      <c r="I291" s="101" t="s">
        <v>1593</v>
      </c>
      <c r="J291" s="157" t="s">
        <v>1605</v>
      </c>
      <c r="K291" s="101" t="str">
        <f>IF(COUNTIF('TT BTSC'!$D:$D,B291)&gt;0,"Hư hỏng","Bình thường")</f>
        <v>Bình thường</v>
      </c>
      <c r="L291" s="171">
        <v>0.69</v>
      </c>
      <c r="M291" s="183" t="s">
        <v>1628</v>
      </c>
      <c r="N291" s="157" t="s">
        <v>480</v>
      </c>
      <c r="O291" s="160" t="s">
        <v>453</v>
      </c>
      <c r="P291" s="157">
        <v>2006</v>
      </c>
      <c r="Q291" s="157" t="s">
        <v>1629</v>
      </c>
      <c r="R291" s="157" t="s">
        <v>767</v>
      </c>
      <c r="S291" s="160" t="s">
        <v>1630</v>
      </c>
      <c r="T291" s="160">
        <v>11014</v>
      </c>
      <c r="U291" s="160">
        <v>4</v>
      </c>
      <c r="V291" s="895">
        <v>65</v>
      </c>
      <c r="W291" s="895"/>
      <c r="X291" s="895"/>
      <c r="Y291" s="895"/>
    </row>
    <row r="292" ht="24.75" customHeight="1" outlineLevel="1" spans="1:25">
      <c r="A292" s="101">
        <f t="shared" si="11"/>
        <v>10</v>
      </c>
      <c r="B292" s="102" t="s">
        <v>1631</v>
      </c>
      <c r="C292" s="124" t="s">
        <v>492</v>
      </c>
      <c r="D292" s="103" t="str">
        <f>IFERROR(VLOOKUP(B292,' 02.1 KLH-CN MÃ BRAVO MM'!$B:$C,2,0),"")</f>
        <v>A24-MĐA-049</v>
      </c>
      <c r="E292" s="103"/>
      <c r="F292" s="103" t="s">
        <v>451</v>
      </c>
      <c r="G292" s="102" t="s">
        <v>49</v>
      </c>
      <c r="H292" s="101" t="str">
        <f>VLOOKUP(G292,'01. TH'!$B:$E,3,0)</f>
        <v>5260 x 1760 x 2415</v>
      </c>
      <c r="I292" s="101" t="s">
        <v>1593</v>
      </c>
      <c r="J292" s="101" t="s">
        <v>1632</v>
      </c>
      <c r="K292" s="101" t="s">
        <v>1263</v>
      </c>
      <c r="L292" s="107"/>
      <c r="M292" s="182" t="s">
        <v>1633</v>
      </c>
      <c r="N292" s="101" t="s">
        <v>480</v>
      </c>
      <c r="O292" s="111" t="s">
        <v>453</v>
      </c>
      <c r="P292" s="101">
        <v>2005</v>
      </c>
      <c r="Q292" s="101" t="s">
        <v>569</v>
      </c>
      <c r="R292" s="101" t="s">
        <v>1634</v>
      </c>
      <c r="S292" s="110" t="s">
        <v>1635</v>
      </c>
      <c r="T292" s="111">
        <v>27150</v>
      </c>
      <c r="U292" s="160">
        <v>4</v>
      </c>
      <c r="V292" s="895">
        <v>65</v>
      </c>
      <c r="W292" s="895"/>
      <c r="X292" s="895"/>
      <c r="Y292" s="895"/>
    </row>
    <row r="293" ht="24.75" customHeight="1" outlineLevel="1" spans="1:25">
      <c r="A293" s="101">
        <f t="shared" si="11"/>
        <v>11</v>
      </c>
      <c r="B293" s="102" t="s">
        <v>1636</v>
      </c>
      <c r="C293" s="124" t="s">
        <v>492</v>
      </c>
      <c r="D293" s="103" t="str">
        <f>IFERROR(VLOOKUP(B293,' 02.1 KLH-CN MÃ BRAVO MM'!$B:$C,2,0),"")</f>
        <v>A24-MĐA-014</v>
      </c>
      <c r="E293" s="103"/>
      <c r="F293" s="103" t="s">
        <v>451</v>
      </c>
      <c r="G293" s="102" t="s">
        <v>49</v>
      </c>
      <c r="H293" s="101" t="str">
        <f>VLOOKUP(G293,'01. TH'!$B:$E,3,0)</f>
        <v>5260 x 1760 x 2415</v>
      </c>
      <c r="I293" s="101" t="s">
        <v>1593</v>
      </c>
      <c r="J293" s="101" t="s">
        <v>553</v>
      </c>
      <c r="K293" s="101" t="str">
        <f>IF(COUNTIF('TT BTSC'!$D:$D,B293)&gt;0,"Hư hỏng","Bình thường")</f>
        <v>Bình thường</v>
      </c>
      <c r="L293" s="107"/>
      <c r="M293" s="182" t="s">
        <v>1637</v>
      </c>
      <c r="N293" s="101" t="s">
        <v>480</v>
      </c>
      <c r="O293" s="111" t="s">
        <v>555</v>
      </c>
      <c r="P293" s="101">
        <v>2015</v>
      </c>
      <c r="Q293" s="101" t="s">
        <v>556</v>
      </c>
      <c r="R293" s="101" t="s">
        <v>557</v>
      </c>
      <c r="S293" s="110" t="s">
        <v>1638</v>
      </c>
      <c r="T293" s="111">
        <v>20536</v>
      </c>
      <c r="U293" s="160">
        <v>4</v>
      </c>
      <c r="V293" s="895">
        <v>60</v>
      </c>
      <c r="W293" s="895"/>
      <c r="X293" s="895"/>
      <c r="Y293" s="895"/>
    </row>
    <row r="294" ht="13.5" customHeight="1" outlineLevel="1" spans="1:25">
      <c r="A294" s="101">
        <f t="shared" si="11"/>
        <v>12</v>
      </c>
      <c r="B294" s="104" t="s">
        <v>1639</v>
      </c>
      <c r="C294" s="104" t="s">
        <v>1640</v>
      </c>
      <c r="D294" s="103" t="str">
        <f>IFERROR(VLOOKUP(B294,' 02.1 KLH-CN MÃ BRAVO MM'!$B:$C,2,0),"")</f>
        <v>ATT-A22-0236</v>
      </c>
      <c r="E294" s="103"/>
      <c r="F294" s="103" t="s">
        <v>451</v>
      </c>
      <c r="G294" s="104" t="s">
        <v>49</v>
      </c>
      <c r="H294" s="101" t="str">
        <f>VLOOKUP(G294,'01. TH'!$B:$E,3,0)</f>
        <v>5260 x 1760 x 2415</v>
      </c>
      <c r="I294" s="103" t="s">
        <v>1593</v>
      </c>
      <c r="J294" s="112"/>
      <c r="K294" s="101" t="str">
        <f>IF(COUNTIF('TT BTSC'!$D:$D,B294)&gt;0,"Hư hỏng","Bình thường")</f>
        <v>Bình thường</v>
      </c>
      <c r="L294" s="113">
        <v>0.69</v>
      </c>
      <c r="M294" s="183" t="s">
        <v>821</v>
      </c>
      <c r="N294" s="103" t="s">
        <v>480</v>
      </c>
      <c r="O294" s="111" t="s">
        <v>453</v>
      </c>
      <c r="P294" s="103">
        <v>2010</v>
      </c>
      <c r="Q294" s="103" t="s">
        <v>569</v>
      </c>
      <c r="R294" s="103" t="s">
        <v>767</v>
      </c>
      <c r="S294" s="111" t="s">
        <v>1641</v>
      </c>
      <c r="T294" s="111">
        <v>21629</v>
      </c>
      <c r="U294" s="160">
        <v>4</v>
      </c>
      <c r="V294" s="895">
        <v>65</v>
      </c>
      <c r="W294" s="895"/>
      <c r="X294" s="895"/>
      <c r="Y294" s="895"/>
    </row>
    <row r="295" ht="13.5" customHeight="1" outlineLevel="1" spans="1:25">
      <c r="A295" s="101">
        <f t="shared" si="11"/>
        <v>13</v>
      </c>
      <c r="B295" s="124" t="s">
        <v>1642</v>
      </c>
      <c r="C295" s="104" t="s">
        <v>1643</v>
      </c>
      <c r="D295" s="103" t="str">
        <f>IFERROR(VLOOKUP(B295,' 02.1 KLH-CN MÃ BRAVO MM'!$B:$C,2,0),"")</f>
        <v>ATM-A24-0099</v>
      </c>
      <c r="E295" s="103"/>
      <c r="F295" s="103" t="s">
        <v>451</v>
      </c>
      <c r="G295" s="102" t="s">
        <v>40</v>
      </c>
      <c r="H295" s="101" t="str">
        <f>VLOOKUP(G295,'01. TH'!$B:$E,3,0)</f>
        <v>5340 x 1980 x 1895</v>
      </c>
      <c r="I295" s="103" t="s">
        <v>1593</v>
      </c>
      <c r="J295" s="112">
        <v>45139</v>
      </c>
      <c r="K295" s="101" t="str">
        <f>IF(COUNTIF('TT BTSC'!$D:$D,B295)&gt;0,"Hư hỏng","Bình thường")</f>
        <v>Bình thường</v>
      </c>
      <c r="L295" s="113">
        <v>0.8</v>
      </c>
      <c r="M295" s="183" t="s">
        <v>821</v>
      </c>
      <c r="N295" s="103" t="s">
        <v>1644</v>
      </c>
      <c r="O295" s="111" t="s">
        <v>453</v>
      </c>
      <c r="P295" s="103">
        <v>2006</v>
      </c>
      <c r="Q295" s="103">
        <v>305</v>
      </c>
      <c r="R295" s="103" t="s">
        <v>557</v>
      </c>
      <c r="S295" s="111">
        <v>2208498</v>
      </c>
      <c r="T295" s="111" t="s">
        <v>462</v>
      </c>
      <c r="U295" s="160">
        <v>4</v>
      </c>
      <c r="V295" s="895">
        <v>63</v>
      </c>
      <c r="W295" s="895"/>
      <c r="X295" s="895"/>
      <c r="Y295" s="895"/>
    </row>
    <row r="296" ht="13.5" customHeight="1" outlineLevel="1" spans="1:25">
      <c r="A296" s="101">
        <f t="shared" si="11"/>
        <v>14</v>
      </c>
      <c r="B296" s="102" t="s">
        <v>1645</v>
      </c>
      <c r="C296" s="102"/>
      <c r="D296" s="103" t="str">
        <f>IFERROR(VLOOKUP(B296,' 02.1 KLH-CN MÃ BRAVO MM'!$B:$C,2,0),"")</f>
        <v>ATT-A22-0320</v>
      </c>
      <c r="E296" s="101" t="s">
        <v>1646</v>
      </c>
      <c r="F296" s="103" t="s">
        <v>504</v>
      </c>
      <c r="G296" s="102" t="s">
        <v>251</v>
      </c>
      <c r="H296" s="101" t="str">
        <f>VLOOKUP(G296,'01. TH'!$B:$E,3,0)</f>
        <v>4730 x 1750 x 2100</v>
      </c>
      <c r="I296" s="101" t="s">
        <v>1593</v>
      </c>
      <c r="J296" s="105">
        <v>45566</v>
      </c>
      <c r="K296" s="101" t="str">
        <f>IF(COUNTIF('TT BTSC'!$D:$D,B296)&gt;0,"Hư hỏng","Bình thường")</f>
        <v>Bình thường</v>
      </c>
      <c r="L296" s="107">
        <v>0.98</v>
      </c>
      <c r="M296" s="182" t="s">
        <v>1647</v>
      </c>
      <c r="N296" s="101" t="s">
        <v>1152</v>
      </c>
      <c r="O296" s="110" t="s">
        <v>500</v>
      </c>
      <c r="P296" s="101">
        <v>2021</v>
      </c>
      <c r="Q296" s="101" t="s">
        <v>1153</v>
      </c>
      <c r="R296" s="101" t="s">
        <v>44</v>
      </c>
      <c r="S296" s="110" t="s">
        <v>1648</v>
      </c>
      <c r="T296" s="111" t="s">
        <v>1649</v>
      </c>
      <c r="U296" s="111"/>
      <c r="V296" s="895">
        <v>60</v>
      </c>
      <c r="W296" s="895"/>
      <c r="X296" s="895"/>
      <c r="Y296" s="895"/>
    </row>
    <row r="297" ht="13.5" customHeight="1" outlineLevel="1" spans="1:25">
      <c r="A297" s="101">
        <f t="shared" si="11"/>
        <v>15</v>
      </c>
      <c r="B297" s="102" t="s">
        <v>1650</v>
      </c>
      <c r="C297" s="102"/>
      <c r="D297" s="103" t="s">
        <v>1651</v>
      </c>
      <c r="E297" s="101" t="s">
        <v>1652</v>
      </c>
      <c r="F297" s="103" t="s">
        <v>504</v>
      </c>
      <c r="G297" s="102" t="s">
        <v>252</v>
      </c>
      <c r="H297" s="101" t="str">
        <f>VLOOKUP(G297,'01. TH'!$B:$E,3,0)</f>
        <v>4730 x 1750 x 2100</v>
      </c>
      <c r="I297" s="101" t="s">
        <v>1593</v>
      </c>
      <c r="J297" s="101" t="s">
        <v>1653</v>
      </c>
      <c r="K297" s="101" t="str">
        <f>IF(COUNTIF('TT BTSC'!$D:$D,B297)&gt;0,"Hư hỏng","Bình thường")</f>
        <v>Bình thường</v>
      </c>
      <c r="L297" s="101"/>
      <c r="M297" s="182"/>
      <c r="N297" s="101" t="s">
        <v>1152</v>
      </c>
      <c r="O297" s="110" t="s">
        <v>500</v>
      </c>
      <c r="P297" s="101">
        <v>2021</v>
      </c>
      <c r="Q297" s="101" t="s">
        <v>1474</v>
      </c>
      <c r="R297" s="101" t="s">
        <v>655</v>
      </c>
      <c r="S297" s="110" t="s">
        <v>1654</v>
      </c>
      <c r="T297" s="111" t="s">
        <v>1655</v>
      </c>
      <c r="U297" s="111"/>
      <c r="V297" s="895">
        <v>60</v>
      </c>
      <c r="W297" s="895"/>
      <c r="X297" s="895"/>
      <c r="Y297" s="895"/>
    </row>
    <row r="298" ht="13.5" customHeight="1" outlineLevel="1" spans="1:25">
      <c r="A298" s="101">
        <f t="shared" si="11"/>
        <v>16</v>
      </c>
      <c r="B298" s="104" t="s">
        <v>1656</v>
      </c>
      <c r="C298" s="104" t="s">
        <v>1657</v>
      </c>
      <c r="D298" s="103" t="str">
        <f>IFERROR(VLOOKUP(B298,' 02.1 KLH-CN MÃ BRAVO MM'!$B:$C,2,0),"")</f>
        <v>ATT-A24-0015</v>
      </c>
      <c r="E298" s="103"/>
      <c r="F298" s="103" t="s">
        <v>451</v>
      </c>
      <c r="G298" s="104" t="s">
        <v>127</v>
      </c>
      <c r="H298" s="101" t="str">
        <f>VLOOKUP(G298,'01. TH'!$B:$E,3,0)</f>
        <v/>
      </c>
      <c r="I298" s="103" t="s">
        <v>1593</v>
      </c>
      <c r="J298" s="112">
        <v>40914</v>
      </c>
      <c r="K298" s="101" t="str">
        <f>IF(COUNTIF('TT BTSC'!$D:$D,B298)&gt;0,"Hư hỏng","Bình thường")</f>
        <v>Bình thường</v>
      </c>
      <c r="L298" s="103"/>
      <c r="M298" s="183"/>
      <c r="N298" s="103" t="s">
        <v>1164</v>
      </c>
      <c r="O298" s="111" t="s">
        <v>1165</v>
      </c>
      <c r="P298" s="103"/>
      <c r="Q298" s="103"/>
      <c r="R298" s="103" t="s">
        <v>208</v>
      </c>
      <c r="S298" s="111" t="s">
        <v>1658</v>
      </c>
      <c r="T298" s="111">
        <v>115002</v>
      </c>
      <c r="U298" s="111">
        <v>2</v>
      </c>
      <c r="V298" s="192"/>
      <c r="W298" s="192"/>
      <c r="X298" s="192"/>
      <c r="Y298" s="192"/>
    </row>
    <row r="299" ht="13.5" customHeight="1" outlineLevel="1" spans="1:25">
      <c r="A299" s="101">
        <f t="shared" si="11"/>
        <v>17</v>
      </c>
      <c r="B299" s="102" t="s">
        <v>1659</v>
      </c>
      <c r="C299" s="102" t="s">
        <v>504</v>
      </c>
      <c r="D299" s="103" t="str">
        <f>IFERROR(VLOOKUP(B299,' 02.1 KLH-CN MÃ BRAVO MM'!$B:$C,2,0),"")</f>
        <v>A24-XTA-004</v>
      </c>
      <c r="E299" s="103"/>
      <c r="F299" s="103" t="s">
        <v>504</v>
      </c>
      <c r="G299" s="102" t="s">
        <v>111</v>
      </c>
      <c r="H299" s="101" t="str">
        <f>VLOOKUP(G299,'01. TH'!$B:$E,3,0)</f>
        <v>5250 x 2170 x 2520</v>
      </c>
      <c r="I299" s="101" t="s">
        <v>1593</v>
      </c>
      <c r="J299" s="105">
        <v>45569</v>
      </c>
      <c r="K299" s="101" t="str">
        <f>IF(COUNTIF('TT BTSC'!$D:$D,B299)&gt;0,"Hư hỏng","Bình thường")</f>
        <v>Bình thường</v>
      </c>
      <c r="L299" s="101"/>
      <c r="M299" s="182"/>
      <c r="N299" s="101" t="s">
        <v>621</v>
      </c>
      <c r="O299" s="110" t="s">
        <v>500</v>
      </c>
      <c r="P299" s="101">
        <v>2023</v>
      </c>
      <c r="Q299" s="101" t="s">
        <v>1173</v>
      </c>
      <c r="R299" s="101" t="s">
        <v>124</v>
      </c>
      <c r="S299" s="110" t="s">
        <v>1660</v>
      </c>
      <c r="T299" s="111" t="s">
        <v>1661</v>
      </c>
      <c r="U299" s="111">
        <v>3</v>
      </c>
      <c r="V299" s="895">
        <v>75</v>
      </c>
      <c r="W299" s="895"/>
      <c r="X299" s="895"/>
      <c r="Y299" s="895"/>
    </row>
    <row r="300" ht="13.5" customHeight="1" outlineLevel="1" spans="1:25">
      <c r="A300" s="101">
        <f t="shared" si="11"/>
        <v>18</v>
      </c>
      <c r="B300" s="102" t="s">
        <v>1662</v>
      </c>
      <c r="C300" s="102" t="s">
        <v>504</v>
      </c>
      <c r="D300" s="103" t="str">
        <f>IFERROR(VLOOKUP(B300,' 02.1 KLH-CN MÃ BRAVO MM'!$B:$C,2,0),"")</f>
        <v>A24-XTA-005</v>
      </c>
      <c r="E300" s="103"/>
      <c r="F300" s="103" t="s">
        <v>504</v>
      </c>
      <c r="G300" s="102" t="s">
        <v>111</v>
      </c>
      <c r="H300" s="101" t="str">
        <f>VLOOKUP(G300,'01. TH'!$B:$E,3,0)</f>
        <v>5250 x 2170 x 2520</v>
      </c>
      <c r="I300" s="101" t="s">
        <v>1593</v>
      </c>
      <c r="J300" s="105">
        <v>45569</v>
      </c>
      <c r="K300" s="101" t="str">
        <f>IF(COUNTIF('TT BTSC'!$D:$D,B300)&gt;0,"Hư hỏng","Bình thường")</f>
        <v>Bình thường</v>
      </c>
      <c r="L300" s="101"/>
      <c r="M300" s="182"/>
      <c r="N300" s="101" t="s">
        <v>621</v>
      </c>
      <c r="O300" s="110" t="s">
        <v>500</v>
      </c>
      <c r="P300" s="101">
        <v>2023</v>
      </c>
      <c r="Q300" s="101" t="s">
        <v>1173</v>
      </c>
      <c r="R300" s="101" t="s">
        <v>124</v>
      </c>
      <c r="S300" s="110" t="s">
        <v>1663</v>
      </c>
      <c r="T300" s="111" t="s">
        <v>1664</v>
      </c>
      <c r="U300" s="111">
        <v>0.33</v>
      </c>
      <c r="V300" s="895">
        <v>75</v>
      </c>
      <c r="W300" s="895"/>
      <c r="X300" s="895"/>
      <c r="Y300" s="895"/>
    </row>
    <row r="301" ht="29.25" customHeight="1" outlineLevel="1" spans="1:25">
      <c r="A301" s="101">
        <f t="shared" si="11"/>
        <v>19</v>
      </c>
      <c r="B301" s="102" t="s">
        <v>1665</v>
      </c>
      <c r="C301" s="102" t="s">
        <v>504</v>
      </c>
      <c r="D301" s="103" t="str">
        <f>IFERROR(VLOOKUP(B301,' 02.1 KLH-CN MÃ BRAVO MM'!$B:$C,2,0),"")</f>
        <v>A24-XTA-008</v>
      </c>
      <c r="E301" s="103"/>
      <c r="F301" s="103" t="s">
        <v>504</v>
      </c>
      <c r="G301" s="102" t="s">
        <v>111</v>
      </c>
      <c r="H301" s="101" t="str">
        <f>VLOOKUP(G301,'01. TH'!$B:$E,3,0)</f>
        <v>5250 x 2170 x 2520</v>
      </c>
      <c r="I301" s="101" t="s">
        <v>1593</v>
      </c>
      <c r="J301" s="105">
        <v>45569</v>
      </c>
      <c r="K301" s="101" t="str">
        <f>IF(COUNTIF('TT BTSC'!$D:$D,B301)&gt;0,"Hư hỏng","Bình thường")</f>
        <v>Bình thường</v>
      </c>
      <c r="L301" s="101"/>
      <c r="M301" s="182" t="s">
        <v>1666</v>
      </c>
      <c r="N301" s="101" t="s">
        <v>621</v>
      </c>
      <c r="O301" s="110" t="s">
        <v>500</v>
      </c>
      <c r="P301" s="101">
        <v>2023</v>
      </c>
      <c r="Q301" s="101" t="s">
        <v>1173</v>
      </c>
      <c r="R301" s="101" t="s">
        <v>124</v>
      </c>
      <c r="S301" s="110" t="s">
        <v>1667</v>
      </c>
      <c r="T301" s="111" t="s">
        <v>1668</v>
      </c>
      <c r="U301" s="111">
        <v>0.33</v>
      </c>
      <c r="V301" s="895">
        <v>75</v>
      </c>
      <c r="W301" s="895"/>
      <c r="X301" s="895"/>
      <c r="Y301" s="895"/>
    </row>
    <row r="302" ht="36.75" customHeight="1" outlineLevel="1" spans="1:25">
      <c r="A302" s="101">
        <f t="shared" si="11"/>
        <v>20</v>
      </c>
      <c r="B302" s="102" t="s">
        <v>1669</v>
      </c>
      <c r="C302" s="102" t="s">
        <v>1670</v>
      </c>
      <c r="D302" s="103" t="str">
        <f>IFERROR(VLOOKUP(C302,' 02.1 KLH-CN MÃ BRAVO MM'!$B:$C,2,0),"")</f>
        <v>A24-XTA-018</v>
      </c>
      <c r="E302" s="103" t="s">
        <v>1671</v>
      </c>
      <c r="F302" s="103" t="s">
        <v>504</v>
      </c>
      <c r="G302" s="102" t="s">
        <v>111</v>
      </c>
      <c r="H302" s="101" t="str">
        <f>VLOOKUP(G302,'01. TH'!$B:$E,3,0)</f>
        <v>5250 x 2170 x 2520</v>
      </c>
      <c r="I302" s="101" t="s">
        <v>1593</v>
      </c>
      <c r="J302" s="101" t="s">
        <v>1213</v>
      </c>
      <c r="K302" s="101" t="str">
        <f>IF(COUNTIF('TT BTSC'!$D:$D,B302)&gt;0,"Hư hỏng","Bình thường")</f>
        <v>Bình thường</v>
      </c>
      <c r="L302" s="101"/>
      <c r="M302" s="182" t="s">
        <v>1672</v>
      </c>
      <c r="N302" s="101" t="s">
        <v>621</v>
      </c>
      <c r="O302" s="110" t="s">
        <v>500</v>
      </c>
      <c r="P302" s="101">
        <v>2024</v>
      </c>
      <c r="Q302" s="101" t="s">
        <v>1173</v>
      </c>
      <c r="R302" s="101" t="s">
        <v>112</v>
      </c>
      <c r="S302" s="110" t="s">
        <v>1673</v>
      </c>
      <c r="T302" s="111" t="s">
        <v>1674</v>
      </c>
      <c r="U302" s="111">
        <v>0.33</v>
      </c>
      <c r="V302" s="895">
        <v>75</v>
      </c>
      <c r="W302" s="895"/>
      <c r="X302" s="895"/>
      <c r="Y302" s="895"/>
    </row>
    <row r="303" ht="24.75" customHeight="1" outlineLevel="1" spans="1:25">
      <c r="A303" s="101">
        <f t="shared" si="11"/>
        <v>21</v>
      </c>
      <c r="B303" s="156" t="s">
        <v>1675</v>
      </c>
      <c r="C303" s="156"/>
      <c r="D303" s="103" t="s">
        <v>1676</v>
      </c>
      <c r="E303" s="157"/>
      <c r="F303" s="103" t="s">
        <v>504</v>
      </c>
      <c r="G303" s="104" t="s">
        <v>117</v>
      </c>
      <c r="H303" s="101" t="str">
        <f>VLOOKUP(G303,'01. TH'!$B:$E,3,0)</f>
        <v>6380 x 2040 x 2300</v>
      </c>
      <c r="I303" s="101" t="s">
        <v>1593</v>
      </c>
      <c r="J303" s="148">
        <v>46296</v>
      </c>
      <c r="K303" s="101" t="str">
        <f>IF(COUNTIF('TT BTSC'!$D:$D,B303)&gt;0,"Hư hỏng","Bình thường")</f>
        <v>Bình thường</v>
      </c>
      <c r="L303" s="146"/>
      <c r="M303" s="182" t="s">
        <v>1146</v>
      </c>
      <c r="N303" s="146" t="s">
        <v>954</v>
      </c>
      <c r="O303" s="159" t="s">
        <v>955</v>
      </c>
      <c r="P303" s="146">
        <v>2024</v>
      </c>
      <c r="Q303" s="146" t="s">
        <v>956</v>
      </c>
      <c r="R303" s="146" t="s">
        <v>118</v>
      </c>
      <c r="S303" s="159" t="s">
        <v>1677</v>
      </c>
      <c r="T303" s="160" t="s">
        <v>1678</v>
      </c>
      <c r="U303" s="160">
        <v>0.2</v>
      </c>
      <c r="V303" s="192">
        <v>100</v>
      </c>
      <c r="W303" s="192"/>
      <c r="X303" s="192"/>
      <c r="Y303" s="192"/>
    </row>
    <row r="304" ht="13.5" customHeight="1" outlineLevel="1" spans="1:25">
      <c r="A304" s="101">
        <f t="shared" si="11"/>
        <v>22</v>
      </c>
      <c r="B304" s="156" t="s">
        <v>1679</v>
      </c>
      <c r="C304" s="156" t="s">
        <v>1680</v>
      </c>
      <c r="D304" s="103" t="str">
        <f>IFERROR(VLOOKUP(B304,' 02.1 KLH-CN MÃ BRAVO MM'!$B:$C,2,0),"")</f>
        <v>A24-XPT-001</v>
      </c>
      <c r="E304" s="157"/>
      <c r="F304" s="157" t="s">
        <v>451</v>
      </c>
      <c r="G304" s="156" t="s">
        <v>1158</v>
      </c>
      <c r="H304" s="101" t="str">
        <f>VLOOKUP(G304,'01. TH'!$B:$E,3,0)</f>
        <v/>
      </c>
      <c r="I304" s="146" t="s">
        <v>1593</v>
      </c>
      <c r="J304" s="146" t="s">
        <v>1605</v>
      </c>
      <c r="K304" s="101" t="str">
        <f>IF(COUNTIF('TT BTSC'!$D:$D,B304)&gt;0,"Hư hỏng","Bình thường")</f>
        <v>Bình thường</v>
      </c>
      <c r="L304" s="146"/>
      <c r="M304" s="206" t="s">
        <v>1606</v>
      </c>
      <c r="N304" s="146" t="s">
        <v>1160</v>
      </c>
      <c r="O304" s="159"/>
      <c r="P304" s="146">
        <v>2010</v>
      </c>
      <c r="Q304" s="146"/>
      <c r="R304" s="146" t="s">
        <v>1681</v>
      </c>
      <c r="S304" s="159" t="s">
        <v>1682</v>
      </c>
      <c r="T304" s="160" t="s">
        <v>462</v>
      </c>
      <c r="U304" s="111">
        <v>3.75</v>
      </c>
      <c r="V304" s="192"/>
      <c r="W304" s="192"/>
      <c r="X304" s="192"/>
      <c r="Y304" s="192"/>
    </row>
    <row r="305" ht="13.5" customHeight="1" outlineLevel="1" spans="1:25">
      <c r="A305" s="101">
        <f t="shared" si="11"/>
        <v>23</v>
      </c>
      <c r="B305" s="156" t="s">
        <v>1683</v>
      </c>
      <c r="C305" s="102" t="s">
        <v>1684</v>
      </c>
      <c r="D305" s="103" t="str">
        <f>IFERROR(VLOOKUP(B305,' 02.1 KLH-CN MÃ BRAVO MM'!$B:$C,2,0),"")</f>
        <v/>
      </c>
      <c r="E305" s="103"/>
      <c r="F305" s="157" t="s">
        <v>451</v>
      </c>
      <c r="G305" s="102" t="s">
        <v>226</v>
      </c>
      <c r="H305" s="101" t="str">
        <f>VLOOKUP(G305,'01. TH'!$B:$E,3,0)</f>
        <v/>
      </c>
      <c r="I305" s="146" t="s">
        <v>1593</v>
      </c>
      <c r="J305" s="105"/>
      <c r="K305" s="101" t="str">
        <f>IF(COUNTIF('TT BTSC'!$D:$D,B305)&gt;0,"Hư hỏng","Bình thường")</f>
        <v>Bình thường</v>
      </c>
      <c r="L305" s="101"/>
      <c r="M305" s="182" t="s">
        <v>1685</v>
      </c>
      <c r="N305" s="101" t="s">
        <v>1267</v>
      </c>
      <c r="O305" s="110" t="s">
        <v>465</v>
      </c>
      <c r="P305" s="101"/>
      <c r="Q305" s="101"/>
      <c r="R305" s="101"/>
      <c r="S305" s="110">
        <v>18446</v>
      </c>
      <c r="T305" s="111" t="s">
        <v>462</v>
      </c>
      <c r="U305" s="111">
        <v>3.75</v>
      </c>
      <c r="V305" s="192"/>
      <c r="W305" s="192"/>
      <c r="X305" s="192"/>
      <c r="Y305" s="192"/>
    </row>
    <row r="306" ht="13.5" customHeight="1" outlineLevel="1" spans="1:25">
      <c r="A306" s="101">
        <f t="shared" si="11"/>
        <v>24</v>
      </c>
      <c r="B306" s="156" t="s">
        <v>1686</v>
      </c>
      <c r="C306" s="156"/>
      <c r="D306" s="103" t="str">
        <f>IFERROR(VLOOKUP(B306,' 02.1 KLH-CN MÃ BRAVO MM'!$B:$C,2,0),"")</f>
        <v>A24-XNA-001</v>
      </c>
      <c r="E306" s="157"/>
      <c r="F306" s="157" t="s">
        <v>451</v>
      </c>
      <c r="G306" s="156" t="s">
        <v>241</v>
      </c>
      <c r="H306" s="101" t="str">
        <f>VLOOKUP(G306,'01. TH'!$B:$E,3,0)</f>
        <v/>
      </c>
      <c r="I306" s="146" t="s">
        <v>1593</v>
      </c>
      <c r="J306" s="146"/>
      <c r="K306" s="101" t="str">
        <f>IF(COUNTIF('TT BTSC'!$D:$D,B306)&gt;0,"Hư hỏng","Bình thường")</f>
        <v>Bình thường</v>
      </c>
      <c r="L306" s="146"/>
      <c r="M306" s="206" t="s">
        <v>1687</v>
      </c>
      <c r="N306" s="146" t="s">
        <v>480</v>
      </c>
      <c r="O306" s="159" t="s">
        <v>555</v>
      </c>
      <c r="P306" s="146">
        <v>2007</v>
      </c>
      <c r="Q306" s="146" t="s">
        <v>1688</v>
      </c>
      <c r="R306" s="146"/>
      <c r="S306" s="159">
        <v>830261</v>
      </c>
      <c r="T306" s="176">
        <v>39114</v>
      </c>
      <c r="U306" s="160"/>
      <c r="V306" s="895">
        <v>0</v>
      </c>
      <c r="W306" s="895"/>
      <c r="X306" s="895"/>
      <c r="Y306" s="895"/>
    </row>
    <row r="307" ht="12.75" customHeight="1" outlineLevel="1" spans="1:25">
      <c r="A307" s="101">
        <f t="shared" si="11"/>
        <v>25</v>
      </c>
      <c r="B307" s="156" t="s">
        <v>1689</v>
      </c>
      <c r="C307" s="156"/>
      <c r="D307" s="103"/>
      <c r="E307" s="157"/>
      <c r="F307" s="157" t="s">
        <v>451</v>
      </c>
      <c r="G307" s="156" t="s">
        <v>241</v>
      </c>
      <c r="H307" s="101" t="str">
        <f>VLOOKUP(G307,'01. TH'!$B:$E,3,0)</f>
        <v/>
      </c>
      <c r="I307" s="146" t="s">
        <v>1593</v>
      </c>
      <c r="J307" s="146"/>
      <c r="K307" s="101" t="str">
        <f>IF(COUNTIF('TT BTSC'!$D:$D,B307)&gt;0,"Hư hỏng","Bình thường")</f>
        <v>Bình thường</v>
      </c>
      <c r="L307" s="146"/>
      <c r="M307" s="206" t="s">
        <v>1687</v>
      </c>
      <c r="N307" s="146" t="s">
        <v>1139</v>
      </c>
      <c r="O307" s="159" t="s">
        <v>590</v>
      </c>
      <c r="P307" s="146">
        <v>2019</v>
      </c>
      <c r="Q307" s="146" t="s">
        <v>1141</v>
      </c>
      <c r="R307" s="146"/>
      <c r="S307" s="159">
        <v>1501190005</v>
      </c>
      <c r="T307" s="160" t="s">
        <v>1690</v>
      </c>
      <c r="U307" s="111"/>
      <c r="V307" s="895"/>
      <c r="W307" s="895"/>
      <c r="X307" s="895"/>
      <c r="Y307" s="895"/>
    </row>
    <row r="308" ht="12.75" customHeight="1" outlineLevel="1" spans="1:25">
      <c r="A308" s="101">
        <f t="shared" si="11"/>
        <v>26</v>
      </c>
      <c r="B308" s="156" t="s">
        <v>1691</v>
      </c>
      <c r="C308" s="156"/>
      <c r="D308" s="103" t="s">
        <v>1692</v>
      </c>
      <c r="E308" s="157"/>
      <c r="F308" s="157" t="s">
        <v>504</v>
      </c>
      <c r="G308" s="156" t="s">
        <v>243</v>
      </c>
      <c r="H308" s="101"/>
      <c r="I308" s="146" t="s">
        <v>1593</v>
      </c>
      <c r="J308" s="148">
        <v>46361</v>
      </c>
      <c r="K308" s="101" t="str">
        <f>IF(COUNTIF('TT BTSC'!$D:$D,B308)&gt;0,"Hư hỏng","Bình thường")</f>
        <v>Bình thường</v>
      </c>
      <c r="L308" s="146"/>
      <c r="M308" s="182" t="s">
        <v>1146</v>
      </c>
      <c r="N308" s="146" t="s">
        <v>1015</v>
      </c>
      <c r="O308" s="159" t="s">
        <v>590</v>
      </c>
      <c r="P308" s="146">
        <v>2026</v>
      </c>
      <c r="Q308" s="146" t="s">
        <v>1147</v>
      </c>
      <c r="R308" s="146" t="s">
        <v>1148</v>
      </c>
      <c r="S308" s="159" t="s">
        <v>1305</v>
      </c>
      <c r="T308" s="160"/>
      <c r="U308" s="111"/>
      <c r="V308" s="895"/>
      <c r="W308" s="895"/>
      <c r="X308" s="895"/>
      <c r="Y308" s="895"/>
    </row>
    <row r="309" ht="12.75" customHeight="1" outlineLevel="1" spans="1:25">
      <c r="A309" s="101">
        <f t="shared" si="11"/>
        <v>27</v>
      </c>
      <c r="B309" s="156" t="s">
        <v>1693</v>
      </c>
      <c r="C309" s="156"/>
      <c r="D309" s="103" t="s">
        <v>1694</v>
      </c>
      <c r="E309" s="157"/>
      <c r="F309" s="157" t="s">
        <v>504</v>
      </c>
      <c r="G309" s="156" t="s">
        <v>287</v>
      </c>
      <c r="H309" s="101" t="str">
        <f>VLOOKUP(G309,'01. TH'!$B:$E,3,0)</f>
        <v/>
      </c>
      <c r="I309" s="146" t="s">
        <v>1593</v>
      </c>
      <c r="J309" s="146" t="s">
        <v>1196</v>
      </c>
      <c r="K309" s="101" t="str">
        <f>IF(COUNTIF('TT BTSC'!$D:$D,B309)&gt;0,"Hư hỏng","Bình thường")</f>
        <v>Bình thường</v>
      </c>
      <c r="L309" s="146"/>
      <c r="M309" s="182" t="s">
        <v>1146</v>
      </c>
      <c r="N309" s="146" t="s">
        <v>964</v>
      </c>
      <c r="O309" s="159" t="s">
        <v>1197</v>
      </c>
      <c r="P309" s="146">
        <v>2022</v>
      </c>
      <c r="Q309" s="146" t="s">
        <v>1198</v>
      </c>
      <c r="R309" s="146" t="s">
        <v>219</v>
      </c>
      <c r="S309" s="159">
        <v>203063</v>
      </c>
      <c r="T309" s="160" t="s">
        <v>1695</v>
      </c>
      <c r="U309" s="111">
        <v>0.5</v>
      </c>
      <c r="V309" s="895">
        <v>0</v>
      </c>
      <c r="W309" s="895"/>
      <c r="X309" s="895"/>
      <c r="Y309" s="895"/>
    </row>
    <row r="310" ht="12.75" customHeight="1" outlineLevel="1" spans="1:25">
      <c r="A310" s="101">
        <f t="shared" si="11"/>
        <v>28</v>
      </c>
      <c r="B310" s="156" t="s">
        <v>1696</v>
      </c>
      <c r="C310" s="156"/>
      <c r="D310" s="103" t="s">
        <v>1697</v>
      </c>
      <c r="E310" s="157"/>
      <c r="F310" s="157" t="s">
        <v>504</v>
      </c>
      <c r="G310" s="156" t="s">
        <v>287</v>
      </c>
      <c r="H310" s="101" t="str">
        <f>VLOOKUP(G310,'01. TH'!$B:$E,3,0)</f>
        <v/>
      </c>
      <c r="I310" s="146" t="s">
        <v>1593</v>
      </c>
      <c r="J310" s="146" t="s">
        <v>1196</v>
      </c>
      <c r="K310" s="101" t="str">
        <f>IF(COUNTIF('TT BTSC'!$D:$D,B310)&gt;0,"Hư hỏng","Bình thường")</f>
        <v>Bình thường</v>
      </c>
      <c r="L310" s="146"/>
      <c r="M310" s="182" t="s">
        <v>1146</v>
      </c>
      <c r="N310" s="146" t="s">
        <v>964</v>
      </c>
      <c r="O310" s="159" t="s">
        <v>1197</v>
      </c>
      <c r="P310" s="146">
        <v>2022</v>
      </c>
      <c r="Q310" s="146" t="s">
        <v>1198</v>
      </c>
      <c r="R310" s="146" t="s">
        <v>219</v>
      </c>
      <c r="S310" s="159">
        <v>203064</v>
      </c>
      <c r="T310" s="160" t="s">
        <v>1698</v>
      </c>
      <c r="U310" s="111">
        <v>0.5</v>
      </c>
      <c r="V310" s="895">
        <v>0</v>
      </c>
      <c r="W310" s="895"/>
      <c r="X310" s="895"/>
      <c r="Y310" s="895"/>
    </row>
    <row r="311" ht="12.75" customHeight="1" outlineLevel="1" spans="1:25">
      <c r="A311" s="101">
        <f t="shared" si="11"/>
        <v>29</v>
      </c>
      <c r="B311" s="156" t="s">
        <v>1699</v>
      </c>
      <c r="C311" s="156"/>
      <c r="D311" s="103" t="s">
        <v>1700</v>
      </c>
      <c r="E311" s="157"/>
      <c r="F311" s="157" t="s">
        <v>504</v>
      </c>
      <c r="G311" s="156" t="s">
        <v>287</v>
      </c>
      <c r="H311" s="101" t="str">
        <f>VLOOKUP(G311,'01. TH'!$B:$E,3,0)</f>
        <v/>
      </c>
      <c r="I311" s="146" t="s">
        <v>1593</v>
      </c>
      <c r="J311" s="146" t="s">
        <v>1196</v>
      </c>
      <c r="K311" s="101" t="str">
        <f>IF(COUNTIF('TT BTSC'!$D:$D,B311)&gt;0,"Hư hỏng","Bình thường")</f>
        <v>Bình thường</v>
      </c>
      <c r="L311" s="146"/>
      <c r="M311" s="182" t="s">
        <v>1146</v>
      </c>
      <c r="N311" s="146" t="s">
        <v>964</v>
      </c>
      <c r="O311" s="159" t="s">
        <v>1197</v>
      </c>
      <c r="P311" s="146">
        <v>2022</v>
      </c>
      <c r="Q311" s="146" t="s">
        <v>1198</v>
      </c>
      <c r="R311" s="146" t="s">
        <v>219</v>
      </c>
      <c r="S311" s="159">
        <v>203067</v>
      </c>
      <c r="T311" s="160" t="s">
        <v>1701</v>
      </c>
      <c r="U311" s="111">
        <v>0.5</v>
      </c>
      <c r="V311" s="895">
        <v>0</v>
      </c>
      <c r="W311" s="895"/>
      <c r="X311" s="895"/>
      <c r="Y311" s="895"/>
    </row>
    <row r="312" ht="12.75" customHeight="1" outlineLevel="1" spans="1:25">
      <c r="A312" s="101">
        <f t="shared" si="11"/>
        <v>30</v>
      </c>
      <c r="B312" s="156" t="s">
        <v>1702</v>
      </c>
      <c r="C312" s="156"/>
      <c r="D312" s="103" t="s">
        <v>1703</v>
      </c>
      <c r="E312" s="157"/>
      <c r="F312" s="157" t="s">
        <v>504</v>
      </c>
      <c r="G312" s="156" t="s">
        <v>287</v>
      </c>
      <c r="H312" s="101" t="str">
        <f>VLOOKUP(G312,'01. TH'!$B:$E,3,0)</f>
        <v/>
      </c>
      <c r="I312" s="146" t="s">
        <v>1593</v>
      </c>
      <c r="J312" s="146" t="s">
        <v>1196</v>
      </c>
      <c r="K312" s="101" t="str">
        <f>IF(COUNTIF('TT BTSC'!$D:$D,B312)&gt;0,"Hư hỏng","Bình thường")</f>
        <v>Bình thường</v>
      </c>
      <c r="L312" s="146"/>
      <c r="M312" s="182" t="s">
        <v>1146</v>
      </c>
      <c r="N312" s="146" t="s">
        <v>964</v>
      </c>
      <c r="O312" s="159" t="s">
        <v>1197</v>
      </c>
      <c r="P312" s="146">
        <v>2022</v>
      </c>
      <c r="Q312" s="146" t="s">
        <v>1198</v>
      </c>
      <c r="R312" s="146" t="s">
        <v>219</v>
      </c>
      <c r="S312" s="159">
        <v>203073</v>
      </c>
      <c r="T312" s="160" t="s">
        <v>1695</v>
      </c>
      <c r="U312" s="111">
        <v>0.5</v>
      </c>
      <c r="V312" s="895">
        <v>0</v>
      </c>
      <c r="W312" s="895"/>
      <c r="X312" s="895"/>
      <c r="Y312" s="895"/>
    </row>
    <row r="313" ht="12.75" customHeight="1" outlineLevel="1" spans="1:25">
      <c r="A313" s="101">
        <f t="shared" si="11"/>
        <v>31</v>
      </c>
      <c r="B313" s="156" t="s">
        <v>1704</v>
      </c>
      <c r="C313" s="156"/>
      <c r="D313" s="103" t="s">
        <v>1705</v>
      </c>
      <c r="E313" s="157"/>
      <c r="F313" s="157" t="s">
        <v>504</v>
      </c>
      <c r="G313" s="156" t="s">
        <v>287</v>
      </c>
      <c r="H313" s="101" t="str">
        <f>VLOOKUP(G313,'01. TH'!$B:$E,3,0)</f>
        <v/>
      </c>
      <c r="I313" s="146" t="s">
        <v>1593</v>
      </c>
      <c r="J313" s="146" t="s">
        <v>1196</v>
      </c>
      <c r="K313" s="101" t="str">
        <f>IF(COUNTIF('TT BTSC'!$D:$D,B313)&gt;0,"Hư hỏng","Bình thường")</f>
        <v>Bình thường</v>
      </c>
      <c r="L313" s="146"/>
      <c r="M313" s="182" t="s">
        <v>1146</v>
      </c>
      <c r="N313" s="146" t="s">
        <v>964</v>
      </c>
      <c r="O313" s="159" t="s">
        <v>1197</v>
      </c>
      <c r="P313" s="146">
        <v>2022</v>
      </c>
      <c r="Q313" s="146" t="s">
        <v>1198</v>
      </c>
      <c r="R313" s="146" t="s">
        <v>219</v>
      </c>
      <c r="S313" s="159">
        <v>203077</v>
      </c>
      <c r="T313" s="160" t="s">
        <v>1706</v>
      </c>
      <c r="U313" s="111">
        <v>0.5</v>
      </c>
      <c r="V313" s="895">
        <v>0</v>
      </c>
      <c r="W313" s="895"/>
      <c r="X313" s="895"/>
      <c r="Y313" s="895"/>
    </row>
    <row r="314" ht="12.75" customHeight="1" outlineLevel="1" spans="1:25">
      <c r="A314" s="101">
        <f t="shared" si="11"/>
        <v>32</v>
      </c>
      <c r="B314" s="156" t="s">
        <v>1707</v>
      </c>
      <c r="C314" s="156"/>
      <c r="D314" s="103" t="s">
        <v>1708</v>
      </c>
      <c r="E314" s="157"/>
      <c r="F314" s="157" t="s">
        <v>492</v>
      </c>
      <c r="G314" s="156" t="s">
        <v>278</v>
      </c>
      <c r="H314" s="101" t="str">
        <f>VLOOKUP(G314,'01. TH'!$B:$E,3,0)</f>
        <v/>
      </c>
      <c r="I314" s="146" t="s">
        <v>1593</v>
      </c>
      <c r="J314" s="146" t="s">
        <v>1709</v>
      </c>
      <c r="K314" s="101" t="str">
        <f>IF(COUNTIF('TT BTSC'!$D:$D,B314)&gt;0,"Hư hỏng","Bình thường")</f>
        <v>Bình thường</v>
      </c>
      <c r="L314" s="146"/>
      <c r="M314" s="182" t="s">
        <v>1146</v>
      </c>
      <c r="N314" s="146" t="s">
        <v>964</v>
      </c>
      <c r="O314" s="159" t="s">
        <v>811</v>
      </c>
      <c r="P314" s="146"/>
      <c r="Q314" s="146" t="s">
        <v>1710</v>
      </c>
      <c r="R314" s="146" t="s">
        <v>279</v>
      </c>
      <c r="S314" s="159">
        <v>31252</v>
      </c>
      <c r="T314" s="160">
        <v>13422</v>
      </c>
      <c r="U314" s="159">
        <v>2.3</v>
      </c>
      <c r="V314" s="895">
        <v>0</v>
      </c>
      <c r="W314" s="895"/>
      <c r="X314" s="895"/>
      <c r="Y314" s="895"/>
    </row>
    <row r="315" ht="13.5" customHeight="1" outlineLevel="1" spans="1:25">
      <c r="A315" s="101">
        <f t="shared" si="11"/>
        <v>33</v>
      </c>
      <c r="B315" s="156" t="s">
        <v>1711</v>
      </c>
      <c r="C315" s="21"/>
      <c r="D315" s="103" t="s">
        <v>1712</v>
      </c>
      <c r="E315" s="157"/>
      <c r="F315" s="157" t="s">
        <v>492</v>
      </c>
      <c r="G315" s="156" t="s">
        <v>213</v>
      </c>
      <c r="H315" s="101" t="str">
        <f>VLOOKUP(G315,'01. TH'!$B:$E,3,0)</f>
        <v/>
      </c>
      <c r="I315" s="146" t="s">
        <v>1593</v>
      </c>
      <c r="J315" s="911">
        <v>45577</v>
      </c>
      <c r="K315" s="101" t="str">
        <f>IF(COUNTIF('TT BTSC'!$D:$D,B315)&gt;0,"Hư hỏng","Bình thường")</f>
        <v>Bình thường</v>
      </c>
      <c r="L315" s="199"/>
      <c r="M315" s="182" t="s">
        <v>1146</v>
      </c>
      <c r="N315" s="146" t="s">
        <v>1713</v>
      </c>
      <c r="O315" s="110" t="s">
        <v>955</v>
      </c>
      <c r="P315" s="146">
        <v>2024</v>
      </c>
      <c r="Q315" s="146" t="s">
        <v>1714</v>
      </c>
      <c r="R315" s="146" t="s">
        <v>1715</v>
      </c>
      <c r="S315" s="159" t="s">
        <v>1716</v>
      </c>
      <c r="T315" s="160" t="s">
        <v>1717</v>
      </c>
      <c r="U315" s="160"/>
      <c r="V315" s="895">
        <v>0</v>
      </c>
      <c r="W315" s="895"/>
      <c r="X315" s="895"/>
      <c r="Y315" s="895"/>
    </row>
    <row r="316" ht="13.5" customHeight="1" outlineLevel="1" spans="1:25">
      <c r="A316" s="101">
        <f t="shared" si="11"/>
        <v>34</v>
      </c>
      <c r="B316" s="156" t="s">
        <v>1718</v>
      </c>
      <c r="C316" s="21"/>
      <c r="D316" s="103" t="s">
        <v>1719</v>
      </c>
      <c r="E316" s="157"/>
      <c r="F316" s="157" t="s">
        <v>504</v>
      </c>
      <c r="G316" s="156" t="s">
        <v>283</v>
      </c>
      <c r="H316" s="101" t="str">
        <f>VLOOKUP(G316,'01. TH'!$B:$E,3,0)</f>
        <v/>
      </c>
      <c r="I316" s="146" t="s">
        <v>1593</v>
      </c>
      <c r="J316" s="146" t="s">
        <v>1228</v>
      </c>
      <c r="K316" s="101" t="str">
        <f>IF(COUNTIF('TT BTSC'!$D:$D,B316)&gt;0,"Hư hỏng","Bình thường")</f>
        <v>Bình thường</v>
      </c>
      <c r="L316" s="199"/>
      <c r="M316" s="182" t="s">
        <v>1146</v>
      </c>
      <c r="N316" s="146" t="s">
        <v>1229</v>
      </c>
      <c r="O316" s="110" t="s">
        <v>500</v>
      </c>
      <c r="P316" s="146">
        <v>2025</v>
      </c>
      <c r="Q316" s="146" t="s">
        <v>1230</v>
      </c>
      <c r="R316" s="146" t="s">
        <v>272</v>
      </c>
      <c r="S316" s="159" t="s">
        <v>1720</v>
      </c>
      <c r="T316" s="160" t="s">
        <v>1721</v>
      </c>
      <c r="U316" s="159">
        <v>1.8</v>
      </c>
      <c r="V316" s="895">
        <v>0</v>
      </c>
      <c r="W316" s="895"/>
      <c r="X316" s="895"/>
      <c r="Y316" s="895"/>
    </row>
    <row r="317" ht="13.5" customHeight="1" outlineLevel="1" spans="1:25">
      <c r="A317" s="101">
        <f t="shared" si="11"/>
        <v>35</v>
      </c>
      <c r="B317" s="156" t="s">
        <v>1722</v>
      </c>
      <c r="C317" s="21"/>
      <c r="D317" s="103" t="s">
        <v>1723</v>
      </c>
      <c r="E317" s="157"/>
      <c r="F317" s="157" t="s">
        <v>504</v>
      </c>
      <c r="G317" s="156" t="s">
        <v>283</v>
      </c>
      <c r="H317" s="101" t="str">
        <f>VLOOKUP(G317,'01. TH'!$B:$E,3,0)</f>
        <v/>
      </c>
      <c r="I317" s="146" t="s">
        <v>1593</v>
      </c>
      <c r="J317" s="146" t="s">
        <v>1228</v>
      </c>
      <c r="K317" s="101" t="str">
        <f>IF(COUNTIF('TT BTSC'!$D:$D,B317)&gt;0,"Hư hỏng","Bình thường")</f>
        <v>Bình thường</v>
      </c>
      <c r="L317" s="199"/>
      <c r="M317" s="182" t="s">
        <v>1146</v>
      </c>
      <c r="N317" s="146" t="s">
        <v>1229</v>
      </c>
      <c r="O317" s="110" t="s">
        <v>500</v>
      </c>
      <c r="P317" s="146">
        <v>2025</v>
      </c>
      <c r="Q317" s="146" t="s">
        <v>1230</v>
      </c>
      <c r="R317" s="146" t="s">
        <v>272</v>
      </c>
      <c r="S317" s="159" t="s">
        <v>1724</v>
      </c>
      <c r="T317" s="160" t="s">
        <v>1725</v>
      </c>
      <c r="U317" s="159">
        <v>1.8</v>
      </c>
      <c r="V317" s="895">
        <v>0</v>
      </c>
      <c r="W317" s="895"/>
      <c r="X317" s="895"/>
      <c r="Y317" s="895"/>
    </row>
    <row r="318" ht="13.5" customHeight="1" outlineLevel="1" spans="1:25">
      <c r="A318" s="101">
        <f t="shared" si="11"/>
        <v>36</v>
      </c>
      <c r="B318" s="156" t="s">
        <v>1726</v>
      </c>
      <c r="C318" s="21"/>
      <c r="D318" s="103" t="s">
        <v>1727</v>
      </c>
      <c r="E318" s="157"/>
      <c r="F318" s="157" t="s">
        <v>504</v>
      </c>
      <c r="G318" s="156" t="s">
        <v>283</v>
      </c>
      <c r="H318" s="101" t="str">
        <f>VLOOKUP(G318,'01. TH'!$B:$E,3,0)</f>
        <v/>
      </c>
      <c r="I318" s="146" t="s">
        <v>1593</v>
      </c>
      <c r="J318" s="146" t="s">
        <v>1228</v>
      </c>
      <c r="K318" s="101" t="str">
        <f>IF(COUNTIF('TT BTSC'!$D:$D,B318)&gt;0,"Hư hỏng","Bình thường")</f>
        <v>Bình thường</v>
      </c>
      <c r="L318" s="199"/>
      <c r="M318" s="182" t="s">
        <v>1146</v>
      </c>
      <c r="N318" s="146" t="s">
        <v>1229</v>
      </c>
      <c r="O318" s="110" t="s">
        <v>500</v>
      </c>
      <c r="P318" s="146">
        <v>2025</v>
      </c>
      <c r="Q318" s="146" t="s">
        <v>1230</v>
      </c>
      <c r="R318" s="146" t="s">
        <v>272</v>
      </c>
      <c r="S318" s="159" t="s">
        <v>1728</v>
      </c>
      <c r="T318" s="160" t="s">
        <v>1729</v>
      </c>
      <c r="U318" s="159">
        <v>1.8</v>
      </c>
      <c r="V318" s="895">
        <v>0</v>
      </c>
      <c r="W318" s="895"/>
      <c r="X318" s="895"/>
      <c r="Y318" s="895"/>
    </row>
    <row r="319" ht="13.5" customHeight="1" outlineLevel="1" spans="1:25">
      <c r="A319" s="101">
        <f t="shared" si="11"/>
        <v>37</v>
      </c>
      <c r="B319" s="156" t="s">
        <v>1730</v>
      </c>
      <c r="C319" s="21"/>
      <c r="D319" s="103" t="s">
        <v>1731</v>
      </c>
      <c r="E319" s="157"/>
      <c r="F319" s="157" t="s">
        <v>504</v>
      </c>
      <c r="G319" s="156" t="s">
        <v>283</v>
      </c>
      <c r="H319" s="101" t="str">
        <f>VLOOKUP(G319,'01. TH'!$B:$E,3,0)</f>
        <v/>
      </c>
      <c r="I319" s="146" t="s">
        <v>1593</v>
      </c>
      <c r="J319" s="146" t="s">
        <v>1228</v>
      </c>
      <c r="K319" s="101" t="str">
        <f>IF(COUNTIF('TT BTSC'!$D:$D,B319)&gt;0,"Hư hỏng","Bình thường")</f>
        <v>Bình thường</v>
      </c>
      <c r="L319" s="199"/>
      <c r="M319" s="182" t="s">
        <v>1146</v>
      </c>
      <c r="N319" s="146" t="s">
        <v>1229</v>
      </c>
      <c r="O319" s="110" t="s">
        <v>500</v>
      </c>
      <c r="P319" s="146">
        <v>2025</v>
      </c>
      <c r="Q319" s="146" t="s">
        <v>1230</v>
      </c>
      <c r="R319" s="146" t="s">
        <v>272</v>
      </c>
      <c r="S319" s="159" t="s">
        <v>1732</v>
      </c>
      <c r="T319" s="160" t="s">
        <v>1733</v>
      </c>
      <c r="U319" s="159">
        <v>1.8</v>
      </c>
      <c r="V319" s="895">
        <v>0</v>
      </c>
      <c r="W319" s="895"/>
      <c r="X319" s="895"/>
      <c r="Y319" s="895"/>
    </row>
    <row r="320" ht="13.5" customHeight="1" outlineLevel="1" spans="1:25">
      <c r="A320" s="101">
        <f t="shared" si="11"/>
        <v>38</v>
      </c>
      <c r="B320" s="102" t="s">
        <v>1734</v>
      </c>
      <c r="C320" s="124" t="s">
        <v>492</v>
      </c>
      <c r="D320" s="103" t="str">
        <f>IFERROR(VLOOKUP(B320,' 02.1 KLH-CN MÃ BRAVO MM'!$B:$C,2,0),"")</f>
        <v>A24-XLU-005</v>
      </c>
      <c r="E320" s="103"/>
      <c r="F320" s="157" t="s">
        <v>492</v>
      </c>
      <c r="G320" s="102" t="s">
        <v>73</v>
      </c>
      <c r="H320" s="101" t="str">
        <f>VLOOKUP(G320,'01. TH'!$B:$E,3,0)</f>
        <v>3100 x 1400 x 1585</v>
      </c>
      <c r="I320" s="146" t="s">
        <v>1593</v>
      </c>
      <c r="J320" s="101" t="s">
        <v>1632</v>
      </c>
      <c r="K320" s="101" t="s">
        <v>1263</v>
      </c>
      <c r="L320" s="107"/>
      <c r="M320" s="182" t="s">
        <v>1735</v>
      </c>
      <c r="N320" s="101" t="s">
        <v>589</v>
      </c>
      <c r="O320" s="111" t="s">
        <v>453</v>
      </c>
      <c r="P320" s="101">
        <v>2005</v>
      </c>
      <c r="Q320" s="101" t="s">
        <v>1736</v>
      </c>
      <c r="R320" s="101" t="s">
        <v>1737</v>
      </c>
      <c r="S320" s="110" t="s">
        <v>1738</v>
      </c>
      <c r="T320" s="111" t="s">
        <v>1739</v>
      </c>
      <c r="U320" s="111">
        <v>2.6</v>
      </c>
      <c r="V320" s="895">
        <v>0</v>
      </c>
      <c r="W320" s="895"/>
      <c r="X320" s="895"/>
      <c r="Y320" s="895"/>
    </row>
    <row r="321" ht="13.5" customHeight="1" outlineLevel="1" spans="1:25">
      <c r="A321" s="101"/>
      <c r="B321" s="156"/>
      <c r="C321" s="156"/>
      <c r="D321" s="103"/>
      <c r="E321" s="157"/>
      <c r="F321" s="157"/>
      <c r="G321" s="156"/>
      <c r="H321" s="101"/>
      <c r="I321" s="146"/>
      <c r="J321" s="146"/>
      <c r="K321" s="101"/>
      <c r="L321" s="199"/>
      <c r="M321" s="206"/>
      <c r="N321" s="146"/>
      <c r="O321" s="159"/>
      <c r="P321" s="146"/>
      <c r="Q321" s="146"/>
      <c r="R321" s="146"/>
      <c r="S321" s="159"/>
      <c r="T321" s="176"/>
      <c r="U321" s="176"/>
      <c r="V321" s="912"/>
      <c r="W321" s="912"/>
      <c r="X321" s="912"/>
      <c r="Y321" s="912"/>
    </row>
    <row r="322" ht="13.5" customHeight="1" outlineLevel="1" spans="1:25">
      <c r="A322" s="101"/>
      <c r="B322" s="156"/>
      <c r="C322" s="156" t="s">
        <v>1740</v>
      </c>
      <c r="D322" s="103"/>
      <c r="E322" s="157"/>
      <c r="F322" s="157"/>
      <c r="G322" s="156"/>
      <c r="H322" s="101" t="e">
        <f>VLOOKUP(G322,'01. TH'!$B:$E,3,0)</f>
        <v>#N/A</v>
      </c>
      <c r="I322" s="146"/>
      <c r="J322" s="146"/>
      <c r="K322" s="101"/>
      <c r="L322" s="199"/>
      <c r="M322" s="206"/>
      <c r="N322" s="146"/>
      <c r="O322" s="159"/>
      <c r="P322" s="146"/>
      <c r="Q322" s="146"/>
      <c r="R322" s="146"/>
      <c r="S322" s="159"/>
      <c r="T322" s="176"/>
      <c r="U322" s="176"/>
      <c r="V322" s="912"/>
      <c r="W322" s="912"/>
      <c r="X322" s="912"/>
      <c r="Y322" s="912"/>
    </row>
    <row r="323" ht="13.5" customHeight="1" spans="1:25">
      <c r="A323" s="96" t="s">
        <v>1741</v>
      </c>
      <c r="B323" s="901" t="s">
        <v>1742</v>
      </c>
      <c r="C323" s="96"/>
      <c r="D323" s="902" t="str">
        <f>IFERROR(VLOOKUP(B323,' 02.1 KLH-CN MÃ BRAVO MM'!$B:$C,2,0),"")</f>
        <v/>
      </c>
      <c r="E323" s="903"/>
      <c r="F323" s="903"/>
      <c r="G323" s="908"/>
      <c r="H323" s="97"/>
      <c r="I323" s="902"/>
      <c r="J323" s="904"/>
      <c r="K323" s="97"/>
      <c r="L323" s="903"/>
      <c r="M323" s="905"/>
      <c r="N323" s="903"/>
      <c r="O323" s="902"/>
      <c r="P323" s="902"/>
      <c r="Q323" s="902"/>
      <c r="R323" s="902"/>
      <c r="S323" s="902"/>
      <c r="T323" s="902"/>
      <c r="U323" s="906"/>
      <c r="V323" s="192"/>
      <c r="W323" s="192"/>
      <c r="X323" s="192"/>
      <c r="Y323" s="192"/>
    </row>
    <row r="324" ht="13.5" customHeight="1" spans="1:25">
      <c r="A324" s="96" t="s">
        <v>1743</v>
      </c>
      <c r="B324" s="901" t="s">
        <v>1744</v>
      </c>
      <c r="C324" s="96"/>
      <c r="D324" s="902" t="str">
        <f>IFERROR(VLOOKUP(B324,' 02.1 KLH-CN MÃ BRAVO MM'!$B:$C,2,0),"")</f>
        <v/>
      </c>
      <c r="E324" s="903"/>
      <c r="F324" s="903"/>
      <c r="G324" s="908"/>
      <c r="H324" s="97"/>
      <c r="I324" s="902"/>
      <c r="J324" s="904"/>
      <c r="K324" s="97"/>
      <c r="L324" s="903"/>
      <c r="M324" s="905"/>
      <c r="N324" s="903"/>
      <c r="O324" s="902"/>
      <c r="P324" s="902"/>
      <c r="Q324" s="902"/>
      <c r="R324" s="902"/>
      <c r="S324" s="902"/>
      <c r="T324" s="902"/>
      <c r="U324" s="906"/>
      <c r="V324" s="192"/>
      <c r="W324" s="192"/>
      <c r="X324" s="192"/>
      <c r="Y324" s="192"/>
    </row>
    <row r="325" ht="13.5" customHeight="1" spans="1:25">
      <c r="A325" s="96" t="s">
        <v>1745</v>
      </c>
      <c r="B325" s="901" t="s">
        <v>1746</v>
      </c>
      <c r="C325" s="96">
        <f>COUNTA($B$326:$B$331)</f>
        <v>4</v>
      </c>
      <c r="D325" s="902" t="str">
        <f>IFERROR(VLOOKUP(B325,' 02.1 KLH-CN MÃ BRAVO MM'!$B:$C,2,0),"")</f>
        <v/>
      </c>
      <c r="E325" s="903"/>
      <c r="F325" s="903"/>
      <c r="G325" s="908"/>
      <c r="H325" s="97"/>
      <c r="I325" s="902"/>
      <c r="J325" s="904"/>
      <c r="K325" s="97"/>
      <c r="L325" s="903"/>
      <c r="M325" s="905"/>
      <c r="N325" s="903"/>
      <c r="O325" s="902"/>
      <c r="P325" s="902"/>
      <c r="Q325" s="902"/>
      <c r="R325" s="902"/>
      <c r="S325" s="902"/>
      <c r="T325" s="902"/>
      <c r="U325" s="906"/>
      <c r="V325" s="192"/>
      <c r="W325" s="192"/>
      <c r="X325" s="192"/>
      <c r="Y325" s="192"/>
    </row>
    <row r="326" ht="13.5" customHeight="1" outlineLevel="1" spans="1:25">
      <c r="A326" s="101">
        <v>1</v>
      </c>
      <c r="B326" s="102" t="s">
        <v>1747</v>
      </c>
      <c r="C326" s="102" t="s">
        <v>1748</v>
      </c>
      <c r="D326" s="103" t="str">
        <f>IFERROR(VLOOKUP(B326,' 02.1 KLH-CN MÃ BRAVO MM'!$B:$C,2,0),"")</f>
        <v/>
      </c>
      <c r="E326" s="103"/>
      <c r="F326" s="103" t="s">
        <v>451</v>
      </c>
      <c r="G326" s="102" t="s">
        <v>287</v>
      </c>
      <c r="H326" s="101" t="str">
        <f>VLOOKUP(G326,'01. TH'!$B:$E,3,0)</f>
        <v/>
      </c>
      <c r="I326" s="103" t="s">
        <v>1749</v>
      </c>
      <c r="J326" s="105"/>
      <c r="K326" s="101" t="str">
        <f>IF(COUNTIF('TT BTSC'!$D:$D,B326)&gt;0,"Hư hỏng","Bình thường")</f>
        <v>Bình thường</v>
      </c>
      <c r="L326" s="101"/>
      <c r="M326" s="182" t="s">
        <v>1750</v>
      </c>
      <c r="N326" s="101" t="s">
        <v>1751</v>
      </c>
      <c r="O326" s="110" t="s">
        <v>1165</v>
      </c>
      <c r="P326" s="101"/>
      <c r="Q326" s="101"/>
      <c r="R326" s="101" t="s">
        <v>219</v>
      </c>
      <c r="S326" s="110" t="s">
        <v>1752</v>
      </c>
      <c r="T326" s="111" t="s">
        <v>462</v>
      </c>
      <c r="U326" s="111">
        <v>1</v>
      </c>
      <c r="V326" s="192"/>
      <c r="W326" s="192"/>
      <c r="X326" s="192"/>
      <c r="Y326" s="192"/>
    </row>
    <row r="327" ht="13.5" customHeight="1" outlineLevel="1" spans="1:25">
      <c r="A327" s="103">
        <v>2</v>
      </c>
      <c r="B327" s="104" t="s">
        <v>1753</v>
      </c>
      <c r="C327" s="104" t="s">
        <v>1754</v>
      </c>
      <c r="D327" s="103" t="str">
        <f>IFERROR(VLOOKUP(B327,' 02.1 KLH-CN MÃ BRAVO MM'!$B:$C,2,0),"")</f>
        <v/>
      </c>
      <c r="E327" s="103"/>
      <c r="F327" s="103" t="s">
        <v>451</v>
      </c>
      <c r="G327" s="102" t="s">
        <v>287</v>
      </c>
      <c r="H327" s="101" t="str">
        <f>VLOOKUP(G327,'01. TH'!$B:$E,3,0)</f>
        <v/>
      </c>
      <c r="I327" s="103" t="s">
        <v>1749</v>
      </c>
      <c r="J327" s="112"/>
      <c r="K327" s="101" t="s">
        <v>1755</v>
      </c>
      <c r="L327" s="103"/>
      <c r="M327" s="182" t="s">
        <v>1756</v>
      </c>
      <c r="N327" s="103" t="s">
        <v>1751</v>
      </c>
      <c r="O327" s="111" t="s">
        <v>1165</v>
      </c>
      <c r="P327" s="103"/>
      <c r="Q327" s="103"/>
      <c r="R327" s="103" t="s">
        <v>219</v>
      </c>
      <c r="S327" s="111" t="s">
        <v>1757</v>
      </c>
      <c r="T327" s="111" t="s">
        <v>462</v>
      </c>
      <c r="U327" s="111">
        <v>1</v>
      </c>
      <c r="V327" s="192"/>
      <c r="W327" s="192"/>
      <c r="X327" s="192"/>
      <c r="Y327" s="192"/>
    </row>
    <row r="328" ht="13.5" customHeight="1" outlineLevel="1" spans="1:25">
      <c r="A328" s="101">
        <v>3</v>
      </c>
      <c r="B328" s="104" t="s">
        <v>1758</v>
      </c>
      <c r="C328" s="104" t="s">
        <v>1759</v>
      </c>
      <c r="D328" s="103" t="str">
        <f>IFERROR(VLOOKUP(B328,' 02.1 KLH-CN MÃ BRAVO MM'!$B:$C,2,0),"")</f>
        <v>A23-MKE-030</v>
      </c>
      <c r="E328" s="103"/>
      <c r="F328" s="103" t="s">
        <v>451</v>
      </c>
      <c r="G328" s="104" t="s">
        <v>198</v>
      </c>
      <c r="H328" s="101" t="str">
        <f>VLOOKUP(G328,'01. TH'!$B:$E,3,0)</f>
        <v>2570 x 1200 x 1950</v>
      </c>
      <c r="I328" s="103" t="s">
        <v>1749</v>
      </c>
      <c r="J328" s="112"/>
      <c r="K328" s="101" t="s">
        <v>1755</v>
      </c>
      <c r="L328" s="103"/>
      <c r="M328" s="182" t="s">
        <v>1756</v>
      </c>
      <c r="N328" s="103" t="s">
        <v>759</v>
      </c>
      <c r="O328" s="111" t="s">
        <v>453</v>
      </c>
      <c r="P328" s="103"/>
      <c r="Q328" s="103" t="s">
        <v>1492</v>
      </c>
      <c r="R328" s="103" t="s">
        <v>199</v>
      </c>
      <c r="S328" s="111" t="s">
        <v>462</v>
      </c>
      <c r="T328" s="1094" t="s">
        <v>1760</v>
      </c>
      <c r="U328" s="111">
        <v>2</v>
      </c>
      <c r="V328" s="895">
        <v>0</v>
      </c>
      <c r="W328" s="895"/>
      <c r="X328" s="895"/>
      <c r="Y328" s="895"/>
    </row>
    <row r="329" ht="13.5" customHeight="1" outlineLevel="1" spans="1:25">
      <c r="A329" s="103">
        <v>4</v>
      </c>
      <c r="B329" s="102" t="s">
        <v>1761</v>
      </c>
      <c r="C329" s="102" t="s">
        <v>1762</v>
      </c>
      <c r="D329" s="103" t="str">
        <f>IFERROR(VLOOKUP(B329,' 02.1 KLH-CN MÃ BRAVO MM'!$B:$C,2,0),"")</f>
        <v>A23-MKE-031</v>
      </c>
      <c r="E329" s="103"/>
      <c r="F329" s="103" t="s">
        <v>451</v>
      </c>
      <c r="G329" s="102" t="s">
        <v>198</v>
      </c>
      <c r="H329" s="101" t="str">
        <f>VLOOKUP(G329,'01. TH'!$B:$E,3,0)</f>
        <v>2570 x 1200 x 1950</v>
      </c>
      <c r="I329" s="101" t="s">
        <v>1749</v>
      </c>
      <c r="J329" s="105"/>
      <c r="K329" s="101" t="str">
        <f>IF(COUNTIF('TT BTSC'!$D:$D,B329)&gt;0,"Hư hỏng","Bình thường")</f>
        <v>Bình thường</v>
      </c>
      <c r="L329" s="101"/>
      <c r="M329" s="836"/>
      <c r="N329" s="101" t="s">
        <v>759</v>
      </c>
      <c r="O329" s="110" t="s">
        <v>453</v>
      </c>
      <c r="P329" s="101"/>
      <c r="Q329" s="101" t="s">
        <v>1492</v>
      </c>
      <c r="R329" s="101" t="s">
        <v>199</v>
      </c>
      <c r="S329" s="110" t="s">
        <v>462</v>
      </c>
      <c r="T329" s="1094" t="s">
        <v>1763</v>
      </c>
      <c r="U329" s="111">
        <v>2</v>
      </c>
      <c r="V329" s="895">
        <v>0</v>
      </c>
      <c r="W329" s="895"/>
      <c r="X329" s="895"/>
      <c r="Y329" s="895"/>
    </row>
    <row r="330" ht="13.5" customHeight="1" outlineLevel="1" spans="1:25">
      <c r="A330" s="103"/>
      <c r="B330" s="102"/>
      <c r="C330" s="102"/>
      <c r="D330" s="103"/>
      <c r="E330" s="103"/>
      <c r="F330" s="103"/>
      <c r="G330" s="102"/>
      <c r="H330" s="101"/>
      <c r="I330" s="101"/>
      <c r="J330" s="105"/>
      <c r="K330" s="101"/>
      <c r="L330" s="101"/>
      <c r="M330" s="836"/>
      <c r="N330" s="101"/>
      <c r="O330" s="110"/>
      <c r="P330" s="101"/>
      <c r="Q330" s="101"/>
      <c r="R330" s="101"/>
      <c r="S330" s="110"/>
      <c r="T330" s="111"/>
      <c r="U330" s="111"/>
      <c r="V330" s="192"/>
      <c r="W330" s="192"/>
      <c r="X330" s="192"/>
      <c r="Y330" s="192"/>
    </row>
    <row r="331" ht="13.5" customHeight="1" outlineLevel="1" spans="1:25">
      <c r="A331" s="103"/>
      <c r="B331" s="102"/>
      <c r="C331" s="102" t="s">
        <v>1764</v>
      </c>
      <c r="D331" s="103"/>
      <c r="E331" s="103"/>
      <c r="F331" s="103"/>
      <c r="G331" s="102"/>
      <c r="H331" s="101" t="e">
        <f>VLOOKUP(G331,'01. TH'!$B:$E,3,0)</f>
        <v>#N/A</v>
      </c>
      <c r="I331" s="101"/>
      <c r="J331" s="105"/>
      <c r="K331" s="101"/>
      <c r="L331" s="101"/>
      <c r="M331" s="836"/>
      <c r="N331" s="101"/>
      <c r="O331" s="110"/>
      <c r="P331" s="101"/>
      <c r="Q331" s="101"/>
      <c r="R331" s="101"/>
      <c r="S331" s="110"/>
      <c r="T331" s="111"/>
      <c r="U331" s="111"/>
      <c r="V331" s="192"/>
      <c r="W331" s="192"/>
      <c r="X331" s="192"/>
      <c r="Y331" s="192"/>
    </row>
    <row r="332" ht="13.5" customHeight="1" spans="1:25">
      <c r="A332" s="96" t="s">
        <v>1765</v>
      </c>
      <c r="B332" s="901" t="s">
        <v>1766</v>
      </c>
      <c r="C332" s="96">
        <f>COUNTA($B$333:$B$347)</f>
        <v>13</v>
      </c>
      <c r="D332" s="902" t="str">
        <f>IFERROR(VLOOKUP(B332,' 02.1 KLH-CN MÃ BRAVO MM'!$B:$C,2,0),"")</f>
        <v/>
      </c>
      <c r="E332" s="903"/>
      <c r="F332" s="903"/>
      <c r="G332" s="908"/>
      <c r="H332" s="97"/>
      <c r="I332" s="902"/>
      <c r="J332" s="904"/>
      <c r="K332" s="97"/>
      <c r="L332" s="903"/>
      <c r="M332" s="905"/>
      <c r="N332" s="903"/>
      <c r="O332" s="902"/>
      <c r="P332" s="902"/>
      <c r="Q332" s="902"/>
      <c r="R332" s="902"/>
      <c r="S332" s="902"/>
      <c r="T332" s="902"/>
      <c r="U332" s="906"/>
      <c r="V332" s="192"/>
      <c r="W332" s="192"/>
      <c r="X332" s="192"/>
      <c r="Y332" s="192"/>
    </row>
    <row r="333" ht="13.5" customHeight="1" outlineLevel="1" spans="1:25">
      <c r="A333" s="101">
        <v>1</v>
      </c>
      <c r="B333" s="102" t="s">
        <v>1767</v>
      </c>
      <c r="C333" s="102" t="s">
        <v>1768</v>
      </c>
      <c r="D333" s="103" t="str">
        <f>IFERROR(VLOOKUP(B333,' 02.1 KLH-CN MÃ BRAVO MM'!$B:$C,2,0),"")</f>
        <v>ATT-A22-0242</v>
      </c>
      <c r="E333" s="103"/>
      <c r="F333" s="103" t="s">
        <v>451</v>
      </c>
      <c r="G333" s="102" t="s">
        <v>287</v>
      </c>
      <c r="H333" s="101" t="str">
        <f>VLOOKUP(G333,'01. TH'!$B:$E,3,0)</f>
        <v/>
      </c>
      <c r="I333" s="101" t="s">
        <v>1769</v>
      </c>
      <c r="J333" s="105"/>
      <c r="K333" s="101" t="str">
        <f>IF(COUNTIF('TT BTSC'!$D:$D,B333)&gt;0,"Hư hỏng","Bình thường")</f>
        <v>Bình thường</v>
      </c>
      <c r="L333" s="101"/>
      <c r="M333" s="182"/>
      <c r="N333" s="101" t="s">
        <v>1751</v>
      </c>
      <c r="O333" s="110" t="s">
        <v>1165</v>
      </c>
      <c r="P333" s="101"/>
      <c r="Q333" s="101"/>
      <c r="R333" s="101" t="s">
        <v>219</v>
      </c>
      <c r="S333" s="110"/>
      <c r="T333" s="111" t="s">
        <v>462</v>
      </c>
      <c r="U333" s="111">
        <v>0.5</v>
      </c>
      <c r="V333" s="192"/>
      <c r="W333" s="192"/>
      <c r="X333" s="192"/>
      <c r="Y333" s="192"/>
    </row>
    <row r="334" ht="13.5" customHeight="1" outlineLevel="1" spans="1:25">
      <c r="A334" s="103">
        <f t="shared" ref="A334:A345" si="12">A333+1</f>
        <v>2</v>
      </c>
      <c r="B334" s="102" t="s">
        <v>1770</v>
      </c>
      <c r="C334" s="102" t="s">
        <v>1771</v>
      </c>
      <c r="D334" s="103" t="str">
        <f>IFERROR(VLOOKUP(B334,' 02.1 KLH-CN MÃ BRAVO MM'!$B:$C,2,0),"")</f>
        <v/>
      </c>
      <c r="E334" s="103"/>
      <c r="F334" s="103" t="s">
        <v>451</v>
      </c>
      <c r="G334" s="102" t="s">
        <v>197</v>
      </c>
      <c r="H334" s="101" t="str">
        <f>VLOOKUP(G334,'01. TH'!$B:$E,3,0)</f>
        <v>3226 x 1570 x 1545</v>
      </c>
      <c r="I334" s="101" t="s">
        <v>1769</v>
      </c>
      <c r="J334" s="105"/>
      <c r="K334" s="101" t="str">
        <f>IF(COUNTIF('TT BTSC'!$D:$D,B334)&gt;0,"Hư hỏng","Bình thường")</f>
        <v>Bình thường</v>
      </c>
      <c r="L334" s="101"/>
      <c r="M334" s="182" t="s">
        <v>1772</v>
      </c>
      <c r="N334" s="101" t="s">
        <v>1019</v>
      </c>
      <c r="O334" s="110" t="s">
        <v>500</v>
      </c>
      <c r="P334" s="101">
        <v>2018</v>
      </c>
      <c r="Q334" s="101" t="s">
        <v>1122</v>
      </c>
      <c r="R334" s="101" t="s">
        <v>128</v>
      </c>
      <c r="S334" s="110" t="s">
        <v>1773</v>
      </c>
      <c r="T334" s="111">
        <v>180001</v>
      </c>
      <c r="U334" s="111">
        <v>2.5</v>
      </c>
      <c r="V334" s="895">
        <v>0</v>
      </c>
      <c r="W334" s="895"/>
      <c r="X334" s="895"/>
      <c r="Y334" s="895"/>
    </row>
    <row r="335" ht="13.5" customHeight="1" outlineLevel="1" spans="1:25">
      <c r="A335" s="103">
        <f t="shared" si="12"/>
        <v>3</v>
      </c>
      <c r="B335" s="102" t="s">
        <v>1774</v>
      </c>
      <c r="C335" s="102" t="s">
        <v>1775</v>
      </c>
      <c r="D335" s="103" t="str">
        <f>IFERROR(VLOOKUP(B335,' 02.1 KLH-CN MÃ BRAVO MM'!$B:$C,2,0),"")</f>
        <v>A22-MKE-003</v>
      </c>
      <c r="E335" s="103"/>
      <c r="F335" s="103" t="s">
        <v>451</v>
      </c>
      <c r="G335" s="102" t="s">
        <v>198</v>
      </c>
      <c r="H335" s="101" t="str">
        <f>VLOOKUP(G335,'01. TH'!$B:$E,3,0)</f>
        <v>2570 x 1200 x 1950</v>
      </c>
      <c r="I335" s="101" t="s">
        <v>1776</v>
      </c>
      <c r="J335" s="105"/>
      <c r="K335" s="101" t="str">
        <f>IF(COUNTIF('TT BTSC'!$D:$D,B335)&gt;0,"Hư hỏng","Bình thường")</f>
        <v>Bình thường</v>
      </c>
      <c r="L335" s="101"/>
      <c r="M335" s="182"/>
      <c r="N335" s="101" t="s">
        <v>759</v>
      </c>
      <c r="O335" s="110" t="s">
        <v>453</v>
      </c>
      <c r="P335" s="101"/>
      <c r="Q335" s="101" t="s">
        <v>1492</v>
      </c>
      <c r="R335" s="101" t="s">
        <v>199</v>
      </c>
      <c r="S335" s="110" t="s">
        <v>462</v>
      </c>
      <c r="T335" s="111">
        <v>2216</v>
      </c>
      <c r="U335" s="111">
        <v>2.5</v>
      </c>
      <c r="V335" s="895">
        <v>0</v>
      </c>
      <c r="W335" s="895"/>
      <c r="X335" s="895"/>
      <c r="Y335" s="895"/>
    </row>
    <row r="336" ht="13.5" customHeight="1" outlineLevel="1" spans="1:25">
      <c r="A336" s="103">
        <f t="shared" si="12"/>
        <v>4</v>
      </c>
      <c r="B336" s="102" t="s">
        <v>1777</v>
      </c>
      <c r="C336" s="102" t="s">
        <v>1778</v>
      </c>
      <c r="D336" s="103" t="str">
        <f>IFERROR(VLOOKUP(B336,' 02.1 KLH-CN MÃ BRAVO MM'!$B:$C,2,0),"")</f>
        <v>A22-MKE-002</v>
      </c>
      <c r="E336" s="103"/>
      <c r="F336" s="103" t="s">
        <v>451</v>
      </c>
      <c r="G336" s="102" t="s">
        <v>197</v>
      </c>
      <c r="H336" s="101" t="str">
        <f>VLOOKUP(G336,'01. TH'!$B:$E,3,0)</f>
        <v>3226 x 1570 x 1545</v>
      </c>
      <c r="I336" s="101" t="s">
        <v>1776</v>
      </c>
      <c r="J336" s="105"/>
      <c r="K336" s="101" t="str">
        <f>IF(COUNTIF('TT BTSC'!$D:$D,B336)&gt;0,"Hư hỏng","Bình thường")</f>
        <v>Bình thường</v>
      </c>
      <c r="L336" s="101"/>
      <c r="M336" s="182"/>
      <c r="N336" s="101" t="s">
        <v>1779</v>
      </c>
      <c r="O336" s="110" t="s">
        <v>500</v>
      </c>
      <c r="P336" s="101">
        <v>2012</v>
      </c>
      <c r="Q336" s="101" t="s">
        <v>1122</v>
      </c>
      <c r="R336" s="101" t="s">
        <v>128</v>
      </c>
      <c r="S336" s="110" t="s">
        <v>1780</v>
      </c>
      <c r="T336" s="111" t="s">
        <v>462</v>
      </c>
      <c r="U336" s="111">
        <v>3.3</v>
      </c>
      <c r="V336" s="895">
        <v>0</v>
      </c>
      <c r="W336" s="895"/>
      <c r="X336" s="895"/>
      <c r="Y336" s="895"/>
    </row>
    <row r="337" ht="13.5" customHeight="1" outlineLevel="1" spans="1:25">
      <c r="A337" s="103">
        <f t="shared" si="12"/>
        <v>5</v>
      </c>
      <c r="B337" s="102" t="s">
        <v>1781</v>
      </c>
      <c r="C337" s="102" t="s">
        <v>1782</v>
      </c>
      <c r="D337" s="103" t="str">
        <f>IFERROR(VLOOKUP(B337,' 02.1 KLH-CN MÃ BRAVO MM'!$B:$C,2,0),"")</f>
        <v>A22-MKE-001</v>
      </c>
      <c r="E337" s="103"/>
      <c r="F337" s="103" t="s">
        <v>451</v>
      </c>
      <c r="G337" s="102" t="s">
        <v>207</v>
      </c>
      <c r="H337" s="101" t="str">
        <f>VLOOKUP(G337,'01. TH'!$B:$E,3,0)</f>
        <v>3445 x 1865 x 2535</v>
      </c>
      <c r="I337" s="101" t="s">
        <v>1776</v>
      </c>
      <c r="J337" s="105"/>
      <c r="K337" s="101" t="str">
        <f>IF(COUNTIF('TT BTSC'!$D:$D,B337)&gt;0,"Hư hỏng","Bình thường")</f>
        <v>Bình thường</v>
      </c>
      <c r="L337" s="101"/>
      <c r="M337" s="182"/>
      <c r="N337" s="101" t="s">
        <v>759</v>
      </c>
      <c r="O337" s="110" t="s">
        <v>453</v>
      </c>
      <c r="P337" s="101">
        <v>2013</v>
      </c>
      <c r="Q337" s="101" t="s">
        <v>1064</v>
      </c>
      <c r="R337" s="101" t="s">
        <v>208</v>
      </c>
      <c r="S337" s="110">
        <v>57123</v>
      </c>
      <c r="T337" s="111" t="s">
        <v>462</v>
      </c>
      <c r="U337" s="111">
        <v>4.8</v>
      </c>
      <c r="V337" s="895">
        <v>90</v>
      </c>
      <c r="W337" s="895"/>
      <c r="X337" s="895"/>
      <c r="Y337" s="895"/>
    </row>
    <row r="338" ht="13.5" customHeight="1" outlineLevel="1" spans="1:25">
      <c r="A338" s="103">
        <f t="shared" si="12"/>
        <v>6</v>
      </c>
      <c r="B338" s="102" t="s">
        <v>1783</v>
      </c>
      <c r="C338" s="102" t="s">
        <v>1784</v>
      </c>
      <c r="D338" s="103" t="str">
        <f>IFERROR(VLOOKUP(B338,' 02.1 KLH-CN MÃ BRAVO MM'!$B:$C,2,0),"")</f>
        <v>A22-MKE-005</v>
      </c>
      <c r="E338" s="103"/>
      <c r="F338" s="103" t="s">
        <v>451</v>
      </c>
      <c r="G338" s="102" t="s">
        <v>197</v>
      </c>
      <c r="H338" s="101" t="str">
        <f>VLOOKUP(G338,'01. TH'!$B:$E,3,0)</f>
        <v>3226 x 1570 x 1545</v>
      </c>
      <c r="I338" s="101" t="s">
        <v>1776</v>
      </c>
      <c r="J338" s="101" t="s">
        <v>1785</v>
      </c>
      <c r="K338" s="101" t="str">
        <f>IF(COUNTIF('TT BTSC'!$D:$D,B338)&gt;0,"Hư hỏng","Bình thường")</f>
        <v>Bình thường</v>
      </c>
      <c r="L338" s="101"/>
      <c r="M338" s="182" t="s">
        <v>1786</v>
      </c>
      <c r="N338" s="101" t="s">
        <v>1019</v>
      </c>
      <c r="O338" s="110" t="s">
        <v>500</v>
      </c>
      <c r="P338" s="101"/>
      <c r="Q338" s="101" t="s">
        <v>1122</v>
      </c>
      <c r="R338" s="101" t="s">
        <v>128</v>
      </c>
      <c r="S338" s="110" t="s">
        <v>462</v>
      </c>
      <c r="T338" s="111" t="s">
        <v>1787</v>
      </c>
      <c r="U338" s="111">
        <v>2.5</v>
      </c>
      <c r="V338" s="895">
        <v>0</v>
      </c>
      <c r="W338" s="895"/>
      <c r="X338" s="895"/>
      <c r="Y338" s="895"/>
    </row>
    <row r="339" ht="13.5" customHeight="1" outlineLevel="1" spans="1:25">
      <c r="A339" s="103">
        <f t="shared" si="12"/>
        <v>7</v>
      </c>
      <c r="B339" s="102" t="s">
        <v>1788</v>
      </c>
      <c r="C339" s="102" t="s">
        <v>1789</v>
      </c>
      <c r="D339" s="103" t="str">
        <f>IFERROR(VLOOKUP(B339,' 02.1 KLH-CN MÃ BRAVO MM'!$B:$C,2,0),"")</f>
        <v/>
      </c>
      <c r="E339" s="103"/>
      <c r="F339" s="103" t="s">
        <v>451</v>
      </c>
      <c r="G339" s="102" t="s">
        <v>197</v>
      </c>
      <c r="H339" s="101" t="str">
        <f>VLOOKUP(G339,'01. TH'!$B:$E,3,0)</f>
        <v>3226 x 1570 x 1545</v>
      </c>
      <c r="I339" s="101" t="s">
        <v>1776</v>
      </c>
      <c r="J339" s="105"/>
      <c r="K339" s="101" t="str">
        <f>IF(COUNTIF('TT BTSC'!$D:$D,B339)&gt;0,"Hư hỏng","Bình thường")</f>
        <v>Bình thường</v>
      </c>
      <c r="L339" s="101"/>
      <c r="M339" s="182" t="s">
        <v>1790</v>
      </c>
      <c r="N339" s="101" t="s">
        <v>1019</v>
      </c>
      <c r="O339" s="110" t="s">
        <v>500</v>
      </c>
      <c r="P339" s="101">
        <v>2018</v>
      </c>
      <c r="Q339" s="101" t="s">
        <v>1122</v>
      </c>
      <c r="R339" s="101" t="s">
        <v>128</v>
      </c>
      <c r="S339" s="110" t="s">
        <v>1791</v>
      </c>
      <c r="T339" s="111" t="s">
        <v>462</v>
      </c>
      <c r="U339" s="111">
        <v>2.5</v>
      </c>
      <c r="V339" s="895">
        <v>0</v>
      </c>
      <c r="W339" s="895"/>
      <c r="X339" s="895"/>
      <c r="Y339" s="895"/>
    </row>
    <row r="340" ht="13.5" customHeight="1" outlineLevel="1" spans="1:25">
      <c r="A340" s="103">
        <f t="shared" si="12"/>
        <v>8</v>
      </c>
      <c r="B340" s="102" t="s">
        <v>1792</v>
      </c>
      <c r="C340" s="102" t="s">
        <v>1793</v>
      </c>
      <c r="D340" s="103"/>
      <c r="E340" s="103"/>
      <c r="F340" s="103" t="s">
        <v>451</v>
      </c>
      <c r="G340" s="102" t="s">
        <v>197</v>
      </c>
      <c r="H340" s="101" t="str">
        <f>VLOOKUP(G340,'01. TH'!$B:$E,3,0)</f>
        <v>3226 x 1570 x 1545</v>
      </c>
      <c r="I340" s="101" t="s">
        <v>1776</v>
      </c>
      <c r="J340" s="105"/>
      <c r="K340" s="101" t="str">
        <f>IF(COUNTIF('TT BTSC'!$D:$D,B340)&gt;0,"Hư hỏng","Bình thường")</f>
        <v>Bình thường</v>
      </c>
      <c r="L340" s="101"/>
      <c r="M340" s="182" t="s">
        <v>1794</v>
      </c>
      <c r="N340" s="101" t="s">
        <v>1019</v>
      </c>
      <c r="O340" s="110" t="s">
        <v>500</v>
      </c>
      <c r="P340" s="101">
        <v>2018</v>
      </c>
      <c r="Q340" s="101" t="s">
        <v>1122</v>
      </c>
      <c r="R340" s="101" t="s">
        <v>128</v>
      </c>
      <c r="S340" s="110" t="s">
        <v>1795</v>
      </c>
      <c r="T340" s="111" t="s">
        <v>462</v>
      </c>
      <c r="U340" s="111">
        <v>2.5</v>
      </c>
      <c r="V340" s="895">
        <v>0</v>
      </c>
      <c r="W340" s="895"/>
      <c r="X340" s="895"/>
      <c r="Y340" s="895"/>
    </row>
    <row r="341" ht="13.5" customHeight="1" outlineLevel="1" spans="1:25">
      <c r="A341" s="103">
        <f t="shared" si="12"/>
        <v>9</v>
      </c>
      <c r="B341" s="102" t="s">
        <v>1796</v>
      </c>
      <c r="C341" s="102" t="s">
        <v>1797</v>
      </c>
      <c r="D341" s="103"/>
      <c r="E341" s="103"/>
      <c r="F341" s="103" t="s">
        <v>451</v>
      </c>
      <c r="G341" s="102" t="s">
        <v>207</v>
      </c>
      <c r="H341" s="101"/>
      <c r="I341" s="101" t="s">
        <v>1776</v>
      </c>
      <c r="J341" s="105" t="s">
        <v>1798</v>
      </c>
      <c r="K341" s="101" t="str">
        <f>IF(COUNTIF('TT BTSC'!$D:$D,B341)&gt;0,"Hư hỏng","Bình thường")</f>
        <v>Bình thường</v>
      </c>
      <c r="L341" s="101"/>
      <c r="M341" s="182" t="s">
        <v>1799</v>
      </c>
      <c r="N341" s="101" t="s">
        <v>759</v>
      </c>
      <c r="O341" s="110" t="s">
        <v>453</v>
      </c>
      <c r="P341" s="101">
        <v>2013</v>
      </c>
      <c r="Q341" s="101" t="s">
        <v>1064</v>
      </c>
      <c r="R341" s="101" t="s">
        <v>208</v>
      </c>
      <c r="S341" s="110" t="s">
        <v>1800</v>
      </c>
      <c r="T341" s="111" t="s">
        <v>462</v>
      </c>
      <c r="U341" s="111"/>
      <c r="V341" s="895"/>
      <c r="W341" s="895"/>
      <c r="X341" s="895"/>
      <c r="Y341" s="895"/>
    </row>
    <row r="342" ht="33.75" customHeight="1" outlineLevel="1" spans="1:25">
      <c r="A342" s="103">
        <f t="shared" si="12"/>
        <v>10</v>
      </c>
      <c r="B342" s="156" t="s">
        <v>1801</v>
      </c>
      <c r="C342" s="104"/>
      <c r="D342" s="101" t="s">
        <v>1802</v>
      </c>
      <c r="E342" s="913"/>
      <c r="F342" s="157" t="s">
        <v>492</v>
      </c>
      <c r="G342" s="156" t="s">
        <v>187</v>
      </c>
      <c r="H342" s="101" t="str">
        <f>VLOOKUP(G342,'01. TH'!$B:$E,3,0)</f>
        <v>4190 x 2170 x 2590</v>
      </c>
      <c r="I342" s="157" t="s">
        <v>1103</v>
      </c>
      <c r="J342" s="103" t="s">
        <v>1803</v>
      </c>
      <c r="K342" s="101" t="str">
        <f>IF(COUNTIF('TT BTSC'!$D:$D,B387)&gt;0,"Hư hỏng","Bình thường")</f>
        <v>Bình thường</v>
      </c>
      <c r="L342" s="199"/>
      <c r="M342" s="1096" t="s">
        <v>1804</v>
      </c>
      <c r="N342" s="146" t="s">
        <v>1805</v>
      </c>
      <c r="O342" s="156" t="s">
        <v>1806</v>
      </c>
      <c r="P342" s="913">
        <v>1997</v>
      </c>
      <c r="Q342" s="146">
        <v>6200</v>
      </c>
      <c r="R342" s="146" t="s">
        <v>177</v>
      </c>
      <c r="S342" s="156" t="s">
        <v>1807</v>
      </c>
      <c r="T342" s="156" t="s">
        <v>1808</v>
      </c>
      <c r="U342" s="914"/>
      <c r="V342" s="898"/>
      <c r="W342" s="192" t="s">
        <v>1026</v>
      </c>
      <c r="X342" s="895"/>
      <c r="Y342" s="895"/>
    </row>
    <row r="343" ht="13.5" customHeight="1" outlineLevel="1" spans="1:25">
      <c r="A343" s="103">
        <f t="shared" si="12"/>
        <v>11</v>
      </c>
      <c r="B343" s="102" t="s">
        <v>1809</v>
      </c>
      <c r="C343" s="102" t="s">
        <v>1810</v>
      </c>
      <c r="D343" s="103" t="str">
        <f>IFERROR(VLOOKUP(B343,' 02.1 KLH-CN MÃ BRAVO MM'!$B:$C,2,0),"")</f>
        <v>ATT-A22-0242</v>
      </c>
      <c r="E343" s="103"/>
      <c r="F343" s="103" t="s">
        <v>451</v>
      </c>
      <c r="G343" s="102" t="s">
        <v>287</v>
      </c>
      <c r="H343" s="101" t="str">
        <f>VLOOKUP(G343,'01. TH'!$B:$E,3,0)</f>
        <v/>
      </c>
      <c r="I343" s="101" t="s">
        <v>1776</v>
      </c>
      <c r="J343" s="105"/>
      <c r="K343" s="101" t="str">
        <f>IF(COUNTIF('TT BTSC'!$D:$D,B343)&gt;0,"Hư hỏng","Bình thường")</f>
        <v>Bình thường</v>
      </c>
      <c r="L343" s="101"/>
      <c r="M343" s="182"/>
      <c r="N343" s="101" t="s">
        <v>1751</v>
      </c>
      <c r="O343" s="110" t="s">
        <v>1165</v>
      </c>
      <c r="P343" s="101"/>
      <c r="Q343" s="101"/>
      <c r="R343" s="101"/>
      <c r="S343" s="110" t="s">
        <v>1811</v>
      </c>
      <c r="T343" s="111" t="s">
        <v>462</v>
      </c>
      <c r="U343" s="111">
        <v>0.5</v>
      </c>
      <c r="V343" s="192"/>
      <c r="W343" s="192"/>
      <c r="X343" s="192"/>
      <c r="Y343" s="192"/>
    </row>
    <row r="344" ht="13.5" customHeight="1" outlineLevel="1" spans="1:25">
      <c r="A344" s="103">
        <f t="shared" si="12"/>
        <v>12</v>
      </c>
      <c r="B344" s="915" t="s">
        <v>1812</v>
      </c>
      <c r="C344" s="916" t="s">
        <v>1813</v>
      </c>
      <c r="D344" s="256" t="str">
        <f>IFERROR(VLOOKUP(B344,' 02.1 KLH-CN MÃ BRAVO MM'!$B:$C,2,0),"")</f>
        <v/>
      </c>
      <c r="E344" s="341"/>
      <c r="F344" s="103" t="s">
        <v>451</v>
      </c>
      <c r="G344" s="915" t="s">
        <v>282</v>
      </c>
      <c r="H344" s="101" t="str">
        <f>VLOOKUP(G344,'01. TH'!$B:$E,3,0)</f>
        <v/>
      </c>
      <c r="I344" s="101" t="s">
        <v>1776</v>
      </c>
      <c r="J344" s="917" t="s">
        <v>1213</v>
      </c>
      <c r="K344" s="101" t="str">
        <f>IF(COUNTIF('TT BTSC'!$D:$D,B344)&gt;0,"Hư hỏng","Bình thường")</f>
        <v>Bình thường</v>
      </c>
      <c r="L344" s="918">
        <v>0.7</v>
      </c>
      <c r="M344" s="919" t="s">
        <v>1814</v>
      </c>
      <c r="N344" s="920" t="s">
        <v>964</v>
      </c>
      <c r="O344" s="916" t="s">
        <v>1215</v>
      </c>
      <c r="P344" s="921"/>
      <c r="Q344" s="920" t="s">
        <v>1216</v>
      </c>
      <c r="R344" s="920" t="s">
        <v>272</v>
      </c>
      <c r="S344" s="916" t="s">
        <v>1815</v>
      </c>
      <c r="T344" s="922" t="s">
        <v>1816</v>
      </c>
      <c r="U344" s="923">
        <v>0.5</v>
      </c>
      <c r="V344" s="895">
        <v>0</v>
      </c>
      <c r="W344" s="895"/>
      <c r="X344" s="895"/>
      <c r="Y344" s="895"/>
    </row>
    <row r="345" ht="13.5" customHeight="1" outlineLevel="1" spans="1:25">
      <c r="A345" s="103">
        <f t="shared" si="12"/>
        <v>13</v>
      </c>
      <c r="B345" s="915" t="s">
        <v>1817</v>
      </c>
      <c r="C345" s="916" t="s">
        <v>1818</v>
      </c>
      <c r="D345" s="256" t="s">
        <v>1819</v>
      </c>
      <c r="E345" s="341"/>
      <c r="F345" s="157" t="s">
        <v>492</v>
      </c>
      <c r="G345" s="915" t="s">
        <v>1820</v>
      </c>
      <c r="H345" s="101"/>
      <c r="I345" s="101" t="s">
        <v>1776</v>
      </c>
      <c r="J345" s="917" t="s">
        <v>1821</v>
      </c>
      <c r="K345" s="101" t="str">
        <f>IF(COUNTIF('TT BTSC'!$D:$D,B345)&gt;0,"Hư hỏng","Bình thường")</f>
        <v>Bình thường</v>
      </c>
      <c r="L345" s="918"/>
      <c r="M345" s="919" t="s">
        <v>1822</v>
      </c>
      <c r="N345" s="920" t="s">
        <v>964</v>
      </c>
      <c r="O345" s="916" t="s">
        <v>811</v>
      </c>
      <c r="P345" s="921"/>
      <c r="Q345" s="920" t="s">
        <v>1823</v>
      </c>
      <c r="R345" s="920" t="s">
        <v>174</v>
      </c>
      <c r="S345" s="916">
        <v>50349</v>
      </c>
      <c r="T345" s="922" t="s">
        <v>1824</v>
      </c>
      <c r="U345" s="923"/>
      <c r="V345" s="895"/>
      <c r="W345" s="895"/>
      <c r="X345" s="895"/>
      <c r="Y345" s="895"/>
    </row>
    <row r="346" ht="13.5" customHeight="1" outlineLevel="1" spans="1:25">
      <c r="A346" s="101"/>
      <c r="B346" s="102"/>
      <c r="C346" s="102"/>
      <c r="D346" s="103"/>
      <c r="E346" s="103"/>
      <c r="F346" s="103"/>
      <c r="G346" s="102"/>
      <c r="H346" s="101"/>
      <c r="I346" s="101"/>
      <c r="J346" s="101"/>
      <c r="K346" s="101"/>
      <c r="L346" s="101"/>
      <c r="M346" s="182"/>
      <c r="N346" s="101"/>
      <c r="O346" s="110"/>
      <c r="P346" s="101"/>
      <c r="Q346" s="101"/>
      <c r="R346" s="101"/>
      <c r="S346" s="110"/>
      <c r="T346" s="111"/>
      <c r="U346" s="111"/>
      <c r="V346" s="192"/>
      <c r="W346" s="192"/>
      <c r="X346" s="192"/>
      <c r="Y346" s="192"/>
    </row>
    <row r="347" ht="13.5" customHeight="1" outlineLevel="1" spans="1:25">
      <c r="A347" s="101"/>
      <c r="B347" s="102"/>
      <c r="C347" s="102" t="s">
        <v>1825</v>
      </c>
      <c r="D347" s="103"/>
      <c r="E347" s="103"/>
      <c r="F347" s="103"/>
      <c r="G347" s="102"/>
      <c r="H347" s="101" t="e">
        <f>VLOOKUP(G347,'01. TH'!$B:$E,3,0)</f>
        <v>#N/A</v>
      </c>
      <c r="I347" s="101"/>
      <c r="J347" s="101"/>
      <c r="K347" s="101"/>
      <c r="L347" s="101"/>
      <c r="M347" s="182"/>
      <c r="N347" s="101"/>
      <c r="O347" s="110"/>
      <c r="P347" s="101"/>
      <c r="Q347" s="101"/>
      <c r="R347" s="101"/>
      <c r="S347" s="110"/>
      <c r="T347" s="111"/>
      <c r="U347" s="111"/>
      <c r="V347" s="192"/>
      <c r="W347" s="192"/>
      <c r="X347" s="192"/>
      <c r="Y347" s="192"/>
    </row>
    <row r="348" ht="13.5" customHeight="1" spans="1:25">
      <c r="A348" s="91" t="s">
        <v>1826</v>
      </c>
      <c r="B348" s="91"/>
      <c r="C348" s="92">
        <f>COUNTA($B$349:$B$497)</f>
        <v>145</v>
      </c>
      <c r="D348" s="91" t="str">
        <f>IFERROR(VLOOKUP(B348,' 02.1 KLH-CN MÃ BRAVO MM'!$B:$C,2,0),"")</f>
        <v/>
      </c>
      <c r="E348" s="92"/>
      <c r="F348" s="92"/>
      <c r="G348" s="92"/>
      <c r="H348" s="91"/>
      <c r="I348" s="91"/>
      <c r="J348" s="93"/>
      <c r="K348" s="91"/>
      <c r="L348" s="92"/>
      <c r="M348" s="91"/>
      <c r="N348" s="92"/>
      <c r="O348" s="91"/>
      <c r="P348" s="91"/>
      <c r="Q348" s="91"/>
      <c r="R348" s="91"/>
      <c r="S348" s="91"/>
      <c r="T348" s="91"/>
      <c r="U348" s="91"/>
      <c r="V348" s="192"/>
      <c r="W348" s="192"/>
      <c r="X348" s="192"/>
      <c r="Y348" s="192"/>
    </row>
    <row r="349" ht="13.5" customHeight="1" outlineLevel="1" spans="1:25">
      <c r="A349" s="103">
        <v>1</v>
      </c>
      <c r="B349" s="102" t="s">
        <v>1827</v>
      </c>
      <c r="C349" s="102" t="s">
        <v>1828</v>
      </c>
      <c r="D349" s="103" t="str">
        <f>IFERROR(VLOOKUP(B349,' 02.1 KLH-CN MÃ BRAVO MM'!$B:$C,2,0),"")</f>
        <v>ATT-A22-0182</v>
      </c>
      <c r="E349" s="103"/>
      <c r="F349" s="103" t="s">
        <v>451</v>
      </c>
      <c r="G349" s="102" t="s">
        <v>209</v>
      </c>
      <c r="H349" s="101" t="str">
        <f>VLOOKUP(G349,'01. TH'!$B:$E,3,0)</f>
        <v>3760 x 1900 x 2570</v>
      </c>
      <c r="I349" s="101" t="s">
        <v>1103</v>
      </c>
      <c r="J349" s="836"/>
      <c r="K349" s="101" t="str">
        <f>IF(COUNTIF('TT BTSC'!$D:$D,B349)&gt;0,"Hư hỏng","Bình thường")</f>
        <v>Bình thường</v>
      </c>
      <c r="L349" s="101"/>
      <c r="M349" s="182"/>
      <c r="N349" s="101" t="s">
        <v>759</v>
      </c>
      <c r="O349" s="110" t="s">
        <v>453</v>
      </c>
      <c r="P349" s="101">
        <v>2011</v>
      </c>
      <c r="Q349" s="101">
        <v>9540</v>
      </c>
      <c r="R349" s="101" t="s">
        <v>120</v>
      </c>
      <c r="S349" s="110">
        <v>2340</v>
      </c>
      <c r="T349" s="111" t="s">
        <v>462</v>
      </c>
      <c r="U349" s="111">
        <v>2.5</v>
      </c>
      <c r="V349" s="895">
        <v>110</v>
      </c>
      <c r="W349" s="895"/>
      <c r="X349" s="895"/>
      <c r="Y349" s="895"/>
    </row>
    <row r="350" ht="13.5" customHeight="1" outlineLevel="1" spans="1:25">
      <c r="A350" s="103">
        <f t="shared" ref="A350:A493" si="13">1+A349</f>
        <v>2</v>
      </c>
      <c r="B350" s="102" t="s">
        <v>1829</v>
      </c>
      <c r="C350" s="102" t="s">
        <v>1830</v>
      </c>
      <c r="D350" s="103" t="str">
        <f>IFERROR(VLOOKUP(B350,' 02.1 KLH-CN MÃ BRAVO MM'!$B:$C,2,0),"")</f>
        <v>ATT-A22-0182</v>
      </c>
      <c r="E350" s="103"/>
      <c r="F350" s="103" t="s">
        <v>451</v>
      </c>
      <c r="G350" s="102" t="s">
        <v>209</v>
      </c>
      <c r="H350" s="101" t="str">
        <f>VLOOKUP(G350,'01. TH'!$B:$E,3,0)</f>
        <v>3760 x 1900 x 2570</v>
      </c>
      <c r="I350" s="101" t="s">
        <v>1103</v>
      </c>
      <c r="J350" s="105"/>
      <c r="K350" s="101" t="str">
        <f>IF(COUNTIF('TT BTSC'!$D:$D,B350)&gt;0,"Hư hỏng","Bình thường")</f>
        <v>Bình thường</v>
      </c>
      <c r="L350" s="101"/>
      <c r="M350" s="182"/>
      <c r="N350" s="101" t="s">
        <v>759</v>
      </c>
      <c r="O350" s="110" t="s">
        <v>453</v>
      </c>
      <c r="P350" s="101">
        <v>2011</v>
      </c>
      <c r="Q350" s="101">
        <v>9540</v>
      </c>
      <c r="R350" s="101" t="s">
        <v>120</v>
      </c>
      <c r="S350" s="110">
        <v>2807</v>
      </c>
      <c r="T350" s="111" t="s">
        <v>462</v>
      </c>
      <c r="U350" s="111">
        <v>3.8</v>
      </c>
      <c r="V350" s="895">
        <v>110</v>
      </c>
      <c r="W350" s="895"/>
      <c r="X350" s="895"/>
      <c r="Y350" s="895"/>
    </row>
    <row r="351" ht="13.5" customHeight="1" outlineLevel="1" spans="1:25">
      <c r="A351" s="103">
        <f t="shared" si="13"/>
        <v>3</v>
      </c>
      <c r="B351" s="104" t="s">
        <v>1831</v>
      </c>
      <c r="C351" s="104" t="s">
        <v>1832</v>
      </c>
      <c r="D351" s="103" t="str">
        <f>IFERROR(VLOOKUP(B351,' 02.1 KLH-CN MÃ BRAVO MM'!$B:$C,2,0),"")</f>
        <v>ATT-A22-0182</v>
      </c>
      <c r="E351" s="103"/>
      <c r="F351" s="103" t="s">
        <v>451</v>
      </c>
      <c r="G351" s="104" t="s">
        <v>209</v>
      </c>
      <c r="H351" s="101" t="str">
        <f>VLOOKUP(G351,'01. TH'!$B:$E,3,0)</f>
        <v>3760 x 1900 x 2570</v>
      </c>
      <c r="I351" s="103" t="s">
        <v>1103</v>
      </c>
      <c r="J351" s="112"/>
      <c r="K351" s="101" t="str">
        <f>IF(COUNTIF('TT BTSC'!$D:$D,B351)&gt;0,"Hư hỏng","Bình thường")</f>
        <v>Bình thường</v>
      </c>
      <c r="L351" s="103"/>
      <c r="M351" s="183"/>
      <c r="N351" s="103" t="s">
        <v>759</v>
      </c>
      <c r="O351" s="111" t="s">
        <v>453</v>
      </c>
      <c r="P351" s="103">
        <v>2011</v>
      </c>
      <c r="Q351" s="103">
        <v>9540</v>
      </c>
      <c r="R351" s="103" t="s">
        <v>120</v>
      </c>
      <c r="S351" s="111">
        <v>2796</v>
      </c>
      <c r="T351" s="111" t="s">
        <v>462</v>
      </c>
      <c r="U351" s="111">
        <v>3.8</v>
      </c>
      <c r="V351" s="895">
        <v>110</v>
      </c>
      <c r="W351" s="895"/>
      <c r="X351" s="895"/>
      <c r="Y351" s="895"/>
    </row>
    <row r="352" ht="13.5" customHeight="1" outlineLevel="1" spans="1:25">
      <c r="A352" s="103">
        <f t="shared" si="13"/>
        <v>4</v>
      </c>
      <c r="B352" s="102" t="s">
        <v>1833</v>
      </c>
      <c r="C352" s="102" t="s">
        <v>1834</v>
      </c>
      <c r="D352" s="103" t="s">
        <v>1624</v>
      </c>
      <c r="E352" s="103"/>
      <c r="F352" s="103" t="s">
        <v>451</v>
      </c>
      <c r="G352" s="102" t="s">
        <v>207</v>
      </c>
      <c r="H352" s="101" t="str">
        <f>VLOOKUP(G352,'01. TH'!$B:$E,3,0)</f>
        <v>3445 x 1865 x 2535</v>
      </c>
      <c r="I352" s="101" t="s">
        <v>1103</v>
      </c>
      <c r="J352" s="105"/>
      <c r="K352" s="101" t="str">
        <f>IF(COUNTIF('TT BTSC'!$D:$D,B352)&gt;0,"Hư hỏng","Bình thường")</f>
        <v>Bình thường</v>
      </c>
      <c r="L352" s="101"/>
      <c r="M352" s="182"/>
      <c r="N352" s="101" t="s">
        <v>759</v>
      </c>
      <c r="O352" s="110" t="s">
        <v>453</v>
      </c>
      <c r="P352" s="101">
        <v>2013</v>
      </c>
      <c r="Q352" s="101" t="s">
        <v>1064</v>
      </c>
      <c r="R352" s="101" t="s">
        <v>208</v>
      </c>
      <c r="S352" s="110">
        <v>57274</v>
      </c>
      <c r="T352" s="111">
        <v>9237</v>
      </c>
      <c r="U352" s="111">
        <v>3.5</v>
      </c>
      <c r="V352" s="895">
        <v>90</v>
      </c>
      <c r="W352" s="895"/>
      <c r="X352" s="895"/>
      <c r="Y352" s="895"/>
    </row>
    <row r="353" ht="13.5" customHeight="1" outlineLevel="1" spans="1:25">
      <c r="A353" s="103">
        <f t="shared" si="13"/>
        <v>5</v>
      </c>
      <c r="B353" s="102" t="s">
        <v>1835</v>
      </c>
      <c r="C353" s="102" t="s">
        <v>1836</v>
      </c>
      <c r="D353" s="103" t="str">
        <f>IFERROR(VLOOKUP(B353,' 02.1 KLH-CN MÃ BRAVO MM'!$B:$C,2,0),"")</f>
        <v>A22-MKE-009</v>
      </c>
      <c r="E353" s="103"/>
      <c r="F353" s="103" t="s">
        <v>451</v>
      </c>
      <c r="G353" s="102" t="s">
        <v>193</v>
      </c>
      <c r="H353" s="101" t="str">
        <f>VLOOKUP(G353,'01. TH'!$B:$E,3,0)</f>
        <v>4200 x 2600 x 2900</v>
      </c>
      <c r="I353" s="101" t="s">
        <v>1103</v>
      </c>
      <c r="J353" s="105"/>
      <c r="K353" s="101" t="str">
        <f>IF(COUNTIF('TT BTSC'!$D:$D,B353)&gt;0,"Hư hỏng","Bình thường")</f>
        <v>Bình thường</v>
      </c>
      <c r="L353" s="101"/>
      <c r="M353" s="182"/>
      <c r="N353" s="101" t="s">
        <v>976</v>
      </c>
      <c r="O353" s="110" t="s">
        <v>977</v>
      </c>
      <c r="P353" s="101">
        <v>2008</v>
      </c>
      <c r="Q353" s="101">
        <v>6603</v>
      </c>
      <c r="R353" s="101" t="s">
        <v>102</v>
      </c>
      <c r="S353" s="110">
        <v>5956</v>
      </c>
      <c r="T353" s="111" t="s">
        <v>462</v>
      </c>
      <c r="U353" s="111">
        <v>9</v>
      </c>
      <c r="V353" s="895">
        <v>158</v>
      </c>
      <c r="W353" s="895"/>
      <c r="X353" s="895"/>
      <c r="Y353" s="895"/>
    </row>
    <row r="354" ht="13.5" customHeight="1" outlineLevel="1" spans="1:25">
      <c r="A354" s="103">
        <f t="shared" si="13"/>
        <v>6</v>
      </c>
      <c r="B354" s="102" t="s">
        <v>1837</v>
      </c>
      <c r="C354" s="102" t="s">
        <v>1838</v>
      </c>
      <c r="D354" s="103" t="str">
        <f>IFERROR(VLOOKUP(B354,' 02.1 KLH-CN MÃ BRAVO MM'!$B:$C,2,0),"")</f>
        <v>A22-MKE-010</v>
      </c>
      <c r="E354" s="103"/>
      <c r="F354" s="103" t="s">
        <v>451</v>
      </c>
      <c r="G354" s="102" t="s">
        <v>193</v>
      </c>
      <c r="H354" s="101" t="str">
        <f>VLOOKUP(G354,'01. TH'!$B:$E,3,0)</f>
        <v>4200 x 2600 x 2900</v>
      </c>
      <c r="I354" s="101" t="s">
        <v>1103</v>
      </c>
      <c r="J354" s="105"/>
      <c r="K354" s="101" t="s">
        <v>1839</v>
      </c>
      <c r="L354" s="101"/>
      <c r="M354" s="182"/>
      <c r="N354" s="101" t="s">
        <v>976</v>
      </c>
      <c r="O354" s="110" t="s">
        <v>977</v>
      </c>
      <c r="P354" s="101">
        <v>2008</v>
      </c>
      <c r="Q354" s="101">
        <v>6603</v>
      </c>
      <c r="R354" s="101" t="s">
        <v>102</v>
      </c>
      <c r="S354" s="110">
        <v>32551</v>
      </c>
      <c r="T354" s="111" t="s">
        <v>462</v>
      </c>
      <c r="U354" s="111">
        <v>7</v>
      </c>
      <c r="V354" s="895">
        <v>158</v>
      </c>
      <c r="W354" s="895"/>
      <c r="X354" s="895"/>
      <c r="Y354" s="895"/>
    </row>
    <row r="355" ht="13.5" customHeight="1" outlineLevel="1" spans="1:25">
      <c r="A355" s="103">
        <f t="shared" si="13"/>
        <v>7</v>
      </c>
      <c r="B355" s="102" t="s">
        <v>1840</v>
      </c>
      <c r="C355" s="102" t="s">
        <v>1841</v>
      </c>
      <c r="D355" s="103" t="str">
        <f>IFERROR(VLOOKUP(B355,' 02.1 KLH-CN MÃ BRAVO MM'!$B:$C,2,0),"")</f>
        <v>A22-MKE-011</v>
      </c>
      <c r="E355" s="103"/>
      <c r="F355" s="103" t="s">
        <v>451</v>
      </c>
      <c r="G355" s="102" t="s">
        <v>197</v>
      </c>
      <c r="H355" s="101" t="str">
        <f>VLOOKUP(G355,'01. TH'!$B:$E,3,0)</f>
        <v>3226 x 1570 x 1545</v>
      </c>
      <c r="I355" s="101" t="s">
        <v>1103</v>
      </c>
      <c r="J355" s="105"/>
      <c r="K355" s="101" t="str">
        <f>IF(COUNTIF('TT BTSC'!$D:$D,B355)&gt;0,"Hư hỏng","Bình thường")</f>
        <v>Bình thường</v>
      </c>
      <c r="L355" s="101"/>
      <c r="M355" s="182"/>
      <c r="N355" s="101" t="s">
        <v>1019</v>
      </c>
      <c r="O355" s="110" t="s">
        <v>500</v>
      </c>
      <c r="P355" s="101">
        <v>2018</v>
      </c>
      <c r="Q355" s="101" t="s">
        <v>1122</v>
      </c>
      <c r="R355" s="101" t="s">
        <v>128</v>
      </c>
      <c r="S355" s="1097" t="s">
        <v>1842</v>
      </c>
      <c r="T355" s="111">
        <v>80</v>
      </c>
      <c r="U355" s="111">
        <v>2.5</v>
      </c>
      <c r="V355" s="895">
        <v>0</v>
      </c>
      <c r="W355" s="895"/>
      <c r="X355" s="895"/>
      <c r="Y355" s="895"/>
    </row>
    <row r="356" ht="13.5" customHeight="1" outlineLevel="1" spans="1:25">
      <c r="A356" s="103">
        <f t="shared" si="13"/>
        <v>8</v>
      </c>
      <c r="B356" s="104" t="s">
        <v>1843</v>
      </c>
      <c r="C356" s="104" t="s">
        <v>1844</v>
      </c>
      <c r="D356" s="103" t="str">
        <f>IFERROR(VLOOKUP(B356,' 02.1 KLH-CN MÃ BRAVO MM'!$B:$C,2,0),"")</f>
        <v>A22-MKE-015</v>
      </c>
      <c r="E356" s="103"/>
      <c r="F356" s="103" t="s">
        <v>451</v>
      </c>
      <c r="G356" s="104" t="s">
        <v>207</v>
      </c>
      <c r="H356" s="101" t="str">
        <f>VLOOKUP(G356,'01. TH'!$B:$E,3,0)</f>
        <v>3445 x 1865 x 2535</v>
      </c>
      <c r="I356" s="103" t="s">
        <v>1103</v>
      </c>
      <c r="J356" s="112"/>
      <c r="K356" s="101" t="str">
        <f>IF(COUNTIF('TT BTSC'!$D:$D,B356)&gt;0,"Hư hỏng","Bình thường")</f>
        <v>Bình thường</v>
      </c>
      <c r="L356" s="103"/>
      <c r="M356" s="183"/>
      <c r="N356" s="103" t="s">
        <v>759</v>
      </c>
      <c r="O356" s="111" t="s">
        <v>453</v>
      </c>
      <c r="P356" s="103">
        <v>2013</v>
      </c>
      <c r="Q356" s="103" t="s">
        <v>1064</v>
      </c>
      <c r="R356" s="103" t="s">
        <v>208</v>
      </c>
      <c r="S356" s="111" t="s">
        <v>1845</v>
      </c>
      <c r="T356" s="111" t="s">
        <v>462</v>
      </c>
      <c r="U356" s="111">
        <v>3.5</v>
      </c>
      <c r="V356" s="895">
        <v>90</v>
      </c>
      <c r="W356" s="895"/>
      <c r="X356" s="895"/>
      <c r="Y356" s="895"/>
    </row>
    <row r="357" ht="13.5" customHeight="1" outlineLevel="1" spans="1:25">
      <c r="A357" s="103">
        <f t="shared" si="13"/>
        <v>9</v>
      </c>
      <c r="B357" s="102" t="s">
        <v>1846</v>
      </c>
      <c r="C357" s="102" t="s">
        <v>1847</v>
      </c>
      <c r="D357" s="103" t="str">
        <f>IFERROR(VLOOKUP(B357,' 02.1 KLH-CN MÃ BRAVO MM'!$B:$C,2,0),"")</f>
        <v>A22-MKE-016</v>
      </c>
      <c r="E357" s="103"/>
      <c r="F357" s="103" t="s">
        <v>451</v>
      </c>
      <c r="G357" s="102" t="s">
        <v>197</v>
      </c>
      <c r="H357" s="101" t="str">
        <f>VLOOKUP(G357,'01. TH'!$B:$E,3,0)</f>
        <v>3226 x 1570 x 1545</v>
      </c>
      <c r="I357" s="101" t="s">
        <v>1103</v>
      </c>
      <c r="J357" s="105"/>
      <c r="K357" s="101" t="s">
        <v>1839</v>
      </c>
      <c r="L357" s="101"/>
      <c r="M357" s="182"/>
      <c r="N357" s="101" t="s">
        <v>1019</v>
      </c>
      <c r="O357" s="110" t="s">
        <v>500</v>
      </c>
      <c r="P357" s="101">
        <v>2018</v>
      </c>
      <c r="Q357" s="101" t="s">
        <v>1122</v>
      </c>
      <c r="R357" s="101" t="s">
        <v>128</v>
      </c>
      <c r="S357" s="110" t="s">
        <v>1848</v>
      </c>
      <c r="T357" s="111">
        <v>180012</v>
      </c>
      <c r="U357" s="111">
        <v>2</v>
      </c>
      <c r="V357" s="895">
        <v>0</v>
      </c>
      <c r="W357" s="895"/>
      <c r="X357" s="895"/>
      <c r="Y357" s="895"/>
    </row>
    <row r="358" ht="13.5" customHeight="1" outlineLevel="1" spans="1:25">
      <c r="A358" s="103">
        <f t="shared" si="13"/>
        <v>10</v>
      </c>
      <c r="B358" s="102" t="s">
        <v>1849</v>
      </c>
      <c r="C358" s="102" t="s">
        <v>1850</v>
      </c>
      <c r="D358" s="103" t="str">
        <f>IFERROR(VLOOKUP(B358,' 02.1 KLH-CN MÃ BRAVO MM'!$B:$C,2,0),"")</f>
        <v>ATT-A22-0321</v>
      </c>
      <c r="E358" s="103"/>
      <c r="F358" s="103" t="s">
        <v>504</v>
      </c>
      <c r="G358" s="102" t="s">
        <v>181</v>
      </c>
      <c r="H358" s="101" t="str">
        <f>VLOOKUP(G358,'01. TH'!$B:$E,3,0)</f>
        <v>4100 x 2100 x 2600</v>
      </c>
      <c r="I358" s="101" t="s">
        <v>1103</v>
      </c>
      <c r="J358" s="105">
        <v>45292</v>
      </c>
      <c r="K358" s="101" t="str">
        <f>IF(COUNTIF('TT BTSC'!$D:$D,B358)&gt;0,"Hư hỏng","Bình thường")</f>
        <v>Bình thường</v>
      </c>
      <c r="L358" s="107">
        <v>0.97</v>
      </c>
      <c r="M358" s="182"/>
      <c r="N358" s="101" t="s">
        <v>976</v>
      </c>
      <c r="O358" s="110" t="s">
        <v>977</v>
      </c>
      <c r="P358" s="101">
        <v>2022</v>
      </c>
      <c r="Q358" s="101">
        <v>5090</v>
      </c>
      <c r="R358" s="101" t="s">
        <v>177</v>
      </c>
      <c r="S358" s="110">
        <v>4073059</v>
      </c>
      <c r="T358" s="111">
        <v>26911</v>
      </c>
      <c r="U358" s="111">
        <v>6</v>
      </c>
      <c r="V358" s="895">
        <v>112</v>
      </c>
      <c r="W358" s="895"/>
      <c r="X358" s="895"/>
      <c r="Y358" s="895"/>
    </row>
    <row r="359" ht="13.5" customHeight="1" outlineLevel="1" spans="1:25">
      <c r="A359" s="103">
        <f t="shared" si="13"/>
        <v>11</v>
      </c>
      <c r="B359" s="102" t="s">
        <v>1851</v>
      </c>
      <c r="C359" s="102" t="s">
        <v>1850</v>
      </c>
      <c r="D359" s="103" t="str">
        <f>IFERROR(VLOOKUP(B359,' 02.1 KLH-CN MÃ BRAVO MM'!$B:$C,2,0),"")</f>
        <v>ATT-A22-0322</v>
      </c>
      <c r="E359" s="103"/>
      <c r="F359" s="103" t="s">
        <v>504</v>
      </c>
      <c r="G359" s="102" t="s">
        <v>181</v>
      </c>
      <c r="H359" s="101" t="str">
        <f>VLOOKUP(G359,'01. TH'!$B:$E,3,0)</f>
        <v>4100 x 2100 x 2600</v>
      </c>
      <c r="I359" s="101" t="s">
        <v>1103</v>
      </c>
      <c r="J359" s="105">
        <v>45292</v>
      </c>
      <c r="K359" s="101" t="str">
        <f>IF(COUNTIF('TT BTSC'!$D:$D,B359)&gt;0,"Hư hỏng","Bình thường")</f>
        <v>Bình thường</v>
      </c>
      <c r="L359" s="107">
        <v>0.97</v>
      </c>
      <c r="M359" s="182"/>
      <c r="N359" s="101" t="s">
        <v>976</v>
      </c>
      <c r="O359" s="110" t="s">
        <v>977</v>
      </c>
      <c r="P359" s="101">
        <v>2022</v>
      </c>
      <c r="Q359" s="101">
        <v>5090</v>
      </c>
      <c r="R359" s="101" t="s">
        <v>177</v>
      </c>
      <c r="S359" s="110">
        <v>4073056</v>
      </c>
      <c r="T359" s="111">
        <v>27085</v>
      </c>
      <c r="U359" s="111">
        <v>6</v>
      </c>
      <c r="V359" s="895">
        <v>112</v>
      </c>
      <c r="W359" s="895"/>
      <c r="X359" s="895"/>
      <c r="Y359" s="895"/>
    </row>
    <row r="360" ht="13.5" customHeight="1" outlineLevel="1" spans="1:25">
      <c r="A360" s="103">
        <f t="shared" si="13"/>
        <v>12</v>
      </c>
      <c r="B360" s="102" t="s">
        <v>1852</v>
      </c>
      <c r="C360" s="102" t="s">
        <v>1853</v>
      </c>
      <c r="D360" s="103" t="str">
        <f>IFERROR(VLOOKUP(B360,' 02.1 KLH-CN MÃ BRAVO MM'!$B:$C,2,0),"")</f>
        <v>A22-MKE-020</v>
      </c>
      <c r="E360" s="103"/>
      <c r="F360" s="103" t="s">
        <v>451</v>
      </c>
      <c r="G360" s="102" t="s">
        <v>197</v>
      </c>
      <c r="H360" s="101" t="str">
        <f>VLOOKUP(G360,'01. TH'!$B:$E,3,0)</f>
        <v>3226 x 1570 x 1545</v>
      </c>
      <c r="I360" s="101" t="s">
        <v>1103</v>
      </c>
      <c r="J360" s="101" t="s">
        <v>1854</v>
      </c>
      <c r="K360" s="101" t="str">
        <f>IF(COUNTIF('TT BTSC'!$D:$D,B360)&gt;0,"Hư hỏng","Bình thường")</f>
        <v>Bình thường</v>
      </c>
      <c r="L360" s="101"/>
      <c r="M360" s="182"/>
      <c r="N360" s="101" t="s">
        <v>1019</v>
      </c>
      <c r="O360" s="110" t="s">
        <v>500</v>
      </c>
      <c r="P360" s="101">
        <v>2018</v>
      </c>
      <c r="Q360" s="101" t="s">
        <v>1122</v>
      </c>
      <c r="R360" s="101" t="s">
        <v>128</v>
      </c>
      <c r="S360" s="110">
        <v>180090</v>
      </c>
      <c r="T360" s="111" t="s">
        <v>462</v>
      </c>
      <c r="U360" s="111">
        <v>2.5</v>
      </c>
      <c r="V360" s="895">
        <v>0</v>
      </c>
      <c r="W360" s="895"/>
      <c r="X360" s="895"/>
      <c r="Y360" s="895"/>
    </row>
    <row r="361" ht="13.5" customHeight="1" outlineLevel="1" spans="1:25">
      <c r="A361" s="103">
        <f t="shared" si="13"/>
        <v>13</v>
      </c>
      <c r="B361" s="102" t="s">
        <v>1855</v>
      </c>
      <c r="C361" s="102" t="s">
        <v>1048</v>
      </c>
      <c r="D361" s="103" t="str">
        <f>IFERROR(VLOOKUP(B361,' 02.1 KLH-CN MÃ BRAVO MM'!$B:$C,2,0),"")</f>
        <v>ATT-A22-0329</v>
      </c>
      <c r="E361" s="103"/>
      <c r="F361" s="103" t="s">
        <v>504</v>
      </c>
      <c r="G361" s="102" t="s">
        <v>185</v>
      </c>
      <c r="H361" s="101" t="str">
        <f>VLOOKUP(G361,'01. TH'!$B:$E,3,0)</f>
        <v>4835 x 2600 x 2965</v>
      </c>
      <c r="I361" s="101" t="s">
        <v>1103</v>
      </c>
      <c r="J361" s="101" t="s">
        <v>982</v>
      </c>
      <c r="K361" s="101" t="str">
        <f>IF(COUNTIF('TT BTSC'!$D:$D,B361)&gt;0,"Hư hỏng","Bình thường")</f>
        <v>Bình thường</v>
      </c>
      <c r="L361" s="101"/>
      <c r="M361" s="182"/>
      <c r="N361" s="101" t="s">
        <v>976</v>
      </c>
      <c r="O361" s="110" t="s">
        <v>977</v>
      </c>
      <c r="P361" s="101">
        <v>2022</v>
      </c>
      <c r="Q361" s="101" t="s">
        <v>983</v>
      </c>
      <c r="R361" s="101" t="s">
        <v>102</v>
      </c>
      <c r="S361" s="110" t="s">
        <v>1856</v>
      </c>
      <c r="T361" s="111" t="s">
        <v>1857</v>
      </c>
      <c r="U361" s="111">
        <v>9.5</v>
      </c>
      <c r="V361" s="895">
        <v>220</v>
      </c>
      <c r="W361" s="895"/>
      <c r="X361" s="895"/>
      <c r="Y361" s="895"/>
    </row>
    <row r="362" ht="13.5" customHeight="1" outlineLevel="1" spans="1:25">
      <c r="A362" s="103">
        <f t="shared" si="13"/>
        <v>14</v>
      </c>
      <c r="B362" s="102" t="s">
        <v>1858</v>
      </c>
      <c r="C362" s="102"/>
      <c r="D362" s="103" t="str">
        <f>IFERROR(VLOOKUP(B362,' 02.1 KLH-CN MÃ BRAVO MM'!$B:$C,2,0),"")</f>
        <v>ATM-A22-0126</v>
      </c>
      <c r="E362" s="103"/>
      <c r="F362" s="157" t="s">
        <v>492</v>
      </c>
      <c r="G362" s="102" t="s">
        <v>164</v>
      </c>
      <c r="H362" s="101" t="str">
        <f>VLOOKUP(G362,'01. TH'!$B:$E,3,0)</f>
        <v/>
      </c>
      <c r="I362" s="101" t="s">
        <v>1103</v>
      </c>
      <c r="J362" s="105">
        <v>45385</v>
      </c>
      <c r="K362" s="101" t="str">
        <f>IF(COUNTIF('TT BTSC'!$D:$D,B362)&gt;0,"Hư hỏng","Bình thường")</f>
        <v>Bình thường</v>
      </c>
      <c r="L362" s="107">
        <v>0.97</v>
      </c>
      <c r="M362" s="182"/>
      <c r="N362" s="101" t="s">
        <v>1222</v>
      </c>
      <c r="O362" s="110" t="s">
        <v>1140</v>
      </c>
      <c r="P362" s="101"/>
      <c r="Q362" s="101" t="s">
        <v>1859</v>
      </c>
      <c r="R362" s="101" t="s">
        <v>102</v>
      </c>
      <c r="S362" s="110" t="s">
        <v>1860</v>
      </c>
      <c r="T362" s="111" t="s">
        <v>1861</v>
      </c>
      <c r="U362" s="111"/>
      <c r="V362" s="895">
        <v>0</v>
      </c>
      <c r="W362" s="895"/>
      <c r="X362" s="895"/>
      <c r="Y362" s="895"/>
    </row>
    <row r="363" ht="13.5" customHeight="1" outlineLevel="1" spans="1:25">
      <c r="A363" s="103">
        <f t="shared" si="13"/>
        <v>15</v>
      </c>
      <c r="B363" s="102" t="s">
        <v>1862</v>
      </c>
      <c r="C363" s="102" t="s">
        <v>1863</v>
      </c>
      <c r="D363" s="103" t="str">
        <f>IFERROR(VLOOKUP(B363,' 02.1 KLH-CN MÃ BRAVO MM'!$B:$C,2,0),"")</f>
        <v>A22-MKE-022</v>
      </c>
      <c r="E363" s="103"/>
      <c r="F363" s="103" t="s">
        <v>451</v>
      </c>
      <c r="G363" s="102" t="s">
        <v>197</v>
      </c>
      <c r="H363" s="101" t="str">
        <f>VLOOKUP(G363,'01. TH'!$B:$E,3,0)</f>
        <v>3226 x 1570 x 1545</v>
      </c>
      <c r="I363" s="103" t="s">
        <v>1103</v>
      </c>
      <c r="J363" s="101" t="s">
        <v>764</v>
      </c>
      <c r="K363" s="101" t="str">
        <f>IF(COUNTIF('TT BTSC'!$D:$D,B363)&gt;0,"Hư hỏng","Bình thường")</f>
        <v>Bình thường</v>
      </c>
      <c r="L363" s="107"/>
      <c r="M363" s="182" t="s">
        <v>1864</v>
      </c>
      <c r="N363" s="101" t="s">
        <v>1019</v>
      </c>
      <c r="O363" s="110" t="s">
        <v>500</v>
      </c>
      <c r="P363" s="101">
        <v>2018</v>
      </c>
      <c r="Q363" s="101" t="s">
        <v>1122</v>
      </c>
      <c r="R363" s="101" t="s">
        <v>128</v>
      </c>
      <c r="S363" s="110" t="s">
        <v>1865</v>
      </c>
      <c r="T363" s="111" t="s">
        <v>462</v>
      </c>
      <c r="U363" s="111">
        <v>2.5</v>
      </c>
      <c r="V363" s="895">
        <v>0</v>
      </c>
      <c r="W363" s="895"/>
      <c r="X363" s="895"/>
      <c r="Y363" s="895"/>
    </row>
    <row r="364" ht="13.5" customHeight="1" outlineLevel="1" spans="1:25">
      <c r="A364" s="103">
        <f t="shared" si="13"/>
        <v>16</v>
      </c>
      <c r="B364" s="102" t="s">
        <v>1866</v>
      </c>
      <c r="C364" s="102"/>
      <c r="D364" s="103" t="str">
        <f>IFERROR(VLOOKUP(B364,' 02.1 KLH-CN MÃ BRAVO MM'!$B:$C,2,0),"")</f>
        <v>ATM-A22-0129</v>
      </c>
      <c r="E364" s="103"/>
      <c r="F364" s="157" t="s">
        <v>492</v>
      </c>
      <c r="G364" s="104" t="s">
        <v>170</v>
      </c>
      <c r="H364" s="101" t="str">
        <f>VLOOKUP(G364,'01. TH'!$B:$E,3,0)</f>
        <v/>
      </c>
      <c r="I364" s="103" t="s">
        <v>1103</v>
      </c>
      <c r="J364" s="101" t="s">
        <v>1867</v>
      </c>
      <c r="K364" s="101" t="str">
        <f>IF(COUNTIF('TT BTSC'!$D:$D,B364)&gt;0,"Hư hỏng","Bình thường")</f>
        <v>Bình thường</v>
      </c>
      <c r="L364" s="107">
        <v>0.97</v>
      </c>
      <c r="M364" s="182"/>
      <c r="N364" s="103" t="s">
        <v>964</v>
      </c>
      <c r="O364" s="111" t="s">
        <v>1140</v>
      </c>
      <c r="P364" s="101"/>
      <c r="Q364" s="103" t="s">
        <v>1868</v>
      </c>
      <c r="R364" s="101" t="s">
        <v>120</v>
      </c>
      <c r="S364" s="111">
        <v>50478</v>
      </c>
      <c r="T364" s="111" t="s">
        <v>462</v>
      </c>
      <c r="U364" s="111"/>
      <c r="V364" s="895">
        <v>0</v>
      </c>
      <c r="W364" s="895"/>
      <c r="X364" s="895"/>
      <c r="Y364" s="895"/>
    </row>
    <row r="365" ht="13.5" customHeight="1" outlineLevel="1" spans="1:25">
      <c r="A365" s="103">
        <f t="shared" si="13"/>
        <v>17</v>
      </c>
      <c r="B365" s="156" t="s">
        <v>1869</v>
      </c>
      <c r="C365" s="156" t="s">
        <v>504</v>
      </c>
      <c r="D365" s="157" t="str">
        <f>IFERROR(VLOOKUP(B365,' 02.1 KLH-CN MÃ BRAVO MM'!$B:$C,2,0),"")</f>
        <v>A22-MKE-051</v>
      </c>
      <c r="E365" s="157"/>
      <c r="F365" s="157" t="s">
        <v>504</v>
      </c>
      <c r="G365" s="156" t="s">
        <v>185</v>
      </c>
      <c r="H365" s="101" t="str">
        <f>VLOOKUP(G365,'01. TH'!$B:$E,3,0)</f>
        <v>4835 x 2600 x 2965</v>
      </c>
      <c r="I365" s="157" t="s">
        <v>1103</v>
      </c>
      <c r="J365" s="146" t="s">
        <v>1213</v>
      </c>
      <c r="K365" s="101" t="str">
        <f>IF(COUNTIF('TT BTSC'!$D:$D,B365)&gt;0,"Hư hỏng","Bình thường")</f>
        <v>Bình thường</v>
      </c>
      <c r="L365" s="199"/>
      <c r="M365" s="206"/>
      <c r="N365" s="101" t="s">
        <v>976</v>
      </c>
      <c r="O365" s="159" t="s">
        <v>1009</v>
      </c>
      <c r="P365" s="146">
        <v>2024</v>
      </c>
      <c r="Q365" s="146" t="s">
        <v>983</v>
      </c>
      <c r="R365" s="146" t="s">
        <v>102</v>
      </c>
      <c r="S365" s="159" t="s">
        <v>1870</v>
      </c>
      <c r="T365" s="160" t="s">
        <v>1871</v>
      </c>
      <c r="U365" s="111">
        <v>9.5</v>
      </c>
      <c r="V365" s="895">
        <v>220</v>
      </c>
      <c r="W365" s="895"/>
      <c r="X365" s="895"/>
      <c r="Y365" s="895"/>
    </row>
    <row r="366" ht="13.5" customHeight="1" outlineLevel="1" spans="1:25">
      <c r="A366" s="103">
        <f t="shared" si="13"/>
        <v>18</v>
      </c>
      <c r="B366" s="156" t="s">
        <v>1872</v>
      </c>
      <c r="C366" s="156" t="s">
        <v>1873</v>
      </c>
      <c r="D366" s="157" t="str">
        <f>IFERROR(VLOOKUP(B366,' 02.1 KLH-CN MÃ BRAVO MM'!$B:$C,2,0),"")</f>
        <v>A22-MKE-052</v>
      </c>
      <c r="E366" s="157"/>
      <c r="F366" s="157" t="s">
        <v>504</v>
      </c>
      <c r="G366" s="156" t="s">
        <v>185</v>
      </c>
      <c r="H366" s="101" t="str">
        <f>VLOOKUP(G366,'01. TH'!$B:$E,3,0)</f>
        <v>4835 x 2600 x 2965</v>
      </c>
      <c r="I366" s="157" t="s">
        <v>1103</v>
      </c>
      <c r="J366" s="146" t="s">
        <v>1213</v>
      </c>
      <c r="K366" s="101" t="str">
        <f>IF(COUNTIF('TT BTSC'!$D:$D,B366)&gt;0,"Hư hỏng","Bình thường")</f>
        <v>Bình thường</v>
      </c>
      <c r="L366" s="199"/>
      <c r="M366" s="206"/>
      <c r="N366" s="101" t="s">
        <v>976</v>
      </c>
      <c r="O366" s="159" t="s">
        <v>1009</v>
      </c>
      <c r="P366" s="146">
        <v>2024</v>
      </c>
      <c r="Q366" s="146" t="s">
        <v>983</v>
      </c>
      <c r="R366" s="146" t="s">
        <v>102</v>
      </c>
      <c r="S366" s="159" t="s">
        <v>1874</v>
      </c>
      <c r="T366" s="160" t="s">
        <v>1875</v>
      </c>
      <c r="U366" s="111">
        <v>9.5</v>
      </c>
      <c r="V366" s="895">
        <v>220</v>
      </c>
      <c r="W366" s="895"/>
      <c r="X366" s="895"/>
      <c r="Y366" s="895"/>
    </row>
    <row r="367" ht="13.5" customHeight="1" outlineLevel="1" spans="1:25">
      <c r="A367" s="103">
        <f t="shared" si="13"/>
        <v>19</v>
      </c>
      <c r="B367" s="104" t="s">
        <v>1876</v>
      </c>
      <c r="C367" s="124" t="s">
        <v>492</v>
      </c>
      <c r="D367" s="157" t="str">
        <f>IFERROR(VLOOKUP(B367,' 02.1 KLH-CN MÃ BRAVO MM'!$B:$C,2,0),"")</f>
        <v>A22-MKE-053</v>
      </c>
      <c r="E367" s="157"/>
      <c r="F367" s="157" t="s">
        <v>492</v>
      </c>
      <c r="G367" s="104" t="s">
        <v>184</v>
      </c>
      <c r="H367" s="101" t="str">
        <f>VLOOKUP(G367,'01. TH'!$B:$E,3,0)</f>
        <v>3840 x 1960 x 2550</v>
      </c>
      <c r="I367" s="157" t="s">
        <v>1103</v>
      </c>
      <c r="J367" s="103" t="s">
        <v>1877</v>
      </c>
      <c r="K367" s="101" t="str">
        <f>IF(COUNTIF('TT BTSC'!$D:$D,B367)&gt;0,"Hư hỏng","Bình thường")</f>
        <v>Bình thường</v>
      </c>
      <c r="L367" s="113"/>
      <c r="M367" s="183"/>
      <c r="N367" s="101" t="s">
        <v>976</v>
      </c>
      <c r="O367" s="159" t="s">
        <v>977</v>
      </c>
      <c r="P367" s="103">
        <v>2004</v>
      </c>
      <c r="Q367" s="103">
        <v>5520</v>
      </c>
      <c r="R367" s="103" t="s">
        <v>1878</v>
      </c>
      <c r="S367" s="111" t="s">
        <v>1879</v>
      </c>
      <c r="T367" s="111" t="s">
        <v>1880</v>
      </c>
      <c r="U367" s="111"/>
      <c r="V367" s="895">
        <v>118</v>
      </c>
      <c r="W367" s="895"/>
      <c r="X367" s="895"/>
      <c r="Y367" s="895"/>
    </row>
    <row r="368" ht="13.5" customHeight="1" outlineLevel="1" spans="1:25">
      <c r="A368" s="103">
        <f t="shared" si="13"/>
        <v>20</v>
      </c>
      <c r="B368" s="104" t="s">
        <v>1881</v>
      </c>
      <c r="C368" s="124" t="s">
        <v>492</v>
      </c>
      <c r="D368" s="157" t="str">
        <f>IFERROR(VLOOKUP(B368,' 02.1 KLH-CN MÃ BRAVO MM'!$B:$C,2,0),"")</f>
        <v>A22-MKE-054</v>
      </c>
      <c r="E368" s="157"/>
      <c r="F368" s="157" t="s">
        <v>492</v>
      </c>
      <c r="G368" s="104" t="s">
        <v>183</v>
      </c>
      <c r="H368" s="101" t="str">
        <f>VLOOKUP(G368,'01. TH'!$B:$E,3,0)</f>
        <v>3510 x 1740 x 2550</v>
      </c>
      <c r="I368" s="157" t="s">
        <v>1103</v>
      </c>
      <c r="J368" s="103" t="s">
        <v>1877</v>
      </c>
      <c r="K368" s="101" t="str">
        <f>IF(COUNTIF('TT BTSC'!$D:$D,B368)&gt;0,"Hư hỏng","Bình thường")</f>
        <v>Bình thường</v>
      </c>
      <c r="L368" s="113"/>
      <c r="M368" s="183"/>
      <c r="N368" s="101" t="s">
        <v>976</v>
      </c>
      <c r="O368" s="159" t="s">
        <v>977</v>
      </c>
      <c r="P368" s="103">
        <v>2004</v>
      </c>
      <c r="Q368" s="103">
        <v>5510</v>
      </c>
      <c r="R368" s="103" t="s">
        <v>1878</v>
      </c>
      <c r="S368" s="111" t="s">
        <v>1882</v>
      </c>
      <c r="T368" s="111" t="s">
        <v>1883</v>
      </c>
      <c r="U368" s="612"/>
      <c r="V368" s="895">
        <v>87</v>
      </c>
      <c r="W368" s="895"/>
      <c r="X368" s="895"/>
      <c r="Y368" s="895"/>
    </row>
    <row r="369" ht="13.5" customHeight="1" outlineLevel="1" spans="1:25">
      <c r="A369" s="103">
        <f t="shared" si="13"/>
        <v>21</v>
      </c>
      <c r="B369" s="104" t="s">
        <v>1884</v>
      </c>
      <c r="C369" s="124" t="s">
        <v>492</v>
      </c>
      <c r="D369" s="157" t="str">
        <f>IFERROR(VLOOKUP(B369,' 02.1 KLH-CN MÃ BRAVO MM'!$B:$C,2,0),"")</f>
        <v>A22-MKE-055</v>
      </c>
      <c r="E369" s="157"/>
      <c r="F369" s="157" t="s">
        <v>492</v>
      </c>
      <c r="G369" s="104" t="s">
        <v>187</v>
      </c>
      <c r="H369" s="101" t="str">
        <f>VLOOKUP(G369,'01. TH'!$B:$E,3,0)</f>
        <v>4190 x 2170 x 2590</v>
      </c>
      <c r="I369" s="157" t="s">
        <v>1103</v>
      </c>
      <c r="J369" s="112">
        <v>45360</v>
      </c>
      <c r="K369" s="101" t="str">
        <f>IF(COUNTIF('TT BTSC'!$D:$D,B369)&gt;0,"Hư hỏng","Bình thường")</f>
        <v>Bình thường</v>
      </c>
      <c r="L369" s="113"/>
      <c r="M369" s="183"/>
      <c r="N369" s="101" t="s">
        <v>976</v>
      </c>
      <c r="O369" s="111" t="s">
        <v>1067</v>
      </c>
      <c r="P369" s="103">
        <v>1998</v>
      </c>
      <c r="Q369" s="103">
        <v>6200</v>
      </c>
      <c r="R369" s="103" t="s">
        <v>177</v>
      </c>
      <c r="S369" s="111" t="s">
        <v>1885</v>
      </c>
      <c r="T369" s="111" t="s">
        <v>1886</v>
      </c>
      <c r="U369" s="111">
        <v>6.5</v>
      </c>
      <c r="V369" s="895">
        <v>159</v>
      </c>
      <c r="W369" s="895"/>
      <c r="X369" s="895"/>
      <c r="Y369" s="895"/>
    </row>
    <row r="370" ht="13.5" customHeight="1" outlineLevel="1" spans="1:25">
      <c r="A370" s="103">
        <f t="shared" si="13"/>
        <v>22</v>
      </c>
      <c r="B370" s="104" t="s">
        <v>1887</v>
      </c>
      <c r="C370" s="124" t="s">
        <v>492</v>
      </c>
      <c r="D370" s="157" t="str">
        <f>IFERROR(VLOOKUP(B370,' 02.1 KLH-CN MÃ BRAVO MM'!$B:$C,2,0),"")</f>
        <v>A22-MKE-056</v>
      </c>
      <c r="E370" s="157"/>
      <c r="F370" s="157" t="s">
        <v>492</v>
      </c>
      <c r="G370" s="104" t="s">
        <v>182</v>
      </c>
      <c r="H370" s="101" t="str">
        <f>VLOOKUP(G370,'01. TH'!$B:$E,3,0)</f>
        <v>3840 x 1740 x 2650</v>
      </c>
      <c r="I370" s="157" t="s">
        <v>1103</v>
      </c>
      <c r="J370" s="112">
        <v>45360</v>
      </c>
      <c r="K370" s="101" t="str">
        <f>IF(COUNTIF('TT BTSC'!$D:$D,B370)&gt;0,"Hư hỏng","Bình thường")</f>
        <v>Bình thường</v>
      </c>
      <c r="L370" s="113"/>
      <c r="M370" s="183"/>
      <c r="N370" s="101" t="s">
        <v>976</v>
      </c>
      <c r="O370" s="111" t="s">
        <v>977</v>
      </c>
      <c r="P370" s="103">
        <v>2006</v>
      </c>
      <c r="Q370" s="103">
        <v>5425</v>
      </c>
      <c r="R370" s="103" t="s">
        <v>1888</v>
      </c>
      <c r="S370" s="111" t="s">
        <v>1889</v>
      </c>
      <c r="T370" s="111" t="s">
        <v>1890</v>
      </c>
      <c r="U370" s="111"/>
      <c r="V370" s="895">
        <v>127</v>
      </c>
      <c r="W370" s="895"/>
      <c r="X370" s="895"/>
      <c r="Y370" s="895"/>
    </row>
    <row r="371" ht="13.5" customHeight="1" outlineLevel="1" spans="1:25">
      <c r="A371" s="103">
        <f t="shared" si="13"/>
        <v>23</v>
      </c>
      <c r="B371" s="104" t="s">
        <v>1891</v>
      </c>
      <c r="C371" s="156" t="s">
        <v>1873</v>
      </c>
      <c r="D371" s="103" t="s">
        <v>1892</v>
      </c>
      <c r="E371" s="157"/>
      <c r="F371" s="103" t="s">
        <v>504</v>
      </c>
      <c r="G371" s="104" t="s">
        <v>206</v>
      </c>
      <c r="H371" s="101" t="str">
        <f>VLOOKUP(G371,'01. TH'!$B:$E,3,0)</f>
        <v>4725 x 1910 x 3160</v>
      </c>
      <c r="I371" s="157" t="s">
        <v>1103</v>
      </c>
      <c r="J371" s="103" t="s">
        <v>1074</v>
      </c>
      <c r="K371" s="101" t="str">
        <f>IF(COUNTIF('TT BTSC'!$D:$D,B371)&gt;0,"Hư hỏng","Bình thường")</f>
        <v>Bình thường</v>
      </c>
      <c r="L371" s="113"/>
      <c r="M371" s="182" t="s">
        <v>1146</v>
      </c>
      <c r="N371" s="103" t="s">
        <v>1015</v>
      </c>
      <c r="O371" s="111" t="s">
        <v>1617</v>
      </c>
      <c r="P371" s="103">
        <v>2024</v>
      </c>
      <c r="Q371" s="103" t="s">
        <v>1893</v>
      </c>
      <c r="R371" s="103" t="s">
        <v>1894</v>
      </c>
      <c r="S371" s="111" t="s">
        <v>1895</v>
      </c>
      <c r="T371" s="111" t="s">
        <v>1896</v>
      </c>
      <c r="U371" s="111">
        <v>6</v>
      </c>
      <c r="V371" s="895">
        <v>140</v>
      </c>
      <c r="W371" s="895"/>
      <c r="X371" s="895"/>
      <c r="Y371" s="895"/>
    </row>
    <row r="372" ht="13.5" customHeight="1" outlineLevel="1" spans="1:25">
      <c r="A372" s="103">
        <f t="shared" si="13"/>
        <v>24</v>
      </c>
      <c r="B372" s="104" t="s">
        <v>1897</v>
      </c>
      <c r="C372" s="156" t="s">
        <v>1873</v>
      </c>
      <c r="D372" s="103" t="s">
        <v>1898</v>
      </c>
      <c r="E372" s="157"/>
      <c r="F372" s="103" t="s">
        <v>504</v>
      </c>
      <c r="G372" s="104" t="s">
        <v>202</v>
      </c>
      <c r="H372" s="101" t="str">
        <f>VLOOKUP(G372,'01. TH'!$B:$E,3,0)</f>
        <v>5300 x 2600 x 3150</v>
      </c>
      <c r="I372" s="157" t="s">
        <v>1103</v>
      </c>
      <c r="J372" s="103" t="s">
        <v>1899</v>
      </c>
      <c r="K372" s="101" t="str">
        <f>IF(COUNTIF('TT BTSC'!$D:$D,B372)&gt;0,"Hư hỏng","Bình thường")</f>
        <v>Bình thường</v>
      </c>
      <c r="L372" s="113"/>
      <c r="M372" s="182" t="s">
        <v>1146</v>
      </c>
      <c r="N372" s="103" t="s">
        <v>1015</v>
      </c>
      <c r="O372" s="111" t="s">
        <v>1617</v>
      </c>
      <c r="P372" s="103">
        <v>2024</v>
      </c>
      <c r="Q372" s="103" t="s">
        <v>1900</v>
      </c>
      <c r="R372" s="103" t="s">
        <v>203</v>
      </c>
      <c r="S372" s="111" t="s">
        <v>1901</v>
      </c>
      <c r="T372" s="111" t="s">
        <v>1902</v>
      </c>
      <c r="U372" s="111">
        <v>17.5</v>
      </c>
      <c r="V372" s="895">
        <v>350</v>
      </c>
      <c r="W372" s="895"/>
      <c r="X372" s="895"/>
      <c r="Y372" s="895"/>
    </row>
    <row r="373" ht="24.75" customHeight="1" outlineLevel="1" spans="1:25">
      <c r="A373" s="103">
        <f t="shared" si="13"/>
        <v>25</v>
      </c>
      <c r="B373" s="104" t="s">
        <v>1903</v>
      </c>
      <c r="C373" s="156" t="s">
        <v>1904</v>
      </c>
      <c r="D373" s="103" t="str">
        <f>IFERROR(VLOOKUP(B373,' 02.1 KLH-CN MÃ BRAVO MM'!$B:$C,2,0),"")</f>
        <v/>
      </c>
      <c r="E373" s="157"/>
      <c r="F373" s="103" t="s">
        <v>451</v>
      </c>
      <c r="G373" s="102" t="s">
        <v>197</v>
      </c>
      <c r="H373" s="101" t="str">
        <f>VLOOKUP(G373,'01. TH'!$B:$E,3,0)</f>
        <v>3226 x 1570 x 1545</v>
      </c>
      <c r="I373" s="157" t="s">
        <v>1103</v>
      </c>
      <c r="J373" s="112">
        <v>45689</v>
      </c>
      <c r="K373" s="101" t="str">
        <f>IF(COUNTIF('TT BTSC'!$D:$D,B373)&gt;0,"Hư hỏng","Bình thường")</f>
        <v>Bình thường</v>
      </c>
      <c r="L373" s="113"/>
      <c r="M373" s="182" t="s">
        <v>1905</v>
      </c>
      <c r="N373" s="103" t="s">
        <v>1019</v>
      </c>
      <c r="O373" s="111" t="s">
        <v>500</v>
      </c>
      <c r="P373" s="103">
        <v>2018</v>
      </c>
      <c r="Q373" s="103" t="s">
        <v>1122</v>
      </c>
      <c r="R373" s="103" t="s">
        <v>128</v>
      </c>
      <c r="S373" s="111" t="s">
        <v>1906</v>
      </c>
      <c r="T373" s="111" t="s">
        <v>462</v>
      </c>
      <c r="U373" s="111">
        <v>2.5</v>
      </c>
      <c r="V373" s="895">
        <v>0</v>
      </c>
      <c r="W373" s="895"/>
      <c r="X373" s="895"/>
      <c r="Y373" s="895"/>
    </row>
    <row r="374" ht="13.5" customHeight="1" outlineLevel="1" spans="1:25">
      <c r="A374" s="103">
        <f t="shared" si="13"/>
        <v>26</v>
      </c>
      <c r="B374" s="104" t="s">
        <v>1907</v>
      </c>
      <c r="C374" s="104" t="s">
        <v>1908</v>
      </c>
      <c r="D374" s="103" t="s">
        <v>1909</v>
      </c>
      <c r="E374" s="157"/>
      <c r="F374" s="103" t="s">
        <v>451</v>
      </c>
      <c r="G374" s="104" t="s">
        <v>193</v>
      </c>
      <c r="H374" s="101" t="str">
        <f>VLOOKUP(G374,'01. TH'!$B:$E,3,0)</f>
        <v>4200 x 2600 x 2900</v>
      </c>
      <c r="I374" s="157" t="s">
        <v>1103</v>
      </c>
      <c r="J374" s="112"/>
      <c r="K374" s="101" t="str">
        <f>IF(COUNTIF('TT BTSC'!$D:$D,B374)&gt;0,"Hư hỏng","Bình thường")</f>
        <v>Bình thường</v>
      </c>
      <c r="L374" s="103"/>
      <c r="M374" s="183" t="s">
        <v>1910</v>
      </c>
      <c r="N374" s="101" t="s">
        <v>976</v>
      </c>
      <c r="O374" s="111" t="s">
        <v>977</v>
      </c>
      <c r="P374" s="103">
        <v>2018</v>
      </c>
      <c r="Q374" s="103">
        <v>6603</v>
      </c>
      <c r="R374" s="101" t="s">
        <v>102</v>
      </c>
      <c r="S374" s="111">
        <v>32550</v>
      </c>
      <c r="T374" s="111" t="s">
        <v>462</v>
      </c>
      <c r="U374" s="111">
        <v>9</v>
      </c>
      <c r="V374" s="895">
        <v>158</v>
      </c>
      <c r="W374" s="895"/>
      <c r="X374" s="895"/>
      <c r="Y374" s="895"/>
    </row>
    <row r="375" ht="13.8" outlineLevel="1" spans="1:25">
      <c r="A375" s="103">
        <f t="shared" si="13"/>
        <v>27</v>
      </c>
      <c r="B375" s="104" t="s">
        <v>1911</v>
      </c>
      <c r="C375" s="104"/>
      <c r="D375" s="103"/>
      <c r="E375" s="157"/>
      <c r="F375" s="103" t="s">
        <v>504</v>
      </c>
      <c r="G375" s="104" t="s">
        <v>186</v>
      </c>
      <c r="H375" s="101" t="str">
        <f>VLOOKUP(G375,'01. TH'!$B:$E,3,0)</f>
        <v>4780 x 2550 x 3000</v>
      </c>
      <c r="I375" s="157" t="s">
        <v>1103</v>
      </c>
      <c r="J375" s="112">
        <v>45756</v>
      </c>
      <c r="K375" s="101" t="str">
        <f>IF(COUNTIF('TT BTSC'!$D:$D,B375)&gt;0,"Hư hỏng","Bình thường")</f>
        <v>Bình thường</v>
      </c>
      <c r="L375" s="113"/>
      <c r="M375" s="183" t="s">
        <v>1912</v>
      </c>
      <c r="N375" s="101" t="s">
        <v>976</v>
      </c>
      <c r="O375" s="111" t="s">
        <v>977</v>
      </c>
      <c r="P375" s="103">
        <v>2024</v>
      </c>
      <c r="Q375" s="103" t="s">
        <v>1057</v>
      </c>
      <c r="R375" s="103" t="s">
        <v>64</v>
      </c>
      <c r="S375" s="111" t="s">
        <v>1913</v>
      </c>
      <c r="T375" s="111" t="s">
        <v>1914</v>
      </c>
      <c r="U375" s="111">
        <v>14</v>
      </c>
      <c r="V375" s="895">
        <v>300</v>
      </c>
      <c r="W375" s="895"/>
      <c r="X375" s="895"/>
      <c r="Y375" s="895"/>
    </row>
    <row r="376" ht="13.5" customHeight="1" outlineLevel="1" spans="1:25">
      <c r="A376" s="103">
        <f t="shared" si="13"/>
        <v>28</v>
      </c>
      <c r="B376" s="104" t="s">
        <v>1915</v>
      </c>
      <c r="C376" s="104" t="s">
        <v>1916</v>
      </c>
      <c r="D376" s="103" t="s">
        <v>1917</v>
      </c>
      <c r="E376" s="157"/>
      <c r="F376" s="103" t="s">
        <v>504</v>
      </c>
      <c r="G376" s="104" t="s">
        <v>185</v>
      </c>
      <c r="H376" s="101" t="str">
        <f>VLOOKUP(G376,'01. TH'!$B:$E,3,0)</f>
        <v>4835 x 2600 x 2965</v>
      </c>
      <c r="I376" s="157" t="s">
        <v>1103</v>
      </c>
      <c r="J376" s="103" t="s">
        <v>1918</v>
      </c>
      <c r="K376" s="101" t="str">
        <f>IF(COUNTIF('TT BTSC'!$D:$D,B376)&gt;0,"Hư hỏng","Bình thường")</f>
        <v>Bình thường</v>
      </c>
      <c r="L376" s="113"/>
      <c r="M376" s="183"/>
      <c r="N376" s="101" t="s">
        <v>976</v>
      </c>
      <c r="O376" s="111" t="s">
        <v>1617</v>
      </c>
      <c r="P376" s="103">
        <v>2025</v>
      </c>
      <c r="Q376" s="103" t="s">
        <v>983</v>
      </c>
      <c r="R376" s="103" t="s">
        <v>102</v>
      </c>
      <c r="S376" s="111" t="s">
        <v>1919</v>
      </c>
      <c r="T376" s="111" t="s">
        <v>1920</v>
      </c>
      <c r="U376" s="111">
        <v>9.5</v>
      </c>
      <c r="V376" s="895">
        <v>220</v>
      </c>
      <c r="W376" s="895"/>
      <c r="X376" s="895"/>
      <c r="Y376" s="895"/>
    </row>
    <row r="377" ht="13.5" customHeight="1" outlineLevel="1" spans="1:25">
      <c r="A377" s="103">
        <f t="shared" si="13"/>
        <v>29</v>
      </c>
      <c r="B377" s="104" t="s">
        <v>1921</v>
      </c>
      <c r="C377" s="104" t="s">
        <v>1916</v>
      </c>
      <c r="D377" s="103" t="s">
        <v>1922</v>
      </c>
      <c r="E377" s="157"/>
      <c r="F377" s="103" t="s">
        <v>504</v>
      </c>
      <c r="G377" s="104" t="s">
        <v>185</v>
      </c>
      <c r="H377" s="101" t="str">
        <f>VLOOKUP(G377,'01. TH'!$B:$E,3,0)</f>
        <v>4835 x 2600 x 2965</v>
      </c>
      <c r="I377" s="157" t="s">
        <v>1103</v>
      </c>
      <c r="J377" s="103" t="s">
        <v>1918</v>
      </c>
      <c r="K377" s="101" t="str">
        <f>IF(COUNTIF('TT BTSC'!$D:$D,B377)&gt;0,"Hư hỏng","Bình thường")</f>
        <v>Bình thường</v>
      </c>
      <c r="L377" s="113"/>
      <c r="M377" s="183"/>
      <c r="N377" s="101" t="s">
        <v>976</v>
      </c>
      <c r="O377" s="111" t="s">
        <v>1617</v>
      </c>
      <c r="P377" s="103">
        <v>2025</v>
      </c>
      <c r="Q377" s="103" t="s">
        <v>983</v>
      </c>
      <c r="R377" s="103" t="s">
        <v>102</v>
      </c>
      <c r="S377" s="111" t="s">
        <v>1923</v>
      </c>
      <c r="T377" s="111" t="s">
        <v>1924</v>
      </c>
      <c r="U377" s="111">
        <v>9.5</v>
      </c>
      <c r="V377" s="895">
        <v>220</v>
      </c>
      <c r="W377" s="895"/>
      <c r="X377" s="895"/>
      <c r="Y377" s="895"/>
    </row>
    <row r="378" ht="13.5" customHeight="1" outlineLevel="1" spans="1:25">
      <c r="A378" s="103">
        <f t="shared" si="13"/>
        <v>30</v>
      </c>
      <c r="B378" s="104" t="s">
        <v>1925</v>
      </c>
      <c r="C378" s="104"/>
      <c r="D378" s="103" t="s">
        <v>1926</v>
      </c>
      <c r="E378" s="157"/>
      <c r="F378" s="157" t="s">
        <v>492</v>
      </c>
      <c r="G378" s="104" t="s">
        <v>187</v>
      </c>
      <c r="H378" s="101" t="str">
        <f>VLOOKUP(G378,'01. TH'!$B:$E,3,0)</f>
        <v>4190 x 2170 x 2590</v>
      </c>
      <c r="I378" s="157" t="s">
        <v>1103</v>
      </c>
      <c r="J378" s="103" t="s">
        <v>1927</v>
      </c>
      <c r="K378" s="101" t="str">
        <f>IF(COUNTIF('TT BTSC'!$D:$D,B378)&gt;0,"Hư hỏng","Bình thường")</f>
        <v>Bình thường</v>
      </c>
      <c r="L378" s="113"/>
      <c r="M378" s="183"/>
      <c r="N378" s="101" t="s">
        <v>976</v>
      </c>
      <c r="O378" s="111" t="s">
        <v>1617</v>
      </c>
      <c r="P378" s="103">
        <v>1998</v>
      </c>
      <c r="Q378" s="103">
        <v>6200</v>
      </c>
      <c r="R378" s="103" t="s">
        <v>177</v>
      </c>
      <c r="S378" s="111" t="s">
        <v>1928</v>
      </c>
      <c r="T378" s="111" t="s">
        <v>1929</v>
      </c>
      <c r="U378" s="111"/>
      <c r="V378" s="895">
        <v>159</v>
      </c>
      <c r="W378" s="895"/>
      <c r="X378" s="895"/>
      <c r="Y378" s="895"/>
    </row>
    <row r="379" ht="13.5" customHeight="1" outlineLevel="1" spans="1:25">
      <c r="A379" s="103">
        <f t="shared" si="13"/>
        <v>31</v>
      </c>
      <c r="B379" s="104" t="s">
        <v>1930</v>
      </c>
      <c r="C379" s="104"/>
      <c r="D379" s="103" t="s">
        <v>1931</v>
      </c>
      <c r="E379" s="157"/>
      <c r="F379" s="157" t="s">
        <v>492</v>
      </c>
      <c r="G379" s="104" t="s">
        <v>189</v>
      </c>
      <c r="H379" s="101" t="str">
        <f>VLOOKUP(G379,'01. TH'!$B:$E,3,0)</f>
        <v>4130 x 2030 x 2580</v>
      </c>
      <c r="I379" s="157" t="s">
        <v>1103</v>
      </c>
      <c r="J379" s="103" t="s">
        <v>1927</v>
      </c>
      <c r="K379" s="101" t="str">
        <f>IF(COUNTIF('TT BTSC'!$D:$D,B379)&gt;0,"Hư hỏng","Bình thường")</f>
        <v>Bình thường</v>
      </c>
      <c r="L379" s="113"/>
      <c r="M379" s="183"/>
      <c r="N379" s="101" t="s">
        <v>976</v>
      </c>
      <c r="O379" s="111" t="s">
        <v>1617</v>
      </c>
      <c r="P379" s="103">
        <v>1999</v>
      </c>
      <c r="Q379" s="103">
        <v>6210</v>
      </c>
      <c r="R379" s="103" t="s">
        <v>120</v>
      </c>
      <c r="S379" s="111" t="s">
        <v>1932</v>
      </c>
      <c r="T379" s="111" t="s">
        <v>1933</v>
      </c>
      <c r="U379" s="111"/>
      <c r="V379" s="895">
        <v>165</v>
      </c>
      <c r="W379" s="895"/>
      <c r="X379" s="895"/>
      <c r="Y379" s="895"/>
    </row>
    <row r="380" ht="13.5" customHeight="1" outlineLevel="1" spans="1:25">
      <c r="A380" s="103">
        <f t="shared" si="13"/>
        <v>32</v>
      </c>
      <c r="B380" s="104" t="s">
        <v>1934</v>
      </c>
      <c r="C380" s="104"/>
      <c r="D380" s="103" t="s">
        <v>1935</v>
      </c>
      <c r="E380" s="157"/>
      <c r="F380" s="157" t="s">
        <v>492</v>
      </c>
      <c r="G380" s="104" t="s">
        <v>194</v>
      </c>
      <c r="H380" s="101" t="str">
        <f>VLOOKUP(G380,'01. TH'!$B:$E,3,0)</f>
        <v>4705 x 2445 x 2864</v>
      </c>
      <c r="I380" s="157" t="s">
        <v>1103</v>
      </c>
      <c r="J380" s="103" t="s">
        <v>1927</v>
      </c>
      <c r="K380" s="101" t="str">
        <f>IF(COUNTIF('TT BTSC'!$D:$D,B380)&gt;0,"Hư hỏng","Bình thường")</f>
        <v>Bình thường</v>
      </c>
      <c r="L380" s="113"/>
      <c r="M380" s="183"/>
      <c r="N380" s="101" t="s">
        <v>976</v>
      </c>
      <c r="O380" s="111" t="s">
        <v>1617</v>
      </c>
      <c r="P380" s="103">
        <v>1999</v>
      </c>
      <c r="Q380" s="103">
        <v>6620</v>
      </c>
      <c r="R380" s="103" t="s">
        <v>102</v>
      </c>
      <c r="S380" s="111" t="s">
        <v>1936</v>
      </c>
      <c r="T380" s="111" t="s">
        <v>1937</v>
      </c>
      <c r="U380" s="111"/>
      <c r="V380" s="895">
        <v>207</v>
      </c>
      <c r="W380" s="895"/>
      <c r="X380" s="895"/>
      <c r="Y380" s="895"/>
    </row>
    <row r="381" ht="13.5" customHeight="1" outlineLevel="1" spans="1:25">
      <c r="A381" s="103">
        <f t="shared" si="13"/>
        <v>33</v>
      </c>
      <c r="B381" s="104" t="s">
        <v>1938</v>
      </c>
      <c r="C381" s="104" t="s">
        <v>1916</v>
      </c>
      <c r="D381" s="103" t="s">
        <v>1939</v>
      </c>
      <c r="E381" s="157"/>
      <c r="F381" s="103" t="s">
        <v>504</v>
      </c>
      <c r="G381" s="104" t="s">
        <v>1940</v>
      </c>
      <c r="H381" s="101"/>
      <c r="I381" s="157" t="s">
        <v>1103</v>
      </c>
      <c r="J381" s="103" t="s">
        <v>1941</v>
      </c>
      <c r="K381" s="101" t="str">
        <f>IF(COUNTIF('TT BTSC'!$D:$D,B381)&gt;0,"Hư hỏng","Bình thường")</f>
        <v>Bình thường</v>
      </c>
      <c r="L381" s="113"/>
      <c r="M381" s="183" t="s">
        <v>1146</v>
      </c>
      <c r="N381" s="101" t="s">
        <v>1015</v>
      </c>
      <c r="O381" s="111" t="s">
        <v>1617</v>
      </c>
      <c r="P381" s="103">
        <v>2026</v>
      </c>
      <c r="Q381" s="103" t="s">
        <v>1893</v>
      </c>
      <c r="R381" s="103" t="s">
        <v>1942</v>
      </c>
      <c r="S381" s="111" t="s">
        <v>1943</v>
      </c>
      <c r="T381" s="111" t="s">
        <v>1944</v>
      </c>
      <c r="U381" s="111"/>
      <c r="V381" s="895"/>
      <c r="W381" s="895"/>
      <c r="X381" s="895"/>
      <c r="Y381" s="895"/>
    </row>
    <row r="382" ht="13.5" customHeight="1" outlineLevel="1" spans="1:25">
      <c r="A382" s="103">
        <f t="shared" si="13"/>
        <v>34</v>
      </c>
      <c r="B382" s="104" t="s">
        <v>1945</v>
      </c>
      <c r="C382" s="104" t="s">
        <v>1916</v>
      </c>
      <c r="D382" s="103" t="s">
        <v>1946</v>
      </c>
      <c r="E382" s="157"/>
      <c r="F382" s="103" t="s">
        <v>504</v>
      </c>
      <c r="G382" s="104" t="s">
        <v>201</v>
      </c>
      <c r="H382" s="101" t="str">
        <f>VLOOKUP(G382,'01. TH'!$B:$E,3,0)</f>
        <v>5300 x 2620 x 3010</v>
      </c>
      <c r="I382" s="157" t="s">
        <v>1103</v>
      </c>
      <c r="J382" s="103" t="s">
        <v>1014</v>
      </c>
      <c r="K382" s="101" t="str">
        <f>IF(COUNTIF('TT BTSC'!$D:$D,B382)&gt;0,"Hư hỏng","Bình thường")</f>
        <v>Bình thường</v>
      </c>
      <c r="L382" s="113"/>
      <c r="M382" s="183"/>
      <c r="N382" s="103" t="s">
        <v>1015</v>
      </c>
      <c r="O382" s="111" t="s">
        <v>1016</v>
      </c>
      <c r="P382" s="103">
        <v>2025</v>
      </c>
      <c r="Q382" s="103">
        <v>1504</v>
      </c>
      <c r="R382" s="103" t="s">
        <v>48</v>
      </c>
      <c r="S382" s="111" t="s">
        <v>1947</v>
      </c>
      <c r="T382" s="111" t="s">
        <v>1948</v>
      </c>
      <c r="U382" s="111">
        <v>13</v>
      </c>
      <c r="V382" s="895">
        <v>350</v>
      </c>
      <c r="W382" s="895"/>
      <c r="X382" s="895"/>
      <c r="Y382" s="895"/>
    </row>
    <row r="383" ht="13.5" customHeight="1" outlineLevel="1" spans="1:25">
      <c r="A383" s="103">
        <f t="shared" si="13"/>
        <v>35</v>
      </c>
      <c r="B383" s="104" t="s">
        <v>1949</v>
      </c>
      <c r="C383" s="104" t="s">
        <v>1916</v>
      </c>
      <c r="D383" s="103" t="s">
        <v>1950</v>
      </c>
      <c r="E383" s="157"/>
      <c r="F383" s="103" t="s">
        <v>504</v>
      </c>
      <c r="G383" s="104" t="s">
        <v>1940</v>
      </c>
      <c r="H383" s="101"/>
      <c r="I383" s="157" t="s">
        <v>1103</v>
      </c>
      <c r="J383" s="103" t="s">
        <v>1941</v>
      </c>
      <c r="K383" s="101" t="str">
        <f>IF(COUNTIF('TT BTSC'!$D:$D,B383)&gt;0,"Hư hỏng","Bình thường")</f>
        <v>Bình thường</v>
      </c>
      <c r="L383" s="113"/>
      <c r="M383" s="183" t="s">
        <v>1146</v>
      </c>
      <c r="N383" s="101" t="s">
        <v>1015</v>
      </c>
      <c r="O383" s="111" t="s">
        <v>1617</v>
      </c>
      <c r="P383" s="103">
        <v>2026</v>
      </c>
      <c r="Q383" s="103" t="s">
        <v>1893</v>
      </c>
      <c r="R383" s="103" t="s">
        <v>1942</v>
      </c>
      <c r="S383" s="111" t="s">
        <v>1951</v>
      </c>
      <c r="T383" s="111" t="s">
        <v>1952</v>
      </c>
      <c r="U383" s="111"/>
      <c r="V383" s="895"/>
      <c r="W383" s="895"/>
      <c r="X383" s="895"/>
      <c r="Y383" s="895"/>
    </row>
    <row r="384" ht="13.5" customHeight="1" outlineLevel="1" spans="1:25">
      <c r="A384" s="103">
        <f t="shared" si="13"/>
        <v>36</v>
      </c>
      <c r="B384" s="104" t="s">
        <v>1953</v>
      </c>
      <c r="C384" s="104" t="s">
        <v>1916</v>
      </c>
      <c r="D384" s="103" t="s">
        <v>1954</v>
      </c>
      <c r="E384" s="157"/>
      <c r="F384" s="103" t="s">
        <v>504</v>
      </c>
      <c r="G384" s="104" t="s">
        <v>201</v>
      </c>
      <c r="H384" s="101" t="str">
        <f>VLOOKUP(G384,'01. TH'!$B:$E,3,0)</f>
        <v>5300 x 2620 x 3010</v>
      </c>
      <c r="I384" s="157" t="s">
        <v>1103</v>
      </c>
      <c r="J384" s="103" t="s">
        <v>1014</v>
      </c>
      <c r="K384" s="101" t="str">
        <f>IF(COUNTIF('TT BTSC'!$D:$D,B384)&gt;0,"Hư hỏng","Bình thường")</f>
        <v>Bình thường</v>
      </c>
      <c r="L384" s="113"/>
      <c r="M384" s="183"/>
      <c r="N384" s="103" t="s">
        <v>1015</v>
      </c>
      <c r="O384" s="111" t="s">
        <v>1016</v>
      </c>
      <c r="P384" s="103">
        <v>2025</v>
      </c>
      <c r="Q384" s="103">
        <v>1504</v>
      </c>
      <c r="R384" s="103" t="s">
        <v>48</v>
      </c>
      <c r="S384" s="111" t="s">
        <v>1955</v>
      </c>
      <c r="T384" s="111" t="s">
        <v>1956</v>
      </c>
      <c r="U384" s="111">
        <v>13</v>
      </c>
      <c r="V384" s="895">
        <v>350</v>
      </c>
      <c r="W384" s="895"/>
      <c r="X384" s="895"/>
      <c r="Y384" s="895"/>
    </row>
    <row r="385" ht="13.5" customHeight="1" outlineLevel="1" spans="1:25">
      <c r="A385" s="103">
        <f t="shared" si="13"/>
        <v>37</v>
      </c>
      <c r="B385" s="104" t="s">
        <v>1957</v>
      </c>
      <c r="C385" s="104"/>
      <c r="D385" s="103" t="s">
        <v>1958</v>
      </c>
      <c r="E385" s="157"/>
      <c r="F385" s="157" t="s">
        <v>492</v>
      </c>
      <c r="G385" s="104" t="s">
        <v>192</v>
      </c>
      <c r="H385" s="101" t="str">
        <f>VLOOKUP(G385,'01. TH'!$B:$E,3,0)</f>
        <v/>
      </c>
      <c r="I385" s="157" t="s">
        <v>1103</v>
      </c>
      <c r="J385" s="103" t="s">
        <v>1959</v>
      </c>
      <c r="K385" s="101" t="str">
        <f>IF(COUNTIF('TT BTSC'!$D:$D,B385)&gt;0,"Hư hỏng","Bình thường")</f>
        <v>Bình thường</v>
      </c>
      <c r="L385" s="113"/>
      <c r="M385" s="182" t="s">
        <v>1960</v>
      </c>
      <c r="N385" s="101" t="s">
        <v>976</v>
      </c>
      <c r="O385" s="111" t="s">
        <v>1806</v>
      </c>
      <c r="P385" s="103">
        <v>1995</v>
      </c>
      <c r="Q385" s="103">
        <v>6600</v>
      </c>
      <c r="R385" s="103" t="s">
        <v>188</v>
      </c>
      <c r="S385" s="111" t="s">
        <v>1961</v>
      </c>
      <c r="T385" s="111" t="s">
        <v>1962</v>
      </c>
      <c r="U385" s="111"/>
      <c r="V385" s="895"/>
      <c r="W385" s="895"/>
      <c r="X385" s="895"/>
      <c r="Y385" s="895"/>
    </row>
    <row r="386" ht="23.25" customHeight="1" outlineLevel="1" spans="1:25">
      <c r="A386" s="103">
        <f t="shared" si="13"/>
        <v>38</v>
      </c>
      <c r="B386" s="104" t="s">
        <v>1963</v>
      </c>
      <c r="C386" s="104" t="s">
        <v>1964</v>
      </c>
      <c r="D386" s="103" t="s">
        <v>1965</v>
      </c>
      <c r="E386" s="103"/>
      <c r="F386" s="157" t="s">
        <v>492</v>
      </c>
      <c r="G386" s="104" t="s">
        <v>189</v>
      </c>
      <c r="H386" s="101"/>
      <c r="I386" s="157" t="s">
        <v>1103</v>
      </c>
      <c r="J386" s="103" t="s">
        <v>1022</v>
      </c>
      <c r="K386" s="101" t="str">
        <f>IF(COUNTIF('TT BTSC'!$D:$D,B386)&gt;0,"Hư hỏng","Bình thường")</f>
        <v>Bình thường</v>
      </c>
      <c r="L386" s="113"/>
      <c r="M386" s="183" t="s">
        <v>1966</v>
      </c>
      <c r="N386" s="103" t="s">
        <v>1023</v>
      </c>
      <c r="O386" s="111" t="s">
        <v>590</v>
      </c>
      <c r="P386" s="103">
        <v>1999</v>
      </c>
      <c r="Q386" s="103">
        <v>6210</v>
      </c>
      <c r="R386" s="103" t="s">
        <v>120</v>
      </c>
      <c r="S386" s="111" t="s">
        <v>1967</v>
      </c>
      <c r="T386" s="111" t="s">
        <v>1968</v>
      </c>
      <c r="U386" s="111"/>
      <c r="V386" s="895"/>
      <c r="W386" s="192" t="s">
        <v>1026</v>
      </c>
      <c r="X386" s="192"/>
      <c r="Y386" s="192"/>
    </row>
    <row r="387" ht="23.25" customHeight="1" outlineLevel="1" spans="1:25">
      <c r="A387" s="103">
        <f t="shared" si="13"/>
        <v>39</v>
      </c>
      <c r="B387" s="104" t="s">
        <v>1969</v>
      </c>
      <c r="C387" s="102" t="s">
        <v>1970</v>
      </c>
      <c r="D387" s="103" t="s">
        <v>1971</v>
      </c>
      <c r="E387" s="103"/>
      <c r="F387" s="103" t="s">
        <v>504</v>
      </c>
      <c r="G387" s="102" t="s">
        <v>1972</v>
      </c>
      <c r="H387" s="101"/>
      <c r="I387" s="157" t="s">
        <v>1103</v>
      </c>
      <c r="J387" s="101" t="s">
        <v>1941</v>
      </c>
      <c r="K387" s="101" t="str">
        <f>IF(COUNTIF('TT BTSC'!$D:$D,C387)&gt;0,"Hư hỏng","Bình thường")</f>
        <v>Bình thường</v>
      </c>
      <c r="L387" s="101"/>
      <c r="M387" s="1095" t="s">
        <v>1973</v>
      </c>
      <c r="N387" s="101" t="s">
        <v>1015</v>
      </c>
      <c r="O387" s="110" t="s">
        <v>590</v>
      </c>
      <c r="P387" s="101">
        <v>2026</v>
      </c>
      <c r="Q387" s="101" t="s">
        <v>1974</v>
      </c>
      <c r="R387" s="101" t="s">
        <v>1975</v>
      </c>
      <c r="S387" s="110" t="s">
        <v>1976</v>
      </c>
      <c r="T387" s="111" t="s">
        <v>1977</v>
      </c>
      <c r="U387" s="111"/>
      <c r="V387" s="192"/>
      <c r="W387" s="192"/>
      <c r="X387" s="192"/>
      <c r="Y387" s="192"/>
    </row>
    <row r="388" ht="24" customHeight="1" outlineLevel="1" spans="1:25">
      <c r="A388" s="103">
        <f t="shared" si="13"/>
        <v>40</v>
      </c>
      <c r="B388" s="104" t="s">
        <v>1978</v>
      </c>
      <c r="C388" s="102" t="s">
        <v>1979</v>
      </c>
      <c r="D388" s="103" t="s">
        <v>1980</v>
      </c>
      <c r="E388" s="103"/>
      <c r="F388" s="103" t="s">
        <v>451</v>
      </c>
      <c r="G388" s="102" t="s">
        <v>197</v>
      </c>
      <c r="H388" s="101" t="str">
        <f>VLOOKUP(G388,'01. TH'!$B:$E,3,0)</f>
        <v>3226 x 1570 x 1545</v>
      </c>
      <c r="I388" s="157" t="s">
        <v>1103</v>
      </c>
      <c r="J388" s="105"/>
      <c r="K388" s="101" t="str">
        <f>IF(COUNTIF('TT BTSC'!$D:$D,B388)&gt;0,"Hư hỏng","Bình thường")</f>
        <v>Bình thường</v>
      </c>
      <c r="L388" s="101"/>
      <c r="M388" s="1095" t="s">
        <v>1981</v>
      </c>
      <c r="N388" s="101" t="s">
        <v>1019</v>
      </c>
      <c r="O388" s="110" t="s">
        <v>500</v>
      </c>
      <c r="P388" s="101">
        <v>2018</v>
      </c>
      <c r="Q388" s="101" t="s">
        <v>1122</v>
      </c>
      <c r="R388" s="101" t="s">
        <v>128</v>
      </c>
      <c r="S388" s="110" t="s">
        <v>1982</v>
      </c>
      <c r="T388" s="111" t="s">
        <v>462</v>
      </c>
      <c r="U388" s="111">
        <v>2.5</v>
      </c>
      <c r="V388" s="895">
        <v>0</v>
      </c>
      <c r="W388" s="895"/>
      <c r="X388" s="895"/>
      <c r="Y388" s="895"/>
    </row>
    <row r="389" ht="24" customHeight="1" outlineLevel="1" spans="1:25">
      <c r="A389" s="103">
        <f t="shared" si="13"/>
        <v>41</v>
      </c>
      <c r="B389" s="104" t="s">
        <v>1983</v>
      </c>
      <c r="C389" s="102" t="s">
        <v>1984</v>
      </c>
      <c r="D389" s="103"/>
      <c r="E389" s="103"/>
      <c r="F389" s="103" t="s">
        <v>451</v>
      </c>
      <c r="G389" s="102" t="s">
        <v>207</v>
      </c>
      <c r="H389" s="101"/>
      <c r="I389" s="157" t="s">
        <v>1103</v>
      </c>
      <c r="J389" s="105" t="s">
        <v>1985</v>
      </c>
      <c r="K389" s="101" t="str">
        <f>IF(COUNTIF('TT BTSC'!$D:$D,B389)&gt;0,"Hư hỏng","Bình thường")</f>
        <v>Bình thường</v>
      </c>
      <c r="L389" s="101"/>
      <c r="M389" s="182" t="s">
        <v>1986</v>
      </c>
      <c r="N389" s="101" t="s">
        <v>759</v>
      </c>
      <c r="O389" s="110" t="s">
        <v>453</v>
      </c>
      <c r="P389" s="101">
        <v>2013</v>
      </c>
      <c r="Q389" s="101" t="s">
        <v>1064</v>
      </c>
      <c r="R389" s="101" t="s">
        <v>208</v>
      </c>
      <c r="S389" s="110">
        <v>57652</v>
      </c>
      <c r="T389" s="111" t="s">
        <v>462</v>
      </c>
      <c r="U389" s="111"/>
      <c r="V389" s="895"/>
      <c r="W389" s="895"/>
      <c r="X389" s="895"/>
      <c r="Y389" s="895"/>
    </row>
    <row r="390" ht="19.5" customHeight="1" outlineLevel="1" spans="1:25">
      <c r="A390" s="103">
        <f t="shared" si="13"/>
        <v>42</v>
      </c>
      <c r="B390" s="104" t="s">
        <v>1987</v>
      </c>
      <c r="C390" s="102" t="s">
        <v>1988</v>
      </c>
      <c r="D390" s="103" t="str">
        <f>IFERROR(VLOOKUP(C390,' 02.1 KLH-CN MÃ BRAVO MM'!$B:$C,2,0),"")</f>
        <v>A23-MKE-009</v>
      </c>
      <c r="E390" s="103"/>
      <c r="F390" s="103" t="s">
        <v>504</v>
      </c>
      <c r="G390" s="104" t="s">
        <v>186</v>
      </c>
      <c r="H390" s="101" t="str">
        <f>VLOOKUP(G390,'01. TH'!$B:$E,3,0)</f>
        <v>4780 x 2550 x 3000</v>
      </c>
      <c r="I390" s="157" t="s">
        <v>1103</v>
      </c>
      <c r="J390" s="112">
        <v>45540</v>
      </c>
      <c r="K390" s="101" t="s">
        <v>1263</v>
      </c>
      <c r="L390" s="103"/>
      <c r="M390" s="183" t="s">
        <v>1989</v>
      </c>
      <c r="N390" s="101" t="s">
        <v>976</v>
      </c>
      <c r="O390" s="110" t="s">
        <v>977</v>
      </c>
      <c r="P390" s="103">
        <v>2022</v>
      </c>
      <c r="Q390" s="103" t="s">
        <v>1057</v>
      </c>
      <c r="R390" s="103" t="s">
        <v>64</v>
      </c>
      <c r="S390" s="111" t="s">
        <v>1990</v>
      </c>
      <c r="T390" s="111" t="s">
        <v>1991</v>
      </c>
      <c r="U390" s="111">
        <v>14</v>
      </c>
      <c r="V390" s="895">
        <v>300</v>
      </c>
      <c r="W390" s="895"/>
      <c r="X390" s="895"/>
      <c r="Y390" s="895"/>
    </row>
    <row r="391" ht="13.5" customHeight="1" outlineLevel="1" spans="1:25">
      <c r="A391" s="103">
        <f t="shared" si="13"/>
        <v>43</v>
      </c>
      <c r="B391" s="104" t="s">
        <v>1992</v>
      </c>
      <c r="C391" s="104" t="s">
        <v>1916</v>
      </c>
      <c r="D391" s="103" t="s">
        <v>1993</v>
      </c>
      <c r="E391" s="157"/>
      <c r="F391" s="103" t="s">
        <v>504</v>
      </c>
      <c r="G391" s="104" t="s">
        <v>1940</v>
      </c>
      <c r="H391" s="101"/>
      <c r="I391" s="157" t="s">
        <v>1103</v>
      </c>
      <c r="J391" s="103" t="s">
        <v>1941</v>
      </c>
      <c r="K391" s="101" t="str">
        <f>IF(COUNTIF('TT BTSC'!$D:$D,B391)&gt;0,"Hư hỏng","Bình thường")</f>
        <v>Bình thường</v>
      </c>
      <c r="L391" s="113"/>
      <c r="M391" s="183" t="s">
        <v>1146</v>
      </c>
      <c r="N391" s="101" t="s">
        <v>1015</v>
      </c>
      <c r="O391" s="111" t="s">
        <v>1617</v>
      </c>
      <c r="P391" s="103">
        <v>2026</v>
      </c>
      <c r="Q391" s="103" t="s">
        <v>1893</v>
      </c>
      <c r="R391" s="103" t="s">
        <v>1942</v>
      </c>
      <c r="S391" s="111" t="s">
        <v>1994</v>
      </c>
      <c r="T391" s="111" t="s">
        <v>1995</v>
      </c>
      <c r="U391" s="111"/>
      <c r="V391" s="895"/>
      <c r="W391" s="895"/>
      <c r="X391" s="895"/>
      <c r="Y391" s="895"/>
    </row>
    <row r="392" ht="13.5" customHeight="1" outlineLevel="1" spans="1:25">
      <c r="A392" s="103">
        <f t="shared" si="13"/>
        <v>44</v>
      </c>
      <c r="B392" s="104" t="s">
        <v>1996</v>
      </c>
      <c r="C392" s="104" t="s">
        <v>1916</v>
      </c>
      <c r="D392" s="103" t="s">
        <v>1997</v>
      </c>
      <c r="E392" s="157"/>
      <c r="F392" s="103" t="s">
        <v>504</v>
      </c>
      <c r="G392" s="104" t="s">
        <v>1940</v>
      </c>
      <c r="H392" s="101"/>
      <c r="I392" s="157" t="s">
        <v>1103</v>
      </c>
      <c r="J392" s="103" t="s">
        <v>1941</v>
      </c>
      <c r="K392" s="101" t="str">
        <f>IF(COUNTIF('TT BTSC'!$D:$D,B392)&gt;0,"Hư hỏng","Bình thường")</f>
        <v>Bình thường</v>
      </c>
      <c r="L392" s="113"/>
      <c r="M392" s="183" t="s">
        <v>1146</v>
      </c>
      <c r="N392" s="101" t="s">
        <v>1015</v>
      </c>
      <c r="O392" s="111" t="s">
        <v>1617</v>
      </c>
      <c r="P392" s="103">
        <v>2026</v>
      </c>
      <c r="Q392" s="103" t="s">
        <v>1893</v>
      </c>
      <c r="R392" s="103" t="s">
        <v>1942</v>
      </c>
      <c r="S392" s="111" t="s">
        <v>1998</v>
      </c>
      <c r="T392" s="111" t="s">
        <v>1999</v>
      </c>
      <c r="U392" s="111"/>
      <c r="V392" s="895"/>
      <c r="W392" s="895"/>
      <c r="X392" s="895"/>
      <c r="Y392" s="895"/>
    </row>
    <row r="393" ht="13.5" customHeight="1" outlineLevel="1" spans="1:25">
      <c r="A393" s="103">
        <f t="shared" si="13"/>
        <v>45</v>
      </c>
      <c r="B393" s="104" t="s">
        <v>2000</v>
      </c>
      <c r="C393" s="104" t="s">
        <v>1916</v>
      </c>
      <c r="D393" s="103" t="s">
        <v>2001</v>
      </c>
      <c r="E393" s="157"/>
      <c r="F393" s="103" t="s">
        <v>504</v>
      </c>
      <c r="G393" s="104" t="s">
        <v>1972</v>
      </c>
      <c r="H393" s="101"/>
      <c r="I393" s="157" t="s">
        <v>1103</v>
      </c>
      <c r="J393" s="103" t="s">
        <v>1941</v>
      </c>
      <c r="K393" s="101" t="str">
        <f>IF(COUNTIF('TT BTSC'!$D:$D,B393)&gt;0,"Hư hỏng","Bình thường")</f>
        <v>Bình thường</v>
      </c>
      <c r="L393" s="113"/>
      <c r="M393" s="183" t="s">
        <v>1146</v>
      </c>
      <c r="N393" s="101" t="s">
        <v>1015</v>
      </c>
      <c r="O393" s="111" t="s">
        <v>1617</v>
      </c>
      <c r="P393" s="103">
        <v>2026</v>
      </c>
      <c r="Q393" s="103" t="s">
        <v>1974</v>
      </c>
      <c r="R393" s="103" t="s">
        <v>1975</v>
      </c>
      <c r="S393" s="111" t="s">
        <v>2002</v>
      </c>
      <c r="T393" s="111" t="s">
        <v>2003</v>
      </c>
      <c r="U393" s="111"/>
      <c r="V393" s="895"/>
      <c r="W393" s="895"/>
      <c r="X393" s="895"/>
      <c r="Y393" s="895"/>
    </row>
    <row r="394" ht="13.5" customHeight="1" outlineLevel="1" spans="1:25">
      <c r="A394" s="103">
        <f t="shared" si="13"/>
        <v>46</v>
      </c>
      <c r="B394" s="104" t="s">
        <v>2004</v>
      </c>
      <c r="C394" s="104" t="s">
        <v>1916</v>
      </c>
      <c r="D394" s="103" t="s">
        <v>2005</v>
      </c>
      <c r="E394" s="157"/>
      <c r="F394" s="103" t="s">
        <v>504</v>
      </c>
      <c r="G394" s="104" t="s">
        <v>1972</v>
      </c>
      <c r="H394" s="101"/>
      <c r="I394" s="157" t="s">
        <v>1103</v>
      </c>
      <c r="J394" s="103" t="s">
        <v>1941</v>
      </c>
      <c r="K394" s="101" t="str">
        <f>IF(COUNTIF('TT BTSC'!$D:$D,B394)&gt;0,"Hư hỏng","Bình thường")</f>
        <v>Bình thường</v>
      </c>
      <c r="L394" s="113"/>
      <c r="M394" s="183" t="s">
        <v>1146</v>
      </c>
      <c r="N394" s="101" t="s">
        <v>1015</v>
      </c>
      <c r="O394" s="111" t="s">
        <v>1617</v>
      </c>
      <c r="P394" s="103">
        <v>2026</v>
      </c>
      <c r="Q394" s="103" t="s">
        <v>1974</v>
      </c>
      <c r="R394" s="103" t="s">
        <v>1975</v>
      </c>
      <c r="S394" s="111" t="s">
        <v>2006</v>
      </c>
      <c r="T394" s="111" t="s">
        <v>2007</v>
      </c>
      <c r="U394" s="111"/>
      <c r="V394" s="895"/>
      <c r="W394" s="895"/>
      <c r="X394" s="895"/>
      <c r="Y394" s="895"/>
    </row>
    <row r="395" ht="13.5" customHeight="1" outlineLevel="1" spans="1:25">
      <c r="A395" s="103">
        <f t="shared" si="13"/>
        <v>47</v>
      </c>
      <c r="B395" s="104" t="s">
        <v>2008</v>
      </c>
      <c r="C395" s="104" t="s">
        <v>1916</v>
      </c>
      <c r="D395" s="103" t="s">
        <v>2009</v>
      </c>
      <c r="E395" s="157"/>
      <c r="F395" s="103" t="s">
        <v>504</v>
      </c>
      <c r="G395" s="104" t="s">
        <v>1972</v>
      </c>
      <c r="H395" s="101"/>
      <c r="I395" s="157" t="s">
        <v>1103</v>
      </c>
      <c r="J395" s="103" t="s">
        <v>1941</v>
      </c>
      <c r="K395" s="101" t="str">
        <f>IF(COUNTIF('TT BTSC'!$D:$D,B395)&gt;0,"Hư hỏng","Bình thường")</f>
        <v>Bình thường</v>
      </c>
      <c r="L395" s="113"/>
      <c r="M395" s="183" t="s">
        <v>1146</v>
      </c>
      <c r="N395" s="101" t="s">
        <v>1015</v>
      </c>
      <c r="O395" s="111" t="s">
        <v>1617</v>
      </c>
      <c r="P395" s="103">
        <v>2026</v>
      </c>
      <c r="Q395" s="103" t="s">
        <v>1974</v>
      </c>
      <c r="R395" s="103" t="s">
        <v>1975</v>
      </c>
      <c r="S395" s="111" t="s">
        <v>2010</v>
      </c>
      <c r="T395" s="111" t="s">
        <v>2011</v>
      </c>
      <c r="U395" s="111"/>
      <c r="V395" s="895"/>
      <c r="W395" s="895"/>
      <c r="X395" s="895"/>
      <c r="Y395" s="895"/>
    </row>
    <row r="396" ht="13.5" customHeight="1" outlineLevel="1" spans="1:25">
      <c r="A396" s="103">
        <f t="shared" si="13"/>
        <v>48</v>
      </c>
      <c r="B396" s="104" t="s">
        <v>2012</v>
      </c>
      <c r="C396" s="104" t="s">
        <v>1916</v>
      </c>
      <c r="D396" s="103" t="s">
        <v>2013</v>
      </c>
      <c r="E396" s="157"/>
      <c r="F396" s="103" t="s">
        <v>504</v>
      </c>
      <c r="G396" s="104" t="s">
        <v>2014</v>
      </c>
      <c r="H396" s="101"/>
      <c r="I396" s="157" t="s">
        <v>1103</v>
      </c>
      <c r="J396" s="103" t="s">
        <v>1941</v>
      </c>
      <c r="K396" s="101" t="str">
        <f>IF(COUNTIF('TT BTSC'!$D:$D,B396)&gt;0,"Hư hỏng","Bình thường")</f>
        <v>Bình thường</v>
      </c>
      <c r="L396" s="113"/>
      <c r="M396" s="183" t="s">
        <v>1146</v>
      </c>
      <c r="N396" s="101" t="s">
        <v>1015</v>
      </c>
      <c r="O396" s="111" t="s">
        <v>1617</v>
      </c>
      <c r="P396" s="103">
        <v>2026</v>
      </c>
      <c r="Q396" s="103" t="s">
        <v>2015</v>
      </c>
      <c r="R396" s="103" t="s">
        <v>2016</v>
      </c>
      <c r="S396" s="111" t="s">
        <v>2017</v>
      </c>
      <c r="T396" s="111" t="s">
        <v>2018</v>
      </c>
      <c r="U396" s="111"/>
      <c r="V396" s="895"/>
      <c r="W396" s="895"/>
      <c r="X396" s="895"/>
      <c r="Y396" s="895"/>
    </row>
    <row r="397" ht="13.5" customHeight="1" outlineLevel="1" spans="1:25">
      <c r="A397" s="103">
        <f t="shared" si="13"/>
        <v>49</v>
      </c>
      <c r="B397" s="104" t="s">
        <v>2019</v>
      </c>
      <c r="C397" s="104" t="s">
        <v>1916</v>
      </c>
      <c r="D397" s="103" t="s">
        <v>2020</v>
      </c>
      <c r="E397" s="157"/>
      <c r="F397" s="103" t="s">
        <v>504</v>
      </c>
      <c r="G397" s="104" t="s">
        <v>2014</v>
      </c>
      <c r="H397" s="101"/>
      <c r="I397" s="157" t="s">
        <v>1103</v>
      </c>
      <c r="J397" s="103" t="s">
        <v>1941</v>
      </c>
      <c r="K397" s="101" t="str">
        <f>IF(COUNTIF('TT BTSC'!$D:$D,B397)&gt;0,"Hư hỏng","Bình thường")</f>
        <v>Bình thường</v>
      </c>
      <c r="L397" s="113"/>
      <c r="M397" s="183" t="s">
        <v>1146</v>
      </c>
      <c r="N397" s="101" t="s">
        <v>1015</v>
      </c>
      <c r="O397" s="111" t="s">
        <v>1617</v>
      </c>
      <c r="P397" s="103">
        <v>2026</v>
      </c>
      <c r="Q397" s="103" t="s">
        <v>2015</v>
      </c>
      <c r="R397" s="103" t="s">
        <v>2016</v>
      </c>
      <c r="S397" s="111" t="s">
        <v>2021</v>
      </c>
      <c r="T397" s="111" t="s">
        <v>2022</v>
      </c>
      <c r="U397" s="111"/>
      <c r="V397" s="895"/>
      <c r="W397" s="895"/>
      <c r="X397" s="895"/>
      <c r="Y397" s="895"/>
    </row>
    <row r="398" ht="13.5" customHeight="1" outlineLevel="1" spans="1:25">
      <c r="A398" s="103">
        <f t="shared" si="13"/>
        <v>50</v>
      </c>
      <c r="B398" s="104" t="s">
        <v>2023</v>
      </c>
      <c r="C398" s="104" t="s">
        <v>1916</v>
      </c>
      <c r="D398" s="103" t="s">
        <v>2024</v>
      </c>
      <c r="E398" s="157"/>
      <c r="F398" s="103" t="s">
        <v>504</v>
      </c>
      <c r="G398" s="104" t="s">
        <v>2014</v>
      </c>
      <c r="H398" s="101"/>
      <c r="I398" s="157" t="s">
        <v>1103</v>
      </c>
      <c r="J398" s="103" t="s">
        <v>1941</v>
      </c>
      <c r="K398" s="101" t="str">
        <f>IF(COUNTIF('TT BTSC'!$D:$D,B398)&gt;0,"Hư hỏng","Bình thường")</f>
        <v>Bình thường</v>
      </c>
      <c r="L398" s="113"/>
      <c r="M398" s="183" t="s">
        <v>1146</v>
      </c>
      <c r="N398" s="101" t="s">
        <v>1015</v>
      </c>
      <c r="O398" s="111" t="s">
        <v>1617</v>
      </c>
      <c r="P398" s="103">
        <v>2026</v>
      </c>
      <c r="Q398" s="103" t="s">
        <v>2015</v>
      </c>
      <c r="R398" s="103" t="s">
        <v>2016</v>
      </c>
      <c r="S398" s="111" t="s">
        <v>2025</v>
      </c>
      <c r="T398" s="111" t="s">
        <v>2026</v>
      </c>
      <c r="U398" s="111"/>
      <c r="V398" s="895"/>
      <c r="W398" s="895"/>
      <c r="X398" s="895"/>
      <c r="Y398" s="895"/>
    </row>
    <row r="399" ht="13.5" customHeight="1" outlineLevel="1" spans="1:25">
      <c r="A399" s="103">
        <f t="shared" si="13"/>
        <v>51</v>
      </c>
      <c r="B399" s="104" t="s">
        <v>2027</v>
      </c>
      <c r="C399" s="104" t="s">
        <v>1916</v>
      </c>
      <c r="D399" s="103" t="s">
        <v>2028</v>
      </c>
      <c r="E399" s="157"/>
      <c r="F399" s="103" t="s">
        <v>504</v>
      </c>
      <c r="G399" s="104" t="s">
        <v>165</v>
      </c>
      <c r="H399" s="101" t="str">
        <f>VLOOKUP(G399,'01. TH'!$B:$E,3,0)</f>
        <v/>
      </c>
      <c r="I399" s="157" t="s">
        <v>1103</v>
      </c>
      <c r="J399" s="103" t="s">
        <v>2029</v>
      </c>
      <c r="K399" s="101" t="str">
        <f>IF(COUNTIF('TT BTSC'!$D:$D,B399)&gt;0,"Hư hỏng","Bình thường")</f>
        <v>Bình thường</v>
      </c>
      <c r="L399" s="113"/>
      <c r="M399" s="183"/>
      <c r="N399" s="103" t="s">
        <v>1015</v>
      </c>
      <c r="O399" s="111" t="s">
        <v>1617</v>
      </c>
      <c r="P399" s="103">
        <v>2025</v>
      </c>
      <c r="Q399" s="103" t="s">
        <v>2030</v>
      </c>
      <c r="R399" s="103" t="s">
        <v>2031</v>
      </c>
      <c r="S399" s="111" t="s">
        <v>2032</v>
      </c>
      <c r="T399" s="111" t="s">
        <v>2033</v>
      </c>
      <c r="U399" s="111"/>
      <c r="V399" s="895">
        <v>0</v>
      </c>
      <c r="W399" s="895"/>
      <c r="X399" s="895"/>
      <c r="Y399" s="895"/>
    </row>
    <row r="400" ht="13.5" customHeight="1" outlineLevel="1" spans="1:25">
      <c r="A400" s="103">
        <f t="shared" si="13"/>
        <v>52</v>
      </c>
      <c r="B400" s="104" t="s">
        <v>2034</v>
      </c>
      <c r="C400" s="104" t="s">
        <v>2035</v>
      </c>
      <c r="D400" s="103" t="s">
        <v>2036</v>
      </c>
      <c r="E400" s="157"/>
      <c r="F400" s="157" t="s">
        <v>492</v>
      </c>
      <c r="G400" s="104" t="s">
        <v>168</v>
      </c>
      <c r="H400" s="101" t="str">
        <f>VLOOKUP(G400,'01. TH'!$B:$E,3,0)</f>
        <v>6800 x 3200 x 3400</v>
      </c>
      <c r="I400" s="157" t="s">
        <v>1103</v>
      </c>
      <c r="J400" s="103" t="s">
        <v>1918</v>
      </c>
      <c r="K400" s="101" t="str">
        <f>IF(COUNTIF('TT BTSC'!$D:$D,B400)&gt;0,"Hư hỏng","Bình thường")</f>
        <v>Bình thường</v>
      </c>
      <c r="L400" s="113"/>
      <c r="M400" s="183"/>
      <c r="N400" s="103" t="s">
        <v>2037</v>
      </c>
      <c r="O400" s="111" t="s">
        <v>500</v>
      </c>
      <c r="P400" s="103"/>
      <c r="Q400" s="103" t="s">
        <v>2038</v>
      </c>
      <c r="R400" s="103" t="s">
        <v>69</v>
      </c>
      <c r="S400" s="111" t="s">
        <v>2039</v>
      </c>
      <c r="T400" s="111" t="s">
        <v>2040</v>
      </c>
      <c r="U400" s="111"/>
      <c r="V400" s="895">
        <v>0</v>
      </c>
      <c r="W400" s="895"/>
      <c r="X400" s="895"/>
      <c r="Y400" s="895"/>
    </row>
    <row r="401" ht="13.5" customHeight="1" outlineLevel="1" spans="1:25">
      <c r="A401" s="103">
        <f t="shared" si="13"/>
        <v>53</v>
      </c>
      <c r="B401" s="104" t="s">
        <v>2041</v>
      </c>
      <c r="C401" s="104" t="s">
        <v>1916</v>
      </c>
      <c r="D401" s="103" t="s">
        <v>2042</v>
      </c>
      <c r="E401" s="157"/>
      <c r="F401" s="103" t="s">
        <v>504</v>
      </c>
      <c r="G401" s="104" t="s">
        <v>166</v>
      </c>
      <c r="H401" s="101" t="str">
        <f>VLOOKUP(G401,'01. TH'!$B:$E,3,0)</f>
        <v/>
      </c>
      <c r="I401" s="157" t="s">
        <v>1103</v>
      </c>
      <c r="J401" s="103" t="s">
        <v>2043</v>
      </c>
      <c r="K401" s="101" t="str">
        <f>IF(COUNTIF('TT BTSC'!$D:$D,B401)&gt;0,"Hư hỏng","Bình thường")</f>
        <v>Bình thường</v>
      </c>
      <c r="L401" s="113"/>
      <c r="M401" s="183"/>
      <c r="N401" s="103" t="s">
        <v>1015</v>
      </c>
      <c r="O401" s="111" t="s">
        <v>590</v>
      </c>
      <c r="P401" s="103">
        <v>2025</v>
      </c>
      <c r="Q401" s="103" t="s">
        <v>2044</v>
      </c>
      <c r="R401" s="103" t="s">
        <v>124</v>
      </c>
      <c r="S401" s="111" t="s">
        <v>2045</v>
      </c>
      <c r="T401" s="111" t="s">
        <v>2046</v>
      </c>
      <c r="U401" s="111"/>
      <c r="V401" s="895"/>
      <c r="W401" s="895"/>
      <c r="X401" s="895"/>
      <c r="Y401" s="895"/>
    </row>
    <row r="402" ht="13.5" customHeight="1" outlineLevel="1" spans="1:25">
      <c r="A402" s="103">
        <f t="shared" si="13"/>
        <v>54</v>
      </c>
      <c r="B402" s="104" t="s">
        <v>2047</v>
      </c>
      <c r="C402" s="104" t="s">
        <v>2035</v>
      </c>
      <c r="D402" s="103" t="s">
        <v>2048</v>
      </c>
      <c r="E402" s="157"/>
      <c r="F402" s="157" t="s">
        <v>492</v>
      </c>
      <c r="G402" s="104" t="s">
        <v>2049</v>
      </c>
      <c r="H402" s="101"/>
      <c r="I402" s="157" t="s">
        <v>1103</v>
      </c>
      <c r="J402" s="103" t="s">
        <v>962</v>
      </c>
      <c r="K402" s="101" t="str">
        <f>IF(COUNTIF('TT BTSC'!$D:$D,B402)&gt;0,"Hư hỏng","Bình thường")</f>
        <v>Bình thường</v>
      </c>
      <c r="L402" s="113"/>
      <c r="N402" s="103" t="s">
        <v>2050</v>
      </c>
      <c r="O402" s="111" t="s">
        <v>943</v>
      </c>
      <c r="P402" s="103"/>
      <c r="Q402" s="103" t="s">
        <v>2051</v>
      </c>
      <c r="R402" s="103" t="s">
        <v>169</v>
      </c>
      <c r="S402" s="111" t="s">
        <v>2052</v>
      </c>
      <c r="T402" s="111" t="s">
        <v>2053</v>
      </c>
      <c r="U402" s="111"/>
      <c r="V402" s="895"/>
      <c r="W402" s="895"/>
      <c r="X402" s="895"/>
      <c r="Y402" s="895"/>
    </row>
    <row r="403" ht="13.5" customHeight="1" outlineLevel="1" spans="1:25">
      <c r="A403" s="103">
        <f t="shared" si="13"/>
        <v>55</v>
      </c>
      <c r="B403" s="104" t="s">
        <v>2054</v>
      </c>
      <c r="C403" s="104" t="s">
        <v>2035</v>
      </c>
      <c r="D403" s="103" t="s">
        <v>2055</v>
      </c>
      <c r="E403" s="157"/>
      <c r="F403" s="157" t="s">
        <v>492</v>
      </c>
      <c r="G403" s="104" t="s">
        <v>171</v>
      </c>
      <c r="H403" s="101"/>
      <c r="I403" s="157" t="s">
        <v>1103</v>
      </c>
      <c r="J403" s="103" t="s">
        <v>2056</v>
      </c>
      <c r="K403" s="101" t="str">
        <f>IF(COUNTIF('TT BTSC'!$D:$D,B403)&gt;0,"Hư hỏng","Bình thường")</f>
        <v>Bình thường</v>
      </c>
      <c r="L403" s="113"/>
      <c r="M403" s="183" t="s">
        <v>1146</v>
      </c>
      <c r="N403" s="103" t="s">
        <v>964</v>
      </c>
      <c r="O403" s="111" t="s">
        <v>811</v>
      </c>
      <c r="P403" s="103"/>
      <c r="Q403" s="103" t="s">
        <v>2057</v>
      </c>
      <c r="R403" s="103" t="s">
        <v>172</v>
      </c>
      <c r="S403" s="111">
        <v>1174</v>
      </c>
      <c r="T403" s="111">
        <v>8391</v>
      </c>
      <c r="U403" s="111"/>
      <c r="V403" s="895"/>
      <c r="W403" s="895"/>
      <c r="X403" s="895"/>
      <c r="Y403" s="895"/>
    </row>
    <row r="404" ht="13.5" customHeight="1" outlineLevel="1" spans="1:25">
      <c r="A404" s="103">
        <f t="shared" si="13"/>
        <v>56</v>
      </c>
      <c r="B404" s="104" t="s">
        <v>2058</v>
      </c>
      <c r="C404" s="104" t="s">
        <v>2059</v>
      </c>
      <c r="D404" s="103" t="str">
        <f>IFERROR(VLOOKUP(B404,' 02.1 KLH-CN MÃ BRAVO MM'!$B:$C,2,0),"")</f>
        <v>ATT-A22-0194</v>
      </c>
      <c r="E404" s="157"/>
      <c r="F404" s="103" t="s">
        <v>451</v>
      </c>
      <c r="G404" s="104" t="s">
        <v>101</v>
      </c>
      <c r="H404" s="101" t="str">
        <f>VLOOKUP(G404,'01. TH'!$B:$E,3,0)</f>
        <v/>
      </c>
      <c r="I404" s="103" t="s">
        <v>1103</v>
      </c>
      <c r="J404" s="112"/>
      <c r="K404" s="101" t="str">
        <f>IF(COUNTIF('TT BTSC'!$D:$D,B404)&gt;0,"Hư hỏng","Bình thường")</f>
        <v>Bình thường</v>
      </c>
      <c r="L404" s="113"/>
      <c r="M404" s="183"/>
      <c r="N404" s="103" t="s">
        <v>2060</v>
      </c>
      <c r="O404" s="111" t="s">
        <v>1140</v>
      </c>
      <c r="P404" s="103"/>
      <c r="Q404" s="103" t="s">
        <v>2061</v>
      </c>
      <c r="R404" s="103" t="s">
        <v>2062</v>
      </c>
      <c r="S404" s="111">
        <v>90516</v>
      </c>
      <c r="T404" s="111" t="s">
        <v>462</v>
      </c>
      <c r="U404" s="111">
        <v>11</v>
      </c>
      <c r="V404" s="895">
        <v>0</v>
      </c>
      <c r="W404" s="895"/>
      <c r="X404" s="895"/>
      <c r="Y404" s="895"/>
    </row>
    <row r="405" ht="13.5" customHeight="1" outlineLevel="1" spans="1:25">
      <c r="A405" s="103">
        <f t="shared" si="13"/>
        <v>57</v>
      </c>
      <c r="B405" s="102" t="s">
        <v>2063</v>
      </c>
      <c r="C405" s="102" t="s">
        <v>2064</v>
      </c>
      <c r="D405" s="103" t="str">
        <f>IFERROR(VLOOKUP(B405,' 02.1 KLH-CN MÃ BRAVO MM'!$B:$C,2,0),"")</f>
        <v>A22-XXL-002</v>
      </c>
      <c r="E405" s="103"/>
      <c r="F405" s="103" t="s">
        <v>451</v>
      </c>
      <c r="G405" s="102" t="s">
        <v>99</v>
      </c>
      <c r="H405" s="101" t="str">
        <f>VLOOKUP(G405,'01. TH'!$B:$E,3,0)</f>
        <v>8259 x 2935 x 3384</v>
      </c>
      <c r="I405" s="101" t="s">
        <v>1103</v>
      </c>
      <c r="J405" s="105"/>
      <c r="K405" s="101" t="str">
        <f>IF(COUNTIF('TT BTSC'!$D:$D,B405)&gt;0,"Hư hỏng","Bình thường")</f>
        <v>Bình thường</v>
      </c>
      <c r="L405" s="101"/>
      <c r="M405" s="182"/>
      <c r="N405" s="101" t="s">
        <v>480</v>
      </c>
      <c r="O405" s="110" t="s">
        <v>453</v>
      </c>
      <c r="P405" s="101">
        <v>2020</v>
      </c>
      <c r="Q405" s="101" t="s">
        <v>2065</v>
      </c>
      <c r="R405" s="101" t="s">
        <v>100</v>
      </c>
      <c r="S405" s="110">
        <v>50183</v>
      </c>
      <c r="T405" s="111" t="s">
        <v>462</v>
      </c>
      <c r="U405" s="111">
        <v>11</v>
      </c>
      <c r="V405" s="895">
        <v>300</v>
      </c>
      <c r="W405" s="895"/>
      <c r="X405" s="895"/>
      <c r="Y405" s="895"/>
    </row>
    <row r="406" ht="13.5" customHeight="1" outlineLevel="1" spans="1:25">
      <c r="A406" s="103">
        <f t="shared" si="13"/>
        <v>58</v>
      </c>
      <c r="B406" s="104" t="s">
        <v>2066</v>
      </c>
      <c r="C406" s="104" t="s">
        <v>2067</v>
      </c>
      <c r="D406" s="103" t="str">
        <f>IFERROR(VLOOKUP(B406,' 02.1 KLH-CN MÃ BRAVO MM'!$B:$C,2,0),"")</f>
        <v>A22-XXL-004</v>
      </c>
      <c r="E406" s="103"/>
      <c r="F406" s="103" t="s">
        <v>451</v>
      </c>
      <c r="G406" s="104" t="s">
        <v>98</v>
      </c>
      <c r="H406" s="101" t="str">
        <f>VLOOKUP(G406,'01. TH'!$B:$E,3,0)</f>
        <v>8020 x 2845 x 3375</v>
      </c>
      <c r="I406" s="103" t="s">
        <v>1103</v>
      </c>
      <c r="J406" s="112">
        <v>44208</v>
      </c>
      <c r="K406" s="101" t="str">
        <f>IF(COUNTIF('TT BTSC'!$D:$D,B406)&gt;0,"Hư hỏng","Bình thường")</f>
        <v>Bình thường</v>
      </c>
      <c r="L406" s="103"/>
      <c r="M406" s="183"/>
      <c r="N406" s="103" t="s">
        <v>480</v>
      </c>
      <c r="O406" s="111" t="s">
        <v>453</v>
      </c>
      <c r="P406" s="103">
        <v>2020</v>
      </c>
      <c r="Q406" s="103" t="s">
        <v>2068</v>
      </c>
      <c r="R406" s="103" t="s">
        <v>2069</v>
      </c>
      <c r="S406" s="111">
        <v>50100</v>
      </c>
      <c r="T406" s="111">
        <v>18033</v>
      </c>
      <c r="U406" s="111">
        <v>14.25</v>
      </c>
      <c r="V406" s="895">
        <v>287</v>
      </c>
      <c r="W406" s="895"/>
      <c r="X406" s="895"/>
      <c r="Y406" s="895"/>
    </row>
    <row r="407" ht="13.5" customHeight="1" outlineLevel="1" spans="1:25">
      <c r="A407" s="103">
        <f t="shared" si="13"/>
        <v>59</v>
      </c>
      <c r="B407" s="104" t="s">
        <v>2070</v>
      </c>
      <c r="C407" s="104" t="s">
        <v>1850</v>
      </c>
      <c r="D407" s="103" t="str">
        <f>IFERROR(VLOOKUP(B407,' 02.1 KLH-CN MÃ BRAVO MM'!$B:$C,2,0),"")</f>
        <v>ATM-A22-0127</v>
      </c>
      <c r="E407" s="103"/>
      <c r="F407" s="103" t="s">
        <v>451</v>
      </c>
      <c r="G407" s="104" t="s">
        <v>92</v>
      </c>
      <c r="H407" s="101" t="str">
        <f>VLOOKUP(G407,'01. TH'!$B:$E,3,0)</f>
        <v>3830 x 1810 x 1920</v>
      </c>
      <c r="I407" s="103" t="s">
        <v>1103</v>
      </c>
      <c r="J407" s="112">
        <v>45292</v>
      </c>
      <c r="K407" s="101" t="str">
        <f>IF(COUNTIF('TT BTSC'!$D:$D,B407)&gt;0,"Hư hỏng","Bình thường")</f>
        <v>Bình thường</v>
      </c>
      <c r="L407" s="113">
        <v>0.98</v>
      </c>
      <c r="M407" s="183"/>
      <c r="N407" s="103" t="s">
        <v>2071</v>
      </c>
      <c r="O407" s="111" t="s">
        <v>2072</v>
      </c>
      <c r="P407" s="103">
        <v>2018</v>
      </c>
      <c r="Q407" s="103" t="s">
        <v>2073</v>
      </c>
      <c r="R407" s="103" t="s">
        <v>58</v>
      </c>
      <c r="S407" s="111" t="s">
        <v>2074</v>
      </c>
      <c r="T407" s="111" t="s">
        <v>2075</v>
      </c>
      <c r="U407" s="111"/>
      <c r="V407" s="895">
        <v>0</v>
      </c>
      <c r="W407" s="895"/>
      <c r="X407" s="895"/>
      <c r="Y407" s="895"/>
    </row>
    <row r="408" ht="13.5" customHeight="1" outlineLevel="1" spans="1:25">
      <c r="A408" s="103">
        <f t="shared" si="13"/>
        <v>60</v>
      </c>
      <c r="B408" s="102" t="s">
        <v>2076</v>
      </c>
      <c r="C408" s="102" t="s">
        <v>1850</v>
      </c>
      <c r="D408" s="103" t="str">
        <f>IFERROR(VLOOKUP(B408,' 02.1 KLH-CN MÃ BRAVO MM'!$B:$C,2,0),"")</f>
        <v>ATM-A22-0120</v>
      </c>
      <c r="E408" s="103"/>
      <c r="F408" s="103" t="s">
        <v>504</v>
      </c>
      <c r="G408" s="102" t="s">
        <v>86</v>
      </c>
      <c r="H408" s="101" t="str">
        <f>VLOOKUP(G408,'01. TH'!$B:$E,3,0)</f>
        <v/>
      </c>
      <c r="I408" s="101" t="s">
        <v>1103</v>
      </c>
      <c r="J408" s="105" t="s">
        <v>2077</v>
      </c>
      <c r="K408" s="101" t="str">
        <f>IF(COUNTIF('TT BTSC'!$D:$D,B408)&gt;0,"Hư hỏng","Bình thường")</f>
        <v>Bình thường</v>
      </c>
      <c r="L408" s="107">
        <v>0.97</v>
      </c>
      <c r="M408" s="182" t="s">
        <v>1146</v>
      </c>
      <c r="N408" s="101" t="s">
        <v>2078</v>
      </c>
      <c r="O408" s="110" t="s">
        <v>1140</v>
      </c>
      <c r="P408" s="101">
        <v>2023</v>
      </c>
      <c r="Q408" s="101" t="s">
        <v>2079</v>
      </c>
      <c r="R408" s="101" t="s">
        <v>87</v>
      </c>
      <c r="S408" s="110" t="s">
        <v>2080</v>
      </c>
      <c r="T408" s="111" t="s">
        <v>2081</v>
      </c>
      <c r="U408" s="111">
        <v>7</v>
      </c>
      <c r="V408" s="895">
        <v>100</v>
      </c>
      <c r="W408" s="895"/>
      <c r="X408" s="895"/>
      <c r="Y408" s="895"/>
    </row>
    <row r="409" ht="13.5" customHeight="1" outlineLevel="1" spans="1:25">
      <c r="A409" s="103">
        <f t="shared" si="13"/>
        <v>61</v>
      </c>
      <c r="B409" s="102" t="s">
        <v>2082</v>
      </c>
      <c r="C409" s="102" t="s">
        <v>2083</v>
      </c>
      <c r="D409" s="103" t="str">
        <f>IFERROR(VLOOKUP(B409,' 02.1 KLH-CN MÃ BRAVO MM'!$B:$C,2,0),"")</f>
        <v>ATT-A22-0324</v>
      </c>
      <c r="E409" s="103"/>
      <c r="F409" s="103" t="s">
        <v>504</v>
      </c>
      <c r="G409" s="102" t="s">
        <v>84</v>
      </c>
      <c r="H409" s="101" t="str">
        <f>VLOOKUP(G409,'01. TH'!$B:$E,3,0)</f>
        <v/>
      </c>
      <c r="I409" s="101" t="s">
        <v>1103</v>
      </c>
      <c r="J409" s="101" t="s">
        <v>2084</v>
      </c>
      <c r="K409" s="101" t="str">
        <f>IF(COUNTIF('TT BTSC'!$D:$D,B409)&gt;0,"Hư hỏng","Bình thường")</f>
        <v>Bình thường</v>
      </c>
      <c r="L409" s="107">
        <v>0.98</v>
      </c>
      <c r="M409" s="182" t="s">
        <v>653</v>
      </c>
      <c r="N409" s="103" t="s">
        <v>2085</v>
      </c>
      <c r="O409" s="110" t="s">
        <v>590</v>
      </c>
      <c r="P409" s="101">
        <v>2022</v>
      </c>
      <c r="Q409" s="101" t="s">
        <v>2086</v>
      </c>
      <c r="R409" s="101" t="s">
        <v>85</v>
      </c>
      <c r="S409" s="110" t="s">
        <v>2087</v>
      </c>
      <c r="T409" s="111" t="s">
        <v>2088</v>
      </c>
      <c r="U409" s="111">
        <v>12</v>
      </c>
      <c r="V409" s="895">
        <v>200</v>
      </c>
      <c r="W409" s="895"/>
      <c r="X409" s="895"/>
      <c r="Y409" s="895"/>
    </row>
    <row r="410" ht="13.5" customHeight="1" outlineLevel="1" spans="1:25">
      <c r="A410" s="103">
        <f t="shared" si="13"/>
        <v>62</v>
      </c>
      <c r="B410" s="102" t="s">
        <v>2089</v>
      </c>
      <c r="C410" s="104" t="s">
        <v>2083</v>
      </c>
      <c r="D410" s="103" t="str">
        <f>IFERROR(VLOOKUP(B410,' 02.1 KLH-CN MÃ BRAVO MM'!$B:$C,2,0),"")</f>
        <v>A22-XXL-008</v>
      </c>
      <c r="E410" s="103"/>
      <c r="F410" s="103" t="s">
        <v>504</v>
      </c>
      <c r="G410" s="104" t="s">
        <v>88</v>
      </c>
      <c r="H410" s="101" t="str">
        <f>VLOOKUP(G410,'01. TH'!$B:$E,3,0)</f>
        <v/>
      </c>
      <c r="I410" s="103" t="s">
        <v>1103</v>
      </c>
      <c r="J410" s="112">
        <v>45633</v>
      </c>
      <c r="K410" s="101" t="str">
        <f>IF(COUNTIF('TT BTSC'!$D:$D,B410)&gt;0,"Hư hỏng","Bình thường")</f>
        <v>Bình thường</v>
      </c>
      <c r="L410" s="113">
        <v>0.99</v>
      </c>
      <c r="M410" s="183" t="s">
        <v>653</v>
      </c>
      <c r="N410" s="103" t="s">
        <v>2078</v>
      </c>
      <c r="O410" s="110" t="s">
        <v>590</v>
      </c>
      <c r="P410" s="103">
        <v>2024</v>
      </c>
      <c r="Q410" s="103" t="s">
        <v>2090</v>
      </c>
      <c r="R410" s="103" t="s">
        <v>89</v>
      </c>
      <c r="S410" s="111" t="s">
        <v>2091</v>
      </c>
      <c r="T410" s="111" t="s">
        <v>2092</v>
      </c>
      <c r="U410" s="111">
        <v>7</v>
      </c>
      <c r="V410" s="895">
        <v>100</v>
      </c>
      <c r="W410" s="895"/>
      <c r="X410" s="895"/>
      <c r="Y410" s="895"/>
    </row>
    <row r="411" ht="13.5" customHeight="1" outlineLevel="1" spans="1:25">
      <c r="A411" s="103">
        <f t="shared" si="13"/>
        <v>63</v>
      </c>
      <c r="B411" s="102" t="s">
        <v>2093</v>
      </c>
      <c r="C411" s="104" t="s">
        <v>2083</v>
      </c>
      <c r="D411" s="103" t="s">
        <v>2094</v>
      </c>
      <c r="E411" s="103"/>
      <c r="F411" s="103" t="s">
        <v>504</v>
      </c>
      <c r="G411" s="104" t="s">
        <v>91</v>
      </c>
      <c r="H411" s="101" t="str">
        <f>VLOOKUP(G411,'01. TH'!$B:$E,3,0)</f>
        <v/>
      </c>
      <c r="I411" s="103" t="s">
        <v>1103</v>
      </c>
      <c r="J411" s="112" t="s">
        <v>2095</v>
      </c>
      <c r="K411" s="101" t="str">
        <f>IF(COUNTIF('TT BTSC'!$D:$D,B411)&gt;0,"Hư hỏng","Bình thường")</f>
        <v>Bình thường</v>
      </c>
      <c r="L411" s="113"/>
      <c r="M411" s="183" t="s">
        <v>653</v>
      </c>
      <c r="N411" s="103" t="s">
        <v>2078</v>
      </c>
      <c r="O411" s="111" t="s">
        <v>590</v>
      </c>
      <c r="P411" s="103">
        <v>2024</v>
      </c>
      <c r="Q411" s="103" t="s">
        <v>2096</v>
      </c>
      <c r="R411" s="103" t="s">
        <v>89</v>
      </c>
      <c r="S411" s="111" t="s">
        <v>2097</v>
      </c>
      <c r="T411" s="111" t="s">
        <v>2098</v>
      </c>
      <c r="U411" s="111">
        <v>7</v>
      </c>
      <c r="V411" s="895">
        <v>100</v>
      </c>
      <c r="W411" s="895"/>
      <c r="X411" s="895"/>
      <c r="Y411" s="895"/>
    </row>
    <row r="412" ht="13.5" customHeight="1" outlineLevel="1" spans="1:25">
      <c r="A412" s="103">
        <f t="shared" si="13"/>
        <v>64</v>
      </c>
      <c r="B412" s="104" t="s">
        <v>2099</v>
      </c>
      <c r="C412" s="104"/>
      <c r="D412" s="103" t="s">
        <v>2100</v>
      </c>
      <c r="E412" s="103"/>
      <c r="F412" s="103" t="s">
        <v>504</v>
      </c>
      <c r="G412" s="104" t="s">
        <v>90</v>
      </c>
      <c r="H412" s="101" t="str">
        <f>VLOOKUP(G412,'01. TH'!$B:$E,3,0)</f>
        <v/>
      </c>
      <c r="I412" s="103" t="s">
        <v>1103</v>
      </c>
      <c r="J412" s="112">
        <v>45717</v>
      </c>
      <c r="K412" s="101" t="str">
        <f>IF(COUNTIF('TT BTSC'!$D:$D,B412)&gt;0,"Hư hỏng","Bình thường")</f>
        <v>Bình thường</v>
      </c>
      <c r="L412" s="103"/>
      <c r="M412" s="183" t="s">
        <v>653</v>
      </c>
      <c r="N412" s="103" t="s">
        <v>2078</v>
      </c>
      <c r="O412" s="111" t="s">
        <v>590</v>
      </c>
      <c r="P412" s="103">
        <v>2024</v>
      </c>
      <c r="Q412" s="103" t="s">
        <v>2101</v>
      </c>
      <c r="R412" s="103" t="s">
        <v>89</v>
      </c>
      <c r="S412" s="111" t="s">
        <v>2102</v>
      </c>
      <c r="T412" s="111" t="s">
        <v>2103</v>
      </c>
      <c r="U412" s="111">
        <v>7</v>
      </c>
      <c r="V412" s="895">
        <v>100</v>
      </c>
      <c r="W412" s="895"/>
      <c r="X412" s="895"/>
      <c r="Y412" s="895"/>
    </row>
    <row r="413" ht="13.5" customHeight="1" outlineLevel="1" spans="1:25">
      <c r="A413" s="103">
        <f t="shared" si="13"/>
        <v>65</v>
      </c>
      <c r="B413" s="104" t="s">
        <v>2104</v>
      </c>
      <c r="C413" s="104"/>
      <c r="D413" s="103" t="s">
        <v>2105</v>
      </c>
      <c r="E413" s="103"/>
      <c r="F413" s="103" t="s">
        <v>504</v>
      </c>
      <c r="G413" s="104" t="s">
        <v>90</v>
      </c>
      <c r="H413" s="101" t="str">
        <f>VLOOKUP(G413,'01. TH'!$B:$E,3,0)</f>
        <v/>
      </c>
      <c r="I413" s="103" t="s">
        <v>1103</v>
      </c>
      <c r="J413" s="112">
        <v>45717</v>
      </c>
      <c r="K413" s="101" t="str">
        <f>IF(COUNTIF('TT BTSC'!$D:$D,B413)&gt;0,"Hư hỏng","Bình thường")</f>
        <v>Bình thường</v>
      </c>
      <c r="L413" s="103"/>
      <c r="M413" s="183" t="s">
        <v>653</v>
      </c>
      <c r="N413" s="103" t="s">
        <v>2078</v>
      </c>
      <c r="O413" s="111" t="s">
        <v>590</v>
      </c>
      <c r="P413" s="103">
        <v>2024</v>
      </c>
      <c r="Q413" s="103" t="s">
        <v>2101</v>
      </c>
      <c r="R413" s="103" t="s">
        <v>89</v>
      </c>
      <c r="S413" s="111" t="s">
        <v>2106</v>
      </c>
      <c r="T413" s="111" t="s">
        <v>2107</v>
      </c>
      <c r="U413" s="111">
        <v>7</v>
      </c>
      <c r="V413" s="895">
        <v>100</v>
      </c>
      <c r="W413" s="895"/>
      <c r="X413" s="895"/>
      <c r="Y413" s="895"/>
    </row>
    <row r="414" ht="13.5" customHeight="1" outlineLevel="1" spans="1:25">
      <c r="A414" s="103">
        <f t="shared" si="13"/>
        <v>66</v>
      </c>
      <c r="B414" s="104" t="s">
        <v>2108</v>
      </c>
      <c r="C414" s="104"/>
      <c r="D414" s="103" t="s">
        <v>2109</v>
      </c>
      <c r="E414" s="103"/>
      <c r="F414" s="103" t="s">
        <v>504</v>
      </c>
      <c r="G414" s="104" t="s">
        <v>93</v>
      </c>
      <c r="H414" s="101" t="str">
        <f>VLOOKUP(G414,'01. TH'!$B:$E,3,0)</f>
        <v/>
      </c>
      <c r="I414" s="103" t="s">
        <v>1103</v>
      </c>
      <c r="J414" s="112">
        <v>45939</v>
      </c>
      <c r="K414" s="101" t="str">
        <f>IF(COUNTIF('TT BTSC'!$D:$D,B414)&gt;0,"Hư hỏng","Bình thường")</f>
        <v>Bình thường</v>
      </c>
      <c r="L414" s="103"/>
      <c r="M414" s="183" t="s">
        <v>653</v>
      </c>
      <c r="N414" s="103" t="s">
        <v>2085</v>
      </c>
      <c r="O414" s="111" t="s">
        <v>590</v>
      </c>
      <c r="P414" s="103">
        <v>2025</v>
      </c>
      <c r="Q414" s="103" t="s">
        <v>2110</v>
      </c>
      <c r="R414" s="103" t="s">
        <v>94</v>
      </c>
      <c r="S414" s="111" t="s">
        <v>2111</v>
      </c>
      <c r="T414" s="111" t="s">
        <v>2112</v>
      </c>
      <c r="U414" s="111">
        <v>12</v>
      </c>
      <c r="V414" s="895">
        <v>200</v>
      </c>
      <c r="W414" s="895"/>
      <c r="X414" s="895"/>
      <c r="Y414" s="895"/>
    </row>
    <row r="415" ht="13.5" customHeight="1" outlineLevel="1" spans="1:25">
      <c r="A415" s="103">
        <f t="shared" si="13"/>
        <v>67</v>
      </c>
      <c r="B415" s="104" t="s">
        <v>2113</v>
      </c>
      <c r="C415" s="104"/>
      <c r="D415" s="103" t="s">
        <v>2114</v>
      </c>
      <c r="E415" s="103"/>
      <c r="F415" s="103" t="s">
        <v>504</v>
      </c>
      <c r="G415" s="104" t="s">
        <v>93</v>
      </c>
      <c r="H415" s="101" t="str">
        <f>VLOOKUP(G415,'01. TH'!$B:$E,3,0)</f>
        <v/>
      </c>
      <c r="I415" s="103" t="s">
        <v>1103</v>
      </c>
      <c r="J415" s="112">
        <v>45939</v>
      </c>
      <c r="K415" s="101" t="str">
        <f>IF(COUNTIF('TT BTSC'!$D:$D,B415)&gt;0,"Hư hỏng","Bình thường")</f>
        <v>Bình thường</v>
      </c>
      <c r="L415" s="103"/>
      <c r="M415" s="183" t="s">
        <v>653</v>
      </c>
      <c r="N415" s="103" t="s">
        <v>2085</v>
      </c>
      <c r="O415" s="111" t="s">
        <v>590</v>
      </c>
      <c r="P415" s="103">
        <v>2025</v>
      </c>
      <c r="Q415" s="103" t="s">
        <v>2110</v>
      </c>
      <c r="R415" s="103" t="s">
        <v>94</v>
      </c>
      <c r="S415" s="111" t="s">
        <v>2115</v>
      </c>
      <c r="T415" s="111" t="s">
        <v>2116</v>
      </c>
      <c r="U415" s="111">
        <v>12</v>
      </c>
      <c r="V415" s="895">
        <v>200</v>
      </c>
      <c r="W415" s="895"/>
      <c r="X415" s="895"/>
      <c r="Y415" s="895"/>
    </row>
    <row r="416" ht="13.5" customHeight="1" outlineLevel="1" spans="1:25">
      <c r="A416" s="103">
        <f t="shared" si="13"/>
        <v>68</v>
      </c>
      <c r="B416" s="104" t="s">
        <v>2117</v>
      </c>
      <c r="C416" s="104"/>
      <c r="D416" s="103" t="s">
        <v>2118</v>
      </c>
      <c r="E416" s="103"/>
      <c r="F416" s="157" t="s">
        <v>492</v>
      </c>
      <c r="G416" s="104" t="s">
        <v>95</v>
      </c>
      <c r="H416" s="101" t="str">
        <f>VLOOKUP(G416,'01. TH'!$B:$E,3,0)</f>
        <v/>
      </c>
      <c r="I416" s="103" t="s">
        <v>1103</v>
      </c>
      <c r="J416" s="103" t="s">
        <v>2119</v>
      </c>
      <c r="K416" s="101" t="str">
        <f>IF(COUNTIF('TT BTSC'!$D:$D,B416)&gt;0,"Hư hỏng","Bình thường")</f>
        <v>Bình thường</v>
      </c>
      <c r="L416" s="103"/>
      <c r="M416" s="183" t="s">
        <v>2120</v>
      </c>
      <c r="N416" s="103" t="s">
        <v>2121</v>
      </c>
      <c r="O416" s="111" t="s">
        <v>955</v>
      </c>
      <c r="P416" s="103">
        <v>2007</v>
      </c>
      <c r="Q416" s="103" t="s">
        <v>2122</v>
      </c>
      <c r="R416" s="103" t="s">
        <v>41</v>
      </c>
      <c r="S416" s="111" t="s">
        <v>2123</v>
      </c>
      <c r="T416" s="111" t="s">
        <v>2124</v>
      </c>
      <c r="U416" s="111"/>
      <c r="V416" s="895">
        <v>0</v>
      </c>
      <c r="W416" s="895"/>
      <c r="X416" s="895"/>
      <c r="Y416" s="895"/>
    </row>
    <row r="417" ht="13.5" customHeight="1" outlineLevel="1" spans="1:25">
      <c r="A417" s="103">
        <f t="shared" si="13"/>
        <v>69</v>
      </c>
      <c r="B417" s="104" t="s">
        <v>2125</v>
      </c>
      <c r="C417" s="104"/>
      <c r="D417" s="103" t="s">
        <v>2126</v>
      </c>
      <c r="E417" s="103"/>
      <c r="F417" s="157" t="s">
        <v>492</v>
      </c>
      <c r="G417" s="104" t="s">
        <v>2127</v>
      </c>
      <c r="H417" s="101" t="e">
        <f>VLOOKUP(G417,'01. TH'!$B:$E,3,0)</f>
        <v>#N/A</v>
      </c>
      <c r="I417" s="103" t="s">
        <v>1103</v>
      </c>
      <c r="J417" s="112">
        <v>46002</v>
      </c>
      <c r="K417" s="101" t="str">
        <f>IF(COUNTIF('TT BTSC'!$D:$D,B417)&gt;0,"Hư hỏng","Bình thường")</f>
        <v>Bình thường</v>
      </c>
      <c r="L417" s="103"/>
      <c r="M417" s="183" t="s">
        <v>653</v>
      </c>
      <c r="N417" s="103" t="s">
        <v>2085</v>
      </c>
      <c r="O417" s="111" t="s">
        <v>590</v>
      </c>
      <c r="P417" s="103">
        <v>2025</v>
      </c>
      <c r="Q417" s="103" t="s">
        <v>2110</v>
      </c>
      <c r="R417" s="103" t="s">
        <v>2128</v>
      </c>
      <c r="S417" s="111" t="s">
        <v>2129</v>
      </c>
      <c r="T417" s="111" t="s">
        <v>2130</v>
      </c>
      <c r="U417" s="111"/>
      <c r="V417" s="895"/>
      <c r="W417" s="895"/>
      <c r="X417" s="895"/>
      <c r="Y417" s="895"/>
    </row>
    <row r="418" ht="13.5" customHeight="1" outlineLevel="1" spans="1:25">
      <c r="A418" s="103">
        <f t="shared" si="13"/>
        <v>70</v>
      </c>
      <c r="B418" s="104" t="s">
        <v>2131</v>
      </c>
      <c r="C418" s="104"/>
      <c r="D418" s="103" t="s">
        <v>2132</v>
      </c>
      <c r="E418" s="103"/>
      <c r="F418" s="157" t="s">
        <v>492</v>
      </c>
      <c r="G418" s="104" t="s">
        <v>80</v>
      </c>
      <c r="H418" s="101" t="str">
        <f>VLOOKUP(G418,'01. TH'!$B:$E,3,0)</f>
        <v/>
      </c>
      <c r="I418" s="103" t="s">
        <v>1103</v>
      </c>
      <c r="J418" s="112">
        <v>46082</v>
      </c>
      <c r="K418" s="101" t="str">
        <f>IF(COUNTIF('TT BTSC'!$D:$D,B418)&gt;0,"Hư hỏng","Bình thường")</f>
        <v>Bình thường</v>
      </c>
      <c r="L418" s="103"/>
      <c r="M418" s="183" t="s">
        <v>653</v>
      </c>
      <c r="N418" s="103" t="s">
        <v>2133</v>
      </c>
      <c r="O418" s="111" t="s">
        <v>2134</v>
      </c>
      <c r="P418" s="103"/>
      <c r="Q418" s="103">
        <v>753</v>
      </c>
      <c r="R418" s="103" t="s">
        <v>2135</v>
      </c>
      <c r="S418" s="111">
        <v>511350401</v>
      </c>
      <c r="T418" s="111" t="s">
        <v>2136</v>
      </c>
      <c r="U418" s="111"/>
      <c r="V418" s="895"/>
      <c r="W418" s="895"/>
      <c r="X418" s="895"/>
      <c r="Y418" s="895"/>
    </row>
    <row r="419" ht="13.5" customHeight="1" outlineLevel="1" spans="1:25">
      <c r="A419" s="103">
        <f t="shared" si="13"/>
        <v>71</v>
      </c>
      <c r="B419" s="104" t="s">
        <v>2137</v>
      </c>
      <c r="C419" s="104"/>
      <c r="D419" s="103" t="s">
        <v>2138</v>
      </c>
      <c r="E419" s="103"/>
      <c r="F419" s="157" t="s">
        <v>492</v>
      </c>
      <c r="G419" s="104" t="s">
        <v>82</v>
      </c>
      <c r="H419" s="101" t="str">
        <f>VLOOKUP(G419,'01. TH'!$B:$E,3,0)</f>
        <v/>
      </c>
      <c r="I419" s="103" t="s">
        <v>1103</v>
      </c>
      <c r="J419" s="112">
        <v>46082</v>
      </c>
      <c r="K419" s="101" t="str">
        <f>IF(COUNTIF('TT BTSC'!$D:$D,B419)&gt;0,"Hư hỏng","Bình thường")</f>
        <v>Bình thường</v>
      </c>
      <c r="L419" s="103"/>
      <c r="M419" s="183" t="s">
        <v>653</v>
      </c>
      <c r="N419" s="103" t="s">
        <v>2133</v>
      </c>
      <c r="O419" s="111" t="s">
        <v>2134</v>
      </c>
      <c r="P419" s="103"/>
      <c r="Q419" s="103">
        <v>763</v>
      </c>
      <c r="R419" s="103" t="s">
        <v>2139</v>
      </c>
      <c r="S419" s="111">
        <v>512215700</v>
      </c>
      <c r="T419" s="111" t="s">
        <v>2140</v>
      </c>
      <c r="U419" s="111"/>
      <c r="V419" s="895"/>
      <c r="W419" s="895"/>
      <c r="X419" s="895"/>
      <c r="Y419" s="895"/>
    </row>
    <row r="420" ht="13.5" customHeight="1" outlineLevel="1" spans="1:25">
      <c r="A420" s="103">
        <f t="shared" si="13"/>
        <v>72</v>
      </c>
      <c r="B420" s="104" t="s">
        <v>2141</v>
      </c>
      <c r="C420" s="104"/>
      <c r="D420" s="103" t="str">
        <f>IFERROR(VLOOKUP(B420,' 02.1 KLH-CN MÃ BRAVO MM'!$B:$C,2,0),"")</f>
        <v>ATT-A22-0055</v>
      </c>
      <c r="E420" s="103"/>
      <c r="F420" s="157" t="s">
        <v>451</v>
      </c>
      <c r="G420" s="104" t="s">
        <v>1556</v>
      </c>
      <c r="H420" s="101" t="e">
        <f>VLOOKUP(G420,'01. TH'!$B:$E,3,0)</f>
        <v>#N/A</v>
      </c>
      <c r="I420" s="103" t="s">
        <v>1103</v>
      </c>
      <c r="J420" s="112"/>
      <c r="K420" s="101" t="str">
        <f>IF(COUNTIF('TT BTSC'!$D:$D,B420)&gt;0,"Hư hỏng","Bình thường")</f>
        <v>Bình thường</v>
      </c>
      <c r="L420" s="103"/>
      <c r="M420" s="183"/>
      <c r="N420" s="103" t="s">
        <v>480</v>
      </c>
      <c r="O420" s="111" t="s">
        <v>453</v>
      </c>
      <c r="P420" s="103">
        <v>2015</v>
      </c>
      <c r="Q420" s="103" t="s">
        <v>2142</v>
      </c>
      <c r="R420" s="103" t="s">
        <v>2143</v>
      </c>
      <c r="S420" s="111">
        <v>838092</v>
      </c>
      <c r="T420" s="111" t="s">
        <v>2144</v>
      </c>
      <c r="U420" s="111"/>
      <c r="V420" s="895">
        <v>0</v>
      </c>
      <c r="W420" s="895"/>
      <c r="X420" s="895"/>
      <c r="Y420" s="895"/>
    </row>
    <row r="421" ht="13.5" customHeight="1" outlineLevel="1" spans="1:25">
      <c r="A421" s="103">
        <f t="shared" si="13"/>
        <v>73</v>
      </c>
      <c r="B421" s="102" t="s">
        <v>2145</v>
      </c>
      <c r="C421" s="102" t="s">
        <v>1048</v>
      </c>
      <c r="D421" s="103" t="str">
        <f>IFERROR(VLOOKUP(B421,' 02.1 KLH-CN MÃ BRAVO MM'!$B:$C,2,0),"")</f>
        <v>ATT-A22-0305</v>
      </c>
      <c r="E421" s="103"/>
      <c r="F421" s="157" t="s">
        <v>451</v>
      </c>
      <c r="G421" s="102" t="s">
        <v>237</v>
      </c>
      <c r="H421" s="101" t="str">
        <f>VLOOKUP(G421,'01. TH'!$B:$E,3,0)</f>
        <v/>
      </c>
      <c r="I421" s="101" t="s">
        <v>1103</v>
      </c>
      <c r="J421" s="105" t="s">
        <v>2077</v>
      </c>
      <c r="K421" s="101" t="str">
        <f>IF(COUNTIF('TT BTSC'!$D:$D,B421)&gt;0,"Hư hỏng","Bình thường")</f>
        <v>Bình thường</v>
      </c>
      <c r="L421" s="107">
        <v>0.97</v>
      </c>
      <c r="M421" s="182" t="s">
        <v>2146</v>
      </c>
      <c r="N421" s="101" t="s">
        <v>480</v>
      </c>
      <c r="O421" s="110" t="s">
        <v>453</v>
      </c>
      <c r="P421" s="101">
        <v>2018</v>
      </c>
      <c r="Q421" s="101" t="s">
        <v>2147</v>
      </c>
      <c r="R421" s="101" t="s">
        <v>75</v>
      </c>
      <c r="S421" s="110">
        <v>308754</v>
      </c>
      <c r="T421" s="111" t="s">
        <v>462</v>
      </c>
      <c r="U421" s="111">
        <v>2</v>
      </c>
      <c r="V421" s="895">
        <v>58</v>
      </c>
      <c r="W421" s="895"/>
      <c r="X421" s="895"/>
      <c r="Y421" s="895"/>
    </row>
    <row r="422" ht="13.5" customHeight="1" outlineLevel="1" spans="1:25">
      <c r="A422" s="103">
        <f t="shared" si="13"/>
        <v>74</v>
      </c>
      <c r="B422" s="102" t="s">
        <v>2148</v>
      </c>
      <c r="C422" s="102"/>
      <c r="D422" s="103" t="str">
        <f>IFERROR(VLOOKUP(B422,' 02.1 KLH-CN MÃ BRAVO MM'!$B:$C,2,0),"")</f>
        <v>ATT-A22-0055</v>
      </c>
      <c r="E422" s="103"/>
      <c r="F422" s="157" t="s">
        <v>451</v>
      </c>
      <c r="G422" s="102" t="s">
        <v>243</v>
      </c>
      <c r="H422" s="101" t="str">
        <f>VLOOKUP(G422,'01. TH'!$B:$E,3,0)</f>
        <v/>
      </c>
      <c r="I422" s="101" t="s">
        <v>1103</v>
      </c>
      <c r="J422" s="105"/>
      <c r="K422" s="101" t="str">
        <f>IF(COUNTIF('TT BTSC'!$D:$D,B422)&gt;0,"Hư hỏng","Bình thường")</f>
        <v>Bình thường</v>
      </c>
      <c r="L422" s="107"/>
      <c r="M422" s="182" t="s">
        <v>2146</v>
      </c>
      <c r="N422" s="101" t="s">
        <v>480</v>
      </c>
      <c r="O422" s="110" t="s">
        <v>453</v>
      </c>
      <c r="P422" s="101"/>
      <c r="Q422" s="101" t="s">
        <v>2149</v>
      </c>
      <c r="R422" s="101" t="s">
        <v>290</v>
      </c>
      <c r="S422" s="110">
        <v>806003</v>
      </c>
      <c r="T422" s="111" t="s">
        <v>462</v>
      </c>
      <c r="U422" s="111"/>
      <c r="V422" s="895">
        <v>0</v>
      </c>
      <c r="W422" s="895"/>
      <c r="X422" s="895"/>
      <c r="Y422" s="895"/>
    </row>
    <row r="423" ht="13.5" customHeight="1" outlineLevel="1" spans="1:25">
      <c r="A423" s="103">
        <f t="shared" si="13"/>
        <v>75</v>
      </c>
      <c r="B423" s="104" t="s">
        <v>2150</v>
      </c>
      <c r="C423" s="104"/>
      <c r="D423" s="103" t="s">
        <v>2151</v>
      </c>
      <c r="E423" s="103"/>
      <c r="F423" s="157" t="s">
        <v>451</v>
      </c>
      <c r="G423" s="104" t="s">
        <v>239</v>
      </c>
      <c r="H423" s="101" t="str">
        <f>VLOOKUP(G423,'01. TH'!$B:$E,3,0)</f>
        <v/>
      </c>
      <c r="I423" s="101" t="s">
        <v>1103</v>
      </c>
      <c r="J423" s="103" t="s">
        <v>2152</v>
      </c>
      <c r="K423" s="101" t="str">
        <f>IF(COUNTIF('TT BTSC'!$D:$D,B423)&gt;0,"Hư hỏng","Bình thường")</f>
        <v>Bình thường</v>
      </c>
      <c r="L423" s="103"/>
      <c r="M423" s="182" t="s">
        <v>1146</v>
      </c>
      <c r="N423" s="103" t="s">
        <v>480</v>
      </c>
      <c r="O423" s="110" t="s">
        <v>453</v>
      </c>
      <c r="P423" s="103">
        <v>2013</v>
      </c>
      <c r="Q423" s="103" t="s">
        <v>2153</v>
      </c>
      <c r="R423" s="103" t="s">
        <v>2154</v>
      </c>
      <c r="S423" s="111">
        <v>38377</v>
      </c>
      <c r="T423" s="111" t="s">
        <v>462</v>
      </c>
      <c r="U423" s="924">
        <v>4</v>
      </c>
      <c r="V423" s="895">
        <v>0</v>
      </c>
      <c r="W423" s="895"/>
      <c r="X423" s="895"/>
      <c r="Y423" s="895"/>
    </row>
    <row r="424" ht="13.5" customHeight="1" outlineLevel="1" spans="1:25">
      <c r="A424" s="103">
        <f t="shared" si="13"/>
        <v>76</v>
      </c>
      <c r="B424" s="102" t="s">
        <v>2155</v>
      </c>
      <c r="C424" s="102"/>
      <c r="D424" s="103" t="s">
        <v>2156</v>
      </c>
      <c r="E424" s="103"/>
      <c r="F424" s="157" t="s">
        <v>504</v>
      </c>
      <c r="G424" s="156" t="s">
        <v>238</v>
      </c>
      <c r="H424" s="101" t="str">
        <f>VLOOKUP(G424,'01. TH'!$B:$E,3,0)</f>
        <v/>
      </c>
      <c r="I424" s="101" t="s">
        <v>1103</v>
      </c>
      <c r="J424" s="105">
        <v>45813</v>
      </c>
      <c r="K424" s="101" t="str">
        <f>IF(COUNTIF('TT BTSC'!$D:$D,B424)&gt;0,"Hư hỏng","Bình thường")</f>
        <v>Bình thường</v>
      </c>
      <c r="L424" s="107"/>
      <c r="M424" s="182" t="s">
        <v>2157</v>
      </c>
      <c r="N424" s="146" t="s">
        <v>1380</v>
      </c>
      <c r="O424" s="110" t="s">
        <v>555</v>
      </c>
      <c r="P424" s="101">
        <v>2024</v>
      </c>
      <c r="Q424" s="101" t="s">
        <v>2158</v>
      </c>
      <c r="R424" s="101" t="s">
        <v>208</v>
      </c>
      <c r="S424" s="110" t="s">
        <v>2159</v>
      </c>
      <c r="T424" s="111" t="s">
        <v>2160</v>
      </c>
      <c r="U424" s="111">
        <v>4</v>
      </c>
      <c r="V424" s="895">
        <v>60</v>
      </c>
      <c r="W424" s="895"/>
      <c r="X424" s="895"/>
      <c r="Y424" s="895"/>
    </row>
    <row r="425" ht="13.5" customHeight="1" outlineLevel="1" spans="1:25">
      <c r="A425" s="103">
        <f t="shared" si="13"/>
        <v>77</v>
      </c>
      <c r="B425" s="102" t="s">
        <v>2161</v>
      </c>
      <c r="C425" s="102"/>
      <c r="D425" s="103" t="s">
        <v>2162</v>
      </c>
      <c r="E425" s="103"/>
      <c r="F425" s="157" t="s">
        <v>504</v>
      </c>
      <c r="G425" s="156" t="s">
        <v>238</v>
      </c>
      <c r="H425" s="101" t="str">
        <f>VLOOKUP(G425,'01. TH'!$B:$E,3,0)</f>
        <v/>
      </c>
      <c r="I425" s="101" t="s">
        <v>1103</v>
      </c>
      <c r="J425" s="105">
        <v>45813</v>
      </c>
      <c r="K425" s="101" t="str">
        <f>IF(COUNTIF('TT BTSC'!$D:$D,B425)&gt;0,"Hư hỏng","Bình thường")</f>
        <v>Bình thường</v>
      </c>
      <c r="L425" s="107"/>
      <c r="M425" s="182" t="s">
        <v>2163</v>
      </c>
      <c r="N425" s="146" t="s">
        <v>1380</v>
      </c>
      <c r="O425" s="110" t="s">
        <v>555</v>
      </c>
      <c r="P425" s="101">
        <v>2024</v>
      </c>
      <c r="Q425" s="101" t="s">
        <v>2158</v>
      </c>
      <c r="R425" s="101" t="s">
        <v>208</v>
      </c>
      <c r="S425" s="110" t="s">
        <v>2164</v>
      </c>
      <c r="T425" s="111" t="s">
        <v>2165</v>
      </c>
      <c r="U425" s="111">
        <v>4</v>
      </c>
      <c r="V425" s="895">
        <v>60</v>
      </c>
      <c r="W425" s="895"/>
      <c r="X425" s="895"/>
      <c r="Y425" s="895"/>
    </row>
    <row r="426" ht="13.5" customHeight="1" outlineLevel="1" spans="1:25">
      <c r="A426" s="103">
        <f t="shared" si="13"/>
        <v>78</v>
      </c>
      <c r="B426" s="104" t="s">
        <v>2166</v>
      </c>
      <c r="C426" s="104" t="s">
        <v>2167</v>
      </c>
      <c r="D426" s="103" t="str">
        <f>IFERROR(VLOOKUP(B426,' 02.1 KLH-CN MÃ BRAVO MM'!$B:$C,2,0),"")</f>
        <v>ATT-A23-0042</v>
      </c>
      <c r="E426" s="103"/>
      <c r="F426" s="103" t="s">
        <v>451</v>
      </c>
      <c r="G426" s="104" t="s">
        <v>49</v>
      </c>
      <c r="H426" s="101" t="str">
        <f>VLOOKUP(G426,'01. TH'!$B:$E,3,0)</f>
        <v>5260 x 1760 x 2415</v>
      </c>
      <c r="I426" s="103" t="s">
        <v>1103</v>
      </c>
      <c r="J426" s="112"/>
      <c r="K426" s="101" t="str">
        <f>IF(COUNTIF('TT BTSC'!$D:$D,B426)&gt;0,"Hư hỏng","Bình thường")</f>
        <v>Bình thường</v>
      </c>
      <c r="L426" s="103"/>
      <c r="M426" s="183" t="s">
        <v>2168</v>
      </c>
      <c r="N426" s="103" t="s">
        <v>480</v>
      </c>
      <c r="O426" s="111" t="s">
        <v>453</v>
      </c>
      <c r="P426" s="103">
        <v>2006</v>
      </c>
      <c r="Q426" s="103" t="s">
        <v>1629</v>
      </c>
      <c r="R426" s="103" t="s">
        <v>767</v>
      </c>
      <c r="S426" s="111" t="s">
        <v>2169</v>
      </c>
      <c r="T426" s="111" t="s">
        <v>462</v>
      </c>
      <c r="U426" s="160">
        <v>4</v>
      </c>
      <c r="V426" s="895">
        <v>65</v>
      </c>
      <c r="W426" s="895"/>
      <c r="X426" s="895"/>
      <c r="Y426" s="895"/>
    </row>
    <row r="427" ht="39" customHeight="1" outlineLevel="1" spans="1:25">
      <c r="A427" s="103">
        <f t="shared" si="13"/>
        <v>79</v>
      </c>
      <c r="B427" s="104" t="s">
        <v>2170</v>
      </c>
      <c r="C427" s="102" t="s">
        <v>2171</v>
      </c>
      <c r="D427" s="103" t="s">
        <v>2172</v>
      </c>
      <c r="E427" s="103"/>
      <c r="F427" s="157" t="s">
        <v>492</v>
      </c>
      <c r="G427" s="102" t="s">
        <v>51</v>
      </c>
      <c r="H427" s="101" t="str">
        <f>VLOOKUP(G427,'01. TH'!$B:$E,3,0)</f>
        <v>7820 x 2500 x 3140</v>
      </c>
      <c r="I427" s="103" t="s">
        <v>1103</v>
      </c>
      <c r="J427" s="105">
        <v>46026</v>
      </c>
      <c r="K427" s="101" t="str">
        <f>IF(COUNTIF('TT BTSC'!$D:$D,C427)&gt;0,"Hư hỏng","Bình thường")</f>
        <v>Bình thường</v>
      </c>
      <c r="L427" s="107"/>
      <c r="M427" s="182" t="s">
        <v>2173</v>
      </c>
      <c r="N427" s="101" t="s">
        <v>1267</v>
      </c>
      <c r="O427" s="110" t="s">
        <v>465</v>
      </c>
      <c r="P427" s="101">
        <v>2012</v>
      </c>
      <c r="Q427" s="101" t="s">
        <v>2174</v>
      </c>
      <c r="R427" s="101" t="s">
        <v>467</v>
      </c>
      <c r="S427" s="110" t="s">
        <v>2175</v>
      </c>
      <c r="T427" s="111">
        <v>73390872</v>
      </c>
      <c r="U427" s="111">
        <v>12</v>
      </c>
      <c r="V427" s="895">
        <v>0</v>
      </c>
      <c r="W427" s="895"/>
      <c r="X427" s="895"/>
      <c r="Y427" s="895"/>
    </row>
    <row r="428" ht="39" customHeight="1" outlineLevel="1" spans="1:25">
      <c r="A428" s="103">
        <f t="shared" si="13"/>
        <v>80</v>
      </c>
      <c r="B428" s="104" t="s">
        <v>2176</v>
      </c>
      <c r="C428" s="104" t="s">
        <v>2177</v>
      </c>
      <c r="D428" s="103" t="s">
        <v>2178</v>
      </c>
      <c r="E428" s="103"/>
      <c r="F428" s="157" t="s">
        <v>492</v>
      </c>
      <c r="G428" s="104" t="s">
        <v>46</v>
      </c>
      <c r="H428" s="101" t="str">
        <f>VLOOKUP(G428,'01. TH'!$B:$E,3,0)</f>
        <v>8358 x 2540 x 3200</v>
      </c>
      <c r="I428" s="103" t="s">
        <v>1103</v>
      </c>
      <c r="J428" s="112">
        <v>45660</v>
      </c>
      <c r="K428" s="101" t="str">
        <f>IF(COUNTIF('TT BTSC'!$D:$D,C428)&gt;0,"Hư hỏng","Bình thường")</f>
        <v>Bình thường</v>
      </c>
      <c r="L428" s="113"/>
      <c r="M428" s="900" t="s">
        <v>2179</v>
      </c>
      <c r="N428" s="103" t="s">
        <v>480</v>
      </c>
      <c r="O428" s="111" t="s">
        <v>597</v>
      </c>
      <c r="P428" s="103">
        <v>2006</v>
      </c>
      <c r="Q428" s="103" t="s">
        <v>598</v>
      </c>
      <c r="R428" s="103" t="s">
        <v>102</v>
      </c>
      <c r="S428" s="111" t="s">
        <v>2180</v>
      </c>
      <c r="T428" s="111">
        <v>21711747</v>
      </c>
      <c r="U428" s="160">
        <v>10</v>
      </c>
      <c r="V428" s="895">
        <v>130</v>
      </c>
      <c r="W428" s="895"/>
      <c r="X428" s="895"/>
      <c r="Y428" s="895"/>
    </row>
    <row r="429" ht="39" customHeight="1" outlineLevel="1" spans="1:25">
      <c r="A429" s="103">
        <f t="shared" si="13"/>
        <v>81</v>
      </c>
      <c r="B429" s="102" t="s">
        <v>2181</v>
      </c>
      <c r="C429" s="102" t="s">
        <v>2182</v>
      </c>
      <c r="D429" s="103" t="str">
        <f>IFERROR(VLOOKUP(B429,' 02.1 KLH-CN MÃ BRAVO MM'!$B:$C,2,0),"")</f>
        <v/>
      </c>
      <c r="E429" s="103"/>
      <c r="F429" s="103" t="s">
        <v>451</v>
      </c>
      <c r="G429" s="102" t="s">
        <v>40</v>
      </c>
      <c r="H429" s="101" t="str">
        <f>VLOOKUP(G429,'01. TH'!$B:$E,3,0)</f>
        <v>5340 x 1980 x 1895</v>
      </c>
      <c r="I429" s="101" t="s">
        <v>27</v>
      </c>
      <c r="J429" s="105">
        <v>45446</v>
      </c>
      <c r="K429" s="101" t="str">
        <f>IF(COUNTIF('TT BTSC'!$D:$D,B429)&gt;0,"Hư hỏng","Bình thường")</f>
        <v>Bình thường</v>
      </c>
      <c r="L429" s="101"/>
      <c r="M429" s="182" t="s">
        <v>2183</v>
      </c>
      <c r="N429" s="101" t="s">
        <v>1644</v>
      </c>
      <c r="O429" s="111" t="s">
        <v>453</v>
      </c>
      <c r="P429" s="101"/>
      <c r="Q429" s="101">
        <v>305</v>
      </c>
      <c r="R429" s="101" t="s">
        <v>2184</v>
      </c>
      <c r="S429" s="110" t="s">
        <v>2185</v>
      </c>
      <c r="T429" s="111" t="s">
        <v>2186</v>
      </c>
      <c r="U429" s="160">
        <v>4</v>
      </c>
      <c r="V429" s="895">
        <v>63</v>
      </c>
      <c r="W429" s="895"/>
      <c r="X429" s="895"/>
      <c r="Y429" s="895"/>
    </row>
    <row r="430" ht="13.5" customHeight="1" outlineLevel="1" spans="1:25">
      <c r="A430" s="103">
        <f t="shared" si="13"/>
        <v>82</v>
      </c>
      <c r="B430" s="102" t="s">
        <v>2187</v>
      </c>
      <c r="C430" s="102" t="s">
        <v>2188</v>
      </c>
      <c r="D430" s="103" t="str">
        <f>IFERROR(VLOOKUP(B430,' 02.1 KLH-CN MÃ BRAVO MM'!$B:$C,2,0),"")</f>
        <v>A22-XCC-001</v>
      </c>
      <c r="E430" s="103"/>
      <c r="F430" s="103" t="s">
        <v>451</v>
      </c>
      <c r="G430" s="102" t="s">
        <v>229</v>
      </c>
      <c r="H430" s="101" t="str">
        <f>VLOOKUP(G430,'01. TH'!$B:$E,3,0)</f>
        <v>8800 x 2500 x 3700</v>
      </c>
      <c r="I430" s="101" t="s">
        <v>1103</v>
      </c>
      <c r="J430" s="105"/>
      <c r="K430" s="101" t="str">
        <f>IF(COUNTIF('TT BTSC'!$D:$D,B430)&gt;0,"Hư hỏng","Bình thường")</f>
        <v>Bình thường</v>
      </c>
      <c r="L430" s="101"/>
      <c r="M430" s="182"/>
      <c r="N430" s="101" t="s">
        <v>621</v>
      </c>
      <c r="O430" s="110" t="s">
        <v>500</v>
      </c>
      <c r="P430" s="101">
        <v>2018</v>
      </c>
      <c r="Q430" s="101" t="s">
        <v>1371</v>
      </c>
      <c r="R430" s="101" t="s">
        <v>54</v>
      </c>
      <c r="S430" s="110" t="s">
        <v>2189</v>
      </c>
      <c r="T430" s="111" t="s">
        <v>2190</v>
      </c>
      <c r="U430" s="111"/>
      <c r="V430" s="895">
        <v>0</v>
      </c>
      <c r="W430" s="895"/>
      <c r="X430" s="895"/>
      <c r="Y430" s="895"/>
    </row>
    <row r="431" ht="13.5" customHeight="1" outlineLevel="1" spans="1:25">
      <c r="A431" s="103">
        <f t="shared" si="13"/>
        <v>83</v>
      </c>
      <c r="B431" s="102" t="s">
        <v>2191</v>
      </c>
      <c r="C431" s="102" t="s">
        <v>1850</v>
      </c>
      <c r="D431" s="103" t="str">
        <f>IFERROR(VLOOKUP(B431,' 02.1 KLH-CN MÃ BRAVO MM'!$B:$C,2,0),"")</f>
        <v>ATT-A22-0270</v>
      </c>
      <c r="E431" s="103"/>
      <c r="F431" s="103" t="s">
        <v>504</v>
      </c>
      <c r="G431" s="102" t="s">
        <v>234</v>
      </c>
      <c r="H431" s="101" t="str">
        <f>VLOOKUP(G431,'01. TH'!$B:$E,3,0)</f>
        <v>7810x3100x3720</v>
      </c>
      <c r="I431" s="101" t="s">
        <v>1103</v>
      </c>
      <c r="J431" s="105">
        <v>44927</v>
      </c>
      <c r="K431" s="101" t="str">
        <f>IF(COUNTIF('TT BTSC'!$D:$D,B431)&gt;0,"Hư hỏng","Bình thường")</f>
        <v>Bình thường</v>
      </c>
      <c r="L431" s="107">
        <v>0.97</v>
      </c>
      <c r="M431" s="182" t="s">
        <v>1146</v>
      </c>
      <c r="N431" s="101" t="s">
        <v>621</v>
      </c>
      <c r="O431" s="110" t="s">
        <v>500</v>
      </c>
      <c r="P431" s="101">
        <v>2017</v>
      </c>
      <c r="Q431" s="101" t="s">
        <v>2192</v>
      </c>
      <c r="R431" s="101" t="s">
        <v>146</v>
      </c>
      <c r="S431" s="110" t="s">
        <v>2193</v>
      </c>
      <c r="T431" s="111" t="s">
        <v>2194</v>
      </c>
      <c r="U431" s="111">
        <v>0.46</v>
      </c>
      <c r="V431" s="895">
        <v>380</v>
      </c>
      <c r="W431" s="895"/>
      <c r="X431" s="895"/>
      <c r="Y431" s="895"/>
    </row>
    <row r="432" ht="13.5" customHeight="1" outlineLevel="1" spans="1:25">
      <c r="A432" s="103">
        <f t="shared" si="13"/>
        <v>84</v>
      </c>
      <c r="B432" s="102" t="s">
        <v>2195</v>
      </c>
      <c r="C432" s="102" t="s">
        <v>1850</v>
      </c>
      <c r="D432" s="103" t="str">
        <f>IFERROR(VLOOKUP(B432,' 02.1 KLH-CN MÃ BRAVO MM'!$B:$C,2,0),"")</f>
        <v>ATT-A22-0287</v>
      </c>
      <c r="E432" s="103"/>
      <c r="F432" s="103" t="s">
        <v>504</v>
      </c>
      <c r="G432" s="102" t="s">
        <v>234</v>
      </c>
      <c r="H432" s="101" t="str">
        <f>VLOOKUP(G432,'01. TH'!$B:$E,3,0)</f>
        <v>7810x3100x3720</v>
      </c>
      <c r="I432" s="101" t="s">
        <v>1103</v>
      </c>
      <c r="J432" s="105">
        <v>45261</v>
      </c>
      <c r="K432" s="101" t="str">
        <f>IF(COUNTIF('TT BTSC'!$D:$D,B432)&gt;0,"Hư hỏng","Bình thường")</f>
        <v>Bình thường</v>
      </c>
      <c r="L432" s="107">
        <v>0.97</v>
      </c>
      <c r="M432" s="182" t="s">
        <v>1146</v>
      </c>
      <c r="N432" s="101" t="s">
        <v>621</v>
      </c>
      <c r="O432" s="110" t="s">
        <v>500</v>
      </c>
      <c r="P432" s="101">
        <v>2017</v>
      </c>
      <c r="Q432" s="101" t="s">
        <v>2192</v>
      </c>
      <c r="R432" s="101" t="s">
        <v>146</v>
      </c>
      <c r="S432" s="110" t="s">
        <v>2196</v>
      </c>
      <c r="T432" s="111" t="s">
        <v>2197</v>
      </c>
      <c r="U432" s="111">
        <v>0.46</v>
      </c>
      <c r="V432" s="895">
        <v>380</v>
      </c>
      <c r="W432" s="895"/>
      <c r="X432" s="895"/>
      <c r="Y432" s="895"/>
    </row>
    <row r="433" ht="13.5" customHeight="1" outlineLevel="1" spans="1:25">
      <c r="A433" s="103">
        <f t="shared" si="13"/>
        <v>85</v>
      </c>
      <c r="B433" s="102" t="s">
        <v>2198</v>
      </c>
      <c r="C433" s="102" t="s">
        <v>1850</v>
      </c>
      <c r="D433" s="103" t="str">
        <f>IFERROR(VLOOKUP(B433,' 02.1 KLH-CN MÃ BRAVO MM'!$B:$C,2,0),"")</f>
        <v>ATT-A22-0288</v>
      </c>
      <c r="E433" s="103"/>
      <c r="F433" s="103" t="s">
        <v>504</v>
      </c>
      <c r="G433" s="102" t="s">
        <v>234</v>
      </c>
      <c r="H433" s="101" t="str">
        <f>VLOOKUP(G433,'01. TH'!$B:$E,3,0)</f>
        <v>7810x3100x3720</v>
      </c>
      <c r="I433" s="101" t="s">
        <v>1103</v>
      </c>
      <c r="J433" s="105">
        <v>45261</v>
      </c>
      <c r="K433" s="101" t="str">
        <f>IF(COUNTIF('TT BTSC'!$D:$D,B433)&gt;0,"Hư hỏng","Bình thường")</f>
        <v>Bình thường</v>
      </c>
      <c r="L433" s="107">
        <v>0.97</v>
      </c>
      <c r="M433" s="182" t="s">
        <v>1146</v>
      </c>
      <c r="N433" s="101" t="s">
        <v>621</v>
      </c>
      <c r="O433" s="110" t="s">
        <v>500</v>
      </c>
      <c r="P433" s="101">
        <v>2017</v>
      </c>
      <c r="Q433" s="101" t="s">
        <v>2192</v>
      </c>
      <c r="R433" s="101" t="s">
        <v>146</v>
      </c>
      <c r="S433" s="110" t="s">
        <v>2199</v>
      </c>
      <c r="T433" s="111" t="s">
        <v>2200</v>
      </c>
      <c r="U433" s="111">
        <v>5</v>
      </c>
      <c r="V433" s="895">
        <v>380</v>
      </c>
      <c r="W433" s="895"/>
      <c r="X433" s="895"/>
      <c r="Y433" s="895"/>
    </row>
    <row r="434" ht="13.5" customHeight="1" outlineLevel="1" spans="1:25">
      <c r="A434" s="103">
        <f t="shared" si="13"/>
        <v>86</v>
      </c>
      <c r="B434" s="102" t="s">
        <v>2201</v>
      </c>
      <c r="C434" s="102" t="s">
        <v>1850</v>
      </c>
      <c r="D434" s="103" t="str">
        <f>IFERROR(VLOOKUP(B434,' 02.1 KLH-CN MÃ BRAVO MM'!$B:$C,2,0),"")</f>
        <v>A22-XRA-005</v>
      </c>
      <c r="E434" s="103"/>
      <c r="F434" s="103" t="s">
        <v>504</v>
      </c>
      <c r="G434" s="102" t="s">
        <v>234</v>
      </c>
      <c r="H434" s="101" t="str">
        <f>VLOOKUP(G434,'01. TH'!$B:$E,3,0)</f>
        <v>7810x3100x3720</v>
      </c>
      <c r="I434" s="101" t="s">
        <v>1103</v>
      </c>
      <c r="J434" s="105">
        <v>45569</v>
      </c>
      <c r="K434" s="101" t="str">
        <f>IF(COUNTIF('TT BTSC'!$D:$D,B434)&gt;0,"Hư hỏng","Bình thường")</f>
        <v>Bình thường</v>
      </c>
      <c r="L434" s="101"/>
      <c r="M434" s="182" t="s">
        <v>1146</v>
      </c>
      <c r="N434" s="101" t="s">
        <v>621</v>
      </c>
      <c r="O434" s="110" t="s">
        <v>500</v>
      </c>
      <c r="P434" s="101">
        <v>2017</v>
      </c>
      <c r="Q434" s="101" t="s">
        <v>2192</v>
      </c>
      <c r="R434" s="101" t="s">
        <v>146</v>
      </c>
      <c r="S434" s="110" t="s">
        <v>2202</v>
      </c>
      <c r="T434" s="111" t="s">
        <v>2203</v>
      </c>
      <c r="U434" s="111">
        <v>5</v>
      </c>
      <c r="V434" s="895">
        <v>380</v>
      </c>
      <c r="W434" s="895"/>
      <c r="X434" s="895"/>
      <c r="Y434" s="895"/>
    </row>
    <row r="435" ht="13.5" customHeight="1" outlineLevel="1" spans="1:25">
      <c r="A435" s="103">
        <f t="shared" si="13"/>
        <v>87</v>
      </c>
      <c r="B435" s="102" t="s">
        <v>2204</v>
      </c>
      <c r="C435" s="102" t="s">
        <v>2205</v>
      </c>
      <c r="D435" s="103" t="str">
        <f>IFERROR(VLOOKUP(B435,' 02.1 KLH-CN MÃ BRAVO MM'!$B:$C,2,0),"")</f>
        <v>ATT-A22-0285</v>
      </c>
      <c r="E435" s="103"/>
      <c r="F435" s="103" t="s">
        <v>504</v>
      </c>
      <c r="G435" s="102" t="s">
        <v>233</v>
      </c>
      <c r="H435" s="101" t="str">
        <f>VLOOKUP(G435,'01. TH'!$B:$E,3,0)</f>
        <v>6160 x 2330 x 2760</v>
      </c>
      <c r="I435" s="101" t="s">
        <v>1103</v>
      </c>
      <c r="J435" s="105">
        <v>45261</v>
      </c>
      <c r="K435" s="101" t="str">
        <f>IF(COUNTIF('TT BTSC'!$D:$D,B435)&gt;0,"Hư hỏng","Bình thường")</f>
        <v>Bình thường</v>
      </c>
      <c r="L435" s="107">
        <v>0.97</v>
      </c>
      <c r="M435" s="182"/>
      <c r="N435" s="101" t="s">
        <v>621</v>
      </c>
      <c r="O435" s="110" t="s">
        <v>500</v>
      </c>
      <c r="P435" s="101">
        <v>2022</v>
      </c>
      <c r="Q435" s="103" t="s">
        <v>635</v>
      </c>
      <c r="R435" s="101" t="s">
        <v>48</v>
      </c>
      <c r="S435" s="111" t="s">
        <v>2206</v>
      </c>
      <c r="T435" s="111" t="s">
        <v>2207</v>
      </c>
      <c r="U435" s="111">
        <v>0.63</v>
      </c>
      <c r="V435" s="895">
        <v>150</v>
      </c>
      <c r="W435" s="895"/>
      <c r="X435" s="895"/>
      <c r="Y435" s="895"/>
    </row>
    <row r="436" ht="13.5" customHeight="1" outlineLevel="1" spans="1:25">
      <c r="A436" s="103">
        <f t="shared" si="13"/>
        <v>88</v>
      </c>
      <c r="B436" s="102" t="s">
        <v>2208</v>
      </c>
      <c r="C436" s="102" t="s">
        <v>1850</v>
      </c>
      <c r="D436" s="103" t="str">
        <f>IFERROR(VLOOKUP(B436,' 02.1 KLH-CN MÃ BRAVO MM'!$B:$C,2,0),"")</f>
        <v>ATT-A22-0289</v>
      </c>
      <c r="E436" s="103"/>
      <c r="F436" s="103" t="s">
        <v>504</v>
      </c>
      <c r="G436" s="102" t="s">
        <v>233</v>
      </c>
      <c r="H436" s="101" t="str">
        <f>VLOOKUP(G436,'01. TH'!$B:$E,3,0)</f>
        <v>6160 x 2330 x 2760</v>
      </c>
      <c r="I436" s="101" t="s">
        <v>1103</v>
      </c>
      <c r="J436" s="105">
        <v>45261</v>
      </c>
      <c r="K436" s="101" t="str">
        <f>IF(COUNTIF('TT BTSC'!$D:$D,B436)&gt;0,"Hư hỏng","Bình thường")</f>
        <v>Bình thường</v>
      </c>
      <c r="L436" s="107">
        <v>0.97</v>
      </c>
      <c r="M436" s="182"/>
      <c r="N436" s="101" t="s">
        <v>621</v>
      </c>
      <c r="O436" s="110" t="s">
        <v>500</v>
      </c>
      <c r="P436" s="101">
        <v>2023</v>
      </c>
      <c r="Q436" s="103" t="s">
        <v>635</v>
      </c>
      <c r="R436" s="101" t="s">
        <v>48</v>
      </c>
      <c r="S436" s="110" t="s">
        <v>2209</v>
      </c>
      <c r="T436" s="111" t="s">
        <v>2210</v>
      </c>
      <c r="U436" s="111">
        <v>0.63</v>
      </c>
      <c r="V436" s="895">
        <v>150</v>
      </c>
      <c r="W436" s="895"/>
      <c r="X436" s="895"/>
      <c r="Y436" s="895"/>
    </row>
    <row r="437" ht="13.5" customHeight="1" outlineLevel="1" spans="1:25">
      <c r="A437" s="103">
        <f t="shared" si="13"/>
        <v>89</v>
      </c>
      <c r="B437" s="102" t="s">
        <v>2211</v>
      </c>
      <c r="C437" s="102" t="s">
        <v>1850</v>
      </c>
      <c r="D437" s="103" t="str">
        <f>IFERROR(VLOOKUP(B437,' 02.1 KLH-CN MÃ BRAVO MM'!$B:$C,2,0),"")</f>
        <v>ATT-A22-0293</v>
      </c>
      <c r="E437" s="103"/>
      <c r="F437" s="103" t="s">
        <v>504</v>
      </c>
      <c r="G437" s="102" t="s">
        <v>233</v>
      </c>
      <c r="H437" s="101" t="str">
        <f>VLOOKUP(G437,'01. TH'!$B:$E,3,0)</f>
        <v>6160 x 2330 x 2760</v>
      </c>
      <c r="I437" s="101" t="s">
        <v>1103</v>
      </c>
      <c r="J437" s="105">
        <v>45261</v>
      </c>
      <c r="K437" s="101" t="str">
        <f>IF(COUNTIF('TT BTSC'!$D:$D,B437)&gt;0,"Hư hỏng","Bình thường")</f>
        <v>Bình thường</v>
      </c>
      <c r="L437" s="107">
        <v>0.97</v>
      </c>
      <c r="M437" s="182" t="s">
        <v>2212</v>
      </c>
      <c r="N437" s="101" t="s">
        <v>621</v>
      </c>
      <c r="O437" s="110" t="s">
        <v>500</v>
      </c>
      <c r="P437" s="101">
        <v>2023</v>
      </c>
      <c r="Q437" s="103" t="s">
        <v>635</v>
      </c>
      <c r="R437" s="101" t="s">
        <v>48</v>
      </c>
      <c r="S437" s="1097" t="s">
        <v>2213</v>
      </c>
      <c r="T437" s="111" t="s">
        <v>2214</v>
      </c>
      <c r="U437" s="111">
        <v>0.63</v>
      </c>
      <c r="V437" s="895">
        <v>150</v>
      </c>
      <c r="W437" s="895"/>
      <c r="X437" s="895"/>
      <c r="Y437" s="895"/>
    </row>
    <row r="438" ht="13.5" customHeight="1" outlineLevel="1" spans="1:25">
      <c r="A438" s="103">
        <f t="shared" si="13"/>
        <v>90</v>
      </c>
      <c r="B438" s="102" t="s">
        <v>2215</v>
      </c>
      <c r="C438" s="102" t="s">
        <v>1850</v>
      </c>
      <c r="D438" s="103" t="str">
        <f>IFERROR(VLOOKUP(B438,' 02.1 KLH-CN MÃ BRAVO MM'!$B:$C,2,0),"")</f>
        <v>ATT-A22-0294</v>
      </c>
      <c r="E438" s="103"/>
      <c r="F438" s="103" t="s">
        <v>504</v>
      </c>
      <c r="G438" s="102" t="s">
        <v>233</v>
      </c>
      <c r="H438" s="101" t="str">
        <f>VLOOKUP(G438,'01. TH'!$B:$E,3,0)</f>
        <v>6160 x 2330 x 2760</v>
      </c>
      <c r="I438" s="101" t="s">
        <v>1103</v>
      </c>
      <c r="J438" s="105">
        <v>45261</v>
      </c>
      <c r="K438" s="101" t="str">
        <f>IF(COUNTIF('TT BTSC'!$D:$D,B438)&gt;0,"Hư hỏng","Bình thường")</f>
        <v>Bình thường</v>
      </c>
      <c r="L438" s="107">
        <v>0.97</v>
      </c>
      <c r="M438" s="182"/>
      <c r="N438" s="101" t="s">
        <v>621</v>
      </c>
      <c r="O438" s="110" t="s">
        <v>500</v>
      </c>
      <c r="P438" s="101">
        <v>2023</v>
      </c>
      <c r="Q438" s="103" t="s">
        <v>635</v>
      </c>
      <c r="R438" s="101" t="s">
        <v>48</v>
      </c>
      <c r="S438" s="110" t="s">
        <v>2216</v>
      </c>
      <c r="T438" s="111" t="s">
        <v>2217</v>
      </c>
      <c r="U438" s="111">
        <v>6.5</v>
      </c>
      <c r="V438" s="895">
        <v>150</v>
      </c>
      <c r="W438" s="895"/>
      <c r="X438" s="895"/>
      <c r="Y438" s="895"/>
    </row>
    <row r="439" ht="13.5" customHeight="1" outlineLevel="1" spans="1:25">
      <c r="A439" s="103">
        <f t="shared" si="13"/>
        <v>91</v>
      </c>
      <c r="B439" s="102" t="s">
        <v>2218</v>
      </c>
      <c r="C439" s="102" t="s">
        <v>1850</v>
      </c>
      <c r="D439" s="103" t="str">
        <f>IFERROR(VLOOKUP(B439,' 02.1 KLH-CN MÃ BRAVO MM'!$B:$C,2,0),"")</f>
        <v>ATT-A22-0296</v>
      </c>
      <c r="E439" s="103"/>
      <c r="F439" s="103" t="s">
        <v>504</v>
      </c>
      <c r="G439" s="102" t="s">
        <v>233</v>
      </c>
      <c r="H439" s="101" t="str">
        <f>VLOOKUP(G439,'01. TH'!$B:$E,3,0)</f>
        <v>6160 x 2330 x 2760</v>
      </c>
      <c r="I439" s="101" t="s">
        <v>1103</v>
      </c>
      <c r="J439" s="105" t="s">
        <v>2219</v>
      </c>
      <c r="K439" s="101" t="str">
        <f>IF(COUNTIF('TT BTSC'!$D:$D,B439)&gt;0,"Hư hỏng","Bình thường")</f>
        <v>Bình thường</v>
      </c>
      <c r="L439" s="107">
        <v>0.97</v>
      </c>
      <c r="M439" s="182" t="s">
        <v>1146</v>
      </c>
      <c r="N439" s="101" t="s">
        <v>621</v>
      </c>
      <c r="O439" s="110" t="s">
        <v>500</v>
      </c>
      <c r="P439" s="101">
        <v>2023</v>
      </c>
      <c r="Q439" s="103" t="s">
        <v>635</v>
      </c>
      <c r="R439" s="101" t="s">
        <v>48</v>
      </c>
      <c r="S439" s="110" t="s">
        <v>2220</v>
      </c>
      <c r="T439" s="111" t="s">
        <v>2221</v>
      </c>
      <c r="U439" s="111">
        <v>6.5</v>
      </c>
      <c r="V439" s="895">
        <v>150</v>
      </c>
      <c r="W439" s="895"/>
      <c r="X439" s="895"/>
      <c r="Y439" s="895"/>
    </row>
    <row r="440" ht="13.5" customHeight="1" outlineLevel="1" spans="1:25">
      <c r="A440" s="103">
        <f t="shared" si="13"/>
        <v>92</v>
      </c>
      <c r="B440" s="102" t="s">
        <v>2222</v>
      </c>
      <c r="C440" s="102" t="s">
        <v>1850</v>
      </c>
      <c r="D440" s="103" t="str">
        <f>IFERROR(VLOOKUP(B440,' 02.1 KLH-CN MÃ BRAVO MM'!$B:$C,2,0),"")</f>
        <v>ATT-A22-0297</v>
      </c>
      <c r="E440" s="103"/>
      <c r="F440" s="103" t="s">
        <v>504</v>
      </c>
      <c r="G440" s="102" t="s">
        <v>233</v>
      </c>
      <c r="H440" s="101" t="str">
        <f>VLOOKUP(G440,'01. TH'!$B:$E,3,0)</f>
        <v>6160 x 2330 x 2760</v>
      </c>
      <c r="I440" s="101" t="s">
        <v>1103</v>
      </c>
      <c r="J440" s="105" t="s">
        <v>2219</v>
      </c>
      <c r="K440" s="101" t="str">
        <f>IF(COUNTIF('TT BTSC'!$D:$D,B440)&gt;0,"Hư hỏng","Bình thường")</f>
        <v>Bình thường</v>
      </c>
      <c r="L440" s="107">
        <v>0.97</v>
      </c>
      <c r="M440" s="182" t="s">
        <v>1146</v>
      </c>
      <c r="N440" s="101" t="s">
        <v>621</v>
      </c>
      <c r="O440" s="110" t="s">
        <v>500</v>
      </c>
      <c r="P440" s="101">
        <v>2023</v>
      </c>
      <c r="Q440" s="103" t="s">
        <v>635</v>
      </c>
      <c r="R440" s="101" t="s">
        <v>48</v>
      </c>
      <c r="S440" s="110" t="s">
        <v>2223</v>
      </c>
      <c r="T440" s="111" t="s">
        <v>2224</v>
      </c>
      <c r="U440" s="111">
        <v>0.63</v>
      </c>
      <c r="V440" s="895">
        <v>150</v>
      </c>
      <c r="W440" s="895"/>
      <c r="X440" s="895"/>
      <c r="Y440" s="895"/>
    </row>
    <row r="441" ht="13.5" customHeight="1" outlineLevel="1" spans="1:25">
      <c r="A441" s="103">
        <f t="shared" si="13"/>
        <v>93</v>
      </c>
      <c r="B441" s="104" t="s">
        <v>2225</v>
      </c>
      <c r="C441" s="102" t="s">
        <v>1850</v>
      </c>
      <c r="D441" s="103" t="s">
        <v>2226</v>
      </c>
      <c r="E441" s="103"/>
      <c r="F441" s="103" t="s">
        <v>504</v>
      </c>
      <c r="G441" s="102" t="s">
        <v>233</v>
      </c>
      <c r="H441" s="101" t="str">
        <f>VLOOKUP(G441,'01. TH'!$B:$E,3,0)</f>
        <v>6160 x 2330 x 2760</v>
      </c>
      <c r="I441" s="101" t="s">
        <v>1103</v>
      </c>
      <c r="J441" s="112">
        <v>45751</v>
      </c>
      <c r="K441" s="101" t="str">
        <f>IF(COUNTIF('TT BTSC'!$D:$D,B441)&gt;0,"Hư hỏng","Bình thường")</f>
        <v>Bình thường</v>
      </c>
      <c r="L441" s="113"/>
      <c r="M441" s="182" t="s">
        <v>1146</v>
      </c>
      <c r="N441" s="103" t="s">
        <v>621</v>
      </c>
      <c r="O441" s="111" t="s">
        <v>500</v>
      </c>
      <c r="P441" s="103">
        <v>2024</v>
      </c>
      <c r="Q441" s="103" t="s">
        <v>635</v>
      </c>
      <c r="R441" s="103" t="s">
        <v>48</v>
      </c>
      <c r="S441" s="111" t="s">
        <v>2227</v>
      </c>
      <c r="T441" s="111" t="s">
        <v>2228</v>
      </c>
      <c r="U441" s="111">
        <v>0.63</v>
      </c>
      <c r="V441" s="895">
        <v>150</v>
      </c>
      <c r="W441" s="895"/>
      <c r="X441" s="895"/>
      <c r="Y441" s="895"/>
    </row>
    <row r="442" ht="13.8" outlineLevel="1" spans="1:25">
      <c r="A442" s="103">
        <f t="shared" si="13"/>
        <v>94</v>
      </c>
      <c r="B442" s="104" t="s">
        <v>2229</v>
      </c>
      <c r="C442" s="102" t="s">
        <v>1850</v>
      </c>
      <c r="D442" s="103" t="s">
        <v>2230</v>
      </c>
      <c r="E442" s="103"/>
      <c r="F442" s="103" t="s">
        <v>504</v>
      </c>
      <c r="G442" s="102" t="s">
        <v>233</v>
      </c>
      <c r="H442" s="101" t="str">
        <f>VLOOKUP(G442,'01. TH'!$B:$E,3,0)</f>
        <v>6160 x 2330 x 2760</v>
      </c>
      <c r="I442" s="101" t="s">
        <v>1103</v>
      </c>
      <c r="J442" s="112">
        <v>45751</v>
      </c>
      <c r="K442" s="101" t="str">
        <f>IF(COUNTIF('TT BTSC'!$D:$D,B442)&gt;0,"Hư hỏng","Bình thường")</f>
        <v>Bình thường</v>
      </c>
      <c r="L442" s="113"/>
      <c r="M442" s="182" t="s">
        <v>1146</v>
      </c>
      <c r="N442" s="103" t="s">
        <v>621</v>
      </c>
      <c r="O442" s="111" t="s">
        <v>500</v>
      </c>
      <c r="P442" s="103">
        <v>2024</v>
      </c>
      <c r="Q442" s="103" t="s">
        <v>635</v>
      </c>
      <c r="R442" s="103" t="s">
        <v>48</v>
      </c>
      <c r="S442" s="111" t="s">
        <v>2231</v>
      </c>
      <c r="T442" s="111" t="s">
        <v>2232</v>
      </c>
      <c r="U442" s="111">
        <v>0.63</v>
      </c>
      <c r="V442" s="895">
        <v>150</v>
      </c>
      <c r="W442" s="895"/>
      <c r="X442" s="895"/>
      <c r="Y442" s="895"/>
    </row>
    <row r="443" ht="13.5" customHeight="1" outlineLevel="1" spans="1:25">
      <c r="A443" s="103">
        <f t="shared" si="13"/>
        <v>95</v>
      </c>
      <c r="B443" s="104" t="s">
        <v>2233</v>
      </c>
      <c r="C443" s="102" t="s">
        <v>1850</v>
      </c>
      <c r="D443" s="103" t="s">
        <v>2234</v>
      </c>
      <c r="E443" s="103"/>
      <c r="F443" s="103" t="s">
        <v>504</v>
      </c>
      <c r="G443" s="102" t="s">
        <v>233</v>
      </c>
      <c r="H443" s="101" t="str">
        <f>VLOOKUP(G443,'01. TH'!$B:$E,3,0)</f>
        <v>6160 x 2330 x 2760</v>
      </c>
      <c r="I443" s="101" t="s">
        <v>1103</v>
      </c>
      <c r="J443" s="112">
        <v>45751</v>
      </c>
      <c r="K443" s="101" t="str">
        <f>IF(COUNTIF('TT BTSC'!$D:$D,B443)&gt;0,"Hư hỏng","Bình thường")</f>
        <v>Bình thường</v>
      </c>
      <c r="L443" s="113"/>
      <c r="M443" s="182" t="s">
        <v>1146</v>
      </c>
      <c r="N443" s="103" t="s">
        <v>621</v>
      </c>
      <c r="O443" s="111" t="s">
        <v>500</v>
      </c>
      <c r="P443" s="103">
        <v>2024</v>
      </c>
      <c r="Q443" s="103" t="s">
        <v>635</v>
      </c>
      <c r="R443" s="103" t="s">
        <v>48</v>
      </c>
      <c r="S443" s="111" t="s">
        <v>2235</v>
      </c>
      <c r="T443" s="111" t="s">
        <v>2236</v>
      </c>
      <c r="U443" s="111">
        <v>0.63</v>
      </c>
      <c r="V443" s="895">
        <v>150</v>
      </c>
      <c r="W443" s="895"/>
      <c r="X443" s="895"/>
      <c r="Y443" s="895"/>
    </row>
    <row r="444" ht="13.5" customHeight="1" outlineLevel="1" spans="1:25">
      <c r="A444" s="103">
        <f t="shared" si="13"/>
        <v>96</v>
      </c>
      <c r="B444" s="104" t="s">
        <v>2237</v>
      </c>
      <c r="C444" s="102" t="s">
        <v>1850</v>
      </c>
      <c r="D444" s="103" t="s">
        <v>2238</v>
      </c>
      <c r="E444" s="103"/>
      <c r="F444" s="103" t="s">
        <v>504</v>
      </c>
      <c r="G444" s="102" t="s">
        <v>233</v>
      </c>
      <c r="H444" s="101" t="str">
        <f>VLOOKUP(G444,'01. TH'!$B:$E,3,0)</f>
        <v>6160 x 2330 x 2760</v>
      </c>
      <c r="I444" s="101" t="s">
        <v>1103</v>
      </c>
      <c r="J444" s="112">
        <v>45751</v>
      </c>
      <c r="K444" s="101" t="str">
        <f>IF(COUNTIF('TT BTSC'!$D:$D,B444)&gt;0,"Hư hỏng","Bình thường")</f>
        <v>Bình thường</v>
      </c>
      <c r="L444" s="113"/>
      <c r="M444" s="182" t="s">
        <v>1146</v>
      </c>
      <c r="N444" s="103" t="s">
        <v>621</v>
      </c>
      <c r="O444" s="111" t="s">
        <v>500</v>
      </c>
      <c r="P444" s="103">
        <v>2024</v>
      </c>
      <c r="Q444" s="103" t="s">
        <v>635</v>
      </c>
      <c r="R444" s="103" t="s">
        <v>48</v>
      </c>
      <c r="S444" s="111" t="s">
        <v>2239</v>
      </c>
      <c r="T444" s="111" t="s">
        <v>2240</v>
      </c>
      <c r="U444" s="111">
        <v>0.63</v>
      </c>
      <c r="V444" s="895">
        <v>150</v>
      </c>
      <c r="W444" s="895"/>
      <c r="X444" s="895"/>
      <c r="Y444" s="895"/>
    </row>
    <row r="445" ht="13.5" customHeight="1" outlineLevel="1" spans="1:25">
      <c r="A445" s="103">
        <f t="shared" si="13"/>
        <v>97</v>
      </c>
      <c r="B445" s="102" t="s">
        <v>2241</v>
      </c>
      <c r="C445" s="102" t="s">
        <v>1850</v>
      </c>
      <c r="D445" s="103" t="s">
        <v>2242</v>
      </c>
      <c r="E445" s="103"/>
      <c r="F445" s="103" t="s">
        <v>504</v>
      </c>
      <c r="G445" s="102" t="s">
        <v>233</v>
      </c>
      <c r="H445" s="101" t="str">
        <f>VLOOKUP(G445,'01. TH'!$B:$E,3,0)</f>
        <v>6160 x 2330 x 2760</v>
      </c>
      <c r="I445" s="101" t="s">
        <v>1103</v>
      </c>
      <c r="J445" s="105">
        <v>45967</v>
      </c>
      <c r="K445" s="101" t="str">
        <f>IF(COUNTIF('TT BTSC'!$D:$D,B445)&gt;0,"Hư hỏng","Bình thường")</f>
        <v>Bình thường</v>
      </c>
      <c r="L445" s="107"/>
      <c r="M445" s="182" t="s">
        <v>1146</v>
      </c>
      <c r="N445" s="103" t="s">
        <v>621</v>
      </c>
      <c r="O445" s="111" t="s">
        <v>500</v>
      </c>
      <c r="P445" s="101">
        <v>2024</v>
      </c>
      <c r="Q445" s="101" t="s">
        <v>635</v>
      </c>
      <c r="R445" s="103" t="s">
        <v>48</v>
      </c>
      <c r="S445" s="110" t="s">
        <v>2243</v>
      </c>
      <c r="T445" s="111" t="s">
        <v>2244</v>
      </c>
      <c r="U445" s="111">
        <v>0.63</v>
      </c>
      <c r="V445" s="895">
        <v>150</v>
      </c>
      <c r="W445" s="895"/>
      <c r="X445" s="895"/>
      <c r="Y445" s="895"/>
    </row>
    <row r="446" ht="13.5" customHeight="1" outlineLevel="1" spans="1:25">
      <c r="A446" s="103">
        <f t="shared" si="13"/>
        <v>98</v>
      </c>
      <c r="B446" s="104" t="s">
        <v>2245</v>
      </c>
      <c r="C446" s="104" t="s">
        <v>2245</v>
      </c>
      <c r="D446" s="103" t="str">
        <f>IFERROR(VLOOKUP(B446,' 02.1 KLH-CN MÃ BRAVO MM'!$B:$C,2,0),"")</f>
        <v>ATT-A22-0286</v>
      </c>
      <c r="E446" s="103"/>
      <c r="F446" s="103" t="s">
        <v>504</v>
      </c>
      <c r="G446" s="104" t="s">
        <v>231</v>
      </c>
      <c r="H446" s="101" t="str">
        <f>VLOOKUP(G446,'01. TH'!$B:$E,3,0)</f>
        <v>6160 x 2330 x 2760</v>
      </c>
      <c r="I446" s="103" t="s">
        <v>1103</v>
      </c>
      <c r="J446" s="112">
        <v>45261</v>
      </c>
      <c r="K446" s="101" t="str">
        <f>IF(COUNTIF('TT BTSC'!$D:$D,B446)&gt;0,"Hư hỏng","Bình thường")</f>
        <v>Bình thường</v>
      </c>
      <c r="L446" s="113">
        <v>0.97</v>
      </c>
      <c r="M446" s="183"/>
      <c r="N446" s="103" t="s">
        <v>621</v>
      </c>
      <c r="O446" s="111" t="s">
        <v>500</v>
      </c>
      <c r="P446" s="103">
        <v>2022</v>
      </c>
      <c r="Q446" s="103" t="s">
        <v>628</v>
      </c>
      <c r="R446" s="103" t="s">
        <v>48</v>
      </c>
      <c r="S446" s="110" t="s">
        <v>2246</v>
      </c>
      <c r="T446" s="111" t="s">
        <v>2247</v>
      </c>
      <c r="U446" s="111">
        <v>0.45</v>
      </c>
      <c r="V446" s="895">
        <v>150</v>
      </c>
      <c r="W446" s="895"/>
      <c r="X446" s="895"/>
      <c r="Y446" s="895"/>
    </row>
    <row r="447" ht="13.5" customHeight="1" outlineLevel="1" spans="1:25">
      <c r="A447" s="103">
        <f t="shared" si="13"/>
        <v>99</v>
      </c>
      <c r="B447" s="102" t="s">
        <v>2248</v>
      </c>
      <c r="C447" s="102" t="s">
        <v>1850</v>
      </c>
      <c r="D447" s="103" t="str">
        <f>IFERROR(VLOOKUP(B447,' 02.1 KLH-CN MÃ BRAVO MM'!$B:$C,2,0),"")</f>
        <v>ATT-A22-0292</v>
      </c>
      <c r="E447" s="103"/>
      <c r="F447" s="103" t="s">
        <v>504</v>
      </c>
      <c r="G447" s="102" t="s">
        <v>231</v>
      </c>
      <c r="H447" s="101" t="str">
        <f>VLOOKUP(G447,'01. TH'!$B:$E,3,0)</f>
        <v>6160 x 2330 x 2760</v>
      </c>
      <c r="I447" s="101" t="s">
        <v>1103</v>
      </c>
      <c r="J447" s="105">
        <v>45261</v>
      </c>
      <c r="K447" s="101" t="str">
        <f>IF(COUNTIF('TT BTSC'!$D:$D,B447)&gt;0,"Hư hỏng","Bình thường")</f>
        <v>Bình thường</v>
      </c>
      <c r="L447" s="107">
        <v>0.97</v>
      </c>
      <c r="M447" s="182"/>
      <c r="N447" s="101" t="s">
        <v>621</v>
      </c>
      <c r="O447" s="110" t="s">
        <v>500</v>
      </c>
      <c r="P447" s="101">
        <v>2022</v>
      </c>
      <c r="Q447" s="103" t="s">
        <v>628</v>
      </c>
      <c r="R447" s="101" t="s">
        <v>48</v>
      </c>
      <c r="S447" s="110" t="s">
        <v>2249</v>
      </c>
      <c r="T447" s="111" t="s">
        <v>2250</v>
      </c>
      <c r="U447" s="111">
        <v>0.45</v>
      </c>
      <c r="V447" s="895">
        <v>150</v>
      </c>
      <c r="W447" s="895"/>
      <c r="X447" s="895"/>
      <c r="Y447" s="895"/>
    </row>
    <row r="448" ht="13.5" customHeight="1" outlineLevel="1" spans="1:25">
      <c r="A448" s="103">
        <f t="shared" si="13"/>
        <v>100</v>
      </c>
      <c r="B448" s="102" t="s">
        <v>2251</v>
      </c>
      <c r="C448" s="102" t="s">
        <v>1850</v>
      </c>
      <c r="D448" s="103" t="str">
        <f>IFERROR(VLOOKUP(B448,' 02.1 KLH-CN MÃ BRAVO MM'!$B:$C,2,0),"")</f>
        <v>ATT-A22-0290</v>
      </c>
      <c r="E448" s="103"/>
      <c r="F448" s="103" t="s">
        <v>504</v>
      </c>
      <c r="G448" s="102" t="s">
        <v>231</v>
      </c>
      <c r="H448" s="101" t="str">
        <f>VLOOKUP(G448,'01. TH'!$B:$E,3,0)</f>
        <v>6160 x 2330 x 2760</v>
      </c>
      <c r="I448" s="101" t="s">
        <v>1103</v>
      </c>
      <c r="J448" s="105">
        <v>45261</v>
      </c>
      <c r="K448" s="101" t="str">
        <f>IF(COUNTIF('TT BTSC'!$D:$D,B448)&gt;0,"Hư hỏng","Bình thường")</f>
        <v>Bình thường</v>
      </c>
      <c r="L448" s="107">
        <v>0.97</v>
      </c>
      <c r="M448" s="182"/>
      <c r="N448" s="101" t="s">
        <v>621</v>
      </c>
      <c r="O448" s="110" t="s">
        <v>500</v>
      </c>
      <c r="P448" s="101">
        <v>2022</v>
      </c>
      <c r="Q448" s="103" t="s">
        <v>628</v>
      </c>
      <c r="R448" s="101" t="s">
        <v>48</v>
      </c>
      <c r="S448" s="110" t="s">
        <v>2252</v>
      </c>
      <c r="T448" s="111" t="s">
        <v>2253</v>
      </c>
      <c r="U448" s="111">
        <v>4</v>
      </c>
      <c r="V448" s="895">
        <v>150</v>
      </c>
      <c r="W448" s="895"/>
      <c r="X448" s="895"/>
      <c r="Y448" s="895"/>
    </row>
    <row r="449" ht="13.5" customHeight="1" outlineLevel="1" spans="1:25">
      <c r="A449" s="103">
        <f t="shared" si="13"/>
        <v>101</v>
      </c>
      <c r="B449" s="102" t="s">
        <v>2254</v>
      </c>
      <c r="C449" s="102" t="s">
        <v>1850</v>
      </c>
      <c r="D449" s="103" t="str">
        <f>IFERROR(VLOOKUP(B449,' 02.1 KLH-CN MÃ BRAVO MM'!$B:$C,2,0),"")</f>
        <v>ATT-A22-0291</v>
      </c>
      <c r="E449" s="103"/>
      <c r="F449" s="103" t="s">
        <v>504</v>
      </c>
      <c r="G449" s="102" t="s">
        <v>231</v>
      </c>
      <c r="H449" s="101" t="str">
        <f>VLOOKUP(G449,'01. TH'!$B:$E,3,0)</f>
        <v>6160 x 2330 x 2760</v>
      </c>
      <c r="I449" s="101" t="s">
        <v>1103</v>
      </c>
      <c r="J449" s="105">
        <v>45261</v>
      </c>
      <c r="K449" s="101" t="str">
        <f>IF(COUNTIF('TT BTSC'!$D:$D,B449)&gt;0,"Hư hỏng","Bình thường")</f>
        <v>Bình thường</v>
      </c>
      <c r="L449" s="107">
        <v>0.97</v>
      </c>
      <c r="M449" s="182"/>
      <c r="N449" s="101" t="s">
        <v>621</v>
      </c>
      <c r="O449" s="110" t="s">
        <v>500</v>
      </c>
      <c r="P449" s="101">
        <v>2022</v>
      </c>
      <c r="Q449" s="103" t="s">
        <v>628</v>
      </c>
      <c r="R449" s="101" t="s">
        <v>48</v>
      </c>
      <c r="S449" s="110" t="s">
        <v>2255</v>
      </c>
      <c r="T449" s="111" t="s">
        <v>2256</v>
      </c>
      <c r="U449" s="111">
        <v>0.45</v>
      </c>
      <c r="V449" s="895">
        <v>150</v>
      </c>
      <c r="W449" s="895"/>
      <c r="X449" s="895"/>
      <c r="Y449" s="895"/>
    </row>
    <row r="450" ht="13.5" customHeight="1" outlineLevel="1" spans="1:25">
      <c r="A450" s="103">
        <f t="shared" si="13"/>
        <v>102</v>
      </c>
      <c r="B450" s="102" t="s">
        <v>2257</v>
      </c>
      <c r="C450" s="102" t="s">
        <v>1850</v>
      </c>
      <c r="D450" s="103" t="str">
        <f>IFERROR(VLOOKUP(B450,' 02.1 KLH-CN MÃ BRAVO MM'!$B:$C,2,0),"")</f>
        <v>ATT-A22-0303</v>
      </c>
      <c r="E450" s="103"/>
      <c r="F450" s="103" t="s">
        <v>504</v>
      </c>
      <c r="G450" s="102" t="s">
        <v>232</v>
      </c>
      <c r="H450" s="101" t="str">
        <f>VLOOKUP(G450,'01. TH'!$B:$E,3,0)</f>
        <v>6160 x 2330 x 2760</v>
      </c>
      <c r="I450" s="101" t="s">
        <v>1103</v>
      </c>
      <c r="J450" s="101" t="s">
        <v>2219</v>
      </c>
      <c r="K450" s="101" t="str">
        <f>IF(COUNTIF('TT BTSC'!$D:$D,B450)&gt;0,"Hư hỏng","Bình thường")</f>
        <v>Bình thường</v>
      </c>
      <c r="L450" s="107">
        <v>0.97</v>
      </c>
      <c r="M450" s="182"/>
      <c r="N450" s="101" t="s">
        <v>621</v>
      </c>
      <c r="O450" s="110" t="s">
        <v>500</v>
      </c>
      <c r="P450" s="101">
        <v>2023</v>
      </c>
      <c r="Q450" s="103" t="s">
        <v>628</v>
      </c>
      <c r="R450" s="101" t="s">
        <v>48</v>
      </c>
      <c r="S450" s="110" t="s">
        <v>2258</v>
      </c>
      <c r="T450" s="111" t="s">
        <v>2259</v>
      </c>
      <c r="U450" s="111">
        <v>4</v>
      </c>
      <c r="V450" s="895">
        <v>150</v>
      </c>
      <c r="W450" s="895"/>
      <c r="X450" s="895"/>
      <c r="Y450" s="895"/>
    </row>
    <row r="451" ht="13.5" customHeight="1" outlineLevel="1" spans="1:25">
      <c r="A451" s="103">
        <f t="shared" si="13"/>
        <v>103</v>
      </c>
      <c r="B451" s="102" t="s">
        <v>2260</v>
      </c>
      <c r="C451" s="102" t="s">
        <v>1850</v>
      </c>
      <c r="D451" s="103" t="str">
        <f>IFERROR(VLOOKUP(B451,' 02.1 KLH-CN MÃ BRAVO MM'!$B:$C,2,0),"")</f>
        <v>ATT-A22-0299</v>
      </c>
      <c r="E451" s="103"/>
      <c r="F451" s="103" t="s">
        <v>504</v>
      </c>
      <c r="G451" s="102" t="s">
        <v>232</v>
      </c>
      <c r="H451" s="101" t="str">
        <f>VLOOKUP(G451,'01. TH'!$B:$E,3,0)</f>
        <v>6160 x 2330 x 2760</v>
      </c>
      <c r="I451" s="101" t="s">
        <v>1103</v>
      </c>
      <c r="J451" s="101" t="s">
        <v>2219</v>
      </c>
      <c r="K451" s="101" t="str">
        <f>IF(COUNTIF('TT BTSC'!$D:$D,B451)&gt;0,"Hư hỏng","Bình thường")</f>
        <v>Bình thường</v>
      </c>
      <c r="L451" s="107">
        <v>0.97</v>
      </c>
      <c r="M451" s="182" t="s">
        <v>1146</v>
      </c>
      <c r="N451" s="101" t="s">
        <v>621</v>
      </c>
      <c r="O451" s="110" t="s">
        <v>500</v>
      </c>
      <c r="P451" s="101">
        <v>2023</v>
      </c>
      <c r="Q451" s="103" t="s">
        <v>628</v>
      </c>
      <c r="R451" s="101" t="s">
        <v>48</v>
      </c>
      <c r="S451" s="110" t="s">
        <v>2261</v>
      </c>
      <c r="T451" s="111" t="s">
        <v>2262</v>
      </c>
      <c r="U451" s="111">
        <v>0.45</v>
      </c>
      <c r="V451" s="895">
        <v>150</v>
      </c>
      <c r="W451" s="895"/>
      <c r="X451" s="895"/>
      <c r="Y451" s="895"/>
    </row>
    <row r="452" ht="13.5" customHeight="1" outlineLevel="1" spans="1:25">
      <c r="A452" s="103">
        <f t="shared" si="13"/>
        <v>104</v>
      </c>
      <c r="B452" s="104" t="s">
        <v>2263</v>
      </c>
      <c r="C452" s="102" t="s">
        <v>1850</v>
      </c>
      <c r="D452" s="103" t="s">
        <v>2264</v>
      </c>
      <c r="E452" s="103" t="s">
        <v>2265</v>
      </c>
      <c r="F452" s="103" t="s">
        <v>504</v>
      </c>
      <c r="G452" s="102" t="s">
        <v>232</v>
      </c>
      <c r="H452" s="101" t="str">
        <f>VLOOKUP(G452,'01. TH'!$B:$E,3,0)</f>
        <v>6160 x 2330 x 2760</v>
      </c>
      <c r="I452" s="101" t="s">
        <v>1103</v>
      </c>
      <c r="J452" s="112">
        <v>45452</v>
      </c>
      <c r="K452" s="101" t="str">
        <f>IF(COUNTIF('TT BTSC'!$D:$D,B452)&gt;0,"Hư hỏng","Bình thường")</f>
        <v>Bình thường</v>
      </c>
      <c r="L452" s="103"/>
      <c r="M452" s="182" t="s">
        <v>1146</v>
      </c>
      <c r="N452" s="103" t="s">
        <v>621</v>
      </c>
      <c r="O452" s="111" t="s">
        <v>500</v>
      </c>
      <c r="P452" s="103">
        <v>2024</v>
      </c>
      <c r="Q452" s="103" t="s">
        <v>628</v>
      </c>
      <c r="R452" s="103" t="s">
        <v>48</v>
      </c>
      <c r="S452" s="111" t="s">
        <v>2266</v>
      </c>
      <c r="T452" s="111" t="s">
        <v>2267</v>
      </c>
      <c r="U452" s="111">
        <v>0.45</v>
      </c>
      <c r="V452" s="895">
        <v>150</v>
      </c>
      <c r="W452" s="895"/>
      <c r="X452" s="895"/>
      <c r="Y452" s="895"/>
    </row>
    <row r="453" ht="13.5" customHeight="1" outlineLevel="1" spans="1:25">
      <c r="A453" s="103">
        <f t="shared" si="13"/>
        <v>105</v>
      </c>
      <c r="B453" s="104" t="s">
        <v>2268</v>
      </c>
      <c r="C453" s="102" t="s">
        <v>1850</v>
      </c>
      <c r="D453" s="103" t="s">
        <v>2269</v>
      </c>
      <c r="E453" s="103" t="s">
        <v>2270</v>
      </c>
      <c r="F453" s="103" t="s">
        <v>504</v>
      </c>
      <c r="G453" s="102" t="s">
        <v>232</v>
      </c>
      <c r="H453" s="101" t="str">
        <f>VLOOKUP(G453,'01. TH'!$B:$E,3,0)</f>
        <v>6160 x 2330 x 2760</v>
      </c>
      <c r="I453" s="101" t="s">
        <v>1103</v>
      </c>
      <c r="J453" s="112">
        <v>45452</v>
      </c>
      <c r="K453" s="101" t="str">
        <f>IF(COUNTIF('TT BTSC'!$D:$D,B453)&gt;0,"Hư hỏng","Bình thường")</f>
        <v>Bình thường</v>
      </c>
      <c r="L453" s="103"/>
      <c r="M453" s="182" t="s">
        <v>1146</v>
      </c>
      <c r="N453" s="103" t="s">
        <v>621</v>
      </c>
      <c r="O453" s="111" t="s">
        <v>500</v>
      </c>
      <c r="P453" s="103">
        <v>2024</v>
      </c>
      <c r="Q453" s="103" t="s">
        <v>628</v>
      </c>
      <c r="R453" s="103" t="s">
        <v>48</v>
      </c>
      <c r="S453" s="111" t="s">
        <v>2271</v>
      </c>
      <c r="T453" s="111" t="s">
        <v>2272</v>
      </c>
      <c r="U453" s="111">
        <v>0.45</v>
      </c>
      <c r="V453" s="895">
        <v>150</v>
      </c>
      <c r="W453" s="895"/>
      <c r="X453" s="895"/>
      <c r="Y453" s="895"/>
    </row>
    <row r="454" ht="13.5" customHeight="1" outlineLevel="1" spans="1:25">
      <c r="A454" s="103">
        <f t="shared" si="13"/>
        <v>106</v>
      </c>
      <c r="B454" s="104" t="s">
        <v>2273</v>
      </c>
      <c r="C454" s="102" t="s">
        <v>1850</v>
      </c>
      <c r="D454" s="103" t="s">
        <v>2274</v>
      </c>
      <c r="E454" s="103" t="s">
        <v>2275</v>
      </c>
      <c r="F454" s="103" t="s">
        <v>504</v>
      </c>
      <c r="G454" s="102" t="s">
        <v>232</v>
      </c>
      <c r="H454" s="101" t="str">
        <f>VLOOKUP(G454,'01. TH'!$B:$E,3,0)</f>
        <v>6160 x 2330 x 2760</v>
      </c>
      <c r="I454" s="101" t="s">
        <v>1103</v>
      </c>
      <c r="J454" s="112">
        <v>45452</v>
      </c>
      <c r="K454" s="101" t="str">
        <f>IF(COUNTIF('TT BTSC'!$D:$D,B454)&gt;0,"Hư hỏng","Bình thường")</f>
        <v>Bình thường</v>
      </c>
      <c r="L454" s="103"/>
      <c r="M454" s="182" t="s">
        <v>1146</v>
      </c>
      <c r="N454" s="103" t="s">
        <v>621</v>
      </c>
      <c r="O454" s="111" t="s">
        <v>500</v>
      </c>
      <c r="P454" s="103">
        <v>2024</v>
      </c>
      <c r="Q454" s="103" t="s">
        <v>628</v>
      </c>
      <c r="R454" s="103" t="s">
        <v>48</v>
      </c>
      <c r="S454" s="111" t="s">
        <v>2276</v>
      </c>
      <c r="T454" s="111" t="s">
        <v>2277</v>
      </c>
      <c r="U454" s="111">
        <v>0.45</v>
      </c>
      <c r="V454" s="895">
        <v>150</v>
      </c>
      <c r="W454" s="895"/>
      <c r="X454" s="895"/>
      <c r="Y454" s="895"/>
    </row>
    <row r="455" ht="13.5" customHeight="1" outlineLevel="1" spans="1:25">
      <c r="A455" s="103">
        <f t="shared" si="13"/>
        <v>107</v>
      </c>
      <c r="B455" s="104" t="s">
        <v>2278</v>
      </c>
      <c r="C455" s="102" t="s">
        <v>1850</v>
      </c>
      <c r="D455" s="103" t="s">
        <v>2279</v>
      </c>
      <c r="E455" s="103" t="s">
        <v>2280</v>
      </c>
      <c r="F455" s="103" t="s">
        <v>504</v>
      </c>
      <c r="G455" s="102" t="s">
        <v>232</v>
      </c>
      <c r="H455" s="101" t="str">
        <f>VLOOKUP(G455,'01. TH'!$B:$E,3,0)</f>
        <v>6160 x 2330 x 2760</v>
      </c>
      <c r="I455" s="101" t="s">
        <v>1103</v>
      </c>
      <c r="J455" s="112">
        <v>45452</v>
      </c>
      <c r="K455" s="101" t="str">
        <f>IF(COUNTIF('TT BTSC'!$D:$D,B455)&gt;0,"Hư hỏng","Bình thường")</f>
        <v>Bình thường</v>
      </c>
      <c r="L455" s="103"/>
      <c r="M455" s="182" t="s">
        <v>1146</v>
      </c>
      <c r="N455" s="103" t="s">
        <v>621</v>
      </c>
      <c r="O455" s="111" t="s">
        <v>500</v>
      </c>
      <c r="P455" s="103">
        <v>2024</v>
      </c>
      <c r="Q455" s="103" t="s">
        <v>628</v>
      </c>
      <c r="R455" s="103" t="s">
        <v>48</v>
      </c>
      <c r="S455" s="111" t="s">
        <v>2281</v>
      </c>
      <c r="T455" s="111" t="s">
        <v>2282</v>
      </c>
      <c r="U455" s="111">
        <v>0.45</v>
      </c>
      <c r="V455" s="895">
        <v>150</v>
      </c>
      <c r="W455" s="895"/>
      <c r="X455" s="895"/>
      <c r="Y455" s="895"/>
    </row>
    <row r="456" ht="13.5" customHeight="1" outlineLevel="1" spans="1:25">
      <c r="A456" s="103">
        <f t="shared" si="13"/>
        <v>108</v>
      </c>
      <c r="B456" s="104" t="s">
        <v>2283</v>
      </c>
      <c r="C456" s="102" t="s">
        <v>1850</v>
      </c>
      <c r="D456" s="103" t="s">
        <v>2284</v>
      </c>
      <c r="E456" s="103" t="s">
        <v>2285</v>
      </c>
      <c r="F456" s="103" t="s">
        <v>504</v>
      </c>
      <c r="G456" s="104" t="s">
        <v>230</v>
      </c>
      <c r="H456" s="101" t="str">
        <f>VLOOKUP(G456,'01. TH'!$B:$E,3,0)</f>
        <v>5910 x 2310 x 2800</v>
      </c>
      <c r="I456" s="101" t="s">
        <v>1103</v>
      </c>
      <c r="J456" s="103" t="s">
        <v>2286</v>
      </c>
      <c r="K456" s="101" t="str">
        <f>IF(COUNTIF('TT BTSC'!$D:$D,B456)&gt;0,"Hư hỏng","Bình thường")</f>
        <v>Bình thường</v>
      </c>
      <c r="L456" s="103"/>
      <c r="M456" s="182" t="s">
        <v>1146</v>
      </c>
      <c r="N456" s="103" t="s">
        <v>621</v>
      </c>
      <c r="O456" s="111" t="s">
        <v>500</v>
      </c>
      <c r="P456" s="103">
        <v>2024</v>
      </c>
      <c r="Q456" s="103" t="s">
        <v>2287</v>
      </c>
      <c r="R456" s="103" t="s">
        <v>655</v>
      </c>
      <c r="S456" s="111" t="s">
        <v>2288</v>
      </c>
      <c r="T456" s="111" t="s">
        <v>2289</v>
      </c>
      <c r="U456" s="111">
        <v>0.61</v>
      </c>
      <c r="V456" s="895">
        <v>150</v>
      </c>
      <c r="W456" s="895"/>
      <c r="X456" s="895"/>
      <c r="Y456" s="895"/>
    </row>
    <row r="457" ht="13.5" customHeight="1" outlineLevel="1" spans="1:25">
      <c r="A457" s="103">
        <f t="shared" si="13"/>
        <v>109</v>
      </c>
      <c r="B457" s="104" t="s">
        <v>2290</v>
      </c>
      <c r="C457" s="102" t="s">
        <v>1850</v>
      </c>
      <c r="D457" s="103" t="s">
        <v>2291</v>
      </c>
      <c r="E457" s="103"/>
      <c r="F457" s="103" t="s">
        <v>504</v>
      </c>
      <c r="G457" s="104" t="s">
        <v>230</v>
      </c>
      <c r="H457" s="101" t="str">
        <f>VLOOKUP(G457,'01. TH'!$B:$E,3,0)</f>
        <v>5910 x 2310 x 2800</v>
      </c>
      <c r="I457" s="101" t="s">
        <v>1103</v>
      </c>
      <c r="J457" s="103" t="s">
        <v>2286</v>
      </c>
      <c r="K457" s="101" t="str">
        <f>IF(COUNTIF('TT BTSC'!$D:$D,B457)&gt;0,"Hư hỏng","Bình thường")</f>
        <v>Bình thường</v>
      </c>
      <c r="L457" s="103"/>
      <c r="M457" s="182" t="s">
        <v>1146</v>
      </c>
      <c r="N457" s="103" t="s">
        <v>621</v>
      </c>
      <c r="O457" s="111" t="s">
        <v>500</v>
      </c>
      <c r="P457" s="103">
        <v>2024</v>
      </c>
      <c r="Q457" s="103" t="s">
        <v>2287</v>
      </c>
      <c r="R457" s="103" t="s">
        <v>655</v>
      </c>
      <c r="S457" s="111" t="s">
        <v>2292</v>
      </c>
      <c r="T457" s="111" t="s">
        <v>2293</v>
      </c>
      <c r="U457" s="111">
        <v>4.3</v>
      </c>
      <c r="V457" s="895">
        <v>150</v>
      </c>
      <c r="W457" s="895"/>
      <c r="X457" s="895"/>
      <c r="Y457" s="895"/>
    </row>
    <row r="458" ht="13.5" customHeight="1" outlineLevel="1" spans="1:25">
      <c r="A458" s="103">
        <f t="shared" si="13"/>
        <v>110</v>
      </c>
      <c r="B458" s="104" t="s">
        <v>2294</v>
      </c>
      <c r="C458" s="102" t="s">
        <v>1850</v>
      </c>
      <c r="D458" s="103" t="s">
        <v>2295</v>
      </c>
      <c r="E458" s="103" t="s">
        <v>2296</v>
      </c>
      <c r="F458" s="103" t="s">
        <v>504</v>
      </c>
      <c r="G458" s="104" t="s">
        <v>230</v>
      </c>
      <c r="H458" s="101" t="str">
        <f>VLOOKUP(G458,'01. TH'!$B:$E,3,0)</f>
        <v>5910 x 2310 x 2800</v>
      </c>
      <c r="I458" s="101" t="s">
        <v>1103</v>
      </c>
      <c r="J458" s="103" t="s">
        <v>2286</v>
      </c>
      <c r="K458" s="101" t="str">
        <f>IF(COUNTIF('TT BTSC'!$D:$D,B458)&gt;0,"Hư hỏng","Bình thường")</f>
        <v>Bình thường</v>
      </c>
      <c r="L458" s="103"/>
      <c r="M458" s="182" t="s">
        <v>1146</v>
      </c>
      <c r="N458" s="103" t="s">
        <v>621</v>
      </c>
      <c r="O458" s="111" t="s">
        <v>500</v>
      </c>
      <c r="P458" s="103">
        <v>2024</v>
      </c>
      <c r="Q458" s="103" t="s">
        <v>2287</v>
      </c>
      <c r="R458" s="103" t="s">
        <v>655</v>
      </c>
      <c r="S458" s="111" t="s">
        <v>2297</v>
      </c>
      <c r="T458" s="111" t="s">
        <v>2298</v>
      </c>
      <c r="U458" s="111">
        <v>0.61</v>
      </c>
      <c r="V458" s="895">
        <v>150</v>
      </c>
      <c r="W458" s="895"/>
      <c r="X458" s="895"/>
      <c r="Y458" s="895"/>
    </row>
    <row r="459" ht="13.5" customHeight="1" outlineLevel="1" spans="1:25">
      <c r="A459" s="103">
        <f t="shared" si="13"/>
        <v>111</v>
      </c>
      <c r="B459" s="102" t="s">
        <v>2299</v>
      </c>
      <c r="C459" s="102" t="s">
        <v>2300</v>
      </c>
      <c r="D459" s="103" t="str">
        <f>IFERROR(VLOOKUP(B459,' 02.1 KLH-CN MÃ BRAVO MM'!$B:$C,2,0),"")</f>
        <v>ATT-A22-0258</v>
      </c>
      <c r="E459" s="103"/>
      <c r="F459" s="103" t="s">
        <v>451</v>
      </c>
      <c r="G459" s="102" t="s">
        <v>122</v>
      </c>
      <c r="H459" s="101" t="str">
        <f>VLOOKUP(G459,'01. TH'!$B:$E,3,0)</f>
        <v>6160 x 2330 x 2750</v>
      </c>
      <c r="I459" s="101" t="s">
        <v>1103</v>
      </c>
      <c r="J459" s="105">
        <v>44564</v>
      </c>
      <c r="K459" s="101" t="str">
        <f>IF(COUNTIF('TT BTSC'!$D:$D,B459)&gt;0,"Hư hỏng","Bình thường")</f>
        <v>Bình thường</v>
      </c>
      <c r="L459" s="107">
        <v>0.79</v>
      </c>
      <c r="M459" s="182" t="s">
        <v>2301</v>
      </c>
      <c r="N459" s="101" t="s">
        <v>621</v>
      </c>
      <c r="O459" s="110" t="s">
        <v>500</v>
      </c>
      <c r="P459" s="101">
        <v>2021</v>
      </c>
      <c r="Q459" s="101" t="s">
        <v>2302</v>
      </c>
      <c r="R459" s="101" t="s">
        <v>85</v>
      </c>
      <c r="S459" s="110" t="s">
        <v>2303</v>
      </c>
      <c r="T459" s="111" t="s">
        <v>2304</v>
      </c>
      <c r="U459" s="111">
        <v>0.3</v>
      </c>
      <c r="V459" s="895">
        <v>150</v>
      </c>
      <c r="W459" s="895"/>
      <c r="X459" s="895"/>
      <c r="Y459" s="895"/>
    </row>
    <row r="460" ht="13.5" customHeight="1" outlineLevel="1" spans="1:25">
      <c r="A460" s="103">
        <f t="shared" si="13"/>
        <v>112</v>
      </c>
      <c r="B460" s="102" t="s">
        <v>2305</v>
      </c>
      <c r="C460" s="102"/>
      <c r="D460" s="103" t="s">
        <v>2306</v>
      </c>
      <c r="E460" s="103" t="s">
        <v>2307</v>
      </c>
      <c r="F460" s="103" t="s">
        <v>504</v>
      </c>
      <c r="G460" s="102" t="s">
        <v>121</v>
      </c>
      <c r="H460" s="101" t="str">
        <f>VLOOKUP(G460,'01. TH'!$B:$E,3,0)</f>
        <v>6160 x 2330 x 2760</v>
      </c>
      <c r="I460" s="101" t="s">
        <v>1103</v>
      </c>
      <c r="J460" s="105">
        <v>45636</v>
      </c>
      <c r="K460" s="101" t="str">
        <f>IF(COUNTIF('TT BTSC'!$D:$D,B460)&gt;0,"Hư hỏng","Bình thường")</f>
        <v>Bình thường</v>
      </c>
      <c r="L460" s="107"/>
      <c r="M460" s="182" t="s">
        <v>1146</v>
      </c>
      <c r="N460" s="101" t="s">
        <v>621</v>
      </c>
      <c r="O460" s="110" t="s">
        <v>500</v>
      </c>
      <c r="P460" s="101">
        <v>2024</v>
      </c>
      <c r="Q460" s="101" t="s">
        <v>635</v>
      </c>
      <c r="R460" s="101" t="s">
        <v>1076</v>
      </c>
      <c r="S460" s="110" t="s">
        <v>2308</v>
      </c>
      <c r="T460" s="111" t="s">
        <v>2309</v>
      </c>
      <c r="U460" s="111">
        <v>0.5</v>
      </c>
      <c r="V460" s="895">
        <v>150</v>
      </c>
      <c r="W460" s="895"/>
      <c r="X460" s="895"/>
      <c r="Y460" s="895"/>
    </row>
    <row r="461" ht="13.5" customHeight="1" outlineLevel="1" spans="1:25">
      <c r="A461" s="103">
        <f t="shared" si="13"/>
        <v>113</v>
      </c>
      <c r="B461" s="102" t="s">
        <v>2310</v>
      </c>
      <c r="C461" s="102"/>
      <c r="D461" s="103" t="s">
        <v>2311</v>
      </c>
      <c r="E461" s="103"/>
      <c r="F461" s="103" t="s">
        <v>504</v>
      </c>
      <c r="G461" s="102" t="s">
        <v>155</v>
      </c>
      <c r="H461" s="101" t="str">
        <f>VLOOKUP(G461,'01. TH'!$B:$E,3,0)</f>
        <v>5705x2530x2940</v>
      </c>
      <c r="I461" s="101" t="s">
        <v>1103</v>
      </c>
      <c r="J461" s="101" t="s">
        <v>2312</v>
      </c>
      <c r="K461" s="101" t="str">
        <f>IF(COUNTIF('TT BTSC'!$D:$D,B461)&gt;0,"Hư hỏng","Bình thường")</f>
        <v>Bình thường</v>
      </c>
      <c r="L461" s="107"/>
      <c r="M461" s="182" t="s">
        <v>2313</v>
      </c>
      <c r="N461" s="101" t="s">
        <v>621</v>
      </c>
      <c r="O461" s="110" t="s">
        <v>500</v>
      </c>
      <c r="P461" s="101">
        <v>2022</v>
      </c>
      <c r="Q461" s="101" t="s">
        <v>2192</v>
      </c>
      <c r="R461" s="101" t="s">
        <v>156</v>
      </c>
      <c r="S461" s="110" t="s">
        <v>2314</v>
      </c>
      <c r="T461" s="111" t="s">
        <v>2315</v>
      </c>
      <c r="U461" s="111">
        <v>7</v>
      </c>
      <c r="V461" s="895">
        <v>380</v>
      </c>
      <c r="W461" s="895"/>
      <c r="X461" s="895"/>
      <c r="Y461" s="895"/>
    </row>
    <row r="462" ht="13.5" customHeight="1" outlineLevel="1" spans="1:25">
      <c r="A462" s="103">
        <f t="shared" si="13"/>
        <v>114</v>
      </c>
      <c r="B462" s="102" t="s">
        <v>2316</v>
      </c>
      <c r="C462" s="836"/>
      <c r="D462" s="103" t="s">
        <v>2317</v>
      </c>
      <c r="E462" s="103" t="s">
        <v>2318</v>
      </c>
      <c r="F462" s="103" t="s">
        <v>504</v>
      </c>
      <c r="G462" s="102" t="s">
        <v>161</v>
      </c>
      <c r="H462" s="101" t="str">
        <f>VLOOKUP(G462,'01. TH'!$B:$E,3,0)</f>
        <v>6255x2500x3840</v>
      </c>
      <c r="I462" s="101" t="s">
        <v>1103</v>
      </c>
      <c r="J462" s="105">
        <v>45692</v>
      </c>
      <c r="K462" s="101" t="str">
        <f>IF(COUNTIF('TT BTSC'!$D:$D,B462)&gt;0,"Hư hỏng","Bình thường")</f>
        <v>Bình thường</v>
      </c>
      <c r="L462" s="107"/>
      <c r="M462" s="182" t="s">
        <v>2319</v>
      </c>
      <c r="N462" s="101" t="s">
        <v>1019</v>
      </c>
      <c r="O462" s="110" t="s">
        <v>500</v>
      </c>
      <c r="P462" s="101">
        <v>2024</v>
      </c>
      <c r="Q462" s="101" t="s">
        <v>2320</v>
      </c>
      <c r="R462" s="101" t="s">
        <v>162</v>
      </c>
      <c r="S462" s="110" t="s">
        <v>2321</v>
      </c>
      <c r="T462" s="111" t="s">
        <v>2322</v>
      </c>
      <c r="U462" s="111"/>
      <c r="V462" s="895">
        <v>0</v>
      </c>
      <c r="W462" s="895"/>
      <c r="X462" s="895"/>
      <c r="Y462" s="895"/>
    </row>
    <row r="463" ht="13.5" customHeight="1" outlineLevel="1" spans="1:25">
      <c r="A463" s="103">
        <f t="shared" si="13"/>
        <v>115</v>
      </c>
      <c r="B463" s="102" t="s">
        <v>2323</v>
      </c>
      <c r="C463" s="173"/>
      <c r="D463" s="103" t="s">
        <v>2324</v>
      </c>
      <c r="E463" s="103" t="s">
        <v>2325</v>
      </c>
      <c r="F463" s="103" t="s">
        <v>504</v>
      </c>
      <c r="G463" s="102" t="s">
        <v>158</v>
      </c>
      <c r="H463" s="101" t="str">
        <f>VLOOKUP(G463,'01. TH'!$B:$E,3,0)</f>
        <v>6255x2500x3840</v>
      </c>
      <c r="I463" s="101" t="s">
        <v>1103</v>
      </c>
      <c r="J463" s="105">
        <v>45909</v>
      </c>
      <c r="K463" s="101" t="str">
        <f>IF(COUNTIF('TT BTSC'!$D:$D,B463)&gt;0,"Hư hỏng","Bình thường")</f>
        <v>Bình thường</v>
      </c>
      <c r="L463" s="107"/>
      <c r="M463" s="182" t="s">
        <v>2326</v>
      </c>
      <c r="N463" s="101" t="s">
        <v>2327</v>
      </c>
      <c r="O463" s="110" t="s">
        <v>590</v>
      </c>
      <c r="P463" s="101">
        <v>2025</v>
      </c>
      <c r="Q463" s="101" t="s">
        <v>2328</v>
      </c>
      <c r="R463" s="101" t="s">
        <v>159</v>
      </c>
      <c r="S463" s="110" t="s">
        <v>2329</v>
      </c>
      <c r="T463" s="111" t="s">
        <v>2330</v>
      </c>
      <c r="U463" s="111"/>
      <c r="V463" s="895">
        <v>400</v>
      </c>
      <c r="W463" s="895"/>
      <c r="X463" s="895"/>
      <c r="Y463" s="895"/>
    </row>
    <row r="464" ht="13.5" customHeight="1" outlineLevel="1" spans="1:25">
      <c r="A464" s="103">
        <f t="shared" si="13"/>
        <v>116</v>
      </c>
      <c r="B464" s="102" t="s">
        <v>2331</v>
      </c>
      <c r="C464" s="173"/>
      <c r="D464" s="103" t="s">
        <v>2332</v>
      </c>
      <c r="E464" s="103" t="s">
        <v>2333</v>
      </c>
      <c r="F464" s="103" t="s">
        <v>504</v>
      </c>
      <c r="G464" s="102" t="s">
        <v>158</v>
      </c>
      <c r="H464" s="101" t="str">
        <f>VLOOKUP(G464,'01. TH'!$B:$E,3,0)</f>
        <v>6255x2500x3840</v>
      </c>
      <c r="I464" s="101" t="s">
        <v>1103</v>
      </c>
      <c r="J464" s="105">
        <v>45879</v>
      </c>
      <c r="K464" s="101" t="str">
        <f>IF(COUNTIF('TT BTSC'!$D:$D,B464)&gt;0,"Hư hỏng","Bình thường")</f>
        <v>Bình thường</v>
      </c>
      <c r="L464" s="107"/>
      <c r="M464" s="182" t="s">
        <v>2334</v>
      </c>
      <c r="N464" s="101" t="s">
        <v>2327</v>
      </c>
      <c r="O464" s="110" t="s">
        <v>590</v>
      </c>
      <c r="P464" s="101">
        <v>2025</v>
      </c>
      <c r="Q464" s="101" t="s">
        <v>2328</v>
      </c>
      <c r="R464" s="101" t="s">
        <v>159</v>
      </c>
      <c r="S464" s="110" t="s">
        <v>2335</v>
      </c>
      <c r="T464" s="111" t="s">
        <v>2336</v>
      </c>
      <c r="U464" s="111"/>
      <c r="V464" s="895">
        <v>400</v>
      </c>
      <c r="W464" s="895"/>
      <c r="X464" s="895"/>
      <c r="Y464" s="895"/>
    </row>
    <row r="465" ht="13.5" customHeight="1" outlineLevel="1" spans="1:25">
      <c r="A465" s="103">
        <f t="shared" si="13"/>
        <v>117</v>
      </c>
      <c r="B465" s="102" t="s">
        <v>2337</v>
      </c>
      <c r="C465" s="173"/>
      <c r="D465" s="103" t="s">
        <v>2338</v>
      </c>
      <c r="E465" s="103" t="s">
        <v>2339</v>
      </c>
      <c r="F465" s="103" t="s">
        <v>504</v>
      </c>
      <c r="G465" s="102" t="s">
        <v>158</v>
      </c>
      <c r="H465" s="101" t="str">
        <f>VLOOKUP(G465,'01. TH'!$B:$E,3,0)</f>
        <v>6255x2500x3840</v>
      </c>
      <c r="I465" s="101" t="s">
        <v>1103</v>
      </c>
      <c r="J465" s="105">
        <v>45879</v>
      </c>
      <c r="K465" s="101" t="str">
        <f>IF(COUNTIF('TT BTSC'!$D:$D,B465)&gt;0,"Hư hỏng","Bình thường")</f>
        <v>Bình thường</v>
      </c>
      <c r="L465" s="107"/>
      <c r="M465" s="182" t="s">
        <v>2340</v>
      </c>
      <c r="N465" s="101" t="s">
        <v>2327</v>
      </c>
      <c r="O465" s="110" t="s">
        <v>590</v>
      </c>
      <c r="P465" s="101">
        <v>2025</v>
      </c>
      <c r="Q465" s="101" t="s">
        <v>2328</v>
      </c>
      <c r="R465" s="101" t="s">
        <v>159</v>
      </c>
      <c r="S465" s="110" t="s">
        <v>2341</v>
      </c>
      <c r="T465" s="111" t="s">
        <v>2342</v>
      </c>
      <c r="U465" s="111"/>
      <c r="V465" s="895">
        <v>400</v>
      </c>
      <c r="W465" s="895"/>
      <c r="X465" s="895"/>
      <c r="Y465" s="895"/>
    </row>
    <row r="466" ht="13.5" customHeight="1" outlineLevel="1" spans="1:25">
      <c r="A466" s="103">
        <f t="shared" si="13"/>
        <v>118</v>
      </c>
      <c r="B466" s="102" t="s">
        <v>2343</v>
      </c>
      <c r="C466" s="173"/>
      <c r="D466" s="103" t="s">
        <v>2344</v>
      </c>
      <c r="E466" s="103" t="s">
        <v>2345</v>
      </c>
      <c r="F466" s="103" t="s">
        <v>504</v>
      </c>
      <c r="G466" s="102" t="s">
        <v>158</v>
      </c>
      <c r="H466" s="101" t="str">
        <f>VLOOKUP(G466,'01. TH'!$B:$E,3,0)</f>
        <v>6255x2500x3840</v>
      </c>
      <c r="I466" s="101" t="s">
        <v>1103</v>
      </c>
      <c r="J466" s="101" t="s">
        <v>2346</v>
      </c>
      <c r="K466" s="101" t="str">
        <f>IF(COUNTIF('TT BTSC'!$D:$D,B466)&gt;0,"Hư hỏng","Bình thường")</f>
        <v>Bình thường</v>
      </c>
      <c r="L466" s="107"/>
      <c r="M466" s="182" t="s">
        <v>2347</v>
      </c>
      <c r="N466" s="101" t="s">
        <v>2327</v>
      </c>
      <c r="O466" s="110" t="s">
        <v>1016</v>
      </c>
      <c r="P466" s="101">
        <v>2025</v>
      </c>
      <c r="Q466" s="101" t="s">
        <v>2328</v>
      </c>
      <c r="R466" s="101" t="s">
        <v>159</v>
      </c>
      <c r="S466" s="110" t="s">
        <v>2348</v>
      </c>
      <c r="T466" s="111" t="s">
        <v>2349</v>
      </c>
      <c r="U466" s="111"/>
      <c r="V466" s="895">
        <v>400</v>
      </c>
      <c r="W466" s="895"/>
      <c r="X466" s="895"/>
      <c r="Y466" s="895"/>
    </row>
    <row r="467" ht="13.5" customHeight="1" outlineLevel="1" spans="1:25">
      <c r="A467" s="103">
        <f t="shared" si="13"/>
        <v>119</v>
      </c>
      <c r="B467" s="102" t="s">
        <v>2350</v>
      </c>
      <c r="C467" s="925"/>
      <c r="D467" s="103" t="s">
        <v>2351</v>
      </c>
      <c r="E467" s="103" t="s">
        <v>2352</v>
      </c>
      <c r="F467" s="103" t="s">
        <v>504</v>
      </c>
      <c r="G467" s="784" t="s">
        <v>158</v>
      </c>
      <c r="H467" s="101" t="str">
        <f>VLOOKUP(G467,'01. TH'!$B:$E,3,0)</f>
        <v>6255x2500x3840</v>
      </c>
      <c r="I467" s="256" t="s">
        <v>1103</v>
      </c>
      <c r="J467" s="101" t="s">
        <v>2353</v>
      </c>
      <c r="K467" s="101" t="str">
        <f>IF(COUNTIF('TT BTSC'!$D:$D,B467)&gt;0,"Hư hỏng","Bình thường")</f>
        <v>Bình thường</v>
      </c>
      <c r="L467" s="926"/>
      <c r="M467" s="182" t="s">
        <v>2354</v>
      </c>
      <c r="N467" s="256" t="s">
        <v>2327</v>
      </c>
      <c r="O467" s="784" t="s">
        <v>1016</v>
      </c>
      <c r="P467" s="256">
        <v>2025</v>
      </c>
      <c r="Q467" s="256" t="s">
        <v>2328</v>
      </c>
      <c r="R467" s="256" t="s">
        <v>159</v>
      </c>
      <c r="S467" s="784" t="s">
        <v>2355</v>
      </c>
      <c r="T467" s="784" t="s">
        <v>2356</v>
      </c>
      <c r="U467" s="925"/>
      <c r="V467" s="927">
        <v>400</v>
      </c>
      <c r="W467" s="927"/>
      <c r="X467" s="927"/>
      <c r="Y467" s="927"/>
    </row>
    <row r="468" ht="13.5" customHeight="1" outlineLevel="1" spans="1:25">
      <c r="A468" s="103">
        <f t="shared" si="13"/>
        <v>120</v>
      </c>
      <c r="B468" s="102" t="s">
        <v>2357</v>
      </c>
      <c r="C468" s="836"/>
      <c r="D468" s="103" t="s">
        <v>2358</v>
      </c>
      <c r="E468" s="103" t="s">
        <v>2359</v>
      </c>
      <c r="F468" s="103" t="s">
        <v>504</v>
      </c>
      <c r="G468" s="784" t="s">
        <v>158</v>
      </c>
      <c r="H468" s="101" t="str">
        <f>VLOOKUP(G468,'01. TH'!$B:$E,3,0)</f>
        <v>6255x2500x3840</v>
      </c>
      <c r="I468" s="256" t="s">
        <v>1103</v>
      </c>
      <c r="J468" s="105">
        <v>46082</v>
      </c>
      <c r="K468" s="101" t="str">
        <f>IF(COUNTIF('TT BTSC'!$D:$D,B468)&gt;0,"Hư hỏng","Bình thường")</f>
        <v>Bình thường</v>
      </c>
      <c r="L468" s="107"/>
      <c r="M468" s="182" t="s">
        <v>1146</v>
      </c>
      <c r="N468" s="101" t="s">
        <v>2327</v>
      </c>
      <c r="O468" s="110" t="s">
        <v>1016</v>
      </c>
      <c r="P468" s="101">
        <v>2025</v>
      </c>
      <c r="Q468" s="101" t="s">
        <v>2328</v>
      </c>
      <c r="R468" s="101" t="s">
        <v>159</v>
      </c>
      <c r="S468" s="110" t="s">
        <v>2360</v>
      </c>
      <c r="T468" s="111" t="s">
        <v>2361</v>
      </c>
      <c r="U468" s="111"/>
      <c r="V468" s="895"/>
      <c r="W468" s="895"/>
      <c r="X468" s="895"/>
      <c r="Y468" s="895"/>
    </row>
    <row r="469" ht="13.5" customHeight="1" outlineLevel="1" spans="1:25">
      <c r="A469" s="103">
        <f t="shared" si="13"/>
        <v>121</v>
      </c>
      <c r="B469" s="102" t="s">
        <v>2362</v>
      </c>
      <c r="C469" s="836"/>
      <c r="D469" s="103" t="s">
        <v>2363</v>
      </c>
      <c r="E469" s="103" t="s">
        <v>2364</v>
      </c>
      <c r="F469" s="103" t="s">
        <v>504</v>
      </c>
      <c r="G469" s="784" t="s">
        <v>158</v>
      </c>
      <c r="H469" s="101" t="str">
        <f>VLOOKUP(G469,'01. TH'!$B:$E,3,0)</f>
        <v>6255x2500x3840</v>
      </c>
      <c r="I469" s="256" t="s">
        <v>1103</v>
      </c>
      <c r="J469" s="101" t="s">
        <v>2365</v>
      </c>
      <c r="K469" s="101" t="str">
        <f>IF(COUNTIF('TT BTSC'!$D:$D,B469)&gt;0,"Hư hỏng","Bình thường")</f>
        <v>Bình thường</v>
      </c>
      <c r="L469" s="107"/>
      <c r="M469" s="182" t="s">
        <v>2366</v>
      </c>
      <c r="N469" s="101" t="s">
        <v>2327</v>
      </c>
      <c r="O469" s="110" t="s">
        <v>1016</v>
      </c>
      <c r="P469" s="101">
        <v>2025</v>
      </c>
      <c r="Q469" s="101" t="s">
        <v>2328</v>
      </c>
      <c r="R469" s="101" t="s">
        <v>159</v>
      </c>
      <c r="S469" s="110" t="s">
        <v>2367</v>
      </c>
      <c r="T469" s="111" t="s">
        <v>2368</v>
      </c>
      <c r="U469" s="111"/>
      <c r="V469" s="895"/>
      <c r="W469" s="895"/>
      <c r="X469" s="895"/>
      <c r="Y469" s="895"/>
    </row>
    <row r="470" ht="13.5" customHeight="1" outlineLevel="1" spans="1:25">
      <c r="A470" s="103">
        <f t="shared" si="13"/>
        <v>122</v>
      </c>
      <c r="B470" s="102" t="s">
        <v>2369</v>
      </c>
      <c r="C470" s="836"/>
      <c r="D470" s="103" t="s">
        <v>2370</v>
      </c>
      <c r="E470" s="103" t="s">
        <v>2371</v>
      </c>
      <c r="F470" s="103" t="s">
        <v>504</v>
      </c>
      <c r="G470" s="784" t="s">
        <v>158</v>
      </c>
      <c r="H470" s="101"/>
      <c r="I470" s="256" t="s">
        <v>1103</v>
      </c>
      <c r="J470" s="105">
        <v>46176</v>
      </c>
      <c r="K470" s="101" t="str">
        <f>IF(COUNTIF('TT BTSC'!$D:$D,B470)&gt;0,"Hư hỏng","Bình thường")</f>
        <v>Bình thường</v>
      </c>
      <c r="L470" s="107"/>
      <c r="M470" s="182" t="s">
        <v>2372</v>
      </c>
      <c r="N470" s="101" t="s">
        <v>2327</v>
      </c>
      <c r="O470" s="110" t="s">
        <v>1016</v>
      </c>
      <c r="P470" s="101">
        <v>2025</v>
      </c>
      <c r="Q470" s="101" t="s">
        <v>2328</v>
      </c>
      <c r="R470" s="101" t="s">
        <v>2373</v>
      </c>
      <c r="S470" s="110" t="s">
        <v>2374</v>
      </c>
      <c r="T470" s="111" t="s">
        <v>2375</v>
      </c>
      <c r="U470" s="111"/>
      <c r="V470" s="895"/>
      <c r="W470" s="895"/>
      <c r="X470" s="895"/>
      <c r="Y470" s="895"/>
    </row>
    <row r="471" ht="13.5" customHeight="1" outlineLevel="1" spans="1:25">
      <c r="A471" s="103">
        <f t="shared" si="13"/>
        <v>123</v>
      </c>
      <c r="B471" s="102" t="s">
        <v>2376</v>
      </c>
      <c r="C471" s="836"/>
      <c r="D471" s="103" t="s">
        <v>2377</v>
      </c>
      <c r="E471" s="103" t="s">
        <v>2378</v>
      </c>
      <c r="F471" s="103" t="s">
        <v>504</v>
      </c>
      <c r="G471" s="784" t="s">
        <v>158</v>
      </c>
      <c r="H471" s="101"/>
      <c r="I471" s="256" t="s">
        <v>1103</v>
      </c>
      <c r="J471" s="105">
        <v>46176</v>
      </c>
      <c r="K471" s="101" t="str">
        <f>IF(COUNTIF('TT BTSC'!$D:$D,B471)&gt;0,"Hư hỏng","Bình thường")</f>
        <v>Bình thường</v>
      </c>
      <c r="L471" s="107"/>
      <c r="M471" s="182" t="s">
        <v>2379</v>
      </c>
      <c r="N471" s="101" t="s">
        <v>2327</v>
      </c>
      <c r="O471" s="110" t="s">
        <v>1016</v>
      </c>
      <c r="P471" s="101">
        <v>2025</v>
      </c>
      <c r="Q471" s="101" t="s">
        <v>2328</v>
      </c>
      <c r="R471" s="101" t="s">
        <v>2373</v>
      </c>
      <c r="S471" s="110" t="s">
        <v>2380</v>
      </c>
      <c r="T471" s="111" t="s">
        <v>2381</v>
      </c>
      <c r="U471" s="111"/>
      <c r="V471" s="895"/>
      <c r="W471" s="895"/>
      <c r="X471" s="895"/>
      <c r="Y471" s="895"/>
    </row>
    <row r="472" ht="13.5" customHeight="1" outlineLevel="1" spans="1:25">
      <c r="A472" s="103">
        <f t="shared" si="13"/>
        <v>124</v>
      </c>
      <c r="B472" s="102" t="s">
        <v>2382</v>
      </c>
      <c r="C472" s="836"/>
      <c r="D472" s="103" t="s">
        <v>2383</v>
      </c>
      <c r="E472" s="103" t="s">
        <v>2384</v>
      </c>
      <c r="F472" s="103" t="s">
        <v>504</v>
      </c>
      <c r="G472" s="784" t="s">
        <v>158</v>
      </c>
      <c r="H472" s="101"/>
      <c r="I472" s="256" t="s">
        <v>1103</v>
      </c>
      <c r="J472" s="105">
        <v>46176</v>
      </c>
      <c r="K472" s="101" t="str">
        <f>IF(COUNTIF('TT BTSC'!$D:$D,B472)&gt;0,"Hư hỏng","Bình thường")</f>
        <v>Bình thường</v>
      </c>
      <c r="L472" s="107"/>
      <c r="M472" s="182" t="s">
        <v>2385</v>
      </c>
      <c r="N472" s="101" t="s">
        <v>2327</v>
      </c>
      <c r="O472" s="110" t="s">
        <v>1016</v>
      </c>
      <c r="P472" s="101">
        <v>2025</v>
      </c>
      <c r="Q472" s="101" t="s">
        <v>2328</v>
      </c>
      <c r="R472" s="101" t="s">
        <v>2373</v>
      </c>
      <c r="S472" s="110" t="s">
        <v>2386</v>
      </c>
      <c r="T472" s="111" t="s">
        <v>2387</v>
      </c>
      <c r="U472" s="111"/>
      <c r="V472" s="895"/>
      <c r="W472" s="895"/>
      <c r="X472" s="895"/>
      <c r="Y472" s="895"/>
    </row>
    <row r="473" ht="13.5" customHeight="1" outlineLevel="1" spans="1:25">
      <c r="A473" s="103">
        <f t="shared" si="13"/>
        <v>125</v>
      </c>
      <c r="B473" s="102" t="s">
        <v>2388</v>
      </c>
      <c r="C473" s="836"/>
      <c r="D473" s="103" t="s">
        <v>2389</v>
      </c>
      <c r="E473" s="103" t="s">
        <v>2390</v>
      </c>
      <c r="F473" s="103" t="s">
        <v>504</v>
      </c>
      <c r="G473" s="784" t="s">
        <v>158</v>
      </c>
      <c r="H473" s="101"/>
      <c r="I473" s="256" t="s">
        <v>1103</v>
      </c>
      <c r="J473" s="105">
        <v>46176</v>
      </c>
      <c r="K473" s="101" t="str">
        <f>IF(COUNTIF('TT BTSC'!$D:$D,B473)&gt;0,"Hư hỏng","Bình thường")</f>
        <v>Bình thường</v>
      </c>
      <c r="L473" s="107"/>
      <c r="M473" s="182" t="s">
        <v>2391</v>
      </c>
      <c r="N473" s="101" t="s">
        <v>2327</v>
      </c>
      <c r="O473" s="110" t="s">
        <v>1016</v>
      </c>
      <c r="P473" s="101">
        <v>2025</v>
      </c>
      <c r="Q473" s="101" t="s">
        <v>2328</v>
      </c>
      <c r="R473" s="101" t="s">
        <v>2373</v>
      </c>
      <c r="S473" s="110" t="s">
        <v>2392</v>
      </c>
      <c r="T473" s="111" t="s">
        <v>2393</v>
      </c>
      <c r="U473" s="111"/>
      <c r="V473" s="895"/>
      <c r="W473" s="895"/>
      <c r="X473" s="895"/>
      <c r="Y473" s="895"/>
    </row>
    <row r="474" ht="13.5" customHeight="1" outlineLevel="1" spans="1:25">
      <c r="A474" s="103">
        <f t="shared" si="13"/>
        <v>126</v>
      </c>
      <c r="B474" s="102" t="s">
        <v>2394</v>
      </c>
      <c r="C474" s="836"/>
      <c r="D474" s="103" t="s">
        <v>2395</v>
      </c>
      <c r="E474" s="103"/>
      <c r="F474" s="103" t="s">
        <v>504</v>
      </c>
      <c r="G474" s="102" t="s">
        <v>287</v>
      </c>
      <c r="H474" s="101" t="str">
        <f>VLOOKUP(G474,'01. TH'!$B:$E,3,0)</f>
        <v/>
      </c>
      <c r="I474" s="101" t="s">
        <v>1103</v>
      </c>
      <c r="J474" s="105">
        <v>45606</v>
      </c>
      <c r="K474" s="101" t="str">
        <f>IF(COUNTIF('TT BTSC'!$D:$D,B474)&gt;0,"Hư hỏng","Bình thường")</f>
        <v>Bình thường</v>
      </c>
      <c r="L474" s="107"/>
      <c r="M474" s="182" t="s">
        <v>1146</v>
      </c>
      <c r="N474" s="101" t="s">
        <v>964</v>
      </c>
      <c r="O474" s="110" t="s">
        <v>1197</v>
      </c>
      <c r="P474" s="101">
        <v>2022</v>
      </c>
      <c r="Q474" s="101" t="s">
        <v>2396</v>
      </c>
      <c r="R474" s="101" t="s">
        <v>219</v>
      </c>
      <c r="S474" s="110">
        <v>203373</v>
      </c>
      <c r="T474" s="111" t="s">
        <v>2397</v>
      </c>
      <c r="U474" s="111">
        <v>0.5</v>
      </c>
      <c r="V474" s="895">
        <v>0</v>
      </c>
      <c r="W474" s="895"/>
      <c r="X474" s="895"/>
      <c r="Y474" s="895"/>
    </row>
    <row r="475" ht="13.5" customHeight="1" outlineLevel="1" spans="1:25">
      <c r="A475" s="103">
        <f t="shared" si="13"/>
        <v>127</v>
      </c>
      <c r="B475" s="102" t="s">
        <v>2398</v>
      </c>
      <c r="C475" s="102"/>
      <c r="D475" s="103" t="s">
        <v>2399</v>
      </c>
      <c r="E475" s="103"/>
      <c r="F475" s="103" t="s">
        <v>504</v>
      </c>
      <c r="G475" s="102" t="s">
        <v>287</v>
      </c>
      <c r="H475" s="101" t="str">
        <f>VLOOKUP(G475,'01. TH'!$B:$E,3,0)</f>
        <v/>
      </c>
      <c r="I475" s="101" t="s">
        <v>1103</v>
      </c>
      <c r="J475" s="105">
        <v>45606</v>
      </c>
      <c r="K475" s="101" t="str">
        <f>IF(COUNTIF('TT BTSC'!$D:$D,B475)&gt;0,"Hư hỏng","Bình thường")</f>
        <v>Bình thường</v>
      </c>
      <c r="L475" s="107"/>
      <c r="M475" s="182" t="s">
        <v>1146</v>
      </c>
      <c r="N475" s="101" t="s">
        <v>964</v>
      </c>
      <c r="O475" s="110" t="s">
        <v>1197</v>
      </c>
      <c r="P475" s="101">
        <v>2022</v>
      </c>
      <c r="Q475" s="101" t="s">
        <v>2396</v>
      </c>
      <c r="R475" s="101" t="s">
        <v>219</v>
      </c>
      <c r="S475" s="110">
        <v>203356</v>
      </c>
      <c r="T475" s="111" t="s">
        <v>2400</v>
      </c>
      <c r="U475" s="111">
        <v>0.5</v>
      </c>
      <c r="V475" s="895">
        <v>0</v>
      </c>
      <c r="W475" s="895"/>
      <c r="X475" s="895"/>
      <c r="Y475" s="895"/>
    </row>
    <row r="476" ht="13.5" customHeight="1" outlineLevel="1" spans="1:25">
      <c r="A476" s="103">
        <f t="shared" si="13"/>
        <v>128</v>
      </c>
      <c r="B476" s="102" t="s">
        <v>2401</v>
      </c>
      <c r="C476" s="102"/>
      <c r="D476" s="103" t="s">
        <v>2402</v>
      </c>
      <c r="E476" s="103"/>
      <c r="F476" s="103" t="s">
        <v>504</v>
      </c>
      <c r="G476" s="102" t="s">
        <v>287</v>
      </c>
      <c r="H476" s="101" t="str">
        <f>VLOOKUP(G476,'01. TH'!$B:$E,3,0)</f>
        <v/>
      </c>
      <c r="I476" s="101" t="s">
        <v>1103</v>
      </c>
      <c r="J476" s="105">
        <v>45393</v>
      </c>
      <c r="K476" s="101" t="str">
        <f>IF(COUNTIF('TT BTSC'!$D:$D,B476)&gt;0,"Hư hỏng","Bình thường")</f>
        <v>Bình thường</v>
      </c>
      <c r="L476" s="107"/>
      <c r="M476" s="182" t="s">
        <v>1146</v>
      </c>
      <c r="N476" s="101" t="s">
        <v>964</v>
      </c>
      <c r="O476" s="110" t="s">
        <v>1197</v>
      </c>
      <c r="P476" s="101">
        <v>2022</v>
      </c>
      <c r="Q476" s="101" t="s">
        <v>2396</v>
      </c>
      <c r="R476" s="101" t="s">
        <v>219</v>
      </c>
      <c r="S476" s="110">
        <v>202927</v>
      </c>
      <c r="T476" s="111" t="s">
        <v>2403</v>
      </c>
      <c r="U476" s="111">
        <v>0.5</v>
      </c>
      <c r="V476" s="895">
        <v>0</v>
      </c>
      <c r="W476" s="895"/>
      <c r="X476" s="895"/>
      <c r="Y476" s="895"/>
    </row>
    <row r="477" ht="13.5" customHeight="1" outlineLevel="1" spans="1:25">
      <c r="A477" s="103">
        <f t="shared" si="13"/>
        <v>129</v>
      </c>
      <c r="B477" s="102" t="s">
        <v>2404</v>
      </c>
      <c r="C477" s="102"/>
      <c r="D477" s="103" t="s">
        <v>2405</v>
      </c>
      <c r="E477" s="103"/>
      <c r="F477" s="103" t="s">
        <v>504</v>
      </c>
      <c r="G477" s="102" t="s">
        <v>287</v>
      </c>
      <c r="H477" s="101" t="str">
        <f>VLOOKUP(G477,'01. TH'!$B:$E,3,0)</f>
        <v/>
      </c>
      <c r="I477" s="101" t="s">
        <v>1103</v>
      </c>
      <c r="J477" s="105">
        <v>45393</v>
      </c>
      <c r="K477" s="101" t="str">
        <f>IF(COUNTIF('TT BTSC'!$D:$D,B477)&gt;0,"Hư hỏng","Bình thường")</f>
        <v>Bình thường</v>
      </c>
      <c r="L477" s="107"/>
      <c r="M477" s="182" t="s">
        <v>1146</v>
      </c>
      <c r="N477" s="101" t="s">
        <v>964</v>
      </c>
      <c r="O477" s="110" t="s">
        <v>1197</v>
      </c>
      <c r="P477" s="101">
        <v>2022</v>
      </c>
      <c r="Q477" s="101" t="s">
        <v>2396</v>
      </c>
      <c r="R477" s="101" t="s">
        <v>219</v>
      </c>
      <c r="S477" s="110">
        <v>202929</v>
      </c>
      <c r="T477" s="111" t="s">
        <v>2406</v>
      </c>
      <c r="U477" s="111">
        <v>0.5</v>
      </c>
      <c r="V477" s="895">
        <v>0</v>
      </c>
      <c r="W477" s="895"/>
      <c r="X477" s="895"/>
      <c r="Y477" s="895"/>
    </row>
    <row r="478" ht="13.5" customHeight="1" outlineLevel="1" spans="1:25">
      <c r="A478" s="103">
        <f t="shared" si="13"/>
        <v>130</v>
      </c>
      <c r="B478" s="102" t="s">
        <v>2407</v>
      </c>
      <c r="C478" s="102"/>
      <c r="D478" s="103" t="s">
        <v>2408</v>
      </c>
      <c r="E478" s="103"/>
      <c r="F478" s="103" t="s">
        <v>504</v>
      </c>
      <c r="G478" s="102" t="s">
        <v>287</v>
      </c>
      <c r="H478" s="101" t="str">
        <f>VLOOKUP(G478,'01. TH'!$B:$E,3,0)</f>
        <v/>
      </c>
      <c r="I478" s="101" t="s">
        <v>1103</v>
      </c>
      <c r="J478" s="105">
        <v>45393</v>
      </c>
      <c r="K478" s="101" t="str">
        <f>IF(COUNTIF('TT BTSC'!$D:$D,B478)&gt;0,"Hư hỏng","Bình thường")</f>
        <v>Bình thường</v>
      </c>
      <c r="L478" s="107"/>
      <c r="M478" s="182" t="s">
        <v>1146</v>
      </c>
      <c r="N478" s="101" t="s">
        <v>964</v>
      </c>
      <c r="O478" s="110" t="s">
        <v>1197</v>
      </c>
      <c r="P478" s="101">
        <v>2022</v>
      </c>
      <c r="Q478" s="101" t="s">
        <v>2396</v>
      </c>
      <c r="R478" s="101" t="s">
        <v>219</v>
      </c>
      <c r="S478" s="110">
        <v>203359</v>
      </c>
      <c r="T478" s="111" t="s">
        <v>2409</v>
      </c>
      <c r="U478" s="111">
        <v>0.5</v>
      </c>
      <c r="V478" s="895">
        <v>0</v>
      </c>
      <c r="W478" s="895"/>
      <c r="X478" s="895"/>
      <c r="Y478" s="895"/>
    </row>
    <row r="479" ht="13.5" customHeight="1" outlineLevel="1" spans="1:25">
      <c r="A479" s="103">
        <f t="shared" si="13"/>
        <v>131</v>
      </c>
      <c r="B479" s="102" t="s">
        <v>2410</v>
      </c>
      <c r="C479" s="102"/>
      <c r="D479" s="103" t="str">
        <f>IFERROR(VLOOKUP(B479,' 02.1 KLH-CN MÃ BRAVO MM'!$B:$C,2,0),"")</f>
        <v>ATT-A22-0317</v>
      </c>
      <c r="E479" s="101" t="s">
        <v>2411</v>
      </c>
      <c r="F479" s="103" t="s">
        <v>504</v>
      </c>
      <c r="G479" s="102" t="s">
        <v>251</v>
      </c>
      <c r="H479" s="101" t="str">
        <f>VLOOKUP(G479,'01. TH'!$B:$E,3,0)</f>
        <v>4730 x 1750 x 2100</v>
      </c>
      <c r="I479" s="101" t="s">
        <v>1103</v>
      </c>
      <c r="J479" s="105">
        <v>45566</v>
      </c>
      <c r="K479" s="101" t="str">
        <f>IF(COUNTIF('TT BTSC'!$D:$D,B479)&gt;0,"Hư hỏng","Bình thường")</f>
        <v>Bình thường</v>
      </c>
      <c r="L479" s="107">
        <v>0.98</v>
      </c>
      <c r="M479" s="182"/>
      <c r="N479" s="101" t="s">
        <v>1152</v>
      </c>
      <c r="O479" s="110" t="s">
        <v>500</v>
      </c>
      <c r="P479" s="101">
        <v>2021</v>
      </c>
      <c r="Q479" s="101" t="s">
        <v>1153</v>
      </c>
      <c r="R479" s="101" t="s">
        <v>44</v>
      </c>
      <c r="S479" s="110" t="s">
        <v>2412</v>
      </c>
      <c r="T479" s="111" t="s">
        <v>2413</v>
      </c>
      <c r="U479" s="111"/>
      <c r="V479" s="895">
        <v>60</v>
      </c>
      <c r="W479" s="895"/>
      <c r="X479" s="895"/>
      <c r="Y479" s="895"/>
    </row>
    <row r="480" ht="13.5" customHeight="1" outlineLevel="1" spans="1:25">
      <c r="A480" s="103">
        <f t="shared" si="13"/>
        <v>132</v>
      </c>
      <c r="B480" s="102" t="s">
        <v>2414</v>
      </c>
      <c r="C480" s="102" t="s">
        <v>1048</v>
      </c>
      <c r="D480" s="103" t="str">
        <f>IFERROR(VLOOKUP(B480,' 02.1 KLH-CN MÃ BRAVO MM'!$B:$C,2,0),"")</f>
        <v>ATT-A22-0313</v>
      </c>
      <c r="E480" s="103"/>
      <c r="F480" s="103" t="s">
        <v>504</v>
      </c>
      <c r="G480" s="102" t="s">
        <v>288</v>
      </c>
      <c r="H480" s="101" t="str">
        <f>VLOOKUP(G480,'01. TH'!$B:$E,3,0)</f>
        <v>3300 x 1300 x 1600</v>
      </c>
      <c r="I480" s="101" t="s">
        <v>1103</v>
      </c>
      <c r="J480" s="105">
        <v>44938</v>
      </c>
      <c r="K480" s="101" t="str">
        <f>IF(COUNTIF('TT BTSC'!$D:$D,B480)&gt;0,"Hư hỏng","Bình thường")</f>
        <v>Bình thường</v>
      </c>
      <c r="L480" s="107">
        <v>0.93</v>
      </c>
      <c r="M480" s="182" t="s">
        <v>1146</v>
      </c>
      <c r="N480" s="101" t="s">
        <v>2415</v>
      </c>
      <c r="O480" s="110" t="s">
        <v>500</v>
      </c>
      <c r="P480" s="101">
        <v>2020</v>
      </c>
      <c r="Q480" s="101" t="s">
        <v>2416</v>
      </c>
      <c r="R480" s="101" t="s">
        <v>219</v>
      </c>
      <c r="S480" s="110" t="s">
        <v>2417</v>
      </c>
      <c r="T480" s="111" t="s">
        <v>462</v>
      </c>
      <c r="U480" s="111">
        <v>2.5</v>
      </c>
      <c r="V480" s="895">
        <v>0</v>
      </c>
      <c r="W480" s="895"/>
      <c r="X480" s="895"/>
      <c r="Y480" s="895"/>
    </row>
    <row r="481" ht="13.5" customHeight="1" outlineLevel="1" spans="1:25">
      <c r="A481" s="103">
        <f t="shared" si="13"/>
        <v>133</v>
      </c>
      <c r="B481" s="102" t="s">
        <v>2418</v>
      </c>
      <c r="C481" s="102" t="s">
        <v>1048</v>
      </c>
      <c r="D481" s="103" t="str">
        <f>IFERROR(VLOOKUP(B481,' 02.1 KLH-CN MÃ BRAVO MM'!$B:$C,2,0),"")</f>
        <v>ATT-A22-0327</v>
      </c>
      <c r="E481" s="103"/>
      <c r="F481" s="103" t="s">
        <v>504</v>
      </c>
      <c r="G481" s="102" t="s">
        <v>288</v>
      </c>
      <c r="H481" s="101" t="str">
        <f>VLOOKUP(G481,'01. TH'!$B:$E,3,0)</f>
        <v>3300 x 1300 x 1600</v>
      </c>
      <c r="I481" s="101" t="s">
        <v>1103</v>
      </c>
      <c r="J481" s="101" t="s">
        <v>2419</v>
      </c>
      <c r="K481" s="101" t="str">
        <f>IF(COUNTIF('TT BTSC'!$D:$D,B481)&gt;0,"Hư hỏng","Bình thường")</f>
        <v>Bình thường</v>
      </c>
      <c r="L481" s="107">
        <v>0.95</v>
      </c>
      <c r="M481" s="182" t="s">
        <v>1146</v>
      </c>
      <c r="N481" s="101" t="s">
        <v>2415</v>
      </c>
      <c r="O481" s="110" t="s">
        <v>500</v>
      </c>
      <c r="P481" s="101">
        <v>2020</v>
      </c>
      <c r="Q481" s="101" t="s">
        <v>2416</v>
      </c>
      <c r="R481" s="101" t="s">
        <v>219</v>
      </c>
      <c r="S481" s="110" t="s">
        <v>2420</v>
      </c>
      <c r="T481" s="111" t="s">
        <v>462</v>
      </c>
      <c r="U481" s="111">
        <v>2.5</v>
      </c>
      <c r="V481" s="895">
        <v>0</v>
      </c>
      <c r="W481" s="895"/>
      <c r="X481" s="895"/>
      <c r="Y481" s="895"/>
    </row>
    <row r="482" ht="13.5" customHeight="1" outlineLevel="1" spans="1:25">
      <c r="A482" s="103">
        <f t="shared" si="13"/>
        <v>134</v>
      </c>
      <c r="B482" s="102" t="s">
        <v>2421</v>
      </c>
      <c r="C482" s="102"/>
      <c r="D482" s="103" t="str">
        <f>IFERROR(VLOOKUP(B482,' 02.1 KLH-CN MÃ BRAVO MM'!$B:$C,2,0),"")</f>
        <v>A22-XPT-004</v>
      </c>
      <c r="E482" s="103"/>
      <c r="F482" s="103" t="s">
        <v>451</v>
      </c>
      <c r="G482" s="102" t="s">
        <v>223</v>
      </c>
      <c r="H482" s="101" t="str">
        <f>VLOOKUP(G482,'01. TH'!$B:$E,3,0)</f>
        <v/>
      </c>
      <c r="I482" s="101" t="s">
        <v>1103</v>
      </c>
      <c r="J482" s="101"/>
      <c r="K482" s="101" t="str">
        <f>IF(COUNTIF('TT BTSC'!$D:$D,B482)&gt;0,"Hư hỏng","Bình thường")</f>
        <v>Bình thường</v>
      </c>
      <c r="L482" s="107"/>
      <c r="M482" s="182" t="s">
        <v>2422</v>
      </c>
      <c r="N482" s="101" t="s">
        <v>964</v>
      </c>
      <c r="O482" s="110" t="s">
        <v>555</v>
      </c>
      <c r="P482" s="101"/>
      <c r="Q482" s="101" t="s">
        <v>2423</v>
      </c>
      <c r="R482" s="101" t="s">
        <v>2424</v>
      </c>
      <c r="S482" s="110" t="s">
        <v>462</v>
      </c>
      <c r="T482" s="111" t="s">
        <v>2425</v>
      </c>
      <c r="U482" s="111">
        <v>2.4</v>
      </c>
      <c r="V482" s="895">
        <v>0</v>
      </c>
      <c r="W482" s="895"/>
      <c r="X482" s="895"/>
      <c r="Y482" s="895"/>
    </row>
    <row r="483" ht="13.5" customHeight="1" outlineLevel="1" spans="1:25">
      <c r="A483" s="103">
        <f t="shared" si="13"/>
        <v>135</v>
      </c>
      <c r="B483" s="102" t="s">
        <v>2426</v>
      </c>
      <c r="C483" s="102" t="s">
        <v>2427</v>
      </c>
      <c r="D483" s="103" t="s">
        <v>2428</v>
      </c>
      <c r="E483" s="103"/>
      <c r="F483" s="157" t="s">
        <v>492</v>
      </c>
      <c r="G483" s="156" t="s">
        <v>213</v>
      </c>
      <c r="H483" s="101" t="str">
        <f>VLOOKUP(G483,'01. TH'!$B:$E,3,0)</f>
        <v/>
      </c>
      <c r="I483" s="101" t="s">
        <v>1103</v>
      </c>
      <c r="J483" s="105">
        <v>45454</v>
      </c>
      <c r="K483" s="101" t="str">
        <f>IF(COUNTIF('TT BTSC'!$D:$D,B483)&gt;0,"Hư hỏng","Bình thường")</f>
        <v>Bình thường</v>
      </c>
      <c r="L483" s="107"/>
      <c r="M483" s="182" t="s">
        <v>2429</v>
      </c>
      <c r="N483" s="101" t="s">
        <v>1713</v>
      </c>
      <c r="O483" s="110" t="s">
        <v>955</v>
      </c>
      <c r="P483" s="101">
        <v>2024</v>
      </c>
      <c r="Q483" s="101" t="s">
        <v>2430</v>
      </c>
      <c r="R483" s="101" t="s">
        <v>214</v>
      </c>
      <c r="S483" s="110" t="s">
        <v>2431</v>
      </c>
      <c r="T483" s="111">
        <v>410203</v>
      </c>
      <c r="U483" s="111"/>
      <c r="V483" s="895">
        <v>0</v>
      </c>
      <c r="W483" s="895"/>
      <c r="X483" s="895"/>
      <c r="Y483" s="895"/>
    </row>
    <row r="484" ht="13.5" customHeight="1" outlineLevel="1" spans="1:25">
      <c r="A484" s="103">
        <f t="shared" si="13"/>
        <v>136</v>
      </c>
      <c r="B484" s="102" t="s">
        <v>2432</v>
      </c>
      <c r="C484" s="102"/>
      <c r="D484" s="103"/>
      <c r="E484" s="103"/>
      <c r="F484" s="157" t="s">
        <v>492</v>
      </c>
      <c r="G484" s="156" t="s">
        <v>213</v>
      </c>
      <c r="H484" s="101" t="str">
        <f>VLOOKUP(G484,'01. TH'!$B:$E,3,0)</f>
        <v/>
      </c>
      <c r="I484" s="101" t="s">
        <v>1103</v>
      </c>
      <c r="J484" s="101"/>
      <c r="K484" s="101" t="str">
        <f>IF(COUNTIF('TT BTSC'!$D:$D,B484)&gt;0,"Hư hỏng","Bình thường")</f>
        <v>Bình thường</v>
      </c>
      <c r="L484" s="107"/>
      <c r="M484" s="182" t="s">
        <v>2429</v>
      </c>
      <c r="N484" s="146" t="s">
        <v>1713</v>
      </c>
      <c r="O484" s="110" t="s">
        <v>955</v>
      </c>
      <c r="P484" s="101">
        <v>2024</v>
      </c>
      <c r="Q484" s="101" t="s">
        <v>1714</v>
      </c>
      <c r="R484" s="101" t="s">
        <v>1715</v>
      </c>
      <c r="S484" s="110" t="s">
        <v>2433</v>
      </c>
      <c r="T484" s="111" t="s">
        <v>2434</v>
      </c>
      <c r="U484" s="111"/>
      <c r="V484" s="895">
        <v>0</v>
      </c>
      <c r="W484" s="895"/>
      <c r="X484" s="895"/>
      <c r="Y484" s="895"/>
    </row>
    <row r="485" ht="13.5" customHeight="1" outlineLevel="1" spans="1:25">
      <c r="A485" s="103">
        <f t="shared" si="13"/>
        <v>137</v>
      </c>
      <c r="B485" s="102" t="s">
        <v>2435</v>
      </c>
      <c r="C485" s="102" t="s">
        <v>2436</v>
      </c>
      <c r="D485" s="103" t="s">
        <v>2437</v>
      </c>
      <c r="E485" s="103"/>
      <c r="F485" s="157" t="s">
        <v>492</v>
      </c>
      <c r="G485" s="156" t="s">
        <v>74</v>
      </c>
      <c r="H485" s="101" t="str">
        <f>VLOOKUP(G485,'01. TH'!$B:$E,3,0)</f>
        <v>2625 x 1290 x 1570</v>
      </c>
      <c r="I485" s="101" t="s">
        <v>1103</v>
      </c>
      <c r="J485" s="105">
        <v>45999</v>
      </c>
      <c r="K485" s="101" t="str">
        <f>IF(COUNTIF('TT BTSC'!$D:$D,B485)&gt;0,"Hư hỏng","Bình thường")</f>
        <v>Bình thường</v>
      </c>
      <c r="L485" s="107"/>
      <c r="M485" s="182" t="s">
        <v>2438</v>
      </c>
      <c r="N485" s="101" t="s">
        <v>530</v>
      </c>
      <c r="O485" s="110" t="s">
        <v>811</v>
      </c>
      <c r="P485" s="101">
        <v>2004</v>
      </c>
      <c r="Q485" s="101" t="s">
        <v>800</v>
      </c>
      <c r="R485" s="101" t="s">
        <v>767</v>
      </c>
      <c r="S485" s="110" t="s">
        <v>2439</v>
      </c>
      <c r="T485" s="111">
        <v>161031</v>
      </c>
      <c r="U485" s="160">
        <v>2.5</v>
      </c>
      <c r="V485" s="895">
        <v>52</v>
      </c>
      <c r="W485" s="895"/>
      <c r="X485" s="895"/>
      <c r="Y485" s="895"/>
    </row>
    <row r="486" ht="13.5" customHeight="1" outlineLevel="1" spans="1:25">
      <c r="A486" s="103">
        <f t="shared" si="13"/>
        <v>138</v>
      </c>
      <c r="B486" s="102" t="s">
        <v>2440</v>
      </c>
      <c r="C486" s="102"/>
      <c r="D486" s="103" t="s">
        <v>2441</v>
      </c>
      <c r="E486" s="103"/>
      <c r="F486" s="157" t="s">
        <v>492</v>
      </c>
      <c r="G486" s="156" t="s">
        <v>215</v>
      </c>
      <c r="H486" s="101" t="str">
        <f>VLOOKUP(G486,'01. TH'!$B:$E,3,0)</f>
        <v>6800 x 3200 x 3400</v>
      </c>
      <c r="I486" s="101" t="s">
        <v>1103</v>
      </c>
      <c r="J486" s="105">
        <v>45785</v>
      </c>
      <c r="K486" s="101" t="str">
        <f>IF(COUNTIF('TT BTSC'!$D:$D,B486)&gt;0,"Hư hỏng","Bình thường")</f>
        <v>Bình thường</v>
      </c>
      <c r="L486" s="107"/>
      <c r="M486" s="182" t="s">
        <v>290</v>
      </c>
      <c r="N486" s="101" t="s">
        <v>2037</v>
      </c>
      <c r="O486" s="110"/>
      <c r="P486" s="101"/>
      <c r="Q486" s="101" t="s">
        <v>2442</v>
      </c>
      <c r="R486" s="101" t="s">
        <v>216</v>
      </c>
      <c r="S486" s="110">
        <v>20265</v>
      </c>
      <c r="T486" s="111" t="s">
        <v>2443</v>
      </c>
      <c r="U486" s="111"/>
      <c r="V486" s="895">
        <v>0</v>
      </c>
      <c r="W486" s="895"/>
      <c r="X486" s="895"/>
      <c r="Y486" s="895"/>
    </row>
    <row r="487" ht="13.5" customHeight="1" outlineLevel="1" spans="1:25">
      <c r="A487" s="103">
        <f t="shared" si="13"/>
        <v>139</v>
      </c>
      <c r="B487" s="102" t="s">
        <v>2444</v>
      </c>
      <c r="C487" s="102"/>
      <c r="D487" s="103" t="s">
        <v>2445</v>
      </c>
      <c r="E487" s="103"/>
      <c r="F487" s="157" t="s">
        <v>492</v>
      </c>
      <c r="G487" s="156" t="s">
        <v>217</v>
      </c>
      <c r="H487" s="101" t="str">
        <f>VLOOKUP(G487,'01. TH'!$B:$E,3,0)</f>
        <v/>
      </c>
      <c r="I487" s="101" t="s">
        <v>1103</v>
      </c>
      <c r="J487" s="105">
        <v>45785</v>
      </c>
      <c r="K487" s="101" t="str">
        <f>IF(COUNTIF('TT BTSC'!$D:$D,B487)&gt;0,"Hư hỏng","Bình thường")</f>
        <v>Bình thường</v>
      </c>
      <c r="L487" s="107"/>
      <c r="M487" s="182" t="s">
        <v>290</v>
      </c>
      <c r="N487" s="101" t="s">
        <v>2037</v>
      </c>
      <c r="O487" s="110"/>
      <c r="P487" s="101">
        <v>1988</v>
      </c>
      <c r="Q487" s="101" t="s">
        <v>2446</v>
      </c>
      <c r="R487" s="101" t="s">
        <v>177</v>
      </c>
      <c r="S487" s="110">
        <v>701114</v>
      </c>
      <c r="T487" s="111" t="s">
        <v>2447</v>
      </c>
      <c r="U487" s="111">
        <v>8</v>
      </c>
      <c r="V487" s="895">
        <v>0</v>
      </c>
      <c r="W487" s="895"/>
      <c r="X487" s="895"/>
      <c r="Y487" s="895"/>
    </row>
    <row r="488" ht="13.5" customHeight="1" outlineLevel="1" spans="1:25">
      <c r="A488" s="103">
        <f t="shared" si="13"/>
        <v>140</v>
      </c>
      <c r="B488" s="102" t="s">
        <v>2448</v>
      </c>
      <c r="C488" s="102"/>
      <c r="D488" s="103" t="s">
        <v>2449</v>
      </c>
      <c r="E488" s="103"/>
      <c r="F488" s="103" t="s">
        <v>504</v>
      </c>
      <c r="G488" s="156" t="s">
        <v>285</v>
      </c>
      <c r="H488" s="101" t="str">
        <f>VLOOKUP(G488,'01. TH'!$B:$E,3,0)</f>
        <v/>
      </c>
      <c r="I488" s="101" t="s">
        <v>1103</v>
      </c>
      <c r="J488" s="105">
        <v>45669</v>
      </c>
      <c r="K488" s="101" t="str">
        <f>IF(COUNTIF('TT BTSC'!$D:$D,B488)&gt;0,"Hư hỏng","Bình thường")</f>
        <v>Bình thường</v>
      </c>
      <c r="L488" s="107"/>
      <c r="M488" s="182" t="s">
        <v>1146</v>
      </c>
      <c r="N488" s="101" t="s">
        <v>1323</v>
      </c>
      <c r="O488" s="110" t="s">
        <v>2450</v>
      </c>
      <c r="P488" s="101">
        <v>2025</v>
      </c>
      <c r="Q488" s="101" t="s">
        <v>2451</v>
      </c>
      <c r="R488" s="101" t="s">
        <v>2452</v>
      </c>
      <c r="S488" s="110" t="s">
        <v>462</v>
      </c>
      <c r="T488" s="110" t="s">
        <v>462</v>
      </c>
      <c r="U488" s="111"/>
      <c r="V488" s="895"/>
      <c r="W488" s="895"/>
      <c r="X488" s="895"/>
      <c r="Y488" s="895"/>
    </row>
    <row r="489" ht="13.5" customHeight="1" outlineLevel="1" spans="1:25">
      <c r="A489" s="103">
        <f t="shared" si="13"/>
        <v>141</v>
      </c>
      <c r="B489" s="102" t="s">
        <v>2453</v>
      </c>
      <c r="C489" s="102"/>
      <c r="D489" s="103" t="s">
        <v>2449</v>
      </c>
      <c r="E489" s="103"/>
      <c r="F489" s="103" t="s">
        <v>504</v>
      </c>
      <c r="G489" s="156" t="s">
        <v>285</v>
      </c>
      <c r="H489" s="101" t="str">
        <f>VLOOKUP(G489,'01. TH'!$B:$E,3,0)</f>
        <v/>
      </c>
      <c r="I489" s="101" t="s">
        <v>1103</v>
      </c>
      <c r="J489" s="105">
        <v>45669</v>
      </c>
      <c r="K489" s="101" t="str">
        <f>IF(COUNTIF('TT BTSC'!$D:$D,B489)&gt;0,"Hư hỏng","Bình thường")</f>
        <v>Bình thường</v>
      </c>
      <c r="L489" s="107"/>
      <c r="M489" s="182" t="s">
        <v>1146</v>
      </c>
      <c r="N489" s="101" t="s">
        <v>1323</v>
      </c>
      <c r="O489" s="110" t="s">
        <v>2450</v>
      </c>
      <c r="P489" s="101">
        <v>2025</v>
      </c>
      <c r="Q489" s="101" t="s">
        <v>2451</v>
      </c>
      <c r="R489" s="101" t="s">
        <v>2452</v>
      </c>
      <c r="S489" s="110" t="s">
        <v>462</v>
      </c>
      <c r="T489" s="110" t="s">
        <v>462</v>
      </c>
      <c r="U489" s="111"/>
      <c r="V489" s="895"/>
      <c r="W489" s="895"/>
      <c r="X489" s="895"/>
      <c r="Y489" s="895"/>
    </row>
    <row r="490" ht="13.5" customHeight="1" outlineLevel="1" spans="1:25">
      <c r="A490" s="103">
        <f t="shared" si="13"/>
        <v>142</v>
      </c>
      <c r="B490" s="102" t="s">
        <v>2454</v>
      </c>
      <c r="C490" s="102"/>
      <c r="D490" s="103" t="s">
        <v>2449</v>
      </c>
      <c r="E490" s="103"/>
      <c r="F490" s="103" t="s">
        <v>504</v>
      </c>
      <c r="G490" s="156" t="s">
        <v>285</v>
      </c>
      <c r="H490" s="101" t="str">
        <f>VLOOKUP(G490,'01. TH'!$B:$E,3,0)</f>
        <v/>
      </c>
      <c r="I490" s="101" t="s">
        <v>1103</v>
      </c>
      <c r="J490" s="105">
        <v>45669</v>
      </c>
      <c r="K490" s="101" t="str">
        <f>IF(COUNTIF('TT BTSC'!$D:$D,B490)&gt;0,"Hư hỏng","Bình thường")</f>
        <v>Bình thường</v>
      </c>
      <c r="L490" s="107"/>
      <c r="M490" s="182" t="s">
        <v>1146</v>
      </c>
      <c r="N490" s="101" t="s">
        <v>1323</v>
      </c>
      <c r="O490" s="110" t="s">
        <v>2450</v>
      </c>
      <c r="P490" s="101">
        <v>2025</v>
      </c>
      <c r="Q490" s="101" t="s">
        <v>2451</v>
      </c>
      <c r="R490" s="101" t="s">
        <v>2452</v>
      </c>
      <c r="S490" s="110" t="s">
        <v>462</v>
      </c>
      <c r="T490" s="110" t="s">
        <v>462</v>
      </c>
      <c r="U490" s="111"/>
      <c r="V490" s="895"/>
      <c r="W490" s="895"/>
      <c r="X490" s="895"/>
      <c r="Y490" s="895"/>
    </row>
    <row r="491" ht="13.5" customHeight="1" outlineLevel="1" spans="1:25">
      <c r="A491" s="103">
        <f t="shared" si="13"/>
        <v>143</v>
      </c>
      <c r="B491" s="102" t="s">
        <v>2455</v>
      </c>
      <c r="C491" s="102"/>
      <c r="D491" s="103" t="s">
        <v>2449</v>
      </c>
      <c r="E491" s="103"/>
      <c r="F491" s="103" t="s">
        <v>504</v>
      </c>
      <c r="G491" s="156" t="s">
        <v>285</v>
      </c>
      <c r="H491" s="101" t="str">
        <f>VLOOKUP(G491,'01. TH'!$B:$E,3,0)</f>
        <v/>
      </c>
      <c r="I491" s="101" t="s">
        <v>1103</v>
      </c>
      <c r="J491" s="105">
        <v>45669</v>
      </c>
      <c r="K491" s="101" t="str">
        <f>IF(COUNTIF('TT BTSC'!$D:$D,B491)&gt;0,"Hư hỏng","Bình thường")</f>
        <v>Bình thường</v>
      </c>
      <c r="L491" s="107"/>
      <c r="M491" s="182" t="s">
        <v>1146</v>
      </c>
      <c r="N491" s="101" t="s">
        <v>1323</v>
      </c>
      <c r="O491" s="110" t="s">
        <v>2450</v>
      </c>
      <c r="P491" s="101">
        <v>2025</v>
      </c>
      <c r="Q491" s="101" t="s">
        <v>2451</v>
      </c>
      <c r="R491" s="101" t="s">
        <v>2452</v>
      </c>
      <c r="S491" s="110" t="s">
        <v>462</v>
      </c>
      <c r="T491" s="110" t="s">
        <v>462</v>
      </c>
      <c r="U491" s="111"/>
      <c r="V491" s="895"/>
      <c r="W491" s="895"/>
      <c r="X491" s="895"/>
      <c r="Y491" s="895"/>
    </row>
    <row r="492" ht="13.5" customHeight="1" outlineLevel="1" spans="1:25">
      <c r="A492" s="103">
        <f t="shared" si="13"/>
        <v>144</v>
      </c>
      <c r="B492" s="102" t="s">
        <v>2456</v>
      </c>
      <c r="C492" s="102"/>
      <c r="D492" s="103" t="s">
        <v>2449</v>
      </c>
      <c r="E492" s="103"/>
      <c r="F492" s="103" t="s">
        <v>504</v>
      </c>
      <c r="G492" s="156" t="s">
        <v>285</v>
      </c>
      <c r="H492" s="101" t="str">
        <f>VLOOKUP(G492,'01. TH'!$B:$E,3,0)</f>
        <v/>
      </c>
      <c r="I492" s="101" t="s">
        <v>1103</v>
      </c>
      <c r="J492" s="105">
        <v>45669</v>
      </c>
      <c r="K492" s="101" t="str">
        <f>IF(COUNTIF('TT BTSC'!$D:$D,B492)&gt;0,"Hư hỏng","Bình thường")</f>
        <v>Bình thường</v>
      </c>
      <c r="L492" s="107"/>
      <c r="M492" s="182" t="s">
        <v>1146</v>
      </c>
      <c r="N492" s="101" t="s">
        <v>1323</v>
      </c>
      <c r="O492" s="110" t="s">
        <v>2450</v>
      </c>
      <c r="P492" s="101">
        <v>2025</v>
      </c>
      <c r="Q492" s="101" t="s">
        <v>2451</v>
      </c>
      <c r="R492" s="101" t="s">
        <v>2452</v>
      </c>
      <c r="S492" s="110" t="s">
        <v>462</v>
      </c>
      <c r="T492" s="110" t="s">
        <v>462</v>
      </c>
      <c r="U492" s="111"/>
      <c r="V492" s="895"/>
      <c r="W492" s="895"/>
      <c r="X492" s="895"/>
      <c r="Y492" s="895"/>
    </row>
    <row r="493" ht="13.5" customHeight="1" outlineLevel="1" spans="1:25">
      <c r="A493" s="103">
        <f t="shared" si="13"/>
        <v>145</v>
      </c>
      <c r="B493" s="102" t="s">
        <v>2457</v>
      </c>
      <c r="C493" s="102"/>
      <c r="D493" s="103" t="s">
        <v>2458</v>
      </c>
      <c r="E493" s="103"/>
      <c r="F493" s="103" t="s">
        <v>504</v>
      </c>
      <c r="G493" s="102" t="s">
        <v>220</v>
      </c>
      <c r="H493" s="101">
        <f>VLOOKUP(G493,'01. TH'!$B:$E,3,0)</f>
        <v>0</v>
      </c>
      <c r="I493" s="101" t="s">
        <v>1103</v>
      </c>
      <c r="J493" s="101" t="s">
        <v>2459</v>
      </c>
      <c r="K493" s="101" t="str">
        <f>IF(COUNTIF('TT BTSC'!$D:$D,B493)&gt;0,"Hư hỏng","Bình thường")</f>
        <v>Bình thường</v>
      </c>
      <c r="L493" s="107"/>
      <c r="M493" s="182" t="s">
        <v>1146</v>
      </c>
      <c r="N493" s="101" t="s">
        <v>2460</v>
      </c>
      <c r="O493" s="110" t="s">
        <v>1016</v>
      </c>
      <c r="P493" s="101">
        <v>2025</v>
      </c>
      <c r="Q493" s="101" t="s">
        <v>2461</v>
      </c>
      <c r="R493" s="101" t="s">
        <v>2462</v>
      </c>
      <c r="S493" s="110" t="s">
        <v>462</v>
      </c>
      <c r="T493" s="111" t="s">
        <v>2463</v>
      </c>
      <c r="U493" s="111"/>
      <c r="V493" s="895"/>
      <c r="W493" s="895"/>
      <c r="X493" s="895"/>
      <c r="Y493" s="895"/>
    </row>
    <row r="494" ht="13.5" customHeight="1" outlineLevel="1" spans="1:25">
      <c r="A494" s="103"/>
      <c r="B494" s="102"/>
      <c r="C494" s="102"/>
      <c r="D494" s="103"/>
      <c r="E494" s="103"/>
      <c r="F494" s="103"/>
      <c r="G494" s="102"/>
      <c r="H494" s="101" t="e">
        <f>VLOOKUP(G494,'01. TH'!$B:$E,3,0)</f>
        <v>#N/A</v>
      </c>
      <c r="I494" s="101"/>
      <c r="J494" s="105"/>
      <c r="K494" s="101"/>
      <c r="L494" s="107"/>
      <c r="M494" s="182"/>
      <c r="N494" s="101"/>
      <c r="O494" s="110"/>
      <c r="P494" s="101"/>
      <c r="Q494" s="101"/>
      <c r="R494" s="101"/>
      <c r="S494" s="110"/>
      <c r="T494" s="111"/>
      <c r="U494" s="111"/>
      <c r="V494" s="895"/>
      <c r="W494" s="895"/>
      <c r="X494" s="895"/>
      <c r="Y494" s="895"/>
    </row>
    <row r="495" ht="13.5" customHeight="1" outlineLevel="1" spans="1:25">
      <c r="A495" s="103"/>
      <c r="B495" s="102"/>
      <c r="C495" s="102"/>
      <c r="D495" s="103"/>
      <c r="E495" s="103"/>
      <c r="F495" s="103"/>
      <c r="G495" s="102"/>
      <c r="H495" s="101" t="e">
        <f>VLOOKUP(G495,'01. TH'!$B:$E,3,0)</f>
        <v>#N/A</v>
      </c>
      <c r="I495" s="101"/>
      <c r="J495" s="105"/>
      <c r="K495" s="101"/>
      <c r="L495" s="107"/>
      <c r="M495" s="182"/>
      <c r="N495" s="101"/>
      <c r="O495" s="110"/>
      <c r="P495" s="101"/>
      <c r="Q495" s="101"/>
      <c r="R495" s="101"/>
      <c r="S495" s="110"/>
      <c r="T495" s="111"/>
      <c r="U495" s="111"/>
      <c r="V495" s="895"/>
      <c r="W495" s="895"/>
      <c r="X495" s="895"/>
      <c r="Y495" s="895"/>
    </row>
    <row r="496" ht="13.5" customHeight="1" outlineLevel="1" spans="1:25">
      <c r="A496" s="103"/>
      <c r="B496" s="102"/>
      <c r="C496" s="102"/>
      <c r="D496" s="103"/>
      <c r="E496" s="103"/>
      <c r="F496" s="103"/>
      <c r="G496" s="102"/>
      <c r="H496" s="101" t="e">
        <f>VLOOKUP(G496,'01. TH'!$B:$E,3,0)</f>
        <v>#N/A</v>
      </c>
      <c r="I496" s="101"/>
      <c r="J496" s="105"/>
      <c r="K496" s="101"/>
      <c r="L496" s="107"/>
      <c r="M496" s="182"/>
      <c r="N496" s="101"/>
      <c r="O496" s="110"/>
      <c r="P496" s="101"/>
      <c r="Q496" s="101"/>
      <c r="R496" s="101"/>
      <c r="S496" s="110"/>
      <c r="T496" s="111"/>
      <c r="U496" s="111"/>
      <c r="V496" s="895"/>
      <c r="W496" s="895"/>
      <c r="X496" s="895"/>
      <c r="Y496" s="895"/>
    </row>
    <row r="497" ht="13.5" customHeight="1" outlineLevel="1" spans="1:25">
      <c r="A497" s="103"/>
      <c r="B497" s="102"/>
      <c r="C497" s="102" t="s">
        <v>1764</v>
      </c>
      <c r="D497" s="103"/>
      <c r="E497" s="103"/>
      <c r="F497" s="103"/>
      <c r="G497" s="102"/>
      <c r="H497" s="101" t="e">
        <f>VLOOKUP(G497,'01. TH'!$B:$E,3,0)</f>
        <v>#N/A</v>
      </c>
      <c r="I497" s="101"/>
      <c r="J497" s="101"/>
      <c r="K497" s="101"/>
      <c r="L497" s="107"/>
      <c r="M497" s="182"/>
      <c r="N497" s="101"/>
      <c r="O497" s="110"/>
      <c r="P497" s="101"/>
      <c r="Q497" s="101"/>
      <c r="R497" s="101"/>
      <c r="S497" s="110"/>
      <c r="T497" s="111"/>
      <c r="U497" s="111"/>
      <c r="V497" s="192"/>
      <c r="W497" s="192"/>
      <c r="X497" s="192"/>
      <c r="Y497" s="192"/>
    </row>
    <row r="498" ht="13.5" customHeight="1" spans="1:25">
      <c r="A498" s="91" t="s">
        <v>2464</v>
      </c>
      <c r="B498" s="91"/>
      <c r="C498" s="92">
        <f>COUNTA($B$499:$B$520)</f>
        <v>20</v>
      </c>
      <c r="D498" s="91" t="str">
        <f>IFERROR(VLOOKUP(B498,' 02.1 KLH-CN MÃ BRAVO MM'!$B:$C,2,0),"")</f>
        <v/>
      </c>
      <c r="E498" s="92"/>
      <c r="F498" s="92"/>
      <c r="G498" s="92"/>
      <c r="H498" s="91"/>
      <c r="I498" s="91"/>
      <c r="J498" s="93"/>
      <c r="K498" s="91"/>
      <c r="L498" s="92"/>
      <c r="M498" s="91"/>
      <c r="N498" s="92"/>
      <c r="O498" s="91"/>
      <c r="P498" s="91"/>
      <c r="Q498" s="91"/>
      <c r="R498" s="91"/>
      <c r="S498" s="91"/>
      <c r="T498" s="91"/>
      <c r="U498" s="91"/>
      <c r="V498" s="192"/>
      <c r="W498" s="192"/>
      <c r="X498" s="192"/>
      <c r="Y498" s="192"/>
    </row>
    <row r="499" ht="13.5" customHeight="1" outlineLevel="1" spans="1:25">
      <c r="A499" s="101">
        <v>1</v>
      </c>
      <c r="B499" s="102" t="s">
        <v>2465</v>
      </c>
      <c r="C499" s="102" t="s">
        <v>2466</v>
      </c>
      <c r="D499" s="103" t="str">
        <f>IFERROR(VLOOKUP(B499,' 02.1 KLH-CN MÃ BRAVO MM'!$B:$C,2,0),"")</f>
        <v>ATT-A23-0023</v>
      </c>
      <c r="E499" s="103" t="s">
        <v>2467</v>
      </c>
      <c r="F499" s="103" t="s">
        <v>451</v>
      </c>
      <c r="G499" s="102" t="s">
        <v>119</v>
      </c>
      <c r="H499" s="101" t="str">
        <f>VLOOKUP(G499,'01. TH'!$B:$E,3,0)</f>
        <v>9510 x 2450 x 2840</v>
      </c>
      <c r="I499" s="101" t="s">
        <v>31</v>
      </c>
      <c r="J499" s="105">
        <v>43835</v>
      </c>
      <c r="K499" s="101" t="str">
        <f>IF(COUNTIF('TT BTSC'!$D:$D,B499)&gt;0,"Hư hỏng","Bình thường")</f>
        <v>Bình thường</v>
      </c>
      <c r="L499" s="107">
        <v>0.67</v>
      </c>
      <c r="M499" s="182"/>
      <c r="N499" s="101" t="s">
        <v>499</v>
      </c>
      <c r="O499" s="110" t="s">
        <v>500</v>
      </c>
      <c r="P499" s="101">
        <v>2012</v>
      </c>
      <c r="Q499" s="101" t="s">
        <v>2468</v>
      </c>
      <c r="R499" s="101" t="s">
        <v>476</v>
      </c>
      <c r="S499" s="110">
        <v>6005</v>
      </c>
      <c r="T499" s="111">
        <v>495027</v>
      </c>
      <c r="U499" s="169">
        <v>0.3</v>
      </c>
      <c r="V499" s="895">
        <v>260</v>
      </c>
      <c r="W499" s="895"/>
      <c r="X499" s="895"/>
      <c r="Y499" s="895"/>
    </row>
    <row r="500" ht="13.5" customHeight="1" outlineLevel="1" spans="1:25">
      <c r="A500" s="101">
        <f t="shared" ref="A500:A518" si="14">A499+1</f>
        <v>2</v>
      </c>
      <c r="B500" s="102" t="s">
        <v>2469</v>
      </c>
      <c r="C500" s="102" t="s">
        <v>2470</v>
      </c>
      <c r="D500" s="103" t="str">
        <f>IFERROR(VLOOKUP(B500,' 02.1 KLH-CN MÃ BRAVO MM'!$B:$C,2,0),"")</f>
        <v>A23-XTA-013</v>
      </c>
      <c r="E500" s="103" t="s">
        <v>2471</v>
      </c>
      <c r="F500" s="103" t="s">
        <v>451</v>
      </c>
      <c r="G500" s="102" t="s">
        <v>119</v>
      </c>
      <c r="H500" s="101" t="str">
        <f>VLOOKUP(G500,'01. TH'!$B:$E,3,0)</f>
        <v>9510 x 2450 x 2840</v>
      </c>
      <c r="I500" s="101" t="s">
        <v>31</v>
      </c>
      <c r="J500" s="105"/>
      <c r="K500" s="101" t="str">
        <f>IF(COUNTIF('TT BTSC'!$D:$D,B500)&gt;0,"Hư hỏng","Bình thường")</f>
        <v>Bình thường</v>
      </c>
      <c r="L500" s="101"/>
      <c r="M500" s="182"/>
      <c r="N500" s="101" t="s">
        <v>499</v>
      </c>
      <c r="O500" s="110" t="s">
        <v>500</v>
      </c>
      <c r="P500" s="101">
        <v>2012</v>
      </c>
      <c r="Q500" s="101" t="s">
        <v>2468</v>
      </c>
      <c r="R500" s="101" t="s">
        <v>476</v>
      </c>
      <c r="S500" s="110" t="s">
        <v>2472</v>
      </c>
      <c r="T500" s="111" t="s">
        <v>462</v>
      </c>
      <c r="U500" s="169">
        <v>0.3</v>
      </c>
      <c r="V500" s="895">
        <v>260</v>
      </c>
      <c r="W500" s="895"/>
      <c r="X500" s="895"/>
      <c r="Y500" s="895"/>
    </row>
    <row r="501" ht="13.5" customHeight="1" outlineLevel="1" spans="1:25">
      <c r="A501" s="101">
        <f t="shared" si="14"/>
        <v>3</v>
      </c>
      <c r="B501" s="104" t="s">
        <v>2473</v>
      </c>
      <c r="C501" s="104" t="s">
        <v>2474</v>
      </c>
      <c r="D501" s="103" t="str">
        <f>IFERROR(VLOOKUP(B501,' 02.1 KLH-CN MÃ BRAVO MM'!$B:$C,2,0),"")</f>
        <v>ATT-A23-0040</v>
      </c>
      <c r="E501" s="103" t="s">
        <v>2475</v>
      </c>
      <c r="F501" s="103" t="s">
        <v>451</v>
      </c>
      <c r="G501" s="104" t="s">
        <v>119</v>
      </c>
      <c r="H501" s="101" t="str">
        <f>VLOOKUP(G501,'01. TH'!$B:$E,3,0)</f>
        <v>9510 x 2450 x 2840</v>
      </c>
      <c r="I501" s="103" t="s">
        <v>31</v>
      </c>
      <c r="J501" s="112">
        <v>44114</v>
      </c>
      <c r="K501" s="101" t="str">
        <f>IF(COUNTIF('TT BTSC'!$D:$D,B501)&gt;0,"Hư hỏng","Bình thường")</f>
        <v>Bình thường</v>
      </c>
      <c r="L501" s="113">
        <v>0.6</v>
      </c>
      <c r="M501" s="183"/>
      <c r="N501" s="103" t="s">
        <v>499</v>
      </c>
      <c r="O501" s="111" t="s">
        <v>500</v>
      </c>
      <c r="P501" s="103">
        <v>2012</v>
      </c>
      <c r="Q501" s="103" t="s">
        <v>2468</v>
      </c>
      <c r="R501" s="101" t="s">
        <v>476</v>
      </c>
      <c r="S501" s="111" t="s">
        <v>2476</v>
      </c>
      <c r="T501" s="111" t="s">
        <v>462</v>
      </c>
      <c r="U501" s="169">
        <v>0.3</v>
      </c>
      <c r="V501" s="895">
        <v>260</v>
      </c>
      <c r="W501" s="895"/>
      <c r="X501" s="895"/>
      <c r="Y501" s="895"/>
    </row>
    <row r="502" ht="13.5" customHeight="1" outlineLevel="1" spans="1:25">
      <c r="A502" s="101">
        <f t="shared" si="14"/>
        <v>4</v>
      </c>
      <c r="B502" s="102" t="s">
        <v>2477</v>
      </c>
      <c r="C502" s="102" t="s">
        <v>2477</v>
      </c>
      <c r="D502" s="103" t="str">
        <f>IFERROR(VLOOKUP(B502,' 02.1 KLH-CN MÃ BRAVO MM'!$B:$C,2,0),"")</f>
        <v>ATT-A22-0259</v>
      </c>
      <c r="E502" s="103"/>
      <c r="F502" s="103" t="s">
        <v>451</v>
      </c>
      <c r="G502" s="102" t="s">
        <v>122</v>
      </c>
      <c r="H502" s="101" t="str">
        <f>VLOOKUP(G502,'01. TH'!$B:$E,3,0)</f>
        <v>6160 x 2330 x 2750</v>
      </c>
      <c r="I502" s="101" t="s">
        <v>31</v>
      </c>
      <c r="J502" s="105">
        <v>44564</v>
      </c>
      <c r="K502" s="101" t="str">
        <f>IF(COUNTIF('TT BTSC'!$D:$D,B502)&gt;0,"Hư hỏng","Bình thường")</f>
        <v>Bình thường</v>
      </c>
      <c r="L502" s="107">
        <v>0.79</v>
      </c>
      <c r="M502" s="182"/>
      <c r="N502" s="101" t="s">
        <v>621</v>
      </c>
      <c r="O502" s="110" t="s">
        <v>500</v>
      </c>
      <c r="P502" s="101">
        <v>2021</v>
      </c>
      <c r="Q502" s="101" t="s">
        <v>2478</v>
      </c>
      <c r="R502" s="101" t="s">
        <v>85</v>
      </c>
      <c r="S502" s="110" t="s">
        <v>2479</v>
      </c>
      <c r="T502" s="111" t="s">
        <v>2480</v>
      </c>
      <c r="U502" s="169">
        <v>0.3</v>
      </c>
      <c r="V502" s="895">
        <v>150</v>
      </c>
      <c r="W502" s="895"/>
      <c r="X502" s="895"/>
      <c r="Y502" s="895"/>
    </row>
    <row r="503" ht="13.5" customHeight="1" outlineLevel="1" spans="1:25">
      <c r="A503" s="101">
        <f t="shared" si="14"/>
        <v>5</v>
      </c>
      <c r="B503" s="102" t="s">
        <v>2481</v>
      </c>
      <c r="C503" s="102" t="s">
        <v>2481</v>
      </c>
      <c r="D503" s="103" t="str">
        <f>IFERROR(VLOOKUP(B503,' 02.1 KLH-CN MÃ BRAVO MM'!$B:$C,2,0),"")</f>
        <v>ATT-A22-0260</v>
      </c>
      <c r="E503" s="103"/>
      <c r="F503" s="103" t="s">
        <v>451</v>
      </c>
      <c r="G503" s="102" t="s">
        <v>122</v>
      </c>
      <c r="H503" s="101" t="str">
        <f>VLOOKUP(G503,'01. TH'!$B:$E,3,0)</f>
        <v>6160 x 2330 x 2750</v>
      </c>
      <c r="I503" s="101" t="s">
        <v>31</v>
      </c>
      <c r="J503" s="105">
        <v>44564</v>
      </c>
      <c r="K503" s="101" t="str">
        <f>IF(COUNTIF('TT BTSC'!$D:$D,B503)&gt;0,"Hư hỏng","Bình thường")</f>
        <v>Bình thường</v>
      </c>
      <c r="L503" s="107">
        <v>0.79</v>
      </c>
      <c r="M503" s="182"/>
      <c r="N503" s="101" t="s">
        <v>621</v>
      </c>
      <c r="O503" s="110" t="s">
        <v>500</v>
      </c>
      <c r="P503" s="101">
        <v>2021</v>
      </c>
      <c r="Q503" s="101" t="s">
        <v>2478</v>
      </c>
      <c r="R503" s="101" t="s">
        <v>85</v>
      </c>
      <c r="S503" s="110" t="s">
        <v>2482</v>
      </c>
      <c r="T503" s="111" t="s">
        <v>2483</v>
      </c>
      <c r="U503" s="169">
        <v>0.3</v>
      </c>
      <c r="V503" s="895">
        <v>150</v>
      </c>
      <c r="W503" s="895"/>
      <c r="X503" s="895"/>
      <c r="Y503" s="895"/>
    </row>
    <row r="504" ht="13.5" customHeight="1" outlineLevel="1" spans="1:25">
      <c r="A504" s="101">
        <f t="shared" si="14"/>
        <v>6</v>
      </c>
      <c r="B504" s="102" t="s">
        <v>2484</v>
      </c>
      <c r="C504" s="102" t="s">
        <v>2484</v>
      </c>
      <c r="D504" s="103" t="str">
        <f>IFERROR(VLOOKUP(B504,' 02.1 KLH-CN MÃ BRAVO MM'!$B:$C,2,0),"")</f>
        <v>ATT-A22-0261</v>
      </c>
      <c r="E504" s="103"/>
      <c r="F504" s="103" t="s">
        <v>451</v>
      </c>
      <c r="G504" s="102" t="s">
        <v>122</v>
      </c>
      <c r="H504" s="101" t="str">
        <f>VLOOKUP(G504,'01. TH'!$B:$E,3,0)</f>
        <v>6160 x 2330 x 2750</v>
      </c>
      <c r="I504" s="101" t="s">
        <v>31</v>
      </c>
      <c r="J504" s="105">
        <v>44564</v>
      </c>
      <c r="K504" s="101" t="str">
        <f>IF(COUNTIF('TT BTSC'!$D:$D,B504)&gt;0,"Hư hỏng","Bình thường")</f>
        <v>Bình thường</v>
      </c>
      <c r="L504" s="107">
        <v>0.79</v>
      </c>
      <c r="M504" s="182"/>
      <c r="N504" s="101" t="s">
        <v>621</v>
      </c>
      <c r="O504" s="110" t="s">
        <v>500</v>
      </c>
      <c r="P504" s="101">
        <v>2021</v>
      </c>
      <c r="Q504" s="101" t="s">
        <v>2478</v>
      </c>
      <c r="R504" s="101" t="s">
        <v>85</v>
      </c>
      <c r="S504" s="110" t="s">
        <v>2485</v>
      </c>
      <c r="T504" s="111" t="s">
        <v>2486</v>
      </c>
      <c r="U504" s="169">
        <v>0.3</v>
      </c>
      <c r="V504" s="895">
        <v>150</v>
      </c>
      <c r="W504" s="895"/>
      <c r="X504" s="895"/>
      <c r="Y504" s="895"/>
    </row>
    <row r="505" ht="13.5" customHeight="1" outlineLevel="1" spans="1:25">
      <c r="A505" s="101">
        <f t="shared" si="14"/>
        <v>7</v>
      </c>
      <c r="B505" s="102" t="s">
        <v>2487</v>
      </c>
      <c r="C505" s="102" t="s">
        <v>2487</v>
      </c>
      <c r="D505" s="103" t="str">
        <f>IFERROR(VLOOKUP(B505,' 02.1 KLH-CN MÃ BRAVO MM'!$B:$C,2,0),"")</f>
        <v>ATT-A23-0045</v>
      </c>
      <c r="E505" s="103"/>
      <c r="F505" s="103" t="s">
        <v>451</v>
      </c>
      <c r="G505" s="102" t="s">
        <v>122</v>
      </c>
      <c r="H505" s="101" t="str">
        <f>VLOOKUP(G505,'01. TH'!$B:$E,3,0)</f>
        <v>6160 x 2330 x 2750</v>
      </c>
      <c r="I505" s="101" t="s">
        <v>31</v>
      </c>
      <c r="J505" s="105">
        <v>44570</v>
      </c>
      <c r="K505" s="101" t="str">
        <f>IF(COUNTIF('TT BTSC'!$D:$D,B505)&gt;0,"Hư hỏng","Bình thường")</f>
        <v>Bình thường</v>
      </c>
      <c r="L505" s="107">
        <v>0.86</v>
      </c>
      <c r="M505" s="182"/>
      <c r="N505" s="101" t="s">
        <v>621</v>
      </c>
      <c r="O505" s="110" t="s">
        <v>500</v>
      </c>
      <c r="P505" s="101">
        <v>2021</v>
      </c>
      <c r="Q505" s="101" t="s">
        <v>2478</v>
      </c>
      <c r="R505" s="101" t="s">
        <v>85</v>
      </c>
      <c r="S505" s="110">
        <v>49595</v>
      </c>
      <c r="T505" s="111" t="s">
        <v>462</v>
      </c>
      <c r="U505" s="169">
        <v>0.3</v>
      </c>
      <c r="V505" s="895">
        <v>150</v>
      </c>
      <c r="W505" s="895"/>
      <c r="X505" s="895"/>
      <c r="Y505" s="895"/>
    </row>
    <row r="506" ht="13.5" customHeight="1" outlineLevel="1" spans="1:25">
      <c r="A506" s="101">
        <f t="shared" si="14"/>
        <v>8</v>
      </c>
      <c r="B506" s="104" t="s">
        <v>2488</v>
      </c>
      <c r="C506" s="104" t="s">
        <v>2489</v>
      </c>
      <c r="D506" s="103" t="str">
        <f>IFERROR(VLOOKUP(B506,' 02.1 KLH-CN MÃ BRAVO MM'!$B:$C,2,0),"")</f>
        <v>A22-XTA-010</v>
      </c>
      <c r="E506" s="103"/>
      <c r="F506" s="103" t="s">
        <v>451</v>
      </c>
      <c r="G506" s="104" t="s">
        <v>126</v>
      </c>
      <c r="H506" s="101" t="str">
        <f>VLOOKUP(G506,'01. TH'!$B:$E,3,0)</f>
        <v/>
      </c>
      <c r="I506" s="103" t="s">
        <v>31</v>
      </c>
      <c r="J506" s="112"/>
      <c r="K506" s="101" t="str">
        <f>IF(COUNTIF('TT BTSC'!$D:$D,B506)&gt;0,"Hư hỏng","Bình thường")</f>
        <v>Bình thường</v>
      </c>
      <c r="L506" s="103"/>
      <c r="M506" s="183"/>
      <c r="N506" s="103" t="s">
        <v>508</v>
      </c>
      <c r="O506" s="111"/>
      <c r="P506" s="103"/>
      <c r="Q506" s="103" t="s">
        <v>2490</v>
      </c>
      <c r="R506" s="103" t="s">
        <v>2491</v>
      </c>
      <c r="S506" s="111">
        <v>63965</v>
      </c>
      <c r="T506" s="111" t="s">
        <v>462</v>
      </c>
      <c r="U506" s="169">
        <v>0.36</v>
      </c>
      <c r="V506" s="192"/>
      <c r="W506" s="192"/>
      <c r="X506" s="192"/>
      <c r="Y506" s="192"/>
    </row>
    <row r="507" ht="13.5" customHeight="1" outlineLevel="1" spans="1:25">
      <c r="A507" s="101">
        <f t="shared" si="14"/>
        <v>9</v>
      </c>
      <c r="B507" s="102" t="s">
        <v>2492</v>
      </c>
      <c r="C507" s="102" t="s">
        <v>2493</v>
      </c>
      <c r="D507" s="103" t="str">
        <f>IFERROR(VLOOKUP(B507,' 02.1 KLH-CN MÃ BRAVO MM'!$B:$C,2,0),"")</f>
        <v>A22-XTA-011</v>
      </c>
      <c r="E507" s="103"/>
      <c r="F507" s="103" t="s">
        <v>451</v>
      </c>
      <c r="G507" s="104" t="s">
        <v>126</v>
      </c>
      <c r="H507" s="101" t="str">
        <f>VLOOKUP(G507,'01. TH'!$B:$E,3,0)</f>
        <v/>
      </c>
      <c r="I507" s="101" t="s">
        <v>31</v>
      </c>
      <c r="J507" s="105"/>
      <c r="K507" s="101" t="str">
        <f>IF(COUNTIF('TT BTSC'!$D:$D,B507)&gt;0,"Hư hỏng","Bình thường")</f>
        <v>Bình thường</v>
      </c>
      <c r="L507" s="101"/>
      <c r="M507" s="182"/>
      <c r="N507" s="101" t="s">
        <v>508</v>
      </c>
      <c r="O507" s="110"/>
      <c r="P507" s="101"/>
      <c r="Q507" s="103" t="s">
        <v>2490</v>
      </c>
      <c r="R507" s="103" t="s">
        <v>2491</v>
      </c>
      <c r="S507" s="110">
        <v>933513</v>
      </c>
      <c r="T507" s="111" t="s">
        <v>462</v>
      </c>
      <c r="U507" s="169">
        <v>0.36</v>
      </c>
      <c r="V507" s="192"/>
      <c r="W507" s="192"/>
      <c r="X507" s="192"/>
      <c r="Y507" s="192"/>
    </row>
    <row r="508" ht="13.5" customHeight="1" outlineLevel="1" spans="1:25">
      <c r="A508" s="101">
        <f t="shared" si="14"/>
        <v>10</v>
      </c>
      <c r="B508" s="102" t="s">
        <v>2494</v>
      </c>
      <c r="C508" s="102" t="s">
        <v>2494</v>
      </c>
      <c r="D508" s="103" t="str">
        <f>IFERROR(VLOOKUP(B508,' 02.1 KLH-CN MÃ BRAVO MM'!$B:$C,2,0),"")</f>
        <v>ATT-A22-0176</v>
      </c>
      <c r="E508" s="103"/>
      <c r="F508" s="103" t="s">
        <v>451</v>
      </c>
      <c r="G508" s="102" t="s">
        <v>135</v>
      </c>
      <c r="H508" s="101" t="str">
        <f>VLOOKUP(G508,'01. TH'!$B:$E,3,0)</f>
        <v>9290 x 2500 x 3370</v>
      </c>
      <c r="I508" s="101" t="s">
        <v>31</v>
      </c>
      <c r="J508" s="105"/>
      <c r="K508" s="101" t="str">
        <f>IF(COUNTIF('TT BTSC'!$D:$D,B508)&gt;0,"Hư hỏng","Bình thường")</f>
        <v>Bình thường</v>
      </c>
      <c r="L508" s="101"/>
      <c r="M508" s="182"/>
      <c r="N508" s="101" t="s">
        <v>499</v>
      </c>
      <c r="O508" s="110" t="s">
        <v>500</v>
      </c>
      <c r="P508" s="101">
        <v>2018</v>
      </c>
      <c r="Q508" s="101" t="s">
        <v>501</v>
      </c>
      <c r="R508" s="101"/>
      <c r="S508" s="110" t="s">
        <v>2495</v>
      </c>
      <c r="T508" s="111" t="s">
        <v>462</v>
      </c>
      <c r="U508" s="169">
        <v>0.7</v>
      </c>
      <c r="V508" s="895">
        <v>300</v>
      </c>
      <c r="W508" s="895"/>
      <c r="X508" s="895"/>
      <c r="Y508" s="895"/>
    </row>
    <row r="509" ht="13.5" customHeight="1" outlineLevel="1" spans="1:25">
      <c r="A509" s="101">
        <f t="shared" si="14"/>
        <v>11</v>
      </c>
      <c r="B509" s="102" t="s">
        <v>2496</v>
      </c>
      <c r="C509" s="102" t="s">
        <v>2496</v>
      </c>
      <c r="D509" s="103" t="str">
        <f>IFERROR(VLOOKUP(B509,' 02.1 KLH-CN MÃ BRAVO MM'!$B:$C,2,0),"")</f>
        <v>ATT-A22-0176</v>
      </c>
      <c r="E509" s="103"/>
      <c r="F509" s="103" t="s">
        <v>451</v>
      </c>
      <c r="G509" s="102" t="s">
        <v>135</v>
      </c>
      <c r="H509" s="101" t="str">
        <f>VLOOKUP(G509,'01. TH'!$B:$E,3,0)</f>
        <v>9290 x 2500 x 3370</v>
      </c>
      <c r="I509" s="101" t="s">
        <v>31</v>
      </c>
      <c r="J509" s="105">
        <v>44198</v>
      </c>
      <c r="K509" s="101" t="str">
        <f>IF(COUNTIF('TT BTSC'!$D:$D,B509)&gt;0,"Hư hỏng","Bình thường")</f>
        <v>Bình thường</v>
      </c>
      <c r="L509" s="107">
        <v>0.68</v>
      </c>
      <c r="M509" s="182"/>
      <c r="N509" s="101" t="s">
        <v>499</v>
      </c>
      <c r="O509" s="110" t="s">
        <v>500</v>
      </c>
      <c r="P509" s="101">
        <v>2018</v>
      </c>
      <c r="Q509" s="101" t="s">
        <v>501</v>
      </c>
      <c r="R509" s="101" t="s">
        <v>105</v>
      </c>
      <c r="S509" s="110" t="s">
        <v>2497</v>
      </c>
      <c r="T509" s="111" t="s">
        <v>2498</v>
      </c>
      <c r="U509" s="169">
        <v>0.7</v>
      </c>
      <c r="V509" s="895">
        <v>300</v>
      </c>
      <c r="W509" s="895"/>
      <c r="X509" s="895"/>
      <c r="Y509" s="895"/>
    </row>
    <row r="510" ht="13.5" customHeight="1" outlineLevel="1" spans="1:25">
      <c r="A510" s="101">
        <f t="shared" si="14"/>
        <v>12</v>
      </c>
      <c r="B510" s="104" t="s">
        <v>2499</v>
      </c>
      <c r="C510" s="104" t="s">
        <v>2500</v>
      </c>
      <c r="D510" s="103" t="str">
        <f>IFERROR(VLOOKUP(B510,' 02.1 KLH-CN MÃ BRAVO MM'!$B:$C,2,0),"")</f>
        <v>ATT-A23-0024</v>
      </c>
      <c r="E510" s="103" t="s">
        <v>2501</v>
      </c>
      <c r="F510" s="103" t="s">
        <v>451</v>
      </c>
      <c r="G510" s="104" t="s">
        <v>142</v>
      </c>
      <c r="H510" s="101" t="str">
        <f>VLOOKUP(G510,'01. TH'!$B:$E,3,0)</f>
        <v>6170 x 2330 x 2750</v>
      </c>
      <c r="I510" s="103" t="s">
        <v>31</v>
      </c>
      <c r="J510" s="112"/>
      <c r="K510" s="101" t="str">
        <f>IF(COUNTIF('TT BTSC'!$D:$D,B510)&gt;0,"Hư hỏng","Bình thường")</f>
        <v>Bình thường</v>
      </c>
      <c r="L510" s="103"/>
      <c r="M510" s="183"/>
      <c r="N510" s="103" t="s">
        <v>621</v>
      </c>
      <c r="O510" s="111" t="s">
        <v>500</v>
      </c>
      <c r="P510" s="103">
        <v>2020</v>
      </c>
      <c r="Q510" s="101" t="s">
        <v>2502</v>
      </c>
      <c r="R510" s="103" t="s">
        <v>85</v>
      </c>
      <c r="S510" s="111" t="s">
        <v>2503</v>
      </c>
      <c r="T510" s="111" t="s">
        <v>462</v>
      </c>
      <c r="U510" s="169">
        <v>0.36</v>
      </c>
      <c r="V510" s="895">
        <v>150</v>
      </c>
      <c r="W510" s="895"/>
      <c r="X510" s="895"/>
      <c r="Y510" s="895"/>
    </row>
    <row r="511" ht="45.75" customHeight="1" outlineLevel="1" spans="1:25">
      <c r="A511" s="101">
        <f t="shared" si="14"/>
        <v>13</v>
      </c>
      <c r="B511" s="102" t="s">
        <v>2504</v>
      </c>
      <c r="C511" s="104" t="s">
        <v>2505</v>
      </c>
      <c r="D511" s="103" t="str">
        <f>IFERROR(VLOOKUP(C511,' 02.1 KLH-CN MÃ BRAVO MM'!$B:$C,2,0),"")</f>
        <v>A23-XTA-001</v>
      </c>
      <c r="E511" s="103"/>
      <c r="F511" s="103" t="s">
        <v>451</v>
      </c>
      <c r="G511" s="102" t="s">
        <v>135</v>
      </c>
      <c r="H511" s="101" t="str">
        <f>VLOOKUP(G511,'01. TH'!$B:$E,3,0)</f>
        <v>9290 x 2500 x 3370</v>
      </c>
      <c r="I511" s="103" t="s">
        <v>31</v>
      </c>
      <c r="J511" s="112">
        <v>44198</v>
      </c>
      <c r="K511" s="101" t="str">
        <f>IF(COUNTIF('TT BTSC'!$D:$D,B511)&gt;0,"Hư hỏng","Bình thường")</f>
        <v>Bình thường</v>
      </c>
      <c r="L511" s="103"/>
      <c r="M511" s="183" t="s">
        <v>2506</v>
      </c>
      <c r="N511" s="103" t="s">
        <v>499</v>
      </c>
      <c r="O511" s="111" t="s">
        <v>500</v>
      </c>
      <c r="P511" s="103">
        <v>2018</v>
      </c>
      <c r="Q511" s="103" t="s">
        <v>501</v>
      </c>
      <c r="R511" s="103" t="s">
        <v>105</v>
      </c>
      <c r="S511" s="111" t="s">
        <v>2507</v>
      </c>
      <c r="T511" s="111" t="s">
        <v>462</v>
      </c>
      <c r="U511" s="169">
        <v>0.7</v>
      </c>
      <c r="V511" s="895">
        <v>300</v>
      </c>
      <c r="W511" s="895"/>
      <c r="X511" s="895"/>
      <c r="Y511" s="895"/>
    </row>
    <row r="512" ht="62.25" customHeight="1" outlineLevel="1" spans="1:25">
      <c r="A512" s="101">
        <f t="shared" si="14"/>
        <v>14</v>
      </c>
      <c r="B512" s="102" t="s">
        <v>2508</v>
      </c>
      <c r="C512" s="102" t="s">
        <v>2509</v>
      </c>
      <c r="D512" s="101" t="s">
        <v>2510</v>
      </c>
      <c r="E512" s="928"/>
      <c r="F512" s="103" t="s">
        <v>451</v>
      </c>
      <c r="G512" s="102" t="s">
        <v>135</v>
      </c>
      <c r="H512" s="101" t="str">
        <f>VLOOKUP(G512,'01. TH'!$B:$E,3,0)</f>
        <v>9290 x 2500 x 3370</v>
      </c>
      <c r="I512" s="103" t="s">
        <v>31</v>
      </c>
      <c r="J512" s="112">
        <v>44205</v>
      </c>
      <c r="K512" s="101" t="str">
        <f>IF(COUNTIF('TT BTSC'!$D:$D,B512)&gt;0,"Hư hỏng","Bình thường")</f>
        <v>Bình thường</v>
      </c>
      <c r="L512" s="107">
        <v>0.7</v>
      </c>
      <c r="M512" s="183" t="s">
        <v>2511</v>
      </c>
      <c r="N512" s="101" t="s">
        <v>499</v>
      </c>
      <c r="O512" s="102" t="s">
        <v>500</v>
      </c>
      <c r="P512" s="101">
        <v>2018</v>
      </c>
      <c r="Q512" s="101" t="s">
        <v>501</v>
      </c>
      <c r="R512" s="101" t="s">
        <v>105</v>
      </c>
      <c r="S512" s="102" t="s">
        <v>2512</v>
      </c>
      <c r="T512" s="102" t="s">
        <v>2513</v>
      </c>
      <c r="U512" s="169">
        <v>0.7</v>
      </c>
      <c r="V512" s="929">
        <v>300</v>
      </c>
      <c r="W512" s="928"/>
      <c r="X512" s="928"/>
      <c r="Y512" s="928"/>
    </row>
    <row r="513" ht="13.5" customHeight="1" outlineLevel="1" spans="1:25">
      <c r="A513" s="101">
        <f t="shared" si="14"/>
        <v>15</v>
      </c>
      <c r="B513" s="872" t="s">
        <v>2514</v>
      </c>
      <c r="C513" s="872" t="s">
        <v>2515</v>
      </c>
      <c r="D513" s="103" t="str">
        <f>IFERROR(VLOOKUP(B513,' 02.1 KLH-CN MÃ BRAVO MM'!$B:$C,2,0),"")</f>
        <v>A23-COT-001</v>
      </c>
      <c r="E513" s="930"/>
      <c r="F513" s="930" t="s">
        <v>2516</v>
      </c>
      <c r="G513" s="872" t="s">
        <v>154</v>
      </c>
      <c r="H513" s="101" t="str">
        <f>VLOOKUP(G513,'01. TH'!$B:$E,3,0)</f>
        <v/>
      </c>
      <c r="I513" s="168" t="s">
        <v>31</v>
      </c>
      <c r="J513" s="168"/>
      <c r="K513" s="168"/>
      <c r="L513" s="168"/>
      <c r="M513" s="931"/>
      <c r="N513" s="168" t="s">
        <v>2517</v>
      </c>
      <c r="O513" s="167"/>
      <c r="P513" s="168"/>
      <c r="Q513" s="168" t="s">
        <v>2518</v>
      </c>
      <c r="R513" s="168" t="s">
        <v>141</v>
      </c>
      <c r="S513" s="167" t="s">
        <v>2519</v>
      </c>
      <c r="T513" s="169"/>
      <c r="U513" s="169">
        <v>0.49</v>
      </c>
      <c r="V513" s="895">
        <v>300</v>
      </c>
      <c r="W513" s="895"/>
      <c r="X513" s="895"/>
      <c r="Y513" s="895"/>
    </row>
    <row r="514" ht="13.5" customHeight="1" outlineLevel="1" spans="1:25">
      <c r="A514" s="101">
        <f t="shared" si="14"/>
        <v>16</v>
      </c>
      <c r="B514" s="872" t="s">
        <v>2520</v>
      </c>
      <c r="C514" s="872" t="s">
        <v>2521</v>
      </c>
      <c r="D514" s="103" t="str">
        <f>IFERROR(VLOOKUP(B514,' 02.1 KLH-CN MÃ BRAVO MM'!$B:$C,2,0),"")</f>
        <v>A23-COT-002</v>
      </c>
      <c r="E514" s="930"/>
      <c r="F514" s="930" t="s">
        <v>2516</v>
      </c>
      <c r="G514" s="872" t="s">
        <v>154</v>
      </c>
      <c r="H514" s="101" t="str">
        <f>VLOOKUP(G514,'01. TH'!$B:$E,3,0)</f>
        <v/>
      </c>
      <c r="I514" s="168" t="s">
        <v>31</v>
      </c>
      <c r="J514" s="168"/>
      <c r="K514" s="168"/>
      <c r="L514" s="168"/>
      <c r="M514" s="931"/>
      <c r="N514" s="168" t="s">
        <v>2517</v>
      </c>
      <c r="O514" s="167"/>
      <c r="P514" s="168"/>
      <c r="Q514" s="168" t="s">
        <v>2518</v>
      </c>
      <c r="R514" s="168" t="s">
        <v>141</v>
      </c>
      <c r="S514" s="167" t="s">
        <v>2522</v>
      </c>
      <c r="T514" s="169"/>
      <c r="U514" s="169">
        <v>0.49</v>
      </c>
      <c r="V514" s="895">
        <v>300</v>
      </c>
      <c r="W514" s="895"/>
      <c r="X514" s="895"/>
      <c r="Y514" s="895"/>
    </row>
    <row r="515" ht="13.5" customHeight="1" outlineLevel="1" spans="1:25">
      <c r="A515" s="101">
        <f t="shared" si="14"/>
        <v>17</v>
      </c>
      <c r="B515" s="872" t="s">
        <v>2523</v>
      </c>
      <c r="C515" s="872" t="s">
        <v>2524</v>
      </c>
      <c r="D515" s="103" t="str">
        <f>IFERROR(VLOOKUP(B515,' 02.1 KLH-CN MÃ BRAVO MM'!$B:$C,2,0),"")</f>
        <v>A23-COT-003</v>
      </c>
      <c r="E515" s="930"/>
      <c r="F515" s="930" t="s">
        <v>2516</v>
      </c>
      <c r="G515" s="872" t="s">
        <v>154</v>
      </c>
      <c r="H515" s="101" t="str">
        <f>VLOOKUP(G515,'01. TH'!$B:$E,3,0)</f>
        <v/>
      </c>
      <c r="I515" s="168" t="s">
        <v>31</v>
      </c>
      <c r="J515" s="168"/>
      <c r="K515" s="168"/>
      <c r="L515" s="168"/>
      <c r="M515" s="931"/>
      <c r="N515" s="168" t="s">
        <v>2517</v>
      </c>
      <c r="O515" s="167"/>
      <c r="P515" s="168"/>
      <c r="Q515" s="168" t="s">
        <v>2518</v>
      </c>
      <c r="R515" s="168" t="s">
        <v>141</v>
      </c>
      <c r="S515" s="167" t="s">
        <v>2525</v>
      </c>
      <c r="T515" s="169"/>
      <c r="U515" s="169">
        <v>0.49</v>
      </c>
      <c r="V515" s="895">
        <v>300</v>
      </c>
      <c r="W515" s="895"/>
      <c r="X515" s="895"/>
      <c r="Y515" s="895"/>
    </row>
    <row r="516" ht="13.5" customHeight="1" outlineLevel="1" spans="1:25">
      <c r="A516" s="101">
        <f t="shared" si="14"/>
        <v>18</v>
      </c>
      <c r="B516" s="872" t="s">
        <v>2526</v>
      </c>
      <c r="C516" s="872" t="s">
        <v>2527</v>
      </c>
      <c r="D516" s="103" t="str">
        <f>IFERROR(VLOOKUP(B516,' 02.1 KLH-CN MÃ BRAVO MM'!$B:$C,2,0),"")</f>
        <v>A23-COT-004</v>
      </c>
      <c r="E516" s="930"/>
      <c r="F516" s="930" t="s">
        <v>2516</v>
      </c>
      <c r="G516" s="872" t="s">
        <v>154</v>
      </c>
      <c r="H516" s="101" t="str">
        <f>VLOOKUP(G516,'01. TH'!$B:$E,3,0)</f>
        <v/>
      </c>
      <c r="I516" s="168" t="s">
        <v>31</v>
      </c>
      <c r="J516" s="168"/>
      <c r="K516" s="168"/>
      <c r="L516" s="168"/>
      <c r="M516" s="931"/>
      <c r="N516" s="168" t="s">
        <v>2517</v>
      </c>
      <c r="O516" s="167"/>
      <c r="P516" s="168"/>
      <c r="Q516" s="168" t="s">
        <v>2518</v>
      </c>
      <c r="R516" s="168" t="s">
        <v>141</v>
      </c>
      <c r="S516" s="167" t="s">
        <v>2528</v>
      </c>
      <c r="T516" s="169"/>
      <c r="U516" s="169">
        <v>0.49</v>
      </c>
      <c r="V516" s="895">
        <v>300</v>
      </c>
      <c r="W516" s="895"/>
      <c r="X516" s="895"/>
      <c r="Y516" s="895"/>
    </row>
    <row r="517" ht="13.5" customHeight="1" outlineLevel="1" spans="1:25">
      <c r="A517" s="101">
        <f t="shared" si="14"/>
        <v>19</v>
      </c>
      <c r="B517" s="872" t="s">
        <v>2529</v>
      </c>
      <c r="C517" s="872" t="s">
        <v>2530</v>
      </c>
      <c r="D517" s="103" t="str">
        <f>IFERROR(VLOOKUP(B517,' 02.1 KLH-CN MÃ BRAVO MM'!$B:$C,2,0),"")</f>
        <v>A23-COT-005</v>
      </c>
      <c r="E517" s="930"/>
      <c r="F517" s="930" t="s">
        <v>2516</v>
      </c>
      <c r="G517" s="872" t="s">
        <v>154</v>
      </c>
      <c r="H517" s="101" t="str">
        <f>VLOOKUP(G517,'01. TH'!$B:$E,3,0)</f>
        <v/>
      </c>
      <c r="I517" s="168" t="s">
        <v>31</v>
      </c>
      <c r="J517" s="168"/>
      <c r="K517" s="168"/>
      <c r="L517" s="168"/>
      <c r="M517" s="931"/>
      <c r="N517" s="168" t="s">
        <v>2517</v>
      </c>
      <c r="O517" s="167"/>
      <c r="P517" s="168"/>
      <c r="Q517" s="168" t="s">
        <v>2518</v>
      </c>
      <c r="R517" s="168" t="s">
        <v>141</v>
      </c>
      <c r="S517" s="167" t="s">
        <v>2531</v>
      </c>
      <c r="T517" s="169"/>
      <c r="U517" s="169">
        <v>0.49</v>
      </c>
      <c r="V517" s="895">
        <v>300</v>
      </c>
      <c r="W517" s="895"/>
      <c r="X517" s="895"/>
      <c r="Y517" s="895"/>
    </row>
    <row r="518" ht="13.5" customHeight="1" outlineLevel="1" spans="1:25">
      <c r="A518" s="101">
        <f t="shared" si="14"/>
        <v>20</v>
      </c>
      <c r="B518" s="872" t="s">
        <v>2532</v>
      </c>
      <c r="C518" s="871" t="s">
        <v>2533</v>
      </c>
      <c r="D518" s="103" t="str">
        <f>IFERROR(VLOOKUP(B518,' 02.1 KLH-CN MÃ BRAVO MM'!$B:$C,2,0),"")</f>
        <v>A23-COT-006</v>
      </c>
      <c r="E518" s="930"/>
      <c r="F518" s="930" t="s">
        <v>2516</v>
      </c>
      <c r="G518" s="872" t="s">
        <v>154</v>
      </c>
      <c r="H518" s="101" t="str">
        <f>VLOOKUP(G518,'01. TH'!$B:$E,3,0)</f>
        <v/>
      </c>
      <c r="I518" s="168" t="s">
        <v>31</v>
      </c>
      <c r="J518" s="168"/>
      <c r="K518" s="168"/>
      <c r="L518" s="168"/>
      <c r="M518" s="931"/>
      <c r="N518" s="168" t="s">
        <v>2517</v>
      </c>
      <c r="O518" s="167"/>
      <c r="P518" s="168"/>
      <c r="Q518" s="168" t="s">
        <v>2518</v>
      </c>
      <c r="R518" s="168" t="s">
        <v>141</v>
      </c>
      <c r="S518" s="167" t="s">
        <v>2534</v>
      </c>
      <c r="T518" s="169" t="s">
        <v>2535</v>
      </c>
      <c r="U518" s="169">
        <v>0.49</v>
      </c>
      <c r="V518" s="895">
        <v>300</v>
      </c>
      <c r="W518" s="895"/>
      <c r="X518" s="895"/>
      <c r="Y518" s="895"/>
    </row>
    <row r="519" ht="13.8" outlineLevel="1" spans="1:25">
      <c r="A519" s="21"/>
      <c r="B519" s="21"/>
      <c r="C519" s="21"/>
      <c r="D519" s="21"/>
      <c r="E519" s="21"/>
      <c r="F519" s="218"/>
      <c r="G519" s="21"/>
      <c r="H519" s="101" t="e">
        <f>VLOOKUP(G519,'01. TH'!$B:$E,3,0)</f>
        <v>#N/A</v>
      </c>
      <c r="I519" s="21"/>
      <c r="J519" s="21"/>
      <c r="K519" s="21"/>
      <c r="L519" s="21"/>
      <c r="M519" s="21"/>
      <c r="N519" s="218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</row>
    <row r="520" ht="13.8" outlineLevel="1" spans="1:25">
      <c r="A520" s="21"/>
      <c r="B520" s="21"/>
      <c r="C520" s="21" t="s">
        <v>2536</v>
      </c>
      <c r="D520" s="21"/>
      <c r="E520" s="21"/>
      <c r="F520" s="218"/>
      <c r="G520" s="21"/>
      <c r="H520" s="101" t="e">
        <f>VLOOKUP(G520,'01. TH'!$B:$E,3,0)</f>
        <v>#N/A</v>
      </c>
      <c r="I520" s="21"/>
      <c r="J520" s="21"/>
      <c r="K520" s="21"/>
      <c r="L520" s="21"/>
      <c r="M520" s="21"/>
      <c r="N520" s="218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</row>
    <row r="521" ht="13.5" customHeight="1" spans="1:25">
      <c r="A521" s="91" t="s">
        <v>2537</v>
      </c>
      <c r="B521" s="91"/>
      <c r="C521" s="92">
        <f>COUNTA($B$522:$B$534)</f>
        <v>12</v>
      </c>
      <c r="D521" s="91" t="str">
        <f>IFERROR(VLOOKUP(B521,' 02.1 KLH-CN MÃ BRAVO MM'!$B:$C,2,0),"")</f>
        <v/>
      </c>
      <c r="E521" s="92"/>
      <c r="F521" s="92"/>
      <c r="G521" s="92"/>
      <c r="H521" s="91"/>
      <c r="I521" s="91"/>
      <c r="J521" s="93"/>
      <c r="K521" s="91"/>
      <c r="L521" s="92"/>
      <c r="M521" s="91"/>
      <c r="N521" s="92"/>
      <c r="O521" s="91"/>
      <c r="P521" s="91"/>
      <c r="Q521" s="91"/>
      <c r="R521" s="91"/>
      <c r="S521" s="91"/>
      <c r="T521" s="91"/>
      <c r="U521" s="91"/>
      <c r="V521" s="192"/>
      <c r="W521" s="192"/>
      <c r="X521" s="192"/>
      <c r="Y521" s="192"/>
    </row>
    <row r="522" ht="13.5" customHeight="1" outlineLevel="1" spans="1:25">
      <c r="A522" s="101">
        <v>1</v>
      </c>
      <c r="B522" s="102" t="str">
        <f t="shared" ref="B522:B525" si="15">C522</f>
        <v>TBT-XTB-001</v>
      </c>
      <c r="C522" s="102" t="s">
        <v>2538</v>
      </c>
      <c r="D522" s="103" t="str">
        <f>IFERROR(VLOOKUP(B522,' 02.1 KLH-CN MÃ BRAVO MM'!$B:$C,2,0),"")</f>
        <v>ATT-A22-0159</v>
      </c>
      <c r="E522" s="103"/>
      <c r="F522" s="103" t="s">
        <v>451</v>
      </c>
      <c r="G522" s="102" t="s">
        <v>140</v>
      </c>
      <c r="H522" s="101" t="str">
        <f>VLOOKUP(G522,'01. TH'!$B:$E,3,0)</f>
        <v>8310 x 2495 x 3600</v>
      </c>
      <c r="I522" s="101" t="s">
        <v>32</v>
      </c>
      <c r="J522" s="105">
        <v>44197</v>
      </c>
      <c r="K522" s="101" t="str">
        <f>IF(COUNTIF('TT BTSC'!$D:$D,B522)&gt;0,"Hư hỏng","Bình thường")</f>
        <v>Bình thường</v>
      </c>
      <c r="L522" s="107">
        <v>0.67</v>
      </c>
      <c r="M522" s="182"/>
      <c r="N522" s="101" t="s">
        <v>1267</v>
      </c>
      <c r="O522" s="110" t="s">
        <v>465</v>
      </c>
      <c r="P522" s="101">
        <v>2017</v>
      </c>
      <c r="Q522" s="101" t="s">
        <v>2539</v>
      </c>
      <c r="R522" s="101" t="s">
        <v>141</v>
      </c>
      <c r="S522" s="110" t="s">
        <v>2540</v>
      </c>
      <c r="T522" s="111" t="s">
        <v>2541</v>
      </c>
      <c r="U522" s="111">
        <v>0.7</v>
      </c>
      <c r="V522" s="895">
        <v>400</v>
      </c>
      <c r="W522" s="895"/>
      <c r="X522" s="895"/>
      <c r="Y522" s="895"/>
    </row>
    <row r="523" ht="13.5" customHeight="1" outlineLevel="1" spans="1:25">
      <c r="A523" s="101">
        <v>2</v>
      </c>
      <c r="B523" s="102" t="str">
        <f t="shared" si="15"/>
        <v>TBT-XTB-002</v>
      </c>
      <c r="C523" s="102" t="s">
        <v>2542</v>
      </c>
      <c r="D523" s="103" t="str">
        <f>IFERROR(VLOOKUP(B523,' 02.1 KLH-CN MÃ BRAVO MM'!$B:$C,2,0),"")</f>
        <v>ATT-A22-0160</v>
      </c>
      <c r="E523" s="103"/>
      <c r="F523" s="103" t="s">
        <v>451</v>
      </c>
      <c r="G523" s="102" t="s">
        <v>140</v>
      </c>
      <c r="H523" s="101" t="str">
        <f>VLOOKUP(G523,'01. TH'!$B:$E,3,0)</f>
        <v>8310 x 2495 x 3600</v>
      </c>
      <c r="I523" s="101" t="s">
        <v>32</v>
      </c>
      <c r="J523" s="105">
        <v>44197</v>
      </c>
      <c r="K523" s="101" t="str">
        <f>IF(COUNTIF('TT BTSC'!$D:$D,B523)&gt;0,"Hư hỏng","Bình thường")</f>
        <v>Bình thường</v>
      </c>
      <c r="L523" s="107">
        <v>0.67</v>
      </c>
      <c r="M523" s="182"/>
      <c r="N523" s="101" t="s">
        <v>1267</v>
      </c>
      <c r="O523" s="110" t="s">
        <v>465</v>
      </c>
      <c r="P523" s="101">
        <v>2017</v>
      </c>
      <c r="Q523" s="101" t="s">
        <v>2539</v>
      </c>
      <c r="R523" s="101" t="s">
        <v>141</v>
      </c>
      <c r="S523" s="110" t="s">
        <v>2543</v>
      </c>
      <c r="T523" s="111" t="s">
        <v>2544</v>
      </c>
      <c r="U523" s="111">
        <v>0.7</v>
      </c>
      <c r="V523" s="895">
        <v>400</v>
      </c>
      <c r="W523" s="895"/>
      <c r="X523" s="895"/>
      <c r="Y523" s="895"/>
    </row>
    <row r="524" ht="13.5" customHeight="1" outlineLevel="1" spans="1:25">
      <c r="A524" s="101">
        <v>3</v>
      </c>
      <c r="B524" s="102" t="str">
        <f t="shared" si="15"/>
        <v>TBT-XTB-003</v>
      </c>
      <c r="C524" s="102" t="s">
        <v>2545</v>
      </c>
      <c r="D524" s="103" t="str">
        <f>IFERROR(VLOOKUP(B524,' 02.1 KLH-CN MÃ BRAVO MM'!$B:$C,2,0),"")</f>
        <v>ATT-A22-0161</v>
      </c>
      <c r="E524" s="103"/>
      <c r="F524" s="103" t="s">
        <v>451</v>
      </c>
      <c r="G524" s="102" t="s">
        <v>140</v>
      </c>
      <c r="H524" s="101" t="str">
        <f>VLOOKUP(G524,'01. TH'!$B:$E,3,0)</f>
        <v>8310 x 2495 x 3600</v>
      </c>
      <c r="I524" s="101" t="s">
        <v>32</v>
      </c>
      <c r="J524" s="105">
        <v>44197</v>
      </c>
      <c r="K524" s="101" t="str">
        <f>IF(COUNTIF('TT BTSC'!$D:$D,B524)&gt;0,"Hư hỏng","Bình thường")</f>
        <v>Bình thường</v>
      </c>
      <c r="L524" s="107">
        <v>0.67</v>
      </c>
      <c r="M524" s="182"/>
      <c r="N524" s="101" t="s">
        <v>1267</v>
      </c>
      <c r="O524" s="110" t="s">
        <v>465</v>
      </c>
      <c r="P524" s="101">
        <v>2017</v>
      </c>
      <c r="Q524" s="101" t="s">
        <v>2539</v>
      </c>
      <c r="R524" s="101" t="s">
        <v>141</v>
      </c>
      <c r="S524" s="110" t="s">
        <v>2546</v>
      </c>
      <c r="T524" s="111" t="s">
        <v>2547</v>
      </c>
      <c r="U524" s="111">
        <v>0.7</v>
      </c>
      <c r="V524" s="895">
        <v>400</v>
      </c>
      <c r="W524" s="895"/>
      <c r="X524" s="895"/>
      <c r="Y524" s="895"/>
    </row>
    <row r="525" ht="13.5" customHeight="1" outlineLevel="1" spans="1:25">
      <c r="A525" s="103">
        <v>4</v>
      </c>
      <c r="B525" s="104" t="str">
        <f t="shared" si="15"/>
        <v>TBT-XTB-004</v>
      </c>
      <c r="C525" s="104" t="s">
        <v>2548</v>
      </c>
      <c r="D525" s="103" t="str">
        <f>IFERROR(VLOOKUP(B525,' 02.1 KLH-CN MÃ BRAVO MM'!$B:$C,2,0),"")</f>
        <v>ATT-A22-0162</v>
      </c>
      <c r="E525" s="103"/>
      <c r="F525" s="103" t="s">
        <v>451</v>
      </c>
      <c r="G525" s="104" t="s">
        <v>138</v>
      </c>
      <c r="H525" s="101" t="str">
        <f>VLOOKUP(G525,'01. TH'!$B:$E,3,0)</f>
        <v>9830 x 2530 x 4000</v>
      </c>
      <c r="I525" s="103" t="s">
        <v>32</v>
      </c>
      <c r="J525" s="112">
        <v>44197</v>
      </c>
      <c r="K525" s="101" t="str">
        <f>IF(COUNTIF('TT BTSC'!$D:$D,B525)&gt;0,"Hư hỏng","Bình thường")</f>
        <v>Bình thường</v>
      </c>
      <c r="L525" s="107">
        <v>0.68</v>
      </c>
      <c r="M525" s="183"/>
      <c r="N525" s="103" t="s">
        <v>2549</v>
      </c>
      <c r="O525" s="111" t="s">
        <v>1140</v>
      </c>
      <c r="P525" s="103">
        <v>2018</v>
      </c>
      <c r="Q525" s="103" t="s">
        <v>2550</v>
      </c>
      <c r="R525" s="103" t="s">
        <v>139</v>
      </c>
      <c r="S525" s="111" t="s">
        <v>2551</v>
      </c>
      <c r="T525" s="111" t="s">
        <v>2552</v>
      </c>
      <c r="U525" s="111">
        <v>0.7</v>
      </c>
      <c r="V525" s="895">
        <v>0</v>
      </c>
      <c r="W525" s="895"/>
      <c r="X525" s="895"/>
      <c r="Y525" s="895"/>
    </row>
    <row r="526" ht="13.5" customHeight="1" outlineLevel="1" spans="1:25">
      <c r="A526" s="101">
        <v>5</v>
      </c>
      <c r="B526" s="102" t="s">
        <v>2553</v>
      </c>
      <c r="C526" s="102"/>
      <c r="D526" s="103" t="str">
        <f>IFERROR(VLOOKUP(B526,' 02.1 KLH-CN MÃ BRAVO MM'!$B:$C,2,0),"")</f>
        <v>ATT-A22-0311</v>
      </c>
      <c r="E526" s="101" t="s">
        <v>2554</v>
      </c>
      <c r="F526" s="103" t="s">
        <v>504</v>
      </c>
      <c r="G526" s="102" t="s">
        <v>136</v>
      </c>
      <c r="H526" s="101" t="str">
        <f>VLOOKUP(G526,'01. TH'!$B:$E,3,0)</f>
        <v>9270 x 2500 x 3860</v>
      </c>
      <c r="I526" s="101" t="s">
        <v>32</v>
      </c>
      <c r="J526" s="105" t="s">
        <v>2555</v>
      </c>
      <c r="K526" s="101" t="str">
        <f>IF(COUNTIF('TT BTSC'!$D:$D,B526)&gt;0,"Hư hỏng","Bình thường")</f>
        <v>Bình thường</v>
      </c>
      <c r="L526" s="107">
        <v>0.98</v>
      </c>
      <c r="M526" s="182"/>
      <c r="N526" s="101" t="s">
        <v>2556</v>
      </c>
      <c r="O526" s="110" t="s">
        <v>1140</v>
      </c>
      <c r="P526" s="101">
        <v>2023</v>
      </c>
      <c r="Q526" s="101" t="s">
        <v>2557</v>
      </c>
      <c r="R526" s="101" t="s">
        <v>2558</v>
      </c>
      <c r="S526" s="110" t="s">
        <v>2559</v>
      </c>
      <c r="T526" s="111" t="s">
        <v>2560</v>
      </c>
      <c r="U526" s="169">
        <v>0.7</v>
      </c>
      <c r="V526" s="895">
        <v>400</v>
      </c>
      <c r="W526" s="895"/>
      <c r="X526" s="895"/>
      <c r="Y526" s="895"/>
    </row>
    <row r="527" ht="13.5" customHeight="1" outlineLevel="1" spans="1:25">
      <c r="A527" s="101">
        <v>6</v>
      </c>
      <c r="B527" s="102" t="s">
        <v>2561</v>
      </c>
      <c r="C527" s="102"/>
      <c r="D527" s="103" t="str">
        <f>IFERROR(VLOOKUP(B527,' 02.1 KLH-CN MÃ BRAVO MM'!$B:$C,2,0),"")</f>
        <v>ATT-A22-0306</v>
      </c>
      <c r="E527" s="101" t="s">
        <v>2562</v>
      </c>
      <c r="F527" s="103" t="s">
        <v>504</v>
      </c>
      <c r="G527" s="102" t="s">
        <v>136</v>
      </c>
      <c r="H527" s="101" t="str">
        <f>VLOOKUP(G527,'01. TH'!$B:$E,3,0)</f>
        <v>9270 x 2500 x 3860</v>
      </c>
      <c r="I527" s="101" t="s">
        <v>32</v>
      </c>
      <c r="J527" s="105">
        <v>45150</v>
      </c>
      <c r="K527" s="101" t="str">
        <f>IF(COUNTIF('TT BTSC'!$D:$D,B527)&gt;0,"Hư hỏng","Bình thường")</f>
        <v>Bình thường</v>
      </c>
      <c r="L527" s="107">
        <v>0.98</v>
      </c>
      <c r="M527" s="182"/>
      <c r="N527" s="101" t="s">
        <v>2556</v>
      </c>
      <c r="O527" s="110" t="s">
        <v>1140</v>
      </c>
      <c r="P527" s="101">
        <v>2023</v>
      </c>
      <c r="Q527" s="101" t="s">
        <v>2557</v>
      </c>
      <c r="R527" s="101" t="s">
        <v>2558</v>
      </c>
      <c r="S527" s="110" t="s">
        <v>2563</v>
      </c>
      <c r="T527" s="111" t="s">
        <v>2564</v>
      </c>
      <c r="U527" s="169">
        <v>0.7</v>
      </c>
      <c r="V527" s="895">
        <v>400</v>
      </c>
      <c r="W527" s="895"/>
      <c r="X527" s="895"/>
      <c r="Y527" s="895"/>
    </row>
    <row r="528" ht="13.5" customHeight="1" outlineLevel="1" spans="1:25">
      <c r="A528" s="101">
        <v>7</v>
      </c>
      <c r="B528" s="102" t="s">
        <v>2565</v>
      </c>
      <c r="C528" s="102"/>
      <c r="D528" s="103" t="str">
        <f>IFERROR(VLOOKUP(B528,' 02.1 KLH-CN MÃ BRAVO MM'!$B:$C,2,0),"")</f>
        <v>ATT-A22-0307</v>
      </c>
      <c r="E528" s="101" t="s">
        <v>2566</v>
      </c>
      <c r="F528" s="103" t="s">
        <v>504</v>
      </c>
      <c r="G528" s="102" t="s">
        <v>136</v>
      </c>
      <c r="H528" s="101" t="str">
        <f>VLOOKUP(G528,'01. TH'!$B:$E,3,0)</f>
        <v>9270 x 2500 x 3860</v>
      </c>
      <c r="I528" s="101" t="s">
        <v>32</v>
      </c>
      <c r="J528" s="105">
        <v>45150</v>
      </c>
      <c r="K528" s="101" t="str">
        <f>IF(COUNTIF('TT BTSC'!$D:$D,B528)&gt;0,"Hư hỏng","Bình thường")</f>
        <v>Bình thường</v>
      </c>
      <c r="L528" s="107">
        <v>0.98</v>
      </c>
      <c r="M528" s="182"/>
      <c r="N528" s="101" t="s">
        <v>2556</v>
      </c>
      <c r="O528" s="110" t="s">
        <v>1140</v>
      </c>
      <c r="P528" s="101">
        <v>2023</v>
      </c>
      <c r="Q528" s="101" t="s">
        <v>2557</v>
      </c>
      <c r="R528" s="101" t="s">
        <v>2558</v>
      </c>
      <c r="S528" s="110" t="s">
        <v>2567</v>
      </c>
      <c r="T528" s="111" t="s">
        <v>2568</v>
      </c>
      <c r="U528" s="169">
        <v>0.7</v>
      </c>
      <c r="V528" s="895">
        <v>400</v>
      </c>
      <c r="W528" s="895"/>
      <c r="X528" s="895"/>
      <c r="Y528" s="895"/>
    </row>
    <row r="529" ht="13.5" customHeight="1" outlineLevel="1" spans="1:25">
      <c r="A529" s="101">
        <v>8</v>
      </c>
      <c r="B529" s="102" t="s">
        <v>2569</v>
      </c>
      <c r="C529" s="102"/>
      <c r="D529" s="103" t="str">
        <f>IFERROR(VLOOKUP(B529,' 02.1 KLH-CN MÃ BRAVO MM'!$B:$C,2,0),"")</f>
        <v>ATT-A22-0308</v>
      </c>
      <c r="E529" s="101" t="s">
        <v>2570</v>
      </c>
      <c r="F529" s="103" t="s">
        <v>504</v>
      </c>
      <c r="G529" s="102" t="s">
        <v>136</v>
      </c>
      <c r="H529" s="101" t="str">
        <f>VLOOKUP(G529,'01. TH'!$B:$E,3,0)</f>
        <v>9270 x 2500 x 3860</v>
      </c>
      <c r="I529" s="101" t="s">
        <v>32</v>
      </c>
      <c r="J529" s="105">
        <v>45150</v>
      </c>
      <c r="K529" s="101" t="str">
        <f>IF(COUNTIF('TT BTSC'!$D:$D,B529)&gt;0,"Hư hỏng","Bình thường")</f>
        <v>Bình thường</v>
      </c>
      <c r="L529" s="107">
        <v>0.98</v>
      </c>
      <c r="M529" s="182"/>
      <c r="N529" s="101" t="s">
        <v>2556</v>
      </c>
      <c r="O529" s="110" t="s">
        <v>1140</v>
      </c>
      <c r="P529" s="101">
        <v>2023</v>
      </c>
      <c r="Q529" s="101" t="s">
        <v>2557</v>
      </c>
      <c r="R529" s="101" t="s">
        <v>2558</v>
      </c>
      <c r="S529" s="110" t="s">
        <v>2571</v>
      </c>
      <c r="T529" s="111" t="s">
        <v>2572</v>
      </c>
      <c r="U529" s="169">
        <v>0.7</v>
      </c>
      <c r="V529" s="895">
        <v>400</v>
      </c>
      <c r="W529" s="895"/>
      <c r="X529" s="895"/>
      <c r="Y529" s="895"/>
    </row>
    <row r="530" ht="13.5" customHeight="1" outlineLevel="1" spans="1:25">
      <c r="A530" s="101">
        <v>9</v>
      </c>
      <c r="B530" s="102" t="s">
        <v>2573</v>
      </c>
      <c r="C530" s="102"/>
      <c r="D530" s="103" t="str">
        <f>IFERROR(VLOOKUP(B530,' 02.1 KLH-CN MÃ BRAVO MM'!$B:$C,2,0),"")</f>
        <v>ATT-A22-0309</v>
      </c>
      <c r="E530" s="101" t="s">
        <v>2574</v>
      </c>
      <c r="F530" s="103" t="s">
        <v>504</v>
      </c>
      <c r="G530" s="102" t="s">
        <v>136</v>
      </c>
      <c r="H530" s="101" t="str">
        <f>VLOOKUP(G530,'01. TH'!$B:$E,3,0)</f>
        <v>9270 x 2500 x 3860</v>
      </c>
      <c r="I530" s="101" t="s">
        <v>32</v>
      </c>
      <c r="J530" s="105">
        <v>45150</v>
      </c>
      <c r="K530" s="101" t="str">
        <f>IF(COUNTIF('TT BTSC'!$D:$D,B530)&gt;0,"Hư hỏng","Bình thường")</f>
        <v>Bình thường</v>
      </c>
      <c r="L530" s="107">
        <v>0.98</v>
      </c>
      <c r="M530" s="182"/>
      <c r="N530" s="101" t="s">
        <v>2556</v>
      </c>
      <c r="O530" s="110" t="s">
        <v>1140</v>
      </c>
      <c r="P530" s="101">
        <v>2023</v>
      </c>
      <c r="Q530" s="101" t="s">
        <v>2557</v>
      </c>
      <c r="R530" s="101" t="s">
        <v>2558</v>
      </c>
      <c r="S530" s="110" t="s">
        <v>2575</v>
      </c>
      <c r="T530" s="111" t="s">
        <v>2576</v>
      </c>
      <c r="U530" s="169">
        <v>0.7</v>
      </c>
      <c r="V530" s="895">
        <v>400</v>
      </c>
      <c r="W530" s="895"/>
      <c r="X530" s="895"/>
      <c r="Y530" s="895"/>
    </row>
    <row r="531" ht="13.5" customHeight="1" outlineLevel="1" spans="1:25">
      <c r="A531" s="101">
        <v>10</v>
      </c>
      <c r="B531" s="102" t="s">
        <v>2577</v>
      </c>
      <c r="C531" s="102"/>
      <c r="D531" s="103" t="str">
        <f>IFERROR(VLOOKUP(B531,' 02.1 KLH-CN MÃ BRAVO MM'!$B:$C,2,0),"")</f>
        <v>ATT-A22-0310</v>
      </c>
      <c r="E531" s="101" t="s">
        <v>2578</v>
      </c>
      <c r="F531" s="103" t="s">
        <v>504</v>
      </c>
      <c r="G531" s="102" t="s">
        <v>136</v>
      </c>
      <c r="H531" s="101" t="str">
        <f>VLOOKUP(G531,'01. TH'!$B:$E,3,0)</f>
        <v>9270 x 2500 x 3860</v>
      </c>
      <c r="I531" s="101" t="s">
        <v>32</v>
      </c>
      <c r="J531" s="105">
        <v>45150</v>
      </c>
      <c r="K531" s="101" t="str">
        <f>IF(COUNTIF('TT BTSC'!$D:$D,B531)&gt;0,"Hư hỏng","Bình thường")</f>
        <v>Bình thường</v>
      </c>
      <c r="L531" s="107">
        <v>0.98</v>
      </c>
      <c r="M531" s="182"/>
      <c r="N531" s="101" t="s">
        <v>2556</v>
      </c>
      <c r="O531" s="110" t="s">
        <v>1140</v>
      </c>
      <c r="P531" s="101">
        <v>2023</v>
      </c>
      <c r="Q531" s="101" t="s">
        <v>2557</v>
      </c>
      <c r="R531" s="101" t="s">
        <v>2558</v>
      </c>
      <c r="S531" s="110" t="s">
        <v>2579</v>
      </c>
      <c r="T531" s="111" t="s">
        <v>2580</v>
      </c>
      <c r="U531" s="169">
        <v>0.7</v>
      </c>
      <c r="V531" s="895">
        <v>400</v>
      </c>
      <c r="W531" s="895"/>
      <c r="X531" s="895"/>
      <c r="Y531" s="895"/>
    </row>
    <row r="532" ht="13.5" customHeight="1" outlineLevel="1" spans="1:25">
      <c r="A532" s="101">
        <v>11</v>
      </c>
      <c r="B532" s="102" t="s">
        <v>2581</v>
      </c>
      <c r="C532" s="102" t="s">
        <v>2581</v>
      </c>
      <c r="D532" s="103" t="str">
        <f>IFERROR(VLOOKUP(B532,' 02.1 KLH-CN MÃ BRAVO MM'!$B:$C,2,0),"")</f>
        <v>ATT-A22-0158</v>
      </c>
      <c r="E532" s="103"/>
      <c r="F532" s="103" t="s">
        <v>451</v>
      </c>
      <c r="G532" s="102" t="s">
        <v>96</v>
      </c>
      <c r="H532" s="101" t="str">
        <f>VLOOKUP(G532,'01. TH'!$B:$E,3,0)</f>
        <v>6895 x 2470 x 3180</v>
      </c>
      <c r="I532" s="101" t="s">
        <v>32</v>
      </c>
      <c r="J532" s="105">
        <v>44197</v>
      </c>
      <c r="K532" s="101" t="str">
        <f>IF(COUNTIF('TT BTSC'!$D:$D,B532)&gt;0,"Hư hỏng","Bình thường")</f>
        <v>Bình thường</v>
      </c>
      <c r="L532" s="107">
        <v>0.68</v>
      </c>
      <c r="M532" s="182"/>
      <c r="N532" s="101" t="s">
        <v>480</v>
      </c>
      <c r="O532" s="110" t="s">
        <v>453</v>
      </c>
      <c r="P532" s="101">
        <v>1994</v>
      </c>
      <c r="Q532" s="101" t="s">
        <v>2582</v>
      </c>
      <c r="R532" s="101" t="s">
        <v>2062</v>
      </c>
      <c r="S532" s="110" t="s">
        <v>2583</v>
      </c>
      <c r="T532" s="111" t="s">
        <v>2584</v>
      </c>
      <c r="U532" s="111">
        <v>8.31</v>
      </c>
      <c r="V532" s="895">
        <v>175</v>
      </c>
      <c r="W532" s="895"/>
      <c r="X532" s="895"/>
      <c r="Y532" s="895"/>
    </row>
    <row r="533" ht="13.5" customHeight="1" outlineLevel="1" spans="1:25">
      <c r="A533" s="101">
        <v>12</v>
      </c>
      <c r="B533" s="102" t="s">
        <v>2585</v>
      </c>
      <c r="C533" s="102"/>
      <c r="D533" s="103" t="str">
        <f>IFERROR(VLOOKUP(B533,' 02.1 KLH-CN MÃ BRAVO MM'!$B:$C,2,0),"")</f>
        <v>ATT-A22-0323</v>
      </c>
      <c r="E533" s="103"/>
      <c r="F533" s="103" t="s">
        <v>451</v>
      </c>
      <c r="G533" s="102" t="s">
        <v>2586</v>
      </c>
      <c r="H533" s="101" t="e">
        <f>VLOOKUP(G533,'01. TH'!$B:$E,3,0)</f>
        <v>#N/A</v>
      </c>
      <c r="I533" s="101" t="s">
        <v>32</v>
      </c>
      <c r="J533" s="101" t="s">
        <v>2587</v>
      </c>
      <c r="K533" s="101" t="str">
        <f>IF(COUNTIF('TT BTSC'!$D:$D,B533)&gt;0,"Hư hỏng","Bình thường")</f>
        <v>Bình thường</v>
      </c>
      <c r="L533" s="107">
        <v>0.97</v>
      </c>
      <c r="M533" s="182"/>
      <c r="N533" s="101" t="s">
        <v>480</v>
      </c>
      <c r="O533" s="110" t="s">
        <v>555</v>
      </c>
      <c r="P533" s="101">
        <v>2021</v>
      </c>
      <c r="Q533" s="101" t="s">
        <v>2582</v>
      </c>
      <c r="R533" s="101" t="s">
        <v>97</v>
      </c>
      <c r="S533" s="110" t="s">
        <v>2588</v>
      </c>
      <c r="T533" s="111" t="s">
        <v>2589</v>
      </c>
      <c r="U533" s="111">
        <v>9</v>
      </c>
      <c r="V533" s="895">
        <v>175</v>
      </c>
      <c r="W533" s="895"/>
      <c r="X533" s="895"/>
      <c r="Y533" s="895"/>
    </row>
    <row r="534" ht="13.5" customHeight="1" outlineLevel="1" spans="1:25">
      <c r="A534" s="101"/>
      <c r="B534" s="102"/>
      <c r="C534" s="102" t="s">
        <v>2590</v>
      </c>
      <c r="D534" s="103"/>
      <c r="E534" s="103"/>
      <c r="F534" s="103"/>
      <c r="G534" s="102"/>
      <c r="H534" s="101" t="e">
        <f>VLOOKUP(G534,'01. TH'!$B:$E,3,0)</f>
        <v>#N/A</v>
      </c>
      <c r="I534" s="101"/>
      <c r="J534" s="101"/>
      <c r="K534" s="101" t="str">
        <f>IF(COUNTIF('TT BTSC'!$D:$D,B534)&gt;0,"Hư hỏng","Bình thường")</f>
        <v>Bình thường</v>
      </c>
      <c r="L534" s="107"/>
      <c r="M534" s="182"/>
      <c r="N534" s="101"/>
      <c r="O534" s="110"/>
      <c r="P534" s="101"/>
      <c r="Q534" s="101"/>
      <c r="R534" s="101"/>
      <c r="S534" s="110"/>
      <c r="T534" s="111"/>
      <c r="U534" s="111"/>
      <c r="V534" s="192"/>
      <c r="W534" s="192"/>
      <c r="X534" s="192"/>
      <c r="Y534" s="192"/>
    </row>
    <row r="535" ht="13.5" customHeight="1" spans="1:25">
      <c r="A535" s="894" t="s">
        <v>2591</v>
      </c>
      <c r="B535" s="894"/>
      <c r="C535" s="87">
        <f>COUNTA($B$536:$B$544)</f>
        <v>7</v>
      </c>
      <c r="D535" s="894" t="str">
        <f>IFERROR(VLOOKUP(B535,' 02.1 KLH-CN MÃ BRAVO MM'!$B:$C,2,0),"")</f>
        <v/>
      </c>
      <c r="E535" s="87"/>
      <c r="F535" s="87"/>
      <c r="G535" s="87"/>
      <c r="H535" s="894"/>
      <c r="I535" s="894"/>
      <c r="J535" s="932"/>
      <c r="K535" s="87"/>
      <c r="L535" s="87"/>
      <c r="M535" s="894"/>
      <c r="N535" s="87"/>
      <c r="O535" s="894"/>
      <c r="P535" s="894"/>
      <c r="Q535" s="894"/>
      <c r="R535" s="894"/>
      <c r="S535" s="894"/>
      <c r="T535" s="894"/>
      <c r="U535" s="894"/>
      <c r="V535" s="192"/>
      <c r="W535" s="192"/>
      <c r="X535" s="192"/>
      <c r="Y535" s="192"/>
    </row>
    <row r="536" ht="13.5" customHeight="1" outlineLevel="1" spans="1:25">
      <c r="A536" s="101">
        <v>1</v>
      </c>
      <c r="B536" s="102" t="s">
        <v>2592</v>
      </c>
      <c r="C536" s="102" t="s">
        <v>2592</v>
      </c>
      <c r="D536" s="103" t="str">
        <f>IFERROR(VLOOKUP(B536,' 02.1 KLH-CN MÃ BRAVO MM'!$B:$C,2,0),"")</f>
        <v>A22-MKE-028</v>
      </c>
      <c r="E536" s="103"/>
      <c r="F536" s="103" t="s">
        <v>451</v>
      </c>
      <c r="G536" s="102" t="s">
        <v>197</v>
      </c>
      <c r="H536" s="101" t="str">
        <f>VLOOKUP(G536,'01. TH'!$B:$E,3,0)</f>
        <v>3226 x 1570 x 1545</v>
      </c>
      <c r="I536" s="101" t="s">
        <v>33</v>
      </c>
      <c r="J536" s="105"/>
      <c r="K536" s="101" t="str">
        <f>IF(COUNTIF('TT BTSC'!$D:$D,B536)&gt;0,"Hư hỏng","Bình thường")</f>
        <v>Bình thường</v>
      </c>
      <c r="L536" s="101"/>
      <c r="M536" s="182"/>
      <c r="N536" s="101" t="s">
        <v>1779</v>
      </c>
      <c r="O536" s="110" t="s">
        <v>500</v>
      </c>
      <c r="P536" s="101">
        <v>2018</v>
      </c>
      <c r="Q536" s="101" t="s">
        <v>1122</v>
      </c>
      <c r="R536" s="101" t="s">
        <v>128</v>
      </c>
      <c r="S536" s="110">
        <v>180069</v>
      </c>
      <c r="T536" s="111" t="s">
        <v>462</v>
      </c>
      <c r="U536" s="111">
        <v>2.5</v>
      </c>
      <c r="V536" s="895">
        <v>0</v>
      </c>
      <c r="W536" s="895"/>
      <c r="X536" s="895"/>
      <c r="Y536" s="895"/>
    </row>
    <row r="537" ht="19.5" customHeight="1" outlineLevel="1" spans="1:25">
      <c r="A537" s="101">
        <v>2</v>
      </c>
      <c r="B537" s="102" t="s">
        <v>2593</v>
      </c>
      <c r="C537" s="102" t="s">
        <v>2594</v>
      </c>
      <c r="D537" s="103" t="str">
        <f>IFERROR(VLOOKUP(B537,' 02.1 KLH-CN MÃ BRAVO MM'!$B:$C,2,0),"")</f>
        <v/>
      </c>
      <c r="E537" s="103"/>
      <c r="F537" s="103" t="s">
        <v>451</v>
      </c>
      <c r="G537" s="102" t="s">
        <v>200</v>
      </c>
      <c r="H537" s="101" t="str">
        <f>VLOOKUP(G537,'01. TH'!$B:$E,3,0)</f>
        <v>3120 x 1495 x 1510</v>
      </c>
      <c r="I537" s="101" t="s">
        <v>33</v>
      </c>
      <c r="J537" s="105"/>
      <c r="K537" s="101" t="str">
        <f>IF(COUNTIF('TT BTSC'!$D:$D,B537)&gt;0,"Hư hỏng","Bình thường")</f>
        <v>Bình thường</v>
      </c>
      <c r="L537" s="101"/>
      <c r="M537" s="182" t="s">
        <v>2595</v>
      </c>
      <c r="N537" s="101" t="s">
        <v>759</v>
      </c>
      <c r="O537" s="110" t="s">
        <v>453</v>
      </c>
      <c r="P537" s="101">
        <v>2019</v>
      </c>
      <c r="Q537" s="101" t="s">
        <v>1137</v>
      </c>
      <c r="R537" s="101" t="s">
        <v>41</v>
      </c>
      <c r="S537" s="1097" t="s">
        <v>2596</v>
      </c>
      <c r="T537" s="111" t="s">
        <v>462</v>
      </c>
      <c r="U537" s="111">
        <v>2.5</v>
      </c>
      <c r="V537" s="895">
        <v>0</v>
      </c>
      <c r="W537" s="895"/>
      <c r="X537" s="895"/>
      <c r="Y537" s="895"/>
    </row>
    <row r="538" ht="27" customHeight="1" outlineLevel="1" spans="1:25">
      <c r="A538" s="101">
        <v>3</v>
      </c>
      <c r="B538" s="102" t="s">
        <v>2597</v>
      </c>
      <c r="C538" s="104" t="s">
        <v>2598</v>
      </c>
      <c r="D538" s="103" t="str">
        <f>IFERROR(VLOOKUP(C538,' 02.1 KLH-CN MÃ BRAVO MM'!$B:$C,2,0),"")</f>
        <v/>
      </c>
      <c r="E538" s="103"/>
      <c r="F538" s="103" t="s">
        <v>451</v>
      </c>
      <c r="G538" s="104" t="s">
        <v>147</v>
      </c>
      <c r="H538" s="101" t="str">
        <f>VLOOKUP(G538,'01. TH'!$B:$E,3,0)</f>
        <v/>
      </c>
      <c r="I538" s="101" t="s">
        <v>33</v>
      </c>
      <c r="J538" s="112">
        <v>43862</v>
      </c>
      <c r="K538" s="101" t="str">
        <f>IF(COUNTIF('TT BTSC'!$D:$D,B538)&gt;0,"Hư hỏng","Bình thường")</f>
        <v>Bình thường</v>
      </c>
      <c r="L538" s="113">
        <v>0.61</v>
      </c>
      <c r="M538" s="183" t="s">
        <v>2599</v>
      </c>
      <c r="N538" s="103" t="s">
        <v>1267</v>
      </c>
      <c r="O538" s="111"/>
      <c r="P538" s="103">
        <v>2000</v>
      </c>
      <c r="Q538" s="103"/>
      <c r="R538" s="103"/>
      <c r="S538" s="111" t="s">
        <v>2600</v>
      </c>
      <c r="T538" s="1094" t="s">
        <v>2601</v>
      </c>
      <c r="U538" s="111">
        <v>6.5</v>
      </c>
      <c r="V538" s="192"/>
      <c r="W538" s="192"/>
      <c r="X538" s="192"/>
      <c r="Y538" s="192"/>
    </row>
    <row r="539" ht="13.5" customHeight="1" outlineLevel="1" spans="1:25">
      <c r="A539" s="101">
        <v>4</v>
      </c>
      <c r="B539" s="104" t="s">
        <v>2602</v>
      </c>
      <c r="C539" s="102" t="s">
        <v>2603</v>
      </c>
      <c r="D539" s="103"/>
      <c r="E539" s="103"/>
      <c r="F539" s="103" t="s">
        <v>451</v>
      </c>
      <c r="G539" s="104" t="s">
        <v>144</v>
      </c>
      <c r="H539" s="101" t="str">
        <f>VLOOKUP(G539,'01. TH'!$B:$E,3,0)</f>
        <v>9120 x 2450 x 3160</v>
      </c>
      <c r="I539" s="101" t="s">
        <v>33</v>
      </c>
      <c r="J539" s="112"/>
      <c r="K539" s="101" t="str">
        <f>IF(COUNTIF('TT BTSC'!$D:$D,B539)&gt;0,"Hư hỏng","Bình thường")</f>
        <v>Bình thường</v>
      </c>
      <c r="L539" s="113"/>
      <c r="M539" s="183"/>
      <c r="N539" s="103" t="s">
        <v>1019</v>
      </c>
      <c r="O539" s="111" t="s">
        <v>500</v>
      </c>
      <c r="P539" s="103">
        <v>2017</v>
      </c>
      <c r="Q539" s="103" t="s">
        <v>2604</v>
      </c>
      <c r="R539" s="103" t="s">
        <v>54</v>
      </c>
      <c r="S539" s="111" t="s">
        <v>2605</v>
      </c>
      <c r="T539" s="111" t="s">
        <v>462</v>
      </c>
      <c r="U539" s="111">
        <v>5</v>
      </c>
      <c r="V539" s="895">
        <v>220</v>
      </c>
      <c r="W539" s="895"/>
      <c r="X539" s="895"/>
      <c r="Y539" s="895"/>
    </row>
    <row r="540" ht="13.5" customHeight="1" outlineLevel="1" spans="1:25">
      <c r="A540" s="101">
        <v>5</v>
      </c>
      <c r="B540" s="104" t="s">
        <v>2606</v>
      </c>
      <c r="C540" s="836"/>
      <c r="D540" s="103"/>
      <c r="E540" s="103"/>
      <c r="F540" s="103" t="s">
        <v>451</v>
      </c>
      <c r="G540" s="102" t="s">
        <v>288</v>
      </c>
      <c r="H540" s="101" t="str">
        <f>VLOOKUP(G540,'01. TH'!$B:$E,3,0)</f>
        <v>3300 x 1300 x 1600</v>
      </c>
      <c r="I540" s="101" t="s">
        <v>33</v>
      </c>
      <c r="J540" s="112">
        <v>45963</v>
      </c>
      <c r="K540" s="101" t="str">
        <f>IF(COUNTIF('TT BTSC'!$D:$D,B540)&gt;0,"Hư hỏng","Bình thường")</f>
        <v>Bình thường</v>
      </c>
      <c r="L540" s="113"/>
      <c r="M540" s="183" t="s">
        <v>653</v>
      </c>
      <c r="N540" s="103"/>
      <c r="O540" s="111" t="s">
        <v>1140</v>
      </c>
      <c r="P540" s="103"/>
      <c r="Q540" s="103" t="s">
        <v>2607</v>
      </c>
      <c r="R540" s="103" t="s">
        <v>2608</v>
      </c>
      <c r="S540" s="111" t="s">
        <v>2609</v>
      </c>
      <c r="T540" s="111" t="s">
        <v>2610</v>
      </c>
      <c r="U540" s="111">
        <v>2.5</v>
      </c>
      <c r="V540" s="895">
        <v>0</v>
      </c>
      <c r="W540" s="895"/>
      <c r="X540" s="895"/>
      <c r="Y540" s="895"/>
    </row>
    <row r="541" ht="13.5" customHeight="1" outlineLevel="1" spans="1:25">
      <c r="A541" s="101">
        <v>6</v>
      </c>
      <c r="B541" s="104" t="s">
        <v>2611</v>
      </c>
      <c r="C541" s="836"/>
      <c r="D541" s="103"/>
      <c r="E541" s="103"/>
      <c r="F541" s="103" t="s">
        <v>451</v>
      </c>
      <c r="G541" s="102" t="s">
        <v>288</v>
      </c>
      <c r="H541" s="101" t="str">
        <f>VLOOKUP(G541,'01. TH'!$B:$E,3,0)</f>
        <v>3300 x 1300 x 1600</v>
      </c>
      <c r="I541" s="101" t="s">
        <v>33</v>
      </c>
      <c r="J541" s="112">
        <v>45963</v>
      </c>
      <c r="K541" s="101" t="str">
        <f>IF(COUNTIF('TT BTSC'!$D:$D,B541)&gt;0,"Hư hỏng","Bình thường")</f>
        <v>Bình thường</v>
      </c>
      <c r="L541" s="113"/>
      <c r="M541" s="183" t="s">
        <v>653</v>
      </c>
      <c r="N541" s="103"/>
      <c r="O541" s="111" t="s">
        <v>1140</v>
      </c>
      <c r="P541" s="103"/>
      <c r="Q541" s="103" t="s">
        <v>2607</v>
      </c>
      <c r="R541" s="103" t="s">
        <v>2608</v>
      </c>
      <c r="S541" s="111" t="s">
        <v>2612</v>
      </c>
      <c r="T541" s="111" t="s">
        <v>2613</v>
      </c>
      <c r="U541" s="111">
        <v>2.5</v>
      </c>
      <c r="V541" s="895">
        <v>0</v>
      </c>
      <c r="W541" s="895"/>
      <c r="X541" s="895"/>
      <c r="Y541" s="895"/>
    </row>
    <row r="542" ht="13.5" customHeight="1" outlineLevel="1" spans="1:25">
      <c r="A542" s="101">
        <v>7</v>
      </c>
      <c r="B542" s="104" t="s">
        <v>2614</v>
      </c>
      <c r="C542" s="836"/>
      <c r="D542" s="103"/>
      <c r="E542" s="103"/>
      <c r="F542" s="103" t="s">
        <v>451</v>
      </c>
      <c r="G542" s="102" t="s">
        <v>288</v>
      </c>
      <c r="H542" s="101" t="str">
        <f>VLOOKUP(G542,'01. TH'!$B:$E,3,0)</f>
        <v>3300 x 1300 x 1600</v>
      </c>
      <c r="I542" s="101" t="s">
        <v>33</v>
      </c>
      <c r="J542" s="112">
        <v>45963</v>
      </c>
      <c r="K542" s="101" t="str">
        <f>IF(COUNTIF('TT BTSC'!$D:$D,B542)&gt;0,"Hư hỏng","Bình thường")</f>
        <v>Bình thường</v>
      </c>
      <c r="L542" s="113"/>
      <c r="M542" s="183" t="s">
        <v>653</v>
      </c>
      <c r="N542" s="103"/>
      <c r="O542" s="111" t="s">
        <v>1140</v>
      </c>
      <c r="P542" s="103"/>
      <c r="Q542" s="103" t="s">
        <v>2607</v>
      </c>
      <c r="R542" s="103" t="s">
        <v>2608</v>
      </c>
      <c r="S542" s="111" t="s">
        <v>2615</v>
      </c>
      <c r="T542" s="111" t="s">
        <v>2616</v>
      </c>
      <c r="U542" s="111">
        <v>2.5</v>
      </c>
      <c r="V542" s="895">
        <v>0</v>
      </c>
      <c r="W542" s="895"/>
      <c r="X542" s="895"/>
      <c r="Y542" s="895"/>
    </row>
    <row r="543" ht="21" customHeight="1" outlineLevel="1" spans="1:25">
      <c r="A543" s="103"/>
      <c r="B543" s="102"/>
      <c r="C543" s="104"/>
      <c r="D543" s="103"/>
      <c r="E543" s="103"/>
      <c r="F543" s="103"/>
      <c r="G543" s="104"/>
      <c r="H543" s="101"/>
      <c r="I543" s="101"/>
      <c r="J543" s="112"/>
      <c r="K543" s="101"/>
      <c r="L543" s="113"/>
      <c r="M543" s="183"/>
      <c r="N543" s="103"/>
      <c r="O543" s="111"/>
      <c r="P543" s="103"/>
      <c r="Q543" s="103"/>
      <c r="R543" s="103"/>
      <c r="S543" s="111"/>
      <c r="T543" s="111"/>
      <c r="U543" s="111"/>
      <c r="V543" s="192"/>
      <c r="W543" s="192"/>
      <c r="X543" s="192"/>
      <c r="Y543" s="192"/>
    </row>
    <row r="544" ht="21" customHeight="1" outlineLevel="1" spans="1:25">
      <c r="A544" s="103"/>
      <c r="B544" s="102"/>
      <c r="C544" s="104" t="s">
        <v>1034</v>
      </c>
      <c r="D544" s="103"/>
      <c r="E544" s="103"/>
      <c r="F544" s="103"/>
      <c r="G544" s="104"/>
      <c r="H544" s="101" t="e">
        <f>VLOOKUP(G544,'01. TH'!$B:$E,3,0)</f>
        <v>#N/A</v>
      </c>
      <c r="I544" s="101"/>
      <c r="J544" s="112"/>
      <c r="K544" s="101"/>
      <c r="L544" s="113"/>
      <c r="M544" s="183"/>
      <c r="N544" s="103"/>
      <c r="O544" s="111"/>
      <c r="P544" s="103"/>
      <c r="Q544" s="103"/>
      <c r="R544" s="103"/>
      <c r="S544" s="111"/>
      <c r="T544" s="111"/>
      <c r="U544" s="111"/>
      <c r="V544" s="192"/>
      <c r="W544" s="192"/>
      <c r="X544" s="192"/>
      <c r="Y544" s="192"/>
    </row>
    <row r="545" ht="13.5" customHeight="1" spans="1:25">
      <c r="A545" s="894" t="s">
        <v>2617</v>
      </c>
      <c r="B545" s="894"/>
      <c r="C545" s="87">
        <f>COUNTA($B$546:$B$552)</f>
        <v>5</v>
      </c>
      <c r="D545" s="894" t="str">
        <f>IFERROR(VLOOKUP(B545,' 02.1 KLH-CN MÃ BRAVO MM'!$B:$C,2,0),"")</f>
        <v/>
      </c>
      <c r="E545" s="87"/>
      <c r="F545" s="87"/>
      <c r="G545" s="87"/>
      <c r="H545" s="894"/>
      <c r="I545" s="894"/>
      <c r="J545" s="932"/>
      <c r="K545" s="87"/>
      <c r="L545" s="87"/>
      <c r="M545" s="894"/>
      <c r="N545" s="87"/>
      <c r="O545" s="894"/>
      <c r="P545" s="894"/>
      <c r="Q545" s="894"/>
      <c r="R545" s="894"/>
      <c r="S545" s="894"/>
      <c r="T545" s="894"/>
      <c r="U545" s="894"/>
      <c r="V545" s="192"/>
      <c r="W545" s="192"/>
      <c r="X545" s="192"/>
      <c r="Y545" s="192"/>
    </row>
    <row r="546" ht="13.5" customHeight="1" outlineLevel="1" spans="1:25">
      <c r="A546" s="101">
        <v>1</v>
      </c>
      <c r="B546" s="102" t="s">
        <v>2618</v>
      </c>
      <c r="C546" s="102" t="s">
        <v>2619</v>
      </c>
      <c r="D546" s="103" t="str">
        <f>IFERROR(VLOOKUP(B546,' 02.1 KLH-CN MÃ BRAVO MM'!$B:$C,2,0),"")</f>
        <v>A22-XLO-001</v>
      </c>
      <c r="E546" s="103"/>
      <c r="F546" s="103" t="s">
        <v>451</v>
      </c>
      <c r="G546" s="102" t="s">
        <v>288</v>
      </c>
      <c r="H546" s="101" t="str">
        <f>VLOOKUP(G546,'01. TH'!$B:$E,3,0)</f>
        <v>3300 x 1300 x 1600</v>
      </c>
      <c r="I546" s="101" t="s">
        <v>30</v>
      </c>
      <c r="J546" s="105"/>
      <c r="K546" s="101" t="str">
        <f>IF(COUNTIF('TT BTSC'!$D:$D,B546)&gt;0,"Hư hỏng","Bình thường")</f>
        <v>Bình thường</v>
      </c>
      <c r="L546" s="101"/>
      <c r="M546" s="182"/>
      <c r="N546" s="101"/>
      <c r="O546" s="110"/>
      <c r="P546" s="101"/>
      <c r="Q546" s="101"/>
      <c r="R546" s="101" t="s">
        <v>2620</v>
      </c>
      <c r="S546" s="110" t="s">
        <v>2621</v>
      </c>
      <c r="T546" s="111" t="s">
        <v>462</v>
      </c>
      <c r="U546" s="111">
        <v>2.5</v>
      </c>
      <c r="V546" s="192"/>
      <c r="W546" s="192"/>
      <c r="X546" s="192"/>
      <c r="Y546" s="192"/>
    </row>
    <row r="547" ht="13.5" customHeight="1" outlineLevel="1" spans="1:25">
      <c r="A547" s="101">
        <v>2</v>
      </c>
      <c r="B547" s="102" t="s">
        <v>2619</v>
      </c>
      <c r="C547" s="102" t="s">
        <v>2622</v>
      </c>
      <c r="D547" s="103" t="str">
        <f>IFERROR(VLOOKUP(B547,' 02.1 KLH-CN MÃ BRAVO MM'!$B:$C,2,0),"")</f>
        <v>A22-XLO-002</v>
      </c>
      <c r="E547" s="103"/>
      <c r="F547" s="103" t="s">
        <v>451</v>
      </c>
      <c r="G547" s="102" t="s">
        <v>288</v>
      </c>
      <c r="H547" s="101" t="str">
        <f>VLOOKUP(G547,'01. TH'!$B:$E,3,0)</f>
        <v>3300 x 1300 x 1600</v>
      </c>
      <c r="I547" s="101" t="s">
        <v>30</v>
      </c>
      <c r="J547" s="105"/>
      <c r="K547" s="101" t="str">
        <f>IF(COUNTIF('TT BTSC'!$D:$D,B547)&gt;0,"Hư hỏng","Bình thường")</f>
        <v>Bình thường</v>
      </c>
      <c r="L547" s="101"/>
      <c r="M547" s="182"/>
      <c r="N547" s="101"/>
      <c r="O547" s="110"/>
      <c r="P547" s="101"/>
      <c r="Q547" s="101"/>
      <c r="R547" s="101" t="s">
        <v>2620</v>
      </c>
      <c r="S547" s="110" t="s">
        <v>2623</v>
      </c>
      <c r="T547" s="111" t="s">
        <v>462</v>
      </c>
      <c r="U547" s="111">
        <v>2.5</v>
      </c>
      <c r="V547" s="192"/>
      <c r="W547" s="192"/>
      <c r="X547" s="192"/>
      <c r="Y547" s="192"/>
    </row>
    <row r="548" ht="13.5" customHeight="1" outlineLevel="1" spans="1:25">
      <c r="A548" s="101">
        <v>3</v>
      </c>
      <c r="B548" s="102" t="s">
        <v>2622</v>
      </c>
      <c r="C548" s="102" t="s">
        <v>2624</v>
      </c>
      <c r="D548" s="103" t="str">
        <f>IFERROR(VLOOKUP(B548,' 02.1 KLH-CN MÃ BRAVO MM'!$B:$C,2,0),"")</f>
        <v>A22-XLO-003</v>
      </c>
      <c r="E548" s="103"/>
      <c r="F548" s="103" t="s">
        <v>451</v>
      </c>
      <c r="G548" s="102" t="s">
        <v>288</v>
      </c>
      <c r="H548" s="101" t="str">
        <f>VLOOKUP(G548,'01. TH'!$B:$E,3,0)</f>
        <v>3300 x 1300 x 1600</v>
      </c>
      <c r="I548" s="101" t="s">
        <v>30</v>
      </c>
      <c r="J548" s="105"/>
      <c r="K548" s="101" t="str">
        <f>IF(COUNTIF('TT BTSC'!$D:$D,B548)&gt;0,"Hư hỏng","Bình thường")</f>
        <v>Bình thường</v>
      </c>
      <c r="L548" s="101"/>
      <c r="M548" s="182"/>
      <c r="N548" s="101"/>
      <c r="O548" s="110"/>
      <c r="P548" s="101"/>
      <c r="Q548" s="101"/>
      <c r="R548" s="101" t="s">
        <v>2620</v>
      </c>
      <c r="S548" s="110" t="s">
        <v>2625</v>
      </c>
      <c r="T548" s="111" t="s">
        <v>462</v>
      </c>
      <c r="U548" s="111">
        <v>2.5</v>
      </c>
      <c r="V548" s="192"/>
      <c r="W548" s="192"/>
      <c r="X548" s="192"/>
      <c r="Y548" s="192"/>
    </row>
    <row r="549" ht="13.5" customHeight="1" outlineLevel="1" spans="1:25">
      <c r="A549" s="101">
        <v>4</v>
      </c>
      <c r="B549" s="102" t="s">
        <v>2626</v>
      </c>
      <c r="C549" s="102"/>
      <c r="D549" s="103" t="s">
        <v>2627</v>
      </c>
      <c r="E549" s="103"/>
      <c r="F549" s="103" t="s">
        <v>451</v>
      </c>
      <c r="G549" s="102" t="s">
        <v>238</v>
      </c>
      <c r="H549" s="101" t="str">
        <f>VLOOKUP(G549,'01. TH'!$B:$E,3,0)</f>
        <v/>
      </c>
      <c r="I549" s="101" t="s">
        <v>30</v>
      </c>
      <c r="J549" s="101" t="s">
        <v>2628</v>
      </c>
      <c r="K549" s="101" t="str">
        <f>IF(COUNTIF('TT BTSC'!$D:$D,B549)&gt;0,"Hư hỏng","Bình thường")</f>
        <v>Bình thường</v>
      </c>
      <c r="L549" s="101"/>
      <c r="M549" s="182"/>
      <c r="N549" s="101" t="s">
        <v>1380</v>
      </c>
      <c r="O549" s="110" t="s">
        <v>590</v>
      </c>
      <c r="P549" s="101">
        <v>2024</v>
      </c>
      <c r="Q549" s="101" t="s">
        <v>2158</v>
      </c>
      <c r="R549" s="101" t="s">
        <v>208</v>
      </c>
      <c r="S549" s="110" t="s">
        <v>2629</v>
      </c>
      <c r="T549" s="111" t="s">
        <v>462</v>
      </c>
      <c r="U549" s="924">
        <v>2.5</v>
      </c>
      <c r="V549" s="895">
        <v>60</v>
      </c>
      <c r="W549" s="895"/>
      <c r="X549" s="895"/>
      <c r="Y549" s="895"/>
    </row>
    <row r="550" ht="13.5" customHeight="1" outlineLevel="1" spans="1:25">
      <c r="A550" s="101">
        <v>5</v>
      </c>
      <c r="B550" s="102" t="s">
        <v>2630</v>
      </c>
      <c r="C550" s="102"/>
      <c r="D550" s="103"/>
      <c r="E550" s="103"/>
      <c r="F550" s="103" t="s">
        <v>504</v>
      </c>
      <c r="G550" s="102" t="s">
        <v>2631</v>
      </c>
      <c r="H550" s="101"/>
      <c r="I550" s="101" t="s">
        <v>30</v>
      </c>
      <c r="J550" s="101" t="s">
        <v>2632</v>
      </c>
      <c r="K550" s="101" t="str">
        <f>IF(COUNTIF('TT BTSC'!$D:$D,B550)&gt;0,"Hư hỏng","Bình thường")</f>
        <v>Bình thường</v>
      </c>
      <c r="L550" s="101"/>
      <c r="M550" s="182"/>
      <c r="N550" s="101" t="s">
        <v>1380</v>
      </c>
      <c r="O550" s="110" t="s">
        <v>590</v>
      </c>
      <c r="P550" s="101">
        <v>2026</v>
      </c>
      <c r="Q550" s="101" t="s">
        <v>2633</v>
      </c>
      <c r="R550" s="101" t="s">
        <v>2634</v>
      </c>
      <c r="S550" s="110" t="s">
        <v>2635</v>
      </c>
      <c r="T550" s="111" t="s">
        <v>462</v>
      </c>
      <c r="U550" s="111">
        <v>2.5</v>
      </c>
      <c r="V550" s="192"/>
      <c r="W550" s="192"/>
      <c r="X550" s="192"/>
      <c r="Y550" s="192"/>
    </row>
    <row r="551" ht="13.5" customHeight="1" outlineLevel="1" spans="1:25">
      <c r="A551" s="101"/>
      <c r="B551" s="102"/>
      <c r="C551" s="102"/>
      <c r="D551" s="103"/>
      <c r="E551" s="103"/>
      <c r="F551" s="103"/>
      <c r="G551" s="102"/>
      <c r="H551" s="101"/>
      <c r="I551" s="101"/>
      <c r="J551" s="105"/>
      <c r="K551" s="101"/>
      <c r="L551" s="101"/>
      <c r="M551" s="182"/>
      <c r="N551" s="101"/>
      <c r="O551" s="110"/>
      <c r="P551" s="101"/>
      <c r="Q551" s="101"/>
      <c r="R551" s="101"/>
      <c r="S551" s="110"/>
      <c r="T551" s="111"/>
      <c r="U551" s="111"/>
      <c r="V551" s="192"/>
      <c r="W551" s="192"/>
      <c r="X551" s="192"/>
      <c r="Y551" s="192"/>
    </row>
    <row r="552" ht="13.5" customHeight="1" outlineLevel="1" spans="1:25">
      <c r="A552" s="101"/>
      <c r="B552" s="102"/>
      <c r="C552" s="102" t="s">
        <v>1034</v>
      </c>
      <c r="D552" s="103"/>
      <c r="E552" s="103"/>
      <c r="F552" s="103"/>
      <c r="G552" s="102"/>
      <c r="H552" s="101" t="e">
        <f>VLOOKUP(G552,'01. TH'!$B:$E,3,0)</f>
        <v>#N/A</v>
      </c>
      <c r="I552" s="101"/>
      <c r="J552" s="105"/>
      <c r="K552" s="101" t="str">
        <f>IF(COUNTIF('TT BTSC'!$D:$D,B552)&gt;0,"Hư hỏng","Bình thường")</f>
        <v>Bình thường</v>
      </c>
      <c r="L552" s="101"/>
      <c r="M552" s="182"/>
      <c r="N552" s="101"/>
      <c r="O552" s="110"/>
      <c r="P552" s="101"/>
      <c r="Q552" s="101"/>
      <c r="R552" s="101"/>
      <c r="S552" s="110"/>
      <c r="T552" s="111"/>
      <c r="U552" s="111"/>
      <c r="V552" s="192"/>
      <c r="W552" s="192"/>
      <c r="X552" s="192"/>
      <c r="Y552" s="192"/>
    </row>
    <row r="553" ht="13.5" customHeight="1" spans="1:25">
      <c r="A553" s="894" t="s">
        <v>2636</v>
      </c>
      <c r="B553" s="894"/>
      <c r="C553" s="87">
        <f>COUNTA($B$554:$B$558)</f>
        <v>4</v>
      </c>
      <c r="D553" s="894" t="str">
        <f>IFERROR(VLOOKUP(B553,' 02.1 KLH-CN MÃ BRAVO MM'!$B:$C,2,0),"")</f>
        <v/>
      </c>
      <c r="E553" s="87"/>
      <c r="F553" s="87"/>
      <c r="G553" s="87"/>
      <c r="H553" s="894"/>
      <c r="I553" s="894"/>
      <c r="J553" s="932"/>
      <c r="K553" s="87"/>
      <c r="L553" s="87"/>
      <c r="M553" s="894"/>
      <c r="N553" s="87"/>
      <c r="O553" s="894"/>
      <c r="P553" s="894"/>
      <c r="Q553" s="894"/>
      <c r="R553" s="894"/>
      <c r="S553" s="894"/>
      <c r="T553" s="894"/>
      <c r="U553" s="894"/>
      <c r="V553" s="192"/>
      <c r="W553" s="192"/>
      <c r="X553" s="192"/>
      <c r="Y553" s="192"/>
    </row>
    <row r="554" ht="13.5" customHeight="1" outlineLevel="1" spans="1:25">
      <c r="A554" s="101">
        <v>1</v>
      </c>
      <c r="B554" s="102" t="s">
        <v>2637</v>
      </c>
      <c r="C554" s="102" t="s">
        <v>2638</v>
      </c>
      <c r="D554" s="103" t="str">
        <f>IFERROR(VLOOKUP(B554,' 02.1 KLH-CN MÃ BRAVO MM'!$B:$C,2,0),"")</f>
        <v>A23-MKE-032</v>
      </c>
      <c r="E554" s="103"/>
      <c r="F554" s="103" t="s">
        <v>451</v>
      </c>
      <c r="G554" s="102" t="s">
        <v>197</v>
      </c>
      <c r="H554" s="101" t="str">
        <f>VLOOKUP(G554,'01. TH'!$B:$E,3,0)</f>
        <v>3226 x 1570 x 1545</v>
      </c>
      <c r="I554" s="101" t="s">
        <v>20</v>
      </c>
      <c r="J554" s="105"/>
      <c r="K554" s="101" t="str">
        <f>IF(COUNTIF('TT BTSC'!$D:$D,B554)&gt;0,"Hư hỏng","Bình thường")</f>
        <v>Bình thường</v>
      </c>
      <c r="L554" s="101"/>
      <c r="M554" s="182"/>
      <c r="N554" s="101" t="s">
        <v>1019</v>
      </c>
      <c r="O554" s="110" t="s">
        <v>500</v>
      </c>
      <c r="P554" s="101"/>
      <c r="Q554" s="101" t="s">
        <v>1122</v>
      </c>
      <c r="R554" s="101" t="s">
        <v>128</v>
      </c>
      <c r="S554" s="110" t="s">
        <v>2639</v>
      </c>
      <c r="T554" s="111"/>
      <c r="U554" s="111">
        <v>2.5</v>
      </c>
      <c r="V554" s="895">
        <v>0</v>
      </c>
      <c r="W554" s="895"/>
      <c r="X554" s="895"/>
      <c r="Y554" s="895"/>
    </row>
    <row r="555" ht="13.5" customHeight="1" outlineLevel="1" spans="1:25">
      <c r="A555" s="101">
        <v>2</v>
      </c>
      <c r="B555" s="102" t="s">
        <v>2640</v>
      </c>
      <c r="C555" s="102" t="s">
        <v>2641</v>
      </c>
      <c r="D555" s="103" t="str">
        <f>IFERROR(VLOOKUP(B555,' 02.1 KLH-CN MÃ BRAVO MM'!$B:$C,2,0),"")</f>
        <v>A23-MKE-033</v>
      </c>
      <c r="E555" s="103"/>
      <c r="F555" s="103" t="s">
        <v>451</v>
      </c>
      <c r="G555" s="102" t="s">
        <v>197</v>
      </c>
      <c r="H555" s="101" t="str">
        <f>VLOOKUP(G555,'01. TH'!$B:$E,3,0)</f>
        <v>3226 x 1570 x 1545</v>
      </c>
      <c r="I555" s="101" t="s">
        <v>20</v>
      </c>
      <c r="J555" s="105"/>
      <c r="K555" s="101" t="str">
        <f>IF(COUNTIF('TT BTSC'!$D:$D,B555)&gt;0,"Hư hỏng","Bình thường")</f>
        <v>Bình thường</v>
      </c>
      <c r="L555" s="101"/>
      <c r="M555" s="182"/>
      <c r="N555" s="101" t="s">
        <v>1019</v>
      </c>
      <c r="O555" s="110" t="s">
        <v>500</v>
      </c>
      <c r="P555" s="101"/>
      <c r="Q555" s="101" t="s">
        <v>1122</v>
      </c>
      <c r="R555" s="101" t="s">
        <v>128</v>
      </c>
      <c r="S555" s="110" t="s">
        <v>2642</v>
      </c>
      <c r="T555" s="111"/>
      <c r="U555" s="111">
        <v>2.5</v>
      </c>
      <c r="V555" s="895">
        <v>0</v>
      </c>
      <c r="W555" s="895"/>
      <c r="X555" s="895"/>
      <c r="Y555" s="895"/>
    </row>
    <row r="556" ht="13.5" customHeight="1" outlineLevel="1" spans="1:25">
      <c r="A556" s="101">
        <v>3</v>
      </c>
      <c r="B556" s="102" t="s">
        <v>2643</v>
      </c>
      <c r="C556" s="102" t="s">
        <v>2644</v>
      </c>
      <c r="D556" s="103" t="str">
        <f>IFERROR(VLOOKUP(C556,' 02.1 KLH-CN MÃ BRAVO MM'!$B:$C,2,0),"")</f>
        <v>A22-MKE-031</v>
      </c>
      <c r="E556" s="103"/>
      <c r="F556" s="103" t="s">
        <v>451</v>
      </c>
      <c r="G556" s="102" t="s">
        <v>197</v>
      </c>
      <c r="H556" s="101" t="str">
        <f>VLOOKUP(G556,'01. TH'!$B:$E,3,0)</f>
        <v>3226 x 1570 x 1545</v>
      </c>
      <c r="I556" s="101" t="s">
        <v>20</v>
      </c>
      <c r="J556" s="105"/>
      <c r="K556" s="101" t="str">
        <f>IF(COUNTIF('TT BTSC'!$D:$D,B556)&gt;0,"Hư hỏng","Bình thường")</f>
        <v>Bình thường</v>
      </c>
      <c r="L556" s="101"/>
      <c r="M556" s="182"/>
      <c r="N556" s="101" t="s">
        <v>1019</v>
      </c>
      <c r="O556" s="110" t="s">
        <v>500</v>
      </c>
      <c r="P556" s="101">
        <v>2012</v>
      </c>
      <c r="Q556" s="101" t="s">
        <v>1122</v>
      </c>
      <c r="R556" s="101" t="s">
        <v>128</v>
      </c>
      <c r="S556" s="110" t="s">
        <v>2645</v>
      </c>
      <c r="T556" s="111" t="s">
        <v>462</v>
      </c>
      <c r="U556" s="111">
        <v>2.5</v>
      </c>
      <c r="V556" s="895">
        <v>0</v>
      </c>
      <c r="W556" s="895"/>
      <c r="X556" s="895"/>
      <c r="Y556" s="895"/>
    </row>
    <row r="557" ht="39" customHeight="1" outlineLevel="1" spans="1:25">
      <c r="A557" s="101">
        <v>4</v>
      </c>
      <c r="B557" s="102" t="s">
        <v>2646</v>
      </c>
      <c r="C557" s="102" t="s">
        <v>2647</v>
      </c>
      <c r="D557" s="103" t="str">
        <f>IFERROR(VLOOKUP(B557,' 02.1 KLH-CN MÃ BRAVO MM'!$B:$C,2,0),"")</f>
        <v/>
      </c>
      <c r="E557" s="103"/>
      <c r="F557" s="103" t="s">
        <v>451</v>
      </c>
      <c r="G557" s="102" t="s">
        <v>144</v>
      </c>
      <c r="H557" s="101" t="str">
        <f>VLOOKUP(G557,'01. TH'!$B:$E,3,0)</f>
        <v>9120 x 2450 x 3160</v>
      </c>
      <c r="I557" s="101" t="s">
        <v>20</v>
      </c>
      <c r="J557" s="101" t="s">
        <v>2648</v>
      </c>
      <c r="K557" s="101" t="str">
        <f>IF(COUNTIF('TT BTSC'!$D:$D,B557)&gt;0,"Hư hỏng","Bình thường")</f>
        <v>Bình thường</v>
      </c>
      <c r="L557" s="107">
        <v>0.65</v>
      </c>
      <c r="M557" s="182" t="s">
        <v>2649</v>
      </c>
      <c r="N557" s="101" t="s">
        <v>1779</v>
      </c>
      <c r="O557" s="110" t="s">
        <v>500</v>
      </c>
      <c r="P557" s="101">
        <v>2018</v>
      </c>
      <c r="Q557" s="101" t="s">
        <v>2604</v>
      </c>
      <c r="R557" s="101" t="s">
        <v>54</v>
      </c>
      <c r="S557" s="110" t="s">
        <v>2650</v>
      </c>
      <c r="T557" s="111" t="s">
        <v>2651</v>
      </c>
      <c r="U557" s="111">
        <v>5</v>
      </c>
      <c r="V557" s="895">
        <v>220</v>
      </c>
      <c r="W557" s="895"/>
      <c r="X557" s="895"/>
      <c r="Y557" s="895"/>
    </row>
    <row r="558" ht="13.5" customHeight="1" outlineLevel="1" spans="1:25">
      <c r="A558" s="101"/>
      <c r="B558" s="102"/>
      <c r="C558" s="102" t="s">
        <v>1034</v>
      </c>
      <c r="D558" s="103"/>
      <c r="E558" s="103"/>
      <c r="F558" s="103"/>
      <c r="G558" s="102"/>
      <c r="H558" s="101" t="e">
        <f>VLOOKUP(G558,'01. TH'!$B:$E,3,0)</f>
        <v>#N/A</v>
      </c>
      <c r="I558" s="101"/>
      <c r="J558" s="105"/>
      <c r="K558" s="101" t="str">
        <f>IF(COUNTIF('TT BTSC'!$D:$D,B558)&gt;0,"Hư hỏng","Bình thường")</f>
        <v>Bình thường</v>
      </c>
      <c r="L558" s="101"/>
      <c r="M558" s="182"/>
      <c r="N558" s="101"/>
      <c r="O558" s="110"/>
      <c r="P558" s="101"/>
      <c r="Q558" s="101"/>
      <c r="R558" s="101"/>
      <c r="S558" s="110"/>
      <c r="T558" s="111"/>
      <c r="U558" s="111"/>
      <c r="V558" s="192"/>
      <c r="W558" s="192"/>
      <c r="X558" s="192"/>
      <c r="Y558" s="192"/>
    </row>
    <row r="559" ht="13.5" customHeight="1" spans="1:25">
      <c r="A559" s="894" t="s">
        <v>2652</v>
      </c>
      <c r="B559" s="894"/>
      <c r="C559" s="87">
        <f>COUNTA($B$560:$B$581)</f>
        <v>20</v>
      </c>
      <c r="D559" s="894" t="str">
        <f>IFERROR(VLOOKUP(B559,' 02.1 KLH-CN MÃ BRAVO MM'!$B:$C,2,0),"")</f>
        <v/>
      </c>
      <c r="E559" s="87"/>
      <c r="F559" s="87"/>
      <c r="G559" s="87"/>
      <c r="H559" s="894"/>
      <c r="I559" s="894"/>
      <c r="J559" s="932"/>
      <c r="K559" s="87"/>
      <c r="L559" s="87"/>
      <c r="M559" s="894"/>
      <c r="N559" s="87"/>
      <c r="O559" s="894"/>
      <c r="P559" s="894"/>
      <c r="Q559" s="894"/>
      <c r="R559" s="894"/>
      <c r="S559" s="894"/>
      <c r="T559" s="894"/>
      <c r="U559" s="894"/>
      <c r="V559" s="192"/>
      <c r="W559" s="192"/>
      <c r="X559" s="192"/>
      <c r="Y559" s="192"/>
    </row>
    <row r="560" ht="13.5" customHeight="1" outlineLevel="1" spans="1:25">
      <c r="A560" s="103">
        <v>1</v>
      </c>
      <c r="B560" s="104" t="s">
        <v>2653</v>
      </c>
      <c r="C560" s="104" t="s">
        <v>878</v>
      </c>
      <c r="D560" s="103" t="str">
        <f>IFERROR(VLOOKUP(B560,' 02.1 KLH-CN MÃ BRAVO MM'!$B:$C,2,0),"")</f>
        <v>A22-XCA-004</v>
      </c>
      <c r="E560" s="103"/>
      <c r="F560" s="103" t="s">
        <v>451</v>
      </c>
      <c r="G560" s="104" t="s">
        <v>145</v>
      </c>
      <c r="H560" s="101" t="str">
        <f>VLOOKUP(G560,'01. TH'!$B:$E,3,0)</f>
        <v/>
      </c>
      <c r="I560" s="101" t="s">
        <v>2654</v>
      </c>
      <c r="J560" s="112"/>
      <c r="K560" s="101" t="str">
        <f>IF(COUNTIF('TT BTSC'!$D:$D,B560)&gt;0,"Hư hỏng","Bình thường")</f>
        <v>Bình thường</v>
      </c>
      <c r="L560" s="103"/>
      <c r="M560" s="183"/>
      <c r="N560" s="103" t="s">
        <v>1267</v>
      </c>
      <c r="O560" s="111" t="s">
        <v>465</v>
      </c>
      <c r="P560" s="103"/>
      <c r="Q560" s="103"/>
      <c r="R560" s="103"/>
      <c r="S560" s="111" t="s">
        <v>462</v>
      </c>
      <c r="T560" s="111">
        <v>107291</v>
      </c>
      <c r="U560" s="111">
        <v>4.2</v>
      </c>
      <c r="V560" s="192"/>
      <c r="W560" s="192"/>
      <c r="X560" s="192"/>
      <c r="Y560" s="192"/>
    </row>
    <row r="561" ht="13.5" customHeight="1" outlineLevel="1" spans="1:25">
      <c r="A561" s="101">
        <f t="shared" ref="A561:A579" si="16">A560+1</f>
        <v>2</v>
      </c>
      <c r="B561" s="102" t="s">
        <v>2655</v>
      </c>
      <c r="C561" s="102" t="s">
        <v>2656</v>
      </c>
      <c r="D561" s="103" t="str">
        <f>IFERROR(VLOOKUP(B561,' 02.1 KLH-CN MÃ BRAVO MM'!$B:$C,2,0),"")</f>
        <v>A22-XCA-002</v>
      </c>
      <c r="E561" s="103"/>
      <c r="F561" s="103" t="s">
        <v>504</v>
      </c>
      <c r="G561" s="102" t="s">
        <v>152</v>
      </c>
      <c r="H561" s="101" t="str">
        <f>VLOOKUP(G561,'01. TH'!$B:$E,3,0)</f>
        <v>13530 x 2600 x 3700</v>
      </c>
      <c r="I561" s="101" t="s">
        <v>2654</v>
      </c>
      <c r="J561" s="105">
        <v>45478</v>
      </c>
      <c r="K561" s="101" t="str">
        <f>IF(COUNTIF('TT BTSC'!$D:$D,B561)&gt;0,"Hư hỏng","Bình thường")</f>
        <v>Bình thường</v>
      </c>
      <c r="L561" s="107">
        <v>1</v>
      </c>
      <c r="M561" s="182" t="s">
        <v>2657</v>
      </c>
      <c r="N561" s="101" t="s">
        <v>2658</v>
      </c>
      <c r="O561" s="110" t="s">
        <v>590</v>
      </c>
      <c r="P561" s="101">
        <v>2023</v>
      </c>
      <c r="Q561" s="101" t="s">
        <v>2659</v>
      </c>
      <c r="R561" s="101" t="s">
        <v>134</v>
      </c>
      <c r="S561" s="110" t="s">
        <v>2660</v>
      </c>
      <c r="T561" s="111" t="s">
        <v>2661</v>
      </c>
      <c r="U561" s="111">
        <v>7.5</v>
      </c>
      <c r="V561" s="895">
        <v>0</v>
      </c>
      <c r="W561" s="895"/>
      <c r="X561" s="895"/>
      <c r="Y561" s="895"/>
    </row>
    <row r="562" ht="13.5" customHeight="1" outlineLevel="1" spans="1:25">
      <c r="A562" s="101">
        <f t="shared" si="16"/>
        <v>3</v>
      </c>
      <c r="B562" s="102" t="s">
        <v>2662</v>
      </c>
      <c r="C562" s="159" t="s">
        <v>2663</v>
      </c>
      <c r="D562" s="103" t="str">
        <f>IFERROR(VLOOKUP(B562,' 02.1 KLH-CN MÃ BRAVO MM'!$B:$C,2,0),"")</f>
        <v>A22-XCA-006</v>
      </c>
      <c r="E562" s="146"/>
      <c r="F562" s="103" t="s">
        <v>451</v>
      </c>
      <c r="G562" s="124" t="s">
        <v>2664</v>
      </c>
      <c r="H562" s="101" t="e">
        <f>VLOOKUP(G562,'01. TH'!$B:$E,3,0)</f>
        <v>#N/A</v>
      </c>
      <c r="I562" s="101" t="s">
        <v>2654</v>
      </c>
      <c r="J562" s="148">
        <v>45329</v>
      </c>
      <c r="K562" s="101" t="str">
        <f>IF(COUNTIF('TT BTSC'!$D:$D,B562)&gt;0,"Hư hỏng","Bình thường")</f>
        <v>Bình thường</v>
      </c>
      <c r="L562" s="149"/>
      <c r="M562" s="206" t="s">
        <v>2665</v>
      </c>
      <c r="N562" s="146" t="s">
        <v>1019</v>
      </c>
      <c r="O562" s="110" t="s">
        <v>500</v>
      </c>
      <c r="P562" s="146">
        <v>2018</v>
      </c>
      <c r="Q562" s="103" t="s">
        <v>2604</v>
      </c>
      <c r="R562" s="103" t="s">
        <v>54</v>
      </c>
      <c r="S562" s="933" t="s">
        <v>2666</v>
      </c>
      <c r="T562" s="933" t="s">
        <v>2667</v>
      </c>
      <c r="U562" s="111">
        <v>5</v>
      </c>
      <c r="V562" s="895">
        <v>220</v>
      </c>
      <c r="W562" s="895"/>
      <c r="X562" s="895"/>
      <c r="Y562" s="895"/>
    </row>
    <row r="563" ht="13.5" customHeight="1" outlineLevel="1" spans="1:25">
      <c r="A563" s="101">
        <f t="shared" si="16"/>
        <v>4</v>
      </c>
      <c r="B563" s="102" t="s">
        <v>2668</v>
      </c>
      <c r="C563" s="159"/>
      <c r="D563" s="103" t="s">
        <v>2669</v>
      </c>
      <c r="E563" s="146"/>
      <c r="F563" s="103" t="s">
        <v>504</v>
      </c>
      <c r="G563" s="124" t="s">
        <v>150</v>
      </c>
      <c r="H563" s="101" t="str">
        <f>VLOOKUP(G563,'01. TH'!$B:$E,3,0)</f>
        <v>11845 x 2500 x 3690</v>
      </c>
      <c r="I563" s="101" t="s">
        <v>2654</v>
      </c>
      <c r="J563" s="148" t="s">
        <v>2670</v>
      </c>
      <c r="K563" s="101" t="str">
        <f>IF(COUNTIF('TT BTSC'!$D:$D,B563)&gt;0,"Hư hỏng","Bình thường")</f>
        <v>Bình thường</v>
      </c>
      <c r="L563" s="149"/>
      <c r="M563" s="182" t="s">
        <v>1146</v>
      </c>
      <c r="N563" s="146" t="s">
        <v>2671</v>
      </c>
      <c r="O563" s="110" t="s">
        <v>943</v>
      </c>
      <c r="P563" s="146">
        <v>2022</v>
      </c>
      <c r="Q563" s="103" t="s">
        <v>2672</v>
      </c>
      <c r="R563" s="103" t="s">
        <v>151</v>
      </c>
      <c r="S563" s="933" t="s">
        <v>2673</v>
      </c>
      <c r="T563" s="933">
        <v>82162916</v>
      </c>
      <c r="U563" s="924">
        <v>6</v>
      </c>
      <c r="V563" s="898">
        <v>260</v>
      </c>
      <c r="W563" s="898"/>
      <c r="X563" s="898"/>
      <c r="Y563" s="898"/>
    </row>
    <row r="564" ht="22.5" customHeight="1" outlineLevel="1" spans="1:25">
      <c r="A564" s="101">
        <f t="shared" si="16"/>
        <v>5</v>
      </c>
      <c r="B564" s="124" t="s">
        <v>2674</v>
      </c>
      <c r="C564" s="124" t="s">
        <v>504</v>
      </c>
      <c r="D564" s="157" t="s">
        <v>2675</v>
      </c>
      <c r="E564" s="157"/>
      <c r="F564" s="103" t="s">
        <v>504</v>
      </c>
      <c r="G564" s="124" t="s">
        <v>150</v>
      </c>
      <c r="H564" s="101" t="str">
        <f>VLOOKUP(G564,'01. TH'!$B:$E,3,0)</f>
        <v>11845 x 2500 x 3690</v>
      </c>
      <c r="I564" s="101" t="s">
        <v>2654</v>
      </c>
      <c r="J564" s="897">
        <v>45757</v>
      </c>
      <c r="K564" s="101" t="str">
        <f>IF(COUNTIF('TT BTSC'!$D:$D,B564)&gt;0,"Hư hỏng","Bình thường")</f>
        <v>Bình thường</v>
      </c>
      <c r="L564" s="171"/>
      <c r="M564" s="182" t="s">
        <v>2676</v>
      </c>
      <c r="N564" s="157" t="s">
        <v>2671</v>
      </c>
      <c r="O564" s="160" t="s">
        <v>955</v>
      </c>
      <c r="P564" s="157">
        <v>2023</v>
      </c>
      <c r="Q564" s="157" t="s">
        <v>2677</v>
      </c>
      <c r="R564" s="157" t="s">
        <v>2678</v>
      </c>
      <c r="S564" s="160" t="s">
        <v>2679</v>
      </c>
      <c r="T564" s="160" t="s">
        <v>2680</v>
      </c>
      <c r="U564" s="160">
        <v>6</v>
      </c>
      <c r="V564" s="898">
        <v>260</v>
      </c>
      <c r="W564" s="898"/>
      <c r="X564" s="898"/>
      <c r="Y564" s="898"/>
    </row>
    <row r="565" ht="13.5" customHeight="1" outlineLevel="1" spans="1:25">
      <c r="A565" s="101">
        <f t="shared" si="16"/>
        <v>6</v>
      </c>
      <c r="B565" s="934" t="s">
        <v>2681</v>
      </c>
      <c r="C565" s="934" t="s">
        <v>2682</v>
      </c>
      <c r="D565" s="935">
        <f>IFERROR(VLOOKUP(B565,' 02.1 KLH-CN MÃ BRAVO MM'!$B:$C,2,0),"")</f>
        <v>0</v>
      </c>
      <c r="E565" s="935"/>
      <c r="F565" s="103" t="s">
        <v>451</v>
      </c>
      <c r="G565" s="934" t="s">
        <v>148</v>
      </c>
      <c r="H565" s="101" t="str">
        <f>VLOOKUP(G565,'01. TH'!$B:$E,3,0)</f>
        <v>12160 x 2500 x 3950</v>
      </c>
      <c r="I565" s="101" t="s">
        <v>2654</v>
      </c>
      <c r="J565" s="936"/>
      <c r="K565" s="101" t="str">
        <f>IF(COUNTIF('TT BTSC'!$D:$D,B565)&gt;0,"Hư hỏng","Bình thường")</f>
        <v>Bình thường</v>
      </c>
      <c r="L565" s="937"/>
      <c r="M565" s="938"/>
      <c r="N565" s="882" t="s">
        <v>540</v>
      </c>
      <c r="O565" s="939" t="s">
        <v>500</v>
      </c>
      <c r="P565" s="882"/>
      <c r="Q565" s="882" t="s">
        <v>2683</v>
      </c>
      <c r="R565" s="882" t="s">
        <v>139</v>
      </c>
      <c r="S565" s="939" t="s">
        <v>2684</v>
      </c>
      <c r="T565" s="940" t="s">
        <v>2685</v>
      </c>
      <c r="U565" s="940">
        <v>7.1</v>
      </c>
      <c r="V565" s="895">
        <v>250</v>
      </c>
      <c r="W565" s="895"/>
      <c r="X565" s="895"/>
      <c r="Y565" s="895"/>
    </row>
    <row r="566" ht="13.5" customHeight="1" outlineLevel="1" spans="1:25">
      <c r="A566" s="101">
        <f t="shared" si="16"/>
        <v>7</v>
      </c>
      <c r="B566" s="102" t="s">
        <v>2686</v>
      </c>
      <c r="C566" s="102" t="s">
        <v>2687</v>
      </c>
      <c r="D566" s="103" t="str">
        <f>IFERROR(VLOOKUP(B566,' 02.1 KLH-CN MÃ BRAVO MM'!$B:$C,2,0),"")</f>
        <v>A22-XNA-002</v>
      </c>
      <c r="E566" s="103"/>
      <c r="F566" s="103" t="s">
        <v>451</v>
      </c>
      <c r="G566" s="102" t="s">
        <v>246</v>
      </c>
      <c r="H566" s="101" t="str">
        <f>VLOOKUP(G566,'01. TH'!$B:$E,3,0)</f>
        <v/>
      </c>
      <c r="I566" s="101" t="s">
        <v>2654</v>
      </c>
      <c r="J566" s="105"/>
      <c r="K566" s="101" t="str">
        <f>IF(COUNTIF('TT BTSC'!$D:$D,B566)&gt;0,"Hư hỏng","Bình thường")</f>
        <v>Bình thường</v>
      </c>
      <c r="L566" s="101"/>
      <c r="M566" s="182"/>
      <c r="N566" s="101" t="s">
        <v>1380</v>
      </c>
      <c r="O566" s="110"/>
      <c r="P566" s="101"/>
      <c r="Q566" s="101"/>
      <c r="R566" s="101"/>
      <c r="S566" s="110" t="s">
        <v>2688</v>
      </c>
      <c r="T566" s="111" t="s">
        <v>462</v>
      </c>
      <c r="U566" s="111">
        <v>2</v>
      </c>
      <c r="V566" s="192"/>
      <c r="W566" s="192"/>
      <c r="X566" s="192"/>
      <c r="Y566" s="192"/>
    </row>
    <row r="567" ht="13.5" customHeight="1" outlineLevel="1" spans="1:25">
      <c r="A567" s="101">
        <f t="shared" si="16"/>
        <v>8</v>
      </c>
      <c r="B567" s="102" t="s">
        <v>2689</v>
      </c>
      <c r="C567" s="102" t="s">
        <v>2689</v>
      </c>
      <c r="D567" s="103" t="str">
        <f>IFERROR(VLOOKUP(B567,' 02.1 KLH-CN MÃ BRAVO MM'!$B:$C,2,0),"")</f>
        <v>A22-MKE-029</v>
      </c>
      <c r="E567" s="103"/>
      <c r="F567" s="103" t="s">
        <v>451</v>
      </c>
      <c r="G567" s="102" t="s">
        <v>207</v>
      </c>
      <c r="H567" s="101" t="str">
        <f>VLOOKUP(G567,'01. TH'!$B:$E,3,0)</f>
        <v>3445 x 1865 x 2535</v>
      </c>
      <c r="I567" s="101" t="s">
        <v>2654</v>
      </c>
      <c r="J567" s="836"/>
      <c r="K567" s="101" t="str">
        <f>IF(COUNTIF('TT BTSC'!$D:$D,B567)&gt;0,"Hư hỏng","Bình thường")</f>
        <v>Bình thường</v>
      </c>
      <c r="L567" s="101"/>
      <c r="M567" s="182"/>
      <c r="N567" s="101" t="s">
        <v>759</v>
      </c>
      <c r="O567" s="110" t="s">
        <v>453</v>
      </c>
      <c r="P567" s="101">
        <v>2013</v>
      </c>
      <c r="Q567" s="101" t="s">
        <v>1064</v>
      </c>
      <c r="R567" s="101" t="s">
        <v>208</v>
      </c>
      <c r="S567" s="110" t="s">
        <v>2690</v>
      </c>
      <c r="T567" s="111" t="s">
        <v>462</v>
      </c>
      <c r="U567" s="111">
        <v>3.5</v>
      </c>
      <c r="V567" s="895">
        <v>90</v>
      </c>
      <c r="W567" s="895"/>
      <c r="X567" s="895"/>
      <c r="Y567" s="895"/>
    </row>
    <row r="568" ht="13.5" customHeight="1" outlineLevel="1" spans="1:25">
      <c r="A568" s="101">
        <f t="shared" si="16"/>
        <v>9</v>
      </c>
      <c r="B568" s="102" t="s">
        <v>2691</v>
      </c>
      <c r="C568" s="102" t="s">
        <v>2692</v>
      </c>
      <c r="D568" s="103" t="str">
        <f>IFERROR(VLOOKUP(B568,' 02.1 KLH-CN MÃ BRAVO MM'!$B:$C,2,0),"")</f>
        <v>A22-MKE-030</v>
      </c>
      <c r="E568" s="103"/>
      <c r="F568" s="103" t="s">
        <v>451</v>
      </c>
      <c r="G568" s="102" t="s">
        <v>218</v>
      </c>
      <c r="H568" s="101" t="str">
        <f>VLOOKUP(G568,'01. TH'!$B:$E,3,0)</f>
        <v/>
      </c>
      <c r="I568" s="101" t="s">
        <v>2654</v>
      </c>
      <c r="J568" s="105"/>
      <c r="K568" s="101" t="str">
        <f>IF(COUNTIF('TT BTSC'!$D:$D,B568)&gt;0,"Hư hỏng","Bình thường")</f>
        <v>Bình thường</v>
      </c>
      <c r="L568" s="101"/>
      <c r="M568" s="182"/>
      <c r="N568" s="101" t="s">
        <v>2693</v>
      </c>
      <c r="O568" s="110" t="s">
        <v>453</v>
      </c>
      <c r="P568" s="101"/>
      <c r="Q568" s="101"/>
      <c r="R568" s="161" t="s">
        <v>199</v>
      </c>
      <c r="S568" s="110" t="s">
        <v>2694</v>
      </c>
      <c r="T568" s="111" t="s">
        <v>462</v>
      </c>
      <c r="U568" s="111"/>
      <c r="V568" s="192"/>
      <c r="W568" s="192"/>
      <c r="X568" s="192"/>
      <c r="Y568" s="192"/>
    </row>
    <row r="569" ht="13.5" customHeight="1" outlineLevel="1" spans="1:25">
      <c r="A569" s="101">
        <f t="shared" si="16"/>
        <v>10</v>
      </c>
      <c r="B569" s="102" t="s">
        <v>2695</v>
      </c>
      <c r="C569" s="102"/>
      <c r="D569" s="103" t="str">
        <f>IFERROR(VLOOKUP(B569,' 02.1 KLH-CN MÃ BRAVO MM'!$B:$C,2,0),"")</f>
        <v>A22-MKE-032</v>
      </c>
      <c r="E569" s="103"/>
      <c r="F569" s="103" t="s">
        <v>451</v>
      </c>
      <c r="G569" s="102" t="s">
        <v>197</v>
      </c>
      <c r="H569" s="101" t="str">
        <f>VLOOKUP(G569,'01. TH'!$B:$E,3,0)</f>
        <v>3226 x 1570 x 1545</v>
      </c>
      <c r="I569" s="101" t="s">
        <v>2654</v>
      </c>
      <c r="J569" s="105"/>
      <c r="K569" s="101" t="str">
        <f>IF(COUNTIF('TT BTSC'!$D:$D,B569)&gt;0,"Hư hỏng","Bình thường")</f>
        <v>Bình thường</v>
      </c>
      <c r="L569" s="101"/>
      <c r="M569" s="182"/>
      <c r="N569" s="101" t="s">
        <v>1019</v>
      </c>
      <c r="O569" s="110" t="s">
        <v>500</v>
      </c>
      <c r="P569" s="101">
        <v>2012</v>
      </c>
      <c r="Q569" s="101" t="s">
        <v>1122</v>
      </c>
      <c r="R569" s="101" t="s">
        <v>128</v>
      </c>
      <c r="S569" s="110" t="s">
        <v>2696</v>
      </c>
      <c r="T569" s="111" t="s">
        <v>462</v>
      </c>
      <c r="U569" s="111">
        <v>2.5</v>
      </c>
      <c r="V569" s="895">
        <v>0</v>
      </c>
      <c r="W569" s="895"/>
      <c r="X569" s="895"/>
      <c r="Y569" s="895"/>
    </row>
    <row r="570" ht="13.5" customHeight="1" outlineLevel="1" spans="1:25">
      <c r="A570" s="101">
        <f t="shared" si="16"/>
        <v>11</v>
      </c>
      <c r="B570" s="102" t="s">
        <v>2697</v>
      </c>
      <c r="C570" s="102" t="s">
        <v>2698</v>
      </c>
      <c r="D570" s="103" t="str">
        <f>IFERROR(VLOOKUP(B570,' 02.1 KLH-CN MÃ BRAVO MM'!$B:$C,2,0),"")</f>
        <v>A22-XNA-001</v>
      </c>
      <c r="E570" s="103"/>
      <c r="F570" s="103" t="s">
        <v>451</v>
      </c>
      <c r="G570" s="102" t="s">
        <v>240</v>
      </c>
      <c r="H570" s="101" t="str">
        <f>VLOOKUP(G570,'01. TH'!$B:$E,3,0)</f>
        <v/>
      </c>
      <c r="I570" s="101" t="s">
        <v>2654</v>
      </c>
      <c r="J570" s="105"/>
      <c r="K570" s="101" t="str">
        <f>IF(COUNTIF('TT BTSC'!$D:$D,B570)&gt;0,"Hư hỏng","Bình thường")</f>
        <v>Bình thường</v>
      </c>
      <c r="L570" s="101"/>
      <c r="M570" s="182"/>
      <c r="N570" s="101" t="s">
        <v>2699</v>
      </c>
      <c r="O570" s="110" t="s">
        <v>453</v>
      </c>
      <c r="P570" s="101"/>
      <c r="Q570" s="101"/>
      <c r="R570" s="101"/>
      <c r="S570" s="110">
        <v>31059</v>
      </c>
      <c r="T570" s="111" t="s">
        <v>2700</v>
      </c>
      <c r="U570" s="924">
        <v>2.5</v>
      </c>
      <c r="V570" s="192"/>
      <c r="W570" s="192"/>
      <c r="X570" s="192"/>
      <c r="Y570" s="192"/>
    </row>
    <row r="571" ht="13.5" customHeight="1" outlineLevel="1" spans="1:25">
      <c r="A571" s="101">
        <f t="shared" si="16"/>
        <v>12</v>
      </c>
      <c r="B571" s="102" t="s">
        <v>2701</v>
      </c>
      <c r="C571" s="102" t="s">
        <v>2702</v>
      </c>
      <c r="D571" s="103" t="str">
        <f>IFERROR(VLOOKUP(B571,' 02.1 KLH-CN MÃ BRAVO MM'!$B:$C,2,0),"")</f>
        <v>ATT-A22-0275</v>
      </c>
      <c r="E571" s="101"/>
      <c r="F571" s="103" t="s">
        <v>451</v>
      </c>
      <c r="G571" s="102" t="s">
        <v>288</v>
      </c>
      <c r="H571" s="101" t="str">
        <f>VLOOKUP(G571,'01. TH'!$B:$E,3,0)</f>
        <v>3300 x 1300 x 1600</v>
      </c>
      <c r="I571" s="101" t="s">
        <v>2654</v>
      </c>
      <c r="J571" s="105">
        <v>44936</v>
      </c>
      <c r="K571" s="101" t="str">
        <f>IF(COUNTIF('TT BTSC'!$D:$D,B571)&gt;0,"Hư hỏng","Bình thường")</f>
        <v>Bình thường</v>
      </c>
      <c r="L571" s="107">
        <v>0.95</v>
      </c>
      <c r="M571" s="182"/>
      <c r="N571" s="101" t="s">
        <v>2415</v>
      </c>
      <c r="O571" s="110" t="s">
        <v>500</v>
      </c>
      <c r="P571" s="101"/>
      <c r="Q571" s="101" t="s">
        <v>2703</v>
      </c>
      <c r="R571" s="101" t="s">
        <v>48</v>
      </c>
      <c r="S571" s="110" t="s">
        <v>2704</v>
      </c>
      <c r="T571" s="111" t="s">
        <v>462</v>
      </c>
      <c r="U571" s="111">
        <v>2.5</v>
      </c>
      <c r="V571" s="895">
        <v>0</v>
      </c>
      <c r="W571" s="895"/>
      <c r="X571" s="895"/>
      <c r="Y571" s="895"/>
    </row>
    <row r="572" ht="13.5" customHeight="1" outlineLevel="1" spans="1:25">
      <c r="A572" s="101">
        <f t="shared" si="16"/>
        <v>13</v>
      </c>
      <c r="B572" s="102" t="s">
        <v>2705</v>
      </c>
      <c r="C572" s="836"/>
      <c r="D572" s="103" t="str">
        <f>IFERROR(VLOOKUP(B572,' 02.1 KLH-CN MÃ BRAVO MM'!$B:$C,2,0),"")</f>
        <v>ATT-A22-0281</v>
      </c>
      <c r="E572" s="101"/>
      <c r="F572" s="103" t="s">
        <v>451</v>
      </c>
      <c r="G572" s="102" t="s">
        <v>288</v>
      </c>
      <c r="H572" s="101" t="str">
        <f>VLOOKUP(G572,'01. TH'!$B:$E,3,0)</f>
        <v>3300 x 1300 x 1600</v>
      </c>
      <c r="I572" s="101" t="s">
        <v>2654</v>
      </c>
      <c r="J572" s="101" t="s">
        <v>2706</v>
      </c>
      <c r="K572" s="101" t="str">
        <f>IF(COUNTIF('TT BTSC'!$D:$D,B572)&gt;0,"Hư hỏng","Bình thường")</f>
        <v>Bình thường</v>
      </c>
      <c r="L572" s="107">
        <v>0.94</v>
      </c>
      <c r="M572" s="182"/>
      <c r="N572" s="101" t="s">
        <v>2415</v>
      </c>
      <c r="O572" s="110" t="s">
        <v>500</v>
      </c>
      <c r="P572" s="101"/>
      <c r="Q572" s="101" t="s">
        <v>2703</v>
      </c>
      <c r="R572" s="101" t="s">
        <v>48</v>
      </c>
      <c r="S572" s="110" t="s">
        <v>2707</v>
      </c>
      <c r="T572" s="111" t="s">
        <v>462</v>
      </c>
      <c r="U572" s="111">
        <v>2.5</v>
      </c>
      <c r="V572" s="895">
        <v>0</v>
      </c>
      <c r="W572" s="895"/>
      <c r="X572" s="895"/>
      <c r="Y572" s="895"/>
    </row>
    <row r="573" ht="13.5" customHeight="1" outlineLevel="1" spans="1:25">
      <c r="A573" s="101">
        <f t="shared" si="16"/>
        <v>14</v>
      </c>
      <c r="B573" s="102" t="s">
        <v>2708</v>
      </c>
      <c r="C573" s="102"/>
      <c r="D573" s="103" t="str">
        <f>IFERROR(VLOOKUP(B573,' 02.1 KLH-CN MÃ BRAVO MM'!$B:$C,2,0),"")</f>
        <v>ATT-A22-0282</v>
      </c>
      <c r="E573" s="101"/>
      <c r="F573" s="103" t="s">
        <v>451</v>
      </c>
      <c r="G573" s="102" t="s">
        <v>288</v>
      </c>
      <c r="H573" s="101" t="str">
        <f>VLOOKUP(G573,'01. TH'!$B:$E,3,0)</f>
        <v>3300 x 1300 x 1600</v>
      </c>
      <c r="I573" s="101" t="s">
        <v>2654</v>
      </c>
      <c r="J573" s="101" t="s">
        <v>2706</v>
      </c>
      <c r="K573" s="101" t="str">
        <f>IF(COUNTIF('TT BTSC'!$D:$D,B573)&gt;0,"Hư hỏng","Bình thường")</f>
        <v>Bình thường</v>
      </c>
      <c r="L573" s="107">
        <v>0.94</v>
      </c>
      <c r="M573" s="182"/>
      <c r="N573" s="101" t="s">
        <v>2415</v>
      </c>
      <c r="O573" s="110" t="s">
        <v>500</v>
      </c>
      <c r="P573" s="101"/>
      <c r="Q573" s="101" t="s">
        <v>2703</v>
      </c>
      <c r="R573" s="101" t="s">
        <v>48</v>
      </c>
      <c r="S573" s="110" t="s">
        <v>2709</v>
      </c>
      <c r="T573" s="111" t="s">
        <v>462</v>
      </c>
      <c r="U573" s="111">
        <v>2.5</v>
      </c>
      <c r="V573" s="895">
        <v>0</v>
      </c>
      <c r="W573" s="895"/>
      <c r="X573" s="895"/>
      <c r="Y573" s="895"/>
    </row>
    <row r="574" ht="13.5" customHeight="1" outlineLevel="1" spans="1:25">
      <c r="A574" s="101">
        <f t="shared" si="16"/>
        <v>15</v>
      </c>
      <c r="B574" s="102" t="s">
        <v>2710</v>
      </c>
      <c r="C574" s="102"/>
      <c r="D574" s="103" t="str">
        <f>IFERROR(VLOOKUP(B574,' 02.1 KLH-CN MÃ BRAVO MM'!$B:$C,2,0),"")</f>
        <v>ATT-A22-0325</v>
      </c>
      <c r="E574" s="101"/>
      <c r="F574" s="103" t="s">
        <v>451</v>
      </c>
      <c r="G574" s="102" t="s">
        <v>288</v>
      </c>
      <c r="H574" s="101" t="str">
        <f>VLOOKUP(G574,'01. TH'!$B:$E,3,0)</f>
        <v>3300 x 1300 x 1600</v>
      </c>
      <c r="I574" s="101" t="s">
        <v>2654</v>
      </c>
      <c r="J574" s="105">
        <v>45474</v>
      </c>
      <c r="K574" s="101" t="str">
        <f>IF(COUNTIF('TT BTSC'!$D:$D,B574)&gt;0,"Hư hỏng","Bình thường")</f>
        <v>Bình thường</v>
      </c>
      <c r="L574" s="107">
        <v>0.98</v>
      </c>
      <c r="M574" s="182"/>
      <c r="N574" s="101" t="s">
        <v>2415</v>
      </c>
      <c r="O574" s="110" t="s">
        <v>500</v>
      </c>
      <c r="P574" s="101"/>
      <c r="Q574" s="101" t="s">
        <v>2703</v>
      </c>
      <c r="R574" s="101" t="s">
        <v>48</v>
      </c>
      <c r="S574" s="110" t="s">
        <v>2711</v>
      </c>
      <c r="T574" s="111" t="s">
        <v>462</v>
      </c>
      <c r="U574" s="111">
        <v>2.5</v>
      </c>
      <c r="V574" s="895">
        <v>0</v>
      </c>
      <c r="W574" s="895"/>
      <c r="X574" s="895"/>
      <c r="Y574" s="895"/>
    </row>
    <row r="575" ht="13.5" customHeight="1" outlineLevel="1" spans="1:25">
      <c r="A575" s="101">
        <f t="shared" si="16"/>
        <v>16</v>
      </c>
      <c r="B575" s="102" t="s">
        <v>2702</v>
      </c>
      <c r="C575" s="102"/>
      <c r="D575" s="103" t="str">
        <f>IFERROR(VLOOKUP(B575,' 02.1 KLH-CN MÃ BRAVO MM'!$B:$C,2,0),"")</f>
        <v>ATT-A22-0326</v>
      </c>
      <c r="E575" s="101"/>
      <c r="F575" s="103" t="s">
        <v>451</v>
      </c>
      <c r="G575" s="102" t="s">
        <v>288</v>
      </c>
      <c r="H575" s="101" t="str">
        <f>VLOOKUP(G575,'01. TH'!$B:$E,3,0)</f>
        <v>3300 x 1300 x 1600</v>
      </c>
      <c r="I575" s="101" t="s">
        <v>2654</v>
      </c>
      <c r="J575" s="105">
        <v>45352</v>
      </c>
      <c r="K575" s="101" t="str">
        <f>IF(COUNTIF('TT BTSC'!$D:$D,B575)&gt;0,"Hư hỏng","Bình thường")</f>
        <v>Bình thường</v>
      </c>
      <c r="L575" s="107">
        <v>0.95</v>
      </c>
      <c r="M575" s="182"/>
      <c r="N575" s="101" t="s">
        <v>2415</v>
      </c>
      <c r="O575" s="110" t="s">
        <v>500</v>
      </c>
      <c r="P575" s="101"/>
      <c r="Q575" s="101" t="s">
        <v>2703</v>
      </c>
      <c r="R575" s="101" t="s">
        <v>48</v>
      </c>
      <c r="S575" s="110" t="s">
        <v>2712</v>
      </c>
      <c r="T575" s="111" t="s">
        <v>462</v>
      </c>
      <c r="U575" s="111">
        <v>2.5</v>
      </c>
      <c r="V575" s="895">
        <v>0</v>
      </c>
      <c r="W575" s="895"/>
      <c r="X575" s="895"/>
      <c r="Y575" s="895"/>
    </row>
    <row r="576" ht="13.5" customHeight="1" outlineLevel="1" spans="1:25">
      <c r="A576" s="101">
        <f t="shared" si="16"/>
        <v>17</v>
      </c>
      <c r="B576" s="102" t="s">
        <v>2713</v>
      </c>
      <c r="C576" s="102" t="s">
        <v>2713</v>
      </c>
      <c r="D576" s="103" t="str">
        <f>IFERROR(VLOOKUP(B576,' 02.1 KLH-CN MÃ BRAVO MM'!$B:$C,2,0),"")</f>
        <v>ATT-A22-0276</v>
      </c>
      <c r="E576" s="101"/>
      <c r="F576" s="103" t="s">
        <v>451</v>
      </c>
      <c r="G576" s="102" t="s">
        <v>288</v>
      </c>
      <c r="H576" s="101" t="str">
        <f>VLOOKUP(G576,'01. TH'!$B:$E,3,0)</f>
        <v>3300 x 1300 x 1600</v>
      </c>
      <c r="I576" s="101" t="s">
        <v>2654</v>
      </c>
      <c r="J576" s="105">
        <v>44936</v>
      </c>
      <c r="K576" s="101" t="str">
        <f>IF(COUNTIF('TT BTSC'!$D:$D,B576)&gt;0,"Hư hỏng","Bình thường")</f>
        <v>Bình thường</v>
      </c>
      <c r="L576" s="107">
        <v>0.95</v>
      </c>
      <c r="M576" s="182"/>
      <c r="N576" s="101" t="s">
        <v>2415</v>
      </c>
      <c r="O576" s="110" t="s">
        <v>500</v>
      </c>
      <c r="P576" s="101"/>
      <c r="Q576" s="101" t="s">
        <v>2703</v>
      </c>
      <c r="R576" s="101" t="s">
        <v>48</v>
      </c>
      <c r="S576" s="110" t="s">
        <v>2714</v>
      </c>
      <c r="T576" s="111" t="s">
        <v>462</v>
      </c>
      <c r="U576" s="111">
        <v>2.5</v>
      </c>
      <c r="V576" s="895">
        <v>0</v>
      </c>
      <c r="W576" s="895"/>
      <c r="X576" s="895"/>
      <c r="Y576" s="895"/>
    </row>
    <row r="577" ht="13.5" customHeight="1" outlineLevel="1" spans="1:25">
      <c r="A577" s="101">
        <f t="shared" si="16"/>
        <v>18</v>
      </c>
      <c r="B577" s="102" t="s">
        <v>2715</v>
      </c>
      <c r="C577" s="102" t="s">
        <v>2705</v>
      </c>
      <c r="D577" s="103" t="str">
        <f>IFERROR(VLOOKUP(B577,' 02.1 KLH-CN MÃ BRAVO MM'!$B:$C,2,0),"")</f>
        <v>A22-XLO-007</v>
      </c>
      <c r="E577" s="103"/>
      <c r="F577" s="103" t="s">
        <v>451</v>
      </c>
      <c r="G577" s="102" t="s">
        <v>288</v>
      </c>
      <c r="H577" s="101" t="str">
        <f>VLOOKUP(G577,'01. TH'!$B:$E,3,0)</f>
        <v>3300 x 1300 x 1600</v>
      </c>
      <c r="I577" s="101" t="s">
        <v>2654</v>
      </c>
      <c r="J577" s="105"/>
      <c r="K577" s="101" t="str">
        <f>IF(COUNTIF('TT BTSC'!$D:$D,B577)&gt;0,"Hư hỏng","Bình thường")</f>
        <v>Bình thường</v>
      </c>
      <c r="L577" s="101"/>
      <c r="M577" s="182"/>
      <c r="N577" s="101" t="s">
        <v>2716</v>
      </c>
      <c r="O577" s="110" t="s">
        <v>500</v>
      </c>
      <c r="P577" s="101"/>
      <c r="Q577" s="101" t="s">
        <v>2703</v>
      </c>
      <c r="R577" s="101" t="s">
        <v>48</v>
      </c>
      <c r="S577" s="110" t="s">
        <v>2717</v>
      </c>
      <c r="T577" s="111" t="s">
        <v>462</v>
      </c>
      <c r="U577" s="111">
        <v>2.5</v>
      </c>
      <c r="V577" s="895">
        <v>0</v>
      </c>
      <c r="W577" s="895"/>
      <c r="X577" s="895"/>
      <c r="Y577" s="895"/>
    </row>
    <row r="578" ht="13.5" customHeight="1" outlineLevel="1" spans="1:25">
      <c r="A578" s="101">
        <f t="shared" si="16"/>
        <v>19</v>
      </c>
      <c r="B578" s="102" t="s">
        <v>2718</v>
      </c>
      <c r="C578" s="102"/>
      <c r="D578" s="103" t="str">
        <f>IFERROR(VLOOKUP(B578,' 02.1 KLH-CN MÃ BRAVO MM'!$B:$C,2,0),"")</f>
        <v>A22-XLO-008</v>
      </c>
      <c r="E578" s="103"/>
      <c r="F578" s="103" t="s">
        <v>451</v>
      </c>
      <c r="G578" s="102" t="s">
        <v>288</v>
      </c>
      <c r="H578" s="101" t="str">
        <f>VLOOKUP(G578,'01. TH'!$B:$E,3,0)</f>
        <v>3300 x 1300 x 1600</v>
      </c>
      <c r="I578" s="101" t="s">
        <v>2654</v>
      </c>
      <c r="J578" s="105"/>
      <c r="K578" s="101" t="str">
        <f>IF(COUNTIF('TT BTSC'!$D:$D,B578)&gt;0,"Hư hỏng","Bình thường")</f>
        <v>Bình thường</v>
      </c>
      <c r="L578" s="101"/>
      <c r="M578" s="182"/>
      <c r="N578" s="101" t="s">
        <v>2719</v>
      </c>
      <c r="O578" s="110"/>
      <c r="P578" s="101"/>
      <c r="Q578" s="101" t="s">
        <v>2703</v>
      </c>
      <c r="R578" s="101" t="s">
        <v>48</v>
      </c>
      <c r="S578" s="110" t="s">
        <v>2720</v>
      </c>
      <c r="T578" s="111" t="s">
        <v>462</v>
      </c>
      <c r="U578" s="111">
        <v>2.5</v>
      </c>
      <c r="V578" s="895">
        <v>0</v>
      </c>
      <c r="W578" s="895"/>
      <c r="X578" s="895"/>
      <c r="Y578" s="895"/>
    </row>
    <row r="579" ht="13.5" customHeight="1" outlineLevel="1" spans="1:25">
      <c r="A579" s="101">
        <f t="shared" si="16"/>
        <v>20</v>
      </c>
      <c r="B579" s="102" t="s">
        <v>2721</v>
      </c>
      <c r="C579" s="102" t="s">
        <v>2708</v>
      </c>
      <c r="D579" s="103" t="str">
        <f>IFERROR(VLOOKUP(B579,' 02.1 KLH-CN MÃ BRAVO MM'!$B:$C,2,0),"")</f>
        <v>A22-XLO-009</v>
      </c>
      <c r="E579" s="103"/>
      <c r="F579" s="103" t="s">
        <v>451</v>
      </c>
      <c r="G579" s="102" t="s">
        <v>288</v>
      </c>
      <c r="H579" s="101" t="str">
        <f>VLOOKUP(G579,'01. TH'!$B:$E,3,0)</f>
        <v>3300 x 1300 x 1600</v>
      </c>
      <c r="I579" s="101" t="s">
        <v>2654</v>
      </c>
      <c r="J579" s="105"/>
      <c r="K579" s="101" t="str">
        <f>IF(COUNTIF('TT BTSC'!$D:$D,B579)&gt;0,"Hư hỏng","Bình thường")</f>
        <v>Bình thường</v>
      </c>
      <c r="L579" s="101"/>
      <c r="M579" s="836"/>
      <c r="N579" s="101" t="s">
        <v>2719</v>
      </c>
      <c r="O579" s="110"/>
      <c r="P579" s="101"/>
      <c r="Q579" s="101" t="s">
        <v>2703</v>
      </c>
      <c r="R579" s="101" t="s">
        <v>48</v>
      </c>
      <c r="S579" s="110" t="s">
        <v>2722</v>
      </c>
      <c r="T579" s="111" t="s">
        <v>462</v>
      </c>
      <c r="U579" s="111">
        <v>2.5</v>
      </c>
      <c r="V579" s="895">
        <v>0</v>
      </c>
      <c r="W579" s="895"/>
      <c r="X579" s="895"/>
      <c r="Y579" s="895"/>
    </row>
    <row r="580" ht="13.5" customHeight="1" outlineLevel="1" spans="1:25">
      <c r="A580" s="101"/>
      <c r="B580" s="102"/>
      <c r="C580" s="102"/>
      <c r="D580" s="103"/>
      <c r="E580" s="103"/>
      <c r="F580" s="103"/>
      <c r="G580" s="102"/>
      <c r="H580" s="101"/>
      <c r="I580" s="101"/>
      <c r="J580" s="105"/>
      <c r="K580" s="101"/>
      <c r="L580" s="101"/>
      <c r="M580" s="836"/>
      <c r="N580" s="101"/>
      <c r="O580" s="110"/>
      <c r="P580" s="101"/>
      <c r="Q580" s="101"/>
      <c r="R580" s="101"/>
      <c r="S580" s="110"/>
      <c r="T580" s="111"/>
      <c r="U580" s="111"/>
      <c r="V580" s="192"/>
      <c r="W580" s="192"/>
      <c r="X580" s="192"/>
      <c r="Y580" s="192"/>
    </row>
    <row r="581" ht="13.5" customHeight="1" outlineLevel="1" spans="1:25">
      <c r="A581" s="101"/>
      <c r="B581" s="102"/>
      <c r="C581" s="102" t="s">
        <v>1034</v>
      </c>
      <c r="D581" s="103"/>
      <c r="E581" s="103"/>
      <c r="F581" s="103"/>
      <c r="G581" s="102"/>
      <c r="H581" s="101" t="e">
        <f>VLOOKUP(G581,'01. TH'!$B:$E,3,0)</f>
        <v>#N/A</v>
      </c>
      <c r="I581" s="101"/>
      <c r="J581" s="105"/>
      <c r="K581" s="101"/>
      <c r="L581" s="101"/>
      <c r="M581" s="836"/>
      <c r="N581" s="101"/>
      <c r="O581" s="110"/>
      <c r="P581" s="101"/>
      <c r="Q581" s="101"/>
      <c r="R581" s="101"/>
      <c r="S581" s="110"/>
      <c r="T581" s="111"/>
      <c r="U581" s="111"/>
      <c r="V581" s="192"/>
      <c r="W581" s="192"/>
      <c r="X581" s="192"/>
      <c r="Y581" s="192"/>
    </row>
    <row r="582" ht="13.5" customHeight="1" spans="1:25">
      <c r="A582" s="91" t="s">
        <v>2723</v>
      </c>
      <c r="B582" s="91"/>
      <c r="C582" s="92">
        <f>COUNTA($B$583:$B$608)</f>
        <v>24</v>
      </c>
      <c r="D582" s="91" t="str">
        <f>IFERROR(VLOOKUP(B582,' 02.1 KLH-CN MÃ BRAVO MM'!$B:$C,2,0),"")</f>
        <v/>
      </c>
      <c r="E582" s="92"/>
      <c r="F582" s="92"/>
      <c r="G582" s="92"/>
      <c r="H582" s="91"/>
      <c r="I582" s="91"/>
      <c r="J582" s="93"/>
      <c r="K582" s="91"/>
      <c r="L582" s="92"/>
      <c r="M582" s="91"/>
      <c r="N582" s="92"/>
      <c r="O582" s="91"/>
      <c r="P582" s="91"/>
      <c r="Q582" s="91"/>
      <c r="R582" s="91"/>
      <c r="S582" s="91"/>
      <c r="T582" s="91"/>
      <c r="U582" s="91"/>
      <c r="V582" s="192"/>
      <c r="W582" s="192"/>
      <c r="X582" s="192"/>
      <c r="Y582" s="192"/>
    </row>
    <row r="583" ht="13.5" customHeight="1" outlineLevel="1" spans="1:25">
      <c r="A583" s="103">
        <v>1</v>
      </c>
      <c r="B583" s="104" t="s">
        <v>2724</v>
      </c>
      <c r="C583" s="104" t="s">
        <v>2725</v>
      </c>
      <c r="D583" s="103" t="str">
        <f>IFERROR(VLOOKUP(B583,' 02.1 KLH-CN MÃ BRAVO MM'!$B:$C,2,0),"")</f>
        <v/>
      </c>
      <c r="E583" s="103"/>
      <c r="F583" s="103" t="s">
        <v>451</v>
      </c>
      <c r="G583" s="104" t="s">
        <v>200</v>
      </c>
      <c r="H583" s="101" t="str">
        <f>VLOOKUP(G583,'01. TH'!$B:$E,3,0)</f>
        <v>3120 x 1495 x 1510</v>
      </c>
      <c r="I583" s="101" t="s">
        <v>35</v>
      </c>
      <c r="J583" s="112">
        <v>42011</v>
      </c>
      <c r="K583" s="101" t="str">
        <f>IF(COUNTIF('TT BTSC'!$D:$D,B583)&gt;0,"Hư hỏng","Bình thường")</f>
        <v>Bình thường</v>
      </c>
      <c r="L583" s="113">
        <v>0</v>
      </c>
      <c r="M583" s="183" t="s">
        <v>2726</v>
      </c>
      <c r="N583" s="103" t="s">
        <v>759</v>
      </c>
      <c r="O583" s="111" t="s">
        <v>453</v>
      </c>
      <c r="P583" s="103">
        <v>2015</v>
      </c>
      <c r="Q583" s="103" t="s">
        <v>1137</v>
      </c>
      <c r="R583" s="103" t="s">
        <v>41</v>
      </c>
      <c r="S583" s="111">
        <v>1659</v>
      </c>
      <c r="T583" s="111" t="s">
        <v>462</v>
      </c>
      <c r="U583" s="111">
        <v>2.5</v>
      </c>
      <c r="V583" s="895">
        <v>0</v>
      </c>
      <c r="W583" s="895"/>
      <c r="X583" s="895" t="s">
        <v>2727</v>
      </c>
      <c r="Y583" s="895"/>
    </row>
    <row r="584" ht="13.5" customHeight="1" outlineLevel="1" spans="1:25">
      <c r="A584" s="101">
        <f t="shared" ref="A584:A606" si="17">A583+1</f>
        <v>2</v>
      </c>
      <c r="B584" s="102" t="s">
        <v>2728</v>
      </c>
      <c r="C584" s="102" t="s">
        <v>2729</v>
      </c>
      <c r="D584" s="103" t="s">
        <v>2730</v>
      </c>
      <c r="E584" s="103" t="s">
        <v>2731</v>
      </c>
      <c r="F584" s="103" t="s">
        <v>451</v>
      </c>
      <c r="G584" s="102" t="s">
        <v>251</v>
      </c>
      <c r="H584" s="101" t="str">
        <f>VLOOKUP(G584,'01. TH'!$B:$E,3,0)</f>
        <v>4730 x 1750 x 2100</v>
      </c>
      <c r="I584" s="101" t="s">
        <v>35</v>
      </c>
      <c r="J584" s="105">
        <v>45566</v>
      </c>
      <c r="K584" s="101" t="str">
        <f>IF(COUNTIF('TT BTSC'!$D:$D,B584)&gt;0,"Hư hỏng","Bình thường")</f>
        <v>Bình thường</v>
      </c>
      <c r="L584" s="107">
        <v>0.98</v>
      </c>
      <c r="M584" s="182" t="s">
        <v>2732</v>
      </c>
      <c r="N584" s="101" t="s">
        <v>1152</v>
      </c>
      <c r="O584" s="110" t="s">
        <v>500</v>
      </c>
      <c r="P584" s="101">
        <v>2021</v>
      </c>
      <c r="Q584" s="101" t="s">
        <v>1153</v>
      </c>
      <c r="R584" s="101" t="s">
        <v>44</v>
      </c>
      <c r="S584" s="110" t="s">
        <v>2733</v>
      </c>
      <c r="T584" s="111" t="s">
        <v>2734</v>
      </c>
      <c r="U584" s="111"/>
      <c r="V584" s="895">
        <v>60</v>
      </c>
      <c r="W584" s="895"/>
      <c r="X584" s="895" t="s">
        <v>2735</v>
      </c>
      <c r="Y584" s="895"/>
    </row>
    <row r="585" ht="13.5" customHeight="1" outlineLevel="1" spans="1:25">
      <c r="A585" s="101">
        <f t="shared" si="17"/>
        <v>3</v>
      </c>
      <c r="B585" s="102" t="s">
        <v>2736</v>
      </c>
      <c r="C585" s="102"/>
      <c r="D585" s="103"/>
      <c r="E585" s="103"/>
      <c r="F585" s="103" t="s">
        <v>451</v>
      </c>
      <c r="G585" s="104" t="s">
        <v>200</v>
      </c>
      <c r="H585" s="101" t="str">
        <f>VLOOKUP(G585,'01. TH'!$B:$E,3,0)</f>
        <v>3120 x 1495 x 1510</v>
      </c>
      <c r="I585" s="101" t="s">
        <v>35</v>
      </c>
      <c r="J585" s="105"/>
      <c r="K585" s="101" t="str">
        <f>IF(COUNTIF('TT BTSC'!$D:$D,B585)&gt;0,"Hư hỏng","Bình thường")</f>
        <v>Bình thường</v>
      </c>
      <c r="L585" s="107"/>
      <c r="M585" s="182"/>
      <c r="N585" s="103" t="s">
        <v>759</v>
      </c>
      <c r="O585" s="111" t="s">
        <v>453</v>
      </c>
      <c r="P585" s="103">
        <v>2015</v>
      </c>
      <c r="Q585" s="103" t="s">
        <v>1137</v>
      </c>
      <c r="R585" s="103" t="s">
        <v>41</v>
      </c>
      <c r="S585" s="1097" t="s">
        <v>2737</v>
      </c>
      <c r="T585" s="111" t="s">
        <v>462</v>
      </c>
      <c r="U585" s="111">
        <v>2.5</v>
      </c>
      <c r="V585" s="895">
        <v>0</v>
      </c>
      <c r="W585" s="895"/>
      <c r="X585" s="895" t="s">
        <v>2727</v>
      </c>
      <c r="Y585" s="895"/>
    </row>
    <row r="586" ht="13.5" customHeight="1" outlineLevel="1" spans="1:25">
      <c r="A586" s="101">
        <f t="shared" si="17"/>
        <v>4</v>
      </c>
      <c r="B586" s="102" t="s">
        <v>2738</v>
      </c>
      <c r="C586" s="102"/>
      <c r="D586" s="103"/>
      <c r="E586" s="101" t="s">
        <v>2739</v>
      </c>
      <c r="F586" s="103" t="s">
        <v>451</v>
      </c>
      <c r="G586" s="102" t="s">
        <v>261</v>
      </c>
      <c r="H586" s="101" t="str">
        <f>VLOOKUP(G586,'01. TH'!$B:$E,3,0)</f>
        <v/>
      </c>
      <c r="I586" s="101" t="s">
        <v>35</v>
      </c>
      <c r="J586" s="105"/>
      <c r="K586" s="101" t="str">
        <f>IF(COUNTIF('TT BTSC'!$D:$D,B586)&gt;0,"Hư hỏng","Bình thường")</f>
        <v>Bình thường</v>
      </c>
      <c r="L586" s="107"/>
      <c r="M586" s="182" t="s">
        <v>2740</v>
      </c>
      <c r="N586" s="101" t="s">
        <v>2741</v>
      </c>
      <c r="O586" s="110" t="s">
        <v>2742</v>
      </c>
      <c r="P586" s="101">
        <v>2018</v>
      </c>
      <c r="Q586" s="101" t="s">
        <v>2743</v>
      </c>
      <c r="R586" s="101" t="s">
        <v>2744</v>
      </c>
      <c r="S586" s="110" t="s">
        <v>2745</v>
      </c>
      <c r="T586" s="111" t="s">
        <v>2746</v>
      </c>
      <c r="U586" s="111"/>
      <c r="V586" s="895">
        <v>80</v>
      </c>
      <c r="W586" s="895"/>
      <c r="X586" s="102" t="s">
        <v>2747</v>
      </c>
      <c r="Y586" s="895"/>
    </row>
    <row r="587" ht="13.5" customHeight="1" outlineLevel="1" spans="1:25">
      <c r="A587" s="101">
        <f t="shared" si="17"/>
        <v>5</v>
      </c>
      <c r="B587" s="102" t="s">
        <v>2748</v>
      </c>
      <c r="C587" s="102"/>
      <c r="D587" s="103"/>
      <c r="E587" s="101" t="s">
        <v>2749</v>
      </c>
      <c r="F587" s="103" t="s">
        <v>451</v>
      </c>
      <c r="G587" s="102" t="s">
        <v>261</v>
      </c>
      <c r="H587" s="101" t="str">
        <f>VLOOKUP(G587,'01. TH'!$B:$E,3,0)</f>
        <v/>
      </c>
      <c r="I587" s="101" t="s">
        <v>35</v>
      </c>
      <c r="J587" s="105"/>
      <c r="K587" s="101" t="str">
        <f>IF(COUNTIF('TT BTSC'!$D:$D,B587)&gt;0,"Hư hỏng","Bình thường")</f>
        <v>Bình thường</v>
      </c>
      <c r="L587" s="107"/>
      <c r="M587" s="182" t="s">
        <v>2750</v>
      </c>
      <c r="N587" s="101" t="s">
        <v>2741</v>
      </c>
      <c r="O587" s="110" t="s">
        <v>2742</v>
      </c>
      <c r="P587" s="101">
        <v>2018</v>
      </c>
      <c r="Q587" s="101" t="s">
        <v>2743</v>
      </c>
      <c r="R587" s="101" t="s">
        <v>2744</v>
      </c>
      <c r="S587" s="110" t="s">
        <v>2751</v>
      </c>
      <c r="T587" s="111" t="s">
        <v>2752</v>
      </c>
      <c r="U587" s="111"/>
      <c r="V587" s="895">
        <v>80</v>
      </c>
      <c r="W587" s="895"/>
      <c r="X587" s="102" t="s">
        <v>2747</v>
      </c>
      <c r="Y587" s="895"/>
    </row>
    <row r="588" ht="13.5" customHeight="1" outlineLevel="1" spans="1:25">
      <c r="A588" s="101">
        <f t="shared" si="17"/>
        <v>6</v>
      </c>
      <c r="B588" s="102" t="s">
        <v>2753</v>
      </c>
      <c r="C588" s="102"/>
      <c r="D588" s="103"/>
      <c r="E588" s="101" t="s">
        <v>2754</v>
      </c>
      <c r="F588" s="103" t="s">
        <v>451</v>
      </c>
      <c r="G588" s="102" t="s">
        <v>261</v>
      </c>
      <c r="H588" s="101" t="str">
        <f>VLOOKUP(G588,'01. TH'!$B:$E,3,0)</f>
        <v/>
      </c>
      <c r="I588" s="101" t="s">
        <v>35</v>
      </c>
      <c r="J588" s="105"/>
      <c r="K588" s="101" t="str">
        <f>IF(COUNTIF('TT BTSC'!$D:$D,B588)&gt;0,"Hư hỏng","Bình thường")</f>
        <v>Bình thường</v>
      </c>
      <c r="L588" s="107"/>
      <c r="M588" s="182" t="s">
        <v>2755</v>
      </c>
      <c r="N588" s="101" t="s">
        <v>2741</v>
      </c>
      <c r="O588" s="110" t="s">
        <v>2742</v>
      </c>
      <c r="P588" s="101">
        <v>2018</v>
      </c>
      <c r="Q588" s="101" t="s">
        <v>2743</v>
      </c>
      <c r="R588" s="101" t="s">
        <v>2744</v>
      </c>
      <c r="S588" s="110"/>
      <c r="T588" s="111"/>
      <c r="U588" s="111"/>
      <c r="V588" s="895">
        <v>80</v>
      </c>
      <c r="W588" s="895"/>
      <c r="X588" s="102" t="s">
        <v>2756</v>
      </c>
      <c r="Y588" s="895"/>
    </row>
    <row r="589" ht="13.5" customHeight="1" outlineLevel="1" spans="1:25">
      <c r="A589" s="101">
        <f t="shared" si="17"/>
        <v>7</v>
      </c>
      <c r="B589" s="102" t="s">
        <v>2757</v>
      </c>
      <c r="C589" s="102"/>
      <c r="D589" s="103"/>
      <c r="E589" s="101" t="s">
        <v>2758</v>
      </c>
      <c r="F589" s="103" t="s">
        <v>451</v>
      </c>
      <c r="G589" s="102" t="s">
        <v>261</v>
      </c>
      <c r="H589" s="101" t="str">
        <f>VLOOKUP(G589,'01. TH'!$B:$E,3,0)</f>
        <v/>
      </c>
      <c r="I589" s="101" t="s">
        <v>35</v>
      </c>
      <c r="J589" s="105"/>
      <c r="K589" s="101" t="str">
        <f>IF(COUNTIF('TT BTSC'!$D:$D,B589)&gt;0,"Hư hỏng","Bình thường")</f>
        <v>Bình thường</v>
      </c>
      <c r="L589" s="107"/>
      <c r="M589" s="182" t="s">
        <v>2759</v>
      </c>
      <c r="N589" s="101" t="s">
        <v>2741</v>
      </c>
      <c r="O589" s="110" t="s">
        <v>2742</v>
      </c>
      <c r="P589" s="101">
        <v>2018</v>
      </c>
      <c r="Q589" s="101" t="s">
        <v>2743</v>
      </c>
      <c r="R589" s="101" t="s">
        <v>2744</v>
      </c>
      <c r="S589" s="110" t="s">
        <v>2760</v>
      </c>
      <c r="T589" s="111" t="s">
        <v>2761</v>
      </c>
      <c r="U589" s="111"/>
      <c r="V589" s="895">
        <v>80</v>
      </c>
      <c r="W589" s="895"/>
      <c r="X589" s="102" t="s">
        <v>2747</v>
      </c>
      <c r="Y589" s="895"/>
    </row>
    <row r="590" ht="13.5" customHeight="1" outlineLevel="1" spans="1:25">
      <c r="A590" s="101">
        <f t="shared" si="17"/>
        <v>8</v>
      </c>
      <c r="B590" s="102" t="s">
        <v>2762</v>
      </c>
      <c r="C590" s="102"/>
      <c r="D590" s="103"/>
      <c r="E590" s="101" t="s">
        <v>2763</v>
      </c>
      <c r="F590" s="103" t="s">
        <v>451</v>
      </c>
      <c r="G590" s="102" t="s">
        <v>261</v>
      </c>
      <c r="H590" s="101" t="str">
        <f>VLOOKUP(G590,'01. TH'!$B:$E,3,0)</f>
        <v/>
      </c>
      <c r="I590" s="101" t="s">
        <v>35</v>
      </c>
      <c r="J590" s="105"/>
      <c r="K590" s="101" t="str">
        <f>IF(COUNTIF('TT BTSC'!$D:$D,B590)&gt;0,"Hư hỏng","Bình thường")</f>
        <v>Bình thường</v>
      </c>
      <c r="L590" s="107"/>
      <c r="M590" s="182" t="s">
        <v>2764</v>
      </c>
      <c r="N590" s="101" t="s">
        <v>2741</v>
      </c>
      <c r="O590" s="110" t="s">
        <v>2742</v>
      </c>
      <c r="P590" s="101">
        <v>2017</v>
      </c>
      <c r="Q590" s="101" t="s">
        <v>2743</v>
      </c>
      <c r="R590" s="101" t="s">
        <v>2744</v>
      </c>
      <c r="S590" s="110" t="s">
        <v>2765</v>
      </c>
      <c r="T590" s="111" t="s">
        <v>2766</v>
      </c>
      <c r="U590" s="111"/>
      <c r="V590" s="895">
        <v>80</v>
      </c>
      <c r="W590" s="895"/>
      <c r="X590" s="102" t="s">
        <v>2767</v>
      </c>
      <c r="Y590" s="895"/>
    </row>
    <row r="591" ht="13.5" customHeight="1" outlineLevel="1" spans="1:25">
      <c r="A591" s="101">
        <f t="shared" si="17"/>
        <v>9</v>
      </c>
      <c r="B591" s="102" t="s">
        <v>2768</v>
      </c>
      <c r="C591" s="102"/>
      <c r="D591" s="103"/>
      <c r="E591" s="101" t="s">
        <v>2769</v>
      </c>
      <c r="F591" s="103" t="s">
        <v>451</v>
      </c>
      <c r="G591" s="102" t="s">
        <v>262</v>
      </c>
      <c r="H591" s="101" t="str">
        <f>VLOOKUP(G591,'01. TH'!$B:$E,3,0)</f>
        <v/>
      </c>
      <c r="I591" s="101" t="s">
        <v>35</v>
      </c>
      <c r="J591" s="105"/>
      <c r="K591" s="101" t="str">
        <f>IF(COUNTIF('TT BTSC'!$D:$D,B591)&gt;0,"Hư hỏng","Bình thường")</f>
        <v>Bình thường</v>
      </c>
      <c r="L591" s="107"/>
      <c r="M591" s="182" t="s">
        <v>2770</v>
      </c>
      <c r="N591" s="101" t="s">
        <v>2771</v>
      </c>
      <c r="O591" s="110" t="s">
        <v>1009</v>
      </c>
      <c r="P591" s="101">
        <v>2014</v>
      </c>
      <c r="Q591" s="101" t="s">
        <v>2772</v>
      </c>
      <c r="R591" s="101" t="s">
        <v>2773</v>
      </c>
      <c r="S591" s="110"/>
      <c r="T591" s="111"/>
      <c r="U591" s="111"/>
      <c r="V591" s="895">
        <v>0</v>
      </c>
      <c r="W591" s="895"/>
      <c r="X591" s="102" t="s">
        <v>2774</v>
      </c>
      <c r="Y591" s="895"/>
    </row>
    <row r="592" ht="13.5" customHeight="1" outlineLevel="1" spans="1:25">
      <c r="A592" s="101">
        <f t="shared" si="17"/>
        <v>10</v>
      </c>
      <c r="B592" s="102" t="s">
        <v>2775</v>
      </c>
      <c r="C592" s="102"/>
      <c r="D592" s="103"/>
      <c r="E592" s="101" t="s">
        <v>2776</v>
      </c>
      <c r="F592" s="103" t="s">
        <v>451</v>
      </c>
      <c r="G592" s="102" t="s">
        <v>261</v>
      </c>
      <c r="H592" s="101" t="str">
        <f>VLOOKUP(G592,'01. TH'!$B:$E,3,0)</f>
        <v/>
      </c>
      <c r="I592" s="101" t="s">
        <v>35</v>
      </c>
      <c r="J592" s="105"/>
      <c r="K592" s="101" t="str">
        <f>IF(COUNTIF('TT BTSC'!$D:$D,B592)&gt;0,"Hư hỏng","Bình thường")</f>
        <v>Bình thường</v>
      </c>
      <c r="L592" s="107"/>
      <c r="M592" s="182" t="s">
        <v>2777</v>
      </c>
      <c r="N592" s="101" t="s">
        <v>2741</v>
      </c>
      <c r="O592" s="110" t="s">
        <v>2742</v>
      </c>
      <c r="P592" s="101">
        <v>2018</v>
      </c>
      <c r="Q592" s="101" t="s">
        <v>2743</v>
      </c>
      <c r="R592" s="101" t="s">
        <v>2744</v>
      </c>
      <c r="S592" s="110" t="s">
        <v>2778</v>
      </c>
      <c r="T592" s="111" t="s">
        <v>2779</v>
      </c>
      <c r="U592" s="111"/>
      <c r="V592" s="895">
        <v>80</v>
      </c>
      <c r="W592" s="895"/>
      <c r="X592" s="102" t="s">
        <v>2756</v>
      </c>
      <c r="Y592" s="895"/>
    </row>
    <row r="593" ht="13.5" customHeight="1" outlineLevel="1" spans="1:25">
      <c r="A593" s="101">
        <f t="shared" si="17"/>
        <v>11</v>
      </c>
      <c r="B593" s="102" t="s">
        <v>2780</v>
      </c>
      <c r="C593" s="102"/>
      <c r="D593" s="103"/>
      <c r="E593" s="101" t="s">
        <v>2781</v>
      </c>
      <c r="F593" s="103" t="s">
        <v>451</v>
      </c>
      <c r="G593" s="102" t="s">
        <v>263</v>
      </c>
      <c r="H593" s="101" t="str">
        <f>VLOOKUP(G593,'01. TH'!$B:$E,3,0)</f>
        <v/>
      </c>
      <c r="I593" s="101" t="s">
        <v>35</v>
      </c>
      <c r="J593" s="105"/>
      <c r="K593" s="101" t="str">
        <f>IF(COUNTIF('TT BTSC'!$D:$D,B593)&gt;0,"Hư hỏng","Bình thường")</f>
        <v>Bình thường</v>
      </c>
      <c r="L593" s="107"/>
      <c r="M593" s="182" t="s">
        <v>2777</v>
      </c>
      <c r="N593" s="101" t="s">
        <v>1473</v>
      </c>
      <c r="O593" s="110" t="s">
        <v>2742</v>
      </c>
      <c r="P593" s="101">
        <v>2019</v>
      </c>
      <c r="Q593" s="101" t="s">
        <v>2782</v>
      </c>
      <c r="R593" s="101" t="s">
        <v>151</v>
      </c>
      <c r="S593" s="110" t="s">
        <v>2783</v>
      </c>
      <c r="T593" s="111" t="s">
        <v>2784</v>
      </c>
      <c r="U593" s="111"/>
      <c r="V593" s="895">
        <v>0</v>
      </c>
      <c r="W593" s="895"/>
      <c r="X593" s="102" t="s">
        <v>263</v>
      </c>
      <c r="Y593" s="895"/>
    </row>
    <row r="594" ht="13.5" customHeight="1" outlineLevel="1" spans="1:25">
      <c r="A594" s="101">
        <f t="shared" si="17"/>
        <v>12</v>
      </c>
      <c r="B594" s="102" t="s">
        <v>2785</v>
      </c>
      <c r="C594" s="102"/>
      <c r="D594" s="103"/>
      <c r="E594" s="101" t="s">
        <v>2786</v>
      </c>
      <c r="F594" s="103" t="s">
        <v>451</v>
      </c>
      <c r="G594" s="102" t="s">
        <v>264</v>
      </c>
      <c r="H594" s="101" t="str">
        <f>VLOOKUP(G594,'01. TH'!$B:$E,3,0)</f>
        <v/>
      </c>
      <c r="I594" s="101" t="s">
        <v>35</v>
      </c>
      <c r="J594" s="105"/>
      <c r="K594" s="101" t="str">
        <f>IF(COUNTIF('TT BTSC'!$D:$D,B594)&gt;0,"Hư hỏng","Bình thường")</f>
        <v>Bình thường</v>
      </c>
      <c r="L594" s="107"/>
      <c r="M594" s="182" t="s">
        <v>2787</v>
      </c>
      <c r="N594" s="101" t="s">
        <v>2788</v>
      </c>
      <c r="O594" s="110" t="s">
        <v>555</v>
      </c>
      <c r="P594" s="101">
        <v>2009</v>
      </c>
      <c r="Q594" s="101" t="s">
        <v>2789</v>
      </c>
      <c r="R594" s="101" t="s">
        <v>2790</v>
      </c>
      <c r="S594" s="110" t="s">
        <v>2791</v>
      </c>
      <c r="T594" s="111" t="s">
        <v>2792</v>
      </c>
      <c r="U594" s="111"/>
      <c r="V594" s="895">
        <v>0</v>
      </c>
      <c r="W594" s="895"/>
      <c r="X594" s="102" t="s">
        <v>2793</v>
      </c>
      <c r="Y594" s="895"/>
    </row>
    <row r="595" ht="13.5" customHeight="1" outlineLevel="1" spans="1:25">
      <c r="A595" s="101">
        <f t="shared" si="17"/>
        <v>13</v>
      </c>
      <c r="B595" s="102" t="s">
        <v>2794</v>
      </c>
      <c r="C595" s="102"/>
      <c r="D595" s="103"/>
      <c r="E595" s="101" t="s">
        <v>2795</v>
      </c>
      <c r="F595" s="103" t="s">
        <v>451</v>
      </c>
      <c r="G595" s="102" t="s">
        <v>265</v>
      </c>
      <c r="H595" s="101" t="str">
        <f>VLOOKUP(G595,'01. TH'!$B:$E,3,0)</f>
        <v/>
      </c>
      <c r="I595" s="101" t="s">
        <v>35</v>
      </c>
      <c r="J595" s="105"/>
      <c r="K595" s="101" t="str">
        <f>IF(COUNTIF('TT BTSC'!$D:$D,B595)&gt;0,"Hư hỏng","Bình thường")</f>
        <v>Bình thường</v>
      </c>
      <c r="L595" s="107"/>
      <c r="M595" s="182" t="s">
        <v>2796</v>
      </c>
      <c r="N595" s="101" t="s">
        <v>2788</v>
      </c>
      <c r="O595" s="110" t="s">
        <v>555</v>
      </c>
      <c r="P595" s="101">
        <v>2013</v>
      </c>
      <c r="Q595" s="101" t="s">
        <v>2797</v>
      </c>
      <c r="R595" s="101" t="s">
        <v>2744</v>
      </c>
      <c r="S595" s="110" t="s">
        <v>2798</v>
      </c>
      <c r="T595" s="111" t="s">
        <v>2799</v>
      </c>
      <c r="U595" s="111"/>
      <c r="V595" s="895">
        <v>0</v>
      </c>
      <c r="W595" s="895"/>
      <c r="X595" s="102" t="s">
        <v>2800</v>
      </c>
      <c r="Y595" s="895"/>
    </row>
    <row r="596" ht="13.5" customHeight="1" outlineLevel="1" spans="1:25">
      <c r="A596" s="101">
        <f t="shared" si="17"/>
        <v>14</v>
      </c>
      <c r="B596" s="102" t="s">
        <v>2801</v>
      </c>
      <c r="C596" s="102"/>
      <c r="D596" s="103"/>
      <c r="E596" s="101" t="s">
        <v>2802</v>
      </c>
      <c r="F596" s="103" t="s">
        <v>451</v>
      </c>
      <c r="G596" s="102" t="s">
        <v>266</v>
      </c>
      <c r="H596" s="101" t="str">
        <f>VLOOKUP(G596,'01. TH'!$B:$E,3,0)</f>
        <v/>
      </c>
      <c r="I596" s="101" t="s">
        <v>35</v>
      </c>
      <c r="J596" s="105"/>
      <c r="K596" s="101" t="str">
        <f>IF(COUNTIF('TT BTSC'!$D:$D,B596)&gt;0,"Hư hỏng","Bình thường")</f>
        <v>Bình thường</v>
      </c>
      <c r="L596" s="107"/>
      <c r="M596" s="182" t="s">
        <v>2787</v>
      </c>
      <c r="N596" s="101" t="s">
        <v>2741</v>
      </c>
      <c r="O596" s="110" t="s">
        <v>2742</v>
      </c>
      <c r="P596" s="101">
        <v>2019</v>
      </c>
      <c r="Q596" s="101" t="s">
        <v>2803</v>
      </c>
      <c r="R596" s="101" t="s">
        <v>2804</v>
      </c>
      <c r="S596" s="110" t="s">
        <v>2805</v>
      </c>
      <c r="T596" s="111" t="s">
        <v>2806</v>
      </c>
      <c r="U596" s="111"/>
      <c r="V596" s="895">
        <v>0</v>
      </c>
      <c r="W596" s="895"/>
      <c r="X596" s="102" t="s">
        <v>2807</v>
      </c>
      <c r="Y596" s="895"/>
    </row>
    <row r="597" ht="13.5" customHeight="1" outlineLevel="1" spans="1:25">
      <c r="A597" s="101">
        <f t="shared" si="17"/>
        <v>15</v>
      </c>
      <c r="B597" s="102" t="s">
        <v>2808</v>
      </c>
      <c r="C597" s="102"/>
      <c r="D597" s="103"/>
      <c r="E597" s="101" t="s">
        <v>2809</v>
      </c>
      <c r="F597" s="103" t="s">
        <v>451</v>
      </c>
      <c r="G597" s="102" t="s">
        <v>255</v>
      </c>
      <c r="H597" s="101" t="str">
        <f>VLOOKUP(G597,'01. TH'!$B:$E,3,0)</f>
        <v/>
      </c>
      <c r="I597" s="101" t="s">
        <v>35</v>
      </c>
      <c r="J597" s="105"/>
      <c r="K597" s="101" t="str">
        <f>IF(COUNTIF('TT BTSC'!$D:$D,B597)&gt;0,"Hư hỏng","Bình thường")</f>
        <v>Bình thường</v>
      </c>
      <c r="L597" s="107"/>
      <c r="M597" s="182" t="s">
        <v>2810</v>
      </c>
      <c r="N597" s="101" t="s">
        <v>1267</v>
      </c>
      <c r="O597" s="110" t="s">
        <v>2742</v>
      </c>
      <c r="P597" s="101">
        <v>2016</v>
      </c>
      <c r="Q597" s="101" t="s">
        <v>2811</v>
      </c>
      <c r="R597" s="101" t="s">
        <v>124</v>
      </c>
      <c r="S597" s="110"/>
      <c r="T597" s="111"/>
      <c r="U597" s="111"/>
      <c r="V597" s="895">
        <v>0</v>
      </c>
      <c r="W597" s="895"/>
      <c r="X597" s="102" t="s">
        <v>255</v>
      </c>
      <c r="Y597" s="895"/>
    </row>
    <row r="598" ht="13.5" customHeight="1" outlineLevel="1" spans="1:25">
      <c r="A598" s="101">
        <f t="shared" si="17"/>
        <v>16</v>
      </c>
      <c r="B598" s="102" t="s">
        <v>2812</v>
      </c>
      <c r="C598" s="102"/>
      <c r="D598" s="103"/>
      <c r="E598" s="101" t="s">
        <v>2813</v>
      </c>
      <c r="F598" s="103" t="s">
        <v>451</v>
      </c>
      <c r="G598" s="102" t="s">
        <v>262</v>
      </c>
      <c r="H598" s="101" t="str">
        <f>VLOOKUP(G598,'01. TH'!$B:$E,3,0)</f>
        <v/>
      </c>
      <c r="I598" s="101" t="s">
        <v>35</v>
      </c>
      <c r="J598" s="105"/>
      <c r="K598" s="101" t="str">
        <f>IF(COUNTIF('TT BTSC'!$D:$D,B598)&gt;0,"Hư hỏng","Bình thường")</f>
        <v>Bình thường</v>
      </c>
      <c r="L598" s="107"/>
      <c r="M598" s="182" t="s">
        <v>2814</v>
      </c>
      <c r="N598" s="101" t="s">
        <v>2771</v>
      </c>
      <c r="O598" s="110" t="s">
        <v>1009</v>
      </c>
      <c r="P598" s="101">
        <v>2024</v>
      </c>
      <c r="Q598" s="101" t="s">
        <v>2772</v>
      </c>
      <c r="R598" s="101" t="s">
        <v>2773</v>
      </c>
      <c r="S598" s="110" t="s">
        <v>2815</v>
      </c>
      <c r="T598" s="111" t="s">
        <v>2816</v>
      </c>
      <c r="U598" s="111"/>
      <c r="V598" s="192"/>
      <c r="W598" s="192"/>
      <c r="X598" s="102" t="s">
        <v>2817</v>
      </c>
      <c r="Y598" s="192"/>
    </row>
    <row r="599" ht="13.5" customHeight="1" outlineLevel="1" spans="1:25">
      <c r="A599" s="101">
        <f t="shared" si="17"/>
        <v>17</v>
      </c>
      <c r="B599" s="102" t="s">
        <v>2818</v>
      </c>
      <c r="C599" s="102"/>
      <c r="D599" s="103"/>
      <c r="E599" s="101" t="s">
        <v>2819</v>
      </c>
      <c r="F599" s="103" t="s">
        <v>451</v>
      </c>
      <c r="G599" s="102" t="s">
        <v>261</v>
      </c>
      <c r="H599" s="101" t="str">
        <f>VLOOKUP(G599,'01. TH'!$B:$E,3,0)</f>
        <v/>
      </c>
      <c r="I599" s="101" t="s">
        <v>35</v>
      </c>
      <c r="J599" s="105"/>
      <c r="K599" s="101" t="str">
        <f>IF(COUNTIF('TT BTSC'!$D:$D,B599)&gt;0,"Hư hỏng","Bình thường")</f>
        <v>Bình thường</v>
      </c>
      <c r="L599" s="107"/>
      <c r="M599" s="182" t="s">
        <v>2820</v>
      </c>
      <c r="N599" s="101" t="s">
        <v>2741</v>
      </c>
      <c r="O599" s="110" t="s">
        <v>2742</v>
      </c>
      <c r="P599" s="101">
        <v>2018</v>
      </c>
      <c r="Q599" s="101" t="s">
        <v>2743</v>
      </c>
      <c r="R599" s="101" t="s">
        <v>2744</v>
      </c>
      <c r="S599" s="110" t="s">
        <v>2821</v>
      </c>
      <c r="T599" s="111" t="s">
        <v>2822</v>
      </c>
      <c r="U599" s="111"/>
      <c r="V599" s="192"/>
      <c r="W599" s="192"/>
      <c r="X599" s="192"/>
      <c r="Y599" s="192"/>
    </row>
    <row r="600" ht="13.5" customHeight="1" outlineLevel="1" spans="1:25">
      <c r="A600" s="101">
        <f t="shared" si="17"/>
        <v>18</v>
      </c>
      <c r="B600" s="102" t="s">
        <v>2823</v>
      </c>
      <c r="C600" s="102"/>
      <c r="D600" s="103"/>
      <c r="E600" s="101" t="s">
        <v>2824</v>
      </c>
      <c r="F600" s="103" t="s">
        <v>451</v>
      </c>
      <c r="G600" s="102" t="s">
        <v>268</v>
      </c>
      <c r="H600" s="101" t="str">
        <f>VLOOKUP(G600,'01. TH'!$B:$E,3,0)</f>
        <v/>
      </c>
      <c r="I600" s="101" t="s">
        <v>35</v>
      </c>
      <c r="J600" s="105"/>
      <c r="K600" s="101" t="str">
        <f>IF(COUNTIF('TT BTSC'!$D:$D,B600)&gt;0,"Hư hỏng","Bình thường")</f>
        <v>Bình thường</v>
      </c>
      <c r="L600" s="107"/>
      <c r="M600" s="182"/>
      <c r="N600" s="101" t="s">
        <v>2825</v>
      </c>
      <c r="O600" s="110"/>
      <c r="P600" s="101"/>
      <c r="Q600" s="101"/>
      <c r="R600" s="101"/>
      <c r="S600" s="110"/>
      <c r="T600" s="111"/>
      <c r="U600" s="111">
        <v>8</v>
      </c>
      <c r="V600" s="192"/>
      <c r="W600" s="192"/>
      <c r="X600" s="192"/>
      <c r="Y600" s="192"/>
    </row>
    <row r="601" ht="13.5" customHeight="1" outlineLevel="1" spans="1:25">
      <c r="A601" s="101">
        <f t="shared" si="17"/>
        <v>19</v>
      </c>
      <c r="B601" s="102" t="s">
        <v>2826</v>
      </c>
      <c r="C601" s="102"/>
      <c r="D601" s="103" t="s">
        <v>2827</v>
      </c>
      <c r="E601" s="101" t="s">
        <v>2828</v>
      </c>
      <c r="F601" s="103" t="s">
        <v>504</v>
      </c>
      <c r="G601" s="102" t="s">
        <v>259</v>
      </c>
      <c r="H601" s="101" t="str">
        <f>VLOOKUP(G601,'01. TH'!$B:$E,3,0)</f>
        <v>4730 x 1750 x 2100</v>
      </c>
      <c r="I601" s="101" t="s">
        <v>35</v>
      </c>
      <c r="J601" s="105">
        <v>45452</v>
      </c>
      <c r="K601" s="101" t="str">
        <f>IF(COUNTIF('TT BTSC'!$D:$D,B601)&gt;0,"Hư hỏng","Bình thường")</f>
        <v>Bình thường</v>
      </c>
      <c r="L601" s="107"/>
      <c r="M601" s="182" t="s">
        <v>1146</v>
      </c>
      <c r="N601" s="101" t="s">
        <v>1152</v>
      </c>
      <c r="O601" s="110" t="s">
        <v>500</v>
      </c>
      <c r="P601" s="101">
        <v>2024</v>
      </c>
      <c r="Q601" s="101" t="s">
        <v>2829</v>
      </c>
      <c r="R601" s="101" t="s">
        <v>44</v>
      </c>
      <c r="S601" s="110" t="s">
        <v>2830</v>
      </c>
      <c r="T601" s="111" t="s">
        <v>2831</v>
      </c>
      <c r="U601" s="111">
        <v>2.9</v>
      </c>
      <c r="V601" s="895">
        <v>60</v>
      </c>
      <c r="W601" s="895"/>
      <c r="X601" s="895"/>
      <c r="Y601" s="895"/>
    </row>
    <row r="602" ht="13.5" customHeight="1" outlineLevel="1" spans="1:25">
      <c r="A602" s="101">
        <f t="shared" si="17"/>
        <v>20</v>
      </c>
      <c r="B602" s="102" t="s">
        <v>2832</v>
      </c>
      <c r="C602" s="102"/>
      <c r="D602" s="103" t="s">
        <v>2833</v>
      </c>
      <c r="E602" s="101" t="s">
        <v>2834</v>
      </c>
      <c r="F602" s="103" t="s">
        <v>504</v>
      </c>
      <c r="G602" s="102" t="s">
        <v>259</v>
      </c>
      <c r="H602" s="101" t="str">
        <f>VLOOKUP(G602,'01. TH'!$B:$E,3,0)</f>
        <v>4730 x 1750 x 2100</v>
      </c>
      <c r="I602" s="101" t="s">
        <v>35</v>
      </c>
      <c r="J602" s="105">
        <v>45452</v>
      </c>
      <c r="K602" s="101" t="str">
        <f>IF(COUNTIF('TT BTSC'!$D:$D,B602)&gt;0,"Hư hỏng","Bình thường")</f>
        <v>Bình thường</v>
      </c>
      <c r="L602" s="107"/>
      <c r="M602" s="182" t="s">
        <v>1146</v>
      </c>
      <c r="N602" s="101" t="s">
        <v>1152</v>
      </c>
      <c r="O602" s="110" t="s">
        <v>500</v>
      </c>
      <c r="P602" s="101">
        <v>2024</v>
      </c>
      <c r="Q602" s="101" t="s">
        <v>2829</v>
      </c>
      <c r="R602" s="101" t="s">
        <v>44</v>
      </c>
      <c r="S602" s="110" t="s">
        <v>2835</v>
      </c>
      <c r="T602" s="111" t="s">
        <v>2836</v>
      </c>
      <c r="U602" s="111">
        <v>2.9</v>
      </c>
      <c r="V602" s="895">
        <v>60</v>
      </c>
      <c r="W602" s="895"/>
      <c r="X602" s="895"/>
      <c r="Y602" s="895"/>
    </row>
    <row r="603" ht="13.5" customHeight="1" outlineLevel="1" spans="1:25">
      <c r="A603" s="101">
        <f t="shared" si="17"/>
        <v>21</v>
      </c>
      <c r="B603" s="102" t="s">
        <v>2837</v>
      </c>
      <c r="C603" s="102"/>
      <c r="D603" s="103" t="s">
        <v>2838</v>
      </c>
      <c r="E603" s="101" t="s">
        <v>2839</v>
      </c>
      <c r="F603" s="103" t="s">
        <v>504</v>
      </c>
      <c r="G603" s="102" t="s">
        <v>259</v>
      </c>
      <c r="H603" s="101" t="str">
        <f>VLOOKUP(G603,'01. TH'!$B:$E,3,0)</f>
        <v>4730 x 1750 x 2100</v>
      </c>
      <c r="I603" s="101" t="s">
        <v>35</v>
      </c>
      <c r="J603" s="105">
        <v>45452</v>
      </c>
      <c r="K603" s="101" t="str">
        <f>IF(COUNTIF('TT BTSC'!$D:$D,B603)&gt;0,"Hư hỏng","Bình thường")</f>
        <v>Bình thường</v>
      </c>
      <c r="L603" s="107"/>
      <c r="M603" s="182" t="s">
        <v>1146</v>
      </c>
      <c r="N603" s="101" t="s">
        <v>1152</v>
      </c>
      <c r="O603" s="110" t="s">
        <v>500</v>
      </c>
      <c r="P603" s="101">
        <v>2024</v>
      </c>
      <c r="Q603" s="101" t="s">
        <v>2829</v>
      </c>
      <c r="R603" s="101" t="s">
        <v>44</v>
      </c>
      <c r="S603" s="110" t="s">
        <v>2840</v>
      </c>
      <c r="T603" s="111" t="s">
        <v>2841</v>
      </c>
      <c r="U603" s="111">
        <v>2.9</v>
      </c>
      <c r="V603" s="895">
        <v>60</v>
      </c>
      <c r="W603" s="895"/>
      <c r="X603" s="895"/>
      <c r="Y603" s="895"/>
    </row>
    <row r="604" ht="13.5" customHeight="1" outlineLevel="1" spans="1:25">
      <c r="A604" s="101">
        <f t="shared" si="17"/>
        <v>22</v>
      </c>
      <c r="B604" s="102" t="s">
        <v>2842</v>
      </c>
      <c r="C604" s="102"/>
      <c r="D604" s="103" t="s">
        <v>2843</v>
      </c>
      <c r="E604" s="103"/>
      <c r="F604" s="103" t="s">
        <v>504</v>
      </c>
      <c r="G604" s="102" t="s">
        <v>257</v>
      </c>
      <c r="H604" s="101" t="str">
        <f>VLOOKUP(G604,'01. TH'!$B:$E,3,0)</f>
        <v>4730 x 1750 x 2100</v>
      </c>
      <c r="I604" s="101" t="s">
        <v>35</v>
      </c>
      <c r="J604" s="105">
        <v>45452</v>
      </c>
      <c r="K604" s="101" t="str">
        <f>IF(COUNTIF('TT BTSC'!$D:$D,B604)&gt;0,"Hư hỏng","Bình thường")</f>
        <v>Bình thường</v>
      </c>
      <c r="L604" s="107"/>
      <c r="M604" s="182" t="s">
        <v>1146</v>
      </c>
      <c r="N604" s="101" t="s">
        <v>1152</v>
      </c>
      <c r="O604" s="110" t="s">
        <v>500</v>
      </c>
      <c r="P604" s="101">
        <v>2023</v>
      </c>
      <c r="Q604" s="101" t="s">
        <v>2844</v>
      </c>
      <c r="R604" s="101" t="s">
        <v>44</v>
      </c>
      <c r="S604" s="110" t="s">
        <v>2845</v>
      </c>
      <c r="T604" s="111" t="s">
        <v>2846</v>
      </c>
      <c r="U604" s="111"/>
      <c r="V604" s="895">
        <v>65</v>
      </c>
      <c r="W604" s="895"/>
      <c r="X604" s="895"/>
      <c r="Y604" s="895"/>
    </row>
    <row r="605" ht="24" customHeight="1" outlineLevel="1" spans="1:25">
      <c r="A605" s="101">
        <f t="shared" si="17"/>
        <v>23</v>
      </c>
      <c r="B605" s="102" t="s">
        <v>2847</v>
      </c>
      <c r="C605" s="102" t="s">
        <v>2848</v>
      </c>
      <c r="D605" s="103" t="s">
        <v>2849</v>
      </c>
      <c r="E605" s="103"/>
      <c r="F605" s="103" t="s">
        <v>504</v>
      </c>
      <c r="G605" s="102" t="s">
        <v>117</v>
      </c>
      <c r="H605" s="101"/>
      <c r="I605" s="101" t="s">
        <v>35</v>
      </c>
      <c r="J605" s="148">
        <v>46114</v>
      </c>
      <c r="K605" s="101" t="str">
        <f>IF(COUNTIF('TT BTSC'!$D:$D,C605)&gt;0,"Hư hỏng","Bình thường")</f>
        <v>Bình thường</v>
      </c>
      <c r="L605" s="107"/>
      <c r="M605" s="206" t="s">
        <v>2850</v>
      </c>
      <c r="N605" s="101" t="s">
        <v>954</v>
      </c>
      <c r="O605" s="110" t="s">
        <v>955</v>
      </c>
      <c r="P605" s="101">
        <v>2024</v>
      </c>
      <c r="Q605" s="101" t="s">
        <v>956</v>
      </c>
      <c r="R605" s="101" t="s">
        <v>118</v>
      </c>
      <c r="S605" s="110" t="s">
        <v>2851</v>
      </c>
      <c r="T605" s="111" t="s">
        <v>2852</v>
      </c>
      <c r="U605" s="111"/>
      <c r="V605" s="895"/>
      <c r="W605" s="895"/>
      <c r="X605" s="895"/>
      <c r="Y605" s="895"/>
    </row>
    <row r="606" ht="22.5" customHeight="1" outlineLevel="1" spans="1:25">
      <c r="A606" s="101">
        <f t="shared" si="17"/>
        <v>24</v>
      </c>
      <c r="B606" s="102" t="s">
        <v>2853</v>
      </c>
      <c r="C606" s="102" t="s">
        <v>2854</v>
      </c>
      <c r="D606" s="103" t="s">
        <v>2855</v>
      </c>
      <c r="E606" s="103"/>
      <c r="F606" s="103" t="s">
        <v>451</v>
      </c>
      <c r="G606" s="102" t="s">
        <v>122</v>
      </c>
      <c r="H606" s="101" t="str">
        <f>VLOOKUP(G606,'01. TH'!$B:$E,3,0)</f>
        <v>6160 x 2330 x 2750</v>
      </c>
      <c r="I606" s="101" t="s">
        <v>35</v>
      </c>
      <c r="J606" s="105">
        <v>44570</v>
      </c>
      <c r="K606" s="101" t="str">
        <f>IF(COUNTIF('TT BTSC'!$D:$D,B606)&gt;0,"Hư hỏng","Bình thường")</f>
        <v>Bình thường</v>
      </c>
      <c r="L606" s="107">
        <v>0.76</v>
      </c>
      <c r="M606" s="182" t="s">
        <v>2856</v>
      </c>
      <c r="N606" s="101" t="s">
        <v>621</v>
      </c>
      <c r="O606" s="110" t="s">
        <v>500</v>
      </c>
      <c r="P606" s="101">
        <v>2021</v>
      </c>
      <c r="Q606" s="101" t="s">
        <v>2478</v>
      </c>
      <c r="R606" s="101" t="s">
        <v>85</v>
      </c>
      <c r="S606" s="110">
        <v>49596</v>
      </c>
      <c r="T606" s="111" t="s">
        <v>462</v>
      </c>
      <c r="U606" s="169">
        <v>0.3</v>
      </c>
      <c r="V606" s="895">
        <v>150</v>
      </c>
      <c r="W606" s="895"/>
      <c r="X606" s="895"/>
      <c r="Y606" s="895"/>
    </row>
    <row r="607" ht="13.5" customHeight="1" outlineLevel="1" spans="1:25">
      <c r="A607" s="101"/>
      <c r="B607" s="102"/>
      <c r="C607" s="102"/>
      <c r="D607" s="103"/>
      <c r="E607" s="103"/>
      <c r="F607" s="103"/>
      <c r="G607" s="102"/>
      <c r="H607" s="101"/>
      <c r="I607" s="101"/>
      <c r="J607" s="105"/>
      <c r="K607" s="101"/>
      <c r="L607" s="107"/>
      <c r="M607" s="182"/>
      <c r="N607" s="101"/>
      <c r="O607" s="110"/>
      <c r="P607" s="101"/>
      <c r="Q607" s="101"/>
      <c r="R607" s="101"/>
      <c r="S607" s="110"/>
      <c r="T607" s="111"/>
      <c r="U607" s="111"/>
      <c r="V607" s="192"/>
      <c r="W607" s="192"/>
      <c r="X607" s="192"/>
      <c r="Y607" s="192"/>
    </row>
    <row r="608" ht="13.5" customHeight="1" outlineLevel="1" spans="1:25">
      <c r="A608" s="101"/>
      <c r="B608" s="102"/>
      <c r="C608" s="102" t="s">
        <v>1034</v>
      </c>
      <c r="D608" s="103"/>
      <c r="E608" s="103"/>
      <c r="F608" s="103"/>
      <c r="G608" s="102"/>
      <c r="H608" s="101" t="e">
        <f>VLOOKUP(G608,'01. TH'!$B:$E,3,0)</f>
        <v>#N/A</v>
      </c>
      <c r="I608" s="101"/>
      <c r="J608" s="105"/>
      <c r="K608" s="101"/>
      <c r="L608" s="107"/>
      <c r="M608" s="182"/>
      <c r="N608" s="101"/>
      <c r="O608" s="110"/>
      <c r="P608" s="101"/>
      <c r="Q608" s="101"/>
      <c r="R608" s="101"/>
      <c r="S608" s="110"/>
      <c r="T608" s="111"/>
      <c r="U608" s="111"/>
      <c r="V608" s="192"/>
      <c r="W608" s="192"/>
      <c r="X608" s="192"/>
      <c r="Y608" s="192"/>
    </row>
    <row r="609" ht="13.5" customHeight="1" spans="1:25">
      <c r="A609" s="91" t="s">
        <v>2857</v>
      </c>
      <c r="B609" s="91"/>
      <c r="C609" s="92">
        <f>COUNTA($B$610:$B$621)</f>
        <v>10</v>
      </c>
      <c r="D609" s="91" t="str">
        <f>IFERROR(VLOOKUP(B609,' 02.1 KLH-CN MÃ BRAVO MM'!$B:$C,2,0),"")</f>
        <v/>
      </c>
      <c r="E609" s="92"/>
      <c r="F609" s="92"/>
      <c r="G609" s="92"/>
      <c r="H609" s="91"/>
      <c r="I609" s="91"/>
      <c r="J609" s="93"/>
      <c r="K609" s="91"/>
      <c r="L609" s="92"/>
      <c r="M609" s="91"/>
      <c r="N609" s="92"/>
      <c r="O609" s="91"/>
      <c r="P609" s="91"/>
      <c r="Q609" s="91"/>
      <c r="R609" s="91"/>
      <c r="S609" s="91"/>
      <c r="T609" s="91"/>
      <c r="U609" s="91"/>
      <c r="V609" s="192"/>
      <c r="W609" s="192"/>
      <c r="X609" s="192"/>
      <c r="Y609" s="192"/>
    </row>
    <row r="610" ht="13.5" customHeight="1" outlineLevel="1" spans="1:25">
      <c r="A610" s="101">
        <v>1</v>
      </c>
      <c r="B610" s="102" t="s">
        <v>2858</v>
      </c>
      <c r="C610" s="102" t="s">
        <v>2859</v>
      </c>
      <c r="D610" s="103" t="str">
        <f>IFERROR(VLOOKUP(B610,' 02.1 KLH-CN MÃ BRAVO MM'!$B:$C,2,0),"")</f>
        <v>-</v>
      </c>
      <c r="E610" s="103"/>
      <c r="F610" s="103" t="s">
        <v>451</v>
      </c>
      <c r="G610" s="102" t="s">
        <v>116</v>
      </c>
      <c r="H610" s="101" t="str">
        <f>VLOOKUP(G610,'01. TH'!$B:$E,3,0)</f>
        <v>6160 x 2330 x 2750</v>
      </c>
      <c r="I610" s="101" t="s">
        <v>2860</v>
      </c>
      <c r="J610" s="101" t="s">
        <v>2861</v>
      </c>
      <c r="K610" s="101" t="str">
        <f>IF(COUNTIF('TT BTSC'!$D:$D,B610)&gt;0,"Hư hỏng","Bình thường")</f>
        <v>Bình thường</v>
      </c>
      <c r="L610" s="101"/>
      <c r="M610" s="182"/>
      <c r="N610" s="101" t="s">
        <v>1019</v>
      </c>
      <c r="O610" s="110" t="s">
        <v>500</v>
      </c>
      <c r="P610" s="101"/>
      <c r="Q610" s="101" t="s">
        <v>2478</v>
      </c>
      <c r="R610" s="101" t="s">
        <v>85</v>
      </c>
      <c r="S610" s="110" t="s">
        <v>2862</v>
      </c>
      <c r="T610" s="111" t="s">
        <v>462</v>
      </c>
      <c r="U610" s="111"/>
      <c r="V610" s="895">
        <v>150</v>
      </c>
      <c r="W610" s="895"/>
      <c r="X610" s="895"/>
      <c r="Y610" s="895"/>
    </row>
    <row r="611" ht="13.5" customHeight="1" outlineLevel="1" spans="1:25">
      <c r="A611" s="101">
        <v>2</v>
      </c>
      <c r="B611" s="102" t="s">
        <v>2863</v>
      </c>
      <c r="C611" s="206"/>
      <c r="D611" s="103" t="str">
        <f>IFERROR(VLOOKUP(B611,' 02.1 KLH-CN MÃ BRAVO MM'!$B:$C,2,0),"")</f>
        <v>-</v>
      </c>
      <c r="E611" s="201"/>
      <c r="F611" s="103" t="s">
        <v>451</v>
      </c>
      <c r="G611" s="104" t="s">
        <v>123</v>
      </c>
      <c r="H611" s="101" t="str">
        <f>VLOOKUP(G611,'01. TH'!$B:$E,3,0)</f>
        <v/>
      </c>
      <c r="I611" s="101" t="s">
        <v>2860</v>
      </c>
      <c r="J611" s="201" t="s">
        <v>2864</v>
      </c>
      <c r="K611" s="101" t="str">
        <f>IF(COUNTIF('TT BTSC'!$D:$D,B611)&gt;0,"Hư hỏng","Bình thường")</f>
        <v>Bình thường</v>
      </c>
      <c r="L611" s="201"/>
      <c r="M611" s="182"/>
      <c r="N611" s="101" t="s">
        <v>1019</v>
      </c>
      <c r="O611" s="110" t="s">
        <v>500</v>
      </c>
      <c r="P611" s="201"/>
      <c r="Q611" s="146" t="s">
        <v>2865</v>
      </c>
      <c r="R611" s="146" t="s">
        <v>124</v>
      </c>
      <c r="S611" s="206"/>
      <c r="T611" s="207"/>
      <c r="U611" s="207"/>
      <c r="V611" s="192"/>
      <c r="W611" s="192"/>
      <c r="X611" s="192"/>
      <c r="Y611" s="192"/>
    </row>
    <row r="612" ht="13.5" customHeight="1" outlineLevel="1" spans="1:25">
      <c r="A612" s="101">
        <v>3</v>
      </c>
      <c r="B612" s="102" t="s">
        <v>2866</v>
      </c>
      <c r="C612" s="206"/>
      <c r="D612" s="103" t="str">
        <f>IFERROR(VLOOKUP(B612,' 02.1 KLH-CN MÃ BRAVO MM'!$B:$C,2,0),"")</f>
        <v>-</v>
      </c>
      <c r="E612" s="201"/>
      <c r="F612" s="103" t="s">
        <v>451</v>
      </c>
      <c r="G612" s="104" t="s">
        <v>125</v>
      </c>
      <c r="H612" s="101" t="str">
        <f>VLOOKUP(G612,'01. TH'!$B:$E,3,0)</f>
        <v/>
      </c>
      <c r="I612" s="101" t="s">
        <v>2860</v>
      </c>
      <c r="J612" s="101" t="s">
        <v>2861</v>
      </c>
      <c r="K612" s="101" t="str">
        <f>IF(COUNTIF('TT BTSC'!$D:$D,B612)&gt;0,"Hư hỏng","Bình thường")</f>
        <v>Bình thường</v>
      </c>
      <c r="L612" s="201"/>
      <c r="M612" s="182"/>
      <c r="N612" s="101" t="s">
        <v>1019</v>
      </c>
      <c r="O612" s="110" t="s">
        <v>500</v>
      </c>
      <c r="P612" s="201"/>
      <c r="Q612" s="146" t="s">
        <v>2867</v>
      </c>
      <c r="R612" s="146" t="s">
        <v>124</v>
      </c>
      <c r="S612" s="206"/>
      <c r="T612" s="207"/>
      <c r="U612" s="207"/>
      <c r="V612" s="192"/>
      <c r="W612" s="192"/>
      <c r="X612" s="192"/>
      <c r="Y612" s="192"/>
    </row>
    <row r="613" ht="13.5" customHeight="1" outlineLevel="1" spans="1:25">
      <c r="A613" s="101">
        <v>4</v>
      </c>
      <c r="B613" s="102" t="s">
        <v>2868</v>
      </c>
      <c r="C613" s="206"/>
      <c r="D613" s="103" t="str">
        <f>IFERROR(VLOOKUP(B613,' 02.1 KLH-CN MÃ BRAVO MM'!$B:$C,2,0),"")</f>
        <v>-</v>
      </c>
      <c r="E613" s="201"/>
      <c r="F613" s="103" t="s">
        <v>451</v>
      </c>
      <c r="G613" s="111" t="s">
        <v>249</v>
      </c>
      <c r="H613" s="101" t="str">
        <f>VLOOKUP(G613,'01. TH'!$B:$E,3,0)</f>
        <v/>
      </c>
      <c r="I613" s="101" t="s">
        <v>2860</v>
      </c>
      <c r="J613" s="101" t="s">
        <v>2861</v>
      </c>
      <c r="K613" s="101" t="str">
        <f>IF(COUNTIF('TT BTSC'!$D:$D,B613)&gt;0,"Hư hỏng","Bình thường")</f>
        <v>Bình thường</v>
      </c>
      <c r="L613" s="201"/>
      <c r="M613" s="182"/>
      <c r="N613" s="101" t="s">
        <v>2699</v>
      </c>
      <c r="O613" s="206"/>
      <c r="P613" s="201"/>
      <c r="Q613" s="201"/>
      <c r="R613" s="201"/>
      <c r="S613" s="206"/>
      <c r="T613" s="207"/>
      <c r="U613" s="924">
        <v>2.5</v>
      </c>
      <c r="V613" s="192"/>
      <c r="W613" s="192"/>
      <c r="X613" s="192"/>
      <c r="Y613" s="192"/>
    </row>
    <row r="614" ht="13.5" customHeight="1" outlineLevel="1" spans="1:25">
      <c r="A614" s="101">
        <v>5</v>
      </c>
      <c r="B614" s="102" t="s">
        <v>2869</v>
      </c>
      <c r="C614" s="206"/>
      <c r="D614" s="103" t="str">
        <f>IFERROR(VLOOKUP(B614,' 02.1 KLH-CN MÃ BRAVO MM'!$B:$C,2,0),"")</f>
        <v>-</v>
      </c>
      <c r="E614" s="146" t="s">
        <v>2870</v>
      </c>
      <c r="F614" s="103" t="s">
        <v>451</v>
      </c>
      <c r="G614" s="111" t="s">
        <v>267</v>
      </c>
      <c r="H614" s="101" t="str">
        <f>VLOOKUP(G614,'01. TH'!$B:$E,3,0)</f>
        <v/>
      </c>
      <c r="I614" s="101" t="s">
        <v>2860</v>
      </c>
      <c r="J614" s="101" t="s">
        <v>2861</v>
      </c>
      <c r="K614" s="101" t="str">
        <f>IF(COUNTIF('TT BTSC'!$D:$D,B614)&gt;0,"Hư hỏng","Bình thường")</f>
        <v>Bình thường</v>
      </c>
      <c r="L614" s="201"/>
      <c r="M614" s="182"/>
      <c r="N614" s="201" t="s">
        <v>2871</v>
      </c>
      <c r="O614" s="206" t="s">
        <v>2872</v>
      </c>
      <c r="P614" s="201"/>
      <c r="Q614" s="201"/>
      <c r="R614" s="201"/>
      <c r="S614" s="206"/>
      <c r="T614" s="207"/>
      <c r="U614" s="207"/>
      <c r="V614" s="192"/>
      <c r="W614" s="192"/>
      <c r="X614" s="192"/>
      <c r="Y614" s="192"/>
    </row>
    <row r="615" ht="13.5" customHeight="1" outlineLevel="1" spans="1:25">
      <c r="A615" s="101">
        <v>6</v>
      </c>
      <c r="B615" s="102" t="s">
        <v>2873</v>
      </c>
      <c r="C615" s="206"/>
      <c r="D615" s="103" t="str">
        <f>IFERROR(VLOOKUP(B615,' 02.1 KLH-CN MÃ BRAVO MM'!$B:$C,2,0),"")</f>
        <v>ATT-A22-0284</v>
      </c>
      <c r="E615" s="103"/>
      <c r="F615" s="103" t="s">
        <v>451</v>
      </c>
      <c r="G615" s="102" t="s">
        <v>288</v>
      </c>
      <c r="H615" s="101" t="str">
        <f>VLOOKUP(G615,'01. TH'!$B:$E,3,0)</f>
        <v>3300 x 1300 x 1600</v>
      </c>
      <c r="I615" s="101" t="s">
        <v>2860</v>
      </c>
      <c r="J615" s="146" t="s">
        <v>2706</v>
      </c>
      <c r="K615" s="101" t="str">
        <f>IF(COUNTIF('TT BTSC'!$D:$D,B615)&gt;0,"Hư hỏng","Bình thường")</f>
        <v>Bình thường</v>
      </c>
      <c r="L615" s="199">
        <v>0.94</v>
      </c>
      <c r="M615" s="182"/>
      <c r="N615" s="201"/>
      <c r="O615" s="110" t="s">
        <v>1140</v>
      </c>
      <c r="P615" s="201">
        <v>2021</v>
      </c>
      <c r="Q615" s="103" t="s">
        <v>2703</v>
      </c>
      <c r="R615" s="103" t="s">
        <v>48</v>
      </c>
      <c r="S615" s="933" t="s">
        <v>2874</v>
      </c>
      <c r="T615" s="933" t="s">
        <v>2875</v>
      </c>
      <c r="U615" s="111">
        <v>2.5</v>
      </c>
      <c r="V615" s="895">
        <v>0</v>
      </c>
      <c r="W615" s="895"/>
      <c r="X615" s="895"/>
      <c r="Y615" s="895"/>
    </row>
    <row r="616" ht="13.5" customHeight="1" outlineLevel="1" spans="1:25">
      <c r="A616" s="101">
        <v>7</v>
      </c>
      <c r="B616" s="102" t="s">
        <v>2876</v>
      </c>
      <c r="C616" s="206"/>
      <c r="D616" s="103" t="str">
        <f>IFERROR(VLOOKUP(B616,' 02.1 KLH-CN MÃ BRAVO MM'!$B:$C,2,0),"")</f>
        <v>ATT-A22-0283</v>
      </c>
      <c r="E616" s="103"/>
      <c r="F616" s="103" t="s">
        <v>451</v>
      </c>
      <c r="G616" s="102" t="s">
        <v>288</v>
      </c>
      <c r="H616" s="101" t="str">
        <f>VLOOKUP(G616,'01. TH'!$B:$E,3,0)</f>
        <v>3300 x 1300 x 1600</v>
      </c>
      <c r="I616" s="101" t="s">
        <v>2860</v>
      </c>
      <c r="J616" s="146" t="s">
        <v>2706</v>
      </c>
      <c r="K616" s="101" t="str">
        <f>IF(COUNTIF('TT BTSC'!$D:$D,B616)&gt;0,"Hư hỏng","Bình thường")</f>
        <v>Bình thường</v>
      </c>
      <c r="L616" s="199">
        <v>0.94</v>
      </c>
      <c r="M616" s="182"/>
      <c r="N616" s="201"/>
      <c r="O616" s="110" t="s">
        <v>1140</v>
      </c>
      <c r="P616" s="201">
        <v>2021</v>
      </c>
      <c r="Q616" s="103" t="s">
        <v>2703</v>
      </c>
      <c r="R616" s="103" t="s">
        <v>48</v>
      </c>
      <c r="S616" s="933" t="s">
        <v>2877</v>
      </c>
      <c r="T616" s="933" t="s">
        <v>2878</v>
      </c>
      <c r="U616" s="111">
        <v>2.5</v>
      </c>
      <c r="V616" s="895">
        <v>0</v>
      </c>
      <c r="W616" s="895"/>
      <c r="X616" s="895"/>
      <c r="Y616" s="895"/>
    </row>
    <row r="617" ht="13.5" customHeight="1" outlineLevel="1" spans="1:25">
      <c r="A617" s="101">
        <v>8</v>
      </c>
      <c r="B617" s="102" t="s">
        <v>2879</v>
      </c>
      <c r="C617" s="206"/>
      <c r="D617" s="103" t="str">
        <f>IFERROR(VLOOKUP(B617,' 02.1 KLH-CN MÃ BRAVO MM'!$B:$C,2,0),"")</f>
        <v>ATT-A22-0277</v>
      </c>
      <c r="E617" s="103"/>
      <c r="F617" s="103" t="s">
        <v>451</v>
      </c>
      <c r="G617" s="102" t="s">
        <v>288</v>
      </c>
      <c r="H617" s="101" t="str">
        <f>VLOOKUP(G617,'01. TH'!$B:$E,3,0)</f>
        <v>3300 x 1300 x 1600</v>
      </c>
      <c r="I617" s="101" t="s">
        <v>2860</v>
      </c>
      <c r="J617" s="146" t="s">
        <v>2706</v>
      </c>
      <c r="K617" s="101" t="str">
        <f>IF(COUNTIF('TT BTSC'!$D:$D,B617)&gt;0,"Hư hỏng","Bình thường")</f>
        <v>Bình thường</v>
      </c>
      <c r="L617" s="199">
        <v>0.94</v>
      </c>
      <c r="M617" s="182"/>
      <c r="N617" s="201"/>
      <c r="O617" s="110" t="s">
        <v>1140</v>
      </c>
      <c r="P617" s="201">
        <v>2021</v>
      </c>
      <c r="Q617" s="103" t="s">
        <v>2703</v>
      </c>
      <c r="R617" s="103" t="s">
        <v>48</v>
      </c>
      <c r="S617" s="933">
        <v>22060447</v>
      </c>
      <c r="T617" s="933" t="s">
        <v>2880</v>
      </c>
      <c r="U617" s="111">
        <v>2.5</v>
      </c>
      <c r="V617" s="895">
        <v>0</v>
      </c>
      <c r="W617" s="895"/>
      <c r="X617" s="895"/>
      <c r="Y617" s="895"/>
    </row>
    <row r="618" ht="13.5" customHeight="1" outlineLevel="1" spans="1:25">
      <c r="A618" s="101">
        <v>9</v>
      </c>
      <c r="B618" s="102" t="s">
        <v>2881</v>
      </c>
      <c r="C618" s="206"/>
      <c r="D618" s="103" t="str">
        <f>IFERROR(VLOOKUP(B618,' 02.1 KLH-CN MÃ BRAVO MM'!$B:$C,2,0),"")</f>
        <v>A22-XLO-004</v>
      </c>
      <c r="E618" s="103"/>
      <c r="F618" s="103" t="s">
        <v>451</v>
      </c>
      <c r="G618" s="102" t="s">
        <v>288</v>
      </c>
      <c r="H618" s="101" t="str">
        <f>VLOOKUP(G618,'01. TH'!$B:$E,3,0)</f>
        <v>3300 x 1300 x 1600</v>
      </c>
      <c r="I618" s="101" t="s">
        <v>2860</v>
      </c>
      <c r="J618" s="146" t="s">
        <v>2706</v>
      </c>
      <c r="K618" s="101" t="str">
        <f>IF(COUNTIF('TT BTSC'!$D:$D,B618)&gt;0,"Hư hỏng","Bình thường")</f>
        <v>Bình thường</v>
      </c>
      <c r="L618" s="199">
        <v>0.94</v>
      </c>
      <c r="M618" s="182"/>
      <c r="N618" s="201"/>
      <c r="O618" s="110" t="s">
        <v>1140</v>
      </c>
      <c r="P618" s="201">
        <v>2021</v>
      </c>
      <c r="Q618" s="103" t="s">
        <v>2703</v>
      </c>
      <c r="R618" s="103" t="s">
        <v>48</v>
      </c>
      <c r="S618" s="933">
        <v>22060460</v>
      </c>
      <c r="T618" s="933" t="s">
        <v>2882</v>
      </c>
      <c r="U618" s="111">
        <v>2.5</v>
      </c>
      <c r="V618" s="895">
        <v>0</v>
      </c>
      <c r="W618" s="895"/>
      <c r="X618" s="895"/>
      <c r="Y618" s="895"/>
    </row>
    <row r="619" ht="13.5" customHeight="1" outlineLevel="1" spans="1:25">
      <c r="A619" s="101">
        <v>10</v>
      </c>
      <c r="B619" s="102" t="s">
        <v>2883</v>
      </c>
      <c r="C619" s="206"/>
      <c r="D619" s="103" t="str">
        <f>IFERROR(VLOOKUP(B619,' 02.1 KLH-CN MÃ BRAVO MM'!$B:$C,2,0),"")</f>
        <v>A22-XLO-005</v>
      </c>
      <c r="E619" s="201"/>
      <c r="F619" s="103" t="s">
        <v>451</v>
      </c>
      <c r="G619" s="102" t="s">
        <v>288</v>
      </c>
      <c r="H619" s="101" t="str">
        <f>VLOOKUP(G619,'01. TH'!$B:$E,3,0)</f>
        <v>3300 x 1300 x 1600</v>
      </c>
      <c r="I619" s="101" t="s">
        <v>2860</v>
      </c>
      <c r="J619" s="201" t="s">
        <v>2864</v>
      </c>
      <c r="K619" s="101" t="str">
        <f>IF(COUNTIF('TT BTSC'!$D:$D,B619)&gt;0,"Hư hỏng","Bình thường")</f>
        <v>Bình thường</v>
      </c>
      <c r="L619" s="201"/>
      <c r="M619" s="206"/>
      <c r="N619" s="201"/>
      <c r="O619" s="110" t="s">
        <v>1140</v>
      </c>
      <c r="P619" s="201">
        <v>2021</v>
      </c>
      <c r="Q619" s="103" t="s">
        <v>2703</v>
      </c>
      <c r="R619" s="103" t="s">
        <v>48</v>
      </c>
      <c r="S619" s="933" t="s">
        <v>2884</v>
      </c>
      <c r="T619" s="933" t="s">
        <v>2885</v>
      </c>
      <c r="U619" s="111">
        <v>2.5</v>
      </c>
      <c r="V619" s="895">
        <v>0</v>
      </c>
      <c r="W619" s="895"/>
      <c r="X619" s="895"/>
      <c r="Y619" s="895"/>
    </row>
    <row r="620" ht="13.5" customHeight="1" outlineLevel="1" spans="1:25">
      <c r="A620" s="101"/>
      <c r="B620" s="102"/>
      <c r="C620" s="102"/>
      <c r="D620" s="103"/>
      <c r="E620" s="103"/>
      <c r="F620" s="103"/>
      <c r="G620" s="102"/>
      <c r="H620" s="101"/>
      <c r="I620" s="101"/>
      <c r="J620" s="105"/>
      <c r="K620" s="101"/>
      <c r="L620" s="101"/>
      <c r="M620" s="182"/>
      <c r="N620" s="101"/>
      <c r="O620" s="110"/>
      <c r="P620" s="101"/>
      <c r="Q620" s="101"/>
      <c r="R620" s="101"/>
      <c r="S620" s="110"/>
      <c r="T620" s="111"/>
      <c r="U620" s="111"/>
      <c r="V620" s="192"/>
      <c r="W620" s="192"/>
      <c r="X620" s="192"/>
      <c r="Y620" s="192"/>
    </row>
    <row r="621" ht="13.5" customHeight="1" outlineLevel="1" spans="1:25">
      <c r="A621" s="101"/>
      <c r="B621" s="102"/>
      <c r="C621" s="102" t="s">
        <v>1034</v>
      </c>
      <c r="D621" s="103"/>
      <c r="E621" s="103"/>
      <c r="F621" s="103"/>
      <c r="G621" s="102"/>
      <c r="H621" s="101" t="e">
        <f>VLOOKUP(G621,'01. TH'!$B:$E,3,0)</f>
        <v>#N/A</v>
      </c>
      <c r="I621" s="101"/>
      <c r="J621" s="105"/>
      <c r="K621" s="101"/>
      <c r="L621" s="101"/>
      <c r="M621" s="182"/>
      <c r="N621" s="101"/>
      <c r="O621" s="110"/>
      <c r="P621" s="101"/>
      <c r="Q621" s="101"/>
      <c r="R621" s="101"/>
      <c r="S621" s="110"/>
      <c r="T621" s="111"/>
      <c r="U621" s="111"/>
      <c r="V621" s="192"/>
      <c r="W621" s="192"/>
      <c r="X621" s="192"/>
      <c r="Y621" s="192"/>
    </row>
    <row r="622" ht="13.5" customHeight="1" spans="1:25">
      <c r="A622" s="91" t="s">
        <v>2886</v>
      </c>
      <c r="B622" s="91"/>
      <c r="C622" s="92">
        <f>COUNTA($B$623:$B$633)</f>
        <v>9</v>
      </c>
      <c r="D622" s="91" t="str">
        <f>IFERROR(VLOOKUP(B622,' 02.1 KLH-CN MÃ BRAVO MM'!$B:$C,2,0),"")</f>
        <v/>
      </c>
      <c r="E622" s="92"/>
      <c r="F622" s="92"/>
      <c r="G622" s="92"/>
      <c r="H622" s="91"/>
      <c r="I622" s="91"/>
      <c r="J622" s="93"/>
      <c r="K622" s="91"/>
      <c r="L622" s="92"/>
      <c r="M622" s="91"/>
      <c r="N622" s="92"/>
      <c r="O622" s="91"/>
      <c r="P622" s="91"/>
      <c r="Q622" s="91"/>
      <c r="R622" s="91"/>
      <c r="S622" s="91"/>
      <c r="T622" s="91"/>
      <c r="U622" s="91"/>
      <c r="V622" s="192"/>
      <c r="W622" s="192"/>
      <c r="X622" s="192"/>
      <c r="Y622" s="192"/>
    </row>
    <row r="623" ht="13.5" customHeight="1" outlineLevel="1" spans="1:25">
      <c r="A623" s="101">
        <v>1</v>
      </c>
      <c r="B623" s="102" t="s">
        <v>2887</v>
      </c>
      <c r="C623" s="159" t="s">
        <v>2888</v>
      </c>
      <c r="D623" s="103" t="s">
        <v>2889</v>
      </c>
      <c r="E623" s="146"/>
      <c r="F623" s="146" t="s">
        <v>504</v>
      </c>
      <c r="G623" s="124" t="s">
        <v>252</v>
      </c>
      <c r="H623" s="101" t="str">
        <f>VLOOKUP(G623,'01. TH'!$B:$E,3,0)</f>
        <v>4730 x 1750 x 2100</v>
      </c>
      <c r="I623" s="101" t="s">
        <v>37</v>
      </c>
      <c r="J623" s="148">
        <v>45606</v>
      </c>
      <c r="K623" s="101" t="str">
        <f>IF(COUNTIF('TT BTSC'!$D:$D,B623)&gt;0,"Hư hỏng","Bình thường")</f>
        <v>Bình thường</v>
      </c>
      <c r="L623" s="149">
        <v>0.99</v>
      </c>
      <c r="M623" s="206"/>
      <c r="N623" s="146" t="s">
        <v>1152</v>
      </c>
      <c r="O623" s="110" t="s">
        <v>943</v>
      </c>
      <c r="P623" s="146">
        <v>2021</v>
      </c>
      <c r="Q623" s="103" t="s">
        <v>1474</v>
      </c>
      <c r="R623" s="103" t="s">
        <v>44</v>
      </c>
      <c r="S623" s="933" t="s">
        <v>2890</v>
      </c>
      <c r="T623" s="933" t="s">
        <v>2891</v>
      </c>
      <c r="U623" s="924"/>
      <c r="V623" s="895">
        <v>60</v>
      </c>
      <c r="W623" s="895"/>
      <c r="X623" s="101" t="s">
        <v>2892</v>
      </c>
      <c r="Y623" s="895"/>
    </row>
    <row r="624" ht="13.5" customHeight="1" outlineLevel="1" spans="1:25">
      <c r="A624" s="101">
        <f t="shared" ref="A624:A631" si="18">A623+1</f>
        <v>2</v>
      </c>
      <c r="B624" s="102" t="s">
        <v>2893</v>
      </c>
      <c r="C624" s="159" t="s">
        <v>2894</v>
      </c>
      <c r="D624" s="103" t="s">
        <v>2895</v>
      </c>
      <c r="E624" s="146"/>
      <c r="F624" s="146" t="s">
        <v>504</v>
      </c>
      <c r="G624" s="124" t="s">
        <v>252</v>
      </c>
      <c r="H624" s="101" t="str">
        <f>VLOOKUP(G624,'01. TH'!$B:$E,3,0)</f>
        <v>4730 x 1750 x 2100</v>
      </c>
      <c r="I624" s="101" t="s">
        <v>37</v>
      </c>
      <c r="J624" s="148">
        <v>45575</v>
      </c>
      <c r="K624" s="101" t="str">
        <f>IF(COUNTIF('TT BTSC'!$D:$D,B624)&gt;0,"Hư hỏng","Bình thường")</f>
        <v>Bình thường</v>
      </c>
      <c r="L624" s="149">
        <v>0.99</v>
      </c>
      <c r="M624" s="206"/>
      <c r="N624" s="146" t="s">
        <v>1152</v>
      </c>
      <c r="O624" s="110" t="s">
        <v>943</v>
      </c>
      <c r="P624" s="146">
        <v>2021</v>
      </c>
      <c r="Q624" s="103" t="s">
        <v>1474</v>
      </c>
      <c r="R624" s="103" t="s">
        <v>44</v>
      </c>
      <c r="S624" s="933" t="s">
        <v>2896</v>
      </c>
      <c r="T624" s="933" t="s">
        <v>2897</v>
      </c>
      <c r="U624" s="924"/>
      <c r="V624" s="895">
        <v>60</v>
      </c>
      <c r="W624" s="895"/>
      <c r="X624" s="101" t="s">
        <v>2898</v>
      </c>
      <c r="Y624" s="895"/>
    </row>
    <row r="625" ht="13.5" customHeight="1" outlineLevel="1" spans="1:25">
      <c r="A625" s="101">
        <f t="shared" si="18"/>
        <v>3</v>
      </c>
      <c r="B625" s="102" t="s">
        <v>2899</v>
      </c>
      <c r="C625" s="159"/>
      <c r="D625" s="103" t="s">
        <v>2900</v>
      </c>
      <c r="E625" s="146" t="s">
        <v>2901</v>
      </c>
      <c r="F625" s="146" t="s">
        <v>504</v>
      </c>
      <c r="G625" s="124" t="s">
        <v>2902</v>
      </c>
      <c r="H625" s="101"/>
      <c r="I625" s="101" t="s">
        <v>37</v>
      </c>
      <c r="J625" s="146" t="s">
        <v>2903</v>
      </c>
      <c r="K625" s="101" t="str">
        <f>IF(COUNTIF('TT BTSC'!$D:$D,B625)&gt;0,"Hư hỏng","Bình thường")</f>
        <v>Bình thường</v>
      </c>
      <c r="L625" s="149"/>
      <c r="M625" s="206"/>
      <c r="N625" s="146" t="s">
        <v>1152</v>
      </c>
      <c r="O625" s="110" t="s">
        <v>955</v>
      </c>
      <c r="P625" s="146">
        <v>2024</v>
      </c>
      <c r="Q625" s="103" t="s">
        <v>2904</v>
      </c>
      <c r="R625" s="103" t="s">
        <v>44</v>
      </c>
      <c r="S625" s="933" t="s">
        <v>2905</v>
      </c>
      <c r="T625" s="933" t="s">
        <v>2906</v>
      </c>
      <c r="U625" s="924"/>
      <c r="V625" s="895"/>
      <c r="W625" s="895"/>
      <c r="X625" s="101"/>
      <c r="Y625" s="895"/>
    </row>
    <row r="626" ht="13.5" customHeight="1" outlineLevel="1" spans="1:25">
      <c r="A626" s="101">
        <f t="shared" si="18"/>
        <v>4</v>
      </c>
      <c r="B626" s="102" t="s">
        <v>2907</v>
      </c>
      <c r="C626" s="159"/>
      <c r="D626" s="103" t="str">
        <f>IFERROR(VLOOKUP(B626,' 02.1 KLH-CN MÃ BRAVO MM'!$B:$C,2,0),"")</f>
        <v>A22-XMA-001</v>
      </c>
      <c r="E626" s="146"/>
      <c r="F626" s="146" t="s">
        <v>451</v>
      </c>
      <c r="G626" s="124" t="s">
        <v>289</v>
      </c>
      <c r="H626" s="101" t="str">
        <f>VLOOKUP(G626,'01. TH'!$B:$E,3,0)</f>
        <v>1913 x 689 x 1076</v>
      </c>
      <c r="I626" s="101" t="s">
        <v>37</v>
      </c>
      <c r="J626" s="148">
        <v>45058</v>
      </c>
      <c r="K626" s="101" t="str">
        <f>IF(COUNTIF('TT BTSC'!$D:$D,B626)&gt;0,"Hư hỏng","Bình thường")</f>
        <v>Bình thường</v>
      </c>
      <c r="L626" s="149"/>
      <c r="M626" s="206" t="s">
        <v>2908</v>
      </c>
      <c r="N626" s="146" t="s">
        <v>1323</v>
      </c>
      <c r="O626" s="110" t="s">
        <v>500</v>
      </c>
      <c r="P626" s="146"/>
      <c r="Q626" s="103" t="s">
        <v>2909</v>
      </c>
      <c r="R626" s="103" t="s">
        <v>2910</v>
      </c>
      <c r="S626" s="933" t="s">
        <v>2911</v>
      </c>
      <c r="T626" s="933" t="s">
        <v>2912</v>
      </c>
      <c r="U626" s="924"/>
      <c r="V626" s="895">
        <v>0</v>
      </c>
      <c r="W626" s="895"/>
      <c r="X626" s="101" t="s">
        <v>2913</v>
      </c>
      <c r="Y626" s="895"/>
    </row>
    <row r="627" ht="13.5" customHeight="1" outlineLevel="1" spans="1:25">
      <c r="A627" s="101">
        <f t="shared" si="18"/>
        <v>5</v>
      </c>
      <c r="B627" s="102" t="s">
        <v>2914</v>
      </c>
      <c r="C627" s="159"/>
      <c r="D627" s="103" t="str">
        <f>IFERROR(VLOOKUP(B627,' 02.1 KLH-CN MÃ BRAVO MM'!$B:$C,2,0),"")</f>
        <v>A22-XMA-002</v>
      </c>
      <c r="E627" s="146"/>
      <c r="F627" s="146" t="s">
        <v>451</v>
      </c>
      <c r="G627" s="124" t="s">
        <v>289</v>
      </c>
      <c r="H627" s="101" t="str">
        <f>VLOOKUP(G627,'01. TH'!$B:$E,3,0)</f>
        <v>1913 x 689 x 1076</v>
      </c>
      <c r="I627" s="101" t="s">
        <v>37</v>
      </c>
      <c r="J627" s="148"/>
      <c r="K627" s="101" t="str">
        <f>IF(COUNTIF('TT BTSC'!$D:$D,B627)&gt;0,"Hư hỏng","Bình thường")</f>
        <v>Bình thường</v>
      </c>
      <c r="L627" s="149"/>
      <c r="M627" s="206" t="s">
        <v>2915</v>
      </c>
      <c r="N627" s="146" t="s">
        <v>1323</v>
      </c>
      <c r="O627" s="110" t="s">
        <v>500</v>
      </c>
      <c r="P627" s="146"/>
      <c r="Q627" s="103" t="s">
        <v>2909</v>
      </c>
      <c r="R627" s="103" t="s">
        <v>2910</v>
      </c>
      <c r="S627" s="933" t="s">
        <v>2916</v>
      </c>
      <c r="T627" s="933" t="s">
        <v>2917</v>
      </c>
      <c r="U627" s="924"/>
      <c r="V627" s="895">
        <v>0</v>
      </c>
      <c r="W627" s="895"/>
      <c r="X627" s="101" t="s">
        <v>2913</v>
      </c>
      <c r="Y627" s="895"/>
    </row>
    <row r="628" ht="13.5" customHeight="1" outlineLevel="1" spans="1:25">
      <c r="A628" s="101">
        <f t="shared" si="18"/>
        <v>6</v>
      </c>
      <c r="B628" s="102" t="s">
        <v>2918</v>
      </c>
      <c r="C628" s="159"/>
      <c r="D628" s="103" t="str">
        <f>IFERROR(VLOOKUP(B628,' 02.1 KLH-CN MÃ BRAVO MM'!$B:$C,2,0),"")</f>
        <v>A22-XMA-003</v>
      </c>
      <c r="E628" s="146"/>
      <c r="F628" s="146" t="s">
        <v>451</v>
      </c>
      <c r="G628" s="124" t="s">
        <v>289</v>
      </c>
      <c r="H628" s="101" t="str">
        <f>VLOOKUP(G628,'01. TH'!$B:$E,3,0)</f>
        <v>1913 x 689 x 1076</v>
      </c>
      <c r="I628" s="101" t="s">
        <v>37</v>
      </c>
      <c r="J628" s="148"/>
      <c r="K628" s="101" t="str">
        <f>IF(COUNTIF('TT BTSC'!$D:$D,B628)&gt;0,"Hư hỏng","Bình thường")</f>
        <v>Bình thường</v>
      </c>
      <c r="L628" s="149"/>
      <c r="M628" s="206" t="s">
        <v>2919</v>
      </c>
      <c r="N628" s="146" t="s">
        <v>1323</v>
      </c>
      <c r="O628" s="110" t="s">
        <v>500</v>
      </c>
      <c r="P628" s="146"/>
      <c r="Q628" s="103" t="s">
        <v>2909</v>
      </c>
      <c r="R628" s="103" t="s">
        <v>2910</v>
      </c>
      <c r="S628" s="933" t="s">
        <v>462</v>
      </c>
      <c r="T628" s="933" t="s">
        <v>2920</v>
      </c>
      <c r="U628" s="924"/>
      <c r="V628" s="895">
        <v>0</v>
      </c>
      <c r="W628" s="895"/>
      <c r="X628" s="101" t="s">
        <v>37</v>
      </c>
      <c r="Y628" s="895"/>
    </row>
    <row r="629" ht="13.8" outlineLevel="1" spans="1:25">
      <c r="A629" s="101">
        <f t="shared" si="18"/>
        <v>7</v>
      </c>
      <c r="B629" s="102" t="s">
        <v>2921</v>
      </c>
      <c r="C629" s="159" t="s">
        <v>2922</v>
      </c>
      <c r="D629" s="103" t="s">
        <v>2923</v>
      </c>
      <c r="E629" s="146"/>
      <c r="F629" s="146" t="s">
        <v>451</v>
      </c>
      <c r="G629" s="124" t="s">
        <v>289</v>
      </c>
      <c r="H629" s="101" t="str">
        <f>VLOOKUP(G629,'01. TH'!$B:$E,3,0)</f>
        <v>1913 x 689 x 1076</v>
      </c>
      <c r="I629" s="101" t="s">
        <v>37</v>
      </c>
      <c r="J629" s="148">
        <v>45841</v>
      </c>
      <c r="K629" s="101" t="str">
        <f>IF(COUNTIF('TT BTSC'!$D:$D,B629)&gt;0,"Hư hỏng","Bình thường")</f>
        <v>Bình thường</v>
      </c>
      <c r="L629" s="149"/>
      <c r="M629" s="206" t="s">
        <v>2924</v>
      </c>
      <c r="N629" s="146" t="s">
        <v>1323</v>
      </c>
      <c r="O629" s="110" t="s">
        <v>500</v>
      </c>
      <c r="P629" s="146"/>
      <c r="Q629" s="103" t="s">
        <v>2909</v>
      </c>
      <c r="R629" s="103" t="s">
        <v>2910</v>
      </c>
      <c r="S629" s="933" t="s">
        <v>2925</v>
      </c>
      <c r="T629" s="933" t="s">
        <v>2926</v>
      </c>
      <c r="U629" s="924"/>
      <c r="V629" s="895">
        <v>0</v>
      </c>
      <c r="W629" s="895"/>
      <c r="X629" s="101" t="s">
        <v>2913</v>
      </c>
      <c r="Y629" s="895"/>
    </row>
    <row r="630" ht="13.5" customHeight="1" outlineLevel="1" spans="1:25">
      <c r="A630" s="101">
        <f t="shared" si="18"/>
        <v>8</v>
      </c>
      <c r="B630" s="102" t="s">
        <v>2927</v>
      </c>
      <c r="C630" s="159"/>
      <c r="D630" s="103" t="str">
        <f>IFERROR(VLOOKUP(B630,' 02.1 KLH-CN MÃ BRAVO MM'!$B:$C,2,0),"")</f>
        <v>A22-LBR-001</v>
      </c>
      <c r="E630" s="146" t="s">
        <v>2928</v>
      </c>
      <c r="F630" s="146" t="s">
        <v>451</v>
      </c>
      <c r="G630" s="124" t="s">
        <v>253</v>
      </c>
      <c r="H630" s="101" t="str">
        <f>VLOOKUP(G630,'01. TH'!$B:$E,3,0)</f>
        <v/>
      </c>
      <c r="I630" s="101" t="s">
        <v>37</v>
      </c>
      <c r="J630" s="148"/>
      <c r="K630" s="101" t="str">
        <f>IF(COUNTIF('TT BTSC'!$D:$D,B630)&gt;0,"Hư hỏng","Bình thường")</f>
        <v>Bình thường</v>
      </c>
      <c r="L630" s="149"/>
      <c r="M630" s="206" t="s">
        <v>2929</v>
      </c>
      <c r="N630" s="146" t="s">
        <v>1031</v>
      </c>
      <c r="O630" s="110"/>
      <c r="P630" s="146"/>
      <c r="Q630" s="103"/>
      <c r="R630" s="103"/>
      <c r="S630" s="933" t="s">
        <v>2930</v>
      </c>
      <c r="T630" s="933" t="s">
        <v>462</v>
      </c>
      <c r="U630" s="924"/>
      <c r="V630" s="192"/>
      <c r="W630" s="192"/>
      <c r="X630" s="101" t="s">
        <v>2931</v>
      </c>
      <c r="Y630" s="192"/>
    </row>
    <row r="631" ht="13.5" customHeight="1" outlineLevel="1" spans="1:25">
      <c r="A631" s="101">
        <f t="shared" si="18"/>
        <v>9</v>
      </c>
      <c r="B631" s="102" t="s">
        <v>2932</v>
      </c>
      <c r="C631" s="159"/>
      <c r="D631" s="103" t="str">
        <f>IFERROR(VLOOKUP(B631,' 02.1 KLH-CN MÃ BRAVO MM'!$B:$C,2,0),"")</f>
        <v>A22-LBR-002</v>
      </c>
      <c r="E631" s="146" t="s">
        <v>2933</v>
      </c>
      <c r="F631" s="146" t="s">
        <v>451</v>
      </c>
      <c r="G631" s="124" t="s">
        <v>253</v>
      </c>
      <c r="H631" s="101" t="str">
        <f>VLOOKUP(G631,'01. TH'!$B:$E,3,0)</f>
        <v/>
      </c>
      <c r="I631" s="101" t="s">
        <v>37</v>
      </c>
      <c r="J631" s="148">
        <v>45636</v>
      </c>
      <c r="K631" s="101" t="str">
        <f>IF(COUNTIF('TT BTSC'!$D:$D,B631)&gt;0,"Hư hỏng","Bình thường")</f>
        <v>Bình thường</v>
      </c>
      <c r="L631" s="149"/>
      <c r="M631" s="206" t="s">
        <v>2934</v>
      </c>
      <c r="N631" s="146" t="s">
        <v>1031</v>
      </c>
      <c r="O631" s="110"/>
      <c r="P631" s="146"/>
      <c r="Q631" s="103"/>
      <c r="R631" s="103"/>
      <c r="S631" s="933"/>
      <c r="T631" s="933"/>
      <c r="U631" s="924"/>
      <c r="V631" s="192"/>
      <c r="W631" s="192"/>
      <c r="X631" s="101" t="s">
        <v>2935</v>
      </c>
      <c r="Y631" s="192"/>
    </row>
    <row r="632" ht="13.5" customHeight="1" outlineLevel="1" spans="1:25">
      <c r="A632" s="101"/>
      <c r="B632" s="102"/>
      <c r="C632" s="159"/>
      <c r="D632" s="103"/>
      <c r="E632" s="146"/>
      <c r="F632" s="146"/>
      <c r="G632" s="124"/>
      <c r="H632" s="101"/>
      <c r="I632" s="101"/>
      <c r="J632" s="148"/>
      <c r="K632" s="101"/>
      <c r="L632" s="149"/>
      <c r="M632" s="206"/>
      <c r="N632" s="146"/>
      <c r="O632" s="110"/>
      <c r="P632" s="146"/>
      <c r="Q632" s="103"/>
      <c r="R632" s="103"/>
      <c r="S632" s="933"/>
      <c r="T632" s="933"/>
      <c r="U632" s="924"/>
      <c r="V632" s="192"/>
      <c r="W632" s="192"/>
      <c r="X632" s="192"/>
      <c r="Y632" s="192"/>
    </row>
    <row r="633" ht="13.5" customHeight="1" outlineLevel="1" spans="1:25">
      <c r="A633" s="101"/>
      <c r="B633" s="102"/>
      <c r="C633" s="159" t="s">
        <v>1034</v>
      </c>
      <c r="D633" s="103"/>
      <c r="E633" s="146"/>
      <c r="F633" s="146"/>
      <c r="G633" s="124"/>
      <c r="H633" s="101" t="e">
        <f>VLOOKUP(G633,'01. TH'!$B:$E,3,0)</f>
        <v>#N/A</v>
      </c>
      <c r="I633" s="101"/>
      <c r="J633" s="148"/>
      <c r="K633" s="101"/>
      <c r="L633" s="149"/>
      <c r="M633" s="206"/>
      <c r="N633" s="146"/>
      <c r="O633" s="110"/>
      <c r="P633" s="146"/>
      <c r="Q633" s="103"/>
      <c r="R633" s="103"/>
      <c r="S633" s="933"/>
      <c r="T633" s="933"/>
      <c r="U633" s="924"/>
      <c r="V633" s="192"/>
      <c r="W633" s="192"/>
      <c r="X633" s="192"/>
      <c r="Y633" s="192"/>
    </row>
    <row r="634" ht="13.5" customHeight="1" spans="1:25">
      <c r="A634" s="91" t="s">
        <v>2936</v>
      </c>
      <c r="B634" s="91"/>
      <c r="C634" s="92">
        <f>COUNTA($B$635:$B$639)</f>
        <v>3</v>
      </c>
      <c r="D634" s="91"/>
      <c r="E634" s="92"/>
      <c r="F634" s="92"/>
      <c r="G634" s="92"/>
      <c r="H634" s="91"/>
      <c r="I634" s="91"/>
      <c r="J634" s="93"/>
      <c r="K634" s="91"/>
      <c r="L634" s="92"/>
      <c r="M634" s="91"/>
      <c r="N634" s="92"/>
      <c r="O634" s="91"/>
      <c r="P634" s="91"/>
      <c r="Q634" s="91"/>
      <c r="R634" s="91"/>
      <c r="S634" s="91"/>
      <c r="T634" s="91"/>
      <c r="U634" s="91"/>
      <c r="V634" s="192"/>
      <c r="W634" s="192"/>
      <c r="X634" s="192"/>
      <c r="Y634" s="192"/>
    </row>
    <row r="635" ht="28.5" customHeight="1" outlineLevel="1" spans="1:25">
      <c r="A635" s="101">
        <v>1</v>
      </c>
      <c r="B635" s="102" t="s">
        <v>2937</v>
      </c>
      <c r="C635" s="159" t="s">
        <v>2938</v>
      </c>
      <c r="D635" s="146" t="s">
        <v>2939</v>
      </c>
      <c r="E635" s="146" t="s">
        <v>2940</v>
      </c>
      <c r="F635" s="146" t="s">
        <v>451</v>
      </c>
      <c r="G635" s="102" t="s">
        <v>251</v>
      </c>
      <c r="H635" s="101" t="str">
        <f>VLOOKUP(G635,'01. TH'!$B:$E,3,0)</f>
        <v>4730 x 1750 x 2100</v>
      </c>
      <c r="I635" s="101" t="s">
        <v>38</v>
      </c>
      <c r="J635" s="146" t="s">
        <v>2941</v>
      </c>
      <c r="K635" s="101" t="str">
        <f>IF(COUNTIF('TT BTSC'!$D:$D,B635)&gt;0,"Hư hỏng","Bình thường")</f>
        <v>Bình thường</v>
      </c>
      <c r="L635" s="149">
        <v>0.98</v>
      </c>
      <c r="M635" s="182" t="s">
        <v>2942</v>
      </c>
      <c r="N635" s="146" t="s">
        <v>1152</v>
      </c>
      <c r="O635" s="110" t="s">
        <v>500</v>
      </c>
      <c r="P635" s="146">
        <v>2021</v>
      </c>
      <c r="Q635" s="103" t="s">
        <v>1153</v>
      </c>
      <c r="R635" s="103" t="s">
        <v>44</v>
      </c>
      <c r="S635" s="933" t="s">
        <v>2943</v>
      </c>
      <c r="T635" s="933" t="s">
        <v>2944</v>
      </c>
      <c r="U635" s="924"/>
      <c r="V635" s="895">
        <v>60</v>
      </c>
      <c r="W635" s="895"/>
      <c r="X635" s="895"/>
      <c r="Y635" s="895"/>
    </row>
    <row r="636" ht="28.5" customHeight="1" outlineLevel="1" spans="1:25">
      <c r="A636" s="101">
        <v>2</v>
      </c>
      <c r="B636" s="102" t="s">
        <v>2945</v>
      </c>
      <c r="C636" s="159" t="s">
        <v>2946</v>
      </c>
      <c r="D636" s="103" t="s">
        <v>2947</v>
      </c>
      <c r="E636" s="146" t="s">
        <v>2946</v>
      </c>
      <c r="F636" s="146" t="s">
        <v>451</v>
      </c>
      <c r="G636" s="102" t="s">
        <v>252</v>
      </c>
      <c r="H636" s="101" t="str">
        <f>VLOOKUP(G636,'01. TH'!$B:$E,3,0)</f>
        <v>4730 x 1750 x 2100</v>
      </c>
      <c r="I636" s="101" t="s">
        <v>38</v>
      </c>
      <c r="J636" s="146" t="s">
        <v>2941</v>
      </c>
      <c r="K636" s="101" t="str">
        <f>IF(COUNTIF('TT BTSC'!$D:$D,B636)&gt;0,"Hư hỏng","Bình thường")</f>
        <v>Bình thường</v>
      </c>
      <c r="L636" s="149"/>
      <c r="M636" s="182" t="s">
        <v>2948</v>
      </c>
      <c r="N636" s="146" t="s">
        <v>1473</v>
      </c>
      <c r="O636" s="110" t="s">
        <v>943</v>
      </c>
      <c r="P636" s="146">
        <v>2021</v>
      </c>
      <c r="Q636" s="103" t="s">
        <v>1474</v>
      </c>
      <c r="R636" s="103" t="s">
        <v>44</v>
      </c>
      <c r="S636" s="933" t="s">
        <v>2949</v>
      </c>
      <c r="T636" s="933" t="s">
        <v>2950</v>
      </c>
      <c r="U636" s="924"/>
      <c r="V636" s="895">
        <v>60</v>
      </c>
      <c r="W636" s="895"/>
      <c r="X636" s="895"/>
      <c r="Y636" s="895"/>
    </row>
    <row r="637" ht="28.5" customHeight="1" outlineLevel="1" spans="1:25">
      <c r="A637" s="101">
        <v>3</v>
      </c>
      <c r="B637" s="102" t="s">
        <v>2951</v>
      </c>
      <c r="C637" s="159" t="s">
        <v>2952</v>
      </c>
      <c r="D637" s="103" t="s">
        <v>2953</v>
      </c>
      <c r="E637" s="146" t="s">
        <v>2952</v>
      </c>
      <c r="F637" s="146" t="s">
        <v>451</v>
      </c>
      <c r="G637" s="102" t="s">
        <v>252</v>
      </c>
      <c r="H637" s="101" t="str">
        <f>VLOOKUP(G637,'01. TH'!$B:$E,3,0)</f>
        <v>4730 x 1750 x 2100</v>
      </c>
      <c r="I637" s="101" t="s">
        <v>38</v>
      </c>
      <c r="J637" s="146" t="s">
        <v>1653</v>
      </c>
      <c r="K637" s="101" t="str">
        <f>IF(COUNTIF('TT BTSC'!$D:$D,B637)&gt;0,"Hư hỏng","Bình thường")</f>
        <v>Bình thường</v>
      </c>
      <c r="L637" s="149"/>
      <c r="M637" s="182" t="s">
        <v>2954</v>
      </c>
      <c r="N637" s="146" t="s">
        <v>1473</v>
      </c>
      <c r="O637" s="110" t="s">
        <v>943</v>
      </c>
      <c r="P637" s="146">
        <v>2021</v>
      </c>
      <c r="Q637" s="103" t="s">
        <v>1474</v>
      </c>
      <c r="R637" s="103" t="s">
        <v>44</v>
      </c>
      <c r="S637" s="933" t="s">
        <v>2955</v>
      </c>
      <c r="T637" s="933" t="s">
        <v>2956</v>
      </c>
      <c r="U637" s="924"/>
      <c r="V637" s="895">
        <v>60</v>
      </c>
      <c r="W637" s="895"/>
      <c r="X637" s="895"/>
      <c r="Y637" s="895"/>
    </row>
    <row r="638" ht="13.5" customHeight="1" outlineLevel="1" spans="1:25">
      <c r="A638" s="101"/>
      <c r="B638" s="102"/>
      <c r="C638" s="159"/>
      <c r="D638" s="103"/>
      <c r="E638" s="146"/>
      <c r="F638" s="146"/>
      <c r="G638" s="124"/>
      <c r="H638" s="101"/>
      <c r="I638" s="101"/>
      <c r="J638" s="148"/>
      <c r="K638" s="101"/>
      <c r="L638" s="149"/>
      <c r="M638" s="206"/>
      <c r="N638" s="146"/>
      <c r="O638" s="110"/>
      <c r="P638" s="146"/>
      <c r="Q638" s="103"/>
      <c r="R638" s="103"/>
      <c r="S638" s="933"/>
      <c r="T638" s="933"/>
      <c r="U638" s="924"/>
      <c r="V638" s="192"/>
      <c r="W638" s="192"/>
      <c r="X638" s="192"/>
      <c r="Y638" s="192"/>
    </row>
    <row r="639" ht="13.5" customHeight="1" outlineLevel="1" spans="1:25">
      <c r="A639" s="101"/>
      <c r="B639" s="102"/>
      <c r="C639" s="159" t="s">
        <v>1034</v>
      </c>
      <c r="D639" s="103"/>
      <c r="E639" s="146"/>
      <c r="F639" s="146"/>
      <c r="G639" s="124"/>
      <c r="H639" s="101" t="e">
        <f>VLOOKUP(G639,'01. TH'!$B:$E,3,0)</f>
        <v>#N/A</v>
      </c>
      <c r="I639" s="101"/>
      <c r="J639" s="148"/>
      <c r="K639" s="101"/>
      <c r="L639" s="149"/>
      <c r="M639" s="206"/>
      <c r="N639" s="146"/>
      <c r="O639" s="110"/>
      <c r="P639" s="146"/>
      <c r="Q639" s="103"/>
      <c r="R639" s="103"/>
      <c r="S639" s="933"/>
      <c r="T639" s="933"/>
      <c r="U639" s="924"/>
      <c r="V639" s="192"/>
      <c r="W639" s="192"/>
      <c r="X639" s="192"/>
      <c r="Y639" s="192"/>
    </row>
    <row r="640" ht="13.5" customHeight="1" spans="1:25">
      <c r="A640" s="91" t="s">
        <v>2957</v>
      </c>
      <c r="B640" s="91"/>
      <c r="C640" s="92">
        <f>COUNTA(B641:B648)</f>
        <v>7</v>
      </c>
      <c r="D640" s="91"/>
      <c r="E640" s="92"/>
      <c r="F640" s="92"/>
      <c r="G640" s="92"/>
      <c r="H640" s="91"/>
      <c r="I640" s="91"/>
      <c r="J640" s="93"/>
      <c r="K640" s="91"/>
      <c r="L640" s="92"/>
      <c r="M640" s="91"/>
      <c r="N640" s="92"/>
      <c r="O640" s="91"/>
      <c r="P640" s="91"/>
      <c r="Q640" s="91"/>
      <c r="R640" s="91"/>
      <c r="S640" s="91"/>
      <c r="T640" s="91"/>
      <c r="U640" s="91"/>
      <c r="V640" s="192"/>
      <c r="W640" s="192"/>
      <c r="X640" s="192"/>
      <c r="Y640" s="192"/>
    </row>
    <row r="641" ht="13.5" customHeight="1" outlineLevel="1" spans="1:25">
      <c r="A641" s="101">
        <v>1</v>
      </c>
      <c r="B641" s="102" t="s">
        <v>2958</v>
      </c>
      <c r="C641" s="159"/>
      <c r="D641" s="103"/>
      <c r="E641" s="146"/>
      <c r="F641" s="146" t="s">
        <v>451</v>
      </c>
      <c r="G641" s="102" t="s">
        <v>240</v>
      </c>
      <c r="H641" s="101" t="str">
        <f>VLOOKUP(G641,'01. TH'!$B:$E,3,0)</f>
        <v/>
      </c>
      <c r="I641" s="101" t="s">
        <v>21</v>
      </c>
      <c r="J641" s="148">
        <v>45931</v>
      </c>
      <c r="K641" s="101" t="str">
        <f>IF(COUNTIF('TT BTSC'!$D:$D,B641)&gt;0,"Hư hỏng","Bình thường")</f>
        <v>Bình thường</v>
      </c>
      <c r="L641" s="149"/>
      <c r="M641" s="182" t="s">
        <v>1146</v>
      </c>
      <c r="N641" s="146" t="s">
        <v>2699</v>
      </c>
      <c r="O641" s="110" t="s">
        <v>555</v>
      </c>
      <c r="P641" s="146">
        <v>2022</v>
      </c>
      <c r="Q641" s="103" t="s">
        <v>2959</v>
      </c>
      <c r="R641" s="103" t="s">
        <v>2960</v>
      </c>
      <c r="S641" s="933" t="s">
        <v>2961</v>
      </c>
      <c r="T641" s="933" t="s">
        <v>462</v>
      </c>
      <c r="U641" s="924">
        <v>2.5</v>
      </c>
      <c r="V641" s="895">
        <v>0</v>
      </c>
      <c r="W641" s="895"/>
      <c r="X641" s="895"/>
      <c r="Y641" s="895"/>
    </row>
    <row r="642" ht="13.5" customHeight="1" outlineLevel="1" spans="1:25">
      <c r="A642" s="101">
        <f t="shared" ref="A642:A647" si="19">A641+1</f>
        <v>2</v>
      </c>
      <c r="B642" s="102" t="s">
        <v>2962</v>
      </c>
      <c r="C642" s="159"/>
      <c r="D642" s="103"/>
      <c r="E642" s="146"/>
      <c r="F642" s="146" t="s">
        <v>451</v>
      </c>
      <c r="G642" s="159" t="s">
        <v>1560</v>
      </c>
      <c r="H642" s="101" t="e">
        <f>VLOOKUP(G642,'01. TH'!$B:$E,3,0)</f>
        <v>#N/A</v>
      </c>
      <c r="I642" s="101" t="s">
        <v>21</v>
      </c>
      <c r="J642" s="148"/>
      <c r="K642" s="101" t="str">
        <f>IF(COUNTIF('TT BTSC'!$D:$D,B642)&gt;0,"Hư hỏng","Bình thường")</f>
        <v>Bình thường</v>
      </c>
      <c r="L642" s="149"/>
      <c r="M642" s="206"/>
      <c r="N642" s="337" t="s">
        <v>1380</v>
      </c>
      <c r="O642" s="193" t="s">
        <v>590</v>
      </c>
      <c r="P642" s="193">
        <v>2021</v>
      </c>
      <c r="Q642" s="193" t="s">
        <v>2963</v>
      </c>
      <c r="R642" s="193"/>
      <c r="S642" s="193" t="s">
        <v>2964</v>
      </c>
      <c r="T642" s="933"/>
      <c r="U642" s="924"/>
      <c r="V642" s="192"/>
      <c r="W642" s="192"/>
      <c r="X642" s="192"/>
      <c r="Y642" s="192"/>
    </row>
    <row r="643" ht="13.5" customHeight="1" outlineLevel="1" spans="1:25">
      <c r="A643" s="101">
        <f t="shared" si="19"/>
        <v>3</v>
      </c>
      <c r="B643" s="102" t="s">
        <v>2965</v>
      </c>
      <c r="C643" s="159"/>
      <c r="D643" s="103"/>
      <c r="E643" s="146"/>
      <c r="F643" s="146" t="s">
        <v>451</v>
      </c>
      <c r="G643" s="159" t="s">
        <v>1560</v>
      </c>
      <c r="H643" s="101"/>
      <c r="I643" s="101" t="s">
        <v>21</v>
      </c>
      <c r="J643" s="148"/>
      <c r="K643" s="101" t="str">
        <f>IF(COUNTIF('TT BTSC'!$D:$D,B643)&gt;0,"Hư hỏng","Bình thường")</f>
        <v>Bình thường</v>
      </c>
      <c r="L643" s="149"/>
      <c r="M643" s="206"/>
      <c r="N643" s="337" t="s">
        <v>1380</v>
      </c>
      <c r="O643" s="193" t="s">
        <v>590</v>
      </c>
      <c r="P643" s="193">
        <v>2021</v>
      </c>
      <c r="Q643" s="193" t="s">
        <v>2963</v>
      </c>
      <c r="R643" s="193"/>
      <c r="S643" s="193" t="s">
        <v>2966</v>
      </c>
      <c r="T643" s="933"/>
      <c r="U643" s="924"/>
      <c r="V643" s="192"/>
      <c r="W643" s="192"/>
      <c r="X643" s="192"/>
      <c r="Y643" s="192"/>
    </row>
    <row r="644" ht="13.5" customHeight="1" outlineLevel="1" spans="1:25">
      <c r="A644" s="101">
        <f t="shared" si="19"/>
        <v>4</v>
      </c>
      <c r="B644" s="102" t="s">
        <v>2967</v>
      </c>
      <c r="C644" s="159"/>
      <c r="D644" s="103"/>
      <c r="E644" s="146"/>
      <c r="F644" s="146" t="s">
        <v>451</v>
      </c>
      <c r="G644" s="159" t="s">
        <v>1560</v>
      </c>
      <c r="H644" s="101"/>
      <c r="I644" s="101" t="s">
        <v>21</v>
      </c>
      <c r="J644" s="148"/>
      <c r="K644" s="101" t="str">
        <f>IF(COUNTIF('TT BTSC'!$D:$D,B644)&gt;0,"Hư hỏng","Bình thường")</f>
        <v>Bình thường</v>
      </c>
      <c r="L644" s="149"/>
      <c r="M644" s="206"/>
      <c r="N644" s="337" t="s">
        <v>1380</v>
      </c>
      <c r="O644" s="193" t="s">
        <v>590</v>
      </c>
      <c r="P644" s="193">
        <v>2021</v>
      </c>
      <c r="Q644" s="193" t="s">
        <v>2963</v>
      </c>
      <c r="R644" s="193"/>
      <c r="S644" s="193" t="s">
        <v>2968</v>
      </c>
      <c r="T644" s="933"/>
      <c r="U644" s="924"/>
      <c r="V644" s="192"/>
      <c r="W644" s="192"/>
      <c r="X644" s="192"/>
      <c r="Y644" s="192"/>
    </row>
    <row r="645" ht="13.5" customHeight="1" outlineLevel="1" spans="1:25">
      <c r="A645" s="101">
        <f t="shared" si="19"/>
        <v>5</v>
      </c>
      <c r="B645" s="102" t="s">
        <v>2969</v>
      </c>
      <c r="C645" s="159"/>
      <c r="D645" s="103"/>
      <c r="E645" s="146"/>
      <c r="F645" s="146" t="s">
        <v>451</v>
      </c>
      <c r="G645" s="159" t="s">
        <v>244</v>
      </c>
      <c r="H645" s="101"/>
      <c r="I645" s="101" t="s">
        <v>21</v>
      </c>
      <c r="J645" s="148"/>
      <c r="K645" s="101" t="str">
        <f>IF(COUNTIF('TT BTSC'!$D:$D,B645)&gt;0,"Hư hỏng","Bình thường")</f>
        <v>Bình thường</v>
      </c>
      <c r="L645" s="149"/>
      <c r="M645" s="206"/>
      <c r="N645" s="337" t="s">
        <v>1380</v>
      </c>
      <c r="O645" s="193" t="s">
        <v>590</v>
      </c>
      <c r="P645" s="193">
        <v>2021</v>
      </c>
      <c r="Q645" s="193" t="s">
        <v>2970</v>
      </c>
      <c r="R645" s="193"/>
      <c r="S645" s="193" t="s">
        <v>2971</v>
      </c>
      <c r="T645" s="933"/>
      <c r="U645" s="924"/>
      <c r="V645" s="192"/>
      <c r="W645" s="192"/>
      <c r="X645" s="192"/>
      <c r="Y645" s="192"/>
    </row>
    <row r="646" ht="13.5" customHeight="1" outlineLevel="1" spans="1:25">
      <c r="A646" s="101">
        <f t="shared" si="19"/>
        <v>6</v>
      </c>
      <c r="B646" s="102" t="s">
        <v>2972</v>
      </c>
      <c r="C646" s="159"/>
      <c r="D646" s="103"/>
      <c r="E646" s="146"/>
      <c r="F646" s="146" t="s">
        <v>451</v>
      </c>
      <c r="G646" s="159" t="s">
        <v>245</v>
      </c>
      <c r="H646" s="101" t="str">
        <f>VLOOKUP(G646,'01. TH'!$B:$E,3,0)</f>
        <v/>
      </c>
      <c r="I646" s="101" t="s">
        <v>21</v>
      </c>
      <c r="J646" s="148"/>
      <c r="K646" s="101" t="str">
        <f>IF(COUNTIF('TT BTSC'!$D:$D,B646)&gt;0,"Hư hỏng","Bình thường")</f>
        <v>Bình thường</v>
      </c>
      <c r="L646" s="149"/>
      <c r="M646" s="206"/>
      <c r="N646" s="337" t="s">
        <v>1380</v>
      </c>
      <c r="O646" s="193" t="s">
        <v>590</v>
      </c>
      <c r="P646" s="193">
        <v>2021</v>
      </c>
      <c r="Q646" s="193" t="s">
        <v>2973</v>
      </c>
      <c r="R646" s="193"/>
      <c r="S646" s="193" t="s">
        <v>2974</v>
      </c>
      <c r="T646" s="933"/>
      <c r="U646" s="924"/>
      <c r="V646" s="192"/>
      <c r="W646" s="192"/>
      <c r="X646" s="192"/>
      <c r="Y646" s="192"/>
    </row>
    <row r="647" ht="13.5" customHeight="1" outlineLevel="1" spans="1:25">
      <c r="A647" s="101">
        <f t="shared" si="19"/>
        <v>7</v>
      </c>
      <c r="B647" s="102" t="s">
        <v>2975</v>
      </c>
      <c r="C647" s="159"/>
      <c r="D647" s="103"/>
      <c r="E647" s="146"/>
      <c r="F647" s="146" t="s">
        <v>451</v>
      </c>
      <c r="G647" s="159" t="s">
        <v>245</v>
      </c>
      <c r="H647" s="101" t="str">
        <f>VLOOKUP(G647,'01. TH'!$B:$E,3,0)</f>
        <v/>
      </c>
      <c r="I647" s="101" t="s">
        <v>21</v>
      </c>
      <c r="J647" s="148"/>
      <c r="K647" s="101" t="str">
        <f>IF(COUNTIF('TT BTSC'!$D:$D,B647)&gt;0,"Hư hỏng","Bình thường")</f>
        <v>Bình thường</v>
      </c>
      <c r="L647" s="149"/>
      <c r="M647" s="206"/>
      <c r="N647" s="337" t="s">
        <v>1380</v>
      </c>
      <c r="O647" s="193" t="s">
        <v>590</v>
      </c>
      <c r="P647" s="193">
        <v>2021</v>
      </c>
      <c r="Q647" s="193" t="s">
        <v>2973</v>
      </c>
      <c r="R647" s="193"/>
      <c r="S647" s="193" t="s">
        <v>2976</v>
      </c>
      <c r="T647" s="933"/>
      <c r="U647" s="924"/>
      <c r="V647" s="192"/>
      <c r="W647" s="192"/>
      <c r="X647" s="192"/>
      <c r="Y647" s="192"/>
    </row>
    <row r="648" ht="13.5" customHeight="1" outlineLevel="1" spans="1:25">
      <c r="A648" s="101"/>
      <c r="B648" s="102"/>
      <c r="C648" s="159"/>
      <c r="D648" s="103"/>
      <c r="E648" s="146"/>
      <c r="F648" s="146"/>
      <c r="G648" s="159"/>
      <c r="H648" s="101"/>
      <c r="I648" s="101"/>
      <c r="J648" s="148"/>
      <c r="K648" s="101"/>
      <c r="L648" s="149"/>
      <c r="M648" s="206"/>
      <c r="N648" s="337"/>
      <c r="O648" s="193"/>
      <c r="P648" s="193"/>
      <c r="Q648" s="193"/>
      <c r="R648" s="193"/>
      <c r="S648" s="193"/>
      <c r="T648" s="933"/>
      <c r="U648" s="924"/>
      <c r="V648" s="192"/>
      <c r="W648" s="192"/>
      <c r="X648" s="192"/>
      <c r="Y648" s="192"/>
    </row>
    <row r="649" ht="13.5" customHeight="1" spans="1:25">
      <c r="A649" s="91" t="s">
        <v>2977</v>
      </c>
      <c r="B649" s="91"/>
      <c r="C649" s="92">
        <f>COUNTA(B650:B658)</f>
        <v>8</v>
      </c>
      <c r="D649" s="91"/>
      <c r="E649" s="92"/>
      <c r="F649" s="92"/>
      <c r="G649" s="92"/>
      <c r="H649" s="91"/>
      <c r="I649" s="91"/>
      <c r="J649" s="93"/>
      <c r="K649" s="91"/>
      <c r="L649" s="92"/>
      <c r="M649" s="91"/>
      <c r="N649" s="92"/>
      <c r="O649" s="91"/>
      <c r="P649" s="91"/>
      <c r="Q649" s="91"/>
      <c r="R649" s="91"/>
      <c r="S649" s="91"/>
      <c r="T649" s="91"/>
      <c r="U649" s="91"/>
      <c r="V649" s="192"/>
      <c r="W649" s="192"/>
      <c r="X649" s="192"/>
      <c r="Y649" s="192"/>
    </row>
    <row r="650" ht="13.5" customHeight="1" spans="1:25">
      <c r="A650" s="101">
        <v>1</v>
      </c>
      <c r="B650" s="102" t="s">
        <v>2978</v>
      </c>
      <c r="C650" s="159"/>
      <c r="D650" s="103"/>
      <c r="E650" s="146"/>
      <c r="F650" s="146" t="s">
        <v>451</v>
      </c>
      <c r="G650" s="159" t="s">
        <v>1556</v>
      </c>
      <c r="H650" s="101"/>
      <c r="I650" s="101" t="s">
        <v>22</v>
      </c>
      <c r="J650" s="148"/>
      <c r="K650" s="101" t="s">
        <v>1126</v>
      </c>
      <c r="L650" s="149"/>
      <c r="M650" s="941" t="s">
        <v>2979</v>
      </c>
      <c r="N650" s="337" t="s">
        <v>1380</v>
      </c>
      <c r="O650" s="110"/>
      <c r="P650" s="193">
        <v>2023</v>
      </c>
      <c r="Q650" s="103" t="s">
        <v>2980</v>
      </c>
      <c r="R650" s="103"/>
      <c r="S650" s="933">
        <v>1501190032</v>
      </c>
      <c r="T650" s="933"/>
      <c r="U650" s="924"/>
      <c r="V650" s="192"/>
      <c r="W650" s="192"/>
      <c r="X650" s="192"/>
      <c r="Y650" s="192"/>
    </row>
    <row r="651" ht="13.5" customHeight="1" spans="1:25">
      <c r="A651" s="101">
        <f t="shared" ref="A651:A657" si="20">A650+1</f>
        <v>2</v>
      </c>
      <c r="B651" s="102" t="s">
        <v>2981</v>
      </c>
      <c r="C651" s="159"/>
      <c r="D651" s="103"/>
      <c r="E651" s="146"/>
      <c r="F651" s="146" t="s">
        <v>451</v>
      </c>
      <c r="G651" s="159" t="s">
        <v>1560</v>
      </c>
      <c r="H651" s="101"/>
      <c r="I651" s="101" t="s">
        <v>22</v>
      </c>
      <c r="J651" s="148"/>
      <c r="K651" s="101" t="str">
        <f>IF(COUNTIF('TT BTSC'!$D:$D,B651)&gt;0,"Hư hỏng","Bình thường")</f>
        <v>Bình thường</v>
      </c>
      <c r="L651" s="149"/>
      <c r="M651" s="941" t="s">
        <v>2982</v>
      </c>
      <c r="N651" s="337" t="s">
        <v>1380</v>
      </c>
      <c r="O651" s="110"/>
      <c r="P651" s="193">
        <v>2023</v>
      </c>
      <c r="Q651" s="103" t="s">
        <v>2983</v>
      </c>
      <c r="R651" s="103"/>
      <c r="S651" s="933" t="s">
        <v>2984</v>
      </c>
      <c r="T651" s="933"/>
      <c r="U651" s="924"/>
      <c r="V651" s="192"/>
      <c r="W651" s="192"/>
      <c r="X651" s="192"/>
      <c r="Y651" s="192"/>
    </row>
    <row r="652" ht="13.5" customHeight="1" spans="1:25">
      <c r="A652" s="101">
        <f t="shared" si="20"/>
        <v>3</v>
      </c>
      <c r="B652" s="102" t="s">
        <v>2985</v>
      </c>
      <c r="C652" s="159"/>
      <c r="D652" s="103"/>
      <c r="E652" s="146"/>
      <c r="F652" s="146" t="s">
        <v>451</v>
      </c>
      <c r="G652" s="159" t="s">
        <v>1556</v>
      </c>
      <c r="H652" s="101"/>
      <c r="I652" s="101" t="s">
        <v>22</v>
      </c>
      <c r="J652" s="148"/>
      <c r="K652" s="101" t="str">
        <f>IF(COUNTIF('TT BTSC'!$D:$D,B652)&gt;0,"Hư hỏng","Bình thường")</f>
        <v>Bình thường</v>
      </c>
      <c r="L652" s="149"/>
      <c r="M652" s="159" t="s">
        <v>2986</v>
      </c>
      <c r="N652" s="146" t="s">
        <v>1139</v>
      </c>
      <c r="O652" s="110"/>
      <c r="P652" s="193">
        <v>2021</v>
      </c>
      <c r="Q652" s="103" t="s">
        <v>2987</v>
      </c>
      <c r="R652" s="103"/>
      <c r="S652" s="933">
        <v>1501190033</v>
      </c>
      <c r="T652" s="933"/>
      <c r="U652" s="924"/>
      <c r="V652" s="192"/>
      <c r="W652" s="192"/>
      <c r="X652" s="192"/>
      <c r="Y652" s="192"/>
    </row>
    <row r="653" ht="13.5" customHeight="1" spans="1:25">
      <c r="A653" s="101">
        <f t="shared" si="20"/>
        <v>4</v>
      </c>
      <c r="B653" s="102" t="s">
        <v>2988</v>
      </c>
      <c r="C653" s="159"/>
      <c r="D653" s="103"/>
      <c r="E653" s="146"/>
      <c r="F653" s="146" t="s">
        <v>451</v>
      </c>
      <c r="G653" s="159" t="s">
        <v>1556</v>
      </c>
      <c r="H653" s="101"/>
      <c r="I653" s="101" t="s">
        <v>22</v>
      </c>
      <c r="J653" s="148"/>
      <c r="K653" s="101" t="str">
        <f>IF(COUNTIF('TT BTSC'!$D:$D,B653)&gt;0,"Hư hỏng","Bình thường")</f>
        <v>Bình thường</v>
      </c>
      <c r="L653" s="149"/>
      <c r="M653" s="159" t="s">
        <v>2986</v>
      </c>
      <c r="N653" s="146" t="s">
        <v>1139</v>
      </c>
      <c r="O653" s="110"/>
      <c r="P653" s="193">
        <v>2021</v>
      </c>
      <c r="Q653" s="103" t="s">
        <v>2987</v>
      </c>
      <c r="R653" s="103"/>
      <c r="S653" s="933">
        <v>1501190062</v>
      </c>
      <c r="T653" s="933"/>
      <c r="U653" s="924"/>
      <c r="V653" s="192"/>
      <c r="W653" s="192"/>
      <c r="X653" s="192"/>
      <c r="Y653" s="192"/>
    </row>
    <row r="654" ht="13.5" customHeight="1" spans="1:25">
      <c r="A654" s="101">
        <f t="shared" si="20"/>
        <v>5</v>
      </c>
      <c r="B654" s="102" t="s">
        <v>2989</v>
      </c>
      <c r="C654" s="159"/>
      <c r="D654" s="103"/>
      <c r="E654" s="146"/>
      <c r="F654" s="146" t="s">
        <v>451</v>
      </c>
      <c r="G654" s="159" t="s">
        <v>1556</v>
      </c>
      <c r="H654" s="101"/>
      <c r="I654" s="101" t="s">
        <v>22</v>
      </c>
      <c r="J654" s="148"/>
      <c r="K654" s="101" t="str">
        <f>IF(COUNTIF('TT BTSC'!$D:$D,B654)&gt;0,"Hư hỏng","Bình thường")</f>
        <v>Bình thường</v>
      </c>
      <c r="L654" s="149"/>
      <c r="M654" s="159" t="s">
        <v>2986</v>
      </c>
      <c r="N654" s="146" t="s">
        <v>1139</v>
      </c>
      <c r="O654" s="110"/>
      <c r="P654" s="193">
        <v>2021</v>
      </c>
      <c r="Q654" s="103" t="s">
        <v>2987</v>
      </c>
      <c r="R654" s="103"/>
      <c r="S654" s="933">
        <v>1501190058</v>
      </c>
      <c r="T654" s="933"/>
      <c r="U654" s="924"/>
      <c r="V654" s="192"/>
      <c r="W654" s="192"/>
      <c r="X654" s="192"/>
      <c r="Y654" s="192"/>
    </row>
    <row r="655" ht="13.5" customHeight="1" spans="1:25">
      <c r="A655" s="101">
        <f t="shared" si="20"/>
        <v>6</v>
      </c>
      <c r="B655" s="102" t="s">
        <v>2990</v>
      </c>
      <c r="C655" s="159"/>
      <c r="D655" s="103"/>
      <c r="E655" s="146"/>
      <c r="F655" s="146" t="s">
        <v>451</v>
      </c>
      <c r="G655" s="159" t="s">
        <v>1556</v>
      </c>
      <c r="H655" s="101"/>
      <c r="I655" s="101" t="s">
        <v>22</v>
      </c>
      <c r="J655" s="148"/>
      <c r="K655" s="101" t="s">
        <v>1126</v>
      </c>
      <c r="L655" s="149"/>
      <c r="M655" s="941" t="s">
        <v>2991</v>
      </c>
      <c r="N655" s="146" t="s">
        <v>1139</v>
      </c>
      <c r="O655" s="110"/>
      <c r="P655" s="193">
        <v>2021</v>
      </c>
      <c r="Q655" s="103" t="s">
        <v>2987</v>
      </c>
      <c r="R655" s="103"/>
      <c r="S655" s="933">
        <v>1501190065</v>
      </c>
      <c r="T655" s="933"/>
      <c r="U655" s="924"/>
      <c r="V655" s="192"/>
      <c r="W655" s="192"/>
      <c r="X655" s="192"/>
      <c r="Y655" s="192"/>
    </row>
    <row r="656" ht="13.5" customHeight="1" spans="1:25">
      <c r="A656" s="101">
        <f t="shared" si="20"/>
        <v>7</v>
      </c>
      <c r="B656" s="102" t="s">
        <v>2992</v>
      </c>
      <c r="C656" s="159"/>
      <c r="D656" s="103"/>
      <c r="E656" s="146"/>
      <c r="F656" s="146" t="s">
        <v>451</v>
      </c>
      <c r="G656" s="159" t="s">
        <v>1556</v>
      </c>
      <c r="H656" s="101"/>
      <c r="I656" s="101" t="s">
        <v>22</v>
      </c>
      <c r="J656" s="148"/>
      <c r="K656" s="101" t="s">
        <v>1126</v>
      </c>
      <c r="L656" s="149"/>
      <c r="M656" s="941" t="s">
        <v>2991</v>
      </c>
      <c r="N656" s="146" t="s">
        <v>480</v>
      </c>
      <c r="O656" s="110"/>
      <c r="P656" s="193">
        <v>2007</v>
      </c>
      <c r="Q656" s="103" t="s">
        <v>1386</v>
      </c>
      <c r="R656" s="103"/>
      <c r="S656" s="933">
        <v>809168</v>
      </c>
      <c r="T656" s="933"/>
      <c r="U656" s="924"/>
      <c r="V656" s="192"/>
      <c r="W656" s="192"/>
      <c r="X656" s="192"/>
      <c r="Y656" s="192"/>
    </row>
    <row r="657" ht="13.5" customHeight="1" spans="1:25">
      <c r="A657" s="101">
        <f t="shared" si="20"/>
        <v>8</v>
      </c>
      <c r="B657" s="102" t="s">
        <v>2993</v>
      </c>
      <c r="C657" s="159"/>
      <c r="D657" s="103"/>
      <c r="E657" s="146"/>
      <c r="F657" s="146" t="s">
        <v>451</v>
      </c>
      <c r="G657" s="159" t="s">
        <v>1556</v>
      </c>
      <c r="H657" s="101"/>
      <c r="I657" s="101" t="s">
        <v>22</v>
      </c>
      <c r="J657" s="148"/>
      <c r="K657" s="101" t="str">
        <f>IF(COUNTIF('TT BTSC'!$D:$D,B657)&gt;0,"Hư hỏng","Bình thường")</f>
        <v>Bình thường</v>
      </c>
      <c r="L657" s="149"/>
      <c r="M657" s="941" t="s">
        <v>2994</v>
      </c>
      <c r="N657" s="146" t="s">
        <v>480</v>
      </c>
      <c r="O657" s="110"/>
      <c r="P657" s="193">
        <v>2017</v>
      </c>
      <c r="Q657" s="103" t="s">
        <v>2142</v>
      </c>
      <c r="R657" s="103"/>
      <c r="S657" s="933">
        <v>841392</v>
      </c>
      <c r="T657" s="933"/>
      <c r="U657" s="924"/>
      <c r="V657" s="192"/>
      <c r="W657" s="192"/>
      <c r="X657" s="192"/>
      <c r="Y657" s="192"/>
    </row>
    <row r="658" ht="13.5" customHeight="1" spans="1:25">
      <c r="A658" s="101"/>
      <c r="B658" s="102"/>
      <c r="C658" s="159"/>
      <c r="D658" s="103"/>
      <c r="E658" s="146"/>
      <c r="F658" s="146"/>
      <c r="G658" s="124"/>
      <c r="H658" s="101"/>
      <c r="I658" s="101"/>
      <c r="J658" s="148"/>
      <c r="K658" s="101"/>
      <c r="L658" s="149"/>
      <c r="M658" s="206"/>
      <c r="N658" s="146"/>
      <c r="O658" s="110"/>
      <c r="P658" s="146"/>
      <c r="Q658" s="103"/>
      <c r="R658" s="103"/>
      <c r="S658" s="933"/>
      <c r="T658" s="933"/>
      <c r="U658" s="924"/>
      <c r="V658" s="192"/>
      <c r="W658" s="192"/>
      <c r="X658" s="192"/>
      <c r="Y658" s="192"/>
    </row>
    <row r="659" ht="13.5" customHeight="1" spans="1:25">
      <c r="A659" s="91" t="s">
        <v>2995</v>
      </c>
      <c r="B659" s="91"/>
      <c r="C659" s="92">
        <f>COUNTA(B660:B663)</f>
        <v>1</v>
      </c>
      <c r="D659" s="91"/>
      <c r="E659" s="92"/>
      <c r="F659" s="92"/>
      <c r="G659" s="92"/>
      <c r="H659" s="91"/>
      <c r="I659" s="91"/>
      <c r="J659" s="93"/>
      <c r="K659" s="91"/>
      <c r="L659" s="92"/>
      <c r="M659" s="91"/>
      <c r="N659" s="92"/>
      <c r="O659" s="91"/>
      <c r="P659" s="91"/>
      <c r="Q659" s="91"/>
      <c r="R659" s="91"/>
      <c r="S659" s="91"/>
      <c r="T659" s="91"/>
      <c r="U659" s="91"/>
      <c r="V659" s="192"/>
      <c r="W659" s="192"/>
      <c r="X659" s="192"/>
      <c r="Y659" s="192"/>
    </row>
    <row r="660" ht="13.5" customHeight="1" outlineLevel="1" spans="1:25">
      <c r="A660" s="103">
        <v>1</v>
      </c>
      <c r="B660" s="102" t="s">
        <v>2996</v>
      </c>
      <c r="C660" s="102" t="s">
        <v>2997</v>
      </c>
      <c r="D660" s="103" t="s">
        <v>2998</v>
      </c>
      <c r="E660" s="103"/>
      <c r="F660" s="146" t="s">
        <v>451</v>
      </c>
      <c r="G660" s="102" t="s">
        <v>2999</v>
      </c>
      <c r="H660" s="101" t="e">
        <f>VLOOKUP(G660,'01. TH'!$B:$E,3,0)</f>
        <v>#N/A</v>
      </c>
      <c r="I660" s="101" t="s">
        <v>3000</v>
      </c>
      <c r="J660" s="105">
        <v>46089</v>
      </c>
      <c r="K660" s="101" t="str">
        <f>IF(COUNTIF('TT BTSC'!$D:$D,B660)&gt;0,"Hư hỏng","Bình thường")</f>
        <v>Bình thường</v>
      </c>
      <c r="L660" s="107">
        <v>0.97</v>
      </c>
      <c r="M660" s="1095" t="s">
        <v>3001</v>
      </c>
      <c r="N660" s="101" t="s">
        <v>621</v>
      </c>
      <c r="O660" s="110" t="s">
        <v>500</v>
      </c>
      <c r="P660" s="101">
        <v>2023</v>
      </c>
      <c r="Q660" s="103" t="s">
        <v>628</v>
      </c>
      <c r="R660" s="101" t="s">
        <v>48</v>
      </c>
      <c r="S660" s="110" t="s">
        <v>3002</v>
      </c>
      <c r="T660" s="111" t="s">
        <v>3003</v>
      </c>
      <c r="U660" s="111">
        <v>0.45</v>
      </c>
      <c r="V660" s="895">
        <v>150</v>
      </c>
      <c r="W660" s="895"/>
      <c r="X660" s="895"/>
      <c r="Y660" s="895"/>
    </row>
    <row r="661" ht="13.5" customHeight="1" spans="1:25">
      <c r="A661" s="101"/>
      <c r="B661" s="102"/>
      <c r="C661" s="159"/>
      <c r="D661" s="103"/>
      <c r="E661" s="146"/>
      <c r="F661" s="146"/>
      <c r="G661" s="124"/>
      <c r="H661" s="101"/>
      <c r="I661" s="101"/>
      <c r="J661" s="148"/>
      <c r="K661" s="101"/>
      <c r="L661" s="149"/>
      <c r="M661" s="206"/>
      <c r="N661" s="146"/>
      <c r="O661" s="110"/>
      <c r="P661" s="146"/>
      <c r="Q661" s="103"/>
      <c r="R661" s="103"/>
      <c r="S661" s="933"/>
      <c r="T661" s="933"/>
      <c r="U661" s="924"/>
      <c r="V661" s="192"/>
      <c r="W661" s="192"/>
      <c r="X661" s="192"/>
      <c r="Y661" s="192"/>
    </row>
    <row r="662" ht="13.5" customHeight="1" spans="1:25">
      <c r="A662" s="101"/>
      <c r="B662" s="102"/>
      <c r="C662" s="159"/>
      <c r="D662" s="103"/>
      <c r="E662" s="146"/>
      <c r="F662" s="146"/>
      <c r="G662" s="124"/>
      <c r="H662" s="101"/>
      <c r="I662" s="101"/>
      <c r="J662" s="148"/>
      <c r="K662" s="101"/>
      <c r="L662" s="149"/>
      <c r="M662" s="206"/>
      <c r="N662" s="146"/>
      <c r="O662" s="110"/>
      <c r="P662" s="146"/>
      <c r="Q662" s="103"/>
      <c r="R662" s="103"/>
      <c r="S662" s="933"/>
      <c r="T662" s="933"/>
      <c r="U662" s="924"/>
      <c r="V662" s="192"/>
      <c r="W662" s="192"/>
      <c r="X662" s="192"/>
      <c r="Y662" s="192"/>
    </row>
    <row r="663" ht="13.5" customHeight="1" spans="1:25">
      <c r="A663" s="101"/>
      <c r="B663" s="102"/>
      <c r="C663" s="159"/>
      <c r="D663" s="103"/>
      <c r="E663" s="146"/>
      <c r="F663" s="146"/>
      <c r="G663" s="124"/>
      <c r="H663" s="101"/>
      <c r="I663" s="101"/>
      <c r="J663" s="148"/>
      <c r="K663" s="101"/>
      <c r="L663" s="149"/>
      <c r="M663" s="206"/>
      <c r="N663" s="146"/>
      <c r="O663" s="110"/>
      <c r="P663" s="146"/>
      <c r="Q663" s="103"/>
      <c r="R663" s="103"/>
      <c r="S663" s="933"/>
      <c r="T663" s="933"/>
      <c r="U663" s="924"/>
      <c r="V663" s="192"/>
      <c r="W663" s="192"/>
      <c r="X663" s="192"/>
      <c r="Y663" s="192"/>
    </row>
    <row r="664" ht="13.5" customHeight="1" spans="1:25">
      <c r="A664" s="942" t="s">
        <v>3004</v>
      </c>
      <c r="B664" s="943" t="s">
        <v>3005</v>
      </c>
      <c r="C664" s="943"/>
      <c r="D664" s="942"/>
      <c r="E664" s="942"/>
      <c r="F664" s="942"/>
      <c r="G664" s="942" t="s">
        <v>3006</v>
      </c>
      <c r="H664" s="943"/>
      <c r="I664" s="942"/>
      <c r="J664" s="944"/>
      <c r="K664" s="943"/>
      <c r="L664" s="942"/>
      <c r="M664" s="943"/>
      <c r="N664" s="942"/>
      <c r="O664" s="943"/>
      <c r="P664" s="942"/>
      <c r="Q664" s="942"/>
      <c r="R664" s="942"/>
      <c r="S664" s="943"/>
      <c r="T664" s="943"/>
      <c r="U664" s="943"/>
      <c r="V664" s="945"/>
      <c r="W664" s="945"/>
      <c r="X664" s="945"/>
      <c r="Y664" s="945"/>
    </row>
    <row r="665" ht="13.5" customHeight="1" outlineLevel="1" spans="1:25">
      <c r="A665" s="946" t="s">
        <v>3007</v>
      </c>
      <c r="B665" s="947" t="s">
        <v>3008</v>
      </c>
      <c r="C665" s="946">
        <f>COUNTA($B$666:$B$669)</f>
        <v>2</v>
      </c>
      <c r="D665" s="946"/>
      <c r="E665" s="946"/>
      <c r="F665" s="946"/>
      <c r="G665" s="946"/>
      <c r="H665" s="946"/>
      <c r="I665" s="946"/>
      <c r="J665" s="948"/>
      <c r="K665" s="946"/>
      <c r="L665" s="946"/>
      <c r="M665" s="947"/>
      <c r="N665" s="946"/>
      <c r="O665" s="947"/>
      <c r="P665" s="946"/>
      <c r="Q665" s="946"/>
      <c r="R665" s="946"/>
      <c r="S665" s="947"/>
      <c r="T665" s="947"/>
      <c r="U665" s="947"/>
      <c r="V665" s="949"/>
      <c r="W665" s="949"/>
      <c r="X665" s="949"/>
      <c r="Y665" s="949"/>
    </row>
    <row r="666" ht="14.25" customHeight="1" outlineLevel="1" spans="1:25">
      <c r="A666" s="950">
        <v>1</v>
      </c>
      <c r="B666" s="951" t="s">
        <v>3009</v>
      </c>
      <c r="C666" s="951" t="s">
        <v>3010</v>
      </c>
      <c r="D666" s="950"/>
      <c r="E666" s="950"/>
      <c r="F666" s="950"/>
      <c r="G666" s="951" t="s">
        <v>222</v>
      </c>
      <c r="H666" s="950" t="str">
        <f>VLOOKUP(G666,'01. TH'!$B:$E,3,0)</f>
        <v/>
      </c>
      <c r="I666" s="950" t="s">
        <v>3011</v>
      </c>
      <c r="J666" s="952" t="s">
        <v>3012</v>
      </c>
      <c r="K666" s="101" t="s">
        <v>1755</v>
      </c>
      <c r="L666" s="950"/>
      <c r="M666" s="947"/>
      <c r="N666" s="950" t="s">
        <v>621</v>
      </c>
      <c r="O666" s="953" t="s">
        <v>500</v>
      </c>
      <c r="P666" s="950">
        <v>2018</v>
      </c>
      <c r="Q666" s="950" t="s">
        <v>1371</v>
      </c>
      <c r="R666" s="950" t="s">
        <v>54</v>
      </c>
      <c r="S666" s="953" t="s">
        <v>3013</v>
      </c>
      <c r="T666" s="953" t="s">
        <v>3014</v>
      </c>
      <c r="U666" s="953">
        <v>3.75</v>
      </c>
      <c r="V666" s="954">
        <v>0</v>
      </c>
      <c r="W666" s="954"/>
      <c r="X666" s="954"/>
      <c r="Y666" s="954"/>
    </row>
    <row r="667" ht="13.5" customHeight="1" outlineLevel="1" spans="1:25">
      <c r="A667" s="950">
        <v>2</v>
      </c>
      <c r="B667" s="951" t="s">
        <v>3015</v>
      </c>
      <c r="C667" s="951" t="s">
        <v>3016</v>
      </c>
      <c r="D667" s="950" t="str">
        <f>IFERROR(VLOOKUP(B667,' 02.1 KLH-CN MÃ BRAVO MM'!$B:$C,2,0),"")</f>
        <v>A22-XPT-001</v>
      </c>
      <c r="E667" s="950"/>
      <c r="F667" s="950"/>
      <c r="G667" s="951" t="s">
        <v>1158</v>
      </c>
      <c r="H667" s="950" t="str">
        <f>VLOOKUP(G667,'01. TH'!$B:$E,3,0)</f>
        <v/>
      </c>
      <c r="I667" s="950" t="s">
        <v>3011</v>
      </c>
      <c r="J667" s="952"/>
      <c r="K667" s="101" t="s">
        <v>1755</v>
      </c>
      <c r="L667" s="950"/>
      <c r="M667" s="947"/>
      <c r="N667" s="950" t="s">
        <v>1160</v>
      </c>
      <c r="O667" s="953" t="s">
        <v>1140</v>
      </c>
      <c r="P667" s="950">
        <v>2009</v>
      </c>
      <c r="Q667" s="950"/>
      <c r="R667" s="950" t="s">
        <v>85</v>
      </c>
      <c r="S667" s="953" t="s">
        <v>3017</v>
      </c>
      <c r="T667" s="953" t="s">
        <v>3018</v>
      </c>
      <c r="U667" s="953">
        <v>3.75</v>
      </c>
      <c r="V667" s="949"/>
      <c r="W667" s="949"/>
      <c r="X667" s="949"/>
      <c r="Y667" s="949"/>
    </row>
    <row r="668" ht="13.8" outlineLevel="1" spans="1:25">
      <c r="A668" s="836"/>
      <c r="B668" s="836"/>
      <c r="C668" s="836"/>
      <c r="D668" s="836"/>
      <c r="E668" s="835"/>
      <c r="F668" s="835"/>
      <c r="G668" s="836"/>
      <c r="H668" s="101" t="e">
        <f>VLOOKUP(G668,'01. TH'!$B:$E,3,0)</f>
        <v>#N/A</v>
      </c>
      <c r="I668" s="836"/>
      <c r="J668" s="836"/>
      <c r="K668" s="836"/>
      <c r="L668" s="836"/>
      <c r="M668" s="836"/>
      <c r="N668" s="835"/>
      <c r="O668" s="836"/>
      <c r="P668" s="836"/>
      <c r="Q668" s="836"/>
      <c r="R668" s="836"/>
      <c r="S668" s="836"/>
      <c r="T668" s="836"/>
      <c r="U668" s="837"/>
      <c r="V668" s="192"/>
      <c r="W668" s="192"/>
      <c r="X668" s="192"/>
      <c r="Y668" s="192"/>
    </row>
    <row r="669" ht="13.5" customHeight="1" outlineLevel="1" spans="1:25">
      <c r="A669" s="101"/>
      <c r="B669" s="102"/>
      <c r="C669" s="102" t="s">
        <v>1764</v>
      </c>
      <c r="D669" s="103"/>
      <c r="E669" s="103"/>
      <c r="F669" s="103"/>
      <c r="G669" s="102"/>
      <c r="H669" s="101" t="e">
        <f>VLOOKUP(G669,'01. TH'!$B:$E,3,0)</f>
        <v>#N/A</v>
      </c>
      <c r="I669" s="101"/>
      <c r="J669" s="105"/>
      <c r="K669" s="101"/>
      <c r="L669" s="101"/>
      <c r="M669" s="182"/>
      <c r="N669" s="101"/>
      <c r="O669" s="110"/>
      <c r="P669" s="101"/>
      <c r="Q669" s="101"/>
      <c r="R669" s="101"/>
      <c r="S669" s="110"/>
      <c r="T669" s="111"/>
      <c r="U669" s="111"/>
      <c r="V669" s="192"/>
      <c r="W669" s="192"/>
      <c r="X669" s="192"/>
      <c r="Y669" s="192"/>
    </row>
    <row r="670" ht="13.8" spans="1:25">
      <c r="F670" s="177"/>
    </row>
    <row r="671" ht="13.8" spans="1:25">
      <c r="F671" s="177"/>
    </row>
    <row r="672" ht="13.5" customHeight="1" spans="1:25">
      <c r="A672" s="955"/>
      <c r="B672" s="956"/>
      <c r="C672" s="955"/>
      <c r="D672" s="955"/>
      <c r="E672" s="955"/>
      <c r="F672" s="955"/>
      <c r="G672" s="955"/>
      <c r="H672" s="955"/>
      <c r="I672" s="955"/>
      <c r="J672" s="957"/>
      <c r="K672" s="955"/>
      <c r="L672" s="955"/>
      <c r="M672" s="956"/>
      <c r="N672" s="955"/>
      <c r="O672" s="956"/>
      <c r="P672" s="955"/>
      <c r="Q672" s="955"/>
      <c r="R672" s="955"/>
      <c r="S672" s="956"/>
      <c r="T672" s="956"/>
      <c r="U672" s="956"/>
      <c r="V672" s="958"/>
      <c r="W672" s="958"/>
      <c r="X672" s="958"/>
      <c r="Y672" s="958"/>
    </row>
    <row r="673" ht="13.5" customHeight="1" spans="1:25">
      <c r="A673" s="955"/>
      <c r="B673" s="956"/>
      <c r="C673" s="955"/>
      <c r="D673" s="955"/>
      <c r="E673" s="955"/>
      <c r="F673" s="955"/>
      <c r="G673" s="955"/>
      <c r="H673" s="955"/>
      <c r="I673" s="955"/>
      <c r="J673" s="957"/>
      <c r="K673" s="955"/>
      <c r="L673" s="955"/>
      <c r="M673" s="956"/>
      <c r="N673" s="955"/>
      <c r="O673" s="956"/>
      <c r="P673" s="955"/>
      <c r="Q673" s="955"/>
      <c r="R673" s="955"/>
      <c r="S673" s="956"/>
      <c r="T673" s="956"/>
      <c r="U673" s="956"/>
      <c r="V673" s="958"/>
      <c r="W673" s="958"/>
      <c r="X673" s="958"/>
      <c r="Y673" s="958"/>
    </row>
    <row r="674" ht="13.5" customHeight="1" spans="1:25">
      <c r="A674" s="959" t="s">
        <v>290</v>
      </c>
      <c r="B674" s="960" t="s">
        <v>3019</v>
      </c>
      <c r="C674" s="959">
        <f>COUNTA(G675:G739)</f>
        <v>59</v>
      </c>
      <c r="D674" s="959"/>
      <c r="E674" s="959"/>
      <c r="F674" s="959"/>
      <c r="G674" s="959" t="s">
        <v>3020</v>
      </c>
      <c r="H674" s="959"/>
      <c r="I674" s="959"/>
      <c r="J674" s="961"/>
      <c r="K674" s="959"/>
      <c r="L674" s="959"/>
      <c r="M674" s="960"/>
      <c r="N674" s="959"/>
      <c r="O674" s="960"/>
      <c r="P674" s="959"/>
      <c r="Q674" s="959"/>
      <c r="R674" s="959"/>
      <c r="S674" s="960"/>
      <c r="T674" s="960"/>
      <c r="U674" s="960"/>
      <c r="V674" s="962"/>
      <c r="W674" s="962"/>
      <c r="X674" s="962"/>
      <c r="Y674" s="962"/>
    </row>
    <row r="675" ht="13.5" customHeight="1" spans="1:25">
      <c r="A675" s="127">
        <v>1</v>
      </c>
      <c r="B675" s="126"/>
      <c r="C675" s="126" t="s">
        <v>3021</v>
      </c>
      <c r="D675" s="963"/>
      <c r="E675" s="963"/>
      <c r="F675" s="127"/>
      <c r="G675" s="964" t="s">
        <v>197</v>
      </c>
      <c r="H675" s="965" t="str">
        <f>VLOOKUP(G675,'01. TH'!$B:$E,3,0)</f>
        <v>3226 x 1570 x 1545</v>
      </c>
      <c r="I675" s="127" t="s">
        <v>3022</v>
      </c>
      <c r="J675" s="966"/>
      <c r="K675" s="127" t="s">
        <v>3023</v>
      </c>
      <c r="L675" s="127"/>
      <c r="M675" s="956" t="s">
        <v>3024</v>
      </c>
      <c r="N675" s="127" t="s">
        <v>1019</v>
      </c>
      <c r="O675" s="131" t="s">
        <v>500</v>
      </c>
      <c r="P675" s="127">
        <v>2018</v>
      </c>
      <c r="Q675" s="127" t="s">
        <v>1122</v>
      </c>
      <c r="R675" s="127" t="s">
        <v>128</v>
      </c>
      <c r="S675" s="131" t="s">
        <v>3025</v>
      </c>
      <c r="T675" s="131" t="s">
        <v>462</v>
      </c>
      <c r="U675" s="132">
        <v>2.5</v>
      </c>
      <c r="V675" s="967">
        <v>0</v>
      </c>
      <c r="W675" s="967"/>
      <c r="X675" s="967"/>
      <c r="Y675" s="967"/>
    </row>
    <row r="676" ht="13.5" customHeight="1" spans="1:25">
      <c r="A676" s="127">
        <f t="shared" ref="A676:A722" si="21">A675+1</f>
        <v>2</v>
      </c>
      <c r="B676" s="126"/>
      <c r="C676" s="126" t="s">
        <v>3026</v>
      </c>
      <c r="D676" s="963"/>
      <c r="E676" s="963"/>
      <c r="F676" s="127"/>
      <c r="G676" s="126" t="s">
        <v>218</v>
      </c>
      <c r="H676" s="965" t="str">
        <f>VLOOKUP(G676,'01. TH'!$B:$E,3,0)</f>
        <v/>
      </c>
      <c r="I676" s="127" t="s">
        <v>3022</v>
      </c>
      <c r="J676" s="966"/>
      <c r="K676" s="127" t="s">
        <v>3023</v>
      </c>
      <c r="L676" s="127"/>
      <c r="M676" s="956" t="s">
        <v>3024</v>
      </c>
      <c r="N676" s="127" t="s">
        <v>2693</v>
      </c>
      <c r="O676" s="131" t="s">
        <v>500</v>
      </c>
      <c r="P676" s="127"/>
      <c r="Q676" s="127"/>
      <c r="R676" s="127" t="s">
        <v>199</v>
      </c>
      <c r="S676" s="131" t="s">
        <v>3027</v>
      </c>
      <c r="T676" s="131" t="s">
        <v>462</v>
      </c>
      <c r="U676" s="131"/>
      <c r="V676" s="962"/>
      <c r="W676" s="962"/>
      <c r="X676" s="962"/>
      <c r="Y676" s="962"/>
    </row>
    <row r="677" ht="13.5" customHeight="1" spans="1:25">
      <c r="A677" s="127">
        <f t="shared" si="21"/>
        <v>3</v>
      </c>
      <c r="B677" s="126" t="s">
        <v>3028</v>
      </c>
      <c r="C677" s="126" t="s">
        <v>3029</v>
      </c>
      <c r="D677" s="127"/>
      <c r="E677" s="127"/>
      <c r="F677" s="127"/>
      <c r="G677" s="126" t="s">
        <v>3030</v>
      </c>
      <c r="H677" s="965" t="e">
        <f>VLOOKUP(G677,'01. TH'!$B:$E,3,0)</f>
        <v>#N/A</v>
      </c>
      <c r="I677" s="127" t="s">
        <v>3022</v>
      </c>
      <c r="J677" s="966"/>
      <c r="K677" s="127" t="s">
        <v>1103</v>
      </c>
      <c r="L677" s="127"/>
      <c r="M677" s="956" t="s">
        <v>3024</v>
      </c>
      <c r="N677" s="127" t="s">
        <v>1644</v>
      </c>
      <c r="O677" s="131" t="s">
        <v>453</v>
      </c>
      <c r="P677" s="127"/>
      <c r="Q677" s="127">
        <v>303</v>
      </c>
      <c r="R677" s="127"/>
      <c r="S677" s="131">
        <v>857</v>
      </c>
      <c r="T677" s="968">
        <v>4262</v>
      </c>
      <c r="U677" s="941">
        <v>4</v>
      </c>
      <c r="V677" s="967">
        <v>54</v>
      </c>
      <c r="W677" s="967"/>
      <c r="X677" s="967"/>
      <c r="Y677" s="967"/>
    </row>
    <row r="678" ht="13.5" customHeight="1" spans="1:25">
      <c r="A678" s="127">
        <f t="shared" si="21"/>
        <v>4</v>
      </c>
      <c r="B678" s="964" t="s">
        <v>3031</v>
      </c>
      <c r="C678" s="964" t="s">
        <v>3032</v>
      </c>
      <c r="D678" s="965" t="str">
        <f>IFERROR(VLOOKUP(B678,' 02.1 KLH-CN MÃ BRAVO MM'!$B:$C,2,0),"")</f>
        <v>A22-MKE-013</v>
      </c>
      <c r="E678" s="965"/>
      <c r="F678" s="965"/>
      <c r="G678" s="964" t="s">
        <v>197</v>
      </c>
      <c r="H678" s="965" t="str">
        <f>VLOOKUP(G678,'01. TH'!$B:$E,3,0)</f>
        <v>3226 x 1570 x 1545</v>
      </c>
      <c r="I678" s="127" t="s">
        <v>3022</v>
      </c>
      <c r="J678" s="969"/>
      <c r="K678" s="965" t="s">
        <v>1103</v>
      </c>
      <c r="L678" s="965"/>
      <c r="M678" s="956" t="s">
        <v>3024</v>
      </c>
      <c r="N678" s="965" t="s">
        <v>1019</v>
      </c>
      <c r="O678" s="132" t="s">
        <v>500</v>
      </c>
      <c r="P678" s="965">
        <v>2018</v>
      </c>
      <c r="Q678" s="965" t="s">
        <v>1122</v>
      </c>
      <c r="R678" s="965" t="s">
        <v>128</v>
      </c>
      <c r="S678" s="132" t="s">
        <v>3033</v>
      </c>
      <c r="T678" s="132" t="s">
        <v>462</v>
      </c>
      <c r="U678" s="132">
        <v>2.5</v>
      </c>
      <c r="V678" s="967">
        <v>0</v>
      </c>
      <c r="W678" s="967"/>
      <c r="X678" s="967"/>
      <c r="Y678" s="967"/>
    </row>
    <row r="679" ht="13.5" customHeight="1" spans="1:25">
      <c r="A679" s="127">
        <f t="shared" si="21"/>
        <v>5</v>
      </c>
      <c r="B679" s="126" t="s">
        <v>3034</v>
      </c>
      <c r="C679" s="126" t="s">
        <v>3035</v>
      </c>
      <c r="D679" s="127"/>
      <c r="E679" s="127"/>
      <c r="F679" s="127" t="s">
        <v>3036</v>
      </c>
      <c r="G679" s="126" t="s">
        <v>3037</v>
      </c>
      <c r="H679" s="965" t="e">
        <f>VLOOKUP(G679,'01. TH'!$B:$E,3,0)</f>
        <v>#N/A</v>
      </c>
      <c r="I679" s="127" t="s">
        <v>3022</v>
      </c>
      <c r="J679" s="128"/>
      <c r="K679" s="127" t="s">
        <v>1103</v>
      </c>
      <c r="L679" s="127"/>
      <c r="M679" s="956" t="s">
        <v>3024</v>
      </c>
      <c r="N679" s="127" t="s">
        <v>1019</v>
      </c>
      <c r="O679" s="131" t="s">
        <v>500</v>
      </c>
      <c r="P679" s="127">
        <v>2018</v>
      </c>
      <c r="Q679" s="127" t="s">
        <v>1587</v>
      </c>
      <c r="R679" s="127" t="s">
        <v>3038</v>
      </c>
      <c r="S679" s="131">
        <v>880102</v>
      </c>
      <c r="T679" s="131" t="s">
        <v>462</v>
      </c>
      <c r="U679" s="131"/>
      <c r="V679" s="967">
        <v>0</v>
      </c>
      <c r="W679" s="967"/>
      <c r="X679" s="967"/>
      <c r="Y679" s="967"/>
    </row>
    <row r="680" ht="13.5" customHeight="1" spans="1:25">
      <c r="A680" s="127">
        <f t="shared" si="21"/>
        <v>6</v>
      </c>
      <c r="B680" s="126" t="s">
        <v>3039</v>
      </c>
      <c r="C680" s="126" t="s">
        <v>3040</v>
      </c>
      <c r="D680" s="127"/>
      <c r="E680" s="127"/>
      <c r="F680" s="127" t="s">
        <v>3041</v>
      </c>
      <c r="G680" s="126" t="s">
        <v>3042</v>
      </c>
      <c r="H680" s="965" t="e">
        <f>VLOOKUP(G680,'01. TH'!$B:$E,3,0)</f>
        <v>#N/A</v>
      </c>
      <c r="I680" s="127" t="s">
        <v>3022</v>
      </c>
      <c r="J680" s="128">
        <v>44197</v>
      </c>
      <c r="K680" s="127" t="s">
        <v>1103</v>
      </c>
      <c r="L680" s="225">
        <v>0</v>
      </c>
      <c r="M680" s="956" t="s">
        <v>3024</v>
      </c>
      <c r="N680" s="127" t="s">
        <v>3043</v>
      </c>
      <c r="O680" s="131" t="s">
        <v>1140</v>
      </c>
      <c r="P680" s="127">
        <v>2014</v>
      </c>
      <c r="Q680" s="127" t="s">
        <v>3044</v>
      </c>
      <c r="R680" s="127" t="s">
        <v>3045</v>
      </c>
      <c r="S680" s="131">
        <v>6042</v>
      </c>
      <c r="T680" s="131" t="s">
        <v>462</v>
      </c>
      <c r="U680" s="131"/>
      <c r="V680" s="967">
        <v>0</v>
      </c>
      <c r="W680" s="967"/>
      <c r="X680" s="967"/>
      <c r="Y680" s="967"/>
    </row>
    <row r="681" ht="13.5" customHeight="1" spans="1:25">
      <c r="A681" s="127">
        <f t="shared" si="21"/>
        <v>7</v>
      </c>
      <c r="B681" s="126" t="s">
        <v>3046</v>
      </c>
      <c r="C681" s="126" t="s">
        <v>3047</v>
      </c>
      <c r="D681" s="127"/>
      <c r="E681" s="127"/>
      <c r="F681" s="127"/>
      <c r="G681" s="126" t="s">
        <v>3048</v>
      </c>
      <c r="H681" s="965" t="e">
        <f>VLOOKUP(G681,'01. TH'!$B:$E,3,0)</f>
        <v>#N/A</v>
      </c>
      <c r="I681" s="127" t="s">
        <v>3022</v>
      </c>
      <c r="J681" s="128"/>
      <c r="K681" s="127" t="s">
        <v>23</v>
      </c>
      <c r="L681" s="127"/>
      <c r="M681" s="956" t="s">
        <v>3024</v>
      </c>
      <c r="N681" s="127" t="s">
        <v>1160</v>
      </c>
      <c r="O681" s="131"/>
      <c r="P681" s="127"/>
      <c r="Q681" s="127"/>
      <c r="R681" s="127"/>
      <c r="S681" s="1098" t="s">
        <v>3049</v>
      </c>
      <c r="T681" s="131" t="s">
        <v>462</v>
      </c>
      <c r="U681" s="131"/>
      <c r="V681" s="962"/>
      <c r="W681" s="962"/>
      <c r="X681" s="962"/>
      <c r="Y681" s="962"/>
    </row>
    <row r="682" ht="13.5" customHeight="1" spans="1:25">
      <c r="A682" s="127">
        <f t="shared" si="21"/>
        <v>8</v>
      </c>
      <c r="B682" s="126" t="str">
        <f t="shared" ref="B682:B683" si="22">C682</f>
        <v>CVC-XTA-012</v>
      </c>
      <c r="C682" s="126" t="s">
        <v>3050</v>
      </c>
      <c r="D682" s="127"/>
      <c r="E682" s="127"/>
      <c r="F682" s="127"/>
      <c r="G682" s="126" t="s">
        <v>3051</v>
      </c>
      <c r="H682" s="965" t="e">
        <f>VLOOKUP(G682,'01. TH'!$B:$E,3,0)</f>
        <v>#N/A</v>
      </c>
      <c r="I682" s="127" t="s">
        <v>3022</v>
      </c>
      <c r="J682" s="128"/>
      <c r="K682" s="127" t="s">
        <v>31</v>
      </c>
      <c r="L682" s="127"/>
      <c r="M682" s="956" t="s">
        <v>3024</v>
      </c>
      <c r="N682" s="127" t="s">
        <v>621</v>
      </c>
      <c r="O682" s="131" t="s">
        <v>500</v>
      </c>
      <c r="P682" s="127">
        <v>2012</v>
      </c>
      <c r="Q682" s="127"/>
      <c r="R682" s="127"/>
      <c r="S682" s="131">
        <v>32169</v>
      </c>
      <c r="T682" s="131" t="s">
        <v>462</v>
      </c>
      <c r="U682" s="131"/>
      <c r="V682" s="962"/>
      <c r="W682" s="962"/>
      <c r="X682" s="962"/>
      <c r="Y682" s="962"/>
    </row>
    <row r="683" ht="13.5" customHeight="1" spans="1:25">
      <c r="A683" s="127">
        <f t="shared" si="21"/>
        <v>9</v>
      </c>
      <c r="B683" s="126" t="str">
        <f t="shared" si="22"/>
        <v>CVC-XTA-013</v>
      </c>
      <c r="C683" s="126" t="s">
        <v>3052</v>
      </c>
      <c r="D683" s="127"/>
      <c r="E683" s="127"/>
      <c r="F683" s="127" t="s">
        <v>3053</v>
      </c>
      <c r="G683" s="126" t="s">
        <v>3054</v>
      </c>
      <c r="H683" s="965" t="e">
        <f>VLOOKUP(G683,'01. TH'!$B:$E,3,0)</f>
        <v>#N/A</v>
      </c>
      <c r="I683" s="127" t="s">
        <v>3022</v>
      </c>
      <c r="J683" s="128">
        <v>40910</v>
      </c>
      <c r="K683" s="127" t="s">
        <v>31</v>
      </c>
      <c r="L683" s="225">
        <v>0</v>
      </c>
      <c r="M683" s="956" t="s">
        <v>3024</v>
      </c>
      <c r="N683" s="127" t="s">
        <v>1267</v>
      </c>
      <c r="O683" s="131" t="s">
        <v>465</v>
      </c>
      <c r="P683" s="127"/>
      <c r="Q683" s="127"/>
      <c r="R683" s="127"/>
      <c r="S683" s="131">
        <v>55454</v>
      </c>
      <c r="T683" s="131" t="s">
        <v>462</v>
      </c>
      <c r="U683" s="131"/>
      <c r="V683" s="962"/>
      <c r="W683" s="962"/>
      <c r="X683" s="962"/>
      <c r="Y683" s="962"/>
    </row>
    <row r="684" ht="13.5" customHeight="1" spans="1:25">
      <c r="A684" s="127">
        <f t="shared" si="21"/>
        <v>10</v>
      </c>
      <c r="B684" s="964" t="s">
        <v>3055</v>
      </c>
      <c r="C684" s="964" t="s">
        <v>3056</v>
      </c>
      <c r="D684" s="965" t="s">
        <v>1624</v>
      </c>
      <c r="E684" s="965"/>
      <c r="F684" s="965"/>
      <c r="G684" s="964" t="s">
        <v>207</v>
      </c>
      <c r="H684" s="965" t="str">
        <f>VLOOKUP(G684,'01. TH'!$B:$E,3,0)</f>
        <v>3445 x 1865 x 2535</v>
      </c>
      <c r="I684" s="127" t="s">
        <v>3022</v>
      </c>
      <c r="J684" s="969"/>
      <c r="K684" s="965" t="s">
        <v>1103</v>
      </c>
      <c r="L684" s="965"/>
      <c r="M684" s="956" t="s">
        <v>3057</v>
      </c>
      <c r="N684" s="965" t="s">
        <v>759</v>
      </c>
      <c r="O684" s="132" t="s">
        <v>453</v>
      </c>
      <c r="P684" s="965">
        <v>2013</v>
      </c>
      <c r="Q684" s="965" t="s">
        <v>1064</v>
      </c>
      <c r="R684" s="965" t="s">
        <v>208</v>
      </c>
      <c r="S684" s="132">
        <v>56762</v>
      </c>
      <c r="T684" s="132">
        <v>65</v>
      </c>
      <c r="U684" s="132">
        <v>3.5</v>
      </c>
      <c r="V684" s="967">
        <v>90</v>
      </c>
      <c r="W684" s="967"/>
      <c r="X684" s="967"/>
      <c r="Y684" s="967"/>
    </row>
    <row r="685" ht="13.5" customHeight="1" spans="1:25">
      <c r="A685" s="127">
        <f t="shared" si="21"/>
        <v>11</v>
      </c>
      <c r="B685" s="964" t="s">
        <v>3058</v>
      </c>
      <c r="C685" s="964" t="s">
        <v>3059</v>
      </c>
      <c r="D685" s="965" t="str">
        <f>IFERROR(VLOOKUP(B685,' 02.1 KLH-CN MÃ BRAVO MM'!$B:$C,2,0),"")</f>
        <v>A22-MKE-012</v>
      </c>
      <c r="E685" s="965"/>
      <c r="F685" s="965"/>
      <c r="G685" s="964" t="s">
        <v>197</v>
      </c>
      <c r="H685" s="965" t="str">
        <f>VLOOKUP(G685,'01. TH'!$B:$E,3,0)</f>
        <v>3226 x 1570 x 1545</v>
      </c>
      <c r="I685" s="127" t="s">
        <v>3022</v>
      </c>
      <c r="J685" s="969"/>
      <c r="K685" s="965" t="s">
        <v>1103</v>
      </c>
      <c r="L685" s="965"/>
      <c r="M685" s="956" t="s">
        <v>3057</v>
      </c>
      <c r="N685" s="965" t="s">
        <v>1019</v>
      </c>
      <c r="O685" s="132" t="s">
        <v>500</v>
      </c>
      <c r="P685" s="965">
        <v>2018</v>
      </c>
      <c r="Q685" s="965" t="s">
        <v>1122</v>
      </c>
      <c r="R685" s="965" t="s">
        <v>128</v>
      </c>
      <c r="S685" s="1099" t="s">
        <v>3060</v>
      </c>
      <c r="T685" s="1099" t="s">
        <v>3061</v>
      </c>
      <c r="U685" s="132">
        <v>2.5</v>
      </c>
      <c r="V685" s="967">
        <v>0</v>
      </c>
      <c r="W685" s="967"/>
      <c r="X685" s="967"/>
      <c r="Y685" s="967"/>
    </row>
    <row r="686" ht="13.5" customHeight="1" spans="1:25">
      <c r="A686" s="127">
        <f t="shared" si="21"/>
        <v>12</v>
      </c>
      <c r="B686" s="964" t="s">
        <v>3062</v>
      </c>
      <c r="C686" s="964" t="s">
        <v>3063</v>
      </c>
      <c r="D686" s="965" t="str">
        <f>IFERROR(VLOOKUP(B686,' 02.1 KLH-CN MÃ BRAVO MM'!$B:$C,2,0),"")</f>
        <v>A22-MKE-014</v>
      </c>
      <c r="E686" s="965"/>
      <c r="F686" s="965"/>
      <c r="G686" s="964" t="s">
        <v>197</v>
      </c>
      <c r="H686" s="965" t="str">
        <f>VLOOKUP(G686,'01. TH'!$B:$E,3,0)</f>
        <v>3226 x 1570 x 1545</v>
      </c>
      <c r="I686" s="127" t="s">
        <v>3022</v>
      </c>
      <c r="J686" s="969"/>
      <c r="K686" s="965" t="s">
        <v>1103</v>
      </c>
      <c r="L686" s="965"/>
      <c r="M686" s="956" t="s">
        <v>3057</v>
      </c>
      <c r="N686" s="965" t="s">
        <v>1019</v>
      </c>
      <c r="O686" s="132" t="s">
        <v>500</v>
      </c>
      <c r="P686" s="965">
        <v>2018</v>
      </c>
      <c r="Q686" s="965" t="s">
        <v>1122</v>
      </c>
      <c r="R686" s="965" t="s">
        <v>128</v>
      </c>
      <c r="S686" s="1099" t="s">
        <v>3064</v>
      </c>
      <c r="T686" s="132">
        <v>80076</v>
      </c>
      <c r="U686" s="132">
        <v>2.5</v>
      </c>
      <c r="V686" s="967">
        <v>0</v>
      </c>
      <c r="W686" s="967"/>
      <c r="X686" s="967"/>
      <c r="Y686" s="967"/>
    </row>
    <row r="687" ht="13.5" customHeight="1" spans="1:25">
      <c r="A687" s="127">
        <f t="shared" si="21"/>
        <v>13</v>
      </c>
      <c r="B687" s="964" t="s">
        <v>3065</v>
      </c>
      <c r="C687" s="964" t="s">
        <v>3066</v>
      </c>
      <c r="D687" s="965" t="str">
        <f>IFERROR(VLOOKUP(B687,' 02.1 KLH-CN MÃ BRAVO MM'!$B:$C,2,0),"")</f>
        <v>A22-MKE-017</v>
      </c>
      <c r="E687" s="965"/>
      <c r="F687" s="965"/>
      <c r="G687" s="964" t="s">
        <v>197</v>
      </c>
      <c r="H687" s="965" t="str">
        <f>VLOOKUP(G687,'01. TH'!$B:$E,3,0)</f>
        <v>3226 x 1570 x 1545</v>
      </c>
      <c r="I687" s="127" t="s">
        <v>3022</v>
      </c>
      <c r="J687" s="969"/>
      <c r="K687" s="965" t="s">
        <v>1103</v>
      </c>
      <c r="L687" s="965"/>
      <c r="M687" s="956" t="s">
        <v>3057</v>
      </c>
      <c r="N687" s="965" t="s">
        <v>1019</v>
      </c>
      <c r="O687" s="132" t="s">
        <v>500</v>
      </c>
      <c r="P687" s="965">
        <v>2018</v>
      </c>
      <c r="Q687" s="965" t="s">
        <v>1122</v>
      </c>
      <c r="R687" s="965" t="s">
        <v>128</v>
      </c>
      <c r="S687" s="132" t="s">
        <v>3067</v>
      </c>
      <c r="T687" s="132">
        <v>180053</v>
      </c>
      <c r="U687" s="132">
        <v>2.5</v>
      </c>
      <c r="V687" s="967">
        <v>0</v>
      </c>
      <c r="W687" s="967"/>
      <c r="X687" s="967"/>
      <c r="Y687" s="967"/>
    </row>
    <row r="688" ht="13.5" customHeight="1" spans="1:25">
      <c r="A688" s="127">
        <f t="shared" si="21"/>
        <v>14</v>
      </c>
      <c r="B688" s="964" t="s">
        <v>3068</v>
      </c>
      <c r="C688" s="964" t="s">
        <v>3069</v>
      </c>
      <c r="D688" s="965" t="str">
        <f>IFERROR(VLOOKUP(B688,' 02.1 KLH-CN MÃ BRAVO MM'!$B:$C,2,0),"")</f>
        <v>ATT-A22-0182</v>
      </c>
      <c r="E688" s="965"/>
      <c r="F688" s="965" t="s">
        <v>3070</v>
      </c>
      <c r="G688" s="964" t="s">
        <v>209</v>
      </c>
      <c r="H688" s="965" t="str">
        <f>VLOOKUP(G688,'01. TH'!$B:$E,3,0)</f>
        <v>3760 x 1900 x 2570</v>
      </c>
      <c r="I688" s="127" t="s">
        <v>3022</v>
      </c>
      <c r="J688" s="969"/>
      <c r="K688" s="965" t="s">
        <v>1103</v>
      </c>
      <c r="L688" s="965"/>
      <c r="M688" s="956" t="s">
        <v>3057</v>
      </c>
      <c r="N688" s="965" t="s">
        <v>759</v>
      </c>
      <c r="O688" s="132" t="s">
        <v>453</v>
      </c>
      <c r="P688" s="965">
        <v>2011</v>
      </c>
      <c r="Q688" s="965">
        <v>9540</v>
      </c>
      <c r="R688" s="965" t="s">
        <v>120</v>
      </c>
      <c r="S688" s="132">
        <v>2482</v>
      </c>
      <c r="T688" s="132" t="s">
        <v>462</v>
      </c>
      <c r="U688" s="132">
        <v>3.8</v>
      </c>
      <c r="V688" s="967">
        <v>110</v>
      </c>
      <c r="W688" s="967"/>
      <c r="X688" s="967"/>
      <c r="Y688" s="967"/>
    </row>
    <row r="689" ht="13.5" customHeight="1" spans="1:25">
      <c r="A689" s="127">
        <f t="shared" si="21"/>
        <v>15</v>
      </c>
      <c r="B689" s="964" t="s">
        <v>3071</v>
      </c>
      <c r="C689" s="964" t="s">
        <v>3072</v>
      </c>
      <c r="D689" s="965" t="str">
        <f>IFERROR(VLOOKUP(B689,' 02.1 KLH-CN MÃ BRAVO MM'!$B:$C,2,0),"")</f>
        <v>A22-MKE-019</v>
      </c>
      <c r="E689" s="965"/>
      <c r="F689" s="965"/>
      <c r="G689" s="964" t="s">
        <v>197</v>
      </c>
      <c r="H689" s="965" t="str">
        <f>VLOOKUP(G689,'01. TH'!$B:$E,3,0)</f>
        <v>3226 x 1570 x 1545</v>
      </c>
      <c r="I689" s="127" t="s">
        <v>3022</v>
      </c>
      <c r="J689" s="965" t="s">
        <v>3073</v>
      </c>
      <c r="K689" s="965" t="s">
        <v>1103</v>
      </c>
      <c r="L689" s="965"/>
      <c r="M689" s="956" t="s">
        <v>3057</v>
      </c>
      <c r="N689" s="965" t="s">
        <v>1019</v>
      </c>
      <c r="O689" s="132" t="s">
        <v>500</v>
      </c>
      <c r="P689" s="965">
        <v>2018</v>
      </c>
      <c r="Q689" s="965" t="s">
        <v>1122</v>
      </c>
      <c r="R689" s="965" t="s">
        <v>128</v>
      </c>
      <c r="S689" s="132" t="s">
        <v>3074</v>
      </c>
      <c r="T689" s="132" t="s">
        <v>462</v>
      </c>
      <c r="U689" s="132">
        <v>2.5</v>
      </c>
      <c r="V689" s="967">
        <v>0</v>
      </c>
      <c r="W689" s="967"/>
      <c r="X689" s="967"/>
      <c r="Y689" s="967"/>
    </row>
    <row r="690" ht="13.5" customHeight="1" spans="1:25">
      <c r="A690" s="127">
        <f t="shared" si="21"/>
        <v>16</v>
      </c>
      <c r="B690" s="964" t="s">
        <v>3075</v>
      </c>
      <c r="C690" s="964" t="s">
        <v>3076</v>
      </c>
      <c r="D690" s="965" t="str">
        <f>IFERROR(VLOOKUP(B690,' 02.1 KLH-CN MÃ BRAVO MM'!$B:$C,2,0),"")</f>
        <v>ATT-A22-0182</v>
      </c>
      <c r="E690" s="965"/>
      <c r="F690" s="965" t="s">
        <v>3077</v>
      </c>
      <c r="G690" s="964" t="s">
        <v>209</v>
      </c>
      <c r="H690" s="965" t="str">
        <f>VLOOKUP(G690,'01. TH'!$B:$E,3,0)</f>
        <v>3760 x 1900 x 2570</v>
      </c>
      <c r="I690" s="127" t="s">
        <v>3022</v>
      </c>
      <c r="J690" s="965" t="s">
        <v>1854</v>
      </c>
      <c r="K690" s="965" t="s">
        <v>1103</v>
      </c>
      <c r="L690" s="965"/>
      <c r="M690" s="956" t="s">
        <v>3057</v>
      </c>
      <c r="N690" s="965" t="s">
        <v>759</v>
      </c>
      <c r="O690" s="132" t="s">
        <v>453</v>
      </c>
      <c r="P690" s="965">
        <v>2011</v>
      </c>
      <c r="Q690" s="965">
        <v>9540</v>
      </c>
      <c r="R690" s="965" t="s">
        <v>120</v>
      </c>
      <c r="S690" s="132">
        <v>3106</v>
      </c>
      <c r="T690" s="132" t="s">
        <v>462</v>
      </c>
      <c r="U690" s="132">
        <v>3.8</v>
      </c>
      <c r="V690" s="967">
        <v>110</v>
      </c>
      <c r="W690" s="967"/>
      <c r="X690" s="967"/>
      <c r="Y690" s="967"/>
    </row>
    <row r="691" ht="19.5" customHeight="1" spans="1:25">
      <c r="A691" s="127">
        <f t="shared" si="21"/>
        <v>17</v>
      </c>
      <c r="B691" s="964" t="s">
        <v>3078</v>
      </c>
      <c r="C691" s="964" t="s">
        <v>2593</v>
      </c>
      <c r="D691" s="965" t="str">
        <f>IFERROR(VLOOKUP(B691,' 02.1 KLH-CN MÃ BRAVO MM'!$B:$C,2,0),"")</f>
        <v>ATT-A22-0023</v>
      </c>
      <c r="E691" s="965"/>
      <c r="F691" s="965" t="s">
        <v>1624</v>
      </c>
      <c r="G691" s="964" t="s">
        <v>200</v>
      </c>
      <c r="H691" s="965" t="str">
        <f>VLOOKUP(G691,'01. TH'!$B:$E,3,0)</f>
        <v>3120 x 1495 x 1510</v>
      </c>
      <c r="I691" s="127" t="s">
        <v>3022</v>
      </c>
      <c r="J691" s="965" t="s">
        <v>3079</v>
      </c>
      <c r="K691" s="965" t="s">
        <v>1103</v>
      </c>
      <c r="L691" s="970">
        <v>0.55</v>
      </c>
      <c r="M691" s="956" t="s">
        <v>3057</v>
      </c>
      <c r="N691" s="965" t="s">
        <v>759</v>
      </c>
      <c r="O691" s="132" t="s">
        <v>555</v>
      </c>
      <c r="P691" s="965">
        <v>2019</v>
      </c>
      <c r="Q691" s="965">
        <v>4508</v>
      </c>
      <c r="R691" s="965" t="s">
        <v>41</v>
      </c>
      <c r="S691" s="1099" t="s">
        <v>3080</v>
      </c>
      <c r="T691" s="132" t="s">
        <v>3081</v>
      </c>
      <c r="U691" s="132">
        <v>2.5</v>
      </c>
      <c r="V691" s="967">
        <v>0</v>
      </c>
      <c r="W691" s="967"/>
      <c r="X691" s="967"/>
      <c r="Y691" s="967"/>
    </row>
    <row r="692" ht="13.5" customHeight="1" spans="1:25">
      <c r="A692" s="127">
        <f t="shared" si="21"/>
        <v>18</v>
      </c>
      <c r="B692" s="964" t="s">
        <v>3082</v>
      </c>
      <c r="C692" s="964" t="s">
        <v>3083</v>
      </c>
      <c r="D692" s="965" t="str">
        <f>IFERROR(VLOOKUP(B692,' 02.1 KLH-CN MÃ BRAVO MM'!$B:$C,2,0),"")</f>
        <v>ATT-A22-0016</v>
      </c>
      <c r="E692" s="965"/>
      <c r="F692" s="965" t="s">
        <v>3084</v>
      </c>
      <c r="G692" s="964" t="s">
        <v>127</v>
      </c>
      <c r="H692" s="965" t="str">
        <f>VLOOKUP(G692,'01. TH'!$B:$E,3,0)</f>
        <v/>
      </c>
      <c r="I692" s="127" t="s">
        <v>3022</v>
      </c>
      <c r="J692" s="969"/>
      <c r="K692" s="965" t="s">
        <v>1103</v>
      </c>
      <c r="L692" s="965"/>
      <c r="M692" s="956" t="s">
        <v>3057</v>
      </c>
      <c r="N692" s="965" t="s">
        <v>1164</v>
      </c>
      <c r="O692" s="132" t="s">
        <v>1165</v>
      </c>
      <c r="P692" s="965"/>
      <c r="Q692" s="965"/>
      <c r="R692" s="965" t="s">
        <v>208</v>
      </c>
      <c r="S692" s="132">
        <v>78509</v>
      </c>
      <c r="T692" s="132" t="s">
        <v>462</v>
      </c>
      <c r="U692" s="132">
        <v>2</v>
      </c>
      <c r="V692" s="962"/>
      <c r="W692" s="962"/>
      <c r="X692" s="962"/>
      <c r="Y692" s="962"/>
    </row>
    <row r="693" ht="13.5" customHeight="1" spans="1:25">
      <c r="A693" s="127">
        <f t="shared" si="21"/>
        <v>19</v>
      </c>
      <c r="B693" s="964" t="s">
        <v>3085</v>
      </c>
      <c r="C693" s="964" t="s">
        <v>3086</v>
      </c>
      <c r="D693" s="965" t="str">
        <f>IFERROR(VLOOKUP(B693,' 02.1 KLH-CN MÃ BRAVO MM'!$B:$C,2,0),"")</f>
        <v>ATT-A22-0016</v>
      </c>
      <c r="E693" s="965"/>
      <c r="F693" s="965" t="s">
        <v>3084</v>
      </c>
      <c r="G693" s="964" t="s">
        <v>127</v>
      </c>
      <c r="H693" s="965" t="str">
        <f>VLOOKUP(G693,'01. TH'!$B:$E,3,0)</f>
        <v/>
      </c>
      <c r="I693" s="127" t="s">
        <v>3022</v>
      </c>
      <c r="J693" s="969"/>
      <c r="K693" s="965" t="s">
        <v>1103</v>
      </c>
      <c r="L693" s="965"/>
      <c r="M693" s="956" t="s">
        <v>3057</v>
      </c>
      <c r="N693" s="965" t="s">
        <v>1164</v>
      </c>
      <c r="O693" s="132" t="s">
        <v>1165</v>
      </c>
      <c r="P693" s="965"/>
      <c r="Q693" s="965"/>
      <c r="R693" s="965" t="s">
        <v>208</v>
      </c>
      <c r="S693" s="132">
        <v>58759</v>
      </c>
      <c r="T693" s="132" t="s">
        <v>462</v>
      </c>
      <c r="U693" s="132">
        <v>2</v>
      </c>
      <c r="V693" s="962"/>
      <c r="W693" s="962"/>
      <c r="X693" s="962"/>
      <c r="Y693" s="962"/>
    </row>
    <row r="694" ht="13.5" customHeight="1" spans="1:25">
      <c r="A694" s="127">
        <f t="shared" si="21"/>
        <v>20</v>
      </c>
      <c r="B694" s="964" t="s">
        <v>3087</v>
      </c>
      <c r="C694" s="964" t="s">
        <v>3088</v>
      </c>
      <c r="D694" s="965" t="str">
        <f>IFERROR(VLOOKUP(B694,' 02.1 KLH-CN MÃ BRAVO MM'!$B:$C,2,0),"")</f>
        <v>A23-MKE-003</v>
      </c>
      <c r="E694" s="965"/>
      <c r="F694" s="965" t="s">
        <v>3089</v>
      </c>
      <c r="G694" s="964" t="s">
        <v>207</v>
      </c>
      <c r="H694" s="965" t="str">
        <f>VLOOKUP(G694,'01. TH'!$B:$E,3,0)</f>
        <v>3445 x 1865 x 2535</v>
      </c>
      <c r="I694" s="127" t="s">
        <v>3022</v>
      </c>
      <c r="J694" s="969">
        <v>45352</v>
      </c>
      <c r="K694" s="965" t="s">
        <v>15</v>
      </c>
      <c r="L694" s="965"/>
      <c r="M694" s="956" t="s">
        <v>3057</v>
      </c>
      <c r="N694" s="965" t="s">
        <v>759</v>
      </c>
      <c r="O694" s="132" t="s">
        <v>453</v>
      </c>
      <c r="P694" s="965">
        <v>2013</v>
      </c>
      <c r="Q694" s="965" t="s">
        <v>1064</v>
      </c>
      <c r="R694" s="965" t="s">
        <v>208</v>
      </c>
      <c r="S694" s="132">
        <v>57271</v>
      </c>
      <c r="T694" s="132" t="s">
        <v>462</v>
      </c>
      <c r="U694" s="132">
        <v>3.5</v>
      </c>
      <c r="V694" s="967">
        <v>90</v>
      </c>
      <c r="W694" s="967"/>
      <c r="X694" s="967"/>
      <c r="Y694" s="967"/>
    </row>
    <row r="695" ht="13.5" customHeight="1" spans="1:25">
      <c r="A695" s="127">
        <f t="shared" si="21"/>
        <v>21</v>
      </c>
      <c r="B695" s="964" t="s">
        <v>3090</v>
      </c>
      <c r="C695" s="964" t="s">
        <v>3091</v>
      </c>
      <c r="D695" s="965" t="str">
        <f>IFERROR(VLOOKUP(B695,' 02.1 KLH-CN MÃ BRAVO MM'!$B:$C,2,0),"")</f>
        <v>A23-MKE-010</v>
      </c>
      <c r="E695" s="965"/>
      <c r="F695" s="965" t="s">
        <v>3092</v>
      </c>
      <c r="G695" s="964" t="s">
        <v>3093</v>
      </c>
      <c r="H695" s="965" t="e">
        <f>VLOOKUP(G695,'01. TH'!$B:$E,3,0)</f>
        <v>#N/A</v>
      </c>
      <c r="I695" s="127" t="s">
        <v>3022</v>
      </c>
      <c r="J695" s="969">
        <v>43862</v>
      </c>
      <c r="K695" s="965" t="s">
        <v>15</v>
      </c>
      <c r="L695" s="970">
        <v>0.46</v>
      </c>
      <c r="M695" s="956" t="s">
        <v>3057</v>
      </c>
      <c r="N695" s="965" t="s">
        <v>1104</v>
      </c>
      <c r="O695" s="132" t="s">
        <v>3094</v>
      </c>
      <c r="P695" s="965">
        <v>2018</v>
      </c>
      <c r="Q695" s="965" t="s">
        <v>3095</v>
      </c>
      <c r="R695" s="965" t="s">
        <v>188</v>
      </c>
      <c r="S695" s="132">
        <v>162744</v>
      </c>
      <c r="T695" s="132" t="s">
        <v>462</v>
      </c>
      <c r="U695" s="132">
        <v>8.5</v>
      </c>
      <c r="V695" s="967">
        <v>0</v>
      </c>
      <c r="W695" s="967"/>
      <c r="X695" s="967"/>
      <c r="Y695" s="967"/>
    </row>
    <row r="696" ht="13.5" customHeight="1" spans="1:25">
      <c r="A696" s="127">
        <f t="shared" si="21"/>
        <v>22</v>
      </c>
      <c r="B696" s="964" t="s">
        <v>3096</v>
      </c>
      <c r="C696" s="964" t="s">
        <v>3097</v>
      </c>
      <c r="D696" s="965" t="str">
        <f>IFERROR(VLOOKUP(B696,' 02.1 KLH-CN MÃ BRAVO MM'!$B:$C,2,0),"")</f>
        <v>A23-MKE-011</v>
      </c>
      <c r="E696" s="965"/>
      <c r="F696" s="965" t="s">
        <v>3092</v>
      </c>
      <c r="G696" s="964" t="s">
        <v>3093</v>
      </c>
      <c r="H696" s="965" t="e">
        <f>VLOOKUP(G696,'01. TH'!$B:$E,3,0)</f>
        <v>#N/A</v>
      </c>
      <c r="I696" s="127" t="s">
        <v>3022</v>
      </c>
      <c r="J696" s="969">
        <v>43862</v>
      </c>
      <c r="K696" s="965" t="s">
        <v>15</v>
      </c>
      <c r="L696" s="970">
        <v>0.46</v>
      </c>
      <c r="M696" s="956" t="s">
        <v>3057</v>
      </c>
      <c r="N696" s="965" t="s">
        <v>1104</v>
      </c>
      <c r="O696" s="132" t="s">
        <v>3094</v>
      </c>
      <c r="P696" s="965">
        <v>2018</v>
      </c>
      <c r="Q696" s="965" t="s">
        <v>3095</v>
      </c>
      <c r="R696" s="965" t="s">
        <v>188</v>
      </c>
      <c r="S696" s="132">
        <v>171754</v>
      </c>
      <c r="T696" s="132" t="s">
        <v>462</v>
      </c>
      <c r="U696" s="132">
        <v>8.5</v>
      </c>
      <c r="V696" s="967">
        <v>0</v>
      </c>
      <c r="W696" s="967"/>
      <c r="X696" s="967"/>
      <c r="Y696" s="967"/>
    </row>
    <row r="697" ht="13.5" customHeight="1" spans="1:25">
      <c r="A697" s="127">
        <f t="shared" si="21"/>
        <v>23</v>
      </c>
      <c r="B697" s="964" t="s">
        <v>3098</v>
      </c>
      <c r="C697" s="964" t="s">
        <v>3099</v>
      </c>
      <c r="D697" s="965" t="str">
        <f>IFERROR(VLOOKUP(B697,' 02.1 KLH-CN MÃ BRAVO MM'!$B:$C,2,0),"")</f>
        <v>ATT-A23-0015</v>
      </c>
      <c r="E697" s="965"/>
      <c r="F697" s="965" t="s">
        <v>3092</v>
      </c>
      <c r="G697" s="964" t="s">
        <v>3093</v>
      </c>
      <c r="H697" s="965" t="e">
        <f>VLOOKUP(G697,'01. TH'!$B:$E,3,0)</f>
        <v>#N/A</v>
      </c>
      <c r="I697" s="127" t="s">
        <v>3022</v>
      </c>
      <c r="J697" s="969">
        <v>43862</v>
      </c>
      <c r="K697" s="965" t="s">
        <v>24</v>
      </c>
      <c r="L697" s="970">
        <v>0.46</v>
      </c>
      <c r="M697" s="956" t="s">
        <v>3057</v>
      </c>
      <c r="N697" s="965" t="s">
        <v>1104</v>
      </c>
      <c r="O697" s="132" t="s">
        <v>1105</v>
      </c>
      <c r="P697" s="965">
        <v>2018</v>
      </c>
      <c r="Q697" s="965" t="s">
        <v>3095</v>
      </c>
      <c r="R697" s="965" t="s">
        <v>188</v>
      </c>
      <c r="S697" s="132">
        <v>394479</v>
      </c>
      <c r="T697" s="132" t="s">
        <v>462</v>
      </c>
      <c r="U697" s="132">
        <v>8.5</v>
      </c>
      <c r="V697" s="967">
        <v>0</v>
      </c>
      <c r="W697" s="967"/>
      <c r="X697" s="967"/>
      <c r="Y697" s="967"/>
    </row>
    <row r="698" ht="13.5" customHeight="1" spans="1:25">
      <c r="A698" s="127">
        <f t="shared" si="21"/>
        <v>24</v>
      </c>
      <c r="B698" s="964" t="s">
        <v>3100</v>
      </c>
      <c r="C698" s="964" t="s">
        <v>3101</v>
      </c>
      <c r="D698" s="965" t="str">
        <f>IFERROR(VLOOKUP(B698,' 02.1 KLH-CN MÃ BRAVO MM'!$B:$C,2,0),"")</f>
        <v>ATT-A22-0242</v>
      </c>
      <c r="E698" s="965"/>
      <c r="F698" s="965"/>
      <c r="G698" s="964" t="s">
        <v>287</v>
      </c>
      <c r="H698" s="965" t="str">
        <f>VLOOKUP(G698,'01. TH'!$B:$E,3,0)</f>
        <v/>
      </c>
      <c r="I698" s="127" t="s">
        <v>3022</v>
      </c>
      <c r="J698" s="969"/>
      <c r="K698" s="965" t="s">
        <v>1769</v>
      </c>
      <c r="L698" s="965"/>
      <c r="M698" s="956" t="s">
        <v>3057</v>
      </c>
      <c r="N698" s="965" t="s">
        <v>1751</v>
      </c>
      <c r="O698" s="132" t="s">
        <v>1165</v>
      </c>
      <c r="P698" s="965"/>
      <c r="Q698" s="965"/>
      <c r="R698" s="965" t="s">
        <v>219</v>
      </c>
      <c r="S698" s="132"/>
      <c r="T698" s="132" t="s">
        <v>462</v>
      </c>
      <c r="U698" s="132">
        <v>0.5</v>
      </c>
      <c r="V698" s="962"/>
      <c r="W698" s="962"/>
      <c r="X698" s="962"/>
      <c r="Y698" s="962"/>
    </row>
    <row r="699" ht="13.5" customHeight="1" spans="1:25">
      <c r="A699" s="127">
        <f t="shared" si="21"/>
        <v>25</v>
      </c>
      <c r="B699" s="964" t="s">
        <v>3102</v>
      </c>
      <c r="C699" s="964" t="s">
        <v>3103</v>
      </c>
      <c r="D699" s="965" t="str">
        <f>IFERROR(VLOOKUP(B699,' 02.1 KLH-CN MÃ BRAVO MM'!$B:$C,2,0),"")</f>
        <v>A22-MKE-004</v>
      </c>
      <c r="E699" s="965"/>
      <c r="F699" s="965"/>
      <c r="G699" s="964" t="s">
        <v>3104</v>
      </c>
      <c r="H699" s="965" t="str">
        <f>VLOOKUP(G699,'01. TH'!$B:$E,3,0)</f>
        <v/>
      </c>
      <c r="I699" s="127" t="s">
        <v>3022</v>
      </c>
      <c r="J699" s="969"/>
      <c r="K699" s="965" t="s">
        <v>1776</v>
      </c>
      <c r="L699" s="965"/>
      <c r="M699" s="956" t="s">
        <v>3057</v>
      </c>
      <c r="N699" s="965" t="s">
        <v>2693</v>
      </c>
      <c r="O699" s="132" t="s">
        <v>453</v>
      </c>
      <c r="P699" s="965"/>
      <c r="Q699" s="965" t="s">
        <v>2693</v>
      </c>
      <c r="R699" s="127" t="s">
        <v>199</v>
      </c>
      <c r="S699" s="132" t="s">
        <v>462</v>
      </c>
      <c r="T699" s="132">
        <v>20054</v>
      </c>
      <c r="U699" s="132"/>
      <c r="V699" s="967">
        <v>0</v>
      </c>
      <c r="W699" s="967"/>
      <c r="X699" s="967"/>
      <c r="Y699" s="967"/>
    </row>
    <row r="700" ht="13.5" customHeight="1" spans="1:25">
      <c r="A700" s="127">
        <f t="shared" si="21"/>
        <v>26</v>
      </c>
      <c r="B700" s="971" t="s">
        <v>3105</v>
      </c>
      <c r="C700" s="971" t="s">
        <v>3106</v>
      </c>
      <c r="D700" s="965" t="str">
        <f>IFERROR(VLOOKUP(B700,' 02.1 KLH-CN MÃ BRAVO MM'!$B:$C,2,0),"")</f>
        <v>ATT-A24-0015</v>
      </c>
      <c r="E700" s="972"/>
      <c r="F700" s="972" t="s">
        <v>3107</v>
      </c>
      <c r="G700" s="971" t="s">
        <v>127</v>
      </c>
      <c r="H700" s="965" t="str">
        <f>VLOOKUP(G700,'01. TH'!$B:$E,3,0)</f>
        <v/>
      </c>
      <c r="I700" s="127" t="s">
        <v>3022</v>
      </c>
      <c r="J700" s="972" t="s">
        <v>1605</v>
      </c>
      <c r="K700" s="972" t="s">
        <v>1593</v>
      </c>
      <c r="L700" s="972"/>
      <c r="M700" s="956" t="s">
        <v>3057</v>
      </c>
      <c r="N700" s="972" t="s">
        <v>1164</v>
      </c>
      <c r="O700" s="941" t="s">
        <v>1165</v>
      </c>
      <c r="P700" s="972"/>
      <c r="Q700" s="972"/>
      <c r="R700" s="972" t="s">
        <v>208</v>
      </c>
      <c r="S700" s="941" t="s">
        <v>1658</v>
      </c>
      <c r="T700" s="941">
        <v>77109</v>
      </c>
      <c r="U700" s="132">
        <v>2</v>
      </c>
      <c r="V700" s="962"/>
      <c r="W700" s="962"/>
      <c r="X700" s="962"/>
      <c r="Y700" s="962"/>
    </row>
    <row r="701" ht="13.5" customHeight="1" spans="1:25">
      <c r="A701" s="127">
        <f t="shared" si="21"/>
        <v>27</v>
      </c>
      <c r="B701" s="964" t="s">
        <v>3108</v>
      </c>
      <c r="C701" s="964" t="s">
        <v>3109</v>
      </c>
      <c r="D701" s="965" t="str">
        <f>IFERROR(VLOOKUP(B701,' 02.1 KLH-CN MÃ BRAVO MM'!$B:$C,2,0),"")</f>
        <v>ATT-A24-0015</v>
      </c>
      <c r="E701" s="965"/>
      <c r="F701" s="965" t="s">
        <v>3107</v>
      </c>
      <c r="G701" s="964" t="s">
        <v>127</v>
      </c>
      <c r="H701" s="965" t="str">
        <f>VLOOKUP(G701,'01. TH'!$B:$E,3,0)</f>
        <v/>
      </c>
      <c r="I701" s="127" t="s">
        <v>3022</v>
      </c>
      <c r="J701" s="969"/>
      <c r="K701" s="965" t="s">
        <v>1593</v>
      </c>
      <c r="L701" s="965"/>
      <c r="M701" s="956" t="s">
        <v>3057</v>
      </c>
      <c r="N701" s="965" t="s">
        <v>1164</v>
      </c>
      <c r="O701" s="132" t="s">
        <v>1165</v>
      </c>
      <c r="P701" s="965"/>
      <c r="Q701" s="965"/>
      <c r="R701" s="965" t="s">
        <v>208</v>
      </c>
      <c r="S701" s="132" t="s">
        <v>1658</v>
      </c>
      <c r="T701" s="132">
        <v>77052</v>
      </c>
      <c r="U701" s="132">
        <v>2</v>
      </c>
      <c r="V701" s="962"/>
      <c r="W701" s="962"/>
      <c r="X701" s="962"/>
      <c r="Y701" s="962"/>
    </row>
    <row r="702" ht="24" customHeight="1" spans="1:25">
      <c r="A702" s="127">
        <f t="shared" si="21"/>
        <v>28</v>
      </c>
      <c r="B702" s="964" t="s">
        <v>3110</v>
      </c>
      <c r="C702" s="964" t="s">
        <v>3111</v>
      </c>
      <c r="D702" s="965" t="str">
        <f>IFERROR(VLOOKUP(B702,' 02.1 KLH-CN MÃ BRAVO MM'!$B:$C,2,0),"")</f>
        <v>ATT-A24-0022</v>
      </c>
      <c r="E702" s="965"/>
      <c r="F702" s="965" t="s">
        <v>3112</v>
      </c>
      <c r="G702" s="964" t="s">
        <v>55</v>
      </c>
      <c r="H702" s="965" t="str">
        <f>VLOOKUP(G702,'01. TH'!$B:$E,3,0)</f>
        <v>4749 x 1700 x 2470</v>
      </c>
      <c r="I702" s="127" t="s">
        <v>3022</v>
      </c>
      <c r="J702" s="969"/>
      <c r="K702" s="965" t="s">
        <v>1593</v>
      </c>
      <c r="L702" s="965"/>
      <c r="M702" s="956" t="s">
        <v>3057</v>
      </c>
      <c r="N702" s="965" t="s">
        <v>759</v>
      </c>
      <c r="O702" s="132" t="s">
        <v>453</v>
      </c>
      <c r="P702" s="965">
        <v>2015</v>
      </c>
      <c r="Q702" s="965" t="s">
        <v>760</v>
      </c>
      <c r="R702" s="965" t="s">
        <v>761</v>
      </c>
      <c r="S702" s="132">
        <v>60284</v>
      </c>
      <c r="T702" s="132" t="s">
        <v>462</v>
      </c>
      <c r="U702" s="941">
        <v>4</v>
      </c>
      <c r="V702" s="967">
        <v>40</v>
      </c>
      <c r="W702" s="967"/>
      <c r="X702" s="967"/>
      <c r="Y702" s="967"/>
    </row>
    <row r="703" ht="13.5" customHeight="1" spans="1:25">
      <c r="A703" s="127">
        <f t="shared" si="21"/>
        <v>29</v>
      </c>
      <c r="B703" s="964" t="s">
        <v>3113</v>
      </c>
      <c r="C703" s="964" t="s">
        <v>3114</v>
      </c>
      <c r="D703" s="965" t="str">
        <f>IFERROR(VLOOKUP(B703,' 02.1 KLH-CN MÃ BRAVO MM'!$B:$C,2,0),"")</f>
        <v>ATT-A24-0022</v>
      </c>
      <c r="E703" s="965"/>
      <c r="F703" s="965" t="s">
        <v>3112</v>
      </c>
      <c r="G703" s="964" t="s">
        <v>55</v>
      </c>
      <c r="H703" s="965" t="str">
        <f>VLOOKUP(G703,'01. TH'!$B:$E,3,0)</f>
        <v>4749 x 1700 x 2470</v>
      </c>
      <c r="I703" s="127" t="s">
        <v>3022</v>
      </c>
      <c r="J703" s="969">
        <v>43617</v>
      </c>
      <c r="K703" s="965" t="s">
        <v>1593</v>
      </c>
      <c r="L703" s="970">
        <v>0.4</v>
      </c>
      <c r="M703" s="956" t="s">
        <v>3057</v>
      </c>
      <c r="N703" s="965" t="s">
        <v>759</v>
      </c>
      <c r="O703" s="132" t="s">
        <v>453</v>
      </c>
      <c r="P703" s="965">
        <v>2015</v>
      </c>
      <c r="Q703" s="965" t="s">
        <v>760</v>
      </c>
      <c r="R703" s="965" t="s">
        <v>761</v>
      </c>
      <c r="S703" s="132">
        <v>60273</v>
      </c>
      <c r="T703" s="132" t="s">
        <v>462</v>
      </c>
      <c r="U703" s="941">
        <v>4</v>
      </c>
      <c r="V703" s="967">
        <v>40</v>
      </c>
      <c r="W703" s="967"/>
      <c r="X703" s="967"/>
      <c r="Y703" s="967"/>
    </row>
    <row r="704" ht="13.5" customHeight="1" spans="1:25">
      <c r="A704" s="127">
        <f t="shared" si="21"/>
        <v>30</v>
      </c>
      <c r="B704" s="964" t="s">
        <v>3115</v>
      </c>
      <c r="C704" s="964" t="s">
        <v>3116</v>
      </c>
      <c r="D704" s="965" t="str">
        <f>IFERROR(VLOOKUP(B704,' 02.1 KLH-CN MÃ BRAVO MM'!$B:$C,2,0),"")</f>
        <v/>
      </c>
      <c r="E704" s="965"/>
      <c r="F704" s="965"/>
      <c r="G704" s="964" t="s">
        <v>197</v>
      </c>
      <c r="H704" s="965" t="str">
        <f>VLOOKUP(G704,'01. TH'!$B:$E,3,0)</f>
        <v>3226 x 1570 x 1545</v>
      </c>
      <c r="I704" s="127" t="s">
        <v>3022</v>
      </c>
      <c r="J704" s="969"/>
      <c r="K704" s="965" t="s">
        <v>1593</v>
      </c>
      <c r="L704" s="965"/>
      <c r="M704" s="956" t="s">
        <v>3057</v>
      </c>
      <c r="N704" s="965" t="s">
        <v>1019</v>
      </c>
      <c r="O704" s="132" t="s">
        <v>500</v>
      </c>
      <c r="P704" s="965">
        <v>2018</v>
      </c>
      <c r="Q704" s="965" t="s">
        <v>1122</v>
      </c>
      <c r="R704" s="965" t="s">
        <v>128</v>
      </c>
      <c r="S704" s="132" t="s">
        <v>3117</v>
      </c>
      <c r="T704" s="132" t="s">
        <v>462</v>
      </c>
      <c r="U704" s="132">
        <v>2.5</v>
      </c>
      <c r="V704" s="967">
        <v>0</v>
      </c>
      <c r="W704" s="967"/>
      <c r="X704" s="967"/>
      <c r="Y704" s="967"/>
    </row>
    <row r="705" ht="13.5" customHeight="1" spans="1:25">
      <c r="A705" s="127">
        <f t="shared" si="21"/>
        <v>31</v>
      </c>
      <c r="B705" s="964" t="s">
        <v>3118</v>
      </c>
      <c r="C705" s="964" t="s">
        <v>3119</v>
      </c>
      <c r="D705" s="965" t="str">
        <f>IFERROR(VLOOKUP(C705,' 02.1 KLH-CN MÃ BRAVO MM'!$B:$C,2,0),"")</f>
        <v>ATT-A24-0067</v>
      </c>
      <c r="E705" s="965"/>
      <c r="F705" s="965" t="s">
        <v>3120</v>
      </c>
      <c r="G705" s="964" t="s">
        <v>287</v>
      </c>
      <c r="H705" s="965" t="str">
        <f>VLOOKUP(G705,'01. TH'!$B:$E,3,0)</f>
        <v/>
      </c>
      <c r="I705" s="127" t="s">
        <v>3022</v>
      </c>
      <c r="J705" s="969"/>
      <c r="K705" s="965" t="s">
        <v>1471</v>
      </c>
      <c r="L705" s="965"/>
      <c r="M705" s="956" t="s">
        <v>3057</v>
      </c>
      <c r="N705" s="965" t="s">
        <v>1751</v>
      </c>
      <c r="O705" s="132" t="s">
        <v>1165</v>
      </c>
      <c r="P705" s="965"/>
      <c r="Q705" s="965"/>
      <c r="R705" s="965" t="s">
        <v>219</v>
      </c>
      <c r="S705" s="132" t="s">
        <v>3121</v>
      </c>
      <c r="T705" s="132" t="s">
        <v>462</v>
      </c>
      <c r="U705" s="132">
        <v>0.5</v>
      </c>
      <c r="V705" s="962"/>
      <c r="W705" s="962"/>
      <c r="X705" s="962"/>
      <c r="Y705" s="962"/>
    </row>
    <row r="706" ht="13.5" customHeight="1" spans="1:25">
      <c r="A706" s="127">
        <f t="shared" si="21"/>
        <v>32</v>
      </c>
      <c r="B706" s="964" t="s">
        <v>3122</v>
      </c>
      <c r="C706" s="964" t="s">
        <v>3123</v>
      </c>
      <c r="D706" s="965" t="str">
        <f>IFERROR(VLOOKUP(C706,' 02.1 KLH-CN MÃ BRAVO MM'!$B:$C,2,0),"")</f>
        <v>ATT-A24-0067</v>
      </c>
      <c r="E706" s="965"/>
      <c r="F706" s="965" t="s">
        <v>3120</v>
      </c>
      <c r="G706" s="964" t="s">
        <v>287</v>
      </c>
      <c r="H706" s="965" t="str">
        <f>VLOOKUP(G706,'01. TH'!$B:$E,3,0)</f>
        <v/>
      </c>
      <c r="I706" s="127" t="s">
        <v>3022</v>
      </c>
      <c r="J706" s="973"/>
      <c r="K706" s="965" t="s">
        <v>1471</v>
      </c>
      <c r="L706" s="974"/>
      <c r="M706" s="956" t="s">
        <v>3057</v>
      </c>
      <c r="N706" s="965" t="s">
        <v>1751</v>
      </c>
      <c r="O706" s="964" t="s">
        <v>1165</v>
      </c>
      <c r="P706" s="974"/>
      <c r="Q706" s="974"/>
      <c r="R706" s="965" t="s">
        <v>219</v>
      </c>
      <c r="S706" s="964" t="s">
        <v>3124</v>
      </c>
      <c r="T706" s="964" t="s">
        <v>462</v>
      </c>
      <c r="U706" s="132">
        <v>0.5</v>
      </c>
      <c r="V706" s="962"/>
      <c r="W706" s="962"/>
      <c r="X706" s="962"/>
      <c r="Y706" s="962"/>
    </row>
    <row r="707" ht="13.5" customHeight="1" spans="1:25">
      <c r="A707" s="127">
        <f t="shared" si="21"/>
        <v>33</v>
      </c>
      <c r="B707" s="964" t="s">
        <v>3125</v>
      </c>
      <c r="C707" s="964" t="s">
        <v>3126</v>
      </c>
      <c r="D707" s="965" t="str">
        <f>IFERROR(VLOOKUP(C707,' 02.1 KLH-CN MÃ BRAVO MM'!$B:$C,2,0),"")</f>
        <v>ATT-A24-0067</v>
      </c>
      <c r="E707" s="965"/>
      <c r="F707" s="965" t="s">
        <v>3120</v>
      </c>
      <c r="G707" s="964" t="s">
        <v>287</v>
      </c>
      <c r="H707" s="965" t="str">
        <f>VLOOKUP(G707,'01. TH'!$B:$E,3,0)</f>
        <v/>
      </c>
      <c r="I707" s="127" t="s">
        <v>3022</v>
      </c>
      <c r="J707" s="969"/>
      <c r="K707" s="965" t="s">
        <v>1471</v>
      </c>
      <c r="L707" s="965"/>
      <c r="M707" s="956" t="s">
        <v>3057</v>
      </c>
      <c r="N707" s="965" t="s">
        <v>1751</v>
      </c>
      <c r="O707" s="132" t="s">
        <v>1165</v>
      </c>
      <c r="P707" s="965"/>
      <c r="Q707" s="965"/>
      <c r="R707" s="965" t="s">
        <v>219</v>
      </c>
      <c r="S707" s="132" t="s">
        <v>3127</v>
      </c>
      <c r="T707" s="132" t="s">
        <v>462</v>
      </c>
      <c r="U707" s="132">
        <v>0.5</v>
      </c>
      <c r="V707" s="962"/>
      <c r="W707" s="962"/>
      <c r="X707" s="962"/>
      <c r="Y707" s="962"/>
    </row>
    <row r="708" ht="13.5" customHeight="1" spans="1:25">
      <c r="A708" s="127">
        <f t="shared" si="21"/>
        <v>34</v>
      </c>
      <c r="B708" s="964" t="s">
        <v>3128</v>
      </c>
      <c r="C708" s="964" t="s">
        <v>3129</v>
      </c>
      <c r="D708" s="965" t="str">
        <f>IFERROR(VLOOKUP(B708,' 02.1 KLH-CN MÃ BRAVO MM'!$B:$C,2,0),"")</f>
        <v>ATT-A24-0067</v>
      </c>
      <c r="E708" s="965"/>
      <c r="F708" s="965" t="s">
        <v>3120</v>
      </c>
      <c r="G708" s="964" t="s">
        <v>287</v>
      </c>
      <c r="H708" s="965" t="str">
        <f>VLOOKUP(G708,'01. TH'!$B:$E,3,0)</f>
        <v/>
      </c>
      <c r="I708" s="127" t="s">
        <v>3022</v>
      </c>
      <c r="J708" s="965" t="s">
        <v>1479</v>
      </c>
      <c r="K708" s="965" t="s">
        <v>1471</v>
      </c>
      <c r="L708" s="965"/>
      <c r="M708" s="956" t="s">
        <v>3057</v>
      </c>
      <c r="N708" s="965" t="s">
        <v>1751</v>
      </c>
      <c r="O708" s="132" t="s">
        <v>1165</v>
      </c>
      <c r="P708" s="965"/>
      <c r="Q708" s="965"/>
      <c r="R708" s="965" t="s">
        <v>219</v>
      </c>
      <c r="S708" s="132" t="s">
        <v>3130</v>
      </c>
      <c r="T708" s="132" t="s">
        <v>462</v>
      </c>
      <c r="U708" s="132">
        <v>0.5</v>
      </c>
      <c r="V708" s="962"/>
      <c r="W708" s="962"/>
      <c r="X708" s="962"/>
      <c r="Y708" s="962"/>
    </row>
    <row r="709" ht="13.5" customHeight="1" spans="1:25">
      <c r="A709" s="127">
        <f t="shared" si="21"/>
        <v>35</v>
      </c>
      <c r="B709" s="964" t="s">
        <v>3131</v>
      </c>
      <c r="C709" s="964" t="s">
        <v>3132</v>
      </c>
      <c r="D709" s="965" t="str">
        <f>IFERROR(VLOOKUP(B709,' 02.1 KLH-CN MÃ BRAVO MM'!$B:$C,2,0),"")</f>
        <v>ATT-A24-0067</v>
      </c>
      <c r="E709" s="965"/>
      <c r="F709" s="965" t="s">
        <v>3120</v>
      </c>
      <c r="G709" s="964" t="s">
        <v>287</v>
      </c>
      <c r="H709" s="965" t="str">
        <f>VLOOKUP(G709,'01. TH'!$B:$E,3,0)</f>
        <v/>
      </c>
      <c r="I709" s="127" t="s">
        <v>3022</v>
      </c>
      <c r="J709" s="965" t="s">
        <v>1479</v>
      </c>
      <c r="K709" s="965" t="s">
        <v>1471</v>
      </c>
      <c r="L709" s="965"/>
      <c r="M709" s="956" t="s">
        <v>3057</v>
      </c>
      <c r="N709" s="965" t="s">
        <v>1751</v>
      </c>
      <c r="O709" s="132" t="s">
        <v>1165</v>
      </c>
      <c r="P709" s="965"/>
      <c r="Q709" s="965"/>
      <c r="R709" s="965" t="s">
        <v>219</v>
      </c>
      <c r="S709" s="132" t="s">
        <v>3133</v>
      </c>
      <c r="T709" s="132" t="s">
        <v>462</v>
      </c>
      <c r="U709" s="132">
        <v>0.68</v>
      </c>
      <c r="V709" s="962"/>
      <c r="W709" s="962"/>
      <c r="X709" s="962"/>
      <c r="Y709" s="962"/>
    </row>
    <row r="710" ht="13.5" customHeight="1" spans="1:25">
      <c r="A710" s="127">
        <f t="shared" si="21"/>
        <v>36</v>
      </c>
      <c r="B710" s="964" t="s">
        <v>3134</v>
      </c>
      <c r="C710" s="964" t="s">
        <v>3135</v>
      </c>
      <c r="D710" s="965" t="str">
        <f>IFERROR(VLOOKUP(C710,' 02.1 KLH-CN MÃ BRAVO MM'!$B:$C,2,0),"")</f>
        <v>ATT-A22-0242</v>
      </c>
      <c r="E710" s="965"/>
      <c r="F710" s="965" t="s">
        <v>3136</v>
      </c>
      <c r="G710" s="964" t="s">
        <v>287</v>
      </c>
      <c r="H710" s="965" t="str">
        <f>VLOOKUP(G710,'01. TH'!$B:$E,3,0)</f>
        <v/>
      </c>
      <c r="I710" s="127" t="s">
        <v>3022</v>
      </c>
      <c r="J710" s="969">
        <v>43112</v>
      </c>
      <c r="K710" s="965" t="s">
        <v>1471</v>
      </c>
      <c r="L710" s="970"/>
      <c r="M710" s="956" t="s">
        <v>3057</v>
      </c>
      <c r="N710" s="965" t="s">
        <v>1751</v>
      </c>
      <c r="O710" s="132" t="s">
        <v>1165</v>
      </c>
      <c r="P710" s="965"/>
      <c r="Q710" s="965"/>
      <c r="R710" s="965" t="s">
        <v>219</v>
      </c>
      <c r="S710" s="132" t="s">
        <v>3081</v>
      </c>
      <c r="T710" s="132" t="s">
        <v>3137</v>
      </c>
      <c r="U710" s="132">
        <v>0.5</v>
      </c>
      <c r="V710" s="962"/>
      <c r="W710" s="962"/>
      <c r="X710" s="962"/>
      <c r="Y710" s="962"/>
    </row>
    <row r="711" ht="13.5" customHeight="1" spans="1:25">
      <c r="A711" s="127">
        <f t="shared" si="21"/>
        <v>37</v>
      </c>
      <c r="B711" s="964" t="s">
        <v>3138</v>
      </c>
      <c r="C711" s="964" t="s">
        <v>3139</v>
      </c>
      <c r="D711" s="965" t="str">
        <f>IFERROR(VLOOKUP(B711,' 02.1 KLH-CN MÃ BRAVO MM'!$B:$C,2,0),"")</f>
        <v/>
      </c>
      <c r="E711" s="965"/>
      <c r="F711" s="965" t="s">
        <v>3107</v>
      </c>
      <c r="G711" s="964" t="s">
        <v>127</v>
      </c>
      <c r="H711" s="965" t="str">
        <f>VLOOKUP(G711,'01. TH'!$B:$E,3,0)</f>
        <v/>
      </c>
      <c r="I711" s="127" t="s">
        <v>3022</v>
      </c>
      <c r="J711" s="969"/>
      <c r="K711" s="965" t="s">
        <v>1471</v>
      </c>
      <c r="L711" s="965"/>
      <c r="M711" s="956" t="s">
        <v>3057</v>
      </c>
      <c r="N711" s="965" t="s">
        <v>1164</v>
      </c>
      <c r="O711" s="132" t="s">
        <v>1165</v>
      </c>
      <c r="P711" s="965"/>
      <c r="Q711" s="965"/>
      <c r="R711" s="965" t="s">
        <v>208</v>
      </c>
      <c r="S711" s="132" t="s">
        <v>3140</v>
      </c>
      <c r="T711" s="132" t="s">
        <v>462</v>
      </c>
      <c r="U711" s="132">
        <v>2</v>
      </c>
      <c r="V711" s="962"/>
      <c r="W711" s="962"/>
      <c r="X711" s="962"/>
      <c r="Y711" s="962"/>
    </row>
    <row r="712" ht="13.5" customHeight="1" spans="1:25">
      <c r="A712" s="127">
        <f t="shared" si="21"/>
        <v>38</v>
      </c>
      <c r="B712" s="964" t="s">
        <v>3141</v>
      </c>
      <c r="C712" s="964"/>
      <c r="D712" s="965" t="s">
        <v>3142</v>
      </c>
      <c r="E712" s="965"/>
      <c r="F712" s="965"/>
      <c r="G712" s="964" t="s">
        <v>276</v>
      </c>
      <c r="H712" s="965" t="str">
        <f>VLOOKUP(G712,'01. TH'!$B:$E,3,0)</f>
        <v/>
      </c>
      <c r="I712" s="127" t="s">
        <v>3022</v>
      </c>
      <c r="J712" s="969">
        <v>45300</v>
      </c>
      <c r="K712" s="965" t="s">
        <v>1471</v>
      </c>
      <c r="L712" s="965"/>
      <c r="M712" s="956" t="s">
        <v>3057</v>
      </c>
      <c r="N712" s="965" t="s">
        <v>3143</v>
      </c>
      <c r="O712" s="132" t="s">
        <v>3144</v>
      </c>
      <c r="P712" s="965">
        <v>2024</v>
      </c>
      <c r="Q712" s="965" t="s">
        <v>3145</v>
      </c>
      <c r="R712" s="965" t="s">
        <v>286</v>
      </c>
      <c r="S712" s="132"/>
      <c r="T712" s="132" t="s">
        <v>3146</v>
      </c>
      <c r="U712" s="941">
        <v>0.6</v>
      </c>
      <c r="V712" s="967">
        <v>0</v>
      </c>
      <c r="W712" s="967"/>
      <c r="X712" s="967"/>
      <c r="Y712" s="967"/>
    </row>
    <row r="713" ht="13.5" customHeight="1" spans="1:25">
      <c r="A713" s="127">
        <f t="shared" si="21"/>
        <v>39</v>
      </c>
      <c r="B713" s="964" t="s">
        <v>3147</v>
      </c>
      <c r="C713" s="964"/>
      <c r="D713" s="965" t="s">
        <v>3148</v>
      </c>
      <c r="E713" s="965"/>
      <c r="F713" s="965"/>
      <c r="G713" s="964" t="s">
        <v>276</v>
      </c>
      <c r="H713" s="965" t="str">
        <f>VLOOKUP(G713,'01. TH'!$B:$E,3,0)</f>
        <v/>
      </c>
      <c r="I713" s="127" t="s">
        <v>3022</v>
      </c>
      <c r="J713" s="965" t="s">
        <v>3149</v>
      </c>
      <c r="K713" s="965" t="s">
        <v>1471</v>
      </c>
      <c r="L713" s="965"/>
      <c r="M713" s="956" t="s">
        <v>3057</v>
      </c>
      <c r="N713" s="965" t="s">
        <v>3143</v>
      </c>
      <c r="O713" s="132" t="s">
        <v>3144</v>
      </c>
      <c r="P713" s="965">
        <v>2024</v>
      </c>
      <c r="Q713" s="965" t="s">
        <v>3150</v>
      </c>
      <c r="R713" s="965" t="s">
        <v>286</v>
      </c>
      <c r="S713" s="132" t="s">
        <v>462</v>
      </c>
      <c r="T713" s="132" t="s">
        <v>462</v>
      </c>
      <c r="U713" s="941">
        <v>0.6</v>
      </c>
      <c r="V713" s="967">
        <v>0</v>
      </c>
      <c r="W713" s="967"/>
      <c r="X713" s="967"/>
      <c r="Y713" s="967"/>
    </row>
    <row r="714" ht="13.8" spans="1:25">
      <c r="A714" s="127">
        <f t="shared" si="21"/>
        <v>40</v>
      </c>
      <c r="B714" s="964" t="s">
        <v>3151</v>
      </c>
      <c r="C714" s="964" t="s">
        <v>3152</v>
      </c>
      <c r="D714" s="965" t="str">
        <f>IFERROR(VLOOKUP(B714,' 02.1 KLH-CN MÃ BRAVO MM'!$B:$C,2,0),"")</f>
        <v>A23-MKE-022</v>
      </c>
      <c r="E714" s="965"/>
      <c r="F714" s="965" t="s">
        <v>3089</v>
      </c>
      <c r="G714" s="964" t="s">
        <v>207</v>
      </c>
      <c r="H714" s="965" t="str">
        <f>VLOOKUP(G714,'01. TH'!$B:$E,3,0)</f>
        <v>3445 x 1865 x 2535</v>
      </c>
      <c r="I714" s="127" t="s">
        <v>3022</v>
      </c>
      <c r="J714" s="969"/>
      <c r="K714" s="965" t="s">
        <v>1348</v>
      </c>
      <c r="L714" s="965"/>
      <c r="M714" s="956" t="s">
        <v>3057</v>
      </c>
      <c r="N714" s="965" t="s">
        <v>759</v>
      </c>
      <c r="O714" s="132" t="s">
        <v>453</v>
      </c>
      <c r="P714" s="965">
        <v>2013</v>
      </c>
      <c r="Q714" s="965" t="s">
        <v>1064</v>
      </c>
      <c r="R714" s="965" t="s">
        <v>208</v>
      </c>
      <c r="S714" s="132">
        <v>57125</v>
      </c>
      <c r="T714" s="132" t="s">
        <v>462</v>
      </c>
      <c r="U714" s="132">
        <v>3.5</v>
      </c>
      <c r="V714" s="967">
        <v>90</v>
      </c>
      <c r="W714" s="967"/>
      <c r="X714" s="967"/>
      <c r="Y714" s="967"/>
    </row>
    <row r="715" ht="13.5" customHeight="1" spans="1:25">
      <c r="A715" s="127">
        <f t="shared" si="21"/>
        <v>41</v>
      </c>
      <c r="B715" s="126" t="s">
        <v>3153</v>
      </c>
      <c r="C715" s="126" t="s">
        <v>3154</v>
      </c>
      <c r="D715" s="965" t="str">
        <f>IFERROR(VLOOKUP(B715,' 02.1 KLH-CN MÃ BRAVO MM'!$B:$C,2,0),"")</f>
        <v>ATT-A23-0037</v>
      </c>
      <c r="E715" s="127"/>
      <c r="F715" s="127" t="s">
        <v>3155</v>
      </c>
      <c r="G715" s="126" t="s">
        <v>49</v>
      </c>
      <c r="H715" s="965" t="str">
        <f>VLOOKUP(G715,'01. TH'!$B:$E,3,0)</f>
        <v>5260 x 1760 x 2415</v>
      </c>
      <c r="I715" s="127" t="s">
        <v>3022</v>
      </c>
      <c r="J715" s="128"/>
      <c r="K715" s="127" t="s">
        <v>1348</v>
      </c>
      <c r="L715" s="127"/>
      <c r="M715" s="956" t="s">
        <v>3057</v>
      </c>
      <c r="N715" s="127" t="s">
        <v>480</v>
      </c>
      <c r="O715" s="131" t="s">
        <v>453</v>
      </c>
      <c r="P715" s="127">
        <v>2006</v>
      </c>
      <c r="Q715" s="127" t="s">
        <v>1629</v>
      </c>
      <c r="R715" s="127" t="s">
        <v>767</v>
      </c>
      <c r="S715" s="131">
        <v>9873</v>
      </c>
      <c r="T715" s="132" t="s">
        <v>462</v>
      </c>
      <c r="U715" s="941">
        <v>4</v>
      </c>
      <c r="V715" s="967">
        <v>65</v>
      </c>
      <c r="W715" s="967"/>
      <c r="X715" s="967"/>
      <c r="Y715" s="967"/>
    </row>
    <row r="716" ht="13.5" customHeight="1" spans="1:25">
      <c r="A716" s="127">
        <f t="shared" si="21"/>
        <v>42</v>
      </c>
      <c r="B716" s="975" t="s">
        <v>3156</v>
      </c>
      <c r="C716" s="975" t="s">
        <v>3157</v>
      </c>
      <c r="D716" s="976" t="str">
        <f>IFERROR(VLOOKUP(B716,' 02.1 KLH-CN MÃ BRAVO MM'!$B:$C,2,0),"")</f>
        <v>A23-XTA-011</v>
      </c>
      <c r="E716" s="977"/>
      <c r="F716" s="978"/>
      <c r="G716" s="962" t="s">
        <v>127</v>
      </c>
      <c r="H716" s="965" t="str">
        <f>VLOOKUP(G716,'01. TH'!$B:$E,3,0)</f>
        <v/>
      </c>
      <c r="I716" s="127" t="s">
        <v>3022</v>
      </c>
      <c r="J716" s="979"/>
      <c r="K716" s="976" t="s">
        <v>1348</v>
      </c>
      <c r="L716" s="980"/>
      <c r="M716" s="956" t="s">
        <v>3057</v>
      </c>
      <c r="N716" s="976" t="s">
        <v>1164</v>
      </c>
      <c r="O716" s="975" t="s">
        <v>1165</v>
      </c>
      <c r="P716" s="977"/>
      <c r="Q716" s="977"/>
      <c r="R716" s="976" t="s">
        <v>208</v>
      </c>
      <c r="S716" s="975" t="s">
        <v>462</v>
      </c>
      <c r="T716" s="975">
        <v>55581</v>
      </c>
      <c r="U716" s="975">
        <v>2</v>
      </c>
      <c r="V716" s="981"/>
      <c r="W716" s="981"/>
      <c r="X716" s="981"/>
      <c r="Y716" s="981"/>
    </row>
    <row r="717" ht="13.5" customHeight="1" spans="1:25">
      <c r="A717" s="127">
        <f t="shared" si="21"/>
        <v>43</v>
      </c>
      <c r="B717" s="982" t="s">
        <v>3158</v>
      </c>
      <c r="C717" s="982" t="s">
        <v>3159</v>
      </c>
      <c r="D717" s="983" t="str">
        <f>IFERROR(VLOOKUP(B717,' 02.1 KLH-CN MÃ BRAVO MM'!$B:$C,2,0),"")</f>
        <v>A23-XTA-012</v>
      </c>
      <c r="E717" s="984"/>
      <c r="F717" s="985"/>
      <c r="G717" s="986" t="s">
        <v>127</v>
      </c>
      <c r="H717" s="965" t="str">
        <f>VLOOKUP(G717,'01. TH'!$B:$E,3,0)</f>
        <v/>
      </c>
      <c r="I717" s="127" t="s">
        <v>3022</v>
      </c>
      <c r="J717" s="987"/>
      <c r="K717" s="983" t="s">
        <v>1348</v>
      </c>
      <c r="L717" s="988"/>
      <c r="M717" s="956" t="s">
        <v>3057</v>
      </c>
      <c r="N717" s="983" t="s">
        <v>1164</v>
      </c>
      <c r="O717" s="982" t="s">
        <v>1165</v>
      </c>
      <c r="P717" s="984"/>
      <c r="Q717" s="984"/>
      <c r="R717" s="983" t="s">
        <v>208</v>
      </c>
      <c r="S717" s="984"/>
      <c r="T717" s="982" t="s">
        <v>462</v>
      </c>
      <c r="U717" s="982">
        <v>2</v>
      </c>
      <c r="V717" s="989"/>
      <c r="W717" s="989"/>
      <c r="X717" s="989"/>
      <c r="Y717" s="989"/>
    </row>
    <row r="718" ht="13.5" customHeight="1" spans="1:25">
      <c r="A718" s="127">
        <f t="shared" si="21"/>
        <v>44</v>
      </c>
      <c r="B718" s="964" t="s">
        <v>3160</v>
      </c>
      <c r="C718" s="964" t="s">
        <v>3161</v>
      </c>
      <c r="D718" s="965" t="str">
        <f>IFERROR(VLOOKUP(B718,' 02.1 KLH-CN MÃ BRAVO MM'!$B:$C,2,0),"")</f>
        <v>A23-XTA-010</v>
      </c>
      <c r="E718" s="965"/>
      <c r="F718" s="965"/>
      <c r="G718" s="964" t="s">
        <v>127</v>
      </c>
      <c r="H718" s="965" t="str">
        <f>VLOOKUP(G718,'01. TH'!$B:$E,3,0)</f>
        <v/>
      </c>
      <c r="I718" s="127" t="s">
        <v>3022</v>
      </c>
      <c r="J718" s="969"/>
      <c r="K718" s="965" t="s">
        <v>1250</v>
      </c>
      <c r="L718" s="965"/>
      <c r="M718" s="956" t="s">
        <v>3057</v>
      </c>
      <c r="N718" s="965" t="s">
        <v>1164</v>
      </c>
      <c r="O718" s="132" t="s">
        <v>1165</v>
      </c>
      <c r="P718" s="965"/>
      <c r="Q718" s="965"/>
      <c r="R718" s="965" t="s">
        <v>208</v>
      </c>
      <c r="S718" s="132"/>
      <c r="T718" s="132" t="s">
        <v>462</v>
      </c>
      <c r="U718" s="132">
        <v>2</v>
      </c>
      <c r="V718" s="962"/>
      <c r="W718" s="962"/>
      <c r="X718" s="962"/>
      <c r="Y718" s="962"/>
    </row>
    <row r="719" ht="13.5" customHeight="1" spans="1:25">
      <c r="A719" s="127">
        <f t="shared" si="21"/>
        <v>45</v>
      </c>
      <c r="B719" s="964" t="s">
        <v>3162</v>
      </c>
      <c r="C719" s="964" t="s">
        <v>3163</v>
      </c>
      <c r="D719" s="965" t="str">
        <f>IFERROR(VLOOKUP(B719,' 02.1 KLH-CN MÃ BRAVO MM'!$B:$C,2,0),"")</f>
        <v>ATT-A22-0123</v>
      </c>
      <c r="E719" s="965"/>
      <c r="F719" s="965" t="s">
        <v>3164</v>
      </c>
      <c r="G719" s="964" t="s">
        <v>49</v>
      </c>
      <c r="H719" s="965" t="str">
        <f>VLOOKUP(G719,'01. TH'!$B:$E,3,0)</f>
        <v>5260 x 1760 x 2415</v>
      </c>
      <c r="I719" s="127" t="s">
        <v>3022</v>
      </c>
      <c r="J719" s="969">
        <v>44105</v>
      </c>
      <c r="K719" s="965" t="s">
        <v>3023</v>
      </c>
      <c r="L719" s="970">
        <v>0.65</v>
      </c>
      <c r="M719" s="956" t="s">
        <v>3165</v>
      </c>
      <c r="N719" s="965" t="s">
        <v>480</v>
      </c>
      <c r="O719" s="132" t="s">
        <v>453</v>
      </c>
      <c r="P719" s="965">
        <v>2006</v>
      </c>
      <c r="Q719" s="965" t="s">
        <v>3166</v>
      </c>
      <c r="R719" s="965"/>
      <c r="S719" s="132" t="s">
        <v>3167</v>
      </c>
      <c r="T719" s="132">
        <v>10189</v>
      </c>
      <c r="U719" s="941">
        <v>4</v>
      </c>
      <c r="V719" s="967">
        <v>60</v>
      </c>
      <c r="W719" s="967"/>
      <c r="X719" s="967"/>
      <c r="Y719" s="967"/>
    </row>
    <row r="720" ht="13.5" customHeight="1" spans="1:25">
      <c r="A720" s="127">
        <f t="shared" si="21"/>
        <v>46</v>
      </c>
      <c r="B720" s="964" t="s">
        <v>3168</v>
      </c>
      <c r="C720" s="964" t="s">
        <v>3169</v>
      </c>
      <c r="D720" s="964" t="s">
        <v>3084</v>
      </c>
      <c r="E720" s="965"/>
      <c r="F720" s="965" t="s">
        <v>3084</v>
      </c>
      <c r="G720" s="964" t="s">
        <v>127</v>
      </c>
      <c r="H720" s="965" t="str">
        <f>VLOOKUP(G720,'01. TH'!$B:$E,3,0)</f>
        <v/>
      </c>
      <c r="I720" s="127" t="s">
        <v>3022</v>
      </c>
      <c r="J720" s="969">
        <v>41651</v>
      </c>
      <c r="K720" s="965" t="s">
        <v>3023</v>
      </c>
      <c r="L720" s="965"/>
      <c r="M720" s="956" t="s">
        <v>3165</v>
      </c>
      <c r="N720" s="965" t="s">
        <v>1164</v>
      </c>
      <c r="O720" s="132" t="s">
        <v>1165</v>
      </c>
      <c r="P720" s="965"/>
      <c r="Q720" s="965"/>
      <c r="R720" s="965" t="s">
        <v>208</v>
      </c>
      <c r="S720" s="132">
        <v>55065</v>
      </c>
      <c r="T720" s="132" t="s">
        <v>462</v>
      </c>
      <c r="U720" s="132">
        <v>2</v>
      </c>
      <c r="V720" s="962"/>
      <c r="W720" s="962"/>
      <c r="X720" s="962"/>
      <c r="Y720" s="962"/>
    </row>
    <row r="721" ht="13.5" customHeight="1" spans="1:25">
      <c r="A721" s="127">
        <f t="shared" si="21"/>
        <v>47</v>
      </c>
      <c r="B721" s="964" t="s">
        <v>3170</v>
      </c>
      <c r="C721" s="964" t="s">
        <v>3171</v>
      </c>
      <c r="D721" s="965" t="str">
        <f>IFERROR(VLOOKUP(B721,' 02.1 KLH-CN MÃ BRAVO MM'!$B:$C,2,0),"")</f>
        <v>ATT-A22-0242</v>
      </c>
      <c r="E721" s="965"/>
      <c r="F721" s="965" t="s">
        <v>3136</v>
      </c>
      <c r="G721" s="964" t="s">
        <v>287</v>
      </c>
      <c r="H721" s="965" t="str">
        <f>VLOOKUP(G721,'01. TH'!$B:$E,3,0)</f>
        <v/>
      </c>
      <c r="I721" s="127" t="s">
        <v>3022</v>
      </c>
      <c r="J721" s="969">
        <v>43112</v>
      </c>
      <c r="K721" s="965" t="s">
        <v>3023</v>
      </c>
      <c r="L721" s="970"/>
      <c r="M721" s="956" t="s">
        <v>3165</v>
      </c>
      <c r="N721" s="965" t="s">
        <v>1751</v>
      </c>
      <c r="O721" s="132" t="s">
        <v>1165</v>
      </c>
      <c r="P721" s="965"/>
      <c r="Q721" s="965"/>
      <c r="R721" s="965" t="s">
        <v>219</v>
      </c>
      <c r="S721" s="132" t="s">
        <v>3081</v>
      </c>
      <c r="T721" s="132" t="s">
        <v>3172</v>
      </c>
      <c r="U721" s="132">
        <v>0.5</v>
      </c>
      <c r="V721" s="962"/>
      <c r="W721" s="962"/>
      <c r="X721" s="962"/>
      <c r="Y721" s="962"/>
    </row>
    <row r="722" ht="13.5" customHeight="1" spans="1:25">
      <c r="A722" s="127">
        <f t="shared" si="21"/>
        <v>48</v>
      </c>
      <c r="B722" s="964" t="s">
        <v>3173</v>
      </c>
      <c r="C722" s="964"/>
      <c r="D722" s="965" t="str">
        <f>IFERROR(VLOOKUP(B722,' 02.1 KLH-CN MÃ BRAVO MM'!$B:$C,2,0),"")</f>
        <v>A24-XB0-001</v>
      </c>
      <c r="E722" s="965"/>
      <c r="F722" s="965"/>
      <c r="G722" s="964" t="s">
        <v>3174</v>
      </c>
      <c r="H722" s="965" t="e">
        <f>VLOOKUP(G722,'01. TH'!$B:$E,3,0)</f>
        <v>#N/A</v>
      </c>
      <c r="I722" s="127" t="s">
        <v>3022</v>
      </c>
      <c r="J722" s="969"/>
      <c r="K722" s="965" t="s">
        <v>23</v>
      </c>
      <c r="L722" s="970">
        <v>0.05</v>
      </c>
      <c r="M722" s="956" t="s">
        <v>3165</v>
      </c>
      <c r="N722" s="965" t="s">
        <v>1267</v>
      </c>
      <c r="O722" s="132" t="s">
        <v>465</v>
      </c>
      <c r="P722" s="965">
        <v>2005</v>
      </c>
      <c r="Q722" s="965" t="s">
        <v>3175</v>
      </c>
      <c r="R722" s="965" t="s">
        <v>134</v>
      </c>
      <c r="S722" s="132" t="s">
        <v>3176</v>
      </c>
      <c r="T722" s="132" t="s">
        <v>462</v>
      </c>
      <c r="U722" s="132" t="s">
        <v>3177</v>
      </c>
      <c r="V722" s="967">
        <v>0</v>
      </c>
      <c r="W722" s="967"/>
      <c r="X722" s="967"/>
      <c r="Y722" s="967"/>
    </row>
    <row r="723" ht="13.5" customHeight="1" outlineLevel="1" spans="1:25">
      <c r="A723" s="990">
        <v>4</v>
      </c>
      <c r="B723" s="991" t="s">
        <v>3178</v>
      </c>
      <c r="C723" s="991" t="s">
        <v>3179</v>
      </c>
      <c r="D723" s="990" t="str">
        <f>IFERROR(VLOOKUP(B723,' 02.1 KLH-CN MÃ BRAVO MM'!$B:$C,2,0),"")</f>
        <v>A22-MKE-027</v>
      </c>
      <c r="E723" s="990"/>
      <c r="F723" s="990"/>
      <c r="G723" s="991" t="s">
        <v>207</v>
      </c>
      <c r="H723" s="990" t="str">
        <f>VLOOKUP(G723,'01. TH'!$B:$E,3,0)</f>
        <v>3445 x 1865 x 2535</v>
      </c>
      <c r="I723" s="127" t="s">
        <v>3022</v>
      </c>
      <c r="J723" s="992"/>
      <c r="K723" s="965" t="s">
        <v>1755</v>
      </c>
      <c r="L723" s="990"/>
      <c r="M723" s="993"/>
      <c r="N723" s="990" t="s">
        <v>759</v>
      </c>
      <c r="O723" s="994" t="s">
        <v>453</v>
      </c>
      <c r="P723" s="990">
        <v>2013</v>
      </c>
      <c r="Q723" s="990" t="s">
        <v>1064</v>
      </c>
      <c r="R723" s="990" t="s">
        <v>3180</v>
      </c>
      <c r="S723" s="994" t="s">
        <v>3181</v>
      </c>
      <c r="T723" s="994" t="s">
        <v>462</v>
      </c>
      <c r="U723" s="994">
        <v>3.5</v>
      </c>
      <c r="V723" s="995">
        <v>90</v>
      </c>
      <c r="W723" s="995"/>
      <c r="X723" s="995"/>
      <c r="Y723" s="995"/>
    </row>
    <row r="724" ht="13.5" customHeight="1" outlineLevel="1" spans="1:25">
      <c r="A724" s="990">
        <v>5</v>
      </c>
      <c r="B724" s="991" t="s">
        <v>3182</v>
      </c>
      <c r="C724" s="991" t="s">
        <v>3183</v>
      </c>
      <c r="D724" s="990" t="str">
        <f>IFERROR(VLOOKUP(B724,' 02.1 KLH-CN MÃ BRAVO MM'!$B:$C,2,0),"")</f>
        <v>A22-MKE-025</v>
      </c>
      <c r="E724" s="990"/>
      <c r="F724" s="990"/>
      <c r="G724" s="991" t="s">
        <v>197</v>
      </c>
      <c r="H724" s="990" t="str">
        <f>VLOOKUP(G724,'01. TH'!$B:$E,3,0)</f>
        <v>3226 x 1570 x 1545</v>
      </c>
      <c r="I724" s="127" t="s">
        <v>3022</v>
      </c>
      <c r="J724" s="992"/>
      <c r="K724" s="965" t="s">
        <v>1755</v>
      </c>
      <c r="L724" s="990"/>
      <c r="M724" s="993"/>
      <c r="N724" s="990" t="s">
        <v>1019</v>
      </c>
      <c r="O724" s="994" t="s">
        <v>500</v>
      </c>
      <c r="P724" s="990">
        <v>2018</v>
      </c>
      <c r="Q724" s="990" t="s">
        <v>1122</v>
      </c>
      <c r="R724" s="990" t="s">
        <v>128</v>
      </c>
      <c r="S724" s="994" t="s">
        <v>3184</v>
      </c>
      <c r="T724" s="994" t="s">
        <v>462</v>
      </c>
      <c r="U724" s="994">
        <v>2.5</v>
      </c>
      <c r="V724" s="995">
        <v>0</v>
      </c>
      <c r="W724" s="995"/>
      <c r="X724" s="995"/>
      <c r="Y724" s="995"/>
    </row>
    <row r="725" ht="13.5" customHeight="1" outlineLevel="1" spans="1:25">
      <c r="A725" s="990">
        <v>6</v>
      </c>
      <c r="B725" s="991" t="s">
        <v>3185</v>
      </c>
      <c r="C725" s="991" t="s">
        <v>3186</v>
      </c>
      <c r="D725" s="990" t="str">
        <f>IFERROR(VLOOKUP(B725,' 02.1 KLH-CN MÃ BRAVO MM'!$B:$C,2,0),"")</f>
        <v>A22-MKE-023</v>
      </c>
      <c r="E725" s="990"/>
      <c r="F725" s="990"/>
      <c r="G725" s="991" t="s">
        <v>197</v>
      </c>
      <c r="H725" s="990" t="str">
        <f>VLOOKUP(G725,'01. TH'!$B:$E,3,0)</f>
        <v>3226 x 1570 x 1545</v>
      </c>
      <c r="I725" s="127" t="s">
        <v>3022</v>
      </c>
      <c r="J725" s="992"/>
      <c r="K725" s="965" t="s">
        <v>1755</v>
      </c>
      <c r="L725" s="990"/>
      <c r="M725" s="993"/>
      <c r="N725" s="990" t="s">
        <v>1019</v>
      </c>
      <c r="O725" s="994" t="s">
        <v>500</v>
      </c>
      <c r="P725" s="990">
        <v>2018</v>
      </c>
      <c r="Q725" s="990" t="s">
        <v>1122</v>
      </c>
      <c r="R725" s="990" t="s">
        <v>128</v>
      </c>
      <c r="S725" s="994" t="s">
        <v>3187</v>
      </c>
      <c r="T725" s="994" t="s">
        <v>462</v>
      </c>
      <c r="U725" s="994">
        <v>2.5</v>
      </c>
      <c r="V725" s="995">
        <v>0</v>
      </c>
      <c r="W725" s="995"/>
      <c r="X725" s="995"/>
      <c r="Y725" s="995"/>
    </row>
    <row r="726" ht="13.5" customHeight="1" outlineLevel="1" spans="1:25">
      <c r="A726" s="101">
        <f>A182+1</f>
        <v>22</v>
      </c>
      <c r="B726" s="159" t="s">
        <v>3188</v>
      </c>
      <c r="C726" s="156"/>
      <c r="D726" s="146" t="s">
        <v>3189</v>
      </c>
      <c r="E726" s="201"/>
      <c r="F726" s="201"/>
      <c r="G726" s="102" t="s">
        <v>276</v>
      </c>
      <c r="H726" s="101" t="str">
        <f>VLOOKUP(G726,'01. TH'!$B:$E,3,0)</f>
        <v/>
      </c>
      <c r="I726" s="101" t="s">
        <v>1121</v>
      </c>
      <c r="J726" s="146" t="s">
        <v>3149</v>
      </c>
      <c r="K726" s="101" t="str">
        <f>IF(COUNTIF('TT BTSC'!$D:$D,B726)&gt;0,"Hư hỏng","Bình thường")</f>
        <v>Bình thường</v>
      </c>
      <c r="L726" s="201"/>
      <c r="M726" s="206" t="s">
        <v>1146</v>
      </c>
      <c r="N726" s="146" t="s">
        <v>3143</v>
      </c>
      <c r="O726" s="159" t="s">
        <v>3144</v>
      </c>
      <c r="P726" s="146">
        <v>2024</v>
      </c>
      <c r="Q726" s="146" t="s">
        <v>3150</v>
      </c>
      <c r="R726" s="146" t="s">
        <v>286</v>
      </c>
      <c r="S726" s="159" t="s">
        <v>462</v>
      </c>
      <c r="T726" s="159" t="s">
        <v>462</v>
      </c>
      <c r="U726" s="159">
        <v>0.6</v>
      </c>
      <c r="V726" s="895">
        <v>0</v>
      </c>
      <c r="W726" s="895"/>
      <c r="X726" s="895"/>
      <c r="Y726" s="895"/>
    </row>
    <row r="727" customHeight="1" outlineLevel="1" spans="1:25">
      <c r="A727" s="101">
        <f>A726+1</f>
        <v>23</v>
      </c>
      <c r="B727" s="159" t="s">
        <v>3190</v>
      </c>
      <c r="C727" s="156"/>
      <c r="D727" s="146" t="s">
        <v>3191</v>
      </c>
      <c r="E727" s="201"/>
      <c r="F727" s="201"/>
      <c r="G727" s="102" t="s">
        <v>276</v>
      </c>
      <c r="H727" s="101" t="str">
        <f>VLOOKUP(G727,'01. TH'!$B:$E,3,0)</f>
        <v/>
      </c>
      <c r="I727" s="101" t="s">
        <v>1121</v>
      </c>
      <c r="J727" s="146" t="s">
        <v>3149</v>
      </c>
      <c r="K727" s="101" t="str">
        <f>IF(COUNTIF('TT BTSC'!$D:$D,B727)&gt;0,"Hư hỏng","Bình thường")</f>
        <v>Bình thường</v>
      </c>
      <c r="L727" s="201"/>
      <c r="M727" s="206" t="s">
        <v>1146</v>
      </c>
      <c r="N727" s="146" t="s">
        <v>3143</v>
      </c>
      <c r="O727" s="159" t="s">
        <v>3144</v>
      </c>
      <c r="P727" s="146">
        <v>2024</v>
      </c>
      <c r="Q727" s="146" t="s">
        <v>3150</v>
      </c>
      <c r="R727" s="146" t="s">
        <v>286</v>
      </c>
      <c r="S727" s="159" t="s">
        <v>462</v>
      </c>
      <c r="T727" s="159" t="s">
        <v>462</v>
      </c>
      <c r="U727" s="159">
        <v>0.6</v>
      </c>
      <c r="V727" s="895">
        <v>0</v>
      </c>
      <c r="W727" s="895"/>
      <c r="X727" s="895"/>
      <c r="Y727" s="895"/>
    </row>
    <row r="728" ht="12.75" customHeight="1" outlineLevel="1" spans="1:25">
      <c r="A728" s="101">
        <f>A209+1</f>
        <v>20</v>
      </c>
      <c r="B728" s="156" t="s">
        <v>3192</v>
      </c>
      <c r="C728" s="156"/>
      <c r="D728" s="103" t="s">
        <v>3193</v>
      </c>
      <c r="E728" s="157"/>
      <c r="F728" s="157"/>
      <c r="G728" s="102" t="s">
        <v>276</v>
      </c>
      <c r="H728" s="101" t="str">
        <f>VLOOKUP(G728,'01. TH'!$B:$E,3,0)</f>
        <v/>
      </c>
      <c r="I728" s="146" t="s">
        <v>1250</v>
      </c>
      <c r="J728" s="146" t="s">
        <v>3149</v>
      </c>
      <c r="K728" s="101" t="str">
        <f>IF(COUNTIF('TT BTSC'!$D:$D,B728)&gt;0,"Hư hỏng","Bình thường")</f>
        <v>Bình thường</v>
      </c>
      <c r="L728" s="146"/>
      <c r="M728" s="206" t="s">
        <v>1146</v>
      </c>
      <c r="N728" s="146" t="s">
        <v>3143</v>
      </c>
      <c r="O728" s="159" t="s">
        <v>3144</v>
      </c>
      <c r="P728" s="146">
        <v>2024</v>
      </c>
      <c r="Q728" s="146" t="s">
        <v>3150</v>
      </c>
      <c r="R728" s="146" t="s">
        <v>286</v>
      </c>
      <c r="S728" s="159" t="s">
        <v>462</v>
      </c>
      <c r="T728" s="160" t="s">
        <v>462</v>
      </c>
      <c r="U728" s="159">
        <v>0.6</v>
      </c>
      <c r="V728" s="895">
        <v>0</v>
      </c>
      <c r="W728" s="895"/>
      <c r="X728" s="895"/>
      <c r="Y728" s="895"/>
    </row>
    <row r="729" ht="12.75" customHeight="1" outlineLevel="1" spans="1:25">
      <c r="A729" s="101">
        <f>A728+1</f>
        <v>21</v>
      </c>
      <c r="B729" s="156" t="s">
        <v>3194</v>
      </c>
      <c r="C729" s="156"/>
      <c r="D729" s="103" t="s">
        <v>3195</v>
      </c>
      <c r="E729" s="157"/>
      <c r="F729" s="157"/>
      <c r="G729" s="102" t="s">
        <v>276</v>
      </c>
      <c r="H729" s="101" t="str">
        <f>VLOOKUP(G729,'01. TH'!$B:$E,3,0)</f>
        <v/>
      </c>
      <c r="I729" s="146" t="s">
        <v>1250</v>
      </c>
      <c r="J729" s="146" t="s">
        <v>3149</v>
      </c>
      <c r="K729" s="101" t="str">
        <f>IF(COUNTIF('TT BTSC'!$D:$D,B729)&gt;0,"Hư hỏng","Bình thường")</f>
        <v>Bình thường</v>
      </c>
      <c r="L729" s="146"/>
      <c r="M729" s="206" t="s">
        <v>1146</v>
      </c>
      <c r="N729" s="146" t="s">
        <v>3143</v>
      </c>
      <c r="O729" s="159" t="s">
        <v>3144</v>
      </c>
      <c r="P729" s="146">
        <v>2024</v>
      </c>
      <c r="Q729" s="146" t="s">
        <v>3150</v>
      </c>
      <c r="R729" s="146" t="s">
        <v>286</v>
      </c>
      <c r="S729" s="159" t="s">
        <v>462</v>
      </c>
      <c r="T729" s="160" t="s">
        <v>462</v>
      </c>
      <c r="U729" s="159">
        <v>0.6</v>
      </c>
      <c r="V729" s="895">
        <v>0</v>
      </c>
      <c r="W729" s="895"/>
      <c r="X729" s="895"/>
      <c r="Y729" s="895"/>
    </row>
    <row r="730" ht="13.5" customHeight="1" outlineLevel="1" spans="1:25">
      <c r="A730" s="101">
        <f>1+A241</f>
        <v>24</v>
      </c>
      <c r="B730" s="102" t="s">
        <v>3196</v>
      </c>
      <c r="C730" s="102"/>
      <c r="D730" s="103" t="s">
        <v>3197</v>
      </c>
      <c r="E730" s="103"/>
      <c r="F730" s="103"/>
      <c r="G730" s="102" t="s">
        <v>276</v>
      </c>
      <c r="H730" s="101" t="str">
        <f>VLOOKUP(G730,'01. TH'!$B:$E,3,0)</f>
        <v/>
      </c>
      <c r="I730" s="101" t="s">
        <v>1348</v>
      </c>
      <c r="J730" s="146" t="s">
        <v>3149</v>
      </c>
      <c r="K730" s="101" t="str">
        <f>IF(COUNTIF('TT BTSC'!$D:$D,B730)&gt;0,"Hư hỏng","Bình thường")</f>
        <v>Bình thường</v>
      </c>
      <c r="L730" s="107"/>
      <c r="M730" s="206" t="s">
        <v>1146</v>
      </c>
      <c r="N730" s="101" t="s">
        <v>3143</v>
      </c>
      <c r="O730" s="110" t="s">
        <v>3144</v>
      </c>
      <c r="P730" s="101">
        <v>2024</v>
      </c>
      <c r="Q730" s="101" t="s">
        <v>3150</v>
      </c>
      <c r="R730" s="101" t="s">
        <v>286</v>
      </c>
      <c r="S730" s="110" t="s">
        <v>462</v>
      </c>
      <c r="T730" s="111" t="s">
        <v>462</v>
      </c>
      <c r="U730" s="159">
        <v>0.6</v>
      </c>
      <c r="V730" s="895">
        <v>0</v>
      </c>
      <c r="W730" s="895"/>
      <c r="X730" s="895"/>
      <c r="Y730" s="895"/>
    </row>
    <row r="731" ht="13.5" customHeight="1" outlineLevel="1" spans="1:25">
      <c r="A731" s="101">
        <f>1+A730</f>
        <v>25</v>
      </c>
      <c r="B731" s="102" t="s">
        <v>3198</v>
      </c>
      <c r="C731" s="102"/>
      <c r="D731" s="103" t="s">
        <v>3199</v>
      </c>
      <c r="E731" s="103"/>
      <c r="F731" s="103"/>
      <c r="G731" s="102" t="s">
        <v>276</v>
      </c>
      <c r="H731" s="101" t="str">
        <f>VLOOKUP(G731,'01. TH'!$B:$E,3,0)</f>
        <v/>
      </c>
      <c r="I731" s="101" t="s">
        <v>1348</v>
      </c>
      <c r="J731" s="146" t="s">
        <v>3149</v>
      </c>
      <c r="K731" s="101" t="str">
        <f>IF(COUNTIF('TT BTSC'!$D:$D,B731)&gt;0,"Hư hỏng","Bình thường")</f>
        <v>Bình thường</v>
      </c>
      <c r="L731" s="107"/>
      <c r="M731" s="206" t="s">
        <v>1146</v>
      </c>
      <c r="N731" s="101" t="s">
        <v>3143</v>
      </c>
      <c r="O731" s="110" t="s">
        <v>3144</v>
      </c>
      <c r="P731" s="101">
        <v>2024</v>
      </c>
      <c r="Q731" s="101" t="s">
        <v>3150</v>
      </c>
      <c r="R731" s="101" t="s">
        <v>286</v>
      </c>
      <c r="S731" s="110" t="s">
        <v>462</v>
      </c>
      <c r="T731" s="111" t="s">
        <v>462</v>
      </c>
      <c r="U731" s="159">
        <v>0.6</v>
      </c>
      <c r="V731" s="895">
        <v>0</v>
      </c>
      <c r="W731" s="895"/>
      <c r="X731" s="895"/>
      <c r="Y731" s="895"/>
    </row>
    <row r="732" ht="13.5" customHeight="1" outlineLevel="1" spans="1:25">
      <c r="A732" s="101">
        <f>A314+1</f>
        <v>33</v>
      </c>
      <c r="B732" s="156" t="s">
        <v>3200</v>
      </c>
      <c r="C732" s="156"/>
      <c r="D732" s="103" t="s">
        <v>3201</v>
      </c>
      <c r="E732" s="157"/>
      <c r="F732" s="157"/>
      <c r="G732" s="156" t="s">
        <v>276</v>
      </c>
      <c r="H732" s="101" t="str">
        <f>VLOOKUP(G732,'01. TH'!$B:$E,3,0)</f>
        <v/>
      </c>
      <c r="I732" s="146" t="s">
        <v>1593</v>
      </c>
      <c r="J732" s="146" t="s">
        <v>3149</v>
      </c>
      <c r="K732" s="101" t="str">
        <f>IF(COUNTIF('TT BTSC'!$D:$D,B732)&gt;0,"Hư hỏng","Bình thường")</f>
        <v>Bình thường</v>
      </c>
      <c r="L732" s="199"/>
      <c r="M732" s="182" t="s">
        <v>1146</v>
      </c>
      <c r="N732" s="146" t="s">
        <v>3143</v>
      </c>
      <c r="O732" s="159" t="s">
        <v>3144</v>
      </c>
      <c r="P732" s="146">
        <v>2024</v>
      </c>
      <c r="Q732" s="146" t="s">
        <v>3150</v>
      </c>
      <c r="R732" s="146" t="s">
        <v>286</v>
      </c>
      <c r="S732" s="159" t="s">
        <v>462</v>
      </c>
      <c r="T732" s="160" t="s">
        <v>462</v>
      </c>
      <c r="U732" s="159">
        <v>0.6</v>
      </c>
      <c r="V732" s="895">
        <v>0</v>
      </c>
      <c r="W732" s="895"/>
      <c r="X732" s="895"/>
      <c r="Y732" s="895"/>
    </row>
    <row r="733" ht="13.5" customHeight="1" outlineLevel="1" spans="1:25">
      <c r="A733" s="101">
        <f>A732+1</f>
        <v>34</v>
      </c>
      <c r="B733" s="156" t="s">
        <v>3202</v>
      </c>
      <c r="C733" s="156"/>
      <c r="D733" s="103" t="s">
        <v>3203</v>
      </c>
      <c r="E733" s="157"/>
      <c r="F733" s="157"/>
      <c r="G733" s="156" t="s">
        <v>276</v>
      </c>
      <c r="H733" s="101" t="str">
        <f>VLOOKUP(G733,'01. TH'!$B:$E,3,0)</f>
        <v/>
      </c>
      <c r="I733" s="146" t="s">
        <v>1593</v>
      </c>
      <c r="J733" s="146" t="s">
        <v>3149</v>
      </c>
      <c r="K733" s="101" t="str">
        <f>IF(COUNTIF('TT BTSC'!$D:$D,B733)&gt;0,"Hư hỏng","Bình thường")</f>
        <v>Bình thường</v>
      </c>
      <c r="L733" s="199"/>
      <c r="M733" s="182" t="s">
        <v>1146</v>
      </c>
      <c r="N733" s="146" t="s">
        <v>3143</v>
      </c>
      <c r="O733" s="159" t="s">
        <v>3144</v>
      </c>
      <c r="P733" s="146">
        <v>2024</v>
      </c>
      <c r="Q733" s="146" t="s">
        <v>3150</v>
      </c>
      <c r="R733" s="146" t="s">
        <v>286</v>
      </c>
      <c r="S733" s="159" t="s">
        <v>462</v>
      </c>
      <c r="T733" s="160" t="s">
        <v>462</v>
      </c>
      <c r="U733" s="159">
        <v>0.6</v>
      </c>
      <c r="V733" s="895">
        <v>0</v>
      </c>
      <c r="W733" s="895"/>
      <c r="X733" s="895"/>
      <c r="Y733" s="895"/>
    </row>
    <row r="734" ht="13.8" spans="1:25">
      <c r="A734" s="127"/>
      <c r="B734" s="126"/>
      <c r="C734" s="126"/>
      <c r="D734" s="127"/>
      <c r="E734" s="127"/>
      <c r="F734" s="127"/>
      <c r="G734" s="126"/>
      <c r="H734" s="965"/>
      <c r="I734" s="127"/>
      <c r="J734" s="128"/>
      <c r="K734" s="127"/>
      <c r="L734" s="225"/>
      <c r="M734" s="956"/>
      <c r="N734" s="127"/>
      <c r="O734" s="131"/>
      <c r="P734" s="127"/>
      <c r="Q734" s="127"/>
      <c r="R734" s="127"/>
      <c r="S734" s="131"/>
      <c r="T734" s="131"/>
      <c r="U734" s="131"/>
      <c r="V734" s="962"/>
      <c r="W734" s="962"/>
      <c r="X734" s="962"/>
      <c r="Y734" s="962"/>
    </row>
    <row r="735" ht="13.8" spans="1:25">
      <c r="A735" s="127"/>
      <c r="B735" s="126"/>
      <c r="C735" s="126"/>
      <c r="D735" s="127"/>
      <c r="E735" s="127"/>
      <c r="F735" s="127"/>
      <c r="G735" s="126"/>
      <c r="H735" s="965"/>
      <c r="I735" s="127"/>
      <c r="J735" s="128"/>
      <c r="K735" s="127"/>
      <c r="L735" s="225"/>
      <c r="M735" s="956"/>
      <c r="N735" s="127"/>
      <c r="O735" s="131"/>
      <c r="P735" s="127"/>
      <c r="Q735" s="127"/>
      <c r="R735" s="127"/>
      <c r="S735" s="131"/>
      <c r="T735" s="131"/>
      <c r="U735" s="131"/>
      <c r="V735" s="962"/>
      <c r="W735" s="962"/>
      <c r="X735" s="962"/>
      <c r="Y735" s="962"/>
    </row>
    <row r="736" ht="13.8" spans="1:25">
      <c r="A736" s="127"/>
      <c r="B736" s="126"/>
      <c r="C736" s="126"/>
      <c r="D736" s="127"/>
      <c r="E736" s="127"/>
      <c r="F736" s="127"/>
      <c r="G736" s="126"/>
      <c r="H736" s="965"/>
      <c r="I736" s="127"/>
      <c r="J736" s="128"/>
      <c r="K736" s="127"/>
      <c r="L736" s="225"/>
      <c r="M736" s="956"/>
      <c r="N736" s="127"/>
      <c r="O736" s="131"/>
      <c r="P736" s="127"/>
      <c r="Q736" s="127"/>
      <c r="R736" s="127"/>
      <c r="S736" s="131"/>
      <c r="T736" s="131"/>
      <c r="U736" s="131"/>
      <c r="V736" s="962"/>
      <c r="W736" s="962"/>
      <c r="X736" s="962"/>
      <c r="Y736" s="962"/>
    </row>
    <row r="737" ht="13.8" spans="1:25">
      <c r="A737" s="127"/>
      <c r="B737" s="126"/>
      <c r="C737" s="126"/>
      <c r="D737" s="127"/>
      <c r="E737" s="127"/>
      <c r="F737" s="127"/>
      <c r="G737" s="126"/>
      <c r="H737" s="965"/>
      <c r="I737" s="127"/>
      <c r="J737" s="128"/>
      <c r="K737" s="127"/>
      <c r="L737" s="225"/>
      <c r="M737" s="956"/>
      <c r="N737" s="127"/>
      <c r="O737" s="131"/>
      <c r="P737" s="127"/>
      <c r="Q737" s="127"/>
      <c r="R737" s="127"/>
      <c r="S737" s="131"/>
      <c r="T737" s="131"/>
      <c r="U737" s="131"/>
      <c r="V737" s="962"/>
      <c r="W737" s="962"/>
      <c r="X737" s="962"/>
      <c r="Y737" s="962"/>
    </row>
    <row r="738" ht="13.8" spans="1:25">
      <c r="A738" s="127"/>
      <c r="B738" s="126"/>
      <c r="C738" s="126"/>
      <c r="D738" s="127"/>
      <c r="E738" s="127"/>
      <c r="F738" s="127"/>
      <c r="G738" s="126"/>
      <c r="H738" s="965" t="e">
        <f>VLOOKUP(G738,'01. TH'!$B:$E,3,0)</f>
        <v>#N/A</v>
      </c>
      <c r="I738" s="127"/>
      <c r="J738" s="128"/>
      <c r="K738" s="127"/>
      <c r="L738" s="225"/>
      <c r="M738" s="956"/>
      <c r="N738" s="127"/>
      <c r="O738" s="131"/>
      <c r="P738" s="127"/>
      <c r="Q738" s="127"/>
      <c r="R738" s="127"/>
      <c r="S738" s="131"/>
      <c r="T738" s="131"/>
      <c r="U738" s="131"/>
      <c r="V738" s="962"/>
      <c r="W738" s="962"/>
      <c r="X738" s="962"/>
      <c r="Y738" s="962"/>
    </row>
    <row r="739" ht="13.5" customHeight="1" spans="1:25">
      <c r="A739" s="127"/>
      <c r="B739" s="126"/>
      <c r="C739" s="126"/>
      <c r="D739" s="127"/>
      <c r="E739" s="127"/>
      <c r="F739" s="127"/>
      <c r="G739" s="126"/>
      <c r="H739" s="965" t="e">
        <f>VLOOKUP(G739,'01. TH'!$B:$E,3,0)</f>
        <v>#N/A</v>
      </c>
      <c r="I739" s="127"/>
      <c r="J739" s="128"/>
      <c r="K739" s="127"/>
      <c r="L739" s="225"/>
      <c r="M739" s="956"/>
      <c r="N739" s="127"/>
      <c r="O739" s="131"/>
      <c r="P739" s="127"/>
      <c r="Q739" s="127"/>
      <c r="R739" s="127"/>
      <c r="S739" s="131"/>
      <c r="T739" s="131"/>
      <c r="U739" s="131"/>
      <c r="V739" s="962"/>
      <c r="W739" s="962"/>
      <c r="X739" s="962"/>
      <c r="Y739" s="962"/>
    </row>
    <row r="740" ht="13.5" customHeight="1" spans="1:25">
      <c r="A740" s="996" t="s">
        <v>290</v>
      </c>
      <c r="B740" s="997" t="s">
        <v>3204</v>
      </c>
      <c r="C740" s="996">
        <f>COUNTA(B741:B748)</f>
        <v>8</v>
      </c>
      <c r="D740" s="996"/>
      <c r="E740" s="996"/>
      <c r="F740" s="996"/>
      <c r="G740" s="996" t="s">
        <v>3205</v>
      </c>
      <c r="H740" s="996"/>
      <c r="I740" s="996"/>
      <c r="J740" s="998"/>
      <c r="K740" s="996"/>
      <c r="L740" s="996"/>
      <c r="M740" s="997"/>
      <c r="N740" s="996"/>
      <c r="O740" s="997"/>
      <c r="P740" s="996"/>
      <c r="Q740" s="996"/>
      <c r="R740" s="996"/>
      <c r="S740" s="997"/>
      <c r="T740" s="997"/>
      <c r="U740" s="997"/>
      <c r="V740" s="945"/>
      <c r="W740" s="945"/>
      <c r="X740" s="945"/>
      <c r="Y740" s="945"/>
    </row>
    <row r="741" ht="27.75" customHeight="1" spans="1:25">
      <c r="A741" s="999">
        <v>1</v>
      </c>
      <c r="B741" s="1000" t="s">
        <v>3206</v>
      </c>
      <c r="C741" s="1000" t="s">
        <v>504</v>
      </c>
      <c r="D741" s="1001" t="s">
        <v>3207</v>
      </c>
      <c r="E741" s="1001"/>
      <c r="F741" s="1001"/>
      <c r="G741" s="1000" t="s">
        <v>50</v>
      </c>
      <c r="H741" s="999" t="str">
        <f>VLOOKUP(G741,'01. TH'!$B:$E,3,0)</f>
        <v>8700 x 2800 x 3010</v>
      </c>
      <c r="I741" s="999" t="s">
        <v>3208</v>
      </c>
      <c r="J741" s="1002">
        <v>45963</v>
      </c>
      <c r="K741" s="1001"/>
      <c r="L741" s="1003"/>
      <c r="M741" s="1004" t="s">
        <v>3209</v>
      </c>
      <c r="N741" s="1001" t="s">
        <v>480</v>
      </c>
      <c r="O741" s="1005" t="s">
        <v>555</v>
      </c>
      <c r="P741" s="1001">
        <v>2004</v>
      </c>
      <c r="Q741" s="1001" t="s">
        <v>3210</v>
      </c>
      <c r="R741" s="1001" t="s">
        <v>546</v>
      </c>
      <c r="S741" s="1005" t="s">
        <v>3211</v>
      </c>
      <c r="T741" s="1005" t="s">
        <v>3212</v>
      </c>
      <c r="U741" s="1005">
        <v>14</v>
      </c>
      <c r="V741" s="1006">
        <v>340</v>
      </c>
      <c r="W741" s="1006"/>
      <c r="X741" s="1006"/>
      <c r="Y741" s="1006"/>
    </row>
    <row r="742" ht="13.5" customHeight="1" spans="1:25">
      <c r="A742" s="999">
        <v>2</v>
      </c>
      <c r="B742" s="1007" t="s">
        <v>3213</v>
      </c>
      <c r="C742" s="1007" t="s">
        <v>3214</v>
      </c>
      <c r="D742" s="999" t="str">
        <f>IFERROR(VLOOKUP(B742,' 02.1 KLH-CN MÃ BRAVO MM'!$B:$C,2,0),"")</f>
        <v>A23-MKE-004</v>
      </c>
      <c r="E742" s="999"/>
      <c r="F742" s="999" t="s">
        <v>3089</v>
      </c>
      <c r="G742" s="1007" t="s">
        <v>209</v>
      </c>
      <c r="H742" s="999" t="str">
        <f>VLOOKUP(G742,'01. TH'!$B:$E,3,0)</f>
        <v>3760 x 1900 x 2570</v>
      </c>
      <c r="I742" s="999" t="s">
        <v>3208</v>
      </c>
      <c r="J742" s="1008"/>
      <c r="K742" s="999"/>
      <c r="L742" s="999"/>
      <c r="M742" s="1009" t="s">
        <v>3215</v>
      </c>
      <c r="N742" s="999" t="s">
        <v>759</v>
      </c>
      <c r="O742" s="1010" t="s">
        <v>453</v>
      </c>
      <c r="P742" s="999">
        <v>2011</v>
      </c>
      <c r="Q742" s="999">
        <v>9540</v>
      </c>
      <c r="R742" s="999" t="s">
        <v>120</v>
      </c>
      <c r="S742" s="1010">
        <v>77433</v>
      </c>
      <c r="T742" s="1010" t="s">
        <v>462</v>
      </c>
      <c r="U742" s="1010">
        <v>3.8</v>
      </c>
      <c r="V742" s="1006">
        <v>110</v>
      </c>
      <c r="W742" s="1006"/>
      <c r="X742" s="1006"/>
      <c r="Y742" s="1006"/>
    </row>
    <row r="743" ht="13.5" customHeight="1" spans="1:25">
      <c r="A743" s="999">
        <v>3</v>
      </c>
      <c r="B743" s="1007" t="s">
        <v>3216</v>
      </c>
      <c r="C743" s="1007" t="s">
        <v>3217</v>
      </c>
      <c r="D743" s="999" t="str">
        <f>IFERROR(VLOOKUP(B743,' 02.1 KLH-CN MÃ BRAVO MM'!$B:$C,2,0),"")</f>
        <v>A23-MKE-015</v>
      </c>
      <c r="E743" s="999"/>
      <c r="F743" s="999" t="s">
        <v>3089</v>
      </c>
      <c r="G743" s="1007" t="s">
        <v>209</v>
      </c>
      <c r="H743" s="999" t="str">
        <f>VLOOKUP(G743,'01. TH'!$B:$E,3,0)</f>
        <v>3760 x 1900 x 2570</v>
      </c>
      <c r="I743" s="999" t="s">
        <v>3208</v>
      </c>
      <c r="J743" s="1008"/>
      <c r="K743" s="999"/>
      <c r="L743" s="999"/>
      <c r="M743" s="1009" t="s">
        <v>3215</v>
      </c>
      <c r="N743" s="999" t="s">
        <v>759</v>
      </c>
      <c r="O743" s="1010" t="s">
        <v>453</v>
      </c>
      <c r="P743" s="999">
        <v>2013</v>
      </c>
      <c r="Q743" s="999">
        <v>9540</v>
      </c>
      <c r="R743" s="999" t="s">
        <v>120</v>
      </c>
      <c r="S743" s="1010">
        <v>173035</v>
      </c>
      <c r="T743" s="1010" t="s">
        <v>462</v>
      </c>
      <c r="U743" s="1010">
        <v>3.8</v>
      </c>
      <c r="V743" s="1006">
        <v>110</v>
      </c>
      <c r="W743" s="1006"/>
      <c r="X743" s="1006"/>
      <c r="Y743" s="1006"/>
    </row>
    <row r="744" ht="13.5" customHeight="1" spans="1:25">
      <c r="A744" s="1001">
        <v>4</v>
      </c>
      <c r="B744" s="1000" t="s">
        <v>3218</v>
      </c>
      <c r="C744" s="1000" t="s">
        <v>1850</v>
      </c>
      <c r="D744" s="1001" t="str">
        <f>IFERROR(VLOOKUP(B744,' 02.1 KLH-CN MÃ BRAVO MM'!$B:$C,2,0),"")</f>
        <v>ATT-A22-0271</v>
      </c>
      <c r="E744" s="1001"/>
      <c r="F744" s="1001" t="s">
        <v>3219</v>
      </c>
      <c r="G744" s="1000" t="s">
        <v>3220</v>
      </c>
      <c r="H744" s="999" t="e">
        <f>VLOOKUP(G744,'01. TH'!$B:$E,3,0)</f>
        <v>#N/A</v>
      </c>
      <c r="I744" s="1001" t="s">
        <v>3221</v>
      </c>
      <c r="J744" s="1002">
        <v>44927</v>
      </c>
      <c r="K744" s="1001"/>
      <c r="L744" s="1011">
        <v>0.97</v>
      </c>
      <c r="M744" s="1012" t="s">
        <v>3222</v>
      </c>
      <c r="N744" s="1001" t="s">
        <v>621</v>
      </c>
      <c r="O744" s="1005" t="s">
        <v>500</v>
      </c>
      <c r="P744" s="1001">
        <v>2017</v>
      </c>
      <c r="Q744" s="1001" t="s">
        <v>2192</v>
      </c>
      <c r="R744" s="1001" t="s">
        <v>146</v>
      </c>
      <c r="S744" s="1005" t="s">
        <v>3223</v>
      </c>
      <c r="T744" s="1005" t="s">
        <v>3224</v>
      </c>
      <c r="U744" s="1005">
        <v>6</v>
      </c>
      <c r="V744" s="1006">
        <v>380</v>
      </c>
      <c r="W744" s="1006"/>
      <c r="X744" s="1006"/>
      <c r="Y744" s="1006"/>
    </row>
    <row r="745" ht="13.5" customHeight="1" spans="1:25">
      <c r="A745" s="1001">
        <v>5</v>
      </c>
      <c r="B745" s="1000" t="s">
        <v>3225</v>
      </c>
      <c r="C745" s="1000" t="s">
        <v>3226</v>
      </c>
      <c r="D745" s="1001">
        <f>IFERROR(VLOOKUP(B745,' 02.1 KLH-CN MÃ BRAVO MM'!$B:$C,2,0),"")</f>
        <v>0</v>
      </c>
      <c r="E745" s="1001"/>
      <c r="F745" s="1001" t="s">
        <v>3227</v>
      </c>
      <c r="G745" s="1000" t="s">
        <v>3228</v>
      </c>
      <c r="H745" s="999" t="e">
        <f>VLOOKUP(G745,'01. TH'!$B:$E,3,0)</f>
        <v>#N/A</v>
      </c>
      <c r="I745" s="1001" t="s">
        <v>3221</v>
      </c>
      <c r="J745" s="1002">
        <v>41644</v>
      </c>
      <c r="K745" s="1001"/>
      <c r="L745" s="1011">
        <v>0.4</v>
      </c>
      <c r="M745" s="1012" t="s">
        <v>3229</v>
      </c>
      <c r="N745" s="1001" t="s">
        <v>3230</v>
      </c>
      <c r="O745" s="1005" t="s">
        <v>3231</v>
      </c>
      <c r="P745" s="1001">
        <v>2004</v>
      </c>
      <c r="Q745" s="1001" t="s">
        <v>3232</v>
      </c>
      <c r="R745" s="1001" t="s">
        <v>3233</v>
      </c>
      <c r="S745" s="1005" t="s">
        <v>3234</v>
      </c>
      <c r="T745" s="1005" t="s">
        <v>462</v>
      </c>
      <c r="U745" s="1005"/>
      <c r="V745" s="1006">
        <v>0</v>
      </c>
      <c r="W745" s="1006"/>
      <c r="X745" s="1006"/>
      <c r="Y745" s="1006"/>
    </row>
    <row r="746" ht="13.5" customHeight="1" spans="1:25">
      <c r="A746" s="1001">
        <v>6</v>
      </c>
      <c r="B746" s="1000" t="s">
        <v>290</v>
      </c>
      <c r="C746" s="1000"/>
      <c r="D746" s="1001"/>
      <c r="E746" s="1001"/>
      <c r="F746" s="1001"/>
      <c r="G746" s="1000" t="s">
        <v>3235</v>
      </c>
      <c r="H746" s="999" t="e">
        <f>VLOOKUP(G746,'01. TH'!$B:$E,3,0)</f>
        <v>#N/A</v>
      </c>
      <c r="I746" s="1001" t="s">
        <v>3221</v>
      </c>
      <c r="J746" s="1001" t="s">
        <v>3236</v>
      </c>
      <c r="K746" s="1001"/>
      <c r="L746" s="1011"/>
      <c r="M746" s="1012" t="s">
        <v>3237</v>
      </c>
      <c r="N746" s="999" t="s">
        <v>976</v>
      </c>
      <c r="O746" s="1005" t="s">
        <v>2134</v>
      </c>
      <c r="P746" s="1001">
        <v>1997</v>
      </c>
      <c r="Q746" s="1001">
        <v>7810</v>
      </c>
      <c r="R746" s="1001" t="s">
        <v>3238</v>
      </c>
      <c r="S746" s="1005" t="s">
        <v>3239</v>
      </c>
      <c r="T746" s="1005" t="s">
        <v>3240</v>
      </c>
      <c r="U746" s="1005"/>
      <c r="V746" s="1006">
        <v>344</v>
      </c>
      <c r="W746" s="1006"/>
      <c r="X746" s="1006"/>
      <c r="Y746" s="1006"/>
    </row>
    <row r="747" ht="13.5" customHeight="1" spans="1:25">
      <c r="A747" s="999">
        <f>A518+1</f>
        <v>21</v>
      </c>
      <c r="B747" s="1013" t="s">
        <v>3241</v>
      </c>
      <c r="C747" s="1013" t="s">
        <v>3242</v>
      </c>
      <c r="D747" s="999"/>
      <c r="E747" s="1014"/>
      <c r="F747" s="1014"/>
      <c r="G747" s="1013" t="s">
        <v>154</v>
      </c>
      <c r="H747" s="999" t="str">
        <f>VLOOKUP(G747,'01. TH'!$B:$E,3,0)</f>
        <v/>
      </c>
      <c r="I747" s="1014"/>
      <c r="J747" s="1015">
        <v>45940</v>
      </c>
      <c r="K747" s="1014"/>
      <c r="L747" s="1014"/>
      <c r="M747" s="1016" t="s">
        <v>3243</v>
      </c>
      <c r="N747" s="1014" t="s">
        <v>2517</v>
      </c>
      <c r="O747" s="1017"/>
      <c r="P747" s="1014"/>
      <c r="Q747" s="1014" t="s">
        <v>2518</v>
      </c>
      <c r="R747" s="1014" t="s">
        <v>141</v>
      </c>
      <c r="S747" s="1017" t="s">
        <v>3244</v>
      </c>
      <c r="T747" s="1017" t="s">
        <v>3245</v>
      </c>
      <c r="U747" s="1017">
        <v>0.49</v>
      </c>
      <c r="V747" s="1006">
        <v>300</v>
      </c>
      <c r="W747" s="1006"/>
      <c r="X747" s="1006"/>
      <c r="Y747" s="1006"/>
    </row>
    <row r="748" ht="13.5" customHeight="1" spans="1:25">
      <c r="A748" s="999">
        <f>A747+1</f>
        <v>22</v>
      </c>
      <c r="B748" s="1013" t="s">
        <v>3246</v>
      </c>
      <c r="C748" s="1013" t="s">
        <v>3247</v>
      </c>
      <c r="D748" s="999"/>
      <c r="E748" s="1014"/>
      <c r="F748" s="1014"/>
      <c r="G748" s="1013" t="s">
        <v>154</v>
      </c>
      <c r="H748" s="999" t="str">
        <f>VLOOKUP(G748,'01. TH'!$B:$E,3,0)</f>
        <v/>
      </c>
      <c r="I748" s="1014"/>
      <c r="J748" s="1015">
        <v>45940</v>
      </c>
      <c r="K748" s="1014"/>
      <c r="L748" s="1014"/>
      <c r="M748" s="1016" t="s">
        <v>3243</v>
      </c>
      <c r="N748" s="1014" t="s">
        <v>2517</v>
      </c>
      <c r="O748" s="1017"/>
      <c r="P748" s="1014"/>
      <c r="Q748" s="1014" t="s">
        <v>2518</v>
      </c>
      <c r="R748" s="1014" t="s">
        <v>141</v>
      </c>
      <c r="S748" s="1017" t="s">
        <v>3248</v>
      </c>
      <c r="T748" s="1017" t="s">
        <v>3249</v>
      </c>
      <c r="U748" s="1017">
        <v>0.49</v>
      </c>
      <c r="V748" s="1006">
        <v>300</v>
      </c>
      <c r="W748" s="1006"/>
      <c r="X748" s="1006"/>
      <c r="Y748" s="1006"/>
    </row>
    <row r="749" ht="13.5" customHeight="1" outlineLevel="1" spans="1:25">
      <c r="A749" s="101">
        <f>A512+1</f>
        <v>15</v>
      </c>
      <c r="B749" s="102" t="s">
        <v>3250</v>
      </c>
      <c r="C749" s="102"/>
      <c r="D749" s="103" t="str">
        <f>IFERROR(VLOOKUP(B749,' 02.1 KLH-CN MÃ BRAVO MM'!$B:$C,2,0),"")</f>
        <v>A22-BUS-001</v>
      </c>
      <c r="E749" s="103"/>
      <c r="F749" s="103"/>
      <c r="G749" s="102" t="s">
        <v>269</v>
      </c>
      <c r="H749" s="101" t="str">
        <f>VLOOKUP(G749,'01. TH'!$B:$E,3,0)</f>
        <v/>
      </c>
      <c r="I749" s="101" t="s">
        <v>31</v>
      </c>
      <c r="J749" s="101" t="s">
        <v>2587</v>
      </c>
      <c r="K749" s="101" t="s">
        <v>1755</v>
      </c>
      <c r="L749" s="101"/>
      <c r="M749" s="182" t="s">
        <v>3251</v>
      </c>
      <c r="N749" s="101" t="s">
        <v>1019</v>
      </c>
      <c r="O749" s="110" t="s">
        <v>500</v>
      </c>
      <c r="P749" s="101">
        <v>2006</v>
      </c>
      <c r="Q749" s="101" t="s">
        <v>3252</v>
      </c>
      <c r="R749" s="101" t="s">
        <v>3253</v>
      </c>
      <c r="S749" s="110" t="s">
        <v>3254</v>
      </c>
      <c r="T749" s="111" t="s">
        <v>3255</v>
      </c>
      <c r="U749" s="169">
        <v>0</v>
      </c>
      <c r="V749" s="895">
        <v>0</v>
      </c>
      <c r="W749" s="895"/>
      <c r="X749" s="895"/>
      <c r="Y749" s="895"/>
    </row>
    <row r="750" ht="13.5" customHeight="1" outlineLevel="1" spans="1:25">
      <c r="A750" s="101">
        <f>A749+1</f>
        <v>16</v>
      </c>
      <c r="B750" s="102" t="s">
        <v>3256</v>
      </c>
      <c r="C750" s="102"/>
      <c r="D750" s="103" t="str">
        <f>IFERROR(VLOOKUP(B750,' 02.1 KLH-CN MÃ BRAVO MM'!$B:$C,2,0),"")</f>
        <v>A22-BUS-002</v>
      </c>
      <c r="E750" s="103"/>
      <c r="F750" s="103"/>
      <c r="G750" s="102" t="s">
        <v>269</v>
      </c>
      <c r="H750" s="101" t="str">
        <f>VLOOKUP(G750,'01. TH'!$B:$E,3,0)</f>
        <v/>
      </c>
      <c r="I750" s="101" t="s">
        <v>31</v>
      </c>
      <c r="J750" s="101" t="s">
        <v>2587</v>
      </c>
      <c r="K750" s="101" t="s">
        <v>1755</v>
      </c>
      <c r="L750" s="101"/>
      <c r="M750" s="182" t="s">
        <v>3251</v>
      </c>
      <c r="N750" s="101" t="s">
        <v>1019</v>
      </c>
      <c r="O750" s="110" t="s">
        <v>500</v>
      </c>
      <c r="P750" s="101">
        <v>2006</v>
      </c>
      <c r="Q750" s="101" t="s">
        <v>3252</v>
      </c>
      <c r="R750" s="101" t="s">
        <v>3253</v>
      </c>
      <c r="S750" s="110" t="s">
        <v>3257</v>
      </c>
      <c r="T750" s="111" t="s">
        <v>3258</v>
      </c>
      <c r="U750" s="169">
        <v>0</v>
      </c>
      <c r="V750" s="895">
        <v>0</v>
      </c>
      <c r="W750" s="895"/>
      <c r="X750" s="895"/>
      <c r="Y750" s="895"/>
    </row>
    <row r="751" ht="13.5" customHeight="1" spans="1:25">
      <c r="A751" s="102"/>
      <c r="B751" s="102"/>
      <c r="C751" s="102"/>
      <c r="D751" s="101"/>
      <c r="E751" s="101"/>
      <c r="F751" s="101"/>
      <c r="G751" s="102"/>
      <c r="H751" s="101"/>
      <c r="I751" s="101"/>
      <c r="J751" s="101"/>
      <c r="K751" s="101"/>
      <c r="L751" s="101"/>
      <c r="M751" s="182"/>
      <c r="N751" s="101"/>
      <c r="O751" s="110"/>
      <c r="P751" s="101"/>
      <c r="Q751" s="102"/>
      <c r="R751" s="102"/>
      <c r="S751" s="110"/>
      <c r="T751" s="110"/>
      <c r="U751" s="110"/>
      <c r="V751" s="110"/>
      <c r="W751" s="110"/>
      <c r="X751" s="110"/>
      <c r="Y751" s="110"/>
    </row>
    <row r="752" ht="13.5" customHeight="1" spans="1:25">
      <c r="A752" s="102"/>
      <c r="B752" s="102"/>
      <c r="C752" s="102"/>
      <c r="D752" s="101"/>
      <c r="E752" s="101"/>
      <c r="F752" s="101"/>
      <c r="G752" s="102"/>
      <c r="H752" s="101"/>
      <c r="I752" s="101"/>
      <c r="J752" s="101"/>
      <c r="K752" s="101"/>
      <c r="L752" s="101"/>
      <c r="M752" s="182"/>
      <c r="N752" s="101"/>
      <c r="O752" s="110"/>
      <c r="P752" s="101"/>
      <c r="Q752" s="102"/>
      <c r="R752" s="102"/>
      <c r="S752" s="110"/>
      <c r="T752" s="110"/>
      <c r="U752" s="110"/>
      <c r="V752" s="110"/>
      <c r="W752" s="110"/>
      <c r="X752" s="110"/>
      <c r="Y752" s="110"/>
    </row>
    <row r="753" ht="13.5" customHeight="1" spans="1:25">
      <c r="A753" s="102"/>
      <c r="B753" s="102"/>
      <c r="C753" s="102"/>
      <c r="D753" s="101"/>
      <c r="E753" s="101"/>
      <c r="F753" s="101"/>
      <c r="G753" s="102"/>
      <c r="H753" s="101"/>
      <c r="I753" s="101"/>
      <c r="J753" s="101"/>
      <c r="K753" s="101"/>
      <c r="L753" s="101"/>
      <c r="M753" s="182"/>
      <c r="N753" s="101"/>
      <c r="O753" s="110"/>
      <c r="P753" s="101"/>
      <c r="Q753" s="102"/>
      <c r="R753" s="102"/>
      <c r="S753" s="110"/>
      <c r="T753" s="110"/>
      <c r="U753" s="110"/>
      <c r="V753" s="110"/>
      <c r="W753" s="110"/>
      <c r="X753" s="110"/>
      <c r="Y753" s="110"/>
    </row>
    <row r="754" ht="13.5" customHeight="1" spans="1:25">
      <c r="A754" s="102"/>
      <c r="B754" s="102"/>
      <c r="C754" s="102"/>
      <c r="D754" s="101"/>
      <c r="E754" s="101"/>
      <c r="F754" s="101"/>
      <c r="G754" s="102"/>
      <c r="H754" s="101"/>
      <c r="I754" s="101"/>
      <c r="J754" s="101"/>
      <c r="K754" s="101"/>
      <c r="L754" s="101"/>
      <c r="M754" s="182"/>
      <c r="N754" s="101"/>
      <c r="O754" s="110"/>
      <c r="P754" s="101"/>
      <c r="Q754" s="102"/>
      <c r="R754" s="102"/>
      <c r="S754" s="110"/>
      <c r="T754" s="110"/>
      <c r="U754" s="110"/>
      <c r="V754" s="110"/>
      <c r="W754" s="110"/>
      <c r="X754" s="110"/>
      <c r="Y754" s="110"/>
    </row>
    <row r="755" ht="13.5" customHeight="1" spans="1:25">
      <c r="A755" s="102"/>
      <c r="B755" s="102"/>
      <c r="C755" s="102"/>
      <c r="D755" s="101"/>
      <c r="E755" s="101"/>
      <c r="F755" s="101"/>
      <c r="G755" s="102"/>
      <c r="H755" s="101"/>
      <c r="I755" s="101"/>
      <c r="J755" s="101"/>
      <c r="K755" s="101"/>
      <c r="L755" s="101"/>
      <c r="M755" s="182"/>
      <c r="N755" s="101"/>
      <c r="O755" s="110"/>
      <c r="P755" s="101"/>
      <c r="Q755" s="102"/>
      <c r="R755" s="102"/>
      <c r="S755" s="110"/>
      <c r="T755" s="110"/>
      <c r="U755" s="110"/>
      <c r="V755" s="110"/>
      <c r="W755" s="110"/>
      <c r="X755" s="110"/>
      <c r="Y755" s="110"/>
    </row>
    <row r="756" ht="13.5" customHeight="1" spans="1:25">
      <c r="A756" s="102"/>
      <c r="B756" s="102"/>
      <c r="C756" s="102"/>
      <c r="D756" s="101"/>
      <c r="E756" s="101"/>
      <c r="F756" s="101"/>
      <c r="G756" s="102"/>
      <c r="H756" s="101"/>
      <c r="I756" s="101"/>
      <c r="J756" s="101"/>
      <c r="K756" s="101"/>
      <c r="L756" s="101"/>
      <c r="M756" s="182"/>
      <c r="N756" s="101"/>
      <c r="O756" s="110"/>
      <c r="P756" s="101"/>
      <c r="Q756" s="102"/>
      <c r="R756" s="102"/>
      <c r="S756" s="110"/>
      <c r="T756" s="110"/>
      <c r="U756" s="110"/>
      <c r="V756" s="110"/>
      <c r="W756" s="110"/>
      <c r="X756" s="110"/>
      <c r="Y756" s="110"/>
    </row>
    <row r="757" ht="13.5" customHeight="1" spans="1:25">
      <c r="A757" s="102"/>
      <c r="B757" s="102"/>
      <c r="C757" s="102"/>
      <c r="D757" s="101"/>
      <c r="E757" s="101"/>
      <c r="F757" s="101"/>
      <c r="G757" s="102"/>
      <c r="H757" s="101"/>
      <c r="I757" s="101"/>
      <c r="J757" s="101"/>
      <c r="K757" s="101"/>
      <c r="L757" s="101"/>
      <c r="M757" s="182"/>
      <c r="N757" s="101"/>
      <c r="O757" s="110"/>
      <c r="P757" s="101"/>
      <c r="Q757" s="102"/>
      <c r="R757" s="102"/>
      <c r="S757" s="110"/>
      <c r="T757" s="110"/>
      <c r="U757" s="110"/>
      <c r="V757" s="110"/>
      <c r="W757" s="110"/>
      <c r="X757" s="110"/>
      <c r="Y757" s="110"/>
    </row>
    <row r="758" ht="13.5" customHeight="1" spans="1:25">
      <c r="A758" s="102"/>
      <c r="B758" s="102"/>
      <c r="C758" s="102"/>
      <c r="D758" s="101"/>
      <c r="E758" s="101"/>
      <c r="F758" s="101"/>
      <c r="G758" s="102"/>
      <c r="H758" s="101"/>
      <c r="I758" s="101"/>
      <c r="J758" s="101"/>
      <c r="K758" s="101"/>
      <c r="L758" s="101"/>
      <c r="M758" s="182"/>
      <c r="N758" s="101"/>
      <c r="O758" s="110"/>
      <c r="P758" s="101"/>
      <c r="Q758" s="102"/>
      <c r="R758" s="102"/>
      <c r="S758" s="110"/>
      <c r="T758" s="110"/>
      <c r="U758" s="110"/>
      <c r="V758" s="110"/>
      <c r="W758" s="110"/>
      <c r="X758" s="110"/>
      <c r="Y758" s="110"/>
    </row>
    <row r="759" ht="13.5" customHeight="1" spans="1:25">
      <c r="A759" s="102"/>
      <c r="B759" s="102"/>
      <c r="C759" s="102"/>
      <c r="D759" s="101"/>
      <c r="E759" s="101"/>
      <c r="F759" s="101"/>
      <c r="G759" s="102"/>
      <c r="H759" s="101"/>
      <c r="I759" s="101"/>
      <c r="J759" s="101"/>
      <c r="K759" s="101"/>
      <c r="L759" s="101"/>
      <c r="M759" s="182"/>
      <c r="N759" s="101"/>
      <c r="O759" s="110"/>
      <c r="P759" s="101"/>
      <c r="Q759" s="102"/>
      <c r="R759" s="102"/>
      <c r="S759" s="110"/>
      <c r="T759" s="110"/>
      <c r="U759" s="110"/>
      <c r="V759" s="110"/>
      <c r="W759" s="110"/>
      <c r="X759" s="110"/>
      <c r="Y759" s="110"/>
    </row>
    <row r="760" ht="13.5" customHeight="1" spans="1:25">
      <c r="A760" s="102"/>
      <c r="B760" s="102"/>
      <c r="C760" s="102"/>
      <c r="D760" s="101"/>
      <c r="E760" s="101"/>
      <c r="F760" s="101"/>
      <c r="G760" s="102"/>
      <c r="H760" s="101"/>
      <c r="I760" s="101"/>
      <c r="J760" s="101"/>
      <c r="K760" s="101"/>
      <c r="L760" s="101"/>
      <c r="M760" s="182"/>
      <c r="N760" s="101"/>
      <c r="O760" s="110"/>
      <c r="P760" s="101"/>
      <c r="Q760" s="102"/>
      <c r="R760" s="102"/>
      <c r="S760" s="110"/>
      <c r="T760" s="110"/>
      <c r="U760" s="110"/>
      <c r="V760" s="110"/>
      <c r="W760" s="110"/>
      <c r="X760" s="110"/>
      <c r="Y760" s="110"/>
    </row>
    <row r="761" ht="13.5" customHeight="1" spans="1:25">
      <c r="A761" s="102"/>
      <c r="B761" s="102"/>
      <c r="C761" s="102"/>
      <c r="D761" s="101"/>
      <c r="E761" s="101"/>
      <c r="F761" s="101"/>
      <c r="G761" s="102"/>
      <c r="H761" s="101"/>
      <c r="I761" s="101"/>
      <c r="J761" s="101"/>
      <c r="K761" s="101"/>
      <c r="L761" s="101"/>
      <c r="M761" s="182"/>
      <c r="N761" s="101"/>
      <c r="O761" s="110"/>
      <c r="P761" s="101"/>
      <c r="Q761" s="102"/>
      <c r="R761" s="102"/>
      <c r="S761" s="110"/>
      <c r="T761" s="110"/>
      <c r="U761" s="110"/>
      <c r="V761" s="110"/>
      <c r="W761" s="110"/>
      <c r="X761" s="110"/>
      <c r="Y761" s="110"/>
    </row>
    <row r="762" ht="13.5" customHeight="1" spans="1:25">
      <c r="A762" s="102"/>
      <c r="B762" s="102"/>
      <c r="C762" s="102"/>
      <c r="D762" s="101"/>
      <c r="E762" s="101"/>
      <c r="F762" s="101"/>
      <c r="G762" s="102"/>
      <c r="H762" s="101"/>
      <c r="I762" s="101"/>
      <c r="J762" s="101"/>
      <c r="K762" s="101"/>
      <c r="L762" s="101"/>
      <c r="M762" s="182"/>
      <c r="N762" s="101"/>
      <c r="O762" s="110"/>
      <c r="P762" s="101"/>
      <c r="Q762" s="102"/>
      <c r="R762" s="102"/>
      <c r="S762" s="110"/>
      <c r="T762" s="110"/>
      <c r="U762" s="110"/>
      <c r="V762" s="110"/>
      <c r="W762" s="110"/>
      <c r="X762" s="110"/>
      <c r="Y762" s="110"/>
    </row>
    <row r="763" ht="13.5" customHeight="1" spans="1:25">
      <c r="A763" s="102"/>
      <c r="B763" s="102"/>
      <c r="C763" s="102"/>
      <c r="D763" s="101"/>
      <c r="E763" s="101"/>
      <c r="F763" s="101"/>
      <c r="G763" s="102"/>
      <c r="H763" s="101"/>
      <c r="I763" s="101"/>
      <c r="J763" s="101"/>
      <c r="K763" s="101"/>
      <c r="L763" s="101"/>
      <c r="M763" s="182"/>
      <c r="N763" s="101"/>
      <c r="O763" s="110"/>
      <c r="P763" s="101"/>
      <c r="Q763" s="102"/>
      <c r="R763" s="102"/>
      <c r="S763" s="110"/>
      <c r="T763" s="110"/>
      <c r="U763" s="110"/>
      <c r="V763" s="110"/>
      <c r="W763" s="110"/>
      <c r="X763" s="110"/>
      <c r="Y763" s="110"/>
    </row>
    <row r="764" ht="13.5" customHeight="1" spans="1:25">
      <c r="A764" s="102"/>
      <c r="B764" s="102"/>
      <c r="C764" s="102"/>
      <c r="D764" s="101"/>
      <c r="E764" s="101"/>
      <c r="F764" s="101"/>
      <c r="G764" s="102"/>
      <c r="H764" s="101"/>
      <c r="I764" s="101"/>
      <c r="J764" s="101"/>
      <c r="K764" s="101"/>
      <c r="L764" s="101"/>
      <c r="M764" s="182"/>
      <c r="N764" s="101"/>
      <c r="O764" s="110"/>
      <c r="P764" s="101"/>
      <c r="Q764" s="102"/>
      <c r="R764" s="102"/>
      <c r="S764" s="110"/>
      <c r="T764" s="110"/>
      <c r="U764" s="110"/>
      <c r="V764" s="110"/>
      <c r="W764" s="110"/>
      <c r="X764" s="110"/>
      <c r="Y764" s="110"/>
    </row>
    <row r="765" ht="13.5" customHeight="1" spans="1:25">
      <c r="A765" s="102"/>
      <c r="B765" s="102"/>
      <c r="C765" s="102"/>
      <c r="D765" s="101"/>
      <c r="E765" s="101"/>
      <c r="F765" s="101"/>
      <c r="G765" s="102"/>
      <c r="H765" s="101"/>
      <c r="I765" s="101"/>
      <c r="J765" s="101"/>
      <c r="K765" s="101"/>
      <c r="L765" s="101"/>
      <c r="M765" s="182"/>
      <c r="N765" s="101"/>
      <c r="O765" s="110"/>
      <c r="P765" s="101"/>
      <c r="Q765" s="102"/>
      <c r="R765" s="102"/>
      <c r="S765" s="110"/>
      <c r="T765" s="110"/>
      <c r="U765" s="110"/>
      <c r="V765" s="110"/>
      <c r="W765" s="110"/>
      <c r="X765" s="110"/>
      <c r="Y765" s="110"/>
    </row>
    <row r="766" ht="13.5" customHeight="1" spans="1:25">
      <c r="A766" s="102"/>
      <c r="B766" s="102"/>
      <c r="C766" s="102"/>
      <c r="D766" s="101"/>
      <c r="E766" s="101"/>
      <c r="F766" s="101"/>
      <c r="G766" s="102"/>
      <c r="H766" s="101"/>
      <c r="I766" s="101"/>
      <c r="J766" s="101"/>
      <c r="K766" s="101"/>
      <c r="L766" s="101"/>
      <c r="M766" s="182"/>
      <c r="N766" s="101"/>
      <c r="O766" s="110"/>
      <c r="P766" s="101"/>
      <c r="Q766" s="102"/>
      <c r="R766" s="102"/>
      <c r="S766" s="110"/>
      <c r="T766" s="110"/>
      <c r="U766" s="110"/>
      <c r="V766" s="110"/>
      <c r="W766" s="110"/>
      <c r="X766" s="110"/>
      <c r="Y766" s="110"/>
    </row>
    <row r="767" ht="13.5" customHeight="1" spans="1:25">
      <c r="A767" s="102"/>
      <c r="B767" s="102"/>
      <c r="C767" s="102"/>
      <c r="D767" s="101"/>
      <c r="E767" s="101"/>
      <c r="F767" s="101"/>
      <c r="G767" s="102"/>
      <c r="H767" s="101"/>
      <c r="I767" s="101"/>
      <c r="J767" s="101"/>
      <c r="K767" s="101"/>
      <c r="L767" s="101"/>
      <c r="M767" s="182"/>
      <c r="N767" s="101"/>
      <c r="O767" s="110"/>
      <c r="P767" s="101"/>
      <c r="Q767" s="102"/>
      <c r="R767" s="102"/>
      <c r="S767" s="110"/>
      <c r="T767" s="110"/>
      <c r="U767" s="110"/>
      <c r="V767" s="110"/>
      <c r="W767" s="110"/>
      <c r="X767" s="110"/>
      <c r="Y767" s="110"/>
    </row>
    <row r="768" ht="13.5" customHeight="1" spans="1:25">
      <c r="A768" s="102"/>
      <c r="B768" s="102"/>
      <c r="C768" s="102"/>
      <c r="D768" s="101"/>
      <c r="E768" s="101"/>
      <c r="F768" s="101"/>
      <c r="G768" s="102"/>
      <c r="H768" s="101"/>
      <c r="I768" s="101"/>
      <c r="J768" s="101"/>
      <c r="K768" s="101"/>
      <c r="L768" s="101"/>
      <c r="M768" s="182"/>
      <c r="N768" s="101"/>
      <c r="O768" s="110"/>
      <c r="P768" s="101"/>
      <c r="Q768" s="102"/>
      <c r="R768" s="102"/>
      <c r="S768" s="110"/>
      <c r="T768" s="110"/>
      <c r="U768" s="110"/>
      <c r="V768" s="110"/>
      <c r="W768" s="110"/>
      <c r="X768" s="110"/>
      <c r="Y768" s="110"/>
    </row>
    <row r="769" ht="13.5" customHeight="1" spans="1:25">
      <c r="A769" s="102"/>
      <c r="B769" s="102"/>
      <c r="C769" s="102"/>
      <c r="D769" s="101"/>
      <c r="E769" s="101"/>
      <c r="F769" s="101"/>
      <c r="G769" s="102"/>
      <c r="H769" s="101"/>
      <c r="I769" s="101"/>
      <c r="J769" s="101"/>
      <c r="K769" s="101"/>
      <c r="L769" s="101"/>
      <c r="M769" s="182"/>
      <c r="N769" s="101"/>
      <c r="O769" s="110"/>
      <c r="P769" s="101"/>
      <c r="Q769" s="102"/>
      <c r="R769" s="102"/>
      <c r="S769" s="110"/>
      <c r="T769" s="110"/>
      <c r="U769" s="110"/>
      <c r="V769" s="110"/>
      <c r="W769" s="110"/>
      <c r="X769" s="110"/>
      <c r="Y769" s="110"/>
    </row>
    <row r="770" ht="13.5" customHeight="1" spans="1:25">
      <c r="A770" s="102"/>
      <c r="B770" s="102"/>
      <c r="C770" s="102"/>
      <c r="D770" s="101"/>
      <c r="E770" s="101"/>
      <c r="F770" s="101"/>
      <c r="G770" s="102"/>
      <c r="H770" s="101"/>
      <c r="I770" s="101"/>
      <c r="J770" s="101"/>
      <c r="K770" s="101"/>
      <c r="L770" s="101"/>
      <c r="M770" s="182"/>
      <c r="N770" s="101"/>
      <c r="O770" s="110"/>
      <c r="P770" s="101"/>
      <c r="Q770" s="102"/>
      <c r="R770" s="102"/>
      <c r="S770" s="110"/>
      <c r="T770" s="110"/>
      <c r="U770" s="110"/>
      <c r="V770" s="110"/>
      <c r="W770" s="110"/>
      <c r="X770" s="110"/>
      <c r="Y770" s="110"/>
    </row>
    <row r="771" ht="13.5" customHeight="1" spans="1:25">
      <c r="A771" s="102"/>
      <c r="B771" s="102"/>
      <c r="C771" s="102"/>
      <c r="D771" s="101"/>
      <c r="E771" s="101"/>
      <c r="F771" s="101"/>
      <c r="G771" s="102"/>
      <c r="H771" s="101"/>
      <c r="I771" s="101"/>
      <c r="J771" s="101"/>
      <c r="K771" s="101"/>
      <c r="L771" s="101"/>
      <c r="M771" s="182"/>
      <c r="N771" s="101"/>
      <c r="O771" s="110"/>
      <c r="P771" s="101"/>
      <c r="Q771" s="102"/>
      <c r="R771" s="102"/>
      <c r="S771" s="110"/>
      <c r="T771" s="110"/>
      <c r="U771" s="110"/>
      <c r="V771" s="110"/>
      <c r="W771" s="110"/>
      <c r="X771" s="110"/>
      <c r="Y771" s="110"/>
    </row>
    <row r="772" ht="13.5" customHeight="1" spans="1:25">
      <c r="A772" s="102"/>
      <c r="B772" s="102"/>
      <c r="C772" s="102"/>
      <c r="D772" s="101"/>
      <c r="E772" s="101"/>
      <c r="F772" s="101"/>
      <c r="G772" s="102"/>
      <c r="H772" s="101"/>
      <c r="I772" s="101"/>
      <c r="J772" s="101"/>
      <c r="K772" s="101"/>
      <c r="L772" s="101"/>
      <c r="M772" s="182"/>
      <c r="N772" s="101"/>
      <c r="O772" s="110"/>
      <c r="P772" s="101"/>
      <c r="Q772" s="102"/>
      <c r="R772" s="102"/>
      <c r="S772" s="110"/>
      <c r="T772" s="110"/>
      <c r="U772" s="110"/>
      <c r="V772" s="110"/>
      <c r="W772" s="110"/>
      <c r="X772" s="110"/>
      <c r="Y772" s="110"/>
    </row>
    <row r="773" ht="13.5" customHeight="1" spans="1:25">
      <c r="A773" s="102"/>
      <c r="B773" s="102"/>
      <c r="C773" s="102"/>
      <c r="D773" s="101"/>
      <c r="E773" s="101"/>
      <c r="F773" s="101"/>
      <c r="G773" s="102"/>
      <c r="H773" s="101"/>
      <c r="I773" s="101"/>
      <c r="J773" s="101"/>
      <c r="K773" s="101"/>
      <c r="L773" s="101"/>
      <c r="M773" s="182"/>
      <c r="N773" s="101"/>
      <c r="O773" s="110"/>
      <c r="P773" s="101"/>
      <c r="Q773" s="102"/>
      <c r="R773" s="102"/>
      <c r="S773" s="110"/>
      <c r="T773" s="110"/>
      <c r="U773" s="110"/>
      <c r="V773" s="110"/>
      <c r="W773" s="110"/>
      <c r="X773" s="110"/>
      <c r="Y773" s="110"/>
    </row>
    <row r="774" ht="13.5" customHeight="1" spans="1:25">
      <c r="A774" s="102"/>
      <c r="B774" s="102"/>
      <c r="C774" s="102"/>
      <c r="D774" s="101"/>
      <c r="E774" s="101"/>
      <c r="F774" s="101"/>
      <c r="G774" s="102"/>
      <c r="H774" s="101"/>
      <c r="I774" s="101"/>
      <c r="J774" s="101"/>
      <c r="K774" s="101"/>
      <c r="L774" s="101"/>
      <c r="M774" s="182"/>
      <c r="N774" s="101"/>
      <c r="O774" s="110"/>
      <c r="P774" s="101"/>
      <c r="Q774" s="102"/>
      <c r="R774" s="102"/>
      <c r="S774" s="110"/>
      <c r="T774" s="110"/>
      <c r="U774" s="110"/>
      <c r="V774" s="110"/>
      <c r="W774" s="110"/>
      <c r="X774" s="110"/>
      <c r="Y774" s="110"/>
    </row>
    <row r="775" ht="13.5" customHeight="1" spans="1:25">
      <c r="A775" s="102"/>
      <c r="B775" s="102"/>
      <c r="C775" s="102"/>
      <c r="D775" s="101"/>
      <c r="E775" s="101"/>
      <c r="F775" s="101"/>
      <c r="G775" s="102"/>
      <c r="H775" s="101"/>
      <c r="I775" s="101"/>
      <c r="J775" s="101"/>
      <c r="K775" s="101"/>
      <c r="L775" s="101"/>
      <c r="M775" s="182"/>
      <c r="N775" s="101"/>
      <c r="O775" s="110"/>
      <c r="P775" s="101"/>
      <c r="Q775" s="102"/>
      <c r="R775" s="102"/>
      <c r="S775" s="110"/>
      <c r="T775" s="110"/>
      <c r="U775" s="110"/>
      <c r="V775" s="110"/>
      <c r="W775" s="110"/>
      <c r="X775" s="110"/>
      <c r="Y775" s="110"/>
    </row>
    <row r="776" ht="13.5" customHeight="1" spans="1:25">
      <c r="A776" s="102"/>
      <c r="B776" s="102"/>
      <c r="C776" s="102"/>
      <c r="D776" s="101"/>
      <c r="E776" s="101"/>
      <c r="F776" s="101"/>
      <c r="G776" s="102"/>
      <c r="H776" s="101"/>
      <c r="I776" s="101"/>
      <c r="J776" s="101"/>
      <c r="K776" s="101"/>
      <c r="L776" s="101"/>
      <c r="M776" s="182"/>
      <c r="N776" s="101"/>
      <c r="O776" s="110"/>
      <c r="P776" s="101"/>
      <c r="Q776" s="102"/>
      <c r="R776" s="102"/>
      <c r="S776" s="110"/>
      <c r="T776" s="110"/>
      <c r="U776" s="110"/>
      <c r="V776" s="110"/>
      <c r="W776" s="110"/>
      <c r="X776" s="110"/>
      <c r="Y776" s="110"/>
    </row>
    <row r="777" ht="13.5" customHeight="1" spans="1:25">
      <c r="A777" s="102"/>
      <c r="B777" s="102"/>
      <c r="C777" s="102"/>
      <c r="D777" s="101"/>
      <c r="E777" s="101"/>
      <c r="F777" s="101"/>
      <c r="G777" s="102"/>
      <c r="H777" s="101"/>
      <c r="I777" s="101"/>
      <c r="J777" s="101"/>
      <c r="K777" s="101"/>
      <c r="L777" s="101"/>
      <c r="M777" s="182"/>
      <c r="N777" s="101"/>
      <c r="O777" s="110"/>
      <c r="P777" s="101"/>
      <c r="Q777" s="102"/>
      <c r="R777" s="102"/>
      <c r="S777" s="110"/>
      <c r="T777" s="110"/>
      <c r="U777" s="110"/>
      <c r="V777" s="110"/>
      <c r="W777" s="110"/>
      <c r="X777" s="110"/>
      <c r="Y777" s="110"/>
    </row>
    <row r="778" ht="13.5" customHeight="1" spans="1:25">
      <c r="A778" s="102"/>
      <c r="B778" s="102"/>
      <c r="C778" s="102"/>
      <c r="D778" s="101"/>
      <c r="E778" s="101"/>
      <c r="F778" s="101"/>
      <c r="G778" s="102"/>
      <c r="H778" s="101"/>
      <c r="I778" s="101"/>
      <c r="J778" s="101"/>
      <c r="K778" s="101"/>
      <c r="L778" s="101"/>
      <c r="M778" s="182"/>
      <c r="N778" s="101"/>
      <c r="O778" s="110"/>
      <c r="P778" s="101"/>
      <c r="Q778" s="102"/>
      <c r="R778" s="102"/>
      <c r="S778" s="110"/>
      <c r="T778" s="110"/>
      <c r="U778" s="110"/>
      <c r="V778" s="110"/>
      <c r="W778" s="110"/>
      <c r="X778" s="110"/>
      <c r="Y778" s="110"/>
    </row>
    <row r="779" ht="13.5" customHeight="1" spans="1:25">
      <c r="A779" s="102"/>
      <c r="B779" s="102"/>
      <c r="C779" s="102"/>
      <c r="D779" s="101"/>
      <c r="E779" s="101"/>
      <c r="F779" s="101"/>
      <c r="G779" s="102"/>
      <c r="H779" s="101"/>
      <c r="I779" s="101"/>
      <c r="J779" s="101"/>
      <c r="K779" s="101"/>
      <c r="L779" s="101"/>
      <c r="M779" s="182"/>
      <c r="N779" s="101"/>
      <c r="O779" s="110"/>
      <c r="P779" s="101"/>
      <c r="Q779" s="102"/>
      <c r="R779" s="102"/>
      <c r="S779" s="110"/>
      <c r="T779" s="110"/>
      <c r="U779" s="110"/>
      <c r="V779" s="110"/>
      <c r="W779" s="110"/>
      <c r="X779" s="110"/>
      <c r="Y779" s="110"/>
    </row>
    <row r="780" ht="13.5" customHeight="1" spans="1:25">
      <c r="A780" s="102"/>
      <c r="B780" s="102"/>
      <c r="C780" s="102"/>
      <c r="D780" s="101"/>
      <c r="E780" s="101"/>
      <c r="F780" s="101"/>
      <c r="G780" s="102"/>
      <c r="H780" s="101"/>
      <c r="I780" s="101"/>
      <c r="J780" s="101"/>
      <c r="K780" s="101"/>
      <c r="L780" s="101"/>
      <c r="M780" s="182"/>
      <c r="N780" s="101"/>
      <c r="O780" s="110"/>
      <c r="P780" s="101"/>
      <c r="Q780" s="102"/>
      <c r="R780" s="102"/>
      <c r="S780" s="110"/>
      <c r="T780" s="110"/>
      <c r="U780" s="110"/>
      <c r="V780" s="110"/>
      <c r="W780" s="110"/>
      <c r="X780" s="110"/>
      <c r="Y780" s="110"/>
    </row>
    <row r="781" ht="13.5" customHeight="1" spans="1:25">
      <c r="A781" s="102"/>
      <c r="B781" s="102"/>
      <c r="C781" s="102"/>
      <c r="D781" s="101"/>
      <c r="E781" s="101"/>
      <c r="F781" s="101"/>
      <c r="G781" s="102"/>
      <c r="H781" s="101"/>
      <c r="I781" s="101"/>
      <c r="J781" s="101"/>
      <c r="K781" s="101"/>
      <c r="L781" s="101"/>
      <c r="M781" s="182"/>
      <c r="N781" s="101"/>
      <c r="O781" s="110"/>
      <c r="P781" s="101"/>
      <c r="Q781" s="102"/>
      <c r="R781" s="102"/>
      <c r="S781" s="110"/>
      <c r="T781" s="110"/>
      <c r="U781" s="110"/>
      <c r="V781" s="110"/>
      <c r="W781" s="110"/>
      <c r="X781" s="110"/>
      <c r="Y781" s="110"/>
    </row>
    <row r="782" ht="13.5" customHeight="1" spans="1:25">
      <c r="A782" s="102"/>
      <c r="B782" s="102"/>
      <c r="C782" s="102"/>
      <c r="D782" s="101"/>
      <c r="E782" s="101"/>
      <c r="F782" s="101"/>
      <c r="G782" s="102"/>
      <c r="H782" s="101"/>
      <c r="I782" s="101"/>
      <c r="J782" s="101"/>
      <c r="K782" s="101"/>
      <c r="L782" s="101"/>
      <c r="M782" s="182"/>
      <c r="N782" s="101"/>
      <c r="O782" s="110"/>
      <c r="P782" s="101"/>
      <c r="Q782" s="102"/>
      <c r="R782" s="102"/>
      <c r="S782" s="110"/>
      <c r="T782" s="110"/>
      <c r="U782" s="110"/>
      <c r="V782" s="110"/>
      <c r="W782" s="110"/>
      <c r="X782" s="110"/>
      <c r="Y782" s="110"/>
    </row>
    <row r="783" ht="13.5" customHeight="1" spans="1:25">
      <c r="A783" s="102"/>
      <c r="B783" s="102"/>
      <c r="C783" s="102"/>
      <c r="D783" s="101"/>
      <c r="E783" s="101"/>
      <c r="F783" s="101"/>
      <c r="G783" s="102"/>
      <c r="H783" s="101"/>
      <c r="I783" s="101"/>
      <c r="J783" s="101"/>
      <c r="K783" s="101"/>
      <c r="L783" s="101"/>
      <c r="M783" s="182"/>
      <c r="N783" s="101"/>
      <c r="O783" s="110"/>
      <c r="P783" s="101"/>
      <c r="Q783" s="102"/>
      <c r="R783" s="102"/>
      <c r="S783" s="110"/>
      <c r="T783" s="110"/>
      <c r="U783" s="110"/>
      <c r="V783" s="110"/>
      <c r="W783" s="110"/>
      <c r="X783" s="110"/>
      <c r="Y783" s="110"/>
    </row>
    <row r="784" ht="13.5" customHeight="1" spans="1:25">
      <c r="A784" s="102"/>
      <c r="B784" s="102"/>
      <c r="C784" s="102"/>
      <c r="D784" s="101"/>
      <c r="E784" s="101"/>
      <c r="F784" s="101"/>
      <c r="G784" s="102"/>
      <c r="H784" s="101"/>
      <c r="I784" s="101"/>
      <c r="J784" s="101"/>
      <c r="K784" s="101"/>
      <c r="L784" s="101"/>
      <c r="M784" s="182"/>
      <c r="N784" s="101"/>
      <c r="O784" s="110"/>
      <c r="P784" s="101"/>
      <c r="Q784" s="102"/>
      <c r="R784" s="102"/>
      <c r="S784" s="110"/>
      <c r="T784" s="110"/>
      <c r="U784" s="110"/>
      <c r="V784" s="110"/>
      <c r="W784" s="110"/>
      <c r="X784" s="110"/>
      <c r="Y784" s="110"/>
    </row>
    <row r="785" ht="13.5" customHeight="1" spans="1:25">
      <c r="A785" s="102"/>
      <c r="B785" s="102"/>
      <c r="C785" s="102"/>
      <c r="D785" s="101"/>
      <c r="E785" s="101"/>
      <c r="F785" s="101"/>
      <c r="G785" s="102"/>
      <c r="H785" s="101"/>
      <c r="I785" s="101"/>
      <c r="J785" s="101"/>
      <c r="K785" s="101"/>
      <c r="L785" s="101"/>
      <c r="M785" s="182"/>
      <c r="N785" s="101"/>
      <c r="O785" s="110"/>
      <c r="P785" s="101"/>
      <c r="Q785" s="102"/>
      <c r="R785" s="102"/>
      <c r="S785" s="110"/>
      <c r="T785" s="110"/>
      <c r="U785" s="110"/>
      <c r="V785" s="110"/>
      <c r="W785" s="110"/>
      <c r="X785" s="110"/>
      <c r="Y785" s="110"/>
    </row>
    <row r="786" ht="13.5" customHeight="1" spans="1:25">
      <c r="A786" s="102"/>
      <c r="B786" s="102"/>
      <c r="C786" s="102"/>
      <c r="D786" s="101"/>
      <c r="E786" s="101"/>
      <c r="F786" s="101"/>
      <c r="G786" s="102"/>
      <c r="H786" s="101"/>
      <c r="I786" s="101"/>
      <c r="J786" s="101"/>
      <c r="K786" s="101"/>
      <c r="L786" s="101"/>
      <c r="M786" s="182"/>
      <c r="N786" s="101"/>
      <c r="O786" s="110"/>
      <c r="P786" s="101"/>
      <c r="Q786" s="102"/>
      <c r="R786" s="102"/>
      <c r="S786" s="110"/>
      <c r="T786" s="110"/>
      <c r="U786" s="110"/>
      <c r="V786" s="110"/>
      <c r="W786" s="110"/>
      <c r="X786" s="110"/>
      <c r="Y786" s="110"/>
    </row>
    <row r="787" ht="13.5" customHeight="1" spans="1:25">
      <c r="A787" s="102"/>
      <c r="B787" s="102"/>
      <c r="C787" s="102"/>
      <c r="D787" s="101"/>
      <c r="E787" s="101"/>
      <c r="F787" s="101"/>
      <c r="G787" s="102"/>
      <c r="H787" s="101"/>
      <c r="I787" s="101"/>
      <c r="J787" s="101"/>
      <c r="K787" s="101"/>
      <c r="L787" s="101"/>
      <c r="M787" s="182"/>
      <c r="N787" s="101"/>
      <c r="O787" s="110"/>
      <c r="P787" s="101"/>
      <c r="Q787" s="102"/>
      <c r="R787" s="102"/>
      <c r="S787" s="110"/>
      <c r="T787" s="110"/>
      <c r="U787" s="110"/>
      <c r="V787" s="110"/>
      <c r="W787" s="110"/>
      <c r="X787" s="110"/>
      <c r="Y787" s="110"/>
    </row>
    <row r="788" ht="13.5" customHeight="1" spans="1:25">
      <c r="A788" s="102"/>
      <c r="B788" s="102"/>
      <c r="C788" s="102"/>
      <c r="D788" s="101"/>
      <c r="E788" s="101"/>
      <c r="F788" s="101"/>
      <c r="G788" s="102"/>
      <c r="H788" s="101"/>
      <c r="I788" s="101"/>
      <c r="J788" s="101"/>
      <c r="K788" s="101"/>
      <c r="L788" s="101"/>
      <c r="M788" s="182"/>
      <c r="N788" s="101"/>
      <c r="O788" s="110"/>
      <c r="P788" s="101"/>
      <c r="Q788" s="102"/>
      <c r="R788" s="102"/>
      <c r="S788" s="110"/>
      <c r="T788" s="110"/>
      <c r="U788" s="110"/>
      <c r="V788" s="110"/>
      <c r="W788" s="110"/>
      <c r="X788" s="110"/>
      <c r="Y788" s="110"/>
    </row>
    <row r="789" ht="13.5" customHeight="1" spans="1:25">
      <c r="A789" s="102"/>
      <c r="B789" s="102"/>
      <c r="C789" s="102"/>
      <c r="D789" s="101"/>
      <c r="E789" s="101"/>
      <c r="F789" s="101"/>
      <c r="G789" s="102"/>
      <c r="H789" s="101"/>
      <c r="I789" s="101"/>
      <c r="J789" s="101"/>
      <c r="K789" s="101"/>
      <c r="L789" s="101"/>
      <c r="M789" s="182"/>
      <c r="N789" s="101"/>
      <c r="O789" s="110"/>
      <c r="P789" s="101"/>
      <c r="Q789" s="102"/>
      <c r="R789" s="102"/>
      <c r="S789" s="110"/>
      <c r="T789" s="110"/>
      <c r="U789" s="110"/>
      <c r="V789" s="110"/>
      <c r="W789" s="110"/>
      <c r="X789" s="110"/>
      <c r="Y789" s="110"/>
    </row>
    <row r="790" ht="13.5" customHeight="1" spans="1:25">
      <c r="A790" s="102"/>
      <c r="B790" s="102"/>
      <c r="C790" s="102"/>
      <c r="D790" s="101"/>
      <c r="E790" s="101"/>
      <c r="F790" s="101"/>
      <c r="G790" s="102"/>
      <c r="H790" s="101"/>
      <c r="I790" s="101"/>
      <c r="J790" s="101"/>
      <c r="K790" s="101"/>
      <c r="L790" s="101"/>
      <c r="M790" s="182"/>
      <c r="N790" s="101"/>
      <c r="O790" s="110"/>
      <c r="P790" s="101"/>
      <c r="Q790" s="102"/>
      <c r="R790" s="102"/>
      <c r="S790" s="110"/>
      <c r="T790" s="110"/>
      <c r="U790" s="110"/>
      <c r="V790" s="110"/>
      <c r="W790" s="110"/>
      <c r="X790" s="110"/>
      <c r="Y790" s="110"/>
    </row>
    <row r="791" ht="13.5" customHeight="1" spans="1:25">
      <c r="A791" s="102"/>
      <c r="B791" s="102"/>
      <c r="C791" s="102"/>
      <c r="D791" s="101"/>
      <c r="E791" s="101"/>
      <c r="F791" s="101"/>
      <c r="G791" s="102"/>
      <c r="H791" s="101"/>
      <c r="I791" s="101"/>
      <c r="J791" s="101"/>
      <c r="K791" s="101"/>
      <c r="L791" s="101"/>
      <c r="M791" s="182"/>
      <c r="N791" s="101"/>
      <c r="O791" s="110"/>
      <c r="P791" s="101"/>
      <c r="Q791" s="102"/>
      <c r="R791" s="102"/>
      <c r="S791" s="110"/>
      <c r="T791" s="110"/>
      <c r="U791" s="110"/>
      <c r="V791" s="110"/>
      <c r="W791" s="110"/>
      <c r="X791" s="110"/>
      <c r="Y791" s="110"/>
    </row>
    <row r="792" ht="13.5" customHeight="1" spans="1:25">
      <c r="A792" s="102"/>
      <c r="B792" s="102"/>
      <c r="C792" s="102"/>
      <c r="D792" s="101"/>
      <c r="E792" s="101"/>
      <c r="F792" s="101"/>
      <c r="G792" s="102"/>
      <c r="H792" s="101"/>
      <c r="I792" s="101"/>
      <c r="J792" s="101"/>
      <c r="K792" s="101"/>
      <c r="L792" s="101"/>
      <c r="M792" s="182"/>
      <c r="N792" s="101"/>
      <c r="O792" s="110"/>
      <c r="P792" s="101"/>
      <c r="Q792" s="102"/>
      <c r="R792" s="102"/>
      <c r="S792" s="110"/>
      <c r="T792" s="110"/>
      <c r="U792" s="110"/>
      <c r="V792" s="110"/>
      <c r="W792" s="110"/>
      <c r="X792" s="110"/>
      <c r="Y792" s="110"/>
    </row>
    <row r="793" ht="13.5" customHeight="1" spans="1:25">
      <c r="A793" s="102"/>
      <c r="B793" s="102"/>
      <c r="C793" s="102"/>
      <c r="D793" s="101"/>
      <c r="E793" s="101"/>
      <c r="F793" s="101"/>
      <c r="G793" s="102"/>
      <c r="H793" s="101"/>
      <c r="I793" s="101"/>
      <c r="J793" s="101"/>
      <c r="K793" s="101"/>
      <c r="L793" s="101"/>
      <c r="M793" s="182"/>
      <c r="N793" s="101"/>
      <c r="O793" s="110"/>
      <c r="P793" s="101"/>
      <c r="Q793" s="102"/>
      <c r="R793" s="102"/>
      <c r="S793" s="110"/>
      <c r="T793" s="110"/>
      <c r="U793" s="110"/>
      <c r="V793" s="110"/>
      <c r="W793" s="110"/>
      <c r="X793" s="110"/>
      <c r="Y793" s="110"/>
    </row>
    <row r="794" ht="13.5" customHeight="1" spans="1:25">
      <c r="A794" s="102"/>
      <c r="B794" s="102"/>
      <c r="C794" s="102"/>
      <c r="D794" s="101"/>
      <c r="E794" s="101"/>
      <c r="F794" s="101"/>
      <c r="G794" s="102"/>
      <c r="H794" s="101"/>
      <c r="I794" s="101"/>
      <c r="J794" s="101"/>
      <c r="K794" s="101"/>
      <c r="L794" s="101"/>
      <c r="M794" s="182"/>
      <c r="N794" s="101"/>
      <c r="O794" s="110"/>
      <c r="P794" s="101"/>
      <c r="Q794" s="102"/>
      <c r="R794" s="102"/>
      <c r="S794" s="110"/>
      <c r="T794" s="110"/>
      <c r="U794" s="110"/>
      <c r="V794" s="110"/>
      <c r="W794" s="110"/>
      <c r="X794" s="110"/>
      <c r="Y794" s="110"/>
    </row>
    <row r="795" ht="13.5" customHeight="1" spans="1:25">
      <c r="A795" s="102"/>
      <c r="B795" s="102"/>
      <c r="C795" s="102"/>
      <c r="D795" s="101"/>
      <c r="E795" s="101"/>
      <c r="F795" s="101"/>
      <c r="G795" s="102"/>
      <c r="H795" s="101"/>
      <c r="I795" s="101"/>
      <c r="J795" s="101"/>
      <c r="K795" s="101"/>
      <c r="L795" s="101"/>
      <c r="M795" s="182"/>
      <c r="N795" s="101"/>
      <c r="O795" s="110"/>
      <c r="P795" s="101"/>
      <c r="Q795" s="102"/>
      <c r="R795" s="102"/>
      <c r="S795" s="110"/>
      <c r="T795" s="110"/>
      <c r="U795" s="110"/>
      <c r="V795" s="110"/>
      <c r="W795" s="110"/>
      <c r="X795" s="110"/>
      <c r="Y795" s="110"/>
    </row>
    <row r="796" ht="13.5" customHeight="1" spans="1:25">
      <c r="A796" s="102"/>
      <c r="B796" s="102"/>
      <c r="C796" s="102"/>
      <c r="D796" s="101"/>
      <c r="E796" s="101"/>
      <c r="F796" s="101"/>
      <c r="G796" s="102"/>
      <c r="H796" s="101"/>
      <c r="I796" s="101"/>
      <c r="J796" s="101"/>
      <c r="K796" s="101"/>
      <c r="L796" s="101"/>
      <c r="M796" s="182"/>
      <c r="N796" s="101"/>
      <c r="O796" s="110"/>
      <c r="P796" s="101"/>
      <c r="Q796" s="102"/>
      <c r="R796" s="102"/>
      <c r="S796" s="110"/>
      <c r="T796" s="110"/>
      <c r="U796" s="110"/>
      <c r="V796" s="110"/>
      <c r="W796" s="110"/>
      <c r="X796" s="110"/>
      <c r="Y796" s="110"/>
    </row>
    <row r="797" ht="13.5" customHeight="1" spans="1:25">
      <c r="A797" s="102"/>
      <c r="B797" s="102"/>
      <c r="C797" s="102"/>
      <c r="D797" s="101"/>
      <c r="E797" s="101"/>
      <c r="F797" s="101"/>
      <c r="G797" s="102"/>
      <c r="H797" s="101"/>
      <c r="I797" s="101"/>
      <c r="J797" s="101"/>
      <c r="K797" s="101"/>
      <c r="L797" s="101"/>
      <c r="M797" s="182"/>
      <c r="N797" s="101"/>
      <c r="O797" s="110"/>
      <c r="P797" s="101"/>
      <c r="Q797" s="102"/>
      <c r="R797" s="102"/>
      <c r="S797" s="110"/>
      <c r="T797" s="110"/>
      <c r="U797" s="110"/>
      <c r="V797" s="110"/>
      <c r="W797" s="110"/>
      <c r="X797" s="110"/>
      <c r="Y797" s="110"/>
    </row>
    <row r="798" ht="13.5" customHeight="1" spans="1:25">
      <c r="A798" s="102"/>
      <c r="B798" s="102"/>
      <c r="C798" s="102"/>
      <c r="D798" s="101"/>
      <c r="E798" s="101"/>
      <c r="F798" s="101"/>
      <c r="G798" s="102"/>
      <c r="H798" s="101"/>
      <c r="I798" s="101"/>
      <c r="J798" s="101"/>
      <c r="K798" s="101"/>
      <c r="L798" s="101"/>
      <c r="M798" s="182"/>
      <c r="N798" s="101"/>
      <c r="O798" s="110"/>
      <c r="P798" s="101"/>
      <c r="Q798" s="102"/>
      <c r="R798" s="102"/>
      <c r="S798" s="110"/>
      <c r="T798" s="110"/>
      <c r="U798" s="110"/>
      <c r="V798" s="110"/>
      <c r="W798" s="110"/>
      <c r="X798" s="110"/>
      <c r="Y798" s="110"/>
    </row>
    <row r="799" ht="13.5" customHeight="1" spans="1:25">
      <c r="A799" s="102"/>
      <c r="B799" s="102"/>
      <c r="C799" s="102"/>
      <c r="D799" s="101"/>
      <c r="E799" s="101"/>
      <c r="F799" s="101"/>
      <c r="G799" s="102"/>
      <c r="H799" s="101"/>
      <c r="I799" s="101"/>
      <c r="J799" s="101"/>
      <c r="K799" s="101"/>
      <c r="L799" s="101"/>
      <c r="M799" s="182"/>
      <c r="N799" s="101"/>
      <c r="O799" s="110"/>
      <c r="P799" s="101"/>
      <c r="Q799" s="102"/>
      <c r="R799" s="102"/>
      <c r="S799" s="110"/>
      <c r="T799" s="110"/>
      <c r="U799" s="110"/>
      <c r="V799" s="110"/>
      <c r="W799" s="110"/>
      <c r="X799" s="110"/>
      <c r="Y799" s="110"/>
    </row>
    <row r="800" ht="13.5" customHeight="1" spans="1:25">
      <c r="A800" s="102"/>
      <c r="B800" s="102"/>
      <c r="C800" s="102"/>
      <c r="D800" s="101"/>
      <c r="E800" s="101"/>
      <c r="F800" s="101"/>
      <c r="G800" s="102"/>
      <c r="H800" s="101"/>
      <c r="I800" s="101"/>
      <c r="J800" s="101"/>
      <c r="K800" s="101"/>
      <c r="L800" s="101"/>
      <c r="M800" s="182"/>
      <c r="N800" s="101"/>
      <c r="O800" s="110"/>
      <c r="P800" s="101"/>
      <c r="Q800" s="102"/>
      <c r="R800" s="102"/>
      <c r="S800" s="110"/>
      <c r="T800" s="110"/>
      <c r="U800" s="110"/>
      <c r="V800" s="110"/>
      <c r="W800" s="110"/>
      <c r="X800" s="110"/>
      <c r="Y800" s="110"/>
    </row>
    <row r="801" ht="13.5" customHeight="1" spans="1:25">
      <c r="A801" s="102"/>
      <c r="B801" s="102"/>
      <c r="C801" s="102"/>
      <c r="D801" s="101"/>
      <c r="E801" s="101"/>
      <c r="F801" s="101"/>
      <c r="G801" s="102"/>
      <c r="H801" s="101"/>
      <c r="I801" s="101"/>
      <c r="J801" s="101"/>
      <c r="K801" s="101"/>
      <c r="L801" s="101"/>
      <c r="M801" s="182"/>
      <c r="N801" s="101"/>
      <c r="O801" s="110"/>
      <c r="P801" s="101"/>
      <c r="Q801" s="102"/>
      <c r="R801" s="102"/>
      <c r="S801" s="110"/>
      <c r="T801" s="110"/>
      <c r="U801" s="110"/>
      <c r="V801" s="110"/>
      <c r="W801" s="110"/>
      <c r="X801" s="110"/>
      <c r="Y801" s="110"/>
    </row>
    <row r="802" ht="13.5" customHeight="1" spans="1:25">
      <c r="A802" s="102"/>
      <c r="B802" s="102"/>
      <c r="C802" s="102"/>
      <c r="D802" s="101"/>
      <c r="E802" s="101"/>
      <c r="F802" s="101"/>
      <c r="G802" s="102"/>
      <c r="H802" s="101"/>
      <c r="I802" s="101"/>
      <c r="J802" s="101"/>
      <c r="K802" s="101"/>
      <c r="L802" s="101"/>
      <c r="M802" s="182"/>
      <c r="N802" s="101"/>
      <c r="O802" s="110"/>
      <c r="P802" s="101"/>
      <c r="Q802" s="102"/>
      <c r="R802" s="102"/>
      <c r="S802" s="110"/>
      <c r="T802" s="110"/>
      <c r="U802" s="110"/>
      <c r="V802" s="110"/>
      <c r="W802" s="110"/>
      <c r="X802" s="110"/>
      <c r="Y802" s="110"/>
    </row>
    <row r="803" ht="13.5" customHeight="1" spans="1:25">
      <c r="A803" s="102"/>
      <c r="B803" s="102"/>
      <c r="C803" s="102"/>
      <c r="D803" s="101"/>
      <c r="E803" s="101"/>
      <c r="F803" s="101"/>
      <c r="G803" s="102"/>
      <c r="H803" s="101"/>
      <c r="I803" s="101"/>
      <c r="J803" s="101"/>
      <c r="K803" s="101"/>
      <c r="L803" s="101"/>
      <c r="M803" s="182"/>
      <c r="N803" s="101"/>
      <c r="O803" s="110"/>
      <c r="P803" s="101"/>
      <c r="Q803" s="102"/>
      <c r="R803" s="102"/>
      <c r="S803" s="110"/>
      <c r="T803" s="110"/>
      <c r="U803" s="110"/>
      <c r="V803" s="110"/>
      <c r="W803" s="110"/>
      <c r="X803" s="110"/>
      <c r="Y803" s="110"/>
    </row>
    <row r="804" ht="13.5" customHeight="1" spans="1:25">
      <c r="A804" s="102"/>
      <c r="B804" s="102"/>
      <c r="C804" s="102"/>
      <c r="D804" s="101"/>
      <c r="E804" s="101"/>
      <c r="F804" s="101"/>
      <c r="G804" s="102"/>
      <c r="H804" s="101"/>
      <c r="I804" s="101"/>
      <c r="J804" s="101"/>
      <c r="K804" s="101"/>
      <c r="L804" s="101"/>
      <c r="M804" s="182"/>
      <c r="N804" s="101"/>
      <c r="O804" s="110"/>
      <c r="P804" s="101"/>
      <c r="Q804" s="102"/>
      <c r="R804" s="102"/>
      <c r="S804" s="110"/>
      <c r="T804" s="110"/>
      <c r="U804" s="110"/>
      <c r="V804" s="110"/>
      <c r="W804" s="110"/>
      <c r="X804" s="110"/>
      <c r="Y804" s="110"/>
    </row>
    <row r="805" ht="13.5" customHeight="1" spans="1:25">
      <c r="A805" s="102"/>
      <c r="B805" s="102"/>
      <c r="C805" s="102"/>
      <c r="D805" s="101"/>
      <c r="E805" s="101"/>
      <c r="F805" s="101"/>
      <c r="G805" s="102"/>
      <c r="H805" s="101"/>
      <c r="I805" s="101"/>
      <c r="J805" s="101"/>
      <c r="K805" s="101"/>
      <c r="L805" s="101"/>
      <c r="M805" s="182"/>
      <c r="N805" s="101"/>
      <c r="O805" s="110"/>
      <c r="P805" s="101"/>
      <c r="Q805" s="102"/>
      <c r="R805" s="102"/>
      <c r="S805" s="110"/>
      <c r="T805" s="110"/>
      <c r="U805" s="110"/>
      <c r="V805" s="110"/>
      <c r="W805" s="110"/>
      <c r="X805" s="110"/>
      <c r="Y805" s="110"/>
    </row>
    <row r="806" ht="13.5" customHeight="1" spans="1:25">
      <c r="A806" s="102"/>
      <c r="B806" s="102"/>
      <c r="C806" s="102"/>
      <c r="D806" s="101"/>
      <c r="E806" s="101"/>
      <c r="F806" s="101"/>
      <c r="G806" s="102"/>
      <c r="H806" s="101"/>
      <c r="I806" s="101"/>
      <c r="J806" s="101"/>
      <c r="K806" s="101"/>
      <c r="L806" s="101"/>
      <c r="M806" s="182"/>
      <c r="N806" s="101"/>
      <c r="O806" s="110"/>
      <c r="P806" s="101"/>
      <c r="Q806" s="102"/>
      <c r="R806" s="102"/>
      <c r="S806" s="110"/>
      <c r="T806" s="110"/>
      <c r="U806" s="110"/>
      <c r="V806" s="110"/>
      <c r="W806" s="110"/>
      <c r="X806" s="110"/>
      <c r="Y806" s="110"/>
    </row>
    <row r="807" ht="13.5" customHeight="1" spans="1:25">
      <c r="A807" s="102"/>
      <c r="B807" s="102"/>
      <c r="C807" s="102"/>
      <c r="D807" s="101"/>
      <c r="E807" s="101"/>
      <c r="F807" s="101"/>
      <c r="G807" s="102"/>
      <c r="H807" s="101"/>
      <c r="I807" s="101"/>
      <c r="J807" s="101"/>
      <c r="K807" s="101"/>
      <c r="L807" s="101"/>
      <c r="M807" s="182"/>
      <c r="N807" s="101"/>
      <c r="O807" s="110"/>
      <c r="P807" s="101"/>
      <c r="Q807" s="102"/>
      <c r="R807" s="102"/>
      <c r="S807" s="110"/>
      <c r="T807" s="110"/>
      <c r="U807" s="110"/>
      <c r="V807" s="110"/>
      <c r="W807" s="110"/>
      <c r="X807" s="110"/>
      <c r="Y807" s="110"/>
    </row>
    <row r="808" ht="13.5" customHeight="1" spans="1:25">
      <c r="A808" s="102"/>
      <c r="B808" s="102"/>
      <c r="C808" s="102"/>
      <c r="D808" s="101"/>
      <c r="E808" s="101"/>
      <c r="F808" s="101"/>
      <c r="G808" s="102"/>
      <c r="H808" s="101"/>
      <c r="I808" s="101"/>
      <c r="J808" s="101"/>
      <c r="K808" s="101"/>
      <c r="L808" s="101"/>
      <c r="M808" s="182"/>
      <c r="N808" s="101"/>
      <c r="O808" s="110"/>
      <c r="P808" s="101"/>
      <c r="Q808" s="102"/>
      <c r="R808" s="102"/>
      <c r="S808" s="110"/>
      <c r="T808" s="110"/>
      <c r="U808" s="110"/>
      <c r="V808" s="110"/>
      <c r="W808" s="110"/>
      <c r="X808" s="110"/>
      <c r="Y808" s="110"/>
    </row>
    <row r="809" ht="13.5" customHeight="1" spans="1:25">
      <c r="A809" s="102"/>
      <c r="B809" s="102"/>
      <c r="C809" s="102"/>
      <c r="D809" s="101"/>
      <c r="E809" s="101"/>
      <c r="F809" s="101"/>
      <c r="G809" s="102"/>
      <c r="H809" s="101"/>
      <c r="I809" s="101"/>
      <c r="J809" s="101"/>
      <c r="K809" s="101"/>
      <c r="L809" s="101"/>
      <c r="M809" s="182"/>
      <c r="N809" s="101"/>
      <c r="O809" s="110"/>
      <c r="P809" s="101"/>
      <c r="Q809" s="102"/>
      <c r="R809" s="102"/>
      <c r="S809" s="110"/>
      <c r="T809" s="110"/>
      <c r="U809" s="110"/>
      <c r="V809" s="110"/>
      <c r="W809" s="110"/>
      <c r="X809" s="110"/>
      <c r="Y809" s="110"/>
    </row>
    <row r="810" ht="13.5" customHeight="1" spans="1:25">
      <c r="A810" s="102"/>
      <c r="B810" s="102"/>
      <c r="C810" s="102"/>
      <c r="D810" s="101"/>
      <c r="E810" s="101"/>
      <c r="F810" s="101"/>
      <c r="G810" s="102"/>
      <c r="H810" s="101"/>
      <c r="I810" s="101"/>
      <c r="J810" s="101"/>
      <c r="K810" s="101"/>
      <c r="L810" s="101"/>
      <c r="M810" s="182"/>
      <c r="N810" s="101"/>
      <c r="O810" s="110"/>
      <c r="P810" s="101"/>
      <c r="Q810" s="102"/>
      <c r="R810" s="102"/>
      <c r="S810" s="110"/>
      <c r="T810" s="110"/>
      <c r="U810" s="110"/>
      <c r="V810" s="110"/>
      <c r="W810" s="110"/>
      <c r="X810" s="110"/>
      <c r="Y810" s="110"/>
    </row>
    <row r="811" ht="13.5" customHeight="1" spans="1:25">
      <c r="A811" s="102"/>
      <c r="B811" s="102"/>
      <c r="C811" s="102"/>
      <c r="D811" s="101"/>
      <c r="E811" s="101"/>
      <c r="F811" s="101"/>
      <c r="G811" s="102"/>
      <c r="H811" s="101"/>
      <c r="I811" s="101"/>
      <c r="J811" s="101"/>
      <c r="K811" s="101"/>
      <c r="L811" s="101"/>
      <c r="M811" s="182"/>
      <c r="N811" s="101"/>
      <c r="O811" s="110"/>
      <c r="P811" s="101"/>
      <c r="Q811" s="102"/>
      <c r="R811" s="102"/>
      <c r="S811" s="110"/>
      <c r="T811" s="110"/>
      <c r="U811" s="110"/>
      <c r="V811" s="110"/>
      <c r="W811" s="110"/>
      <c r="X811" s="110"/>
      <c r="Y811" s="110"/>
    </row>
    <row r="812" ht="13.5" customHeight="1" spans="1:25">
      <c r="A812" s="102"/>
      <c r="B812" s="102"/>
      <c r="C812" s="102"/>
      <c r="D812" s="101"/>
      <c r="E812" s="101"/>
      <c r="F812" s="101"/>
      <c r="G812" s="102"/>
      <c r="H812" s="101"/>
      <c r="I812" s="101"/>
      <c r="J812" s="101"/>
      <c r="K812" s="101"/>
      <c r="L812" s="101"/>
      <c r="M812" s="182"/>
      <c r="N812" s="101"/>
      <c r="O812" s="110"/>
      <c r="P812" s="101"/>
      <c r="Q812" s="102"/>
      <c r="R812" s="102"/>
      <c r="S812" s="110"/>
      <c r="T812" s="110"/>
      <c r="U812" s="110"/>
      <c r="V812" s="110"/>
      <c r="W812" s="110"/>
      <c r="X812" s="110"/>
      <c r="Y812" s="110"/>
    </row>
    <row r="813" ht="13.5" customHeight="1" spans="1:25">
      <c r="A813" s="102"/>
      <c r="B813" s="102"/>
      <c r="C813" s="102"/>
      <c r="D813" s="101"/>
      <c r="E813" s="101"/>
      <c r="F813" s="101"/>
      <c r="G813" s="102"/>
      <c r="H813" s="101"/>
      <c r="I813" s="101"/>
      <c r="J813" s="101"/>
      <c r="K813" s="101"/>
      <c r="L813" s="101"/>
      <c r="M813" s="182"/>
      <c r="N813" s="101"/>
      <c r="O813" s="110"/>
      <c r="P813" s="101"/>
      <c r="Q813" s="102"/>
      <c r="R813" s="102"/>
      <c r="S813" s="110"/>
      <c r="T813" s="110"/>
      <c r="U813" s="110"/>
      <c r="V813" s="110"/>
      <c r="W813" s="110"/>
      <c r="X813" s="110"/>
      <c r="Y813" s="110"/>
    </row>
    <row r="814" ht="13.5" customHeight="1" spans="1:25">
      <c r="A814" s="102"/>
      <c r="B814" s="102"/>
      <c r="C814" s="102"/>
      <c r="D814" s="101"/>
      <c r="E814" s="101"/>
      <c r="F814" s="101"/>
      <c r="G814" s="102"/>
      <c r="H814" s="101"/>
      <c r="I814" s="101"/>
      <c r="J814" s="101"/>
      <c r="K814" s="101"/>
      <c r="L814" s="101"/>
      <c r="M814" s="182"/>
      <c r="N814" s="101"/>
      <c r="O814" s="110"/>
      <c r="P814" s="101"/>
      <c r="Q814" s="102"/>
      <c r="R814" s="102"/>
      <c r="S814" s="110"/>
      <c r="T814" s="110"/>
      <c r="U814" s="110"/>
      <c r="V814" s="110"/>
      <c r="W814" s="110"/>
      <c r="X814" s="110"/>
      <c r="Y814" s="110"/>
    </row>
    <row r="815" ht="13.5" customHeight="1" spans="1:25">
      <c r="A815" s="102"/>
      <c r="B815" s="102"/>
      <c r="C815" s="102"/>
      <c r="D815" s="101"/>
      <c r="E815" s="101"/>
      <c r="F815" s="101"/>
      <c r="G815" s="102"/>
      <c r="H815" s="101"/>
      <c r="I815" s="101"/>
      <c r="J815" s="101"/>
      <c r="K815" s="101"/>
      <c r="L815" s="101"/>
      <c r="M815" s="182"/>
      <c r="N815" s="101"/>
      <c r="O815" s="110"/>
      <c r="P815" s="101"/>
      <c r="Q815" s="102"/>
      <c r="R815" s="102"/>
      <c r="S815" s="110"/>
      <c r="T815" s="110"/>
      <c r="U815" s="110"/>
      <c r="V815" s="110"/>
      <c r="W815" s="110"/>
      <c r="X815" s="110"/>
      <c r="Y815" s="110"/>
    </row>
    <row r="816" ht="13.5" customHeight="1" spans="1:25">
      <c r="A816" s="102"/>
      <c r="B816" s="102"/>
      <c r="C816" s="102"/>
      <c r="D816" s="101"/>
      <c r="E816" s="101"/>
      <c r="F816" s="101"/>
      <c r="G816" s="102"/>
      <c r="H816" s="101"/>
      <c r="I816" s="101"/>
      <c r="J816" s="101"/>
      <c r="K816" s="101"/>
      <c r="L816" s="101"/>
      <c r="M816" s="182"/>
      <c r="N816" s="101"/>
      <c r="O816" s="110"/>
      <c r="P816" s="101"/>
      <c r="Q816" s="102"/>
      <c r="R816" s="102"/>
      <c r="S816" s="110"/>
      <c r="T816" s="110"/>
      <c r="U816" s="110"/>
      <c r="V816" s="110"/>
      <c r="W816" s="110"/>
      <c r="X816" s="110"/>
      <c r="Y816" s="110"/>
    </row>
    <row r="817" ht="13.5" customHeight="1" spans="1:25">
      <c r="A817" s="102"/>
      <c r="B817" s="102"/>
      <c r="C817" s="102"/>
      <c r="D817" s="101"/>
      <c r="E817" s="101"/>
      <c r="F817" s="101"/>
      <c r="G817" s="102"/>
      <c r="H817" s="101"/>
      <c r="I817" s="101"/>
      <c r="J817" s="101"/>
      <c r="K817" s="101"/>
      <c r="L817" s="101"/>
      <c r="M817" s="182"/>
      <c r="N817" s="101"/>
      <c r="O817" s="110"/>
      <c r="P817" s="101"/>
      <c r="Q817" s="102"/>
      <c r="R817" s="102"/>
      <c r="S817" s="110"/>
      <c r="T817" s="110"/>
      <c r="U817" s="110"/>
      <c r="V817" s="110"/>
      <c r="W817" s="110"/>
      <c r="X817" s="110"/>
      <c r="Y817" s="110"/>
    </row>
    <row r="818" ht="13.5" customHeight="1" spans="1:25">
      <c r="A818" s="102"/>
      <c r="B818" s="102"/>
      <c r="C818" s="102"/>
      <c r="D818" s="101"/>
      <c r="E818" s="101"/>
      <c r="F818" s="101"/>
      <c r="G818" s="102"/>
      <c r="H818" s="101"/>
      <c r="I818" s="101"/>
      <c r="J818" s="101"/>
      <c r="K818" s="101"/>
      <c r="L818" s="101"/>
      <c r="M818" s="182"/>
      <c r="N818" s="101"/>
      <c r="O818" s="110"/>
      <c r="P818" s="101"/>
      <c r="Q818" s="102"/>
      <c r="R818" s="102"/>
      <c r="S818" s="110"/>
      <c r="T818" s="110"/>
      <c r="U818" s="110"/>
      <c r="V818" s="110"/>
      <c r="W818" s="110"/>
      <c r="X818" s="110"/>
      <c r="Y818" s="110"/>
    </row>
    <row r="819" ht="13.5" customHeight="1" spans="1:25">
      <c r="A819" s="102"/>
      <c r="B819" s="102"/>
      <c r="C819" s="102"/>
      <c r="D819" s="101"/>
      <c r="E819" s="101"/>
      <c r="F819" s="101"/>
      <c r="G819" s="102"/>
      <c r="H819" s="101"/>
      <c r="I819" s="101"/>
      <c r="J819" s="101"/>
      <c r="K819" s="101"/>
      <c r="L819" s="101"/>
      <c r="M819" s="182"/>
      <c r="N819" s="101"/>
      <c r="O819" s="110"/>
      <c r="P819" s="101"/>
      <c r="Q819" s="102"/>
      <c r="R819" s="102"/>
      <c r="S819" s="110"/>
      <c r="T819" s="110"/>
      <c r="U819" s="110"/>
      <c r="V819" s="110"/>
      <c r="W819" s="110"/>
      <c r="X819" s="110"/>
      <c r="Y819" s="110"/>
    </row>
    <row r="820" ht="13.5" customHeight="1" spans="1:25">
      <c r="A820" s="102"/>
      <c r="B820" s="102"/>
      <c r="C820" s="102"/>
      <c r="D820" s="101"/>
      <c r="E820" s="101"/>
      <c r="F820" s="101"/>
      <c r="G820" s="102"/>
      <c r="H820" s="101"/>
      <c r="I820" s="101"/>
      <c r="J820" s="101"/>
      <c r="K820" s="101"/>
      <c r="L820" s="101"/>
      <c r="M820" s="182"/>
      <c r="N820" s="101"/>
      <c r="O820" s="110"/>
      <c r="P820" s="101"/>
      <c r="Q820" s="102"/>
      <c r="R820" s="102"/>
      <c r="S820" s="110"/>
      <c r="T820" s="110"/>
      <c r="U820" s="110"/>
      <c r="V820" s="110"/>
      <c r="W820" s="110"/>
      <c r="X820" s="110"/>
      <c r="Y820" s="110"/>
    </row>
    <row r="821" ht="13.5" customHeight="1" spans="1:25">
      <c r="A821" s="102"/>
      <c r="B821" s="102"/>
      <c r="C821" s="102"/>
      <c r="D821" s="101"/>
      <c r="E821" s="101"/>
      <c r="F821" s="101"/>
      <c r="G821" s="102"/>
      <c r="H821" s="101"/>
      <c r="I821" s="101"/>
      <c r="J821" s="101"/>
      <c r="K821" s="101"/>
      <c r="L821" s="101"/>
      <c r="M821" s="182"/>
      <c r="N821" s="101"/>
      <c r="O821" s="110"/>
      <c r="P821" s="101"/>
      <c r="Q821" s="102"/>
      <c r="R821" s="102"/>
      <c r="S821" s="110"/>
      <c r="T821" s="110"/>
      <c r="U821" s="110"/>
      <c r="V821" s="110"/>
      <c r="W821" s="110"/>
      <c r="X821" s="110"/>
      <c r="Y821" s="110"/>
    </row>
    <row r="822" ht="13.5" customHeight="1" spans="1:25">
      <c r="A822" s="102"/>
      <c r="B822" s="102"/>
      <c r="C822" s="102"/>
      <c r="D822" s="101"/>
      <c r="E822" s="101"/>
      <c r="F822" s="101"/>
      <c r="G822" s="102"/>
      <c r="H822" s="101"/>
      <c r="I822" s="101"/>
      <c r="J822" s="101"/>
      <c r="K822" s="101"/>
      <c r="L822" s="101"/>
      <c r="M822" s="182"/>
      <c r="N822" s="101"/>
      <c r="O822" s="110"/>
      <c r="P822" s="101"/>
      <c r="Q822" s="102"/>
      <c r="R822" s="102"/>
      <c r="S822" s="110"/>
      <c r="T822" s="110"/>
      <c r="U822" s="110"/>
      <c r="V822" s="110"/>
      <c r="W822" s="110"/>
      <c r="X822" s="110"/>
      <c r="Y822" s="110"/>
    </row>
    <row r="823" ht="13.5" customHeight="1" spans="1:25">
      <c r="A823" s="102"/>
      <c r="B823" s="102"/>
      <c r="C823" s="102"/>
      <c r="D823" s="101"/>
      <c r="E823" s="101"/>
      <c r="F823" s="101"/>
      <c r="G823" s="102"/>
      <c r="H823" s="101"/>
      <c r="I823" s="101"/>
      <c r="J823" s="101"/>
      <c r="K823" s="101"/>
      <c r="L823" s="101"/>
      <c r="M823" s="182"/>
      <c r="N823" s="101"/>
      <c r="O823" s="110"/>
      <c r="P823" s="101"/>
      <c r="Q823" s="102"/>
      <c r="R823" s="102"/>
      <c r="S823" s="110"/>
      <c r="T823" s="110"/>
      <c r="U823" s="110"/>
      <c r="V823" s="110"/>
      <c r="W823" s="110"/>
      <c r="X823" s="110"/>
      <c r="Y823" s="110"/>
    </row>
    <row r="824" ht="13.5" customHeight="1" spans="1:25">
      <c r="A824" s="102"/>
      <c r="B824" s="102"/>
      <c r="C824" s="102"/>
      <c r="D824" s="101"/>
      <c r="E824" s="101"/>
      <c r="F824" s="101"/>
      <c r="G824" s="102"/>
      <c r="H824" s="101"/>
      <c r="I824" s="101"/>
      <c r="J824" s="101"/>
      <c r="K824" s="101"/>
      <c r="L824" s="101"/>
      <c r="M824" s="182"/>
      <c r="N824" s="101"/>
      <c r="O824" s="110"/>
      <c r="P824" s="101"/>
      <c r="Q824" s="102"/>
      <c r="R824" s="102"/>
      <c r="S824" s="110"/>
      <c r="T824" s="110"/>
      <c r="U824" s="110"/>
      <c r="V824" s="110"/>
      <c r="W824" s="110"/>
      <c r="X824" s="110"/>
      <c r="Y824" s="110"/>
    </row>
    <row r="825" ht="13.5" customHeight="1" spans="1:25">
      <c r="A825" s="102"/>
      <c r="B825" s="102"/>
      <c r="C825" s="102"/>
      <c r="D825" s="101"/>
      <c r="E825" s="101"/>
      <c r="F825" s="101"/>
      <c r="G825" s="102"/>
      <c r="H825" s="101"/>
      <c r="I825" s="101"/>
      <c r="J825" s="101"/>
      <c r="K825" s="101"/>
      <c r="L825" s="101"/>
      <c r="M825" s="182"/>
      <c r="N825" s="101"/>
      <c r="O825" s="110"/>
      <c r="P825" s="101"/>
      <c r="Q825" s="102"/>
      <c r="R825" s="102"/>
      <c r="S825" s="110"/>
      <c r="T825" s="110"/>
      <c r="U825" s="110"/>
      <c r="V825" s="110"/>
      <c r="W825" s="110"/>
      <c r="X825" s="110"/>
      <c r="Y825" s="110"/>
    </row>
    <row r="826" ht="13.5" customHeight="1" spans="1:25">
      <c r="A826" s="102"/>
      <c r="B826" s="102"/>
      <c r="C826" s="102"/>
      <c r="D826" s="101"/>
      <c r="E826" s="101"/>
      <c r="F826" s="101"/>
      <c r="G826" s="102"/>
      <c r="H826" s="101"/>
      <c r="I826" s="101"/>
      <c r="J826" s="101"/>
      <c r="K826" s="101"/>
      <c r="L826" s="101"/>
      <c r="M826" s="182"/>
      <c r="N826" s="101"/>
      <c r="O826" s="110"/>
      <c r="P826" s="101"/>
      <c r="Q826" s="102"/>
      <c r="R826" s="102"/>
      <c r="S826" s="110"/>
      <c r="T826" s="110"/>
      <c r="U826" s="110"/>
      <c r="V826" s="110"/>
      <c r="W826" s="110"/>
      <c r="X826" s="110"/>
      <c r="Y826" s="110"/>
    </row>
    <row r="827" ht="13.5" customHeight="1" spans="1:25">
      <c r="A827" s="102"/>
      <c r="B827" s="102"/>
      <c r="C827" s="102"/>
      <c r="D827" s="101"/>
      <c r="E827" s="101"/>
      <c r="F827" s="101"/>
      <c r="G827" s="102"/>
      <c r="H827" s="101"/>
      <c r="I827" s="101"/>
      <c r="J827" s="101"/>
      <c r="K827" s="101"/>
      <c r="L827" s="101"/>
      <c r="M827" s="182"/>
      <c r="N827" s="101"/>
      <c r="O827" s="110"/>
      <c r="P827" s="101"/>
      <c r="Q827" s="102"/>
      <c r="R827" s="102"/>
      <c r="S827" s="110"/>
      <c r="T827" s="110"/>
      <c r="U827" s="110"/>
      <c r="V827" s="110"/>
      <c r="W827" s="110"/>
      <c r="X827" s="110"/>
      <c r="Y827" s="110"/>
    </row>
    <row r="828" ht="13.5" customHeight="1" spans="1:25">
      <c r="A828" s="102"/>
      <c r="B828" s="102"/>
      <c r="C828" s="102"/>
      <c r="D828" s="101"/>
      <c r="E828" s="101"/>
      <c r="F828" s="101"/>
      <c r="G828" s="102"/>
      <c r="H828" s="101"/>
      <c r="I828" s="101"/>
      <c r="J828" s="101"/>
      <c r="K828" s="101"/>
      <c r="L828" s="101"/>
      <c r="M828" s="182"/>
      <c r="N828" s="101"/>
      <c r="O828" s="110"/>
      <c r="P828" s="101"/>
      <c r="Q828" s="102"/>
      <c r="R828" s="102"/>
      <c r="S828" s="110"/>
      <c r="T828" s="110"/>
      <c r="U828" s="110"/>
      <c r="V828" s="110"/>
      <c r="W828" s="110"/>
      <c r="X828" s="110"/>
      <c r="Y828" s="110"/>
    </row>
    <row r="829" ht="13.5" customHeight="1" spans="1:25">
      <c r="A829" s="102"/>
      <c r="B829" s="102"/>
      <c r="C829" s="102"/>
      <c r="D829" s="101"/>
      <c r="E829" s="101"/>
      <c r="F829" s="101"/>
      <c r="G829" s="102"/>
      <c r="H829" s="101"/>
      <c r="I829" s="101"/>
      <c r="J829" s="101"/>
      <c r="K829" s="101"/>
      <c r="L829" s="101"/>
      <c r="M829" s="182"/>
      <c r="N829" s="101"/>
      <c r="O829" s="110"/>
      <c r="P829" s="101"/>
      <c r="Q829" s="102"/>
      <c r="R829" s="102"/>
      <c r="S829" s="110"/>
      <c r="T829" s="110"/>
      <c r="U829" s="110"/>
      <c r="V829" s="110"/>
      <c r="W829" s="110"/>
      <c r="X829" s="110"/>
      <c r="Y829" s="110"/>
    </row>
    <row r="830" ht="13.5" customHeight="1" spans="1:25">
      <c r="A830" s="102"/>
      <c r="B830" s="102"/>
      <c r="C830" s="102"/>
      <c r="D830" s="101"/>
      <c r="E830" s="101"/>
      <c r="F830" s="101"/>
      <c r="G830" s="102"/>
      <c r="H830" s="101"/>
      <c r="I830" s="101"/>
      <c r="J830" s="101"/>
      <c r="K830" s="101"/>
      <c r="L830" s="101"/>
      <c r="M830" s="182"/>
      <c r="N830" s="101"/>
      <c r="O830" s="110"/>
      <c r="P830" s="101"/>
      <c r="Q830" s="102"/>
      <c r="R830" s="102"/>
      <c r="S830" s="110"/>
      <c r="T830" s="110"/>
      <c r="U830" s="110"/>
      <c r="V830" s="110"/>
      <c r="W830" s="110"/>
      <c r="X830" s="110"/>
      <c r="Y830" s="110"/>
    </row>
    <row r="831" ht="13.5" customHeight="1" spans="1:25">
      <c r="A831" s="102"/>
      <c r="B831" s="102"/>
      <c r="C831" s="102"/>
      <c r="D831" s="101"/>
      <c r="E831" s="101"/>
      <c r="F831" s="101"/>
      <c r="G831" s="102"/>
      <c r="H831" s="101"/>
      <c r="I831" s="101"/>
      <c r="J831" s="101"/>
      <c r="K831" s="101"/>
      <c r="L831" s="101"/>
      <c r="M831" s="182"/>
      <c r="N831" s="101"/>
      <c r="O831" s="110"/>
      <c r="P831" s="101"/>
      <c r="Q831" s="102"/>
      <c r="R831" s="102"/>
      <c r="S831" s="110"/>
      <c r="T831" s="110"/>
      <c r="U831" s="110"/>
      <c r="V831" s="110"/>
      <c r="W831" s="110"/>
      <c r="X831" s="110"/>
      <c r="Y831" s="110"/>
    </row>
    <row r="832" ht="13.5" customHeight="1" spans="1:25">
      <c r="A832" s="102"/>
      <c r="B832" s="102"/>
      <c r="C832" s="102"/>
      <c r="D832" s="101"/>
      <c r="E832" s="101"/>
      <c r="F832" s="101"/>
      <c r="G832" s="102"/>
      <c r="H832" s="101"/>
      <c r="I832" s="101"/>
      <c r="J832" s="101"/>
      <c r="K832" s="101"/>
      <c r="L832" s="101"/>
      <c r="M832" s="182"/>
      <c r="N832" s="101"/>
      <c r="O832" s="110"/>
      <c r="P832" s="101"/>
      <c r="Q832" s="102"/>
      <c r="R832" s="102"/>
      <c r="S832" s="110"/>
      <c r="T832" s="110"/>
      <c r="U832" s="110"/>
      <c r="V832" s="110"/>
      <c r="W832" s="110"/>
      <c r="X832" s="110"/>
      <c r="Y832" s="110"/>
    </row>
    <row r="833" ht="13.5" customHeight="1" spans="1:25">
      <c r="A833" s="102"/>
      <c r="B833" s="102"/>
      <c r="C833" s="102"/>
      <c r="D833" s="101"/>
      <c r="E833" s="101"/>
      <c r="F833" s="101"/>
      <c r="G833" s="102"/>
      <c r="H833" s="101"/>
      <c r="I833" s="101"/>
      <c r="J833" s="101"/>
      <c r="K833" s="101"/>
      <c r="L833" s="101"/>
      <c r="M833" s="182"/>
      <c r="N833" s="101"/>
      <c r="O833" s="110"/>
      <c r="P833" s="101"/>
      <c r="Q833" s="102"/>
      <c r="R833" s="102"/>
      <c r="S833" s="110"/>
      <c r="T833" s="110"/>
      <c r="U833" s="110"/>
      <c r="V833" s="110"/>
      <c r="W833" s="110"/>
      <c r="X833" s="110"/>
      <c r="Y833" s="110"/>
    </row>
    <row r="834" ht="13.5" customHeight="1" spans="1:25">
      <c r="A834" s="102"/>
      <c r="B834" s="102"/>
      <c r="C834" s="102"/>
      <c r="D834" s="101"/>
      <c r="E834" s="101"/>
      <c r="F834" s="101"/>
      <c r="G834" s="102"/>
      <c r="H834" s="101"/>
      <c r="I834" s="101"/>
      <c r="J834" s="101"/>
      <c r="K834" s="101"/>
      <c r="L834" s="101"/>
      <c r="M834" s="182"/>
      <c r="N834" s="101"/>
      <c r="O834" s="110"/>
      <c r="P834" s="101"/>
      <c r="Q834" s="102"/>
      <c r="R834" s="102"/>
      <c r="S834" s="110"/>
      <c r="T834" s="110"/>
      <c r="U834" s="110"/>
      <c r="V834" s="110"/>
      <c r="W834" s="110"/>
      <c r="X834" s="110"/>
      <c r="Y834" s="110"/>
    </row>
    <row r="835" ht="13.5" customHeight="1" spans="1:25">
      <c r="A835" s="102"/>
      <c r="B835" s="102"/>
      <c r="C835" s="102"/>
      <c r="D835" s="101"/>
      <c r="E835" s="101"/>
      <c r="F835" s="101"/>
      <c r="G835" s="102"/>
      <c r="H835" s="101"/>
      <c r="I835" s="101"/>
      <c r="J835" s="101"/>
      <c r="K835" s="101"/>
      <c r="L835" s="101"/>
      <c r="M835" s="182"/>
      <c r="N835" s="101"/>
      <c r="O835" s="110"/>
      <c r="P835" s="101"/>
      <c r="Q835" s="102"/>
      <c r="R835" s="102"/>
      <c r="S835" s="110"/>
      <c r="T835" s="110"/>
      <c r="U835" s="110"/>
      <c r="V835" s="110"/>
      <c r="W835" s="110"/>
      <c r="X835" s="110"/>
      <c r="Y835" s="110"/>
    </row>
    <row r="836" ht="13.5" customHeight="1" spans="1:25">
      <c r="A836" s="102"/>
      <c r="B836" s="102"/>
      <c r="C836" s="102"/>
      <c r="D836" s="101"/>
      <c r="E836" s="101"/>
      <c r="F836" s="101"/>
      <c r="G836" s="102"/>
      <c r="H836" s="101"/>
      <c r="I836" s="101"/>
      <c r="J836" s="101"/>
      <c r="K836" s="101"/>
      <c r="L836" s="101"/>
      <c r="M836" s="182"/>
      <c r="N836" s="101"/>
      <c r="O836" s="110"/>
      <c r="P836" s="101"/>
      <c r="Q836" s="102"/>
      <c r="R836" s="102"/>
      <c r="S836" s="110"/>
      <c r="T836" s="110"/>
      <c r="U836" s="110"/>
      <c r="V836" s="110"/>
      <c r="W836" s="110"/>
      <c r="X836" s="110"/>
      <c r="Y836" s="110"/>
    </row>
    <row r="837" ht="13.5" customHeight="1" spans="1:25">
      <c r="A837" s="102"/>
      <c r="B837" s="102"/>
      <c r="C837" s="102"/>
      <c r="D837" s="101"/>
      <c r="E837" s="101"/>
      <c r="F837" s="101"/>
      <c r="G837" s="102"/>
      <c r="H837" s="101"/>
      <c r="I837" s="101"/>
      <c r="J837" s="101"/>
      <c r="K837" s="101"/>
      <c r="L837" s="101"/>
      <c r="M837" s="182"/>
      <c r="N837" s="101"/>
      <c r="O837" s="110"/>
      <c r="P837" s="101"/>
      <c r="Q837" s="102"/>
      <c r="R837" s="102"/>
      <c r="S837" s="110"/>
      <c r="T837" s="110"/>
      <c r="U837" s="110"/>
      <c r="V837" s="110"/>
      <c r="W837" s="110"/>
      <c r="X837" s="110"/>
      <c r="Y837" s="110"/>
    </row>
    <row r="838" ht="13.5" customHeight="1" spans="1:25">
      <c r="A838" s="102"/>
      <c r="B838" s="102"/>
      <c r="C838" s="102"/>
      <c r="D838" s="101"/>
      <c r="E838" s="101"/>
      <c r="F838" s="101"/>
      <c r="G838" s="102"/>
      <c r="H838" s="101"/>
      <c r="I838" s="101"/>
      <c r="J838" s="101"/>
      <c r="K838" s="101"/>
      <c r="L838" s="101"/>
      <c r="M838" s="182"/>
      <c r="N838" s="101"/>
      <c r="O838" s="110"/>
      <c r="P838" s="101"/>
      <c r="Q838" s="102"/>
      <c r="R838" s="102"/>
      <c r="S838" s="110"/>
      <c r="T838" s="110"/>
      <c r="U838" s="110"/>
      <c r="V838" s="110"/>
      <c r="W838" s="110"/>
      <c r="X838" s="110"/>
      <c r="Y838" s="110"/>
    </row>
    <row r="839" ht="13.5" customHeight="1" spans="1:25">
      <c r="A839" s="102"/>
      <c r="B839" s="102"/>
      <c r="C839" s="102"/>
      <c r="D839" s="101"/>
      <c r="E839" s="101"/>
      <c r="F839" s="101"/>
      <c r="G839" s="102"/>
      <c r="H839" s="101"/>
      <c r="I839" s="101"/>
      <c r="J839" s="101"/>
      <c r="K839" s="101"/>
      <c r="L839" s="101"/>
      <c r="M839" s="182"/>
      <c r="N839" s="101"/>
      <c r="O839" s="110"/>
      <c r="P839" s="101"/>
      <c r="Q839" s="102"/>
      <c r="R839" s="102"/>
      <c r="S839" s="110"/>
      <c r="T839" s="110"/>
      <c r="U839" s="110"/>
      <c r="V839" s="110"/>
      <c r="W839" s="110"/>
      <c r="X839" s="110"/>
      <c r="Y839" s="110"/>
    </row>
    <row r="840" ht="13.5" customHeight="1" spans="1:25">
      <c r="A840" s="102"/>
      <c r="B840" s="102"/>
      <c r="C840" s="102"/>
      <c r="D840" s="101"/>
      <c r="E840" s="101"/>
      <c r="F840" s="101"/>
      <c r="G840" s="102"/>
      <c r="H840" s="101"/>
      <c r="I840" s="101"/>
      <c r="J840" s="101"/>
      <c r="K840" s="101"/>
      <c r="L840" s="101"/>
      <c r="M840" s="182"/>
      <c r="N840" s="101"/>
      <c r="O840" s="110"/>
      <c r="P840" s="101"/>
      <c r="Q840" s="102"/>
      <c r="R840" s="102"/>
      <c r="S840" s="110"/>
      <c r="T840" s="110"/>
      <c r="U840" s="110"/>
      <c r="V840" s="110"/>
      <c r="W840" s="110"/>
      <c r="X840" s="110"/>
      <c r="Y840" s="110"/>
    </row>
    <row r="841" ht="13.5" customHeight="1" spans="1:25">
      <c r="A841" s="102"/>
      <c r="B841" s="102"/>
      <c r="C841" s="102"/>
      <c r="D841" s="101"/>
      <c r="E841" s="101"/>
      <c r="F841" s="101"/>
      <c r="G841" s="102"/>
      <c r="H841" s="101"/>
      <c r="I841" s="101"/>
      <c r="J841" s="101"/>
      <c r="K841" s="101"/>
      <c r="L841" s="101"/>
      <c r="M841" s="182"/>
      <c r="N841" s="101"/>
      <c r="O841" s="110"/>
      <c r="P841" s="101"/>
      <c r="Q841" s="102"/>
      <c r="R841" s="102"/>
      <c r="S841" s="110"/>
      <c r="T841" s="110"/>
      <c r="U841" s="110"/>
      <c r="V841" s="110"/>
      <c r="W841" s="110"/>
      <c r="X841" s="110"/>
      <c r="Y841" s="110"/>
    </row>
    <row r="842" ht="13.5" customHeight="1" spans="1:25">
      <c r="A842" s="102"/>
      <c r="B842" s="102"/>
      <c r="C842" s="102"/>
      <c r="D842" s="101"/>
      <c r="E842" s="101"/>
      <c r="F842" s="101"/>
      <c r="G842" s="102"/>
      <c r="H842" s="101"/>
      <c r="I842" s="101"/>
      <c r="J842" s="101"/>
      <c r="K842" s="101"/>
      <c r="L842" s="101"/>
      <c r="M842" s="182"/>
      <c r="N842" s="101"/>
      <c r="O842" s="110"/>
      <c r="P842" s="101"/>
      <c r="Q842" s="102"/>
      <c r="R842" s="102"/>
      <c r="S842" s="110"/>
      <c r="T842" s="110"/>
      <c r="U842" s="110"/>
      <c r="V842" s="110"/>
      <c r="W842" s="110"/>
      <c r="X842" s="110"/>
      <c r="Y842" s="110"/>
    </row>
    <row r="843" ht="13.5" customHeight="1" spans="1:25">
      <c r="A843" s="102"/>
      <c r="B843" s="102"/>
      <c r="C843" s="102"/>
      <c r="D843" s="101"/>
      <c r="E843" s="101"/>
      <c r="F843" s="101"/>
      <c r="G843" s="102"/>
      <c r="H843" s="101"/>
      <c r="I843" s="101"/>
      <c r="J843" s="101"/>
      <c r="K843" s="101"/>
      <c r="L843" s="101"/>
      <c r="M843" s="182"/>
      <c r="N843" s="101"/>
      <c r="O843" s="110"/>
      <c r="P843" s="101"/>
      <c r="Q843" s="102"/>
      <c r="R843" s="102"/>
      <c r="S843" s="110"/>
      <c r="T843" s="110"/>
      <c r="U843" s="110"/>
      <c r="V843" s="110"/>
      <c r="W843" s="110"/>
      <c r="X843" s="110"/>
      <c r="Y843" s="110"/>
    </row>
    <row r="844" ht="13.5" customHeight="1" spans="1:25">
      <c r="A844" s="102"/>
      <c r="B844" s="102"/>
      <c r="C844" s="102"/>
      <c r="D844" s="101"/>
      <c r="E844" s="101"/>
      <c r="F844" s="101"/>
      <c r="G844" s="102"/>
      <c r="H844" s="101"/>
      <c r="I844" s="101"/>
      <c r="J844" s="101"/>
      <c r="K844" s="101"/>
      <c r="L844" s="101"/>
      <c r="M844" s="182"/>
      <c r="N844" s="101"/>
      <c r="O844" s="110"/>
      <c r="P844" s="101"/>
      <c r="Q844" s="102"/>
      <c r="R844" s="102"/>
      <c r="S844" s="110"/>
      <c r="T844" s="110"/>
      <c r="U844" s="110"/>
      <c r="V844" s="110"/>
      <c r="W844" s="110"/>
      <c r="X844" s="110"/>
      <c r="Y844" s="110"/>
    </row>
    <row r="845" ht="13.5" customHeight="1" spans="1:25">
      <c r="A845" s="102"/>
      <c r="B845" s="102"/>
      <c r="C845" s="102"/>
      <c r="D845" s="101"/>
      <c r="E845" s="101"/>
      <c r="F845" s="101"/>
      <c r="G845" s="102"/>
      <c r="H845" s="101"/>
      <c r="I845" s="101"/>
      <c r="J845" s="101"/>
      <c r="K845" s="101"/>
      <c r="L845" s="101"/>
      <c r="M845" s="182"/>
      <c r="N845" s="101"/>
      <c r="O845" s="110"/>
      <c r="P845" s="101"/>
      <c r="Q845" s="102"/>
      <c r="R845" s="102"/>
      <c r="S845" s="110"/>
      <c r="T845" s="110"/>
      <c r="U845" s="110"/>
      <c r="V845" s="110"/>
      <c r="W845" s="110"/>
      <c r="X845" s="110"/>
      <c r="Y845" s="110"/>
    </row>
    <row r="846" ht="13.5" customHeight="1" spans="1:25">
      <c r="A846" s="102"/>
      <c r="B846" s="102"/>
      <c r="C846" s="102"/>
      <c r="D846" s="101"/>
      <c r="E846" s="101"/>
      <c r="F846" s="101"/>
      <c r="G846" s="102"/>
      <c r="H846" s="101"/>
      <c r="I846" s="101"/>
      <c r="J846" s="101"/>
      <c r="K846" s="101"/>
      <c r="L846" s="101"/>
      <c r="M846" s="182"/>
      <c r="N846" s="101"/>
      <c r="O846" s="110"/>
      <c r="P846" s="101"/>
      <c r="Q846" s="102"/>
      <c r="R846" s="102"/>
      <c r="S846" s="110"/>
      <c r="T846" s="110"/>
      <c r="U846" s="110"/>
      <c r="V846" s="110"/>
      <c r="W846" s="110"/>
      <c r="X846" s="110"/>
      <c r="Y846" s="110"/>
    </row>
    <row r="847" ht="13.5" customHeight="1" spans="1:25">
      <c r="A847" s="102"/>
      <c r="B847" s="102"/>
      <c r="C847" s="102"/>
      <c r="D847" s="101"/>
      <c r="E847" s="101"/>
      <c r="F847" s="101"/>
      <c r="G847" s="102"/>
      <c r="H847" s="101"/>
      <c r="I847" s="101"/>
      <c r="J847" s="101"/>
      <c r="K847" s="101"/>
      <c r="L847" s="101"/>
      <c r="M847" s="182"/>
      <c r="N847" s="101"/>
      <c r="O847" s="110"/>
      <c r="P847" s="101"/>
      <c r="Q847" s="102"/>
      <c r="R847" s="102"/>
      <c r="S847" s="110"/>
      <c r="T847" s="110"/>
      <c r="U847" s="110"/>
      <c r="V847" s="110"/>
      <c r="W847" s="110"/>
      <c r="X847" s="110"/>
      <c r="Y847" s="110"/>
    </row>
    <row r="848" ht="13.5" customHeight="1" spans="1:25">
      <c r="A848" s="102"/>
      <c r="B848" s="102"/>
      <c r="C848" s="102"/>
      <c r="D848" s="101"/>
      <c r="E848" s="101"/>
      <c r="F848" s="101"/>
      <c r="G848" s="102"/>
      <c r="H848" s="101"/>
      <c r="I848" s="101"/>
      <c r="J848" s="101"/>
      <c r="K848" s="101"/>
      <c r="L848" s="101"/>
      <c r="M848" s="182"/>
      <c r="N848" s="101"/>
      <c r="O848" s="110"/>
      <c r="P848" s="101"/>
      <c r="Q848" s="102"/>
      <c r="R848" s="102"/>
      <c r="S848" s="110"/>
      <c r="T848" s="110"/>
      <c r="U848" s="110"/>
      <c r="V848" s="110"/>
      <c r="W848" s="110"/>
      <c r="X848" s="110"/>
      <c r="Y848" s="110"/>
    </row>
    <row r="849" ht="13.5" customHeight="1" spans="1:25">
      <c r="A849" s="102"/>
      <c r="B849" s="102"/>
      <c r="C849" s="102"/>
      <c r="D849" s="101"/>
      <c r="E849" s="101"/>
      <c r="F849" s="101"/>
      <c r="G849" s="102"/>
      <c r="H849" s="101"/>
      <c r="I849" s="101"/>
      <c r="J849" s="101"/>
      <c r="K849" s="101"/>
      <c r="L849" s="101"/>
      <c r="M849" s="182"/>
      <c r="N849" s="101"/>
      <c r="O849" s="110"/>
      <c r="P849" s="101"/>
      <c r="Q849" s="102"/>
      <c r="R849" s="102"/>
      <c r="S849" s="110"/>
      <c r="T849" s="110"/>
      <c r="U849" s="110"/>
      <c r="V849" s="110"/>
      <c r="W849" s="110"/>
      <c r="X849" s="110"/>
      <c r="Y849" s="110"/>
    </row>
    <row r="850" ht="13.5" customHeight="1" spans="1:25">
      <c r="A850" s="102"/>
      <c r="B850" s="102"/>
      <c r="C850" s="102"/>
      <c r="D850" s="101"/>
      <c r="E850" s="101"/>
      <c r="F850" s="101"/>
      <c r="G850" s="102"/>
      <c r="H850" s="101"/>
      <c r="I850" s="101"/>
      <c r="J850" s="101"/>
      <c r="K850" s="101"/>
      <c r="L850" s="101"/>
      <c r="M850" s="182"/>
      <c r="N850" s="101"/>
      <c r="O850" s="110"/>
      <c r="P850" s="101"/>
      <c r="Q850" s="102"/>
      <c r="R850" s="102"/>
      <c r="S850" s="110"/>
      <c r="T850" s="110"/>
      <c r="U850" s="110"/>
      <c r="V850" s="110"/>
      <c r="W850" s="110"/>
      <c r="X850" s="110"/>
      <c r="Y850" s="110"/>
    </row>
    <row r="851" ht="13.5" customHeight="1" spans="1:25">
      <c r="A851" s="102"/>
      <c r="B851" s="102"/>
      <c r="C851" s="102"/>
      <c r="D851" s="101"/>
      <c r="E851" s="101"/>
      <c r="F851" s="101"/>
      <c r="G851" s="102"/>
      <c r="H851" s="101"/>
      <c r="I851" s="101"/>
      <c r="J851" s="101"/>
      <c r="K851" s="101"/>
      <c r="L851" s="101"/>
      <c r="M851" s="182"/>
      <c r="N851" s="101"/>
      <c r="O851" s="110"/>
      <c r="P851" s="101"/>
      <c r="Q851" s="102"/>
      <c r="R851" s="102"/>
      <c r="S851" s="110"/>
      <c r="T851" s="110"/>
      <c r="U851" s="110"/>
      <c r="V851" s="110"/>
      <c r="W851" s="110"/>
      <c r="X851" s="110"/>
      <c r="Y851" s="110"/>
    </row>
    <row r="852" ht="13.5" customHeight="1" spans="1:25">
      <c r="A852" s="102"/>
      <c r="B852" s="102"/>
      <c r="C852" s="102"/>
      <c r="D852" s="101"/>
      <c r="E852" s="101"/>
      <c r="F852" s="101"/>
      <c r="G852" s="102"/>
      <c r="H852" s="101"/>
      <c r="I852" s="101"/>
      <c r="J852" s="101"/>
      <c r="K852" s="101"/>
      <c r="L852" s="101"/>
      <c r="M852" s="182"/>
      <c r="N852" s="101"/>
      <c r="O852" s="110"/>
      <c r="P852" s="101"/>
      <c r="Q852" s="102"/>
      <c r="R852" s="102"/>
      <c r="S852" s="110"/>
      <c r="T852" s="110"/>
      <c r="U852" s="110"/>
      <c r="V852" s="110"/>
      <c r="W852" s="110"/>
      <c r="X852" s="110"/>
      <c r="Y852" s="110"/>
    </row>
    <row r="853" ht="13.5" customHeight="1" spans="1:25">
      <c r="A853" s="102"/>
      <c r="B853" s="102"/>
      <c r="C853" s="102"/>
      <c r="D853" s="101"/>
      <c r="E853" s="101"/>
      <c r="F853" s="101"/>
      <c r="G853" s="102"/>
      <c r="H853" s="101"/>
      <c r="I853" s="101"/>
      <c r="J853" s="101"/>
      <c r="K853" s="101"/>
      <c r="L853" s="101"/>
      <c r="M853" s="182"/>
      <c r="N853" s="101"/>
      <c r="O853" s="110"/>
      <c r="P853" s="101"/>
      <c r="Q853" s="102"/>
      <c r="R853" s="102"/>
      <c r="S853" s="110"/>
      <c r="T853" s="110"/>
      <c r="U853" s="110"/>
      <c r="V853" s="110"/>
      <c r="W853" s="110"/>
      <c r="X853" s="110"/>
      <c r="Y853" s="110"/>
    </row>
    <row r="854" ht="13.5" customHeight="1" spans="1:25">
      <c r="A854" s="102"/>
      <c r="B854" s="102"/>
      <c r="C854" s="102"/>
      <c r="D854" s="101"/>
      <c r="E854" s="101"/>
      <c r="F854" s="101"/>
      <c r="G854" s="102"/>
      <c r="H854" s="101"/>
      <c r="I854" s="101"/>
      <c r="J854" s="101"/>
      <c r="K854" s="101"/>
      <c r="L854" s="101"/>
      <c r="M854" s="182"/>
      <c r="N854" s="101"/>
      <c r="O854" s="110"/>
      <c r="P854" s="101"/>
      <c r="Q854" s="102"/>
      <c r="R854" s="102"/>
      <c r="S854" s="110"/>
      <c r="T854" s="110"/>
      <c r="U854" s="110"/>
      <c r="V854" s="110"/>
      <c r="W854" s="110"/>
      <c r="X854" s="110"/>
      <c r="Y854" s="110"/>
    </row>
    <row r="855" ht="13.5" customHeight="1" spans="1:25">
      <c r="A855" s="102"/>
      <c r="B855" s="102"/>
      <c r="C855" s="102"/>
      <c r="D855" s="101"/>
      <c r="E855" s="101"/>
      <c r="F855" s="101"/>
      <c r="G855" s="102"/>
      <c r="H855" s="101"/>
      <c r="I855" s="101"/>
      <c r="J855" s="101"/>
      <c r="K855" s="101"/>
      <c r="L855" s="101"/>
      <c r="M855" s="182"/>
      <c r="N855" s="101"/>
      <c r="O855" s="110"/>
      <c r="P855" s="101"/>
      <c r="Q855" s="102"/>
      <c r="R855" s="102"/>
      <c r="S855" s="110"/>
      <c r="T855" s="110"/>
      <c r="U855" s="110"/>
      <c r="V855" s="110"/>
      <c r="W855" s="110"/>
      <c r="X855" s="110"/>
      <c r="Y855" s="110"/>
    </row>
    <row r="856" ht="13.5" customHeight="1" spans="1:25">
      <c r="A856" s="102"/>
      <c r="B856" s="102"/>
      <c r="C856" s="102"/>
      <c r="D856" s="101"/>
      <c r="E856" s="101"/>
      <c r="F856" s="101"/>
      <c r="G856" s="102"/>
      <c r="H856" s="101"/>
      <c r="I856" s="101"/>
      <c r="J856" s="101"/>
      <c r="K856" s="101"/>
      <c r="L856" s="101"/>
      <c r="M856" s="182"/>
      <c r="N856" s="101"/>
      <c r="O856" s="110"/>
      <c r="P856" s="101"/>
      <c r="Q856" s="102"/>
      <c r="R856" s="102"/>
      <c r="S856" s="110"/>
      <c r="T856" s="110"/>
      <c r="U856" s="110"/>
      <c r="V856" s="110"/>
      <c r="W856" s="110"/>
      <c r="X856" s="110"/>
      <c r="Y856" s="110"/>
    </row>
    <row r="857" ht="13.5" customHeight="1" spans="1:25">
      <c r="A857" s="102"/>
      <c r="B857" s="102"/>
      <c r="C857" s="102"/>
      <c r="D857" s="101"/>
      <c r="E857" s="101"/>
      <c r="F857" s="101"/>
      <c r="G857" s="102"/>
      <c r="H857" s="101"/>
      <c r="I857" s="101"/>
      <c r="J857" s="101"/>
      <c r="K857" s="101"/>
      <c r="L857" s="101"/>
      <c r="M857" s="182"/>
      <c r="N857" s="101"/>
      <c r="O857" s="110"/>
      <c r="P857" s="101"/>
      <c r="Q857" s="102"/>
      <c r="R857" s="102"/>
      <c r="S857" s="110"/>
      <c r="T857" s="110"/>
      <c r="U857" s="110"/>
      <c r="V857" s="110"/>
      <c r="W857" s="110"/>
      <c r="X857" s="110"/>
      <c r="Y857" s="110"/>
    </row>
    <row r="858" ht="13.5" customHeight="1" spans="1:25">
      <c r="A858" s="102"/>
      <c r="B858" s="102"/>
      <c r="C858" s="102"/>
      <c r="D858" s="101"/>
      <c r="E858" s="101"/>
      <c r="F858" s="101"/>
      <c r="G858" s="102"/>
      <c r="H858" s="101"/>
      <c r="I858" s="101"/>
      <c r="J858" s="101"/>
      <c r="K858" s="101"/>
      <c r="L858" s="101"/>
      <c r="M858" s="182"/>
      <c r="N858" s="101"/>
      <c r="O858" s="110"/>
      <c r="P858" s="101"/>
      <c r="Q858" s="102"/>
      <c r="R858" s="102"/>
      <c r="S858" s="110"/>
      <c r="T858" s="110"/>
      <c r="U858" s="110"/>
      <c r="V858" s="110"/>
      <c r="W858" s="110"/>
      <c r="X858" s="110"/>
      <c r="Y858" s="110"/>
    </row>
    <row r="859" ht="13.5" customHeight="1" spans="1:25">
      <c r="A859" s="102"/>
      <c r="B859" s="102"/>
      <c r="C859" s="102"/>
      <c r="D859" s="101"/>
      <c r="E859" s="101"/>
      <c r="F859" s="101"/>
      <c r="G859" s="102"/>
      <c r="H859" s="101"/>
      <c r="I859" s="101"/>
      <c r="J859" s="101"/>
      <c r="K859" s="101"/>
      <c r="L859" s="101"/>
      <c r="M859" s="182"/>
      <c r="N859" s="101"/>
      <c r="O859" s="110"/>
      <c r="P859" s="101"/>
      <c r="Q859" s="102"/>
      <c r="R859" s="102"/>
      <c r="S859" s="110"/>
      <c r="T859" s="110"/>
      <c r="U859" s="110"/>
      <c r="V859" s="110"/>
      <c r="W859" s="110"/>
      <c r="X859" s="110"/>
      <c r="Y859" s="110"/>
    </row>
    <row r="860" ht="13.5" customHeight="1" spans="1:25">
      <c r="A860" s="102"/>
      <c r="B860" s="102"/>
      <c r="C860" s="102"/>
      <c r="D860" s="101"/>
      <c r="E860" s="101"/>
      <c r="F860" s="101"/>
      <c r="G860" s="102"/>
      <c r="H860" s="101"/>
      <c r="I860" s="101"/>
      <c r="J860" s="101"/>
      <c r="K860" s="101"/>
      <c r="L860" s="101"/>
      <c r="M860" s="182"/>
      <c r="N860" s="101"/>
      <c r="O860" s="110"/>
      <c r="P860" s="101"/>
      <c r="Q860" s="102"/>
      <c r="R860" s="102"/>
      <c r="S860" s="110"/>
      <c r="T860" s="110"/>
      <c r="U860" s="110"/>
      <c r="V860" s="110"/>
      <c r="W860" s="110"/>
      <c r="X860" s="110"/>
      <c r="Y860" s="110"/>
    </row>
    <row r="861" ht="13.5" customHeight="1" spans="1:25">
      <c r="A861" s="102"/>
      <c r="B861" s="102"/>
      <c r="C861" s="102"/>
      <c r="D861" s="101"/>
      <c r="E861" s="101"/>
      <c r="F861" s="101"/>
      <c r="G861" s="102"/>
      <c r="H861" s="101"/>
      <c r="I861" s="101"/>
      <c r="J861" s="101"/>
      <c r="K861" s="101"/>
      <c r="L861" s="101"/>
      <c r="M861" s="182"/>
      <c r="N861" s="101"/>
      <c r="O861" s="110"/>
      <c r="P861" s="101"/>
      <c r="Q861" s="102"/>
      <c r="R861" s="102"/>
      <c r="S861" s="110"/>
      <c r="T861" s="110"/>
      <c r="U861" s="110"/>
      <c r="V861" s="110"/>
      <c r="W861" s="110"/>
      <c r="X861" s="110"/>
      <c r="Y861" s="110"/>
    </row>
    <row r="862" ht="13.5" customHeight="1" spans="1:25">
      <c r="A862" s="102"/>
      <c r="B862" s="102"/>
      <c r="C862" s="102"/>
      <c r="D862" s="101"/>
      <c r="E862" s="101"/>
      <c r="F862" s="101"/>
      <c r="G862" s="102"/>
      <c r="H862" s="101"/>
      <c r="I862" s="101"/>
      <c r="J862" s="101"/>
      <c r="K862" s="101"/>
      <c r="L862" s="101"/>
      <c r="M862" s="182"/>
      <c r="N862" s="101"/>
      <c r="O862" s="110"/>
      <c r="P862" s="101"/>
      <c r="Q862" s="102"/>
      <c r="R862" s="102"/>
      <c r="S862" s="110"/>
      <c r="T862" s="110"/>
      <c r="U862" s="110"/>
      <c r="V862" s="110"/>
      <c r="W862" s="110"/>
      <c r="X862" s="110"/>
      <c r="Y862" s="110"/>
    </row>
    <row r="863" ht="13.5" customHeight="1" spans="1:25">
      <c r="A863" s="102"/>
      <c r="B863" s="102"/>
      <c r="C863" s="102"/>
      <c r="D863" s="101"/>
      <c r="E863" s="101"/>
      <c r="F863" s="101"/>
      <c r="G863" s="102"/>
      <c r="H863" s="101"/>
      <c r="I863" s="101"/>
      <c r="J863" s="101"/>
      <c r="K863" s="101"/>
      <c r="L863" s="101"/>
      <c r="M863" s="182"/>
      <c r="N863" s="101"/>
      <c r="O863" s="110"/>
      <c r="P863" s="101"/>
      <c r="Q863" s="102"/>
      <c r="R863" s="102"/>
      <c r="S863" s="110"/>
      <c r="T863" s="110"/>
      <c r="U863" s="110"/>
      <c r="V863" s="110"/>
      <c r="W863" s="110"/>
      <c r="X863" s="110"/>
      <c r="Y863" s="110"/>
    </row>
    <row r="864" ht="13.5" customHeight="1" spans="1:25">
      <c r="A864" s="102"/>
      <c r="B864" s="102"/>
      <c r="C864" s="102"/>
      <c r="D864" s="101"/>
      <c r="E864" s="101"/>
      <c r="F864" s="101"/>
      <c r="G864" s="102"/>
      <c r="H864" s="101"/>
      <c r="I864" s="101"/>
      <c r="J864" s="101"/>
      <c r="K864" s="101"/>
      <c r="L864" s="101"/>
      <c r="M864" s="182"/>
      <c r="N864" s="101"/>
      <c r="O864" s="110"/>
      <c r="P864" s="101"/>
      <c r="Q864" s="102"/>
      <c r="R864" s="102"/>
      <c r="S864" s="110"/>
      <c r="T864" s="110"/>
      <c r="U864" s="110"/>
      <c r="V864" s="110"/>
      <c r="W864" s="110"/>
      <c r="X864" s="110"/>
      <c r="Y864" s="110"/>
    </row>
    <row r="865" ht="13.5" customHeight="1" spans="1:25">
      <c r="A865" s="102"/>
      <c r="B865" s="102"/>
      <c r="C865" s="102"/>
      <c r="D865" s="101"/>
      <c r="E865" s="101"/>
      <c r="F865" s="101"/>
      <c r="G865" s="102"/>
      <c r="H865" s="101"/>
      <c r="I865" s="101"/>
      <c r="J865" s="101"/>
      <c r="K865" s="101"/>
      <c r="L865" s="101"/>
      <c r="M865" s="182"/>
      <c r="N865" s="101"/>
      <c r="O865" s="110"/>
      <c r="P865" s="101"/>
      <c r="Q865" s="102"/>
      <c r="R865" s="102"/>
      <c r="S865" s="110"/>
      <c r="T865" s="110"/>
      <c r="U865" s="110"/>
      <c r="V865" s="110"/>
      <c r="W865" s="110"/>
      <c r="X865" s="110"/>
      <c r="Y865" s="110"/>
    </row>
    <row r="866" ht="13.5" customHeight="1" spans="1:25">
      <c r="A866" s="102"/>
      <c r="B866" s="102"/>
      <c r="C866" s="102"/>
      <c r="D866" s="101"/>
      <c r="E866" s="101"/>
      <c r="F866" s="101"/>
      <c r="G866" s="102"/>
      <c r="H866" s="101"/>
      <c r="I866" s="101"/>
      <c r="J866" s="101"/>
      <c r="K866" s="101"/>
      <c r="L866" s="101"/>
      <c r="M866" s="182"/>
      <c r="N866" s="101"/>
      <c r="O866" s="110"/>
      <c r="P866" s="101"/>
      <c r="Q866" s="102"/>
      <c r="R866" s="102"/>
      <c r="S866" s="110"/>
      <c r="T866" s="110"/>
      <c r="U866" s="110"/>
      <c r="V866" s="110"/>
      <c r="W866" s="110"/>
      <c r="X866" s="110"/>
      <c r="Y866" s="110"/>
    </row>
    <row r="867" ht="13.5" customHeight="1" spans="1:25">
      <c r="A867" s="102"/>
      <c r="B867" s="102"/>
      <c r="C867" s="102"/>
      <c r="D867" s="101"/>
      <c r="E867" s="101"/>
      <c r="F867" s="101"/>
      <c r="G867" s="102"/>
      <c r="H867" s="101"/>
      <c r="I867" s="101"/>
      <c r="J867" s="101"/>
      <c r="K867" s="101"/>
      <c r="L867" s="101"/>
      <c r="M867" s="182"/>
      <c r="N867" s="101"/>
      <c r="O867" s="110"/>
      <c r="P867" s="101"/>
      <c r="Q867" s="102"/>
      <c r="R867" s="102"/>
      <c r="S867" s="110"/>
      <c r="T867" s="110"/>
      <c r="U867" s="110"/>
      <c r="V867" s="110"/>
      <c r="W867" s="110"/>
      <c r="X867" s="110"/>
      <c r="Y867" s="110"/>
    </row>
    <row r="868" ht="13.5" customHeight="1" spans="1:25">
      <c r="A868" s="102"/>
      <c r="B868" s="102"/>
      <c r="C868" s="102"/>
      <c r="D868" s="101"/>
      <c r="E868" s="101"/>
      <c r="F868" s="101"/>
      <c r="G868" s="102"/>
      <c r="H868" s="101"/>
      <c r="I868" s="101"/>
      <c r="J868" s="101"/>
      <c r="K868" s="101"/>
      <c r="L868" s="101"/>
      <c r="M868" s="182"/>
      <c r="N868" s="101"/>
      <c r="O868" s="110"/>
      <c r="P868" s="101"/>
      <c r="Q868" s="102"/>
      <c r="R868" s="102"/>
      <c r="S868" s="110"/>
      <c r="T868" s="110"/>
      <c r="U868" s="110"/>
      <c r="V868" s="110"/>
      <c r="W868" s="110"/>
      <c r="X868" s="110"/>
      <c r="Y868" s="110"/>
    </row>
    <row r="869" ht="13.5" customHeight="1" spans="1:25">
      <c r="A869" s="102"/>
      <c r="B869" s="102"/>
      <c r="C869" s="102"/>
      <c r="D869" s="101"/>
      <c r="E869" s="101"/>
      <c r="F869" s="101"/>
      <c r="G869" s="102"/>
      <c r="H869" s="101"/>
      <c r="I869" s="101"/>
      <c r="J869" s="101"/>
      <c r="K869" s="101"/>
      <c r="L869" s="101"/>
      <c r="M869" s="182"/>
      <c r="N869" s="101"/>
      <c r="O869" s="110"/>
      <c r="P869" s="101"/>
      <c r="Q869" s="102"/>
      <c r="R869" s="102"/>
      <c r="S869" s="110"/>
      <c r="T869" s="110"/>
      <c r="U869" s="110"/>
      <c r="V869" s="110"/>
      <c r="W869" s="110"/>
      <c r="X869" s="110"/>
      <c r="Y869" s="110"/>
    </row>
    <row r="870" ht="13.5" customHeight="1" spans="1:25">
      <c r="A870" s="102"/>
      <c r="B870" s="102"/>
      <c r="C870" s="102"/>
      <c r="D870" s="101"/>
      <c r="E870" s="101"/>
      <c r="F870" s="101"/>
      <c r="G870" s="102"/>
      <c r="H870" s="101"/>
      <c r="I870" s="101"/>
      <c r="J870" s="101"/>
      <c r="K870" s="101"/>
      <c r="L870" s="101"/>
      <c r="M870" s="182"/>
      <c r="N870" s="101"/>
      <c r="O870" s="110"/>
      <c r="P870" s="101"/>
      <c r="Q870" s="102"/>
      <c r="R870" s="102"/>
      <c r="S870" s="110"/>
      <c r="T870" s="110"/>
      <c r="U870" s="110"/>
      <c r="V870" s="110"/>
      <c r="W870" s="110"/>
      <c r="X870" s="110"/>
      <c r="Y870" s="110"/>
    </row>
    <row r="871" ht="13.5" customHeight="1" spans="1:25">
      <c r="A871" s="102"/>
      <c r="B871" s="102"/>
      <c r="C871" s="102"/>
      <c r="D871" s="101"/>
      <c r="E871" s="101"/>
      <c r="F871" s="101"/>
      <c r="G871" s="102"/>
      <c r="H871" s="101"/>
      <c r="I871" s="101"/>
      <c r="J871" s="101"/>
      <c r="K871" s="101"/>
      <c r="L871" s="101"/>
      <c r="M871" s="182"/>
      <c r="N871" s="101"/>
      <c r="O871" s="110"/>
      <c r="P871" s="101"/>
      <c r="Q871" s="102"/>
      <c r="R871" s="102"/>
      <c r="S871" s="110"/>
      <c r="T871" s="110"/>
      <c r="U871" s="110"/>
      <c r="V871" s="110"/>
      <c r="W871" s="110"/>
      <c r="X871" s="110"/>
      <c r="Y871" s="110"/>
    </row>
    <row r="872" ht="13.5" customHeight="1" spans="1:25">
      <c r="A872" s="102"/>
      <c r="B872" s="102"/>
      <c r="C872" s="102"/>
      <c r="D872" s="101"/>
      <c r="E872" s="101"/>
      <c r="F872" s="101"/>
      <c r="G872" s="102"/>
      <c r="H872" s="101"/>
      <c r="I872" s="101"/>
      <c r="J872" s="101"/>
      <c r="K872" s="101"/>
      <c r="L872" s="101"/>
      <c r="M872" s="182"/>
      <c r="N872" s="101"/>
      <c r="O872" s="110"/>
      <c r="P872" s="101"/>
      <c r="Q872" s="102"/>
      <c r="R872" s="102"/>
      <c r="S872" s="110"/>
      <c r="T872" s="110"/>
      <c r="U872" s="110"/>
      <c r="V872" s="110"/>
      <c r="W872" s="110"/>
      <c r="X872" s="110"/>
      <c r="Y872" s="110"/>
    </row>
    <row r="873" ht="13.5" customHeight="1" spans="1:25">
      <c r="A873" s="102"/>
      <c r="B873" s="102"/>
      <c r="C873" s="102"/>
      <c r="D873" s="101"/>
      <c r="E873" s="101"/>
      <c r="F873" s="101"/>
      <c r="G873" s="102"/>
      <c r="H873" s="101"/>
      <c r="I873" s="101"/>
      <c r="J873" s="101"/>
      <c r="K873" s="101"/>
      <c r="L873" s="101"/>
      <c r="M873" s="182"/>
      <c r="N873" s="101"/>
      <c r="O873" s="110"/>
      <c r="P873" s="101"/>
      <c r="Q873" s="102"/>
      <c r="R873" s="102"/>
      <c r="S873" s="110"/>
      <c r="T873" s="110"/>
      <c r="U873" s="110"/>
      <c r="V873" s="110"/>
      <c r="W873" s="110"/>
      <c r="X873" s="110"/>
      <c r="Y873" s="110"/>
    </row>
    <row r="874" ht="13.5" customHeight="1" spans="1:25">
      <c r="A874" s="102"/>
      <c r="B874" s="102"/>
      <c r="C874" s="102"/>
      <c r="D874" s="101"/>
      <c r="E874" s="101"/>
      <c r="F874" s="101"/>
      <c r="G874" s="102"/>
      <c r="H874" s="101"/>
      <c r="I874" s="101"/>
      <c r="J874" s="101"/>
      <c r="K874" s="101"/>
      <c r="L874" s="101"/>
      <c r="M874" s="182"/>
      <c r="N874" s="101"/>
      <c r="O874" s="110"/>
      <c r="P874" s="101"/>
      <c r="Q874" s="102"/>
      <c r="R874" s="102"/>
      <c r="S874" s="110"/>
      <c r="T874" s="110"/>
      <c r="U874" s="110"/>
      <c r="V874" s="110"/>
      <c r="W874" s="110"/>
      <c r="X874" s="110"/>
      <c r="Y874" s="110"/>
    </row>
    <row r="875" ht="13.5" customHeight="1" spans="1:25">
      <c r="A875" s="102"/>
      <c r="B875" s="102"/>
      <c r="C875" s="102"/>
      <c r="D875" s="101"/>
      <c r="E875" s="101"/>
      <c r="F875" s="101"/>
      <c r="G875" s="102"/>
      <c r="H875" s="101"/>
      <c r="I875" s="101"/>
      <c r="J875" s="101"/>
      <c r="K875" s="101"/>
      <c r="L875" s="101"/>
      <c r="M875" s="182"/>
      <c r="N875" s="101"/>
      <c r="O875" s="110"/>
      <c r="P875" s="101"/>
      <c r="Q875" s="102"/>
      <c r="R875" s="102"/>
      <c r="S875" s="110"/>
      <c r="T875" s="110"/>
      <c r="U875" s="110"/>
      <c r="V875" s="110"/>
      <c r="W875" s="110"/>
      <c r="X875" s="110"/>
      <c r="Y875" s="110"/>
    </row>
    <row r="876" ht="13.5" customHeight="1" spans="1:25">
      <c r="A876" s="102"/>
      <c r="B876" s="102"/>
      <c r="C876" s="102"/>
      <c r="D876" s="101"/>
      <c r="E876" s="101"/>
      <c r="F876" s="101"/>
      <c r="G876" s="102"/>
      <c r="H876" s="101"/>
      <c r="I876" s="101"/>
      <c r="J876" s="101"/>
      <c r="K876" s="101"/>
      <c r="L876" s="101"/>
      <c r="M876" s="182"/>
      <c r="N876" s="101"/>
      <c r="O876" s="110"/>
      <c r="P876" s="101"/>
      <c r="Q876" s="102"/>
      <c r="R876" s="102"/>
      <c r="S876" s="110"/>
      <c r="T876" s="110"/>
      <c r="U876" s="110"/>
      <c r="V876" s="110"/>
      <c r="W876" s="110"/>
      <c r="X876" s="110"/>
      <c r="Y876" s="110"/>
    </row>
    <row r="877" ht="13.5" customHeight="1" spans="1:25">
      <c r="A877" s="102"/>
      <c r="B877" s="102"/>
      <c r="C877" s="102"/>
      <c r="D877" s="101"/>
      <c r="E877" s="101"/>
      <c r="F877" s="101"/>
      <c r="G877" s="102"/>
      <c r="H877" s="101"/>
      <c r="I877" s="101"/>
      <c r="J877" s="101"/>
      <c r="K877" s="101"/>
      <c r="L877" s="101"/>
      <c r="M877" s="182"/>
      <c r="N877" s="101"/>
      <c r="O877" s="110"/>
      <c r="P877" s="101"/>
      <c r="Q877" s="102"/>
      <c r="R877" s="102"/>
      <c r="S877" s="110"/>
      <c r="T877" s="110"/>
      <c r="U877" s="110"/>
      <c r="V877" s="110"/>
      <c r="W877" s="110"/>
      <c r="X877" s="110"/>
      <c r="Y877" s="110"/>
    </row>
    <row r="878" ht="13.5" customHeight="1" spans="1:25">
      <c r="A878" s="102"/>
      <c r="B878" s="102"/>
      <c r="C878" s="102"/>
      <c r="D878" s="101"/>
      <c r="E878" s="101"/>
      <c r="F878" s="101"/>
      <c r="G878" s="102"/>
      <c r="H878" s="101"/>
      <c r="I878" s="101"/>
      <c r="J878" s="101"/>
      <c r="K878" s="101"/>
      <c r="L878" s="101"/>
      <c r="M878" s="182"/>
      <c r="N878" s="101"/>
      <c r="O878" s="110"/>
      <c r="P878" s="101"/>
      <c r="Q878" s="102"/>
      <c r="R878" s="102"/>
      <c r="S878" s="110"/>
      <c r="T878" s="110"/>
      <c r="U878" s="110"/>
      <c r="V878" s="110"/>
      <c r="W878" s="110"/>
      <c r="X878" s="110"/>
      <c r="Y878" s="110"/>
    </row>
    <row r="879" ht="13.5" customHeight="1" spans="1:25">
      <c r="A879" s="102"/>
      <c r="B879" s="102"/>
      <c r="C879" s="102"/>
      <c r="D879" s="101"/>
      <c r="E879" s="101"/>
      <c r="F879" s="101"/>
      <c r="G879" s="102"/>
      <c r="H879" s="101"/>
      <c r="I879" s="101"/>
      <c r="J879" s="101"/>
      <c r="K879" s="101"/>
      <c r="L879" s="101"/>
      <c r="M879" s="182"/>
      <c r="N879" s="101"/>
      <c r="O879" s="110"/>
      <c r="P879" s="101"/>
      <c r="Q879" s="102"/>
      <c r="R879" s="102"/>
      <c r="S879" s="110"/>
      <c r="T879" s="110"/>
      <c r="U879" s="110"/>
      <c r="V879" s="110"/>
      <c r="W879" s="110"/>
      <c r="X879" s="110"/>
      <c r="Y879" s="110"/>
    </row>
    <row r="880" ht="13.5" customHeight="1" spans="1:25">
      <c r="A880" s="102"/>
      <c r="B880" s="102"/>
      <c r="C880" s="102"/>
      <c r="D880" s="101"/>
      <c r="E880" s="101"/>
      <c r="F880" s="101"/>
      <c r="G880" s="102"/>
      <c r="H880" s="101"/>
      <c r="I880" s="101"/>
      <c r="J880" s="101"/>
      <c r="K880" s="101"/>
      <c r="L880" s="101"/>
      <c r="M880" s="182"/>
      <c r="N880" s="101"/>
      <c r="O880" s="110"/>
      <c r="P880" s="101"/>
      <c r="Q880" s="102"/>
      <c r="R880" s="102"/>
      <c r="S880" s="110"/>
      <c r="T880" s="110"/>
      <c r="U880" s="110"/>
      <c r="V880" s="110"/>
      <c r="W880" s="110"/>
      <c r="X880" s="110"/>
      <c r="Y880" s="110"/>
    </row>
    <row r="881" ht="13.5" customHeight="1" spans="1:25">
      <c r="A881" s="102"/>
      <c r="B881" s="102"/>
      <c r="C881" s="102"/>
      <c r="D881" s="101"/>
      <c r="E881" s="101"/>
      <c r="F881" s="101"/>
      <c r="G881" s="102"/>
      <c r="H881" s="101"/>
      <c r="I881" s="101"/>
      <c r="J881" s="101"/>
      <c r="K881" s="101"/>
      <c r="L881" s="101"/>
      <c r="M881" s="182"/>
      <c r="N881" s="101"/>
      <c r="O881" s="110"/>
      <c r="P881" s="101"/>
      <c r="Q881" s="102"/>
      <c r="R881" s="102"/>
      <c r="S881" s="110"/>
      <c r="T881" s="110"/>
      <c r="U881" s="110"/>
      <c r="V881" s="110"/>
      <c r="W881" s="110"/>
      <c r="X881" s="110"/>
      <c r="Y881" s="110"/>
    </row>
    <row r="882" ht="13.5" customHeight="1" spans="1:25">
      <c r="A882" s="102"/>
      <c r="B882" s="102"/>
      <c r="C882" s="102"/>
      <c r="D882" s="101"/>
      <c r="E882" s="101"/>
      <c r="F882" s="101"/>
      <c r="G882" s="102"/>
      <c r="H882" s="101"/>
      <c r="I882" s="101"/>
      <c r="J882" s="101"/>
      <c r="K882" s="101"/>
      <c r="L882" s="101"/>
      <c r="M882" s="182"/>
      <c r="N882" s="101"/>
      <c r="O882" s="110"/>
      <c r="P882" s="101"/>
      <c r="Q882" s="102"/>
      <c r="R882" s="102"/>
      <c r="S882" s="110"/>
      <c r="T882" s="110"/>
      <c r="U882" s="110"/>
      <c r="V882" s="110"/>
      <c r="W882" s="110"/>
      <c r="X882" s="110"/>
      <c r="Y882" s="110"/>
    </row>
    <row r="883" ht="13.5" customHeight="1" spans="1:25">
      <c r="A883" s="102"/>
      <c r="B883" s="102"/>
      <c r="C883" s="102"/>
      <c r="D883" s="101"/>
      <c r="E883" s="101"/>
      <c r="F883" s="101"/>
      <c r="G883" s="102"/>
      <c r="H883" s="101"/>
      <c r="I883" s="101"/>
      <c r="J883" s="101"/>
      <c r="K883" s="101"/>
      <c r="L883" s="101"/>
      <c r="M883" s="182"/>
      <c r="N883" s="101"/>
      <c r="O883" s="110"/>
      <c r="P883" s="101"/>
      <c r="Q883" s="102"/>
      <c r="R883" s="102"/>
      <c r="S883" s="110"/>
      <c r="T883" s="110"/>
      <c r="U883" s="110"/>
      <c r="V883" s="110"/>
      <c r="W883" s="110"/>
      <c r="X883" s="110"/>
      <c r="Y883" s="110"/>
    </row>
    <row r="884" ht="13.5" customHeight="1" spans="1:25">
      <c r="A884" s="102"/>
      <c r="B884" s="102"/>
      <c r="C884" s="102"/>
      <c r="D884" s="101"/>
      <c r="E884" s="101"/>
      <c r="F884" s="101"/>
      <c r="G884" s="102"/>
      <c r="H884" s="101"/>
      <c r="I884" s="101"/>
      <c r="J884" s="101"/>
      <c r="K884" s="101"/>
      <c r="L884" s="101"/>
      <c r="M884" s="182"/>
      <c r="N884" s="101"/>
      <c r="O884" s="110"/>
      <c r="P884" s="101"/>
      <c r="Q884" s="102"/>
      <c r="R884" s="102"/>
      <c r="S884" s="110"/>
      <c r="T884" s="110"/>
      <c r="U884" s="110"/>
      <c r="V884" s="110"/>
      <c r="W884" s="110"/>
      <c r="X884" s="110"/>
      <c r="Y884" s="110"/>
    </row>
    <row r="885" ht="13.5" customHeight="1" spans="1:25">
      <c r="A885" s="102"/>
      <c r="B885" s="102"/>
      <c r="C885" s="102"/>
      <c r="D885" s="101"/>
      <c r="E885" s="101"/>
      <c r="F885" s="101"/>
      <c r="G885" s="102"/>
      <c r="H885" s="101"/>
      <c r="I885" s="101"/>
      <c r="J885" s="101"/>
      <c r="K885" s="101"/>
      <c r="L885" s="101"/>
      <c r="M885" s="182"/>
      <c r="N885" s="101"/>
      <c r="O885" s="110"/>
      <c r="P885" s="101"/>
      <c r="Q885" s="102"/>
      <c r="R885" s="102"/>
      <c r="S885" s="110"/>
      <c r="T885" s="110"/>
      <c r="U885" s="110"/>
      <c r="V885" s="110"/>
      <c r="W885" s="110"/>
      <c r="X885" s="110"/>
      <c r="Y885" s="110"/>
    </row>
    <row r="886" ht="13.5" customHeight="1" spans="1:25">
      <c r="A886" s="102"/>
      <c r="B886" s="102"/>
      <c r="C886" s="102"/>
      <c r="D886" s="101"/>
      <c r="E886" s="101"/>
      <c r="F886" s="101"/>
      <c r="G886" s="102"/>
      <c r="H886" s="101"/>
      <c r="I886" s="101"/>
      <c r="J886" s="101"/>
      <c r="K886" s="101"/>
      <c r="L886" s="101"/>
      <c r="M886" s="182"/>
      <c r="N886" s="101"/>
      <c r="O886" s="110"/>
      <c r="P886" s="101"/>
      <c r="Q886" s="102"/>
      <c r="R886" s="102"/>
      <c r="S886" s="110"/>
      <c r="T886" s="110"/>
      <c r="U886" s="110"/>
      <c r="V886" s="110"/>
      <c r="W886" s="110"/>
      <c r="X886" s="110"/>
      <c r="Y886" s="110"/>
    </row>
    <row r="887" ht="13.5" customHeight="1" spans="1:25">
      <c r="A887" s="102"/>
      <c r="B887" s="102"/>
      <c r="C887" s="102"/>
      <c r="D887" s="101"/>
      <c r="E887" s="101"/>
      <c r="F887" s="101"/>
      <c r="G887" s="102"/>
      <c r="H887" s="101"/>
      <c r="I887" s="101"/>
      <c r="J887" s="101"/>
      <c r="K887" s="101"/>
      <c r="L887" s="101"/>
      <c r="M887" s="182"/>
      <c r="N887" s="101"/>
      <c r="O887" s="110"/>
      <c r="P887" s="101"/>
      <c r="Q887" s="102"/>
      <c r="R887" s="102"/>
      <c r="S887" s="110"/>
      <c r="T887" s="110"/>
      <c r="U887" s="110"/>
      <c r="V887" s="110"/>
      <c r="W887" s="110"/>
      <c r="X887" s="110"/>
      <c r="Y887" s="110"/>
    </row>
    <row r="888" ht="13.5" customHeight="1" spans="1:25">
      <c r="A888" s="102"/>
      <c r="B888" s="102"/>
      <c r="C888" s="102"/>
      <c r="D888" s="101"/>
      <c r="E888" s="101"/>
      <c r="F888" s="101"/>
      <c r="G888" s="102"/>
      <c r="H888" s="101"/>
      <c r="I888" s="101"/>
      <c r="J888" s="101"/>
      <c r="K888" s="101"/>
      <c r="L888" s="101"/>
      <c r="M888" s="182"/>
      <c r="N888" s="101"/>
      <c r="O888" s="110"/>
      <c r="P888" s="101"/>
      <c r="Q888" s="102"/>
      <c r="R888" s="102"/>
      <c r="S888" s="110"/>
      <c r="T888" s="110"/>
      <c r="U888" s="110"/>
      <c r="V888" s="110"/>
      <c r="W888" s="110"/>
      <c r="X888" s="110"/>
      <c r="Y888" s="110"/>
    </row>
    <row r="889" ht="13.5" customHeight="1" spans="1:25">
      <c r="A889" s="102"/>
      <c r="B889" s="102"/>
      <c r="C889" s="102"/>
      <c r="D889" s="101"/>
      <c r="E889" s="101"/>
      <c r="F889" s="101"/>
      <c r="G889" s="102"/>
      <c r="H889" s="101"/>
      <c r="I889" s="101"/>
      <c r="J889" s="101"/>
      <c r="K889" s="101"/>
      <c r="L889" s="101"/>
      <c r="M889" s="182"/>
      <c r="N889" s="101"/>
      <c r="O889" s="110"/>
      <c r="P889" s="101"/>
      <c r="Q889" s="102"/>
      <c r="R889" s="102"/>
      <c r="S889" s="110"/>
      <c r="T889" s="110"/>
      <c r="U889" s="110"/>
      <c r="V889" s="110"/>
      <c r="W889" s="110"/>
      <c r="X889" s="110"/>
      <c r="Y889" s="110"/>
    </row>
    <row r="890" ht="13.5" customHeight="1" spans="1:25">
      <c r="A890" s="102"/>
      <c r="B890" s="102"/>
      <c r="C890" s="102"/>
      <c r="D890" s="101"/>
      <c r="E890" s="101"/>
      <c r="F890" s="101"/>
      <c r="G890" s="102"/>
      <c r="H890" s="101"/>
      <c r="I890" s="101"/>
      <c r="J890" s="101"/>
      <c r="K890" s="101"/>
      <c r="L890" s="101"/>
      <c r="M890" s="182"/>
      <c r="N890" s="101"/>
      <c r="O890" s="110"/>
      <c r="P890" s="101"/>
      <c r="Q890" s="102"/>
      <c r="R890" s="102"/>
      <c r="S890" s="110"/>
      <c r="T890" s="110"/>
      <c r="U890" s="110"/>
      <c r="V890" s="110"/>
      <c r="W890" s="110"/>
      <c r="X890" s="110"/>
      <c r="Y890" s="110"/>
    </row>
    <row r="891" ht="13.5" customHeight="1" spans="1:25">
      <c r="A891" s="102"/>
      <c r="B891" s="102"/>
      <c r="C891" s="102"/>
      <c r="D891" s="101"/>
      <c r="E891" s="101"/>
      <c r="F891" s="101"/>
      <c r="G891" s="102"/>
      <c r="H891" s="101"/>
      <c r="I891" s="101"/>
      <c r="J891" s="101"/>
      <c r="K891" s="101"/>
      <c r="L891" s="101"/>
      <c r="M891" s="182"/>
      <c r="N891" s="101"/>
      <c r="O891" s="110"/>
      <c r="P891" s="101"/>
      <c r="Q891" s="102"/>
      <c r="R891" s="102"/>
      <c r="S891" s="110"/>
      <c r="T891" s="110"/>
      <c r="U891" s="110"/>
      <c r="V891" s="110"/>
      <c r="W891" s="110"/>
      <c r="X891" s="110"/>
      <c r="Y891" s="110"/>
    </row>
    <row r="892" ht="13.5" customHeight="1" spans="1:25">
      <c r="A892" s="102"/>
      <c r="B892" s="102"/>
      <c r="C892" s="102"/>
      <c r="D892" s="101"/>
      <c r="E892" s="101"/>
      <c r="F892" s="101"/>
      <c r="G892" s="102"/>
      <c r="H892" s="101"/>
      <c r="I892" s="101"/>
      <c r="J892" s="101"/>
      <c r="K892" s="101"/>
      <c r="L892" s="101"/>
      <c r="M892" s="182"/>
      <c r="N892" s="101"/>
      <c r="O892" s="110"/>
      <c r="P892" s="101"/>
      <c r="Q892" s="102"/>
      <c r="R892" s="102"/>
      <c r="S892" s="110"/>
      <c r="T892" s="110"/>
      <c r="U892" s="110"/>
      <c r="V892" s="110"/>
      <c r="W892" s="110"/>
      <c r="X892" s="110"/>
      <c r="Y892" s="110"/>
    </row>
    <row r="893" ht="13.5" customHeight="1" spans="1:25">
      <c r="A893" s="102"/>
      <c r="B893" s="102"/>
      <c r="C893" s="102"/>
      <c r="D893" s="101"/>
      <c r="E893" s="101"/>
      <c r="F893" s="101"/>
      <c r="G893" s="102"/>
      <c r="H893" s="101"/>
      <c r="I893" s="101"/>
      <c r="J893" s="101"/>
      <c r="K893" s="101"/>
      <c r="L893" s="101"/>
      <c r="M893" s="182"/>
      <c r="N893" s="101"/>
      <c r="O893" s="110"/>
      <c r="P893" s="101"/>
      <c r="Q893" s="102"/>
      <c r="R893" s="102"/>
      <c r="S893" s="110"/>
      <c r="T893" s="110"/>
      <c r="U893" s="110"/>
      <c r="V893" s="110"/>
      <c r="W893" s="110"/>
      <c r="X893" s="110"/>
      <c r="Y893" s="110"/>
    </row>
    <row r="894" ht="13.5" customHeight="1" spans="1:25">
      <c r="A894" s="102"/>
      <c r="B894" s="102"/>
      <c r="C894" s="102"/>
      <c r="D894" s="101"/>
      <c r="E894" s="101"/>
      <c r="F894" s="101"/>
      <c r="G894" s="102"/>
      <c r="H894" s="101"/>
      <c r="I894" s="101"/>
      <c r="J894" s="101"/>
      <c r="K894" s="101"/>
      <c r="L894" s="101"/>
      <c r="M894" s="182"/>
      <c r="N894" s="101"/>
      <c r="O894" s="110"/>
      <c r="P894" s="101"/>
      <c r="Q894" s="102"/>
      <c r="R894" s="102"/>
      <c r="S894" s="110"/>
      <c r="T894" s="110"/>
      <c r="U894" s="110"/>
      <c r="V894" s="110"/>
      <c r="W894" s="110"/>
      <c r="X894" s="110"/>
      <c r="Y894" s="110"/>
    </row>
    <row r="895" ht="13.5" customHeight="1" spans="1:25">
      <c r="A895" s="102"/>
      <c r="B895" s="102"/>
      <c r="C895" s="102"/>
      <c r="D895" s="101"/>
      <c r="E895" s="101"/>
      <c r="F895" s="101"/>
      <c r="G895" s="102"/>
      <c r="H895" s="101"/>
      <c r="I895" s="101"/>
      <c r="J895" s="101"/>
      <c r="K895" s="101"/>
      <c r="L895" s="101"/>
      <c r="M895" s="182"/>
      <c r="N895" s="101"/>
      <c r="O895" s="110"/>
      <c r="P895" s="101"/>
      <c r="Q895" s="102"/>
      <c r="R895" s="102"/>
      <c r="S895" s="110"/>
      <c r="T895" s="110"/>
      <c r="U895" s="110"/>
      <c r="V895" s="110"/>
      <c r="W895" s="110"/>
      <c r="X895" s="110"/>
      <c r="Y895" s="110"/>
    </row>
    <row r="896" ht="13.5" customHeight="1" spans="1:25">
      <c r="A896" s="102"/>
      <c r="B896" s="102"/>
      <c r="C896" s="102"/>
      <c r="D896" s="101"/>
      <c r="E896" s="101"/>
      <c r="F896" s="101"/>
      <c r="G896" s="102"/>
      <c r="H896" s="101"/>
      <c r="I896" s="101"/>
      <c r="J896" s="101"/>
      <c r="K896" s="101"/>
      <c r="L896" s="101"/>
      <c r="M896" s="182"/>
      <c r="N896" s="101"/>
      <c r="O896" s="110"/>
      <c r="P896" s="101"/>
      <c r="Q896" s="102"/>
      <c r="R896" s="102"/>
      <c r="S896" s="110"/>
      <c r="T896" s="110"/>
      <c r="U896" s="110"/>
      <c r="V896" s="110"/>
      <c r="W896" s="110"/>
      <c r="X896" s="110"/>
      <c r="Y896" s="110"/>
    </row>
    <row r="897" ht="13.5" customHeight="1" spans="1:25">
      <c r="A897" s="102"/>
      <c r="B897" s="102"/>
      <c r="C897" s="102"/>
      <c r="D897" s="101"/>
      <c r="E897" s="101"/>
      <c r="F897" s="101"/>
      <c r="G897" s="102"/>
      <c r="H897" s="101"/>
      <c r="I897" s="101"/>
      <c r="J897" s="101"/>
      <c r="K897" s="101"/>
      <c r="L897" s="101"/>
      <c r="M897" s="182"/>
      <c r="N897" s="101"/>
      <c r="O897" s="110"/>
      <c r="P897" s="101"/>
      <c r="Q897" s="102"/>
      <c r="R897" s="102"/>
      <c r="S897" s="110"/>
      <c r="T897" s="110"/>
      <c r="U897" s="110"/>
      <c r="V897" s="110"/>
      <c r="W897" s="110"/>
      <c r="X897" s="110"/>
      <c r="Y897" s="110"/>
    </row>
    <row r="898" ht="13.5" customHeight="1" spans="1:25">
      <c r="A898" s="102"/>
      <c r="B898" s="102"/>
      <c r="C898" s="102"/>
      <c r="D898" s="101"/>
      <c r="E898" s="101"/>
      <c r="F898" s="101"/>
      <c r="G898" s="102"/>
      <c r="H898" s="101"/>
      <c r="I898" s="101"/>
      <c r="J898" s="101"/>
      <c r="K898" s="101"/>
      <c r="L898" s="101"/>
      <c r="M898" s="182"/>
      <c r="N898" s="101"/>
      <c r="O898" s="110"/>
      <c r="P898" s="101"/>
      <c r="Q898" s="102"/>
      <c r="R898" s="102"/>
      <c r="S898" s="110"/>
      <c r="T898" s="110"/>
      <c r="U898" s="110"/>
      <c r="V898" s="110"/>
      <c r="W898" s="110"/>
      <c r="X898" s="110"/>
      <c r="Y898" s="110"/>
    </row>
    <row r="899" ht="13.5" customHeight="1" spans="1:25">
      <c r="A899" s="102"/>
      <c r="B899" s="102"/>
      <c r="C899" s="102"/>
      <c r="D899" s="101"/>
      <c r="E899" s="101"/>
      <c r="F899" s="101"/>
      <c r="G899" s="102"/>
      <c r="H899" s="101"/>
      <c r="I899" s="101"/>
      <c r="J899" s="101"/>
      <c r="K899" s="101"/>
      <c r="L899" s="101"/>
      <c r="M899" s="182"/>
      <c r="N899" s="101"/>
      <c r="O899" s="110"/>
      <c r="P899" s="101"/>
      <c r="Q899" s="102"/>
      <c r="R899" s="102"/>
      <c r="S899" s="110"/>
      <c r="T899" s="110"/>
      <c r="U899" s="110"/>
      <c r="V899" s="110"/>
      <c r="W899" s="110"/>
      <c r="X899" s="110"/>
      <c r="Y899" s="110"/>
    </row>
    <row r="900" ht="13.5" customHeight="1" spans="1:25">
      <c r="A900" s="102"/>
      <c r="B900" s="102"/>
      <c r="C900" s="102"/>
      <c r="D900" s="101"/>
      <c r="E900" s="101"/>
      <c r="F900" s="101"/>
      <c r="G900" s="102"/>
      <c r="H900" s="101"/>
      <c r="I900" s="101"/>
      <c r="J900" s="101"/>
      <c r="K900" s="101"/>
      <c r="L900" s="101"/>
      <c r="M900" s="182"/>
      <c r="N900" s="101"/>
      <c r="O900" s="110"/>
      <c r="P900" s="101"/>
      <c r="Q900" s="102"/>
      <c r="R900" s="102"/>
      <c r="S900" s="110"/>
      <c r="T900" s="110"/>
      <c r="U900" s="110"/>
      <c r="V900" s="110"/>
      <c r="W900" s="110"/>
      <c r="X900" s="110"/>
      <c r="Y900" s="110"/>
    </row>
    <row r="901" ht="13.5" customHeight="1" spans="1:25">
      <c r="A901" s="102"/>
      <c r="B901" s="102"/>
      <c r="C901" s="102"/>
      <c r="D901" s="101"/>
      <c r="E901" s="101"/>
      <c r="F901" s="101"/>
      <c r="G901" s="102"/>
      <c r="H901" s="101"/>
      <c r="I901" s="101"/>
      <c r="J901" s="101"/>
      <c r="K901" s="101"/>
      <c r="L901" s="101"/>
      <c r="M901" s="182"/>
      <c r="N901" s="101"/>
      <c r="O901" s="110"/>
      <c r="P901" s="101"/>
      <c r="Q901" s="102"/>
      <c r="R901" s="102"/>
      <c r="S901" s="110"/>
      <c r="T901" s="110"/>
      <c r="U901" s="110"/>
      <c r="V901" s="110"/>
      <c r="W901" s="110"/>
      <c r="X901" s="110"/>
      <c r="Y901" s="110"/>
    </row>
    <row r="902" ht="13.5" customHeight="1" spans="1:25">
      <c r="A902" s="102"/>
      <c r="B902" s="102"/>
      <c r="C902" s="102"/>
      <c r="D902" s="101"/>
      <c r="E902" s="101"/>
      <c r="F902" s="101"/>
      <c r="G902" s="102"/>
      <c r="H902" s="101"/>
      <c r="I902" s="101"/>
      <c r="J902" s="101"/>
      <c r="K902" s="101"/>
      <c r="L902" s="101"/>
      <c r="M902" s="182"/>
      <c r="N902" s="101"/>
      <c r="O902" s="110"/>
      <c r="P902" s="101"/>
      <c r="Q902" s="102"/>
      <c r="R902" s="102"/>
      <c r="S902" s="110"/>
      <c r="T902" s="110"/>
      <c r="U902" s="110"/>
      <c r="V902" s="110"/>
      <c r="W902" s="110"/>
      <c r="X902" s="110"/>
      <c r="Y902" s="110"/>
    </row>
    <row r="903" ht="13.5" customHeight="1" spans="1:25">
      <c r="A903" s="102"/>
      <c r="B903" s="102"/>
      <c r="C903" s="102"/>
      <c r="D903" s="101"/>
      <c r="E903" s="101"/>
      <c r="F903" s="101"/>
      <c r="G903" s="102"/>
      <c r="H903" s="101"/>
      <c r="I903" s="101"/>
      <c r="J903" s="101"/>
      <c r="K903" s="101"/>
      <c r="L903" s="101"/>
      <c r="M903" s="182"/>
      <c r="N903" s="101"/>
      <c r="O903" s="110"/>
      <c r="P903" s="101"/>
      <c r="Q903" s="102"/>
      <c r="R903" s="102"/>
      <c r="S903" s="110"/>
      <c r="T903" s="110"/>
      <c r="U903" s="110"/>
      <c r="V903" s="110"/>
      <c r="W903" s="110"/>
      <c r="X903" s="110"/>
      <c r="Y903" s="110"/>
    </row>
    <row r="904" ht="13.5" customHeight="1" spans="1:25">
      <c r="A904" s="102"/>
      <c r="B904" s="102"/>
      <c r="C904" s="102"/>
      <c r="D904" s="101"/>
      <c r="E904" s="101"/>
      <c r="F904" s="101"/>
      <c r="G904" s="102"/>
      <c r="H904" s="101"/>
      <c r="I904" s="101"/>
      <c r="J904" s="101"/>
      <c r="K904" s="101"/>
      <c r="L904" s="101"/>
      <c r="M904" s="182"/>
      <c r="N904" s="101"/>
      <c r="O904" s="110"/>
      <c r="P904" s="101"/>
      <c r="Q904" s="102"/>
      <c r="R904" s="102"/>
      <c r="S904" s="110"/>
      <c r="T904" s="110"/>
      <c r="U904" s="110"/>
      <c r="V904" s="110"/>
      <c r="W904" s="110"/>
      <c r="X904" s="110"/>
      <c r="Y904" s="110"/>
    </row>
    <row r="905" ht="13.5" customHeight="1" spans="1:25">
      <c r="A905" s="102"/>
      <c r="B905" s="102"/>
      <c r="C905" s="102"/>
      <c r="D905" s="101"/>
      <c r="E905" s="101"/>
      <c r="F905" s="101"/>
      <c r="G905" s="102"/>
      <c r="H905" s="101"/>
      <c r="I905" s="101"/>
      <c r="J905" s="101"/>
      <c r="K905" s="101"/>
      <c r="L905" s="101"/>
      <c r="M905" s="182"/>
      <c r="N905" s="101"/>
      <c r="O905" s="110"/>
      <c r="P905" s="101"/>
      <c r="Q905" s="102"/>
      <c r="R905" s="102"/>
      <c r="S905" s="110"/>
      <c r="T905" s="110"/>
      <c r="U905" s="110"/>
      <c r="V905" s="110"/>
      <c r="W905" s="110"/>
      <c r="X905" s="110"/>
      <c r="Y905" s="110"/>
    </row>
    <row r="906" ht="13.5" customHeight="1" spans="1:25">
      <c r="A906" s="102"/>
      <c r="B906" s="102"/>
      <c r="C906" s="102"/>
      <c r="D906" s="101"/>
      <c r="E906" s="101"/>
      <c r="F906" s="101"/>
      <c r="G906" s="102"/>
      <c r="H906" s="101"/>
      <c r="I906" s="101"/>
      <c r="J906" s="101"/>
      <c r="K906" s="101"/>
      <c r="L906" s="101"/>
      <c r="M906" s="182"/>
      <c r="N906" s="101"/>
      <c r="O906" s="110"/>
      <c r="P906" s="101"/>
      <c r="Q906" s="102"/>
      <c r="R906" s="102"/>
      <c r="S906" s="110"/>
      <c r="T906" s="110"/>
      <c r="U906" s="110"/>
      <c r="V906" s="110"/>
      <c r="W906" s="110"/>
      <c r="X906" s="110"/>
      <c r="Y906" s="110"/>
    </row>
    <row r="907" ht="13.5" customHeight="1" spans="1:25">
      <c r="A907" s="102"/>
      <c r="B907" s="102"/>
      <c r="C907" s="102"/>
      <c r="D907" s="101"/>
      <c r="E907" s="101"/>
      <c r="F907" s="101"/>
      <c r="G907" s="102"/>
      <c r="H907" s="101"/>
      <c r="I907" s="101"/>
      <c r="J907" s="101"/>
      <c r="K907" s="101"/>
      <c r="L907" s="101"/>
      <c r="M907" s="182"/>
      <c r="N907" s="101"/>
      <c r="O907" s="110"/>
      <c r="P907" s="101"/>
      <c r="Q907" s="102"/>
      <c r="R907" s="102"/>
      <c r="S907" s="110"/>
      <c r="T907" s="110"/>
      <c r="U907" s="110"/>
      <c r="V907" s="110"/>
      <c r="W907" s="110"/>
      <c r="X907" s="110"/>
      <c r="Y907" s="110"/>
    </row>
    <row r="908" ht="13.5" customHeight="1" spans="1:25">
      <c r="A908" s="102"/>
      <c r="B908" s="102"/>
      <c r="C908" s="102"/>
      <c r="D908" s="101"/>
      <c r="E908" s="101"/>
      <c r="F908" s="101"/>
      <c r="G908" s="102"/>
      <c r="H908" s="101"/>
      <c r="I908" s="101"/>
      <c r="J908" s="101"/>
      <c r="K908" s="101"/>
      <c r="L908" s="101"/>
      <c r="M908" s="182"/>
      <c r="N908" s="101"/>
      <c r="O908" s="110"/>
      <c r="P908" s="101"/>
      <c r="Q908" s="102"/>
      <c r="R908" s="102"/>
      <c r="S908" s="110"/>
      <c r="T908" s="110"/>
      <c r="U908" s="110"/>
      <c r="V908" s="110"/>
      <c r="W908" s="110"/>
      <c r="X908" s="110"/>
      <c r="Y908" s="110"/>
    </row>
    <row r="909" ht="13.5" customHeight="1" spans="1:25">
      <c r="A909" s="102"/>
      <c r="B909" s="102"/>
      <c r="C909" s="102"/>
      <c r="D909" s="101"/>
      <c r="E909" s="101"/>
      <c r="F909" s="101"/>
      <c r="G909" s="102"/>
      <c r="H909" s="101"/>
      <c r="I909" s="101"/>
      <c r="J909" s="101"/>
      <c r="K909" s="101"/>
      <c r="L909" s="101"/>
      <c r="M909" s="182"/>
      <c r="N909" s="101"/>
      <c r="O909" s="110"/>
      <c r="P909" s="101"/>
      <c r="Q909" s="102"/>
      <c r="R909" s="102"/>
      <c r="S909" s="110"/>
      <c r="T909" s="110"/>
      <c r="U909" s="110"/>
      <c r="V909" s="110"/>
      <c r="W909" s="110"/>
      <c r="X909" s="110"/>
      <c r="Y909" s="110"/>
    </row>
    <row r="910" ht="13.5" customHeight="1" spans="1:25">
      <c r="A910" s="102"/>
      <c r="B910" s="102"/>
      <c r="C910" s="102"/>
      <c r="D910" s="101"/>
      <c r="E910" s="101"/>
      <c r="F910" s="101"/>
      <c r="G910" s="102"/>
      <c r="H910" s="101"/>
      <c r="I910" s="101"/>
      <c r="J910" s="101"/>
      <c r="K910" s="101"/>
      <c r="L910" s="101"/>
      <c r="M910" s="182"/>
      <c r="N910" s="101"/>
      <c r="O910" s="110"/>
      <c r="P910" s="101"/>
      <c r="Q910" s="102"/>
      <c r="R910" s="102"/>
      <c r="S910" s="110"/>
      <c r="T910" s="110"/>
      <c r="U910" s="110"/>
      <c r="V910" s="110"/>
      <c r="W910" s="110"/>
      <c r="X910" s="110"/>
      <c r="Y910" s="110"/>
    </row>
    <row r="911" ht="13.5" customHeight="1" spans="1:25">
      <c r="A911" s="102"/>
      <c r="B911" s="102"/>
      <c r="C911" s="102"/>
      <c r="D911" s="101"/>
      <c r="E911" s="101"/>
      <c r="F911" s="101"/>
      <c r="G911" s="102"/>
      <c r="H911" s="101"/>
      <c r="I911" s="101"/>
      <c r="J911" s="101"/>
      <c r="K911" s="101"/>
      <c r="L911" s="101"/>
      <c r="M911" s="182"/>
      <c r="N911" s="101"/>
      <c r="O911" s="110"/>
      <c r="P911" s="101"/>
      <c r="Q911" s="102"/>
      <c r="R911" s="102"/>
      <c r="S911" s="110"/>
      <c r="T911" s="110"/>
      <c r="U911" s="110"/>
      <c r="V911" s="110"/>
      <c r="W911" s="110"/>
      <c r="X911" s="110"/>
      <c r="Y911" s="110"/>
    </row>
    <row r="912" ht="13.5" customHeight="1" spans="1:25">
      <c r="A912" s="102"/>
      <c r="B912" s="102"/>
      <c r="C912" s="102"/>
      <c r="D912" s="101"/>
      <c r="E912" s="101"/>
      <c r="F912" s="101"/>
      <c r="G912" s="102"/>
      <c r="H912" s="101"/>
      <c r="I912" s="101"/>
      <c r="J912" s="101"/>
      <c r="K912" s="101"/>
      <c r="L912" s="101"/>
      <c r="M912" s="182"/>
      <c r="N912" s="101"/>
      <c r="O912" s="110"/>
      <c r="P912" s="101"/>
      <c r="Q912" s="102"/>
      <c r="R912" s="102"/>
      <c r="S912" s="110"/>
      <c r="T912" s="110"/>
      <c r="U912" s="110"/>
      <c r="V912" s="110"/>
      <c r="W912" s="110"/>
      <c r="X912" s="110"/>
      <c r="Y912" s="110"/>
    </row>
    <row r="913" ht="13.5" customHeight="1" spans="1:25">
      <c r="A913" s="102"/>
      <c r="B913" s="102"/>
      <c r="C913" s="102"/>
      <c r="D913" s="101"/>
      <c r="E913" s="101"/>
      <c r="F913" s="101"/>
      <c r="G913" s="102"/>
      <c r="H913" s="101"/>
      <c r="I913" s="101"/>
      <c r="J913" s="101"/>
      <c r="K913" s="101"/>
      <c r="L913" s="101"/>
      <c r="M913" s="182"/>
      <c r="N913" s="101"/>
      <c r="O913" s="110"/>
      <c r="P913" s="101"/>
      <c r="Q913" s="102"/>
      <c r="R913" s="102"/>
      <c r="S913" s="110"/>
      <c r="T913" s="110"/>
      <c r="U913" s="110"/>
      <c r="V913" s="110"/>
      <c r="W913" s="110"/>
      <c r="X913" s="110"/>
      <c r="Y913" s="110"/>
    </row>
    <row r="914" ht="13.5" customHeight="1" spans="1:25">
      <c r="A914" s="102"/>
      <c r="B914" s="102"/>
      <c r="C914" s="102"/>
      <c r="D914" s="101"/>
      <c r="E914" s="101"/>
      <c r="F914" s="101"/>
      <c r="G914" s="102"/>
      <c r="H914" s="101"/>
      <c r="I914" s="101"/>
      <c r="J914" s="101"/>
      <c r="K914" s="101"/>
      <c r="L914" s="101"/>
      <c r="M914" s="182"/>
      <c r="N914" s="101"/>
      <c r="O914" s="110"/>
      <c r="P914" s="101"/>
      <c r="Q914" s="102"/>
      <c r="R914" s="102"/>
      <c r="S914" s="110"/>
      <c r="T914" s="110"/>
      <c r="U914" s="110"/>
      <c r="V914" s="110"/>
      <c r="W914" s="110"/>
      <c r="X914" s="110"/>
      <c r="Y914" s="110"/>
    </row>
    <row r="915" ht="13.5" customHeight="1" spans="1:25">
      <c r="A915" s="102"/>
      <c r="B915" s="102"/>
      <c r="C915" s="102"/>
      <c r="D915" s="101"/>
      <c r="E915" s="101"/>
      <c r="F915" s="101"/>
      <c r="G915" s="102"/>
      <c r="H915" s="101"/>
      <c r="I915" s="101"/>
      <c r="J915" s="101"/>
      <c r="K915" s="101"/>
      <c r="L915" s="101"/>
      <c r="M915" s="182"/>
      <c r="N915" s="101"/>
      <c r="O915" s="110"/>
      <c r="P915" s="101"/>
      <c r="Q915" s="102"/>
      <c r="R915" s="102"/>
      <c r="S915" s="110"/>
      <c r="T915" s="110"/>
      <c r="U915" s="110"/>
      <c r="V915" s="110"/>
      <c r="W915" s="110"/>
      <c r="X915" s="110"/>
      <c r="Y915" s="110"/>
    </row>
    <row r="916" ht="13.5" customHeight="1" spans="1:25">
      <c r="A916" s="102"/>
      <c r="B916" s="102"/>
      <c r="C916" s="102"/>
      <c r="D916" s="101"/>
      <c r="E916" s="101"/>
      <c r="F916" s="101"/>
      <c r="G916" s="102"/>
      <c r="H916" s="101"/>
      <c r="I916" s="101"/>
      <c r="J916" s="101"/>
      <c r="K916" s="101"/>
      <c r="L916" s="101"/>
      <c r="M916" s="182"/>
      <c r="N916" s="101"/>
      <c r="O916" s="110"/>
      <c r="P916" s="101"/>
      <c r="Q916" s="102"/>
      <c r="R916" s="102"/>
      <c r="S916" s="110"/>
      <c r="T916" s="110"/>
      <c r="U916" s="110"/>
      <c r="V916" s="110"/>
      <c r="W916" s="110"/>
      <c r="X916" s="110"/>
      <c r="Y916" s="110"/>
    </row>
    <row r="917" ht="13.5" customHeight="1" spans="1:25">
      <c r="A917" s="102"/>
      <c r="B917" s="102"/>
      <c r="C917" s="102"/>
      <c r="D917" s="101"/>
      <c r="E917" s="101"/>
      <c r="F917" s="101"/>
      <c r="G917" s="102"/>
      <c r="H917" s="101"/>
      <c r="I917" s="101"/>
      <c r="J917" s="101"/>
      <c r="K917" s="101"/>
      <c r="L917" s="101"/>
      <c r="M917" s="182"/>
      <c r="N917" s="101"/>
      <c r="O917" s="110"/>
      <c r="P917" s="101"/>
      <c r="Q917" s="102"/>
      <c r="R917" s="102"/>
      <c r="S917" s="110"/>
      <c r="T917" s="110"/>
      <c r="U917" s="110"/>
      <c r="V917" s="110"/>
      <c r="W917" s="110"/>
      <c r="X917" s="110"/>
      <c r="Y917" s="110"/>
    </row>
    <row r="918" ht="13.5" customHeight="1" spans="1:25">
      <c r="A918" s="102"/>
      <c r="B918" s="102"/>
      <c r="C918" s="102"/>
      <c r="D918" s="101"/>
      <c r="E918" s="101"/>
      <c r="F918" s="101"/>
      <c r="G918" s="102"/>
      <c r="H918" s="101"/>
      <c r="I918" s="101"/>
      <c r="J918" s="101"/>
      <c r="K918" s="101"/>
      <c r="L918" s="101"/>
      <c r="M918" s="182"/>
      <c r="N918" s="101"/>
      <c r="O918" s="110"/>
      <c r="P918" s="101"/>
      <c r="Q918" s="102"/>
      <c r="R918" s="102"/>
      <c r="S918" s="110"/>
      <c r="T918" s="110"/>
      <c r="U918" s="110"/>
      <c r="V918" s="110"/>
      <c r="W918" s="110"/>
      <c r="X918" s="110"/>
      <c r="Y918" s="110"/>
    </row>
    <row r="919" ht="13.5" customHeight="1" spans="1:25">
      <c r="A919" s="102"/>
      <c r="B919" s="102"/>
      <c r="C919" s="102"/>
      <c r="D919" s="101"/>
      <c r="E919" s="101"/>
      <c r="F919" s="101"/>
      <c r="G919" s="102"/>
      <c r="H919" s="101"/>
      <c r="I919" s="101"/>
      <c r="J919" s="101"/>
      <c r="K919" s="101"/>
      <c r="L919" s="101"/>
      <c r="M919" s="182"/>
      <c r="N919" s="101"/>
      <c r="O919" s="110"/>
      <c r="P919" s="101"/>
      <c r="Q919" s="102"/>
      <c r="R919" s="102"/>
      <c r="S919" s="110"/>
      <c r="T919" s="110"/>
      <c r="U919" s="110"/>
      <c r="V919" s="110"/>
      <c r="W919" s="110"/>
      <c r="X919" s="110"/>
      <c r="Y919" s="110"/>
    </row>
    <row r="920" ht="13.5" customHeight="1" spans="1:25">
      <c r="A920" s="102"/>
      <c r="B920" s="102"/>
      <c r="C920" s="102"/>
      <c r="D920" s="101"/>
      <c r="E920" s="101"/>
      <c r="F920" s="101"/>
      <c r="G920" s="102"/>
      <c r="H920" s="101"/>
      <c r="I920" s="101"/>
      <c r="J920" s="101"/>
      <c r="K920" s="101"/>
      <c r="L920" s="101"/>
      <c r="M920" s="182"/>
      <c r="N920" s="101"/>
      <c r="O920" s="110"/>
      <c r="P920" s="101"/>
      <c r="Q920" s="102"/>
      <c r="R920" s="102"/>
      <c r="S920" s="110"/>
      <c r="T920" s="110"/>
      <c r="U920" s="110"/>
      <c r="V920" s="110"/>
      <c r="W920" s="110"/>
      <c r="X920" s="110"/>
      <c r="Y920" s="110"/>
    </row>
    <row r="921" ht="13.5" customHeight="1" spans="1:25">
      <c r="A921" s="102"/>
      <c r="B921" s="102"/>
      <c r="C921" s="102"/>
      <c r="D921" s="101"/>
      <c r="E921" s="101"/>
      <c r="F921" s="101"/>
      <c r="G921" s="102"/>
      <c r="H921" s="101"/>
      <c r="I921" s="101"/>
      <c r="J921" s="101"/>
      <c r="K921" s="101"/>
      <c r="L921" s="101"/>
      <c r="M921" s="182"/>
      <c r="N921" s="101"/>
      <c r="O921" s="110"/>
      <c r="P921" s="101"/>
      <c r="Q921" s="102"/>
      <c r="R921" s="102"/>
      <c r="S921" s="110"/>
      <c r="T921" s="110"/>
      <c r="U921" s="110"/>
      <c r="V921" s="110"/>
      <c r="W921" s="110"/>
      <c r="X921" s="110"/>
      <c r="Y921" s="110"/>
    </row>
    <row r="922" ht="13.5" customHeight="1" spans="1:25">
      <c r="A922" s="102"/>
      <c r="B922" s="102"/>
      <c r="C922" s="102"/>
      <c r="D922" s="101"/>
      <c r="E922" s="101"/>
      <c r="F922" s="101"/>
      <c r="G922" s="102"/>
      <c r="H922" s="101"/>
      <c r="I922" s="101"/>
      <c r="J922" s="101"/>
      <c r="K922" s="101"/>
      <c r="L922" s="101"/>
      <c r="M922" s="182"/>
      <c r="N922" s="101"/>
      <c r="O922" s="110"/>
      <c r="P922" s="101"/>
      <c r="Q922" s="102"/>
      <c r="R922" s="102"/>
      <c r="S922" s="110"/>
      <c r="T922" s="110"/>
      <c r="U922" s="110"/>
      <c r="V922" s="110"/>
      <c r="W922" s="110"/>
      <c r="X922" s="110"/>
      <c r="Y922" s="110"/>
    </row>
    <row r="923" ht="13.5" customHeight="1" spans="1:25">
      <c r="A923" s="102"/>
      <c r="B923" s="102"/>
      <c r="C923" s="102"/>
      <c r="D923" s="101"/>
      <c r="E923" s="101"/>
      <c r="F923" s="101"/>
      <c r="G923" s="102"/>
      <c r="H923" s="101"/>
      <c r="I923" s="101"/>
      <c r="J923" s="101"/>
      <c r="K923" s="101"/>
      <c r="L923" s="101"/>
      <c r="M923" s="182"/>
      <c r="N923" s="101"/>
      <c r="O923" s="110"/>
      <c r="P923" s="101"/>
      <c r="Q923" s="102"/>
      <c r="R923" s="102"/>
      <c r="S923" s="110"/>
      <c r="T923" s="110"/>
      <c r="U923" s="110"/>
      <c r="V923" s="110"/>
      <c r="W923" s="110"/>
      <c r="X923" s="110"/>
      <c r="Y923" s="110"/>
    </row>
    <row r="924" ht="13.5" customHeight="1" spans="1:25">
      <c r="A924" s="102"/>
      <c r="B924" s="102"/>
      <c r="C924" s="102"/>
      <c r="D924" s="101"/>
      <c r="E924" s="101"/>
      <c r="F924" s="101"/>
      <c r="G924" s="102"/>
      <c r="H924" s="101"/>
      <c r="I924" s="101"/>
      <c r="J924" s="101"/>
      <c r="K924" s="101"/>
      <c r="L924" s="101"/>
      <c r="M924" s="182"/>
      <c r="N924" s="101"/>
      <c r="O924" s="110"/>
      <c r="P924" s="101"/>
      <c r="Q924" s="102"/>
      <c r="R924" s="102"/>
      <c r="S924" s="110"/>
      <c r="T924" s="110"/>
      <c r="U924" s="110"/>
      <c r="V924" s="110"/>
      <c r="W924" s="110"/>
      <c r="X924" s="110"/>
      <c r="Y924" s="110"/>
    </row>
    <row r="925" ht="13.5" customHeight="1" spans="1:25">
      <c r="A925" s="102"/>
      <c r="B925" s="102"/>
      <c r="C925" s="102"/>
      <c r="D925" s="101"/>
      <c r="E925" s="101"/>
      <c r="F925" s="101"/>
      <c r="G925" s="102"/>
      <c r="H925" s="101"/>
      <c r="I925" s="101"/>
      <c r="J925" s="101"/>
      <c r="K925" s="101"/>
      <c r="L925" s="101"/>
      <c r="M925" s="182"/>
      <c r="N925" s="101"/>
      <c r="O925" s="110"/>
      <c r="P925" s="101"/>
      <c r="Q925" s="102"/>
      <c r="R925" s="102"/>
      <c r="S925" s="110"/>
      <c r="T925" s="110"/>
      <c r="U925" s="110"/>
      <c r="V925" s="110"/>
      <c r="W925" s="110"/>
      <c r="X925" s="110"/>
      <c r="Y925" s="110"/>
    </row>
    <row r="926" ht="13.5" customHeight="1" spans="1:25">
      <c r="A926" s="102"/>
      <c r="B926" s="102"/>
      <c r="C926" s="102"/>
      <c r="D926" s="101"/>
      <c r="E926" s="101"/>
      <c r="F926" s="101"/>
      <c r="G926" s="102"/>
      <c r="H926" s="101"/>
      <c r="I926" s="101"/>
      <c r="J926" s="101"/>
      <c r="K926" s="101"/>
      <c r="L926" s="101"/>
      <c r="M926" s="182"/>
      <c r="N926" s="101"/>
      <c r="O926" s="110"/>
      <c r="P926" s="101"/>
      <c r="Q926" s="102"/>
      <c r="R926" s="102"/>
      <c r="S926" s="110"/>
      <c r="T926" s="110"/>
      <c r="U926" s="110"/>
      <c r="V926" s="110"/>
      <c r="W926" s="110"/>
      <c r="X926" s="110"/>
      <c r="Y926" s="110"/>
    </row>
    <row r="927" ht="13.5" customHeight="1" spans="1:25">
      <c r="A927" s="102"/>
      <c r="B927" s="102"/>
      <c r="C927" s="102"/>
      <c r="D927" s="101"/>
      <c r="E927" s="101"/>
      <c r="F927" s="101"/>
      <c r="G927" s="102"/>
      <c r="H927" s="101"/>
      <c r="I927" s="101"/>
      <c r="J927" s="101"/>
      <c r="K927" s="101"/>
      <c r="L927" s="101"/>
      <c r="M927" s="182"/>
      <c r="N927" s="101"/>
      <c r="O927" s="110"/>
      <c r="P927" s="101"/>
      <c r="Q927" s="102"/>
      <c r="R927" s="102"/>
      <c r="S927" s="110"/>
      <c r="T927" s="110"/>
      <c r="U927" s="110"/>
      <c r="V927" s="110"/>
      <c r="W927" s="110"/>
      <c r="X927" s="110"/>
      <c r="Y927" s="110"/>
    </row>
    <row r="928" ht="13.5" customHeight="1" spans="1:25">
      <c r="A928" s="102"/>
      <c r="B928" s="102"/>
      <c r="C928" s="102"/>
      <c r="D928" s="101"/>
      <c r="E928" s="101"/>
      <c r="F928" s="101"/>
      <c r="G928" s="102"/>
      <c r="H928" s="101"/>
      <c r="I928" s="101"/>
      <c r="J928" s="101"/>
      <c r="K928" s="101"/>
      <c r="L928" s="101"/>
      <c r="M928" s="182"/>
      <c r="N928" s="101"/>
      <c r="O928" s="110"/>
      <c r="P928" s="101"/>
      <c r="Q928" s="102"/>
      <c r="R928" s="102"/>
      <c r="S928" s="110"/>
      <c r="T928" s="110"/>
      <c r="U928" s="110"/>
      <c r="V928" s="110"/>
      <c r="W928" s="110"/>
      <c r="X928" s="110"/>
      <c r="Y928" s="110"/>
    </row>
    <row r="929" ht="13.5" customHeight="1" spans="1:25">
      <c r="A929" s="102"/>
      <c r="B929" s="102"/>
      <c r="C929" s="102"/>
      <c r="D929" s="101"/>
      <c r="E929" s="101"/>
      <c r="F929" s="101"/>
      <c r="G929" s="102"/>
      <c r="H929" s="101"/>
      <c r="I929" s="101"/>
      <c r="J929" s="101"/>
      <c r="K929" s="101"/>
      <c r="L929" s="101"/>
      <c r="M929" s="182"/>
      <c r="N929" s="101"/>
      <c r="O929" s="110"/>
      <c r="P929" s="101"/>
      <c r="Q929" s="102"/>
      <c r="R929" s="102"/>
      <c r="S929" s="110"/>
      <c r="T929" s="110"/>
      <c r="U929" s="110"/>
      <c r="V929" s="110"/>
      <c r="W929" s="110"/>
      <c r="X929" s="110"/>
      <c r="Y929" s="110"/>
    </row>
    <row r="930" ht="13.5" customHeight="1" spans="1:25">
      <c r="A930" s="102"/>
      <c r="B930" s="102"/>
      <c r="C930" s="102"/>
      <c r="D930" s="101"/>
      <c r="E930" s="101"/>
      <c r="F930" s="101"/>
      <c r="G930" s="102"/>
      <c r="H930" s="101"/>
      <c r="I930" s="101"/>
      <c r="J930" s="101"/>
      <c r="K930" s="101"/>
      <c r="L930" s="101"/>
      <c r="M930" s="182"/>
      <c r="N930" s="101"/>
      <c r="O930" s="110"/>
      <c r="P930" s="101"/>
      <c r="Q930" s="102"/>
      <c r="R930" s="102"/>
      <c r="S930" s="110"/>
      <c r="T930" s="110"/>
      <c r="U930" s="110"/>
      <c r="V930" s="110"/>
      <c r="W930" s="110"/>
      <c r="X930" s="110"/>
      <c r="Y930" s="110"/>
    </row>
    <row r="931" ht="13.5" customHeight="1" spans="1:25">
      <c r="A931" s="102"/>
      <c r="B931" s="102"/>
      <c r="C931" s="102"/>
      <c r="D931" s="101"/>
      <c r="E931" s="101"/>
      <c r="F931" s="101"/>
      <c r="G931" s="102"/>
      <c r="H931" s="101"/>
      <c r="I931" s="101"/>
      <c r="J931" s="101"/>
      <c r="K931" s="101"/>
      <c r="L931" s="101"/>
      <c r="M931" s="182"/>
      <c r="N931" s="101"/>
      <c r="O931" s="110"/>
      <c r="P931" s="101"/>
      <c r="Q931" s="102"/>
      <c r="R931" s="102"/>
      <c r="S931" s="110"/>
      <c r="T931" s="110"/>
      <c r="U931" s="110"/>
      <c r="V931" s="110"/>
      <c r="W931" s="110"/>
      <c r="X931" s="110"/>
      <c r="Y931" s="110"/>
    </row>
    <row r="932" ht="13.5" customHeight="1" spans="1:25">
      <c r="A932" s="102"/>
      <c r="B932" s="102"/>
      <c r="C932" s="102"/>
      <c r="D932" s="101"/>
      <c r="E932" s="101"/>
      <c r="F932" s="101"/>
      <c r="G932" s="102"/>
      <c r="H932" s="101"/>
      <c r="I932" s="101"/>
      <c r="J932" s="101"/>
      <c r="K932" s="101"/>
      <c r="L932" s="101"/>
      <c r="M932" s="182"/>
      <c r="N932" s="101"/>
      <c r="O932" s="110"/>
      <c r="P932" s="101"/>
      <c r="Q932" s="102"/>
      <c r="R932" s="102"/>
      <c r="S932" s="110"/>
      <c r="T932" s="110"/>
      <c r="U932" s="110"/>
      <c r="V932" s="110"/>
      <c r="W932" s="110"/>
      <c r="X932" s="110"/>
      <c r="Y932" s="110"/>
    </row>
    <row r="933" ht="13.5" customHeight="1" spans="1:25">
      <c r="A933" s="102"/>
      <c r="B933" s="102"/>
      <c r="C933" s="102"/>
      <c r="D933" s="101"/>
      <c r="E933" s="101"/>
      <c r="F933" s="101"/>
      <c r="G933" s="102"/>
      <c r="H933" s="101"/>
      <c r="I933" s="101"/>
      <c r="J933" s="101"/>
      <c r="K933" s="101"/>
      <c r="L933" s="101"/>
      <c r="M933" s="182"/>
      <c r="N933" s="101"/>
      <c r="O933" s="110"/>
      <c r="P933" s="101"/>
      <c r="Q933" s="102"/>
      <c r="R933" s="102"/>
      <c r="S933" s="110"/>
      <c r="T933" s="110"/>
      <c r="U933" s="110"/>
      <c r="V933" s="110"/>
      <c r="W933" s="110"/>
      <c r="X933" s="110"/>
      <c r="Y933" s="110"/>
    </row>
    <row r="934" ht="13.5" customHeight="1" spans="1:25">
      <c r="A934" s="102"/>
      <c r="B934" s="102"/>
      <c r="C934" s="102"/>
      <c r="D934" s="101"/>
      <c r="E934" s="101"/>
      <c r="F934" s="101"/>
      <c r="G934" s="102"/>
      <c r="H934" s="101"/>
      <c r="I934" s="101"/>
      <c r="J934" s="101"/>
      <c r="K934" s="101"/>
      <c r="L934" s="101"/>
      <c r="M934" s="182"/>
      <c r="N934" s="101"/>
      <c r="O934" s="110"/>
      <c r="P934" s="101"/>
      <c r="Q934" s="102"/>
      <c r="R934" s="102"/>
      <c r="S934" s="110"/>
      <c r="T934" s="110"/>
      <c r="U934" s="110"/>
      <c r="V934" s="110"/>
      <c r="W934" s="110"/>
      <c r="X934" s="110"/>
      <c r="Y934" s="110"/>
    </row>
    <row r="935" ht="13.5" customHeight="1" spans="1:25">
      <c r="A935" s="102"/>
      <c r="B935" s="102"/>
      <c r="C935" s="102"/>
      <c r="D935" s="101"/>
      <c r="E935" s="101"/>
      <c r="F935" s="101"/>
      <c r="G935" s="102"/>
      <c r="H935" s="101"/>
      <c r="I935" s="101"/>
      <c r="J935" s="101"/>
      <c r="K935" s="101"/>
      <c r="L935" s="101"/>
      <c r="M935" s="182"/>
      <c r="N935" s="101"/>
      <c r="O935" s="110"/>
      <c r="P935" s="101"/>
      <c r="Q935" s="102"/>
      <c r="R935" s="102"/>
      <c r="S935" s="110"/>
      <c r="T935" s="110"/>
      <c r="U935" s="110"/>
      <c r="V935" s="110"/>
      <c r="W935" s="110"/>
      <c r="X935" s="110"/>
      <c r="Y935" s="110"/>
    </row>
    <row r="936" ht="13.5" customHeight="1" spans="1:25">
      <c r="A936" s="102"/>
      <c r="B936" s="102"/>
      <c r="C936" s="102"/>
      <c r="D936" s="101"/>
      <c r="E936" s="101"/>
      <c r="F936" s="101"/>
      <c r="G936" s="102"/>
      <c r="H936" s="101"/>
      <c r="I936" s="101"/>
      <c r="J936" s="101"/>
      <c r="K936" s="101"/>
      <c r="L936" s="101"/>
      <c r="M936" s="182"/>
      <c r="N936" s="101"/>
      <c r="O936" s="110"/>
      <c r="P936" s="101"/>
      <c r="Q936" s="102"/>
      <c r="R936" s="102"/>
      <c r="S936" s="110"/>
      <c r="T936" s="110"/>
      <c r="U936" s="110"/>
      <c r="V936" s="110"/>
      <c r="W936" s="110"/>
      <c r="X936" s="110"/>
      <c r="Y936" s="110"/>
    </row>
    <row r="937" ht="13.5" customHeight="1" spans="1:25">
      <c r="A937" s="102"/>
      <c r="B937" s="102"/>
      <c r="C937" s="102"/>
      <c r="D937" s="101"/>
      <c r="E937" s="101"/>
      <c r="F937" s="101"/>
      <c r="G937" s="102"/>
      <c r="H937" s="101"/>
      <c r="I937" s="101"/>
      <c r="J937" s="101"/>
      <c r="K937" s="101"/>
      <c r="L937" s="101"/>
      <c r="M937" s="182"/>
      <c r="N937" s="101"/>
      <c r="O937" s="110"/>
      <c r="P937" s="101"/>
      <c r="Q937" s="102"/>
      <c r="R937" s="102"/>
      <c r="S937" s="110"/>
      <c r="T937" s="110"/>
      <c r="U937" s="110"/>
      <c r="V937" s="110"/>
      <c r="W937" s="110"/>
      <c r="X937" s="110"/>
      <c r="Y937" s="110"/>
    </row>
    <row r="938" ht="13.5" customHeight="1" spans="1:25">
      <c r="A938" s="102"/>
      <c r="B938" s="102"/>
      <c r="C938" s="102"/>
      <c r="D938" s="101"/>
      <c r="E938" s="101"/>
      <c r="F938" s="101"/>
      <c r="G938" s="102"/>
      <c r="H938" s="101"/>
      <c r="I938" s="101"/>
      <c r="J938" s="101"/>
      <c r="K938" s="101"/>
      <c r="L938" s="101"/>
      <c r="M938" s="182"/>
      <c r="N938" s="101"/>
      <c r="O938" s="110"/>
      <c r="P938" s="101"/>
      <c r="Q938" s="102"/>
      <c r="R938" s="102"/>
      <c r="S938" s="110"/>
      <c r="T938" s="110"/>
      <c r="U938" s="110"/>
      <c r="V938" s="110"/>
      <c r="W938" s="110"/>
      <c r="X938" s="110"/>
      <c r="Y938" s="110"/>
    </row>
    <row r="939" ht="13.5" customHeight="1" spans="1:25">
      <c r="A939" s="102"/>
      <c r="B939" s="102"/>
      <c r="C939" s="102"/>
      <c r="D939" s="101"/>
      <c r="E939" s="101"/>
      <c r="F939" s="101"/>
      <c r="G939" s="102"/>
      <c r="H939" s="101"/>
      <c r="I939" s="101"/>
      <c r="J939" s="101"/>
      <c r="K939" s="101"/>
      <c r="L939" s="101"/>
      <c r="M939" s="182"/>
      <c r="N939" s="101"/>
      <c r="O939" s="110"/>
      <c r="P939" s="101"/>
      <c r="Q939" s="102"/>
      <c r="R939" s="102"/>
      <c r="S939" s="110"/>
      <c r="T939" s="110"/>
      <c r="U939" s="110"/>
      <c r="V939" s="110"/>
      <c r="W939" s="110"/>
      <c r="X939" s="110"/>
      <c r="Y939" s="110"/>
    </row>
    <row r="940" ht="13.5" customHeight="1" spans="1:25">
      <c r="A940" s="102"/>
      <c r="B940" s="102"/>
      <c r="C940" s="102"/>
      <c r="D940" s="101"/>
      <c r="E940" s="101"/>
      <c r="F940" s="101"/>
      <c r="G940" s="102"/>
      <c r="H940" s="101"/>
      <c r="I940" s="101"/>
      <c r="J940" s="101"/>
      <c r="K940" s="101"/>
      <c r="L940" s="101"/>
      <c r="M940" s="182"/>
      <c r="N940" s="101"/>
      <c r="O940" s="110"/>
      <c r="P940" s="101"/>
      <c r="Q940" s="102"/>
      <c r="R940" s="102"/>
      <c r="S940" s="110"/>
      <c r="T940" s="110"/>
      <c r="U940" s="110"/>
      <c r="V940" s="110"/>
      <c r="W940" s="110"/>
      <c r="X940" s="110"/>
      <c r="Y940" s="110"/>
    </row>
    <row r="941" ht="13.5" customHeight="1" spans="1:25">
      <c r="A941" s="102"/>
      <c r="B941" s="102"/>
      <c r="C941" s="102"/>
      <c r="D941" s="101"/>
      <c r="E941" s="101"/>
      <c r="F941" s="101"/>
      <c r="G941" s="102"/>
      <c r="H941" s="101"/>
      <c r="I941" s="101"/>
      <c r="J941" s="101"/>
      <c r="K941" s="101"/>
      <c r="L941" s="101"/>
      <c r="M941" s="182"/>
      <c r="N941" s="101"/>
      <c r="O941" s="110"/>
      <c r="P941" s="101"/>
      <c r="Q941" s="102"/>
      <c r="R941" s="102"/>
      <c r="S941" s="110"/>
      <c r="T941" s="110"/>
      <c r="U941" s="110"/>
      <c r="V941" s="110"/>
      <c r="W941" s="110"/>
      <c r="X941" s="110"/>
      <c r="Y941" s="110"/>
    </row>
    <row r="942" ht="13.5" customHeight="1" spans="1:25">
      <c r="A942" s="102"/>
      <c r="B942" s="102"/>
      <c r="C942" s="102"/>
      <c r="D942" s="101"/>
      <c r="E942" s="101"/>
      <c r="F942" s="101"/>
      <c r="G942" s="102"/>
      <c r="H942" s="101"/>
      <c r="I942" s="101"/>
      <c r="J942" s="101"/>
      <c r="K942" s="101"/>
      <c r="L942" s="101"/>
      <c r="M942" s="182"/>
      <c r="N942" s="101"/>
      <c r="O942" s="110"/>
      <c r="P942" s="101"/>
      <c r="Q942" s="102"/>
      <c r="R942" s="102"/>
      <c r="S942" s="110"/>
      <c r="T942" s="110"/>
      <c r="U942" s="110"/>
      <c r="V942" s="110"/>
      <c r="W942" s="110"/>
      <c r="X942" s="110"/>
      <c r="Y942" s="110"/>
    </row>
    <row r="943" ht="13.5" customHeight="1" spans="1:25">
      <c r="A943" s="102"/>
      <c r="B943" s="102"/>
      <c r="C943" s="102"/>
      <c r="D943" s="101"/>
      <c r="E943" s="101"/>
      <c r="F943" s="101"/>
      <c r="G943" s="102"/>
      <c r="H943" s="101"/>
      <c r="I943" s="101"/>
      <c r="J943" s="101"/>
      <c r="K943" s="101"/>
      <c r="L943" s="101"/>
      <c r="M943" s="182"/>
      <c r="N943" s="101"/>
      <c r="O943" s="110"/>
      <c r="P943" s="101"/>
      <c r="Q943" s="102"/>
      <c r="R943" s="102"/>
      <c r="S943" s="110"/>
      <c r="T943" s="110"/>
      <c r="U943" s="110"/>
      <c r="V943" s="110"/>
      <c r="W943" s="110"/>
      <c r="X943" s="110"/>
      <c r="Y943" s="110"/>
    </row>
    <row r="944" ht="13.5" customHeight="1" spans="1:25">
      <c r="A944" s="102"/>
      <c r="B944" s="102"/>
      <c r="C944" s="102"/>
      <c r="D944" s="101"/>
      <c r="E944" s="101"/>
      <c r="F944" s="101"/>
      <c r="G944" s="102"/>
      <c r="H944" s="101"/>
      <c r="I944" s="101"/>
      <c r="J944" s="101"/>
      <c r="K944" s="101"/>
      <c r="L944" s="101"/>
      <c r="M944" s="182"/>
      <c r="N944" s="101"/>
      <c r="O944" s="110"/>
      <c r="P944" s="101"/>
      <c r="Q944" s="102"/>
      <c r="R944" s="102"/>
      <c r="S944" s="110"/>
      <c r="T944" s="110"/>
      <c r="U944" s="110"/>
      <c r="V944" s="110"/>
      <c r="W944" s="110"/>
      <c r="X944" s="110"/>
      <c r="Y944" s="110"/>
    </row>
    <row r="945" ht="13.5" customHeight="1" spans="1:25">
      <c r="A945" s="102"/>
      <c r="B945" s="102"/>
      <c r="C945" s="102"/>
      <c r="D945" s="101"/>
      <c r="E945" s="101"/>
      <c r="F945" s="101"/>
      <c r="G945" s="102"/>
      <c r="H945" s="101"/>
      <c r="I945" s="101"/>
      <c r="J945" s="101"/>
      <c r="K945" s="101"/>
      <c r="L945" s="101"/>
      <c r="M945" s="182"/>
      <c r="N945" s="101"/>
      <c r="O945" s="110"/>
      <c r="P945" s="101"/>
      <c r="Q945" s="102"/>
      <c r="R945" s="102"/>
      <c r="S945" s="110"/>
      <c r="T945" s="110"/>
      <c r="U945" s="110"/>
      <c r="V945" s="110"/>
      <c r="W945" s="110"/>
      <c r="X945" s="110"/>
      <c r="Y945" s="110"/>
    </row>
    <row r="946" ht="13.5" customHeight="1" spans="1:25">
      <c r="A946" s="102"/>
      <c r="B946" s="102"/>
      <c r="C946" s="102"/>
      <c r="D946" s="101"/>
      <c r="E946" s="101"/>
      <c r="F946" s="101"/>
      <c r="G946" s="102"/>
      <c r="H946" s="101"/>
      <c r="I946" s="101"/>
      <c r="J946" s="101"/>
      <c r="K946" s="101"/>
      <c r="L946" s="101"/>
      <c r="M946" s="182"/>
      <c r="N946" s="101"/>
      <c r="O946" s="110"/>
      <c r="P946" s="101"/>
      <c r="Q946" s="102"/>
      <c r="R946" s="102"/>
      <c r="S946" s="110"/>
      <c r="T946" s="110"/>
      <c r="U946" s="110"/>
      <c r="V946" s="110"/>
      <c r="W946" s="110"/>
      <c r="X946" s="110"/>
      <c r="Y946" s="110"/>
    </row>
    <row r="947" ht="13.5" customHeight="1" spans="1:25">
      <c r="A947" s="102"/>
      <c r="B947" s="102"/>
      <c r="C947" s="102"/>
      <c r="D947" s="101"/>
      <c r="E947" s="101"/>
      <c r="F947" s="101"/>
      <c r="G947" s="102"/>
      <c r="H947" s="101"/>
      <c r="I947" s="101"/>
      <c r="J947" s="101"/>
      <c r="K947" s="101"/>
      <c r="L947" s="101"/>
      <c r="M947" s="182"/>
      <c r="N947" s="101"/>
      <c r="O947" s="110"/>
      <c r="P947" s="101"/>
      <c r="Q947" s="102"/>
      <c r="R947" s="102"/>
      <c r="S947" s="110"/>
      <c r="T947" s="110"/>
      <c r="U947" s="110"/>
      <c r="V947" s="110"/>
      <c r="W947" s="110"/>
      <c r="X947" s="110"/>
      <c r="Y947" s="110"/>
    </row>
    <row r="948" ht="13.5" customHeight="1" spans="1:25">
      <c r="A948" s="102"/>
      <c r="B948" s="102"/>
      <c r="C948" s="102"/>
      <c r="D948" s="101"/>
      <c r="E948" s="101"/>
      <c r="F948" s="101"/>
      <c r="G948" s="102"/>
      <c r="H948" s="101"/>
      <c r="I948" s="101"/>
      <c r="J948" s="101"/>
      <c r="K948" s="101"/>
      <c r="L948" s="101"/>
      <c r="M948" s="182"/>
      <c r="N948" s="101"/>
      <c r="O948" s="110"/>
      <c r="P948" s="101"/>
      <c r="Q948" s="102"/>
      <c r="R948" s="102"/>
      <c r="S948" s="110"/>
      <c r="T948" s="110"/>
      <c r="U948" s="110"/>
      <c r="V948" s="110"/>
      <c r="W948" s="110"/>
      <c r="X948" s="110"/>
      <c r="Y948" s="110"/>
    </row>
    <row r="949" ht="13.5" customHeight="1" spans="1:25">
      <c r="A949" s="102"/>
      <c r="B949" s="102"/>
      <c r="C949" s="102"/>
      <c r="D949" s="101"/>
      <c r="E949" s="101"/>
      <c r="F949" s="101"/>
      <c r="G949" s="102"/>
      <c r="H949" s="101"/>
      <c r="I949" s="101"/>
      <c r="J949" s="101"/>
      <c r="K949" s="101"/>
      <c r="L949" s="101"/>
      <c r="M949" s="182"/>
      <c r="N949" s="101"/>
      <c r="O949" s="110"/>
      <c r="P949" s="101"/>
      <c r="Q949" s="102"/>
      <c r="R949" s="102"/>
      <c r="S949" s="110"/>
      <c r="T949" s="110"/>
      <c r="U949" s="110"/>
      <c r="V949" s="110"/>
      <c r="W949" s="110"/>
      <c r="X949" s="110"/>
      <c r="Y949" s="110"/>
    </row>
    <row r="950" ht="13.5" customHeight="1" spans="1:25">
      <c r="A950" s="102"/>
      <c r="B950" s="102"/>
      <c r="C950" s="102"/>
      <c r="D950" s="101"/>
      <c r="E950" s="101"/>
      <c r="F950" s="101"/>
      <c r="G950" s="102"/>
      <c r="H950" s="101"/>
      <c r="I950" s="101"/>
      <c r="J950" s="101"/>
      <c r="K950" s="101"/>
      <c r="L950" s="101"/>
      <c r="M950" s="182"/>
      <c r="N950" s="101"/>
      <c r="O950" s="110"/>
      <c r="P950" s="101"/>
      <c r="Q950" s="102"/>
      <c r="R950" s="102"/>
      <c r="S950" s="110"/>
      <c r="T950" s="110"/>
      <c r="U950" s="110"/>
      <c r="V950" s="110"/>
      <c r="W950" s="110"/>
      <c r="X950" s="110"/>
      <c r="Y950" s="110"/>
    </row>
    <row r="951" ht="13.5" customHeight="1" spans="1:25">
      <c r="A951" s="102"/>
      <c r="B951" s="102"/>
      <c r="C951" s="102"/>
      <c r="D951" s="101"/>
      <c r="E951" s="101"/>
      <c r="F951" s="101"/>
      <c r="G951" s="102"/>
      <c r="H951" s="101"/>
      <c r="I951" s="101"/>
      <c r="J951" s="101"/>
      <c r="K951" s="101"/>
      <c r="L951" s="101"/>
      <c r="M951" s="182"/>
      <c r="N951" s="101"/>
      <c r="O951" s="110"/>
      <c r="P951" s="101"/>
      <c r="Q951" s="102"/>
      <c r="R951" s="102"/>
      <c r="S951" s="110"/>
      <c r="T951" s="110"/>
      <c r="U951" s="110"/>
      <c r="V951" s="110"/>
      <c r="W951" s="110"/>
      <c r="X951" s="110"/>
      <c r="Y951" s="110"/>
    </row>
    <row r="952" ht="13.5" customHeight="1" spans="1:25">
      <c r="A952" s="102"/>
      <c r="B952" s="102"/>
      <c r="C952" s="102"/>
      <c r="D952" s="101"/>
      <c r="E952" s="101"/>
      <c r="F952" s="101"/>
      <c r="G952" s="102"/>
      <c r="H952" s="101"/>
      <c r="I952" s="101"/>
      <c r="J952" s="101"/>
      <c r="K952" s="101"/>
      <c r="L952" s="101"/>
      <c r="M952" s="182"/>
      <c r="N952" s="101"/>
      <c r="O952" s="110"/>
      <c r="P952" s="101"/>
      <c r="Q952" s="102"/>
      <c r="R952" s="102"/>
      <c r="S952" s="110"/>
      <c r="T952" s="110"/>
      <c r="U952" s="110"/>
      <c r="V952" s="110"/>
      <c r="W952" s="110"/>
      <c r="X952" s="110"/>
      <c r="Y952" s="110"/>
    </row>
    <row r="953" ht="13.5" customHeight="1" spans="1:25">
      <c r="A953" s="102"/>
      <c r="B953" s="102"/>
      <c r="C953" s="102"/>
      <c r="D953" s="101"/>
      <c r="E953" s="101"/>
      <c r="F953" s="101"/>
      <c r="G953" s="102"/>
      <c r="H953" s="101"/>
      <c r="I953" s="101"/>
      <c r="J953" s="101"/>
      <c r="K953" s="101"/>
      <c r="L953" s="101"/>
      <c r="M953" s="182"/>
      <c r="N953" s="101"/>
      <c r="O953" s="110"/>
      <c r="P953" s="101"/>
      <c r="Q953" s="102"/>
      <c r="R953" s="102"/>
      <c r="S953" s="110"/>
      <c r="T953" s="110"/>
      <c r="U953" s="110"/>
      <c r="V953" s="110"/>
      <c r="W953" s="110"/>
      <c r="X953" s="110"/>
      <c r="Y953" s="110"/>
    </row>
    <row r="954" ht="13.5" customHeight="1" spans="1:25">
      <c r="A954" s="102"/>
      <c r="B954" s="102"/>
      <c r="C954" s="102"/>
      <c r="D954" s="101"/>
      <c r="E954" s="101"/>
      <c r="F954" s="101"/>
      <c r="G954" s="102"/>
      <c r="H954" s="101"/>
      <c r="I954" s="101"/>
      <c r="J954" s="101"/>
      <c r="K954" s="101"/>
      <c r="L954" s="101"/>
      <c r="M954" s="182"/>
      <c r="N954" s="101"/>
      <c r="O954" s="110"/>
      <c r="P954" s="101"/>
      <c r="Q954" s="102"/>
      <c r="R954" s="102"/>
      <c r="S954" s="110"/>
      <c r="T954" s="110"/>
      <c r="U954" s="110"/>
      <c r="V954" s="110"/>
      <c r="W954" s="110"/>
      <c r="X954" s="110"/>
      <c r="Y954" s="110"/>
    </row>
    <row r="955" ht="13.5" customHeight="1" spans="1:25">
      <c r="A955" s="102"/>
      <c r="B955" s="102"/>
      <c r="C955" s="102"/>
      <c r="D955" s="101"/>
      <c r="E955" s="101"/>
      <c r="F955" s="101"/>
      <c r="G955" s="102"/>
      <c r="H955" s="101"/>
      <c r="I955" s="101"/>
      <c r="J955" s="101"/>
      <c r="K955" s="101"/>
      <c r="L955" s="101"/>
      <c r="M955" s="182"/>
      <c r="N955" s="101"/>
      <c r="O955" s="110"/>
      <c r="P955" s="101"/>
      <c r="Q955" s="102"/>
      <c r="R955" s="102"/>
      <c r="S955" s="110"/>
      <c r="T955" s="110"/>
      <c r="U955" s="110"/>
      <c r="V955" s="110"/>
      <c r="W955" s="110"/>
      <c r="X955" s="110"/>
      <c r="Y955" s="110"/>
    </row>
    <row r="956" ht="13.5" customHeight="1" spans="1:25">
      <c r="A956" s="102"/>
      <c r="B956" s="102"/>
      <c r="C956" s="102"/>
      <c r="D956" s="101"/>
      <c r="E956" s="101"/>
      <c r="F956" s="101"/>
      <c r="G956" s="102"/>
      <c r="H956" s="101"/>
      <c r="I956" s="101"/>
      <c r="J956" s="101"/>
      <c r="K956" s="101"/>
      <c r="L956" s="101"/>
      <c r="M956" s="182"/>
      <c r="N956" s="101"/>
      <c r="O956" s="110"/>
      <c r="P956" s="101"/>
      <c r="Q956" s="102"/>
      <c r="R956" s="102"/>
      <c r="S956" s="110"/>
      <c r="T956" s="110"/>
      <c r="U956" s="110"/>
      <c r="V956" s="110"/>
      <c r="W956" s="110"/>
      <c r="X956" s="110"/>
      <c r="Y956" s="110"/>
    </row>
    <row r="957" ht="13.5" customHeight="1" spans="1:25">
      <c r="A957" s="102"/>
      <c r="B957" s="102"/>
      <c r="C957" s="102"/>
      <c r="D957" s="101"/>
      <c r="E957" s="101"/>
      <c r="F957" s="101"/>
      <c r="G957" s="102"/>
      <c r="H957" s="101"/>
      <c r="I957" s="101"/>
      <c r="J957" s="101"/>
      <c r="K957" s="101"/>
      <c r="L957" s="101"/>
      <c r="M957" s="182"/>
      <c r="N957" s="101"/>
      <c r="O957" s="110"/>
      <c r="P957" s="101"/>
      <c r="Q957" s="102"/>
      <c r="R957" s="102"/>
      <c r="S957" s="110"/>
      <c r="T957" s="110"/>
      <c r="U957" s="110"/>
      <c r="V957" s="110"/>
      <c r="W957" s="110"/>
      <c r="X957" s="110"/>
      <c r="Y957" s="110"/>
    </row>
    <row r="958" ht="13.5" customHeight="1" spans="1:25">
      <c r="A958" s="102"/>
      <c r="B958" s="102"/>
      <c r="C958" s="102"/>
      <c r="D958" s="101"/>
      <c r="E958" s="101"/>
      <c r="F958" s="101"/>
      <c r="G958" s="102"/>
      <c r="H958" s="101"/>
      <c r="I958" s="101"/>
      <c r="J958" s="101"/>
      <c r="K958" s="101"/>
      <c r="L958" s="101"/>
      <c r="M958" s="182"/>
      <c r="N958" s="101"/>
      <c r="O958" s="110"/>
      <c r="P958" s="101"/>
      <c r="Q958" s="102"/>
      <c r="R958" s="102"/>
      <c r="S958" s="110"/>
      <c r="T958" s="110"/>
      <c r="U958" s="110"/>
      <c r="V958" s="110"/>
      <c r="W958" s="110"/>
      <c r="X958" s="110"/>
      <c r="Y958" s="110"/>
    </row>
    <row r="959" ht="13.5" customHeight="1" spans="1:25">
      <c r="A959" s="102"/>
      <c r="B959" s="102"/>
      <c r="C959" s="102"/>
      <c r="D959" s="101"/>
      <c r="E959" s="101"/>
      <c r="F959" s="101"/>
      <c r="G959" s="102"/>
      <c r="H959" s="101"/>
      <c r="I959" s="101"/>
      <c r="J959" s="101"/>
      <c r="K959" s="101"/>
      <c r="L959" s="101"/>
      <c r="M959" s="182"/>
      <c r="N959" s="101"/>
      <c r="O959" s="110"/>
      <c r="P959" s="101"/>
      <c r="Q959" s="102"/>
      <c r="R959" s="102"/>
      <c r="S959" s="110"/>
      <c r="T959" s="110"/>
      <c r="U959" s="110"/>
      <c r="V959" s="110"/>
      <c r="W959" s="110"/>
      <c r="X959" s="110"/>
      <c r="Y959" s="110"/>
    </row>
    <row r="960" ht="13.5" customHeight="1" spans="1:25">
      <c r="A960" s="102"/>
      <c r="B960" s="102"/>
      <c r="C960" s="102"/>
      <c r="D960" s="101"/>
      <c r="E960" s="101"/>
      <c r="F960" s="101"/>
      <c r="G960" s="102"/>
      <c r="H960" s="101"/>
      <c r="I960" s="101"/>
      <c r="J960" s="101"/>
      <c r="K960" s="101"/>
      <c r="L960" s="101"/>
      <c r="M960" s="182"/>
      <c r="N960" s="101"/>
      <c r="O960" s="110"/>
      <c r="P960" s="101"/>
      <c r="Q960" s="102"/>
      <c r="R960" s="102"/>
      <c r="S960" s="110"/>
      <c r="T960" s="110"/>
      <c r="U960" s="110"/>
      <c r="V960" s="110"/>
      <c r="W960" s="110"/>
      <c r="X960" s="110"/>
      <c r="Y960" s="110"/>
    </row>
    <row r="961" ht="13.5" customHeight="1" spans="1:25">
      <c r="A961" s="102"/>
      <c r="B961" s="102"/>
      <c r="C961" s="102"/>
      <c r="D961" s="101"/>
      <c r="E961" s="101"/>
      <c r="F961" s="101"/>
      <c r="G961" s="102"/>
      <c r="H961" s="101"/>
      <c r="I961" s="101"/>
      <c r="J961" s="101"/>
      <c r="K961" s="101"/>
      <c r="L961" s="101"/>
      <c r="M961" s="182"/>
      <c r="N961" s="101"/>
      <c r="O961" s="110"/>
      <c r="P961" s="101"/>
      <c r="Q961" s="102"/>
      <c r="R961" s="102"/>
      <c r="S961" s="110"/>
      <c r="T961" s="110"/>
      <c r="U961" s="110"/>
      <c r="V961" s="110"/>
      <c r="W961" s="110"/>
      <c r="X961" s="110"/>
      <c r="Y961" s="110"/>
    </row>
    <row r="962" ht="13.5" customHeight="1" spans="1:25">
      <c r="A962" s="102"/>
      <c r="B962" s="102"/>
      <c r="C962" s="102"/>
      <c r="D962" s="101"/>
      <c r="E962" s="101"/>
      <c r="F962" s="101"/>
      <c r="G962" s="102"/>
      <c r="H962" s="101"/>
      <c r="I962" s="101"/>
      <c r="J962" s="101"/>
      <c r="K962" s="101"/>
      <c r="L962" s="101"/>
      <c r="M962" s="182"/>
      <c r="N962" s="101"/>
      <c r="O962" s="110"/>
      <c r="P962" s="101"/>
      <c r="Q962" s="102"/>
      <c r="R962" s="102"/>
      <c r="S962" s="110"/>
      <c r="T962" s="110"/>
      <c r="U962" s="110"/>
      <c r="V962" s="110"/>
      <c r="W962" s="110"/>
      <c r="X962" s="110"/>
      <c r="Y962" s="110"/>
    </row>
    <row r="963" ht="13.5" customHeight="1" spans="1:25">
      <c r="A963" s="102"/>
      <c r="B963" s="102"/>
      <c r="C963" s="102"/>
      <c r="D963" s="101"/>
      <c r="E963" s="101"/>
      <c r="F963" s="101"/>
      <c r="G963" s="102"/>
      <c r="H963" s="101"/>
      <c r="I963" s="101"/>
      <c r="J963" s="101"/>
      <c r="K963" s="101"/>
      <c r="L963" s="101"/>
      <c r="M963" s="182"/>
      <c r="N963" s="101"/>
      <c r="O963" s="110"/>
      <c r="P963" s="101"/>
      <c r="Q963" s="102"/>
      <c r="R963" s="102"/>
      <c r="S963" s="110"/>
      <c r="T963" s="110"/>
      <c r="U963" s="110"/>
      <c r="V963" s="110"/>
      <c r="W963" s="110"/>
      <c r="X963" s="110"/>
      <c r="Y963" s="110"/>
    </row>
    <row r="964" ht="13.5" customHeight="1" spans="1:25">
      <c r="A964" s="102"/>
      <c r="B964" s="102"/>
      <c r="C964" s="102"/>
      <c r="D964" s="101"/>
      <c r="E964" s="101"/>
      <c r="F964" s="101"/>
      <c r="G964" s="102"/>
      <c r="H964" s="101"/>
      <c r="I964" s="101"/>
      <c r="J964" s="101"/>
      <c r="K964" s="101"/>
      <c r="L964" s="101"/>
      <c r="M964" s="182"/>
      <c r="N964" s="101"/>
      <c r="O964" s="110"/>
      <c r="P964" s="101"/>
      <c r="Q964" s="102"/>
      <c r="R964" s="102"/>
      <c r="S964" s="110"/>
      <c r="T964" s="110"/>
      <c r="U964" s="110"/>
      <c r="V964" s="110"/>
      <c r="W964" s="110"/>
      <c r="X964" s="110"/>
      <c r="Y964" s="110"/>
    </row>
    <row r="965" ht="13.5" customHeight="1" spans="1:25">
      <c r="A965" s="102"/>
      <c r="B965" s="102"/>
      <c r="C965" s="102"/>
      <c r="D965" s="101"/>
      <c r="E965" s="101"/>
      <c r="F965" s="101"/>
      <c r="G965" s="102"/>
      <c r="H965" s="101"/>
      <c r="I965" s="101"/>
      <c r="J965" s="101"/>
      <c r="K965" s="101"/>
      <c r="L965" s="101"/>
      <c r="M965" s="182"/>
      <c r="N965" s="101"/>
      <c r="O965" s="110"/>
      <c r="P965" s="101"/>
      <c r="Q965" s="102"/>
      <c r="R965" s="102"/>
      <c r="S965" s="110"/>
      <c r="T965" s="110"/>
      <c r="U965" s="110"/>
      <c r="V965" s="110"/>
      <c r="W965" s="110"/>
      <c r="X965" s="110"/>
      <c r="Y965" s="110"/>
    </row>
    <row r="966" ht="13.5" customHeight="1" spans="1:25">
      <c r="A966" s="102"/>
      <c r="B966" s="102"/>
      <c r="C966" s="102"/>
      <c r="D966" s="101"/>
      <c r="E966" s="101"/>
      <c r="F966" s="101"/>
      <c r="G966" s="102"/>
      <c r="H966" s="101"/>
      <c r="I966" s="101"/>
      <c r="J966" s="101"/>
      <c r="K966" s="101"/>
      <c r="L966" s="101"/>
      <c r="M966" s="182"/>
      <c r="N966" s="101"/>
      <c r="O966" s="110"/>
      <c r="P966" s="101"/>
      <c r="Q966" s="102"/>
      <c r="R966" s="102"/>
      <c r="S966" s="110"/>
      <c r="T966" s="110"/>
      <c r="U966" s="110"/>
      <c r="V966" s="110"/>
      <c r="W966" s="110"/>
      <c r="X966" s="110"/>
      <c r="Y966" s="110"/>
    </row>
    <row r="967" ht="13.5" customHeight="1" spans="1:25">
      <c r="A967" s="102"/>
      <c r="B967" s="102"/>
      <c r="C967" s="102"/>
      <c r="D967" s="101"/>
      <c r="E967" s="101"/>
      <c r="F967" s="101"/>
      <c r="G967" s="102"/>
      <c r="H967" s="101"/>
      <c r="I967" s="101"/>
      <c r="J967" s="101"/>
      <c r="K967" s="101"/>
      <c r="L967" s="101"/>
      <c r="M967" s="182"/>
      <c r="N967" s="101"/>
      <c r="O967" s="110"/>
      <c r="P967" s="101"/>
      <c r="Q967" s="102"/>
      <c r="R967" s="102"/>
      <c r="S967" s="110"/>
      <c r="T967" s="110"/>
      <c r="U967" s="110"/>
      <c r="V967" s="110"/>
      <c r="W967" s="110"/>
      <c r="X967" s="110"/>
      <c r="Y967" s="110"/>
    </row>
    <row r="968" ht="13.5" customHeight="1" spans="1:25">
      <c r="A968" s="102"/>
      <c r="B968" s="102"/>
      <c r="C968" s="102"/>
      <c r="D968" s="101"/>
      <c r="E968" s="101"/>
      <c r="F968" s="101"/>
      <c r="G968" s="102"/>
      <c r="H968" s="101"/>
      <c r="I968" s="101"/>
      <c r="J968" s="101"/>
      <c r="K968" s="101"/>
      <c r="L968" s="101"/>
      <c r="M968" s="182"/>
      <c r="N968" s="101"/>
      <c r="O968" s="110"/>
      <c r="P968" s="101"/>
      <c r="Q968" s="102"/>
      <c r="R968" s="102"/>
      <c r="S968" s="110"/>
      <c r="T968" s="110"/>
      <c r="U968" s="110"/>
      <c r="V968" s="110"/>
      <c r="W968" s="110"/>
      <c r="X968" s="110"/>
      <c r="Y968" s="110"/>
    </row>
    <row r="969" ht="13.5" customHeight="1" spans="1:25">
      <c r="A969" s="102"/>
      <c r="B969" s="102"/>
      <c r="C969" s="102"/>
      <c r="D969" s="101"/>
      <c r="E969" s="101"/>
      <c r="F969" s="101"/>
      <c r="G969" s="102"/>
      <c r="H969" s="101"/>
      <c r="I969" s="101"/>
      <c r="J969" s="101"/>
      <c r="K969" s="101"/>
      <c r="L969" s="101"/>
      <c r="M969" s="182"/>
      <c r="N969" s="101"/>
      <c r="O969" s="110"/>
      <c r="P969" s="101"/>
      <c r="Q969" s="102"/>
      <c r="R969" s="102"/>
      <c r="S969" s="110"/>
      <c r="T969" s="110"/>
      <c r="U969" s="110"/>
      <c r="V969" s="110"/>
      <c r="W969" s="110"/>
      <c r="X969" s="110"/>
      <c r="Y969" s="110"/>
    </row>
    <row r="970" ht="13.5" customHeight="1" spans="1:25">
      <c r="A970" s="102"/>
      <c r="B970" s="102"/>
      <c r="C970" s="102"/>
      <c r="D970" s="101"/>
      <c r="E970" s="101"/>
      <c r="F970" s="101"/>
      <c r="G970" s="102"/>
      <c r="H970" s="101"/>
      <c r="I970" s="101"/>
      <c r="J970" s="101"/>
      <c r="K970" s="101"/>
      <c r="L970" s="101"/>
      <c r="M970" s="182"/>
      <c r="N970" s="101"/>
      <c r="O970" s="110"/>
      <c r="P970" s="101"/>
      <c r="Q970" s="102"/>
      <c r="R970" s="102"/>
      <c r="S970" s="110"/>
      <c r="T970" s="110"/>
      <c r="U970" s="110"/>
      <c r="V970" s="110"/>
      <c r="W970" s="110"/>
      <c r="X970" s="110"/>
      <c r="Y970" s="110"/>
    </row>
    <row r="971" ht="13.5" customHeight="1" spans="1:25">
      <c r="A971" s="102"/>
      <c r="B971" s="102"/>
      <c r="C971" s="102"/>
      <c r="D971" s="101"/>
      <c r="E971" s="101"/>
      <c r="F971" s="101"/>
      <c r="G971" s="102"/>
      <c r="H971" s="101"/>
      <c r="I971" s="101"/>
      <c r="J971" s="101"/>
      <c r="K971" s="101"/>
      <c r="L971" s="101"/>
      <c r="M971" s="182"/>
      <c r="N971" s="101"/>
      <c r="O971" s="110"/>
      <c r="P971" s="101"/>
      <c r="Q971" s="102"/>
      <c r="R971" s="102"/>
      <c r="S971" s="110"/>
      <c r="T971" s="110"/>
      <c r="U971" s="110"/>
      <c r="V971" s="110"/>
      <c r="W971" s="110"/>
      <c r="X971" s="110"/>
      <c r="Y971" s="110"/>
    </row>
    <row r="972" ht="13.5" customHeight="1" spans="1:25">
      <c r="A972" s="102"/>
      <c r="B972" s="102"/>
      <c r="C972" s="102"/>
      <c r="D972" s="101"/>
      <c r="E972" s="101"/>
      <c r="F972" s="101"/>
      <c r="G972" s="102"/>
      <c r="H972" s="101"/>
      <c r="I972" s="101"/>
      <c r="J972" s="101"/>
      <c r="K972" s="101"/>
      <c r="L972" s="101"/>
      <c r="M972" s="182"/>
      <c r="N972" s="101"/>
      <c r="O972" s="110"/>
      <c r="P972" s="101"/>
      <c r="Q972" s="102"/>
      <c r="R972" s="102"/>
      <c r="S972" s="110"/>
      <c r="T972" s="110"/>
      <c r="U972" s="110"/>
      <c r="V972" s="110"/>
      <c r="W972" s="110"/>
      <c r="X972" s="110"/>
      <c r="Y972" s="110"/>
    </row>
    <row r="973" ht="13.5" customHeight="1" spans="1:25">
      <c r="A973" s="102"/>
      <c r="B973" s="102"/>
      <c r="C973" s="102"/>
      <c r="D973" s="101"/>
      <c r="E973" s="101"/>
      <c r="F973" s="101"/>
      <c r="G973" s="102"/>
      <c r="H973" s="101"/>
      <c r="I973" s="101"/>
      <c r="J973" s="101"/>
      <c r="K973" s="101"/>
      <c r="L973" s="101"/>
      <c r="M973" s="182"/>
      <c r="N973" s="101"/>
      <c r="O973" s="110"/>
      <c r="P973" s="101"/>
      <c r="Q973" s="102"/>
      <c r="R973" s="102"/>
      <c r="S973" s="110"/>
      <c r="T973" s="110"/>
      <c r="U973" s="110"/>
      <c r="V973" s="110"/>
      <c r="W973" s="110"/>
      <c r="X973" s="110"/>
      <c r="Y973" s="110"/>
    </row>
    <row r="974" ht="13.5" customHeight="1" spans="1:25">
      <c r="A974" s="102"/>
      <c r="B974" s="102"/>
      <c r="C974" s="102"/>
      <c r="D974" s="101"/>
      <c r="E974" s="101"/>
      <c r="F974" s="101"/>
      <c r="G974" s="102"/>
      <c r="H974" s="101"/>
      <c r="I974" s="101"/>
      <c r="J974" s="101"/>
      <c r="K974" s="101"/>
      <c r="L974" s="101"/>
      <c r="M974" s="182"/>
      <c r="N974" s="101"/>
      <c r="O974" s="110"/>
      <c r="P974" s="101"/>
      <c r="Q974" s="102"/>
      <c r="R974" s="102"/>
      <c r="S974" s="110"/>
      <c r="T974" s="110"/>
      <c r="U974" s="110"/>
      <c r="V974" s="110"/>
      <c r="W974" s="110"/>
      <c r="X974" s="110"/>
      <c r="Y974" s="110"/>
    </row>
    <row r="975" ht="13.5" customHeight="1" spans="1:25">
      <c r="A975" s="102"/>
      <c r="B975" s="102"/>
      <c r="C975" s="102"/>
      <c r="D975" s="101"/>
      <c r="E975" s="101"/>
      <c r="F975" s="101"/>
      <c r="G975" s="102"/>
      <c r="H975" s="101"/>
      <c r="I975" s="101"/>
      <c r="J975" s="101"/>
      <c r="K975" s="101"/>
      <c r="L975" s="101"/>
      <c r="M975" s="182"/>
      <c r="N975" s="101"/>
      <c r="O975" s="110"/>
      <c r="P975" s="101"/>
      <c r="Q975" s="102"/>
      <c r="R975" s="102"/>
      <c r="S975" s="110"/>
      <c r="T975" s="110"/>
      <c r="U975" s="110"/>
      <c r="V975" s="110"/>
      <c r="W975" s="110"/>
      <c r="X975" s="110"/>
      <c r="Y975" s="110"/>
    </row>
    <row r="976" ht="13.5" customHeight="1" spans="1:25">
      <c r="A976" s="102"/>
      <c r="B976" s="102"/>
      <c r="C976" s="102"/>
      <c r="D976" s="101"/>
      <c r="E976" s="101"/>
      <c r="F976" s="101"/>
      <c r="G976" s="102"/>
      <c r="H976" s="101"/>
      <c r="I976" s="101"/>
      <c r="J976" s="101"/>
      <c r="K976" s="101"/>
      <c r="L976" s="101"/>
      <c r="M976" s="182"/>
      <c r="N976" s="101"/>
      <c r="O976" s="110"/>
      <c r="P976" s="101"/>
      <c r="Q976" s="102"/>
      <c r="R976" s="102"/>
      <c r="S976" s="110"/>
      <c r="T976" s="110"/>
      <c r="U976" s="110"/>
      <c r="V976" s="110"/>
      <c r="W976" s="110"/>
      <c r="X976" s="110"/>
      <c r="Y976" s="110"/>
    </row>
    <row r="977" ht="13.5" customHeight="1" spans="1:25">
      <c r="A977" s="102"/>
      <c r="B977" s="102"/>
      <c r="C977" s="102"/>
      <c r="D977" s="101"/>
      <c r="E977" s="101"/>
      <c r="F977" s="101"/>
      <c r="G977" s="102"/>
      <c r="H977" s="101"/>
      <c r="I977" s="101"/>
      <c r="J977" s="101"/>
      <c r="K977" s="101"/>
      <c r="L977" s="101"/>
      <c r="M977" s="182"/>
      <c r="N977" s="101"/>
      <c r="O977" s="110"/>
      <c r="P977" s="101"/>
      <c r="Q977" s="102"/>
      <c r="R977" s="102"/>
      <c r="S977" s="110"/>
      <c r="T977" s="110"/>
      <c r="U977" s="110"/>
      <c r="V977" s="110"/>
      <c r="W977" s="110"/>
      <c r="X977" s="110"/>
      <c r="Y977" s="110"/>
    </row>
    <row r="978" ht="13.5" customHeight="1" spans="1:25">
      <c r="A978" s="102"/>
      <c r="B978" s="102"/>
      <c r="C978" s="102"/>
      <c r="D978" s="101"/>
      <c r="E978" s="101"/>
      <c r="F978" s="101"/>
      <c r="G978" s="102"/>
      <c r="H978" s="101"/>
      <c r="I978" s="101"/>
      <c r="J978" s="101"/>
      <c r="K978" s="101"/>
      <c r="L978" s="101"/>
      <c r="M978" s="182"/>
      <c r="N978" s="101"/>
      <c r="O978" s="110"/>
      <c r="P978" s="101"/>
      <c r="Q978" s="102"/>
      <c r="R978" s="102"/>
      <c r="S978" s="110"/>
      <c r="T978" s="110"/>
      <c r="U978" s="110"/>
      <c r="V978" s="110"/>
      <c r="W978" s="110"/>
      <c r="X978" s="110"/>
      <c r="Y978" s="110"/>
    </row>
    <row r="979" ht="13.5" customHeight="1" spans="1:25">
      <c r="A979" s="102"/>
      <c r="B979" s="102"/>
      <c r="C979" s="102"/>
      <c r="D979" s="101"/>
      <c r="E979" s="101"/>
      <c r="F979" s="101"/>
      <c r="G979" s="102"/>
      <c r="H979" s="101"/>
      <c r="I979" s="101"/>
      <c r="J979" s="101"/>
      <c r="K979" s="101"/>
      <c r="L979" s="101"/>
      <c r="M979" s="182"/>
      <c r="N979" s="101"/>
      <c r="O979" s="110"/>
      <c r="P979" s="101"/>
      <c r="Q979" s="102"/>
      <c r="R979" s="102"/>
      <c r="S979" s="110"/>
      <c r="T979" s="110"/>
      <c r="U979" s="110"/>
      <c r="V979" s="110"/>
      <c r="W979" s="110"/>
      <c r="X979" s="110"/>
      <c r="Y979" s="110"/>
    </row>
    <row r="980" ht="13.5" customHeight="1" spans="1:25">
      <c r="A980" s="102"/>
      <c r="B980" s="102"/>
      <c r="C980" s="102"/>
      <c r="D980" s="101"/>
      <c r="E980" s="101"/>
      <c r="F980" s="101"/>
      <c r="G980" s="102"/>
      <c r="H980" s="101"/>
      <c r="I980" s="101"/>
      <c r="J980" s="101"/>
      <c r="K980" s="101"/>
      <c r="L980" s="101"/>
      <c r="M980" s="182"/>
      <c r="N980" s="101"/>
      <c r="O980" s="110"/>
      <c r="P980" s="101"/>
      <c r="Q980" s="102"/>
      <c r="R980" s="102"/>
      <c r="S980" s="110"/>
      <c r="T980" s="110"/>
      <c r="U980" s="110"/>
      <c r="V980" s="110"/>
      <c r="W980" s="110"/>
      <c r="X980" s="110"/>
      <c r="Y980" s="110"/>
    </row>
    <row r="981" ht="13.5" customHeight="1" spans="1:25">
      <c r="A981" s="102"/>
      <c r="B981" s="102"/>
      <c r="C981" s="102"/>
      <c r="D981" s="101"/>
      <c r="E981" s="101"/>
      <c r="F981" s="101"/>
      <c r="G981" s="102"/>
      <c r="H981" s="101"/>
      <c r="I981" s="101"/>
      <c r="J981" s="101"/>
      <c r="K981" s="101"/>
      <c r="L981" s="101"/>
      <c r="M981" s="182"/>
      <c r="N981" s="101"/>
      <c r="O981" s="110"/>
      <c r="P981" s="101"/>
      <c r="Q981" s="102"/>
      <c r="R981" s="102"/>
      <c r="S981" s="110"/>
      <c r="T981" s="110"/>
      <c r="U981" s="110"/>
      <c r="V981" s="110"/>
      <c r="W981" s="110"/>
      <c r="X981" s="110"/>
      <c r="Y981" s="110"/>
    </row>
    <row r="982" ht="13.5" customHeight="1" spans="1:25">
      <c r="A982" s="102"/>
      <c r="B982" s="102"/>
      <c r="C982" s="102"/>
      <c r="D982" s="101"/>
      <c r="E982" s="101"/>
      <c r="F982" s="101"/>
      <c r="G982" s="102"/>
      <c r="H982" s="101"/>
      <c r="I982" s="101"/>
      <c r="J982" s="101"/>
      <c r="K982" s="101"/>
      <c r="L982" s="101"/>
      <c r="M982" s="182"/>
      <c r="N982" s="101"/>
      <c r="O982" s="110"/>
      <c r="P982" s="101"/>
      <c r="Q982" s="102"/>
      <c r="R982" s="102"/>
      <c r="S982" s="110"/>
      <c r="T982" s="110"/>
      <c r="U982" s="110"/>
      <c r="V982" s="110"/>
      <c r="W982" s="110"/>
      <c r="X982" s="110"/>
      <c r="Y982" s="110"/>
    </row>
    <row r="983" ht="13.5" customHeight="1" spans="1:25">
      <c r="A983" s="102"/>
      <c r="B983" s="102"/>
      <c r="C983" s="102"/>
      <c r="D983" s="101"/>
      <c r="E983" s="101"/>
      <c r="F983" s="101"/>
      <c r="G983" s="102"/>
      <c r="H983" s="101"/>
      <c r="I983" s="101"/>
      <c r="J983" s="101"/>
      <c r="K983" s="101"/>
      <c r="L983" s="101"/>
      <c r="M983" s="182"/>
      <c r="N983" s="101"/>
      <c r="O983" s="110"/>
      <c r="P983" s="101"/>
      <c r="Q983" s="102"/>
      <c r="R983" s="102"/>
      <c r="S983" s="110"/>
      <c r="T983" s="110"/>
      <c r="U983" s="110"/>
      <c r="V983" s="110"/>
      <c r="W983" s="110"/>
      <c r="X983" s="110"/>
      <c r="Y983" s="110"/>
    </row>
    <row r="984" ht="13.5" customHeight="1" spans="1:25">
      <c r="A984" s="102"/>
      <c r="B984" s="102"/>
      <c r="C984" s="102"/>
      <c r="D984" s="101"/>
      <c r="E984" s="101"/>
      <c r="F984" s="101"/>
      <c r="G984" s="102"/>
      <c r="H984" s="101"/>
      <c r="I984" s="101"/>
      <c r="J984" s="101"/>
      <c r="K984" s="101"/>
      <c r="L984" s="101"/>
      <c r="M984" s="182"/>
      <c r="N984" s="101"/>
      <c r="O984" s="110"/>
      <c r="P984" s="101"/>
      <c r="Q984" s="102"/>
      <c r="R984" s="102"/>
      <c r="S984" s="110"/>
      <c r="T984" s="110"/>
      <c r="U984" s="110"/>
      <c r="V984" s="110"/>
      <c r="W984" s="110"/>
      <c r="X984" s="110"/>
      <c r="Y984" s="110"/>
    </row>
    <row r="985" ht="13.5" customHeight="1" spans="1:25">
      <c r="A985" s="102"/>
      <c r="B985" s="102"/>
      <c r="C985" s="102"/>
      <c r="D985" s="101"/>
      <c r="E985" s="101"/>
      <c r="F985" s="101"/>
      <c r="G985" s="102"/>
      <c r="H985" s="101"/>
      <c r="I985" s="101"/>
      <c r="J985" s="101"/>
      <c r="K985" s="101"/>
      <c r="L985" s="101"/>
      <c r="M985" s="182"/>
      <c r="N985" s="101"/>
      <c r="O985" s="110"/>
      <c r="P985" s="101"/>
      <c r="Q985" s="102"/>
      <c r="R985" s="102"/>
      <c r="S985" s="110"/>
      <c r="T985" s="110"/>
      <c r="U985" s="110"/>
      <c r="V985" s="110"/>
      <c r="W985" s="110"/>
      <c r="X985" s="110"/>
      <c r="Y985" s="110"/>
    </row>
    <row r="986" ht="13.5" customHeight="1" spans="1:25">
      <c r="A986" s="102"/>
      <c r="B986" s="102"/>
      <c r="C986" s="102"/>
      <c r="D986" s="101"/>
      <c r="E986" s="101"/>
      <c r="F986" s="101"/>
      <c r="G986" s="102"/>
      <c r="H986" s="101"/>
      <c r="I986" s="101"/>
      <c r="J986" s="101"/>
      <c r="K986" s="101"/>
      <c r="L986" s="101"/>
      <c r="M986" s="182"/>
      <c r="N986" s="101"/>
      <c r="O986" s="110"/>
      <c r="P986" s="101"/>
      <c r="Q986" s="102"/>
      <c r="R986" s="102"/>
      <c r="S986" s="110"/>
      <c r="T986" s="110"/>
      <c r="U986" s="110"/>
      <c r="V986" s="110"/>
      <c r="W986" s="110"/>
      <c r="X986" s="110"/>
      <c r="Y986" s="110"/>
    </row>
    <row r="987" ht="13.5" customHeight="1" spans="1:25">
      <c r="A987" s="102"/>
      <c r="B987" s="102"/>
      <c r="C987" s="102"/>
      <c r="D987" s="101"/>
      <c r="E987" s="101"/>
      <c r="F987" s="101"/>
      <c r="G987" s="102"/>
      <c r="H987" s="101"/>
      <c r="I987" s="101"/>
      <c r="J987" s="101"/>
      <c r="K987" s="101"/>
      <c r="L987" s="101"/>
      <c r="M987" s="182"/>
      <c r="N987" s="101"/>
      <c r="O987" s="110"/>
      <c r="P987" s="101"/>
      <c r="Q987" s="102"/>
      <c r="R987" s="102"/>
      <c r="S987" s="110"/>
      <c r="T987" s="110"/>
      <c r="U987" s="110"/>
      <c r="V987" s="110"/>
      <c r="W987" s="110"/>
      <c r="X987" s="110"/>
      <c r="Y987" s="110"/>
    </row>
    <row r="988" ht="13.5" customHeight="1" spans="1:25">
      <c r="A988" s="102"/>
      <c r="B988" s="102"/>
      <c r="C988" s="102"/>
      <c r="D988" s="101"/>
      <c r="E988" s="101"/>
      <c r="F988" s="101"/>
      <c r="G988" s="102"/>
      <c r="H988" s="101"/>
      <c r="I988" s="101"/>
      <c r="J988" s="101"/>
      <c r="K988" s="101"/>
      <c r="L988" s="101"/>
      <c r="M988" s="182"/>
      <c r="N988" s="101"/>
      <c r="O988" s="110"/>
      <c r="P988" s="101"/>
      <c r="Q988" s="102"/>
      <c r="R988" s="102"/>
      <c r="S988" s="110"/>
      <c r="T988" s="110"/>
      <c r="U988" s="110"/>
      <c r="V988" s="110"/>
      <c r="W988" s="110"/>
      <c r="X988" s="110"/>
      <c r="Y988" s="110"/>
    </row>
    <row r="989" ht="13.5" customHeight="1" spans="1:25">
      <c r="A989" s="102"/>
      <c r="B989" s="102"/>
      <c r="C989" s="102"/>
      <c r="D989" s="101"/>
      <c r="E989" s="101"/>
      <c r="F989" s="101"/>
      <c r="G989" s="102"/>
      <c r="H989" s="101"/>
      <c r="I989" s="101"/>
      <c r="J989" s="101"/>
      <c r="K989" s="101"/>
      <c r="L989" s="101"/>
      <c r="M989" s="182"/>
      <c r="N989" s="101"/>
      <c r="O989" s="110"/>
      <c r="P989" s="101"/>
      <c r="Q989" s="102"/>
      <c r="R989" s="102"/>
      <c r="S989" s="110"/>
      <c r="T989" s="110"/>
      <c r="U989" s="110"/>
      <c r="V989" s="110"/>
      <c r="W989" s="110"/>
      <c r="X989" s="110"/>
      <c r="Y989" s="110"/>
    </row>
    <row r="990" ht="13.5" customHeight="1" spans="1:25">
      <c r="A990" s="102"/>
      <c r="B990" s="102"/>
      <c r="C990" s="102"/>
      <c r="D990" s="101"/>
      <c r="E990" s="101"/>
      <c r="F990" s="101"/>
      <c r="G990" s="102"/>
      <c r="H990" s="101"/>
      <c r="I990" s="101"/>
      <c r="J990" s="101"/>
      <c r="K990" s="101"/>
      <c r="L990" s="101"/>
      <c r="M990" s="182"/>
      <c r="N990" s="101"/>
      <c r="O990" s="110"/>
      <c r="P990" s="101"/>
      <c r="Q990" s="102"/>
      <c r="R990" s="102"/>
      <c r="S990" s="110"/>
      <c r="T990" s="110"/>
      <c r="U990" s="110"/>
      <c r="V990" s="110"/>
      <c r="W990" s="110"/>
      <c r="X990" s="110"/>
      <c r="Y990" s="110"/>
    </row>
    <row r="991" ht="13.5" customHeight="1" spans="1:25">
      <c r="A991" s="102"/>
      <c r="B991" s="102"/>
      <c r="C991" s="102"/>
      <c r="D991" s="101"/>
      <c r="E991" s="101"/>
      <c r="F991" s="101"/>
      <c r="G991" s="102"/>
      <c r="H991" s="101"/>
      <c r="I991" s="101"/>
      <c r="J991" s="101"/>
      <c r="K991" s="101"/>
      <c r="L991" s="101"/>
      <c r="M991" s="182"/>
      <c r="N991" s="101"/>
      <c r="O991" s="110"/>
      <c r="P991" s="101"/>
      <c r="Q991" s="102"/>
      <c r="R991" s="102"/>
      <c r="S991" s="110"/>
      <c r="T991" s="110"/>
      <c r="U991" s="110"/>
      <c r="V991" s="110"/>
      <c r="W991" s="110"/>
      <c r="X991" s="110"/>
      <c r="Y991" s="110"/>
    </row>
    <row r="992" ht="13.5" customHeight="1" spans="1:25">
      <c r="A992" s="102"/>
      <c r="B992" s="102"/>
      <c r="C992" s="102"/>
      <c r="D992" s="101"/>
      <c r="E992" s="101"/>
      <c r="F992" s="101"/>
      <c r="G992" s="102"/>
      <c r="H992" s="101"/>
      <c r="I992" s="101"/>
      <c r="J992" s="101"/>
      <c r="K992" s="101"/>
      <c r="L992" s="101"/>
      <c r="M992" s="182"/>
      <c r="N992" s="101"/>
      <c r="O992" s="110"/>
      <c r="P992" s="101"/>
      <c r="Q992" s="102"/>
      <c r="R992" s="102"/>
      <c r="S992" s="110"/>
      <c r="T992" s="110"/>
      <c r="U992" s="110"/>
      <c r="V992" s="110"/>
      <c r="W992" s="110"/>
      <c r="X992" s="110"/>
      <c r="Y992" s="110"/>
    </row>
    <row r="993" ht="13.5" customHeight="1" spans="1:25">
      <c r="A993" s="102"/>
      <c r="B993" s="102"/>
      <c r="C993" s="102"/>
      <c r="D993" s="101"/>
      <c r="E993" s="101"/>
      <c r="F993" s="101"/>
      <c r="G993" s="102"/>
      <c r="H993" s="101"/>
      <c r="I993" s="101"/>
      <c r="J993" s="101"/>
      <c r="K993" s="101"/>
      <c r="L993" s="101"/>
      <c r="M993" s="182"/>
      <c r="N993" s="101"/>
      <c r="O993" s="110"/>
      <c r="P993" s="101"/>
      <c r="Q993" s="102"/>
      <c r="R993" s="102"/>
      <c r="S993" s="110"/>
      <c r="T993" s="110"/>
      <c r="U993" s="110"/>
      <c r="V993" s="110"/>
      <c r="W993" s="110"/>
      <c r="X993" s="110"/>
      <c r="Y993" s="110"/>
    </row>
    <row r="994" ht="13.5" customHeight="1" spans="1:25">
      <c r="A994" s="102"/>
      <c r="B994" s="102"/>
      <c r="C994" s="102"/>
      <c r="D994" s="101"/>
      <c r="E994" s="101"/>
      <c r="F994" s="101"/>
      <c r="G994" s="102"/>
      <c r="H994" s="101"/>
      <c r="I994" s="101"/>
      <c r="J994" s="101"/>
      <c r="K994" s="101"/>
      <c r="L994" s="101"/>
      <c r="M994" s="182"/>
      <c r="N994" s="101"/>
      <c r="O994" s="110"/>
      <c r="P994" s="101"/>
      <c r="Q994" s="102"/>
      <c r="R994" s="102"/>
      <c r="S994" s="110"/>
      <c r="T994" s="110"/>
      <c r="U994" s="110"/>
      <c r="V994" s="110"/>
      <c r="W994" s="110"/>
      <c r="X994" s="110"/>
      <c r="Y994" s="110"/>
    </row>
    <row r="995" ht="13.5" customHeight="1" spans="1:25">
      <c r="A995" s="102"/>
      <c r="B995" s="102"/>
      <c r="C995" s="102"/>
      <c r="D995" s="101"/>
      <c r="E995" s="101"/>
      <c r="F995" s="101"/>
      <c r="G995" s="102"/>
      <c r="H995" s="101"/>
      <c r="I995" s="101"/>
      <c r="J995" s="101"/>
      <c r="K995" s="101"/>
      <c r="L995" s="101"/>
      <c r="M995" s="182"/>
      <c r="N995" s="101"/>
      <c r="O995" s="110"/>
      <c r="P995" s="101"/>
      <c r="Q995" s="102"/>
      <c r="R995" s="102"/>
      <c r="S995" s="110"/>
      <c r="T995" s="110"/>
      <c r="U995" s="110"/>
      <c r="V995" s="110"/>
      <c r="W995" s="110"/>
      <c r="X995" s="110"/>
      <c r="Y995" s="110"/>
    </row>
    <row r="996" ht="13.5" customHeight="1" spans="1:25">
      <c r="A996" s="102"/>
      <c r="B996" s="102"/>
      <c r="C996" s="102"/>
      <c r="D996" s="101"/>
      <c r="E996" s="101"/>
      <c r="F996" s="101"/>
      <c r="G996" s="102"/>
      <c r="H996" s="101"/>
      <c r="I996" s="101"/>
      <c r="J996" s="101"/>
      <c r="K996" s="101"/>
      <c r="L996" s="101"/>
      <c r="M996" s="182"/>
      <c r="N996" s="101"/>
      <c r="O996" s="110"/>
      <c r="P996" s="101"/>
      <c r="Q996" s="102"/>
      <c r="R996" s="102"/>
      <c r="S996" s="110"/>
      <c r="T996" s="110"/>
      <c r="U996" s="110"/>
      <c r="V996" s="110"/>
      <c r="W996" s="110"/>
      <c r="X996" s="110"/>
      <c r="Y996" s="110"/>
    </row>
    <row r="997" ht="13.5" customHeight="1" spans="1:25">
      <c r="A997" s="102"/>
      <c r="B997" s="102"/>
      <c r="C997" s="102"/>
      <c r="D997" s="101"/>
      <c r="E997" s="101"/>
      <c r="F997" s="101"/>
      <c r="G997" s="102"/>
      <c r="H997" s="101"/>
      <c r="I997" s="101"/>
      <c r="J997" s="101"/>
      <c r="K997" s="101"/>
      <c r="L997" s="101"/>
      <c r="M997" s="182"/>
      <c r="N997" s="101"/>
      <c r="O997" s="110"/>
      <c r="P997" s="101"/>
      <c r="Q997" s="102"/>
      <c r="R997" s="102"/>
      <c r="S997" s="110"/>
      <c r="T997" s="110"/>
      <c r="U997" s="110"/>
      <c r="V997" s="110"/>
      <c r="W997" s="110"/>
      <c r="X997" s="110"/>
      <c r="Y997" s="110"/>
    </row>
    <row r="998" ht="13.5" customHeight="1" spans="1:25">
      <c r="A998" s="102"/>
      <c r="B998" s="102"/>
      <c r="C998" s="102"/>
      <c r="D998" s="101"/>
      <c r="E998" s="101"/>
      <c r="F998" s="101"/>
      <c r="G998" s="102"/>
      <c r="H998" s="101"/>
      <c r="I998" s="101"/>
      <c r="J998" s="101"/>
      <c r="K998" s="101"/>
      <c r="L998" s="101"/>
      <c r="M998" s="182"/>
      <c r="N998" s="101"/>
      <c r="O998" s="110"/>
      <c r="P998" s="101"/>
      <c r="Q998" s="102"/>
      <c r="R998" s="102"/>
      <c r="S998" s="110"/>
      <c r="T998" s="110"/>
      <c r="U998" s="110"/>
      <c r="V998" s="110"/>
      <c r="W998" s="110"/>
      <c r="X998" s="110"/>
      <c r="Y998" s="110"/>
    </row>
    <row r="999" ht="13.5" customHeight="1" spans="1:25">
      <c r="A999" s="102"/>
      <c r="B999" s="102"/>
      <c r="C999" s="102"/>
      <c r="D999" s="101"/>
      <c r="E999" s="101"/>
      <c r="F999" s="101"/>
      <c r="G999" s="102"/>
      <c r="H999" s="101"/>
      <c r="I999" s="101"/>
      <c r="J999" s="101"/>
      <c r="K999" s="101"/>
      <c r="L999" s="101"/>
      <c r="M999" s="182"/>
      <c r="N999" s="101"/>
      <c r="O999" s="110"/>
      <c r="P999" s="101"/>
      <c r="Q999" s="102"/>
      <c r="R999" s="102"/>
      <c r="S999" s="110"/>
      <c r="T999" s="110"/>
      <c r="U999" s="110"/>
      <c r="V999" s="110"/>
      <c r="W999" s="110"/>
      <c r="X999" s="110"/>
      <c r="Y999" s="110"/>
    </row>
    <row r="1000" ht="13.5" customHeight="1" spans="1:25">
      <c r="A1000" s="102"/>
      <c r="B1000" s="102"/>
      <c r="C1000" s="102"/>
      <c r="D1000" s="101"/>
      <c r="E1000" s="101"/>
      <c r="F1000" s="101"/>
      <c r="G1000" s="102"/>
      <c r="H1000" s="101"/>
      <c r="I1000" s="101"/>
      <c r="J1000" s="101"/>
      <c r="K1000" s="101"/>
      <c r="L1000" s="101"/>
      <c r="M1000" s="182"/>
      <c r="N1000" s="101"/>
      <c r="O1000" s="110"/>
      <c r="P1000" s="101"/>
      <c r="Q1000" s="102"/>
      <c r="R1000" s="102"/>
      <c r="S1000" s="110"/>
      <c r="T1000" s="110"/>
      <c r="U1000" s="110"/>
      <c r="V1000" s="110"/>
      <c r="W1000" s="110"/>
      <c r="X1000" s="110"/>
      <c r="Y1000" s="110"/>
    </row>
    <row r="1001" ht="13.5" customHeight="1" spans="1:25">
      <c r="A1001" s="102"/>
      <c r="B1001" s="102"/>
      <c r="C1001" s="102"/>
      <c r="D1001" s="101"/>
      <c r="E1001" s="101"/>
      <c r="F1001" s="101"/>
      <c r="G1001" s="102"/>
      <c r="H1001" s="101"/>
      <c r="I1001" s="101"/>
      <c r="J1001" s="101"/>
      <c r="K1001" s="101"/>
      <c r="L1001" s="101"/>
      <c r="M1001" s="182"/>
      <c r="N1001" s="101"/>
      <c r="O1001" s="110"/>
      <c r="P1001" s="101"/>
      <c r="Q1001" s="102"/>
      <c r="R1001" s="102"/>
      <c r="S1001" s="110"/>
      <c r="T1001" s="110"/>
      <c r="U1001" s="110"/>
      <c r="V1001" s="110"/>
      <c r="W1001" s="110"/>
      <c r="X1001" s="110"/>
      <c r="Y1001" s="110"/>
    </row>
    <row r="1002" ht="13.5" customHeight="1" spans="1:25">
      <c r="A1002" s="102"/>
      <c r="B1002" s="102"/>
      <c r="C1002" s="102"/>
      <c r="D1002" s="101"/>
      <c r="E1002" s="101"/>
      <c r="F1002" s="101"/>
      <c r="G1002" s="102"/>
      <c r="H1002" s="101"/>
      <c r="I1002" s="101"/>
      <c r="J1002" s="101"/>
      <c r="K1002" s="101"/>
      <c r="L1002" s="101"/>
      <c r="M1002" s="182"/>
      <c r="N1002" s="101"/>
      <c r="O1002" s="110"/>
      <c r="P1002" s="101"/>
      <c r="Q1002" s="102"/>
      <c r="R1002" s="102"/>
      <c r="S1002" s="110"/>
      <c r="T1002" s="110"/>
      <c r="U1002" s="110"/>
      <c r="V1002" s="110"/>
      <c r="W1002" s="110"/>
      <c r="X1002" s="110"/>
      <c r="Y1002" s="110"/>
    </row>
    <row r="1003" ht="13.5" customHeight="1" spans="1:25">
      <c r="A1003" s="102"/>
      <c r="B1003" s="102"/>
      <c r="C1003" s="102"/>
      <c r="D1003" s="101"/>
      <c r="E1003" s="101"/>
      <c r="F1003" s="101"/>
      <c r="G1003" s="102"/>
      <c r="H1003" s="101"/>
      <c r="I1003" s="101"/>
      <c r="J1003" s="101"/>
      <c r="K1003" s="101"/>
      <c r="L1003" s="101"/>
      <c r="M1003" s="182"/>
      <c r="N1003" s="101"/>
      <c r="O1003" s="110"/>
      <c r="P1003" s="101"/>
      <c r="Q1003" s="102"/>
      <c r="R1003" s="102"/>
      <c r="S1003" s="110"/>
      <c r="T1003" s="110"/>
      <c r="U1003" s="110"/>
      <c r="V1003" s="110"/>
      <c r="W1003" s="110"/>
      <c r="X1003" s="110"/>
      <c r="Y1003" s="110"/>
    </row>
    <row r="1004" ht="13.5" customHeight="1" spans="1:25">
      <c r="A1004" s="102"/>
      <c r="B1004" s="102"/>
      <c r="C1004" s="102"/>
      <c r="D1004" s="101"/>
      <c r="E1004" s="101"/>
      <c r="F1004" s="101"/>
      <c r="G1004" s="102"/>
      <c r="H1004" s="101"/>
      <c r="I1004" s="101"/>
      <c r="J1004" s="101"/>
      <c r="K1004" s="101"/>
      <c r="L1004" s="101"/>
      <c r="M1004" s="182"/>
      <c r="N1004" s="101"/>
      <c r="O1004" s="110"/>
      <c r="P1004" s="101"/>
      <c r="Q1004" s="102"/>
      <c r="R1004" s="102"/>
      <c r="S1004" s="110"/>
      <c r="T1004" s="110"/>
      <c r="U1004" s="110"/>
      <c r="V1004" s="110"/>
      <c r="W1004" s="110"/>
      <c r="X1004" s="110"/>
      <c r="Y1004" s="110"/>
    </row>
    <row r="1005" ht="13.5" customHeight="1" spans="1:25">
      <c r="A1005" s="102"/>
      <c r="B1005" s="102"/>
      <c r="C1005" s="102"/>
      <c r="D1005" s="101"/>
      <c r="E1005" s="101"/>
      <c r="F1005" s="101"/>
      <c r="G1005" s="102"/>
      <c r="H1005" s="101"/>
      <c r="I1005" s="101"/>
      <c r="J1005" s="101"/>
      <c r="K1005" s="101"/>
      <c r="L1005" s="101"/>
      <c r="M1005" s="182"/>
      <c r="N1005" s="101"/>
      <c r="O1005" s="110"/>
      <c r="P1005" s="101"/>
      <c r="Q1005" s="102"/>
      <c r="R1005" s="102"/>
      <c r="S1005" s="110"/>
      <c r="T1005" s="110"/>
      <c r="U1005" s="110"/>
      <c r="V1005" s="110"/>
      <c r="W1005" s="110"/>
      <c r="X1005" s="110"/>
      <c r="Y1005" s="110"/>
    </row>
    <row r="1006" ht="13.5" customHeight="1" spans="1:25">
      <c r="A1006" s="102"/>
      <c r="B1006" s="102"/>
      <c r="C1006" s="102"/>
      <c r="D1006" s="101"/>
      <c r="E1006" s="101"/>
      <c r="F1006" s="101"/>
      <c r="G1006" s="102"/>
      <c r="H1006" s="101"/>
      <c r="I1006" s="101"/>
      <c r="J1006" s="101"/>
      <c r="K1006" s="101"/>
      <c r="L1006" s="101"/>
      <c r="M1006" s="182"/>
      <c r="N1006" s="101"/>
      <c r="O1006" s="110"/>
      <c r="P1006" s="101"/>
      <c r="Q1006" s="102"/>
      <c r="R1006" s="102"/>
      <c r="S1006" s="110"/>
      <c r="T1006" s="110"/>
      <c r="U1006" s="110"/>
      <c r="V1006" s="110"/>
      <c r="W1006" s="110"/>
      <c r="X1006" s="110"/>
      <c r="Y1006" s="110"/>
    </row>
    <row r="1007" ht="13.5" customHeight="1" spans="1:25">
      <c r="A1007" s="102"/>
      <c r="B1007" s="102"/>
      <c r="C1007" s="102"/>
      <c r="D1007" s="101"/>
      <c r="E1007" s="101"/>
      <c r="F1007" s="101"/>
      <c r="G1007" s="102"/>
      <c r="H1007" s="101"/>
      <c r="I1007" s="101"/>
      <c r="J1007" s="101"/>
      <c r="K1007" s="101"/>
      <c r="L1007" s="101"/>
      <c r="M1007" s="182"/>
      <c r="N1007" s="101"/>
      <c r="O1007" s="110"/>
      <c r="P1007" s="101"/>
      <c r="Q1007" s="102"/>
      <c r="R1007" s="102"/>
      <c r="S1007" s="110"/>
      <c r="T1007" s="110"/>
      <c r="U1007" s="110"/>
      <c r="V1007" s="110"/>
      <c r="W1007" s="110"/>
      <c r="X1007" s="110"/>
      <c r="Y1007" s="110"/>
    </row>
    <row r="1008" ht="13.5" customHeight="1" spans="1:25">
      <c r="A1008" s="102"/>
      <c r="B1008" s="102"/>
      <c r="C1008" s="102"/>
      <c r="D1008" s="101"/>
      <c r="E1008" s="101"/>
      <c r="F1008" s="101"/>
      <c r="G1008" s="102"/>
      <c r="H1008" s="101"/>
      <c r="I1008" s="101"/>
      <c r="J1008" s="101"/>
      <c r="K1008" s="101"/>
      <c r="L1008" s="101"/>
      <c r="M1008" s="182"/>
      <c r="N1008" s="101"/>
      <c r="O1008" s="110"/>
      <c r="P1008" s="101"/>
      <c r="Q1008" s="102"/>
      <c r="R1008" s="102"/>
      <c r="S1008" s="110"/>
      <c r="T1008" s="110"/>
      <c r="U1008" s="110"/>
      <c r="V1008" s="110"/>
      <c r="W1008" s="110"/>
      <c r="X1008" s="110"/>
      <c r="Y1008" s="110"/>
    </row>
    <row r="1009" ht="13.5" customHeight="1" spans="1:25">
      <c r="A1009" s="102"/>
      <c r="B1009" s="102"/>
      <c r="C1009" s="102"/>
      <c r="D1009" s="101"/>
      <c r="E1009" s="101"/>
      <c r="F1009" s="101"/>
      <c r="G1009" s="102"/>
      <c r="H1009" s="101"/>
      <c r="I1009" s="101"/>
      <c r="J1009" s="101"/>
      <c r="K1009" s="101"/>
      <c r="L1009" s="101"/>
      <c r="M1009" s="182"/>
      <c r="N1009" s="101"/>
      <c r="O1009" s="110"/>
      <c r="P1009" s="101"/>
      <c r="Q1009" s="102"/>
      <c r="R1009" s="102"/>
      <c r="S1009" s="110"/>
      <c r="T1009" s="110"/>
      <c r="U1009" s="110"/>
      <c r="V1009" s="110"/>
      <c r="W1009" s="110"/>
      <c r="X1009" s="110"/>
      <c r="Y1009" s="110"/>
    </row>
    <row r="1010" ht="13.5" customHeight="1" spans="1:25">
      <c r="A1010" s="102"/>
      <c r="B1010" s="102"/>
      <c r="C1010" s="102"/>
      <c r="D1010" s="101"/>
      <c r="E1010" s="101"/>
      <c r="F1010" s="101"/>
      <c r="G1010" s="102"/>
      <c r="H1010" s="101"/>
      <c r="I1010" s="101"/>
      <c r="J1010" s="101"/>
      <c r="K1010" s="101"/>
      <c r="L1010" s="101"/>
      <c r="M1010" s="182"/>
      <c r="N1010" s="101"/>
      <c r="O1010" s="110"/>
      <c r="P1010" s="101"/>
      <c r="Q1010" s="102"/>
      <c r="R1010" s="102"/>
      <c r="S1010" s="110"/>
      <c r="T1010" s="110"/>
      <c r="U1010" s="110"/>
      <c r="V1010" s="110"/>
      <c r="W1010" s="110"/>
      <c r="X1010" s="110"/>
      <c r="Y1010" s="110"/>
    </row>
    <row r="1011" ht="13.5" customHeight="1" spans="1:25">
      <c r="A1011" s="102"/>
      <c r="B1011" s="102"/>
      <c r="C1011" s="102"/>
      <c r="D1011" s="101"/>
      <c r="E1011" s="101"/>
      <c r="F1011" s="101"/>
      <c r="G1011" s="102"/>
      <c r="H1011" s="101"/>
      <c r="I1011" s="101"/>
      <c r="J1011" s="101"/>
      <c r="K1011" s="101"/>
      <c r="L1011" s="101"/>
      <c r="M1011" s="182"/>
      <c r="N1011" s="101"/>
      <c r="O1011" s="110"/>
      <c r="P1011" s="101"/>
      <c r="Q1011" s="102"/>
      <c r="R1011" s="102"/>
      <c r="S1011" s="110"/>
      <c r="T1011" s="110"/>
      <c r="U1011" s="110"/>
      <c r="V1011" s="110"/>
      <c r="W1011" s="110"/>
      <c r="X1011" s="110"/>
      <c r="Y1011" s="110"/>
    </row>
    <row r="1012" ht="13.5" customHeight="1" spans="1:25">
      <c r="A1012" s="102"/>
      <c r="B1012" s="102"/>
      <c r="C1012" s="102"/>
      <c r="D1012" s="101"/>
      <c r="E1012" s="101"/>
      <c r="F1012" s="101"/>
      <c r="G1012" s="102"/>
      <c r="H1012" s="101"/>
      <c r="I1012" s="101"/>
      <c r="J1012" s="101"/>
      <c r="K1012" s="101"/>
      <c r="L1012" s="101"/>
      <c r="M1012" s="182"/>
      <c r="N1012" s="101"/>
      <c r="O1012" s="110"/>
      <c r="P1012" s="101"/>
      <c r="Q1012" s="102"/>
      <c r="R1012" s="102"/>
      <c r="S1012" s="110"/>
      <c r="T1012" s="110"/>
      <c r="U1012" s="110"/>
      <c r="V1012" s="110"/>
      <c r="W1012" s="110"/>
      <c r="X1012" s="110"/>
      <c r="Y1012" s="110"/>
    </row>
    <row r="1013" ht="13.5" customHeight="1" spans="1:25">
      <c r="A1013" s="102"/>
      <c r="B1013" s="102"/>
      <c r="C1013" s="102"/>
      <c r="D1013" s="101"/>
      <c r="E1013" s="101"/>
      <c r="F1013" s="101"/>
      <c r="G1013" s="102"/>
      <c r="H1013" s="101"/>
      <c r="I1013" s="101"/>
      <c r="J1013" s="101"/>
      <c r="K1013" s="101"/>
      <c r="L1013" s="101"/>
      <c r="M1013" s="182"/>
      <c r="N1013" s="101"/>
      <c r="O1013" s="110"/>
      <c r="P1013" s="101"/>
      <c r="Q1013" s="102"/>
      <c r="R1013" s="102"/>
      <c r="S1013" s="110"/>
      <c r="T1013" s="110"/>
      <c r="U1013" s="110"/>
      <c r="V1013" s="110"/>
      <c r="W1013" s="110"/>
      <c r="X1013" s="110"/>
      <c r="Y1013" s="110"/>
    </row>
    <row r="1014" ht="13.5" customHeight="1" spans="1:25">
      <c r="A1014" s="102"/>
      <c r="B1014" s="102"/>
      <c r="C1014" s="102"/>
      <c r="D1014" s="101"/>
      <c r="E1014" s="101"/>
      <c r="F1014" s="101"/>
      <c r="G1014" s="102"/>
      <c r="H1014" s="101"/>
      <c r="I1014" s="101"/>
      <c r="J1014" s="101"/>
      <c r="K1014" s="101"/>
      <c r="L1014" s="101"/>
      <c r="M1014" s="182"/>
      <c r="N1014" s="101"/>
      <c r="O1014" s="110"/>
      <c r="P1014" s="101"/>
      <c r="Q1014" s="102"/>
      <c r="R1014" s="102"/>
      <c r="S1014" s="110"/>
      <c r="T1014" s="110"/>
      <c r="U1014" s="110"/>
      <c r="V1014" s="110"/>
      <c r="W1014" s="110"/>
      <c r="X1014" s="110"/>
      <c r="Y1014" s="110"/>
    </row>
    <row r="1015" ht="13.5" customHeight="1" spans="1:25">
      <c r="A1015" s="102"/>
      <c r="B1015" s="102"/>
      <c r="C1015" s="102"/>
      <c r="D1015" s="101"/>
      <c r="E1015" s="101"/>
      <c r="F1015" s="101"/>
      <c r="G1015" s="102"/>
      <c r="H1015" s="101"/>
      <c r="I1015" s="101"/>
      <c r="J1015" s="101"/>
      <c r="K1015" s="101"/>
      <c r="L1015" s="101"/>
      <c r="M1015" s="182"/>
      <c r="N1015" s="101"/>
      <c r="O1015" s="110"/>
      <c r="P1015" s="101"/>
      <c r="Q1015" s="102"/>
      <c r="R1015" s="102"/>
      <c r="S1015" s="110"/>
      <c r="T1015" s="110"/>
      <c r="U1015" s="110"/>
      <c r="V1015" s="110"/>
      <c r="W1015" s="110"/>
      <c r="X1015" s="110"/>
      <c r="Y1015" s="110"/>
    </row>
    <row r="1016" ht="13.5" customHeight="1" spans="1:25">
      <c r="A1016" s="102"/>
      <c r="B1016" s="102"/>
      <c r="C1016" s="102"/>
      <c r="D1016" s="101"/>
      <c r="E1016" s="101"/>
      <c r="F1016" s="101"/>
      <c r="G1016" s="102"/>
      <c r="H1016" s="101"/>
      <c r="I1016" s="101"/>
      <c r="J1016" s="101"/>
      <c r="K1016" s="101"/>
      <c r="L1016" s="101"/>
      <c r="M1016" s="182"/>
      <c r="N1016" s="101"/>
      <c r="O1016" s="110"/>
      <c r="P1016" s="101"/>
      <c r="Q1016" s="102"/>
      <c r="R1016" s="102"/>
      <c r="S1016" s="110"/>
      <c r="T1016" s="110"/>
      <c r="U1016" s="110"/>
      <c r="V1016" s="110"/>
      <c r="W1016" s="110"/>
      <c r="X1016" s="110"/>
      <c r="Y1016" s="110"/>
    </row>
    <row r="1017" ht="13.5" customHeight="1" spans="1:25">
      <c r="A1017" s="102"/>
      <c r="B1017" s="102"/>
      <c r="C1017" s="102"/>
      <c r="D1017" s="101"/>
      <c r="E1017" s="101"/>
      <c r="F1017" s="101"/>
      <c r="G1017" s="102"/>
      <c r="H1017" s="101"/>
      <c r="I1017" s="101"/>
      <c r="J1017" s="101"/>
      <c r="K1017" s="101"/>
      <c r="L1017" s="101"/>
      <c r="M1017" s="182"/>
      <c r="N1017" s="101"/>
      <c r="O1017" s="110"/>
      <c r="P1017" s="101"/>
      <c r="Q1017" s="102"/>
      <c r="R1017" s="102"/>
      <c r="S1017" s="110"/>
      <c r="T1017" s="110"/>
      <c r="U1017" s="110"/>
      <c r="V1017" s="110"/>
      <c r="W1017" s="110"/>
      <c r="X1017" s="110"/>
      <c r="Y1017" s="110"/>
    </row>
    <row r="1018" ht="13.5" customHeight="1" spans="1:25">
      <c r="A1018" s="102"/>
      <c r="B1018" s="102"/>
      <c r="C1018" s="102"/>
      <c r="D1018" s="101"/>
      <c r="E1018" s="101"/>
      <c r="F1018" s="101"/>
      <c r="G1018" s="102"/>
      <c r="H1018" s="101"/>
      <c r="I1018" s="101"/>
      <c r="J1018" s="101"/>
      <c r="K1018" s="101"/>
      <c r="L1018" s="101"/>
      <c r="M1018" s="182"/>
      <c r="N1018" s="101"/>
      <c r="O1018" s="110"/>
      <c r="P1018" s="101"/>
      <c r="Q1018" s="102"/>
      <c r="R1018" s="102"/>
      <c r="S1018" s="110"/>
      <c r="T1018" s="110"/>
      <c r="U1018" s="110"/>
      <c r="V1018" s="110"/>
      <c r="W1018" s="110"/>
      <c r="X1018" s="110"/>
      <c r="Y1018" s="110"/>
    </row>
    <row r="1019" ht="13.5" customHeight="1" spans="1:25">
      <c r="A1019" s="102"/>
      <c r="B1019" s="102"/>
      <c r="C1019" s="102"/>
      <c r="D1019" s="101"/>
      <c r="E1019" s="101"/>
      <c r="F1019" s="101"/>
      <c r="G1019" s="102"/>
      <c r="H1019" s="101"/>
      <c r="I1019" s="101"/>
      <c r="J1019" s="101"/>
      <c r="K1019" s="101"/>
      <c r="L1019" s="101"/>
      <c r="M1019" s="182"/>
      <c r="N1019" s="101"/>
      <c r="O1019" s="110"/>
      <c r="P1019" s="101"/>
      <c r="Q1019" s="102"/>
      <c r="R1019" s="102"/>
      <c r="S1019" s="110"/>
      <c r="T1019" s="110"/>
      <c r="U1019" s="110"/>
      <c r="V1019" s="110"/>
      <c r="W1019" s="110"/>
      <c r="X1019" s="110"/>
      <c r="Y1019" s="110"/>
    </row>
    <row r="1020" ht="13.5" customHeight="1" spans="1:25">
      <c r="A1020" s="102"/>
      <c r="B1020" s="102"/>
      <c r="C1020" s="102"/>
      <c r="D1020" s="101"/>
      <c r="E1020" s="101"/>
      <c r="F1020" s="101"/>
      <c r="G1020" s="102"/>
      <c r="H1020" s="101"/>
      <c r="I1020" s="101"/>
      <c r="J1020" s="101"/>
      <c r="K1020" s="101"/>
      <c r="L1020" s="101"/>
      <c r="M1020" s="182"/>
      <c r="N1020" s="101"/>
      <c r="O1020" s="110"/>
      <c r="P1020" s="101"/>
      <c r="Q1020" s="102"/>
      <c r="R1020" s="102"/>
      <c r="S1020" s="110"/>
      <c r="T1020" s="110"/>
      <c r="U1020" s="110"/>
      <c r="V1020" s="110"/>
      <c r="W1020" s="110"/>
      <c r="X1020" s="110"/>
      <c r="Y1020" s="110"/>
    </row>
    <row r="1021" ht="13.5" customHeight="1" spans="1:25">
      <c r="A1021" s="102"/>
      <c r="B1021" s="102"/>
      <c r="C1021" s="102"/>
      <c r="D1021" s="101"/>
      <c r="E1021" s="101"/>
      <c r="F1021" s="101"/>
      <c r="G1021" s="102"/>
      <c r="H1021" s="101"/>
      <c r="I1021" s="101"/>
      <c r="J1021" s="101"/>
      <c r="K1021" s="101"/>
      <c r="L1021" s="101"/>
      <c r="M1021" s="182"/>
      <c r="N1021" s="101"/>
      <c r="O1021" s="110"/>
      <c r="P1021" s="101"/>
      <c r="Q1021" s="102"/>
      <c r="R1021" s="102"/>
      <c r="S1021" s="110"/>
      <c r="T1021" s="110"/>
      <c r="U1021" s="110"/>
      <c r="V1021" s="110"/>
      <c r="W1021" s="110"/>
      <c r="X1021" s="110"/>
      <c r="Y1021" s="110"/>
    </row>
    <row r="1022" ht="13.5" customHeight="1" spans="1:25">
      <c r="A1022" s="102"/>
      <c r="B1022" s="102"/>
      <c r="C1022" s="102"/>
      <c r="D1022" s="101"/>
      <c r="E1022" s="101"/>
      <c r="F1022" s="101"/>
      <c r="G1022" s="102"/>
      <c r="H1022" s="101"/>
      <c r="I1022" s="101"/>
      <c r="J1022" s="101"/>
      <c r="K1022" s="101"/>
      <c r="L1022" s="101"/>
      <c r="M1022" s="182"/>
      <c r="N1022" s="101"/>
      <c r="O1022" s="110"/>
      <c r="P1022" s="101"/>
      <c r="Q1022" s="102"/>
      <c r="R1022" s="102"/>
      <c r="S1022" s="110"/>
      <c r="T1022" s="110"/>
      <c r="U1022" s="110"/>
      <c r="V1022" s="110"/>
      <c r="W1022" s="110"/>
      <c r="X1022" s="110"/>
      <c r="Y1022" s="110"/>
    </row>
    <row r="1023" ht="13.5" customHeight="1" spans="1:25">
      <c r="A1023" s="102"/>
      <c r="B1023" s="102"/>
      <c r="C1023" s="102"/>
      <c r="D1023" s="101"/>
      <c r="E1023" s="101"/>
      <c r="F1023" s="101"/>
      <c r="G1023" s="102"/>
      <c r="H1023" s="101"/>
      <c r="I1023" s="101"/>
      <c r="J1023" s="101"/>
      <c r="K1023" s="101"/>
      <c r="L1023" s="101"/>
      <c r="M1023" s="182"/>
      <c r="N1023" s="101"/>
      <c r="O1023" s="110"/>
      <c r="P1023" s="101"/>
      <c r="Q1023" s="102"/>
      <c r="R1023" s="102"/>
      <c r="S1023" s="110"/>
      <c r="T1023" s="110"/>
      <c r="U1023" s="110"/>
      <c r="V1023" s="110"/>
      <c r="W1023" s="110"/>
      <c r="X1023" s="110"/>
      <c r="Y1023" s="110"/>
    </row>
    <row r="1024" ht="13.5" customHeight="1" spans="1:25">
      <c r="A1024" s="102"/>
      <c r="B1024" s="102"/>
      <c r="C1024" s="102"/>
      <c r="D1024" s="101"/>
      <c r="E1024" s="101"/>
      <c r="F1024" s="101"/>
      <c r="G1024" s="102"/>
      <c r="H1024" s="101"/>
      <c r="I1024" s="101"/>
      <c r="J1024" s="101"/>
      <c r="K1024" s="101"/>
      <c r="L1024" s="101"/>
      <c r="M1024" s="182"/>
      <c r="N1024" s="101"/>
      <c r="O1024" s="110"/>
      <c r="P1024" s="101"/>
      <c r="Q1024" s="102"/>
      <c r="R1024" s="102"/>
      <c r="S1024" s="110"/>
      <c r="T1024" s="110"/>
      <c r="U1024" s="110"/>
      <c r="V1024" s="110"/>
      <c r="W1024" s="110"/>
      <c r="X1024" s="110"/>
      <c r="Y1024" s="110"/>
    </row>
    <row r="1025" ht="13.5" customHeight="1" spans="1:25">
      <c r="A1025" s="102"/>
      <c r="B1025" s="102"/>
      <c r="C1025" s="102"/>
      <c r="D1025" s="101"/>
      <c r="E1025" s="101"/>
      <c r="F1025" s="101"/>
      <c r="G1025" s="102"/>
      <c r="H1025" s="101"/>
      <c r="I1025" s="101"/>
      <c r="J1025" s="101"/>
      <c r="K1025" s="101"/>
      <c r="L1025" s="101"/>
      <c r="M1025" s="182"/>
      <c r="N1025" s="101"/>
      <c r="O1025" s="110"/>
      <c r="P1025" s="101"/>
      <c r="Q1025" s="102"/>
      <c r="R1025" s="102"/>
      <c r="S1025" s="110"/>
      <c r="T1025" s="110"/>
      <c r="U1025" s="110"/>
      <c r="V1025" s="110"/>
      <c r="W1025" s="110"/>
      <c r="X1025" s="110"/>
      <c r="Y1025" s="110"/>
    </row>
    <row r="1026" ht="13.5" customHeight="1" spans="1:25">
      <c r="A1026" s="102"/>
      <c r="B1026" s="102"/>
      <c r="C1026" s="102"/>
      <c r="D1026" s="101"/>
      <c r="E1026" s="101"/>
      <c r="F1026" s="101"/>
      <c r="G1026" s="102"/>
      <c r="H1026" s="101"/>
      <c r="I1026" s="101"/>
      <c r="J1026" s="101"/>
      <c r="K1026" s="101"/>
      <c r="L1026" s="101"/>
      <c r="M1026" s="182"/>
      <c r="N1026" s="101"/>
      <c r="O1026" s="110"/>
      <c r="P1026" s="101"/>
      <c r="Q1026" s="102"/>
      <c r="R1026" s="102"/>
      <c r="S1026" s="110"/>
      <c r="T1026" s="110"/>
      <c r="U1026" s="110"/>
      <c r="V1026" s="110"/>
      <c r="W1026" s="110"/>
      <c r="X1026" s="110"/>
      <c r="Y1026" s="110"/>
    </row>
    <row r="1027" ht="13.5" customHeight="1" spans="1:25">
      <c r="A1027" s="102"/>
      <c r="B1027" s="102"/>
      <c r="C1027" s="102"/>
      <c r="D1027" s="101"/>
      <c r="E1027" s="101"/>
      <c r="F1027" s="101"/>
      <c r="G1027" s="102"/>
      <c r="H1027" s="101"/>
      <c r="I1027" s="101"/>
      <c r="J1027" s="101"/>
      <c r="K1027" s="101"/>
      <c r="L1027" s="101"/>
      <c r="M1027" s="182"/>
      <c r="N1027" s="101"/>
      <c r="O1027" s="110"/>
      <c r="P1027" s="101"/>
      <c r="Q1027" s="102"/>
      <c r="R1027" s="102"/>
      <c r="S1027" s="110"/>
      <c r="T1027" s="110"/>
      <c r="U1027" s="110"/>
      <c r="V1027" s="110"/>
      <c r="W1027" s="110"/>
      <c r="X1027" s="110"/>
      <c r="Y1027" s="110"/>
    </row>
    <row r="1028" ht="13.5" customHeight="1" spans="1:25">
      <c r="A1028" s="102"/>
      <c r="B1028" s="102"/>
      <c r="C1028" s="102"/>
      <c r="D1028" s="101"/>
      <c r="E1028" s="101"/>
      <c r="F1028" s="101"/>
      <c r="G1028" s="102"/>
      <c r="H1028" s="101"/>
      <c r="I1028" s="101"/>
      <c r="J1028" s="101"/>
      <c r="K1028" s="101"/>
      <c r="L1028" s="101"/>
      <c r="M1028" s="182"/>
      <c r="N1028" s="101"/>
      <c r="O1028" s="110"/>
      <c r="P1028" s="101"/>
      <c r="Q1028" s="102"/>
      <c r="R1028" s="102"/>
      <c r="S1028" s="110"/>
      <c r="T1028" s="110"/>
      <c r="U1028" s="110"/>
      <c r="V1028" s="110"/>
      <c r="W1028" s="110"/>
      <c r="X1028" s="110"/>
      <c r="Y1028" s="110"/>
    </row>
    <row r="1029" ht="13.5" customHeight="1" spans="1:25">
      <c r="A1029" s="102"/>
      <c r="B1029" s="102"/>
      <c r="C1029" s="102"/>
      <c r="D1029" s="101"/>
      <c r="E1029" s="101"/>
      <c r="F1029" s="101"/>
      <c r="G1029" s="102"/>
      <c r="H1029" s="101"/>
      <c r="I1029" s="101"/>
      <c r="J1029" s="101"/>
      <c r="K1029" s="101"/>
      <c r="L1029" s="101"/>
      <c r="M1029" s="182"/>
      <c r="N1029" s="101"/>
      <c r="O1029" s="110"/>
      <c r="P1029" s="101"/>
      <c r="Q1029" s="102"/>
      <c r="R1029" s="102"/>
      <c r="S1029" s="110"/>
      <c r="T1029" s="110"/>
      <c r="U1029" s="110"/>
      <c r="V1029" s="110"/>
      <c r="W1029" s="110"/>
      <c r="X1029" s="110"/>
      <c r="Y1029" s="110"/>
    </row>
    <row r="1030" ht="13.5" customHeight="1" spans="1:25">
      <c r="A1030" s="102"/>
      <c r="B1030" s="102"/>
      <c r="C1030" s="102"/>
      <c r="D1030" s="101"/>
      <c r="E1030" s="101"/>
      <c r="F1030" s="101"/>
      <c r="G1030" s="102"/>
      <c r="H1030" s="101"/>
      <c r="I1030" s="101"/>
      <c r="J1030" s="101"/>
      <c r="K1030" s="101"/>
      <c r="L1030" s="101"/>
      <c r="M1030" s="182"/>
      <c r="N1030" s="101"/>
      <c r="O1030" s="110"/>
      <c r="P1030" s="101"/>
      <c r="Q1030" s="102"/>
      <c r="R1030" s="102"/>
      <c r="S1030" s="110"/>
      <c r="T1030" s="110"/>
      <c r="U1030" s="110"/>
      <c r="V1030" s="110"/>
      <c r="W1030" s="110"/>
      <c r="X1030" s="110"/>
      <c r="Y1030" s="110"/>
    </row>
    <row r="1031" ht="13.5" customHeight="1" spans="1:25">
      <c r="A1031" s="102"/>
      <c r="B1031" s="102"/>
      <c r="C1031" s="102"/>
      <c r="D1031" s="101"/>
      <c r="E1031" s="101"/>
      <c r="F1031" s="101"/>
      <c r="G1031" s="102"/>
      <c r="H1031" s="101"/>
      <c r="I1031" s="101"/>
      <c r="J1031" s="101"/>
      <c r="K1031" s="101"/>
      <c r="L1031" s="101"/>
      <c r="M1031" s="182"/>
      <c r="N1031" s="101"/>
      <c r="O1031" s="110"/>
      <c r="P1031" s="101"/>
      <c r="Q1031" s="102"/>
      <c r="R1031" s="102"/>
      <c r="S1031" s="110"/>
      <c r="T1031" s="110"/>
      <c r="U1031" s="110"/>
      <c r="V1031" s="110"/>
      <c r="W1031" s="110"/>
      <c r="X1031" s="110"/>
      <c r="Y1031" s="110"/>
    </row>
    <row r="1032" ht="13.5" customHeight="1" spans="1:25">
      <c r="A1032" s="102"/>
      <c r="B1032" s="102"/>
      <c r="C1032" s="102"/>
      <c r="D1032" s="101"/>
      <c r="E1032" s="101"/>
      <c r="F1032" s="101"/>
      <c r="G1032" s="102"/>
      <c r="H1032" s="101"/>
      <c r="I1032" s="101"/>
      <c r="J1032" s="101"/>
      <c r="K1032" s="101"/>
      <c r="L1032" s="101"/>
      <c r="M1032" s="182"/>
      <c r="N1032" s="101"/>
      <c r="O1032" s="110"/>
      <c r="P1032" s="101"/>
      <c r="Q1032" s="102"/>
      <c r="R1032" s="102"/>
      <c r="S1032" s="110"/>
      <c r="T1032" s="110"/>
      <c r="U1032" s="110"/>
      <c r="V1032" s="110"/>
      <c r="W1032" s="110"/>
      <c r="X1032" s="110"/>
      <c r="Y1032" s="110"/>
    </row>
    <row r="1033" ht="13.5" customHeight="1" spans="1:25">
      <c r="A1033" s="102"/>
      <c r="B1033" s="102"/>
      <c r="C1033" s="102"/>
      <c r="D1033" s="101"/>
      <c r="E1033" s="101"/>
      <c r="F1033" s="101"/>
      <c r="G1033" s="102"/>
      <c r="H1033" s="101"/>
      <c r="I1033" s="101"/>
      <c r="J1033" s="101"/>
      <c r="K1033" s="101"/>
      <c r="L1033" s="101"/>
      <c r="M1033" s="182"/>
      <c r="N1033" s="101"/>
      <c r="O1033" s="110"/>
      <c r="P1033" s="101"/>
      <c r="Q1033" s="102"/>
      <c r="R1033" s="102"/>
      <c r="S1033" s="110"/>
      <c r="T1033" s="110"/>
      <c r="U1033" s="110"/>
      <c r="V1033" s="110"/>
      <c r="W1033" s="110"/>
      <c r="X1033" s="110"/>
      <c r="Y1033" s="110"/>
    </row>
    <row r="1034" ht="13.5" customHeight="1" spans="1:25">
      <c r="A1034" s="102"/>
      <c r="B1034" s="102"/>
      <c r="C1034" s="102"/>
      <c r="D1034" s="101"/>
      <c r="E1034" s="101"/>
      <c r="F1034" s="101"/>
      <c r="G1034" s="102"/>
      <c r="H1034" s="101"/>
      <c r="I1034" s="101"/>
      <c r="J1034" s="101"/>
      <c r="K1034" s="101"/>
      <c r="L1034" s="101"/>
      <c r="M1034" s="182"/>
      <c r="N1034" s="101"/>
      <c r="O1034" s="110"/>
      <c r="P1034" s="101"/>
      <c r="Q1034" s="102"/>
      <c r="R1034" s="102"/>
      <c r="S1034" s="110"/>
      <c r="T1034" s="110"/>
      <c r="U1034" s="110"/>
      <c r="V1034" s="110"/>
      <c r="W1034" s="110"/>
      <c r="X1034" s="110"/>
      <c r="Y1034" s="110"/>
    </row>
    <row r="1035" ht="13.5" customHeight="1" spans="1:25">
      <c r="A1035" s="102"/>
      <c r="B1035" s="102"/>
      <c r="C1035" s="102"/>
      <c r="D1035" s="101"/>
      <c r="E1035" s="101"/>
      <c r="F1035" s="101"/>
      <c r="G1035" s="102"/>
      <c r="H1035" s="101"/>
      <c r="I1035" s="101"/>
      <c r="J1035" s="101"/>
      <c r="K1035" s="101"/>
      <c r="L1035" s="101"/>
      <c r="M1035" s="182"/>
      <c r="N1035" s="101"/>
      <c r="O1035" s="110"/>
      <c r="P1035" s="101"/>
      <c r="Q1035" s="102"/>
      <c r="R1035" s="102"/>
      <c r="S1035" s="110"/>
      <c r="T1035" s="110"/>
      <c r="U1035" s="110"/>
      <c r="V1035" s="110"/>
      <c r="W1035" s="110"/>
      <c r="X1035" s="110"/>
      <c r="Y1035" s="110"/>
    </row>
    <row r="1036" ht="13.5" customHeight="1" spans="1:25">
      <c r="A1036" s="102"/>
      <c r="B1036" s="102"/>
      <c r="C1036" s="102"/>
      <c r="D1036" s="101"/>
      <c r="E1036" s="101"/>
      <c r="F1036" s="101"/>
      <c r="G1036" s="102"/>
      <c r="H1036" s="101"/>
      <c r="I1036" s="101"/>
      <c r="J1036" s="101"/>
      <c r="K1036" s="101"/>
      <c r="L1036" s="101"/>
      <c r="M1036" s="182"/>
      <c r="N1036" s="101"/>
      <c r="O1036" s="110"/>
      <c r="P1036" s="101"/>
      <c r="Q1036" s="102"/>
      <c r="R1036" s="102"/>
      <c r="S1036" s="110"/>
      <c r="T1036" s="110"/>
      <c r="U1036" s="110"/>
      <c r="V1036" s="110"/>
      <c r="W1036" s="110"/>
      <c r="X1036" s="110"/>
      <c r="Y1036" s="110"/>
    </row>
    <row r="1037" ht="13.5" customHeight="1" spans="1:25">
      <c r="A1037" s="102"/>
      <c r="B1037" s="102"/>
      <c r="C1037" s="102"/>
      <c r="D1037" s="101"/>
      <c r="E1037" s="101"/>
      <c r="F1037" s="101"/>
      <c r="G1037" s="102"/>
      <c r="H1037" s="101"/>
      <c r="I1037" s="101"/>
      <c r="J1037" s="101"/>
      <c r="K1037" s="101"/>
      <c r="L1037" s="101"/>
      <c r="M1037" s="182"/>
      <c r="N1037" s="101"/>
      <c r="O1037" s="110"/>
      <c r="P1037" s="101"/>
      <c r="Q1037" s="102"/>
      <c r="R1037" s="102"/>
      <c r="S1037" s="110"/>
      <c r="T1037" s="110"/>
      <c r="U1037" s="110"/>
      <c r="V1037" s="110"/>
      <c r="W1037" s="110"/>
      <c r="X1037" s="110"/>
      <c r="Y1037" s="110"/>
    </row>
    <row r="1038" ht="13.5" customHeight="1" spans="1:25">
      <c r="A1038" s="102"/>
      <c r="B1038" s="102"/>
      <c r="C1038" s="102"/>
      <c r="D1038" s="101"/>
      <c r="E1038" s="101"/>
      <c r="F1038" s="101"/>
      <c r="G1038" s="102"/>
      <c r="H1038" s="101"/>
      <c r="I1038" s="101"/>
      <c r="J1038" s="101"/>
      <c r="K1038" s="101"/>
      <c r="L1038" s="101"/>
      <c r="M1038" s="182"/>
      <c r="N1038" s="101"/>
      <c r="O1038" s="110"/>
      <c r="P1038" s="101"/>
      <c r="Q1038" s="102"/>
      <c r="R1038" s="102"/>
      <c r="S1038" s="110"/>
      <c r="T1038" s="110"/>
      <c r="U1038" s="110"/>
      <c r="V1038" s="110"/>
      <c r="W1038" s="110"/>
      <c r="X1038" s="110"/>
      <c r="Y1038" s="110"/>
    </row>
    <row r="1039" ht="13.5" customHeight="1" spans="1:25">
      <c r="A1039" s="102"/>
      <c r="B1039" s="102"/>
      <c r="C1039" s="102"/>
      <c r="D1039" s="101"/>
      <c r="E1039" s="101"/>
      <c r="F1039" s="101"/>
      <c r="G1039" s="102"/>
      <c r="H1039" s="101"/>
      <c r="I1039" s="101"/>
      <c r="J1039" s="101"/>
      <c r="K1039" s="101"/>
      <c r="L1039" s="101"/>
      <c r="M1039" s="182"/>
      <c r="N1039" s="101"/>
      <c r="O1039" s="110"/>
      <c r="P1039" s="101"/>
      <c r="Q1039" s="102"/>
      <c r="R1039" s="102"/>
      <c r="S1039" s="110"/>
      <c r="T1039" s="110"/>
      <c r="U1039" s="110"/>
      <c r="V1039" s="110"/>
      <c r="W1039" s="110"/>
      <c r="X1039" s="110"/>
      <c r="Y1039" s="110"/>
    </row>
    <row r="1040" ht="13.5" customHeight="1" spans="1:25">
      <c r="A1040" s="102"/>
      <c r="B1040" s="102"/>
      <c r="C1040" s="102"/>
      <c r="D1040" s="101"/>
      <c r="E1040" s="101"/>
      <c r="F1040" s="101"/>
      <c r="G1040" s="102"/>
      <c r="H1040" s="101"/>
      <c r="I1040" s="101"/>
      <c r="J1040" s="101"/>
      <c r="K1040" s="101"/>
      <c r="L1040" s="101"/>
      <c r="M1040" s="182"/>
      <c r="N1040" s="101"/>
      <c r="O1040" s="110"/>
      <c r="P1040" s="101"/>
      <c r="Q1040" s="102"/>
      <c r="R1040" s="102"/>
      <c r="S1040" s="110"/>
      <c r="T1040" s="110"/>
      <c r="U1040" s="110"/>
      <c r="V1040" s="110"/>
      <c r="W1040" s="110"/>
      <c r="X1040" s="110"/>
      <c r="Y1040" s="110"/>
    </row>
    <row r="1041" ht="13.5" customHeight="1" spans="1:25">
      <c r="A1041" s="102"/>
      <c r="B1041" s="102"/>
      <c r="C1041" s="102"/>
      <c r="D1041" s="101"/>
      <c r="E1041" s="101"/>
      <c r="F1041" s="101"/>
      <c r="G1041" s="102"/>
      <c r="H1041" s="101"/>
      <c r="I1041" s="101"/>
      <c r="J1041" s="101"/>
      <c r="K1041" s="101"/>
      <c r="L1041" s="101"/>
      <c r="M1041" s="182"/>
      <c r="N1041" s="101"/>
      <c r="O1041" s="110"/>
      <c r="P1041" s="101"/>
      <c r="Q1041" s="102"/>
      <c r="R1041" s="102"/>
      <c r="S1041" s="110"/>
      <c r="T1041" s="110"/>
      <c r="U1041" s="110"/>
      <c r="V1041" s="110"/>
      <c r="W1041" s="110"/>
      <c r="X1041" s="110"/>
      <c r="Y1041" s="110"/>
    </row>
    <row r="1042" ht="13.5" customHeight="1" spans="1:25">
      <c r="A1042" s="102"/>
      <c r="B1042" s="102"/>
      <c r="C1042" s="102"/>
      <c r="D1042" s="101"/>
      <c r="E1042" s="101"/>
      <c r="F1042" s="101"/>
      <c r="G1042" s="102"/>
      <c r="H1042" s="101"/>
      <c r="I1042" s="101"/>
      <c r="J1042" s="101"/>
      <c r="K1042" s="101"/>
      <c r="L1042" s="101"/>
      <c r="M1042" s="182"/>
      <c r="N1042" s="101"/>
      <c r="O1042" s="110"/>
      <c r="P1042" s="101"/>
      <c r="Q1042" s="102"/>
      <c r="R1042" s="102"/>
      <c r="S1042" s="110"/>
      <c r="T1042" s="110"/>
      <c r="U1042" s="110"/>
      <c r="V1042" s="110"/>
      <c r="W1042" s="110"/>
      <c r="X1042" s="110"/>
      <c r="Y1042" s="110"/>
    </row>
    <row r="1043" ht="13.5" customHeight="1" spans="1:25">
      <c r="A1043" s="102"/>
      <c r="B1043" s="102"/>
      <c r="C1043" s="102"/>
      <c r="D1043" s="101"/>
      <c r="E1043" s="101"/>
      <c r="F1043" s="101"/>
      <c r="G1043" s="102"/>
      <c r="H1043" s="101"/>
      <c r="I1043" s="101"/>
      <c r="J1043" s="101"/>
      <c r="K1043" s="101"/>
      <c r="L1043" s="101"/>
      <c r="M1043" s="182"/>
      <c r="N1043" s="101"/>
      <c r="O1043" s="110"/>
      <c r="P1043" s="101"/>
      <c r="Q1043" s="102"/>
      <c r="R1043" s="102"/>
      <c r="S1043" s="110"/>
      <c r="T1043" s="110"/>
      <c r="U1043" s="110"/>
      <c r="V1043" s="110"/>
      <c r="W1043" s="110"/>
      <c r="X1043" s="110"/>
      <c r="Y1043" s="110"/>
    </row>
    <row r="1044" ht="13.5" customHeight="1" spans="1:25">
      <c r="A1044" s="102"/>
      <c r="B1044" s="102"/>
      <c r="C1044" s="102"/>
      <c r="D1044" s="101"/>
      <c r="E1044" s="101"/>
      <c r="F1044" s="101"/>
      <c r="G1044" s="102"/>
      <c r="H1044" s="101"/>
      <c r="I1044" s="101"/>
      <c r="J1044" s="101"/>
      <c r="K1044" s="101"/>
      <c r="L1044" s="101"/>
      <c r="M1044" s="182"/>
      <c r="N1044" s="101"/>
      <c r="O1044" s="110"/>
      <c r="P1044" s="101"/>
      <c r="Q1044" s="102"/>
      <c r="R1044" s="102"/>
      <c r="S1044" s="110"/>
      <c r="T1044" s="110"/>
      <c r="U1044" s="110"/>
      <c r="V1044" s="110"/>
      <c r="W1044" s="110"/>
      <c r="X1044" s="110"/>
      <c r="Y1044" s="110"/>
    </row>
    <row r="1045" ht="13.5" customHeight="1" spans="1:25">
      <c r="A1045" s="102"/>
      <c r="B1045" s="102"/>
      <c r="C1045" s="102"/>
      <c r="D1045" s="101"/>
      <c r="E1045" s="101"/>
      <c r="F1045" s="101"/>
      <c r="G1045" s="102"/>
      <c r="H1045" s="101"/>
      <c r="I1045" s="101"/>
      <c r="J1045" s="101"/>
      <c r="K1045" s="101"/>
      <c r="L1045" s="101"/>
      <c r="M1045" s="182"/>
      <c r="N1045" s="101"/>
      <c r="O1045" s="110"/>
      <c r="P1045" s="101"/>
      <c r="Q1045" s="102"/>
      <c r="R1045" s="102"/>
      <c r="S1045" s="110"/>
      <c r="T1045" s="110"/>
      <c r="U1045" s="110"/>
      <c r="V1045" s="110"/>
      <c r="W1045" s="110"/>
      <c r="X1045" s="110"/>
      <c r="Y1045" s="110"/>
    </row>
    <row r="1046" ht="13.5" customHeight="1" spans="1:25">
      <c r="A1046" s="102"/>
      <c r="B1046" s="102"/>
      <c r="C1046" s="102"/>
      <c r="D1046" s="101"/>
      <c r="E1046" s="101"/>
      <c r="F1046" s="101"/>
      <c r="G1046" s="102"/>
      <c r="H1046" s="101"/>
      <c r="I1046" s="101"/>
      <c r="J1046" s="101"/>
      <c r="K1046" s="101"/>
      <c r="L1046" s="101"/>
      <c r="M1046" s="182"/>
      <c r="N1046" s="101"/>
      <c r="O1046" s="110"/>
      <c r="P1046" s="101"/>
      <c r="Q1046" s="102"/>
      <c r="R1046" s="102"/>
      <c r="S1046" s="110"/>
      <c r="T1046" s="110"/>
      <c r="U1046" s="110"/>
      <c r="V1046" s="110"/>
      <c r="W1046" s="110"/>
      <c r="X1046" s="110"/>
      <c r="Y1046" s="110"/>
    </row>
    <row r="1047" ht="13.5" customHeight="1" spans="1:25">
      <c r="A1047" s="102"/>
      <c r="B1047" s="102"/>
      <c r="C1047" s="102"/>
      <c r="D1047" s="101"/>
      <c r="E1047" s="101"/>
      <c r="F1047" s="101"/>
      <c r="G1047" s="102"/>
      <c r="H1047" s="101"/>
      <c r="I1047" s="101"/>
      <c r="J1047" s="101"/>
      <c r="K1047" s="101"/>
      <c r="L1047" s="101"/>
      <c r="M1047" s="182"/>
      <c r="N1047" s="101"/>
      <c r="O1047" s="110"/>
      <c r="P1047" s="101"/>
      <c r="Q1047" s="102"/>
      <c r="R1047" s="102"/>
      <c r="S1047" s="110"/>
      <c r="T1047" s="110"/>
      <c r="U1047" s="110"/>
      <c r="V1047" s="110"/>
      <c r="W1047" s="110"/>
      <c r="X1047" s="110"/>
      <c r="Y1047" s="110"/>
    </row>
    <row r="1048" ht="13.5" customHeight="1" spans="1:25">
      <c r="A1048" s="102"/>
      <c r="B1048" s="102"/>
      <c r="C1048" s="102"/>
      <c r="D1048" s="101"/>
      <c r="E1048" s="101"/>
      <c r="F1048" s="101"/>
      <c r="G1048" s="102"/>
      <c r="H1048" s="101"/>
      <c r="I1048" s="101"/>
      <c r="J1048" s="101"/>
      <c r="K1048" s="101"/>
      <c r="L1048" s="101"/>
      <c r="M1048" s="182"/>
      <c r="N1048" s="101"/>
      <c r="O1048" s="110"/>
      <c r="P1048" s="101"/>
      <c r="Q1048" s="102"/>
      <c r="R1048" s="102"/>
      <c r="S1048" s="110"/>
      <c r="T1048" s="110"/>
      <c r="U1048" s="110"/>
      <c r="V1048" s="110"/>
      <c r="W1048" s="110"/>
      <c r="X1048" s="110"/>
      <c r="Y1048" s="110"/>
    </row>
    <row r="1049" ht="13.5" customHeight="1" spans="1:25">
      <c r="A1049" s="102"/>
      <c r="B1049" s="102"/>
      <c r="C1049" s="102"/>
      <c r="D1049" s="101"/>
      <c r="E1049" s="101"/>
      <c r="F1049" s="101"/>
      <c r="G1049" s="102"/>
      <c r="H1049" s="101"/>
      <c r="I1049" s="101"/>
      <c r="J1049" s="101"/>
      <c r="K1049" s="101"/>
      <c r="L1049" s="101"/>
      <c r="M1049" s="182"/>
      <c r="N1049" s="101"/>
      <c r="O1049" s="110"/>
      <c r="P1049" s="101"/>
      <c r="Q1049" s="102"/>
      <c r="R1049" s="102"/>
      <c r="S1049" s="110"/>
      <c r="T1049" s="110"/>
      <c r="U1049" s="110"/>
      <c r="V1049" s="110"/>
      <c r="W1049" s="110"/>
      <c r="X1049" s="110"/>
      <c r="Y1049" s="110"/>
    </row>
    <row r="1050" ht="13.5" customHeight="1" spans="1:25">
      <c r="A1050" s="102"/>
      <c r="B1050" s="102"/>
      <c r="C1050" s="102"/>
      <c r="D1050" s="101"/>
      <c r="E1050" s="101"/>
      <c r="F1050" s="101"/>
      <c r="G1050" s="102"/>
      <c r="H1050" s="101"/>
      <c r="I1050" s="101"/>
      <c r="J1050" s="101"/>
      <c r="K1050" s="101"/>
      <c r="L1050" s="101"/>
      <c r="M1050" s="182"/>
      <c r="N1050" s="101"/>
      <c r="O1050" s="110"/>
      <c r="P1050" s="101"/>
      <c r="Q1050" s="102"/>
      <c r="R1050" s="102"/>
      <c r="S1050" s="110"/>
      <c r="T1050" s="110"/>
      <c r="U1050" s="110"/>
      <c r="V1050" s="110"/>
      <c r="W1050" s="110"/>
      <c r="X1050" s="110"/>
      <c r="Y1050" s="110"/>
    </row>
    <row r="1051" ht="13.5" customHeight="1" spans="1:25">
      <c r="A1051" s="102"/>
      <c r="B1051" s="102"/>
      <c r="C1051" s="102"/>
      <c r="D1051" s="101"/>
      <c r="E1051" s="101"/>
      <c r="F1051" s="101"/>
      <c r="G1051" s="102"/>
      <c r="H1051" s="101"/>
      <c r="I1051" s="101"/>
      <c r="J1051" s="101"/>
      <c r="K1051" s="101"/>
      <c r="L1051" s="101"/>
      <c r="M1051" s="182"/>
      <c r="N1051" s="101"/>
      <c r="O1051" s="110"/>
      <c r="P1051" s="101"/>
      <c r="Q1051" s="102"/>
      <c r="R1051" s="102"/>
      <c r="S1051" s="110"/>
      <c r="T1051" s="110"/>
      <c r="U1051" s="110"/>
      <c r="V1051" s="110"/>
      <c r="W1051" s="110"/>
      <c r="X1051" s="110"/>
      <c r="Y1051" s="110"/>
    </row>
    <row r="1052" ht="13.5" customHeight="1" spans="1:25">
      <c r="A1052" s="102"/>
      <c r="B1052" s="102"/>
      <c r="C1052" s="102"/>
      <c r="D1052" s="101"/>
      <c r="E1052" s="101"/>
      <c r="F1052" s="101"/>
      <c r="G1052" s="102"/>
      <c r="H1052" s="101"/>
      <c r="I1052" s="101"/>
      <c r="J1052" s="101"/>
      <c r="K1052" s="101"/>
      <c r="L1052" s="101"/>
      <c r="M1052" s="182"/>
      <c r="N1052" s="101"/>
      <c r="O1052" s="110"/>
      <c r="P1052" s="101"/>
      <c r="Q1052" s="102"/>
      <c r="R1052" s="102"/>
      <c r="S1052" s="110"/>
      <c r="T1052" s="110"/>
      <c r="U1052" s="110"/>
      <c r="V1052" s="110"/>
      <c r="W1052" s="110"/>
      <c r="X1052" s="110"/>
      <c r="Y1052" s="110"/>
    </row>
    <row r="1053" ht="13.5" customHeight="1" spans="1:25">
      <c r="A1053" s="102"/>
      <c r="B1053" s="102"/>
      <c r="C1053" s="102"/>
      <c r="D1053" s="101"/>
      <c r="E1053" s="101"/>
      <c r="F1053" s="101"/>
      <c r="G1053" s="102"/>
      <c r="H1053" s="101"/>
      <c r="I1053" s="101"/>
      <c r="J1053" s="101"/>
      <c r="K1053" s="101"/>
      <c r="L1053" s="101"/>
      <c r="M1053" s="182"/>
      <c r="N1053" s="101"/>
      <c r="O1053" s="110"/>
      <c r="P1053" s="101"/>
      <c r="Q1053" s="102"/>
      <c r="R1053" s="102"/>
      <c r="S1053" s="110"/>
      <c r="T1053" s="110"/>
      <c r="U1053" s="110"/>
      <c r="V1053" s="110"/>
      <c r="W1053" s="110"/>
      <c r="X1053" s="110"/>
      <c r="Y1053" s="110"/>
    </row>
    <row r="1054" ht="13.5" customHeight="1" spans="1:25">
      <c r="A1054" s="102"/>
      <c r="B1054" s="102"/>
      <c r="C1054" s="102"/>
      <c r="D1054" s="101"/>
      <c r="E1054" s="101"/>
      <c r="F1054" s="101"/>
      <c r="G1054" s="102"/>
      <c r="H1054" s="101"/>
      <c r="I1054" s="101"/>
      <c r="J1054" s="101"/>
      <c r="K1054" s="101"/>
      <c r="L1054" s="101"/>
      <c r="M1054" s="182"/>
      <c r="N1054" s="101"/>
      <c r="O1054" s="110"/>
      <c r="P1054" s="101"/>
      <c r="Q1054" s="102"/>
      <c r="R1054" s="102"/>
      <c r="S1054" s="110"/>
      <c r="T1054" s="110"/>
      <c r="U1054" s="110"/>
      <c r="V1054" s="110"/>
      <c r="W1054" s="110"/>
      <c r="X1054" s="110"/>
      <c r="Y1054" s="110"/>
    </row>
    <row r="1055" ht="13.5" customHeight="1" spans="1:25">
      <c r="A1055" s="102"/>
      <c r="B1055" s="102"/>
      <c r="C1055" s="102"/>
      <c r="D1055" s="101"/>
      <c r="E1055" s="101"/>
      <c r="F1055" s="101"/>
      <c r="G1055" s="102"/>
      <c r="H1055" s="101"/>
      <c r="I1055" s="101"/>
      <c r="J1055" s="101"/>
      <c r="K1055" s="101"/>
      <c r="L1055" s="101"/>
      <c r="M1055" s="182"/>
      <c r="N1055" s="101"/>
      <c r="O1055" s="110"/>
      <c r="P1055" s="101"/>
      <c r="Q1055" s="102"/>
      <c r="R1055" s="102"/>
      <c r="S1055" s="110"/>
      <c r="T1055" s="110"/>
      <c r="U1055" s="110"/>
      <c r="V1055" s="110"/>
      <c r="W1055" s="110"/>
      <c r="X1055" s="110"/>
      <c r="Y1055" s="110"/>
    </row>
    <row r="1056" ht="13.5" customHeight="1" spans="1:25">
      <c r="A1056" s="102"/>
      <c r="B1056" s="102"/>
      <c r="C1056" s="102"/>
      <c r="D1056" s="101"/>
      <c r="E1056" s="101"/>
      <c r="F1056" s="101"/>
      <c r="G1056" s="102"/>
      <c r="H1056" s="101"/>
      <c r="I1056" s="101"/>
      <c r="J1056" s="101"/>
      <c r="K1056" s="101"/>
      <c r="L1056" s="101"/>
      <c r="M1056" s="182"/>
      <c r="N1056" s="101"/>
      <c r="O1056" s="110"/>
      <c r="P1056" s="101"/>
      <c r="Q1056" s="102"/>
      <c r="R1056" s="102"/>
      <c r="S1056" s="110"/>
      <c r="T1056" s="110"/>
      <c r="U1056" s="110"/>
      <c r="V1056" s="110"/>
      <c r="W1056" s="110"/>
      <c r="X1056" s="110"/>
      <c r="Y1056" s="110"/>
    </row>
    <row r="1057" ht="13.5" customHeight="1" spans="1:25">
      <c r="A1057" s="102"/>
      <c r="B1057" s="102"/>
      <c r="C1057" s="102"/>
      <c r="D1057" s="101"/>
      <c r="E1057" s="101"/>
      <c r="F1057" s="101"/>
      <c r="G1057" s="102"/>
      <c r="H1057" s="101"/>
      <c r="I1057" s="101"/>
      <c r="J1057" s="101"/>
      <c r="K1057" s="101"/>
      <c r="L1057" s="101"/>
      <c r="M1057" s="182"/>
      <c r="N1057" s="101"/>
      <c r="O1057" s="110"/>
      <c r="P1057" s="101"/>
      <c r="Q1057" s="102"/>
      <c r="R1057" s="102"/>
      <c r="S1057" s="110"/>
      <c r="T1057" s="110"/>
      <c r="U1057" s="110"/>
      <c r="V1057" s="110"/>
      <c r="W1057" s="110"/>
      <c r="X1057" s="110"/>
      <c r="Y1057" s="110"/>
    </row>
    <row r="1058" ht="13.5" customHeight="1" spans="1:25">
      <c r="A1058" s="102"/>
      <c r="B1058" s="102"/>
      <c r="C1058" s="102"/>
      <c r="D1058" s="101"/>
      <c r="E1058" s="101"/>
      <c r="F1058" s="101"/>
      <c r="G1058" s="102"/>
      <c r="H1058" s="101"/>
      <c r="I1058" s="101"/>
      <c r="J1058" s="101"/>
      <c r="K1058" s="101"/>
      <c r="L1058" s="101"/>
      <c r="M1058" s="182"/>
      <c r="N1058" s="101"/>
      <c r="O1058" s="110"/>
      <c r="P1058" s="101"/>
      <c r="Q1058" s="102"/>
      <c r="R1058" s="102"/>
      <c r="S1058" s="110"/>
      <c r="T1058" s="110"/>
      <c r="U1058" s="110"/>
      <c r="V1058" s="110"/>
      <c r="W1058" s="110"/>
      <c r="X1058" s="110"/>
      <c r="Y1058" s="110"/>
    </row>
    <row r="1059" ht="13.5" customHeight="1" spans="1:25">
      <c r="A1059" s="102"/>
      <c r="B1059" s="102"/>
      <c r="C1059" s="102"/>
      <c r="D1059" s="101"/>
      <c r="E1059" s="101"/>
      <c r="F1059" s="101"/>
      <c r="G1059" s="102"/>
      <c r="H1059" s="101"/>
      <c r="I1059" s="101"/>
      <c r="J1059" s="101"/>
      <c r="K1059" s="101"/>
      <c r="L1059" s="101"/>
      <c r="M1059" s="182"/>
      <c r="N1059" s="101"/>
      <c r="O1059" s="110"/>
      <c r="P1059" s="101"/>
      <c r="Q1059" s="102"/>
      <c r="R1059" s="102"/>
      <c r="S1059" s="110"/>
      <c r="T1059" s="110"/>
      <c r="U1059" s="110"/>
      <c r="V1059" s="110"/>
      <c r="W1059" s="110"/>
      <c r="X1059" s="110"/>
      <c r="Y1059" s="110"/>
    </row>
    <row r="1060" ht="13.5" customHeight="1" spans="1:25">
      <c r="A1060" s="102"/>
      <c r="B1060" s="102"/>
      <c r="C1060" s="102"/>
      <c r="D1060" s="101"/>
      <c r="E1060" s="101"/>
      <c r="F1060" s="101"/>
      <c r="G1060" s="102"/>
      <c r="H1060" s="101"/>
      <c r="I1060" s="101"/>
      <c r="J1060" s="101"/>
      <c r="K1060" s="101"/>
      <c r="L1060" s="101"/>
      <c r="M1060" s="182"/>
      <c r="N1060" s="101"/>
      <c r="O1060" s="110"/>
      <c r="P1060" s="101"/>
      <c r="Q1060" s="102"/>
      <c r="R1060" s="102"/>
      <c r="S1060" s="110"/>
      <c r="T1060" s="110"/>
      <c r="U1060" s="110"/>
      <c r="V1060" s="110"/>
      <c r="W1060" s="110"/>
      <c r="X1060" s="110"/>
      <c r="Y1060" s="110"/>
    </row>
    <row r="1061" ht="13.5" customHeight="1" spans="1:25">
      <c r="A1061" s="102"/>
      <c r="B1061" s="102"/>
      <c r="C1061" s="102"/>
      <c r="D1061" s="101"/>
      <c r="E1061" s="101"/>
      <c r="F1061" s="101"/>
      <c r="G1061" s="102"/>
      <c r="H1061" s="101"/>
      <c r="I1061" s="101"/>
      <c r="J1061" s="101"/>
      <c r="K1061" s="101"/>
      <c r="L1061" s="101"/>
      <c r="M1061" s="182"/>
      <c r="N1061" s="101"/>
      <c r="O1061" s="110"/>
      <c r="P1061" s="101"/>
      <c r="Q1061" s="102"/>
      <c r="R1061" s="102"/>
      <c r="S1061" s="110"/>
      <c r="T1061" s="110"/>
      <c r="U1061" s="110"/>
      <c r="V1061" s="110"/>
      <c r="W1061" s="110"/>
      <c r="X1061" s="110"/>
      <c r="Y1061" s="110"/>
    </row>
    <row r="1062" ht="13.5" customHeight="1" spans="1:25">
      <c r="A1062" s="102"/>
      <c r="B1062" s="102"/>
      <c r="C1062" s="102"/>
      <c r="D1062" s="101"/>
      <c r="E1062" s="101"/>
      <c r="F1062" s="101"/>
      <c r="G1062" s="102"/>
      <c r="H1062" s="101"/>
      <c r="I1062" s="101"/>
      <c r="J1062" s="101"/>
      <c r="K1062" s="101"/>
      <c r="L1062" s="101"/>
      <c r="M1062" s="182"/>
      <c r="N1062" s="101"/>
      <c r="O1062" s="110"/>
      <c r="P1062" s="101"/>
      <c r="Q1062" s="102"/>
      <c r="R1062" s="102"/>
      <c r="S1062" s="110"/>
      <c r="T1062" s="110"/>
      <c r="U1062" s="110"/>
      <c r="V1062" s="110"/>
      <c r="W1062" s="110"/>
      <c r="X1062" s="110"/>
      <c r="Y1062" s="110"/>
    </row>
    <row r="1063" ht="13.5" customHeight="1" spans="1:25">
      <c r="A1063" s="102"/>
      <c r="B1063" s="102"/>
      <c r="C1063" s="102"/>
      <c r="D1063" s="101"/>
      <c r="E1063" s="101"/>
      <c r="F1063" s="101"/>
      <c r="G1063" s="102"/>
      <c r="H1063" s="101"/>
      <c r="I1063" s="101"/>
      <c r="J1063" s="101"/>
      <c r="K1063" s="101"/>
      <c r="L1063" s="101"/>
      <c r="M1063" s="182"/>
      <c r="N1063" s="101"/>
      <c r="O1063" s="110"/>
      <c r="P1063" s="101"/>
      <c r="Q1063" s="102"/>
      <c r="R1063" s="102"/>
      <c r="S1063" s="110"/>
      <c r="T1063" s="110"/>
      <c r="U1063" s="110"/>
      <c r="V1063" s="110"/>
      <c r="W1063" s="110"/>
      <c r="X1063" s="110"/>
      <c r="Y1063" s="110"/>
    </row>
    <row r="1064" ht="13.5" customHeight="1" spans="1:25">
      <c r="A1064" s="102"/>
      <c r="B1064" s="102"/>
      <c r="C1064" s="102"/>
      <c r="D1064" s="101"/>
      <c r="E1064" s="101"/>
      <c r="F1064" s="101"/>
      <c r="G1064" s="102"/>
      <c r="H1064" s="101"/>
      <c r="I1064" s="101"/>
      <c r="J1064" s="101"/>
      <c r="K1064" s="101"/>
      <c r="L1064" s="101"/>
      <c r="M1064" s="182"/>
      <c r="N1064" s="101"/>
      <c r="O1064" s="110"/>
      <c r="P1064" s="101"/>
      <c r="Q1064" s="102"/>
      <c r="R1064" s="102"/>
      <c r="S1064" s="110"/>
      <c r="T1064" s="110"/>
      <c r="U1064" s="110"/>
      <c r="V1064" s="110"/>
      <c r="W1064" s="110"/>
      <c r="X1064" s="110"/>
      <c r="Y1064" s="110"/>
    </row>
    <row r="1065" ht="13.5" customHeight="1" spans="1:25">
      <c r="A1065" s="102"/>
      <c r="B1065" s="102"/>
      <c r="C1065" s="102"/>
      <c r="D1065" s="101"/>
      <c r="E1065" s="101"/>
      <c r="F1065" s="101"/>
      <c r="G1065" s="102"/>
      <c r="H1065" s="101"/>
      <c r="I1065" s="101"/>
      <c r="J1065" s="101"/>
      <c r="K1065" s="101"/>
      <c r="L1065" s="101"/>
      <c r="M1065" s="182"/>
      <c r="N1065" s="101"/>
      <c r="O1065" s="110"/>
      <c r="P1065" s="101"/>
      <c r="Q1065" s="102"/>
      <c r="R1065" s="102"/>
      <c r="S1065" s="110"/>
      <c r="T1065" s="110"/>
      <c r="U1065" s="110"/>
      <c r="V1065" s="110"/>
      <c r="W1065" s="110"/>
      <c r="X1065" s="110"/>
      <c r="Y1065" s="110"/>
    </row>
    <row r="1066" ht="13.5" customHeight="1" spans="1:25">
      <c r="A1066" s="102"/>
      <c r="B1066" s="102"/>
      <c r="C1066" s="102"/>
      <c r="D1066" s="101"/>
      <c r="E1066" s="101"/>
      <c r="F1066" s="101"/>
      <c r="G1066" s="102"/>
      <c r="H1066" s="101"/>
      <c r="I1066" s="101"/>
      <c r="J1066" s="101"/>
      <c r="K1066" s="101"/>
      <c r="L1066" s="101"/>
      <c r="M1066" s="182"/>
      <c r="N1066" s="101"/>
      <c r="O1066" s="110"/>
      <c r="P1066" s="101"/>
      <c r="Q1066" s="102"/>
      <c r="R1066" s="102"/>
      <c r="S1066" s="110"/>
      <c r="T1066" s="110"/>
      <c r="U1066" s="110"/>
      <c r="V1066" s="110"/>
      <c r="W1066" s="110"/>
      <c r="X1066" s="110"/>
      <c r="Y1066" s="110"/>
    </row>
    <row r="1067" ht="13.5" customHeight="1" spans="1:25">
      <c r="A1067" s="102"/>
      <c r="B1067" s="102"/>
      <c r="C1067" s="102"/>
      <c r="D1067" s="101"/>
      <c r="E1067" s="101"/>
      <c r="F1067" s="101"/>
      <c r="G1067" s="102"/>
      <c r="H1067" s="101"/>
      <c r="I1067" s="101"/>
      <c r="J1067" s="101"/>
      <c r="K1067" s="101"/>
      <c r="L1067" s="101"/>
      <c r="M1067" s="182"/>
      <c r="N1067" s="101"/>
      <c r="O1067" s="110"/>
      <c r="P1067" s="101"/>
      <c r="Q1067" s="102"/>
      <c r="R1067" s="102"/>
      <c r="S1067" s="110"/>
      <c r="T1067" s="110"/>
      <c r="U1067" s="110"/>
      <c r="V1067" s="110"/>
      <c r="W1067" s="110"/>
      <c r="X1067" s="110"/>
      <c r="Y1067" s="110"/>
    </row>
    <row r="1068" ht="13.5" customHeight="1" spans="1:25">
      <c r="A1068" s="102"/>
      <c r="B1068" s="102"/>
      <c r="C1068" s="102"/>
      <c r="D1068" s="101"/>
      <c r="E1068" s="101"/>
      <c r="F1068" s="101"/>
      <c r="G1068" s="102"/>
      <c r="H1068" s="101"/>
      <c r="I1068" s="101"/>
      <c r="J1068" s="101"/>
      <c r="K1068" s="101"/>
      <c r="L1068" s="101"/>
      <c r="M1068" s="182"/>
      <c r="N1068" s="101"/>
      <c r="O1068" s="110"/>
      <c r="P1068" s="101"/>
      <c r="Q1068" s="102"/>
      <c r="R1068" s="102"/>
      <c r="S1068" s="110"/>
      <c r="T1068" s="110"/>
      <c r="U1068" s="110"/>
      <c r="V1068" s="110"/>
      <c r="W1068" s="110"/>
      <c r="X1068" s="110"/>
      <c r="Y1068" s="110"/>
    </row>
    <row r="1069" ht="13.5" customHeight="1" spans="1:25">
      <c r="A1069" s="102"/>
      <c r="B1069" s="102"/>
      <c r="C1069" s="102"/>
      <c r="D1069" s="101"/>
      <c r="E1069" s="101"/>
      <c r="F1069" s="101"/>
      <c r="G1069" s="102"/>
      <c r="H1069" s="101"/>
      <c r="I1069" s="101"/>
      <c r="J1069" s="101"/>
      <c r="K1069" s="101"/>
      <c r="L1069" s="101"/>
      <c r="M1069" s="182"/>
      <c r="N1069" s="101"/>
      <c r="O1069" s="110"/>
      <c r="P1069" s="101"/>
      <c r="Q1069" s="102"/>
      <c r="R1069" s="102"/>
      <c r="S1069" s="110"/>
      <c r="T1069" s="110"/>
      <c r="U1069" s="110"/>
      <c r="V1069" s="110"/>
      <c r="W1069" s="110"/>
      <c r="X1069" s="110"/>
      <c r="Y1069" s="110"/>
    </row>
    <row r="1070" ht="13.5" customHeight="1" spans="1:25">
      <c r="A1070" s="102"/>
      <c r="B1070" s="102"/>
      <c r="C1070" s="102"/>
      <c r="D1070" s="101"/>
      <c r="E1070" s="101"/>
      <c r="F1070" s="101"/>
      <c r="G1070" s="102"/>
      <c r="H1070" s="101"/>
      <c r="I1070" s="101"/>
      <c r="J1070" s="101"/>
      <c r="K1070" s="101"/>
      <c r="L1070" s="101"/>
      <c r="M1070" s="182"/>
      <c r="N1070" s="101"/>
      <c r="O1070" s="110"/>
      <c r="P1070" s="101"/>
      <c r="Q1070" s="102"/>
      <c r="R1070" s="102"/>
      <c r="S1070" s="110"/>
      <c r="T1070" s="110"/>
      <c r="U1070" s="110"/>
      <c r="V1070" s="110"/>
      <c r="W1070" s="110"/>
      <c r="X1070" s="110"/>
      <c r="Y1070" s="110"/>
    </row>
    <row r="1071" ht="13.5" customHeight="1" spans="1:25">
      <c r="A1071" s="102"/>
      <c r="B1071" s="102"/>
      <c r="C1071" s="102"/>
      <c r="D1071" s="101"/>
      <c r="E1071" s="101"/>
      <c r="F1071" s="101"/>
      <c r="G1071" s="102"/>
      <c r="H1071" s="101"/>
      <c r="I1071" s="101"/>
      <c r="J1071" s="101"/>
      <c r="K1071" s="101"/>
      <c r="L1071" s="101"/>
      <c r="M1071" s="182"/>
      <c r="N1071" s="101"/>
      <c r="O1071" s="110"/>
      <c r="P1071" s="101"/>
      <c r="Q1071" s="102"/>
      <c r="R1071" s="102"/>
      <c r="S1071" s="110"/>
      <c r="T1071" s="110"/>
      <c r="U1071" s="110"/>
      <c r="V1071" s="110"/>
      <c r="W1071" s="110"/>
      <c r="X1071" s="110"/>
      <c r="Y1071" s="110"/>
    </row>
    <row r="1072" ht="13.5" customHeight="1" spans="1:25">
      <c r="A1072" s="102"/>
      <c r="B1072" s="102"/>
      <c r="C1072" s="102"/>
      <c r="D1072" s="101"/>
      <c r="E1072" s="101"/>
      <c r="F1072" s="101"/>
      <c r="G1072" s="102"/>
      <c r="H1072" s="101"/>
      <c r="I1072" s="101"/>
      <c r="J1072" s="101"/>
      <c r="K1072" s="101"/>
      <c r="L1072" s="101"/>
      <c r="M1072" s="182"/>
      <c r="N1072" s="101"/>
      <c r="O1072" s="110"/>
      <c r="P1072" s="101"/>
      <c r="Q1072" s="102"/>
      <c r="R1072" s="102"/>
      <c r="S1072" s="110"/>
      <c r="T1072" s="110"/>
      <c r="U1072" s="110"/>
      <c r="V1072" s="110"/>
      <c r="W1072" s="110"/>
      <c r="X1072" s="110"/>
      <c r="Y1072" s="110"/>
    </row>
    <row r="1073" ht="13.5" customHeight="1" spans="1:25">
      <c r="A1073" s="102"/>
      <c r="B1073" s="102"/>
      <c r="C1073" s="102"/>
      <c r="D1073" s="101"/>
      <c r="E1073" s="101"/>
      <c r="F1073" s="101"/>
      <c r="G1073" s="102"/>
      <c r="H1073" s="101"/>
      <c r="I1073" s="101"/>
      <c r="J1073" s="101"/>
      <c r="K1073" s="101"/>
      <c r="L1073" s="101"/>
      <c r="M1073" s="182"/>
      <c r="N1073" s="101"/>
      <c r="O1073" s="110"/>
      <c r="P1073" s="101"/>
      <c r="Q1073" s="102"/>
      <c r="R1073" s="102"/>
      <c r="S1073" s="110"/>
      <c r="T1073" s="110"/>
      <c r="U1073" s="110"/>
      <c r="V1073" s="110"/>
      <c r="W1073" s="110"/>
      <c r="X1073" s="110"/>
      <c r="Y1073" s="110"/>
    </row>
    <row r="1074" ht="13.5" customHeight="1" spans="1:25">
      <c r="A1074" s="102"/>
      <c r="B1074" s="102"/>
      <c r="C1074" s="102"/>
      <c r="D1074" s="101"/>
      <c r="E1074" s="101"/>
      <c r="F1074" s="101"/>
      <c r="G1074" s="102"/>
      <c r="H1074" s="101"/>
      <c r="I1074" s="101"/>
      <c r="J1074" s="101"/>
      <c r="K1074" s="101"/>
      <c r="L1074" s="101"/>
      <c r="M1074" s="182"/>
      <c r="N1074" s="101"/>
      <c r="O1074" s="110"/>
      <c r="P1074" s="101"/>
      <c r="Q1074" s="102"/>
      <c r="R1074" s="102"/>
      <c r="S1074" s="110"/>
      <c r="T1074" s="110"/>
      <c r="U1074" s="110"/>
      <c r="V1074" s="110"/>
      <c r="W1074" s="110"/>
      <c r="X1074" s="110"/>
      <c r="Y1074" s="110"/>
    </row>
    <row r="1075" ht="13.5" customHeight="1" spans="1:25">
      <c r="A1075" s="102"/>
      <c r="B1075" s="102"/>
      <c r="C1075" s="102"/>
      <c r="D1075" s="101"/>
      <c r="E1075" s="101"/>
      <c r="F1075" s="101"/>
      <c r="G1075" s="102"/>
      <c r="H1075" s="101"/>
      <c r="I1075" s="101"/>
      <c r="J1075" s="101"/>
      <c r="K1075" s="101"/>
      <c r="L1075" s="101"/>
      <c r="M1075" s="182"/>
      <c r="N1075" s="101"/>
      <c r="O1075" s="110"/>
      <c r="P1075" s="101"/>
      <c r="Q1075" s="102"/>
      <c r="R1075" s="102"/>
      <c r="S1075" s="110"/>
      <c r="T1075" s="110"/>
      <c r="U1075" s="110"/>
      <c r="V1075" s="110"/>
      <c r="W1075" s="110"/>
      <c r="X1075" s="110"/>
      <c r="Y1075" s="110"/>
    </row>
    <row r="1076" ht="13.5" customHeight="1" spans="1:25">
      <c r="A1076" s="102"/>
      <c r="B1076" s="102"/>
      <c r="C1076" s="102"/>
      <c r="D1076" s="101"/>
      <c r="E1076" s="101"/>
      <c r="F1076" s="101"/>
      <c r="G1076" s="102"/>
      <c r="H1076" s="101"/>
      <c r="I1076" s="101"/>
      <c r="J1076" s="101"/>
      <c r="K1076" s="101"/>
      <c r="L1076" s="101"/>
      <c r="M1076" s="182"/>
      <c r="N1076" s="101"/>
      <c r="O1076" s="110"/>
      <c r="P1076" s="101"/>
      <c r="Q1076" s="102"/>
      <c r="R1076" s="102"/>
      <c r="S1076" s="110"/>
      <c r="T1076" s="110"/>
      <c r="U1076" s="110"/>
      <c r="V1076" s="110"/>
      <c r="W1076" s="110"/>
      <c r="X1076" s="110"/>
      <c r="Y1076" s="110"/>
    </row>
    <row r="1077" ht="13.5" customHeight="1" spans="1:25">
      <c r="A1077" s="102"/>
      <c r="B1077" s="102"/>
      <c r="C1077" s="102"/>
      <c r="D1077" s="101"/>
      <c r="E1077" s="101"/>
      <c r="F1077" s="101"/>
      <c r="G1077" s="102"/>
      <c r="H1077" s="101"/>
      <c r="I1077" s="101"/>
      <c r="J1077" s="101"/>
      <c r="K1077" s="101"/>
      <c r="L1077" s="101"/>
      <c r="M1077" s="182"/>
      <c r="N1077" s="101"/>
      <c r="O1077" s="110"/>
      <c r="P1077" s="101"/>
      <c r="Q1077" s="102"/>
      <c r="R1077" s="102"/>
      <c r="S1077" s="110"/>
      <c r="T1077" s="110"/>
      <c r="U1077" s="110"/>
      <c r="V1077" s="110"/>
      <c r="W1077" s="110"/>
      <c r="X1077" s="110"/>
      <c r="Y1077" s="110"/>
    </row>
    <row r="1078" ht="13.5" customHeight="1" spans="1:25">
      <c r="A1078" s="102"/>
      <c r="B1078" s="102"/>
      <c r="C1078" s="102"/>
      <c r="D1078" s="101"/>
      <c r="E1078" s="101"/>
      <c r="F1078" s="101"/>
      <c r="G1078" s="102"/>
      <c r="H1078" s="101"/>
      <c r="I1078" s="101"/>
      <c r="J1078" s="101"/>
      <c r="K1078" s="101"/>
      <c r="L1078" s="101"/>
      <c r="M1078" s="182"/>
      <c r="N1078" s="101"/>
      <c r="O1078" s="110"/>
      <c r="P1078" s="101"/>
      <c r="Q1078" s="102"/>
      <c r="R1078" s="102"/>
      <c r="S1078" s="110"/>
      <c r="T1078" s="110"/>
      <c r="U1078" s="110"/>
      <c r="V1078" s="110"/>
      <c r="W1078" s="110"/>
      <c r="X1078" s="110"/>
      <c r="Y1078" s="110"/>
    </row>
    <row r="1079" ht="13.5" customHeight="1" spans="1:25">
      <c r="A1079" s="102"/>
      <c r="B1079" s="102"/>
      <c r="C1079" s="102"/>
      <c r="D1079" s="101"/>
      <c r="E1079" s="101"/>
      <c r="F1079" s="101"/>
      <c r="G1079" s="102"/>
      <c r="H1079" s="101"/>
      <c r="I1079" s="101"/>
      <c r="J1079" s="101"/>
      <c r="K1079" s="101"/>
      <c r="L1079" s="101"/>
      <c r="M1079" s="182"/>
      <c r="N1079" s="101"/>
      <c r="O1079" s="110"/>
      <c r="P1079" s="101"/>
      <c r="Q1079" s="102"/>
      <c r="R1079" s="102"/>
      <c r="S1079" s="110"/>
      <c r="T1079" s="110"/>
      <c r="U1079" s="110"/>
      <c r="V1079" s="110"/>
      <c r="W1079" s="110"/>
      <c r="X1079" s="110"/>
      <c r="Y1079" s="110"/>
    </row>
    <row r="1080" ht="13.5" customHeight="1" spans="1:25">
      <c r="A1080" s="102"/>
      <c r="B1080" s="102"/>
      <c r="C1080" s="102"/>
      <c r="D1080" s="101"/>
      <c r="E1080" s="101"/>
      <c r="F1080" s="101"/>
      <c r="G1080" s="102"/>
      <c r="H1080" s="101"/>
      <c r="I1080" s="101"/>
      <c r="J1080" s="101"/>
      <c r="K1080" s="101"/>
      <c r="L1080" s="101"/>
      <c r="M1080" s="182"/>
      <c r="N1080" s="101"/>
      <c r="O1080" s="110"/>
      <c r="P1080" s="101"/>
      <c r="Q1080" s="102"/>
      <c r="R1080" s="102"/>
      <c r="S1080" s="110"/>
      <c r="T1080" s="110"/>
      <c r="U1080" s="110"/>
      <c r="V1080" s="110"/>
      <c r="W1080" s="110"/>
      <c r="X1080" s="110"/>
      <c r="Y1080" s="110"/>
    </row>
    <row r="1081" ht="13.5" customHeight="1" spans="1:25">
      <c r="A1081" s="102"/>
      <c r="B1081" s="102"/>
      <c r="C1081" s="102"/>
      <c r="D1081" s="101"/>
      <c r="E1081" s="101"/>
      <c r="F1081" s="101"/>
      <c r="G1081" s="102"/>
      <c r="H1081" s="101"/>
      <c r="I1081" s="101"/>
      <c r="J1081" s="101"/>
      <c r="K1081" s="101"/>
      <c r="L1081" s="101"/>
      <c r="M1081" s="182"/>
      <c r="N1081" s="101"/>
      <c r="O1081" s="110"/>
      <c r="P1081" s="101"/>
      <c r="Q1081" s="102"/>
      <c r="R1081" s="102"/>
      <c r="S1081" s="110"/>
      <c r="T1081" s="110"/>
      <c r="U1081" s="110"/>
      <c r="V1081" s="110"/>
      <c r="W1081" s="110"/>
      <c r="X1081" s="110"/>
      <c r="Y1081" s="110"/>
    </row>
    <row r="1082" ht="13.5" customHeight="1" spans="1:25">
      <c r="A1082" s="102"/>
      <c r="B1082" s="102"/>
      <c r="C1082" s="102"/>
      <c r="D1082" s="101"/>
      <c r="E1082" s="101"/>
      <c r="F1082" s="101"/>
      <c r="G1082" s="102"/>
      <c r="H1082" s="101"/>
      <c r="I1082" s="101"/>
      <c r="J1082" s="101"/>
      <c r="K1082" s="101"/>
      <c r="L1082" s="101"/>
      <c r="M1082" s="182"/>
      <c r="N1082" s="101"/>
      <c r="O1082" s="110"/>
      <c r="P1082" s="101"/>
      <c r="Q1082" s="102"/>
      <c r="R1082" s="102"/>
      <c r="S1082" s="110"/>
      <c r="T1082" s="110"/>
      <c r="U1082" s="110"/>
      <c r="V1082" s="110"/>
      <c r="W1082" s="110"/>
      <c r="X1082" s="110"/>
      <c r="Y1082" s="110"/>
    </row>
    <row r="1083" ht="13.5" customHeight="1" spans="1:25">
      <c r="A1083" s="102"/>
      <c r="B1083" s="102"/>
      <c r="C1083" s="102"/>
      <c r="D1083" s="101"/>
      <c r="E1083" s="101"/>
      <c r="F1083" s="101"/>
      <c r="G1083" s="102"/>
      <c r="H1083" s="101"/>
      <c r="I1083" s="101"/>
      <c r="J1083" s="101"/>
      <c r="K1083" s="101"/>
      <c r="L1083" s="101"/>
      <c r="M1083" s="182"/>
      <c r="N1083" s="101"/>
      <c r="O1083" s="110"/>
      <c r="P1083" s="101"/>
      <c r="Q1083" s="102"/>
      <c r="R1083" s="102"/>
      <c r="S1083" s="110"/>
      <c r="T1083" s="110"/>
      <c r="U1083" s="110"/>
      <c r="V1083" s="110"/>
      <c r="W1083" s="110"/>
      <c r="X1083" s="110"/>
      <c r="Y1083" s="110"/>
    </row>
    <row r="1084" ht="13.5" customHeight="1" spans="1:25">
      <c r="A1084" s="102"/>
      <c r="B1084" s="102"/>
      <c r="C1084" s="102"/>
      <c r="D1084" s="101"/>
      <c r="E1084" s="101"/>
      <c r="F1084" s="101"/>
      <c r="G1084" s="102"/>
      <c r="H1084" s="101"/>
      <c r="I1084" s="101"/>
      <c r="J1084" s="101"/>
      <c r="K1084" s="101"/>
      <c r="L1084" s="101"/>
      <c r="M1084" s="182"/>
      <c r="N1084" s="101"/>
      <c r="O1084" s="110"/>
      <c r="P1084" s="101"/>
      <c r="Q1084" s="102"/>
      <c r="R1084" s="102"/>
      <c r="S1084" s="110"/>
      <c r="T1084" s="110"/>
      <c r="U1084" s="110"/>
      <c r="V1084" s="110"/>
      <c r="W1084" s="110"/>
      <c r="X1084" s="110"/>
      <c r="Y1084" s="110"/>
    </row>
    <row r="1085" ht="13.5" customHeight="1" spans="1:25">
      <c r="A1085" s="102"/>
      <c r="B1085" s="102"/>
      <c r="C1085" s="102"/>
      <c r="D1085" s="101"/>
      <c r="E1085" s="101"/>
      <c r="F1085" s="101"/>
      <c r="G1085" s="102"/>
      <c r="H1085" s="101"/>
      <c r="I1085" s="101"/>
      <c r="J1085" s="101"/>
      <c r="K1085" s="101"/>
      <c r="L1085" s="101"/>
      <c r="M1085" s="182"/>
      <c r="N1085" s="101"/>
      <c r="O1085" s="110"/>
      <c r="P1085" s="101"/>
      <c r="Q1085" s="102"/>
      <c r="R1085" s="102"/>
      <c r="S1085" s="110"/>
      <c r="T1085" s="110"/>
      <c r="U1085" s="110"/>
      <c r="V1085" s="110"/>
      <c r="W1085" s="110"/>
      <c r="X1085" s="110"/>
      <c r="Y1085" s="110"/>
    </row>
    <row r="1086" ht="13.5" customHeight="1" spans="1:25">
      <c r="A1086" s="102"/>
      <c r="B1086" s="102"/>
      <c r="C1086" s="102"/>
      <c r="D1086" s="101"/>
      <c r="E1086" s="101"/>
      <c r="F1086" s="101"/>
      <c r="G1086" s="102"/>
      <c r="H1086" s="101"/>
      <c r="I1086" s="101"/>
      <c r="J1086" s="101"/>
      <c r="K1086" s="101"/>
      <c r="L1086" s="101"/>
      <c r="M1086" s="182"/>
      <c r="N1086" s="101"/>
      <c r="O1086" s="110"/>
      <c r="P1086" s="101"/>
      <c r="Q1086" s="102"/>
      <c r="R1086" s="102"/>
      <c r="S1086" s="110"/>
      <c r="T1086" s="110"/>
      <c r="U1086" s="110"/>
      <c r="V1086" s="110"/>
      <c r="W1086" s="110"/>
      <c r="X1086" s="110"/>
      <c r="Y1086" s="110"/>
    </row>
    <row r="1087" ht="13.5" customHeight="1" spans="1:25">
      <c r="A1087" s="102"/>
      <c r="B1087" s="102"/>
      <c r="C1087" s="102"/>
      <c r="D1087" s="101"/>
      <c r="E1087" s="101"/>
      <c r="F1087" s="101"/>
      <c r="G1087" s="102"/>
      <c r="H1087" s="101"/>
      <c r="I1087" s="101"/>
      <c r="J1087" s="101"/>
      <c r="K1087" s="101"/>
      <c r="L1087" s="101"/>
      <c r="M1087" s="182"/>
      <c r="N1087" s="101"/>
      <c r="O1087" s="110"/>
      <c r="P1087" s="101"/>
      <c r="Q1087" s="102"/>
      <c r="R1087" s="102"/>
      <c r="S1087" s="110"/>
      <c r="T1087" s="110"/>
      <c r="U1087" s="110"/>
      <c r="V1087" s="110"/>
      <c r="W1087" s="110"/>
      <c r="X1087" s="110"/>
      <c r="Y1087" s="110"/>
    </row>
    <row r="1088" ht="13.5" customHeight="1" spans="1:25">
      <c r="A1088" s="102"/>
      <c r="B1088" s="102"/>
      <c r="C1088" s="102"/>
      <c r="D1088" s="101"/>
      <c r="E1088" s="101"/>
      <c r="F1088" s="101"/>
      <c r="G1088" s="102"/>
      <c r="H1088" s="101"/>
      <c r="I1088" s="101"/>
      <c r="J1088" s="101"/>
      <c r="K1088" s="101"/>
      <c r="L1088" s="101"/>
      <c r="M1088" s="182"/>
      <c r="N1088" s="101"/>
      <c r="O1088" s="110"/>
      <c r="P1088" s="101"/>
      <c r="Q1088" s="102"/>
      <c r="R1088" s="102"/>
      <c r="S1088" s="110"/>
      <c r="T1088" s="110"/>
      <c r="U1088" s="110"/>
      <c r="V1088" s="110"/>
      <c r="W1088" s="110"/>
      <c r="X1088" s="110"/>
      <c r="Y1088" s="110"/>
    </row>
    <row r="1089" ht="13.5" customHeight="1" spans="1:25">
      <c r="A1089" s="102"/>
      <c r="B1089" s="102"/>
      <c r="C1089" s="102"/>
      <c r="D1089" s="101"/>
      <c r="E1089" s="101"/>
      <c r="F1089" s="101"/>
      <c r="G1089" s="102"/>
      <c r="H1089" s="101"/>
      <c r="I1089" s="101"/>
      <c r="J1089" s="101"/>
      <c r="K1089" s="101"/>
      <c r="L1089" s="101"/>
      <c r="M1089" s="182"/>
      <c r="N1089" s="101"/>
      <c r="O1089" s="110"/>
      <c r="P1089" s="101"/>
      <c r="Q1089" s="102"/>
      <c r="R1089" s="102"/>
      <c r="S1089" s="110"/>
      <c r="T1089" s="110"/>
      <c r="U1089" s="110"/>
      <c r="V1089" s="110"/>
      <c r="W1089" s="110"/>
      <c r="X1089" s="110"/>
      <c r="Y1089" s="110"/>
    </row>
    <row r="1090" ht="13.5" customHeight="1" spans="1:25">
      <c r="A1090" s="102"/>
      <c r="B1090" s="102"/>
      <c r="C1090" s="102"/>
      <c r="D1090" s="101"/>
      <c r="E1090" s="101"/>
      <c r="F1090" s="101"/>
      <c r="G1090" s="102"/>
      <c r="H1090" s="101"/>
      <c r="I1090" s="101"/>
      <c r="J1090" s="101"/>
      <c r="K1090" s="101"/>
      <c r="L1090" s="101"/>
      <c r="M1090" s="182"/>
      <c r="N1090" s="101"/>
      <c r="O1090" s="110"/>
      <c r="P1090" s="101"/>
      <c r="Q1090" s="102"/>
      <c r="R1090" s="102"/>
      <c r="S1090" s="110"/>
      <c r="T1090" s="110"/>
      <c r="U1090" s="110"/>
      <c r="V1090" s="110"/>
      <c r="W1090" s="110"/>
      <c r="X1090" s="110"/>
      <c r="Y1090" s="110"/>
    </row>
    <row r="1091" ht="13.5" customHeight="1" spans="1:25">
      <c r="A1091" s="102"/>
      <c r="B1091" s="102"/>
      <c r="C1091" s="102"/>
      <c r="D1091" s="101"/>
      <c r="E1091" s="101"/>
      <c r="F1091" s="101"/>
      <c r="G1091" s="102"/>
      <c r="H1091" s="101"/>
      <c r="I1091" s="101"/>
      <c r="J1091" s="101"/>
      <c r="K1091" s="101"/>
      <c r="L1091" s="101"/>
      <c r="M1091" s="182"/>
      <c r="N1091" s="101"/>
      <c r="O1091" s="110"/>
      <c r="P1091" s="101"/>
      <c r="Q1091" s="102"/>
      <c r="R1091" s="102"/>
      <c r="S1091" s="110"/>
      <c r="T1091" s="110"/>
      <c r="U1091" s="110"/>
      <c r="V1091" s="110"/>
      <c r="W1091" s="110"/>
      <c r="X1091" s="110"/>
      <c r="Y1091" s="110"/>
    </row>
    <row r="1092" ht="13.5" customHeight="1" spans="1:25">
      <c r="A1092" s="102"/>
      <c r="B1092" s="102"/>
      <c r="C1092" s="102"/>
      <c r="D1092" s="101"/>
      <c r="E1092" s="101"/>
      <c r="F1092" s="101"/>
      <c r="G1092" s="102"/>
      <c r="H1092" s="101"/>
      <c r="I1092" s="101"/>
      <c r="J1092" s="101"/>
      <c r="K1092" s="101"/>
      <c r="L1092" s="101"/>
      <c r="M1092" s="182"/>
      <c r="N1092" s="101"/>
      <c r="O1092" s="110"/>
      <c r="P1092" s="101"/>
      <c r="Q1092" s="102"/>
      <c r="R1092" s="102"/>
      <c r="S1092" s="110"/>
      <c r="T1092" s="110"/>
      <c r="U1092" s="110"/>
      <c r="V1092" s="110"/>
      <c r="W1092" s="110"/>
      <c r="X1092" s="110"/>
      <c r="Y1092" s="110"/>
    </row>
    <row r="1093" ht="13.5" customHeight="1" spans="1:25">
      <c r="A1093" s="102"/>
      <c r="B1093" s="102"/>
      <c r="C1093" s="102"/>
      <c r="D1093" s="101"/>
      <c r="E1093" s="101"/>
      <c r="F1093" s="101"/>
      <c r="G1093" s="102"/>
      <c r="H1093" s="101"/>
      <c r="I1093" s="101"/>
      <c r="J1093" s="101"/>
      <c r="K1093" s="101"/>
      <c r="L1093" s="101"/>
      <c r="M1093" s="182"/>
      <c r="N1093" s="101"/>
      <c r="O1093" s="110"/>
      <c r="P1093" s="101"/>
      <c r="Q1093" s="102"/>
      <c r="R1093" s="102"/>
      <c r="S1093" s="110"/>
      <c r="T1093" s="110"/>
      <c r="U1093" s="110"/>
      <c r="V1093" s="110"/>
      <c r="W1093" s="110"/>
      <c r="X1093" s="110"/>
      <c r="Y1093" s="110"/>
    </row>
    <row r="1094" ht="13.5" customHeight="1" spans="1:25">
      <c r="A1094" s="102"/>
      <c r="B1094" s="102"/>
      <c r="C1094" s="102"/>
      <c r="D1094" s="101"/>
      <c r="E1094" s="101"/>
      <c r="F1094" s="101"/>
      <c r="G1094" s="102"/>
      <c r="H1094" s="101"/>
      <c r="I1094" s="101"/>
      <c r="J1094" s="101"/>
      <c r="K1094" s="101"/>
      <c r="L1094" s="101"/>
      <c r="M1094" s="182"/>
      <c r="N1094" s="101"/>
      <c r="O1094" s="110"/>
      <c r="P1094" s="101"/>
      <c r="Q1094" s="102"/>
      <c r="R1094" s="102"/>
      <c r="S1094" s="110"/>
      <c r="T1094" s="110"/>
      <c r="U1094" s="110"/>
      <c r="V1094" s="110"/>
      <c r="W1094" s="110"/>
      <c r="X1094" s="110"/>
      <c r="Y1094" s="110"/>
    </row>
    <row r="1095" ht="13.5" customHeight="1" spans="1:25">
      <c r="A1095" s="102"/>
      <c r="B1095" s="102"/>
      <c r="C1095" s="102"/>
      <c r="D1095" s="101"/>
      <c r="E1095" s="101"/>
      <c r="F1095" s="101"/>
      <c r="G1095" s="102"/>
      <c r="H1095" s="101"/>
      <c r="I1095" s="101"/>
      <c r="J1095" s="101"/>
      <c r="K1095" s="101"/>
      <c r="L1095" s="101"/>
      <c r="M1095" s="182"/>
      <c r="N1095" s="101"/>
      <c r="O1095" s="110"/>
      <c r="P1095" s="101"/>
      <c r="Q1095" s="102"/>
      <c r="R1095" s="102"/>
      <c r="S1095" s="110"/>
      <c r="T1095" s="110"/>
      <c r="U1095" s="110"/>
      <c r="V1095" s="110"/>
      <c r="W1095" s="110"/>
      <c r="X1095" s="110"/>
      <c r="Y1095" s="110"/>
    </row>
    <row r="1096" ht="13.5" customHeight="1" spans="1:25">
      <c r="A1096" s="102"/>
      <c r="B1096" s="102"/>
      <c r="C1096" s="102"/>
      <c r="D1096" s="101"/>
      <c r="E1096" s="101"/>
      <c r="F1096" s="101"/>
      <c r="G1096" s="102"/>
      <c r="H1096" s="101"/>
      <c r="I1096" s="101"/>
      <c r="J1096" s="101"/>
      <c r="K1096" s="101"/>
      <c r="L1096" s="101"/>
      <c r="M1096" s="182"/>
      <c r="N1096" s="101"/>
      <c r="O1096" s="110"/>
      <c r="P1096" s="101"/>
      <c r="Q1096" s="102"/>
      <c r="R1096" s="102"/>
      <c r="S1096" s="110"/>
      <c r="T1096" s="110"/>
      <c r="U1096" s="110"/>
      <c r="V1096" s="110"/>
      <c r="W1096" s="110"/>
      <c r="X1096" s="110"/>
      <c r="Y1096" s="110"/>
    </row>
    <row r="1097" ht="13.5" customHeight="1" spans="1:25">
      <c r="A1097" s="102"/>
      <c r="B1097" s="102"/>
      <c r="C1097" s="102"/>
      <c r="D1097" s="101"/>
      <c r="E1097" s="101"/>
      <c r="F1097" s="101"/>
      <c r="G1097" s="102"/>
      <c r="H1097" s="101"/>
      <c r="I1097" s="101"/>
      <c r="J1097" s="101"/>
      <c r="K1097" s="101"/>
      <c r="L1097" s="101"/>
      <c r="M1097" s="182"/>
      <c r="N1097" s="101"/>
      <c r="O1097" s="110"/>
      <c r="P1097" s="101"/>
      <c r="Q1097" s="102"/>
      <c r="R1097" s="102"/>
      <c r="S1097" s="110"/>
      <c r="T1097" s="110"/>
      <c r="U1097" s="110"/>
      <c r="V1097" s="110"/>
      <c r="W1097" s="110"/>
      <c r="X1097" s="110"/>
      <c r="Y1097" s="110"/>
    </row>
    <row r="1098" ht="13.5" customHeight="1" spans="1:25">
      <c r="A1098" s="102"/>
      <c r="B1098" s="102"/>
      <c r="C1098" s="102"/>
      <c r="D1098" s="101"/>
      <c r="E1098" s="101"/>
      <c r="F1098" s="101"/>
      <c r="G1098" s="102"/>
      <c r="H1098" s="101"/>
      <c r="I1098" s="101"/>
      <c r="J1098" s="101"/>
      <c r="K1098" s="101"/>
      <c r="L1098" s="101"/>
      <c r="M1098" s="182"/>
      <c r="N1098" s="101"/>
      <c r="O1098" s="110"/>
      <c r="P1098" s="101"/>
      <c r="Q1098" s="102"/>
      <c r="R1098" s="102"/>
      <c r="S1098" s="110"/>
      <c r="T1098" s="110"/>
      <c r="U1098" s="110"/>
      <c r="V1098" s="110"/>
      <c r="W1098" s="110"/>
      <c r="X1098" s="110"/>
      <c r="Y1098" s="110"/>
    </row>
    <row r="1099" ht="13.5" customHeight="1" spans="1:25">
      <c r="A1099" s="102"/>
      <c r="B1099" s="102"/>
      <c r="C1099" s="102"/>
      <c r="D1099" s="101"/>
      <c r="E1099" s="101"/>
      <c r="F1099" s="101"/>
      <c r="G1099" s="102"/>
      <c r="H1099" s="101"/>
      <c r="I1099" s="101"/>
      <c r="J1099" s="101"/>
      <c r="K1099" s="101"/>
      <c r="L1099" s="101"/>
      <c r="M1099" s="182"/>
      <c r="N1099" s="101"/>
      <c r="O1099" s="110"/>
      <c r="P1099" s="101"/>
      <c r="Q1099" s="102"/>
      <c r="R1099" s="102"/>
      <c r="S1099" s="110"/>
      <c r="T1099" s="110"/>
      <c r="U1099" s="110"/>
      <c r="V1099" s="110"/>
      <c r="W1099" s="110"/>
      <c r="X1099" s="110"/>
      <c r="Y1099" s="110"/>
    </row>
    <row r="1100" ht="13.5" customHeight="1" spans="1:25">
      <c r="A1100" s="102"/>
      <c r="B1100" s="102"/>
      <c r="C1100" s="102"/>
      <c r="D1100" s="101"/>
      <c r="E1100" s="101"/>
      <c r="F1100" s="101"/>
      <c r="G1100" s="102"/>
      <c r="H1100" s="101"/>
      <c r="I1100" s="101"/>
      <c r="J1100" s="101"/>
      <c r="K1100" s="101"/>
      <c r="L1100" s="101"/>
      <c r="M1100" s="182"/>
      <c r="N1100" s="101"/>
      <c r="O1100" s="110"/>
      <c r="P1100" s="101"/>
      <c r="Q1100" s="102"/>
      <c r="R1100" s="102"/>
      <c r="S1100" s="110"/>
      <c r="T1100" s="110"/>
      <c r="U1100" s="110"/>
      <c r="V1100" s="110"/>
      <c r="W1100" s="110"/>
      <c r="X1100" s="110"/>
      <c r="Y1100" s="110"/>
    </row>
    <row r="1101" ht="13.5" customHeight="1" spans="1:25">
      <c r="A1101" s="102"/>
      <c r="B1101" s="102"/>
      <c r="C1101" s="102"/>
      <c r="D1101" s="101"/>
      <c r="E1101" s="101"/>
      <c r="F1101" s="101"/>
      <c r="G1101" s="102"/>
      <c r="H1101" s="101"/>
      <c r="I1101" s="101"/>
      <c r="J1101" s="101"/>
      <c r="K1101" s="101"/>
      <c r="L1101" s="101"/>
      <c r="M1101" s="182"/>
      <c r="N1101" s="101"/>
      <c r="O1101" s="110"/>
      <c r="P1101" s="101"/>
      <c r="Q1101" s="102"/>
      <c r="R1101" s="102"/>
      <c r="S1101" s="110"/>
      <c r="T1101" s="110"/>
      <c r="U1101" s="110"/>
      <c r="V1101" s="110"/>
      <c r="W1101" s="110"/>
      <c r="X1101" s="110"/>
      <c r="Y1101" s="110"/>
    </row>
    <row r="1102" ht="13.5" customHeight="1" spans="1:25">
      <c r="A1102" s="102"/>
      <c r="B1102" s="102"/>
      <c r="C1102" s="102"/>
      <c r="D1102" s="101"/>
      <c r="E1102" s="101"/>
      <c r="F1102" s="101"/>
      <c r="G1102" s="102"/>
      <c r="H1102" s="101"/>
      <c r="I1102" s="101"/>
      <c r="J1102" s="101"/>
      <c r="K1102" s="101"/>
      <c r="L1102" s="101"/>
      <c r="M1102" s="182"/>
      <c r="N1102" s="101"/>
      <c r="O1102" s="110"/>
      <c r="P1102" s="101"/>
      <c r="Q1102" s="102"/>
      <c r="R1102" s="102"/>
      <c r="S1102" s="110"/>
      <c r="T1102" s="110"/>
      <c r="U1102" s="110"/>
      <c r="V1102" s="110"/>
      <c r="W1102" s="110"/>
      <c r="X1102" s="110"/>
      <c r="Y1102" s="110"/>
    </row>
    <row r="1103" ht="13.5" customHeight="1" spans="1:25">
      <c r="A1103" s="102"/>
      <c r="B1103" s="102"/>
      <c r="C1103" s="102"/>
      <c r="D1103" s="101"/>
      <c r="E1103" s="101"/>
      <c r="F1103" s="101"/>
      <c r="G1103" s="102"/>
      <c r="H1103" s="101"/>
      <c r="I1103" s="101"/>
      <c r="J1103" s="101"/>
      <c r="K1103" s="101"/>
      <c r="L1103" s="101"/>
      <c r="M1103" s="182"/>
      <c r="N1103" s="101"/>
      <c r="O1103" s="110"/>
      <c r="P1103" s="101"/>
      <c r="Q1103" s="102"/>
      <c r="R1103" s="102"/>
      <c r="S1103" s="110"/>
      <c r="T1103" s="110"/>
      <c r="U1103" s="110"/>
      <c r="V1103" s="110"/>
      <c r="W1103" s="110"/>
      <c r="X1103" s="110"/>
      <c r="Y1103" s="110"/>
    </row>
    <row r="1104" ht="13.5" customHeight="1" spans="1:25">
      <c r="A1104" s="102"/>
      <c r="B1104" s="102"/>
      <c r="C1104" s="102"/>
      <c r="D1104" s="101"/>
      <c r="E1104" s="101"/>
      <c r="F1104" s="101"/>
      <c r="G1104" s="102"/>
      <c r="H1104" s="101"/>
      <c r="I1104" s="101"/>
      <c r="J1104" s="101"/>
      <c r="K1104" s="101"/>
      <c r="L1104" s="101"/>
      <c r="M1104" s="182"/>
      <c r="N1104" s="101"/>
      <c r="O1104" s="110"/>
      <c r="P1104" s="101"/>
      <c r="Q1104" s="102"/>
      <c r="R1104" s="102"/>
      <c r="S1104" s="110"/>
      <c r="T1104" s="110"/>
      <c r="U1104" s="110"/>
      <c r="V1104" s="110"/>
      <c r="W1104" s="110"/>
      <c r="X1104" s="110"/>
      <c r="Y1104" s="110"/>
    </row>
    <row r="1105" ht="13.5" customHeight="1" spans="1:25">
      <c r="A1105" s="102"/>
      <c r="B1105" s="102"/>
      <c r="C1105" s="102"/>
      <c r="D1105" s="101"/>
      <c r="E1105" s="101"/>
      <c r="F1105" s="101"/>
      <c r="G1105" s="102"/>
      <c r="H1105" s="101"/>
      <c r="I1105" s="101"/>
      <c r="J1105" s="101"/>
      <c r="K1105" s="101"/>
      <c r="L1105" s="101"/>
      <c r="M1105" s="182"/>
      <c r="N1105" s="101"/>
      <c r="O1105" s="110"/>
      <c r="P1105" s="101"/>
      <c r="Q1105" s="102"/>
      <c r="R1105" s="102"/>
      <c r="S1105" s="110"/>
      <c r="T1105" s="110"/>
      <c r="U1105" s="110"/>
      <c r="V1105" s="110"/>
      <c r="W1105" s="110"/>
      <c r="X1105" s="110"/>
      <c r="Y1105" s="110"/>
    </row>
    <row r="1106" ht="13.5" customHeight="1" spans="1:25">
      <c r="A1106" s="102"/>
      <c r="B1106" s="102"/>
      <c r="C1106" s="102"/>
      <c r="D1106" s="101"/>
      <c r="E1106" s="101"/>
      <c r="F1106" s="101"/>
      <c r="G1106" s="102"/>
      <c r="H1106" s="101"/>
      <c r="I1106" s="101"/>
      <c r="J1106" s="101"/>
      <c r="K1106" s="101"/>
      <c r="L1106" s="101"/>
      <c r="M1106" s="182"/>
      <c r="N1106" s="101"/>
      <c r="O1106" s="110"/>
      <c r="P1106" s="101"/>
      <c r="Q1106" s="102"/>
      <c r="R1106" s="102"/>
      <c r="S1106" s="110"/>
      <c r="T1106" s="110"/>
      <c r="U1106" s="110"/>
      <c r="V1106" s="110"/>
      <c r="W1106" s="110"/>
      <c r="X1106" s="110"/>
      <c r="Y1106" s="110"/>
    </row>
    <row r="1107" ht="13.5" customHeight="1" spans="1:25">
      <c r="A1107" s="102"/>
      <c r="B1107" s="102"/>
      <c r="C1107" s="102"/>
      <c r="D1107" s="101"/>
      <c r="E1107" s="101"/>
      <c r="F1107" s="101"/>
      <c r="G1107" s="102"/>
      <c r="H1107" s="101"/>
      <c r="I1107" s="101"/>
      <c r="J1107" s="101"/>
      <c r="K1107" s="101"/>
      <c r="L1107" s="101"/>
      <c r="M1107" s="182"/>
      <c r="N1107" s="101"/>
      <c r="O1107" s="110"/>
      <c r="P1107" s="101"/>
      <c r="Q1107" s="102"/>
      <c r="R1107" s="102"/>
      <c r="S1107" s="110"/>
      <c r="T1107" s="110"/>
      <c r="U1107" s="110"/>
      <c r="V1107" s="110"/>
      <c r="W1107" s="110"/>
      <c r="X1107" s="110"/>
      <c r="Y1107" s="110"/>
    </row>
    <row r="1108" ht="13.5" customHeight="1" spans="1:25">
      <c r="A1108" s="102"/>
      <c r="B1108" s="102"/>
      <c r="C1108" s="102"/>
      <c r="D1108" s="101"/>
      <c r="E1108" s="101"/>
      <c r="F1108" s="101"/>
      <c r="G1108" s="102"/>
      <c r="H1108" s="101"/>
      <c r="I1108" s="101"/>
      <c r="J1108" s="101"/>
      <c r="K1108" s="101"/>
      <c r="L1108" s="101"/>
      <c r="M1108" s="182"/>
      <c r="N1108" s="101"/>
      <c r="O1108" s="110"/>
      <c r="P1108" s="101"/>
      <c r="Q1108" s="102"/>
      <c r="R1108" s="102"/>
      <c r="S1108" s="110"/>
      <c r="T1108" s="110"/>
      <c r="U1108" s="110"/>
      <c r="V1108" s="110"/>
      <c r="W1108" s="110"/>
      <c r="X1108" s="110"/>
      <c r="Y1108" s="110"/>
    </row>
    <row r="1109" ht="13.5" customHeight="1" spans="1:25">
      <c r="A1109" s="102"/>
      <c r="B1109" s="102"/>
      <c r="C1109" s="102"/>
      <c r="D1109" s="101"/>
      <c r="E1109" s="101"/>
      <c r="F1109" s="101"/>
      <c r="G1109" s="102"/>
      <c r="H1109" s="101"/>
      <c r="I1109" s="101"/>
      <c r="J1109" s="101"/>
      <c r="K1109" s="101"/>
      <c r="L1109" s="101"/>
      <c r="M1109" s="182"/>
      <c r="N1109" s="101"/>
      <c r="O1109" s="110"/>
      <c r="P1109" s="101"/>
      <c r="Q1109" s="102"/>
      <c r="R1109" s="102"/>
      <c r="S1109" s="110"/>
      <c r="T1109" s="110"/>
      <c r="U1109" s="110"/>
      <c r="V1109" s="110"/>
      <c r="W1109" s="110"/>
      <c r="X1109" s="110"/>
      <c r="Y1109" s="110"/>
    </row>
    <row r="1110" ht="13.5" customHeight="1" spans="1:25">
      <c r="A1110" s="102"/>
      <c r="B1110" s="102"/>
      <c r="C1110" s="102"/>
      <c r="D1110" s="101"/>
      <c r="E1110" s="101"/>
      <c r="F1110" s="101"/>
      <c r="G1110" s="102"/>
      <c r="H1110" s="101"/>
      <c r="I1110" s="101"/>
      <c r="J1110" s="101"/>
      <c r="K1110" s="101"/>
      <c r="L1110" s="101"/>
      <c r="M1110" s="182"/>
      <c r="N1110" s="101"/>
      <c r="O1110" s="110"/>
      <c r="P1110" s="101"/>
      <c r="Q1110" s="102"/>
      <c r="R1110" s="102"/>
      <c r="S1110" s="110"/>
      <c r="T1110" s="110"/>
      <c r="U1110" s="110"/>
      <c r="V1110" s="110"/>
      <c r="W1110" s="110"/>
      <c r="X1110" s="110"/>
      <c r="Y1110" s="110"/>
    </row>
    <row r="1111" ht="13.5" customHeight="1" spans="1:25">
      <c r="A1111" s="102"/>
      <c r="B1111" s="102"/>
      <c r="C1111" s="102"/>
      <c r="D1111" s="101"/>
      <c r="E1111" s="101"/>
      <c r="F1111" s="101"/>
      <c r="G1111" s="102"/>
      <c r="H1111" s="101"/>
      <c r="I1111" s="101"/>
      <c r="J1111" s="101"/>
      <c r="K1111" s="101"/>
      <c r="L1111" s="101"/>
      <c r="M1111" s="182"/>
      <c r="N1111" s="101"/>
      <c r="O1111" s="110"/>
      <c r="P1111" s="101"/>
      <c r="Q1111" s="102"/>
      <c r="R1111" s="102"/>
      <c r="S1111" s="110"/>
      <c r="T1111" s="110"/>
      <c r="U1111" s="110"/>
      <c r="V1111" s="110"/>
      <c r="W1111" s="110"/>
      <c r="X1111" s="110"/>
      <c r="Y1111" s="110"/>
    </row>
    <row r="1112" ht="13.5" customHeight="1" spans="1:25">
      <c r="A1112" s="102"/>
      <c r="B1112" s="102"/>
      <c r="C1112" s="102"/>
      <c r="D1112" s="101"/>
      <c r="E1112" s="101"/>
      <c r="F1112" s="101"/>
      <c r="G1112" s="102"/>
      <c r="H1112" s="101"/>
      <c r="I1112" s="101"/>
      <c r="J1112" s="101"/>
      <c r="K1112" s="101"/>
      <c r="L1112" s="101"/>
      <c r="M1112" s="182"/>
      <c r="N1112" s="101"/>
      <c r="O1112" s="110"/>
      <c r="P1112" s="101"/>
      <c r="Q1112" s="102"/>
      <c r="R1112" s="102"/>
      <c r="S1112" s="110"/>
      <c r="T1112" s="110"/>
      <c r="U1112" s="110"/>
      <c r="V1112" s="110"/>
      <c r="W1112" s="110"/>
      <c r="X1112" s="110"/>
      <c r="Y1112" s="110"/>
    </row>
    <row r="1113" ht="13.5" customHeight="1" spans="1:25">
      <c r="A1113" s="102"/>
      <c r="B1113" s="102"/>
      <c r="C1113" s="102"/>
      <c r="D1113" s="101"/>
      <c r="E1113" s="101"/>
      <c r="F1113" s="101"/>
      <c r="G1113" s="102"/>
      <c r="H1113" s="101"/>
      <c r="I1113" s="101"/>
      <c r="J1113" s="101"/>
      <c r="K1113" s="101"/>
      <c r="L1113" s="101"/>
      <c r="M1113" s="182"/>
      <c r="N1113" s="101"/>
      <c r="O1113" s="110"/>
      <c r="P1113" s="101"/>
      <c r="Q1113" s="102"/>
      <c r="R1113" s="102"/>
      <c r="S1113" s="110"/>
      <c r="T1113" s="110"/>
      <c r="U1113" s="110"/>
      <c r="V1113" s="110"/>
      <c r="W1113" s="110"/>
      <c r="X1113" s="110"/>
      <c r="Y1113" s="110"/>
    </row>
    <row r="1114" ht="13.5" customHeight="1" spans="1:25">
      <c r="A1114" s="102"/>
      <c r="B1114" s="102"/>
      <c r="C1114" s="102"/>
      <c r="D1114" s="101"/>
      <c r="E1114" s="101"/>
      <c r="F1114" s="101"/>
      <c r="G1114" s="102"/>
      <c r="H1114" s="101"/>
      <c r="I1114" s="101"/>
      <c r="J1114" s="101"/>
      <c r="K1114" s="101"/>
      <c r="L1114" s="101"/>
      <c r="M1114" s="182"/>
      <c r="N1114" s="101"/>
      <c r="O1114" s="110"/>
      <c r="P1114" s="101"/>
      <c r="Q1114" s="102"/>
      <c r="R1114" s="102"/>
      <c r="S1114" s="110"/>
      <c r="T1114" s="110"/>
      <c r="U1114" s="110"/>
      <c r="V1114" s="110"/>
      <c r="W1114" s="110"/>
      <c r="X1114" s="110"/>
      <c r="Y1114" s="110"/>
    </row>
    <row r="1115" ht="13.5" customHeight="1" spans="1:25">
      <c r="A1115" s="102"/>
      <c r="B1115" s="102"/>
      <c r="C1115" s="102"/>
      <c r="D1115" s="101"/>
      <c r="E1115" s="101"/>
      <c r="F1115" s="101"/>
      <c r="G1115" s="102"/>
      <c r="H1115" s="101"/>
      <c r="I1115" s="101"/>
      <c r="J1115" s="101"/>
      <c r="K1115" s="101"/>
      <c r="L1115" s="101"/>
      <c r="M1115" s="182"/>
      <c r="N1115" s="101"/>
      <c r="O1115" s="110"/>
      <c r="P1115" s="101"/>
      <c r="Q1115" s="102"/>
      <c r="R1115" s="102"/>
      <c r="S1115" s="110"/>
      <c r="T1115" s="110"/>
      <c r="U1115" s="110"/>
      <c r="V1115" s="110"/>
      <c r="W1115" s="110"/>
      <c r="X1115" s="110"/>
      <c r="Y1115" s="110"/>
    </row>
    <row r="1116" ht="13.5" customHeight="1" spans="1:25">
      <c r="A1116" s="102"/>
      <c r="B1116" s="102"/>
      <c r="C1116" s="102"/>
      <c r="D1116" s="101"/>
      <c r="E1116" s="101"/>
      <c r="F1116" s="101"/>
      <c r="G1116" s="102"/>
      <c r="H1116" s="101"/>
      <c r="I1116" s="101"/>
      <c r="J1116" s="101"/>
      <c r="K1116" s="101"/>
      <c r="L1116" s="101"/>
      <c r="M1116" s="182"/>
      <c r="N1116" s="101"/>
      <c r="O1116" s="110"/>
      <c r="P1116" s="101"/>
      <c r="Q1116" s="102"/>
      <c r="R1116" s="102"/>
      <c r="S1116" s="110"/>
      <c r="T1116" s="110"/>
      <c r="U1116" s="110"/>
      <c r="V1116" s="110"/>
      <c r="W1116" s="110"/>
      <c r="X1116" s="110"/>
      <c r="Y1116" s="110"/>
    </row>
    <row r="1117" ht="13.5" customHeight="1" spans="1:25">
      <c r="A1117" s="102"/>
      <c r="B1117" s="102"/>
      <c r="C1117" s="102"/>
      <c r="D1117" s="101"/>
      <c r="E1117" s="101"/>
      <c r="F1117" s="101"/>
      <c r="G1117" s="102"/>
      <c r="H1117" s="101"/>
      <c r="I1117" s="101"/>
      <c r="J1117" s="101"/>
      <c r="K1117" s="101"/>
      <c r="L1117" s="101"/>
      <c r="M1117" s="182"/>
      <c r="N1117" s="101"/>
      <c r="O1117" s="110"/>
      <c r="P1117" s="101"/>
      <c r="Q1117" s="102"/>
      <c r="R1117" s="102"/>
      <c r="S1117" s="110"/>
      <c r="T1117" s="110"/>
      <c r="U1117" s="110"/>
      <c r="V1117" s="110"/>
      <c r="W1117" s="110"/>
      <c r="X1117" s="110"/>
      <c r="Y1117" s="110"/>
    </row>
    <row r="1118" ht="13.5" customHeight="1" spans="1:25">
      <c r="A1118" s="102"/>
      <c r="B1118" s="102"/>
      <c r="C1118" s="102"/>
      <c r="D1118" s="101"/>
      <c r="E1118" s="101"/>
      <c r="F1118" s="101"/>
      <c r="G1118" s="102"/>
      <c r="H1118" s="101"/>
      <c r="I1118" s="101"/>
      <c r="J1118" s="101"/>
      <c r="K1118" s="101"/>
      <c r="L1118" s="101"/>
      <c r="M1118" s="182"/>
      <c r="N1118" s="101"/>
      <c r="O1118" s="110"/>
      <c r="P1118" s="101"/>
      <c r="Q1118" s="102"/>
      <c r="R1118" s="102"/>
      <c r="S1118" s="110"/>
      <c r="T1118" s="110"/>
      <c r="U1118" s="110"/>
      <c r="V1118" s="110"/>
      <c r="W1118" s="110"/>
      <c r="X1118" s="110"/>
      <c r="Y1118" s="110"/>
    </row>
    <row r="1119" ht="13.5" customHeight="1" spans="1:25">
      <c r="A1119" s="102"/>
      <c r="B1119" s="102"/>
      <c r="C1119" s="102"/>
      <c r="D1119" s="101"/>
      <c r="E1119" s="101"/>
      <c r="F1119" s="101"/>
      <c r="G1119" s="102"/>
      <c r="H1119" s="101"/>
      <c r="I1119" s="101"/>
      <c r="J1119" s="101"/>
      <c r="K1119" s="101"/>
      <c r="L1119" s="101"/>
      <c r="M1119" s="182"/>
      <c r="N1119" s="101"/>
      <c r="O1119" s="110"/>
      <c r="P1119" s="101"/>
      <c r="Q1119" s="102"/>
      <c r="R1119" s="102"/>
      <c r="S1119" s="110"/>
      <c r="T1119" s="110"/>
      <c r="U1119" s="110"/>
      <c r="V1119" s="110"/>
      <c r="W1119" s="110"/>
      <c r="X1119" s="110"/>
      <c r="Y1119" s="110"/>
    </row>
    <row r="1120" ht="13.5" customHeight="1" spans="1:25">
      <c r="A1120" s="102"/>
      <c r="B1120" s="102"/>
      <c r="C1120" s="102"/>
      <c r="D1120" s="101"/>
      <c r="E1120" s="101"/>
      <c r="F1120" s="101"/>
      <c r="G1120" s="102"/>
      <c r="H1120" s="101"/>
      <c r="I1120" s="101"/>
      <c r="J1120" s="101"/>
      <c r="K1120" s="101"/>
      <c r="L1120" s="101"/>
      <c r="M1120" s="182"/>
      <c r="N1120" s="101"/>
      <c r="O1120" s="110"/>
      <c r="P1120" s="101"/>
      <c r="Q1120" s="102"/>
      <c r="R1120" s="102"/>
      <c r="S1120" s="110"/>
      <c r="T1120" s="110"/>
      <c r="U1120" s="110"/>
      <c r="V1120" s="110"/>
      <c r="W1120" s="110"/>
      <c r="X1120" s="110"/>
      <c r="Y1120" s="110"/>
    </row>
    <row r="1121" ht="13.5" customHeight="1" spans="1:25">
      <c r="A1121" s="102"/>
      <c r="B1121" s="102"/>
      <c r="C1121" s="102"/>
      <c r="D1121" s="101"/>
      <c r="E1121" s="101"/>
      <c r="F1121" s="101"/>
      <c r="G1121" s="102"/>
      <c r="H1121" s="101"/>
      <c r="I1121" s="101"/>
      <c r="J1121" s="101"/>
      <c r="K1121" s="101"/>
      <c r="L1121" s="101"/>
      <c r="M1121" s="182"/>
      <c r="N1121" s="101"/>
      <c r="O1121" s="110"/>
      <c r="P1121" s="101"/>
      <c r="Q1121" s="102"/>
      <c r="R1121" s="102"/>
      <c r="S1121" s="110"/>
      <c r="T1121" s="110"/>
      <c r="U1121" s="110"/>
      <c r="V1121" s="110"/>
      <c r="W1121" s="110"/>
      <c r="X1121" s="110"/>
      <c r="Y1121" s="110"/>
    </row>
    <row r="1122" ht="13.5" customHeight="1" spans="1:25">
      <c r="A1122" s="102"/>
      <c r="B1122" s="102"/>
      <c r="C1122" s="102"/>
      <c r="D1122" s="101"/>
      <c r="E1122" s="101"/>
      <c r="F1122" s="101"/>
      <c r="G1122" s="102"/>
      <c r="H1122" s="101"/>
      <c r="I1122" s="101"/>
      <c r="J1122" s="101"/>
      <c r="K1122" s="101"/>
      <c r="L1122" s="101"/>
      <c r="M1122" s="182"/>
      <c r="N1122" s="101"/>
      <c r="O1122" s="110"/>
      <c r="P1122" s="101"/>
      <c r="Q1122" s="102"/>
      <c r="R1122" s="102"/>
      <c r="S1122" s="110"/>
      <c r="T1122" s="110"/>
      <c r="U1122" s="110"/>
      <c r="V1122" s="110"/>
      <c r="W1122" s="110"/>
      <c r="X1122" s="110"/>
      <c r="Y1122" s="110"/>
    </row>
    <row r="1123" ht="13.5" customHeight="1" spans="1:25">
      <c r="A1123" s="102"/>
      <c r="B1123" s="102"/>
      <c r="C1123" s="102"/>
      <c r="D1123" s="101"/>
      <c r="E1123" s="101"/>
      <c r="F1123" s="101"/>
      <c r="G1123" s="102"/>
      <c r="H1123" s="101"/>
      <c r="I1123" s="101"/>
      <c r="J1123" s="101"/>
      <c r="K1123" s="101"/>
      <c r="L1123" s="101"/>
      <c r="M1123" s="182"/>
      <c r="N1123" s="101"/>
      <c r="O1123" s="110"/>
      <c r="P1123" s="101"/>
      <c r="Q1123" s="102"/>
      <c r="R1123" s="102"/>
      <c r="S1123" s="110"/>
      <c r="T1123" s="110"/>
      <c r="U1123" s="110"/>
      <c r="V1123" s="110"/>
      <c r="W1123" s="110"/>
      <c r="X1123" s="110"/>
      <c r="Y1123" s="110"/>
    </row>
    <row r="1124" ht="13.5" customHeight="1" spans="1:25">
      <c r="A1124" s="102"/>
      <c r="B1124" s="102"/>
      <c r="C1124" s="102"/>
      <c r="D1124" s="101"/>
      <c r="E1124" s="101"/>
      <c r="F1124" s="101"/>
      <c r="G1124" s="102"/>
      <c r="H1124" s="101"/>
      <c r="I1124" s="101"/>
      <c r="J1124" s="101"/>
      <c r="K1124" s="101"/>
      <c r="L1124" s="101"/>
      <c r="M1124" s="182"/>
      <c r="N1124" s="101"/>
      <c r="O1124" s="110"/>
      <c r="P1124" s="101"/>
      <c r="Q1124" s="102"/>
      <c r="R1124" s="102"/>
      <c r="S1124" s="110"/>
      <c r="T1124" s="110"/>
      <c r="U1124" s="110"/>
      <c r="V1124" s="110"/>
      <c r="W1124" s="110"/>
      <c r="X1124" s="110"/>
      <c r="Y1124" s="110"/>
    </row>
    <row r="1125" ht="13.5" customHeight="1" spans="1:25">
      <c r="A1125" s="102"/>
      <c r="B1125" s="102"/>
      <c r="C1125" s="102"/>
      <c r="D1125" s="101"/>
      <c r="E1125" s="101"/>
      <c r="F1125" s="101"/>
      <c r="G1125" s="102"/>
      <c r="H1125" s="101"/>
      <c r="I1125" s="101"/>
      <c r="J1125" s="101"/>
      <c r="K1125" s="101"/>
      <c r="L1125" s="101"/>
      <c r="M1125" s="182"/>
      <c r="N1125" s="101"/>
      <c r="O1125" s="110"/>
      <c r="P1125" s="101"/>
      <c r="Q1125" s="102"/>
      <c r="R1125" s="102"/>
      <c r="S1125" s="110"/>
      <c r="T1125" s="110"/>
      <c r="U1125" s="110"/>
      <c r="V1125" s="110"/>
      <c r="W1125" s="110"/>
      <c r="X1125" s="110"/>
      <c r="Y1125" s="110"/>
    </row>
    <row r="1126" ht="13.5" customHeight="1" spans="1:25">
      <c r="A1126" s="102"/>
      <c r="B1126" s="102"/>
      <c r="C1126" s="102"/>
      <c r="D1126" s="101"/>
      <c r="E1126" s="101"/>
      <c r="F1126" s="101"/>
      <c r="G1126" s="102"/>
      <c r="H1126" s="101"/>
      <c r="I1126" s="101"/>
      <c r="J1126" s="101"/>
      <c r="K1126" s="101"/>
      <c r="L1126" s="101"/>
      <c r="M1126" s="182"/>
      <c r="N1126" s="101"/>
      <c r="O1126" s="110"/>
      <c r="P1126" s="101"/>
      <c r="Q1126" s="102"/>
      <c r="R1126" s="102"/>
      <c r="S1126" s="110"/>
      <c r="T1126" s="110"/>
      <c r="U1126" s="110"/>
      <c r="V1126" s="110"/>
      <c r="W1126" s="110"/>
      <c r="X1126" s="110"/>
      <c r="Y1126" s="110"/>
    </row>
    <row r="1127" ht="13.5" customHeight="1" spans="1:25">
      <c r="A1127" s="102"/>
      <c r="B1127" s="102"/>
      <c r="C1127" s="102"/>
      <c r="D1127" s="101"/>
      <c r="E1127" s="101"/>
      <c r="F1127" s="101"/>
      <c r="G1127" s="102"/>
      <c r="H1127" s="101"/>
      <c r="I1127" s="101"/>
      <c r="J1127" s="101"/>
      <c r="K1127" s="101"/>
      <c r="L1127" s="101"/>
      <c r="M1127" s="182"/>
      <c r="N1127" s="101"/>
      <c r="O1127" s="110"/>
      <c r="P1127" s="101"/>
      <c r="Q1127" s="102"/>
      <c r="R1127" s="102"/>
      <c r="S1127" s="110"/>
      <c r="T1127" s="110"/>
      <c r="U1127" s="110"/>
      <c r="V1127" s="110"/>
      <c r="W1127" s="110"/>
      <c r="X1127" s="110"/>
      <c r="Y1127" s="110"/>
    </row>
    <row r="1128" ht="13.5" customHeight="1" spans="1:25">
      <c r="A1128" s="102"/>
      <c r="B1128" s="102"/>
      <c r="C1128" s="102"/>
      <c r="D1128" s="101"/>
      <c r="E1128" s="101"/>
      <c r="F1128" s="101"/>
      <c r="G1128" s="102"/>
      <c r="H1128" s="101"/>
      <c r="I1128" s="101"/>
      <c r="J1128" s="101"/>
      <c r="K1128" s="101"/>
      <c r="L1128" s="101"/>
      <c r="M1128" s="182"/>
      <c r="N1128" s="101"/>
      <c r="O1128" s="110"/>
      <c r="P1128" s="101"/>
      <c r="Q1128" s="102"/>
      <c r="R1128" s="102"/>
      <c r="S1128" s="110"/>
      <c r="T1128" s="110"/>
      <c r="U1128" s="110"/>
      <c r="V1128" s="110"/>
      <c r="W1128" s="110"/>
      <c r="X1128" s="110"/>
      <c r="Y1128" s="110"/>
    </row>
    <row r="1129" ht="13.5" customHeight="1" spans="1:25">
      <c r="A1129" s="102"/>
      <c r="B1129" s="102"/>
      <c r="C1129" s="102"/>
      <c r="D1129" s="101"/>
      <c r="E1129" s="101"/>
      <c r="F1129" s="101"/>
      <c r="G1129" s="102"/>
      <c r="H1129" s="101"/>
      <c r="I1129" s="101"/>
      <c r="J1129" s="101"/>
      <c r="K1129" s="101"/>
      <c r="L1129" s="101"/>
      <c r="M1129" s="182"/>
      <c r="N1129" s="101"/>
      <c r="O1129" s="110"/>
      <c r="P1129" s="101"/>
      <c r="Q1129" s="102"/>
      <c r="R1129" s="102"/>
      <c r="S1129" s="110"/>
      <c r="T1129" s="110"/>
      <c r="U1129" s="110"/>
      <c r="V1129" s="110"/>
      <c r="W1129" s="110"/>
      <c r="X1129" s="110"/>
      <c r="Y1129" s="110"/>
    </row>
    <row r="1130" ht="13.5" customHeight="1" spans="1:25">
      <c r="A1130" s="102"/>
      <c r="B1130" s="102"/>
      <c r="C1130" s="102"/>
      <c r="D1130" s="101"/>
      <c r="E1130" s="101"/>
      <c r="F1130" s="101"/>
      <c r="G1130" s="102"/>
      <c r="H1130" s="101"/>
      <c r="I1130" s="101"/>
      <c r="J1130" s="101"/>
      <c r="K1130" s="101"/>
      <c r="L1130" s="101"/>
      <c r="M1130" s="182"/>
      <c r="N1130" s="101"/>
      <c r="O1130" s="110"/>
      <c r="P1130" s="101"/>
      <c r="Q1130" s="102"/>
      <c r="R1130" s="102"/>
      <c r="S1130" s="110"/>
      <c r="T1130" s="110"/>
      <c r="U1130" s="110"/>
      <c r="V1130" s="110"/>
      <c r="W1130" s="110"/>
      <c r="X1130" s="110"/>
      <c r="Y1130" s="110"/>
    </row>
    <row r="1131" ht="13.5" customHeight="1" spans="1:25">
      <c r="A1131" s="102"/>
      <c r="B1131" s="102"/>
      <c r="C1131" s="102"/>
      <c r="D1131" s="101"/>
      <c r="E1131" s="101"/>
      <c r="F1131" s="101"/>
      <c r="G1131" s="102"/>
      <c r="H1131" s="101"/>
      <c r="I1131" s="101"/>
      <c r="J1131" s="101"/>
      <c r="K1131" s="101"/>
      <c r="L1131" s="101"/>
      <c r="M1131" s="182"/>
      <c r="N1131" s="101"/>
      <c r="O1131" s="110"/>
      <c r="P1131" s="101"/>
      <c r="Q1131" s="102"/>
      <c r="R1131" s="102"/>
      <c r="S1131" s="110"/>
      <c r="T1131" s="110"/>
      <c r="U1131" s="110"/>
      <c r="V1131" s="110"/>
      <c r="W1131" s="110"/>
      <c r="X1131" s="110"/>
      <c r="Y1131" s="110"/>
    </row>
    <row r="1132" ht="13.5" customHeight="1" spans="1:25">
      <c r="A1132" s="102"/>
      <c r="B1132" s="102"/>
      <c r="C1132" s="102"/>
      <c r="D1132" s="101"/>
      <c r="E1132" s="101"/>
      <c r="F1132" s="101"/>
      <c r="G1132" s="102"/>
      <c r="H1132" s="101"/>
      <c r="I1132" s="101"/>
      <c r="J1132" s="101"/>
      <c r="K1132" s="101"/>
      <c r="L1132" s="101"/>
      <c r="M1132" s="182"/>
      <c r="N1132" s="101"/>
      <c r="O1132" s="110"/>
      <c r="P1132" s="101"/>
      <c r="Q1132" s="102"/>
      <c r="R1132" s="102"/>
      <c r="S1132" s="110"/>
      <c r="T1132" s="110"/>
      <c r="U1132" s="110"/>
      <c r="V1132" s="110"/>
      <c r="W1132" s="110"/>
      <c r="X1132" s="110"/>
      <c r="Y1132" s="110"/>
    </row>
    <row r="1133" ht="13.5" customHeight="1" spans="1:25">
      <c r="A1133" s="102"/>
      <c r="B1133" s="102"/>
      <c r="C1133" s="102"/>
      <c r="D1133" s="101"/>
      <c r="E1133" s="101"/>
      <c r="F1133" s="101"/>
      <c r="G1133" s="102"/>
      <c r="H1133" s="101"/>
      <c r="I1133" s="101"/>
      <c r="J1133" s="101"/>
      <c r="K1133" s="101"/>
      <c r="L1133" s="101"/>
      <c r="M1133" s="182"/>
      <c r="N1133" s="101"/>
      <c r="O1133" s="110"/>
      <c r="P1133" s="101"/>
      <c r="Q1133" s="102"/>
      <c r="R1133" s="102"/>
      <c r="S1133" s="110"/>
      <c r="T1133" s="110"/>
      <c r="U1133" s="110"/>
      <c r="V1133" s="110"/>
      <c r="W1133" s="110"/>
      <c r="X1133" s="110"/>
      <c r="Y1133" s="110"/>
    </row>
    <row r="1134" ht="13.5" customHeight="1" spans="1:25">
      <c r="A1134" s="102"/>
      <c r="B1134" s="102"/>
      <c r="C1134" s="102"/>
      <c r="D1134" s="101"/>
      <c r="E1134" s="101"/>
      <c r="F1134" s="101"/>
      <c r="G1134" s="102"/>
      <c r="H1134" s="101"/>
      <c r="I1134" s="101"/>
      <c r="J1134" s="101"/>
      <c r="K1134" s="101"/>
      <c r="L1134" s="101"/>
      <c r="M1134" s="182"/>
      <c r="N1134" s="101"/>
      <c r="O1134" s="110"/>
      <c r="P1134" s="101"/>
      <c r="Q1134" s="102"/>
      <c r="R1134" s="102"/>
      <c r="S1134" s="110"/>
      <c r="T1134" s="110"/>
      <c r="U1134" s="110"/>
      <c r="V1134" s="110"/>
      <c r="W1134" s="110"/>
      <c r="X1134" s="110"/>
      <c r="Y1134" s="110"/>
    </row>
    <row r="1135" ht="13.5" customHeight="1" spans="1:25">
      <c r="A1135" s="102"/>
      <c r="B1135" s="102"/>
      <c r="C1135" s="102"/>
      <c r="D1135" s="101"/>
      <c r="E1135" s="101"/>
      <c r="F1135" s="101"/>
      <c r="G1135" s="102"/>
      <c r="H1135" s="101"/>
      <c r="I1135" s="101"/>
      <c r="J1135" s="101"/>
      <c r="K1135" s="101"/>
      <c r="L1135" s="101"/>
      <c r="M1135" s="182"/>
      <c r="N1135" s="101"/>
      <c r="O1135" s="110"/>
      <c r="P1135" s="101"/>
      <c r="Q1135" s="102"/>
      <c r="R1135" s="102"/>
      <c r="S1135" s="110"/>
      <c r="T1135" s="110"/>
      <c r="U1135" s="110"/>
      <c r="V1135" s="110"/>
      <c r="W1135" s="110"/>
      <c r="X1135" s="110"/>
      <c r="Y1135" s="110"/>
    </row>
    <row r="1136" ht="13.5" customHeight="1" spans="1:25">
      <c r="A1136" s="102"/>
      <c r="B1136" s="102"/>
      <c r="C1136" s="102"/>
      <c r="D1136" s="101"/>
      <c r="E1136" s="101"/>
      <c r="F1136" s="101"/>
      <c r="G1136" s="102"/>
      <c r="H1136" s="101"/>
      <c r="I1136" s="101"/>
      <c r="J1136" s="101"/>
      <c r="K1136" s="101"/>
      <c r="L1136" s="101"/>
      <c r="M1136" s="182"/>
      <c r="N1136" s="101"/>
      <c r="O1136" s="110"/>
      <c r="P1136" s="101"/>
      <c r="Q1136" s="102"/>
      <c r="R1136" s="102"/>
      <c r="S1136" s="110"/>
      <c r="T1136" s="110"/>
      <c r="U1136" s="110"/>
      <c r="V1136" s="110"/>
      <c r="W1136" s="110"/>
      <c r="X1136" s="110"/>
      <c r="Y1136" s="110"/>
    </row>
    <row r="1137" ht="13.5" customHeight="1" spans="1:25">
      <c r="A1137" s="102"/>
      <c r="B1137" s="102"/>
      <c r="C1137" s="102"/>
      <c r="D1137" s="101"/>
      <c r="E1137" s="101"/>
      <c r="F1137" s="101"/>
      <c r="G1137" s="102"/>
      <c r="H1137" s="101"/>
      <c r="I1137" s="101"/>
      <c r="J1137" s="101"/>
      <c r="K1137" s="101"/>
      <c r="L1137" s="101"/>
      <c r="M1137" s="182"/>
      <c r="N1137" s="101"/>
      <c r="O1137" s="110"/>
      <c r="P1137" s="101"/>
      <c r="Q1137" s="102"/>
      <c r="R1137" s="102"/>
      <c r="S1137" s="110"/>
      <c r="T1137" s="110"/>
      <c r="U1137" s="110"/>
      <c r="V1137" s="110"/>
      <c r="W1137" s="110"/>
      <c r="X1137" s="110"/>
      <c r="Y1137" s="110"/>
    </row>
    <row r="1138" ht="13.5" customHeight="1" spans="1:25">
      <c r="A1138" s="102"/>
      <c r="B1138" s="102"/>
      <c r="C1138" s="102"/>
      <c r="D1138" s="101"/>
      <c r="E1138" s="101"/>
      <c r="F1138" s="101"/>
      <c r="G1138" s="102"/>
      <c r="H1138" s="101"/>
      <c r="I1138" s="101"/>
      <c r="J1138" s="101"/>
      <c r="K1138" s="101"/>
      <c r="L1138" s="101"/>
      <c r="M1138" s="182"/>
      <c r="N1138" s="101"/>
      <c r="O1138" s="110"/>
      <c r="P1138" s="101"/>
      <c r="Q1138" s="102"/>
      <c r="R1138" s="102"/>
      <c r="S1138" s="110"/>
      <c r="T1138" s="110"/>
      <c r="U1138" s="110"/>
      <c r="V1138" s="110"/>
      <c r="W1138" s="110"/>
      <c r="X1138" s="110"/>
      <c r="Y1138" s="110"/>
    </row>
    <row r="1139" ht="13.5" customHeight="1" spans="1:25">
      <c r="A1139" s="102"/>
      <c r="B1139" s="102"/>
      <c r="C1139" s="102"/>
      <c r="D1139" s="101"/>
      <c r="E1139" s="101"/>
      <c r="F1139" s="101"/>
      <c r="G1139" s="102"/>
      <c r="H1139" s="101"/>
      <c r="I1139" s="101"/>
      <c r="J1139" s="101"/>
      <c r="K1139" s="101"/>
      <c r="L1139" s="101"/>
      <c r="M1139" s="182"/>
      <c r="N1139" s="101"/>
      <c r="O1139" s="110"/>
      <c r="P1139" s="101"/>
      <c r="Q1139" s="102"/>
      <c r="R1139" s="102"/>
      <c r="S1139" s="110"/>
      <c r="T1139" s="110"/>
      <c r="U1139" s="110"/>
      <c r="V1139" s="110"/>
      <c r="W1139" s="110"/>
      <c r="X1139" s="110"/>
      <c r="Y1139" s="110"/>
    </row>
    <row r="1140" ht="13.5" customHeight="1" spans="1:25">
      <c r="A1140" s="102"/>
      <c r="B1140" s="102"/>
      <c r="C1140" s="102"/>
      <c r="D1140" s="101"/>
      <c r="E1140" s="101"/>
      <c r="F1140" s="101"/>
      <c r="G1140" s="102"/>
      <c r="H1140" s="101"/>
      <c r="I1140" s="101"/>
      <c r="J1140" s="101"/>
      <c r="K1140" s="101"/>
      <c r="L1140" s="101"/>
      <c r="M1140" s="182"/>
      <c r="N1140" s="101"/>
      <c r="O1140" s="110"/>
      <c r="P1140" s="101"/>
      <c r="Q1140" s="102"/>
      <c r="R1140" s="102"/>
      <c r="S1140" s="110"/>
      <c r="T1140" s="110"/>
      <c r="U1140" s="110"/>
      <c r="V1140" s="110"/>
      <c r="W1140" s="110"/>
      <c r="X1140" s="110"/>
      <c r="Y1140" s="110"/>
    </row>
    <row r="1141" ht="13.5" customHeight="1" spans="1:25">
      <c r="A1141" s="102"/>
      <c r="B1141" s="102"/>
      <c r="C1141" s="102"/>
      <c r="D1141" s="101"/>
      <c r="E1141" s="101"/>
      <c r="F1141" s="101"/>
      <c r="G1141" s="102"/>
      <c r="H1141" s="101"/>
      <c r="I1141" s="101"/>
      <c r="J1141" s="101"/>
      <c r="K1141" s="101"/>
      <c r="L1141" s="101"/>
      <c r="M1141" s="182"/>
      <c r="N1141" s="101"/>
      <c r="O1141" s="110"/>
      <c r="P1141" s="101"/>
      <c r="Q1141" s="102"/>
      <c r="R1141" s="102"/>
      <c r="S1141" s="110"/>
      <c r="T1141" s="110"/>
      <c r="U1141" s="110"/>
      <c r="V1141" s="110"/>
      <c r="W1141" s="110"/>
      <c r="X1141" s="110"/>
      <c r="Y1141" s="110"/>
    </row>
    <row r="1142" ht="13.5" customHeight="1" spans="1:25">
      <c r="A1142" s="102"/>
      <c r="B1142" s="102"/>
      <c r="C1142" s="102"/>
      <c r="D1142" s="101"/>
      <c r="E1142" s="101"/>
      <c r="F1142" s="101"/>
      <c r="G1142" s="102"/>
      <c r="H1142" s="101"/>
      <c r="I1142" s="101"/>
      <c r="J1142" s="101"/>
      <c r="K1142" s="101"/>
      <c r="L1142" s="101"/>
      <c r="M1142" s="182"/>
      <c r="N1142" s="101"/>
      <c r="O1142" s="110"/>
      <c r="P1142" s="101"/>
      <c r="Q1142" s="102"/>
      <c r="R1142" s="102"/>
      <c r="S1142" s="110"/>
      <c r="T1142" s="110"/>
      <c r="U1142" s="110"/>
      <c r="V1142" s="110"/>
      <c r="W1142" s="110"/>
      <c r="X1142" s="110"/>
      <c r="Y1142" s="110"/>
    </row>
    <row r="1143" ht="13.5" customHeight="1" spans="1:25">
      <c r="A1143" s="102"/>
      <c r="B1143" s="102"/>
      <c r="C1143" s="102"/>
      <c r="D1143" s="101"/>
      <c r="E1143" s="101"/>
      <c r="F1143" s="101"/>
      <c r="G1143" s="102"/>
      <c r="H1143" s="101"/>
      <c r="I1143" s="101"/>
      <c r="J1143" s="101"/>
      <c r="K1143" s="101"/>
      <c r="L1143" s="101"/>
      <c r="M1143" s="182"/>
      <c r="N1143" s="101"/>
      <c r="O1143" s="110"/>
      <c r="P1143" s="101"/>
      <c r="Q1143" s="102"/>
      <c r="R1143" s="102"/>
      <c r="S1143" s="110"/>
      <c r="T1143" s="110"/>
      <c r="U1143" s="110"/>
      <c r="V1143" s="110"/>
      <c r="W1143" s="110"/>
      <c r="X1143" s="110"/>
      <c r="Y1143" s="110"/>
    </row>
    <row r="1144" ht="13.5" customHeight="1" spans="1:25">
      <c r="A1144" s="102"/>
      <c r="B1144" s="102"/>
      <c r="C1144" s="102"/>
      <c r="D1144" s="101"/>
      <c r="E1144" s="101"/>
      <c r="F1144" s="101"/>
      <c r="G1144" s="102"/>
      <c r="H1144" s="101"/>
      <c r="I1144" s="101"/>
      <c r="J1144" s="101"/>
      <c r="K1144" s="101"/>
      <c r="L1144" s="101"/>
      <c r="M1144" s="182"/>
      <c r="N1144" s="101"/>
      <c r="O1144" s="110"/>
      <c r="P1144" s="101"/>
      <c r="Q1144" s="102"/>
      <c r="R1144" s="102"/>
      <c r="S1144" s="110"/>
      <c r="T1144" s="110"/>
      <c r="U1144" s="110"/>
      <c r="V1144" s="110"/>
      <c r="W1144" s="110"/>
      <c r="X1144" s="110"/>
      <c r="Y1144" s="110"/>
    </row>
    <row r="1145" ht="13.5" customHeight="1" spans="1:25">
      <c r="A1145" s="102"/>
      <c r="B1145" s="102"/>
      <c r="C1145" s="102"/>
      <c r="D1145" s="101"/>
      <c r="E1145" s="101"/>
      <c r="F1145" s="101"/>
      <c r="G1145" s="102"/>
      <c r="H1145" s="101"/>
      <c r="I1145" s="101"/>
      <c r="J1145" s="101"/>
      <c r="K1145" s="101"/>
      <c r="L1145" s="101"/>
      <c r="M1145" s="182"/>
      <c r="N1145" s="101"/>
      <c r="O1145" s="110"/>
      <c r="P1145" s="101"/>
      <c r="Q1145" s="102"/>
      <c r="R1145" s="102"/>
      <c r="S1145" s="110"/>
      <c r="T1145" s="110"/>
      <c r="U1145" s="110"/>
      <c r="V1145" s="110"/>
      <c r="W1145" s="110"/>
      <c r="X1145" s="110"/>
      <c r="Y1145" s="110"/>
    </row>
    <row r="1146" ht="13.5" customHeight="1" spans="1:25">
      <c r="A1146" s="102"/>
      <c r="B1146" s="102"/>
      <c r="C1146" s="102"/>
      <c r="D1146" s="101"/>
      <c r="E1146" s="101"/>
      <c r="F1146" s="101"/>
      <c r="G1146" s="102"/>
      <c r="H1146" s="101"/>
      <c r="I1146" s="101"/>
      <c r="J1146" s="101"/>
      <c r="K1146" s="101"/>
      <c r="L1146" s="101"/>
      <c r="M1146" s="182"/>
      <c r="N1146" s="101"/>
      <c r="O1146" s="110"/>
      <c r="P1146" s="101"/>
      <c r="Q1146" s="102"/>
      <c r="R1146" s="102"/>
      <c r="S1146" s="110"/>
      <c r="T1146" s="110"/>
      <c r="U1146" s="110"/>
      <c r="V1146" s="110"/>
      <c r="W1146" s="110"/>
      <c r="X1146" s="110"/>
      <c r="Y1146" s="110"/>
    </row>
    <row r="1147" ht="13.5" customHeight="1" spans="1:25">
      <c r="A1147" s="102"/>
      <c r="B1147" s="102"/>
      <c r="C1147" s="102"/>
      <c r="D1147" s="101"/>
      <c r="E1147" s="101"/>
      <c r="F1147" s="101"/>
      <c r="G1147" s="102"/>
      <c r="H1147" s="101"/>
      <c r="I1147" s="101"/>
      <c r="J1147" s="101"/>
      <c r="K1147" s="101"/>
      <c r="L1147" s="101"/>
      <c r="M1147" s="182"/>
      <c r="N1147" s="101"/>
      <c r="O1147" s="110"/>
      <c r="P1147" s="101"/>
      <c r="Q1147" s="102"/>
      <c r="R1147" s="102"/>
      <c r="S1147" s="110"/>
      <c r="T1147" s="110"/>
      <c r="U1147" s="110"/>
      <c r="V1147" s="110"/>
      <c r="W1147" s="110"/>
      <c r="X1147" s="110"/>
      <c r="Y1147" s="110"/>
    </row>
    <row r="1148" ht="13.5" customHeight="1" spans="1:25">
      <c r="A1148" s="102"/>
      <c r="B1148" s="102"/>
      <c r="C1148" s="102"/>
      <c r="D1148" s="101"/>
      <c r="E1148" s="101"/>
      <c r="F1148" s="101"/>
      <c r="G1148" s="102"/>
      <c r="H1148" s="101"/>
      <c r="I1148" s="101"/>
      <c r="J1148" s="101"/>
      <c r="K1148" s="101"/>
      <c r="L1148" s="101"/>
      <c r="M1148" s="182"/>
      <c r="N1148" s="101"/>
      <c r="O1148" s="110"/>
      <c r="P1148" s="101"/>
      <c r="Q1148" s="102"/>
      <c r="R1148" s="102"/>
      <c r="S1148" s="110"/>
      <c r="T1148" s="110"/>
      <c r="U1148" s="110"/>
      <c r="V1148" s="110"/>
      <c r="W1148" s="110"/>
      <c r="X1148" s="110"/>
      <c r="Y1148" s="110"/>
    </row>
    <row r="1149" ht="13.5" customHeight="1" spans="1:25">
      <c r="A1149" s="102"/>
      <c r="B1149" s="102"/>
      <c r="C1149" s="102"/>
      <c r="D1149" s="101"/>
      <c r="E1149" s="101"/>
      <c r="F1149" s="101"/>
      <c r="G1149" s="102"/>
      <c r="H1149" s="101"/>
      <c r="I1149" s="101"/>
      <c r="J1149" s="101"/>
      <c r="K1149" s="101"/>
      <c r="L1149" s="101"/>
      <c r="M1149" s="182"/>
      <c r="N1149" s="101"/>
      <c r="O1149" s="110"/>
      <c r="P1149" s="101"/>
      <c r="Q1149" s="102"/>
      <c r="R1149" s="102"/>
      <c r="S1149" s="110"/>
      <c r="T1149" s="110"/>
      <c r="U1149" s="110"/>
      <c r="V1149" s="110"/>
      <c r="W1149" s="110"/>
      <c r="X1149" s="110"/>
      <c r="Y1149" s="110"/>
    </row>
    <row r="1150" ht="13.5" customHeight="1" spans="1:25">
      <c r="A1150" s="102"/>
      <c r="B1150" s="102"/>
      <c r="C1150" s="102"/>
      <c r="D1150" s="101"/>
      <c r="E1150" s="101"/>
      <c r="F1150" s="101"/>
      <c r="G1150" s="102"/>
      <c r="H1150" s="101"/>
      <c r="I1150" s="101"/>
      <c r="J1150" s="101"/>
      <c r="K1150" s="101"/>
      <c r="L1150" s="101"/>
      <c r="M1150" s="182"/>
      <c r="N1150" s="101"/>
      <c r="O1150" s="110"/>
      <c r="P1150" s="101"/>
      <c r="Q1150" s="102"/>
      <c r="R1150" s="102"/>
      <c r="S1150" s="110"/>
      <c r="T1150" s="110"/>
      <c r="U1150" s="110"/>
      <c r="V1150" s="110"/>
      <c r="W1150" s="110"/>
      <c r="X1150" s="110"/>
      <c r="Y1150" s="110"/>
    </row>
    <row r="1151" ht="13.5" customHeight="1" spans="1:25">
      <c r="A1151" s="102"/>
      <c r="B1151" s="102"/>
      <c r="C1151" s="102"/>
      <c r="D1151" s="101"/>
      <c r="E1151" s="101"/>
      <c r="F1151" s="101"/>
      <c r="G1151" s="102"/>
      <c r="H1151" s="101"/>
      <c r="I1151" s="101"/>
      <c r="J1151" s="101"/>
      <c r="K1151" s="101"/>
      <c r="L1151" s="101"/>
      <c r="M1151" s="182"/>
      <c r="N1151" s="101"/>
      <c r="O1151" s="110"/>
      <c r="P1151" s="101"/>
      <c r="Q1151" s="102"/>
      <c r="R1151" s="102"/>
      <c r="S1151" s="110"/>
      <c r="T1151" s="110"/>
      <c r="U1151" s="110"/>
      <c r="V1151" s="110"/>
      <c r="W1151" s="110"/>
      <c r="X1151" s="110"/>
      <c r="Y1151" s="110"/>
    </row>
    <row r="1152" ht="13.5" customHeight="1" spans="1:25">
      <c r="A1152" s="102"/>
      <c r="B1152" s="102"/>
      <c r="C1152" s="102"/>
      <c r="D1152" s="101"/>
      <c r="E1152" s="101"/>
      <c r="F1152" s="101"/>
      <c r="G1152" s="102"/>
      <c r="H1152" s="101"/>
      <c r="I1152" s="101"/>
      <c r="J1152" s="101"/>
      <c r="K1152" s="101"/>
      <c r="L1152" s="101"/>
      <c r="M1152" s="182"/>
      <c r="N1152" s="101"/>
      <c r="O1152" s="110"/>
      <c r="P1152" s="101"/>
      <c r="Q1152" s="102"/>
      <c r="R1152" s="102"/>
      <c r="S1152" s="110"/>
      <c r="T1152" s="110"/>
      <c r="U1152" s="110"/>
      <c r="V1152" s="110"/>
      <c r="W1152" s="110"/>
      <c r="X1152" s="110"/>
      <c r="Y1152" s="110"/>
    </row>
    <row r="1153" ht="13.5" customHeight="1" spans="1:25">
      <c r="A1153" s="102"/>
      <c r="B1153" s="102"/>
      <c r="C1153" s="102"/>
      <c r="D1153" s="101"/>
      <c r="E1153" s="101"/>
      <c r="F1153" s="101"/>
      <c r="G1153" s="102"/>
      <c r="H1153" s="101"/>
      <c r="I1153" s="101"/>
      <c r="J1153" s="101"/>
      <c r="K1153" s="101"/>
      <c r="L1153" s="101"/>
      <c r="M1153" s="182"/>
      <c r="N1153" s="101"/>
      <c r="O1153" s="110"/>
      <c r="P1153" s="101"/>
      <c r="Q1153" s="102"/>
      <c r="R1153" s="102"/>
      <c r="S1153" s="110"/>
      <c r="T1153" s="110"/>
      <c r="U1153" s="110"/>
      <c r="V1153" s="110"/>
      <c r="W1153" s="110"/>
      <c r="X1153" s="110"/>
      <c r="Y1153" s="110"/>
    </row>
    <row r="1154" ht="13.5" customHeight="1" spans="1:25">
      <c r="A1154" s="102"/>
      <c r="B1154" s="102"/>
      <c r="C1154" s="102"/>
      <c r="D1154" s="101"/>
      <c r="E1154" s="101"/>
      <c r="F1154" s="101"/>
      <c r="G1154" s="102"/>
      <c r="H1154" s="101"/>
      <c r="I1154" s="101"/>
      <c r="J1154" s="101"/>
      <c r="K1154" s="101"/>
      <c r="L1154" s="101"/>
      <c r="M1154" s="182"/>
      <c r="N1154" s="101"/>
      <c r="O1154" s="110"/>
      <c r="P1154" s="101"/>
      <c r="Q1154" s="102"/>
      <c r="R1154" s="102"/>
      <c r="S1154" s="110"/>
      <c r="T1154" s="110"/>
      <c r="U1154" s="110"/>
      <c r="V1154" s="110"/>
      <c r="W1154" s="110"/>
      <c r="X1154" s="110"/>
      <c r="Y1154" s="110"/>
    </row>
    <row r="1155" ht="13.5" customHeight="1" spans="1:25">
      <c r="A1155" s="102"/>
      <c r="B1155" s="102"/>
      <c r="C1155" s="102"/>
      <c r="D1155" s="101"/>
      <c r="E1155" s="101"/>
      <c r="F1155" s="101"/>
      <c r="G1155" s="102"/>
      <c r="H1155" s="101"/>
      <c r="I1155" s="101"/>
      <c r="J1155" s="101"/>
      <c r="K1155" s="101"/>
      <c r="L1155" s="101"/>
      <c r="M1155" s="182"/>
      <c r="N1155" s="101"/>
      <c r="O1155" s="110"/>
      <c r="P1155" s="101"/>
      <c r="Q1155" s="102"/>
      <c r="R1155" s="102"/>
      <c r="S1155" s="110"/>
      <c r="T1155" s="110"/>
      <c r="U1155" s="110"/>
      <c r="V1155" s="110"/>
      <c r="W1155" s="110"/>
      <c r="X1155" s="110"/>
      <c r="Y1155" s="110"/>
    </row>
    <row r="1156" ht="13.5" customHeight="1" spans="1:25">
      <c r="A1156" s="102"/>
      <c r="B1156" s="102"/>
      <c r="C1156" s="102"/>
      <c r="D1156" s="101"/>
      <c r="E1156" s="101"/>
      <c r="F1156" s="101"/>
      <c r="G1156" s="102"/>
      <c r="H1156" s="101"/>
      <c r="I1156" s="101"/>
      <c r="J1156" s="101"/>
      <c r="K1156" s="101"/>
      <c r="L1156" s="101"/>
      <c r="M1156" s="182"/>
      <c r="N1156" s="101"/>
      <c r="O1156" s="110"/>
      <c r="P1156" s="101"/>
      <c r="Q1156" s="102"/>
      <c r="R1156" s="102"/>
      <c r="S1156" s="110"/>
      <c r="T1156" s="110"/>
      <c r="U1156" s="110"/>
      <c r="V1156" s="110"/>
      <c r="W1156" s="110"/>
      <c r="X1156" s="110"/>
      <c r="Y1156" s="110"/>
    </row>
    <row r="1157" ht="13.5" customHeight="1" spans="1:25">
      <c r="A1157" s="102"/>
      <c r="B1157" s="102"/>
      <c r="C1157" s="102"/>
      <c r="D1157" s="101"/>
      <c r="E1157" s="101"/>
      <c r="F1157" s="101"/>
      <c r="G1157" s="102"/>
      <c r="H1157" s="101"/>
      <c r="I1157" s="101"/>
      <c r="J1157" s="101"/>
      <c r="K1157" s="101"/>
      <c r="L1157" s="101"/>
      <c r="M1157" s="182"/>
      <c r="N1157" s="101"/>
      <c r="O1157" s="110"/>
      <c r="P1157" s="101"/>
      <c r="Q1157" s="102"/>
      <c r="R1157" s="102"/>
      <c r="S1157" s="110"/>
      <c r="T1157" s="110"/>
      <c r="U1157" s="110"/>
      <c r="V1157" s="110"/>
      <c r="W1157" s="110"/>
      <c r="X1157" s="110"/>
      <c r="Y1157" s="110"/>
    </row>
    <row r="1158" ht="13.5" customHeight="1" spans="1:25">
      <c r="A1158" s="102"/>
      <c r="B1158" s="102"/>
      <c r="C1158" s="102"/>
      <c r="D1158" s="101"/>
      <c r="E1158" s="101"/>
      <c r="F1158" s="101"/>
      <c r="G1158" s="102"/>
      <c r="H1158" s="101"/>
      <c r="I1158" s="101"/>
      <c r="J1158" s="101"/>
      <c r="K1158" s="101"/>
      <c r="L1158" s="101"/>
      <c r="M1158" s="182"/>
      <c r="N1158" s="101"/>
      <c r="O1158" s="110"/>
      <c r="P1158" s="101"/>
      <c r="Q1158" s="102"/>
      <c r="R1158" s="102"/>
      <c r="S1158" s="110"/>
      <c r="T1158" s="110"/>
      <c r="U1158" s="110"/>
      <c r="V1158" s="110"/>
      <c r="W1158" s="110"/>
      <c r="X1158" s="110"/>
      <c r="Y1158" s="110"/>
    </row>
    <row r="1159" ht="13.5" customHeight="1" spans="1:25">
      <c r="A1159" s="102"/>
      <c r="B1159" s="102"/>
      <c r="C1159" s="102"/>
      <c r="D1159" s="101"/>
      <c r="E1159" s="101"/>
      <c r="F1159" s="101"/>
      <c r="G1159" s="102"/>
      <c r="H1159" s="101"/>
      <c r="I1159" s="101"/>
      <c r="J1159" s="101"/>
      <c r="K1159" s="101"/>
      <c r="L1159" s="101"/>
      <c r="M1159" s="182"/>
      <c r="N1159" s="101"/>
      <c r="O1159" s="110"/>
      <c r="P1159" s="101"/>
      <c r="Q1159" s="102"/>
      <c r="R1159" s="102"/>
      <c r="S1159" s="110"/>
      <c r="T1159" s="110"/>
      <c r="U1159" s="110"/>
      <c r="V1159" s="110"/>
      <c r="W1159" s="110"/>
      <c r="X1159" s="110"/>
      <c r="Y1159" s="110"/>
    </row>
    <row r="1160" ht="13.5" customHeight="1" spans="1:25">
      <c r="A1160" s="102"/>
      <c r="B1160" s="102"/>
      <c r="C1160" s="102"/>
      <c r="D1160" s="101"/>
      <c r="E1160" s="101"/>
      <c r="F1160" s="101"/>
      <c r="G1160" s="102"/>
      <c r="H1160" s="101"/>
      <c r="I1160" s="101"/>
      <c r="J1160" s="101"/>
      <c r="K1160" s="101"/>
      <c r="L1160" s="101"/>
      <c r="M1160" s="182"/>
      <c r="N1160" s="101"/>
      <c r="O1160" s="110"/>
      <c r="P1160" s="101"/>
      <c r="Q1160" s="102"/>
      <c r="R1160" s="102"/>
      <c r="S1160" s="110"/>
      <c r="T1160" s="110"/>
      <c r="U1160" s="110"/>
      <c r="V1160" s="110"/>
      <c r="W1160" s="110"/>
      <c r="X1160" s="110"/>
      <c r="Y1160" s="110"/>
    </row>
    <row r="1161" ht="13.5" customHeight="1" spans="1:25">
      <c r="A1161" s="102"/>
      <c r="B1161" s="102"/>
      <c r="C1161" s="102"/>
      <c r="D1161" s="101"/>
      <c r="E1161" s="101"/>
      <c r="F1161" s="101"/>
      <c r="G1161" s="102"/>
      <c r="H1161" s="101"/>
      <c r="I1161" s="101"/>
      <c r="J1161" s="101"/>
      <c r="K1161" s="101"/>
      <c r="L1161" s="101"/>
      <c r="M1161" s="182"/>
      <c r="N1161" s="101"/>
      <c r="O1161" s="110"/>
      <c r="P1161" s="101"/>
      <c r="Q1161" s="102"/>
      <c r="R1161" s="102"/>
      <c r="S1161" s="110"/>
      <c r="T1161" s="110"/>
      <c r="U1161" s="110"/>
      <c r="V1161" s="110"/>
      <c r="W1161" s="110"/>
      <c r="X1161" s="110"/>
      <c r="Y1161" s="110"/>
    </row>
    <row r="1162" ht="13.5" customHeight="1" spans="1:25">
      <c r="A1162" s="102"/>
      <c r="B1162" s="102"/>
      <c r="C1162" s="102"/>
      <c r="D1162" s="101"/>
      <c r="E1162" s="101"/>
      <c r="F1162" s="101"/>
      <c r="G1162" s="102"/>
      <c r="H1162" s="101"/>
      <c r="I1162" s="101"/>
      <c r="J1162" s="101"/>
      <c r="K1162" s="101"/>
      <c r="L1162" s="101"/>
      <c r="M1162" s="182"/>
      <c r="N1162" s="101"/>
      <c r="O1162" s="110"/>
      <c r="P1162" s="101"/>
      <c r="Q1162" s="102"/>
      <c r="R1162" s="102"/>
      <c r="S1162" s="110"/>
      <c r="T1162" s="110"/>
      <c r="U1162" s="110"/>
      <c r="V1162" s="110"/>
      <c r="W1162" s="110"/>
      <c r="X1162" s="110"/>
      <c r="Y1162" s="110"/>
    </row>
    <row r="1163" ht="13.5" customHeight="1" spans="1:25">
      <c r="A1163" s="102"/>
      <c r="B1163" s="102"/>
      <c r="C1163" s="102"/>
      <c r="D1163" s="101"/>
      <c r="E1163" s="101"/>
      <c r="F1163" s="101"/>
      <c r="G1163" s="102"/>
      <c r="H1163" s="101"/>
      <c r="I1163" s="101"/>
      <c r="J1163" s="101"/>
      <c r="K1163" s="101"/>
      <c r="L1163" s="101"/>
      <c r="M1163" s="182"/>
      <c r="N1163" s="101"/>
      <c r="O1163" s="110"/>
      <c r="P1163" s="101"/>
      <c r="Q1163" s="102"/>
      <c r="R1163" s="102"/>
      <c r="S1163" s="110"/>
      <c r="T1163" s="110"/>
      <c r="U1163" s="110"/>
      <c r="V1163" s="110"/>
      <c r="W1163" s="110"/>
      <c r="X1163" s="110"/>
      <c r="Y1163" s="110"/>
    </row>
    <row r="1164" ht="13.5" customHeight="1" spans="1:25">
      <c r="A1164" s="102"/>
      <c r="B1164" s="102"/>
      <c r="C1164" s="102"/>
      <c r="D1164" s="101"/>
      <c r="E1164" s="101"/>
      <c r="F1164" s="101"/>
      <c r="G1164" s="102"/>
      <c r="H1164" s="101"/>
      <c r="I1164" s="101"/>
      <c r="J1164" s="101"/>
      <c r="K1164" s="101"/>
      <c r="L1164" s="101"/>
      <c r="M1164" s="182"/>
      <c r="N1164" s="101"/>
      <c r="O1164" s="110"/>
      <c r="P1164" s="101"/>
      <c r="Q1164" s="102"/>
      <c r="R1164" s="102"/>
      <c r="S1164" s="110"/>
      <c r="T1164" s="110"/>
      <c r="U1164" s="110"/>
      <c r="V1164" s="110"/>
      <c r="W1164" s="110"/>
      <c r="X1164" s="110"/>
      <c r="Y1164" s="110"/>
    </row>
    <row r="1165" ht="13.5" customHeight="1" spans="1:25">
      <c r="A1165" s="102"/>
      <c r="B1165" s="102"/>
      <c r="C1165" s="102"/>
      <c r="D1165" s="101"/>
      <c r="E1165" s="101"/>
      <c r="F1165" s="101"/>
      <c r="G1165" s="102"/>
      <c r="H1165" s="101"/>
      <c r="I1165" s="101"/>
      <c r="J1165" s="101"/>
      <c r="K1165" s="101"/>
      <c r="L1165" s="101"/>
      <c r="M1165" s="182"/>
      <c r="N1165" s="101"/>
      <c r="O1165" s="110"/>
      <c r="P1165" s="101"/>
      <c r="Q1165" s="102"/>
      <c r="R1165" s="102"/>
      <c r="S1165" s="110"/>
      <c r="T1165" s="110"/>
      <c r="U1165" s="110"/>
      <c r="V1165" s="110"/>
      <c r="W1165" s="110"/>
      <c r="X1165" s="110"/>
      <c r="Y1165" s="110"/>
    </row>
    <row r="1166" ht="13.5" customHeight="1" spans="1:25">
      <c r="A1166" s="102"/>
      <c r="B1166" s="102"/>
      <c r="C1166" s="102"/>
      <c r="D1166" s="101"/>
      <c r="E1166" s="101"/>
      <c r="F1166" s="101"/>
      <c r="G1166" s="102"/>
      <c r="H1166" s="101"/>
      <c r="I1166" s="101"/>
      <c r="J1166" s="101"/>
      <c r="K1166" s="101"/>
      <c r="L1166" s="101"/>
      <c r="M1166" s="182"/>
      <c r="N1166" s="101"/>
      <c r="O1166" s="110"/>
      <c r="P1166" s="101"/>
      <c r="Q1166" s="102"/>
      <c r="R1166" s="102"/>
      <c r="S1166" s="110"/>
      <c r="T1166" s="110"/>
      <c r="U1166" s="110"/>
      <c r="V1166" s="110"/>
      <c r="W1166" s="110"/>
      <c r="X1166" s="110"/>
      <c r="Y1166" s="110"/>
    </row>
    <row r="1167" ht="13.5" customHeight="1" spans="1:25">
      <c r="A1167" s="102"/>
      <c r="B1167" s="102"/>
      <c r="C1167" s="102"/>
      <c r="D1167" s="101"/>
      <c r="E1167" s="101"/>
      <c r="F1167" s="101"/>
      <c r="G1167" s="102"/>
      <c r="H1167" s="101"/>
      <c r="I1167" s="101"/>
      <c r="J1167" s="101"/>
      <c r="K1167" s="101"/>
      <c r="L1167" s="101"/>
      <c r="M1167" s="182"/>
      <c r="N1167" s="101"/>
      <c r="O1167" s="110"/>
      <c r="P1167" s="101"/>
      <c r="Q1167" s="102"/>
      <c r="R1167" s="102"/>
      <c r="S1167" s="110"/>
      <c r="T1167" s="110"/>
      <c r="U1167" s="110"/>
      <c r="V1167" s="110"/>
      <c r="W1167" s="110"/>
      <c r="X1167" s="110"/>
      <c r="Y1167" s="110"/>
    </row>
    <row r="1168" ht="13.5" customHeight="1" spans="1:25">
      <c r="A1168" s="102"/>
      <c r="B1168" s="102"/>
      <c r="C1168" s="102"/>
      <c r="D1168" s="101"/>
      <c r="E1168" s="101"/>
      <c r="F1168" s="101"/>
      <c r="G1168" s="102"/>
      <c r="H1168" s="101"/>
      <c r="I1168" s="101"/>
      <c r="J1168" s="101"/>
      <c r="K1168" s="101"/>
      <c r="L1168" s="101"/>
      <c r="M1168" s="182"/>
      <c r="N1168" s="101"/>
      <c r="O1168" s="110"/>
      <c r="P1168" s="101"/>
      <c r="Q1168" s="102"/>
      <c r="R1168" s="102"/>
      <c r="S1168" s="110"/>
      <c r="T1168" s="110"/>
      <c r="U1168" s="110"/>
      <c r="V1168" s="110"/>
      <c r="W1168" s="110"/>
      <c r="X1168" s="110"/>
      <c r="Y1168" s="110"/>
    </row>
    <row r="1169" ht="13.5" customHeight="1" spans="1:25">
      <c r="A1169" s="102"/>
      <c r="B1169" s="102"/>
      <c r="C1169" s="102"/>
      <c r="D1169" s="101"/>
      <c r="E1169" s="101"/>
      <c r="F1169" s="101"/>
      <c r="G1169" s="102"/>
      <c r="H1169" s="101"/>
      <c r="I1169" s="101"/>
      <c r="J1169" s="101"/>
      <c r="K1169" s="101"/>
      <c r="L1169" s="101"/>
      <c r="M1169" s="182"/>
      <c r="N1169" s="101"/>
      <c r="O1169" s="110"/>
      <c r="P1169" s="101"/>
      <c r="Q1169" s="102"/>
      <c r="R1169" s="102"/>
      <c r="S1169" s="110"/>
      <c r="T1169" s="110"/>
      <c r="U1169" s="110"/>
      <c r="V1169" s="110"/>
      <c r="W1169" s="110"/>
      <c r="X1169" s="110"/>
      <c r="Y1169" s="110"/>
    </row>
    <row r="1170" ht="13.5" customHeight="1" spans="1:25">
      <c r="A1170" s="102"/>
      <c r="B1170" s="102"/>
      <c r="C1170" s="102"/>
      <c r="D1170" s="101"/>
      <c r="E1170" s="101"/>
      <c r="F1170" s="101"/>
      <c r="G1170" s="102"/>
      <c r="H1170" s="101"/>
      <c r="I1170" s="101"/>
      <c r="J1170" s="101"/>
      <c r="K1170" s="101"/>
      <c r="L1170" s="101"/>
      <c r="M1170" s="182"/>
      <c r="N1170" s="101"/>
      <c r="O1170" s="110"/>
      <c r="P1170" s="101"/>
      <c r="Q1170" s="102"/>
      <c r="R1170" s="102"/>
      <c r="S1170" s="110"/>
      <c r="T1170" s="110"/>
      <c r="U1170" s="110"/>
      <c r="V1170" s="110"/>
      <c r="W1170" s="110"/>
      <c r="X1170" s="110"/>
      <c r="Y1170" s="110"/>
    </row>
    <row r="1171" ht="13.5" customHeight="1" spans="1:25">
      <c r="A1171" s="102"/>
      <c r="B1171" s="102"/>
      <c r="C1171" s="102"/>
      <c r="D1171" s="101"/>
      <c r="E1171" s="101"/>
      <c r="F1171" s="101"/>
      <c r="G1171" s="102"/>
      <c r="H1171" s="101"/>
      <c r="I1171" s="101"/>
      <c r="J1171" s="101"/>
      <c r="K1171" s="101"/>
      <c r="L1171" s="101"/>
      <c r="M1171" s="182"/>
      <c r="N1171" s="101"/>
      <c r="O1171" s="110"/>
      <c r="P1171" s="101"/>
      <c r="Q1171" s="102"/>
      <c r="R1171" s="102"/>
      <c r="S1171" s="110"/>
      <c r="T1171" s="110"/>
      <c r="U1171" s="110"/>
      <c r="V1171" s="110"/>
      <c r="W1171" s="110"/>
      <c r="X1171" s="110"/>
      <c r="Y1171" s="110"/>
    </row>
    <row r="1172" ht="13.5" customHeight="1" spans="1:25">
      <c r="A1172" s="102"/>
      <c r="B1172" s="102"/>
      <c r="C1172" s="102"/>
      <c r="D1172" s="101"/>
      <c r="E1172" s="101"/>
      <c r="F1172" s="101"/>
      <c r="G1172" s="102"/>
      <c r="H1172" s="101"/>
      <c r="I1172" s="101"/>
      <c r="J1172" s="101"/>
      <c r="K1172" s="101"/>
      <c r="L1172" s="101"/>
      <c r="M1172" s="182"/>
      <c r="N1172" s="101"/>
      <c r="O1172" s="110"/>
      <c r="P1172" s="101"/>
      <c r="Q1172" s="102"/>
      <c r="R1172" s="102"/>
      <c r="S1172" s="110"/>
      <c r="T1172" s="110"/>
      <c r="U1172" s="110"/>
      <c r="V1172" s="110"/>
      <c r="W1172" s="110"/>
      <c r="X1172" s="110"/>
      <c r="Y1172" s="110"/>
    </row>
    <row r="1173" ht="13.5" customHeight="1" spans="1:25">
      <c r="A1173" s="102"/>
      <c r="B1173" s="102"/>
      <c r="C1173" s="102"/>
      <c r="D1173" s="101"/>
      <c r="E1173" s="101"/>
      <c r="F1173" s="101"/>
      <c r="G1173" s="102"/>
      <c r="H1173" s="101"/>
      <c r="I1173" s="101"/>
      <c r="J1173" s="101"/>
      <c r="K1173" s="101"/>
      <c r="L1173" s="101"/>
      <c r="M1173" s="182"/>
      <c r="N1173" s="101"/>
      <c r="O1173" s="110"/>
      <c r="P1173" s="101"/>
      <c r="Q1173" s="102"/>
      <c r="R1173" s="102"/>
      <c r="S1173" s="110"/>
      <c r="T1173" s="110"/>
      <c r="U1173" s="110"/>
      <c r="V1173" s="110"/>
      <c r="W1173" s="110"/>
      <c r="X1173" s="110"/>
      <c r="Y1173" s="110"/>
    </row>
    <row r="1174" ht="13.5" customHeight="1" spans="1:25">
      <c r="A1174" s="102"/>
      <c r="B1174" s="102"/>
      <c r="C1174" s="102"/>
      <c r="D1174" s="101"/>
      <c r="E1174" s="101"/>
      <c r="F1174" s="101"/>
      <c r="G1174" s="102"/>
      <c r="H1174" s="101"/>
      <c r="I1174" s="101"/>
      <c r="J1174" s="101"/>
      <c r="K1174" s="101"/>
      <c r="L1174" s="101"/>
      <c r="M1174" s="182"/>
      <c r="N1174" s="101"/>
      <c r="O1174" s="110"/>
      <c r="P1174" s="101"/>
      <c r="Q1174" s="102"/>
      <c r="R1174" s="102"/>
      <c r="S1174" s="110"/>
      <c r="T1174" s="110"/>
      <c r="U1174" s="110"/>
      <c r="V1174" s="110"/>
      <c r="W1174" s="110"/>
      <c r="X1174" s="110"/>
      <c r="Y1174" s="110"/>
    </row>
    <row r="1175" ht="13.5" customHeight="1" spans="1:25">
      <c r="A1175" s="102"/>
      <c r="B1175" s="102"/>
      <c r="C1175" s="102"/>
      <c r="D1175" s="101"/>
      <c r="E1175" s="101"/>
      <c r="F1175" s="101"/>
      <c r="G1175" s="102"/>
      <c r="H1175" s="101"/>
      <c r="I1175" s="101"/>
      <c r="J1175" s="101"/>
      <c r="K1175" s="101"/>
      <c r="L1175" s="101"/>
      <c r="M1175" s="182"/>
      <c r="N1175" s="101"/>
      <c r="O1175" s="110"/>
      <c r="P1175" s="101"/>
      <c r="Q1175" s="102"/>
      <c r="R1175" s="102"/>
      <c r="S1175" s="110"/>
      <c r="T1175" s="110"/>
      <c r="U1175" s="110"/>
      <c r="V1175" s="110"/>
      <c r="W1175" s="110"/>
      <c r="X1175" s="110"/>
      <c r="Y1175" s="110"/>
    </row>
    <row r="1176" ht="13.5" customHeight="1" spans="1:25">
      <c r="A1176" s="102"/>
      <c r="B1176" s="102"/>
      <c r="C1176" s="102"/>
      <c r="D1176" s="101"/>
      <c r="E1176" s="101"/>
      <c r="F1176" s="101"/>
      <c r="G1176" s="102"/>
      <c r="H1176" s="101"/>
      <c r="I1176" s="101"/>
      <c r="J1176" s="101"/>
      <c r="K1176" s="101"/>
      <c r="L1176" s="101"/>
      <c r="M1176" s="182"/>
      <c r="N1176" s="101"/>
      <c r="O1176" s="110"/>
      <c r="P1176" s="101"/>
      <c r="Q1176" s="102"/>
      <c r="R1176" s="102"/>
      <c r="S1176" s="110"/>
      <c r="T1176" s="110"/>
      <c r="U1176" s="110"/>
      <c r="V1176" s="110"/>
      <c r="W1176" s="110"/>
      <c r="X1176" s="110"/>
      <c r="Y1176" s="110"/>
    </row>
    <row r="1177" ht="13.5" customHeight="1" spans="1:25">
      <c r="A1177" s="102"/>
      <c r="B1177" s="102"/>
      <c r="C1177" s="102"/>
      <c r="D1177" s="101"/>
      <c r="E1177" s="101"/>
      <c r="F1177" s="101"/>
      <c r="G1177" s="102"/>
      <c r="H1177" s="101"/>
      <c r="I1177" s="101"/>
      <c r="J1177" s="101"/>
      <c r="K1177" s="101"/>
      <c r="L1177" s="101"/>
      <c r="M1177" s="182"/>
      <c r="N1177" s="101"/>
      <c r="O1177" s="110"/>
      <c r="P1177" s="101"/>
      <c r="Q1177" s="102"/>
      <c r="R1177" s="102"/>
      <c r="S1177" s="110"/>
      <c r="T1177" s="110"/>
      <c r="U1177" s="110"/>
      <c r="V1177" s="110"/>
      <c r="W1177" s="110"/>
      <c r="X1177" s="110"/>
      <c r="Y1177" s="110"/>
    </row>
    <row r="1178" ht="13.5" customHeight="1" spans="1:25">
      <c r="A1178" s="102"/>
      <c r="B1178" s="102"/>
      <c r="C1178" s="102"/>
      <c r="D1178" s="101"/>
      <c r="E1178" s="101"/>
      <c r="F1178" s="101"/>
      <c r="G1178" s="102"/>
      <c r="H1178" s="101"/>
      <c r="I1178" s="101"/>
      <c r="J1178" s="101"/>
      <c r="K1178" s="101"/>
      <c r="L1178" s="101"/>
      <c r="M1178" s="182"/>
      <c r="N1178" s="101"/>
      <c r="O1178" s="110"/>
      <c r="P1178" s="101"/>
      <c r="Q1178" s="102"/>
      <c r="R1178" s="102"/>
      <c r="S1178" s="110"/>
      <c r="T1178" s="110"/>
      <c r="U1178" s="110"/>
      <c r="V1178" s="110"/>
      <c r="W1178" s="110"/>
      <c r="X1178" s="110"/>
      <c r="Y1178" s="110"/>
    </row>
    <row r="1179" ht="13.5" customHeight="1" spans="1:25">
      <c r="A1179" s="102"/>
      <c r="B1179" s="102"/>
      <c r="C1179" s="102"/>
      <c r="D1179" s="101"/>
      <c r="E1179" s="101"/>
      <c r="F1179" s="101"/>
      <c r="G1179" s="102"/>
      <c r="H1179" s="101"/>
      <c r="I1179" s="101"/>
      <c r="J1179" s="101"/>
      <c r="K1179" s="101"/>
      <c r="L1179" s="101"/>
      <c r="M1179" s="182"/>
      <c r="N1179" s="101"/>
      <c r="O1179" s="110"/>
      <c r="P1179" s="101"/>
      <c r="Q1179" s="102"/>
      <c r="R1179" s="102"/>
      <c r="S1179" s="110"/>
      <c r="T1179" s="110"/>
      <c r="U1179" s="110"/>
      <c r="V1179" s="110"/>
      <c r="W1179" s="110"/>
      <c r="X1179" s="110"/>
      <c r="Y1179" s="110"/>
    </row>
    <row r="1180" ht="13.5" customHeight="1" spans="1:25">
      <c r="A1180" s="102"/>
      <c r="B1180" s="102"/>
      <c r="C1180" s="102"/>
      <c r="D1180" s="101"/>
      <c r="E1180" s="101"/>
      <c r="F1180" s="101"/>
      <c r="G1180" s="102"/>
      <c r="H1180" s="101"/>
      <c r="I1180" s="101"/>
      <c r="J1180" s="101"/>
      <c r="K1180" s="101"/>
      <c r="L1180" s="101"/>
      <c r="M1180" s="182"/>
      <c r="N1180" s="101"/>
      <c r="O1180" s="110"/>
      <c r="P1180" s="101"/>
      <c r="Q1180" s="102"/>
      <c r="R1180" s="102"/>
      <c r="S1180" s="110"/>
      <c r="T1180" s="110"/>
      <c r="U1180" s="110"/>
      <c r="V1180" s="110"/>
      <c r="W1180" s="110"/>
      <c r="X1180" s="110"/>
      <c r="Y1180" s="110"/>
    </row>
    <row r="1181" ht="13.5" customHeight="1" spans="1:25">
      <c r="A1181" s="102"/>
      <c r="B1181" s="102"/>
      <c r="C1181" s="102"/>
      <c r="D1181" s="101"/>
      <c r="E1181" s="101"/>
      <c r="F1181" s="101"/>
      <c r="G1181" s="102"/>
      <c r="H1181" s="101"/>
      <c r="I1181" s="101"/>
      <c r="J1181" s="101"/>
      <c r="K1181" s="101"/>
      <c r="L1181" s="101"/>
      <c r="M1181" s="182"/>
      <c r="N1181" s="101"/>
      <c r="O1181" s="110"/>
      <c r="P1181" s="101"/>
      <c r="Q1181" s="102"/>
      <c r="R1181" s="102"/>
      <c r="S1181" s="110"/>
      <c r="T1181" s="110"/>
      <c r="U1181" s="110"/>
      <c r="V1181" s="110"/>
      <c r="W1181" s="110"/>
      <c r="X1181" s="110"/>
      <c r="Y1181" s="110"/>
    </row>
    <row r="1182" ht="13.5" customHeight="1" spans="1:25">
      <c r="A1182" s="102"/>
      <c r="B1182" s="102"/>
      <c r="C1182" s="102"/>
      <c r="D1182" s="101"/>
      <c r="E1182" s="101"/>
      <c r="F1182" s="101"/>
      <c r="G1182" s="102"/>
      <c r="H1182" s="101"/>
      <c r="I1182" s="101"/>
      <c r="J1182" s="101"/>
      <c r="K1182" s="101"/>
      <c r="L1182" s="101"/>
      <c r="M1182" s="182"/>
      <c r="N1182" s="101"/>
      <c r="O1182" s="110"/>
      <c r="P1182" s="101"/>
      <c r="Q1182" s="102"/>
      <c r="R1182" s="102"/>
      <c r="S1182" s="110"/>
      <c r="T1182" s="110"/>
      <c r="U1182" s="110"/>
      <c r="V1182" s="110"/>
      <c r="W1182" s="110"/>
      <c r="X1182" s="110"/>
      <c r="Y1182" s="110"/>
    </row>
    <row r="1183" ht="13.5" customHeight="1" spans="1:25">
      <c r="A1183" s="102"/>
      <c r="B1183" s="102"/>
      <c r="C1183" s="102"/>
      <c r="D1183" s="101"/>
      <c r="E1183" s="101"/>
      <c r="F1183" s="101"/>
      <c r="G1183" s="102"/>
      <c r="H1183" s="101"/>
      <c r="I1183" s="101"/>
      <c r="J1183" s="101"/>
      <c r="K1183" s="101"/>
      <c r="L1183" s="101"/>
      <c r="M1183" s="182"/>
      <c r="N1183" s="101"/>
      <c r="O1183" s="110"/>
      <c r="P1183" s="101"/>
      <c r="Q1183" s="102"/>
      <c r="R1183" s="102"/>
      <c r="S1183" s="110"/>
      <c r="T1183" s="110"/>
      <c r="U1183" s="110"/>
      <c r="V1183" s="110"/>
      <c r="W1183" s="110"/>
      <c r="X1183" s="110"/>
      <c r="Y1183" s="110"/>
    </row>
    <row r="1184" ht="13.5" customHeight="1" spans="1:25">
      <c r="A1184" s="102"/>
      <c r="B1184" s="102"/>
      <c r="C1184" s="102"/>
      <c r="D1184" s="101"/>
      <c r="E1184" s="101"/>
      <c r="F1184" s="101"/>
      <c r="G1184" s="102"/>
      <c r="H1184" s="101"/>
      <c r="I1184" s="101"/>
      <c r="J1184" s="101"/>
      <c r="K1184" s="101"/>
      <c r="L1184" s="101"/>
      <c r="M1184" s="182"/>
      <c r="N1184" s="101"/>
      <c r="O1184" s="110"/>
      <c r="P1184" s="101"/>
      <c r="Q1184" s="102"/>
      <c r="R1184" s="102"/>
      <c r="S1184" s="110"/>
      <c r="T1184" s="110"/>
      <c r="U1184" s="110"/>
      <c r="V1184" s="110"/>
      <c r="W1184" s="110"/>
      <c r="X1184" s="110"/>
      <c r="Y1184" s="110"/>
    </row>
    <row r="1185" ht="13.5" customHeight="1" spans="1:25">
      <c r="A1185" s="102"/>
      <c r="B1185" s="102"/>
      <c r="C1185" s="102"/>
      <c r="D1185" s="101"/>
      <c r="E1185" s="101"/>
      <c r="F1185" s="101"/>
      <c r="G1185" s="102"/>
      <c r="H1185" s="101"/>
      <c r="I1185" s="101"/>
      <c r="J1185" s="101"/>
      <c r="K1185" s="101"/>
      <c r="L1185" s="101"/>
      <c r="M1185" s="182"/>
      <c r="N1185" s="101"/>
      <c r="O1185" s="110"/>
      <c r="P1185" s="101"/>
      <c r="Q1185" s="102"/>
      <c r="R1185" s="102"/>
      <c r="S1185" s="110"/>
      <c r="T1185" s="110"/>
      <c r="U1185" s="110"/>
      <c r="V1185" s="110"/>
      <c r="W1185" s="110"/>
      <c r="X1185" s="110"/>
      <c r="Y1185" s="110"/>
    </row>
    <row r="1186" ht="13.5" customHeight="1" spans="1:25">
      <c r="A1186" s="102"/>
      <c r="B1186" s="102"/>
      <c r="C1186" s="102"/>
      <c r="D1186" s="101"/>
      <c r="E1186" s="101"/>
      <c r="F1186" s="101"/>
      <c r="G1186" s="102"/>
      <c r="H1186" s="101"/>
      <c r="I1186" s="101"/>
      <c r="J1186" s="101"/>
      <c r="K1186" s="101"/>
      <c r="L1186" s="101"/>
      <c r="M1186" s="182"/>
      <c r="N1186" s="101"/>
      <c r="O1186" s="110"/>
      <c r="P1186" s="101"/>
      <c r="Q1186" s="102"/>
      <c r="R1186" s="102"/>
      <c r="S1186" s="110"/>
      <c r="T1186" s="110"/>
      <c r="U1186" s="110"/>
      <c r="V1186" s="110"/>
      <c r="W1186" s="110"/>
      <c r="X1186" s="110"/>
      <c r="Y1186" s="110"/>
    </row>
    <row r="1187" ht="13.5" customHeight="1" spans="1:25">
      <c r="A1187" s="102"/>
      <c r="B1187" s="102"/>
      <c r="C1187" s="102"/>
      <c r="D1187" s="101"/>
      <c r="E1187" s="101"/>
      <c r="F1187" s="101"/>
      <c r="G1187" s="102"/>
      <c r="H1187" s="101"/>
      <c r="I1187" s="101"/>
      <c r="J1187" s="101"/>
      <c r="K1187" s="101"/>
      <c r="L1187" s="101"/>
      <c r="M1187" s="182"/>
      <c r="N1187" s="101"/>
      <c r="O1187" s="110"/>
      <c r="P1187" s="101"/>
      <c r="Q1187" s="102"/>
      <c r="R1187" s="102"/>
      <c r="S1187" s="110"/>
      <c r="T1187" s="110"/>
      <c r="U1187" s="110"/>
      <c r="V1187" s="110"/>
      <c r="W1187" s="110"/>
      <c r="X1187" s="110"/>
      <c r="Y1187" s="110"/>
    </row>
    <row r="1188" ht="13.5" customHeight="1" spans="1:25">
      <c r="A1188" s="102"/>
      <c r="B1188" s="102"/>
      <c r="C1188" s="102"/>
      <c r="D1188" s="101"/>
      <c r="E1188" s="101"/>
      <c r="F1188" s="101"/>
      <c r="G1188" s="102"/>
      <c r="H1188" s="101"/>
      <c r="I1188" s="101"/>
      <c r="J1188" s="101"/>
      <c r="K1188" s="101"/>
      <c r="L1188" s="101"/>
      <c r="M1188" s="182"/>
      <c r="N1188" s="101"/>
      <c r="O1188" s="110"/>
      <c r="P1188" s="101"/>
      <c r="Q1188" s="102"/>
      <c r="R1188" s="102"/>
      <c r="S1188" s="110"/>
      <c r="T1188" s="110"/>
      <c r="U1188" s="110"/>
      <c r="V1188" s="110"/>
      <c r="W1188" s="110"/>
      <c r="X1188" s="110"/>
      <c r="Y1188" s="110"/>
    </row>
    <row r="1189" ht="13.5" customHeight="1" spans="1:25">
      <c r="A1189" s="102"/>
      <c r="B1189" s="102"/>
      <c r="C1189" s="102"/>
      <c r="D1189" s="101"/>
      <c r="E1189" s="101"/>
      <c r="F1189" s="101"/>
      <c r="G1189" s="102"/>
      <c r="H1189" s="101"/>
      <c r="I1189" s="101"/>
      <c r="J1189" s="101"/>
      <c r="K1189" s="101"/>
      <c r="L1189" s="101"/>
      <c r="M1189" s="182"/>
      <c r="N1189" s="101"/>
      <c r="O1189" s="110"/>
      <c r="P1189" s="101"/>
      <c r="Q1189" s="102"/>
      <c r="R1189" s="102"/>
      <c r="S1189" s="110"/>
      <c r="T1189" s="110"/>
      <c r="U1189" s="110"/>
      <c r="V1189" s="110"/>
      <c r="W1189" s="110"/>
      <c r="X1189" s="110"/>
      <c r="Y1189" s="110"/>
    </row>
    <row r="1190" ht="13.5" customHeight="1" spans="1:25">
      <c r="A1190" s="102"/>
      <c r="B1190" s="102"/>
      <c r="C1190" s="102"/>
      <c r="D1190" s="101"/>
      <c r="E1190" s="101"/>
      <c r="F1190" s="101"/>
      <c r="G1190" s="102"/>
      <c r="H1190" s="101"/>
      <c r="I1190" s="101"/>
      <c r="J1190" s="101"/>
      <c r="K1190" s="101"/>
      <c r="L1190" s="101"/>
      <c r="M1190" s="182"/>
      <c r="N1190" s="101"/>
      <c r="O1190" s="110"/>
      <c r="P1190" s="101"/>
      <c r="Q1190" s="102"/>
      <c r="R1190" s="102"/>
      <c r="S1190" s="110"/>
      <c r="T1190" s="110"/>
      <c r="U1190" s="110"/>
      <c r="V1190" s="110"/>
      <c r="W1190" s="110"/>
      <c r="X1190" s="110"/>
      <c r="Y1190" s="110"/>
    </row>
    <row r="1191" ht="13.5" customHeight="1" spans="1:25">
      <c r="A1191" s="102"/>
      <c r="B1191" s="102"/>
      <c r="C1191" s="102"/>
      <c r="D1191" s="101"/>
      <c r="E1191" s="101"/>
      <c r="F1191" s="101"/>
      <c r="G1191" s="102"/>
      <c r="H1191" s="101"/>
      <c r="I1191" s="101"/>
      <c r="J1191" s="101"/>
      <c r="K1191" s="101"/>
      <c r="L1191" s="101"/>
      <c r="M1191" s="182"/>
      <c r="N1191" s="101"/>
      <c r="O1191" s="110"/>
      <c r="P1191" s="101"/>
      <c r="Q1191" s="102"/>
      <c r="R1191" s="102"/>
      <c r="S1191" s="110"/>
      <c r="T1191" s="110"/>
      <c r="U1191" s="110"/>
      <c r="V1191" s="110"/>
      <c r="W1191" s="110"/>
      <c r="X1191" s="110"/>
      <c r="Y1191" s="110"/>
    </row>
    <row r="1192" ht="13.5" customHeight="1" spans="1:25">
      <c r="A1192" s="102"/>
      <c r="B1192" s="102"/>
      <c r="C1192" s="102"/>
      <c r="D1192" s="101"/>
      <c r="E1192" s="101"/>
      <c r="F1192" s="101"/>
      <c r="G1192" s="102"/>
      <c r="H1192" s="101"/>
      <c r="I1192" s="101"/>
      <c r="J1192" s="101"/>
      <c r="K1192" s="101"/>
      <c r="L1192" s="101"/>
      <c r="M1192" s="182"/>
      <c r="N1192" s="101"/>
      <c r="O1192" s="110"/>
      <c r="P1192" s="101"/>
      <c r="Q1192" s="102"/>
      <c r="R1192" s="102"/>
      <c r="S1192" s="110"/>
      <c r="T1192" s="110"/>
      <c r="U1192" s="110"/>
      <c r="V1192" s="110"/>
      <c r="W1192" s="110"/>
      <c r="X1192" s="110"/>
      <c r="Y1192" s="110"/>
    </row>
    <row r="1193" ht="13.5" customHeight="1" spans="1:25">
      <c r="A1193" s="102"/>
      <c r="B1193" s="102"/>
      <c r="C1193" s="102"/>
      <c r="D1193" s="101"/>
      <c r="E1193" s="101"/>
      <c r="F1193" s="101"/>
      <c r="G1193" s="102"/>
      <c r="H1193" s="101"/>
      <c r="I1193" s="101"/>
      <c r="J1193" s="101"/>
      <c r="K1193" s="101"/>
      <c r="L1193" s="101"/>
      <c r="M1193" s="182"/>
      <c r="N1193" s="101"/>
      <c r="O1193" s="110"/>
      <c r="P1193" s="101"/>
      <c r="Q1193" s="102"/>
      <c r="R1193" s="102"/>
      <c r="S1193" s="110"/>
      <c r="T1193" s="110"/>
      <c r="U1193" s="110"/>
      <c r="V1193" s="110"/>
      <c r="W1193" s="110"/>
      <c r="X1193" s="110"/>
      <c r="Y1193" s="110"/>
    </row>
    <row r="1194" ht="13.5" customHeight="1" spans="1:25">
      <c r="A1194" s="102"/>
      <c r="B1194" s="102"/>
      <c r="C1194" s="102"/>
      <c r="D1194" s="101"/>
      <c r="E1194" s="101"/>
      <c r="F1194" s="101"/>
      <c r="G1194" s="102"/>
      <c r="H1194" s="101"/>
      <c r="I1194" s="101"/>
      <c r="J1194" s="101"/>
      <c r="K1194" s="101"/>
      <c r="L1194" s="101"/>
      <c r="M1194" s="182"/>
      <c r="N1194" s="101"/>
      <c r="O1194" s="110"/>
      <c r="P1194" s="101"/>
      <c r="Q1194" s="102"/>
      <c r="R1194" s="102"/>
      <c r="S1194" s="110"/>
      <c r="T1194" s="110"/>
      <c r="U1194" s="110"/>
      <c r="V1194" s="110"/>
      <c r="W1194" s="110"/>
      <c r="X1194" s="110"/>
      <c r="Y1194" s="110"/>
    </row>
    <row r="1195" ht="13.5" customHeight="1" spans="1:25">
      <c r="A1195" s="102"/>
      <c r="B1195" s="102"/>
      <c r="C1195" s="102"/>
      <c r="D1195" s="101"/>
      <c r="E1195" s="101"/>
      <c r="F1195" s="101"/>
      <c r="G1195" s="102"/>
      <c r="H1195" s="101"/>
      <c r="I1195" s="101"/>
      <c r="J1195" s="101"/>
      <c r="K1195" s="101"/>
      <c r="L1195" s="101"/>
      <c r="M1195" s="182"/>
      <c r="N1195" s="101"/>
      <c r="O1195" s="110"/>
      <c r="P1195" s="101"/>
      <c r="Q1195" s="102"/>
      <c r="R1195" s="102"/>
      <c r="S1195" s="110"/>
      <c r="T1195" s="110"/>
      <c r="U1195" s="110"/>
      <c r="V1195" s="110"/>
      <c r="W1195" s="110"/>
      <c r="X1195" s="110"/>
      <c r="Y1195" s="110"/>
    </row>
    <row r="1196" ht="13.5" customHeight="1" spans="1:25">
      <c r="A1196" s="102"/>
      <c r="B1196" s="102"/>
      <c r="C1196" s="102"/>
      <c r="D1196" s="101"/>
      <c r="E1196" s="101"/>
      <c r="F1196" s="101"/>
      <c r="G1196" s="102"/>
      <c r="H1196" s="101"/>
      <c r="I1196" s="101"/>
      <c r="J1196" s="101"/>
      <c r="K1196" s="101"/>
      <c r="L1196" s="101"/>
      <c r="M1196" s="182"/>
      <c r="N1196" s="101"/>
      <c r="O1196" s="110"/>
      <c r="P1196" s="101"/>
      <c r="Q1196" s="102"/>
      <c r="R1196" s="102"/>
      <c r="S1196" s="110"/>
      <c r="T1196" s="110"/>
      <c r="U1196" s="110"/>
      <c r="V1196" s="110"/>
      <c r="W1196" s="110"/>
      <c r="X1196" s="110"/>
      <c r="Y1196" s="110"/>
    </row>
    <row r="1197" ht="13.5" customHeight="1" spans="1:25">
      <c r="A1197" s="102"/>
      <c r="B1197" s="102"/>
      <c r="C1197" s="102"/>
      <c r="D1197" s="101"/>
      <c r="E1197" s="101"/>
      <c r="F1197" s="101"/>
      <c r="G1197" s="102"/>
      <c r="H1197" s="101"/>
      <c r="I1197" s="101"/>
      <c r="J1197" s="101"/>
      <c r="K1197" s="101"/>
      <c r="L1197" s="101"/>
      <c r="M1197" s="182"/>
      <c r="N1197" s="101"/>
      <c r="O1197" s="110"/>
      <c r="P1197" s="101"/>
      <c r="Q1197" s="102"/>
      <c r="R1197" s="102"/>
      <c r="S1197" s="110"/>
      <c r="T1197" s="110"/>
      <c r="U1197" s="110"/>
      <c r="V1197" s="110"/>
      <c r="W1197" s="110"/>
      <c r="X1197" s="110"/>
      <c r="Y1197" s="110"/>
    </row>
    <row r="1198" ht="13.5" customHeight="1" spans="1:25">
      <c r="A1198" s="102"/>
      <c r="B1198" s="102"/>
      <c r="C1198" s="102"/>
      <c r="D1198" s="101"/>
      <c r="E1198" s="101"/>
      <c r="F1198" s="101"/>
      <c r="G1198" s="102"/>
      <c r="H1198" s="101"/>
      <c r="I1198" s="101"/>
      <c r="J1198" s="101"/>
      <c r="K1198" s="101"/>
      <c r="L1198" s="101"/>
      <c r="M1198" s="182"/>
      <c r="N1198" s="101"/>
      <c r="O1198" s="110"/>
      <c r="P1198" s="101"/>
      <c r="Q1198" s="102"/>
      <c r="R1198" s="102"/>
      <c r="S1198" s="110"/>
      <c r="T1198" s="110"/>
      <c r="U1198" s="110"/>
      <c r="V1198" s="110"/>
      <c r="W1198" s="110"/>
      <c r="X1198" s="110"/>
      <c r="Y1198" s="110"/>
    </row>
    <row r="1199" ht="13.5" customHeight="1" spans="1:25">
      <c r="A1199" s="102"/>
      <c r="B1199" s="102"/>
      <c r="C1199" s="102"/>
      <c r="D1199" s="101"/>
      <c r="E1199" s="101"/>
      <c r="F1199" s="101"/>
      <c r="G1199" s="102"/>
      <c r="H1199" s="101"/>
      <c r="I1199" s="101"/>
      <c r="J1199" s="101"/>
      <c r="K1199" s="101"/>
      <c r="L1199" s="101"/>
      <c r="M1199" s="182"/>
      <c r="N1199" s="101"/>
      <c r="O1199" s="110"/>
      <c r="P1199" s="101"/>
      <c r="Q1199" s="102"/>
      <c r="R1199" s="102"/>
      <c r="S1199" s="110"/>
      <c r="T1199" s="110"/>
      <c r="U1199" s="110"/>
      <c r="V1199" s="110"/>
      <c r="W1199" s="110"/>
      <c r="X1199" s="110"/>
      <c r="Y1199" s="110"/>
    </row>
    <row r="1200" ht="13.5" customHeight="1" spans="1:25">
      <c r="A1200" s="102"/>
      <c r="B1200" s="102"/>
      <c r="C1200" s="102"/>
      <c r="D1200" s="101"/>
      <c r="E1200" s="101"/>
      <c r="F1200" s="101"/>
      <c r="G1200" s="102"/>
      <c r="H1200" s="101"/>
      <c r="I1200" s="101"/>
      <c r="J1200" s="101"/>
      <c r="K1200" s="101"/>
      <c r="L1200" s="101"/>
      <c r="M1200" s="182"/>
      <c r="N1200" s="101"/>
      <c r="O1200" s="110"/>
      <c r="P1200" s="101"/>
      <c r="Q1200" s="102"/>
      <c r="R1200" s="102"/>
      <c r="S1200" s="110"/>
      <c r="T1200" s="110"/>
      <c r="U1200" s="110"/>
      <c r="V1200" s="110"/>
      <c r="W1200" s="110"/>
      <c r="X1200" s="110"/>
      <c r="Y1200" s="110"/>
    </row>
    <row r="1201" ht="13.5" customHeight="1" spans="1:25">
      <c r="A1201" s="102"/>
      <c r="B1201" s="102"/>
      <c r="C1201" s="102"/>
      <c r="D1201" s="101"/>
      <c r="E1201" s="101"/>
      <c r="F1201" s="101"/>
      <c r="G1201" s="102"/>
      <c r="H1201" s="101"/>
      <c r="I1201" s="101"/>
      <c r="J1201" s="101"/>
      <c r="K1201" s="101"/>
      <c r="L1201" s="101"/>
      <c r="M1201" s="182"/>
      <c r="N1201" s="101"/>
      <c r="O1201" s="110"/>
      <c r="P1201" s="101"/>
      <c r="Q1201" s="102"/>
      <c r="R1201" s="102"/>
      <c r="S1201" s="110"/>
      <c r="T1201" s="110"/>
      <c r="U1201" s="110"/>
      <c r="V1201" s="110"/>
      <c r="W1201" s="110"/>
      <c r="X1201" s="110"/>
      <c r="Y1201" s="110"/>
    </row>
    <row r="1202" ht="13.5" customHeight="1" spans="1:25">
      <c r="A1202" s="102"/>
      <c r="B1202" s="102"/>
      <c r="C1202" s="102"/>
      <c r="D1202" s="101"/>
      <c r="E1202" s="101"/>
      <c r="F1202" s="101"/>
      <c r="G1202" s="102"/>
      <c r="H1202" s="101"/>
      <c r="I1202" s="101"/>
      <c r="J1202" s="101"/>
      <c r="K1202" s="101"/>
      <c r="L1202" s="101"/>
      <c r="M1202" s="182"/>
      <c r="N1202" s="101"/>
      <c r="O1202" s="110"/>
      <c r="P1202" s="101"/>
      <c r="Q1202" s="102"/>
      <c r="R1202" s="102"/>
      <c r="S1202" s="110"/>
      <c r="T1202" s="110"/>
      <c r="U1202" s="110"/>
      <c r="V1202" s="110"/>
      <c r="W1202" s="110"/>
      <c r="X1202" s="110"/>
      <c r="Y1202" s="110"/>
    </row>
    <row r="1203" ht="13.5" customHeight="1" spans="1:25">
      <c r="A1203" s="102"/>
      <c r="B1203" s="102"/>
      <c r="C1203" s="102"/>
      <c r="D1203" s="101"/>
      <c r="E1203" s="101"/>
      <c r="F1203" s="101"/>
      <c r="G1203" s="102"/>
      <c r="H1203" s="101"/>
      <c r="I1203" s="101"/>
      <c r="J1203" s="101"/>
      <c r="K1203" s="101"/>
      <c r="L1203" s="101"/>
      <c r="M1203" s="182"/>
      <c r="N1203" s="101"/>
      <c r="O1203" s="110"/>
      <c r="P1203" s="101"/>
      <c r="Q1203" s="102"/>
      <c r="R1203" s="102"/>
      <c r="S1203" s="110"/>
      <c r="T1203" s="110"/>
      <c r="U1203" s="110"/>
      <c r="V1203" s="110"/>
      <c r="W1203" s="110"/>
      <c r="X1203" s="110"/>
      <c r="Y1203" s="110"/>
    </row>
    <row r="1204" ht="13.5" customHeight="1" spans="1:25">
      <c r="A1204" s="102"/>
      <c r="B1204" s="102"/>
      <c r="C1204" s="102"/>
      <c r="D1204" s="101"/>
      <c r="E1204" s="101"/>
      <c r="F1204" s="101"/>
      <c r="G1204" s="102"/>
      <c r="H1204" s="101"/>
      <c r="I1204" s="101"/>
      <c r="J1204" s="101"/>
      <c r="K1204" s="101"/>
      <c r="L1204" s="101"/>
      <c r="M1204" s="182"/>
      <c r="N1204" s="101"/>
      <c r="O1204" s="110"/>
      <c r="P1204" s="101"/>
      <c r="Q1204" s="102"/>
      <c r="R1204" s="102"/>
      <c r="S1204" s="110"/>
      <c r="T1204" s="110"/>
      <c r="U1204" s="110"/>
      <c r="V1204" s="110"/>
      <c r="W1204" s="110"/>
      <c r="X1204" s="110"/>
      <c r="Y1204" s="110"/>
    </row>
    <row r="1205" ht="13.5" customHeight="1" spans="1:25">
      <c r="A1205" s="102"/>
      <c r="B1205" s="102"/>
      <c r="C1205" s="102"/>
      <c r="D1205" s="101"/>
      <c r="E1205" s="101"/>
      <c r="F1205" s="101"/>
      <c r="G1205" s="102"/>
      <c r="H1205" s="101"/>
      <c r="I1205" s="101"/>
      <c r="J1205" s="101"/>
      <c r="K1205" s="101"/>
      <c r="L1205" s="101"/>
      <c r="M1205" s="182"/>
      <c r="N1205" s="101"/>
      <c r="O1205" s="110"/>
      <c r="P1205" s="101"/>
      <c r="Q1205" s="102"/>
      <c r="R1205" s="102"/>
      <c r="S1205" s="110"/>
      <c r="T1205" s="110"/>
      <c r="U1205" s="110"/>
      <c r="V1205" s="110"/>
      <c r="W1205" s="110"/>
      <c r="X1205" s="110"/>
      <c r="Y1205" s="110"/>
    </row>
    <row r="1206" ht="13.5" customHeight="1" spans="1:25">
      <c r="A1206" s="102"/>
      <c r="B1206" s="102"/>
      <c r="C1206" s="102"/>
      <c r="D1206" s="101"/>
      <c r="E1206" s="101"/>
      <c r="F1206" s="101"/>
      <c r="G1206" s="102"/>
      <c r="H1206" s="101"/>
      <c r="I1206" s="101"/>
      <c r="J1206" s="101"/>
      <c r="K1206" s="101"/>
      <c r="L1206" s="101"/>
      <c r="M1206" s="182"/>
      <c r="N1206" s="101"/>
      <c r="O1206" s="110"/>
      <c r="P1206" s="101"/>
      <c r="Q1206" s="102"/>
      <c r="R1206" s="102"/>
      <c r="S1206" s="110"/>
      <c r="T1206" s="110"/>
      <c r="U1206" s="110"/>
      <c r="V1206" s="110"/>
      <c r="W1206" s="110"/>
      <c r="X1206" s="110"/>
      <c r="Y1206" s="110"/>
    </row>
    <row r="1207" ht="13.5" customHeight="1" spans="1:25">
      <c r="A1207" s="102"/>
      <c r="B1207" s="102"/>
      <c r="C1207" s="102"/>
      <c r="D1207" s="101"/>
      <c r="E1207" s="101"/>
      <c r="F1207" s="101"/>
      <c r="G1207" s="102"/>
      <c r="H1207" s="101"/>
      <c r="I1207" s="101"/>
      <c r="J1207" s="101"/>
      <c r="K1207" s="101"/>
      <c r="L1207" s="101"/>
      <c r="M1207" s="182"/>
      <c r="N1207" s="101"/>
      <c r="O1207" s="110"/>
      <c r="P1207" s="101"/>
      <c r="Q1207" s="102"/>
      <c r="R1207" s="102"/>
      <c r="S1207" s="110"/>
      <c r="T1207" s="110"/>
      <c r="U1207" s="110"/>
      <c r="V1207" s="110"/>
      <c r="W1207" s="110"/>
      <c r="X1207" s="110"/>
      <c r="Y1207" s="110"/>
    </row>
    <row r="1208" ht="13.5" customHeight="1" spans="1:25">
      <c r="A1208" s="102"/>
      <c r="B1208" s="102"/>
      <c r="C1208" s="102"/>
      <c r="D1208" s="101"/>
      <c r="E1208" s="101"/>
      <c r="F1208" s="101"/>
      <c r="G1208" s="102"/>
      <c r="H1208" s="101"/>
      <c r="I1208" s="101"/>
      <c r="J1208" s="101"/>
      <c r="K1208" s="101"/>
      <c r="L1208" s="101"/>
      <c r="M1208" s="182"/>
      <c r="N1208" s="101"/>
      <c r="O1208" s="110"/>
      <c r="P1208" s="101"/>
      <c r="Q1208" s="102"/>
      <c r="R1208" s="102"/>
      <c r="S1208" s="110"/>
      <c r="T1208" s="110"/>
      <c r="U1208" s="110"/>
      <c r="V1208" s="110"/>
      <c r="W1208" s="110"/>
      <c r="X1208" s="110"/>
      <c r="Y1208" s="110"/>
    </row>
    <row r="1209" ht="13.5" customHeight="1" spans="1:25">
      <c r="A1209" s="102"/>
      <c r="B1209" s="102"/>
      <c r="C1209" s="102"/>
      <c r="D1209" s="101"/>
      <c r="E1209" s="101"/>
      <c r="F1209" s="101"/>
      <c r="G1209" s="102"/>
      <c r="H1209" s="101"/>
      <c r="I1209" s="101"/>
      <c r="J1209" s="101"/>
      <c r="K1209" s="101"/>
      <c r="L1209" s="101"/>
      <c r="M1209" s="182"/>
      <c r="N1209" s="101"/>
      <c r="O1209" s="110"/>
      <c r="P1209" s="101"/>
      <c r="Q1209" s="102"/>
      <c r="R1209" s="102"/>
      <c r="S1209" s="110"/>
      <c r="T1209" s="110"/>
      <c r="U1209" s="110"/>
      <c r="V1209" s="110"/>
      <c r="W1209" s="110"/>
      <c r="X1209" s="110"/>
      <c r="Y1209" s="110"/>
    </row>
    <row r="1210" ht="13.5" customHeight="1" spans="1:25">
      <c r="A1210" s="102"/>
      <c r="B1210" s="102"/>
      <c r="C1210" s="102"/>
      <c r="D1210" s="101"/>
      <c r="E1210" s="101"/>
      <c r="F1210" s="101"/>
      <c r="G1210" s="102"/>
      <c r="H1210" s="101"/>
      <c r="I1210" s="101"/>
      <c r="J1210" s="101"/>
      <c r="K1210" s="101"/>
      <c r="L1210" s="101"/>
      <c r="M1210" s="182"/>
      <c r="N1210" s="101"/>
      <c r="O1210" s="110"/>
      <c r="P1210" s="101"/>
      <c r="Q1210" s="102"/>
      <c r="R1210" s="102"/>
      <c r="S1210" s="110"/>
      <c r="T1210" s="110"/>
      <c r="U1210" s="110"/>
      <c r="V1210" s="110"/>
      <c r="W1210" s="110"/>
      <c r="X1210" s="110"/>
      <c r="Y1210" s="110"/>
    </row>
    <row r="1211" ht="13.5" customHeight="1" spans="1:25">
      <c r="A1211" s="102"/>
      <c r="B1211" s="102"/>
      <c r="C1211" s="102"/>
      <c r="D1211" s="101"/>
      <c r="E1211" s="101"/>
      <c r="F1211" s="101"/>
      <c r="G1211" s="102"/>
      <c r="H1211" s="101"/>
      <c r="I1211" s="101"/>
      <c r="J1211" s="101"/>
      <c r="K1211" s="101"/>
      <c r="L1211" s="101"/>
      <c r="M1211" s="182"/>
      <c r="N1211" s="101"/>
      <c r="O1211" s="110"/>
      <c r="P1211" s="101"/>
      <c r="Q1211" s="102"/>
      <c r="R1211" s="102"/>
      <c r="S1211" s="110"/>
      <c r="T1211" s="110"/>
      <c r="U1211" s="110"/>
      <c r="V1211" s="110"/>
      <c r="W1211" s="110"/>
      <c r="X1211" s="110"/>
      <c r="Y1211" s="110"/>
    </row>
    <row r="1212" ht="13.5" customHeight="1" spans="1:25">
      <c r="A1212" s="102"/>
      <c r="B1212" s="102"/>
      <c r="C1212" s="102"/>
      <c r="D1212" s="101"/>
      <c r="E1212" s="101"/>
      <c r="F1212" s="101"/>
      <c r="G1212" s="102"/>
      <c r="H1212" s="101"/>
      <c r="I1212" s="101"/>
      <c r="J1212" s="101"/>
      <c r="K1212" s="101"/>
      <c r="L1212" s="101"/>
      <c r="M1212" s="182"/>
      <c r="N1212" s="101"/>
      <c r="O1212" s="110"/>
      <c r="P1212" s="101"/>
      <c r="Q1212" s="102"/>
      <c r="R1212" s="102"/>
      <c r="S1212" s="110"/>
      <c r="T1212" s="110"/>
      <c r="U1212" s="110"/>
      <c r="V1212" s="110"/>
      <c r="W1212" s="110"/>
      <c r="X1212" s="110"/>
      <c r="Y1212" s="110"/>
    </row>
    <row r="1213" ht="13.5" customHeight="1" spans="1:25">
      <c r="A1213" s="102"/>
      <c r="B1213" s="102"/>
      <c r="C1213" s="102"/>
      <c r="D1213" s="101"/>
      <c r="E1213" s="101"/>
      <c r="F1213" s="101"/>
      <c r="G1213" s="102"/>
      <c r="H1213" s="101"/>
      <c r="I1213" s="101"/>
      <c r="J1213" s="101"/>
      <c r="K1213" s="101"/>
      <c r="L1213" s="101"/>
      <c r="M1213" s="182"/>
      <c r="N1213" s="101"/>
      <c r="O1213" s="110"/>
      <c r="P1213" s="101"/>
      <c r="Q1213" s="102"/>
      <c r="R1213" s="102"/>
      <c r="S1213" s="110"/>
      <c r="T1213" s="110"/>
      <c r="U1213" s="110"/>
      <c r="V1213" s="110"/>
      <c r="W1213" s="110"/>
      <c r="X1213" s="110"/>
      <c r="Y1213" s="110"/>
    </row>
    <row r="1214" ht="13.5" customHeight="1" spans="1:25">
      <c r="A1214" s="102"/>
      <c r="B1214" s="102"/>
      <c r="C1214" s="102"/>
      <c r="D1214" s="101"/>
      <c r="E1214" s="101"/>
      <c r="F1214" s="101"/>
      <c r="G1214" s="102"/>
      <c r="H1214" s="101"/>
      <c r="I1214" s="101"/>
      <c r="J1214" s="101"/>
      <c r="K1214" s="101"/>
      <c r="L1214" s="101"/>
      <c r="M1214" s="182"/>
      <c r="N1214" s="101"/>
      <c r="O1214" s="110"/>
      <c r="P1214" s="101"/>
      <c r="Q1214" s="102"/>
      <c r="R1214" s="102"/>
      <c r="S1214" s="110"/>
      <c r="T1214" s="110"/>
      <c r="U1214" s="110"/>
      <c r="V1214" s="110"/>
      <c r="W1214" s="110"/>
      <c r="X1214" s="110"/>
      <c r="Y1214" s="110"/>
    </row>
    <row r="1215" ht="13.5" customHeight="1" spans="1:25">
      <c r="A1215" s="102"/>
      <c r="B1215" s="102"/>
      <c r="C1215" s="102"/>
      <c r="D1215" s="101"/>
      <c r="E1215" s="101"/>
      <c r="F1215" s="101"/>
      <c r="G1215" s="102"/>
      <c r="H1215" s="101"/>
      <c r="I1215" s="101"/>
      <c r="J1215" s="101"/>
      <c r="K1215" s="101"/>
      <c r="L1215" s="101"/>
      <c r="M1215" s="182"/>
      <c r="N1215" s="101"/>
      <c r="O1215" s="110"/>
      <c r="P1215" s="101"/>
      <c r="Q1215" s="102"/>
      <c r="R1215" s="102"/>
      <c r="S1215" s="110"/>
      <c r="T1215" s="110"/>
      <c r="U1215" s="110"/>
      <c r="V1215" s="110"/>
      <c r="W1215" s="110"/>
      <c r="X1215" s="110"/>
      <c r="Y1215" s="110"/>
    </row>
    <row r="1216" ht="13.5" customHeight="1" spans="1:25">
      <c r="A1216" s="102"/>
      <c r="B1216" s="102"/>
      <c r="C1216" s="102"/>
      <c r="D1216" s="101"/>
      <c r="E1216" s="101"/>
      <c r="F1216" s="101"/>
      <c r="G1216" s="102"/>
      <c r="H1216" s="101"/>
      <c r="I1216" s="101"/>
      <c r="J1216" s="101"/>
      <c r="K1216" s="101"/>
      <c r="L1216" s="101"/>
      <c r="M1216" s="182"/>
      <c r="N1216" s="101"/>
      <c r="O1216" s="110"/>
      <c r="P1216" s="101"/>
      <c r="Q1216" s="102"/>
      <c r="R1216" s="102"/>
      <c r="S1216" s="110"/>
      <c r="T1216" s="110"/>
      <c r="U1216" s="110"/>
      <c r="V1216" s="110"/>
      <c r="W1216" s="110"/>
      <c r="X1216" s="110"/>
      <c r="Y1216" s="110"/>
    </row>
    <row r="1217" ht="13.5" customHeight="1" spans="1:25">
      <c r="A1217" s="102"/>
      <c r="B1217" s="102"/>
      <c r="C1217" s="102"/>
      <c r="D1217" s="101"/>
      <c r="E1217" s="101"/>
      <c r="F1217" s="101"/>
      <c r="G1217" s="102"/>
      <c r="H1217" s="101"/>
      <c r="I1217" s="101"/>
      <c r="J1217" s="101"/>
      <c r="K1217" s="101"/>
      <c r="L1217" s="101"/>
      <c r="M1217" s="182"/>
      <c r="N1217" s="101"/>
      <c r="O1217" s="110"/>
      <c r="P1217" s="101"/>
      <c r="Q1217" s="102"/>
      <c r="R1217" s="102"/>
      <c r="S1217" s="110"/>
      <c r="T1217" s="110"/>
      <c r="U1217" s="110"/>
      <c r="V1217" s="110"/>
      <c r="W1217" s="110"/>
      <c r="X1217" s="110"/>
      <c r="Y1217" s="110"/>
    </row>
    <row r="1218" ht="13.5" customHeight="1" spans="1:25">
      <c r="A1218" s="102"/>
      <c r="B1218" s="102"/>
      <c r="C1218" s="102"/>
      <c r="D1218" s="101"/>
      <c r="E1218" s="101"/>
      <c r="F1218" s="101"/>
      <c r="G1218" s="102"/>
      <c r="H1218" s="101"/>
      <c r="I1218" s="101"/>
      <c r="J1218" s="101"/>
      <c r="K1218" s="101"/>
      <c r="L1218" s="101"/>
      <c r="M1218" s="182"/>
      <c r="N1218" s="101"/>
      <c r="O1218" s="110"/>
      <c r="P1218" s="101"/>
      <c r="Q1218" s="102"/>
      <c r="R1218" s="102"/>
      <c r="S1218" s="110"/>
      <c r="T1218" s="110"/>
      <c r="U1218" s="110"/>
      <c r="V1218" s="110"/>
      <c r="W1218" s="110"/>
      <c r="X1218" s="110"/>
      <c r="Y1218" s="110"/>
    </row>
    <row r="1219" ht="13.5" customHeight="1" spans="1:25">
      <c r="A1219" s="102"/>
      <c r="B1219" s="102"/>
      <c r="C1219" s="102"/>
      <c r="D1219" s="101"/>
      <c r="E1219" s="101"/>
      <c r="F1219" s="101"/>
      <c r="G1219" s="102"/>
      <c r="H1219" s="101"/>
      <c r="I1219" s="101"/>
      <c r="J1219" s="101"/>
      <c r="K1219" s="101"/>
      <c r="L1219" s="101"/>
      <c r="M1219" s="182"/>
      <c r="N1219" s="101"/>
      <c r="O1219" s="110"/>
      <c r="P1219" s="101"/>
      <c r="Q1219" s="102"/>
      <c r="R1219" s="102"/>
      <c r="S1219" s="110"/>
      <c r="T1219" s="110"/>
      <c r="U1219" s="110"/>
      <c r="V1219" s="110"/>
      <c r="W1219" s="110"/>
      <c r="X1219" s="110"/>
      <c r="Y1219" s="110"/>
    </row>
    <row r="1220" ht="13.5" customHeight="1" spans="1:25">
      <c r="A1220" s="102"/>
      <c r="B1220" s="102"/>
      <c r="C1220" s="102"/>
      <c r="D1220" s="101"/>
      <c r="E1220" s="101"/>
      <c r="F1220" s="101"/>
      <c r="G1220" s="102"/>
      <c r="H1220" s="101"/>
      <c r="I1220" s="101"/>
      <c r="J1220" s="101"/>
      <c r="K1220" s="101"/>
      <c r="L1220" s="101"/>
      <c r="M1220" s="182"/>
      <c r="N1220" s="101"/>
      <c r="O1220" s="110"/>
      <c r="P1220" s="101"/>
      <c r="Q1220" s="102"/>
      <c r="R1220" s="102"/>
      <c r="S1220" s="110"/>
      <c r="T1220" s="110"/>
      <c r="U1220" s="110"/>
      <c r="V1220" s="110"/>
      <c r="W1220" s="110"/>
      <c r="X1220" s="110"/>
      <c r="Y1220" s="110"/>
    </row>
    <row r="1221" ht="13.5" customHeight="1" spans="1:25">
      <c r="A1221" s="102"/>
      <c r="B1221" s="102"/>
      <c r="C1221" s="102"/>
      <c r="D1221" s="101"/>
      <c r="E1221" s="101"/>
      <c r="F1221" s="101"/>
      <c r="G1221" s="102"/>
      <c r="H1221" s="101"/>
      <c r="I1221" s="101"/>
      <c r="J1221" s="101"/>
      <c r="K1221" s="101"/>
      <c r="L1221" s="101"/>
      <c r="M1221" s="182"/>
      <c r="N1221" s="101"/>
      <c r="O1221" s="110"/>
      <c r="P1221" s="101"/>
      <c r="Q1221" s="102"/>
      <c r="R1221" s="102"/>
      <c r="S1221" s="110"/>
      <c r="T1221" s="110"/>
      <c r="U1221" s="110"/>
      <c r="V1221" s="110"/>
      <c r="W1221" s="110"/>
      <c r="X1221" s="110"/>
      <c r="Y1221" s="110"/>
    </row>
    <row r="1222" ht="13.5" customHeight="1" spans="1:25">
      <c r="A1222" s="102"/>
      <c r="B1222" s="102"/>
      <c r="C1222" s="102"/>
      <c r="D1222" s="101"/>
      <c r="E1222" s="101"/>
      <c r="F1222" s="101"/>
      <c r="G1222" s="102"/>
      <c r="H1222" s="101"/>
      <c r="I1222" s="101"/>
      <c r="J1222" s="101"/>
      <c r="K1222" s="101"/>
      <c r="L1222" s="101"/>
      <c r="M1222" s="182"/>
      <c r="N1222" s="101"/>
      <c r="O1222" s="110"/>
      <c r="P1222" s="101"/>
      <c r="Q1222" s="102"/>
      <c r="R1222" s="102"/>
      <c r="S1222" s="110"/>
      <c r="T1222" s="110"/>
      <c r="U1222" s="110"/>
      <c r="V1222" s="110"/>
      <c r="W1222" s="110"/>
      <c r="X1222" s="110"/>
      <c r="Y1222" s="110"/>
    </row>
    <row r="1223" ht="13.5" customHeight="1" spans="1:25">
      <c r="A1223" s="102"/>
      <c r="B1223" s="102"/>
      <c r="C1223" s="102"/>
      <c r="D1223" s="101"/>
      <c r="E1223" s="101"/>
      <c r="F1223" s="101"/>
      <c r="G1223" s="102"/>
      <c r="H1223" s="101"/>
      <c r="I1223" s="101"/>
      <c r="J1223" s="101"/>
      <c r="K1223" s="101"/>
      <c r="L1223" s="101"/>
      <c r="M1223" s="182"/>
      <c r="N1223" s="101"/>
      <c r="O1223" s="110"/>
      <c r="P1223" s="101"/>
      <c r="Q1223" s="102"/>
      <c r="R1223" s="102"/>
      <c r="S1223" s="110"/>
      <c r="T1223" s="110"/>
      <c r="U1223" s="110"/>
      <c r="V1223" s="110"/>
      <c r="W1223" s="110"/>
      <c r="X1223" s="110"/>
      <c r="Y1223" s="110"/>
    </row>
    <row r="1224" ht="13.5" customHeight="1" spans="1:25">
      <c r="A1224" s="102"/>
      <c r="B1224" s="102"/>
      <c r="C1224" s="102"/>
      <c r="D1224" s="101"/>
      <c r="E1224" s="101"/>
      <c r="F1224" s="101"/>
      <c r="G1224" s="102"/>
      <c r="H1224" s="101"/>
      <c r="I1224" s="101"/>
      <c r="J1224" s="101"/>
      <c r="K1224" s="101"/>
      <c r="L1224" s="101"/>
      <c r="M1224" s="182"/>
      <c r="N1224" s="101"/>
      <c r="O1224" s="110"/>
      <c r="P1224" s="101"/>
      <c r="Q1224" s="102"/>
      <c r="R1224" s="102"/>
      <c r="S1224" s="110"/>
      <c r="T1224" s="110"/>
      <c r="U1224" s="110"/>
      <c r="V1224" s="110"/>
      <c r="W1224" s="110"/>
      <c r="X1224" s="110"/>
      <c r="Y1224" s="110"/>
    </row>
    <row r="1225" ht="13.5" customHeight="1" spans="1:25">
      <c r="A1225" s="102"/>
      <c r="B1225" s="102"/>
      <c r="C1225" s="102"/>
      <c r="D1225" s="101"/>
      <c r="E1225" s="101"/>
      <c r="F1225" s="101"/>
      <c r="G1225" s="102"/>
      <c r="H1225" s="101"/>
      <c r="I1225" s="101"/>
      <c r="J1225" s="101"/>
      <c r="K1225" s="101"/>
      <c r="L1225" s="101"/>
      <c r="M1225" s="182"/>
      <c r="N1225" s="101"/>
      <c r="O1225" s="110"/>
      <c r="P1225" s="101"/>
      <c r="Q1225" s="102"/>
      <c r="R1225" s="102"/>
      <c r="S1225" s="110"/>
      <c r="T1225" s="110"/>
      <c r="U1225" s="110"/>
      <c r="V1225" s="110"/>
      <c r="W1225" s="110"/>
      <c r="X1225" s="110"/>
      <c r="Y1225" s="110"/>
    </row>
    <row r="1226" ht="13.5" customHeight="1" spans="1:25">
      <c r="A1226" s="102"/>
      <c r="B1226" s="102"/>
      <c r="C1226" s="102"/>
      <c r="D1226" s="101"/>
      <c r="E1226" s="101"/>
      <c r="F1226" s="101"/>
      <c r="G1226" s="102"/>
      <c r="H1226" s="101"/>
      <c r="I1226" s="101"/>
      <c r="J1226" s="101"/>
      <c r="K1226" s="101"/>
      <c r="L1226" s="101"/>
      <c r="M1226" s="182"/>
      <c r="N1226" s="101"/>
      <c r="O1226" s="110"/>
      <c r="P1226" s="101"/>
      <c r="Q1226" s="102"/>
      <c r="R1226" s="102"/>
      <c r="S1226" s="110"/>
      <c r="T1226" s="110"/>
      <c r="U1226" s="110"/>
      <c r="V1226" s="110"/>
      <c r="W1226" s="110"/>
      <c r="X1226" s="110"/>
      <c r="Y1226" s="110"/>
    </row>
    <row r="1227" ht="13.5" customHeight="1" spans="1:25">
      <c r="A1227" s="102"/>
      <c r="B1227" s="102"/>
      <c r="C1227" s="102"/>
      <c r="D1227" s="101"/>
      <c r="E1227" s="101"/>
      <c r="F1227" s="101"/>
      <c r="G1227" s="102"/>
      <c r="H1227" s="101"/>
      <c r="I1227" s="101"/>
      <c r="J1227" s="101"/>
      <c r="K1227" s="101"/>
      <c r="L1227" s="101"/>
      <c r="M1227" s="182"/>
      <c r="N1227" s="101"/>
      <c r="O1227" s="110"/>
      <c r="P1227" s="101"/>
      <c r="Q1227" s="102"/>
      <c r="R1227" s="102"/>
      <c r="S1227" s="110"/>
      <c r="T1227" s="110"/>
      <c r="U1227" s="110"/>
      <c r="V1227" s="110"/>
      <c r="W1227" s="110"/>
      <c r="X1227" s="110"/>
      <c r="Y1227" s="110"/>
    </row>
    <row r="1228" ht="13.5" customHeight="1" spans="1:25">
      <c r="A1228" s="102"/>
      <c r="B1228" s="102"/>
      <c r="C1228" s="102"/>
      <c r="D1228" s="101"/>
      <c r="E1228" s="101"/>
      <c r="F1228" s="101"/>
      <c r="G1228" s="102"/>
      <c r="H1228" s="101"/>
      <c r="I1228" s="101"/>
      <c r="J1228" s="101"/>
      <c r="K1228" s="101"/>
      <c r="L1228" s="101"/>
      <c r="M1228" s="182"/>
      <c r="N1228" s="101"/>
      <c r="O1228" s="110"/>
      <c r="P1228" s="101"/>
      <c r="Q1228" s="102"/>
      <c r="R1228" s="102"/>
      <c r="S1228" s="110"/>
      <c r="T1228" s="110"/>
      <c r="U1228" s="110"/>
      <c r="V1228" s="110"/>
      <c r="W1228" s="110"/>
      <c r="X1228" s="110"/>
      <c r="Y1228" s="110"/>
    </row>
    <row r="1229" ht="13.5" customHeight="1" spans="1:25">
      <c r="A1229" s="102"/>
      <c r="B1229" s="102"/>
      <c r="C1229" s="102"/>
      <c r="D1229" s="101"/>
      <c r="E1229" s="101"/>
      <c r="F1229" s="101"/>
      <c r="G1229" s="102"/>
      <c r="H1229" s="101"/>
      <c r="I1229" s="101"/>
      <c r="J1229" s="101"/>
      <c r="K1229" s="101"/>
      <c r="L1229" s="101"/>
      <c r="M1229" s="182"/>
      <c r="N1229" s="101"/>
      <c r="O1229" s="110"/>
      <c r="P1229" s="101"/>
      <c r="Q1229" s="102"/>
      <c r="R1229" s="102"/>
      <c r="S1229" s="110"/>
      <c r="T1229" s="110"/>
      <c r="U1229" s="110"/>
      <c r="V1229" s="110"/>
      <c r="W1229" s="110"/>
      <c r="X1229" s="110"/>
      <c r="Y1229" s="110"/>
    </row>
    <row r="1230" ht="13.5" customHeight="1" spans="1:25">
      <c r="A1230" s="102"/>
      <c r="B1230" s="102"/>
      <c r="C1230" s="102"/>
      <c r="D1230" s="101"/>
      <c r="E1230" s="101"/>
      <c r="F1230" s="101"/>
      <c r="G1230" s="102"/>
      <c r="H1230" s="101"/>
      <c r="I1230" s="101"/>
      <c r="J1230" s="101"/>
      <c r="K1230" s="101"/>
      <c r="L1230" s="101"/>
      <c r="M1230" s="182"/>
      <c r="N1230" s="101"/>
      <c r="O1230" s="110"/>
      <c r="P1230" s="101"/>
      <c r="Q1230" s="102"/>
      <c r="R1230" s="102"/>
      <c r="S1230" s="110"/>
      <c r="T1230" s="110"/>
      <c r="U1230" s="110"/>
      <c r="V1230" s="110"/>
      <c r="W1230" s="110"/>
      <c r="X1230" s="110"/>
      <c r="Y1230" s="110"/>
    </row>
    <row r="1231" ht="13.5" customHeight="1" spans="1:25">
      <c r="A1231" s="102"/>
      <c r="B1231" s="102"/>
      <c r="C1231" s="102"/>
      <c r="D1231" s="101"/>
      <c r="E1231" s="101"/>
      <c r="F1231" s="101"/>
      <c r="G1231" s="102"/>
      <c r="H1231" s="101"/>
      <c r="I1231" s="101"/>
      <c r="J1231" s="101"/>
      <c r="K1231" s="101"/>
      <c r="L1231" s="101"/>
      <c r="M1231" s="182"/>
      <c r="N1231" s="101"/>
      <c r="O1231" s="110"/>
      <c r="P1231" s="101"/>
      <c r="Q1231" s="102"/>
      <c r="R1231" s="102"/>
      <c r="S1231" s="110"/>
      <c r="T1231" s="110"/>
      <c r="U1231" s="110"/>
      <c r="V1231" s="110"/>
      <c r="W1231" s="110"/>
      <c r="X1231" s="110"/>
      <c r="Y1231" s="110"/>
    </row>
    <row r="1232" ht="13.5" customHeight="1" spans="1:25">
      <c r="A1232" s="102"/>
      <c r="B1232" s="102"/>
      <c r="C1232" s="102"/>
      <c r="D1232" s="101"/>
      <c r="E1232" s="101"/>
      <c r="F1232" s="101"/>
      <c r="G1232" s="102"/>
      <c r="H1232" s="101"/>
      <c r="I1232" s="101"/>
      <c r="J1232" s="101"/>
      <c r="K1232" s="101"/>
      <c r="L1232" s="101"/>
      <c r="M1232" s="182"/>
      <c r="N1232" s="101"/>
      <c r="O1232" s="110"/>
      <c r="P1232" s="101"/>
      <c r="Q1232" s="102"/>
      <c r="R1232" s="102"/>
      <c r="S1232" s="110"/>
      <c r="T1232" s="110"/>
      <c r="U1232" s="110"/>
      <c r="V1232" s="110"/>
      <c r="W1232" s="110"/>
      <c r="X1232" s="110"/>
      <c r="Y1232" s="110"/>
    </row>
    <row r="1233" ht="13.5" customHeight="1" spans="1:25">
      <c r="A1233" s="102"/>
      <c r="B1233" s="102"/>
      <c r="C1233" s="102"/>
      <c r="D1233" s="101"/>
      <c r="E1233" s="101"/>
      <c r="F1233" s="101"/>
      <c r="G1233" s="102"/>
      <c r="H1233" s="101"/>
      <c r="I1233" s="101"/>
      <c r="J1233" s="101"/>
      <c r="K1233" s="101"/>
      <c r="L1233" s="101"/>
      <c r="M1233" s="182"/>
      <c r="N1233" s="101"/>
      <c r="O1233" s="110"/>
      <c r="P1233" s="101"/>
      <c r="Q1233" s="102"/>
      <c r="R1233" s="102"/>
      <c r="S1233" s="110"/>
      <c r="T1233" s="110"/>
      <c r="U1233" s="110"/>
      <c r="V1233" s="110"/>
      <c r="W1233" s="110"/>
      <c r="X1233" s="110"/>
      <c r="Y1233" s="110"/>
    </row>
    <row r="1234" ht="13.5" customHeight="1" spans="1:25">
      <c r="A1234" s="102"/>
      <c r="B1234" s="102"/>
      <c r="C1234" s="102"/>
      <c r="D1234" s="101"/>
      <c r="E1234" s="101"/>
      <c r="F1234" s="101"/>
      <c r="G1234" s="102"/>
      <c r="H1234" s="101"/>
      <c r="I1234" s="101"/>
      <c r="J1234" s="101"/>
      <c r="K1234" s="101"/>
      <c r="L1234" s="101"/>
      <c r="M1234" s="182"/>
      <c r="N1234" s="101"/>
      <c r="O1234" s="110"/>
      <c r="P1234" s="101"/>
      <c r="Q1234" s="102"/>
      <c r="R1234" s="102"/>
      <c r="S1234" s="110"/>
      <c r="T1234" s="110"/>
      <c r="U1234" s="110"/>
      <c r="V1234" s="110"/>
      <c r="W1234" s="110"/>
      <c r="X1234" s="110"/>
      <c r="Y1234" s="110"/>
    </row>
    <row r="1235" ht="13.5" customHeight="1" spans="1:25">
      <c r="A1235" s="102"/>
      <c r="B1235" s="102"/>
      <c r="C1235" s="102"/>
      <c r="D1235" s="101"/>
      <c r="E1235" s="101"/>
      <c r="F1235" s="101"/>
      <c r="G1235" s="102"/>
      <c r="H1235" s="101"/>
      <c r="I1235" s="101"/>
      <c r="J1235" s="101"/>
      <c r="K1235" s="101"/>
      <c r="L1235" s="101"/>
      <c r="M1235" s="182"/>
      <c r="N1235" s="101"/>
      <c r="O1235" s="110"/>
      <c r="P1235" s="101"/>
      <c r="Q1235" s="102"/>
      <c r="R1235" s="102"/>
      <c r="S1235" s="110"/>
      <c r="T1235" s="110"/>
      <c r="U1235" s="110"/>
      <c r="V1235" s="110"/>
      <c r="W1235" s="110"/>
      <c r="X1235" s="110"/>
      <c r="Y1235" s="110"/>
    </row>
    <row r="1236" ht="13.5" customHeight="1" spans="1:25">
      <c r="A1236" s="102"/>
      <c r="B1236" s="102"/>
      <c r="C1236" s="102"/>
      <c r="D1236" s="101"/>
      <c r="E1236" s="101"/>
      <c r="F1236" s="101"/>
      <c r="G1236" s="102"/>
      <c r="H1236" s="101"/>
      <c r="I1236" s="101"/>
      <c r="J1236" s="101"/>
      <c r="K1236" s="101"/>
      <c r="L1236" s="101"/>
      <c r="M1236" s="182"/>
      <c r="N1236" s="101"/>
      <c r="O1236" s="110"/>
      <c r="P1236" s="101"/>
      <c r="Q1236" s="102"/>
      <c r="R1236" s="102"/>
      <c r="S1236" s="110"/>
      <c r="T1236" s="110"/>
      <c r="U1236" s="110"/>
      <c r="V1236" s="110"/>
      <c r="W1236" s="110"/>
      <c r="X1236" s="110"/>
      <c r="Y1236" s="110"/>
    </row>
    <row r="1237" ht="13.5" customHeight="1" spans="1:25">
      <c r="A1237" s="102"/>
      <c r="B1237" s="102"/>
      <c r="C1237" s="102"/>
      <c r="D1237" s="101"/>
      <c r="E1237" s="101"/>
      <c r="F1237" s="101"/>
      <c r="G1237" s="102"/>
      <c r="H1237" s="101"/>
      <c r="I1237" s="101"/>
      <c r="J1237" s="101"/>
      <c r="K1237" s="101"/>
      <c r="L1237" s="101"/>
      <c r="M1237" s="182"/>
      <c r="N1237" s="101"/>
      <c r="O1237" s="110"/>
      <c r="P1237" s="101"/>
      <c r="Q1237" s="102"/>
      <c r="R1237" s="102"/>
      <c r="S1237" s="110"/>
      <c r="T1237" s="110"/>
      <c r="U1237" s="110"/>
      <c r="V1237" s="110"/>
      <c r="W1237" s="110"/>
      <c r="X1237" s="110"/>
      <c r="Y1237" s="110"/>
    </row>
    <row r="1238" ht="13.5" customHeight="1" spans="1:25">
      <c r="A1238" s="102"/>
      <c r="B1238" s="102"/>
      <c r="C1238" s="102"/>
      <c r="D1238" s="101"/>
      <c r="E1238" s="101"/>
      <c r="F1238" s="101"/>
      <c r="G1238" s="102"/>
      <c r="H1238" s="101"/>
      <c r="I1238" s="101"/>
      <c r="J1238" s="101"/>
      <c r="K1238" s="101"/>
      <c r="L1238" s="101"/>
      <c r="M1238" s="182"/>
      <c r="N1238" s="101"/>
      <c r="O1238" s="110"/>
      <c r="P1238" s="101"/>
      <c r="Q1238" s="102"/>
      <c r="R1238" s="102"/>
      <c r="S1238" s="110"/>
      <c r="T1238" s="110"/>
      <c r="U1238" s="110"/>
      <c r="V1238" s="110"/>
      <c r="W1238" s="110"/>
      <c r="X1238" s="110"/>
      <c r="Y1238" s="110"/>
    </row>
    <row r="1239" ht="13.5" customHeight="1" spans="1:25">
      <c r="A1239" s="102"/>
      <c r="B1239" s="102"/>
      <c r="C1239" s="102"/>
      <c r="D1239" s="101"/>
      <c r="E1239" s="101"/>
      <c r="F1239" s="101"/>
      <c r="G1239" s="102"/>
      <c r="H1239" s="101"/>
      <c r="I1239" s="101"/>
      <c r="J1239" s="101"/>
      <c r="K1239" s="101"/>
      <c r="L1239" s="101"/>
      <c r="M1239" s="182"/>
      <c r="N1239" s="101"/>
      <c r="O1239" s="110"/>
      <c r="P1239" s="101"/>
      <c r="Q1239" s="102"/>
      <c r="R1239" s="102"/>
      <c r="S1239" s="110"/>
      <c r="T1239" s="110"/>
      <c r="U1239" s="110"/>
      <c r="V1239" s="110"/>
      <c r="W1239" s="110"/>
      <c r="X1239" s="110"/>
      <c r="Y1239" s="110"/>
    </row>
    <row r="1240" ht="13.5" customHeight="1" spans="1:25">
      <c r="A1240" s="102"/>
      <c r="B1240" s="102"/>
      <c r="C1240" s="102"/>
      <c r="D1240" s="101"/>
      <c r="E1240" s="101"/>
      <c r="F1240" s="101"/>
      <c r="G1240" s="102"/>
      <c r="H1240" s="101"/>
      <c r="I1240" s="101"/>
      <c r="J1240" s="101"/>
      <c r="K1240" s="101"/>
      <c r="L1240" s="101"/>
      <c r="M1240" s="182"/>
      <c r="N1240" s="101"/>
      <c r="O1240" s="110"/>
      <c r="P1240" s="101"/>
      <c r="Q1240" s="102"/>
      <c r="R1240" s="102"/>
      <c r="S1240" s="110"/>
      <c r="T1240" s="110"/>
      <c r="U1240" s="110"/>
      <c r="V1240" s="110"/>
      <c r="W1240" s="110"/>
      <c r="X1240" s="110"/>
      <c r="Y1240" s="110"/>
    </row>
    <row r="1241" ht="13.5" customHeight="1" spans="1:25">
      <c r="A1241" s="102"/>
      <c r="B1241" s="102"/>
      <c r="C1241" s="102"/>
      <c r="D1241" s="101"/>
      <c r="E1241" s="101"/>
      <c r="F1241" s="101"/>
      <c r="G1241" s="102"/>
      <c r="H1241" s="101"/>
      <c r="I1241" s="101"/>
      <c r="J1241" s="101"/>
      <c r="K1241" s="101"/>
      <c r="L1241" s="101"/>
      <c r="M1241" s="182"/>
      <c r="N1241" s="101"/>
      <c r="O1241" s="110"/>
      <c r="P1241" s="101"/>
      <c r="Q1241" s="102"/>
      <c r="R1241" s="102"/>
      <c r="S1241" s="110"/>
      <c r="T1241" s="110"/>
      <c r="U1241" s="110"/>
      <c r="V1241" s="110"/>
      <c r="W1241" s="110"/>
      <c r="X1241" s="110"/>
      <c r="Y1241" s="110"/>
    </row>
    <row r="1242" ht="13.5" customHeight="1" spans="1:25">
      <c r="A1242" s="102"/>
      <c r="B1242" s="102"/>
      <c r="C1242" s="102"/>
      <c r="D1242" s="101"/>
      <c r="E1242" s="101"/>
      <c r="F1242" s="101"/>
      <c r="G1242" s="102"/>
      <c r="H1242" s="101"/>
      <c r="I1242" s="101"/>
      <c r="J1242" s="101"/>
      <c r="K1242" s="101"/>
      <c r="L1242" s="101"/>
      <c r="M1242" s="182"/>
      <c r="N1242" s="101"/>
      <c r="O1242" s="110"/>
      <c r="P1242" s="101"/>
      <c r="Q1242" s="102"/>
      <c r="R1242" s="102"/>
      <c r="S1242" s="110"/>
      <c r="T1242" s="110"/>
      <c r="U1242" s="110"/>
      <c r="V1242" s="110"/>
      <c r="W1242" s="110"/>
      <c r="X1242" s="110"/>
      <c r="Y1242" s="110"/>
    </row>
    <row r="1243" ht="13.5" customHeight="1" spans="1:25">
      <c r="A1243" s="102"/>
      <c r="B1243" s="102"/>
      <c r="C1243" s="102"/>
      <c r="D1243" s="101"/>
      <c r="E1243" s="101"/>
      <c r="F1243" s="101"/>
      <c r="G1243" s="102"/>
      <c r="H1243" s="101"/>
      <c r="I1243" s="101"/>
      <c r="J1243" s="101"/>
      <c r="K1243" s="101"/>
      <c r="L1243" s="101"/>
      <c r="M1243" s="182"/>
      <c r="N1243" s="101"/>
      <c r="O1243" s="110"/>
      <c r="P1243" s="101"/>
      <c r="Q1243" s="102"/>
      <c r="R1243" s="102"/>
      <c r="S1243" s="110"/>
      <c r="T1243" s="110"/>
      <c r="U1243" s="110"/>
      <c r="V1243" s="110"/>
      <c r="W1243" s="110"/>
      <c r="X1243" s="110"/>
      <c r="Y1243" s="110"/>
    </row>
    <row r="1244" ht="13.5" customHeight="1" spans="1:25">
      <c r="A1244" s="102"/>
      <c r="B1244" s="102"/>
      <c r="C1244" s="102"/>
      <c r="D1244" s="101"/>
      <c r="E1244" s="101"/>
      <c r="F1244" s="101"/>
      <c r="G1244" s="102"/>
      <c r="H1244" s="101"/>
      <c r="I1244" s="101"/>
      <c r="J1244" s="101"/>
      <c r="K1244" s="101"/>
      <c r="L1244" s="101"/>
      <c r="M1244" s="182"/>
      <c r="N1244" s="101"/>
      <c r="O1244" s="110"/>
      <c r="P1244" s="101"/>
      <c r="Q1244" s="102"/>
      <c r="R1244" s="102"/>
      <c r="S1244" s="110"/>
      <c r="T1244" s="110"/>
      <c r="U1244" s="110"/>
      <c r="V1244" s="110"/>
      <c r="W1244" s="110"/>
      <c r="X1244" s="110"/>
      <c r="Y1244" s="110"/>
    </row>
    <row r="1245" ht="13.5" customHeight="1" spans="1:25">
      <c r="A1245" s="102"/>
      <c r="B1245" s="102"/>
      <c r="C1245" s="102"/>
      <c r="D1245" s="101"/>
      <c r="E1245" s="101"/>
      <c r="F1245" s="101"/>
      <c r="G1245" s="102"/>
      <c r="H1245" s="101"/>
      <c r="I1245" s="101"/>
      <c r="J1245" s="101"/>
      <c r="K1245" s="101"/>
      <c r="L1245" s="101"/>
      <c r="M1245" s="182"/>
      <c r="N1245" s="101"/>
      <c r="O1245" s="110"/>
      <c r="P1245" s="101"/>
      <c r="Q1245" s="102"/>
      <c r="R1245" s="102"/>
      <c r="S1245" s="110"/>
      <c r="T1245" s="110"/>
      <c r="U1245" s="110"/>
      <c r="V1245" s="110"/>
      <c r="W1245" s="110"/>
      <c r="X1245" s="110"/>
      <c r="Y1245" s="110"/>
    </row>
    <row r="1246" ht="13.5" customHeight="1" spans="1:25">
      <c r="A1246" s="102"/>
      <c r="B1246" s="102"/>
      <c r="C1246" s="102"/>
      <c r="D1246" s="101"/>
      <c r="E1246" s="101"/>
      <c r="F1246" s="101"/>
      <c r="G1246" s="102"/>
      <c r="H1246" s="101"/>
      <c r="I1246" s="101"/>
      <c r="J1246" s="101"/>
      <c r="K1246" s="101"/>
      <c r="L1246" s="101"/>
      <c r="M1246" s="182"/>
      <c r="N1246" s="101"/>
      <c r="O1246" s="110"/>
      <c r="P1246" s="101"/>
      <c r="Q1246" s="102"/>
      <c r="R1246" s="102"/>
      <c r="S1246" s="110"/>
      <c r="T1246" s="110"/>
      <c r="U1246" s="110"/>
      <c r="V1246" s="110"/>
      <c r="W1246" s="110"/>
      <c r="X1246" s="110"/>
      <c r="Y1246" s="110"/>
    </row>
    <row r="1247" ht="13.5" customHeight="1" spans="1:25">
      <c r="A1247" s="102"/>
      <c r="B1247" s="102"/>
      <c r="C1247" s="102"/>
      <c r="D1247" s="101"/>
      <c r="E1247" s="101"/>
      <c r="F1247" s="101"/>
      <c r="G1247" s="102"/>
      <c r="H1247" s="101"/>
      <c r="I1247" s="101"/>
      <c r="J1247" s="101"/>
      <c r="K1247" s="101"/>
      <c r="L1247" s="101"/>
      <c r="M1247" s="182"/>
      <c r="N1247" s="101"/>
      <c r="O1247" s="110"/>
      <c r="P1247" s="101"/>
      <c r="Q1247" s="102"/>
      <c r="R1247" s="102"/>
      <c r="S1247" s="110"/>
      <c r="T1247" s="110"/>
      <c r="U1247" s="110"/>
      <c r="V1247" s="110"/>
      <c r="W1247" s="110"/>
      <c r="X1247" s="110"/>
      <c r="Y1247" s="110"/>
    </row>
    <row r="1248" ht="13.5" customHeight="1" spans="1:25">
      <c r="A1248" s="102"/>
      <c r="B1248" s="102"/>
      <c r="C1248" s="102"/>
      <c r="D1248" s="101"/>
      <c r="E1248" s="101"/>
      <c r="F1248" s="101"/>
      <c r="G1248" s="102"/>
      <c r="H1248" s="101"/>
      <c r="I1248" s="101"/>
      <c r="J1248" s="101"/>
      <c r="K1248" s="101"/>
      <c r="L1248" s="101"/>
      <c r="M1248" s="182"/>
      <c r="N1248" s="101"/>
      <c r="O1248" s="110"/>
      <c r="P1248" s="101"/>
      <c r="Q1248" s="102"/>
      <c r="R1248" s="102"/>
      <c r="S1248" s="110"/>
      <c r="T1248" s="110"/>
      <c r="U1248" s="110"/>
      <c r="V1248" s="110"/>
      <c r="W1248" s="110"/>
      <c r="X1248" s="110"/>
      <c r="Y1248" s="110"/>
    </row>
    <row r="1249" ht="13.5" customHeight="1" spans="1:25">
      <c r="A1249" s="102"/>
      <c r="B1249" s="102"/>
      <c r="C1249" s="102"/>
      <c r="D1249" s="101"/>
      <c r="E1249" s="101"/>
      <c r="F1249" s="101"/>
      <c r="G1249" s="102"/>
      <c r="H1249" s="101"/>
      <c r="I1249" s="101"/>
      <c r="J1249" s="101"/>
      <c r="K1249" s="101"/>
      <c r="L1249" s="101"/>
      <c r="M1249" s="182"/>
      <c r="N1249" s="101"/>
      <c r="O1249" s="110"/>
      <c r="P1249" s="101"/>
      <c r="Q1249" s="102"/>
      <c r="R1249" s="102"/>
      <c r="S1249" s="110"/>
      <c r="T1249" s="110"/>
      <c r="U1249" s="110"/>
      <c r="V1249" s="110"/>
      <c r="W1249" s="110"/>
      <c r="X1249" s="110"/>
      <c r="Y1249" s="110"/>
    </row>
    <row r="1250" ht="13.5" customHeight="1" spans="1:25">
      <c r="A1250" s="102"/>
      <c r="B1250" s="102"/>
      <c r="C1250" s="102"/>
      <c r="D1250" s="101"/>
      <c r="E1250" s="101"/>
      <c r="F1250" s="101"/>
      <c r="G1250" s="102"/>
      <c r="H1250" s="101"/>
      <c r="I1250" s="101"/>
      <c r="J1250" s="101"/>
      <c r="K1250" s="101"/>
      <c r="L1250" s="101"/>
      <c r="M1250" s="182"/>
      <c r="N1250" s="101"/>
      <c r="O1250" s="110"/>
      <c r="P1250" s="101"/>
      <c r="Q1250" s="102"/>
      <c r="R1250" s="102"/>
      <c r="S1250" s="110"/>
      <c r="T1250" s="110"/>
      <c r="U1250" s="110"/>
      <c r="V1250" s="110"/>
      <c r="W1250" s="110"/>
      <c r="X1250" s="110"/>
      <c r="Y1250" s="110"/>
    </row>
    <row r="1251" ht="13.5" customHeight="1" spans="1:25">
      <c r="A1251" s="102"/>
      <c r="B1251" s="102"/>
      <c r="C1251" s="102"/>
      <c r="D1251" s="101"/>
      <c r="E1251" s="101"/>
      <c r="F1251" s="101"/>
      <c r="G1251" s="102"/>
      <c r="H1251" s="101"/>
      <c r="I1251" s="101"/>
      <c r="J1251" s="101"/>
      <c r="K1251" s="101"/>
      <c r="L1251" s="101"/>
      <c r="M1251" s="182"/>
      <c r="N1251" s="101"/>
      <c r="O1251" s="110"/>
      <c r="P1251" s="101"/>
      <c r="Q1251" s="102"/>
      <c r="R1251" s="102"/>
      <c r="S1251" s="110"/>
      <c r="T1251" s="110"/>
      <c r="U1251" s="110"/>
      <c r="V1251" s="110"/>
      <c r="W1251" s="110"/>
      <c r="X1251" s="110"/>
      <c r="Y1251" s="110"/>
    </row>
    <row r="1252" ht="13.5" customHeight="1" spans="1:25">
      <c r="A1252" s="102"/>
      <c r="B1252" s="102"/>
      <c r="C1252" s="102"/>
      <c r="D1252" s="101"/>
      <c r="E1252" s="101"/>
      <c r="F1252" s="101"/>
      <c r="G1252" s="102"/>
      <c r="H1252" s="101"/>
      <c r="I1252" s="101"/>
      <c r="J1252" s="101"/>
      <c r="K1252" s="101"/>
      <c r="L1252" s="101"/>
      <c r="M1252" s="182"/>
      <c r="N1252" s="101"/>
      <c r="O1252" s="110"/>
      <c r="P1252" s="101"/>
      <c r="Q1252" s="102"/>
      <c r="R1252" s="102"/>
      <c r="S1252" s="110"/>
      <c r="T1252" s="110"/>
      <c r="U1252" s="110"/>
      <c r="V1252" s="110"/>
      <c r="W1252" s="110"/>
      <c r="X1252" s="110"/>
      <c r="Y1252" s="110"/>
    </row>
    <row r="1253" ht="13.5" customHeight="1" spans="1:25">
      <c r="A1253" s="102"/>
      <c r="B1253" s="102"/>
      <c r="C1253" s="102"/>
      <c r="D1253" s="101"/>
      <c r="E1253" s="101"/>
      <c r="F1253" s="101"/>
      <c r="G1253" s="102"/>
      <c r="H1253" s="101"/>
      <c r="I1253" s="101"/>
      <c r="J1253" s="101"/>
      <c r="K1253" s="101"/>
      <c r="L1253" s="101"/>
      <c r="M1253" s="182"/>
      <c r="N1253" s="101"/>
      <c r="O1253" s="110"/>
      <c r="P1253" s="101"/>
      <c r="Q1253" s="102"/>
      <c r="R1253" s="102"/>
      <c r="S1253" s="110"/>
      <c r="T1253" s="110"/>
      <c r="U1253" s="110"/>
      <c r="V1253" s="110"/>
      <c r="W1253" s="110"/>
      <c r="X1253" s="110"/>
      <c r="Y1253" s="110"/>
    </row>
    <row r="1254" ht="13.5" customHeight="1" spans="1:25">
      <c r="A1254" s="102"/>
      <c r="B1254" s="102"/>
      <c r="C1254" s="102"/>
      <c r="D1254" s="101"/>
      <c r="E1254" s="101"/>
      <c r="F1254" s="101"/>
      <c r="G1254" s="102"/>
      <c r="H1254" s="101"/>
      <c r="I1254" s="101"/>
      <c r="J1254" s="101"/>
      <c r="K1254" s="101"/>
      <c r="L1254" s="101"/>
      <c r="M1254" s="182"/>
      <c r="N1254" s="101"/>
      <c r="O1254" s="110"/>
      <c r="P1254" s="101"/>
      <c r="Q1254" s="102"/>
      <c r="R1254" s="102"/>
      <c r="S1254" s="110"/>
      <c r="T1254" s="110"/>
      <c r="U1254" s="110"/>
      <c r="V1254" s="110"/>
      <c r="W1254" s="110"/>
      <c r="X1254" s="110"/>
      <c r="Y1254" s="110"/>
    </row>
    <row r="1255" ht="13.5" customHeight="1" spans="1:25">
      <c r="A1255" s="102"/>
      <c r="B1255" s="102"/>
      <c r="C1255" s="102"/>
      <c r="D1255" s="101"/>
      <c r="E1255" s="101"/>
      <c r="F1255" s="101"/>
      <c r="G1255" s="102"/>
      <c r="H1255" s="101"/>
      <c r="I1255" s="101"/>
      <c r="J1255" s="101"/>
      <c r="K1255" s="101"/>
      <c r="L1255" s="101"/>
      <c r="M1255" s="182"/>
      <c r="N1255" s="101"/>
      <c r="O1255" s="110"/>
      <c r="P1255" s="101"/>
      <c r="Q1255" s="102"/>
      <c r="R1255" s="102"/>
      <c r="S1255" s="110"/>
      <c r="T1255" s="110"/>
      <c r="U1255" s="110"/>
      <c r="V1255" s="110"/>
      <c r="W1255" s="110"/>
      <c r="X1255" s="110"/>
      <c r="Y1255" s="110"/>
    </row>
    <row r="1256" ht="13.5" customHeight="1" spans="1:25">
      <c r="A1256" s="102"/>
      <c r="B1256" s="102"/>
      <c r="C1256" s="102"/>
      <c r="D1256" s="101"/>
      <c r="E1256" s="101"/>
      <c r="F1256" s="101"/>
      <c r="G1256" s="102"/>
      <c r="H1256" s="101"/>
      <c r="I1256" s="101"/>
      <c r="J1256" s="101"/>
      <c r="K1256" s="101"/>
      <c r="L1256" s="101"/>
      <c r="M1256" s="182"/>
      <c r="N1256" s="101"/>
      <c r="O1256" s="110"/>
      <c r="P1256" s="101"/>
      <c r="Q1256" s="102"/>
      <c r="R1256" s="102"/>
      <c r="S1256" s="110"/>
      <c r="T1256" s="110"/>
      <c r="U1256" s="110"/>
      <c r="V1256" s="110"/>
      <c r="W1256" s="110"/>
      <c r="X1256" s="110"/>
      <c r="Y1256" s="110"/>
    </row>
    <row r="1257" ht="13.5" customHeight="1" spans="1:25">
      <c r="A1257" s="102"/>
      <c r="B1257" s="102"/>
      <c r="C1257" s="102"/>
      <c r="D1257" s="101"/>
      <c r="E1257" s="101"/>
      <c r="F1257" s="101"/>
      <c r="G1257" s="102"/>
      <c r="H1257" s="101"/>
      <c r="I1257" s="101"/>
      <c r="J1257" s="101"/>
      <c r="K1257" s="101"/>
      <c r="L1257" s="101"/>
      <c r="M1257" s="182"/>
      <c r="N1257" s="101"/>
      <c r="O1257" s="110"/>
      <c r="P1257" s="101"/>
      <c r="Q1257" s="102"/>
      <c r="R1257" s="102"/>
      <c r="S1257" s="110"/>
      <c r="T1257" s="110"/>
      <c r="U1257" s="110"/>
      <c r="V1257" s="110"/>
      <c r="W1257" s="110"/>
      <c r="X1257" s="110"/>
      <c r="Y1257" s="110"/>
    </row>
    <row r="1258" ht="13.5" customHeight="1" spans="1:25">
      <c r="A1258" s="102"/>
      <c r="B1258" s="102"/>
      <c r="C1258" s="102"/>
      <c r="D1258" s="101"/>
      <c r="E1258" s="101"/>
      <c r="F1258" s="101"/>
      <c r="G1258" s="102"/>
      <c r="H1258" s="101"/>
      <c r="I1258" s="101"/>
      <c r="J1258" s="101"/>
      <c r="K1258" s="101"/>
      <c r="L1258" s="101"/>
      <c r="M1258" s="182"/>
      <c r="N1258" s="101"/>
      <c r="O1258" s="110"/>
      <c r="P1258" s="101"/>
      <c r="Q1258" s="102"/>
      <c r="R1258" s="102"/>
      <c r="S1258" s="110"/>
      <c r="T1258" s="110"/>
      <c r="U1258" s="110"/>
      <c r="V1258" s="110"/>
      <c r="W1258" s="110"/>
      <c r="X1258" s="110"/>
      <c r="Y1258" s="110"/>
    </row>
    <row r="1259" ht="13.5" customHeight="1" spans="1:25">
      <c r="A1259" s="102"/>
      <c r="B1259" s="102"/>
      <c r="C1259" s="102"/>
      <c r="D1259" s="101"/>
      <c r="E1259" s="101"/>
      <c r="F1259" s="101"/>
      <c r="G1259" s="102"/>
      <c r="H1259" s="101"/>
      <c r="I1259" s="101"/>
      <c r="J1259" s="101"/>
      <c r="K1259" s="101"/>
      <c r="L1259" s="101"/>
      <c r="M1259" s="182"/>
      <c r="N1259" s="101"/>
      <c r="O1259" s="110"/>
      <c r="P1259" s="101"/>
      <c r="Q1259" s="102"/>
      <c r="R1259" s="102"/>
      <c r="S1259" s="110"/>
      <c r="T1259" s="110"/>
      <c r="U1259" s="110"/>
      <c r="V1259" s="110"/>
      <c r="W1259" s="110"/>
      <c r="X1259" s="110"/>
      <c r="Y1259" s="110"/>
    </row>
    <row r="1260" ht="13.5" customHeight="1" spans="1:25">
      <c r="A1260" s="102"/>
      <c r="B1260" s="102"/>
      <c r="C1260" s="102"/>
      <c r="D1260" s="101"/>
      <c r="E1260" s="101"/>
      <c r="F1260" s="101"/>
      <c r="G1260" s="102"/>
      <c r="H1260" s="101"/>
      <c r="I1260" s="101"/>
      <c r="J1260" s="101"/>
      <c r="K1260" s="101"/>
      <c r="L1260" s="101"/>
      <c r="M1260" s="182"/>
      <c r="N1260" s="101"/>
      <c r="O1260" s="110"/>
      <c r="P1260" s="101"/>
      <c r="Q1260" s="102"/>
      <c r="R1260" s="102"/>
      <c r="S1260" s="110"/>
      <c r="T1260" s="110"/>
      <c r="U1260" s="110"/>
      <c r="V1260" s="110"/>
      <c r="W1260" s="110"/>
      <c r="X1260" s="110"/>
      <c r="Y1260" s="110"/>
    </row>
    <row r="1261" ht="13.5" customHeight="1" spans="1:25">
      <c r="A1261" s="102"/>
      <c r="B1261" s="102"/>
      <c r="C1261" s="102"/>
      <c r="D1261" s="101"/>
      <c r="E1261" s="101"/>
      <c r="F1261" s="101"/>
      <c r="G1261" s="102"/>
      <c r="H1261" s="101"/>
      <c r="I1261" s="101"/>
      <c r="J1261" s="101"/>
      <c r="K1261" s="101"/>
      <c r="L1261" s="101"/>
      <c r="M1261" s="182"/>
      <c r="N1261" s="101"/>
      <c r="O1261" s="110"/>
      <c r="P1261" s="101"/>
      <c r="Q1261" s="102"/>
      <c r="R1261" s="102"/>
      <c r="S1261" s="110"/>
      <c r="T1261" s="110"/>
      <c r="U1261" s="110"/>
      <c r="V1261" s="110"/>
      <c r="W1261" s="110"/>
      <c r="X1261" s="110"/>
      <c r="Y1261" s="110"/>
    </row>
    <row r="1262" ht="13.5" customHeight="1" spans="1:25">
      <c r="A1262" s="102"/>
      <c r="B1262" s="102"/>
      <c r="C1262" s="102"/>
      <c r="D1262" s="101"/>
      <c r="E1262" s="101"/>
      <c r="F1262" s="101"/>
      <c r="G1262" s="102"/>
      <c r="H1262" s="101"/>
      <c r="I1262" s="101"/>
      <c r="J1262" s="101"/>
      <c r="K1262" s="101"/>
      <c r="L1262" s="101"/>
      <c r="M1262" s="182"/>
      <c r="N1262" s="101"/>
      <c r="O1262" s="110"/>
      <c r="P1262" s="101"/>
      <c r="Q1262" s="102"/>
      <c r="R1262" s="102"/>
      <c r="S1262" s="110"/>
      <c r="T1262" s="110"/>
      <c r="U1262" s="110"/>
      <c r="V1262" s="110"/>
      <c r="W1262" s="110"/>
      <c r="X1262" s="110"/>
      <c r="Y1262" s="110"/>
    </row>
    <row r="1263" ht="13.5" customHeight="1" spans="1:25">
      <c r="A1263" s="102"/>
      <c r="B1263" s="102"/>
      <c r="C1263" s="102"/>
      <c r="D1263" s="101"/>
      <c r="E1263" s="101"/>
      <c r="F1263" s="101"/>
      <c r="G1263" s="102"/>
      <c r="H1263" s="101"/>
      <c r="I1263" s="101"/>
      <c r="J1263" s="101"/>
      <c r="K1263" s="101"/>
      <c r="L1263" s="101"/>
      <c r="M1263" s="182"/>
      <c r="N1263" s="101"/>
      <c r="O1263" s="110"/>
      <c r="P1263" s="101"/>
      <c r="Q1263" s="102"/>
      <c r="R1263" s="102"/>
      <c r="S1263" s="110"/>
      <c r="T1263" s="110"/>
      <c r="U1263" s="110"/>
      <c r="V1263" s="110"/>
      <c r="W1263" s="110"/>
      <c r="X1263" s="110"/>
      <c r="Y1263" s="110"/>
    </row>
    <row r="1264" ht="13.5" customHeight="1" spans="1:25">
      <c r="A1264" s="102"/>
      <c r="B1264" s="102"/>
      <c r="C1264" s="102"/>
      <c r="D1264" s="101"/>
      <c r="E1264" s="101"/>
      <c r="F1264" s="101"/>
      <c r="G1264" s="102"/>
      <c r="H1264" s="101"/>
      <c r="I1264" s="101"/>
      <c r="J1264" s="101"/>
      <c r="K1264" s="101"/>
      <c r="L1264" s="101"/>
      <c r="M1264" s="182"/>
      <c r="N1264" s="101"/>
      <c r="O1264" s="110"/>
      <c r="P1264" s="101"/>
      <c r="Q1264" s="102"/>
      <c r="R1264" s="102"/>
      <c r="S1264" s="110"/>
      <c r="T1264" s="110"/>
      <c r="U1264" s="110"/>
      <c r="V1264" s="110"/>
      <c r="W1264" s="110"/>
      <c r="X1264" s="110"/>
      <c r="Y1264" s="110"/>
    </row>
    <row r="1265" ht="13.5" customHeight="1" spans="1:25">
      <c r="A1265" s="102"/>
      <c r="B1265" s="102"/>
      <c r="C1265" s="102"/>
      <c r="D1265" s="101"/>
      <c r="E1265" s="101"/>
      <c r="F1265" s="101"/>
      <c r="G1265" s="102"/>
      <c r="H1265" s="101"/>
      <c r="I1265" s="101"/>
      <c r="J1265" s="101"/>
      <c r="K1265" s="101"/>
      <c r="L1265" s="101"/>
      <c r="M1265" s="182"/>
      <c r="N1265" s="101"/>
      <c r="O1265" s="110"/>
      <c r="P1265" s="101"/>
      <c r="Q1265" s="102"/>
      <c r="R1265" s="102"/>
      <c r="S1265" s="110"/>
      <c r="T1265" s="110"/>
      <c r="U1265" s="110"/>
      <c r="V1265" s="110"/>
      <c r="W1265" s="110"/>
      <c r="X1265" s="110"/>
      <c r="Y1265" s="110"/>
    </row>
    <row r="1266" ht="13.5" customHeight="1" spans="1:25">
      <c r="A1266" s="102"/>
      <c r="B1266" s="102"/>
      <c r="C1266" s="102"/>
      <c r="D1266" s="101"/>
      <c r="E1266" s="101"/>
      <c r="F1266" s="101"/>
      <c r="G1266" s="102"/>
      <c r="H1266" s="101"/>
      <c r="I1266" s="101"/>
      <c r="J1266" s="101"/>
      <c r="K1266" s="101"/>
      <c r="L1266" s="101"/>
      <c r="M1266" s="182"/>
      <c r="N1266" s="101"/>
      <c r="O1266" s="110"/>
      <c r="P1266" s="101"/>
      <c r="Q1266" s="102"/>
      <c r="R1266" s="102"/>
      <c r="S1266" s="110"/>
      <c r="T1266" s="110"/>
      <c r="U1266" s="110"/>
      <c r="V1266" s="110"/>
      <c r="W1266" s="110"/>
      <c r="X1266" s="110"/>
      <c r="Y1266" s="110"/>
    </row>
    <row r="1267" ht="13.5" customHeight="1" spans="1:25">
      <c r="A1267" s="102"/>
      <c r="B1267" s="102"/>
      <c r="C1267" s="102"/>
      <c r="D1267" s="101"/>
      <c r="E1267" s="101"/>
      <c r="F1267" s="101"/>
      <c r="G1267" s="102"/>
      <c r="H1267" s="101"/>
      <c r="I1267" s="101"/>
      <c r="J1267" s="101"/>
      <c r="K1267" s="101"/>
      <c r="L1267" s="101"/>
      <c r="M1267" s="182"/>
      <c r="N1267" s="101"/>
      <c r="O1267" s="110"/>
      <c r="P1267" s="101"/>
      <c r="Q1267" s="102"/>
      <c r="R1267" s="102"/>
      <c r="S1267" s="110"/>
      <c r="T1267" s="110"/>
      <c r="U1267" s="110"/>
      <c r="V1267" s="110"/>
      <c r="W1267" s="110"/>
      <c r="X1267" s="110"/>
      <c r="Y1267" s="110"/>
    </row>
    <row r="1268" ht="13.5" customHeight="1" spans="1:25">
      <c r="A1268" s="102"/>
      <c r="B1268" s="102"/>
      <c r="C1268" s="102"/>
      <c r="D1268" s="101"/>
      <c r="E1268" s="101"/>
      <c r="F1268" s="101"/>
      <c r="G1268" s="102"/>
      <c r="H1268" s="101"/>
      <c r="I1268" s="101"/>
      <c r="J1268" s="101"/>
      <c r="K1268" s="101"/>
      <c r="L1268" s="101"/>
      <c r="M1268" s="182"/>
      <c r="N1268" s="101"/>
      <c r="O1268" s="110"/>
      <c r="P1268" s="101"/>
      <c r="Q1268" s="102"/>
      <c r="R1268" s="102"/>
      <c r="S1268" s="110"/>
      <c r="T1268" s="110"/>
      <c r="U1268" s="110"/>
      <c r="V1268" s="110"/>
      <c r="W1268" s="110"/>
      <c r="X1268" s="110"/>
      <c r="Y1268" s="110"/>
    </row>
    <row r="1269" ht="13.5" customHeight="1" spans="1:25">
      <c r="A1269" s="102"/>
      <c r="B1269" s="102"/>
      <c r="C1269" s="102"/>
      <c r="D1269" s="101"/>
      <c r="E1269" s="101"/>
      <c r="F1269" s="101"/>
      <c r="G1269" s="102"/>
      <c r="H1269" s="101"/>
      <c r="I1269" s="101"/>
      <c r="J1269" s="101"/>
      <c r="K1269" s="101"/>
      <c r="L1269" s="101"/>
      <c r="M1269" s="182"/>
      <c r="N1269" s="101"/>
      <c r="O1269" s="110"/>
      <c r="P1269" s="101"/>
      <c r="Q1269" s="102"/>
      <c r="R1269" s="102"/>
      <c r="S1269" s="110"/>
      <c r="T1269" s="110"/>
      <c r="U1269" s="110"/>
      <c r="V1269" s="110"/>
      <c r="W1269" s="110"/>
      <c r="X1269" s="110"/>
      <c r="Y1269" s="110"/>
    </row>
    <row r="1270" ht="13.5" customHeight="1" spans="1:25">
      <c r="A1270" s="102"/>
      <c r="B1270" s="102"/>
      <c r="C1270" s="102"/>
      <c r="D1270" s="101"/>
      <c r="E1270" s="101"/>
      <c r="F1270" s="101"/>
      <c r="G1270" s="102"/>
      <c r="H1270" s="101"/>
      <c r="I1270" s="101"/>
      <c r="J1270" s="101"/>
      <c r="K1270" s="101"/>
      <c r="L1270" s="101"/>
      <c r="M1270" s="182"/>
      <c r="N1270" s="101"/>
      <c r="O1270" s="110"/>
      <c r="P1270" s="101"/>
      <c r="Q1270" s="102"/>
      <c r="R1270" s="102"/>
      <c r="S1270" s="110"/>
      <c r="T1270" s="110"/>
      <c r="U1270" s="110"/>
      <c r="V1270" s="110"/>
      <c r="W1270" s="110"/>
      <c r="X1270" s="110"/>
      <c r="Y1270" s="110"/>
    </row>
    <row r="1271" ht="13.5" customHeight="1" spans="1:25">
      <c r="A1271" s="102"/>
      <c r="B1271" s="102"/>
      <c r="C1271" s="102"/>
      <c r="D1271" s="101"/>
      <c r="E1271" s="101"/>
      <c r="F1271" s="101"/>
      <c r="G1271" s="102"/>
      <c r="H1271" s="101"/>
      <c r="I1271" s="101"/>
      <c r="J1271" s="101"/>
      <c r="K1271" s="101"/>
      <c r="L1271" s="101"/>
      <c r="M1271" s="182"/>
      <c r="N1271" s="101"/>
      <c r="O1271" s="110"/>
      <c r="P1271" s="101"/>
      <c r="Q1271" s="102"/>
      <c r="R1271" s="102"/>
      <c r="S1271" s="110"/>
      <c r="T1271" s="110"/>
      <c r="U1271" s="110"/>
      <c r="V1271" s="110"/>
      <c r="W1271" s="110"/>
      <c r="X1271" s="110"/>
      <c r="Y1271" s="110"/>
    </row>
    <row r="1272" ht="13.5" customHeight="1" spans="1:25">
      <c r="A1272" s="102"/>
      <c r="B1272" s="102"/>
      <c r="C1272" s="102"/>
      <c r="D1272" s="101"/>
      <c r="E1272" s="101"/>
      <c r="F1272" s="101"/>
      <c r="G1272" s="102"/>
      <c r="H1272" s="101"/>
      <c r="I1272" s="101"/>
      <c r="J1272" s="101"/>
      <c r="K1272" s="101"/>
      <c r="L1272" s="101"/>
      <c r="M1272" s="182"/>
      <c r="N1272" s="101"/>
      <c r="O1272" s="110"/>
      <c r="P1272" s="101"/>
      <c r="Q1272" s="102"/>
      <c r="R1272" s="102"/>
      <c r="S1272" s="110"/>
      <c r="T1272" s="110"/>
      <c r="U1272" s="110"/>
      <c r="V1272" s="110"/>
      <c r="W1272" s="110"/>
      <c r="X1272" s="110"/>
      <c r="Y1272" s="110"/>
    </row>
    <row r="1273" ht="13.5" customHeight="1" spans="1:25">
      <c r="A1273" s="102"/>
      <c r="B1273" s="102"/>
      <c r="C1273" s="102"/>
      <c r="D1273" s="101"/>
      <c r="E1273" s="101"/>
      <c r="F1273" s="101"/>
      <c r="G1273" s="102"/>
      <c r="H1273" s="101"/>
      <c r="I1273" s="101"/>
      <c r="J1273" s="101"/>
      <c r="K1273" s="101"/>
      <c r="L1273" s="101"/>
      <c r="M1273" s="182"/>
      <c r="N1273" s="101"/>
      <c r="O1273" s="110"/>
      <c r="P1273" s="101"/>
      <c r="Q1273" s="102"/>
      <c r="R1273" s="102"/>
      <c r="S1273" s="110"/>
      <c r="T1273" s="110"/>
      <c r="U1273" s="110"/>
      <c r="V1273" s="110"/>
      <c r="W1273" s="110"/>
      <c r="X1273" s="110"/>
      <c r="Y1273" s="110"/>
    </row>
    <row r="1274" ht="13.5" customHeight="1" spans="1:25">
      <c r="A1274" s="102"/>
      <c r="B1274" s="102"/>
      <c r="C1274" s="102"/>
      <c r="D1274" s="101"/>
      <c r="E1274" s="101"/>
      <c r="F1274" s="101"/>
      <c r="G1274" s="102"/>
      <c r="H1274" s="101"/>
      <c r="I1274" s="101"/>
      <c r="J1274" s="101"/>
      <c r="K1274" s="101"/>
      <c r="L1274" s="101"/>
      <c r="M1274" s="182"/>
      <c r="N1274" s="101"/>
      <c r="O1274" s="110"/>
      <c r="P1274" s="101"/>
      <c r="Q1274" s="102"/>
      <c r="R1274" s="102"/>
      <c r="S1274" s="110"/>
      <c r="T1274" s="110"/>
      <c r="U1274" s="110"/>
      <c r="V1274" s="110"/>
      <c r="W1274" s="110"/>
      <c r="X1274" s="110"/>
      <c r="Y1274" s="110"/>
    </row>
    <row r="1275" ht="13.5" customHeight="1" spans="1:25">
      <c r="A1275" s="102"/>
      <c r="B1275" s="102"/>
      <c r="C1275" s="102"/>
      <c r="D1275" s="101"/>
      <c r="E1275" s="101"/>
      <c r="F1275" s="101"/>
      <c r="G1275" s="102"/>
      <c r="H1275" s="101"/>
      <c r="I1275" s="101"/>
      <c r="J1275" s="101"/>
      <c r="K1275" s="101"/>
      <c r="L1275" s="101"/>
      <c r="M1275" s="182"/>
      <c r="N1275" s="101"/>
      <c r="O1275" s="110"/>
      <c r="P1275" s="101"/>
      <c r="Q1275" s="102"/>
      <c r="R1275" s="102"/>
      <c r="S1275" s="110"/>
      <c r="T1275" s="110"/>
      <c r="U1275" s="110"/>
      <c r="V1275" s="110"/>
      <c r="W1275" s="110"/>
      <c r="X1275" s="110"/>
      <c r="Y1275" s="110"/>
    </row>
    <row r="1276" ht="13.5" customHeight="1" spans="1:25">
      <c r="A1276" s="102"/>
      <c r="B1276" s="102"/>
      <c r="C1276" s="102"/>
      <c r="D1276" s="101"/>
      <c r="E1276" s="101"/>
      <c r="F1276" s="101"/>
      <c r="G1276" s="102"/>
      <c r="H1276" s="101"/>
      <c r="I1276" s="101"/>
      <c r="J1276" s="101"/>
      <c r="K1276" s="101"/>
      <c r="L1276" s="101"/>
      <c r="M1276" s="182"/>
      <c r="N1276" s="101"/>
      <c r="O1276" s="110"/>
      <c r="P1276" s="101"/>
      <c r="Q1276" s="102"/>
      <c r="R1276" s="102"/>
      <c r="S1276" s="110"/>
      <c r="T1276" s="110"/>
      <c r="U1276" s="110"/>
      <c r="V1276" s="110"/>
      <c r="W1276" s="110"/>
      <c r="X1276" s="110"/>
      <c r="Y1276" s="110"/>
    </row>
    <row r="1277" ht="13.5" customHeight="1" spans="1:25">
      <c r="A1277" s="102"/>
      <c r="B1277" s="102"/>
      <c r="C1277" s="102"/>
      <c r="D1277" s="101"/>
      <c r="E1277" s="101"/>
      <c r="F1277" s="101"/>
      <c r="G1277" s="102"/>
      <c r="H1277" s="101"/>
      <c r="I1277" s="101"/>
      <c r="J1277" s="101"/>
      <c r="K1277" s="101"/>
      <c r="L1277" s="101"/>
      <c r="M1277" s="182"/>
      <c r="N1277" s="101"/>
      <c r="O1277" s="110"/>
      <c r="P1277" s="101"/>
      <c r="Q1277" s="102"/>
      <c r="R1277" s="102"/>
      <c r="S1277" s="110"/>
      <c r="T1277" s="110"/>
      <c r="U1277" s="110"/>
      <c r="V1277" s="110"/>
      <c r="W1277" s="110"/>
      <c r="X1277" s="110"/>
      <c r="Y1277" s="110"/>
    </row>
    <row r="1278" ht="13.5" customHeight="1" spans="1:25">
      <c r="A1278" s="102"/>
      <c r="B1278" s="102"/>
      <c r="C1278" s="102"/>
      <c r="D1278" s="101"/>
      <c r="E1278" s="101"/>
      <c r="F1278" s="101"/>
      <c r="G1278" s="102"/>
      <c r="H1278" s="101"/>
      <c r="I1278" s="101"/>
      <c r="J1278" s="101"/>
      <c r="K1278" s="101"/>
      <c r="L1278" s="101"/>
      <c r="M1278" s="182"/>
      <c r="N1278" s="101"/>
      <c r="O1278" s="110"/>
      <c r="P1278" s="101"/>
      <c r="Q1278" s="102"/>
      <c r="R1278" s="102"/>
      <c r="S1278" s="110"/>
      <c r="T1278" s="110"/>
      <c r="U1278" s="110"/>
      <c r="V1278" s="110"/>
      <c r="W1278" s="110"/>
      <c r="X1278" s="110"/>
      <c r="Y1278" s="110"/>
    </row>
    <row r="1279" ht="13.5" customHeight="1" spans="1:25">
      <c r="A1279" s="102"/>
      <c r="B1279" s="102"/>
      <c r="C1279" s="102"/>
      <c r="D1279" s="101"/>
      <c r="E1279" s="101"/>
      <c r="F1279" s="101"/>
      <c r="G1279" s="102"/>
      <c r="H1279" s="101"/>
      <c r="I1279" s="101"/>
      <c r="J1279" s="101"/>
      <c r="K1279" s="101"/>
      <c r="L1279" s="101"/>
      <c r="M1279" s="182"/>
      <c r="N1279" s="101"/>
      <c r="O1279" s="110"/>
      <c r="P1279" s="101"/>
      <c r="Q1279" s="102"/>
      <c r="R1279" s="102"/>
      <c r="S1279" s="110"/>
      <c r="T1279" s="110"/>
      <c r="U1279" s="110"/>
      <c r="V1279" s="110"/>
      <c r="W1279" s="110"/>
      <c r="X1279" s="110"/>
      <c r="Y1279" s="110"/>
    </row>
    <row r="1280" ht="13.5" customHeight="1" spans="1:25">
      <c r="A1280" s="102"/>
      <c r="B1280" s="102"/>
      <c r="C1280" s="102"/>
      <c r="D1280" s="101"/>
      <c r="E1280" s="101"/>
      <c r="F1280" s="101"/>
      <c r="G1280" s="102"/>
      <c r="H1280" s="101"/>
      <c r="I1280" s="101"/>
      <c r="J1280" s="101"/>
      <c r="K1280" s="101"/>
      <c r="L1280" s="101"/>
      <c r="M1280" s="182"/>
      <c r="N1280" s="101"/>
      <c r="O1280" s="110"/>
      <c r="P1280" s="101"/>
      <c r="Q1280" s="102"/>
      <c r="R1280" s="102"/>
      <c r="S1280" s="110"/>
      <c r="T1280" s="110"/>
      <c r="U1280" s="110"/>
      <c r="V1280" s="110"/>
      <c r="W1280" s="110"/>
      <c r="X1280" s="110"/>
      <c r="Y1280" s="110"/>
    </row>
    <row r="1281" ht="13.5" customHeight="1" spans="1:25">
      <c r="A1281" s="102"/>
      <c r="B1281" s="102"/>
      <c r="C1281" s="102"/>
      <c r="D1281" s="101"/>
      <c r="E1281" s="101"/>
      <c r="F1281" s="101"/>
      <c r="G1281" s="102"/>
      <c r="H1281" s="101"/>
      <c r="I1281" s="101"/>
      <c r="J1281" s="101"/>
      <c r="K1281" s="101"/>
      <c r="L1281" s="101"/>
      <c r="M1281" s="182"/>
      <c r="N1281" s="101"/>
      <c r="O1281" s="110"/>
      <c r="P1281" s="101"/>
      <c r="Q1281" s="102"/>
      <c r="R1281" s="102"/>
      <c r="S1281" s="110"/>
      <c r="T1281" s="110"/>
      <c r="U1281" s="110"/>
      <c r="V1281" s="110"/>
      <c r="W1281" s="110"/>
      <c r="X1281" s="110"/>
      <c r="Y1281" s="110"/>
    </row>
    <row r="1282" ht="13.5" customHeight="1" spans="1:25">
      <c r="A1282" s="102"/>
      <c r="B1282" s="102"/>
      <c r="C1282" s="102"/>
      <c r="D1282" s="101"/>
      <c r="E1282" s="101"/>
      <c r="F1282" s="101"/>
      <c r="G1282" s="102"/>
      <c r="H1282" s="101"/>
      <c r="I1282" s="101"/>
      <c r="J1282" s="101"/>
      <c r="K1282" s="101"/>
      <c r="L1282" s="101"/>
      <c r="M1282" s="182"/>
      <c r="N1282" s="101"/>
      <c r="O1282" s="110"/>
      <c r="P1282" s="101"/>
      <c r="Q1282" s="102"/>
      <c r="R1282" s="102"/>
      <c r="S1282" s="110"/>
      <c r="T1282" s="110"/>
      <c r="U1282" s="110"/>
      <c r="V1282" s="110"/>
      <c r="W1282" s="110"/>
      <c r="X1282" s="110"/>
      <c r="Y1282" s="110"/>
    </row>
    <row r="1283" ht="13.5" customHeight="1" spans="1:25">
      <c r="A1283" s="102"/>
      <c r="B1283" s="102"/>
      <c r="C1283" s="102"/>
      <c r="D1283" s="101"/>
      <c r="E1283" s="101"/>
      <c r="F1283" s="101"/>
      <c r="G1283" s="102"/>
      <c r="H1283" s="101"/>
      <c r="I1283" s="101"/>
      <c r="J1283" s="101"/>
      <c r="K1283" s="101"/>
      <c r="L1283" s="101"/>
      <c r="M1283" s="182"/>
      <c r="N1283" s="101"/>
      <c r="O1283" s="110"/>
      <c r="P1283" s="101"/>
      <c r="Q1283" s="102"/>
      <c r="R1283" s="102"/>
      <c r="S1283" s="110"/>
      <c r="T1283" s="110"/>
      <c r="U1283" s="110"/>
      <c r="V1283" s="110"/>
      <c r="W1283" s="110"/>
      <c r="X1283" s="110"/>
      <c r="Y1283" s="110"/>
    </row>
    <row r="1284" ht="13.5" customHeight="1" spans="1:25">
      <c r="A1284" s="102"/>
      <c r="B1284" s="102"/>
      <c r="C1284" s="102"/>
      <c r="D1284" s="101"/>
      <c r="E1284" s="101"/>
      <c r="F1284" s="101"/>
      <c r="G1284" s="102"/>
      <c r="H1284" s="101"/>
      <c r="I1284" s="101"/>
      <c r="J1284" s="101"/>
      <c r="K1284" s="101"/>
      <c r="L1284" s="101"/>
      <c r="M1284" s="182"/>
      <c r="N1284" s="101"/>
      <c r="O1284" s="110"/>
      <c r="P1284" s="101"/>
      <c r="Q1284" s="102"/>
      <c r="R1284" s="102"/>
      <c r="S1284" s="110"/>
      <c r="T1284" s="110"/>
      <c r="U1284" s="110"/>
      <c r="V1284" s="110"/>
      <c r="W1284" s="110"/>
      <c r="X1284" s="110"/>
      <c r="Y1284" s="110"/>
    </row>
    <row r="1285" ht="13.5" customHeight="1" spans="1:25">
      <c r="A1285" s="102"/>
      <c r="B1285" s="102"/>
      <c r="C1285" s="102"/>
      <c r="D1285" s="101"/>
      <c r="E1285" s="101"/>
      <c r="F1285" s="101"/>
      <c r="G1285" s="102"/>
      <c r="H1285" s="101"/>
      <c r="I1285" s="101"/>
      <c r="J1285" s="101"/>
      <c r="K1285" s="101"/>
      <c r="L1285" s="101"/>
      <c r="M1285" s="182"/>
      <c r="N1285" s="101"/>
      <c r="O1285" s="110"/>
      <c r="P1285" s="101"/>
      <c r="Q1285" s="102"/>
      <c r="R1285" s="102"/>
      <c r="S1285" s="110"/>
      <c r="T1285" s="110"/>
      <c r="U1285" s="110"/>
      <c r="V1285" s="110"/>
      <c r="W1285" s="110"/>
      <c r="X1285" s="110"/>
      <c r="Y1285" s="110"/>
    </row>
    <row r="1286" ht="13.5" customHeight="1" spans="1:25">
      <c r="A1286" s="102"/>
      <c r="B1286" s="102"/>
      <c r="C1286" s="102"/>
      <c r="D1286" s="101"/>
      <c r="E1286" s="101"/>
      <c r="F1286" s="101"/>
      <c r="G1286" s="102"/>
      <c r="H1286" s="101"/>
      <c r="I1286" s="101"/>
      <c r="J1286" s="101"/>
      <c r="K1286" s="101"/>
      <c r="L1286" s="101"/>
      <c r="M1286" s="182"/>
      <c r="N1286" s="101"/>
      <c r="O1286" s="110"/>
      <c r="P1286" s="101"/>
      <c r="Q1286" s="102"/>
      <c r="R1286" s="102"/>
      <c r="S1286" s="110"/>
      <c r="T1286" s="110"/>
      <c r="U1286" s="110"/>
      <c r="V1286" s="110"/>
      <c r="W1286" s="110"/>
      <c r="X1286" s="110"/>
      <c r="Y1286" s="110"/>
    </row>
    <row r="1287" ht="13.5" customHeight="1" spans="1:25">
      <c r="A1287" s="102"/>
      <c r="B1287" s="102"/>
      <c r="C1287" s="102"/>
      <c r="D1287" s="101"/>
      <c r="E1287" s="101"/>
      <c r="F1287" s="101"/>
      <c r="G1287" s="102"/>
      <c r="H1287" s="101"/>
      <c r="I1287" s="101"/>
      <c r="J1287" s="101"/>
      <c r="K1287" s="101"/>
      <c r="L1287" s="101"/>
      <c r="M1287" s="182"/>
      <c r="N1287" s="101"/>
      <c r="O1287" s="110"/>
      <c r="P1287" s="101"/>
      <c r="Q1287" s="102"/>
      <c r="R1287" s="102"/>
      <c r="S1287" s="110"/>
      <c r="T1287" s="110"/>
      <c r="U1287" s="110"/>
      <c r="V1287" s="110"/>
      <c r="W1287" s="110"/>
      <c r="X1287" s="110"/>
      <c r="Y1287" s="110"/>
    </row>
    <row r="1288" ht="13.5" customHeight="1" spans="1:25">
      <c r="A1288" s="102"/>
      <c r="B1288" s="102"/>
      <c r="C1288" s="102"/>
      <c r="D1288" s="101"/>
      <c r="E1288" s="101"/>
      <c r="F1288" s="101"/>
      <c r="G1288" s="102"/>
      <c r="H1288" s="101"/>
      <c r="I1288" s="101"/>
      <c r="J1288" s="101"/>
      <c r="K1288" s="101"/>
      <c r="L1288" s="101"/>
      <c r="M1288" s="182"/>
      <c r="N1288" s="101"/>
      <c r="O1288" s="110"/>
      <c r="P1288" s="101"/>
      <c r="Q1288" s="102"/>
      <c r="R1288" s="102"/>
      <c r="S1288" s="110"/>
      <c r="T1288" s="110"/>
      <c r="U1288" s="110"/>
      <c r="V1288" s="110"/>
      <c r="W1288" s="110"/>
      <c r="X1288" s="110"/>
      <c r="Y1288" s="110"/>
    </row>
    <row r="1289" ht="13.5" customHeight="1" spans="1:25">
      <c r="A1289" s="102"/>
      <c r="B1289" s="102"/>
      <c r="C1289" s="102"/>
      <c r="D1289" s="101"/>
      <c r="E1289" s="101"/>
      <c r="F1289" s="101"/>
      <c r="G1289" s="102"/>
      <c r="H1289" s="101"/>
      <c r="I1289" s="101"/>
      <c r="J1289" s="101"/>
      <c r="K1289" s="101"/>
      <c r="L1289" s="101"/>
      <c r="M1289" s="182"/>
      <c r="N1289" s="101"/>
      <c r="O1289" s="110"/>
      <c r="P1289" s="101"/>
      <c r="Q1289" s="102"/>
      <c r="R1289" s="102"/>
      <c r="S1289" s="110"/>
      <c r="T1289" s="110"/>
      <c r="U1289" s="110"/>
      <c r="V1289" s="110"/>
      <c r="W1289" s="110"/>
      <c r="X1289" s="110"/>
      <c r="Y1289" s="110"/>
    </row>
    <row r="1290" ht="13.5" customHeight="1" spans="1:25">
      <c r="A1290" s="102"/>
      <c r="B1290" s="102"/>
      <c r="C1290" s="102"/>
      <c r="D1290" s="101"/>
      <c r="E1290" s="101"/>
      <c r="F1290" s="101"/>
      <c r="G1290" s="102"/>
      <c r="H1290" s="101"/>
      <c r="I1290" s="101"/>
      <c r="J1290" s="101"/>
      <c r="K1290" s="101"/>
      <c r="L1290" s="101"/>
      <c r="M1290" s="182"/>
      <c r="N1290" s="101"/>
      <c r="O1290" s="110"/>
      <c r="P1290" s="101"/>
      <c r="Q1290" s="102"/>
      <c r="R1290" s="102"/>
      <c r="S1290" s="110"/>
      <c r="T1290" s="110"/>
      <c r="U1290" s="110"/>
      <c r="V1290" s="110"/>
      <c r="W1290" s="110"/>
      <c r="X1290" s="110"/>
      <c r="Y1290" s="110"/>
    </row>
    <row r="1291" ht="13.5" customHeight="1" spans="1:25">
      <c r="A1291" s="102"/>
      <c r="B1291" s="102"/>
      <c r="C1291" s="102"/>
      <c r="D1291" s="101"/>
      <c r="E1291" s="101"/>
      <c r="F1291" s="101"/>
      <c r="G1291" s="102"/>
      <c r="H1291" s="101"/>
      <c r="I1291" s="101"/>
      <c r="J1291" s="101"/>
      <c r="K1291" s="101"/>
      <c r="L1291" s="101"/>
      <c r="M1291" s="182"/>
      <c r="N1291" s="101"/>
      <c r="O1291" s="110"/>
      <c r="P1291" s="101"/>
      <c r="Q1291" s="102"/>
      <c r="R1291" s="102"/>
      <c r="S1291" s="110"/>
      <c r="T1291" s="110"/>
      <c r="U1291" s="110"/>
      <c r="V1291" s="110"/>
      <c r="W1291" s="110"/>
      <c r="X1291" s="110"/>
      <c r="Y1291" s="110"/>
    </row>
    <row r="1292" ht="13.5" customHeight="1" spans="1:25">
      <c r="A1292" s="102"/>
      <c r="B1292" s="102"/>
      <c r="C1292" s="102"/>
      <c r="D1292" s="101"/>
      <c r="E1292" s="101"/>
      <c r="F1292" s="101"/>
      <c r="G1292" s="102"/>
      <c r="H1292" s="101"/>
      <c r="I1292" s="101"/>
      <c r="J1292" s="101"/>
      <c r="K1292" s="101"/>
      <c r="L1292" s="101"/>
      <c r="M1292" s="182"/>
      <c r="N1292" s="101"/>
      <c r="O1292" s="110"/>
      <c r="P1292" s="101"/>
      <c r="Q1292" s="102"/>
      <c r="R1292" s="102"/>
      <c r="S1292" s="110"/>
      <c r="T1292" s="110"/>
      <c r="U1292" s="110"/>
      <c r="V1292" s="110"/>
      <c r="W1292" s="110"/>
      <c r="X1292" s="110"/>
      <c r="Y1292" s="110"/>
    </row>
    <row r="1293" ht="13.5" customHeight="1" spans="1:25">
      <c r="A1293" s="102"/>
      <c r="B1293" s="102"/>
      <c r="C1293" s="102"/>
      <c r="D1293" s="101"/>
      <c r="E1293" s="101"/>
      <c r="F1293" s="101"/>
      <c r="G1293" s="102"/>
      <c r="H1293" s="101"/>
      <c r="I1293" s="101"/>
      <c r="J1293" s="101"/>
      <c r="K1293" s="101"/>
      <c r="L1293" s="101"/>
      <c r="M1293" s="182"/>
      <c r="N1293" s="101"/>
      <c r="O1293" s="110"/>
      <c r="P1293" s="101"/>
      <c r="Q1293" s="102"/>
      <c r="R1293" s="102"/>
      <c r="S1293" s="110"/>
      <c r="T1293" s="110"/>
      <c r="U1293" s="110"/>
      <c r="V1293" s="110"/>
      <c r="W1293" s="110"/>
      <c r="X1293" s="110"/>
      <c r="Y1293" s="110"/>
    </row>
    <row r="1294" ht="13.5" customHeight="1" spans="1:25">
      <c r="A1294" s="102"/>
      <c r="B1294" s="102"/>
      <c r="C1294" s="102"/>
      <c r="D1294" s="101"/>
      <c r="E1294" s="101"/>
      <c r="F1294" s="101"/>
      <c r="G1294" s="102"/>
      <c r="H1294" s="101"/>
      <c r="I1294" s="101"/>
      <c r="J1294" s="101"/>
      <c r="K1294" s="101"/>
      <c r="L1294" s="101"/>
      <c r="M1294" s="182"/>
      <c r="N1294" s="101"/>
      <c r="O1294" s="110"/>
      <c r="P1294" s="101"/>
      <c r="Q1294" s="102"/>
      <c r="R1294" s="102"/>
      <c r="S1294" s="110"/>
      <c r="T1294" s="110"/>
      <c r="U1294" s="110"/>
      <c r="V1294" s="110"/>
      <c r="W1294" s="110"/>
      <c r="X1294" s="110"/>
      <c r="Y1294" s="110"/>
    </row>
    <row r="1295" ht="13.5" customHeight="1" spans="1:25">
      <c r="A1295" s="102"/>
      <c r="B1295" s="102"/>
      <c r="C1295" s="102"/>
      <c r="D1295" s="101"/>
      <c r="E1295" s="101"/>
      <c r="F1295" s="101"/>
      <c r="G1295" s="102"/>
      <c r="H1295" s="101"/>
      <c r="I1295" s="101"/>
      <c r="J1295" s="101"/>
      <c r="K1295" s="101"/>
      <c r="L1295" s="101"/>
      <c r="M1295" s="182"/>
      <c r="N1295" s="101"/>
      <c r="O1295" s="110"/>
      <c r="P1295" s="101"/>
      <c r="Q1295" s="102"/>
      <c r="R1295" s="102"/>
      <c r="S1295" s="110"/>
      <c r="T1295" s="110"/>
      <c r="U1295" s="110"/>
      <c r="V1295" s="110"/>
      <c r="W1295" s="110"/>
      <c r="X1295" s="110"/>
      <c r="Y1295" s="110"/>
    </row>
    <row r="1296" ht="13.5" customHeight="1" spans="1:25">
      <c r="A1296" s="102"/>
      <c r="B1296" s="102"/>
      <c r="C1296" s="102"/>
      <c r="D1296" s="101"/>
      <c r="E1296" s="101"/>
      <c r="F1296" s="101"/>
      <c r="G1296" s="102"/>
      <c r="H1296" s="101"/>
      <c r="I1296" s="101"/>
      <c r="J1296" s="101"/>
      <c r="K1296" s="101"/>
      <c r="L1296" s="101"/>
      <c r="M1296" s="182"/>
      <c r="N1296" s="101"/>
      <c r="O1296" s="110"/>
      <c r="P1296" s="101"/>
      <c r="Q1296" s="102"/>
      <c r="R1296" s="102"/>
      <c r="S1296" s="110"/>
      <c r="T1296" s="110"/>
      <c r="U1296" s="110"/>
      <c r="V1296" s="110"/>
      <c r="W1296" s="110"/>
      <c r="X1296" s="110"/>
      <c r="Y1296" s="110"/>
    </row>
    <row r="1297" ht="13.5" customHeight="1" spans="1:25">
      <c r="A1297" s="102"/>
      <c r="B1297" s="102"/>
      <c r="C1297" s="102"/>
      <c r="D1297" s="101"/>
      <c r="E1297" s="101"/>
      <c r="F1297" s="101"/>
      <c r="G1297" s="102"/>
      <c r="H1297" s="101"/>
      <c r="I1297" s="101"/>
      <c r="J1297" s="101"/>
      <c r="K1297" s="101"/>
      <c r="L1297" s="101"/>
      <c r="M1297" s="182"/>
      <c r="N1297" s="101"/>
      <c r="O1297" s="110"/>
      <c r="P1297" s="101"/>
      <c r="Q1297" s="102"/>
      <c r="R1297" s="102"/>
      <c r="S1297" s="110"/>
      <c r="T1297" s="110"/>
      <c r="U1297" s="110"/>
      <c r="V1297" s="110"/>
      <c r="W1297" s="110"/>
      <c r="X1297" s="110"/>
      <c r="Y1297" s="110"/>
    </row>
    <row r="1298" ht="13.5" customHeight="1" spans="1:25">
      <c r="A1298" s="102"/>
      <c r="B1298" s="102"/>
      <c r="C1298" s="102"/>
      <c r="D1298" s="101"/>
      <c r="E1298" s="101"/>
      <c r="F1298" s="101"/>
      <c r="G1298" s="102"/>
      <c r="H1298" s="101"/>
      <c r="I1298" s="101"/>
      <c r="J1298" s="101"/>
      <c r="K1298" s="101"/>
      <c r="L1298" s="101"/>
      <c r="M1298" s="182"/>
      <c r="N1298" s="101"/>
      <c r="O1298" s="110"/>
      <c r="P1298" s="101"/>
      <c r="Q1298" s="102"/>
      <c r="R1298" s="102"/>
      <c r="S1298" s="110"/>
      <c r="T1298" s="110"/>
      <c r="U1298" s="110"/>
      <c r="V1298" s="110"/>
      <c r="W1298" s="110"/>
      <c r="X1298" s="110"/>
      <c r="Y1298" s="110"/>
    </row>
    <row r="1299" ht="13.5" customHeight="1" spans="1:25">
      <c r="A1299" s="102"/>
      <c r="B1299" s="102"/>
      <c r="C1299" s="102"/>
      <c r="D1299" s="101"/>
      <c r="E1299" s="101"/>
      <c r="F1299" s="101"/>
      <c r="G1299" s="102"/>
      <c r="H1299" s="101"/>
      <c r="I1299" s="101"/>
      <c r="J1299" s="101"/>
      <c r="K1299" s="101"/>
      <c r="L1299" s="101"/>
      <c r="M1299" s="182"/>
      <c r="N1299" s="101"/>
      <c r="O1299" s="110"/>
      <c r="P1299" s="101"/>
      <c r="Q1299" s="102"/>
      <c r="R1299" s="102"/>
      <c r="S1299" s="110"/>
      <c r="T1299" s="110"/>
      <c r="U1299" s="110"/>
      <c r="V1299" s="110"/>
      <c r="W1299" s="110"/>
      <c r="X1299" s="110"/>
      <c r="Y1299" s="110"/>
    </row>
    <row r="1300" ht="13.5" customHeight="1" spans="1:25">
      <c r="A1300" s="102"/>
      <c r="B1300" s="102"/>
      <c r="C1300" s="102"/>
      <c r="D1300" s="101"/>
      <c r="E1300" s="101"/>
      <c r="F1300" s="101"/>
      <c r="G1300" s="102"/>
      <c r="H1300" s="101"/>
      <c r="I1300" s="101"/>
      <c r="J1300" s="101"/>
      <c r="K1300" s="101"/>
      <c r="L1300" s="101"/>
      <c r="M1300" s="182"/>
      <c r="N1300" s="101"/>
      <c r="O1300" s="110"/>
      <c r="P1300" s="101"/>
      <c r="Q1300" s="102"/>
      <c r="R1300" s="102"/>
      <c r="S1300" s="110"/>
      <c r="T1300" s="110"/>
      <c r="U1300" s="110"/>
      <c r="V1300" s="110"/>
      <c r="W1300" s="110"/>
      <c r="X1300" s="110"/>
      <c r="Y1300" s="110"/>
    </row>
    <row r="1301" ht="13.5" customHeight="1" spans="1:25">
      <c r="A1301" s="102"/>
      <c r="B1301" s="102"/>
      <c r="C1301" s="102"/>
      <c r="D1301" s="101"/>
      <c r="E1301" s="101"/>
      <c r="F1301" s="101"/>
      <c r="G1301" s="102"/>
      <c r="H1301" s="101"/>
      <c r="I1301" s="101"/>
      <c r="J1301" s="101"/>
      <c r="K1301" s="101"/>
      <c r="L1301" s="101"/>
      <c r="M1301" s="182"/>
      <c r="N1301" s="101"/>
      <c r="O1301" s="110"/>
      <c r="P1301" s="101"/>
      <c r="Q1301" s="102"/>
      <c r="R1301" s="102"/>
      <c r="S1301" s="110"/>
      <c r="T1301" s="110"/>
      <c r="U1301" s="110"/>
      <c r="V1301" s="110"/>
      <c r="W1301" s="110"/>
      <c r="X1301" s="110"/>
      <c r="Y1301" s="110"/>
    </row>
    <row r="1302" ht="13.5" customHeight="1" spans="1:25">
      <c r="A1302" s="102"/>
      <c r="B1302" s="102"/>
      <c r="C1302" s="102"/>
      <c r="D1302" s="101"/>
      <c r="E1302" s="101"/>
      <c r="F1302" s="101"/>
      <c r="G1302" s="102"/>
      <c r="H1302" s="101"/>
      <c r="I1302" s="101"/>
      <c r="J1302" s="101"/>
      <c r="K1302" s="101"/>
      <c r="L1302" s="101"/>
      <c r="M1302" s="182"/>
      <c r="N1302" s="101"/>
      <c r="O1302" s="110"/>
      <c r="P1302" s="101"/>
      <c r="Q1302" s="102"/>
      <c r="R1302" s="102"/>
      <c r="S1302" s="110"/>
      <c r="T1302" s="110"/>
      <c r="U1302" s="110"/>
      <c r="V1302" s="110"/>
      <c r="W1302" s="110"/>
      <c r="X1302" s="110"/>
      <c r="Y1302" s="110"/>
    </row>
    <row r="1303" ht="13.5" customHeight="1" spans="1:25">
      <c r="A1303" s="102"/>
      <c r="B1303" s="102"/>
      <c r="C1303" s="102"/>
      <c r="D1303" s="101"/>
      <c r="E1303" s="101"/>
      <c r="F1303" s="101"/>
      <c r="G1303" s="102"/>
      <c r="H1303" s="101"/>
      <c r="I1303" s="101"/>
      <c r="J1303" s="101"/>
      <c r="K1303" s="101"/>
      <c r="L1303" s="101"/>
      <c r="M1303" s="182"/>
      <c r="N1303" s="101"/>
      <c r="O1303" s="110"/>
      <c r="P1303" s="101"/>
      <c r="Q1303" s="102"/>
      <c r="R1303" s="102"/>
      <c r="S1303" s="110"/>
      <c r="T1303" s="110"/>
      <c r="U1303" s="110"/>
      <c r="V1303" s="110"/>
      <c r="W1303" s="110"/>
      <c r="X1303" s="110"/>
      <c r="Y1303" s="110"/>
    </row>
    <row r="1304" ht="13.5" customHeight="1" spans="1:25">
      <c r="A1304" s="102"/>
      <c r="B1304" s="102"/>
      <c r="C1304" s="102"/>
      <c r="D1304" s="101"/>
      <c r="E1304" s="101"/>
      <c r="F1304" s="101"/>
      <c r="G1304" s="102"/>
      <c r="H1304" s="101"/>
      <c r="I1304" s="101"/>
      <c r="J1304" s="101"/>
      <c r="K1304" s="101"/>
      <c r="L1304" s="101"/>
      <c r="M1304" s="182"/>
      <c r="N1304" s="101"/>
      <c r="O1304" s="110"/>
      <c r="P1304" s="101"/>
      <c r="Q1304" s="102"/>
      <c r="R1304" s="102"/>
      <c r="S1304" s="110"/>
      <c r="T1304" s="110"/>
      <c r="U1304" s="110"/>
      <c r="V1304" s="110"/>
      <c r="W1304" s="110"/>
      <c r="X1304" s="110"/>
      <c r="Y1304" s="110"/>
    </row>
    <row r="1305" ht="13.5" customHeight="1" spans="1:25">
      <c r="A1305" s="102"/>
      <c r="B1305" s="102"/>
      <c r="C1305" s="102"/>
      <c r="D1305" s="101"/>
      <c r="E1305" s="101"/>
      <c r="F1305" s="101"/>
      <c r="G1305" s="102"/>
      <c r="H1305" s="101"/>
      <c r="I1305" s="101"/>
      <c r="J1305" s="101"/>
      <c r="K1305" s="101"/>
      <c r="L1305" s="101"/>
      <c r="M1305" s="182"/>
      <c r="N1305" s="101"/>
      <c r="O1305" s="110"/>
      <c r="P1305" s="101"/>
      <c r="Q1305" s="102"/>
      <c r="R1305" s="102"/>
      <c r="S1305" s="110"/>
      <c r="T1305" s="110"/>
      <c r="U1305" s="110"/>
      <c r="V1305" s="110"/>
      <c r="W1305" s="110"/>
      <c r="X1305" s="110"/>
      <c r="Y1305" s="110"/>
    </row>
    <row r="1306" ht="13.5" customHeight="1" spans="1:25">
      <c r="A1306" s="102"/>
      <c r="B1306" s="102"/>
      <c r="C1306" s="102"/>
      <c r="D1306" s="101"/>
      <c r="E1306" s="101"/>
      <c r="F1306" s="101"/>
      <c r="G1306" s="102"/>
      <c r="H1306" s="101"/>
      <c r="I1306" s="101"/>
      <c r="J1306" s="101"/>
      <c r="K1306" s="101"/>
      <c r="L1306" s="101"/>
      <c r="M1306" s="182"/>
      <c r="N1306" s="101"/>
      <c r="O1306" s="110"/>
      <c r="P1306" s="101"/>
      <c r="Q1306" s="102"/>
      <c r="R1306" s="102"/>
      <c r="S1306" s="110"/>
      <c r="T1306" s="110"/>
      <c r="U1306" s="110"/>
      <c r="V1306" s="110"/>
      <c r="W1306" s="110"/>
      <c r="X1306" s="110"/>
      <c r="Y1306" s="110"/>
    </row>
    <row r="1307" ht="13.5" customHeight="1" spans="1:25">
      <c r="A1307" s="102"/>
      <c r="B1307" s="102"/>
      <c r="C1307" s="102"/>
      <c r="D1307" s="101"/>
      <c r="E1307" s="101"/>
      <c r="F1307" s="101"/>
      <c r="G1307" s="102"/>
      <c r="H1307" s="101"/>
      <c r="I1307" s="101"/>
      <c r="J1307" s="101"/>
      <c r="K1307" s="101"/>
      <c r="L1307" s="101"/>
      <c r="M1307" s="182"/>
      <c r="N1307" s="101"/>
      <c r="O1307" s="110"/>
      <c r="P1307" s="101"/>
      <c r="Q1307" s="102"/>
      <c r="R1307" s="102"/>
      <c r="S1307" s="110"/>
      <c r="T1307" s="110"/>
      <c r="U1307" s="110"/>
      <c r="V1307" s="110"/>
      <c r="W1307" s="110"/>
      <c r="X1307" s="110"/>
      <c r="Y1307" s="110"/>
    </row>
    <row r="1308" ht="13.5" customHeight="1" spans="1:25">
      <c r="A1308" s="102"/>
      <c r="B1308" s="102"/>
      <c r="C1308" s="102"/>
      <c r="D1308" s="101"/>
      <c r="E1308" s="101"/>
      <c r="F1308" s="101"/>
      <c r="G1308" s="102"/>
      <c r="H1308" s="101"/>
      <c r="I1308" s="101"/>
      <c r="J1308" s="101"/>
      <c r="K1308" s="101"/>
      <c r="L1308" s="101"/>
      <c r="M1308" s="182"/>
      <c r="N1308" s="101"/>
      <c r="O1308" s="110"/>
      <c r="P1308" s="101"/>
      <c r="Q1308" s="102"/>
      <c r="R1308" s="102"/>
      <c r="S1308" s="110"/>
      <c r="T1308" s="110"/>
      <c r="U1308" s="110"/>
      <c r="V1308" s="110"/>
      <c r="W1308" s="110"/>
      <c r="X1308" s="110"/>
      <c r="Y1308" s="110"/>
    </row>
    <row r="1309" ht="13.5" customHeight="1" spans="1:25">
      <c r="A1309" s="102"/>
      <c r="B1309" s="102"/>
      <c r="C1309" s="102"/>
      <c r="D1309" s="101"/>
      <c r="E1309" s="101"/>
      <c r="F1309" s="101"/>
      <c r="G1309" s="102"/>
      <c r="H1309" s="101"/>
      <c r="I1309" s="101"/>
      <c r="J1309" s="101"/>
      <c r="K1309" s="101"/>
      <c r="L1309" s="101"/>
      <c r="M1309" s="182"/>
      <c r="N1309" s="101"/>
      <c r="O1309" s="110"/>
      <c r="P1309" s="101"/>
      <c r="Q1309" s="102"/>
      <c r="R1309" s="102"/>
      <c r="S1309" s="110"/>
      <c r="T1309" s="110"/>
      <c r="U1309" s="110"/>
      <c r="V1309" s="110"/>
      <c r="W1309" s="110"/>
      <c r="X1309" s="110"/>
      <c r="Y1309" s="110"/>
    </row>
    <row r="1310" ht="13.5" customHeight="1" spans="1:25">
      <c r="A1310" s="102"/>
      <c r="B1310" s="102"/>
      <c r="C1310" s="102"/>
      <c r="D1310" s="101"/>
      <c r="E1310" s="101"/>
      <c r="F1310" s="101"/>
      <c r="G1310" s="102"/>
      <c r="H1310" s="101"/>
      <c r="I1310" s="101"/>
      <c r="J1310" s="101"/>
      <c r="K1310" s="101"/>
      <c r="L1310" s="101"/>
      <c r="M1310" s="182"/>
      <c r="N1310" s="101"/>
      <c r="O1310" s="110"/>
      <c r="P1310" s="101"/>
      <c r="Q1310" s="102"/>
      <c r="R1310" s="102"/>
      <c r="S1310" s="110"/>
      <c r="T1310" s="110"/>
      <c r="U1310" s="110"/>
      <c r="V1310" s="110"/>
      <c r="W1310" s="110"/>
      <c r="X1310" s="110"/>
      <c r="Y1310" s="110"/>
    </row>
    <row r="1311" ht="13.5" customHeight="1" spans="1:25">
      <c r="A1311" s="102"/>
      <c r="B1311" s="102"/>
      <c r="C1311" s="102"/>
      <c r="D1311" s="101"/>
      <c r="E1311" s="101"/>
      <c r="F1311" s="101"/>
      <c r="G1311" s="102"/>
      <c r="H1311" s="101"/>
      <c r="I1311" s="101"/>
      <c r="J1311" s="101"/>
      <c r="K1311" s="101"/>
      <c r="L1311" s="101"/>
      <c r="M1311" s="182"/>
      <c r="N1311" s="101"/>
      <c r="O1311" s="110"/>
      <c r="P1311" s="101"/>
      <c r="Q1311" s="102"/>
      <c r="R1311" s="102"/>
      <c r="S1311" s="110"/>
      <c r="T1311" s="110"/>
      <c r="U1311" s="110"/>
      <c r="V1311" s="110"/>
      <c r="W1311" s="110"/>
      <c r="X1311" s="110"/>
      <c r="Y1311" s="110"/>
    </row>
    <row r="1312" ht="13.5" customHeight="1" spans="1:25">
      <c r="A1312" s="102"/>
      <c r="B1312" s="102"/>
      <c r="C1312" s="102"/>
      <c r="D1312" s="101"/>
      <c r="E1312" s="101"/>
      <c r="F1312" s="101"/>
      <c r="G1312" s="102"/>
      <c r="H1312" s="101"/>
      <c r="I1312" s="101"/>
      <c r="J1312" s="101"/>
      <c r="K1312" s="101"/>
      <c r="L1312" s="101"/>
      <c r="M1312" s="182"/>
      <c r="N1312" s="101"/>
      <c r="O1312" s="110"/>
      <c r="P1312" s="101"/>
      <c r="Q1312" s="102"/>
      <c r="R1312" s="102"/>
      <c r="S1312" s="110"/>
      <c r="T1312" s="110"/>
      <c r="U1312" s="110"/>
      <c r="V1312" s="110"/>
      <c r="W1312" s="110"/>
      <c r="X1312" s="110"/>
      <c r="Y1312" s="110"/>
    </row>
    <row r="1313" ht="13.5" customHeight="1" spans="1:25">
      <c r="A1313" s="102"/>
      <c r="B1313" s="102"/>
      <c r="C1313" s="102"/>
      <c r="D1313" s="101"/>
      <c r="E1313" s="101"/>
      <c r="F1313" s="101"/>
      <c r="G1313" s="102"/>
      <c r="H1313" s="101"/>
      <c r="I1313" s="101"/>
      <c r="J1313" s="101"/>
      <c r="K1313" s="101"/>
      <c r="L1313" s="101"/>
      <c r="M1313" s="182"/>
      <c r="N1313" s="101"/>
      <c r="O1313" s="110"/>
      <c r="P1313" s="101"/>
      <c r="Q1313" s="102"/>
      <c r="R1313" s="102"/>
      <c r="S1313" s="110"/>
      <c r="T1313" s="110"/>
      <c r="U1313" s="110"/>
      <c r="V1313" s="110"/>
      <c r="W1313" s="110"/>
      <c r="X1313" s="110"/>
      <c r="Y1313" s="110"/>
    </row>
    <row r="1314" ht="13.5" customHeight="1" spans="1:25">
      <c r="A1314" s="102"/>
      <c r="B1314" s="102"/>
      <c r="C1314" s="102"/>
      <c r="D1314" s="101"/>
      <c r="E1314" s="101"/>
      <c r="F1314" s="101"/>
      <c r="G1314" s="102"/>
      <c r="H1314" s="101"/>
      <c r="I1314" s="101"/>
      <c r="J1314" s="101"/>
      <c r="K1314" s="101"/>
      <c r="L1314" s="101"/>
      <c r="M1314" s="182"/>
      <c r="N1314" s="101"/>
      <c r="O1314" s="110"/>
      <c r="P1314" s="101"/>
      <c r="Q1314" s="102"/>
      <c r="R1314" s="102"/>
      <c r="S1314" s="110"/>
      <c r="T1314" s="110"/>
      <c r="U1314" s="110"/>
      <c r="V1314" s="110"/>
      <c r="W1314" s="110"/>
      <c r="X1314" s="110"/>
      <c r="Y1314" s="110"/>
    </row>
    <row r="1315" ht="13.5" customHeight="1" spans="1:25">
      <c r="A1315" s="102"/>
      <c r="B1315" s="102"/>
      <c r="C1315" s="102"/>
      <c r="D1315" s="101"/>
      <c r="E1315" s="101"/>
      <c r="F1315" s="101"/>
      <c r="G1315" s="102"/>
      <c r="H1315" s="101"/>
      <c r="I1315" s="101"/>
      <c r="J1315" s="101"/>
      <c r="K1315" s="101"/>
      <c r="L1315" s="101"/>
      <c r="M1315" s="182"/>
      <c r="N1315" s="101"/>
      <c r="O1315" s="110"/>
      <c r="P1315" s="101"/>
      <c r="Q1315" s="102"/>
      <c r="R1315" s="102"/>
      <c r="S1315" s="110"/>
      <c r="T1315" s="110"/>
      <c r="U1315" s="110"/>
      <c r="V1315" s="110"/>
      <c r="W1315" s="110"/>
      <c r="X1315" s="110"/>
      <c r="Y1315" s="110"/>
    </row>
    <row r="1316" ht="13.5" customHeight="1" spans="1:25">
      <c r="A1316" s="102"/>
      <c r="B1316" s="102"/>
      <c r="C1316" s="102"/>
      <c r="D1316" s="101"/>
      <c r="E1316" s="101"/>
      <c r="F1316" s="101"/>
      <c r="G1316" s="102"/>
      <c r="H1316" s="101"/>
      <c r="I1316" s="101"/>
      <c r="J1316" s="101"/>
      <c r="K1316" s="101"/>
      <c r="L1316" s="101"/>
      <c r="M1316" s="182"/>
      <c r="N1316" s="101"/>
      <c r="O1316" s="110"/>
      <c r="P1316" s="101"/>
      <c r="Q1316" s="102"/>
      <c r="R1316" s="102"/>
      <c r="S1316" s="110"/>
      <c r="T1316" s="110"/>
      <c r="U1316" s="110"/>
      <c r="V1316" s="110"/>
      <c r="W1316" s="110"/>
      <c r="X1316" s="110"/>
      <c r="Y1316" s="110"/>
    </row>
    <row r="1317" ht="13.5" customHeight="1" spans="1:25">
      <c r="A1317" s="102"/>
      <c r="B1317" s="102"/>
      <c r="C1317" s="102"/>
      <c r="D1317" s="101"/>
      <c r="E1317" s="101"/>
      <c r="F1317" s="101"/>
      <c r="G1317" s="102"/>
      <c r="H1317" s="101"/>
      <c r="I1317" s="101"/>
      <c r="J1317" s="101"/>
      <c r="K1317" s="101"/>
      <c r="L1317" s="101"/>
      <c r="M1317" s="182"/>
      <c r="N1317" s="101"/>
      <c r="O1317" s="110"/>
      <c r="P1317" s="101"/>
      <c r="Q1317" s="102"/>
      <c r="R1317" s="102"/>
      <c r="S1317" s="110"/>
      <c r="T1317" s="110"/>
      <c r="U1317" s="110"/>
      <c r="V1317" s="110"/>
      <c r="W1317" s="110"/>
      <c r="X1317" s="110"/>
      <c r="Y1317" s="110"/>
    </row>
    <row r="1318" ht="13.5" customHeight="1" spans="1:25">
      <c r="A1318" s="102"/>
      <c r="B1318" s="102"/>
      <c r="C1318" s="102"/>
      <c r="D1318" s="101"/>
      <c r="E1318" s="101"/>
      <c r="F1318" s="101"/>
      <c r="G1318" s="102"/>
      <c r="H1318" s="101"/>
      <c r="I1318" s="101"/>
      <c r="J1318" s="101"/>
      <c r="K1318" s="101"/>
      <c r="L1318" s="101"/>
      <c r="M1318" s="182"/>
      <c r="N1318" s="101"/>
      <c r="O1318" s="110"/>
      <c r="P1318" s="101"/>
      <c r="Q1318" s="102"/>
      <c r="R1318" s="102"/>
      <c r="S1318" s="110"/>
      <c r="T1318" s="110"/>
      <c r="U1318" s="110"/>
      <c r="V1318" s="110"/>
      <c r="W1318" s="110"/>
      <c r="X1318" s="110"/>
      <c r="Y1318" s="110"/>
    </row>
    <row r="1319" ht="13.5" customHeight="1" spans="1:25">
      <c r="A1319" s="102"/>
      <c r="B1319" s="102"/>
      <c r="C1319" s="102"/>
      <c r="D1319" s="101"/>
      <c r="E1319" s="101"/>
      <c r="F1319" s="101"/>
      <c r="G1319" s="102"/>
      <c r="H1319" s="101"/>
      <c r="I1319" s="101"/>
      <c r="J1319" s="101"/>
      <c r="K1319" s="101"/>
      <c r="L1319" s="101"/>
      <c r="M1319" s="182"/>
      <c r="N1319" s="101"/>
      <c r="O1319" s="110"/>
      <c r="P1319" s="101"/>
      <c r="Q1319" s="102"/>
      <c r="R1319" s="102"/>
      <c r="S1319" s="110"/>
      <c r="T1319" s="110"/>
      <c r="U1319" s="110"/>
      <c r="V1319" s="110"/>
      <c r="W1319" s="110"/>
      <c r="X1319" s="110"/>
      <c r="Y1319" s="110"/>
    </row>
    <row r="1320" ht="13.5" customHeight="1" spans="1:25">
      <c r="A1320" s="102"/>
      <c r="B1320" s="102"/>
      <c r="C1320" s="102"/>
      <c r="D1320" s="101"/>
      <c r="E1320" s="101"/>
      <c r="F1320" s="101"/>
      <c r="G1320" s="102"/>
      <c r="H1320" s="101"/>
      <c r="I1320" s="101"/>
      <c r="J1320" s="101"/>
      <c r="K1320" s="101"/>
      <c r="L1320" s="101"/>
      <c r="M1320" s="182"/>
      <c r="N1320" s="101"/>
      <c r="O1320" s="110"/>
      <c r="P1320" s="101"/>
      <c r="Q1320" s="102"/>
      <c r="R1320" s="102"/>
      <c r="S1320" s="110"/>
      <c r="T1320" s="110"/>
      <c r="U1320" s="110"/>
      <c r="V1320" s="110"/>
      <c r="W1320" s="110"/>
      <c r="X1320" s="110"/>
      <c r="Y1320" s="110"/>
    </row>
    <row r="1321" ht="13.5" customHeight="1" spans="1:25">
      <c r="A1321" s="102"/>
      <c r="B1321" s="102"/>
      <c r="C1321" s="102"/>
      <c r="D1321" s="101"/>
      <c r="E1321" s="101"/>
      <c r="F1321" s="101"/>
      <c r="G1321" s="102"/>
      <c r="H1321" s="101"/>
      <c r="I1321" s="101"/>
      <c r="J1321" s="101"/>
      <c r="K1321" s="101"/>
      <c r="L1321" s="101"/>
      <c r="M1321" s="182"/>
      <c r="N1321" s="101"/>
      <c r="O1321" s="110"/>
      <c r="P1321" s="101"/>
      <c r="Q1321" s="102"/>
      <c r="R1321" s="102"/>
      <c r="S1321" s="110"/>
      <c r="T1321" s="110"/>
      <c r="U1321" s="110"/>
      <c r="V1321" s="110"/>
      <c r="W1321" s="110"/>
      <c r="X1321" s="110"/>
      <c r="Y1321" s="110"/>
    </row>
    <row r="1322" ht="13.5" customHeight="1" spans="1:25">
      <c r="A1322" s="102"/>
      <c r="B1322" s="102"/>
      <c r="C1322" s="102"/>
      <c r="D1322" s="101"/>
      <c r="E1322" s="101"/>
      <c r="F1322" s="101"/>
      <c r="G1322" s="102"/>
      <c r="H1322" s="101"/>
      <c r="I1322" s="101"/>
      <c r="J1322" s="101"/>
      <c r="K1322" s="101"/>
      <c r="L1322" s="101"/>
      <c r="M1322" s="182"/>
      <c r="N1322" s="101"/>
      <c r="O1322" s="110"/>
      <c r="P1322" s="101"/>
      <c r="Q1322" s="102"/>
      <c r="R1322" s="102"/>
      <c r="S1322" s="110"/>
      <c r="T1322" s="110"/>
      <c r="U1322" s="110"/>
      <c r="V1322" s="110"/>
      <c r="W1322" s="110"/>
      <c r="X1322" s="110"/>
      <c r="Y1322" s="110"/>
    </row>
    <row r="1323" ht="13.5" customHeight="1" spans="1:25">
      <c r="A1323" s="102"/>
      <c r="B1323" s="102"/>
      <c r="C1323" s="102"/>
      <c r="D1323" s="101"/>
      <c r="E1323" s="101"/>
      <c r="F1323" s="101"/>
      <c r="G1323" s="102"/>
      <c r="H1323" s="101"/>
      <c r="I1323" s="101"/>
      <c r="J1323" s="101"/>
      <c r="K1323" s="101"/>
      <c r="L1323" s="101"/>
      <c r="M1323" s="182"/>
      <c r="N1323" s="101"/>
      <c r="O1323" s="110"/>
      <c r="P1323" s="101"/>
      <c r="Q1323" s="102"/>
      <c r="R1323" s="102"/>
      <c r="S1323" s="110"/>
      <c r="T1323" s="110"/>
      <c r="U1323" s="110"/>
      <c r="V1323" s="110"/>
      <c r="W1323" s="110"/>
      <c r="X1323" s="110"/>
      <c r="Y1323" s="110"/>
    </row>
    <row r="1324" ht="13.5" customHeight="1" spans="1:25">
      <c r="A1324" s="102"/>
      <c r="B1324" s="102"/>
      <c r="C1324" s="102"/>
      <c r="D1324" s="101"/>
      <c r="E1324" s="101"/>
      <c r="F1324" s="101"/>
      <c r="G1324" s="102"/>
      <c r="H1324" s="101"/>
      <c r="I1324" s="101"/>
      <c r="J1324" s="101"/>
      <c r="K1324" s="101"/>
      <c r="L1324" s="101"/>
      <c r="M1324" s="182"/>
      <c r="N1324" s="101"/>
      <c r="O1324" s="110"/>
      <c r="P1324" s="101"/>
      <c r="Q1324" s="102"/>
      <c r="R1324" s="102"/>
      <c r="S1324" s="110"/>
      <c r="T1324" s="110"/>
      <c r="U1324" s="110"/>
      <c r="V1324" s="110"/>
      <c r="W1324" s="110"/>
      <c r="X1324" s="110"/>
      <c r="Y1324" s="110"/>
    </row>
    <row r="1325" ht="13.5" customHeight="1" spans="1:25">
      <c r="A1325" s="102"/>
      <c r="B1325" s="102"/>
      <c r="C1325" s="102"/>
      <c r="D1325" s="101"/>
      <c r="E1325" s="101"/>
      <c r="F1325" s="101"/>
      <c r="G1325" s="102"/>
      <c r="H1325" s="101"/>
      <c r="I1325" s="101"/>
      <c r="J1325" s="101"/>
      <c r="K1325" s="101"/>
      <c r="L1325" s="101"/>
      <c r="M1325" s="182"/>
      <c r="N1325" s="101"/>
      <c r="O1325" s="110"/>
      <c r="P1325" s="101"/>
      <c r="Q1325" s="102"/>
      <c r="R1325" s="102"/>
      <c r="S1325" s="110"/>
      <c r="T1325" s="110"/>
      <c r="U1325" s="110"/>
      <c r="V1325" s="110"/>
      <c r="W1325" s="110"/>
      <c r="X1325" s="110"/>
      <c r="Y1325" s="110"/>
    </row>
    <row r="1326" ht="13.5" customHeight="1" spans="1:25">
      <c r="A1326" s="102"/>
      <c r="B1326" s="102"/>
      <c r="C1326" s="102"/>
      <c r="D1326" s="101"/>
      <c r="E1326" s="101"/>
      <c r="F1326" s="101"/>
      <c r="G1326" s="102"/>
      <c r="H1326" s="101"/>
      <c r="I1326" s="101"/>
      <c r="J1326" s="101"/>
      <c r="K1326" s="101"/>
      <c r="L1326" s="101"/>
      <c r="M1326" s="182"/>
      <c r="N1326" s="101"/>
      <c r="O1326" s="110"/>
      <c r="P1326" s="101"/>
      <c r="Q1326" s="102"/>
      <c r="R1326" s="102"/>
      <c r="S1326" s="110"/>
      <c r="T1326" s="110"/>
      <c r="U1326" s="110"/>
      <c r="V1326" s="110"/>
      <c r="W1326" s="110"/>
      <c r="X1326" s="110"/>
      <c r="Y1326" s="110"/>
    </row>
    <row r="1327" ht="13.5" customHeight="1" spans="1:25">
      <c r="A1327" s="102"/>
      <c r="B1327" s="102"/>
      <c r="C1327" s="102"/>
      <c r="D1327" s="101"/>
      <c r="E1327" s="101"/>
      <c r="F1327" s="101"/>
      <c r="G1327" s="102"/>
      <c r="H1327" s="101"/>
      <c r="I1327" s="101"/>
      <c r="J1327" s="101"/>
      <c r="K1327" s="101"/>
      <c r="L1327" s="101"/>
      <c r="M1327" s="182"/>
      <c r="N1327" s="101"/>
      <c r="O1327" s="110"/>
      <c r="P1327" s="101"/>
      <c r="Q1327" s="102"/>
      <c r="R1327" s="102"/>
      <c r="S1327" s="110"/>
      <c r="T1327" s="110"/>
      <c r="U1327" s="110"/>
      <c r="V1327" s="110"/>
      <c r="W1327" s="110"/>
      <c r="X1327" s="110"/>
      <c r="Y1327" s="110"/>
    </row>
    <row r="1328" ht="13.5" customHeight="1" spans="1:25">
      <c r="A1328" s="102"/>
      <c r="B1328" s="102"/>
      <c r="C1328" s="102"/>
      <c r="D1328" s="101"/>
      <c r="E1328" s="101"/>
      <c r="F1328" s="101"/>
      <c r="G1328" s="102"/>
      <c r="H1328" s="101"/>
      <c r="I1328" s="101"/>
      <c r="J1328" s="101"/>
      <c r="K1328" s="101"/>
      <c r="L1328" s="101"/>
      <c r="M1328" s="182"/>
      <c r="N1328" s="101"/>
      <c r="O1328" s="110"/>
      <c r="P1328" s="101"/>
      <c r="Q1328" s="102"/>
      <c r="R1328" s="102"/>
      <c r="S1328" s="110"/>
      <c r="T1328" s="110"/>
      <c r="U1328" s="110"/>
      <c r="V1328" s="110"/>
      <c r="W1328" s="110"/>
      <c r="X1328" s="110"/>
      <c r="Y1328" s="110"/>
    </row>
    <row r="1329" ht="13.5" customHeight="1" spans="1:25">
      <c r="A1329" s="102"/>
      <c r="B1329" s="102"/>
      <c r="C1329" s="102"/>
      <c r="D1329" s="101"/>
      <c r="E1329" s="101"/>
      <c r="F1329" s="101"/>
      <c r="G1329" s="102"/>
      <c r="H1329" s="101"/>
      <c r="I1329" s="101"/>
      <c r="J1329" s="101"/>
      <c r="K1329" s="101"/>
      <c r="L1329" s="101"/>
      <c r="M1329" s="182"/>
      <c r="N1329" s="101"/>
      <c r="O1329" s="110"/>
      <c r="P1329" s="101"/>
      <c r="Q1329" s="102"/>
      <c r="R1329" s="102"/>
      <c r="S1329" s="110"/>
      <c r="T1329" s="110"/>
      <c r="U1329" s="110"/>
      <c r="V1329" s="110"/>
      <c r="W1329" s="110"/>
      <c r="X1329" s="110"/>
      <c r="Y1329" s="110"/>
    </row>
    <row r="1330" ht="13.5" customHeight="1" spans="1:25">
      <c r="A1330" s="102"/>
      <c r="B1330" s="102"/>
      <c r="C1330" s="102"/>
      <c r="D1330" s="101"/>
      <c r="E1330" s="101"/>
      <c r="F1330" s="101"/>
      <c r="G1330" s="102"/>
      <c r="H1330" s="101"/>
      <c r="I1330" s="101"/>
      <c r="J1330" s="101"/>
      <c r="K1330" s="101"/>
      <c r="L1330" s="101"/>
      <c r="M1330" s="182"/>
      <c r="N1330" s="101"/>
      <c r="O1330" s="110"/>
      <c r="P1330" s="101"/>
      <c r="Q1330" s="102"/>
      <c r="R1330" s="102"/>
      <c r="S1330" s="110"/>
      <c r="T1330" s="110"/>
      <c r="U1330" s="110"/>
      <c r="V1330" s="110"/>
      <c r="W1330" s="110"/>
      <c r="X1330" s="110"/>
      <c r="Y1330" s="110"/>
    </row>
    <row r="1331" ht="13.5" customHeight="1" spans="1:25">
      <c r="A1331" s="102"/>
      <c r="B1331" s="102"/>
      <c r="C1331" s="102"/>
      <c r="D1331" s="101"/>
      <c r="E1331" s="101"/>
      <c r="F1331" s="101"/>
      <c r="G1331" s="102"/>
      <c r="H1331" s="101"/>
      <c r="I1331" s="101"/>
      <c r="J1331" s="101"/>
      <c r="K1331" s="101"/>
      <c r="L1331" s="101"/>
      <c r="M1331" s="182"/>
      <c r="N1331" s="101"/>
      <c r="O1331" s="110"/>
      <c r="P1331" s="101"/>
      <c r="Q1331" s="102"/>
      <c r="R1331" s="102"/>
      <c r="S1331" s="110"/>
      <c r="T1331" s="110"/>
      <c r="U1331" s="110"/>
      <c r="V1331" s="110"/>
      <c r="W1331" s="110"/>
      <c r="X1331" s="110"/>
      <c r="Y1331" s="110"/>
    </row>
    <row r="1332" ht="13.5" customHeight="1" spans="1:25">
      <c r="A1332" s="102"/>
      <c r="B1332" s="102"/>
      <c r="C1332" s="102"/>
      <c r="D1332" s="101"/>
      <c r="E1332" s="101"/>
      <c r="F1332" s="101"/>
      <c r="G1332" s="102"/>
      <c r="H1332" s="101"/>
      <c r="I1332" s="101"/>
      <c r="J1332" s="101"/>
      <c r="K1332" s="101"/>
      <c r="L1332" s="101"/>
      <c r="M1332" s="182"/>
      <c r="N1332" s="101"/>
      <c r="O1332" s="110"/>
      <c r="P1332" s="101"/>
      <c r="Q1332" s="102"/>
      <c r="R1332" s="102"/>
      <c r="S1332" s="110"/>
      <c r="T1332" s="110"/>
      <c r="U1332" s="110"/>
      <c r="V1332" s="110"/>
      <c r="W1332" s="110"/>
      <c r="X1332" s="110"/>
      <c r="Y1332" s="110"/>
    </row>
    <row r="1333" ht="13.5" customHeight="1" spans="1:25">
      <c r="A1333" s="102"/>
      <c r="B1333" s="102"/>
      <c r="C1333" s="102"/>
      <c r="D1333" s="101"/>
      <c r="E1333" s="101"/>
      <c r="F1333" s="101"/>
      <c r="G1333" s="102"/>
      <c r="H1333" s="101"/>
      <c r="I1333" s="101"/>
      <c r="J1333" s="101"/>
      <c r="K1333" s="101"/>
      <c r="L1333" s="101"/>
      <c r="M1333" s="182"/>
      <c r="N1333" s="101"/>
      <c r="O1333" s="110"/>
      <c r="P1333" s="101"/>
      <c r="Q1333" s="102"/>
      <c r="R1333" s="102"/>
      <c r="S1333" s="110"/>
      <c r="T1333" s="110"/>
      <c r="U1333" s="110"/>
      <c r="V1333" s="110"/>
      <c r="W1333" s="110"/>
      <c r="X1333" s="110"/>
      <c r="Y1333" s="110"/>
    </row>
    <row r="1334" ht="13.5" customHeight="1" spans="1:25">
      <c r="A1334" s="102"/>
      <c r="B1334" s="102"/>
      <c r="C1334" s="102"/>
      <c r="D1334" s="101"/>
      <c r="E1334" s="101"/>
      <c r="F1334" s="101"/>
      <c r="G1334" s="102"/>
      <c r="H1334" s="101"/>
      <c r="I1334" s="101"/>
      <c r="J1334" s="101"/>
      <c r="K1334" s="101"/>
      <c r="L1334" s="101"/>
      <c r="M1334" s="182"/>
      <c r="N1334" s="101"/>
      <c r="O1334" s="110"/>
      <c r="P1334" s="101"/>
      <c r="Q1334" s="102"/>
      <c r="R1334" s="102"/>
      <c r="S1334" s="110"/>
      <c r="T1334" s="110"/>
      <c r="U1334" s="110"/>
      <c r="V1334" s="110"/>
      <c r="W1334" s="110"/>
      <c r="X1334" s="110"/>
      <c r="Y1334" s="110"/>
    </row>
    <row r="1335" ht="13.5" customHeight="1" spans="1:25">
      <c r="A1335" s="102"/>
      <c r="B1335" s="102"/>
      <c r="C1335" s="102"/>
      <c r="D1335" s="101"/>
      <c r="E1335" s="101"/>
      <c r="F1335" s="101"/>
      <c r="G1335" s="102"/>
      <c r="H1335" s="101"/>
      <c r="I1335" s="101"/>
      <c r="J1335" s="101"/>
      <c r="K1335" s="101"/>
      <c r="L1335" s="101"/>
      <c r="M1335" s="182"/>
      <c r="N1335" s="101"/>
      <c r="O1335" s="110"/>
      <c r="P1335" s="101"/>
      <c r="Q1335" s="102"/>
      <c r="R1335" s="102"/>
      <c r="S1335" s="110"/>
      <c r="T1335" s="110"/>
      <c r="U1335" s="110"/>
      <c r="V1335" s="110"/>
      <c r="W1335" s="110"/>
      <c r="X1335" s="110"/>
      <c r="Y1335" s="110"/>
    </row>
    <row r="1336" ht="13.5" customHeight="1" spans="1:25">
      <c r="A1336" s="102"/>
      <c r="B1336" s="102"/>
      <c r="C1336" s="102"/>
      <c r="D1336" s="101"/>
      <c r="E1336" s="101"/>
      <c r="F1336" s="101"/>
      <c r="G1336" s="102"/>
      <c r="H1336" s="101"/>
      <c r="I1336" s="101"/>
      <c r="J1336" s="101"/>
      <c r="K1336" s="101"/>
      <c r="L1336" s="101"/>
      <c r="M1336" s="182"/>
      <c r="N1336" s="101"/>
      <c r="O1336" s="110"/>
      <c r="P1336" s="101"/>
      <c r="Q1336" s="102"/>
      <c r="R1336" s="102"/>
      <c r="S1336" s="110"/>
      <c r="T1336" s="110"/>
      <c r="U1336" s="110"/>
      <c r="V1336" s="110"/>
      <c r="W1336" s="110"/>
      <c r="X1336" s="110"/>
      <c r="Y1336" s="110"/>
    </row>
    <row r="1337" ht="13.5" customHeight="1" spans="1:25">
      <c r="A1337" s="102"/>
      <c r="B1337" s="102"/>
      <c r="C1337" s="102"/>
      <c r="D1337" s="101"/>
      <c r="E1337" s="101"/>
      <c r="F1337" s="101"/>
      <c r="G1337" s="102"/>
      <c r="H1337" s="101"/>
      <c r="I1337" s="101"/>
      <c r="J1337" s="101"/>
      <c r="K1337" s="101"/>
      <c r="L1337" s="101"/>
      <c r="M1337" s="182"/>
      <c r="N1337" s="101"/>
      <c r="O1337" s="110"/>
      <c r="P1337" s="101"/>
      <c r="Q1337" s="102"/>
      <c r="R1337" s="102"/>
      <c r="S1337" s="110"/>
      <c r="T1337" s="110"/>
      <c r="U1337" s="110"/>
      <c r="V1337" s="110"/>
      <c r="W1337" s="110"/>
      <c r="X1337" s="110"/>
      <c r="Y1337" s="110"/>
    </row>
    <row r="1338" ht="13.5" customHeight="1" spans="1:25">
      <c r="A1338" s="102"/>
      <c r="B1338" s="102"/>
      <c r="C1338" s="102"/>
      <c r="D1338" s="101"/>
      <c r="E1338" s="101"/>
      <c r="F1338" s="101"/>
      <c r="G1338" s="102"/>
      <c r="H1338" s="101"/>
      <c r="I1338" s="101"/>
      <c r="J1338" s="101"/>
      <c r="K1338" s="101"/>
      <c r="L1338" s="101"/>
      <c r="M1338" s="182"/>
      <c r="N1338" s="101"/>
      <c r="O1338" s="110"/>
      <c r="P1338" s="101"/>
      <c r="Q1338" s="102"/>
      <c r="R1338" s="102"/>
      <c r="S1338" s="110"/>
      <c r="T1338" s="110"/>
      <c r="U1338" s="110"/>
      <c r="V1338" s="110"/>
      <c r="W1338" s="110"/>
      <c r="X1338" s="110"/>
      <c r="Y1338" s="110"/>
    </row>
    <row r="1339" ht="13.5" customHeight="1" spans="1:25">
      <c r="A1339" s="102"/>
      <c r="B1339" s="102"/>
      <c r="C1339" s="102"/>
      <c r="D1339" s="101"/>
      <c r="E1339" s="101"/>
      <c r="F1339" s="101"/>
      <c r="G1339" s="102"/>
      <c r="H1339" s="101"/>
      <c r="I1339" s="101"/>
      <c r="J1339" s="101"/>
      <c r="K1339" s="101"/>
      <c r="L1339" s="101"/>
      <c r="M1339" s="182"/>
      <c r="N1339" s="101"/>
      <c r="O1339" s="110"/>
      <c r="P1339" s="101"/>
      <c r="Q1339" s="102"/>
      <c r="R1339" s="102"/>
      <c r="S1339" s="110"/>
      <c r="T1339" s="110"/>
      <c r="U1339" s="110"/>
      <c r="V1339" s="110"/>
      <c r="W1339" s="110"/>
      <c r="X1339" s="110"/>
      <c r="Y1339" s="110"/>
    </row>
    <row r="1340" ht="13.5" customHeight="1" spans="1:25">
      <c r="A1340" s="102"/>
      <c r="B1340" s="102"/>
      <c r="C1340" s="102"/>
      <c r="D1340" s="101"/>
      <c r="E1340" s="101"/>
      <c r="F1340" s="101"/>
      <c r="G1340" s="102"/>
      <c r="H1340" s="101"/>
      <c r="I1340" s="101"/>
      <c r="J1340" s="101"/>
      <c r="K1340" s="101"/>
      <c r="L1340" s="101"/>
      <c r="M1340" s="182"/>
      <c r="N1340" s="101"/>
      <c r="O1340" s="110"/>
      <c r="P1340" s="101"/>
      <c r="Q1340" s="102"/>
      <c r="R1340" s="102"/>
      <c r="S1340" s="110"/>
      <c r="T1340" s="110"/>
      <c r="U1340" s="110"/>
      <c r="V1340" s="110"/>
      <c r="W1340" s="110"/>
      <c r="X1340" s="110"/>
      <c r="Y1340" s="110"/>
    </row>
    <row r="1341" ht="13.5" customHeight="1" spans="1:25">
      <c r="A1341" s="102"/>
      <c r="B1341" s="102"/>
      <c r="C1341" s="102"/>
      <c r="D1341" s="101"/>
      <c r="E1341" s="101"/>
      <c r="F1341" s="101"/>
      <c r="G1341" s="102"/>
      <c r="H1341" s="101"/>
      <c r="I1341" s="101"/>
      <c r="J1341" s="101"/>
      <c r="K1341" s="101"/>
      <c r="L1341" s="101"/>
      <c r="M1341" s="182"/>
      <c r="N1341" s="101"/>
      <c r="O1341" s="110"/>
      <c r="P1341" s="101"/>
      <c r="Q1341" s="102"/>
      <c r="R1341" s="102"/>
      <c r="S1341" s="110"/>
      <c r="T1341" s="110"/>
      <c r="U1341" s="110"/>
      <c r="V1341" s="110"/>
      <c r="W1341" s="110"/>
      <c r="X1341" s="110"/>
      <c r="Y1341" s="110"/>
    </row>
    <row r="1342" ht="13.5" customHeight="1" spans="1:25">
      <c r="A1342" s="102"/>
      <c r="B1342" s="102"/>
      <c r="C1342" s="102"/>
      <c r="D1342" s="101"/>
      <c r="E1342" s="101"/>
      <c r="F1342" s="101"/>
      <c r="G1342" s="102"/>
      <c r="H1342" s="101"/>
      <c r="I1342" s="101"/>
      <c r="J1342" s="101"/>
      <c r="K1342" s="101"/>
      <c r="L1342" s="101"/>
      <c r="M1342" s="182"/>
      <c r="N1342" s="101"/>
      <c r="O1342" s="110"/>
      <c r="P1342" s="101"/>
      <c r="Q1342" s="102"/>
      <c r="R1342" s="102"/>
      <c r="S1342" s="110"/>
      <c r="T1342" s="110"/>
      <c r="U1342" s="110"/>
      <c r="V1342" s="110"/>
      <c r="W1342" s="110"/>
      <c r="X1342" s="110"/>
      <c r="Y1342" s="110"/>
    </row>
    <row r="1343" ht="13.5" customHeight="1" spans="1:25">
      <c r="A1343" s="102"/>
      <c r="B1343" s="102"/>
      <c r="C1343" s="102"/>
      <c r="D1343" s="101"/>
      <c r="E1343" s="101"/>
      <c r="F1343" s="101"/>
      <c r="G1343" s="102"/>
      <c r="H1343" s="101"/>
      <c r="I1343" s="101"/>
      <c r="J1343" s="101"/>
      <c r="K1343" s="101"/>
      <c r="L1343" s="101"/>
      <c r="M1343" s="182"/>
      <c r="N1343" s="101"/>
      <c r="O1343" s="110"/>
      <c r="P1343" s="101"/>
      <c r="Q1343" s="102"/>
      <c r="R1343" s="102"/>
      <c r="S1343" s="110"/>
      <c r="T1343" s="110"/>
      <c r="U1343" s="110"/>
      <c r="V1343" s="110"/>
      <c r="W1343" s="110"/>
      <c r="X1343" s="110"/>
      <c r="Y1343" s="110"/>
    </row>
    <row r="1344" ht="13.5" customHeight="1" spans="1:25">
      <c r="A1344" s="102"/>
      <c r="B1344" s="102"/>
      <c r="C1344" s="102"/>
      <c r="D1344" s="101"/>
      <c r="E1344" s="101"/>
      <c r="F1344" s="101"/>
      <c r="G1344" s="102"/>
      <c r="H1344" s="101"/>
      <c r="I1344" s="101"/>
      <c r="J1344" s="101"/>
      <c r="K1344" s="101"/>
      <c r="L1344" s="101"/>
      <c r="M1344" s="182"/>
      <c r="N1344" s="101"/>
      <c r="O1344" s="110"/>
      <c r="P1344" s="101"/>
      <c r="Q1344" s="102"/>
      <c r="R1344" s="102"/>
      <c r="S1344" s="110"/>
      <c r="T1344" s="110"/>
      <c r="U1344" s="110"/>
      <c r="V1344" s="110"/>
      <c r="W1344" s="110"/>
      <c r="X1344" s="110"/>
      <c r="Y1344" s="110"/>
    </row>
    <row r="1345" ht="13.5" customHeight="1" spans="1:25">
      <c r="A1345" s="102"/>
      <c r="B1345" s="102"/>
      <c r="C1345" s="102"/>
      <c r="D1345" s="101"/>
      <c r="E1345" s="101"/>
      <c r="F1345" s="101"/>
      <c r="G1345" s="102"/>
      <c r="H1345" s="101"/>
      <c r="I1345" s="101"/>
      <c r="J1345" s="101"/>
      <c r="K1345" s="101"/>
      <c r="L1345" s="101"/>
      <c r="M1345" s="182"/>
      <c r="N1345" s="101"/>
      <c r="O1345" s="110"/>
      <c r="P1345" s="101"/>
      <c r="Q1345" s="102"/>
      <c r="R1345" s="102"/>
      <c r="S1345" s="110"/>
      <c r="T1345" s="110"/>
      <c r="U1345" s="110"/>
      <c r="V1345" s="110"/>
      <c r="W1345" s="110"/>
      <c r="X1345" s="110"/>
      <c r="Y1345" s="110"/>
    </row>
    <row r="1346" ht="13.5" customHeight="1" spans="1:25">
      <c r="A1346" s="102"/>
      <c r="B1346" s="102"/>
      <c r="C1346" s="102"/>
      <c r="D1346" s="101"/>
      <c r="E1346" s="101"/>
      <c r="F1346" s="101"/>
      <c r="G1346" s="102"/>
      <c r="H1346" s="101"/>
      <c r="I1346" s="101"/>
      <c r="J1346" s="101"/>
      <c r="K1346" s="101"/>
      <c r="L1346" s="101"/>
      <c r="M1346" s="182"/>
      <c r="N1346" s="101"/>
      <c r="O1346" s="110"/>
      <c r="P1346" s="101"/>
      <c r="Q1346" s="102"/>
      <c r="R1346" s="102"/>
      <c r="S1346" s="110"/>
      <c r="T1346" s="110"/>
      <c r="U1346" s="110"/>
      <c r="V1346" s="110"/>
      <c r="W1346" s="110"/>
      <c r="X1346" s="110"/>
      <c r="Y1346" s="110"/>
    </row>
    <row r="1347" ht="13.5" customHeight="1" spans="1:25">
      <c r="A1347" s="102"/>
      <c r="B1347" s="102"/>
      <c r="C1347" s="102"/>
      <c r="D1347" s="101"/>
      <c r="E1347" s="101"/>
      <c r="F1347" s="101"/>
      <c r="G1347" s="102"/>
      <c r="H1347" s="101"/>
      <c r="I1347" s="101"/>
      <c r="J1347" s="101"/>
      <c r="K1347" s="101"/>
      <c r="L1347" s="101"/>
      <c r="M1347" s="182"/>
      <c r="N1347" s="101"/>
      <c r="O1347" s="110"/>
      <c r="P1347" s="101"/>
      <c r="Q1347" s="102"/>
      <c r="R1347" s="102"/>
      <c r="S1347" s="110"/>
      <c r="T1347" s="110"/>
      <c r="U1347" s="110"/>
      <c r="V1347" s="110"/>
      <c r="W1347" s="110"/>
      <c r="X1347" s="110"/>
      <c r="Y1347" s="110"/>
    </row>
    <row r="1348" ht="13.5" customHeight="1" spans="1:25">
      <c r="A1348" s="102"/>
      <c r="B1348" s="102"/>
      <c r="C1348" s="102"/>
      <c r="D1348" s="101"/>
      <c r="E1348" s="101"/>
      <c r="F1348" s="101"/>
      <c r="G1348" s="102"/>
      <c r="H1348" s="101"/>
      <c r="I1348" s="101"/>
      <c r="J1348" s="101"/>
      <c r="K1348" s="101"/>
      <c r="L1348" s="101"/>
      <c r="M1348" s="182"/>
      <c r="N1348" s="101"/>
      <c r="O1348" s="110"/>
      <c r="P1348" s="101"/>
      <c r="Q1348" s="102"/>
      <c r="R1348" s="102"/>
      <c r="S1348" s="110"/>
      <c r="T1348" s="110"/>
      <c r="U1348" s="110"/>
      <c r="V1348" s="110"/>
      <c r="W1348" s="110"/>
      <c r="X1348" s="110"/>
      <c r="Y1348" s="110"/>
    </row>
    <row r="1349" ht="13.5" customHeight="1" spans="1:25">
      <c r="A1349" s="102"/>
      <c r="B1349" s="102"/>
      <c r="C1349" s="102"/>
      <c r="D1349" s="101"/>
      <c r="E1349" s="101"/>
      <c r="F1349" s="101"/>
      <c r="G1349" s="102"/>
      <c r="H1349" s="101"/>
      <c r="I1349" s="101"/>
      <c r="J1349" s="101"/>
      <c r="K1349" s="101"/>
      <c r="L1349" s="101"/>
      <c r="M1349" s="182"/>
      <c r="N1349" s="101"/>
      <c r="O1349" s="110"/>
      <c r="P1349" s="101"/>
      <c r="Q1349" s="102"/>
      <c r="R1349" s="102"/>
      <c r="S1349" s="110"/>
      <c r="T1349" s="110"/>
      <c r="U1349" s="110"/>
      <c r="V1349" s="110"/>
      <c r="W1349" s="110"/>
      <c r="X1349" s="110"/>
      <c r="Y1349" s="110"/>
    </row>
    <row r="1350" ht="13.5" customHeight="1" spans="1:25">
      <c r="A1350" s="102"/>
      <c r="B1350" s="102"/>
      <c r="C1350" s="102"/>
      <c r="D1350" s="101"/>
      <c r="E1350" s="101"/>
      <c r="F1350" s="101"/>
      <c r="G1350" s="102"/>
      <c r="H1350" s="101"/>
      <c r="I1350" s="101"/>
      <c r="J1350" s="101"/>
      <c r="K1350" s="101"/>
      <c r="L1350" s="101"/>
      <c r="M1350" s="182"/>
      <c r="N1350" s="101"/>
      <c r="O1350" s="110"/>
      <c r="P1350" s="101"/>
      <c r="Q1350" s="102"/>
      <c r="R1350" s="102"/>
      <c r="S1350" s="110"/>
      <c r="T1350" s="110"/>
      <c r="U1350" s="110"/>
      <c r="V1350" s="110"/>
      <c r="W1350" s="110"/>
      <c r="X1350" s="110"/>
      <c r="Y1350" s="110"/>
    </row>
    <row r="1351" ht="13.5" customHeight="1" spans="1:25">
      <c r="A1351" s="102"/>
      <c r="B1351" s="102"/>
      <c r="C1351" s="102"/>
      <c r="D1351" s="101"/>
      <c r="E1351" s="101"/>
      <c r="F1351" s="101"/>
      <c r="G1351" s="102"/>
      <c r="H1351" s="101"/>
      <c r="I1351" s="101"/>
      <c r="J1351" s="101"/>
      <c r="K1351" s="101"/>
      <c r="L1351" s="101"/>
      <c r="M1351" s="182"/>
      <c r="N1351" s="101"/>
      <c r="O1351" s="110"/>
      <c r="P1351" s="101"/>
      <c r="Q1351" s="102"/>
      <c r="R1351" s="102"/>
      <c r="S1351" s="110"/>
      <c r="T1351" s="110"/>
      <c r="U1351" s="110"/>
      <c r="V1351" s="110"/>
      <c r="W1351" s="110"/>
      <c r="X1351" s="110"/>
      <c r="Y1351" s="110"/>
    </row>
    <row r="1352" ht="13.5" customHeight="1" spans="1:25">
      <c r="A1352" s="102"/>
      <c r="B1352" s="102"/>
      <c r="C1352" s="102"/>
      <c r="D1352" s="101"/>
      <c r="E1352" s="101"/>
      <c r="F1352" s="101"/>
      <c r="G1352" s="102"/>
      <c r="H1352" s="101"/>
      <c r="I1352" s="101"/>
      <c r="J1352" s="101"/>
      <c r="K1352" s="101"/>
      <c r="L1352" s="101"/>
      <c r="M1352" s="182"/>
      <c r="N1352" s="101"/>
      <c r="O1352" s="110"/>
      <c r="P1352" s="101"/>
      <c r="Q1352" s="102"/>
      <c r="R1352" s="102"/>
      <c r="S1352" s="110"/>
      <c r="T1352" s="110"/>
      <c r="U1352" s="110"/>
      <c r="V1352" s="110"/>
      <c r="W1352" s="110"/>
      <c r="X1352" s="110"/>
      <c r="Y1352" s="110"/>
    </row>
    <row r="1353" ht="13.5" customHeight="1" spans="1:25">
      <c r="A1353" s="102"/>
      <c r="B1353" s="102"/>
      <c r="C1353" s="102"/>
      <c r="D1353" s="101"/>
      <c r="E1353" s="101"/>
      <c r="F1353" s="101"/>
      <c r="G1353" s="102"/>
      <c r="H1353" s="101"/>
      <c r="I1353" s="101"/>
      <c r="J1353" s="101"/>
      <c r="K1353" s="101"/>
      <c r="L1353" s="101"/>
      <c r="M1353" s="182"/>
      <c r="N1353" s="101"/>
      <c r="O1353" s="110"/>
      <c r="P1353" s="101"/>
      <c r="Q1353" s="102"/>
      <c r="R1353" s="102"/>
      <c r="S1353" s="110"/>
      <c r="T1353" s="110"/>
      <c r="U1353" s="110"/>
      <c r="V1353" s="110"/>
      <c r="W1353" s="110"/>
      <c r="X1353" s="110"/>
      <c r="Y1353" s="110"/>
    </row>
    <row r="1354" ht="13.5" customHeight="1" spans="1:25">
      <c r="A1354" s="102"/>
      <c r="B1354" s="102"/>
      <c r="C1354" s="102"/>
      <c r="D1354" s="101"/>
      <c r="E1354" s="101"/>
      <c r="F1354" s="101"/>
      <c r="G1354" s="102"/>
      <c r="H1354" s="101"/>
      <c r="I1354" s="101"/>
      <c r="J1354" s="101"/>
      <c r="K1354" s="101"/>
      <c r="L1354" s="101"/>
      <c r="M1354" s="182"/>
      <c r="N1354" s="101"/>
      <c r="O1354" s="110"/>
      <c r="P1354" s="101"/>
      <c r="Q1354" s="102"/>
      <c r="R1354" s="102"/>
      <c r="S1354" s="110"/>
      <c r="T1354" s="110"/>
      <c r="U1354" s="110"/>
      <c r="V1354" s="110"/>
      <c r="W1354" s="110"/>
      <c r="X1354" s="110"/>
      <c r="Y1354" s="110"/>
    </row>
    <row r="1355" ht="13.5" customHeight="1" spans="1:25">
      <c r="A1355" s="102"/>
      <c r="B1355" s="102"/>
      <c r="C1355" s="102"/>
      <c r="D1355" s="101"/>
      <c r="E1355" s="101"/>
      <c r="F1355" s="101"/>
      <c r="G1355" s="102"/>
      <c r="H1355" s="101"/>
      <c r="I1355" s="101"/>
      <c r="J1355" s="101"/>
      <c r="K1355" s="101"/>
      <c r="L1355" s="101"/>
      <c r="M1355" s="182"/>
      <c r="N1355" s="101"/>
      <c r="O1355" s="110"/>
      <c r="P1355" s="101"/>
      <c r="Q1355" s="102"/>
      <c r="R1355" s="102"/>
      <c r="S1355" s="110"/>
      <c r="T1355" s="110"/>
      <c r="U1355" s="110"/>
      <c r="V1355" s="110"/>
      <c r="W1355" s="110"/>
      <c r="X1355" s="110"/>
      <c r="Y1355" s="110"/>
    </row>
    <row r="1356" ht="13.5" customHeight="1" spans="1:25">
      <c r="A1356" s="102"/>
      <c r="B1356" s="102"/>
      <c r="C1356" s="102"/>
      <c r="D1356" s="101"/>
      <c r="E1356" s="101"/>
      <c r="F1356" s="101"/>
      <c r="G1356" s="102"/>
      <c r="H1356" s="101"/>
      <c r="I1356" s="101"/>
      <c r="J1356" s="101"/>
      <c r="K1356" s="101"/>
      <c r="L1356" s="101"/>
      <c r="M1356" s="182"/>
      <c r="N1356" s="101"/>
      <c r="O1356" s="110"/>
      <c r="P1356" s="101"/>
      <c r="Q1356" s="102"/>
      <c r="R1356" s="102"/>
      <c r="S1356" s="110"/>
      <c r="T1356" s="110"/>
      <c r="U1356" s="110"/>
      <c r="V1356" s="110"/>
      <c r="W1356" s="110"/>
      <c r="X1356" s="110"/>
      <c r="Y1356" s="110"/>
    </row>
    <row r="1357" ht="13.5" customHeight="1" spans="1:25">
      <c r="A1357" s="102"/>
      <c r="B1357" s="102"/>
      <c r="C1357" s="102"/>
      <c r="D1357" s="101"/>
      <c r="E1357" s="101"/>
      <c r="F1357" s="101"/>
      <c r="G1357" s="102"/>
      <c r="H1357" s="101"/>
      <c r="I1357" s="101"/>
      <c r="J1357" s="101"/>
      <c r="K1357" s="101"/>
      <c r="L1357" s="101"/>
      <c r="M1357" s="182"/>
      <c r="N1357" s="101"/>
      <c r="O1357" s="110"/>
      <c r="P1357" s="101"/>
      <c r="Q1357" s="102"/>
      <c r="R1357" s="102"/>
      <c r="S1357" s="110"/>
      <c r="T1357" s="110"/>
      <c r="U1357" s="110"/>
      <c r="V1357" s="110"/>
      <c r="W1357" s="110"/>
      <c r="X1357" s="110"/>
      <c r="Y1357" s="110"/>
    </row>
    <row r="1358" ht="13.5" customHeight="1" spans="1:25">
      <c r="A1358" s="102"/>
      <c r="B1358" s="102"/>
      <c r="C1358" s="102"/>
      <c r="D1358" s="101"/>
      <c r="E1358" s="101"/>
      <c r="F1358" s="101"/>
      <c r="G1358" s="102"/>
      <c r="H1358" s="101"/>
      <c r="I1358" s="101"/>
      <c r="J1358" s="101"/>
      <c r="K1358" s="101"/>
      <c r="L1358" s="101"/>
      <c r="M1358" s="182"/>
      <c r="N1358" s="101"/>
      <c r="O1358" s="110"/>
      <c r="P1358" s="101"/>
      <c r="Q1358" s="102"/>
      <c r="R1358" s="102"/>
      <c r="S1358" s="110"/>
      <c r="T1358" s="110"/>
      <c r="U1358" s="110"/>
      <c r="V1358" s="110"/>
      <c r="W1358" s="110"/>
      <c r="X1358" s="110"/>
      <c r="Y1358" s="110"/>
    </row>
    <row r="1359" ht="13.5" customHeight="1" spans="1:25">
      <c r="A1359" s="102"/>
      <c r="B1359" s="102"/>
      <c r="C1359" s="102"/>
      <c r="D1359" s="101"/>
      <c r="E1359" s="101"/>
      <c r="F1359" s="101"/>
      <c r="G1359" s="102"/>
      <c r="H1359" s="101"/>
      <c r="I1359" s="101"/>
      <c r="J1359" s="101"/>
      <c r="K1359" s="101"/>
      <c r="L1359" s="101"/>
      <c r="M1359" s="182"/>
      <c r="N1359" s="101"/>
      <c r="O1359" s="110"/>
      <c r="P1359" s="101"/>
      <c r="Q1359" s="102"/>
      <c r="R1359" s="102"/>
      <c r="S1359" s="110"/>
      <c r="T1359" s="110"/>
      <c r="U1359" s="110"/>
      <c r="V1359" s="110"/>
      <c r="W1359" s="110"/>
      <c r="X1359" s="110"/>
      <c r="Y1359" s="110"/>
    </row>
    <row r="1360" ht="13.5" customHeight="1" spans="1:25">
      <c r="A1360" s="102"/>
      <c r="B1360" s="102"/>
      <c r="C1360" s="102"/>
      <c r="D1360" s="101"/>
      <c r="E1360" s="101"/>
      <c r="F1360" s="101"/>
      <c r="G1360" s="102"/>
      <c r="H1360" s="101"/>
      <c r="I1360" s="101"/>
      <c r="J1360" s="101"/>
      <c r="K1360" s="101"/>
      <c r="L1360" s="101"/>
      <c r="M1360" s="182"/>
      <c r="N1360" s="101"/>
      <c r="O1360" s="110"/>
      <c r="P1360" s="101"/>
      <c r="Q1360" s="102"/>
      <c r="R1360" s="102"/>
      <c r="S1360" s="110"/>
      <c r="T1360" s="110"/>
      <c r="U1360" s="110"/>
      <c r="V1360" s="110"/>
      <c r="W1360" s="110"/>
      <c r="X1360" s="110"/>
      <c r="Y1360" s="110"/>
    </row>
    <row r="1361" ht="13.5" customHeight="1" spans="1:25">
      <c r="A1361" s="102"/>
      <c r="B1361" s="102"/>
      <c r="C1361" s="102"/>
      <c r="D1361" s="101"/>
      <c r="E1361" s="101"/>
      <c r="F1361" s="101"/>
      <c r="G1361" s="102"/>
      <c r="H1361" s="101"/>
      <c r="I1361" s="101"/>
      <c r="J1361" s="101"/>
      <c r="K1361" s="101"/>
      <c r="L1361" s="101"/>
      <c r="M1361" s="182"/>
      <c r="N1361" s="101"/>
      <c r="O1361" s="110"/>
      <c r="P1361" s="101"/>
      <c r="Q1361" s="102"/>
      <c r="R1361" s="102"/>
      <c r="S1361" s="110"/>
      <c r="T1361" s="110"/>
      <c r="U1361" s="110"/>
      <c r="V1361" s="110"/>
      <c r="W1361" s="110"/>
      <c r="X1361" s="110"/>
      <c r="Y1361" s="110"/>
    </row>
    <row r="1362" ht="13.5" customHeight="1" spans="1:25">
      <c r="A1362" s="102"/>
      <c r="B1362" s="102"/>
      <c r="C1362" s="102"/>
      <c r="D1362" s="101"/>
      <c r="E1362" s="101"/>
      <c r="F1362" s="101"/>
      <c r="G1362" s="102"/>
      <c r="H1362" s="101"/>
      <c r="I1362" s="101"/>
      <c r="J1362" s="101"/>
      <c r="K1362" s="101"/>
      <c r="L1362" s="101"/>
      <c r="M1362" s="182"/>
      <c r="N1362" s="101"/>
      <c r="O1362" s="110"/>
      <c r="P1362" s="101"/>
      <c r="Q1362" s="102"/>
      <c r="R1362" s="102"/>
      <c r="S1362" s="110"/>
      <c r="T1362" s="110"/>
      <c r="U1362" s="110"/>
      <c r="V1362" s="110"/>
      <c r="W1362" s="110"/>
      <c r="X1362" s="110"/>
      <c r="Y1362" s="110"/>
    </row>
    <row r="1363" ht="13.5" customHeight="1" spans="1:25">
      <c r="A1363" s="102"/>
      <c r="B1363" s="102"/>
      <c r="C1363" s="102"/>
      <c r="D1363" s="101"/>
      <c r="E1363" s="101"/>
      <c r="F1363" s="101"/>
      <c r="G1363" s="102"/>
      <c r="H1363" s="101"/>
      <c r="I1363" s="101"/>
      <c r="J1363" s="101"/>
      <c r="K1363" s="101"/>
      <c r="L1363" s="101"/>
      <c r="M1363" s="182"/>
      <c r="N1363" s="101"/>
      <c r="O1363" s="110"/>
      <c r="P1363" s="101"/>
      <c r="Q1363" s="102"/>
      <c r="R1363" s="102"/>
      <c r="S1363" s="110"/>
      <c r="T1363" s="110"/>
      <c r="U1363" s="110"/>
      <c r="V1363" s="110"/>
      <c r="W1363" s="110"/>
      <c r="X1363" s="110"/>
      <c r="Y1363" s="110"/>
    </row>
    <row r="1364" ht="13.5" customHeight="1" spans="1:25">
      <c r="A1364" s="102"/>
      <c r="B1364" s="102"/>
      <c r="C1364" s="102"/>
      <c r="D1364" s="101"/>
      <c r="E1364" s="101"/>
      <c r="F1364" s="101"/>
      <c r="G1364" s="102"/>
      <c r="H1364" s="101"/>
      <c r="I1364" s="101"/>
      <c r="J1364" s="101"/>
      <c r="K1364" s="101"/>
      <c r="L1364" s="101"/>
      <c r="M1364" s="182"/>
      <c r="N1364" s="101"/>
      <c r="O1364" s="110"/>
      <c r="P1364" s="101"/>
      <c r="Q1364" s="102"/>
      <c r="R1364" s="102"/>
      <c r="S1364" s="110"/>
      <c r="T1364" s="110"/>
      <c r="U1364" s="110"/>
      <c r="V1364" s="110"/>
      <c r="W1364" s="110"/>
      <c r="X1364" s="110"/>
      <c r="Y1364" s="110"/>
    </row>
    <row r="1365" ht="13.5" customHeight="1" spans="1:25">
      <c r="A1365" s="102"/>
      <c r="B1365" s="102"/>
      <c r="C1365" s="102"/>
      <c r="D1365" s="101"/>
      <c r="E1365" s="101"/>
      <c r="F1365" s="101"/>
      <c r="G1365" s="102"/>
      <c r="H1365" s="101"/>
      <c r="I1365" s="101"/>
      <c r="J1365" s="101"/>
      <c r="K1365" s="101"/>
      <c r="L1365" s="101"/>
      <c r="M1365" s="182"/>
      <c r="N1365" s="101"/>
      <c r="O1365" s="110"/>
      <c r="P1365" s="101"/>
      <c r="Q1365" s="102"/>
      <c r="R1365" s="102"/>
      <c r="S1365" s="110"/>
      <c r="T1365" s="110"/>
      <c r="U1365" s="110"/>
      <c r="V1365" s="110"/>
      <c r="W1365" s="110"/>
      <c r="X1365" s="110"/>
      <c r="Y1365" s="110"/>
    </row>
    <row r="1366" ht="13.5" customHeight="1" spans="1:25">
      <c r="A1366" s="102"/>
      <c r="B1366" s="102"/>
      <c r="C1366" s="102"/>
      <c r="D1366" s="101"/>
      <c r="E1366" s="101"/>
      <c r="F1366" s="101"/>
      <c r="G1366" s="102"/>
      <c r="H1366" s="101"/>
      <c r="I1366" s="101"/>
      <c r="J1366" s="101"/>
      <c r="K1366" s="101"/>
      <c r="L1366" s="101"/>
      <c r="M1366" s="182"/>
      <c r="N1366" s="101"/>
      <c r="O1366" s="110"/>
      <c r="P1366" s="101"/>
      <c r="Q1366" s="102"/>
      <c r="R1366" s="102"/>
      <c r="S1366" s="110"/>
      <c r="T1366" s="110"/>
      <c r="U1366" s="110"/>
      <c r="V1366" s="110"/>
      <c r="W1366" s="110"/>
      <c r="X1366" s="110"/>
      <c r="Y1366" s="110"/>
    </row>
    <row r="1367" ht="13.5" customHeight="1" spans="1:25">
      <c r="A1367" s="102"/>
      <c r="B1367" s="102"/>
      <c r="C1367" s="102"/>
      <c r="D1367" s="101"/>
      <c r="E1367" s="101"/>
      <c r="F1367" s="101"/>
      <c r="G1367" s="102"/>
      <c r="H1367" s="101"/>
      <c r="I1367" s="101"/>
      <c r="J1367" s="101"/>
      <c r="K1367" s="101"/>
      <c r="L1367" s="101"/>
      <c r="M1367" s="182"/>
      <c r="N1367" s="101"/>
      <c r="O1367" s="110"/>
      <c r="P1367" s="101"/>
      <c r="Q1367" s="102"/>
      <c r="R1367" s="102"/>
      <c r="S1367" s="110"/>
      <c r="T1367" s="110"/>
      <c r="U1367" s="110"/>
      <c r="V1367" s="110"/>
      <c r="W1367" s="110"/>
      <c r="X1367" s="110"/>
      <c r="Y1367" s="110"/>
    </row>
    <row r="1368" ht="13.5" customHeight="1" spans="1:25">
      <c r="A1368" s="102"/>
      <c r="B1368" s="102"/>
      <c r="C1368" s="102"/>
      <c r="D1368" s="101"/>
      <c r="E1368" s="101"/>
      <c r="F1368" s="101"/>
      <c r="G1368" s="102"/>
      <c r="H1368" s="101"/>
      <c r="I1368" s="101"/>
      <c r="J1368" s="101"/>
      <c r="K1368" s="101"/>
      <c r="L1368" s="101"/>
      <c r="M1368" s="182"/>
      <c r="N1368" s="101"/>
      <c r="O1368" s="110"/>
      <c r="P1368" s="101"/>
      <c r="Q1368" s="102"/>
      <c r="R1368" s="102"/>
      <c r="S1368" s="110"/>
      <c r="T1368" s="110"/>
      <c r="U1368" s="110"/>
      <c r="V1368" s="110"/>
      <c r="W1368" s="110"/>
      <c r="X1368" s="110"/>
      <c r="Y1368" s="110"/>
    </row>
  </sheetData>
  <conditionalFormatting sqref="C145">
    <cfRule type="expression" dxfId="2" priority="18">
      <formula>COUNTIF(B:B,C145)&gt;1</formula>
    </cfRule>
  </conditionalFormatting>
  <conditionalFormatting sqref="D201">
    <cfRule type="expression" dxfId="1" priority="21">
      <formula>$I201="Hư hỏng"</formula>
    </cfRule>
  </conditionalFormatting>
  <conditionalFormatting sqref="C236">
    <cfRule type="expression" dxfId="2" priority="19">
      <formula>COUNTIF(B:B,C236)&gt;1</formula>
    </cfRule>
  </conditionalFormatting>
  <conditionalFormatting sqref="C237">
    <cfRule type="expression" dxfId="2" priority="9">
      <formula>COUNTIF(B:B,C237)&gt;1</formula>
    </cfRule>
  </conditionalFormatting>
  <conditionalFormatting sqref="C290">
    <cfRule type="expression" dxfId="2" priority="2">
      <formula>COUNTIF(B:B,C290)&gt;1</formula>
    </cfRule>
  </conditionalFormatting>
  <conditionalFormatting sqref="B342">
    <cfRule type="expression" dxfId="2" priority="3">
      <formula>COUNTIF(C:C,B342)&gt;1</formula>
    </cfRule>
  </conditionalFormatting>
  <conditionalFormatting sqref="C387">
    <cfRule type="expression" dxfId="2" priority="4">
      <formula>COUNTIF(B:B,C387)&gt;1</formula>
    </cfRule>
  </conditionalFormatting>
  <conditionalFormatting sqref="C427">
    <cfRule type="expression" dxfId="2" priority="8">
      <formula>COUNTIF(B:B,C427)&gt;1</formula>
    </cfRule>
  </conditionalFormatting>
  <conditionalFormatting sqref="C428">
    <cfRule type="expression" dxfId="2" priority="7">
      <formula>COUNTIF(B:B,C428)&gt;1</formula>
    </cfRule>
  </conditionalFormatting>
  <conditionalFormatting sqref="C556">
    <cfRule type="expression" dxfId="2" priority="23">
      <formula>COUNTIF(B:B,C556)&gt;1</formula>
    </cfRule>
  </conditionalFormatting>
  <conditionalFormatting sqref="C561">
    <cfRule type="expression" dxfId="2" priority="24">
      <formula>COUNTIF(B:B,C561)&gt;1</formula>
    </cfRule>
  </conditionalFormatting>
  <conditionalFormatting sqref="C605">
    <cfRule type="expression" dxfId="2" priority="1">
      <formula>COUNTIF(B:B,C605)&gt;1</formula>
    </cfRule>
  </conditionalFormatting>
  <conditionalFormatting sqref="H629">
    <cfRule type="containsText" dxfId="3" priority="11" operator="between" text="Hư hỏng">
      <formula>NOT(ISERROR(SEARCH("Hư hỏng",H629)))</formula>
    </cfRule>
    <cfRule type="containsText" dxfId="4" priority="12" operator="between" text="Thu hồi">
      <formula>NOT(ISERROR(SEARCH("Thu hồi",H629)))</formula>
    </cfRule>
    <cfRule type="containsText" dxfId="5" priority="13" operator="between" text="bình thường">
      <formula>NOT(ISERROR(SEARCH("bình thường",H629)))</formula>
    </cfRule>
  </conditionalFormatting>
  <conditionalFormatting sqref="B315:B319">
    <cfRule type="expression" dxfId="2" priority="17">
      <formula>COUNTIF(B:B,B315)&gt;1</formula>
    </cfRule>
  </conditionalFormatting>
  <conditionalFormatting sqref="C235:C236">
    <cfRule type="expression" dxfId="2" priority="20">
      <formula>COUNTIF(B:B,C235)&gt;1</formula>
    </cfRule>
  </conditionalFormatting>
  <conditionalFormatting sqref="C273:C279">
    <cfRule type="expression" dxfId="2" priority="10">
      <formula>COUNTIF(B:B,C273)&gt;1</formula>
    </cfRule>
  </conditionalFormatting>
  <conditionalFormatting sqref="C301:C302">
    <cfRule type="expression" dxfId="2" priority="22">
      <formula>COUNTIF(B:B,C301)&gt;1</formula>
    </cfRule>
  </conditionalFormatting>
  <conditionalFormatting sqref="C389:C390">
    <cfRule type="expression" dxfId="2" priority="5">
      <formula>COUNTIF(B:B,C389)&gt;1</formula>
    </cfRule>
  </conditionalFormatting>
  <conditionalFormatting sqref="A1 B1:B314 C90 C119 C121 C170:C176 C201 C262:C264 C272 C279 B320:B341 C334 C342 B343:B535 C344:C345 C386 C510:C520 B537:B538 B540:B556 B558:B560 B562:B1368 C660 C666 C671 C747:C750">
    <cfRule type="expression" dxfId="2" priority="27">
      <formula>COUNTIF(A:A,A1)&gt;1</formula>
    </cfRule>
  </conditionalFormatting>
  <conditionalFormatting sqref="A1:Y1368">
    <cfRule type="expression" dxfId="1" priority="28">
      <formula>$K1="Hư hỏng"</formula>
    </cfRule>
  </conditionalFormatting>
  <conditionalFormatting sqref="A90 A400:A401 A409:A410 A420:A421 A431:A432 A442:A443 A452:A453 A463:A464 A474:A475 A485">
    <cfRule type="expression" dxfId="2" priority="6">
      <formula>COUNTIF(B:B,A90)&gt;1</formula>
    </cfRule>
  </conditionalFormatting>
  <conditionalFormatting sqref="C90 C445 C483 C485:C487">
    <cfRule type="expression" dxfId="2" priority="16">
      <formula>COUNTIF(B:B,C90)&gt;1</formula>
    </cfRule>
  </conditionalFormatting>
  <conditionalFormatting sqref="C254:C255 E254 C267 C708:C709 C712">
    <cfRule type="expression" dxfId="2" priority="25">
      <formula>COUNTIF(B:B,C254)&gt;1</formula>
    </cfRule>
  </conditionalFormatting>
  <conditionalFormatting sqref="B264 B710:C710">
    <cfRule type="expression" dxfId="2" priority="15">
      <formula>COUNTIF(A:A,B264)&gt;1</formula>
    </cfRule>
  </conditionalFormatting>
  <conditionalFormatting sqref="B536:B544 C536 C538:C544 B557:C557 B561:C561 B620:C621">
    <cfRule type="expression" dxfId="2" priority="26">
      <formula>COUNTIF(A:A,B536)&gt;1</formula>
    </cfRule>
  </conditionalFormatting>
  <conditionalFormatting sqref="B705:C707">
    <cfRule type="expression" dxfId="2" priority="14">
      <formula>COUNTIF(A:A,B705)&gt;1</formula>
    </cfRule>
  </conditionalFormatting>
  <hyperlinks>
    <hyperlink ref="Y4" r:id="rId1" display="Thư mục Hình ảnh"/>
  </hyperlinks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135"/>
  </sheetPr>
  <dimension ref="A1:U1386"/>
  <sheetViews>
    <sheetView showGridLines="0" workbookViewId="0">
      <pane xSplit="7" ySplit="2" topLeftCell="H3" activePane="bottomRight" state="frozen"/>
      <selection/>
      <selection pane="topRight"/>
      <selection pane="bottomLeft"/>
      <selection pane="bottomRight" activeCell="H3" sqref="H3"/>
    </sheetView>
  </sheetViews>
  <sheetFormatPr defaultColWidth="12.6333333333333" defaultRowHeight="15" customHeight="1"/>
  <cols>
    <col min="1" max="1" width="6.38333333333333" customWidth="1"/>
    <col min="2" max="2" width="24.1333333333333" customWidth="1"/>
    <col min="3" max="3" width="23" customWidth="1"/>
    <col min="4" max="4" width="16.25" customWidth="1"/>
    <col min="5" max="5" width="9.75" customWidth="1"/>
    <col min="6" max="6" width="12.6333333333333" hidden="1" customWidth="1"/>
    <col min="7" max="7" width="31.75" customWidth="1"/>
    <col min="8" max="8" width="18.8833333333333" hidden="1" customWidth="1"/>
    <col min="9" max="9" width="14.8833333333333" customWidth="1"/>
    <col min="10" max="10" width="13.8833333333333" customWidth="1"/>
    <col min="11" max="11" width="14.75" customWidth="1"/>
    <col min="12" max="12" width="7.63333333333333" customWidth="1"/>
    <col min="13" max="13" width="43" customWidth="1"/>
    <col min="14" max="14" width="12.6333333333333" customWidth="1"/>
    <col min="15" max="16" width="9.63333333333333" customWidth="1"/>
    <col min="17" max="17" width="11.25" customWidth="1"/>
    <col min="18" max="18" width="10.1333333333333" customWidth="1"/>
    <col min="19" max="19" width="20.6333333333333" customWidth="1"/>
    <col min="20" max="20" width="19.8833333333333" customWidth="1"/>
    <col min="21" max="21" width="13.6333333333333" customWidth="1"/>
  </cols>
  <sheetData>
    <row r="1" ht="27.75" customHeight="1" spans="1:21">
      <c r="A1" s="82" t="s">
        <v>3259</v>
      </c>
      <c r="B1" s="231"/>
      <c r="C1" s="82"/>
      <c r="D1" s="83"/>
      <c r="E1" s="83"/>
      <c r="F1" s="82"/>
      <c r="G1" s="82"/>
      <c r="H1" s="839"/>
      <c r="I1" s="839"/>
      <c r="J1" s="82"/>
      <c r="K1" s="84"/>
      <c r="L1" s="85"/>
      <c r="M1" s="84"/>
      <c r="N1" s="82" t="s">
        <v>420</v>
      </c>
      <c r="O1" s="82"/>
      <c r="P1" s="82"/>
      <c r="Q1" s="82"/>
      <c r="R1" s="82"/>
      <c r="S1" s="82"/>
      <c r="T1" s="82"/>
      <c r="U1" s="840"/>
    </row>
    <row r="2" ht="26.25" customHeight="1" spans="1:21">
      <c r="A2" s="87" t="s">
        <v>421</v>
      </c>
      <c r="B2" s="841" t="s">
        <v>422</v>
      </c>
      <c r="C2" s="87" t="s">
        <v>423</v>
      </c>
      <c r="D2" s="87" t="s">
        <v>424</v>
      </c>
      <c r="E2" s="87" t="s">
        <v>425</v>
      </c>
      <c r="F2" s="87" t="s">
        <v>3260</v>
      </c>
      <c r="G2" s="87" t="s">
        <v>427</v>
      </c>
      <c r="H2" s="87" t="s">
        <v>428</v>
      </c>
      <c r="I2" s="87" t="s">
        <v>429</v>
      </c>
      <c r="J2" s="87" t="s">
        <v>430</v>
      </c>
      <c r="K2" s="87" t="str">
        <f>"Tình trạng "&amp;CHAR(10)&amp;"Hỏng: "&amp;COUNTIF(K3:K1386,"Hư hỏng")&amp;"/"&amp;C3</f>
        <v>Tình trạng 
Hỏng: 5/577</v>
      </c>
      <c r="L2" s="87" t="s">
        <v>431</v>
      </c>
      <c r="M2" s="88" t="s">
        <v>432</v>
      </c>
      <c r="N2" s="87" t="s">
        <v>433</v>
      </c>
      <c r="O2" s="87" t="s">
        <v>434</v>
      </c>
      <c r="P2" s="87" t="s">
        <v>435</v>
      </c>
      <c r="Q2" s="87" t="s">
        <v>436</v>
      </c>
      <c r="R2" s="87" t="s">
        <v>437</v>
      </c>
      <c r="S2" s="90" t="s">
        <v>438</v>
      </c>
      <c r="T2" s="87" t="s">
        <v>439</v>
      </c>
      <c r="U2" s="87" t="s">
        <v>3261</v>
      </c>
    </row>
    <row r="3" ht="12.75" customHeight="1" spans="1:21">
      <c r="A3" s="842"/>
      <c r="B3" s="843" t="s">
        <v>3262</v>
      </c>
      <c r="C3" s="842">
        <f>SUM(C4,C104,C142,C276,C413,C683)</f>
        <v>577</v>
      </c>
      <c r="D3" s="842"/>
      <c r="E3" s="842"/>
      <c r="F3" s="842"/>
      <c r="G3" s="842"/>
      <c r="H3" s="842"/>
      <c r="I3" s="842"/>
      <c r="J3" s="842"/>
      <c r="K3" s="842"/>
      <c r="L3" s="842"/>
      <c r="M3" s="844"/>
      <c r="N3" s="842"/>
      <c r="O3" s="842"/>
      <c r="P3" s="842"/>
      <c r="Q3" s="842"/>
      <c r="R3" s="842"/>
      <c r="S3" s="845"/>
      <c r="T3" s="842"/>
      <c r="U3" s="842"/>
    </row>
    <row r="4" ht="13.5" customHeight="1" spans="1:21">
      <c r="A4" s="91" t="s">
        <v>3263</v>
      </c>
      <c r="B4" s="846"/>
      <c r="C4" s="92">
        <f>SUM(C5,C65,C83,C96)</f>
        <v>83</v>
      </c>
      <c r="D4" s="92"/>
      <c r="E4" s="92"/>
      <c r="F4" s="91"/>
      <c r="G4" s="92"/>
      <c r="H4" s="91"/>
      <c r="I4" s="91"/>
      <c r="J4" s="93"/>
      <c r="K4" s="91"/>
      <c r="L4" s="92"/>
      <c r="M4" s="94"/>
      <c r="N4" s="91"/>
      <c r="O4" s="91"/>
      <c r="P4" s="91"/>
      <c r="Q4" s="91"/>
      <c r="R4" s="91"/>
      <c r="S4" s="91"/>
      <c r="T4" s="91"/>
      <c r="U4" s="91"/>
    </row>
    <row r="5" ht="13.5" customHeight="1" spans="1:21">
      <c r="A5" s="847" t="s">
        <v>290</v>
      </c>
      <c r="B5" s="848" t="s">
        <v>3264</v>
      </c>
      <c r="C5" s="849">
        <f>SUM(C6,C29,C34)</f>
        <v>52</v>
      </c>
      <c r="D5" s="849"/>
      <c r="E5" s="849"/>
      <c r="F5" s="848"/>
      <c r="G5" s="848"/>
      <c r="H5" s="847"/>
      <c r="I5" s="849"/>
      <c r="J5" s="850"/>
      <c r="K5" s="847"/>
      <c r="L5" s="851"/>
      <c r="M5" s="852"/>
      <c r="N5" s="853"/>
      <c r="O5" s="853"/>
      <c r="P5" s="849"/>
      <c r="Q5" s="849"/>
      <c r="R5" s="849"/>
      <c r="S5" s="853"/>
      <c r="T5" s="853"/>
      <c r="U5" s="849"/>
    </row>
    <row r="6" ht="13.5" customHeight="1" spans="1:21">
      <c r="A6" s="854" t="s">
        <v>3265</v>
      </c>
      <c r="B6" s="855" t="s">
        <v>3266</v>
      </c>
      <c r="C6" s="854">
        <f>COUNTA(B7:B28)</f>
        <v>20</v>
      </c>
      <c r="D6" s="856"/>
      <c r="E6" s="856"/>
      <c r="F6" s="855"/>
      <c r="G6" s="857"/>
      <c r="H6" s="854"/>
      <c r="I6" s="854"/>
      <c r="J6" s="858"/>
      <c r="K6" s="854"/>
      <c r="L6" s="859"/>
      <c r="M6" s="860"/>
      <c r="N6" s="861"/>
      <c r="O6" s="861"/>
      <c r="P6" s="854"/>
      <c r="Q6" s="854"/>
      <c r="R6" s="854"/>
      <c r="S6" s="861"/>
      <c r="T6" s="862"/>
      <c r="U6" s="854"/>
    </row>
    <row r="7" ht="13.5" customHeight="1" spans="1:21">
      <c r="A7" s="101">
        <v>1</v>
      </c>
      <c r="B7" s="104" t="s">
        <v>450</v>
      </c>
      <c r="C7" s="102" t="str">
        <f>IFERROR(VLOOKUP(B7,'02. MM-KLH'!$B$6:$T$823,2,0),"")</f>
        <v>ĐQSD</v>
      </c>
      <c r="D7" s="103" t="str">
        <f>IFERROR(VLOOKUP(B7,'02. MM-KLH'!$B$6:$T$823,3,0),"")</f>
        <v>ATT-A23-0025</v>
      </c>
      <c r="E7" s="102">
        <f>IFERROR(VLOOKUP(B7,'02. MM-KLH'!$B$6:$T$823,4,0),"")</f>
        <v>0</v>
      </c>
      <c r="F7" s="104" t="s">
        <v>3267</v>
      </c>
      <c r="G7" s="102" t="str">
        <f>IFERROR(VLOOKUP(B7,'02. MM-KLH'!$B$6:$T$823,6,0),"")</f>
        <v>Máy đào KOBELCO bánh xích gàu 1.2m3</v>
      </c>
      <c r="H7" s="101" t="s">
        <v>3268</v>
      </c>
      <c r="I7" s="101" t="str">
        <f>IFERROR(VLOOKUP(B7,'02. MM-KLH'!$B$6:$T$823,8,0),"")</f>
        <v>CGTC DP</v>
      </c>
      <c r="J7" s="105">
        <f>IFERROR(VLOOKUP(B7,'02. MM-KLH'!$B$6:$T$823,9,0),"")</f>
        <v>43835</v>
      </c>
      <c r="K7" s="101" t="str">
        <f>IFERROR(VLOOKUP(B7,'02. MM-KLH'!$B$6:$T$823,10,0),"")</f>
        <v>Bình thường</v>
      </c>
      <c r="L7" s="107">
        <f>IFERROR(VLOOKUP(B7,'02. MM-KLH'!$B$6:$T$823,11,0),"")</f>
        <v>0.67</v>
      </c>
      <c r="M7" s="125">
        <f>IFERROR(VLOOKUP(B7,'02. MM-KLH'!$B$6:$T$823,12,0),"")</f>
        <v>0</v>
      </c>
      <c r="N7" s="110" t="str">
        <f>IFERROR(VLOOKUP(B7,'02. MM-KLH'!$B$6:$T$823,13,0),"")</f>
        <v>KOBELCO</v>
      </c>
      <c r="O7" s="110" t="str">
        <f>IFERROR(VLOOKUP(B7,'02. MM-KLH'!$B$6:$T$823,14,0),"")</f>
        <v>NHẬT BẢN</v>
      </c>
      <c r="P7" s="101">
        <f>IFERROR(VLOOKUP(B7,'02. MM-KLH'!$B$6:$T$823,15,0),"")</f>
        <v>2019</v>
      </c>
      <c r="Q7" s="101" t="str">
        <f>IFERROR(VLOOKUP(B7,'02. MM-KLH'!$B$6:$T$823,16,0),"")</f>
        <v>SK200-08</v>
      </c>
      <c r="R7" s="101" t="str">
        <f>IFERROR(VLOOKUP(B7,'02. MM-KLH'!$B$6:$T$823,17,0),"")</f>
        <v>170HP</v>
      </c>
      <c r="S7" s="110" t="str">
        <f>IFERROR(VLOOKUP(B7,'02. MM-KLH'!$B$6:$T$823,18,0),"")</f>
        <v>LQ16-10073 </v>
      </c>
      <c r="T7" s="111" t="str">
        <f>IFERROR(VLOOKUP(B7,'02. MM-KLH'!$B$6:$T$823,19,0),"")</f>
        <v>R0033333</v>
      </c>
      <c r="U7" s="863" t="s">
        <v>451</v>
      </c>
    </row>
    <row r="8" ht="13.5" customHeight="1" spans="1:21">
      <c r="A8" s="103">
        <f t="shared" ref="A8:A26" si="0">A7+1</f>
        <v>2</v>
      </c>
      <c r="B8" s="104" t="s">
        <v>457</v>
      </c>
      <c r="C8" s="102">
        <f>IFERROR(VLOOKUP(B8,'02. MM-KLH'!$B$6:$T$823,2,0),"")</f>
        <v>0</v>
      </c>
      <c r="D8" s="103" t="str">
        <f>IFERROR(VLOOKUP(B8,'02. MM-KLH'!$B$6:$T$823,3,0),"")</f>
        <v>ATT-A23-0011</v>
      </c>
      <c r="E8" s="102">
        <f>IFERROR(VLOOKUP(B8,'02. MM-KLH'!$B$6:$T$823,4,0),"")</f>
        <v>0</v>
      </c>
      <c r="F8" s="104" t="s">
        <v>3269</v>
      </c>
      <c r="G8" s="102" t="str">
        <f>IFERROR(VLOOKUP(B8,'02. MM-KLH'!$B$6:$T$823,6,0),"")</f>
        <v>Máy đào SH210 bánh xích gàu 0.9m3</v>
      </c>
      <c r="H8" s="101" t="s">
        <v>3268</v>
      </c>
      <c r="I8" s="101" t="str">
        <f>IFERROR(VLOOKUP(B8,'02. MM-KLH'!$B$6:$T$823,8,0),"")</f>
        <v>CGTC DP</v>
      </c>
      <c r="J8" s="105">
        <f>IFERROR(VLOOKUP(B8,'02. MM-KLH'!$B$6:$T$823,9,0),"")</f>
        <v>43801</v>
      </c>
      <c r="K8" s="101" t="str">
        <f>IFERROR(VLOOKUP(B8,'02. MM-KLH'!$B$6:$T$823,10,0),"")</f>
        <v>Bình thường</v>
      </c>
      <c r="L8" s="107">
        <f>IFERROR(VLOOKUP(B8,'02. MM-KLH'!$B$6:$T$823,11,0),"")</f>
        <v>0.4</v>
      </c>
      <c r="M8" s="125">
        <f>IFERROR(VLOOKUP(B8,'02. MM-KLH'!$B$6:$T$823,12,0),"")</f>
        <v>0</v>
      </c>
      <c r="N8" s="110" t="str">
        <f>IFERROR(VLOOKUP(B8,'02. MM-KLH'!$B$6:$T$823,13,0),"")</f>
        <v>SUMITOMO</v>
      </c>
      <c r="O8" s="110" t="str">
        <f>IFERROR(VLOOKUP(B8,'02. MM-KLH'!$B$6:$T$823,14,0),"")</f>
        <v>NHẬT BẢN</v>
      </c>
      <c r="P8" s="101">
        <f>IFERROR(VLOOKUP(B8,'02. MM-KLH'!$B$6:$T$823,15,0),"")</f>
        <v>1993</v>
      </c>
      <c r="Q8" s="101" t="str">
        <f>IFERROR(VLOOKUP(B8,'02. MM-KLH'!$B$6:$T$823,16,0),"")</f>
        <v>SH210</v>
      </c>
      <c r="R8" s="101" t="str">
        <f>IFERROR(VLOOKUP(B8,'02. MM-KLH'!$B$6:$T$823,17,0),"")</f>
        <v>156HP</v>
      </c>
      <c r="S8" s="110" t="str">
        <f>IFERROR(VLOOKUP(B8,'02. MM-KLH'!$B$6:$T$823,18,0),"")</f>
        <v>STN210T6P00BH2390</v>
      </c>
      <c r="T8" s="111" t="str">
        <f>IFERROR(VLOOKUP(B8,'02. MM-KLH'!$B$6:$T$823,19,0),"")</f>
        <v>CCN</v>
      </c>
      <c r="U8" s="863" t="s">
        <v>451</v>
      </c>
    </row>
    <row r="9" ht="13.5" customHeight="1" spans="1:21">
      <c r="A9" s="103">
        <f t="shared" si="0"/>
        <v>3</v>
      </c>
      <c r="B9" s="104" t="s">
        <v>471</v>
      </c>
      <c r="C9" s="102">
        <f>IFERROR(VLOOKUP(B9,'02. MM-KLH'!$B$6:$T$823,2,0),"")</f>
        <v>0</v>
      </c>
      <c r="D9" s="103" t="str">
        <f>IFERROR(VLOOKUP(B9,'02. MM-KLH'!$B$6:$T$823,3,0),"")</f>
        <v>ATM-A22-0087</v>
      </c>
      <c r="E9" s="102">
        <f>IFERROR(VLOOKUP(B9,'02. MM-KLH'!$B$6:$T$823,4,0),"")</f>
        <v>0</v>
      </c>
      <c r="F9" s="104" t="s">
        <v>3270</v>
      </c>
      <c r="G9" s="102" t="str">
        <f>IFERROR(VLOOKUP(B9,'02. MM-KLH'!$B$6:$T$823,6,0),"")</f>
        <v>Máy đào SH210 bánh xích gàu 0.9m3</v>
      </c>
      <c r="H9" s="101" t="s">
        <v>3268</v>
      </c>
      <c r="I9" s="101" t="str">
        <f>IFERROR(VLOOKUP(B9,'02. MM-KLH'!$B$6:$T$823,8,0),"")</f>
        <v>CGTC DP</v>
      </c>
      <c r="J9" s="105">
        <f>IFERROR(VLOOKUP(B9,'02. MM-KLH'!$B$6:$T$823,9,0),"")</f>
        <v>44200</v>
      </c>
      <c r="K9" s="101" t="str">
        <f>IFERROR(VLOOKUP(B9,'02. MM-KLH'!$B$6:$T$823,10,0),"")</f>
        <v>Bình thường</v>
      </c>
      <c r="L9" s="107">
        <f>IFERROR(VLOOKUP(B9,'02. MM-KLH'!$B$6:$T$823,11,0),"")</f>
        <v>0.7</v>
      </c>
      <c r="M9" s="125">
        <f>IFERROR(VLOOKUP(B9,'02. MM-KLH'!$B$6:$T$823,12,0),"")</f>
        <v>0</v>
      </c>
      <c r="N9" s="110" t="str">
        <f>IFERROR(VLOOKUP(B9,'02. MM-KLH'!$B$6:$T$823,13,0),"")</f>
        <v>SUMITOMO</v>
      </c>
      <c r="O9" s="110" t="str">
        <f>IFERROR(VLOOKUP(B9,'02. MM-KLH'!$B$6:$T$823,14,0),"")</f>
        <v>NHẬT BẢN</v>
      </c>
      <c r="P9" s="101">
        <f>IFERROR(VLOOKUP(B9,'02. MM-KLH'!$B$6:$T$823,15,0),"")</f>
        <v>2020</v>
      </c>
      <c r="Q9" s="101" t="str">
        <f>IFERROR(VLOOKUP(B9,'02. MM-KLH'!$B$6:$T$823,16,0),"")</f>
        <v>SH210-6</v>
      </c>
      <c r="R9" s="101" t="str">
        <f>IFERROR(VLOOKUP(B9,'02. MM-KLH'!$B$6:$T$823,17,0),"")</f>
        <v>160HP</v>
      </c>
      <c r="S9" s="110" t="str">
        <f>IFERROR(VLOOKUP(B9,'02. MM-KLH'!$B$6:$T$823,18,0),"")</f>
        <v>STN210T6P00BH2695</v>
      </c>
      <c r="T9" s="111">
        <f>IFERROR(VLOOKUP(B9,'02. MM-KLH'!$B$6:$T$823,19,0),"")</f>
        <v>801502</v>
      </c>
      <c r="U9" s="863" t="s">
        <v>451</v>
      </c>
    </row>
    <row r="10" ht="13.5" customHeight="1" spans="1:21">
      <c r="A10" s="103">
        <f t="shared" si="0"/>
        <v>4</v>
      </c>
      <c r="B10" s="104" t="s">
        <v>741</v>
      </c>
      <c r="C10" s="102" t="str">
        <f>IFERROR(VLOOKUP(B10,'02. MM-KLH'!$B$6:$T$823,2,0),"")</f>
        <v>MĐ 13 HT-KLH</v>
      </c>
      <c r="D10" s="103" t="str">
        <f>IFERROR(VLOOKUP(B10,'02. MM-KLH'!$B$6:$T$823,3,0),"")</f>
        <v>ATT-A24-0053</v>
      </c>
      <c r="E10" s="102">
        <f>IFERROR(VLOOKUP(B10,'02. MM-KLH'!$B$6:$T$823,4,0),"")</f>
        <v>0</v>
      </c>
      <c r="F10" s="104" t="s">
        <v>3271</v>
      </c>
      <c r="G10" s="102" t="str">
        <f>IFERROR(VLOOKUP(B10,'02. MM-KLH'!$B$6:$T$823,6,0),"")</f>
        <v>Máy đào SH210 bánh xích gàu 0.9m3</v>
      </c>
      <c r="H10" s="101" t="s">
        <v>3268</v>
      </c>
      <c r="I10" s="101" t="str">
        <f>IFERROR(VLOOKUP(B10,'02. MM-KLH'!$B$6:$T$823,8,0),"")</f>
        <v>CGTC LP</v>
      </c>
      <c r="J10" s="105">
        <f>IFERROR(VLOOKUP(B10,'02. MM-KLH'!$B$6:$T$823,9,0),"")</f>
        <v>44197</v>
      </c>
      <c r="K10" s="101" t="str">
        <f>IFERROR(VLOOKUP(B10,'02. MM-KLH'!$B$6:$T$823,10,0),"")</f>
        <v>Bình thường</v>
      </c>
      <c r="L10" s="107">
        <f>IFERROR(VLOOKUP(B10,'02. MM-KLH'!$B$6:$T$823,11,0),"")</f>
        <v>0.67</v>
      </c>
      <c r="M10" s="125">
        <f>IFERROR(VLOOKUP(B10,'02. MM-KLH'!$B$6:$T$823,12,0),"")</f>
        <v>0</v>
      </c>
      <c r="N10" s="110" t="str">
        <f>IFERROR(VLOOKUP(B10,'02. MM-KLH'!$B$6:$T$823,13,0),"")</f>
        <v>SUMITOMO</v>
      </c>
      <c r="O10" s="110" t="str">
        <f>IFERROR(VLOOKUP(B10,'02. MM-KLH'!$B$6:$T$823,14,0),"")</f>
        <v>NHẬT BẢN</v>
      </c>
      <c r="P10" s="101">
        <f>IFERROR(VLOOKUP(B10,'02. MM-KLH'!$B$6:$T$823,15,0),"")</f>
        <v>2020</v>
      </c>
      <c r="Q10" s="101" t="str">
        <f>IFERROR(VLOOKUP(B10,'02. MM-KLH'!$B$6:$T$823,16,0),"")</f>
        <v>SH210-6</v>
      </c>
      <c r="R10" s="101" t="str">
        <f>IFERROR(VLOOKUP(B10,'02. MM-KLH'!$B$6:$T$823,17,0),"")</f>
        <v>156HP</v>
      </c>
      <c r="S10" s="110" t="str">
        <f>IFERROR(VLOOKUP(B10,'02. MM-KLH'!$B$6:$T$823,18,0),"")</f>
        <v>STN210T6V00BH2623</v>
      </c>
      <c r="T10" s="111">
        <f>IFERROR(VLOOKUP(B10,'02. MM-KLH'!$B$6:$T$823,19,0),"")</f>
        <v>800391</v>
      </c>
      <c r="U10" s="863" t="s">
        <v>451</v>
      </c>
    </row>
    <row r="11" ht="13.5" customHeight="1" spans="1:21">
      <c r="A11" s="103">
        <f t="shared" si="0"/>
        <v>5</v>
      </c>
      <c r="B11" s="104" t="s">
        <v>867</v>
      </c>
      <c r="C11" s="102" t="str">
        <f>IFERROR(VLOOKUP(B11,'02. MM-KLH'!$B$6:$T$823,2,0),"")</f>
        <v>CHT-MĐA-046</v>
      </c>
      <c r="D11" s="103" t="str">
        <f>IFERROR(VLOOKUP(B11,'02. MM-KLH'!$B$6:$T$823,3,0),"")</f>
        <v>ATM-A22-0086</v>
      </c>
      <c r="E11" s="102">
        <f>IFERROR(VLOOKUP(B11,'02. MM-KLH'!$B$6:$T$823,4,0),"")</f>
        <v>0</v>
      </c>
      <c r="F11" s="104" t="s">
        <v>3272</v>
      </c>
      <c r="G11" s="102" t="str">
        <f>IFERROR(VLOOKUP(B11,'02. MM-KLH'!$B$6:$T$823,6,0),"")</f>
        <v>Máy đào SH210 bánh xích gàu 0.9m3</v>
      </c>
      <c r="H11" s="101" t="s">
        <v>3268</v>
      </c>
      <c r="I11" s="101" t="str">
        <f>IFERROR(VLOOKUP(B11,'02. MM-KLH'!$B$6:$T$823,8,0),"")</f>
        <v>CGTC AD</v>
      </c>
      <c r="J11" s="105">
        <f>IFERROR(VLOOKUP(B11,'02. MM-KLH'!$B$6:$T$823,9,0),"")</f>
        <v>44287</v>
      </c>
      <c r="K11" s="101" t="str">
        <f>IFERROR(VLOOKUP(B11,'02. MM-KLH'!$B$6:$T$823,10,0),"")</f>
        <v>Bình thường</v>
      </c>
      <c r="L11" s="107">
        <f>IFERROR(VLOOKUP(B11,'02. MM-KLH'!$B$6:$T$823,11,0),"")</f>
        <v>0.7</v>
      </c>
      <c r="M11" s="125">
        <f>IFERROR(VLOOKUP(B11,'02. MM-KLH'!$B$6:$T$823,12,0),"")</f>
        <v>0</v>
      </c>
      <c r="N11" s="110" t="str">
        <f>IFERROR(VLOOKUP(B11,'02. MM-KLH'!$B$6:$T$823,13,0),"")</f>
        <v>SUMITOMO</v>
      </c>
      <c r="O11" s="110" t="str">
        <f>IFERROR(VLOOKUP(B11,'02. MM-KLH'!$B$6:$T$823,14,0),"")</f>
        <v>NHẬT BẢN</v>
      </c>
      <c r="P11" s="101">
        <f>IFERROR(VLOOKUP(B11,'02. MM-KLH'!$B$6:$T$823,15,0),"")</f>
        <v>2021</v>
      </c>
      <c r="Q11" s="101" t="str">
        <f>IFERROR(VLOOKUP(B11,'02. MM-KLH'!$B$6:$T$823,16,0),"")</f>
        <v>SH210-6</v>
      </c>
      <c r="R11" s="101" t="str">
        <f>IFERROR(VLOOKUP(B11,'02. MM-KLH'!$B$6:$T$823,17,0),"")</f>
        <v>160HP</v>
      </c>
      <c r="S11" s="110" t="str">
        <f>IFERROR(VLOOKUP(B11,'02. MM-KLH'!$B$6:$T$823,18,0),"")</f>
        <v>STN210T6C00BH3091</v>
      </c>
      <c r="T11" s="111">
        <f>IFERROR(VLOOKUP(B11,'02. MM-KLH'!$B$6:$T$823,19,0),"")</f>
        <v>816364</v>
      </c>
      <c r="U11" s="863" t="s">
        <v>451</v>
      </c>
    </row>
    <row r="12" ht="13.5" customHeight="1" spans="1:21">
      <c r="A12" s="103">
        <f t="shared" si="0"/>
        <v>6</v>
      </c>
      <c r="B12" s="104" t="s">
        <v>869</v>
      </c>
      <c r="C12" s="102" t="str">
        <f>IFERROR(VLOOKUP(B12,'02. MM-KLH'!$B$6:$T$823,2,0),"")</f>
        <v>CHT-MĐA-024</v>
      </c>
      <c r="D12" s="103" t="str">
        <f>IFERROR(VLOOKUP(B12,'02. MM-KLH'!$B$6:$T$823,3,0),"")</f>
        <v>ATT-A22-0143</v>
      </c>
      <c r="E12" s="102">
        <f>IFERROR(VLOOKUP(B12,'02. MM-KLH'!$B$6:$T$823,4,0),"")</f>
        <v>0</v>
      </c>
      <c r="F12" s="104" t="s">
        <v>3273</v>
      </c>
      <c r="G12" s="102" t="str">
        <f>IFERROR(VLOOKUP(B12,'02. MM-KLH'!$B$6:$T$823,6,0),"")</f>
        <v>Máy đào SH210 bánh xích gàu 0.9m3</v>
      </c>
      <c r="H12" s="101" t="s">
        <v>3268</v>
      </c>
      <c r="I12" s="101" t="str">
        <f>IFERROR(VLOOKUP(B12,'02. MM-KLH'!$B$6:$T$823,8,0),"")</f>
        <v>CGTC AD</v>
      </c>
      <c r="J12" s="105">
        <f>IFERROR(VLOOKUP(B12,'02. MM-KLH'!$B$6:$T$823,9,0),"")</f>
        <v>0</v>
      </c>
      <c r="K12" s="101" t="str">
        <f>IFERROR(VLOOKUP(B12,'02. MM-KLH'!$B$6:$T$823,10,0),"")</f>
        <v>Bình thường</v>
      </c>
      <c r="L12" s="107">
        <f>IFERROR(VLOOKUP(B12,'02. MM-KLH'!$B$6:$T$823,11,0),"")</f>
        <v>0.66</v>
      </c>
      <c r="M12" s="125">
        <f>IFERROR(VLOOKUP(B12,'02. MM-KLH'!$B$6:$T$823,12,0),"")</f>
        <v>0</v>
      </c>
      <c r="N12" s="110" t="str">
        <f>IFERROR(VLOOKUP(B12,'02. MM-KLH'!$B$6:$T$823,13,0),"")</f>
        <v>SUMITOMO</v>
      </c>
      <c r="O12" s="110" t="str">
        <f>IFERROR(VLOOKUP(B12,'02. MM-KLH'!$B$6:$T$823,14,0),"")</f>
        <v>NHẬT BẢN</v>
      </c>
      <c r="P12" s="101">
        <f>IFERROR(VLOOKUP(B12,'02. MM-KLH'!$B$6:$T$823,15,0),"")</f>
        <v>2020</v>
      </c>
      <c r="Q12" s="101" t="str">
        <f>IFERROR(VLOOKUP(B12,'02. MM-KLH'!$B$6:$T$823,16,0),"")</f>
        <v>SH210-6</v>
      </c>
      <c r="R12" s="101" t="str">
        <f>IFERROR(VLOOKUP(B12,'02. MM-KLH'!$B$6:$T$823,17,0),"")</f>
        <v>156HP</v>
      </c>
      <c r="S12" s="110" t="str">
        <f>IFERROR(VLOOKUP(B12,'02. MM-KLH'!$B$6:$T$823,18,0),"")</f>
        <v>STN210T6V00BH2671</v>
      </c>
      <c r="T12" s="111">
        <f>IFERROR(VLOOKUP(B12,'02. MM-KLH'!$B$6:$T$823,19,0),"")</f>
        <v>800456</v>
      </c>
      <c r="U12" s="863" t="s">
        <v>451</v>
      </c>
    </row>
    <row r="13" ht="30" customHeight="1" spans="1:21">
      <c r="A13" s="103">
        <f t="shared" si="0"/>
        <v>7</v>
      </c>
      <c r="B13" s="124" t="s">
        <v>594</v>
      </c>
      <c r="C13" s="102" t="str">
        <f>IFERROR(VLOOKUP(B13,'02. MM-KLH'!$B$6:$T$823,2,0),"")</f>
        <v>MỚI (ĐQSD)</v>
      </c>
      <c r="D13" s="103" t="str">
        <f>IFERROR(VLOOKUP(B13,'02. MM-KLH'!$B$6:$T$823,3,0),"")</f>
        <v>A23-MĐA-066</v>
      </c>
      <c r="E13" s="102">
        <f>IFERROR(VLOOKUP(B13,'02. MM-KLH'!$B$6:$T$823,4,0),"")</f>
        <v>0</v>
      </c>
      <c r="F13" s="124"/>
      <c r="G13" s="102" t="str">
        <f>IFERROR(VLOOKUP(B13,'02. MM-KLH'!$B$6:$T$823,6,0),"")</f>
        <v>Máy đào KOMATSU bánh lốp gàu 0.7m3</v>
      </c>
      <c r="H13" s="101" t="s">
        <v>3268</v>
      </c>
      <c r="I13" s="101" t="str">
        <f>IFERROR(VLOOKUP(B13,'02. MM-KLH'!$B$6:$T$823,8,0),"")</f>
        <v>CGTC DP</v>
      </c>
      <c r="J13" s="105">
        <f>IFERROR(VLOOKUP(B13,'02. MM-KLH'!$B$6:$T$823,9,0),"")</f>
        <v>45963</v>
      </c>
      <c r="K13" s="101" t="str">
        <f>IFERROR(VLOOKUP(B13,'02. MM-KLH'!$B$6:$T$823,10,0),"")</f>
        <v>Bình thường</v>
      </c>
      <c r="L13" s="107">
        <f>IFERROR(VLOOKUP(B13,'02. MM-KLH'!$B$6:$T$823,11,0),"")</f>
        <v>0</v>
      </c>
      <c r="M13" s="125" t="str">
        <f>IFERROR(VLOOKUP(B13,'02. MM-KLH'!$B$6:$T$823,12,0),"")</f>
        <v>Bàn giao về XDCB ngày 11/02/2025
- Bàn giao về B.ĐN theo TTr số 03-T02/2025/B.XDCB</v>
      </c>
      <c r="N13" s="110" t="str">
        <f>IFERROR(VLOOKUP(B13,'02. MM-KLH'!$B$6:$T$823,13,0),"")</f>
        <v>KOMATSU</v>
      </c>
      <c r="O13" s="110" t="str">
        <f>IFERROR(VLOOKUP(B13,'02. MM-KLH'!$B$6:$T$823,14,0),"")</f>
        <v>ĐỨC</v>
      </c>
      <c r="P13" s="101">
        <f>IFERROR(VLOOKUP(B13,'02. MM-KLH'!$B$6:$T$823,15,0),"")</f>
        <v>2006</v>
      </c>
      <c r="Q13" s="101" t="str">
        <f>IFERROR(VLOOKUP(B13,'02. MM-KLH'!$B$6:$T$823,16,0),"")</f>
        <v>PW160-7</v>
      </c>
      <c r="R13" s="101" t="str">
        <f>IFERROR(VLOOKUP(B13,'02. MM-KLH'!$B$6:$T$823,17,0),"")</f>
        <v>120HP</v>
      </c>
      <c r="S13" s="110" t="str">
        <f>IFERROR(VLOOKUP(B13,'02. MM-KLH'!$B$6:$T$823,18,0),"")</f>
        <v>KMTPW013T79H50346</v>
      </c>
      <c r="T13" s="111">
        <f>IFERROR(VLOOKUP(B13,'02. MM-KLH'!$B$6:$T$823,19,0),"")</f>
        <v>21721047</v>
      </c>
      <c r="U13" s="863" t="s">
        <v>3274</v>
      </c>
    </row>
    <row r="14" ht="13.5" customHeight="1" spans="1:21">
      <c r="A14" s="103">
        <f t="shared" si="0"/>
        <v>8</v>
      </c>
      <c r="B14" s="104" t="s">
        <v>463</v>
      </c>
      <c r="C14" s="102">
        <f>IFERROR(VLOOKUP(B14,'02. MM-KLH'!$B$6:$T$823,2,0),"")</f>
        <v>0</v>
      </c>
      <c r="D14" s="103" t="str">
        <f>IFERROR(VLOOKUP(B14,'02. MM-KLH'!$B$6:$T$823,3,0),"")</f>
        <v>ATT-A23-0034</v>
      </c>
      <c r="E14" s="102">
        <f>IFERROR(VLOOKUP(B14,'02. MM-KLH'!$B$6:$T$823,4,0),"")</f>
        <v>0</v>
      </c>
      <c r="F14" s="104" t="s">
        <v>3275</v>
      </c>
      <c r="G14" s="102" t="str">
        <f>IFERROR(VLOOKUP(B14,'02. MM-KLH'!$B$6:$T$823,6,0),"")</f>
        <v>Máy đào DX140W bánh lốp gàu 0.7m3</v>
      </c>
      <c r="H14" s="101" t="s">
        <v>3268</v>
      </c>
      <c r="I14" s="101" t="str">
        <f>IFERROR(VLOOKUP(B14,'02. MM-KLH'!$B$6:$T$823,8,0),"")</f>
        <v>CGTC DP</v>
      </c>
      <c r="J14" s="105">
        <f>IFERROR(VLOOKUP(B14,'02. MM-KLH'!$B$6:$T$823,9,0),"")</f>
        <v>44110</v>
      </c>
      <c r="K14" s="101" t="str">
        <f>IFERROR(VLOOKUP(B14,'02. MM-KLH'!$B$6:$T$823,10,0),"")</f>
        <v>Bình thường</v>
      </c>
      <c r="L14" s="107">
        <f>IFERROR(VLOOKUP(B14,'02. MM-KLH'!$B$6:$T$823,11,0),"")</f>
        <v>0.68</v>
      </c>
      <c r="M14" s="864">
        <f>IFERROR(VLOOKUP(B14,'02. MM-KLH'!$B$6:$T$823,12,0),"")</f>
        <v>0</v>
      </c>
      <c r="N14" s="110" t="str">
        <f>IFERROR(VLOOKUP(B14,'02. MM-KLH'!$B$6:$T$823,13,0),"")</f>
        <v>DOOSAN</v>
      </c>
      <c r="O14" s="110" t="str">
        <f>IFERROR(VLOOKUP(B14,'02. MM-KLH'!$B$6:$T$823,14,0),"")</f>
        <v>HÀN QUỐC</v>
      </c>
      <c r="P14" s="101">
        <f>IFERROR(VLOOKUP(B14,'02. MM-KLH'!$B$6:$T$823,15,0),"")</f>
        <v>2019</v>
      </c>
      <c r="Q14" s="101" t="str">
        <f>IFERROR(VLOOKUP(B14,'02. MM-KLH'!$B$6:$T$823,16,0),"")</f>
        <v>DX140W</v>
      </c>
      <c r="R14" s="101" t="str">
        <f>IFERROR(VLOOKUP(B14,'02. MM-KLH'!$B$6:$T$823,17,0),"")</f>
        <v>133HP</v>
      </c>
      <c r="S14" s="110" t="str">
        <f>IFERROR(VLOOKUP(B14,'02. MM-KLH'!$B$6:$T$823,18,0),"")</f>
        <v>DHKCEWAAVK5008713</v>
      </c>
      <c r="T14" s="111" t="str">
        <f>IFERROR(VLOOKUP(B14,'02. MM-KLH'!$B$6:$T$823,19,0),"")</f>
        <v>CCN</v>
      </c>
      <c r="U14" s="863" t="s">
        <v>451</v>
      </c>
    </row>
    <row r="15" ht="13.5" customHeight="1" spans="1:21">
      <c r="A15" s="103">
        <f t="shared" si="0"/>
        <v>9</v>
      </c>
      <c r="B15" s="104" t="s">
        <v>469</v>
      </c>
      <c r="C15" s="102">
        <f>IFERROR(VLOOKUP(B15,'02. MM-KLH'!$B$6:$T$823,2,0),"")</f>
        <v>0</v>
      </c>
      <c r="D15" s="103" t="str">
        <f>IFERROR(VLOOKUP(B15,'02. MM-KLH'!$B$6:$T$823,3,0),"")</f>
        <v>ATT-A23-0012</v>
      </c>
      <c r="E15" s="102">
        <f>IFERROR(VLOOKUP(B15,'02. MM-KLH'!$B$6:$T$823,4,0),"")</f>
        <v>0</v>
      </c>
      <c r="F15" s="104" t="s">
        <v>3276</v>
      </c>
      <c r="G15" s="102" t="str">
        <f>IFERROR(VLOOKUP(B15,'02. MM-KLH'!$B$6:$T$823,6,0),"")</f>
        <v>Máy đào DX140W bánh lốp gàu 0.7m3</v>
      </c>
      <c r="H15" s="101" t="s">
        <v>3268</v>
      </c>
      <c r="I15" s="101" t="str">
        <f>IFERROR(VLOOKUP(B15,'02. MM-KLH'!$B$6:$T$823,8,0),"")</f>
        <v>CGTC DP</v>
      </c>
      <c r="J15" s="105">
        <f>IFERROR(VLOOKUP(B15,'02. MM-KLH'!$B$6:$T$823,9,0),"")</f>
        <v>43801</v>
      </c>
      <c r="K15" s="101" t="str">
        <f>IFERROR(VLOOKUP(B15,'02. MM-KLH'!$B$6:$T$823,10,0),"")</f>
        <v>Bình thường</v>
      </c>
      <c r="L15" s="107">
        <f>IFERROR(VLOOKUP(B15,'02. MM-KLH'!$B$6:$T$823,11,0),"")</f>
        <v>0.4</v>
      </c>
      <c r="M15" s="864">
        <f>IFERROR(VLOOKUP(B15,'02. MM-KLH'!$B$6:$T$823,12,0),"")</f>
        <v>0</v>
      </c>
      <c r="N15" s="110" t="str">
        <f>IFERROR(VLOOKUP(B15,'02. MM-KLH'!$B$6:$T$823,13,0),"")</f>
        <v>DOOSAN</v>
      </c>
      <c r="O15" s="110" t="str">
        <f>IFERROR(VLOOKUP(B15,'02. MM-KLH'!$B$6:$T$823,14,0),"")</f>
        <v>HÀN QUỐC</v>
      </c>
      <c r="P15" s="101">
        <f>IFERROR(VLOOKUP(B15,'02. MM-KLH'!$B$6:$T$823,15,0),"")</f>
        <v>2018</v>
      </c>
      <c r="Q15" s="101" t="str">
        <f>IFERROR(VLOOKUP(B15,'02. MM-KLH'!$B$6:$T$823,16,0),"")</f>
        <v>DX140W</v>
      </c>
      <c r="R15" s="101" t="str">
        <f>IFERROR(VLOOKUP(B15,'02. MM-KLH'!$B$6:$T$823,17,0),"")</f>
        <v>133HP</v>
      </c>
      <c r="S15" s="110" t="str">
        <f>IFERROR(VLOOKUP(B15,'02. MM-KLH'!$B$6:$T$823,18,0),"")</f>
        <v>DHKCEWAAEK5008652</v>
      </c>
      <c r="T15" s="111" t="str">
        <f>IFERROR(VLOOKUP(B15,'02. MM-KLH'!$B$6:$T$823,19,0),"")</f>
        <v>CCN</v>
      </c>
      <c r="U15" s="863" t="s">
        <v>451</v>
      </c>
    </row>
    <row r="16" ht="13.5" customHeight="1" spans="1:21">
      <c r="A16" s="103">
        <f t="shared" si="0"/>
        <v>10</v>
      </c>
      <c r="B16" s="104" t="s">
        <v>748</v>
      </c>
      <c r="C16" s="102" t="str">
        <f>IFERROR(VLOOKUP(B16,'02. MM-KLH'!$B$6:$T$823,2,0),"")</f>
        <v>MĐ 15 HT-KLH</v>
      </c>
      <c r="D16" s="103" t="str">
        <f>IFERROR(VLOOKUP(B16,'02. MM-KLH'!$B$6:$T$823,3,0),"")</f>
        <v>ATT-A24-0049</v>
      </c>
      <c r="E16" s="102">
        <f>IFERROR(VLOOKUP(B16,'02. MM-KLH'!$B$6:$T$823,4,0),"")</f>
        <v>0</v>
      </c>
      <c r="F16" s="104" t="s">
        <v>3277</v>
      </c>
      <c r="G16" s="102" t="str">
        <f>IFERROR(VLOOKUP(B16,'02. MM-KLH'!$B$6:$T$823,6,0),"")</f>
        <v>Máy đào DX140W bánh lốp gàu 0.7m3</v>
      </c>
      <c r="H16" s="101" t="s">
        <v>3268</v>
      </c>
      <c r="I16" s="101" t="str">
        <f>IFERROR(VLOOKUP(B16,'02. MM-KLH'!$B$6:$T$823,8,0),"")</f>
        <v>CGTC LP</v>
      </c>
      <c r="J16" s="105">
        <f>IFERROR(VLOOKUP(B16,'02. MM-KLH'!$B$6:$T$823,9,0),"")</f>
        <v>44197</v>
      </c>
      <c r="K16" s="101" t="str">
        <f>IFERROR(VLOOKUP(B16,'02. MM-KLH'!$B$6:$T$823,10,0),"")</f>
        <v>Bình thường</v>
      </c>
      <c r="L16" s="107">
        <f>IFERROR(VLOOKUP(B16,'02. MM-KLH'!$B$6:$T$823,11,0),"")</f>
        <v>0.67</v>
      </c>
      <c r="M16" s="864">
        <f>IFERROR(VLOOKUP(B16,'02. MM-KLH'!$B$6:$T$823,12,0),"")</f>
        <v>0</v>
      </c>
      <c r="N16" s="110" t="str">
        <f>IFERROR(VLOOKUP(B16,'02. MM-KLH'!$B$6:$T$823,13,0),"")</f>
        <v>DOOSAN</v>
      </c>
      <c r="O16" s="110" t="str">
        <f>IFERROR(VLOOKUP(B16,'02. MM-KLH'!$B$6:$T$823,14,0),"")</f>
        <v>HÀN QUỐC</v>
      </c>
      <c r="P16" s="101">
        <f>IFERROR(VLOOKUP(B16,'02. MM-KLH'!$B$6:$T$823,15,0),"")</f>
        <v>2020</v>
      </c>
      <c r="Q16" s="101" t="str">
        <f>IFERROR(VLOOKUP(B16,'02. MM-KLH'!$B$6:$T$823,16,0),"")</f>
        <v>DX140W</v>
      </c>
      <c r="R16" s="101" t="str">
        <f>IFERROR(VLOOKUP(B16,'02. MM-KLH'!$B$6:$T$823,17,0),"")</f>
        <v>133HP</v>
      </c>
      <c r="S16" s="110" t="str">
        <f>IFERROR(VLOOKUP(B16,'02. MM-KLH'!$B$6:$T$823,18,0),"")</f>
        <v>DHKCEWAAHL5008817</v>
      </c>
      <c r="T16" s="111" t="str">
        <f>IFERROR(VLOOKUP(B16,'02. MM-KLH'!$B$6:$T$823,19,0),"")</f>
        <v>DB58TIS039588EJ</v>
      </c>
      <c r="U16" s="863" t="s">
        <v>451</v>
      </c>
    </row>
    <row r="17" ht="13.5" customHeight="1" spans="1:21">
      <c r="A17" s="103">
        <f t="shared" si="0"/>
        <v>11</v>
      </c>
      <c r="B17" s="104" t="s">
        <v>752</v>
      </c>
      <c r="C17" s="102" t="str">
        <f>IFERROR(VLOOKUP(B17,'02. MM-KLH'!$B$6:$T$823,2,0),"")</f>
        <v>MĐ 16 HT-KLH</v>
      </c>
      <c r="D17" s="103" t="str">
        <f>IFERROR(VLOOKUP(B17,'02. MM-KLH'!$B$6:$T$823,3,0),"")</f>
        <v>ATT-A24-0050</v>
      </c>
      <c r="E17" s="102">
        <f>IFERROR(VLOOKUP(B17,'02. MM-KLH'!$B$6:$T$823,4,0),"")</f>
        <v>0</v>
      </c>
      <c r="F17" s="104" t="s">
        <v>3278</v>
      </c>
      <c r="G17" s="102" t="str">
        <f>IFERROR(VLOOKUP(B17,'02. MM-KLH'!$B$6:$T$823,6,0),"")</f>
        <v>Máy đào DX140W bánh lốp gàu 0.7m3</v>
      </c>
      <c r="H17" s="101" t="s">
        <v>3268</v>
      </c>
      <c r="I17" s="101" t="str">
        <f>IFERROR(VLOOKUP(B17,'02. MM-KLH'!$B$6:$T$823,8,0),"")</f>
        <v>CGTC LP</v>
      </c>
      <c r="J17" s="105">
        <f>IFERROR(VLOOKUP(B17,'02. MM-KLH'!$B$6:$T$823,9,0),"")</f>
        <v>44197</v>
      </c>
      <c r="K17" s="101" t="str">
        <f>IFERROR(VLOOKUP(B17,'02. MM-KLH'!$B$6:$T$823,10,0),"")</f>
        <v>Bình thường</v>
      </c>
      <c r="L17" s="107">
        <f>IFERROR(VLOOKUP(B17,'02. MM-KLH'!$B$6:$T$823,11,0),"")</f>
        <v>0.67</v>
      </c>
      <c r="M17" s="864">
        <f>IFERROR(VLOOKUP(B17,'02. MM-KLH'!$B$6:$T$823,12,0),"")</f>
        <v>0</v>
      </c>
      <c r="N17" s="110" t="str">
        <f>IFERROR(VLOOKUP(B17,'02. MM-KLH'!$B$6:$T$823,13,0),"")</f>
        <v>DOOSAN</v>
      </c>
      <c r="O17" s="110" t="str">
        <f>IFERROR(VLOOKUP(B17,'02. MM-KLH'!$B$6:$T$823,14,0),"")</f>
        <v>HÀN QUỐC</v>
      </c>
      <c r="P17" s="101">
        <f>IFERROR(VLOOKUP(B17,'02. MM-KLH'!$B$6:$T$823,15,0),"")</f>
        <v>2020</v>
      </c>
      <c r="Q17" s="101" t="str">
        <f>IFERROR(VLOOKUP(B17,'02. MM-KLH'!$B$6:$T$823,16,0),"")</f>
        <v>DX140W</v>
      </c>
      <c r="R17" s="101" t="str">
        <f>IFERROR(VLOOKUP(B17,'02. MM-KLH'!$B$6:$T$823,17,0),"")</f>
        <v>133HP</v>
      </c>
      <c r="S17" s="110" t="str">
        <f>IFERROR(VLOOKUP(B17,'02. MM-KLH'!$B$6:$T$823,18,0),"")</f>
        <v>DHKCEWAAHL5008818</v>
      </c>
      <c r="T17" s="111" t="str">
        <f>IFERROR(VLOOKUP(B17,'02. MM-KLH'!$B$6:$T$823,19,0),"")</f>
        <v>DB58TIS039734EJ</v>
      </c>
      <c r="U17" s="863" t="s">
        <v>451</v>
      </c>
    </row>
    <row r="18" ht="13.5" customHeight="1" spans="1:21">
      <c r="A18" s="103">
        <f t="shared" si="0"/>
        <v>12</v>
      </c>
      <c r="B18" s="104" t="s">
        <v>871</v>
      </c>
      <c r="C18" s="102" t="str">
        <f>IFERROR(VLOOKUP(B18,'02. MM-KLH'!$B$6:$T$823,2,0),"")</f>
        <v>CHT-MĐA-025</v>
      </c>
      <c r="D18" s="103" t="str">
        <f>IFERROR(VLOOKUP(B18,'02. MM-KLH'!$B$6:$T$823,3,0),"")</f>
        <v>ATT-A22-0120</v>
      </c>
      <c r="E18" s="102">
        <f>IFERROR(VLOOKUP(B18,'02. MM-KLH'!$B$6:$T$823,4,0),"")</f>
        <v>0</v>
      </c>
      <c r="F18" s="104" t="s">
        <v>3279</v>
      </c>
      <c r="G18" s="102" t="str">
        <f>IFERROR(VLOOKUP(B18,'02. MM-KLH'!$B$6:$T$823,6,0),"")</f>
        <v>Máy đào DX140W bánh lốp gàu 0.7m3</v>
      </c>
      <c r="H18" s="101" t="s">
        <v>3268</v>
      </c>
      <c r="I18" s="101" t="str">
        <f>IFERROR(VLOOKUP(B18,'02. MM-KLH'!$B$6:$T$823,8,0),"")</f>
        <v>CGTC AD</v>
      </c>
      <c r="J18" s="105" t="str">
        <f>IFERROR(VLOOKUP(B18,'02. MM-KLH'!$B$6:$T$823,9,0),"")</f>
        <v>14/09/2020</v>
      </c>
      <c r="K18" s="101" t="str">
        <f>IFERROR(VLOOKUP(B18,'02. MM-KLH'!$B$6:$T$823,10,0),"")</f>
        <v>Bình thường</v>
      </c>
      <c r="L18" s="107">
        <f>IFERROR(VLOOKUP(B18,'02. MM-KLH'!$B$6:$T$823,11,0),"")</f>
        <v>0</v>
      </c>
      <c r="M18" s="864">
        <f>IFERROR(VLOOKUP(B18,'02. MM-KLH'!$B$6:$T$823,12,0),"")</f>
        <v>0</v>
      </c>
      <c r="N18" s="110" t="str">
        <f>IFERROR(VLOOKUP(B18,'02. MM-KLH'!$B$6:$T$823,13,0),"")</f>
        <v>DOOSAN</v>
      </c>
      <c r="O18" s="110" t="str">
        <f>IFERROR(VLOOKUP(B18,'02. MM-KLH'!$B$6:$T$823,14,0),"")</f>
        <v>HÀN QUỐC</v>
      </c>
      <c r="P18" s="101">
        <f>IFERROR(VLOOKUP(B18,'02. MM-KLH'!$B$6:$T$823,15,0),"")</f>
        <v>2020</v>
      </c>
      <c r="Q18" s="101" t="str">
        <f>IFERROR(VLOOKUP(B18,'02. MM-KLH'!$B$6:$T$823,16,0),"")</f>
        <v>DX140W</v>
      </c>
      <c r="R18" s="101" t="str">
        <f>IFERROR(VLOOKUP(B18,'02. MM-KLH'!$B$6:$T$823,17,0),"")</f>
        <v>133HP</v>
      </c>
      <c r="S18" s="110" t="str">
        <f>IFERROR(VLOOKUP(B18,'02. MM-KLH'!$B$6:$T$823,18,0),"")</f>
        <v>DHKCEWAAHL5008819</v>
      </c>
      <c r="T18" s="111" t="str">
        <f>IFERROR(VLOOKUP(B18,'02. MM-KLH'!$B$6:$T$823,19,0),"")</f>
        <v>DB58TIS039733EJ</v>
      </c>
      <c r="U18" s="863" t="s">
        <v>451</v>
      </c>
    </row>
    <row r="19" ht="13.5" customHeight="1" spans="1:21">
      <c r="A19" s="103">
        <f t="shared" si="0"/>
        <v>13</v>
      </c>
      <c r="B19" s="104" t="s">
        <v>875</v>
      </c>
      <c r="C19" s="102" t="str">
        <f>IFERROR(VLOOKUP(B19,'02. MM-KLH'!$B$6:$T$823,2,0),"")</f>
        <v>CHT-MĐA-026</v>
      </c>
      <c r="D19" s="103" t="str">
        <f>IFERROR(VLOOKUP(B19,'02. MM-KLH'!$B$6:$T$823,3,0),"")</f>
        <v>ATT-A22-0120</v>
      </c>
      <c r="E19" s="102">
        <f>IFERROR(VLOOKUP(B19,'02. MM-KLH'!$B$6:$T$823,4,0),"")</f>
        <v>0</v>
      </c>
      <c r="F19" s="104" t="s">
        <v>3279</v>
      </c>
      <c r="G19" s="102" t="str">
        <f>IFERROR(VLOOKUP(B19,'02. MM-KLH'!$B$6:$T$823,6,0),"")</f>
        <v>Máy đào DX140W bánh lốp gàu 0.7m3</v>
      </c>
      <c r="H19" s="101" t="s">
        <v>3268</v>
      </c>
      <c r="I19" s="101" t="str">
        <f>IFERROR(VLOOKUP(B19,'02. MM-KLH'!$B$6:$T$823,8,0),"")</f>
        <v>CGTC AD</v>
      </c>
      <c r="J19" s="105" t="str">
        <f>IFERROR(VLOOKUP(B19,'02. MM-KLH'!$B$6:$T$823,9,0),"")</f>
        <v>14/09/2020</v>
      </c>
      <c r="K19" s="101" t="str">
        <f>IFERROR(VLOOKUP(B19,'02. MM-KLH'!$B$6:$T$823,10,0),"")</f>
        <v>Bình thường</v>
      </c>
      <c r="L19" s="107">
        <f>IFERROR(VLOOKUP(B19,'02. MM-KLH'!$B$6:$T$823,11,0),"")</f>
        <v>0</v>
      </c>
      <c r="M19" s="864">
        <f>IFERROR(VLOOKUP(B19,'02. MM-KLH'!$B$6:$T$823,12,0),"")</f>
        <v>0</v>
      </c>
      <c r="N19" s="110" t="str">
        <f>IFERROR(VLOOKUP(B19,'02. MM-KLH'!$B$6:$T$823,13,0),"")</f>
        <v>DOOSAN</v>
      </c>
      <c r="O19" s="110" t="str">
        <f>IFERROR(VLOOKUP(B19,'02. MM-KLH'!$B$6:$T$823,14,0),"")</f>
        <v>HÀN QUỐC</v>
      </c>
      <c r="P19" s="101">
        <f>IFERROR(VLOOKUP(B19,'02. MM-KLH'!$B$6:$T$823,15,0),"")</f>
        <v>2020</v>
      </c>
      <c r="Q19" s="101" t="str">
        <f>IFERROR(VLOOKUP(B19,'02. MM-KLH'!$B$6:$T$823,16,0),"")</f>
        <v>DX140W</v>
      </c>
      <c r="R19" s="101" t="str">
        <f>IFERROR(VLOOKUP(B19,'02. MM-KLH'!$B$6:$T$823,17,0),"")</f>
        <v>133HP</v>
      </c>
      <c r="S19" s="110" t="str">
        <f>IFERROR(VLOOKUP(B19,'02. MM-KLH'!$B$6:$T$823,18,0),"")</f>
        <v>DHKCEWAASL5008820</v>
      </c>
      <c r="T19" s="111" t="str">
        <f>IFERROR(VLOOKUP(B19,'02. MM-KLH'!$B$6:$T$823,19,0),"")</f>
        <v>DB58TIS039729EJ</v>
      </c>
      <c r="U19" s="863" t="s">
        <v>451</v>
      </c>
    </row>
    <row r="20" ht="13.5" customHeight="1" spans="1:21">
      <c r="A20" s="103">
        <f t="shared" si="0"/>
        <v>14</v>
      </c>
      <c r="B20" s="104" t="s">
        <v>802</v>
      </c>
      <c r="C20" s="102" t="str">
        <f>IFERROR(VLOOKUP(B20,'02. MM-KLH'!$B$6:$T$823,2,0),"")</f>
        <v>MỚI (ĐQSD)</v>
      </c>
      <c r="D20" s="103" t="str">
        <f>IFERROR(VLOOKUP(B20,'02. MM-KLH'!$B$6:$T$823,3,0),"")</f>
        <v>A24-MĐA-068</v>
      </c>
      <c r="E20" s="102">
        <f>IFERROR(VLOOKUP(B20,'02. MM-KLH'!$B$6:$T$823,4,0),"")</f>
        <v>0</v>
      </c>
      <c r="F20" s="104" t="s">
        <v>3280</v>
      </c>
      <c r="G20" s="102" t="str">
        <f>IFERROR(VLOOKUP(B20,'02. MM-KLH'!$B$6:$T$823,6,0),"")</f>
        <v>Máy đào KOMATSU bánh lốp gàu 0.7m3</v>
      </c>
      <c r="H20" s="101" t="s">
        <v>3281</v>
      </c>
      <c r="I20" s="101" t="str">
        <f>IFERROR(VLOOKUP(B20,'02. MM-KLH'!$B$6:$T$823,8,0),"")</f>
        <v>CGTC LP</v>
      </c>
      <c r="J20" s="105" t="str">
        <f>IFERROR(VLOOKUP(B20,'02. MM-KLH'!$B$6:$T$823,9,0),"")</f>
        <v>27/07/2025</v>
      </c>
      <c r="K20" s="101" t="str">
        <f>IFERROR(VLOOKUP(B20,'02. MM-KLH'!$B$6:$T$823,10,0),"")</f>
        <v>Bình thường</v>
      </c>
      <c r="L20" s="107">
        <f>IFERROR(VLOOKUP(B20,'02. MM-KLH'!$B$6:$T$823,11,0),"")</f>
        <v>0</v>
      </c>
      <c r="M20" s="864" t="str">
        <f>IFERROR(VLOOKUP(B20,'02. MM-KLH'!$B$6:$T$823,12,0),"")</f>
        <v>Đầu tư mới (ĐQSD)</v>
      </c>
      <c r="N20" s="110" t="str">
        <f>IFERROR(VLOOKUP(B20,'02. MM-KLH'!$B$6:$T$823,13,0),"")</f>
        <v>KOMATSU</v>
      </c>
      <c r="O20" s="110" t="str">
        <f>IFERROR(VLOOKUP(B20,'02. MM-KLH'!$B$6:$T$823,14,0),"")</f>
        <v>NHẬT BẢN</v>
      </c>
      <c r="P20" s="101">
        <f>IFERROR(VLOOKUP(B20,'02. MM-KLH'!$B$6:$T$823,15,0),"")</f>
        <v>1990</v>
      </c>
      <c r="Q20" s="101" t="str">
        <f>IFERROR(VLOOKUP(B20,'02. MM-KLH'!$B$6:$T$823,16,0),"")</f>
        <v>PW200-1</v>
      </c>
      <c r="R20" s="101" t="str">
        <f>IFERROR(VLOOKUP(B20,'02. MM-KLH'!$B$6:$T$823,17,0),"")</f>
        <v>115HP</v>
      </c>
      <c r="S20" s="110" t="str">
        <f>IFERROR(VLOOKUP(B20,'02. MM-KLH'!$B$6:$T$823,18,0),"")</f>
        <v>PW200110186</v>
      </c>
      <c r="T20" s="111" t="str">
        <f>IFERROR(VLOOKUP(B20,'02. MM-KLH'!$B$6:$T$823,19,0),"")</f>
        <v>6D105121806</v>
      </c>
      <c r="U20" s="863" t="s">
        <v>3274</v>
      </c>
    </row>
    <row r="21" ht="28.5" customHeight="1" spans="1:21">
      <c r="A21" s="103">
        <f t="shared" si="0"/>
        <v>15</v>
      </c>
      <c r="B21" s="104" t="s">
        <v>2176</v>
      </c>
      <c r="C21" s="102" t="str">
        <f>IFERROR(VLOOKUP(B21,'02. MM-KLH'!$B$6:$T$823,2,0),"")</f>
        <v>CHT-MĐA-070</v>
      </c>
      <c r="D21" s="103" t="str">
        <f>IFERROR(VLOOKUP(B21,'02. MM-KLH'!$B$6:$T$823,3,0),"")</f>
        <v>A22-MĐA-070</v>
      </c>
      <c r="E21" s="102">
        <f>IFERROR(VLOOKUP(B21,'02. MM-KLH'!$B$6:$T$823,4,0),"")</f>
        <v>0</v>
      </c>
      <c r="F21" s="104" t="s">
        <v>3282</v>
      </c>
      <c r="G21" s="102" t="str">
        <f>IFERROR(VLOOKUP(B21,'02. MM-KLH'!$B$6:$T$823,6,0),"")</f>
        <v>Máy đào KOMATSU bánh lốp gàu 0.7m3</v>
      </c>
      <c r="H21" s="101" t="s">
        <v>3283</v>
      </c>
      <c r="I21" s="101" t="str">
        <f>IFERROR(VLOOKUP(B21,'02. MM-KLH'!$B$6:$T$823,8,0),"")</f>
        <v>XN Bò AD</v>
      </c>
      <c r="J21" s="105">
        <f>IFERROR(VLOOKUP(B21,'02. MM-KLH'!$B$6:$T$823,9,0),"")</f>
        <v>45660</v>
      </c>
      <c r="K21" s="101" t="str">
        <f>IFERROR(VLOOKUP(B21,'02. MM-KLH'!$B$6:$T$823,10,0),"")</f>
        <v>Bình thường</v>
      </c>
      <c r="L21" s="107">
        <f>IFERROR(VLOOKUP(B21,'02. MM-KLH'!$B$6:$T$823,11,0),"")</f>
        <v>0</v>
      </c>
      <c r="M21" s="864" t="str">
        <f>IFERROR(VLOOKUP(B21,'02. MM-KLH'!$B$6:$T$823,12,0),"")</f>
        <v>- Bàn giao về XDCB ngày 01/03/2025
- Bàn giao về XNB ngày 09/04/2026</v>
      </c>
      <c r="N21" s="110" t="str">
        <f>IFERROR(VLOOKUP(B21,'02. MM-KLH'!$B$6:$T$823,13,0),"")</f>
        <v>KOMATSU</v>
      </c>
      <c r="O21" s="110" t="str">
        <f>IFERROR(VLOOKUP(B21,'02. MM-KLH'!$B$6:$T$823,14,0),"")</f>
        <v>ĐỨC</v>
      </c>
      <c r="P21" s="101">
        <f>IFERROR(VLOOKUP(B21,'02. MM-KLH'!$B$6:$T$823,15,0),"")</f>
        <v>2006</v>
      </c>
      <c r="Q21" s="101" t="str">
        <f>IFERROR(VLOOKUP(B21,'02. MM-KLH'!$B$6:$T$823,16,0),"")</f>
        <v>PW160-7</v>
      </c>
      <c r="R21" s="101" t="str">
        <f>IFERROR(VLOOKUP(B21,'02. MM-KLH'!$B$6:$T$823,17,0),"")</f>
        <v>120HP</v>
      </c>
      <c r="S21" s="110" t="str">
        <f>IFERROR(VLOOKUP(B21,'02. MM-KLH'!$B$6:$T$823,18,0),"")</f>
        <v>KMTPW013K79H50270</v>
      </c>
      <c r="T21" s="111">
        <f>IFERROR(VLOOKUP(B21,'02. MM-KLH'!$B$6:$T$823,19,0),"")</f>
        <v>21711747</v>
      </c>
      <c r="U21" s="863" t="s">
        <v>3274</v>
      </c>
    </row>
    <row r="22" ht="13.5" customHeight="1" spans="1:21">
      <c r="A22" s="103">
        <f t="shared" si="0"/>
        <v>16</v>
      </c>
      <c r="B22" s="124" t="s">
        <v>600</v>
      </c>
      <c r="C22" s="102" t="str">
        <f>IFERROR(VLOOKUP(B22,'02. MM-KLH'!$B$6:$T$823,2,0),"")</f>
        <v>MỚI (ĐQSD)</v>
      </c>
      <c r="D22" s="103" t="str">
        <f>IFERROR(VLOOKUP(B22,'02. MM-KLH'!$B$6:$T$823,3,0),"")</f>
        <v>A23-MĐA-067</v>
      </c>
      <c r="E22" s="102">
        <f>IFERROR(VLOOKUP(B22,'02. MM-KLH'!$B$6:$T$823,4,0),"")</f>
        <v>0</v>
      </c>
      <c r="F22" s="124"/>
      <c r="G22" s="102" t="str">
        <f>IFERROR(VLOOKUP(B22,'02. MM-KLH'!$B$6:$T$823,6,0),"")</f>
        <v>Máy đào KOMATSU bánh lốp gàu 0.8m3</v>
      </c>
      <c r="H22" s="101" t="s">
        <v>3268</v>
      </c>
      <c r="I22" s="101" t="str">
        <f>IFERROR(VLOOKUP(B22,'02. MM-KLH'!$B$6:$T$823,8,0),"")</f>
        <v>CGTC DP</v>
      </c>
      <c r="J22" s="105">
        <f>IFERROR(VLOOKUP(B22,'02. MM-KLH'!$B$6:$T$823,9,0),"")</f>
        <v>45963</v>
      </c>
      <c r="K22" s="101" t="str">
        <f>IFERROR(VLOOKUP(B22,'02. MM-KLH'!$B$6:$T$823,10,0),"")</f>
        <v>Bình thường</v>
      </c>
      <c r="L22" s="107">
        <f>IFERROR(VLOOKUP(B22,'02. MM-KLH'!$B$6:$T$823,11,0),"")</f>
        <v>0</v>
      </c>
      <c r="M22" s="125" t="str">
        <f>IFERROR(VLOOKUP(B22,'02. MM-KLH'!$B$6:$T$823,12,0),"")</f>
        <v>Bàn giao về XDCB ngày 11/02/2025</v>
      </c>
      <c r="N22" s="110" t="str">
        <f>IFERROR(VLOOKUP(B22,'02. MM-KLH'!$B$6:$T$823,13,0),"")</f>
        <v>KOMATSU</v>
      </c>
      <c r="O22" s="110" t="str">
        <f>IFERROR(VLOOKUP(B22,'02. MM-KLH'!$B$6:$T$823,14,0),"")</f>
        <v>NHẬT BẢN</v>
      </c>
      <c r="P22" s="101">
        <f>IFERROR(VLOOKUP(B22,'02. MM-KLH'!$B$6:$T$823,15,0),"")</f>
        <v>2012</v>
      </c>
      <c r="Q22" s="101" t="str">
        <f>IFERROR(VLOOKUP(B22,'02. MM-KLH'!$B$6:$T$823,16,0),"")</f>
        <v>PW200-7</v>
      </c>
      <c r="R22" s="101" t="str">
        <f>IFERROR(VLOOKUP(B22,'02. MM-KLH'!$B$6:$T$823,17,0),"")</f>
        <v>150HP</v>
      </c>
      <c r="S22" s="110" t="str">
        <f>IFERROR(VLOOKUP(B22,'02. MM-KLH'!$B$6:$T$823,18,0),"")</f>
        <v>KMTPW015K79H50237</v>
      </c>
      <c r="T22" s="111">
        <f>IFERROR(VLOOKUP(B22,'02. MM-KLH'!$B$6:$T$823,19,0),"")</f>
        <v>21719691</v>
      </c>
      <c r="U22" s="863" t="s">
        <v>3274</v>
      </c>
    </row>
    <row r="23" ht="13.5" customHeight="1" spans="1:21">
      <c r="A23" s="103">
        <f t="shared" si="0"/>
        <v>17</v>
      </c>
      <c r="B23" s="104" t="s">
        <v>910</v>
      </c>
      <c r="C23" s="102" t="str">
        <f>IFERROR(VLOOKUP(B23,'02. MM-KLH'!$B$6:$T$823,2,0),"")</f>
        <v>MỚI (ĐQSD)</v>
      </c>
      <c r="D23" s="103" t="str">
        <f>IFERROR(VLOOKUP(B23,'02. MM-KLH'!$B$6:$T$823,3,0),"")</f>
        <v>A22-MĐA-071</v>
      </c>
      <c r="E23" s="102">
        <f>IFERROR(VLOOKUP(B23,'02. MM-KLH'!$B$6:$T$823,4,0),"")</f>
        <v>0</v>
      </c>
      <c r="F23" s="104"/>
      <c r="G23" s="102" t="str">
        <f>IFERROR(VLOOKUP(B23,'02. MM-KLH'!$B$6:$T$823,6,0),"")</f>
        <v>Máy đào KOMATSU bánh xích gàu 0.8m3</v>
      </c>
      <c r="H23" s="101" t="s">
        <v>3268</v>
      </c>
      <c r="I23" s="101" t="str">
        <f>IFERROR(VLOOKUP(B23,'02. MM-KLH'!$B$6:$T$823,8,0),"")</f>
        <v>CGTC AD</v>
      </c>
      <c r="J23" s="105">
        <f>IFERROR(VLOOKUP(B23,'02. MM-KLH'!$B$6:$T$823,9,0),"")</f>
        <v>45660</v>
      </c>
      <c r="K23" s="101" t="str">
        <f>IFERROR(VLOOKUP(B23,'02. MM-KLH'!$B$6:$T$823,10,0),"")</f>
        <v>Bình thường</v>
      </c>
      <c r="L23" s="107">
        <f>IFERROR(VLOOKUP(B23,'02. MM-KLH'!$B$6:$T$823,11,0),"")</f>
        <v>0</v>
      </c>
      <c r="M23" s="125" t="str">
        <f>IFERROR(VLOOKUP(B23,'02. MM-KLH'!$B$6:$T$823,12,0),"")</f>
        <v>Bàn giao về XDCB ngày 01/03/2025</v>
      </c>
      <c r="N23" s="110" t="str">
        <f>IFERROR(VLOOKUP(B23,'02. MM-KLH'!$B$6:$T$823,13,0),"")</f>
        <v>KOMATSU</v>
      </c>
      <c r="O23" s="110" t="str">
        <f>IFERROR(VLOOKUP(B23,'02. MM-KLH'!$B$6:$T$823,14,0),"")</f>
        <v>NHẬT BẢN</v>
      </c>
      <c r="P23" s="101">
        <f>IFERROR(VLOOKUP(B23,'02. MM-KLH'!$B$6:$T$823,15,0),"")</f>
        <v>2012</v>
      </c>
      <c r="Q23" s="101" t="str">
        <f>IFERROR(VLOOKUP(B23,'02. MM-KLH'!$B$6:$T$823,16,0),"")</f>
        <v>PC200-8N1</v>
      </c>
      <c r="R23" s="101" t="str">
        <f>IFERROR(VLOOKUP(B23,'02. MM-KLH'!$B$6:$T$823,17,0),"")</f>
        <v>150HP</v>
      </c>
      <c r="S23" s="110" t="str">
        <f>IFERROR(VLOOKUP(B23,'02. MM-KLH'!$B$6:$T$823,18,0),"")</f>
        <v>KMTPC197L02354297</v>
      </c>
      <c r="T23" s="111" t="str">
        <f>IFERROR(VLOOKUP(B23,'02. MM-KLH'!$B$6:$T$823,19,0),"")</f>
        <v>6D10726100136</v>
      </c>
      <c r="U23" s="863" t="s">
        <v>3274</v>
      </c>
    </row>
    <row r="24" ht="27" customHeight="1" spans="1:21">
      <c r="A24" s="103">
        <f t="shared" si="0"/>
        <v>18</v>
      </c>
      <c r="B24" s="104" t="s">
        <v>605</v>
      </c>
      <c r="C24" s="102" t="str">
        <f>IFERROR(VLOOKUP(B24,'02. MM-KLH'!$B$6:$T$823,2,0),"")</f>
        <v>MỚI (ĐQSD)</v>
      </c>
      <c r="D24" s="103" t="str">
        <f>IFERROR(VLOOKUP(B24,'02. MM-KLH'!$B$6:$T$823,3,0),"")</f>
        <v>A23-MĐA-072</v>
      </c>
      <c r="E24" s="102">
        <f>IFERROR(VLOOKUP(B24,'02. MM-KLH'!$B$6:$T$823,4,0),"")</f>
        <v>0</v>
      </c>
      <c r="F24" s="104"/>
      <c r="G24" s="102" t="str">
        <f>IFERROR(VLOOKUP(B24,'02. MM-KLH'!$B$6:$T$823,6,0),"")</f>
        <v>Máy đào KOMATSU bánh xích gàu 0.8m3</v>
      </c>
      <c r="H24" s="101" t="s">
        <v>3281</v>
      </c>
      <c r="I24" s="101" t="str">
        <f>IFERROR(VLOOKUP(B24,'02. MM-KLH'!$B$6:$T$823,8,0),"")</f>
        <v>CGTC DP</v>
      </c>
      <c r="J24" s="105" t="str">
        <f>IFERROR(VLOOKUP(B24,'02. MM-KLH'!$B$6:$T$823,9,0),"")</f>
        <v>28/05/2025</v>
      </c>
      <c r="K24" s="101" t="str">
        <f>IFERROR(VLOOKUP(B24,'02. MM-KLH'!$B$6:$T$823,10,0),"")</f>
        <v>Bình thường</v>
      </c>
      <c r="L24" s="107">
        <f>IFERROR(VLOOKUP(B24,'02. MM-KLH'!$B$6:$T$823,11,0),"")</f>
        <v>0</v>
      </c>
      <c r="M24" s="125" t="str">
        <f>IFERROR(VLOOKUP(B24,'02. MM-KLH'!$B$6:$T$823,12,0),"")</f>
        <v>Đầu tư mới (Tài sản DP)</v>
      </c>
      <c r="N24" s="110" t="str">
        <f>IFERROR(VLOOKUP(B24,'02. MM-KLH'!$B$6:$T$823,13,0),"")</f>
        <v>KOMATSU</v>
      </c>
      <c r="O24" s="110" t="str">
        <f>IFERROR(VLOOKUP(B24,'02. MM-KLH'!$B$6:$T$823,14,0),"")</f>
        <v>NHẬT BẢN</v>
      </c>
      <c r="P24" s="101">
        <f>IFERROR(VLOOKUP(B24,'02. MM-KLH'!$B$6:$T$823,15,0),"")</f>
        <v>2005</v>
      </c>
      <c r="Q24" s="101" t="str">
        <f>IFERROR(VLOOKUP(B24,'02. MM-KLH'!$B$6:$T$823,16,0),"")</f>
        <v>PC228US-3N0</v>
      </c>
      <c r="R24" s="101" t="str">
        <f>IFERROR(VLOOKUP(B24,'02. MM-KLH'!$B$6:$T$823,17,0),"")</f>
        <v>145HP</v>
      </c>
      <c r="S24" s="110" t="str">
        <f>IFERROR(VLOOKUP(B24,'02. MM-KLH'!$B$6:$T$823,18,0),"")</f>
        <v>KMTPC057E02032035</v>
      </c>
      <c r="T24" s="111" t="str">
        <f>IFERROR(VLOOKUP(B24,'02. MM-KLH'!$B$6:$T$823,19,0),"")</f>
        <v>6D1022638264</v>
      </c>
      <c r="U24" s="863" t="s">
        <v>3274</v>
      </c>
    </row>
    <row r="25" ht="27" customHeight="1" spans="1:21">
      <c r="A25" s="103">
        <f t="shared" si="0"/>
        <v>19</v>
      </c>
      <c r="B25" s="104" t="s">
        <v>936</v>
      </c>
      <c r="C25" s="102" t="str">
        <f>IFERROR(VLOOKUP(B25,'02. MM-KLH'!$B$6:$T$823,2,0),"")</f>
        <v>MỚI (ĐQSD)</v>
      </c>
      <c r="D25" s="103" t="str">
        <f>IFERROR(VLOOKUP(B25,'02. MM-KLH'!$B$6:$T$823,3,0),"")</f>
        <v>A23-MDA-073</v>
      </c>
      <c r="E25" s="102">
        <f>IFERROR(VLOOKUP(B25,'02. MM-KLH'!$B$6:$T$823,4,0),"")</f>
        <v>0</v>
      </c>
      <c r="F25" s="104"/>
      <c r="G25" s="102" t="str">
        <f>IFERROR(VLOOKUP(B25,'02. MM-KLH'!$B$6:$T$823,6,0),"")</f>
        <v>Máy đào KOMATSU bánh xích gàu 0.8m3</v>
      </c>
      <c r="H25" s="101" t="s">
        <v>3283</v>
      </c>
      <c r="I25" s="101" t="str">
        <f>IFERROR(VLOOKUP(B25,'02. MM-KLH'!$B$6:$T$823,8,0),"")</f>
        <v>CGTC AD</v>
      </c>
      <c r="J25" s="105" t="str">
        <f>IFERROR(VLOOKUP(B25,'02. MM-KLH'!$B$6:$T$823,9,0),"")</f>
        <v>28/05/2025</v>
      </c>
      <c r="K25" s="101" t="str">
        <f>IFERROR(VLOOKUP(B25,'02. MM-KLH'!$B$6:$T$823,10,0),"")</f>
        <v>Bình thường</v>
      </c>
      <c r="L25" s="107">
        <f>IFERROR(VLOOKUP(B25,'02. MM-KLH'!$B$6:$T$823,11,0),"")</f>
        <v>0</v>
      </c>
      <c r="M25" s="125" t="str">
        <f>IFERROR(VLOOKUP(B25,'02. MM-KLH'!$B$6:$T$823,12,0),"")</f>
        <v>Đầu tư mới  (Tài sản DP)
- Bàn giao về CGTC ADM theo TTr số 04-T05/2025/B.XDCB</v>
      </c>
      <c r="N25" s="110" t="str">
        <f>IFERROR(VLOOKUP(B25,'02. MM-KLH'!$B$6:$T$823,13,0),"")</f>
        <v>KOMATSU</v>
      </c>
      <c r="O25" s="110" t="str">
        <f>IFERROR(VLOOKUP(B25,'02. MM-KLH'!$B$6:$T$823,14,0),"")</f>
        <v>NHẬT BẢN</v>
      </c>
      <c r="P25" s="101">
        <f>IFERROR(VLOOKUP(B25,'02. MM-KLH'!$B$6:$T$823,15,0),"")</f>
        <v>2003</v>
      </c>
      <c r="Q25" s="101" t="str">
        <f>IFERROR(VLOOKUP(B25,'02. MM-KLH'!$B$6:$T$823,16,0),"")</f>
        <v>PC228US-3N0</v>
      </c>
      <c r="R25" s="101" t="str">
        <f>IFERROR(VLOOKUP(B25,'02. MM-KLH'!$B$6:$T$823,17,0),"")</f>
        <v>145HP</v>
      </c>
      <c r="S25" s="110" t="str">
        <f>IFERROR(VLOOKUP(B25,'02. MM-KLH'!$B$6:$T$823,18,0),"")</f>
        <v>KMTPC057C02030553</v>
      </c>
      <c r="T25" s="111" t="str">
        <f>IFERROR(VLOOKUP(B25,'02. MM-KLH'!$B$6:$T$823,19,0),"")</f>
        <v>6D10226327476</v>
      </c>
      <c r="U25" s="863" t="s">
        <v>3274</v>
      </c>
    </row>
    <row r="26" ht="13.5" customHeight="1" spans="1:21">
      <c r="A26" s="103">
        <f t="shared" si="0"/>
        <v>20</v>
      </c>
      <c r="B26" s="104" t="s">
        <v>791</v>
      </c>
      <c r="C26" s="102" t="str">
        <f>IFERROR(VLOOKUP(B26,'02. MM-KLH'!$B$6:$T$823,2,0),"")</f>
        <v>MỚI (ĐQSD)</v>
      </c>
      <c r="D26" s="103" t="str">
        <f>IFERROR(VLOOKUP(B26,'02. MM-KLH'!$B$6:$T$823,3,0),"")</f>
        <v>A24-MĐA-065</v>
      </c>
      <c r="E26" s="102">
        <f>IFERROR(VLOOKUP(B26,'02. MM-KLH'!$B$6:$T$823,4,0),"")</f>
        <v>0</v>
      </c>
      <c r="F26" s="104"/>
      <c r="G26" s="102" t="str">
        <f>IFERROR(VLOOKUP(B26,'02. MM-KLH'!$B$6:$T$823,6,0),"")</f>
        <v>Máy đào KOMATSU bánh xích gàu 0.8m3</v>
      </c>
      <c r="H26" s="101" t="s">
        <v>3284</v>
      </c>
      <c r="I26" s="101" t="str">
        <f>IFERROR(VLOOKUP(B26,'02. MM-KLH'!$B$6:$T$823,8,0),"")</f>
        <v>CGTC LP</v>
      </c>
      <c r="J26" s="105">
        <f>IFERROR(VLOOKUP(B26,'02. MM-KLH'!$B$6:$T$823,9,0),"")</f>
        <v>45722</v>
      </c>
      <c r="K26" s="101" t="str">
        <f>IFERROR(VLOOKUP(B26,'02. MM-KLH'!$B$6:$T$823,10,0),"")</f>
        <v>Bình thường</v>
      </c>
      <c r="L26" s="107">
        <f>IFERROR(VLOOKUP(B26,'02. MM-KLH'!$B$6:$T$823,11,0),"")</f>
        <v>0</v>
      </c>
      <c r="M26" s="125" t="str">
        <f>IFERROR(VLOOKUP(B26,'02. MM-KLH'!$B$6:$T$823,12,0),"")</f>
        <v>Đầu tư mới (ĐQSD)</v>
      </c>
      <c r="N26" s="110" t="str">
        <f>IFERROR(VLOOKUP(B26,'02. MM-KLH'!$B$6:$T$823,13,0),"")</f>
        <v>KOMATSU</v>
      </c>
      <c r="O26" s="110" t="str">
        <f>IFERROR(VLOOKUP(B26,'02. MM-KLH'!$B$6:$T$823,14,0),"")</f>
        <v>NHẬT BẢN</v>
      </c>
      <c r="P26" s="101">
        <f>IFERROR(VLOOKUP(B26,'02. MM-KLH'!$B$6:$T$823,15,0),"")</f>
        <v>2010</v>
      </c>
      <c r="Q26" s="101" t="str">
        <f>IFERROR(VLOOKUP(B26,'02. MM-KLH'!$B$6:$T$823,16,0),"")</f>
        <v>PC200-8N1</v>
      </c>
      <c r="R26" s="101" t="str">
        <f>IFERROR(VLOOKUP(B26,'02. MM-KLH'!$B$6:$T$823,17,0),"")</f>
        <v>145HP</v>
      </c>
      <c r="S26" s="110" t="str">
        <f>IFERROR(VLOOKUP(B26,'02. MM-KLH'!$B$6:$T$823,18,0),"")</f>
        <v>KMTPC197A02351172</v>
      </c>
      <c r="T26" s="111" t="str">
        <f>IFERROR(VLOOKUP(B26,'02. MM-KLH'!$B$6:$T$823,19,0),"")</f>
        <v>6D10726567400</v>
      </c>
      <c r="U26" s="863" t="s">
        <v>3274</v>
      </c>
    </row>
    <row r="27" ht="13.5" customHeight="1" spans="1:21">
      <c r="A27" s="101"/>
      <c r="B27" s="104"/>
      <c r="C27" s="102" t="str">
        <f>IFERROR(VLOOKUP(B27,'02. MM-KLH'!$B$6:$T$823,2,0),"")</f>
        <v/>
      </c>
      <c r="D27" s="103" t="str">
        <f>IFERROR(VLOOKUP(B27,'02. MM-KLH'!$B$6:$T$823,3,0),"")</f>
        <v/>
      </c>
      <c r="E27" s="102" t="str">
        <f>IFERROR(VLOOKUP(B27,'02. MM-KLH'!$B$6:$T$823,4,0),"")</f>
        <v/>
      </c>
      <c r="F27" s="104"/>
      <c r="G27" s="102" t="str">
        <f>IFERROR(VLOOKUP(B27,'02. MM-KLH'!$B$6:$T$823,6,0),"")</f>
        <v/>
      </c>
      <c r="H27" s="101" t="s">
        <v>3285</v>
      </c>
      <c r="I27" s="101" t="str">
        <f>IFERROR(VLOOKUP(B27,'02. MM-KLH'!$B$6:$T$823,8,0),"")</f>
        <v/>
      </c>
      <c r="J27" s="105" t="str">
        <f>IFERROR(VLOOKUP(B27,'02. MM-KLH'!$B$6:$T$823,9,0),"")</f>
        <v/>
      </c>
      <c r="K27" s="101" t="str">
        <f>IFERROR(VLOOKUP(B27,'02. MM-KLH'!$B$6:$T$823,10,0),"")</f>
        <v/>
      </c>
      <c r="L27" s="107" t="str">
        <f>IFERROR(VLOOKUP(B27,'02. MM-KLH'!$B$6:$T$823,11,0),"")</f>
        <v/>
      </c>
      <c r="M27" s="125" t="str">
        <f>IFERROR(VLOOKUP(B27,'02. MM-KLH'!$B$6:$T$823,12,0),"")</f>
        <v/>
      </c>
      <c r="N27" s="110" t="str">
        <f>IFERROR(VLOOKUP(B27,'02. MM-KLH'!$B$6:$T$823,13,0),"")</f>
        <v/>
      </c>
      <c r="O27" s="110" t="str">
        <f>IFERROR(VLOOKUP(B27,'02. MM-KLH'!$B$6:$T$823,14,0),"")</f>
        <v/>
      </c>
      <c r="P27" s="101" t="str">
        <f>IFERROR(VLOOKUP(B27,'02. MM-KLH'!$B$6:$T$823,15,0),"")</f>
        <v/>
      </c>
      <c r="Q27" s="101" t="str">
        <f>IFERROR(VLOOKUP(B27,'02. MM-KLH'!$B$6:$T$823,16,0),"")</f>
        <v/>
      </c>
      <c r="R27" s="101" t="str">
        <f>IFERROR(VLOOKUP(B27,'02. MM-KLH'!$B$6:$T$823,17,0),"")</f>
        <v/>
      </c>
      <c r="S27" s="110" t="str">
        <f>IFERROR(VLOOKUP(B27,'02. MM-KLH'!$B$6:$T$823,18,0),"")</f>
        <v/>
      </c>
      <c r="T27" s="111" t="str">
        <f>IFERROR(VLOOKUP(B27,'02. MM-KLH'!$B$6:$T$823,19,0),"")</f>
        <v/>
      </c>
      <c r="U27" s="863"/>
    </row>
    <row r="28" ht="13.5" customHeight="1" spans="1:21">
      <c r="A28" s="101"/>
      <c r="B28" s="104"/>
      <c r="C28" s="102"/>
      <c r="D28" s="103" t="str">
        <f>IFERROR(VLOOKUP(B28,'02. MM-KLH'!$B$6:$T$823,3,0),"")</f>
        <v/>
      </c>
      <c r="E28" s="102" t="str">
        <f>IFERROR(VLOOKUP(B28,'02. MM-KLH'!$B$6:$T$823,4,0),"")</f>
        <v/>
      </c>
      <c r="F28" s="104"/>
      <c r="G28" s="102" t="str">
        <f>IFERROR(VLOOKUP(B28,'02. MM-KLH'!$B$6:$T$823,6,0),"")</f>
        <v/>
      </c>
      <c r="H28" s="101"/>
      <c r="I28" s="101" t="str">
        <f>IFERROR(VLOOKUP(B28,'02. MM-KLH'!$B$6:$T$823,8,0),"")</f>
        <v/>
      </c>
      <c r="J28" s="105" t="str">
        <f>IFERROR(VLOOKUP(B28,'02. MM-KLH'!$B$6:$T$823,9,0),"")</f>
        <v/>
      </c>
      <c r="K28" s="101" t="str">
        <f>IFERROR(VLOOKUP(B28,'02. MM-KLH'!$B$6:$T$823,10,0),"")</f>
        <v/>
      </c>
      <c r="L28" s="107" t="str">
        <f>IFERROR(VLOOKUP(B28,'02. MM-KLH'!$B$6:$T$823,11,0),"")</f>
        <v/>
      </c>
      <c r="M28" s="864" t="str">
        <f>IFERROR(VLOOKUP(B28,'02. MM-KLH'!$B$6:$T$823,12,0),"")</f>
        <v/>
      </c>
      <c r="N28" s="110" t="str">
        <f>IFERROR(VLOOKUP(B28,'02. MM-KLH'!$B$6:$T$823,13,0),"")</f>
        <v/>
      </c>
      <c r="O28" s="110" t="str">
        <f>IFERROR(VLOOKUP(B28,'02. MM-KLH'!$B$6:$T$823,14,0),"")</f>
        <v/>
      </c>
      <c r="P28" s="101" t="str">
        <f>IFERROR(VLOOKUP(B28,'02. MM-KLH'!$B$6:$T$823,15,0),"")</f>
        <v/>
      </c>
      <c r="Q28" s="101" t="str">
        <f>IFERROR(VLOOKUP(B28,'02. MM-KLH'!$B$6:$T$823,16,0),"")</f>
        <v/>
      </c>
      <c r="R28" s="101" t="str">
        <f>IFERROR(VLOOKUP(B28,'02. MM-KLH'!$B$6:$T$823,17,0),"")</f>
        <v/>
      </c>
      <c r="S28" s="110" t="str">
        <f>IFERROR(VLOOKUP(B28,'02. MM-KLH'!$B$6:$T$823,18,0),"")</f>
        <v/>
      </c>
      <c r="T28" s="111" t="str">
        <f>IFERROR(VLOOKUP(B28,'02. MM-KLH'!$B$6:$T$823,19,0),"")</f>
        <v/>
      </c>
      <c r="U28" s="863"/>
    </row>
    <row r="29" ht="13.5" customHeight="1" spans="1:21">
      <c r="A29" s="854" t="s">
        <v>3265</v>
      </c>
      <c r="B29" s="855" t="s">
        <v>3286</v>
      </c>
      <c r="C29" s="854">
        <f>COUNTA(B30:B33)</f>
        <v>3</v>
      </c>
      <c r="D29" s="856" t="str">
        <f>IFERROR(VLOOKUP(B29,'02. MM-KLH'!$B$6:$T$823,3,0),"")</f>
        <v/>
      </c>
      <c r="E29" s="856" t="str">
        <f>IFERROR(VLOOKUP(B29,'02. MM-KLH'!$B$6:$T$823,4,0),"")</f>
        <v/>
      </c>
      <c r="F29" s="855"/>
      <c r="G29" s="857" t="str">
        <f>IFERROR(VLOOKUP(B29,'02. MM-KLH'!$B$6:$T$823,6,0),"")</f>
        <v/>
      </c>
      <c r="H29" s="854"/>
      <c r="I29" s="854" t="str">
        <f>IFERROR(VLOOKUP(B29,'02. MM-KLH'!$B$6:$T$823,8,0),"")</f>
        <v/>
      </c>
      <c r="J29" s="858" t="str">
        <f>IFERROR(VLOOKUP(B29,'02. MM-KLH'!$B$6:$T$823,9,0),"")</f>
        <v/>
      </c>
      <c r="K29" s="854" t="str">
        <f>IFERROR(VLOOKUP(B29,'02. MM-KLH'!$B$6:$T$823,10,0),"")</f>
        <v/>
      </c>
      <c r="L29" s="859" t="str">
        <f>IFERROR(VLOOKUP(B29,'02. MM-KLH'!$B$6:$T$823,11,0),"")</f>
        <v/>
      </c>
      <c r="M29" s="860" t="str">
        <f>IFERROR(VLOOKUP(B29,'02. MM-KLH'!$B$6:$T$823,12,0),"")</f>
        <v/>
      </c>
      <c r="N29" s="861" t="str">
        <f>IFERROR(VLOOKUP(B29,'02. MM-KLH'!$B$6:$T$823,13,0),"")</f>
        <v/>
      </c>
      <c r="O29" s="861" t="str">
        <f>IFERROR(VLOOKUP(B29,'02. MM-KLH'!$B$6:$T$823,14,0),"")</f>
        <v/>
      </c>
      <c r="P29" s="854" t="str">
        <f>IFERROR(VLOOKUP(B29,'02. MM-KLH'!$B$6:$T$823,15,0),"")</f>
        <v/>
      </c>
      <c r="Q29" s="854" t="str">
        <f>IFERROR(VLOOKUP(B29,'02. MM-KLH'!$B$6:$T$823,16,0),"")</f>
        <v/>
      </c>
      <c r="R29" s="854" t="str">
        <f>IFERROR(VLOOKUP(B29,'02. MM-KLH'!$B$6:$T$823,17,0),"")</f>
        <v/>
      </c>
      <c r="S29" s="861" t="str">
        <f>IFERROR(VLOOKUP(B29,'02. MM-KLH'!$B$6:$T$823,18,0),"")</f>
        <v/>
      </c>
      <c r="T29" s="862" t="str">
        <f>IFERROR(VLOOKUP(B29,'02. MM-KLH'!$B$6:$T$823,19,0),"")</f>
        <v/>
      </c>
      <c r="U29" s="854" t="str">
        <f>IFERROR(VLOOKUP(G29,'02. MM-KLH'!$B$6:$T$823,15,0),"")</f>
        <v/>
      </c>
    </row>
    <row r="30" ht="13.5" customHeight="1" spans="1:21">
      <c r="A30" s="103">
        <v>1</v>
      </c>
      <c r="B30" s="104" t="s">
        <v>474</v>
      </c>
      <c r="C30" s="102">
        <f>IFERROR(VLOOKUP(B30,'02. MM-KLH'!$B$6:$T$823,2,0),"")</f>
        <v>0</v>
      </c>
      <c r="D30" s="103" t="str">
        <f>IFERROR(VLOOKUP(B30,'02. MM-KLH'!$B$6:$T$823,3,0),"")</f>
        <v>ATM-A22-0088</v>
      </c>
      <c r="E30" s="102">
        <f>IFERROR(VLOOKUP(B30,'02. MM-KLH'!$B$6:$T$823,4,0),"")</f>
        <v>0</v>
      </c>
      <c r="F30" s="104" t="s">
        <v>3287</v>
      </c>
      <c r="G30" s="102" t="str">
        <f>IFERROR(VLOOKUP(B30,'02. MM-KLH'!$B$6:$T$823,6,0),"")</f>
        <v>Máy đào SH130 bánh xích gàu 0.5m3</v>
      </c>
      <c r="H30" s="101" t="s">
        <v>3268</v>
      </c>
      <c r="I30" s="101" t="str">
        <f>IFERROR(VLOOKUP(B30,'02. MM-KLH'!$B$6:$T$823,8,0),"")</f>
        <v>CGTC DP</v>
      </c>
      <c r="J30" s="105">
        <f>IFERROR(VLOOKUP(B30,'02. MM-KLH'!$B$6:$T$823,9,0),"")</f>
        <v>44200</v>
      </c>
      <c r="K30" s="101" t="str">
        <f>IFERROR(VLOOKUP(B30,'02. MM-KLH'!$B$6:$T$823,10,0),"")</f>
        <v>Bình thường</v>
      </c>
      <c r="L30" s="107">
        <f>IFERROR(VLOOKUP(B30,'02. MM-KLH'!$B$6:$T$823,11,0),"")</f>
        <v>0.7</v>
      </c>
      <c r="M30" s="864">
        <f>IFERROR(VLOOKUP(B30,'02. MM-KLH'!$B$6:$T$823,12,0),"")</f>
        <v>0</v>
      </c>
      <c r="N30" s="110" t="str">
        <f>IFERROR(VLOOKUP(B30,'02. MM-KLH'!$B$6:$T$823,13,0),"")</f>
        <v>SUMITOMO</v>
      </c>
      <c r="O30" s="110" t="str">
        <f>IFERROR(VLOOKUP(B30,'02. MM-KLH'!$B$6:$T$823,14,0),"")</f>
        <v>NHẬT BẢN</v>
      </c>
      <c r="P30" s="101">
        <f>IFERROR(VLOOKUP(B30,'02. MM-KLH'!$B$6:$T$823,15,0),"")</f>
        <v>2021</v>
      </c>
      <c r="Q30" s="101" t="str">
        <f>IFERROR(VLOOKUP(B30,'02. MM-KLH'!$B$6:$T$823,16,0),"")</f>
        <v>SH130-6</v>
      </c>
      <c r="R30" s="101" t="str">
        <f>IFERROR(VLOOKUP(B30,'02. MM-KLH'!$B$6:$T$823,17,0),"")</f>
        <v>96HP</v>
      </c>
      <c r="S30" s="110" t="str">
        <f>IFERROR(VLOOKUP(B30,'02. MM-KLH'!$B$6:$T$823,18,0),"")</f>
        <v>STN130T6A00BH1835</v>
      </c>
      <c r="T30" s="111" t="str">
        <f>IFERROR(VLOOKUP(B30,'02. MM-KLH'!$B$6:$T$823,19,0),"")</f>
        <v>6041164JJ1</v>
      </c>
      <c r="U30" s="863" t="s">
        <v>451</v>
      </c>
    </row>
    <row r="31" ht="13.5" customHeight="1" spans="1:21">
      <c r="A31" s="101">
        <v>2</v>
      </c>
      <c r="B31" s="104" t="s">
        <v>744</v>
      </c>
      <c r="C31" s="102" t="str">
        <f>IFERROR(VLOOKUP(B31,'02. MM-KLH'!$B$6:$T$823,2,0),"")</f>
        <v>MĐ 14 HT-KLH</v>
      </c>
      <c r="D31" s="103" t="str">
        <f>IFERROR(VLOOKUP(B31,'02. MM-KLH'!$B$6:$T$823,3,0),"")</f>
        <v>ATT-A24-0052</v>
      </c>
      <c r="E31" s="102">
        <f>IFERROR(VLOOKUP(B31,'02. MM-KLH'!$B$6:$T$823,4,0),"")</f>
        <v>0</v>
      </c>
      <c r="F31" s="104" t="s">
        <v>3288</v>
      </c>
      <c r="G31" s="102" t="str">
        <f>IFERROR(VLOOKUP(B31,'02. MM-KLH'!$B$6:$T$823,6,0),"")</f>
        <v>Máy đào SH130 bánh xích gàu 0.5m3</v>
      </c>
      <c r="H31" s="101" t="s">
        <v>3268</v>
      </c>
      <c r="I31" s="101" t="str">
        <f>IFERROR(VLOOKUP(B31,'02. MM-KLH'!$B$6:$T$823,8,0),"")</f>
        <v>CGTC LP</v>
      </c>
      <c r="J31" s="105">
        <f>IFERROR(VLOOKUP(B31,'02. MM-KLH'!$B$6:$T$823,9,0),"")</f>
        <v>44197</v>
      </c>
      <c r="K31" s="101" t="str">
        <f>IFERROR(VLOOKUP(B31,'02. MM-KLH'!$B$6:$T$823,10,0),"")</f>
        <v>Bình thường</v>
      </c>
      <c r="L31" s="107">
        <f>IFERROR(VLOOKUP(B31,'02. MM-KLH'!$B$6:$T$823,11,0),"")</f>
        <v>0.67</v>
      </c>
      <c r="M31" s="864">
        <f>IFERROR(VLOOKUP(B31,'02. MM-KLH'!$B$6:$T$823,12,0),"")</f>
        <v>0</v>
      </c>
      <c r="N31" s="110" t="str">
        <f>IFERROR(VLOOKUP(B31,'02. MM-KLH'!$B$6:$T$823,13,0),"")</f>
        <v>SUMITOMO</v>
      </c>
      <c r="O31" s="110" t="str">
        <f>IFERROR(VLOOKUP(B31,'02. MM-KLH'!$B$6:$T$823,14,0),"")</f>
        <v>NHẬT BẢN</v>
      </c>
      <c r="P31" s="101">
        <f>IFERROR(VLOOKUP(B31,'02. MM-KLH'!$B$6:$T$823,15,0),"")</f>
        <v>2019</v>
      </c>
      <c r="Q31" s="101" t="str">
        <f>IFERROR(VLOOKUP(B31,'02. MM-KLH'!$B$6:$T$823,16,0),"")</f>
        <v>SH130-6</v>
      </c>
      <c r="R31" s="101" t="str">
        <f>IFERROR(VLOOKUP(B31,'02. MM-KLH'!$B$6:$T$823,17,0),"")</f>
        <v>96HP</v>
      </c>
      <c r="S31" s="110" t="str">
        <f>IFERROR(VLOOKUP(B31,'02. MM-KLH'!$B$6:$T$823,18,0),"")</f>
        <v>STN130T6V00BH1607</v>
      </c>
      <c r="T31" s="111" t="str">
        <f>IFERROR(VLOOKUP(B31,'02. MM-KLH'!$B$6:$T$823,19,0),"")</f>
        <v>2757064JJ1</v>
      </c>
      <c r="U31" s="863" t="s">
        <v>451</v>
      </c>
    </row>
    <row r="32" ht="37.5" customHeight="1" spans="1:21">
      <c r="A32" s="101">
        <v>3</v>
      </c>
      <c r="B32" s="104" t="s">
        <v>2170</v>
      </c>
      <c r="C32" s="102" t="str">
        <f>IFERROR(VLOOKUP(B32,'02. MM-KLH'!$B$6:$T$823,2,0),"")</f>
        <v>CHT-MĐA-064</v>
      </c>
      <c r="D32" s="103" t="str">
        <f>IFERROR(VLOOKUP(B32,'02. MM-KLH'!$B$6:$T$823,3,0),"")</f>
        <v>A24-MĐA-064</v>
      </c>
      <c r="E32" s="102">
        <f>IFERROR(VLOOKUP(B32,'02. MM-KLH'!$B$6:$T$823,4,0),"")</f>
        <v>0</v>
      </c>
      <c r="F32" s="104"/>
      <c r="G32" s="102" t="str">
        <f>IFERROR(VLOOKUP(B32,'02. MM-KLH'!$B$6:$T$823,6,0),"")</f>
        <v>Máy đào ROBEX 140W bánh lốp gàu 0.5m3</v>
      </c>
      <c r="H32" s="101" t="s">
        <v>3268</v>
      </c>
      <c r="I32" s="101" t="str">
        <f>IFERROR(VLOOKUP(B32,'02. MM-KLH'!$B$6:$T$823,8,0),"")</f>
        <v>XN Bò AD</v>
      </c>
      <c r="J32" s="105">
        <f>IFERROR(VLOOKUP(B32,'02. MM-KLH'!$B$6:$T$823,9,0),"")</f>
        <v>46026</v>
      </c>
      <c r="K32" s="101" t="str">
        <f>IFERROR(VLOOKUP(B32,'02. MM-KLH'!$B$6:$T$823,10,0),"")</f>
        <v>Bình thường</v>
      </c>
      <c r="L32" s="107">
        <f>IFERROR(VLOOKUP(B32,'02. MM-KLH'!$B$6:$T$823,11,0),"")</f>
        <v>0</v>
      </c>
      <c r="M32" s="864" t="str">
        <f>IFERROR(VLOOKUP(B32,'02. MM-KLH'!$B$6:$T$823,12,0),"")</f>
        <v>- Đầu tư mới CGTC Lumphat ngày 18/12/2024 (ĐQSD)
- Cho XN Bò mượn T5/2025 (Chưa bàn giao)
- Bàn giao XN Bò 01/04/2026</v>
      </c>
      <c r="N32" s="110" t="str">
        <f>IFERROR(VLOOKUP(B32,'02. MM-KLH'!$B$6:$T$823,13,0),"")</f>
        <v>HYUNDAI</v>
      </c>
      <c r="O32" s="110" t="str">
        <f>IFERROR(VLOOKUP(B32,'02. MM-KLH'!$B$6:$T$823,14,0),"")</f>
        <v>HÀN QUỐC</v>
      </c>
      <c r="P32" s="101">
        <f>IFERROR(VLOOKUP(B32,'02. MM-KLH'!$B$6:$T$823,15,0),"")</f>
        <v>2012</v>
      </c>
      <c r="Q32" s="101" t="str">
        <f>IFERROR(VLOOKUP(B32,'02. MM-KLH'!$B$6:$T$823,16,0),"")</f>
        <v>ROBEX 140W</v>
      </c>
      <c r="R32" s="101" t="str">
        <f>IFERROR(VLOOKUP(B32,'02. MM-KLH'!$B$6:$T$823,17,0),"")</f>
        <v>133HP</v>
      </c>
      <c r="S32" s="110" t="str">
        <f>IFERROR(VLOOKUP(B32,'02. MM-KLH'!$B$6:$T$823,18,0),"")</f>
        <v>4LC0001417</v>
      </c>
      <c r="T32" s="111">
        <f>IFERROR(VLOOKUP(B32,'02. MM-KLH'!$B$6:$T$823,19,0),"")</f>
        <v>73390872</v>
      </c>
      <c r="U32" s="863" t="s">
        <v>3274</v>
      </c>
    </row>
    <row r="33" ht="13.8" spans="1:21">
      <c r="B33" s="663"/>
      <c r="D33" s="103" t="str">
        <f>IFERROR(VLOOKUP(B33,'02. MM-KLH'!$B$6:$T$823,3,0),"")</f>
        <v/>
      </c>
      <c r="E33" s="102" t="str">
        <f>IFERROR(VLOOKUP(B33,'02. MM-KLH'!$B$6:$T$823,4,0),"")</f>
        <v/>
      </c>
      <c r="G33" s="102" t="str">
        <f>IFERROR(VLOOKUP(B33,'02. MM-KLH'!$B$6:$T$823,6,0),"")</f>
        <v/>
      </c>
      <c r="I33" s="101" t="str">
        <f>IFERROR(VLOOKUP(B33,'02. MM-KLH'!$B$6:$T$823,8,0),"")</f>
        <v/>
      </c>
      <c r="J33" s="105" t="str">
        <f>IFERROR(VLOOKUP(B33,'02. MM-KLH'!$B$6:$T$823,9,0),"")</f>
        <v/>
      </c>
      <c r="K33" s="101" t="str">
        <f>IFERROR(VLOOKUP(B33,'02. MM-KLH'!$B$6:$T$823,10,0),"")</f>
        <v/>
      </c>
      <c r="L33" s="107" t="str">
        <f>IFERROR(VLOOKUP(B33,'02. MM-KLH'!$B$6:$T$823,11,0),"")</f>
        <v/>
      </c>
      <c r="M33" s="864" t="str">
        <f>IFERROR(VLOOKUP(B33,'02. MM-KLH'!$B$6:$T$823,12,0),"")</f>
        <v/>
      </c>
      <c r="N33" s="110" t="str">
        <f>IFERROR(VLOOKUP(B33,'02. MM-KLH'!$B$6:$T$823,13,0),"")</f>
        <v/>
      </c>
      <c r="O33" s="110" t="str">
        <f>IFERROR(VLOOKUP(B33,'02. MM-KLH'!$B$6:$T$823,14,0),"")</f>
        <v/>
      </c>
      <c r="P33" s="101" t="str">
        <f>IFERROR(VLOOKUP(B33,'02. MM-KLH'!$B$6:$T$823,15,0),"")</f>
        <v/>
      </c>
      <c r="Q33" s="101" t="str">
        <f>IFERROR(VLOOKUP(B33,'02. MM-KLH'!$B$6:$T$823,16,0),"")</f>
        <v/>
      </c>
      <c r="R33" s="101" t="str">
        <f>IFERROR(VLOOKUP(B33,'02. MM-KLH'!$B$6:$T$823,17,0),"")</f>
        <v/>
      </c>
      <c r="S33" s="110" t="str">
        <f>IFERROR(VLOOKUP(B33,'02. MM-KLH'!$B$6:$T$823,18,0),"")</f>
        <v/>
      </c>
      <c r="T33" s="111" t="str">
        <f>IFERROR(VLOOKUP(B33,'02. MM-KLH'!$B$6:$T$823,19,0),"")</f>
        <v/>
      </c>
      <c r="U33" s="101" t="str">
        <f>IFERROR(VLOOKUP(G33,'02. MM-KLH'!$B$6:$T$823,15,0),"")</f>
        <v/>
      </c>
    </row>
    <row r="34" ht="13.5" customHeight="1" spans="1:21">
      <c r="A34" s="854" t="s">
        <v>3265</v>
      </c>
      <c r="B34" s="855" t="s">
        <v>3289</v>
      </c>
      <c r="C34" s="854">
        <f>COUNTA(B35:B64)</f>
        <v>29</v>
      </c>
      <c r="D34" s="856" t="str">
        <f>IFERROR(VLOOKUP(B34,'02. MM-KLH'!$B$6:$T$823,3,0),"")</f>
        <v/>
      </c>
      <c r="E34" s="856" t="str">
        <f>IFERROR(VLOOKUP(B34,'02. MM-KLH'!$B$6:$T$823,4,0),"")</f>
        <v/>
      </c>
      <c r="F34" s="855"/>
      <c r="G34" s="857" t="str">
        <f>IFERROR(VLOOKUP(B34,'02. MM-KLH'!$B$6:$T$823,6,0),"")</f>
        <v/>
      </c>
      <c r="H34" s="854"/>
      <c r="I34" s="854" t="str">
        <f>IFERROR(VLOOKUP(B34,'02. MM-KLH'!$B$6:$T$823,8,0),"")</f>
        <v/>
      </c>
      <c r="J34" s="858" t="str">
        <f>IFERROR(VLOOKUP(B34,'02. MM-KLH'!$B$6:$T$823,9,0),"")</f>
        <v/>
      </c>
      <c r="K34" s="854" t="str">
        <f>IFERROR(VLOOKUP(B34,'02. MM-KLH'!$B$6:$T$823,10,0),"")</f>
        <v/>
      </c>
      <c r="L34" s="859" t="str">
        <f>IFERROR(VLOOKUP(B34,'02. MM-KLH'!$B$6:$T$823,11,0),"")</f>
        <v/>
      </c>
      <c r="M34" s="860" t="str">
        <f>IFERROR(VLOOKUP(B34,'02. MM-KLH'!$B$6:$T$823,12,0),"")</f>
        <v/>
      </c>
      <c r="N34" s="861" t="str">
        <f>IFERROR(VLOOKUP(B34,'02. MM-KLH'!$B$6:$T$823,13,0),"")</f>
        <v/>
      </c>
      <c r="O34" s="861" t="str">
        <f>IFERROR(VLOOKUP(B34,'02. MM-KLH'!$B$6:$T$823,14,0),"")</f>
        <v/>
      </c>
      <c r="P34" s="854" t="str">
        <f>IFERROR(VLOOKUP(B34,'02. MM-KLH'!$B$6:$T$823,15,0),"")</f>
        <v/>
      </c>
      <c r="Q34" s="854" t="str">
        <f>IFERROR(VLOOKUP(B34,'02. MM-KLH'!$B$6:$T$823,16,0),"")</f>
        <v/>
      </c>
      <c r="R34" s="854" t="str">
        <f>IFERROR(VLOOKUP(B34,'02. MM-KLH'!$B$6:$T$823,17,0),"")</f>
        <v/>
      </c>
      <c r="S34" s="861" t="str">
        <f>IFERROR(VLOOKUP(B34,'02. MM-KLH'!$B$6:$T$823,18,0),"")</f>
        <v/>
      </c>
      <c r="T34" s="862" t="str">
        <f>IFERROR(VLOOKUP(B34,'02. MM-KLH'!$B$6:$T$823,19,0),"")</f>
        <v/>
      </c>
      <c r="U34" s="854" t="str">
        <f>IFERROR(VLOOKUP(G34,'02. MM-KLH'!$B$6:$T$823,15,0),"")</f>
        <v/>
      </c>
    </row>
    <row r="35" ht="27.75" customHeight="1" spans="1:21">
      <c r="A35" s="101">
        <v>1</v>
      </c>
      <c r="B35" s="124" t="s">
        <v>574</v>
      </c>
      <c r="C35" s="124" t="str">
        <f>IFERROR(VLOOKUP(B35,'02. MM-KLH'!$B$6:$T$823,2,0),"")</f>
        <v>MỚI (ĐQSD)</v>
      </c>
      <c r="D35" s="103" t="str">
        <f>IFERROR(VLOOKUP(B35,'02. MM-KLH'!$B$6:$T$823,3,0),"")</f>
        <v>A23-MĐA-047</v>
      </c>
      <c r="E35" s="102">
        <f>IFERROR(VLOOKUP(B35,'02. MM-KLH'!$B$6:$T$823,4,0),"")</f>
        <v>0</v>
      </c>
      <c r="F35" s="124"/>
      <c r="G35" s="102" t="str">
        <f>IFERROR(VLOOKUP(B35,'02. MM-KLH'!$B$6:$T$823,6,0),"")</f>
        <v>Máy đào KOMATSU bánh xích gàu 0.3m3</v>
      </c>
      <c r="H35" s="101" t="s">
        <v>3290</v>
      </c>
      <c r="I35" s="101" t="str">
        <f>IFERROR(VLOOKUP(B35,'02. MM-KLH'!$B$6:$T$823,8,0),"")</f>
        <v>CGTC DP</v>
      </c>
      <c r="J35" s="105">
        <f>IFERROR(VLOOKUP(B35,'02. MM-KLH'!$B$6:$T$823,9,0),"")</f>
        <v>45298</v>
      </c>
      <c r="K35" s="101" t="str">
        <f>IFERROR(VLOOKUP(B35,'02. MM-KLH'!$B$6:$T$823,10,0),"")</f>
        <v>Bình thường</v>
      </c>
      <c r="L35" s="107">
        <f>IFERROR(VLOOKUP(B35,'02. MM-KLH'!$B$6:$T$823,11,0),"")</f>
        <v>0</v>
      </c>
      <c r="M35" s="864" t="str">
        <f>IFERROR(VLOOKUP(B35,'02. MM-KLH'!$B$6:$T$823,12,0),"")</f>
        <v>Bàn giao về XDCB ngày 01/07/2024</v>
      </c>
      <c r="N35" s="110" t="str">
        <f>IFERROR(VLOOKUP(B35,'02. MM-KLH'!$B$6:$T$823,13,0),"")</f>
        <v>KOMATSU</v>
      </c>
      <c r="O35" s="110" t="str">
        <f>IFERROR(VLOOKUP(B35,'02. MM-KLH'!$B$6:$T$823,14,0),"")</f>
        <v>NHẬT BẢN</v>
      </c>
      <c r="P35" s="101">
        <f>IFERROR(VLOOKUP(B35,'02. MM-KLH'!$B$6:$T$823,15,0),"")</f>
        <v>2013</v>
      </c>
      <c r="Q35" s="101" t="str">
        <f>IFERROR(VLOOKUP(B35,'02. MM-KLH'!$B$6:$T$823,16,0),"")</f>
        <v>PC40MR-3</v>
      </c>
      <c r="R35" s="101" t="str">
        <f>IFERROR(VLOOKUP(B35,'02. MM-KLH'!$B$6:$T$823,17,0),"")</f>
        <v>40HP</v>
      </c>
      <c r="S35" s="110" t="str">
        <f>IFERROR(VLOOKUP(B35,'02. MM-KLH'!$B$6:$T$823,18,0),"")</f>
        <v>KMTPC203V04021194</v>
      </c>
      <c r="T35" s="111">
        <f>IFERROR(VLOOKUP(B35,'02. MM-KLH'!$B$6:$T$823,19,0),"")</f>
        <v>25275</v>
      </c>
      <c r="U35" s="863" t="s">
        <v>3274</v>
      </c>
    </row>
    <row r="36" ht="27.75" customHeight="1" spans="1:21">
      <c r="A36" s="103">
        <f t="shared" ref="A36:A63" si="1">A35+1</f>
        <v>2</v>
      </c>
      <c r="B36" s="124" t="s">
        <v>577</v>
      </c>
      <c r="C36" s="124" t="str">
        <f>IFERROR(VLOOKUP(B36,'02. MM-KLH'!$B$6:$T$823,2,0),"")</f>
        <v>MỚI (ĐQSD)</v>
      </c>
      <c r="D36" s="103" t="str">
        <f>IFERROR(VLOOKUP(B36,'02. MM-KLH'!$B$6:$T$823,3,0),"")</f>
        <v>A23-MĐA-048</v>
      </c>
      <c r="E36" s="102">
        <f>IFERROR(VLOOKUP(B36,'02. MM-KLH'!$B$6:$T$823,4,0),"")</f>
        <v>0</v>
      </c>
      <c r="F36" s="124"/>
      <c r="G36" s="102" t="str">
        <f>IFERROR(VLOOKUP(B36,'02. MM-KLH'!$B$6:$T$823,6,0),"")</f>
        <v>Máy đào KOMATSU bánh xích gàu 0.3m3</v>
      </c>
      <c r="H36" s="101" t="s">
        <v>3290</v>
      </c>
      <c r="I36" s="101" t="str">
        <f>IFERROR(VLOOKUP(B36,'02. MM-KLH'!$B$6:$T$823,8,0),"")</f>
        <v>CGTC DP</v>
      </c>
      <c r="J36" s="105">
        <f>IFERROR(VLOOKUP(B36,'02. MM-KLH'!$B$6:$T$823,9,0),"")</f>
        <v>45298</v>
      </c>
      <c r="K36" s="101" t="str">
        <f>IFERROR(VLOOKUP(B36,'02. MM-KLH'!$B$6:$T$823,10,0),"")</f>
        <v>Bình thường</v>
      </c>
      <c r="L36" s="107">
        <f>IFERROR(VLOOKUP(B36,'02. MM-KLH'!$B$6:$T$823,11,0),"")</f>
        <v>0</v>
      </c>
      <c r="M36" s="864" t="str">
        <f>IFERROR(VLOOKUP(B36,'02. MM-KLH'!$B$6:$T$823,12,0),"")</f>
        <v>Bàn giao về XDCB ngày 01/07/2024 </v>
      </c>
      <c r="N36" s="110" t="str">
        <f>IFERROR(VLOOKUP(B36,'02. MM-KLH'!$B$6:$T$823,13,0),"")</f>
        <v>KOMATSU</v>
      </c>
      <c r="O36" s="110" t="str">
        <f>IFERROR(VLOOKUP(B36,'02. MM-KLH'!$B$6:$T$823,14,0),"")</f>
        <v>NHẬT BẢN</v>
      </c>
      <c r="P36" s="101">
        <f>IFERROR(VLOOKUP(B36,'02. MM-KLH'!$B$6:$T$823,15,0),"")</f>
        <v>2013</v>
      </c>
      <c r="Q36" s="101" t="str">
        <f>IFERROR(VLOOKUP(B36,'02. MM-KLH'!$B$6:$T$823,16,0),"")</f>
        <v>PC40MR-3</v>
      </c>
      <c r="R36" s="101" t="str">
        <f>IFERROR(VLOOKUP(B36,'02. MM-KLH'!$B$6:$T$823,17,0),"")</f>
        <v>40HP</v>
      </c>
      <c r="S36" s="110" t="str">
        <f>IFERROR(VLOOKUP(B36,'02. MM-KLH'!$B$6:$T$823,18,0),"")</f>
        <v>KMTPC203K04021031</v>
      </c>
      <c r="T36" s="111">
        <f>IFERROR(VLOOKUP(B36,'02. MM-KLH'!$B$6:$T$823,19,0),"")</f>
        <v>27440</v>
      </c>
      <c r="U36" s="863" t="s">
        <v>3274</v>
      </c>
    </row>
    <row r="37" ht="27.75" customHeight="1" spans="1:21">
      <c r="A37" s="103">
        <f t="shared" si="1"/>
        <v>3</v>
      </c>
      <c r="B37" s="124" t="s">
        <v>552</v>
      </c>
      <c r="C37" s="124" t="str">
        <f>IFERROR(VLOOKUP(B37,'02. MM-KLH'!$B$6:$T$823,2,0),"")</f>
        <v>MỚI (ĐQSD)</v>
      </c>
      <c r="D37" s="103" t="str">
        <f>IFERROR(VLOOKUP(B37,'02. MM-KLH'!$B$6:$T$823,3,0),"")</f>
        <v>A23-MĐA-013</v>
      </c>
      <c r="E37" s="102">
        <f>IFERROR(VLOOKUP(B37,'02. MM-KLH'!$B$6:$T$823,4,0),"")</f>
        <v>0</v>
      </c>
      <c r="F37" s="124"/>
      <c r="G37" s="102" t="str">
        <f>IFERROR(VLOOKUP(B37,'02. MM-KLH'!$B$6:$T$823,6,0),"")</f>
        <v>Máy đào KOMATSU bánh xích gàu 0.3m3</v>
      </c>
      <c r="H37" s="101" t="s">
        <v>3290</v>
      </c>
      <c r="I37" s="101" t="str">
        <f>IFERROR(VLOOKUP(B37,'02. MM-KLH'!$B$6:$T$823,8,0),"")</f>
        <v>CGTC DP</v>
      </c>
      <c r="J37" s="105" t="str">
        <f>IFERROR(VLOOKUP(B37,'02. MM-KLH'!$B$6:$T$823,9,0),"")</f>
        <v>29/07/2024</v>
      </c>
      <c r="K37" s="101" t="str">
        <f>IFERROR(VLOOKUP(B37,'02. MM-KLH'!$B$6:$T$823,10,0),"")</f>
        <v>Bình thường</v>
      </c>
      <c r="L37" s="107">
        <f>IFERROR(VLOOKUP(B37,'02. MM-KLH'!$B$6:$T$823,11,0),"")</f>
        <v>0</v>
      </c>
      <c r="M37" s="864" t="str">
        <f>IFERROR(VLOOKUP(B37,'02. MM-KLH'!$B$6:$T$823,12,0),"")</f>
        <v>Bàn giao về XDCB (DP3) ngày 29/07/2024 </v>
      </c>
      <c r="N37" s="110" t="str">
        <f>IFERROR(VLOOKUP(B37,'02. MM-KLH'!$B$6:$T$823,13,0),"")</f>
        <v>KOMATSU</v>
      </c>
      <c r="O37" s="110" t="str">
        <f>IFERROR(VLOOKUP(B37,'02. MM-KLH'!$B$6:$T$823,14,0),"")</f>
        <v>NHẬT BẢN</v>
      </c>
      <c r="P37" s="101">
        <f>IFERROR(VLOOKUP(B37,'02. MM-KLH'!$B$6:$T$823,15,0),"")</f>
        <v>2015</v>
      </c>
      <c r="Q37" s="101" t="str">
        <f>IFERROR(VLOOKUP(B37,'02. MM-KLH'!$B$6:$T$823,16,0),"")</f>
        <v>PC40MR-3</v>
      </c>
      <c r="R37" s="101" t="str">
        <f>IFERROR(VLOOKUP(B37,'02. MM-KLH'!$B$6:$T$823,17,0),"")</f>
        <v>40HP</v>
      </c>
      <c r="S37" s="110" t="str">
        <f>IFERROR(VLOOKUP(B37,'02. MM-KLH'!$B$6:$T$823,18,0),"")</f>
        <v>KMTPC212VFE019356</v>
      </c>
      <c r="T37" s="111">
        <f>IFERROR(VLOOKUP(B37,'02. MM-KLH'!$B$6:$T$823,19,0),"")</f>
        <v>38204</v>
      </c>
      <c r="U37" s="863" t="s">
        <v>3274</v>
      </c>
    </row>
    <row r="38" ht="27.75" customHeight="1" spans="1:21">
      <c r="A38" s="103">
        <f t="shared" si="1"/>
        <v>4</v>
      </c>
      <c r="B38" s="124" t="s">
        <v>559</v>
      </c>
      <c r="C38" s="124" t="str">
        <f>IFERROR(VLOOKUP(B38,'02. MM-KLH'!$B$6:$T$823,2,0),"")</f>
        <v>MỚI (ĐQSD)</v>
      </c>
      <c r="D38" s="103" t="str">
        <f>IFERROR(VLOOKUP(B38,'02. MM-KLH'!$B$6:$T$823,3,0),"")</f>
        <v>A23-MĐA-014</v>
      </c>
      <c r="E38" s="102">
        <f>IFERROR(VLOOKUP(B38,'02. MM-KLH'!$B$6:$T$823,4,0),"")</f>
        <v>0</v>
      </c>
      <c r="F38" s="124"/>
      <c r="G38" s="102" t="str">
        <f>IFERROR(VLOOKUP(B38,'02. MM-KLH'!$B$6:$T$823,6,0),"")</f>
        <v>Máy đào KOMATSU bánh xích gàu 0.3m3</v>
      </c>
      <c r="H38" s="101" t="s">
        <v>3290</v>
      </c>
      <c r="I38" s="101" t="str">
        <f>IFERROR(VLOOKUP(B38,'02. MM-KLH'!$B$6:$T$823,8,0),"")</f>
        <v>CGTC DP</v>
      </c>
      <c r="J38" s="105" t="str">
        <f>IFERROR(VLOOKUP(B38,'02. MM-KLH'!$B$6:$T$823,9,0),"")</f>
        <v>26/07/2024</v>
      </c>
      <c r="K38" s="101" t="str">
        <f>IFERROR(VLOOKUP(B38,'02. MM-KLH'!$B$6:$T$823,10,0),"")</f>
        <v>Bình thường</v>
      </c>
      <c r="L38" s="107">
        <f>IFERROR(VLOOKUP(B38,'02. MM-KLH'!$B$6:$T$823,11,0),"")</f>
        <v>0</v>
      </c>
      <c r="M38" s="864" t="str">
        <f>IFERROR(VLOOKUP(B38,'02. MM-KLH'!$B$6:$T$823,12,0),"")</f>
        <v>Bàn giao về XDCB (DP2) ngày 26/07/2024 </v>
      </c>
      <c r="N38" s="110" t="str">
        <f>IFERROR(VLOOKUP(B38,'02. MM-KLH'!$B$6:$T$823,13,0),"")</f>
        <v>KOMATSU</v>
      </c>
      <c r="O38" s="110" t="str">
        <f>IFERROR(VLOOKUP(B38,'02. MM-KLH'!$B$6:$T$823,14,0),"")</f>
        <v>NHẬT BẢN</v>
      </c>
      <c r="P38" s="101">
        <f>IFERROR(VLOOKUP(B38,'02. MM-KLH'!$B$6:$T$823,15,0),"")</f>
        <v>2012</v>
      </c>
      <c r="Q38" s="101" t="str">
        <f>IFERROR(VLOOKUP(B38,'02. MM-KLH'!$B$6:$T$823,16,0),"")</f>
        <v>PC40MR-3</v>
      </c>
      <c r="R38" s="101" t="str">
        <f>IFERROR(VLOOKUP(B38,'02. MM-KLH'!$B$6:$T$823,17,0),"")</f>
        <v>40HP</v>
      </c>
      <c r="S38" s="110" t="str">
        <f>IFERROR(VLOOKUP(B38,'02. MM-KLH'!$B$6:$T$823,18,0),"")</f>
        <v>KMTPC203L04019805</v>
      </c>
      <c r="T38" s="111">
        <f>IFERROR(VLOOKUP(B38,'02. MM-KLH'!$B$6:$T$823,19,0),"")</f>
        <v>25866</v>
      </c>
      <c r="U38" s="863" t="s">
        <v>3274</v>
      </c>
    </row>
    <row r="39" ht="27.75" customHeight="1" spans="1:21">
      <c r="A39" s="103">
        <f t="shared" si="1"/>
        <v>5</v>
      </c>
      <c r="B39" s="124" t="s">
        <v>563</v>
      </c>
      <c r="C39" s="124" t="str">
        <f>IFERROR(VLOOKUP(B39,'02. MM-KLH'!$B$6:$T$823,2,0),"")</f>
        <v>MỚI (ĐQSD)</v>
      </c>
      <c r="D39" s="103" t="str">
        <f>IFERROR(VLOOKUP(B39,'02. MM-KLH'!$B$6:$T$823,3,0),"")</f>
        <v>A23-MĐA-015</v>
      </c>
      <c r="E39" s="102">
        <f>IFERROR(VLOOKUP(B39,'02. MM-KLH'!$B$6:$T$823,4,0),"")</f>
        <v>0</v>
      </c>
      <c r="F39" s="124"/>
      <c r="G39" s="102" t="str">
        <f>IFERROR(VLOOKUP(B39,'02. MM-KLH'!$B$6:$T$823,6,0),"")</f>
        <v>Máy đào KOMATSU bánh xích gàu 0.3m3</v>
      </c>
      <c r="H39" s="101" t="s">
        <v>3290</v>
      </c>
      <c r="I39" s="101" t="str">
        <f>IFERROR(VLOOKUP(B39,'02. MM-KLH'!$B$6:$T$823,8,0),"")</f>
        <v>CGTC DP</v>
      </c>
      <c r="J39" s="105" t="str">
        <f>IFERROR(VLOOKUP(B39,'02. MM-KLH'!$B$6:$T$823,9,0),"")</f>
        <v>29/07/2024</v>
      </c>
      <c r="K39" s="101" t="str">
        <f>IFERROR(VLOOKUP(B39,'02. MM-KLH'!$B$6:$T$823,10,0),"")</f>
        <v>Bình thường</v>
      </c>
      <c r="L39" s="107">
        <f>IFERROR(VLOOKUP(B39,'02. MM-KLH'!$B$6:$T$823,11,0),"")</f>
        <v>0</v>
      </c>
      <c r="M39" s="864" t="str">
        <f>IFERROR(VLOOKUP(B39,'02. MM-KLH'!$B$6:$T$823,12,0),"")</f>
        <v>Bàn giao về XDCB (DP1) ngày 29/07/2024 </v>
      </c>
      <c r="N39" s="110" t="str">
        <f>IFERROR(VLOOKUP(B39,'02. MM-KLH'!$B$6:$T$823,13,0),"")</f>
        <v>KOMATSU</v>
      </c>
      <c r="O39" s="110" t="str">
        <f>IFERROR(VLOOKUP(B39,'02. MM-KLH'!$B$6:$T$823,14,0),"")</f>
        <v>NHẬT BẢN</v>
      </c>
      <c r="P39" s="101">
        <f>IFERROR(VLOOKUP(B39,'02. MM-KLH'!$B$6:$T$823,15,0),"")</f>
        <v>2015</v>
      </c>
      <c r="Q39" s="101" t="str">
        <f>IFERROR(VLOOKUP(B39,'02. MM-KLH'!$B$6:$T$823,16,0),"")</f>
        <v>PC40MR-3</v>
      </c>
      <c r="R39" s="101" t="str">
        <f>IFERROR(VLOOKUP(B39,'02. MM-KLH'!$B$6:$T$823,17,0),"")</f>
        <v>40HP</v>
      </c>
      <c r="S39" s="110" t="str">
        <f>IFERROR(VLOOKUP(B39,'02. MM-KLH'!$B$6:$T$823,18,0),"")</f>
        <v>KMTPC203AFE023466</v>
      </c>
      <c r="T39" s="111">
        <f>IFERROR(VLOOKUP(B39,'02. MM-KLH'!$B$6:$T$823,19,0),"")</f>
        <v>36975</v>
      </c>
      <c r="U39" s="863" t="s">
        <v>3274</v>
      </c>
    </row>
    <row r="40" ht="27.75" customHeight="1" spans="1:21">
      <c r="A40" s="103">
        <f t="shared" si="1"/>
        <v>6</v>
      </c>
      <c r="B40" s="124" t="s">
        <v>566</v>
      </c>
      <c r="C40" s="124" t="str">
        <f>IFERROR(VLOOKUP(B40,'02. MM-KLH'!$B$6:$T$823,2,0),"")</f>
        <v>MỚI (ĐQSD)</v>
      </c>
      <c r="D40" s="103" t="str">
        <f>IFERROR(VLOOKUP(B40,'02. MM-KLH'!$B$6:$T$823,3,0),"")</f>
        <v>A23-MĐA-062</v>
      </c>
      <c r="E40" s="102">
        <f>IFERROR(VLOOKUP(B40,'02. MM-KLH'!$B$6:$T$823,4,0),"")</f>
        <v>0</v>
      </c>
      <c r="F40" s="124"/>
      <c r="G40" s="102" t="str">
        <f>IFERROR(VLOOKUP(B40,'02. MM-KLH'!$B$6:$T$823,6,0),"")</f>
        <v>Máy đào KOMATSU bánh xích gàu 0.3m3</v>
      </c>
      <c r="H40" s="101" t="s">
        <v>3290</v>
      </c>
      <c r="I40" s="101" t="str">
        <f>IFERROR(VLOOKUP(B40,'02. MM-KLH'!$B$6:$T$823,8,0),"")</f>
        <v>CGTC DP</v>
      </c>
      <c r="J40" s="105">
        <f>IFERROR(VLOOKUP(B40,'02. MM-KLH'!$B$6:$T$823,9,0),"")</f>
        <v>45302</v>
      </c>
      <c r="K40" s="101" t="str">
        <f>IFERROR(VLOOKUP(B40,'02. MM-KLH'!$B$6:$T$823,10,0),"")</f>
        <v>Bình thường</v>
      </c>
      <c r="L40" s="107">
        <f>IFERROR(VLOOKUP(B40,'02. MM-KLH'!$B$6:$T$823,11,0),"")</f>
        <v>0</v>
      </c>
      <c r="M40" s="864" t="str">
        <f>IFERROR(VLOOKUP(B40,'02. MM-KLH'!$B$6:$T$823,12,0),"")</f>
        <v>Bàn giao về XDCB ngày 01/11/2024 </v>
      </c>
      <c r="N40" s="110" t="str">
        <f>IFERROR(VLOOKUP(B40,'02. MM-KLH'!$B$6:$T$823,13,0),"")</f>
        <v>KOMATSU</v>
      </c>
      <c r="O40" s="110" t="str">
        <f>IFERROR(VLOOKUP(B40,'02. MM-KLH'!$B$6:$T$823,14,0),"")</f>
        <v>NHẬT BẢN</v>
      </c>
      <c r="P40" s="101">
        <f>IFERROR(VLOOKUP(B40,'02. MM-KLH'!$B$6:$T$823,15,0),"")</f>
        <v>2017</v>
      </c>
      <c r="Q40" s="101" t="str">
        <f>IFERROR(VLOOKUP(B40,'02. MM-KLH'!$B$6:$T$823,16,0),"")</f>
        <v>PC55MR-3</v>
      </c>
      <c r="R40" s="101" t="str">
        <f>IFERROR(VLOOKUP(B40,'02. MM-KLH'!$B$6:$T$823,17,0),"")</f>
        <v>40HP</v>
      </c>
      <c r="S40" s="1097" t="str">
        <f>IFERROR(VLOOKUP(B40,'02. MM-KLH'!$B$6:$T$823,18,0),"")</f>
        <v>020242</v>
      </c>
      <c r="T40" s="111">
        <f>IFERROR(VLOOKUP(B40,'02. MM-KLH'!$B$6:$T$823,19,0),"")</f>
        <v>10671</v>
      </c>
      <c r="U40" s="863" t="s">
        <v>3274</v>
      </c>
    </row>
    <row r="41" ht="27.75" customHeight="1" spans="1:21">
      <c r="A41" s="103">
        <f t="shared" si="1"/>
        <v>7</v>
      </c>
      <c r="B41" s="124" t="s">
        <v>571</v>
      </c>
      <c r="C41" s="124" t="str">
        <f>IFERROR(VLOOKUP(B41,'02. MM-KLH'!$B$6:$T$823,2,0),"")</f>
        <v>MỚI (ĐQSD)</v>
      </c>
      <c r="D41" s="103" t="str">
        <f>IFERROR(VLOOKUP(B41,'02. MM-KLH'!$B$6:$T$823,3,0),"")</f>
        <v>A23-MĐA-063</v>
      </c>
      <c r="E41" s="102">
        <f>IFERROR(VLOOKUP(B41,'02. MM-KLH'!$B$6:$T$823,4,0),"")</f>
        <v>0</v>
      </c>
      <c r="F41" s="124"/>
      <c r="G41" s="102" t="str">
        <f>IFERROR(VLOOKUP(B41,'02. MM-KLH'!$B$6:$T$823,6,0),"")</f>
        <v>Máy đào KOMATSU bánh xích gàu 0.3m3</v>
      </c>
      <c r="H41" s="101" t="s">
        <v>3290</v>
      </c>
      <c r="I41" s="101" t="str">
        <f>IFERROR(VLOOKUP(B41,'02. MM-KLH'!$B$6:$T$823,8,0),"")</f>
        <v>CGTC DP</v>
      </c>
      <c r="J41" s="105">
        <f>IFERROR(VLOOKUP(B41,'02. MM-KLH'!$B$6:$T$823,9,0),"")</f>
        <v>45302</v>
      </c>
      <c r="K41" s="101" t="str">
        <f>IFERROR(VLOOKUP(B41,'02. MM-KLH'!$B$6:$T$823,10,0),"")</f>
        <v>Bình thường</v>
      </c>
      <c r="L41" s="107">
        <f>IFERROR(VLOOKUP(B41,'02. MM-KLH'!$B$6:$T$823,11,0),"")</f>
        <v>0</v>
      </c>
      <c r="M41" s="864" t="str">
        <f>IFERROR(VLOOKUP(B41,'02. MM-KLH'!$B$6:$T$823,12,0),"")</f>
        <v>Bàn giao về XDCB ngày 01/11/2024 </v>
      </c>
      <c r="N41" s="110" t="str">
        <f>IFERROR(VLOOKUP(B41,'02. MM-KLH'!$B$6:$T$823,13,0),"")</f>
        <v>KOMATSU</v>
      </c>
      <c r="O41" s="110" t="str">
        <f>IFERROR(VLOOKUP(B41,'02. MM-KLH'!$B$6:$T$823,14,0),"")</f>
        <v>NHẬT BẢN</v>
      </c>
      <c r="P41" s="101">
        <f>IFERROR(VLOOKUP(B41,'02. MM-KLH'!$B$6:$T$823,15,0),"")</f>
        <v>2015</v>
      </c>
      <c r="Q41" s="101" t="str">
        <f>IFERROR(VLOOKUP(B41,'02. MM-KLH'!$B$6:$T$823,16,0),"")</f>
        <v>PC55MR-3</v>
      </c>
      <c r="R41" s="101" t="str">
        <f>IFERROR(VLOOKUP(B41,'02. MM-KLH'!$B$6:$T$823,17,0),"")</f>
        <v>40HP</v>
      </c>
      <c r="S41" s="1097" t="str">
        <f>IFERROR(VLOOKUP(B41,'02. MM-KLH'!$B$6:$T$823,18,0),"")</f>
        <v>019139</v>
      </c>
      <c r="T41" s="111">
        <f>IFERROR(VLOOKUP(B41,'02. MM-KLH'!$B$6:$T$823,19,0),"")</f>
        <v>36094</v>
      </c>
      <c r="U41" s="863" t="s">
        <v>3274</v>
      </c>
    </row>
    <row r="42" ht="27.75" customHeight="1" spans="1:21">
      <c r="A42" s="103">
        <f t="shared" si="1"/>
        <v>8</v>
      </c>
      <c r="B42" s="124" t="s">
        <v>580</v>
      </c>
      <c r="C42" s="124" t="str">
        <f>IFERROR(VLOOKUP(B42,'02. MM-KLH'!$B$6:$T$823,2,0),"")</f>
        <v>MỚI (ĐQSD)</v>
      </c>
      <c r="D42" s="103" t="str">
        <f>IFERROR(VLOOKUP(B42,'02. MM-KLH'!$B$6:$T$823,3,0),"")</f>
        <v>A23-MĐA-078</v>
      </c>
      <c r="E42" s="102">
        <f>IFERROR(VLOOKUP(B42,'02. MM-KLH'!$B$6:$T$823,4,0),"")</f>
        <v>0</v>
      </c>
      <c r="F42" s="124"/>
      <c r="G42" s="102" t="str">
        <f>IFERROR(VLOOKUP(B42,'02. MM-KLH'!$B$6:$T$823,6,0),"")</f>
        <v>Máy đào KOMATSU bánh xích gàu 0.3m3</v>
      </c>
      <c r="H42" s="101" t="s">
        <v>3291</v>
      </c>
      <c r="I42" s="101" t="str">
        <f>IFERROR(VLOOKUP(B42,'02. MM-KLH'!$B$6:$T$823,8,0),"")</f>
        <v>CGTC DP</v>
      </c>
      <c r="J42" s="105">
        <f>IFERROR(VLOOKUP(B42,'02. MM-KLH'!$B$6:$T$823,9,0),"")</f>
        <v>46002</v>
      </c>
      <c r="K42" s="101" t="str">
        <f>IFERROR(VLOOKUP(B42,'02. MM-KLH'!$B$6:$T$823,10,0),"")</f>
        <v>Bình thường</v>
      </c>
      <c r="L42" s="107">
        <f>IFERROR(VLOOKUP(B42,'02. MM-KLH'!$B$6:$T$823,11,0),"")</f>
        <v>0</v>
      </c>
      <c r="M42" s="864" t="str">
        <f>IFERROR(VLOOKUP(B42,'02. MM-KLH'!$B$6:$T$823,12,0),"")</f>
        <v>Xe đã qua sử dụng bàn giao XDCB ngày 13/11/2025</v>
      </c>
      <c r="N42" s="110" t="str">
        <f>IFERROR(VLOOKUP(B42,'02. MM-KLH'!$B$6:$T$823,13,0),"")</f>
        <v>KOMATSU</v>
      </c>
      <c r="O42" s="110" t="str">
        <f>IFERROR(VLOOKUP(B42,'02. MM-KLH'!$B$6:$T$823,14,0),"")</f>
        <v>NHẬT BẢN</v>
      </c>
      <c r="P42" s="101">
        <f>IFERROR(VLOOKUP(B42,'02. MM-KLH'!$B$6:$T$823,15,0),"")</f>
        <v>2015</v>
      </c>
      <c r="Q42" s="101" t="str">
        <f>IFERROR(VLOOKUP(B42,'02. MM-KLH'!$B$6:$T$823,16,0),"")</f>
        <v>PC40MR-3-AC</v>
      </c>
      <c r="R42" s="101" t="str">
        <f>IFERROR(VLOOKUP(B42,'02. MM-KLH'!$B$6:$T$823,17,0),"")</f>
        <v>40HP</v>
      </c>
      <c r="S42" s="110" t="str">
        <f>IFERROR(VLOOKUP(B42,'02. MM-KLH'!$B$6:$T$823,18,0),"")</f>
        <v>KMTPC203KFE023963</v>
      </c>
      <c r="T42" s="111" t="str">
        <f>IFERROR(VLOOKUP(B42,'02. MM-KLH'!$B$6:$T$823,19,0),"")</f>
        <v>KACJ4722</v>
      </c>
      <c r="U42" s="863" t="s">
        <v>3274</v>
      </c>
    </row>
    <row r="43" ht="27.75" customHeight="1" spans="1:21">
      <c r="A43" s="103">
        <f t="shared" si="1"/>
        <v>9</v>
      </c>
      <c r="B43" s="104" t="s">
        <v>1631</v>
      </c>
      <c r="C43" s="124" t="str">
        <f>IFERROR(VLOOKUP(B43,'02. MM-KLH'!$B$6:$T$823,2,0),"")</f>
        <v>MỚI (ĐQSD)</v>
      </c>
      <c r="D43" s="103" t="str">
        <f>IFERROR(VLOOKUP(B43,'02. MM-KLH'!$B$6:$T$823,3,0),"")</f>
        <v>A24-MĐA-049</v>
      </c>
      <c r="E43" s="102">
        <f>IFERROR(VLOOKUP(B43,'02. MM-KLH'!$B$6:$T$823,4,0),"")</f>
        <v>0</v>
      </c>
      <c r="F43" s="104"/>
      <c r="G43" s="102" t="str">
        <f>IFERROR(VLOOKUP(B43,'02. MM-KLH'!$B$6:$T$823,6,0),"")</f>
        <v>Máy đào KOMATSU bánh xích gàu 0.3m3</v>
      </c>
      <c r="H43" s="101" t="s">
        <v>3290</v>
      </c>
      <c r="I43" s="101" t="str">
        <f>IFERROR(VLOOKUP(B43,'02. MM-KLH'!$B$6:$T$823,8,0),"")</f>
        <v>XN Chuối LP3</v>
      </c>
      <c r="J43" s="105" t="str">
        <f>IFERROR(VLOOKUP(B43,'02. MM-KLH'!$B$6:$T$823,9,0),"")</f>
        <v>30/06/2024</v>
      </c>
      <c r="K43" s="101" t="str">
        <f>IFERROR(VLOOKUP(B43,'02. MM-KLH'!$B$6:$T$823,10,0),"")</f>
        <v>Bình thường</v>
      </c>
      <c r="L43" s="107">
        <f>IFERROR(VLOOKUP(B43,'02. MM-KLH'!$B$6:$T$823,11,0),"")</f>
        <v>0</v>
      </c>
      <c r="M43" s="864" t="str">
        <f>IFERROR(VLOOKUP(B43,'02. MM-KLH'!$B$6:$T$823,12,0),"")</f>
        <v>CGTC LP đchuyen ngày 15/03/2026
Bàn giao về XDCB LP ngày 01/07/2024</v>
      </c>
      <c r="N43" s="110" t="str">
        <f>IFERROR(VLOOKUP(B43,'02. MM-KLH'!$B$6:$T$823,13,0),"")</f>
        <v>KOMATSU</v>
      </c>
      <c r="O43" s="110" t="str">
        <f>IFERROR(VLOOKUP(B43,'02. MM-KLH'!$B$6:$T$823,14,0),"")</f>
        <v>NHẬT BẢN</v>
      </c>
      <c r="P43" s="101">
        <f>IFERROR(VLOOKUP(B43,'02. MM-KLH'!$B$6:$T$823,15,0),"")</f>
        <v>2005</v>
      </c>
      <c r="Q43" s="101" t="str">
        <f>IFERROR(VLOOKUP(B43,'02. MM-KLH'!$B$6:$T$823,16,0),"")</f>
        <v>PC55MR-3</v>
      </c>
      <c r="R43" s="101" t="str">
        <f>IFERROR(VLOOKUP(B43,'02. MM-KLH'!$B$6:$T$823,17,0),"")</f>
        <v>38HP</v>
      </c>
      <c r="S43" s="110" t="str">
        <f>IFERROR(VLOOKUP(B43,'02. MM-KLH'!$B$6:$T$823,18,0),"")</f>
        <v>KMTPC212T40417418</v>
      </c>
      <c r="T43" s="111">
        <f>IFERROR(VLOOKUP(B43,'02. MM-KLH'!$B$6:$T$823,19,0),"")</f>
        <v>27150</v>
      </c>
      <c r="U43" s="863" t="s">
        <v>3274</v>
      </c>
    </row>
    <row r="44" ht="27.75" customHeight="1" spans="1:21">
      <c r="A44" s="103">
        <f t="shared" si="1"/>
        <v>10</v>
      </c>
      <c r="B44" s="104" t="s">
        <v>1626</v>
      </c>
      <c r="C44" s="124" t="str">
        <f>IFERROR(VLOOKUP(B44,'02. MM-KLH'!$B$6:$T$823,2,0),"")</f>
        <v>XL3-MĐA-006(MĐ41HTKLH)</v>
      </c>
      <c r="D44" s="103" t="str">
        <f>IFERROR(VLOOKUP(B44,'02. MM-KLH'!$B$6:$T$823,3,0),"")</f>
        <v>ATT-A22-0233</v>
      </c>
      <c r="E44" s="102">
        <f>IFERROR(VLOOKUP(B44,'02. MM-KLH'!$B$6:$T$823,4,0),"")</f>
        <v>0</v>
      </c>
      <c r="F44" s="124" t="s">
        <v>3292</v>
      </c>
      <c r="G44" s="102" t="str">
        <f>IFERROR(VLOOKUP(B44,'02. MM-KLH'!$B$6:$T$823,6,0),"")</f>
        <v>Máy đào KOMATSU bánh xích gàu 0.3m3</v>
      </c>
      <c r="H44" s="101" t="s">
        <v>3290</v>
      </c>
      <c r="I44" s="101" t="str">
        <f>IFERROR(VLOOKUP(B44,'02. MM-KLH'!$B$6:$T$823,8,0),"")</f>
        <v>XN Chuối LP3</v>
      </c>
      <c r="J44" s="105" t="str">
        <f>IFERROR(VLOOKUP(B44,'02. MM-KLH'!$B$6:$T$823,9,0),"")</f>
        <v>21/02/2024</v>
      </c>
      <c r="K44" s="101" t="str">
        <f>IFERROR(VLOOKUP(B44,'02. MM-KLH'!$B$6:$T$823,10,0),"")</f>
        <v>Bình thường</v>
      </c>
      <c r="L44" s="107">
        <f>IFERROR(VLOOKUP(B44,'02. MM-KLH'!$B$6:$T$823,11,0),"")</f>
        <v>0.69</v>
      </c>
      <c r="M44" s="864" t="str">
        <f>IFERROR(VLOOKUP(B44,'02. MM-KLH'!$B$6:$T$823,12,0),"")</f>
        <v>LP3 đ,chuyển qua ngày 28/06/2024
- CGTC LP đchuyen qua ngày 26/05/2025</v>
      </c>
      <c r="N44" s="110" t="str">
        <f>IFERROR(VLOOKUP(B44,'02. MM-KLH'!$B$6:$T$823,13,0),"")</f>
        <v>KOMATSU</v>
      </c>
      <c r="O44" s="110" t="str">
        <f>IFERROR(VLOOKUP(B44,'02. MM-KLH'!$B$6:$T$823,14,0),"")</f>
        <v>NHẬT BẢN</v>
      </c>
      <c r="P44" s="101">
        <f>IFERROR(VLOOKUP(B44,'02. MM-KLH'!$B$6:$T$823,15,0),"")</f>
        <v>2006</v>
      </c>
      <c r="Q44" s="101" t="str">
        <f>IFERROR(VLOOKUP(B44,'02. MM-KLH'!$B$6:$T$823,16,0),"")</f>
        <v>PC50MR-2</v>
      </c>
      <c r="R44" s="101" t="str">
        <f>IFERROR(VLOOKUP(B44,'02. MM-KLH'!$B$6:$T$823,17,0),"")</f>
        <v>39HP</v>
      </c>
      <c r="S44" s="110" t="str">
        <f>IFERROR(VLOOKUP(B44,'02. MM-KLH'!$B$6:$T$823,18,0),"")</f>
        <v>KMTPC094E05008137</v>
      </c>
      <c r="T44" s="111">
        <f>IFERROR(VLOOKUP(B44,'02. MM-KLH'!$B$6:$T$823,19,0),"")</f>
        <v>11014</v>
      </c>
      <c r="U44" s="863" t="s">
        <v>451</v>
      </c>
    </row>
    <row r="45" ht="27.75" customHeight="1" spans="1:21">
      <c r="A45" s="103">
        <f t="shared" si="1"/>
        <v>11</v>
      </c>
      <c r="B45" s="124" t="s">
        <v>1505</v>
      </c>
      <c r="C45" s="124">
        <f>IFERROR(VLOOKUP(B45,'02. MM-KLH'!$B$6:$T$823,2,0),"")</f>
        <v>0</v>
      </c>
      <c r="D45" s="103" t="str">
        <f>IFERROR(VLOOKUP(B45,'02. MM-KLH'!$B$6:$T$823,3,0),"")</f>
        <v>A24-MĐA-013</v>
      </c>
      <c r="E45" s="102">
        <f>IFERROR(VLOOKUP(B45,'02. MM-KLH'!$B$6:$T$823,4,0),"")</f>
        <v>0</v>
      </c>
      <c r="F45" s="124"/>
      <c r="G45" s="102" t="str">
        <f>IFERROR(VLOOKUP(B45,'02. MM-KLH'!$B$6:$T$823,6,0),"")</f>
        <v>Máy đào KOMATSU bánh xích gàu 0.3m3</v>
      </c>
      <c r="H45" s="101" t="s">
        <v>3290</v>
      </c>
      <c r="I45" s="101" t="str">
        <f>IFERROR(VLOOKUP(B45,'02. MM-KLH'!$B$6:$T$823,8,0),"")</f>
        <v>XN Chuối LP1</v>
      </c>
      <c r="J45" s="105" t="str">
        <f>IFERROR(VLOOKUP(B45,'02. MM-KLH'!$B$6:$T$823,9,0),"")</f>
        <v>29/07/2024</v>
      </c>
      <c r="K45" s="101" t="str">
        <f>IFERROR(VLOOKUP(B45,'02. MM-KLH'!$B$6:$T$823,10,0),"")</f>
        <v>Bình thường</v>
      </c>
      <c r="L45" s="107">
        <f>IFERROR(VLOOKUP(B45,'02. MM-KLH'!$B$6:$T$823,11,0),"")</f>
        <v>0</v>
      </c>
      <c r="M45" s="864" t="str">
        <f>IFERROR(VLOOKUP(B45,'02. MM-KLH'!$B$6:$T$823,12,0),"")</f>
        <v>Bàn giao về XDCB ngày 29/07/2024 (LP1)</v>
      </c>
      <c r="N45" s="110" t="str">
        <f>IFERROR(VLOOKUP(B45,'02. MM-KLH'!$B$6:$T$823,13,0),"")</f>
        <v>KOMATSU</v>
      </c>
      <c r="O45" s="110" t="str">
        <f>IFERROR(VLOOKUP(B45,'02. MM-KLH'!$B$6:$T$823,14,0),"")</f>
        <v>NHẬT BẢN</v>
      </c>
      <c r="P45" s="101">
        <f>IFERROR(VLOOKUP(B45,'02. MM-KLH'!$B$6:$T$823,15,0),"")</f>
        <v>2015</v>
      </c>
      <c r="Q45" s="101" t="str">
        <f>IFERROR(VLOOKUP(B45,'02. MM-KLH'!$B$6:$T$823,16,0),"")</f>
        <v>PC40MR-3</v>
      </c>
      <c r="R45" s="101" t="str">
        <f>IFERROR(VLOOKUP(B45,'02. MM-KLH'!$B$6:$T$823,17,0),"")</f>
        <v>40HP</v>
      </c>
      <c r="S45" s="110" t="str">
        <f>IFERROR(VLOOKUP(B45,'02. MM-KLH'!$B$6:$T$823,18,0),"")</f>
        <v>KMTPC203VFE022946</v>
      </c>
      <c r="T45" s="111">
        <f>IFERROR(VLOOKUP(B45,'02. MM-KLH'!$B$6:$T$823,19,0),"")</f>
        <v>35099</v>
      </c>
      <c r="U45" s="863" t="s">
        <v>3274</v>
      </c>
    </row>
    <row r="46" ht="27.75" customHeight="1" spans="1:21">
      <c r="A46" s="103">
        <f t="shared" si="1"/>
        <v>12</v>
      </c>
      <c r="B46" s="124" t="s">
        <v>1636</v>
      </c>
      <c r="C46" s="124" t="str">
        <f>IFERROR(VLOOKUP(B46,'02. MM-KLH'!$B$6:$T$823,2,0),"")</f>
        <v>MỚI (ĐQSD)</v>
      </c>
      <c r="D46" s="103" t="str">
        <f>IFERROR(VLOOKUP(B46,'02. MM-KLH'!$B$6:$T$823,3,0),"")</f>
        <v>A24-MĐA-014</v>
      </c>
      <c r="E46" s="102">
        <f>IFERROR(VLOOKUP(B46,'02. MM-KLH'!$B$6:$T$823,4,0),"")</f>
        <v>0</v>
      </c>
      <c r="F46" s="124"/>
      <c r="G46" s="102" t="str">
        <f>IFERROR(VLOOKUP(B46,'02. MM-KLH'!$B$6:$T$823,6,0),"")</f>
        <v>Máy đào KOMATSU bánh xích gàu 0.3m3</v>
      </c>
      <c r="H46" s="101" t="s">
        <v>3290</v>
      </c>
      <c r="I46" s="101" t="str">
        <f>IFERROR(VLOOKUP(B46,'02. MM-KLH'!$B$6:$T$823,8,0),"")</f>
        <v>XN Chuối LP3</v>
      </c>
      <c r="J46" s="105" t="str">
        <f>IFERROR(VLOOKUP(B46,'02. MM-KLH'!$B$6:$T$823,9,0),"")</f>
        <v>29/07/2024</v>
      </c>
      <c r="K46" s="101" t="str">
        <f>IFERROR(VLOOKUP(B46,'02. MM-KLH'!$B$6:$T$823,10,0),"")</f>
        <v>Bình thường</v>
      </c>
      <c r="L46" s="107">
        <f>IFERROR(VLOOKUP(B46,'02. MM-KLH'!$B$6:$T$823,11,0),"")</f>
        <v>0</v>
      </c>
      <c r="M46" s="864" t="str">
        <f>IFERROR(VLOOKUP(B46,'02. MM-KLH'!$B$6:$T$823,12,0),"")</f>
        <v>CGTC LP đchuyen ngày 15/03/2026
Bàn giao về XDCB ngày 29/07/2024 </v>
      </c>
      <c r="N46" s="110" t="str">
        <f>IFERROR(VLOOKUP(B46,'02. MM-KLH'!$B$6:$T$823,13,0),"")</f>
        <v>KOMATSU</v>
      </c>
      <c r="O46" s="110" t="str">
        <f>IFERROR(VLOOKUP(B46,'02. MM-KLH'!$B$6:$T$823,14,0),"")</f>
        <v>NHẬT BẢN</v>
      </c>
      <c r="P46" s="101">
        <f>IFERROR(VLOOKUP(B46,'02. MM-KLH'!$B$6:$T$823,15,0),"")</f>
        <v>2015</v>
      </c>
      <c r="Q46" s="101" t="str">
        <f>IFERROR(VLOOKUP(B46,'02. MM-KLH'!$B$6:$T$823,16,0),"")</f>
        <v>PC40MR-3</v>
      </c>
      <c r="R46" s="101" t="str">
        <f>IFERROR(VLOOKUP(B46,'02. MM-KLH'!$B$6:$T$823,17,0),"")</f>
        <v>40HP</v>
      </c>
      <c r="S46" s="110" t="str">
        <f>IFERROR(VLOOKUP(B46,'02. MM-KLH'!$B$6:$T$823,18,0),"")</f>
        <v>KMTPC203A04018037</v>
      </c>
      <c r="T46" s="111">
        <f>IFERROR(VLOOKUP(B46,'02. MM-KLH'!$B$6:$T$823,19,0),"")</f>
        <v>20536</v>
      </c>
      <c r="U46" s="863" t="s">
        <v>3274</v>
      </c>
    </row>
    <row r="47" ht="27.75" customHeight="1" spans="1:21">
      <c r="A47" s="103">
        <f t="shared" si="1"/>
        <v>13</v>
      </c>
      <c r="B47" s="104" t="s">
        <v>762</v>
      </c>
      <c r="C47" s="124" t="str">
        <f>IFERROR(VLOOKUP(B47,'02. MM-KLH'!$B$6:$T$823,2,0),"")</f>
        <v>LP4-MĐA-001(XLA-MĐA-001)</v>
      </c>
      <c r="D47" s="103" t="str">
        <f>IFERROR(VLOOKUP(B47,'02. MM-KLH'!$B$6:$T$823,3,0),"")</f>
        <v>A24-MĐA-012</v>
      </c>
      <c r="E47" s="102">
        <f>IFERROR(VLOOKUP(B47,'02. MM-KLH'!$B$6:$T$823,4,0),"")</f>
        <v>0</v>
      </c>
      <c r="F47" s="104"/>
      <c r="G47" s="102" t="str">
        <f>IFERROR(VLOOKUP(B47,'02. MM-KLH'!$B$6:$T$823,6,0),"")</f>
        <v>Máy đào KOMATSU bánh xích gàu 0.3m3</v>
      </c>
      <c r="H47" s="101" t="s">
        <v>3290</v>
      </c>
      <c r="I47" s="101" t="str">
        <f>IFERROR(VLOOKUP(B47,'02. MM-KLH'!$B$6:$T$823,8,0),"")</f>
        <v>CGTC LP</v>
      </c>
      <c r="J47" s="105" t="str">
        <f>IFERROR(VLOOKUP(B47,'02. MM-KLH'!$B$6:$T$823,9,0),"")</f>
        <v>16/07/2024</v>
      </c>
      <c r="K47" s="101" t="str">
        <f>IFERROR(VLOOKUP(B47,'02. MM-KLH'!$B$6:$T$823,10,0),"")</f>
        <v>Bình thường</v>
      </c>
      <c r="L47" s="107">
        <f>IFERROR(VLOOKUP(B47,'02. MM-KLH'!$B$6:$T$823,11,0),"")</f>
        <v>0</v>
      </c>
      <c r="M47" s="864" t="str">
        <f>IFERROR(VLOOKUP(B47,'02. MM-KLH'!$B$6:$T$823,12,0),"")</f>
        <v>XN LP4 bàn giao về XDCB ngày 16.07.2024</v>
      </c>
      <c r="N47" s="110" t="str">
        <f>IFERROR(VLOOKUP(B47,'02. MM-KLH'!$B$6:$T$823,13,0),"")</f>
        <v>KOMATSU</v>
      </c>
      <c r="O47" s="110" t="str">
        <f>IFERROR(VLOOKUP(B47,'02. MM-KLH'!$B$6:$T$823,14,0),"")</f>
        <v>NHẬT BẢN</v>
      </c>
      <c r="P47" s="101">
        <f>IFERROR(VLOOKUP(B47,'02. MM-KLH'!$B$6:$T$823,15,0),"")</f>
        <v>2006</v>
      </c>
      <c r="Q47" s="101" t="str">
        <f>IFERROR(VLOOKUP(B47,'02. MM-KLH'!$B$6:$T$823,16,0),"")</f>
        <v>PC40-MR</v>
      </c>
      <c r="R47" s="101" t="str">
        <f>IFERROR(VLOOKUP(B47,'02. MM-KLH'!$B$6:$T$823,17,0),"")</f>
        <v>39HP</v>
      </c>
      <c r="S47" s="110">
        <f>IFERROR(VLOOKUP(B47,'02. MM-KLH'!$B$6:$T$823,18,0),"")</f>
        <v>9101</v>
      </c>
      <c r="T47" s="111" t="str">
        <f>IFERROR(VLOOKUP(B47,'02. MM-KLH'!$B$6:$T$823,19,0),"")</f>
        <v>CCN</v>
      </c>
      <c r="U47" s="863" t="s">
        <v>451</v>
      </c>
    </row>
    <row r="48" ht="27.75" customHeight="1" spans="1:21">
      <c r="A48" s="103">
        <f t="shared" si="1"/>
        <v>14</v>
      </c>
      <c r="B48" s="104" t="s">
        <v>885</v>
      </c>
      <c r="C48" s="124" t="str">
        <f>IFERROR(VLOOKUP(B48,'02. MM-KLH'!$B$6:$T$823,2,0),"")</f>
        <v>MD39HT-KLH(XB1-MĐA-001)</v>
      </c>
      <c r="D48" s="103" t="str">
        <f>IFERROR(VLOOKUP(B48,'02. MM-KLH'!$B$6:$T$823,3,0),"")</f>
        <v>ATT-A22-0231</v>
      </c>
      <c r="E48" s="102">
        <f>IFERROR(VLOOKUP(B48,'02. MM-KLH'!$B$6:$T$823,4,0),"")</f>
        <v>0</v>
      </c>
      <c r="F48" s="104" t="s">
        <v>3293</v>
      </c>
      <c r="G48" s="102" t="str">
        <f>IFERROR(VLOOKUP(B48,'02. MM-KLH'!$B$6:$T$823,6,0),"")</f>
        <v>Máy đào KOMATSU bánh xích gàu 0.3m3</v>
      </c>
      <c r="H48" s="101" t="s">
        <v>3290</v>
      </c>
      <c r="I48" s="101" t="str">
        <f>IFERROR(VLOOKUP(B48,'02. MM-KLH'!$B$6:$T$823,8,0),"")</f>
        <v>CGTC AD</v>
      </c>
      <c r="J48" s="105">
        <f>IFERROR(VLOOKUP(B48,'02. MM-KLH'!$B$6:$T$823,9,0),"")</f>
        <v>44199</v>
      </c>
      <c r="K48" s="101" t="str">
        <f>IFERROR(VLOOKUP(B48,'02. MM-KLH'!$B$6:$T$823,10,0),"")</f>
        <v>Bình thường</v>
      </c>
      <c r="L48" s="107">
        <f>IFERROR(VLOOKUP(B48,'02. MM-KLH'!$B$6:$T$823,11,0),"")</f>
        <v>0.69</v>
      </c>
      <c r="M48" s="864" t="str">
        <f>IFERROR(VLOOKUP(B48,'02. MM-KLH'!$B$6:$T$823,12,0),"")</f>
        <v>XNB đ.chuyển qua ngày 25/06/2024</v>
      </c>
      <c r="N48" s="110" t="str">
        <f>IFERROR(VLOOKUP(B48,'02. MM-KLH'!$B$6:$T$823,13,0),"")</f>
        <v>KOMATSU</v>
      </c>
      <c r="O48" s="110" t="str">
        <f>IFERROR(VLOOKUP(B48,'02. MM-KLH'!$B$6:$T$823,14,0),"")</f>
        <v>NHẬT BẢN</v>
      </c>
      <c r="P48" s="101">
        <f>IFERROR(VLOOKUP(B48,'02. MM-KLH'!$B$6:$T$823,15,0),"")</f>
        <v>2014</v>
      </c>
      <c r="Q48" s="101" t="str">
        <f>IFERROR(VLOOKUP(B48,'02. MM-KLH'!$B$6:$T$823,16,0),"")</f>
        <v>PC40MR-3</v>
      </c>
      <c r="R48" s="101" t="str">
        <f>IFERROR(VLOOKUP(B48,'02. MM-KLH'!$B$6:$T$823,17,0),"")</f>
        <v>39HP</v>
      </c>
      <c r="S48" s="110" t="str">
        <f>IFERROR(VLOOKUP(B48,'02. MM-KLH'!$B$6:$T$823,18,0),"")</f>
        <v>KMTPC023LEE022317</v>
      </c>
      <c r="T48" s="111">
        <f>IFERROR(VLOOKUP(B48,'02. MM-KLH'!$B$6:$T$823,19,0),"")</f>
        <v>32816</v>
      </c>
      <c r="U48" s="863" t="s">
        <v>451</v>
      </c>
    </row>
    <row r="49" ht="27.75" customHeight="1" spans="1:21">
      <c r="A49" s="103">
        <f t="shared" si="1"/>
        <v>15</v>
      </c>
      <c r="B49" s="124" t="s">
        <v>1191</v>
      </c>
      <c r="C49" s="124" t="str">
        <f>IFERROR(VLOOKUP(B49,'02. MM-KLH'!$B$6:$T$823,2,0),"")</f>
        <v>CNN-MĐA-002(MĐ08HTKLH)</v>
      </c>
      <c r="D49" s="103" t="str">
        <f>IFERROR(VLOOKUP(B49,'02. MM-KLH'!$B$6:$T$823,3,0),"")</f>
        <v>ATT-A23-0041</v>
      </c>
      <c r="E49" s="102">
        <f>IFERROR(VLOOKUP(B49,'02. MM-KLH'!$B$6:$T$823,4,0),"")</f>
        <v>0</v>
      </c>
      <c r="F49" s="104" t="s">
        <v>3294</v>
      </c>
      <c r="G49" s="102" t="str">
        <f>IFERROR(VLOOKUP(B49,'02. MM-KLH'!$B$6:$T$823,6,0),"")</f>
        <v>Máy đào KOMATSU bánh xích gàu 0.3m3</v>
      </c>
      <c r="H49" s="101" t="s">
        <v>3290</v>
      </c>
      <c r="I49" s="101" t="str">
        <f>IFERROR(VLOOKUP(B49,'02. MM-KLH'!$B$6:$T$823,8,0),"")</f>
        <v>XN Chuối DP1</v>
      </c>
      <c r="J49" s="105">
        <f>IFERROR(VLOOKUP(B49,'02. MM-KLH'!$B$6:$T$823,9,0),"")</f>
        <v>45419</v>
      </c>
      <c r="K49" s="101" t="str">
        <f>IFERROR(VLOOKUP(B49,'02. MM-KLH'!$B$6:$T$823,10,0),"")</f>
        <v>Bình thường</v>
      </c>
      <c r="L49" s="107">
        <f>IFERROR(VLOOKUP(B49,'02. MM-KLH'!$B$6:$T$823,11,0),"")</f>
        <v>0</v>
      </c>
      <c r="M49" s="864" t="str">
        <f>IFERROR(VLOOKUP(B49,'02. MM-KLH'!$B$6:$T$823,12,0),"")</f>
        <v>Lắp tb gấp lá chuối (XD1-TBG-001)</v>
      </c>
      <c r="N49" s="110" t="str">
        <f>IFERROR(VLOOKUP(B49,'02. MM-KLH'!$B$6:$T$823,13,0),"")</f>
        <v>KOMATSU</v>
      </c>
      <c r="O49" s="110" t="str">
        <f>IFERROR(VLOOKUP(B49,'02. MM-KLH'!$B$6:$T$823,14,0),"")</f>
        <v>NHẬT BẢN</v>
      </c>
      <c r="P49" s="101">
        <f>IFERROR(VLOOKUP(B49,'02. MM-KLH'!$B$6:$T$823,15,0),"")</f>
        <v>2006</v>
      </c>
      <c r="Q49" s="101" t="str">
        <f>IFERROR(VLOOKUP(B49,'02. MM-KLH'!$B$6:$T$823,16,0),"")</f>
        <v>PC40MR-3</v>
      </c>
      <c r="R49" s="101" t="str">
        <f>IFERROR(VLOOKUP(B49,'02. MM-KLH'!$B$6:$T$823,17,0),"")</f>
        <v>39HP</v>
      </c>
      <c r="S49" s="110">
        <f>IFERROR(VLOOKUP(B49,'02. MM-KLH'!$B$6:$T$823,18,0),"")</f>
        <v>5288</v>
      </c>
      <c r="T49" s="111" t="str">
        <f>IFERROR(VLOOKUP(B49,'02. MM-KLH'!$B$6:$T$823,19,0),"")</f>
        <v>CCN</v>
      </c>
      <c r="U49" s="863" t="s">
        <v>451</v>
      </c>
    </row>
    <row r="50" ht="27.75" customHeight="1" spans="1:21">
      <c r="A50" s="103">
        <f t="shared" si="1"/>
        <v>16</v>
      </c>
      <c r="B50" s="104" t="s">
        <v>1271</v>
      </c>
      <c r="C50" s="124" t="str">
        <f>IFERROR(VLOOKUP(B50,'02. MM-KLH'!$B$6:$T$823,2,0),"")</f>
        <v>MĐ 10 HT-KLH</v>
      </c>
      <c r="D50" s="103" t="str">
        <f>IFERROR(VLOOKUP(B50,'02. MM-KLH'!$B$6:$T$823,3,0),"")</f>
        <v>ATT-A23-0035</v>
      </c>
      <c r="E50" s="102">
        <f>IFERROR(VLOOKUP(B50,'02. MM-KLH'!$B$6:$T$823,4,0),"")</f>
        <v>0</v>
      </c>
      <c r="F50" s="104" t="s">
        <v>3295</v>
      </c>
      <c r="G50" s="102" t="str">
        <f>IFERROR(VLOOKUP(B50,'02. MM-KLH'!$B$6:$T$823,6,0),"")</f>
        <v>Máy đào KOMATSU bánh xích gàu 0.3m3</v>
      </c>
      <c r="H50" s="101" t="s">
        <v>3290</v>
      </c>
      <c r="I50" s="101" t="str">
        <f>IFERROR(VLOOKUP(B50,'02. MM-KLH'!$B$6:$T$823,8,0),"")</f>
        <v>XN Chuối DP2</v>
      </c>
      <c r="J50" s="105">
        <f>IFERROR(VLOOKUP(B50,'02. MM-KLH'!$B$6:$T$823,9,0),"")</f>
        <v>0</v>
      </c>
      <c r="K50" s="101" t="str">
        <f>IFERROR(VLOOKUP(B50,'02. MM-KLH'!$B$6:$T$823,10,0),"")</f>
        <v>Bình thường</v>
      </c>
      <c r="L50" s="107">
        <f>IFERROR(VLOOKUP(B50,'02. MM-KLH'!$B$6:$T$823,11,0),"")</f>
        <v>0</v>
      </c>
      <c r="M50" s="864">
        <f>IFERROR(VLOOKUP(B50,'02. MM-KLH'!$B$6:$T$823,12,0),"")</f>
        <v>0</v>
      </c>
      <c r="N50" s="110" t="str">
        <f>IFERROR(VLOOKUP(B50,'02. MM-KLH'!$B$6:$T$823,13,0),"")</f>
        <v>KOMATSU</v>
      </c>
      <c r="O50" s="110" t="str">
        <f>IFERROR(VLOOKUP(B50,'02. MM-KLH'!$B$6:$T$823,14,0),"")</f>
        <v>NHẬT BẢN</v>
      </c>
      <c r="P50" s="101">
        <f>IFERROR(VLOOKUP(B50,'02. MM-KLH'!$B$6:$T$823,15,0),"")</f>
        <v>2006</v>
      </c>
      <c r="Q50" s="101" t="str">
        <f>IFERROR(VLOOKUP(B50,'02. MM-KLH'!$B$6:$T$823,16,0),"")</f>
        <v>PC40MR-3</v>
      </c>
      <c r="R50" s="101" t="str">
        <f>IFERROR(VLOOKUP(B50,'02. MM-KLH'!$B$6:$T$823,17,0),"")</f>
        <v>39HP</v>
      </c>
      <c r="S50" s="110">
        <f>IFERROR(VLOOKUP(B50,'02. MM-KLH'!$B$6:$T$823,18,0),"")</f>
        <v>8332</v>
      </c>
      <c r="T50" s="111" t="str">
        <f>IFERROR(VLOOKUP(B50,'02. MM-KLH'!$B$6:$T$823,19,0),"")</f>
        <v>CCN</v>
      </c>
      <c r="U50" s="863" t="s">
        <v>451</v>
      </c>
    </row>
    <row r="51" ht="27.75" customHeight="1" spans="1:21">
      <c r="A51" s="103">
        <f t="shared" si="1"/>
        <v>17</v>
      </c>
      <c r="B51" s="104" t="s">
        <v>1361</v>
      </c>
      <c r="C51" s="124" t="str">
        <f>IFERROR(VLOOKUP(B51,'02. MM-KLH'!$B$6:$T$823,2,0),"")</f>
        <v>MĐ 09 HT-KLH</v>
      </c>
      <c r="D51" s="103" t="str">
        <f>IFERROR(VLOOKUP(B51,'02. MM-KLH'!$B$6:$T$823,3,0),"")</f>
        <v>ATT-A23-0036</v>
      </c>
      <c r="E51" s="102">
        <f>IFERROR(VLOOKUP(B51,'02. MM-KLH'!$B$6:$T$823,4,0),"")</f>
        <v>0</v>
      </c>
      <c r="F51" s="104" t="s">
        <v>3296</v>
      </c>
      <c r="G51" s="102" t="str">
        <f>IFERROR(VLOOKUP(B51,'02. MM-KLH'!$B$6:$T$823,6,0),"")</f>
        <v>Máy đào KOMATSU bánh xích gàu 0.3m3</v>
      </c>
      <c r="H51" s="101" t="s">
        <v>3290</v>
      </c>
      <c r="I51" s="101" t="str">
        <f>IFERROR(VLOOKUP(B51,'02. MM-KLH'!$B$6:$T$823,8,0),"")</f>
        <v>XN Chuối DP3</v>
      </c>
      <c r="J51" s="105">
        <f>IFERROR(VLOOKUP(B51,'02. MM-KLH'!$B$6:$T$823,9,0),"")</f>
        <v>0</v>
      </c>
      <c r="K51" s="101" t="str">
        <f>IFERROR(VLOOKUP(B51,'02. MM-KLH'!$B$6:$T$823,10,0),"")</f>
        <v>Bình thường</v>
      </c>
      <c r="L51" s="107">
        <f>IFERROR(VLOOKUP(B51,'02. MM-KLH'!$B$6:$T$823,11,0),"")</f>
        <v>0</v>
      </c>
      <c r="M51" s="864">
        <f>IFERROR(VLOOKUP(B51,'02. MM-KLH'!$B$6:$T$823,12,0),"")</f>
        <v>0</v>
      </c>
      <c r="N51" s="110" t="str">
        <f>IFERROR(VLOOKUP(B51,'02. MM-KLH'!$B$6:$T$823,13,0),"")</f>
        <v>KOMATSU</v>
      </c>
      <c r="O51" s="110" t="str">
        <f>IFERROR(VLOOKUP(B51,'02. MM-KLH'!$B$6:$T$823,14,0),"")</f>
        <v>NHẬT BẢN</v>
      </c>
      <c r="P51" s="101">
        <f>IFERROR(VLOOKUP(B51,'02. MM-KLH'!$B$6:$T$823,15,0),"")</f>
        <v>2006</v>
      </c>
      <c r="Q51" s="101" t="str">
        <f>IFERROR(VLOOKUP(B51,'02. MM-KLH'!$B$6:$T$823,16,0),"")</f>
        <v>PC40MR-3</v>
      </c>
      <c r="R51" s="101" t="str">
        <f>IFERROR(VLOOKUP(B51,'02. MM-KLH'!$B$6:$T$823,17,0),"")</f>
        <v>39HP</v>
      </c>
      <c r="S51" s="110">
        <f>IFERROR(VLOOKUP(B51,'02. MM-KLH'!$B$6:$T$823,18,0),"")</f>
        <v>8608</v>
      </c>
      <c r="T51" s="111" t="str">
        <f>IFERROR(VLOOKUP(B51,'02. MM-KLH'!$B$6:$T$823,19,0),"")</f>
        <v>CCN</v>
      </c>
      <c r="U51" s="863" t="s">
        <v>451</v>
      </c>
    </row>
    <row r="52" ht="28.5" customHeight="1" spans="1:21">
      <c r="A52" s="103">
        <f t="shared" si="1"/>
        <v>18</v>
      </c>
      <c r="B52" s="104" t="s">
        <v>1639</v>
      </c>
      <c r="C52" s="124" t="str">
        <f>IFERROR(VLOOKUP(B52,'02. MM-KLH'!$B$6:$T$823,2,0),"")</f>
        <v>MĐ40HTKLH</v>
      </c>
      <c r="D52" s="103" t="str">
        <f>IFERROR(VLOOKUP(B52,'02. MM-KLH'!$B$6:$T$823,3,0),"")</f>
        <v>ATT-A22-0236</v>
      </c>
      <c r="E52" s="102">
        <f>IFERROR(VLOOKUP(B52,'02. MM-KLH'!$B$6:$T$823,4,0),"")</f>
        <v>0</v>
      </c>
      <c r="F52" s="104" t="s">
        <v>3297</v>
      </c>
      <c r="G52" s="102" t="str">
        <f>IFERROR(VLOOKUP(B52,'02. MM-KLH'!$B$6:$T$823,6,0),"")</f>
        <v>Máy đào KOMATSU bánh xích gàu 0.3m3</v>
      </c>
      <c r="H52" s="101" t="s">
        <v>3290</v>
      </c>
      <c r="I52" s="101" t="str">
        <f>IFERROR(VLOOKUP(B52,'02. MM-KLH'!$B$6:$T$823,8,0),"")</f>
        <v>XN Chuối LP3</v>
      </c>
      <c r="J52" s="105">
        <f>IFERROR(VLOOKUP(B52,'02. MM-KLH'!$B$6:$T$823,9,0),"")</f>
        <v>0</v>
      </c>
      <c r="K52" s="101" t="str">
        <f>IFERROR(VLOOKUP(B52,'02. MM-KLH'!$B$6:$T$823,10,0),"")</f>
        <v>Bình thường</v>
      </c>
      <c r="L52" s="107">
        <f>IFERROR(VLOOKUP(B52,'02. MM-KLH'!$B$6:$T$823,11,0),"")</f>
        <v>0.69</v>
      </c>
      <c r="M52" s="864" t="str">
        <f>IFERROR(VLOOKUP(B52,'02. MM-KLH'!$B$6:$T$823,12,0),"")</f>
        <v>ĐỀ XUẤT THANH LÝ</v>
      </c>
      <c r="N52" s="110" t="str">
        <f>IFERROR(VLOOKUP(B52,'02. MM-KLH'!$B$6:$T$823,13,0),"")</f>
        <v>KOMATSU</v>
      </c>
      <c r="O52" s="110" t="str">
        <f>IFERROR(VLOOKUP(B52,'02. MM-KLH'!$B$6:$T$823,14,0),"")</f>
        <v>NHẬT BẢN</v>
      </c>
      <c r="P52" s="101">
        <f>IFERROR(VLOOKUP(B52,'02. MM-KLH'!$B$6:$T$823,15,0),"")</f>
        <v>2010</v>
      </c>
      <c r="Q52" s="101" t="str">
        <f>IFERROR(VLOOKUP(B52,'02. MM-KLH'!$B$6:$T$823,16,0),"")</f>
        <v>PC55MR-3</v>
      </c>
      <c r="R52" s="101" t="str">
        <f>IFERROR(VLOOKUP(B52,'02. MM-KLH'!$B$6:$T$823,17,0),"")</f>
        <v>39HP</v>
      </c>
      <c r="S52" s="110" t="str">
        <f>IFERROR(VLOOKUP(B52,'02. MM-KLH'!$B$6:$T$823,18,0),"")</f>
        <v>KMTPC212P040416271</v>
      </c>
      <c r="T52" s="111">
        <f>IFERROR(VLOOKUP(B52,'02. MM-KLH'!$B$6:$T$823,19,0),"")</f>
        <v>21629</v>
      </c>
      <c r="U52" s="863" t="s">
        <v>451</v>
      </c>
    </row>
    <row r="53" ht="28.5" customHeight="1" spans="1:21">
      <c r="A53" s="103">
        <f t="shared" si="1"/>
        <v>19</v>
      </c>
      <c r="B53" s="104" t="s">
        <v>2166</v>
      </c>
      <c r="C53" s="124" t="str">
        <f>IFERROR(VLOOKUP(B53,'02. MM-KLH'!$B$6:$T$823,2,0),"")</f>
        <v>CNN-MĐA-001(MĐ05HTKLH)</v>
      </c>
      <c r="D53" s="103" t="str">
        <f>IFERROR(VLOOKUP(B53,'02. MM-KLH'!$B$6:$T$823,3,0),"")</f>
        <v>ATT-A23-0042</v>
      </c>
      <c r="E53" s="102">
        <f>IFERROR(VLOOKUP(B53,'02. MM-KLH'!$B$6:$T$823,4,0),"")</f>
        <v>0</v>
      </c>
      <c r="F53" s="104" t="s">
        <v>3298</v>
      </c>
      <c r="G53" s="102" t="str">
        <f>IFERROR(VLOOKUP(B53,'02. MM-KLH'!$B$6:$T$823,6,0),"")</f>
        <v>Máy đào KOMATSU bánh xích gàu 0.3m3</v>
      </c>
      <c r="H53" s="101" t="s">
        <v>3290</v>
      </c>
      <c r="I53" s="101" t="str">
        <f>IFERROR(VLOOKUP(B53,'02. MM-KLH'!$B$6:$T$823,8,0),"")</f>
        <v>XN Bò AD</v>
      </c>
      <c r="J53" s="105">
        <f>IFERROR(VLOOKUP(B53,'02. MM-KLH'!$B$6:$T$823,9,0),"")</f>
        <v>0</v>
      </c>
      <c r="K53" s="101" t="str">
        <f>IFERROR(VLOOKUP(B53,'02. MM-KLH'!$B$6:$T$823,10,0),"")</f>
        <v>Bình thường</v>
      </c>
      <c r="L53" s="107">
        <f>IFERROR(VLOOKUP(B53,'02. MM-KLH'!$B$6:$T$823,11,0),"")</f>
        <v>0</v>
      </c>
      <c r="M53" s="864" t="str">
        <f>IFERROR(VLOOKUP(B53,'02. MM-KLH'!$B$6:$T$823,12,0),"")</f>
        <v>Xe đã qua sử dụng (lắp TB gắp gỗ)</v>
      </c>
      <c r="N53" s="110" t="str">
        <f>IFERROR(VLOOKUP(B53,'02. MM-KLH'!$B$6:$T$823,13,0),"")</f>
        <v>KOMATSU</v>
      </c>
      <c r="O53" s="110" t="str">
        <f>IFERROR(VLOOKUP(B53,'02. MM-KLH'!$B$6:$T$823,14,0),"")</f>
        <v>NHẬT BẢN</v>
      </c>
      <c r="P53" s="101">
        <f>IFERROR(VLOOKUP(B53,'02. MM-KLH'!$B$6:$T$823,15,0),"")</f>
        <v>2006</v>
      </c>
      <c r="Q53" s="101" t="str">
        <f>IFERROR(VLOOKUP(B53,'02. MM-KLH'!$B$6:$T$823,16,0),"")</f>
        <v>PC50MR-2</v>
      </c>
      <c r="R53" s="101" t="str">
        <f>IFERROR(VLOOKUP(B53,'02. MM-KLH'!$B$6:$T$823,17,0),"")</f>
        <v>39HP</v>
      </c>
      <c r="S53" s="110" t="str">
        <f>IFERROR(VLOOKUP(B53,'02. MM-KLH'!$B$6:$T$823,18,0),"")</f>
        <v>KMTPC094K05007351</v>
      </c>
      <c r="T53" s="111" t="str">
        <f>IFERROR(VLOOKUP(B53,'02. MM-KLH'!$B$6:$T$823,19,0),"")</f>
        <v>CCN</v>
      </c>
      <c r="U53" s="863" t="s">
        <v>451</v>
      </c>
    </row>
    <row r="54" ht="28.5" customHeight="1" spans="1:21">
      <c r="A54" s="103">
        <f t="shared" si="1"/>
        <v>20</v>
      </c>
      <c r="B54" s="104" t="s">
        <v>756</v>
      </c>
      <c r="C54" s="124" t="str">
        <f>IFERROR(VLOOKUP(B54,'02. MM-KLH'!$B$6:$T$823,2,0),"")</f>
        <v>CHT-MĐA-050(MĐ20HTKLH)</v>
      </c>
      <c r="D54" s="103" t="str">
        <f>IFERROR(VLOOKUP(B54,'02. MM-KLH'!$B$6:$T$823,3,0),"")</f>
        <v/>
      </c>
      <c r="E54" s="102">
        <f>IFERROR(VLOOKUP(B54,'02. MM-KLH'!$B$6:$T$823,4,0),"")</f>
        <v>0</v>
      </c>
      <c r="F54" s="104" t="s">
        <v>3112</v>
      </c>
      <c r="G54" s="102" t="str">
        <f>IFERROR(VLOOKUP(B54,'02. MM-KLH'!$B$6:$T$823,6,0),"")</f>
        <v>Máy đào U35 bánh xích gàu 0.3m3</v>
      </c>
      <c r="H54" s="101" t="s">
        <v>3290</v>
      </c>
      <c r="I54" s="101" t="str">
        <f>IFERROR(VLOOKUP(B54,'02. MM-KLH'!$B$6:$T$823,8,0),"")</f>
        <v>CGTC LP</v>
      </c>
      <c r="J54" s="105">
        <f>IFERROR(VLOOKUP(B54,'02. MM-KLH'!$B$6:$T$823,9,0),"")</f>
        <v>0</v>
      </c>
      <c r="K54" s="101" t="str">
        <f>IFERROR(VLOOKUP(B54,'02. MM-KLH'!$B$6:$T$823,10,0),"")</f>
        <v>Bình thường</v>
      </c>
      <c r="L54" s="107">
        <f>IFERROR(VLOOKUP(B54,'02. MM-KLH'!$B$6:$T$823,11,0),"")</f>
        <v>0</v>
      </c>
      <c r="M54" s="864" t="str">
        <f>IFERROR(VLOOKUP(B54,'02. MM-KLH'!$B$6:$T$823,12,0),"")</f>
        <v>LP3 đ,chuyển qua ngày 28/06/2024</v>
      </c>
      <c r="N54" s="110" t="str">
        <f>IFERROR(VLOOKUP(B54,'02. MM-KLH'!$B$6:$T$823,13,0),"")</f>
        <v>KUBOTA</v>
      </c>
      <c r="O54" s="110" t="str">
        <f>IFERROR(VLOOKUP(B54,'02. MM-KLH'!$B$6:$T$823,14,0),"")</f>
        <v>NHẬT BẢN</v>
      </c>
      <c r="P54" s="101">
        <f>IFERROR(VLOOKUP(B54,'02. MM-KLH'!$B$6:$T$823,15,0),"")</f>
        <v>2015</v>
      </c>
      <c r="Q54" s="101" t="str">
        <f>IFERROR(VLOOKUP(B54,'02. MM-KLH'!$B$6:$T$823,16,0),"")</f>
        <v>U35-6</v>
      </c>
      <c r="R54" s="101" t="str">
        <f>IFERROR(VLOOKUP(B54,'02. MM-KLH'!$B$6:$T$823,17,0),"")</f>
        <v>32HP</v>
      </c>
      <c r="S54" s="110">
        <f>IFERROR(VLOOKUP(B54,'02. MM-KLH'!$B$6:$T$823,18,0),"")</f>
        <v>60432</v>
      </c>
      <c r="T54" s="111" t="str">
        <f>IFERROR(VLOOKUP(B54,'02. MM-KLH'!$B$6:$T$823,19,0),"")</f>
        <v>CCN</v>
      </c>
      <c r="U54" s="863" t="s">
        <v>451</v>
      </c>
    </row>
    <row r="55" ht="28.5" customHeight="1" spans="1:21">
      <c r="A55" s="103">
        <f t="shared" si="1"/>
        <v>21</v>
      </c>
      <c r="B55" s="104" t="s">
        <v>889</v>
      </c>
      <c r="C55" s="124" t="str">
        <f>IFERROR(VLOOKUP(B55,'02. MM-KLH'!$B$6:$T$823,2,0),"")</f>
        <v>MĐ35 HTKLH(XA2-MĐA-002)</v>
      </c>
      <c r="D55" s="103" t="str">
        <f>IFERROR(VLOOKUP(B55,'02. MM-KLH'!$B$6:$T$823,3,0),"")</f>
        <v>ATM-A22-0018</v>
      </c>
      <c r="E55" s="102">
        <f>IFERROR(VLOOKUP(B55,'02. MM-KLH'!$B$6:$T$823,4,0),"")</f>
        <v>0</v>
      </c>
      <c r="F55" s="104" t="s">
        <v>3299</v>
      </c>
      <c r="G55" s="102" t="str">
        <f>IFERROR(VLOOKUP(B55,'02. MM-KLH'!$B$6:$T$823,6,0),"")</f>
        <v>Máy đào U35 bánh xích gàu 0.3m3</v>
      </c>
      <c r="H55" s="101" t="s">
        <v>3290</v>
      </c>
      <c r="I55" s="101" t="str">
        <f>IFERROR(VLOOKUP(B55,'02. MM-KLH'!$B$6:$T$823,8,0),"")</f>
        <v>CGTC AD</v>
      </c>
      <c r="J55" s="105">
        <f>IFERROR(VLOOKUP(B55,'02. MM-KLH'!$B$6:$T$823,9,0),"")</f>
        <v>0</v>
      </c>
      <c r="K55" s="101" t="str">
        <f>IFERROR(VLOOKUP(B55,'02. MM-KLH'!$B$6:$T$823,10,0),"")</f>
        <v>Bình thường</v>
      </c>
      <c r="L55" s="107">
        <f>IFERROR(VLOOKUP(B55,'02. MM-KLH'!$B$6:$T$823,11,0),"")</f>
        <v>0.4</v>
      </c>
      <c r="M55" s="864" t="str">
        <f>IFERROR(VLOOKUP(B55,'02. MM-KLH'!$B$6:$T$823,12,0),"")</f>
        <v>ĐỀ XUẤT THANH LÝ
XN AD2 đ.chuyển qua ngày 25/06/2024 </v>
      </c>
      <c r="N55" s="110" t="str">
        <f>IFERROR(VLOOKUP(B55,'02. MM-KLH'!$B$6:$T$823,13,0),"")</f>
        <v>KUBOTA</v>
      </c>
      <c r="O55" s="110" t="str">
        <f>IFERROR(VLOOKUP(B55,'02. MM-KLH'!$B$6:$T$823,14,0),"")</f>
        <v>NHẬT BẢN</v>
      </c>
      <c r="P55" s="101">
        <f>IFERROR(VLOOKUP(B55,'02. MM-KLH'!$B$6:$T$823,15,0),"")</f>
        <v>2015</v>
      </c>
      <c r="Q55" s="101" t="str">
        <f>IFERROR(VLOOKUP(B55,'02. MM-KLH'!$B$6:$T$823,16,0),"")</f>
        <v>U35-6</v>
      </c>
      <c r="R55" s="101" t="str">
        <f>IFERROR(VLOOKUP(B55,'02. MM-KLH'!$B$6:$T$823,17,0),"")</f>
        <v>32HP</v>
      </c>
      <c r="S55" s="110" t="str">
        <f>IFERROR(VLOOKUP(B55,'02. MM-KLH'!$B$6:$T$823,18,0),"")</f>
        <v>JKUU0356H01H60283</v>
      </c>
      <c r="T55" s="111" t="str">
        <f>IFERROR(VLOOKUP(B55,'02. MM-KLH'!$B$6:$T$823,19,0),"")</f>
        <v>7HN2997</v>
      </c>
      <c r="U55" s="863" t="s">
        <v>451</v>
      </c>
    </row>
    <row r="56" ht="28.5" customHeight="1" spans="1:21">
      <c r="A56" s="103">
        <f t="shared" si="1"/>
        <v>22</v>
      </c>
      <c r="B56" s="104" t="s">
        <v>894</v>
      </c>
      <c r="C56" s="124" t="str">
        <f>IFERROR(VLOOKUP(B56,'02. MM-KLH'!$B$6:$T$823,2,0),"")</f>
        <v>MĐ36 HTKLH(XA2-MĐA-003)</v>
      </c>
      <c r="D56" s="103" t="str">
        <f>IFERROR(VLOOKUP(B56,'02. MM-KLH'!$B$6:$T$823,3,0),"")</f>
        <v>ATM-A22-0018</v>
      </c>
      <c r="E56" s="102">
        <f>IFERROR(VLOOKUP(B56,'02. MM-KLH'!$B$6:$T$823,4,0),"")</f>
        <v>0</v>
      </c>
      <c r="F56" s="104" t="s">
        <v>3299</v>
      </c>
      <c r="G56" s="102" t="str">
        <f>IFERROR(VLOOKUP(B56,'02. MM-KLH'!$B$6:$T$823,6,0),"")</f>
        <v>Máy đào U35 bánh xích gàu 0.3m3</v>
      </c>
      <c r="H56" s="101" t="s">
        <v>3290</v>
      </c>
      <c r="I56" s="101" t="str">
        <f>IFERROR(VLOOKUP(B56,'02. MM-KLH'!$B$6:$T$823,8,0),"")</f>
        <v>CGTC AD</v>
      </c>
      <c r="J56" s="105">
        <f>IFERROR(VLOOKUP(B56,'02. MM-KLH'!$B$6:$T$823,9,0),"")</f>
        <v>0</v>
      </c>
      <c r="K56" s="101" t="str">
        <f>IFERROR(VLOOKUP(B56,'02. MM-KLH'!$B$6:$T$823,10,0),"")</f>
        <v>Bình thường</v>
      </c>
      <c r="L56" s="107">
        <f>IFERROR(VLOOKUP(B56,'02. MM-KLH'!$B$6:$T$823,11,0),"")</f>
        <v>0.4</v>
      </c>
      <c r="M56" s="864" t="str">
        <f>IFERROR(VLOOKUP(B56,'02. MM-KLH'!$B$6:$T$823,12,0),"")</f>
        <v>ĐỀ XUẤT THANH LÝ
XN AD2 đ.chuyển qua ngày 25/06/2024 </v>
      </c>
      <c r="N56" s="110" t="str">
        <f>IFERROR(VLOOKUP(B56,'02. MM-KLH'!$B$6:$T$823,13,0),"")</f>
        <v>KUBOTA</v>
      </c>
      <c r="O56" s="110" t="str">
        <f>IFERROR(VLOOKUP(B56,'02. MM-KLH'!$B$6:$T$823,14,0),"")</f>
        <v>NHẬT BẢN</v>
      </c>
      <c r="P56" s="101">
        <f>IFERROR(VLOOKUP(B56,'02. MM-KLH'!$B$6:$T$823,15,0),"")</f>
        <v>2015</v>
      </c>
      <c r="Q56" s="101" t="str">
        <f>IFERROR(VLOOKUP(B56,'02. MM-KLH'!$B$6:$T$823,16,0),"")</f>
        <v>U35-6</v>
      </c>
      <c r="R56" s="101" t="str">
        <f>IFERROR(VLOOKUP(B56,'02. MM-KLH'!$B$6:$T$823,17,0),"")</f>
        <v>32HP</v>
      </c>
      <c r="S56" s="110" t="str">
        <f>IFERROR(VLOOKUP(B56,'02. MM-KLH'!$B$6:$T$823,18,0),"")</f>
        <v>JKUU0356H01H60431</v>
      </c>
      <c r="T56" s="111" t="str">
        <f>IFERROR(VLOOKUP(B56,'02. MM-KLH'!$B$6:$T$823,19,0),"")</f>
        <v>7HR1204</v>
      </c>
      <c r="U56" s="863" t="s">
        <v>451</v>
      </c>
    </row>
    <row r="57" ht="28.5" customHeight="1" spans="1:21">
      <c r="A57" s="103">
        <f t="shared" si="1"/>
        <v>23</v>
      </c>
      <c r="B57" s="104" t="s">
        <v>898</v>
      </c>
      <c r="C57" s="124" t="str">
        <f>IFERROR(VLOOKUP(B57,'02. MM-KLH'!$B$6:$T$823,2,0),"")</f>
        <v>MĐ30 VCKLH(XA2-MĐA-001)</v>
      </c>
      <c r="D57" s="103" t="str">
        <f>IFERROR(VLOOKUP(B57,'02. MM-KLH'!$B$6:$T$823,3,0),"")</f>
        <v>A22-MĐA-061</v>
      </c>
      <c r="E57" s="102">
        <f>IFERROR(VLOOKUP(B57,'02. MM-KLH'!$B$6:$T$823,4,0),"")</f>
        <v>0</v>
      </c>
      <c r="F57" s="104" t="s">
        <v>3299</v>
      </c>
      <c r="G57" s="102" t="str">
        <f>IFERROR(VLOOKUP(B57,'02. MM-KLH'!$B$6:$T$823,6,0),"")</f>
        <v>Máy đào U35 bánh xích gàu 0.3m3</v>
      </c>
      <c r="H57" s="101" t="s">
        <v>3290</v>
      </c>
      <c r="I57" s="101" t="str">
        <f>IFERROR(VLOOKUP(B57,'02. MM-KLH'!$B$6:$T$823,8,0),"")</f>
        <v>CGTC AD</v>
      </c>
      <c r="J57" s="105">
        <f>IFERROR(VLOOKUP(B57,'02. MM-KLH'!$B$6:$T$823,9,0),"")</f>
        <v>45512</v>
      </c>
      <c r="K57" s="101" t="str">
        <f>IFERROR(VLOOKUP(B57,'02. MM-KLH'!$B$6:$T$823,10,0),"")</f>
        <v>Bình thường</v>
      </c>
      <c r="L57" s="107">
        <f>IFERROR(VLOOKUP(B57,'02. MM-KLH'!$B$6:$T$823,11,0),"")</f>
        <v>0.4</v>
      </c>
      <c r="M57" s="864" t="str">
        <f>IFERROR(VLOOKUP(B57,'02. MM-KLH'!$B$6:$T$823,12,0),"")</f>
        <v>ĐỀ XUẤT THANH LÝ
XN AD2 đ.chuyển qua ngày 08/08/2024 </v>
      </c>
      <c r="N57" s="110" t="str">
        <f>IFERROR(VLOOKUP(B57,'02. MM-KLH'!$B$6:$T$823,13,0),"")</f>
        <v>KUBOTA</v>
      </c>
      <c r="O57" s="110" t="str">
        <f>IFERROR(VLOOKUP(B57,'02. MM-KLH'!$B$6:$T$823,14,0),"")</f>
        <v>NHẬT BẢN</v>
      </c>
      <c r="P57" s="101">
        <f>IFERROR(VLOOKUP(B57,'02. MM-KLH'!$B$6:$T$823,15,0),"")</f>
        <v>2015</v>
      </c>
      <c r="Q57" s="101" t="str">
        <f>IFERROR(VLOOKUP(B57,'02. MM-KLH'!$B$6:$T$823,16,0),"")</f>
        <v>U35-6</v>
      </c>
      <c r="R57" s="101" t="str">
        <f>IFERROR(VLOOKUP(B57,'02. MM-KLH'!$B$6:$T$823,17,0),"")</f>
        <v>32HP</v>
      </c>
      <c r="S57" s="110" t="str">
        <f>IFERROR(VLOOKUP(B57,'02. MM-KLH'!$B$6:$T$823,18,0),"")</f>
        <v>JKUU0356V01H60277</v>
      </c>
      <c r="T57" s="111" t="str">
        <f>IFERROR(VLOOKUP(B57,'02. MM-KLH'!$B$6:$T$823,19,0),"")</f>
        <v>7HL9269</v>
      </c>
      <c r="U57" s="863" t="s">
        <v>451</v>
      </c>
    </row>
    <row r="58" ht="36.75" customHeight="1" spans="1:21">
      <c r="A58" s="103">
        <f t="shared" si="1"/>
        <v>24</v>
      </c>
      <c r="B58" s="104" t="s">
        <v>2181</v>
      </c>
      <c r="C58" s="124" t="str">
        <f>IFERROR(VLOOKUP(B58,'02. MM-KLH'!$B$6:$T$823,2,0),"")</f>
        <v>CHT-MĐA-053</v>
      </c>
      <c r="D58" s="103" t="str">
        <f>IFERROR(VLOOKUP(B58,'02. MM-KLH'!$B$6:$T$823,3,0),"")</f>
        <v/>
      </c>
      <c r="E58" s="102">
        <f>IFERROR(VLOOKUP(B58,'02. MM-KLH'!$B$6:$T$823,4,0),"")</f>
        <v>0</v>
      </c>
      <c r="F58" s="104"/>
      <c r="G58" s="102" t="str">
        <f>IFERROR(VLOOKUP(B58,'02. MM-KLH'!$B$6:$T$823,6,0),"")</f>
        <v>Máy đào CAT 305 bánh xích gàu 0.3m3</v>
      </c>
      <c r="H58" s="101" t="s">
        <v>3290</v>
      </c>
      <c r="I58" s="101" t="str">
        <f>IFERROR(VLOOKUP(B58,'02. MM-KLH'!$B$6:$T$823,8,0),"")</f>
        <v>CGTC AD</v>
      </c>
      <c r="J58" s="105">
        <f>IFERROR(VLOOKUP(B58,'02. MM-KLH'!$B$6:$T$823,9,0),"")</f>
        <v>45446</v>
      </c>
      <c r="K58" s="101" t="str">
        <f>IFERROR(VLOOKUP(B58,'02. MM-KLH'!$B$6:$T$823,10,0),"")</f>
        <v>Bình thường</v>
      </c>
      <c r="L58" s="107">
        <f>IFERROR(VLOOKUP(B58,'02. MM-KLH'!$B$6:$T$823,11,0),"")</f>
        <v>0</v>
      </c>
      <c r="M58" s="864" t="str">
        <f>IFERROR(VLOOKUP(B58,'02. MM-KLH'!$B$6:$T$823,12,0),"")</f>
        <v>ĐỀ XUÁT THANH LÝ
XNB đ.chuyển qua ngày 25/06/2024
- CGTC ADM chuyển về lại xí nghiệp Bò gắp gỗ</v>
      </c>
      <c r="N58" s="110" t="str">
        <f>IFERROR(VLOOKUP(B58,'02. MM-KLH'!$B$6:$T$823,13,0),"")</f>
        <v>CAT</v>
      </c>
      <c r="O58" s="110" t="str">
        <f>IFERROR(VLOOKUP(B58,'02. MM-KLH'!$B$6:$T$823,14,0),"")</f>
        <v>NHẬT BẢN</v>
      </c>
      <c r="P58" s="101">
        <f>IFERROR(VLOOKUP(B58,'02. MM-KLH'!$B$6:$T$823,15,0),"")</f>
        <v>0</v>
      </c>
      <c r="Q58" s="101">
        <f>IFERROR(VLOOKUP(B58,'02. MM-KLH'!$B$6:$T$823,16,0),"")</f>
        <v>305</v>
      </c>
      <c r="R58" s="101" t="str">
        <f>IFERROR(VLOOKUP(B58,'02. MM-KLH'!$B$6:$T$823,17,0),"")</f>
        <v>42HP</v>
      </c>
      <c r="S58" s="110" t="str">
        <f>IFERROR(VLOOKUP(B58,'02. MM-KLH'!$B$6:$T$823,18,0),"")</f>
        <v>CAT00305HDCR00990</v>
      </c>
      <c r="T58" s="111" t="str">
        <f>IFERROR(VLOOKUP(B58,'02. MM-KLH'!$B$6:$T$823,19,0),"")</f>
        <v>20269B4</v>
      </c>
      <c r="U58" s="863" t="s">
        <v>451</v>
      </c>
    </row>
    <row r="59" ht="28.5" customHeight="1" spans="1:21">
      <c r="A59" s="103">
        <f t="shared" si="1"/>
        <v>25</v>
      </c>
      <c r="B59" s="124" t="s">
        <v>1642</v>
      </c>
      <c r="C59" s="124" t="str">
        <f>IFERROR(VLOOKUP(B59,'02. MM-KLH'!$B$6:$T$823,2,0),"")</f>
        <v>MĐ32-HTKLH</v>
      </c>
      <c r="D59" s="103" t="str">
        <f>IFERROR(VLOOKUP(B59,'02. MM-KLH'!$B$6:$T$823,3,0),"")</f>
        <v>ATM-A24-0099</v>
      </c>
      <c r="E59" s="102">
        <f>IFERROR(VLOOKUP(B59,'02. MM-KLH'!$B$6:$T$823,4,0),"")</f>
        <v>0</v>
      </c>
      <c r="F59" s="104" t="s">
        <v>3300</v>
      </c>
      <c r="G59" s="102" t="str">
        <f>IFERROR(VLOOKUP(B59,'02. MM-KLH'!$B$6:$T$823,6,0),"")</f>
        <v>Máy đào CAT 305 bánh xích gàu 0.3m3</v>
      </c>
      <c r="H59" s="101" t="s">
        <v>3290</v>
      </c>
      <c r="I59" s="101" t="str">
        <f>IFERROR(VLOOKUP(B59,'02. MM-KLH'!$B$6:$T$823,8,0),"")</f>
        <v>XN Chuối LP3</v>
      </c>
      <c r="J59" s="105">
        <f>IFERROR(VLOOKUP(B59,'02. MM-KLH'!$B$6:$T$823,9,0),"")</f>
        <v>45139</v>
      </c>
      <c r="K59" s="101" t="str">
        <f>IFERROR(VLOOKUP(B59,'02. MM-KLH'!$B$6:$T$823,10,0),"")</f>
        <v>Bình thường</v>
      </c>
      <c r="L59" s="107">
        <f>IFERROR(VLOOKUP(B59,'02. MM-KLH'!$B$6:$T$823,11,0),"")</f>
        <v>0.8</v>
      </c>
      <c r="M59" s="864" t="str">
        <f>IFERROR(VLOOKUP(B59,'02. MM-KLH'!$B$6:$T$823,12,0),"")</f>
        <v>ĐỀ XUẤT THANH LÝ</v>
      </c>
      <c r="N59" s="110" t="str">
        <f>IFERROR(VLOOKUP(B59,'02. MM-KLH'!$B$6:$T$823,13,0),"")</f>
        <v>CAT</v>
      </c>
      <c r="O59" s="110" t="str">
        <f>IFERROR(VLOOKUP(B59,'02. MM-KLH'!$B$6:$T$823,14,0),"")</f>
        <v>NHẬT BẢN</v>
      </c>
      <c r="P59" s="101">
        <f>IFERROR(VLOOKUP(B59,'02. MM-KLH'!$B$6:$T$823,15,0),"")</f>
        <v>2006</v>
      </c>
      <c r="Q59" s="101">
        <f>IFERROR(VLOOKUP(B59,'02. MM-KLH'!$B$6:$T$823,16,0),"")</f>
        <v>305</v>
      </c>
      <c r="R59" s="101" t="str">
        <f>IFERROR(VLOOKUP(B59,'02. MM-KLH'!$B$6:$T$823,17,0),"")</f>
        <v>40HP</v>
      </c>
      <c r="S59" s="110">
        <f>IFERROR(VLOOKUP(B59,'02. MM-KLH'!$B$6:$T$823,18,0),"")</f>
        <v>2208498</v>
      </c>
      <c r="T59" s="111" t="str">
        <f>IFERROR(VLOOKUP(B59,'02. MM-KLH'!$B$6:$T$823,19,0),"")</f>
        <v>CCN</v>
      </c>
      <c r="U59" s="863" t="s">
        <v>451</v>
      </c>
    </row>
    <row r="60" ht="28.5" customHeight="1" spans="1:21">
      <c r="A60" s="103">
        <f t="shared" si="1"/>
        <v>26</v>
      </c>
      <c r="B60" s="124" t="s">
        <v>903</v>
      </c>
      <c r="C60" s="124" t="str">
        <f>IFERROR(VLOOKUP(B60,'02. MM-KLH'!$B$6:$T$823,2,0),"")</f>
        <v>MỚI (ĐQSD)</v>
      </c>
      <c r="D60" s="103" t="str">
        <f>IFERROR(VLOOKUP(B60,'02. MM-KLH'!$B$6:$T$823,3,0),"")</f>
        <v>A23-MĐA-065</v>
      </c>
      <c r="E60" s="102">
        <f>IFERROR(VLOOKUP(B60,'02. MM-KLH'!$B$6:$T$823,4,0),"")</f>
        <v>0</v>
      </c>
      <c r="F60" s="124"/>
      <c r="G60" s="102" t="str">
        <f>IFERROR(VLOOKUP(B60,'02. MM-KLH'!$B$6:$T$823,6,0),"")</f>
        <v>Máy đào KOMATSU bánh xích gàu 0.3m3</v>
      </c>
      <c r="H60" s="101" t="s">
        <v>3290</v>
      </c>
      <c r="I60" s="101" t="str">
        <f>IFERROR(VLOOKUP(B60,'02. MM-KLH'!$B$6:$T$823,8,0),"")</f>
        <v>CGTC AD</v>
      </c>
      <c r="J60" s="105">
        <f>IFERROR(VLOOKUP(B60,'02. MM-KLH'!$B$6:$T$823,9,0),"")</f>
        <v>45963</v>
      </c>
      <c r="K60" s="101" t="str">
        <f>IFERROR(VLOOKUP(B60,'02. MM-KLH'!$B$6:$T$823,10,0),"")</f>
        <v>Bình thường</v>
      </c>
      <c r="L60" s="107">
        <f>IFERROR(VLOOKUP(B60,'02. MM-KLH'!$B$6:$T$823,11,0),"")</f>
        <v>0</v>
      </c>
      <c r="M60" s="864" t="str">
        <f>IFERROR(VLOOKUP(B60,'02. MM-KLH'!$B$6:$T$823,12,0),"")</f>
        <v>Bàn giao về XDCB ngày 11/02/2025 (Xe ở ADM)</v>
      </c>
      <c r="N60" s="110" t="str">
        <f>IFERROR(VLOOKUP(B60,'02. MM-KLH'!$B$6:$T$823,13,0),"")</f>
        <v>KOMATSU</v>
      </c>
      <c r="O60" s="110" t="str">
        <f>IFERROR(VLOOKUP(B60,'02. MM-KLH'!$B$6:$T$823,14,0),"")</f>
        <v>NHẬT BẢN</v>
      </c>
      <c r="P60" s="101">
        <f>IFERROR(VLOOKUP(B60,'02. MM-KLH'!$B$6:$T$823,15,0),"")</f>
        <v>2012</v>
      </c>
      <c r="Q60" s="101" t="str">
        <f>IFERROR(VLOOKUP(B60,'02. MM-KLH'!$B$6:$T$823,16,0),"")</f>
        <v>PC55MR-3</v>
      </c>
      <c r="R60" s="101" t="str">
        <f>IFERROR(VLOOKUP(B60,'02. MM-KLH'!$B$6:$T$823,17,0),"")</f>
        <v>40HP</v>
      </c>
      <c r="S60" s="110" t="str">
        <f>IFERROR(VLOOKUP(B60,'02. MM-KLH'!$B$6:$T$823,18,0),"")</f>
        <v>KMTPC212J04017231</v>
      </c>
      <c r="T60" s="111">
        <f>IFERROR(VLOOKUP(B60,'02. MM-KLH'!$B$6:$T$823,19,0),"")</f>
        <v>26018</v>
      </c>
      <c r="U60" s="863" t="s">
        <v>3274</v>
      </c>
    </row>
    <row r="61" ht="28.5" customHeight="1" spans="1:21">
      <c r="A61" s="103">
        <f t="shared" si="1"/>
        <v>27</v>
      </c>
      <c r="B61" s="104" t="s">
        <v>906</v>
      </c>
      <c r="C61" s="124" t="str">
        <f>IFERROR(VLOOKUP(B61,'02. MM-KLH'!$B$6:$T$823,2,0),"")</f>
        <v>MỚI (ĐQSD)</v>
      </c>
      <c r="D61" s="103" t="str">
        <f>IFERROR(VLOOKUP(B61,'02. MM-KLH'!$B$6:$T$823,3,0),"")</f>
        <v>A22-MĐA-069</v>
      </c>
      <c r="E61" s="102">
        <f>IFERROR(VLOOKUP(B61,'02. MM-KLH'!$B$6:$T$823,4,0),"")</f>
        <v>0</v>
      </c>
      <c r="F61" s="104"/>
      <c r="G61" s="102" t="str">
        <f>IFERROR(VLOOKUP(B61,'02. MM-KLH'!$B$6:$T$823,6,0),"")</f>
        <v>Máy đào KOMATSU bánh xích gàu 0.3m3</v>
      </c>
      <c r="H61" s="101" t="s">
        <v>3290</v>
      </c>
      <c r="I61" s="101" t="str">
        <f>IFERROR(VLOOKUP(B61,'02. MM-KLH'!$B$6:$T$823,8,0),"")</f>
        <v>CGTC AD</v>
      </c>
      <c r="J61" s="105">
        <f>IFERROR(VLOOKUP(B61,'02. MM-KLH'!$B$6:$T$823,9,0),"")</f>
        <v>45660</v>
      </c>
      <c r="K61" s="101" t="str">
        <f>IFERROR(VLOOKUP(B61,'02. MM-KLH'!$B$6:$T$823,10,0),"")</f>
        <v>Bình thường</v>
      </c>
      <c r="L61" s="107">
        <f>IFERROR(VLOOKUP(B61,'02. MM-KLH'!$B$6:$T$823,11,0),"")</f>
        <v>0</v>
      </c>
      <c r="M61" s="864" t="str">
        <f>IFERROR(VLOOKUP(B61,'02. MM-KLH'!$B$6:$T$823,12,0),"")</f>
        <v>Bàn giao về XDCB ngày 01/03/2025</v>
      </c>
      <c r="N61" s="110" t="str">
        <f>IFERROR(VLOOKUP(B61,'02. MM-KLH'!$B$6:$T$823,13,0),"")</f>
        <v>KOMATSU</v>
      </c>
      <c r="O61" s="110" t="str">
        <f>IFERROR(VLOOKUP(B61,'02. MM-KLH'!$B$6:$T$823,14,0),"")</f>
        <v>NHẬT BẢN</v>
      </c>
      <c r="P61" s="101">
        <f>IFERROR(VLOOKUP(B61,'02. MM-KLH'!$B$6:$T$823,15,0),"")</f>
        <v>2012</v>
      </c>
      <c r="Q61" s="101" t="str">
        <f>IFERROR(VLOOKUP(B61,'02. MM-KLH'!$B$6:$T$823,16,0),"")</f>
        <v>PC55MR-3</v>
      </c>
      <c r="R61" s="101" t="str">
        <f>IFERROR(VLOOKUP(B61,'02. MM-KLH'!$B$6:$T$823,17,0),"")</f>
        <v>40HP</v>
      </c>
      <c r="S61" s="110" t="str">
        <f>IFERROR(VLOOKUP(B61,'02. MM-KLH'!$B$6:$T$823,18,0),"")</f>
        <v>KMTPC212K04017065</v>
      </c>
      <c r="T61" s="111">
        <f>IFERROR(VLOOKUP(B61,'02. MM-KLH'!$B$6:$T$823,19,0),"")</f>
        <v>25186</v>
      </c>
      <c r="U61" s="863" t="s">
        <v>3274</v>
      </c>
    </row>
    <row r="62" ht="28.5" customHeight="1" spans="1:21">
      <c r="A62" s="103">
        <f t="shared" si="1"/>
        <v>28</v>
      </c>
      <c r="B62" s="104" t="s">
        <v>1497</v>
      </c>
      <c r="C62" s="124" t="str">
        <f>IFERROR(VLOOKUP(B62,'02. MM-KLH'!$B$6:$T$823,2,0),"")</f>
        <v>MỚI (ĐQSD)</v>
      </c>
      <c r="D62" s="103" t="str">
        <f>IFERROR(VLOOKUP(B62,'02. MM-KLH'!$B$6:$T$823,3,0),"")</f>
        <v>A24-MĐA-066</v>
      </c>
      <c r="E62" s="102">
        <f>IFERROR(VLOOKUP(B62,'02. MM-KLH'!$B$6:$T$823,4,0),"")</f>
        <v>0</v>
      </c>
      <c r="F62" s="104"/>
      <c r="G62" s="102" t="str">
        <f>IFERROR(VLOOKUP(B62,'02. MM-KLH'!$B$6:$T$823,6,0),"")</f>
        <v>Máy đào KOMATSU bánh xích gàu 0.3m3</v>
      </c>
      <c r="H62" s="101"/>
      <c r="I62" s="101" t="str">
        <f>IFERROR(VLOOKUP(B62,'02. MM-KLH'!$B$6:$T$823,8,0),"")</f>
        <v>XN Chuối LP1</v>
      </c>
      <c r="J62" s="105" t="str">
        <f>IFERROR(VLOOKUP(B62,'02. MM-KLH'!$B$6:$T$823,9,0),"")</f>
        <v>27/07/2025</v>
      </c>
      <c r="K62" s="101" t="str">
        <f>IFERROR(VLOOKUP(B62,'02. MM-KLH'!$B$6:$T$823,10,0),"")</f>
        <v>Bình thường</v>
      </c>
      <c r="L62" s="107">
        <f>IFERROR(VLOOKUP(B62,'02. MM-KLH'!$B$6:$T$823,11,0),"")</f>
        <v>0</v>
      </c>
      <c r="M62" s="864" t="str">
        <f>IFERROR(VLOOKUP(B62,'02. MM-KLH'!$B$6:$T$823,12,0),"")</f>
        <v>- CGTC LP bàn giao ngày 29/07/2025
- Đầu tư mới (ĐQSD)</v>
      </c>
      <c r="N62" s="110" t="str">
        <f>IFERROR(VLOOKUP(B62,'02. MM-KLH'!$B$6:$T$823,13,0),"")</f>
        <v>KOMATSU</v>
      </c>
      <c r="O62" s="110" t="str">
        <f>IFERROR(VLOOKUP(B62,'02. MM-KLH'!$B$6:$T$823,14,0),"")</f>
        <v>NHẬT BẢN</v>
      </c>
      <c r="P62" s="101">
        <f>IFERROR(VLOOKUP(B62,'02. MM-KLH'!$B$6:$T$823,15,0),"")</f>
        <v>2013</v>
      </c>
      <c r="Q62" s="101" t="str">
        <f>IFERROR(VLOOKUP(B62,'02. MM-KLH'!$B$6:$T$823,16,0),"")</f>
        <v>PC40MR-3</v>
      </c>
      <c r="R62" s="101" t="str">
        <f>IFERROR(VLOOKUP(B62,'02. MM-KLH'!$B$6:$T$823,17,0),"")</f>
        <v>39HP</v>
      </c>
      <c r="S62" s="110" t="str">
        <f>IFERROR(VLOOKUP(B62,'02. MM-KLH'!$B$6:$T$823,18,0),"")</f>
        <v>KMTPC203C04021039</v>
      </c>
      <c r="T62" s="111">
        <f>IFERROR(VLOOKUP(B62,'02. MM-KLH'!$B$6:$T$823,19,0),"")</f>
        <v>27539</v>
      </c>
      <c r="U62" s="863" t="s">
        <v>3274</v>
      </c>
    </row>
    <row r="63" ht="28.5" customHeight="1" spans="1:21">
      <c r="A63" s="103">
        <f t="shared" si="1"/>
        <v>29</v>
      </c>
      <c r="B63" s="104" t="s">
        <v>1502</v>
      </c>
      <c r="C63" s="124" t="str">
        <f>IFERROR(VLOOKUP(B63,'02. MM-KLH'!$B$6:$T$823,2,0),"")</f>
        <v>MỚI (ĐQSD)</v>
      </c>
      <c r="D63" s="103" t="str">
        <f>IFERROR(VLOOKUP(B63,'02. MM-KLH'!$B$6:$T$823,3,0),"")</f>
        <v>A24-MĐA-067</v>
      </c>
      <c r="E63" s="102">
        <f>IFERROR(VLOOKUP(B63,'02. MM-KLH'!$B$6:$T$823,4,0),"")</f>
        <v>0</v>
      </c>
      <c r="F63" s="104"/>
      <c r="G63" s="102" t="str">
        <f>IFERROR(VLOOKUP(B63,'02. MM-KLH'!$B$6:$T$823,6,0),"")</f>
        <v>Máy đào KOMATSU bánh xích gàu 0.3m3</v>
      </c>
      <c r="H63" s="101"/>
      <c r="I63" s="101" t="str">
        <f>IFERROR(VLOOKUP(B63,'02. MM-KLH'!$B$6:$T$823,8,0),"")</f>
        <v>XN Chuối LP1</v>
      </c>
      <c r="J63" s="105" t="str">
        <f>IFERROR(VLOOKUP(B63,'02. MM-KLH'!$B$6:$T$823,9,0),"")</f>
        <v>27/07/2025</v>
      </c>
      <c r="K63" s="101" t="str">
        <f>IFERROR(VLOOKUP(B63,'02. MM-KLH'!$B$6:$T$823,10,0),"")</f>
        <v>Bình thường</v>
      </c>
      <c r="L63" s="107">
        <f>IFERROR(VLOOKUP(B63,'02. MM-KLH'!$B$6:$T$823,11,0),"")</f>
        <v>0</v>
      </c>
      <c r="M63" s="864" t="str">
        <f>IFERROR(VLOOKUP(B63,'02. MM-KLH'!$B$6:$T$823,12,0),"")</f>
        <v>- CGTC LP bàn giao ngày 29/07/2025
- Đầu tư mới (ĐQSD)</v>
      </c>
      <c r="N63" s="110" t="str">
        <f>IFERROR(VLOOKUP(B63,'02. MM-KLH'!$B$6:$T$823,13,0),"")</f>
        <v>KOMATSU</v>
      </c>
      <c r="O63" s="110" t="str">
        <f>IFERROR(VLOOKUP(B63,'02. MM-KLH'!$B$6:$T$823,14,0),"")</f>
        <v>NHẬT BẢN</v>
      </c>
      <c r="P63" s="101">
        <f>IFERROR(VLOOKUP(B63,'02. MM-KLH'!$B$6:$T$823,15,0),"")</f>
        <v>2013</v>
      </c>
      <c r="Q63" s="101" t="str">
        <f>IFERROR(VLOOKUP(B63,'02. MM-KLH'!$B$6:$T$823,16,0),"")</f>
        <v>PC40MR-3</v>
      </c>
      <c r="R63" s="101" t="str">
        <f>IFERROR(VLOOKUP(B63,'02. MM-KLH'!$B$6:$T$823,17,0),"")</f>
        <v>39HP</v>
      </c>
      <c r="S63" s="110" t="str">
        <f>IFERROR(VLOOKUP(B63,'02. MM-KLH'!$B$6:$T$823,18,0),"")</f>
        <v>KMTPC203E04021413</v>
      </c>
      <c r="T63" s="111">
        <f>IFERROR(VLOOKUP(B63,'02. MM-KLH'!$B$6:$T$823,19,0),"")</f>
        <v>29346</v>
      </c>
      <c r="U63" s="863" t="s">
        <v>3274</v>
      </c>
    </row>
    <row r="64" ht="13.8" spans="1:21">
      <c r="B64" s="663"/>
      <c r="D64" s="103" t="str">
        <f>IFERROR(VLOOKUP(B64,'02. MM-KLH'!$B$6:$T$823,3,0),"")</f>
        <v/>
      </c>
      <c r="E64" s="102" t="str">
        <f>IFERROR(VLOOKUP(B64,'02. MM-KLH'!$B$6:$T$823,4,0),"")</f>
        <v/>
      </c>
      <c r="G64" s="102" t="str">
        <f>IFERROR(VLOOKUP(B64,'02. MM-KLH'!$B$6:$T$823,6,0),"")</f>
        <v/>
      </c>
      <c r="I64" s="101" t="str">
        <f>IFERROR(VLOOKUP(B64,'02. MM-KLH'!$B$6:$T$823,8,0),"")</f>
        <v/>
      </c>
      <c r="J64" s="105" t="str">
        <f>IFERROR(VLOOKUP(B64,'02. MM-KLH'!$B$6:$T$823,9,0),"")</f>
        <v/>
      </c>
      <c r="K64" s="101" t="str">
        <f>IFERROR(VLOOKUP(B64,'02. MM-KLH'!$B$6:$T$823,10,0),"")</f>
        <v/>
      </c>
      <c r="L64" s="107" t="str">
        <f>IFERROR(VLOOKUP(B64,'02. MM-KLH'!$B$6:$T$823,11,0),"")</f>
        <v/>
      </c>
      <c r="M64" s="864" t="str">
        <f>IFERROR(VLOOKUP(B64,'02. MM-KLH'!$B$6:$T$823,12,0),"")</f>
        <v/>
      </c>
      <c r="N64" s="110" t="str">
        <f>IFERROR(VLOOKUP(B64,'02. MM-KLH'!$B$6:$T$823,13,0),"")</f>
        <v/>
      </c>
      <c r="O64" s="110" t="str">
        <f>IFERROR(VLOOKUP(B64,'02. MM-KLH'!$B$6:$T$823,14,0),"")</f>
        <v/>
      </c>
      <c r="P64" s="101" t="str">
        <f>IFERROR(VLOOKUP(B64,'02. MM-KLH'!$B$6:$T$823,15,0),"")</f>
        <v/>
      </c>
      <c r="Q64" s="101" t="str">
        <f>IFERROR(VLOOKUP(B64,'02. MM-KLH'!$B$6:$T$823,16,0),"")</f>
        <v/>
      </c>
      <c r="R64" s="101" t="str">
        <f>IFERROR(VLOOKUP(B64,'02. MM-KLH'!$B$6:$T$823,17,0),"")</f>
        <v/>
      </c>
      <c r="S64" s="110" t="str">
        <f>IFERROR(VLOOKUP(B64,'02. MM-KLH'!$B$6:$T$823,18,0),"")</f>
        <v/>
      </c>
      <c r="T64" s="111" t="str">
        <f>IFERROR(VLOOKUP(B64,'02. MM-KLH'!$B$6:$T$823,19,0),"")</f>
        <v/>
      </c>
      <c r="U64" s="111" t="str">
        <f>IFERROR(VLOOKUP(C64,'02. MM-KLH'!$B$6:$T$823,19,0),"")</f>
        <v/>
      </c>
    </row>
    <row r="65" ht="13.5" customHeight="1" spans="1:21">
      <c r="A65" s="847" t="s">
        <v>290</v>
      </c>
      <c r="B65" s="848" t="s">
        <v>3301</v>
      </c>
      <c r="C65" s="849">
        <f>COUNTA(B66:B82)</f>
        <v>15</v>
      </c>
      <c r="D65" s="849" t="str">
        <f>IFERROR(VLOOKUP(B65,'02. MM-KLH'!$B$6:$T$823,3,0),"")</f>
        <v/>
      </c>
      <c r="E65" s="849" t="str">
        <f>IFERROR(VLOOKUP(B65,'02. MM-KLH'!$B$6:$T$823,4,0),"")</f>
        <v/>
      </c>
      <c r="F65" s="849"/>
      <c r="G65" s="849" t="str">
        <f>IFERROR(VLOOKUP(B65,'02. MM-KLH'!$B$6:$T$823,6,0),"")</f>
        <v/>
      </c>
      <c r="H65" s="849"/>
      <c r="I65" s="849" t="str">
        <f>IFERROR(VLOOKUP(B65,'02. MM-KLH'!$B$6:$T$823,8,0),"")</f>
        <v/>
      </c>
      <c r="J65" s="849" t="str">
        <f>IFERROR(VLOOKUP(B65,'02. MM-KLH'!$B$6:$T$823,9,0),"")</f>
        <v/>
      </c>
      <c r="K65" s="849" t="str">
        <f>IFERROR(VLOOKUP(B65,'02. MM-KLH'!$B$6:$T$823,10,0),"")</f>
        <v/>
      </c>
      <c r="L65" s="849" t="str">
        <f>IFERROR(VLOOKUP(B65,'02. MM-KLH'!$B$6:$T$823,11,0),"")</f>
        <v/>
      </c>
      <c r="M65" s="849" t="str">
        <f>IFERROR(VLOOKUP(B65,'02. MM-KLH'!$B$6:$T$823,12,0),"")</f>
        <v/>
      </c>
      <c r="N65" s="849" t="str">
        <f>IFERROR(VLOOKUP(B65,'02. MM-KLH'!$B$6:$T$823,13,0),"")</f>
        <v/>
      </c>
      <c r="O65" s="849" t="str">
        <f>IFERROR(VLOOKUP(B65,'02. MM-KLH'!$B$6:$T$823,14,0),"")</f>
        <v/>
      </c>
      <c r="P65" s="849" t="str">
        <f>IFERROR(VLOOKUP(B65,'02. MM-KLH'!$B$6:$T$823,15,0),"")</f>
        <v/>
      </c>
      <c r="Q65" s="849" t="str">
        <f>IFERROR(VLOOKUP(B65,'02. MM-KLH'!$B$6:$T$823,16,0),"")</f>
        <v/>
      </c>
      <c r="R65" s="849" t="str">
        <f>IFERROR(VLOOKUP(B65,'02. MM-KLH'!$B$6:$T$823,17,0),"")</f>
        <v/>
      </c>
      <c r="S65" s="849" t="str">
        <f>IFERROR(VLOOKUP(B65,'02. MM-KLH'!$B$6:$T$823,18,0),"")</f>
        <v/>
      </c>
      <c r="T65" s="849" t="str">
        <f>IFERROR(VLOOKUP(B65,'02. MM-KLH'!$B$6:$T$823,19,0),"")</f>
        <v/>
      </c>
      <c r="U65" s="849" t="str">
        <f>IFERROR(VLOOKUP(C65,'02. MM-KLH'!$B$6:$T$823,19,0),"")</f>
        <v/>
      </c>
    </row>
    <row r="66" ht="13.5" customHeight="1" spans="1:21">
      <c r="A66" s="101">
        <v>1</v>
      </c>
      <c r="B66" s="104" t="s">
        <v>479</v>
      </c>
      <c r="C66" s="104">
        <f>IFERROR(VLOOKUP(B66,'02. MM-KLH'!$B$6:$T$823,2,0),"")</f>
        <v>0</v>
      </c>
      <c r="D66" s="103" t="str">
        <f>IFERROR(VLOOKUP(B66,'02. MM-KLH'!$B$6:$T$823,3,0),"")</f>
        <v>ATT-A23-0027</v>
      </c>
      <c r="E66" s="102">
        <f>IFERROR(VLOOKUP(B66,'02. MM-KLH'!$B$6:$T$823,4,0),"")</f>
        <v>0</v>
      </c>
      <c r="F66" s="104" t="s">
        <v>3302</v>
      </c>
      <c r="G66" s="102" t="str">
        <f>IFERROR(VLOOKUP(B66,'02. MM-KLH'!$B$6:$T$823,6,0),"")</f>
        <v>Máy ủi KOMATSU D31PX</v>
      </c>
      <c r="H66" s="101" t="s">
        <v>3303</v>
      </c>
      <c r="I66" s="101" t="str">
        <f>IFERROR(VLOOKUP(B66,'02. MM-KLH'!$B$6:$T$823,8,0),"")</f>
        <v>CGTC DP</v>
      </c>
      <c r="J66" s="105">
        <f>IFERROR(VLOOKUP(B66,'02. MM-KLH'!$B$6:$T$823,9,0),"")</f>
        <v>43952</v>
      </c>
      <c r="K66" s="101" t="str">
        <f>IFERROR(VLOOKUP(B66,'02. MM-KLH'!$B$6:$T$823,10,0),"")</f>
        <v>Bình thường</v>
      </c>
      <c r="L66" s="107">
        <f>IFERROR(VLOOKUP(B66,'02. MM-KLH'!$B$6:$T$823,11,0),"")</f>
        <v>0</v>
      </c>
      <c r="M66" s="864">
        <f>IFERROR(VLOOKUP(B66,'02. MM-KLH'!$B$6:$T$823,12,0),"")</f>
        <v>0</v>
      </c>
      <c r="N66" s="110" t="str">
        <f>IFERROR(VLOOKUP(B66,'02. MM-KLH'!$B$6:$T$823,13,0),"")</f>
        <v>KOMATSU</v>
      </c>
      <c r="O66" s="110" t="str">
        <f>IFERROR(VLOOKUP(B66,'02. MM-KLH'!$B$6:$T$823,14,0),"")</f>
        <v>NHẬT BẢN</v>
      </c>
      <c r="P66" s="101">
        <f>IFERROR(VLOOKUP(B66,'02. MM-KLH'!$B$6:$T$823,15,0),"")</f>
        <v>1997</v>
      </c>
      <c r="Q66" s="101" t="str">
        <f>IFERROR(VLOOKUP(B66,'02. MM-KLH'!$B$6:$T$823,16,0),"")</f>
        <v>D31PX</v>
      </c>
      <c r="R66" s="101" t="str">
        <f>IFERROR(VLOOKUP(B66,'02. MM-KLH'!$B$6:$T$823,17,0),"")</f>
        <v>80HP</v>
      </c>
      <c r="S66" s="110" t="str">
        <f>IFERROR(VLOOKUP(B66,'02. MM-KLH'!$B$6:$T$823,18,0),"")</f>
        <v>KMT0D007V0151352</v>
      </c>
      <c r="T66" s="111" t="str">
        <f>IFERROR(VLOOKUP(B66,'02. MM-KLH'!$B$6:$T$823,19,0),"")</f>
        <v>CCN</v>
      </c>
      <c r="U66" s="863" t="s">
        <v>451</v>
      </c>
    </row>
    <row r="67" ht="13.5" customHeight="1" spans="1:21">
      <c r="A67" s="103">
        <f t="shared" ref="A67:A80" si="2">A66+1</f>
        <v>2</v>
      </c>
      <c r="B67" s="104" t="s">
        <v>820</v>
      </c>
      <c r="C67" s="104" t="str">
        <f>IFERROR(VLOOKUP(B67,'02. MM-KLH'!$B$6:$T$823,2,0),"")</f>
        <v>CHT-MUI-005</v>
      </c>
      <c r="D67" s="103" t="str">
        <f>IFERROR(VLOOKUP(B67,'02. MM-KLH'!$B$6:$T$823,3,0),"")</f>
        <v>ATT-A22-0128</v>
      </c>
      <c r="E67" s="102">
        <f>IFERROR(VLOOKUP(B67,'02. MM-KLH'!$B$6:$T$823,4,0),"")</f>
        <v>0</v>
      </c>
      <c r="F67" s="104" t="s">
        <v>3304</v>
      </c>
      <c r="G67" s="102" t="str">
        <f>IFERROR(VLOOKUP(B67,'02. MM-KLH'!$B$6:$T$823,6,0),"")</f>
        <v>Máy ủi KOMATSU D31PX</v>
      </c>
      <c r="H67" s="101" t="s">
        <v>3303</v>
      </c>
      <c r="I67" s="101" t="str">
        <f>IFERROR(VLOOKUP(B67,'02. MM-KLH'!$B$6:$T$823,8,0),"")</f>
        <v>CGTC AD</v>
      </c>
      <c r="J67" s="105">
        <f>IFERROR(VLOOKUP(B67,'02. MM-KLH'!$B$6:$T$823,9,0),"")</f>
        <v>43841</v>
      </c>
      <c r="K67" s="101" t="str">
        <f>IFERROR(VLOOKUP(B67,'02. MM-KLH'!$B$6:$T$823,10,0),"")</f>
        <v>Bình thường</v>
      </c>
      <c r="L67" s="107">
        <f>IFERROR(VLOOKUP(B67,'02. MM-KLH'!$B$6:$T$823,11,0),"")</f>
        <v>0.5</v>
      </c>
      <c r="M67" s="864" t="str">
        <f>IFERROR(VLOOKUP(B67,'02. MM-KLH'!$B$6:$T$823,12,0),"")</f>
        <v>ĐỀ XUẤT THANH LÝ</v>
      </c>
      <c r="N67" s="110" t="str">
        <f>IFERROR(VLOOKUP(B67,'02. MM-KLH'!$B$6:$T$823,13,0),"")</f>
        <v>KOMATSU</v>
      </c>
      <c r="O67" s="110" t="str">
        <f>IFERROR(VLOOKUP(B67,'02. MM-KLH'!$B$6:$T$823,14,0),"")</f>
        <v>NHẬT BẢN</v>
      </c>
      <c r="P67" s="101">
        <f>IFERROR(VLOOKUP(B67,'02. MM-KLH'!$B$6:$T$823,15,0),"")</f>
        <v>2005</v>
      </c>
      <c r="Q67" s="101" t="str">
        <f>IFERROR(VLOOKUP(B67,'02. MM-KLH'!$B$6:$T$823,16,0),"")</f>
        <v>D31PX</v>
      </c>
      <c r="R67" s="101" t="str">
        <f>IFERROR(VLOOKUP(B67,'02. MM-KLH'!$B$6:$T$823,17,0),"")</f>
        <v>80HP</v>
      </c>
      <c r="S67" s="110" t="str">
        <f>IFERROR(VLOOKUP(B67,'02. MM-KLH'!$B$6:$T$823,18,0),"")</f>
        <v>KMT0D0070E01050840</v>
      </c>
      <c r="T67" s="111" t="str">
        <f>IFERROR(VLOOKUP(B67,'02. MM-KLH'!$B$6:$T$823,19,0),"")</f>
        <v>4D10226357443</v>
      </c>
      <c r="U67" s="863" t="s">
        <v>451</v>
      </c>
    </row>
    <row r="68" ht="13.5" customHeight="1" spans="1:21">
      <c r="A68" s="103">
        <f t="shared" si="2"/>
        <v>3</v>
      </c>
      <c r="B68" s="104" t="s">
        <v>824</v>
      </c>
      <c r="C68" s="104" t="str">
        <f>IFERROR(VLOOKUP(B68,'02. MM-KLH'!$B$6:$T$823,2,0),"")</f>
        <v>CHT-MUI-006</v>
      </c>
      <c r="D68" s="103" t="str">
        <f>IFERROR(VLOOKUP(B68,'02. MM-KLH'!$B$6:$T$823,3,0),"")</f>
        <v>ATT-A22-0148</v>
      </c>
      <c r="E68" s="102">
        <f>IFERROR(VLOOKUP(B68,'02. MM-KLH'!$B$6:$T$823,4,0),"")</f>
        <v>0</v>
      </c>
      <c r="F68" s="104" t="s">
        <v>3305</v>
      </c>
      <c r="G68" s="102" t="str">
        <f>IFERROR(VLOOKUP(B68,'02. MM-KLH'!$B$6:$T$823,6,0),"")</f>
        <v>Máy ủi KOMATSU D31PX</v>
      </c>
      <c r="H68" s="101" t="s">
        <v>3303</v>
      </c>
      <c r="I68" s="101" t="str">
        <f>IFERROR(VLOOKUP(B68,'02. MM-KLH'!$B$6:$T$823,8,0),"")</f>
        <v>CGTC AD</v>
      </c>
      <c r="J68" s="105">
        <f>IFERROR(VLOOKUP(B68,'02. MM-KLH'!$B$6:$T$823,9,0),"")</f>
        <v>43841</v>
      </c>
      <c r="K68" s="101" t="str">
        <f>IFERROR(VLOOKUP(B68,'02. MM-KLH'!$B$6:$T$823,10,0),"")</f>
        <v>Bình thường</v>
      </c>
      <c r="L68" s="107">
        <f>IFERROR(VLOOKUP(B68,'02. MM-KLH'!$B$6:$T$823,11,0),"")</f>
        <v>0.5</v>
      </c>
      <c r="M68" s="864">
        <f>IFERROR(VLOOKUP(B68,'02. MM-KLH'!$B$6:$T$823,12,0),"")</f>
        <v>0</v>
      </c>
      <c r="N68" s="110" t="str">
        <f>IFERROR(VLOOKUP(B68,'02. MM-KLH'!$B$6:$T$823,13,0),"")</f>
        <v>KOMATSU</v>
      </c>
      <c r="O68" s="110" t="str">
        <f>IFERROR(VLOOKUP(B68,'02. MM-KLH'!$B$6:$T$823,14,0),"")</f>
        <v>NHẬT BẢN</v>
      </c>
      <c r="P68" s="101">
        <f>IFERROR(VLOOKUP(B68,'02. MM-KLH'!$B$6:$T$823,15,0),"")</f>
        <v>2004</v>
      </c>
      <c r="Q68" s="101" t="str">
        <f>IFERROR(VLOOKUP(B68,'02. MM-KLH'!$B$6:$T$823,16,0),"")</f>
        <v>D31PX</v>
      </c>
      <c r="R68" s="101" t="str">
        <f>IFERROR(VLOOKUP(B68,'02. MM-KLH'!$B$6:$T$823,17,0),"")</f>
        <v>80HP</v>
      </c>
      <c r="S68" s="110" t="str">
        <f>IFERROR(VLOOKUP(B68,'02. MM-KLH'!$B$6:$T$823,18,0),"")</f>
        <v>KMT0D007L01050625</v>
      </c>
      <c r="T68" s="111" t="str">
        <f>IFERROR(VLOOKUP(B68,'02. MM-KLH'!$B$6:$T$823,19,0),"")</f>
        <v>4D10226340664</v>
      </c>
      <c r="U68" s="863" t="s">
        <v>451</v>
      </c>
    </row>
    <row r="69" ht="13.5" customHeight="1" spans="1:21">
      <c r="A69" s="103">
        <f t="shared" si="2"/>
        <v>4</v>
      </c>
      <c r="B69" s="104" t="s">
        <v>696</v>
      </c>
      <c r="C69" s="104" t="str">
        <f>IFERROR(VLOOKUP(B69,'02. MM-KLH'!$B$6:$T$823,2,0),"")</f>
        <v>XU 03 HT-KLH</v>
      </c>
      <c r="D69" s="103" t="str">
        <f>IFERROR(VLOOKUP(B69,'02. MM-KLH'!$B$6:$T$823,3,0),"")</f>
        <v>ATT-A24-0056</v>
      </c>
      <c r="E69" s="102">
        <f>IFERROR(VLOOKUP(B69,'02. MM-KLH'!$B$6:$T$823,4,0),"")</f>
        <v>0</v>
      </c>
      <c r="F69" s="104" t="s">
        <v>3306</v>
      </c>
      <c r="G69" s="102" t="str">
        <f>IFERROR(VLOOKUP(B69,'02. MM-KLH'!$B$6:$T$823,6,0),"")</f>
        <v>Máy ủi KOMATSU D31PX</v>
      </c>
      <c r="H69" s="101" t="s">
        <v>3303</v>
      </c>
      <c r="I69" s="101" t="str">
        <f>IFERROR(VLOOKUP(B69,'02. MM-KLH'!$B$6:$T$823,8,0),"")</f>
        <v>CGTC LP</v>
      </c>
      <c r="J69" s="105">
        <f>IFERROR(VLOOKUP(B69,'02. MM-KLH'!$B$6:$T$823,9,0),"")</f>
        <v>44197</v>
      </c>
      <c r="K69" s="101" t="str">
        <f>IFERROR(VLOOKUP(B69,'02. MM-KLH'!$B$6:$T$823,10,0),"")</f>
        <v>Bình thường</v>
      </c>
      <c r="L69" s="107">
        <f>IFERROR(VLOOKUP(B69,'02. MM-KLH'!$B$6:$T$823,11,0),"")</f>
        <v>0.67</v>
      </c>
      <c r="M69" s="864">
        <f>IFERROR(VLOOKUP(B69,'02. MM-KLH'!$B$6:$T$823,12,0),"")</f>
        <v>0</v>
      </c>
      <c r="N69" s="110" t="str">
        <f>IFERROR(VLOOKUP(B69,'02. MM-KLH'!$B$6:$T$823,13,0),"")</f>
        <v>KOMATSU</v>
      </c>
      <c r="O69" s="110" t="str">
        <f>IFERROR(VLOOKUP(B69,'02. MM-KLH'!$B$6:$T$823,14,0),"")</f>
        <v>NHẬT BẢN</v>
      </c>
      <c r="P69" s="101">
        <f>IFERROR(VLOOKUP(B69,'02. MM-KLH'!$B$6:$T$823,15,0),"")</f>
        <v>2006</v>
      </c>
      <c r="Q69" s="101" t="str">
        <f>IFERROR(VLOOKUP(B69,'02. MM-KLH'!$B$6:$T$823,16,0),"")</f>
        <v>D31PX-21</v>
      </c>
      <c r="R69" s="101" t="str">
        <f>IFERROR(VLOOKUP(B69,'02. MM-KLH'!$B$6:$T$823,17,0),"")</f>
        <v>80HP</v>
      </c>
      <c r="S69" s="110" t="str">
        <f>IFERROR(VLOOKUP(B69,'02. MM-KLH'!$B$6:$T$823,18,0),"")</f>
        <v>KMT0D007T01051120</v>
      </c>
      <c r="T69" s="111" t="str">
        <f>IFERROR(VLOOKUP(B69,'02. MM-KLH'!$B$6:$T$823,19,0),"")</f>
        <v>4D10226384955</v>
      </c>
      <c r="U69" s="863" t="s">
        <v>451</v>
      </c>
    </row>
    <row r="70" ht="13.5" customHeight="1" spans="1:21">
      <c r="A70" s="103">
        <f t="shared" si="2"/>
        <v>5</v>
      </c>
      <c r="B70" s="104" t="s">
        <v>700</v>
      </c>
      <c r="C70" s="104" t="str">
        <f>IFERROR(VLOOKUP(B70,'02. MM-KLH'!$B$6:$T$823,2,0),"")</f>
        <v>XU 04 HT-KLH</v>
      </c>
      <c r="D70" s="103" t="str">
        <f>IFERROR(VLOOKUP(B70,'02. MM-KLH'!$B$6:$T$823,3,0),"")</f>
        <v>ATT-A24-0048</v>
      </c>
      <c r="E70" s="102">
        <f>IFERROR(VLOOKUP(B70,'02. MM-KLH'!$B$6:$T$823,4,0),"")</f>
        <v>0</v>
      </c>
      <c r="F70" s="104" t="s">
        <v>3307</v>
      </c>
      <c r="G70" s="102" t="str">
        <f>IFERROR(VLOOKUP(B70,'02. MM-KLH'!$B$6:$T$823,6,0),"")</f>
        <v>Máy ủi KOMATSU D31PX</v>
      </c>
      <c r="H70" s="101" t="s">
        <v>3303</v>
      </c>
      <c r="I70" s="101" t="str">
        <f>IFERROR(VLOOKUP(B70,'02. MM-KLH'!$B$6:$T$823,8,0),"")</f>
        <v>CGTC LP</v>
      </c>
      <c r="J70" s="105">
        <f>IFERROR(VLOOKUP(B70,'02. MM-KLH'!$B$6:$T$823,9,0),"")</f>
        <v>44197</v>
      </c>
      <c r="K70" s="101" t="str">
        <f>IFERROR(VLOOKUP(B70,'02. MM-KLH'!$B$6:$T$823,10,0),"")</f>
        <v>Bình thường</v>
      </c>
      <c r="L70" s="107">
        <f>IFERROR(VLOOKUP(B70,'02. MM-KLH'!$B$6:$T$823,11,0),"")</f>
        <v>0.6</v>
      </c>
      <c r="M70" s="864">
        <f>IFERROR(VLOOKUP(B70,'02. MM-KLH'!$B$6:$T$823,12,0),"")</f>
        <v>0</v>
      </c>
      <c r="N70" s="110" t="str">
        <f>IFERROR(VLOOKUP(B70,'02. MM-KLH'!$B$6:$T$823,13,0),"")</f>
        <v>KOMATSU</v>
      </c>
      <c r="O70" s="110" t="str">
        <f>IFERROR(VLOOKUP(B70,'02. MM-KLH'!$B$6:$T$823,14,0),"")</f>
        <v>NHẬT BẢN</v>
      </c>
      <c r="P70" s="101">
        <f>IFERROR(VLOOKUP(B70,'02. MM-KLH'!$B$6:$T$823,15,0),"")</f>
        <v>2008</v>
      </c>
      <c r="Q70" s="101" t="str">
        <f>IFERROR(VLOOKUP(B70,'02. MM-KLH'!$B$6:$T$823,16,0),"")</f>
        <v>D31PX-21</v>
      </c>
      <c r="R70" s="101" t="str">
        <f>IFERROR(VLOOKUP(B70,'02. MM-KLH'!$B$6:$T$823,17,0),"")</f>
        <v>80HP</v>
      </c>
      <c r="S70" s="110" t="str">
        <f>IFERROR(VLOOKUP(B70,'02. MM-KLH'!$B$6:$T$823,18,0),"")</f>
        <v>KMT0D007C01051611</v>
      </c>
      <c r="T70" s="111" t="str">
        <f>IFERROR(VLOOKUP(B70,'02. MM-KLH'!$B$6:$T$823,19,0),"")</f>
        <v>4D10226427091</v>
      </c>
      <c r="U70" s="863" t="s">
        <v>451</v>
      </c>
    </row>
    <row r="71" ht="13.5" customHeight="1" spans="1:21">
      <c r="A71" s="103">
        <f t="shared" si="2"/>
        <v>6</v>
      </c>
      <c r="B71" s="104" t="s">
        <v>832</v>
      </c>
      <c r="C71" s="104" t="str">
        <f>IFERROR(VLOOKUP(B71,'02. MM-KLH'!$B$6:$T$823,2,0),"")</f>
        <v>CHT-MUI-008</v>
      </c>
      <c r="D71" s="103" t="str">
        <f>IFERROR(VLOOKUP(B71,'02. MM-KLH'!$B$6:$T$823,3,0),"")</f>
        <v>ATT-A22-0169</v>
      </c>
      <c r="E71" s="102">
        <f>IFERROR(VLOOKUP(B71,'02. MM-KLH'!$B$6:$T$823,4,0),"")</f>
        <v>0</v>
      </c>
      <c r="F71" s="104" t="s">
        <v>3308</v>
      </c>
      <c r="G71" s="102" t="str">
        <f>IFERROR(VLOOKUP(B71,'02. MM-KLH'!$B$6:$T$823,6,0),"")</f>
        <v>Máy ủi KOMATSU D31PX</v>
      </c>
      <c r="H71" s="101" t="s">
        <v>3303</v>
      </c>
      <c r="I71" s="101" t="str">
        <f>IFERROR(VLOOKUP(B71,'02. MM-KLH'!$B$6:$T$823,8,0),"")</f>
        <v>CGTC AD</v>
      </c>
      <c r="J71" s="105">
        <f>IFERROR(VLOOKUP(B71,'02. MM-KLH'!$B$6:$T$823,9,0),"")</f>
        <v>44198</v>
      </c>
      <c r="K71" s="101" t="str">
        <f>IFERROR(VLOOKUP(B71,'02. MM-KLH'!$B$6:$T$823,10,0),"")</f>
        <v>Bình thường</v>
      </c>
      <c r="L71" s="107">
        <f>IFERROR(VLOOKUP(B71,'02. MM-KLH'!$B$6:$T$823,11,0),"")</f>
        <v>0.68</v>
      </c>
      <c r="M71" s="864">
        <f>IFERROR(VLOOKUP(B71,'02. MM-KLH'!$B$6:$T$823,12,0),"")</f>
        <v>0</v>
      </c>
      <c r="N71" s="110" t="str">
        <f>IFERROR(VLOOKUP(B71,'02. MM-KLH'!$B$6:$T$823,13,0),"")</f>
        <v>KOMATSU</v>
      </c>
      <c r="O71" s="110" t="str">
        <f>IFERROR(VLOOKUP(B71,'02. MM-KLH'!$B$6:$T$823,14,0),"")</f>
        <v>NHẬT BẢN</v>
      </c>
      <c r="P71" s="101">
        <f>IFERROR(VLOOKUP(B71,'02. MM-KLH'!$B$6:$T$823,15,0),"")</f>
        <v>2006</v>
      </c>
      <c r="Q71" s="101" t="str">
        <f>IFERROR(VLOOKUP(B71,'02. MM-KLH'!$B$6:$T$823,16,0),"")</f>
        <v>D31PX-21</v>
      </c>
      <c r="R71" s="101" t="str">
        <f>IFERROR(VLOOKUP(B71,'02. MM-KLH'!$B$6:$T$823,17,0),"")</f>
        <v>75HP</v>
      </c>
      <c r="S71" s="110" t="str">
        <f>IFERROR(VLOOKUP(B71,'02. MM-KLH'!$B$6:$T$823,18,0),"")</f>
        <v>KMT0D007P01051250</v>
      </c>
      <c r="T71" s="111" t="str">
        <f>IFERROR(VLOOKUP(B71,'02. MM-KLH'!$B$6:$T$823,19,0),"")</f>
        <v>4D10226392645</v>
      </c>
      <c r="U71" s="863" t="s">
        <v>451</v>
      </c>
    </row>
    <row r="72" ht="13.5" customHeight="1" spans="1:21">
      <c r="A72" s="103">
        <f t="shared" si="2"/>
        <v>7</v>
      </c>
      <c r="B72" s="124" t="s">
        <v>611</v>
      </c>
      <c r="C72" s="104" t="str">
        <f>IFERROR(VLOOKUP(B72,'02. MM-KLH'!$B$6:$T$823,2,0),"")</f>
        <v>MỚI (ĐQSD)</v>
      </c>
      <c r="D72" s="103" t="str">
        <f>IFERROR(VLOOKUP(B72,'02. MM-KLH'!$B$6:$T$823,3,0),"")</f>
        <v>A23-MUI-011</v>
      </c>
      <c r="E72" s="102">
        <f>IFERROR(VLOOKUP(B72,'02. MM-KLH'!$B$6:$T$823,4,0),"")</f>
        <v>0</v>
      </c>
      <c r="F72" s="124"/>
      <c r="G72" s="102" t="str">
        <f>IFERROR(VLOOKUP(B72,'02. MM-KLH'!$B$6:$T$823,6,0),"")</f>
        <v>Máy ủi KOMATSU D31PX</v>
      </c>
      <c r="H72" s="101" t="s">
        <v>3303</v>
      </c>
      <c r="I72" s="101" t="str">
        <f>IFERROR(VLOOKUP(B72,'02. MM-KLH'!$B$6:$T$823,8,0),"")</f>
        <v>CGTC DP</v>
      </c>
      <c r="J72" s="105">
        <f>IFERROR(VLOOKUP(B72,'02. MM-KLH'!$B$6:$T$823,9,0),"")</f>
        <v>45963</v>
      </c>
      <c r="K72" s="101" t="str">
        <f>IFERROR(VLOOKUP(B72,'02. MM-KLH'!$B$6:$T$823,10,0),"")</f>
        <v>Bình thường</v>
      </c>
      <c r="L72" s="107">
        <f>IFERROR(VLOOKUP(B72,'02. MM-KLH'!$B$6:$T$823,11,0),"")</f>
        <v>0</v>
      </c>
      <c r="M72" s="864" t="str">
        <f>IFERROR(VLOOKUP(B72,'02. MM-KLH'!$B$6:$T$823,12,0),"")</f>
        <v>Bàn giao về XDCB ngày 11/02/2025</v>
      </c>
      <c r="N72" s="110" t="str">
        <f>IFERROR(VLOOKUP(B72,'02. MM-KLH'!$B$6:$T$823,13,0),"")</f>
        <v>KOMATSU</v>
      </c>
      <c r="O72" s="110" t="str">
        <f>IFERROR(VLOOKUP(B72,'02. MM-KLH'!$B$6:$T$823,14,0),"")</f>
        <v>NHẬT BẢN</v>
      </c>
      <c r="P72" s="101">
        <f>IFERROR(VLOOKUP(B72,'02. MM-KLH'!$B$6:$T$823,15,0),"")</f>
        <v>2003</v>
      </c>
      <c r="Q72" s="101" t="str">
        <f>IFERROR(VLOOKUP(B72,'02. MM-KLH'!$B$6:$T$823,16,0),"")</f>
        <v>D31PX-21</v>
      </c>
      <c r="R72" s="101" t="str">
        <f>IFERROR(VLOOKUP(B72,'02. MM-KLH'!$B$6:$T$823,17,0),"")</f>
        <v>76HP</v>
      </c>
      <c r="S72" s="110" t="str">
        <f>IFERROR(VLOOKUP(B72,'02. MM-KLH'!$B$6:$T$823,18,0),"")</f>
        <v>D31PX2150296</v>
      </c>
      <c r="T72" s="111" t="str">
        <f>IFERROR(VLOOKUP(B72,'02. MM-KLH'!$B$6:$T$823,19,0),"")</f>
        <v>4D10226319872</v>
      </c>
      <c r="U72" s="863" t="s">
        <v>3274</v>
      </c>
    </row>
    <row r="73" ht="13.5" customHeight="1" spans="1:21">
      <c r="A73" s="103">
        <f t="shared" si="2"/>
        <v>8</v>
      </c>
      <c r="B73" s="124" t="s">
        <v>835</v>
      </c>
      <c r="C73" s="104" t="str">
        <f>IFERROR(VLOOKUP(B73,'02. MM-KLH'!$B$6:$T$823,2,0),"")</f>
        <v>MỚI (ĐQSD)</v>
      </c>
      <c r="D73" s="103" t="str">
        <f>IFERROR(VLOOKUP(B73,'02. MM-KLH'!$B$6:$T$823,3,0),"")</f>
        <v>A23-MUI-012</v>
      </c>
      <c r="E73" s="102">
        <f>IFERROR(VLOOKUP(B73,'02. MM-KLH'!$B$6:$T$823,4,0),"")</f>
        <v>0</v>
      </c>
      <c r="F73" s="124"/>
      <c r="G73" s="102" t="str">
        <f>IFERROR(VLOOKUP(B73,'02. MM-KLH'!$B$6:$T$823,6,0),"")</f>
        <v>Máy ủi KOMATSU D31PX</v>
      </c>
      <c r="H73" s="101" t="s">
        <v>3303</v>
      </c>
      <c r="I73" s="101" t="str">
        <f>IFERROR(VLOOKUP(B73,'02. MM-KLH'!$B$6:$T$823,8,0),"")</f>
        <v>CGTC AD</v>
      </c>
      <c r="J73" s="105">
        <f>IFERROR(VLOOKUP(B73,'02. MM-KLH'!$B$6:$T$823,9,0),"")</f>
        <v>45963</v>
      </c>
      <c r="K73" s="101" t="str">
        <f>IFERROR(VLOOKUP(B73,'02. MM-KLH'!$B$6:$T$823,10,0),"")</f>
        <v>Bình thường</v>
      </c>
      <c r="L73" s="107">
        <f>IFERROR(VLOOKUP(B73,'02. MM-KLH'!$B$6:$T$823,11,0),"")</f>
        <v>0</v>
      </c>
      <c r="M73" s="864" t="str">
        <f>IFERROR(VLOOKUP(B73,'02. MM-KLH'!$B$6:$T$823,12,0),"")</f>
        <v>Bàn giao về XDCB ngày 11/02/2025 (Xe ở ADM)</v>
      </c>
      <c r="N73" s="110" t="str">
        <f>IFERROR(VLOOKUP(B73,'02. MM-KLH'!$B$6:$T$823,13,0),"")</f>
        <v>KOMATSU</v>
      </c>
      <c r="O73" s="110" t="str">
        <f>IFERROR(VLOOKUP(B73,'02. MM-KLH'!$B$6:$T$823,14,0),"")</f>
        <v>NHẬT BẢN</v>
      </c>
      <c r="P73" s="101">
        <f>IFERROR(VLOOKUP(B73,'02. MM-KLH'!$B$6:$T$823,15,0),"")</f>
        <v>2006</v>
      </c>
      <c r="Q73" s="101" t="str">
        <f>IFERROR(VLOOKUP(B73,'02. MM-KLH'!$B$6:$T$823,16,0),"")</f>
        <v>D31PX-21</v>
      </c>
      <c r="R73" s="101" t="str">
        <f>IFERROR(VLOOKUP(B73,'02. MM-KLH'!$B$6:$T$823,17,0),"")</f>
        <v>76HP</v>
      </c>
      <c r="S73" s="110" t="str">
        <f>IFERROR(VLOOKUP(B73,'02. MM-KLH'!$B$6:$T$823,18,0),"")</f>
        <v>KMT0D007T01051313</v>
      </c>
      <c r="T73" s="111" t="str">
        <f>IFERROR(VLOOKUP(B73,'02. MM-KLH'!$B$6:$T$823,19,0),"")</f>
        <v>4D10226397126</v>
      </c>
      <c r="U73" s="863" t="s">
        <v>3274</v>
      </c>
    </row>
    <row r="74" ht="13.5" customHeight="1" spans="1:21">
      <c r="A74" s="103">
        <f t="shared" si="2"/>
        <v>9</v>
      </c>
      <c r="B74" s="124" t="s">
        <v>809</v>
      </c>
      <c r="C74" s="104" t="str">
        <f>IFERROR(VLOOKUP(B74,'02. MM-KLH'!$B$6:$T$823,2,0),"")</f>
        <v>MỚI (ĐQSD)</v>
      </c>
      <c r="D74" s="103" t="str">
        <f>IFERROR(VLOOKUP(B74,'02. MM-KLH'!$B$6:$T$823,3,0),"")</f>
        <v>A24-MUI-014</v>
      </c>
      <c r="E74" s="102">
        <f>IFERROR(VLOOKUP(B74,'02. MM-KLH'!$B$6:$T$823,4,0),"")</f>
        <v>0</v>
      </c>
      <c r="F74" s="124"/>
      <c r="G74" s="102" t="str">
        <f>IFERROR(VLOOKUP(B74,'02. MM-KLH'!$B$6:$T$823,6,0),"")</f>
        <v>Máy ủi KOMATSU D31PX-21</v>
      </c>
      <c r="H74" s="101" t="s">
        <v>3309</v>
      </c>
      <c r="I74" s="101" t="str">
        <f>IFERROR(VLOOKUP(B74,'02. MM-KLH'!$B$6:$T$823,8,0),"")</f>
        <v>CGTC LP</v>
      </c>
      <c r="J74" s="105" t="str">
        <f>IFERROR(VLOOKUP(B74,'02. MM-KLH'!$B$6:$T$823,9,0),"")</f>
        <v>26/07/2025</v>
      </c>
      <c r="K74" s="101" t="str">
        <f>IFERROR(VLOOKUP(B74,'02. MM-KLH'!$B$6:$T$823,10,0),"")</f>
        <v>Bình thường</v>
      </c>
      <c r="L74" s="107">
        <f>IFERROR(VLOOKUP(B74,'02. MM-KLH'!$B$6:$T$823,11,0),"")</f>
        <v>0</v>
      </c>
      <c r="M74" s="864" t="str">
        <f>IFERROR(VLOOKUP(B74,'02. MM-KLH'!$B$6:$T$823,12,0),"")</f>
        <v>Đầu tư mới (ĐQSD)</v>
      </c>
      <c r="N74" s="110" t="str">
        <f>IFERROR(VLOOKUP(B74,'02. MM-KLH'!$B$6:$T$823,13,0),"")</f>
        <v>KOMATSU</v>
      </c>
      <c r="O74" s="110" t="str">
        <f>IFERROR(VLOOKUP(B74,'02. MM-KLH'!$B$6:$T$823,14,0),"")</f>
        <v>Nhật Bản</v>
      </c>
      <c r="P74" s="101">
        <f>IFERROR(VLOOKUP(B74,'02. MM-KLH'!$B$6:$T$823,15,0),"")</f>
        <v>2006</v>
      </c>
      <c r="Q74" s="101" t="str">
        <f>IFERROR(VLOOKUP(B74,'02. MM-KLH'!$B$6:$T$823,16,0),"")</f>
        <v>D31PX-21</v>
      </c>
      <c r="R74" s="101" t="str">
        <f>IFERROR(VLOOKUP(B74,'02. MM-KLH'!$B$6:$T$823,17,0),"")</f>
        <v>78HP</v>
      </c>
      <c r="S74" s="110" t="str">
        <f>IFERROR(VLOOKUP(B74,'02. MM-KLH'!$B$6:$T$823,18,0),"")</f>
        <v>KMT0D007J01051638</v>
      </c>
      <c r="T74" s="111" t="str">
        <f>IFERROR(VLOOKUP(B74,'02. MM-KLH'!$B$6:$T$823,19,0),"")</f>
        <v>4D10226430130</v>
      </c>
      <c r="U74" s="863" t="s">
        <v>3274</v>
      </c>
    </row>
    <row r="75" ht="13.5" customHeight="1" spans="1:21">
      <c r="A75" s="103">
        <f t="shared" si="2"/>
        <v>10</v>
      </c>
      <c r="B75" s="104" t="s">
        <v>704</v>
      </c>
      <c r="C75" s="104" t="str">
        <f>IFERROR(VLOOKUP(B75,'02. MM-KLH'!$B$6:$T$823,2,0),"")</f>
        <v>XU 09 HT-KLH</v>
      </c>
      <c r="D75" s="103" t="str">
        <f>IFERROR(VLOOKUP(B75,'02. MM-KLH'!$B$6:$T$823,3,0),"")</f>
        <v>ATT-A22-0170</v>
      </c>
      <c r="E75" s="102">
        <f>IFERROR(VLOOKUP(B75,'02. MM-KLH'!$B$6:$T$823,4,0),"")</f>
        <v>0</v>
      </c>
      <c r="F75" s="104" t="s">
        <v>3310</v>
      </c>
      <c r="G75" s="102" t="str">
        <f>IFERROR(VLOOKUP(B75,'02. MM-KLH'!$B$6:$T$823,6,0),"")</f>
        <v>Máy ủi KOMATSU D60P</v>
      </c>
      <c r="H75" s="101" t="s">
        <v>3311</v>
      </c>
      <c r="I75" s="101" t="str">
        <f>IFERROR(VLOOKUP(B75,'02. MM-KLH'!$B$6:$T$823,8,0),"")</f>
        <v>CGTC LP</v>
      </c>
      <c r="J75" s="105">
        <f>IFERROR(VLOOKUP(B75,'02. MM-KLH'!$B$6:$T$823,9,0),"")</f>
        <v>44228</v>
      </c>
      <c r="K75" s="101" t="str">
        <f>IFERROR(VLOOKUP(B75,'02. MM-KLH'!$B$6:$T$823,10,0),"")</f>
        <v>Bình thường</v>
      </c>
      <c r="L75" s="107">
        <f>IFERROR(VLOOKUP(B75,'02. MM-KLH'!$B$6:$T$823,11,0),"")</f>
        <v>0.68</v>
      </c>
      <c r="M75" s="864">
        <f>IFERROR(VLOOKUP(B75,'02. MM-KLH'!$B$6:$T$823,12,0),"")</f>
        <v>0</v>
      </c>
      <c r="N75" s="110" t="str">
        <f>IFERROR(VLOOKUP(B75,'02. MM-KLH'!$B$6:$T$823,13,0),"")</f>
        <v>KOMATSU</v>
      </c>
      <c r="O75" s="110" t="str">
        <f>IFERROR(VLOOKUP(B75,'02. MM-KLH'!$B$6:$T$823,14,0),"")</f>
        <v>NHẬT BẢN</v>
      </c>
      <c r="P75" s="101">
        <f>IFERROR(VLOOKUP(B75,'02. MM-KLH'!$B$6:$T$823,15,0),"")</f>
        <v>1995</v>
      </c>
      <c r="Q75" s="101" t="str">
        <f>IFERROR(VLOOKUP(B75,'02. MM-KLH'!$B$6:$T$823,16,0),"")</f>
        <v>D60P</v>
      </c>
      <c r="R75" s="101" t="str">
        <f>IFERROR(VLOOKUP(B75,'02. MM-KLH'!$B$6:$T$823,17,0),"")</f>
        <v>190HP</v>
      </c>
      <c r="S75" s="110" t="str">
        <f>IFERROR(VLOOKUP(B75,'02. MM-KLH'!$B$6:$T$823,18,0),"")</f>
        <v>D60P1261254</v>
      </c>
      <c r="T75" s="111" t="str">
        <f>IFERROR(VLOOKUP(B75,'02. MM-KLH'!$B$6:$T$823,19,0),"")</f>
        <v>6D125-30638</v>
      </c>
      <c r="U75" s="863" t="s">
        <v>451</v>
      </c>
    </row>
    <row r="76" ht="13.5" customHeight="1" spans="1:21">
      <c r="A76" s="103">
        <f t="shared" si="2"/>
        <v>11</v>
      </c>
      <c r="B76" s="104" t="s">
        <v>484</v>
      </c>
      <c r="C76" s="104">
        <f>IFERROR(VLOOKUP(B76,'02. MM-KLH'!$B$6:$T$823,2,0),"")</f>
        <v>0</v>
      </c>
      <c r="D76" s="103" t="str">
        <f>IFERROR(VLOOKUP(B76,'02. MM-KLH'!$B$6:$T$823,3,0),"")</f>
        <v>ATT-A23-0031</v>
      </c>
      <c r="E76" s="102">
        <f>IFERROR(VLOOKUP(B76,'02. MM-KLH'!$B$6:$T$823,4,0),"")</f>
        <v>0</v>
      </c>
      <c r="F76" s="104" t="s">
        <v>3312</v>
      </c>
      <c r="G76" s="102" t="str">
        <f>IFERROR(VLOOKUP(B76,'02. MM-KLH'!$B$6:$T$823,6,0),"")</f>
        <v>Máy ủi KOMATSU D60P-12E</v>
      </c>
      <c r="H76" s="101" t="s">
        <v>3311</v>
      </c>
      <c r="I76" s="101" t="str">
        <f>IFERROR(VLOOKUP(B76,'02. MM-KLH'!$B$6:$T$823,8,0),"")</f>
        <v>CGTC DP</v>
      </c>
      <c r="J76" s="105">
        <f>IFERROR(VLOOKUP(B76,'02. MM-KLH'!$B$6:$T$823,9,0),"")</f>
        <v>43837</v>
      </c>
      <c r="K76" s="101" t="str">
        <f>IFERROR(VLOOKUP(B76,'02. MM-KLH'!$B$6:$T$823,10,0),"")</f>
        <v>Bình thường</v>
      </c>
      <c r="L76" s="107">
        <f>IFERROR(VLOOKUP(B76,'02. MM-KLH'!$B$6:$T$823,11,0),"")</f>
        <v>0</v>
      </c>
      <c r="M76" s="864">
        <f>IFERROR(VLOOKUP(B76,'02. MM-KLH'!$B$6:$T$823,12,0),"")</f>
        <v>0</v>
      </c>
      <c r="N76" s="110" t="str">
        <f>IFERROR(VLOOKUP(B76,'02. MM-KLH'!$B$6:$T$823,13,0),"")</f>
        <v>KOMATSU</v>
      </c>
      <c r="O76" s="110" t="str">
        <f>IFERROR(VLOOKUP(B76,'02. MM-KLH'!$B$6:$T$823,14,0),"")</f>
        <v>NHẬT BẢN</v>
      </c>
      <c r="P76" s="101">
        <f>IFERROR(VLOOKUP(B76,'02. MM-KLH'!$B$6:$T$823,15,0),"")</f>
        <v>2002</v>
      </c>
      <c r="Q76" s="101" t="str">
        <f>IFERROR(VLOOKUP(B76,'02. MM-KLH'!$B$6:$T$823,16,0),"")</f>
        <v>D60P-12E</v>
      </c>
      <c r="R76" s="101" t="str">
        <f>IFERROR(VLOOKUP(B76,'02. MM-KLH'!$B$6:$T$823,17,0),"")</f>
        <v>190HP</v>
      </c>
      <c r="S76" s="110" t="str">
        <f>IFERROR(VLOOKUP(B76,'02. MM-KLH'!$B$6:$T$823,18,0),"")</f>
        <v>D60P1260763</v>
      </c>
      <c r="T76" s="111" t="str">
        <f>IFERROR(VLOOKUP(B76,'02. MM-KLH'!$B$6:$T$823,19,0),"")</f>
        <v>CCN</v>
      </c>
      <c r="U76" s="863" t="s">
        <v>451</v>
      </c>
    </row>
    <row r="77" ht="13.5" customHeight="1" spans="1:21">
      <c r="A77" s="103">
        <f t="shared" si="2"/>
        <v>12</v>
      </c>
      <c r="B77" s="104" t="s">
        <v>487</v>
      </c>
      <c r="C77" s="104">
        <f>IFERROR(VLOOKUP(B77,'02. MM-KLH'!$B$6:$T$823,2,0),"")</f>
        <v>0</v>
      </c>
      <c r="D77" s="103" t="str">
        <f>IFERROR(VLOOKUP(B77,'02. MM-KLH'!$B$6:$T$823,3,0),"")</f>
        <v>ATM-A22-0089</v>
      </c>
      <c r="E77" s="102">
        <f>IFERROR(VLOOKUP(B77,'02. MM-KLH'!$B$6:$T$823,4,0),"")</f>
        <v>0</v>
      </c>
      <c r="F77" s="104" t="s">
        <v>3313</v>
      </c>
      <c r="G77" s="102" t="str">
        <f>IFERROR(VLOOKUP(B77,'02. MM-KLH'!$B$6:$T$823,6,0),"")</f>
        <v>Máy ủi KOMATSU D65P-12</v>
      </c>
      <c r="H77" s="101" t="s">
        <v>3311</v>
      </c>
      <c r="I77" s="101" t="str">
        <f>IFERROR(VLOOKUP(B77,'02. MM-KLH'!$B$6:$T$823,8,0),"")</f>
        <v>CGTC DP</v>
      </c>
      <c r="J77" s="105">
        <f>IFERROR(VLOOKUP(B77,'02. MM-KLH'!$B$6:$T$823,9,0),"")</f>
        <v>44287</v>
      </c>
      <c r="K77" s="101" t="str">
        <f>IFERROR(VLOOKUP(B77,'02. MM-KLH'!$B$6:$T$823,10,0),"")</f>
        <v>Bình thường</v>
      </c>
      <c r="L77" s="107">
        <f>IFERROR(VLOOKUP(B77,'02. MM-KLH'!$B$6:$T$823,11,0),"")</f>
        <v>0.7</v>
      </c>
      <c r="M77" s="864">
        <f>IFERROR(VLOOKUP(B77,'02. MM-KLH'!$B$6:$T$823,12,0),"")</f>
        <v>0</v>
      </c>
      <c r="N77" s="110" t="str">
        <f>IFERROR(VLOOKUP(B77,'02. MM-KLH'!$B$6:$T$823,13,0),"")</f>
        <v>KOMATSU</v>
      </c>
      <c r="O77" s="110" t="str">
        <f>IFERROR(VLOOKUP(B77,'02. MM-KLH'!$B$6:$T$823,14,0),"")</f>
        <v>NHẬT BẢN</v>
      </c>
      <c r="P77" s="101">
        <f>IFERROR(VLOOKUP(B77,'02. MM-KLH'!$B$6:$T$823,15,0),"")</f>
        <v>1992</v>
      </c>
      <c r="Q77" s="101" t="str">
        <f>IFERROR(VLOOKUP(B77,'02. MM-KLH'!$B$6:$T$823,16,0),"")</f>
        <v>D65P-12</v>
      </c>
      <c r="R77" s="101" t="str">
        <f>IFERROR(VLOOKUP(B77,'02. MM-KLH'!$B$6:$T$823,17,0),"")</f>
        <v>190HP</v>
      </c>
      <c r="S77" s="110" t="str">
        <f>IFERROR(VLOOKUP(B77,'02. MM-KLH'!$B$6:$T$823,18,0),"")</f>
        <v>D65P1260304</v>
      </c>
      <c r="T77" s="111" t="str">
        <f>IFERROR(VLOOKUP(B77,'02. MM-KLH'!$B$6:$T$823,19,0),"")</f>
        <v>6D12554976</v>
      </c>
      <c r="U77" s="863" t="s">
        <v>451</v>
      </c>
    </row>
    <row r="78" ht="13.5" customHeight="1" spans="1:21">
      <c r="A78" s="103">
        <f t="shared" si="2"/>
        <v>13</v>
      </c>
      <c r="B78" s="104" t="s">
        <v>827</v>
      </c>
      <c r="C78" s="104" t="str">
        <f>IFERROR(VLOOKUP(B78,'02. MM-KLH'!$B$6:$T$823,2,0),"")</f>
        <v>CHT-MUI-007</v>
      </c>
      <c r="D78" s="103" t="str">
        <f>IFERROR(VLOOKUP(B78,'02. MM-KLH'!$B$6:$T$823,3,0),"")</f>
        <v>ATT-A22-0136</v>
      </c>
      <c r="E78" s="102">
        <f>IFERROR(VLOOKUP(B78,'02. MM-KLH'!$B$6:$T$823,4,0),"")</f>
        <v>0</v>
      </c>
      <c r="F78" s="104" t="s">
        <v>3314</v>
      </c>
      <c r="G78" s="102" t="str">
        <f>IFERROR(VLOOKUP(B78,'02. MM-KLH'!$B$6:$T$823,6,0),"")</f>
        <v>Máy ủi KOMATSU D65PX-12</v>
      </c>
      <c r="H78" s="101" t="s">
        <v>3311</v>
      </c>
      <c r="I78" s="101" t="str">
        <f>IFERROR(VLOOKUP(B78,'02. MM-KLH'!$B$6:$T$823,8,0),"")</f>
        <v>CGTC AD</v>
      </c>
      <c r="J78" s="105">
        <f>IFERROR(VLOOKUP(B78,'02. MM-KLH'!$B$6:$T$823,9,0),"")</f>
        <v>43841</v>
      </c>
      <c r="K78" s="101" t="str">
        <f>IFERROR(VLOOKUP(B78,'02. MM-KLH'!$B$6:$T$823,10,0),"")</f>
        <v>Bình thường</v>
      </c>
      <c r="L78" s="107">
        <f>IFERROR(VLOOKUP(B78,'02. MM-KLH'!$B$6:$T$823,11,0),"")</f>
        <v>0.66</v>
      </c>
      <c r="M78" s="864">
        <f>IFERROR(VLOOKUP(B78,'02. MM-KLH'!$B$6:$T$823,12,0),"")</f>
        <v>0</v>
      </c>
      <c r="N78" s="110" t="str">
        <f>IFERROR(VLOOKUP(B78,'02. MM-KLH'!$B$6:$T$823,13,0),"")</f>
        <v>KOMATSU</v>
      </c>
      <c r="O78" s="110" t="str">
        <f>IFERROR(VLOOKUP(B78,'02. MM-KLH'!$B$6:$T$823,14,0),"")</f>
        <v>NHẬT BẢN</v>
      </c>
      <c r="P78" s="101">
        <f>IFERROR(VLOOKUP(B78,'02. MM-KLH'!$B$6:$T$823,15,0),"")</f>
        <v>1996</v>
      </c>
      <c r="Q78" s="101" t="str">
        <f>IFERROR(VLOOKUP(B78,'02. MM-KLH'!$B$6:$T$823,16,0),"")</f>
        <v>D65PX-12E</v>
      </c>
      <c r="R78" s="101" t="str">
        <f>IFERROR(VLOOKUP(B78,'02. MM-KLH'!$B$6:$T$823,17,0),"")</f>
        <v>205HP</v>
      </c>
      <c r="S78" s="110" t="str">
        <f>IFERROR(VLOOKUP(B78,'02. MM-KLH'!$B$6:$T$823,18,0),"")</f>
        <v>D60P1261177</v>
      </c>
      <c r="T78" s="111" t="str">
        <f>IFERROR(VLOOKUP(B78,'02. MM-KLH'!$B$6:$T$823,19,0),"")</f>
        <v>6D12564712</v>
      </c>
      <c r="U78" s="863" t="s">
        <v>451</v>
      </c>
    </row>
    <row r="79" ht="27.75" customHeight="1" spans="1:21">
      <c r="A79" s="103">
        <f t="shared" si="2"/>
        <v>14</v>
      </c>
      <c r="B79" s="104" t="s">
        <v>491</v>
      </c>
      <c r="C79" s="104" t="str">
        <f>IFERROR(VLOOKUP(B79,'02. MM-KLH'!$B$6:$T$823,2,0),"")</f>
        <v>MỚI (ĐQSD)</v>
      </c>
      <c r="D79" s="103" t="str">
        <f>IFERROR(VLOOKUP(B79,'02. MM-KLH'!$B$6:$T$823,3,0),"")</f>
        <v>A23-MUI-013</v>
      </c>
      <c r="E79" s="102">
        <f>IFERROR(VLOOKUP(B79,'02. MM-KLH'!$B$6:$T$823,4,0),"")</f>
        <v>0</v>
      </c>
      <c r="F79" s="104" t="s">
        <v>3315</v>
      </c>
      <c r="G79" s="102" t="str">
        <f>IFERROR(VLOOKUP(B79,'02. MM-KLH'!$B$6:$T$823,6,0),"")</f>
        <v>Máy ủi KOMATSU D60P-12E</v>
      </c>
      <c r="H79" s="101" t="s">
        <v>3316</v>
      </c>
      <c r="I79" s="101" t="str">
        <f>IFERROR(VLOOKUP(B79,'02. MM-KLH'!$B$6:$T$823,8,0),"")</f>
        <v>CGTC DP</v>
      </c>
      <c r="J79" s="105" t="str">
        <f>IFERROR(VLOOKUP(B79,'02. MM-KLH'!$B$6:$T$823,9,0),"")</f>
        <v>28/05/2025</v>
      </c>
      <c r="K79" s="101" t="str">
        <f>IFERROR(VLOOKUP(B79,'02. MM-KLH'!$B$6:$T$823,10,0),"")</f>
        <v>Bình thường</v>
      </c>
      <c r="L79" s="107">
        <f>IFERROR(VLOOKUP(B79,'02. MM-KLH'!$B$6:$T$823,11,0),"")</f>
        <v>0</v>
      </c>
      <c r="M79" s="864" t="str">
        <f>IFERROR(VLOOKUP(B79,'02. MM-KLH'!$B$6:$T$823,12,0),"")</f>
        <v>Đầu tư mới  ĐQSD (Tài sản DP)
- Bàn giao về CGTC ADM theo TTr số 04-T05/2025/B.XDCB</v>
      </c>
      <c r="N79" s="110" t="str">
        <f>IFERROR(VLOOKUP(B79,'02. MM-KLH'!$B$6:$T$823,13,0),"")</f>
        <v>KOMATSU</v>
      </c>
      <c r="O79" s="110" t="str">
        <f>IFERROR(VLOOKUP(B79,'02. MM-KLH'!$B$6:$T$823,14,0),"")</f>
        <v>NHẬT BẢN</v>
      </c>
      <c r="P79" s="101">
        <f>IFERROR(VLOOKUP(B79,'02. MM-KLH'!$B$6:$T$823,15,0),"")</f>
        <v>1994</v>
      </c>
      <c r="Q79" s="101" t="str">
        <f>IFERROR(VLOOKUP(B79,'02. MM-KLH'!$B$6:$T$823,16,0),"")</f>
        <v>D60P-12E</v>
      </c>
      <c r="R79" s="101" t="str">
        <f>IFERROR(VLOOKUP(B79,'02. MM-KLH'!$B$6:$T$823,17,0),"")</f>
        <v>190HP</v>
      </c>
      <c r="S79" s="110" t="str">
        <f>IFERROR(VLOOKUP(B79,'02. MM-KLH'!$B$6:$T$823,18,0),"")</f>
        <v>D60P1260928</v>
      </c>
      <c r="T79" s="111" t="str">
        <f>IFERROR(VLOOKUP(B79,'02. MM-KLH'!$B$6:$T$823,19,0),"")</f>
        <v>6D12562174</v>
      </c>
      <c r="U79" s="863" t="s">
        <v>3274</v>
      </c>
    </row>
    <row r="80" ht="33.75" customHeight="1" spans="1:21">
      <c r="A80" s="103">
        <f t="shared" si="2"/>
        <v>15</v>
      </c>
      <c r="B80" s="104" t="s">
        <v>840</v>
      </c>
      <c r="C80" s="104" t="str">
        <f>IFERROR(VLOOKUP(B80,'02. MM-KLH'!$B$6:$T$823,2,0),"")</f>
        <v>XB1-MUI-001</v>
      </c>
      <c r="D80" s="103" t="str">
        <f>IFERROR(VLOOKUP(B80,'02. MM-KLH'!$B$6:$T$823,3,0),"")</f>
        <v>A23-MUI-014</v>
      </c>
      <c r="E80" s="102">
        <f>IFERROR(VLOOKUP(B80,'02. MM-KLH'!$B$6:$T$823,4,0),"")</f>
        <v>0</v>
      </c>
      <c r="F80" s="104" t="s">
        <v>3317</v>
      </c>
      <c r="G80" s="102" t="str">
        <f>IFERROR(VLOOKUP(B80,'02. MM-KLH'!$B$6:$T$823,6,0),"")</f>
        <v>Máy ủi KOMATSU D61</v>
      </c>
      <c r="H80" s="101" t="s">
        <v>3318</v>
      </c>
      <c r="I80" s="101" t="str">
        <f>IFERROR(VLOOKUP(B80,'02. MM-KLH'!$B$6:$T$823,8,0),"")</f>
        <v>CGTC AD</v>
      </c>
      <c r="J80" s="105" t="str">
        <f>IFERROR(VLOOKUP(B80,'02. MM-KLH'!$B$6:$T$823,9,0),"")</f>
        <v>20/07/2026</v>
      </c>
      <c r="K80" s="101" t="str">
        <f>IFERROR(VLOOKUP(B80,'02. MM-KLH'!$B$6:$T$823,10,0),"")</f>
        <v>Bình thường</v>
      </c>
      <c r="L80" s="107">
        <f>IFERROR(VLOOKUP(B80,'02. MM-KLH'!$B$6:$T$823,11,0),"")</f>
        <v>0</v>
      </c>
      <c r="M80" s="864" t="str">
        <f>IFERROR(VLOOKUP(B80,'02. MM-KLH'!$B$6:$T$823,12,0),"")</f>
        <v>- Dự án dứa chuyển qua XNB 
- 20/07/2026 XNB điều  chuyển lại cho CGTC phục vụ dự án dứa</v>
      </c>
      <c r="N80" s="110" t="str">
        <f>IFERROR(VLOOKUP(B80,'02. MM-KLH'!$B$6:$T$823,13,0),"")</f>
        <v>KOMATSU</v>
      </c>
      <c r="O80" s="110" t="str">
        <f>IFERROR(VLOOKUP(B80,'02. MM-KLH'!$B$6:$T$823,14,0),"")</f>
        <v>Nhật Bản</v>
      </c>
      <c r="P80" s="101">
        <f>IFERROR(VLOOKUP(B80,'02. MM-KLH'!$B$6:$T$823,15,0),"")</f>
        <v>2006</v>
      </c>
      <c r="Q80" s="101" t="str">
        <f>IFERROR(VLOOKUP(B80,'02. MM-KLH'!$B$6:$T$823,16,0),"")</f>
        <v>D61PX-15</v>
      </c>
      <c r="R80" s="101" t="str">
        <f>IFERROR(VLOOKUP(B80,'02. MM-KLH'!$B$6:$T$823,17,0),"")</f>
        <v>155HP</v>
      </c>
      <c r="S80" s="110" t="str">
        <f>IFERROR(VLOOKUP(B80,'02. MM-KLH'!$B$6:$T$823,18,0),"")</f>
        <v>KMT0D063H51B40955</v>
      </c>
      <c r="T80" s="111">
        <f>IFERROR(VLOOKUP(B80,'02. MM-KLH'!$B$6:$T$823,19,0),"")</f>
        <v>30559211</v>
      </c>
      <c r="U80" s="863" t="s">
        <v>3274</v>
      </c>
    </row>
    <row r="81" ht="13.5" customHeight="1" spans="1:21">
      <c r="A81" s="103"/>
      <c r="B81" s="104"/>
      <c r="C81" s="104" t="str">
        <f>IFERROR(VLOOKUP(B81,'02. MM-KLH'!$B$6:$T$823,2,0),"")</f>
        <v/>
      </c>
      <c r="D81" s="103" t="str">
        <f>IFERROR(VLOOKUP(B81,'02. MM-KLH'!$B$6:$T$823,3,0),"")</f>
        <v/>
      </c>
      <c r="E81" s="102" t="str">
        <f>IFERROR(VLOOKUP(B81,'02. MM-KLH'!$B$6:$T$823,4,0),"")</f>
        <v/>
      </c>
      <c r="F81" s="104" t="s">
        <v>3317</v>
      </c>
      <c r="G81" s="102" t="str">
        <f>IFERROR(VLOOKUP(B81,'02. MM-KLH'!$B$6:$T$823,6,0),"")</f>
        <v/>
      </c>
      <c r="H81" s="101" t="s">
        <v>3318</v>
      </c>
      <c r="I81" s="101" t="str">
        <f>IFERROR(VLOOKUP(B81,'02. MM-KLH'!$B$6:$T$823,8,0),"")</f>
        <v/>
      </c>
      <c r="J81" s="105" t="str">
        <f>IFERROR(VLOOKUP(B81,'02. MM-KLH'!$B$6:$T$823,9,0),"")</f>
        <v/>
      </c>
      <c r="K81" s="101" t="str">
        <f>IFERROR(VLOOKUP(B81,'02. MM-KLH'!$B$6:$T$823,10,0),"")</f>
        <v/>
      </c>
      <c r="L81" s="107" t="str">
        <f>IFERROR(VLOOKUP(B81,'02. MM-KLH'!$B$6:$T$823,11,0),"")</f>
        <v/>
      </c>
      <c r="M81" s="864" t="str">
        <f>IFERROR(VLOOKUP(B81,'02. MM-KLH'!$B$6:$T$823,12,0),"")</f>
        <v/>
      </c>
      <c r="N81" s="110" t="str">
        <f>IFERROR(VLOOKUP(B81,'02. MM-KLH'!$B$6:$T$823,13,0),"")</f>
        <v/>
      </c>
      <c r="O81" s="110" t="str">
        <f>IFERROR(VLOOKUP(B81,'02. MM-KLH'!$B$6:$T$823,14,0),"")</f>
        <v/>
      </c>
      <c r="P81" s="101" t="str">
        <f>IFERROR(VLOOKUP(B81,'02. MM-KLH'!$B$6:$T$823,15,0),"")</f>
        <v/>
      </c>
      <c r="Q81" s="101" t="str">
        <f>IFERROR(VLOOKUP(B81,'02. MM-KLH'!$B$6:$T$823,16,0),"")</f>
        <v/>
      </c>
      <c r="R81" s="101" t="str">
        <f>IFERROR(VLOOKUP(B81,'02. MM-KLH'!$B$6:$T$823,17,0),"")</f>
        <v/>
      </c>
      <c r="S81" s="110" t="str">
        <f>IFERROR(VLOOKUP(B81,'02. MM-KLH'!$B$6:$T$823,18,0),"")</f>
        <v/>
      </c>
      <c r="T81" s="111" t="str">
        <f>IFERROR(VLOOKUP(B81,'02. MM-KLH'!$B$6:$T$823,19,0),"")</f>
        <v/>
      </c>
      <c r="U81" s="863"/>
    </row>
    <row r="82" ht="13.8" spans="1:21">
      <c r="B82" s="663"/>
      <c r="D82" s="103" t="str">
        <f>IFERROR(VLOOKUP(B82,'02. MM-KLH'!$B$6:$T$823,3,0),"")</f>
        <v/>
      </c>
      <c r="E82" s="102" t="str">
        <f>IFERROR(VLOOKUP(B82,'02. MM-KLH'!$B$6:$T$823,4,0),"")</f>
        <v/>
      </c>
      <c r="G82" s="102" t="str">
        <f>IFERROR(VLOOKUP(B82,'02. MM-KLH'!$B$6:$T$823,6,0),"")</f>
        <v/>
      </c>
      <c r="I82" s="101" t="str">
        <f>IFERROR(VLOOKUP(B82,'02. MM-KLH'!$B$6:$T$823,8,0),"")</f>
        <v/>
      </c>
      <c r="J82" s="105" t="str">
        <f>IFERROR(VLOOKUP(B82,'02. MM-KLH'!$B$6:$T$823,9,0),"")</f>
        <v/>
      </c>
      <c r="K82" s="101" t="str">
        <f>IFERROR(VLOOKUP(B82,'02. MM-KLH'!$B$6:$T$823,10,0),"")</f>
        <v/>
      </c>
      <c r="L82" s="107" t="str">
        <f>IFERROR(VLOOKUP(B82,'02. MM-KLH'!$B$6:$T$823,11,0),"")</f>
        <v/>
      </c>
      <c r="M82" s="864" t="str">
        <f>IFERROR(VLOOKUP(B82,'02. MM-KLH'!$B$6:$T$823,12,0),"")</f>
        <v/>
      </c>
      <c r="N82" s="110" t="str">
        <f>IFERROR(VLOOKUP(B82,'02. MM-KLH'!$B$6:$T$823,13,0),"")</f>
        <v/>
      </c>
      <c r="O82" s="110" t="str">
        <f>IFERROR(VLOOKUP(B82,'02. MM-KLH'!$B$6:$T$823,14,0),"")</f>
        <v/>
      </c>
      <c r="P82" s="101" t="str">
        <f>IFERROR(VLOOKUP(B82,'02. MM-KLH'!$B$6:$T$823,15,0),"")</f>
        <v/>
      </c>
      <c r="Q82" s="101" t="str">
        <f>IFERROR(VLOOKUP(B82,'02. MM-KLH'!$B$6:$T$823,16,0),"")</f>
        <v/>
      </c>
      <c r="R82" s="101" t="str">
        <f>IFERROR(VLOOKUP(B82,'02. MM-KLH'!$B$6:$T$823,17,0),"")</f>
        <v/>
      </c>
      <c r="S82" s="110" t="str">
        <f>IFERROR(VLOOKUP(B82,'02. MM-KLH'!$B$6:$T$823,18,0),"")</f>
        <v/>
      </c>
      <c r="T82" s="111" t="str">
        <f>IFERROR(VLOOKUP(B82,'02. MM-KLH'!$B$6:$T$823,19,0),"")</f>
        <v/>
      </c>
      <c r="U82" s="111" t="str">
        <f>IFERROR(VLOOKUP(C82,'02. MM-KLH'!$B$6:$T$823,19,0),"")</f>
        <v/>
      </c>
    </row>
    <row r="83" ht="13.5" customHeight="1" spans="1:21">
      <c r="A83" s="847" t="s">
        <v>290</v>
      </c>
      <c r="B83" s="848" t="s">
        <v>3319</v>
      </c>
      <c r="C83" s="849">
        <f>COUNTA(B84:B95)</f>
        <v>11</v>
      </c>
      <c r="D83" s="849" t="str">
        <f>IFERROR(VLOOKUP(B83,'02. MM-KLH'!$B$6:$T$823,3,0),"")</f>
        <v/>
      </c>
      <c r="E83" s="849" t="str">
        <f>IFERROR(VLOOKUP(B83,'02. MM-KLH'!$B$6:$T$823,4,0),"")</f>
        <v/>
      </c>
      <c r="F83" s="849"/>
      <c r="G83" s="849" t="str">
        <f>IFERROR(VLOOKUP(B83,'02. MM-KLH'!$B$6:$T$823,6,0),"")</f>
        <v/>
      </c>
      <c r="H83" s="849"/>
      <c r="I83" s="849" t="str">
        <f>IFERROR(VLOOKUP(B83,'02. MM-KLH'!$B$6:$T$823,8,0),"")</f>
        <v/>
      </c>
      <c r="J83" s="849" t="str">
        <f>IFERROR(VLOOKUP(B83,'02. MM-KLH'!$B$6:$T$823,9,0),"")</f>
        <v/>
      </c>
      <c r="K83" s="849" t="str">
        <f>IFERROR(VLOOKUP(B83,'02. MM-KLH'!$B$6:$T$823,10,0),"")</f>
        <v/>
      </c>
      <c r="L83" s="849" t="str">
        <f>IFERROR(VLOOKUP(B83,'02. MM-KLH'!$B$6:$T$823,11,0),"")</f>
        <v/>
      </c>
      <c r="M83" s="849" t="str">
        <f>IFERROR(VLOOKUP(B83,'02. MM-KLH'!$B$6:$T$823,12,0),"")</f>
        <v/>
      </c>
      <c r="N83" s="849" t="str">
        <f>IFERROR(VLOOKUP(B83,'02. MM-KLH'!$B$6:$T$823,13,0),"")</f>
        <v/>
      </c>
      <c r="O83" s="849" t="str">
        <f>IFERROR(VLOOKUP(B83,'02. MM-KLH'!$B$6:$T$823,14,0),"")</f>
        <v/>
      </c>
      <c r="P83" s="849" t="str">
        <f>IFERROR(VLOOKUP(B83,'02. MM-KLH'!$B$6:$T$823,15,0),"")</f>
        <v/>
      </c>
      <c r="Q83" s="849" t="str">
        <f>IFERROR(VLOOKUP(B83,'02. MM-KLH'!$B$6:$T$823,16,0),"")</f>
        <v/>
      </c>
      <c r="R83" s="849" t="str">
        <f>IFERROR(VLOOKUP(B83,'02. MM-KLH'!$B$6:$T$823,17,0),"")</f>
        <v/>
      </c>
      <c r="S83" s="849" t="str">
        <f>IFERROR(VLOOKUP(B83,'02. MM-KLH'!$B$6:$T$823,18,0),"")</f>
        <v/>
      </c>
      <c r="T83" s="849" t="str">
        <f>IFERROR(VLOOKUP(B83,'02. MM-KLH'!$B$6:$T$823,19,0),"")</f>
        <v/>
      </c>
      <c r="U83" s="849" t="str">
        <f>IFERROR(VLOOKUP(C83,'02. MM-KLH'!$B$6:$T$823,19,0),"")</f>
        <v/>
      </c>
    </row>
    <row r="84" ht="13.5" customHeight="1" spans="1:21">
      <c r="A84" s="103">
        <v>1</v>
      </c>
      <c r="B84" s="104" t="s">
        <v>529</v>
      </c>
      <c r="C84" s="102">
        <f>IFERROR(VLOOKUP(B84,'02. MM-KLH'!$B$6:$T$823,2,0),"")</f>
        <v>0</v>
      </c>
      <c r="D84" s="103" t="str">
        <f>IFERROR(VLOOKUP(B84,'02. MM-KLH'!$B$6:$T$823,3,0),"")</f>
        <v>ATT-A23-0026</v>
      </c>
      <c r="E84" s="102">
        <f>IFERROR(VLOOKUP(B84,'02. MM-KLH'!$B$6:$T$823,4,0),"")</f>
        <v>0</v>
      </c>
      <c r="F84" s="104" t="s">
        <v>3320</v>
      </c>
      <c r="G84" s="102" t="str">
        <f>IFERROR(VLOOKUP(B84,'02. MM-KLH'!$B$6:$T$823,6,0),"")</f>
        <v>Xe lu rung SV521DH 11 tấn</v>
      </c>
      <c r="H84" s="101" t="s">
        <v>3321</v>
      </c>
      <c r="I84" s="101" t="str">
        <f>IFERROR(VLOOKUP(B84,'02. MM-KLH'!$B$6:$T$823,8,0),"")</f>
        <v>CGTC DP</v>
      </c>
      <c r="J84" s="105">
        <f>IFERROR(VLOOKUP(B84,'02. MM-KLH'!$B$6:$T$823,9,0),"")</f>
        <v>43835</v>
      </c>
      <c r="K84" s="101" t="str">
        <f>IFERROR(VLOOKUP(B84,'02. MM-KLH'!$B$6:$T$823,10,0),"")</f>
        <v>Bình thường</v>
      </c>
      <c r="L84" s="107">
        <f>IFERROR(VLOOKUP(B84,'02. MM-KLH'!$B$6:$T$823,11,0),"")</f>
        <v>0.67</v>
      </c>
      <c r="M84" s="864">
        <f>IFERROR(VLOOKUP(B84,'02. MM-KLH'!$B$6:$T$823,12,0),"")</f>
        <v>0</v>
      </c>
      <c r="N84" s="110" t="str">
        <f>IFERROR(VLOOKUP(B84,'02. MM-KLH'!$B$6:$T$823,13,0),"")</f>
        <v>SAKAI</v>
      </c>
      <c r="O84" s="110" t="str">
        <f>IFERROR(VLOOKUP(B84,'02. MM-KLH'!$B$6:$T$823,14,0),"")</f>
        <v>NHẬT BẢN</v>
      </c>
      <c r="P84" s="101">
        <f>IFERROR(VLOOKUP(B84,'02. MM-KLH'!$B$6:$T$823,15,0),"")</f>
        <v>2006</v>
      </c>
      <c r="Q84" s="101" t="str">
        <f>IFERROR(VLOOKUP(B84,'02. MM-KLH'!$B$6:$T$823,16,0),"")</f>
        <v>SV521DH</v>
      </c>
      <c r="R84" s="101" t="str">
        <f>IFERROR(VLOOKUP(B84,'02. MM-KLH'!$B$6:$T$823,17,0),"")</f>
        <v>112HP</v>
      </c>
      <c r="S84" s="110" t="str">
        <f>IFERROR(VLOOKUP(B84,'02. MM-KLH'!$B$6:$T$823,18,0),"")</f>
        <v>2SV6610202</v>
      </c>
      <c r="T84" s="111" t="str">
        <f>IFERROR(VLOOKUP(B84,'02. MM-KLH'!$B$6:$T$823,19,0),"")</f>
        <v>CCN</v>
      </c>
      <c r="U84" s="863" t="s">
        <v>451</v>
      </c>
    </row>
    <row r="85" ht="13.5" customHeight="1" spans="1:21">
      <c r="A85" s="103">
        <f t="shared" ref="A85:A94" si="3">A84+1</f>
        <v>2</v>
      </c>
      <c r="B85" s="104" t="s">
        <v>709</v>
      </c>
      <c r="C85" s="102" t="str">
        <f>IFERROR(VLOOKUP(B85,'02. MM-KLH'!$B$6:$T$823,2,0),"")</f>
        <v>XL 03 HT-KLH</v>
      </c>
      <c r="D85" s="103" t="str">
        <f>IFERROR(VLOOKUP(B85,'02. MM-KLH'!$B$6:$T$823,3,0),"")</f>
        <v>ATT-A24-0057</v>
      </c>
      <c r="E85" s="102">
        <f>IFERROR(VLOOKUP(B85,'02. MM-KLH'!$B$6:$T$823,4,0),"")</f>
        <v>0</v>
      </c>
      <c r="F85" s="104" t="s">
        <v>3322</v>
      </c>
      <c r="G85" s="102" t="str">
        <f>IFERROR(VLOOKUP(B85,'02. MM-KLH'!$B$6:$T$823,6,0),"")</f>
        <v>Xe lu rung SV521DH 11 tấn</v>
      </c>
      <c r="H85" s="101" t="s">
        <v>3321</v>
      </c>
      <c r="I85" s="101" t="str">
        <f>IFERROR(VLOOKUP(B85,'02. MM-KLH'!$B$6:$T$823,8,0),"")</f>
        <v>CGTC LP</v>
      </c>
      <c r="J85" s="105">
        <f>IFERROR(VLOOKUP(B85,'02. MM-KLH'!$B$6:$T$823,9,0),"")</f>
        <v>44197</v>
      </c>
      <c r="K85" s="101" t="str">
        <f>IFERROR(VLOOKUP(B85,'02. MM-KLH'!$B$6:$T$823,10,0),"")</f>
        <v>Bình thường</v>
      </c>
      <c r="L85" s="107">
        <f>IFERROR(VLOOKUP(B85,'02. MM-KLH'!$B$6:$T$823,11,0),"")</f>
        <v>0.6</v>
      </c>
      <c r="M85" s="864">
        <f>IFERROR(VLOOKUP(B85,'02. MM-KLH'!$B$6:$T$823,12,0),"")</f>
        <v>0</v>
      </c>
      <c r="N85" s="110" t="str">
        <f>IFERROR(VLOOKUP(B85,'02. MM-KLH'!$B$6:$T$823,13,0),"")</f>
        <v>SAKAI</v>
      </c>
      <c r="O85" s="110" t="str">
        <f>IFERROR(VLOOKUP(B85,'02. MM-KLH'!$B$6:$T$823,14,0),"")</f>
        <v>NHẬT BẢN</v>
      </c>
      <c r="P85" s="101">
        <f>IFERROR(VLOOKUP(B85,'02. MM-KLH'!$B$6:$T$823,15,0),"")</f>
        <v>2020</v>
      </c>
      <c r="Q85" s="101" t="str">
        <f>IFERROR(VLOOKUP(B85,'02. MM-KLH'!$B$6:$T$823,16,0),"")</f>
        <v>SV521DH</v>
      </c>
      <c r="R85" s="101" t="str">
        <f>IFERROR(VLOOKUP(B85,'02. MM-KLH'!$B$6:$T$823,17,0),"")</f>
        <v>112HP</v>
      </c>
      <c r="S85" s="110" t="str">
        <f>IFERROR(VLOOKUP(B85,'02. MM-KLH'!$B$6:$T$823,18,0),"")</f>
        <v>2SV6610477</v>
      </c>
      <c r="T85" s="111">
        <f>IFERROR(VLOOKUP(B85,'02. MM-KLH'!$B$6:$T$823,19,0),"")</f>
        <v>133243</v>
      </c>
      <c r="U85" s="863" t="s">
        <v>451</v>
      </c>
    </row>
    <row r="86" ht="13.5" customHeight="1" spans="1:21">
      <c r="A86" s="103">
        <f t="shared" si="3"/>
        <v>3</v>
      </c>
      <c r="B86" s="104" t="s">
        <v>851</v>
      </c>
      <c r="C86" s="102" t="str">
        <f>IFERROR(VLOOKUP(B86,'02. MM-KLH'!$B$6:$T$823,2,0),"")</f>
        <v>CHT-XLU-007</v>
      </c>
      <c r="D86" s="103" t="str">
        <f>IFERROR(VLOOKUP(B86,'02. MM-KLH'!$B$6:$T$823,3,0),"")</f>
        <v>ATM-A22-0090</v>
      </c>
      <c r="E86" s="102">
        <f>IFERROR(VLOOKUP(B86,'02. MM-KLH'!$B$6:$T$823,4,0),"")</f>
        <v>0</v>
      </c>
      <c r="F86" s="104" t="s">
        <v>3323</v>
      </c>
      <c r="G86" s="102" t="str">
        <f>IFERROR(VLOOKUP(B86,'02. MM-KLH'!$B$6:$T$823,6,0),"")</f>
        <v>Xe lu rung SV521DH 11 tấn</v>
      </c>
      <c r="H86" s="101" t="s">
        <v>3321</v>
      </c>
      <c r="I86" s="101" t="str">
        <f>IFERROR(VLOOKUP(B86,'02. MM-KLH'!$B$6:$T$823,8,0),"")</f>
        <v>CGTC AD</v>
      </c>
      <c r="J86" s="105">
        <f>IFERROR(VLOOKUP(B86,'02. MM-KLH'!$B$6:$T$823,9,0),"")</f>
        <v>44287</v>
      </c>
      <c r="K86" s="101" t="str">
        <f>IFERROR(VLOOKUP(B86,'02. MM-KLH'!$B$6:$T$823,10,0),"")</f>
        <v>Bình thường</v>
      </c>
      <c r="L86" s="107">
        <f>IFERROR(VLOOKUP(B86,'02. MM-KLH'!$B$6:$T$823,11,0),"")</f>
        <v>0.7</v>
      </c>
      <c r="M86" s="864">
        <f>IFERROR(VLOOKUP(B86,'02. MM-KLH'!$B$6:$T$823,12,0),"")</f>
        <v>0</v>
      </c>
      <c r="N86" s="110" t="str">
        <f>IFERROR(VLOOKUP(B86,'02. MM-KLH'!$B$6:$T$823,13,0),"")</f>
        <v>SAKAI</v>
      </c>
      <c r="O86" s="110" t="str">
        <f>IFERROR(VLOOKUP(B86,'02. MM-KLH'!$B$6:$T$823,14,0),"")</f>
        <v>NHẬT BẢN</v>
      </c>
      <c r="P86" s="101">
        <f>IFERROR(VLOOKUP(B86,'02. MM-KLH'!$B$6:$T$823,15,0),"")</f>
        <v>2020</v>
      </c>
      <c r="Q86" s="101" t="str">
        <f>IFERROR(VLOOKUP(B86,'02. MM-KLH'!$B$6:$T$823,16,0),"")</f>
        <v>SV521DH</v>
      </c>
      <c r="R86" s="101" t="str">
        <f>IFERROR(VLOOKUP(B86,'02. MM-KLH'!$B$6:$T$823,17,0),"")</f>
        <v>113HP</v>
      </c>
      <c r="S86" s="110" t="str">
        <f>IFERROR(VLOOKUP(B86,'02. MM-KLH'!$B$6:$T$823,18,0),"")</f>
        <v>2SV6610527</v>
      </c>
      <c r="T86" s="111">
        <f>IFERROR(VLOOKUP(B86,'02. MM-KLH'!$B$6:$T$823,19,0),"")</f>
        <v>133945</v>
      </c>
      <c r="U86" s="863" t="s">
        <v>451</v>
      </c>
    </row>
    <row r="87" ht="13.5" customHeight="1" spans="1:21">
      <c r="A87" s="103">
        <f t="shared" si="3"/>
        <v>4</v>
      </c>
      <c r="B87" s="104" t="s">
        <v>712</v>
      </c>
      <c r="C87" s="102" t="str">
        <f>IFERROR(VLOOKUP(B87,'02. MM-KLH'!$B$6:$T$823,2,0),"")</f>
        <v>XL 04 HT-KLH</v>
      </c>
      <c r="D87" s="103" t="str">
        <f>IFERROR(VLOOKUP(B87,'02. MM-KLH'!$B$6:$T$823,3,0),"")</f>
        <v>ATT-A24-0058</v>
      </c>
      <c r="E87" s="102">
        <f>IFERROR(VLOOKUP(B87,'02. MM-KLH'!$B$6:$T$823,4,0),"")</f>
        <v>0</v>
      </c>
      <c r="F87" s="104" t="s">
        <v>3324</v>
      </c>
      <c r="G87" s="102" t="str">
        <f>IFERROR(VLOOKUP(B87,'02. MM-KLH'!$B$6:$T$823,6,0),"")</f>
        <v>Xe lu tĩnh R2 10 tấn</v>
      </c>
      <c r="H87" s="101" t="s">
        <v>3321</v>
      </c>
      <c r="I87" s="101" t="str">
        <f>IFERROR(VLOOKUP(B87,'02. MM-KLH'!$B$6:$T$823,8,0),"")</f>
        <v>CGTC LP</v>
      </c>
      <c r="J87" s="105">
        <f>IFERROR(VLOOKUP(B87,'02. MM-KLH'!$B$6:$T$823,9,0),"")</f>
        <v>44197</v>
      </c>
      <c r="K87" s="101" t="str">
        <f>IFERROR(VLOOKUP(B87,'02. MM-KLH'!$B$6:$T$823,10,0),"")</f>
        <v>Bình thường</v>
      </c>
      <c r="L87" s="107">
        <f>IFERROR(VLOOKUP(B87,'02. MM-KLH'!$B$6:$T$823,11,0),"")</f>
        <v>0.6</v>
      </c>
      <c r="M87" s="864">
        <f>IFERROR(VLOOKUP(B87,'02. MM-KLH'!$B$6:$T$823,12,0),"")</f>
        <v>0</v>
      </c>
      <c r="N87" s="110" t="str">
        <f>IFERROR(VLOOKUP(B87,'02. MM-KLH'!$B$6:$T$823,13,0),"")</f>
        <v>SAKAI</v>
      </c>
      <c r="O87" s="110" t="str">
        <f>IFERROR(VLOOKUP(B87,'02. MM-KLH'!$B$6:$T$823,14,0),"")</f>
        <v>NHẬT BẢN</v>
      </c>
      <c r="P87" s="101">
        <f>IFERROR(VLOOKUP(B87,'02. MM-KLH'!$B$6:$T$823,15,0),"")</f>
        <v>2000</v>
      </c>
      <c r="Q87" s="101" t="str">
        <f>IFERROR(VLOOKUP(B87,'02. MM-KLH'!$B$6:$T$823,16,0),"")</f>
        <v>R2</v>
      </c>
      <c r="R87" s="101" t="str">
        <f>IFERROR(VLOOKUP(B87,'02. MM-KLH'!$B$6:$T$823,17,0),"")</f>
        <v>74HP</v>
      </c>
      <c r="S87" s="110" t="str">
        <f>IFERROR(VLOOKUP(B87,'02. MM-KLH'!$B$6:$T$823,18,0),"")</f>
        <v>RR321551</v>
      </c>
      <c r="T87" s="111" t="str">
        <f>IFERROR(VLOOKUP(B87,'02. MM-KLH'!$B$6:$T$823,19,0),"")</f>
        <v>W04DF15218</v>
      </c>
      <c r="U87" s="863" t="s">
        <v>451</v>
      </c>
    </row>
    <row r="88" ht="13.5" customHeight="1" spans="1:21">
      <c r="A88" s="103">
        <f t="shared" si="3"/>
        <v>5</v>
      </c>
      <c r="B88" s="104" t="s">
        <v>533</v>
      </c>
      <c r="C88" s="102">
        <f>IFERROR(VLOOKUP(B88,'02. MM-KLH'!$B$6:$T$823,2,0),"")</f>
        <v>0</v>
      </c>
      <c r="D88" s="103" t="str">
        <f>IFERROR(VLOOKUP(B88,'02. MM-KLH'!$B$6:$T$823,3,0),"")</f>
        <v>ATT-A22-0153</v>
      </c>
      <c r="E88" s="102">
        <f>IFERROR(VLOOKUP(B88,'02. MM-KLH'!$B$6:$T$823,4,0),"")</f>
        <v>0</v>
      </c>
      <c r="F88" s="104" t="s">
        <v>3325</v>
      </c>
      <c r="G88" s="102" t="str">
        <f>IFERROR(VLOOKUP(B88,'02. MM-KLH'!$B$6:$T$823,6,0),"")</f>
        <v>Xe lu tĩnh R2 10 tấn</v>
      </c>
      <c r="H88" s="101" t="s">
        <v>3321</v>
      </c>
      <c r="I88" s="101" t="str">
        <f>IFERROR(VLOOKUP(B88,'02. MM-KLH'!$B$6:$T$823,8,0),"")</f>
        <v>CGTC DP</v>
      </c>
      <c r="J88" s="105">
        <f>IFERROR(VLOOKUP(B88,'02. MM-KLH'!$B$6:$T$823,9,0),"")</f>
        <v>44136</v>
      </c>
      <c r="K88" s="101" t="str">
        <f>IFERROR(VLOOKUP(B88,'02. MM-KLH'!$B$6:$T$823,10,0),"")</f>
        <v>Bình thường</v>
      </c>
      <c r="L88" s="107">
        <f>IFERROR(VLOOKUP(B88,'02. MM-KLH'!$B$6:$T$823,11,0),"")</f>
        <v>0.5</v>
      </c>
      <c r="M88" s="864">
        <f>IFERROR(VLOOKUP(B88,'02. MM-KLH'!$B$6:$T$823,12,0),"")</f>
        <v>0</v>
      </c>
      <c r="N88" s="110" t="str">
        <f>IFERROR(VLOOKUP(B88,'02. MM-KLH'!$B$6:$T$823,13,0),"")</f>
        <v>SAKAI</v>
      </c>
      <c r="O88" s="110" t="str">
        <f>IFERROR(VLOOKUP(B88,'02. MM-KLH'!$B$6:$T$823,14,0),"")</f>
        <v>NHẬT BẢN</v>
      </c>
      <c r="P88" s="101">
        <f>IFERROR(VLOOKUP(B88,'02. MM-KLH'!$B$6:$T$823,15,0),"")</f>
        <v>1990</v>
      </c>
      <c r="Q88" s="101" t="str">
        <f>IFERROR(VLOOKUP(B88,'02. MM-KLH'!$B$6:$T$823,16,0),"")</f>
        <v>R2S</v>
      </c>
      <c r="R88" s="101" t="str">
        <f>IFERROR(VLOOKUP(B88,'02. MM-KLH'!$B$6:$T$823,17,0),"")</f>
        <v>74HP</v>
      </c>
      <c r="S88" s="110" t="str">
        <f>IFERROR(VLOOKUP(B88,'02. MM-KLH'!$B$6:$T$823,18,0),"")</f>
        <v>RR211446</v>
      </c>
      <c r="T88" s="111" t="str">
        <f>IFERROR(VLOOKUP(B88,'02. MM-KLH'!$B$6:$T$823,19,0),"")</f>
        <v>W04DA26254</v>
      </c>
      <c r="U88" s="863" t="s">
        <v>451</v>
      </c>
    </row>
    <row r="89" ht="13.5" customHeight="1" spans="1:21">
      <c r="A89" s="103">
        <f t="shared" si="3"/>
        <v>6</v>
      </c>
      <c r="B89" s="104" t="s">
        <v>847</v>
      </c>
      <c r="C89" s="102" t="str">
        <f>IFERROR(VLOOKUP(B89,'02. MM-KLH'!$B$6:$T$823,2,0),"")</f>
        <v>CHT-XLU-006</v>
      </c>
      <c r="D89" s="103" t="str">
        <f>IFERROR(VLOOKUP(B89,'02. MM-KLH'!$B$6:$T$823,3,0),"")</f>
        <v>ATT-A22-0152</v>
      </c>
      <c r="E89" s="102">
        <f>IFERROR(VLOOKUP(B89,'02. MM-KLH'!$B$6:$T$823,4,0),"")</f>
        <v>0</v>
      </c>
      <c r="F89" s="104" t="s">
        <v>3326</v>
      </c>
      <c r="G89" s="102" t="str">
        <f>IFERROR(VLOOKUP(B89,'02. MM-KLH'!$B$6:$T$823,6,0),"")</f>
        <v>Xe lu tĩnh R2 10 tấn</v>
      </c>
      <c r="H89" s="101" t="s">
        <v>3321</v>
      </c>
      <c r="I89" s="101" t="str">
        <f>IFERROR(VLOOKUP(B89,'02. MM-KLH'!$B$6:$T$823,8,0),"")</f>
        <v>CGTC AD</v>
      </c>
      <c r="J89" s="105">
        <f>IFERROR(VLOOKUP(B89,'02. MM-KLH'!$B$6:$T$823,9,0),"")</f>
        <v>44136</v>
      </c>
      <c r="K89" s="101" t="str">
        <f>IFERROR(VLOOKUP(B89,'02. MM-KLH'!$B$6:$T$823,10,0),"")</f>
        <v>Bình thường</v>
      </c>
      <c r="L89" s="107">
        <f>IFERROR(VLOOKUP(B89,'02. MM-KLH'!$B$6:$T$823,11,0),"")</f>
        <v>0.66</v>
      </c>
      <c r="M89" s="864">
        <f>IFERROR(VLOOKUP(B89,'02. MM-KLH'!$B$6:$T$823,12,0),"")</f>
        <v>0</v>
      </c>
      <c r="N89" s="110" t="str">
        <f>IFERROR(VLOOKUP(B89,'02. MM-KLH'!$B$6:$T$823,13,0),"")</f>
        <v>SAKAI</v>
      </c>
      <c r="O89" s="110" t="str">
        <f>IFERROR(VLOOKUP(B89,'02. MM-KLH'!$B$6:$T$823,14,0),"")</f>
        <v>NHẬT BẢN</v>
      </c>
      <c r="P89" s="101">
        <f>IFERROR(VLOOKUP(B89,'02. MM-KLH'!$B$6:$T$823,15,0),"")</f>
        <v>1997</v>
      </c>
      <c r="Q89" s="101" t="str">
        <f>IFERROR(VLOOKUP(B89,'02. MM-KLH'!$B$6:$T$823,16,0),"")</f>
        <v>R2H</v>
      </c>
      <c r="R89" s="101" t="str">
        <f>IFERROR(VLOOKUP(B89,'02. MM-KLH'!$B$6:$T$823,17,0),"")</f>
        <v>74HP</v>
      </c>
      <c r="S89" s="110" t="str">
        <f>IFERROR(VLOOKUP(B89,'02. MM-KLH'!$B$6:$T$823,18,0),"")</f>
        <v>RR321002</v>
      </c>
      <c r="T89" s="111" t="str">
        <f>IFERROR(VLOOKUP(B89,'02. MM-KLH'!$B$6:$T$823,19,0),"")</f>
        <v>W04DF11156</v>
      </c>
      <c r="U89" s="863" t="s">
        <v>451</v>
      </c>
    </row>
    <row r="90" ht="30.75" customHeight="1" spans="1:21">
      <c r="A90" s="103">
        <f t="shared" si="3"/>
        <v>7</v>
      </c>
      <c r="B90" s="124" t="s">
        <v>587</v>
      </c>
      <c r="C90" s="102" t="str">
        <f>IFERROR(VLOOKUP(B90,'02. MM-KLH'!$B$6:$T$823,2,0),"")</f>
        <v>MỚI (ĐQSD)</v>
      </c>
      <c r="D90" s="103" t="str">
        <f>IFERROR(VLOOKUP(B90,'02. MM-KLH'!$B$6:$T$823,3,0),"")</f>
        <v>A23-XLU-008</v>
      </c>
      <c r="E90" s="102">
        <f>IFERROR(VLOOKUP(B90,'02. MM-KLH'!$B$6:$T$823,4,0),"")</f>
        <v>0</v>
      </c>
      <c r="F90" s="124"/>
      <c r="G90" s="102" t="str">
        <f>IFERROR(VLOOKUP(B90,'02. MM-KLH'!$B$6:$T$823,6,0),"")</f>
        <v>Xe lu rung DYNAPAC 5 tấn</v>
      </c>
      <c r="H90" s="101" t="s">
        <v>3327</v>
      </c>
      <c r="I90" s="101" t="str">
        <f>IFERROR(VLOOKUP(B90,'02. MM-KLH'!$B$6:$T$823,8,0),"")</f>
        <v>CGTC DP</v>
      </c>
      <c r="J90" s="105">
        <f>IFERROR(VLOOKUP(B90,'02. MM-KLH'!$B$6:$T$823,9,0),"")</f>
        <v>45330</v>
      </c>
      <c r="K90" s="101" t="str">
        <f>IFERROR(VLOOKUP(B90,'02. MM-KLH'!$B$6:$T$823,10,0),"")</f>
        <v>Bình thường</v>
      </c>
      <c r="L90" s="107">
        <f>IFERROR(VLOOKUP(B90,'02. MM-KLH'!$B$6:$T$823,11,0),"")</f>
        <v>0</v>
      </c>
      <c r="M90" s="864" t="str">
        <f>IFERROR(VLOOKUP(B90,'02. MM-KLH'!$B$6:$T$823,12,0),"")</f>
        <v>Bàn giao về XDCB (DP1) ngày 02/08/2024 
XN DP1 bàn giao lại CGTC DP ngày 19/08/2025</v>
      </c>
      <c r="N90" s="110" t="str">
        <f>IFERROR(VLOOKUP(B90,'02. MM-KLH'!$B$6:$T$823,13,0),"")</f>
        <v>HITACHI</v>
      </c>
      <c r="O90" s="110" t="str">
        <f>IFERROR(VLOOKUP(B90,'02. MM-KLH'!$B$6:$T$823,14,0),"")</f>
        <v>TRUNG QUỐC</v>
      </c>
      <c r="P90" s="101">
        <f>IFERROR(VLOOKUP(B90,'02. MM-KLH'!$B$6:$T$823,15,0),"")</f>
        <v>2005</v>
      </c>
      <c r="Q90" s="101" t="str">
        <f>IFERROR(VLOOKUP(B90,'02. MM-KLH'!$B$6:$T$823,16,0),"")</f>
        <v>CC150C-2</v>
      </c>
      <c r="R90" s="101" t="str">
        <f>IFERROR(VLOOKUP(B90,'02. MM-KLH'!$B$6:$T$823,17,0),"")</f>
        <v>75HP</v>
      </c>
      <c r="S90" s="110" t="str">
        <f>IFERROR(VLOOKUP(B90,'02. MM-KLH'!$B$6:$T$823,18,0),"")</f>
        <v>HCM8U600L00010288</v>
      </c>
      <c r="T90" s="111" t="str">
        <f>IFERROR(VLOOKUP(B90,'02. MM-KLH'!$B$6:$T$823,19,0),"")</f>
        <v>3LD2-453954</v>
      </c>
      <c r="U90" s="863" t="s">
        <v>3274</v>
      </c>
    </row>
    <row r="91" ht="22.8" spans="1:21">
      <c r="A91" s="103">
        <f t="shared" si="3"/>
        <v>8</v>
      </c>
      <c r="B91" s="104" t="s">
        <v>1508</v>
      </c>
      <c r="C91" s="102">
        <f>IFERROR(VLOOKUP(B91,'02. MM-KLH'!$B$6:$T$823,2,0),"")</f>
        <v>0</v>
      </c>
      <c r="D91" s="103" t="str">
        <f>IFERROR(VLOOKUP(B91,'02. MM-KLH'!$B$6:$T$823,3,0),"")</f>
        <v>A24-XLU-006</v>
      </c>
      <c r="E91" s="102">
        <f>IFERROR(VLOOKUP(B91,'02. MM-KLH'!$B$6:$T$823,4,0),"")</f>
        <v>0</v>
      </c>
      <c r="F91" s="104" t="s">
        <v>3306</v>
      </c>
      <c r="G91" s="102" t="str">
        <f>IFERROR(VLOOKUP(B91,'02. MM-KLH'!$B$6:$T$823,6,0),"")</f>
        <v>Xe lu rung Sakai 3.5 tấn</v>
      </c>
      <c r="H91" s="101" t="s">
        <v>3328</v>
      </c>
      <c r="I91" s="101" t="str">
        <f>IFERROR(VLOOKUP(B91,'02. MM-KLH'!$B$6:$T$823,8,0),"")</f>
        <v>XN Chuối LP1</v>
      </c>
      <c r="J91" s="105">
        <f>IFERROR(VLOOKUP(B91,'02. MM-KLH'!$B$6:$T$823,9,0),"")</f>
        <v>45722</v>
      </c>
      <c r="K91" s="101" t="str">
        <f>IFERROR(VLOOKUP(B91,'02. MM-KLH'!$B$6:$T$823,10,0),"")</f>
        <v>Bình thường</v>
      </c>
      <c r="L91" s="107">
        <f>IFERROR(VLOOKUP(B91,'02. MM-KLH'!$B$6:$T$823,11,0),"")</f>
        <v>0</v>
      </c>
      <c r="M91" s="864" t="str">
        <f>IFERROR(VLOOKUP(B91,'02. MM-KLH'!$B$6:$T$823,12,0),"")</f>
        <v>CGTC LP đchuyen ngày 13/12/2025
Đầu tư mới (ĐQSD)</v>
      </c>
      <c r="N91" s="110" t="str">
        <f>IFERROR(VLOOKUP(B91,'02. MM-KLH'!$B$6:$T$823,13,0),"")</f>
        <v>SAKAI</v>
      </c>
      <c r="O91" s="110" t="str">
        <f>IFERROR(VLOOKUP(B91,'02. MM-KLH'!$B$6:$T$823,14,0),"")</f>
        <v>NHẬT BẢN</v>
      </c>
      <c r="P91" s="101">
        <f>IFERROR(VLOOKUP(B91,'02. MM-KLH'!$B$6:$T$823,15,0),"")</f>
        <v>1998</v>
      </c>
      <c r="Q91" s="101" t="str">
        <f>IFERROR(VLOOKUP(B91,'02. MM-KLH'!$B$6:$T$823,16,0),"")</f>
        <v>SW350-1</v>
      </c>
      <c r="R91" s="101" t="str">
        <f>IFERROR(VLOOKUP(B91,'02. MM-KLH'!$B$6:$T$823,17,0),"")</f>
        <v>28HP</v>
      </c>
      <c r="S91" s="110" t="str">
        <f>IFERROR(VLOOKUP(B91,'02. MM-KLH'!$B$6:$T$823,18,0),"")</f>
        <v>VSW1410104</v>
      </c>
      <c r="T91" s="111">
        <f>IFERROR(VLOOKUP(B91,'02. MM-KLH'!$B$6:$T$823,19,0),"")</f>
        <v>256182</v>
      </c>
      <c r="U91" s="863" t="s">
        <v>3274</v>
      </c>
    </row>
    <row r="92" ht="13.5" customHeight="1" spans="1:21">
      <c r="A92" s="103">
        <f t="shared" si="3"/>
        <v>9</v>
      </c>
      <c r="B92" s="104" t="s">
        <v>797</v>
      </c>
      <c r="C92" s="102" t="str">
        <f>IFERROR(VLOOKUP(B92,'02. MM-KLH'!$B$6:$T$823,2,0),"")</f>
        <v>MỚI (ĐQSD)</v>
      </c>
      <c r="D92" s="103" t="str">
        <f>IFERROR(VLOOKUP(B92,'02. MM-KLH'!$B$6:$T$823,3,0),"")</f>
        <v>A24-XLU-008</v>
      </c>
      <c r="E92" s="102">
        <f>IFERROR(VLOOKUP(B92,'02. MM-KLH'!$B$6:$T$823,4,0),"")</f>
        <v>0</v>
      </c>
      <c r="F92" s="104" t="s">
        <v>3322</v>
      </c>
      <c r="G92" s="102" t="str">
        <f>IFERROR(VLOOKUP(B92,'02. MM-KLH'!$B$6:$T$823,6,0),"")</f>
        <v>Xe lu rung Sakai 3.5 tấn</v>
      </c>
      <c r="H92" s="101" t="s">
        <v>3328</v>
      </c>
      <c r="I92" s="101" t="str">
        <f>IFERROR(VLOOKUP(B92,'02. MM-KLH'!$B$6:$T$823,8,0),"")</f>
        <v>CGTC LP</v>
      </c>
      <c r="J92" s="105" t="str">
        <f>IFERROR(VLOOKUP(B92,'02. MM-KLH'!$B$6:$T$823,9,0),"")</f>
        <v>26/07/2025</v>
      </c>
      <c r="K92" s="101" t="str">
        <f>IFERROR(VLOOKUP(B92,'02. MM-KLH'!$B$6:$T$823,10,0),"")</f>
        <v>Bình thường</v>
      </c>
      <c r="L92" s="107">
        <f>IFERROR(VLOOKUP(B92,'02. MM-KLH'!$B$6:$T$823,11,0),"")</f>
        <v>0</v>
      </c>
      <c r="M92" s="864" t="str">
        <f>IFERROR(VLOOKUP(B92,'02. MM-KLH'!$B$6:$T$823,12,0),"")</f>
        <v>Đầu tư mới (ĐQSD)</v>
      </c>
      <c r="N92" s="110" t="str">
        <f>IFERROR(VLOOKUP(B92,'02. MM-KLH'!$B$6:$T$823,13,0),"")</f>
        <v>SAKAI</v>
      </c>
      <c r="O92" s="110" t="str">
        <f>IFERROR(VLOOKUP(B92,'02. MM-KLH'!$B$6:$T$823,14,0),"")</f>
        <v>NHẬT BẢN</v>
      </c>
      <c r="P92" s="101">
        <f>IFERROR(VLOOKUP(B92,'02. MM-KLH'!$B$6:$T$823,15,0),"")</f>
        <v>2004</v>
      </c>
      <c r="Q92" s="101" t="str">
        <f>IFERROR(VLOOKUP(B92,'02. MM-KLH'!$B$6:$T$823,16,0),"")</f>
        <v>TW500W‑1</v>
      </c>
      <c r="R92" s="101" t="str">
        <f>IFERROR(VLOOKUP(B92,'02. MM-KLH'!$B$6:$T$823,17,0),"")</f>
        <v>39HP</v>
      </c>
      <c r="S92" s="110" t="str">
        <f>IFERROR(VLOOKUP(B92,'02. MM-KLH'!$B$6:$T$823,18,0),"")</f>
        <v>VTW1521818</v>
      </c>
      <c r="T92" s="111">
        <f>IFERROR(VLOOKUP(B92,'02. MM-KLH'!$B$6:$T$823,19,0),"")</f>
        <v>166376</v>
      </c>
      <c r="U92" s="863" t="s">
        <v>3274</v>
      </c>
    </row>
    <row r="93" ht="13.5" customHeight="1" spans="1:21">
      <c r="A93" s="103">
        <f t="shared" si="3"/>
        <v>10</v>
      </c>
      <c r="B93" s="104" t="s">
        <v>1734</v>
      </c>
      <c r="C93" s="102" t="str">
        <f>IFERROR(VLOOKUP(B93,'02. MM-KLH'!$B$6:$T$823,2,0),"")</f>
        <v>MỚI (ĐQSD)</v>
      </c>
      <c r="D93" s="103" t="str">
        <f>IFERROR(VLOOKUP(B93,'02. MM-KLH'!$B$6:$T$823,3,0),"")</f>
        <v>A24-XLU-005</v>
      </c>
      <c r="E93" s="102">
        <f>IFERROR(VLOOKUP(B93,'02. MM-KLH'!$B$6:$T$823,4,0),"")</f>
        <v>0</v>
      </c>
      <c r="F93" s="104"/>
      <c r="G93" s="102" t="str">
        <f>IFERROR(VLOOKUP(B93,'02. MM-KLH'!$B$6:$T$823,6,0),"")</f>
        <v>Xe lu rung DYNAPAC 5 tấn</v>
      </c>
      <c r="H93" s="101" t="s">
        <v>3327</v>
      </c>
      <c r="I93" s="101" t="str">
        <f>IFERROR(VLOOKUP(B93,'02. MM-KLH'!$B$6:$T$823,8,0),"")</f>
        <v>XN Chuối LP3</v>
      </c>
      <c r="J93" s="105" t="str">
        <f>IFERROR(VLOOKUP(B93,'02. MM-KLH'!$B$6:$T$823,9,0),"")</f>
        <v>30/06/2024</v>
      </c>
      <c r="K93" s="101" t="str">
        <f>IFERROR(VLOOKUP(B93,'02. MM-KLH'!$B$6:$T$823,10,0),"")</f>
        <v>Bình thường</v>
      </c>
      <c r="L93" s="107">
        <f>IFERROR(VLOOKUP(B93,'02. MM-KLH'!$B$6:$T$823,11,0),"")</f>
        <v>0</v>
      </c>
      <c r="M93" s="864" t="str">
        <f>IFERROR(VLOOKUP(B93,'02. MM-KLH'!$B$6:$T$823,12,0),"")</f>
        <v>CGTC LP đchuyen ngày 27/12/2025</v>
      </c>
      <c r="N93" s="110" t="str">
        <f>IFERROR(VLOOKUP(B93,'02. MM-KLH'!$B$6:$T$823,13,0),"")</f>
        <v>HITACHI</v>
      </c>
      <c r="O93" s="110" t="str">
        <f>IFERROR(VLOOKUP(B93,'02. MM-KLH'!$B$6:$T$823,14,0),"")</f>
        <v>NHẬT BẢN</v>
      </c>
      <c r="P93" s="101">
        <f>IFERROR(VLOOKUP(B93,'02. MM-KLH'!$B$6:$T$823,15,0),"")</f>
        <v>2005</v>
      </c>
      <c r="Q93" s="101" t="str">
        <f>IFERROR(VLOOKUP(B93,'02. MM-KLH'!$B$6:$T$823,16,0),"")</f>
        <v>CCC150C-2</v>
      </c>
      <c r="R93" s="101" t="str">
        <f>IFERROR(VLOOKUP(B93,'02. MM-KLH'!$B$6:$T$823,17,0),"")</f>
        <v>16HP</v>
      </c>
      <c r="S93" s="110" t="str">
        <f>IFERROR(VLOOKUP(B93,'02. MM-KLH'!$B$6:$T$823,18,0),"")</f>
        <v>HCM8U600A00010287</v>
      </c>
      <c r="T93" s="111" t="str">
        <f>IFERROR(VLOOKUP(B93,'02. MM-KLH'!$B$6:$T$823,19,0),"")</f>
        <v>3LD2 - 453951</v>
      </c>
      <c r="U93" s="863" t="s">
        <v>3274</v>
      </c>
    </row>
    <row r="94" ht="13.8" spans="1:21">
      <c r="A94" s="103">
        <f t="shared" si="3"/>
        <v>11</v>
      </c>
      <c r="B94" s="104" t="s">
        <v>2435</v>
      </c>
      <c r="C94" s="102" t="str">
        <f>IFERROR(VLOOKUP(B94,'02. MM-KLH'!$B$6:$T$823,2,0),"")</f>
        <v>CHT-XLU-010</v>
      </c>
      <c r="D94" s="103" t="str">
        <f>IFERROR(VLOOKUP(B94,'02. MM-KLH'!$B$6:$T$823,3,0),"")</f>
        <v>A24-XLU-007</v>
      </c>
      <c r="E94" s="102">
        <f>IFERROR(VLOOKUP(B94,'02. MM-KLH'!$B$6:$T$823,4,0),"")</f>
        <v>0</v>
      </c>
      <c r="F94" s="104" t="s">
        <v>3306</v>
      </c>
      <c r="G94" s="102" t="str">
        <f>IFERROR(VLOOKUP(B94,'02. MM-KLH'!$B$6:$T$823,6,0),"")</f>
        <v>Xe lu rung Sakai 3.5 tấn</v>
      </c>
      <c r="H94" s="101" t="s">
        <v>3328</v>
      </c>
      <c r="I94" s="101" t="str">
        <f>IFERROR(VLOOKUP(B94,'02. MM-KLH'!$B$6:$T$823,8,0),"")</f>
        <v>XN Bò AD</v>
      </c>
      <c r="J94" s="105">
        <f>IFERROR(VLOOKUP(B94,'02. MM-KLH'!$B$6:$T$823,9,0),"")</f>
        <v>45999</v>
      </c>
      <c r="K94" s="101" t="str">
        <f>IFERROR(VLOOKUP(B94,'02. MM-KLH'!$B$6:$T$823,10,0),"")</f>
        <v>Bình thường</v>
      </c>
      <c r="L94" s="107">
        <f>IFERROR(VLOOKUP(B94,'02. MM-KLH'!$B$6:$T$823,11,0),"")</f>
        <v>0</v>
      </c>
      <c r="M94" s="864" t="str">
        <f>IFERROR(VLOOKUP(B94,'02. MM-KLH'!$B$6:$T$823,12,0),"")</f>
        <v>CGTC LP Đ.chuyển mượn dài hạn 12.08.2025</v>
      </c>
      <c r="N94" s="110" t="str">
        <f>IFERROR(VLOOKUP(B94,'02. MM-KLH'!$B$6:$T$823,13,0),"")</f>
        <v>SAKAI</v>
      </c>
      <c r="O94" s="110" t="str">
        <f>IFERROR(VLOOKUP(B94,'02. MM-KLH'!$B$6:$T$823,14,0),"")</f>
        <v>Nhật Bản</v>
      </c>
      <c r="P94" s="101">
        <f>IFERROR(VLOOKUP(B94,'02. MM-KLH'!$B$6:$T$823,15,0),"")</f>
        <v>2004</v>
      </c>
      <c r="Q94" s="101" t="str">
        <f>IFERROR(VLOOKUP(B94,'02. MM-KLH'!$B$6:$T$823,16,0),"")</f>
        <v>TW500W‑1</v>
      </c>
      <c r="R94" s="101" t="str">
        <f>IFERROR(VLOOKUP(B94,'02. MM-KLH'!$B$6:$T$823,17,0),"")</f>
        <v>39HP</v>
      </c>
      <c r="S94" s="110" t="str">
        <f>IFERROR(VLOOKUP(B94,'02. MM-KLH'!$B$6:$T$823,18,0),"")</f>
        <v>VTW1521664</v>
      </c>
      <c r="T94" s="111">
        <f>IFERROR(VLOOKUP(B94,'02. MM-KLH'!$B$6:$T$823,19,0),"")</f>
        <v>161031</v>
      </c>
      <c r="U94" s="863" t="s">
        <v>3274</v>
      </c>
    </row>
    <row r="95" ht="13.8" spans="1:21">
      <c r="B95" s="663"/>
      <c r="D95" s="103" t="str">
        <f>IFERROR(VLOOKUP(B95,'02. MM-KLH'!$B$6:$T$823,3,0),"")</f>
        <v/>
      </c>
      <c r="E95" s="102" t="str">
        <f>IFERROR(VLOOKUP(B95,'02. MM-KLH'!$B$6:$T$823,4,0),"")</f>
        <v/>
      </c>
      <c r="G95" s="102" t="str">
        <f>IFERROR(VLOOKUP(B95,'02. MM-KLH'!$B$6:$T$823,6,0),"")</f>
        <v/>
      </c>
      <c r="I95" s="101" t="str">
        <f>IFERROR(VLOOKUP(B95,'02. MM-KLH'!$B$6:$T$823,8,0),"")</f>
        <v/>
      </c>
      <c r="J95" s="105" t="str">
        <f>IFERROR(VLOOKUP(B95,'02. MM-KLH'!$B$6:$T$823,9,0),"")</f>
        <v/>
      </c>
      <c r="K95" s="101" t="str">
        <f>IFERROR(VLOOKUP(B95,'02. MM-KLH'!$B$6:$T$823,10,0),"")</f>
        <v/>
      </c>
      <c r="L95" s="107" t="str">
        <f>IFERROR(VLOOKUP(B95,'02. MM-KLH'!$B$6:$T$823,11,0),"")</f>
        <v/>
      </c>
      <c r="M95" s="864" t="str">
        <f>IFERROR(VLOOKUP(B95,'02. MM-KLH'!$B$6:$T$823,12,0),"")</f>
        <v/>
      </c>
      <c r="N95" s="110" t="str">
        <f>IFERROR(VLOOKUP(B95,'02. MM-KLH'!$B$6:$T$823,13,0),"")</f>
        <v/>
      </c>
      <c r="O95" s="110" t="str">
        <f>IFERROR(VLOOKUP(B95,'02. MM-KLH'!$B$6:$T$823,14,0),"")</f>
        <v/>
      </c>
      <c r="P95" s="101" t="str">
        <f>IFERROR(VLOOKUP(B95,'02. MM-KLH'!$B$6:$T$823,15,0),"")</f>
        <v/>
      </c>
      <c r="Q95" s="101" t="str">
        <f>IFERROR(VLOOKUP(B95,'02. MM-KLH'!$B$6:$T$823,16,0),"")</f>
        <v/>
      </c>
      <c r="R95" s="101" t="str">
        <f>IFERROR(VLOOKUP(B95,'02. MM-KLH'!$B$6:$T$823,17,0),"")</f>
        <v/>
      </c>
      <c r="S95" s="110" t="str">
        <f>IFERROR(VLOOKUP(B95,'02. MM-KLH'!$B$6:$T$823,18,0),"")</f>
        <v/>
      </c>
      <c r="T95" s="111" t="str">
        <f>IFERROR(VLOOKUP(B95,'02. MM-KLH'!$B$6:$T$823,19,0),"")</f>
        <v/>
      </c>
      <c r="U95" s="111" t="str">
        <f>IFERROR(VLOOKUP(C95,'02. MM-KLH'!$B$6:$T$823,19,0),"")</f>
        <v/>
      </c>
    </row>
    <row r="96" ht="13.5" customHeight="1" spans="1:21">
      <c r="A96" s="847" t="s">
        <v>290</v>
      </c>
      <c r="B96" s="848" t="s">
        <v>3329</v>
      </c>
      <c r="C96" s="849">
        <f>COUNTA(B97:B103)</f>
        <v>5</v>
      </c>
      <c r="D96" s="849" t="str">
        <f>IFERROR(VLOOKUP(B96,'02. MM-KLH'!$B$6:$T$823,3,0),"")</f>
        <v/>
      </c>
      <c r="E96" s="849" t="str">
        <f>IFERROR(VLOOKUP(B96,'02. MM-KLH'!$B$6:$T$823,4,0),"")</f>
        <v/>
      </c>
      <c r="F96" s="849"/>
      <c r="G96" s="849" t="str">
        <f>IFERROR(VLOOKUP(B96,'02. MM-KLH'!$B$6:$T$823,6,0),"")</f>
        <v/>
      </c>
      <c r="H96" s="849"/>
      <c r="I96" s="849" t="str">
        <f>IFERROR(VLOOKUP(B96,'02. MM-KLH'!$B$6:$T$823,8,0),"")</f>
        <v/>
      </c>
      <c r="J96" s="849" t="str">
        <f>IFERROR(VLOOKUP(B96,'02. MM-KLH'!$B$6:$T$823,9,0),"")</f>
        <v/>
      </c>
      <c r="K96" s="849" t="str">
        <f>IFERROR(VLOOKUP(B96,'02. MM-KLH'!$B$6:$T$823,10,0),"")</f>
        <v/>
      </c>
      <c r="L96" s="849" t="str">
        <f>IFERROR(VLOOKUP(B96,'02. MM-KLH'!$B$6:$T$823,11,0),"")</f>
        <v/>
      </c>
      <c r="M96" s="849" t="str">
        <f>IFERROR(VLOOKUP(B96,'02. MM-KLH'!$B$6:$T$823,12,0),"")</f>
        <v/>
      </c>
      <c r="N96" s="849" t="str">
        <f>IFERROR(VLOOKUP(B96,'02. MM-KLH'!$B$6:$T$823,13,0),"")</f>
        <v/>
      </c>
      <c r="O96" s="849" t="str">
        <f>IFERROR(VLOOKUP(B96,'02. MM-KLH'!$B$6:$T$823,14,0),"")</f>
        <v/>
      </c>
      <c r="P96" s="849" t="str">
        <f>IFERROR(VLOOKUP(B96,'02. MM-KLH'!$B$6:$T$823,15,0),"")</f>
        <v/>
      </c>
      <c r="Q96" s="849" t="str">
        <f>IFERROR(VLOOKUP(B96,'02. MM-KLH'!$B$6:$T$823,16,0),"")</f>
        <v/>
      </c>
      <c r="R96" s="849" t="str">
        <f>IFERROR(VLOOKUP(B96,'02. MM-KLH'!$B$6:$T$823,17,0),"")</f>
        <v/>
      </c>
      <c r="S96" s="849" t="str">
        <f>IFERROR(VLOOKUP(B96,'02. MM-KLH'!$B$6:$T$823,18,0),"")</f>
        <v/>
      </c>
      <c r="T96" s="849" t="str">
        <f>IFERROR(VLOOKUP(B96,'02. MM-KLH'!$B$6:$T$823,19,0),"")</f>
        <v/>
      </c>
      <c r="U96" s="849" t="str">
        <f>IFERROR(VLOOKUP(C96,'02. MM-KLH'!$B$6:$T$823,19,0),"")</f>
        <v/>
      </c>
    </row>
    <row r="97" ht="13.5" customHeight="1" spans="1:21">
      <c r="A97" s="101">
        <v>1</v>
      </c>
      <c r="B97" s="104" t="s">
        <v>544</v>
      </c>
      <c r="C97" s="104">
        <f>IFERROR(VLOOKUP(B97,'02. MM-KLH'!$B$6:$T$823,2,0),"")</f>
        <v>0</v>
      </c>
      <c r="D97" s="103" t="str">
        <f>IFERROR(VLOOKUP(B97,'02. MM-KLH'!$B$6:$T$823,3,0),"")</f>
        <v>ATT-A22-0156</v>
      </c>
      <c r="E97" s="102">
        <f>IFERROR(VLOOKUP(B97,'02. MM-KLH'!$B$6:$T$823,4,0),"")</f>
        <v>0</v>
      </c>
      <c r="F97" s="104" t="s">
        <v>3330</v>
      </c>
      <c r="G97" s="102" t="str">
        <f>IFERROR(VLOOKUP(B97,'02. MM-KLH'!$B$6:$T$823,6,0),"")</f>
        <v>Xe ban KOMATSU GD605A</v>
      </c>
      <c r="H97" s="101" t="s">
        <v>3331</v>
      </c>
      <c r="I97" s="101" t="str">
        <f>IFERROR(VLOOKUP(B97,'02. MM-KLH'!$B$6:$T$823,8,0),"")</f>
        <v>CGTC DP</v>
      </c>
      <c r="J97" s="105">
        <f>IFERROR(VLOOKUP(B97,'02. MM-KLH'!$B$6:$T$823,9,0),"")</f>
        <v>44166</v>
      </c>
      <c r="K97" s="101" t="str">
        <f>IFERROR(VLOOKUP(B97,'02. MM-KLH'!$B$6:$T$823,10,0),"")</f>
        <v>Bình thường</v>
      </c>
      <c r="L97" s="107">
        <f>IFERROR(VLOOKUP(B97,'02. MM-KLH'!$B$6:$T$823,11,0),"")</f>
        <v>0.67</v>
      </c>
      <c r="M97" s="864">
        <f>IFERROR(VLOOKUP(B97,'02. MM-KLH'!$B$6:$T$823,12,0),"")</f>
        <v>0</v>
      </c>
      <c r="N97" s="110" t="str">
        <f>IFERROR(VLOOKUP(B97,'02. MM-KLH'!$B$6:$T$823,13,0),"")</f>
        <v>KOMATSU</v>
      </c>
      <c r="O97" s="110" t="str">
        <f>IFERROR(VLOOKUP(B97,'02. MM-KLH'!$B$6:$T$823,14,0),"")</f>
        <v>NHẬT BẢN</v>
      </c>
      <c r="P97" s="101">
        <f>IFERROR(VLOOKUP(B97,'02. MM-KLH'!$B$6:$T$823,15,0),"")</f>
        <v>1994</v>
      </c>
      <c r="Q97" s="101" t="str">
        <f>IFERROR(VLOOKUP(B97,'02. MM-KLH'!$B$6:$T$823,16,0),"")</f>
        <v>GD605A-5</v>
      </c>
      <c r="R97" s="101" t="str">
        <f>IFERROR(VLOOKUP(B97,'02. MM-KLH'!$B$6:$T$823,17,0),"")</f>
        <v>145HP</v>
      </c>
      <c r="S97" s="110" t="str">
        <f>IFERROR(VLOOKUP(B97,'02. MM-KLH'!$B$6:$T$823,18,0),"")</f>
        <v>G605A54617</v>
      </c>
      <c r="T97" s="111" t="str">
        <f>IFERROR(VLOOKUP(B97,'02. MM-KLH'!$B$6:$T$823,19,0),"")</f>
        <v>6D12561378</v>
      </c>
      <c r="U97" s="863" t="s">
        <v>451</v>
      </c>
    </row>
    <row r="98" ht="13.5" customHeight="1" spans="1:21">
      <c r="A98" s="103">
        <f t="shared" ref="A98:A101" si="4">A97+1</f>
        <v>2</v>
      </c>
      <c r="B98" s="104" t="s">
        <v>692</v>
      </c>
      <c r="C98" s="104" t="str">
        <f>IFERROR(VLOOKUP(B98,'02. MM-KLH'!$B$6:$T$823,2,0),"")</f>
        <v>XB 02 HT-KLH</v>
      </c>
      <c r="D98" s="103" t="str">
        <f>IFERROR(VLOOKUP(B98,'02. MM-KLH'!$B$6:$T$823,3,0),"")</f>
        <v>ATT-A24-0059</v>
      </c>
      <c r="E98" s="102">
        <f>IFERROR(VLOOKUP(B98,'02. MM-KLH'!$B$6:$T$823,4,0),"")</f>
        <v>0</v>
      </c>
      <c r="F98" s="104" t="s">
        <v>3332</v>
      </c>
      <c r="G98" s="102" t="str">
        <f>IFERROR(VLOOKUP(B98,'02. MM-KLH'!$B$6:$T$823,6,0),"")</f>
        <v>Xe ban KOMATSU GD605A</v>
      </c>
      <c r="H98" s="101" t="s">
        <v>3331</v>
      </c>
      <c r="I98" s="101" t="str">
        <f>IFERROR(VLOOKUP(B98,'02. MM-KLH'!$B$6:$T$823,8,0),"")</f>
        <v>CGTC LP</v>
      </c>
      <c r="J98" s="105">
        <f>IFERROR(VLOOKUP(B98,'02. MM-KLH'!$B$6:$T$823,9,0),"")</f>
        <v>44197</v>
      </c>
      <c r="K98" s="101" t="str">
        <f>IFERROR(VLOOKUP(B98,'02. MM-KLH'!$B$6:$T$823,10,0),"")</f>
        <v>Bình thường</v>
      </c>
      <c r="L98" s="107">
        <f>IFERROR(VLOOKUP(B98,'02. MM-KLH'!$B$6:$T$823,11,0),"")</f>
        <v>0.67</v>
      </c>
      <c r="M98" s="864">
        <f>IFERROR(VLOOKUP(B98,'02. MM-KLH'!$B$6:$T$823,12,0),"")</f>
        <v>0</v>
      </c>
      <c r="N98" s="110" t="str">
        <f>IFERROR(VLOOKUP(B98,'02. MM-KLH'!$B$6:$T$823,13,0),"")</f>
        <v>KOMATSU</v>
      </c>
      <c r="O98" s="110" t="str">
        <f>IFERROR(VLOOKUP(B98,'02. MM-KLH'!$B$6:$T$823,14,0),"")</f>
        <v>NHẬT BẢN</v>
      </c>
      <c r="P98" s="101">
        <f>IFERROR(VLOOKUP(B98,'02. MM-KLH'!$B$6:$T$823,15,0),"")</f>
        <v>1995</v>
      </c>
      <c r="Q98" s="101" t="str">
        <f>IFERROR(VLOOKUP(B98,'02. MM-KLH'!$B$6:$T$823,16,0),"")</f>
        <v>GD605A-5</v>
      </c>
      <c r="R98" s="101" t="str">
        <f>IFERROR(VLOOKUP(B98,'02. MM-KLH'!$B$6:$T$823,17,0),"")</f>
        <v>145HP</v>
      </c>
      <c r="S98" s="110" t="str">
        <f>IFERROR(VLOOKUP(B98,'02. MM-KLH'!$B$6:$T$823,18,0),"")</f>
        <v>G60A51575</v>
      </c>
      <c r="T98" s="111" t="str">
        <f>IFERROR(VLOOKUP(B98,'02. MM-KLH'!$B$6:$T$823,19,0),"")</f>
        <v>6D12562969</v>
      </c>
      <c r="U98" s="863" t="s">
        <v>451</v>
      </c>
    </row>
    <row r="99" ht="13.5" customHeight="1" spans="1:21">
      <c r="A99" s="103">
        <f t="shared" si="4"/>
        <v>3</v>
      </c>
      <c r="B99" s="104" t="s">
        <v>817</v>
      </c>
      <c r="C99" s="104" t="str">
        <f>IFERROR(VLOOKUP(B99,'02. MM-KLH'!$B$6:$T$823,2,0),"")</f>
        <v>CHT-BAN-004</v>
      </c>
      <c r="D99" s="103" t="str">
        <f>IFERROR(VLOOKUP(B99,'02. MM-KLH'!$B$6:$T$823,3,0),"")</f>
        <v>ATT-A22-0135</v>
      </c>
      <c r="E99" s="102">
        <f>IFERROR(VLOOKUP(B99,'02. MM-KLH'!$B$6:$T$823,4,0),"")</f>
        <v>0</v>
      </c>
      <c r="F99" s="104" t="s">
        <v>3333</v>
      </c>
      <c r="G99" s="102" t="str">
        <f>IFERROR(VLOOKUP(B99,'02. MM-KLH'!$B$6:$T$823,6,0),"")</f>
        <v>Xe ban KOMATSU GD605A</v>
      </c>
      <c r="H99" s="101" t="s">
        <v>3331</v>
      </c>
      <c r="I99" s="101" t="str">
        <f>IFERROR(VLOOKUP(B99,'02. MM-KLH'!$B$6:$T$823,8,0),"")</f>
        <v>CGTC AD</v>
      </c>
      <c r="J99" s="105">
        <f>IFERROR(VLOOKUP(B99,'02. MM-KLH'!$B$6:$T$823,9,0),"")</f>
        <v>44136</v>
      </c>
      <c r="K99" s="101" t="str">
        <f>IFERROR(VLOOKUP(B99,'02. MM-KLH'!$B$6:$T$823,10,0),"")</f>
        <v>Bình thường</v>
      </c>
      <c r="L99" s="107">
        <f>IFERROR(VLOOKUP(B99,'02. MM-KLH'!$B$6:$T$823,11,0),"")</f>
        <v>0.66</v>
      </c>
      <c r="M99" s="864">
        <f>IFERROR(VLOOKUP(B99,'02. MM-KLH'!$B$6:$T$823,12,0),"")</f>
        <v>0</v>
      </c>
      <c r="N99" s="110" t="str">
        <f>IFERROR(VLOOKUP(B99,'02. MM-KLH'!$B$6:$T$823,13,0),"")</f>
        <v>KOMATSU</v>
      </c>
      <c r="O99" s="110" t="str">
        <f>IFERROR(VLOOKUP(B99,'02. MM-KLH'!$B$6:$T$823,14,0),"")</f>
        <v>NHẬT BẢN</v>
      </c>
      <c r="P99" s="101">
        <f>IFERROR(VLOOKUP(B99,'02. MM-KLH'!$B$6:$T$823,15,0),"")</f>
        <v>1995</v>
      </c>
      <c r="Q99" s="101" t="str">
        <f>IFERROR(VLOOKUP(B99,'02. MM-KLH'!$B$6:$T$823,16,0),"")</f>
        <v>GD605A-5</v>
      </c>
      <c r="R99" s="101" t="str">
        <f>IFERROR(VLOOKUP(B99,'02. MM-KLH'!$B$6:$T$823,17,0),"")</f>
        <v>145HP</v>
      </c>
      <c r="S99" s="110" t="str">
        <f>IFERROR(VLOOKUP(B99,'02. MM-KLH'!$B$6:$T$823,18,0),"")</f>
        <v>G60A54058</v>
      </c>
      <c r="T99" s="111" t="str">
        <f>IFERROR(VLOOKUP(B99,'02. MM-KLH'!$B$6:$T$823,19,0),"")</f>
        <v>6D12532782</v>
      </c>
      <c r="U99" s="863" t="s">
        <v>451</v>
      </c>
    </row>
    <row r="100" ht="13.5" customHeight="1" spans="1:21">
      <c r="A100" s="103">
        <f t="shared" si="4"/>
        <v>4</v>
      </c>
      <c r="B100" s="104" t="s">
        <v>549</v>
      </c>
      <c r="C100" s="104">
        <f>IFERROR(VLOOKUP(B100,'02. MM-KLH'!$B$6:$T$823,2,0),"")</f>
        <v>0</v>
      </c>
      <c r="D100" s="103" t="str">
        <f>IFERROR(VLOOKUP(B100,'02. MM-KLH'!$B$6:$T$823,3,0),"")</f>
        <v>ATT-A23-0033</v>
      </c>
      <c r="E100" s="102">
        <f>IFERROR(VLOOKUP(B100,'02. MM-KLH'!$B$6:$T$823,4,0),"")</f>
        <v>0</v>
      </c>
      <c r="F100" s="104" t="s">
        <v>3334</v>
      </c>
      <c r="G100" s="102" t="str">
        <f>IFERROR(VLOOKUP(B100,'02. MM-KLH'!$B$6:$T$823,6,0),"")</f>
        <v>Xe ban Komatsu 705A</v>
      </c>
      <c r="H100" s="101" t="s">
        <v>3331</v>
      </c>
      <c r="I100" s="101" t="str">
        <f>IFERROR(VLOOKUP(B100,'02. MM-KLH'!$B$6:$T$823,8,0),"")</f>
        <v>CGTC DP</v>
      </c>
      <c r="J100" s="105">
        <f>IFERROR(VLOOKUP(B100,'02. MM-KLH'!$B$6:$T$823,9,0),"")</f>
        <v>43837</v>
      </c>
      <c r="K100" s="101" t="str">
        <f>IFERROR(VLOOKUP(B100,'02. MM-KLH'!$B$6:$T$823,10,0),"")</f>
        <v>Bình thường</v>
      </c>
      <c r="L100" s="107">
        <f>IFERROR(VLOOKUP(B100,'02. MM-KLH'!$B$6:$T$823,11,0),"")</f>
        <v>0</v>
      </c>
      <c r="M100" s="864">
        <f>IFERROR(VLOOKUP(B100,'02. MM-KLH'!$B$6:$T$823,12,0),"")</f>
        <v>0</v>
      </c>
      <c r="N100" s="110" t="str">
        <f>IFERROR(VLOOKUP(B100,'02. MM-KLH'!$B$6:$T$823,13,0),"")</f>
        <v>KOMATSU</v>
      </c>
      <c r="O100" s="110" t="str">
        <f>IFERROR(VLOOKUP(B100,'02. MM-KLH'!$B$6:$T$823,14,0),"")</f>
        <v>NHẬT BẢN</v>
      </c>
      <c r="P100" s="101">
        <f>IFERROR(VLOOKUP(B100,'02. MM-KLH'!$B$6:$T$823,15,0),"")</f>
        <v>2018</v>
      </c>
      <c r="Q100" s="101" t="str">
        <f>IFERROR(VLOOKUP(B100,'02. MM-KLH'!$B$6:$T$823,16,0),"")</f>
        <v>705A</v>
      </c>
      <c r="R100" s="101" t="str">
        <f>IFERROR(VLOOKUP(B100,'02. MM-KLH'!$B$6:$T$823,17,0),"")</f>
        <v>200HP</v>
      </c>
      <c r="S100" s="110" t="str">
        <f>IFERROR(VLOOKUP(B100,'02. MM-KLH'!$B$6:$T$823,18,0),"")</f>
        <v>G70A4A11006</v>
      </c>
      <c r="T100" s="111" t="str">
        <f>IFERROR(VLOOKUP(B100,'02. MM-KLH'!$B$6:$T$823,19,0),"")</f>
        <v>CCN</v>
      </c>
      <c r="U100" s="863" t="s">
        <v>451</v>
      </c>
    </row>
    <row r="101" ht="29.25" customHeight="1" spans="1:21">
      <c r="A101" s="103">
        <f t="shared" si="4"/>
        <v>5</v>
      </c>
      <c r="B101" s="104" t="s">
        <v>931</v>
      </c>
      <c r="C101" s="104" t="str">
        <f>IFERROR(VLOOKUP(B101,'02. MM-KLH'!$B$6:$T$823,2,0),"")</f>
        <v>MỚI (ĐQSD)</v>
      </c>
      <c r="D101" s="103" t="str">
        <f>IFERROR(VLOOKUP(B101,'02. MM-KLH'!$B$6:$T$823,3,0),"")</f>
        <v>A23-BAN-005</v>
      </c>
      <c r="E101" s="102">
        <f>IFERROR(VLOOKUP(B101,'02. MM-KLH'!$B$6:$T$823,4,0),"")</f>
        <v>0</v>
      </c>
      <c r="F101" s="104" t="s">
        <v>3275</v>
      </c>
      <c r="G101" s="102" t="str">
        <f>IFERROR(VLOOKUP(B101,'02. MM-KLH'!$B$6:$T$823,6,0),"")</f>
        <v>Xe ban KOMATSU GD605A</v>
      </c>
      <c r="H101" s="101" t="s">
        <v>3331</v>
      </c>
      <c r="I101" s="101" t="str">
        <f>IFERROR(VLOOKUP(B101,'02. MM-KLH'!$B$6:$T$823,8,0),"")</f>
        <v>CGTC AD</v>
      </c>
      <c r="J101" s="105" t="str">
        <f>IFERROR(VLOOKUP(B101,'02. MM-KLH'!$B$6:$T$823,9,0),"")</f>
        <v>28/05/2025</v>
      </c>
      <c r="K101" s="101" t="str">
        <f>IFERROR(VLOOKUP(B101,'02. MM-KLH'!$B$6:$T$823,10,0),"")</f>
        <v>Bình thường</v>
      </c>
      <c r="L101" s="107">
        <f>IFERROR(VLOOKUP(B101,'02. MM-KLH'!$B$6:$T$823,11,0),"")</f>
        <v>0</v>
      </c>
      <c r="M101" s="864" t="str">
        <f>IFERROR(VLOOKUP(B101,'02. MM-KLH'!$B$6:$T$823,12,0),"")</f>
        <v>Đầu tư mới  (Tài sản DP)
- Bàn giao về CGTC ADM theo TTr số 04-T05/2025/B.XDCB</v>
      </c>
      <c r="N101" s="110" t="str">
        <f>IFERROR(VLOOKUP(B101,'02. MM-KLH'!$B$6:$T$823,13,0),"")</f>
        <v>KOMATSU</v>
      </c>
      <c r="O101" s="110" t="str">
        <f>IFERROR(VLOOKUP(B101,'02. MM-KLH'!$B$6:$T$823,14,0),"")</f>
        <v>NHẬT BẢN</v>
      </c>
      <c r="P101" s="101">
        <f>IFERROR(VLOOKUP(B101,'02. MM-KLH'!$B$6:$T$823,15,0),"")</f>
        <v>1994</v>
      </c>
      <c r="Q101" s="101" t="str">
        <f>IFERROR(VLOOKUP(B101,'02. MM-KLH'!$B$6:$T$823,16,0),"")</f>
        <v>GD605A-5</v>
      </c>
      <c r="R101" s="101" t="str">
        <f>IFERROR(VLOOKUP(B101,'02. MM-KLH'!$B$6:$T$823,17,0),"")</f>
        <v>155HP</v>
      </c>
      <c r="S101" s="110" t="str">
        <f>IFERROR(VLOOKUP(B101,'02. MM-KLH'!$B$6:$T$823,18,0),"")</f>
        <v>G60A54622</v>
      </c>
      <c r="T101" s="111" t="str">
        <f>IFERROR(VLOOKUP(B101,'02. MM-KLH'!$B$6:$T$823,19,0),"")</f>
        <v>6D12561725</v>
      </c>
      <c r="U101" s="863" t="s">
        <v>3274</v>
      </c>
    </row>
    <row r="102" ht="13.8" spans="1:21">
      <c r="A102" s="21"/>
      <c r="B102" s="865"/>
      <c r="C102" s="104" t="str">
        <f>IFERROR(VLOOKUP(B102,'02. MM-KLH'!$B$6:$T$823,2,0),"")</f>
        <v/>
      </c>
      <c r="D102" s="103" t="str">
        <f>IFERROR(VLOOKUP(B102,'02. MM-KLH'!$B$6:$T$823,3,0),"")</f>
        <v/>
      </c>
      <c r="E102" s="102" t="str">
        <f>IFERROR(VLOOKUP(B102,'02. MM-KLH'!$B$6:$T$823,4,0),"")</f>
        <v/>
      </c>
      <c r="F102" s="104" t="s">
        <v>3295</v>
      </c>
      <c r="G102" s="102" t="str">
        <f>IFERROR(VLOOKUP(B102,'02. MM-KLH'!$B$6:$T$823,6,0),"")</f>
        <v/>
      </c>
      <c r="H102" s="101" t="s">
        <v>3331</v>
      </c>
      <c r="I102" s="101" t="str">
        <f>IFERROR(VLOOKUP(B102,'02. MM-KLH'!$B$6:$T$823,8,0),"")</f>
        <v/>
      </c>
      <c r="J102" s="105" t="str">
        <f>IFERROR(VLOOKUP(B102,'02. MM-KLH'!$B$6:$T$823,9,0),"")</f>
        <v/>
      </c>
      <c r="K102" s="101" t="str">
        <f>IFERROR(VLOOKUP(B102,'02. MM-KLH'!$B$6:$T$823,10,0),"")</f>
        <v/>
      </c>
      <c r="L102" s="107" t="str">
        <f>IFERROR(VLOOKUP(B102,'02. MM-KLH'!$B$6:$T$823,11,0),"")</f>
        <v/>
      </c>
      <c r="M102" s="866" t="str">
        <f>IFERROR(VLOOKUP(B102,'02. MM-KLH'!$B$6:$T$823,12,0),"")</f>
        <v/>
      </c>
      <c r="N102" s="110" t="str">
        <f>IFERROR(VLOOKUP(B102,'02. MM-KLH'!$B$6:$T$823,13,0),"")</f>
        <v/>
      </c>
      <c r="O102" s="110" t="str">
        <f>IFERROR(VLOOKUP(B102,'02. MM-KLH'!$B$6:$T$823,14,0),"")</f>
        <v/>
      </c>
      <c r="P102" s="101" t="str">
        <f>IFERROR(VLOOKUP(B102,'02. MM-KLH'!$B$6:$T$823,15,0),"")</f>
        <v/>
      </c>
      <c r="Q102" s="101" t="str">
        <f>IFERROR(VLOOKUP(B102,'02. MM-KLH'!$B$6:$T$823,16,0),"")</f>
        <v/>
      </c>
      <c r="R102" s="101" t="str">
        <f>IFERROR(VLOOKUP(B102,'02. MM-KLH'!$B$6:$T$823,17,0),"")</f>
        <v/>
      </c>
      <c r="S102" s="110" t="str">
        <f>IFERROR(VLOOKUP(B102,'02. MM-KLH'!$B$6:$T$823,18,0),"")</f>
        <v/>
      </c>
      <c r="T102" s="111" t="str">
        <f>IFERROR(VLOOKUP(B102,'02. MM-KLH'!$B$6:$T$823,19,0),"")</f>
        <v/>
      </c>
      <c r="U102" s="842"/>
    </row>
    <row r="103" ht="13.8" spans="1:21">
      <c r="A103" s="21"/>
      <c r="B103" s="865"/>
      <c r="C103" s="21"/>
      <c r="D103" s="103" t="str">
        <f>IFERROR(VLOOKUP(B103,'02. MM-KLH'!$B$6:$T$823,3,0),"")</f>
        <v/>
      </c>
      <c r="E103" s="102" t="str">
        <f>IFERROR(VLOOKUP(B103,'02. MM-KLH'!$B$6:$T$823,4,0),"")</f>
        <v/>
      </c>
      <c r="F103" s="21"/>
      <c r="G103" s="102" t="str">
        <f>IFERROR(VLOOKUP(B103,'02. MM-KLH'!$B$6:$T$823,6,0),"")</f>
        <v/>
      </c>
      <c r="H103" s="21"/>
      <c r="I103" s="101" t="str">
        <f>IFERROR(VLOOKUP(B103,'02. MM-KLH'!$B$6:$T$823,8,0),"")</f>
        <v/>
      </c>
      <c r="J103" s="105" t="str">
        <f>IFERROR(VLOOKUP(B103,'02. MM-KLH'!$B$6:$T$823,9,0),"")</f>
        <v/>
      </c>
      <c r="K103" s="101" t="str">
        <f>IFERROR(VLOOKUP(B103,'02. MM-KLH'!$B$6:$T$823,10,0),"")</f>
        <v/>
      </c>
      <c r="L103" s="107" t="str">
        <f>IFERROR(VLOOKUP(B103,'02. MM-KLH'!$B$6:$T$823,11,0),"")</f>
        <v/>
      </c>
      <c r="M103" s="866" t="str">
        <f>IFERROR(VLOOKUP(B103,'02. MM-KLH'!$B$6:$T$823,12,0),"")</f>
        <v/>
      </c>
      <c r="N103" s="110" t="str">
        <f>IFERROR(VLOOKUP(B103,'02. MM-KLH'!$B$6:$T$823,13,0),"")</f>
        <v/>
      </c>
      <c r="O103" s="110" t="str">
        <f>IFERROR(VLOOKUP(B103,'02. MM-KLH'!$B$6:$T$823,14,0),"")</f>
        <v/>
      </c>
      <c r="P103" s="101" t="str">
        <f>IFERROR(VLOOKUP(B103,'02. MM-KLH'!$B$6:$T$823,15,0),"")</f>
        <v/>
      </c>
      <c r="Q103" s="101" t="str">
        <f>IFERROR(VLOOKUP(B103,'02. MM-KLH'!$B$6:$T$823,16,0),"")</f>
        <v/>
      </c>
      <c r="R103" s="101" t="str">
        <f>IFERROR(VLOOKUP(B103,'02. MM-KLH'!$B$6:$T$823,17,0),"")</f>
        <v/>
      </c>
      <c r="S103" s="110" t="str">
        <f>IFERROR(VLOOKUP(B103,'02. MM-KLH'!$B$6:$T$823,18,0),"")</f>
        <v/>
      </c>
      <c r="T103" s="111" t="str">
        <f>IFERROR(VLOOKUP(B103,'02. MM-KLH'!$B$6:$T$823,19,0),"")</f>
        <v/>
      </c>
      <c r="U103" s="842"/>
    </row>
    <row r="104" ht="13.5" customHeight="1" spans="1:21">
      <c r="A104" s="92" t="s">
        <v>3335</v>
      </c>
      <c r="B104" s="846" t="s">
        <v>3336</v>
      </c>
      <c r="C104" s="92">
        <f>SUM(C105,C109,C139)</f>
        <v>29</v>
      </c>
      <c r="D104" s="92" t="str">
        <f>IFERROR(VLOOKUP(B104,'02. MM-KLH'!$B$6:$T$823,3,0),"")</f>
        <v/>
      </c>
      <c r="E104" s="92" t="str">
        <f>IFERROR(VLOOKUP(B104,'02. MM-KLH'!$B$6:$T$823,4,0),"")</f>
        <v/>
      </c>
      <c r="F104" s="92"/>
      <c r="G104" s="92" t="str">
        <f>IFERROR(VLOOKUP(B104,'02. MM-KLH'!$B$6:$T$823,6,0),"")</f>
        <v/>
      </c>
      <c r="H104" s="92"/>
      <c r="I104" s="92" t="str">
        <f>IFERROR(VLOOKUP(B104,'02. MM-KLH'!$B$6:$T$823,8,0),"")</f>
        <v/>
      </c>
      <c r="J104" s="92" t="str">
        <f>IFERROR(VLOOKUP(B104,'02. MM-KLH'!$B$6:$T$823,9,0),"")</f>
        <v/>
      </c>
      <c r="K104" s="92" t="str">
        <f>IFERROR(VLOOKUP(B104,'02. MM-KLH'!$B$6:$T$823,10,0),"")</f>
        <v/>
      </c>
      <c r="L104" s="92" t="str">
        <f>IFERROR(VLOOKUP(B104,'02. MM-KLH'!$B$6:$T$823,11,0),"")</f>
        <v/>
      </c>
      <c r="M104" s="92" t="str">
        <f>IFERROR(VLOOKUP(B104,'02. MM-KLH'!$B$6:$T$823,12,0),"")</f>
        <v/>
      </c>
      <c r="N104" s="92" t="str">
        <f>IFERROR(VLOOKUP(B104,'02. MM-KLH'!$B$6:$T$823,13,0),"")</f>
        <v/>
      </c>
      <c r="O104" s="92" t="str">
        <f>IFERROR(VLOOKUP(B104,'02. MM-KLH'!$B$6:$T$823,14,0),"")</f>
        <v/>
      </c>
      <c r="P104" s="92" t="str">
        <f>IFERROR(VLOOKUP(B104,'02. MM-KLH'!$B$6:$T$823,15,0),"")</f>
        <v/>
      </c>
      <c r="Q104" s="92" t="str">
        <f>IFERROR(VLOOKUP(B104,'02. MM-KLH'!$B$6:$T$823,16,0),"")</f>
        <v/>
      </c>
      <c r="R104" s="92" t="str">
        <f>IFERROR(VLOOKUP(B104,'02. MM-KLH'!$B$6:$T$823,17,0),"")</f>
        <v/>
      </c>
      <c r="S104" s="92" t="str">
        <f>IFERROR(VLOOKUP(B104,'02. MM-KLH'!$B$6:$T$823,18,0),"")</f>
        <v/>
      </c>
      <c r="T104" s="92" t="str">
        <f>IFERROR(VLOOKUP(B104,'02. MM-KLH'!$B$6:$T$823,19,0),"")</f>
        <v/>
      </c>
      <c r="U104" s="92" t="str">
        <f>IFERROR(VLOOKUP(C104,'02. MM-KLH'!$B$6:$T$823,19,0),"")</f>
        <v/>
      </c>
    </row>
    <row r="105" ht="13.5" customHeight="1" spans="1:21">
      <c r="A105" s="96" t="s">
        <v>948</v>
      </c>
      <c r="B105" s="210" t="s">
        <v>3337</v>
      </c>
      <c r="C105" s="96">
        <f>COUNTA(B106:B108)</f>
        <v>2</v>
      </c>
      <c r="D105" s="96" t="str">
        <f>IFERROR(VLOOKUP(B105,'02. MM-KLH'!$B$6:$T$823,3,0),"")</f>
        <v/>
      </c>
      <c r="E105" s="96" t="str">
        <f>IFERROR(VLOOKUP(B105,'02. MM-KLH'!$B$6:$T$823,4,0),"")</f>
        <v/>
      </c>
      <c r="F105" s="96"/>
      <c r="G105" s="96" t="str">
        <f>IFERROR(VLOOKUP(B105,'02. MM-KLH'!$B$6:$T$823,6,0),"")</f>
        <v/>
      </c>
      <c r="H105" s="96"/>
      <c r="I105" s="96" t="str">
        <f>IFERROR(VLOOKUP(B105,'02. MM-KLH'!$B$6:$T$823,8,0),"")</f>
        <v/>
      </c>
      <c r="J105" s="96" t="str">
        <f>IFERROR(VLOOKUP(B105,'02. MM-KLH'!$B$6:$T$823,9,0),"")</f>
        <v/>
      </c>
      <c r="K105" s="96" t="str">
        <f>IFERROR(VLOOKUP(B105,'02. MM-KLH'!$B$6:$T$823,10,0),"")</f>
        <v/>
      </c>
      <c r="L105" s="96" t="str">
        <f>IFERROR(VLOOKUP(B105,'02. MM-KLH'!$B$6:$T$823,11,0),"")</f>
        <v/>
      </c>
      <c r="M105" s="96" t="str">
        <f>IFERROR(VLOOKUP(B105,'02. MM-KLH'!$B$6:$T$823,12,0),"")</f>
        <v/>
      </c>
      <c r="N105" s="96" t="str">
        <f>IFERROR(VLOOKUP(B105,'02. MM-KLH'!$B$6:$T$823,13,0),"")</f>
        <v/>
      </c>
      <c r="O105" s="96" t="str">
        <f>IFERROR(VLOOKUP(B105,'02. MM-KLH'!$B$6:$T$823,14,0),"")</f>
        <v/>
      </c>
      <c r="P105" s="96" t="str">
        <f>IFERROR(VLOOKUP(B105,'02. MM-KLH'!$B$6:$T$823,15,0),"")</f>
        <v/>
      </c>
      <c r="Q105" s="96" t="str">
        <f>IFERROR(VLOOKUP(B105,'02. MM-KLH'!$B$6:$T$823,16,0),"")</f>
        <v/>
      </c>
      <c r="R105" s="96" t="str">
        <f>IFERROR(VLOOKUP(B105,'02. MM-KLH'!$B$6:$T$823,17,0),"")</f>
        <v/>
      </c>
      <c r="S105" s="96" t="str">
        <f>IFERROR(VLOOKUP(B105,'02. MM-KLH'!$B$6:$T$823,18,0),"")</f>
        <v/>
      </c>
      <c r="T105" s="96" t="str">
        <f>IFERROR(VLOOKUP(B105,'02. MM-KLH'!$B$6:$T$823,19,0),"")</f>
        <v/>
      </c>
      <c r="U105" s="96" t="str">
        <f>IFERROR(VLOOKUP(C105,'02. MM-KLH'!$B$6:$T$823,19,0),"")</f>
        <v/>
      </c>
    </row>
    <row r="106" ht="13.5" customHeight="1" spans="1:21">
      <c r="A106" s="103">
        <v>1</v>
      </c>
      <c r="B106" s="104" t="s">
        <v>1060</v>
      </c>
      <c r="C106" s="102" t="str">
        <f>IFERROR(VLOOKUP(B106,'02. MM-KLH'!$B$6:$T$823,2,0),"")</f>
        <v>XB1-MKE-025/XAD-MKE-014</v>
      </c>
      <c r="D106" s="103" t="str">
        <f>IFERROR(VLOOKUP(B106,'02. MM-KLH'!$B$6:$T$823,3,0),"")</f>
        <v>ATT-A23-0019</v>
      </c>
      <c r="E106" s="102">
        <f>IFERROR(VLOOKUP(B106,'02. MM-KLH'!$B$6:$T$823,4,0),"")</f>
        <v>0</v>
      </c>
      <c r="F106" s="104" t="s">
        <v>3089</v>
      </c>
      <c r="G106" s="102" t="str">
        <f>IFERROR(VLOOKUP(B106,'02. MM-KLH'!$B$6:$T$823,6,0),"")</f>
        <v>Máy cày M6040</v>
      </c>
      <c r="H106" s="101" t="s">
        <v>3338</v>
      </c>
      <c r="I106" s="101" t="str">
        <f>IFERROR(VLOOKUP(B106,'02. MM-KLH'!$B$6:$T$823,8,0),"")</f>
        <v>CGLĐ LP</v>
      </c>
      <c r="J106" s="105" t="str">
        <f>IFERROR(VLOOKUP(B106,'02. MM-KLH'!$B$6:$T$823,9,0),"")</f>
        <v>30/03/2024</v>
      </c>
      <c r="K106" s="101" t="str">
        <f>IFERROR(VLOOKUP(B106,'02. MM-KLH'!$B$6:$T$823,10,0),"")</f>
        <v>Bình thường</v>
      </c>
      <c r="L106" s="107">
        <f>IFERROR(VLOOKUP(B106,'02. MM-KLH'!$B$6:$T$823,11,0),"")</f>
        <v>0</v>
      </c>
      <c r="M106" s="864" t="str">
        <f>IFERROR(VLOOKUP(B106,'02. MM-KLH'!$B$6:$T$823,12,0),"")</f>
        <v>Xe điều chuyển từ XNB</v>
      </c>
      <c r="N106" s="110" t="str">
        <f>IFERROR(VLOOKUP(B106,'02. MM-KLH'!$B$6:$T$823,13,0),"")</f>
        <v>KUBOTA</v>
      </c>
      <c r="O106" s="110" t="str">
        <f>IFERROR(VLOOKUP(B106,'02. MM-KLH'!$B$6:$T$823,14,0),"")</f>
        <v>NHẬT BẢN</v>
      </c>
      <c r="P106" s="101">
        <f>IFERROR(VLOOKUP(B106,'02. MM-KLH'!$B$6:$T$823,15,0),"")</f>
        <v>2013</v>
      </c>
      <c r="Q106" s="101" t="str">
        <f>IFERROR(VLOOKUP(B106,'02. MM-KLH'!$B$6:$T$823,16,0),"")</f>
        <v>M6040</v>
      </c>
      <c r="R106" s="101" t="str">
        <f>IFERROR(VLOOKUP(B106,'02. MM-KLH'!$B$6:$T$823,17,0),"")</f>
        <v>60HP</v>
      </c>
      <c r="S106" s="110">
        <f>IFERROR(VLOOKUP(B106,'02. MM-KLH'!$B$6:$T$823,18,0),"")</f>
        <v>57548</v>
      </c>
      <c r="T106" s="111" t="str">
        <f>IFERROR(VLOOKUP(B106,'02. MM-KLH'!$B$6:$T$823,19,0),"")</f>
        <v>CCN</v>
      </c>
      <c r="U106" s="863" t="s">
        <v>451</v>
      </c>
    </row>
    <row r="107" ht="13.5" customHeight="1" spans="1:21">
      <c r="A107" s="103">
        <f>A106+1</f>
        <v>2</v>
      </c>
      <c r="B107" s="104" t="s">
        <v>1109</v>
      </c>
      <c r="C107" s="102" t="str">
        <f>IFERROR(VLOOKUP(B107,'02. MM-KLH'!$B$6:$T$823,2,0),"")</f>
        <v>CNN-MKE-015(MK56VCKLH)</v>
      </c>
      <c r="D107" s="103" t="str">
        <f>IFERROR(VLOOKUP(B107,'02. MM-KLH'!$B$6:$T$823,3,0),"")</f>
        <v>ATT-A22-0182</v>
      </c>
      <c r="E107" s="102">
        <f>IFERROR(VLOOKUP(B107,'02. MM-KLH'!$B$6:$T$823,4,0),"")</f>
        <v>0</v>
      </c>
      <c r="F107" s="104" t="s">
        <v>3339</v>
      </c>
      <c r="G107" s="102" t="str">
        <f>IFERROR(VLOOKUP(B107,'02. MM-KLH'!$B$6:$T$823,6,0),"")</f>
        <v>Máy cày M9540</v>
      </c>
      <c r="H107" s="101" t="s">
        <v>3340</v>
      </c>
      <c r="I107" s="101" t="str">
        <f>IFERROR(VLOOKUP(B107,'02. MM-KLH'!$B$6:$T$823,8,0),"")</f>
        <v>XN Bò AD</v>
      </c>
      <c r="J107" s="105">
        <f>IFERROR(VLOOKUP(B107,'02. MM-KLH'!$B$6:$T$823,9,0),"")</f>
        <v>0</v>
      </c>
      <c r="K107" s="101" t="str">
        <f>IFERROR(VLOOKUP(B107,'02. MM-KLH'!$B$6:$T$823,10,0),"")</f>
        <v>Bình thường</v>
      </c>
      <c r="L107" s="107">
        <f>IFERROR(VLOOKUP(B107,'02. MM-KLH'!$B$6:$T$823,11,0),"")</f>
        <v>0</v>
      </c>
      <c r="M107" s="864">
        <f>IFERROR(VLOOKUP(B107,'02. MM-KLH'!$B$6:$T$823,12,0),"")</f>
        <v>0</v>
      </c>
      <c r="N107" s="110" t="str">
        <f>IFERROR(VLOOKUP(B107,'02. MM-KLH'!$B$6:$T$823,13,0),"")</f>
        <v>KUBOTA</v>
      </c>
      <c r="O107" s="110" t="str">
        <f>IFERROR(VLOOKUP(B107,'02. MM-KLH'!$B$6:$T$823,14,0),"")</f>
        <v>NHẬT BẢN</v>
      </c>
      <c r="P107" s="101">
        <f>IFERROR(VLOOKUP(B107,'02. MM-KLH'!$B$6:$T$823,15,0),"")</f>
        <v>2011</v>
      </c>
      <c r="Q107" s="101">
        <f>IFERROR(VLOOKUP(B107,'02. MM-KLH'!$B$6:$T$823,16,0),"")</f>
        <v>9540</v>
      </c>
      <c r="R107" s="101" t="str">
        <f>IFERROR(VLOOKUP(B107,'02. MM-KLH'!$B$6:$T$823,17,0),"")</f>
        <v>95HP</v>
      </c>
      <c r="S107" s="110" t="str">
        <f>IFERROR(VLOOKUP(B107,'02. MM-KLH'!$B$6:$T$823,18,0),"")</f>
        <v>BY0896</v>
      </c>
      <c r="T107" s="111" t="str">
        <f>IFERROR(VLOOKUP(B107,'02. MM-KLH'!$B$6:$T$823,19,0),"")</f>
        <v>CCN</v>
      </c>
      <c r="U107" s="863" t="s">
        <v>451</v>
      </c>
    </row>
    <row r="108" ht="13.5" customHeight="1" spans="1:21">
      <c r="A108" s="101"/>
      <c r="B108" s="104"/>
      <c r="C108" s="102"/>
      <c r="D108" s="103" t="str">
        <f>IFERROR(VLOOKUP(B108,'02. MM-KLH'!$B$6:$T$823,3,0),"")</f>
        <v/>
      </c>
      <c r="E108" s="102" t="str">
        <f>IFERROR(VLOOKUP(B108,'02. MM-KLH'!$B$6:$T$823,4,0),"")</f>
        <v/>
      </c>
      <c r="F108" s="104"/>
      <c r="G108" s="102" t="str">
        <f>IFERROR(VLOOKUP(B108,'02. MM-KLH'!$B$6:$T$823,6,0),"")</f>
        <v/>
      </c>
      <c r="H108" s="101"/>
      <c r="I108" s="101" t="str">
        <f>IFERROR(VLOOKUP(B108,'02. MM-KLH'!$B$6:$T$823,8,0),"")</f>
        <v/>
      </c>
      <c r="J108" s="105" t="str">
        <f>IFERROR(VLOOKUP(B108,'02. MM-KLH'!$B$6:$T$823,9,0),"")</f>
        <v/>
      </c>
      <c r="K108" s="101" t="str">
        <f>IFERROR(VLOOKUP(B108,'02. MM-KLH'!$B$6:$T$823,10,0),"")</f>
        <v/>
      </c>
      <c r="L108" s="107" t="str">
        <f>IFERROR(VLOOKUP(B108,'02. MM-KLH'!$B$6:$T$823,11,0),"")</f>
        <v/>
      </c>
      <c r="M108" s="864" t="str">
        <f>IFERROR(VLOOKUP(B108,'02. MM-KLH'!$B$6:$T$823,12,0),"")</f>
        <v/>
      </c>
      <c r="N108" s="110" t="str">
        <f>IFERROR(VLOOKUP(B108,'02. MM-KLH'!$B$6:$T$823,13,0),"")</f>
        <v/>
      </c>
      <c r="O108" s="110" t="str">
        <f>IFERROR(VLOOKUP(B108,'02. MM-KLH'!$B$6:$T$823,14,0),"")</f>
        <v/>
      </c>
      <c r="P108" s="101" t="str">
        <f>IFERROR(VLOOKUP(B108,'02. MM-KLH'!$B$6:$T$823,15,0),"")</f>
        <v/>
      </c>
      <c r="Q108" s="101" t="str">
        <f>IFERROR(VLOOKUP(B108,'02. MM-KLH'!$B$6:$T$823,16,0),"")</f>
        <v/>
      </c>
      <c r="R108" s="101" t="str">
        <f>IFERROR(VLOOKUP(B108,'02. MM-KLH'!$B$6:$T$823,17,0),"")</f>
        <v/>
      </c>
      <c r="S108" s="110" t="str">
        <f>IFERROR(VLOOKUP(B108,'02. MM-KLH'!$B$6:$T$823,18,0),"")</f>
        <v/>
      </c>
      <c r="T108" s="111" t="str">
        <f>IFERROR(VLOOKUP(B108,'02. MM-KLH'!$B$6:$T$823,19,0),"")</f>
        <v/>
      </c>
      <c r="U108" s="111" t="str">
        <f>IFERROR(VLOOKUP(C108,'02. MM-KLH'!$B$6:$T$823,19,0),"")</f>
        <v/>
      </c>
    </row>
    <row r="109" ht="13.5" customHeight="1" spans="1:21">
      <c r="A109" s="96" t="s">
        <v>948</v>
      </c>
      <c r="B109" s="210" t="s">
        <v>3341</v>
      </c>
      <c r="C109" s="96">
        <f>COUNTA(B110:B138)</f>
        <v>26</v>
      </c>
      <c r="D109" s="96" t="str">
        <f>IFERROR(VLOOKUP(B109,'02. MM-KLH'!$B$6:$T$823,3,0),"")</f>
        <v/>
      </c>
      <c r="E109" s="96" t="str">
        <f>IFERROR(VLOOKUP(B109,'02. MM-KLH'!$B$6:$T$823,4,0),"")</f>
        <v/>
      </c>
      <c r="F109" s="96"/>
      <c r="G109" s="96" t="str">
        <f>IFERROR(VLOOKUP(B109,'02. MM-KLH'!$B$6:$T$823,6,0),"")</f>
        <v/>
      </c>
      <c r="H109" s="96"/>
      <c r="I109" s="96" t="str">
        <f>IFERROR(VLOOKUP(B109,'02. MM-KLH'!$B$6:$T$823,8,0),"")</f>
        <v/>
      </c>
      <c r="J109" s="96" t="str">
        <f>IFERROR(VLOOKUP(B109,'02. MM-KLH'!$B$6:$T$823,9,0),"")</f>
        <v/>
      </c>
      <c r="K109" s="96" t="str">
        <f>IFERROR(VLOOKUP(B109,'02. MM-KLH'!$B$6:$T$823,10,0),"")</f>
        <v/>
      </c>
      <c r="L109" s="96" t="str">
        <f>IFERROR(VLOOKUP(B109,'02. MM-KLH'!$B$6:$T$823,11,0),"")</f>
        <v/>
      </c>
      <c r="M109" s="96" t="str">
        <f>IFERROR(VLOOKUP(B109,'02. MM-KLH'!$B$6:$T$823,12,0),"")</f>
        <v/>
      </c>
      <c r="N109" s="96" t="str">
        <f>IFERROR(VLOOKUP(B109,'02. MM-KLH'!$B$6:$T$823,13,0),"")</f>
        <v/>
      </c>
      <c r="O109" s="96" t="str">
        <f>IFERROR(VLOOKUP(B109,'02. MM-KLH'!$B$6:$T$823,14,0),"")</f>
        <v/>
      </c>
      <c r="P109" s="96" t="str">
        <f>IFERROR(VLOOKUP(B109,'02. MM-KLH'!$B$6:$T$823,15,0),"")</f>
        <v/>
      </c>
      <c r="Q109" s="96" t="str">
        <f>IFERROR(VLOOKUP(B109,'02. MM-KLH'!$B$6:$T$823,16,0),"")</f>
        <v/>
      </c>
      <c r="R109" s="96" t="str">
        <f>IFERROR(VLOOKUP(B109,'02. MM-KLH'!$B$6:$T$823,17,0),"")</f>
        <v/>
      </c>
      <c r="S109" s="96" t="str">
        <f>IFERROR(VLOOKUP(B109,'02. MM-KLH'!$B$6:$T$823,18,0),"")</f>
        <v/>
      </c>
      <c r="T109" s="96" t="str">
        <f>IFERROR(VLOOKUP(B109,'02. MM-KLH'!$B$6:$T$823,19,0),"")</f>
        <v/>
      </c>
      <c r="U109" s="96" t="str">
        <f>IFERROR(VLOOKUP(C109,'02. MM-KLH'!$B$6:$T$823,19,0),"")</f>
        <v/>
      </c>
    </row>
    <row r="110" ht="13.5" customHeight="1" spans="1:21">
      <c r="A110" s="101">
        <v>1</v>
      </c>
      <c r="B110" s="104" t="s">
        <v>973</v>
      </c>
      <c r="C110" s="102" t="str">
        <f>IFERROR(VLOOKUP(B110,'02. MM-KLH'!$B$6:$T$823,2,0),"")</f>
        <v>MK06NNKLH</v>
      </c>
      <c r="D110" s="103" t="str">
        <f>IFERROR(VLOOKUP(B110,'02. MM-KLH'!$B$6:$T$823,3,0),"")</f>
        <v>A23-MKE-005</v>
      </c>
      <c r="E110" s="102">
        <f>IFERROR(VLOOKUP(B110,'02. MM-KLH'!$B$6:$T$823,4,0),"")</f>
        <v>0</v>
      </c>
      <c r="F110" s="104" t="s">
        <v>1909</v>
      </c>
      <c r="G110" s="102" t="str">
        <f>IFERROR(VLOOKUP(B110,'02. MM-KLH'!$B$6:$T$823,6,0),"")</f>
        <v>Máy cày JD 6603</v>
      </c>
      <c r="H110" s="101" t="s">
        <v>3340</v>
      </c>
      <c r="I110" s="101" t="str">
        <f>IFERROR(VLOOKUP(B110,'02. MM-KLH'!$B$6:$T$823,8,0),"")</f>
        <v>CGLĐ DP</v>
      </c>
      <c r="J110" s="105">
        <f>IFERROR(VLOOKUP(B110,'02. MM-KLH'!$B$6:$T$823,9,0),"")</f>
        <v>0</v>
      </c>
      <c r="K110" s="101" t="str">
        <f>IFERROR(VLOOKUP(B110,'02. MM-KLH'!$B$6:$T$823,10,0),"")</f>
        <v>Bình thường</v>
      </c>
      <c r="L110" s="107">
        <f>IFERROR(VLOOKUP(B110,'02. MM-KLH'!$B$6:$T$823,11,0),"")</f>
        <v>0</v>
      </c>
      <c r="M110" s="864" t="str">
        <f>IFERROR(VLOOKUP(B110,'02. MM-KLH'!$B$6:$T$823,12,0),"")</f>
        <v>ĐCHUYEN HỖ TRỢ XNB 2 THÁNG TỪ 13/07/2026</v>
      </c>
      <c r="N110" s="110" t="str">
        <f>IFERROR(VLOOKUP(B110,'02. MM-KLH'!$B$6:$T$823,13,0),"")</f>
        <v>JOHN DEERE</v>
      </c>
      <c r="O110" s="110" t="str">
        <f>IFERROR(VLOOKUP(B110,'02. MM-KLH'!$B$6:$T$823,14,0),"")</f>
        <v>MỸ</v>
      </c>
      <c r="P110" s="101">
        <f>IFERROR(VLOOKUP(B110,'02. MM-KLH'!$B$6:$T$823,15,0),"")</f>
        <v>2018</v>
      </c>
      <c r="Q110" s="101">
        <f>IFERROR(VLOOKUP(B110,'02. MM-KLH'!$B$6:$T$823,16,0),"")</f>
        <v>6603</v>
      </c>
      <c r="R110" s="101" t="str">
        <f>IFERROR(VLOOKUP(B110,'02. MM-KLH'!$B$6:$T$823,17,0),"")</f>
        <v>120HP</v>
      </c>
      <c r="S110" s="110">
        <f>IFERROR(VLOOKUP(B110,'02. MM-KLH'!$B$6:$T$823,18,0),"")</f>
        <v>33028</v>
      </c>
      <c r="T110" s="111" t="str">
        <f>IFERROR(VLOOKUP(B110,'02. MM-KLH'!$B$6:$T$823,19,0),"")</f>
        <v>CCN</v>
      </c>
      <c r="U110" s="863" t="s">
        <v>451</v>
      </c>
    </row>
    <row r="111" ht="13.5" customHeight="1" spans="1:21">
      <c r="A111" s="101">
        <f t="shared" ref="A111:A135" si="5">A110+1</f>
        <v>2</v>
      </c>
      <c r="B111" s="104" t="s">
        <v>978</v>
      </c>
      <c r="C111" s="102" t="str">
        <f>IFERROR(VLOOKUP(B111,'02. MM-KLH'!$B$6:$T$823,2,0),"")</f>
        <v>XDP-MKE-006(MK12NNKLH)</v>
      </c>
      <c r="D111" s="103" t="str">
        <f>IFERROR(VLOOKUP(B111,'02. MM-KLH'!$B$6:$T$823,3,0),"")</f>
        <v>A23-MKE-006</v>
      </c>
      <c r="E111" s="102">
        <f>IFERROR(VLOOKUP(B111,'02. MM-KLH'!$B$6:$T$823,4,0),"")</f>
        <v>0</v>
      </c>
      <c r="F111" s="104" t="s">
        <v>1909</v>
      </c>
      <c r="G111" s="102" t="str">
        <f>IFERROR(VLOOKUP(B111,'02. MM-KLH'!$B$6:$T$823,6,0),"")</f>
        <v>Máy cày JD 6603</v>
      </c>
      <c r="H111" s="101" t="s">
        <v>3340</v>
      </c>
      <c r="I111" s="101" t="str">
        <f>IFERROR(VLOOKUP(B111,'02. MM-KLH'!$B$6:$T$823,8,0),"")</f>
        <v>CGLĐ DP</v>
      </c>
      <c r="J111" s="105">
        <f>IFERROR(VLOOKUP(B111,'02. MM-KLH'!$B$6:$T$823,9,0),"")</f>
        <v>43862</v>
      </c>
      <c r="K111" s="101" t="str">
        <f>IFERROR(VLOOKUP(B111,'02. MM-KLH'!$B$6:$T$823,10,0),"")</f>
        <v>Bình thường</v>
      </c>
      <c r="L111" s="107">
        <f>IFERROR(VLOOKUP(B111,'02. MM-KLH'!$B$6:$T$823,11,0),"")</f>
        <v>0.5</v>
      </c>
      <c r="M111" s="864">
        <f>IFERROR(VLOOKUP(B111,'02. MM-KLH'!$B$6:$T$823,12,0),"")</f>
        <v>0</v>
      </c>
      <c r="N111" s="110" t="str">
        <f>IFERROR(VLOOKUP(B111,'02. MM-KLH'!$B$6:$T$823,13,0),"")</f>
        <v>JOHN DEERE</v>
      </c>
      <c r="O111" s="110" t="str">
        <f>IFERROR(VLOOKUP(B111,'02. MM-KLH'!$B$6:$T$823,14,0),"")</f>
        <v>MỸ</v>
      </c>
      <c r="P111" s="101">
        <f>IFERROR(VLOOKUP(B111,'02. MM-KLH'!$B$6:$T$823,15,0),"")</f>
        <v>2018</v>
      </c>
      <c r="Q111" s="101">
        <f>IFERROR(VLOOKUP(B111,'02. MM-KLH'!$B$6:$T$823,16,0),"")</f>
        <v>6603</v>
      </c>
      <c r="R111" s="101" t="str">
        <f>IFERROR(VLOOKUP(B111,'02. MM-KLH'!$B$6:$T$823,17,0),"")</f>
        <v>120HP</v>
      </c>
      <c r="S111" s="110">
        <f>IFERROR(VLOOKUP(B111,'02. MM-KLH'!$B$6:$T$823,18,0),"")</f>
        <v>33178</v>
      </c>
      <c r="T111" s="111" t="str">
        <f>IFERROR(VLOOKUP(B111,'02. MM-KLH'!$B$6:$T$823,19,0),"")</f>
        <v>CCN</v>
      </c>
      <c r="U111" s="863" t="s">
        <v>451</v>
      </c>
    </row>
    <row r="112" ht="13.5" customHeight="1" spans="1:21">
      <c r="A112" s="101">
        <f t="shared" si="5"/>
        <v>3</v>
      </c>
      <c r="B112" s="104" t="s">
        <v>1907</v>
      </c>
      <c r="C112" s="102" t="str">
        <f>IFERROR(VLOOKUP(B112,'02. MM-KLH'!$B$6:$T$823,2,0),"")</f>
        <v>MK07NNKLH</v>
      </c>
      <c r="D112" s="103" t="str">
        <f>IFERROR(VLOOKUP(B112,'02. MM-KLH'!$B$6:$T$823,3,0),"")</f>
        <v>ATT-A23-0016</v>
      </c>
      <c r="E112" s="102">
        <f>IFERROR(VLOOKUP(B112,'02. MM-KLH'!$B$6:$T$823,4,0),"")</f>
        <v>0</v>
      </c>
      <c r="F112" s="104" t="s">
        <v>1909</v>
      </c>
      <c r="G112" s="102" t="str">
        <f>IFERROR(VLOOKUP(B112,'02. MM-KLH'!$B$6:$T$823,6,0),"")</f>
        <v>Máy cày JD 6603</v>
      </c>
      <c r="H112" s="101" t="s">
        <v>3340</v>
      </c>
      <c r="I112" s="101" t="str">
        <f>IFERROR(VLOOKUP(B112,'02. MM-KLH'!$B$6:$T$823,8,0),"")</f>
        <v>XN Bò AD</v>
      </c>
      <c r="J112" s="105">
        <f>IFERROR(VLOOKUP(B112,'02. MM-KLH'!$B$6:$T$823,9,0),"")</f>
        <v>0</v>
      </c>
      <c r="K112" s="101" t="str">
        <f>IFERROR(VLOOKUP(B112,'02. MM-KLH'!$B$6:$T$823,10,0),"")</f>
        <v>Bình thường</v>
      </c>
      <c r="L112" s="107">
        <f>IFERROR(VLOOKUP(B112,'02. MM-KLH'!$B$6:$T$823,11,0),"")</f>
        <v>0</v>
      </c>
      <c r="M112" s="864" t="str">
        <f>IFERROR(VLOOKUP(B112,'02. MM-KLH'!$B$6:$T$823,12,0),"")</f>
        <v>Hoán đổi xe với CGLĐ LP ngày 06.02.2025 </v>
      </c>
      <c r="N112" s="110" t="str">
        <f>IFERROR(VLOOKUP(B112,'02. MM-KLH'!$B$6:$T$823,13,0),"")</f>
        <v>JOHN DEERE</v>
      </c>
      <c r="O112" s="110" t="str">
        <f>IFERROR(VLOOKUP(B112,'02. MM-KLH'!$B$6:$T$823,14,0),"")</f>
        <v>MỸ</v>
      </c>
      <c r="P112" s="101">
        <f>IFERROR(VLOOKUP(B112,'02. MM-KLH'!$B$6:$T$823,15,0),"")</f>
        <v>2018</v>
      </c>
      <c r="Q112" s="101">
        <f>IFERROR(VLOOKUP(B112,'02. MM-KLH'!$B$6:$T$823,16,0),"")</f>
        <v>6603</v>
      </c>
      <c r="R112" s="101" t="str">
        <f>IFERROR(VLOOKUP(B112,'02. MM-KLH'!$B$6:$T$823,17,0),"")</f>
        <v>120HP</v>
      </c>
      <c r="S112" s="110">
        <f>IFERROR(VLOOKUP(B112,'02. MM-KLH'!$B$6:$T$823,18,0),"")</f>
        <v>32550</v>
      </c>
      <c r="T112" s="111" t="str">
        <f>IFERROR(VLOOKUP(B112,'02. MM-KLH'!$B$6:$T$823,19,0),"")</f>
        <v>CCN</v>
      </c>
      <c r="U112" s="863" t="s">
        <v>451</v>
      </c>
    </row>
    <row r="113" ht="13.5" customHeight="1" spans="1:21">
      <c r="A113" s="101">
        <f t="shared" si="5"/>
        <v>4</v>
      </c>
      <c r="B113" s="104" t="s">
        <v>1037</v>
      </c>
      <c r="C113" s="102" t="str">
        <f>IFERROR(VLOOKUP(B113,'02. MM-KLH'!$B$6:$T$823,2,0),"")</f>
        <v>CNN-MKE-008(MK08NNKLH)</v>
      </c>
      <c r="D113" s="103" t="str">
        <f>IFERROR(VLOOKUP(B113,'02. MM-KLH'!$B$6:$T$823,3,0),"")</f>
        <v>ATT-A23-0016</v>
      </c>
      <c r="E113" s="102">
        <f>IFERROR(VLOOKUP(B113,'02. MM-KLH'!$B$6:$T$823,4,0),"")</f>
        <v>0</v>
      </c>
      <c r="F113" s="104" t="s">
        <v>1909</v>
      </c>
      <c r="G113" s="102" t="str">
        <f>IFERROR(VLOOKUP(B113,'02. MM-KLH'!$B$6:$T$823,6,0),"")</f>
        <v>Máy cày JD 6603</v>
      </c>
      <c r="H113" s="101" t="s">
        <v>3340</v>
      </c>
      <c r="I113" s="101" t="str">
        <f>IFERROR(VLOOKUP(B113,'02. MM-KLH'!$B$6:$T$823,8,0),"")</f>
        <v>CGLĐ LP</v>
      </c>
      <c r="J113" s="105">
        <f>IFERROR(VLOOKUP(B113,'02. MM-KLH'!$B$6:$T$823,9,0),"")</f>
        <v>0</v>
      </c>
      <c r="K113" s="101" t="str">
        <f>IFERROR(VLOOKUP(B113,'02. MM-KLH'!$B$6:$T$823,10,0),"")</f>
        <v>Bình thường</v>
      </c>
      <c r="L113" s="107">
        <f>IFERROR(VLOOKUP(B113,'02. MM-KLH'!$B$6:$T$823,11,0),"")</f>
        <v>0</v>
      </c>
      <c r="M113" s="864" t="str">
        <f>IFERROR(VLOOKUP(B113,'02. MM-KLH'!$B$6:$T$823,12,0),"")</f>
        <v>ĐCHUYEN HỖ TRỢ XNB 2 THÁNG TỪ 13/07/2026</v>
      </c>
      <c r="N113" s="110" t="str">
        <f>IFERROR(VLOOKUP(B113,'02. MM-KLH'!$B$6:$T$823,13,0),"")</f>
        <v>JOHN DEERE</v>
      </c>
      <c r="O113" s="110" t="str">
        <f>IFERROR(VLOOKUP(B113,'02. MM-KLH'!$B$6:$T$823,14,0),"")</f>
        <v>MỸ</v>
      </c>
      <c r="P113" s="101">
        <f>IFERROR(VLOOKUP(B113,'02. MM-KLH'!$B$6:$T$823,15,0),"")</f>
        <v>2018</v>
      </c>
      <c r="Q113" s="101">
        <f>IFERROR(VLOOKUP(B113,'02. MM-KLH'!$B$6:$T$823,16,0),"")</f>
        <v>6603</v>
      </c>
      <c r="R113" s="101" t="str">
        <f>IFERROR(VLOOKUP(B113,'02. MM-KLH'!$B$6:$T$823,17,0),"")</f>
        <v>120HP</v>
      </c>
      <c r="S113" s="110">
        <f>IFERROR(VLOOKUP(B113,'02. MM-KLH'!$B$6:$T$823,18,0),"")</f>
        <v>32607</v>
      </c>
      <c r="T113" s="111" t="str">
        <f>IFERROR(VLOOKUP(B113,'02. MM-KLH'!$B$6:$T$823,19,0),"")</f>
        <v>CCN</v>
      </c>
      <c r="U113" s="863" t="s">
        <v>451</v>
      </c>
    </row>
    <row r="114" ht="13.5" customHeight="1" spans="1:21">
      <c r="A114" s="101">
        <f t="shared" si="5"/>
        <v>5</v>
      </c>
      <c r="B114" s="104" t="s">
        <v>1039</v>
      </c>
      <c r="C114" s="102" t="str">
        <f>IFERROR(VLOOKUP(B114,'02. MM-KLH'!$B$6:$T$823,2,0),"")</f>
        <v>CNN-MKE-010 (MK10NNKLH)</v>
      </c>
      <c r="D114" s="103" t="str">
        <f>IFERROR(VLOOKUP(B114,'02. MM-KLH'!$B$6:$T$823,3,0),"")</f>
        <v>ATT-A23-0016</v>
      </c>
      <c r="E114" s="102">
        <f>IFERROR(VLOOKUP(B114,'02. MM-KLH'!$B$6:$T$823,4,0),"")</f>
        <v>0</v>
      </c>
      <c r="F114" s="104" t="s">
        <v>1909</v>
      </c>
      <c r="G114" s="102" t="str">
        <f>IFERROR(VLOOKUP(B114,'02. MM-KLH'!$B$6:$T$823,6,0),"")</f>
        <v>Máy cày JD 6603</v>
      </c>
      <c r="H114" s="101" t="s">
        <v>3340</v>
      </c>
      <c r="I114" s="101" t="str">
        <f>IFERROR(VLOOKUP(B114,'02. MM-KLH'!$B$6:$T$823,8,0),"")</f>
        <v>CGLĐ LP</v>
      </c>
      <c r="J114" s="105">
        <f>IFERROR(VLOOKUP(B114,'02. MM-KLH'!$B$6:$T$823,9,0),"")</f>
        <v>0</v>
      </c>
      <c r="K114" s="101" t="str">
        <f>IFERROR(VLOOKUP(B114,'02. MM-KLH'!$B$6:$T$823,10,0),"")</f>
        <v>Bình thường</v>
      </c>
      <c r="L114" s="107">
        <f>IFERROR(VLOOKUP(B114,'02. MM-KLH'!$B$6:$T$823,11,0),"")</f>
        <v>0</v>
      </c>
      <c r="M114" s="864">
        <f>IFERROR(VLOOKUP(B114,'02. MM-KLH'!$B$6:$T$823,12,0),"")</f>
        <v>0</v>
      </c>
      <c r="N114" s="110" t="str">
        <f>IFERROR(VLOOKUP(B114,'02. MM-KLH'!$B$6:$T$823,13,0),"")</f>
        <v>JOHN DEERE</v>
      </c>
      <c r="O114" s="110" t="str">
        <f>IFERROR(VLOOKUP(B114,'02. MM-KLH'!$B$6:$T$823,14,0),"")</f>
        <v>MỸ</v>
      </c>
      <c r="P114" s="101">
        <f>IFERROR(VLOOKUP(B114,'02. MM-KLH'!$B$6:$T$823,15,0),"")</f>
        <v>2018</v>
      </c>
      <c r="Q114" s="101">
        <f>IFERROR(VLOOKUP(B114,'02. MM-KLH'!$B$6:$T$823,16,0),"")</f>
        <v>6603</v>
      </c>
      <c r="R114" s="101" t="str">
        <f>IFERROR(VLOOKUP(B114,'02. MM-KLH'!$B$6:$T$823,17,0),"")</f>
        <v>120HP</v>
      </c>
      <c r="S114" s="110" t="str">
        <f>IFERROR(VLOOKUP(B114,'02. MM-KLH'!$B$6:$T$823,18,0),"")</f>
        <v>J0033179</v>
      </c>
      <c r="T114" s="1094" t="str">
        <f>IFERROR(VLOOKUP(B114,'02. MM-KLH'!$B$6:$T$823,19,0),"")</f>
        <v>05958</v>
      </c>
      <c r="U114" s="863" t="s">
        <v>451</v>
      </c>
    </row>
    <row r="115" ht="13.5" customHeight="1" spans="1:21">
      <c r="A115" s="101">
        <f t="shared" si="5"/>
        <v>6</v>
      </c>
      <c r="B115" s="104" t="s">
        <v>1043</v>
      </c>
      <c r="C115" s="102" t="str">
        <f>IFERROR(VLOOKUP(B115,'02. MM-KLH'!$B$6:$T$823,2,0),"")</f>
        <v>CNN-MKE-011(MK11NNKLH)</v>
      </c>
      <c r="D115" s="103" t="str">
        <f>IFERROR(VLOOKUP(B115,'02. MM-KLH'!$B$6:$T$823,3,0),"")</f>
        <v>ATT-A23-0016</v>
      </c>
      <c r="E115" s="102">
        <f>IFERROR(VLOOKUP(B115,'02. MM-KLH'!$B$6:$T$823,4,0),"")</f>
        <v>0</v>
      </c>
      <c r="F115" s="104" t="s">
        <v>1909</v>
      </c>
      <c r="G115" s="102" t="str">
        <f>IFERROR(VLOOKUP(B115,'02. MM-KLH'!$B$6:$T$823,6,0),"")</f>
        <v>Máy cày JD 6603</v>
      </c>
      <c r="H115" s="101" t="s">
        <v>3340</v>
      </c>
      <c r="I115" s="101" t="str">
        <f>IFERROR(VLOOKUP(B115,'02. MM-KLH'!$B$6:$T$823,8,0),"")</f>
        <v>CGLĐ LP</v>
      </c>
      <c r="J115" s="105">
        <f>IFERROR(VLOOKUP(B115,'02. MM-KLH'!$B$6:$T$823,9,0),"")</f>
        <v>0</v>
      </c>
      <c r="K115" s="101" t="str">
        <f>IFERROR(VLOOKUP(B115,'02. MM-KLH'!$B$6:$T$823,10,0),"")</f>
        <v>Bình thường</v>
      </c>
      <c r="L115" s="107">
        <f>IFERROR(VLOOKUP(B115,'02. MM-KLH'!$B$6:$T$823,11,0),"")</f>
        <v>0</v>
      </c>
      <c r="M115" s="864">
        <f>IFERROR(VLOOKUP(B115,'02. MM-KLH'!$B$6:$T$823,12,0),"")</f>
        <v>0</v>
      </c>
      <c r="N115" s="110" t="str">
        <f>IFERROR(VLOOKUP(B115,'02. MM-KLH'!$B$6:$T$823,13,0),"")</f>
        <v>JOHN DEERE</v>
      </c>
      <c r="O115" s="110" t="str">
        <f>IFERROR(VLOOKUP(B115,'02. MM-KLH'!$B$6:$T$823,14,0),"")</f>
        <v>MỸ</v>
      </c>
      <c r="P115" s="101">
        <f>IFERROR(VLOOKUP(B115,'02. MM-KLH'!$B$6:$T$823,15,0),"")</f>
        <v>2018</v>
      </c>
      <c r="Q115" s="101">
        <f>IFERROR(VLOOKUP(B115,'02. MM-KLH'!$B$6:$T$823,16,0),"")</f>
        <v>6603</v>
      </c>
      <c r="R115" s="101" t="str">
        <f>IFERROR(VLOOKUP(B115,'02. MM-KLH'!$B$6:$T$823,17,0),"")</f>
        <v>120HP</v>
      </c>
      <c r="S115" s="110" t="str">
        <f>IFERROR(VLOOKUP(B115,'02. MM-KLH'!$B$6:$T$823,18,0),"")</f>
        <v>1P06603XLJ0032211</v>
      </c>
      <c r="T115" s="111" t="str">
        <f>IFERROR(VLOOKUP(B115,'02. MM-KLH'!$B$6:$T$823,19,0),"")</f>
        <v>PE6068E003752</v>
      </c>
      <c r="U115" s="863" t="s">
        <v>451</v>
      </c>
    </row>
    <row r="116" ht="13.5" customHeight="1" spans="1:21">
      <c r="A116" s="101">
        <f t="shared" si="5"/>
        <v>7</v>
      </c>
      <c r="B116" s="104" t="s">
        <v>1107</v>
      </c>
      <c r="C116" s="102" t="str">
        <f>IFERROR(VLOOKUP(B116,'02. MM-KLH'!$B$6:$T$823,2,0),"")</f>
        <v>CNN-MKE-013(MK13NNKLH)</v>
      </c>
      <c r="D116" s="103" t="str">
        <f>IFERROR(VLOOKUP(B116,'02. MM-KLH'!$B$6:$T$823,3,0),"")</f>
        <v>ATT-A23-0016</v>
      </c>
      <c r="E116" s="102">
        <f>IFERROR(VLOOKUP(B116,'02. MM-KLH'!$B$6:$T$823,4,0),"")</f>
        <v>0</v>
      </c>
      <c r="F116" s="104" t="s">
        <v>1909</v>
      </c>
      <c r="G116" s="102" t="str">
        <f>IFERROR(VLOOKUP(B116,'02. MM-KLH'!$B$6:$T$823,6,0),"")</f>
        <v>Máy cày JD 6603</v>
      </c>
      <c r="H116" s="101" t="s">
        <v>3340</v>
      </c>
      <c r="I116" s="101" t="str">
        <f>IFERROR(VLOOKUP(B116,'02. MM-KLH'!$B$6:$T$823,8,0),"")</f>
        <v>XN Bò AD</v>
      </c>
      <c r="J116" s="105">
        <f>IFERROR(VLOOKUP(B116,'02. MM-KLH'!$B$6:$T$823,9,0),"")</f>
        <v>43862</v>
      </c>
      <c r="K116" s="101" t="str">
        <f>IFERROR(VLOOKUP(B116,'02. MM-KLH'!$B$6:$T$823,10,0),"")</f>
        <v>Bình thường</v>
      </c>
      <c r="L116" s="107">
        <f>IFERROR(VLOOKUP(B116,'02. MM-KLH'!$B$6:$T$823,11,0),"")</f>
        <v>0.5</v>
      </c>
      <c r="M116" s="864">
        <f>IFERROR(VLOOKUP(B116,'02. MM-KLH'!$B$6:$T$823,12,0),"")</f>
        <v>0</v>
      </c>
      <c r="N116" s="110" t="str">
        <f>IFERROR(VLOOKUP(B116,'02. MM-KLH'!$B$6:$T$823,13,0),"")</f>
        <v>JOHN DEERE</v>
      </c>
      <c r="O116" s="110" t="str">
        <f>IFERROR(VLOOKUP(B116,'02. MM-KLH'!$B$6:$T$823,14,0),"")</f>
        <v>MỸ</v>
      </c>
      <c r="P116" s="101">
        <f>IFERROR(VLOOKUP(B116,'02. MM-KLH'!$B$6:$T$823,15,0),"")</f>
        <v>2018</v>
      </c>
      <c r="Q116" s="101">
        <f>IFERROR(VLOOKUP(B116,'02. MM-KLH'!$B$6:$T$823,16,0),"")</f>
        <v>6603</v>
      </c>
      <c r="R116" s="101" t="str">
        <f>IFERROR(VLOOKUP(B116,'02. MM-KLH'!$B$6:$T$823,17,0),"")</f>
        <v>120HP</v>
      </c>
      <c r="S116" s="110">
        <f>IFERROR(VLOOKUP(B116,'02. MM-KLH'!$B$6:$T$823,18,0),"")</f>
        <v>33027</v>
      </c>
      <c r="T116" s="111" t="str">
        <f>IFERROR(VLOOKUP(B116,'02. MM-KLH'!$B$6:$T$823,19,0),"")</f>
        <v>CCN</v>
      </c>
      <c r="U116" s="863" t="s">
        <v>451</v>
      </c>
    </row>
    <row r="117" ht="13.5" customHeight="1" spans="1:21">
      <c r="A117" s="101">
        <f t="shared" si="5"/>
        <v>8</v>
      </c>
      <c r="B117" s="104" t="s">
        <v>980</v>
      </c>
      <c r="C117" s="102" t="str">
        <f>IFERROR(VLOOKUP(B117,'02. MM-KLH'!$B$6:$T$823,2,0),"")</f>
        <v>MỚI </v>
      </c>
      <c r="D117" s="103" t="str">
        <f>IFERROR(VLOOKUP(B117,'02. MM-KLH'!$B$6:$T$823,3,0),"")</f>
        <v>A23-MKE-007</v>
      </c>
      <c r="E117" s="102">
        <f>IFERROR(VLOOKUP(B117,'02. MM-KLH'!$B$6:$T$823,4,0),"")</f>
        <v>0</v>
      </c>
      <c r="F117" s="104" t="s">
        <v>3342</v>
      </c>
      <c r="G117" s="102" t="str">
        <f>IFERROR(VLOOKUP(B117,'02. MM-KLH'!$B$6:$T$823,6,0),"")</f>
        <v>Máy cày JD 6120B</v>
      </c>
      <c r="H117" s="101" t="s">
        <v>3340</v>
      </c>
      <c r="I117" s="101" t="str">
        <f>IFERROR(VLOOKUP(B117,'02. MM-KLH'!$B$6:$T$823,8,0),"")</f>
        <v>CGLĐ DP</v>
      </c>
      <c r="J117" s="105" t="str">
        <f>IFERROR(VLOOKUP(B117,'02. MM-KLH'!$B$6:$T$823,9,0),"")</f>
        <v>15/03/2024</v>
      </c>
      <c r="K117" s="101" t="str">
        <f>IFERROR(VLOOKUP(B117,'02. MM-KLH'!$B$6:$T$823,10,0),"")</f>
        <v>Bình thường</v>
      </c>
      <c r="L117" s="107">
        <f>IFERROR(VLOOKUP(B117,'02. MM-KLH'!$B$6:$T$823,11,0),"")</f>
        <v>0</v>
      </c>
      <c r="M117" s="864">
        <f>IFERROR(VLOOKUP(B117,'02. MM-KLH'!$B$6:$T$823,12,0),"")</f>
        <v>0</v>
      </c>
      <c r="N117" s="110" t="str">
        <f>IFERROR(VLOOKUP(B117,'02. MM-KLH'!$B$6:$T$823,13,0),"")</f>
        <v>JOHN DEERE</v>
      </c>
      <c r="O117" s="110" t="str">
        <f>IFERROR(VLOOKUP(B117,'02. MM-KLH'!$B$6:$T$823,14,0),"")</f>
        <v>MỸ</v>
      </c>
      <c r="P117" s="101">
        <f>IFERROR(VLOOKUP(B117,'02. MM-KLH'!$B$6:$T$823,15,0),"")</f>
        <v>2022</v>
      </c>
      <c r="Q117" s="101" t="str">
        <f>IFERROR(VLOOKUP(B117,'02. MM-KLH'!$B$6:$T$823,16,0),"")</f>
        <v>6120B</v>
      </c>
      <c r="R117" s="101" t="str">
        <f>IFERROR(VLOOKUP(B117,'02. MM-KLH'!$B$6:$T$823,17,0),"")</f>
        <v>120HP</v>
      </c>
      <c r="S117" s="110" t="str">
        <f>IFERROR(VLOOKUP(B117,'02. MM-KLH'!$B$6:$T$823,18,0),"")</f>
        <v>1YR6120BARD210216</v>
      </c>
      <c r="T117" s="111" t="str">
        <f>IFERROR(VLOOKUP(B117,'02. MM-KLH'!$B$6:$T$823,19,0),"")</f>
        <v>PE4045N035815</v>
      </c>
      <c r="U117" s="863" t="s">
        <v>3343</v>
      </c>
    </row>
    <row r="118" ht="13.5" customHeight="1" spans="1:21">
      <c r="A118" s="101">
        <f t="shared" si="5"/>
        <v>9</v>
      </c>
      <c r="B118" s="104" t="s">
        <v>1047</v>
      </c>
      <c r="C118" s="102" t="str">
        <f>IFERROR(VLOOKUP(B118,'02. MM-KLH'!$B$6:$T$823,2,0),"")</f>
        <v>MỚI</v>
      </c>
      <c r="D118" s="103" t="str">
        <f>IFERROR(VLOOKUP(B118,'02. MM-KLH'!$B$6:$T$823,3,0),"")</f>
        <v>ATM-A24-0101</v>
      </c>
      <c r="E118" s="102">
        <f>IFERROR(VLOOKUP(B118,'02. MM-KLH'!$B$6:$T$823,4,0),"")</f>
        <v>0</v>
      </c>
      <c r="F118" s="104" t="s">
        <v>3344</v>
      </c>
      <c r="G118" s="102" t="str">
        <f>IFERROR(VLOOKUP(B118,'02. MM-KLH'!$B$6:$T$823,6,0),"")</f>
        <v>Máy cày JD 6120B</v>
      </c>
      <c r="H118" s="101" t="s">
        <v>3340</v>
      </c>
      <c r="I118" s="101" t="str">
        <f>IFERROR(VLOOKUP(B118,'02. MM-KLH'!$B$6:$T$823,8,0),"")</f>
        <v>CGLĐ LP</v>
      </c>
      <c r="J118" s="105" t="str">
        <f>IFERROR(VLOOKUP(B118,'02. MM-KLH'!$B$6:$T$823,9,0),"")</f>
        <v>15/03/2024</v>
      </c>
      <c r="K118" s="101" t="str">
        <f>IFERROR(VLOOKUP(B118,'02. MM-KLH'!$B$6:$T$823,10,0),"")</f>
        <v>Bình thường</v>
      </c>
      <c r="L118" s="107">
        <f>IFERROR(VLOOKUP(B118,'02. MM-KLH'!$B$6:$T$823,11,0),"")</f>
        <v>0</v>
      </c>
      <c r="M118" s="864">
        <f>IFERROR(VLOOKUP(B118,'02. MM-KLH'!$B$6:$T$823,12,0),"")</f>
        <v>0</v>
      </c>
      <c r="N118" s="110" t="str">
        <f>IFERROR(VLOOKUP(B118,'02. MM-KLH'!$B$6:$T$823,13,0),"")</f>
        <v>JOHN DEERE</v>
      </c>
      <c r="O118" s="110" t="str">
        <f>IFERROR(VLOOKUP(B118,'02. MM-KLH'!$B$6:$T$823,14,0),"")</f>
        <v>MỸ</v>
      </c>
      <c r="P118" s="101">
        <f>IFERROR(VLOOKUP(B118,'02. MM-KLH'!$B$6:$T$823,15,0),"")</f>
        <v>2022</v>
      </c>
      <c r="Q118" s="101" t="str">
        <f>IFERROR(VLOOKUP(B118,'02. MM-KLH'!$B$6:$T$823,16,0),"")</f>
        <v>6120B</v>
      </c>
      <c r="R118" s="101" t="str">
        <f>IFERROR(VLOOKUP(B118,'02. MM-KLH'!$B$6:$T$823,17,0),"")</f>
        <v>120HP</v>
      </c>
      <c r="S118" s="110" t="str">
        <f>IFERROR(VLOOKUP(B118,'02. MM-KLH'!$B$6:$T$823,18,0),"")</f>
        <v>1YR6120BERD210219</v>
      </c>
      <c r="T118" s="111" t="str">
        <f>IFERROR(VLOOKUP(B118,'02. MM-KLH'!$B$6:$T$823,19,0),"")</f>
        <v>PE4045N035800</v>
      </c>
      <c r="U118" s="863" t="s">
        <v>3343</v>
      </c>
    </row>
    <row r="119" ht="13.5" customHeight="1" spans="1:21">
      <c r="A119" s="101">
        <f t="shared" si="5"/>
        <v>10</v>
      </c>
      <c r="B119" s="104" t="s">
        <v>986</v>
      </c>
      <c r="C119" s="102" t="str">
        <f>IFERROR(VLOOKUP(B119,'02. MM-KLH'!$B$6:$T$823,2,0),"")</f>
        <v>MỚI </v>
      </c>
      <c r="D119" s="103" t="str">
        <f>IFERROR(VLOOKUP(B119,'02. MM-KLH'!$B$6:$T$823,3,0),"")</f>
        <v>A23-MKE-008</v>
      </c>
      <c r="E119" s="102">
        <f>IFERROR(VLOOKUP(B119,'02. MM-KLH'!$B$6:$T$823,4,0),"")</f>
        <v>0</v>
      </c>
      <c r="F119" s="104" t="s">
        <v>3345</v>
      </c>
      <c r="G119" s="102" t="str">
        <f>IFERROR(VLOOKUP(B119,'02. MM-KLH'!$B$6:$T$823,6,0),"")</f>
        <v>Máy cày JD 5090E</v>
      </c>
      <c r="H119" s="101" t="s">
        <v>3338</v>
      </c>
      <c r="I119" s="101" t="str">
        <f>IFERROR(VLOOKUP(B119,'02. MM-KLH'!$B$6:$T$823,8,0),"")</f>
        <v>CGLĐ DP</v>
      </c>
      <c r="J119" s="105" t="str">
        <f>IFERROR(VLOOKUP(B119,'02. MM-KLH'!$B$6:$T$823,9,0),"")</f>
        <v>15/03/2024</v>
      </c>
      <c r="K119" s="101" t="str">
        <f>IFERROR(VLOOKUP(B119,'02. MM-KLH'!$B$6:$T$823,10,0),"")</f>
        <v>Bình thường</v>
      </c>
      <c r="L119" s="107">
        <f>IFERROR(VLOOKUP(B119,'02. MM-KLH'!$B$6:$T$823,11,0),"")</f>
        <v>0</v>
      </c>
      <c r="M119" s="864">
        <f>IFERROR(VLOOKUP(B119,'02. MM-KLH'!$B$6:$T$823,12,0),"")</f>
        <v>0</v>
      </c>
      <c r="N119" s="110" t="str">
        <f>IFERROR(VLOOKUP(B119,'02. MM-KLH'!$B$6:$T$823,13,0),"")</f>
        <v>JOHN DEERE</v>
      </c>
      <c r="O119" s="110" t="str">
        <f>IFERROR(VLOOKUP(B119,'02. MM-KLH'!$B$6:$T$823,14,0),"")</f>
        <v>MỸ</v>
      </c>
      <c r="P119" s="101">
        <f>IFERROR(VLOOKUP(B119,'02. MM-KLH'!$B$6:$T$823,15,0),"")</f>
        <v>2022</v>
      </c>
      <c r="Q119" s="101" t="str">
        <f>IFERROR(VLOOKUP(B119,'02. MM-KLH'!$B$6:$T$823,16,0),"")</f>
        <v>5090E</v>
      </c>
      <c r="R119" s="101" t="str">
        <f>IFERROR(VLOOKUP(B119,'02. MM-KLH'!$B$6:$T$823,17,0),"")</f>
        <v>90HP</v>
      </c>
      <c r="S119" s="110" t="str">
        <f>IFERROR(VLOOKUP(B119,'02. MM-KLH'!$B$6:$T$823,18,0),"")</f>
        <v>1P05090ELN4073859</v>
      </c>
      <c r="T119" s="111" t="str">
        <f>IFERROR(VLOOKUP(B119,'02. MM-KLH'!$B$6:$T$823,19,0),"")</f>
        <v>PE4045E028102</v>
      </c>
      <c r="U119" s="863" t="s">
        <v>3343</v>
      </c>
    </row>
    <row r="120" ht="13.5" customHeight="1" spans="1:21">
      <c r="A120" s="101">
        <f t="shared" si="5"/>
        <v>11</v>
      </c>
      <c r="B120" s="104" t="s">
        <v>1112</v>
      </c>
      <c r="C120" s="102" t="str">
        <f>IFERROR(VLOOKUP(B120,'02. MM-KLH'!$B$6:$T$823,2,0),"")</f>
        <v>MỚI</v>
      </c>
      <c r="D120" s="103" t="str">
        <f>IFERROR(VLOOKUP(B120,'02. MM-KLH'!$B$6:$T$823,3,0),"")</f>
        <v>ATM-A24-0102</v>
      </c>
      <c r="E120" s="102">
        <f>IFERROR(VLOOKUP(B120,'02. MM-KLH'!$B$6:$T$823,4,0),"")</f>
        <v>0</v>
      </c>
      <c r="F120" s="104" t="s">
        <v>3346</v>
      </c>
      <c r="G120" s="102" t="str">
        <f>IFERROR(VLOOKUP(B120,'02. MM-KLH'!$B$6:$T$823,6,0),"")</f>
        <v>Máy cày JD 5090E</v>
      </c>
      <c r="H120" s="101" t="s">
        <v>3338</v>
      </c>
      <c r="I120" s="101" t="str">
        <f>IFERROR(VLOOKUP(B120,'02. MM-KLH'!$B$6:$T$823,8,0),"")</f>
        <v>XN Bò AD</v>
      </c>
      <c r="J120" s="105" t="str">
        <f>IFERROR(VLOOKUP(B120,'02. MM-KLH'!$B$6:$T$823,9,0),"")</f>
        <v>15/03/2024</v>
      </c>
      <c r="K120" s="101" t="str">
        <f>IFERROR(VLOOKUP(B120,'02. MM-KLH'!$B$6:$T$823,10,0),"")</f>
        <v>Bình thường</v>
      </c>
      <c r="L120" s="107">
        <f>IFERROR(VLOOKUP(B120,'02. MM-KLH'!$B$6:$T$823,11,0),"")</f>
        <v>0</v>
      </c>
      <c r="M120" s="864" t="str">
        <f>IFERROR(VLOOKUP(B120,'02. MM-KLH'!$B$6:$T$823,12,0),"")</f>
        <v>Đ.chuyển từ đội CGLĐ LP ngày 12.08.2024</v>
      </c>
      <c r="N120" s="110" t="str">
        <f>IFERROR(VLOOKUP(B120,'02. MM-KLH'!$B$6:$T$823,13,0),"")</f>
        <v>JOHN DEERE</v>
      </c>
      <c r="O120" s="110" t="str">
        <f>IFERROR(VLOOKUP(B120,'02. MM-KLH'!$B$6:$T$823,14,0),"")</f>
        <v>MỸ</v>
      </c>
      <c r="P120" s="101">
        <f>IFERROR(VLOOKUP(B120,'02. MM-KLH'!$B$6:$T$823,15,0),"")</f>
        <v>2022</v>
      </c>
      <c r="Q120" s="101" t="str">
        <f>IFERROR(VLOOKUP(B120,'02. MM-KLH'!$B$6:$T$823,16,0),"")</f>
        <v>5090E</v>
      </c>
      <c r="R120" s="101" t="str">
        <f>IFERROR(VLOOKUP(B120,'02. MM-KLH'!$B$6:$T$823,17,0),"")</f>
        <v>90HP</v>
      </c>
      <c r="S120" s="110" t="str">
        <f>IFERROR(VLOOKUP(B120,'02. MM-KLH'!$B$6:$T$823,18,0),"")</f>
        <v>1P05090EVN4073521</v>
      </c>
      <c r="T120" s="111" t="str">
        <f>IFERROR(VLOOKUP(B120,'02. MM-KLH'!$B$6:$T$823,19,0),"")</f>
        <v>PE4045E027602</v>
      </c>
      <c r="U120" s="863" t="s">
        <v>3343</v>
      </c>
    </row>
    <row r="121" ht="13.5" customHeight="1" spans="1:21">
      <c r="A121" s="101">
        <f t="shared" si="5"/>
        <v>12</v>
      </c>
      <c r="B121" s="104" t="s">
        <v>1051</v>
      </c>
      <c r="C121" s="102" t="str">
        <f>IFERROR(VLOOKUP(B121,'02. MM-KLH'!$B$6:$T$823,2,0),"")</f>
        <v>XB1-MKE-025</v>
      </c>
      <c r="D121" s="103" t="str">
        <f>IFERROR(VLOOKUP(B121,'02. MM-KLH'!$B$6:$T$823,3,0),"")</f>
        <v>ATT-A22-0312</v>
      </c>
      <c r="E121" s="102">
        <f>IFERROR(VLOOKUP(B121,'02. MM-KLH'!$B$6:$T$823,4,0),"")</f>
        <v>0</v>
      </c>
      <c r="F121" s="104" t="s">
        <v>3347</v>
      </c>
      <c r="G121" s="102" t="str">
        <f>IFERROR(VLOOKUP(B121,'02. MM-KLH'!$B$6:$T$823,6,0),"")</f>
        <v>Máy cày JD 5090E</v>
      </c>
      <c r="H121" s="101" t="s">
        <v>3338</v>
      </c>
      <c r="I121" s="101" t="str">
        <f>IFERROR(VLOOKUP(B121,'02. MM-KLH'!$B$6:$T$823,8,0),"")</f>
        <v>CGLĐ LP</v>
      </c>
      <c r="J121" s="105">
        <f>IFERROR(VLOOKUP(B121,'02. MM-KLH'!$B$6:$T$823,9,0),"")</f>
        <v>45634</v>
      </c>
      <c r="K121" s="101" t="str">
        <f>IFERROR(VLOOKUP(B121,'02. MM-KLH'!$B$6:$T$823,10,0),"")</f>
        <v>Bình thường</v>
      </c>
      <c r="L121" s="107">
        <f>IFERROR(VLOOKUP(B121,'02. MM-KLH'!$B$6:$T$823,11,0),"")</f>
        <v>0.97</v>
      </c>
      <c r="M121" s="864" t="str">
        <f>IFERROR(VLOOKUP(B121,'02. MM-KLH'!$B$6:$T$823,12,0),"")</f>
        <v>Đ.chuyển từ đội CGLĐ AD ngày 12.08.2024</v>
      </c>
      <c r="N121" s="110" t="str">
        <f>IFERROR(VLOOKUP(B121,'02. MM-KLH'!$B$6:$T$823,13,0),"")</f>
        <v>JOHN DEERE</v>
      </c>
      <c r="O121" s="110" t="str">
        <f>IFERROR(VLOOKUP(B121,'02. MM-KLH'!$B$6:$T$823,14,0),"")</f>
        <v>MỸ</v>
      </c>
      <c r="P121" s="101">
        <f>IFERROR(VLOOKUP(B121,'02. MM-KLH'!$B$6:$T$823,15,0),"")</f>
        <v>2022</v>
      </c>
      <c r="Q121" s="101">
        <f>IFERROR(VLOOKUP(B121,'02. MM-KLH'!$B$6:$T$823,16,0),"")</f>
        <v>5090</v>
      </c>
      <c r="R121" s="101" t="str">
        <f>IFERROR(VLOOKUP(B121,'02. MM-KLH'!$B$6:$T$823,17,0),"")</f>
        <v>90HP</v>
      </c>
      <c r="S121" s="110" t="str">
        <f>IFERROR(VLOOKUP(B121,'02. MM-KLH'!$B$6:$T$823,18,0),"")</f>
        <v>1P05090EHN4073538</v>
      </c>
      <c r="T121" s="111" t="str">
        <f>IFERROR(VLOOKUP(B121,'02. MM-KLH'!$B$6:$T$823,19,0),"")</f>
        <v>PE4045E027590</v>
      </c>
      <c r="U121" s="863" t="s">
        <v>3343</v>
      </c>
    </row>
    <row r="122" ht="13.5" customHeight="1" spans="1:21">
      <c r="A122" s="101">
        <f t="shared" si="5"/>
        <v>13</v>
      </c>
      <c r="B122" s="104" t="s">
        <v>1987</v>
      </c>
      <c r="C122" s="102" t="str">
        <f>IFERROR(VLOOKUP(B122,'02. MM-KLH'!$B$6:$T$823,2,0),"")</f>
        <v>CNN-MKE-024</v>
      </c>
      <c r="D122" s="103" t="str">
        <f>IFERROR(VLOOKUP(B122,'02. MM-KLH'!$B$6:$T$823,3,0),"")</f>
        <v>A23-MKE-009</v>
      </c>
      <c r="E122" s="102">
        <f>IFERROR(VLOOKUP(B122,'02. MM-KLH'!$B$6:$T$823,4,0),"")</f>
        <v>0</v>
      </c>
      <c r="F122" s="104"/>
      <c r="G122" s="102" t="str">
        <f>IFERROR(VLOOKUP(B122,'02. MM-KLH'!$B$6:$T$823,6,0),"")</f>
        <v>Máy cày JD 6155J</v>
      </c>
      <c r="H122" s="101" t="s">
        <v>3348</v>
      </c>
      <c r="I122" s="101" t="str">
        <f>IFERROR(VLOOKUP(B122,'02. MM-KLH'!$B$6:$T$823,8,0),"")</f>
        <v>XN Bò AD</v>
      </c>
      <c r="J122" s="105">
        <f>IFERROR(VLOOKUP(B122,'02. MM-KLH'!$B$6:$T$823,9,0),"")</f>
        <v>45540</v>
      </c>
      <c r="K122" s="101" t="str">
        <f>IFERROR(VLOOKUP(B122,'02. MM-KLH'!$B$6:$T$823,10,0),"")</f>
        <v>Bình thường</v>
      </c>
      <c r="L122" s="107">
        <f>IFERROR(VLOOKUP(B122,'02. MM-KLH'!$B$6:$T$823,11,0),"")</f>
        <v>0</v>
      </c>
      <c r="M122" s="864" t="str">
        <f>IFERROR(VLOOKUP(B122,'02. MM-KLH'!$B$6:$T$823,12,0),"")</f>
        <v>CGLĐ LP đchuyen qua ngày 22.05.2026</v>
      </c>
      <c r="N122" s="110" t="str">
        <f>IFERROR(VLOOKUP(B122,'02. MM-KLH'!$B$6:$T$823,13,0),"")</f>
        <v>JOHN DEERE</v>
      </c>
      <c r="O122" s="110" t="str">
        <f>IFERROR(VLOOKUP(B122,'02. MM-KLH'!$B$6:$T$823,14,0),"")</f>
        <v>MỸ</v>
      </c>
      <c r="P122" s="101">
        <f>IFERROR(VLOOKUP(B122,'02. MM-KLH'!$B$6:$T$823,15,0),"")</f>
        <v>2022</v>
      </c>
      <c r="Q122" s="101" t="str">
        <f>IFERROR(VLOOKUP(B122,'02. MM-KLH'!$B$6:$T$823,16,0),"")</f>
        <v>6155J</v>
      </c>
      <c r="R122" s="101" t="str">
        <f>IFERROR(VLOOKUP(B122,'02. MM-KLH'!$B$6:$T$823,17,0),"")</f>
        <v>155HP</v>
      </c>
      <c r="S122" s="110" t="str">
        <f>IFERROR(VLOOKUP(B122,'02. MM-KLH'!$B$6:$T$823,18,0),"")</f>
        <v>1P06155JCP8010851</v>
      </c>
      <c r="T122" s="111" t="str">
        <f>IFERROR(VLOOKUP(B122,'02. MM-KLH'!$B$6:$T$823,19,0),"")</f>
        <v>PE6068J008136</v>
      </c>
      <c r="U122" s="863" t="s">
        <v>3343</v>
      </c>
    </row>
    <row r="123" ht="13.5" customHeight="1" spans="1:21">
      <c r="A123" s="101">
        <f t="shared" si="5"/>
        <v>14</v>
      </c>
      <c r="B123" s="104" t="s">
        <v>1056</v>
      </c>
      <c r="C123" s="102" t="str">
        <f>IFERROR(VLOOKUP(B123,'02. MM-KLH'!$B$6:$T$823,2,0),"")</f>
        <v>MỚI</v>
      </c>
      <c r="D123" s="103" t="str">
        <f>IFERROR(VLOOKUP(B123,'02. MM-KLH'!$B$6:$T$823,3,0),"")</f>
        <v>ATM-A24-0103</v>
      </c>
      <c r="E123" s="102">
        <f>IFERROR(VLOOKUP(B123,'02. MM-KLH'!$B$6:$T$823,4,0),"")</f>
        <v>0</v>
      </c>
      <c r="F123" s="104" t="s">
        <v>3349</v>
      </c>
      <c r="G123" s="102" t="str">
        <f>IFERROR(VLOOKUP(B123,'02. MM-KLH'!$B$6:$T$823,6,0),"")</f>
        <v>Máy cày JD 6155J</v>
      </c>
      <c r="H123" s="101" t="s">
        <v>3348</v>
      </c>
      <c r="I123" s="101" t="str">
        <f>IFERROR(VLOOKUP(B123,'02. MM-KLH'!$B$6:$T$823,8,0),"")</f>
        <v>CGLĐ LP</v>
      </c>
      <c r="J123" s="105">
        <f>IFERROR(VLOOKUP(B123,'02. MM-KLH'!$B$6:$T$823,9,0),"")</f>
        <v>45540</v>
      </c>
      <c r="K123" s="101" t="str">
        <f>IFERROR(VLOOKUP(B123,'02. MM-KLH'!$B$6:$T$823,10,0),"")</f>
        <v>Bình thường</v>
      </c>
      <c r="L123" s="107">
        <f>IFERROR(VLOOKUP(B123,'02. MM-KLH'!$B$6:$T$823,11,0),"")</f>
        <v>0</v>
      </c>
      <c r="M123" s="864">
        <f>IFERROR(VLOOKUP(B123,'02. MM-KLH'!$B$6:$T$823,12,0),"")</f>
        <v>0</v>
      </c>
      <c r="N123" s="110" t="str">
        <f>IFERROR(VLOOKUP(B123,'02. MM-KLH'!$B$6:$T$823,13,0),"")</f>
        <v>JOHN DEERE</v>
      </c>
      <c r="O123" s="110" t="str">
        <f>IFERROR(VLOOKUP(B123,'02. MM-KLH'!$B$6:$T$823,14,0),"")</f>
        <v>MỸ</v>
      </c>
      <c r="P123" s="101">
        <f>IFERROR(VLOOKUP(B123,'02. MM-KLH'!$B$6:$T$823,15,0),"")</f>
        <v>2022</v>
      </c>
      <c r="Q123" s="101" t="str">
        <f>IFERROR(VLOOKUP(B123,'02. MM-KLH'!$B$6:$T$823,16,0),"")</f>
        <v>6155J</v>
      </c>
      <c r="R123" s="101" t="str">
        <f>IFERROR(VLOOKUP(B123,'02. MM-KLH'!$B$6:$T$823,17,0),"")</f>
        <v>155HP</v>
      </c>
      <c r="S123" s="110" t="str">
        <f>IFERROR(VLOOKUP(B123,'02. MM-KLH'!$B$6:$T$823,18,0),"")</f>
        <v>1P06155JJP8010850</v>
      </c>
      <c r="T123" s="111" t="str">
        <f>IFERROR(VLOOKUP(B123,'02. MM-KLH'!$B$6:$T$823,19,0),"")</f>
        <v>PE6068J008148</v>
      </c>
      <c r="U123" s="863" t="s">
        <v>3343</v>
      </c>
    </row>
    <row r="124" ht="13.5" customHeight="1" spans="1:21">
      <c r="A124" s="101">
        <f t="shared" si="5"/>
        <v>15</v>
      </c>
      <c r="B124" s="104" t="s">
        <v>1065</v>
      </c>
      <c r="C124" s="102" t="str">
        <f>IFERROR(VLOOKUP(B124,'02. MM-KLH'!$B$6:$T$823,2,0),"")</f>
        <v>MỚI (ĐQSD)</v>
      </c>
      <c r="D124" s="103" t="str">
        <f>IFERROR(VLOOKUP(B124,'02. MM-KLH'!$B$6:$T$823,3,0),"")</f>
        <v>A24-MKE-021</v>
      </c>
      <c r="E124" s="102">
        <f>IFERROR(VLOOKUP(B124,'02. MM-KLH'!$B$6:$T$823,4,0),"")</f>
        <v>0</v>
      </c>
      <c r="F124" s="104" t="s">
        <v>1066</v>
      </c>
      <c r="G124" s="102" t="str">
        <f>IFERROR(VLOOKUP(B124,'02. MM-KLH'!$B$6:$T$823,6,0),"")</f>
        <v>Máy cày JD 6400</v>
      </c>
      <c r="H124" s="101" t="s">
        <v>3338</v>
      </c>
      <c r="I124" s="101" t="str">
        <f>IFERROR(VLOOKUP(B124,'02. MM-KLH'!$B$6:$T$823,8,0),"")</f>
        <v>CGLĐ LP</v>
      </c>
      <c r="J124" s="105">
        <f>IFERROR(VLOOKUP(B124,'02. MM-KLH'!$B$6:$T$823,9,0),"")</f>
        <v>45360</v>
      </c>
      <c r="K124" s="101" t="str">
        <f>IFERROR(VLOOKUP(B124,'02. MM-KLH'!$B$6:$T$823,10,0),"")</f>
        <v>Bình thường</v>
      </c>
      <c r="L124" s="107">
        <f>IFERROR(VLOOKUP(B124,'02. MM-KLH'!$B$6:$T$823,11,0),"")</f>
        <v>0</v>
      </c>
      <c r="M124" s="864" t="str">
        <f>IFERROR(VLOOKUP(B124,'02. MM-KLH'!$B$6:$T$823,12,0),"")</f>
        <v>Đầu tư mới</v>
      </c>
      <c r="N124" s="110" t="str">
        <f>IFERROR(VLOOKUP(B124,'02. MM-KLH'!$B$6:$T$823,13,0),"")</f>
        <v>JOHN DEERE</v>
      </c>
      <c r="O124" s="110" t="str">
        <f>IFERROR(VLOOKUP(B124,'02. MM-KLH'!$B$6:$T$823,14,0),"")</f>
        <v>ĐỨC</v>
      </c>
      <c r="P124" s="101">
        <f>IFERROR(VLOOKUP(B124,'02. MM-KLH'!$B$6:$T$823,15,0),"")</f>
        <v>1998</v>
      </c>
      <c r="Q124" s="101">
        <f>IFERROR(VLOOKUP(B124,'02. MM-KLH'!$B$6:$T$823,16,0),"")</f>
        <v>6400</v>
      </c>
      <c r="R124" s="101" t="str">
        <f>IFERROR(VLOOKUP(B124,'02. MM-KLH'!$B$6:$T$823,17,0),"")</f>
        <v>100HP</v>
      </c>
      <c r="S124" s="110" t="str">
        <f>IFERROR(VLOOKUP(B124,'02. MM-KLH'!$B$6:$T$823,18,0),"")</f>
        <v>L06400V127612</v>
      </c>
      <c r="T124" s="111" t="str">
        <f>IFERROR(VLOOKUP(B124,'02. MM-KLH'!$B$6:$T$823,19,0),"")</f>
        <v>CD4045T744536</v>
      </c>
      <c r="U124" s="863" t="s">
        <v>3274</v>
      </c>
    </row>
    <row r="125" ht="13.5" customHeight="1" spans="1:21">
      <c r="A125" s="101">
        <f t="shared" si="5"/>
        <v>16</v>
      </c>
      <c r="B125" s="104" t="s">
        <v>990</v>
      </c>
      <c r="C125" s="102" t="str">
        <f>IFERROR(VLOOKUP(B125,'02. MM-KLH'!$B$6:$T$823,2,0),"")</f>
        <v>MỚI (ĐQSD)</v>
      </c>
      <c r="D125" s="103" t="str">
        <f>IFERROR(VLOOKUP(B125,'02. MM-KLH'!$B$6:$T$823,3,0),"")</f>
        <v>A23-MKE-034</v>
      </c>
      <c r="E125" s="102">
        <f>IFERROR(VLOOKUP(B125,'02. MM-KLH'!$B$6:$T$823,4,0),"")</f>
        <v>0</v>
      </c>
      <c r="F125" s="104"/>
      <c r="G125" s="102" t="str">
        <f>IFERROR(VLOOKUP(B125,'02. MM-KLH'!$B$6:$T$823,6,0),"")</f>
        <v>Máy cày JD 6400</v>
      </c>
      <c r="H125" s="101" t="s">
        <v>3348</v>
      </c>
      <c r="I125" s="101" t="str">
        <f>IFERROR(VLOOKUP(B125,'02. MM-KLH'!$B$6:$T$823,8,0),"")</f>
        <v>CGLĐ DP</v>
      </c>
      <c r="J125" s="105" t="str">
        <f>IFERROR(VLOOKUP(B125,'02. MM-KLH'!$B$6:$T$823,9,0),"")</f>
        <v>18/01/2025</v>
      </c>
      <c r="K125" s="101" t="str">
        <f>IFERROR(VLOOKUP(B125,'02. MM-KLH'!$B$6:$T$823,10,0),"")</f>
        <v>Bình thường</v>
      </c>
      <c r="L125" s="107">
        <f>IFERROR(VLOOKUP(B125,'02. MM-KLH'!$B$6:$T$823,11,0),"")</f>
        <v>0</v>
      </c>
      <c r="M125" s="864" t="str">
        <f>IFERROR(VLOOKUP(B125,'02. MM-KLH'!$B$6:$T$823,12,0),"")</f>
        <v>Đầu tư mới</v>
      </c>
      <c r="N125" s="110" t="str">
        <f>IFERROR(VLOOKUP(B125,'02. MM-KLH'!$B$6:$T$823,13,0),"")</f>
        <v>JOHN DEERE</v>
      </c>
      <c r="O125" s="110" t="str">
        <f>IFERROR(VLOOKUP(B125,'02. MM-KLH'!$B$6:$T$823,14,0),"")</f>
        <v>MỸ</v>
      </c>
      <c r="P125" s="101">
        <f>IFERROR(VLOOKUP(B125,'02. MM-KLH'!$B$6:$T$823,15,0),"")</f>
        <v>1998</v>
      </c>
      <c r="Q125" s="101">
        <f>IFERROR(VLOOKUP(B125,'02. MM-KLH'!$B$6:$T$823,16,0),"")</f>
        <v>6400</v>
      </c>
      <c r="R125" s="101" t="str">
        <f>IFERROR(VLOOKUP(B125,'02. MM-KLH'!$B$6:$T$823,17,0),"")</f>
        <v>100HP</v>
      </c>
      <c r="S125" s="110" t="str">
        <f>IFERROR(VLOOKUP(B125,'02. MM-KLH'!$B$6:$T$823,18,0),"")</f>
        <v>V120937</v>
      </c>
      <c r="T125" s="111" t="str">
        <f>IFERROR(VLOOKUP(B125,'02. MM-KLH'!$B$6:$T$823,19,0),"")</f>
        <v>T149522</v>
      </c>
      <c r="U125" s="863" t="s">
        <v>3274</v>
      </c>
    </row>
    <row r="126" ht="13.5" customHeight="1" spans="1:21">
      <c r="A126" s="101">
        <f t="shared" si="5"/>
        <v>17</v>
      </c>
      <c r="B126" s="104" t="s">
        <v>995</v>
      </c>
      <c r="C126" s="102" t="str">
        <f>IFERROR(VLOOKUP(B126,'02. MM-KLH'!$B$6:$T$823,2,0),"")</f>
        <v>MỚI (ĐQSD)</v>
      </c>
      <c r="D126" s="103" t="str">
        <f>IFERROR(VLOOKUP(B126,'02. MM-KLH'!$B$6:$T$823,3,0),"")</f>
        <v>A23-MKE-035</v>
      </c>
      <c r="E126" s="102">
        <f>IFERROR(VLOOKUP(B126,'02. MM-KLH'!$B$6:$T$823,4,0),"")</f>
        <v>0</v>
      </c>
      <c r="F126" s="104"/>
      <c r="G126" s="102" t="str">
        <f>IFERROR(VLOOKUP(B126,'02. MM-KLH'!$B$6:$T$823,6,0),"")</f>
        <v>Máy cày JD 6400</v>
      </c>
      <c r="H126" s="101" t="s">
        <v>3348</v>
      </c>
      <c r="I126" s="101" t="str">
        <f>IFERROR(VLOOKUP(B126,'02. MM-KLH'!$B$6:$T$823,8,0),"")</f>
        <v>CGLĐ DP</v>
      </c>
      <c r="J126" s="105" t="str">
        <f>IFERROR(VLOOKUP(B126,'02. MM-KLH'!$B$6:$T$823,9,0),"")</f>
        <v>18/01/2025</v>
      </c>
      <c r="K126" s="101" t="str">
        <f>IFERROR(VLOOKUP(B126,'02. MM-KLH'!$B$6:$T$823,10,0),"")</f>
        <v>Bình thường</v>
      </c>
      <c r="L126" s="107">
        <f>IFERROR(VLOOKUP(B126,'02. MM-KLH'!$B$6:$T$823,11,0),"")</f>
        <v>0</v>
      </c>
      <c r="M126" s="864" t="str">
        <f>IFERROR(VLOOKUP(B126,'02. MM-KLH'!$B$6:$T$823,12,0),"")</f>
        <v>Đầu tư mới</v>
      </c>
      <c r="N126" s="110" t="str">
        <f>IFERROR(VLOOKUP(B126,'02. MM-KLH'!$B$6:$T$823,13,0),"")</f>
        <v>JOHN DEERE</v>
      </c>
      <c r="O126" s="110" t="str">
        <f>IFERROR(VLOOKUP(B126,'02. MM-KLH'!$B$6:$T$823,14,0),"")</f>
        <v>MỸ</v>
      </c>
      <c r="P126" s="101">
        <f>IFERROR(VLOOKUP(B126,'02. MM-KLH'!$B$6:$T$823,15,0),"")</f>
        <v>1998</v>
      </c>
      <c r="Q126" s="101">
        <f>IFERROR(VLOOKUP(B126,'02. MM-KLH'!$B$6:$T$823,16,0),"")</f>
        <v>6400</v>
      </c>
      <c r="R126" s="101" t="str">
        <f>IFERROR(VLOOKUP(B126,'02. MM-KLH'!$B$6:$T$823,17,0),"")</f>
        <v>100HP</v>
      </c>
      <c r="S126" s="110" t="str">
        <f>IFERROR(VLOOKUP(B126,'02. MM-KLH'!$B$6:$T$823,18,0),"")</f>
        <v>V190731</v>
      </c>
      <c r="T126" s="111" t="str">
        <f>IFERROR(VLOOKUP(B126,'02. MM-KLH'!$B$6:$T$823,19,0),"")</f>
        <v>T318857</v>
      </c>
      <c r="U126" s="863" t="s">
        <v>3274</v>
      </c>
    </row>
    <row r="127" ht="13.5" customHeight="1" spans="1:21">
      <c r="A127" s="101">
        <f t="shared" si="5"/>
        <v>18</v>
      </c>
      <c r="B127" s="867" t="s">
        <v>1078</v>
      </c>
      <c r="C127" s="102" t="str">
        <f>IFERROR(VLOOKUP(B127,'02. MM-KLH'!$B$6:$T$823,2,0),"")</f>
        <v>MỚI (ĐQSD)</v>
      </c>
      <c r="D127" s="103" t="str">
        <f>IFERROR(VLOOKUP(B127,'02. MM-KLH'!$B$6:$T$823,3,0),"")</f>
        <v>A24-MKE-030</v>
      </c>
      <c r="E127" s="102">
        <f>IFERROR(VLOOKUP(B127,'02. MM-KLH'!$B$6:$T$823,4,0),"")</f>
        <v>0</v>
      </c>
      <c r="F127" s="867"/>
      <c r="G127" s="102" t="str">
        <f>IFERROR(VLOOKUP(B127,'02. MM-KLH'!$B$6:$T$823,6,0),"")</f>
        <v>Máy cày JD 3350</v>
      </c>
      <c r="H127" s="868" t="s">
        <v>3338</v>
      </c>
      <c r="I127" s="101" t="str">
        <f>IFERROR(VLOOKUP(B127,'02. MM-KLH'!$B$6:$T$823,8,0),"")</f>
        <v>CGLĐ LP</v>
      </c>
      <c r="J127" s="105">
        <f>IFERROR(VLOOKUP(B127,'02. MM-KLH'!$B$6:$T$823,9,0),"")</f>
        <v>45993</v>
      </c>
      <c r="K127" s="101" t="str">
        <f>IFERROR(VLOOKUP(B127,'02. MM-KLH'!$B$6:$T$823,10,0),"")</f>
        <v>Bình thường</v>
      </c>
      <c r="L127" s="107">
        <f>IFERROR(VLOOKUP(B127,'02. MM-KLH'!$B$6:$T$823,11,0),"")</f>
        <v>0</v>
      </c>
      <c r="M127" s="864" t="str">
        <f>IFERROR(VLOOKUP(B127,'02. MM-KLH'!$B$6:$T$823,12,0),"")</f>
        <v>Đầu tư mới</v>
      </c>
      <c r="N127" s="110" t="str">
        <f>IFERROR(VLOOKUP(B127,'02. MM-KLH'!$B$6:$T$823,13,0),"")</f>
        <v>JOHN DEERE</v>
      </c>
      <c r="O127" s="110" t="str">
        <f>IFERROR(VLOOKUP(B127,'02. MM-KLH'!$B$6:$T$823,14,0),"")</f>
        <v>ĐỨC</v>
      </c>
      <c r="P127" s="101">
        <f>IFERROR(VLOOKUP(B127,'02. MM-KLH'!$B$6:$T$823,15,0),"")</f>
        <v>1993</v>
      </c>
      <c r="Q127" s="101">
        <f>IFERROR(VLOOKUP(B127,'02. MM-KLH'!$B$6:$T$823,16,0),"")</f>
        <v>3350</v>
      </c>
      <c r="R127" s="101" t="str">
        <f>IFERROR(VLOOKUP(B127,'02. MM-KLH'!$B$6:$T$823,17,0),"")</f>
        <v>100HP</v>
      </c>
      <c r="S127" s="110">
        <f>IFERROR(VLOOKUP(B127,'02. MM-KLH'!$B$6:$T$823,18,0),"")</f>
        <v>608107</v>
      </c>
      <c r="T127" s="111" t="str">
        <f>IFERROR(VLOOKUP(B127,'02. MM-KLH'!$B$6:$T$823,19,0),"")</f>
        <v>CD0635-90696675</v>
      </c>
      <c r="U127" s="863" t="s">
        <v>3274</v>
      </c>
    </row>
    <row r="128" ht="13.5" customHeight="1" spans="1:21">
      <c r="A128" s="101">
        <f t="shared" si="5"/>
        <v>19</v>
      </c>
      <c r="B128" s="867" t="s">
        <v>1081</v>
      </c>
      <c r="C128" s="102" t="str">
        <f>IFERROR(VLOOKUP(B128,'02. MM-KLH'!$B$6:$T$823,2,0),"")</f>
        <v>MỚI (ĐQSD)</v>
      </c>
      <c r="D128" s="103" t="str">
        <f>IFERROR(VLOOKUP(B128,'02. MM-KLH'!$B$6:$T$823,3,0),"")</f>
        <v>A24-MKE-031</v>
      </c>
      <c r="E128" s="102">
        <f>IFERROR(VLOOKUP(B128,'02. MM-KLH'!$B$6:$T$823,4,0),"")</f>
        <v>0</v>
      </c>
      <c r="F128" s="867"/>
      <c r="G128" s="102" t="str">
        <f>IFERROR(VLOOKUP(B128,'02. MM-KLH'!$B$6:$T$823,6,0),"")</f>
        <v>Máy cày JD 3650</v>
      </c>
      <c r="H128" s="868" t="s">
        <v>3340</v>
      </c>
      <c r="I128" s="101" t="str">
        <f>IFERROR(VLOOKUP(B128,'02. MM-KLH'!$B$6:$T$823,8,0),"")</f>
        <v>CGLĐ LP</v>
      </c>
      <c r="J128" s="105" t="str">
        <f>IFERROR(VLOOKUP(B128,'02. MM-KLH'!$B$6:$T$823,9,0),"")</f>
        <v>25/02/2025</v>
      </c>
      <c r="K128" s="101" t="str">
        <f>IFERROR(VLOOKUP(B128,'02. MM-KLH'!$B$6:$T$823,10,0),"")</f>
        <v>Bình thường</v>
      </c>
      <c r="L128" s="107">
        <f>IFERROR(VLOOKUP(B128,'02. MM-KLH'!$B$6:$T$823,11,0),"")</f>
        <v>0</v>
      </c>
      <c r="M128" s="864" t="str">
        <f>IFERROR(VLOOKUP(B128,'02. MM-KLH'!$B$6:$T$823,12,0),"")</f>
        <v>Đầu tư mới</v>
      </c>
      <c r="N128" s="110" t="str">
        <f>IFERROR(VLOOKUP(B128,'02. MM-KLH'!$B$6:$T$823,13,0),"")</f>
        <v>JOHN DEERE</v>
      </c>
      <c r="O128" s="110" t="str">
        <f>IFERROR(VLOOKUP(B128,'02. MM-KLH'!$B$6:$T$823,14,0),"")</f>
        <v>ĐỨC</v>
      </c>
      <c r="P128" s="101">
        <f>IFERROR(VLOOKUP(B128,'02. MM-KLH'!$B$6:$T$823,15,0),"")</f>
        <v>1993</v>
      </c>
      <c r="Q128" s="101">
        <f>IFERROR(VLOOKUP(B128,'02. MM-KLH'!$B$6:$T$823,16,0),"")</f>
        <v>3650</v>
      </c>
      <c r="R128" s="101" t="str">
        <f>IFERROR(VLOOKUP(B128,'02. MM-KLH'!$B$6:$T$823,17,0),"")</f>
        <v>115HP</v>
      </c>
      <c r="S128" s="110" t="str">
        <f>IFERROR(VLOOKUP(B128,'02. MM-KLH'!$B$6:$T$823,18,0),"")</f>
        <v>U573763</v>
      </c>
      <c r="T128" s="111" t="str">
        <f>IFERROR(VLOOKUP(B128,'02. MM-KLH'!$B$6:$T$823,19,0),"")</f>
        <v>149701CD</v>
      </c>
      <c r="U128" s="863" t="s">
        <v>3274</v>
      </c>
    </row>
    <row r="129" ht="13.5" customHeight="1" spans="1:21">
      <c r="A129" s="101">
        <f t="shared" si="5"/>
        <v>20</v>
      </c>
      <c r="B129" s="104" t="s">
        <v>999</v>
      </c>
      <c r="C129" s="102" t="str">
        <f>IFERROR(VLOOKUP(B129,'02. MM-KLH'!$B$6:$T$823,2,0),"")</f>
        <v>MỚI (ĐQSD)</v>
      </c>
      <c r="D129" s="103" t="str">
        <f>IFERROR(VLOOKUP(B129,'02. MM-KLH'!$B$6:$T$823,3,0),"")</f>
        <v>A23-MKE-036</v>
      </c>
      <c r="E129" s="102">
        <f>IFERROR(VLOOKUP(B129,'02. MM-KLH'!$B$6:$T$823,4,0),"")</f>
        <v>0</v>
      </c>
      <c r="F129" s="104"/>
      <c r="G129" s="102" t="str">
        <f>IFERROR(VLOOKUP(B129,'02. MM-KLH'!$B$6:$T$823,6,0),"")</f>
        <v>Máy cày JD 2850</v>
      </c>
      <c r="H129" s="101" t="s">
        <v>3340</v>
      </c>
      <c r="I129" s="101" t="str">
        <f>IFERROR(VLOOKUP(B129,'02. MM-KLH'!$B$6:$T$823,8,0),"")</f>
        <v>CGLĐ DP</v>
      </c>
      <c r="J129" s="105">
        <f>IFERROR(VLOOKUP(B129,'02. MM-KLH'!$B$6:$T$823,9,0),"")</f>
        <v>45811</v>
      </c>
      <c r="K129" s="101" t="str">
        <f>IFERROR(VLOOKUP(B129,'02. MM-KLH'!$B$6:$T$823,10,0),"")</f>
        <v>Bình thường</v>
      </c>
      <c r="L129" s="107">
        <f>IFERROR(VLOOKUP(B129,'02. MM-KLH'!$B$6:$T$823,11,0),"")</f>
        <v>0</v>
      </c>
      <c r="M129" s="864" t="str">
        <f>IFERROR(VLOOKUP(B129,'02. MM-KLH'!$B$6:$T$823,12,0),"")</f>
        <v>Đầu tư mới</v>
      </c>
      <c r="N129" s="110" t="str">
        <f>IFERROR(VLOOKUP(B129,'02. MM-KLH'!$B$6:$T$823,13,0),"")</f>
        <v>JOHN DEERE</v>
      </c>
      <c r="O129" s="110" t="str">
        <f>IFERROR(VLOOKUP(B129,'02. MM-KLH'!$B$6:$T$823,14,0),"")</f>
        <v>ĐỨC</v>
      </c>
      <c r="P129" s="101">
        <f>IFERROR(VLOOKUP(B129,'02. MM-KLH'!$B$6:$T$823,15,0),"")</f>
        <v>1994</v>
      </c>
      <c r="Q129" s="101">
        <f>IFERROR(VLOOKUP(B129,'02. MM-KLH'!$B$6:$T$823,16,0),"")</f>
        <v>2850</v>
      </c>
      <c r="R129" s="101" t="str">
        <f>IFERROR(VLOOKUP(B129,'02. MM-KLH'!$B$6:$T$823,17,0),"")</f>
        <v>85HP</v>
      </c>
      <c r="S129" s="110" t="str">
        <f>IFERROR(VLOOKUP(B129,'02. MM-KLH'!$B$6:$T$823,18,0),"")</f>
        <v>717696L</v>
      </c>
      <c r="T129" s="111" t="str">
        <f>IFERROR(VLOOKUP(B129,'02. MM-KLH'!$B$6:$T$823,19,0),"")</f>
        <v>CD4239T907229</v>
      </c>
      <c r="U129" s="863" t="s">
        <v>3274</v>
      </c>
    </row>
    <row r="130" ht="13.5" customHeight="1" spans="1:21">
      <c r="A130" s="101">
        <f t="shared" si="5"/>
        <v>21</v>
      </c>
      <c r="B130" s="104" t="s">
        <v>1003</v>
      </c>
      <c r="C130" s="102" t="str">
        <f>IFERROR(VLOOKUP(B130,'02. MM-KLH'!$B$6:$T$823,2,0),"")</f>
        <v>MỚI (ĐQSD)</v>
      </c>
      <c r="D130" s="103" t="str">
        <f>IFERROR(VLOOKUP(B130,'02. MM-KLH'!$B$6:$T$823,3,0),"")</f>
        <v>A23-MKE-037</v>
      </c>
      <c r="E130" s="102">
        <f>IFERROR(VLOOKUP(B130,'02. MM-KLH'!$B$6:$T$823,4,0),"")</f>
        <v>0</v>
      </c>
      <c r="F130" s="104"/>
      <c r="G130" s="102" t="str">
        <f>IFERROR(VLOOKUP(B130,'02. MM-KLH'!$B$6:$T$823,6,0),"")</f>
        <v>Máy cày JD 3350</v>
      </c>
      <c r="H130" s="101" t="s">
        <v>3340</v>
      </c>
      <c r="I130" s="101" t="str">
        <f>IFERROR(VLOOKUP(B130,'02. MM-KLH'!$B$6:$T$823,8,0),"")</f>
        <v>CGLĐ DP</v>
      </c>
      <c r="J130" s="105">
        <f>IFERROR(VLOOKUP(B130,'02. MM-KLH'!$B$6:$T$823,9,0),"")</f>
        <v>45811</v>
      </c>
      <c r="K130" s="101" t="str">
        <f>IFERROR(VLOOKUP(B130,'02. MM-KLH'!$B$6:$T$823,10,0),"")</f>
        <v>Bình thường</v>
      </c>
      <c r="L130" s="107">
        <f>IFERROR(VLOOKUP(B130,'02. MM-KLH'!$B$6:$T$823,11,0),"")</f>
        <v>0</v>
      </c>
      <c r="M130" s="864" t="str">
        <f>IFERROR(VLOOKUP(B130,'02. MM-KLH'!$B$6:$T$823,12,0),"")</f>
        <v>Đầu tư mới</v>
      </c>
      <c r="N130" s="110" t="str">
        <f>IFERROR(VLOOKUP(B130,'02. MM-KLH'!$B$6:$T$823,13,0),"")</f>
        <v>JOHN DEERE</v>
      </c>
      <c r="O130" s="110" t="str">
        <f>IFERROR(VLOOKUP(B130,'02. MM-KLH'!$B$6:$T$823,14,0),"")</f>
        <v>ĐỨC</v>
      </c>
      <c r="P130" s="101">
        <f>IFERROR(VLOOKUP(B130,'02. MM-KLH'!$B$6:$T$823,15,0),"")</f>
        <v>1993</v>
      </c>
      <c r="Q130" s="101">
        <f>IFERROR(VLOOKUP(B130,'02. MM-KLH'!$B$6:$T$823,16,0),"")</f>
        <v>3350</v>
      </c>
      <c r="R130" s="101" t="str">
        <f>IFERROR(VLOOKUP(B130,'02. MM-KLH'!$B$6:$T$823,17,0),"")</f>
        <v>100HP</v>
      </c>
      <c r="S130" s="110" t="str">
        <f>IFERROR(VLOOKUP(B130,'02. MM-KLH'!$B$6:$T$823,18,0),"")</f>
        <v>711050L</v>
      </c>
      <c r="T130" s="111" t="str">
        <f>IFERROR(VLOOKUP(B130,'02. MM-KLH'!$B$6:$T$823,19,0),"")</f>
        <v>CD6359D897588</v>
      </c>
      <c r="U130" s="863" t="s">
        <v>3274</v>
      </c>
    </row>
    <row r="131" ht="13.5" customHeight="1" spans="1:21">
      <c r="A131" s="101">
        <f t="shared" si="5"/>
        <v>22</v>
      </c>
      <c r="B131" s="104" t="s">
        <v>1007</v>
      </c>
      <c r="C131" s="102" t="str">
        <f>IFERROR(VLOOKUP(B131,'02. MM-KLH'!$B$6:$T$823,2,0),"")</f>
        <v>MỚI (ĐQSD)</v>
      </c>
      <c r="D131" s="103" t="str">
        <f>IFERROR(VLOOKUP(B131,'02. MM-KLH'!$B$6:$T$823,3,0),"")</f>
        <v>A23-MKE-038</v>
      </c>
      <c r="E131" s="102">
        <f>IFERROR(VLOOKUP(B131,'02. MM-KLH'!$B$6:$T$823,4,0),"")</f>
        <v>0</v>
      </c>
      <c r="F131" s="104"/>
      <c r="G131" s="102" t="str">
        <f>IFERROR(VLOOKUP(B131,'02. MM-KLH'!$B$6:$T$823,6,0),"")</f>
        <v>Máy cày JD 7800</v>
      </c>
      <c r="H131" s="101" t="s">
        <v>3340</v>
      </c>
      <c r="I131" s="101" t="str">
        <f>IFERROR(VLOOKUP(B131,'02. MM-KLH'!$B$6:$T$823,8,0),"")</f>
        <v>CGLĐ DP</v>
      </c>
      <c r="J131" s="105">
        <f>IFERROR(VLOOKUP(B131,'02. MM-KLH'!$B$6:$T$823,9,0),"")</f>
        <v>45811</v>
      </c>
      <c r="K131" s="101" t="str">
        <f>IFERROR(VLOOKUP(B131,'02. MM-KLH'!$B$6:$T$823,10,0),"")</f>
        <v>Bình thường</v>
      </c>
      <c r="L131" s="107">
        <f>IFERROR(VLOOKUP(B131,'02. MM-KLH'!$B$6:$T$823,11,0),"")</f>
        <v>0</v>
      </c>
      <c r="M131" s="864" t="str">
        <f>IFERROR(VLOOKUP(B131,'02. MM-KLH'!$B$6:$T$823,12,0),"")</f>
        <v>Đầu tư mới</v>
      </c>
      <c r="N131" s="110" t="str">
        <f>IFERROR(VLOOKUP(B131,'02. MM-KLH'!$B$6:$T$823,13,0),"")</f>
        <v>JOHN DEERE</v>
      </c>
      <c r="O131" s="110" t="str">
        <f>IFERROR(VLOOKUP(B131,'02. MM-KLH'!$B$6:$T$823,14,0),"")</f>
        <v>MỸ</v>
      </c>
      <c r="P131" s="101">
        <f>IFERROR(VLOOKUP(B131,'02. MM-KLH'!$B$6:$T$823,15,0),"")</f>
        <v>1997</v>
      </c>
      <c r="Q131" s="101">
        <f>IFERROR(VLOOKUP(B131,'02. MM-KLH'!$B$6:$T$823,16,0),"")</f>
        <v>7800</v>
      </c>
      <c r="R131" s="101" t="str">
        <f>IFERROR(VLOOKUP(B131,'02. MM-KLH'!$B$6:$T$823,17,0),"")</f>
        <v>170HP</v>
      </c>
      <c r="S131" s="110" t="str">
        <f>IFERROR(VLOOKUP(B131,'02. MM-KLH'!$B$6:$T$823,18,0),"")</f>
        <v>RW7800P015834</v>
      </c>
      <c r="T131" s="111" t="str">
        <f>IFERROR(VLOOKUP(B131,'02. MM-KLH'!$B$6:$T$823,19,0),"")</f>
        <v>RG6076T568036</v>
      </c>
      <c r="U131" s="863" t="s">
        <v>3274</v>
      </c>
    </row>
    <row r="132" ht="13.5" customHeight="1" spans="1:21">
      <c r="A132" s="101">
        <f t="shared" si="5"/>
        <v>23</v>
      </c>
      <c r="B132" s="104" t="s">
        <v>1086</v>
      </c>
      <c r="C132" s="102" t="str">
        <f>IFERROR(VLOOKUP(B132,'02. MM-KLH'!$B$6:$T$823,2,0),"")</f>
        <v>MỚI (ĐQSD)</v>
      </c>
      <c r="D132" s="103" t="str">
        <f>IFERROR(VLOOKUP(B132,'02. MM-KLH'!$B$6:$T$823,3,0),"")</f>
        <v>A24-MKE-036</v>
      </c>
      <c r="E132" s="102">
        <f>IFERROR(VLOOKUP(B132,'02. MM-KLH'!$B$6:$T$823,4,0),"")</f>
        <v>0</v>
      </c>
      <c r="F132" s="104"/>
      <c r="G132" s="102" t="str">
        <f>IFERROR(VLOOKUP(B132,'02. MM-KLH'!$B$6:$T$823,6,0),"")</f>
        <v>Máy cày JD 3640</v>
      </c>
      <c r="H132" s="101"/>
      <c r="I132" s="101" t="str">
        <f>IFERROR(VLOOKUP(B132,'02. MM-KLH'!$B$6:$T$823,8,0),"")</f>
        <v>CGLĐ LP</v>
      </c>
      <c r="J132" s="105" t="str">
        <f>IFERROR(VLOOKUP(B132,'02. MM-KLH'!$B$6:$T$823,9,0),"")</f>
        <v>29/04/2025</v>
      </c>
      <c r="K132" s="101" t="str">
        <f>IFERROR(VLOOKUP(B132,'02. MM-KLH'!$B$6:$T$823,10,0),"")</f>
        <v>Bình thường</v>
      </c>
      <c r="L132" s="107">
        <f>IFERROR(VLOOKUP(B132,'02. MM-KLH'!$B$6:$T$823,11,0),"")</f>
        <v>0</v>
      </c>
      <c r="M132" s="864" t="str">
        <f>IFERROR(VLOOKUP(B132,'02. MM-KLH'!$B$6:$T$823,12,0),"")</f>
        <v>Đầu tư mới</v>
      </c>
      <c r="N132" s="110" t="str">
        <f>IFERROR(VLOOKUP(B132,'02. MM-KLH'!$B$6:$T$823,13,0),"")</f>
        <v>JOHN DEERE</v>
      </c>
      <c r="O132" s="110" t="str">
        <f>IFERROR(VLOOKUP(B132,'02. MM-KLH'!$B$6:$T$823,14,0),"")</f>
        <v>ĐỨC</v>
      </c>
      <c r="P132" s="101">
        <f>IFERROR(VLOOKUP(B132,'02. MM-KLH'!$B$6:$T$823,15,0),"")</f>
        <v>1987</v>
      </c>
      <c r="Q132" s="101">
        <f>IFERROR(VLOOKUP(B132,'02. MM-KLH'!$B$6:$T$823,16,0),"")</f>
        <v>3640</v>
      </c>
      <c r="R132" s="101" t="str">
        <f>IFERROR(VLOOKUP(B132,'02. MM-KLH'!$B$6:$T$823,17,0),"")</f>
        <v>115HP</v>
      </c>
      <c r="S132" s="110" t="str">
        <f>IFERROR(VLOOKUP(B132,'02. MM-KLH'!$B$6:$T$823,18,0),"")</f>
        <v>579925L</v>
      </c>
      <c r="T132" s="111" t="str">
        <f>IFERROR(VLOOKUP(B132,'02. MM-KLH'!$B$6:$T$823,19,0),"")</f>
        <v>CD6359D704281</v>
      </c>
      <c r="U132" s="863" t="s">
        <v>3274</v>
      </c>
    </row>
    <row r="133" ht="13.5" customHeight="1" spans="1:21">
      <c r="A133" s="101">
        <f t="shared" si="5"/>
        <v>24</v>
      </c>
      <c r="B133" s="104" t="s">
        <v>1091</v>
      </c>
      <c r="C133" s="102" t="str">
        <f>IFERROR(VLOOKUP(B133,'02. MM-KLH'!$B$6:$T$823,2,0),"")</f>
        <v>MỚI (ĐQSD)</v>
      </c>
      <c r="D133" s="103" t="str">
        <f>IFERROR(VLOOKUP(B133,'02. MM-KLH'!$B$6:$T$823,3,0),"")</f>
        <v>A24-MKE-037</v>
      </c>
      <c r="E133" s="102">
        <f>IFERROR(VLOOKUP(B133,'02. MM-KLH'!$B$6:$T$823,4,0),"")</f>
        <v>0</v>
      </c>
      <c r="F133" s="104"/>
      <c r="G133" s="102" t="str">
        <f>IFERROR(VLOOKUP(B133,'02. MM-KLH'!$B$6:$T$823,6,0),"")</f>
        <v>Máy cày JD 6300</v>
      </c>
      <c r="H133" s="101"/>
      <c r="I133" s="101" t="str">
        <f>IFERROR(VLOOKUP(B133,'02. MM-KLH'!$B$6:$T$823,8,0),"")</f>
        <v>CGLĐ LP</v>
      </c>
      <c r="J133" s="105" t="str">
        <f>IFERROR(VLOOKUP(B133,'02. MM-KLH'!$B$6:$T$823,9,0),"")</f>
        <v>29/04/2025</v>
      </c>
      <c r="K133" s="101" t="str">
        <f>IFERROR(VLOOKUP(B133,'02. MM-KLH'!$B$6:$T$823,10,0),"")</f>
        <v>Bình thường</v>
      </c>
      <c r="L133" s="107">
        <f>IFERROR(VLOOKUP(B133,'02. MM-KLH'!$B$6:$T$823,11,0),"")</f>
        <v>0</v>
      </c>
      <c r="M133" s="864" t="str">
        <f>IFERROR(VLOOKUP(B133,'02. MM-KLH'!$B$6:$T$823,12,0),"")</f>
        <v>Đầu tư mới</v>
      </c>
      <c r="N133" s="110" t="str">
        <f>IFERROR(VLOOKUP(B133,'02. MM-KLH'!$B$6:$T$823,13,0),"")</f>
        <v>JOHN DEERE</v>
      </c>
      <c r="O133" s="110" t="str">
        <f>IFERROR(VLOOKUP(B133,'02. MM-KLH'!$B$6:$T$823,14,0),"")</f>
        <v>ĐỨC</v>
      </c>
      <c r="P133" s="101">
        <f>IFERROR(VLOOKUP(B133,'02. MM-KLH'!$B$6:$T$823,15,0),"")</f>
        <v>1994</v>
      </c>
      <c r="Q133" s="101">
        <f>IFERROR(VLOOKUP(B133,'02. MM-KLH'!$B$6:$T$823,16,0),"")</f>
        <v>6300</v>
      </c>
      <c r="R133" s="101" t="str">
        <f>IFERROR(VLOOKUP(B133,'02. MM-KLH'!$B$6:$T$823,17,0),"")</f>
        <v>110HP</v>
      </c>
      <c r="S133" s="110" t="str">
        <f>IFERROR(VLOOKUP(B133,'02. MM-KLH'!$B$6:$T$823,18,0),"")</f>
        <v>L06100X111345</v>
      </c>
      <c r="T133" s="111" t="str">
        <f>IFERROR(VLOOKUP(B133,'02. MM-KLH'!$B$6:$T$823,19,0),"")</f>
        <v>CD4045D133056</v>
      </c>
      <c r="U133" s="863" t="s">
        <v>3274</v>
      </c>
    </row>
    <row r="134" ht="13.8" spans="1:21">
      <c r="A134" s="101">
        <f t="shared" si="5"/>
        <v>25</v>
      </c>
      <c r="B134" s="104" t="s">
        <v>1020</v>
      </c>
      <c r="C134" s="102" t="str">
        <f>IFERROR(VLOOKUP(B134,'02. MM-KLH'!$B$6:$T$823,2,0),"")</f>
        <v>MỚI (ĐQSD)</v>
      </c>
      <c r="D134" s="103" t="str">
        <f>IFERROR(VLOOKUP(B134,'02. MM-KLH'!$B$6:$T$823,3,0),"")</f>
        <v>A22-MKE-039</v>
      </c>
      <c r="E134" s="102">
        <f>IFERROR(VLOOKUP(B134,'02. MM-KLH'!$B$6:$T$823,4,0),"")</f>
        <v>0</v>
      </c>
      <c r="F134" s="104"/>
      <c r="G134" s="102" t="str">
        <f>IFERROR(VLOOKUP(B134,'02. MM-KLH'!$B$6:$T$823,6,0),"")</f>
        <v>Máy cày JD 3350</v>
      </c>
      <c r="H134" s="101"/>
      <c r="I134" s="101" t="str">
        <f>IFERROR(VLOOKUP(B134,'02. MM-KLH'!$B$6:$T$823,8,0),"")</f>
        <v>CGLĐ DP</v>
      </c>
      <c r="J134" s="105" t="str">
        <f>IFERROR(VLOOKUP(B134,'02. MM-KLH'!$B$6:$T$823,9,0),"")</f>
        <v>16/03/2026</v>
      </c>
      <c r="K134" s="101" t="str">
        <f>IFERROR(VLOOKUP(B134,'02. MM-KLH'!$B$6:$T$823,10,0),"")</f>
        <v>Bình thường</v>
      </c>
      <c r="L134" s="107">
        <f>IFERROR(VLOOKUP(B134,'02. MM-KLH'!$B$6:$T$823,11,0),"")</f>
        <v>0</v>
      </c>
      <c r="M134" s="864" t="str">
        <f>IFERROR(VLOOKUP(B134,'02. MM-KLH'!$B$6:$T$823,12,0),"")</f>
        <v>Đầu tư mới</v>
      </c>
      <c r="N134" s="110" t="str">
        <f>IFERROR(VLOOKUP(B134,'02. MM-KLH'!$B$6:$T$823,13,0),"")</f>
        <v>JOHNDEERE</v>
      </c>
      <c r="O134" s="110" t="str">
        <f>IFERROR(VLOOKUP(B134,'02. MM-KLH'!$B$6:$T$823,14,0),"")</f>
        <v>TRUNG QUỐC</v>
      </c>
      <c r="P134" s="101">
        <f>IFERROR(VLOOKUP(B134,'02. MM-KLH'!$B$6:$T$823,15,0),"")</f>
        <v>1993</v>
      </c>
      <c r="Q134" s="101">
        <f>IFERROR(VLOOKUP(B134,'02. MM-KLH'!$B$6:$T$823,16,0),"")</f>
        <v>3350</v>
      </c>
      <c r="R134" s="101" t="str">
        <f>IFERROR(VLOOKUP(B134,'02. MM-KLH'!$B$6:$T$823,17,0),"")</f>
        <v>100HP</v>
      </c>
      <c r="S134" s="110" t="str">
        <f>IFERROR(VLOOKUP(B134,'02. MM-KLH'!$B$6:$T$823,18,0),"")</f>
        <v>636964L</v>
      </c>
      <c r="T134" s="111" t="str">
        <f>IFERROR(VLOOKUP(B134,'02. MM-KLH'!$B$6:$T$823,19,0),"")</f>
        <v>CD6359D776913</v>
      </c>
      <c r="U134" s="863" t="s">
        <v>3274</v>
      </c>
    </row>
    <row r="135" ht="22.8" spans="1:21">
      <c r="A135" s="101">
        <f t="shared" si="5"/>
        <v>26</v>
      </c>
      <c r="B135" s="104" t="s">
        <v>1963</v>
      </c>
      <c r="C135" s="102" t="str">
        <f>IFERROR(VLOOKUP(B135,'02. MM-KLH'!$B$6:$T$823,2,0),"")</f>
        <v>CNN-MKE-040</v>
      </c>
      <c r="D135" s="103" t="str">
        <f>IFERROR(VLOOKUP(B135,'02. MM-KLH'!$B$6:$T$823,3,0),"")</f>
        <v>A22-MKE-040</v>
      </c>
      <c r="E135" s="102">
        <f>IFERROR(VLOOKUP(B135,'02. MM-KLH'!$B$6:$T$823,4,0),"")</f>
        <v>0</v>
      </c>
      <c r="F135" s="104"/>
      <c r="G135" s="102" t="str">
        <f>IFERROR(VLOOKUP(B135,'02. MM-KLH'!$B$6:$T$823,6,0),"")</f>
        <v>Máy cày JD 6210</v>
      </c>
      <c r="H135" s="101"/>
      <c r="I135" s="101" t="str">
        <f>IFERROR(VLOOKUP(B135,'02. MM-KLH'!$B$6:$T$823,8,0),"")</f>
        <v>XN Bò AD</v>
      </c>
      <c r="J135" s="105" t="str">
        <f>IFERROR(VLOOKUP(B135,'02. MM-KLH'!$B$6:$T$823,9,0),"")</f>
        <v>16/03/2026</v>
      </c>
      <c r="K135" s="101" t="str">
        <f>IFERROR(VLOOKUP(B135,'02. MM-KLH'!$B$6:$T$823,10,0),"")</f>
        <v>Bình thường</v>
      </c>
      <c r="L135" s="107">
        <f>IFERROR(VLOOKUP(B135,'02. MM-KLH'!$B$6:$T$823,11,0),"")</f>
        <v>0</v>
      </c>
      <c r="M135" s="864" t="str">
        <f>IFERROR(VLOOKUP(B135,'02. MM-KLH'!$B$6:$T$823,12,0),"")</f>
        <v>Đầu tư mới (16/03/2026)
- CGLĐ DP đchuyen XNB ngày 07/04/2026</v>
      </c>
      <c r="N135" s="110" t="str">
        <f>IFERROR(VLOOKUP(B135,'02. MM-KLH'!$B$6:$T$823,13,0),"")</f>
        <v>JOHNDEERE</v>
      </c>
      <c r="O135" s="110" t="str">
        <f>IFERROR(VLOOKUP(B135,'02. MM-KLH'!$B$6:$T$823,14,0),"")</f>
        <v>TRUNG QUỐC</v>
      </c>
      <c r="P135" s="101">
        <f>IFERROR(VLOOKUP(B135,'02. MM-KLH'!$B$6:$T$823,15,0),"")</f>
        <v>1999</v>
      </c>
      <c r="Q135" s="101">
        <f>IFERROR(VLOOKUP(B135,'02. MM-KLH'!$B$6:$T$823,16,0),"")</f>
        <v>6210</v>
      </c>
      <c r="R135" s="101" t="str">
        <f>IFERROR(VLOOKUP(B135,'02. MM-KLH'!$B$6:$T$823,17,0),"")</f>
        <v>95HP</v>
      </c>
      <c r="S135" s="110" t="str">
        <f>IFERROR(VLOOKUP(B135,'02. MM-KLH'!$B$6:$T$823,18,0),"")</f>
        <v>309429L</v>
      </c>
      <c r="T135" s="111" t="str">
        <f>IFERROR(VLOOKUP(B135,'02. MM-KLH'!$B$6:$T$823,19,0),"")</f>
        <v>CD4045T640751</v>
      </c>
      <c r="U135" s="863" t="s">
        <v>3274</v>
      </c>
    </row>
    <row r="136" ht="13.8" spans="1:21">
      <c r="A136" s="21"/>
      <c r="B136" s="865"/>
      <c r="C136" s="102"/>
      <c r="D136" s="103"/>
      <c r="E136" s="102"/>
      <c r="F136" s="21"/>
      <c r="G136" s="102"/>
      <c r="H136" s="21"/>
      <c r="I136" s="101"/>
      <c r="J136" s="105"/>
      <c r="K136" s="101"/>
      <c r="L136" s="107"/>
      <c r="M136" s="866"/>
      <c r="N136" s="110"/>
      <c r="O136" s="110"/>
      <c r="P136" s="101"/>
      <c r="Q136" s="101"/>
      <c r="R136" s="101"/>
      <c r="S136" s="110"/>
      <c r="T136" s="111"/>
      <c r="U136" s="111"/>
    </row>
    <row r="137" ht="13.8" spans="1:21">
      <c r="A137" s="21"/>
      <c r="B137" s="865"/>
      <c r="C137" s="102"/>
      <c r="D137" s="103"/>
      <c r="E137" s="102"/>
      <c r="F137" s="21"/>
      <c r="G137" s="102"/>
      <c r="H137" s="21"/>
      <c r="I137" s="101"/>
      <c r="J137" s="105"/>
      <c r="K137" s="101"/>
      <c r="L137" s="107"/>
      <c r="M137" s="866"/>
      <c r="N137" s="110"/>
      <c r="O137" s="110"/>
      <c r="P137" s="101"/>
      <c r="Q137" s="101"/>
      <c r="R137" s="101"/>
      <c r="S137" s="110"/>
      <c r="T137" s="111"/>
      <c r="U137" s="111"/>
    </row>
    <row r="138" ht="13.8" spans="1:21">
      <c r="B138" s="663"/>
      <c r="C138" s="102" t="str">
        <f>IFERROR(VLOOKUP(B138,'02. MM-KLH'!$B$6:$T$823,2,0),"")</f>
        <v/>
      </c>
      <c r="D138" s="103" t="str">
        <f>IFERROR(VLOOKUP(B138,'02. MM-KLH'!$B$6:$T$823,3,0),"")</f>
        <v/>
      </c>
      <c r="E138" s="102" t="str">
        <f>IFERROR(VLOOKUP(B138,'02. MM-KLH'!$B$6:$T$823,4,0),"")</f>
        <v/>
      </c>
      <c r="G138" s="102" t="str">
        <f>IFERROR(VLOOKUP(B138,'02. MM-KLH'!$B$6:$T$823,6,0),"")</f>
        <v/>
      </c>
      <c r="I138" s="101" t="str">
        <f>IFERROR(VLOOKUP(B138,'02. MM-KLH'!$B$6:$T$823,8,0),"")</f>
        <v/>
      </c>
      <c r="J138" s="105" t="str">
        <f>IFERROR(VLOOKUP(B138,'02. MM-KLH'!$B$6:$T$823,9,0),"")</f>
        <v/>
      </c>
      <c r="K138" s="101" t="str">
        <f>IFERROR(VLOOKUP(B138,'02. MM-KLH'!$B$6:$T$823,10,0),"")</f>
        <v/>
      </c>
      <c r="L138" s="107" t="str">
        <f>IFERROR(VLOOKUP(B138,'02. MM-KLH'!$B$6:$T$823,11,0),"")</f>
        <v/>
      </c>
      <c r="M138" s="864"/>
      <c r="N138" s="110" t="str">
        <f>IFERROR(VLOOKUP(B138,'02. MM-KLH'!$B$6:$T$823,13,0),"")</f>
        <v/>
      </c>
      <c r="O138" s="110" t="str">
        <f>IFERROR(VLOOKUP(B138,'02. MM-KLH'!$B$6:$T$823,14,0),"")</f>
        <v/>
      </c>
      <c r="P138" s="101" t="str">
        <f>IFERROR(VLOOKUP(B138,'02. MM-KLH'!$B$6:$T$823,15,0),"")</f>
        <v/>
      </c>
      <c r="Q138" s="101" t="str">
        <f>IFERROR(VLOOKUP(B138,'02. MM-KLH'!$B$6:$T$823,16,0),"")</f>
        <v/>
      </c>
      <c r="R138" s="101" t="str">
        <f>IFERROR(VLOOKUP(B138,'02. MM-KLH'!$B$6:$T$823,17,0),"")</f>
        <v/>
      </c>
      <c r="S138" s="110" t="str">
        <f>IFERROR(VLOOKUP(B138,'02. MM-KLH'!$B$6:$T$823,18,0),"")</f>
        <v/>
      </c>
      <c r="T138" s="111" t="str">
        <f>IFERROR(VLOOKUP(B138,'02. MM-KLH'!$B$6:$T$823,19,0),"")</f>
        <v/>
      </c>
      <c r="U138" s="111" t="str">
        <f>IFERROR(VLOOKUP(C138,'02. MM-KLH'!$B$6:$T$823,19,0),"")</f>
        <v/>
      </c>
    </row>
    <row r="139" ht="13.5" customHeight="1" spans="1:21">
      <c r="A139" s="96" t="s">
        <v>948</v>
      </c>
      <c r="B139" s="210" t="s">
        <v>3350</v>
      </c>
      <c r="C139" s="96">
        <f>COUNTA(B140:B141)</f>
        <v>1</v>
      </c>
      <c r="D139" s="96" t="str">
        <f>IFERROR(VLOOKUP(B139,'02. MM-KLH'!$B$6:$T$823,3,0),"")</f>
        <v/>
      </c>
      <c r="E139" s="96" t="str">
        <f>IFERROR(VLOOKUP(B139,'02. MM-KLH'!$B$6:$T$823,4,0),"")</f>
        <v/>
      </c>
      <c r="F139" s="96"/>
      <c r="G139" s="96" t="str">
        <f>IFERROR(VLOOKUP(B139,'02. MM-KLH'!$B$6:$T$823,6,0),"")</f>
        <v/>
      </c>
      <c r="H139" s="96"/>
      <c r="I139" s="96" t="str">
        <f>IFERROR(VLOOKUP(B139,'02. MM-KLH'!$B$6:$T$823,8,0),"")</f>
        <v/>
      </c>
      <c r="J139" s="96" t="str">
        <f>IFERROR(VLOOKUP(B139,'02. MM-KLH'!$B$6:$T$823,9,0),"")</f>
        <v/>
      </c>
      <c r="K139" s="96" t="str">
        <f>IFERROR(VLOOKUP(B139,'02. MM-KLH'!$B$6:$T$823,10,0),"")</f>
        <v/>
      </c>
      <c r="L139" s="96" t="str">
        <f>IFERROR(VLOOKUP(B139,'02. MM-KLH'!$B$6:$T$823,11,0),"")</f>
        <v/>
      </c>
      <c r="M139" s="96" t="str">
        <f>IFERROR(VLOOKUP(B139,'02. MM-KLH'!$B$6:$T$823,12,0),"")</f>
        <v/>
      </c>
      <c r="N139" s="96" t="str">
        <f>IFERROR(VLOOKUP(B139,'02. MM-KLH'!$B$6:$T$823,13,0),"")</f>
        <v/>
      </c>
      <c r="O139" s="96" t="str">
        <f>IFERROR(VLOOKUP(B139,'02. MM-KLH'!$B$6:$T$823,14,0),"")</f>
        <v/>
      </c>
      <c r="P139" s="96" t="str">
        <f>IFERROR(VLOOKUP(B139,'02. MM-KLH'!$B$6:$T$823,15,0),"")</f>
        <v/>
      </c>
      <c r="Q139" s="96" t="str">
        <f>IFERROR(VLOOKUP(B139,'02. MM-KLH'!$B$6:$T$823,16,0),"")</f>
        <v/>
      </c>
      <c r="R139" s="96" t="str">
        <f>IFERROR(VLOOKUP(B139,'02. MM-KLH'!$B$6:$T$823,17,0),"")</f>
        <v/>
      </c>
      <c r="S139" s="96" t="str">
        <f>IFERROR(VLOOKUP(B139,'02. MM-KLH'!$B$6:$T$823,18,0),"")</f>
        <v/>
      </c>
      <c r="T139" s="96" t="str">
        <f>IFERROR(VLOOKUP(B139,'02. MM-KLH'!$B$6:$T$823,19,0),"")</f>
        <v/>
      </c>
      <c r="U139" s="96" t="str">
        <f>IFERROR(VLOOKUP(C139,'02. MM-KLH'!$B$6:$T$823,19,0),"")</f>
        <v/>
      </c>
    </row>
    <row r="140" ht="13.5" customHeight="1" spans="1:21">
      <c r="A140" s="103">
        <v>1</v>
      </c>
      <c r="B140" s="104" t="s">
        <v>1101</v>
      </c>
      <c r="C140" s="104" t="str">
        <f>IFERROR(VLOOKUP(B140,'02. MM-KLH'!$B$6:$T$823,2,0),"")</f>
        <v>CNN-MKE-001(MK01NNKLH)</v>
      </c>
      <c r="D140" s="103" t="str">
        <f>IFERROR(VLOOKUP(B140,'02. MM-KLH'!$B$6:$T$823,3,0),"")</f>
        <v>ATT-A23-0017</v>
      </c>
      <c r="E140" s="102">
        <f>IFERROR(VLOOKUP(B140,'02. MM-KLH'!$B$6:$T$823,4,0),"")</f>
        <v>0</v>
      </c>
      <c r="F140" s="104" t="s">
        <v>3351</v>
      </c>
      <c r="G140" s="102" t="str">
        <f>IFERROR(VLOOKUP(B140,'02. MM-KLH'!$B$6:$T$823,6,0),"")</f>
        <v>Máy cày NH TD157</v>
      </c>
      <c r="H140" s="101" t="s">
        <v>3348</v>
      </c>
      <c r="I140" s="101" t="str">
        <f>IFERROR(VLOOKUP(B140,'02. MM-KLH'!$B$6:$T$823,8,0),"")</f>
        <v>XN Bò AD</v>
      </c>
      <c r="J140" s="105">
        <f>IFERROR(VLOOKUP(B140,'02. MM-KLH'!$B$6:$T$823,9,0),"")</f>
        <v>0</v>
      </c>
      <c r="K140" s="101" t="str">
        <f>IFERROR(VLOOKUP(B140,'02. MM-KLH'!$B$6:$T$823,10,0),"")</f>
        <v>Bình thường</v>
      </c>
      <c r="L140" s="107">
        <f>IFERROR(VLOOKUP(B140,'02. MM-KLH'!$B$6:$T$823,11,0),"")</f>
        <v>0</v>
      </c>
      <c r="M140" s="864">
        <f>IFERROR(VLOOKUP(B140,'02. MM-KLH'!$B$6:$T$823,12,0),"")</f>
        <v>0</v>
      </c>
      <c r="N140" s="110" t="str">
        <f>IFERROR(VLOOKUP(B140,'02. MM-KLH'!$B$6:$T$823,13,0),"")</f>
        <v>NEW HOLLAND</v>
      </c>
      <c r="O140" s="110" t="str">
        <f>IFERROR(VLOOKUP(B140,'02. MM-KLH'!$B$6:$T$823,14,0),"")</f>
        <v>THỔ NHỈ KỲ</v>
      </c>
      <c r="P140" s="101">
        <f>IFERROR(VLOOKUP(B140,'02. MM-KLH'!$B$6:$T$823,15,0),"")</f>
        <v>2018</v>
      </c>
      <c r="Q140" s="101" t="str">
        <f>IFERROR(VLOOKUP(B140,'02. MM-KLH'!$B$6:$T$823,16,0),"")</f>
        <v>TD157</v>
      </c>
      <c r="R140" s="101" t="str">
        <f>IFERROR(VLOOKUP(B140,'02. MM-KLH'!$B$6:$T$823,17,0),"")</f>
        <v>150HP</v>
      </c>
      <c r="S140" s="110">
        <f>IFERROR(VLOOKUP(B140,'02. MM-KLH'!$B$6:$T$823,18,0),"")</f>
        <v>73737</v>
      </c>
      <c r="T140" s="111" t="str">
        <f>IFERROR(VLOOKUP(B140,'02. MM-KLH'!$B$6:$T$823,19,0),"")</f>
        <v>CCN</v>
      </c>
      <c r="U140" s="863" t="s">
        <v>451</v>
      </c>
    </row>
    <row r="141" ht="13.5" customHeight="1" spans="1:21">
      <c r="A141" s="227"/>
      <c r="B141" s="869"/>
      <c r="C141" s="869"/>
      <c r="D141" s="103" t="str">
        <f>IFERROR(VLOOKUP(B141,'02. MM-KLH'!$B$6:$T$823,3,0),"")</f>
        <v/>
      </c>
      <c r="E141" s="102" t="str">
        <f>IFERROR(VLOOKUP(B141,'02. MM-KLH'!$B$6:$T$823,4,0),"")</f>
        <v/>
      </c>
      <c r="F141" s="869"/>
      <c r="G141" s="102" t="str">
        <f>IFERROR(VLOOKUP(B141,'02. MM-KLH'!$B$6:$T$823,6,0),"")</f>
        <v/>
      </c>
      <c r="H141" s="227"/>
      <c r="I141" s="101" t="str">
        <f>IFERROR(VLOOKUP(B141,'02. MM-KLH'!$B$6:$T$823,8,0),"")</f>
        <v/>
      </c>
      <c r="J141" s="105" t="str">
        <f>IFERROR(VLOOKUP(B141,'02. MM-KLH'!$B$6:$T$823,9,0),"")</f>
        <v/>
      </c>
      <c r="K141" s="101" t="str">
        <f>IFERROR(VLOOKUP(B141,'02. MM-KLH'!$B$6:$T$823,10,0),"")</f>
        <v/>
      </c>
      <c r="L141" s="107" t="str">
        <f>IFERROR(VLOOKUP(B141,'02. MM-KLH'!$B$6:$T$823,11,0),"")</f>
        <v/>
      </c>
      <c r="M141" s="864" t="str">
        <f>IFERROR(VLOOKUP(B141,'02. MM-KLH'!$B$6:$T$823,12,0),"")</f>
        <v/>
      </c>
      <c r="N141" s="110" t="str">
        <f>IFERROR(VLOOKUP(B141,'02. MM-KLH'!$B$6:$T$823,13,0),"")</f>
        <v/>
      </c>
      <c r="O141" s="110" t="str">
        <f>IFERROR(VLOOKUP(B141,'02. MM-KLH'!$B$6:$T$823,14,0),"")</f>
        <v/>
      </c>
      <c r="P141" s="101" t="str">
        <f>IFERROR(VLOOKUP(B141,'02. MM-KLH'!$B$6:$T$823,15,0),"")</f>
        <v/>
      </c>
      <c r="Q141" s="101" t="str">
        <f>IFERROR(VLOOKUP(B141,'02. MM-KLH'!$B$6:$T$823,16,0),"")</f>
        <v/>
      </c>
      <c r="R141" s="101" t="str">
        <f>IFERROR(VLOOKUP(B141,'02. MM-KLH'!$B$6:$T$823,17,0),"")</f>
        <v/>
      </c>
      <c r="S141" s="110" t="str">
        <f>IFERROR(VLOOKUP(B141,'02. MM-KLH'!$B$6:$T$823,18,0),"")</f>
        <v/>
      </c>
      <c r="T141" s="111" t="str">
        <f>IFERROR(VLOOKUP(B141,'02. MM-KLH'!$B$6:$T$823,19,0),"")</f>
        <v/>
      </c>
      <c r="U141" s="111" t="str">
        <f>IFERROR(VLOOKUP(C141,'02. MM-KLH'!$B$6:$T$823,19,0),"")</f>
        <v/>
      </c>
    </row>
    <row r="142" ht="13.5" customHeight="1" spans="1:21">
      <c r="A142" s="92" t="s">
        <v>3352</v>
      </c>
      <c r="B142" s="846" t="s">
        <v>3353</v>
      </c>
      <c r="C142" s="92">
        <f>SUM(C143,C178,C207,C229,C259,C262)</f>
        <v>109</v>
      </c>
      <c r="D142" s="92" t="str">
        <f>IFERROR(VLOOKUP(B142,'02. MM-KLH'!$B$6:$T$823,3,0),"")</f>
        <v/>
      </c>
      <c r="E142" s="92" t="str">
        <f>IFERROR(VLOOKUP(B142,'02. MM-KLH'!$B$6:$T$823,4,0),"")</f>
        <v/>
      </c>
      <c r="F142" s="92"/>
      <c r="G142" s="92" t="str">
        <f>IFERROR(VLOOKUP(B142,'02. MM-KLH'!$B$6:$T$823,6,0),"")</f>
        <v/>
      </c>
      <c r="H142" s="92"/>
      <c r="I142" s="92" t="str">
        <f>IFERROR(VLOOKUP(B142,'02. MM-KLH'!$B$6:$T$823,8,0),"")</f>
        <v/>
      </c>
      <c r="J142" s="92" t="str">
        <f>IFERROR(VLOOKUP(B142,'02. MM-KLH'!$B$6:$T$823,9,0),"")</f>
        <v/>
      </c>
      <c r="K142" s="92" t="str">
        <f>IFERROR(VLOOKUP(B142,'02. MM-KLH'!$B$6:$T$823,10,0),"")</f>
        <v/>
      </c>
      <c r="L142" s="92" t="str">
        <f>IFERROR(VLOOKUP(B142,'02. MM-KLH'!$B$6:$T$823,11,0),"")</f>
        <v/>
      </c>
      <c r="M142" s="92" t="str">
        <f>IFERROR(VLOOKUP(B142,'02. MM-KLH'!$B$6:$T$823,12,0),"")</f>
        <v/>
      </c>
      <c r="N142" s="92" t="str">
        <f>IFERROR(VLOOKUP(B142,'02. MM-KLH'!$B$6:$T$823,13,0),"")</f>
        <v/>
      </c>
      <c r="O142" s="92" t="str">
        <f>IFERROR(VLOOKUP(B142,'02. MM-KLH'!$B$6:$T$823,14,0),"")</f>
        <v/>
      </c>
      <c r="P142" s="92" t="str">
        <f>IFERROR(VLOOKUP(B142,'02. MM-KLH'!$B$6:$T$823,15,0),"")</f>
        <v/>
      </c>
      <c r="Q142" s="92" t="str">
        <f>IFERROR(VLOOKUP(B142,'02. MM-KLH'!$B$6:$T$823,16,0),"")</f>
        <v/>
      </c>
      <c r="R142" s="92" t="str">
        <f>IFERROR(VLOOKUP(B142,'02. MM-KLH'!$B$6:$T$823,17,0),"")</f>
        <v/>
      </c>
      <c r="S142" s="92" t="str">
        <f>IFERROR(VLOOKUP(B142,'02. MM-KLH'!$B$6:$T$823,18,0),"")</f>
        <v/>
      </c>
      <c r="T142" s="92" t="str">
        <f>IFERROR(VLOOKUP(B142,'02. MM-KLH'!$B$6:$T$823,19,0),"")</f>
        <v/>
      </c>
      <c r="U142" s="92" t="str">
        <f>IFERROR(VLOOKUP(C142,'02. MM-KLH'!$B$6:$T$823,19,0),"")</f>
        <v/>
      </c>
    </row>
    <row r="143" ht="13.5" customHeight="1" spans="1:21">
      <c r="A143" s="847" t="s">
        <v>290</v>
      </c>
      <c r="B143" s="848" t="s">
        <v>3354</v>
      </c>
      <c r="C143" s="849">
        <f>COUNTA(B144:B177)</f>
        <v>33</v>
      </c>
      <c r="D143" s="849" t="str">
        <f>IFERROR(VLOOKUP(B143,'02. MM-KLH'!$B$6:$T$823,3,0),"")</f>
        <v/>
      </c>
      <c r="E143" s="849" t="str">
        <f>IFERROR(VLOOKUP(B143,'02. MM-KLH'!$B$6:$T$823,4,0),"")</f>
        <v/>
      </c>
      <c r="F143" s="849"/>
      <c r="G143" s="849" t="str">
        <f>IFERROR(VLOOKUP(B143,'02. MM-KLH'!$B$6:$T$823,6,0),"")</f>
        <v/>
      </c>
      <c r="H143" s="849"/>
      <c r="I143" s="849" t="str">
        <f>IFERROR(VLOOKUP(B143,'02. MM-KLH'!$B$6:$T$823,8,0),"")</f>
        <v/>
      </c>
      <c r="J143" s="849" t="str">
        <f>IFERROR(VLOOKUP(B143,'02. MM-KLH'!$B$6:$T$823,9,0),"")</f>
        <v/>
      </c>
      <c r="K143" s="849" t="str">
        <f>IFERROR(VLOOKUP(B143,'02. MM-KLH'!$B$6:$T$823,10,0),"")</f>
        <v/>
      </c>
      <c r="L143" s="849" t="str">
        <f>IFERROR(VLOOKUP(B143,'02. MM-KLH'!$B$6:$T$823,11,0),"")</f>
        <v/>
      </c>
      <c r="M143" s="849" t="str">
        <f>IFERROR(VLOOKUP(B143,'02. MM-KLH'!$B$6:$T$823,12,0),"")</f>
        <v/>
      </c>
      <c r="N143" s="849" t="str">
        <f>IFERROR(VLOOKUP(B143,'02. MM-KLH'!$B$6:$T$823,13,0),"")</f>
        <v/>
      </c>
      <c r="O143" s="849" t="str">
        <f>IFERROR(VLOOKUP(B143,'02. MM-KLH'!$B$6:$T$823,14,0),"")</f>
        <v/>
      </c>
      <c r="P143" s="849" t="str">
        <f>IFERROR(VLOOKUP(B143,'02. MM-KLH'!$B$6:$T$823,15,0),"")</f>
        <v/>
      </c>
      <c r="Q143" s="849" t="str">
        <f>IFERROR(VLOOKUP(B143,'02. MM-KLH'!$B$6:$T$823,16,0),"")</f>
        <v/>
      </c>
      <c r="R143" s="849" t="str">
        <f>IFERROR(VLOOKUP(B143,'02. MM-KLH'!$B$6:$T$823,17,0),"")</f>
        <v/>
      </c>
      <c r="S143" s="849" t="str">
        <f>IFERROR(VLOOKUP(B143,'02. MM-KLH'!$B$6:$T$823,18,0),"")</f>
        <v/>
      </c>
      <c r="T143" s="849" t="str">
        <f>IFERROR(VLOOKUP(B143,'02. MM-KLH'!$B$6:$T$823,19,0),"")</f>
        <v/>
      </c>
      <c r="U143" s="849" t="str">
        <f>IFERROR(VLOOKUP(C143,'02. MM-KLH'!$B$6:$T$823,19,0),"")</f>
        <v/>
      </c>
    </row>
    <row r="144" ht="13.5" customHeight="1" spans="1:21">
      <c r="A144" s="101">
        <v>1</v>
      </c>
      <c r="B144" s="104" t="s">
        <v>1119</v>
      </c>
      <c r="C144" s="102" t="str">
        <f>IFERROR(VLOOKUP(B144,'02. MM-KLH'!$B$6:$T$823,2,0),"")</f>
        <v>MK 05-VC KLH</v>
      </c>
      <c r="D144" s="103" t="str">
        <f>IFERROR(VLOOKUP(B144,'02. MM-KLH'!$B$6:$T$823,3,0),"")</f>
        <v>A23-MKE-012</v>
      </c>
      <c r="E144" s="102">
        <f>IFERROR(VLOOKUP(B144,'02. MM-KLH'!$B$6:$T$823,4,0),"")</f>
        <v>0</v>
      </c>
      <c r="F144" s="104" t="s">
        <v>1980</v>
      </c>
      <c r="G144" s="102" t="str">
        <f>IFERROR(VLOOKUP(B144,'02. MM-KLH'!$B$6:$T$823,6,0),"")</f>
        <v>Máy cày KAM50</v>
      </c>
      <c r="H144" s="101" t="s">
        <v>3338</v>
      </c>
      <c r="I144" s="101" t="str">
        <f>IFERROR(VLOOKUP(B144,'02. MM-KLH'!$B$6:$T$823,8,0),"")</f>
        <v>XN Chuối DP1</v>
      </c>
      <c r="J144" s="105">
        <f>IFERROR(VLOOKUP(B144,'02. MM-KLH'!$B$6:$T$823,9,0),"")</f>
        <v>0</v>
      </c>
      <c r="K144" s="101" t="str">
        <f>IFERROR(VLOOKUP(B144,'02. MM-KLH'!$B$6:$T$823,10,0),"")</f>
        <v>Bình thường</v>
      </c>
      <c r="L144" s="107">
        <f>IFERROR(VLOOKUP(B144,'02. MM-KLH'!$B$6:$T$823,11,0),"")</f>
        <v>0</v>
      </c>
      <c r="M144" s="864">
        <f>IFERROR(VLOOKUP(B144,'02. MM-KLH'!$B$6:$T$823,12,0),"")</f>
        <v>0</v>
      </c>
      <c r="N144" s="110" t="str">
        <f>IFERROR(VLOOKUP(B144,'02. MM-KLH'!$B$6:$T$823,13,0),"")</f>
        <v>THACO</v>
      </c>
      <c r="O144" s="110" t="str">
        <f>IFERROR(VLOOKUP(B144,'02. MM-KLH'!$B$6:$T$823,14,0),"")</f>
        <v>VIỆT NAM</v>
      </c>
      <c r="P144" s="101">
        <f>IFERROR(VLOOKUP(B144,'02. MM-KLH'!$B$6:$T$823,15,0),"")</f>
        <v>2018</v>
      </c>
      <c r="Q144" s="101" t="str">
        <f>IFERROR(VLOOKUP(B144,'02. MM-KLH'!$B$6:$T$823,16,0),"")</f>
        <v>KAM50</v>
      </c>
      <c r="R144" s="101" t="str">
        <f>IFERROR(VLOOKUP(B144,'02. MM-KLH'!$B$6:$T$823,17,0),"")</f>
        <v>50HP</v>
      </c>
      <c r="S144" s="110" t="str">
        <f>IFERROR(VLOOKUP(B144,'02. MM-KLH'!$B$6:$T$823,18,0),"")</f>
        <v>C000012</v>
      </c>
      <c r="T144" s="111" t="str">
        <f>IFERROR(VLOOKUP(B144,'02. MM-KLH'!$B$6:$T$823,19,0),"")</f>
        <v>CCN</v>
      </c>
      <c r="U144" s="863" t="s">
        <v>451</v>
      </c>
    </row>
    <row r="145" ht="13.5" customHeight="1" spans="1:21">
      <c r="A145" s="101">
        <f t="shared" ref="A145:A176" si="6">1+A144</f>
        <v>2</v>
      </c>
      <c r="B145" s="104" t="s">
        <v>1124</v>
      </c>
      <c r="C145" s="102" t="str">
        <f>IFERROR(VLOOKUP(B145,'02. MM-KLH'!$B$6:$T$823,2,0),"")</f>
        <v>MK 73-VC KLH</v>
      </c>
      <c r="D145" s="103" t="str">
        <f>IFERROR(VLOOKUP(B145,'02. MM-KLH'!$B$6:$T$823,3,0),"")</f>
        <v>A23-MKE-013</v>
      </c>
      <c r="E145" s="102">
        <f>IFERROR(VLOOKUP(B145,'02. MM-KLH'!$B$6:$T$823,4,0),"")</f>
        <v>0</v>
      </c>
      <c r="F145" s="104" t="s">
        <v>1980</v>
      </c>
      <c r="G145" s="102" t="str">
        <f>IFERROR(VLOOKUP(B145,'02. MM-KLH'!$B$6:$T$823,6,0),"")</f>
        <v>Máy cày KAM50</v>
      </c>
      <c r="H145" s="101" t="s">
        <v>3338</v>
      </c>
      <c r="I145" s="101" t="str">
        <f>IFERROR(VLOOKUP(B145,'02. MM-KLH'!$B$6:$T$823,8,0),"")</f>
        <v>XN Chuối DP1</v>
      </c>
      <c r="J145" s="105">
        <f>IFERROR(VLOOKUP(B145,'02. MM-KLH'!$B$6:$T$823,9,0),"")</f>
        <v>0</v>
      </c>
      <c r="K145" s="101" t="str">
        <f>IFERROR(VLOOKUP(B145,'02. MM-KLH'!$B$6:$T$823,10,0),"")</f>
        <v>Hư hỏng</v>
      </c>
      <c r="L145" s="107">
        <f>IFERROR(VLOOKUP(B145,'02. MM-KLH'!$B$6:$T$823,11,0),"")</f>
        <v>0</v>
      </c>
      <c r="M145" s="864" t="str">
        <f>IFERROR(VLOOKUP(B145,'02. MM-KLH'!$B$6:$T$823,12,0),"")</f>
        <v>ĐX LOẠI BIÊN</v>
      </c>
      <c r="N145" s="110" t="str">
        <f>IFERROR(VLOOKUP(B145,'02. MM-KLH'!$B$6:$T$823,13,0),"")</f>
        <v>THACO</v>
      </c>
      <c r="O145" s="110" t="str">
        <f>IFERROR(VLOOKUP(B145,'02. MM-KLH'!$B$6:$T$823,14,0),"")</f>
        <v>VIỆT NAM</v>
      </c>
      <c r="P145" s="101">
        <f>IFERROR(VLOOKUP(B145,'02. MM-KLH'!$B$6:$T$823,15,0),"")</f>
        <v>2018</v>
      </c>
      <c r="Q145" s="101" t="str">
        <f>IFERROR(VLOOKUP(B145,'02. MM-KLH'!$B$6:$T$823,16,0),"")</f>
        <v>KAM50</v>
      </c>
      <c r="R145" s="101" t="str">
        <f>IFERROR(VLOOKUP(B145,'02. MM-KLH'!$B$6:$T$823,17,0),"")</f>
        <v>50HP</v>
      </c>
      <c r="S145" s="110" t="str">
        <f>IFERROR(VLOOKUP(B145,'02. MM-KLH'!$B$6:$T$823,18,0),"")</f>
        <v>C000072</v>
      </c>
      <c r="T145" s="111" t="str">
        <f>IFERROR(VLOOKUP(B145,'02. MM-KLH'!$B$6:$T$823,19,0),"")</f>
        <v>CCN</v>
      </c>
      <c r="U145" s="863" t="s">
        <v>451</v>
      </c>
    </row>
    <row r="146" ht="13.5" customHeight="1" spans="1:21">
      <c r="A146" s="101">
        <f t="shared" si="6"/>
        <v>3</v>
      </c>
      <c r="B146" s="104" t="s">
        <v>1129</v>
      </c>
      <c r="C146" s="102" t="str">
        <f>IFERROR(VLOOKUP(B146,'02. MM-KLH'!$B$6:$T$823,2,0),"")</f>
        <v>CNN-MKE-001(MK04VCKLH)</v>
      </c>
      <c r="D146" s="103" t="str">
        <f>IFERROR(VLOOKUP(B146,'02. MM-KLH'!$B$6:$T$823,3,0),"")</f>
        <v>A23-MKE-014</v>
      </c>
      <c r="E146" s="102">
        <f>IFERROR(VLOOKUP(B146,'02. MM-KLH'!$B$6:$T$823,4,0),"")</f>
        <v>0</v>
      </c>
      <c r="F146" s="104" t="s">
        <v>1980</v>
      </c>
      <c r="G146" s="102" t="str">
        <f>IFERROR(VLOOKUP(B146,'02. MM-KLH'!$B$6:$T$823,6,0),"")</f>
        <v>Máy cày KAM50</v>
      </c>
      <c r="H146" s="101" t="s">
        <v>3338</v>
      </c>
      <c r="I146" s="101" t="str">
        <f>IFERROR(VLOOKUP(B146,'02. MM-KLH'!$B$6:$T$823,8,0),"")</f>
        <v>XN Chuối DP1</v>
      </c>
      <c r="J146" s="105" t="str">
        <f>IFERROR(VLOOKUP(B146,'02. MM-KLH'!$B$6:$T$823,9,0),"")</f>
        <v>24/04/2024</v>
      </c>
      <c r="K146" s="101" t="str">
        <f>IFERROR(VLOOKUP(B146,'02. MM-KLH'!$B$6:$T$823,10,0),"")</f>
        <v>Bình thường</v>
      </c>
      <c r="L146" s="107">
        <f>IFERROR(VLOOKUP(B146,'02. MM-KLH'!$B$6:$T$823,11,0),"")</f>
        <v>0</v>
      </c>
      <c r="M146" s="864" t="str">
        <f>IFERROR(VLOOKUP(B146,'02. MM-KLH'!$B$6:$T$823,12,0),"")</f>
        <v>CGLD DP giao qua</v>
      </c>
      <c r="N146" s="110" t="str">
        <f>IFERROR(VLOOKUP(B146,'02. MM-KLH'!$B$6:$T$823,13,0),"")</f>
        <v>THACO</v>
      </c>
      <c r="O146" s="110" t="str">
        <f>IFERROR(VLOOKUP(B146,'02. MM-KLH'!$B$6:$T$823,14,0),"")</f>
        <v>VIỆT NAM</v>
      </c>
      <c r="P146" s="101">
        <f>IFERROR(VLOOKUP(B146,'02. MM-KLH'!$B$6:$T$823,15,0),"")</f>
        <v>2018</v>
      </c>
      <c r="Q146" s="101" t="str">
        <f>IFERROR(VLOOKUP(B146,'02. MM-KLH'!$B$6:$T$823,16,0),"")</f>
        <v>KAM50</v>
      </c>
      <c r="R146" s="101" t="str">
        <f>IFERROR(VLOOKUP(B146,'02. MM-KLH'!$B$6:$T$823,17,0),"")</f>
        <v>50HP</v>
      </c>
      <c r="S146" s="110" t="str">
        <f>IFERROR(VLOOKUP(B146,'02. MM-KLH'!$B$6:$T$823,18,0),"")</f>
        <v>C000025</v>
      </c>
      <c r="T146" s="111" t="str">
        <f>IFERROR(VLOOKUP(B146,'02. MM-KLH'!$B$6:$T$823,19,0),"")</f>
        <v>CCN</v>
      </c>
      <c r="U146" s="863" t="s">
        <v>451</v>
      </c>
    </row>
    <row r="147" ht="12.75" customHeight="1" spans="1:21">
      <c r="A147" s="101">
        <f t="shared" si="6"/>
        <v>4</v>
      </c>
      <c r="B147" s="124" t="s">
        <v>1253</v>
      </c>
      <c r="C147" s="102" t="str">
        <f>IFERROR(VLOOKUP(B147,'02. MM-KLH'!$B$6:$T$823,2,0),"")</f>
        <v>MK 69-VC KLH</v>
      </c>
      <c r="D147" s="103" t="str">
        <f>IFERROR(VLOOKUP(B147,'02. MM-KLH'!$B$6:$T$823,3,0),"")</f>
        <v>A23-MKE-019</v>
      </c>
      <c r="E147" s="102">
        <f>IFERROR(VLOOKUP(B147,'02. MM-KLH'!$B$6:$T$823,4,0),"")</f>
        <v>0</v>
      </c>
      <c r="F147" s="124" t="s">
        <v>1980</v>
      </c>
      <c r="G147" s="102" t="str">
        <f>IFERROR(VLOOKUP(B147,'02. MM-KLH'!$B$6:$T$823,6,0),"")</f>
        <v>Máy cày KAM50</v>
      </c>
      <c r="H147" s="101" t="s">
        <v>3338</v>
      </c>
      <c r="I147" s="101" t="str">
        <f>IFERROR(VLOOKUP(B147,'02. MM-KLH'!$B$6:$T$823,8,0),"")</f>
        <v>XN Chuối DP2</v>
      </c>
      <c r="J147" s="105">
        <f>IFERROR(VLOOKUP(B147,'02. MM-KLH'!$B$6:$T$823,9,0),"")</f>
        <v>0</v>
      </c>
      <c r="K147" s="101" t="str">
        <f>IFERROR(VLOOKUP(B147,'02. MM-KLH'!$B$6:$T$823,10,0),"")</f>
        <v>Hư hỏng</v>
      </c>
      <c r="L147" s="107">
        <f>IFERROR(VLOOKUP(B147,'02. MM-KLH'!$B$6:$T$823,11,0),"")</f>
        <v>0</v>
      </c>
      <c r="M147" s="864" t="str">
        <f>IFERROR(VLOOKUP(B147,'02. MM-KLH'!$B$6:$T$823,12,0),"")</f>
        <v>ĐX LOẠI BIÊN</v>
      </c>
      <c r="N147" s="110" t="str">
        <f>IFERROR(VLOOKUP(B147,'02. MM-KLH'!$B$6:$T$823,13,0),"")</f>
        <v>THACO</v>
      </c>
      <c r="O147" s="110" t="str">
        <f>IFERROR(VLOOKUP(B147,'02. MM-KLH'!$B$6:$T$823,14,0),"")</f>
        <v>VIỆT NAM</v>
      </c>
      <c r="P147" s="101">
        <f>IFERROR(VLOOKUP(B147,'02. MM-KLH'!$B$6:$T$823,15,0),"")</f>
        <v>2018</v>
      </c>
      <c r="Q147" s="101" t="str">
        <f>IFERROR(VLOOKUP(B147,'02. MM-KLH'!$B$6:$T$823,16,0),"")</f>
        <v>KAM50</v>
      </c>
      <c r="R147" s="101" t="str">
        <f>IFERROR(VLOOKUP(B147,'02. MM-KLH'!$B$6:$T$823,17,0),"")</f>
        <v>50HP</v>
      </c>
      <c r="S147" s="110" t="str">
        <f>IFERROR(VLOOKUP(B147,'02. MM-KLH'!$B$6:$T$823,18,0),"")</f>
        <v>C000011</v>
      </c>
      <c r="T147" s="111" t="str">
        <f>IFERROR(VLOOKUP(B147,'02. MM-KLH'!$B$6:$T$823,19,0),"")</f>
        <v>CCN</v>
      </c>
      <c r="U147" s="863" t="s">
        <v>451</v>
      </c>
    </row>
    <row r="148" ht="13.5" customHeight="1" spans="1:21">
      <c r="A148" s="101">
        <f t="shared" si="6"/>
        <v>5</v>
      </c>
      <c r="B148" s="104" t="s">
        <v>1256</v>
      </c>
      <c r="C148" s="102" t="str">
        <f>IFERROR(VLOOKUP(B148,'02. MM-KLH'!$B$6:$T$823,2,0),"")</f>
        <v>MK 70-VC KLH</v>
      </c>
      <c r="D148" s="103" t="str">
        <f>IFERROR(VLOOKUP(B148,'02. MM-KLH'!$B$6:$T$823,3,0),"")</f>
        <v>A23-MKE-020</v>
      </c>
      <c r="E148" s="102">
        <f>IFERROR(VLOOKUP(B148,'02. MM-KLH'!$B$6:$T$823,4,0),"")</f>
        <v>0</v>
      </c>
      <c r="F148" s="104" t="s">
        <v>1980</v>
      </c>
      <c r="G148" s="102" t="str">
        <f>IFERROR(VLOOKUP(B148,'02. MM-KLH'!$B$6:$T$823,6,0),"")</f>
        <v>Máy cày KAM50</v>
      </c>
      <c r="H148" s="101" t="s">
        <v>3338</v>
      </c>
      <c r="I148" s="101" t="str">
        <f>IFERROR(VLOOKUP(B148,'02. MM-KLH'!$B$6:$T$823,8,0),"")</f>
        <v>XN Chuối DP2</v>
      </c>
      <c r="J148" s="105">
        <f>IFERROR(VLOOKUP(B148,'02. MM-KLH'!$B$6:$T$823,9,0),"")</f>
        <v>0</v>
      </c>
      <c r="K148" s="101" t="str">
        <f>IFERROR(VLOOKUP(B148,'02. MM-KLH'!$B$6:$T$823,10,0),"")</f>
        <v>Bình thường</v>
      </c>
      <c r="L148" s="107">
        <f>IFERROR(VLOOKUP(B148,'02. MM-KLH'!$B$6:$T$823,11,0),"")</f>
        <v>0</v>
      </c>
      <c r="M148" s="864" t="str">
        <f>IFERROR(VLOOKUP(B148,'02. MM-KLH'!$B$6:$T$823,12,0),"")</f>
        <v>ĐX LOẠI BIÊN</v>
      </c>
      <c r="N148" s="110" t="str">
        <f>IFERROR(VLOOKUP(B148,'02. MM-KLH'!$B$6:$T$823,13,0),"")</f>
        <v>THACO</v>
      </c>
      <c r="O148" s="110" t="str">
        <f>IFERROR(VLOOKUP(B148,'02. MM-KLH'!$B$6:$T$823,14,0),"")</f>
        <v>VIỆT NAM</v>
      </c>
      <c r="P148" s="101">
        <f>IFERROR(VLOOKUP(B148,'02. MM-KLH'!$B$6:$T$823,15,0),"")</f>
        <v>2018</v>
      </c>
      <c r="Q148" s="101" t="str">
        <f>IFERROR(VLOOKUP(B148,'02. MM-KLH'!$B$6:$T$823,16,0),"")</f>
        <v>KAM50</v>
      </c>
      <c r="R148" s="101" t="str">
        <f>IFERROR(VLOOKUP(B148,'02. MM-KLH'!$B$6:$T$823,17,0),"")</f>
        <v>50HP</v>
      </c>
      <c r="S148" s="110" t="str">
        <f>IFERROR(VLOOKUP(B148,'02. MM-KLH'!$B$6:$T$823,18,0),"")</f>
        <v>C00007</v>
      </c>
      <c r="T148" s="111" t="str">
        <f>IFERROR(VLOOKUP(B148,'02. MM-KLH'!$B$6:$T$823,19,0),"")</f>
        <v>CCN</v>
      </c>
      <c r="U148" s="863" t="s">
        <v>451</v>
      </c>
    </row>
    <row r="149" ht="13.5" customHeight="1" spans="1:21">
      <c r="A149" s="101">
        <f t="shared" si="6"/>
        <v>6</v>
      </c>
      <c r="B149" s="104" t="s">
        <v>1349</v>
      </c>
      <c r="C149" s="102" t="str">
        <f>IFERROR(VLOOKUP(B149,'02. MM-KLH'!$B$6:$T$823,2,0),"")</f>
        <v>MK 74-VC KLH</v>
      </c>
      <c r="D149" s="103" t="str">
        <f>IFERROR(VLOOKUP(B149,'02. MM-KLH'!$B$6:$T$823,3,0),"")</f>
        <v>A23-MKE-024</v>
      </c>
      <c r="E149" s="102">
        <f>IFERROR(VLOOKUP(B149,'02. MM-KLH'!$B$6:$T$823,4,0),"")</f>
        <v>0</v>
      </c>
      <c r="F149" s="104" t="s">
        <v>1980</v>
      </c>
      <c r="G149" s="102" t="str">
        <f>IFERROR(VLOOKUP(B149,'02. MM-KLH'!$B$6:$T$823,6,0),"")</f>
        <v>Máy cày KAM50</v>
      </c>
      <c r="H149" s="101" t="s">
        <v>3338</v>
      </c>
      <c r="I149" s="101" t="str">
        <f>IFERROR(VLOOKUP(B149,'02. MM-KLH'!$B$6:$T$823,8,0),"")</f>
        <v>XN Chuối DP3</v>
      </c>
      <c r="J149" s="105">
        <f>IFERROR(VLOOKUP(B149,'02. MM-KLH'!$B$6:$T$823,9,0),"")</f>
        <v>43525</v>
      </c>
      <c r="K149" s="101" t="str">
        <f>IFERROR(VLOOKUP(B149,'02. MM-KLH'!$B$6:$T$823,10,0),"")</f>
        <v>Bình thường</v>
      </c>
      <c r="L149" s="107">
        <f>IFERROR(VLOOKUP(B149,'02. MM-KLH'!$B$6:$T$823,11,0),"")</f>
        <v>0.4</v>
      </c>
      <c r="M149" s="864">
        <f>IFERROR(VLOOKUP(B149,'02. MM-KLH'!$B$6:$T$823,12,0),"")</f>
        <v>0</v>
      </c>
      <c r="N149" s="110" t="str">
        <f>IFERROR(VLOOKUP(B149,'02. MM-KLH'!$B$6:$T$823,13,0),"")</f>
        <v>THACO</v>
      </c>
      <c r="O149" s="110" t="str">
        <f>IFERROR(VLOOKUP(B149,'02. MM-KLH'!$B$6:$T$823,14,0),"")</f>
        <v>VIỆT NAM</v>
      </c>
      <c r="P149" s="101">
        <f>IFERROR(VLOOKUP(B149,'02. MM-KLH'!$B$6:$T$823,15,0),"")</f>
        <v>2018</v>
      </c>
      <c r="Q149" s="101" t="str">
        <f>IFERROR(VLOOKUP(B149,'02. MM-KLH'!$B$6:$T$823,16,0),"")</f>
        <v>KAM50</v>
      </c>
      <c r="R149" s="101" t="str">
        <f>IFERROR(VLOOKUP(B149,'02. MM-KLH'!$B$6:$T$823,17,0),"")</f>
        <v>50HP</v>
      </c>
      <c r="S149" s="110" t="str">
        <f>IFERROR(VLOOKUP(B149,'02. MM-KLH'!$B$6:$T$823,18,0),"")</f>
        <v>C000083</v>
      </c>
      <c r="T149" s="111" t="str">
        <f>IFERROR(VLOOKUP(B149,'02. MM-KLH'!$B$6:$T$823,19,0),"")</f>
        <v>CCN</v>
      </c>
      <c r="U149" s="863" t="s">
        <v>451</v>
      </c>
    </row>
    <row r="150" ht="13.5" customHeight="1" spans="1:21">
      <c r="A150" s="101">
        <f t="shared" si="6"/>
        <v>7</v>
      </c>
      <c r="B150" s="104" t="s">
        <v>1352</v>
      </c>
      <c r="C150" s="102" t="str">
        <f>IFERROR(VLOOKUP(B150,'02. MM-KLH'!$B$6:$T$823,2,0),"")</f>
        <v>MK 68-VC KLH</v>
      </c>
      <c r="D150" s="103" t="str">
        <f>IFERROR(VLOOKUP(B150,'02. MM-KLH'!$B$6:$T$823,3,0),"")</f>
        <v>A23-MKE-025</v>
      </c>
      <c r="E150" s="102">
        <f>IFERROR(VLOOKUP(B150,'02. MM-KLH'!$B$6:$T$823,4,0),"")</f>
        <v>0</v>
      </c>
      <c r="F150" s="104" t="s">
        <v>1980</v>
      </c>
      <c r="G150" s="102" t="str">
        <f>IFERROR(VLOOKUP(B150,'02. MM-KLH'!$B$6:$T$823,6,0),"")</f>
        <v>Máy cày KAM50</v>
      </c>
      <c r="H150" s="101" t="s">
        <v>3338</v>
      </c>
      <c r="I150" s="101" t="str">
        <f>IFERROR(VLOOKUP(B150,'02. MM-KLH'!$B$6:$T$823,8,0),"")</f>
        <v>XN Chuối DP3</v>
      </c>
      <c r="J150" s="105">
        <f>IFERROR(VLOOKUP(B150,'02. MM-KLH'!$B$6:$T$823,9,0),"")</f>
        <v>43525</v>
      </c>
      <c r="K150" s="101" t="str">
        <f>IFERROR(VLOOKUP(B150,'02. MM-KLH'!$B$6:$T$823,10,0),"")</f>
        <v>Bình thường</v>
      </c>
      <c r="L150" s="107">
        <f>IFERROR(VLOOKUP(B150,'02. MM-KLH'!$B$6:$T$823,11,0),"")</f>
        <v>0.4</v>
      </c>
      <c r="M150" s="864">
        <f>IFERROR(VLOOKUP(B150,'02. MM-KLH'!$B$6:$T$823,12,0),"")</f>
        <v>0</v>
      </c>
      <c r="N150" s="110" t="str">
        <f>IFERROR(VLOOKUP(B150,'02. MM-KLH'!$B$6:$T$823,13,0),"")</f>
        <v>THACO</v>
      </c>
      <c r="O150" s="110" t="str">
        <f>IFERROR(VLOOKUP(B150,'02. MM-KLH'!$B$6:$T$823,14,0),"")</f>
        <v>VIỆT NAM</v>
      </c>
      <c r="P150" s="101">
        <f>IFERROR(VLOOKUP(B150,'02. MM-KLH'!$B$6:$T$823,15,0),"")</f>
        <v>2018</v>
      </c>
      <c r="Q150" s="101" t="str">
        <f>IFERROR(VLOOKUP(B150,'02. MM-KLH'!$B$6:$T$823,16,0),"")</f>
        <v>KAM50</v>
      </c>
      <c r="R150" s="101" t="str">
        <f>IFERROR(VLOOKUP(B150,'02. MM-KLH'!$B$6:$T$823,17,0),"")</f>
        <v>50HP</v>
      </c>
      <c r="S150" s="110" t="str">
        <f>IFERROR(VLOOKUP(B150,'02. MM-KLH'!$B$6:$T$823,18,0),"")</f>
        <v>C000070</v>
      </c>
      <c r="T150" s="111" t="str">
        <f>IFERROR(VLOOKUP(B150,'02. MM-KLH'!$B$6:$T$823,19,0),"")</f>
        <v>CCN</v>
      </c>
      <c r="U150" s="863" t="s">
        <v>451</v>
      </c>
    </row>
    <row r="151" ht="13.5" customHeight="1" spans="1:21">
      <c r="A151" s="101">
        <f t="shared" si="6"/>
        <v>8</v>
      </c>
      <c r="B151" s="104" t="s">
        <v>1355</v>
      </c>
      <c r="C151" s="102" t="str">
        <f>IFERROR(VLOOKUP(B151,'02. MM-KLH'!$B$6:$T$823,2,0),"")</f>
        <v>MK 76-VC KLH</v>
      </c>
      <c r="D151" s="103" t="str">
        <f>IFERROR(VLOOKUP(B151,'02. MM-KLH'!$B$6:$T$823,3,0),"")</f>
        <v>A23-MKE-026</v>
      </c>
      <c r="E151" s="102">
        <f>IFERROR(VLOOKUP(B151,'02. MM-KLH'!$B$6:$T$823,4,0),"")</f>
        <v>0</v>
      </c>
      <c r="F151" s="104" t="s">
        <v>1980</v>
      </c>
      <c r="G151" s="102" t="str">
        <f>IFERROR(VLOOKUP(B151,'02. MM-KLH'!$B$6:$T$823,6,0),"")</f>
        <v>Máy cày KAM50</v>
      </c>
      <c r="H151" s="101" t="s">
        <v>3338</v>
      </c>
      <c r="I151" s="101" t="str">
        <f>IFERROR(VLOOKUP(B151,'02. MM-KLH'!$B$6:$T$823,8,0),"")</f>
        <v>XN Chuối DP3</v>
      </c>
      <c r="J151" s="105">
        <f>IFERROR(VLOOKUP(B151,'02. MM-KLH'!$B$6:$T$823,9,0),"")</f>
        <v>43525</v>
      </c>
      <c r="K151" s="101" t="str">
        <f>IFERROR(VLOOKUP(B151,'02. MM-KLH'!$B$6:$T$823,10,0),"")</f>
        <v>Bình thường</v>
      </c>
      <c r="L151" s="107">
        <f>IFERROR(VLOOKUP(B151,'02. MM-KLH'!$B$6:$T$823,11,0),"")</f>
        <v>0.4</v>
      </c>
      <c r="M151" s="864">
        <f>IFERROR(VLOOKUP(B151,'02. MM-KLH'!$B$6:$T$823,12,0),"")</f>
        <v>0</v>
      </c>
      <c r="N151" s="110" t="str">
        <f>IFERROR(VLOOKUP(B151,'02. MM-KLH'!$B$6:$T$823,13,0),"")</f>
        <v>THACO</v>
      </c>
      <c r="O151" s="110" t="str">
        <f>IFERROR(VLOOKUP(B151,'02. MM-KLH'!$B$6:$T$823,14,0),"")</f>
        <v>VIỆT NAM</v>
      </c>
      <c r="P151" s="101">
        <f>IFERROR(VLOOKUP(B151,'02. MM-KLH'!$B$6:$T$823,15,0),"")</f>
        <v>2018</v>
      </c>
      <c r="Q151" s="101" t="str">
        <f>IFERROR(VLOOKUP(B151,'02. MM-KLH'!$B$6:$T$823,16,0),"")</f>
        <v>KAM50</v>
      </c>
      <c r="R151" s="101" t="str">
        <f>IFERROR(VLOOKUP(B151,'02. MM-KLH'!$B$6:$T$823,17,0),"")</f>
        <v>50HP</v>
      </c>
      <c r="S151" s="110" t="str">
        <f>IFERROR(VLOOKUP(B151,'02. MM-KLH'!$B$6:$T$823,18,0),"")</f>
        <v>C000036</v>
      </c>
      <c r="T151" s="111" t="str">
        <f>IFERROR(VLOOKUP(B151,'02. MM-KLH'!$B$6:$T$823,19,0),"")</f>
        <v>CCN</v>
      </c>
      <c r="U151" s="863" t="s">
        <v>451</v>
      </c>
    </row>
    <row r="152" ht="13.8" spans="1:21">
      <c r="A152" s="101">
        <f t="shared" si="6"/>
        <v>9</v>
      </c>
      <c r="B152" s="104" t="s">
        <v>1358</v>
      </c>
      <c r="C152" s="102" t="str">
        <f>IFERROR(VLOOKUP(B152,'02. MM-KLH'!$B$6:$T$823,2,0),"")</f>
        <v>MK 80-VC KLH</v>
      </c>
      <c r="D152" s="103" t="str">
        <f>IFERROR(VLOOKUP(B152,'02. MM-KLH'!$B$6:$T$823,3,0),"")</f>
        <v>A23-MKE-027</v>
      </c>
      <c r="E152" s="102">
        <f>IFERROR(VLOOKUP(B152,'02. MM-KLH'!$B$6:$T$823,4,0),"")</f>
        <v>0</v>
      </c>
      <c r="F152" s="104" t="s">
        <v>1980</v>
      </c>
      <c r="G152" s="102" t="str">
        <f>IFERROR(VLOOKUP(B152,'02. MM-KLH'!$B$6:$T$823,6,0),"")</f>
        <v>Máy cày KAM50</v>
      </c>
      <c r="H152" s="101" t="s">
        <v>3338</v>
      </c>
      <c r="I152" s="101" t="str">
        <f>IFERROR(VLOOKUP(B152,'02. MM-KLH'!$B$6:$T$823,8,0),"")</f>
        <v>XN Chuối DP3</v>
      </c>
      <c r="J152" s="105">
        <f>IFERROR(VLOOKUP(B152,'02. MM-KLH'!$B$6:$T$823,9,0),"")</f>
        <v>43525</v>
      </c>
      <c r="K152" s="101" t="str">
        <f>IFERROR(VLOOKUP(B152,'02. MM-KLH'!$B$6:$T$823,10,0),"")</f>
        <v>Bình thường</v>
      </c>
      <c r="L152" s="107">
        <f>IFERROR(VLOOKUP(B152,'02. MM-KLH'!$B$6:$T$823,11,0),"")</f>
        <v>0.4</v>
      </c>
      <c r="M152" s="864">
        <f>IFERROR(VLOOKUP(B152,'02. MM-KLH'!$B$6:$T$823,12,0),"")</f>
        <v>0</v>
      </c>
      <c r="N152" s="110" t="str">
        <f>IFERROR(VLOOKUP(B152,'02. MM-KLH'!$B$6:$T$823,13,0),"")</f>
        <v>THACO</v>
      </c>
      <c r="O152" s="110" t="str">
        <f>IFERROR(VLOOKUP(B152,'02. MM-KLH'!$B$6:$T$823,14,0),"")</f>
        <v>VIỆT NAM</v>
      </c>
      <c r="P152" s="101">
        <f>IFERROR(VLOOKUP(B152,'02. MM-KLH'!$B$6:$T$823,15,0),"")</f>
        <v>2018</v>
      </c>
      <c r="Q152" s="101" t="str">
        <f>IFERROR(VLOOKUP(B152,'02. MM-KLH'!$B$6:$T$823,16,0),"")</f>
        <v>KAM50</v>
      </c>
      <c r="R152" s="101" t="str">
        <f>IFERROR(VLOOKUP(B152,'02. MM-KLH'!$B$6:$T$823,17,0),"")</f>
        <v>50HP</v>
      </c>
      <c r="S152" s="110" t="str">
        <f>IFERROR(VLOOKUP(B152,'02. MM-KLH'!$B$6:$T$823,18,0),"")</f>
        <v>C000013</v>
      </c>
      <c r="T152" s="111" t="str">
        <f>IFERROR(VLOOKUP(B152,'02. MM-KLH'!$B$6:$T$823,19,0),"")</f>
        <v>CCN</v>
      </c>
      <c r="U152" s="863" t="s">
        <v>451</v>
      </c>
    </row>
    <row r="153" ht="13.5" customHeight="1" spans="1:21">
      <c r="A153" s="101">
        <f t="shared" si="6"/>
        <v>10</v>
      </c>
      <c r="B153" s="104" t="s">
        <v>1363</v>
      </c>
      <c r="C153" s="102" t="str">
        <f>IFERROR(VLOOKUP(B153,'02. MM-KLH'!$B$6:$T$823,2,0),"")</f>
        <v>MK 75-VC KLH</v>
      </c>
      <c r="D153" s="103" t="str">
        <f>IFERROR(VLOOKUP(B153,'02. MM-KLH'!$B$6:$T$823,3,0),"")</f>
        <v>A23-MKE-028</v>
      </c>
      <c r="E153" s="102">
        <f>IFERROR(VLOOKUP(B153,'02. MM-KLH'!$B$6:$T$823,4,0),"")</f>
        <v>0</v>
      </c>
      <c r="F153" s="104" t="s">
        <v>1980</v>
      </c>
      <c r="G153" s="102" t="str">
        <f>IFERROR(VLOOKUP(B153,'02. MM-KLH'!$B$6:$T$823,6,0),"")</f>
        <v>Máy cày KAM50</v>
      </c>
      <c r="H153" s="101" t="s">
        <v>3338</v>
      </c>
      <c r="I153" s="101" t="str">
        <f>IFERROR(VLOOKUP(B153,'02. MM-KLH'!$B$6:$T$823,8,0),"")</f>
        <v>XN Chuối DP3</v>
      </c>
      <c r="J153" s="105">
        <f>IFERROR(VLOOKUP(B153,'02. MM-KLH'!$B$6:$T$823,9,0),"")</f>
        <v>0</v>
      </c>
      <c r="K153" s="101" t="str">
        <f>IFERROR(VLOOKUP(B153,'02. MM-KLH'!$B$6:$T$823,10,0),"")</f>
        <v>Bình thường</v>
      </c>
      <c r="L153" s="107">
        <f>IFERROR(VLOOKUP(B153,'02. MM-KLH'!$B$6:$T$823,11,0),"")</f>
        <v>0</v>
      </c>
      <c r="M153" s="864">
        <f>IFERROR(VLOOKUP(B153,'02. MM-KLH'!$B$6:$T$823,12,0),"")</f>
        <v>0</v>
      </c>
      <c r="N153" s="110" t="str">
        <f>IFERROR(VLOOKUP(B153,'02. MM-KLH'!$B$6:$T$823,13,0),"")</f>
        <v>THACO</v>
      </c>
      <c r="O153" s="110" t="str">
        <f>IFERROR(VLOOKUP(B153,'02. MM-KLH'!$B$6:$T$823,14,0),"")</f>
        <v>VIỆT NAM</v>
      </c>
      <c r="P153" s="101">
        <f>IFERROR(VLOOKUP(B153,'02. MM-KLH'!$B$6:$T$823,15,0),"")</f>
        <v>2018</v>
      </c>
      <c r="Q153" s="101" t="str">
        <f>IFERROR(VLOOKUP(B153,'02. MM-KLH'!$B$6:$T$823,16,0),"")</f>
        <v>KAM50</v>
      </c>
      <c r="R153" s="101" t="str">
        <f>IFERROR(VLOOKUP(B153,'02. MM-KLH'!$B$6:$T$823,17,0),"")</f>
        <v>50HP</v>
      </c>
      <c r="S153" s="110" t="str">
        <f>IFERROR(VLOOKUP(B153,'02. MM-KLH'!$B$6:$T$823,18,0),"")</f>
        <v>C000084</v>
      </c>
      <c r="T153" s="111" t="str">
        <f>IFERROR(VLOOKUP(B153,'02. MM-KLH'!$B$6:$T$823,19,0),"")</f>
        <v>CCN</v>
      </c>
      <c r="U153" s="863" t="s">
        <v>451</v>
      </c>
    </row>
    <row r="154" ht="13.5" customHeight="1" spans="1:21">
      <c r="A154" s="101">
        <f t="shared" si="6"/>
        <v>11</v>
      </c>
      <c r="B154" s="104" t="s">
        <v>1477</v>
      </c>
      <c r="C154" s="102" t="str">
        <f>IFERROR(VLOOKUP(B154,'02. MM-KLH'!$B$6:$T$823,2,0),"")</f>
        <v>XL4-MKE-004</v>
      </c>
      <c r="D154" s="103" t="str">
        <f>IFERROR(VLOOKUP(B154,'02. MM-KLH'!$B$6:$T$823,3,0),"")</f>
        <v>A24-MKE-010</v>
      </c>
      <c r="E154" s="102">
        <f>IFERROR(VLOOKUP(B154,'02. MM-KLH'!$B$6:$T$823,4,0),"")</f>
        <v>0</v>
      </c>
      <c r="F154" s="104"/>
      <c r="G154" s="102" t="str">
        <f>IFERROR(VLOOKUP(B154,'02. MM-KLH'!$B$6:$T$823,6,0),"")</f>
        <v>Máy cày KAM50</v>
      </c>
      <c r="H154" s="101" t="s">
        <v>3338</v>
      </c>
      <c r="I154" s="101" t="str">
        <f>IFERROR(VLOOKUP(B154,'02. MM-KLH'!$B$6:$T$823,8,0),"")</f>
        <v>XN Chuối LP1</v>
      </c>
      <c r="J154" s="105" t="str">
        <f>IFERROR(VLOOKUP(B154,'02. MM-KLH'!$B$6:$T$823,9,0),"")</f>
        <v>28/06/2024</v>
      </c>
      <c r="K154" s="101" t="str">
        <f>IFERROR(VLOOKUP(B154,'02. MM-KLH'!$B$6:$T$823,10,0),"")</f>
        <v>Bình thường</v>
      </c>
      <c r="L154" s="107">
        <f>IFERROR(VLOOKUP(B154,'02. MM-KLH'!$B$6:$T$823,11,0),"")</f>
        <v>0</v>
      </c>
      <c r="M154" s="864" t="str">
        <f>IFERROR(VLOOKUP(B154,'02. MM-KLH'!$B$6:$T$823,12,0),"")</f>
        <v>LP4 bàn giao qua ngày 28/06/2024</v>
      </c>
      <c r="N154" s="110" t="str">
        <f>IFERROR(VLOOKUP(B154,'02. MM-KLH'!$B$6:$T$823,13,0),"")</f>
        <v>THACO</v>
      </c>
      <c r="O154" s="110" t="str">
        <f>IFERROR(VLOOKUP(B154,'02. MM-KLH'!$B$6:$T$823,14,0),"")</f>
        <v>VIỆT NAM</v>
      </c>
      <c r="P154" s="101">
        <f>IFERROR(VLOOKUP(B154,'02. MM-KLH'!$B$6:$T$823,15,0),"")</f>
        <v>2018</v>
      </c>
      <c r="Q154" s="101" t="str">
        <f>IFERROR(VLOOKUP(B154,'02. MM-KLH'!$B$6:$T$823,16,0),"")</f>
        <v>KAM50</v>
      </c>
      <c r="R154" s="101" t="str">
        <f>IFERROR(VLOOKUP(B154,'02. MM-KLH'!$B$6:$T$823,17,0),"")</f>
        <v>50HP</v>
      </c>
      <c r="S154" s="110" t="str">
        <f>IFERROR(VLOOKUP(B154,'02. MM-KLH'!$B$6:$T$823,18,0),"")</f>
        <v>C000052</v>
      </c>
      <c r="T154" s="111" t="str">
        <f>IFERROR(VLOOKUP(B154,'02. MM-KLH'!$B$6:$T$823,19,0),"")</f>
        <v>CCN</v>
      </c>
      <c r="U154" s="863" t="s">
        <v>451</v>
      </c>
    </row>
    <row r="155" ht="13.5" customHeight="1" spans="1:21">
      <c r="A155" s="101">
        <f t="shared" si="6"/>
        <v>12</v>
      </c>
      <c r="B155" s="104" t="s">
        <v>1482</v>
      </c>
      <c r="C155" s="102" t="str">
        <f>IFERROR(VLOOKUP(B155,'02. MM-KLH'!$B$6:$T$823,2,0),"")</f>
        <v>LP4-MKE-002</v>
      </c>
      <c r="D155" s="103" t="str">
        <f>IFERROR(VLOOKUP(B155,'02. MM-KLH'!$B$6:$T$823,3,0),"")</f>
        <v>A24-MKE-018</v>
      </c>
      <c r="E155" s="102">
        <f>IFERROR(VLOOKUP(B155,'02. MM-KLH'!$B$6:$T$823,4,0),"")</f>
        <v>0</v>
      </c>
      <c r="F155" s="104"/>
      <c r="G155" s="102" t="str">
        <f>IFERROR(VLOOKUP(B155,'02. MM-KLH'!$B$6:$T$823,6,0),"")</f>
        <v>Máy cày KAM50</v>
      </c>
      <c r="H155" s="101" t="s">
        <v>3338</v>
      </c>
      <c r="I155" s="101" t="str">
        <f>IFERROR(VLOOKUP(B155,'02. MM-KLH'!$B$6:$T$823,8,0),"")</f>
        <v>XN Chuối LP1</v>
      </c>
      <c r="J155" s="105">
        <f>IFERROR(VLOOKUP(B155,'02. MM-KLH'!$B$6:$T$823,9,0),"")</f>
        <v>0</v>
      </c>
      <c r="K155" s="101" t="str">
        <f>IFERROR(VLOOKUP(B155,'02. MM-KLH'!$B$6:$T$823,10,0),"")</f>
        <v>Bình thường</v>
      </c>
      <c r="L155" s="107">
        <f>IFERROR(VLOOKUP(B155,'02. MM-KLH'!$B$6:$T$823,11,0),"")</f>
        <v>0</v>
      </c>
      <c r="M155" s="864" t="str">
        <f>IFERROR(VLOOKUP(B155,'02. MM-KLH'!$B$6:$T$823,12,0),"")</f>
        <v>-Đ.chuyển từ LP4 sang LP1 ngày 16.07.2024</v>
      </c>
      <c r="N155" s="110" t="str">
        <f>IFERROR(VLOOKUP(B155,'02. MM-KLH'!$B$6:$T$823,13,0),"")</f>
        <v>THACO</v>
      </c>
      <c r="O155" s="110" t="str">
        <f>IFERROR(VLOOKUP(B155,'02. MM-KLH'!$B$6:$T$823,14,0),"")</f>
        <v>VIỆT NAM</v>
      </c>
      <c r="P155" s="101">
        <f>IFERROR(VLOOKUP(B155,'02. MM-KLH'!$B$6:$T$823,15,0),"")</f>
        <v>2018</v>
      </c>
      <c r="Q155" s="101" t="str">
        <f>IFERROR(VLOOKUP(B155,'02. MM-KLH'!$B$6:$T$823,16,0),"")</f>
        <v>KAM50</v>
      </c>
      <c r="R155" s="101" t="str">
        <f>IFERROR(VLOOKUP(B155,'02. MM-KLH'!$B$6:$T$823,17,0),"")</f>
        <v>50HP</v>
      </c>
      <c r="S155" s="110" t="str">
        <f>IFERROR(VLOOKUP(B155,'02. MM-KLH'!$B$6:$T$823,18,0),"")</f>
        <v>C000017</v>
      </c>
      <c r="T155" s="111" t="str">
        <f>IFERROR(VLOOKUP(B155,'02. MM-KLH'!$B$6:$T$823,19,0),"")</f>
        <v>CCN</v>
      </c>
      <c r="U155" s="863" t="s">
        <v>451</v>
      </c>
    </row>
    <row r="156" ht="13.5" customHeight="1" spans="1:21">
      <c r="A156" s="101">
        <f t="shared" si="6"/>
        <v>13</v>
      </c>
      <c r="B156" s="104" t="s">
        <v>1486</v>
      </c>
      <c r="C156" s="102" t="str">
        <f>IFERROR(VLOOKUP(B156,'02. MM-KLH'!$B$6:$T$823,2,0),"")</f>
        <v>LP4-MKE-003</v>
      </c>
      <c r="D156" s="103" t="str">
        <f>IFERROR(VLOOKUP(B156,'02. MM-KLH'!$B$6:$T$823,3,0),"")</f>
        <v>A24-MKE-019</v>
      </c>
      <c r="E156" s="102">
        <f>IFERROR(VLOOKUP(B156,'02. MM-KLH'!$B$6:$T$823,4,0),"")</f>
        <v>0</v>
      </c>
      <c r="F156" s="104"/>
      <c r="G156" s="102" t="str">
        <f>IFERROR(VLOOKUP(B156,'02. MM-KLH'!$B$6:$T$823,6,0),"")</f>
        <v>Máy cày KAM50</v>
      </c>
      <c r="H156" s="101" t="s">
        <v>3338</v>
      </c>
      <c r="I156" s="101" t="str">
        <f>IFERROR(VLOOKUP(B156,'02. MM-KLH'!$B$6:$T$823,8,0),"")</f>
        <v>XN Chuối LP1</v>
      </c>
      <c r="J156" s="105">
        <f>IFERROR(VLOOKUP(B156,'02. MM-KLH'!$B$6:$T$823,9,0),"")</f>
        <v>0</v>
      </c>
      <c r="K156" s="101" t="str">
        <f>IFERROR(VLOOKUP(B156,'02. MM-KLH'!$B$6:$T$823,10,0),"")</f>
        <v>Bình thường</v>
      </c>
      <c r="L156" s="107">
        <f>IFERROR(VLOOKUP(B156,'02. MM-KLH'!$B$6:$T$823,11,0),"")</f>
        <v>0</v>
      </c>
      <c r="M156" s="864" t="str">
        <f>IFERROR(VLOOKUP(B156,'02. MM-KLH'!$B$6:$T$823,12,0),"")</f>
        <v>-Đ.chuyển từ LP4 sang LP1 ngày 16.07.2024</v>
      </c>
      <c r="N156" s="110" t="str">
        <f>IFERROR(VLOOKUP(B156,'02. MM-KLH'!$B$6:$T$823,13,0),"")</f>
        <v>THACO</v>
      </c>
      <c r="O156" s="110" t="str">
        <f>IFERROR(VLOOKUP(B156,'02. MM-KLH'!$B$6:$T$823,14,0),"")</f>
        <v>VIỆT NAM</v>
      </c>
      <c r="P156" s="101">
        <f>IFERROR(VLOOKUP(B156,'02. MM-KLH'!$B$6:$T$823,15,0),"")</f>
        <v>2018</v>
      </c>
      <c r="Q156" s="101" t="str">
        <f>IFERROR(VLOOKUP(B156,'02. MM-KLH'!$B$6:$T$823,16,0),"")</f>
        <v>KAM50</v>
      </c>
      <c r="R156" s="101" t="str">
        <f>IFERROR(VLOOKUP(B156,'02. MM-KLH'!$B$6:$T$823,17,0),"")</f>
        <v>50HP</v>
      </c>
      <c r="S156" s="110" t="str">
        <f>IFERROR(VLOOKUP(B156,'02. MM-KLH'!$B$6:$T$823,18,0),"")</f>
        <v>C000063</v>
      </c>
      <c r="T156" s="111" t="str">
        <f>IFERROR(VLOOKUP(B156,'02. MM-KLH'!$B$6:$T$823,19,0),"")</f>
        <v>CCN</v>
      </c>
      <c r="U156" s="863" t="s">
        <v>451</v>
      </c>
    </row>
    <row r="157" ht="13.5" customHeight="1" spans="1:21">
      <c r="A157" s="101">
        <f t="shared" si="6"/>
        <v>14</v>
      </c>
      <c r="B157" s="104" t="s">
        <v>1591</v>
      </c>
      <c r="C157" s="102" t="str">
        <f>IFERROR(VLOOKUP(B157,'02. MM-KLH'!$B$6:$T$823,2,0),"")</f>
        <v>LP3-MKE-001(MK11-VCKLH)</v>
      </c>
      <c r="D157" s="103" t="str">
        <f>IFERROR(VLOOKUP(B157,'02. MM-KLH'!$B$6:$T$823,3,0),"")</f>
        <v>A24-MKE-011</v>
      </c>
      <c r="E157" s="102">
        <f>IFERROR(VLOOKUP(B157,'02. MM-KLH'!$B$6:$T$823,4,0),"")</f>
        <v>0</v>
      </c>
      <c r="F157" s="104"/>
      <c r="G157" s="102" t="str">
        <f>IFERROR(VLOOKUP(B157,'02. MM-KLH'!$B$6:$T$823,6,0),"")</f>
        <v>Máy cày KAM50</v>
      </c>
      <c r="H157" s="101" t="s">
        <v>3338</v>
      </c>
      <c r="I157" s="101" t="str">
        <f>IFERROR(VLOOKUP(B157,'02. MM-KLH'!$B$6:$T$823,8,0),"")</f>
        <v>XN Chuối LP3</v>
      </c>
      <c r="J157" s="105">
        <f>IFERROR(VLOOKUP(B157,'02. MM-KLH'!$B$6:$T$823,9,0),"")</f>
        <v>0</v>
      </c>
      <c r="K157" s="101" t="str">
        <f>IFERROR(VLOOKUP(B157,'02. MM-KLH'!$B$6:$T$823,10,0),"")</f>
        <v>Bình thường</v>
      </c>
      <c r="L157" s="107">
        <f>IFERROR(VLOOKUP(B157,'02. MM-KLH'!$B$6:$T$823,11,0),"")</f>
        <v>0</v>
      </c>
      <c r="M157" s="864">
        <f>IFERROR(VLOOKUP(B157,'02. MM-KLH'!$B$6:$T$823,12,0),"")</f>
        <v>0</v>
      </c>
      <c r="N157" s="110" t="str">
        <f>IFERROR(VLOOKUP(B157,'02. MM-KLH'!$B$6:$T$823,13,0),"")</f>
        <v>THACO</v>
      </c>
      <c r="O157" s="110" t="str">
        <f>IFERROR(VLOOKUP(B157,'02. MM-KLH'!$B$6:$T$823,14,0),"")</f>
        <v>VIỆT NAM</v>
      </c>
      <c r="P157" s="101">
        <f>IFERROR(VLOOKUP(B157,'02. MM-KLH'!$B$6:$T$823,15,0),"")</f>
        <v>2018</v>
      </c>
      <c r="Q157" s="101" t="str">
        <f>IFERROR(VLOOKUP(B157,'02. MM-KLH'!$B$6:$T$823,16,0),"")</f>
        <v>KAM50</v>
      </c>
      <c r="R157" s="101" t="str">
        <f>IFERROR(VLOOKUP(B157,'02. MM-KLH'!$B$6:$T$823,17,0),"")</f>
        <v>50HP</v>
      </c>
      <c r="S157" s="110" t="str">
        <f>IFERROR(VLOOKUP(B157,'02. MM-KLH'!$B$6:$T$823,18,0),"")</f>
        <v>C000057</v>
      </c>
      <c r="T157" s="111" t="str">
        <f>IFERROR(VLOOKUP(B157,'02. MM-KLH'!$B$6:$T$823,19,0),"")</f>
        <v>CCN</v>
      </c>
      <c r="U157" s="863" t="s">
        <v>451</v>
      </c>
    </row>
    <row r="158" ht="13.5" customHeight="1" spans="1:21">
      <c r="A158" s="101">
        <f t="shared" si="6"/>
        <v>15</v>
      </c>
      <c r="B158" s="104" t="s">
        <v>1595</v>
      </c>
      <c r="C158" s="102" t="str">
        <f>IFERROR(VLOOKUP(B158,'02. MM-KLH'!$B$6:$T$823,2,0),"")</f>
        <v>LP3-MKE-002(MK24-VCKLH)</v>
      </c>
      <c r="D158" s="103" t="str">
        <f>IFERROR(VLOOKUP(B158,'02. MM-KLH'!$B$6:$T$823,3,0),"")</f>
        <v>A24-MKE-012</v>
      </c>
      <c r="E158" s="102">
        <f>IFERROR(VLOOKUP(B158,'02. MM-KLH'!$B$6:$T$823,4,0),"")</f>
        <v>0</v>
      </c>
      <c r="F158" s="104"/>
      <c r="G158" s="102" t="str">
        <f>IFERROR(VLOOKUP(B158,'02. MM-KLH'!$B$6:$T$823,6,0),"")</f>
        <v>Máy cày KAM50</v>
      </c>
      <c r="H158" s="101" t="s">
        <v>3338</v>
      </c>
      <c r="I158" s="101" t="str">
        <f>IFERROR(VLOOKUP(B158,'02. MM-KLH'!$B$6:$T$823,8,0),"")</f>
        <v>XN Chuối LP3</v>
      </c>
      <c r="J158" s="105">
        <f>IFERROR(VLOOKUP(B158,'02. MM-KLH'!$B$6:$T$823,9,0),"")</f>
        <v>0</v>
      </c>
      <c r="K158" s="101" t="str">
        <f>IFERROR(VLOOKUP(B158,'02. MM-KLH'!$B$6:$T$823,10,0),"")</f>
        <v>Bình thường</v>
      </c>
      <c r="L158" s="107">
        <f>IFERROR(VLOOKUP(B158,'02. MM-KLH'!$B$6:$T$823,11,0),"")</f>
        <v>0</v>
      </c>
      <c r="M158" s="864">
        <f>IFERROR(VLOOKUP(B158,'02. MM-KLH'!$B$6:$T$823,12,0),"")</f>
        <v>0</v>
      </c>
      <c r="N158" s="110" t="str">
        <f>IFERROR(VLOOKUP(B158,'02. MM-KLH'!$B$6:$T$823,13,0),"")</f>
        <v>THACO</v>
      </c>
      <c r="O158" s="110" t="str">
        <f>IFERROR(VLOOKUP(B158,'02. MM-KLH'!$B$6:$T$823,14,0),"")</f>
        <v>VIỆT NAM</v>
      </c>
      <c r="P158" s="101">
        <f>IFERROR(VLOOKUP(B158,'02. MM-KLH'!$B$6:$T$823,15,0),"")</f>
        <v>2018</v>
      </c>
      <c r="Q158" s="101" t="str">
        <f>IFERROR(VLOOKUP(B158,'02. MM-KLH'!$B$6:$T$823,16,0),"")</f>
        <v>KAM50</v>
      </c>
      <c r="R158" s="101" t="str">
        <f>IFERROR(VLOOKUP(B158,'02. MM-KLH'!$B$6:$T$823,17,0),"")</f>
        <v>50HP</v>
      </c>
      <c r="S158" s="110" t="str">
        <f>IFERROR(VLOOKUP(B158,'02. MM-KLH'!$B$6:$T$823,18,0),"")</f>
        <v>C000056</v>
      </c>
      <c r="T158" s="111" t="str">
        <f>IFERROR(VLOOKUP(B158,'02. MM-KLH'!$B$6:$T$823,19,0),"")</f>
        <v>CCN</v>
      </c>
      <c r="U158" s="863" t="s">
        <v>451</v>
      </c>
    </row>
    <row r="159" ht="13.5" customHeight="1" spans="1:21">
      <c r="A159" s="101">
        <f t="shared" si="6"/>
        <v>16</v>
      </c>
      <c r="B159" s="104" t="s">
        <v>1598</v>
      </c>
      <c r="C159" s="102" t="str">
        <f>IFERROR(VLOOKUP(B159,'02. MM-KLH'!$B$6:$T$823,2,0),"")</f>
        <v>LP3-MKE-003(MK32-VCKLH)</v>
      </c>
      <c r="D159" s="103" t="str">
        <f>IFERROR(VLOOKUP(B159,'02. MM-KLH'!$B$6:$T$823,3,0),"")</f>
        <v>A24-MKE-013</v>
      </c>
      <c r="E159" s="102">
        <f>IFERROR(VLOOKUP(B159,'02. MM-KLH'!$B$6:$T$823,4,0),"")</f>
        <v>0</v>
      </c>
      <c r="F159" s="104"/>
      <c r="G159" s="102" t="str">
        <f>IFERROR(VLOOKUP(B159,'02. MM-KLH'!$B$6:$T$823,6,0),"")</f>
        <v>Máy cày KAM50</v>
      </c>
      <c r="H159" s="101" t="s">
        <v>3338</v>
      </c>
      <c r="I159" s="101" t="str">
        <f>IFERROR(VLOOKUP(B159,'02. MM-KLH'!$B$6:$T$823,8,0),"")</f>
        <v>XN Chuối LP3</v>
      </c>
      <c r="J159" s="105">
        <f>IFERROR(VLOOKUP(B159,'02. MM-KLH'!$B$6:$T$823,9,0),"")</f>
        <v>0</v>
      </c>
      <c r="K159" s="101" t="str">
        <f>IFERROR(VLOOKUP(B159,'02. MM-KLH'!$B$6:$T$823,10,0),"")</f>
        <v>Bình thường</v>
      </c>
      <c r="L159" s="107">
        <f>IFERROR(VLOOKUP(B159,'02. MM-KLH'!$B$6:$T$823,11,0),"")</f>
        <v>0</v>
      </c>
      <c r="M159" s="864">
        <f>IFERROR(VLOOKUP(B159,'02. MM-KLH'!$B$6:$T$823,12,0),"")</f>
        <v>0</v>
      </c>
      <c r="N159" s="110" t="str">
        <f>IFERROR(VLOOKUP(B159,'02. MM-KLH'!$B$6:$T$823,13,0),"")</f>
        <v>THACO</v>
      </c>
      <c r="O159" s="110" t="str">
        <f>IFERROR(VLOOKUP(B159,'02. MM-KLH'!$B$6:$T$823,14,0),"")</f>
        <v>VIỆT NAM</v>
      </c>
      <c r="P159" s="101">
        <f>IFERROR(VLOOKUP(B159,'02. MM-KLH'!$B$6:$T$823,15,0),"")</f>
        <v>2018</v>
      </c>
      <c r="Q159" s="101" t="str">
        <f>IFERROR(VLOOKUP(B159,'02. MM-KLH'!$B$6:$T$823,16,0),"")</f>
        <v>KAM50</v>
      </c>
      <c r="R159" s="101" t="str">
        <f>IFERROR(VLOOKUP(B159,'02. MM-KLH'!$B$6:$T$823,17,0),"")</f>
        <v>50HP</v>
      </c>
      <c r="S159" s="110" t="str">
        <f>IFERROR(VLOOKUP(B159,'02. MM-KLH'!$B$6:$T$823,18,0),"")</f>
        <v>C000027</v>
      </c>
      <c r="T159" s="111" t="str">
        <f>IFERROR(VLOOKUP(B159,'02. MM-KLH'!$B$6:$T$823,19,0),"")</f>
        <v>CCN</v>
      </c>
      <c r="U159" s="863" t="s">
        <v>451</v>
      </c>
    </row>
    <row r="160" ht="13.5" customHeight="1" spans="1:21">
      <c r="A160" s="101">
        <f t="shared" si="6"/>
        <v>17</v>
      </c>
      <c r="B160" s="104" t="s">
        <v>1608</v>
      </c>
      <c r="C160" s="102" t="str">
        <f>IFERROR(VLOOKUP(B160,'02. MM-KLH'!$B$6:$T$823,2,0),"")</f>
        <v>XD3-MKE-009(MK 79-VC KLH)</v>
      </c>
      <c r="D160" s="103" t="str">
        <f>IFERROR(VLOOKUP(B160,'02. MM-KLH'!$B$6:$T$823,3,0),"")</f>
        <v>A24-MKE-016</v>
      </c>
      <c r="E160" s="102">
        <f>IFERROR(VLOOKUP(B160,'02. MM-KLH'!$B$6:$T$823,4,0),"")</f>
        <v>0</v>
      </c>
      <c r="F160" s="104"/>
      <c r="G160" s="102" t="str">
        <f>IFERROR(VLOOKUP(B160,'02. MM-KLH'!$B$6:$T$823,6,0),"")</f>
        <v>Máy cày KAM50</v>
      </c>
      <c r="H160" s="101" t="s">
        <v>3338</v>
      </c>
      <c r="I160" s="101" t="str">
        <f>IFERROR(VLOOKUP(B160,'02. MM-KLH'!$B$6:$T$823,8,0),"")</f>
        <v>XN Chuối LP3</v>
      </c>
      <c r="J160" s="105">
        <f>IFERROR(VLOOKUP(B160,'02. MM-KLH'!$B$6:$T$823,9,0),"")</f>
        <v>45600</v>
      </c>
      <c r="K160" s="101" t="str">
        <f>IFERROR(VLOOKUP(B160,'02. MM-KLH'!$B$6:$T$823,10,0),"")</f>
        <v>Bình thường</v>
      </c>
      <c r="L160" s="107">
        <f>IFERROR(VLOOKUP(B160,'02. MM-KLH'!$B$6:$T$823,11,0),"")</f>
        <v>0</v>
      </c>
      <c r="M160" s="864" t="str">
        <f>IFERROR(VLOOKUP(B160,'02. MM-KLH'!$B$6:$T$823,12,0),"")</f>
        <v>Điều chuyển từ DP3 ngày 11/04/2024</v>
      </c>
      <c r="N160" s="110" t="str">
        <f>IFERROR(VLOOKUP(B160,'02. MM-KLH'!$B$6:$T$823,13,0),"")</f>
        <v>THACO</v>
      </c>
      <c r="O160" s="110" t="str">
        <f>IFERROR(VLOOKUP(B160,'02. MM-KLH'!$B$6:$T$823,14,0),"")</f>
        <v>VIỆT NAM</v>
      </c>
      <c r="P160" s="101">
        <f>IFERROR(VLOOKUP(B160,'02. MM-KLH'!$B$6:$T$823,15,0),"")</f>
        <v>2018</v>
      </c>
      <c r="Q160" s="101" t="str">
        <f>IFERROR(VLOOKUP(B160,'02. MM-KLH'!$B$6:$T$823,16,0),"")</f>
        <v>KAM50</v>
      </c>
      <c r="R160" s="101" t="str">
        <f>IFERROR(VLOOKUP(B160,'02. MM-KLH'!$B$6:$T$823,17,0),"")</f>
        <v>50HP</v>
      </c>
      <c r="S160" s="110">
        <f>IFERROR(VLOOKUP(B160,'02. MM-KLH'!$B$6:$T$823,18,0),"")</f>
        <v>180046</v>
      </c>
      <c r="T160" s="111" t="str">
        <f>IFERROR(VLOOKUP(B160,'02. MM-KLH'!$B$6:$T$823,19,0),"")</f>
        <v>CCN</v>
      </c>
      <c r="U160" s="863" t="s">
        <v>451</v>
      </c>
    </row>
    <row r="161" ht="13.5" customHeight="1" spans="1:21">
      <c r="A161" s="101">
        <f t="shared" si="6"/>
        <v>18</v>
      </c>
      <c r="B161" s="104" t="s">
        <v>1777</v>
      </c>
      <c r="C161" s="102" t="str">
        <f>IFERROR(VLOOKUP(B161,'02. MM-KLH'!$B$6:$T$823,2,0),"")</f>
        <v>MK28/CAT-MKE-002</v>
      </c>
      <c r="D161" s="103" t="str">
        <f>IFERROR(VLOOKUP(B161,'02. MM-KLH'!$B$6:$T$823,3,0),"")</f>
        <v>A22-MKE-002</v>
      </c>
      <c r="E161" s="102">
        <f>IFERROR(VLOOKUP(B161,'02. MM-KLH'!$B$6:$T$823,4,0),"")</f>
        <v>0</v>
      </c>
      <c r="F161" s="104"/>
      <c r="G161" s="102" t="str">
        <f>IFERROR(VLOOKUP(B161,'02. MM-KLH'!$B$6:$T$823,6,0),"")</f>
        <v>Máy cày KAM50</v>
      </c>
      <c r="H161" s="101" t="s">
        <v>3338</v>
      </c>
      <c r="I161" s="101" t="str">
        <f>IFERROR(VLOOKUP(B161,'02. MM-KLH'!$B$6:$T$823,8,0),"")</f>
        <v>XOÀI AD</v>
      </c>
      <c r="J161" s="105">
        <f>IFERROR(VLOOKUP(B161,'02. MM-KLH'!$B$6:$T$823,9,0),"")</f>
        <v>0</v>
      </c>
      <c r="K161" s="101" t="str">
        <f>IFERROR(VLOOKUP(B161,'02. MM-KLH'!$B$6:$T$823,10,0),"")</f>
        <v>Bình thường</v>
      </c>
      <c r="L161" s="107">
        <f>IFERROR(VLOOKUP(B161,'02. MM-KLH'!$B$6:$T$823,11,0),"")</f>
        <v>0</v>
      </c>
      <c r="M161" s="864">
        <f>IFERROR(VLOOKUP(B161,'02. MM-KLH'!$B$6:$T$823,12,0),"")</f>
        <v>0</v>
      </c>
      <c r="N161" s="110" t="str">
        <f>IFERROR(VLOOKUP(B161,'02. MM-KLH'!$B$6:$T$823,13,0),"")</f>
        <v>THACO </v>
      </c>
      <c r="O161" s="110" t="str">
        <f>IFERROR(VLOOKUP(B161,'02. MM-KLH'!$B$6:$T$823,14,0),"")</f>
        <v>VIỆT NAM</v>
      </c>
      <c r="P161" s="101">
        <f>IFERROR(VLOOKUP(B161,'02. MM-KLH'!$B$6:$T$823,15,0),"")</f>
        <v>2012</v>
      </c>
      <c r="Q161" s="101" t="str">
        <f>IFERROR(VLOOKUP(B161,'02. MM-KLH'!$B$6:$T$823,16,0),"")</f>
        <v>KAM50</v>
      </c>
      <c r="R161" s="101" t="str">
        <f>IFERROR(VLOOKUP(B161,'02. MM-KLH'!$B$6:$T$823,17,0),"")</f>
        <v>50HP</v>
      </c>
      <c r="S161" s="110" t="str">
        <f>IFERROR(VLOOKUP(B161,'02. MM-KLH'!$B$6:$T$823,18,0),"")</f>
        <v>C000082</v>
      </c>
      <c r="T161" s="111" t="str">
        <f>IFERROR(VLOOKUP(B161,'02. MM-KLH'!$B$6:$T$823,19,0),"")</f>
        <v>CCN</v>
      </c>
      <c r="U161" s="863" t="s">
        <v>451</v>
      </c>
    </row>
    <row r="162" ht="13.5" customHeight="1" spans="1:21">
      <c r="A162" s="101">
        <f t="shared" si="6"/>
        <v>19</v>
      </c>
      <c r="B162" s="104" t="s">
        <v>1783</v>
      </c>
      <c r="C162" s="102" t="str">
        <f>IFERROR(VLOOKUP(B162,'02. MM-KLH'!$B$6:$T$823,2,0),"")</f>
        <v>XAD-MKE-002</v>
      </c>
      <c r="D162" s="103" t="str">
        <f>IFERROR(VLOOKUP(B162,'02. MM-KLH'!$B$6:$T$823,3,0),"")</f>
        <v>A22-MKE-005</v>
      </c>
      <c r="E162" s="102">
        <f>IFERROR(VLOOKUP(B162,'02. MM-KLH'!$B$6:$T$823,4,0),"")</f>
        <v>0</v>
      </c>
      <c r="F162" s="104"/>
      <c r="G162" s="102" t="str">
        <f>IFERROR(VLOOKUP(B162,'02. MM-KLH'!$B$6:$T$823,6,0),"")</f>
        <v>Máy cày KAM50</v>
      </c>
      <c r="H162" s="101" t="s">
        <v>3338</v>
      </c>
      <c r="I162" s="101" t="str">
        <f>IFERROR(VLOOKUP(B162,'02. MM-KLH'!$B$6:$T$823,8,0),"")</f>
        <v>XOÀI AD</v>
      </c>
      <c r="J162" s="105" t="str">
        <f>IFERROR(VLOOKUP(B162,'02. MM-KLH'!$B$6:$T$823,9,0),"")</f>
        <v>27/02/2024</v>
      </c>
      <c r="K162" s="101" t="str">
        <f>IFERROR(VLOOKUP(B162,'02. MM-KLH'!$B$6:$T$823,10,0),"")</f>
        <v>Bình thường</v>
      </c>
      <c r="L162" s="107">
        <f>IFERROR(VLOOKUP(B162,'02. MM-KLH'!$B$6:$T$823,11,0),"")</f>
        <v>0</v>
      </c>
      <c r="M162" s="864" t="str">
        <f>IFERROR(VLOOKUP(B162,'02. MM-KLH'!$B$6:$T$823,12,0),"")</f>
        <v>Từ Xí nghiệp AD2 qua</v>
      </c>
      <c r="N162" s="110" t="str">
        <f>IFERROR(VLOOKUP(B162,'02. MM-KLH'!$B$6:$T$823,13,0),"")</f>
        <v>THACO</v>
      </c>
      <c r="O162" s="110" t="str">
        <f>IFERROR(VLOOKUP(B162,'02. MM-KLH'!$B$6:$T$823,14,0),"")</f>
        <v>VIỆT NAM</v>
      </c>
      <c r="P162" s="101">
        <f>IFERROR(VLOOKUP(B162,'02. MM-KLH'!$B$6:$T$823,15,0),"")</f>
        <v>0</v>
      </c>
      <c r="Q162" s="101" t="str">
        <f>IFERROR(VLOOKUP(B162,'02. MM-KLH'!$B$6:$T$823,16,0),"")</f>
        <v>KAM50</v>
      </c>
      <c r="R162" s="101" t="str">
        <f>IFERROR(VLOOKUP(B162,'02. MM-KLH'!$B$6:$T$823,17,0),"")</f>
        <v>50HP</v>
      </c>
      <c r="S162" s="110" t="str">
        <f>IFERROR(VLOOKUP(B162,'02. MM-KLH'!$B$6:$T$823,18,0),"")</f>
        <v>CCN</v>
      </c>
      <c r="T162" s="111" t="str">
        <f>IFERROR(VLOOKUP(B162,'02. MM-KLH'!$B$6:$T$823,19,0),"")</f>
        <v>C000079</v>
      </c>
      <c r="U162" s="863" t="s">
        <v>451</v>
      </c>
    </row>
    <row r="163" ht="13.5" customHeight="1" spans="1:21">
      <c r="A163" s="101">
        <f t="shared" si="6"/>
        <v>20</v>
      </c>
      <c r="B163" s="104" t="s">
        <v>1788</v>
      </c>
      <c r="C163" s="102" t="str">
        <f>IFERROR(VLOOKUP(B163,'02. MM-KLH'!$B$6:$T$823,2,0),"")</f>
        <v>MK07 VCKLH(XA2-MKE-007)</v>
      </c>
      <c r="D163" s="103" t="str">
        <f>IFERROR(VLOOKUP(B163,'02. MM-KLH'!$B$6:$T$823,3,0),"")</f>
        <v/>
      </c>
      <c r="E163" s="102">
        <f>IFERROR(VLOOKUP(B163,'02. MM-KLH'!$B$6:$T$823,4,0),"")</f>
        <v>0</v>
      </c>
      <c r="F163" s="104"/>
      <c r="G163" s="102" t="str">
        <f>IFERROR(VLOOKUP(B163,'02. MM-KLH'!$B$6:$T$823,6,0),"")</f>
        <v>Máy cày KAM50</v>
      </c>
      <c r="H163" s="101" t="s">
        <v>3338</v>
      </c>
      <c r="I163" s="101" t="str">
        <f>IFERROR(VLOOKUP(B163,'02. MM-KLH'!$B$6:$T$823,8,0),"")</f>
        <v>XOÀI AD</v>
      </c>
      <c r="J163" s="105">
        <f>IFERROR(VLOOKUP(B163,'02. MM-KLH'!$B$6:$T$823,9,0),"")</f>
        <v>0</v>
      </c>
      <c r="K163" s="101" t="str">
        <f>IFERROR(VLOOKUP(B163,'02. MM-KLH'!$B$6:$T$823,10,0),"")</f>
        <v>Bình thường</v>
      </c>
      <c r="L163" s="107">
        <f>IFERROR(VLOOKUP(B163,'02. MM-KLH'!$B$6:$T$823,11,0),"")</f>
        <v>0</v>
      </c>
      <c r="M163" s="864" t="str">
        <f>IFERROR(VLOOKUP(B163,'02. MM-KLH'!$B$6:$T$823,12,0),"")</f>
        <v>AD2 ddchuyen qua ngày 28.09.2024</v>
      </c>
      <c r="N163" s="110" t="str">
        <f>IFERROR(VLOOKUP(B163,'02. MM-KLH'!$B$6:$T$823,13,0),"")</f>
        <v>THACO</v>
      </c>
      <c r="O163" s="110" t="str">
        <f>IFERROR(VLOOKUP(B163,'02. MM-KLH'!$B$6:$T$823,14,0),"")</f>
        <v>VIỆT NAM</v>
      </c>
      <c r="P163" s="101">
        <f>IFERROR(VLOOKUP(B163,'02. MM-KLH'!$B$6:$T$823,15,0),"")</f>
        <v>2018</v>
      </c>
      <c r="Q163" s="101" t="str">
        <f>IFERROR(VLOOKUP(B163,'02. MM-KLH'!$B$6:$T$823,16,0),"")</f>
        <v>KAM50</v>
      </c>
      <c r="R163" s="101" t="str">
        <f>IFERROR(VLOOKUP(B163,'02. MM-KLH'!$B$6:$T$823,17,0),"")</f>
        <v>50HP</v>
      </c>
      <c r="S163" s="110" t="str">
        <f>IFERROR(VLOOKUP(B163,'02. MM-KLH'!$B$6:$T$823,18,0),"")</f>
        <v>C000075</v>
      </c>
      <c r="T163" s="111" t="str">
        <f>IFERROR(VLOOKUP(B163,'02. MM-KLH'!$B$6:$T$823,19,0),"")</f>
        <v>CCN</v>
      </c>
      <c r="U163" s="863" t="s">
        <v>451</v>
      </c>
    </row>
    <row r="164" ht="13.5" customHeight="1" spans="1:21">
      <c r="A164" s="101">
        <f t="shared" si="6"/>
        <v>21</v>
      </c>
      <c r="B164" s="104" t="s">
        <v>1792</v>
      </c>
      <c r="C164" s="102" t="str">
        <f>IFERROR(VLOOKUP(B164,'02. MM-KLH'!$B$6:$T$823,2,0),"")</f>
        <v>XA2-MKE-006</v>
      </c>
      <c r="D164" s="103">
        <f>IFERROR(VLOOKUP(B164,'02. MM-KLH'!$B$6:$T$823,3,0),"")</f>
        <v>0</v>
      </c>
      <c r="E164" s="102">
        <f>IFERROR(VLOOKUP(B164,'02. MM-KLH'!$B$6:$T$823,4,0),"")</f>
        <v>0</v>
      </c>
      <c r="F164" s="104"/>
      <c r="G164" s="102" t="str">
        <f>IFERROR(VLOOKUP(B164,'02. MM-KLH'!$B$6:$T$823,6,0),"")</f>
        <v>Máy cày KAM50</v>
      </c>
      <c r="H164" s="101" t="s">
        <v>3338</v>
      </c>
      <c r="I164" s="101" t="str">
        <f>IFERROR(VLOOKUP(B164,'02. MM-KLH'!$B$6:$T$823,8,0),"")</f>
        <v>XOÀI AD</v>
      </c>
      <c r="J164" s="105">
        <f>IFERROR(VLOOKUP(B164,'02. MM-KLH'!$B$6:$T$823,9,0),"")</f>
        <v>0</v>
      </c>
      <c r="K164" s="101" t="str">
        <f>IFERROR(VLOOKUP(B164,'02. MM-KLH'!$B$6:$T$823,10,0),"")</f>
        <v>Bình thường</v>
      </c>
      <c r="L164" s="107">
        <f>IFERROR(VLOOKUP(B164,'02. MM-KLH'!$B$6:$T$823,11,0),"")</f>
        <v>0</v>
      </c>
      <c r="M164" s="864" t="str">
        <f>IFERROR(VLOOKUP(B164,'02. MM-KLH'!$B$6:$T$823,12,0),"")</f>
        <v>AD2 ddchuyen qua ngày 30.09.2024</v>
      </c>
      <c r="N164" s="110" t="str">
        <f>IFERROR(VLOOKUP(B164,'02. MM-KLH'!$B$6:$T$823,13,0),"")</f>
        <v>THACO</v>
      </c>
      <c r="O164" s="110" t="str">
        <f>IFERROR(VLOOKUP(B164,'02. MM-KLH'!$B$6:$T$823,14,0),"")</f>
        <v>VIỆT NAM</v>
      </c>
      <c r="P164" s="101">
        <f>IFERROR(VLOOKUP(B164,'02. MM-KLH'!$B$6:$T$823,15,0),"")</f>
        <v>2018</v>
      </c>
      <c r="Q164" s="101" t="str">
        <f>IFERROR(VLOOKUP(B164,'02. MM-KLH'!$B$6:$T$823,16,0),"")</f>
        <v>KAM50</v>
      </c>
      <c r="R164" s="101" t="str">
        <f>IFERROR(VLOOKUP(B164,'02. MM-KLH'!$B$6:$T$823,17,0),"")</f>
        <v>50HP</v>
      </c>
      <c r="S164" s="110" t="str">
        <f>IFERROR(VLOOKUP(B164,'02. MM-KLH'!$B$6:$T$823,18,0),"")</f>
        <v>C000010</v>
      </c>
      <c r="T164" s="111" t="str">
        <f>IFERROR(VLOOKUP(B164,'02. MM-KLH'!$B$6:$T$823,19,0),"")</f>
        <v>CCN</v>
      </c>
      <c r="U164" s="863" t="s">
        <v>451</v>
      </c>
    </row>
    <row r="165" ht="13.5" customHeight="1" spans="1:21">
      <c r="A165" s="101">
        <f t="shared" si="6"/>
        <v>22</v>
      </c>
      <c r="B165" s="104" t="s">
        <v>1840</v>
      </c>
      <c r="C165" s="102" t="str">
        <f>IFERROR(VLOOKUP(B165,'02. MM-KLH'!$B$6:$T$823,2,0),"")</f>
        <v>MK23VC-KLH</v>
      </c>
      <c r="D165" s="103" t="str">
        <f>IFERROR(VLOOKUP(B165,'02. MM-KLH'!$B$6:$T$823,3,0),"")</f>
        <v>A22-MKE-011</v>
      </c>
      <c r="E165" s="102">
        <f>IFERROR(VLOOKUP(B165,'02. MM-KLH'!$B$6:$T$823,4,0),"")</f>
        <v>0</v>
      </c>
      <c r="F165" s="104"/>
      <c r="G165" s="102" t="str">
        <f>IFERROR(VLOOKUP(B165,'02. MM-KLH'!$B$6:$T$823,6,0),"")</f>
        <v>Máy cày KAM50</v>
      </c>
      <c r="H165" s="101" t="s">
        <v>3338</v>
      </c>
      <c r="I165" s="101" t="str">
        <f>IFERROR(VLOOKUP(B165,'02. MM-KLH'!$B$6:$T$823,8,0),"")</f>
        <v>XN Bò AD</v>
      </c>
      <c r="J165" s="105">
        <f>IFERROR(VLOOKUP(B165,'02. MM-KLH'!$B$6:$T$823,9,0),"")</f>
        <v>0</v>
      </c>
      <c r="K165" s="101" t="str">
        <f>IFERROR(VLOOKUP(B165,'02. MM-KLH'!$B$6:$T$823,10,0),"")</f>
        <v>Bình thường</v>
      </c>
      <c r="L165" s="107">
        <f>IFERROR(VLOOKUP(B165,'02. MM-KLH'!$B$6:$T$823,11,0),"")</f>
        <v>0</v>
      </c>
      <c r="M165" s="864">
        <f>IFERROR(VLOOKUP(B165,'02. MM-KLH'!$B$6:$T$823,12,0),"")</f>
        <v>0</v>
      </c>
      <c r="N165" s="110" t="str">
        <f>IFERROR(VLOOKUP(B165,'02. MM-KLH'!$B$6:$T$823,13,0),"")</f>
        <v>THACO</v>
      </c>
      <c r="O165" s="110" t="str">
        <f>IFERROR(VLOOKUP(B165,'02. MM-KLH'!$B$6:$T$823,14,0),"")</f>
        <v>VIỆT NAM</v>
      </c>
      <c r="P165" s="101">
        <f>IFERROR(VLOOKUP(B165,'02. MM-KLH'!$B$6:$T$823,15,0),"")</f>
        <v>2018</v>
      </c>
      <c r="Q165" s="101" t="str">
        <f>IFERROR(VLOOKUP(B165,'02. MM-KLH'!$B$6:$T$823,16,0),"")</f>
        <v>KAM50</v>
      </c>
      <c r="R165" s="101" t="str">
        <f>IFERROR(VLOOKUP(B165,'02. MM-KLH'!$B$6:$T$823,17,0),"")</f>
        <v>50HP</v>
      </c>
      <c r="S165" s="1097" t="str">
        <f>IFERROR(VLOOKUP(B165,'02. MM-KLH'!$B$6:$T$823,18,0),"")</f>
        <v>0000087</v>
      </c>
      <c r="T165" s="111">
        <f>IFERROR(VLOOKUP(B165,'02. MM-KLH'!$B$6:$T$823,19,0),"")</f>
        <v>80</v>
      </c>
      <c r="U165" s="863" t="s">
        <v>451</v>
      </c>
    </row>
    <row r="166" ht="13.5" customHeight="1" spans="1:21">
      <c r="A166" s="101">
        <f t="shared" si="6"/>
        <v>23</v>
      </c>
      <c r="B166" s="104" t="s">
        <v>1846</v>
      </c>
      <c r="C166" s="102" t="str">
        <f>IFERROR(VLOOKUP(B166,'02. MM-KLH'!$B$6:$T$823,2,0),"")</f>
        <v>MK27-VCKLH</v>
      </c>
      <c r="D166" s="103" t="str">
        <f>IFERROR(VLOOKUP(B166,'02. MM-KLH'!$B$6:$T$823,3,0),"")</f>
        <v>A22-MKE-016</v>
      </c>
      <c r="E166" s="102">
        <f>IFERROR(VLOOKUP(B166,'02. MM-KLH'!$B$6:$T$823,4,0),"")</f>
        <v>0</v>
      </c>
      <c r="F166" s="104"/>
      <c r="G166" s="102" t="str">
        <f>IFERROR(VLOOKUP(B166,'02. MM-KLH'!$B$6:$T$823,6,0),"")</f>
        <v>Máy cày KAM50</v>
      </c>
      <c r="H166" s="101" t="s">
        <v>3338</v>
      </c>
      <c r="I166" s="101" t="str">
        <f>IFERROR(VLOOKUP(B166,'02. MM-KLH'!$B$6:$T$823,8,0),"")</f>
        <v>XN Bò AD</v>
      </c>
      <c r="J166" s="105">
        <f>IFERROR(VLOOKUP(B166,'02. MM-KLH'!$B$6:$T$823,9,0),"")</f>
        <v>0</v>
      </c>
      <c r="K166" s="101" t="str">
        <f>IFERROR(VLOOKUP(B166,'02. MM-KLH'!$B$6:$T$823,10,0),"")</f>
        <v>Bình thường</v>
      </c>
      <c r="L166" s="107">
        <f>IFERROR(VLOOKUP(B166,'02. MM-KLH'!$B$6:$T$823,11,0),"")</f>
        <v>0</v>
      </c>
      <c r="M166" s="864">
        <f>IFERROR(VLOOKUP(B166,'02. MM-KLH'!$B$6:$T$823,12,0),"")</f>
        <v>0</v>
      </c>
      <c r="N166" s="110" t="str">
        <f>IFERROR(VLOOKUP(B166,'02. MM-KLH'!$B$6:$T$823,13,0),"")</f>
        <v>THACO</v>
      </c>
      <c r="O166" s="110" t="str">
        <f>IFERROR(VLOOKUP(B166,'02. MM-KLH'!$B$6:$T$823,14,0),"")</f>
        <v>VIỆT NAM</v>
      </c>
      <c r="P166" s="101">
        <f>IFERROR(VLOOKUP(B166,'02. MM-KLH'!$B$6:$T$823,15,0),"")</f>
        <v>2018</v>
      </c>
      <c r="Q166" s="101" t="str">
        <f>IFERROR(VLOOKUP(B166,'02. MM-KLH'!$B$6:$T$823,16,0),"")</f>
        <v>KAM50</v>
      </c>
      <c r="R166" s="101" t="str">
        <f>IFERROR(VLOOKUP(B166,'02. MM-KLH'!$B$6:$T$823,17,0),"")</f>
        <v>50HP</v>
      </c>
      <c r="S166" s="110" t="str">
        <f>IFERROR(VLOOKUP(B166,'02. MM-KLH'!$B$6:$T$823,18,0),"")</f>
        <v>C000077</v>
      </c>
      <c r="T166" s="111">
        <f>IFERROR(VLOOKUP(B166,'02. MM-KLH'!$B$6:$T$823,19,0),"")</f>
        <v>180012</v>
      </c>
      <c r="U166" s="863" t="s">
        <v>451</v>
      </c>
    </row>
    <row r="167" ht="13.5" customHeight="1" spans="1:21">
      <c r="A167" s="101">
        <f t="shared" si="6"/>
        <v>24</v>
      </c>
      <c r="B167" s="104" t="s">
        <v>1770</v>
      </c>
      <c r="C167" s="102" t="str">
        <f>IFERROR(VLOOKUP(B167,'02. MM-KLH'!$B$6:$T$823,2,0),"")</f>
        <v>XB1-MKE-020</v>
      </c>
      <c r="D167" s="103" t="str">
        <f>IFERROR(VLOOKUP(B167,'02. MM-KLH'!$B$6:$T$823,3,0),"")</f>
        <v/>
      </c>
      <c r="E167" s="102">
        <f>IFERROR(VLOOKUP(B167,'02. MM-KLH'!$B$6:$T$823,4,0),"")</f>
        <v>0</v>
      </c>
      <c r="F167" s="104"/>
      <c r="G167" s="102" t="str">
        <f>IFERROR(VLOOKUP(B167,'02. MM-KLH'!$B$6:$T$823,6,0),"")</f>
        <v>Máy cày KAM50</v>
      </c>
      <c r="H167" s="101" t="s">
        <v>3338</v>
      </c>
      <c r="I167" s="101" t="str">
        <f>IFERROR(VLOOKUP(B167,'02. MM-KLH'!$B$6:$T$823,8,0),"")</f>
        <v>BƯỞI AD</v>
      </c>
      <c r="J167" s="105">
        <f>IFERROR(VLOOKUP(B167,'02. MM-KLH'!$B$6:$T$823,9,0),"")</f>
        <v>0</v>
      </c>
      <c r="K167" s="101" t="str">
        <f>IFERROR(VLOOKUP(B167,'02. MM-KLH'!$B$6:$T$823,10,0),"")</f>
        <v>Bình thường</v>
      </c>
      <c r="L167" s="107">
        <f>IFERROR(VLOOKUP(B167,'02. MM-KLH'!$B$6:$T$823,11,0),"")</f>
        <v>0</v>
      </c>
      <c r="M167" s="864" t="str">
        <f>IFERROR(VLOOKUP(B167,'02. MM-KLH'!$B$6:$T$823,12,0),"")</f>
        <v>xnb điều chuyển 17/01/2026</v>
      </c>
      <c r="N167" s="110" t="str">
        <f>IFERROR(VLOOKUP(B167,'02. MM-KLH'!$B$6:$T$823,13,0),"")</f>
        <v>THACO</v>
      </c>
      <c r="O167" s="110" t="str">
        <f>IFERROR(VLOOKUP(B167,'02. MM-KLH'!$B$6:$T$823,14,0),"")</f>
        <v>VIỆT NAM</v>
      </c>
      <c r="P167" s="101">
        <f>IFERROR(VLOOKUP(B167,'02. MM-KLH'!$B$6:$T$823,15,0),"")</f>
        <v>2018</v>
      </c>
      <c r="Q167" s="101" t="str">
        <f>IFERROR(VLOOKUP(B167,'02. MM-KLH'!$B$6:$T$823,16,0),"")</f>
        <v>KAM50</v>
      </c>
      <c r="R167" s="101" t="str">
        <f>IFERROR(VLOOKUP(B167,'02. MM-KLH'!$B$6:$T$823,17,0),"")</f>
        <v>50HP</v>
      </c>
      <c r="S167" s="110" t="str">
        <f>IFERROR(VLOOKUP(B167,'02. MM-KLH'!$B$6:$T$823,18,0),"")</f>
        <v>C000074</v>
      </c>
      <c r="T167" s="111">
        <f>IFERROR(VLOOKUP(B167,'02. MM-KLH'!$B$6:$T$823,19,0),"")</f>
        <v>180001</v>
      </c>
      <c r="U167" s="863" t="s">
        <v>451</v>
      </c>
    </row>
    <row r="168" ht="13.5" customHeight="1" spans="1:21">
      <c r="A168" s="101">
        <f t="shared" si="6"/>
        <v>25</v>
      </c>
      <c r="B168" s="104" t="s">
        <v>1852</v>
      </c>
      <c r="C168" s="102" t="str">
        <f>IFERROR(VLOOKUP(B168,'02. MM-KLH'!$B$6:$T$823,2,0),"")</f>
        <v>MK20-VCKLH(XAD-MKE-009)</v>
      </c>
      <c r="D168" s="103" t="str">
        <f>IFERROR(VLOOKUP(B168,'02. MM-KLH'!$B$6:$T$823,3,0),"")</f>
        <v>A22-MKE-020</v>
      </c>
      <c r="E168" s="102">
        <f>IFERROR(VLOOKUP(B168,'02. MM-KLH'!$B$6:$T$823,4,0),"")</f>
        <v>0</v>
      </c>
      <c r="F168" s="104"/>
      <c r="G168" s="102" t="str">
        <f>IFERROR(VLOOKUP(B168,'02. MM-KLH'!$B$6:$T$823,6,0),"")</f>
        <v>Máy cày KAM50</v>
      </c>
      <c r="H168" s="101" t="s">
        <v>3338</v>
      </c>
      <c r="I168" s="101" t="str">
        <f>IFERROR(VLOOKUP(B168,'02. MM-KLH'!$B$6:$T$823,8,0),"")</f>
        <v>XN Bò AD</v>
      </c>
      <c r="J168" s="105" t="str">
        <f>IFERROR(VLOOKUP(B168,'02. MM-KLH'!$B$6:$T$823,9,0),"")</f>
        <v>28/11/2023</v>
      </c>
      <c r="K168" s="101" t="str">
        <f>IFERROR(VLOOKUP(B168,'02. MM-KLH'!$B$6:$T$823,10,0),"")</f>
        <v>Bình thường</v>
      </c>
      <c r="L168" s="107">
        <f>IFERROR(VLOOKUP(B168,'02. MM-KLH'!$B$6:$T$823,11,0),"")</f>
        <v>0</v>
      </c>
      <c r="M168" s="864">
        <f>IFERROR(VLOOKUP(B168,'02. MM-KLH'!$B$6:$T$823,12,0),"")</f>
        <v>0</v>
      </c>
      <c r="N168" s="110" t="str">
        <f>IFERROR(VLOOKUP(B168,'02. MM-KLH'!$B$6:$T$823,13,0),"")</f>
        <v>THACO</v>
      </c>
      <c r="O168" s="110" t="str">
        <f>IFERROR(VLOOKUP(B168,'02. MM-KLH'!$B$6:$T$823,14,0),"")</f>
        <v>VIỆT NAM</v>
      </c>
      <c r="P168" s="101">
        <f>IFERROR(VLOOKUP(B168,'02. MM-KLH'!$B$6:$T$823,15,0),"")</f>
        <v>2018</v>
      </c>
      <c r="Q168" s="101" t="str">
        <f>IFERROR(VLOOKUP(B168,'02. MM-KLH'!$B$6:$T$823,16,0),"")</f>
        <v>KAM50</v>
      </c>
      <c r="R168" s="101" t="str">
        <f>IFERROR(VLOOKUP(B168,'02. MM-KLH'!$B$6:$T$823,17,0),"")</f>
        <v>50HP</v>
      </c>
      <c r="S168" s="110">
        <f>IFERROR(VLOOKUP(B168,'02. MM-KLH'!$B$6:$T$823,18,0),"")</f>
        <v>180090</v>
      </c>
      <c r="T168" s="111" t="str">
        <f>IFERROR(VLOOKUP(B168,'02. MM-KLH'!$B$6:$T$823,19,0),"")</f>
        <v>CCN</v>
      </c>
      <c r="U168" s="863" t="s">
        <v>451</v>
      </c>
    </row>
    <row r="169" ht="13.5" customHeight="1" spans="1:21">
      <c r="A169" s="101">
        <f t="shared" si="6"/>
        <v>26</v>
      </c>
      <c r="B169" s="104" t="s">
        <v>1862</v>
      </c>
      <c r="C169" s="102" t="str">
        <f>IFERROR(VLOOKUP(B169,'02. MM-KLH'!$B$6:$T$823,2,0),"")</f>
        <v>XA2-MKE-003</v>
      </c>
      <c r="D169" s="103" t="str">
        <f>IFERROR(VLOOKUP(B169,'02. MM-KLH'!$B$6:$T$823,3,0),"")</f>
        <v>A22-MKE-022</v>
      </c>
      <c r="E169" s="102">
        <f>IFERROR(VLOOKUP(B169,'02. MM-KLH'!$B$6:$T$823,4,0),"")</f>
        <v>0</v>
      </c>
      <c r="F169" s="104"/>
      <c r="G169" s="102" t="str">
        <f>IFERROR(VLOOKUP(B169,'02. MM-KLH'!$B$6:$T$823,6,0),"")</f>
        <v>Máy cày KAM50</v>
      </c>
      <c r="H169" s="101" t="s">
        <v>3338</v>
      </c>
      <c r="I169" s="101" t="str">
        <f>IFERROR(VLOOKUP(B169,'02. MM-KLH'!$B$6:$T$823,8,0),"")</f>
        <v>XN Bò AD</v>
      </c>
      <c r="J169" s="105" t="str">
        <f>IFERROR(VLOOKUP(B169,'02. MM-KLH'!$B$6:$T$823,9,0),"")</f>
        <v>16/07/2024</v>
      </c>
      <c r="K169" s="101" t="str">
        <f>IFERROR(VLOOKUP(B169,'02. MM-KLH'!$B$6:$T$823,10,0),"")</f>
        <v>Bình thường</v>
      </c>
      <c r="L169" s="107">
        <f>IFERROR(VLOOKUP(B169,'02. MM-KLH'!$B$6:$T$823,11,0),"")</f>
        <v>0</v>
      </c>
      <c r="M169" s="864" t="str">
        <f>IFERROR(VLOOKUP(B169,'02. MM-KLH'!$B$6:$T$823,12,0),"")</f>
        <v>Điều chuyển từ XN AD ngày 16/07/2024 gắn TB cuộn cỏ</v>
      </c>
      <c r="N169" s="110" t="str">
        <f>IFERROR(VLOOKUP(B169,'02. MM-KLH'!$B$6:$T$823,13,0),"")</f>
        <v>THACO</v>
      </c>
      <c r="O169" s="110" t="str">
        <f>IFERROR(VLOOKUP(B169,'02. MM-KLH'!$B$6:$T$823,14,0),"")</f>
        <v>VIỆT NAM</v>
      </c>
      <c r="P169" s="101">
        <f>IFERROR(VLOOKUP(B169,'02. MM-KLH'!$B$6:$T$823,15,0),"")</f>
        <v>2018</v>
      </c>
      <c r="Q169" s="101" t="str">
        <f>IFERROR(VLOOKUP(B169,'02. MM-KLH'!$B$6:$T$823,16,0),"")</f>
        <v>KAM50</v>
      </c>
      <c r="R169" s="101" t="str">
        <f>IFERROR(VLOOKUP(B169,'02. MM-KLH'!$B$6:$T$823,17,0),"")</f>
        <v>50HP</v>
      </c>
      <c r="S169" s="110" t="str">
        <f>IFERROR(VLOOKUP(B169,'02. MM-KLH'!$B$6:$T$823,18,0),"")</f>
        <v>C000046</v>
      </c>
      <c r="T169" s="111" t="str">
        <f>IFERROR(VLOOKUP(B169,'02. MM-KLH'!$B$6:$T$823,19,0),"")</f>
        <v>CCN</v>
      </c>
      <c r="U169" s="863" t="s">
        <v>451</v>
      </c>
    </row>
    <row r="170" ht="30.75" customHeight="1" spans="1:21">
      <c r="A170" s="101">
        <f t="shared" si="6"/>
        <v>27</v>
      </c>
      <c r="B170" s="104" t="s">
        <v>1903</v>
      </c>
      <c r="C170" s="102" t="str">
        <f>IFERROR(VLOOKUP(B170,'02. MM-KLH'!$B$6:$T$823,2,0),"")</f>
        <v>MK 71-VC KLH(XD2-MKE-007</v>
      </c>
      <c r="D170" s="103" t="str">
        <f>IFERROR(VLOOKUP(B170,'02. MM-KLH'!$B$6:$T$823,3,0),"")</f>
        <v/>
      </c>
      <c r="E170" s="102">
        <f>IFERROR(VLOOKUP(B170,'02. MM-KLH'!$B$6:$T$823,4,0),"")</f>
        <v>0</v>
      </c>
      <c r="F170" s="104" t="s">
        <v>1980</v>
      </c>
      <c r="G170" s="102" t="str">
        <f>IFERROR(VLOOKUP(B170,'02. MM-KLH'!$B$6:$T$823,6,0),"")</f>
        <v>Máy cày KAM50</v>
      </c>
      <c r="H170" s="101" t="s">
        <v>3338</v>
      </c>
      <c r="I170" s="101" t="str">
        <f>IFERROR(VLOOKUP(B170,'02. MM-KLH'!$B$6:$T$823,8,0),"")</f>
        <v>XN Bò AD</v>
      </c>
      <c r="J170" s="105">
        <f>IFERROR(VLOOKUP(B170,'02. MM-KLH'!$B$6:$T$823,9,0),"")</f>
        <v>45689</v>
      </c>
      <c r="K170" s="101" t="str">
        <f>IFERROR(VLOOKUP(B170,'02. MM-KLH'!$B$6:$T$823,10,0),"")</f>
        <v>Bình thường</v>
      </c>
      <c r="L170" s="107">
        <f>IFERROR(VLOOKUP(B170,'02. MM-KLH'!$B$6:$T$823,11,0),"")</f>
        <v>0</v>
      </c>
      <c r="M170" s="864" t="str">
        <f>IFERROR(VLOOKUP(B170,'02. MM-KLH'!$B$6:$T$823,12,0),"")</f>
        <v>- Điều chuyển từ XN DP2 ngày 02/01/2025</v>
      </c>
      <c r="N170" s="110" t="str">
        <f>IFERROR(VLOOKUP(B170,'02. MM-KLH'!$B$6:$T$823,13,0),"")</f>
        <v>THACO</v>
      </c>
      <c r="O170" s="110" t="str">
        <f>IFERROR(VLOOKUP(B170,'02. MM-KLH'!$B$6:$T$823,14,0),"")</f>
        <v>VIỆT NAM</v>
      </c>
      <c r="P170" s="101">
        <f>IFERROR(VLOOKUP(B170,'02. MM-KLH'!$B$6:$T$823,15,0),"")</f>
        <v>2018</v>
      </c>
      <c r="Q170" s="101" t="str">
        <f>IFERROR(VLOOKUP(B170,'02. MM-KLH'!$B$6:$T$823,16,0),"")</f>
        <v>KAM50</v>
      </c>
      <c r="R170" s="101" t="str">
        <f>IFERROR(VLOOKUP(B170,'02. MM-KLH'!$B$6:$T$823,17,0),"")</f>
        <v>50HP</v>
      </c>
      <c r="S170" s="110" t="str">
        <f>IFERROR(VLOOKUP(B170,'02. MM-KLH'!$B$6:$T$823,18,0),"")</f>
        <v>C000015</v>
      </c>
      <c r="T170" s="111" t="str">
        <f>IFERROR(VLOOKUP(B170,'02. MM-KLH'!$B$6:$T$823,19,0),"")</f>
        <v>CCN</v>
      </c>
      <c r="U170" s="863" t="s">
        <v>451</v>
      </c>
    </row>
    <row r="171" ht="13.5" customHeight="1" spans="1:21">
      <c r="A171" s="101">
        <f t="shared" si="6"/>
        <v>28</v>
      </c>
      <c r="B171" s="104" t="s">
        <v>2592</v>
      </c>
      <c r="C171" s="102" t="str">
        <f>IFERROR(VLOOKUP(B171,'02. MM-KLH'!$B$6:$T$823,2,0),"")</f>
        <v>ĐNA-MKE-001</v>
      </c>
      <c r="D171" s="103" t="str">
        <f>IFERROR(VLOOKUP(B171,'02. MM-KLH'!$B$6:$T$823,3,0),"")</f>
        <v>A22-MKE-028</v>
      </c>
      <c r="E171" s="102">
        <f>IFERROR(VLOOKUP(B171,'02. MM-KLH'!$B$6:$T$823,4,0),"")</f>
        <v>0</v>
      </c>
      <c r="F171" s="104"/>
      <c r="G171" s="102" t="str">
        <f>IFERROR(VLOOKUP(B171,'02. MM-KLH'!$B$6:$T$823,6,0),"")</f>
        <v>Máy cày KAM50</v>
      </c>
      <c r="H171" s="101" t="s">
        <v>3338</v>
      </c>
      <c r="I171" s="101" t="str">
        <f>IFERROR(VLOOKUP(B171,'02. MM-KLH'!$B$6:$T$823,8,0),"")</f>
        <v>Ban điện nước</v>
      </c>
      <c r="J171" s="105">
        <f>IFERROR(VLOOKUP(B171,'02. MM-KLH'!$B$6:$T$823,9,0),"")</f>
        <v>0</v>
      </c>
      <c r="K171" s="101" t="str">
        <f>IFERROR(VLOOKUP(B171,'02. MM-KLH'!$B$6:$T$823,10,0),"")</f>
        <v>Bình thường</v>
      </c>
      <c r="L171" s="107">
        <f>IFERROR(VLOOKUP(B171,'02. MM-KLH'!$B$6:$T$823,11,0),"")</f>
        <v>0</v>
      </c>
      <c r="M171" s="864">
        <f>IFERROR(VLOOKUP(B171,'02. MM-KLH'!$B$6:$T$823,12,0),"")</f>
        <v>0</v>
      </c>
      <c r="N171" s="110" t="str">
        <f>IFERROR(VLOOKUP(B171,'02. MM-KLH'!$B$6:$T$823,13,0),"")</f>
        <v>THACO </v>
      </c>
      <c r="O171" s="110" t="str">
        <f>IFERROR(VLOOKUP(B171,'02. MM-KLH'!$B$6:$T$823,14,0),"")</f>
        <v>VIỆT NAM</v>
      </c>
      <c r="P171" s="101">
        <f>IFERROR(VLOOKUP(B171,'02. MM-KLH'!$B$6:$T$823,15,0),"")</f>
        <v>2018</v>
      </c>
      <c r="Q171" s="101" t="str">
        <f>IFERROR(VLOOKUP(B171,'02. MM-KLH'!$B$6:$T$823,16,0),"")</f>
        <v>KAM50</v>
      </c>
      <c r="R171" s="101" t="str">
        <f>IFERROR(VLOOKUP(B171,'02. MM-KLH'!$B$6:$T$823,17,0),"")</f>
        <v>50HP</v>
      </c>
      <c r="S171" s="110">
        <f>IFERROR(VLOOKUP(B171,'02. MM-KLH'!$B$6:$T$823,18,0),"")</f>
        <v>180069</v>
      </c>
      <c r="T171" s="111" t="str">
        <f>IFERROR(VLOOKUP(B171,'02. MM-KLH'!$B$6:$T$823,19,0),"")</f>
        <v>CCN</v>
      </c>
      <c r="U171" s="863" t="s">
        <v>451</v>
      </c>
    </row>
    <row r="172" ht="13.5" customHeight="1" spans="1:21">
      <c r="A172" s="101">
        <f t="shared" si="6"/>
        <v>29</v>
      </c>
      <c r="B172" s="104" t="s">
        <v>2637</v>
      </c>
      <c r="C172" s="102" t="str">
        <f>IFERROR(VLOOKUP(B172,'02. MM-KLH'!$B$6:$T$823,2,0),"")</f>
        <v>MK 03 -VC KLH</v>
      </c>
      <c r="D172" s="103" t="str">
        <f>IFERROR(VLOOKUP(B172,'02. MM-KLH'!$B$6:$T$823,3,0),"")</f>
        <v>A23-MKE-032</v>
      </c>
      <c r="E172" s="102">
        <f>IFERROR(VLOOKUP(B172,'02. MM-KLH'!$B$6:$T$823,4,0),"")</f>
        <v>0</v>
      </c>
      <c r="F172" s="104" t="s">
        <v>3355</v>
      </c>
      <c r="G172" s="102" t="str">
        <f>IFERROR(VLOOKUP(B172,'02. MM-KLH'!$B$6:$T$823,6,0),"")</f>
        <v>Máy cày KAM50</v>
      </c>
      <c r="H172" s="101" t="s">
        <v>3338</v>
      </c>
      <c r="I172" s="101" t="str">
        <f>IFERROR(VLOOKUP(B172,'02. MM-KLH'!$B$6:$T$823,8,0),"")</f>
        <v>Xưởng Cơ khí DP</v>
      </c>
      <c r="J172" s="105">
        <f>IFERROR(VLOOKUP(B172,'02. MM-KLH'!$B$6:$T$823,9,0),"")</f>
        <v>0</v>
      </c>
      <c r="K172" s="101" t="str">
        <f>IFERROR(VLOOKUP(B172,'02. MM-KLH'!$B$6:$T$823,10,0),"")</f>
        <v>Bình thường</v>
      </c>
      <c r="L172" s="107">
        <f>IFERROR(VLOOKUP(B172,'02. MM-KLH'!$B$6:$T$823,11,0),"")</f>
        <v>0</v>
      </c>
      <c r="M172" s="864">
        <f>IFERROR(VLOOKUP(B172,'02. MM-KLH'!$B$6:$T$823,12,0),"")</f>
        <v>0</v>
      </c>
      <c r="N172" s="110" t="str">
        <f>IFERROR(VLOOKUP(B172,'02. MM-KLH'!$B$6:$T$823,13,0),"")</f>
        <v>THACO</v>
      </c>
      <c r="O172" s="110" t="str">
        <f>IFERROR(VLOOKUP(B172,'02. MM-KLH'!$B$6:$T$823,14,0),"")</f>
        <v>VIỆT NAM</v>
      </c>
      <c r="P172" s="101">
        <f>IFERROR(VLOOKUP(B172,'02. MM-KLH'!$B$6:$T$823,15,0),"")</f>
        <v>0</v>
      </c>
      <c r="Q172" s="101" t="str">
        <f>IFERROR(VLOOKUP(B172,'02. MM-KLH'!$B$6:$T$823,16,0),"")</f>
        <v>KAM50</v>
      </c>
      <c r="R172" s="101" t="str">
        <f>IFERROR(VLOOKUP(B172,'02. MM-KLH'!$B$6:$T$823,17,0),"")</f>
        <v>50HP</v>
      </c>
      <c r="S172" s="110" t="str">
        <f>IFERROR(VLOOKUP(B172,'02. MM-KLH'!$B$6:$T$823,18,0),"")</f>
        <v>C000080</v>
      </c>
      <c r="T172" s="111">
        <f>IFERROR(VLOOKUP(B172,'02. MM-KLH'!$B$6:$T$823,19,0),"")</f>
        <v>0</v>
      </c>
      <c r="U172" s="863" t="s">
        <v>451</v>
      </c>
    </row>
    <row r="173" ht="13.5" customHeight="1" spans="1:21">
      <c r="A173" s="101">
        <f t="shared" si="6"/>
        <v>30</v>
      </c>
      <c r="B173" s="104" t="s">
        <v>2640</v>
      </c>
      <c r="C173" s="102" t="str">
        <f>IFERROR(VLOOKUP(B173,'02. MM-KLH'!$B$6:$T$823,2,0),"")</f>
        <v>MK 77 -VC KLH</v>
      </c>
      <c r="D173" s="103" t="str">
        <f>IFERROR(VLOOKUP(B173,'02. MM-KLH'!$B$6:$T$823,3,0),"")</f>
        <v>A23-MKE-033</v>
      </c>
      <c r="E173" s="102">
        <f>IFERROR(VLOOKUP(B173,'02. MM-KLH'!$B$6:$T$823,4,0),"")</f>
        <v>0</v>
      </c>
      <c r="F173" s="104" t="s">
        <v>3355</v>
      </c>
      <c r="G173" s="102" t="str">
        <f>IFERROR(VLOOKUP(B173,'02. MM-KLH'!$B$6:$T$823,6,0),"")</f>
        <v>Máy cày KAM50</v>
      </c>
      <c r="H173" s="101" t="s">
        <v>3338</v>
      </c>
      <c r="I173" s="101" t="str">
        <f>IFERROR(VLOOKUP(B173,'02. MM-KLH'!$B$6:$T$823,8,0),"")</f>
        <v>Xưởng Cơ khí DP</v>
      </c>
      <c r="J173" s="105">
        <f>IFERROR(VLOOKUP(B173,'02. MM-KLH'!$B$6:$T$823,9,0),"")</f>
        <v>0</v>
      </c>
      <c r="K173" s="101" t="str">
        <f>IFERROR(VLOOKUP(B173,'02. MM-KLH'!$B$6:$T$823,10,0),"")</f>
        <v>Bình thường</v>
      </c>
      <c r="L173" s="107">
        <f>IFERROR(VLOOKUP(B173,'02. MM-KLH'!$B$6:$T$823,11,0),"")</f>
        <v>0</v>
      </c>
      <c r="M173" s="864">
        <f>IFERROR(VLOOKUP(B173,'02. MM-KLH'!$B$6:$T$823,12,0),"")</f>
        <v>0</v>
      </c>
      <c r="N173" s="110" t="str">
        <f>IFERROR(VLOOKUP(B173,'02. MM-KLH'!$B$6:$T$823,13,0),"")</f>
        <v>THACO</v>
      </c>
      <c r="O173" s="110" t="str">
        <f>IFERROR(VLOOKUP(B173,'02. MM-KLH'!$B$6:$T$823,14,0),"")</f>
        <v>VIỆT NAM</v>
      </c>
      <c r="P173" s="101">
        <f>IFERROR(VLOOKUP(B173,'02. MM-KLH'!$B$6:$T$823,15,0),"")</f>
        <v>0</v>
      </c>
      <c r="Q173" s="101" t="str">
        <f>IFERROR(VLOOKUP(B173,'02. MM-KLH'!$B$6:$T$823,16,0),"")</f>
        <v>KAM50</v>
      </c>
      <c r="R173" s="101" t="str">
        <f>IFERROR(VLOOKUP(B173,'02. MM-KLH'!$B$6:$T$823,17,0),"")</f>
        <v>50HP</v>
      </c>
      <c r="S173" s="110" t="str">
        <f>IFERROR(VLOOKUP(B173,'02. MM-KLH'!$B$6:$T$823,18,0),"")</f>
        <v>C000016</v>
      </c>
      <c r="T173" s="111">
        <f>IFERROR(VLOOKUP(B173,'02. MM-KLH'!$B$6:$T$823,19,0),"")</f>
        <v>0</v>
      </c>
      <c r="U173" s="863" t="s">
        <v>451</v>
      </c>
    </row>
    <row r="174" ht="13.5" customHeight="1" spans="1:21">
      <c r="A174" s="101">
        <f t="shared" si="6"/>
        <v>31</v>
      </c>
      <c r="B174" s="104" t="s">
        <v>2643</v>
      </c>
      <c r="C174" s="102" t="str">
        <f>IFERROR(VLOOKUP(B174,'02. MM-KLH'!$B$6:$T$823,2,0),"")</f>
        <v>CKC-MKE-001</v>
      </c>
      <c r="D174" s="103" t="str">
        <f>IFERROR(VLOOKUP(B174,'02. MM-KLH'!$B$6:$T$823,3,0),"")</f>
        <v>A22-MKE-031</v>
      </c>
      <c r="E174" s="102">
        <f>IFERROR(VLOOKUP(B174,'02. MM-KLH'!$B$6:$T$823,4,0),"")</f>
        <v>0</v>
      </c>
      <c r="F174" s="104"/>
      <c r="G174" s="102" t="str">
        <f>IFERROR(VLOOKUP(B174,'02. MM-KLH'!$B$6:$T$823,6,0),"")</f>
        <v>Máy cày KAM50</v>
      </c>
      <c r="H174" s="101" t="s">
        <v>3338</v>
      </c>
      <c r="I174" s="101" t="str">
        <f>IFERROR(VLOOKUP(B174,'02. MM-KLH'!$B$6:$T$823,8,0),"")</f>
        <v>Xưởng Cơ khí DP</v>
      </c>
      <c r="J174" s="105">
        <f>IFERROR(VLOOKUP(B174,'02. MM-KLH'!$B$6:$T$823,9,0),"")</f>
        <v>0</v>
      </c>
      <c r="K174" s="101" t="str">
        <f>IFERROR(VLOOKUP(B174,'02. MM-KLH'!$B$6:$T$823,10,0),"")</f>
        <v>Bình thường</v>
      </c>
      <c r="L174" s="107">
        <f>IFERROR(VLOOKUP(B174,'02. MM-KLH'!$B$6:$T$823,11,0),"")</f>
        <v>0</v>
      </c>
      <c r="M174" s="864">
        <f>IFERROR(VLOOKUP(B174,'02. MM-KLH'!$B$6:$T$823,12,0),"")</f>
        <v>0</v>
      </c>
      <c r="N174" s="110" t="str">
        <f>IFERROR(VLOOKUP(B174,'02. MM-KLH'!$B$6:$T$823,13,0),"")</f>
        <v>THACO</v>
      </c>
      <c r="O174" s="110" t="str">
        <f>IFERROR(VLOOKUP(B174,'02. MM-KLH'!$B$6:$T$823,14,0),"")</f>
        <v>VIỆT NAM</v>
      </c>
      <c r="P174" s="101">
        <f>IFERROR(VLOOKUP(B174,'02. MM-KLH'!$B$6:$T$823,15,0),"")</f>
        <v>2012</v>
      </c>
      <c r="Q174" s="101" t="str">
        <f>IFERROR(VLOOKUP(B174,'02. MM-KLH'!$B$6:$T$823,16,0),"")</f>
        <v>KAM50</v>
      </c>
      <c r="R174" s="101" t="str">
        <f>IFERROR(VLOOKUP(B174,'02. MM-KLH'!$B$6:$T$823,17,0),"")</f>
        <v>50HP</v>
      </c>
      <c r="S174" s="110" t="str">
        <f>IFERROR(VLOOKUP(B174,'02. MM-KLH'!$B$6:$T$823,18,0),"")</f>
        <v>TAMMT05AJC000044</v>
      </c>
      <c r="T174" s="111" t="str">
        <f>IFERROR(VLOOKUP(B174,'02. MM-KLH'!$B$6:$T$823,19,0),"")</f>
        <v>CCN</v>
      </c>
      <c r="U174" s="863" t="s">
        <v>451</v>
      </c>
    </row>
    <row r="175" ht="13.5" customHeight="1" spans="1:21">
      <c r="A175" s="101">
        <f t="shared" si="6"/>
        <v>32</v>
      </c>
      <c r="B175" s="104" t="s">
        <v>2695</v>
      </c>
      <c r="C175" s="102">
        <f>IFERROR(VLOOKUP(B175,'02. MM-KLH'!$B$6:$T$823,2,0),"")</f>
        <v>0</v>
      </c>
      <c r="D175" s="103" t="str">
        <f>IFERROR(VLOOKUP(B175,'02. MM-KLH'!$B$6:$T$823,3,0),"")</f>
        <v>A22-MKE-032</v>
      </c>
      <c r="E175" s="102">
        <f>IFERROR(VLOOKUP(B175,'02. MM-KLH'!$B$6:$T$823,4,0),"")</f>
        <v>0</v>
      </c>
      <c r="F175" s="104"/>
      <c r="G175" s="102" t="str">
        <f>IFERROR(VLOOKUP(B175,'02. MM-KLH'!$B$6:$T$823,6,0),"")</f>
        <v>Máy cày KAM50</v>
      </c>
      <c r="H175" s="101" t="s">
        <v>3338</v>
      </c>
      <c r="I175" s="101" t="str">
        <f>IFERROR(VLOOKUP(B175,'02. MM-KLH'!$B$6:$T$823,8,0),"")</f>
        <v>Thagricons</v>
      </c>
      <c r="J175" s="105">
        <f>IFERROR(VLOOKUP(B175,'02. MM-KLH'!$B$6:$T$823,9,0),"")</f>
        <v>0</v>
      </c>
      <c r="K175" s="101" t="str">
        <f>IFERROR(VLOOKUP(B175,'02. MM-KLH'!$B$6:$T$823,10,0),"")</f>
        <v>Bình thường</v>
      </c>
      <c r="L175" s="107">
        <f>IFERROR(VLOOKUP(B175,'02. MM-KLH'!$B$6:$T$823,11,0),"")</f>
        <v>0</v>
      </c>
      <c r="M175" s="864">
        <f>IFERROR(VLOOKUP(B175,'02. MM-KLH'!$B$6:$T$823,12,0),"")</f>
        <v>0</v>
      </c>
      <c r="N175" s="110" t="str">
        <f>IFERROR(VLOOKUP(B175,'02. MM-KLH'!$B$6:$T$823,13,0),"")</f>
        <v>THACO</v>
      </c>
      <c r="O175" s="110" t="str">
        <f>IFERROR(VLOOKUP(B175,'02. MM-KLH'!$B$6:$T$823,14,0),"")</f>
        <v>VIỆT NAM</v>
      </c>
      <c r="P175" s="101">
        <f>IFERROR(VLOOKUP(B175,'02. MM-KLH'!$B$6:$T$823,15,0),"")</f>
        <v>2012</v>
      </c>
      <c r="Q175" s="101" t="str">
        <f>IFERROR(VLOOKUP(B175,'02. MM-KLH'!$B$6:$T$823,16,0),"")</f>
        <v>KAM50</v>
      </c>
      <c r="R175" s="101" t="str">
        <f>IFERROR(VLOOKUP(B175,'02. MM-KLH'!$B$6:$T$823,17,0),"")</f>
        <v>50HP</v>
      </c>
      <c r="S175" s="110" t="str">
        <f>IFERROR(VLOOKUP(B175,'02. MM-KLH'!$B$6:$T$823,18,0),"")</f>
        <v>TAMMT05AJC000089</v>
      </c>
      <c r="T175" s="111" t="str">
        <f>IFERROR(VLOOKUP(B175,'02. MM-KLH'!$B$6:$T$823,19,0),"")</f>
        <v>CCN</v>
      </c>
      <c r="U175" s="863" t="s">
        <v>451</v>
      </c>
    </row>
    <row r="176" ht="27.75" customHeight="1" spans="1:21">
      <c r="A176" s="101">
        <f t="shared" si="6"/>
        <v>33</v>
      </c>
      <c r="B176" s="104" t="s">
        <v>1978</v>
      </c>
      <c r="C176" s="102" t="str">
        <f>IFERROR(VLOOKUP(B176,'02. MM-KLH'!$B$6:$T$823,2,0),"")</f>
        <v>XXA-MKE-009</v>
      </c>
      <c r="D176" s="103" t="str">
        <f>IFERROR(VLOOKUP(B176,'02. MM-KLH'!$B$6:$T$823,3,0),"")</f>
        <v>ATT-A23-0002</v>
      </c>
      <c r="E176" s="102">
        <f>IFERROR(VLOOKUP(B176,'02. MM-KLH'!$B$6:$T$823,4,0),"")</f>
        <v>0</v>
      </c>
      <c r="F176" s="104" t="s">
        <v>1980</v>
      </c>
      <c r="G176" s="102" t="str">
        <f>IFERROR(VLOOKUP(B176,'02. MM-KLH'!$B$6:$T$823,6,0),"")</f>
        <v>Máy cày KAM50</v>
      </c>
      <c r="H176" s="101" t="s">
        <v>3338</v>
      </c>
      <c r="I176" s="101" t="str">
        <f>IFERROR(VLOOKUP(B176,'02. MM-KLH'!$B$6:$T$823,8,0),"")</f>
        <v>XN Bò AD</v>
      </c>
      <c r="J176" s="105">
        <f>IFERROR(VLOOKUP(B176,'02. MM-KLH'!$B$6:$T$823,9,0),"")</f>
        <v>0</v>
      </c>
      <c r="K176" s="101" t="str">
        <f>IFERROR(VLOOKUP(B176,'02. MM-KLH'!$B$6:$T$823,10,0),"")</f>
        <v>Bình thường</v>
      </c>
      <c r="L176" s="107">
        <f>IFERROR(VLOOKUP(B176,'02. MM-KLH'!$B$6:$T$823,11,0),"")</f>
        <v>0</v>
      </c>
      <c r="M176" s="1100" t="str">
        <f>IFERROR(VLOOKUP(B176,'02. MM-KLH'!$B$6:$T$823,12,0),"")</f>
        <v>- XN DP2 điều chuyển qua CAT AD ngày 12/02/2025
- XN CAT AD điều chuyển qua XN Bò AD1 ngày 18/05/2026</v>
      </c>
      <c r="N176" s="110" t="str">
        <f>IFERROR(VLOOKUP(B176,'02. MM-KLH'!$B$6:$T$823,13,0),"")</f>
        <v>THACO</v>
      </c>
      <c r="O176" s="110" t="str">
        <f>IFERROR(VLOOKUP(B176,'02. MM-KLH'!$B$6:$T$823,14,0),"")</f>
        <v>VIỆT NAM</v>
      </c>
      <c r="P176" s="101">
        <f>IFERROR(VLOOKUP(B176,'02. MM-KLH'!$B$6:$T$823,15,0),"")</f>
        <v>2018</v>
      </c>
      <c r="Q176" s="101" t="str">
        <f>IFERROR(VLOOKUP(B176,'02. MM-KLH'!$B$6:$T$823,16,0),"")</f>
        <v>KAM50</v>
      </c>
      <c r="R176" s="101" t="str">
        <f>IFERROR(VLOOKUP(B176,'02. MM-KLH'!$B$6:$T$823,17,0),"")</f>
        <v>50HP</v>
      </c>
      <c r="S176" s="110" t="str">
        <f>IFERROR(VLOOKUP(B176,'02. MM-KLH'!$B$6:$T$823,18,0),"")</f>
        <v>C000053</v>
      </c>
      <c r="T176" s="111" t="str">
        <f>IFERROR(VLOOKUP(B176,'02. MM-KLH'!$B$6:$T$823,19,0),"")</f>
        <v>CCN</v>
      </c>
      <c r="U176" s="863" t="s">
        <v>451</v>
      </c>
    </row>
    <row r="177" ht="13.5" customHeight="1" spans="1:21">
      <c r="A177" s="101"/>
      <c r="B177" s="104"/>
      <c r="C177" s="102" t="str">
        <f>IFERROR(VLOOKUP(B177,'02. MM-KLH'!$B$6:$T$823,2,0),"")</f>
        <v/>
      </c>
      <c r="D177" s="103" t="str">
        <f>IFERROR(VLOOKUP(B177,'02. MM-KLH'!$B$6:$T$823,3,0),"")</f>
        <v/>
      </c>
      <c r="E177" s="102" t="str">
        <f>IFERROR(VLOOKUP(B177,'02. MM-KLH'!$B$6:$T$823,4,0),"")</f>
        <v/>
      </c>
      <c r="F177" s="104"/>
      <c r="G177" s="102" t="str">
        <f>IFERROR(VLOOKUP(B177,'02. MM-KLH'!$B$6:$T$823,6,0),"")</f>
        <v/>
      </c>
      <c r="H177" s="101"/>
      <c r="I177" s="101" t="str">
        <f>IFERROR(VLOOKUP(B177,'02. MM-KLH'!$B$6:$T$823,8,0),"")</f>
        <v/>
      </c>
      <c r="J177" s="105" t="str">
        <f>IFERROR(VLOOKUP(B177,'02. MM-KLH'!$B$6:$T$823,9,0),"")</f>
        <v/>
      </c>
      <c r="K177" s="101" t="str">
        <f>IFERROR(VLOOKUP(B177,'02. MM-KLH'!$B$6:$T$823,10,0),"")</f>
        <v/>
      </c>
      <c r="L177" s="107" t="str">
        <f>IFERROR(VLOOKUP(B177,'02. MM-KLH'!$B$6:$T$823,11,0),"")</f>
        <v/>
      </c>
      <c r="M177" s="864" t="str">
        <f>IFERROR(VLOOKUP(B177,'02. MM-KLH'!$B$6:$T$823,12,0),"")</f>
        <v/>
      </c>
      <c r="N177" s="110" t="str">
        <f>IFERROR(VLOOKUP(B177,'02. MM-KLH'!$B$6:$T$823,13,0),"")</f>
        <v/>
      </c>
      <c r="O177" s="110" t="str">
        <f>IFERROR(VLOOKUP(B177,'02. MM-KLH'!$B$6:$T$823,14,0),"")</f>
        <v/>
      </c>
      <c r="P177" s="101" t="str">
        <f>IFERROR(VLOOKUP(B177,'02. MM-KLH'!$B$6:$T$823,15,0),"")</f>
        <v/>
      </c>
      <c r="Q177" s="101" t="str">
        <f>IFERROR(VLOOKUP(B177,'02. MM-KLH'!$B$6:$T$823,16,0),"")</f>
        <v/>
      </c>
      <c r="R177" s="101" t="str">
        <f>IFERROR(VLOOKUP(B177,'02. MM-KLH'!$B$6:$T$823,17,0),"")</f>
        <v/>
      </c>
      <c r="S177" s="110" t="str">
        <f>IFERROR(VLOOKUP(B177,'02. MM-KLH'!$B$6:$T$823,18,0),"")</f>
        <v/>
      </c>
      <c r="T177" s="111" t="str">
        <f>IFERROR(VLOOKUP(B177,'02. MM-KLH'!$B$6:$T$823,19,0),"")</f>
        <v/>
      </c>
      <c r="U177" s="111" t="str">
        <f>IFERROR(VLOOKUP(C177,'02. MM-KLH'!$B$6:$T$823,19,0),"")</f>
        <v/>
      </c>
    </row>
    <row r="178" ht="13.5" customHeight="1" spans="1:21">
      <c r="A178" s="847" t="s">
        <v>290</v>
      </c>
      <c r="B178" s="848" t="s">
        <v>3356</v>
      </c>
      <c r="C178" s="849">
        <f>COUNTA(B179:B206)</f>
        <v>26</v>
      </c>
      <c r="D178" s="849" t="str">
        <f>IFERROR(VLOOKUP(B178,'02. MM-KLH'!$B$6:$T$823,3,0),"")</f>
        <v/>
      </c>
      <c r="E178" s="849" t="str">
        <f>IFERROR(VLOOKUP(B178,'02. MM-KLH'!$B$6:$T$823,4,0),"")</f>
        <v/>
      </c>
      <c r="F178" s="849"/>
      <c r="G178" s="849" t="str">
        <f>IFERROR(VLOOKUP(B178,'02. MM-KLH'!$B$6:$T$823,6,0),"")</f>
        <v/>
      </c>
      <c r="H178" s="849"/>
      <c r="I178" s="849" t="str">
        <f>IFERROR(VLOOKUP(B178,'02. MM-KLH'!$B$6:$T$823,8,0),"")</f>
        <v/>
      </c>
      <c r="J178" s="849" t="str">
        <f>IFERROR(VLOOKUP(B178,'02. MM-KLH'!$B$6:$T$823,9,0),"")</f>
        <v/>
      </c>
      <c r="K178" s="849" t="str">
        <f>IFERROR(VLOOKUP(B178,'02. MM-KLH'!$B$6:$T$823,10,0),"")</f>
        <v/>
      </c>
      <c r="L178" s="849" t="str">
        <f>IFERROR(VLOOKUP(B178,'02. MM-KLH'!$B$6:$T$823,11,0),"")</f>
        <v/>
      </c>
      <c r="M178" s="849" t="str">
        <f>IFERROR(VLOOKUP(B178,'02. MM-KLH'!$B$6:$T$823,12,0),"")</f>
        <v/>
      </c>
      <c r="N178" s="849" t="str">
        <f>IFERROR(VLOOKUP(B178,'02. MM-KLH'!$B$6:$T$823,13,0),"")</f>
        <v/>
      </c>
      <c r="O178" s="849" t="str">
        <f>IFERROR(VLOOKUP(B178,'02. MM-KLH'!$B$6:$T$823,14,0),"")</f>
        <v/>
      </c>
      <c r="P178" s="849" t="str">
        <f>IFERROR(VLOOKUP(B178,'02. MM-KLH'!$B$6:$T$823,15,0),"")</f>
        <v/>
      </c>
      <c r="Q178" s="849" t="str">
        <f>IFERROR(VLOOKUP(B178,'02. MM-KLH'!$B$6:$T$823,16,0),"")</f>
        <v/>
      </c>
      <c r="R178" s="849" t="str">
        <f>IFERROR(VLOOKUP(B178,'02. MM-KLH'!$B$6:$T$823,17,0),"")</f>
        <v/>
      </c>
      <c r="S178" s="849" t="str">
        <f>IFERROR(VLOOKUP(B178,'02. MM-KLH'!$B$6:$T$823,18,0),"")</f>
        <v/>
      </c>
      <c r="T178" s="849" t="str">
        <f>IFERROR(VLOOKUP(B178,'02. MM-KLH'!$B$6:$T$823,19,0),"")</f>
        <v/>
      </c>
      <c r="U178" s="849" t="str">
        <f>IFERROR(VLOOKUP(C178,'02. MM-KLH'!$B$6:$T$823,19,0),"")</f>
        <v/>
      </c>
    </row>
    <row r="179" ht="13.5" customHeight="1" spans="1:21">
      <c r="A179" s="101">
        <v>1</v>
      </c>
      <c r="B179" s="104" t="s">
        <v>1758</v>
      </c>
      <c r="C179" s="104" t="str">
        <f>IFERROR(VLOOKUP(B179,'02. MM-KLH'!$B$6:$T$823,2,0),"")</f>
        <v>XB1-MKE-007</v>
      </c>
      <c r="D179" s="103" t="str">
        <f>IFERROR(VLOOKUP(B179,'02. MM-KLH'!$B$6:$T$823,3,0),"")</f>
        <v>A23-MKE-030</v>
      </c>
      <c r="E179" s="102">
        <f>IFERROR(VLOOKUP(B179,'02. MM-KLH'!$B$6:$T$823,4,0),"")</f>
        <v>0</v>
      </c>
      <c r="F179" s="104"/>
      <c r="G179" s="102" t="str">
        <f>IFERROR(VLOOKUP(B179,'02. MM-KLH'!$B$6:$T$823,6,0),"")</f>
        <v>Máy cày KUBOTA L2002DT</v>
      </c>
      <c r="H179" s="101" t="s">
        <v>3338</v>
      </c>
      <c r="I179" s="101" t="str">
        <f>IFERROR(VLOOKUP(B179,'02. MM-KLH'!$B$6:$T$823,8,0),"")</f>
        <v>Xoài DP</v>
      </c>
      <c r="J179" s="105">
        <f>IFERROR(VLOOKUP(B179,'02. MM-KLH'!$B$6:$T$823,9,0),"")</f>
        <v>0</v>
      </c>
      <c r="K179" s="101" t="str">
        <f>IFERROR(VLOOKUP(B179,'02. MM-KLH'!$B$6:$T$823,10,0),"")</f>
        <v>Hư hỏng</v>
      </c>
      <c r="L179" s="107">
        <f>IFERROR(VLOOKUP(B179,'02. MM-KLH'!$B$6:$T$823,11,0),"")</f>
        <v>0</v>
      </c>
      <c r="M179" s="864" t="str">
        <f>IFERROR(VLOOKUP(B179,'02. MM-KLH'!$B$6:$T$823,12,0),"")</f>
        <v>DX LOẠI BIÊN</v>
      </c>
      <c r="N179" s="110" t="str">
        <f>IFERROR(VLOOKUP(B179,'02. MM-KLH'!$B$6:$T$823,13,0),"")</f>
        <v>KUBOTA</v>
      </c>
      <c r="O179" s="110" t="str">
        <f>IFERROR(VLOOKUP(B179,'02. MM-KLH'!$B$6:$T$823,14,0),"")</f>
        <v>NHẬT BẢN</v>
      </c>
      <c r="P179" s="101">
        <f>IFERROR(VLOOKUP(B179,'02. MM-KLH'!$B$6:$T$823,15,0),"")</f>
        <v>0</v>
      </c>
      <c r="Q179" s="101" t="str">
        <f>IFERROR(VLOOKUP(B179,'02. MM-KLH'!$B$6:$T$823,16,0),"")</f>
        <v>L2002DT</v>
      </c>
      <c r="R179" s="101" t="str">
        <f>IFERROR(VLOOKUP(B179,'02. MM-KLH'!$B$6:$T$823,17,0),"")</f>
        <v>20HP</v>
      </c>
      <c r="S179" s="110" t="str">
        <f>IFERROR(VLOOKUP(B179,'02. MM-KLH'!$B$6:$T$823,18,0),"")</f>
        <v>CCN</v>
      </c>
      <c r="T179" s="1094" t="str">
        <f>IFERROR(VLOOKUP(B179,'02. MM-KLH'!$B$6:$T$823,19,0),"")</f>
        <v>02250</v>
      </c>
      <c r="U179" s="863" t="s">
        <v>451</v>
      </c>
    </row>
    <row r="180" ht="13.5" customHeight="1" spans="1:21">
      <c r="A180" s="103">
        <f t="shared" ref="A180:A204" si="7">A179+1</f>
        <v>2</v>
      </c>
      <c r="B180" s="104" t="s">
        <v>1761</v>
      </c>
      <c r="C180" s="104" t="str">
        <f>IFERROR(VLOOKUP(B180,'02. MM-KLH'!$B$6:$T$823,2,0),"")</f>
        <v>XB1-MKE-009</v>
      </c>
      <c r="D180" s="103" t="str">
        <f>IFERROR(VLOOKUP(B180,'02. MM-KLH'!$B$6:$T$823,3,0),"")</f>
        <v>A23-MKE-031</v>
      </c>
      <c r="E180" s="102">
        <f>IFERROR(VLOOKUP(B180,'02. MM-KLH'!$B$6:$T$823,4,0),"")</f>
        <v>0</v>
      </c>
      <c r="F180" s="104"/>
      <c r="G180" s="102" t="str">
        <f>IFERROR(VLOOKUP(B180,'02. MM-KLH'!$B$6:$T$823,6,0),"")</f>
        <v>Máy cày KUBOTA L2002DT</v>
      </c>
      <c r="H180" s="101" t="s">
        <v>3338</v>
      </c>
      <c r="I180" s="101" t="str">
        <f>IFERROR(VLOOKUP(B180,'02. MM-KLH'!$B$6:$T$823,8,0),"")</f>
        <v>Xoài DP</v>
      </c>
      <c r="J180" s="105">
        <f>IFERROR(VLOOKUP(B180,'02. MM-KLH'!$B$6:$T$823,9,0),"")</f>
        <v>0</v>
      </c>
      <c r="K180" s="101" t="str">
        <f>IFERROR(VLOOKUP(B180,'02. MM-KLH'!$B$6:$T$823,10,0),"")</f>
        <v>Bình thường</v>
      </c>
      <c r="L180" s="107">
        <f>IFERROR(VLOOKUP(B180,'02. MM-KLH'!$B$6:$T$823,11,0),"")</f>
        <v>0</v>
      </c>
      <c r="M180" s="864">
        <f>IFERROR(VLOOKUP(B180,'02. MM-KLH'!$B$6:$T$823,12,0),"")</f>
        <v>0</v>
      </c>
      <c r="N180" s="110" t="str">
        <f>IFERROR(VLOOKUP(B180,'02. MM-KLH'!$B$6:$T$823,13,0),"")</f>
        <v>KUBOTA</v>
      </c>
      <c r="O180" s="110" t="str">
        <f>IFERROR(VLOOKUP(B180,'02. MM-KLH'!$B$6:$T$823,14,0),"")</f>
        <v>NHẬT BẢN</v>
      </c>
      <c r="P180" s="101">
        <f>IFERROR(VLOOKUP(B180,'02. MM-KLH'!$B$6:$T$823,15,0),"")</f>
        <v>0</v>
      </c>
      <c r="Q180" s="101" t="str">
        <f>IFERROR(VLOOKUP(B180,'02. MM-KLH'!$B$6:$T$823,16,0),"")</f>
        <v>L2002DT</v>
      </c>
      <c r="R180" s="101" t="str">
        <f>IFERROR(VLOOKUP(B180,'02. MM-KLH'!$B$6:$T$823,17,0),"")</f>
        <v>20HP</v>
      </c>
      <c r="S180" s="110" t="str">
        <f>IFERROR(VLOOKUP(B180,'02. MM-KLH'!$B$6:$T$823,18,0),"")</f>
        <v>CCN</v>
      </c>
      <c r="T180" s="1094" t="str">
        <f>IFERROR(VLOOKUP(B180,'02. MM-KLH'!$B$6:$T$823,19,0),"")</f>
        <v>03315</v>
      </c>
      <c r="U180" s="863" t="s">
        <v>451</v>
      </c>
    </row>
    <row r="181" ht="13.5" customHeight="1" spans="1:21">
      <c r="A181" s="103">
        <f t="shared" si="7"/>
        <v>3</v>
      </c>
      <c r="B181" s="104" t="s">
        <v>1489</v>
      </c>
      <c r="C181" s="104" t="str">
        <f>IFERROR(VLOOKUP(B181,'02. MM-KLH'!$B$6:$T$823,2,0),"")</f>
        <v>XB1-MKE-008(MK90-VCKLH)</v>
      </c>
      <c r="D181" s="103" t="str">
        <f>IFERROR(VLOOKUP(B181,'02. MM-KLH'!$B$6:$T$823,3,0),"")</f>
        <v>A24-MKE-020</v>
      </c>
      <c r="E181" s="102">
        <f>IFERROR(VLOOKUP(B181,'02. MM-KLH'!$B$6:$T$823,4,0),"")</f>
        <v>0</v>
      </c>
      <c r="F181" s="104"/>
      <c r="G181" s="102" t="str">
        <f>IFERROR(VLOOKUP(B181,'02. MM-KLH'!$B$6:$T$823,6,0),"")</f>
        <v>Máy cày KUBOTA L2002DT</v>
      </c>
      <c r="H181" s="101" t="s">
        <v>3338</v>
      </c>
      <c r="I181" s="101" t="str">
        <f>IFERROR(VLOOKUP(B181,'02. MM-KLH'!$B$6:$T$823,8,0),"")</f>
        <v>XN Chuối LP1</v>
      </c>
      <c r="J181" s="105" t="str">
        <f>IFERROR(VLOOKUP(B181,'02. MM-KLH'!$B$6:$T$823,9,0),"")</f>
        <v>23/01/2024</v>
      </c>
      <c r="K181" s="101" t="str">
        <f>IFERROR(VLOOKUP(B181,'02. MM-KLH'!$B$6:$T$823,10,0),"")</f>
        <v>Bình thường</v>
      </c>
      <c r="L181" s="107">
        <f>IFERROR(VLOOKUP(B181,'02. MM-KLH'!$B$6:$T$823,11,0),"")</f>
        <v>0</v>
      </c>
      <c r="M181" s="864" t="str">
        <f>IFERROR(VLOOKUP(B181,'02. MM-KLH'!$B$6:$T$823,12,0),"")</f>
        <v>-Đ.chuyển từ LP4 sang LP1 ngày 16.07.2024</v>
      </c>
      <c r="N181" s="110" t="str">
        <f>IFERROR(VLOOKUP(B181,'02. MM-KLH'!$B$6:$T$823,13,0),"")</f>
        <v>KUBOTA</v>
      </c>
      <c r="O181" s="110" t="str">
        <f>IFERROR(VLOOKUP(B181,'02. MM-KLH'!$B$6:$T$823,14,0),"")</f>
        <v>VIỆT NAM</v>
      </c>
      <c r="P181" s="101">
        <f>IFERROR(VLOOKUP(B181,'02. MM-KLH'!$B$6:$T$823,15,0),"")</f>
        <v>0</v>
      </c>
      <c r="Q181" s="101" t="str">
        <f>IFERROR(VLOOKUP(B181,'02. MM-KLH'!$B$6:$T$823,16,0),"")</f>
        <v>L2002DT</v>
      </c>
      <c r="R181" s="101" t="str">
        <f>IFERROR(VLOOKUP(B181,'02. MM-KLH'!$B$6:$T$823,17,0),"")</f>
        <v>20HP</v>
      </c>
      <c r="S181" s="110" t="str">
        <f>IFERROR(VLOOKUP(B181,'02. MM-KLH'!$B$6:$T$823,18,0),"")</f>
        <v>CCN</v>
      </c>
      <c r="T181" s="111">
        <f>IFERROR(VLOOKUP(B181,'02. MM-KLH'!$B$6:$T$823,19,0),"")</f>
        <v>11368</v>
      </c>
      <c r="U181" s="863" t="s">
        <v>451</v>
      </c>
    </row>
    <row r="182" ht="13.5" customHeight="1" spans="1:21">
      <c r="A182" s="103">
        <f t="shared" si="7"/>
        <v>4</v>
      </c>
      <c r="B182" s="104" t="s">
        <v>1774</v>
      </c>
      <c r="C182" s="104" t="str">
        <f>IFERROR(VLOOKUP(B182,'02. MM-KLH'!$B$6:$T$823,2,0),"")</f>
        <v>XB1-MKE-024</v>
      </c>
      <c r="D182" s="103" t="str">
        <f>IFERROR(VLOOKUP(B182,'02. MM-KLH'!$B$6:$T$823,3,0),"")</f>
        <v>A22-MKE-003</v>
      </c>
      <c r="E182" s="102">
        <f>IFERROR(VLOOKUP(B182,'02. MM-KLH'!$B$6:$T$823,4,0),"")</f>
        <v>0</v>
      </c>
      <c r="F182" s="104"/>
      <c r="G182" s="102" t="str">
        <f>IFERROR(VLOOKUP(B182,'02. MM-KLH'!$B$6:$T$823,6,0),"")</f>
        <v>Máy cày KUBOTA L2002DT</v>
      </c>
      <c r="H182" s="101" t="s">
        <v>3338</v>
      </c>
      <c r="I182" s="101" t="str">
        <f>IFERROR(VLOOKUP(B182,'02. MM-KLH'!$B$6:$T$823,8,0),"")</f>
        <v>XOÀI AD</v>
      </c>
      <c r="J182" s="105">
        <f>IFERROR(VLOOKUP(B182,'02. MM-KLH'!$B$6:$T$823,9,0),"")</f>
        <v>0</v>
      </c>
      <c r="K182" s="101" t="str">
        <f>IFERROR(VLOOKUP(B182,'02. MM-KLH'!$B$6:$T$823,10,0),"")</f>
        <v>Bình thường</v>
      </c>
      <c r="L182" s="107">
        <f>IFERROR(VLOOKUP(B182,'02. MM-KLH'!$B$6:$T$823,11,0),"")</f>
        <v>0</v>
      </c>
      <c r="M182" s="864">
        <f>IFERROR(VLOOKUP(B182,'02. MM-KLH'!$B$6:$T$823,12,0),"")</f>
        <v>0</v>
      </c>
      <c r="N182" s="110" t="str">
        <f>IFERROR(VLOOKUP(B182,'02. MM-KLH'!$B$6:$T$823,13,0),"")</f>
        <v>KUBOTA</v>
      </c>
      <c r="O182" s="110" t="str">
        <f>IFERROR(VLOOKUP(B182,'02. MM-KLH'!$B$6:$T$823,14,0),"")</f>
        <v>NHẬT BẢN</v>
      </c>
      <c r="P182" s="101">
        <f>IFERROR(VLOOKUP(B182,'02. MM-KLH'!$B$6:$T$823,15,0),"")</f>
        <v>0</v>
      </c>
      <c r="Q182" s="101" t="str">
        <f>IFERROR(VLOOKUP(B182,'02. MM-KLH'!$B$6:$T$823,16,0),"")</f>
        <v>L2002DT</v>
      </c>
      <c r="R182" s="101" t="str">
        <f>IFERROR(VLOOKUP(B182,'02. MM-KLH'!$B$6:$T$823,17,0),"")</f>
        <v>20HP</v>
      </c>
      <c r="S182" s="110" t="str">
        <f>IFERROR(VLOOKUP(B182,'02. MM-KLH'!$B$6:$T$823,18,0),"")</f>
        <v>CCN</v>
      </c>
      <c r="T182" s="111">
        <f>IFERROR(VLOOKUP(B182,'02. MM-KLH'!$B$6:$T$823,19,0),"")</f>
        <v>2216</v>
      </c>
      <c r="U182" s="863" t="s">
        <v>451</v>
      </c>
    </row>
    <row r="183" ht="13.5" customHeight="1" spans="1:21">
      <c r="A183" s="103">
        <f t="shared" si="7"/>
        <v>5</v>
      </c>
      <c r="B183" s="104" t="s">
        <v>1983</v>
      </c>
      <c r="C183" s="104" t="str">
        <f>IFERROR(VLOOKUP(B183,'02. MM-KLH'!$B$6:$T$823,2,0),"")</f>
        <v>XBA-MKE-001</v>
      </c>
      <c r="D183" s="103">
        <f>IFERROR(VLOOKUP(B183,'02. MM-KLH'!$B$6:$T$823,3,0),"")</f>
        <v>0</v>
      </c>
      <c r="E183" s="102">
        <f>IFERROR(VLOOKUP(B183,'02. MM-KLH'!$B$6:$T$823,4,0),"")</f>
        <v>0</v>
      </c>
      <c r="F183" s="104"/>
      <c r="G183" s="102" t="str">
        <f>IFERROR(VLOOKUP(B183,'02. MM-KLH'!$B$6:$T$823,6,0),"")</f>
        <v>Máy cày M6040</v>
      </c>
      <c r="H183" s="101" t="s">
        <v>3338</v>
      </c>
      <c r="I183" s="101" t="str">
        <f>IFERROR(VLOOKUP(B183,'02. MM-KLH'!$B$6:$T$823,8,0),"")</f>
        <v>XN Bò AD</v>
      </c>
      <c r="J183" s="105" t="str">
        <f>IFERROR(VLOOKUP(B183,'02. MM-KLH'!$B$6:$T$823,9,0),"")</f>
        <v>21/05/2026</v>
      </c>
      <c r="K183" s="101" t="str">
        <f>IFERROR(VLOOKUP(B183,'02. MM-KLH'!$B$6:$T$823,10,0),"")</f>
        <v>Bình thường</v>
      </c>
      <c r="L183" s="107">
        <f>IFERROR(VLOOKUP(B183,'02. MM-KLH'!$B$6:$T$823,11,0),"")</f>
        <v>0</v>
      </c>
      <c r="M183" s="864" t="str">
        <f>IFERROR(VLOOKUP(B183,'02. MM-KLH'!$B$6:$T$823,12,0),"")</f>
        <v>- XN CAT AD điều chuyển qua XN Bò AD1 ngày 21/05/2026</v>
      </c>
      <c r="N183" s="110" t="str">
        <f>IFERROR(VLOOKUP(B183,'02. MM-KLH'!$B$6:$T$823,13,0),"")</f>
        <v>KUBOTA</v>
      </c>
      <c r="O183" s="110" t="str">
        <f>IFERROR(VLOOKUP(B183,'02. MM-KLH'!$B$6:$T$823,14,0),"")</f>
        <v>NHẬT BẢN</v>
      </c>
      <c r="P183" s="101">
        <f>IFERROR(VLOOKUP(B183,'02. MM-KLH'!$B$6:$T$823,15,0),"")</f>
        <v>2013</v>
      </c>
      <c r="Q183" s="101" t="str">
        <f>IFERROR(VLOOKUP(B183,'02. MM-KLH'!$B$6:$T$823,16,0),"")</f>
        <v>M6040</v>
      </c>
      <c r="R183" s="101" t="str">
        <f>IFERROR(VLOOKUP(B183,'02. MM-KLH'!$B$6:$T$823,17,0),"")</f>
        <v>60HP</v>
      </c>
      <c r="S183" s="110">
        <f>IFERROR(VLOOKUP(B183,'02. MM-KLH'!$B$6:$T$823,18,0),"")</f>
        <v>57652</v>
      </c>
      <c r="T183" s="111" t="str">
        <f>IFERROR(VLOOKUP(B183,'02. MM-KLH'!$B$6:$T$823,19,0),"")</f>
        <v>CCN</v>
      </c>
      <c r="U183" s="863" t="s">
        <v>451</v>
      </c>
    </row>
    <row r="184" ht="13.5" customHeight="1" spans="1:21">
      <c r="A184" s="103">
        <f t="shared" si="7"/>
        <v>6</v>
      </c>
      <c r="B184" s="104" t="s">
        <v>1259</v>
      </c>
      <c r="C184" s="104" t="str">
        <f>IFERROR(VLOOKUP(B184,'02. MM-KLH'!$B$6:$T$823,2,0),"")</f>
        <v>CNN-MKE-003</v>
      </c>
      <c r="D184" s="103" t="str">
        <f>IFERROR(VLOOKUP(B184,'02. MM-KLH'!$B$6:$T$823,3,0),"")</f>
        <v>A23-MKE-002</v>
      </c>
      <c r="E184" s="102">
        <f>IFERROR(VLOOKUP(B184,'02. MM-KLH'!$B$6:$T$823,4,0),"")</f>
        <v>0</v>
      </c>
      <c r="F184" s="104"/>
      <c r="G184" s="102" t="str">
        <f>IFERROR(VLOOKUP(B184,'02. MM-KLH'!$B$6:$T$823,6,0),"")</f>
        <v>Máy cày M6040</v>
      </c>
      <c r="H184" s="101" t="s">
        <v>3338</v>
      </c>
      <c r="I184" s="101" t="str">
        <f>IFERROR(VLOOKUP(B184,'02. MM-KLH'!$B$6:$T$823,8,0),"")</f>
        <v>XN Chuối DP2</v>
      </c>
      <c r="J184" s="105" t="str">
        <f>IFERROR(VLOOKUP(B184,'02. MM-KLH'!$B$6:$T$823,9,0),"")</f>
        <v>28/01/2026</v>
      </c>
      <c r="K184" s="101" t="str">
        <f>IFERROR(VLOOKUP(B184,'02. MM-KLH'!$B$6:$T$823,10,0),"")</f>
        <v>Bình thường</v>
      </c>
      <c r="L184" s="107">
        <f>IFERROR(VLOOKUP(B184,'02. MM-KLH'!$B$6:$T$823,11,0),"")</f>
        <v>0</v>
      </c>
      <c r="M184" s="864" t="str">
        <f>IFERROR(VLOOKUP(B184,'02. MM-KLH'!$B$6:$T$823,12,0),"")</f>
        <v>Điều chuyển từ CGLĐ DP sang 28/01/2026</v>
      </c>
      <c r="N184" s="110" t="str">
        <f>IFERROR(VLOOKUP(B184,'02. MM-KLH'!$B$6:$T$823,13,0),"")</f>
        <v>KUBOTA</v>
      </c>
      <c r="O184" s="110" t="str">
        <f>IFERROR(VLOOKUP(B184,'02. MM-KLH'!$B$6:$T$823,14,0),"")</f>
        <v>NHẬT BẢN</v>
      </c>
      <c r="P184" s="101">
        <f>IFERROR(VLOOKUP(B184,'02. MM-KLH'!$B$6:$T$823,15,0),"")</f>
        <v>2013</v>
      </c>
      <c r="Q184" s="101" t="str">
        <f>IFERROR(VLOOKUP(B184,'02. MM-KLH'!$B$6:$T$823,16,0),"")</f>
        <v>M6040</v>
      </c>
      <c r="R184" s="101" t="str">
        <f>IFERROR(VLOOKUP(B184,'02. MM-KLH'!$B$6:$T$823,17,0),"")</f>
        <v>60HP</v>
      </c>
      <c r="S184" s="110">
        <f>IFERROR(VLOOKUP(B184,'02. MM-KLH'!$B$6:$T$823,18,0),"")</f>
        <v>57273</v>
      </c>
      <c r="T184" s="111" t="str">
        <f>IFERROR(VLOOKUP(B184,'02. MM-KLH'!$B$6:$T$823,19,0),"")</f>
        <v>CCN</v>
      </c>
      <c r="U184" s="863" t="s">
        <v>451</v>
      </c>
    </row>
    <row r="185" ht="13.5" customHeight="1" spans="1:21">
      <c r="A185" s="103">
        <f t="shared" si="7"/>
        <v>7</v>
      </c>
      <c r="B185" s="104" t="s">
        <v>1493</v>
      </c>
      <c r="C185" s="104" t="str">
        <f>IFERROR(VLOOKUP(B185,'02. MM-KLH'!$B$6:$T$823,2,0),"")</f>
        <v>LP4-MKE-001</v>
      </c>
      <c r="D185" s="103" t="str">
        <f>IFERROR(VLOOKUP(B185,'02. MM-KLH'!$B$6:$T$823,3,0),"")</f>
        <v>A24-MKE-017</v>
      </c>
      <c r="E185" s="102">
        <f>IFERROR(VLOOKUP(B185,'02. MM-KLH'!$B$6:$T$823,4,0),"")</f>
        <v>0</v>
      </c>
      <c r="F185" s="104"/>
      <c r="G185" s="102" t="str">
        <f>IFERROR(VLOOKUP(B185,'02. MM-KLH'!$B$6:$T$823,6,0),"")</f>
        <v>Máy cày L4508</v>
      </c>
      <c r="H185" s="101" t="s">
        <v>3338</v>
      </c>
      <c r="I185" s="101" t="str">
        <f>IFERROR(VLOOKUP(B185,'02. MM-KLH'!$B$6:$T$823,8,0),"")</f>
        <v>XN Chuối LP1</v>
      </c>
      <c r="J185" s="105">
        <f>IFERROR(VLOOKUP(B185,'02. MM-KLH'!$B$6:$T$823,9,0),"")</f>
        <v>0</v>
      </c>
      <c r="K185" s="101" t="str">
        <f>IFERROR(VLOOKUP(B185,'02. MM-KLH'!$B$6:$T$823,10,0),"")</f>
        <v>Bình thường</v>
      </c>
      <c r="L185" s="107">
        <f>IFERROR(VLOOKUP(B185,'02. MM-KLH'!$B$6:$T$823,11,0),"")</f>
        <v>0</v>
      </c>
      <c r="M185" s="864" t="str">
        <f>IFERROR(VLOOKUP(B185,'02. MM-KLH'!$B$6:$T$823,12,0),"")</f>
        <v>-Đ.chuyển từ LP4 sang LP1 ngày 26.09.2024</v>
      </c>
      <c r="N185" s="110" t="str">
        <f>IFERROR(VLOOKUP(B185,'02. MM-KLH'!$B$6:$T$823,13,0),"")</f>
        <v>KUBOTA</v>
      </c>
      <c r="O185" s="110" t="str">
        <f>IFERROR(VLOOKUP(B185,'02. MM-KLH'!$B$6:$T$823,14,0),"")</f>
        <v>NHẬT BẢN</v>
      </c>
      <c r="P185" s="101">
        <f>IFERROR(VLOOKUP(B185,'02. MM-KLH'!$B$6:$T$823,15,0),"")</f>
        <v>2019</v>
      </c>
      <c r="Q185" s="101" t="str">
        <f>IFERROR(VLOOKUP(B185,'02. MM-KLH'!$B$6:$T$823,16,0),"")</f>
        <v>L4508</v>
      </c>
      <c r="R185" s="101" t="str">
        <f>IFERROR(VLOOKUP(B185,'02. MM-KLH'!$B$6:$T$823,17,0),"")</f>
        <v>45HP</v>
      </c>
      <c r="S185" s="110" t="str">
        <f>IFERROR(VLOOKUP(B185,'02. MM-KLH'!$B$6:$T$823,18,0),"")</f>
        <v>V2208-BC1659</v>
      </c>
      <c r="T185" s="111" t="str">
        <f>IFERROR(VLOOKUP(B185,'02. MM-KLH'!$B$6:$T$823,19,0),"")</f>
        <v>CCN</v>
      </c>
      <c r="U185" s="863" t="s">
        <v>451</v>
      </c>
    </row>
    <row r="186" ht="13.5" customHeight="1" spans="1:21">
      <c r="A186" s="103">
        <f t="shared" si="7"/>
        <v>8</v>
      </c>
      <c r="B186" s="104" t="s">
        <v>1346</v>
      </c>
      <c r="C186" s="104" t="str">
        <f>IFERROR(VLOOKUP(B186,'02. MM-KLH'!$B$6:$T$823,2,0),"")</f>
        <v>MK 93-VC KLH</v>
      </c>
      <c r="D186" s="103" t="str">
        <f>IFERROR(VLOOKUP(B186,'02. MM-KLH'!$B$6:$T$823,3,0),"")</f>
        <v>A23-MKE-023</v>
      </c>
      <c r="E186" s="102">
        <f>IFERROR(VLOOKUP(B186,'02. MM-KLH'!$B$6:$T$823,4,0),"")</f>
        <v>0</v>
      </c>
      <c r="F186" s="104"/>
      <c r="G186" s="102" t="str">
        <f>IFERROR(VLOOKUP(B186,'02. MM-KLH'!$B$6:$T$823,6,0),"")</f>
        <v>Máy cày L4508</v>
      </c>
      <c r="H186" s="101" t="s">
        <v>3338</v>
      </c>
      <c r="I186" s="101" t="str">
        <f>IFERROR(VLOOKUP(B186,'02. MM-KLH'!$B$6:$T$823,8,0),"")</f>
        <v>XN Chuối DP3</v>
      </c>
      <c r="J186" s="105">
        <f>IFERROR(VLOOKUP(B186,'02. MM-KLH'!$B$6:$T$823,9,0),"")</f>
        <v>0</v>
      </c>
      <c r="K186" s="101" t="str">
        <f>IFERROR(VLOOKUP(B186,'02. MM-KLH'!$B$6:$T$823,10,0),"")</f>
        <v>Bình thường</v>
      </c>
      <c r="L186" s="107">
        <f>IFERROR(VLOOKUP(B186,'02. MM-KLH'!$B$6:$T$823,11,0),"")</f>
        <v>0</v>
      </c>
      <c r="M186" s="864">
        <f>IFERROR(VLOOKUP(B186,'02. MM-KLH'!$B$6:$T$823,12,0),"")</f>
        <v>0</v>
      </c>
      <c r="N186" s="110" t="str">
        <f>IFERROR(VLOOKUP(B186,'02. MM-KLH'!$B$6:$T$823,13,0),"")</f>
        <v>KUBOTA</v>
      </c>
      <c r="O186" s="110" t="str">
        <f>IFERROR(VLOOKUP(B186,'02. MM-KLH'!$B$6:$T$823,14,0),"")</f>
        <v>NHẬT BẢN</v>
      </c>
      <c r="P186" s="101">
        <f>IFERROR(VLOOKUP(B186,'02. MM-KLH'!$B$6:$T$823,15,0),"")</f>
        <v>2019</v>
      </c>
      <c r="Q186" s="101" t="str">
        <f>IFERROR(VLOOKUP(B186,'02. MM-KLH'!$B$6:$T$823,16,0),"")</f>
        <v>L4508</v>
      </c>
      <c r="R186" s="101" t="str">
        <f>IFERROR(VLOOKUP(B186,'02. MM-KLH'!$B$6:$T$823,17,0),"")</f>
        <v>45HP</v>
      </c>
      <c r="S186" s="110">
        <f>IFERROR(VLOOKUP(B186,'02. MM-KLH'!$B$6:$T$823,18,0),"")</f>
        <v>14720</v>
      </c>
      <c r="T186" s="111" t="str">
        <f>IFERROR(VLOOKUP(B186,'02. MM-KLH'!$B$6:$T$823,19,0),"")</f>
        <v>CCN</v>
      </c>
      <c r="U186" s="863" t="s">
        <v>451</v>
      </c>
    </row>
    <row r="187" ht="13.5" customHeight="1" spans="1:21">
      <c r="A187" s="103">
        <f t="shared" si="7"/>
        <v>9</v>
      </c>
      <c r="B187" s="104" t="s">
        <v>1366</v>
      </c>
      <c r="C187" s="104" t="str">
        <f>IFERROR(VLOOKUP(B187,'02. MM-KLH'!$B$6:$T$823,2,0),"")</f>
        <v>MK 95-VC KLH</v>
      </c>
      <c r="D187" s="103" t="str">
        <f>IFERROR(VLOOKUP(B187,'02. MM-KLH'!$B$6:$T$823,3,0),"")</f>
        <v>A23-MKE-029</v>
      </c>
      <c r="E187" s="102">
        <f>IFERROR(VLOOKUP(B187,'02. MM-KLH'!$B$6:$T$823,4,0),"")</f>
        <v>0</v>
      </c>
      <c r="F187" s="104"/>
      <c r="G187" s="102" t="str">
        <f>IFERROR(VLOOKUP(B187,'02. MM-KLH'!$B$6:$T$823,6,0),"")</f>
        <v>Máy cày L4508</v>
      </c>
      <c r="H187" s="101" t="s">
        <v>3338</v>
      </c>
      <c r="I187" s="101" t="str">
        <f>IFERROR(VLOOKUP(B187,'02. MM-KLH'!$B$6:$T$823,8,0),"")</f>
        <v>XN Chuối DP3</v>
      </c>
      <c r="J187" s="105">
        <f>IFERROR(VLOOKUP(B187,'02. MM-KLH'!$B$6:$T$823,9,0),"")</f>
        <v>0</v>
      </c>
      <c r="K187" s="101" t="str">
        <f>IFERROR(VLOOKUP(B187,'02. MM-KLH'!$B$6:$T$823,10,0),"")</f>
        <v>Bình thường</v>
      </c>
      <c r="L187" s="107">
        <f>IFERROR(VLOOKUP(B187,'02. MM-KLH'!$B$6:$T$823,11,0),"")</f>
        <v>0</v>
      </c>
      <c r="M187" s="864" t="str">
        <f>IFERROR(VLOOKUP(B187,'02. MM-KLH'!$B$6:$T$823,12,0),"")</f>
        <v>Cho LP3 mượn 10/06/2024</v>
      </c>
      <c r="N187" s="110" t="str">
        <f>IFERROR(VLOOKUP(B187,'02. MM-KLH'!$B$6:$T$823,13,0),"")</f>
        <v>KUBOTA</v>
      </c>
      <c r="O187" s="110" t="str">
        <f>IFERROR(VLOOKUP(B187,'02. MM-KLH'!$B$6:$T$823,14,0),"")</f>
        <v>NHẬT BẢN</v>
      </c>
      <c r="P187" s="101">
        <f>IFERROR(VLOOKUP(B187,'02. MM-KLH'!$B$6:$T$823,15,0),"")</f>
        <v>2019</v>
      </c>
      <c r="Q187" s="101" t="str">
        <f>IFERROR(VLOOKUP(B187,'02. MM-KLH'!$B$6:$T$823,16,0),"")</f>
        <v>L4508</v>
      </c>
      <c r="R187" s="101" t="str">
        <f>IFERROR(VLOOKUP(B187,'02. MM-KLH'!$B$6:$T$823,17,0),"")</f>
        <v>45HP</v>
      </c>
      <c r="S187" s="110">
        <f>IFERROR(VLOOKUP(B187,'02. MM-KLH'!$B$6:$T$823,18,0),"")</f>
        <v>14716</v>
      </c>
      <c r="T187" s="111" t="str">
        <f>IFERROR(VLOOKUP(B187,'02. MM-KLH'!$B$6:$T$823,19,0),"")</f>
        <v>CCN</v>
      </c>
      <c r="U187" s="863" t="s">
        <v>451</v>
      </c>
    </row>
    <row r="188" ht="13.5" customHeight="1" spans="1:21">
      <c r="A188" s="103">
        <f t="shared" si="7"/>
        <v>10</v>
      </c>
      <c r="B188" s="104" t="s">
        <v>1601</v>
      </c>
      <c r="C188" s="104" t="str">
        <f>IFERROR(VLOOKUP(B188,'02. MM-KLH'!$B$6:$T$823,2,0),"")</f>
        <v>LP3-MKE-004(MK50-VCKLH)</v>
      </c>
      <c r="D188" s="103" t="str">
        <f>IFERROR(VLOOKUP(B188,'02. MM-KLH'!$B$6:$T$823,3,0),"")</f>
        <v>A24-MKE-014</v>
      </c>
      <c r="E188" s="102">
        <f>IFERROR(VLOOKUP(B188,'02. MM-KLH'!$B$6:$T$823,4,0),"")</f>
        <v>0</v>
      </c>
      <c r="F188" s="104"/>
      <c r="G188" s="102" t="str">
        <f>IFERROR(VLOOKUP(B188,'02. MM-KLH'!$B$6:$T$823,6,0),"")</f>
        <v>Máy cày L4508</v>
      </c>
      <c r="H188" s="101" t="s">
        <v>3338</v>
      </c>
      <c r="I188" s="101" t="str">
        <f>IFERROR(VLOOKUP(B188,'02. MM-KLH'!$B$6:$T$823,8,0),"")</f>
        <v>XN Chuối LP3</v>
      </c>
      <c r="J188" s="105">
        <f>IFERROR(VLOOKUP(B188,'02. MM-KLH'!$B$6:$T$823,9,0),"")</f>
        <v>0</v>
      </c>
      <c r="K188" s="101" t="str">
        <f>IFERROR(VLOOKUP(B188,'02. MM-KLH'!$B$6:$T$823,10,0),"")</f>
        <v>Bình thường</v>
      </c>
      <c r="L188" s="107">
        <f>IFERROR(VLOOKUP(B188,'02. MM-KLH'!$B$6:$T$823,11,0),"")</f>
        <v>0</v>
      </c>
      <c r="M188" s="864">
        <f>IFERROR(VLOOKUP(B188,'02. MM-KLH'!$B$6:$T$823,12,0),"")</f>
        <v>0</v>
      </c>
      <c r="N188" s="110" t="str">
        <f>IFERROR(VLOOKUP(B188,'02. MM-KLH'!$B$6:$T$823,13,0),"")</f>
        <v>KUBOTA</v>
      </c>
      <c r="O188" s="110" t="str">
        <f>IFERROR(VLOOKUP(B188,'02. MM-KLH'!$B$6:$T$823,14,0),"")</f>
        <v>NHẬT BẢN</v>
      </c>
      <c r="P188" s="101">
        <f>IFERROR(VLOOKUP(B188,'02. MM-KLH'!$B$6:$T$823,15,0),"")</f>
        <v>2019</v>
      </c>
      <c r="Q188" s="101" t="str">
        <f>IFERROR(VLOOKUP(B188,'02. MM-KLH'!$B$6:$T$823,16,0),"")</f>
        <v>L4508</v>
      </c>
      <c r="R188" s="101" t="str">
        <f>IFERROR(VLOOKUP(B188,'02. MM-KLH'!$B$6:$T$823,17,0),"")</f>
        <v>45HP</v>
      </c>
      <c r="S188" s="110">
        <f>IFERROR(VLOOKUP(B188,'02. MM-KLH'!$B$6:$T$823,18,0),"")</f>
        <v>1665</v>
      </c>
      <c r="T188" s="111" t="str">
        <f>IFERROR(VLOOKUP(B188,'02. MM-KLH'!$B$6:$T$823,19,0),"")</f>
        <v>CCN</v>
      </c>
      <c r="U188" s="863" t="s">
        <v>451</v>
      </c>
    </row>
    <row r="189" ht="13.5" customHeight="1" spans="1:21">
      <c r="A189" s="103">
        <f t="shared" si="7"/>
        <v>11</v>
      </c>
      <c r="B189" s="104" t="s">
        <v>2593</v>
      </c>
      <c r="C189" s="104" t="str">
        <f>IFERROR(VLOOKUP(B189,'02. MM-KLH'!$B$6:$T$823,2,0),"")</f>
        <v>MK49 VCKLH(XA2-MKE-008)</v>
      </c>
      <c r="D189" s="103" t="str">
        <f>IFERROR(VLOOKUP(B189,'02. MM-KLH'!$B$6:$T$823,3,0),"")</f>
        <v/>
      </c>
      <c r="E189" s="102">
        <f>IFERROR(VLOOKUP(B189,'02. MM-KLH'!$B$6:$T$823,4,0),"")</f>
        <v>0</v>
      </c>
      <c r="F189" s="104" t="s">
        <v>1624</v>
      </c>
      <c r="G189" s="102" t="str">
        <f>IFERROR(VLOOKUP(B189,'02. MM-KLH'!$B$6:$T$823,6,0),"")</f>
        <v>Máy cày L4508</v>
      </c>
      <c r="H189" s="101" t="s">
        <v>3338</v>
      </c>
      <c r="I189" s="101" t="str">
        <f>IFERROR(VLOOKUP(B189,'02. MM-KLH'!$B$6:$T$823,8,0),"")</f>
        <v>Ban điện nước</v>
      </c>
      <c r="J189" s="105">
        <f>IFERROR(VLOOKUP(B189,'02. MM-KLH'!$B$6:$T$823,9,0),"")</f>
        <v>0</v>
      </c>
      <c r="K189" s="101" t="str">
        <f>IFERROR(VLOOKUP(B189,'02. MM-KLH'!$B$6:$T$823,10,0),"")</f>
        <v>Bình thường</v>
      </c>
      <c r="L189" s="107">
        <f>IFERROR(VLOOKUP(B189,'02. MM-KLH'!$B$6:$T$823,11,0),"")</f>
        <v>0</v>
      </c>
      <c r="M189" s="864" t="str">
        <f>IFERROR(VLOOKUP(B189,'02. MM-KLH'!$B$6:$T$823,12,0),"")</f>
        <v>-Đ.chuyển từ AD2 ngày 05/02/2025</v>
      </c>
      <c r="N189" s="110" t="str">
        <f>IFERROR(VLOOKUP(B189,'02. MM-KLH'!$B$6:$T$823,13,0),"")</f>
        <v>KUBOTA</v>
      </c>
      <c r="O189" s="110" t="str">
        <f>IFERROR(VLOOKUP(B189,'02. MM-KLH'!$B$6:$T$823,14,0),"")</f>
        <v>NHẬT BẢN</v>
      </c>
      <c r="P189" s="101">
        <f>IFERROR(VLOOKUP(B189,'02. MM-KLH'!$B$6:$T$823,15,0),"")</f>
        <v>2019</v>
      </c>
      <c r="Q189" s="101" t="str">
        <f>IFERROR(VLOOKUP(B189,'02. MM-KLH'!$B$6:$T$823,16,0),"")</f>
        <v>L4508</v>
      </c>
      <c r="R189" s="101" t="str">
        <f>IFERROR(VLOOKUP(B189,'02. MM-KLH'!$B$6:$T$823,17,0),"")</f>
        <v>45HP</v>
      </c>
      <c r="S189" s="1097" t="str">
        <f>IFERROR(VLOOKUP(B189,'02. MM-KLH'!$B$6:$T$823,18,0),"")</f>
        <v>0950</v>
      </c>
      <c r="T189" s="111" t="str">
        <f>IFERROR(VLOOKUP(B189,'02. MM-KLH'!$B$6:$T$823,19,0),"")</f>
        <v>CCN</v>
      </c>
      <c r="U189" s="863" t="s">
        <v>451</v>
      </c>
    </row>
    <row r="190" ht="13.5" customHeight="1" spans="1:21">
      <c r="A190" s="103">
        <f t="shared" si="7"/>
        <v>12</v>
      </c>
      <c r="B190" s="104" t="s">
        <v>1134</v>
      </c>
      <c r="C190" s="104" t="str">
        <f>IFERROR(VLOOKUP(B190,'02. MM-KLH'!$B$6:$T$823,2,0),"")</f>
        <v>MK47 VCKLH(XA2-MKE-009)</v>
      </c>
      <c r="D190" s="103" t="str">
        <f>IFERROR(VLOOKUP(B190,'02. MM-KLH'!$B$6:$T$823,3,0),"")</f>
        <v/>
      </c>
      <c r="E190" s="102">
        <f>IFERROR(VLOOKUP(B190,'02. MM-KLH'!$B$6:$T$823,4,0),"")</f>
        <v>0</v>
      </c>
      <c r="F190" s="104" t="s">
        <v>1624</v>
      </c>
      <c r="G190" s="102" t="str">
        <f>IFERROR(VLOOKUP(B190,'02. MM-KLH'!$B$6:$T$823,6,0),"")</f>
        <v>Máy cày L4508</v>
      </c>
      <c r="H190" s="101" t="s">
        <v>3338</v>
      </c>
      <c r="I190" s="101" t="str">
        <f>IFERROR(VLOOKUP(B190,'02. MM-KLH'!$B$6:$T$823,8,0),"")</f>
        <v>XN Chuối DP1</v>
      </c>
      <c r="J190" s="105">
        <f>IFERROR(VLOOKUP(B190,'02. MM-KLH'!$B$6:$T$823,9,0),"")</f>
        <v>0</v>
      </c>
      <c r="K190" s="101" t="str">
        <f>IFERROR(VLOOKUP(B190,'02. MM-KLH'!$B$6:$T$823,10,0),"")</f>
        <v>Bình thường</v>
      </c>
      <c r="L190" s="107">
        <f>IFERROR(VLOOKUP(B190,'02. MM-KLH'!$B$6:$T$823,11,0),"")</f>
        <v>0</v>
      </c>
      <c r="M190" s="864" t="str">
        <f>IFERROR(VLOOKUP(B190,'02. MM-KLH'!$B$6:$T$823,12,0),"")</f>
        <v>AD2 bàn giao ngày 23/02/2025</v>
      </c>
      <c r="N190" s="110" t="str">
        <f>IFERROR(VLOOKUP(B190,'02. MM-KLH'!$B$6:$T$823,13,0),"")</f>
        <v>KUBOTA</v>
      </c>
      <c r="O190" s="110" t="str">
        <f>IFERROR(VLOOKUP(B190,'02. MM-KLH'!$B$6:$T$823,14,0),"")</f>
        <v>NHẬT BẢN</v>
      </c>
      <c r="P190" s="101">
        <f>IFERROR(VLOOKUP(B190,'02. MM-KLH'!$B$6:$T$823,15,0),"")</f>
        <v>2019</v>
      </c>
      <c r="Q190" s="101" t="str">
        <f>IFERROR(VLOOKUP(B190,'02. MM-KLH'!$B$6:$T$823,16,0),"")</f>
        <v>L4508</v>
      </c>
      <c r="R190" s="101" t="str">
        <f>IFERROR(VLOOKUP(B190,'02. MM-KLH'!$B$6:$T$823,17,0),"")</f>
        <v>45HP</v>
      </c>
      <c r="S190" s="110">
        <f>IFERROR(VLOOKUP(B190,'02. MM-KLH'!$B$6:$T$823,18,0),"")</f>
        <v>14793</v>
      </c>
      <c r="T190" s="111" t="str">
        <f>IFERROR(VLOOKUP(B190,'02. MM-KLH'!$B$6:$T$823,19,0),"")</f>
        <v>CCN</v>
      </c>
      <c r="U190" s="863" t="s">
        <v>451</v>
      </c>
    </row>
    <row r="191" ht="13.5" customHeight="1" spans="1:21">
      <c r="A191" s="103">
        <f t="shared" si="7"/>
        <v>13</v>
      </c>
      <c r="B191" s="104" t="s">
        <v>2724</v>
      </c>
      <c r="C191" s="104" t="str">
        <f>IFERROR(VLOOKUP(B191,'02. MM-KLH'!$B$6:$T$823,2,0),"")</f>
        <v>MK46-VCKLH</v>
      </c>
      <c r="D191" s="103" t="str">
        <f>IFERROR(VLOOKUP(B191,'02. MM-KLH'!$B$6:$T$823,3,0),"")</f>
        <v/>
      </c>
      <c r="E191" s="102">
        <f>IFERROR(VLOOKUP(B191,'02. MM-KLH'!$B$6:$T$823,4,0),"")</f>
        <v>0</v>
      </c>
      <c r="F191" s="104" t="s">
        <v>1624</v>
      </c>
      <c r="G191" s="102" t="str">
        <f>IFERROR(VLOOKUP(B191,'02. MM-KLH'!$B$6:$T$823,6,0),"")</f>
        <v>Máy cày L4508</v>
      </c>
      <c r="H191" s="101" t="s">
        <v>3338</v>
      </c>
      <c r="I191" s="101" t="str">
        <f>IFERROR(VLOOKUP(B191,'02. MM-KLH'!$B$6:$T$823,8,0),"")</f>
        <v>HÀNH CHÍNH KLH</v>
      </c>
      <c r="J191" s="105">
        <f>IFERROR(VLOOKUP(B191,'02. MM-KLH'!$B$6:$T$823,9,0),"")</f>
        <v>42011</v>
      </c>
      <c r="K191" s="101" t="str">
        <f>IFERROR(VLOOKUP(B191,'02. MM-KLH'!$B$6:$T$823,10,0),"")</f>
        <v>Bình thường</v>
      </c>
      <c r="L191" s="107">
        <f>IFERROR(VLOOKUP(B191,'02. MM-KLH'!$B$6:$T$823,11,0),"")</f>
        <v>0</v>
      </c>
      <c r="M191" s="864" t="str">
        <f>IFERROR(VLOOKUP(B191,'02. MM-KLH'!$B$6:$T$823,12,0),"")</f>
        <v>Điều chuyển từ xí nghiệp bò</v>
      </c>
      <c r="N191" s="110" t="str">
        <f>IFERROR(VLOOKUP(B191,'02. MM-KLH'!$B$6:$T$823,13,0),"")</f>
        <v>KUBOTA</v>
      </c>
      <c r="O191" s="110" t="str">
        <f>IFERROR(VLOOKUP(B191,'02. MM-KLH'!$B$6:$T$823,14,0),"")</f>
        <v>NHẬT BẢN</v>
      </c>
      <c r="P191" s="101">
        <f>IFERROR(VLOOKUP(B191,'02. MM-KLH'!$B$6:$T$823,15,0),"")</f>
        <v>2015</v>
      </c>
      <c r="Q191" s="101" t="str">
        <f>IFERROR(VLOOKUP(B191,'02. MM-KLH'!$B$6:$T$823,16,0),"")</f>
        <v>L4508</v>
      </c>
      <c r="R191" s="101" t="str">
        <f>IFERROR(VLOOKUP(B191,'02. MM-KLH'!$B$6:$T$823,17,0),"")</f>
        <v>45HP</v>
      </c>
      <c r="S191" s="110">
        <f>IFERROR(VLOOKUP(B191,'02. MM-KLH'!$B$6:$T$823,18,0),"")</f>
        <v>1659</v>
      </c>
      <c r="T191" s="111" t="str">
        <f>IFERROR(VLOOKUP(B191,'02. MM-KLH'!$B$6:$T$823,19,0),"")</f>
        <v>CCN</v>
      </c>
      <c r="U191" s="863" t="s">
        <v>451</v>
      </c>
    </row>
    <row r="192" ht="13.5" customHeight="1" spans="1:21">
      <c r="A192" s="103">
        <f t="shared" si="7"/>
        <v>14</v>
      </c>
      <c r="B192" s="104" t="s">
        <v>2736</v>
      </c>
      <c r="C192" s="104">
        <f>IFERROR(VLOOKUP(B192,'02. MM-KLH'!$B$6:$T$823,2,0),"")</f>
        <v>0</v>
      </c>
      <c r="D192" s="103">
        <f>IFERROR(VLOOKUP(B192,'02. MM-KLH'!$B$6:$T$823,3,0),"")</f>
        <v>0</v>
      </c>
      <c r="E192" s="102">
        <f>IFERROR(VLOOKUP(B192,'02. MM-KLH'!$B$6:$T$823,4,0),"")</f>
        <v>0</v>
      </c>
      <c r="F192" s="104"/>
      <c r="G192" s="102" t="str">
        <f>IFERROR(VLOOKUP(B192,'02. MM-KLH'!$B$6:$T$823,6,0),"")</f>
        <v>Máy cày L4508</v>
      </c>
      <c r="H192" s="101" t="s">
        <v>3338</v>
      </c>
      <c r="I192" s="101" t="str">
        <f>IFERROR(VLOOKUP(B192,'02. MM-KLH'!$B$6:$T$823,8,0),"")</f>
        <v>HÀNH CHÍNH KLH</v>
      </c>
      <c r="J192" s="105">
        <f>IFERROR(VLOOKUP(B192,'02. MM-KLH'!$B$6:$T$823,9,0),"")</f>
        <v>0</v>
      </c>
      <c r="K192" s="101" t="str">
        <f>IFERROR(VLOOKUP(B192,'02. MM-KLH'!$B$6:$T$823,10,0),"")</f>
        <v>Bình thường</v>
      </c>
      <c r="L192" s="107">
        <f>IFERROR(VLOOKUP(B192,'02. MM-KLH'!$B$6:$T$823,11,0),"")</f>
        <v>0</v>
      </c>
      <c r="M192" s="864">
        <f>IFERROR(VLOOKUP(B192,'02. MM-KLH'!$B$6:$T$823,12,0),"")</f>
        <v>0</v>
      </c>
      <c r="N192" s="110" t="str">
        <f>IFERROR(VLOOKUP(B192,'02. MM-KLH'!$B$6:$T$823,13,0),"")</f>
        <v>KUBOTA</v>
      </c>
      <c r="O192" s="110" t="str">
        <f>IFERROR(VLOOKUP(B192,'02. MM-KLH'!$B$6:$T$823,14,0),"")</f>
        <v>NHẬT BẢN</v>
      </c>
      <c r="P192" s="101">
        <f>IFERROR(VLOOKUP(B192,'02. MM-KLH'!$B$6:$T$823,15,0),"")</f>
        <v>2015</v>
      </c>
      <c r="Q192" s="101" t="str">
        <f>IFERROR(VLOOKUP(B192,'02. MM-KLH'!$B$6:$T$823,16,0),"")</f>
        <v>L4508</v>
      </c>
      <c r="R192" s="101" t="str">
        <f>IFERROR(VLOOKUP(B192,'02. MM-KLH'!$B$6:$T$823,17,0),"")</f>
        <v>45HP</v>
      </c>
      <c r="S192" s="1097" t="str">
        <f>IFERROR(VLOOKUP(B192,'02. MM-KLH'!$B$6:$T$823,18,0),"")</f>
        <v>01720</v>
      </c>
      <c r="T192" s="111" t="str">
        <f>IFERROR(VLOOKUP(B192,'02. MM-KLH'!$B$6:$T$823,19,0),"")</f>
        <v>CCN</v>
      </c>
      <c r="U192" s="863" t="s">
        <v>451</v>
      </c>
    </row>
    <row r="193" ht="13.5" customHeight="1" spans="1:21">
      <c r="A193" s="103">
        <f t="shared" si="7"/>
        <v>15</v>
      </c>
      <c r="B193" s="104" t="s">
        <v>1248</v>
      </c>
      <c r="C193" s="104" t="str">
        <f>IFERROR(VLOOKUP(B193,'02. MM-KLH'!$B$6:$T$823,2,0),"")</f>
        <v>MK 83-VC KLH</v>
      </c>
      <c r="D193" s="103" t="str">
        <f>IFERROR(VLOOKUP(B193,'02. MM-KLH'!$B$6:$T$823,3,0),"")</f>
        <v>A23-MKE-016</v>
      </c>
      <c r="E193" s="102">
        <f>IFERROR(VLOOKUP(B193,'02. MM-KLH'!$B$6:$T$823,4,0),"")</f>
        <v>0</v>
      </c>
      <c r="F193" s="104" t="s">
        <v>3089</v>
      </c>
      <c r="G193" s="102" t="str">
        <f>IFERROR(VLOOKUP(B193,'02. MM-KLH'!$B$6:$T$823,6,0),"")</f>
        <v>Máy cày M6040</v>
      </c>
      <c r="H193" s="101" t="s">
        <v>3338</v>
      </c>
      <c r="I193" s="101" t="str">
        <f>IFERROR(VLOOKUP(B193,'02. MM-KLH'!$B$6:$T$823,8,0),"")</f>
        <v>XN Chuối DP2</v>
      </c>
      <c r="J193" s="105">
        <f>IFERROR(VLOOKUP(B193,'02. MM-KLH'!$B$6:$T$823,9,0),"")</f>
        <v>0</v>
      </c>
      <c r="K193" s="101" t="str">
        <f>IFERROR(VLOOKUP(B193,'02. MM-KLH'!$B$6:$T$823,10,0),"")</f>
        <v>Bình thường</v>
      </c>
      <c r="L193" s="107">
        <f>IFERROR(VLOOKUP(B193,'02. MM-KLH'!$B$6:$T$823,11,0),"")</f>
        <v>0</v>
      </c>
      <c r="M193" s="864">
        <f>IFERROR(VLOOKUP(B193,'02. MM-KLH'!$B$6:$T$823,12,0),"")</f>
        <v>0</v>
      </c>
      <c r="N193" s="110" t="str">
        <f>IFERROR(VLOOKUP(B193,'02. MM-KLH'!$B$6:$T$823,13,0),"")</f>
        <v>KUBOTA</v>
      </c>
      <c r="O193" s="110" t="str">
        <f>IFERROR(VLOOKUP(B193,'02. MM-KLH'!$B$6:$T$823,14,0),"")</f>
        <v>NHẬT BẢN</v>
      </c>
      <c r="P193" s="101">
        <f>IFERROR(VLOOKUP(B193,'02. MM-KLH'!$B$6:$T$823,15,0),"")</f>
        <v>2013</v>
      </c>
      <c r="Q193" s="101" t="str">
        <f>IFERROR(VLOOKUP(B193,'02. MM-KLH'!$B$6:$T$823,16,0),"")</f>
        <v>M6040</v>
      </c>
      <c r="R193" s="101" t="str">
        <f>IFERROR(VLOOKUP(B193,'02. MM-KLH'!$B$6:$T$823,17,0),"")</f>
        <v>60HP</v>
      </c>
      <c r="S193" s="110">
        <f>IFERROR(VLOOKUP(B193,'02. MM-KLH'!$B$6:$T$823,18,0),"")</f>
        <v>57646</v>
      </c>
      <c r="T193" s="111" t="str">
        <f>IFERROR(VLOOKUP(B193,'02. MM-KLH'!$B$6:$T$823,19,0),"")</f>
        <v>CCN</v>
      </c>
      <c r="U193" s="863" t="s">
        <v>451</v>
      </c>
    </row>
    <row r="194" ht="13.5" customHeight="1" spans="1:21">
      <c r="A194" s="103">
        <f t="shared" si="7"/>
        <v>16</v>
      </c>
      <c r="B194" s="104" t="s">
        <v>1251</v>
      </c>
      <c r="C194" s="104" t="str">
        <f>IFERROR(VLOOKUP(B194,'02. MM-KLH'!$B$6:$T$823,2,0),"")</f>
        <v>MK 86-VC KLH</v>
      </c>
      <c r="D194" s="103" t="str">
        <f>IFERROR(VLOOKUP(B194,'02. MM-KLH'!$B$6:$T$823,3,0),"")</f>
        <v>A23-MKE-017</v>
      </c>
      <c r="E194" s="102">
        <f>IFERROR(VLOOKUP(B194,'02. MM-KLH'!$B$6:$T$823,4,0),"")</f>
        <v>0</v>
      </c>
      <c r="F194" s="104" t="s">
        <v>3089</v>
      </c>
      <c r="G194" s="102" t="str">
        <f>IFERROR(VLOOKUP(B194,'02. MM-KLH'!$B$6:$T$823,6,0),"")</f>
        <v>Máy cày M6040</v>
      </c>
      <c r="H194" s="101" t="s">
        <v>3338</v>
      </c>
      <c r="I194" s="101" t="str">
        <f>IFERROR(VLOOKUP(B194,'02. MM-KLH'!$B$6:$T$823,8,0),"")</f>
        <v>XN Chuối DP2</v>
      </c>
      <c r="J194" s="105">
        <f>IFERROR(VLOOKUP(B194,'02. MM-KLH'!$B$6:$T$823,9,0),"")</f>
        <v>0</v>
      </c>
      <c r="K194" s="101" t="str">
        <f>IFERROR(VLOOKUP(B194,'02. MM-KLH'!$B$6:$T$823,10,0),"")</f>
        <v>Bình thường</v>
      </c>
      <c r="L194" s="107">
        <f>IFERROR(VLOOKUP(B194,'02. MM-KLH'!$B$6:$T$823,11,0),"")</f>
        <v>0</v>
      </c>
      <c r="M194" s="864">
        <f>IFERROR(VLOOKUP(B194,'02. MM-KLH'!$B$6:$T$823,12,0),"")</f>
        <v>0</v>
      </c>
      <c r="N194" s="110" t="str">
        <f>IFERROR(VLOOKUP(B194,'02. MM-KLH'!$B$6:$T$823,13,0),"")</f>
        <v>KUBOTA</v>
      </c>
      <c r="O194" s="110" t="str">
        <f>IFERROR(VLOOKUP(B194,'02. MM-KLH'!$B$6:$T$823,14,0),"")</f>
        <v>NHẬT BẢN</v>
      </c>
      <c r="P194" s="101">
        <f>IFERROR(VLOOKUP(B194,'02. MM-KLH'!$B$6:$T$823,15,0),"")</f>
        <v>2013</v>
      </c>
      <c r="Q194" s="101" t="str">
        <f>IFERROR(VLOOKUP(B194,'02. MM-KLH'!$B$6:$T$823,16,0),"")</f>
        <v>M6040</v>
      </c>
      <c r="R194" s="101" t="str">
        <f>IFERROR(VLOOKUP(B194,'02. MM-KLH'!$B$6:$T$823,17,0),"")</f>
        <v>60HP</v>
      </c>
      <c r="S194" s="110">
        <f>IFERROR(VLOOKUP(B194,'02. MM-KLH'!$B$6:$T$823,18,0),"")</f>
        <v>56797</v>
      </c>
      <c r="T194" s="111" t="str">
        <f>IFERROR(VLOOKUP(B194,'02. MM-KLH'!$B$6:$T$823,19,0),"")</f>
        <v>CCN</v>
      </c>
      <c r="U194" s="863" t="s">
        <v>451</v>
      </c>
    </row>
    <row r="195" ht="13.5" customHeight="1" spans="1:21">
      <c r="A195" s="103">
        <f t="shared" si="7"/>
        <v>17</v>
      </c>
      <c r="B195" s="124" t="s">
        <v>1603</v>
      </c>
      <c r="C195" s="104" t="str">
        <f>IFERROR(VLOOKUP(B195,'02. MM-KLH'!$B$6:$T$823,2,0),"")</f>
        <v>XL1-MKE-001(MK39VCKLH)</v>
      </c>
      <c r="D195" s="103" t="str">
        <f>IFERROR(VLOOKUP(B195,'02. MM-KLH'!$B$6:$T$823,3,0),"")</f>
        <v>A24-MKE-015</v>
      </c>
      <c r="E195" s="102">
        <f>IFERROR(VLOOKUP(B195,'02. MM-KLH'!$B$6:$T$823,4,0),"")</f>
        <v>0</v>
      </c>
      <c r="F195" s="124"/>
      <c r="G195" s="102" t="str">
        <f>IFERROR(VLOOKUP(B195,'02. MM-KLH'!$B$6:$T$823,6,0),"")</f>
        <v>Máy cày M6040</v>
      </c>
      <c r="H195" s="101" t="s">
        <v>3338</v>
      </c>
      <c r="I195" s="101" t="str">
        <f>IFERROR(VLOOKUP(B195,'02. MM-KLH'!$B$6:$T$823,8,0),"")</f>
        <v>XN Chuối LP3</v>
      </c>
      <c r="J195" s="105" t="str">
        <f>IFERROR(VLOOKUP(B195,'02. MM-KLH'!$B$6:$T$823,9,0),"")</f>
        <v>21/02/2024</v>
      </c>
      <c r="K195" s="101" t="str">
        <f>IFERROR(VLOOKUP(B195,'02. MM-KLH'!$B$6:$T$823,10,0),"")</f>
        <v>Bình thường</v>
      </c>
      <c r="L195" s="107">
        <f>IFERROR(VLOOKUP(B195,'02. MM-KLH'!$B$6:$T$823,11,0),"")</f>
        <v>0</v>
      </c>
      <c r="M195" s="864" t="str">
        <f>IFERROR(VLOOKUP(B195,'02. MM-KLH'!$B$6:$T$823,12,0),"")</f>
        <v>LP1 Đ.chuyen qua LP3</v>
      </c>
      <c r="N195" s="110" t="str">
        <f>IFERROR(VLOOKUP(B195,'02. MM-KLH'!$B$6:$T$823,13,0),"")</f>
        <v>KUBOTA</v>
      </c>
      <c r="O195" s="110" t="str">
        <f>IFERROR(VLOOKUP(B195,'02. MM-KLH'!$B$6:$T$823,14,0),"")</f>
        <v>NHẬT BẢN</v>
      </c>
      <c r="P195" s="101">
        <f>IFERROR(VLOOKUP(B195,'02. MM-KLH'!$B$6:$T$823,15,0),"")</f>
        <v>2013</v>
      </c>
      <c r="Q195" s="101" t="str">
        <f>IFERROR(VLOOKUP(B195,'02. MM-KLH'!$B$6:$T$823,16,0),"")</f>
        <v>M6040</v>
      </c>
      <c r="R195" s="101" t="str">
        <f>IFERROR(VLOOKUP(B195,'02. MM-KLH'!$B$6:$T$823,17,0),"")</f>
        <v>60HP</v>
      </c>
      <c r="S195" s="110" t="str">
        <f>IFERROR(VLOOKUP(B195,'02. MM-KLH'!$B$6:$T$823,18,0),"")</f>
        <v>D57605</v>
      </c>
      <c r="T195" s="111" t="str">
        <f>IFERROR(VLOOKUP(B195,'02. MM-KLH'!$B$6:$T$823,19,0),"")</f>
        <v>CCN</v>
      </c>
      <c r="U195" s="863" t="s">
        <v>451</v>
      </c>
    </row>
    <row r="196" ht="13.5" customHeight="1" spans="1:21">
      <c r="A196" s="103">
        <f t="shared" si="7"/>
        <v>18</v>
      </c>
      <c r="B196" s="104" t="s">
        <v>1781</v>
      </c>
      <c r="C196" s="104" t="str">
        <f>IFERROR(VLOOKUP(B196,'02. MM-KLH'!$B$6:$T$823,2,0),"")</f>
        <v>MK87/CAT-MKE-003</v>
      </c>
      <c r="D196" s="103" t="str">
        <f>IFERROR(VLOOKUP(B196,'02. MM-KLH'!$B$6:$T$823,3,0),"")</f>
        <v>A22-MKE-001</v>
      </c>
      <c r="E196" s="102">
        <f>IFERROR(VLOOKUP(B196,'02. MM-KLH'!$B$6:$T$823,4,0),"")</f>
        <v>0</v>
      </c>
      <c r="F196" s="104"/>
      <c r="G196" s="102" t="str">
        <f>IFERROR(VLOOKUP(B196,'02. MM-KLH'!$B$6:$T$823,6,0),"")</f>
        <v>Máy cày M6040</v>
      </c>
      <c r="H196" s="101" t="s">
        <v>3338</v>
      </c>
      <c r="I196" s="101" t="str">
        <f>IFERROR(VLOOKUP(B196,'02. MM-KLH'!$B$6:$T$823,8,0),"")</f>
        <v>XOÀI AD</v>
      </c>
      <c r="J196" s="105">
        <f>IFERROR(VLOOKUP(B196,'02. MM-KLH'!$B$6:$T$823,9,0),"")</f>
        <v>0</v>
      </c>
      <c r="K196" s="101" t="str">
        <f>IFERROR(VLOOKUP(B196,'02. MM-KLH'!$B$6:$T$823,10,0),"")</f>
        <v>Bình thường</v>
      </c>
      <c r="L196" s="107">
        <f>IFERROR(VLOOKUP(B196,'02. MM-KLH'!$B$6:$T$823,11,0),"")</f>
        <v>0</v>
      </c>
      <c r="M196" s="864">
        <f>IFERROR(VLOOKUP(B196,'02. MM-KLH'!$B$6:$T$823,12,0),"")</f>
        <v>0</v>
      </c>
      <c r="N196" s="110" t="str">
        <f>IFERROR(VLOOKUP(B196,'02. MM-KLH'!$B$6:$T$823,13,0),"")</f>
        <v>KUBOTA</v>
      </c>
      <c r="O196" s="110" t="str">
        <f>IFERROR(VLOOKUP(B196,'02. MM-KLH'!$B$6:$T$823,14,0),"")</f>
        <v>NHẬT BẢN</v>
      </c>
      <c r="P196" s="101">
        <f>IFERROR(VLOOKUP(B196,'02. MM-KLH'!$B$6:$T$823,15,0),"")</f>
        <v>2013</v>
      </c>
      <c r="Q196" s="101" t="str">
        <f>IFERROR(VLOOKUP(B196,'02. MM-KLH'!$B$6:$T$823,16,0),"")</f>
        <v>M6040</v>
      </c>
      <c r="R196" s="101" t="str">
        <f>IFERROR(VLOOKUP(B196,'02. MM-KLH'!$B$6:$T$823,17,0),"")</f>
        <v>60HP</v>
      </c>
      <c r="S196" s="110">
        <f>IFERROR(VLOOKUP(B196,'02. MM-KLH'!$B$6:$T$823,18,0),"")</f>
        <v>57123</v>
      </c>
      <c r="T196" s="111" t="str">
        <f>IFERROR(VLOOKUP(B196,'02. MM-KLH'!$B$6:$T$823,19,0),"")</f>
        <v>CCN</v>
      </c>
      <c r="U196" s="863" t="s">
        <v>451</v>
      </c>
    </row>
    <row r="197" ht="13.5" customHeight="1" spans="1:21">
      <c r="A197" s="103">
        <f t="shared" si="7"/>
        <v>19</v>
      </c>
      <c r="B197" s="104" t="s">
        <v>1833</v>
      </c>
      <c r="C197" s="104" t="str">
        <f>IFERROR(VLOOKUP(B197,'02. MM-KLH'!$B$6:$T$823,2,0),"")</f>
        <v>RAT-OYD</v>
      </c>
      <c r="D197" s="103" t="str">
        <f>IFERROR(VLOOKUP(B197,'02. MM-KLH'!$B$6:$T$823,3,0),"")</f>
        <v>ATT-A22-0023</v>
      </c>
      <c r="E197" s="102">
        <f>IFERROR(VLOOKUP(B197,'02. MM-KLH'!$B$6:$T$823,4,0),"")</f>
        <v>0</v>
      </c>
      <c r="F197" s="104"/>
      <c r="G197" s="102" t="str">
        <f>IFERROR(VLOOKUP(B197,'02. MM-KLH'!$B$6:$T$823,6,0),"")</f>
        <v>Máy cày M6040</v>
      </c>
      <c r="H197" s="101" t="s">
        <v>3338</v>
      </c>
      <c r="I197" s="101" t="str">
        <f>IFERROR(VLOOKUP(B197,'02. MM-KLH'!$B$6:$T$823,8,0),"")</f>
        <v>XN Bò AD</v>
      </c>
      <c r="J197" s="105">
        <f>IFERROR(VLOOKUP(B197,'02. MM-KLH'!$B$6:$T$823,9,0),"")</f>
        <v>0</v>
      </c>
      <c r="K197" s="101" t="str">
        <f>IFERROR(VLOOKUP(B197,'02. MM-KLH'!$B$6:$T$823,10,0),"")</f>
        <v>Bình thường</v>
      </c>
      <c r="L197" s="107">
        <f>IFERROR(VLOOKUP(B197,'02. MM-KLH'!$B$6:$T$823,11,0),"")</f>
        <v>0</v>
      </c>
      <c r="M197" s="864">
        <f>IFERROR(VLOOKUP(B197,'02. MM-KLH'!$B$6:$T$823,12,0),"")</f>
        <v>0</v>
      </c>
      <c r="N197" s="110" t="str">
        <f>IFERROR(VLOOKUP(B197,'02. MM-KLH'!$B$6:$T$823,13,0),"")</f>
        <v>KUBOTA</v>
      </c>
      <c r="O197" s="110" t="str">
        <f>IFERROR(VLOOKUP(B197,'02. MM-KLH'!$B$6:$T$823,14,0),"")</f>
        <v>NHẬT BẢN</v>
      </c>
      <c r="P197" s="101">
        <f>IFERROR(VLOOKUP(B197,'02. MM-KLH'!$B$6:$T$823,15,0),"")</f>
        <v>2013</v>
      </c>
      <c r="Q197" s="101" t="str">
        <f>IFERROR(VLOOKUP(B197,'02. MM-KLH'!$B$6:$T$823,16,0),"")</f>
        <v>M6040</v>
      </c>
      <c r="R197" s="101" t="str">
        <f>IFERROR(VLOOKUP(B197,'02. MM-KLH'!$B$6:$T$823,17,0),"")</f>
        <v>60HP</v>
      </c>
      <c r="S197" s="110">
        <f>IFERROR(VLOOKUP(B197,'02. MM-KLH'!$B$6:$T$823,18,0),"")</f>
        <v>57274</v>
      </c>
      <c r="T197" s="111">
        <f>IFERROR(VLOOKUP(B197,'02. MM-KLH'!$B$6:$T$823,19,0),"")</f>
        <v>9237</v>
      </c>
      <c r="U197" s="863" t="s">
        <v>451</v>
      </c>
    </row>
    <row r="198" ht="13.5" customHeight="1" spans="1:21">
      <c r="A198" s="103">
        <f t="shared" si="7"/>
        <v>20</v>
      </c>
      <c r="B198" s="104" t="s">
        <v>1622</v>
      </c>
      <c r="C198" s="104" t="str">
        <f>IFERROR(VLOOKUP(B198,'02. MM-KLH'!$B$6:$T$823,2,0),"")</f>
        <v>XB1-MKE-006</v>
      </c>
      <c r="D198" s="103" t="str">
        <f>IFERROR(VLOOKUP(B198,'02. MM-KLH'!$B$6:$T$823,3,0),"")</f>
        <v>ATT-A22-0023</v>
      </c>
      <c r="E198" s="102">
        <f>IFERROR(VLOOKUP(B198,'02. MM-KLH'!$B$6:$T$823,4,0),"")</f>
        <v>0</v>
      </c>
      <c r="F198" s="104"/>
      <c r="G198" s="102" t="str">
        <f>IFERROR(VLOOKUP(B198,'02. MM-KLH'!$B$6:$T$823,6,0),"")</f>
        <v>Máy cày M6040</v>
      </c>
      <c r="H198" s="101" t="s">
        <v>3338</v>
      </c>
      <c r="I198" s="101" t="str">
        <f>IFERROR(VLOOKUP(B198,'02. MM-KLH'!$B$6:$T$823,8,0),"")</f>
        <v>XN Chuối LP3</v>
      </c>
      <c r="J198" s="105">
        <f>IFERROR(VLOOKUP(B198,'02. MM-KLH'!$B$6:$T$823,9,0),"")</f>
        <v>0</v>
      </c>
      <c r="K198" s="101" t="str">
        <f>IFERROR(VLOOKUP(B198,'02. MM-KLH'!$B$6:$T$823,10,0),"")</f>
        <v>Bình thường</v>
      </c>
      <c r="L198" s="107">
        <f>IFERROR(VLOOKUP(B198,'02. MM-KLH'!$B$6:$T$823,11,0),"")</f>
        <v>0</v>
      </c>
      <c r="M198" s="864" t="str">
        <f>IFERROR(VLOOKUP(B198,'02. MM-KLH'!$B$6:$T$823,12,0),"")</f>
        <v>đchuyen từ xnb ngày 18/06/2026</v>
      </c>
      <c r="N198" s="110" t="str">
        <f>IFERROR(VLOOKUP(B198,'02. MM-KLH'!$B$6:$T$823,13,0),"")</f>
        <v>KUBOTA</v>
      </c>
      <c r="O198" s="110" t="str">
        <f>IFERROR(VLOOKUP(B198,'02. MM-KLH'!$B$6:$T$823,14,0),"")</f>
        <v>NHẬT BẢN</v>
      </c>
      <c r="P198" s="101">
        <f>IFERROR(VLOOKUP(B198,'02. MM-KLH'!$B$6:$T$823,15,0),"")</f>
        <v>2013</v>
      </c>
      <c r="Q198" s="101" t="str">
        <f>IFERROR(VLOOKUP(B198,'02. MM-KLH'!$B$6:$T$823,16,0),"")</f>
        <v>M6040</v>
      </c>
      <c r="R198" s="101" t="str">
        <f>IFERROR(VLOOKUP(B198,'02. MM-KLH'!$B$6:$T$823,17,0),"")</f>
        <v>60HP</v>
      </c>
      <c r="S198" s="110">
        <f>IFERROR(VLOOKUP(B198,'02. MM-KLH'!$B$6:$T$823,18,0),"")</f>
        <v>57121</v>
      </c>
      <c r="T198" s="111">
        <f>IFERROR(VLOOKUP(B198,'02. MM-KLH'!$B$6:$T$823,19,0),"")</f>
        <v>7542</v>
      </c>
      <c r="U198" s="863" t="s">
        <v>451</v>
      </c>
    </row>
    <row r="199" ht="13.5" customHeight="1" spans="1:21">
      <c r="A199" s="103">
        <f t="shared" si="7"/>
        <v>21</v>
      </c>
      <c r="B199" s="104" t="s">
        <v>1796</v>
      </c>
      <c r="C199" s="104" t="str">
        <f>IFERROR(VLOOKUP(B199,'02. MM-KLH'!$B$6:$T$823,2,0),"")</f>
        <v>XB1-MKE-031</v>
      </c>
      <c r="D199" s="103">
        <f>IFERROR(VLOOKUP(B199,'02. MM-KLH'!$B$6:$T$823,3,0),"")</f>
        <v>0</v>
      </c>
      <c r="E199" s="102">
        <f>IFERROR(VLOOKUP(B199,'02. MM-KLH'!$B$6:$T$823,4,0),"")</f>
        <v>0</v>
      </c>
      <c r="F199" s="104"/>
      <c r="G199" s="102" t="str">
        <f>IFERROR(VLOOKUP(B199,'02. MM-KLH'!$B$6:$T$823,6,0),"")</f>
        <v>Máy cày M6040</v>
      </c>
      <c r="H199" s="101" t="s">
        <v>3338</v>
      </c>
      <c r="I199" s="101" t="str">
        <f>IFERROR(VLOOKUP(B199,'02. MM-KLH'!$B$6:$T$823,8,0),"")</f>
        <v>XOÀI AD</v>
      </c>
      <c r="J199" s="105" t="str">
        <f>IFERROR(VLOOKUP(B199,'02. MM-KLH'!$B$6:$T$823,9,0),"")</f>
        <v>20/05/2026</v>
      </c>
      <c r="K199" s="101" t="str">
        <f>IFERROR(VLOOKUP(B199,'02. MM-KLH'!$B$6:$T$823,10,0),"")</f>
        <v>Bình thường</v>
      </c>
      <c r="L199" s="107">
        <f>IFERROR(VLOOKUP(B199,'02. MM-KLH'!$B$6:$T$823,11,0),"")</f>
        <v>0</v>
      </c>
      <c r="M199" s="864" t="str">
        <f>IFERROR(VLOOKUP(B199,'02. MM-KLH'!$B$6:$T$823,12,0),"")</f>
        <v>Điều chuyển từ XNB qua ngày 20/05/2026</v>
      </c>
      <c r="N199" s="110" t="str">
        <f>IFERROR(VLOOKUP(B199,'02. MM-KLH'!$B$6:$T$823,13,0),"")</f>
        <v>KUBOTA</v>
      </c>
      <c r="O199" s="110" t="str">
        <f>IFERROR(VLOOKUP(B199,'02. MM-KLH'!$B$6:$T$823,14,0),"")</f>
        <v>NHẬT BẢN</v>
      </c>
      <c r="P199" s="101">
        <f>IFERROR(VLOOKUP(B199,'02. MM-KLH'!$B$6:$T$823,15,0),"")</f>
        <v>2013</v>
      </c>
      <c r="Q199" s="101" t="str">
        <f>IFERROR(VLOOKUP(B199,'02. MM-KLH'!$B$6:$T$823,16,0),"")</f>
        <v>M6040</v>
      </c>
      <c r="R199" s="101" t="str">
        <f>IFERROR(VLOOKUP(B199,'02. MM-KLH'!$B$6:$T$823,17,0),"")</f>
        <v>60HP</v>
      </c>
      <c r="S199" s="110" t="str">
        <f>IFERROR(VLOOKUP(B199,'02. MM-KLH'!$B$6:$T$823,18,0),"")</f>
        <v>M6040SUD57124</v>
      </c>
      <c r="T199" s="111" t="str">
        <f>IFERROR(VLOOKUP(B199,'02. MM-KLH'!$B$6:$T$823,19,0),"")</f>
        <v>CCN</v>
      </c>
      <c r="U199" s="863" t="s">
        <v>451</v>
      </c>
    </row>
    <row r="200" ht="13.5" customHeight="1" spans="1:21">
      <c r="A200" s="103">
        <f t="shared" si="7"/>
        <v>22</v>
      </c>
      <c r="B200" s="104" t="s">
        <v>2689</v>
      </c>
      <c r="C200" s="104" t="str">
        <f>IFERROR(VLOOKUP(B200,'02. MM-KLH'!$B$6:$T$823,2,0),"")</f>
        <v>CKC-MKE-004</v>
      </c>
      <c r="D200" s="103" t="str">
        <f>IFERROR(VLOOKUP(B200,'02. MM-KLH'!$B$6:$T$823,3,0),"")</f>
        <v>A22-MKE-029</v>
      </c>
      <c r="E200" s="102">
        <f>IFERROR(VLOOKUP(B200,'02. MM-KLH'!$B$6:$T$823,4,0),"")</f>
        <v>0</v>
      </c>
      <c r="F200" s="104"/>
      <c r="G200" s="102" t="str">
        <f>IFERROR(VLOOKUP(B200,'02. MM-KLH'!$B$6:$T$823,6,0),"")</f>
        <v>Máy cày M6040</v>
      </c>
      <c r="H200" s="101" t="s">
        <v>3338</v>
      </c>
      <c r="I200" s="101" t="str">
        <f>IFERROR(VLOOKUP(B200,'02. MM-KLH'!$B$6:$T$823,8,0),"")</f>
        <v>Thagricons</v>
      </c>
      <c r="J200" s="105">
        <f>IFERROR(VLOOKUP(B200,'02. MM-KLH'!$B$6:$T$823,9,0),"")</f>
        <v>0</v>
      </c>
      <c r="K200" s="101" t="str">
        <f>IFERROR(VLOOKUP(B200,'02. MM-KLH'!$B$6:$T$823,10,0),"")</f>
        <v>Bình thường</v>
      </c>
      <c r="L200" s="107">
        <f>IFERROR(VLOOKUP(B200,'02. MM-KLH'!$B$6:$T$823,11,0),"")</f>
        <v>0</v>
      </c>
      <c r="M200" s="864">
        <f>IFERROR(VLOOKUP(B200,'02. MM-KLH'!$B$6:$T$823,12,0),"")</f>
        <v>0</v>
      </c>
      <c r="N200" s="110" t="str">
        <f>IFERROR(VLOOKUP(B200,'02. MM-KLH'!$B$6:$T$823,13,0),"")</f>
        <v>KUBOTA</v>
      </c>
      <c r="O200" s="110" t="str">
        <f>IFERROR(VLOOKUP(B200,'02. MM-KLH'!$B$6:$T$823,14,0),"")</f>
        <v>NHẬT BẢN</v>
      </c>
      <c r="P200" s="101">
        <f>IFERROR(VLOOKUP(B200,'02. MM-KLH'!$B$6:$T$823,15,0),"")</f>
        <v>2013</v>
      </c>
      <c r="Q200" s="101" t="str">
        <f>IFERROR(VLOOKUP(B200,'02. MM-KLH'!$B$6:$T$823,16,0),"")</f>
        <v>M6040</v>
      </c>
      <c r="R200" s="101" t="str">
        <f>IFERROR(VLOOKUP(B200,'02. MM-KLH'!$B$6:$T$823,17,0),"")</f>
        <v>60HP</v>
      </c>
      <c r="S200" s="110" t="str">
        <f>IFERROR(VLOOKUP(B200,'02. MM-KLH'!$B$6:$T$823,18,0),"")</f>
        <v>FD202H-16335</v>
      </c>
      <c r="T200" s="111" t="str">
        <f>IFERROR(VLOOKUP(B200,'02. MM-KLH'!$B$6:$T$823,19,0),"")</f>
        <v>CCN</v>
      </c>
      <c r="U200" s="863" t="s">
        <v>451</v>
      </c>
    </row>
    <row r="201" ht="13.5" customHeight="1" spans="1:21">
      <c r="A201" s="103">
        <f t="shared" si="7"/>
        <v>23</v>
      </c>
      <c r="B201" s="104" t="s">
        <v>1843</v>
      </c>
      <c r="C201" s="104" t="str">
        <f>IFERROR(VLOOKUP(B201,'02. MM-KLH'!$B$6:$T$823,2,0),"")</f>
        <v>MK38VC-KLH</v>
      </c>
      <c r="D201" s="103" t="str">
        <f>IFERROR(VLOOKUP(B201,'02. MM-KLH'!$B$6:$T$823,3,0),"")</f>
        <v>A22-MKE-015</v>
      </c>
      <c r="E201" s="102">
        <f>IFERROR(VLOOKUP(B201,'02. MM-KLH'!$B$6:$T$823,4,0),"")</f>
        <v>0</v>
      </c>
      <c r="F201" s="104"/>
      <c r="G201" s="102" t="str">
        <f>IFERROR(VLOOKUP(B201,'02. MM-KLH'!$B$6:$T$823,6,0),"")</f>
        <v>Máy cày M6040</v>
      </c>
      <c r="H201" s="101" t="s">
        <v>3338</v>
      </c>
      <c r="I201" s="101" t="str">
        <f>IFERROR(VLOOKUP(B201,'02. MM-KLH'!$B$6:$T$823,8,0),"")</f>
        <v>XN Bò AD</v>
      </c>
      <c r="J201" s="105">
        <f>IFERROR(VLOOKUP(B201,'02. MM-KLH'!$B$6:$T$823,9,0),"")</f>
        <v>0</v>
      </c>
      <c r="K201" s="101" t="str">
        <f>IFERROR(VLOOKUP(B201,'02. MM-KLH'!$B$6:$T$823,10,0),"")</f>
        <v>Bình thường</v>
      </c>
      <c r="L201" s="107">
        <f>IFERROR(VLOOKUP(B201,'02. MM-KLH'!$B$6:$T$823,11,0),"")</f>
        <v>0</v>
      </c>
      <c r="M201" s="864">
        <f>IFERROR(VLOOKUP(B201,'02. MM-KLH'!$B$6:$T$823,12,0),"")</f>
        <v>0</v>
      </c>
      <c r="N201" s="110" t="str">
        <f>IFERROR(VLOOKUP(B201,'02. MM-KLH'!$B$6:$T$823,13,0),"")</f>
        <v>KUBOTA</v>
      </c>
      <c r="O201" s="110" t="str">
        <f>IFERROR(VLOOKUP(B201,'02. MM-KLH'!$B$6:$T$823,14,0),"")</f>
        <v>NHẬT BẢN</v>
      </c>
      <c r="P201" s="101">
        <f>IFERROR(VLOOKUP(B201,'02. MM-KLH'!$B$6:$T$823,15,0),"")</f>
        <v>2013</v>
      </c>
      <c r="Q201" s="101" t="str">
        <f>IFERROR(VLOOKUP(B201,'02. MM-KLH'!$B$6:$T$823,16,0),"")</f>
        <v>M6040</v>
      </c>
      <c r="R201" s="101" t="str">
        <f>IFERROR(VLOOKUP(B201,'02. MM-KLH'!$B$6:$T$823,17,0),"")</f>
        <v>60HP</v>
      </c>
      <c r="S201" s="110" t="str">
        <f>IFERROR(VLOOKUP(B201,'02. MM-KLH'!$B$6:$T$823,18,0),"")</f>
        <v>D57126</v>
      </c>
      <c r="T201" s="111" t="str">
        <f>IFERROR(VLOOKUP(B201,'02. MM-KLH'!$B$6:$T$823,19,0),"")</f>
        <v>CCN</v>
      </c>
      <c r="U201" s="863" t="s">
        <v>451</v>
      </c>
    </row>
    <row r="202" ht="13.5" customHeight="1" spans="1:21">
      <c r="A202" s="103">
        <f t="shared" si="7"/>
        <v>24</v>
      </c>
      <c r="B202" s="104" t="s">
        <v>1827</v>
      </c>
      <c r="C202" s="104" t="str">
        <f>IFERROR(VLOOKUP(B202,'02. MM-KLH'!$B$6:$T$823,2,0),"")</f>
        <v>MK17NN-KLH</v>
      </c>
      <c r="D202" s="103" t="str">
        <f>IFERROR(VLOOKUP(B202,'02. MM-KLH'!$B$6:$T$823,3,0),"")</f>
        <v>ATT-A22-0182</v>
      </c>
      <c r="E202" s="102">
        <f>IFERROR(VLOOKUP(B202,'02. MM-KLH'!$B$6:$T$823,4,0),"")</f>
        <v>0</v>
      </c>
      <c r="F202" s="104" t="s">
        <v>3357</v>
      </c>
      <c r="G202" s="102" t="str">
        <f>IFERROR(VLOOKUP(B202,'02. MM-KLH'!$B$6:$T$823,6,0),"")</f>
        <v>Máy cày M9540</v>
      </c>
      <c r="H202" s="101" t="s">
        <v>3340</v>
      </c>
      <c r="I202" s="101" t="str">
        <f>IFERROR(VLOOKUP(B202,'02. MM-KLH'!$B$6:$T$823,8,0),"")</f>
        <v>XN Bò AD</v>
      </c>
      <c r="J202" s="105">
        <f>IFERROR(VLOOKUP(B202,'02. MM-KLH'!$B$6:$T$823,9,0),"")</f>
        <v>0</v>
      </c>
      <c r="K202" s="101" t="str">
        <f>IFERROR(VLOOKUP(B202,'02. MM-KLH'!$B$6:$T$823,10,0),"")</f>
        <v>Bình thường</v>
      </c>
      <c r="L202" s="107">
        <f>IFERROR(VLOOKUP(B202,'02. MM-KLH'!$B$6:$T$823,11,0),"")</f>
        <v>0</v>
      </c>
      <c r="M202" s="864">
        <f>IFERROR(VLOOKUP(B202,'02. MM-KLH'!$B$6:$T$823,12,0),"")</f>
        <v>0</v>
      </c>
      <c r="N202" s="110" t="str">
        <f>IFERROR(VLOOKUP(B202,'02. MM-KLH'!$B$6:$T$823,13,0),"")</f>
        <v>KUBOTA</v>
      </c>
      <c r="O202" s="110" t="str">
        <f>IFERROR(VLOOKUP(B202,'02. MM-KLH'!$B$6:$T$823,14,0),"")</f>
        <v>NHẬT BẢN</v>
      </c>
      <c r="P202" s="101">
        <f>IFERROR(VLOOKUP(B202,'02. MM-KLH'!$B$6:$T$823,15,0),"")</f>
        <v>2011</v>
      </c>
      <c r="Q202" s="101">
        <f>IFERROR(VLOOKUP(B202,'02. MM-KLH'!$B$6:$T$823,16,0),"")</f>
        <v>9540</v>
      </c>
      <c r="R202" s="101" t="str">
        <f>IFERROR(VLOOKUP(B202,'02. MM-KLH'!$B$6:$T$823,17,0),"")</f>
        <v>95HP</v>
      </c>
      <c r="S202" s="110">
        <f>IFERROR(VLOOKUP(B202,'02. MM-KLH'!$B$6:$T$823,18,0),"")</f>
        <v>2340</v>
      </c>
      <c r="T202" s="111" t="str">
        <f>IFERROR(VLOOKUP(B202,'02. MM-KLH'!$B$6:$T$823,19,0),"")</f>
        <v>CCN</v>
      </c>
      <c r="U202" s="863" t="s">
        <v>451</v>
      </c>
    </row>
    <row r="203" ht="13.5" customHeight="1" spans="1:21">
      <c r="A203" s="103">
        <f t="shared" si="7"/>
        <v>25</v>
      </c>
      <c r="B203" s="104" t="s">
        <v>1829</v>
      </c>
      <c r="C203" s="104" t="str">
        <f>IFERROR(VLOOKUP(B203,'02. MM-KLH'!$B$6:$T$823,2,0),"")</f>
        <v>MK19NN-KLH</v>
      </c>
      <c r="D203" s="103" t="str">
        <f>IFERROR(VLOOKUP(B203,'02. MM-KLH'!$B$6:$T$823,3,0),"")</f>
        <v>ATT-A22-0182</v>
      </c>
      <c r="E203" s="102">
        <f>IFERROR(VLOOKUP(B203,'02. MM-KLH'!$B$6:$T$823,4,0),"")</f>
        <v>0</v>
      </c>
      <c r="F203" s="104" t="s">
        <v>3358</v>
      </c>
      <c r="G203" s="102" t="str">
        <f>IFERROR(VLOOKUP(B203,'02. MM-KLH'!$B$6:$T$823,6,0),"")</f>
        <v>Máy cày M9540</v>
      </c>
      <c r="H203" s="101" t="s">
        <v>3340</v>
      </c>
      <c r="I203" s="101" t="str">
        <f>IFERROR(VLOOKUP(B203,'02. MM-KLH'!$B$6:$T$823,8,0),"")</f>
        <v>XN Bò AD</v>
      </c>
      <c r="J203" s="105">
        <f>IFERROR(VLOOKUP(B203,'02. MM-KLH'!$B$6:$T$823,9,0),"")</f>
        <v>0</v>
      </c>
      <c r="K203" s="101" t="str">
        <f>IFERROR(VLOOKUP(B203,'02. MM-KLH'!$B$6:$T$823,10,0),"")</f>
        <v>Bình thường</v>
      </c>
      <c r="L203" s="107">
        <f>IFERROR(VLOOKUP(B203,'02. MM-KLH'!$B$6:$T$823,11,0),"")</f>
        <v>0</v>
      </c>
      <c r="M203" s="864">
        <f>IFERROR(VLOOKUP(B203,'02. MM-KLH'!$B$6:$T$823,12,0),"")</f>
        <v>0</v>
      </c>
      <c r="N203" s="110" t="str">
        <f>IFERROR(VLOOKUP(B203,'02. MM-KLH'!$B$6:$T$823,13,0),"")</f>
        <v>KUBOTA</v>
      </c>
      <c r="O203" s="110" t="str">
        <f>IFERROR(VLOOKUP(B203,'02. MM-KLH'!$B$6:$T$823,14,0),"")</f>
        <v>NHẬT BẢN</v>
      </c>
      <c r="P203" s="101">
        <f>IFERROR(VLOOKUP(B203,'02. MM-KLH'!$B$6:$T$823,15,0),"")</f>
        <v>2011</v>
      </c>
      <c r="Q203" s="101">
        <f>IFERROR(VLOOKUP(B203,'02. MM-KLH'!$B$6:$T$823,16,0),"")</f>
        <v>9540</v>
      </c>
      <c r="R203" s="101" t="str">
        <f>IFERROR(VLOOKUP(B203,'02. MM-KLH'!$B$6:$T$823,17,0),"")</f>
        <v>95HP</v>
      </c>
      <c r="S203" s="110">
        <f>IFERROR(VLOOKUP(B203,'02. MM-KLH'!$B$6:$T$823,18,0),"")</f>
        <v>2807</v>
      </c>
      <c r="T203" s="111" t="str">
        <f>IFERROR(VLOOKUP(B203,'02. MM-KLH'!$B$6:$T$823,19,0),"")</f>
        <v>CCN</v>
      </c>
      <c r="U203" s="863" t="s">
        <v>451</v>
      </c>
    </row>
    <row r="204" ht="13.5" customHeight="1" spans="1:21">
      <c r="A204" s="103">
        <f t="shared" si="7"/>
        <v>26</v>
      </c>
      <c r="B204" s="104" t="s">
        <v>1831</v>
      </c>
      <c r="C204" s="104" t="str">
        <f>IFERROR(VLOOKUP(B204,'02. MM-KLH'!$B$6:$T$823,2,0),"")</f>
        <v>MK10VC-KLH</v>
      </c>
      <c r="D204" s="103" t="str">
        <f>IFERROR(VLOOKUP(B204,'02. MM-KLH'!$B$6:$T$823,3,0),"")</f>
        <v>ATT-A22-0182</v>
      </c>
      <c r="E204" s="102">
        <f>IFERROR(VLOOKUP(B204,'02. MM-KLH'!$B$6:$T$823,4,0),"")</f>
        <v>0</v>
      </c>
      <c r="F204" s="104" t="s">
        <v>3359</v>
      </c>
      <c r="G204" s="102" t="str">
        <f>IFERROR(VLOOKUP(B204,'02. MM-KLH'!$B$6:$T$823,6,0),"")</f>
        <v>Máy cày M9540</v>
      </c>
      <c r="H204" s="101" t="s">
        <v>3340</v>
      </c>
      <c r="I204" s="101" t="str">
        <f>IFERROR(VLOOKUP(B204,'02. MM-KLH'!$B$6:$T$823,8,0),"")</f>
        <v>XN Bò AD</v>
      </c>
      <c r="J204" s="105">
        <f>IFERROR(VLOOKUP(B204,'02. MM-KLH'!$B$6:$T$823,9,0),"")</f>
        <v>0</v>
      </c>
      <c r="K204" s="101" t="str">
        <f>IFERROR(VLOOKUP(B204,'02. MM-KLH'!$B$6:$T$823,10,0),"")</f>
        <v>Bình thường</v>
      </c>
      <c r="L204" s="107">
        <f>IFERROR(VLOOKUP(B204,'02. MM-KLH'!$B$6:$T$823,11,0),"")</f>
        <v>0</v>
      </c>
      <c r="M204" s="864">
        <f>IFERROR(VLOOKUP(B204,'02. MM-KLH'!$B$6:$T$823,12,0),"")</f>
        <v>0</v>
      </c>
      <c r="N204" s="110" t="str">
        <f>IFERROR(VLOOKUP(B204,'02. MM-KLH'!$B$6:$T$823,13,0),"")</f>
        <v>KUBOTA</v>
      </c>
      <c r="O204" s="110" t="str">
        <f>IFERROR(VLOOKUP(B204,'02. MM-KLH'!$B$6:$T$823,14,0),"")</f>
        <v>NHẬT BẢN</v>
      </c>
      <c r="P204" s="101">
        <f>IFERROR(VLOOKUP(B204,'02. MM-KLH'!$B$6:$T$823,15,0),"")</f>
        <v>2011</v>
      </c>
      <c r="Q204" s="101">
        <f>IFERROR(VLOOKUP(B204,'02. MM-KLH'!$B$6:$T$823,16,0),"")</f>
        <v>9540</v>
      </c>
      <c r="R204" s="101" t="str">
        <f>IFERROR(VLOOKUP(B204,'02. MM-KLH'!$B$6:$T$823,17,0),"")</f>
        <v>95HP</v>
      </c>
      <c r="S204" s="110">
        <f>IFERROR(VLOOKUP(B204,'02. MM-KLH'!$B$6:$T$823,18,0),"")</f>
        <v>2796</v>
      </c>
      <c r="T204" s="111" t="str">
        <f>IFERROR(VLOOKUP(B204,'02. MM-KLH'!$B$6:$T$823,19,0),"")</f>
        <v>CCN</v>
      </c>
      <c r="U204" s="863" t="s">
        <v>451</v>
      </c>
    </row>
    <row r="205" ht="13.8" spans="1:21">
      <c r="A205" s="21"/>
      <c r="B205" s="865"/>
      <c r="C205" s="104" t="str">
        <f>IFERROR(VLOOKUP(B205,'02. MM-KLH'!$B$6:$T$823,2,0),"")</f>
        <v/>
      </c>
      <c r="D205" s="103" t="str">
        <f>IFERROR(VLOOKUP(B205,'02. MM-KLH'!$B$6:$T$823,3,0),"")</f>
        <v/>
      </c>
      <c r="E205" s="102" t="str">
        <f>IFERROR(VLOOKUP(B205,'02. MM-KLH'!$B$6:$T$823,4,0),"")</f>
        <v/>
      </c>
      <c r="F205" s="21"/>
      <c r="G205" s="102" t="str">
        <f>IFERROR(VLOOKUP(B205,'02. MM-KLH'!$B$6:$T$823,6,0),"")</f>
        <v/>
      </c>
      <c r="H205" s="21"/>
      <c r="I205" s="101" t="str">
        <f>IFERROR(VLOOKUP(B205,'02. MM-KLH'!$B$6:$T$823,8,0),"")</f>
        <v/>
      </c>
      <c r="J205" s="105" t="str">
        <f>IFERROR(VLOOKUP(B205,'02. MM-KLH'!$B$6:$T$823,9,0),"")</f>
        <v/>
      </c>
      <c r="K205" s="101" t="str">
        <f>IFERROR(VLOOKUP(B205,'02. MM-KLH'!$B$6:$T$823,10,0),"")</f>
        <v/>
      </c>
      <c r="L205" s="107" t="str">
        <f>IFERROR(VLOOKUP(B205,'02. MM-KLH'!$B$6:$T$823,11,0),"")</f>
        <v/>
      </c>
      <c r="M205" s="866" t="str">
        <f>IFERROR(VLOOKUP(B205,'02. MM-KLH'!$B$6:$T$823,12,0),"")</f>
        <v/>
      </c>
      <c r="N205" s="110" t="str">
        <f>IFERROR(VLOOKUP(B205,'02. MM-KLH'!$B$6:$T$823,13,0),"")</f>
        <v/>
      </c>
      <c r="O205" s="110" t="str">
        <f>IFERROR(VLOOKUP(B205,'02. MM-KLH'!$B$6:$T$823,14,0),"")</f>
        <v/>
      </c>
      <c r="P205" s="101" t="str">
        <f>IFERROR(VLOOKUP(B205,'02. MM-KLH'!$B$6:$T$823,15,0),"")</f>
        <v/>
      </c>
      <c r="Q205" s="101" t="str">
        <f>IFERROR(VLOOKUP(B205,'02. MM-KLH'!$B$6:$T$823,16,0),"")</f>
        <v/>
      </c>
      <c r="R205" s="101" t="str">
        <f>IFERROR(VLOOKUP(B205,'02. MM-KLH'!$B$6:$T$823,17,0),"")</f>
        <v/>
      </c>
      <c r="S205" s="110" t="str">
        <f>IFERROR(VLOOKUP(B205,'02. MM-KLH'!$B$6:$T$823,18,0),"")</f>
        <v/>
      </c>
      <c r="T205" s="111" t="str">
        <f>IFERROR(VLOOKUP(B205,'02. MM-KLH'!$B$6:$T$823,19,0),"")</f>
        <v/>
      </c>
      <c r="U205" s="111" t="str">
        <f>IFERROR(VLOOKUP(C205,'02. MM-KLH'!$B$6:$T$823,19,0),"")</f>
        <v/>
      </c>
    </row>
    <row r="206" ht="13.8" spans="1:21">
      <c r="A206" s="21"/>
      <c r="B206" s="865"/>
      <c r="C206" s="104" t="str">
        <f>IFERROR(VLOOKUP(B206,'02. MM-KLH'!$B$6:$T$823,2,0),"")</f>
        <v/>
      </c>
      <c r="D206" s="103" t="str">
        <f>IFERROR(VLOOKUP(B206,'02. MM-KLH'!$B$6:$T$823,3,0),"")</f>
        <v/>
      </c>
      <c r="E206" s="102" t="str">
        <f>IFERROR(VLOOKUP(B206,'02. MM-KLH'!$B$6:$T$823,4,0),"")</f>
        <v/>
      </c>
      <c r="F206" s="21"/>
      <c r="G206" s="102" t="str">
        <f>IFERROR(VLOOKUP(B206,'02. MM-KLH'!$B$6:$T$823,6,0),"")</f>
        <v/>
      </c>
      <c r="H206" s="21"/>
      <c r="I206" s="101" t="str">
        <f>IFERROR(VLOOKUP(B206,'02. MM-KLH'!$B$6:$T$823,8,0),"")</f>
        <v/>
      </c>
      <c r="J206" s="105" t="str">
        <f>IFERROR(VLOOKUP(B206,'02. MM-KLH'!$B$6:$T$823,9,0),"")</f>
        <v/>
      </c>
      <c r="K206" s="101" t="str">
        <f>IFERROR(VLOOKUP(B206,'02. MM-KLH'!$B$6:$T$823,10,0),"")</f>
        <v/>
      </c>
      <c r="L206" s="107" t="str">
        <f>IFERROR(VLOOKUP(B206,'02. MM-KLH'!$B$6:$T$823,11,0),"")</f>
        <v/>
      </c>
      <c r="M206" s="866" t="str">
        <f>IFERROR(VLOOKUP(B206,'02. MM-KLH'!$B$6:$T$823,12,0),"")</f>
        <v/>
      </c>
      <c r="N206" s="110" t="str">
        <f>IFERROR(VLOOKUP(B206,'02. MM-KLH'!$B$6:$T$823,13,0),"")</f>
        <v/>
      </c>
      <c r="O206" s="110" t="str">
        <f>IFERROR(VLOOKUP(B206,'02. MM-KLH'!$B$6:$T$823,14,0),"")</f>
        <v/>
      </c>
      <c r="P206" s="101" t="str">
        <f>IFERROR(VLOOKUP(B206,'02. MM-KLH'!$B$6:$T$823,15,0),"")</f>
        <v/>
      </c>
      <c r="Q206" s="101" t="str">
        <f>IFERROR(VLOOKUP(B206,'02. MM-KLH'!$B$6:$T$823,16,0),"")</f>
        <v/>
      </c>
      <c r="R206" s="101" t="str">
        <f>IFERROR(VLOOKUP(B206,'02. MM-KLH'!$B$6:$T$823,17,0),"")</f>
        <v/>
      </c>
      <c r="S206" s="110" t="str">
        <f>IFERROR(VLOOKUP(B206,'02. MM-KLH'!$B$6:$T$823,18,0),"")</f>
        <v/>
      </c>
      <c r="T206" s="111" t="str">
        <f>IFERROR(VLOOKUP(B206,'02. MM-KLH'!$B$6:$T$823,19,0),"")</f>
        <v/>
      </c>
      <c r="U206" s="111" t="str">
        <f>IFERROR(VLOOKUP(C206,'02. MM-KLH'!$B$6:$T$823,19,0),"")</f>
        <v/>
      </c>
    </row>
    <row r="207" ht="13.5" customHeight="1" spans="1:21">
      <c r="A207" s="847" t="s">
        <v>290</v>
      </c>
      <c r="B207" s="848" t="s">
        <v>3360</v>
      </c>
      <c r="C207" s="849">
        <f>COUNTA(B208:B228)</f>
        <v>19</v>
      </c>
      <c r="D207" s="849" t="str">
        <f>IFERROR(VLOOKUP(B207,'02. MM-KLH'!$B$6:$T$823,3,0),"")</f>
        <v/>
      </c>
      <c r="E207" s="849" t="str">
        <f>IFERROR(VLOOKUP(B207,'02. MM-KLH'!$B$6:$T$823,4,0),"")</f>
        <v/>
      </c>
      <c r="F207" s="849"/>
      <c r="G207" s="849" t="str">
        <f>IFERROR(VLOOKUP(B207,'02. MM-KLH'!$B$6:$T$823,6,0),"")</f>
        <v/>
      </c>
      <c r="H207" s="849"/>
      <c r="I207" s="849" t="str">
        <f>IFERROR(VLOOKUP(B207,'02. MM-KLH'!$B$6:$T$823,8,0),"")</f>
        <v/>
      </c>
      <c r="J207" s="849" t="str">
        <f>IFERROR(VLOOKUP(B207,'02. MM-KLH'!$B$6:$T$823,9,0),"")</f>
        <v/>
      </c>
      <c r="K207" s="849" t="str">
        <f>IFERROR(VLOOKUP(B207,'02. MM-KLH'!$B$6:$T$823,10,0),"")</f>
        <v/>
      </c>
      <c r="L207" s="849" t="str">
        <f>IFERROR(VLOOKUP(B207,'02. MM-KLH'!$B$6:$T$823,11,0),"")</f>
        <v/>
      </c>
      <c r="M207" s="849" t="str">
        <f>IFERROR(VLOOKUP(B207,'02. MM-KLH'!$B$6:$T$823,12,0),"")</f>
        <v/>
      </c>
      <c r="N207" s="849" t="str">
        <f>IFERROR(VLOOKUP(B207,'02. MM-KLH'!$B$6:$T$823,13,0),"")</f>
        <v/>
      </c>
      <c r="O207" s="849" t="str">
        <f>IFERROR(VLOOKUP(B207,'02. MM-KLH'!$B$6:$T$823,14,0),"")</f>
        <v/>
      </c>
      <c r="P207" s="849" t="str">
        <f>IFERROR(VLOOKUP(B207,'02. MM-KLH'!$B$6:$T$823,15,0),"")</f>
        <v/>
      </c>
      <c r="Q207" s="849" t="str">
        <f>IFERROR(VLOOKUP(B207,'02. MM-KLH'!$B$6:$T$823,16,0),"")</f>
        <v/>
      </c>
      <c r="R207" s="849" t="str">
        <f>IFERROR(VLOOKUP(B207,'02. MM-KLH'!$B$6:$T$823,17,0),"")</f>
        <v/>
      </c>
      <c r="S207" s="849" t="str">
        <f>IFERROR(VLOOKUP(B207,'02. MM-KLH'!$B$6:$T$823,18,0),"")</f>
        <v/>
      </c>
      <c r="T207" s="849" t="str">
        <f>IFERROR(VLOOKUP(B207,'02. MM-KLH'!$B$6:$T$823,19,0),"")</f>
        <v/>
      </c>
      <c r="U207" s="849" t="str">
        <f>IFERROR(VLOOKUP(C207,'02. MM-KLH'!$B$6:$T$823,19,0),"")</f>
        <v/>
      </c>
    </row>
    <row r="208" ht="13.5" customHeight="1" spans="1:21">
      <c r="A208" s="103">
        <f>1+A2074</f>
        <v>1</v>
      </c>
      <c r="B208" s="104" t="s">
        <v>1835</v>
      </c>
      <c r="C208" s="102" t="str">
        <f>IFERROR(VLOOKUP(B208,'02. MM-KLH'!$B$6:$T$823,2,0),"")</f>
        <v>MK05NN-KLH</v>
      </c>
      <c r="D208" s="103" t="str">
        <f>IFERROR(VLOOKUP(B208,'02. MM-KLH'!$B$6:$T$823,3,0),"")</f>
        <v>A22-MKE-009</v>
      </c>
      <c r="E208" s="102">
        <f>IFERROR(VLOOKUP(B208,'02. MM-KLH'!$B$6:$T$823,4,0),"")</f>
        <v>0</v>
      </c>
      <c r="F208" s="104"/>
      <c r="G208" s="102" t="str">
        <f>IFERROR(VLOOKUP(B208,'02. MM-KLH'!$B$6:$T$823,6,0),"")</f>
        <v>Máy cày JD 6603</v>
      </c>
      <c r="H208" s="101" t="s">
        <v>3340</v>
      </c>
      <c r="I208" s="101" t="str">
        <f>IFERROR(VLOOKUP(B208,'02. MM-KLH'!$B$6:$T$823,8,0),"")</f>
        <v>XN Bò AD</v>
      </c>
      <c r="J208" s="105">
        <f>IFERROR(VLOOKUP(B208,'02. MM-KLH'!$B$6:$T$823,9,0),"")</f>
        <v>0</v>
      </c>
      <c r="K208" s="101" t="str">
        <f>IFERROR(VLOOKUP(B208,'02. MM-KLH'!$B$6:$T$823,10,0),"")</f>
        <v>Bình thường</v>
      </c>
      <c r="L208" s="107">
        <f>IFERROR(VLOOKUP(B208,'02. MM-KLH'!$B$6:$T$823,11,0),"")</f>
        <v>0</v>
      </c>
      <c r="M208" s="864">
        <f>IFERROR(VLOOKUP(B208,'02. MM-KLH'!$B$6:$T$823,12,0),"")</f>
        <v>0</v>
      </c>
      <c r="N208" s="110" t="str">
        <f>IFERROR(VLOOKUP(B208,'02. MM-KLH'!$B$6:$T$823,13,0),"")</f>
        <v>JOHN DEERE</v>
      </c>
      <c r="O208" s="110" t="str">
        <f>IFERROR(VLOOKUP(B208,'02. MM-KLH'!$B$6:$T$823,14,0),"")</f>
        <v>MỸ</v>
      </c>
      <c r="P208" s="101">
        <f>IFERROR(VLOOKUP(B208,'02. MM-KLH'!$B$6:$T$823,15,0),"")</f>
        <v>2008</v>
      </c>
      <c r="Q208" s="101">
        <f>IFERROR(VLOOKUP(B208,'02. MM-KLH'!$B$6:$T$823,16,0),"")</f>
        <v>6603</v>
      </c>
      <c r="R208" s="101" t="str">
        <f>IFERROR(VLOOKUP(B208,'02. MM-KLH'!$B$6:$T$823,17,0),"")</f>
        <v>120HP</v>
      </c>
      <c r="S208" s="110">
        <f>IFERROR(VLOOKUP(B208,'02. MM-KLH'!$B$6:$T$823,18,0),"")</f>
        <v>5956</v>
      </c>
      <c r="T208" s="111" t="str">
        <f>IFERROR(VLOOKUP(B208,'02. MM-KLH'!$B$6:$T$823,19,0),"")</f>
        <v>CCN</v>
      </c>
      <c r="U208" s="863" t="s">
        <v>451</v>
      </c>
    </row>
    <row r="209" ht="13.5" customHeight="1" spans="1:21">
      <c r="A209" s="103">
        <f t="shared" ref="A209:A226" si="8">1+A208</f>
        <v>2</v>
      </c>
      <c r="B209" s="104" t="s">
        <v>1837</v>
      </c>
      <c r="C209" s="102" t="str">
        <f>IFERROR(VLOOKUP(B209,'02. MM-KLH'!$B$6:$T$823,2,0),"")</f>
        <v>MK09NN-KLH</v>
      </c>
      <c r="D209" s="103" t="str">
        <f>IFERROR(VLOOKUP(B209,'02. MM-KLH'!$B$6:$T$823,3,0),"")</f>
        <v>A22-MKE-010</v>
      </c>
      <c r="E209" s="102">
        <f>IFERROR(VLOOKUP(B209,'02. MM-KLH'!$B$6:$T$823,4,0),"")</f>
        <v>0</v>
      </c>
      <c r="F209" s="104"/>
      <c r="G209" s="102" t="str">
        <f>IFERROR(VLOOKUP(B209,'02. MM-KLH'!$B$6:$T$823,6,0),"")</f>
        <v>Máy cày JD 6603</v>
      </c>
      <c r="H209" s="101" t="s">
        <v>3340</v>
      </c>
      <c r="I209" s="101" t="str">
        <f>IFERROR(VLOOKUP(B209,'02. MM-KLH'!$B$6:$T$823,8,0),"")</f>
        <v>XN Bò AD</v>
      </c>
      <c r="J209" s="105">
        <f>IFERROR(VLOOKUP(B209,'02. MM-KLH'!$B$6:$T$823,9,0),"")</f>
        <v>0</v>
      </c>
      <c r="K209" s="101" t="str">
        <f>IFERROR(VLOOKUP(B209,'02. MM-KLH'!$B$6:$T$823,10,0),"")</f>
        <v>Bình thường</v>
      </c>
      <c r="L209" s="107">
        <f>IFERROR(VLOOKUP(B209,'02. MM-KLH'!$B$6:$T$823,11,0),"")</f>
        <v>0</v>
      </c>
      <c r="M209" s="864">
        <f>IFERROR(VLOOKUP(B209,'02. MM-KLH'!$B$6:$T$823,12,0),"")</f>
        <v>0</v>
      </c>
      <c r="N209" s="110" t="str">
        <f>IFERROR(VLOOKUP(B209,'02. MM-KLH'!$B$6:$T$823,13,0),"")</f>
        <v>JOHN DEERE</v>
      </c>
      <c r="O209" s="110" t="str">
        <f>IFERROR(VLOOKUP(B209,'02. MM-KLH'!$B$6:$T$823,14,0),"")</f>
        <v>MỸ</v>
      </c>
      <c r="P209" s="101">
        <f>IFERROR(VLOOKUP(B209,'02. MM-KLH'!$B$6:$T$823,15,0),"")</f>
        <v>2008</v>
      </c>
      <c r="Q209" s="101">
        <f>IFERROR(VLOOKUP(B209,'02. MM-KLH'!$B$6:$T$823,16,0),"")</f>
        <v>6603</v>
      </c>
      <c r="R209" s="101" t="str">
        <f>IFERROR(VLOOKUP(B209,'02. MM-KLH'!$B$6:$T$823,17,0),"")</f>
        <v>120HP</v>
      </c>
      <c r="S209" s="110">
        <f>IFERROR(VLOOKUP(B209,'02. MM-KLH'!$B$6:$T$823,18,0),"")</f>
        <v>32551</v>
      </c>
      <c r="T209" s="111" t="str">
        <f>IFERROR(VLOOKUP(B209,'02. MM-KLH'!$B$6:$T$823,19,0),"")</f>
        <v>CCN</v>
      </c>
      <c r="U209" s="863" t="s">
        <v>451</v>
      </c>
    </row>
    <row r="210" ht="13.5" customHeight="1" spans="1:21">
      <c r="A210" s="103">
        <f t="shared" si="8"/>
        <v>3</v>
      </c>
      <c r="B210" s="104" t="s">
        <v>1849</v>
      </c>
      <c r="C210" s="102" t="str">
        <f>IFERROR(VLOOKUP(B210,'02. MM-KLH'!$B$6:$T$823,2,0),"")</f>
        <v>Mới</v>
      </c>
      <c r="D210" s="103" t="str">
        <f>IFERROR(VLOOKUP(B210,'02. MM-KLH'!$B$6:$T$823,3,0),"")</f>
        <v>ATT-A22-0321</v>
      </c>
      <c r="E210" s="102">
        <f>IFERROR(VLOOKUP(B210,'02. MM-KLH'!$B$6:$T$823,4,0),"")</f>
        <v>0</v>
      </c>
      <c r="F210" s="104" t="s">
        <v>3361</v>
      </c>
      <c r="G210" s="102" t="str">
        <f>IFERROR(VLOOKUP(B210,'02. MM-KLH'!$B$6:$T$823,6,0),"")</f>
        <v>Máy cày JD 5090E</v>
      </c>
      <c r="H210" s="101" t="s">
        <v>3338</v>
      </c>
      <c r="I210" s="101" t="str">
        <f>IFERROR(VLOOKUP(B210,'02. MM-KLH'!$B$6:$T$823,8,0),"")</f>
        <v>XN Bò AD</v>
      </c>
      <c r="J210" s="105">
        <f>IFERROR(VLOOKUP(B210,'02. MM-KLH'!$B$6:$T$823,9,0),"")</f>
        <v>45292</v>
      </c>
      <c r="K210" s="101" t="str">
        <f>IFERROR(VLOOKUP(B210,'02. MM-KLH'!$B$6:$T$823,10,0),"")</f>
        <v>Bình thường</v>
      </c>
      <c r="L210" s="107">
        <f>IFERROR(VLOOKUP(B210,'02. MM-KLH'!$B$6:$T$823,11,0),"")</f>
        <v>0.97</v>
      </c>
      <c r="M210" s="864">
        <f>IFERROR(VLOOKUP(B210,'02. MM-KLH'!$B$6:$T$823,12,0),"")</f>
        <v>0</v>
      </c>
      <c r="N210" s="110" t="str">
        <f>IFERROR(VLOOKUP(B210,'02. MM-KLH'!$B$6:$T$823,13,0),"")</f>
        <v>JOHN DEERE</v>
      </c>
      <c r="O210" s="110" t="str">
        <f>IFERROR(VLOOKUP(B210,'02. MM-KLH'!$B$6:$T$823,14,0),"")</f>
        <v>MỸ</v>
      </c>
      <c r="P210" s="101">
        <f>IFERROR(VLOOKUP(B210,'02. MM-KLH'!$B$6:$T$823,15,0),"")</f>
        <v>2022</v>
      </c>
      <c r="Q210" s="101">
        <f>IFERROR(VLOOKUP(B210,'02. MM-KLH'!$B$6:$T$823,16,0),"")</f>
        <v>5090</v>
      </c>
      <c r="R210" s="101" t="str">
        <f>IFERROR(VLOOKUP(B210,'02. MM-KLH'!$B$6:$T$823,17,0),"")</f>
        <v>90HP</v>
      </c>
      <c r="S210" s="110">
        <f>IFERROR(VLOOKUP(B210,'02. MM-KLH'!$B$6:$T$823,18,0),"")</f>
        <v>4073059</v>
      </c>
      <c r="T210" s="111">
        <f>IFERROR(VLOOKUP(B210,'02. MM-KLH'!$B$6:$T$823,19,0),"")</f>
        <v>26911</v>
      </c>
      <c r="U210" s="863" t="s">
        <v>3343</v>
      </c>
    </row>
    <row r="211" ht="13.5" customHeight="1" spans="1:21">
      <c r="A211" s="103">
        <f t="shared" si="8"/>
        <v>4</v>
      </c>
      <c r="B211" s="104" t="s">
        <v>1851</v>
      </c>
      <c r="C211" s="102" t="str">
        <f>IFERROR(VLOOKUP(B211,'02. MM-KLH'!$B$6:$T$823,2,0),"")</f>
        <v>Mới</v>
      </c>
      <c r="D211" s="103" t="str">
        <f>IFERROR(VLOOKUP(B211,'02. MM-KLH'!$B$6:$T$823,3,0),"")</f>
        <v>ATT-A22-0322</v>
      </c>
      <c r="E211" s="102">
        <f>IFERROR(VLOOKUP(B211,'02. MM-KLH'!$B$6:$T$823,4,0),"")</f>
        <v>0</v>
      </c>
      <c r="F211" s="104" t="s">
        <v>3362</v>
      </c>
      <c r="G211" s="102" t="str">
        <f>IFERROR(VLOOKUP(B211,'02. MM-KLH'!$B$6:$T$823,6,0),"")</f>
        <v>Máy cày JD 5090E</v>
      </c>
      <c r="H211" s="101" t="s">
        <v>3338</v>
      </c>
      <c r="I211" s="101" t="str">
        <f>IFERROR(VLOOKUP(B211,'02. MM-KLH'!$B$6:$T$823,8,0),"")</f>
        <v>XN Bò AD</v>
      </c>
      <c r="J211" s="105">
        <f>IFERROR(VLOOKUP(B211,'02. MM-KLH'!$B$6:$T$823,9,0),"")</f>
        <v>45292</v>
      </c>
      <c r="K211" s="101" t="str">
        <f>IFERROR(VLOOKUP(B211,'02. MM-KLH'!$B$6:$T$823,10,0),"")</f>
        <v>Bình thường</v>
      </c>
      <c r="L211" s="107">
        <f>IFERROR(VLOOKUP(B211,'02. MM-KLH'!$B$6:$T$823,11,0),"")</f>
        <v>0.97</v>
      </c>
      <c r="M211" s="864">
        <f>IFERROR(VLOOKUP(B211,'02. MM-KLH'!$B$6:$T$823,12,0),"")</f>
        <v>0</v>
      </c>
      <c r="N211" s="110" t="str">
        <f>IFERROR(VLOOKUP(B211,'02. MM-KLH'!$B$6:$T$823,13,0),"")</f>
        <v>JOHN DEERE</v>
      </c>
      <c r="O211" s="110" t="str">
        <f>IFERROR(VLOOKUP(B211,'02. MM-KLH'!$B$6:$T$823,14,0),"")</f>
        <v>MỸ</v>
      </c>
      <c r="P211" s="101">
        <f>IFERROR(VLOOKUP(B211,'02. MM-KLH'!$B$6:$T$823,15,0),"")</f>
        <v>2022</v>
      </c>
      <c r="Q211" s="101">
        <f>IFERROR(VLOOKUP(B211,'02. MM-KLH'!$B$6:$T$823,16,0),"")</f>
        <v>5090</v>
      </c>
      <c r="R211" s="101" t="str">
        <f>IFERROR(VLOOKUP(B211,'02. MM-KLH'!$B$6:$T$823,17,0),"")</f>
        <v>90HP</v>
      </c>
      <c r="S211" s="110">
        <f>IFERROR(VLOOKUP(B211,'02. MM-KLH'!$B$6:$T$823,18,0),"")</f>
        <v>4073056</v>
      </c>
      <c r="T211" s="111">
        <f>IFERROR(VLOOKUP(B211,'02. MM-KLH'!$B$6:$T$823,19,0),"")</f>
        <v>27085</v>
      </c>
      <c r="U211" s="863" t="s">
        <v>3343</v>
      </c>
    </row>
    <row r="212" ht="13.5" customHeight="1" spans="1:21">
      <c r="A212" s="103">
        <f t="shared" si="8"/>
        <v>5</v>
      </c>
      <c r="B212" s="104" t="s">
        <v>1855</v>
      </c>
      <c r="C212" s="102" t="str">
        <f>IFERROR(VLOOKUP(B212,'02. MM-KLH'!$B$6:$T$823,2,0),"")</f>
        <v>MỚI</v>
      </c>
      <c r="D212" s="103" t="str">
        <f>IFERROR(VLOOKUP(B212,'02. MM-KLH'!$B$6:$T$823,3,0),"")</f>
        <v>ATT-A22-0329</v>
      </c>
      <c r="E212" s="102">
        <f>IFERROR(VLOOKUP(B212,'02. MM-KLH'!$B$6:$T$823,4,0),"")</f>
        <v>0</v>
      </c>
      <c r="F212" s="104" t="s">
        <v>3363</v>
      </c>
      <c r="G212" s="102" t="str">
        <f>IFERROR(VLOOKUP(B212,'02. MM-KLH'!$B$6:$T$823,6,0),"")</f>
        <v>Máy cày JD 6120B</v>
      </c>
      <c r="H212" s="101" t="s">
        <v>3340</v>
      </c>
      <c r="I212" s="101" t="str">
        <f>IFERROR(VLOOKUP(B212,'02. MM-KLH'!$B$6:$T$823,8,0),"")</f>
        <v>XN Bò AD</v>
      </c>
      <c r="J212" s="105" t="str">
        <f>IFERROR(VLOOKUP(B212,'02. MM-KLH'!$B$6:$T$823,9,0),"")</f>
        <v>15/03/2024</v>
      </c>
      <c r="K212" s="101" t="str">
        <f>IFERROR(VLOOKUP(B212,'02. MM-KLH'!$B$6:$T$823,10,0),"")</f>
        <v>Bình thường</v>
      </c>
      <c r="L212" s="107">
        <f>IFERROR(VLOOKUP(B212,'02. MM-KLH'!$B$6:$T$823,11,0),"")</f>
        <v>0</v>
      </c>
      <c r="M212" s="864">
        <f>IFERROR(VLOOKUP(B212,'02. MM-KLH'!$B$6:$T$823,12,0),"")</f>
        <v>0</v>
      </c>
      <c r="N212" s="110" t="str">
        <f>IFERROR(VLOOKUP(B212,'02. MM-KLH'!$B$6:$T$823,13,0),"")</f>
        <v>JOHN DEERE</v>
      </c>
      <c r="O212" s="110" t="str">
        <f>IFERROR(VLOOKUP(B212,'02. MM-KLH'!$B$6:$T$823,14,0),"")</f>
        <v>MỸ</v>
      </c>
      <c r="P212" s="101">
        <f>IFERROR(VLOOKUP(B212,'02. MM-KLH'!$B$6:$T$823,15,0),"")</f>
        <v>2022</v>
      </c>
      <c r="Q212" s="101" t="str">
        <f>IFERROR(VLOOKUP(B212,'02. MM-KLH'!$B$6:$T$823,16,0),"")</f>
        <v>6120B</v>
      </c>
      <c r="R212" s="101" t="str">
        <f>IFERROR(VLOOKUP(B212,'02. MM-KLH'!$B$6:$T$823,17,0),"")</f>
        <v>120HP</v>
      </c>
      <c r="S212" s="110" t="str">
        <f>IFERROR(VLOOKUP(B212,'02. MM-KLH'!$B$6:$T$823,18,0),"")</f>
        <v>1YR6120BLRD210217</v>
      </c>
      <c r="T212" s="111" t="str">
        <f>IFERROR(VLOOKUP(B212,'02. MM-KLH'!$B$6:$T$823,19,0),"")</f>
        <v>PE4045N035792</v>
      </c>
      <c r="U212" s="863" t="s">
        <v>3343</v>
      </c>
    </row>
    <row r="213" ht="13.5" customHeight="1" spans="1:21">
      <c r="A213" s="103">
        <f t="shared" si="8"/>
        <v>6</v>
      </c>
      <c r="B213" s="124" t="s">
        <v>1869</v>
      </c>
      <c r="C213" s="102" t="str">
        <f>IFERROR(VLOOKUP(B213,'02. MM-KLH'!$B$6:$T$823,2,0),"")</f>
        <v>MỚI</v>
      </c>
      <c r="D213" s="103" t="str">
        <f>IFERROR(VLOOKUP(B213,'02. MM-KLH'!$B$6:$T$823,3,0),"")</f>
        <v>A22-MKE-051</v>
      </c>
      <c r="E213" s="102">
        <f>IFERROR(VLOOKUP(B213,'02. MM-KLH'!$B$6:$T$823,4,0),"")</f>
        <v>0</v>
      </c>
      <c r="F213" s="124"/>
      <c r="G213" s="102" t="str">
        <f>IFERROR(VLOOKUP(B213,'02. MM-KLH'!$B$6:$T$823,6,0),"")</f>
        <v>Máy cày JD 6120B</v>
      </c>
      <c r="H213" s="101" t="s">
        <v>3340</v>
      </c>
      <c r="I213" s="101" t="str">
        <f>IFERROR(VLOOKUP(B213,'02. MM-KLH'!$B$6:$T$823,8,0),"")</f>
        <v>XN Bò AD</v>
      </c>
      <c r="J213" s="105" t="str">
        <f>IFERROR(VLOOKUP(B213,'02. MM-KLH'!$B$6:$T$823,9,0),"")</f>
        <v>30/07/2024</v>
      </c>
      <c r="K213" s="101" t="str">
        <f>IFERROR(VLOOKUP(B213,'02. MM-KLH'!$B$6:$T$823,10,0),"")</f>
        <v>Bình thường</v>
      </c>
      <c r="L213" s="107">
        <f>IFERROR(VLOOKUP(B213,'02. MM-KLH'!$B$6:$T$823,11,0),"")</f>
        <v>0</v>
      </c>
      <c r="M213" s="864">
        <f>IFERROR(VLOOKUP(B213,'02. MM-KLH'!$B$6:$T$823,12,0),"")</f>
        <v>0</v>
      </c>
      <c r="N213" s="110" t="str">
        <f>IFERROR(VLOOKUP(B213,'02. MM-KLH'!$B$6:$T$823,13,0),"")</f>
        <v>JOHN DEERE</v>
      </c>
      <c r="O213" s="110" t="str">
        <f>IFERROR(VLOOKUP(B213,'02. MM-KLH'!$B$6:$T$823,14,0),"")</f>
        <v>MỸ</v>
      </c>
      <c r="P213" s="101">
        <f>IFERROR(VLOOKUP(B213,'02. MM-KLH'!$B$6:$T$823,15,0),"")</f>
        <v>2024</v>
      </c>
      <c r="Q213" s="101" t="str">
        <f>IFERROR(VLOOKUP(B213,'02. MM-KLH'!$B$6:$T$823,16,0),"")</f>
        <v>6120B</v>
      </c>
      <c r="R213" s="101" t="str">
        <f>IFERROR(VLOOKUP(B213,'02. MM-KLH'!$B$6:$T$823,17,0),"")</f>
        <v>120HP</v>
      </c>
      <c r="S213" s="110" t="str">
        <f>IFERROR(VLOOKUP(B213,'02. MM-KLH'!$B$6:$T$823,18,0),"")</f>
        <v>1YR6120BJRD210227</v>
      </c>
      <c r="T213" s="111" t="str">
        <f>IFERROR(VLOOKUP(B213,'02. MM-KLH'!$B$6:$T$823,19,0),"")</f>
        <v>PE4045N035812</v>
      </c>
      <c r="U213" s="863" t="s">
        <v>3343</v>
      </c>
    </row>
    <row r="214" ht="13.5" customHeight="1" spans="1:21">
      <c r="A214" s="103">
        <f t="shared" si="8"/>
        <v>7</v>
      </c>
      <c r="B214" s="124" t="s">
        <v>1872</v>
      </c>
      <c r="C214" s="102" t="str">
        <f>IFERROR(VLOOKUP(B214,'02. MM-KLH'!$B$6:$T$823,2,0),"")</f>
        <v>MỚ́I</v>
      </c>
      <c r="D214" s="103" t="str">
        <f>IFERROR(VLOOKUP(B214,'02. MM-KLH'!$B$6:$T$823,3,0),"")</f>
        <v>A22-MKE-052</v>
      </c>
      <c r="E214" s="102">
        <f>IFERROR(VLOOKUP(B214,'02. MM-KLH'!$B$6:$T$823,4,0),"")</f>
        <v>0</v>
      </c>
      <c r="F214" s="124"/>
      <c r="G214" s="102" t="str">
        <f>IFERROR(VLOOKUP(B214,'02. MM-KLH'!$B$6:$T$823,6,0),"")</f>
        <v>Máy cày JD 6120B</v>
      </c>
      <c r="H214" s="101" t="s">
        <v>3340</v>
      </c>
      <c r="I214" s="101" t="str">
        <f>IFERROR(VLOOKUP(B214,'02. MM-KLH'!$B$6:$T$823,8,0),"")</f>
        <v>XN Bò AD</v>
      </c>
      <c r="J214" s="105" t="str">
        <f>IFERROR(VLOOKUP(B214,'02. MM-KLH'!$B$6:$T$823,9,0),"")</f>
        <v>30/07/2024</v>
      </c>
      <c r="K214" s="101" t="str">
        <f>IFERROR(VLOOKUP(B214,'02. MM-KLH'!$B$6:$T$823,10,0),"")</f>
        <v>Bình thường</v>
      </c>
      <c r="L214" s="107">
        <f>IFERROR(VLOOKUP(B214,'02. MM-KLH'!$B$6:$T$823,11,0),"")</f>
        <v>0</v>
      </c>
      <c r="M214" s="864">
        <f>IFERROR(VLOOKUP(B214,'02. MM-KLH'!$B$6:$T$823,12,0),"")</f>
        <v>0</v>
      </c>
      <c r="N214" s="110" t="str">
        <f>IFERROR(VLOOKUP(B214,'02. MM-KLH'!$B$6:$T$823,13,0),"")</f>
        <v>JOHN DEERE</v>
      </c>
      <c r="O214" s="110" t="str">
        <f>IFERROR(VLOOKUP(B214,'02. MM-KLH'!$B$6:$T$823,14,0),"")</f>
        <v>MỸ</v>
      </c>
      <c r="P214" s="101">
        <f>IFERROR(VLOOKUP(B214,'02. MM-KLH'!$B$6:$T$823,15,0),"")</f>
        <v>2024</v>
      </c>
      <c r="Q214" s="101" t="str">
        <f>IFERROR(VLOOKUP(B214,'02. MM-KLH'!$B$6:$T$823,16,0),"")</f>
        <v>6120B</v>
      </c>
      <c r="R214" s="101" t="str">
        <f>IFERROR(VLOOKUP(B214,'02. MM-KLH'!$B$6:$T$823,17,0),"")</f>
        <v>120HP</v>
      </c>
      <c r="S214" s="110" t="str">
        <f>IFERROR(VLOOKUP(B214,'02. MM-KLH'!$B$6:$T$823,18,0),"")</f>
        <v>1YR6120BKRD210226</v>
      </c>
      <c r="T214" s="111" t="str">
        <f>IFERROR(VLOOKUP(B214,'02. MM-KLH'!$B$6:$T$823,19,0),"")</f>
        <v>PE4045N035868</v>
      </c>
      <c r="U214" s="863" t="s">
        <v>3343</v>
      </c>
    </row>
    <row r="215" ht="13.5" customHeight="1" spans="1:21">
      <c r="A215" s="103">
        <f t="shared" si="8"/>
        <v>8</v>
      </c>
      <c r="B215" s="104" t="s">
        <v>1876</v>
      </c>
      <c r="C215" s="102" t="str">
        <f>IFERROR(VLOOKUP(B215,'02. MM-KLH'!$B$6:$T$823,2,0),"")</f>
        <v>MỚI (ĐQSD)</v>
      </c>
      <c r="D215" s="103" t="str">
        <f>IFERROR(VLOOKUP(B215,'02. MM-KLH'!$B$6:$T$823,3,0),"")</f>
        <v>A22-MKE-053</v>
      </c>
      <c r="E215" s="102">
        <f>IFERROR(VLOOKUP(B215,'02. MM-KLH'!$B$6:$T$823,4,0),"")</f>
        <v>0</v>
      </c>
      <c r="F215" s="104"/>
      <c r="G215" s="102" t="str">
        <f>IFERROR(VLOOKUP(B215,'02. MM-KLH'!$B$6:$T$823,6,0),"")</f>
        <v>Máy cày JD 5520</v>
      </c>
      <c r="H215" s="101" t="s">
        <v>3338</v>
      </c>
      <c r="I215" s="101" t="str">
        <f>IFERROR(VLOOKUP(B215,'02. MM-KLH'!$B$6:$T$823,8,0),"")</f>
        <v>XN Bò AD</v>
      </c>
      <c r="J215" s="105" t="str">
        <f>IFERROR(VLOOKUP(B215,'02. MM-KLH'!$B$6:$T$823,9,0),"")</f>
        <v>30/08/2024</v>
      </c>
      <c r="K215" s="101" t="str">
        <f>IFERROR(VLOOKUP(B215,'02. MM-KLH'!$B$6:$T$823,10,0),"")</f>
        <v>Bình thường</v>
      </c>
      <c r="L215" s="107">
        <f>IFERROR(VLOOKUP(B215,'02. MM-KLH'!$B$6:$T$823,11,0),"")</f>
        <v>0</v>
      </c>
      <c r="M215" s="864">
        <f>IFERROR(VLOOKUP(B215,'02. MM-KLH'!$B$6:$T$823,12,0),"")</f>
        <v>0</v>
      </c>
      <c r="N215" s="110" t="str">
        <f>IFERROR(VLOOKUP(B215,'02. MM-KLH'!$B$6:$T$823,13,0),"")</f>
        <v>JOHN DEERE</v>
      </c>
      <c r="O215" s="110" t="str">
        <f>IFERROR(VLOOKUP(B215,'02. MM-KLH'!$B$6:$T$823,14,0),"")</f>
        <v>MỸ</v>
      </c>
      <c r="P215" s="101">
        <f>IFERROR(VLOOKUP(B215,'02. MM-KLH'!$B$6:$T$823,15,0),"")</f>
        <v>2004</v>
      </c>
      <c r="Q215" s="101">
        <f>IFERROR(VLOOKUP(B215,'02. MM-KLH'!$B$6:$T$823,16,0),"")</f>
        <v>5520</v>
      </c>
      <c r="R215" s="101" t="str">
        <f>IFERROR(VLOOKUP(B215,'02. MM-KLH'!$B$6:$T$823,17,0),"")</f>
        <v>89HP</v>
      </c>
      <c r="S215" s="110" t="str">
        <f>IFERROR(VLOOKUP(B215,'02. MM-KLH'!$B$6:$T$823,18,0),"")</f>
        <v>54110883Y</v>
      </c>
      <c r="T215" s="111" t="str">
        <f>IFERROR(VLOOKUP(B215,'02. MM-KLH'!$B$6:$T$823,19,0),"")</f>
        <v>PE4045D043015</v>
      </c>
      <c r="U215" s="863" t="s">
        <v>3274</v>
      </c>
    </row>
    <row r="216" ht="13.5" customHeight="1" spans="1:21">
      <c r="A216" s="103">
        <f t="shared" si="8"/>
        <v>9</v>
      </c>
      <c r="B216" s="104" t="s">
        <v>1881</v>
      </c>
      <c r="C216" s="102" t="str">
        <f>IFERROR(VLOOKUP(B216,'02. MM-KLH'!$B$6:$T$823,2,0),"")</f>
        <v>MỚI (ĐQSD)</v>
      </c>
      <c r="D216" s="103" t="str">
        <f>IFERROR(VLOOKUP(B216,'02. MM-KLH'!$B$6:$T$823,3,0),"")</f>
        <v>A22-MKE-054</v>
      </c>
      <c r="E216" s="102">
        <f>IFERROR(VLOOKUP(B216,'02. MM-KLH'!$B$6:$T$823,4,0),"")</f>
        <v>0</v>
      </c>
      <c r="F216" s="104"/>
      <c r="G216" s="102" t="str">
        <f>IFERROR(VLOOKUP(B216,'02. MM-KLH'!$B$6:$T$823,6,0),"")</f>
        <v>Máy cày JD 5510</v>
      </c>
      <c r="H216" s="101" t="s">
        <v>3338</v>
      </c>
      <c r="I216" s="101" t="str">
        <f>IFERROR(VLOOKUP(B216,'02. MM-KLH'!$B$6:$T$823,8,0),"")</f>
        <v>XN Bò AD</v>
      </c>
      <c r="J216" s="105" t="str">
        <f>IFERROR(VLOOKUP(B216,'02. MM-KLH'!$B$6:$T$823,9,0),"")</f>
        <v>30/08/2024</v>
      </c>
      <c r="K216" s="101" t="str">
        <f>IFERROR(VLOOKUP(B216,'02. MM-KLH'!$B$6:$T$823,10,0),"")</f>
        <v>Bình thường</v>
      </c>
      <c r="L216" s="107">
        <f>IFERROR(VLOOKUP(B216,'02. MM-KLH'!$B$6:$T$823,11,0),"")</f>
        <v>0</v>
      </c>
      <c r="M216" s="864">
        <f>IFERROR(VLOOKUP(B216,'02. MM-KLH'!$B$6:$T$823,12,0),"")</f>
        <v>0</v>
      </c>
      <c r="N216" s="110" t="str">
        <f>IFERROR(VLOOKUP(B216,'02. MM-KLH'!$B$6:$T$823,13,0),"")</f>
        <v>JOHN DEERE</v>
      </c>
      <c r="O216" s="110" t="str">
        <f>IFERROR(VLOOKUP(B216,'02. MM-KLH'!$B$6:$T$823,14,0),"")</f>
        <v>MỸ</v>
      </c>
      <c r="P216" s="101">
        <f>IFERROR(VLOOKUP(B216,'02. MM-KLH'!$B$6:$T$823,15,0),"")</f>
        <v>2004</v>
      </c>
      <c r="Q216" s="101">
        <f>IFERROR(VLOOKUP(B216,'02. MM-KLH'!$B$6:$T$823,16,0),"")</f>
        <v>5510</v>
      </c>
      <c r="R216" s="101" t="str">
        <f>IFERROR(VLOOKUP(B216,'02. MM-KLH'!$B$6:$T$823,17,0),"")</f>
        <v>89HP</v>
      </c>
      <c r="S216" s="110" t="str">
        <f>IFERROR(VLOOKUP(B216,'02. MM-KLH'!$B$6:$T$823,18,0),"")</f>
        <v>54110015Y</v>
      </c>
      <c r="T216" s="111" t="str">
        <f>IFERROR(VLOOKUP(B216,'02. MM-KLH'!$B$6:$T$823,19,0),"")</f>
        <v>PE4045D043101</v>
      </c>
      <c r="U216" s="863" t="s">
        <v>3274</v>
      </c>
    </row>
    <row r="217" ht="13.5" customHeight="1" spans="1:21">
      <c r="A217" s="103">
        <f t="shared" si="8"/>
        <v>10</v>
      </c>
      <c r="B217" s="104" t="s">
        <v>1884</v>
      </c>
      <c r="C217" s="102" t="str">
        <f>IFERROR(VLOOKUP(B217,'02. MM-KLH'!$B$6:$T$823,2,0),"")</f>
        <v>MỚI (ĐQSD)</v>
      </c>
      <c r="D217" s="103" t="str">
        <f>IFERROR(VLOOKUP(B217,'02. MM-KLH'!$B$6:$T$823,3,0),"")</f>
        <v>A22-MKE-055</v>
      </c>
      <c r="E217" s="102">
        <f>IFERROR(VLOOKUP(B217,'02. MM-KLH'!$B$6:$T$823,4,0),"")</f>
        <v>0</v>
      </c>
      <c r="F217" s="104"/>
      <c r="G217" s="102" t="str">
        <f>IFERROR(VLOOKUP(B217,'02. MM-KLH'!$B$6:$T$823,6,0),"")</f>
        <v>Máy cày JD 6200</v>
      </c>
      <c r="H217" s="101" t="s">
        <v>3338</v>
      </c>
      <c r="I217" s="101" t="str">
        <f>IFERROR(VLOOKUP(B217,'02. MM-KLH'!$B$6:$T$823,8,0),"")</f>
        <v>XN Bò AD</v>
      </c>
      <c r="J217" s="105">
        <f>IFERROR(VLOOKUP(B217,'02. MM-KLH'!$B$6:$T$823,9,0),"")</f>
        <v>45360</v>
      </c>
      <c r="K217" s="101" t="str">
        <f>IFERROR(VLOOKUP(B217,'02. MM-KLH'!$B$6:$T$823,10,0),"")</f>
        <v>Bình thường</v>
      </c>
      <c r="L217" s="107">
        <f>IFERROR(VLOOKUP(B217,'02. MM-KLH'!$B$6:$T$823,11,0),"")</f>
        <v>0</v>
      </c>
      <c r="M217" s="864">
        <f>IFERROR(VLOOKUP(B217,'02. MM-KLH'!$B$6:$T$823,12,0),"")</f>
        <v>0</v>
      </c>
      <c r="N217" s="110" t="str">
        <f>IFERROR(VLOOKUP(B217,'02. MM-KLH'!$B$6:$T$823,13,0),"")</f>
        <v>JOHN DEERE</v>
      </c>
      <c r="O217" s="110" t="str">
        <f>IFERROR(VLOOKUP(B217,'02. MM-KLH'!$B$6:$T$823,14,0),"")</f>
        <v>ĐỨC</v>
      </c>
      <c r="P217" s="101">
        <f>IFERROR(VLOOKUP(B217,'02. MM-KLH'!$B$6:$T$823,15,0),"")</f>
        <v>1998</v>
      </c>
      <c r="Q217" s="101">
        <f>IFERROR(VLOOKUP(B217,'02. MM-KLH'!$B$6:$T$823,16,0),"")</f>
        <v>6200</v>
      </c>
      <c r="R217" s="101" t="str">
        <f>IFERROR(VLOOKUP(B217,'02. MM-KLH'!$B$6:$T$823,17,0),"")</f>
        <v>90HP</v>
      </c>
      <c r="S217" s="110" t="str">
        <f>IFERROR(VLOOKUP(B217,'02. MM-KLH'!$B$6:$T$823,18,0),"")</f>
        <v>L06200X115877</v>
      </c>
      <c r="T217" s="111" t="str">
        <f>IFERROR(VLOOKUP(B217,'02. MM-KLH'!$B$6:$T$823,19,0),"")</f>
        <v>CD4039T142137</v>
      </c>
      <c r="U217" s="863" t="s">
        <v>3274</v>
      </c>
    </row>
    <row r="218" ht="13.5" customHeight="1" spans="1:21">
      <c r="A218" s="103">
        <f t="shared" si="8"/>
        <v>11</v>
      </c>
      <c r="B218" s="104" t="s">
        <v>1887</v>
      </c>
      <c r="C218" s="102" t="str">
        <f>IFERROR(VLOOKUP(B218,'02. MM-KLH'!$B$6:$T$823,2,0),"")</f>
        <v>MỚI (ĐQSD)</v>
      </c>
      <c r="D218" s="103" t="str">
        <f>IFERROR(VLOOKUP(B218,'02. MM-KLH'!$B$6:$T$823,3,0),"")</f>
        <v>A22-MKE-056</v>
      </c>
      <c r="E218" s="102">
        <f>IFERROR(VLOOKUP(B218,'02. MM-KLH'!$B$6:$T$823,4,0),"")</f>
        <v>0</v>
      </c>
      <c r="F218" s="104"/>
      <c r="G218" s="102" t="str">
        <f>IFERROR(VLOOKUP(B218,'02. MM-KLH'!$B$6:$T$823,6,0),"")</f>
        <v>Máy cày JD 5425</v>
      </c>
      <c r="H218" s="101" t="s">
        <v>3338</v>
      </c>
      <c r="I218" s="101" t="str">
        <f>IFERROR(VLOOKUP(B218,'02. MM-KLH'!$B$6:$T$823,8,0),"")</f>
        <v>XN Bò AD</v>
      </c>
      <c r="J218" s="105">
        <f>IFERROR(VLOOKUP(B218,'02. MM-KLH'!$B$6:$T$823,9,0),"")</f>
        <v>45360</v>
      </c>
      <c r="K218" s="101" t="str">
        <f>IFERROR(VLOOKUP(B218,'02. MM-KLH'!$B$6:$T$823,10,0),"")</f>
        <v>Bình thường</v>
      </c>
      <c r="L218" s="107">
        <f>IFERROR(VLOOKUP(B218,'02. MM-KLH'!$B$6:$T$823,11,0),"")</f>
        <v>0</v>
      </c>
      <c r="M218" s="864">
        <f>IFERROR(VLOOKUP(B218,'02. MM-KLH'!$B$6:$T$823,12,0),"")</f>
        <v>0</v>
      </c>
      <c r="N218" s="110" t="str">
        <f>IFERROR(VLOOKUP(B218,'02. MM-KLH'!$B$6:$T$823,13,0),"")</f>
        <v>JOHN DEERE</v>
      </c>
      <c r="O218" s="110" t="str">
        <f>IFERROR(VLOOKUP(B218,'02. MM-KLH'!$B$6:$T$823,14,0),"")</f>
        <v>MỸ</v>
      </c>
      <c r="P218" s="101">
        <f>IFERROR(VLOOKUP(B218,'02. MM-KLH'!$B$6:$T$823,15,0),"")</f>
        <v>2006</v>
      </c>
      <c r="Q218" s="101">
        <f>IFERROR(VLOOKUP(B218,'02. MM-KLH'!$B$6:$T$823,16,0),"")</f>
        <v>5425</v>
      </c>
      <c r="R218" s="101" t="str">
        <f>IFERROR(VLOOKUP(B218,'02. MM-KLH'!$B$6:$T$823,17,0),"")</f>
        <v>81HP</v>
      </c>
      <c r="S218" s="110" t="str">
        <f>IFERROR(VLOOKUP(B218,'02. MM-KLH'!$B$6:$T$823,18,0),"")</f>
        <v>542510101Y</v>
      </c>
      <c r="T218" s="111" t="str">
        <f>IFERROR(VLOOKUP(B218,'02. MM-KLH'!$B$6:$T$823,19,0),"")</f>
        <v>PE4045T722734</v>
      </c>
      <c r="U218" s="863" t="s">
        <v>3274</v>
      </c>
    </row>
    <row r="219" ht="13.5" customHeight="1" spans="1:21">
      <c r="A219" s="103">
        <f t="shared" si="8"/>
        <v>12</v>
      </c>
      <c r="B219" s="104" t="s">
        <v>1911</v>
      </c>
      <c r="C219" s="102">
        <f>IFERROR(VLOOKUP(B219,'02. MM-KLH'!$B$6:$T$823,2,0),"")</f>
        <v>0</v>
      </c>
      <c r="D219" s="103">
        <f>IFERROR(VLOOKUP(B219,'02. MM-KLH'!$B$6:$T$823,3,0),"")</f>
        <v>0</v>
      </c>
      <c r="E219" s="102">
        <f>IFERROR(VLOOKUP(B219,'02. MM-KLH'!$B$6:$T$823,4,0),"")</f>
        <v>0</v>
      </c>
      <c r="F219" s="104"/>
      <c r="G219" s="102" t="str">
        <f>IFERROR(VLOOKUP(B219,'02. MM-KLH'!$B$6:$T$823,6,0),"")</f>
        <v>Máy cày JD 6155J</v>
      </c>
      <c r="H219" s="101" t="s">
        <v>3338</v>
      </c>
      <c r="I219" s="101" t="str">
        <f>IFERROR(VLOOKUP(B219,'02. MM-KLH'!$B$6:$T$823,8,0),"")</f>
        <v>XN Bò AD</v>
      </c>
      <c r="J219" s="105">
        <f>IFERROR(VLOOKUP(B219,'02. MM-KLH'!$B$6:$T$823,9,0),"")</f>
        <v>45756</v>
      </c>
      <c r="K219" s="101" t="str">
        <f>IFERROR(VLOOKUP(B219,'02. MM-KLH'!$B$6:$T$823,10,0),"")</f>
        <v>Bình thường</v>
      </c>
      <c r="L219" s="107">
        <f>IFERROR(VLOOKUP(B219,'02. MM-KLH'!$B$6:$T$823,11,0),"")</f>
        <v>0</v>
      </c>
      <c r="M219" s="864" t="str">
        <f>IFERROR(VLOOKUP(B219,'02. MM-KLH'!$B$6:$T$823,12,0),"")</f>
        <v>- Điều chuyển từ KLH SN Ttr số: "002-08/2025-B.CN:</v>
      </c>
      <c r="N219" s="110" t="str">
        <f>IFERROR(VLOOKUP(B219,'02. MM-KLH'!$B$6:$T$823,13,0),"")</f>
        <v>JOHN DEERE</v>
      </c>
      <c r="O219" s="110" t="str">
        <f>IFERROR(VLOOKUP(B219,'02. MM-KLH'!$B$6:$T$823,14,0),"")</f>
        <v>MỸ</v>
      </c>
      <c r="P219" s="101">
        <f>IFERROR(VLOOKUP(B219,'02. MM-KLH'!$B$6:$T$823,15,0),"")</f>
        <v>2024</v>
      </c>
      <c r="Q219" s="101" t="str">
        <f>IFERROR(VLOOKUP(B219,'02. MM-KLH'!$B$6:$T$823,16,0),"")</f>
        <v>6155J</v>
      </c>
      <c r="R219" s="101" t="str">
        <f>IFERROR(VLOOKUP(B219,'02. MM-KLH'!$B$6:$T$823,17,0),"")</f>
        <v>155HP</v>
      </c>
      <c r="S219" s="110" t="str">
        <f>IFERROR(VLOOKUP(B219,'02. MM-KLH'!$B$6:$T$823,18,0),"")</f>
        <v>1P06155JPR8010864</v>
      </c>
      <c r="T219" s="111" t="str">
        <f>IFERROR(VLOOKUP(B219,'02. MM-KLH'!$B$6:$T$823,19,0),"")</f>
        <v>PE6068J008216</v>
      </c>
      <c r="U219" s="863" t="s">
        <v>3343</v>
      </c>
    </row>
    <row r="220" ht="13.5" customHeight="1" spans="1:21">
      <c r="A220" s="103">
        <f t="shared" si="8"/>
        <v>13</v>
      </c>
      <c r="B220" s="104" t="s">
        <v>1915</v>
      </c>
      <c r="C220" s="102" t="str">
        <f>IFERROR(VLOOKUP(B220,'02. MM-KLH'!$B$6:$T$823,2,0),"")</f>
        <v>Mới (100%)</v>
      </c>
      <c r="D220" s="103" t="str">
        <f>IFERROR(VLOOKUP(B220,'02. MM-KLH'!$B$6:$T$823,3,0),"")</f>
        <v>A22-MKE-047</v>
      </c>
      <c r="E220" s="102">
        <f>IFERROR(VLOOKUP(B220,'02. MM-KLH'!$B$6:$T$823,4,0),"")</f>
        <v>0</v>
      </c>
      <c r="F220" s="104"/>
      <c r="G220" s="102" t="str">
        <f>IFERROR(VLOOKUP(B220,'02. MM-KLH'!$B$6:$T$823,6,0),"")</f>
        <v>Máy cày JD 6120B</v>
      </c>
      <c r="H220" s="101" t="s">
        <v>3338</v>
      </c>
      <c r="I220" s="101" t="str">
        <f>IFERROR(VLOOKUP(B220,'02. MM-KLH'!$B$6:$T$823,8,0),"")</f>
        <v>XN Bò AD</v>
      </c>
      <c r="J220" s="105" t="str">
        <f>IFERROR(VLOOKUP(B220,'02. MM-KLH'!$B$6:$T$823,9,0),"")</f>
        <v>19/09/2025</v>
      </c>
      <c r="K220" s="101" t="str">
        <f>IFERROR(VLOOKUP(B220,'02. MM-KLH'!$B$6:$T$823,10,0),"")</f>
        <v>Bình thường</v>
      </c>
      <c r="L220" s="107">
        <f>IFERROR(VLOOKUP(B220,'02. MM-KLH'!$B$6:$T$823,11,0),"")</f>
        <v>0</v>
      </c>
      <c r="M220" s="864">
        <f>IFERROR(VLOOKUP(B220,'02. MM-KLH'!$B$6:$T$823,12,0),"")</f>
        <v>0</v>
      </c>
      <c r="N220" s="110" t="str">
        <f>IFERROR(VLOOKUP(B220,'02. MM-KLH'!$B$6:$T$823,13,0),"")</f>
        <v>JOHN DEERE</v>
      </c>
      <c r="O220" s="110" t="str">
        <f>IFERROR(VLOOKUP(B220,'02. MM-KLH'!$B$6:$T$823,14,0),"")</f>
        <v>TRUNG QUỐC </v>
      </c>
      <c r="P220" s="101">
        <f>IFERROR(VLOOKUP(B220,'02. MM-KLH'!$B$6:$T$823,15,0),"")</f>
        <v>2025</v>
      </c>
      <c r="Q220" s="101" t="str">
        <f>IFERROR(VLOOKUP(B220,'02. MM-KLH'!$B$6:$T$823,16,0),"")</f>
        <v>6120B</v>
      </c>
      <c r="R220" s="101" t="str">
        <f>IFERROR(VLOOKUP(B220,'02. MM-KLH'!$B$6:$T$823,17,0),"")</f>
        <v>120HP</v>
      </c>
      <c r="S220" s="110" t="str">
        <f>IFERROR(VLOOKUP(B220,'02. MM-KLH'!$B$6:$T$823,18,0),"")</f>
        <v>1YR6120BLSV220083</v>
      </c>
      <c r="T220" s="111" t="str">
        <f>IFERROR(VLOOKUP(B220,'02. MM-KLH'!$B$6:$T$823,19,0),"")</f>
        <v>PE4045N051252</v>
      </c>
      <c r="U220" s="863" t="s">
        <v>3343</v>
      </c>
    </row>
    <row r="221" ht="13.5" customHeight="1" spans="1:21">
      <c r="A221" s="103">
        <f t="shared" si="8"/>
        <v>14</v>
      </c>
      <c r="B221" s="104" t="s">
        <v>1921</v>
      </c>
      <c r="C221" s="102" t="str">
        <f>IFERROR(VLOOKUP(B221,'02. MM-KLH'!$B$6:$T$823,2,0),"")</f>
        <v>Mới (100%)</v>
      </c>
      <c r="D221" s="103" t="str">
        <f>IFERROR(VLOOKUP(B221,'02. MM-KLH'!$B$6:$T$823,3,0),"")</f>
        <v>A22-MKE-048</v>
      </c>
      <c r="E221" s="102">
        <f>IFERROR(VLOOKUP(B221,'02. MM-KLH'!$B$6:$T$823,4,0),"")</f>
        <v>0</v>
      </c>
      <c r="F221" s="104"/>
      <c r="G221" s="102" t="str">
        <f>IFERROR(VLOOKUP(B221,'02. MM-KLH'!$B$6:$T$823,6,0),"")</f>
        <v>Máy cày JD 6120B</v>
      </c>
      <c r="H221" s="101" t="s">
        <v>3338</v>
      </c>
      <c r="I221" s="101" t="str">
        <f>IFERROR(VLOOKUP(B221,'02. MM-KLH'!$B$6:$T$823,8,0),"")</f>
        <v>XN Bò AD</v>
      </c>
      <c r="J221" s="105" t="str">
        <f>IFERROR(VLOOKUP(B221,'02. MM-KLH'!$B$6:$T$823,9,0),"")</f>
        <v>19/09/2025</v>
      </c>
      <c r="K221" s="101" t="str">
        <f>IFERROR(VLOOKUP(B221,'02. MM-KLH'!$B$6:$T$823,10,0),"")</f>
        <v>Bình thường</v>
      </c>
      <c r="L221" s="107">
        <f>IFERROR(VLOOKUP(B221,'02. MM-KLH'!$B$6:$T$823,11,0),"")</f>
        <v>0</v>
      </c>
      <c r="M221" s="864">
        <f>IFERROR(VLOOKUP(B221,'02. MM-KLH'!$B$6:$T$823,12,0),"")</f>
        <v>0</v>
      </c>
      <c r="N221" s="110" t="str">
        <f>IFERROR(VLOOKUP(B221,'02. MM-KLH'!$B$6:$T$823,13,0),"")</f>
        <v>JOHN DEERE</v>
      </c>
      <c r="O221" s="110" t="str">
        <f>IFERROR(VLOOKUP(B221,'02. MM-KLH'!$B$6:$T$823,14,0),"")</f>
        <v>TRUNG QUỐC </v>
      </c>
      <c r="P221" s="101">
        <f>IFERROR(VLOOKUP(B221,'02. MM-KLH'!$B$6:$T$823,15,0),"")</f>
        <v>2025</v>
      </c>
      <c r="Q221" s="101" t="str">
        <f>IFERROR(VLOOKUP(B221,'02. MM-KLH'!$B$6:$T$823,16,0),"")</f>
        <v>6120B</v>
      </c>
      <c r="R221" s="101" t="str">
        <f>IFERROR(VLOOKUP(B221,'02. MM-KLH'!$B$6:$T$823,17,0),"")</f>
        <v>120HP</v>
      </c>
      <c r="S221" s="110" t="str">
        <f>IFERROR(VLOOKUP(B221,'02. MM-KLH'!$B$6:$T$823,18,0),"")</f>
        <v>1YR6120BHSV220084</v>
      </c>
      <c r="T221" s="111" t="str">
        <f>IFERROR(VLOOKUP(B221,'02. MM-KLH'!$B$6:$T$823,19,0),"")</f>
        <v>PE4045N051256</v>
      </c>
      <c r="U221" s="863" t="s">
        <v>3343</v>
      </c>
    </row>
    <row r="222" ht="13.5" customHeight="1" spans="1:21">
      <c r="A222" s="103">
        <f t="shared" si="8"/>
        <v>15</v>
      </c>
      <c r="B222" s="104" t="s">
        <v>1925</v>
      </c>
      <c r="C222" s="102">
        <f>IFERROR(VLOOKUP(B222,'02. MM-KLH'!$B$6:$T$823,2,0),"")</f>
        <v>0</v>
      </c>
      <c r="D222" s="103" t="str">
        <f>IFERROR(VLOOKUP(B222,'02. MM-KLH'!$B$6:$T$823,3,0),"")</f>
        <v>A22-MKE-049</v>
      </c>
      <c r="E222" s="102">
        <f>IFERROR(VLOOKUP(B222,'02. MM-KLH'!$B$6:$T$823,4,0),"")</f>
        <v>0</v>
      </c>
      <c r="F222" s="104"/>
      <c r="G222" s="102" t="str">
        <f>IFERROR(VLOOKUP(B222,'02. MM-KLH'!$B$6:$T$823,6,0),"")</f>
        <v>Máy cày JD 6200</v>
      </c>
      <c r="H222" s="101" t="s">
        <v>3338</v>
      </c>
      <c r="I222" s="101" t="str">
        <f>IFERROR(VLOOKUP(B222,'02. MM-KLH'!$B$6:$T$823,8,0),"")</f>
        <v>XN Bò AD</v>
      </c>
      <c r="J222" s="105" t="str">
        <f>IFERROR(VLOOKUP(B222,'02. MM-KLH'!$B$6:$T$823,9,0),"")</f>
        <v>26/09/2025</v>
      </c>
      <c r="K222" s="101" t="str">
        <f>IFERROR(VLOOKUP(B222,'02. MM-KLH'!$B$6:$T$823,10,0),"")</f>
        <v>Bình thường</v>
      </c>
      <c r="L222" s="107">
        <f>IFERROR(VLOOKUP(B222,'02. MM-KLH'!$B$6:$T$823,11,0),"")</f>
        <v>0</v>
      </c>
      <c r="M222" s="864">
        <f>IFERROR(VLOOKUP(B222,'02. MM-KLH'!$B$6:$T$823,12,0),"")</f>
        <v>0</v>
      </c>
      <c r="N222" s="110" t="str">
        <f>IFERROR(VLOOKUP(B222,'02. MM-KLH'!$B$6:$T$823,13,0),"")</f>
        <v>JOHN DEERE</v>
      </c>
      <c r="O222" s="110" t="str">
        <f>IFERROR(VLOOKUP(B222,'02. MM-KLH'!$B$6:$T$823,14,0),"")</f>
        <v>TRUNG QUỐC </v>
      </c>
      <c r="P222" s="101">
        <f>IFERROR(VLOOKUP(B222,'02. MM-KLH'!$B$6:$T$823,15,0),"")</f>
        <v>1998</v>
      </c>
      <c r="Q222" s="101">
        <f>IFERROR(VLOOKUP(B222,'02. MM-KLH'!$B$6:$T$823,16,0),"")</f>
        <v>6200</v>
      </c>
      <c r="R222" s="101" t="str">
        <f>IFERROR(VLOOKUP(B222,'02. MM-KLH'!$B$6:$T$823,17,0),"")</f>
        <v>90HP</v>
      </c>
      <c r="S222" s="110" t="str">
        <f>IFERROR(VLOOKUP(B222,'02. MM-KLH'!$B$6:$T$823,18,0),"")</f>
        <v>L06200X154907</v>
      </c>
      <c r="T222" s="111" t="str">
        <f>IFERROR(VLOOKUP(B222,'02. MM-KLH'!$B$6:$T$823,19,0),"")</f>
        <v>CD4039T232227</v>
      </c>
      <c r="U222" s="863" t="s">
        <v>3274</v>
      </c>
    </row>
    <row r="223" ht="13.8" spans="1:21">
      <c r="A223" s="103">
        <f t="shared" si="8"/>
        <v>16</v>
      </c>
      <c r="B223" s="104" t="s">
        <v>1930</v>
      </c>
      <c r="C223" s="102">
        <f>IFERROR(VLOOKUP(B223,'02. MM-KLH'!$B$6:$T$823,2,0),"")</f>
        <v>0</v>
      </c>
      <c r="D223" s="103" t="str">
        <f>IFERROR(VLOOKUP(B223,'02. MM-KLH'!$B$6:$T$823,3,0),"")</f>
        <v>A22-MKE-050</v>
      </c>
      <c r="E223" s="102">
        <f>IFERROR(VLOOKUP(B223,'02. MM-KLH'!$B$6:$T$823,4,0),"")</f>
        <v>0</v>
      </c>
      <c r="F223" s="104"/>
      <c r="G223" s="102" t="str">
        <f>IFERROR(VLOOKUP(B223,'02. MM-KLH'!$B$6:$T$823,6,0),"")</f>
        <v>Máy cày JD 6210</v>
      </c>
      <c r="H223" s="101" t="s">
        <v>3338</v>
      </c>
      <c r="I223" s="101" t="str">
        <f>IFERROR(VLOOKUP(B223,'02. MM-KLH'!$B$6:$T$823,8,0),"")</f>
        <v>XN Bò AD</v>
      </c>
      <c r="J223" s="105" t="str">
        <f>IFERROR(VLOOKUP(B223,'02. MM-KLH'!$B$6:$T$823,9,0),"")</f>
        <v>26/09/2025</v>
      </c>
      <c r="K223" s="101" t="str">
        <f>IFERROR(VLOOKUP(B223,'02. MM-KLH'!$B$6:$T$823,10,0),"")</f>
        <v>Bình thường</v>
      </c>
      <c r="L223" s="107">
        <f>IFERROR(VLOOKUP(B223,'02. MM-KLH'!$B$6:$T$823,11,0),"")</f>
        <v>0</v>
      </c>
      <c r="M223" s="864">
        <f>IFERROR(VLOOKUP(B223,'02. MM-KLH'!$B$6:$T$823,12,0),"")</f>
        <v>0</v>
      </c>
      <c r="N223" s="110" t="str">
        <f>IFERROR(VLOOKUP(B223,'02. MM-KLH'!$B$6:$T$823,13,0),"")</f>
        <v>JOHN DEERE</v>
      </c>
      <c r="O223" s="110" t="str">
        <f>IFERROR(VLOOKUP(B223,'02. MM-KLH'!$B$6:$T$823,14,0),"")</f>
        <v>TRUNG QUỐC </v>
      </c>
      <c r="P223" s="101">
        <f>IFERROR(VLOOKUP(B223,'02. MM-KLH'!$B$6:$T$823,15,0),"")</f>
        <v>1999</v>
      </c>
      <c r="Q223" s="101">
        <f>IFERROR(VLOOKUP(B223,'02. MM-KLH'!$B$6:$T$823,16,0),"")</f>
        <v>6210</v>
      </c>
      <c r="R223" s="101" t="str">
        <f>IFERROR(VLOOKUP(B223,'02. MM-KLH'!$B$6:$T$823,17,0),"")</f>
        <v>95HP</v>
      </c>
      <c r="S223" s="110" t="str">
        <f>IFERROR(VLOOKUP(B223,'02. MM-KLH'!$B$6:$T$823,18,0),"")</f>
        <v>322019L</v>
      </c>
      <c r="T223" s="111" t="str">
        <f>IFERROR(VLOOKUP(B223,'02. MM-KLH'!$B$6:$T$823,19,0),"")</f>
        <v>CD4045T534901</v>
      </c>
      <c r="U223" s="863" t="s">
        <v>3274</v>
      </c>
    </row>
    <row r="224" ht="13.5" customHeight="1" spans="1:21">
      <c r="A224" s="103">
        <f t="shared" si="8"/>
        <v>17</v>
      </c>
      <c r="B224" s="104" t="s">
        <v>1934</v>
      </c>
      <c r="C224" s="102">
        <f>IFERROR(VLOOKUP(B224,'02. MM-KLH'!$B$6:$T$823,2,0),"")</f>
        <v>0</v>
      </c>
      <c r="D224" s="103" t="str">
        <f>IFERROR(VLOOKUP(B224,'02. MM-KLH'!$B$6:$T$823,3,0),"")</f>
        <v>A22-MKE-057</v>
      </c>
      <c r="E224" s="102">
        <f>IFERROR(VLOOKUP(B224,'02. MM-KLH'!$B$6:$T$823,4,0),"")</f>
        <v>0</v>
      </c>
      <c r="F224" s="104"/>
      <c r="G224" s="102" t="str">
        <f>IFERROR(VLOOKUP(B224,'02. MM-KLH'!$B$6:$T$823,6,0),"")</f>
        <v>Máy cày JD 6620</v>
      </c>
      <c r="H224" s="101" t="s">
        <v>3338</v>
      </c>
      <c r="I224" s="101" t="str">
        <f>IFERROR(VLOOKUP(B224,'02. MM-KLH'!$B$6:$T$823,8,0),"")</f>
        <v>XN Bò AD</v>
      </c>
      <c r="J224" s="105" t="str">
        <f>IFERROR(VLOOKUP(B224,'02. MM-KLH'!$B$6:$T$823,9,0),"")</f>
        <v>26/09/2025</v>
      </c>
      <c r="K224" s="101" t="str">
        <f>IFERROR(VLOOKUP(B224,'02. MM-KLH'!$B$6:$T$823,10,0),"")</f>
        <v>Bình thường</v>
      </c>
      <c r="L224" s="107">
        <f>IFERROR(VLOOKUP(B224,'02. MM-KLH'!$B$6:$T$823,11,0),"")</f>
        <v>0</v>
      </c>
      <c r="M224" s="864">
        <f>IFERROR(VLOOKUP(B224,'02. MM-KLH'!$B$6:$T$823,12,0),"")</f>
        <v>0</v>
      </c>
      <c r="N224" s="110" t="str">
        <f>IFERROR(VLOOKUP(B224,'02. MM-KLH'!$B$6:$T$823,13,0),"")</f>
        <v>JOHN DEERE</v>
      </c>
      <c r="O224" s="110" t="str">
        <f>IFERROR(VLOOKUP(B224,'02. MM-KLH'!$B$6:$T$823,14,0),"")</f>
        <v>TRUNG QUỐC </v>
      </c>
      <c r="P224" s="101">
        <f>IFERROR(VLOOKUP(B224,'02. MM-KLH'!$B$6:$T$823,15,0),"")</f>
        <v>1999</v>
      </c>
      <c r="Q224" s="101">
        <f>IFERROR(VLOOKUP(B224,'02. MM-KLH'!$B$6:$T$823,16,0),"")</f>
        <v>6620</v>
      </c>
      <c r="R224" s="101" t="str">
        <f>IFERROR(VLOOKUP(B224,'02. MM-KLH'!$B$6:$T$823,17,0),"")</f>
        <v>120HP</v>
      </c>
      <c r="S224" s="110" t="str">
        <f>IFERROR(VLOOKUP(B224,'02. MM-KLH'!$B$6:$T$823,18,0),"")</f>
        <v>L06620D501194</v>
      </c>
      <c r="T224" s="111" t="str">
        <f>IFERROR(VLOOKUP(B224,'02. MM-KLH'!$B$6:$T$823,19,0),"")</f>
        <v>CD6068G073699</v>
      </c>
      <c r="U224" s="863" t="s">
        <v>3274</v>
      </c>
    </row>
    <row r="225" ht="13.5" customHeight="1" spans="1:21">
      <c r="A225" s="103">
        <f t="shared" si="8"/>
        <v>18</v>
      </c>
      <c r="B225" s="104" t="s">
        <v>1957</v>
      </c>
      <c r="C225" s="102">
        <f>IFERROR(VLOOKUP(B225,'02. MM-KLH'!$B$6:$T$823,2,0),"")</f>
        <v>0</v>
      </c>
      <c r="D225" s="103" t="str">
        <f>IFERROR(VLOOKUP(B225,'02. MM-KLH'!$B$6:$T$823,3,0),"")</f>
        <v>A22-MKE-063</v>
      </c>
      <c r="E225" s="102">
        <f>IFERROR(VLOOKUP(B225,'02. MM-KLH'!$B$6:$T$823,4,0),"")</f>
        <v>0</v>
      </c>
      <c r="F225" s="104"/>
      <c r="G225" s="102" t="str">
        <f>IFERROR(VLOOKUP(B225,'02. MM-KLH'!$B$6:$T$823,6,0),"")</f>
        <v>Máy cày JD 6600</v>
      </c>
      <c r="H225" s="101" t="s">
        <v>3338</v>
      </c>
      <c r="I225" s="101" t="str">
        <f>IFERROR(VLOOKUP(B225,'02. MM-KLH'!$B$6:$T$823,8,0),"")</f>
        <v>XN Bò AD</v>
      </c>
      <c r="J225" s="105" t="str">
        <f>IFERROR(VLOOKUP(B225,'02. MM-KLH'!$B$6:$T$823,9,0),"")</f>
        <v>14/01/2026</v>
      </c>
      <c r="K225" s="101" t="str">
        <f>IFERROR(VLOOKUP(B225,'02. MM-KLH'!$B$6:$T$823,10,0),"")</f>
        <v>Bình thường</v>
      </c>
      <c r="L225" s="107">
        <f>IFERROR(VLOOKUP(B225,'02. MM-KLH'!$B$6:$T$823,11,0),"")</f>
        <v>0</v>
      </c>
      <c r="M225" s="864" t="str">
        <f>IFERROR(VLOOKUP(B225,'02. MM-KLH'!$B$6:$T$823,12,0),"")</f>
        <v>Đầu tư mới (ĐQSD)</v>
      </c>
      <c r="N225" s="110" t="str">
        <f>IFERROR(VLOOKUP(B225,'02. MM-KLH'!$B$6:$T$823,13,0),"")</f>
        <v>JOHN DEERE</v>
      </c>
      <c r="O225" s="110" t="str">
        <f>IFERROR(VLOOKUP(B225,'02. MM-KLH'!$B$6:$T$823,14,0),"")</f>
        <v>Đức</v>
      </c>
      <c r="P225" s="101">
        <f>IFERROR(VLOOKUP(B225,'02. MM-KLH'!$B$6:$T$823,15,0),"")</f>
        <v>1995</v>
      </c>
      <c r="Q225" s="101">
        <f>IFERROR(VLOOKUP(B225,'02. MM-KLH'!$B$6:$T$823,16,0),"")</f>
        <v>6600</v>
      </c>
      <c r="R225" s="101" t="str">
        <f>IFERROR(VLOOKUP(B225,'02. MM-KLH'!$B$6:$T$823,17,0),"")</f>
        <v>110HP</v>
      </c>
      <c r="S225" s="110" t="str">
        <f>IFERROR(VLOOKUP(B225,'02. MM-KLH'!$B$6:$T$823,18,0),"")</f>
        <v>L06600V172903</v>
      </c>
      <c r="T225" s="111" t="str">
        <f>IFERROR(VLOOKUP(B225,'02. MM-KLH'!$B$6:$T$823,19,0),"")</f>
        <v>CD6059T276336</v>
      </c>
      <c r="U225" s="863" t="s">
        <v>3274</v>
      </c>
    </row>
    <row r="226" ht="42" customHeight="1" spans="1:21">
      <c r="A226" s="103">
        <f t="shared" si="8"/>
        <v>19</v>
      </c>
      <c r="B226" s="104" t="s">
        <v>1801</v>
      </c>
      <c r="C226" s="102">
        <f>IFERROR(VLOOKUP(B226,'02. MM-KLH'!$B$6:$T$823,2,0),"")</f>
        <v>0</v>
      </c>
      <c r="D226" s="103" t="str">
        <f>IFERROR(VLOOKUP(B226,'02. MM-KLH'!$B$6:$T$823,3,0),"")</f>
        <v>A22-MKE-062</v>
      </c>
      <c r="E226" s="102">
        <f>IFERROR(VLOOKUP(B226,'02. MM-KLH'!$B$6:$T$823,4,0),"")</f>
        <v>0</v>
      </c>
      <c r="F226" s="104"/>
      <c r="G226" s="102" t="str">
        <f>IFERROR(VLOOKUP(B226,'02. MM-KLH'!$B$6:$T$823,6,0),"")</f>
        <v>Máy cày JD 6200</v>
      </c>
      <c r="H226" s="101" t="s">
        <v>3338</v>
      </c>
      <c r="I226" s="101" t="str">
        <f>IFERROR(VLOOKUP(B226,'02. MM-KLH'!$B$6:$T$823,8,0),"")</f>
        <v>XN Bò AD</v>
      </c>
      <c r="J226" s="105" t="str">
        <f>IFERROR(VLOOKUP(B226,'02. MM-KLH'!$B$6:$T$823,9,0),"")</f>
        <v>25/12/2025</v>
      </c>
      <c r="K226" s="101" t="str">
        <f>IFERROR(VLOOKUP(B226,'02. MM-KLH'!$B$6:$T$823,10,0),"")</f>
        <v>Bình thường</v>
      </c>
      <c r="L226" s="107">
        <f>IFERROR(VLOOKUP(B226,'02. MM-KLH'!$B$6:$T$823,11,0),"")</f>
        <v>0</v>
      </c>
      <c r="M226" s="1100" t="str">
        <f>IFERROR(VLOOKUP(B226,'02. MM-KLH'!$B$6:$T$823,12,0),"")</f>
        <v>- Đầu tư mới ngày 25/12/2025
- XN CAT AD điều chuyển qua XN Bò AD1 ngày 18/05/2026
- XN Bò chuyển về lại xn Xoài 13/06/2026</v>
      </c>
      <c r="N226" s="110" t="str">
        <f>IFERROR(VLOOKUP(B226,'02. MM-KLH'!$B$6:$T$823,13,0),"")</f>
        <v>John Deere</v>
      </c>
      <c r="O226" s="110" t="str">
        <f>IFERROR(VLOOKUP(B226,'02. MM-KLH'!$B$6:$T$823,14,0),"")</f>
        <v>Đức</v>
      </c>
      <c r="P226" s="101">
        <f>IFERROR(VLOOKUP(B226,'02. MM-KLH'!$B$6:$T$823,15,0),"")</f>
        <v>1997</v>
      </c>
      <c r="Q226" s="101">
        <f>IFERROR(VLOOKUP(B226,'02. MM-KLH'!$B$6:$T$823,16,0),"")</f>
        <v>6200</v>
      </c>
      <c r="R226" s="101" t="str">
        <f>IFERROR(VLOOKUP(B226,'02. MM-KLH'!$B$6:$T$823,17,0),"")</f>
        <v>90HP</v>
      </c>
      <c r="S226" s="110" t="str">
        <f>IFERROR(VLOOKUP(B226,'02. MM-KLH'!$B$6:$T$823,18,0),"")</f>
        <v>L06200V203044</v>
      </c>
      <c r="T226" s="111" t="str">
        <f>IFERROR(VLOOKUP(B226,'02. MM-KLH'!$B$6:$T$823,19,0),"")</f>
        <v>CD4039T351816</v>
      </c>
      <c r="U226" s="863" t="s">
        <v>3274</v>
      </c>
    </row>
    <row r="227" ht="13.5" customHeight="1" spans="1:21">
      <c r="A227" s="103"/>
      <c r="B227" s="104"/>
      <c r="C227" s="102"/>
      <c r="D227" s="103"/>
      <c r="E227" s="102"/>
      <c r="F227" s="104"/>
      <c r="G227" s="102"/>
      <c r="H227" s="101"/>
      <c r="I227" s="101"/>
      <c r="J227" s="105"/>
      <c r="K227" s="101"/>
      <c r="L227" s="107"/>
      <c r="M227" s="864"/>
      <c r="N227" s="110"/>
      <c r="O227" s="110"/>
      <c r="P227" s="101"/>
      <c r="Q227" s="101"/>
      <c r="R227" s="101"/>
      <c r="S227" s="110"/>
      <c r="T227" s="111"/>
      <c r="U227" s="870"/>
    </row>
    <row r="228" ht="13.5" customHeight="1" spans="1:21">
      <c r="A228" s="103"/>
      <c r="B228" s="104"/>
      <c r="C228" s="102" t="str">
        <f>IFERROR(VLOOKUP(B228,'02. MM-KLH'!$B$6:$T$823,2,0),"")</f>
        <v/>
      </c>
      <c r="D228" s="103" t="str">
        <f>IFERROR(VLOOKUP(B228,'02. MM-KLH'!$B$6:$T$823,3,0),"")</f>
        <v/>
      </c>
      <c r="E228" s="102" t="str">
        <f>IFERROR(VLOOKUP(B228,'02. MM-KLH'!$B$6:$T$823,4,0),"")</f>
        <v/>
      </c>
      <c r="F228" s="104"/>
      <c r="G228" s="102" t="str">
        <f>IFERROR(VLOOKUP(B228,'02. MM-KLH'!$B$6:$T$823,6,0),"")</f>
        <v/>
      </c>
      <c r="H228" s="101"/>
      <c r="I228" s="101" t="str">
        <f>IFERROR(VLOOKUP(B228,'02. MM-KLH'!$B$6:$T$823,8,0),"")</f>
        <v/>
      </c>
      <c r="J228" s="105" t="str">
        <f>IFERROR(VLOOKUP(B228,'02. MM-KLH'!$B$6:$T$823,9,0),"")</f>
        <v/>
      </c>
      <c r="K228" s="101" t="str">
        <f>IFERROR(VLOOKUP(B228,'02. MM-KLH'!$B$6:$T$823,10,0),"")</f>
        <v/>
      </c>
      <c r="L228" s="107" t="str">
        <f>IFERROR(VLOOKUP(B228,'02. MM-KLH'!$B$6:$T$823,11,0),"")</f>
        <v/>
      </c>
      <c r="M228" s="864" t="str">
        <f>IFERROR(VLOOKUP(B228,'02. MM-KLH'!$B$6:$T$823,12,0),"")</f>
        <v/>
      </c>
      <c r="N228" s="110" t="str">
        <f>IFERROR(VLOOKUP(B228,'02. MM-KLH'!$B$6:$T$823,13,0),"")</f>
        <v/>
      </c>
      <c r="O228" s="110" t="str">
        <f>IFERROR(VLOOKUP(B228,'02. MM-KLH'!$B$6:$T$823,14,0),"")</f>
        <v/>
      </c>
      <c r="P228" s="101" t="str">
        <f>IFERROR(VLOOKUP(B228,'02. MM-KLH'!$B$6:$T$823,15,0),"")</f>
        <v/>
      </c>
      <c r="Q228" s="101" t="str">
        <f>IFERROR(VLOOKUP(B228,'02. MM-KLH'!$B$6:$T$823,16,0),"")</f>
        <v/>
      </c>
      <c r="R228" s="101" t="str">
        <f>IFERROR(VLOOKUP(B228,'02. MM-KLH'!$B$6:$T$823,17,0),"")</f>
        <v/>
      </c>
      <c r="S228" s="110" t="str">
        <f>IFERROR(VLOOKUP(B228,'02. MM-KLH'!$B$6:$T$823,18,0),"")</f>
        <v/>
      </c>
      <c r="T228" s="111" t="str">
        <f>IFERROR(VLOOKUP(B228,'02. MM-KLH'!$B$6:$T$823,19,0),"")</f>
        <v/>
      </c>
      <c r="U228" s="111" t="str">
        <f>IFERROR(VLOOKUP(C228,'02. MM-KLH'!$B$6:$T$823,19,0),"")</f>
        <v/>
      </c>
    </row>
    <row r="229" ht="13.5" customHeight="1" spans="1:21">
      <c r="A229" s="847" t="s">
        <v>290</v>
      </c>
      <c r="B229" s="848" t="s">
        <v>3364</v>
      </c>
      <c r="C229" s="849">
        <f>COUNTA(B230:B258)</f>
        <v>19</v>
      </c>
      <c r="D229" s="849" t="str">
        <f>IFERROR(VLOOKUP(B229,'02. MM-KLH'!$B$6:$T$823,3,0),"")</f>
        <v/>
      </c>
      <c r="E229" s="849" t="str">
        <f>IFERROR(VLOOKUP(B229,'02. MM-KLH'!$B$6:$T$823,4,0),"")</f>
        <v/>
      </c>
      <c r="F229" s="849"/>
      <c r="G229" s="849" t="str">
        <f>IFERROR(VLOOKUP(B229,'02. MM-KLH'!$B$6:$T$823,6,0),"")</f>
        <v/>
      </c>
      <c r="H229" s="849"/>
      <c r="I229" s="849" t="str">
        <f>IFERROR(VLOOKUP(B229,'02. MM-KLH'!$B$6:$T$823,8,0),"")</f>
        <v/>
      </c>
      <c r="J229" s="849" t="str">
        <f>IFERROR(VLOOKUP(B229,'02. MM-KLH'!$B$6:$T$823,9,0),"")</f>
        <v/>
      </c>
      <c r="K229" s="849" t="str">
        <f>IFERROR(VLOOKUP(B229,'02. MM-KLH'!$B$6:$T$823,10,0),"")</f>
        <v/>
      </c>
      <c r="L229" s="849" t="str">
        <f>IFERROR(VLOOKUP(B229,'02. MM-KLH'!$B$6:$T$823,11,0),"")</f>
        <v/>
      </c>
      <c r="M229" s="849" t="str">
        <f>IFERROR(VLOOKUP(B229,'02. MM-KLH'!$B$6:$T$823,12,0),"")</f>
        <v/>
      </c>
      <c r="N229" s="849" t="str">
        <f>IFERROR(VLOOKUP(B229,'02. MM-KLH'!$B$6:$T$823,13,0),"")</f>
        <v/>
      </c>
      <c r="O229" s="849" t="str">
        <f>IFERROR(VLOOKUP(B229,'02. MM-KLH'!$B$6:$T$823,14,0),"")</f>
        <v/>
      </c>
      <c r="P229" s="849" t="str">
        <f>IFERROR(VLOOKUP(B229,'02. MM-KLH'!$B$6:$T$823,15,0),"")</f>
        <v/>
      </c>
      <c r="Q229" s="849" t="str">
        <f>IFERROR(VLOOKUP(B229,'02. MM-KLH'!$B$6:$T$823,16,0),"")</f>
        <v/>
      </c>
      <c r="R229" s="849" t="str">
        <f>IFERROR(VLOOKUP(B229,'02. MM-KLH'!$B$6:$T$823,17,0),"")</f>
        <v/>
      </c>
      <c r="S229" s="849" t="str">
        <f>IFERROR(VLOOKUP(B229,'02. MM-KLH'!$B$6:$T$823,18,0),"")</f>
        <v/>
      </c>
      <c r="T229" s="849" t="str">
        <f>IFERROR(VLOOKUP(B229,'02. MM-KLH'!$B$6:$T$823,19,0),"")</f>
        <v/>
      </c>
      <c r="U229" s="849" t="str">
        <f>IFERROR(VLOOKUP(C229,'02. MM-KLH'!$B$6:$T$823,19,0),"")</f>
        <v/>
      </c>
    </row>
    <row r="230" ht="40.5" customHeight="1" spans="1:21">
      <c r="A230" s="101">
        <v>1</v>
      </c>
      <c r="B230" s="104" t="s">
        <v>1611</v>
      </c>
      <c r="C230" s="102" t="str">
        <f>IFERROR(VLOOKUP(B230,'02. MM-KLH'!$B$6:$T$823,2,0),"")</f>
        <v>XXA-MKE-008</v>
      </c>
      <c r="D230" s="103" t="str">
        <f>IFERROR(VLOOKUP(B230,'02. MM-KLH'!$B$6:$T$823,3,0),"")</f>
        <v>A22-MKE-008</v>
      </c>
      <c r="E230" s="102">
        <f>IFERROR(VLOOKUP(B230,'02. MM-KLH'!$B$6:$T$823,4,0),"")</f>
        <v>0</v>
      </c>
      <c r="F230" s="104"/>
      <c r="G230" s="102" t="str">
        <f>IFERROR(VLOOKUP(B230,'02. MM-KLH'!$B$6:$T$823,6,0),"")</f>
        <v>Máy cày LOVOL P3050</v>
      </c>
      <c r="H230" s="101" t="s">
        <v>3338</v>
      </c>
      <c r="I230" s="101" t="str">
        <f>IFERROR(VLOOKUP(B230,'02. MM-KLH'!$B$6:$T$823,8,0),"")</f>
        <v>XN Chuối LP3</v>
      </c>
      <c r="J230" s="105" t="str">
        <f>IFERROR(VLOOKUP(B230,'02. MM-KLH'!$B$6:$T$823,9,0),"")</f>
        <v>18/05/2026</v>
      </c>
      <c r="K230" s="101" t="str">
        <f>IFERROR(VLOOKUP(B230,'02. MM-KLH'!$B$6:$T$823,10,0),"")</f>
        <v>Bình thường</v>
      </c>
      <c r="L230" s="107">
        <f>IFERROR(VLOOKUP(B230,'02. MM-KLH'!$B$6:$T$823,11,0),"")</f>
        <v>0</v>
      </c>
      <c r="M230" s="1100" t="str">
        <f>IFERROR(VLOOKUP(B230,'02. MM-KLH'!$B$6:$T$823,12,0),"")</f>
        <v>- Đầu tư mới ngày 25/10/2024
- XN CAT AD điều chuyển qua XN Bò AD1 ngày 18/05/2026
- XNB đchyen qua ngày 08/06/2026</v>
      </c>
      <c r="N230" s="110" t="str">
        <f>IFERROR(VLOOKUP(B230,'02. MM-KLH'!$B$6:$T$823,13,0),"")</f>
        <v>LOVOL</v>
      </c>
      <c r="O230" s="110" t="str">
        <f>IFERROR(VLOOKUP(B230,'02. MM-KLH'!$B$6:$T$823,14,0),"")</f>
        <v>TRUNG QUỐC </v>
      </c>
      <c r="P230" s="101">
        <f>IFERROR(VLOOKUP(B230,'02. MM-KLH'!$B$6:$T$823,15,0),"")</f>
        <v>2024</v>
      </c>
      <c r="Q230" s="101" t="str">
        <f>IFERROR(VLOOKUP(B230,'02. MM-KLH'!$B$6:$T$823,16,0),"")</f>
        <v>P3050</v>
      </c>
      <c r="R230" s="101" t="str">
        <f>IFERROR(VLOOKUP(B230,'02. MM-KLH'!$B$6:$T$823,17,0),"")</f>
        <v>47Hp</v>
      </c>
      <c r="S230" s="110" t="str">
        <f>IFERROR(VLOOKUP(B230,'02. MM-KLH'!$B$6:$T$823,18,0),"")</f>
        <v>TY1S312020001K301198R03</v>
      </c>
      <c r="T230" s="111" t="str">
        <f>IFERROR(VLOOKUP(B230,'02. MM-KLH'!$B$6:$T$823,19,0),"")</f>
        <v>FTTP3A34VRS000231</v>
      </c>
      <c r="U230" s="863" t="s">
        <v>3343</v>
      </c>
    </row>
    <row r="231" ht="13.5" customHeight="1" spans="1:21">
      <c r="A231" s="103">
        <f t="shared" ref="A231:A248" si="9">A230+1</f>
        <v>2</v>
      </c>
      <c r="B231" s="104" t="s">
        <v>1891</v>
      </c>
      <c r="C231" s="102" t="str">
        <f>IFERROR(VLOOKUP(B231,'02. MM-KLH'!$B$6:$T$823,2,0),"")</f>
        <v>MỚ́I</v>
      </c>
      <c r="D231" s="103" t="str">
        <f>IFERROR(VLOOKUP(B231,'02. MM-KLH'!$B$6:$T$823,3,0),"")</f>
        <v>A22-MKE-041</v>
      </c>
      <c r="E231" s="102">
        <f>IFERROR(VLOOKUP(B231,'02. MM-KLH'!$B$6:$T$823,4,0),"")</f>
        <v>0</v>
      </c>
      <c r="F231" s="104"/>
      <c r="G231" s="102" t="str">
        <f>IFERROR(VLOOKUP(B231,'02. MM-KLH'!$B$6:$T$823,6,0),"")</f>
        <v>Máy cày LOVOL P4100</v>
      </c>
      <c r="H231" s="101" t="s">
        <v>3340</v>
      </c>
      <c r="I231" s="101" t="str">
        <f>IFERROR(VLOOKUP(B231,'02. MM-KLH'!$B$6:$T$823,8,0),"")</f>
        <v>XN Bò AD</v>
      </c>
      <c r="J231" s="105" t="str">
        <f>IFERROR(VLOOKUP(B231,'02. MM-KLH'!$B$6:$T$823,9,0),"")</f>
        <v>25/10/2024</v>
      </c>
      <c r="K231" s="101" t="str">
        <f>IFERROR(VLOOKUP(B231,'02. MM-KLH'!$B$6:$T$823,10,0),"")</f>
        <v>Bình thường</v>
      </c>
      <c r="L231" s="107">
        <f>IFERROR(VLOOKUP(B231,'02. MM-KLH'!$B$6:$T$823,11,0),"")</f>
        <v>0</v>
      </c>
      <c r="M231" s="864" t="str">
        <f>IFERROR(VLOOKUP(B231,'02. MM-KLH'!$B$6:$T$823,12,0),"")</f>
        <v>Đầu tư mới</v>
      </c>
      <c r="N231" s="110" t="str">
        <f>IFERROR(VLOOKUP(B231,'02. MM-KLH'!$B$6:$T$823,13,0),"")</f>
        <v>LOVOL</v>
      </c>
      <c r="O231" s="110" t="str">
        <f>IFERROR(VLOOKUP(B231,'02. MM-KLH'!$B$6:$T$823,14,0),"")</f>
        <v>TRUNG QUỐC </v>
      </c>
      <c r="P231" s="101">
        <f>IFERROR(VLOOKUP(B231,'02. MM-KLH'!$B$6:$T$823,15,0),"")</f>
        <v>2024</v>
      </c>
      <c r="Q231" s="101" t="str">
        <f>IFERROR(VLOOKUP(B231,'02. MM-KLH'!$B$6:$T$823,16,0),"")</f>
        <v>P4100</v>
      </c>
      <c r="R231" s="101" t="str">
        <f>IFERROR(VLOOKUP(B231,'02. MM-KLH'!$B$6:$T$823,17,0),"")</f>
        <v>98HP</v>
      </c>
      <c r="S231" s="110" t="str">
        <f>IFERROR(VLOOKUP(B231,'02. MM-KLH'!$B$6:$T$823,18,0),"")</f>
        <v>E424H012739</v>
      </c>
      <c r="T231" s="111" t="str">
        <f>IFERROR(VLOOKUP(B231,'02. MM-KLH'!$B$6:$T$823,19,0),"")</f>
        <v>P400120RV</v>
      </c>
      <c r="U231" s="863" t="s">
        <v>3343</v>
      </c>
    </row>
    <row r="232" ht="13.5" customHeight="1" spans="1:21">
      <c r="A232" s="103">
        <f t="shared" si="9"/>
        <v>3</v>
      </c>
      <c r="B232" s="104" t="s">
        <v>1070</v>
      </c>
      <c r="C232" s="102" t="str">
        <f>IFERROR(VLOOKUP(B232,'02. MM-KLH'!$B$6:$T$823,2,0),"")</f>
        <v>XB1-MKE-042</v>
      </c>
      <c r="D232" s="103" t="str">
        <f>IFERROR(VLOOKUP(B232,'02. MM-KLH'!$B$6:$T$823,3,0),"")</f>
        <v>A22-MKE-042</v>
      </c>
      <c r="E232" s="102">
        <f>IFERROR(VLOOKUP(B232,'02. MM-KLH'!$B$6:$T$823,4,0),"")</f>
        <v>0</v>
      </c>
      <c r="F232" s="104"/>
      <c r="G232" s="102" t="str">
        <f>IFERROR(VLOOKUP(B232,'02. MM-KLH'!$B$6:$T$823,6,0),"")</f>
        <v>Máy cày LOVOL 1504</v>
      </c>
      <c r="H232" s="101" t="s">
        <v>3348</v>
      </c>
      <c r="I232" s="101" t="str">
        <f>IFERROR(VLOOKUP(B232,'02. MM-KLH'!$B$6:$T$823,8,0),"")</f>
        <v>CGLĐ LP</v>
      </c>
      <c r="J232" s="105" t="str">
        <f>IFERROR(VLOOKUP(B232,'02. MM-KLH'!$B$6:$T$823,9,0),"")</f>
        <v>25/10/2024</v>
      </c>
      <c r="K232" s="101" t="str">
        <f>IFERROR(VLOOKUP(B232,'02. MM-KLH'!$B$6:$T$823,10,0),"")</f>
        <v>Bình thường</v>
      </c>
      <c r="L232" s="107">
        <f>IFERROR(VLOOKUP(B232,'02. MM-KLH'!$B$6:$T$823,11,0),"")</f>
        <v>0</v>
      </c>
      <c r="M232" s="864" t="str">
        <f>IFERROR(VLOOKUP(B232,'02. MM-KLH'!$B$6:$T$823,12,0),"")</f>
        <v>Hoán đổi xe XNB theo chủ trương BLĐ 06.02.2025</v>
      </c>
      <c r="N232" s="110" t="str">
        <f>IFERROR(VLOOKUP(B232,'02. MM-KLH'!$B$6:$T$823,13,0),"")</f>
        <v>LOVOL</v>
      </c>
      <c r="O232" s="110" t="str">
        <f>IFERROR(VLOOKUP(B232,'02. MM-KLH'!$B$6:$T$823,14,0),"")</f>
        <v>Trung Quốc</v>
      </c>
      <c r="P232" s="101">
        <f>IFERROR(VLOOKUP(B232,'02. MM-KLH'!$B$6:$T$823,15,0),"")</f>
        <v>2024</v>
      </c>
      <c r="Q232" s="101">
        <f>IFERROR(VLOOKUP(B232,'02. MM-KLH'!$B$6:$T$823,16,0),"")</f>
        <v>1504</v>
      </c>
      <c r="R232" s="101" t="str">
        <f>IFERROR(VLOOKUP(B232,'02. MM-KLH'!$B$6:$T$823,17,0),"")</f>
        <v>147HP</v>
      </c>
      <c r="S232" s="110" t="str">
        <f>IFERROR(VLOOKUP(B232,'02. MM-KLH'!$B$6:$T$823,18,0),"")</f>
        <v>6P23C005870</v>
      </c>
      <c r="T232" s="111" t="str">
        <f>IFERROR(VLOOKUP(B232,'02. MM-KLH'!$B$6:$T$823,19,0),"")</f>
        <v>CCN</v>
      </c>
      <c r="U232" s="863" t="s">
        <v>3343</v>
      </c>
    </row>
    <row r="233" ht="13.5" customHeight="1" spans="1:21">
      <c r="A233" s="103">
        <f t="shared" si="9"/>
        <v>4</v>
      </c>
      <c r="B233" s="104" t="s">
        <v>1897</v>
      </c>
      <c r="C233" s="102" t="str">
        <f>IFERROR(VLOOKUP(B233,'02. MM-KLH'!$B$6:$T$823,2,0),"")</f>
        <v>MỚ́I</v>
      </c>
      <c r="D233" s="103" t="str">
        <f>IFERROR(VLOOKUP(B233,'02. MM-KLH'!$B$6:$T$823,3,0),"")</f>
        <v>A22-MKE-043</v>
      </c>
      <c r="E233" s="102">
        <f>IFERROR(VLOOKUP(B233,'02. MM-KLH'!$B$6:$T$823,4,0),"")</f>
        <v>0</v>
      </c>
      <c r="F233" s="104"/>
      <c r="G233" s="102" t="str">
        <f>IFERROR(VLOOKUP(B233,'02. MM-KLH'!$B$6:$T$823,6,0),"")</f>
        <v>Máy cày LOVOL 2204</v>
      </c>
      <c r="H233" s="101" t="s">
        <v>3348</v>
      </c>
      <c r="I233" s="101" t="str">
        <f>IFERROR(VLOOKUP(B233,'02. MM-KLH'!$B$6:$T$823,8,0),"")</f>
        <v>XN Bò AD</v>
      </c>
      <c r="J233" s="105" t="str">
        <f>IFERROR(VLOOKUP(B233,'02. MM-KLH'!$B$6:$T$823,9,0),"")</f>
        <v>26/10/2024</v>
      </c>
      <c r="K233" s="101" t="str">
        <f>IFERROR(VLOOKUP(B233,'02. MM-KLH'!$B$6:$T$823,10,0),"")</f>
        <v>Bình thường</v>
      </c>
      <c r="L233" s="107">
        <f>IFERROR(VLOOKUP(B233,'02. MM-KLH'!$B$6:$T$823,11,0),"")</f>
        <v>0</v>
      </c>
      <c r="M233" s="864" t="str">
        <f>IFERROR(VLOOKUP(B233,'02. MM-KLH'!$B$6:$T$823,12,0),"")</f>
        <v>Đầu tư mới</v>
      </c>
      <c r="N233" s="110" t="str">
        <f>IFERROR(VLOOKUP(B233,'02. MM-KLH'!$B$6:$T$823,13,0),"")</f>
        <v>LOVOL</v>
      </c>
      <c r="O233" s="110" t="str">
        <f>IFERROR(VLOOKUP(B233,'02. MM-KLH'!$B$6:$T$823,14,0),"")</f>
        <v>TRUNG QUỐC </v>
      </c>
      <c r="P233" s="101">
        <f>IFERROR(VLOOKUP(B233,'02. MM-KLH'!$B$6:$T$823,15,0),"")</f>
        <v>2024</v>
      </c>
      <c r="Q233" s="101" t="str">
        <f>IFERROR(VLOOKUP(B233,'02. MM-KLH'!$B$6:$T$823,16,0),"")</f>
        <v>TR2204</v>
      </c>
      <c r="R233" s="101" t="str">
        <f>IFERROR(VLOOKUP(B233,'02. MM-KLH'!$B$6:$T$823,17,0),"")</f>
        <v>217HP</v>
      </c>
      <c r="S233" s="110" t="str">
        <f>IFERROR(VLOOKUP(B233,'02. MM-KLH'!$B$6:$T$823,18,0),"")</f>
        <v>M600085RM</v>
      </c>
      <c r="T233" s="111" t="str">
        <f>IFERROR(VLOOKUP(B233,'02. MM-KLH'!$B$6:$T$823,19,0),"")</f>
        <v>7324C004472</v>
      </c>
      <c r="U233" s="863" t="s">
        <v>3343</v>
      </c>
    </row>
    <row r="234" ht="13.5" customHeight="1" spans="1:21">
      <c r="A234" s="103">
        <f t="shared" si="9"/>
        <v>5</v>
      </c>
      <c r="B234" s="104" t="s">
        <v>1012</v>
      </c>
      <c r="C234" s="102">
        <f>IFERROR(VLOOKUP(B234,'02. MM-KLH'!$B$6:$T$823,2,0),"")</f>
        <v>0</v>
      </c>
      <c r="D234" s="103" t="str">
        <f>IFERROR(VLOOKUP(B234,'02. MM-KLH'!$B$6:$T$823,3,0),"")</f>
        <v>A22-MKE-060</v>
      </c>
      <c r="E234" s="102">
        <f>IFERROR(VLOOKUP(B234,'02. MM-KLH'!$B$6:$T$823,4,0),"")</f>
        <v>0</v>
      </c>
      <c r="F234" s="104"/>
      <c r="G234" s="102" t="str">
        <f>IFERROR(VLOOKUP(B234,'02. MM-KLH'!$B$6:$T$823,6,0),"")</f>
        <v>Máy cày LOVOL 1504</v>
      </c>
      <c r="H234" s="101" t="s">
        <v>3348</v>
      </c>
      <c r="I234" s="101" t="str">
        <f>IFERROR(VLOOKUP(B234,'02. MM-KLH'!$B$6:$T$823,8,0),"")</f>
        <v>CGLĐ DP</v>
      </c>
      <c r="J234" s="105" t="str">
        <f>IFERROR(VLOOKUP(B234,'02. MM-KLH'!$B$6:$T$823,9,0),"")</f>
        <v>18/12/2025</v>
      </c>
      <c r="K234" s="101" t="str">
        <f>IFERROR(VLOOKUP(B234,'02. MM-KLH'!$B$6:$T$823,10,0),"")</f>
        <v>Bình thường</v>
      </c>
      <c r="L234" s="107">
        <f>IFERROR(VLOOKUP(B234,'02. MM-KLH'!$B$6:$T$823,11,0),"")</f>
        <v>0</v>
      </c>
      <c r="M234" s="864" t="str">
        <f>IFERROR(VLOOKUP(B234,'02. MM-KLH'!$B$6:$T$823,12,0),"")</f>
        <v>Đầu tư mới</v>
      </c>
      <c r="N234" s="110" t="str">
        <f>IFERROR(VLOOKUP(B234,'02. MM-KLH'!$B$6:$T$823,13,0),"")</f>
        <v>LOVOL</v>
      </c>
      <c r="O234" s="110" t="str">
        <f>IFERROR(VLOOKUP(B234,'02. MM-KLH'!$B$6:$T$823,14,0),"")</f>
        <v>Trung Quốc</v>
      </c>
      <c r="P234" s="101">
        <f>IFERROR(VLOOKUP(B234,'02. MM-KLH'!$B$6:$T$823,15,0),"")</f>
        <v>2025</v>
      </c>
      <c r="Q234" s="101">
        <f>IFERROR(VLOOKUP(B234,'02. MM-KLH'!$B$6:$T$823,16,0),"")</f>
        <v>1504</v>
      </c>
      <c r="R234" s="101" t="str">
        <f>IFERROR(VLOOKUP(B234,'02. MM-KLH'!$B$6:$T$823,17,0),"")</f>
        <v>150HP</v>
      </c>
      <c r="S234" s="110" t="str">
        <f>IFERROR(VLOOKUP(B234,'02. MM-KLH'!$B$6:$T$823,18,0),"")</f>
        <v>M600279SX</v>
      </c>
      <c r="T234" s="111" t="str">
        <f>IFERROR(VLOOKUP(B234,'02. MM-KLH'!$B$6:$T$823,19,0),"")</f>
        <v>WP6G180E3306P25J023348</v>
      </c>
      <c r="U234" s="863" t="s">
        <v>3343</v>
      </c>
    </row>
    <row r="235" ht="13.5" customHeight="1" spans="1:21">
      <c r="A235" s="103">
        <f t="shared" si="9"/>
        <v>6</v>
      </c>
      <c r="B235" s="104" t="s">
        <v>1095</v>
      </c>
      <c r="C235" s="102">
        <f>IFERROR(VLOOKUP(B235,'02. MM-KLH'!$B$6:$T$823,2,0),"")</f>
        <v>0</v>
      </c>
      <c r="D235" s="103" t="str">
        <f>IFERROR(VLOOKUP(B235,'02. MM-KLH'!$B$6:$T$823,3,0),"")</f>
        <v>A22-MKE-058</v>
      </c>
      <c r="E235" s="102">
        <f>IFERROR(VLOOKUP(B235,'02. MM-KLH'!$B$6:$T$823,4,0),"")</f>
        <v>0</v>
      </c>
      <c r="F235" s="104"/>
      <c r="G235" s="102" t="str">
        <f>IFERROR(VLOOKUP(B235,'02. MM-KLH'!$B$6:$T$823,6,0),"")</f>
        <v>Máy cày LOVOL 1504</v>
      </c>
      <c r="H235" s="101" t="s">
        <v>3348</v>
      </c>
      <c r="I235" s="101" t="str">
        <f>IFERROR(VLOOKUP(B235,'02. MM-KLH'!$B$6:$T$823,8,0),"")</f>
        <v>CGLĐ LP</v>
      </c>
      <c r="J235" s="105" t="str">
        <f>IFERROR(VLOOKUP(B235,'02. MM-KLH'!$B$6:$T$823,9,0),"")</f>
        <v>18/12/2025</v>
      </c>
      <c r="K235" s="101" t="str">
        <f>IFERROR(VLOOKUP(B235,'02. MM-KLH'!$B$6:$T$823,10,0),"")</f>
        <v>Bình thường</v>
      </c>
      <c r="L235" s="107">
        <f>IFERROR(VLOOKUP(B235,'02. MM-KLH'!$B$6:$T$823,11,0),"")</f>
        <v>0</v>
      </c>
      <c r="M235" s="864" t="str">
        <f>IFERROR(VLOOKUP(B235,'02. MM-KLH'!$B$6:$T$823,12,0),"")</f>
        <v>Đầu tư mới</v>
      </c>
      <c r="N235" s="110" t="str">
        <f>IFERROR(VLOOKUP(B235,'02. MM-KLH'!$B$6:$T$823,13,0),"")</f>
        <v>LOVOL</v>
      </c>
      <c r="O235" s="110" t="str">
        <f>IFERROR(VLOOKUP(B235,'02. MM-KLH'!$B$6:$T$823,14,0),"")</f>
        <v>Trung Quốc</v>
      </c>
      <c r="P235" s="101">
        <f>IFERROR(VLOOKUP(B235,'02. MM-KLH'!$B$6:$T$823,15,0),"")</f>
        <v>2025</v>
      </c>
      <c r="Q235" s="101">
        <f>IFERROR(VLOOKUP(B235,'02. MM-KLH'!$B$6:$T$823,16,0),"")</f>
        <v>1504</v>
      </c>
      <c r="R235" s="101" t="str">
        <f>IFERROR(VLOOKUP(B235,'02. MM-KLH'!$B$6:$T$823,17,0),"")</f>
        <v>150HP</v>
      </c>
      <c r="S235" s="110" t="str">
        <f>IFERROR(VLOOKUP(B235,'02. MM-KLH'!$B$6:$T$823,18,0),"")</f>
        <v>M600277SU</v>
      </c>
      <c r="T235" s="111" t="str">
        <f>IFERROR(VLOOKUP(B235,'02. MM-KLH'!$B$6:$T$823,19,0),"")</f>
        <v>WP6G180E3306P25J023351</v>
      </c>
      <c r="U235" s="863" t="s">
        <v>3343</v>
      </c>
    </row>
    <row r="236" ht="13.5" customHeight="1" spans="1:21">
      <c r="A236" s="103">
        <f t="shared" si="9"/>
        <v>7</v>
      </c>
      <c r="B236" s="104" t="s">
        <v>1953</v>
      </c>
      <c r="C236" s="102" t="str">
        <f>IFERROR(VLOOKUP(B236,'02. MM-KLH'!$B$6:$T$823,2,0),"")</f>
        <v>Mới (100%)</v>
      </c>
      <c r="D236" s="103" t="str">
        <f>IFERROR(VLOOKUP(B236,'02. MM-KLH'!$B$6:$T$823,3,0),"")</f>
        <v>A22-MKE-061</v>
      </c>
      <c r="E236" s="102">
        <f>IFERROR(VLOOKUP(B236,'02. MM-KLH'!$B$6:$T$823,4,0),"")</f>
        <v>0</v>
      </c>
      <c r="F236" s="104"/>
      <c r="G236" s="102" t="str">
        <f>IFERROR(VLOOKUP(B236,'02. MM-KLH'!$B$6:$T$823,6,0),"")</f>
        <v>Máy cày LOVOL 1504</v>
      </c>
      <c r="H236" s="101" t="s">
        <v>3348</v>
      </c>
      <c r="I236" s="101" t="str">
        <f>IFERROR(VLOOKUP(B236,'02. MM-KLH'!$B$6:$T$823,8,0),"")</f>
        <v>XN Bò AD</v>
      </c>
      <c r="J236" s="105" t="str">
        <f>IFERROR(VLOOKUP(B236,'02. MM-KLH'!$B$6:$T$823,9,0),"")</f>
        <v>18/12/2025</v>
      </c>
      <c r="K236" s="101" t="str">
        <f>IFERROR(VLOOKUP(B236,'02. MM-KLH'!$B$6:$T$823,10,0),"")</f>
        <v>Bình thường</v>
      </c>
      <c r="L236" s="107">
        <f>IFERROR(VLOOKUP(B236,'02. MM-KLH'!$B$6:$T$823,11,0),"")</f>
        <v>0</v>
      </c>
      <c r="M236" s="864">
        <f>IFERROR(VLOOKUP(B236,'02. MM-KLH'!$B$6:$T$823,12,0),"")</f>
        <v>0</v>
      </c>
      <c r="N236" s="110" t="str">
        <f>IFERROR(VLOOKUP(B236,'02. MM-KLH'!$B$6:$T$823,13,0),"")</f>
        <v>LOVOL</v>
      </c>
      <c r="O236" s="110" t="str">
        <f>IFERROR(VLOOKUP(B236,'02. MM-KLH'!$B$6:$T$823,14,0),"")</f>
        <v>Trung Quốc</v>
      </c>
      <c r="P236" s="101">
        <f>IFERROR(VLOOKUP(B236,'02. MM-KLH'!$B$6:$T$823,15,0),"")</f>
        <v>2025</v>
      </c>
      <c r="Q236" s="101">
        <f>IFERROR(VLOOKUP(B236,'02. MM-KLH'!$B$6:$T$823,16,0),"")</f>
        <v>1504</v>
      </c>
      <c r="R236" s="101" t="str">
        <f>IFERROR(VLOOKUP(B236,'02. MM-KLH'!$B$6:$T$823,17,0),"")</f>
        <v>150HP</v>
      </c>
      <c r="S236" s="110" t="str">
        <f>IFERROR(VLOOKUP(B236,'02. MM-KLH'!$B$6:$T$823,18,0),"")</f>
        <v>M600280SX</v>
      </c>
      <c r="T236" s="111" t="str">
        <f>IFERROR(VLOOKUP(B236,'02. MM-KLH'!$B$6:$T$823,19,0),"")</f>
        <v>WP6G180E3306P25J023350</v>
      </c>
      <c r="U236" s="863" t="s">
        <v>3343</v>
      </c>
    </row>
    <row r="237" ht="13.5" customHeight="1" spans="1:21">
      <c r="A237" s="103">
        <f t="shared" si="9"/>
        <v>8</v>
      </c>
      <c r="B237" s="104" t="s">
        <v>1945</v>
      </c>
      <c r="C237" s="102" t="str">
        <f>IFERROR(VLOOKUP(B237,'02. MM-KLH'!$B$6:$T$823,2,0),"")</f>
        <v>Mới (100%)</v>
      </c>
      <c r="D237" s="103" t="str">
        <f>IFERROR(VLOOKUP(B237,'02. MM-KLH'!$B$6:$T$823,3,0),"")</f>
        <v>A22-MKE-059</v>
      </c>
      <c r="E237" s="102">
        <f>IFERROR(VLOOKUP(B237,'02. MM-KLH'!$B$6:$T$823,4,0),"")</f>
        <v>0</v>
      </c>
      <c r="F237" s="104"/>
      <c r="G237" s="102" t="str">
        <f>IFERROR(VLOOKUP(B237,'02. MM-KLH'!$B$6:$T$823,6,0),"")</f>
        <v>Máy cày LOVOL 1504</v>
      </c>
      <c r="H237" s="101" t="s">
        <v>3348</v>
      </c>
      <c r="I237" s="101" t="str">
        <f>IFERROR(VLOOKUP(B237,'02. MM-KLH'!$B$6:$T$823,8,0),"")</f>
        <v>XN Bò AD</v>
      </c>
      <c r="J237" s="105" t="str">
        <f>IFERROR(VLOOKUP(B237,'02. MM-KLH'!$B$6:$T$823,9,0),"")</f>
        <v>18/12/2025</v>
      </c>
      <c r="K237" s="101" t="str">
        <f>IFERROR(VLOOKUP(B237,'02. MM-KLH'!$B$6:$T$823,10,0),"")</f>
        <v>Bình thường</v>
      </c>
      <c r="L237" s="107">
        <f>IFERROR(VLOOKUP(B237,'02. MM-KLH'!$B$6:$T$823,11,0),"")</f>
        <v>0</v>
      </c>
      <c r="M237" s="864">
        <f>IFERROR(VLOOKUP(B237,'02. MM-KLH'!$B$6:$T$823,12,0),"")</f>
        <v>0</v>
      </c>
      <c r="N237" s="110" t="str">
        <f>IFERROR(VLOOKUP(B237,'02. MM-KLH'!$B$6:$T$823,13,0),"")</f>
        <v>LOVOL</v>
      </c>
      <c r="O237" s="110" t="str">
        <f>IFERROR(VLOOKUP(B237,'02. MM-KLH'!$B$6:$T$823,14,0),"")</f>
        <v>Trung Quốc</v>
      </c>
      <c r="P237" s="101">
        <f>IFERROR(VLOOKUP(B237,'02. MM-KLH'!$B$6:$T$823,15,0),"")</f>
        <v>2025</v>
      </c>
      <c r="Q237" s="101">
        <f>IFERROR(VLOOKUP(B237,'02. MM-KLH'!$B$6:$T$823,16,0),"")</f>
        <v>1504</v>
      </c>
      <c r="R237" s="101" t="str">
        <f>IFERROR(VLOOKUP(B237,'02. MM-KLH'!$B$6:$T$823,17,0),"")</f>
        <v>150HP</v>
      </c>
      <c r="S237" s="110" t="str">
        <f>IFERROR(VLOOKUP(B237,'02. MM-KLH'!$B$6:$T$823,18,0),"")</f>
        <v>M600278SX</v>
      </c>
      <c r="T237" s="111" t="str">
        <f>IFERROR(VLOOKUP(B237,'02. MM-KLH'!$B$6:$T$823,19,0),"")</f>
        <v>WP6G180E3306P25J023349</v>
      </c>
      <c r="U237" s="863" t="s">
        <v>3343</v>
      </c>
    </row>
    <row r="238" ht="13.5" customHeight="1" spans="1:21">
      <c r="A238" s="103">
        <f t="shared" si="9"/>
        <v>9</v>
      </c>
      <c r="B238" s="104" t="s">
        <v>1938</v>
      </c>
      <c r="C238" s="102" t="str">
        <f>IFERROR(VLOOKUP(B238,'02. MM-KLH'!$B$6:$T$823,2,0),"")</f>
        <v>Mới (100%)</v>
      </c>
      <c r="D238" s="103" t="str">
        <f>IFERROR(VLOOKUP(B238,'02. MM-KLH'!$B$6:$T$823,3,0),"")</f>
        <v>A22-MKE-064</v>
      </c>
      <c r="E238" s="102">
        <f>IFERROR(VLOOKUP(B238,'02. MM-KLH'!$B$6:$T$823,4,0),"")</f>
        <v>0</v>
      </c>
      <c r="F238" s="104"/>
      <c r="G238" s="102" t="str">
        <f>IFERROR(VLOOKUP(B238,'02. MM-KLH'!$B$6:$T$823,6,0),"")</f>
        <v>Máy cày LOVOL P4100</v>
      </c>
      <c r="H238" s="101" t="s">
        <v>3348</v>
      </c>
      <c r="I238" s="101" t="str">
        <f>IFERROR(VLOOKUP(B238,'02. MM-KLH'!$B$6:$T$823,8,0),"")</f>
        <v>XN Bò AD</v>
      </c>
      <c r="J238" s="105" t="str">
        <f>IFERROR(VLOOKUP(B238,'02. MM-KLH'!$B$6:$T$823,9,0),"")</f>
        <v>28/05/2026</v>
      </c>
      <c r="K238" s="101" t="str">
        <f>IFERROR(VLOOKUP(B238,'02. MM-KLH'!$B$6:$T$823,10,0),"")</f>
        <v>Bình thường</v>
      </c>
      <c r="L238" s="107">
        <f>IFERROR(VLOOKUP(B238,'02. MM-KLH'!$B$6:$T$823,11,0),"")</f>
        <v>0</v>
      </c>
      <c r="M238" s="864" t="str">
        <f>IFERROR(VLOOKUP(B238,'02. MM-KLH'!$B$6:$T$823,12,0),"")</f>
        <v>Đầu tư mới</v>
      </c>
      <c r="N238" s="110" t="str">
        <f>IFERROR(VLOOKUP(B238,'02. MM-KLH'!$B$6:$T$823,13,0),"")</f>
        <v>LOVOL</v>
      </c>
      <c r="O238" s="110" t="str">
        <f>IFERROR(VLOOKUP(B238,'02. MM-KLH'!$B$6:$T$823,14,0),"")</f>
        <v>TRUNG QUỐC </v>
      </c>
      <c r="P238" s="101">
        <f>IFERROR(VLOOKUP(B238,'02. MM-KLH'!$B$6:$T$823,15,0),"")</f>
        <v>2026</v>
      </c>
      <c r="Q238" s="101" t="str">
        <f>IFERROR(VLOOKUP(B238,'02. MM-KLH'!$B$6:$T$823,16,0),"")</f>
        <v>P4100</v>
      </c>
      <c r="R238" s="101" t="str">
        <f>IFERROR(VLOOKUP(B238,'02. MM-KLH'!$B$6:$T$823,17,0),"")</f>
        <v>100 HP</v>
      </c>
      <c r="S238" s="110" t="str">
        <f>IFERROR(VLOOKUP(B238,'02. MM-KLH'!$B$6:$T$823,18,0),"")</f>
        <v>P400050TM</v>
      </c>
      <c r="T238" s="111" t="str">
        <f>IFERROR(VLOOKUP(B238,'02. MM-KLH'!$B$6:$T$823,19,0),"")</f>
        <v>E426C008054</v>
      </c>
      <c r="U238" s="863" t="s">
        <v>3343</v>
      </c>
    </row>
    <row r="239" ht="30.75" customHeight="1" spans="1:21">
      <c r="A239" s="103">
        <f t="shared" si="9"/>
        <v>10</v>
      </c>
      <c r="B239" s="104" t="s">
        <v>1969</v>
      </c>
      <c r="C239" s="102" t="str">
        <f>IFERROR(VLOOKUP(B239,'02. MM-KLH'!$B$6:$T$823,2,0),"")</f>
        <v>XXA-MKE-012</v>
      </c>
      <c r="D239" s="103" t="str">
        <f>IFERROR(VLOOKUP(B239,'02. MM-KLH'!$B$6:$T$823,3,0),"")</f>
        <v>A24-MKE-038</v>
      </c>
      <c r="E239" s="102">
        <f>IFERROR(VLOOKUP(B239,'02. MM-KLH'!$B$6:$T$823,4,0),"")</f>
        <v>0</v>
      </c>
      <c r="F239" s="104"/>
      <c r="G239" s="102" t="str">
        <f>IFERROR(VLOOKUP(B239,'02. MM-KLH'!$B$6:$T$823,6,0),"")</f>
        <v>Máy cày LOVOL P4110</v>
      </c>
      <c r="H239" s="101" t="s">
        <v>3348</v>
      </c>
      <c r="I239" s="101" t="str">
        <f>IFERROR(VLOOKUP(B239,'02. MM-KLH'!$B$6:$T$823,8,0),"")</f>
        <v>XN Bò AD</v>
      </c>
      <c r="J239" s="105" t="str">
        <f>IFERROR(VLOOKUP(B239,'02. MM-KLH'!$B$6:$T$823,9,0),"")</f>
        <v>28/05/2026</v>
      </c>
      <c r="K239" s="101" t="str">
        <f>IFERROR(VLOOKUP(B239,'02. MM-KLH'!$B$6:$T$823,10,0),"")</f>
        <v>Bình thường</v>
      </c>
      <c r="L239" s="107">
        <f>IFERROR(VLOOKUP(B239,'02. MM-KLH'!$B$6:$T$823,11,0),"")</f>
        <v>0</v>
      </c>
      <c r="M239" s="1100" t="str">
        <f>IFERROR(VLOOKUP(B239,'02. MM-KLH'!$B$6:$T$823,12,0),"")</f>
        <v>- Đầu tư mới XN Xoài T6/2026
- Chuyển về XN Bò 13/06/2026</v>
      </c>
      <c r="N239" s="110" t="str">
        <f>IFERROR(VLOOKUP(B239,'02. MM-KLH'!$B$6:$T$823,13,0),"")</f>
        <v>LOVOL</v>
      </c>
      <c r="O239" s="110" t="str">
        <f>IFERROR(VLOOKUP(B239,'02. MM-KLH'!$B$6:$T$823,14,0),"")</f>
        <v>TRUNG QUỐC</v>
      </c>
      <c r="P239" s="101">
        <f>IFERROR(VLOOKUP(B239,'02. MM-KLH'!$B$6:$T$823,15,0),"")</f>
        <v>2026</v>
      </c>
      <c r="Q239" s="101" t="str">
        <f>IFERROR(VLOOKUP(B239,'02. MM-KLH'!$B$6:$T$823,16,0),"")</f>
        <v>P4110</v>
      </c>
      <c r="R239" s="101" t="str">
        <f>IFERROR(VLOOKUP(B239,'02. MM-KLH'!$B$6:$T$823,17,0),"")</f>
        <v>110 HP</v>
      </c>
      <c r="S239" s="110" t="str">
        <f>IFERROR(VLOOKUP(B239,'02. MM-KLH'!$B$6:$T$823,18,0),"")</f>
        <v>P400067TM</v>
      </c>
      <c r="T239" s="111" t="str">
        <f>IFERROR(VLOOKUP(B239,'02. MM-KLH'!$B$6:$T$823,19,0),"")</f>
        <v>E426C008079</v>
      </c>
      <c r="U239" s="863" t="s">
        <v>3343</v>
      </c>
    </row>
    <row r="240" ht="13.5" customHeight="1" spans="1:21">
      <c r="A240" s="103">
        <f t="shared" si="9"/>
        <v>11</v>
      </c>
      <c r="B240" s="104" t="s">
        <v>1949</v>
      </c>
      <c r="C240" s="102" t="str">
        <f>IFERROR(VLOOKUP(B240,'02. MM-KLH'!$B$6:$T$823,2,0),"")</f>
        <v>Mới (100%)</v>
      </c>
      <c r="D240" s="103" t="str">
        <f>IFERROR(VLOOKUP(B240,'02. MM-KLH'!$B$6:$T$823,3,0),"")</f>
        <v>A22-MKE-065</v>
      </c>
      <c r="E240" s="102">
        <f>IFERROR(VLOOKUP(B240,'02. MM-KLH'!$B$6:$T$823,4,0),"")</f>
        <v>0</v>
      </c>
      <c r="F240" s="104"/>
      <c r="G240" s="102" t="str">
        <f>IFERROR(VLOOKUP(B240,'02. MM-KLH'!$B$6:$T$823,6,0),"")</f>
        <v>Máy cày LOVOL P4100</v>
      </c>
      <c r="H240" s="101" t="s">
        <v>3348</v>
      </c>
      <c r="I240" s="101" t="str">
        <f>IFERROR(VLOOKUP(B240,'02. MM-KLH'!$B$6:$T$823,8,0),"")</f>
        <v>XN Bò AD</v>
      </c>
      <c r="J240" s="105" t="str">
        <f>IFERROR(VLOOKUP(B240,'02. MM-KLH'!$B$6:$T$823,9,0),"")</f>
        <v>28/05/2026</v>
      </c>
      <c r="K240" s="101" t="str">
        <f>IFERROR(VLOOKUP(B240,'02. MM-KLH'!$B$6:$T$823,10,0),"")</f>
        <v>Bình thường</v>
      </c>
      <c r="L240" s="107">
        <f>IFERROR(VLOOKUP(B240,'02. MM-KLH'!$B$6:$T$823,11,0),"")</f>
        <v>0</v>
      </c>
      <c r="M240" s="864" t="str">
        <f>IFERROR(VLOOKUP(B240,'02. MM-KLH'!$B$6:$T$823,12,0),"")</f>
        <v>Đầu tư mới</v>
      </c>
      <c r="N240" s="110" t="str">
        <f>IFERROR(VLOOKUP(B240,'02. MM-KLH'!$B$6:$T$823,13,0),"")</f>
        <v>LOVOL</v>
      </c>
      <c r="O240" s="110" t="str">
        <f>IFERROR(VLOOKUP(B240,'02. MM-KLH'!$B$6:$T$823,14,0),"")</f>
        <v>TRUNG QUỐC </v>
      </c>
      <c r="P240" s="101">
        <f>IFERROR(VLOOKUP(B240,'02. MM-KLH'!$B$6:$T$823,15,0),"")</f>
        <v>2026</v>
      </c>
      <c r="Q240" s="101" t="str">
        <f>IFERROR(VLOOKUP(B240,'02. MM-KLH'!$B$6:$T$823,16,0),"")</f>
        <v>P4100</v>
      </c>
      <c r="R240" s="101" t="str">
        <f>IFERROR(VLOOKUP(B240,'02. MM-KLH'!$B$6:$T$823,17,0),"")</f>
        <v>100 HP</v>
      </c>
      <c r="S240" s="110" t="str">
        <f>IFERROR(VLOOKUP(B240,'02. MM-KLH'!$B$6:$T$823,18,0),"")</f>
        <v>P400051TM</v>
      </c>
      <c r="T240" s="111" t="str">
        <f>IFERROR(VLOOKUP(B240,'02. MM-KLH'!$B$6:$T$823,19,0),"")</f>
        <v>E426C008049</v>
      </c>
      <c r="U240" s="863" t="s">
        <v>3343</v>
      </c>
    </row>
    <row r="241" ht="13.5" customHeight="1" spans="1:21">
      <c r="A241" s="103">
        <f t="shared" si="9"/>
        <v>12</v>
      </c>
      <c r="B241" s="104" t="s">
        <v>1992</v>
      </c>
      <c r="C241" s="102" t="str">
        <f>IFERROR(VLOOKUP(B241,'02. MM-KLH'!$B$6:$T$823,2,0),"")</f>
        <v>Mới (100%)</v>
      </c>
      <c r="D241" s="103" t="str">
        <f>IFERROR(VLOOKUP(B241,'02. MM-KLH'!$B$6:$T$823,3,0),"")</f>
        <v>A22-MKE-066</v>
      </c>
      <c r="E241" s="102">
        <f>IFERROR(VLOOKUP(B241,'02. MM-KLH'!$B$6:$T$823,4,0),"")</f>
        <v>0</v>
      </c>
      <c r="F241" s="104"/>
      <c r="G241" s="102" t="str">
        <f>IFERROR(VLOOKUP(B241,'02. MM-KLH'!$B$6:$T$823,6,0),"")</f>
        <v>Máy cày LOVOL P4100</v>
      </c>
      <c r="H241" s="101" t="s">
        <v>3348</v>
      </c>
      <c r="I241" s="101" t="str">
        <f>IFERROR(VLOOKUP(B241,'02. MM-KLH'!$B$6:$T$823,8,0),"")</f>
        <v>XN Bò AD</v>
      </c>
      <c r="J241" s="105" t="str">
        <f>IFERROR(VLOOKUP(B241,'02. MM-KLH'!$B$6:$T$823,9,0),"")</f>
        <v>28/05/2026</v>
      </c>
      <c r="K241" s="101" t="str">
        <f>IFERROR(VLOOKUP(B241,'02. MM-KLH'!$B$6:$T$823,10,0),"")</f>
        <v>Bình thường</v>
      </c>
      <c r="L241" s="107">
        <f>IFERROR(VLOOKUP(B241,'02. MM-KLH'!$B$6:$T$823,11,0),"")</f>
        <v>0</v>
      </c>
      <c r="M241" s="864" t="str">
        <f>IFERROR(VLOOKUP(B241,'02. MM-KLH'!$B$6:$T$823,12,0),"")</f>
        <v>Đầu tư mới</v>
      </c>
      <c r="N241" s="110" t="str">
        <f>IFERROR(VLOOKUP(B241,'02. MM-KLH'!$B$6:$T$823,13,0),"")</f>
        <v>LOVOL</v>
      </c>
      <c r="O241" s="110" t="str">
        <f>IFERROR(VLOOKUP(B241,'02. MM-KLH'!$B$6:$T$823,14,0),"")</f>
        <v>TRUNG QUỐC </v>
      </c>
      <c r="P241" s="101">
        <f>IFERROR(VLOOKUP(B241,'02. MM-KLH'!$B$6:$T$823,15,0),"")</f>
        <v>2026</v>
      </c>
      <c r="Q241" s="101" t="str">
        <f>IFERROR(VLOOKUP(B241,'02. MM-KLH'!$B$6:$T$823,16,0),"")</f>
        <v>P4100</v>
      </c>
      <c r="R241" s="101" t="str">
        <f>IFERROR(VLOOKUP(B241,'02. MM-KLH'!$B$6:$T$823,17,0),"")</f>
        <v>100 HP</v>
      </c>
      <c r="S241" s="110" t="str">
        <f>IFERROR(VLOOKUP(B241,'02. MM-KLH'!$B$6:$T$823,18,0),"")</f>
        <v>P400052TM</v>
      </c>
      <c r="T241" s="111" t="str">
        <f>IFERROR(VLOOKUP(B241,'02. MM-KLH'!$B$6:$T$823,19,0),"")</f>
        <v>E426C008042</v>
      </c>
      <c r="U241" s="863" t="s">
        <v>3343</v>
      </c>
    </row>
    <row r="242" ht="13.5" customHeight="1" spans="1:21">
      <c r="A242" s="103">
        <f t="shared" si="9"/>
        <v>13</v>
      </c>
      <c r="B242" s="104" t="s">
        <v>1996</v>
      </c>
      <c r="C242" s="102" t="str">
        <f>IFERROR(VLOOKUP(B242,'02. MM-KLH'!$B$6:$T$823,2,0),"")</f>
        <v>Mới (100%)</v>
      </c>
      <c r="D242" s="103" t="str">
        <f>IFERROR(VLOOKUP(B242,'02. MM-KLH'!$B$6:$T$823,3,0),"")</f>
        <v>A22-MKE-067</v>
      </c>
      <c r="E242" s="102">
        <f>IFERROR(VLOOKUP(B242,'02. MM-KLH'!$B$6:$T$823,4,0),"")</f>
        <v>0</v>
      </c>
      <c r="F242" s="104"/>
      <c r="G242" s="102" t="str">
        <f>IFERROR(VLOOKUP(B242,'02. MM-KLH'!$B$6:$T$823,6,0),"")</f>
        <v>Máy cày LOVOL P4100</v>
      </c>
      <c r="H242" s="101" t="s">
        <v>3348</v>
      </c>
      <c r="I242" s="101" t="str">
        <f>IFERROR(VLOOKUP(B242,'02. MM-KLH'!$B$6:$T$823,8,0),"")</f>
        <v>XN Bò AD</v>
      </c>
      <c r="J242" s="105" t="str">
        <f>IFERROR(VLOOKUP(B242,'02. MM-KLH'!$B$6:$T$823,9,0),"")</f>
        <v>28/05/2026</v>
      </c>
      <c r="K242" s="101" t="str">
        <f>IFERROR(VLOOKUP(B242,'02. MM-KLH'!$B$6:$T$823,10,0),"")</f>
        <v>Bình thường</v>
      </c>
      <c r="L242" s="107">
        <f>IFERROR(VLOOKUP(B242,'02. MM-KLH'!$B$6:$T$823,11,0),"")</f>
        <v>0</v>
      </c>
      <c r="M242" s="864" t="str">
        <f>IFERROR(VLOOKUP(B242,'02. MM-KLH'!$B$6:$T$823,12,0),"")</f>
        <v>Đầu tư mới</v>
      </c>
      <c r="N242" s="110" t="str">
        <f>IFERROR(VLOOKUP(B242,'02. MM-KLH'!$B$6:$T$823,13,0),"")</f>
        <v>LOVOL</v>
      </c>
      <c r="O242" s="110" t="str">
        <f>IFERROR(VLOOKUP(B242,'02. MM-KLH'!$B$6:$T$823,14,0),"")</f>
        <v>TRUNG QUỐC </v>
      </c>
      <c r="P242" s="101">
        <f>IFERROR(VLOOKUP(B242,'02. MM-KLH'!$B$6:$T$823,15,0),"")</f>
        <v>2026</v>
      </c>
      <c r="Q242" s="101" t="str">
        <f>IFERROR(VLOOKUP(B242,'02. MM-KLH'!$B$6:$T$823,16,0),"")</f>
        <v>P4100</v>
      </c>
      <c r="R242" s="101" t="str">
        <f>IFERROR(VLOOKUP(B242,'02. MM-KLH'!$B$6:$T$823,17,0),"")</f>
        <v>100 HP</v>
      </c>
      <c r="S242" s="110" t="str">
        <f>IFERROR(VLOOKUP(B242,'02. MM-KLH'!$B$6:$T$823,18,0),"")</f>
        <v>P400053TM</v>
      </c>
      <c r="T242" s="111" t="str">
        <f>IFERROR(VLOOKUP(B242,'02. MM-KLH'!$B$6:$T$823,19,0),"")</f>
        <v>E426C008052</v>
      </c>
      <c r="U242" s="863" t="s">
        <v>3343</v>
      </c>
    </row>
    <row r="243" ht="13.5" customHeight="1" spans="1:21">
      <c r="A243" s="103">
        <f t="shared" si="9"/>
        <v>14</v>
      </c>
      <c r="B243" s="104" t="s">
        <v>2000</v>
      </c>
      <c r="C243" s="102" t="str">
        <f>IFERROR(VLOOKUP(B243,'02. MM-KLH'!$B$6:$T$823,2,0),"")</f>
        <v>Mới (100%)</v>
      </c>
      <c r="D243" s="103" t="str">
        <f>IFERROR(VLOOKUP(B243,'02. MM-KLH'!$B$6:$T$823,3,0),"")</f>
        <v>A24-MKE-039</v>
      </c>
      <c r="E243" s="102">
        <f>IFERROR(VLOOKUP(B243,'02. MM-KLH'!$B$6:$T$823,4,0),"")</f>
        <v>0</v>
      </c>
      <c r="F243" s="104"/>
      <c r="G243" s="102" t="str">
        <f>IFERROR(VLOOKUP(B243,'02. MM-KLH'!$B$6:$T$823,6,0),"")</f>
        <v>Máy cày LOVOL P4110</v>
      </c>
      <c r="H243" s="101" t="s">
        <v>3348</v>
      </c>
      <c r="I243" s="101" t="str">
        <f>IFERROR(VLOOKUP(B243,'02. MM-KLH'!$B$6:$T$823,8,0),"")</f>
        <v>XN Bò AD</v>
      </c>
      <c r="J243" s="105" t="str">
        <f>IFERROR(VLOOKUP(B243,'02. MM-KLH'!$B$6:$T$823,9,0),"")</f>
        <v>28/05/2026</v>
      </c>
      <c r="K243" s="101" t="str">
        <f>IFERROR(VLOOKUP(B243,'02. MM-KLH'!$B$6:$T$823,10,0),"")</f>
        <v>Bình thường</v>
      </c>
      <c r="L243" s="107">
        <f>IFERROR(VLOOKUP(B243,'02. MM-KLH'!$B$6:$T$823,11,0),"")</f>
        <v>0</v>
      </c>
      <c r="M243" s="864" t="str">
        <f>IFERROR(VLOOKUP(B243,'02. MM-KLH'!$B$6:$T$823,12,0),"")</f>
        <v>Đầu tư mới</v>
      </c>
      <c r="N243" s="110" t="str">
        <f>IFERROR(VLOOKUP(B243,'02. MM-KLH'!$B$6:$T$823,13,0),"")</f>
        <v>LOVOL</v>
      </c>
      <c r="O243" s="110" t="str">
        <f>IFERROR(VLOOKUP(B243,'02. MM-KLH'!$B$6:$T$823,14,0),"")</f>
        <v>TRUNG QUỐC </v>
      </c>
      <c r="P243" s="101">
        <f>IFERROR(VLOOKUP(B243,'02. MM-KLH'!$B$6:$T$823,15,0),"")</f>
        <v>2026</v>
      </c>
      <c r="Q243" s="101" t="str">
        <f>IFERROR(VLOOKUP(B243,'02. MM-KLH'!$B$6:$T$823,16,0),"")</f>
        <v>P4110</v>
      </c>
      <c r="R243" s="101" t="str">
        <f>IFERROR(VLOOKUP(B243,'02. MM-KLH'!$B$6:$T$823,17,0),"")</f>
        <v>110 HP</v>
      </c>
      <c r="S243" s="110" t="str">
        <f>IFERROR(VLOOKUP(B243,'02. MM-KLH'!$B$6:$T$823,18,0),"")</f>
        <v>P400068TM</v>
      </c>
      <c r="T243" s="111" t="str">
        <f>IFERROR(VLOOKUP(B243,'02. MM-KLH'!$B$6:$T$823,19,0),"")</f>
        <v>E426C008939</v>
      </c>
      <c r="U243" s="863" t="s">
        <v>3343</v>
      </c>
    </row>
    <row r="244" ht="13.5" customHeight="1" spans="1:21">
      <c r="A244" s="103">
        <f t="shared" si="9"/>
        <v>15</v>
      </c>
      <c r="B244" s="104" t="s">
        <v>2004</v>
      </c>
      <c r="C244" s="102" t="str">
        <f>IFERROR(VLOOKUP(B244,'02. MM-KLH'!$B$6:$T$823,2,0),"")</f>
        <v>Mới (100%)</v>
      </c>
      <c r="D244" s="103" t="str">
        <f>IFERROR(VLOOKUP(B244,'02. MM-KLH'!$B$6:$T$823,3,0),"")</f>
        <v>A24-MKE-040</v>
      </c>
      <c r="E244" s="102">
        <f>IFERROR(VLOOKUP(B244,'02. MM-KLH'!$B$6:$T$823,4,0),"")</f>
        <v>0</v>
      </c>
      <c r="F244" s="104"/>
      <c r="G244" s="102" t="str">
        <f>IFERROR(VLOOKUP(B244,'02. MM-KLH'!$B$6:$T$823,6,0),"")</f>
        <v>Máy cày LOVOL P4110</v>
      </c>
      <c r="H244" s="101" t="s">
        <v>3348</v>
      </c>
      <c r="I244" s="101" t="str">
        <f>IFERROR(VLOOKUP(B244,'02. MM-KLH'!$B$6:$T$823,8,0),"")</f>
        <v>XN Bò AD</v>
      </c>
      <c r="J244" s="105" t="str">
        <f>IFERROR(VLOOKUP(B244,'02. MM-KLH'!$B$6:$T$823,9,0),"")</f>
        <v>28/05/2026</v>
      </c>
      <c r="K244" s="101" t="str">
        <f>IFERROR(VLOOKUP(B244,'02. MM-KLH'!$B$6:$T$823,10,0),"")</f>
        <v>Bình thường</v>
      </c>
      <c r="L244" s="107">
        <f>IFERROR(VLOOKUP(B244,'02. MM-KLH'!$B$6:$T$823,11,0),"")</f>
        <v>0</v>
      </c>
      <c r="M244" s="864" t="str">
        <f>IFERROR(VLOOKUP(B244,'02. MM-KLH'!$B$6:$T$823,12,0),"")</f>
        <v>Đầu tư mới</v>
      </c>
      <c r="N244" s="110" t="str">
        <f>IFERROR(VLOOKUP(B244,'02. MM-KLH'!$B$6:$T$823,13,0),"")</f>
        <v>LOVOL</v>
      </c>
      <c r="O244" s="110" t="str">
        <f>IFERROR(VLOOKUP(B244,'02. MM-KLH'!$B$6:$T$823,14,0),"")</f>
        <v>TRUNG QUỐC </v>
      </c>
      <c r="P244" s="101">
        <f>IFERROR(VLOOKUP(B244,'02. MM-KLH'!$B$6:$T$823,15,0),"")</f>
        <v>2026</v>
      </c>
      <c r="Q244" s="101" t="str">
        <f>IFERROR(VLOOKUP(B244,'02. MM-KLH'!$B$6:$T$823,16,0),"")</f>
        <v>P4110</v>
      </c>
      <c r="R244" s="101" t="str">
        <f>IFERROR(VLOOKUP(B244,'02. MM-KLH'!$B$6:$T$823,17,0),"")</f>
        <v>110 HP</v>
      </c>
      <c r="S244" s="110" t="str">
        <f>IFERROR(VLOOKUP(B244,'02. MM-KLH'!$B$6:$T$823,18,0),"")</f>
        <v>P400069TM</v>
      </c>
      <c r="T244" s="111" t="str">
        <f>IFERROR(VLOOKUP(B244,'02. MM-KLH'!$B$6:$T$823,19,0),"")</f>
        <v>E426C008097</v>
      </c>
      <c r="U244" s="863" t="s">
        <v>3343</v>
      </c>
    </row>
    <row r="245" ht="13.5" customHeight="1" spans="1:21">
      <c r="A245" s="103">
        <f t="shared" si="9"/>
        <v>16</v>
      </c>
      <c r="B245" s="104" t="s">
        <v>2008</v>
      </c>
      <c r="C245" s="102" t="str">
        <f>IFERROR(VLOOKUP(B245,'02. MM-KLH'!$B$6:$T$823,2,0),"")</f>
        <v>Mới (100%)</v>
      </c>
      <c r="D245" s="103" t="str">
        <f>IFERROR(VLOOKUP(B245,'02. MM-KLH'!$B$6:$T$823,3,0),"")</f>
        <v>A24-MKE-041</v>
      </c>
      <c r="E245" s="102">
        <f>IFERROR(VLOOKUP(B245,'02. MM-KLH'!$B$6:$T$823,4,0),"")</f>
        <v>0</v>
      </c>
      <c r="F245" s="104"/>
      <c r="G245" s="102" t="str">
        <f>IFERROR(VLOOKUP(B245,'02. MM-KLH'!$B$6:$T$823,6,0),"")</f>
        <v>Máy cày LOVOL P4110</v>
      </c>
      <c r="H245" s="101" t="s">
        <v>3348</v>
      </c>
      <c r="I245" s="101" t="str">
        <f>IFERROR(VLOOKUP(B245,'02. MM-KLH'!$B$6:$T$823,8,0),"")</f>
        <v>XN Bò AD</v>
      </c>
      <c r="J245" s="105" t="str">
        <f>IFERROR(VLOOKUP(B245,'02. MM-KLH'!$B$6:$T$823,9,0),"")</f>
        <v>28/05/2026</v>
      </c>
      <c r="K245" s="101" t="str">
        <f>IFERROR(VLOOKUP(B245,'02. MM-KLH'!$B$6:$T$823,10,0),"")</f>
        <v>Bình thường</v>
      </c>
      <c r="L245" s="107">
        <f>IFERROR(VLOOKUP(B245,'02. MM-KLH'!$B$6:$T$823,11,0),"")</f>
        <v>0</v>
      </c>
      <c r="M245" s="864" t="str">
        <f>IFERROR(VLOOKUP(B245,'02. MM-KLH'!$B$6:$T$823,12,0),"")</f>
        <v>Đầu tư mới</v>
      </c>
      <c r="N245" s="110" t="str">
        <f>IFERROR(VLOOKUP(B245,'02. MM-KLH'!$B$6:$T$823,13,0),"")</f>
        <v>LOVOL</v>
      </c>
      <c r="O245" s="110" t="str">
        <f>IFERROR(VLOOKUP(B245,'02. MM-KLH'!$B$6:$T$823,14,0),"")</f>
        <v>TRUNG QUỐC </v>
      </c>
      <c r="P245" s="101">
        <f>IFERROR(VLOOKUP(B245,'02. MM-KLH'!$B$6:$T$823,15,0),"")</f>
        <v>2026</v>
      </c>
      <c r="Q245" s="101" t="str">
        <f>IFERROR(VLOOKUP(B245,'02. MM-KLH'!$B$6:$T$823,16,0),"")</f>
        <v>P4110</v>
      </c>
      <c r="R245" s="101" t="str">
        <f>IFERROR(VLOOKUP(B245,'02. MM-KLH'!$B$6:$T$823,17,0),"")</f>
        <v>110 HP</v>
      </c>
      <c r="S245" s="110" t="str">
        <f>IFERROR(VLOOKUP(B245,'02. MM-KLH'!$B$6:$T$823,18,0),"")</f>
        <v>P400070TM</v>
      </c>
      <c r="T245" s="111" t="str">
        <f>IFERROR(VLOOKUP(B245,'02. MM-KLH'!$B$6:$T$823,19,0),"")</f>
        <v>E426C008092</v>
      </c>
      <c r="U245" s="863" t="s">
        <v>3343</v>
      </c>
    </row>
    <row r="246" ht="13.5" customHeight="1" spans="1:21">
      <c r="A246" s="103">
        <f t="shared" si="9"/>
        <v>17</v>
      </c>
      <c r="B246" s="104" t="s">
        <v>2012</v>
      </c>
      <c r="C246" s="102" t="str">
        <f>IFERROR(VLOOKUP(B246,'02. MM-KLH'!$B$6:$T$823,2,0),"")</f>
        <v>Mới (100%)</v>
      </c>
      <c r="D246" s="103" t="str">
        <f>IFERROR(VLOOKUP(B246,'02. MM-KLH'!$B$6:$T$823,3,0),"")</f>
        <v>A23-MKE-039</v>
      </c>
      <c r="E246" s="102">
        <f>IFERROR(VLOOKUP(B246,'02. MM-KLH'!$B$6:$T$823,4,0),"")</f>
        <v>0</v>
      </c>
      <c r="F246" s="104"/>
      <c r="G246" s="102" t="str">
        <f>IFERROR(VLOOKUP(B246,'02. MM-KLH'!$B$6:$T$823,6,0),"")</f>
        <v>Máy cày LOVOL TR1504</v>
      </c>
      <c r="H246" s="101" t="s">
        <v>3348</v>
      </c>
      <c r="I246" s="101" t="str">
        <f>IFERROR(VLOOKUP(B246,'02. MM-KLH'!$B$6:$T$823,8,0),"")</f>
        <v>XN Bò AD</v>
      </c>
      <c r="J246" s="105" t="str">
        <f>IFERROR(VLOOKUP(B246,'02. MM-KLH'!$B$6:$T$823,9,0),"")</f>
        <v>28/05/2026</v>
      </c>
      <c r="K246" s="101" t="str">
        <f>IFERROR(VLOOKUP(B246,'02. MM-KLH'!$B$6:$T$823,10,0),"")</f>
        <v>Bình thường</v>
      </c>
      <c r="L246" s="107">
        <f>IFERROR(VLOOKUP(B246,'02. MM-KLH'!$B$6:$T$823,11,0),"")</f>
        <v>0</v>
      </c>
      <c r="M246" s="864" t="str">
        <f>IFERROR(VLOOKUP(B246,'02. MM-KLH'!$B$6:$T$823,12,0),"")</f>
        <v>Đầu tư mới</v>
      </c>
      <c r="N246" s="110" t="str">
        <f>IFERROR(VLOOKUP(B246,'02. MM-KLH'!$B$6:$T$823,13,0),"")</f>
        <v>LOVOL</v>
      </c>
      <c r="O246" s="110" t="str">
        <f>IFERROR(VLOOKUP(B246,'02. MM-KLH'!$B$6:$T$823,14,0),"")</f>
        <v>TRUNG QUỐC </v>
      </c>
      <c r="P246" s="101">
        <f>IFERROR(VLOOKUP(B246,'02. MM-KLH'!$B$6:$T$823,15,0),"")</f>
        <v>2026</v>
      </c>
      <c r="Q246" s="101" t="str">
        <f>IFERROR(VLOOKUP(B246,'02. MM-KLH'!$B$6:$T$823,16,0),"")</f>
        <v>TR1504</v>
      </c>
      <c r="R246" s="101" t="str">
        <f>IFERROR(VLOOKUP(B246,'02. MM-KLH'!$B$6:$T$823,17,0),"")</f>
        <v>150 HP</v>
      </c>
      <c r="S246" s="110" t="str">
        <f>IFERROR(VLOOKUP(B246,'02. MM-KLH'!$B$6:$T$823,18,0),"")</f>
        <v>M600086TY</v>
      </c>
      <c r="T246" s="111" t="str">
        <f>IFERROR(VLOOKUP(B246,'02. MM-KLH'!$B$6:$T$823,19,0),"")</f>
        <v>6P26C009038</v>
      </c>
      <c r="U246" s="863" t="s">
        <v>3343</v>
      </c>
    </row>
    <row r="247" ht="13.5" customHeight="1" spans="1:21">
      <c r="A247" s="103">
        <f t="shared" si="9"/>
        <v>18</v>
      </c>
      <c r="B247" s="104" t="s">
        <v>2019</v>
      </c>
      <c r="C247" s="102" t="str">
        <f>IFERROR(VLOOKUP(B247,'02. MM-KLH'!$B$6:$T$823,2,0),"")</f>
        <v>Mới (100%)</v>
      </c>
      <c r="D247" s="103" t="str">
        <f>IFERROR(VLOOKUP(B247,'02. MM-KLH'!$B$6:$T$823,3,0),"")</f>
        <v>A23-MKE-040</v>
      </c>
      <c r="E247" s="102">
        <f>IFERROR(VLOOKUP(B247,'02. MM-KLH'!$B$6:$T$823,4,0),"")</f>
        <v>0</v>
      </c>
      <c r="F247" s="104"/>
      <c r="G247" s="102" t="str">
        <f>IFERROR(VLOOKUP(B247,'02. MM-KLH'!$B$6:$T$823,6,0),"")</f>
        <v>Máy cày LOVOL TR1504</v>
      </c>
      <c r="H247" s="101" t="s">
        <v>3348</v>
      </c>
      <c r="I247" s="101" t="str">
        <f>IFERROR(VLOOKUP(B247,'02. MM-KLH'!$B$6:$T$823,8,0),"")</f>
        <v>XN Bò AD</v>
      </c>
      <c r="J247" s="105" t="str">
        <f>IFERROR(VLOOKUP(B247,'02. MM-KLH'!$B$6:$T$823,9,0),"")</f>
        <v>28/05/2026</v>
      </c>
      <c r="K247" s="101" t="str">
        <f>IFERROR(VLOOKUP(B247,'02. MM-KLH'!$B$6:$T$823,10,0),"")</f>
        <v>Bình thường</v>
      </c>
      <c r="L247" s="107">
        <f>IFERROR(VLOOKUP(B247,'02. MM-KLH'!$B$6:$T$823,11,0),"")</f>
        <v>0</v>
      </c>
      <c r="M247" s="864" t="str">
        <f>IFERROR(VLOOKUP(B247,'02. MM-KLH'!$B$6:$T$823,12,0),"")</f>
        <v>Đầu tư mới</v>
      </c>
      <c r="N247" s="110" t="str">
        <f>IFERROR(VLOOKUP(B247,'02. MM-KLH'!$B$6:$T$823,13,0),"")</f>
        <v>LOVOL</v>
      </c>
      <c r="O247" s="110" t="str">
        <f>IFERROR(VLOOKUP(B247,'02. MM-KLH'!$B$6:$T$823,14,0),"")</f>
        <v>TRUNG QUỐC </v>
      </c>
      <c r="P247" s="101">
        <f>IFERROR(VLOOKUP(B247,'02. MM-KLH'!$B$6:$T$823,15,0),"")</f>
        <v>2026</v>
      </c>
      <c r="Q247" s="101" t="str">
        <f>IFERROR(VLOOKUP(B247,'02. MM-KLH'!$B$6:$T$823,16,0),"")</f>
        <v>TR1504</v>
      </c>
      <c r="R247" s="101" t="str">
        <f>IFERROR(VLOOKUP(B247,'02. MM-KLH'!$B$6:$T$823,17,0),"")</f>
        <v>150 HP</v>
      </c>
      <c r="S247" s="110" t="str">
        <f>IFERROR(VLOOKUP(B247,'02. MM-KLH'!$B$6:$T$823,18,0),"")</f>
        <v>M600087TY</v>
      </c>
      <c r="T247" s="111" t="str">
        <f>IFERROR(VLOOKUP(B247,'02. MM-KLH'!$B$6:$T$823,19,0),"")</f>
        <v>6P26C009039</v>
      </c>
      <c r="U247" s="863" t="s">
        <v>3343</v>
      </c>
    </row>
    <row r="248" ht="13.5" customHeight="1" spans="1:21">
      <c r="A248" s="103">
        <f t="shared" si="9"/>
        <v>19</v>
      </c>
      <c r="B248" s="104" t="s">
        <v>2023</v>
      </c>
      <c r="C248" s="102" t="str">
        <f>IFERROR(VLOOKUP(B248,'02. MM-KLH'!$B$6:$T$823,2,0),"")</f>
        <v>Mới (100%)</v>
      </c>
      <c r="D248" s="103" t="str">
        <f>IFERROR(VLOOKUP(B248,'02. MM-KLH'!$B$6:$T$823,3,0),"")</f>
        <v>A23-MKE-041</v>
      </c>
      <c r="E248" s="102">
        <f>IFERROR(VLOOKUP(B248,'02. MM-KLH'!$B$6:$T$823,4,0),"")</f>
        <v>0</v>
      </c>
      <c r="F248" s="104"/>
      <c r="G248" s="102" t="str">
        <f>IFERROR(VLOOKUP(B248,'02. MM-KLH'!$B$6:$T$823,6,0),"")</f>
        <v>Máy cày LOVOL TR1504</v>
      </c>
      <c r="H248" s="101" t="s">
        <v>3348</v>
      </c>
      <c r="I248" s="101" t="str">
        <f>IFERROR(VLOOKUP(B248,'02. MM-KLH'!$B$6:$T$823,8,0),"")</f>
        <v>XN Bò AD</v>
      </c>
      <c r="J248" s="105" t="str">
        <f>IFERROR(VLOOKUP(B248,'02. MM-KLH'!$B$6:$T$823,9,0),"")</f>
        <v>28/05/2026</v>
      </c>
      <c r="K248" s="101" t="str">
        <f>IFERROR(VLOOKUP(B248,'02. MM-KLH'!$B$6:$T$823,10,0),"")</f>
        <v>Bình thường</v>
      </c>
      <c r="L248" s="107">
        <f>IFERROR(VLOOKUP(B248,'02. MM-KLH'!$B$6:$T$823,11,0),"")</f>
        <v>0</v>
      </c>
      <c r="M248" s="864" t="str">
        <f>IFERROR(VLOOKUP(B248,'02. MM-KLH'!$B$6:$T$823,12,0),"")</f>
        <v>Đầu tư mới</v>
      </c>
      <c r="N248" s="110" t="str">
        <f>IFERROR(VLOOKUP(B248,'02. MM-KLH'!$B$6:$T$823,13,0),"")</f>
        <v>LOVOL</v>
      </c>
      <c r="O248" s="110" t="str">
        <f>IFERROR(VLOOKUP(B248,'02. MM-KLH'!$B$6:$T$823,14,0),"")</f>
        <v>TRUNG QUỐC </v>
      </c>
      <c r="P248" s="101">
        <f>IFERROR(VLOOKUP(B248,'02. MM-KLH'!$B$6:$T$823,15,0),"")</f>
        <v>2026</v>
      </c>
      <c r="Q248" s="101" t="str">
        <f>IFERROR(VLOOKUP(B248,'02. MM-KLH'!$B$6:$T$823,16,0),"")</f>
        <v>TR1504</v>
      </c>
      <c r="R248" s="101" t="str">
        <f>IFERROR(VLOOKUP(B248,'02. MM-KLH'!$B$6:$T$823,17,0),"")</f>
        <v>150 HP</v>
      </c>
      <c r="S248" s="110" t="str">
        <f>IFERROR(VLOOKUP(B248,'02. MM-KLH'!$B$6:$T$823,18,0),"")</f>
        <v>M600088TY</v>
      </c>
      <c r="T248" s="111" t="str">
        <f>IFERROR(VLOOKUP(B248,'02. MM-KLH'!$B$6:$T$823,19,0),"")</f>
        <v>6P26C009040</v>
      </c>
      <c r="U248" s="863" t="s">
        <v>3343</v>
      </c>
    </row>
    <row r="249" ht="13.5" customHeight="1" spans="1:21">
      <c r="A249" s="103">
        <f t="shared" ref="A249:A255" si="10">1+A248</f>
        <v>20</v>
      </c>
      <c r="B249" s="104"/>
      <c r="C249" s="102" t="str">
        <f>IFERROR(VLOOKUP(B249,'02. MM-KLH'!$B$6:$T$823,2,0),"")</f>
        <v/>
      </c>
      <c r="D249" s="103" t="str">
        <f>IFERROR(VLOOKUP(B249,'02. MM-KLH'!$B$6:$T$823,3,0),"")</f>
        <v/>
      </c>
      <c r="E249" s="102" t="str">
        <f>IFERROR(VLOOKUP(B249,'02. MM-KLH'!$B$6:$T$823,4,0),"")</f>
        <v/>
      </c>
      <c r="F249" s="104"/>
      <c r="G249" s="102" t="str">
        <f>IFERROR(VLOOKUP(B249,'02. MM-KLH'!$B$6:$T$823,6,0),"")</f>
        <v/>
      </c>
      <c r="H249" s="101" t="s">
        <v>3348</v>
      </c>
      <c r="I249" s="101" t="str">
        <f>IFERROR(VLOOKUP(B249,'02. MM-KLH'!$B$6:$T$823,8,0),"")</f>
        <v/>
      </c>
      <c r="J249" s="105" t="str">
        <f>IFERROR(VLOOKUP(B249,'02. MM-KLH'!$B$6:$T$823,9,0),"")</f>
        <v/>
      </c>
      <c r="K249" s="101" t="str">
        <f>IFERROR(VLOOKUP(B249,'02. MM-KLH'!$B$6:$T$823,10,0),"")</f>
        <v/>
      </c>
      <c r="L249" s="107" t="str">
        <f>IFERROR(VLOOKUP(B249,'02. MM-KLH'!$B$6:$T$823,11,0),"")</f>
        <v/>
      </c>
      <c r="M249" s="864" t="str">
        <f>IFERROR(VLOOKUP(B249,'02. MM-KLH'!$B$6:$T$823,12,0),"")</f>
        <v/>
      </c>
      <c r="N249" s="110" t="str">
        <f>IFERROR(VLOOKUP(B249,'02. MM-KLH'!$B$6:$T$823,13,0),"")</f>
        <v/>
      </c>
      <c r="O249" s="110" t="str">
        <f>IFERROR(VLOOKUP(B249,'02. MM-KLH'!$B$6:$T$823,14,0),"")</f>
        <v/>
      </c>
      <c r="P249" s="101" t="str">
        <f>IFERROR(VLOOKUP(B249,'02. MM-KLH'!$B$6:$T$823,15,0),"")</f>
        <v/>
      </c>
      <c r="Q249" s="101" t="str">
        <f>IFERROR(VLOOKUP(B249,'02. MM-KLH'!$B$6:$T$823,16,0),"")</f>
        <v/>
      </c>
      <c r="R249" s="101" t="str">
        <f>IFERROR(VLOOKUP(B249,'02. MM-KLH'!$B$6:$T$823,17,0),"")</f>
        <v/>
      </c>
      <c r="S249" s="110" t="str">
        <f>IFERROR(VLOOKUP(B249,'02. MM-KLH'!$B$6:$T$823,18,0),"")</f>
        <v/>
      </c>
      <c r="T249" s="111" t="str">
        <f>IFERROR(VLOOKUP(B249,'02. MM-KLH'!$B$6:$T$823,19,0),"")</f>
        <v/>
      </c>
      <c r="U249" s="863" t="s">
        <v>3343</v>
      </c>
    </row>
    <row r="250" ht="13.5" customHeight="1" spans="1:21">
      <c r="A250" s="103">
        <f t="shared" si="10"/>
        <v>21</v>
      </c>
      <c r="B250" s="104"/>
      <c r="C250" s="102" t="str">
        <f>IFERROR(VLOOKUP(B250,'02. MM-KLH'!$B$6:$T$823,2,0),"")</f>
        <v/>
      </c>
      <c r="D250" s="103" t="str">
        <f>IFERROR(VLOOKUP(B250,'02. MM-KLH'!$B$6:$T$823,3,0),"")</f>
        <v/>
      </c>
      <c r="E250" s="102" t="str">
        <f>IFERROR(VLOOKUP(B250,'02. MM-KLH'!$B$6:$T$823,4,0),"")</f>
        <v/>
      </c>
      <c r="F250" s="104"/>
      <c r="G250" s="102" t="str">
        <f>IFERROR(VLOOKUP(B250,'02. MM-KLH'!$B$6:$T$823,6,0),"")</f>
        <v/>
      </c>
      <c r="H250" s="101" t="s">
        <v>3348</v>
      </c>
      <c r="I250" s="101" t="str">
        <f>IFERROR(VLOOKUP(B250,'02. MM-KLH'!$B$6:$T$823,8,0),"")</f>
        <v/>
      </c>
      <c r="J250" s="105" t="str">
        <f>IFERROR(VLOOKUP(B250,'02. MM-KLH'!$B$6:$T$823,9,0),"")</f>
        <v/>
      </c>
      <c r="K250" s="101" t="str">
        <f>IFERROR(VLOOKUP(B250,'02. MM-KLH'!$B$6:$T$823,10,0),"")</f>
        <v/>
      </c>
      <c r="L250" s="107" t="str">
        <f>IFERROR(VLOOKUP(B250,'02. MM-KLH'!$B$6:$T$823,11,0),"")</f>
        <v/>
      </c>
      <c r="M250" s="864" t="str">
        <f>IFERROR(VLOOKUP(B250,'02. MM-KLH'!$B$6:$T$823,12,0),"")</f>
        <v/>
      </c>
      <c r="N250" s="110" t="str">
        <f>IFERROR(VLOOKUP(B250,'02. MM-KLH'!$B$6:$T$823,13,0),"")</f>
        <v/>
      </c>
      <c r="O250" s="110" t="str">
        <f>IFERROR(VLOOKUP(B250,'02. MM-KLH'!$B$6:$T$823,14,0),"")</f>
        <v/>
      </c>
      <c r="P250" s="101" t="str">
        <f>IFERROR(VLOOKUP(B250,'02. MM-KLH'!$B$6:$T$823,15,0),"")</f>
        <v/>
      </c>
      <c r="Q250" s="101" t="str">
        <f>IFERROR(VLOOKUP(B250,'02. MM-KLH'!$B$6:$T$823,16,0),"")</f>
        <v/>
      </c>
      <c r="R250" s="101" t="str">
        <f>IFERROR(VLOOKUP(B250,'02. MM-KLH'!$B$6:$T$823,17,0),"")</f>
        <v/>
      </c>
      <c r="S250" s="110" t="str">
        <f>IFERROR(VLOOKUP(B250,'02. MM-KLH'!$B$6:$T$823,18,0),"")</f>
        <v/>
      </c>
      <c r="T250" s="111" t="str">
        <f>IFERROR(VLOOKUP(B250,'02. MM-KLH'!$B$6:$T$823,19,0),"")</f>
        <v/>
      </c>
      <c r="U250" s="863" t="s">
        <v>3343</v>
      </c>
    </row>
    <row r="251" ht="13.5" customHeight="1" spans="1:21">
      <c r="A251" s="103">
        <f t="shared" si="10"/>
        <v>22</v>
      </c>
      <c r="B251" s="104"/>
      <c r="C251" s="102" t="str">
        <f>IFERROR(VLOOKUP(B251,'02. MM-KLH'!$B$6:$T$823,2,0),"")</f>
        <v/>
      </c>
      <c r="D251" s="103" t="str">
        <f>IFERROR(VLOOKUP(B251,'02. MM-KLH'!$B$6:$T$823,3,0),"")</f>
        <v/>
      </c>
      <c r="E251" s="102" t="str">
        <f>IFERROR(VLOOKUP(B251,'02. MM-KLH'!$B$6:$T$823,4,0),"")</f>
        <v/>
      </c>
      <c r="F251" s="104"/>
      <c r="G251" s="102" t="str">
        <f>IFERROR(VLOOKUP(B251,'02. MM-KLH'!$B$6:$T$823,6,0),"")</f>
        <v/>
      </c>
      <c r="H251" s="101" t="s">
        <v>3348</v>
      </c>
      <c r="I251" s="101" t="str">
        <f>IFERROR(VLOOKUP(B251,'02. MM-KLH'!$B$6:$T$823,8,0),"")</f>
        <v/>
      </c>
      <c r="J251" s="105" t="str">
        <f>IFERROR(VLOOKUP(B251,'02. MM-KLH'!$B$6:$T$823,9,0),"")</f>
        <v/>
      </c>
      <c r="K251" s="101" t="str">
        <f>IFERROR(VLOOKUP(B251,'02. MM-KLH'!$B$6:$T$823,10,0),"")</f>
        <v/>
      </c>
      <c r="L251" s="107" t="str">
        <f>IFERROR(VLOOKUP(B251,'02. MM-KLH'!$B$6:$T$823,11,0),"")</f>
        <v/>
      </c>
      <c r="M251" s="864" t="str">
        <f>IFERROR(VLOOKUP(B251,'02. MM-KLH'!$B$6:$T$823,12,0),"")</f>
        <v/>
      </c>
      <c r="N251" s="110" t="str">
        <f>IFERROR(VLOOKUP(B251,'02. MM-KLH'!$B$6:$T$823,13,0),"")</f>
        <v/>
      </c>
      <c r="O251" s="110" t="str">
        <f>IFERROR(VLOOKUP(B251,'02. MM-KLH'!$B$6:$T$823,14,0),"")</f>
        <v/>
      </c>
      <c r="P251" s="101" t="str">
        <f>IFERROR(VLOOKUP(B251,'02. MM-KLH'!$B$6:$T$823,15,0),"")</f>
        <v/>
      </c>
      <c r="Q251" s="101" t="str">
        <f>IFERROR(VLOOKUP(B251,'02. MM-KLH'!$B$6:$T$823,16,0),"")</f>
        <v/>
      </c>
      <c r="R251" s="101" t="str">
        <f>IFERROR(VLOOKUP(B251,'02. MM-KLH'!$B$6:$T$823,17,0),"")</f>
        <v/>
      </c>
      <c r="S251" s="110" t="str">
        <f>IFERROR(VLOOKUP(B251,'02. MM-KLH'!$B$6:$T$823,18,0),"")</f>
        <v/>
      </c>
      <c r="T251" s="111" t="str">
        <f>IFERROR(VLOOKUP(B251,'02. MM-KLH'!$B$6:$T$823,19,0),"")</f>
        <v/>
      </c>
      <c r="U251" s="863" t="s">
        <v>3343</v>
      </c>
    </row>
    <row r="252" ht="13.5" customHeight="1" spans="1:21">
      <c r="A252" s="103">
        <f t="shared" si="10"/>
        <v>23</v>
      </c>
      <c r="B252" s="104"/>
      <c r="C252" s="102" t="str">
        <f>IFERROR(VLOOKUP(B252,'02. MM-KLH'!$B$6:$T$823,2,0),"")</f>
        <v/>
      </c>
      <c r="D252" s="103" t="str">
        <f>IFERROR(VLOOKUP(B252,'02. MM-KLH'!$B$6:$T$823,3,0),"")</f>
        <v/>
      </c>
      <c r="E252" s="102" t="str">
        <f>IFERROR(VLOOKUP(B252,'02. MM-KLH'!$B$6:$T$823,4,0),"")</f>
        <v/>
      </c>
      <c r="F252" s="104"/>
      <c r="G252" s="102" t="str">
        <f>IFERROR(VLOOKUP(B252,'02. MM-KLH'!$B$6:$T$823,6,0),"")</f>
        <v/>
      </c>
      <c r="H252" s="101" t="s">
        <v>3348</v>
      </c>
      <c r="I252" s="101" t="str">
        <f>IFERROR(VLOOKUP(B252,'02. MM-KLH'!$B$6:$T$823,8,0),"")</f>
        <v/>
      </c>
      <c r="J252" s="105" t="str">
        <f>IFERROR(VLOOKUP(B252,'02. MM-KLH'!$B$6:$T$823,9,0),"")</f>
        <v/>
      </c>
      <c r="K252" s="101" t="str">
        <f>IFERROR(VLOOKUP(B252,'02. MM-KLH'!$B$6:$T$823,10,0),"")</f>
        <v/>
      </c>
      <c r="L252" s="107" t="str">
        <f>IFERROR(VLOOKUP(B252,'02. MM-KLH'!$B$6:$T$823,11,0),"")</f>
        <v/>
      </c>
      <c r="M252" s="864" t="str">
        <f>IFERROR(VLOOKUP(B252,'02. MM-KLH'!$B$6:$T$823,12,0),"")</f>
        <v/>
      </c>
      <c r="N252" s="110" t="str">
        <f>IFERROR(VLOOKUP(B252,'02. MM-KLH'!$B$6:$T$823,13,0),"")</f>
        <v/>
      </c>
      <c r="O252" s="110" t="str">
        <f>IFERROR(VLOOKUP(B252,'02. MM-KLH'!$B$6:$T$823,14,0),"")</f>
        <v/>
      </c>
      <c r="P252" s="101" t="str">
        <f>IFERROR(VLOOKUP(B252,'02. MM-KLH'!$B$6:$T$823,15,0),"")</f>
        <v/>
      </c>
      <c r="Q252" s="101" t="str">
        <f>IFERROR(VLOOKUP(B252,'02. MM-KLH'!$B$6:$T$823,16,0),"")</f>
        <v/>
      </c>
      <c r="R252" s="101" t="str">
        <f>IFERROR(VLOOKUP(B252,'02. MM-KLH'!$B$6:$T$823,17,0),"")</f>
        <v/>
      </c>
      <c r="S252" s="110" t="str">
        <f>IFERROR(VLOOKUP(B252,'02. MM-KLH'!$B$6:$T$823,18,0),"")</f>
        <v/>
      </c>
      <c r="T252" s="111" t="str">
        <f>IFERROR(VLOOKUP(B252,'02. MM-KLH'!$B$6:$T$823,19,0),"")</f>
        <v/>
      </c>
      <c r="U252" s="863" t="s">
        <v>3343</v>
      </c>
    </row>
    <row r="253" ht="13.5" customHeight="1" spans="1:21">
      <c r="A253" s="103">
        <f t="shared" si="10"/>
        <v>24</v>
      </c>
      <c r="B253" s="104"/>
      <c r="C253" s="102" t="str">
        <f>IFERROR(VLOOKUP(B253,'02. MM-KLH'!$B$6:$T$823,2,0),"")</f>
        <v/>
      </c>
      <c r="D253" s="103" t="str">
        <f>IFERROR(VLOOKUP(B253,'02. MM-KLH'!$B$6:$T$823,3,0),"")</f>
        <v/>
      </c>
      <c r="E253" s="102" t="str">
        <f>IFERROR(VLOOKUP(B253,'02. MM-KLH'!$B$6:$T$823,4,0),"")</f>
        <v/>
      </c>
      <c r="F253" s="104"/>
      <c r="G253" s="102" t="str">
        <f>IFERROR(VLOOKUP(B253,'02. MM-KLH'!$B$6:$T$823,6,0),"")</f>
        <v/>
      </c>
      <c r="H253" s="101" t="s">
        <v>3348</v>
      </c>
      <c r="I253" s="101" t="str">
        <f>IFERROR(VLOOKUP(B253,'02. MM-KLH'!$B$6:$T$823,8,0),"")</f>
        <v/>
      </c>
      <c r="J253" s="105" t="str">
        <f>IFERROR(VLOOKUP(B253,'02. MM-KLH'!$B$6:$T$823,9,0),"")</f>
        <v/>
      </c>
      <c r="K253" s="101" t="str">
        <f>IFERROR(VLOOKUP(B253,'02. MM-KLH'!$B$6:$T$823,10,0),"")</f>
        <v/>
      </c>
      <c r="L253" s="107" t="str">
        <f>IFERROR(VLOOKUP(B253,'02. MM-KLH'!$B$6:$T$823,11,0),"")</f>
        <v/>
      </c>
      <c r="M253" s="864" t="str">
        <f>IFERROR(VLOOKUP(B253,'02. MM-KLH'!$B$6:$T$823,12,0),"")</f>
        <v/>
      </c>
      <c r="N253" s="110" t="str">
        <f>IFERROR(VLOOKUP(B253,'02. MM-KLH'!$B$6:$T$823,13,0),"")</f>
        <v/>
      </c>
      <c r="O253" s="110" t="str">
        <f>IFERROR(VLOOKUP(B253,'02. MM-KLH'!$B$6:$T$823,14,0),"")</f>
        <v/>
      </c>
      <c r="P253" s="101" t="str">
        <f>IFERROR(VLOOKUP(B253,'02. MM-KLH'!$B$6:$T$823,15,0),"")</f>
        <v/>
      </c>
      <c r="Q253" s="101" t="str">
        <f>IFERROR(VLOOKUP(B253,'02. MM-KLH'!$B$6:$T$823,16,0),"")</f>
        <v/>
      </c>
      <c r="R253" s="101" t="str">
        <f>IFERROR(VLOOKUP(B253,'02. MM-KLH'!$B$6:$T$823,17,0),"")</f>
        <v/>
      </c>
      <c r="S253" s="110" t="str">
        <f>IFERROR(VLOOKUP(B253,'02. MM-KLH'!$B$6:$T$823,18,0),"")</f>
        <v/>
      </c>
      <c r="T253" s="111" t="str">
        <f>IFERROR(VLOOKUP(B253,'02. MM-KLH'!$B$6:$T$823,19,0),"")</f>
        <v/>
      </c>
      <c r="U253" s="863" t="s">
        <v>3343</v>
      </c>
    </row>
    <row r="254" ht="13.5" customHeight="1" spans="1:21">
      <c r="A254" s="103">
        <f t="shared" si="10"/>
        <v>25</v>
      </c>
      <c r="B254" s="104"/>
      <c r="C254" s="102" t="str">
        <f>IFERROR(VLOOKUP(B254,'02. MM-KLH'!$B$6:$T$823,2,0),"")</f>
        <v/>
      </c>
      <c r="D254" s="103" t="str">
        <f>IFERROR(VLOOKUP(B254,'02. MM-KLH'!$B$6:$T$823,3,0),"")</f>
        <v/>
      </c>
      <c r="E254" s="102" t="str">
        <f>IFERROR(VLOOKUP(B254,'02. MM-KLH'!$B$6:$T$823,4,0),"")</f>
        <v/>
      </c>
      <c r="F254" s="104"/>
      <c r="G254" s="102" t="str">
        <f>IFERROR(VLOOKUP(B254,'02. MM-KLH'!$B$6:$T$823,6,0),"")</f>
        <v/>
      </c>
      <c r="H254" s="101" t="s">
        <v>3348</v>
      </c>
      <c r="I254" s="101" t="str">
        <f>IFERROR(VLOOKUP(B254,'02. MM-KLH'!$B$6:$T$823,8,0),"")</f>
        <v/>
      </c>
      <c r="J254" s="105" t="str">
        <f>IFERROR(VLOOKUP(B254,'02. MM-KLH'!$B$6:$T$823,9,0),"")</f>
        <v/>
      </c>
      <c r="K254" s="101" t="str">
        <f>IFERROR(VLOOKUP(B254,'02. MM-KLH'!$B$6:$T$823,10,0),"")</f>
        <v/>
      </c>
      <c r="L254" s="107" t="str">
        <f>IFERROR(VLOOKUP(B254,'02. MM-KLH'!$B$6:$T$823,11,0),"")</f>
        <v/>
      </c>
      <c r="M254" s="864" t="str">
        <f>IFERROR(VLOOKUP(B254,'02. MM-KLH'!$B$6:$T$823,12,0),"")</f>
        <v/>
      </c>
      <c r="N254" s="110" t="str">
        <f>IFERROR(VLOOKUP(B254,'02. MM-KLH'!$B$6:$T$823,13,0),"")</f>
        <v/>
      </c>
      <c r="O254" s="110" t="str">
        <f>IFERROR(VLOOKUP(B254,'02. MM-KLH'!$B$6:$T$823,14,0),"")</f>
        <v/>
      </c>
      <c r="P254" s="101" t="str">
        <f>IFERROR(VLOOKUP(B254,'02. MM-KLH'!$B$6:$T$823,15,0),"")</f>
        <v/>
      </c>
      <c r="Q254" s="101" t="str">
        <f>IFERROR(VLOOKUP(B254,'02. MM-KLH'!$B$6:$T$823,16,0),"")</f>
        <v/>
      </c>
      <c r="R254" s="101" t="str">
        <f>IFERROR(VLOOKUP(B254,'02. MM-KLH'!$B$6:$T$823,17,0),"")</f>
        <v/>
      </c>
      <c r="S254" s="110" t="str">
        <f>IFERROR(VLOOKUP(B254,'02. MM-KLH'!$B$6:$T$823,18,0),"")</f>
        <v/>
      </c>
      <c r="T254" s="111" t="str">
        <f>IFERROR(VLOOKUP(B254,'02. MM-KLH'!$B$6:$T$823,19,0),"")</f>
        <v/>
      </c>
      <c r="U254" s="863" t="s">
        <v>3343</v>
      </c>
    </row>
    <row r="255" ht="13.5" customHeight="1" spans="1:21">
      <c r="A255" s="103">
        <f t="shared" si="10"/>
        <v>26</v>
      </c>
      <c r="B255" s="104"/>
      <c r="C255" s="102" t="str">
        <f>IFERROR(VLOOKUP(B255,'02. MM-KLH'!$B$6:$T$823,2,0),"")</f>
        <v/>
      </c>
      <c r="D255" s="103" t="str">
        <f>IFERROR(VLOOKUP(B255,'02. MM-KLH'!$B$6:$T$823,3,0),"")</f>
        <v/>
      </c>
      <c r="E255" s="102" t="str">
        <f>IFERROR(VLOOKUP(B255,'02. MM-KLH'!$B$6:$T$823,4,0),"")</f>
        <v/>
      </c>
      <c r="F255" s="104"/>
      <c r="G255" s="102" t="str">
        <f>IFERROR(VLOOKUP(B255,'02. MM-KLH'!$B$6:$T$823,6,0),"")</f>
        <v/>
      </c>
      <c r="H255" s="101" t="s">
        <v>3348</v>
      </c>
      <c r="I255" s="101" t="str">
        <f>IFERROR(VLOOKUP(B255,'02. MM-KLH'!$B$6:$T$823,8,0),"")</f>
        <v/>
      </c>
      <c r="J255" s="105" t="str">
        <f>IFERROR(VLOOKUP(B255,'02. MM-KLH'!$B$6:$T$823,9,0),"")</f>
        <v/>
      </c>
      <c r="K255" s="101" t="str">
        <f>IFERROR(VLOOKUP(B255,'02. MM-KLH'!$B$6:$T$823,10,0),"")</f>
        <v/>
      </c>
      <c r="L255" s="107" t="str">
        <f>IFERROR(VLOOKUP(B255,'02. MM-KLH'!$B$6:$T$823,11,0),"")</f>
        <v/>
      </c>
      <c r="M255" s="864" t="str">
        <f>IFERROR(VLOOKUP(B255,'02. MM-KLH'!$B$6:$T$823,12,0),"")</f>
        <v/>
      </c>
      <c r="N255" s="110" t="str">
        <f>IFERROR(VLOOKUP(B255,'02. MM-KLH'!$B$6:$T$823,13,0),"")</f>
        <v/>
      </c>
      <c r="O255" s="110" t="str">
        <f>IFERROR(VLOOKUP(B255,'02. MM-KLH'!$B$6:$T$823,14,0),"")</f>
        <v/>
      </c>
      <c r="P255" s="101" t="str">
        <f>IFERROR(VLOOKUP(B255,'02. MM-KLH'!$B$6:$T$823,15,0),"")</f>
        <v/>
      </c>
      <c r="Q255" s="101" t="str">
        <f>IFERROR(VLOOKUP(B255,'02. MM-KLH'!$B$6:$T$823,16,0),"")</f>
        <v/>
      </c>
      <c r="R255" s="101" t="str">
        <f>IFERROR(VLOOKUP(B255,'02. MM-KLH'!$B$6:$T$823,17,0),"")</f>
        <v/>
      </c>
      <c r="S255" s="110" t="str">
        <f>IFERROR(VLOOKUP(B255,'02. MM-KLH'!$B$6:$T$823,18,0),"")</f>
        <v/>
      </c>
      <c r="T255" s="111" t="str">
        <f>IFERROR(VLOOKUP(B255,'02. MM-KLH'!$B$6:$T$823,19,0),"")</f>
        <v/>
      </c>
      <c r="U255" s="863" t="s">
        <v>3343</v>
      </c>
    </row>
    <row r="256" ht="13.5" customHeight="1" spans="1:21">
      <c r="A256" s="103"/>
      <c r="B256" s="104"/>
      <c r="C256" s="102"/>
      <c r="D256" s="103"/>
      <c r="E256" s="102"/>
      <c r="F256" s="192"/>
      <c r="G256" s="102"/>
      <c r="H256" s="101"/>
      <c r="I256" s="101"/>
      <c r="J256" s="105"/>
      <c r="K256" s="101"/>
      <c r="L256" s="107"/>
      <c r="M256" s="864"/>
      <c r="N256" s="110"/>
      <c r="O256" s="110"/>
      <c r="P256" s="101"/>
      <c r="Q256" s="101"/>
      <c r="R256" s="101"/>
      <c r="S256" s="110"/>
      <c r="T256" s="111"/>
      <c r="U256" s="870"/>
    </row>
    <row r="257" ht="13.5" customHeight="1" spans="1:21">
      <c r="A257" s="103"/>
      <c r="B257" s="104"/>
      <c r="C257" s="102"/>
      <c r="D257" s="103"/>
      <c r="E257" s="102"/>
      <c r="F257" s="192"/>
      <c r="G257" s="102"/>
      <c r="H257" s="101"/>
      <c r="I257" s="101"/>
      <c r="J257" s="105"/>
      <c r="K257" s="101"/>
      <c r="L257" s="107"/>
      <c r="M257" s="864"/>
      <c r="N257" s="110"/>
      <c r="O257" s="110"/>
      <c r="P257" s="101"/>
      <c r="Q257" s="101"/>
      <c r="R257" s="101"/>
      <c r="S257" s="110"/>
      <c r="T257" s="111"/>
      <c r="U257" s="870"/>
    </row>
    <row r="258" ht="13.5" customHeight="1" spans="1:21">
      <c r="A258" s="103"/>
      <c r="B258" s="104"/>
      <c r="C258" s="102" t="str">
        <f>IFERROR(VLOOKUP(B258,'02. MM-KLH'!$B$6:$T$823,2,0),"")</f>
        <v/>
      </c>
      <c r="D258" s="103" t="str">
        <f>IFERROR(VLOOKUP(B258,'02. MM-KLH'!$B$6:$T$823,3,0),"")</f>
        <v/>
      </c>
      <c r="E258" s="102" t="str">
        <f>IFERROR(VLOOKUP(B258,'02. MM-KLH'!$B$6:$T$823,4,0),"")</f>
        <v/>
      </c>
      <c r="F258" s="192"/>
      <c r="G258" s="102" t="str">
        <f>IFERROR(VLOOKUP(B258,'02. MM-KLH'!$B$6:$T$823,6,0),"")</f>
        <v/>
      </c>
      <c r="H258" s="101"/>
      <c r="I258" s="101" t="str">
        <f>IFERROR(VLOOKUP(B258,'02. MM-KLH'!$B$6:$T$823,8,0),"")</f>
        <v/>
      </c>
      <c r="J258" s="105" t="str">
        <f>IFERROR(VLOOKUP(B258,'02. MM-KLH'!$B$6:$T$823,9,0),"")</f>
        <v/>
      </c>
      <c r="K258" s="101" t="str">
        <f>IFERROR(VLOOKUP(B258,'02. MM-KLH'!$B$6:$T$823,10,0),"")</f>
        <v/>
      </c>
      <c r="L258" s="107" t="str">
        <f>IFERROR(VLOOKUP(B258,'02. MM-KLH'!$B$6:$T$823,11,0),"")</f>
        <v/>
      </c>
      <c r="M258" s="864" t="str">
        <f>IFERROR(VLOOKUP(B258,'02. MM-KLH'!$B$6:$T$823,12,0),"")</f>
        <v/>
      </c>
      <c r="N258" s="110" t="str">
        <f>IFERROR(VLOOKUP(B258,'02. MM-KLH'!$B$6:$T$823,13,0),"")</f>
        <v/>
      </c>
      <c r="O258" s="110" t="str">
        <f>IFERROR(VLOOKUP(B258,'02. MM-KLH'!$B$6:$T$823,14,0),"")</f>
        <v/>
      </c>
      <c r="P258" s="101" t="str">
        <f>IFERROR(VLOOKUP(B258,'02. MM-KLH'!$B$6:$T$823,15,0),"")</f>
        <v/>
      </c>
      <c r="Q258" s="101" t="str">
        <f>IFERROR(VLOOKUP(B258,'02. MM-KLH'!$B$6:$T$823,16,0),"")</f>
        <v/>
      </c>
      <c r="R258" s="101" t="str">
        <f>IFERROR(VLOOKUP(B258,'02. MM-KLH'!$B$6:$T$823,17,0),"")</f>
        <v/>
      </c>
      <c r="S258" s="110" t="str">
        <f>IFERROR(VLOOKUP(B258,'02. MM-KLH'!$B$6:$T$823,18,0),"")</f>
        <v/>
      </c>
      <c r="T258" s="111" t="str">
        <f>IFERROR(VLOOKUP(B258,'02. MM-KLH'!$B$6:$T$823,19,0),"")</f>
        <v/>
      </c>
      <c r="U258" s="111" t="str">
        <f>IFERROR(VLOOKUP(C258,'02. MM-KLH'!$B$6:$T$823,19,0),"")</f>
        <v/>
      </c>
    </row>
    <row r="259" ht="13.5" customHeight="1" spans="1:21">
      <c r="A259" s="847" t="s">
        <v>290</v>
      </c>
      <c r="B259" s="848" t="s">
        <v>3365</v>
      </c>
      <c r="C259" s="849">
        <f>COUNTA(B260:B261)</f>
        <v>1</v>
      </c>
      <c r="D259" s="849" t="str">
        <f>IFERROR(VLOOKUP(B259,'02. MM-KLH'!$B$6:$T$823,3,0),"")</f>
        <v/>
      </c>
      <c r="E259" s="849" t="str">
        <f>IFERROR(VLOOKUP(B259,'02. MM-KLH'!$B$6:$T$823,4,0),"")</f>
        <v/>
      </c>
      <c r="F259" s="849"/>
      <c r="G259" s="849" t="str">
        <f>IFERROR(VLOOKUP(B259,'02. MM-KLH'!$B$6:$T$823,6,0),"")</f>
        <v/>
      </c>
      <c r="H259" s="849"/>
      <c r="I259" s="849" t="str">
        <f>IFERROR(VLOOKUP(B259,'02. MM-KLH'!$B$6:$T$823,8,0),"")</f>
        <v/>
      </c>
      <c r="J259" s="849" t="str">
        <f>IFERROR(VLOOKUP(B259,'02. MM-KLH'!$B$6:$T$823,9,0),"")</f>
        <v/>
      </c>
      <c r="K259" s="849" t="str">
        <f>IFERROR(VLOOKUP(B259,'02. MM-KLH'!$B$6:$T$823,10,0),"")</f>
        <v/>
      </c>
      <c r="L259" s="849" t="str">
        <f>IFERROR(VLOOKUP(B259,'02. MM-KLH'!$B$6:$T$823,11,0),"")</f>
        <v/>
      </c>
      <c r="M259" s="849" t="str">
        <f>IFERROR(VLOOKUP(B259,'02. MM-KLH'!$B$6:$T$823,12,0),"")</f>
        <v/>
      </c>
      <c r="N259" s="849" t="str">
        <f>IFERROR(VLOOKUP(B259,'02. MM-KLH'!$B$6:$T$823,13,0),"")</f>
        <v/>
      </c>
      <c r="O259" s="849" t="str">
        <f>IFERROR(VLOOKUP(B259,'02. MM-KLH'!$B$6:$T$823,14,0),"")</f>
        <v/>
      </c>
      <c r="P259" s="849" t="str">
        <f>IFERROR(VLOOKUP(B259,'02. MM-KLH'!$B$6:$T$823,15,0),"")</f>
        <v/>
      </c>
      <c r="Q259" s="849" t="str">
        <f>IFERROR(VLOOKUP(B259,'02. MM-KLH'!$B$6:$T$823,16,0),"")</f>
        <v/>
      </c>
      <c r="R259" s="849" t="str">
        <f>IFERROR(VLOOKUP(B259,'02. MM-KLH'!$B$6:$T$823,17,0),"")</f>
        <v/>
      </c>
      <c r="S259" s="849" t="str">
        <f>IFERROR(VLOOKUP(B259,'02. MM-KLH'!$B$6:$T$823,18,0),"")</f>
        <v/>
      </c>
      <c r="T259" s="849" t="str">
        <f>IFERROR(VLOOKUP(B259,'02. MM-KLH'!$B$6:$T$823,19,0),"")</f>
        <v/>
      </c>
      <c r="U259" s="849" t="str">
        <f>IFERROR(VLOOKUP(C259,'02. MM-KLH'!$B$6:$T$823,19,0),"")</f>
        <v/>
      </c>
    </row>
    <row r="260" ht="13.5" customHeight="1" spans="1:21">
      <c r="A260" s="101">
        <v>1</v>
      </c>
      <c r="B260" s="104" t="s">
        <v>2691</v>
      </c>
      <c r="C260" s="104" t="str">
        <f>IFERROR(VLOOKUP(B260,'02. MM-KLH'!$B$6:$T$823,2,0),"")</f>
        <v>CKC-MKE-005</v>
      </c>
      <c r="D260" s="103" t="str">
        <f>IFERROR(VLOOKUP(B260,'02. MM-KLH'!$B$6:$T$823,3,0),"")</f>
        <v>A22-MKE-030</v>
      </c>
      <c r="E260" s="102">
        <f>IFERROR(VLOOKUP(B260,'02. MM-KLH'!$B$6:$T$823,4,0),"")</f>
        <v>0</v>
      </c>
      <c r="F260" s="104"/>
      <c r="G260" s="102" t="str">
        <f>IFERROR(VLOOKUP(B260,'02. MM-KLH'!$B$6:$T$823,6,0),"")</f>
        <v>Máy cày SHIBAURA</v>
      </c>
      <c r="H260" s="101" t="s">
        <v>3338</v>
      </c>
      <c r="I260" s="101" t="str">
        <f>IFERROR(VLOOKUP(B260,'02. MM-KLH'!$B$6:$T$823,8,0),"")</f>
        <v>Thagricons</v>
      </c>
      <c r="J260" s="105">
        <f>IFERROR(VLOOKUP(B260,'02. MM-KLH'!$B$6:$T$823,9,0),"")</f>
        <v>0</v>
      </c>
      <c r="K260" s="101" t="str">
        <f>IFERROR(VLOOKUP(B260,'02. MM-KLH'!$B$6:$T$823,10,0),"")</f>
        <v>Bình thường</v>
      </c>
      <c r="L260" s="107">
        <f>IFERROR(VLOOKUP(B260,'02. MM-KLH'!$B$6:$T$823,11,0),"")</f>
        <v>0</v>
      </c>
      <c r="M260" s="864">
        <f>IFERROR(VLOOKUP(B260,'02. MM-KLH'!$B$6:$T$823,12,0),"")</f>
        <v>0</v>
      </c>
      <c r="N260" s="110" t="str">
        <f>IFERROR(VLOOKUP(B260,'02. MM-KLH'!$B$6:$T$823,13,0),"")</f>
        <v>SHIBAURA</v>
      </c>
      <c r="O260" s="110" t="str">
        <f>IFERROR(VLOOKUP(B260,'02. MM-KLH'!$B$6:$T$823,14,0),"")</f>
        <v>NHẬT BẢN</v>
      </c>
      <c r="P260" s="101">
        <f>IFERROR(VLOOKUP(B260,'02. MM-KLH'!$B$6:$T$823,15,0),"")</f>
        <v>0</v>
      </c>
      <c r="Q260" s="101">
        <f>IFERROR(VLOOKUP(B260,'02. MM-KLH'!$B$6:$T$823,16,0),"")</f>
        <v>0</v>
      </c>
      <c r="R260" s="101" t="str">
        <f>IFERROR(VLOOKUP(B260,'02. MM-KLH'!$B$6:$T$823,17,0),"")</f>
        <v>20HP</v>
      </c>
      <c r="S260" s="110" t="str">
        <f>IFERROR(VLOOKUP(B260,'02. MM-KLH'!$B$6:$T$823,18,0),"")</f>
        <v>10434T</v>
      </c>
      <c r="T260" s="111" t="str">
        <f>IFERROR(VLOOKUP(B260,'02. MM-KLH'!$B$6:$T$823,19,0),"")</f>
        <v>CCN</v>
      </c>
      <c r="U260" s="863" t="s">
        <v>451</v>
      </c>
    </row>
    <row r="261" ht="13.5" customHeight="1" spans="1:21">
      <c r="A261" s="101"/>
      <c r="B261" s="104"/>
      <c r="C261" s="104" t="str">
        <f>IFERROR(VLOOKUP(B261,'02. MM-KLH'!$B$6:$T$823,2,0),"")</f>
        <v/>
      </c>
      <c r="D261" s="103" t="str">
        <f>IFERROR(VLOOKUP(B261,'02. MM-KLH'!$B$6:$T$823,3,0),"")</f>
        <v/>
      </c>
      <c r="E261" s="102" t="str">
        <f>IFERROR(VLOOKUP(B261,'02. MM-KLH'!$B$6:$T$823,4,0),"")</f>
        <v/>
      </c>
      <c r="F261" s="104"/>
      <c r="G261" s="102" t="str">
        <f>IFERROR(VLOOKUP(B261,'02. MM-KLH'!$B$6:$T$823,6,0),"")</f>
        <v/>
      </c>
      <c r="H261" s="101"/>
      <c r="I261" s="101" t="str">
        <f>IFERROR(VLOOKUP(B261,'02. MM-KLH'!$B$6:$T$823,8,0),"")</f>
        <v/>
      </c>
      <c r="J261" s="105" t="str">
        <f>IFERROR(VLOOKUP(B261,'02. MM-KLH'!$B$6:$T$823,9,0),"")</f>
        <v/>
      </c>
      <c r="K261" s="101" t="str">
        <f>IFERROR(VLOOKUP(B261,'02. MM-KLH'!$B$6:$T$823,10,0),"")</f>
        <v/>
      </c>
      <c r="L261" s="107" t="str">
        <f>IFERROR(VLOOKUP(B261,'02. MM-KLH'!$B$6:$T$823,11,0),"")</f>
        <v/>
      </c>
      <c r="M261" s="864" t="str">
        <f>IFERROR(VLOOKUP(B261,'02. MM-KLH'!$B$6:$T$823,12,0),"")</f>
        <v/>
      </c>
      <c r="N261" s="110" t="str">
        <f>IFERROR(VLOOKUP(B261,'02. MM-KLH'!$B$6:$T$823,13,0),"")</f>
        <v/>
      </c>
      <c r="O261" s="110" t="str">
        <f>IFERROR(VLOOKUP(B261,'02. MM-KLH'!$B$6:$T$823,14,0),"")</f>
        <v/>
      </c>
      <c r="P261" s="101" t="str">
        <f>IFERROR(VLOOKUP(B261,'02. MM-KLH'!$B$6:$T$823,15,0),"")</f>
        <v/>
      </c>
      <c r="Q261" s="101" t="str">
        <f>IFERROR(VLOOKUP(B261,'02. MM-KLH'!$B$6:$T$823,16,0),"")</f>
        <v/>
      </c>
      <c r="R261" s="101" t="str">
        <f>IFERROR(VLOOKUP(B261,'02. MM-KLH'!$B$6:$T$823,17,0),"")</f>
        <v/>
      </c>
      <c r="S261" s="110" t="str">
        <f>IFERROR(VLOOKUP(B261,'02. MM-KLH'!$B$6:$T$823,18,0),"")</f>
        <v/>
      </c>
      <c r="T261" s="111" t="str">
        <f>IFERROR(VLOOKUP(B261,'02. MM-KLH'!$B$6:$T$823,19,0),"")</f>
        <v/>
      </c>
      <c r="U261" s="863"/>
    </row>
    <row r="262" ht="13.5" customHeight="1" spans="1:21">
      <c r="A262" s="847" t="s">
        <v>290</v>
      </c>
      <c r="B262" s="848" t="s">
        <v>3366</v>
      </c>
      <c r="C262" s="849">
        <f>COUNTA(B263:B275)</f>
        <v>11</v>
      </c>
      <c r="D262" s="849" t="str">
        <f>IFERROR(VLOOKUP(B262,'02. MM-KLH'!$B$6:$T$823,3,0),"")</f>
        <v/>
      </c>
      <c r="E262" s="849" t="str">
        <f>IFERROR(VLOOKUP(B262,'02. MM-KLH'!$B$6:$T$823,4,0),"")</f>
        <v/>
      </c>
      <c r="F262" s="849"/>
      <c r="G262" s="849" t="str">
        <f>IFERROR(VLOOKUP(B262,'02. MM-KLH'!$B$6:$T$823,6,0),"")</f>
        <v/>
      </c>
      <c r="H262" s="849"/>
      <c r="I262" s="849" t="str">
        <f>IFERROR(VLOOKUP(B262,'02. MM-KLH'!$B$6:$T$823,8,0),"")</f>
        <v/>
      </c>
      <c r="J262" s="849" t="str">
        <f>IFERROR(VLOOKUP(B262,'02. MM-KLH'!$B$6:$T$823,9,0),"")</f>
        <v/>
      </c>
      <c r="K262" s="849" t="str">
        <f>IFERROR(VLOOKUP(B262,'02. MM-KLH'!$B$6:$T$823,10,0),"")</f>
        <v/>
      </c>
      <c r="L262" s="849" t="str">
        <f>IFERROR(VLOOKUP(B262,'02. MM-KLH'!$B$6:$T$823,11,0),"")</f>
        <v/>
      </c>
      <c r="M262" s="849" t="str">
        <f>IFERROR(VLOOKUP(B262,'02. MM-KLH'!$B$6:$T$823,12,0),"")</f>
        <v/>
      </c>
      <c r="N262" s="849" t="str">
        <f>IFERROR(VLOOKUP(B262,'02. MM-KLH'!$B$6:$T$823,13,0),"")</f>
        <v/>
      </c>
      <c r="O262" s="849" t="str">
        <f>IFERROR(VLOOKUP(B262,'02. MM-KLH'!$B$6:$T$823,14,0),"")</f>
        <v/>
      </c>
      <c r="P262" s="849" t="str">
        <f>IFERROR(VLOOKUP(B262,'02. MM-KLH'!$B$6:$T$823,15,0),"")</f>
        <v/>
      </c>
      <c r="Q262" s="849" t="str">
        <f>IFERROR(VLOOKUP(B262,'02. MM-KLH'!$B$6:$T$823,16,0),"")</f>
        <v/>
      </c>
      <c r="R262" s="849" t="str">
        <f>IFERROR(VLOOKUP(B262,'02. MM-KLH'!$B$6:$T$823,17,0),"")</f>
        <v/>
      </c>
      <c r="S262" s="849" t="str">
        <f>IFERROR(VLOOKUP(B262,'02. MM-KLH'!$B$6:$T$823,18,0),"")</f>
        <v/>
      </c>
      <c r="T262" s="849" t="str">
        <f>IFERROR(VLOOKUP(B262,'02. MM-KLH'!$B$6:$T$823,19,0),"")</f>
        <v/>
      </c>
      <c r="U262" s="849" t="str">
        <f>IFERROR(VLOOKUP(C262,'02. MM-KLH'!$B$6:$T$823,19,0),"")</f>
        <v/>
      </c>
    </row>
    <row r="263" ht="13.5" customHeight="1" spans="1:21">
      <c r="A263" s="103">
        <v>1</v>
      </c>
      <c r="B263" s="104" t="s">
        <v>1858</v>
      </c>
      <c r="C263" s="102">
        <f>IFERROR(VLOOKUP(B263,'02. MM-KLH'!$B$6:$T$823,2,0),"")</f>
        <v>0</v>
      </c>
      <c r="D263" s="103" t="str">
        <f>IFERROR(VLOOKUP(B263,'02. MM-KLH'!$B$6:$T$823,3,0),"")</f>
        <v>ATM-A22-0126</v>
      </c>
      <c r="E263" s="102">
        <f>IFERROR(VLOOKUP(B263,'02. MM-KLH'!$B$6:$T$823,4,0),"")</f>
        <v>0</v>
      </c>
      <c r="F263" s="104" t="s">
        <v>3367</v>
      </c>
      <c r="G263" s="102" t="str">
        <f>IFERROR(VLOOKUP(B263,'02. MM-KLH'!$B$6:$T$823,6,0),"")</f>
        <v>Máy cày bánh xích ISEKI</v>
      </c>
      <c r="H263" s="101" t="s">
        <v>3340</v>
      </c>
      <c r="I263" s="101" t="str">
        <f>IFERROR(VLOOKUP(B263,'02. MM-KLH'!$B$6:$T$823,8,0),"")</f>
        <v>XN Bò AD</v>
      </c>
      <c r="J263" s="105">
        <f>IFERROR(VLOOKUP(B263,'02. MM-KLH'!$B$6:$T$823,9,0),"")</f>
        <v>45385</v>
      </c>
      <c r="K263" s="101" t="str">
        <f>IFERROR(VLOOKUP(B263,'02. MM-KLH'!$B$6:$T$823,10,0),"")</f>
        <v>Bình thường</v>
      </c>
      <c r="L263" s="107">
        <f>IFERROR(VLOOKUP(B263,'02. MM-KLH'!$B$6:$T$823,11,0),"")</f>
        <v>0.97</v>
      </c>
      <c r="M263" s="864">
        <f>IFERROR(VLOOKUP(B263,'02. MM-KLH'!$B$6:$T$823,12,0),"")</f>
        <v>0</v>
      </c>
      <c r="N263" s="110" t="str">
        <f>IFERROR(VLOOKUP(B263,'02. MM-KLH'!$B$6:$T$823,13,0),"")</f>
        <v>ISEKI</v>
      </c>
      <c r="O263" s="110" t="str">
        <f>IFERROR(VLOOKUP(B263,'02. MM-KLH'!$B$6:$T$823,14,0),"")</f>
        <v>TRUNG QUỐC</v>
      </c>
      <c r="P263" s="101">
        <f>IFERROR(VLOOKUP(B263,'02. MM-KLH'!$B$6:$T$823,15,0),"")</f>
        <v>0</v>
      </c>
      <c r="Q263" s="101" t="str">
        <f>IFERROR(VLOOKUP(B263,'02. MM-KLH'!$B$6:$T$823,16,0),"")</f>
        <v>TA-C120</v>
      </c>
      <c r="R263" s="101" t="str">
        <f>IFERROR(VLOOKUP(B263,'02. MM-KLH'!$B$6:$T$823,17,0),"")</f>
        <v>120HP</v>
      </c>
      <c r="S263" s="110" t="str">
        <f>IFERROR(VLOOKUP(B263,'02. MM-KLH'!$B$6:$T$823,18,0),"")</f>
        <v>K12A/10050</v>
      </c>
      <c r="T263" s="111" t="str">
        <f>IFERROR(VLOOKUP(B263,'02. MM-KLH'!$B$6:$T$823,19,0),"")</f>
        <v>S6S025912</v>
      </c>
      <c r="U263" s="863" t="s">
        <v>451</v>
      </c>
    </row>
    <row r="264" ht="13.5" customHeight="1" spans="1:21">
      <c r="A264" s="103">
        <f t="shared" ref="A264:A273" si="11">A263+1</f>
        <v>2</v>
      </c>
      <c r="B264" s="104" t="s">
        <v>1866</v>
      </c>
      <c r="C264" s="102">
        <f>IFERROR(VLOOKUP(B264,'02. MM-KLH'!$B$6:$T$823,2,0),"")</f>
        <v>0</v>
      </c>
      <c r="D264" s="103" t="str">
        <f>IFERROR(VLOOKUP(B264,'02. MM-KLH'!$B$6:$T$823,3,0),"")</f>
        <v>ATM-A22-0129</v>
      </c>
      <c r="E264" s="102">
        <f>IFERROR(VLOOKUP(B264,'02. MM-KLH'!$B$6:$T$823,4,0),"")</f>
        <v>0</v>
      </c>
      <c r="F264" s="192" t="s">
        <v>3368</v>
      </c>
      <c r="G264" s="102" t="str">
        <f>IFERROR(VLOOKUP(B264,'02. MM-KLH'!$B$6:$T$823,6,0),"")</f>
        <v>Máy cày bánh xích YANMAR</v>
      </c>
      <c r="H264" s="101" t="s">
        <v>3340</v>
      </c>
      <c r="I264" s="101" t="str">
        <f>IFERROR(VLOOKUP(B264,'02. MM-KLH'!$B$6:$T$823,8,0),"")</f>
        <v>XN Bò AD</v>
      </c>
      <c r="J264" s="105" t="str">
        <f>IFERROR(VLOOKUP(B264,'02. MM-KLH'!$B$6:$T$823,9,0),"")</f>
        <v>22/07/2024</v>
      </c>
      <c r="K264" s="101" t="str">
        <f>IFERROR(VLOOKUP(B264,'02. MM-KLH'!$B$6:$T$823,10,0),"")</f>
        <v>Bình thường</v>
      </c>
      <c r="L264" s="107">
        <f>IFERROR(VLOOKUP(B264,'02. MM-KLH'!$B$6:$T$823,11,0),"")</f>
        <v>0.97</v>
      </c>
      <c r="M264" s="864">
        <f>IFERROR(VLOOKUP(B264,'02. MM-KLH'!$B$6:$T$823,12,0),"")</f>
        <v>0</v>
      </c>
      <c r="N264" s="110" t="str">
        <f>IFERROR(VLOOKUP(B264,'02. MM-KLH'!$B$6:$T$823,13,0),"")</f>
        <v>YANMAR</v>
      </c>
      <c r="O264" s="110" t="str">
        <f>IFERROR(VLOOKUP(B264,'02. MM-KLH'!$B$6:$T$823,14,0),"")</f>
        <v>TRUNG QUỐC</v>
      </c>
      <c r="P264" s="101">
        <f>IFERROR(VLOOKUP(B264,'02. MM-KLH'!$B$6:$T$823,15,0),"")</f>
        <v>0</v>
      </c>
      <c r="Q264" s="101" t="str">
        <f>IFERROR(VLOOKUP(B264,'02. MM-KLH'!$B$6:$T$823,16,0),"")</f>
        <v>CT95</v>
      </c>
      <c r="R264" s="101" t="str">
        <f>IFERROR(VLOOKUP(B264,'02. MM-KLH'!$B$6:$T$823,17,0),"")</f>
        <v>95HP</v>
      </c>
      <c r="S264" s="110">
        <f>IFERROR(VLOOKUP(B264,'02. MM-KLH'!$B$6:$T$823,18,0),"")</f>
        <v>50478</v>
      </c>
      <c r="T264" s="111" t="str">
        <f>IFERROR(VLOOKUP(B264,'02. MM-KLH'!$B$6:$T$823,19,0),"")</f>
        <v>CCN</v>
      </c>
      <c r="U264" s="863" t="s">
        <v>451</v>
      </c>
    </row>
    <row r="265" ht="13.5" customHeight="1" spans="1:21">
      <c r="A265" s="103">
        <f t="shared" si="11"/>
        <v>3</v>
      </c>
      <c r="B265" s="104" t="s">
        <v>2027</v>
      </c>
      <c r="C265" s="102" t="str">
        <f>IFERROR(VLOOKUP(B265,'02. MM-KLH'!$B$6:$T$823,2,0),"")</f>
        <v>Mới (100%)</v>
      </c>
      <c r="D265" s="103" t="str">
        <f>IFERROR(VLOOKUP(B265,'02. MM-KLH'!$B$6:$T$823,3,0),"")</f>
        <v>A23-MKX-001</v>
      </c>
      <c r="E265" s="102">
        <f>IFERROR(VLOOKUP(B265,'02. MM-KLH'!$B$6:$T$823,4,0),"")</f>
        <v>0</v>
      </c>
      <c r="F265" s="192" t="s">
        <v>3369</v>
      </c>
      <c r="G265" s="102" t="str">
        <f>IFERROR(VLOOKUP(B265,'02. MM-KLH'!$B$6:$T$823,6,0),"")</f>
        <v>Máy cày bánh xích LOVOL</v>
      </c>
      <c r="H265" s="101" t="s">
        <v>3340</v>
      </c>
      <c r="I265" s="101" t="str">
        <f>IFERROR(VLOOKUP(B265,'02. MM-KLH'!$B$6:$T$823,8,0),"")</f>
        <v>XN Bò AD</v>
      </c>
      <c r="J265" s="105" t="str">
        <f>IFERROR(VLOOKUP(B265,'02. MM-KLH'!$B$6:$T$823,9,0),"")</f>
        <v>25/08/2025</v>
      </c>
      <c r="K265" s="101" t="str">
        <f>IFERROR(VLOOKUP(B265,'02. MM-KLH'!$B$6:$T$823,10,0),"")</f>
        <v>Bình thường</v>
      </c>
      <c r="L265" s="107">
        <f>IFERROR(VLOOKUP(B265,'02. MM-KLH'!$B$6:$T$823,11,0),"")</f>
        <v>0</v>
      </c>
      <c r="M265" s="864">
        <f>IFERROR(VLOOKUP(B265,'02. MM-KLH'!$B$6:$T$823,12,0),"")</f>
        <v>0</v>
      </c>
      <c r="N265" s="110" t="str">
        <f>IFERROR(VLOOKUP(B265,'02. MM-KLH'!$B$6:$T$823,13,0),"")</f>
        <v>LOVOL</v>
      </c>
      <c r="O265" s="110" t="str">
        <f>IFERROR(VLOOKUP(B265,'02. MM-KLH'!$B$6:$T$823,14,0),"")</f>
        <v>TRUNG QUỐC </v>
      </c>
      <c r="P265" s="101">
        <f>IFERROR(VLOOKUP(B265,'02. MM-KLH'!$B$6:$T$823,15,0),"")</f>
        <v>2025</v>
      </c>
      <c r="Q265" s="101" t="str">
        <f>IFERROR(VLOOKUP(B265,'02. MM-KLH'!$B$6:$T$823,16,0),"")</f>
        <v>1GZL-230X</v>
      </c>
      <c r="R265" s="101" t="str">
        <f>IFERROR(VLOOKUP(B265,'02. MM-KLH'!$B$6:$T$823,17,0),"")</f>
        <v>102HP</v>
      </c>
      <c r="S265" s="110" t="str">
        <f>IFERROR(VLOOKUP(B265,'02. MM-KLH'!$B$6:$T$823,18,0),"")</f>
        <v>FTHRXX23CSN000034</v>
      </c>
      <c r="T265" s="111" t="str">
        <f>IFERROR(VLOOKUP(B265,'02. MM-KLH'!$B$6:$T$823,19,0),"")</f>
        <v>Q250577684G</v>
      </c>
      <c r="U265" s="863" t="s">
        <v>3343</v>
      </c>
    </row>
    <row r="266" ht="13.5" customHeight="1" spans="1:21">
      <c r="A266" s="103">
        <f t="shared" si="11"/>
        <v>4</v>
      </c>
      <c r="B266" s="104" t="s">
        <v>2034</v>
      </c>
      <c r="C266" s="102" t="str">
        <f>IFERROR(VLOOKUP(B266,'02. MM-KLH'!$B$6:$T$823,2,0),"")</f>
        <v>Mới (ĐQSD)</v>
      </c>
      <c r="D266" s="103" t="str">
        <f>IFERROR(VLOOKUP(B266,'02. MM-KLH'!$B$6:$T$823,3,0),"")</f>
        <v>A22-MKX-002</v>
      </c>
      <c r="E266" s="102">
        <f>IFERROR(VLOOKUP(B266,'02. MM-KLH'!$B$6:$T$823,4,0),"")</f>
        <v>0</v>
      </c>
      <c r="F266" s="192" t="s">
        <v>3370</v>
      </c>
      <c r="G266" s="102" t="str">
        <f>IFERROR(VLOOKUP(B266,'02. MM-KLH'!$B$6:$T$823,6,0),"")</f>
        <v>Máy cày bánh xích MOROOKA</v>
      </c>
      <c r="H266" s="101" t="s">
        <v>3340</v>
      </c>
      <c r="I266" s="101" t="str">
        <f>IFERROR(VLOOKUP(B266,'02. MM-KLH'!$B$6:$T$823,8,0),"")</f>
        <v>XN Bò AD</v>
      </c>
      <c r="J266" s="105" t="str">
        <f>IFERROR(VLOOKUP(B266,'02. MM-KLH'!$B$6:$T$823,9,0),"")</f>
        <v>19/09/2025</v>
      </c>
      <c r="K266" s="101" t="str">
        <f>IFERROR(VLOOKUP(B266,'02. MM-KLH'!$B$6:$T$823,10,0),"")</f>
        <v>Bình thường</v>
      </c>
      <c r="L266" s="107">
        <f>IFERROR(VLOOKUP(B266,'02. MM-KLH'!$B$6:$T$823,11,0),"")</f>
        <v>0</v>
      </c>
      <c r="M266" s="864">
        <f>IFERROR(VLOOKUP(B266,'02. MM-KLH'!$B$6:$T$823,12,0),"")</f>
        <v>0</v>
      </c>
      <c r="N266" s="110" t="str">
        <f>IFERROR(VLOOKUP(B266,'02. MM-KLH'!$B$6:$T$823,13,0),"")</f>
        <v>MOROOKA</v>
      </c>
      <c r="O266" s="110" t="str">
        <f>IFERROR(VLOOKUP(B266,'02. MM-KLH'!$B$6:$T$823,14,0),"")</f>
        <v>VIỆT NAM</v>
      </c>
      <c r="P266" s="101">
        <f>IFERROR(VLOOKUP(B266,'02. MM-KLH'!$B$6:$T$823,15,0),"")</f>
        <v>0</v>
      </c>
      <c r="Q266" s="101" t="str">
        <f>IFERROR(VLOOKUP(B266,'02. MM-KLH'!$B$6:$T$823,16,0),"")</f>
        <v>MK-200</v>
      </c>
      <c r="R266" s="101" t="str">
        <f>IFERROR(VLOOKUP(B266,'02. MM-KLH'!$B$6:$T$823,17,0),"")</f>
        <v>200HP</v>
      </c>
      <c r="S266" s="110" t="str">
        <f>IFERROR(VLOOKUP(B266,'02. MM-KLH'!$B$6:$T$823,18,0),"")</f>
        <v>T20022</v>
      </c>
      <c r="T266" s="111" t="str">
        <f>IFERROR(VLOOKUP(B266,'02. MM-KLH'!$B$6:$T$823,19,0),"")</f>
        <v>H06C TF11820</v>
      </c>
      <c r="U266" s="863" t="s">
        <v>451</v>
      </c>
    </row>
    <row r="267" ht="13.5" customHeight="1" spans="1:21">
      <c r="A267" s="103">
        <f t="shared" si="11"/>
        <v>5</v>
      </c>
      <c r="B267" s="104" t="s">
        <v>2041</v>
      </c>
      <c r="C267" s="102" t="str">
        <f>IFERROR(VLOOKUP(B267,'02. MM-KLH'!$B$6:$T$823,2,0),"")</f>
        <v>Mới (100%)</v>
      </c>
      <c r="D267" s="103" t="str">
        <f>IFERROR(VLOOKUP(B267,'02. MM-KLH'!$B$6:$T$823,3,0),"")</f>
        <v>A22-MKX-003</v>
      </c>
      <c r="E267" s="102">
        <f>IFERROR(VLOOKUP(B267,'02. MM-KLH'!$B$6:$T$823,4,0),"")</f>
        <v>0</v>
      </c>
      <c r="F267" s="192" t="s">
        <v>3371</v>
      </c>
      <c r="G267" s="102" t="str">
        <f>IFERROR(VLOOKUP(B267,'02. MM-KLH'!$B$6:$T$823,6,0),"")</f>
        <v>Máy cày bánh xích LOVOL TB1002C</v>
      </c>
      <c r="H267" s="101" t="s">
        <v>3340</v>
      </c>
      <c r="I267" s="101" t="str">
        <f>IFERROR(VLOOKUP(B267,'02. MM-KLH'!$B$6:$T$823,8,0),"")</f>
        <v>XN Bò AD</v>
      </c>
      <c r="J267" s="105" t="str">
        <f>IFERROR(VLOOKUP(B267,'02. MM-KLH'!$B$6:$T$823,9,0),"")</f>
        <v>15/12/2025</v>
      </c>
      <c r="K267" s="101" t="str">
        <f>IFERROR(VLOOKUP(B267,'02. MM-KLH'!$B$6:$T$823,10,0),"")</f>
        <v>Bình thường</v>
      </c>
      <c r="L267" s="107">
        <f>IFERROR(VLOOKUP(B267,'02. MM-KLH'!$B$6:$T$823,11,0),"")</f>
        <v>0</v>
      </c>
      <c r="M267" s="864">
        <f>IFERROR(VLOOKUP(B267,'02. MM-KLH'!$B$6:$T$823,12,0),"")</f>
        <v>0</v>
      </c>
      <c r="N267" s="110" t="str">
        <f>IFERROR(VLOOKUP(B267,'02. MM-KLH'!$B$6:$T$823,13,0),"")</f>
        <v>LOVOL</v>
      </c>
      <c r="O267" s="110" t="str">
        <f>IFERROR(VLOOKUP(B267,'02. MM-KLH'!$B$6:$T$823,14,0),"")</f>
        <v>TRUNG QUỐC</v>
      </c>
      <c r="P267" s="101">
        <f>IFERROR(VLOOKUP(B267,'02. MM-KLH'!$B$6:$T$823,15,0),"")</f>
        <v>2025</v>
      </c>
      <c r="Q267" s="101" t="str">
        <f>IFERROR(VLOOKUP(B267,'02. MM-KLH'!$B$6:$T$823,16,0),"")</f>
        <v>TB1002-C</v>
      </c>
      <c r="R267" s="101" t="str">
        <f>IFERROR(VLOOKUP(B267,'02. MM-KLH'!$B$6:$T$823,17,0),"")</f>
        <v>100HP</v>
      </c>
      <c r="S267" s="110" t="str">
        <f>IFERROR(VLOOKUP(B267,'02. MM-KLH'!$B$6:$T$823,18,0),"")</f>
        <v>FTTM3AD2CSC000020</v>
      </c>
      <c r="T267" s="111" t="str">
        <f>IFERROR(VLOOKUP(B267,'02. MM-KLH'!$B$6:$T$823,19,0),"")</f>
        <v>Q250194560G</v>
      </c>
      <c r="U267" s="863" t="s">
        <v>451</v>
      </c>
    </row>
    <row r="268" ht="13.5" customHeight="1" spans="1:21">
      <c r="A268" s="103">
        <f t="shared" si="11"/>
        <v>6</v>
      </c>
      <c r="B268" s="104" t="s">
        <v>2047</v>
      </c>
      <c r="C268" s="102" t="str">
        <f>IFERROR(VLOOKUP(B268,'02. MM-KLH'!$B$6:$T$823,2,0),"")</f>
        <v>Mới (ĐQSD)</v>
      </c>
      <c r="D268" s="103" t="str">
        <f>IFERROR(VLOOKUP(B268,'02. MM-KLH'!$B$6:$T$823,3,0),"")</f>
        <v>A22-MKX-004</v>
      </c>
      <c r="E268" s="102">
        <f>IFERROR(VLOOKUP(B268,'02. MM-KLH'!$B$6:$T$823,4,0),"")</f>
        <v>0</v>
      </c>
      <c r="F268" s="192" t="s">
        <v>3372</v>
      </c>
      <c r="G268" s="102" t="str">
        <f>IFERROR(VLOOKUP(B268,'02. MM-KLH'!$B$6:$T$823,6,0),"")</f>
        <v>Máy cày bánh xích MK 250</v>
      </c>
      <c r="H268" s="101" t="s">
        <v>3340</v>
      </c>
      <c r="I268" s="101" t="str">
        <f>IFERROR(VLOOKUP(B268,'02. MM-KLH'!$B$6:$T$823,8,0),"")</f>
        <v>XN Bò AD</v>
      </c>
      <c r="J268" s="105" t="str">
        <f>IFERROR(VLOOKUP(B268,'02. MM-KLH'!$B$6:$T$823,9,0),"")</f>
        <v>19/01/2026</v>
      </c>
      <c r="K268" s="101" t="str">
        <f>IFERROR(VLOOKUP(B268,'02. MM-KLH'!$B$6:$T$823,10,0),"")</f>
        <v>Bình thường</v>
      </c>
      <c r="L268" s="107">
        <f>IFERROR(VLOOKUP(B268,'02. MM-KLH'!$B$6:$T$823,11,0),"")</f>
        <v>0</v>
      </c>
      <c r="M268" s="864">
        <f>IFERROR(VLOOKUP(B268,'02. MM-KLH'!$B$6:$T$823,12,0),"")</f>
        <v>0</v>
      </c>
      <c r="N268" s="110" t="str">
        <f>IFERROR(VLOOKUP(B268,'02. MM-KLH'!$B$6:$T$823,13,0),"")</f>
        <v>Morooka</v>
      </c>
      <c r="O268" s="110" t="str">
        <f>IFERROR(VLOOKUP(B268,'02. MM-KLH'!$B$6:$T$823,14,0),"")</f>
        <v>Việt Nam</v>
      </c>
      <c r="P268" s="101">
        <f>IFERROR(VLOOKUP(B268,'02. MM-KLH'!$B$6:$T$823,15,0),"")</f>
        <v>0</v>
      </c>
      <c r="Q268" s="101" t="str">
        <f>IFERROR(VLOOKUP(B268,'02. MM-KLH'!$B$6:$T$823,16,0),"")</f>
        <v>MK 250</v>
      </c>
      <c r="R268" s="101" t="str">
        <f>IFERROR(VLOOKUP(B268,'02. MM-KLH'!$B$6:$T$823,17,0),"")</f>
        <v>250HP</v>
      </c>
      <c r="S268" s="110" t="str">
        <f>IFERROR(VLOOKUP(B268,'02. MM-KLH'!$B$6:$T$823,18,0),"")</f>
        <v>T22032</v>
      </c>
      <c r="T268" s="111" t="str">
        <f>IFERROR(VLOOKUP(B268,'02. MM-KLH'!$B$6:$T$823,19,0),"")</f>
        <v>6D108-19718</v>
      </c>
      <c r="U268" s="863" t="s">
        <v>451</v>
      </c>
    </row>
    <row r="269" ht="13.5" customHeight="1" spans="1:21">
      <c r="A269" s="103">
        <f t="shared" si="11"/>
        <v>7</v>
      </c>
      <c r="B269" s="104" t="s">
        <v>2054</v>
      </c>
      <c r="C269" s="102" t="str">
        <f>IFERROR(VLOOKUP(B269,'02. MM-KLH'!$B$6:$T$823,2,0),"")</f>
        <v>Mới (ĐQSD)</v>
      </c>
      <c r="D269" s="103" t="str">
        <f>IFERROR(VLOOKUP(B269,'02. MM-KLH'!$B$6:$T$823,3,0),"")</f>
        <v>A22-MKX-005</v>
      </c>
      <c r="E269" s="102">
        <f>IFERROR(VLOOKUP(B269,'02. MM-KLH'!$B$6:$T$823,4,0),"")</f>
        <v>0</v>
      </c>
      <c r="F269" s="192" t="s">
        <v>3373</v>
      </c>
      <c r="G269" s="102" t="str">
        <f>IFERROR(VLOOKUP(B269,'02. MM-KLH'!$B$6:$T$823,6,0),"")</f>
        <v>Máy cày bánh xích CT55</v>
      </c>
      <c r="H269" s="101" t="s">
        <v>3340</v>
      </c>
      <c r="I269" s="101" t="str">
        <f>IFERROR(VLOOKUP(B269,'02. MM-KLH'!$B$6:$T$823,8,0),"")</f>
        <v>XN Bò AD</v>
      </c>
      <c r="J269" s="105" t="str">
        <f>IFERROR(VLOOKUP(B269,'02. MM-KLH'!$B$6:$T$823,9,0),"")</f>
        <v>23/01/2026</v>
      </c>
      <c r="K269" s="101" t="str">
        <f>IFERROR(VLOOKUP(B269,'02. MM-KLH'!$B$6:$T$823,10,0),"")</f>
        <v>Bình thường</v>
      </c>
      <c r="L269" s="107">
        <f>IFERROR(VLOOKUP(B269,'02. MM-KLH'!$B$6:$T$823,11,0),"")</f>
        <v>0</v>
      </c>
      <c r="M269" s="864" t="str">
        <f>IFERROR(VLOOKUP(B269,'02. MM-KLH'!$B$6:$T$823,12,0),"")</f>
        <v>Đầu tư mới</v>
      </c>
      <c r="N269" s="110" t="str">
        <f>IFERROR(VLOOKUP(B269,'02. MM-KLH'!$B$6:$T$823,13,0),"")</f>
        <v>YANMAR</v>
      </c>
      <c r="O269" s="110" t="str">
        <f>IFERROR(VLOOKUP(B269,'02. MM-KLH'!$B$6:$T$823,14,0),"")</f>
        <v>Nhật Bản</v>
      </c>
      <c r="P269" s="101">
        <f>IFERROR(VLOOKUP(B269,'02. MM-KLH'!$B$6:$T$823,15,0),"")</f>
        <v>0</v>
      </c>
      <c r="Q269" s="101" t="str">
        <f>IFERROR(VLOOKUP(B269,'02. MM-KLH'!$B$6:$T$823,16,0),"")</f>
        <v>CT55</v>
      </c>
      <c r="R269" s="101" t="str">
        <f>IFERROR(VLOOKUP(B269,'02. MM-KLH'!$B$6:$T$823,17,0),"")</f>
        <v>55HP</v>
      </c>
      <c r="S269" s="110">
        <f>IFERROR(VLOOKUP(B269,'02. MM-KLH'!$B$6:$T$823,18,0),"")</f>
        <v>1174</v>
      </c>
      <c r="T269" s="111">
        <f>IFERROR(VLOOKUP(B269,'02. MM-KLH'!$B$6:$T$823,19,0),"")</f>
        <v>8391</v>
      </c>
      <c r="U269" s="863" t="s">
        <v>451</v>
      </c>
    </row>
    <row r="270" ht="29.25" customHeight="1" spans="1:21">
      <c r="A270" s="103">
        <f t="shared" si="11"/>
        <v>8</v>
      </c>
      <c r="B270" s="104" t="s">
        <v>959</v>
      </c>
      <c r="C270" s="102" t="str">
        <f>IFERROR(VLOOKUP(B270,'02. MM-KLH'!$B$6:$T$823,2,0),"")</f>
        <v>XB1-MKX-006</v>
      </c>
      <c r="D270" s="103" t="str">
        <f>IFERROR(VLOOKUP(B270,'02. MM-KLH'!$B$6:$T$823,3,0),"")</f>
        <v>A22-MKX-006</v>
      </c>
      <c r="E270" s="102">
        <f>IFERROR(VLOOKUP(B270,'02. MM-KLH'!$B$6:$T$823,4,0),"")</f>
        <v>0</v>
      </c>
      <c r="F270" s="192" t="s">
        <v>3373</v>
      </c>
      <c r="G270" s="102" t="str">
        <f>IFERROR(VLOOKUP(B270,'02. MM-KLH'!$B$6:$T$823,6,0),"")</f>
        <v>Máy cày bánh xích CT65</v>
      </c>
      <c r="H270" s="101" t="s">
        <v>3340</v>
      </c>
      <c r="I270" s="101" t="str">
        <f>IFERROR(VLOOKUP(B270,'02. MM-KLH'!$B$6:$T$823,8,0),"")</f>
        <v>CGLĐ DP</v>
      </c>
      <c r="J270" s="105" t="str">
        <f>IFERROR(VLOOKUP(B270,'02. MM-KLH'!$B$6:$T$823,9,0),"")</f>
        <v>19/01/2026</v>
      </c>
      <c r="K270" s="101" t="str">
        <f>IFERROR(VLOOKUP(B270,'02. MM-KLH'!$B$6:$T$823,10,0),"")</f>
        <v>Bình thường</v>
      </c>
      <c r="L270" s="107">
        <f>IFERROR(VLOOKUP(B270,'02. MM-KLH'!$B$6:$T$823,11,0),"")</f>
        <v>0</v>
      </c>
      <c r="M270" s="1100" t="str">
        <f>IFERROR(VLOOKUP(B270,'02. MM-KLH'!$B$6:$T$823,12,0),"")</f>
        <v>- Đầu tư mới (ĐQSD)- 19/01/2026
- 03/07/2026 XNB đchuyen qua CGLĐ DP &amp; LP</v>
      </c>
      <c r="N270" s="110" t="str">
        <f>IFERROR(VLOOKUP(B270,'02. MM-KLH'!$B$6:$T$823,13,0),"")</f>
        <v>YANMAR</v>
      </c>
      <c r="O270" s="110" t="str">
        <f>IFERROR(VLOOKUP(B270,'02. MM-KLH'!$B$6:$T$823,14,0),"")</f>
        <v>Nhật Bản</v>
      </c>
      <c r="P270" s="101">
        <f>IFERROR(VLOOKUP(B270,'02. MM-KLH'!$B$6:$T$823,15,0),"")</f>
        <v>0</v>
      </c>
      <c r="Q270" s="101" t="str">
        <f>IFERROR(VLOOKUP(B270,'02. MM-KLH'!$B$6:$T$823,16,0),"")</f>
        <v>CT65</v>
      </c>
      <c r="R270" s="101" t="str">
        <f>IFERROR(VLOOKUP(B270,'02. MM-KLH'!$B$6:$T$823,17,0),"")</f>
        <v>65HP</v>
      </c>
      <c r="S270" s="110">
        <f>IFERROR(VLOOKUP(B270,'02. MM-KLH'!$B$6:$T$823,18,0),"")</f>
        <v>10139</v>
      </c>
      <c r="T270" s="111">
        <f>IFERROR(VLOOKUP(B270,'02. MM-KLH'!$B$6:$T$823,19,0),"")</f>
        <v>2463</v>
      </c>
      <c r="U270" s="863" t="s">
        <v>451</v>
      </c>
    </row>
    <row r="271" ht="29.25" customHeight="1" spans="1:21">
      <c r="A271" s="103">
        <f t="shared" si="11"/>
        <v>9</v>
      </c>
      <c r="B271" s="104" t="s">
        <v>966</v>
      </c>
      <c r="C271" s="102">
        <f>IFERROR(VLOOKUP(B271,'02. MM-KLH'!$B$6:$T$823,2,0),"")</f>
        <v>0</v>
      </c>
      <c r="D271" s="103" t="str">
        <f>IFERROR(VLOOKUP(B271,'02. MM-KLH'!$B$6:$T$823,3,0),"")</f>
        <v>A24-MKX-001</v>
      </c>
      <c r="E271" s="102">
        <f>IFERROR(VLOOKUP(B271,'02. MM-KLH'!$B$6:$T$823,4,0),"")</f>
        <v>0</v>
      </c>
      <c r="F271" s="192" t="s">
        <v>3373</v>
      </c>
      <c r="G271" s="102" t="str">
        <f>IFERROR(VLOOKUP(B271,'02. MM-KLH'!$B$6:$T$823,6,0),"")</f>
        <v>Máy cày bánh xích Mitsubishi</v>
      </c>
      <c r="H271" s="101" t="s">
        <v>3340</v>
      </c>
      <c r="I271" s="101" t="str">
        <f>IFERROR(VLOOKUP(B271,'02. MM-KLH'!$B$6:$T$823,8,0),"")</f>
        <v>CGLĐ DP</v>
      </c>
      <c r="J271" s="105">
        <f>IFERROR(VLOOKUP(B271,'02. MM-KLH'!$B$6:$T$823,9,0),"")</f>
        <v>46088</v>
      </c>
      <c r="K271" s="101" t="str">
        <f>IFERROR(VLOOKUP(B271,'02. MM-KLH'!$B$6:$T$823,10,0),"")</f>
        <v>Bình thường</v>
      </c>
      <c r="L271" s="107">
        <f>IFERROR(VLOOKUP(B271,'02. MM-KLH'!$B$6:$T$823,11,0),"")</f>
        <v>0</v>
      </c>
      <c r="M271" s="864" t="str">
        <f>IFERROR(VLOOKUP(B271,'02. MM-KLH'!$B$6:$T$823,12,0),"")</f>
        <v>Ngày nhập qua KLH: 04/06/2024</v>
      </c>
      <c r="N271" s="110" t="str">
        <f>IFERROR(VLOOKUP(B271,'02. MM-KLH'!$B$6:$T$823,13,0),"")</f>
        <v>MITSUBISHI</v>
      </c>
      <c r="O271" s="110" t="str">
        <f>IFERROR(VLOOKUP(B271,'02. MM-KLH'!$B$6:$T$823,14,0),"")</f>
        <v>NHẬT BẢN</v>
      </c>
      <c r="P271" s="101">
        <f>IFERROR(VLOOKUP(B271,'02. MM-KLH'!$B$6:$T$823,15,0),"")</f>
        <v>2016</v>
      </c>
      <c r="Q271" s="101" t="str">
        <f>IFERROR(VLOOKUP(B271,'02. MM-KLH'!$B$6:$T$823,16,0),"")</f>
        <v>MKM100</v>
      </c>
      <c r="R271" s="101" t="str">
        <f>IFERROR(VLOOKUP(B271,'02. MM-KLH'!$B$6:$T$823,17,0),"")</f>
        <v>100HP</v>
      </c>
      <c r="S271" s="110" t="str">
        <f>IFERROR(VLOOKUP(B271,'02. MM-KLH'!$B$6:$T$823,18,0),"")</f>
        <v>K10A-10011</v>
      </c>
      <c r="T271" s="111" t="str">
        <f>IFERROR(VLOOKUP(B271,'02. MM-KLH'!$B$6:$T$823,19,0),"")</f>
        <v>6S6-019410</v>
      </c>
      <c r="U271" s="863" t="s">
        <v>451</v>
      </c>
    </row>
    <row r="272" ht="13.5" customHeight="1" spans="1:21">
      <c r="A272" s="103">
        <f t="shared" si="11"/>
        <v>10</v>
      </c>
      <c r="B272" s="104" t="s">
        <v>1817</v>
      </c>
      <c r="C272" s="102" t="str">
        <f>IFERROR(VLOOKUP(B272,'02. MM-KLH'!$B$6:$T$823,2,0),"")</f>
        <v>XB1-MKX-007</v>
      </c>
      <c r="D272" s="103" t="str">
        <f>IFERROR(VLOOKUP(B272,'02. MM-KLH'!$B$6:$T$823,3,0),"")</f>
        <v>A22-MKX-007</v>
      </c>
      <c r="E272" s="102">
        <f>IFERROR(VLOOKUP(B272,'02. MM-KLH'!$B$6:$T$823,4,0),"")</f>
        <v>0</v>
      </c>
      <c r="F272" s="192" t="s">
        <v>3374</v>
      </c>
      <c r="G272" s="102" t="str">
        <f>IFERROR(VLOOKUP(B272,'02. MM-KLH'!$B$6:$T$823,6,0),"")</f>
        <v>Máy kéo bánh xích CT652</v>
      </c>
      <c r="H272" s="101" t="s">
        <v>3340</v>
      </c>
      <c r="I272" s="101" t="str">
        <f>IFERROR(VLOOKUP(B272,'02. MM-KLH'!$B$6:$T$823,8,0),"")</f>
        <v>XOÀI AD</v>
      </c>
      <c r="J272" s="105" t="str">
        <f>IFERROR(VLOOKUP(B272,'02. MM-KLH'!$B$6:$T$823,9,0),"")</f>
        <v>29/05/2026</v>
      </c>
      <c r="K272" s="101" t="str">
        <f>IFERROR(VLOOKUP(B272,'02. MM-KLH'!$B$6:$T$823,10,0),"")</f>
        <v>Bình thường</v>
      </c>
      <c r="L272" s="107">
        <f>IFERROR(VLOOKUP(B272,'02. MM-KLH'!$B$6:$T$823,11,0),"")</f>
        <v>0</v>
      </c>
      <c r="M272" s="864" t="str">
        <f>IFERROR(VLOOKUP(B272,'02. MM-KLH'!$B$6:$T$823,12,0),"")</f>
        <v>Điều chuyển từ XNB qua ngày 29/05/2026</v>
      </c>
      <c r="N272" s="110" t="str">
        <f>IFERROR(VLOOKUP(B272,'02. MM-KLH'!$B$6:$T$823,13,0),"")</f>
        <v>YANMAR</v>
      </c>
      <c r="O272" s="110" t="str">
        <f>IFERROR(VLOOKUP(B272,'02. MM-KLH'!$B$6:$T$823,14,0),"")</f>
        <v>Nhật Bản</v>
      </c>
      <c r="P272" s="101">
        <f>IFERROR(VLOOKUP(B272,'02. MM-KLH'!$B$6:$T$823,15,0),"")</f>
        <v>0</v>
      </c>
      <c r="Q272" s="101" t="str">
        <f>IFERROR(VLOOKUP(B272,'02. MM-KLH'!$B$6:$T$823,16,0),"")</f>
        <v>CT652</v>
      </c>
      <c r="R272" s="101" t="str">
        <f>IFERROR(VLOOKUP(B272,'02. MM-KLH'!$B$6:$T$823,17,0),"")</f>
        <v>65HP</v>
      </c>
      <c r="S272" s="110">
        <f>IFERROR(VLOOKUP(B272,'02. MM-KLH'!$B$6:$T$823,18,0),"")</f>
        <v>50349</v>
      </c>
      <c r="T272" s="111" t="str">
        <f>IFERROR(VLOOKUP(B272,'02. MM-KLH'!$B$6:$T$823,19,0),"")</f>
        <v>R2091</v>
      </c>
      <c r="U272" s="863" t="s">
        <v>451</v>
      </c>
    </row>
    <row r="273" ht="20.25" customHeight="1" spans="1:21">
      <c r="A273" s="103">
        <f t="shared" si="11"/>
        <v>11</v>
      </c>
      <c r="B273" s="104" t="s">
        <v>2457</v>
      </c>
      <c r="C273" s="102">
        <f>IFERROR(VLOOKUP(B273,'02. MM-KLH'!$B$6:$T$823,2,0),"")</f>
        <v>0</v>
      </c>
      <c r="D273" s="103" t="str">
        <f>IFERROR(VLOOKUP(B273,'02. MM-KLH'!$B$6:$T$823,3,0),"")</f>
        <v>A22-XBX-001</v>
      </c>
      <c r="E273" s="102">
        <f>IFERROR(VLOOKUP(B273,'02. MM-KLH'!$B$6:$T$823,4,0),"")</f>
        <v>0</v>
      </c>
      <c r="F273" s="192" t="s">
        <v>3372</v>
      </c>
      <c r="G273" s="102" t="str">
        <f>IFERROR(VLOOKUP(B273,'02. MM-KLH'!$B$6:$T$823,6,0),"")</f>
        <v>Xe bánh xích gom phân chuồng </v>
      </c>
      <c r="H273" s="101" t="s">
        <v>3340</v>
      </c>
      <c r="I273" s="101" t="str">
        <f>IFERROR(VLOOKUP(B273,'02. MM-KLH'!$B$6:$T$823,8,0),"")</f>
        <v>XN Bò AD</v>
      </c>
      <c r="J273" s="105" t="str">
        <f>IFERROR(VLOOKUP(B273,'02. MM-KLH'!$B$6:$T$823,9,0),"")</f>
        <v>16/01/2026</v>
      </c>
      <c r="K273" s="101" t="str">
        <f>IFERROR(VLOOKUP(B273,'02. MM-KLH'!$B$6:$T$823,10,0),"")</f>
        <v>Bình thường</v>
      </c>
      <c r="L273" s="107">
        <f>IFERROR(VLOOKUP(B273,'02. MM-KLH'!$B$6:$T$823,11,0),"")</f>
        <v>0</v>
      </c>
      <c r="M273" s="864" t="str">
        <f>IFERROR(VLOOKUP(B273,'02. MM-KLH'!$B$6:$T$823,12,0),"")</f>
        <v>Đầu tư mới</v>
      </c>
      <c r="N273" s="110" t="str">
        <f>IFERROR(VLOOKUP(B273,'02. MM-KLH'!$B$6:$T$823,13,0),"")</f>
        <v>MNIGKO</v>
      </c>
      <c r="O273" s="110" t="str">
        <f>IFERROR(VLOOKUP(B273,'02. MM-KLH'!$B$6:$T$823,14,0),"")</f>
        <v>Trung Quốc</v>
      </c>
      <c r="P273" s="101">
        <f>IFERROR(VLOOKUP(B273,'02. MM-KLH'!$B$6:$T$823,15,0),"")</f>
        <v>2025</v>
      </c>
      <c r="Q273" s="101" t="str">
        <f>IFERROR(VLOOKUP(B273,'02. MM-KLH'!$B$6:$T$823,16,0),"")</f>
        <v>MINGKO</v>
      </c>
      <c r="R273" s="101" t="str">
        <f>IFERROR(VLOOKUP(B273,'02. MM-KLH'!$B$6:$T$823,17,0),"")</f>
        <v>38.3HP</v>
      </c>
      <c r="S273" s="110" t="str">
        <f>IFERROR(VLOOKUP(B273,'02. MM-KLH'!$B$6:$T$823,18,0),"")</f>
        <v>CCN</v>
      </c>
      <c r="T273" s="111" t="str">
        <f>IFERROR(VLOOKUP(B273,'02. MM-KLH'!$B$6:$T$823,19,0),"")</f>
        <v>31101A</v>
      </c>
      <c r="U273" s="863" t="s">
        <v>451</v>
      </c>
    </row>
    <row r="274" ht="13.5" customHeight="1" spans="1:21">
      <c r="A274" s="103"/>
      <c r="B274" s="104"/>
      <c r="C274" s="102"/>
      <c r="D274" s="103"/>
      <c r="E274" s="102"/>
      <c r="F274" s="192"/>
      <c r="G274" s="102"/>
      <c r="H274" s="101"/>
      <c r="I274" s="101"/>
      <c r="J274" s="105"/>
      <c r="K274" s="101"/>
      <c r="L274" s="107"/>
      <c r="M274" s="864"/>
      <c r="N274" s="110"/>
      <c r="O274" s="110"/>
      <c r="P274" s="101"/>
      <c r="Q274" s="101"/>
      <c r="R274" s="101"/>
      <c r="S274" s="110"/>
      <c r="T274" s="111"/>
      <c r="U274" s="863"/>
    </row>
    <row r="275" ht="13.5" customHeight="1" spans="1:21">
      <c r="A275" s="103"/>
      <c r="B275" s="104"/>
      <c r="C275" s="102" t="str">
        <f>IFERROR(VLOOKUP(B275,'02. MM-KLH'!$B$6:$T$823,2,0),"")</f>
        <v/>
      </c>
      <c r="D275" s="103" t="str">
        <f>IFERROR(VLOOKUP(B275,'02. MM-KLH'!$B$6:$T$823,3,0),"")</f>
        <v/>
      </c>
      <c r="E275" s="102" t="str">
        <f>IFERROR(VLOOKUP(B275,'02. MM-KLH'!$B$6:$T$823,4,0),"")</f>
        <v/>
      </c>
      <c r="F275" s="192"/>
      <c r="G275" s="102" t="str">
        <f>IFERROR(VLOOKUP(B275,'02. MM-KLH'!$B$6:$T$823,6,0),"")</f>
        <v/>
      </c>
      <c r="H275" s="101"/>
      <c r="I275" s="101" t="str">
        <f>IFERROR(VLOOKUP(B275,'02. MM-KLH'!$B$6:$T$823,8,0),"")</f>
        <v/>
      </c>
      <c r="J275" s="105" t="str">
        <f>IFERROR(VLOOKUP(B275,'02. MM-KLH'!$B$6:$T$823,9,0),"")</f>
        <v/>
      </c>
      <c r="K275" s="101" t="str">
        <f>IFERROR(VLOOKUP(B275,'02. MM-KLH'!$B$6:$T$823,10,0),"")</f>
        <v/>
      </c>
      <c r="L275" s="107" t="str">
        <f>IFERROR(VLOOKUP(B275,'02. MM-KLH'!$B$6:$T$823,11,0),"")</f>
        <v/>
      </c>
      <c r="M275" s="864" t="str">
        <f>IFERROR(VLOOKUP(B275,'02. MM-KLH'!$B$6:$T$823,12,0),"")</f>
        <v/>
      </c>
      <c r="N275" s="110" t="str">
        <f>IFERROR(VLOOKUP(B275,'02. MM-KLH'!$B$6:$T$823,13,0),"")</f>
        <v/>
      </c>
      <c r="O275" s="110" t="str">
        <f>IFERROR(VLOOKUP(B275,'02. MM-KLH'!$B$6:$T$823,14,0),"")</f>
        <v/>
      </c>
      <c r="P275" s="101" t="str">
        <f>IFERROR(VLOOKUP(B275,'02. MM-KLH'!$B$6:$T$823,15,0),"")</f>
        <v/>
      </c>
      <c r="Q275" s="101" t="str">
        <f>IFERROR(VLOOKUP(B275,'02. MM-KLH'!$B$6:$T$823,16,0),"")</f>
        <v/>
      </c>
      <c r="R275" s="101" t="str">
        <f>IFERROR(VLOOKUP(B275,'02. MM-KLH'!$B$6:$T$823,17,0),"")</f>
        <v/>
      </c>
      <c r="S275" s="110" t="str">
        <f>IFERROR(VLOOKUP(B275,'02. MM-KLH'!$B$6:$T$823,18,0),"")</f>
        <v/>
      </c>
      <c r="T275" s="111" t="str">
        <f>IFERROR(VLOOKUP(B275,'02. MM-KLH'!$B$6:$T$823,19,0),"")</f>
        <v/>
      </c>
      <c r="U275" s="863"/>
    </row>
    <row r="276" ht="13.5" customHeight="1" spans="1:21">
      <c r="A276" s="92" t="s">
        <v>3375</v>
      </c>
      <c r="B276" s="846" t="s">
        <v>3376</v>
      </c>
      <c r="C276" s="92">
        <f>SUM(C277,C336,C377,C401,C409,C360)</f>
        <v>118</v>
      </c>
      <c r="D276" s="92" t="str">
        <f>IFERROR(VLOOKUP(B276,'02. MM-KLH'!$B$6:$T$823,3,0),"")</f>
        <v/>
      </c>
      <c r="E276" s="92" t="str">
        <f>IFERROR(VLOOKUP(B276,'02. MM-KLH'!$B$6:$T$823,4,0),"")</f>
        <v/>
      </c>
      <c r="F276" s="92"/>
      <c r="G276" s="92" t="str">
        <f>IFERROR(VLOOKUP(B276,'02. MM-KLH'!$B$6:$T$823,6,0),"")</f>
        <v/>
      </c>
      <c r="H276" s="92"/>
      <c r="I276" s="92" t="str">
        <f>IFERROR(VLOOKUP(B276,'02. MM-KLH'!$B$6:$T$823,8,0),"")</f>
        <v/>
      </c>
      <c r="J276" s="92" t="str">
        <f>IFERROR(VLOOKUP(B276,'02. MM-KLH'!$B$6:$T$823,9,0),"")</f>
        <v/>
      </c>
      <c r="K276" s="92" t="str">
        <f>IFERROR(VLOOKUP(B276,'02. MM-KLH'!$B$6:$T$823,10,0),"")</f>
        <v/>
      </c>
      <c r="L276" s="92" t="str">
        <f>IFERROR(VLOOKUP(B276,'02. MM-KLH'!$B$6:$T$823,11,0),"")</f>
        <v/>
      </c>
      <c r="M276" s="92" t="str">
        <f>IFERROR(VLOOKUP(B276,'02. MM-KLH'!$B$6:$T$823,12,0),"")</f>
        <v/>
      </c>
      <c r="N276" s="92" t="str">
        <f>IFERROR(VLOOKUP(B276,'02. MM-KLH'!$B$6:$T$823,13,0),"")</f>
        <v/>
      </c>
      <c r="O276" s="92" t="str">
        <f>IFERROR(VLOOKUP(B276,'02. MM-KLH'!$B$6:$T$823,14,0),"")</f>
        <v/>
      </c>
      <c r="P276" s="92" t="str">
        <f>IFERROR(VLOOKUP(B276,'02. MM-KLH'!$B$6:$T$823,15,0),"")</f>
        <v/>
      </c>
      <c r="Q276" s="92" t="str">
        <f>IFERROR(VLOOKUP(B276,'02. MM-KLH'!$B$6:$T$823,16,0),"")</f>
        <v/>
      </c>
      <c r="R276" s="92" t="str">
        <f>IFERROR(VLOOKUP(B276,'02. MM-KLH'!$B$6:$T$823,17,0),"")</f>
        <v/>
      </c>
      <c r="S276" s="92" t="str">
        <f>IFERROR(VLOOKUP(B276,'02. MM-KLH'!$B$6:$T$823,18,0),"")</f>
        <v/>
      </c>
      <c r="T276" s="92" t="str">
        <f>IFERROR(VLOOKUP(B276,'02. MM-KLH'!$B$6:$T$823,19,0),"")</f>
        <v/>
      </c>
      <c r="U276" s="92" t="str">
        <f>IFERROR(VLOOKUP(C276,'02. MM-KLH'!$B$6:$T$823,19,0),"")</f>
        <v/>
      </c>
    </row>
    <row r="277" ht="13.5" customHeight="1" spans="1:21">
      <c r="A277" s="847" t="s">
        <v>290</v>
      </c>
      <c r="B277" s="848" t="s">
        <v>3377</v>
      </c>
      <c r="C277" s="849">
        <f>COUNTA(B278:B335)</f>
        <v>56</v>
      </c>
      <c r="D277" s="849" t="str">
        <f>IFERROR(VLOOKUP(B277,'02. MM-KLH'!$B$6:$T$823,3,0),"")</f>
        <v/>
      </c>
      <c r="E277" s="849" t="str">
        <f>IFERROR(VLOOKUP(B277,'02. MM-KLH'!$B$6:$T$823,4,0),"")</f>
        <v/>
      </c>
      <c r="F277" s="849"/>
      <c r="G277" s="849" t="str">
        <f>IFERROR(VLOOKUP(B277,'02. MM-KLH'!$B$6:$T$823,6,0),"")</f>
        <v/>
      </c>
      <c r="H277" s="849"/>
      <c r="I277" s="849" t="str">
        <f>IFERROR(VLOOKUP(B277,'02. MM-KLH'!$B$6:$T$823,8,0),"")</f>
        <v/>
      </c>
      <c r="J277" s="849" t="str">
        <f>IFERROR(VLOOKUP(B277,'02. MM-KLH'!$B$6:$T$823,9,0),"")</f>
        <v/>
      </c>
      <c r="K277" s="849" t="str">
        <f>IFERROR(VLOOKUP(B277,'02. MM-KLH'!$B$6:$T$823,10,0),"")</f>
        <v/>
      </c>
      <c r="L277" s="849" t="str">
        <f>IFERROR(VLOOKUP(B277,'02. MM-KLH'!$B$6:$T$823,11,0),"")</f>
        <v/>
      </c>
      <c r="M277" s="849" t="str">
        <f>IFERROR(VLOOKUP(B277,'02. MM-KLH'!$B$6:$T$823,12,0),"")</f>
        <v/>
      </c>
      <c r="N277" s="849" t="str">
        <f>IFERROR(VLOOKUP(B277,'02. MM-KLH'!$B$6:$T$823,13,0),"")</f>
        <v/>
      </c>
      <c r="O277" s="849" t="str">
        <f>IFERROR(VLOOKUP(B277,'02. MM-KLH'!$B$6:$T$823,14,0),"")</f>
        <v/>
      </c>
      <c r="P277" s="849" t="str">
        <f>IFERROR(VLOOKUP(B277,'02. MM-KLH'!$B$6:$T$823,15,0),"")</f>
        <v/>
      </c>
      <c r="Q277" s="849" t="str">
        <f>IFERROR(VLOOKUP(B277,'02. MM-KLH'!$B$6:$T$823,16,0),"")</f>
        <v/>
      </c>
      <c r="R277" s="849" t="str">
        <f>IFERROR(VLOOKUP(B277,'02. MM-KLH'!$B$6:$T$823,17,0),"")</f>
        <v/>
      </c>
      <c r="S277" s="849" t="str">
        <f>IFERROR(VLOOKUP(B277,'02. MM-KLH'!$B$6:$T$823,18,0),"")</f>
        <v/>
      </c>
      <c r="T277" s="849" t="str">
        <f>IFERROR(VLOOKUP(B277,'02. MM-KLH'!$B$6:$T$823,19,0),"")</f>
        <v/>
      </c>
      <c r="U277" s="849" t="str">
        <f>IFERROR(VLOOKUP(C277,'02. MM-KLH'!$B$6:$T$823,19,0),"")</f>
        <v/>
      </c>
    </row>
    <row r="278" ht="13.5" customHeight="1" spans="1:21">
      <c r="A278" s="101">
        <v>1</v>
      </c>
      <c r="B278" s="104" t="s">
        <v>498</v>
      </c>
      <c r="C278" s="104">
        <f>IFERROR(VLOOKUP(B278,'02. MM-KLH'!$B$6:$T$823,2,0),"")</f>
        <v>0</v>
      </c>
      <c r="D278" s="103" t="str">
        <f>IFERROR(VLOOKUP(B278,'02. MM-KLH'!$B$6:$T$823,3,0),"")</f>
        <v>A23-XTA-002</v>
      </c>
      <c r="E278" s="102">
        <f>IFERROR(VLOOKUP(B278,'02. MM-KLH'!$B$6:$T$823,4,0),"")</f>
        <v>0</v>
      </c>
      <c r="F278" s="133"/>
      <c r="G278" s="102" t="str">
        <f>IFERROR(VLOOKUP(B278,'02. MM-KLH'!$B$6:$T$823,6,0),"")</f>
        <v>Xe ben AUMAN GTL D300 E4</v>
      </c>
      <c r="H278" s="101" t="s">
        <v>3378</v>
      </c>
      <c r="I278" s="101" t="str">
        <f>IFERROR(VLOOKUP(B278,'02. MM-KLH'!$B$6:$T$823,8,0),"")</f>
        <v>CGTC DP</v>
      </c>
      <c r="J278" s="105">
        <f>IFERROR(VLOOKUP(B278,'02. MM-KLH'!$B$6:$T$823,9,0),"")</f>
        <v>0</v>
      </c>
      <c r="K278" s="101" t="str">
        <f>IFERROR(VLOOKUP(B278,'02. MM-KLH'!$B$6:$T$823,10,0),"")</f>
        <v>Bình thường</v>
      </c>
      <c r="L278" s="107">
        <f>IFERROR(VLOOKUP(B278,'02. MM-KLH'!$B$6:$T$823,11,0),"")</f>
        <v>0</v>
      </c>
      <c r="M278" s="864">
        <f>IFERROR(VLOOKUP(B278,'02. MM-KLH'!$B$6:$T$823,12,0),"")</f>
        <v>0</v>
      </c>
      <c r="N278" s="110" t="str">
        <f>IFERROR(VLOOKUP(B278,'02. MM-KLH'!$B$6:$T$823,13,0),"")</f>
        <v>THACO AUMAN</v>
      </c>
      <c r="O278" s="110" t="str">
        <f>IFERROR(VLOOKUP(B278,'02. MM-KLH'!$B$6:$T$823,14,0),"")</f>
        <v>VIỆT NAM</v>
      </c>
      <c r="P278" s="101">
        <f>IFERROR(VLOOKUP(B278,'02. MM-KLH'!$B$6:$T$823,15,0),"")</f>
        <v>2018</v>
      </c>
      <c r="Q278" s="101" t="str">
        <f>IFERROR(VLOOKUP(B278,'02. MM-KLH'!$B$6:$T$823,16,0),"")</f>
        <v>GTL D300E4</v>
      </c>
      <c r="R278" s="101" t="str">
        <f>IFERROR(VLOOKUP(B278,'02. MM-KLH'!$B$6:$T$823,17,0),"")</f>
        <v>375HP</v>
      </c>
      <c r="S278" s="110" t="str">
        <f>IFERROR(VLOOKUP(B278,'02. MM-KLH'!$B$6:$T$823,18,0),"")</f>
        <v>RNHD30FWAJC078089</v>
      </c>
      <c r="T278" s="111" t="str">
        <f>IFERROR(VLOOKUP(B278,'02. MM-KLH'!$B$6:$T$823,19,0),"")</f>
        <v>CCN</v>
      </c>
      <c r="U278" s="863" t="s">
        <v>451</v>
      </c>
    </row>
    <row r="279" ht="13.5" customHeight="1" spans="1:21">
      <c r="A279" s="101">
        <f t="shared" ref="A279:A333" si="12">A278+1</f>
        <v>2</v>
      </c>
      <c r="B279" s="104" t="s">
        <v>727</v>
      </c>
      <c r="C279" s="104" t="str">
        <f>IFERROR(VLOOKUP(B279,'02. MM-KLH'!$B$6:$T$823,2,0),"")</f>
        <v>XT 17 HT-KLH</v>
      </c>
      <c r="D279" s="103" t="str">
        <f>IFERROR(VLOOKUP(B279,'02. MM-KLH'!$B$6:$T$823,3,0),"")</f>
        <v>ATT-A24-0080</v>
      </c>
      <c r="E279" s="102">
        <f>IFERROR(VLOOKUP(B279,'02. MM-KLH'!$B$6:$T$823,4,0),"")</f>
        <v>0</v>
      </c>
      <c r="F279" s="104" t="s">
        <v>3379</v>
      </c>
      <c r="G279" s="102" t="str">
        <f>IFERROR(VLOOKUP(B279,'02. MM-KLH'!$B$6:$T$823,6,0),"")</f>
        <v>Xe ben AUMAN GTL D300 E4</v>
      </c>
      <c r="H279" s="101" t="s">
        <v>3378</v>
      </c>
      <c r="I279" s="101" t="str">
        <f>IFERROR(VLOOKUP(B279,'02. MM-KLH'!$B$6:$T$823,8,0),"")</f>
        <v>CGTC LP</v>
      </c>
      <c r="J279" s="105">
        <f>IFERROR(VLOOKUP(B279,'02. MM-KLH'!$B$6:$T$823,9,0),"")</f>
        <v>44205</v>
      </c>
      <c r="K279" s="101" t="str">
        <f>IFERROR(VLOOKUP(B279,'02. MM-KLH'!$B$6:$T$823,10,0),"")</f>
        <v>Bình thường</v>
      </c>
      <c r="L279" s="107">
        <f>IFERROR(VLOOKUP(B279,'02. MM-KLH'!$B$6:$T$823,11,0),"")</f>
        <v>0.7</v>
      </c>
      <c r="M279" s="864">
        <f>IFERROR(VLOOKUP(B279,'02. MM-KLH'!$B$6:$T$823,12,0),"")</f>
        <v>0</v>
      </c>
      <c r="N279" s="110" t="str">
        <f>IFERROR(VLOOKUP(B279,'02. MM-KLH'!$B$6:$T$823,13,0),"")</f>
        <v>THACO AUMAN</v>
      </c>
      <c r="O279" s="110" t="str">
        <f>IFERROR(VLOOKUP(B279,'02. MM-KLH'!$B$6:$T$823,14,0),"")</f>
        <v>VIỆT NAM</v>
      </c>
      <c r="P279" s="101">
        <f>IFERROR(VLOOKUP(B279,'02. MM-KLH'!$B$6:$T$823,15,0),"")</f>
        <v>2018</v>
      </c>
      <c r="Q279" s="101" t="str">
        <f>IFERROR(VLOOKUP(B279,'02. MM-KLH'!$B$6:$T$823,16,0),"")</f>
        <v>GTL D300E4</v>
      </c>
      <c r="R279" s="101" t="str">
        <f>IFERROR(VLOOKUP(B279,'02. MM-KLH'!$B$6:$T$823,17,0),"")</f>
        <v>375HP</v>
      </c>
      <c r="S279" s="110" t="str">
        <f>IFERROR(VLOOKUP(B279,'02. MM-KLH'!$B$6:$T$823,18,0),"")</f>
        <v>RNHD30FWAJCO078095</v>
      </c>
      <c r="T279" s="111" t="str">
        <f>IFERROR(VLOOKUP(B279,'02. MM-KLH'!$B$6:$T$823,19,0),"")</f>
        <v>WP10375E431618A009923</v>
      </c>
      <c r="U279" s="863" t="s">
        <v>451</v>
      </c>
    </row>
    <row r="280" ht="13.5" customHeight="1" spans="1:21">
      <c r="A280" s="101">
        <f t="shared" si="12"/>
        <v>3</v>
      </c>
      <c r="B280" s="104" t="s">
        <v>857</v>
      </c>
      <c r="C280" s="104" t="str">
        <f>IFERROR(VLOOKUP(B280,'02. MM-KLH'!$B$6:$T$823,2,0),"")</f>
        <v>CHT-XTA-011</v>
      </c>
      <c r="D280" s="103" t="str">
        <f>IFERROR(VLOOKUP(B280,'02. MM-KLH'!$B$6:$T$823,3,0),"")</f>
        <v>ATT-A22-0171</v>
      </c>
      <c r="E280" s="102">
        <f>IFERROR(VLOOKUP(B280,'02. MM-KLH'!$B$6:$T$823,4,0),"")</f>
        <v>0</v>
      </c>
      <c r="F280" s="104" t="s">
        <v>3380</v>
      </c>
      <c r="G280" s="102" t="str">
        <f>IFERROR(VLOOKUP(B280,'02. MM-KLH'!$B$6:$T$823,6,0),"")</f>
        <v>Xe ben AUMAN GTL D300 E4</v>
      </c>
      <c r="H280" s="101" t="s">
        <v>3378</v>
      </c>
      <c r="I280" s="101" t="str">
        <f>IFERROR(VLOOKUP(B280,'02. MM-KLH'!$B$6:$T$823,8,0),"")</f>
        <v>CGTC AD</v>
      </c>
      <c r="J280" s="105">
        <f>IFERROR(VLOOKUP(B280,'02. MM-KLH'!$B$6:$T$823,9,0),"")</f>
        <v>44198</v>
      </c>
      <c r="K280" s="101" t="str">
        <f>IFERROR(VLOOKUP(B280,'02. MM-KLH'!$B$6:$T$823,10,0),"")</f>
        <v>Bình thường</v>
      </c>
      <c r="L280" s="107">
        <f>IFERROR(VLOOKUP(B280,'02. MM-KLH'!$B$6:$T$823,11,0),"")</f>
        <v>0.32</v>
      </c>
      <c r="M280" s="864">
        <f>IFERROR(VLOOKUP(B280,'02. MM-KLH'!$B$6:$T$823,12,0),"")</f>
        <v>0</v>
      </c>
      <c r="N280" s="110" t="str">
        <f>IFERROR(VLOOKUP(B280,'02. MM-KLH'!$B$6:$T$823,13,0),"")</f>
        <v>THACO AUMAN</v>
      </c>
      <c r="O280" s="110" t="str">
        <f>IFERROR(VLOOKUP(B280,'02. MM-KLH'!$B$6:$T$823,14,0),"")</f>
        <v>VIỆT NAM</v>
      </c>
      <c r="P280" s="101">
        <f>IFERROR(VLOOKUP(B280,'02. MM-KLH'!$B$6:$T$823,15,0),"")</f>
        <v>2018</v>
      </c>
      <c r="Q280" s="101" t="str">
        <f>IFERROR(VLOOKUP(B280,'02. MM-KLH'!$B$6:$T$823,16,0),"")</f>
        <v>GTL D300E4</v>
      </c>
      <c r="R280" s="101" t="str">
        <f>IFERROR(VLOOKUP(B280,'02. MM-KLH'!$B$6:$T$823,17,0),"")</f>
        <v>375HP</v>
      </c>
      <c r="S280" s="110" t="str">
        <f>IFERROR(VLOOKUP(B280,'02. MM-KLH'!$B$6:$T$823,18,0),"")</f>
        <v>RNHD30FWAJC078104</v>
      </c>
      <c r="T280" s="111" t="str">
        <f>IFERROR(VLOOKUP(B280,'02. MM-KLH'!$B$6:$T$823,19,0),"")</f>
        <v>WP10375E431618A009907</v>
      </c>
      <c r="U280" s="863" t="s">
        <v>451</v>
      </c>
    </row>
    <row r="281" ht="13.5" customHeight="1" spans="1:21">
      <c r="A281" s="101">
        <f t="shared" si="12"/>
        <v>4</v>
      </c>
      <c r="B281" s="104" t="s">
        <v>860</v>
      </c>
      <c r="C281" s="104" t="str">
        <f>IFERROR(VLOOKUP(B281,'02. MM-KLH'!$B$6:$T$823,2,0),"")</f>
        <v>CHT-XTA-012</v>
      </c>
      <c r="D281" s="103" t="str">
        <f>IFERROR(VLOOKUP(B281,'02. MM-KLH'!$B$6:$T$823,3,0),"")</f>
        <v>ATT-A22-0171</v>
      </c>
      <c r="E281" s="102">
        <f>IFERROR(VLOOKUP(B281,'02. MM-KLH'!$B$6:$T$823,4,0),"")</f>
        <v>0</v>
      </c>
      <c r="F281" s="104" t="s">
        <v>3380</v>
      </c>
      <c r="G281" s="102" t="str">
        <f>IFERROR(VLOOKUP(B281,'02. MM-KLH'!$B$6:$T$823,6,0),"")</f>
        <v>Xe ben AUMAN GTL D300 E4</v>
      </c>
      <c r="H281" s="101" t="s">
        <v>3378</v>
      </c>
      <c r="I281" s="101" t="str">
        <f>IFERROR(VLOOKUP(B281,'02. MM-KLH'!$B$6:$T$823,8,0),"")</f>
        <v>CGTC AD</v>
      </c>
      <c r="J281" s="105">
        <f>IFERROR(VLOOKUP(B281,'02. MM-KLH'!$B$6:$T$823,9,0),"")</f>
        <v>44198</v>
      </c>
      <c r="K281" s="101" t="str">
        <f>IFERROR(VLOOKUP(B281,'02. MM-KLH'!$B$6:$T$823,10,0),"")</f>
        <v>Bình thường</v>
      </c>
      <c r="L281" s="107">
        <f>IFERROR(VLOOKUP(B281,'02. MM-KLH'!$B$6:$T$823,11,0),"")</f>
        <v>0</v>
      </c>
      <c r="M281" s="864">
        <f>IFERROR(VLOOKUP(B281,'02. MM-KLH'!$B$6:$T$823,12,0),"")</f>
        <v>0</v>
      </c>
      <c r="N281" s="110" t="str">
        <f>IFERROR(VLOOKUP(B281,'02. MM-KLH'!$B$6:$T$823,13,0),"")</f>
        <v>THACO AUMAN</v>
      </c>
      <c r="O281" s="110" t="str">
        <f>IFERROR(VLOOKUP(B281,'02. MM-KLH'!$B$6:$T$823,14,0),"")</f>
        <v>VIỆT NAM</v>
      </c>
      <c r="P281" s="101">
        <f>IFERROR(VLOOKUP(B281,'02. MM-KLH'!$B$6:$T$823,15,0),"")</f>
        <v>2018</v>
      </c>
      <c r="Q281" s="101" t="str">
        <f>IFERROR(VLOOKUP(B281,'02. MM-KLH'!$B$6:$T$823,16,0),"")</f>
        <v>GTL D300E4</v>
      </c>
      <c r="R281" s="101" t="str">
        <f>IFERROR(VLOOKUP(B281,'02. MM-KLH'!$B$6:$T$823,17,0),"")</f>
        <v>375HP</v>
      </c>
      <c r="S281" s="110" t="str">
        <f>IFERROR(VLOOKUP(B281,'02. MM-KLH'!$B$6:$T$823,18,0),"")</f>
        <v>RNHD30FWAJC75800</v>
      </c>
      <c r="T281" s="111" t="str">
        <f>IFERROR(VLOOKUP(B281,'02. MM-KLH'!$B$6:$T$823,19,0),"")</f>
        <v>WP10375E431617K140763</v>
      </c>
      <c r="U281" s="863" t="s">
        <v>451</v>
      </c>
    </row>
    <row r="282" ht="13.5" customHeight="1" spans="1:21">
      <c r="A282" s="101">
        <f t="shared" si="12"/>
        <v>5</v>
      </c>
      <c r="B282" s="104" t="s">
        <v>717</v>
      </c>
      <c r="C282" s="104" t="str">
        <f>IFERROR(VLOOKUP(B282,'02. MM-KLH'!$B$6:$T$823,2,0),"")</f>
        <v>XT 04 HT-KLH</v>
      </c>
      <c r="D282" s="103" t="str">
        <f>IFERROR(VLOOKUP(B282,'02. MM-KLH'!$B$6:$T$823,3,0),"")</f>
        <v>ATT-A24-0061</v>
      </c>
      <c r="E282" s="102">
        <f>IFERROR(VLOOKUP(B282,'02. MM-KLH'!$B$6:$T$823,4,0),"")</f>
        <v>0</v>
      </c>
      <c r="F282" s="104" t="s">
        <v>3381</v>
      </c>
      <c r="G282" s="102" t="str">
        <f>IFERROR(VLOOKUP(B282,'02. MM-KLH'!$B$6:$T$823,6,0),"")</f>
        <v>Xe ben FD140</v>
      </c>
      <c r="H282" s="101" t="s">
        <v>3382</v>
      </c>
      <c r="I282" s="101" t="str">
        <f>IFERROR(VLOOKUP(B282,'02. MM-KLH'!$B$6:$T$823,8,0),"")</f>
        <v>CGTC LP</v>
      </c>
      <c r="J282" s="105">
        <f>IFERROR(VLOOKUP(B282,'02. MM-KLH'!$B$6:$T$823,9,0),"")</f>
        <v>44197</v>
      </c>
      <c r="K282" s="101" t="str">
        <f>IFERROR(VLOOKUP(B282,'02. MM-KLH'!$B$6:$T$823,10,0),"")</f>
        <v>Bình thường</v>
      </c>
      <c r="L282" s="107">
        <f>IFERROR(VLOOKUP(B282,'02. MM-KLH'!$B$6:$T$823,11,0),"")</f>
        <v>0.68</v>
      </c>
      <c r="M282" s="864">
        <f>IFERROR(VLOOKUP(B282,'02. MM-KLH'!$B$6:$T$823,12,0),"")</f>
        <v>0</v>
      </c>
      <c r="N282" s="110" t="str">
        <f>IFERROR(VLOOKUP(B282,'02. MM-KLH'!$B$6:$T$823,13,0),"")</f>
        <v>THACO FORLAND</v>
      </c>
      <c r="O282" s="110" t="str">
        <f>IFERROR(VLOOKUP(B282,'02. MM-KLH'!$B$6:$T$823,14,0),"")</f>
        <v>VIỆT NAM</v>
      </c>
      <c r="P282" s="101">
        <f>IFERROR(VLOOKUP(B282,'02. MM-KLH'!$B$6:$T$823,15,0),"")</f>
        <v>2020</v>
      </c>
      <c r="Q282" s="101" t="str">
        <f>IFERROR(VLOOKUP(B282,'02. MM-KLH'!$B$6:$T$823,16,0),"")</f>
        <v>FD140-8T</v>
      </c>
      <c r="R282" s="101" t="str">
        <f>IFERROR(VLOOKUP(B282,'02. MM-KLH'!$B$6:$T$823,17,0),"")</f>
        <v>140HP</v>
      </c>
      <c r="S282" s="110" t="str">
        <f>IFERROR(VLOOKUP(B282,'02. MM-KLH'!$B$6:$T$823,18,0),"")</f>
        <v>RNHF14FYALT024045</v>
      </c>
      <c r="T282" s="111" t="str">
        <f>IFERROR(VLOOKUP(B282,'02. MM-KLH'!$B$6:$T$823,19,0),"")</f>
        <v>YC4D140-48D59M1J20731</v>
      </c>
      <c r="U282" s="863" t="s">
        <v>451</v>
      </c>
    </row>
    <row r="283" ht="13.5" customHeight="1" spans="1:21">
      <c r="A283" s="101">
        <f t="shared" si="12"/>
        <v>6</v>
      </c>
      <c r="B283" s="104" t="s">
        <v>854</v>
      </c>
      <c r="C283" s="104" t="str">
        <f>IFERROR(VLOOKUP(B283,'02. MM-KLH'!$B$6:$T$823,2,0),"")</f>
        <v>CHT-XTA-008</v>
      </c>
      <c r="D283" s="103" t="str">
        <f>IFERROR(VLOOKUP(B283,'02. MM-KLH'!$B$6:$T$823,3,0),"")</f>
        <v>ATT-A24-0062</v>
      </c>
      <c r="E283" s="102">
        <f>IFERROR(VLOOKUP(B283,'02. MM-KLH'!$B$6:$T$823,4,0),"")</f>
        <v>0</v>
      </c>
      <c r="F283" s="104" t="s">
        <v>3383</v>
      </c>
      <c r="G283" s="102" t="str">
        <f>IFERROR(VLOOKUP(B283,'02. MM-KLH'!$B$6:$T$823,6,0),"")</f>
        <v>Xe ben FD140</v>
      </c>
      <c r="H283" s="101" t="s">
        <v>3382</v>
      </c>
      <c r="I283" s="101" t="str">
        <f>IFERROR(VLOOKUP(B283,'02. MM-KLH'!$B$6:$T$823,8,0),"")</f>
        <v>CGTC AD</v>
      </c>
      <c r="J283" s="105">
        <f>IFERROR(VLOOKUP(B283,'02. MM-KLH'!$B$6:$T$823,9,0),"")</f>
        <v>0</v>
      </c>
      <c r="K283" s="101" t="str">
        <f>IFERROR(VLOOKUP(B283,'02. MM-KLH'!$B$6:$T$823,10,0),"")</f>
        <v>Bình thường</v>
      </c>
      <c r="L283" s="107">
        <f>IFERROR(VLOOKUP(B283,'02. MM-KLH'!$B$6:$T$823,11,0),"")</f>
        <v>0.68</v>
      </c>
      <c r="M283" s="864">
        <f>IFERROR(VLOOKUP(B283,'02. MM-KLH'!$B$6:$T$823,12,0),"")</f>
        <v>0</v>
      </c>
      <c r="N283" s="110" t="str">
        <f>IFERROR(VLOOKUP(B283,'02. MM-KLH'!$B$6:$T$823,13,0),"")</f>
        <v>THACO FORLAND</v>
      </c>
      <c r="O283" s="110" t="str">
        <f>IFERROR(VLOOKUP(B283,'02. MM-KLH'!$B$6:$T$823,14,0),"")</f>
        <v>VIỆT NAM</v>
      </c>
      <c r="P283" s="101">
        <f>IFERROR(VLOOKUP(B283,'02. MM-KLH'!$B$6:$T$823,15,0),"")</f>
        <v>2020</v>
      </c>
      <c r="Q283" s="101" t="str">
        <f>IFERROR(VLOOKUP(B283,'02. MM-KLH'!$B$6:$T$823,16,0),"")</f>
        <v>FD140-8T</v>
      </c>
      <c r="R283" s="101" t="str">
        <f>IFERROR(VLOOKUP(B283,'02. MM-KLH'!$B$6:$T$823,17,0),"")</f>
        <v>140HP</v>
      </c>
      <c r="S283" s="110" t="str">
        <f>IFERROR(VLOOKUP(B283,'02. MM-KLH'!$B$6:$T$823,18,0),"")</f>
        <v>RNHF14FYALT024043</v>
      </c>
      <c r="T283" s="111" t="str">
        <f>IFERROR(VLOOKUP(B283,'02. MM-KLH'!$B$6:$T$823,19,0),"")</f>
        <v>YC4D140-48D59M1J20797</v>
      </c>
      <c r="U283" s="863" t="s">
        <v>451</v>
      </c>
    </row>
    <row r="284" ht="13.5" customHeight="1" spans="1:21">
      <c r="A284" s="101">
        <f t="shared" si="12"/>
        <v>7</v>
      </c>
      <c r="B284" s="104" t="s">
        <v>722</v>
      </c>
      <c r="C284" s="104" t="str">
        <f>IFERROR(VLOOKUP(B284,'02. MM-KLH'!$B$6:$T$823,2,0),"")</f>
        <v>XT 05 HT-KLH</v>
      </c>
      <c r="D284" s="103" t="str">
        <f>IFERROR(VLOOKUP(B284,'02. MM-KLH'!$B$6:$T$823,3,0),"")</f>
        <v>A24-XTA-010</v>
      </c>
      <c r="E284" s="102">
        <f>IFERROR(VLOOKUP(B284,'02. MM-KLH'!$B$6:$T$823,4,0),"")</f>
        <v>0</v>
      </c>
      <c r="F284" s="104"/>
      <c r="G284" s="102" t="str">
        <f>IFERROR(VLOOKUP(B284,'02. MM-KLH'!$B$6:$T$823,6,0),"")</f>
        <v>Xe ben FD850</v>
      </c>
      <c r="H284" s="101" t="s">
        <v>3382</v>
      </c>
      <c r="I284" s="101" t="str">
        <f>IFERROR(VLOOKUP(B284,'02. MM-KLH'!$B$6:$T$823,8,0),"")</f>
        <v>CGTC LP</v>
      </c>
      <c r="J284" s="105">
        <f>IFERROR(VLOOKUP(B284,'02. MM-KLH'!$B$6:$T$823,9,0),"")</f>
        <v>0</v>
      </c>
      <c r="K284" s="101" t="str">
        <f>IFERROR(VLOOKUP(B284,'02. MM-KLH'!$B$6:$T$823,10,0),"")</f>
        <v>Bình thường</v>
      </c>
      <c r="L284" s="107">
        <f>IFERROR(VLOOKUP(B284,'02. MM-KLH'!$B$6:$T$823,11,0),"")</f>
        <v>0</v>
      </c>
      <c r="M284" s="864">
        <f>IFERROR(VLOOKUP(B284,'02. MM-KLH'!$B$6:$T$823,12,0),"")</f>
        <v>0</v>
      </c>
      <c r="N284" s="110" t="str">
        <f>IFERROR(VLOOKUP(B284,'02. MM-KLH'!$B$6:$T$823,13,0),"")</f>
        <v>THACO FORLAND</v>
      </c>
      <c r="O284" s="110" t="str">
        <f>IFERROR(VLOOKUP(B284,'02. MM-KLH'!$B$6:$T$823,14,0),"")</f>
        <v>VIỆT NAM</v>
      </c>
      <c r="P284" s="101">
        <f>IFERROR(VLOOKUP(B284,'02. MM-KLH'!$B$6:$T$823,15,0),"")</f>
        <v>2020</v>
      </c>
      <c r="Q284" s="101" t="str">
        <f>IFERROR(VLOOKUP(B284,'02. MM-KLH'!$B$6:$T$823,16,0),"")</f>
        <v>FD850-5T</v>
      </c>
      <c r="R284" s="101" t="str">
        <f>IFERROR(VLOOKUP(B284,'02. MM-KLH'!$B$6:$T$823,17,0),"")</f>
        <v>140HP</v>
      </c>
      <c r="S284" s="110" t="str">
        <f>IFERROR(VLOOKUP(B284,'02. MM-KLH'!$B$6:$T$823,18,0),"")</f>
        <v>RNHF14FYALC008840</v>
      </c>
      <c r="T284" s="111" t="str">
        <f>IFERROR(VLOOKUP(B284,'02. MM-KLH'!$B$6:$T$823,19,0),"")</f>
        <v>D59M1J20132</v>
      </c>
      <c r="U284" s="863" t="s">
        <v>451</v>
      </c>
    </row>
    <row r="285" ht="13.5" customHeight="1" spans="1:21">
      <c r="A285" s="101">
        <f t="shared" si="12"/>
        <v>8</v>
      </c>
      <c r="B285" s="104" t="s">
        <v>503</v>
      </c>
      <c r="C285" s="104" t="str">
        <f>IFERROR(VLOOKUP(B285,'02. MM-KLH'!$B$6:$T$823,2,0),"")</f>
        <v>MỚI</v>
      </c>
      <c r="D285" s="103" t="str">
        <f>IFERROR(VLOOKUP(B285,'02. MM-KLH'!$B$6:$T$823,3,0),"")</f>
        <v>A23-XTA-024</v>
      </c>
      <c r="E285" s="102" t="str">
        <f>IFERROR(VLOOKUP(B285,'02. MM-KLH'!$B$6:$T$823,4,0),"")</f>
        <v>3A-6815</v>
      </c>
      <c r="F285" s="104"/>
      <c r="G285" s="102" t="str">
        <f>IFERROR(VLOOKUP(B285,'02. MM-KLH'!$B$6:$T$823,6,0),"")</f>
        <v>Xe ben HOWO TXD600</v>
      </c>
      <c r="H285" s="101" t="s">
        <v>3378</v>
      </c>
      <c r="I285" s="101" t="str">
        <f>IFERROR(VLOOKUP(B285,'02. MM-KLH'!$B$6:$T$823,8,0),"")</f>
        <v>CGTC DP</v>
      </c>
      <c r="J285" s="105">
        <f>IFERROR(VLOOKUP(B285,'02. MM-KLH'!$B$6:$T$823,9,0),"")</f>
        <v>45749</v>
      </c>
      <c r="K285" s="101" t="str">
        <f>IFERROR(VLOOKUP(B285,'02. MM-KLH'!$B$6:$T$823,10,0),"")</f>
        <v>Bình thường</v>
      </c>
      <c r="L285" s="107">
        <f>IFERROR(VLOOKUP(B285,'02. MM-KLH'!$B$6:$T$823,11,0),"")</f>
        <v>0</v>
      </c>
      <c r="M285" s="864" t="str">
        <f>IFERROR(VLOOKUP(B285,'02. MM-KLH'!$B$6:$T$823,12,0),"")</f>
        <v>Đầu tư mới </v>
      </c>
      <c r="N285" s="110" t="str">
        <f>IFERROR(VLOOKUP(B285,'02. MM-KLH'!$B$6:$T$823,13,0),"")</f>
        <v>HOWO</v>
      </c>
      <c r="O285" s="110" t="str">
        <f>IFERROR(VLOOKUP(B285,'02. MM-KLH'!$B$6:$T$823,14,0),"")</f>
        <v>VIỆT NAM</v>
      </c>
      <c r="P285" s="101">
        <f>IFERROR(VLOOKUP(B285,'02. MM-KLH'!$B$6:$T$823,15,0),"")</f>
        <v>2022</v>
      </c>
      <c r="Q285" s="101" t="str">
        <f>IFERROR(VLOOKUP(B285,'02. MM-KLH'!$B$6:$T$823,16,0),"")</f>
        <v>HOWO TX D600</v>
      </c>
      <c r="R285" s="101" t="str">
        <f>IFERROR(VLOOKUP(B285,'02. MM-KLH'!$B$6:$T$823,17,0),"")</f>
        <v>380HP</v>
      </c>
      <c r="S285" s="110" t="str">
        <f>IFERROR(VLOOKUP(B285,'02. MM-KLH'!$B$6:$T$823,18,0),"")</f>
        <v>RNHD24CWANT057806</v>
      </c>
      <c r="T285" s="111" t="str">
        <f>IFERROR(VLOOKUP(B285,'02. MM-KLH'!$B$6:$T$823,19,0),"")</f>
        <v>1622B008395</v>
      </c>
      <c r="U285" s="863" t="s">
        <v>3343</v>
      </c>
    </row>
    <row r="286" ht="13.5" customHeight="1" spans="1:21">
      <c r="A286" s="101">
        <f t="shared" si="12"/>
        <v>9</v>
      </c>
      <c r="B286" s="104" t="s">
        <v>512</v>
      </c>
      <c r="C286" s="104" t="str">
        <f>IFERROR(VLOOKUP(B286,'02. MM-KLH'!$B$6:$T$823,2,0),"")</f>
        <v>MỚI</v>
      </c>
      <c r="D286" s="103" t="str">
        <f>IFERROR(VLOOKUP(B286,'02. MM-KLH'!$B$6:$T$823,3,0),"")</f>
        <v>A23-XTA-025</v>
      </c>
      <c r="E286" s="102" t="str">
        <f>IFERROR(VLOOKUP(B286,'02. MM-KLH'!$B$6:$T$823,4,0),"")</f>
        <v>3A-6820</v>
      </c>
      <c r="F286" s="104"/>
      <c r="G286" s="102" t="str">
        <f>IFERROR(VLOOKUP(B286,'02. MM-KLH'!$B$6:$T$823,6,0),"")</f>
        <v>Xe ben HOWO TXD600</v>
      </c>
      <c r="H286" s="101" t="s">
        <v>3378</v>
      </c>
      <c r="I286" s="101" t="str">
        <f>IFERROR(VLOOKUP(B286,'02. MM-KLH'!$B$6:$T$823,8,0),"")</f>
        <v>CGTC DP</v>
      </c>
      <c r="J286" s="105">
        <f>IFERROR(VLOOKUP(B286,'02. MM-KLH'!$B$6:$T$823,9,0),"")</f>
        <v>45749</v>
      </c>
      <c r="K286" s="101" t="str">
        <f>IFERROR(VLOOKUP(B286,'02. MM-KLH'!$B$6:$T$823,10,0),"")</f>
        <v>Bình thường</v>
      </c>
      <c r="L286" s="107">
        <f>IFERROR(VLOOKUP(B286,'02. MM-KLH'!$B$6:$T$823,11,0),"")</f>
        <v>0</v>
      </c>
      <c r="M286" s="864" t="str">
        <f>IFERROR(VLOOKUP(B286,'02. MM-KLH'!$B$6:$T$823,12,0),"")</f>
        <v>Đầu tư mới </v>
      </c>
      <c r="N286" s="110" t="str">
        <f>IFERROR(VLOOKUP(B286,'02. MM-KLH'!$B$6:$T$823,13,0),"")</f>
        <v>HOWO</v>
      </c>
      <c r="O286" s="110" t="str">
        <f>IFERROR(VLOOKUP(B286,'02. MM-KLH'!$B$6:$T$823,14,0),"")</f>
        <v>VIỆT NAM</v>
      </c>
      <c r="P286" s="101">
        <f>IFERROR(VLOOKUP(B286,'02. MM-KLH'!$B$6:$T$823,15,0),"")</f>
        <v>2022</v>
      </c>
      <c r="Q286" s="101" t="str">
        <f>IFERROR(VLOOKUP(B286,'02. MM-KLH'!$B$6:$T$823,16,0),"")</f>
        <v>HOWO TX D600</v>
      </c>
      <c r="R286" s="101" t="str">
        <f>IFERROR(VLOOKUP(B286,'02. MM-KLH'!$B$6:$T$823,17,0),"")</f>
        <v>380HP</v>
      </c>
      <c r="S286" s="110" t="str">
        <f>IFERROR(VLOOKUP(B286,'02. MM-KLH'!$B$6:$T$823,18,0),"")</f>
        <v>RNHD24CWANT057808</v>
      </c>
      <c r="T286" s="111" t="str">
        <f>IFERROR(VLOOKUP(B286,'02. MM-KLH'!$B$6:$T$823,19,0),"")</f>
        <v>1622B008391</v>
      </c>
      <c r="U286" s="863" t="s">
        <v>3343</v>
      </c>
    </row>
    <row r="287" ht="27.75" customHeight="1" spans="1:21">
      <c r="A287" s="101">
        <f t="shared" si="12"/>
        <v>10</v>
      </c>
      <c r="B287" s="104" t="s">
        <v>517</v>
      </c>
      <c r="C287" s="104" t="str">
        <f>IFERROR(VLOOKUP(B287,'02. MM-KLH'!$B$6:$T$823,2,0),"")</f>
        <v> </v>
      </c>
      <c r="D287" s="103" t="str">
        <f>IFERROR(VLOOKUP(B287,'02. MM-KLH'!$B$6:$T$823,3,0),"")</f>
        <v>A23-XTA-026</v>
      </c>
      <c r="E287" s="102" t="str">
        <f>IFERROR(VLOOKUP(B287,'02. MM-KLH'!$B$6:$T$823,4,0),"")</f>
        <v>3A-6821</v>
      </c>
      <c r="F287" s="104"/>
      <c r="G287" s="102" t="str">
        <f>IFERROR(VLOOKUP(B287,'02. MM-KLH'!$B$6:$T$823,6,0),"")</f>
        <v>Xe ben HOWO TXD600</v>
      </c>
      <c r="H287" s="101" t="s">
        <v>3378</v>
      </c>
      <c r="I287" s="101" t="str">
        <f>IFERROR(VLOOKUP(B287,'02. MM-KLH'!$B$6:$T$823,8,0),"")</f>
        <v>CGTC DP</v>
      </c>
      <c r="J287" s="105">
        <f>IFERROR(VLOOKUP(B287,'02. MM-KLH'!$B$6:$T$823,9,0),"")</f>
        <v>45749</v>
      </c>
      <c r="K287" s="101" t="str">
        <f>IFERROR(VLOOKUP(B287,'02. MM-KLH'!$B$6:$T$823,10,0),"")</f>
        <v>Bình thường</v>
      </c>
      <c r="L287" s="107">
        <f>IFERROR(VLOOKUP(B287,'02. MM-KLH'!$B$6:$T$823,11,0),"")</f>
        <v>0</v>
      </c>
      <c r="M287" s="864" t="str">
        <f>IFERROR(VLOOKUP(B287,'02. MM-KLH'!$B$6:$T$823,12,0),"")</f>
        <v>- Chuyển ra CGTC AD mượn
Đầu tư mới </v>
      </c>
      <c r="N287" s="110" t="str">
        <f>IFERROR(VLOOKUP(B287,'02. MM-KLH'!$B$6:$T$823,13,0),"")</f>
        <v>HOWO</v>
      </c>
      <c r="O287" s="110" t="str">
        <f>IFERROR(VLOOKUP(B287,'02. MM-KLH'!$B$6:$T$823,14,0),"")</f>
        <v>VIỆT NAM</v>
      </c>
      <c r="P287" s="101">
        <f>IFERROR(VLOOKUP(B287,'02. MM-KLH'!$B$6:$T$823,15,0),"")</f>
        <v>2022</v>
      </c>
      <c r="Q287" s="101" t="str">
        <f>IFERROR(VLOOKUP(B287,'02. MM-KLH'!$B$6:$T$823,16,0),"")</f>
        <v>HOWO TX D600</v>
      </c>
      <c r="R287" s="101" t="str">
        <f>IFERROR(VLOOKUP(B287,'02. MM-KLH'!$B$6:$T$823,17,0),"")</f>
        <v>380HP</v>
      </c>
      <c r="S287" s="110" t="str">
        <f>IFERROR(VLOOKUP(B287,'02. MM-KLH'!$B$6:$T$823,18,0),"")</f>
        <v>RNHD24CWANT057810</v>
      </c>
      <c r="T287" s="111" t="str">
        <f>IFERROR(VLOOKUP(B287,'02. MM-KLH'!$B$6:$T$823,19,0),"")</f>
        <v>1622B008389</v>
      </c>
      <c r="U287" s="863" t="s">
        <v>3343</v>
      </c>
    </row>
    <row r="288" ht="26.25" customHeight="1" spans="1:21">
      <c r="A288" s="101">
        <f t="shared" si="12"/>
        <v>11</v>
      </c>
      <c r="B288" s="104" t="s">
        <v>925</v>
      </c>
      <c r="C288" s="104" t="str">
        <f>IFERROR(VLOOKUP(B288,'02. MM-KLH'!$B$6:$T$823,2,0),"")</f>
        <v>MỚI</v>
      </c>
      <c r="D288" s="103" t="str">
        <f>IFERROR(VLOOKUP(B288,'02. MM-KLH'!$B$6:$T$823,3,0),"")</f>
        <v>A24-XTA-020</v>
      </c>
      <c r="E288" s="102" t="str">
        <f>IFERROR(VLOOKUP(B288,'02. MM-KLH'!$B$6:$T$823,4,0),"")</f>
        <v>3A-6814</v>
      </c>
      <c r="F288" s="104"/>
      <c r="G288" s="102" t="str">
        <f>IFERROR(VLOOKUP(B288,'02. MM-KLH'!$B$6:$T$823,6,0),"")</f>
        <v>Xe ben HOWO TXD600</v>
      </c>
      <c r="H288" s="101" t="s">
        <v>3378</v>
      </c>
      <c r="I288" s="101" t="str">
        <f>IFERROR(VLOOKUP(B288,'02. MM-KLH'!$B$6:$T$823,8,0),"")</f>
        <v>CGTC AD</v>
      </c>
      <c r="J288" s="105">
        <f>IFERROR(VLOOKUP(B288,'02. MM-KLH'!$B$6:$T$823,9,0),"")</f>
        <v>45749</v>
      </c>
      <c r="K288" s="101" t="str">
        <f>IFERROR(VLOOKUP(B288,'02. MM-KLH'!$B$6:$T$823,10,0),"")</f>
        <v>Bình thường</v>
      </c>
      <c r="L288" s="107">
        <f>IFERROR(VLOOKUP(B288,'02. MM-KLH'!$B$6:$T$823,11,0),"")</f>
        <v>0</v>
      </c>
      <c r="M288" s="864" t="str">
        <f>IFERROR(VLOOKUP(B288,'02. MM-KLH'!$B$6:$T$823,12,0),"")</f>
        <v>- CGTC Lp đchuyển adm
Đầu tư mới</v>
      </c>
      <c r="N288" s="110" t="str">
        <f>IFERROR(VLOOKUP(B288,'02. MM-KLH'!$B$6:$T$823,13,0),"")</f>
        <v>HOWO</v>
      </c>
      <c r="O288" s="110" t="str">
        <f>IFERROR(VLOOKUP(B288,'02. MM-KLH'!$B$6:$T$823,14,0),"")</f>
        <v>VIỆT NAM</v>
      </c>
      <c r="P288" s="101">
        <f>IFERROR(VLOOKUP(B288,'02. MM-KLH'!$B$6:$T$823,15,0),"")</f>
        <v>2022</v>
      </c>
      <c r="Q288" s="101" t="str">
        <f>IFERROR(VLOOKUP(B288,'02. MM-KLH'!$B$6:$T$823,16,0),"")</f>
        <v>HOWO TX D600</v>
      </c>
      <c r="R288" s="101" t="str">
        <f>IFERROR(VLOOKUP(B288,'02. MM-KLH'!$B$6:$T$823,17,0),"")</f>
        <v>380HP</v>
      </c>
      <c r="S288" s="110" t="str">
        <f>IFERROR(VLOOKUP(B288,'02. MM-KLH'!$B$6:$T$823,18,0),"")</f>
        <v>RNHD24CWANT063481</v>
      </c>
      <c r="T288" s="111" t="str">
        <f>IFERROR(VLOOKUP(B288,'02. MM-KLH'!$B$6:$T$823,19,0),"")</f>
        <v>1622D017402</v>
      </c>
      <c r="U288" s="863" t="s">
        <v>3343</v>
      </c>
    </row>
    <row r="289" ht="13.5" customHeight="1" spans="1:21">
      <c r="A289" s="101">
        <f t="shared" si="12"/>
        <v>12</v>
      </c>
      <c r="B289" s="104" t="s">
        <v>731</v>
      </c>
      <c r="C289" s="104" t="str">
        <f>IFERROR(VLOOKUP(B289,'02. MM-KLH'!$B$6:$T$823,2,0),"")</f>
        <v>MỚI</v>
      </c>
      <c r="D289" s="103" t="str">
        <f>IFERROR(VLOOKUP(B289,'02. MM-KLH'!$B$6:$T$823,3,0),"")</f>
        <v>A24-XTA-021</v>
      </c>
      <c r="E289" s="102" t="str">
        <f>IFERROR(VLOOKUP(B289,'02. MM-KLH'!$B$6:$T$823,4,0),"")</f>
        <v>3A-6808</v>
      </c>
      <c r="F289" s="104"/>
      <c r="G289" s="102" t="str">
        <f>IFERROR(VLOOKUP(B289,'02. MM-KLH'!$B$6:$T$823,6,0),"")</f>
        <v>Xe ben HOWO TXD600</v>
      </c>
      <c r="H289" s="101" t="s">
        <v>3378</v>
      </c>
      <c r="I289" s="101" t="str">
        <f>IFERROR(VLOOKUP(B289,'02. MM-KLH'!$B$6:$T$823,8,0),"")</f>
        <v>CGTC LP</v>
      </c>
      <c r="J289" s="105">
        <f>IFERROR(VLOOKUP(B289,'02. MM-KLH'!$B$6:$T$823,9,0),"")</f>
        <v>45749</v>
      </c>
      <c r="K289" s="101" t="str">
        <f>IFERROR(VLOOKUP(B289,'02. MM-KLH'!$B$6:$T$823,10,0),"")</f>
        <v>Bình thường</v>
      </c>
      <c r="L289" s="107">
        <f>IFERROR(VLOOKUP(B289,'02. MM-KLH'!$B$6:$T$823,11,0),"")</f>
        <v>0</v>
      </c>
      <c r="M289" s="864" t="str">
        <f>IFERROR(VLOOKUP(B289,'02. MM-KLH'!$B$6:$T$823,12,0),"")</f>
        <v>Đầu tư mới</v>
      </c>
      <c r="N289" s="110" t="str">
        <f>IFERROR(VLOOKUP(B289,'02. MM-KLH'!$B$6:$T$823,13,0),"")</f>
        <v>HOWO</v>
      </c>
      <c r="O289" s="110" t="str">
        <f>IFERROR(VLOOKUP(B289,'02. MM-KLH'!$B$6:$T$823,14,0),"")</f>
        <v>VIỆT NAM</v>
      </c>
      <c r="P289" s="101">
        <f>IFERROR(VLOOKUP(B289,'02. MM-KLH'!$B$6:$T$823,15,0),"")</f>
        <v>2022</v>
      </c>
      <c r="Q289" s="101" t="str">
        <f>IFERROR(VLOOKUP(B289,'02. MM-KLH'!$B$6:$T$823,16,0),"")</f>
        <v>HOWO TX D600</v>
      </c>
      <c r="R289" s="101" t="str">
        <f>IFERROR(VLOOKUP(B289,'02. MM-KLH'!$B$6:$T$823,17,0),"")</f>
        <v>380HP</v>
      </c>
      <c r="S289" s="110" t="str">
        <f>IFERROR(VLOOKUP(B289,'02. MM-KLH'!$B$6:$T$823,18,0),"")</f>
        <v>RNHD24CWANT063483</v>
      </c>
      <c r="T289" s="111" t="str">
        <f>IFERROR(VLOOKUP(B289,'02. MM-KLH'!$B$6:$T$823,19,0),"")</f>
        <v>1622D017391</v>
      </c>
      <c r="U289" s="863" t="s">
        <v>3343</v>
      </c>
    </row>
    <row r="290" ht="13.5" customHeight="1" spans="1:21">
      <c r="A290" s="101">
        <f t="shared" si="12"/>
        <v>13</v>
      </c>
      <c r="B290" s="104" t="s">
        <v>736</v>
      </c>
      <c r="C290" s="104" t="str">
        <f>IFERROR(VLOOKUP(B290,'02. MM-KLH'!$B$6:$T$823,2,0),"")</f>
        <v>MỚI</v>
      </c>
      <c r="D290" s="103" t="str">
        <f>IFERROR(VLOOKUP(B290,'02. MM-KLH'!$B$6:$T$823,3,0),"")</f>
        <v>A24-XTA-022</v>
      </c>
      <c r="E290" s="102" t="str">
        <f>IFERROR(VLOOKUP(B290,'02. MM-KLH'!$B$6:$T$823,4,0),"")</f>
        <v>3A-6809</v>
      </c>
      <c r="F290" s="104"/>
      <c r="G290" s="102" t="str">
        <f>IFERROR(VLOOKUP(B290,'02. MM-KLH'!$B$6:$T$823,6,0),"")</f>
        <v>Xe ben HOWO TXD600</v>
      </c>
      <c r="H290" s="101" t="s">
        <v>3378</v>
      </c>
      <c r="I290" s="101" t="str">
        <f>IFERROR(VLOOKUP(B290,'02. MM-KLH'!$B$6:$T$823,8,0),"")</f>
        <v>CGTC LP</v>
      </c>
      <c r="J290" s="105">
        <f>IFERROR(VLOOKUP(B290,'02. MM-KLH'!$B$6:$T$823,9,0),"")</f>
        <v>45749</v>
      </c>
      <c r="K290" s="101" t="str">
        <f>IFERROR(VLOOKUP(B290,'02. MM-KLH'!$B$6:$T$823,10,0),"")</f>
        <v>Bình thường</v>
      </c>
      <c r="L290" s="107">
        <f>IFERROR(VLOOKUP(B290,'02. MM-KLH'!$B$6:$T$823,11,0),"")</f>
        <v>0</v>
      </c>
      <c r="M290" s="864" t="str">
        <f>IFERROR(VLOOKUP(B290,'02. MM-KLH'!$B$6:$T$823,12,0),"")</f>
        <v>Đầu tư mới</v>
      </c>
      <c r="N290" s="110" t="str">
        <f>IFERROR(VLOOKUP(B290,'02. MM-KLH'!$B$6:$T$823,13,0),"")</f>
        <v>HOWO</v>
      </c>
      <c r="O290" s="110" t="str">
        <f>IFERROR(VLOOKUP(B290,'02. MM-KLH'!$B$6:$T$823,14,0),"")</f>
        <v>VIỆT NAM</v>
      </c>
      <c r="P290" s="101">
        <f>IFERROR(VLOOKUP(B290,'02. MM-KLH'!$B$6:$T$823,15,0),"")</f>
        <v>2022</v>
      </c>
      <c r="Q290" s="101" t="str">
        <f>IFERROR(VLOOKUP(B290,'02. MM-KLH'!$B$6:$T$823,16,0),"")</f>
        <v>HOWO TX D600</v>
      </c>
      <c r="R290" s="101" t="str">
        <f>IFERROR(VLOOKUP(B290,'02. MM-KLH'!$B$6:$T$823,17,0),"")</f>
        <v>380HP</v>
      </c>
      <c r="S290" s="110" t="str">
        <f>IFERROR(VLOOKUP(B290,'02. MM-KLH'!$B$6:$T$823,18,0),"")</f>
        <v>RNHD24CWANT063484</v>
      </c>
      <c r="T290" s="111" t="str">
        <f>IFERROR(VLOOKUP(B290,'02. MM-KLH'!$B$6:$T$823,19,0),"")</f>
        <v>1622D017399</v>
      </c>
      <c r="U290" s="863" t="s">
        <v>3343</v>
      </c>
    </row>
    <row r="291" ht="13.5" customHeight="1" spans="1:21">
      <c r="A291" s="101">
        <f t="shared" si="12"/>
        <v>14</v>
      </c>
      <c r="B291" s="124" t="s">
        <v>524</v>
      </c>
      <c r="C291" s="104" t="str">
        <f>IFERROR(VLOOKUP(B291,'02. MM-KLH'!$B$6:$T$823,2,0),"")</f>
        <v>MỚI</v>
      </c>
      <c r="D291" s="103" t="str">
        <f>IFERROR(VLOOKUP(B291,'02. MM-KLH'!$B$6:$T$823,3,0),"")</f>
        <v>A23-XTA-036</v>
      </c>
      <c r="E291" s="102" t="str">
        <f>IFERROR(VLOOKUP(B291,'02. MM-KLH'!$B$6:$T$823,4,0),"")</f>
        <v>3A-6818</v>
      </c>
      <c r="F291" s="124"/>
      <c r="G291" s="102" t="str">
        <f>IFERROR(VLOOKUP(B291,'02. MM-KLH'!$B$6:$T$823,6,0),"")</f>
        <v>Xe ben HOWO TXD600</v>
      </c>
      <c r="H291" s="101" t="s">
        <v>3378</v>
      </c>
      <c r="I291" s="101" t="str">
        <f>IFERROR(VLOOKUP(B291,'02. MM-KLH'!$B$6:$T$823,8,0),"")</f>
        <v>CGTC DP</v>
      </c>
      <c r="J291" s="105">
        <f>IFERROR(VLOOKUP(B291,'02. MM-KLH'!$B$6:$T$823,9,0),"")</f>
        <v>45661</v>
      </c>
      <c r="K291" s="101" t="str">
        <f>IFERROR(VLOOKUP(B291,'02. MM-KLH'!$B$6:$T$823,10,0),"")</f>
        <v>Bình thường</v>
      </c>
      <c r="L291" s="107">
        <f>IFERROR(VLOOKUP(B291,'02. MM-KLH'!$B$6:$T$823,11,0),"")</f>
        <v>0</v>
      </c>
      <c r="M291" s="864" t="str">
        <f>IFERROR(VLOOKUP(B291,'02. MM-KLH'!$B$6:$T$823,12,0),"")</f>
        <v>Đầu tư mới </v>
      </c>
      <c r="N291" s="110" t="str">
        <f>IFERROR(VLOOKUP(B291,'02. MM-KLH'!$B$6:$T$823,13,0),"")</f>
        <v>HOWO</v>
      </c>
      <c r="O291" s="110" t="str">
        <f>IFERROR(VLOOKUP(B291,'02. MM-KLH'!$B$6:$T$823,14,0),"")</f>
        <v>VIỆT NAM</v>
      </c>
      <c r="P291" s="101">
        <f>IFERROR(VLOOKUP(B291,'02. MM-KLH'!$B$6:$T$823,15,0),"")</f>
        <v>2022</v>
      </c>
      <c r="Q291" s="101" t="str">
        <f>IFERROR(VLOOKUP(B291,'02. MM-KLH'!$B$6:$T$823,16,0),"")</f>
        <v>HOWO TX D600</v>
      </c>
      <c r="R291" s="101" t="str">
        <f>IFERROR(VLOOKUP(B291,'02. MM-KLH'!$B$6:$T$823,17,0),"")</f>
        <v>380HP</v>
      </c>
      <c r="S291" s="110" t="str">
        <f>IFERROR(VLOOKUP(B291,'02. MM-KLH'!$B$6:$T$823,18,0),"")</f>
        <v>RNHD24CWART000069</v>
      </c>
      <c r="T291" s="111" t="str">
        <f>IFERROR(VLOOKUP(B291,'02. MM-KLH'!$B$6:$T$823,19,0),"")</f>
        <v>1622F024360</v>
      </c>
      <c r="U291" s="863" t="s">
        <v>3343</v>
      </c>
    </row>
    <row r="292" ht="13.5" customHeight="1" spans="1:21">
      <c r="A292" s="101">
        <f t="shared" si="12"/>
        <v>15</v>
      </c>
      <c r="B292" s="124" t="s">
        <v>914</v>
      </c>
      <c r="C292" s="104" t="str">
        <f>IFERROR(VLOOKUP(B292,'02. MM-KLH'!$B$6:$T$823,2,0),"")</f>
        <v>MỚI</v>
      </c>
      <c r="D292" s="103" t="str">
        <f>IFERROR(VLOOKUP(B292,'02. MM-KLH'!$B$6:$T$823,3,0),"")</f>
        <v>A23-XTA-034</v>
      </c>
      <c r="E292" s="102" t="str">
        <f>IFERROR(VLOOKUP(B292,'02. MM-KLH'!$B$6:$T$823,4,0),"")</f>
        <v>3A-6823</v>
      </c>
      <c r="F292" s="124"/>
      <c r="G292" s="102" t="str">
        <f>IFERROR(VLOOKUP(B292,'02. MM-KLH'!$B$6:$T$823,6,0),"")</f>
        <v>Xe ben HOWO TXD600</v>
      </c>
      <c r="H292" s="101" t="s">
        <v>3378</v>
      </c>
      <c r="I292" s="101" t="str">
        <f>IFERROR(VLOOKUP(B292,'02. MM-KLH'!$B$6:$T$823,8,0),"")</f>
        <v>CGTC AD</v>
      </c>
      <c r="J292" s="105">
        <f>IFERROR(VLOOKUP(B292,'02. MM-KLH'!$B$6:$T$823,9,0),"")</f>
        <v>45661</v>
      </c>
      <c r="K292" s="101" t="str">
        <f>IFERROR(VLOOKUP(B292,'02. MM-KLH'!$B$6:$T$823,10,0),"")</f>
        <v>Bình thường</v>
      </c>
      <c r="L292" s="107">
        <f>IFERROR(VLOOKUP(B292,'02. MM-KLH'!$B$6:$T$823,11,0),"")</f>
        <v>0</v>
      </c>
      <c r="M292" s="864" t="str">
        <f>IFERROR(VLOOKUP(B292,'02. MM-KLH'!$B$6:$T$823,12,0),"")</f>
        <v>Đầu tư mới (xe thuộc tài sản DP)</v>
      </c>
      <c r="N292" s="110" t="str">
        <f>IFERROR(VLOOKUP(B292,'02. MM-KLH'!$B$6:$T$823,13,0),"")</f>
        <v>HOWO</v>
      </c>
      <c r="O292" s="110" t="str">
        <f>IFERROR(VLOOKUP(B292,'02. MM-KLH'!$B$6:$T$823,14,0),"")</f>
        <v>VIỆT NAM</v>
      </c>
      <c r="P292" s="101">
        <f>IFERROR(VLOOKUP(B292,'02. MM-KLH'!$B$6:$T$823,15,0),"")</f>
        <v>2022</v>
      </c>
      <c r="Q292" s="101" t="str">
        <f>IFERROR(VLOOKUP(B292,'02. MM-KLH'!$B$6:$T$823,16,0),"")</f>
        <v>HOWO TX D600</v>
      </c>
      <c r="R292" s="101" t="str">
        <f>IFERROR(VLOOKUP(B292,'02. MM-KLH'!$B$6:$T$823,17,0),"")</f>
        <v>380HP</v>
      </c>
      <c r="S292" s="110" t="str">
        <f>IFERROR(VLOOKUP(B292,'02. MM-KLH'!$B$6:$T$823,18,0),"")</f>
        <v>RNHD24CWART000063</v>
      </c>
      <c r="T292" s="111" t="str">
        <f>IFERROR(VLOOKUP(B292,'02. MM-KLH'!$B$6:$T$823,19,0),"")</f>
        <v>1622F024356</v>
      </c>
      <c r="U292" s="863" t="s">
        <v>3343</v>
      </c>
    </row>
    <row r="293" ht="13.5" customHeight="1" spans="1:21">
      <c r="A293" s="101">
        <f t="shared" si="12"/>
        <v>16</v>
      </c>
      <c r="B293" s="124" t="s">
        <v>920</v>
      </c>
      <c r="C293" s="104" t="str">
        <f>IFERROR(VLOOKUP(B293,'02. MM-KLH'!$B$6:$T$823,2,0),"")</f>
        <v>MỚI</v>
      </c>
      <c r="D293" s="103" t="str">
        <f>IFERROR(VLOOKUP(B293,'02. MM-KLH'!$B$6:$T$823,3,0),"")</f>
        <v>A23-XTA-035</v>
      </c>
      <c r="E293" s="102" t="str">
        <f>IFERROR(VLOOKUP(B293,'02. MM-KLH'!$B$6:$T$823,4,0),"")</f>
        <v>3A-6822</v>
      </c>
      <c r="F293" s="124"/>
      <c r="G293" s="102" t="str">
        <f>IFERROR(VLOOKUP(B293,'02. MM-KLH'!$B$6:$T$823,6,0),"")</f>
        <v>Xe ben HOWO TXD600</v>
      </c>
      <c r="H293" s="101" t="s">
        <v>3378</v>
      </c>
      <c r="I293" s="101" t="str">
        <f>IFERROR(VLOOKUP(B293,'02. MM-KLH'!$B$6:$T$823,8,0),"")</f>
        <v>CGTC AD</v>
      </c>
      <c r="J293" s="105">
        <f>IFERROR(VLOOKUP(B293,'02. MM-KLH'!$B$6:$T$823,9,0),"")</f>
        <v>45661</v>
      </c>
      <c r="K293" s="101" t="str">
        <f>IFERROR(VLOOKUP(B293,'02. MM-KLH'!$B$6:$T$823,10,0),"")</f>
        <v>Bình thường</v>
      </c>
      <c r="L293" s="107">
        <f>IFERROR(VLOOKUP(B293,'02. MM-KLH'!$B$6:$T$823,11,0),"")</f>
        <v>0</v>
      </c>
      <c r="M293" s="864" t="str">
        <f>IFERROR(VLOOKUP(B293,'02. MM-KLH'!$B$6:$T$823,12,0),"")</f>
        <v>Đầu tư mới (xe thuộc tài sản DP)</v>
      </c>
      <c r="N293" s="110" t="str">
        <f>IFERROR(VLOOKUP(B293,'02. MM-KLH'!$B$6:$T$823,13,0),"")</f>
        <v>HOWO</v>
      </c>
      <c r="O293" s="110" t="str">
        <f>IFERROR(VLOOKUP(B293,'02. MM-KLH'!$B$6:$T$823,14,0),"")</f>
        <v>VIỆT NAM</v>
      </c>
      <c r="P293" s="101">
        <f>IFERROR(VLOOKUP(B293,'02. MM-KLH'!$B$6:$T$823,15,0),"")</f>
        <v>2022</v>
      </c>
      <c r="Q293" s="101" t="str">
        <f>IFERROR(VLOOKUP(B293,'02. MM-KLH'!$B$6:$T$823,16,0),"")</f>
        <v>HOWO TX D600</v>
      </c>
      <c r="R293" s="101" t="str">
        <f>IFERROR(VLOOKUP(B293,'02. MM-KLH'!$B$6:$T$823,17,0),"")</f>
        <v>380HP</v>
      </c>
      <c r="S293" s="110" t="str">
        <f>IFERROR(VLOOKUP(B293,'02. MM-KLH'!$B$6:$T$823,18,0),"")</f>
        <v>RNHD24CWART000064</v>
      </c>
      <c r="T293" s="111" t="str">
        <f>IFERROR(VLOOKUP(B293,'02. MM-KLH'!$B$6:$T$823,19,0),"")</f>
        <v>1622F024357</v>
      </c>
      <c r="U293" s="863" t="s">
        <v>3343</v>
      </c>
    </row>
    <row r="294" ht="13.5" customHeight="1" spans="1:21">
      <c r="A294" s="101">
        <f t="shared" si="12"/>
        <v>17</v>
      </c>
      <c r="B294" s="124" t="s">
        <v>673</v>
      </c>
      <c r="C294" s="104" t="str">
        <f>IFERROR(VLOOKUP(B294,'02. MM-KLH'!$B$6:$T$823,2,0),"")</f>
        <v>MỚI</v>
      </c>
      <c r="D294" s="103" t="str">
        <f>IFERROR(VLOOKUP(B294,'02. MM-KLH'!$B$6:$T$823,3,0),"")</f>
        <v>A23-XTA-045</v>
      </c>
      <c r="E294" s="102" t="str">
        <f>IFERROR(VLOOKUP(B294,'02. MM-KLH'!$B$6:$T$823,4,0),"")</f>
        <v>3A-6829</v>
      </c>
      <c r="F294" s="124"/>
      <c r="G294" s="102" t="str">
        <f>IFERROR(VLOOKUP(B294,'02. MM-KLH'!$B$6:$T$823,6,0),"")</f>
        <v>Xe ben HOWO TXD600</v>
      </c>
      <c r="H294" s="101" t="s">
        <v>3378</v>
      </c>
      <c r="I294" s="101" t="str">
        <f>IFERROR(VLOOKUP(B294,'02. MM-KLH'!$B$6:$T$823,8,0),"")</f>
        <v>CGTC DP</v>
      </c>
      <c r="J294" s="105">
        <f>IFERROR(VLOOKUP(B294,'02. MM-KLH'!$B$6:$T$823,9,0),"")</f>
        <v>45997</v>
      </c>
      <c r="K294" s="101" t="str">
        <f>IFERROR(VLOOKUP(B294,'02. MM-KLH'!$B$6:$T$823,10,0),"")</f>
        <v>Bình thường</v>
      </c>
      <c r="L294" s="107">
        <f>IFERROR(VLOOKUP(B294,'02. MM-KLH'!$B$6:$T$823,11,0),"")</f>
        <v>0</v>
      </c>
      <c r="M294" s="864" t="str">
        <f>IFERROR(VLOOKUP(B294,'02. MM-KLH'!$B$6:$T$823,12,0),"")</f>
        <v>Đầu tư mới</v>
      </c>
      <c r="N294" s="110" t="str">
        <f>IFERROR(VLOOKUP(B294,'02. MM-KLH'!$B$6:$T$823,13,0),"")</f>
        <v>HOWO</v>
      </c>
      <c r="O294" s="110" t="str">
        <f>IFERROR(VLOOKUP(B294,'02. MM-KLH'!$B$6:$T$823,14,0),"")</f>
        <v>VIỆT NAM</v>
      </c>
      <c r="P294" s="101">
        <f>IFERROR(VLOOKUP(B294,'02. MM-KLH'!$B$6:$T$823,15,0),"")</f>
        <v>2022</v>
      </c>
      <c r="Q294" s="101" t="str">
        <f>IFERROR(VLOOKUP(B294,'02. MM-KLH'!$B$6:$T$823,16,0),"")</f>
        <v>HOWO TX D600</v>
      </c>
      <c r="R294" s="101" t="str">
        <f>IFERROR(VLOOKUP(B294,'02. MM-KLH'!$B$6:$T$823,17,0),"")</f>
        <v>380HP</v>
      </c>
      <c r="S294" s="110" t="str">
        <f>IFERROR(VLOOKUP(B294,'02. MM-KLH'!$B$6:$T$823,18,0),"")</f>
        <v>RNHD24CWART00061</v>
      </c>
      <c r="T294" s="111" t="str">
        <f>IFERROR(VLOOKUP(B294,'02. MM-KLH'!$B$6:$T$823,19,0),"")</f>
        <v>WP10380E53*1622F024366*</v>
      </c>
      <c r="U294" s="863" t="s">
        <v>3343</v>
      </c>
    </row>
    <row r="295" ht="13.5" customHeight="1" spans="1:21">
      <c r="A295" s="101">
        <f t="shared" si="12"/>
        <v>18</v>
      </c>
      <c r="B295" s="124" t="s">
        <v>678</v>
      </c>
      <c r="C295" s="104" t="str">
        <f>IFERROR(VLOOKUP(B295,'02. MM-KLH'!$B$6:$T$823,2,0),"")</f>
        <v>MỚI</v>
      </c>
      <c r="D295" s="103" t="str">
        <f>IFERROR(VLOOKUP(B295,'02. MM-KLH'!$B$6:$T$823,3,0),"")</f>
        <v>A23-XTA-046</v>
      </c>
      <c r="E295" s="102" t="str">
        <f>IFERROR(VLOOKUP(B295,'02. MM-KLH'!$B$6:$T$823,4,0),"")</f>
        <v>3A-6819</v>
      </c>
      <c r="F295" s="124"/>
      <c r="G295" s="102" t="str">
        <f>IFERROR(VLOOKUP(B295,'02. MM-KLH'!$B$6:$T$823,6,0),"")</f>
        <v>Xe ben HOWO TXD600</v>
      </c>
      <c r="H295" s="101" t="s">
        <v>3378</v>
      </c>
      <c r="I295" s="101" t="str">
        <f>IFERROR(VLOOKUP(B295,'02. MM-KLH'!$B$6:$T$823,8,0),"")</f>
        <v>CGTC DP</v>
      </c>
      <c r="J295" s="105">
        <f>IFERROR(VLOOKUP(B295,'02. MM-KLH'!$B$6:$T$823,9,0),"")</f>
        <v>45997</v>
      </c>
      <c r="K295" s="101" t="str">
        <f>IFERROR(VLOOKUP(B295,'02. MM-KLH'!$B$6:$T$823,10,0),"")</f>
        <v>Bình thường</v>
      </c>
      <c r="L295" s="107">
        <f>IFERROR(VLOOKUP(B295,'02. MM-KLH'!$B$6:$T$823,11,0),"")</f>
        <v>0</v>
      </c>
      <c r="M295" s="864" t="str">
        <f>IFERROR(VLOOKUP(B295,'02. MM-KLH'!$B$6:$T$823,12,0),"")</f>
        <v>Đầu tư mới</v>
      </c>
      <c r="N295" s="110" t="str">
        <f>IFERROR(VLOOKUP(B295,'02. MM-KLH'!$B$6:$T$823,13,0),"")</f>
        <v>HOWO</v>
      </c>
      <c r="O295" s="110" t="str">
        <f>IFERROR(VLOOKUP(B295,'02. MM-KLH'!$B$6:$T$823,14,0),"")</f>
        <v>VIỆT NAM</v>
      </c>
      <c r="P295" s="101">
        <f>IFERROR(VLOOKUP(B295,'02. MM-KLH'!$B$6:$T$823,15,0),"")</f>
        <v>2022</v>
      </c>
      <c r="Q295" s="101" t="str">
        <f>IFERROR(VLOOKUP(B295,'02. MM-KLH'!$B$6:$T$823,16,0),"")</f>
        <v>HOWO TX D600</v>
      </c>
      <c r="R295" s="101" t="str">
        <f>IFERROR(VLOOKUP(B295,'02. MM-KLH'!$B$6:$T$823,17,0),"")</f>
        <v>380HP</v>
      </c>
      <c r="S295" s="110" t="str">
        <f>IFERROR(VLOOKUP(B295,'02. MM-KLH'!$B$6:$T$823,18,0),"")</f>
        <v>RNHD24CWART00062</v>
      </c>
      <c r="T295" s="111" t="str">
        <f>IFERROR(VLOOKUP(B295,'02. MM-KLH'!$B$6:$T$823,19,0),"")</f>
        <v>WP10380E53*1622F024350*</v>
      </c>
      <c r="U295" s="863" t="s">
        <v>3343</v>
      </c>
    </row>
    <row r="296" ht="13.5" customHeight="1" spans="1:21">
      <c r="A296" s="101">
        <f t="shared" si="12"/>
        <v>19</v>
      </c>
      <c r="B296" s="124" t="s">
        <v>617</v>
      </c>
      <c r="C296" s="104" t="str">
        <f>IFERROR(VLOOKUP(B296,'02. MM-KLH'!$B$6:$T$823,2,0),"")</f>
        <v>MỚI</v>
      </c>
      <c r="D296" s="103" t="str">
        <f>IFERROR(VLOOKUP(B296,'02. MM-KLH'!$B$6:$T$823,3,0),"")</f>
        <v>A23-XTA-030</v>
      </c>
      <c r="E296" s="102" t="str">
        <f>IFERROR(VLOOKUP(B296,'02. MM-KLH'!$B$6:$T$823,4,0),"")</f>
        <v>3A-6816</v>
      </c>
      <c r="F296" s="124"/>
      <c r="G296" s="102" t="str">
        <f>IFERROR(VLOOKUP(B296,'02. MM-KLH'!$B$6:$T$823,6,0),"")</f>
        <v>Xe ben FD150</v>
      </c>
      <c r="H296" s="101" t="s">
        <v>3378</v>
      </c>
      <c r="I296" s="101" t="str">
        <f>IFERROR(VLOOKUP(B296,'02. MM-KLH'!$B$6:$T$823,8,0),"")</f>
        <v>CGTC DP</v>
      </c>
      <c r="J296" s="105">
        <f>IFERROR(VLOOKUP(B296,'02. MM-KLH'!$B$6:$T$823,9,0),"")</f>
        <v>45841</v>
      </c>
      <c r="K296" s="101" t="str">
        <f>IFERROR(VLOOKUP(B296,'02. MM-KLH'!$B$6:$T$823,10,0),"")</f>
        <v>Bình thường</v>
      </c>
      <c r="L296" s="107">
        <f>IFERROR(VLOOKUP(B296,'02. MM-KLH'!$B$6:$T$823,11,0),"")</f>
        <v>0</v>
      </c>
      <c r="M296" s="864" t="str">
        <f>IFERROR(VLOOKUP(B296,'02. MM-KLH'!$B$6:$T$823,12,0),"")</f>
        <v>Bàn giao về XDCB ngày 07/03/2025</v>
      </c>
      <c r="N296" s="110" t="str">
        <f>IFERROR(VLOOKUP(B296,'02. MM-KLH'!$B$6:$T$823,13,0),"")</f>
        <v>THACO FORLAND</v>
      </c>
      <c r="O296" s="110" t="str">
        <f>IFERROR(VLOOKUP(B296,'02. MM-KLH'!$B$6:$T$823,14,0),"")</f>
        <v>VIỆT NAM</v>
      </c>
      <c r="P296" s="101">
        <f>IFERROR(VLOOKUP(B296,'02. MM-KLH'!$B$6:$T$823,15,0),"")</f>
        <v>2024</v>
      </c>
      <c r="Q296" s="101" t="str">
        <f>IFERROR(VLOOKUP(B296,'02. MM-KLH'!$B$6:$T$823,16,0),"")</f>
        <v>FD150-4WD </v>
      </c>
      <c r="R296" s="101" t="str">
        <f>IFERROR(VLOOKUP(B296,'02. MM-KLH'!$B$6:$T$823,17,0),"")</f>
        <v>150HP</v>
      </c>
      <c r="S296" s="110" t="str">
        <f>IFERROR(VLOOKUP(B296,'02. MM-KLH'!$B$6:$T$823,18,0),"")</f>
        <v>RNHF16FYART000834</v>
      </c>
      <c r="T296" s="111" t="str">
        <f>IFERROR(VLOOKUP(B296,'02. MM-KLH'!$B$6:$T$823,19,0),"")</f>
        <v>D59M1N01254</v>
      </c>
      <c r="U296" s="863" t="s">
        <v>3343</v>
      </c>
    </row>
    <row r="297" ht="13.5" customHeight="1" spans="1:21">
      <c r="A297" s="101">
        <f t="shared" si="12"/>
        <v>20</v>
      </c>
      <c r="B297" s="124" t="s">
        <v>625</v>
      </c>
      <c r="C297" s="104" t="str">
        <f>IFERROR(VLOOKUP(B297,'02. MM-KLH'!$B$6:$T$823,2,0),"")</f>
        <v>MỚI</v>
      </c>
      <c r="D297" s="103" t="str">
        <f>IFERROR(VLOOKUP(B297,'02. MM-KLH'!$B$6:$T$823,3,0),"")</f>
        <v>A23-XTA-031</v>
      </c>
      <c r="E297" s="102" t="str">
        <f>IFERROR(VLOOKUP(B297,'02. MM-KLH'!$B$6:$T$823,4,0),"")</f>
        <v>3A-6817</v>
      </c>
      <c r="F297" s="124"/>
      <c r="G297" s="102" t="str">
        <f>IFERROR(VLOOKUP(B297,'02. MM-KLH'!$B$6:$T$823,6,0),"")</f>
        <v>Xe ben FD150</v>
      </c>
      <c r="H297" s="101" t="s">
        <v>3378</v>
      </c>
      <c r="I297" s="101" t="str">
        <f>IFERROR(VLOOKUP(B297,'02. MM-KLH'!$B$6:$T$823,8,0),"")</f>
        <v>CGTC DP</v>
      </c>
      <c r="J297" s="105">
        <f>IFERROR(VLOOKUP(B297,'02. MM-KLH'!$B$6:$T$823,9,0),"")</f>
        <v>45841</v>
      </c>
      <c r="K297" s="101" t="str">
        <f>IFERROR(VLOOKUP(B297,'02. MM-KLH'!$B$6:$T$823,10,0),"")</f>
        <v>Bình thường</v>
      </c>
      <c r="L297" s="107">
        <f>IFERROR(VLOOKUP(B297,'02. MM-KLH'!$B$6:$T$823,11,0),"")</f>
        <v>0</v>
      </c>
      <c r="M297" s="864" t="str">
        <f>IFERROR(VLOOKUP(B297,'02. MM-KLH'!$B$6:$T$823,12,0),"")</f>
        <v>Bàn giao về XDCB ngày 07/03/2025</v>
      </c>
      <c r="N297" s="110" t="str">
        <f>IFERROR(VLOOKUP(B297,'02. MM-KLH'!$B$6:$T$823,13,0),"")</f>
        <v>THACO FORLAND</v>
      </c>
      <c r="O297" s="110" t="str">
        <f>IFERROR(VLOOKUP(B297,'02. MM-KLH'!$B$6:$T$823,14,0),"")</f>
        <v>VIỆT NAM</v>
      </c>
      <c r="P297" s="101">
        <f>IFERROR(VLOOKUP(B297,'02. MM-KLH'!$B$6:$T$823,15,0),"")</f>
        <v>2024</v>
      </c>
      <c r="Q297" s="101" t="str">
        <f>IFERROR(VLOOKUP(B297,'02. MM-KLH'!$B$6:$T$823,16,0),"")</f>
        <v>FD150-4WD</v>
      </c>
      <c r="R297" s="101" t="str">
        <f>IFERROR(VLOOKUP(B297,'02. MM-KLH'!$B$6:$T$823,17,0),"")</f>
        <v>150HP</v>
      </c>
      <c r="S297" s="110" t="str">
        <f>IFERROR(VLOOKUP(B297,'02. MM-KLH'!$B$6:$T$823,18,0),"")</f>
        <v>RNHF16FYART000835</v>
      </c>
      <c r="T297" s="111" t="str">
        <f>IFERROR(VLOOKUP(B297,'02. MM-KLH'!$B$6:$T$823,19,0),"")</f>
        <v>D59M1N01360</v>
      </c>
      <c r="U297" s="863" t="s">
        <v>3343</v>
      </c>
    </row>
    <row r="298" ht="13.5" customHeight="1" spans="1:21">
      <c r="A298" s="101">
        <f t="shared" si="12"/>
        <v>21</v>
      </c>
      <c r="B298" s="104" t="s">
        <v>768</v>
      </c>
      <c r="C298" s="104" t="str">
        <f>IFERROR(VLOOKUP(B298,'02. MM-KLH'!$B$6:$T$823,2,0),"")</f>
        <v>MỚI</v>
      </c>
      <c r="D298" s="103" t="str">
        <f>IFERROR(VLOOKUP(B298,'02. MM-KLH'!$B$6:$T$823,3,0),"")</f>
        <v>A24-XTA-032</v>
      </c>
      <c r="E298" s="102" t="str">
        <f>IFERROR(VLOOKUP(B298,'02. MM-KLH'!$B$6:$T$823,4,0),"")</f>
        <v>3A-6813</v>
      </c>
      <c r="F298" s="104"/>
      <c r="G298" s="102" t="str">
        <f>IFERROR(VLOOKUP(B298,'02. MM-KLH'!$B$6:$T$823,6,0),"")</f>
        <v>Xe ben FD150</v>
      </c>
      <c r="H298" s="101" t="s">
        <v>3378</v>
      </c>
      <c r="I298" s="101" t="str">
        <f>IFERROR(VLOOKUP(B298,'02. MM-KLH'!$B$6:$T$823,8,0),"")</f>
        <v>CGTC LP</v>
      </c>
      <c r="J298" s="105">
        <f>IFERROR(VLOOKUP(B298,'02. MM-KLH'!$B$6:$T$823,9,0),"")</f>
        <v>45841</v>
      </c>
      <c r="K298" s="101" t="str">
        <f>IFERROR(VLOOKUP(B298,'02. MM-KLH'!$B$6:$T$823,10,0),"")</f>
        <v>Bình thường</v>
      </c>
      <c r="L298" s="107">
        <f>IFERROR(VLOOKUP(B298,'02. MM-KLH'!$B$6:$T$823,11,0),"")</f>
        <v>0</v>
      </c>
      <c r="M298" s="864" t="str">
        <f>IFERROR(VLOOKUP(B298,'02. MM-KLH'!$B$6:$T$823,12,0),"")</f>
        <v>Bàn giao về XDCB ngày 07/03/2025</v>
      </c>
      <c r="N298" s="110" t="str">
        <f>IFERROR(VLOOKUP(B298,'02. MM-KLH'!$B$6:$T$823,13,0),"")</f>
        <v>FORLAND</v>
      </c>
      <c r="O298" s="110" t="str">
        <f>IFERROR(VLOOKUP(B298,'02. MM-KLH'!$B$6:$T$823,14,0),"")</f>
        <v>VIỆT NAM</v>
      </c>
      <c r="P298" s="101">
        <f>IFERROR(VLOOKUP(B298,'02. MM-KLH'!$B$6:$T$823,15,0),"")</f>
        <v>2024</v>
      </c>
      <c r="Q298" s="101" t="str">
        <f>IFERROR(VLOOKUP(B298,'02. MM-KLH'!$B$6:$T$823,16,0),"")</f>
        <v>FD150-4WD</v>
      </c>
      <c r="R298" s="101" t="str">
        <f>IFERROR(VLOOKUP(B298,'02. MM-KLH'!$B$6:$T$823,17,0),"")</f>
        <v>150HP</v>
      </c>
      <c r="S298" s="110" t="str">
        <f>IFERROR(VLOOKUP(B298,'02. MM-KLH'!$B$6:$T$823,18,0),"")</f>
        <v>RNHF16FYART000830</v>
      </c>
      <c r="T298" s="111" t="str">
        <f>IFERROR(VLOOKUP(B298,'02. MM-KLH'!$B$6:$T$823,19,0),"")</f>
        <v>D59M1N01292</v>
      </c>
      <c r="U298" s="863" t="s">
        <v>3343</v>
      </c>
    </row>
    <row r="299" ht="13.5" customHeight="1" spans="1:21">
      <c r="A299" s="101">
        <f t="shared" si="12"/>
        <v>22</v>
      </c>
      <c r="B299" s="104" t="s">
        <v>774</v>
      </c>
      <c r="C299" s="104" t="str">
        <f>IFERROR(VLOOKUP(B299,'02. MM-KLH'!$B$6:$T$823,2,0),"")</f>
        <v>MỚI</v>
      </c>
      <c r="D299" s="103" t="str">
        <f>IFERROR(VLOOKUP(B299,'02. MM-KLH'!$B$6:$T$823,3,0),"")</f>
        <v>A24-XTA-033</v>
      </c>
      <c r="E299" s="102" t="str">
        <f>IFERROR(VLOOKUP(B299,'02. MM-KLH'!$B$6:$T$823,4,0),"")</f>
        <v>3A-6804</v>
      </c>
      <c r="F299" s="104"/>
      <c r="G299" s="102" t="str">
        <f>IFERROR(VLOOKUP(B299,'02. MM-KLH'!$B$6:$T$823,6,0),"")</f>
        <v>Xe ben FD150</v>
      </c>
      <c r="H299" s="101" t="s">
        <v>3378</v>
      </c>
      <c r="I299" s="101" t="str">
        <f>IFERROR(VLOOKUP(B299,'02. MM-KLH'!$B$6:$T$823,8,0),"")</f>
        <v>CGTC LP</v>
      </c>
      <c r="J299" s="105">
        <f>IFERROR(VLOOKUP(B299,'02. MM-KLH'!$B$6:$T$823,9,0),"")</f>
        <v>45841</v>
      </c>
      <c r="K299" s="101" t="str">
        <f>IFERROR(VLOOKUP(B299,'02. MM-KLH'!$B$6:$T$823,10,0),"")</f>
        <v>Bình thường</v>
      </c>
      <c r="L299" s="107">
        <f>IFERROR(VLOOKUP(B299,'02. MM-KLH'!$B$6:$T$823,11,0),"")</f>
        <v>0</v>
      </c>
      <c r="M299" s="864" t="str">
        <f>IFERROR(VLOOKUP(B299,'02. MM-KLH'!$B$6:$T$823,12,0),"")</f>
        <v>Bàn giao về XDCB ngày 07/03/2025</v>
      </c>
      <c r="N299" s="110" t="str">
        <f>IFERROR(VLOOKUP(B299,'02. MM-KLH'!$B$6:$T$823,13,0),"")</f>
        <v>FORLAND</v>
      </c>
      <c r="O299" s="110" t="str">
        <f>IFERROR(VLOOKUP(B299,'02. MM-KLH'!$B$6:$T$823,14,0),"")</f>
        <v>VIỆT NAM</v>
      </c>
      <c r="P299" s="101">
        <f>IFERROR(VLOOKUP(B299,'02. MM-KLH'!$B$6:$T$823,15,0),"")</f>
        <v>2024</v>
      </c>
      <c r="Q299" s="101" t="str">
        <f>IFERROR(VLOOKUP(B299,'02. MM-KLH'!$B$6:$T$823,16,0),"")</f>
        <v>FD150-4WD</v>
      </c>
      <c r="R299" s="101" t="str">
        <f>IFERROR(VLOOKUP(B299,'02. MM-KLH'!$B$6:$T$823,17,0),"")</f>
        <v>150HP</v>
      </c>
      <c r="S299" s="110" t="str">
        <f>IFERROR(VLOOKUP(B299,'02. MM-KLH'!$B$6:$T$823,18,0),"")</f>
        <v>RNHF16FYART000831</v>
      </c>
      <c r="T299" s="111" t="str">
        <f>IFERROR(VLOOKUP(B299,'02. MM-KLH'!$B$6:$T$823,19,0),"")</f>
        <v>D59M1N01308</v>
      </c>
      <c r="U299" s="863" t="s">
        <v>3343</v>
      </c>
    </row>
    <row r="300" ht="13.5" customHeight="1" spans="1:21">
      <c r="A300" s="101">
        <f t="shared" si="12"/>
        <v>23</v>
      </c>
      <c r="B300" s="104" t="s">
        <v>631</v>
      </c>
      <c r="C300" s="104" t="str">
        <f>IFERROR(VLOOKUP(B300,'02. MM-KLH'!$B$6:$T$823,2,0),"")</f>
        <v>MỚI</v>
      </c>
      <c r="D300" s="103" t="str">
        <f>IFERROR(VLOOKUP(B300,'02. MM-KLH'!$B$6:$T$823,3,0),"")</f>
        <v>A23-XTA-037</v>
      </c>
      <c r="E300" s="102">
        <f>IFERROR(VLOOKUP(B300,'02. MM-KLH'!$B$6:$T$823,4,0),"")</f>
        <v>0</v>
      </c>
      <c r="F300" s="104"/>
      <c r="G300" s="102" t="str">
        <f>IFERROR(VLOOKUP(B300,'02. MM-KLH'!$B$6:$T$823,6,0),"")</f>
        <v>Xe ben FC150</v>
      </c>
      <c r="H300" s="101" t="s">
        <v>3378</v>
      </c>
      <c r="I300" s="101" t="str">
        <f>IFERROR(VLOOKUP(B300,'02. MM-KLH'!$B$6:$T$823,8,0),"")</f>
        <v>CGTC DP</v>
      </c>
      <c r="J300" s="105" t="str">
        <f>IFERROR(VLOOKUP(B300,'02. MM-KLH'!$B$6:$T$823,9,0),"")</f>
        <v>29/05/2025</v>
      </c>
      <c r="K300" s="101" t="str">
        <f>IFERROR(VLOOKUP(B300,'02. MM-KLH'!$B$6:$T$823,10,0),"")</f>
        <v>Bình thường</v>
      </c>
      <c r="L300" s="107">
        <f>IFERROR(VLOOKUP(B300,'02. MM-KLH'!$B$6:$T$823,11,0),"")</f>
        <v>0</v>
      </c>
      <c r="M300" s="864" t="str">
        <f>IFERROR(VLOOKUP(B300,'02. MM-KLH'!$B$6:$T$823,12,0),"")</f>
        <v>Bàn giao về XDCB ngày 29/05/2025</v>
      </c>
      <c r="N300" s="110" t="str">
        <f>IFERROR(VLOOKUP(B300,'02. MM-KLH'!$B$6:$T$823,13,0),"")</f>
        <v>THACO FORLAND</v>
      </c>
      <c r="O300" s="110" t="str">
        <f>IFERROR(VLOOKUP(B300,'02. MM-KLH'!$B$6:$T$823,14,0),"")</f>
        <v>VIỆT NAM</v>
      </c>
      <c r="P300" s="101">
        <f>IFERROR(VLOOKUP(B300,'02. MM-KLH'!$B$6:$T$823,15,0),"")</f>
        <v>2024</v>
      </c>
      <c r="Q300" s="101" t="str">
        <f>IFERROR(VLOOKUP(B300,'02. MM-KLH'!$B$6:$T$823,16,0),"")</f>
        <v>FC150-4WD</v>
      </c>
      <c r="R300" s="101" t="str">
        <f>IFERROR(VLOOKUP(B300,'02. MM-KLH'!$B$6:$T$823,17,0),"")</f>
        <v>150HP</v>
      </c>
      <c r="S300" s="110" t="str">
        <f>IFERROR(VLOOKUP(B300,'02. MM-KLH'!$B$6:$T$823,18,0),"")</f>
        <v>RNHF16FYBRT000132</v>
      </c>
      <c r="T300" s="111" t="str">
        <f>IFERROR(VLOOKUP(B300,'02. MM-KLH'!$B$6:$T$823,19,0),"")</f>
        <v>D59M1N01088</v>
      </c>
      <c r="U300" s="863" t="s">
        <v>3343</v>
      </c>
    </row>
    <row r="301" ht="13.5" customHeight="1" spans="1:21">
      <c r="A301" s="101">
        <f t="shared" si="12"/>
        <v>24</v>
      </c>
      <c r="B301" s="104" t="s">
        <v>638</v>
      </c>
      <c r="C301" s="104" t="str">
        <f>IFERROR(VLOOKUP(B301,'02. MM-KLH'!$B$6:$T$823,2,0),"")</f>
        <v>MỚI</v>
      </c>
      <c r="D301" s="103" t="str">
        <f>IFERROR(VLOOKUP(B301,'02. MM-KLH'!$B$6:$T$823,3,0),"")</f>
        <v>A23-XTA-038</v>
      </c>
      <c r="E301" s="102">
        <f>IFERROR(VLOOKUP(B301,'02. MM-KLH'!$B$6:$T$823,4,0),"")</f>
        <v>0</v>
      </c>
      <c r="F301" s="104"/>
      <c r="G301" s="102" t="str">
        <f>IFERROR(VLOOKUP(B301,'02. MM-KLH'!$B$6:$T$823,6,0),"")</f>
        <v>Xe ben FC150</v>
      </c>
      <c r="H301" s="101" t="s">
        <v>3378</v>
      </c>
      <c r="I301" s="101" t="str">
        <f>IFERROR(VLOOKUP(B301,'02. MM-KLH'!$B$6:$T$823,8,0),"")</f>
        <v>CGTC DP</v>
      </c>
      <c r="J301" s="105" t="str">
        <f>IFERROR(VLOOKUP(B301,'02. MM-KLH'!$B$6:$T$823,9,0),"")</f>
        <v>29/05/2025</v>
      </c>
      <c r="K301" s="101" t="str">
        <f>IFERROR(VLOOKUP(B301,'02. MM-KLH'!$B$6:$T$823,10,0),"")</f>
        <v>Bình thường</v>
      </c>
      <c r="L301" s="107">
        <f>IFERROR(VLOOKUP(B301,'02. MM-KLH'!$B$6:$T$823,11,0),"")</f>
        <v>0</v>
      </c>
      <c r="M301" s="864" t="str">
        <f>IFERROR(VLOOKUP(B301,'02. MM-KLH'!$B$6:$T$823,12,0),"")</f>
        <v>Bàn giao về XDCB ngày 29/05/2025</v>
      </c>
      <c r="N301" s="110" t="str">
        <f>IFERROR(VLOOKUP(B301,'02. MM-KLH'!$B$6:$T$823,13,0),"")</f>
        <v>THACO FORLAND</v>
      </c>
      <c r="O301" s="110" t="str">
        <f>IFERROR(VLOOKUP(B301,'02. MM-KLH'!$B$6:$T$823,14,0),"")</f>
        <v>VIỆT NAM</v>
      </c>
      <c r="P301" s="101">
        <f>IFERROR(VLOOKUP(B301,'02. MM-KLH'!$B$6:$T$823,15,0),"")</f>
        <v>2024</v>
      </c>
      <c r="Q301" s="101" t="str">
        <f>IFERROR(VLOOKUP(B301,'02. MM-KLH'!$B$6:$T$823,16,0),"")</f>
        <v>FC150-4WD</v>
      </c>
      <c r="R301" s="101" t="str">
        <f>IFERROR(VLOOKUP(B301,'02. MM-KLH'!$B$6:$T$823,17,0),"")</f>
        <v>150HP</v>
      </c>
      <c r="S301" s="110" t="str">
        <f>IFERROR(VLOOKUP(B301,'02. MM-KLH'!$B$6:$T$823,18,0),"")</f>
        <v>RNHF16FYBRT000133</v>
      </c>
      <c r="T301" s="111" t="str">
        <f>IFERROR(VLOOKUP(B301,'02. MM-KLH'!$B$6:$T$823,19,0),"")</f>
        <v>D59M1N01089</v>
      </c>
      <c r="U301" s="863" t="s">
        <v>3343</v>
      </c>
    </row>
    <row r="302" ht="13.5" customHeight="1" spans="1:21">
      <c r="A302" s="101">
        <f t="shared" si="12"/>
        <v>25</v>
      </c>
      <c r="B302" s="104" t="s">
        <v>642</v>
      </c>
      <c r="C302" s="104" t="str">
        <f>IFERROR(VLOOKUP(B302,'02. MM-KLH'!$B$6:$T$823,2,0),"")</f>
        <v>MỚI</v>
      </c>
      <c r="D302" s="103" t="str">
        <f>IFERROR(VLOOKUP(B302,'02. MM-KLH'!$B$6:$T$823,3,0),"")</f>
        <v>A23-XTA-039</v>
      </c>
      <c r="E302" s="102">
        <f>IFERROR(VLOOKUP(B302,'02. MM-KLH'!$B$6:$T$823,4,0),"")</f>
        <v>0</v>
      </c>
      <c r="F302" s="104"/>
      <c r="G302" s="102" t="str">
        <f>IFERROR(VLOOKUP(B302,'02. MM-KLH'!$B$6:$T$823,6,0),"")</f>
        <v>Xe ben FC150</v>
      </c>
      <c r="H302" s="101" t="s">
        <v>3378</v>
      </c>
      <c r="I302" s="101" t="str">
        <f>IFERROR(VLOOKUP(B302,'02. MM-KLH'!$B$6:$T$823,8,0),"")</f>
        <v>CGTC DP</v>
      </c>
      <c r="J302" s="105" t="str">
        <f>IFERROR(VLOOKUP(B302,'02. MM-KLH'!$B$6:$T$823,9,0),"")</f>
        <v>29/05/2025</v>
      </c>
      <c r="K302" s="101" t="str">
        <f>IFERROR(VLOOKUP(B302,'02. MM-KLH'!$B$6:$T$823,10,0),"")</f>
        <v>Bình thường</v>
      </c>
      <c r="L302" s="107">
        <f>IFERROR(VLOOKUP(B302,'02. MM-KLH'!$B$6:$T$823,11,0),"")</f>
        <v>0</v>
      </c>
      <c r="M302" s="864" t="str">
        <f>IFERROR(VLOOKUP(B302,'02. MM-KLH'!$B$6:$T$823,12,0),"")</f>
        <v>Bàn giao về XDCB ngày 29/05/2025</v>
      </c>
      <c r="N302" s="110" t="str">
        <f>IFERROR(VLOOKUP(B302,'02. MM-KLH'!$B$6:$T$823,13,0),"")</f>
        <v>THACO FORLAND</v>
      </c>
      <c r="O302" s="110" t="str">
        <f>IFERROR(VLOOKUP(B302,'02. MM-KLH'!$B$6:$T$823,14,0),"")</f>
        <v>VIỆT NAM</v>
      </c>
      <c r="P302" s="101">
        <f>IFERROR(VLOOKUP(B302,'02. MM-KLH'!$B$6:$T$823,15,0),"")</f>
        <v>2024</v>
      </c>
      <c r="Q302" s="101" t="str">
        <f>IFERROR(VLOOKUP(B302,'02. MM-KLH'!$B$6:$T$823,16,0),"")</f>
        <v>FC150-4WD</v>
      </c>
      <c r="R302" s="101" t="str">
        <f>IFERROR(VLOOKUP(B302,'02. MM-KLH'!$B$6:$T$823,17,0),"")</f>
        <v>150HP</v>
      </c>
      <c r="S302" s="110" t="str">
        <f>IFERROR(VLOOKUP(B302,'02. MM-KLH'!$B$6:$T$823,18,0),"")</f>
        <v>RNHF16FYBRT000134</v>
      </c>
      <c r="T302" s="111" t="str">
        <f>IFERROR(VLOOKUP(B302,'02. MM-KLH'!$B$6:$T$823,19,0),"")</f>
        <v>D59M1N01091</v>
      </c>
      <c r="U302" s="863" t="s">
        <v>3343</v>
      </c>
    </row>
    <row r="303" ht="13.5" customHeight="1" spans="1:21">
      <c r="A303" s="101">
        <f t="shared" si="12"/>
        <v>26</v>
      </c>
      <c r="B303" s="104" t="s">
        <v>646</v>
      </c>
      <c r="C303" s="104" t="str">
        <f>IFERROR(VLOOKUP(B303,'02. MM-KLH'!$B$6:$T$823,2,0),"")</f>
        <v>MỚI</v>
      </c>
      <c r="D303" s="103" t="str">
        <f>IFERROR(VLOOKUP(B303,'02. MM-KLH'!$B$6:$T$823,3,0),"")</f>
        <v>A23-XTA-040</v>
      </c>
      <c r="E303" s="102">
        <f>IFERROR(VLOOKUP(B303,'02. MM-KLH'!$B$6:$T$823,4,0),"")</f>
        <v>0</v>
      </c>
      <c r="F303" s="104"/>
      <c r="G303" s="102" t="str">
        <f>IFERROR(VLOOKUP(B303,'02. MM-KLH'!$B$6:$T$823,6,0),"")</f>
        <v>Xe ben FC150</v>
      </c>
      <c r="H303" s="101" t="s">
        <v>3378</v>
      </c>
      <c r="I303" s="101" t="str">
        <f>IFERROR(VLOOKUP(B303,'02. MM-KLH'!$B$6:$T$823,8,0),"")</f>
        <v>CGTC DP</v>
      </c>
      <c r="J303" s="105" t="str">
        <f>IFERROR(VLOOKUP(B303,'02. MM-KLH'!$B$6:$T$823,9,0),"")</f>
        <v>29/05/2025</v>
      </c>
      <c r="K303" s="101" t="str">
        <f>IFERROR(VLOOKUP(B303,'02. MM-KLH'!$B$6:$T$823,10,0),"")</f>
        <v>Bình thường</v>
      </c>
      <c r="L303" s="107">
        <f>IFERROR(VLOOKUP(B303,'02. MM-KLH'!$B$6:$T$823,11,0),"")</f>
        <v>0</v>
      </c>
      <c r="M303" s="864" t="str">
        <f>IFERROR(VLOOKUP(B303,'02. MM-KLH'!$B$6:$T$823,12,0),"")</f>
        <v>Bàn giao về XDCB ngày 29/05/2025</v>
      </c>
      <c r="N303" s="110" t="str">
        <f>IFERROR(VLOOKUP(B303,'02. MM-KLH'!$B$6:$T$823,13,0),"")</f>
        <v>THACO FORLAND</v>
      </c>
      <c r="O303" s="110" t="str">
        <f>IFERROR(VLOOKUP(B303,'02. MM-KLH'!$B$6:$T$823,14,0),"")</f>
        <v>VIỆT NAM</v>
      </c>
      <c r="P303" s="101">
        <f>IFERROR(VLOOKUP(B303,'02. MM-KLH'!$B$6:$T$823,15,0),"")</f>
        <v>2024</v>
      </c>
      <c r="Q303" s="101" t="str">
        <f>IFERROR(VLOOKUP(B303,'02. MM-KLH'!$B$6:$T$823,16,0),"")</f>
        <v>FC150-4WD</v>
      </c>
      <c r="R303" s="101" t="str">
        <f>IFERROR(VLOOKUP(B303,'02. MM-KLH'!$B$6:$T$823,17,0),"")</f>
        <v>150HP</v>
      </c>
      <c r="S303" s="110" t="str">
        <f>IFERROR(VLOOKUP(B303,'02. MM-KLH'!$B$6:$T$823,18,0),"")</f>
        <v>RNHF16FYBRT000135</v>
      </c>
      <c r="T303" s="111" t="str">
        <f>IFERROR(VLOOKUP(B303,'02. MM-KLH'!$B$6:$T$823,19,0),"")</f>
        <v>D59M1N01092</v>
      </c>
      <c r="U303" s="863" t="s">
        <v>3343</v>
      </c>
    </row>
    <row r="304" ht="13.5" customHeight="1" spans="1:21">
      <c r="A304" s="101">
        <f t="shared" si="12"/>
        <v>27</v>
      </c>
      <c r="B304" s="104" t="s">
        <v>779</v>
      </c>
      <c r="C304" s="104" t="str">
        <f>IFERROR(VLOOKUP(B304,'02. MM-KLH'!$B$6:$T$823,2,0),"")</f>
        <v>MỚI</v>
      </c>
      <c r="D304" s="103" t="str">
        <f>IFERROR(VLOOKUP(B304,'02. MM-KLH'!$B$6:$T$823,3,0),"")</f>
        <v>A24-XTA-034</v>
      </c>
      <c r="E304" s="102">
        <f>IFERROR(VLOOKUP(B304,'02. MM-KLH'!$B$6:$T$823,4,0),"")</f>
        <v>0</v>
      </c>
      <c r="F304" s="104"/>
      <c r="G304" s="102" t="str">
        <f>IFERROR(VLOOKUP(B304,'02. MM-KLH'!$B$6:$T$823,6,0),"")</f>
        <v>Xe ben FC150</v>
      </c>
      <c r="H304" s="101" t="s">
        <v>3378</v>
      </c>
      <c r="I304" s="101" t="str">
        <f>IFERROR(VLOOKUP(B304,'02. MM-KLH'!$B$6:$T$823,8,0),"")</f>
        <v>CGTC LP</v>
      </c>
      <c r="J304" s="105" t="str">
        <f>IFERROR(VLOOKUP(B304,'02. MM-KLH'!$B$6:$T$823,9,0),"")</f>
        <v>29/05/2025</v>
      </c>
      <c r="K304" s="101" t="str">
        <f>IFERROR(VLOOKUP(B304,'02. MM-KLH'!$B$6:$T$823,10,0),"")</f>
        <v>Bình thường</v>
      </c>
      <c r="L304" s="107">
        <f>IFERROR(VLOOKUP(B304,'02. MM-KLH'!$B$6:$T$823,11,0),"")</f>
        <v>0</v>
      </c>
      <c r="M304" s="864" t="str">
        <f>IFERROR(VLOOKUP(B304,'02. MM-KLH'!$B$6:$T$823,12,0),"")</f>
        <v>Bàn giao về XDCB ngày 29/05/2025</v>
      </c>
      <c r="N304" s="110" t="str">
        <f>IFERROR(VLOOKUP(B304,'02. MM-KLH'!$B$6:$T$823,13,0),"")</f>
        <v>FORLAND</v>
      </c>
      <c r="O304" s="110" t="str">
        <f>IFERROR(VLOOKUP(B304,'02. MM-KLH'!$B$6:$T$823,14,0),"")</f>
        <v>VIỆT NAM</v>
      </c>
      <c r="P304" s="101">
        <f>IFERROR(VLOOKUP(B304,'02. MM-KLH'!$B$6:$T$823,15,0),"")</f>
        <v>2024</v>
      </c>
      <c r="Q304" s="101" t="str">
        <f>IFERROR(VLOOKUP(B304,'02. MM-KLH'!$B$6:$T$823,16,0),"")</f>
        <v>FC150-4WD</v>
      </c>
      <c r="R304" s="101" t="str">
        <f>IFERROR(VLOOKUP(B304,'02. MM-KLH'!$B$6:$T$823,17,0),"")</f>
        <v>150HP</v>
      </c>
      <c r="S304" s="110" t="str">
        <f>IFERROR(VLOOKUP(B304,'02. MM-KLH'!$B$6:$T$823,18,0),"")</f>
        <v>RNHF16FYBRT000136</v>
      </c>
      <c r="T304" s="111" t="str">
        <f>IFERROR(VLOOKUP(B304,'02. MM-KLH'!$B$6:$T$823,19,0),"")</f>
        <v>D59M1N01094</v>
      </c>
      <c r="U304" s="863" t="s">
        <v>3343</v>
      </c>
    </row>
    <row r="305" ht="13.5" customHeight="1" spans="1:21">
      <c r="A305" s="101">
        <f t="shared" si="12"/>
        <v>28</v>
      </c>
      <c r="B305" s="104" t="s">
        <v>783</v>
      </c>
      <c r="C305" s="104" t="str">
        <f>IFERROR(VLOOKUP(B305,'02. MM-KLH'!$B$6:$T$823,2,0),"")</f>
        <v>MỚI</v>
      </c>
      <c r="D305" s="103" t="str">
        <f>IFERROR(VLOOKUP(B305,'02. MM-KLH'!$B$6:$T$823,3,0),"")</f>
        <v>A24-XTA-035</v>
      </c>
      <c r="E305" s="102">
        <f>IFERROR(VLOOKUP(B305,'02. MM-KLH'!$B$6:$T$823,4,0),"")</f>
        <v>0</v>
      </c>
      <c r="F305" s="104"/>
      <c r="G305" s="102" t="str">
        <f>IFERROR(VLOOKUP(B305,'02. MM-KLH'!$B$6:$T$823,6,0),"")</f>
        <v>Xe ben FC150</v>
      </c>
      <c r="H305" s="101" t="s">
        <v>3378</v>
      </c>
      <c r="I305" s="101" t="str">
        <f>IFERROR(VLOOKUP(B305,'02. MM-KLH'!$B$6:$T$823,8,0),"")</f>
        <v>CGTC LP</v>
      </c>
      <c r="J305" s="105" t="str">
        <f>IFERROR(VLOOKUP(B305,'02. MM-KLH'!$B$6:$T$823,9,0),"")</f>
        <v>29/05/2025</v>
      </c>
      <c r="K305" s="101" t="str">
        <f>IFERROR(VLOOKUP(B305,'02. MM-KLH'!$B$6:$T$823,10,0),"")</f>
        <v>Bình thường</v>
      </c>
      <c r="L305" s="107">
        <f>IFERROR(VLOOKUP(B305,'02. MM-KLH'!$B$6:$T$823,11,0),"")</f>
        <v>0</v>
      </c>
      <c r="M305" s="864" t="str">
        <f>IFERROR(VLOOKUP(B305,'02. MM-KLH'!$B$6:$T$823,12,0),"")</f>
        <v>Bàn giao về XDCB ngày 29/05/2025</v>
      </c>
      <c r="N305" s="110" t="str">
        <f>IFERROR(VLOOKUP(B305,'02. MM-KLH'!$B$6:$T$823,13,0),"")</f>
        <v>FORLAND</v>
      </c>
      <c r="O305" s="110" t="str">
        <f>IFERROR(VLOOKUP(B305,'02. MM-KLH'!$B$6:$T$823,14,0),"")</f>
        <v>VIỆT NAM</v>
      </c>
      <c r="P305" s="101">
        <f>IFERROR(VLOOKUP(B305,'02. MM-KLH'!$B$6:$T$823,15,0),"")</f>
        <v>2024</v>
      </c>
      <c r="Q305" s="101" t="str">
        <f>IFERROR(VLOOKUP(B305,'02. MM-KLH'!$B$6:$T$823,16,0),"")</f>
        <v>FC150-4WD</v>
      </c>
      <c r="R305" s="101" t="str">
        <f>IFERROR(VLOOKUP(B305,'02. MM-KLH'!$B$6:$T$823,17,0),"")</f>
        <v>150HP</v>
      </c>
      <c r="S305" s="110" t="str">
        <f>IFERROR(VLOOKUP(B305,'02. MM-KLH'!$B$6:$T$823,18,0),"")</f>
        <v>RNHF16FYBRT000137</v>
      </c>
      <c r="T305" s="111" t="str">
        <f>IFERROR(VLOOKUP(B305,'02. MM-KLH'!$B$6:$T$823,19,0),"")</f>
        <v>D59M1N01095</v>
      </c>
      <c r="U305" s="863" t="s">
        <v>3343</v>
      </c>
    </row>
    <row r="306" ht="13.5" customHeight="1" spans="1:21">
      <c r="A306" s="101">
        <f t="shared" si="12"/>
        <v>29</v>
      </c>
      <c r="B306" s="104" t="s">
        <v>787</v>
      </c>
      <c r="C306" s="104" t="str">
        <f>IFERROR(VLOOKUP(B306,'02. MM-KLH'!$B$6:$T$823,2,0),"")</f>
        <v>MỚI</v>
      </c>
      <c r="D306" s="103" t="str">
        <f>IFERROR(VLOOKUP(B306,'02. MM-KLH'!$B$6:$T$823,3,0),"")</f>
        <v>A24-XTA-036</v>
      </c>
      <c r="E306" s="102">
        <f>IFERROR(VLOOKUP(B306,'02. MM-KLH'!$B$6:$T$823,4,0),"")</f>
        <v>0</v>
      </c>
      <c r="F306" s="104"/>
      <c r="G306" s="102" t="str">
        <f>IFERROR(VLOOKUP(B306,'02. MM-KLH'!$B$6:$T$823,6,0),"")</f>
        <v>Xe ben FC150</v>
      </c>
      <c r="H306" s="101" t="s">
        <v>3378</v>
      </c>
      <c r="I306" s="101" t="str">
        <f>IFERROR(VLOOKUP(B306,'02. MM-KLH'!$B$6:$T$823,8,0),"")</f>
        <v>CGTC LP</v>
      </c>
      <c r="J306" s="105" t="str">
        <f>IFERROR(VLOOKUP(B306,'02. MM-KLH'!$B$6:$T$823,9,0),"")</f>
        <v>29/05/2025</v>
      </c>
      <c r="K306" s="101" t="str">
        <f>IFERROR(VLOOKUP(B306,'02. MM-KLH'!$B$6:$T$823,10,0),"")</f>
        <v>Bình thường</v>
      </c>
      <c r="L306" s="107">
        <f>IFERROR(VLOOKUP(B306,'02. MM-KLH'!$B$6:$T$823,11,0),"")</f>
        <v>0</v>
      </c>
      <c r="M306" s="864" t="str">
        <f>IFERROR(VLOOKUP(B306,'02. MM-KLH'!$B$6:$T$823,12,0),"")</f>
        <v>Bàn giao về XDCB ngày 29/05/2025</v>
      </c>
      <c r="N306" s="110" t="str">
        <f>IFERROR(VLOOKUP(B306,'02. MM-KLH'!$B$6:$T$823,13,0),"")</f>
        <v>FORLAND</v>
      </c>
      <c r="O306" s="110" t="str">
        <f>IFERROR(VLOOKUP(B306,'02. MM-KLH'!$B$6:$T$823,14,0),"")</f>
        <v>VIỆT NAM</v>
      </c>
      <c r="P306" s="101">
        <f>IFERROR(VLOOKUP(B306,'02. MM-KLH'!$B$6:$T$823,15,0),"")</f>
        <v>2024</v>
      </c>
      <c r="Q306" s="101" t="str">
        <f>IFERROR(VLOOKUP(B306,'02. MM-KLH'!$B$6:$T$823,16,0),"")</f>
        <v>FC150-4WD</v>
      </c>
      <c r="R306" s="101" t="str">
        <f>IFERROR(VLOOKUP(B306,'02. MM-KLH'!$B$6:$T$823,17,0),"")</f>
        <v>150HP</v>
      </c>
      <c r="S306" s="110" t="str">
        <f>IFERROR(VLOOKUP(B306,'02. MM-KLH'!$B$6:$T$823,18,0),"")</f>
        <v>RNHF16FYBRT000138</v>
      </c>
      <c r="T306" s="111" t="str">
        <f>IFERROR(VLOOKUP(B306,'02. MM-KLH'!$B$6:$T$823,19,0),"")</f>
        <v>D59M1N01096</v>
      </c>
      <c r="U306" s="863" t="s">
        <v>3343</v>
      </c>
    </row>
    <row r="307" ht="29.25" customHeight="1" spans="1:21">
      <c r="A307" s="101">
        <f t="shared" si="12"/>
        <v>30</v>
      </c>
      <c r="B307" s="104" t="s">
        <v>650</v>
      </c>
      <c r="C307" s="104" t="str">
        <f>IFERROR(VLOOKUP(B307,'02. MM-KLH'!$B$6:$T$823,2,0),"")</f>
        <v>MỚI</v>
      </c>
      <c r="D307" s="103" t="str">
        <f>IFERROR(VLOOKUP(B307,'02. MM-KLH'!$B$6:$T$823,3,0),"")</f>
        <v>A23-XTA-041</v>
      </c>
      <c r="E307" s="102" t="str">
        <f>IFERROR(VLOOKUP(B307,'02. MM-KLH'!$B$6:$T$823,4,0),"")</f>
        <v>3A-6828</v>
      </c>
      <c r="F307" s="104"/>
      <c r="G307" s="102" t="str">
        <f>IFERROR(VLOOKUP(B307,'02. MM-KLH'!$B$6:$T$823,6,0),"")</f>
        <v>Xe ben FD120</v>
      </c>
      <c r="H307" s="101" t="s">
        <v>3378</v>
      </c>
      <c r="I307" s="101" t="str">
        <f>IFERROR(VLOOKUP(B307,'02. MM-KLH'!$B$6:$T$823,8,0),"")</f>
        <v>CGTC DP</v>
      </c>
      <c r="J307" s="105">
        <f>IFERROR(VLOOKUP(B307,'02. MM-KLH'!$B$6:$T$823,9,0),"")</f>
        <v>45936</v>
      </c>
      <c r="K307" s="101" t="str">
        <f>IFERROR(VLOOKUP(B307,'02. MM-KLH'!$B$6:$T$823,10,0),"")</f>
        <v>Bình thường</v>
      </c>
      <c r="L307" s="107">
        <f>IFERROR(VLOOKUP(B307,'02. MM-KLH'!$B$6:$T$823,11,0),"")</f>
        <v>0</v>
      </c>
      <c r="M307" s="864" t="str">
        <f>IFERROR(VLOOKUP(B307,'02. MM-KLH'!$B$6:$T$823,12,0),"")</f>
        <v>Đầu tư mới</v>
      </c>
      <c r="N307" s="110" t="str">
        <f>IFERROR(VLOOKUP(B307,'02. MM-KLH'!$B$6:$T$823,13,0),"")</f>
        <v>THACO FORLAND</v>
      </c>
      <c r="O307" s="110" t="str">
        <f>IFERROR(VLOOKUP(B307,'02. MM-KLH'!$B$6:$T$823,14,0),"")</f>
        <v>VIỆT NAM</v>
      </c>
      <c r="P307" s="101">
        <f>IFERROR(VLOOKUP(B307,'02. MM-KLH'!$B$6:$T$823,15,0),"")</f>
        <v>2024</v>
      </c>
      <c r="Q307" s="101" t="str">
        <f>IFERROR(VLOOKUP(B307,'02. MM-KLH'!$B$6:$T$823,16,0),"")</f>
        <v>FD120-4WD</v>
      </c>
      <c r="R307" s="101" t="str">
        <f>IFERROR(VLOOKUP(B307,'02. MM-KLH'!$B$6:$T$823,17,0),"")</f>
        <v>129HP</v>
      </c>
      <c r="S307" s="110" t="str">
        <f>IFERROR(VLOOKUP(B307,'02. MM-KLH'!$B$6:$T$823,18,0),"")</f>
        <v>RNHF12FNBRT002062</v>
      </c>
      <c r="T307" s="111" t="str">
        <f>IFERROR(VLOOKUP(B307,'02. MM-KLH'!$B$6:$T$823,19,0),"")</f>
        <v>YN38CRD1*AGN22000242*</v>
      </c>
      <c r="U307" s="863" t="s">
        <v>3343</v>
      </c>
    </row>
    <row r="308" ht="29.25" customHeight="1" spans="1:21">
      <c r="A308" s="101">
        <f t="shared" si="12"/>
        <v>31</v>
      </c>
      <c r="B308" s="104" t="s">
        <v>658</v>
      </c>
      <c r="C308" s="104" t="str">
        <f>IFERROR(VLOOKUP(B308,'02. MM-KLH'!$B$6:$T$823,2,0),"")</f>
        <v>MỚI</v>
      </c>
      <c r="D308" s="103" t="str">
        <f>IFERROR(VLOOKUP(B308,'02. MM-KLH'!$B$6:$T$823,3,0),"")</f>
        <v>A23-XTA-042</v>
      </c>
      <c r="E308" s="102" t="str">
        <f>IFERROR(VLOOKUP(B308,'02. MM-KLH'!$B$6:$T$823,4,0),"")</f>
        <v>3A-6827</v>
      </c>
      <c r="F308" s="104"/>
      <c r="G308" s="102" t="str">
        <f>IFERROR(VLOOKUP(B308,'02. MM-KLH'!$B$6:$T$823,6,0),"")</f>
        <v>Xe ben FD120</v>
      </c>
      <c r="H308" s="101" t="s">
        <v>3378</v>
      </c>
      <c r="I308" s="101" t="str">
        <f>IFERROR(VLOOKUP(B308,'02. MM-KLH'!$B$6:$T$823,8,0),"")</f>
        <v>CGTC DP</v>
      </c>
      <c r="J308" s="105">
        <f>IFERROR(VLOOKUP(B308,'02. MM-KLH'!$B$6:$T$823,9,0),"")</f>
        <v>45936</v>
      </c>
      <c r="K308" s="101" t="str">
        <f>IFERROR(VLOOKUP(B308,'02. MM-KLH'!$B$6:$T$823,10,0),"")</f>
        <v>Bình thường</v>
      </c>
      <c r="L308" s="107">
        <f>IFERROR(VLOOKUP(B308,'02. MM-KLH'!$B$6:$T$823,11,0),"")</f>
        <v>0</v>
      </c>
      <c r="M308" s="864" t="str">
        <f>IFERROR(VLOOKUP(B308,'02. MM-KLH'!$B$6:$T$823,12,0),"")</f>
        <v>Đầu tư mới</v>
      </c>
      <c r="N308" s="110" t="str">
        <f>IFERROR(VLOOKUP(B308,'02. MM-KLH'!$B$6:$T$823,13,0),"")</f>
        <v>THACO FORLAND</v>
      </c>
      <c r="O308" s="110" t="str">
        <f>IFERROR(VLOOKUP(B308,'02. MM-KLH'!$B$6:$T$823,14,0),"")</f>
        <v>VIỆT NAM</v>
      </c>
      <c r="P308" s="101">
        <f>IFERROR(VLOOKUP(B308,'02. MM-KLH'!$B$6:$T$823,15,0),"")</f>
        <v>2024</v>
      </c>
      <c r="Q308" s="101" t="str">
        <f>IFERROR(VLOOKUP(B308,'02. MM-KLH'!$B$6:$T$823,16,0),"")</f>
        <v>FD120-4WD</v>
      </c>
      <c r="R308" s="101" t="str">
        <f>IFERROR(VLOOKUP(B308,'02. MM-KLH'!$B$6:$T$823,17,0),"")</f>
        <v>129HP</v>
      </c>
      <c r="S308" s="110" t="str">
        <f>IFERROR(VLOOKUP(B308,'02. MM-KLH'!$B$6:$T$823,18,0),"")</f>
        <v>RNHF12FNBRT002063</v>
      </c>
      <c r="T308" s="111" t="str">
        <f>IFERROR(VLOOKUP(B308,'02. MM-KLH'!$B$6:$T$823,19,0),"")</f>
        <v>YN38CRD1*AGN22000243*</v>
      </c>
      <c r="U308" s="863" t="s">
        <v>3343</v>
      </c>
    </row>
    <row r="309" ht="29.25" customHeight="1" spans="1:21">
      <c r="A309" s="101">
        <f t="shared" si="12"/>
        <v>32</v>
      </c>
      <c r="B309" s="104" t="s">
        <v>663</v>
      </c>
      <c r="C309" s="104" t="str">
        <f>IFERROR(VLOOKUP(B309,'02. MM-KLH'!$B$6:$T$823,2,0),"")</f>
        <v>MỚI</v>
      </c>
      <c r="D309" s="103" t="str">
        <f>IFERROR(VLOOKUP(B309,'02. MM-KLH'!$B$6:$T$823,3,0),"")</f>
        <v>A23-XTA-043</v>
      </c>
      <c r="E309" s="102" t="str">
        <f>IFERROR(VLOOKUP(B309,'02. MM-KLH'!$B$6:$T$823,4,0),"")</f>
        <v>3A-6826</v>
      </c>
      <c r="F309" s="104"/>
      <c r="G309" s="102" t="str">
        <f>IFERROR(VLOOKUP(B309,'02. MM-KLH'!$B$6:$T$823,6,0),"")</f>
        <v>Xe ben FD120</v>
      </c>
      <c r="H309" s="101" t="s">
        <v>3378</v>
      </c>
      <c r="I309" s="101" t="str">
        <f>IFERROR(VLOOKUP(B309,'02. MM-KLH'!$B$6:$T$823,8,0),"")</f>
        <v>CGTC DP</v>
      </c>
      <c r="J309" s="105">
        <f>IFERROR(VLOOKUP(B309,'02. MM-KLH'!$B$6:$T$823,9,0),"")</f>
        <v>45936</v>
      </c>
      <c r="K309" s="101" t="str">
        <f>IFERROR(VLOOKUP(B309,'02. MM-KLH'!$B$6:$T$823,10,0),"")</f>
        <v>Bình thường</v>
      </c>
      <c r="L309" s="107">
        <f>IFERROR(VLOOKUP(B309,'02. MM-KLH'!$B$6:$T$823,11,0),"")</f>
        <v>0</v>
      </c>
      <c r="M309" s="864" t="str">
        <f>IFERROR(VLOOKUP(B309,'02. MM-KLH'!$B$6:$T$823,12,0),"")</f>
        <v>Đầu tư mới</v>
      </c>
      <c r="N309" s="110" t="str">
        <f>IFERROR(VLOOKUP(B309,'02. MM-KLH'!$B$6:$T$823,13,0),"")</f>
        <v>THACO FORLAND</v>
      </c>
      <c r="O309" s="110" t="str">
        <f>IFERROR(VLOOKUP(B309,'02. MM-KLH'!$B$6:$T$823,14,0),"")</f>
        <v>VIỆT NAM</v>
      </c>
      <c r="P309" s="101">
        <f>IFERROR(VLOOKUP(B309,'02. MM-KLH'!$B$6:$T$823,15,0),"")</f>
        <v>2024</v>
      </c>
      <c r="Q309" s="101" t="str">
        <f>IFERROR(VLOOKUP(B309,'02. MM-KLH'!$B$6:$T$823,16,0),"")</f>
        <v>FD120-4WD</v>
      </c>
      <c r="R309" s="101" t="str">
        <f>IFERROR(VLOOKUP(B309,'02. MM-KLH'!$B$6:$T$823,17,0),"")</f>
        <v>129HP</v>
      </c>
      <c r="S309" s="110" t="str">
        <f>IFERROR(VLOOKUP(B309,'02. MM-KLH'!$B$6:$T$823,18,0),"")</f>
        <v>RNHF12FNBRT002064</v>
      </c>
      <c r="T309" s="111" t="str">
        <f>IFERROR(VLOOKUP(B309,'02. MM-KLH'!$B$6:$T$823,19,0),"")</f>
        <v>YN38CRD1*AGN22000244*</v>
      </c>
      <c r="U309" s="863" t="s">
        <v>3343</v>
      </c>
    </row>
    <row r="310" ht="29.25" customHeight="1" spans="1:21">
      <c r="A310" s="101">
        <f t="shared" si="12"/>
        <v>33</v>
      </c>
      <c r="B310" s="104" t="s">
        <v>668</v>
      </c>
      <c r="C310" s="104" t="str">
        <f>IFERROR(VLOOKUP(B310,'02. MM-KLH'!$B$6:$T$823,2,0),"")</f>
        <v>MỚI</v>
      </c>
      <c r="D310" s="103" t="str">
        <f>IFERROR(VLOOKUP(B310,'02. MM-KLH'!$B$6:$T$823,3,0),"")</f>
        <v>A23-XTA-044</v>
      </c>
      <c r="E310" s="102" t="str">
        <f>IFERROR(VLOOKUP(B310,'02. MM-KLH'!$B$6:$T$823,4,0),"")</f>
        <v>3A-6825</v>
      </c>
      <c r="F310" s="104"/>
      <c r="G310" s="102" t="str">
        <f>IFERROR(VLOOKUP(B310,'02. MM-KLH'!$B$6:$T$823,6,0),"")</f>
        <v>Xe ben FD120</v>
      </c>
      <c r="H310" s="101" t="s">
        <v>3378</v>
      </c>
      <c r="I310" s="101" t="str">
        <f>IFERROR(VLOOKUP(B310,'02. MM-KLH'!$B$6:$T$823,8,0),"")</f>
        <v>CGTC DP</v>
      </c>
      <c r="J310" s="105">
        <f>IFERROR(VLOOKUP(B310,'02. MM-KLH'!$B$6:$T$823,9,0),"")</f>
        <v>45936</v>
      </c>
      <c r="K310" s="101" t="str">
        <f>IFERROR(VLOOKUP(B310,'02. MM-KLH'!$B$6:$T$823,10,0),"")</f>
        <v>Bình thường</v>
      </c>
      <c r="L310" s="107">
        <f>IFERROR(VLOOKUP(B310,'02. MM-KLH'!$B$6:$T$823,11,0),"")</f>
        <v>0</v>
      </c>
      <c r="M310" s="864" t="str">
        <f>IFERROR(VLOOKUP(B310,'02. MM-KLH'!$B$6:$T$823,12,0),"")</f>
        <v>Đầu tư mới</v>
      </c>
      <c r="N310" s="110" t="str">
        <f>IFERROR(VLOOKUP(B310,'02. MM-KLH'!$B$6:$T$823,13,0),"")</f>
        <v>THACO FORLAND</v>
      </c>
      <c r="O310" s="110" t="str">
        <f>IFERROR(VLOOKUP(B310,'02. MM-KLH'!$B$6:$T$823,14,0),"")</f>
        <v>VIỆT NAM</v>
      </c>
      <c r="P310" s="101">
        <f>IFERROR(VLOOKUP(B310,'02. MM-KLH'!$B$6:$T$823,15,0),"")</f>
        <v>2024</v>
      </c>
      <c r="Q310" s="101" t="str">
        <f>IFERROR(VLOOKUP(B310,'02. MM-KLH'!$B$6:$T$823,16,0),"")</f>
        <v>FD120-4WD</v>
      </c>
      <c r="R310" s="101" t="str">
        <f>IFERROR(VLOOKUP(B310,'02. MM-KLH'!$B$6:$T$823,17,0),"")</f>
        <v>129HP</v>
      </c>
      <c r="S310" s="110" t="str">
        <f>IFERROR(VLOOKUP(B310,'02. MM-KLH'!$B$6:$T$823,18,0),"")</f>
        <v>RNHF12FNBRT002065</v>
      </c>
      <c r="T310" s="111" t="str">
        <f>IFERROR(VLOOKUP(B310,'02. MM-KLH'!$B$6:$T$823,19,0),"")</f>
        <v>YN38CRD1*AGN22000245*</v>
      </c>
      <c r="U310" s="863" t="s">
        <v>3343</v>
      </c>
    </row>
    <row r="311" ht="29.25" customHeight="1" spans="1:21">
      <c r="A311" s="101">
        <f t="shared" si="12"/>
        <v>34</v>
      </c>
      <c r="B311" s="104" t="s">
        <v>940</v>
      </c>
      <c r="C311" s="104" t="str">
        <f>IFERROR(VLOOKUP(B311,'02. MM-KLH'!$B$6:$T$823,2,0),"")</f>
        <v>MỚI</v>
      </c>
      <c r="D311" s="103" t="str">
        <f>IFERROR(VLOOKUP(B311,'02. MM-KLH'!$B$6:$T$823,3,0),"")</f>
        <v>A22-XTA-048</v>
      </c>
      <c r="E311" s="102" t="str">
        <f>IFERROR(VLOOKUP(B311,'02. MM-KLH'!$B$6:$T$823,4,0),"")</f>
        <v>3A-6800</v>
      </c>
      <c r="F311" s="104"/>
      <c r="G311" s="102" t="str">
        <f>IFERROR(VLOOKUP(B311,'02. MM-KLH'!$B$6:$T$823,6,0),"")</f>
        <v>Xe ben FD120</v>
      </c>
      <c r="H311" s="101" t="s">
        <v>3378</v>
      </c>
      <c r="I311" s="101" t="str">
        <f>IFERROR(VLOOKUP(B311,'02. MM-KLH'!$B$6:$T$823,8,0),"")</f>
        <v>CGTC AD</v>
      </c>
      <c r="J311" s="105">
        <f>IFERROR(VLOOKUP(B311,'02. MM-KLH'!$B$6:$T$823,9,0),"")</f>
        <v>45936</v>
      </c>
      <c r="K311" s="101" t="str">
        <f>IFERROR(VLOOKUP(B311,'02. MM-KLH'!$B$6:$T$823,10,0),"")</f>
        <v>Bình thường</v>
      </c>
      <c r="L311" s="107">
        <f>IFERROR(VLOOKUP(B311,'02. MM-KLH'!$B$6:$T$823,11,0),"")</f>
        <v>0</v>
      </c>
      <c r="M311" s="864" t="str">
        <f>IFERROR(VLOOKUP(B311,'02. MM-KLH'!$B$6:$T$823,12,0),"")</f>
        <v>-</v>
      </c>
      <c r="N311" s="110" t="str">
        <f>IFERROR(VLOOKUP(B311,'02. MM-KLH'!$B$6:$T$823,13,0),"")</f>
        <v>FORLAND</v>
      </c>
      <c r="O311" s="110" t="str">
        <f>IFERROR(VLOOKUP(B311,'02. MM-KLH'!$B$6:$T$823,14,0),"")</f>
        <v>Việt Nam</v>
      </c>
      <c r="P311" s="101">
        <f>IFERROR(VLOOKUP(B311,'02. MM-KLH'!$B$6:$T$823,15,0),"")</f>
        <v>2024</v>
      </c>
      <c r="Q311" s="101" t="str">
        <f>IFERROR(VLOOKUP(B311,'02. MM-KLH'!$B$6:$T$823,16,0),"")</f>
        <v>FD120-4WD</v>
      </c>
      <c r="R311" s="101" t="str">
        <f>IFERROR(VLOOKUP(B311,'02. MM-KLH'!$B$6:$T$823,17,0),"")</f>
        <v>129HP</v>
      </c>
      <c r="S311" s="110" t="str">
        <f>IFERROR(VLOOKUP(B311,'02. MM-KLH'!$B$6:$T$823,18,0),"")</f>
        <v>RNHF12FNBRT002066</v>
      </c>
      <c r="T311" s="111" t="str">
        <f>IFERROR(VLOOKUP(B311,'02. MM-KLH'!$B$6:$T$823,19,0),"")</f>
        <v>YN38CRD1*AGN22000246*</v>
      </c>
      <c r="U311" s="863" t="s">
        <v>3343</v>
      </c>
    </row>
    <row r="312" ht="29.25" customHeight="1" spans="1:21">
      <c r="A312" s="101">
        <f t="shared" si="12"/>
        <v>35</v>
      </c>
      <c r="B312" s="104" t="s">
        <v>1169</v>
      </c>
      <c r="C312" s="104" t="str">
        <f>IFERROR(VLOOKUP(B312,'02. MM-KLH'!$B$6:$T$823,2,0),"")</f>
        <v>67111 (CHT-XTA-020)</v>
      </c>
      <c r="D312" s="103" t="str">
        <f>IFERROR(VLOOKUP(B312,'02. MM-KLH'!$B$6:$T$823,3,0),"")</f>
        <v>A23-XTA-003</v>
      </c>
      <c r="E312" s="102">
        <f>IFERROR(VLOOKUP(B312,'02. MM-KLH'!$B$6:$T$823,4,0),"")</f>
        <v>0</v>
      </c>
      <c r="F312" s="104" t="s">
        <v>1288</v>
      </c>
      <c r="G312" s="102" t="str">
        <f>IFERROR(VLOOKUP(B312,'02. MM-KLH'!$B$6:$T$823,6,0),"")</f>
        <v>Xe ben Forland FD990-4WDXTH4-5T</v>
      </c>
      <c r="H312" s="101" t="s">
        <v>3384</v>
      </c>
      <c r="I312" s="101" t="str">
        <f>IFERROR(VLOOKUP(B312,'02. MM-KLH'!$B$6:$T$823,8,0),"")</f>
        <v>XN Chuối DP1</v>
      </c>
      <c r="J312" s="105">
        <f>IFERROR(VLOOKUP(B312,'02. MM-KLH'!$B$6:$T$823,9,0),"")</f>
        <v>45632</v>
      </c>
      <c r="K312" s="101" t="str">
        <f>IFERROR(VLOOKUP(B312,'02. MM-KLH'!$B$6:$T$823,10,0),"")</f>
        <v>Bình thường</v>
      </c>
      <c r="L312" s="107">
        <f>IFERROR(VLOOKUP(B312,'02. MM-KLH'!$B$6:$T$823,11,0),"")</f>
        <v>1</v>
      </c>
      <c r="M312" s="864" t="str">
        <f>IFERROR(VLOOKUP(B312,'02. MM-KLH'!$B$6:$T$823,12,0),"")</f>
        <v>Đ.chuyển từ CGTC DP ngày 07/02/2025
Đ.chuyển từ XN DP1 ngày 25/06/2024</v>
      </c>
      <c r="N312" s="110" t="str">
        <f>IFERROR(VLOOKUP(B312,'02. MM-KLH'!$B$6:$T$823,13,0),"")</f>
        <v>THACO</v>
      </c>
      <c r="O312" s="110" t="str">
        <f>IFERROR(VLOOKUP(B312,'02. MM-KLH'!$B$6:$T$823,14,0),"")</f>
        <v>VIỆT NAM</v>
      </c>
      <c r="P312" s="101">
        <f>IFERROR(VLOOKUP(B312,'02. MM-KLH'!$B$6:$T$823,15,0),"")</f>
        <v>2024</v>
      </c>
      <c r="Q312" s="101" t="str">
        <f>IFERROR(VLOOKUP(B312,'02. MM-KLH'!$B$6:$T$823,16,0),"")</f>
        <v> FD990-4WD</v>
      </c>
      <c r="R312" s="101" t="str">
        <f>IFERROR(VLOOKUP(B312,'02. MM-KLH'!$B$6:$T$823,17,0),"")</f>
        <v>94HP</v>
      </c>
      <c r="S312" s="110" t="str">
        <f>IFERROR(VLOOKUP(B312,'02. MM-KLH'!$B$6:$T$823,18,0),"")</f>
        <v>RNHF99FACRT090613</v>
      </c>
      <c r="T312" s="111" t="str">
        <f>IFERROR(VLOOKUP(B312,'02. MM-KLH'!$B$6:$T$823,19,0),"")</f>
        <v>4DW93-95E4*B0576949*</v>
      </c>
      <c r="U312" s="863" t="s">
        <v>3343</v>
      </c>
    </row>
    <row r="313" ht="29.25" customHeight="1" spans="1:21">
      <c r="A313" s="101">
        <f t="shared" si="12"/>
        <v>36</v>
      </c>
      <c r="B313" s="104" t="s">
        <v>1176</v>
      </c>
      <c r="C313" s="104" t="str">
        <f>IFERROR(VLOOKUP(B313,'02. MM-KLH'!$B$6:$T$823,2,0),"")</f>
        <v>67272 (CHT-XTA-021)</v>
      </c>
      <c r="D313" s="103" t="str">
        <f>IFERROR(VLOOKUP(B313,'02. MM-KLH'!$B$6:$T$823,3,0),"")</f>
        <v>A23-XTA-004</v>
      </c>
      <c r="E313" s="102">
        <f>IFERROR(VLOOKUP(B313,'02. MM-KLH'!$B$6:$T$823,4,0),"")</f>
        <v>0</v>
      </c>
      <c r="F313" s="104" t="s">
        <v>3385</v>
      </c>
      <c r="G313" s="102" t="str">
        <f>IFERROR(VLOOKUP(B313,'02. MM-KLH'!$B$6:$T$823,6,0),"")</f>
        <v>Xe ben Forland FD990-4WDXTH4-5T</v>
      </c>
      <c r="H313" s="101" t="s">
        <v>3384</v>
      </c>
      <c r="I313" s="101" t="str">
        <f>IFERROR(VLOOKUP(B313,'02. MM-KLH'!$B$6:$T$823,8,0),"")</f>
        <v>XN Chuối DP1</v>
      </c>
      <c r="J313" s="105">
        <f>IFERROR(VLOOKUP(B313,'02. MM-KLH'!$B$6:$T$823,9,0),"")</f>
        <v>45632</v>
      </c>
      <c r="K313" s="101" t="str">
        <f>IFERROR(VLOOKUP(B313,'02. MM-KLH'!$B$6:$T$823,10,0),"")</f>
        <v>Bình thường</v>
      </c>
      <c r="L313" s="107">
        <f>IFERROR(VLOOKUP(B313,'02. MM-KLH'!$B$6:$T$823,11,0),"")</f>
        <v>1</v>
      </c>
      <c r="M313" s="864" t="str">
        <f>IFERROR(VLOOKUP(B313,'02. MM-KLH'!$B$6:$T$823,12,0),"")</f>
        <v>Đ.chuyển từ CGTC DP ngày 07/02/2025
Đ.chuyển từ XN DP1 ngày 25/06/2024</v>
      </c>
      <c r="N313" s="110" t="str">
        <f>IFERROR(VLOOKUP(B313,'02. MM-KLH'!$B$6:$T$823,13,0),"")</f>
        <v>THACO</v>
      </c>
      <c r="O313" s="110" t="str">
        <f>IFERROR(VLOOKUP(B313,'02. MM-KLH'!$B$6:$T$823,14,0),"")</f>
        <v>VIỆT NAM</v>
      </c>
      <c r="P313" s="101">
        <f>IFERROR(VLOOKUP(B313,'02. MM-KLH'!$B$6:$T$823,15,0),"")</f>
        <v>2024</v>
      </c>
      <c r="Q313" s="101" t="str">
        <f>IFERROR(VLOOKUP(B313,'02. MM-KLH'!$B$6:$T$823,16,0),"")</f>
        <v> FD990-4WD</v>
      </c>
      <c r="R313" s="101" t="str">
        <f>IFERROR(VLOOKUP(B313,'02. MM-KLH'!$B$6:$T$823,17,0),"")</f>
        <v>94HP</v>
      </c>
      <c r="S313" s="110" t="str">
        <f>IFERROR(VLOOKUP(B313,'02. MM-KLH'!$B$6:$T$823,18,0),"")</f>
        <v>RNHF99FACRT090609</v>
      </c>
      <c r="T313" s="111" t="str">
        <f>IFERROR(VLOOKUP(B313,'02. MM-KLH'!$B$6:$T$823,19,0),"")</f>
        <v>4DW93-95E4*B0576971*</v>
      </c>
      <c r="U313" s="863" t="s">
        <v>3343</v>
      </c>
    </row>
    <row r="314" ht="29.25" customHeight="1" spans="1:21">
      <c r="A314" s="101">
        <f t="shared" si="12"/>
        <v>37</v>
      </c>
      <c r="B314" s="104" t="s">
        <v>1181</v>
      </c>
      <c r="C314" s="104" t="str">
        <f>IFERROR(VLOOKUP(B314,'02. MM-KLH'!$B$6:$T$823,2,0),"")</f>
        <v>68889 (CHT-XTA-022)</v>
      </c>
      <c r="D314" s="103" t="str">
        <f>IFERROR(VLOOKUP(B314,'02. MM-KLH'!$B$6:$T$823,3,0),"")</f>
        <v>A23-XTA-005</v>
      </c>
      <c r="E314" s="102">
        <f>IFERROR(VLOOKUP(B314,'02. MM-KLH'!$B$6:$T$823,4,0),"")</f>
        <v>0</v>
      </c>
      <c r="F314" s="104" t="s">
        <v>3386</v>
      </c>
      <c r="G314" s="102" t="str">
        <f>IFERROR(VLOOKUP(B314,'02. MM-KLH'!$B$6:$T$823,6,0),"")</f>
        <v>Xe ben Forland FD990-4WDXTH4-5T</v>
      </c>
      <c r="H314" s="101" t="s">
        <v>3384</v>
      </c>
      <c r="I314" s="101" t="str">
        <f>IFERROR(VLOOKUP(B314,'02. MM-KLH'!$B$6:$T$823,8,0),"")</f>
        <v>XN Chuối DP1</v>
      </c>
      <c r="J314" s="105">
        <f>IFERROR(VLOOKUP(B314,'02. MM-KLH'!$B$6:$T$823,9,0),"")</f>
        <v>45632</v>
      </c>
      <c r="K314" s="101" t="str">
        <f>IFERROR(VLOOKUP(B314,'02. MM-KLH'!$B$6:$T$823,10,0),"")</f>
        <v>Bình thường</v>
      </c>
      <c r="L314" s="107">
        <f>IFERROR(VLOOKUP(B314,'02. MM-KLH'!$B$6:$T$823,11,0),"")</f>
        <v>1</v>
      </c>
      <c r="M314" s="864" t="str">
        <f>IFERROR(VLOOKUP(B314,'02. MM-KLH'!$B$6:$T$823,12,0),"")</f>
        <v>Đ.chuyển từ CGTC DP ngày 07/02/2025
Đ.chuyển từ XN DP1 ngày 25/06/2024</v>
      </c>
      <c r="N314" s="110" t="str">
        <f>IFERROR(VLOOKUP(B314,'02. MM-KLH'!$B$6:$T$823,13,0),"")</f>
        <v>THACO</v>
      </c>
      <c r="O314" s="110" t="str">
        <f>IFERROR(VLOOKUP(B314,'02. MM-KLH'!$B$6:$T$823,14,0),"")</f>
        <v>VIỆT NAM</v>
      </c>
      <c r="P314" s="101">
        <f>IFERROR(VLOOKUP(B314,'02. MM-KLH'!$B$6:$T$823,15,0),"")</f>
        <v>2024</v>
      </c>
      <c r="Q314" s="101" t="str">
        <f>IFERROR(VLOOKUP(B314,'02. MM-KLH'!$B$6:$T$823,16,0),"")</f>
        <v> FD990-4WD</v>
      </c>
      <c r="R314" s="101" t="str">
        <f>IFERROR(VLOOKUP(B314,'02. MM-KLH'!$B$6:$T$823,17,0),"")</f>
        <v>94HP</v>
      </c>
      <c r="S314" s="110" t="str">
        <f>IFERROR(VLOOKUP(B314,'02. MM-KLH'!$B$6:$T$823,18,0),"")</f>
        <v>RNHF99FACRT087868</v>
      </c>
      <c r="T314" s="111" t="str">
        <f>IFERROR(VLOOKUP(B314,'02. MM-KLH'!$B$6:$T$823,19,0),"")</f>
        <v>4DW93-95E4*B0576946*</v>
      </c>
      <c r="U314" s="863" t="s">
        <v>3343</v>
      </c>
    </row>
    <row r="315" ht="29.25" customHeight="1" spans="1:21">
      <c r="A315" s="101">
        <f t="shared" si="12"/>
        <v>38</v>
      </c>
      <c r="B315" s="104" t="s">
        <v>1186</v>
      </c>
      <c r="C315" s="104" t="str">
        <f>IFERROR(VLOOKUP(B315,'02. MM-KLH'!$B$6:$T$823,2,0),"")</f>
        <v>67112 (CHT-XTA-023)</v>
      </c>
      <c r="D315" s="103" t="str">
        <f>IFERROR(VLOOKUP(B315,'02. MM-KLH'!$B$6:$T$823,3,0),"")</f>
        <v>A23-XTA-006</v>
      </c>
      <c r="E315" s="102">
        <f>IFERROR(VLOOKUP(B315,'02. MM-KLH'!$B$6:$T$823,4,0),"")</f>
        <v>0</v>
      </c>
      <c r="F315" s="104" t="s">
        <v>3387</v>
      </c>
      <c r="G315" s="102" t="str">
        <f>IFERROR(VLOOKUP(B315,'02. MM-KLH'!$B$6:$T$823,6,0),"")</f>
        <v>Xe ben Forland FD990-4WDXTH4-5T</v>
      </c>
      <c r="H315" s="101" t="s">
        <v>3384</v>
      </c>
      <c r="I315" s="101" t="str">
        <f>IFERROR(VLOOKUP(B315,'02. MM-KLH'!$B$6:$T$823,8,0),"")</f>
        <v>XN Chuối DP1</v>
      </c>
      <c r="J315" s="105">
        <f>IFERROR(VLOOKUP(B315,'02. MM-KLH'!$B$6:$T$823,9,0),"")</f>
        <v>45632</v>
      </c>
      <c r="K315" s="101" t="str">
        <f>IFERROR(VLOOKUP(B315,'02. MM-KLH'!$B$6:$T$823,10,0),"")</f>
        <v>Bình thường</v>
      </c>
      <c r="L315" s="107">
        <f>IFERROR(VLOOKUP(B315,'02. MM-KLH'!$B$6:$T$823,11,0),"")</f>
        <v>1</v>
      </c>
      <c r="M315" s="864" t="str">
        <f>IFERROR(VLOOKUP(B315,'02. MM-KLH'!$B$6:$T$823,12,0),"")</f>
        <v>Đ.chuyển từ CGTC DP ngày 07/02/2025
Đ.chuyển từ XN DP1 ngày 25/06/2024</v>
      </c>
      <c r="N315" s="110" t="str">
        <f>IFERROR(VLOOKUP(B315,'02. MM-KLH'!$B$6:$T$823,13,0),"")</f>
        <v>THACO</v>
      </c>
      <c r="O315" s="110" t="str">
        <f>IFERROR(VLOOKUP(B315,'02. MM-KLH'!$B$6:$T$823,14,0),"")</f>
        <v>VIỆT NAM</v>
      </c>
      <c r="P315" s="101">
        <f>IFERROR(VLOOKUP(B315,'02. MM-KLH'!$B$6:$T$823,15,0),"")</f>
        <v>2024</v>
      </c>
      <c r="Q315" s="101" t="str">
        <f>IFERROR(VLOOKUP(B315,'02. MM-KLH'!$B$6:$T$823,16,0),"")</f>
        <v> FD990-4WD</v>
      </c>
      <c r="R315" s="101" t="str">
        <f>IFERROR(VLOOKUP(B315,'02. MM-KLH'!$B$6:$T$823,17,0),"")</f>
        <v>94HP</v>
      </c>
      <c r="S315" s="110" t="str">
        <f>IFERROR(VLOOKUP(B315,'02. MM-KLH'!$B$6:$T$823,18,0),"")</f>
        <v>RNHF99FACRT090610</v>
      </c>
      <c r="T315" s="111" t="str">
        <f>IFERROR(VLOOKUP(B315,'02. MM-KLH'!$B$6:$T$823,19,0),"")</f>
        <v>4DW93-95E4*B0576959*</v>
      </c>
      <c r="U315" s="863" t="s">
        <v>3343</v>
      </c>
    </row>
    <row r="316" ht="31.5" customHeight="1" spans="1:21">
      <c r="A316" s="101">
        <f t="shared" si="12"/>
        <v>39</v>
      </c>
      <c r="B316" s="124" t="s">
        <v>1286</v>
      </c>
      <c r="C316" s="104" t="str">
        <f>IFERROR(VLOOKUP(B316,'02. MM-KLH'!$B$6:$T$823,2,0),"")</f>
        <v>XL3-XTA-003</v>
      </c>
      <c r="D316" s="103" t="str">
        <f>IFERROR(VLOOKUP(B316,'02. MM-KLH'!$B$6:$T$823,3,0),"")</f>
        <v>A24-XTA-003</v>
      </c>
      <c r="E316" s="102">
        <f>IFERROR(VLOOKUP(B316,'02. MM-KLH'!$B$6:$T$823,4,0),"")</f>
        <v>0</v>
      </c>
      <c r="F316" s="104"/>
      <c r="G316" s="102" t="str">
        <f>IFERROR(VLOOKUP(B316,'02. MM-KLH'!$B$6:$T$823,6,0),"")</f>
        <v>Xe ben Forland FD990-4WDXTH4-5T</v>
      </c>
      <c r="H316" s="101" t="s">
        <v>3384</v>
      </c>
      <c r="I316" s="101" t="str">
        <f>IFERROR(VLOOKUP(B316,'02. MM-KLH'!$B$6:$T$823,8,0),"")</f>
        <v>XN Chuối DP2</v>
      </c>
      <c r="J316" s="105">
        <f>IFERROR(VLOOKUP(B316,'02. MM-KLH'!$B$6:$T$823,9,0),"")</f>
        <v>45569</v>
      </c>
      <c r="K316" s="101" t="str">
        <f>IFERROR(VLOOKUP(B316,'02. MM-KLH'!$B$6:$T$823,10,0),"")</f>
        <v>Bình thường</v>
      </c>
      <c r="L316" s="107">
        <f>IFERROR(VLOOKUP(B316,'02. MM-KLH'!$B$6:$T$823,11,0),"")</f>
        <v>0</v>
      </c>
      <c r="M316" s="864" t="str">
        <f>IFERROR(VLOOKUP(B316,'02. MM-KLH'!$B$6:$T$823,12,0),"")</f>
        <v>LP3 bàn giao DP2 ngày 07/02/2025 
-XN LP3 bàn giao ngày 10/10/2024</v>
      </c>
      <c r="N316" s="110" t="str">
        <f>IFERROR(VLOOKUP(B316,'02. MM-KLH'!$B$6:$T$823,13,0),"")</f>
        <v>THACO FORLAND</v>
      </c>
      <c r="O316" s="110" t="str">
        <f>IFERROR(VLOOKUP(B316,'02. MM-KLH'!$B$6:$T$823,14,0),"")</f>
        <v>VIỆT NAM</v>
      </c>
      <c r="P316" s="101">
        <f>IFERROR(VLOOKUP(B316,'02. MM-KLH'!$B$6:$T$823,15,0),"")</f>
        <v>2023</v>
      </c>
      <c r="Q316" s="101" t="str">
        <f>IFERROR(VLOOKUP(B316,'02. MM-KLH'!$B$6:$T$823,16,0),"")</f>
        <v> FD990-4WD</v>
      </c>
      <c r="R316" s="101" t="str">
        <f>IFERROR(VLOOKUP(B316,'02. MM-KLH'!$B$6:$T$823,17,0),"")</f>
        <v>100HP</v>
      </c>
      <c r="S316" s="110" t="str">
        <f>IFERROR(VLOOKUP(B316,'02. MM-KLH'!$B$6:$T$823,18,0),"")</f>
        <v>RNHF99FACPT075129</v>
      </c>
      <c r="T316" s="111" t="str">
        <f>IFERROR(VLOOKUP(B316,'02. MM-KLH'!$B$6:$T$823,19,0),"")</f>
        <v>4DW9395E4B0576690</v>
      </c>
      <c r="U316" s="863" t="s">
        <v>3343</v>
      </c>
    </row>
    <row r="317" ht="26.25" customHeight="1" spans="1:21">
      <c r="A317" s="101">
        <f t="shared" si="12"/>
        <v>40</v>
      </c>
      <c r="B317" s="124" t="s">
        <v>1278</v>
      </c>
      <c r="C317" s="104" t="str">
        <f>IFERROR(VLOOKUP(B317,'02. MM-KLH'!$B$6:$T$823,2,0),"")</f>
        <v>MỚI</v>
      </c>
      <c r="D317" s="103" t="str">
        <f>IFERROR(VLOOKUP(B317,'02. MM-KLH'!$B$6:$T$823,3,0),"")</f>
        <v>A23-XTA-019</v>
      </c>
      <c r="E317" s="102">
        <f>IFERROR(VLOOKUP(B317,'02. MM-KLH'!$B$6:$T$823,4,0),"")</f>
        <v>0</v>
      </c>
      <c r="F317" s="124"/>
      <c r="G317" s="102" t="str">
        <f>IFERROR(VLOOKUP(B317,'02. MM-KLH'!$B$6:$T$823,6,0),"")</f>
        <v>Xe ben Forland FD990-4WDXTH4-5T</v>
      </c>
      <c r="H317" s="101" t="s">
        <v>3384</v>
      </c>
      <c r="I317" s="101" t="str">
        <f>IFERROR(VLOOKUP(B317,'02. MM-KLH'!$B$6:$T$823,8,0),"")</f>
        <v>XN Chuối DP2</v>
      </c>
      <c r="J317" s="105" t="str">
        <f>IFERROR(VLOOKUP(B317,'02. MM-KLH'!$B$6:$T$823,9,0),"")</f>
        <v>30/07/2024</v>
      </c>
      <c r="K317" s="101" t="str">
        <f>IFERROR(VLOOKUP(B317,'02. MM-KLH'!$B$6:$T$823,10,0),"")</f>
        <v>Bình thường</v>
      </c>
      <c r="L317" s="107">
        <f>IFERROR(VLOOKUP(B317,'02. MM-KLH'!$B$6:$T$823,11,0),"")</f>
        <v>0</v>
      </c>
      <c r="M317" s="864" t="str">
        <f>IFERROR(VLOOKUP(B317,'02. MM-KLH'!$B$6:$T$823,12,0),"")</f>
        <v>Bàn giao về XDCB Ngày 30.07.2024</v>
      </c>
      <c r="N317" s="110" t="str">
        <f>IFERROR(VLOOKUP(B317,'02. MM-KLH'!$B$6:$T$823,13,0),"")</f>
        <v>FORLAND</v>
      </c>
      <c r="O317" s="110" t="str">
        <f>IFERROR(VLOOKUP(B317,'02. MM-KLH'!$B$6:$T$823,14,0),"")</f>
        <v>Việt Nam</v>
      </c>
      <c r="P317" s="101">
        <f>IFERROR(VLOOKUP(B317,'02. MM-KLH'!$B$6:$T$823,15,0),"")</f>
        <v>2024</v>
      </c>
      <c r="Q317" s="101" t="str">
        <f>IFERROR(VLOOKUP(B317,'02. MM-KLH'!$B$6:$T$823,16,0),"")</f>
        <v> FD990-4WD</v>
      </c>
      <c r="R317" s="101" t="str">
        <f>IFERROR(VLOOKUP(B317,'02. MM-KLH'!$B$6:$T$823,17,0),"")</f>
        <v>94HP</v>
      </c>
      <c r="S317" s="110" t="str">
        <f>IFERROR(VLOOKUP(B317,'02. MM-KLH'!$B$6:$T$823,18,0),"")</f>
        <v>RNHF99FACRT092728</v>
      </c>
      <c r="T317" s="111" t="str">
        <f>IFERROR(VLOOKUP(B317,'02. MM-KLH'!$B$6:$T$823,19,0),"")</f>
        <v>B0576976</v>
      </c>
      <c r="U317" s="863" t="s">
        <v>3343</v>
      </c>
    </row>
    <row r="318" ht="39.75" customHeight="1" spans="1:21">
      <c r="A318" s="101">
        <f t="shared" si="12"/>
        <v>41</v>
      </c>
      <c r="B318" s="124" t="s">
        <v>1282</v>
      </c>
      <c r="C318" s="104" t="str">
        <f>IFERROR(VLOOKUP(B318,'02. MM-KLH'!$B$6:$T$823,2,0),"")</f>
        <v>MỚI</v>
      </c>
      <c r="D318" s="103" t="str">
        <f>IFERROR(VLOOKUP(B318,'02. MM-KLH'!$B$6:$T$823,3,0),"")</f>
        <v>A23-XTA-020</v>
      </c>
      <c r="E318" s="102">
        <f>IFERROR(VLOOKUP(B318,'02. MM-KLH'!$B$6:$T$823,4,0),"")</f>
        <v>0</v>
      </c>
      <c r="F318" s="124"/>
      <c r="G318" s="102" t="str">
        <f>IFERROR(VLOOKUP(B318,'02. MM-KLH'!$B$6:$T$823,6,0),"")</f>
        <v>Xe ben Forland FD990-4WDXTH4-5T</v>
      </c>
      <c r="H318" s="101" t="s">
        <v>3384</v>
      </c>
      <c r="I318" s="101" t="str">
        <f>IFERROR(VLOOKUP(B318,'02. MM-KLH'!$B$6:$T$823,8,0),"")</f>
        <v>XN Chuối DP2</v>
      </c>
      <c r="J318" s="105" t="str">
        <f>IFERROR(VLOOKUP(B318,'02. MM-KLH'!$B$6:$T$823,9,0),"")</f>
        <v>30/07/2024</v>
      </c>
      <c r="K318" s="101" t="str">
        <f>IFERROR(VLOOKUP(B318,'02. MM-KLH'!$B$6:$T$823,10,0),"")</f>
        <v>Bình thường</v>
      </c>
      <c r="L318" s="107">
        <f>IFERROR(VLOOKUP(B318,'02. MM-KLH'!$B$6:$T$823,11,0),"")</f>
        <v>0</v>
      </c>
      <c r="M318" s="864" t="str">
        <f>IFERROR(VLOOKUP(B318,'02. MM-KLH'!$B$6:$T$823,12,0),"")</f>
        <v>Bàn giao về XDCB Ngày 30.07.2024
- xe bị TN ngày 09/04/2025
- xe TN đã lấy về ngày 25/07/2025</v>
      </c>
      <c r="N318" s="110" t="str">
        <f>IFERROR(VLOOKUP(B318,'02. MM-KLH'!$B$6:$T$823,13,0),"")</f>
        <v>FORLAND</v>
      </c>
      <c r="O318" s="110" t="str">
        <f>IFERROR(VLOOKUP(B318,'02. MM-KLH'!$B$6:$T$823,14,0),"")</f>
        <v>Việt Nam</v>
      </c>
      <c r="P318" s="101">
        <f>IFERROR(VLOOKUP(B318,'02. MM-KLH'!$B$6:$T$823,15,0),"")</f>
        <v>2024</v>
      </c>
      <c r="Q318" s="101" t="str">
        <f>IFERROR(VLOOKUP(B318,'02. MM-KLH'!$B$6:$T$823,16,0),"")</f>
        <v> FD990-4WD</v>
      </c>
      <c r="R318" s="101" t="str">
        <f>IFERROR(VLOOKUP(B318,'02. MM-KLH'!$B$6:$T$823,17,0),"")</f>
        <v>94HP</v>
      </c>
      <c r="S318" s="110" t="str">
        <f>IFERROR(VLOOKUP(B318,'02. MM-KLH'!$B$6:$T$823,18,0),"")</f>
        <v>RNHF99FACRT092729</v>
      </c>
      <c r="T318" s="111" t="str">
        <f>IFERROR(VLOOKUP(B318,'02. MM-KLH'!$B$6:$T$823,19,0),"")</f>
        <v>B0577298</v>
      </c>
      <c r="U318" s="863" t="s">
        <v>3343</v>
      </c>
    </row>
    <row r="319" ht="24" customHeight="1" spans="1:21">
      <c r="A319" s="101">
        <f t="shared" si="12"/>
        <v>42</v>
      </c>
      <c r="B319" s="104" t="s">
        <v>1394</v>
      </c>
      <c r="C319" s="104">
        <f>IFERROR(VLOOKUP(B319,'02. MM-KLH'!$B$6:$T$823,2,0),"")</f>
        <v>0</v>
      </c>
      <c r="D319" s="103" t="str">
        <f>IFERROR(VLOOKUP(B319,'02. MM-KLH'!$B$6:$T$823,3,0),"")</f>
        <v>A23-XTA-021</v>
      </c>
      <c r="E319" s="102" t="str">
        <f>IFERROR(VLOOKUP(B319,'02. MM-KLH'!$B$6:$T$823,4,0),"")</f>
        <v>3A-6810</v>
      </c>
      <c r="F319" s="104"/>
      <c r="G319" s="102" t="str">
        <f>IFERROR(VLOOKUP(B319,'02. MM-KLH'!$B$6:$T$823,6,0),"")</f>
        <v>Xe ben Forland FD990-4WDXTH4-5T</v>
      </c>
      <c r="H319" s="101" t="s">
        <v>3384</v>
      </c>
      <c r="I319" s="101" t="str">
        <f>IFERROR(VLOOKUP(B319,'02. MM-KLH'!$B$6:$T$823,8,0),"")</f>
        <v>XN Chuối DP3</v>
      </c>
      <c r="J319" s="105" t="str">
        <f>IFERROR(VLOOKUP(B319,'02. MM-KLH'!$B$6:$T$823,9,0),"")</f>
        <v>30/07/2024</v>
      </c>
      <c r="K319" s="101" t="str">
        <f>IFERROR(VLOOKUP(B319,'02. MM-KLH'!$B$6:$T$823,10,0),"")</f>
        <v>Bình thường</v>
      </c>
      <c r="L319" s="107">
        <f>IFERROR(VLOOKUP(B319,'02. MM-KLH'!$B$6:$T$823,11,0),"")</f>
        <v>0</v>
      </c>
      <c r="M319" s="864" t="str">
        <f>IFERROR(VLOOKUP(B319,'02. MM-KLH'!$B$6:$T$823,12,0),"")</f>
        <v>Bàn giao về XDCB ngày 30.07.2024</v>
      </c>
      <c r="N319" s="110" t="str">
        <f>IFERROR(VLOOKUP(B319,'02. MM-KLH'!$B$6:$T$823,13,0),"")</f>
        <v>FORLAND</v>
      </c>
      <c r="O319" s="110" t="str">
        <f>IFERROR(VLOOKUP(B319,'02. MM-KLH'!$B$6:$T$823,14,0),"")</f>
        <v>Việt Nam</v>
      </c>
      <c r="P319" s="101">
        <f>IFERROR(VLOOKUP(B319,'02. MM-KLH'!$B$6:$T$823,15,0),"")</f>
        <v>2024</v>
      </c>
      <c r="Q319" s="101" t="str">
        <f>IFERROR(VLOOKUP(B319,'02. MM-KLH'!$B$6:$T$823,16,0),"")</f>
        <v> FD990-4WD</v>
      </c>
      <c r="R319" s="101" t="str">
        <f>IFERROR(VLOOKUP(B319,'02. MM-KLH'!$B$6:$T$823,17,0),"")</f>
        <v>94HP</v>
      </c>
      <c r="S319" s="110" t="str">
        <f>IFERROR(VLOOKUP(B319,'02. MM-KLH'!$B$6:$T$823,18,0),"")</f>
        <v>RNHF99FACRT092725</v>
      </c>
      <c r="T319" s="111" t="str">
        <f>IFERROR(VLOOKUP(B319,'02. MM-KLH'!$B$6:$T$823,19,0),"")</f>
        <v>B0576973</v>
      </c>
      <c r="U319" s="863" t="s">
        <v>3343</v>
      </c>
    </row>
    <row r="320" ht="24" customHeight="1" spans="1:21">
      <c r="A320" s="101">
        <f t="shared" si="12"/>
        <v>43</v>
      </c>
      <c r="B320" s="104" t="s">
        <v>1399</v>
      </c>
      <c r="C320" s="104">
        <f>IFERROR(VLOOKUP(B320,'02. MM-KLH'!$B$6:$T$823,2,0),"")</f>
        <v>0</v>
      </c>
      <c r="D320" s="103" t="str">
        <f>IFERROR(VLOOKUP(B320,'02. MM-KLH'!$B$6:$T$823,3,0),"")</f>
        <v>A23-XTA-022</v>
      </c>
      <c r="E320" s="102" t="str">
        <f>IFERROR(VLOOKUP(B320,'02. MM-KLH'!$B$6:$T$823,4,0),"")</f>
        <v>3A-6811</v>
      </c>
      <c r="F320" s="104"/>
      <c r="G320" s="102" t="str">
        <f>IFERROR(VLOOKUP(B320,'02. MM-KLH'!$B$6:$T$823,6,0),"")</f>
        <v>Xe ben Forland FD990-4WDXTH4-5T</v>
      </c>
      <c r="H320" s="101" t="s">
        <v>3384</v>
      </c>
      <c r="I320" s="101" t="str">
        <f>IFERROR(VLOOKUP(B320,'02. MM-KLH'!$B$6:$T$823,8,0),"")</f>
        <v>XN Chuối DP3</v>
      </c>
      <c r="J320" s="105" t="str">
        <f>IFERROR(VLOOKUP(B320,'02. MM-KLH'!$B$6:$T$823,9,0),"")</f>
        <v>30/07/2024</v>
      </c>
      <c r="K320" s="101" t="str">
        <f>IFERROR(VLOOKUP(B320,'02. MM-KLH'!$B$6:$T$823,10,0),"")</f>
        <v>Bình thường</v>
      </c>
      <c r="L320" s="107">
        <f>IFERROR(VLOOKUP(B320,'02. MM-KLH'!$B$6:$T$823,11,0),"")</f>
        <v>0</v>
      </c>
      <c r="M320" s="864" t="str">
        <f>IFERROR(VLOOKUP(B320,'02. MM-KLH'!$B$6:$T$823,12,0),"")</f>
        <v>Bàn giao về XDCB ngày 30.07.2024</v>
      </c>
      <c r="N320" s="110" t="str">
        <f>IFERROR(VLOOKUP(B320,'02. MM-KLH'!$B$6:$T$823,13,0),"")</f>
        <v>FORLAND</v>
      </c>
      <c r="O320" s="110" t="str">
        <f>IFERROR(VLOOKUP(B320,'02. MM-KLH'!$B$6:$T$823,14,0),"")</f>
        <v>Việt Nam</v>
      </c>
      <c r="P320" s="101">
        <f>IFERROR(VLOOKUP(B320,'02. MM-KLH'!$B$6:$T$823,15,0),"")</f>
        <v>2024</v>
      </c>
      <c r="Q320" s="101" t="str">
        <f>IFERROR(VLOOKUP(B320,'02. MM-KLH'!$B$6:$T$823,16,0),"")</f>
        <v> FD990-4WD</v>
      </c>
      <c r="R320" s="101" t="str">
        <f>IFERROR(VLOOKUP(B320,'02. MM-KLH'!$B$6:$T$823,17,0),"")</f>
        <v>94HP</v>
      </c>
      <c r="S320" s="110" t="str">
        <f>IFERROR(VLOOKUP(B320,'02. MM-KLH'!$B$6:$T$823,18,0),"")</f>
        <v>RNHF99FACRT090615</v>
      </c>
      <c r="T320" s="111" t="str">
        <f>IFERROR(VLOOKUP(B320,'02. MM-KLH'!$B$6:$T$823,19,0),"")</f>
        <v>B0576944</v>
      </c>
      <c r="U320" s="863" t="s">
        <v>3343</v>
      </c>
    </row>
    <row r="321" ht="33" customHeight="1" spans="1:21">
      <c r="A321" s="101">
        <f t="shared" si="12"/>
        <v>44</v>
      </c>
      <c r="B321" s="104" t="s">
        <v>1403</v>
      </c>
      <c r="C321" s="104" t="str">
        <f>IFERROR(VLOOKUP(B321,'02. MM-KLH'!$B$6:$T$823,2,0),"")</f>
        <v>XL3-XTA-006</v>
      </c>
      <c r="D321" s="103" t="str">
        <f>IFERROR(VLOOKUP(B321,'02. MM-KLH'!$B$6:$T$823,3,0),"")</f>
        <v>A24-XTA-006</v>
      </c>
      <c r="E321" s="102">
        <f>IFERROR(VLOOKUP(B321,'02. MM-KLH'!$B$6:$T$823,4,0),"")</f>
        <v>0</v>
      </c>
      <c r="F321" s="104"/>
      <c r="G321" s="102" t="str">
        <f>IFERROR(VLOOKUP(B321,'02. MM-KLH'!$B$6:$T$823,6,0),"")</f>
        <v>Xe ben Forland FD990-4WDXTH4-5T</v>
      </c>
      <c r="H321" s="101" t="s">
        <v>3384</v>
      </c>
      <c r="I321" s="101" t="str">
        <f>IFERROR(VLOOKUP(B321,'02. MM-KLH'!$B$6:$T$823,8,0),"")</f>
        <v>XN Chuối DP3</v>
      </c>
      <c r="J321" s="105">
        <f>IFERROR(VLOOKUP(B321,'02. MM-KLH'!$B$6:$T$823,9,0),"")</f>
        <v>45569</v>
      </c>
      <c r="K321" s="101" t="str">
        <f>IFERROR(VLOOKUP(B321,'02. MM-KLH'!$B$6:$T$823,10,0),"")</f>
        <v>Bình thường</v>
      </c>
      <c r="L321" s="107">
        <f>IFERROR(VLOOKUP(B321,'02. MM-KLH'!$B$6:$T$823,11,0),"")</f>
        <v>0</v>
      </c>
      <c r="M321" s="864" t="str">
        <f>IFERROR(VLOOKUP(B321,'02. MM-KLH'!$B$6:$T$823,12,0),"")</f>
        <v>- LP3 bàn giao DP3 ngày 07/02/2025
-XN LP3 bàn giao ngày 10/10/2024</v>
      </c>
      <c r="N321" s="110" t="str">
        <f>IFERROR(VLOOKUP(B321,'02. MM-KLH'!$B$6:$T$823,13,0),"")</f>
        <v>THACO FORLAND</v>
      </c>
      <c r="O321" s="110" t="str">
        <f>IFERROR(VLOOKUP(B321,'02. MM-KLH'!$B$6:$T$823,14,0),"")</f>
        <v>VIỆT NAM</v>
      </c>
      <c r="P321" s="101">
        <f>IFERROR(VLOOKUP(B321,'02. MM-KLH'!$B$6:$T$823,15,0),"")</f>
        <v>2023</v>
      </c>
      <c r="Q321" s="101" t="str">
        <f>IFERROR(VLOOKUP(B321,'02. MM-KLH'!$B$6:$T$823,16,0),"")</f>
        <v> FD990-4WD</v>
      </c>
      <c r="R321" s="101" t="str">
        <f>IFERROR(VLOOKUP(B321,'02. MM-KLH'!$B$6:$T$823,17,0),"")</f>
        <v>100HP</v>
      </c>
      <c r="S321" s="110" t="str">
        <f>IFERROR(VLOOKUP(B321,'02. MM-KLH'!$B$6:$T$823,18,0),"")</f>
        <v>RNHF99FACRT087863</v>
      </c>
      <c r="T321" s="111" t="str">
        <f>IFERROR(VLOOKUP(B321,'02. MM-KLH'!$B$6:$T$823,19,0),"")</f>
        <v>4DW9395E4B0577289</v>
      </c>
      <c r="U321" s="863" t="s">
        <v>3343</v>
      </c>
    </row>
    <row r="322" ht="33" customHeight="1" spans="1:21">
      <c r="A322" s="101">
        <f t="shared" si="12"/>
        <v>45</v>
      </c>
      <c r="B322" s="104" t="s">
        <v>1408</v>
      </c>
      <c r="C322" s="104" t="str">
        <f>IFERROR(VLOOKUP(B322,'02. MM-KLH'!$B$6:$T$823,2,0),"")</f>
        <v>XL3-XTA-007</v>
      </c>
      <c r="D322" s="103" t="str">
        <f>IFERROR(VLOOKUP(B322,'02. MM-KLH'!$B$6:$T$823,3,0),"")</f>
        <v>A24-XTA-007</v>
      </c>
      <c r="E322" s="102">
        <f>IFERROR(VLOOKUP(B322,'02. MM-KLH'!$B$6:$T$823,4,0),"")</f>
        <v>0</v>
      </c>
      <c r="F322" s="104"/>
      <c r="G322" s="102" t="str">
        <f>IFERROR(VLOOKUP(B322,'02. MM-KLH'!$B$6:$T$823,6,0),"")</f>
        <v>Xe ben Forland FD990-4WDXTH4-5T</v>
      </c>
      <c r="H322" s="101" t="s">
        <v>3384</v>
      </c>
      <c r="I322" s="101" t="str">
        <f>IFERROR(VLOOKUP(B322,'02. MM-KLH'!$B$6:$T$823,8,0),"")</f>
        <v>XN Chuối DP3</v>
      </c>
      <c r="J322" s="105">
        <f>IFERROR(VLOOKUP(B322,'02. MM-KLH'!$B$6:$T$823,9,0),"")</f>
        <v>45569</v>
      </c>
      <c r="K322" s="101" t="str">
        <f>IFERROR(VLOOKUP(B322,'02. MM-KLH'!$B$6:$T$823,10,0),"")</f>
        <v>Bình thường</v>
      </c>
      <c r="L322" s="107">
        <f>IFERROR(VLOOKUP(B322,'02. MM-KLH'!$B$6:$T$823,11,0),"")</f>
        <v>0</v>
      </c>
      <c r="M322" s="864" t="str">
        <f>IFERROR(VLOOKUP(B322,'02. MM-KLH'!$B$6:$T$823,12,0),"")</f>
        <v>XN LP3 bàn giao DP3 ngày 07/02/2025</v>
      </c>
      <c r="N322" s="110" t="str">
        <f>IFERROR(VLOOKUP(B322,'02. MM-KLH'!$B$6:$T$823,13,0),"")</f>
        <v>THACO FORLAND</v>
      </c>
      <c r="O322" s="110" t="str">
        <f>IFERROR(VLOOKUP(B322,'02. MM-KLH'!$B$6:$T$823,14,0),"")</f>
        <v>VIỆT NAM</v>
      </c>
      <c r="P322" s="101">
        <f>IFERROR(VLOOKUP(B322,'02. MM-KLH'!$B$6:$T$823,15,0),"")</f>
        <v>2023</v>
      </c>
      <c r="Q322" s="101" t="str">
        <f>IFERROR(VLOOKUP(B322,'02. MM-KLH'!$B$6:$T$823,16,0),"")</f>
        <v> FD990-4WD</v>
      </c>
      <c r="R322" s="101" t="str">
        <f>IFERROR(VLOOKUP(B322,'02. MM-KLH'!$B$6:$T$823,17,0),"")</f>
        <v>100HP</v>
      </c>
      <c r="S322" s="110" t="str">
        <f>IFERROR(VLOOKUP(B322,'02. MM-KLH'!$B$6:$T$823,18,0),"")</f>
        <v>RNHF99FACRT087864</v>
      </c>
      <c r="T322" s="111" t="str">
        <f>IFERROR(VLOOKUP(B322,'02. MM-KLH'!$B$6:$T$823,19,0),"")</f>
        <v>4DW9395E4B0577291</v>
      </c>
      <c r="U322" s="863" t="s">
        <v>3343</v>
      </c>
    </row>
    <row r="323" ht="24.75" customHeight="1" spans="1:21">
      <c r="A323" s="101">
        <f t="shared" si="12"/>
        <v>46</v>
      </c>
      <c r="B323" s="104" t="s">
        <v>1413</v>
      </c>
      <c r="C323" s="104" t="str">
        <f>IFERROR(VLOOKUP(B323,'02. MM-KLH'!$B$6:$T$823,2,0),"")</f>
        <v>CHT-XTA-002</v>
      </c>
      <c r="D323" s="103" t="str">
        <f>IFERROR(VLOOKUP(B323,'02. MM-KLH'!$B$6:$T$823,3,0),"")</f>
        <v>A23-XTA-007</v>
      </c>
      <c r="E323" s="102">
        <f>IFERROR(VLOOKUP(B323,'02. MM-KLH'!$B$6:$T$823,4,0),"")</f>
        <v>0</v>
      </c>
      <c r="F323" s="104"/>
      <c r="G323" s="102" t="str">
        <f>IFERROR(VLOOKUP(B323,'02. MM-KLH'!$B$6:$T$823,6,0),"")</f>
        <v>Xe ben FD850</v>
      </c>
      <c r="H323" s="101" t="s">
        <v>3384</v>
      </c>
      <c r="I323" s="101" t="str">
        <f>IFERROR(VLOOKUP(B323,'02. MM-KLH'!$B$6:$T$823,8,0),"")</f>
        <v>XN Chuối DP3</v>
      </c>
      <c r="J323" s="105" t="str">
        <f>IFERROR(VLOOKUP(B323,'02. MM-KLH'!$B$6:$T$823,9,0),"")</f>
        <v>31/01/2024</v>
      </c>
      <c r="K323" s="101" t="str">
        <f>IFERROR(VLOOKUP(B323,'02. MM-KLH'!$B$6:$T$823,10,0),"")</f>
        <v>Bình thường</v>
      </c>
      <c r="L323" s="107">
        <f>IFERROR(VLOOKUP(B323,'02. MM-KLH'!$B$6:$T$823,11,0),"")</f>
        <v>0</v>
      </c>
      <c r="M323" s="864" t="str">
        <f>IFERROR(VLOOKUP(B323,'02. MM-KLH'!$B$6:$T$823,12,0),"")</f>
        <v>Từ CGTC DP qua HC KLH 28/01/2024
- P.QLVH bàn giao DP3 10/04/2026</v>
      </c>
      <c r="N323" s="110" t="str">
        <f>IFERROR(VLOOKUP(B323,'02. MM-KLH'!$B$6:$T$823,13,0),"")</f>
        <v>THACO FORLAND</v>
      </c>
      <c r="O323" s="110" t="str">
        <f>IFERROR(VLOOKUP(B323,'02. MM-KLH'!$B$6:$T$823,14,0),"")</f>
        <v>VIỆT NAM</v>
      </c>
      <c r="P323" s="101">
        <f>IFERROR(VLOOKUP(B323,'02. MM-KLH'!$B$6:$T$823,15,0),"")</f>
        <v>2010</v>
      </c>
      <c r="Q323" s="101" t="str">
        <f>IFERROR(VLOOKUP(B323,'02. MM-KLH'!$B$6:$T$823,16,0),"")</f>
        <v>FD850-8T</v>
      </c>
      <c r="R323" s="101" t="str">
        <f>IFERROR(VLOOKUP(B323,'02. MM-KLH'!$B$6:$T$823,17,0),"")</f>
        <v>140HP</v>
      </c>
      <c r="S323" s="110" t="str">
        <f>IFERROR(VLOOKUP(B323,'02. MM-KLH'!$B$6:$T$823,18,0),"")</f>
        <v>RNHF14FYAL0008847</v>
      </c>
      <c r="T323" s="111" t="str">
        <f>IFERROR(VLOOKUP(B323,'02. MM-KLH'!$B$6:$T$823,19,0),"")</f>
        <v>CCN</v>
      </c>
      <c r="U323" s="863" t="s">
        <v>451</v>
      </c>
    </row>
    <row r="324" ht="24.75" customHeight="1" spans="1:21">
      <c r="A324" s="101">
        <f t="shared" si="12"/>
        <v>47</v>
      </c>
      <c r="B324" s="104" t="s">
        <v>1520</v>
      </c>
      <c r="C324" s="104" t="str">
        <f>IFERROR(VLOOKUP(B324,'02. MM-KLH'!$B$6:$T$823,2,0),"")</f>
        <v>65789 (CHT-XTA-018)</v>
      </c>
      <c r="D324" s="103" t="str">
        <f>IFERROR(VLOOKUP(B324,'02. MM-KLH'!$B$6:$T$823,3,0),"")</f>
        <v>A24-XTA-001</v>
      </c>
      <c r="E324" s="102">
        <f>IFERROR(VLOOKUP(B324,'02. MM-KLH'!$B$6:$T$823,4,0),"")</f>
        <v>0</v>
      </c>
      <c r="F324" s="104" t="s">
        <v>3388</v>
      </c>
      <c r="G324" s="102" t="str">
        <f>IFERROR(VLOOKUP(B324,'02. MM-KLH'!$B$6:$T$823,6,0),"")</f>
        <v>Xe ben Forland FD990-4WDXTH4-5T</v>
      </c>
      <c r="H324" s="101" t="s">
        <v>3384</v>
      </c>
      <c r="I324" s="101" t="str">
        <f>IFERROR(VLOOKUP(B324,'02. MM-KLH'!$B$6:$T$823,8,0),"")</f>
        <v>XN Chuối LP1</v>
      </c>
      <c r="J324" s="105">
        <f>IFERROR(VLOOKUP(B324,'02. MM-KLH'!$B$6:$T$823,9,0),"")</f>
        <v>45632</v>
      </c>
      <c r="K324" s="101" t="str">
        <f>IFERROR(VLOOKUP(B324,'02. MM-KLH'!$B$6:$T$823,10,0),"")</f>
        <v>Bình thường</v>
      </c>
      <c r="L324" s="107">
        <f>IFERROR(VLOOKUP(B324,'02. MM-KLH'!$B$6:$T$823,11,0),"")</f>
        <v>1</v>
      </c>
      <c r="M324" s="864" t="str">
        <f>IFERROR(VLOOKUP(B324,'02. MM-KLH'!$B$6:$T$823,12,0),"")</f>
        <v>Đ.chuyển từ XN LP1 ngày 25/06/2024</v>
      </c>
      <c r="N324" s="110" t="str">
        <f>IFERROR(VLOOKUP(B324,'02. MM-KLH'!$B$6:$T$823,13,0),"")</f>
        <v>THACO FORLAND</v>
      </c>
      <c r="O324" s="110" t="str">
        <f>IFERROR(VLOOKUP(B324,'02. MM-KLH'!$B$6:$T$823,14,0),"")</f>
        <v>VIỆT NAM</v>
      </c>
      <c r="P324" s="101">
        <f>IFERROR(VLOOKUP(B324,'02. MM-KLH'!$B$6:$T$823,15,0),"")</f>
        <v>2024</v>
      </c>
      <c r="Q324" s="101" t="str">
        <f>IFERROR(VLOOKUP(B324,'02. MM-KLH'!$B$6:$T$823,16,0),"")</f>
        <v> FD990-4WD</v>
      </c>
      <c r="R324" s="101" t="str">
        <f>IFERROR(VLOOKUP(B324,'02. MM-KLH'!$B$6:$T$823,17,0),"")</f>
        <v>94HP</v>
      </c>
      <c r="S324" s="110" t="str">
        <f>IFERROR(VLOOKUP(B324,'02. MM-KLH'!$B$6:$T$823,18,0),"")</f>
        <v>RNHF99FACRT087866</v>
      </c>
      <c r="T324" s="111" t="str">
        <f>IFERROR(VLOOKUP(B324,'02. MM-KLH'!$B$6:$T$823,19,0),"")</f>
        <v>4DW93-95E4*B0577301*</v>
      </c>
      <c r="U324" s="863" t="s">
        <v>3343</v>
      </c>
    </row>
    <row r="325" ht="24.75" customHeight="1" spans="1:21">
      <c r="A325" s="101">
        <f t="shared" si="12"/>
        <v>48</v>
      </c>
      <c r="B325" s="104" t="s">
        <v>1526</v>
      </c>
      <c r="C325" s="104" t="str">
        <f>IFERROR(VLOOKUP(B325,'02. MM-KLH'!$B$6:$T$823,2,0),"")</f>
        <v>68890 (CHT-XTA-019)</v>
      </c>
      <c r="D325" s="103" t="str">
        <f>IFERROR(VLOOKUP(B325,'02. MM-KLH'!$B$6:$T$823,3,0),"")</f>
        <v>A24-XTA-002</v>
      </c>
      <c r="E325" s="102">
        <f>IFERROR(VLOOKUP(B325,'02. MM-KLH'!$B$6:$T$823,4,0),"")</f>
        <v>0</v>
      </c>
      <c r="F325" s="104" t="s">
        <v>3389</v>
      </c>
      <c r="G325" s="102" t="str">
        <f>IFERROR(VLOOKUP(B325,'02. MM-KLH'!$B$6:$T$823,6,0),"")</f>
        <v>Xe ben Forland FD990-4WDXTH4-5T</v>
      </c>
      <c r="H325" s="101" t="s">
        <v>3384</v>
      </c>
      <c r="I325" s="101" t="str">
        <f>IFERROR(VLOOKUP(B325,'02. MM-KLH'!$B$6:$T$823,8,0),"")</f>
        <v>XN Chuối LP1</v>
      </c>
      <c r="J325" s="105">
        <f>IFERROR(VLOOKUP(B325,'02. MM-KLH'!$B$6:$T$823,9,0),"")</f>
        <v>45632</v>
      </c>
      <c r="K325" s="101" t="str">
        <f>IFERROR(VLOOKUP(B325,'02. MM-KLH'!$B$6:$T$823,10,0),"")</f>
        <v>Bình thường</v>
      </c>
      <c r="L325" s="107">
        <f>IFERROR(VLOOKUP(B325,'02. MM-KLH'!$B$6:$T$823,11,0),"")</f>
        <v>0.99</v>
      </c>
      <c r="M325" s="864" t="str">
        <f>IFERROR(VLOOKUP(B325,'02. MM-KLH'!$B$6:$T$823,12,0),"")</f>
        <v>Đ.chuyển từ XN LP1 ngày 25/06/2024</v>
      </c>
      <c r="N325" s="110" t="str">
        <f>IFERROR(VLOOKUP(B325,'02. MM-KLH'!$B$6:$T$823,13,0),"")</f>
        <v>THACO FORLAND</v>
      </c>
      <c r="O325" s="110" t="str">
        <f>IFERROR(VLOOKUP(B325,'02. MM-KLH'!$B$6:$T$823,14,0),"")</f>
        <v>VIỆT NAM</v>
      </c>
      <c r="P325" s="101">
        <f>IFERROR(VLOOKUP(B325,'02. MM-KLH'!$B$6:$T$823,15,0),"")</f>
        <v>2024</v>
      </c>
      <c r="Q325" s="101" t="str">
        <f>IFERROR(VLOOKUP(B325,'02. MM-KLH'!$B$6:$T$823,16,0),"")</f>
        <v> FD990-4WD</v>
      </c>
      <c r="R325" s="101" t="str">
        <f>IFERROR(VLOOKUP(B325,'02. MM-KLH'!$B$6:$T$823,17,0),"")</f>
        <v>94HP</v>
      </c>
      <c r="S325" s="110" t="str">
        <f>IFERROR(VLOOKUP(B325,'02. MM-KLH'!$B$6:$T$823,18,0),"")</f>
        <v>RNHF99FACRT090611</v>
      </c>
      <c r="T325" s="111" t="str">
        <f>IFERROR(VLOOKUP(B325,'02. MM-KLH'!$B$6:$T$823,19,0),"")</f>
        <v>4DW93-95E4*B0576952*</v>
      </c>
      <c r="U325" s="863" t="s">
        <v>3343</v>
      </c>
    </row>
    <row r="326" ht="27" customHeight="1" spans="1:21">
      <c r="A326" s="101">
        <f t="shared" si="12"/>
        <v>49</v>
      </c>
      <c r="B326" s="104" t="s">
        <v>1531</v>
      </c>
      <c r="C326" s="104">
        <f>IFERROR(VLOOKUP(B326,'02. MM-KLH'!$B$6:$T$823,2,0),"")</f>
        <v>0</v>
      </c>
      <c r="D326" s="103" t="str">
        <f>IFERROR(VLOOKUP(B326,'02. MM-KLH'!$B$6:$T$823,3,0),"")</f>
        <v>A24-XTA-019</v>
      </c>
      <c r="E326" s="102" t="str">
        <f>IFERROR(VLOOKUP(B326,'02. MM-KLH'!$B$6:$T$823,4,0),"")</f>
        <v>3A-6812</v>
      </c>
      <c r="F326" s="104"/>
      <c r="G326" s="102" t="str">
        <f>IFERROR(VLOOKUP(B326,'02. MM-KLH'!$B$6:$T$823,6,0),"")</f>
        <v>Xe ben Forland FD990-4WDXTH4-5T</v>
      </c>
      <c r="H326" s="101" t="s">
        <v>3384</v>
      </c>
      <c r="I326" s="101" t="str">
        <f>IFERROR(VLOOKUP(B326,'02. MM-KLH'!$B$6:$T$823,8,0),"")</f>
        <v>XN Chuối LP1</v>
      </c>
      <c r="J326" s="105" t="str">
        <f>IFERROR(VLOOKUP(B326,'02. MM-KLH'!$B$6:$T$823,9,0),"")</f>
        <v>30/07/2024</v>
      </c>
      <c r="K326" s="101" t="str">
        <f>IFERROR(VLOOKUP(B326,'02. MM-KLH'!$B$6:$T$823,10,0),"")</f>
        <v>Bình thường</v>
      </c>
      <c r="L326" s="107">
        <f>IFERROR(VLOOKUP(B326,'02. MM-KLH'!$B$6:$T$823,11,0),"")</f>
        <v>0</v>
      </c>
      <c r="M326" s="864" t="str">
        <f>IFERROR(VLOOKUP(B326,'02. MM-KLH'!$B$6:$T$823,12,0),"")</f>
        <v>Bàn giao về XDCB (LP1) ngày 30.07.2024</v>
      </c>
      <c r="N326" s="110" t="str">
        <f>IFERROR(VLOOKUP(B326,'02. MM-KLH'!$B$6:$T$823,13,0),"")</f>
        <v>THACO FORLAND</v>
      </c>
      <c r="O326" s="110" t="str">
        <f>IFERROR(VLOOKUP(B326,'02. MM-KLH'!$B$6:$T$823,14,0),"")</f>
        <v>VIỆT NAM</v>
      </c>
      <c r="P326" s="101">
        <f>IFERROR(VLOOKUP(B326,'02. MM-KLH'!$B$6:$T$823,15,0),"")</f>
        <v>2024</v>
      </c>
      <c r="Q326" s="101" t="str">
        <f>IFERROR(VLOOKUP(B326,'02. MM-KLH'!$B$6:$T$823,16,0),"")</f>
        <v> FD990-4WD</v>
      </c>
      <c r="R326" s="101" t="str">
        <f>IFERROR(VLOOKUP(B326,'02. MM-KLH'!$B$6:$T$823,17,0),"")</f>
        <v>94HP</v>
      </c>
      <c r="S326" s="110" t="str">
        <f>IFERROR(VLOOKUP(B326,'02. MM-KLH'!$B$6:$T$823,18,0),"")</f>
        <v>RNHF99FACRT090616</v>
      </c>
      <c r="T326" s="111" t="str">
        <f>IFERROR(VLOOKUP(B326,'02. MM-KLH'!$B$6:$T$823,19,0),"")</f>
        <v>B0577292</v>
      </c>
      <c r="U326" s="863" t="s">
        <v>3343</v>
      </c>
    </row>
    <row r="327" ht="29.25" customHeight="1" spans="1:21">
      <c r="A327" s="101">
        <f t="shared" si="12"/>
        <v>50</v>
      </c>
      <c r="B327" s="104" t="s">
        <v>1665</v>
      </c>
      <c r="C327" s="104" t="str">
        <f>IFERROR(VLOOKUP(B327,'02. MM-KLH'!$B$6:$T$823,2,0),"")</f>
        <v>MỚI</v>
      </c>
      <c r="D327" s="103" t="str">
        <f>IFERROR(VLOOKUP(B327,'02. MM-KLH'!$B$6:$T$823,3,0),"")</f>
        <v>A24-XTA-008</v>
      </c>
      <c r="E327" s="102">
        <f>IFERROR(VLOOKUP(B327,'02. MM-KLH'!$B$6:$T$823,4,0),"")</f>
        <v>0</v>
      </c>
      <c r="F327" s="104"/>
      <c r="G327" s="102" t="str">
        <f>IFERROR(VLOOKUP(B327,'02. MM-KLH'!$B$6:$T$823,6,0),"")</f>
        <v>Xe ben Forland FD990-4WDXTH4-5T</v>
      </c>
      <c r="H327" s="101" t="s">
        <v>3384</v>
      </c>
      <c r="I327" s="101" t="str">
        <f>IFERROR(VLOOKUP(B327,'02. MM-KLH'!$B$6:$T$823,8,0),"")</f>
        <v>XN Chuối LP3</v>
      </c>
      <c r="J327" s="105">
        <f>IFERROR(VLOOKUP(B327,'02. MM-KLH'!$B$6:$T$823,9,0),"")</f>
        <v>45569</v>
      </c>
      <c r="K327" s="101" t="str">
        <f>IFERROR(VLOOKUP(B327,'02. MM-KLH'!$B$6:$T$823,10,0),"")</f>
        <v>Bình thường</v>
      </c>
      <c r="L327" s="107">
        <f>IFERROR(VLOOKUP(B327,'02. MM-KLH'!$B$6:$T$823,11,0),"")</f>
        <v>0</v>
      </c>
      <c r="M327" s="864" t="str">
        <f>IFERROR(VLOOKUP(B327,'02. MM-KLH'!$B$6:$T$823,12,0),"")</f>
        <v>- CGTC LP bàn giao ngày 07/02/2025
-XN LP3 bàn giao CGTC LP ngày 10/10/2024</v>
      </c>
      <c r="N327" s="110" t="str">
        <f>IFERROR(VLOOKUP(B327,'02. MM-KLH'!$B$6:$T$823,13,0),"")</f>
        <v>THACO FORLAND</v>
      </c>
      <c r="O327" s="110" t="str">
        <f>IFERROR(VLOOKUP(B327,'02. MM-KLH'!$B$6:$T$823,14,0),"")</f>
        <v>VIỆT NAM</v>
      </c>
      <c r="P327" s="101">
        <f>IFERROR(VLOOKUP(B327,'02. MM-KLH'!$B$6:$T$823,15,0),"")</f>
        <v>2023</v>
      </c>
      <c r="Q327" s="101" t="str">
        <f>IFERROR(VLOOKUP(B327,'02. MM-KLH'!$B$6:$T$823,16,0),"")</f>
        <v> FD990-4WD</v>
      </c>
      <c r="R327" s="101" t="str">
        <f>IFERROR(VLOOKUP(B327,'02. MM-KLH'!$B$6:$T$823,17,0),"")</f>
        <v>100HP</v>
      </c>
      <c r="S327" s="110" t="str">
        <f>IFERROR(VLOOKUP(B327,'02. MM-KLH'!$B$6:$T$823,18,0),"")</f>
        <v>RNHF99FACNT055633</v>
      </c>
      <c r="T327" s="111" t="str">
        <f>IFERROR(VLOOKUP(B327,'02. MM-KLH'!$B$6:$T$823,19,0),"")</f>
        <v>4DW9395E4B0530476</v>
      </c>
      <c r="U327" s="863" t="s">
        <v>3343</v>
      </c>
    </row>
    <row r="328" ht="33" customHeight="1" spans="1:21">
      <c r="A328" s="101">
        <f t="shared" si="12"/>
        <v>51</v>
      </c>
      <c r="B328" s="104" t="s">
        <v>1669</v>
      </c>
      <c r="C328" s="104" t="str">
        <f>IFERROR(VLOOKUP(B328,'02. MM-KLH'!$B$6:$T$823,2,0),"")</f>
        <v>XL1-XTA-003</v>
      </c>
      <c r="D328" s="103" t="str">
        <f>IFERROR(VLOOKUP(B328,'02. MM-KLH'!$B$6:$T$823,3,0),"")</f>
        <v>A24-XTA-018</v>
      </c>
      <c r="E328" s="102" t="str">
        <f>IFERROR(VLOOKUP(B328,'02. MM-KLH'!$B$6:$T$823,4,0),"")</f>
        <v>3A-6824</v>
      </c>
      <c r="F328" s="104"/>
      <c r="G328" s="102" t="str">
        <f>IFERROR(VLOOKUP(B328,'02. MM-KLH'!$B$6:$T$823,6,0),"")</f>
        <v>Xe ben Forland FD990-4WDXTH4-5T</v>
      </c>
      <c r="H328" s="101" t="s">
        <v>3384</v>
      </c>
      <c r="I328" s="101" t="str">
        <f>IFERROR(VLOOKUP(B328,'02. MM-KLH'!$B$6:$T$823,8,0),"")</f>
        <v>XN Chuối LP3</v>
      </c>
      <c r="J328" s="105" t="str">
        <f>IFERROR(VLOOKUP(B328,'02. MM-KLH'!$B$6:$T$823,9,0),"")</f>
        <v>30/07/2024</v>
      </c>
      <c r="K328" s="101" t="str">
        <f>IFERROR(VLOOKUP(B328,'02. MM-KLH'!$B$6:$T$823,10,0),"")</f>
        <v>Bình thường</v>
      </c>
      <c r="L328" s="107">
        <f>IFERROR(VLOOKUP(B328,'02. MM-KLH'!$B$6:$T$823,11,0),"")</f>
        <v>0</v>
      </c>
      <c r="M328" s="864" t="str">
        <f>IFERROR(VLOOKUP(B328,'02. MM-KLH'!$B$6:$T$823,12,0),"")</f>
        <v>LP1 bàn giao LP3 07/02/2025 
Bàn giao về XDCB (LP1) ngày 30.07.2024
Xe lắp bồn phun thuốc</v>
      </c>
      <c r="N328" s="110" t="str">
        <f>IFERROR(VLOOKUP(B328,'02. MM-KLH'!$B$6:$T$823,13,0),"")</f>
        <v>THACO FORLAND</v>
      </c>
      <c r="O328" s="110" t="str">
        <f>IFERROR(VLOOKUP(B328,'02. MM-KLH'!$B$6:$T$823,14,0),"")</f>
        <v>VIỆT NAM</v>
      </c>
      <c r="P328" s="101">
        <f>IFERROR(VLOOKUP(B328,'02. MM-KLH'!$B$6:$T$823,15,0),"")</f>
        <v>2024</v>
      </c>
      <c r="Q328" s="101" t="str">
        <f>IFERROR(VLOOKUP(B328,'02. MM-KLH'!$B$6:$T$823,16,0),"")</f>
        <v> FD990-4WD</v>
      </c>
      <c r="R328" s="101" t="str">
        <f>IFERROR(VLOOKUP(B328,'02. MM-KLH'!$B$6:$T$823,17,0),"")</f>
        <v>94HP</v>
      </c>
      <c r="S328" s="110" t="str">
        <f>IFERROR(VLOOKUP(B328,'02. MM-KLH'!$B$6:$T$823,18,0),"")</f>
        <v>RNHF99FACRT092726</v>
      </c>
      <c r="T328" s="111" t="str">
        <f>IFERROR(VLOOKUP(B328,'02. MM-KLH'!$B$6:$T$823,19,0),"")</f>
        <v>B0577285</v>
      </c>
      <c r="U328" s="863" t="s">
        <v>3343</v>
      </c>
    </row>
    <row r="329" ht="13.5" customHeight="1" spans="1:21">
      <c r="A329" s="101">
        <f t="shared" si="12"/>
        <v>52</v>
      </c>
      <c r="B329" s="104" t="s">
        <v>1659</v>
      </c>
      <c r="C329" s="104" t="str">
        <f>IFERROR(VLOOKUP(B329,'02. MM-KLH'!$B$6:$T$823,2,0),"")</f>
        <v>MỚI</v>
      </c>
      <c r="D329" s="103" t="str">
        <f>IFERROR(VLOOKUP(B329,'02. MM-KLH'!$B$6:$T$823,3,0),"")</f>
        <v>A24-XTA-004</v>
      </c>
      <c r="E329" s="102">
        <f>IFERROR(VLOOKUP(B329,'02. MM-KLH'!$B$6:$T$823,4,0),"")</f>
        <v>0</v>
      </c>
      <c r="F329" s="104"/>
      <c r="G329" s="102" t="str">
        <f>IFERROR(VLOOKUP(B329,'02. MM-KLH'!$B$6:$T$823,6,0),"")</f>
        <v>Xe ben Forland FD990-4WDXTH4-5T</v>
      </c>
      <c r="H329" s="101" t="s">
        <v>3384</v>
      </c>
      <c r="I329" s="101" t="str">
        <f>IFERROR(VLOOKUP(B329,'02. MM-KLH'!$B$6:$T$823,8,0),"")</f>
        <v>XN Chuối LP3</v>
      </c>
      <c r="J329" s="105">
        <f>IFERROR(VLOOKUP(B329,'02. MM-KLH'!$B$6:$T$823,9,0),"")</f>
        <v>45569</v>
      </c>
      <c r="K329" s="101" t="str">
        <f>IFERROR(VLOOKUP(B329,'02. MM-KLH'!$B$6:$T$823,10,0),"")</f>
        <v>Bình thường</v>
      </c>
      <c r="L329" s="107">
        <f>IFERROR(VLOOKUP(B329,'02. MM-KLH'!$B$6:$T$823,11,0),"")</f>
        <v>0</v>
      </c>
      <c r="M329" s="864">
        <f>IFERROR(VLOOKUP(B329,'02. MM-KLH'!$B$6:$T$823,12,0),"")</f>
        <v>0</v>
      </c>
      <c r="N329" s="110" t="str">
        <f>IFERROR(VLOOKUP(B329,'02. MM-KLH'!$B$6:$T$823,13,0),"")</f>
        <v>THACO FORLAND</v>
      </c>
      <c r="O329" s="110" t="str">
        <f>IFERROR(VLOOKUP(B329,'02. MM-KLH'!$B$6:$T$823,14,0),"")</f>
        <v>VIỆT NAM</v>
      </c>
      <c r="P329" s="101">
        <f>IFERROR(VLOOKUP(B329,'02. MM-KLH'!$B$6:$T$823,15,0),"")</f>
        <v>2023</v>
      </c>
      <c r="Q329" s="101" t="str">
        <f>IFERROR(VLOOKUP(B329,'02. MM-KLH'!$B$6:$T$823,16,0),"")</f>
        <v> FD990-4WD</v>
      </c>
      <c r="R329" s="101" t="str">
        <f>IFERROR(VLOOKUP(B329,'02. MM-KLH'!$B$6:$T$823,17,0),"")</f>
        <v>100HP</v>
      </c>
      <c r="S329" s="110" t="str">
        <f>IFERROR(VLOOKUP(B329,'02. MM-KLH'!$B$6:$T$823,18,0),"")</f>
        <v>RNHF99FACPT075130</v>
      </c>
      <c r="T329" s="111" t="str">
        <f>IFERROR(VLOOKUP(B329,'02. MM-KLH'!$B$6:$T$823,19,0),"")</f>
        <v>4DW9395E4B0575115</v>
      </c>
      <c r="U329" s="863" t="s">
        <v>3343</v>
      </c>
    </row>
    <row r="330" ht="13.5" customHeight="1" spans="1:21">
      <c r="A330" s="101">
        <f t="shared" si="12"/>
        <v>53</v>
      </c>
      <c r="B330" s="104" t="s">
        <v>1662</v>
      </c>
      <c r="C330" s="104" t="str">
        <f>IFERROR(VLOOKUP(B330,'02. MM-KLH'!$B$6:$T$823,2,0),"")</f>
        <v>MỚI</v>
      </c>
      <c r="D330" s="103" t="str">
        <f>IFERROR(VLOOKUP(B330,'02. MM-KLH'!$B$6:$T$823,3,0),"")</f>
        <v>A24-XTA-005</v>
      </c>
      <c r="E330" s="102">
        <f>IFERROR(VLOOKUP(B330,'02. MM-KLH'!$B$6:$T$823,4,0),"")</f>
        <v>0</v>
      </c>
      <c r="F330" s="104"/>
      <c r="G330" s="102" t="str">
        <f>IFERROR(VLOOKUP(B330,'02. MM-KLH'!$B$6:$T$823,6,0),"")</f>
        <v>Xe ben Forland FD990-4WDXTH4-5T</v>
      </c>
      <c r="H330" s="101" t="s">
        <v>3384</v>
      </c>
      <c r="I330" s="101" t="str">
        <f>IFERROR(VLOOKUP(B330,'02. MM-KLH'!$B$6:$T$823,8,0),"")</f>
        <v>XN Chuối LP3</v>
      </c>
      <c r="J330" s="105">
        <f>IFERROR(VLOOKUP(B330,'02. MM-KLH'!$B$6:$T$823,9,0),"")</f>
        <v>45569</v>
      </c>
      <c r="K330" s="101" t="str">
        <f>IFERROR(VLOOKUP(B330,'02. MM-KLH'!$B$6:$T$823,10,0),"")</f>
        <v>Bình thường</v>
      </c>
      <c r="L330" s="107">
        <f>IFERROR(VLOOKUP(B330,'02. MM-KLH'!$B$6:$T$823,11,0),"")</f>
        <v>0</v>
      </c>
      <c r="M330" s="864">
        <f>IFERROR(VLOOKUP(B330,'02. MM-KLH'!$B$6:$T$823,12,0),"")</f>
        <v>0</v>
      </c>
      <c r="N330" s="110" t="str">
        <f>IFERROR(VLOOKUP(B330,'02. MM-KLH'!$B$6:$T$823,13,0),"")</f>
        <v>THACO FORLAND</v>
      </c>
      <c r="O330" s="110" t="str">
        <f>IFERROR(VLOOKUP(B330,'02. MM-KLH'!$B$6:$T$823,14,0),"")</f>
        <v>VIỆT NAM</v>
      </c>
      <c r="P330" s="101">
        <f>IFERROR(VLOOKUP(B330,'02. MM-KLH'!$B$6:$T$823,15,0),"")</f>
        <v>2023</v>
      </c>
      <c r="Q330" s="101" t="str">
        <f>IFERROR(VLOOKUP(B330,'02. MM-KLH'!$B$6:$T$823,16,0),"")</f>
        <v> FD990-4WD</v>
      </c>
      <c r="R330" s="101" t="str">
        <f>IFERROR(VLOOKUP(B330,'02. MM-KLH'!$B$6:$T$823,17,0),"")</f>
        <v>100HP</v>
      </c>
      <c r="S330" s="110" t="str">
        <f>IFERROR(VLOOKUP(B330,'02. MM-KLH'!$B$6:$T$823,18,0),"")</f>
        <v>RNHF99FACPT076907</v>
      </c>
      <c r="T330" s="111" t="str">
        <f>IFERROR(VLOOKUP(B330,'02. MM-KLH'!$B$6:$T$823,19,0),"")</f>
        <v>4DW9395E4B0576687</v>
      </c>
      <c r="U330" s="863" t="s">
        <v>3343</v>
      </c>
    </row>
    <row r="331" ht="13.5" customHeight="1" spans="1:21">
      <c r="A331" s="101">
        <f t="shared" si="12"/>
        <v>54</v>
      </c>
      <c r="B331" s="102" t="s">
        <v>2996</v>
      </c>
      <c r="C331" s="104" t="str">
        <f>IFERROR(VLOOKUP(B331,'02. MM-KLH'!$B$6:$T$823,2,0),"")</f>
        <v>XB1-XCP-007</v>
      </c>
      <c r="D331" s="103" t="str">
        <f>IFERROR(VLOOKUP(B331,'02. MM-KLH'!$B$6:$T$823,3,0),"")</f>
        <v>ATT-A22-0298</v>
      </c>
      <c r="E331" s="102">
        <f>IFERROR(VLOOKUP(B331,'02. MM-KLH'!$B$6:$T$823,4,0),"")</f>
        <v>0</v>
      </c>
      <c r="F331" s="104" t="s">
        <v>2998</v>
      </c>
      <c r="G331" s="102" t="str">
        <f>IFERROR(VLOOKUP(B331,'02. MM-KLH'!$B$6:$T$823,6,0),"")</f>
        <v>Xe ben FD150 (8.7m3)</v>
      </c>
      <c r="H331" s="101" t="s">
        <v>3390</v>
      </c>
      <c r="I331" s="101" t="str">
        <f>IFERROR(VLOOKUP(B331,'02. MM-KLH'!$B$6:$T$823,8,0),"")</f>
        <v>Vườn tăng gia</v>
      </c>
      <c r="J331" s="105">
        <f>IFERROR(VLOOKUP(B331,'02. MM-KLH'!$B$6:$T$823,9,0),"")</f>
        <v>46089</v>
      </c>
      <c r="K331" s="101" t="str">
        <f>IFERROR(VLOOKUP(B331,'02. MM-KLH'!$B$6:$T$823,10,0),"")</f>
        <v>Bình thường</v>
      </c>
      <c r="L331" s="107">
        <f>IFERROR(VLOOKUP(B331,'02. MM-KLH'!$B$6:$T$823,11,0),"")</f>
        <v>0.97</v>
      </c>
      <c r="M331" s="1100" t="str">
        <f>IFERROR(VLOOKUP(B331,'02. MM-KLH'!$B$6:$T$823,12,0),"")</f>
        <v> Điều chuyển từ xí nghiệp Bò qua ngày 02/08/2026</v>
      </c>
      <c r="N331" s="110" t="str">
        <f>IFERROR(VLOOKUP(B331,'02. MM-KLH'!$B$6:$T$823,13,0),"")</f>
        <v>THACO FORLAND</v>
      </c>
      <c r="O331" s="110" t="str">
        <f>IFERROR(VLOOKUP(B331,'02. MM-KLH'!$B$6:$T$823,14,0),"")</f>
        <v>VIỆT NAM</v>
      </c>
      <c r="P331" s="101">
        <f>IFERROR(VLOOKUP(B331,'02. MM-KLH'!$B$6:$T$823,15,0),"")</f>
        <v>2023</v>
      </c>
      <c r="Q331" s="101" t="str">
        <f>IFERROR(VLOOKUP(B331,'02. MM-KLH'!$B$6:$T$823,16,0),"")</f>
        <v>FD150-4WD</v>
      </c>
      <c r="R331" s="101" t="str">
        <f>IFERROR(VLOOKUP(B331,'02. MM-KLH'!$B$6:$T$823,17,0),"")</f>
        <v>150HP</v>
      </c>
      <c r="S331" s="110" t="str">
        <f>IFERROR(VLOOKUP(B331,'02. MM-KLH'!$B$6:$T$823,18,0),"")</f>
        <v>RNHF16FYAPTO77537</v>
      </c>
      <c r="T331" s="111" t="str">
        <f>IFERROR(VLOOKUP(B331,'02. MM-KLH'!$B$6:$T$823,19,0),"")</f>
        <v>YC4D150-48D59M1N00931</v>
      </c>
      <c r="U331" s="863" t="s">
        <v>3343</v>
      </c>
    </row>
    <row r="332" ht="13.5" customHeight="1" spans="1:21">
      <c r="A332" s="101">
        <f t="shared" si="12"/>
        <v>55</v>
      </c>
      <c r="B332" s="104" t="s">
        <v>2488</v>
      </c>
      <c r="C332" s="102" t="str">
        <f>IFERROR(VLOOKUP(B332,'02. MM-KLH'!$B$6:$T$823,2,0),"")</f>
        <v> 81C-07982</v>
      </c>
      <c r="D332" s="103" t="str">
        <f>IFERROR(VLOOKUP(B332,'02. MM-KLH'!$B$6:$T$823,3,0),"")</f>
        <v>A22-XTA-010</v>
      </c>
      <c r="E332" s="102">
        <f>IFERROR(VLOOKUP(B332,'02. MM-KLH'!$B$6:$T$823,4,0),"")</f>
        <v>0</v>
      </c>
      <c r="F332" s="104"/>
      <c r="G332" s="102" t="str">
        <f>IFERROR(VLOOKUP(B332,'02. MM-KLH'!$B$6:$T$823,6,0),"")</f>
        <v>Xe tải ben Howo 371</v>
      </c>
      <c r="H332" s="101" t="s">
        <v>3378</v>
      </c>
      <c r="I332" s="101" t="str">
        <f>IFERROR(VLOOKUP(B332,'02. MM-KLH'!$B$6:$T$823,8,0),"")</f>
        <v>Phòng GNVC</v>
      </c>
      <c r="J332" s="105">
        <f>IFERROR(VLOOKUP(B332,'02. MM-KLH'!$B$6:$T$823,9,0),"")</f>
        <v>0</v>
      </c>
      <c r="K332" s="101" t="str">
        <f>IFERROR(VLOOKUP(B332,'02. MM-KLH'!$B$6:$T$823,10,0),"")</f>
        <v>Bình thường</v>
      </c>
      <c r="L332" s="107">
        <f>IFERROR(VLOOKUP(B332,'02. MM-KLH'!$B$6:$T$823,11,0),"")</f>
        <v>0</v>
      </c>
      <c r="M332" s="864">
        <f>IFERROR(VLOOKUP(B332,'02. MM-KLH'!$B$6:$T$823,12,0),"")</f>
        <v>0</v>
      </c>
      <c r="N332" s="110" t="str">
        <f>IFERROR(VLOOKUP(B332,'02. MM-KLH'!$B$6:$T$823,13,0),"")</f>
        <v>HOWO</v>
      </c>
      <c r="O332" s="110">
        <f>IFERROR(VLOOKUP(B332,'02. MM-KLH'!$B$6:$T$823,14,0),"")</f>
        <v>0</v>
      </c>
      <c r="P332" s="101">
        <f>IFERROR(VLOOKUP(B332,'02. MM-KLH'!$B$6:$T$823,15,0),"")</f>
        <v>0</v>
      </c>
      <c r="Q332" s="101" t="str">
        <f>IFERROR(VLOOKUP(B332,'02. MM-KLH'!$B$6:$T$823,16,0),"")</f>
        <v>HOWO 371</v>
      </c>
      <c r="R332" s="101" t="str">
        <f>IFERROR(VLOOKUP(B332,'02. MM-KLH'!$B$6:$T$823,17,0),"")</f>
        <v>300HP</v>
      </c>
      <c r="S332" s="110">
        <f>IFERROR(VLOOKUP(B332,'02. MM-KLH'!$B$6:$T$823,18,0),"")</f>
        <v>63965</v>
      </c>
      <c r="T332" s="111" t="str">
        <f>IFERROR(VLOOKUP(B332,'02. MM-KLH'!$B$6:$T$823,19,0),"")</f>
        <v>CCN</v>
      </c>
      <c r="U332" s="863" t="s">
        <v>451</v>
      </c>
    </row>
    <row r="333" ht="13.5" customHeight="1" spans="1:21">
      <c r="A333" s="101">
        <f t="shared" si="12"/>
        <v>56</v>
      </c>
      <c r="B333" s="104" t="s">
        <v>2492</v>
      </c>
      <c r="C333" s="102" t="str">
        <f>IFERROR(VLOOKUP(B333,'02. MM-KLH'!$B$6:$T$823,2,0),"")</f>
        <v>81C-08007</v>
      </c>
      <c r="D333" s="103" t="str">
        <f>IFERROR(VLOOKUP(B333,'02. MM-KLH'!$B$6:$T$823,3,0),"")</f>
        <v>A22-XTA-011</v>
      </c>
      <c r="E333" s="102">
        <f>IFERROR(VLOOKUP(B333,'02. MM-KLH'!$B$6:$T$823,4,0),"")</f>
        <v>0</v>
      </c>
      <c r="F333" s="104"/>
      <c r="G333" s="102" t="str">
        <f>IFERROR(VLOOKUP(B333,'02. MM-KLH'!$B$6:$T$823,6,0),"")</f>
        <v>Xe tải ben Howo 371</v>
      </c>
      <c r="H333" s="101" t="s">
        <v>3378</v>
      </c>
      <c r="I333" s="101" t="str">
        <f>IFERROR(VLOOKUP(B333,'02. MM-KLH'!$B$6:$T$823,8,0),"")</f>
        <v>Phòng GNVC</v>
      </c>
      <c r="J333" s="105">
        <f>IFERROR(VLOOKUP(B333,'02. MM-KLH'!$B$6:$T$823,9,0),"")</f>
        <v>0</v>
      </c>
      <c r="K333" s="101" t="str">
        <f>IFERROR(VLOOKUP(B333,'02. MM-KLH'!$B$6:$T$823,10,0),"")</f>
        <v>Bình thường</v>
      </c>
      <c r="L333" s="107">
        <f>IFERROR(VLOOKUP(B333,'02. MM-KLH'!$B$6:$T$823,11,0),"")</f>
        <v>0</v>
      </c>
      <c r="M333" s="864">
        <f>IFERROR(VLOOKUP(B333,'02. MM-KLH'!$B$6:$T$823,12,0),"")</f>
        <v>0</v>
      </c>
      <c r="N333" s="110" t="str">
        <f>IFERROR(VLOOKUP(B333,'02. MM-KLH'!$B$6:$T$823,13,0),"")</f>
        <v>HOWO</v>
      </c>
      <c r="O333" s="110">
        <f>IFERROR(VLOOKUP(B333,'02. MM-KLH'!$B$6:$T$823,14,0),"")</f>
        <v>0</v>
      </c>
      <c r="P333" s="101">
        <f>IFERROR(VLOOKUP(B333,'02. MM-KLH'!$B$6:$T$823,15,0),"")</f>
        <v>0</v>
      </c>
      <c r="Q333" s="101" t="str">
        <f>IFERROR(VLOOKUP(B333,'02. MM-KLH'!$B$6:$T$823,16,0),"")</f>
        <v>HOWO 371</v>
      </c>
      <c r="R333" s="101" t="str">
        <f>IFERROR(VLOOKUP(B333,'02. MM-KLH'!$B$6:$T$823,17,0),"")</f>
        <v>300HP</v>
      </c>
      <c r="S333" s="110">
        <f>IFERROR(VLOOKUP(B333,'02. MM-KLH'!$B$6:$T$823,18,0),"")</f>
        <v>933513</v>
      </c>
      <c r="T333" s="111" t="str">
        <f>IFERROR(VLOOKUP(B333,'02. MM-KLH'!$B$6:$T$823,19,0),"")</f>
        <v>CCN</v>
      </c>
      <c r="U333" s="863" t="s">
        <v>451</v>
      </c>
    </row>
    <row r="334" ht="13.8" spans="1:21">
      <c r="B334" s="663"/>
      <c r="C334" s="104"/>
      <c r="D334" s="103"/>
      <c r="E334" s="102"/>
      <c r="G334" s="102"/>
      <c r="I334" s="101"/>
      <c r="J334" s="105"/>
      <c r="K334" s="101"/>
      <c r="L334" s="107"/>
      <c r="M334" s="864"/>
      <c r="N334" s="110"/>
      <c r="O334" s="110"/>
      <c r="P334" s="101"/>
      <c r="Q334" s="101"/>
      <c r="R334" s="101"/>
      <c r="S334" s="110"/>
      <c r="T334" s="111"/>
      <c r="U334" s="870"/>
    </row>
    <row r="335" ht="13.8" spans="1:21">
      <c r="B335" s="663"/>
      <c r="C335" s="104" t="str">
        <f>IFERROR(VLOOKUP(B335,'02. MM-KLH'!$B$6:$T$823,2,0),"")</f>
        <v/>
      </c>
      <c r="D335" s="103" t="str">
        <f>IFERROR(VLOOKUP(B335,'02. MM-KLH'!$B$6:$T$823,3,0),"")</f>
        <v/>
      </c>
      <c r="E335" s="102" t="str">
        <f>IFERROR(VLOOKUP(B335,'02. MM-KLH'!$B$6:$T$823,4,0),"")</f>
        <v/>
      </c>
      <c r="G335" s="102" t="str">
        <f>IFERROR(VLOOKUP(B335,'02. MM-KLH'!$B$6:$T$823,6,0),"")</f>
        <v/>
      </c>
      <c r="I335" s="101" t="str">
        <f>IFERROR(VLOOKUP(B335,'02. MM-KLH'!$B$6:$T$823,8,0),"")</f>
        <v/>
      </c>
      <c r="J335" s="105" t="str">
        <f>IFERROR(VLOOKUP(B335,'02. MM-KLH'!$B$6:$T$823,9,0),"")</f>
        <v/>
      </c>
      <c r="K335" s="101" t="str">
        <f>IFERROR(VLOOKUP(B335,'02. MM-KLH'!$B$6:$T$823,10,0),"")</f>
        <v/>
      </c>
      <c r="L335" s="107" t="str">
        <f>IFERROR(VLOOKUP(B335,'02. MM-KLH'!$B$6:$T$823,11,0),"")</f>
        <v/>
      </c>
      <c r="M335" s="864" t="str">
        <f>IFERROR(VLOOKUP(B335,'02. MM-KLH'!$B$6:$T$823,12,0),"")</f>
        <v/>
      </c>
      <c r="N335" s="110" t="str">
        <f>IFERROR(VLOOKUP(B335,'02. MM-KLH'!$B$6:$T$823,13,0),"")</f>
        <v/>
      </c>
      <c r="O335" s="110" t="str">
        <f>IFERROR(VLOOKUP(B335,'02. MM-KLH'!$B$6:$T$823,14,0),"")</f>
        <v/>
      </c>
      <c r="P335" s="101" t="str">
        <f>IFERROR(VLOOKUP(B335,'02. MM-KLH'!$B$6:$T$823,15,0),"")</f>
        <v/>
      </c>
      <c r="Q335" s="101" t="str">
        <f>IFERROR(VLOOKUP(B335,'02. MM-KLH'!$B$6:$T$823,16,0),"")</f>
        <v/>
      </c>
      <c r="R335" s="101" t="str">
        <f>IFERROR(VLOOKUP(B335,'02. MM-KLH'!$B$6:$T$823,17,0),"")</f>
        <v/>
      </c>
      <c r="S335" s="110" t="str">
        <f>IFERROR(VLOOKUP(B335,'02. MM-KLH'!$B$6:$T$823,18,0),"")</f>
        <v/>
      </c>
      <c r="T335" s="111" t="str">
        <f>IFERROR(VLOOKUP(B335,'02. MM-KLH'!$B$6:$T$823,19,0),"")</f>
        <v/>
      </c>
      <c r="U335" s="111" t="str">
        <f>IFERROR(VLOOKUP(C335,'02. MM-KLH'!$B$6:$T$823,19,0),"")</f>
        <v/>
      </c>
    </row>
    <row r="336" ht="13.5" customHeight="1" spans="1:21">
      <c r="A336" s="847" t="s">
        <v>290</v>
      </c>
      <c r="B336" s="848" t="s">
        <v>3391</v>
      </c>
      <c r="C336" s="849">
        <f>COUNTA(B337:B359)</f>
        <v>21</v>
      </c>
      <c r="D336" s="849" t="str">
        <f>IFERROR(VLOOKUP(B336,'02. MM-KLH'!$B$6:$T$823,3,0),"")</f>
        <v/>
      </c>
      <c r="E336" s="849" t="str">
        <f>IFERROR(VLOOKUP(B336,'02. MM-KLH'!$B$6:$T$823,4,0),"")</f>
        <v/>
      </c>
      <c r="F336" s="849"/>
      <c r="G336" s="849" t="str">
        <f>IFERROR(VLOOKUP(B336,'02. MM-KLH'!$B$6:$T$823,6,0),"")</f>
        <v/>
      </c>
      <c r="H336" s="849"/>
      <c r="I336" s="849" t="str">
        <f>IFERROR(VLOOKUP(B336,'02. MM-KLH'!$B$6:$T$823,8,0),"")</f>
        <v/>
      </c>
      <c r="J336" s="849" t="str">
        <f>IFERROR(VLOOKUP(B336,'02. MM-KLH'!$B$6:$T$823,9,0),"")</f>
        <v/>
      </c>
      <c r="K336" s="849" t="str">
        <f>IFERROR(VLOOKUP(B336,'02. MM-KLH'!$B$6:$T$823,10,0),"")</f>
        <v/>
      </c>
      <c r="L336" s="849" t="str">
        <f>IFERROR(VLOOKUP(B336,'02. MM-KLH'!$B$6:$T$823,11,0),"")</f>
        <v/>
      </c>
      <c r="M336" s="849" t="str">
        <f>IFERROR(VLOOKUP(B336,'02. MM-KLH'!$B$6:$T$823,12,0),"")</f>
        <v/>
      </c>
      <c r="N336" s="849" t="str">
        <f>IFERROR(VLOOKUP(B336,'02. MM-KLH'!$B$6:$T$823,13,0),"")</f>
        <v/>
      </c>
      <c r="O336" s="849" t="str">
        <f>IFERROR(VLOOKUP(B336,'02. MM-KLH'!$B$6:$T$823,14,0),"")</f>
        <v/>
      </c>
      <c r="P336" s="849" t="str">
        <f>IFERROR(VLOOKUP(B336,'02. MM-KLH'!$B$6:$T$823,15,0),"")</f>
        <v/>
      </c>
      <c r="Q336" s="849" t="str">
        <f>IFERROR(VLOOKUP(B336,'02. MM-KLH'!$B$6:$T$823,16,0),"")</f>
        <v/>
      </c>
      <c r="R336" s="849" t="str">
        <f>IFERROR(VLOOKUP(B336,'02. MM-KLH'!$B$6:$T$823,17,0),"")</f>
        <v/>
      </c>
      <c r="S336" s="849" t="str">
        <f>IFERROR(VLOOKUP(B336,'02. MM-KLH'!$B$6:$T$823,18,0),"")</f>
        <v/>
      </c>
      <c r="T336" s="849" t="str">
        <f>IFERROR(VLOOKUP(B336,'02. MM-KLH'!$B$6:$T$823,19,0),"")</f>
        <v/>
      </c>
      <c r="U336" s="849" t="str">
        <f>IFERROR(VLOOKUP(C336,'02. MM-KLH'!$B$6:$T$823,19,0),"")</f>
        <v/>
      </c>
    </row>
    <row r="337" ht="13.5" customHeight="1" spans="1:21">
      <c r="A337" s="101">
        <v>1</v>
      </c>
      <c r="B337" s="104" t="s">
        <v>1162</v>
      </c>
      <c r="C337" s="102" t="str">
        <f>IFERROR(VLOOKUP(B337,'02. MM-KLH'!$B$6:$T$823,2,0),"")</f>
        <v>XT 20 VC-KLH</v>
      </c>
      <c r="D337" s="103" t="str">
        <f>IFERROR(VLOOKUP(B337,'02. MM-KLH'!$B$6:$T$823,3,0),"")</f>
        <v>A23-XTA-008</v>
      </c>
      <c r="E337" s="102">
        <f>IFERROR(VLOOKUP(B337,'02. MM-KLH'!$B$6:$T$823,4,0),"")</f>
        <v>0</v>
      </c>
      <c r="F337" s="104"/>
      <c r="G337" s="102" t="str">
        <f>IFERROR(VLOOKUP(B337,'02. MM-KLH'!$B$6:$T$823,6,0),"")</f>
        <v>Xe tải KOZUN</v>
      </c>
      <c r="H337" s="101" t="s">
        <v>3384</v>
      </c>
      <c r="I337" s="101" t="str">
        <f>IFERROR(VLOOKUP(B337,'02. MM-KLH'!$B$6:$T$823,8,0),"")</f>
        <v>XN Chuối DP1</v>
      </c>
      <c r="J337" s="105">
        <f>IFERROR(VLOOKUP(B337,'02. MM-KLH'!$B$6:$T$823,9,0),"")</f>
        <v>0</v>
      </c>
      <c r="K337" s="101" t="str">
        <f>IFERROR(VLOOKUP(B337,'02. MM-KLH'!$B$6:$T$823,10,0),"")</f>
        <v>Bình thường</v>
      </c>
      <c r="L337" s="107">
        <f>IFERROR(VLOOKUP(B337,'02. MM-KLH'!$B$6:$T$823,11,0),"")</f>
        <v>0</v>
      </c>
      <c r="M337" s="864">
        <f>IFERROR(VLOOKUP(B337,'02. MM-KLH'!$B$6:$T$823,12,0),"")</f>
        <v>0</v>
      </c>
      <c r="N337" s="110" t="str">
        <f>IFERROR(VLOOKUP(B337,'02. MM-KLH'!$B$6:$T$823,13,0),"")</f>
        <v>KOZUN</v>
      </c>
      <c r="O337" s="110" t="str">
        <f>IFERROR(VLOOKUP(B337,'02. MM-KLH'!$B$6:$T$823,14,0),"")</f>
        <v>CAMPUCHIA</v>
      </c>
      <c r="P337" s="101">
        <f>IFERROR(VLOOKUP(B337,'02. MM-KLH'!$B$6:$T$823,15,0),"")</f>
        <v>0</v>
      </c>
      <c r="Q337" s="101">
        <f>IFERROR(VLOOKUP(B337,'02. MM-KLH'!$B$6:$T$823,16,0),"")</f>
        <v>0</v>
      </c>
      <c r="R337" s="101" t="str">
        <f>IFERROR(VLOOKUP(B337,'02. MM-KLH'!$B$6:$T$823,17,0),"")</f>
        <v>60HP</v>
      </c>
      <c r="S337" s="110">
        <f>IFERROR(VLOOKUP(B337,'02. MM-KLH'!$B$6:$T$823,18,0),"")</f>
        <v>113819</v>
      </c>
      <c r="T337" s="111" t="str">
        <f>IFERROR(VLOOKUP(B337,'02. MM-KLH'!$B$6:$T$823,19,0),"")</f>
        <v>CCN</v>
      </c>
      <c r="U337" s="863" t="s">
        <v>451</v>
      </c>
    </row>
    <row r="338" ht="13.5" customHeight="1" spans="1:21">
      <c r="A338" s="101">
        <f t="shared" ref="A338:A347" si="13">A337+1</f>
        <v>2</v>
      </c>
      <c r="B338" s="104" t="s">
        <v>1166</v>
      </c>
      <c r="C338" s="102" t="str">
        <f>IFERROR(VLOOKUP(B338,'02. MM-KLH'!$B$6:$T$823,2,0),"")</f>
        <v>XT24VC-KLH(XB1-XTA-002)</v>
      </c>
      <c r="D338" s="103" t="str">
        <f>IFERROR(VLOOKUP(B338,'02. MM-KLH'!$B$6:$T$823,3,0),"")</f>
        <v>A23-XTA-009</v>
      </c>
      <c r="E338" s="102">
        <f>IFERROR(VLOOKUP(B338,'02. MM-KLH'!$B$6:$T$823,4,0),"")</f>
        <v>0</v>
      </c>
      <c r="F338" s="104"/>
      <c r="G338" s="102" t="str">
        <f>IFERROR(VLOOKUP(B338,'02. MM-KLH'!$B$6:$T$823,6,0),"")</f>
        <v>Xe tải KOZUN</v>
      </c>
      <c r="H338" s="101" t="s">
        <v>3384</v>
      </c>
      <c r="I338" s="101" t="str">
        <f>IFERROR(VLOOKUP(B338,'02. MM-KLH'!$B$6:$T$823,8,0),"")</f>
        <v>XN Chuối DP1</v>
      </c>
      <c r="J338" s="105" t="str">
        <f>IFERROR(VLOOKUP(B338,'02. MM-KLH'!$B$6:$T$823,9,0),"")</f>
        <v>13/05/2024</v>
      </c>
      <c r="K338" s="101" t="str">
        <f>IFERROR(VLOOKUP(B338,'02. MM-KLH'!$B$6:$T$823,10,0),"")</f>
        <v>Bình thường</v>
      </c>
      <c r="L338" s="107">
        <f>IFERROR(VLOOKUP(B338,'02. MM-KLH'!$B$6:$T$823,11,0),"")</f>
        <v>0</v>
      </c>
      <c r="M338" s="864">
        <f>IFERROR(VLOOKUP(B338,'02. MM-KLH'!$B$6:$T$823,12,0),"")</f>
        <v>0</v>
      </c>
      <c r="N338" s="110" t="str">
        <f>IFERROR(VLOOKUP(B338,'02. MM-KLH'!$B$6:$T$823,13,0),"")</f>
        <v>KOZUN</v>
      </c>
      <c r="O338" s="110" t="str">
        <f>IFERROR(VLOOKUP(B338,'02. MM-KLH'!$B$6:$T$823,14,0),"")</f>
        <v>CAMPUCHIA</v>
      </c>
      <c r="P338" s="101">
        <f>IFERROR(VLOOKUP(B338,'02. MM-KLH'!$B$6:$T$823,15,0),"")</f>
        <v>0</v>
      </c>
      <c r="Q338" s="101">
        <f>IFERROR(VLOOKUP(B338,'02. MM-KLH'!$B$6:$T$823,16,0),"")</f>
        <v>0</v>
      </c>
      <c r="R338" s="101" t="str">
        <f>IFERROR(VLOOKUP(B338,'02. MM-KLH'!$B$6:$T$823,17,0),"")</f>
        <v>60HP</v>
      </c>
      <c r="S338" s="110">
        <f>IFERROR(VLOOKUP(B338,'02. MM-KLH'!$B$6:$T$823,18,0),"")</f>
        <v>78504</v>
      </c>
      <c r="T338" s="111" t="str">
        <f>IFERROR(VLOOKUP(B338,'02. MM-KLH'!$B$6:$T$823,19,0),"")</f>
        <v>CCN</v>
      </c>
      <c r="U338" s="863" t="s">
        <v>451</v>
      </c>
    </row>
    <row r="339" ht="13.5" customHeight="1" spans="1:21">
      <c r="A339" s="101">
        <f t="shared" si="13"/>
        <v>3</v>
      </c>
      <c r="B339" s="104" t="s">
        <v>1656</v>
      </c>
      <c r="C339" s="102" t="str">
        <f>IFERROR(VLOOKUP(B339,'02. MM-KLH'!$B$6:$T$823,2,0),"")</f>
        <v>LP3-XTA-002(XT18-VCKLH)</v>
      </c>
      <c r="D339" s="103" t="str">
        <f>IFERROR(VLOOKUP(B339,'02. MM-KLH'!$B$6:$T$823,3,0),"")</f>
        <v>ATT-A24-0015</v>
      </c>
      <c r="E339" s="102">
        <f>IFERROR(VLOOKUP(B339,'02. MM-KLH'!$B$6:$T$823,4,0),"")</f>
        <v>0</v>
      </c>
      <c r="F339" s="104" t="s">
        <v>3107</v>
      </c>
      <c r="G339" s="102" t="str">
        <f>IFERROR(VLOOKUP(B339,'02. MM-KLH'!$B$6:$T$823,6,0),"")</f>
        <v>Xe tải KOZUN</v>
      </c>
      <c r="H339" s="101" t="s">
        <v>3384</v>
      </c>
      <c r="I339" s="101" t="str">
        <f>IFERROR(VLOOKUP(B339,'02. MM-KLH'!$B$6:$T$823,8,0),"")</f>
        <v>XN Chuối LP3</v>
      </c>
      <c r="J339" s="105">
        <f>IFERROR(VLOOKUP(B339,'02. MM-KLH'!$B$6:$T$823,9,0),"")</f>
        <v>40914</v>
      </c>
      <c r="K339" s="101" t="str">
        <f>IFERROR(VLOOKUP(B339,'02. MM-KLH'!$B$6:$T$823,10,0),"")</f>
        <v>Bình thường</v>
      </c>
      <c r="L339" s="107">
        <f>IFERROR(VLOOKUP(B339,'02. MM-KLH'!$B$6:$T$823,11,0),"")</f>
        <v>0</v>
      </c>
      <c r="M339" s="864">
        <f>IFERROR(VLOOKUP(B339,'02. MM-KLH'!$B$6:$T$823,12,0),"")</f>
        <v>0</v>
      </c>
      <c r="N339" s="110" t="str">
        <f>IFERROR(VLOOKUP(B339,'02. MM-KLH'!$B$6:$T$823,13,0),"")</f>
        <v>KOZUN</v>
      </c>
      <c r="O339" s="110" t="str">
        <f>IFERROR(VLOOKUP(B339,'02. MM-KLH'!$B$6:$T$823,14,0),"")</f>
        <v>CAMPUCHIA</v>
      </c>
      <c r="P339" s="101">
        <f>IFERROR(VLOOKUP(B339,'02. MM-KLH'!$B$6:$T$823,15,0),"")</f>
        <v>0</v>
      </c>
      <c r="Q339" s="101">
        <f>IFERROR(VLOOKUP(B339,'02. MM-KLH'!$B$6:$T$823,16,0),"")</f>
        <v>0</v>
      </c>
      <c r="R339" s="101" t="str">
        <f>IFERROR(VLOOKUP(B339,'02. MM-KLH'!$B$6:$T$823,17,0),"")</f>
        <v>60HP</v>
      </c>
      <c r="S339" s="110" t="str">
        <f>IFERROR(VLOOKUP(B339,'02. MM-KLH'!$B$6:$T$823,18,0),"")</f>
        <v>Mất số khung</v>
      </c>
      <c r="T339" s="111">
        <f>IFERROR(VLOOKUP(B339,'02. MM-KLH'!$B$6:$T$823,19,0),"")</f>
        <v>115002</v>
      </c>
      <c r="U339" s="863" t="s">
        <v>451</v>
      </c>
    </row>
    <row r="340" ht="13.5" customHeight="1" spans="1:21">
      <c r="A340" s="101">
        <f t="shared" si="13"/>
        <v>4</v>
      </c>
      <c r="B340" s="104" t="s">
        <v>1543</v>
      </c>
      <c r="C340" s="102" t="str">
        <f>IFERROR(VLOOKUP(B340,'02. MM-KLH'!$B$6:$T$823,2,0),"")</f>
        <v>XT17 - VCKLH(XA2-XTA-002)</v>
      </c>
      <c r="D340" s="103" t="str">
        <f>IFERROR(VLOOKUP(B340,'02. MM-KLH'!$B$6:$T$823,3,0),"")</f>
        <v>ATT-A22-0017</v>
      </c>
      <c r="E340" s="102">
        <f>IFERROR(VLOOKUP(B340,'02. MM-KLH'!$B$6:$T$823,4,0),"")</f>
        <v>0</v>
      </c>
      <c r="F340" s="104" t="s">
        <v>1545</v>
      </c>
      <c r="G340" s="102" t="str">
        <f>IFERROR(VLOOKUP(B340,'02. MM-KLH'!$B$6:$T$823,6,0),"")</f>
        <v>Xe tải KOZUN</v>
      </c>
      <c r="H340" s="101" t="s">
        <v>3384</v>
      </c>
      <c r="I340" s="101" t="str">
        <f>IFERROR(VLOOKUP(B340,'02. MM-KLH'!$B$6:$T$823,8,0),"")</f>
        <v>XN Chuối LP1</v>
      </c>
      <c r="J340" s="105">
        <f>IFERROR(VLOOKUP(B340,'02. MM-KLH'!$B$6:$T$823,9,0),"")</f>
        <v>41651</v>
      </c>
      <c r="K340" s="101" t="str">
        <f>IFERROR(VLOOKUP(B340,'02. MM-KLH'!$B$6:$T$823,10,0),"")</f>
        <v>Bình thường</v>
      </c>
      <c r="L340" s="107">
        <f>IFERROR(VLOOKUP(B340,'02. MM-KLH'!$B$6:$T$823,11,0),"")</f>
        <v>0</v>
      </c>
      <c r="M340" s="864" t="str">
        <f>IFERROR(VLOOKUP(B340,'02. MM-KLH'!$B$6:$T$823,12,0),"")</f>
        <v>-Đ.chuyển từ AD2 sang LP1 ngày 17.02.2025</v>
      </c>
      <c r="N340" s="110" t="str">
        <f>IFERROR(VLOOKUP(B340,'02. MM-KLH'!$B$6:$T$823,13,0),"")</f>
        <v>KOZUN</v>
      </c>
      <c r="O340" s="110" t="str">
        <f>IFERROR(VLOOKUP(B340,'02. MM-KLH'!$B$6:$T$823,14,0),"")</f>
        <v>CAMPUCHIA</v>
      </c>
      <c r="P340" s="101">
        <f>IFERROR(VLOOKUP(B340,'02. MM-KLH'!$B$6:$T$823,15,0),"")</f>
        <v>0</v>
      </c>
      <c r="Q340" s="101">
        <f>IFERROR(VLOOKUP(B340,'02. MM-KLH'!$B$6:$T$823,16,0),"")</f>
        <v>0</v>
      </c>
      <c r="R340" s="101" t="str">
        <f>IFERROR(VLOOKUP(B340,'02. MM-KLH'!$B$6:$T$823,17,0),"")</f>
        <v>60HP</v>
      </c>
      <c r="S340" s="110">
        <f>IFERROR(VLOOKUP(B340,'02. MM-KLH'!$B$6:$T$823,18,0),"")</f>
        <v>29823</v>
      </c>
      <c r="T340" s="111" t="str">
        <f>IFERROR(VLOOKUP(B340,'02. MM-KLH'!$B$6:$T$823,19,0),"")</f>
        <v>CCN</v>
      </c>
      <c r="U340" s="863" t="s">
        <v>451</v>
      </c>
    </row>
    <row r="341" ht="13.5" customHeight="1" spans="1:21">
      <c r="A341" s="101">
        <f t="shared" si="13"/>
        <v>5</v>
      </c>
      <c r="B341" s="104" t="s">
        <v>1547</v>
      </c>
      <c r="C341" s="102" t="str">
        <f>IFERROR(VLOOKUP(B341,'02. MM-KLH'!$B$6:$T$823,2,0),"")</f>
        <v>XT23 - VC KLH(XA2-XTA-003)</v>
      </c>
      <c r="D341" s="103" t="str">
        <f>IFERROR(VLOOKUP(B341,'02. MM-KLH'!$B$6:$T$823,3,0),"")</f>
        <v>ATT-A22-0018</v>
      </c>
      <c r="E341" s="102">
        <f>IFERROR(VLOOKUP(B341,'02. MM-KLH'!$B$6:$T$823,4,0),"")</f>
        <v>0</v>
      </c>
      <c r="F341" s="104" t="s">
        <v>1549</v>
      </c>
      <c r="G341" s="102" t="str">
        <f>IFERROR(VLOOKUP(B341,'02. MM-KLH'!$B$6:$T$823,6,0),"")</f>
        <v>Xe tải KOZUN</v>
      </c>
      <c r="H341" s="101" t="s">
        <v>3384</v>
      </c>
      <c r="I341" s="101" t="str">
        <f>IFERROR(VLOOKUP(B341,'02. MM-KLH'!$B$6:$T$823,8,0),"")</f>
        <v>XN Chuối LP1</v>
      </c>
      <c r="J341" s="105">
        <f>IFERROR(VLOOKUP(B341,'02. MM-KLH'!$B$6:$T$823,9,0),"")</f>
        <v>41651</v>
      </c>
      <c r="K341" s="101" t="str">
        <f>IFERROR(VLOOKUP(B341,'02. MM-KLH'!$B$6:$T$823,10,0),"")</f>
        <v>Bình thường</v>
      </c>
      <c r="L341" s="107">
        <f>IFERROR(VLOOKUP(B341,'02. MM-KLH'!$B$6:$T$823,11,0),"")</f>
        <v>0</v>
      </c>
      <c r="M341" s="864" t="str">
        <f>IFERROR(VLOOKUP(B341,'02. MM-KLH'!$B$6:$T$823,12,0),"")</f>
        <v>-Đ.chuyển từ AD2 sang LP1 ngày 17.02.2025</v>
      </c>
      <c r="N341" s="110" t="str">
        <f>IFERROR(VLOOKUP(B341,'02. MM-KLH'!$B$6:$T$823,13,0),"")</f>
        <v>KOZUN</v>
      </c>
      <c r="O341" s="110" t="str">
        <f>IFERROR(VLOOKUP(B341,'02. MM-KLH'!$B$6:$T$823,14,0),"")</f>
        <v>CAMPUCHIA</v>
      </c>
      <c r="P341" s="101">
        <f>IFERROR(VLOOKUP(B341,'02. MM-KLH'!$B$6:$T$823,15,0),"")</f>
        <v>0</v>
      </c>
      <c r="Q341" s="101">
        <f>IFERROR(VLOOKUP(B341,'02. MM-KLH'!$B$6:$T$823,16,0),"")</f>
        <v>0</v>
      </c>
      <c r="R341" s="101" t="str">
        <f>IFERROR(VLOOKUP(B341,'02. MM-KLH'!$B$6:$T$823,17,0),"")</f>
        <v>60HP</v>
      </c>
      <c r="S341" s="110">
        <f>IFERROR(VLOOKUP(B341,'02. MM-KLH'!$B$6:$T$823,18,0),"")</f>
        <v>101437</v>
      </c>
      <c r="T341" s="111" t="str">
        <f>IFERROR(VLOOKUP(B341,'02. MM-KLH'!$B$6:$T$823,19,0),"")</f>
        <v>CCN</v>
      </c>
      <c r="U341" s="863" t="s">
        <v>451</v>
      </c>
    </row>
    <row r="342" ht="24.75" customHeight="1" spans="1:21">
      <c r="A342" s="101">
        <f t="shared" si="13"/>
        <v>6</v>
      </c>
      <c r="B342" s="104" t="s">
        <v>950</v>
      </c>
      <c r="C342" s="102" t="str">
        <f>IFERROR(VLOOKUP(B342,'02. MM-KLH'!$B$6:$T$823,2,0),"")</f>
        <v>XD1-XTA-007</v>
      </c>
      <c r="D342" s="103" t="str">
        <f>IFERROR(VLOOKUP(B342,'02. MM-KLH'!$B$6:$T$823,3,0),"")</f>
        <v>A23-XTA-048</v>
      </c>
      <c r="E342" s="102">
        <f>IFERROR(VLOOKUP(B342,'02. MM-KLH'!$B$6:$T$823,4,0),"")</f>
        <v>0</v>
      </c>
      <c r="F342" s="104" t="s">
        <v>3392</v>
      </c>
      <c r="G342" s="102" t="str">
        <f>IFERROR(VLOOKUP(B342,'02. MM-KLH'!$B$6:$T$823,6,0),"")</f>
        <v>Xe tải THACO FRONTIER TF490</v>
      </c>
      <c r="H342" s="101" t="s">
        <v>3384</v>
      </c>
      <c r="I342" s="101" t="str">
        <f>IFERROR(VLOOKUP(B342,'02. MM-KLH'!$B$6:$T$823,8,0),"")</f>
        <v>CGLĐ DP</v>
      </c>
      <c r="J342" s="105">
        <f>IFERROR(VLOOKUP(B342,'02. MM-KLH'!$B$6:$T$823,9,0),"")</f>
        <v>46266</v>
      </c>
      <c r="K342" s="101" t="str">
        <f>IFERROR(VLOOKUP(B342,'02. MM-KLH'!$B$6:$T$823,10,0),"")</f>
        <v>Bình thường</v>
      </c>
      <c r="L342" s="107">
        <f>IFERROR(VLOOKUP(B342,'02. MM-KLH'!$B$6:$T$823,11,0),"")</f>
        <v>0</v>
      </c>
      <c r="M342" s="864" t="str">
        <f>IFERROR(VLOOKUP(B342,'02. MM-KLH'!$B$6:$T$823,12,0),"")</f>
        <v>Đầu tư mới (XN DP1 đchuyển CGLĐ DP ngày 14.01.2026)
- Phục vụ chở giống trồng mới</v>
      </c>
      <c r="N342" s="110" t="str">
        <f>IFERROR(VLOOKUP(B342,'02. MM-KLH'!$B$6:$T$823,13,0),"")</f>
        <v>THACO FRONTIER</v>
      </c>
      <c r="O342" s="110" t="str">
        <f>IFERROR(VLOOKUP(B342,'02. MM-KLH'!$B$6:$T$823,14,0),"")</f>
        <v>VIỆT NAM</v>
      </c>
      <c r="P342" s="101">
        <f>IFERROR(VLOOKUP(B342,'02. MM-KLH'!$B$6:$T$823,15,0),"")</f>
        <v>2024</v>
      </c>
      <c r="Q342" s="101" t="str">
        <f>IFERROR(VLOOKUP(B342,'02. MM-KLH'!$B$6:$T$823,16,0),"")</f>
        <v>TF490</v>
      </c>
      <c r="R342" s="101" t="str">
        <f>IFERROR(VLOOKUP(B342,'02. MM-KLH'!$B$6:$T$823,17,0),"")</f>
        <v>107HP</v>
      </c>
      <c r="S342" s="110" t="str">
        <f>IFERROR(VLOOKUP(B342,'02. MM-KLH'!$B$6:$T$823,18,0),"")</f>
        <v>RNHA49TZART082912</v>
      </c>
      <c r="T342" s="111" t="str">
        <f>IFERROR(VLOOKUP(B342,'02. MM-KLH'!$B$6:$T$823,19,0),"")</f>
        <v>JE493ZLQ4*37100377*</v>
      </c>
      <c r="U342" s="863" t="s">
        <v>3343</v>
      </c>
    </row>
    <row r="343" ht="13.5" customHeight="1" spans="1:21">
      <c r="A343" s="101">
        <f t="shared" si="13"/>
        <v>7</v>
      </c>
      <c r="B343" s="104" t="s">
        <v>1292</v>
      </c>
      <c r="C343" s="102">
        <f>IFERROR(VLOOKUP(B343,'02. MM-KLH'!$B$6:$T$823,2,0),"")</f>
        <v>0</v>
      </c>
      <c r="D343" s="103" t="str">
        <f>IFERROR(VLOOKUP(B343,'02. MM-KLH'!$B$6:$T$823,3,0),"")</f>
        <v>A23-XTA-049</v>
      </c>
      <c r="E343" s="102">
        <f>IFERROR(VLOOKUP(B343,'02. MM-KLH'!$B$6:$T$823,4,0),"")</f>
        <v>0</v>
      </c>
      <c r="F343" s="104" t="s">
        <v>3392</v>
      </c>
      <c r="G343" s="102" t="str">
        <f>IFERROR(VLOOKUP(B343,'02. MM-KLH'!$B$6:$T$823,6,0),"")</f>
        <v>Xe tải THACO FRONTIER TF490</v>
      </c>
      <c r="H343" s="101" t="s">
        <v>3384</v>
      </c>
      <c r="I343" s="101" t="str">
        <f>IFERROR(VLOOKUP(B343,'02. MM-KLH'!$B$6:$T$823,8,0),"")</f>
        <v>XN Chuối DP2</v>
      </c>
      <c r="J343" s="105">
        <f>IFERROR(VLOOKUP(B343,'02. MM-KLH'!$B$6:$T$823,9,0),"")</f>
        <v>46143</v>
      </c>
      <c r="K343" s="101" t="str">
        <f>IFERROR(VLOOKUP(B343,'02. MM-KLH'!$B$6:$T$823,10,0),"")</f>
        <v>Bình thường</v>
      </c>
      <c r="L343" s="107">
        <f>IFERROR(VLOOKUP(B343,'02. MM-KLH'!$B$6:$T$823,11,0),"")</f>
        <v>0</v>
      </c>
      <c r="M343" s="864" t="str">
        <f>IFERROR(VLOOKUP(B343,'02. MM-KLH'!$B$6:$T$823,12,0),"")</f>
        <v>Đầu tư mới</v>
      </c>
      <c r="N343" s="110" t="str">
        <f>IFERROR(VLOOKUP(B343,'02. MM-KLH'!$B$6:$T$823,13,0),"")</f>
        <v>THACO FRONTIER</v>
      </c>
      <c r="O343" s="110" t="str">
        <f>IFERROR(VLOOKUP(B343,'02. MM-KLH'!$B$6:$T$823,14,0),"")</f>
        <v>VIỆT NAM</v>
      </c>
      <c r="P343" s="101">
        <f>IFERROR(VLOOKUP(B343,'02. MM-KLH'!$B$6:$T$823,15,0),"")</f>
        <v>2024</v>
      </c>
      <c r="Q343" s="101" t="str">
        <f>IFERROR(VLOOKUP(B343,'02. MM-KLH'!$B$6:$T$823,16,0),"")</f>
        <v>TF490</v>
      </c>
      <c r="R343" s="101" t="str">
        <f>IFERROR(VLOOKUP(B343,'02. MM-KLH'!$B$6:$T$823,17,0),"")</f>
        <v>107HP</v>
      </c>
      <c r="S343" s="110" t="str">
        <f>IFERROR(VLOOKUP(B343,'02. MM-KLH'!$B$6:$T$823,18,0),"")</f>
        <v>RNHA49TZART082919</v>
      </c>
      <c r="T343" s="111" t="str">
        <f>IFERROR(VLOOKUP(B343,'02. MM-KLH'!$B$6:$T$823,19,0),"")</f>
        <v>JE493ZLQ4*37100368*</v>
      </c>
      <c r="U343" s="863" t="s">
        <v>3343</v>
      </c>
    </row>
    <row r="344" ht="13.5" customHeight="1" spans="1:21">
      <c r="A344" s="101">
        <f t="shared" si="13"/>
        <v>8</v>
      </c>
      <c r="B344" s="104" t="s">
        <v>1675</v>
      </c>
      <c r="C344" s="102">
        <f>IFERROR(VLOOKUP(B344,'02. MM-KLH'!$B$6:$T$823,2,0),"")</f>
        <v>0</v>
      </c>
      <c r="D344" s="103" t="str">
        <f>IFERROR(VLOOKUP(B344,'02. MM-KLH'!$B$6:$T$823,3,0),"")</f>
        <v>A24-XTA-037</v>
      </c>
      <c r="E344" s="102">
        <f>IFERROR(VLOOKUP(B344,'02. MM-KLH'!$B$6:$T$823,4,0),"")</f>
        <v>0</v>
      </c>
      <c r="F344" s="104" t="s">
        <v>3393</v>
      </c>
      <c r="G344" s="102" t="str">
        <f>IFERROR(VLOOKUP(B344,'02. MM-KLH'!$B$6:$T$823,6,0),"")</f>
        <v>Xe tải THACO FRONTIER TF490</v>
      </c>
      <c r="H344" s="101" t="s">
        <v>3384</v>
      </c>
      <c r="I344" s="101" t="str">
        <f>IFERROR(VLOOKUP(B344,'02. MM-KLH'!$B$6:$T$823,8,0),"")</f>
        <v>XN Chuối LP3</v>
      </c>
      <c r="J344" s="105">
        <f>IFERROR(VLOOKUP(B344,'02. MM-KLH'!$B$6:$T$823,9,0),"")</f>
        <v>46296</v>
      </c>
      <c r="K344" s="101" t="str">
        <f>IFERROR(VLOOKUP(B344,'02. MM-KLH'!$B$6:$T$823,10,0),"")</f>
        <v>Bình thường</v>
      </c>
      <c r="L344" s="107">
        <f>IFERROR(VLOOKUP(B344,'02. MM-KLH'!$B$6:$T$823,11,0),"")</f>
        <v>0</v>
      </c>
      <c r="M344" s="864" t="str">
        <f>IFERROR(VLOOKUP(B344,'02. MM-KLH'!$B$6:$T$823,12,0),"")</f>
        <v>Đầu tư mới</v>
      </c>
      <c r="N344" s="110" t="str">
        <f>IFERROR(VLOOKUP(B344,'02. MM-KLH'!$B$6:$T$823,13,0),"")</f>
        <v>THACO FRONTIER</v>
      </c>
      <c r="O344" s="110" t="str">
        <f>IFERROR(VLOOKUP(B344,'02. MM-KLH'!$B$6:$T$823,14,0),"")</f>
        <v>VIỆT NAM</v>
      </c>
      <c r="P344" s="101">
        <f>IFERROR(VLOOKUP(B344,'02. MM-KLH'!$B$6:$T$823,15,0),"")</f>
        <v>2024</v>
      </c>
      <c r="Q344" s="101" t="str">
        <f>IFERROR(VLOOKUP(B344,'02. MM-KLH'!$B$6:$T$823,16,0),"")</f>
        <v>TF490</v>
      </c>
      <c r="R344" s="101" t="str">
        <f>IFERROR(VLOOKUP(B344,'02. MM-KLH'!$B$6:$T$823,17,0),"")</f>
        <v>107HP</v>
      </c>
      <c r="S344" s="110" t="str">
        <f>IFERROR(VLOOKUP(B344,'02. MM-KLH'!$B$6:$T$823,18,0),"")</f>
        <v>RNHA49TZART082920</v>
      </c>
      <c r="T344" s="111" t="str">
        <f>IFERROR(VLOOKUP(B344,'02. MM-KLH'!$B$6:$T$823,19,0),"")</f>
        <v>JE493ZLQ4*37100378*</v>
      </c>
      <c r="U344" s="863" t="s">
        <v>3343</v>
      </c>
    </row>
    <row r="345" ht="13.5" customHeight="1" spans="1:21">
      <c r="A345" s="101">
        <f t="shared" si="13"/>
        <v>9</v>
      </c>
      <c r="B345" s="104" t="s">
        <v>1536</v>
      </c>
      <c r="C345" s="102">
        <f>IFERROR(VLOOKUP(B345,'02. MM-KLH'!$B$6:$T$823,2,0),"")</f>
        <v>0</v>
      </c>
      <c r="D345" s="103" t="str">
        <f>IFERROR(VLOOKUP(B345,'02. MM-KLH'!$B$6:$T$823,3,0),"")</f>
        <v>A24-XTA-038</v>
      </c>
      <c r="E345" s="102">
        <f>IFERROR(VLOOKUP(B345,'02. MM-KLH'!$B$6:$T$823,4,0),"")</f>
        <v>0</v>
      </c>
      <c r="F345" s="104" t="s">
        <v>3394</v>
      </c>
      <c r="G345" s="102" t="str">
        <f>IFERROR(VLOOKUP(B345,'02. MM-KLH'!$B$6:$T$823,6,0),"")</f>
        <v>Xe tải THACO FRONTIER TF700</v>
      </c>
      <c r="H345" s="101" t="s">
        <v>3384</v>
      </c>
      <c r="I345" s="101" t="str">
        <f>IFERROR(VLOOKUP(B345,'02. MM-KLH'!$B$6:$T$823,8,0),"")</f>
        <v>XN Chuối LP1</v>
      </c>
      <c r="J345" s="105" t="str">
        <f>IFERROR(VLOOKUP(B345,'02. MM-KLH'!$B$6:$T$823,9,0),"")</f>
        <v>26/01/2026</v>
      </c>
      <c r="K345" s="101" t="str">
        <f>IFERROR(VLOOKUP(B345,'02. MM-KLH'!$B$6:$T$823,10,0),"")</f>
        <v>Bình thường</v>
      </c>
      <c r="L345" s="107">
        <f>IFERROR(VLOOKUP(B345,'02. MM-KLH'!$B$6:$T$823,11,0),"")</f>
        <v>0</v>
      </c>
      <c r="M345" s="864" t="str">
        <f>IFERROR(VLOOKUP(B345,'02. MM-KLH'!$B$6:$T$823,12,0),"")</f>
        <v>Đầu tư mới</v>
      </c>
      <c r="N345" s="110" t="str">
        <f>IFERROR(VLOOKUP(B345,'02. MM-KLH'!$B$6:$T$823,13,0),"")</f>
        <v>THACO FRONTIER</v>
      </c>
      <c r="O345" s="110" t="str">
        <f>IFERROR(VLOOKUP(B345,'02. MM-KLH'!$B$6:$T$823,14,0),"")</f>
        <v>VIỆT NAM</v>
      </c>
      <c r="P345" s="101">
        <f>IFERROR(VLOOKUP(B345,'02. MM-KLH'!$B$6:$T$823,15,0),"")</f>
        <v>2024</v>
      </c>
      <c r="Q345" s="101" t="str">
        <f>IFERROR(VLOOKUP(B345,'02. MM-KLH'!$B$6:$T$823,16,0),"")</f>
        <v>TF700</v>
      </c>
      <c r="R345" s="101" t="str">
        <f>IFERROR(VLOOKUP(B345,'02. MM-KLH'!$B$6:$T$823,17,0),"")</f>
        <v>107HP</v>
      </c>
      <c r="S345" s="110" t="str">
        <f>IFERROR(VLOOKUP(B345,'02. MM-KLH'!$B$6:$T$823,18,0),"")</f>
        <v>RNHA69TZAPT082910</v>
      </c>
      <c r="T345" s="111" t="str">
        <f>IFERROR(VLOOKUP(B345,'02. MM-KLH'!$B$6:$T$823,19,0),"")</f>
        <v>JE493ZLQ4*37100367*</v>
      </c>
      <c r="U345" s="863" t="s">
        <v>3343</v>
      </c>
    </row>
    <row r="346" ht="13.5" customHeight="1" spans="1:21">
      <c r="A346" s="101">
        <f t="shared" si="13"/>
        <v>10</v>
      </c>
      <c r="B346" s="104" t="s">
        <v>2299</v>
      </c>
      <c r="C346" s="102" t="str">
        <f>IFERROR(VLOOKUP(B346,'02. MM-KLH'!$B$6:$T$823,2,0),"")</f>
        <v>CVC-XTA-004</v>
      </c>
      <c r="D346" s="103" t="str">
        <f>IFERROR(VLOOKUP(B346,'02. MM-KLH'!$B$6:$T$823,3,0),"")</f>
        <v>ATT-A22-0258</v>
      </c>
      <c r="E346" s="102">
        <f>IFERROR(VLOOKUP(B346,'02. MM-KLH'!$B$6:$T$823,4,0),"")</f>
        <v>0</v>
      </c>
      <c r="F346" s="104" t="s">
        <v>3395</v>
      </c>
      <c r="G346" s="102" t="str">
        <f>IFERROR(VLOOKUP(B346,'02. MM-KLH'!$B$6:$T$823,6,0),"")</f>
        <v>Xe tải thùng FD140</v>
      </c>
      <c r="H346" s="101" t="s">
        <v>3382</v>
      </c>
      <c r="I346" s="101" t="str">
        <f>IFERROR(VLOOKUP(B346,'02. MM-KLH'!$B$6:$T$823,8,0),"")</f>
        <v>XN Bò AD</v>
      </c>
      <c r="J346" s="105">
        <f>IFERROR(VLOOKUP(B346,'02. MM-KLH'!$B$6:$T$823,9,0),"")</f>
        <v>44564</v>
      </c>
      <c r="K346" s="101" t="str">
        <f>IFERROR(VLOOKUP(B346,'02. MM-KLH'!$B$6:$T$823,10,0),"")</f>
        <v>Bình thường</v>
      </c>
      <c r="L346" s="107">
        <f>IFERROR(VLOOKUP(B346,'02. MM-KLH'!$B$6:$T$823,11,0),"")</f>
        <v>0.79</v>
      </c>
      <c r="M346" s="864" t="str">
        <f>IFERROR(VLOOKUP(B346,'02. MM-KLH'!$B$6:$T$823,12,0),"")</f>
        <v>Điều chuyển từ GNVC KLH 08/07/2024 </v>
      </c>
      <c r="N346" s="110" t="str">
        <f>IFERROR(VLOOKUP(B346,'02. MM-KLH'!$B$6:$T$823,13,0),"")</f>
        <v>THACO FORLAND</v>
      </c>
      <c r="O346" s="110" t="str">
        <f>IFERROR(VLOOKUP(B346,'02. MM-KLH'!$B$6:$T$823,14,0),"")</f>
        <v>VIỆT NAM</v>
      </c>
      <c r="P346" s="101">
        <f>IFERROR(VLOOKUP(B346,'02. MM-KLH'!$B$6:$T$823,15,0),"")</f>
        <v>2021</v>
      </c>
      <c r="Q346" s="101" t="str">
        <f>IFERROR(VLOOKUP(B346,'02. MM-KLH'!$B$6:$T$823,16,0),"")</f>
        <v>FD140-4WD</v>
      </c>
      <c r="R346" s="101" t="str">
        <f>IFERROR(VLOOKUP(B346,'02. MM-KLH'!$B$6:$T$823,17,0),"")</f>
        <v>140HP</v>
      </c>
      <c r="S346" s="110" t="str">
        <f>IFERROR(VLOOKUP(B346,'02. MM-KLH'!$B$6:$T$823,18,0),"")</f>
        <v>RNHF14FYAMT052027</v>
      </c>
      <c r="T346" s="111" t="str">
        <f>IFERROR(VLOOKUP(B346,'02. MM-KLH'!$B$6:$T$823,19,0),"")</f>
        <v>YC4D140-48D59M1M00546</v>
      </c>
      <c r="U346" s="863" t="s">
        <v>451</v>
      </c>
    </row>
    <row r="347" ht="13.5" customHeight="1" spans="1:21">
      <c r="A347" s="101">
        <f t="shared" si="13"/>
        <v>11</v>
      </c>
      <c r="B347" s="104" t="s">
        <v>2305</v>
      </c>
      <c r="C347" s="102">
        <f>IFERROR(VLOOKUP(B347,'02. MM-KLH'!$B$6:$T$823,2,0),"")</f>
        <v>0</v>
      </c>
      <c r="D347" s="103" t="str">
        <f>IFERROR(VLOOKUP(B347,'02. MM-KLH'!$B$6:$T$823,3,0),"")</f>
        <v>A22-XTA-006</v>
      </c>
      <c r="E347" s="102" t="str">
        <f>IFERROR(VLOOKUP(B347,'02. MM-KLH'!$B$6:$T$823,4,0),"")</f>
        <v>3A-6805</v>
      </c>
      <c r="F347" s="104"/>
      <c r="G347" s="102" t="str">
        <f>IFERROR(VLOOKUP(B347,'02. MM-KLH'!$B$6:$T$823,6,0),"")</f>
        <v>Xe tải thùng FC150</v>
      </c>
      <c r="H347" s="101" t="s">
        <v>3382</v>
      </c>
      <c r="I347" s="101" t="str">
        <f>IFERROR(VLOOKUP(B347,'02. MM-KLH'!$B$6:$T$823,8,0),"")</f>
        <v>XN Bò AD</v>
      </c>
      <c r="J347" s="105">
        <f>IFERROR(VLOOKUP(B347,'02. MM-KLH'!$B$6:$T$823,9,0),"")</f>
        <v>45636</v>
      </c>
      <c r="K347" s="101" t="str">
        <f>IFERROR(VLOOKUP(B347,'02. MM-KLH'!$B$6:$T$823,10,0),"")</f>
        <v>Bình thường</v>
      </c>
      <c r="L347" s="107">
        <f>IFERROR(VLOOKUP(B347,'02. MM-KLH'!$B$6:$T$823,11,0),"")</f>
        <v>0</v>
      </c>
      <c r="M347" s="864" t="str">
        <f>IFERROR(VLOOKUP(B347,'02. MM-KLH'!$B$6:$T$823,12,0),"")</f>
        <v>Đầu tư mới</v>
      </c>
      <c r="N347" s="110" t="str">
        <f>IFERROR(VLOOKUP(B347,'02. MM-KLH'!$B$6:$T$823,13,0),"")</f>
        <v>THACO FORLAND</v>
      </c>
      <c r="O347" s="110" t="str">
        <f>IFERROR(VLOOKUP(B347,'02. MM-KLH'!$B$6:$T$823,14,0),"")</f>
        <v>VIỆT NAM</v>
      </c>
      <c r="P347" s="101">
        <f>IFERROR(VLOOKUP(B347,'02. MM-KLH'!$B$6:$T$823,15,0),"")</f>
        <v>2024</v>
      </c>
      <c r="Q347" s="101" t="str">
        <f>IFERROR(VLOOKUP(B347,'02. MM-KLH'!$B$6:$T$823,16,0),"")</f>
        <v>FC150-4WD</v>
      </c>
      <c r="R347" s="101" t="str">
        <f>IFERROR(VLOOKUP(B347,'02. MM-KLH'!$B$6:$T$823,17,0),"")</f>
        <v>147HP</v>
      </c>
      <c r="S347" s="110" t="str">
        <f>IFERROR(VLOOKUP(B347,'02. MM-KLH'!$B$6:$T$823,18,0),"")</f>
        <v>RNHF16FYBRT077509</v>
      </c>
      <c r="T347" s="111" t="str">
        <f>IFERROR(VLOOKUP(B347,'02. MM-KLH'!$B$6:$T$823,19,0),"")</f>
        <v>D59M1N01082</v>
      </c>
      <c r="U347" s="863" t="s">
        <v>451</v>
      </c>
    </row>
    <row r="348" ht="13.5" customHeight="1" spans="1:21">
      <c r="A348" s="101">
        <f>A475+1</f>
        <v>6</v>
      </c>
      <c r="B348" s="104" t="s">
        <v>2465</v>
      </c>
      <c r="C348" s="102" t="str">
        <f>IFERROR(VLOOKUP(B348,'02. MM-KLH'!$B$6:$T$823,2,0),"")</f>
        <v>CVC-XTA-001 (3A-0813)</v>
      </c>
      <c r="D348" s="103" t="str">
        <f>IFERROR(VLOOKUP(B348,'02. MM-KLH'!$B$6:$T$823,3,0),"")</f>
        <v>ATT-A23-0023</v>
      </c>
      <c r="E348" s="102" t="str">
        <f>IFERROR(VLOOKUP(B348,'02. MM-KLH'!$B$6:$T$823,4,0),"")</f>
        <v>3A-0813</v>
      </c>
      <c r="F348" s="104" t="s">
        <v>3396</v>
      </c>
      <c r="G348" s="102" t="str">
        <f>IFERROR(VLOOKUP(B348,'02. MM-KLH'!$B$6:$T$823,6,0),"")</f>
        <v>Xe tải thùng Auman C160</v>
      </c>
      <c r="H348" s="101" t="s">
        <v>3378</v>
      </c>
      <c r="I348" s="101" t="str">
        <f>IFERROR(VLOOKUP(B348,'02. MM-KLH'!$B$6:$T$823,8,0),"")</f>
        <v>Phòng GNVC</v>
      </c>
      <c r="J348" s="105">
        <f>IFERROR(VLOOKUP(B348,'02. MM-KLH'!$B$6:$T$823,9,0),"")</f>
        <v>43835</v>
      </c>
      <c r="K348" s="101" t="str">
        <f>IFERROR(VLOOKUP(B348,'02. MM-KLH'!$B$6:$T$823,10,0),"")</f>
        <v>Bình thường</v>
      </c>
      <c r="L348" s="107">
        <f>IFERROR(VLOOKUP(B348,'02. MM-KLH'!$B$6:$T$823,11,0),"")</f>
        <v>0.67</v>
      </c>
      <c r="M348" s="864">
        <f>IFERROR(VLOOKUP(B348,'02. MM-KLH'!$B$6:$T$823,12,0),"")</f>
        <v>0</v>
      </c>
      <c r="N348" s="110" t="str">
        <f>IFERROR(VLOOKUP(B348,'02. MM-KLH'!$B$6:$T$823,13,0),"")</f>
        <v>THACO AUMAN</v>
      </c>
      <c r="O348" s="110" t="str">
        <f>IFERROR(VLOOKUP(B348,'02. MM-KLH'!$B$6:$T$823,14,0),"")</f>
        <v>VIỆT NAM</v>
      </c>
      <c r="P348" s="101">
        <f>IFERROR(VLOOKUP(B348,'02. MM-KLH'!$B$6:$T$823,15,0),"")</f>
        <v>2012</v>
      </c>
      <c r="Q348" s="101" t="str">
        <f>IFERROR(VLOOKUP(B348,'02. MM-KLH'!$B$6:$T$823,16,0),"")</f>
        <v>C160</v>
      </c>
      <c r="R348" s="101" t="str">
        <f>IFERROR(VLOOKUP(B348,'02. MM-KLH'!$B$6:$T$823,17,0),"")</f>
        <v>96HP</v>
      </c>
      <c r="S348" s="110">
        <f>IFERROR(VLOOKUP(B348,'02. MM-KLH'!$B$6:$T$823,18,0),"")</f>
        <v>6005</v>
      </c>
      <c r="T348" s="111">
        <f>IFERROR(VLOOKUP(B348,'02. MM-KLH'!$B$6:$T$823,19,0),"")</f>
        <v>495027</v>
      </c>
      <c r="U348" s="863" t="s">
        <v>451</v>
      </c>
    </row>
    <row r="349" ht="13.5" customHeight="1" spans="1:21">
      <c r="A349" s="101">
        <f t="shared" ref="A349:A354" si="14">A348+1</f>
        <v>7</v>
      </c>
      <c r="B349" s="104" t="s">
        <v>2469</v>
      </c>
      <c r="C349" s="102" t="str">
        <f>IFERROR(VLOOKUP(B349,'02. MM-KLH'!$B$6:$T$823,2,0),"")</f>
        <v>CVC-XTA-002 (3F-2956)</v>
      </c>
      <c r="D349" s="103" t="str">
        <f>IFERROR(VLOOKUP(B349,'02. MM-KLH'!$B$6:$T$823,3,0),"")</f>
        <v>A23-XTA-013</v>
      </c>
      <c r="E349" s="102" t="str">
        <f>IFERROR(VLOOKUP(B349,'02. MM-KLH'!$B$6:$T$823,4,0),"")</f>
        <v>3F-2956</v>
      </c>
      <c r="F349" s="104"/>
      <c r="G349" s="102" t="str">
        <f>IFERROR(VLOOKUP(B349,'02. MM-KLH'!$B$6:$T$823,6,0),"")</f>
        <v>Xe tải thùng Auman C160</v>
      </c>
      <c r="H349" s="101" t="s">
        <v>3378</v>
      </c>
      <c r="I349" s="101" t="str">
        <f>IFERROR(VLOOKUP(B349,'02. MM-KLH'!$B$6:$T$823,8,0),"")</f>
        <v>Phòng GNVC</v>
      </c>
      <c r="J349" s="105">
        <f>IFERROR(VLOOKUP(B349,'02. MM-KLH'!$B$6:$T$823,9,0),"")</f>
        <v>0</v>
      </c>
      <c r="K349" s="101" t="str">
        <f>IFERROR(VLOOKUP(B349,'02. MM-KLH'!$B$6:$T$823,10,0),"")</f>
        <v>Bình thường</v>
      </c>
      <c r="L349" s="107">
        <f>IFERROR(VLOOKUP(B349,'02. MM-KLH'!$B$6:$T$823,11,0),"")</f>
        <v>0</v>
      </c>
      <c r="M349" s="864">
        <f>IFERROR(VLOOKUP(B349,'02. MM-KLH'!$B$6:$T$823,12,0),"")</f>
        <v>0</v>
      </c>
      <c r="N349" s="110" t="str">
        <f>IFERROR(VLOOKUP(B349,'02. MM-KLH'!$B$6:$T$823,13,0),"")</f>
        <v>THACO AUMAN</v>
      </c>
      <c r="O349" s="110" t="str">
        <f>IFERROR(VLOOKUP(B349,'02. MM-KLH'!$B$6:$T$823,14,0),"")</f>
        <v>VIỆT NAM</v>
      </c>
      <c r="P349" s="101">
        <f>IFERROR(VLOOKUP(B349,'02. MM-KLH'!$B$6:$T$823,15,0),"")</f>
        <v>2012</v>
      </c>
      <c r="Q349" s="101" t="str">
        <f>IFERROR(VLOOKUP(B349,'02. MM-KLH'!$B$6:$T$823,16,0),"")</f>
        <v>C160</v>
      </c>
      <c r="R349" s="101" t="str">
        <f>IFERROR(VLOOKUP(B349,'02. MM-KLH'!$B$6:$T$823,17,0),"")</f>
        <v>96HP</v>
      </c>
      <c r="S349" s="110" t="str">
        <f>IFERROR(VLOOKUP(B349,'02. MM-KLH'!$B$6:$T$823,18,0),"")</f>
        <v>C006006</v>
      </c>
      <c r="T349" s="111" t="str">
        <f>IFERROR(VLOOKUP(B349,'02. MM-KLH'!$B$6:$T$823,19,0),"")</f>
        <v>CCN</v>
      </c>
      <c r="U349" s="863" t="s">
        <v>451</v>
      </c>
    </row>
    <row r="350" ht="13.5" customHeight="1" spans="1:21">
      <c r="A350" s="101">
        <f t="shared" si="14"/>
        <v>8</v>
      </c>
      <c r="B350" s="104" t="s">
        <v>2473</v>
      </c>
      <c r="C350" s="102" t="str">
        <f>IFERROR(VLOOKUP(B350,'02. MM-KLH'!$B$6:$T$823,2,0),"")</f>
        <v>CVC-XTA-003 (3A-6603)</v>
      </c>
      <c r="D350" s="103" t="str">
        <f>IFERROR(VLOOKUP(B350,'02. MM-KLH'!$B$6:$T$823,3,0),"")</f>
        <v>ATT-A23-0040</v>
      </c>
      <c r="E350" s="102" t="str">
        <f>IFERROR(VLOOKUP(B350,'02. MM-KLH'!$B$6:$T$823,4,0),"")</f>
        <v>3A-6603</v>
      </c>
      <c r="F350" s="104" t="s">
        <v>3397</v>
      </c>
      <c r="G350" s="102" t="str">
        <f>IFERROR(VLOOKUP(B350,'02. MM-KLH'!$B$6:$T$823,6,0),"")</f>
        <v>Xe tải thùng Auman C160</v>
      </c>
      <c r="H350" s="101" t="s">
        <v>3378</v>
      </c>
      <c r="I350" s="101" t="str">
        <f>IFERROR(VLOOKUP(B350,'02. MM-KLH'!$B$6:$T$823,8,0),"")</f>
        <v>Phòng GNVC</v>
      </c>
      <c r="J350" s="105">
        <f>IFERROR(VLOOKUP(B350,'02. MM-KLH'!$B$6:$T$823,9,0),"")</f>
        <v>44114</v>
      </c>
      <c r="K350" s="101" t="str">
        <f>IFERROR(VLOOKUP(B350,'02. MM-KLH'!$B$6:$T$823,10,0),"")</f>
        <v>Bình thường</v>
      </c>
      <c r="L350" s="107">
        <f>IFERROR(VLOOKUP(B350,'02. MM-KLH'!$B$6:$T$823,11,0),"")</f>
        <v>0.6</v>
      </c>
      <c r="M350" s="864">
        <f>IFERROR(VLOOKUP(B350,'02. MM-KLH'!$B$6:$T$823,12,0),"")</f>
        <v>0</v>
      </c>
      <c r="N350" s="110" t="str">
        <f>IFERROR(VLOOKUP(B350,'02. MM-KLH'!$B$6:$T$823,13,0),"")</f>
        <v>THACO AUMAN</v>
      </c>
      <c r="O350" s="110" t="str">
        <f>IFERROR(VLOOKUP(B350,'02. MM-KLH'!$B$6:$T$823,14,0),"")</f>
        <v>VIỆT NAM</v>
      </c>
      <c r="P350" s="101">
        <f>IFERROR(VLOOKUP(B350,'02. MM-KLH'!$B$6:$T$823,15,0),"")</f>
        <v>2012</v>
      </c>
      <c r="Q350" s="101" t="str">
        <f>IFERROR(VLOOKUP(B350,'02. MM-KLH'!$B$6:$T$823,16,0),"")</f>
        <v>C160</v>
      </c>
      <c r="R350" s="101" t="str">
        <f>IFERROR(VLOOKUP(B350,'02. MM-KLH'!$B$6:$T$823,17,0),"")</f>
        <v>96HP</v>
      </c>
      <c r="S350" s="110" t="str">
        <f>IFERROR(VLOOKUP(B350,'02. MM-KLH'!$B$6:$T$823,18,0),"")</f>
        <v>C006003</v>
      </c>
      <c r="T350" s="111" t="str">
        <f>IFERROR(VLOOKUP(B350,'02. MM-KLH'!$B$6:$T$823,19,0),"")</f>
        <v>CCN</v>
      </c>
      <c r="U350" s="863" t="s">
        <v>451</v>
      </c>
    </row>
    <row r="351" ht="13.5" customHeight="1" spans="1:21">
      <c r="A351" s="101">
        <f t="shared" si="14"/>
        <v>9</v>
      </c>
      <c r="B351" s="104" t="s">
        <v>2477</v>
      </c>
      <c r="C351" s="102" t="str">
        <f>IFERROR(VLOOKUP(B351,'02. MM-KLH'!$B$6:$T$823,2,0),"")</f>
        <v>CVC-XTA-005</v>
      </c>
      <c r="D351" s="103" t="str">
        <f>IFERROR(VLOOKUP(B351,'02. MM-KLH'!$B$6:$T$823,3,0),"")</f>
        <v>ATT-A22-0259</v>
      </c>
      <c r="E351" s="102">
        <f>IFERROR(VLOOKUP(B351,'02. MM-KLH'!$B$6:$T$823,4,0),"")</f>
        <v>0</v>
      </c>
      <c r="F351" s="104" t="s">
        <v>3398</v>
      </c>
      <c r="G351" s="102" t="str">
        <f>IFERROR(VLOOKUP(B351,'02. MM-KLH'!$B$6:$T$823,6,0),"")</f>
        <v>Xe tải thùng FD140</v>
      </c>
      <c r="H351" s="101" t="s">
        <v>3382</v>
      </c>
      <c r="I351" s="101" t="str">
        <f>IFERROR(VLOOKUP(B351,'02. MM-KLH'!$B$6:$T$823,8,0),"")</f>
        <v>Phòng GNVC</v>
      </c>
      <c r="J351" s="105">
        <f>IFERROR(VLOOKUP(B351,'02. MM-KLH'!$B$6:$T$823,9,0),"")</f>
        <v>44564</v>
      </c>
      <c r="K351" s="101" t="str">
        <f>IFERROR(VLOOKUP(B351,'02. MM-KLH'!$B$6:$T$823,10,0),"")</f>
        <v>Bình thường</v>
      </c>
      <c r="L351" s="107">
        <f>IFERROR(VLOOKUP(B351,'02. MM-KLH'!$B$6:$T$823,11,0),"")</f>
        <v>0.79</v>
      </c>
      <c r="M351" s="864">
        <f>IFERROR(VLOOKUP(B351,'02. MM-KLH'!$B$6:$T$823,12,0),"")</f>
        <v>0</v>
      </c>
      <c r="N351" s="110" t="str">
        <f>IFERROR(VLOOKUP(B351,'02. MM-KLH'!$B$6:$T$823,13,0),"")</f>
        <v>THACO FORLAND</v>
      </c>
      <c r="O351" s="110" t="str">
        <f>IFERROR(VLOOKUP(B351,'02. MM-KLH'!$B$6:$T$823,14,0),"")</f>
        <v>VIỆT NAM</v>
      </c>
      <c r="P351" s="101">
        <f>IFERROR(VLOOKUP(B351,'02. MM-KLH'!$B$6:$T$823,15,0),"")</f>
        <v>2021</v>
      </c>
      <c r="Q351" s="101" t="str">
        <f>IFERROR(VLOOKUP(B351,'02. MM-KLH'!$B$6:$T$823,16,0),"")</f>
        <v>FD140</v>
      </c>
      <c r="R351" s="101" t="str">
        <f>IFERROR(VLOOKUP(B351,'02. MM-KLH'!$B$6:$T$823,17,0),"")</f>
        <v>140HP</v>
      </c>
      <c r="S351" s="110" t="str">
        <f>IFERROR(VLOOKUP(B351,'02. MM-KLH'!$B$6:$T$823,18,0),"")</f>
        <v>RNHF14FYAMT052028</v>
      </c>
      <c r="T351" s="111" t="str">
        <f>IFERROR(VLOOKUP(B351,'02. MM-KLH'!$B$6:$T$823,19,0),"")</f>
        <v>YC4D140-48D59M1M00594</v>
      </c>
      <c r="U351" s="863" t="s">
        <v>451</v>
      </c>
    </row>
    <row r="352" ht="13.5" customHeight="1" spans="1:21">
      <c r="A352" s="101">
        <f t="shared" si="14"/>
        <v>10</v>
      </c>
      <c r="B352" s="104" t="s">
        <v>2481</v>
      </c>
      <c r="C352" s="102" t="str">
        <f>IFERROR(VLOOKUP(B352,'02. MM-KLH'!$B$6:$T$823,2,0),"")</f>
        <v>CVC-XTA-006</v>
      </c>
      <c r="D352" s="103" t="str">
        <f>IFERROR(VLOOKUP(B352,'02. MM-KLH'!$B$6:$T$823,3,0),"")</f>
        <v>ATT-A22-0260</v>
      </c>
      <c r="E352" s="102">
        <f>IFERROR(VLOOKUP(B352,'02. MM-KLH'!$B$6:$T$823,4,0),"")</f>
        <v>0</v>
      </c>
      <c r="F352" s="104" t="s">
        <v>3399</v>
      </c>
      <c r="G352" s="102" t="str">
        <f>IFERROR(VLOOKUP(B352,'02. MM-KLH'!$B$6:$T$823,6,0),"")</f>
        <v>Xe tải thùng FD140</v>
      </c>
      <c r="H352" s="101" t="s">
        <v>3382</v>
      </c>
      <c r="I352" s="101" t="str">
        <f>IFERROR(VLOOKUP(B352,'02. MM-KLH'!$B$6:$T$823,8,0),"")</f>
        <v>Phòng GNVC</v>
      </c>
      <c r="J352" s="105">
        <f>IFERROR(VLOOKUP(B352,'02. MM-KLH'!$B$6:$T$823,9,0),"")</f>
        <v>44564</v>
      </c>
      <c r="K352" s="101" t="str">
        <f>IFERROR(VLOOKUP(B352,'02. MM-KLH'!$B$6:$T$823,10,0),"")</f>
        <v>Bình thường</v>
      </c>
      <c r="L352" s="107">
        <f>IFERROR(VLOOKUP(B352,'02. MM-KLH'!$B$6:$T$823,11,0),"")</f>
        <v>0.79</v>
      </c>
      <c r="M352" s="864">
        <f>IFERROR(VLOOKUP(B352,'02. MM-KLH'!$B$6:$T$823,12,0),"")</f>
        <v>0</v>
      </c>
      <c r="N352" s="110" t="str">
        <f>IFERROR(VLOOKUP(B352,'02. MM-KLH'!$B$6:$T$823,13,0),"")</f>
        <v>THACO FORLAND</v>
      </c>
      <c r="O352" s="110" t="str">
        <f>IFERROR(VLOOKUP(B352,'02. MM-KLH'!$B$6:$T$823,14,0),"")</f>
        <v>VIỆT NAM</v>
      </c>
      <c r="P352" s="101">
        <f>IFERROR(VLOOKUP(B352,'02. MM-KLH'!$B$6:$T$823,15,0),"")</f>
        <v>2021</v>
      </c>
      <c r="Q352" s="101" t="str">
        <f>IFERROR(VLOOKUP(B352,'02. MM-KLH'!$B$6:$T$823,16,0),"")</f>
        <v>FD140</v>
      </c>
      <c r="R352" s="101" t="str">
        <f>IFERROR(VLOOKUP(B352,'02. MM-KLH'!$B$6:$T$823,17,0),"")</f>
        <v>140HP</v>
      </c>
      <c r="S352" s="110" t="str">
        <f>IFERROR(VLOOKUP(B352,'02. MM-KLH'!$B$6:$T$823,18,0),"")</f>
        <v>RNHF14FYAMT052029</v>
      </c>
      <c r="T352" s="111" t="str">
        <f>IFERROR(VLOOKUP(B352,'02. MM-KLH'!$B$6:$T$823,19,0),"")</f>
        <v>YC4D140-48D59M1M00563</v>
      </c>
      <c r="U352" s="863" t="s">
        <v>451</v>
      </c>
    </row>
    <row r="353" ht="13.5" customHeight="1" spans="1:21">
      <c r="A353" s="101">
        <f t="shared" si="14"/>
        <v>11</v>
      </c>
      <c r="B353" s="104" t="s">
        <v>2484</v>
      </c>
      <c r="C353" s="102" t="str">
        <f>IFERROR(VLOOKUP(B353,'02. MM-KLH'!$B$6:$T$823,2,0),"")</f>
        <v>CVC-XTA-007</v>
      </c>
      <c r="D353" s="103" t="str">
        <f>IFERROR(VLOOKUP(B353,'02. MM-KLH'!$B$6:$T$823,3,0),"")</f>
        <v>ATT-A22-0261</v>
      </c>
      <c r="E353" s="102">
        <f>IFERROR(VLOOKUP(B353,'02. MM-KLH'!$B$6:$T$823,4,0),"")</f>
        <v>0</v>
      </c>
      <c r="F353" s="104" t="s">
        <v>3400</v>
      </c>
      <c r="G353" s="102" t="str">
        <f>IFERROR(VLOOKUP(B353,'02. MM-KLH'!$B$6:$T$823,6,0),"")</f>
        <v>Xe tải thùng FD140</v>
      </c>
      <c r="H353" s="101" t="s">
        <v>3382</v>
      </c>
      <c r="I353" s="101" t="str">
        <f>IFERROR(VLOOKUP(B353,'02. MM-KLH'!$B$6:$T$823,8,0),"")</f>
        <v>Phòng GNVC</v>
      </c>
      <c r="J353" s="105">
        <f>IFERROR(VLOOKUP(B353,'02. MM-KLH'!$B$6:$T$823,9,0),"")</f>
        <v>44564</v>
      </c>
      <c r="K353" s="101" t="str">
        <f>IFERROR(VLOOKUP(B353,'02. MM-KLH'!$B$6:$T$823,10,0),"")</f>
        <v>Bình thường</v>
      </c>
      <c r="L353" s="107">
        <f>IFERROR(VLOOKUP(B353,'02. MM-KLH'!$B$6:$T$823,11,0),"")</f>
        <v>0.79</v>
      </c>
      <c r="M353" s="864">
        <f>IFERROR(VLOOKUP(B353,'02. MM-KLH'!$B$6:$T$823,12,0),"")</f>
        <v>0</v>
      </c>
      <c r="N353" s="110" t="str">
        <f>IFERROR(VLOOKUP(B353,'02. MM-KLH'!$B$6:$T$823,13,0),"")</f>
        <v>THACO FORLAND</v>
      </c>
      <c r="O353" s="110" t="str">
        <f>IFERROR(VLOOKUP(B353,'02. MM-KLH'!$B$6:$T$823,14,0),"")</f>
        <v>VIỆT NAM</v>
      </c>
      <c r="P353" s="101">
        <f>IFERROR(VLOOKUP(B353,'02. MM-KLH'!$B$6:$T$823,15,0),"")</f>
        <v>2021</v>
      </c>
      <c r="Q353" s="101" t="str">
        <f>IFERROR(VLOOKUP(B353,'02. MM-KLH'!$B$6:$T$823,16,0),"")</f>
        <v>FD140</v>
      </c>
      <c r="R353" s="101" t="str">
        <f>IFERROR(VLOOKUP(B353,'02. MM-KLH'!$B$6:$T$823,17,0),"")</f>
        <v>140HP</v>
      </c>
      <c r="S353" s="110" t="str">
        <f>IFERROR(VLOOKUP(B353,'02. MM-KLH'!$B$6:$T$823,18,0),"")</f>
        <v>RNHF14FYAMT052030</v>
      </c>
      <c r="T353" s="111" t="str">
        <f>IFERROR(VLOOKUP(B353,'02. MM-KLH'!$B$6:$T$823,19,0),"")</f>
        <v>YC4D140-48D59M1M00527</v>
      </c>
      <c r="U353" s="863" t="s">
        <v>451</v>
      </c>
    </row>
    <row r="354" ht="13.5" customHeight="1" spans="1:21">
      <c r="A354" s="101">
        <f t="shared" si="14"/>
        <v>12</v>
      </c>
      <c r="B354" s="104" t="s">
        <v>2487</v>
      </c>
      <c r="C354" s="102" t="str">
        <f>IFERROR(VLOOKUP(B354,'02. MM-KLH'!$B$6:$T$823,2,0),"")</f>
        <v>CVC-XTA-009</v>
      </c>
      <c r="D354" s="103" t="str">
        <f>IFERROR(VLOOKUP(B354,'02. MM-KLH'!$B$6:$T$823,3,0),"")</f>
        <v>ATT-A23-0045</v>
      </c>
      <c r="E354" s="102">
        <f>IFERROR(VLOOKUP(B354,'02. MM-KLH'!$B$6:$T$823,4,0),"")</f>
        <v>0</v>
      </c>
      <c r="F354" s="104" t="s">
        <v>3401</v>
      </c>
      <c r="G354" s="102" t="str">
        <f>IFERROR(VLOOKUP(B354,'02. MM-KLH'!$B$6:$T$823,6,0),"")</f>
        <v>Xe tải thùng FD140</v>
      </c>
      <c r="H354" s="101" t="s">
        <v>3382</v>
      </c>
      <c r="I354" s="101" t="str">
        <f>IFERROR(VLOOKUP(B354,'02. MM-KLH'!$B$6:$T$823,8,0),"")</f>
        <v>Phòng GNVC</v>
      </c>
      <c r="J354" s="105">
        <f>IFERROR(VLOOKUP(B354,'02. MM-KLH'!$B$6:$T$823,9,0),"")</f>
        <v>44570</v>
      </c>
      <c r="K354" s="101" t="str">
        <f>IFERROR(VLOOKUP(B354,'02. MM-KLH'!$B$6:$T$823,10,0),"")</f>
        <v>Bình thường</v>
      </c>
      <c r="L354" s="107">
        <f>IFERROR(VLOOKUP(B354,'02. MM-KLH'!$B$6:$T$823,11,0),"")</f>
        <v>0.86</v>
      </c>
      <c r="M354" s="864">
        <f>IFERROR(VLOOKUP(B354,'02. MM-KLH'!$B$6:$T$823,12,0),"")</f>
        <v>0</v>
      </c>
      <c r="N354" s="110" t="str">
        <f>IFERROR(VLOOKUP(B354,'02. MM-KLH'!$B$6:$T$823,13,0),"")</f>
        <v>THACO FORLAND</v>
      </c>
      <c r="O354" s="110" t="str">
        <f>IFERROR(VLOOKUP(B354,'02. MM-KLH'!$B$6:$T$823,14,0),"")</f>
        <v>VIỆT NAM</v>
      </c>
      <c r="P354" s="101">
        <f>IFERROR(VLOOKUP(B354,'02. MM-KLH'!$B$6:$T$823,15,0),"")</f>
        <v>2021</v>
      </c>
      <c r="Q354" s="101" t="str">
        <f>IFERROR(VLOOKUP(B354,'02. MM-KLH'!$B$6:$T$823,16,0),"")</f>
        <v>FD140</v>
      </c>
      <c r="R354" s="101" t="str">
        <f>IFERROR(VLOOKUP(B354,'02. MM-KLH'!$B$6:$T$823,17,0),"")</f>
        <v>140HP</v>
      </c>
      <c r="S354" s="110">
        <f>IFERROR(VLOOKUP(B354,'02. MM-KLH'!$B$6:$T$823,18,0),"")</f>
        <v>49595</v>
      </c>
      <c r="T354" s="111" t="str">
        <f>IFERROR(VLOOKUP(B354,'02. MM-KLH'!$B$6:$T$823,19,0),"")</f>
        <v>CCN</v>
      </c>
      <c r="U354" s="863" t="s">
        <v>451</v>
      </c>
    </row>
    <row r="355" ht="13.5" customHeight="1" spans="1:21">
      <c r="A355" s="101">
        <f>A333+1</f>
        <v>57</v>
      </c>
      <c r="B355" s="104" t="s">
        <v>2858</v>
      </c>
      <c r="C355" s="102" t="str">
        <f>IFERROR(VLOOKUP(B355,'02. MM-KLH'!$B$6:$T$823,2,0),"")</f>
        <v>XT09 HT KLH</v>
      </c>
      <c r="D355" s="103" t="str">
        <f>IFERROR(VLOOKUP(B355,'02. MM-KLH'!$B$6:$T$823,3,0),"")</f>
        <v>-</v>
      </c>
      <c r="E355" s="102">
        <f>IFERROR(VLOOKUP(B355,'02. MM-KLH'!$B$6:$T$823,4,0),"")</f>
        <v>0</v>
      </c>
      <c r="F355" s="104"/>
      <c r="G355" s="102" t="str">
        <f>IFERROR(VLOOKUP(B355,'02. MM-KLH'!$B$6:$T$823,6,0),"")</f>
        <v>Xe tải Forland FD140</v>
      </c>
      <c r="H355" s="101" t="s">
        <v>3382</v>
      </c>
      <c r="I355" s="101" t="str">
        <f>IFERROR(VLOOKUP(B355,'02. MM-KLH'!$B$6:$T$823,8,0),"")</f>
        <v>Thadicons A&amp;I</v>
      </c>
      <c r="J355" s="105" t="str">
        <f>IFERROR(VLOOKUP(B355,'02. MM-KLH'!$B$6:$T$823,9,0),"")</f>
        <v>Đã qua sử dụng</v>
      </c>
      <c r="K355" s="101" t="str">
        <f>IFERROR(VLOOKUP(B355,'02. MM-KLH'!$B$6:$T$823,10,0),"")</f>
        <v>Bình thường</v>
      </c>
      <c r="L355" s="107">
        <f>IFERROR(VLOOKUP(B355,'02. MM-KLH'!$B$6:$T$823,11,0),"")</f>
        <v>0</v>
      </c>
      <c r="M355" s="864">
        <f>IFERROR(VLOOKUP(B355,'02. MM-KLH'!$B$6:$T$823,12,0),"")</f>
        <v>0</v>
      </c>
      <c r="N355" s="110" t="str">
        <f>IFERROR(VLOOKUP(B355,'02. MM-KLH'!$B$6:$T$823,13,0),"")</f>
        <v>THACO</v>
      </c>
      <c r="O355" s="110" t="str">
        <f>IFERROR(VLOOKUP(B355,'02. MM-KLH'!$B$6:$T$823,14,0),"")</f>
        <v>VIỆT NAM</v>
      </c>
      <c r="P355" s="101">
        <f>IFERROR(VLOOKUP(B355,'02. MM-KLH'!$B$6:$T$823,15,0),"")</f>
        <v>0</v>
      </c>
      <c r="Q355" s="101" t="str">
        <f>IFERROR(VLOOKUP(B355,'02. MM-KLH'!$B$6:$T$823,16,0),"")</f>
        <v>FD140</v>
      </c>
      <c r="R355" s="101" t="str">
        <f>IFERROR(VLOOKUP(B355,'02. MM-KLH'!$B$6:$T$823,17,0),"")</f>
        <v>140HP</v>
      </c>
      <c r="S355" s="110" t="str">
        <f>IFERROR(VLOOKUP(B355,'02. MM-KLH'!$B$6:$T$823,18,0),"")</f>
        <v>RNHF14YALT022435</v>
      </c>
      <c r="T355" s="111" t="str">
        <f>IFERROR(VLOOKUP(B355,'02. MM-KLH'!$B$6:$T$823,19,0),"")</f>
        <v>CCN</v>
      </c>
      <c r="U355" s="863" t="s">
        <v>451</v>
      </c>
    </row>
    <row r="356" ht="13.5" customHeight="1" spans="1:21">
      <c r="A356" s="101">
        <f t="shared" ref="A356:A357" si="15">A355+1</f>
        <v>58</v>
      </c>
      <c r="B356" s="104" t="s">
        <v>2863</v>
      </c>
      <c r="C356" s="102">
        <f>IFERROR(VLOOKUP(B356,'02. MM-KLH'!$B$6:$T$823,2,0),"")</f>
        <v>0</v>
      </c>
      <c r="D356" s="103" t="str">
        <f>IFERROR(VLOOKUP(B356,'02. MM-KLH'!$B$6:$T$823,3,0),"")</f>
        <v>-</v>
      </c>
      <c r="E356" s="102">
        <f>IFERROR(VLOOKUP(B356,'02. MM-KLH'!$B$6:$T$823,4,0),"")</f>
        <v>0</v>
      </c>
      <c r="F356" s="201"/>
      <c r="G356" s="102" t="str">
        <f>IFERROR(VLOOKUP(B356,'02. MM-KLH'!$B$6:$T$823,6,0),"")</f>
        <v>Xe tải Frontier TF2800</v>
      </c>
      <c r="H356" s="101" t="s">
        <v>3384</v>
      </c>
      <c r="I356" s="101" t="str">
        <f>IFERROR(VLOOKUP(B356,'02. MM-KLH'!$B$6:$T$823,8,0),"")</f>
        <v>Thadicons A&amp;I</v>
      </c>
      <c r="J356" s="105" t="str">
        <f>IFERROR(VLOOKUP(B356,'02. MM-KLH'!$B$6:$T$823,9,0),"")</f>
        <v>Mới </v>
      </c>
      <c r="K356" s="101" t="str">
        <f>IFERROR(VLOOKUP(B356,'02. MM-KLH'!$B$6:$T$823,10,0),"")</f>
        <v>Bình thường</v>
      </c>
      <c r="L356" s="107">
        <f>IFERROR(VLOOKUP(B356,'02. MM-KLH'!$B$6:$T$823,11,0),"")</f>
        <v>0</v>
      </c>
      <c r="M356" s="864">
        <f>IFERROR(VLOOKUP(B356,'02. MM-KLH'!$B$6:$T$823,12,0),"")</f>
        <v>0</v>
      </c>
      <c r="N356" s="110" t="str">
        <f>IFERROR(VLOOKUP(B356,'02. MM-KLH'!$B$6:$T$823,13,0),"")</f>
        <v>THACO</v>
      </c>
      <c r="O356" s="110" t="str">
        <f>IFERROR(VLOOKUP(B356,'02. MM-KLH'!$B$6:$T$823,14,0),"")</f>
        <v>VIỆT NAM</v>
      </c>
      <c r="P356" s="101">
        <f>IFERROR(VLOOKUP(B356,'02. MM-KLH'!$B$6:$T$823,15,0),"")</f>
        <v>0</v>
      </c>
      <c r="Q356" s="101" t="str">
        <f>IFERROR(VLOOKUP(B356,'02. MM-KLH'!$B$6:$T$823,16,0),"")</f>
        <v>TF2800</v>
      </c>
      <c r="R356" s="101" t="str">
        <f>IFERROR(VLOOKUP(B356,'02. MM-KLH'!$B$6:$T$823,17,0),"")</f>
        <v>100HP</v>
      </c>
      <c r="S356" s="110">
        <f>IFERROR(VLOOKUP(B356,'02. MM-KLH'!$B$6:$T$823,18,0),"")</f>
        <v>0</v>
      </c>
      <c r="T356" s="111">
        <f>IFERROR(VLOOKUP(B356,'02. MM-KLH'!$B$6:$T$823,19,0),"")</f>
        <v>0</v>
      </c>
      <c r="U356" s="863" t="s">
        <v>451</v>
      </c>
    </row>
    <row r="357" ht="13.5" customHeight="1" spans="1:21">
      <c r="A357" s="101">
        <f t="shared" si="15"/>
        <v>59</v>
      </c>
      <c r="B357" s="104" t="s">
        <v>2866</v>
      </c>
      <c r="C357" s="102">
        <f>IFERROR(VLOOKUP(B357,'02. MM-KLH'!$B$6:$T$823,2,0),"")</f>
        <v>0</v>
      </c>
      <c r="D357" s="103" t="str">
        <f>IFERROR(VLOOKUP(B357,'02. MM-KLH'!$B$6:$T$823,3,0),"")</f>
        <v>-</v>
      </c>
      <c r="E357" s="102">
        <f>IFERROR(VLOOKUP(B357,'02. MM-KLH'!$B$6:$T$823,4,0),"")</f>
        <v>0</v>
      </c>
      <c r="F357" s="201"/>
      <c r="G357" s="102" t="str">
        <f>IFERROR(VLOOKUP(B357,'02. MM-KLH'!$B$6:$T$823,6,0),"")</f>
        <v>Xe tải Van THACO FRONTIER TF420-5S</v>
      </c>
      <c r="H357" s="101" t="s">
        <v>3402</v>
      </c>
      <c r="I357" s="101" t="str">
        <f>IFERROR(VLOOKUP(B357,'02. MM-KLH'!$B$6:$T$823,8,0),"")</f>
        <v>Thadicons A&amp;I</v>
      </c>
      <c r="J357" s="105" t="str">
        <f>IFERROR(VLOOKUP(B357,'02. MM-KLH'!$B$6:$T$823,9,0),"")</f>
        <v>Đã qua sử dụng</v>
      </c>
      <c r="K357" s="101" t="str">
        <f>IFERROR(VLOOKUP(B357,'02. MM-KLH'!$B$6:$T$823,10,0),"")</f>
        <v>Bình thường</v>
      </c>
      <c r="L357" s="107">
        <f>IFERROR(VLOOKUP(B357,'02. MM-KLH'!$B$6:$T$823,11,0),"")</f>
        <v>0</v>
      </c>
      <c r="M357" s="864">
        <f>IFERROR(VLOOKUP(B357,'02. MM-KLH'!$B$6:$T$823,12,0),"")</f>
        <v>0</v>
      </c>
      <c r="N357" s="110" t="str">
        <f>IFERROR(VLOOKUP(B357,'02. MM-KLH'!$B$6:$T$823,13,0),"")</f>
        <v>THACO</v>
      </c>
      <c r="O357" s="110" t="str">
        <f>IFERROR(VLOOKUP(B357,'02. MM-KLH'!$B$6:$T$823,14,0),"")</f>
        <v>VIỆT NAM</v>
      </c>
      <c r="P357" s="101">
        <f>IFERROR(VLOOKUP(B357,'02. MM-KLH'!$B$6:$T$823,15,0),"")</f>
        <v>0</v>
      </c>
      <c r="Q357" s="101" t="str">
        <f>IFERROR(VLOOKUP(B357,'02. MM-KLH'!$B$6:$T$823,16,0),"")</f>
        <v>TF420</v>
      </c>
      <c r="R357" s="101" t="str">
        <f>IFERROR(VLOOKUP(B357,'02. MM-KLH'!$B$6:$T$823,17,0),"")</f>
        <v>100HP</v>
      </c>
      <c r="S357" s="110">
        <f>IFERROR(VLOOKUP(B357,'02. MM-KLH'!$B$6:$T$823,18,0),"")</f>
        <v>0</v>
      </c>
      <c r="T357" s="111">
        <f>IFERROR(VLOOKUP(B357,'02. MM-KLH'!$B$6:$T$823,19,0),"")</f>
        <v>0</v>
      </c>
      <c r="U357" s="863" t="s">
        <v>451</v>
      </c>
    </row>
    <row r="358" ht="13.5" customHeight="1" spans="1:21">
      <c r="A358" s="101"/>
      <c r="B358" s="104"/>
      <c r="C358" s="102"/>
      <c r="D358" s="103"/>
      <c r="E358" s="102" t="str">
        <f>IFERROR(VLOOKUP(B358,'02. MM-KLH'!$B$6:$T$823,4,0),"")</f>
        <v/>
      </c>
      <c r="F358" s="201"/>
      <c r="G358" s="102"/>
      <c r="H358" s="101"/>
      <c r="I358" s="101"/>
      <c r="J358" s="105"/>
      <c r="K358" s="101"/>
      <c r="L358" s="107"/>
      <c r="M358" s="864"/>
      <c r="N358" s="110"/>
      <c r="O358" s="110"/>
      <c r="P358" s="101"/>
      <c r="Q358" s="101"/>
      <c r="R358" s="101"/>
      <c r="S358" s="110"/>
      <c r="T358" s="111"/>
      <c r="U358" s="863"/>
    </row>
    <row r="359" ht="13.5" customHeight="1" spans="1:21">
      <c r="A359" s="101"/>
      <c r="B359" s="104"/>
      <c r="C359" s="102"/>
      <c r="D359" s="103"/>
      <c r="E359" s="102" t="str">
        <f>IFERROR(VLOOKUP(B359,'02. MM-KLH'!$B$6:$T$823,4,0),"")</f>
        <v/>
      </c>
      <c r="F359" s="201"/>
      <c r="G359" s="102"/>
      <c r="H359" s="101"/>
      <c r="I359" s="101"/>
      <c r="J359" s="105"/>
      <c r="K359" s="101"/>
      <c r="L359" s="107"/>
      <c r="M359" s="864"/>
      <c r="N359" s="110"/>
      <c r="O359" s="110"/>
      <c r="P359" s="101"/>
      <c r="Q359" s="101"/>
      <c r="R359" s="101"/>
      <c r="S359" s="110"/>
      <c r="T359" s="111"/>
      <c r="U359" s="863"/>
    </row>
    <row r="360" ht="13.5" customHeight="1" spans="1:21">
      <c r="A360" s="847" t="s">
        <v>290</v>
      </c>
      <c r="B360" s="848" t="s">
        <v>3403</v>
      </c>
      <c r="C360" s="849">
        <f>COUNTA(B361:B376)</f>
        <v>13</v>
      </c>
      <c r="D360" s="849" t="str">
        <f>IFERROR(VLOOKUP(B360,'02. MM-KLH'!$B$6:$T$823,3,0),"")</f>
        <v/>
      </c>
      <c r="E360" s="849" t="str">
        <f>IFERROR(VLOOKUP(B360,'02. MM-KLH'!$B$6:$T$823,4,0),"")</f>
        <v/>
      </c>
      <c r="F360" s="849"/>
      <c r="G360" s="849" t="str">
        <f>IFERROR(VLOOKUP(B360,'02. MM-KLH'!$B$6:$T$823,6,0),"")</f>
        <v/>
      </c>
      <c r="H360" s="849"/>
      <c r="I360" s="849" t="str">
        <f>IFERROR(VLOOKUP(B360,'02. MM-KLH'!$B$6:$T$823,8,0),"")</f>
        <v/>
      </c>
      <c r="J360" s="849" t="str">
        <f>IFERROR(VLOOKUP(B360,'02. MM-KLH'!$B$6:$T$823,9,0),"")</f>
        <v/>
      </c>
      <c r="K360" s="849" t="str">
        <f>IFERROR(VLOOKUP(B360,'02. MM-KLH'!$B$6:$T$823,10,0),"")</f>
        <v/>
      </c>
      <c r="L360" s="849" t="str">
        <f>IFERROR(VLOOKUP(B360,'02. MM-KLH'!$B$6:$T$823,11,0),"")</f>
        <v/>
      </c>
      <c r="M360" s="849" t="str">
        <f>IFERROR(VLOOKUP(B360,'02. MM-KLH'!$B$6:$T$823,12,0),"")</f>
        <v/>
      </c>
      <c r="N360" s="849" t="str">
        <f>IFERROR(VLOOKUP(B360,'02. MM-KLH'!$B$6:$T$823,13,0),"")</f>
        <v/>
      </c>
      <c r="O360" s="849" t="str">
        <f>IFERROR(VLOOKUP(B360,'02. MM-KLH'!$B$6:$T$823,14,0),"")</f>
        <v/>
      </c>
      <c r="P360" s="849" t="str">
        <f>IFERROR(VLOOKUP(B360,'02. MM-KLH'!$B$6:$T$823,15,0),"")</f>
        <v/>
      </c>
      <c r="Q360" s="849" t="str">
        <f>IFERROR(VLOOKUP(B360,'02. MM-KLH'!$B$6:$T$823,16,0),"")</f>
        <v/>
      </c>
      <c r="R360" s="849" t="str">
        <f>IFERROR(VLOOKUP(B360,'02. MM-KLH'!$B$6:$T$823,17,0),"")</f>
        <v/>
      </c>
      <c r="S360" s="849" t="str">
        <f>IFERROR(VLOOKUP(B360,'02. MM-KLH'!$B$6:$T$823,18,0),"")</f>
        <v/>
      </c>
      <c r="T360" s="849" t="str">
        <f>IFERROR(VLOOKUP(B360,'02. MM-KLH'!$B$6:$T$823,19,0),"")</f>
        <v/>
      </c>
      <c r="U360" s="849" t="str">
        <f>IFERROR(VLOOKUP(C360,'02. MM-KLH'!$B$6:$T$823,19,0),"")</f>
        <v/>
      </c>
    </row>
    <row r="361" ht="13.5" customHeight="1" spans="1:21">
      <c r="A361" s="101">
        <v>1</v>
      </c>
      <c r="B361" s="104" t="s">
        <v>2310</v>
      </c>
      <c r="C361" s="102">
        <f>IFERROR(VLOOKUP(B361,'02. MM-KLH'!$B$6:$T$823,2,0),"")</f>
        <v>0</v>
      </c>
      <c r="D361" s="103" t="str">
        <f>IFERROR(VLOOKUP(B361,'02. MM-KLH'!$B$6:$T$823,3,0),"")</f>
        <v>A22-XĐK-001</v>
      </c>
      <c r="E361" s="102">
        <f>IFERROR(VLOOKUP(B361,'02. MM-KLH'!$B$6:$T$823,4,0),"")</f>
        <v>0</v>
      </c>
      <c r="F361" s="104"/>
      <c r="G361" s="102" t="str">
        <f>IFERROR(VLOOKUP(B361,'02. MM-KLH'!$B$6:$T$823,6,0),"")</f>
        <v>Xe đầu kéo FD1600B</v>
      </c>
      <c r="H361" s="101" t="s">
        <v>3404</v>
      </c>
      <c r="I361" s="101" t="str">
        <f>IFERROR(VLOOKUP(B361,'02. MM-KLH'!$B$6:$T$823,8,0),"")</f>
        <v>XN Bò AD</v>
      </c>
      <c r="J361" s="105" t="str">
        <f>IFERROR(VLOOKUP(B361,'02. MM-KLH'!$B$6:$T$823,9,0),"")</f>
        <v>29/10/2024</v>
      </c>
      <c r="K361" s="101" t="str">
        <f>IFERROR(VLOOKUP(B361,'02. MM-KLH'!$B$6:$T$823,10,0),"")</f>
        <v>Bình thường</v>
      </c>
      <c r="L361" s="107">
        <f>IFERROR(VLOOKUP(B361,'02. MM-KLH'!$B$6:$T$823,11,0),"")</f>
        <v>0</v>
      </c>
      <c r="M361" s="864" t="str">
        <f>IFERROR(VLOOKUP(B361,'02. MM-KLH'!$B$6:$T$823,12,0),"")</f>
        <v>Đầu tư mới, đi kèm SMRM: XB1-SMR-001 (50m3)</v>
      </c>
      <c r="N361" s="110" t="str">
        <f>IFERROR(VLOOKUP(B361,'02. MM-KLH'!$B$6:$T$823,13,0),"")</f>
        <v>THACO FORLAND</v>
      </c>
      <c r="O361" s="110" t="str">
        <f>IFERROR(VLOOKUP(B361,'02. MM-KLH'!$B$6:$T$823,14,0),"")</f>
        <v>VIỆT NAM</v>
      </c>
      <c r="P361" s="101">
        <f>IFERROR(VLOOKUP(B361,'02. MM-KLH'!$B$6:$T$823,15,0),"")</f>
        <v>2022</v>
      </c>
      <c r="Q361" s="101" t="str">
        <f>IFERROR(VLOOKUP(B361,'02. MM-KLH'!$B$6:$T$823,16,0),"")</f>
        <v>FD1600B</v>
      </c>
      <c r="R361" s="101" t="str">
        <f>IFERROR(VLOOKUP(B361,'02. MM-KLH'!$B$6:$T$823,17,0),"")</f>
        <v>177HP</v>
      </c>
      <c r="S361" s="110" t="str">
        <f>IFERROR(VLOOKUP(B361,'02. MM-KLH'!$B$6:$T$823,18,0),"")</f>
        <v>RNHD1600DHC070065</v>
      </c>
      <c r="T361" s="111" t="str">
        <f>IFERROR(VLOOKUP(B361,'02. MM-KLH'!$B$6:$T$823,19,0),"")</f>
        <v>6P15D005384</v>
      </c>
      <c r="U361" s="863" t="s">
        <v>3343</v>
      </c>
    </row>
    <row r="362" ht="13.5" customHeight="1" spans="1:21">
      <c r="A362" s="101">
        <f t="shared" ref="A362:A373" si="16">A361+1</f>
        <v>2</v>
      </c>
      <c r="B362" s="104" t="s">
        <v>2316</v>
      </c>
      <c r="C362" s="102">
        <f>IFERROR(VLOOKUP(B362,'02. MM-KLH'!$B$6:$T$823,2,0),"")</f>
        <v>0</v>
      </c>
      <c r="D362" s="103" t="str">
        <f>IFERROR(VLOOKUP(B362,'02. MM-KLH'!$B$6:$T$823,3,0),"")</f>
        <v>A22-XĐK-002</v>
      </c>
      <c r="E362" s="102" t="str">
        <f>IFERROR(VLOOKUP(B362,'02. MM-KLH'!$B$6:$T$823,4,0),"")</f>
        <v>3A-6806</v>
      </c>
      <c r="F362" s="104"/>
      <c r="G362" s="102" t="str">
        <f>IFERROR(VLOOKUP(B362,'02. MM-KLH'!$B$6:$T$823,6,0),"")</f>
        <v>Xe đầu kéo TT261J-MT</v>
      </c>
      <c r="H362" s="101" t="s">
        <v>3404</v>
      </c>
      <c r="I362" s="101" t="str">
        <f>IFERROR(VLOOKUP(B362,'02. MM-KLH'!$B$6:$T$823,8,0),"")</f>
        <v>XN Bò AD</v>
      </c>
      <c r="J362" s="105">
        <f>IFERROR(VLOOKUP(B362,'02. MM-KLH'!$B$6:$T$823,9,0),"")</f>
        <v>45692</v>
      </c>
      <c r="K362" s="101" t="str">
        <f>IFERROR(VLOOKUP(B362,'02. MM-KLH'!$B$6:$T$823,10,0),"")</f>
        <v>Bình thường</v>
      </c>
      <c r="L362" s="107">
        <f>IFERROR(VLOOKUP(B362,'02. MM-KLH'!$B$6:$T$823,11,0),"")</f>
        <v>0</v>
      </c>
      <c r="M362" s="864" t="str">
        <f>IFERROR(VLOOKUP(B362,'02. MM-KLH'!$B$6:$T$823,12,0),"")</f>
        <v>Đầu tư mới, đi kèm SMRM: XB1-MRT-002 (50m3)</v>
      </c>
      <c r="N362" s="110" t="str">
        <f>IFERROR(VLOOKUP(B362,'02. MM-KLH'!$B$6:$T$823,13,0),"")</f>
        <v>THACO</v>
      </c>
      <c r="O362" s="110" t="str">
        <f>IFERROR(VLOOKUP(B362,'02. MM-KLH'!$B$6:$T$823,14,0),"")</f>
        <v>VIỆT NAM</v>
      </c>
      <c r="P362" s="101">
        <f>IFERROR(VLOOKUP(B362,'02. MM-KLH'!$B$6:$T$823,15,0),"")</f>
        <v>2024</v>
      </c>
      <c r="Q362" s="101" t="str">
        <f>IFERROR(VLOOKUP(B362,'02. MM-KLH'!$B$6:$T$823,16,0),"")</f>
        <v>THACO TT261J-MT</v>
      </c>
      <c r="R362" s="101" t="str">
        <f>IFERROR(VLOOKUP(B362,'02. MM-KLH'!$B$6:$T$823,17,0),"")</f>
        <v>295HP</v>
      </c>
      <c r="S362" s="110" t="str">
        <f>IFERROR(VLOOKUP(B362,'02. MM-KLH'!$B$6:$T$823,18,0),"")</f>
        <v>RNHT16TWART098475</v>
      </c>
      <c r="T362" s="111" t="str">
        <f>IFERROR(VLOOKUP(B362,'02. MM-KLH'!$B$6:$T$823,19,0),"")</f>
        <v>1024A000597</v>
      </c>
      <c r="U362" s="863" t="s">
        <v>3343</v>
      </c>
    </row>
    <row r="363" ht="13.5" customHeight="1" spans="1:21">
      <c r="A363" s="101">
        <f t="shared" si="16"/>
        <v>3</v>
      </c>
      <c r="B363" s="104" t="s">
        <v>2323</v>
      </c>
      <c r="C363" s="102">
        <f>IFERROR(VLOOKUP(B363,'02. MM-KLH'!$B$6:$T$823,2,0),"")</f>
        <v>0</v>
      </c>
      <c r="D363" s="103" t="str">
        <f>IFERROR(VLOOKUP(B363,'02. MM-KLH'!$B$6:$T$823,3,0),"")</f>
        <v>A22-XĐK-003</v>
      </c>
      <c r="E363" s="102" t="str">
        <f>IFERROR(VLOOKUP(B363,'02. MM-KLH'!$B$6:$T$823,4,0),"")</f>
        <v>3A-6837</v>
      </c>
      <c r="F363" s="104"/>
      <c r="G363" s="102" t="str">
        <f>IFERROR(VLOOKUP(B363,'02. MM-KLH'!$B$6:$T$823,6,0),"")</f>
        <v>Xe đầu kéo HOWO</v>
      </c>
      <c r="H363" s="101" t="s">
        <v>3404</v>
      </c>
      <c r="I363" s="101" t="str">
        <f>IFERROR(VLOOKUP(B363,'02. MM-KLH'!$B$6:$T$823,8,0),"")</f>
        <v>XN Bò AD</v>
      </c>
      <c r="J363" s="105">
        <f>IFERROR(VLOOKUP(B363,'02. MM-KLH'!$B$6:$T$823,9,0),"")</f>
        <v>45909</v>
      </c>
      <c r="K363" s="101" t="str">
        <f>IFERROR(VLOOKUP(B363,'02. MM-KLH'!$B$6:$T$823,10,0),"")</f>
        <v>Bình thường</v>
      </c>
      <c r="L363" s="107">
        <f>IFERROR(VLOOKUP(B363,'02. MM-KLH'!$B$6:$T$823,11,0),"")</f>
        <v>0</v>
      </c>
      <c r="M363" s="864" t="str">
        <f>IFERROR(VLOOKUP(B363,'02. MM-KLH'!$B$6:$T$823,12,0),"")</f>
        <v>Đầu tư mới, đi kèm SMRM: XB1-MRT-003 (50m3)</v>
      </c>
      <c r="N363" s="110" t="str">
        <f>IFERROR(VLOOKUP(B363,'02. MM-KLH'!$B$6:$T$823,13,0),"")</f>
        <v>CNHTC</v>
      </c>
      <c r="O363" s="110" t="str">
        <f>IFERROR(VLOOKUP(B363,'02. MM-KLH'!$B$6:$T$823,14,0),"")</f>
        <v>TRUNG QUỐC</v>
      </c>
      <c r="P363" s="101">
        <f>IFERROR(VLOOKUP(B363,'02. MM-KLH'!$B$6:$T$823,15,0),"")</f>
        <v>2025</v>
      </c>
      <c r="Q363" s="101" t="str">
        <f>IFERROR(VLOOKUP(B363,'02. MM-KLH'!$B$6:$T$823,16,0),"")</f>
        <v>ZZ4187N391JE1</v>
      </c>
      <c r="R363" s="101" t="str">
        <f>IFERROR(VLOOKUP(B363,'02. MM-KLH'!$B$6:$T$823,17,0),"")</f>
        <v>299HP</v>
      </c>
      <c r="S363" s="110" t="str">
        <f>IFERROR(VLOOKUP(B363,'02. MM-KLH'!$B$6:$T$823,18,0),"")</f>
        <v>LZZ1CCMD2SJ416137</v>
      </c>
      <c r="T363" s="111" t="str">
        <f>IFERROR(VLOOKUP(B363,'02. MM-KLH'!$B$6:$T$823,19,0),"")</f>
        <v>WP7.300E51*1025G007299*</v>
      </c>
      <c r="U363" s="863" t="s">
        <v>3343</v>
      </c>
    </row>
    <row r="364" ht="13.5" customHeight="1" spans="1:21">
      <c r="A364" s="101">
        <f t="shared" si="16"/>
        <v>4</v>
      </c>
      <c r="B364" s="104" t="s">
        <v>2331</v>
      </c>
      <c r="C364" s="102">
        <f>IFERROR(VLOOKUP(B364,'02. MM-KLH'!$B$6:$T$823,2,0),"")</f>
        <v>0</v>
      </c>
      <c r="D364" s="103" t="str">
        <f>IFERROR(VLOOKUP(B364,'02. MM-KLH'!$B$6:$T$823,3,0),"")</f>
        <v>A22-XĐK-004</v>
      </c>
      <c r="E364" s="102" t="str">
        <f>IFERROR(VLOOKUP(B364,'02. MM-KLH'!$B$6:$T$823,4,0),"")</f>
        <v>3A-6839</v>
      </c>
      <c r="F364" s="104"/>
      <c r="G364" s="102" t="str">
        <f>IFERROR(VLOOKUP(B364,'02. MM-KLH'!$B$6:$T$823,6,0),"")</f>
        <v>Xe đầu kéo HOWO</v>
      </c>
      <c r="H364" s="101" t="s">
        <v>3404</v>
      </c>
      <c r="I364" s="101" t="str">
        <f>IFERROR(VLOOKUP(B364,'02. MM-KLH'!$B$6:$T$823,8,0),"")</f>
        <v>XN Bò AD</v>
      </c>
      <c r="J364" s="105">
        <f>IFERROR(VLOOKUP(B364,'02. MM-KLH'!$B$6:$T$823,9,0),"")</f>
        <v>45879</v>
      </c>
      <c r="K364" s="101" t="str">
        <f>IFERROR(VLOOKUP(B364,'02. MM-KLH'!$B$6:$T$823,10,0),"")</f>
        <v>Bình thường</v>
      </c>
      <c r="L364" s="107">
        <f>IFERROR(VLOOKUP(B364,'02. MM-KLH'!$B$6:$T$823,11,0),"")</f>
        <v>0</v>
      </c>
      <c r="M364" s="864" t="str">
        <f>IFERROR(VLOOKUP(B364,'02. MM-KLH'!$B$6:$T$823,12,0),"")</f>
        <v>Đầu tư mới, đi kèm SMRM: XB1-MRT-004 (50m3)</v>
      </c>
      <c r="N364" s="110" t="str">
        <f>IFERROR(VLOOKUP(B364,'02. MM-KLH'!$B$6:$T$823,13,0),"")</f>
        <v>CNHTC</v>
      </c>
      <c r="O364" s="110" t="str">
        <f>IFERROR(VLOOKUP(B364,'02. MM-KLH'!$B$6:$T$823,14,0),"")</f>
        <v>TRUNG QUỐC</v>
      </c>
      <c r="P364" s="101">
        <f>IFERROR(VLOOKUP(B364,'02. MM-KLH'!$B$6:$T$823,15,0),"")</f>
        <v>2025</v>
      </c>
      <c r="Q364" s="101" t="str">
        <f>IFERROR(VLOOKUP(B364,'02. MM-KLH'!$B$6:$T$823,16,0),"")</f>
        <v>ZZ4187N391JE1</v>
      </c>
      <c r="R364" s="101" t="str">
        <f>IFERROR(VLOOKUP(B364,'02. MM-KLH'!$B$6:$T$823,17,0),"")</f>
        <v>299HP</v>
      </c>
      <c r="S364" s="110" t="str">
        <f>IFERROR(VLOOKUP(B364,'02. MM-KLH'!$B$6:$T$823,18,0),"")</f>
        <v>LZZ1CCMD7SJ415209</v>
      </c>
      <c r="T364" s="111" t="str">
        <f>IFERROR(VLOOKUP(B364,'02. MM-KLH'!$B$6:$T$823,19,0),"")</f>
        <v>WP7.300E51*1025G006835*</v>
      </c>
      <c r="U364" s="863" t="s">
        <v>3343</v>
      </c>
    </row>
    <row r="365" ht="13.5" customHeight="1" spans="1:21">
      <c r="A365" s="101">
        <f t="shared" si="16"/>
        <v>5</v>
      </c>
      <c r="B365" s="104" t="s">
        <v>2337</v>
      </c>
      <c r="C365" s="102">
        <f>IFERROR(VLOOKUP(B365,'02. MM-KLH'!$B$6:$T$823,2,0),"")</f>
        <v>0</v>
      </c>
      <c r="D365" s="103" t="str">
        <f>IFERROR(VLOOKUP(B365,'02. MM-KLH'!$B$6:$T$823,3,0),"")</f>
        <v>A22-XĐK-005</v>
      </c>
      <c r="E365" s="102" t="str">
        <f>IFERROR(VLOOKUP(B365,'02. MM-KLH'!$B$6:$T$823,4,0),"")</f>
        <v>3A-6836</v>
      </c>
      <c r="F365" s="104"/>
      <c r="G365" s="102" t="str">
        <f>IFERROR(VLOOKUP(B365,'02. MM-KLH'!$B$6:$T$823,6,0),"")</f>
        <v>Xe đầu kéo HOWO</v>
      </c>
      <c r="H365" s="101" t="s">
        <v>3404</v>
      </c>
      <c r="I365" s="101" t="str">
        <f>IFERROR(VLOOKUP(B365,'02. MM-KLH'!$B$6:$T$823,8,0),"")</f>
        <v>XN Bò AD</v>
      </c>
      <c r="J365" s="105">
        <f>IFERROR(VLOOKUP(B365,'02. MM-KLH'!$B$6:$T$823,9,0),"")</f>
        <v>45879</v>
      </c>
      <c r="K365" s="101" t="str">
        <f>IFERROR(VLOOKUP(B365,'02. MM-KLH'!$B$6:$T$823,10,0),"")</f>
        <v>Bình thường</v>
      </c>
      <c r="L365" s="107">
        <f>IFERROR(VLOOKUP(B365,'02. MM-KLH'!$B$6:$T$823,11,0),"")</f>
        <v>0</v>
      </c>
      <c r="M365" s="864" t="str">
        <f>IFERROR(VLOOKUP(B365,'02. MM-KLH'!$B$6:$T$823,12,0),"")</f>
        <v>Đầu tư mới, đi kèm SMRM: XB1-MRT-005 (50m3)</v>
      </c>
      <c r="N365" s="110" t="str">
        <f>IFERROR(VLOOKUP(B365,'02. MM-KLH'!$B$6:$T$823,13,0),"")</f>
        <v>CNHTC</v>
      </c>
      <c r="O365" s="110" t="str">
        <f>IFERROR(VLOOKUP(B365,'02. MM-KLH'!$B$6:$T$823,14,0),"")</f>
        <v>TRUNG QUỐC</v>
      </c>
      <c r="P365" s="101">
        <f>IFERROR(VLOOKUP(B365,'02. MM-KLH'!$B$6:$T$823,15,0),"")</f>
        <v>2025</v>
      </c>
      <c r="Q365" s="101" t="str">
        <f>IFERROR(VLOOKUP(B365,'02. MM-KLH'!$B$6:$T$823,16,0),"")</f>
        <v>ZZ4187N391JE1</v>
      </c>
      <c r="R365" s="101" t="str">
        <f>IFERROR(VLOOKUP(B365,'02. MM-KLH'!$B$6:$T$823,17,0),"")</f>
        <v>299HP</v>
      </c>
      <c r="S365" s="110" t="str">
        <f>IFERROR(VLOOKUP(B365,'02. MM-KLH'!$B$6:$T$823,18,0),"")</f>
        <v>LZZ1CCMD3SJ415210</v>
      </c>
      <c r="T365" s="111" t="str">
        <f>IFERROR(VLOOKUP(B365,'02. MM-KLH'!$B$6:$T$823,19,0),"")</f>
        <v>WP7.300E51*1025G006838*</v>
      </c>
      <c r="U365" s="863" t="s">
        <v>3343</v>
      </c>
    </row>
    <row r="366" ht="13.5" customHeight="1" spans="1:21">
      <c r="A366" s="101">
        <f t="shared" si="16"/>
        <v>6</v>
      </c>
      <c r="B366" s="104" t="s">
        <v>2343</v>
      </c>
      <c r="C366" s="102">
        <f>IFERROR(VLOOKUP(B366,'02. MM-KLH'!$B$6:$T$823,2,0),"")</f>
        <v>0</v>
      </c>
      <c r="D366" s="103" t="str">
        <f>IFERROR(VLOOKUP(B366,'02. MM-KLH'!$B$6:$T$823,3,0),"")</f>
        <v>A22-XĐK-006</v>
      </c>
      <c r="E366" s="102" t="str">
        <f>IFERROR(VLOOKUP(B366,'02. MM-KLH'!$B$6:$T$823,4,0),"")</f>
        <v>3A-6835</v>
      </c>
      <c r="F366" s="104"/>
      <c r="G366" s="102" t="str">
        <f>IFERROR(VLOOKUP(B366,'02. MM-KLH'!$B$6:$T$823,6,0),"")</f>
        <v>Xe đầu kéo HOWO</v>
      </c>
      <c r="H366" s="101" t="s">
        <v>3404</v>
      </c>
      <c r="I366" s="101" t="str">
        <f>IFERROR(VLOOKUP(B366,'02. MM-KLH'!$B$6:$T$823,8,0),"")</f>
        <v>XN Bò AD</v>
      </c>
      <c r="J366" s="105" t="str">
        <f>IFERROR(VLOOKUP(B366,'02. MM-KLH'!$B$6:$T$823,9,0),"")</f>
        <v>31/10/2025</v>
      </c>
      <c r="K366" s="101" t="str">
        <f>IFERROR(VLOOKUP(B366,'02. MM-KLH'!$B$6:$T$823,10,0),"")</f>
        <v>Bình thường</v>
      </c>
      <c r="L366" s="107">
        <f>IFERROR(VLOOKUP(B366,'02. MM-KLH'!$B$6:$T$823,11,0),"")</f>
        <v>0</v>
      </c>
      <c r="M366" s="864" t="str">
        <f>IFERROR(VLOOKUP(B366,'02. MM-KLH'!$B$6:$T$823,12,0),"")</f>
        <v>Đầu tư mới, đi kèm SMRM: XB1-MRT-006 (50m3)</v>
      </c>
      <c r="N366" s="110" t="str">
        <f>IFERROR(VLOOKUP(B366,'02. MM-KLH'!$B$6:$T$823,13,0),"")</f>
        <v>CNHTC</v>
      </c>
      <c r="O366" s="110" t="str">
        <f>IFERROR(VLOOKUP(B366,'02. MM-KLH'!$B$6:$T$823,14,0),"")</f>
        <v>Trung Quốc</v>
      </c>
      <c r="P366" s="101">
        <f>IFERROR(VLOOKUP(B366,'02. MM-KLH'!$B$6:$T$823,15,0),"")</f>
        <v>2025</v>
      </c>
      <c r="Q366" s="101" t="str">
        <f>IFERROR(VLOOKUP(B366,'02. MM-KLH'!$B$6:$T$823,16,0),"")</f>
        <v>ZZ4187N391JE1</v>
      </c>
      <c r="R366" s="101" t="str">
        <f>IFERROR(VLOOKUP(B366,'02. MM-KLH'!$B$6:$T$823,17,0),"")</f>
        <v>299HP</v>
      </c>
      <c r="S366" s="110" t="str">
        <f>IFERROR(VLOOKUP(B366,'02. MM-KLH'!$B$6:$T$823,18,0),"")</f>
        <v>LZZ1CCMD3SJ415207</v>
      </c>
      <c r="T366" s="111" t="str">
        <f>IFERROR(VLOOKUP(B366,'02. MM-KLH'!$B$6:$T$823,19,0),"")</f>
        <v>WP7.300E51*1025G006833*</v>
      </c>
      <c r="U366" s="863" t="s">
        <v>3343</v>
      </c>
    </row>
    <row r="367" ht="13.5" customHeight="1" spans="1:21">
      <c r="A367" s="101">
        <f t="shared" si="16"/>
        <v>7</v>
      </c>
      <c r="B367" s="104" t="s">
        <v>2350</v>
      </c>
      <c r="C367" s="102">
        <f>IFERROR(VLOOKUP(B367,'02. MM-KLH'!$B$6:$T$823,2,0),"")</f>
        <v>0</v>
      </c>
      <c r="D367" s="103" t="str">
        <f>IFERROR(VLOOKUP(B367,'02. MM-KLH'!$B$6:$T$823,3,0),"")</f>
        <v>A22-XĐK-007</v>
      </c>
      <c r="E367" s="102" t="str">
        <f>IFERROR(VLOOKUP(B367,'02. MM-KLH'!$B$6:$T$823,4,0),"")</f>
        <v>3A-6840</v>
      </c>
      <c r="F367" s="104"/>
      <c r="G367" s="102" t="str">
        <f>IFERROR(VLOOKUP(B367,'02. MM-KLH'!$B$6:$T$823,6,0),"")</f>
        <v>Xe đầu kéo HOWO</v>
      </c>
      <c r="H367" s="101" t="s">
        <v>3404</v>
      </c>
      <c r="I367" s="101" t="str">
        <f>IFERROR(VLOOKUP(B367,'02. MM-KLH'!$B$6:$T$823,8,0),"")</f>
        <v>XN Bò AD</v>
      </c>
      <c r="J367" s="105" t="str">
        <f>IFERROR(VLOOKUP(B367,'02. MM-KLH'!$B$6:$T$823,9,0),"")</f>
        <v>24/10/2025</v>
      </c>
      <c r="K367" s="101" t="str">
        <f>IFERROR(VLOOKUP(B367,'02. MM-KLH'!$B$6:$T$823,10,0),"")</f>
        <v>Bình thường</v>
      </c>
      <c r="L367" s="107">
        <f>IFERROR(VLOOKUP(B367,'02. MM-KLH'!$B$6:$T$823,11,0),"")</f>
        <v>0</v>
      </c>
      <c r="M367" s="864" t="str">
        <f>IFERROR(VLOOKUP(B367,'02. MM-KLH'!$B$6:$T$823,12,0),"")</f>
        <v>Đầu tư mới, đi kèm SMRM: XB1-MRT-007 (50m3)</v>
      </c>
      <c r="N367" s="110" t="str">
        <f>IFERROR(VLOOKUP(B367,'02. MM-KLH'!$B$6:$T$823,13,0),"")</f>
        <v>CNHTC</v>
      </c>
      <c r="O367" s="110" t="str">
        <f>IFERROR(VLOOKUP(B367,'02. MM-KLH'!$B$6:$T$823,14,0),"")</f>
        <v>Trung Quốc</v>
      </c>
      <c r="P367" s="101">
        <f>IFERROR(VLOOKUP(B367,'02. MM-KLH'!$B$6:$T$823,15,0),"")</f>
        <v>2025</v>
      </c>
      <c r="Q367" s="101" t="str">
        <f>IFERROR(VLOOKUP(B367,'02. MM-KLH'!$B$6:$T$823,16,0),"")</f>
        <v>ZZ4187N391JE1</v>
      </c>
      <c r="R367" s="101" t="str">
        <f>IFERROR(VLOOKUP(B367,'02. MM-KLH'!$B$6:$T$823,17,0),"")</f>
        <v>299HP</v>
      </c>
      <c r="S367" s="110" t="str">
        <f>IFERROR(VLOOKUP(B367,'02. MM-KLH'!$B$6:$T$823,18,0),"")</f>
        <v>LZZ1CCMD3SJ415208</v>
      </c>
      <c r="T367" s="111" t="str">
        <f>IFERROR(VLOOKUP(B367,'02. MM-KLH'!$B$6:$T$823,19,0),"")</f>
        <v>WP7.300E51*1025G006834*</v>
      </c>
      <c r="U367" s="863" t="s">
        <v>3343</v>
      </c>
    </row>
    <row r="368" ht="13.5" customHeight="1" spans="1:21">
      <c r="A368" s="101">
        <f t="shared" si="16"/>
        <v>8</v>
      </c>
      <c r="B368" s="104" t="s">
        <v>2357</v>
      </c>
      <c r="C368" s="102">
        <f>IFERROR(VLOOKUP(B368,'02. MM-KLH'!$B$6:$T$823,2,0),"")</f>
        <v>0</v>
      </c>
      <c r="D368" s="103" t="str">
        <f>IFERROR(VLOOKUP(B368,'02. MM-KLH'!$B$6:$T$823,3,0),"")</f>
        <v>A22-XĐK-008</v>
      </c>
      <c r="E368" s="102" t="str">
        <f>IFERROR(VLOOKUP(B368,'02. MM-KLH'!$B$6:$T$823,4,0),"")</f>
        <v>3A-6832</v>
      </c>
      <c r="F368" s="104"/>
      <c r="G368" s="102" t="str">
        <f>IFERROR(VLOOKUP(B368,'02. MM-KLH'!$B$6:$T$823,6,0),"")</f>
        <v>Xe đầu kéo HOWO</v>
      </c>
      <c r="H368" s="101" t="s">
        <v>3404</v>
      </c>
      <c r="I368" s="101" t="str">
        <f>IFERROR(VLOOKUP(B368,'02. MM-KLH'!$B$6:$T$823,8,0),"")</f>
        <v>XN Bò AD</v>
      </c>
      <c r="J368" s="105">
        <f>IFERROR(VLOOKUP(B368,'02. MM-KLH'!$B$6:$T$823,9,0),"")</f>
        <v>46082</v>
      </c>
      <c r="K368" s="101" t="str">
        <f>IFERROR(VLOOKUP(B368,'02. MM-KLH'!$B$6:$T$823,10,0),"")</f>
        <v>Bình thường</v>
      </c>
      <c r="L368" s="107">
        <f>IFERROR(VLOOKUP(B368,'02. MM-KLH'!$B$6:$T$823,11,0),"")</f>
        <v>0</v>
      </c>
      <c r="M368" s="864" t="str">
        <f>IFERROR(VLOOKUP(B368,'02. MM-KLH'!$B$6:$T$823,12,0),"")</f>
        <v>Đầu tư mới</v>
      </c>
      <c r="N368" s="110" t="str">
        <f>IFERROR(VLOOKUP(B368,'02. MM-KLH'!$B$6:$T$823,13,0),"")</f>
        <v>CNHTC</v>
      </c>
      <c r="O368" s="110" t="str">
        <f>IFERROR(VLOOKUP(B368,'02. MM-KLH'!$B$6:$T$823,14,0),"")</f>
        <v>Trung Quốc</v>
      </c>
      <c r="P368" s="101">
        <f>IFERROR(VLOOKUP(B368,'02. MM-KLH'!$B$6:$T$823,15,0),"")</f>
        <v>2025</v>
      </c>
      <c r="Q368" s="101" t="str">
        <f>IFERROR(VLOOKUP(B368,'02. MM-KLH'!$B$6:$T$823,16,0),"")</f>
        <v>ZZ4187N391JE1</v>
      </c>
      <c r="R368" s="101" t="str">
        <f>IFERROR(VLOOKUP(B368,'02. MM-KLH'!$B$6:$T$823,17,0),"")</f>
        <v>299HP</v>
      </c>
      <c r="S368" s="110" t="str">
        <f>IFERROR(VLOOKUP(B368,'02. MM-KLH'!$B$6:$T$823,18,0),"")</f>
        <v>LZZ1CCMD4SJ416138</v>
      </c>
      <c r="T368" s="111" t="str">
        <f>IFERROR(VLOOKUP(B368,'02. MM-KLH'!$B$6:$T$823,19,0),"")</f>
        <v>WP7.300E51*1025G007295*</v>
      </c>
      <c r="U368" s="863" t="s">
        <v>3343</v>
      </c>
    </row>
    <row r="369" ht="13.5" customHeight="1" spans="1:21">
      <c r="A369" s="101">
        <f t="shared" si="16"/>
        <v>9</v>
      </c>
      <c r="B369" s="104" t="s">
        <v>2362</v>
      </c>
      <c r="C369" s="102">
        <f>IFERROR(VLOOKUP(B369,'02. MM-KLH'!$B$6:$T$823,2,0),"")</f>
        <v>0</v>
      </c>
      <c r="D369" s="103" t="str">
        <f>IFERROR(VLOOKUP(B369,'02. MM-KLH'!$B$6:$T$823,3,0),"")</f>
        <v>A22-XĐK-009</v>
      </c>
      <c r="E369" s="102" t="str">
        <f>IFERROR(VLOOKUP(B369,'02. MM-KLH'!$B$6:$T$823,4,0),"")</f>
        <v>3A-6831</v>
      </c>
      <c r="F369" s="104"/>
      <c r="G369" s="102" t="str">
        <f>IFERROR(VLOOKUP(B369,'02. MM-KLH'!$B$6:$T$823,6,0),"")</f>
        <v>Xe đầu kéo HOWO</v>
      </c>
      <c r="H369" s="101" t="s">
        <v>3404</v>
      </c>
      <c r="I369" s="101" t="str">
        <f>IFERROR(VLOOKUP(B369,'02. MM-KLH'!$B$6:$T$823,8,0),"")</f>
        <v>XN Bò AD</v>
      </c>
      <c r="J369" s="105" t="str">
        <f>IFERROR(VLOOKUP(B369,'02. MM-KLH'!$B$6:$T$823,9,0),"")</f>
        <v>23/12/2025</v>
      </c>
      <c r="K369" s="101" t="str">
        <f>IFERROR(VLOOKUP(B369,'02. MM-KLH'!$B$6:$T$823,10,0),"")</f>
        <v>Bình thường</v>
      </c>
      <c r="L369" s="107">
        <f>IFERROR(VLOOKUP(B369,'02. MM-KLH'!$B$6:$T$823,11,0),"")</f>
        <v>0</v>
      </c>
      <c r="M369" s="864" t="str">
        <f>IFERROR(VLOOKUP(B369,'02. MM-KLH'!$B$6:$T$823,12,0),"")</f>
        <v>Đầu tư mới, đi kèm SMRM: XB1-TPC-002</v>
      </c>
      <c r="N369" s="110" t="str">
        <f>IFERROR(VLOOKUP(B369,'02. MM-KLH'!$B$6:$T$823,13,0),"")</f>
        <v>CNHTC</v>
      </c>
      <c r="O369" s="110" t="str">
        <f>IFERROR(VLOOKUP(B369,'02. MM-KLH'!$B$6:$T$823,14,0),"")</f>
        <v>Trung Quốc</v>
      </c>
      <c r="P369" s="101">
        <f>IFERROR(VLOOKUP(B369,'02. MM-KLH'!$B$6:$T$823,15,0),"")</f>
        <v>2025</v>
      </c>
      <c r="Q369" s="101" t="str">
        <f>IFERROR(VLOOKUP(B369,'02. MM-KLH'!$B$6:$T$823,16,0),"")</f>
        <v>ZZ4187N391JE1</v>
      </c>
      <c r="R369" s="101" t="str">
        <f>IFERROR(VLOOKUP(B369,'02. MM-KLH'!$B$6:$T$823,17,0),"")</f>
        <v>299HP</v>
      </c>
      <c r="S369" s="110" t="str">
        <f>IFERROR(VLOOKUP(B369,'02. MM-KLH'!$B$6:$T$823,18,0),"")</f>
        <v>LZZ1CCMD5SJ416133</v>
      </c>
      <c r="T369" s="111" t="str">
        <f>IFERROR(VLOOKUP(B369,'02. MM-KLH'!$B$6:$T$823,19,0),"")</f>
        <v>WP7.300E51*1025G007305*</v>
      </c>
      <c r="U369" s="863" t="s">
        <v>3343</v>
      </c>
    </row>
    <row r="370" ht="13.5" customHeight="1" spans="1:21">
      <c r="A370" s="101">
        <f t="shared" si="16"/>
        <v>10</v>
      </c>
      <c r="B370" s="104" t="s">
        <v>2369</v>
      </c>
      <c r="C370" s="102">
        <f>IFERROR(VLOOKUP(B370,'02. MM-KLH'!$B$6:$T$823,2,0),"")</f>
        <v>0</v>
      </c>
      <c r="D370" s="103" t="str">
        <f>IFERROR(VLOOKUP(B370,'02. MM-KLH'!$B$6:$T$823,3,0),"")</f>
        <v>A22-XĐK-010</v>
      </c>
      <c r="E370" s="102" t="str">
        <f>IFERROR(VLOOKUP(B370,'02. MM-KLH'!$B$6:$T$823,4,0),"")</f>
        <v>3A-6842</v>
      </c>
      <c r="F370" s="104"/>
      <c r="G370" s="102" t="str">
        <f>IFERROR(VLOOKUP(B370,'02. MM-KLH'!$B$6:$T$823,6,0),"")</f>
        <v>Xe đầu kéo HOWO</v>
      </c>
      <c r="H370" s="101" t="s">
        <v>3404</v>
      </c>
      <c r="I370" s="101" t="str">
        <f>IFERROR(VLOOKUP(B370,'02. MM-KLH'!$B$6:$T$823,8,0),"")</f>
        <v>XN Bò AD</v>
      </c>
      <c r="J370" s="105">
        <f>IFERROR(VLOOKUP(B370,'02. MM-KLH'!$B$6:$T$823,9,0),"")</f>
        <v>46176</v>
      </c>
      <c r="K370" s="101" t="str">
        <f>IFERROR(VLOOKUP(B370,'02. MM-KLH'!$B$6:$T$823,10,0),"")</f>
        <v>Bình thường</v>
      </c>
      <c r="L370" s="107">
        <f>IFERROR(VLOOKUP(B370,'02. MM-KLH'!$B$6:$T$823,11,0),"")</f>
        <v>0</v>
      </c>
      <c r="M370" s="864" t="str">
        <f>IFERROR(VLOOKUP(B370,'02. MM-KLH'!$B$6:$T$823,12,0),"")</f>
        <v>Đi kèm XB1-TPC-003, 004 (45m3)</v>
      </c>
      <c r="N370" s="110" t="str">
        <f>IFERROR(VLOOKUP(B370,'02. MM-KLH'!$B$6:$T$823,13,0),"")</f>
        <v>CNHTC</v>
      </c>
      <c r="O370" s="110" t="str">
        <f>IFERROR(VLOOKUP(B370,'02. MM-KLH'!$B$6:$T$823,14,0),"")</f>
        <v>Trung Quốc</v>
      </c>
      <c r="P370" s="101">
        <f>IFERROR(VLOOKUP(B370,'02. MM-KLH'!$B$6:$T$823,15,0),"")</f>
        <v>2025</v>
      </c>
      <c r="Q370" s="101" t="str">
        <f>IFERROR(VLOOKUP(B370,'02. MM-KLH'!$B$6:$T$823,16,0),"")</f>
        <v>ZZ4187N391JE1</v>
      </c>
      <c r="R370" s="101" t="str">
        <f>IFERROR(VLOOKUP(B370,'02. MM-KLH'!$B$6:$T$823,17,0),"")</f>
        <v>299 HP</v>
      </c>
      <c r="S370" s="110" t="str">
        <f>IFERROR(VLOOKUP(B370,'02. MM-KLH'!$B$6:$T$823,18,0),"")</f>
        <v>LZZ1CCMD6SJ416125</v>
      </c>
      <c r="T370" s="111" t="str">
        <f>IFERROR(VLOOKUP(B370,'02. MM-KLH'!$B$6:$T$823,19,0),"")</f>
        <v>WP7.300E51*1025G007298*</v>
      </c>
      <c r="U370" s="863" t="s">
        <v>3343</v>
      </c>
    </row>
    <row r="371" ht="13.5" customHeight="1" spans="1:21">
      <c r="A371" s="101">
        <f t="shared" si="16"/>
        <v>11</v>
      </c>
      <c r="B371" s="104" t="s">
        <v>2376</v>
      </c>
      <c r="C371" s="102">
        <f>IFERROR(VLOOKUP(B371,'02. MM-KLH'!$B$6:$T$823,2,0),"")</f>
        <v>0</v>
      </c>
      <c r="D371" s="103" t="str">
        <f>IFERROR(VLOOKUP(B371,'02. MM-KLH'!$B$6:$T$823,3,0),"")</f>
        <v>A22-XĐK-011</v>
      </c>
      <c r="E371" s="102" t="str">
        <f>IFERROR(VLOOKUP(B371,'02. MM-KLH'!$B$6:$T$823,4,0),"")</f>
        <v>3A-6838</v>
      </c>
      <c r="F371" s="104"/>
      <c r="G371" s="102" t="str">
        <f>IFERROR(VLOOKUP(B371,'02. MM-KLH'!$B$6:$T$823,6,0),"")</f>
        <v>Xe đầu kéo HOWO</v>
      </c>
      <c r="H371" s="101" t="s">
        <v>3404</v>
      </c>
      <c r="I371" s="101" t="str">
        <f>IFERROR(VLOOKUP(B371,'02. MM-KLH'!$B$6:$T$823,8,0),"")</f>
        <v>XN Bò AD</v>
      </c>
      <c r="J371" s="105">
        <f>IFERROR(VLOOKUP(B371,'02. MM-KLH'!$B$6:$T$823,9,0),"")</f>
        <v>46176</v>
      </c>
      <c r="K371" s="101" t="str">
        <f>IFERROR(VLOOKUP(B371,'02. MM-KLH'!$B$6:$T$823,10,0),"")</f>
        <v>Bình thường</v>
      </c>
      <c r="L371" s="107">
        <f>IFERROR(VLOOKUP(B371,'02. MM-KLH'!$B$6:$T$823,11,0),"")</f>
        <v>0</v>
      </c>
      <c r="M371" s="864" t="str">
        <f>IFERROR(VLOOKUP(B371,'02. MM-KLH'!$B$6:$T$823,12,0),"")</f>
        <v>Đi kèm XB1-TPC-006, 007 (45m3)</v>
      </c>
      <c r="N371" s="110" t="str">
        <f>IFERROR(VLOOKUP(B371,'02. MM-KLH'!$B$6:$T$823,13,0),"")</f>
        <v>CNHTC</v>
      </c>
      <c r="O371" s="110" t="str">
        <f>IFERROR(VLOOKUP(B371,'02. MM-KLH'!$B$6:$T$823,14,0),"")</f>
        <v>Trung Quốc</v>
      </c>
      <c r="P371" s="101">
        <f>IFERROR(VLOOKUP(B371,'02. MM-KLH'!$B$6:$T$823,15,0),"")</f>
        <v>2025</v>
      </c>
      <c r="Q371" s="101" t="str">
        <f>IFERROR(VLOOKUP(B371,'02. MM-KLH'!$B$6:$T$823,16,0),"")</f>
        <v>ZZ4187N391JE1</v>
      </c>
      <c r="R371" s="101" t="str">
        <f>IFERROR(VLOOKUP(B371,'02. MM-KLH'!$B$6:$T$823,17,0),"")</f>
        <v>299 HP</v>
      </c>
      <c r="S371" s="110" t="str">
        <f>IFERROR(VLOOKUP(B371,'02. MM-KLH'!$B$6:$T$823,18,0),"")</f>
        <v>LZZ1CCMD9SJ416135</v>
      </c>
      <c r="T371" s="111" t="str">
        <f>IFERROR(VLOOKUP(B371,'02. MM-KLH'!$B$6:$T$823,19,0),"")</f>
        <v>WP7.300E51*1025G007310*</v>
      </c>
      <c r="U371" s="863" t="s">
        <v>3343</v>
      </c>
    </row>
    <row r="372" ht="13.5" customHeight="1" spans="1:21">
      <c r="A372" s="101">
        <f t="shared" si="16"/>
        <v>12</v>
      </c>
      <c r="B372" s="104" t="s">
        <v>2382</v>
      </c>
      <c r="C372" s="102">
        <f>IFERROR(VLOOKUP(B372,'02. MM-KLH'!$B$6:$T$823,2,0),"")</f>
        <v>0</v>
      </c>
      <c r="D372" s="103" t="str">
        <f>IFERROR(VLOOKUP(B372,'02. MM-KLH'!$B$6:$T$823,3,0),"")</f>
        <v>A22-XĐK-012</v>
      </c>
      <c r="E372" s="102" t="str">
        <f>IFERROR(VLOOKUP(B372,'02. MM-KLH'!$B$6:$T$823,4,0),"")</f>
        <v>3A-6830</v>
      </c>
      <c r="F372" s="104"/>
      <c r="G372" s="102" t="str">
        <f>IFERROR(VLOOKUP(B372,'02. MM-KLH'!$B$6:$T$823,6,0),"")</f>
        <v>Xe đầu kéo HOWO</v>
      </c>
      <c r="H372" s="101" t="s">
        <v>3404</v>
      </c>
      <c r="I372" s="101" t="str">
        <f>IFERROR(VLOOKUP(B372,'02. MM-KLH'!$B$6:$T$823,8,0),"")</f>
        <v>XN Bò AD</v>
      </c>
      <c r="J372" s="105">
        <f>IFERROR(VLOOKUP(B372,'02. MM-KLH'!$B$6:$T$823,9,0),"")</f>
        <v>46176</v>
      </c>
      <c r="K372" s="101" t="str">
        <f>IFERROR(VLOOKUP(B372,'02. MM-KLH'!$B$6:$T$823,10,0),"")</f>
        <v>Bình thường</v>
      </c>
      <c r="L372" s="107">
        <f>IFERROR(VLOOKUP(B372,'02. MM-KLH'!$B$6:$T$823,11,0),"")</f>
        <v>0</v>
      </c>
      <c r="M372" s="864" t="str">
        <f>IFERROR(VLOOKUP(B372,'02. MM-KLH'!$B$6:$T$823,12,0),"")</f>
        <v>Đi kèm XB1-TPC-008, 009 (45m3)</v>
      </c>
      <c r="N372" s="110" t="str">
        <f>IFERROR(VLOOKUP(B372,'02. MM-KLH'!$B$6:$T$823,13,0),"")</f>
        <v>CNHTC</v>
      </c>
      <c r="O372" s="110" t="str">
        <f>IFERROR(VLOOKUP(B372,'02. MM-KLH'!$B$6:$T$823,14,0),"")</f>
        <v>Trung Quốc</v>
      </c>
      <c r="P372" s="101">
        <f>IFERROR(VLOOKUP(B372,'02. MM-KLH'!$B$6:$T$823,15,0),"")</f>
        <v>2025</v>
      </c>
      <c r="Q372" s="101" t="str">
        <f>IFERROR(VLOOKUP(B372,'02. MM-KLH'!$B$6:$T$823,16,0),"")</f>
        <v>ZZ4187N391JE1</v>
      </c>
      <c r="R372" s="101" t="str">
        <f>IFERROR(VLOOKUP(B372,'02. MM-KLH'!$B$6:$T$823,17,0),"")</f>
        <v>299 HP</v>
      </c>
      <c r="S372" s="110" t="str">
        <f>IFERROR(VLOOKUP(B372,'02. MM-KLH'!$B$6:$T$823,18,0),"")</f>
        <v>LZZ1CCMD0SJ416136</v>
      </c>
      <c r="T372" s="111" t="str">
        <f>IFERROR(VLOOKUP(B372,'02. MM-KLH'!$B$6:$T$823,19,0),"")</f>
        <v>WP7.300E51*1025G007303*</v>
      </c>
      <c r="U372" s="863" t="s">
        <v>3343</v>
      </c>
    </row>
    <row r="373" ht="13.5" customHeight="1" spans="1:21">
      <c r="A373" s="101">
        <f t="shared" si="16"/>
        <v>13</v>
      </c>
      <c r="B373" s="104" t="s">
        <v>2388</v>
      </c>
      <c r="C373" s="102">
        <f>IFERROR(VLOOKUP(B373,'02. MM-KLH'!$B$6:$T$823,2,0),"")</f>
        <v>0</v>
      </c>
      <c r="D373" s="103" t="str">
        <f>IFERROR(VLOOKUP(B373,'02. MM-KLH'!$B$6:$T$823,3,0),"")</f>
        <v>A22-XĐK-013</v>
      </c>
      <c r="E373" s="102" t="str">
        <f>IFERROR(VLOOKUP(B373,'02. MM-KLH'!$B$6:$T$823,4,0),"")</f>
        <v>3A-6834</v>
      </c>
      <c r="F373" s="104"/>
      <c r="G373" s="102" t="str">
        <f>IFERROR(VLOOKUP(B373,'02. MM-KLH'!$B$6:$T$823,6,0),"")</f>
        <v>Xe đầu kéo HOWO</v>
      </c>
      <c r="H373" s="101" t="s">
        <v>3404</v>
      </c>
      <c r="I373" s="101" t="str">
        <f>IFERROR(VLOOKUP(B373,'02. MM-KLH'!$B$6:$T$823,8,0),"")</f>
        <v>XN Bò AD</v>
      </c>
      <c r="J373" s="105">
        <f>IFERROR(VLOOKUP(B373,'02. MM-KLH'!$B$6:$T$823,9,0),"")</f>
        <v>46176</v>
      </c>
      <c r="K373" s="101" t="str">
        <f>IFERROR(VLOOKUP(B373,'02. MM-KLH'!$B$6:$T$823,10,0),"")</f>
        <v>Bình thường</v>
      </c>
      <c r="L373" s="107">
        <f>IFERROR(VLOOKUP(B373,'02. MM-KLH'!$B$6:$T$823,11,0),"")</f>
        <v>0</v>
      </c>
      <c r="M373" s="864" t="str">
        <f>IFERROR(VLOOKUP(B373,'02. MM-KLH'!$B$6:$T$823,12,0),"")</f>
        <v>Đi kèm XB1-TPC-010 (45m3)</v>
      </c>
      <c r="N373" s="110" t="str">
        <f>IFERROR(VLOOKUP(B373,'02. MM-KLH'!$B$6:$T$823,13,0),"")</f>
        <v>CNHTC</v>
      </c>
      <c r="O373" s="110" t="str">
        <f>IFERROR(VLOOKUP(B373,'02. MM-KLH'!$B$6:$T$823,14,0),"")</f>
        <v>Trung Quốc</v>
      </c>
      <c r="P373" s="101">
        <f>IFERROR(VLOOKUP(B373,'02. MM-KLH'!$B$6:$T$823,15,0),"")</f>
        <v>2025</v>
      </c>
      <c r="Q373" s="101" t="str">
        <f>IFERROR(VLOOKUP(B373,'02. MM-KLH'!$B$6:$T$823,16,0),"")</f>
        <v>ZZ4187N391JE1</v>
      </c>
      <c r="R373" s="101" t="str">
        <f>IFERROR(VLOOKUP(B373,'02. MM-KLH'!$B$6:$T$823,17,0),"")</f>
        <v>299 HP</v>
      </c>
      <c r="S373" s="110" t="str">
        <f>IFERROR(VLOOKUP(B373,'02. MM-KLH'!$B$6:$T$823,18,0),"")</f>
        <v>LZZ1CCMD6SJ416139</v>
      </c>
      <c r="T373" s="111" t="str">
        <f>IFERROR(VLOOKUP(B373,'02. MM-KLH'!$B$6:$T$823,19,0),"")</f>
        <v>WP7.300E51*1025G007301*</v>
      </c>
      <c r="U373" s="863" t="s">
        <v>3343</v>
      </c>
    </row>
    <row r="374" ht="13.5" customHeight="1" spans="1:21">
      <c r="A374" s="101"/>
      <c r="B374" s="104"/>
      <c r="C374" s="102" t="str">
        <f>IFERROR(VLOOKUP(B374,'02. MM-KLH'!$B$6:$T$823,2,0),"")</f>
        <v/>
      </c>
      <c r="D374" s="103" t="str">
        <f>IFERROR(VLOOKUP(B374,'02. MM-KLH'!$B$6:$T$823,3,0),"")</f>
        <v/>
      </c>
      <c r="E374" s="102" t="str">
        <f>IFERROR(VLOOKUP(B374,'02. MM-KLH'!$B$6:$T$823,4,0),"")</f>
        <v/>
      </c>
      <c r="F374" s="104"/>
      <c r="G374" s="102" t="str">
        <f>IFERROR(VLOOKUP(B374,'02. MM-KLH'!$B$6:$T$823,6,0),"")</f>
        <v/>
      </c>
      <c r="H374" s="101" t="s">
        <v>3404</v>
      </c>
      <c r="I374" s="101" t="str">
        <f>IFERROR(VLOOKUP(B374,'02. MM-KLH'!$B$6:$T$823,8,0),"")</f>
        <v/>
      </c>
      <c r="J374" s="105" t="str">
        <f>IFERROR(VLOOKUP(B374,'02. MM-KLH'!$B$6:$T$823,9,0),"")</f>
        <v/>
      </c>
      <c r="K374" s="101" t="str">
        <f>IFERROR(VLOOKUP(B374,'02. MM-KLH'!$B$6:$T$823,10,0),"")</f>
        <v/>
      </c>
      <c r="L374" s="107" t="str">
        <f>IFERROR(VLOOKUP(B374,'02. MM-KLH'!$B$6:$T$823,11,0),"")</f>
        <v/>
      </c>
      <c r="M374" s="864" t="str">
        <f>IFERROR(VLOOKUP(B374,'02. MM-KLH'!$B$6:$T$823,12,0),"")</f>
        <v/>
      </c>
      <c r="N374" s="110" t="str">
        <f>IFERROR(VLOOKUP(B374,'02. MM-KLH'!$B$6:$T$823,13,0),"")</f>
        <v/>
      </c>
      <c r="O374" s="110" t="str">
        <f>IFERROR(VLOOKUP(B374,'02. MM-KLH'!$B$6:$T$823,14,0),"")</f>
        <v/>
      </c>
      <c r="P374" s="101" t="str">
        <f>IFERROR(VLOOKUP(B374,'02. MM-KLH'!$B$6:$T$823,15,0),"")</f>
        <v/>
      </c>
      <c r="Q374" s="101" t="str">
        <f>IFERROR(VLOOKUP(B374,'02. MM-KLH'!$B$6:$T$823,16,0),"")</f>
        <v/>
      </c>
      <c r="R374" s="101" t="str">
        <f>IFERROR(VLOOKUP(B374,'02. MM-KLH'!$B$6:$T$823,17,0),"")</f>
        <v/>
      </c>
      <c r="S374" s="110" t="str">
        <f>IFERROR(VLOOKUP(B374,'02. MM-KLH'!$B$6:$T$823,18,0),"")</f>
        <v/>
      </c>
      <c r="T374" s="111" t="str">
        <f>IFERROR(VLOOKUP(B374,'02. MM-KLH'!$B$6:$T$823,19,0),"")</f>
        <v/>
      </c>
      <c r="U374" s="863" t="s">
        <v>3343</v>
      </c>
    </row>
    <row r="375" ht="13.5" customHeight="1" spans="1:21">
      <c r="A375" s="101"/>
      <c r="B375" s="104"/>
      <c r="C375" s="102"/>
      <c r="D375" s="103"/>
      <c r="E375" s="102"/>
      <c r="F375" s="201"/>
      <c r="G375" s="102"/>
      <c r="H375" s="101"/>
      <c r="I375" s="101"/>
      <c r="J375" s="105"/>
      <c r="K375" s="101"/>
      <c r="L375" s="107"/>
      <c r="M375" s="864"/>
      <c r="N375" s="110"/>
      <c r="O375" s="110"/>
      <c r="P375" s="101"/>
      <c r="Q375" s="101"/>
      <c r="R375" s="101"/>
      <c r="S375" s="110"/>
      <c r="T375" s="111"/>
      <c r="U375" s="863"/>
    </row>
    <row r="376" ht="13.5" customHeight="1" spans="1:21">
      <c r="A376" s="101"/>
      <c r="B376" s="104"/>
      <c r="C376" s="102" t="str">
        <f>IFERROR(VLOOKUP(B376,'02. MM-KLH'!$B$6:$T$823,2,0),"")</f>
        <v/>
      </c>
      <c r="D376" s="103" t="str">
        <f>IFERROR(VLOOKUP(B376,'02. MM-KLH'!$B$6:$T$823,3,0),"")</f>
        <v/>
      </c>
      <c r="E376" s="102" t="str">
        <f>IFERROR(VLOOKUP(B376,'02. MM-KLH'!$B$6:$T$823,4,0),"")</f>
        <v/>
      </c>
      <c r="F376" s="201"/>
      <c r="G376" s="102" t="str">
        <f>IFERROR(VLOOKUP(B376,'02. MM-KLH'!$B$6:$T$823,6,0),"")</f>
        <v/>
      </c>
      <c r="H376" s="101"/>
      <c r="I376" s="101" t="str">
        <f>IFERROR(VLOOKUP(B376,'02. MM-KLH'!$B$6:$T$823,8,0),"")</f>
        <v/>
      </c>
      <c r="J376" s="105" t="str">
        <f>IFERROR(VLOOKUP(B376,'02. MM-KLH'!$B$6:$T$823,9,0),"")</f>
        <v/>
      </c>
      <c r="K376" s="101" t="str">
        <f>IFERROR(VLOOKUP(B376,'02. MM-KLH'!$B$6:$T$823,10,0),"")</f>
        <v/>
      </c>
      <c r="L376" s="107" t="str">
        <f>IFERROR(VLOOKUP(B376,'02. MM-KLH'!$B$6:$T$823,11,0),"")</f>
        <v/>
      </c>
      <c r="M376" s="864" t="str">
        <f>IFERROR(VLOOKUP(B376,'02. MM-KLH'!$B$6:$T$823,12,0),"")</f>
        <v/>
      </c>
      <c r="N376" s="110" t="str">
        <f>IFERROR(VLOOKUP(B376,'02. MM-KLH'!$B$6:$T$823,13,0),"")</f>
        <v/>
      </c>
      <c r="O376" s="110" t="str">
        <f>IFERROR(VLOOKUP(B376,'02. MM-KLH'!$B$6:$T$823,14,0),"")</f>
        <v/>
      </c>
      <c r="P376" s="101" t="str">
        <f>IFERROR(VLOOKUP(B376,'02. MM-KLH'!$B$6:$T$823,15,0),"")</f>
        <v/>
      </c>
      <c r="Q376" s="101" t="str">
        <f>IFERROR(VLOOKUP(B376,'02. MM-KLH'!$B$6:$T$823,16,0),"")</f>
        <v/>
      </c>
      <c r="R376" s="101" t="str">
        <f>IFERROR(VLOOKUP(B376,'02. MM-KLH'!$B$6:$T$823,17,0),"")</f>
        <v/>
      </c>
      <c r="S376" s="110" t="str">
        <f>IFERROR(VLOOKUP(B376,'02. MM-KLH'!$B$6:$T$823,18,0),"")</f>
        <v/>
      </c>
      <c r="T376" s="111" t="str">
        <f>IFERROR(VLOOKUP(B376,'02. MM-KLH'!$B$6:$T$823,19,0),"")</f>
        <v/>
      </c>
      <c r="U376" s="863"/>
    </row>
    <row r="377" ht="13.5" customHeight="1" spans="1:21">
      <c r="A377" s="847" t="s">
        <v>290</v>
      </c>
      <c r="B377" s="848" t="s">
        <v>3405</v>
      </c>
      <c r="C377" s="849">
        <f>COUNTA(B378:B400)</f>
        <v>22</v>
      </c>
      <c r="D377" s="849" t="str">
        <f>IFERROR(VLOOKUP(B377,'02. MM-KLH'!$B$6:$T$823,3,0),"")</f>
        <v/>
      </c>
      <c r="E377" s="849" t="str">
        <f>IFERROR(VLOOKUP(B377,'02. MM-KLH'!$B$6:$T$823,4,0),"")</f>
        <v/>
      </c>
      <c r="F377" s="849"/>
      <c r="G377" s="849" t="str">
        <f>IFERROR(VLOOKUP(B377,'02. MM-KLH'!$B$6:$T$823,6,0),"")</f>
        <v/>
      </c>
      <c r="H377" s="849"/>
      <c r="I377" s="849" t="str">
        <f>IFERROR(VLOOKUP(B377,'02. MM-KLH'!$B$6:$T$823,8,0),"")</f>
        <v/>
      </c>
      <c r="J377" s="849" t="str">
        <f>IFERROR(VLOOKUP(B377,'02. MM-KLH'!$B$6:$T$823,9,0),"")</f>
        <v/>
      </c>
      <c r="K377" s="849" t="str">
        <f>IFERROR(VLOOKUP(B377,'02. MM-KLH'!$B$6:$T$823,10,0),"")</f>
        <v/>
      </c>
      <c r="L377" s="849" t="str">
        <f>IFERROR(VLOOKUP(B377,'02. MM-KLH'!$B$6:$T$823,11,0),"")</f>
        <v/>
      </c>
      <c r="M377" s="849" t="str">
        <f>IFERROR(VLOOKUP(B377,'02. MM-KLH'!$B$6:$T$823,12,0),"")</f>
        <v/>
      </c>
      <c r="N377" s="849" t="str">
        <f>IFERROR(VLOOKUP(B377,'02. MM-KLH'!$B$6:$T$823,13,0),"")</f>
        <v/>
      </c>
      <c r="O377" s="849" t="str">
        <f>IFERROR(VLOOKUP(B377,'02. MM-KLH'!$B$6:$T$823,14,0),"")</f>
        <v/>
      </c>
      <c r="P377" s="849" t="str">
        <f>IFERROR(VLOOKUP(B377,'02. MM-KLH'!$B$6:$T$823,15,0),"")</f>
        <v/>
      </c>
      <c r="Q377" s="849" t="str">
        <f>IFERROR(VLOOKUP(B377,'02. MM-KLH'!$B$6:$T$823,16,0),"")</f>
        <v/>
      </c>
      <c r="R377" s="849" t="str">
        <f>IFERROR(VLOOKUP(B377,'02. MM-KLH'!$B$6:$T$823,17,0),"")</f>
        <v/>
      </c>
      <c r="S377" s="849" t="str">
        <f>IFERROR(VLOOKUP(B377,'02. MM-KLH'!$B$6:$T$823,18,0),"")</f>
        <v/>
      </c>
      <c r="T377" s="849" t="str">
        <f>IFERROR(VLOOKUP(B377,'02. MM-KLH'!$B$6:$T$823,19,0),"")</f>
        <v/>
      </c>
      <c r="U377" s="849" t="str">
        <f>IFERROR(VLOOKUP(C377,'02. MM-KLH'!$B$6:$T$823,19,0),"")</f>
        <v/>
      </c>
    </row>
    <row r="378" ht="13.5" customHeight="1" spans="1:21">
      <c r="A378" s="103">
        <v>1</v>
      </c>
      <c r="B378" s="104" t="s">
        <v>2414</v>
      </c>
      <c r="C378" s="102" t="str">
        <f>IFERROR(VLOOKUP(B378,'02. MM-KLH'!$B$6:$T$823,2,0),"")</f>
        <v>MỚI</v>
      </c>
      <c r="D378" s="103" t="str">
        <f>IFERROR(VLOOKUP(B378,'02. MM-KLH'!$B$6:$T$823,3,0),"")</f>
        <v>ATT-A22-0313</v>
      </c>
      <c r="E378" s="102">
        <f>IFERROR(VLOOKUP(B378,'02. MM-KLH'!$B$6:$T$823,4,0),"")</f>
        <v>0</v>
      </c>
      <c r="F378" s="104" t="s">
        <v>3406</v>
      </c>
      <c r="G378" s="102" t="str">
        <f>IFERROR(VLOOKUP(B378,'02. MM-KLH'!$B$6:$T$823,6,0),"")</f>
        <v>Xe lôi</v>
      </c>
      <c r="H378" s="101" t="s">
        <v>3407</v>
      </c>
      <c r="I378" s="101" t="str">
        <f>IFERROR(VLOOKUP(B378,'02. MM-KLH'!$B$6:$T$823,8,0),"")</f>
        <v>XN Bò AD</v>
      </c>
      <c r="J378" s="105">
        <f>IFERROR(VLOOKUP(B378,'02. MM-KLH'!$B$6:$T$823,9,0),"")</f>
        <v>44938</v>
      </c>
      <c r="K378" s="101" t="str">
        <f>IFERROR(VLOOKUP(B378,'02. MM-KLH'!$B$6:$T$823,10,0),"")</f>
        <v>Bình thường</v>
      </c>
      <c r="L378" s="107">
        <f>IFERROR(VLOOKUP(B378,'02. MM-KLH'!$B$6:$T$823,11,0),"")</f>
        <v>0.93</v>
      </c>
      <c r="M378" s="864" t="str">
        <f>IFERROR(VLOOKUP(B378,'02. MM-KLH'!$B$6:$T$823,12,0),"")</f>
        <v>Đầu tư mới</v>
      </c>
      <c r="N378" s="110" t="str">
        <f>IFERROR(VLOOKUP(B378,'02. MM-KLH'!$B$6:$T$823,13,0),"")</f>
        <v>THAICO</v>
      </c>
      <c r="O378" s="110" t="str">
        <f>IFERROR(VLOOKUP(B378,'02. MM-KLH'!$B$6:$T$823,14,0),"")</f>
        <v>VIỆT NAM</v>
      </c>
      <c r="P378" s="101">
        <f>IFERROR(VLOOKUP(B378,'02. MM-KLH'!$B$6:$T$823,15,0),"")</f>
        <v>2020</v>
      </c>
      <c r="Q378" s="101" t="str">
        <f>IFERROR(VLOOKUP(B378,'02. MM-KLH'!$B$6:$T$823,16,0),"")</f>
        <v>TH150ZH</v>
      </c>
      <c r="R378" s="101" t="str">
        <f>IFERROR(VLOOKUP(B378,'02. MM-KLH'!$B$6:$T$823,17,0),"")</f>
        <v>15HP</v>
      </c>
      <c r="S378" s="110" t="str">
        <f>IFERROR(VLOOKUP(B378,'02. MM-KLH'!$B$6:$T$823,18,0),"")</f>
        <v>TH162FMJ-C22060509</v>
      </c>
      <c r="T378" s="111" t="str">
        <f>IFERROR(VLOOKUP(B378,'02. MM-KLH'!$B$6:$T$823,19,0),"")</f>
        <v>CCN</v>
      </c>
      <c r="U378" s="863" t="s">
        <v>451</v>
      </c>
    </row>
    <row r="379" ht="13.5" customHeight="1" spans="1:21">
      <c r="A379" s="103">
        <v>2</v>
      </c>
      <c r="B379" s="104" t="s">
        <v>2418</v>
      </c>
      <c r="C379" s="102" t="str">
        <f>IFERROR(VLOOKUP(B379,'02. MM-KLH'!$B$6:$T$823,2,0),"")</f>
        <v>MỚI</v>
      </c>
      <c r="D379" s="103" t="str">
        <f>IFERROR(VLOOKUP(B379,'02. MM-KLH'!$B$6:$T$823,3,0),"")</f>
        <v>ATT-A22-0327</v>
      </c>
      <c r="E379" s="102">
        <f>IFERROR(VLOOKUP(B379,'02. MM-KLH'!$B$6:$T$823,4,0),"")</f>
        <v>0</v>
      </c>
      <c r="F379" s="104" t="s">
        <v>3408</v>
      </c>
      <c r="G379" s="102" t="str">
        <f>IFERROR(VLOOKUP(B379,'02. MM-KLH'!$B$6:$T$823,6,0),"")</f>
        <v>Xe lôi</v>
      </c>
      <c r="H379" s="101" t="s">
        <v>3407</v>
      </c>
      <c r="I379" s="101" t="str">
        <f>IFERROR(VLOOKUP(B379,'02. MM-KLH'!$B$6:$T$823,8,0),"")</f>
        <v>XN Bò AD</v>
      </c>
      <c r="J379" s="105" t="str">
        <f>IFERROR(VLOOKUP(B379,'02. MM-KLH'!$B$6:$T$823,9,0),"")</f>
        <v>26/12/2023</v>
      </c>
      <c r="K379" s="101" t="str">
        <f>IFERROR(VLOOKUP(B379,'02. MM-KLH'!$B$6:$T$823,10,0),"")</f>
        <v>Bình thường</v>
      </c>
      <c r="L379" s="107">
        <f>IFERROR(VLOOKUP(B379,'02. MM-KLH'!$B$6:$T$823,11,0),"")</f>
        <v>0.95</v>
      </c>
      <c r="M379" s="864" t="str">
        <f>IFERROR(VLOOKUP(B379,'02. MM-KLH'!$B$6:$T$823,12,0),"")</f>
        <v>Đầu tư mới</v>
      </c>
      <c r="N379" s="110" t="str">
        <f>IFERROR(VLOOKUP(B379,'02. MM-KLH'!$B$6:$T$823,13,0),"")</f>
        <v>THAICO</v>
      </c>
      <c r="O379" s="110" t="str">
        <f>IFERROR(VLOOKUP(B379,'02. MM-KLH'!$B$6:$T$823,14,0),"")</f>
        <v>VIỆT NAM</v>
      </c>
      <c r="P379" s="101">
        <f>IFERROR(VLOOKUP(B379,'02. MM-KLH'!$B$6:$T$823,15,0),"")</f>
        <v>2020</v>
      </c>
      <c r="Q379" s="101" t="str">
        <f>IFERROR(VLOOKUP(B379,'02. MM-KLH'!$B$6:$T$823,16,0),"")</f>
        <v>TH150ZH</v>
      </c>
      <c r="R379" s="101" t="str">
        <f>IFERROR(VLOOKUP(B379,'02. MM-KLH'!$B$6:$T$823,17,0),"")</f>
        <v>15HP</v>
      </c>
      <c r="S379" s="110" t="str">
        <f>IFERROR(VLOOKUP(B379,'02. MM-KLH'!$B$6:$T$823,18,0),"")</f>
        <v>TH162FMJ-C23004029</v>
      </c>
      <c r="T379" s="111" t="str">
        <f>IFERROR(VLOOKUP(B379,'02. MM-KLH'!$B$6:$T$823,19,0),"")</f>
        <v>CCN</v>
      </c>
      <c r="U379" s="863" t="s">
        <v>451</v>
      </c>
    </row>
    <row r="380" ht="13.5" customHeight="1" spans="1:21">
      <c r="A380" s="103">
        <v>3</v>
      </c>
      <c r="B380" s="104" t="s">
        <v>2618</v>
      </c>
      <c r="C380" s="102" t="str">
        <f>IFERROR(VLOOKUP(B380,'02. MM-KLH'!$B$6:$T$823,2,0),"")</f>
        <v>CKB-XLO-002</v>
      </c>
      <c r="D380" s="103" t="str">
        <f>IFERROR(VLOOKUP(B380,'02. MM-KLH'!$B$6:$T$823,3,0),"")</f>
        <v>A22-XLO-001</v>
      </c>
      <c r="E380" s="102">
        <f>IFERROR(VLOOKUP(B380,'02. MM-KLH'!$B$6:$T$823,4,0),"")</f>
        <v>0</v>
      </c>
      <c r="F380" s="104"/>
      <c r="G380" s="102" t="str">
        <f>IFERROR(VLOOKUP(B380,'02. MM-KLH'!$B$6:$T$823,6,0),"")</f>
        <v>Xe lôi</v>
      </c>
      <c r="H380" s="101" t="s">
        <v>3407</v>
      </c>
      <c r="I380" s="101" t="str">
        <f>IFERROR(VLOOKUP(B380,'02. MM-KLH'!$B$6:$T$823,8,0),"")</f>
        <v>Xưởng Cơ khí ADM&amp;LP</v>
      </c>
      <c r="J380" s="105">
        <f>IFERROR(VLOOKUP(B380,'02. MM-KLH'!$B$6:$T$823,9,0),"")</f>
        <v>0</v>
      </c>
      <c r="K380" s="101" t="str">
        <f>IFERROR(VLOOKUP(B380,'02. MM-KLH'!$B$6:$T$823,10,0),"")</f>
        <v>Bình thường</v>
      </c>
      <c r="L380" s="107">
        <f>IFERROR(VLOOKUP(B380,'02. MM-KLH'!$B$6:$T$823,11,0),"")</f>
        <v>0</v>
      </c>
      <c r="M380" s="864">
        <f>IFERROR(VLOOKUP(B380,'02. MM-KLH'!$B$6:$T$823,12,0),"")</f>
        <v>0</v>
      </c>
      <c r="N380" s="110">
        <f>IFERROR(VLOOKUP(B380,'02. MM-KLH'!$B$6:$T$823,13,0),"")</f>
        <v>0</v>
      </c>
      <c r="O380" s="110">
        <f>IFERROR(VLOOKUP(B380,'02. MM-KLH'!$B$6:$T$823,14,0),"")</f>
        <v>0</v>
      </c>
      <c r="P380" s="101">
        <f>IFERROR(VLOOKUP(B380,'02. MM-KLH'!$B$6:$T$823,15,0),"")</f>
        <v>0</v>
      </c>
      <c r="Q380" s="101">
        <f>IFERROR(VLOOKUP(B380,'02. MM-KLH'!$B$6:$T$823,16,0),"")</f>
        <v>0</v>
      </c>
      <c r="R380" s="101" t="str">
        <f>IFERROR(VLOOKUP(B380,'02. MM-KLH'!$B$6:$T$823,17,0),"")</f>
        <v>150CC</v>
      </c>
      <c r="S380" s="110" t="str">
        <f>IFERROR(VLOOKUP(B380,'02. MM-KLH'!$B$6:$T$823,18,0),"")</f>
        <v>1L000058</v>
      </c>
      <c r="T380" s="111" t="str">
        <f>IFERROR(VLOOKUP(B380,'02. MM-KLH'!$B$6:$T$823,19,0),"")</f>
        <v>CCN</v>
      </c>
      <c r="U380" s="863" t="s">
        <v>451</v>
      </c>
    </row>
    <row r="381" ht="13.5" customHeight="1" spans="1:21">
      <c r="A381" s="103">
        <v>4</v>
      </c>
      <c r="B381" s="104" t="s">
        <v>2619</v>
      </c>
      <c r="C381" s="102" t="str">
        <f>IFERROR(VLOOKUP(B381,'02. MM-KLH'!$B$6:$T$823,2,0),"")</f>
        <v>CKB-XLO-003</v>
      </c>
      <c r="D381" s="103" t="str">
        <f>IFERROR(VLOOKUP(B381,'02. MM-KLH'!$B$6:$T$823,3,0),"")</f>
        <v>A22-XLO-002</v>
      </c>
      <c r="E381" s="102">
        <f>IFERROR(VLOOKUP(B381,'02. MM-KLH'!$B$6:$T$823,4,0),"")</f>
        <v>0</v>
      </c>
      <c r="F381" s="104"/>
      <c r="G381" s="102" t="str">
        <f>IFERROR(VLOOKUP(B381,'02. MM-KLH'!$B$6:$T$823,6,0),"")</f>
        <v>Xe lôi</v>
      </c>
      <c r="H381" s="101" t="s">
        <v>3407</v>
      </c>
      <c r="I381" s="101" t="str">
        <f>IFERROR(VLOOKUP(B381,'02. MM-KLH'!$B$6:$T$823,8,0),"")</f>
        <v>Xưởng Cơ khí ADM&amp;LP</v>
      </c>
      <c r="J381" s="105">
        <f>IFERROR(VLOOKUP(B381,'02. MM-KLH'!$B$6:$T$823,9,0),"")</f>
        <v>0</v>
      </c>
      <c r="K381" s="101" t="str">
        <f>IFERROR(VLOOKUP(B381,'02. MM-KLH'!$B$6:$T$823,10,0),"")</f>
        <v>Bình thường</v>
      </c>
      <c r="L381" s="107">
        <f>IFERROR(VLOOKUP(B381,'02. MM-KLH'!$B$6:$T$823,11,0),"")</f>
        <v>0</v>
      </c>
      <c r="M381" s="864">
        <f>IFERROR(VLOOKUP(B381,'02. MM-KLH'!$B$6:$T$823,12,0),"")</f>
        <v>0</v>
      </c>
      <c r="N381" s="110">
        <f>IFERROR(VLOOKUP(B381,'02. MM-KLH'!$B$6:$T$823,13,0),"")</f>
        <v>0</v>
      </c>
      <c r="O381" s="110">
        <f>IFERROR(VLOOKUP(B381,'02. MM-KLH'!$B$6:$T$823,14,0),"")</f>
        <v>0</v>
      </c>
      <c r="P381" s="101">
        <f>IFERROR(VLOOKUP(B381,'02. MM-KLH'!$B$6:$T$823,15,0),"")</f>
        <v>0</v>
      </c>
      <c r="Q381" s="101">
        <f>IFERROR(VLOOKUP(B381,'02. MM-KLH'!$B$6:$T$823,16,0),"")</f>
        <v>0</v>
      </c>
      <c r="R381" s="101" t="str">
        <f>IFERROR(VLOOKUP(B381,'02. MM-KLH'!$B$6:$T$823,17,0),"")</f>
        <v>150CC</v>
      </c>
      <c r="S381" s="110" t="str">
        <f>IFERROR(VLOOKUP(B381,'02. MM-KLH'!$B$6:$T$823,18,0),"")</f>
        <v>21L001162</v>
      </c>
      <c r="T381" s="111" t="str">
        <f>IFERROR(VLOOKUP(B381,'02. MM-KLH'!$B$6:$T$823,19,0),"")</f>
        <v>CCN</v>
      </c>
      <c r="U381" s="863" t="s">
        <v>451</v>
      </c>
    </row>
    <row r="382" ht="13.5" customHeight="1" spans="1:21">
      <c r="A382" s="103">
        <v>5</v>
      </c>
      <c r="B382" s="104" t="s">
        <v>2622</v>
      </c>
      <c r="C382" s="102" t="str">
        <f>IFERROR(VLOOKUP(B382,'02. MM-KLH'!$B$6:$T$823,2,0),"")</f>
        <v>CKB-XLO-004</v>
      </c>
      <c r="D382" s="103" t="str">
        <f>IFERROR(VLOOKUP(B382,'02. MM-KLH'!$B$6:$T$823,3,0),"")</f>
        <v>A22-XLO-003</v>
      </c>
      <c r="E382" s="102">
        <f>IFERROR(VLOOKUP(B382,'02. MM-KLH'!$B$6:$T$823,4,0),"")</f>
        <v>0</v>
      </c>
      <c r="F382" s="104"/>
      <c r="G382" s="102" t="str">
        <f>IFERROR(VLOOKUP(B382,'02. MM-KLH'!$B$6:$T$823,6,0),"")</f>
        <v>Xe lôi</v>
      </c>
      <c r="H382" s="101" t="s">
        <v>3407</v>
      </c>
      <c r="I382" s="101" t="str">
        <f>IFERROR(VLOOKUP(B382,'02. MM-KLH'!$B$6:$T$823,8,0),"")</f>
        <v>Xưởng Cơ khí ADM&amp;LP</v>
      </c>
      <c r="J382" s="105">
        <f>IFERROR(VLOOKUP(B382,'02. MM-KLH'!$B$6:$T$823,9,0),"")</f>
        <v>0</v>
      </c>
      <c r="K382" s="101" t="str">
        <f>IFERROR(VLOOKUP(B382,'02. MM-KLH'!$B$6:$T$823,10,0),"")</f>
        <v>Bình thường</v>
      </c>
      <c r="L382" s="107">
        <f>IFERROR(VLOOKUP(B382,'02. MM-KLH'!$B$6:$T$823,11,0),"")</f>
        <v>0</v>
      </c>
      <c r="M382" s="864">
        <f>IFERROR(VLOOKUP(B382,'02. MM-KLH'!$B$6:$T$823,12,0),"")</f>
        <v>0</v>
      </c>
      <c r="N382" s="110">
        <f>IFERROR(VLOOKUP(B382,'02. MM-KLH'!$B$6:$T$823,13,0),"")</f>
        <v>0</v>
      </c>
      <c r="O382" s="110">
        <f>IFERROR(VLOOKUP(B382,'02. MM-KLH'!$B$6:$T$823,14,0),"")</f>
        <v>0</v>
      </c>
      <c r="P382" s="101">
        <f>IFERROR(VLOOKUP(B382,'02. MM-KLH'!$B$6:$T$823,15,0),"")</f>
        <v>0</v>
      </c>
      <c r="Q382" s="101">
        <f>IFERROR(VLOOKUP(B382,'02. MM-KLH'!$B$6:$T$823,16,0),"")</f>
        <v>0</v>
      </c>
      <c r="R382" s="101" t="str">
        <f>IFERROR(VLOOKUP(B382,'02. MM-KLH'!$B$6:$T$823,17,0),"")</f>
        <v>150CC</v>
      </c>
      <c r="S382" s="110" t="str">
        <f>IFERROR(VLOOKUP(B382,'02. MM-KLH'!$B$6:$T$823,18,0),"")</f>
        <v>21L000299</v>
      </c>
      <c r="T382" s="111" t="str">
        <f>IFERROR(VLOOKUP(B382,'02. MM-KLH'!$B$6:$T$823,19,0),"")</f>
        <v>CCN</v>
      </c>
      <c r="U382" s="863" t="s">
        <v>451</v>
      </c>
    </row>
    <row r="383" ht="13.5" customHeight="1" spans="1:21">
      <c r="A383" s="103">
        <v>6</v>
      </c>
      <c r="B383" s="104" t="s">
        <v>2701</v>
      </c>
      <c r="C383" s="102" t="str">
        <f>IFERROR(VLOOKUP(B383,'02. MM-KLH'!$B$6:$T$823,2,0),"")</f>
        <v>CKC-XLO-005</v>
      </c>
      <c r="D383" s="103" t="str">
        <f>IFERROR(VLOOKUP(B383,'02. MM-KLH'!$B$6:$T$823,3,0),"")</f>
        <v>ATT-A22-0275</v>
      </c>
      <c r="E383" s="102">
        <f>IFERROR(VLOOKUP(B383,'02. MM-KLH'!$B$6:$T$823,4,0),"")</f>
        <v>0</v>
      </c>
      <c r="F383" s="102" t="s">
        <v>3409</v>
      </c>
      <c r="G383" s="102" t="str">
        <f>IFERROR(VLOOKUP(B383,'02. MM-KLH'!$B$6:$T$823,6,0),"")</f>
        <v>Xe lôi</v>
      </c>
      <c r="H383" s="101" t="s">
        <v>3407</v>
      </c>
      <c r="I383" s="101" t="str">
        <f>IFERROR(VLOOKUP(B383,'02. MM-KLH'!$B$6:$T$823,8,0),"")</f>
        <v>Thagricons</v>
      </c>
      <c r="J383" s="105">
        <f>IFERROR(VLOOKUP(B383,'02. MM-KLH'!$B$6:$T$823,9,0),"")</f>
        <v>44936</v>
      </c>
      <c r="K383" s="101" t="str">
        <f>IFERROR(VLOOKUP(B383,'02. MM-KLH'!$B$6:$T$823,10,0),"")</f>
        <v>Bình thường</v>
      </c>
      <c r="L383" s="107">
        <f>IFERROR(VLOOKUP(B383,'02. MM-KLH'!$B$6:$T$823,11,0),"")</f>
        <v>0.95</v>
      </c>
      <c r="M383" s="864">
        <f>IFERROR(VLOOKUP(B383,'02. MM-KLH'!$B$6:$T$823,12,0),"")</f>
        <v>0</v>
      </c>
      <c r="N383" s="110" t="str">
        <f>IFERROR(VLOOKUP(B383,'02. MM-KLH'!$B$6:$T$823,13,0),"")</f>
        <v>THAICO</v>
      </c>
      <c r="O383" s="110" t="str">
        <f>IFERROR(VLOOKUP(B383,'02. MM-KLH'!$B$6:$T$823,14,0),"")</f>
        <v>VIỆT NAM</v>
      </c>
      <c r="P383" s="101">
        <f>IFERROR(VLOOKUP(B383,'02. MM-KLH'!$B$6:$T$823,15,0),"")</f>
        <v>0</v>
      </c>
      <c r="Q383" s="101" t="str">
        <f>IFERROR(VLOOKUP(B383,'02. MM-KLH'!$B$6:$T$823,16,0),"")</f>
        <v>150ZH</v>
      </c>
      <c r="R383" s="101" t="str">
        <f>IFERROR(VLOOKUP(B383,'02. MM-KLH'!$B$6:$T$823,17,0),"")</f>
        <v>150HP</v>
      </c>
      <c r="S383" s="110" t="str">
        <f>IFERROR(VLOOKUP(B383,'02. MM-KLH'!$B$6:$T$823,18,0),"")</f>
        <v>TH162FMJ-C22060455</v>
      </c>
      <c r="T383" s="111" t="str">
        <f>IFERROR(VLOOKUP(B383,'02. MM-KLH'!$B$6:$T$823,19,0),"")</f>
        <v>CCN</v>
      </c>
      <c r="U383" s="863" t="s">
        <v>451</v>
      </c>
    </row>
    <row r="384" ht="13.5" customHeight="1" spans="1:21">
      <c r="A384" s="103">
        <v>7</v>
      </c>
      <c r="B384" s="104" t="s">
        <v>2705</v>
      </c>
      <c r="C384" s="102">
        <f>IFERROR(VLOOKUP(B384,'02. MM-KLH'!$B$6:$T$823,2,0),"")</f>
        <v>0</v>
      </c>
      <c r="D384" s="103" t="str">
        <f>IFERROR(VLOOKUP(B384,'02. MM-KLH'!$B$6:$T$823,3,0),"")</f>
        <v>ATT-A22-0281</v>
      </c>
      <c r="E384" s="102">
        <f>IFERROR(VLOOKUP(B384,'02. MM-KLH'!$B$6:$T$823,4,0),"")</f>
        <v>0</v>
      </c>
      <c r="F384" s="102" t="s">
        <v>3410</v>
      </c>
      <c r="G384" s="102" t="str">
        <f>IFERROR(VLOOKUP(B384,'02. MM-KLH'!$B$6:$T$823,6,0),"")</f>
        <v>Xe lôi</v>
      </c>
      <c r="H384" s="101" t="s">
        <v>3407</v>
      </c>
      <c r="I384" s="101" t="str">
        <f>IFERROR(VLOOKUP(B384,'02. MM-KLH'!$B$6:$T$823,8,0),"")</f>
        <v>Thagricons</v>
      </c>
      <c r="J384" s="105" t="str">
        <f>IFERROR(VLOOKUP(B384,'02. MM-KLH'!$B$6:$T$823,9,0),"")</f>
        <v>14/11/2023</v>
      </c>
      <c r="K384" s="101" t="str">
        <f>IFERROR(VLOOKUP(B384,'02. MM-KLH'!$B$6:$T$823,10,0),"")</f>
        <v>Bình thường</v>
      </c>
      <c r="L384" s="107">
        <f>IFERROR(VLOOKUP(B384,'02. MM-KLH'!$B$6:$T$823,11,0),"")</f>
        <v>0.94</v>
      </c>
      <c r="M384" s="864">
        <f>IFERROR(VLOOKUP(B384,'02. MM-KLH'!$B$6:$T$823,12,0),"")</f>
        <v>0</v>
      </c>
      <c r="N384" s="110" t="str">
        <f>IFERROR(VLOOKUP(B384,'02. MM-KLH'!$B$6:$T$823,13,0),"")</f>
        <v>THAICO</v>
      </c>
      <c r="O384" s="110" t="str">
        <f>IFERROR(VLOOKUP(B384,'02. MM-KLH'!$B$6:$T$823,14,0),"")</f>
        <v>VIỆT NAM</v>
      </c>
      <c r="P384" s="101">
        <f>IFERROR(VLOOKUP(B384,'02. MM-KLH'!$B$6:$T$823,15,0),"")</f>
        <v>0</v>
      </c>
      <c r="Q384" s="101" t="str">
        <f>IFERROR(VLOOKUP(B384,'02. MM-KLH'!$B$6:$T$823,16,0),"")</f>
        <v>150ZH</v>
      </c>
      <c r="R384" s="101" t="str">
        <f>IFERROR(VLOOKUP(B384,'02. MM-KLH'!$B$6:$T$823,17,0),"")</f>
        <v>150HP</v>
      </c>
      <c r="S384" s="110" t="str">
        <f>IFERROR(VLOOKUP(B384,'02. MM-KLH'!$B$6:$T$823,18,0),"")</f>
        <v>TH162FMJ-C23004009</v>
      </c>
      <c r="T384" s="111" t="str">
        <f>IFERROR(VLOOKUP(B384,'02. MM-KLH'!$B$6:$T$823,19,0),"")</f>
        <v>CCN</v>
      </c>
      <c r="U384" s="863" t="s">
        <v>451</v>
      </c>
    </row>
    <row r="385" ht="13.5" customHeight="1" spans="1:21">
      <c r="A385" s="103">
        <v>8</v>
      </c>
      <c r="B385" s="104" t="s">
        <v>2708</v>
      </c>
      <c r="C385" s="102">
        <f>IFERROR(VLOOKUP(B385,'02. MM-KLH'!$B$6:$T$823,2,0),"")</f>
        <v>0</v>
      </c>
      <c r="D385" s="103" t="str">
        <f>IFERROR(VLOOKUP(B385,'02. MM-KLH'!$B$6:$T$823,3,0),"")</f>
        <v>ATT-A22-0282</v>
      </c>
      <c r="E385" s="102">
        <f>IFERROR(VLOOKUP(B385,'02. MM-KLH'!$B$6:$T$823,4,0),"")</f>
        <v>0</v>
      </c>
      <c r="F385" s="102" t="s">
        <v>3411</v>
      </c>
      <c r="G385" s="102" t="str">
        <f>IFERROR(VLOOKUP(B385,'02. MM-KLH'!$B$6:$T$823,6,0),"")</f>
        <v>Xe lôi</v>
      </c>
      <c r="H385" s="101" t="s">
        <v>3407</v>
      </c>
      <c r="I385" s="101" t="str">
        <f>IFERROR(VLOOKUP(B385,'02. MM-KLH'!$B$6:$T$823,8,0),"")</f>
        <v>Thagricons</v>
      </c>
      <c r="J385" s="105" t="str">
        <f>IFERROR(VLOOKUP(B385,'02. MM-KLH'!$B$6:$T$823,9,0),"")</f>
        <v>14/11/2023</v>
      </c>
      <c r="K385" s="101" t="str">
        <f>IFERROR(VLOOKUP(B385,'02. MM-KLH'!$B$6:$T$823,10,0),"")</f>
        <v>Bình thường</v>
      </c>
      <c r="L385" s="107">
        <f>IFERROR(VLOOKUP(B385,'02. MM-KLH'!$B$6:$T$823,11,0),"")</f>
        <v>0.94</v>
      </c>
      <c r="M385" s="864">
        <f>IFERROR(VLOOKUP(B385,'02. MM-KLH'!$B$6:$T$823,12,0),"")</f>
        <v>0</v>
      </c>
      <c r="N385" s="110" t="str">
        <f>IFERROR(VLOOKUP(B385,'02. MM-KLH'!$B$6:$T$823,13,0),"")</f>
        <v>THAICO</v>
      </c>
      <c r="O385" s="110" t="str">
        <f>IFERROR(VLOOKUP(B385,'02. MM-KLH'!$B$6:$T$823,14,0),"")</f>
        <v>VIỆT NAM</v>
      </c>
      <c r="P385" s="101">
        <f>IFERROR(VLOOKUP(B385,'02. MM-KLH'!$B$6:$T$823,15,0),"")</f>
        <v>0</v>
      </c>
      <c r="Q385" s="101" t="str">
        <f>IFERROR(VLOOKUP(B385,'02. MM-KLH'!$B$6:$T$823,16,0),"")</f>
        <v>150ZH</v>
      </c>
      <c r="R385" s="101" t="str">
        <f>IFERROR(VLOOKUP(B385,'02. MM-KLH'!$B$6:$T$823,17,0),"")</f>
        <v>150HP</v>
      </c>
      <c r="S385" s="110" t="str">
        <f>IFERROR(VLOOKUP(B385,'02. MM-KLH'!$B$6:$T$823,18,0),"")</f>
        <v>TH162FMJ-C23004035</v>
      </c>
      <c r="T385" s="111" t="str">
        <f>IFERROR(VLOOKUP(B385,'02. MM-KLH'!$B$6:$T$823,19,0),"")</f>
        <v>CCN</v>
      </c>
      <c r="U385" s="863" t="s">
        <v>451</v>
      </c>
    </row>
    <row r="386" ht="13.5" customHeight="1" spans="1:21">
      <c r="A386" s="103">
        <v>9</v>
      </c>
      <c r="B386" s="104" t="s">
        <v>2710</v>
      </c>
      <c r="C386" s="102">
        <f>IFERROR(VLOOKUP(B386,'02. MM-KLH'!$B$6:$T$823,2,0),"")</f>
        <v>0</v>
      </c>
      <c r="D386" s="103" t="str">
        <f>IFERROR(VLOOKUP(B386,'02. MM-KLH'!$B$6:$T$823,3,0),"")</f>
        <v>ATT-A22-0325</v>
      </c>
      <c r="E386" s="102">
        <f>IFERROR(VLOOKUP(B386,'02. MM-KLH'!$B$6:$T$823,4,0),"")</f>
        <v>0</v>
      </c>
      <c r="F386" s="104" t="s">
        <v>3412</v>
      </c>
      <c r="G386" s="102" t="str">
        <f>IFERROR(VLOOKUP(B386,'02. MM-KLH'!$B$6:$T$823,6,0),"")</f>
        <v>Xe lôi</v>
      </c>
      <c r="H386" s="101" t="s">
        <v>3407</v>
      </c>
      <c r="I386" s="101" t="str">
        <f>IFERROR(VLOOKUP(B386,'02. MM-KLH'!$B$6:$T$823,8,0),"")</f>
        <v>Thagricons</v>
      </c>
      <c r="J386" s="105">
        <f>IFERROR(VLOOKUP(B386,'02. MM-KLH'!$B$6:$T$823,9,0),"")</f>
        <v>45474</v>
      </c>
      <c r="K386" s="101" t="str">
        <f>IFERROR(VLOOKUP(B386,'02. MM-KLH'!$B$6:$T$823,10,0),"")</f>
        <v>Bình thường</v>
      </c>
      <c r="L386" s="107">
        <f>IFERROR(VLOOKUP(B386,'02. MM-KLH'!$B$6:$T$823,11,0),"")</f>
        <v>0.98</v>
      </c>
      <c r="M386" s="864">
        <f>IFERROR(VLOOKUP(B386,'02. MM-KLH'!$B$6:$T$823,12,0),"")</f>
        <v>0</v>
      </c>
      <c r="N386" s="110" t="str">
        <f>IFERROR(VLOOKUP(B386,'02. MM-KLH'!$B$6:$T$823,13,0),"")</f>
        <v>THAICO</v>
      </c>
      <c r="O386" s="110" t="str">
        <f>IFERROR(VLOOKUP(B386,'02. MM-KLH'!$B$6:$T$823,14,0),"")</f>
        <v>VIỆT NAM</v>
      </c>
      <c r="P386" s="101">
        <f>IFERROR(VLOOKUP(B386,'02. MM-KLH'!$B$6:$T$823,15,0),"")</f>
        <v>0</v>
      </c>
      <c r="Q386" s="101" t="str">
        <f>IFERROR(VLOOKUP(B386,'02. MM-KLH'!$B$6:$T$823,16,0),"")</f>
        <v>150ZH</v>
      </c>
      <c r="R386" s="101" t="str">
        <f>IFERROR(VLOOKUP(B386,'02. MM-KLH'!$B$6:$T$823,17,0),"")</f>
        <v>150HP</v>
      </c>
      <c r="S386" s="110" t="str">
        <f>IFERROR(VLOOKUP(B386,'02. MM-KLH'!$B$6:$T$823,18,0),"")</f>
        <v>TH162FMJ-C23004033</v>
      </c>
      <c r="T386" s="111" t="str">
        <f>IFERROR(VLOOKUP(B386,'02. MM-KLH'!$B$6:$T$823,19,0),"")</f>
        <v>CCN</v>
      </c>
      <c r="U386" s="863" t="s">
        <v>451</v>
      </c>
    </row>
    <row r="387" ht="13.5" customHeight="1" spans="1:21">
      <c r="A387" s="103">
        <v>10</v>
      </c>
      <c r="B387" s="104" t="s">
        <v>2702</v>
      </c>
      <c r="C387" s="102">
        <f>IFERROR(VLOOKUP(B387,'02. MM-KLH'!$B$6:$T$823,2,0),"")</f>
        <v>0</v>
      </c>
      <c r="D387" s="103" t="str">
        <f>IFERROR(VLOOKUP(B387,'02. MM-KLH'!$B$6:$T$823,3,0),"")</f>
        <v>ATT-A22-0326</v>
      </c>
      <c r="E387" s="102">
        <f>IFERROR(VLOOKUP(B387,'02. MM-KLH'!$B$6:$T$823,4,0),"")</f>
        <v>0</v>
      </c>
      <c r="F387" s="104" t="s">
        <v>3413</v>
      </c>
      <c r="G387" s="102" t="str">
        <f>IFERROR(VLOOKUP(B387,'02. MM-KLH'!$B$6:$T$823,6,0),"")</f>
        <v>Xe lôi</v>
      </c>
      <c r="H387" s="101" t="s">
        <v>3407</v>
      </c>
      <c r="I387" s="101" t="str">
        <f>IFERROR(VLOOKUP(B387,'02. MM-KLH'!$B$6:$T$823,8,0),"")</f>
        <v>Thagricons</v>
      </c>
      <c r="J387" s="105">
        <f>IFERROR(VLOOKUP(B387,'02. MM-KLH'!$B$6:$T$823,9,0),"")</f>
        <v>45352</v>
      </c>
      <c r="K387" s="101" t="str">
        <f>IFERROR(VLOOKUP(B387,'02. MM-KLH'!$B$6:$T$823,10,0),"")</f>
        <v>Bình thường</v>
      </c>
      <c r="L387" s="107">
        <f>IFERROR(VLOOKUP(B387,'02. MM-KLH'!$B$6:$T$823,11,0),"")</f>
        <v>0.95</v>
      </c>
      <c r="M387" s="864">
        <f>IFERROR(VLOOKUP(B387,'02. MM-KLH'!$B$6:$T$823,12,0),"")</f>
        <v>0</v>
      </c>
      <c r="N387" s="110" t="str">
        <f>IFERROR(VLOOKUP(B387,'02. MM-KLH'!$B$6:$T$823,13,0),"")</f>
        <v>THAICO</v>
      </c>
      <c r="O387" s="110" t="str">
        <f>IFERROR(VLOOKUP(B387,'02. MM-KLH'!$B$6:$T$823,14,0),"")</f>
        <v>VIỆT NAM</v>
      </c>
      <c r="P387" s="101">
        <f>IFERROR(VLOOKUP(B387,'02. MM-KLH'!$B$6:$T$823,15,0),"")</f>
        <v>0</v>
      </c>
      <c r="Q387" s="101" t="str">
        <f>IFERROR(VLOOKUP(B387,'02. MM-KLH'!$B$6:$T$823,16,0),"")</f>
        <v>150ZH</v>
      </c>
      <c r="R387" s="101" t="str">
        <f>IFERROR(VLOOKUP(B387,'02. MM-KLH'!$B$6:$T$823,17,0),"")</f>
        <v>150HP</v>
      </c>
      <c r="S387" s="110" t="str">
        <f>IFERROR(VLOOKUP(B387,'02. MM-KLH'!$B$6:$T$823,18,0),"")</f>
        <v>TH162FMJ-C23004039</v>
      </c>
      <c r="T387" s="111" t="str">
        <f>IFERROR(VLOOKUP(B387,'02. MM-KLH'!$B$6:$T$823,19,0),"")</f>
        <v>CCN</v>
      </c>
      <c r="U387" s="863" t="s">
        <v>451</v>
      </c>
    </row>
    <row r="388" ht="13.5" customHeight="1" spans="1:21">
      <c r="A388" s="103">
        <v>11</v>
      </c>
      <c r="B388" s="104" t="s">
        <v>2713</v>
      </c>
      <c r="C388" s="102" t="str">
        <f>IFERROR(VLOOKUP(B388,'02. MM-KLH'!$B$6:$T$823,2,0),"")</f>
        <v>CKC-XLO-006</v>
      </c>
      <c r="D388" s="103" t="str">
        <f>IFERROR(VLOOKUP(B388,'02. MM-KLH'!$B$6:$T$823,3,0),"")</f>
        <v>ATT-A22-0276</v>
      </c>
      <c r="E388" s="102">
        <f>IFERROR(VLOOKUP(B388,'02. MM-KLH'!$B$6:$T$823,4,0),"")</f>
        <v>0</v>
      </c>
      <c r="F388" s="104" t="s">
        <v>3414</v>
      </c>
      <c r="G388" s="102" t="str">
        <f>IFERROR(VLOOKUP(B388,'02. MM-KLH'!$B$6:$T$823,6,0),"")</f>
        <v>Xe lôi</v>
      </c>
      <c r="H388" s="101" t="s">
        <v>3407</v>
      </c>
      <c r="I388" s="101" t="str">
        <f>IFERROR(VLOOKUP(B388,'02. MM-KLH'!$B$6:$T$823,8,0),"")</f>
        <v>Thagricons</v>
      </c>
      <c r="J388" s="105">
        <f>IFERROR(VLOOKUP(B388,'02. MM-KLH'!$B$6:$T$823,9,0),"")</f>
        <v>44936</v>
      </c>
      <c r="K388" s="101" t="str">
        <f>IFERROR(VLOOKUP(B388,'02. MM-KLH'!$B$6:$T$823,10,0),"")</f>
        <v>Bình thường</v>
      </c>
      <c r="L388" s="107">
        <f>IFERROR(VLOOKUP(B388,'02. MM-KLH'!$B$6:$T$823,11,0),"")</f>
        <v>0.95</v>
      </c>
      <c r="M388" s="864">
        <f>IFERROR(VLOOKUP(B388,'02. MM-KLH'!$B$6:$T$823,12,0),"")</f>
        <v>0</v>
      </c>
      <c r="N388" s="110" t="str">
        <f>IFERROR(VLOOKUP(B388,'02. MM-KLH'!$B$6:$T$823,13,0),"")</f>
        <v>THAICO</v>
      </c>
      <c r="O388" s="110" t="str">
        <f>IFERROR(VLOOKUP(B388,'02. MM-KLH'!$B$6:$T$823,14,0),"")</f>
        <v>VIỆT NAM</v>
      </c>
      <c r="P388" s="101">
        <f>IFERROR(VLOOKUP(B388,'02. MM-KLH'!$B$6:$T$823,15,0),"")</f>
        <v>0</v>
      </c>
      <c r="Q388" s="101" t="str">
        <f>IFERROR(VLOOKUP(B388,'02. MM-KLH'!$B$6:$T$823,16,0),"")</f>
        <v>150ZH</v>
      </c>
      <c r="R388" s="101" t="str">
        <f>IFERROR(VLOOKUP(B388,'02. MM-KLH'!$B$6:$T$823,17,0),"")</f>
        <v>150HP</v>
      </c>
      <c r="S388" s="110" t="str">
        <f>IFERROR(VLOOKUP(B388,'02. MM-KLH'!$B$6:$T$823,18,0),"")</f>
        <v>TH162FMJ-C22060453</v>
      </c>
      <c r="T388" s="111" t="str">
        <f>IFERROR(VLOOKUP(B388,'02. MM-KLH'!$B$6:$T$823,19,0),"")</f>
        <v>CCN</v>
      </c>
      <c r="U388" s="863" t="s">
        <v>451</v>
      </c>
    </row>
    <row r="389" ht="13.5" customHeight="1" spans="1:21">
      <c r="A389" s="103">
        <v>12</v>
      </c>
      <c r="B389" s="104" t="s">
        <v>2715</v>
      </c>
      <c r="C389" s="102" t="str">
        <f>IFERROR(VLOOKUP(B389,'02. MM-KLH'!$B$6:$T$823,2,0),"")</f>
        <v>CKC-XLO-002</v>
      </c>
      <c r="D389" s="103" t="str">
        <f>IFERROR(VLOOKUP(B389,'02. MM-KLH'!$B$6:$T$823,3,0),"")</f>
        <v>A22-XLO-007</v>
      </c>
      <c r="E389" s="102">
        <f>IFERROR(VLOOKUP(B389,'02. MM-KLH'!$B$6:$T$823,4,0),"")</f>
        <v>0</v>
      </c>
      <c r="F389" s="104"/>
      <c r="G389" s="102" t="str">
        <f>IFERROR(VLOOKUP(B389,'02. MM-KLH'!$B$6:$T$823,6,0),"")</f>
        <v>Xe lôi</v>
      </c>
      <c r="H389" s="101" t="s">
        <v>3407</v>
      </c>
      <c r="I389" s="101" t="str">
        <f>IFERROR(VLOOKUP(B389,'02. MM-KLH'!$B$6:$T$823,8,0),"")</f>
        <v>Thagricons</v>
      </c>
      <c r="J389" s="105">
        <f>IFERROR(VLOOKUP(B389,'02. MM-KLH'!$B$6:$T$823,9,0),"")</f>
        <v>0</v>
      </c>
      <c r="K389" s="101" t="str">
        <f>IFERROR(VLOOKUP(B389,'02. MM-KLH'!$B$6:$T$823,10,0),"")</f>
        <v>Bình thường</v>
      </c>
      <c r="L389" s="107">
        <f>IFERROR(VLOOKUP(B389,'02. MM-KLH'!$B$6:$T$823,11,0),"")</f>
        <v>0</v>
      </c>
      <c r="M389" s="864">
        <f>IFERROR(VLOOKUP(B389,'02. MM-KLH'!$B$6:$T$823,12,0),"")</f>
        <v>0</v>
      </c>
      <c r="N389" s="110" t="str">
        <f>IFERROR(VLOOKUP(B389,'02. MM-KLH'!$B$6:$T$823,13,0),"")</f>
        <v>LONCIN</v>
      </c>
      <c r="O389" s="110" t="str">
        <f>IFERROR(VLOOKUP(B389,'02. MM-KLH'!$B$6:$T$823,14,0),"")</f>
        <v>VIỆT NAM</v>
      </c>
      <c r="P389" s="101">
        <f>IFERROR(VLOOKUP(B389,'02. MM-KLH'!$B$6:$T$823,15,0),"")</f>
        <v>0</v>
      </c>
      <c r="Q389" s="101" t="str">
        <f>IFERROR(VLOOKUP(B389,'02. MM-KLH'!$B$6:$T$823,16,0),"")</f>
        <v>150ZH</v>
      </c>
      <c r="R389" s="101" t="str">
        <f>IFERROR(VLOOKUP(B389,'02. MM-KLH'!$B$6:$T$823,17,0),"")</f>
        <v>150HP</v>
      </c>
      <c r="S389" s="110" t="str">
        <f>IFERROR(VLOOKUP(B389,'02. MM-KLH'!$B$6:$T$823,18,0),"")</f>
        <v>LC162FMJ-TM014863</v>
      </c>
      <c r="T389" s="111" t="str">
        <f>IFERROR(VLOOKUP(B389,'02. MM-KLH'!$B$6:$T$823,19,0),"")</f>
        <v>CCN</v>
      </c>
      <c r="U389" s="863" t="s">
        <v>451</v>
      </c>
    </row>
    <row r="390" ht="13.5" customHeight="1" spans="1:21">
      <c r="A390" s="103">
        <v>13</v>
      </c>
      <c r="B390" s="104" t="s">
        <v>2718</v>
      </c>
      <c r="C390" s="102">
        <f>IFERROR(VLOOKUP(B390,'02. MM-KLH'!$B$6:$T$823,2,0),"")</f>
        <v>0</v>
      </c>
      <c r="D390" s="103" t="str">
        <f>IFERROR(VLOOKUP(B390,'02. MM-KLH'!$B$6:$T$823,3,0),"")</f>
        <v>A22-XLO-008</v>
      </c>
      <c r="E390" s="102">
        <f>IFERROR(VLOOKUP(B390,'02. MM-KLH'!$B$6:$T$823,4,0),"")</f>
        <v>0</v>
      </c>
      <c r="F390" s="104"/>
      <c r="G390" s="102" t="str">
        <f>IFERROR(VLOOKUP(B390,'02. MM-KLH'!$B$6:$T$823,6,0),"")</f>
        <v>Xe lôi</v>
      </c>
      <c r="H390" s="101" t="s">
        <v>3407</v>
      </c>
      <c r="I390" s="101" t="str">
        <f>IFERROR(VLOOKUP(B390,'02. MM-KLH'!$B$6:$T$823,8,0),"")</f>
        <v>Thagricons</v>
      </c>
      <c r="J390" s="105">
        <f>IFERROR(VLOOKUP(B390,'02. MM-KLH'!$B$6:$T$823,9,0),"")</f>
        <v>0</v>
      </c>
      <c r="K390" s="101" t="str">
        <f>IFERROR(VLOOKUP(B390,'02. MM-KLH'!$B$6:$T$823,10,0),"")</f>
        <v>Bình thường</v>
      </c>
      <c r="L390" s="107">
        <f>IFERROR(VLOOKUP(B390,'02. MM-KLH'!$B$6:$T$823,11,0),"")</f>
        <v>0</v>
      </c>
      <c r="M390" s="864">
        <f>IFERROR(VLOOKUP(B390,'02. MM-KLH'!$B$6:$T$823,12,0),"")</f>
        <v>0</v>
      </c>
      <c r="N390" s="110" t="str">
        <f>IFERROR(VLOOKUP(B390,'02. MM-KLH'!$B$6:$T$823,13,0),"")</f>
        <v>ZONGSHEN</v>
      </c>
      <c r="O390" s="110">
        <f>IFERROR(VLOOKUP(B390,'02. MM-KLH'!$B$6:$T$823,14,0),"")</f>
        <v>0</v>
      </c>
      <c r="P390" s="101">
        <f>IFERROR(VLOOKUP(B390,'02. MM-KLH'!$B$6:$T$823,15,0),"")</f>
        <v>0</v>
      </c>
      <c r="Q390" s="101" t="str">
        <f>IFERROR(VLOOKUP(B390,'02. MM-KLH'!$B$6:$T$823,16,0),"")</f>
        <v>150ZH</v>
      </c>
      <c r="R390" s="101" t="str">
        <f>IFERROR(VLOOKUP(B390,'02. MM-KLH'!$B$6:$T$823,17,0),"")</f>
        <v>150HP</v>
      </c>
      <c r="S390" s="110" t="str">
        <f>IFERROR(VLOOKUP(B390,'02. MM-KLH'!$B$6:$T$823,18,0),"")</f>
        <v>ZS162MJ-L8L300020</v>
      </c>
      <c r="T390" s="111" t="str">
        <f>IFERROR(VLOOKUP(B390,'02. MM-KLH'!$B$6:$T$823,19,0),"")</f>
        <v>CCN</v>
      </c>
      <c r="U390" s="863" t="s">
        <v>451</v>
      </c>
    </row>
    <row r="391" ht="13.5" customHeight="1" spans="1:21">
      <c r="A391" s="103">
        <v>14</v>
      </c>
      <c r="B391" s="104" t="s">
        <v>2721</v>
      </c>
      <c r="C391" s="102" t="str">
        <f>IFERROR(VLOOKUP(B391,'02. MM-KLH'!$B$6:$T$823,2,0),"")</f>
        <v>CKC-XLO-003</v>
      </c>
      <c r="D391" s="103" t="str">
        <f>IFERROR(VLOOKUP(B391,'02. MM-KLH'!$B$6:$T$823,3,0),"")</f>
        <v>A22-XLO-009</v>
      </c>
      <c r="E391" s="102">
        <f>IFERROR(VLOOKUP(B391,'02. MM-KLH'!$B$6:$T$823,4,0),"")</f>
        <v>0</v>
      </c>
      <c r="F391" s="104"/>
      <c r="G391" s="102" t="str">
        <f>IFERROR(VLOOKUP(B391,'02. MM-KLH'!$B$6:$T$823,6,0),"")</f>
        <v>Xe lôi</v>
      </c>
      <c r="H391" s="101" t="s">
        <v>3407</v>
      </c>
      <c r="I391" s="101" t="str">
        <f>IFERROR(VLOOKUP(B391,'02. MM-KLH'!$B$6:$T$823,8,0),"")</f>
        <v>Thagricons</v>
      </c>
      <c r="J391" s="105">
        <f>IFERROR(VLOOKUP(B391,'02. MM-KLH'!$B$6:$T$823,9,0),"")</f>
        <v>0</v>
      </c>
      <c r="K391" s="101" t="str">
        <f>IFERROR(VLOOKUP(B391,'02. MM-KLH'!$B$6:$T$823,10,0),"")</f>
        <v>Bình thường</v>
      </c>
      <c r="L391" s="107">
        <f>IFERROR(VLOOKUP(B391,'02. MM-KLH'!$B$6:$T$823,11,0),"")</f>
        <v>0</v>
      </c>
      <c r="M391" s="864">
        <f>IFERROR(VLOOKUP(B391,'02. MM-KLH'!$B$6:$T$823,12,0),"")</f>
        <v>0</v>
      </c>
      <c r="N391" s="110" t="str">
        <f>IFERROR(VLOOKUP(B391,'02. MM-KLH'!$B$6:$T$823,13,0),"")</f>
        <v>ZONGSHEN</v>
      </c>
      <c r="O391" s="110">
        <f>IFERROR(VLOOKUP(B391,'02. MM-KLH'!$B$6:$T$823,14,0),"")</f>
        <v>0</v>
      </c>
      <c r="P391" s="101">
        <f>IFERROR(VLOOKUP(B391,'02. MM-KLH'!$B$6:$T$823,15,0),"")</f>
        <v>0</v>
      </c>
      <c r="Q391" s="101" t="str">
        <f>IFERROR(VLOOKUP(B391,'02. MM-KLH'!$B$6:$T$823,16,0),"")</f>
        <v>150ZH</v>
      </c>
      <c r="R391" s="101" t="str">
        <f>IFERROR(VLOOKUP(B391,'02. MM-KLH'!$B$6:$T$823,17,0),"")</f>
        <v>150HP</v>
      </c>
      <c r="S391" s="110" t="str">
        <f>IFERROR(VLOOKUP(B391,'02. MM-KLH'!$B$6:$T$823,18,0),"")</f>
        <v>ZS162MJ-LL012627</v>
      </c>
      <c r="T391" s="111" t="str">
        <f>IFERROR(VLOOKUP(B391,'02. MM-KLH'!$B$6:$T$823,19,0),"")</f>
        <v>CCN</v>
      </c>
      <c r="U391" s="863" t="s">
        <v>451</v>
      </c>
    </row>
    <row r="392" ht="13.5" customHeight="1" spans="1:21">
      <c r="A392" s="103">
        <v>15</v>
      </c>
      <c r="B392" s="104" t="s">
        <v>2873</v>
      </c>
      <c r="C392" s="102">
        <f>IFERROR(VLOOKUP(B392,'02. MM-KLH'!$B$6:$T$823,2,0),"")</f>
        <v>0</v>
      </c>
      <c r="D392" s="103" t="str">
        <f>IFERROR(VLOOKUP(B392,'02. MM-KLH'!$B$6:$T$823,3,0),"")</f>
        <v>ATT-A22-0284</v>
      </c>
      <c r="E392" s="102">
        <f>IFERROR(VLOOKUP(B392,'02. MM-KLH'!$B$6:$T$823,4,0),"")</f>
        <v>0</v>
      </c>
      <c r="F392" s="192" t="s">
        <v>3415</v>
      </c>
      <c r="G392" s="102" t="str">
        <f>IFERROR(VLOOKUP(B392,'02. MM-KLH'!$B$6:$T$823,6,0),"")</f>
        <v>Xe lôi</v>
      </c>
      <c r="H392" s="101" t="s">
        <v>3407</v>
      </c>
      <c r="I392" s="101" t="str">
        <f>IFERROR(VLOOKUP(B392,'02. MM-KLH'!$B$6:$T$823,8,0),"")</f>
        <v>Thadicons A&amp;I</v>
      </c>
      <c r="J392" s="105" t="str">
        <f>IFERROR(VLOOKUP(B392,'02. MM-KLH'!$B$6:$T$823,9,0),"")</f>
        <v>14/11/2023</v>
      </c>
      <c r="K392" s="101" t="str">
        <f>IFERROR(VLOOKUP(B392,'02. MM-KLH'!$B$6:$T$823,10,0),"")</f>
        <v>Bình thường</v>
      </c>
      <c r="L392" s="107">
        <f>IFERROR(VLOOKUP(B392,'02. MM-KLH'!$B$6:$T$823,11,0),"")</f>
        <v>0.94</v>
      </c>
      <c r="M392" s="864">
        <f>IFERROR(VLOOKUP(B392,'02. MM-KLH'!$B$6:$T$823,12,0),"")</f>
        <v>0</v>
      </c>
      <c r="N392" s="110">
        <f>IFERROR(VLOOKUP(B392,'02. MM-KLH'!$B$6:$T$823,13,0),"")</f>
        <v>0</v>
      </c>
      <c r="O392" s="110" t="str">
        <f>IFERROR(VLOOKUP(B392,'02. MM-KLH'!$B$6:$T$823,14,0),"")</f>
        <v>TRUNG QUỐC</v>
      </c>
      <c r="P392" s="101">
        <f>IFERROR(VLOOKUP(B392,'02. MM-KLH'!$B$6:$T$823,15,0),"")</f>
        <v>2021</v>
      </c>
      <c r="Q392" s="101" t="str">
        <f>IFERROR(VLOOKUP(B392,'02. MM-KLH'!$B$6:$T$823,16,0),"")</f>
        <v>150ZH</v>
      </c>
      <c r="R392" s="101" t="str">
        <f>IFERROR(VLOOKUP(B392,'02. MM-KLH'!$B$6:$T$823,17,0),"")</f>
        <v>150HP</v>
      </c>
      <c r="S392" s="110" t="str">
        <f>IFERROR(VLOOKUP(B392,'02. MM-KLH'!$B$6:$T$823,18,0),"")</f>
        <v>TH162FMJ-C23004045</v>
      </c>
      <c r="T392" s="111" t="str">
        <f>IFERROR(VLOOKUP(B392,'02. MM-KLH'!$B$6:$T$823,19,0),"")</f>
        <v>LP7HCKZ91P0004045</v>
      </c>
      <c r="U392" s="863" t="s">
        <v>451</v>
      </c>
    </row>
    <row r="393" ht="13.5" customHeight="1" spans="1:21">
      <c r="A393" s="103">
        <v>16</v>
      </c>
      <c r="B393" s="104" t="s">
        <v>2876</v>
      </c>
      <c r="C393" s="102">
        <f>IFERROR(VLOOKUP(B393,'02. MM-KLH'!$B$6:$T$823,2,0),"")</f>
        <v>0</v>
      </c>
      <c r="D393" s="103" t="str">
        <f>IFERROR(VLOOKUP(B393,'02. MM-KLH'!$B$6:$T$823,3,0),"")</f>
        <v>ATT-A22-0283</v>
      </c>
      <c r="E393" s="102">
        <f>IFERROR(VLOOKUP(B393,'02. MM-KLH'!$B$6:$T$823,4,0),"")</f>
        <v>0</v>
      </c>
      <c r="F393" s="205" t="s">
        <v>3416</v>
      </c>
      <c r="G393" s="102" t="str">
        <f>IFERROR(VLOOKUP(B393,'02. MM-KLH'!$B$6:$T$823,6,0),"")</f>
        <v>Xe lôi</v>
      </c>
      <c r="H393" s="101" t="s">
        <v>3407</v>
      </c>
      <c r="I393" s="101" t="str">
        <f>IFERROR(VLOOKUP(B393,'02. MM-KLH'!$B$6:$T$823,8,0),"")</f>
        <v>Thadicons A&amp;I</v>
      </c>
      <c r="J393" s="105" t="str">
        <f>IFERROR(VLOOKUP(B393,'02. MM-KLH'!$B$6:$T$823,9,0),"")</f>
        <v>14/11/2023</v>
      </c>
      <c r="K393" s="101" t="str">
        <f>IFERROR(VLOOKUP(B393,'02. MM-KLH'!$B$6:$T$823,10,0),"")</f>
        <v>Bình thường</v>
      </c>
      <c r="L393" s="107">
        <f>IFERROR(VLOOKUP(B393,'02. MM-KLH'!$B$6:$T$823,11,0),"")</f>
        <v>0.94</v>
      </c>
      <c r="M393" s="864">
        <f>IFERROR(VLOOKUP(B393,'02. MM-KLH'!$B$6:$T$823,12,0),"")</f>
        <v>0</v>
      </c>
      <c r="N393" s="110">
        <f>IFERROR(VLOOKUP(B393,'02. MM-KLH'!$B$6:$T$823,13,0),"")</f>
        <v>0</v>
      </c>
      <c r="O393" s="110" t="str">
        <f>IFERROR(VLOOKUP(B393,'02. MM-KLH'!$B$6:$T$823,14,0),"")</f>
        <v>TRUNG QUỐC</v>
      </c>
      <c r="P393" s="101">
        <f>IFERROR(VLOOKUP(B393,'02. MM-KLH'!$B$6:$T$823,15,0),"")</f>
        <v>2021</v>
      </c>
      <c r="Q393" s="101" t="str">
        <f>IFERROR(VLOOKUP(B393,'02. MM-KLH'!$B$6:$T$823,16,0),"")</f>
        <v>150ZH</v>
      </c>
      <c r="R393" s="101" t="str">
        <f>IFERROR(VLOOKUP(B393,'02. MM-KLH'!$B$6:$T$823,17,0),"")</f>
        <v>150HP</v>
      </c>
      <c r="S393" s="110" t="str">
        <f>IFERROR(VLOOKUP(B393,'02. MM-KLH'!$B$6:$T$823,18,0),"")</f>
        <v>TH162FMJ-C23004013</v>
      </c>
      <c r="T393" s="111" t="str">
        <f>IFERROR(VLOOKUP(B393,'02. MM-KLH'!$B$6:$T$823,19,0),"")</f>
        <v>LP7HCKZ9XP0004013</v>
      </c>
      <c r="U393" s="863" t="s">
        <v>451</v>
      </c>
    </row>
    <row r="394" ht="13.5" customHeight="1" spans="1:21">
      <c r="A394" s="103">
        <v>17</v>
      </c>
      <c r="B394" s="104" t="s">
        <v>2879</v>
      </c>
      <c r="C394" s="102">
        <f>IFERROR(VLOOKUP(B394,'02. MM-KLH'!$B$6:$T$823,2,0),"")</f>
        <v>0</v>
      </c>
      <c r="D394" s="103" t="str">
        <f>IFERROR(VLOOKUP(B394,'02. MM-KLH'!$B$6:$T$823,3,0),"")</f>
        <v>ATT-A22-0277</v>
      </c>
      <c r="E394" s="102">
        <f>IFERROR(VLOOKUP(B394,'02. MM-KLH'!$B$6:$T$823,4,0),"")</f>
        <v>0</v>
      </c>
      <c r="F394" s="147" t="s">
        <v>3417</v>
      </c>
      <c r="G394" s="102" t="str">
        <f>IFERROR(VLOOKUP(B394,'02. MM-KLH'!$B$6:$T$823,6,0),"")</f>
        <v>Xe lôi</v>
      </c>
      <c r="H394" s="101" t="s">
        <v>3407</v>
      </c>
      <c r="I394" s="101" t="str">
        <f>IFERROR(VLOOKUP(B394,'02. MM-KLH'!$B$6:$T$823,8,0),"")</f>
        <v>Thadicons A&amp;I</v>
      </c>
      <c r="J394" s="105" t="str">
        <f>IFERROR(VLOOKUP(B394,'02. MM-KLH'!$B$6:$T$823,9,0),"")</f>
        <v>14/11/2023</v>
      </c>
      <c r="K394" s="101" t="str">
        <f>IFERROR(VLOOKUP(B394,'02. MM-KLH'!$B$6:$T$823,10,0),"")</f>
        <v>Bình thường</v>
      </c>
      <c r="L394" s="107">
        <f>IFERROR(VLOOKUP(B394,'02. MM-KLH'!$B$6:$T$823,11,0),"")</f>
        <v>0.94</v>
      </c>
      <c r="M394" s="864">
        <f>IFERROR(VLOOKUP(B394,'02. MM-KLH'!$B$6:$T$823,12,0),"")</f>
        <v>0</v>
      </c>
      <c r="N394" s="110">
        <f>IFERROR(VLOOKUP(B394,'02. MM-KLH'!$B$6:$T$823,13,0),"")</f>
        <v>0</v>
      </c>
      <c r="O394" s="110" t="str">
        <f>IFERROR(VLOOKUP(B394,'02. MM-KLH'!$B$6:$T$823,14,0),"")</f>
        <v>TRUNG QUỐC</v>
      </c>
      <c r="P394" s="101">
        <f>IFERROR(VLOOKUP(B394,'02. MM-KLH'!$B$6:$T$823,15,0),"")</f>
        <v>2021</v>
      </c>
      <c r="Q394" s="101" t="str">
        <f>IFERROR(VLOOKUP(B394,'02. MM-KLH'!$B$6:$T$823,16,0),"")</f>
        <v>150ZH</v>
      </c>
      <c r="R394" s="101" t="str">
        <f>IFERROR(VLOOKUP(B394,'02. MM-KLH'!$B$6:$T$823,17,0),"")</f>
        <v>150HP</v>
      </c>
      <c r="S394" s="110">
        <f>IFERROR(VLOOKUP(B394,'02. MM-KLH'!$B$6:$T$823,18,0),"")</f>
        <v>22060447</v>
      </c>
      <c r="T394" s="111" t="str">
        <f>IFERROR(VLOOKUP(B394,'02. MM-KLH'!$B$6:$T$823,19,0),"")</f>
        <v>LP7HCKZ95N0000447</v>
      </c>
      <c r="U394" s="863" t="s">
        <v>451</v>
      </c>
    </row>
    <row r="395" ht="13.5" customHeight="1" spans="1:21">
      <c r="A395" s="103">
        <v>18</v>
      </c>
      <c r="B395" s="104" t="s">
        <v>2881</v>
      </c>
      <c r="C395" s="102">
        <f>IFERROR(VLOOKUP(B395,'02. MM-KLH'!$B$6:$T$823,2,0),"")</f>
        <v>0</v>
      </c>
      <c r="D395" s="103" t="str">
        <f>IFERROR(VLOOKUP(B395,'02. MM-KLH'!$B$6:$T$823,3,0),"")</f>
        <v>A22-XLO-004</v>
      </c>
      <c r="E395" s="102">
        <f>IFERROR(VLOOKUP(B395,'02. MM-KLH'!$B$6:$T$823,4,0),"")</f>
        <v>0</v>
      </c>
      <c r="F395" s="147" t="s">
        <v>3418</v>
      </c>
      <c r="G395" s="102" t="str">
        <f>IFERROR(VLOOKUP(B395,'02. MM-KLH'!$B$6:$T$823,6,0),"")</f>
        <v>Xe lôi</v>
      </c>
      <c r="H395" s="101" t="s">
        <v>3407</v>
      </c>
      <c r="I395" s="101" t="str">
        <f>IFERROR(VLOOKUP(B395,'02. MM-KLH'!$B$6:$T$823,8,0),"")</f>
        <v>Thadicons A&amp;I</v>
      </c>
      <c r="J395" s="105" t="str">
        <f>IFERROR(VLOOKUP(B395,'02. MM-KLH'!$B$6:$T$823,9,0),"")</f>
        <v>14/11/2023</v>
      </c>
      <c r="K395" s="101" t="str">
        <f>IFERROR(VLOOKUP(B395,'02. MM-KLH'!$B$6:$T$823,10,0),"")</f>
        <v>Bình thường</v>
      </c>
      <c r="L395" s="107">
        <f>IFERROR(VLOOKUP(B395,'02. MM-KLH'!$B$6:$T$823,11,0),"")</f>
        <v>0.94</v>
      </c>
      <c r="M395" s="864">
        <f>IFERROR(VLOOKUP(B395,'02. MM-KLH'!$B$6:$T$823,12,0),"")</f>
        <v>0</v>
      </c>
      <c r="N395" s="110">
        <f>IFERROR(VLOOKUP(B395,'02. MM-KLH'!$B$6:$T$823,13,0),"")</f>
        <v>0</v>
      </c>
      <c r="O395" s="110" t="str">
        <f>IFERROR(VLOOKUP(B395,'02. MM-KLH'!$B$6:$T$823,14,0),"")</f>
        <v>TRUNG QUỐC</v>
      </c>
      <c r="P395" s="101">
        <f>IFERROR(VLOOKUP(B395,'02. MM-KLH'!$B$6:$T$823,15,0),"")</f>
        <v>2021</v>
      </c>
      <c r="Q395" s="101" t="str">
        <f>IFERROR(VLOOKUP(B395,'02. MM-KLH'!$B$6:$T$823,16,0),"")</f>
        <v>150ZH</v>
      </c>
      <c r="R395" s="101" t="str">
        <f>IFERROR(VLOOKUP(B395,'02. MM-KLH'!$B$6:$T$823,17,0),"")</f>
        <v>150HP</v>
      </c>
      <c r="S395" s="110">
        <f>IFERROR(VLOOKUP(B395,'02. MM-KLH'!$B$6:$T$823,18,0),"")</f>
        <v>22060460</v>
      </c>
      <c r="T395" s="111" t="str">
        <f>IFERROR(VLOOKUP(B395,'02. MM-KLH'!$B$6:$T$823,19,0),"")</f>
        <v>LP7HCKZ98N0000460</v>
      </c>
      <c r="U395" s="863" t="s">
        <v>451</v>
      </c>
    </row>
    <row r="396" ht="13.5" customHeight="1" spans="1:21">
      <c r="A396" s="103">
        <v>19</v>
      </c>
      <c r="B396" s="104" t="s">
        <v>2883</v>
      </c>
      <c r="C396" s="102">
        <f>IFERROR(VLOOKUP(B396,'02. MM-KLH'!$B$6:$T$823,2,0),"")</f>
        <v>0</v>
      </c>
      <c r="D396" s="103" t="str">
        <f>IFERROR(VLOOKUP(B396,'02. MM-KLH'!$B$6:$T$823,3,0),"")</f>
        <v>A22-XLO-005</v>
      </c>
      <c r="E396" s="102">
        <f>IFERROR(VLOOKUP(B396,'02. MM-KLH'!$B$6:$T$823,4,0),"")</f>
        <v>0</v>
      </c>
      <c r="F396" s="201"/>
      <c r="G396" s="102" t="str">
        <f>IFERROR(VLOOKUP(B396,'02. MM-KLH'!$B$6:$T$823,6,0),"")</f>
        <v>Xe lôi</v>
      </c>
      <c r="H396" s="101" t="s">
        <v>3407</v>
      </c>
      <c r="I396" s="101" t="str">
        <f>IFERROR(VLOOKUP(B396,'02. MM-KLH'!$B$6:$T$823,8,0),"")</f>
        <v>Thadicons A&amp;I</v>
      </c>
      <c r="J396" s="105" t="str">
        <f>IFERROR(VLOOKUP(B396,'02. MM-KLH'!$B$6:$T$823,9,0),"")</f>
        <v>Mới </v>
      </c>
      <c r="K396" s="101" t="str">
        <f>IFERROR(VLOOKUP(B396,'02. MM-KLH'!$B$6:$T$823,10,0),"")</f>
        <v>Bình thường</v>
      </c>
      <c r="L396" s="107">
        <f>IFERROR(VLOOKUP(B396,'02. MM-KLH'!$B$6:$T$823,11,0),"")</f>
        <v>0</v>
      </c>
      <c r="M396" s="864">
        <f>IFERROR(VLOOKUP(B396,'02. MM-KLH'!$B$6:$T$823,12,0),"")</f>
        <v>0</v>
      </c>
      <c r="N396" s="110">
        <f>IFERROR(VLOOKUP(B396,'02. MM-KLH'!$B$6:$T$823,13,0),"")</f>
        <v>0</v>
      </c>
      <c r="O396" s="110" t="str">
        <f>IFERROR(VLOOKUP(B396,'02. MM-KLH'!$B$6:$T$823,14,0),"")</f>
        <v>TRUNG QUỐC</v>
      </c>
      <c r="P396" s="101">
        <f>IFERROR(VLOOKUP(B396,'02. MM-KLH'!$B$6:$T$823,15,0),"")</f>
        <v>2021</v>
      </c>
      <c r="Q396" s="101" t="str">
        <f>IFERROR(VLOOKUP(B396,'02. MM-KLH'!$B$6:$T$823,16,0),"")</f>
        <v>150ZH</v>
      </c>
      <c r="R396" s="101" t="str">
        <f>IFERROR(VLOOKUP(B396,'02. MM-KLH'!$B$6:$T$823,17,0),"")</f>
        <v>150HP</v>
      </c>
      <c r="S396" s="110" t="str">
        <f>IFERROR(VLOOKUP(B396,'02. MM-KLH'!$B$6:$T$823,18,0),"")</f>
        <v>K002901900089</v>
      </c>
      <c r="T396" s="111" t="str">
        <f>IFERROR(VLOOKUP(B396,'02. MM-KLH'!$B$6:$T$823,19,0),"")</f>
        <v>L0011901053343</v>
      </c>
      <c r="U396" s="863" t="s">
        <v>451</v>
      </c>
    </row>
    <row r="397" ht="13.5" customHeight="1" spans="1:21">
      <c r="A397" s="103">
        <v>20</v>
      </c>
      <c r="B397" s="104" t="s">
        <v>2606</v>
      </c>
      <c r="C397" s="102">
        <f>IFERROR(VLOOKUP(B397,'02. MM-KLH'!$B$6:$T$823,2,0),"")</f>
        <v>0</v>
      </c>
      <c r="D397" s="103">
        <f>IFERROR(VLOOKUP(B397,'02. MM-KLH'!$B$6:$T$823,3,0),"")</f>
        <v>0</v>
      </c>
      <c r="E397" s="102">
        <f>IFERROR(VLOOKUP(B397,'02. MM-KLH'!$B$6:$T$823,4,0),"")</f>
        <v>0</v>
      </c>
      <c r="F397" s="201"/>
      <c r="G397" s="102" t="str">
        <f>IFERROR(VLOOKUP(B397,'02. MM-KLH'!$B$6:$T$823,6,0),"")</f>
        <v>Xe lôi</v>
      </c>
      <c r="H397" s="101" t="s">
        <v>3407</v>
      </c>
      <c r="I397" s="101" t="str">
        <f>IFERROR(VLOOKUP(B397,'02. MM-KLH'!$B$6:$T$823,8,0),"")</f>
        <v>Ban điện nước</v>
      </c>
      <c r="J397" s="105">
        <f>IFERROR(VLOOKUP(B397,'02. MM-KLH'!$B$6:$T$823,9,0),"")</f>
        <v>45963</v>
      </c>
      <c r="K397" s="101" t="str">
        <f>IFERROR(VLOOKUP(B397,'02. MM-KLH'!$B$6:$T$823,10,0),"")</f>
        <v>Bình thường</v>
      </c>
      <c r="L397" s="107">
        <f>IFERROR(VLOOKUP(B397,'02. MM-KLH'!$B$6:$T$823,11,0),"")</f>
        <v>0</v>
      </c>
      <c r="M397" s="864" t="str">
        <f>IFERROR(VLOOKUP(B397,'02. MM-KLH'!$B$6:$T$823,12,0),"")</f>
        <v>Đầu tư mới</v>
      </c>
      <c r="N397" s="110">
        <f>IFERROR(VLOOKUP(B397,'02. MM-KLH'!$B$6:$T$823,13,0),"")</f>
        <v>0</v>
      </c>
      <c r="O397" s="110" t="str">
        <f>IFERROR(VLOOKUP(B397,'02. MM-KLH'!$B$6:$T$823,14,0),"")</f>
        <v>TRUNG QUỐC</v>
      </c>
      <c r="P397" s="101">
        <f>IFERROR(VLOOKUP(B397,'02. MM-KLH'!$B$6:$T$823,15,0),"")</f>
        <v>0</v>
      </c>
      <c r="Q397" s="101" t="str">
        <f>IFERROR(VLOOKUP(B397,'02. MM-KLH'!$B$6:$T$823,16,0),"")</f>
        <v>150ZH-2DR</v>
      </c>
      <c r="R397" s="101" t="str">
        <f>IFERROR(VLOOKUP(B397,'02. MM-KLH'!$B$6:$T$823,17,0),"")</f>
        <v>11HP</v>
      </c>
      <c r="S397" s="110" t="str">
        <f>IFERROR(VLOOKUP(B397,'02. MM-KLH'!$B$6:$T$823,18,0),"")</f>
        <v>L6XHBN1B8R0000061</v>
      </c>
      <c r="T397" s="111" t="str">
        <f>IFERROR(VLOOKUP(B397,'02. MM-KLH'!$B$6:$T$823,19,0),"")</f>
        <v>170MM-B8R100075</v>
      </c>
      <c r="U397" s="863" t="s">
        <v>451</v>
      </c>
    </row>
    <row r="398" ht="13.5" customHeight="1" spans="1:21">
      <c r="A398" s="103">
        <v>21</v>
      </c>
      <c r="B398" s="104" t="s">
        <v>2611</v>
      </c>
      <c r="C398" s="102">
        <f>IFERROR(VLOOKUP(B398,'02. MM-KLH'!$B$6:$T$823,2,0),"")</f>
        <v>0</v>
      </c>
      <c r="D398" s="103">
        <f>IFERROR(VLOOKUP(B398,'02. MM-KLH'!$B$6:$T$823,3,0),"")</f>
        <v>0</v>
      </c>
      <c r="E398" s="102">
        <f>IFERROR(VLOOKUP(B398,'02. MM-KLH'!$B$6:$T$823,4,0),"")</f>
        <v>0</v>
      </c>
      <c r="F398" s="201"/>
      <c r="G398" s="102" t="str">
        <f>IFERROR(VLOOKUP(B398,'02. MM-KLH'!$B$6:$T$823,6,0),"")</f>
        <v>Xe lôi</v>
      </c>
      <c r="H398" s="101" t="s">
        <v>3407</v>
      </c>
      <c r="I398" s="101" t="str">
        <f>IFERROR(VLOOKUP(B398,'02. MM-KLH'!$B$6:$T$823,8,0),"")</f>
        <v>Ban điện nước</v>
      </c>
      <c r="J398" s="105">
        <f>IFERROR(VLOOKUP(B398,'02. MM-KLH'!$B$6:$T$823,9,0),"")</f>
        <v>45963</v>
      </c>
      <c r="K398" s="101" t="str">
        <f>IFERROR(VLOOKUP(B398,'02. MM-KLH'!$B$6:$T$823,10,0),"")</f>
        <v>Bình thường</v>
      </c>
      <c r="L398" s="107">
        <f>IFERROR(VLOOKUP(B398,'02. MM-KLH'!$B$6:$T$823,11,0),"")</f>
        <v>0</v>
      </c>
      <c r="M398" s="864" t="str">
        <f>IFERROR(VLOOKUP(B398,'02. MM-KLH'!$B$6:$T$823,12,0),"")</f>
        <v>Đầu tư mới</v>
      </c>
      <c r="N398" s="110">
        <f>IFERROR(VLOOKUP(B398,'02. MM-KLH'!$B$6:$T$823,13,0),"")</f>
        <v>0</v>
      </c>
      <c r="O398" s="110" t="str">
        <f>IFERROR(VLOOKUP(B398,'02. MM-KLH'!$B$6:$T$823,14,0),"")</f>
        <v>TRUNG QUỐC</v>
      </c>
      <c r="P398" s="101">
        <f>IFERROR(VLOOKUP(B398,'02. MM-KLH'!$B$6:$T$823,15,0),"")</f>
        <v>0</v>
      </c>
      <c r="Q398" s="101" t="str">
        <f>IFERROR(VLOOKUP(B398,'02. MM-KLH'!$B$6:$T$823,16,0),"")</f>
        <v>150ZH-2DR</v>
      </c>
      <c r="R398" s="101" t="str">
        <f>IFERROR(VLOOKUP(B398,'02. MM-KLH'!$B$6:$T$823,17,0),"")</f>
        <v>11HP</v>
      </c>
      <c r="S398" s="110" t="str">
        <f>IFERROR(VLOOKUP(B398,'02. MM-KLH'!$B$6:$T$823,18,0),"")</f>
        <v>L6XHBN1B8R0000058</v>
      </c>
      <c r="T398" s="111" t="str">
        <f>IFERROR(VLOOKUP(B398,'02. MM-KLH'!$B$6:$T$823,19,0),"")</f>
        <v>170MM-B8R100072</v>
      </c>
      <c r="U398" s="863" t="s">
        <v>451</v>
      </c>
    </row>
    <row r="399" ht="13.5" customHeight="1" spans="1:21">
      <c r="A399" s="103">
        <v>22</v>
      </c>
      <c r="B399" s="104" t="s">
        <v>2614</v>
      </c>
      <c r="C399" s="102">
        <f>IFERROR(VLOOKUP(B399,'02. MM-KLH'!$B$6:$T$823,2,0),"")</f>
        <v>0</v>
      </c>
      <c r="D399" s="103">
        <f>IFERROR(VLOOKUP(B399,'02. MM-KLH'!$B$6:$T$823,3,0),"")</f>
        <v>0</v>
      </c>
      <c r="E399" s="102">
        <f>IFERROR(VLOOKUP(B399,'02. MM-KLH'!$B$6:$T$823,4,0),"")</f>
        <v>0</v>
      </c>
      <c r="F399" s="201"/>
      <c r="G399" s="102" t="str">
        <f>IFERROR(VLOOKUP(B399,'02. MM-KLH'!$B$6:$T$823,6,0),"")</f>
        <v>Xe lôi</v>
      </c>
      <c r="H399" s="101" t="s">
        <v>3407</v>
      </c>
      <c r="I399" s="101" t="str">
        <f>IFERROR(VLOOKUP(B399,'02. MM-KLH'!$B$6:$T$823,8,0),"")</f>
        <v>Ban điện nước</v>
      </c>
      <c r="J399" s="105">
        <f>IFERROR(VLOOKUP(B399,'02. MM-KLH'!$B$6:$T$823,9,0),"")</f>
        <v>45963</v>
      </c>
      <c r="K399" s="101" t="str">
        <f>IFERROR(VLOOKUP(B399,'02. MM-KLH'!$B$6:$T$823,10,0),"")</f>
        <v>Bình thường</v>
      </c>
      <c r="L399" s="107">
        <f>IFERROR(VLOOKUP(B399,'02. MM-KLH'!$B$6:$T$823,11,0),"")</f>
        <v>0</v>
      </c>
      <c r="M399" s="864" t="str">
        <f>IFERROR(VLOOKUP(B399,'02. MM-KLH'!$B$6:$T$823,12,0),"")</f>
        <v>Đầu tư mới</v>
      </c>
      <c r="N399" s="110">
        <f>IFERROR(VLOOKUP(B399,'02. MM-KLH'!$B$6:$T$823,13,0),"")</f>
        <v>0</v>
      </c>
      <c r="O399" s="110" t="str">
        <f>IFERROR(VLOOKUP(B399,'02. MM-KLH'!$B$6:$T$823,14,0),"")</f>
        <v>TRUNG QUỐC</v>
      </c>
      <c r="P399" s="101">
        <f>IFERROR(VLOOKUP(B399,'02. MM-KLH'!$B$6:$T$823,15,0),"")</f>
        <v>0</v>
      </c>
      <c r="Q399" s="101" t="str">
        <f>IFERROR(VLOOKUP(B399,'02. MM-KLH'!$B$6:$T$823,16,0),"")</f>
        <v>150ZH-2DR</v>
      </c>
      <c r="R399" s="101" t="str">
        <f>IFERROR(VLOOKUP(B399,'02. MM-KLH'!$B$6:$T$823,17,0),"")</f>
        <v>11HP</v>
      </c>
      <c r="S399" s="110" t="str">
        <f>IFERROR(VLOOKUP(B399,'02. MM-KLH'!$B$6:$T$823,18,0),"")</f>
        <v>L6XHBN1B8R0000059</v>
      </c>
      <c r="T399" s="111" t="str">
        <f>IFERROR(VLOOKUP(B399,'02. MM-KLH'!$B$6:$T$823,19,0),"")</f>
        <v>170MM-B8R100073</v>
      </c>
      <c r="U399" s="863" t="s">
        <v>451</v>
      </c>
    </row>
    <row r="400" ht="13.5" customHeight="1" spans="1:21">
      <c r="A400" s="101"/>
      <c r="B400" s="104"/>
      <c r="C400" s="102" t="str">
        <f>IFERROR(VLOOKUP(B400,'02. MM-KLH'!$B$6:$T$823,2,0),"")</f>
        <v/>
      </c>
      <c r="D400" s="103" t="str">
        <f>IFERROR(VLOOKUP(B400,'02. MM-KLH'!$B$6:$T$823,3,0),"")</f>
        <v/>
      </c>
      <c r="E400" s="102" t="str">
        <f>IFERROR(VLOOKUP(B400,'02. MM-KLH'!$B$6:$T$823,4,0),"")</f>
        <v/>
      </c>
      <c r="F400" s="201"/>
      <c r="G400" s="102" t="str">
        <f>IFERROR(VLOOKUP(B400,'02. MM-KLH'!$B$6:$T$823,6,0),"")</f>
        <v/>
      </c>
      <c r="H400" s="101"/>
      <c r="I400" s="101" t="str">
        <f>IFERROR(VLOOKUP(B400,'02. MM-KLH'!$B$6:$T$823,8,0),"")</f>
        <v/>
      </c>
      <c r="J400" s="105" t="str">
        <f>IFERROR(VLOOKUP(B400,'02. MM-KLH'!$B$6:$T$823,9,0),"")</f>
        <v/>
      </c>
      <c r="K400" s="101" t="str">
        <f>IFERROR(VLOOKUP(B400,'02. MM-KLH'!$B$6:$T$823,10,0),"")</f>
        <v/>
      </c>
      <c r="L400" s="107" t="str">
        <f>IFERROR(VLOOKUP(B400,'02. MM-KLH'!$B$6:$T$823,11,0),"")</f>
        <v/>
      </c>
      <c r="M400" s="864" t="str">
        <f>IFERROR(VLOOKUP(B400,'02. MM-KLH'!$B$6:$T$823,12,0),"")</f>
        <v/>
      </c>
      <c r="N400" s="110" t="str">
        <f>IFERROR(VLOOKUP(B400,'02. MM-KLH'!$B$6:$T$823,13,0),"")</f>
        <v/>
      </c>
      <c r="O400" s="110" t="str">
        <f>IFERROR(VLOOKUP(B400,'02. MM-KLH'!$B$6:$T$823,14,0),"")</f>
        <v/>
      </c>
      <c r="P400" s="101" t="str">
        <f>IFERROR(VLOOKUP(B400,'02. MM-KLH'!$B$6:$T$823,15,0),"")</f>
        <v/>
      </c>
      <c r="Q400" s="101" t="str">
        <f>IFERROR(VLOOKUP(B400,'02. MM-KLH'!$B$6:$T$823,16,0),"")</f>
        <v/>
      </c>
      <c r="R400" s="101" t="str">
        <f>IFERROR(VLOOKUP(B400,'02. MM-KLH'!$B$6:$T$823,17,0),"")</f>
        <v/>
      </c>
      <c r="S400" s="110" t="str">
        <f>IFERROR(VLOOKUP(B400,'02. MM-KLH'!$B$6:$T$823,18,0),"")</f>
        <v/>
      </c>
      <c r="T400" s="111" t="str">
        <f>IFERROR(VLOOKUP(B400,'02. MM-KLH'!$B$6:$T$823,19,0),"")</f>
        <v/>
      </c>
      <c r="U400" s="863"/>
    </row>
    <row r="401" ht="13.5" customHeight="1" spans="1:21">
      <c r="A401" s="847" t="s">
        <v>290</v>
      </c>
      <c r="B401" s="848" t="s">
        <v>3419</v>
      </c>
      <c r="C401" s="849">
        <f>COUNTA(B402:B408)</f>
        <v>6</v>
      </c>
      <c r="D401" s="849" t="str">
        <f>IFERROR(VLOOKUP(B401,'02. MM-KLH'!$B$6:$T$823,3,0),"")</f>
        <v/>
      </c>
      <c r="E401" s="849" t="str">
        <f>IFERROR(VLOOKUP(B401,'02. MM-KLH'!$B$6:$T$823,4,0),"")</f>
        <v/>
      </c>
      <c r="F401" s="849"/>
      <c r="G401" s="849" t="str">
        <f>IFERROR(VLOOKUP(B401,'02. MM-KLH'!$B$6:$T$823,6,0),"")</f>
        <v/>
      </c>
      <c r="H401" s="849"/>
      <c r="I401" s="849" t="str">
        <f>IFERROR(VLOOKUP(B401,'02. MM-KLH'!$B$6:$T$823,8,0),"")</f>
        <v/>
      </c>
      <c r="J401" s="849" t="str">
        <f>IFERROR(VLOOKUP(B401,'02. MM-KLH'!$B$6:$T$823,9,0),"")</f>
        <v/>
      </c>
      <c r="K401" s="849" t="str">
        <f>IFERROR(VLOOKUP(B401,'02. MM-KLH'!$B$6:$T$823,10,0),"")</f>
        <v/>
      </c>
      <c r="L401" s="849" t="str">
        <f>IFERROR(VLOOKUP(B401,'02. MM-KLH'!$B$6:$T$823,11,0),"")</f>
        <v/>
      </c>
      <c r="M401" s="849" t="str">
        <f>IFERROR(VLOOKUP(B401,'02. MM-KLH'!$B$6:$T$823,12,0),"")</f>
        <v/>
      </c>
      <c r="N401" s="849" t="str">
        <f>IFERROR(VLOOKUP(B401,'02. MM-KLH'!$B$6:$T$823,13,0),"")</f>
        <v/>
      </c>
      <c r="O401" s="849" t="str">
        <f>IFERROR(VLOOKUP(B401,'02. MM-KLH'!$B$6:$T$823,14,0),"")</f>
        <v/>
      </c>
      <c r="P401" s="849" t="str">
        <f>IFERROR(VLOOKUP(B401,'02. MM-KLH'!$B$6:$T$823,15,0),"")</f>
        <v/>
      </c>
      <c r="Q401" s="849" t="str">
        <f>IFERROR(VLOOKUP(B401,'02. MM-KLH'!$B$6:$T$823,16,0),"")</f>
        <v/>
      </c>
      <c r="R401" s="849" t="str">
        <f>IFERROR(VLOOKUP(B401,'02. MM-KLH'!$B$6:$T$823,17,0),"")</f>
        <v/>
      </c>
      <c r="S401" s="849" t="str">
        <f>IFERROR(VLOOKUP(B401,'02. MM-KLH'!$B$6:$T$823,18,0),"")</f>
        <v/>
      </c>
      <c r="T401" s="849" t="str">
        <f>IFERROR(VLOOKUP(B401,'02. MM-KLH'!$B$6:$T$823,19,0),"")</f>
        <v/>
      </c>
      <c r="U401" s="849" t="str">
        <f>IFERROR(VLOOKUP(C401,'02. MM-KLH'!$B$6:$T$823,19,0),"")</f>
        <v/>
      </c>
    </row>
    <row r="402" ht="13.5" customHeight="1" spans="1:21">
      <c r="A402" s="101">
        <v>1</v>
      </c>
      <c r="B402" s="871" t="s">
        <v>2514</v>
      </c>
      <c r="C402" s="872" t="str">
        <f>IFERROR(VLOOKUP(B402,'02. MM-KLH'!$B$6:$T$823,2,0),"")</f>
        <v>92C-14772</v>
      </c>
      <c r="D402" s="103" t="str">
        <f>IFERROR(VLOOKUP(B402,'02. MM-KLH'!$B$6:$T$823,3,0),"")</f>
        <v>A23-COT-001</v>
      </c>
      <c r="E402" s="102">
        <f>IFERROR(VLOOKUP(B402,'02. MM-KLH'!$B$6:$T$823,4,0),"")</f>
        <v>0</v>
      </c>
      <c r="F402" s="871"/>
      <c r="G402" s="102" t="str">
        <f>IFERROR(VLOOKUP(B402,'02. MM-KLH'!$B$6:$T$823,6,0),"")</f>
        <v>Xe container FUSO FZ49</v>
      </c>
      <c r="H402" s="101" t="s">
        <v>3420</v>
      </c>
      <c r="I402" s="101" t="str">
        <f>IFERROR(VLOOKUP(B402,'02. MM-KLH'!$B$6:$T$823,8,0),"")</f>
        <v>Phòng GNVC</v>
      </c>
      <c r="J402" s="105">
        <f>IFERROR(VLOOKUP(B402,'02. MM-KLH'!$B$6:$T$823,9,0),"")</f>
        <v>0</v>
      </c>
      <c r="K402" s="101">
        <f>IFERROR(VLOOKUP(B402,'02. MM-KLH'!$B$6:$T$823,10,0),"")</f>
        <v>0</v>
      </c>
      <c r="L402" s="107">
        <f>IFERROR(VLOOKUP(B402,'02. MM-KLH'!$B$6:$T$823,11,0),"")</f>
        <v>0</v>
      </c>
      <c r="M402" s="864">
        <f>IFERROR(VLOOKUP(B402,'02. MM-KLH'!$B$6:$T$823,12,0),"")</f>
        <v>0</v>
      </c>
      <c r="N402" s="110" t="str">
        <f>IFERROR(VLOOKUP(B402,'02. MM-KLH'!$B$6:$T$823,13,0),"")</f>
        <v>FUSO</v>
      </c>
      <c r="O402" s="110">
        <f>IFERROR(VLOOKUP(B402,'02. MM-KLH'!$B$6:$T$823,14,0),"")</f>
        <v>0</v>
      </c>
      <c r="P402" s="101">
        <f>IFERROR(VLOOKUP(B402,'02. MM-KLH'!$B$6:$T$823,15,0),"")</f>
        <v>0</v>
      </c>
      <c r="Q402" s="101" t="str">
        <f>IFERROR(VLOOKUP(B402,'02. MM-KLH'!$B$6:$T$823,16,0),"")</f>
        <v>FZ49</v>
      </c>
      <c r="R402" s="101" t="str">
        <f>IFERROR(VLOOKUP(B402,'02. MM-KLH'!$B$6:$T$823,17,0),"")</f>
        <v>280HP</v>
      </c>
      <c r="S402" s="110" t="str">
        <f>IFERROR(VLOOKUP(B402,'02. MM-KLH'!$B$6:$T$823,18,0),"")</f>
        <v>MEC2812SCGP028677</v>
      </c>
      <c r="T402" s="111">
        <f>IFERROR(VLOOKUP(B402,'02. MM-KLH'!$B$6:$T$823,19,0),"")</f>
        <v>0</v>
      </c>
      <c r="U402" s="863" t="s">
        <v>451</v>
      </c>
    </row>
    <row r="403" ht="13.5" customHeight="1" spans="1:21">
      <c r="A403" s="101">
        <f t="shared" ref="A403:A407" si="17">A402+1</f>
        <v>2</v>
      </c>
      <c r="B403" s="871" t="s">
        <v>2520</v>
      </c>
      <c r="C403" s="872" t="str">
        <f>IFERROR(VLOOKUP(B403,'02. MM-KLH'!$B$6:$T$823,2,0),"")</f>
        <v>92C-14728</v>
      </c>
      <c r="D403" s="103" t="str">
        <f>IFERROR(VLOOKUP(B403,'02. MM-KLH'!$B$6:$T$823,3,0),"")</f>
        <v>A23-COT-002</v>
      </c>
      <c r="E403" s="102">
        <f>IFERROR(VLOOKUP(B403,'02. MM-KLH'!$B$6:$T$823,4,0),"")</f>
        <v>0</v>
      </c>
      <c r="F403" s="871"/>
      <c r="G403" s="102" t="str">
        <f>IFERROR(VLOOKUP(B403,'02. MM-KLH'!$B$6:$T$823,6,0),"")</f>
        <v>Xe container FUSO FZ49</v>
      </c>
      <c r="H403" s="101" t="s">
        <v>3420</v>
      </c>
      <c r="I403" s="101" t="str">
        <f>IFERROR(VLOOKUP(B403,'02. MM-KLH'!$B$6:$T$823,8,0),"")</f>
        <v>Phòng GNVC</v>
      </c>
      <c r="J403" s="105">
        <f>IFERROR(VLOOKUP(B403,'02. MM-KLH'!$B$6:$T$823,9,0),"")</f>
        <v>0</v>
      </c>
      <c r="K403" s="101">
        <f>IFERROR(VLOOKUP(B403,'02. MM-KLH'!$B$6:$T$823,10,0),"")</f>
        <v>0</v>
      </c>
      <c r="L403" s="107">
        <f>IFERROR(VLOOKUP(B403,'02. MM-KLH'!$B$6:$T$823,11,0),"")</f>
        <v>0</v>
      </c>
      <c r="M403" s="864">
        <f>IFERROR(VLOOKUP(B403,'02. MM-KLH'!$B$6:$T$823,12,0),"")</f>
        <v>0</v>
      </c>
      <c r="N403" s="110" t="str">
        <f>IFERROR(VLOOKUP(B403,'02. MM-KLH'!$B$6:$T$823,13,0),"")</f>
        <v>FUSO</v>
      </c>
      <c r="O403" s="110">
        <f>IFERROR(VLOOKUP(B403,'02. MM-KLH'!$B$6:$T$823,14,0),"")</f>
        <v>0</v>
      </c>
      <c r="P403" s="101">
        <f>IFERROR(VLOOKUP(B403,'02. MM-KLH'!$B$6:$T$823,15,0),"")</f>
        <v>0</v>
      </c>
      <c r="Q403" s="101" t="str">
        <f>IFERROR(VLOOKUP(B403,'02. MM-KLH'!$B$6:$T$823,16,0),"")</f>
        <v>FZ49</v>
      </c>
      <c r="R403" s="101" t="str">
        <f>IFERROR(VLOOKUP(B403,'02. MM-KLH'!$B$6:$T$823,17,0),"")</f>
        <v>280HP</v>
      </c>
      <c r="S403" s="110" t="str">
        <f>IFERROR(VLOOKUP(B403,'02. MM-KLH'!$B$6:$T$823,18,0),"")</f>
        <v>MEC2812SCGP028311</v>
      </c>
      <c r="T403" s="111">
        <f>IFERROR(VLOOKUP(B403,'02. MM-KLH'!$B$6:$T$823,19,0),"")</f>
        <v>0</v>
      </c>
      <c r="U403" s="863" t="s">
        <v>451</v>
      </c>
    </row>
    <row r="404" ht="13.5" customHeight="1" spans="1:21">
      <c r="A404" s="101">
        <f t="shared" si="17"/>
        <v>3</v>
      </c>
      <c r="B404" s="871" t="s">
        <v>2523</v>
      </c>
      <c r="C404" s="872" t="str">
        <f>IFERROR(VLOOKUP(B404,'02. MM-KLH'!$B$6:$T$823,2,0),"")</f>
        <v>92C-14749</v>
      </c>
      <c r="D404" s="103" t="str">
        <f>IFERROR(VLOOKUP(B404,'02. MM-KLH'!$B$6:$T$823,3,0),"")</f>
        <v>A23-COT-003</v>
      </c>
      <c r="E404" s="102">
        <f>IFERROR(VLOOKUP(B404,'02. MM-KLH'!$B$6:$T$823,4,0),"")</f>
        <v>0</v>
      </c>
      <c r="F404" s="871"/>
      <c r="G404" s="102" t="str">
        <f>IFERROR(VLOOKUP(B404,'02. MM-KLH'!$B$6:$T$823,6,0),"")</f>
        <v>Xe container FUSO FZ49</v>
      </c>
      <c r="H404" s="101" t="s">
        <v>3420</v>
      </c>
      <c r="I404" s="101" t="str">
        <f>IFERROR(VLOOKUP(B404,'02. MM-KLH'!$B$6:$T$823,8,0),"")</f>
        <v>Phòng GNVC</v>
      </c>
      <c r="J404" s="105">
        <f>IFERROR(VLOOKUP(B404,'02. MM-KLH'!$B$6:$T$823,9,0),"")</f>
        <v>0</v>
      </c>
      <c r="K404" s="101">
        <f>IFERROR(VLOOKUP(B404,'02. MM-KLH'!$B$6:$T$823,10,0),"")</f>
        <v>0</v>
      </c>
      <c r="L404" s="107">
        <f>IFERROR(VLOOKUP(B404,'02. MM-KLH'!$B$6:$T$823,11,0),"")</f>
        <v>0</v>
      </c>
      <c r="M404" s="864">
        <f>IFERROR(VLOOKUP(B404,'02. MM-KLH'!$B$6:$T$823,12,0),"")</f>
        <v>0</v>
      </c>
      <c r="N404" s="110" t="str">
        <f>IFERROR(VLOOKUP(B404,'02. MM-KLH'!$B$6:$T$823,13,0),"")</f>
        <v>FUSO</v>
      </c>
      <c r="O404" s="110">
        <f>IFERROR(VLOOKUP(B404,'02. MM-KLH'!$B$6:$T$823,14,0),"")</f>
        <v>0</v>
      </c>
      <c r="P404" s="101">
        <f>IFERROR(VLOOKUP(B404,'02. MM-KLH'!$B$6:$T$823,15,0),"")</f>
        <v>0</v>
      </c>
      <c r="Q404" s="101" t="str">
        <f>IFERROR(VLOOKUP(B404,'02. MM-KLH'!$B$6:$T$823,16,0),"")</f>
        <v>FZ49</v>
      </c>
      <c r="R404" s="101" t="str">
        <f>IFERROR(VLOOKUP(B404,'02. MM-KLH'!$B$6:$T$823,17,0),"")</f>
        <v>280HP</v>
      </c>
      <c r="S404" s="110" t="str">
        <f>IFERROR(VLOOKUP(B404,'02. MM-KLH'!$B$6:$T$823,18,0),"")</f>
        <v>MEC2812SCGP029295</v>
      </c>
      <c r="T404" s="111">
        <f>IFERROR(VLOOKUP(B404,'02. MM-KLH'!$B$6:$T$823,19,0),"")</f>
        <v>0</v>
      </c>
      <c r="U404" s="863" t="s">
        <v>451</v>
      </c>
    </row>
    <row r="405" ht="13.5" customHeight="1" spans="1:21">
      <c r="A405" s="101">
        <f t="shared" si="17"/>
        <v>4</v>
      </c>
      <c r="B405" s="871" t="s">
        <v>2526</v>
      </c>
      <c r="C405" s="872" t="str">
        <f>IFERROR(VLOOKUP(B405,'02. MM-KLH'!$B$6:$T$823,2,0),"")</f>
        <v>92C-14715</v>
      </c>
      <c r="D405" s="103" t="str">
        <f>IFERROR(VLOOKUP(B405,'02. MM-KLH'!$B$6:$T$823,3,0),"")</f>
        <v>A23-COT-004</v>
      </c>
      <c r="E405" s="102">
        <f>IFERROR(VLOOKUP(B405,'02. MM-KLH'!$B$6:$T$823,4,0),"")</f>
        <v>0</v>
      </c>
      <c r="F405" s="871"/>
      <c r="G405" s="102" t="str">
        <f>IFERROR(VLOOKUP(B405,'02. MM-KLH'!$B$6:$T$823,6,0),"")</f>
        <v>Xe container FUSO FZ49</v>
      </c>
      <c r="H405" s="101" t="s">
        <v>3420</v>
      </c>
      <c r="I405" s="101" t="str">
        <f>IFERROR(VLOOKUP(B405,'02. MM-KLH'!$B$6:$T$823,8,0),"")</f>
        <v>Phòng GNVC</v>
      </c>
      <c r="J405" s="105">
        <f>IFERROR(VLOOKUP(B405,'02. MM-KLH'!$B$6:$T$823,9,0),"")</f>
        <v>0</v>
      </c>
      <c r="K405" s="101">
        <f>IFERROR(VLOOKUP(B405,'02. MM-KLH'!$B$6:$T$823,10,0),"")</f>
        <v>0</v>
      </c>
      <c r="L405" s="107">
        <f>IFERROR(VLOOKUP(B405,'02. MM-KLH'!$B$6:$T$823,11,0),"")</f>
        <v>0</v>
      </c>
      <c r="M405" s="864">
        <f>IFERROR(VLOOKUP(B405,'02. MM-KLH'!$B$6:$T$823,12,0),"")</f>
        <v>0</v>
      </c>
      <c r="N405" s="110" t="str">
        <f>IFERROR(VLOOKUP(B405,'02. MM-KLH'!$B$6:$T$823,13,0),"")</f>
        <v>FUSO</v>
      </c>
      <c r="O405" s="110">
        <f>IFERROR(VLOOKUP(B405,'02. MM-KLH'!$B$6:$T$823,14,0),"")</f>
        <v>0</v>
      </c>
      <c r="P405" s="101">
        <f>IFERROR(VLOOKUP(B405,'02. MM-KLH'!$B$6:$T$823,15,0),"")</f>
        <v>0</v>
      </c>
      <c r="Q405" s="101" t="str">
        <f>IFERROR(VLOOKUP(B405,'02. MM-KLH'!$B$6:$T$823,16,0),"")</f>
        <v>FZ49</v>
      </c>
      <c r="R405" s="101" t="str">
        <f>IFERROR(VLOOKUP(B405,'02. MM-KLH'!$B$6:$T$823,17,0),"")</f>
        <v>280HP</v>
      </c>
      <c r="S405" s="110" t="str">
        <f>IFERROR(VLOOKUP(B405,'02. MM-KLH'!$B$6:$T$823,18,0),"")</f>
        <v>MEC2812SCGP028625</v>
      </c>
      <c r="T405" s="111">
        <f>IFERROR(VLOOKUP(B405,'02. MM-KLH'!$B$6:$T$823,19,0),"")</f>
        <v>0</v>
      </c>
      <c r="U405" s="863" t="s">
        <v>451</v>
      </c>
    </row>
    <row r="406" ht="13.5" customHeight="1" spans="1:21">
      <c r="A406" s="101">
        <f t="shared" si="17"/>
        <v>5</v>
      </c>
      <c r="B406" s="871" t="s">
        <v>2529</v>
      </c>
      <c r="C406" s="872" t="str">
        <f>IFERROR(VLOOKUP(B406,'02. MM-KLH'!$B$6:$T$823,2,0),"")</f>
        <v>92C-14689</v>
      </c>
      <c r="D406" s="103" t="str">
        <f>IFERROR(VLOOKUP(B406,'02. MM-KLH'!$B$6:$T$823,3,0),"")</f>
        <v>A23-COT-005</v>
      </c>
      <c r="E406" s="102">
        <f>IFERROR(VLOOKUP(B406,'02. MM-KLH'!$B$6:$T$823,4,0),"")</f>
        <v>0</v>
      </c>
      <c r="F406" s="871"/>
      <c r="G406" s="102" t="str">
        <f>IFERROR(VLOOKUP(B406,'02. MM-KLH'!$B$6:$T$823,6,0),"")</f>
        <v>Xe container FUSO FZ49</v>
      </c>
      <c r="H406" s="101" t="s">
        <v>3420</v>
      </c>
      <c r="I406" s="101" t="str">
        <f>IFERROR(VLOOKUP(B406,'02. MM-KLH'!$B$6:$T$823,8,0),"")</f>
        <v>Phòng GNVC</v>
      </c>
      <c r="J406" s="105">
        <f>IFERROR(VLOOKUP(B406,'02. MM-KLH'!$B$6:$T$823,9,0),"")</f>
        <v>0</v>
      </c>
      <c r="K406" s="101">
        <f>IFERROR(VLOOKUP(B406,'02. MM-KLH'!$B$6:$T$823,10,0),"")</f>
        <v>0</v>
      </c>
      <c r="L406" s="107">
        <f>IFERROR(VLOOKUP(B406,'02. MM-KLH'!$B$6:$T$823,11,0),"")</f>
        <v>0</v>
      </c>
      <c r="M406" s="864">
        <f>IFERROR(VLOOKUP(B406,'02. MM-KLH'!$B$6:$T$823,12,0),"")</f>
        <v>0</v>
      </c>
      <c r="N406" s="110" t="str">
        <f>IFERROR(VLOOKUP(B406,'02. MM-KLH'!$B$6:$T$823,13,0),"")</f>
        <v>FUSO</v>
      </c>
      <c r="O406" s="110">
        <f>IFERROR(VLOOKUP(B406,'02. MM-KLH'!$B$6:$T$823,14,0),"")</f>
        <v>0</v>
      </c>
      <c r="P406" s="101">
        <f>IFERROR(VLOOKUP(B406,'02. MM-KLH'!$B$6:$T$823,15,0),"")</f>
        <v>0</v>
      </c>
      <c r="Q406" s="101" t="str">
        <f>IFERROR(VLOOKUP(B406,'02. MM-KLH'!$B$6:$T$823,16,0),"")</f>
        <v>FZ49</v>
      </c>
      <c r="R406" s="101" t="str">
        <f>IFERROR(VLOOKUP(B406,'02. MM-KLH'!$B$6:$T$823,17,0),"")</f>
        <v>280HP</v>
      </c>
      <c r="S406" s="110" t="str">
        <f>IFERROR(VLOOKUP(B406,'02. MM-KLH'!$B$6:$T$823,18,0),"")</f>
        <v>MEC2812SCGP028373</v>
      </c>
      <c r="T406" s="111">
        <f>IFERROR(VLOOKUP(B406,'02. MM-KLH'!$B$6:$T$823,19,0),"")</f>
        <v>0</v>
      </c>
      <c r="U406" s="863" t="s">
        <v>451</v>
      </c>
    </row>
    <row r="407" ht="13.5" customHeight="1" spans="1:21">
      <c r="A407" s="101">
        <f t="shared" si="17"/>
        <v>6</v>
      </c>
      <c r="B407" s="871" t="s">
        <v>2532</v>
      </c>
      <c r="C407" s="872" t="str">
        <f>IFERROR(VLOOKUP(B407,'02. MM-KLH'!$B$6:$T$823,2,0),"")</f>
        <v>92C-14630</v>
      </c>
      <c r="D407" s="103" t="str">
        <f>IFERROR(VLOOKUP(B407,'02. MM-KLH'!$B$6:$T$823,3,0),"")</f>
        <v>A23-COT-006</v>
      </c>
      <c r="E407" s="102">
        <f>IFERROR(VLOOKUP(B407,'02. MM-KLH'!$B$6:$T$823,4,0),"")</f>
        <v>0</v>
      </c>
      <c r="F407" s="871"/>
      <c r="G407" s="102" t="str">
        <f>IFERROR(VLOOKUP(B407,'02. MM-KLH'!$B$6:$T$823,6,0),"")</f>
        <v>Xe container FUSO FZ49</v>
      </c>
      <c r="H407" s="101" t="s">
        <v>3420</v>
      </c>
      <c r="I407" s="101" t="str">
        <f>IFERROR(VLOOKUP(B407,'02. MM-KLH'!$B$6:$T$823,8,0),"")</f>
        <v>Phòng GNVC</v>
      </c>
      <c r="J407" s="105">
        <f>IFERROR(VLOOKUP(B407,'02. MM-KLH'!$B$6:$T$823,9,0),"")</f>
        <v>0</v>
      </c>
      <c r="K407" s="101">
        <f>IFERROR(VLOOKUP(B407,'02. MM-KLH'!$B$6:$T$823,10,0),"")</f>
        <v>0</v>
      </c>
      <c r="L407" s="107">
        <f>IFERROR(VLOOKUP(B407,'02. MM-KLH'!$B$6:$T$823,11,0),"")</f>
        <v>0</v>
      </c>
      <c r="M407" s="864">
        <f>IFERROR(VLOOKUP(B407,'02. MM-KLH'!$B$6:$T$823,12,0),"")</f>
        <v>0</v>
      </c>
      <c r="N407" s="110" t="str">
        <f>IFERROR(VLOOKUP(B407,'02. MM-KLH'!$B$6:$T$823,13,0),"")</f>
        <v>FUSO</v>
      </c>
      <c r="O407" s="110">
        <f>IFERROR(VLOOKUP(B407,'02. MM-KLH'!$B$6:$T$823,14,0),"")</f>
        <v>0</v>
      </c>
      <c r="P407" s="101">
        <f>IFERROR(VLOOKUP(B407,'02. MM-KLH'!$B$6:$T$823,15,0),"")</f>
        <v>0</v>
      </c>
      <c r="Q407" s="101" t="str">
        <f>IFERROR(VLOOKUP(B407,'02. MM-KLH'!$B$6:$T$823,16,0),"")</f>
        <v>FZ49</v>
      </c>
      <c r="R407" s="101" t="str">
        <f>IFERROR(VLOOKUP(B407,'02. MM-KLH'!$B$6:$T$823,17,0),"")</f>
        <v>280HP</v>
      </c>
      <c r="S407" s="110" t="str">
        <f>IFERROR(VLOOKUP(B407,'02. MM-KLH'!$B$6:$T$823,18,0),"")</f>
        <v>MEC2812SCGP028586</v>
      </c>
      <c r="T407" s="111" t="str">
        <f>IFERROR(VLOOKUP(B407,'02. MM-KLH'!$B$6:$T$823,19,0),"")</f>
        <v>Thay cho TND-COT-006</v>
      </c>
      <c r="U407" s="863" t="s">
        <v>451</v>
      </c>
    </row>
    <row r="408" ht="13.5" customHeight="1" spans="1:21">
      <c r="A408" s="101"/>
      <c r="B408" s="104"/>
      <c r="C408" s="206"/>
      <c r="D408" s="103" t="str">
        <f>IFERROR(VLOOKUP(B408,'02. MM-KLH'!$B$6:$T$823,3,0),"")</f>
        <v/>
      </c>
      <c r="E408" s="102" t="str">
        <f>IFERROR(VLOOKUP(B408,'02. MM-KLH'!$B$6:$T$823,4,0),"")</f>
        <v/>
      </c>
      <c r="F408" s="201"/>
      <c r="G408" s="102" t="str">
        <f>IFERROR(VLOOKUP(B408,'02. MM-KLH'!$B$6:$T$823,6,0),"")</f>
        <v/>
      </c>
      <c r="H408" s="101"/>
      <c r="I408" s="101" t="str">
        <f>IFERROR(VLOOKUP(B408,'02. MM-KLH'!$B$6:$T$823,8,0),"")</f>
        <v/>
      </c>
      <c r="J408" s="105" t="str">
        <f>IFERROR(VLOOKUP(B408,'02. MM-KLH'!$B$6:$T$823,9,0),"")</f>
        <v/>
      </c>
      <c r="K408" s="101" t="str">
        <f>IFERROR(VLOOKUP(B408,'02. MM-KLH'!$B$6:$T$823,10,0),"")</f>
        <v/>
      </c>
      <c r="L408" s="107" t="str">
        <f>IFERROR(VLOOKUP(B408,'02. MM-KLH'!$B$6:$T$823,11,0),"")</f>
        <v/>
      </c>
      <c r="M408" s="864" t="str">
        <f>IFERROR(VLOOKUP(B408,'02. MM-KLH'!$B$6:$T$823,12,0),"")</f>
        <v/>
      </c>
      <c r="N408" s="110" t="str">
        <f>IFERROR(VLOOKUP(B408,'02. MM-KLH'!$B$6:$T$823,13,0),"")</f>
        <v/>
      </c>
      <c r="O408" s="110" t="str">
        <f>IFERROR(VLOOKUP(B408,'02. MM-KLH'!$B$6:$T$823,14,0),"")</f>
        <v/>
      </c>
      <c r="P408" s="101" t="str">
        <f>IFERROR(VLOOKUP(B408,'02. MM-KLH'!$B$6:$T$823,15,0),"")</f>
        <v/>
      </c>
      <c r="Q408" s="101" t="str">
        <f>IFERROR(VLOOKUP(B408,'02. MM-KLH'!$B$6:$T$823,16,0),"")</f>
        <v/>
      </c>
      <c r="R408" s="101" t="str">
        <f>IFERROR(VLOOKUP(B408,'02. MM-KLH'!$B$6:$T$823,17,0),"")</f>
        <v/>
      </c>
      <c r="S408" s="110" t="str">
        <f>IFERROR(VLOOKUP(B408,'02. MM-KLH'!$B$6:$T$823,18,0),"")</f>
        <v/>
      </c>
      <c r="T408" s="111" t="str">
        <f>IFERROR(VLOOKUP(B408,'02. MM-KLH'!$B$6:$T$823,19,0),"")</f>
        <v/>
      </c>
      <c r="U408" s="863"/>
    </row>
    <row r="409" ht="13.5" customHeight="1" spans="1:21">
      <c r="A409" s="847" t="s">
        <v>290</v>
      </c>
      <c r="B409" s="848" t="s">
        <v>3421</v>
      </c>
      <c r="C409" s="849"/>
      <c r="D409" s="849" t="str">
        <f>IFERROR(VLOOKUP(B409,'02. MM-KLH'!$B$6:$T$823,3,0),"")</f>
        <v/>
      </c>
      <c r="E409" s="849" t="str">
        <f>IFERROR(VLOOKUP(B409,'02. MM-KLH'!$B$6:$T$823,4,0),"")</f>
        <v/>
      </c>
      <c r="F409" s="849"/>
      <c r="G409" s="849" t="str">
        <f>IFERROR(VLOOKUP(B409,'02. MM-KLH'!$B$6:$T$823,6,0),"")</f>
        <v/>
      </c>
      <c r="H409" s="849"/>
      <c r="I409" s="849" t="str">
        <f>IFERROR(VLOOKUP(B409,'02. MM-KLH'!$B$6:$T$823,8,0),"")</f>
        <v/>
      </c>
      <c r="J409" s="849" t="str">
        <f>IFERROR(VLOOKUP(B409,'02. MM-KLH'!$B$6:$T$823,9,0),"")</f>
        <v/>
      </c>
      <c r="K409" s="849" t="str">
        <f>IFERROR(VLOOKUP(B409,'02. MM-KLH'!$B$6:$T$823,10,0),"")</f>
        <v/>
      </c>
      <c r="L409" s="849" t="str">
        <f>IFERROR(VLOOKUP(B409,'02. MM-KLH'!$B$6:$T$823,11,0),"")</f>
        <v/>
      </c>
      <c r="M409" s="849" t="str">
        <f>IFERROR(VLOOKUP(B409,'02. MM-KLH'!$B$6:$T$823,12,0),"")</f>
        <v/>
      </c>
      <c r="N409" s="849" t="str">
        <f>IFERROR(VLOOKUP(B409,'02. MM-KLH'!$B$6:$T$823,13,0),"")</f>
        <v/>
      </c>
      <c r="O409" s="849" t="str">
        <f>IFERROR(VLOOKUP(B409,'02. MM-KLH'!$B$6:$T$823,14,0),"")</f>
        <v/>
      </c>
      <c r="P409" s="849" t="str">
        <f>IFERROR(VLOOKUP(B409,'02. MM-KLH'!$B$6:$T$823,15,0),"")</f>
        <v/>
      </c>
      <c r="Q409" s="849" t="str">
        <f>IFERROR(VLOOKUP(B409,'02. MM-KLH'!$B$6:$T$823,16,0),"")</f>
        <v/>
      </c>
      <c r="R409" s="849" t="str">
        <f>IFERROR(VLOOKUP(B409,'02. MM-KLH'!$B$6:$T$823,17,0),"")</f>
        <v/>
      </c>
      <c r="S409" s="849" t="str">
        <f>IFERROR(VLOOKUP(B409,'02. MM-KLH'!$B$6:$T$823,18,0),"")</f>
        <v/>
      </c>
      <c r="T409" s="849" t="str">
        <f>IFERROR(VLOOKUP(B409,'02. MM-KLH'!$B$6:$T$823,19,0),"")</f>
        <v/>
      </c>
      <c r="U409" s="849" t="str">
        <f>IFERROR(VLOOKUP(C409,'02. MM-KLH'!$B$6:$T$823,19,0),"")</f>
        <v/>
      </c>
    </row>
    <row r="410" ht="13.5" hidden="1" customHeight="1" spans="1:21">
      <c r="A410" s="101"/>
      <c r="B410" s="104"/>
      <c r="C410" s="102" t="str">
        <f>IFERROR(VLOOKUP(B410,'02. MM-KLH'!$B$6:$T$823,2,0),"")</f>
        <v/>
      </c>
      <c r="D410" s="103" t="str">
        <f>IFERROR(VLOOKUP(B410,'02. MM-KLH'!$B$6:$T$823,3,0),"")</f>
        <v/>
      </c>
      <c r="E410" s="102" t="str">
        <f>IFERROR(VLOOKUP(B410,'02. MM-KLH'!$B$6:$T$823,4,0),"")</f>
        <v/>
      </c>
      <c r="F410" s="104"/>
      <c r="G410" s="102" t="str">
        <f>IFERROR(VLOOKUP(B410,'02. MM-KLH'!$B$6:$T$823,6,0),"")</f>
        <v/>
      </c>
      <c r="H410" s="101" t="s">
        <v>3422</v>
      </c>
      <c r="I410" s="101" t="str">
        <f>IFERROR(VLOOKUP(B410,'02. MM-KLH'!$B$6:$T$823,8,0),"")</f>
        <v/>
      </c>
      <c r="J410" s="105" t="str">
        <f>IFERROR(VLOOKUP(B410,'02. MM-KLH'!$B$6:$T$823,9,0),"")</f>
        <v/>
      </c>
      <c r="K410" s="101" t="str">
        <f>IFERROR(VLOOKUP(B410,'02. MM-KLH'!$B$6:$T$823,10,0),"")</f>
        <v/>
      </c>
      <c r="L410" s="107" t="str">
        <f>IFERROR(VLOOKUP(B410,'02. MM-KLH'!$B$6:$T$823,11,0),"")</f>
        <v/>
      </c>
      <c r="M410" s="864" t="str">
        <f>IFERROR(VLOOKUP(B410,'02. MM-KLH'!$B$6:$T$823,12,0),"")</f>
        <v/>
      </c>
      <c r="N410" s="110" t="str">
        <f>IFERROR(VLOOKUP(B410,'02. MM-KLH'!$B$6:$T$823,13,0),"")</f>
        <v/>
      </c>
      <c r="O410" s="110" t="str">
        <f>IFERROR(VLOOKUP(B410,'02. MM-KLH'!$B$6:$T$823,14,0),"")</f>
        <v/>
      </c>
      <c r="P410" s="101" t="str">
        <f>IFERROR(VLOOKUP(B410,'02. MM-KLH'!$B$6:$T$823,15,0),"")</f>
        <v/>
      </c>
      <c r="Q410" s="101" t="str">
        <f>IFERROR(VLOOKUP(B410,'02. MM-KLH'!$B$6:$T$823,16,0),"")</f>
        <v/>
      </c>
      <c r="R410" s="101" t="str">
        <f>IFERROR(VLOOKUP(B410,'02. MM-KLH'!$B$6:$T$823,17,0),"")</f>
        <v/>
      </c>
      <c r="S410" s="110" t="str">
        <f>IFERROR(VLOOKUP(B410,'02. MM-KLH'!$B$6:$T$823,18,0),"")</f>
        <v/>
      </c>
      <c r="T410" s="111" t="str">
        <f>IFERROR(VLOOKUP(B410,'02. MM-KLH'!$B$6:$T$823,19,0),"")</f>
        <v/>
      </c>
      <c r="U410" s="863" t="s">
        <v>451</v>
      </c>
    </row>
    <row r="411" ht="13.5" hidden="1" customHeight="1" spans="1:21">
      <c r="A411" s="101"/>
      <c r="B411" s="104"/>
      <c r="C411" s="102" t="str">
        <f>IFERROR(VLOOKUP(B411,'02. MM-KLH'!$B$6:$T$823,2,0),"")</f>
        <v/>
      </c>
      <c r="D411" s="103" t="str">
        <f>IFERROR(VLOOKUP(B411,'02. MM-KLH'!$B$6:$T$823,3,0),"")</f>
        <v/>
      </c>
      <c r="E411" s="102" t="str">
        <f>IFERROR(VLOOKUP(B411,'02. MM-KLH'!$B$6:$T$823,4,0),"")</f>
        <v/>
      </c>
      <c r="F411" s="104"/>
      <c r="G411" s="102" t="str">
        <f>IFERROR(VLOOKUP(B411,'02. MM-KLH'!$B$6:$T$823,6,0),"")</f>
        <v/>
      </c>
      <c r="H411" s="101" t="s">
        <v>3422</v>
      </c>
      <c r="I411" s="101" t="str">
        <f>IFERROR(VLOOKUP(B411,'02. MM-KLH'!$B$6:$T$823,8,0),"")</f>
        <v/>
      </c>
      <c r="J411" s="105" t="str">
        <f>IFERROR(VLOOKUP(B411,'02. MM-KLH'!$B$6:$T$823,9,0),"")</f>
        <v/>
      </c>
      <c r="K411" s="101" t="str">
        <f>IFERROR(VLOOKUP(B411,'02. MM-KLH'!$B$6:$T$823,10,0),"")</f>
        <v/>
      </c>
      <c r="L411" s="107" t="str">
        <f>IFERROR(VLOOKUP(B411,'02. MM-KLH'!$B$6:$T$823,11,0),"")</f>
        <v/>
      </c>
      <c r="M411" s="864" t="str">
        <f>IFERROR(VLOOKUP(B411,'02. MM-KLH'!$B$6:$T$823,12,0),"")</f>
        <v/>
      </c>
      <c r="N411" s="110" t="str">
        <f>IFERROR(VLOOKUP(B411,'02. MM-KLH'!$B$6:$T$823,13,0),"")</f>
        <v/>
      </c>
      <c r="O411" s="110" t="str">
        <f>IFERROR(VLOOKUP(B411,'02. MM-KLH'!$B$6:$T$823,14,0),"")</f>
        <v/>
      </c>
      <c r="P411" s="101" t="str">
        <f>IFERROR(VLOOKUP(B411,'02. MM-KLH'!$B$6:$T$823,15,0),"")</f>
        <v/>
      </c>
      <c r="Q411" s="101" t="str">
        <f>IFERROR(VLOOKUP(B411,'02. MM-KLH'!$B$6:$T$823,16,0),"")</f>
        <v/>
      </c>
      <c r="R411" s="101" t="str">
        <f>IFERROR(VLOOKUP(B411,'02. MM-KLH'!$B$6:$T$823,17,0),"")</f>
        <v/>
      </c>
      <c r="S411" s="110" t="str">
        <f>IFERROR(VLOOKUP(B411,'02. MM-KLH'!$B$6:$T$823,18,0),"")</f>
        <v/>
      </c>
      <c r="T411" s="111" t="str">
        <f>IFERROR(VLOOKUP(B411,'02. MM-KLH'!$B$6:$T$823,19,0),"")</f>
        <v/>
      </c>
      <c r="U411" s="863" t="s">
        <v>451</v>
      </c>
    </row>
    <row r="412" ht="13.5" hidden="1" customHeight="1" spans="1:21">
      <c r="A412" s="103"/>
      <c r="B412" s="104"/>
      <c r="C412" s="102"/>
      <c r="D412" s="103" t="str">
        <f>IFERROR(VLOOKUP(B412,'02. MM-KLH'!$B$6:$T$823,3,0),"")</f>
        <v/>
      </c>
      <c r="E412" s="102" t="str">
        <f>IFERROR(VLOOKUP(B412,'02. MM-KLH'!$B$6:$T$823,4,0),"")</f>
        <v/>
      </c>
      <c r="F412" s="104"/>
      <c r="G412" s="102" t="str">
        <f>IFERROR(VLOOKUP(B412,'02. MM-KLH'!$B$6:$T$823,6,0),"")</f>
        <v/>
      </c>
      <c r="H412" s="101"/>
      <c r="I412" s="101" t="str">
        <f>IFERROR(VLOOKUP(B412,'02. MM-KLH'!$B$6:$T$823,8,0),"")</f>
        <v/>
      </c>
      <c r="J412" s="105" t="str">
        <f>IFERROR(VLOOKUP(B412,'02. MM-KLH'!$B$6:$T$823,9,0),"")</f>
        <v/>
      </c>
      <c r="K412" s="101" t="str">
        <f>IFERROR(VLOOKUP(B412,'02. MM-KLH'!$B$6:$T$823,10,0),"")</f>
        <v/>
      </c>
      <c r="L412" s="107" t="str">
        <f>IFERROR(VLOOKUP(B412,'02. MM-KLH'!$B$6:$T$823,11,0),"")</f>
        <v/>
      </c>
      <c r="M412" s="864" t="str">
        <f>IFERROR(VLOOKUP(B412,'02. MM-KLH'!$B$6:$T$823,12,0),"")</f>
        <v/>
      </c>
      <c r="N412" s="110" t="str">
        <f>IFERROR(VLOOKUP(B412,'02. MM-KLH'!$B$6:$T$823,13,0),"")</f>
        <v/>
      </c>
      <c r="O412" s="110" t="str">
        <f>IFERROR(VLOOKUP(B412,'02. MM-KLH'!$B$6:$T$823,14,0),"")</f>
        <v/>
      </c>
      <c r="P412" s="101" t="str">
        <f>IFERROR(VLOOKUP(B412,'02. MM-KLH'!$B$6:$T$823,15,0),"")</f>
        <v/>
      </c>
      <c r="Q412" s="101" t="str">
        <f>IFERROR(VLOOKUP(B412,'02. MM-KLH'!$B$6:$T$823,16,0),"")</f>
        <v/>
      </c>
      <c r="R412" s="101" t="str">
        <f>IFERROR(VLOOKUP(B412,'02. MM-KLH'!$B$6:$T$823,17,0),"")</f>
        <v/>
      </c>
      <c r="S412" s="110" t="str">
        <f>IFERROR(VLOOKUP(B412,'02. MM-KLH'!$B$6:$T$823,18,0),"")</f>
        <v/>
      </c>
      <c r="T412" s="111" t="str">
        <f>IFERROR(VLOOKUP(B412,'02. MM-KLH'!$B$6:$T$823,19,0),"")</f>
        <v/>
      </c>
      <c r="U412" s="863"/>
    </row>
    <row r="413" ht="13.5" customHeight="1" spans="1:21">
      <c r="A413" s="92" t="s">
        <v>3423</v>
      </c>
      <c r="B413" s="846" t="s">
        <v>3424</v>
      </c>
      <c r="C413" s="92">
        <f>SUM(C414,C455,C478,C488,C504,C535,C556,C569,C584,C590,C593,C606,C630,C470)</f>
        <v>236</v>
      </c>
      <c r="D413" s="873" t="str">
        <f>IFERROR(VLOOKUP(B413,'02. MM-KLH'!$B$6:$T$823,3,0),"")</f>
        <v/>
      </c>
      <c r="E413" s="873" t="str">
        <f>IFERROR(VLOOKUP(B413,'02. MM-KLH'!$B$6:$T$823,4,0),"")</f>
        <v/>
      </c>
      <c r="F413" s="91"/>
      <c r="G413" s="874" t="str">
        <f>IFERROR(VLOOKUP(B413,'02. MM-KLH'!$B$6:$T$823,6,0),"")</f>
        <v/>
      </c>
      <c r="H413" s="91"/>
      <c r="I413" s="374" t="str">
        <f>IFERROR(VLOOKUP(B413,'02. MM-KLH'!$B$6:$T$823,8,0),"")</f>
        <v/>
      </c>
      <c r="J413" s="875" t="str">
        <f>IFERROR(VLOOKUP(B413,'02. MM-KLH'!$B$6:$T$823,9,0),"")</f>
        <v/>
      </c>
      <c r="K413" s="374" t="str">
        <f>IFERROR(VLOOKUP(B413,'02. MM-KLH'!$B$6:$T$823,10,0),"")</f>
        <v/>
      </c>
      <c r="L413" s="876" t="str">
        <f>IFERROR(VLOOKUP(B413,'02. MM-KLH'!$B$6:$T$823,11,0),"")</f>
        <v/>
      </c>
      <c r="M413" s="877" t="str">
        <f>IFERROR(VLOOKUP(B413,'02. MM-KLH'!$B$6:$T$823,12,0),"")</f>
        <v/>
      </c>
      <c r="N413" s="878" t="str">
        <f>IFERROR(VLOOKUP(B413,'02. MM-KLH'!$B$6:$T$823,13,0),"")</f>
        <v/>
      </c>
      <c r="O413" s="878" t="str">
        <f>IFERROR(VLOOKUP(B413,'02. MM-KLH'!$B$6:$T$823,14,0),"")</f>
        <v/>
      </c>
      <c r="P413" s="374" t="str">
        <f>IFERROR(VLOOKUP(B413,'02. MM-KLH'!$B$6:$T$823,15,0),"")</f>
        <v/>
      </c>
      <c r="Q413" s="374" t="str">
        <f>IFERROR(VLOOKUP(B413,'02. MM-KLH'!$B$6:$T$823,16,0),"")</f>
        <v/>
      </c>
      <c r="R413" s="374" t="str">
        <f>IFERROR(VLOOKUP(B413,'02. MM-KLH'!$B$6:$T$823,17,0),"")</f>
        <v/>
      </c>
      <c r="S413" s="878" t="str">
        <f>IFERROR(VLOOKUP(B413,'02. MM-KLH'!$B$6:$T$823,18,0),"")</f>
        <v/>
      </c>
      <c r="T413" s="879" t="str">
        <f>IFERROR(VLOOKUP(B413,'02. MM-KLH'!$B$6:$T$823,19,0),"")</f>
        <v/>
      </c>
      <c r="U413" s="879" t="str">
        <f>IFERROR(VLOOKUP(C413,'02. MM-KLH'!$B$6:$T$823,19,0),"")</f>
        <v/>
      </c>
    </row>
    <row r="414" ht="13.5" customHeight="1" spans="1:21">
      <c r="A414" s="847" t="s">
        <v>290</v>
      </c>
      <c r="B414" s="848" t="s">
        <v>3425</v>
      </c>
      <c r="C414" s="849">
        <f>COUNTA(B415:B454)</f>
        <v>39</v>
      </c>
      <c r="D414" s="849" t="str">
        <f>IFERROR(VLOOKUP(B414,'02. MM-KLH'!$B$6:$T$823,3,0),"")</f>
        <v/>
      </c>
      <c r="E414" s="849" t="str">
        <f>IFERROR(VLOOKUP(B414,'02. MM-KLH'!$B$6:$T$823,4,0),"")</f>
        <v/>
      </c>
      <c r="F414" s="849"/>
      <c r="G414" s="849" t="str">
        <f>IFERROR(VLOOKUP(B414,'02. MM-KLH'!$B$6:$T$823,6,0),"")</f>
        <v/>
      </c>
      <c r="H414" s="849"/>
      <c r="I414" s="849" t="str">
        <f>IFERROR(VLOOKUP(B414,'02. MM-KLH'!$B$6:$T$823,8,0),"")</f>
        <v/>
      </c>
      <c r="J414" s="849" t="str">
        <f>IFERROR(VLOOKUP(B414,'02. MM-KLH'!$B$6:$T$823,9,0),"")</f>
        <v/>
      </c>
      <c r="K414" s="849" t="str">
        <f>IFERROR(VLOOKUP(B414,'02. MM-KLH'!$B$6:$T$823,10,0),"")</f>
        <v/>
      </c>
      <c r="L414" s="849" t="str">
        <f>IFERROR(VLOOKUP(B414,'02. MM-KLH'!$B$6:$T$823,11,0),"")</f>
        <v/>
      </c>
      <c r="M414" s="849" t="str">
        <f>IFERROR(VLOOKUP(B414,'02. MM-KLH'!$B$6:$T$823,12,0),"")</f>
        <v/>
      </c>
      <c r="N414" s="849" t="str">
        <f>IFERROR(VLOOKUP(B414,'02. MM-KLH'!$B$6:$T$823,13,0),"")</f>
        <v/>
      </c>
      <c r="O414" s="849" t="str">
        <f>IFERROR(VLOOKUP(B414,'02. MM-KLH'!$B$6:$T$823,14,0),"")</f>
        <v/>
      </c>
      <c r="P414" s="849" t="str">
        <f>IFERROR(VLOOKUP(B414,'02. MM-KLH'!$B$6:$T$823,15,0),"")</f>
        <v/>
      </c>
      <c r="Q414" s="849" t="str">
        <f>IFERROR(VLOOKUP(B414,'02. MM-KLH'!$B$6:$T$823,16,0),"")</f>
        <v/>
      </c>
      <c r="R414" s="849" t="str">
        <f>IFERROR(VLOOKUP(B414,'02. MM-KLH'!$B$6:$T$823,17,0),"")</f>
        <v/>
      </c>
      <c r="S414" s="849" t="str">
        <f>IFERROR(VLOOKUP(B414,'02. MM-KLH'!$B$6:$T$823,18,0),"")</f>
        <v/>
      </c>
      <c r="T414" s="849" t="str">
        <f>IFERROR(VLOOKUP(B414,'02. MM-KLH'!$B$6:$T$823,19,0),"")</f>
        <v/>
      </c>
      <c r="U414" s="849" t="str">
        <f>IFERROR(VLOOKUP(C414,'02. MM-KLH'!$B$6:$T$823,19,0),"")</f>
        <v/>
      </c>
    </row>
    <row r="415" ht="13.5" customHeight="1" spans="1:21">
      <c r="A415" s="101">
        <v>1</v>
      </c>
      <c r="B415" s="104" t="s">
        <v>1138</v>
      </c>
      <c r="C415" s="102">
        <f>IFERROR(VLOOKUP(B415,'02. MM-KLH'!$B$6:$T$823,2,0),"")</f>
        <v>0</v>
      </c>
      <c r="D415" s="103" t="str">
        <f>IFERROR(VLOOKUP(B415,'02. MM-KLH'!$B$6:$T$823,3,0),"")</f>
        <v>ATT-A23-0044</v>
      </c>
      <c r="E415" s="102">
        <f>IFERROR(VLOOKUP(B415,'02. MM-KLH'!$B$6:$T$823,4,0),"")</f>
        <v>0</v>
      </c>
      <c r="F415" s="104" t="s">
        <v>3426</v>
      </c>
      <c r="G415" s="102" t="str">
        <f>IFERROR(VLOOKUP(B415,'02. MM-KLH'!$B$6:$T$823,6,0),"")</f>
        <v>Xe nâng điện 1.5 tấn</v>
      </c>
      <c r="H415" s="101" t="s">
        <v>3427</v>
      </c>
      <c r="I415" s="101" t="str">
        <f>IFERROR(VLOOKUP(B415,'02. MM-KLH'!$B$6:$T$823,8,0),"")</f>
        <v>XN Chuối DP1</v>
      </c>
      <c r="J415" s="105">
        <f>IFERROR(VLOOKUP(B415,'02. MM-KLH'!$B$6:$T$823,9,0),"")</f>
        <v>0</v>
      </c>
      <c r="K415" s="101" t="str">
        <f>IFERROR(VLOOKUP(B415,'02. MM-KLH'!$B$6:$T$823,10,0),"")</f>
        <v>Bình thường</v>
      </c>
      <c r="L415" s="107">
        <f>IFERROR(VLOOKUP(B415,'02. MM-KLH'!$B$6:$T$823,11,0),"")</f>
        <v>0</v>
      </c>
      <c r="M415" s="864">
        <f>IFERROR(VLOOKUP(B415,'02. MM-KLH'!$B$6:$T$823,12,0),"")</f>
        <v>0</v>
      </c>
      <c r="N415" s="110" t="str">
        <f>IFERROR(VLOOKUP(B415,'02. MM-KLH'!$B$6:$T$823,13,0),"")</f>
        <v>BYD</v>
      </c>
      <c r="O415" s="110" t="str">
        <f>IFERROR(VLOOKUP(B415,'02. MM-KLH'!$B$6:$T$823,14,0),"")</f>
        <v>TRUNG QUỐC</v>
      </c>
      <c r="P415" s="101">
        <f>IFERROR(VLOOKUP(B415,'02. MM-KLH'!$B$6:$T$823,15,0),"")</f>
        <v>2019</v>
      </c>
      <c r="Q415" s="101" t="str">
        <f>IFERROR(VLOOKUP(B415,'02. MM-KLH'!$B$6:$T$823,16,0),"")</f>
        <v>ECB16S-B</v>
      </c>
      <c r="R415" s="101" t="str">
        <f>IFERROR(VLOOKUP(B415,'02. MM-KLH'!$B$6:$T$823,17,0),"")</f>
        <v>29HP</v>
      </c>
      <c r="S415" s="110">
        <f>IFERROR(VLOOKUP(B415,'02. MM-KLH'!$B$6:$T$823,18,0),"")</f>
        <v>1501190100</v>
      </c>
      <c r="T415" s="111" t="str">
        <f>IFERROR(VLOOKUP(B415,'02. MM-KLH'!$B$6:$T$823,19,0),"")</f>
        <v>TS0510598-2021</v>
      </c>
      <c r="U415" s="863" t="s">
        <v>451</v>
      </c>
    </row>
    <row r="416" ht="13.5" customHeight="1" spans="1:21">
      <c r="A416" s="101">
        <f t="shared" ref="A416:A453" si="18">A415+1</f>
        <v>2</v>
      </c>
      <c r="B416" s="104" t="s">
        <v>1144</v>
      </c>
      <c r="C416" s="102">
        <f>IFERROR(VLOOKUP(B416,'02. MM-KLH'!$B$6:$T$823,2,0),"")</f>
        <v>0</v>
      </c>
      <c r="D416" s="103" t="str">
        <f>IFERROR(VLOOKUP(B416,'02. MM-KLH'!$B$6:$T$823,3,0),"")</f>
        <v>A23-XNA-007</v>
      </c>
      <c r="E416" s="102">
        <f>IFERROR(VLOOKUP(B416,'02. MM-KLH'!$B$6:$T$823,4,0),"")</f>
        <v>0</v>
      </c>
      <c r="F416" s="104" t="s">
        <v>3401</v>
      </c>
      <c r="G416" s="102" t="str">
        <f>IFERROR(VLOOKUP(B416,'02. MM-KLH'!$B$6:$T$823,6,0),"")</f>
        <v>Xe nâng điện 2.5 tấn</v>
      </c>
      <c r="H416" s="101" t="s">
        <v>3427</v>
      </c>
      <c r="I416" s="101" t="str">
        <f>IFERROR(VLOOKUP(B416,'02. MM-KLH'!$B$6:$T$823,8,0),"")</f>
        <v>XN Chuối DP1</v>
      </c>
      <c r="J416" s="105">
        <f>IFERROR(VLOOKUP(B416,'02. MM-KLH'!$B$6:$T$823,9,0),"")</f>
        <v>46361</v>
      </c>
      <c r="K416" s="101" t="str">
        <f>IFERROR(VLOOKUP(B416,'02. MM-KLH'!$B$6:$T$823,10,0),"")</f>
        <v>Bình thường</v>
      </c>
      <c r="L416" s="107">
        <f>IFERROR(VLOOKUP(B416,'02. MM-KLH'!$B$6:$T$823,11,0),"")</f>
        <v>0</v>
      </c>
      <c r="M416" s="864" t="str">
        <f>IFERROR(VLOOKUP(B416,'02. MM-KLH'!$B$6:$T$823,12,0),"")</f>
        <v>Đầu tư mới</v>
      </c>
      <c r="N416" s="110" t="str">
        <f>IFERROR(VLOOKUP(B416,'02. MM-KLH'!$B$6:$T$823,13,0),"")</f>
        <v>LOVOL</v>
      </c>
      <c r="O416" s="110" t="str">
        <f>IFERROR(VLOOKUP(B416,'02. MM-KLH'!$B$6:$T$823,14,0),"")</f>
        <v>TRUNG QUỐC</v>
      </c>
      <c r="P416" s="101">
        <f>IFERROR(VLOOKUP(B416,'02. MM-KLH'!$B$6:$T$823,15,0),"")</f>
        <v>2026</v>
      </c>
      <c r="Q416" s="101" t="str">
        <f>IFERROR(VLOOKUP(B416,'02. MM-KLH'!$B$6:$T$823,16,0),"")</f>
        <v>FF25E</v>
      </c>
      <c r="R416" s="101" t="str">
        <f>IFERROR(VLOOKUP(B416,'02. MM-KLH'!$B$6:$T$823,17,0),"")</f>
        <v>13,68 HP</v>
      </c>
      <c r="S416" s="110" t="str">
        <f>IFERROR(VLOOKUP(B416,'02. MM-KLH'!$B$6:$T$823,18,0),"")</f>
        <v>C31293R50031</v>
      </c>
      <c r="T416" s="111">
        <f>IFERROR(VLOOKUP(B416,'02. MM-KLH'!$B$6:$T$823,19,0),"")</f>
        <v>0</v>
      </c>
      <c r="U416" s="863" t="s">
        <v>3343</v>
      </c>
    </row>
    <row r="417" ht="13.5" customHeight="1" spans="1:21">
      <c r="A417" s="101">
        <f t="shared" si="18"/>
        <v>3</v>
      </c>
      <c r="B417" s="104" t="s">
        <v>1378</v>
      </c>
      <c r="C417" s="102">
        <f>IFERROR(VLOOKUP(B417,'02. MM-KLH'!$B$6:$T$823,2,0),"")</f>
        <v>0</v>
      </c>
      <c r="D417" s="103" t="str">
        <f>IFERROR(VLOOKUP(B417,'02. MM-KLH'!$B$6:$T$823,3,0),"")</f>
        <v>ATT-A23-0044</v>
      </c>
      <c r="E417" s="102">
        <f>IFERROR(VLOOKUP(B417,'02. MM-KLH'!$B$6:$T$823,4,0),"")</f>
        <v>0</v>
      </c>
      <c r="F417" s="104" t="s">
        <v>3426</v>
      </c>
      <c r="G417" s="102" t="str">
        <f>IFERROR(VLOOKUP(B417,'02. MM-KLH'!$B$6:$T$823,6,0),"")</f>
        <v>Xe nâng tay điện 1.5 tấn</v>
      </c>
      <c r="H417" s="101" t="s">
        <v>3428</v>
      </c>
      <c r="I417" s="101" t="str">
        <f>IFERROR(VLOOKUP(B417,'02. MM-KLH'!$B$6:$T$823,8,0),"")</f>
        <v>XN Chuối DP3</v>
      </c>
      <c r="J417" s="105">
        <f>IFERROR(VLOOKUP(B417,'02. MM-KLH'!$B$6:$T$823,9,0),"")</f>
        <v>0</v>
      </c>
      <c r="K417" s="101" t="str">
        <f>IFERROR(VLOOKUP(B417,'02. MM-KLH'!$B$6:$T$823,10,0),"")</f>
        <v>Bình thường</v>
      </c>
      <c r="L417" s="107">
        <f>IFERROR(VLOOKUP(B417,'02. MM-KLH'!$B$6:$T$823,11,0),"")</f>
        <v>0</v>
      </c>
      <c r="M417" s="864" t="str">
        <f>IFERROR(VLOOKUP(B417,'02. MM-KLH'!$B$6:$T$823,12,0),"")</f>
        <v>XĐG DP4A</v>
      </c>
      <c r="N417" s="110" t="str">
        <f>IFERROR(VLOOKUP(B417,'02. MM-KLH'!$B$6:$T$823,13,0),"")</f>
        <v>HELI</v>
      </c>
      <c r="O417" s="110" t="str">
        <f>IFERROR(VLOOKUP(B417,'02. MM-KLH'!$B$6:$T$823,14,0),"")</f>
        <v>TRUNG QUỐC</v>
      </c>
      <c r="P417" s="101">
        <f>IFERROR(VLOOKUP(B417,'02. MM-KLH'!$B$6:$T$823,15,0),"")</f>
        <v>2022</v>
      </c>
      <c r="Q417" s="101" t="str">
        <f>IFERROR(VLOOKUP(B417,'02. MM-KLH'!$B$6:$T$823,16,0),"")</f>
        <v>CDD15J</v>
      </c>
      <c r="R417" s="101" t="str">
        <f>IFERROR(VLOOKUP(B417,'02. MM-KLH'!$B$6:$T$823,17,0),"")</f>
        <v>24V-1.5T</v>
      </c>
      <c r="S417" s="110" t="str">
        <f>IFERROR(VLOOKUP(B417,'02. MM-KLH'!$B$6:$T$823,18,0),"")</f>
        <v>08015JM7921</v>
      </c>
      <c r="T417" s="111" t="str">
        <f>IFERROR(VLOOKUP(B417,'02. MM-KLH'!$B$6:$T$823,19,0),"")</f>
        <v>NIL</v>
      </c>
      <c r="U417" s="863" t="s">
        <v>451</v>
      </c>
    </row>
    <row r="418" ht="13.5" customHeight="1" spans="1:21">
      <c r="A418" s="101">
        <f t="shared" si="18"/>
        <v>4</v>
      </c>
      <c r="B418" s="104" t="s">
        <v>1385</v>
      </c>
      <c r="C418" s="102">
        <f>IFERROR(VLOOKUP(B418,'02. MM-KLH'!$B$6:$T$823,2,0),"")</f>
        <v>0</v>
      </c>
      <c r="D418" s="103" t="str">
        <f>IFERROR(VLOOKUP(B418,'02. MM-KLH'!$B$6:$T$823,3,0),"")</f>
        <v>ATT-A23-0044</v>
      </c>
      <c r="E418" s="102">
        <f>IFERROR(VLOOKUP(B418,'02. MM-KLH'!$B$6:$T$823,4,0),"")</f>
        <v>0</v>
      </c>
      <c r="F418" s="104" t="s">
        <v>3426</v>
      </c>
      <c r="G418" s="102" t="str">
        <f>IFERROR(VLOOKUP(B418,'02. MM-KLH'!$B$6:$T$823,6,0),"")</f>
        <v>Xe nâng điện 1.5 tấn</v>
      </c>
      <c r="H418" s="101" t="s">
        <v>3427</v>
      </c>
      <c r="I418" s="101" t="str">
        <f>IFERROR(VLOOKUP(B418,'02. MM-KLH'!$B$6:$T$823,8,0),"")</f>
        <v>XN Chuối DP3</v>
      </c>
      <c r="J418" s="105">
        <f>IFERROR(VLOOKUP(B418,'02. MM-KLH'!$B$6:$T$823,9,0),"")</f>
        <v>0</v>
      </c>
      <c r="K418" s="101" t="str">
        <f>IFERROR(VLOOKUP(B418,'02. MM-KLH'!$B$6:$T$823,10,0),"")</f>
        <v>Bình thường</v>
      </c>
      <c r="L418" s="107">
        <f>IFERROR(VLOOKUP(B418,'02. MM-KLH'!$B$6:$T$823,11,0),"")</f>
        <v>0</v>
      </c>
      <c r="M418" s="864">
        <f>IFERROR(VLOOKUP(B418,'02. MM-KLH'!$B$6:$T$823,12,0),"")</f>
        <v>0</v>
      </c>
      <c r="N418" s="110" t="str">
        <f>IFERROR(VLOOKUP(B418,'02. MM-KLH'!$B$6:$T$823,13,0),"")</f>
        <v>KOMATSU</v>
      </c>
      <c r="O418" s="110" t="str">
        <f>IFERROR(VLOOKUP(B418,'02. MM-KLH'!$B$6:$T$823,14,0),"")</f>
        <v>NHẬT BẢN</v>
      </c>
      <c r="P418" s="101">
        <f>IFERROR(VLOOKUP(B418,'02. MM-KLH'!$B$6:$T$823,15,0),"")</f>
        <v>2008</v>
      </c>
      <c r="Q418" s="101" t="str">
        <f>IFERROR(VLOOKUP(B418,'02. MM-KLH'!$B$6:$T$823,16,0),"")</f>
        <v>FB15EX-11</v>
      </c>
      <c r="R418" s="101">
        <f>IFERROR(VLOOKUP(B418,'02. MM-KLH'!$B$6:$T$823,17,0),"")</f>
        <v>0</v>
      </c>
      <c r="S418" s="110">
        <f>IFERROR(VLOOKUP(B418,'02. MM-KLH'!$B$6:$T$823,18,0),"")</f>
        <v>809168</v>
      </c>
      <c r="T418" s="111">
        <f>IFERROR(VLOOKUP(B418,'02. MM-KLH'!$B$6:$T$823,19,0),"")</f>
        <v>39630</v>
      </c>
      <c r="U418" s="863" t="s">
        <v>451</v>
      </c>
    </row>
    <row r="419" ht="13.5" customHeight="1" spans="1:21">
      <c r="A419" s="101">
        <f t="shared" si="18"/>
        <v>5</v>
      </c>
      <c r="B419" s="104" t="s">
        <v>1387</v>
      </c>
      <c r="C419" s="102">
        <f>IFERROR(VLOOKUP(B419,'02. MM-KLH'!$B$6:$T$823,2,0),"")</f>
        <v>0</v>
      </c>
      <c r="D419" s="103" t="str">
        <f>IFERROR(VLOOKUP(B419,'02. MM-KLH'!$B$6:$T$823,3,0),"")</f>
        <v>A23-XNA-003</v>
      </c>
      <c r="E419" s="102">
        <f>IFERROR(VLOOKUP(B419,'02. MM-KLH'!$B$6:$T$823,4,0),"")</f>
        <v>0</v>
      </c>
      <c r="F419" s="104" t="s">
        <v>3401</v>
      </c>
      <c r="G419" s="102" t="str">
        <f>IFERROR(VLOOKUP(B419,'02. MM-KLH'!$B$6:$T$823,6,0),"")</f>
        <v>Xe nâng điện 1.5 tấn</v>
      </c>
      <c r="H419" s="101" t="s">
        <v>3427</v>
      </c>
      <c r="I419" s="101" t="str">
        <f>IFERROR(VLOOKUP(B419,'02. MM-KLH'!$B$6:$T$823,8,0),"")</f>
        <v>XN Chuối DP3</v>
      </c>
      <c r="J419" s="105">
        <f>IFERROR(VLOOKUP(B419,'02. MM-KLH'!$B$6:$T$823,9,0),"")</f>
        <v>45669</v>
      </c>
      <c r="K419" s="101" t="str">
        <f>IFERROR(VLOOKUP(B419,'02. MM-KLH'!$B$6:$T$823,10,0),"")</f>
        <v>Bình thường</v>
      </c>
      <c r="L419" s="107">
        <f>IFERROR(VLOOKUP(B419,'02. MM-KLH'!$B$6:$T$823,11,0),"")</f>
        <v>0</v>
      </c>
      <c r="M419" s="864" t="str">
        <f>IFERROR(VLOOKUP(B419,'02. MM-KLH'!$B$6:$T$823,12,0),"")</f>
        <v>Đầu tư mới</v>
      </c>
      <c r="N419" s="110" t="str">
        <f>IFERROR(VLOOKUP(B419,'02. MM-KLH'!$B$6:$T$823,13,0),"")</f>
        <v>LOVOL</v>
      </c>
      <c r="O419" s="110" t="str">
        <f>IFERROR(VLOOKUP(B419,'02. MM-KLH'!$B$6:$T$823,14,0),"")</f>
        <v>TRUNG QUỐC</v>
      </c>
      <c r="P419" s="101">
        <f>IFERROR(VLOOKUP(B419,'02. MM-KLH'!$B$6:$T$823,15,0),"")</f>
        <v>2025</v>
      </c>
      <c r="Q419" s="101" t="str">
        <f>IFERROR(VLOOKUP(B419,'02. MM-KLH'!$B$6:$T$823,16,0),"")</f>
        <v>FF15E</v>
      </c>
      <c r="R419" s="101" t="str">
        <f>IFERROR(VLOOKUP(B419,'02. MM-KLH'!$B$6:$T$823,17,0),"")</f>
        <v>12HP</v>
      </c>
      <c r="S419" s="110" t="str">
        <f>IFERROR(VLOOKUP(B419,'02. MM-KLH'!$B$6:$T$823,18,0),"")</f>
        <v>C11292P50328</v>
      </c>
      <c r="T419" s="111" t="str">
        <f>IFERROR(VLOOKUP(B419,'02. MM-KLH'!$B$6:$T$823,19,0),"")</f>
        <v>JB253801347</v>
      </c>
      <c r="U419" s="863" t="s">
        <v>3343</v>
      </c>
    </row>
    <row r="420" ht="13.5" customHeight="1" spans="1:21">
      <c r="A420" s="101">
        <f t="shared" si="18"/>
        <v>6</v>
      </c>
      <c r="B420" s="104" t="s">
        <v>1391</v>
      </c>
      <c r="C420" s="102">
        <f>IFERROR(VLOOKUP(B420,'02. MM-KLH'!$B$6:$T$823,2,0),"")</f>
        <v>0</v>
      </c>
      <c r="D420" s="103" t="str">
        <f>IFERROR(VLOOKUP(B420,'02. MM-KLH'!$B$6:$T$823,3,0),"")</f>
        <v>A23-XNA-006</v>
      </c>
      <c r="E420" s="102">
        <f>IFERROR(VLOOKUP(B420,'02. MM-KLH'!$B$6:$T$823,4,0),"")</f>
        <v>0</v>
      </c>
      <c r="F420" s="104" t="s">
        <v>3429</v>
      </c>
      <c r="G420" s="102" t="str">
        <f>IFERROR(VLOOKUP(B420,'02. MM-KLH'!$B$6:$T$823,6,0),"")</f>
        <v>Xe nâng điện 2.5 tấn</v>
      </c>
      <c r="H420" s="101" t="s">
        <v>3427</v>
      </c>
      <c r="I420" s="101" t="str">
        <f>IFERROR(VLOOKUP(B420,'02. MM-KLH'!$B$6:$T$823,8,0),"")</f>
        <v>XN Chuối DP3</v>
      </c>
      <c r="J420" s="105">
        <f>IFERROR(VLOOKUP(B420,'02. MM-KLH'!$B$6:$T$823,9,0),"")</f>
        <v>46361</v>
      </c>
      <c r="K420" s="101" t="str">
        <f>IFERROR(VLOOKUP(B420,'02. MM-KLH'!$B$6:$T$823,10,0),"")</f>
        <v>Bình thường</v>
      </c>
      <c r="L420" s="107">
        <f>IFERROR(VLOOKUP(B420,'02. MM-KLH'!$B$6:$T$823,11,0),"")</f>
        <v>0</v>
      </c>
      <c r="M420" s="864" t="str">
        <f>IFERROR(VLOOKUP(B420,'02. MM-KLH'!$B$6:$T$823,12,0),"")</f>
        <v>Đầu tư mới</v>
      </c>
      <c r="N420" s="110" t="str">
        <f>IFERROR(VLOOKUP(B420,'02. MM-KLH'!$B$6:$T$823,13,0),"")</f>
        <v>LOVOL</v>
      </c>
      <c r="O420" s="110" t="str">
        <f>IFERROR(VLOOKUP(B420,'02. MM-KLH'!$B$6:$T$823,14,0),"")</f>
        <v>TRUNG QUỐC</v>
      </c>
      <c r="P420" s="101">
        <f>IFERROR(VLOOKUP(B420,'02. MM-KLH'!$B$6:$T$823,15,0),"")</f>
        <v>2026</v>
      </c>
      <c r="Q420" s="101" t="str">
        <f>IFERROR(VLOOKUP(B420,'02. MM-KLH'!$B$6:$T$823,16,0),"")</f>
        <v>FF25E</v>
      </c>
      <c r="R420" s="101" t="str">
        <f>IFERROR(VLOOKUP(B420,'02. MM-KLH'!$B$6:$T$823,17,0),"")</f>
        <v>13,68 HP</v>
      </c>
      <c r="S420" s="110" t="str">
        <f>IFERROR(VLOOKUP(B420,'02. MM-KLH'!$B$6:$T$823,18,0),"")</f>
        <v>C31293R50033</v>
      </c>
      <c r="T420" s="111">
        <f>IFERROR(VLOOKUP(B420,'02. MM-KLH'!$B$6:$T$823,19,0),"")</f>
        <v>0</v>
      </c>
      <c r="U420" s="863" t="s">
        <v>3343</v>
      </c>
    </row>
    <row r="421" ht="13.5" customHeight="1" spans="1:21">
      <c r="A421" s="101">
        <f t="shared" si="18"/>
        <v>7</v>
      </c>
      <c r="B421" s="104" t="s">
        <v>1296</v>
      </c>
      <c r="C421" s="102">
        <f>IFERROR(VLOOKUP(B421,'02. MM-KLH'!$B$6:$T$823,2,0),"")</f>
        <v>0</v>
      </c>
      <c r="D421" s="103" t="str">
        <f>IFERROR(VLOOKUP(B421,'02. MM-KLH'!$B$6:$T$823,3,0),"")</f>
        <v>A23-XNA-004</v>
      </c>
      <c r="E421" s="102">
        <f>IFERROR(VLOOKUP(B421,'02. MM-KLH'!$B$6:$T$823,4,0),"")</f>
        <v>0</v>
      </c>
      <c r="F421" s="104" t="s">
        <v>3429</v>
      </c>
      <c r="G421" s="102" t="str">
        <f>IFERROR(VLOOKUP(B421,'02. MM-KLH'!$B$6:$T$823,6,0),"")</f>
        <v>Xe nâng điện 2.5 tấn</v>
      </c>
      <c r="H421" s="101" t="s">
        <v>3427</v>
      </c>
      <c r="I421" s="101" t="str">
        <f>IFERROR(VLOOKUP(B421,'02. MM-KLH'!$B$6:$T$823,8,0),"")</f>
        <v>XN Chuối DP2</v>
      </c>
      <c r="J421" s="105">
        <f>IFERROR(VLOOKUP(B421,'02. MM-KLH'!$B$6:$T$823,9,0),"")</f>
        <v>45789</v>
      </c>
      <c r="K421" s="101" t="str">
        <f>IFERROR(VLOOKUP(B421,'02. MM-KLH'!$B$6:$T$823,10,0),"")</f>
        <v>Bình thường</v>
      </c>
      <c r="L421" s="107">
        <f>IFERROR(VLOOKUP(B421,'02. MM-KLH'!$B$6:$T$823,11,0),"")</f>
        <v>0</v>
      </c>
      <c r="M421" s="864" t="str">
        <f>IFERROR(VLOOKUP(B421,'02. MM-KLH'!$B$6:$T$823,12,0),"")</f>
        <v>Đầu tư mới</v>
      </c>
      <c r="N421" s="110" t="str">
        <f>IFERROR(VLOOKUP(B421,'02. MM-KLH'!$B$6:$T$823,13,0),"")</f>
        <v>LOVOL</v>
      </c>
      <c r="O421" s="110" t="str">
        <f>IFERROR(VLOOKUP(B421,'02. MM-KLH'!$B$6:$T$823,14,0),"")</f>
        <v>TRUNG QUỐC</v>
      </c>
      <c r="P421" s="101">
        <f>IFERROR(VLOOKUP(B421,'02. MM-KLH'!$B$6:$T$823,15,0),"")</f>
        <v>2025</v>
      </c>
      <c r="Q421" s="101" t="str">
        <f>IFERROR(VLOOKUP(B421,'02. MM-KLH'!$B$6:$T$823,16,0),"")</f>
        <v>FF25E</v>
      </c>
      <c r="R421" s="101" t="str">
        <f>IFERROR(VLOOKUP(B421,'02. MM-KLH'!$B$6:$T$823,17,0),"")</f>
        <v>14HP</v>
      </c>
      <c r="S421" s="110" t="str">
        <f>IFERROR(VLOOKUP(B421,'02. MM-KLH'!$B$6:$T$823,18,0),"")</f>
        <v>C31293P50544</v>
      </c>
      <c r="T421" s="111" t="str">
        <f>IFERROR(VLOOKUP(B421,'02. MM-KLH'!$B$6:$T$823,19,0),"")</f>
        <v>JB253701317</v>
      </c>
      <c r="U421" s="863" t="s">
        <v>3343</v>
      </c>
    </row>
    <row r="422" ht="13.5" customHeight="1" spans="1:21">
      <c r="A422" s="101">
        <f t="shared" si="18"/>
        <v>8</v>
      </c>
      <c r="B422" s="104" t="s">
        <v>1301</v>
      </c>
      <c r="C422" s="102">
        <f>IFERROR(VLOOKUP(B422,'02. MM-KLH'!$B$6:$T$823,2,0),"")</f>
        <v>0</v>
      </c>
      <c r="D422" s="103" t="str">
        <f>IFERROR(VLOOKUP(B422,'02. MM-KLH'!$B$6:$T$823,3,0),"")</f>
        <v>A23-XNA-005</v>
      </c>
      <c r="E422" s="102">
        <f>IFERROR(VLOOKUP(B422,'02. MM-KLH'!$B$6:$T$823,4,0),"")</f>
        <v>0</v>
      </c>
      <c r="F422" s="104" t="s">
        <v>3430</v>
      </c>
      <c r="G422" s="102" t="str">
        <f>IFERROR(VLOOKUP(B422,'02. MM-KLH'!$B$6:$T$823,6,0),"")</f>
        <v>Xe nâng điện 1.5 tấn</v>
      </c>
      <c r="H422" s="101" t="s">
        <v>3427</v>
      </c>
      <c r="I422" s="101" t="str">
        <f>IFERROR(VLOOKUP(B422,'02. MM-KLH'!$B$6:$T$823,8,0),"")</f>
        <v>XN Chuối DP2</v>
      </c>
      <c r="J422" s="105">
        <f>IFERROR(VLOOKUP(B422,'02. MM-KLH'!$B$6:$T$823,9,0),"")</f>
        <v>46361</v>
      </c>
      <c r="K422" s="101" t="str">
        <f>IFERROR(VLOOKUP(B422,'02. MM-KLH'!$B$6:$T$823,10,0),"")</f>
        <v>Bình thường</v>
      </c>
      <c r="L422" s="107">
        <f>IFERROR(VLOOKUP(B422,'02. MM-KLH'!$B$6:$T$823,11,0),"")</f>
        <v>0</v>
      </c>
      <c r="M422" s="864" t="str">
        <f>IFERROR(VLOOKUP(B422,'02. MM-KLH'!$B$6:$T$823,12,0),"")</f>
        <v>Đầu tư mới</v>
      </c>
      <c r="N422" s="110" t="str">
        <f>IFERROR(VLOOKUP(B422,'02. MM-KLH'!$B$6:$T$823,13,0),"")</f>
        <v>LOVOL</v>
      </c>
      <c r="O422" s="110" t="str">
        <f>IFERROR(VLOOKUP(B422,'02. MM-KLH'!$B$6:$T$823,14,0),"")</f>
        <v>TRUNG QUỐC</v>
      </c>
      <c r="P422" s="101">
        <f>IFERROR(VLOOKUP(B422,'02. MM-KLH'!$B$6:$T$823,15,0),"")</f>
        <v>2026</v>
      </c>
      <c r="Q422" s="101" t="str">
        <f>IFERROR(VLOOKUP(B422,'02. MM-KLH'!$B$6:$T$823,16,0),"")</f>
        <v>FF15E</v>
      </c>
      <c r="R422" s="101" t="str">
        <f>IFERROR(VLOOKUP(B422,'02. MM-KLH'!$B$6:$T$823,17,0),"")</f>
        <v>11,8 HP</v>
      </c>
      <c r="S422" s="110" t="str">
        <f>IFERROR(VLOOKUP(B422,'02. MM-KLH'!$B$6:$T$823,18,0),"")</f>
        <v>C31293R50030</v>
      </c>
      <c r="T422" s="111">
        <f>IFERROR(VLOOKUP(B422,'02. MM-KLH'!$B$6:$T$823,19,0),"")</f>
        <v>0</v>
      </c>
      <c r="U422" s="863" t="s">
        <v>3343</v>
      </c>
    </row>
    <row r="423" ht="13.5" customHeight="1" spans="1:21">
      <c r="A423" s="101">
        <f t="shared" si="18"/>
        <v>9</v>
      </c>
      <c r="B423" s="104" t="s">
        <v>1554</v>
      </c>
      <c r="C423" s="102" t="str">
        <f>IFERROR(VLOOKUP(B423,'02. MM-KLH'!$B$6:$T$823,2,0),"")</f>
        <v>XL4-XNA-001</v>
      </c>
      <c r="D423" s="103" t="str">
        <f>IFERROR(VLOOKUP(B423,'02. MM-KLH'!$B$6:$T$823,3,0),"")</f>
        <v/>
      </c>
      <c r="E423" s="102">
        <f>IFERROR(VLOOKUP(B423,'02. MM-KLH'!$B$6:$T$823,4,0),"")</f>
        <v>0</v>
      </c>
      <c r="F423" s="104"/>
      <c r="G423" s="102" t="str">
        <f>IFERROR(VLOOKUP(B423,'02. MM-KLH'!$B$6:$T$823,6,0),"")</f>
        <v>Xe nâng điện 1.5 tấn</v>
      </c>
      <c r="H423" s="101" t="s">
        <v>3427</v>
      </c>
      <c r="I423" s="101" t="str">
        <f>IFERROR(VLOOKUP(B423,'02. MM-KLH'!$B$6:$T$823,8,0),"")</f>
        <v>XN Chuối LP1</v>
      </c>
      <c r="J423" s="105">
        <f>IFERROR(VLOOKUP(B423,'02. MM-KLH'!$B$6:$T$823,9,0),"")</f>
        <v>0</v>
      </c>
      <c r="K423" s="101" t="str">
        <f>IFERROR(VLOOKUP(B423,'02. MM-KLH'!$B$6:$T$823,10,0),"")</f>
        <v>Bình thường</v>
      </c>
      <c r="L423" s="107">
        <f>IFERROR(VLOOKUP(B423,'02. MM-KLH'!$B$6:$T$823,11,0),"")</f>
        <v>0</v>
      </c>
      <c r="M423" s="864" t="str">
        <f>IFERROR(VLOOKUP(B423,'02. MM-KLH'!$B$6:$T$823,12,0),"")</f>
        <v>-Đ.chuyển từ LP4 sang LP1 ngày 22.11.2024</v>
      </c>
      <c r="N423" s="110" t="str">
        <f>IFERROR(VLOOKUP(B423,'02. MM-KLH'!$B$6:$T$823,13,0),"")</f>
        <v>BYD</v>
      </c>
      <c r="O423" s="110" t="str">
        <f>IFERROR(VLOOKUP(B423,'02. MM-KLH'!$B$6:$T$823,14,0),"")</f>
        <v>TRUNG QUỐC</v>
      </c>
      <c r="P423" s="101">
        <f>IFERROR(VLOOKUP(B423,'02. MM-KLH'!$B$6:$T$823,15,0),"")</f>
        <v>2019</v>
      </c>
      <c r="Q423" s="101" t="str">
        <f>IFERROR(VLOOKUP(B423,'02. MM-KLH'!$B$6:$T$823,16,0),"")</f>
        <v>ECB16S-B</v>
      </c>
      <c r="R423" s="101" t="str">
        <f>IFERROR(VLOOKUP(B423,'02. MM-KLH'!$B$6:$T$823,17,0),"")</f>
        <v>1.5TẤN</v>
      </c>
      <c r="S423" s="110">
        <f>IFERROR(VLOOKUP(B423,'02. MM-KLH'!$B$6:$T$823,18,0),"")</f>
        <v>1501190010</v>
      </c>
      <c r="T423" s="111" t="str">
        <f>IFERROR(VLOOKUP(B423,'02. MM-KLH'!$B$6:$T$823,19,0),"")</f>
        <v>CCN</v>
      </c>
      <c r="U423" s="863" t="s">
        <v>451</v>
      </c>
    </row>
    <row r="424" ht="13.5" customHeight="1" spans="1:21">
      <c r="A424" s="101">
        <f t="shared" si="18"/>
        <v>10</v>
      </c>
      <c r="B424" s="104" t="s">
        <v>1558</v>
      </c>
      <c r="C424" s="102">
        <f>IFERROR(VLOOKUP(B424,'02. MM-KLH'!$B$6:$T$823,2,0),"")</f>
        <v>0</v>
      </c>
      <c r="D424" s="103" t="str">
        <f>IFERROR(VLOOKUP(B424,'02. MM-KLH'!$B$6:$T$823,3,0),"")</f>
        <v>A24-XNA-002</v>
      </c>
      <c r="E424" s="102">
        <f>IFERROR(VLOOKUP(B424,'02. MM-KLH'!$B$6:$T$823,4,0),"")</f>
        <v>0</v>
      </c>
      <c r="F424" s="104"/>
      <c r="G424" s="102" t="str">
        <f>IFERROR(VLOOKUP(B424,'02. MM-KLH'!$B$6:$T$823,6,0),"")</f>
        <v>Xe nâng điện 2.5 tấn</v>
      </c>
      <c r="H424" s="101" t="s">
        <v>3427</v>
      </c>
      <c r="I424" s="101" t="str">
        <f>IFERROR(VLOOKUP(B424,'02. MM-KLH'!$B$6:$T$823,8,0),"")</f>
        <v>XN Chuối LP1</v>
      </c>
      <c r="J424" s="105">
        <f>IFERROR(VLOOKUP(B424,'02. MM-KLH'!$B$6:$T$823,9,0),"")</f>
        <v>46361</v>
      </c>
      <c r="K424" s="101" t="str">
        <f>IFERROR(VLOOKUP(B424,'02. MM-KLH'!$B$6:$T$823,10,0),"")</f>
        <v>Bình thường</v>
      </c>
      <c r="L424" s="107">
        <f>IFERROR(VLOOKUP(B424,'02. MM-KLH'!$B$6:$T$823,11,0),"")</f>
        <v>0</v>
      </c>
      <c r="M424" s="864" t="str">
        <f>IFERROR(VLOOKUP(B424,'02. MM-KLH'!$B$6:$T$823,12,0),"")</f>
        <v>Đầu tư mới</v>
      </c>
      <c r="N424" s="110" t="str">
        <f>IFERROR(VLOOKUP(B424,'02. MM-KLH'!$B$6:$T$823,13,0),"")</f>
        <v>LOVOL</v>
      </c>
      <c r="O424" s="110" t="str">
        <f>IFERROR(VLOOKUP(B424,'02. MM-KLH'!$B$6:$T$823,14,0),"")</f>
        <v>TRUNG QUỐC</v>
      </c>
      <c r="P424" s="101">
        <f>IFERROR(VLOOKUP(B424,'02. MM-KLH'!$B$6:$T$823,15,0),"")</f>
        <v>2026</v>
      </c>
      <c r="Q424" s="101" t="str">
        <f>IFERROR(VLOOKUP(B424,'02. MM-KLH'!$B$6:$T$823,16,0),"")</f>
        <v>FF25E</v>
      </c>
      <c r="R424" s="101" t="str">
        <f>IFERROR(VLOOKUP(B424,'02. MM-KLH'!$B$6:$T$823,17,0),"")</f>
        <v>13,68 HP</v>
      </c>
      <c r="S424" s="110" t="str">
        <f>IFERROR(VLOOKUP(B424,'02. MM-KLH'!$B$6:$T$823,18,0),"")</f>
        <v>C31293R50032</v>
      </c>
      <c r="T424" s="111">
        <f>IFERROR(VLOOKUP(B424,'02. MM-KLH'!$B$6:$T$823,19,0),"")</f>
        <v>0</v>
      </c>
      <c r="U424" s="863" t="s">
        <v>3343</v>
      </c>
    </row>
    <row r="425" ht="13.5" customHeight="1" spans="1:21">
      <c r="A425" s="101">
        <f t="shared" si="18"/>
        <v>11</v>
      </c>
      <c r="B425" s="104" t="s">
        <v>2141</v>
      </c>
      <c r="C425" s="102">
        <f>IFERROR(VLOOKUP(B425,'02. MM-KLH'!$B$6:$T$823,2,0),"")</f>
        <v>0</v>
      </c>
      <c r="D425" s="103" t="str">
        <f>IFERROR(VLOOKUP(B425,'02. MM-KLH'!$B$6:$T$823,3,0),"")</f>
        <v>ATT-A22-0055</v>
      </c>
      <c r="E425" s="102">
        <f>IFERROR(VLOOKUP(B425,'02. MM-KLH'!$B$6:$T$823,4,0),"")</f>
        <v>0</v>
      </c>
      <c r="F425" s="104" t="s">
        <v>3431</v>
      </c>
      <c r="G425" s="102" t="str">
        <f>IFERROR(VLOOKUP(B425,'02. MM-KLH'!$B$6:$T$823,6,0),"")</f>
        <v>Xe nâng điện 1.5 tấn</v>
      </c>
      <c r="H425" s="101" t="s">
        <v>3427</v>
      </c>
      <c r="I425" s="101" t="str">
        <f>IFERROR(VLOOKUP(B425,'02. MM-KLH'!$B$6:$T$823,8,0),"")</f>
        <v>XN Bò AD</v>
      </c>
      <c r="J425" s="105">
        <f>IFERROR(VLOOKUP(B425,'02. MM-KLH'!$B$6:$T$823,9,0),"")</f>
        <v>0</v>
      </c>
      <c r="K425" s="101" t="str">
        <f>IFERROR(VLOOKUP(B425,'02. MM-KLH'!$B$6:$T$823,10,0),"")</f>
        <v>Bình thường</v>
      </c>
      <c r="L425" s="107">
        <f>IFERROR(VLOOKUP(B425,'02. MM-KLH'!$B$6:$T$823,11,0),"")</f>
        <v>0</v>
      </c>
      <c r="M425" s="864">
        <f>IFERROR(VLOOKUP(B425,'02. MM-KLH'!$B$6:$T$823,12,0),"")</f>
        <v>0</v>
      </c>
      <c r="N425" s="110" t="str">
        <f>IFERROR(VLOOKUP(B425,'02. MM-KLH'!$B$6:$T$823,13,0),"")</f>
        <v>KOMATSU</v>
      </c>
      <c r="O425" s="110" t="str">
        <f>IFERROR(VLOOKUP(B425,'02. MM-KLH'!$B$6:$T$823,14,0),"")</f>
        <v>NHẬT BẢN</v>
      </c>
      <c r="P425" s="101">
        <f>IFERROR(VLOOKUP(B425,'02. MM-KLH'!$B$6:$T$823,15,0),"")</f>
        <v>2015</v>
      </c>
      <c r="Q425" s="101" t="str">
        <f>IFERROR(VLOOKUP(B425,'02. MM-KLH'!$B$6:$T$823,16,0),"")</f>
        <v>FB15HB-12</v>
      </c>
      <c r="R425" s="101" t="str">
        <f>IFERROR(VLOOKUP(B425,'02. MM-KLH'!$B$6:$T$823,17,0),"")</f>
        <v>48V/280AH</v>
      </c>
      <c r="S425" s="110">
        <f>IFERROR(VLOOKUP(B425,'02. MM-KLH'!$B$6:$T$823,18,0),"")</f>
        <v>838092</v>
      </c>
      <c r="T425" s="111" t="str">
        <f>IFERROR(VLOOKUP(B425,'02. MM-KLH'!$B$6:$T$823,19,0),"")</f>
        <v>2C09/11</v>
      </c>
      <c r="U425" s="863" t="s">
        <v>451</v>
      </c>
    </row>
    <row r="426" ht="13.5" customHeight="1" spans="1:21">
      <c r="A426" s="101">
        <f t="shared" si="18"/>
        <v>12</v>
      </c>
      <c r="B426" s="104" t="s">
        <v>2148</v>
      </c>
      <c r="C426" s="102">
        <f>IFERROR(VLOOKUP(B426,'02. MM-KLH'!$B$6:$T$823,2,0),"")</f>
        <v>0</v>
      </c>
      <c r="D426" s="103" t="str">
        <f>IFERROR(VLOOKUP(B426,'02. MM-KLH'!$B$6:$T$823,3,0),"")</f>
        <v>ATT-A22-0055</v>
      </c>
      <c r="E426" s="102">
        <f>IFERROR(VLOOKUP(B426,'02. MM-KLH'!$B$6:$T$823,4,0),"")</f>
        <v>0</v>
      </c>
      <c r="F426" s="104" t="s">
        <v>3431</v>
      </c>
      <c r="G426" s="102" t="str">
        <f>IFERROR(VLOOKUP(B426,'02. MM-KLH'!$B$6:$T$823,6,0),"")</f>
        <v>Xe nâng điện 2.5 tấn</v>
      </c>
      <c r="H426" s="101" t="s">
        <v>3427</v>
      </c>
      <c r="I426" s="101" t="str">
        <f>IFERROR(VLOOKUP(B426,'02. MM-KLH'!$B$6:$T$823,8,0),"")</f>
        <v>XN Bò AD</v>
      </c>
      <c r="J426" s="105">
        <f>IFERROR(VLOOKUP(B426,'02. MM-KLH'!$B$6:$T$823,9,0),"")</f>
        <v>0</v>
      </c>
      <c r="K426" s="101" t="str">
        <f>IFERROR(VLOOKUP(B426,'02. MM-KLH'!$B$6:$T$823,10,0),"")</f>
        <v>Bình thường</v>
      </c>
      <c r="L426" s="107">
        <f>IFERROR(VLOOKUP(B426,'02. MM-KLH'!$B$6:$T$823,11,0),"")</f>
        <v>0</v>
      </c>
      <c r="M426" s="864" t="str">
        <f>IFERROR(VLOOKUP(B426,'02. MM-KLH'!$B$6:$T$823,12,0),"")</f>
        <v>Xe đã qua sử dụng</v>
      </c>
      <c r="N426" s="110" t="str">
        <f>IFERROR(VLOOKUP(B426,'02. MM-KLH'!$B$6:$T$823,13,0),"")</f>
        <v>KOMATSU</v>
      </c>
      <c r="O426" s="110" t="str">
        <f>IFERROR(VLOOKUP(B426,'02. MM-KLH'!$B$6:$T$823,14,0),"")</f>
        <v>NHẬT BẢN</v>
      </c>
      <c r="P426" s="101">
        <f>IFERROR(VLOOKUP(B426,'02. MM-KLH'!$B$6:$T$823,15,0),"")</f>
        <v>0</v>
      </c>
      <c r="Q426" s="101" t="str">
        <f>IFERROR(VLOOKUP(B426,'02. MM-KLH'!$B$6:$T$823,16,0),"")</f>
        <v>CP-CY25DC1B</v>
      </c>
      <c r="R426" s="101" t="str">
        <f>IFERROR(VLOOKUP(B426,'02. MM-KLH'!$B$6:$T$823,17,0),"")</f>
        <v>-</v>
      </c>
      <c r="S426" s="110">
        <f>IFERROR(VLOOKUP(B426,'02. MM-KLH'!$B$6:$T$823,18,0),"")</f>
        <v>806003</v>
      </c>
      <c r="T426" s="111" t="str">
        <f>IFERROR(VLOOKUP(B426,'02. MM-KLH'!$B$6:$T$823,19,0),"")</f>
        <v>CCN</v>
      </c>
      <c r="U426" s="863" t="s">
        <v>451</v>
      </c>
    </row>
    <row r="427" ht="13.5" customHeight="1" spans="1:21">
      <c r="A427" s="101">
        <f t="shared" si="18"/>
        <v>13</v>
      </c>
      <c r="B427" s="104" t="s">
        <v>2150</v>
      </c>
      <c r="C427" s="102">
        <f>IFERROR(VLOOKUP(B427,'02. MM-KLH'!$B$6:$T$823,2,0),"")</f>
        <v>0</v>
      </c>
      <c r="D427" s="103" t="str">
        <f>IFERROR(VLOOKUP(B427,'02. MM-KLH'!$B$6:$T$823,3,0),"")</f>
        <v>A22-XNA-004</v>
      </c>
      <c r="E427" s="102">
        <f>IFERROR(VLOOKUP(B427,'02. MM-KLH'!$B$6:$T$823,4,0),"")</f>
        <v>0</v>
      </c>
      <c r="F427" s="104"/>
      <c r="G427" s="102" t="str">
        <f>IFERROR(VLOOKUP(B427,'02. MM-KLH'!$B$6:$T$823,6,0),"")</f>
        <v>Xe nâng dầu KOMATSU 3.5 tấn</v>
      </c>
      <c r="H427" s="101" t="s">
        <v>3432</v>
      </c>
      <c r="I427" s="101" t="str">
        <f>IFERROR(VLOOKUP(B427,'02. MM-KLH'!$B$6:$T$823,8,0),"")</f>
        <v>XN Bò AD</v>
      </c>
      <c r="J427" s="105" t="str">
        <f>IFERROR(VLOOKUP(B427,'02. MM-KLH'!$B$6:$T$823,9,0),"")</f>
        <v>17/01/2025</v>
      </c>
      <c r="K427" s="101" t="str">
        <f>IFERROR(VLOOKUP(B427,'02. MM-KLH'!$B$6:$T$823,10,0),"")</f>
        <v>Bình thường</v>
      </c>
      <c r="L427" s="107">
        <f>IFERROR(VLOOKUP(B427,'02. MM-KLH'!$B$6:$T$823,11,0),"")</f>
        <v>0</v>
      </c>
      <c r="M427" s="864" t="str">
        <f>IFERROR(VLOOKUP(B427,'02. MM-KLH'!$B$6:$T$823,12,0),"")</f>
        <v>Đầu tư mới</v>
      </c>
      <c r="N427" s="110" t="str">
        <f>IFERROR(VLOOKUP(B427,'02. MM-KLH'!$B$6:$T$823,13,0),"")</f>
        <v>KOMATSU</v>
      </c>
      <c r="O427" s="110" t="str">
        <f>IFERROR(VLOOKUP(B427,'02. MM-KLH'!$B$6:$T$823,14,0),"")</f>
        <v>NHẬT BẢN</v>
      </c>
      <c r="P427" s="101">
        <f>IFERROR(VLOOKUP(B427,'02. MM-KLH'!$B$6:$T$823,15,0),"")</f>
        <v>2013</v>
      </c>
      <c r="Q427" s="101" t="str">
        <f>IFERROR(VLOOKUP(B427,'02. MM-KLH'!$B$6:$T$823,16,0),"")</f>
        <v>FH35-1</v>
      </c>
      <c r="R427" s="101" t="str">
        <f>IFERROR(VLOOKUP(B427,'02. MM-KLH'!$B$6:$T$823,17,0),"")</f>
        <v>70 HP</v>
      </c>
      <c r="S427" s="110">
        <f>IFERROR(VLOOKUP(B427,'02. MM-KLH'!$B$6:$T$823,18,0),"")</f>
        <v>38377</v>
      </c>
      <c r="T427" s="111" t="str">
        <f>IFERROR(VLOOKUP(B427,'02. MM-KLH'!$B$6:$T$823,19,0),"")</f>
        <v>CCN</v>
      </c>
      <c r="U427" s="863" t="s">
        <v>3343</v>
      </c>
    </row>
    <row r="428" ht="13.5" customHeight="1" spans="1:21">
      <c r="A428" s="101">
        <f t="shared" si="18"/>
        <v>14</v>
      </c>
      <c r="B428" s="104" t="s">
        <v>2155</v>
      </c>
      <c r="C428" s="102">
        <f>IFERROR(VLOOKUP(B428,'02. MM-KLH'!$B$6:$T$823,2,0),"")</f>
        <v>0</v>
      </c>
      <c r="D428" s="103" t="str">
        <f>IFERROR(VLOOKUP(B428,'02. MM-KLH'!$B$6:$T$823,3,0),"")</f>
        <v>A22-XNA-005</v>
      </c>
      <c r="E428" s="102">
        <f>IFERROR(VLOOKUP(B428,'02. MM-KLH'!$B$6:$T$823,4,0),"")</f>
        <v>0</v>
      </c>
      <c r="F428" s="104"/>
      <c r="G428" s="102" t="str">
        <f>IFERROR(VLOOKUP(B428,'02. MM-KLH'!$B$6:$T$823,6,0),"")</f>
        <v>Xe nâng dầu HELI 3.5 tấn</v>
      </c>
      <c r="H428" s="101"/>
      <c r="I428" s="101" t="str">
        <f>IFERROR(VLOOKUP(B428,'02. MM-KLH'!$B$6:$T$823,8,0),"")</f>
        <v>XN Bò AD</v>
      </c>
      <c r="J428" s="105">
        <f>IFERROR(VLOOKUP(B428,'02. MM-KLH'!$B$6:$T$823,9,0),"")</f>
        <v>45813</v>
      </c>
      <c r="K428" s="101" t="str">
        <f>IFERROR(VLOOKUP(B428,'02. MM-KLH'!$B$6:$T$823,10,0),"")</f>
        <v>Bình thường</v>
      </c>
      <c r="L428" s="107">
        <f>IFERROR(VLOOKUP(B428,'02. MM-KLH'!$B$6:$T$823,11,0),"")</f>
        <v>0</v>
      </c>
      <c r="M428" s="864" t="str">
        <f>IFERROR(VLOOKUP(B428,'02. MM-KLH'!$B$6:$T$823,12,0),"")</f>
        <v>Đầu tư mới (kèm TB: XB1-GNK-001)</v>
      </c>
      <c r="N428" s="110" t="str">
        <f>IFERROR(VLOOKUP(B428,'02. MM-KLH'!$B$6:$T$823,13,0),"")</f>
        <v>HELI</v>
      </c>
      <c r="O428" s="110" t="str">
        <f>IFERROR(VLOOKUP(B428,'02. MM-KLH'!$B$6:$T$823,14,0),"")</f>
        <v>NHẬT BẢN</v>
      </c>
      <c r="P428" s="101">
        <f>IFERROR(VLOOKUP(B428,'02. MM-KLH'!$B$6:$T$823,15,0),"")</f>
        <v>2024</v>
      </c>
      <c r="Q428" s="101" t="str">
        <f>IFERROR(VLOOKUP(B428,'02. MM-KLH'!$B$6:$T$823,16,0),"")</f>
        <v>CPCD35</v>
      </c>
      <c r="R428" s="101" t="str">
        <f>IFERROR(VLOOKUP(B428,'02. MM-KLH'!$B$6:$T$823,17,0),"")</f>
        <v>60HP</v>
      </c>
      <c r="S428" s="110" t="str">
        <f>IFERROR(VLOOKUP(B428,'02. MM-KLH'!$B$6:$T$823,18,0),"")</f>
        <v>010353K5641</v>
      </c>
      <c r="T428" s="111" t="str">
        <f>IFERROR(VLOOKUP(B428,'02. MM-KLH'!$B$6:$T$823,19,0),"")</f>
        <v>4JG2-650393</v>
      </c>
      <c r="U428" s="863" t="s">
        <v>3343</v>
      </c>
    </row>
    <row r="429" ht="13.5" customHeight="1" spans="1:21">
      <c r="A429" s="101">
        <f t="shared" si="18"/>
        <v>15</v>
      </c>
      <c r="B429" s="104" t="s">
        <v>2161</v>
      </c>
      <c r="C429" s="102">
        <f>IFERROR(VLOOKUP(B429,'02. MM-KLH'!$B$6:$T$823,2,0),"")</f>
        <v>0</v>
      </c>
      <c r="D429" s="103" t="str">
        <f>IFERROR(VLOOKUP(B429,'02. MM-KLH'!$B$6:$T$823,3,0),"")</f>
        <v>A22-XNA-006</v>
      </c>
      <c r="E429" s="102">
        <f>IFERROR(VLOOKUP(B429,'02. MM-KLH'!$B$6:$T$823,4,0),"")</f>
        <v>0</v>
      </c>
      <c r="F429" s="104"/>
      <c r="G429" s="102" t="str">
        <f>IFERROR(VLOOKUP(B429,'02. MM-KLH'!$B$6:$T$823,6,0),"")</f>
        <v>Xe nâng dầu HELI 3.5 tấn</v>
      </c>
      <c r="H429" s="101"/>
      <c r="I429" s="101" t="str">
        <f>IFERROR(VLOOKUP(B429,'02. MM-KLH'!$B$6:$T$823,8,0),"")</f>
        <v>XN Bò AD</v>
      </c>
      <c r="J429" s="105">
        <f>IFERROR(VLOOKUP(B429,'02. MM-KLH'!$B$6:$T$823,9,0),"")</f>
        <v>45813</v>
      </c>
      <c r="K429" s="101" t="str">
        <f>IFERROR(VLOOKUP(B429,'02. MM-KLH'!$B$6:$T$823,10,0),"")</f>
        <v>Bình thường</v>
      </c>
      <c r="L429" s="107">
        <f>IFERROR(VLOOKUP(B429,'02. MM-KLH'!$B$6:$T$823,11,0),"")</f>
        <v>0</v>
      </c>
      <c r="M429" s="864" t="str">
        <f>IFERROR(VLOOKUP(B429,'02. MM-KLH'!$B$6:$T$823,12,0),"")</f>
        <v>Đầu tư mới (kèm TB: XB1-GNK-002)</v>
      </c>
      <c r="N429" s="110" t="str">
        <f>IFERROR(VLOOKUP(B429,'02. MM-KLH'!$B$6:$T$823,13,0),"")</f>
        <v>HELI</v>
      </c>
      <c r="O429" s="110" t="str">
        <f>IFERROR(VLOOKUP(B429,'02. MM-KLH'!$B$6:$T$823,14,0),"")</f>
        <v>NHẬT BẢN</v>
      </c>
      <c r="P429" s="101">
        <f>IFERROR(VLOOKUP(B429,'02. MM-KLH'!$B$6:$T$823,15,0),"")</f>
        <v>2024</v>
      </c>
      <c r="Q429" s="101" t="str">
        <f>IFERROR(VLOOKUP(B429,'02. MM-KLH'!$B$6:$T$823,16,0),"")</f>
        <v>CPCD35</v>
      </c>
      <c r="R429" s="101" t="str">
        <f>IFERROR(VLOOKUP(B429,'02. MM-KLH'!$B$6:$T$823,17,0),"")</f>
        <v>60HP</v>
      </c>
      <c r="S429" s="110" t="str">
        <f>IFERROR(VLOOKUP(B429,'02. MM-KLH'!$B$6:$T$823,18,0),"")</f>
        <v>010353H8176</v>
      </c>
      <c r="T429" s="111" t="str">
        <f>IFERROR(VLOOKUP(B429,'02. MM-KLH'!$B$6:$T$823,19,0),"")</f>
        <v>4JG2-649490</v>
      </c>
      <c r="U429" s="863" t="s">
        <v>3343</v>
      </c>
    </row>
    <row r="430" ht="13.5" customHeight="1" spans="1:21">
      <c r="A430" s="101">
        <f t="shared" si="18"/>
        <v>16</v>
      </c>
      <c r="B430" s="104" t="s">
        <v>2686</v>
      </c>
      <c r="C430" s="102" t="str">
        <f>IFERROR(VLOOKUP(B430,'02. MM-KLH'!$B$6:$T$823,2,0),"")</f>
        <v>CKC-XNĐ-001</v>
      </c>
      <c r="D430" s="103" t="str">
        <f>IFERROR(VLOOKUP(B430,'02. MM-KLH'!$B$6:$T$823,3,0),"")</f>
        <v>A22-XNA-002</v>
      </c>
      <c r="E430" s="102">
        <f>IFERROR(VLOOKUP(B430,'02. MM-KLH'!$B$6:$T$823,4,0),"")</f>
        <v>0</v>
      </c>
      <c r="F430" s="104"/>
      <c r="G430" s="102" t="str">
        <f>IFERROR(VLOOKUP(B430,'02. MM-KLH'!$B$6:$T$823,6,0),"")</f>
        <v>Xe nâng 2.5 tấn</v>
      </c>
      <c r="H430" s="101" t="s">
        <v>3432</v>
      </c>
      <c r="I430" s="101" t="str">
        <f>IFERROR(VLOOKUP(B430,'02. MM-KLH'!$B$6:$T$823,8,0),"")</f>
        <v>Thagricons</v>
      </c>
      <c r="J430" s="105">
        <f>IFERROR(VLOOKUP(B430,'02. MM-KLH'!$B$6:$T$823,9,0),"")</f>
        <v>0</v>
      </c>
      <c r="K430" s="101" t="str">
        <f>IFERROR(VLOOKUP(B430,'02. MM-KLH'!$B$6:$T$823,10,0),"")</f>
        <v>Bình thường</v>
      </c>
      <c r="L430" s="107">
        <f>IFERROR(VLOOKUP(B430,'02. MM-KLH'!$B$6:$T$823,11,0),"")</f>
        <v>0</v>
      </c>
      <c r="M430" s="864">
        <f>IFERROR(VLOOKUP(B430,'02. MM-KLH'!$B$6:$T$823,12,0),"")</f>
        <v>0</v>
      </c>
      <c r="N430" s="110" t="str">
        <f>IFERROR(VLOOKUP(B430,'02. MM-KLH'!$B$6:$T$823,13,0),"")</f>
        <v>HELI</v>
      </c>
      <c r="O430" s="110">
        <f>IFERROR(VLOOKUP(B430,'02. MM-KLH'!$B$6:$T$823,14,0),"")</f>
        <v>0</v>
      </c>
      <c r="P430" s="101">
        <f>IFERROR(VLOOKUP(B430,'02. MM-KLH'!$B$6:$T$823,15,0),"")</f>
        <v>0</v>
      </c>
      <c r="Q430" s="101">
        <f>IFERROR(VLOOKUP(B430,'02. MM-KLH'!$B$6:$T$823,16,0),"")</f>
        <v>0</v>
      </c>
      <c r="R430" s="101">
        <f>IFERROR(VLOOKUP(B430,'02. MM-KLH'!$B$6:$T$823,17,0),"")</f>
        <v>0</v>
      </c>
      <c r="S430" s="110" t="str">
        <f>IFERROR(VLOOKUP(B430,'02. MM-KLH'!$B$6:$T$823,18,0),"")</f>
        <v>4TNE98</v>
      </c>
      <c r="T430" s="111" t="str">
        <f>IFERROR(VLOOKUP(B430,'02. MM-KLH'!$B$6:$T$823,19,0),"")</f>
        <v>CCN</v>
      </c>
      <c r="U430" s="863" t="s">
        <v>451</v>
      </c>
    </row>
    <row r="431" ht="13.5" customHeight="1" spans="1:21">
      <c r="A431" s="101">
        <f t="shared" si="18"/>
        <v>17</v>
      </c>
      <c r="B431" s="124" t="s">
        <v>1686</v>
      </c>
      <c r="C431" s="102">
        <f>IFERROR(VLOOKUP(B431,'02. MM-KLH'!$B$6:$T$823,2,0),"")</f>
        <v>0</v>
      </c>
      <c r="D431" s="103" t="str">
        <f>IFERROR(VLOOKUP(B431,'02. MM-KLH'!$B$6:$T$823,3,0),"")</f>
        <v>A24-XNA-001</v>
      </c>
      <c r="E431" s="102">
        <f>IFERROR(VLOOKUP(B431,'02. MM-KLH'!$B$6:$T$823,4,0),"")</f>
        <v>0</v>
      </c>
      <c r="F431" s="124"/>
      <c r="G431" s="102" t="str">
        <f>IFERROR(VLOOKUP(B431,'02. MM-KLH'!$B$6:$T$823,6,0),"")</f>
        <v>Xe nâng điện 1.5 tấn</v>
      </c>
      <c r="H431" s="101" t="s">
        <v>3427</v>
      </c>
      <c r="I431" s="101" t="str">
        <f>IFERROR(VLOOKUP(B431,'02. MM-KLH'!$B$6:$T$823,8,0),"")</f>
        <v>XN Chuối LP3</v>
      </c>
      <c r="J431" s="105">
        <f>IFERROR(VLOOKUP(B431,'02. MM-KLH'!$B$6:$T$823,9,0),"")</f>
        <v>0</v>
      </c>
      <c r="K431" s="101" t="str">
        <f>IFERROR(VLOOKUP(B431,'02. MM-KLH'!$B$6:$T$823,10,0),"")</f>
        <v>Bình thường</v>
      </c>
      <c r="L431" s="107">
        <f>IFERROR(VLOOKUP(B431,'02. MM-KLH'!$B$6:$T$823,11,0),"")</f>
        <v>0</v>
      </c>
      <c r="M431" s="864" t="str">
        <f>IFERROR(VLOOKUP(B431,'02. MM-KLH'!$B$6:$T$823,12,0),"")</f>
        <v>XĐG LP3</v>
      </c>
      <c r="N431" s="110" t="str">
        <f>IFERROR(VLOOKUP(B431,'02. MM-KLH'!$B$6:$T$823,13,0),"")</f>
        <v>KOMATSU</v>
      </c>
      <c r="O431" s="110" t="str">
        <f>IFERROR(VLOOKUP(B431,'02. MM-KLH'!$B$6:$T$823,14,0),"")</f>
        <v>NHẬT BẢN</v>
      </c>
      <c r="P431" s="101">
        <f>IFERROR(VLOOKUP(B431,'02. MM-KLH'!$B$6:$T$823,15,0),"")</f>
        <v>2007</v>
      </c>
      <c r="Q431" s="101" t="str">
        <f>IFERROR(VLOOKUP(B431,'02. MM-KLH'!$B$6:$T$823,16,0),"")</f>
        <v>FB15-12</v>
      </c>
      <c r="R431" s="101">
        <f>IFERROR(VLOOKUP(B431,'02. MM-KLH'!$B$6:$T$823,17,0),"")</f>
        <v>0</v>
      </c>
      <c r="S431" s="110">
        <f>IFERROR(VLOOKUP(B431,'02. MM-KLH'!$B$6:$T$823,18,0),"")</f>
        <v>830261</v>
      </c>
      <c r="T431" s="111">
        <f>IFERROR(VLOOKUP(B431,'02. MM-KLH'!$B$6:$T$823,19,0),"")</f>
        <v>39114</v>
      </c>
      <c r="U431" s="863" t="s">
        <v>451</v>
      </c>
    </row>
    <row r="432" ht="13.5" customHeight="1" spans="1:21">
      <c r="A432" s="101">
        <f t="shared" si="18"/>
        <v>18</v>
      </c>
      <c r="B432" s="124" t="s">
        <v>1689</v>
      </c>
      <c r="C432" s="102">
        <f>IFERROR(VLOOKUP(B432,'02. MM-KLH'!$B$6:$T$823,2,0),"")</f>
        <v>0</v>
      </c>
      <c r="D432" s="103">
        <f>IFERROR(VLOOKUP(B432,'02. MM-KLH'!$B$6:$T$823,3,0),"")</f>
        <v>0</v>
      </c>
      <c r="E432" s="102">
        <f>IFERROR(VLOOKUP(B432,'02. MM-KLH'!$B$6:$T$823,4,0),"")</f>
        <v>0</v>
      </c>
      <c r="F432" s="124"/>
      <c r="G432" s="102" t="str">
        <f>IFERROR(VLOOKUP(B432,'02. MM-KLH'!$B$6:$T$823,6,0),"")</f>
        <v>Xe nâng điện 1.5 tấn</v>
      </c>
      <c r="H432" s="101" t="s">
        <v>3427</v>
      </c>
      <c r="I432" s="101" t="str">
        <f>IFERROR(VLOOKUP(B432,'02. MM-KLH'!$B$6:$T$823,8,0),"")</f>
        <v>XN Chuối LP3</v>
      </c>
      <c r="J432" s="105">
        <f>IFERROR(VLOOKUP(B432,'02. MM-KLH'!$B$6:$T$823,9,0),"")</f>
        <v>0</v>
      </c>
      <c r="K432" s="101" t="str">
        <f>IFERROR(VLOOKUP(B432,'02. MM-KLH'!$B$6:$T$823,10,0),"")</f>
        <v>Bình thường</v>
      </c>
      <c r="L432" s="107">
        <f>IFERROR(VLOOKUP(B432,'02. MM-KLH'!$B$6:$T$823,11,0),"")</f>
        <v>0</v>
      </c>
      <c r="M432" s="864" t="str">
        <f>IFERROR(VLOOKUP(B432,'02. MM-KLH'!$B$6:$T$823,12,0),"")</f>
        <v>XĐG LP3</v>
      </c>
      <c r="N432" s="110" t="str">
        <f>IFERROR(VLOOKUP(B432,'02. MM-KLH'!$B$6:$T$823,13,0),"")</f>
        <v>BYD</v>
      </c>
      <c r="O432" s="110" t="str">
        <f>IFERROR(VLOOKUP(B432,'02. MM-KLH'!$B$6:$T$823,14,0),"")</f>
        <v>TRUNG QUỐC</v>
      </c>
      <c r="P432" s="101">
        <f>IFERROR(VLOOKUP(B432,'02. MM-KLH'!$B$6:$T$823,15,0),"")</f>
        <v>2019</v>
      </c>
      <c r="Q432" s="101" t="str">
        <f>IFERROR(VLOOKUP(B432,'02. MM-KLH'!$B$6:$T$823,16,0),"")</f>
        <v>ECB16S-B</v>
      </c>
      <c r="R432" s="101">
        <f>IFERROR(VLOOKUP(B432,'02. MM-KLH'!$B$6:$T$823,17,0),"")</f>
        <v>0</v>
      </c>
      <c r="S432" s="110">
        <f>IFERROR(VLOOKUP(B432,'02. MM-KLH'!$B$6:$T$823,18,0),"")</f>
        <v>1501190005</v>
      </c>
      <c r="T432" s="111" t="str">
        <f>IFERROR(VLOOKUP(B432,'02. MM-KLH'!$B$6:$T$823,19,0),"")</f>
        <v>TS2510598-2021</v>
      </c>
      <c r="U432" s="863" t="s">
        <v>451</v>
      </c>
    </row>
    <row r="433" ht="13.5" customHeight="1" spans="1:21">
      <c r="A433" s="101">
        <f t="shared" si="18"/>
        <v>19</v>
      </c>
      <c r="B433" s="124" t="s">
        <v>1691</v>
      </c>
      <c r="C433" s="102">
        <f>IFERROR(VLOOKUP(B433,'02. MM-KLH'!$B$6:$T$823,2,0),"")</f>
        <v>0</v>
      </c>
      <c r="D433" s="103" t="str">
        <f>IFERROR(VLOOKUP(B433,'02. MM-KLH'!$B$6:$T$823,3,0),"")</f>
        <v>A24-XNA-003</v>
      </c>
      <c r="E433" s="102">
        <f>IFERROR(VLOOKUP(B433,'02. MM-KLH'!$B$6:$T$823,4,0),"")</f>
        <v>0</v>
      </c>
      <c r="F433" s="124"/>
      <c r="G433" s="102" t="str">
        <f>IFERROR(VLOOKUP(B433,'02. MM-KLH'!$B$6:$T$823,6,0),"")</f>
        <v>Xe nâng điện 2.5 tấn</v>
      </c>
      <c r="H433" s="101" t="s">
        <v>3427</v>
      </c>
      <c r="I433" s="101" t="str">
        <f>IFERROR(VLOOKUP(B433,'02. MM-KLH'!$B$6:$T$823,8,0),"")</f>
        <v>XN Chuối LP3</v>
      </c>
      <c r="J433" s="105">
        <f>IFERROR(VLOOKUP(B433,'02. MM-KLH'!$B$6:$T$823,9,0),"")</f>
        <v>46361</v>
      </c>
      <c r="K433" s="101" t="str">
        <f>IFERROR(VLOOKUP(B433,'02. MM-KLH'!$B$6:$T$823,10,0),"")</f>
        <v>Bình thường</v>
      </c>
      <c r="L433" s="107">
        <f>IFERROR(VLOOKUP(B433,'02. MM-KLH'!$B$6:$T$823,11,0),"")</f>
        <v>0</v>
      </c>
      <c r="M433" s="864" t="str">
        <f>IFERROR(VLOOKUP(B433,'02. MM-KLH'!$B$6:$T$823,12,0),"")</f>
        <v>Đầu tư mới</v>
      </c>
      <c r="N433" s="110" t="str">
        <f>IFERROR(VLOOKUP(B433,'02. MM-KLH'!$B$6:$T$823,13,0),"")</f>
        <v>LOVOL</v>
      </c>
      <c r="O433" s="110" t="str">
        <f>IFERROR(VLOOKUP(B433,'02. MM-KLH'!$B$6:$T$823,14,0),"")</f>
        <v>TRUNG QUỐC</v>
      </c>
      <c r="P433" s="101">
        <f>IFERROR(VLOOKUP(B433,'02. MM-KLH'!$B$6:$T$823,15,0),"")</f>
        <v>2026</v>
      </c>
      <c r="Q433" s="101" t="str">
        <f>IFERROR(VLOOKUP(B433,'02. MM-KLH'!$B$6:$T$823,16,0),"")</f>
        <v>FF25E</v>
      </c>
      <c r="R433" s="101" t="str">
        <f>IFERROR(VLOOKUP(B433,'02. MM-KLH'!$B$6:$T$823,17,0),"")</f>
        <v>13,68 HP</v>
      </c>
      <c r="S433" s="110" t="str">
        <f>IFERROR(VLOOKUP(B433,'02. MM-KLH'!$B$6:$T$823,18,0),"")</f>
        <v>C31293R50030</v>
      </c>
      <c r="T433" s="111">
        <f>IFERROR(VLOOKUP(B433,'02. MM-KLH'!$B$6:$T$823,19,0),"")</f>
        <v>0</v>
      </c>
      <c r="U433" s="863" t="s">
        <v>3343</v>
      </c>
    </row>
    <row r="434" ht="13.5" customHeight="1" spans="1:21">
      <c r="A434" s="101">
        <f t="shared" si="18"/>
        <v>20</v>
      </c>
      <c r="B434" s="104" t="s">
        <v>2145</v>
      </c>
      <c r="C434" s="102" t="str">
        <f>IFERROR(VLOOKUP(B434,'02. MM-KLH'!$B$6:$T$823,2,0),"")</f>
        <v>MỚI</v>
      </c>
      <c r="D434" s="103" t="str">
        <f>IFERROR(VLOOKUP(B434,'02. MM-KLH'!$B$6:$T$823,3,0),"")</f>
        <v>ATT-A22-0305</v>
      </c>
      <c r="E434" s="102">
        <f>IFERROR(VLOOKUP(B434,'02. MM-KLH'!$B$6:$T$823,4,0),"")</f>
        <v>0</v>
      </c>
      <c r="F434" s="104" t="s">
        <v>3433</v>
      </c>
      <c r="G434" s="102" t="str">
        <f>IFERROR(VLOOKUP(B434,'02. MM-KLH'!$B$6:$T$823,6,0),"")</f>
        <v>Xe nâng 3 tấn</v>
      </c>
      <c r="H434" s="101" t="s">
        <v>3432</v>
      </c>
      <c r="I434" s="101" t="str">
        <f>IFERROR(VLOOKUP(B434,'02. MM-KLH'!$B$6:$T$823,8,0),"")</f>
        <v>XN Bò AD</v>
      </c>
      <c r="J434" s="105" t="str">
        <f>IFERROR(VLOOKUP(B434,'02. MM-KLH'!$B$6:$T$823,9,0),"")</f>
        <v>15/12/2023</v>
      </c>
      <c r="K434" s="101" t="str">
        <f>IFERROR(VLOOKUP(B434,'02. MM-KLH'!$B$6:$T$823,10,0),"")</f>
        <v>Bình thường</v>
      </c>
      <c r="L434" s="107">
        <f>IFERROR(VLOOKUP(B434,'02. MM-KLH'!$B$6:$T$823,11,0),"")</f>
        <v>0.97</v>
      </c>
      <c r="M434" s="864" t="str">
        <f>IFERROR(VLOOKUP(B434,'02. MM-KLH'!$B$6:$T$823,12,0),"")</f>
        <v>Xe đã qua sử dụng</v>
      </c>
      <c r="N434" s="110" t="str">
        <f>IFERROR(VLOOKUP(B434,'02. MM-KLH'!$B$6:$T$823,13,0),"")</f>
        <v>KOMATSU</v>
      </c>
      <c r="O434" s="110" t="str">
        <f>IFERROR(VLOOKUP(B434,'02. MM-KLH'!$B$6:$T$823,14,0),"")</f>
        <v>NHẬT BẢN</v>
      </c>
      <c r="P434" s="101">
        <f>IFERROR(VLOOKUP(B434,'02. MM-KLH'!$B$6:$T$823,15,0),"")</f>
        <v>2018</v>
      </c>
      <c r="Q434" s="101" t="str">
        <f>IFERROR(VLOOKUP(B434,'02. MM-KLH'!$B$6:$T$823,16,0),"")</f>
        <v>FD30T-17</v>
      </c>
      <c r="R434" s="101" t="str">
        <f>IFERROR(VLOOKUP(B434,'02. MM-KLH'!$B$6:$T$823,17,0),"")</f>
        <v>30HP</v>
      </c>
      <c r="S434" s="110">
        <f>IFERROR(VLOOKUP(B434,'02. MM-KLH'!$B$6:$T$823,18,0),"")</f>
        <v>308754</v>
      </c>
      <c r="T434" s="111" t="str">
        <f>IFERROR(VLOOKUP(B434,'02. MM-KLH'!$B$6:$T$823,19,0),"")</f>
        <v>CCN</v>
      </c>
      <c r="U434" s="863" t="s">
        <v>451</v>
      </c>
    </row>
    <row r="435" ht="13.5" customHeight="1" spans="1:21">
      <c r="A435" s="101">
        <f t="shared" si="18"/>
        <v>21</v>
      </c>
      <c r="B435" s="104" t="s">
        <v>2697</v>
      </c>
      <c r="C435" s="102" t="str">
        <f>IFERROR(VLOOKUP(B435,'02. MM-KLH'!$B$6:$T$823,2,0),"")</f>
        <v>NTA-XNA-002</v>
      </c>
      <c r="D435" s="103" t="str">
        <f>IFERROR(VLOOKUP(B435,'02. MM-KLH'!$B$6:$T$823,3,0),"")</f>
        <v>A22-XNA-001</v>
      </c>
      <c r="E435" s="102">
        <f>IFERROR(VLOOKUP(B435,'02. MM-KLH'!$B$6:$T$823,4,0),"")</f>
        <v>0</v>
      </c>
      <c r="F435" s="104"/>
      <c r="G435" s="102" t="str">
        <f>IFERROR(VLOOKUP(B435,'02. MM-KLH'!$B$6:$T$823,6,0),"")</f>
        <v>Xe nâng dầu YALE 3.5 tấn</v>
      </c>
      <c r="H435" s="101" t="s">
        <v>3432</v>
      </c>
      <c r="I435" s="101" t="str">
        <f>IFERROR(VLOOKUP(B435,'02. MM-KLH'!$B$6:$T$823,8,0),"")</f>
        <v>Thagricons</v>
      </c>
      <c r="J435" s="105">
        <f>IFERROR(VLOOKUP(B435,'02. MM-KLH'!$B$6:$T$823,9,0),"")</f>
        <v>0</v>
      </c>
      <c r="K435" s="101" t="str">
        <f>IFERROR(VLOOKUP(B435,'02. MM-KLH'!$B$6:$T$823,10,0),"")</f>
        <v>Bình thường</v>
      </c>
      <c r="L435" s="107">
        <f>IFERROR(VLOOKUP(B435,'02. MM-KLH'!$B$6:$T$823,11,0),"")</f>
        <v>0</v>
      </c>
      <c r="M435" s="864">
        <f>IFERROR(VLOOKUP(B435,'02. MM-KLH'!$B$6:$T$823,12,0),"")</f>
        <v>0</v>
      </c>
      <c r="N435" s="110" t="str">
        <f>IFERROR(VLOOKUP(B435,'02. MM-KLH'!$B$6:$T$823,13,0),"")</f>
        <v>YALE</v>
      </c>
      <c r="O435" s="110" t="str">
        <f>IFERROR(VLOOKUP(B435,'02. MM-KLH'!$B$6:$T$823,14,0),"")</f>
        <v>NHẬT BẢN</v>
      </c>
      <c r="P435" s="101">
        <f>IFERROR(VLOOKUP(B435,'02. MM-KLH'!$B$6:$T$823,15,0),"")</f>
        <v>0</v>
      </c>
      <c r="Q435" s="101">
        <f>IFERROR(VLOOKUP(B435,'02. MM-KLH'!$B$6:$T$823,16,0),"")</f>
        <v>0</v>
      </c>
      <c r="R435" s="101">
        <f>IFERROR(VLOOKUP(B435,'02. MM-KLH'!$B$6:$T$823,17,0),"")</f>
        <v>0</v>
      </c>
      <c r="S435" s="110">
        <f>IFERROR(VLOOKUP(B435,'02. MM-KLH'!$B$6:$T$823,18,0),"")</f>
        <v>31059</v>
      </c>
      <c r="T435" s="111" t="str">
        <f>IFERROR(VLOOKUP(B435,'02. MM-KLH'!$B$6:$T$823,19,0),"")</f>
        <v>4TNE98-805NNF</v>
      </c>
      <c r="U435" s="863" t="s">
        <v>451</v>
      </c>
    </row>
    <row r="436" ht="13.5" customHeight="1" spans="1:21">
      <c r="A436" s="101">
        <f t="shared" si="18"/>
        <v>22</v>
      </c>
      <c r="B436" s="104" t="s">
        <v>2868</v>
      </c>
      <c r="C436" s="102">
        <f>IFERROR(VLOOKUP(B436,'02. MM-KLH'!$B$6:$T$823,2,0),"")</f>
        <v>0</v>
      </c>
      <c r="D436" s="103" t="str">
        <f>IFERROR(VLOOKUP(B436,'02. MM-KLH'!$B$6:$T$823,3,0),"")</f>
        <v>-</v>
      </c>
      <c r="E436" s="102">
        <f>IFERROR(VLOOKUP(B436,'02. MM-KLH'!$B$6:$T$823,4,0),"")</f>
        <v>0</v>
      </c>
      <c r="F436" s="201"/>
      <c r="G436" s="102" t="str">
        <f>IFERROR(VLOOKUP(B436,'02. MM-KLH'!$B$6:$T$823,6,0),"")</f>
        <v>Xe nâng 3.5T-CĐ18</v>
      </c>
      <c r="H436" s="101" t="s">
        <v>3432</v>
      </c>
      <c r="I436" s="101" t="str">
        <f>IFERROR(VLOOKUP(B436,'02. MM-KLH'!$B$6:$T$823,8,0),"")</f>
        <v>Thadicons A&amp;I</v>
      </c>
      <c r="J436" s="105" t="str">
        <f>IFERROR(VLOOKUP(B436,'02. MM-KLH'!$B$6:$T$823,9,0),"")</f>
        <v>Đã qua sử dụng</v>
      </c>
      <c r="K436" s="101" t="str">
        <f>IFERROR(VLOOKUP(B436,'02. MM-KLH'!$B$6:$T$823,10,0),"")</f>
        <v>Bình thường</v>
      </c>
      <c r="L436" s="107">
        <f>IFERROR(VLOOKUP(B436,'02. MM-KLH'!$B$6:$T$823,11,0),"")</f>
        <v>0</v>
      </c>
      <c r="M436" s="864">
        <f>IFERROR(VLOOKUP(B436,'02. MM-KLH'!$B$6:$T$823,12,0),"")</f>
        <v>0</v>
      </c>
      <c r="N436" s="110" t="str">
        <f>IFERROR(VLOOKUP(B436,'02. MM-KLH'!$B$6:$T$823,13,0),"")</f>
        <v>YALE</v>
      </c>
      <c r="O436" s="110">
        <f>IFERROR(VLOOKUP(B436,'02. MM-KLH'!$B$6:$T$823,14,0),"")</f>
        <v>0</v>
      </c>
      <c r="P436" s="101">
        <f>IFERROR(VLOOKUP(B436,'02. MM-KLH'!$B$6:$T$823,15,0),"")</f>
        <v>0</v>
      </c>
      <c r="Q436" s="101">
        <f>IFERROR(VLOOKUP(B436,'02. MM-KLH'!$B$6:$T$823,16,0),"")</f>
        <v>0</v>
      </c>
      <c r="R436" s="101">
        <f>IFERROR(VLOOKUP(B436,'02. MM-KLH'!$B$6:$T$823,17,0),"")</f>
        <v>0</v>
      </c>
      <c r="S436" s="110">
        <f>IFERROR(VLOOKUP(B436,'02. MM-KLH'!$B$6:$T$823,18,0),"")</f>
        <v>0</v>
      </c>
      <c r="T436" s="111">
        <f>IFERROR(VLOOKUP(B436,'02. MM-KLH'!$B$6:$T$823,19,0),"")</f>
        <v>0</v>
      </c>
      <c r="U436" s="863" t="s">
        <v>451</v>
      </c>
    </row>
    <row r="437" ht="13.5" customHeight="1" spans="1:21">
      <c r="A437" s="101">
        <f t="shared" si="18"/>
        <v>23</v>
      </c>
      <c r="B437" s="104" t="s">
        <v>2626</v>
      </c>
      <c r="C437" s="102">
        <f>IFERROR(VLOOKUP(B437,'02. MM-KLH'!$B$6:$T$823,2,0),"")</f>
        <v>0</v>
      </c>
      <c r="D437" s="103" t="str">
        <f>IFERROR(VLOOKUP(B437,'02. MM-KLH'!$B$6:$T$823,3,0),"")</f>
        <v>A23-XNA-001</v>
      </c>
      <c r="E437" s="102">
        <f>IFERROR(VLOOKUP(B437,'02. MM-KLH'!$B$6:$T$823,4,0),"")</f>
        <v>0</v>
      </c>
      <c r="F437" s="104"/>
      <c r="G437" s="102" t="str">
        <f>IFERROR(VLOOKUP(B437,'02. MM-KLH'!$B$6:$T$823,6,0),"")</f>
        <v>Xe nâng dầu HELI 3.5 tấn</v>
      </c>
      <c r="H437" s="101" t="s">
        <v>3432</v>
      </c>
      <c r="I437" s="101" t="str">
        <f>IFERROR(VLOOKUP(B437,'02. MM-KLH'!$B$6:$T$823,8,0),"")</f>
        <v>Xưởng Cơ khí ADM&amp;LP</v>
      </c>
      <c r="J437" s="105" t="str">
        <f>IFERROR(VLOOKUP(B437,'02. MM-KLH'!$B$6:$T$823,9,0),"")</f>
        <v>18/03/2025</v>
      </c>
      <c r="K437" s="101" t="str">
        <f>IFERROR(VLOOKUP(B437,'02. MM-KLH'!$B$6:$T$823,10,0),"")</f>
        <v>Bình thường</v>
      </c>
      <c r="L437" s="107">
        <f>IFERROR(VLOOKUP(B437,'02. MM-KLH'!$B$6:$T$823,11,0),"")</f>
        <v>0</v>
      </c>
      <c r="M437" s="864">
        <f>IFERROR(VLOOKUP(B437,'02. MM-KLH'!$B$6:$T$823,12,0),"")</f>
        <v>0</v>
      </c>
      <c r="N437" s="110" t="str">
        <f>IFERROR(VLOOKUP(B437,'02. MM-KLH'!$B$6:$T$823,13,0),"")</f>
        <v>HELI</v>
      </c>
      <c r="O437" s="110" t="str">
        <f>IFERROR(VLOOKUP(B437,'02. MM-KLH'!$B$6:$T$823,14,0),"")</f>
        <v>TRUNG QUỐC</v>
      </c>
      <c r="P437" s="101">
        <f>IFERROR(VLOOKUP(B437,'02. MM-KLH'!$B$6:$T$823,15,0),"")</f>
        <v>2024</v>
      </c>
      <c r="Q437" s="101" t="str">
        <f>IFERROR(VLOOKUP(B437,'02. MM-KLH'!$B$6:$T$823,16,0),"")</f>
        <v>CPCD35</v>
      </c>
      <c r="R437" s="101" t="str">
        <f>IFERROR(VLOOKUP(B437,'02. MM-KLH'!$B$6:$T$823,17,0),"")</f>
        <v>60HP</v>
      </c>
      <c r="S437" s="110" t="str">
        <f>IFERROR(VLOOKUP(B437,'02. MM-KLH'!$B$6:$T$823,18,0),"")</f>
        <v>010353K6773</v>
      </c>
      <c r="T437" s="111" t="str">
        <f>IFERROR(VLOOKUP(B437,'02. MM-KLH'!$B$6:$T$823,19,0),"")</f>
        <v>CCN</v>
      </c>
      <c r="U437" s="863" t="s">
        <v>451</v>
      </c>
    </row>
    <row r="438" ht="13.5" customHeight="1" spans="1:21">
      <c r="A438" s="101">
        <f t="shared" si="18"/>
        <v>24</v>
      </c>
      <c r="B438" s="104" t="s">
        <v>2630</v>
      </c>
      <c r="C438" s="102">
        <f>IFERROR(VLOOKUP(B438,'02. MM-KLH'!$B$6:$T$823,2,0),"")</f>
        <v>0</v>
      </c>
      <c r="D438" s="103">
        <f>IFERROR(VLOOKUP(B438,'02. MM-KLH'!$B$6:$T$823,3,0),"")</f>
        <v>0</v>
      </c>
      <c r="E438" s="102">
        <f>IFERROR(VLOOKUP(B438,'02. MM-KLH'!$B$6:$T$823,4,0),"")</f>
        <v>0</v>
      </c>
      <c r="F438" s="104"/>
      <c r="G438" s="102" t="str">
        <f>IFERROR(VLOOKUP(B438,'02. MM-KLH'!$B$6:$T$823,6,0),"")</f>
        <v>Xe nâng dầu HELI 5 tấn</v>
      </c>
      <c r="H438" s="101" t="s">
        <v>3432</v>
      </c>
      <c r="I438" s="101" t="str">
        <f>IFERROR(VLOOKUP(B438,'02. MM-KLH'!$B$6:$T$823,8,0),"")</f>
        <v>Xưởng Cơ khí ADM&amp;LP</v>
      </c>
      <c r="J438" s="105" t="str">
        <f>IFERROR(VLOOKUP(B438,'02. MM-KLH'!$B$6:$T$823,9,0),"")</f>
        <v>28/04/2026</v>
      </c>
      <c r="K438" s="101" t="str">
        <f>IFERROR(VLOOKUP(B438,'02. MM-KLH'!$B$6:$T$823,10,0),"")</f>
        <v>Bình thường</v>
      </c>
      <c r="L438" s="107">
        <f>IFERROR(VLOOKUP(B438,'02. MM-KLH'!$B$6:$T$823,11,0),"")</f>
        <v>0</v>
      </c>
      <c r="M438" s="864">
        <f>IFERROR(VLOOKUP(B438,'02. MM-KLH'!$B$6:$T$823,12,0),"")</f>
        <v>0</v>
      </c>
      <c r="N438" s="110" t="str">
        <f>IFERROR(VLOOKUP(B438,'02. MM-KLH'!$B$6:$T$823,13,0),"")</f>
        <v>HELI</v>
      </c>
      <c r="O438" s="110" t="str">
        <f>IFERROR(VLOOKUP(B438,'02. MM-KLH'!$B$6:$T$823,14,0),"")</f>
        <v>TRUNG QUỐC</v>
      </c>
      <c r="P438" s="101">
        <f>IFERROR(VLOOKUP(B438,'02. MM-KLH'!$B$6:$T$823,15,0),"")</f>
        <v>2026</v>
      </c>
      <c r="Q438" s="101" t="str">
        <f>IFERROR(VLOOKUP(B438,'02. MM-KLH'!$B$6:$T$823,16,0),"")</f>
        <v>CPCD50</v>
      </c>
      <c r="R438" s="101" t="str">
        <f>IFERROR(VLOOKUP(B438,'02. MM-KLH'!$B$6:$T$823,17,0),"")</f>
        <v>69HP</v>
      </c>
      <c r="S438" s="110" t="str">
        <f>IFERROR(VLOOKUP(B438,'02. MM-KLH'!$B$6:$T$823,18,0),"")</f>
        <v>010503S3572</v>
      </c>
      <c r="T438" s="111" t="str">
        <f>IFERROR(VLOOKUP(B438,'02. MM-KLH'!$B$6:$T$823,19,0),"")</f>
        <v>CCN</v>
      </c>
      <c r="U438" s="863" t="s">
        <v>3343</v>
      </c>
    </row>
    <row r="439" ht="13.5" customHeight="1" spans="1:21">
      <c r="A439" s="101">
        <f t="shared" si="18"/>
        <v>25</v>
      </c>
      <c r="B439" s="104" t="s">
        <v>2958</v>
      </c>
      <c r="C439" s="102">
        <f>IFERROR(VLOOKUP(B439,'02. MM-KLH'!$B$6:$T$823,2,0),"")</f>
        <v>0</v>
      </c>
      <c r="D439" s="103">
        <f>IFERROR(VLOOKUP(B439,'02. MM-KLH'!$B$6:$T$823,3,0),"")</f>
        <v>0</v>
      </c>
      <c r="E439" s="102">
        <f>IFERROR(VLOOKUP(B439,'02. MM-KLH'!$B$6:$T$823,4,0),"")</f>
        <v>0</v>
      </c>
      <c r="F439" s="146"/>
      <c r="G439" s="102" t="str">
        <f>IFERROR(VLOOKUP(B439,'02. MM-KLH'!$B$6:$T$823,6,0),"")</f>
        <v>Xe nâng dầu YALE 3.5 tấn</v>
      </c>
      <c r="H439" s="101" t="s">
        <v>3432</v>
      </c>
      <c r="I439" s="101" t="str">
        <f>IFERROR(VLOOKUP(B439,'02. MM-KLH'!$B$6:$T$823,8,0),"")</f>
        <v>NM NHỰA -XỐP DP</v>
      </c>
      <c r="J439" s="105">
        <f>IFERROR(VLOOKUP(B439,'02. MM-KLH'!$B$6:$T$823,9,0),"")</f>
        <v>45931</v>
      </c>
      <c r="K439" s="101" t="str">
        <f>IFERROR(VLOOKUP(B439,'02. MM-KLH'!$B$6:$T$823,10,0),"")</f>
        <v>Bình thường</v>
      </c>
      <c r="L439" s="107">
        <f>IFERROR(VLOOKUP(B439,'02. MM-KLH'!$B$6:$T$823,11,0),"")</f>
        <v>0</v>
      </c>
      <c r="M439" s="864" t="str">
        <f>IFERROR(VLOOKUP(B439,'02. MM-KLH'!$B$6:$T$823,12,0),"")</f>
        <v>Đầu tư mới</v>
      </c>
      <c r="N439" s="110" t="str">
        <f>IFERROR(VLOOKUP(B439,'02. MM-KLH'!$B$6:$T$823,13,0),"")</f>
        <v>YALE</v>
      </c>
      <c r="O439" s="110" t="str">
        <f>IFERROR(VLOOKUP(B439,'02. MM-KLH'!$B$6:$T$823,14,0),"")</f>
        <v>NHẬT BẢN</v>
      </c>
      <c r="P439" s="101">
        <f>IFERROR(VLOOKUP(B439,'02. MM-KLH'!$B$6:$T$823,15,0),"")</f>
        <v>2022</v>
      </c>
      <c r="Q439" s="101" t="str">
        <f>IFERROR(VLOOKUP(B439,'02. MM-KLH'!$B$6:$T$823,16,0),"")</f>
        <v>GDP35MX</v>
      </c>
      <c r="R439" s="101" t="str">
        <f>IFERROR(VLOOKUP(B439,'02. MM-KLH'!$B$6:$T$823,17,0),"")</f>
        <v>58HP</v>
      </c>
      <c r="S439" s="110" t="str">
        <f>IFERROR(VLOOKUP(B439,'02. MM-KLH'!$B$6:$T$823,18,0),"")</f>
        <v>D871R15794W</v>
      </c>
      <c r="T439" s="111" t="str">
        <f>IFERROR(VLOOKUP(B439,'02. MM-KLH'!$B$6:$T$823,19,0),"")</f>
        <v>CCN</v>
      </c>
      <c r="U439" s="863" t="s">
        <v>3343</v>
      </c>
    </row>
    <row r="440" ht="13.5" customHeight="1" spans="1:21">
      <c r="A440" s="101">
        <f t="shared" si="18"/>
        <v>26</v>
      </c>
      <c r="B440" s="104" t="s">
        <v>2962</v>
      </c>
      <c r="C440" s="102">
        <f>IFERROR(VLOOKUP(B440,'02. MM-KLH'!$B$6:$T$823,2,0),"")</f>
        <v>0</v>
      </c>
      <c r="D440" s="103">
        <f>IFERROR(VLOOKUP(B440,'02. MM-KLH'!$B$6:$T$823,3,0),"")</f>
        <v>0</v>
      </c>
      <c r="E440" s="102">
        <f>IFERROR(VLOOKUP(B440,'02. MM-KLH'!$B$6:$T$823,4,0),"")</f>
        <v>0</v>
      </c>
      <c r="F440" s="146"/>
      <c r="G440" s="102" t="str">
        <f>IFERROR(VLOOKUP(B440,'02. MM-KLH'!$B$6:$T$823,6,0),"")</f>
        <v>Xe nâng điện 2.5 tấn</v>
      </c>
      <c r="H440" s="101" t="s">
        <v>3432</v>
      </c>
      <c r="I440" s="101" t="str">
        <f>IFERROR(VLOOKUP(B440,'02. MM-KLH'!$B$6:$T$823,8,0),"")</f>
        <v>NM NHỰA -XỐP DP</v>
      </c>
      <c r="J440" s="105">
        <f>IFERROR(VLOOKUP(B440,'02. MM-KLH'!$B$6:$T$823,9,0),"")</f>
        <v>0</v>
      </c>
      <c r="K440" s="101" t="str">
        <f>IFERROR(VLOOKUP(B440,'02. MM-KLH'!$B$6:$T$823,10,0),"")</f>
        <v>Bình thường</v>
      </c>
      <c r="L440" s="107">
        <f>IFERROR(VLOOKUP(B440,'02. MM-KLH'!$B$6:$T$823,11,0),"")</f>
        <v>0</v>
      </c>
      <c r="M440" s="864">
        <f>IFERROR(VLOOKUP(B440,'02. MM-KLH'!$B$6:$T$823,12,0),"")</f>
        <v>0</v>
      </c>
      <c r="N440" s="110" t="str">
        <f>IFERROR(VLOOKUP(B440,'02. MM-KLH'!$B$6:$T$823,13,0),"")</f>
        <v>HELI</v>
      </c>
      <c r="O440" s="110" t="str">
        <f>IFERROR(VLOOKUP(B440,'02. MM-KLH'!$B$6:$T$823,14,0),"")</f>
        <v>TRUNG QUỐC</v>
      </c>
      <c r="P440" s="101">
        <f>IFERROR(VLOOKUP(B440,'02. MM-KLH'!$B$6:$T$823,15,0),"")</f>
        <v>2021</v>
      </c>
      <c r="Q440" s="101" t="str">
        <f>IFERROR(VLOOKUP(B440,'02. MM-KLH'!$B$6:$T$823,16,0),"")</f>
        <v>CPD25-GB2LI-H</v>
      </c>
      <c r="R440" s="101">
        <f>IFERROR(VLOOKUP(B440,'02. MM-KLH'!$B$6:$T$823,17,0),"")</f>
        <v>0</v>
      </c>
      <c r="S440" s="110" t="str">
        <f>IFERROR(VLOOKUP(B440,'02. MM-KLH'!$B$6:$T$823,18,0),"")</f>
        <v>05025DF7308</v>
      </c>
      <c r="T440" s="111">
        <f>IFERROR(VLOOKUP(B440,'02. MM-KLH'!$B$6:$T$823,19,0),"")</f>
        <v>0</v>
      </c>
      <c r="U440" s="863" t="s">
        <v>451</v>
      </c>
    </row>
    <row r="441" ht="13.5" customHeight="1" spans="1:21">
      <c r="A441" s="101">
        <f t="shared" si="18"/>
        <v>27</v>
      </c>
      <c r="B441" s="104" t="s">
        <v>2965</v>
      </c>
      <c r="C441" s="102">
        <f>IFERROR(VLOOKUP(B441,'02. MM-KLH'!$B$6:$T$823,2,0),"")</f>
        <v>0</v>
      </c>
      <c r="D441" s="103">
        <f>IFERROR(VLOOKUP(B441,'02. MM-KLH'!$B$6:$T$823,3,0),"")</f>
        <v>0</v>
      </c>
      <c r="E441" s="102">
        <f>IFERROR(VLOOKUP(B441,'02. MM-KLH'!$B$6:$T$823,4,0),"")</f>
        <v>0</v>
      </c>
      <c r="F441" s="146"/>
      <c r="G441" s="102" t="str">
        <f>IFERROR(VLOOKUP(B441,'02. MM-KLH'!$B$6:$T$823,6,0),"")</f>
        <v>Xe nâng điện 2.5 tấn</v>
      </c>
      <c r="H441" s="101" t="s">
        <v>3432</v>
      </c>
      <c r="I441" s="101" t="str">
        <f>IFERROR(VLOOKUP(B441,'02. MM-KLH'!$B$6:$T$823,8,0),"")</f>
        <v>NM NHỰA -XỐP DP</v>
      </c>
      <c r="J441" s="105">
        <f>IFERROR(VLOOKUP(B441,'02. MM-KLH'!$B$6:$T$823,9,0),"")</f>
        <v>0</v>
      </c>
      <c r="K441" s="101" t="str">
        <f>IFERROR(VLOOKUP(B441,'02. MM-KLH'!$B$6:$T$823,10,0),"")</f>
        <v>Bình thường</v>
      </c>
      <c r="L441" s="107">
        <f>IFERROR(VLOOKUP(B441,'02. MM-KLH'!$B$6:$T$823,11,0),"")</f>
        <v>0</v>
      </c>
      <c r="M441" s="864">
        <f>IFERROR(VLOOKUP(B441,'02. MM-KLH'!$B$6:$T$823,12,0),"")</f>
        <v>0</v>
      </c>
      <c r="N441" s="110" t="str">
        <f>IFERROR(VLOOKUP(B441,'02. MM-KLH'!$B$6:$T$823,13,0),"")</f>
        <v>HELI</v>
      </c>
      <c r="O441" s="110" t="str">
        <f>IFERROR(VLOOKUP(B441,'02. MM-KLH'!$B$6:$T$823,14,0),"")</f>
        <v>TRUNG QUỐC</v>
      </c>
      <c r="P441" s="101">
        <f>IFERROR(VLOOKUP(B441,'02. MM-KLH'!$B$6:$T$823,15,0),"")</f>
        <v>2021</v>
      </c>
      <c r="Q441" s="101" t="str">
        <f>IFERROR(VLOOKUP(B441,'02. MM-KLH'!$B$6:$T$823,16,0),"")</f>
        <v>CPD25-GB2LI-H</v>
      </c>
      <c r="R441" s="101">
        <f>IFERROR(VLOOKUP(B441,'02. MM-KLH'!$B$6:$T$823,17,0),"")</f>
        <v>0</v>
      </c>
      <c r="S441" s="110" t="str">
        <f>IFERROR(VLOOKUP(B441,'02. MM-KLH'!$B$6:$T$823,18,0),"")</f>
        <v>05025DF945</v>
      </c>
      <c r="T441" s="111">
        <f>IFERROR(VLOOKUP(B441,'02. MM-KLH'!$B$6:$T$823,19,0),"")</f>
        <v>0</v>
      </c>
      <c r="U441" s="863" t="s">
        <v>451</v>
      </c>
    </row>
    <row r="442" ht="13.5" customHeight="1" spans="1:21">
      <c r="A442" s="101">
        <f t="shared" si="18"/>
        <v>28</v>
      </c>
      <c r="B442" s="104" t="s">
        <v>2967</v>
      </c>
      <c r="C442" s="102">
        <f>IFERROR(VLOOKUP(B442,'02. MM-KLH'!$B$6:$T$823,2,0),"")</f>
        <v>0</v>
      </c>
      <c r="D442" s="103">
        <f>IFERROR(VLOOKUP(B442,'02. MM-KLH'!$B$6:$T$823,3,0),"")</f>
        <v>0</v>
      </c>
      <c r="E442" s="102">
        <f>IFERROR(VLOOKUP(B442,'02. MM-KLH'!$B$6:$T$823,4,0),"")</f>
        <v>0</v>
      </c>
      <c r="F442" s="146"/>
      <c r="G442" s="102" t="str">
        <f>IFERROR(VLOOKUP(B442,'02. MM-KLH'!$B$6:$T$823,6,0),"")</f>
        <v>Xe nâng điện 2.5 tấn</v>
      </c>
      <c r="H442" s="101" t="s">
        <v>3432</v>
      </c>
      <c r="I442" s="101" t="str">
        <f>IFERROR(VLOOKUP(B442,'02. MM-KLH'!$B$6:$T$823,8,0),"")</f>
        <v>NM NHỰA -XỐP DP</v>
      </c>
      <c r="J442" s="105">
        <f>IFERROR(VLOOKUP(B442,'02. MM-KLH'!$B$6:$T$823,9,0),"")</f>
        <v>0</v>
      </c>
      <c r="K442" s="101" t="str">
        <f>IFERROR(VLOOKUP(B442,'02. MM-KLH'!$B$6:$T$823,10,0),"")</f>
        <v>Bình thường</v>
      </c>
      <c r="L442" s="107">
        <f>IFERROR(VLOOKUP(B442,'02. MM-KLH'!$B$6:$T$823,11,0),"")</f>
        <v>0</v>
      </c>
      <c r="M442" s="864">
        <f>IFERROR(VLOOKUP(B442,'02. MM-KLH'!$B$6:$T$823,12,0),"")</f>
        <v>0</v>
      </c>
      <c r="N442" s="110" t="str">
        <f>IFERROR(VLOOKUP(B442,'02. MM-KLH'!$B$6:$T$823,13,0),"")</f>
        <v>HELI</v>
      </c>
      <c r="O442" s="110" t="str">
        <f>IFERROR(VLOOKUP(B442,'02. MM-KLH'!$B$6:$T$823,14,0),"")</f>
        <v>TRUNG QUỐC</v>
      </c>
      <c r="P442" s="101">
        <f>IFERROR(VLOOKUP(B442,'02. MM-KLH'!$B$6:$T$823,15,0),"")</f>
        <v>2021</v>
      </c>
      <c r="Q442" s="101" t="str">
        <f>IFERROR(VLOOKUP(B442,'02. MM-KLH'!$B$6:$T$823,16,0),"")</f>
        <v>CPD25-GB2LI-H</v>
      </c>
      <c r="R442" s="101">
        <f>IFERROR(VLOOKUP(B442,'02. MM-KLH'!$B$6:$T$823,17,0),"")</f>
        <v>0</v>
      </c>
      <c r="S442" s="110" t="str">
        <f>IFERROR(VLOOKUP(B442,'02. MM-KLH'!$B$6:$T$823,18,0),"")</f>
        <v>05025DF7946</v>
      </c>
      <c r="T442" s="111">
        <f>IFERROR(VLOOKUP(B442,'02. MM-KLH'!$B$6:$T$823,19,0),"")</f>
        <v>0</v>
      </c>
      <c r="U442" s="863" t="s">
        <v>451</v>
      </c>
    </row>
    <row r="443" ht="13.5" customHeight="1" spans="1:21">
      <c r="A443" s="101">
        <f t="shared" si="18"/>
        <v>29</v>
      </c>
      <c r="B443" s="104" t="s">
        <v>2969</v>
      </c>
      <c r="C443" s="102">
        <f>IFERROR(VLOOKUP(B443,'02. MM-KLH'!$B$6:$T$823,2,0),"")</f>
        <v>0</v>
      </c>
      <c r="D443" s="103">
        <f>IFERROR(VLOOKUP(B443,'02. MM-KLH'!$B$6:$T$823,3,0),"")</f>
        <v>0</v>
      </c>
      <c r="E443" s="102">
        <f>IFERROR(VLOOKUP(B443,'02. MM-KLH'!$B$6:$T$823,4,0),"")</f>
        <v>0</v>
      </c>
      <c r="F443" s="146"/>
      <c r="G443" s="102" t="str">
        <f>IFERROR(VLOOKUP(B443,'02. MM-KLH'!$B$6:$T$823,6,0),"")</f>
        <v>Xe nâng điện 3.5 tấn</v>
      </c>
      <c r="H443" s="101" t="s">
        <v>3432</v>
      </c>
      <c r="I443" s="101" t="str">
        <f>IFERROR(VLOOKUP(B443,'02. MM-KLH'!$B$6:$T$823,8,0),"")</f>
        <v>NM NHỰA -XỐP DP</v>
      </c>
      <c r="J443" s="105">
        <f>IFERROR(VLOOKUP(B443,'02. MM-KLH'!$B$6:$T$823,9,0),"")</f>
        <v>0</v>
      </c>
      <c r="K443" s="101" t="str">
        <f>IFERROR(VLOOKUP(B443,'02. MM-KLH'!$B$6:$T$823,10,0),"")</f>
        <v>Bình thường</v>
      </c>
      <c r="L443" s="107">
        <f>IFERROR(VLOOKUP(B443,'02. MM-KLH'!$B$6:$T$823,11,0),"")</f>
        <v>0</v>
      </c>
      <c r="M443" s="864">
        <f>IFERROR(VLOOKUP(B443,'02. MM-KLH'!$B$6:$T$823,12,0),"")</f>
        <v>0</v>
      </c>
      <c r="N443" s="110" t="str">
        <f>IFERROR(VLOOKUP(B443,'02. MM-KLH'!$B$6:$T$823,13,0),"")</f>
        <v>HELI</v>
      </c>
      <c r="O443" s="110" t="str">
        <f>IFERROR(VLOOKUP(B443,'02. MM-KLH'!$B$6:$T$823,14,0),"")</f>
        <v>TRUNG QUỐC</v>
      </c>
      <c r="P443" s="101">
        <f>IFERROR(VLOOKUP(B443,'02. MM-KLH'!$B$6:$T$823,15,0),"")</f>
        <v>2021</v>
      </c>
      <c r="Q443" s="101" t="str">
        <f>IFERROR(VLOOKUP(B443,'02. MM-KLH'!$B$6:$T$823,16,0),"")</f>
        <v>CPD35-GB2LI-H</v>
      </c>
      <c r="R443" s="101">
        <f>IFERROR(VLOOKUP(B443,'02. MM-KLH'!$B$6:$T$823,17,0),"")</f>
        <v>0</v>
      </c>
      <c r="S443" s="110" t="str">
        <f>IFERROR(VLOOKUP(B443,'02. MM-KLH'!$B$6:$T$823,18,0),"")</f>
        <v>05035DF8691</v>
      </c>
      <c r="T443" s="111">
        <f>IFERROR(VLOOKUP(B443,'02. MM-KLH'!$B$6:$T$823,19,0),"")</f>
        <v>0</v>
      </c>
      <c r="U443" s="863" t="s">
        <v>451</v>
      </c>
    </row>
    <row r="444" ht="13.5" customHeight="1" spans="1:21">
      <c r="A444" s="101">
        <f t="shared" si="18"/>
        <v>30</v>
      </c>
      <c r="B444" s="104" t="s">
        <v>2972</v>
      </c>
      <c r="C444" s="102">
        <f>IFERROR(VLOOKUP(B444,'02. MM-KLH'!$B$6:$T$823,2,0),"")</f>
        <v>0</v>
      </c>
      <c r="D444" s="103">
        <f>IFERROR(VLOOKUP(B444,'02. MM-KLH'!$B$6:$T$823,3,0),"")</f>
        <v>0</v>
      </c>
      <c r="E444" s="102">
        <f>IFERROR(VLOOKUP(B444,'02. MM-KLH'!$B$6:$T$823,4,0),"")</f>
        <v>0</v>
      </c>
      <c r="F444" s="146"/>
      <c r="G444" s="102" t="str">
        <f>IFERROR(VLOOKUP(B444,'02. MM-KLH'!$B$6:$T$823,6,0),"")</f>
        <v>Xe nâng điện 5 tấn</v>
      </c>
      <c r="H444" s="101" t="s">
        <v>3432</v>
      </c>
      <c r="I444" s="101" t="str">
        <f>IFERROR(VLOOKUP(B444,'02. MM-KLH'!$B$6:$T$823,8,0),"")</f>
        <v>NM NHỰA -XỐP DP</v>
      </c>
      <c r="J444" s="105">
        <f>IFERROR(VLOOKUP(B444,'02. MM-KLH'!$B$6:$T$823,9,0),"")</f>
        <v>0</v>
      </c>
      <c r="K444" s="101" t="str">
        <f>IFERROR(VLOOKUP(B444,'02. MM-KLH'!$B$6:$T$823,10,0),"")</f>
        <v>Bình thường</v>
      </c>
      <c r="L444" s="107">
        <f>IFERROR(VLOOKUP(B444,'02. MM-KLH'!$B$6:$T$823,11,0),"")</f>
        <v>0</v>
      </c>
      <c r="M444" s="864">
        <f>IFERROR(VLOOKUP(B444,'02. MM-KLH'!$B$6:$T$823,12,0),"")</f>
        <v>0</v>
      </c>
      <c r="N444" s="110" t="str">
        <f>IFERROR(VLOOKUP(B444,'02. MM-KLH'!$B$6:$T$823,13,0),"")</f>
        <v>HELI</v>
      </c>
      <c r="O444" s="110" t="str">
        <f>IFERROR(VLOOKUP(B444,'02. MM-KLH'!$B$6:$T$823,14,0),"")</f>
        <v>TRUNG QUỐC</v>
      </c>
      <c r="P444" s="101">
        <f>IFERROR(VLOOKUP(B444,'02. MM-KLH'!$B$6:$T$823,15,0),"")</f>
        <v>2021</v>
      </c>
      <c r="Q444" s="101" t="str">
        <f>IFERROR(VLOOKUP(B444,'02. MM-KLH'!$B$6:$T$823,16,0),"")</f>
        <v>CPD50-GB2LI</v>
      </c>
      <c r="R444" s="101">
        <f>IFERROR(VLOOKUP(B444,'02. MM-KLH'!$B$6:$T$823,17,0),"")</f>
        <v>0</v>
      </c>
      <c r="S444" s="110" t="str">
        <f>IFERROR(VLOOKUP(B444,'02. MM-KLH'!$B$6:$T$823,18,0),"")</f>
        <v>05050DF9070</v>
      </c>
      <c r="T444" s="111">
        <f>IFERROR(VLOOKUP(B444,'02. MM-KLH'!$B$6:$T$823,19,0),"")</f>
        <v>0</v>
      </c>
      <c r="U444" s="863" t="s">
        <v>451</v>
      </c>
    </row>
    <row r="445" ht="13.5" customHeight="1" spans="1:21">
      <c r="A445" s="101">
        <f t="shared" si="18"/>
        <v>31</v>
      </c>
      <c r="B445" s="104" t="s">
        <v>2975</v>
      </c>
      <c r="C445" s="102">
        <f>IFERROR(VLOOKUP(B445,'02. MM-KLH'!$B$6:$T$823,2,0),"")</f>
        <v>0</v>
      </c>
      <c r="D445" s="103">
        <f>IFERROR(VLOOKUP(B445,'02. MM-KLH'!$B$6:$T$823,3,0),"")</f>
        <v>0</v>
      </c>
      <c r="E445" s="102">
        <f>IFERROR(VLOOKUP(B445,'02. MM-KLH'!$B$6:$T$823,4,0),"")</f>
        <v>0</v>
      </c>
      <c r="F445" s="146"/>
      <c r="G445" s="102" t="str">
        <f>IFERROR(VLOOKUP(B445,'02. MM-KLH'!$B$6:$T$823,6,0),"")</f>
        <v>Xe nâng điện 5 tấn</v>
      </c>
      <c r="H445" s="101" t="s">
        <v>3432</v>
      </c>
      <c r="I445" s="101" t="str">
        <f>IFERROR(VLOOKUP(B445,'02. MM-KLH'!$B$6:$T$823,8,0),"")</f>
        <v>NM NHỰA -XỐP DP</v>
      </c>
      <c r="J445" s="105">
        <f>IFERROR(VLOOKUP(B445,'02. MM-KLH'!$B$6:$T$823,9,0),"")</f>
        <v>0</v>
      </c>
      <c r="K445" s="101" t="str">
        <f>IFERROR(VLOOKUP(B445,'02. MM-KLH'!$B$6:$T$823,10,0),"")</f>
        <v>Bình thường</v>
      </c>
      <c r="L445" s="107">
        <f>IFERROR(VLOOKUP(B445,'02. MM-KLH'!$B$6:$T$823,11,0),"")</f>
        <v>0</v>
      </c>
      <c r="M445" s="864">
        <f>IFERROR(VLOOKUP(B445,'02. MM-KLH'!$B$6:$T$823,12,0),"")</f>
        <v>0</v>
      </c>
      <c r="N445" s="110" t="str">
        <f>IFERROR(VLOOKUP(B445,'02. MM-KLH'!$B$6:$T$823,13,0),"")</f>
        <v>HELI</v>
      </c>
      <c r="O445" s="110" t="str">
        <f>IFERROR(VLOOKUP(B445,'02. MM-KLH'!$B$6:$T$823,14,0),"")</f>
        <v>TRUNG QUỐC</v>
      </c>
      <c r="P445" s="101">
        <f>IFERROR(VLOOKUP(B445,'02. MM-KLH'!$B$6:$T$823,15,0),"")</f>
        <v>2021</v>
      </c>
      <c r="Q445" s="101" t="str">
        <f>IFERROR(VLOOKUP(B445,'02. MM-KLH'!$B$6:$T$823,16,0),"")</f>
        <v>CPD50-GB2LI</v>
      </c>
      <c r="R445" s="101">
        <f>IFERROR(VLOOKUP(B445,'02. MM-KLH'!$B$6:$T$823,17,0),"")</f>
        <v>0</v>
      </c>
      <c r="S445" s="110" t="str">
        <f>IFERROR(VLOOKUP(B445,'02. MM-KLH'!$B$6:$T$823,18,0),"")</f>
        <v>05050DF9069</v>
      </c>
      <c r="T445" s="111">
        <f>IFERROR(VLOOKUP(B445,'02. MM-KLH'!$B$6:$T$823,19,0),"")</f>
        <v>0</v>
      </c>
      <c r="U445" s="863" t="s">
        <v>451</v>
      </c>
    </row>
    <row r="446" ht="13.5" customHeight="1" spans="1:21">
      <c r="A446" s="101">
        <f t="shared" si="18"/>
        <v>32</v>
      </c>
      <c r="B446" s="104" t="s">
        <v>2978</v>
      </c>
      <c r="C446" s="102">
        <f>IFERROR(VLOOKUP(B446,'02. MM-KLH'!$B$6:$T$823,2,0),"")</f>
        <v>0</v>
      </c>
      <c r="D446" s="103">
        <f>IFERROR(VLOOKUP(B446,'02. MM-KLH'!$B$6:$T$823,3,0),"")</f>
        <v>0</v>
      </c>
      <c r="E446" s="102">
        <f>IFERROR(VLOOKUP(B446,'02. MM-KLH'!$B$6:$T$823,4,0),"")</f>
        <v>0</v>
      </c>
      <c r="F446" s="146"/>
      <c r="G446" s="102" t="str">
        <f>IFERROR(VLOOKUP(B446,'02. MM-KLH'!$B$6:$T$823,6,0),"")</f>
        <v>Xe nâng điện 1.5 tấn</v>
      </c>
      <c r="H446" s="101" t="s">
        <v>3432</v>
      </c>
      <c r="I446" s="101" t="str">
        <f>IFERROR(VLOOKUP(B446,'02. MM-KLH'!$B$6:$T$823,8,0),"")</f>
        <v>Tổng kho</v>
      </c>
      <c r="J446" s="105">
        <f>IFERROR(VLOOKUP(B446,'02. MM-KLH'!$B$6:$T$823,9,0),"")</f>
        <v>0</v>
      </c>
      <c r="K446" s="101" t="str">
        <f>IFERROR(VLOOKUP(B446,'02. MM-KLH'!$B$6:$T$823,10,0),"")</f>
        <v>Hư hỏng</v>
      </c>
      <c r="L446" s="107">
        <f>IFERROR(VLOOKUP(B446,'02. MM-KLH'!$B$6:$T$823,11,0),"")</f>
        <v>0</v>
      </c>
      <c r="M446" s="864" t="str">
        <f>IFERROR(VLOOKUP(B446,'02. MM-KLH'!$B$6:$T$823,12,0),"")</f>
        <v>Xe lỗi hệ thống điện cảm biến không hoạt động được.</v>
      </c>
      <c r="N446" s="110" t="str">
        <f>IFERROR(VLOOKUP(B446,'02. MM-KLH'!$B$6:$T$823,13,0),"")</f>
        <v>HELI</v>
      </c>
      <c r="O446" s="110">
        <f>IFERROR(VLOOKUP(B446,'02. MM-KLH'!$B$6:$T$823,14,0),"")</f>
        <v>0</v>
      </c>
      <c r="P446" s="101">
        <f>IFERROR(VLOOKUP(B446,'02. MM-KLH'!$B$6:$T$823,15,0),"")</f>
        <v>2023</v>
      </c>
      <c r="Q446" s="101" t="str">
        <f>IFERROR(VLOOKUP(B446,'02. MM-KLH'!$B$6:$T$823,16,0),"")</f>
        <v>CPD15</v>
      </c>
      <c r="R446" s="101">
        <f>IFERROR(VLOOKUP(B446,'02. MM-KLH'!$B$6:$T$823,17,0),"")</f>
        <v>0</v>
      </c>
      <c r="S446" s="110">
        <f>IFERROR(VLOOKUP(B446,'02. MM-KLH'!$B$6:$T$823,18,0),"")</f>
        <v>1501190032</v>
      </c>
      <c r="T446" s="111">
        <f>IFERROR(VLOOKUP(B446,'02. MM-KLH'!$B$6:$T$823,19,0),"")</f>
        <v>0</v>
      </c>
      <c r="U446" s="863" t="s">
        <v>451</v>
      </c>
    </row>
    <row r="447" ht="13.5" customHeight="1" spans="1:21">
      <c r="A447" s="101">
        <f t="shared" si="18"/>
        <v>33</v>
      </c>
      <c r="B447" s="104" t="s">
        <v>2981</v>
      </c>
      <c r="C447" s="102">
        <f>IFERROR(VLOOKUP(B447,'02. MM-KLH'!$B$6:$T$823,2,0),"")</f>
        <v>0</v>
      </c>
      <c r="D447" s="103">
        <f>IFERROR(VLOOKUP(B447,'02. MM-KLH'!$B$6:$T$823,3,0),"")</f>
        <v>0</v>
      </c>
      <c r="E447" s="102">
        <f>IFERROR(VLOOKUP(B447,'02. MM-KLH'!$B$6:$T$823,4,0),"")</f>
        <v>0</v>
      </c>
      <c r="F447" s="146"/>
      <c r="G447" s="102" t="str">
        <f>IFERROR(VLOOKUP(B447,'02. MM-KLH'!$B$6:$T$823,6,0),"")</f>
        <v>Xe nâng điện 2.5 tấn</v>
      </c>
      <c r="H447" s="101" t="s">
        <v>3432</v>
      </c>
      <c r="I447" s="101" t="str">
        <f>IFERROR(VLOOKUP(B447,'02. MM-KLH'!$B$6:$T$823,8,0),"")</f>
        <v>Tổng kho</v>
      </c>
      <c r="J447" s="105">
        <f>IFERROR(VLOOKUP(B447,'02. MM-KLH'!$B$6:$T$823,9,0),"")</f>
        <v>0</v>
      </c>
      <c r="K447" s="101" t="str">
        <f>IFERROR(VLOOKUP(B447,'02. MM-KLH'!$B$6:$T$823,10,0),"")</f>
        <v>Bình thường</v>
      </c>
      <c r="L447" s="107">
        <f>IFERROR(VLOOKUP(B447,'02. MM-KLH'!$B$6:$T$823,11,0),"")</f>
        <v>0</v>
      </c>
      <c r="M447" s="864" t="str">
        <f>IFERROR(VLOOKUP(B447,'02. MM-KLH'!$B$6:$T$823,12,0),"")</f>
        <v>Xe lỗi hệ thống thủy lực (chỉ nâng được dưới 1 tấn).</v>
      </c>
      <c r="N447" s="110" t="str">
        <f>IFERROR(VLOOKUP(B447,'02. MM-KLH'!$B$6:$T$823,13,0),"")</f>
        <v>HELI</v>
      </c>
      <c r="O447" s="110">
        <f>IFERROR(VLOOKUP(B447,'02. MM-KLH'!$B$6:$T$823,14,0),"")</f>
        <v>0</v>
      </c>
      <c r="P447" s="101">
        <f>IFERROR(VLOOKUP(B447,'02. MM-KLH'!$B$6:$T$823,15,0),"")</f>
        <v>2023</v>
      </c>
      <c r="Q447" s="101" t="str">
        <f>IFERROR(VLOOKUP(B447,'02. MM-KLH'!$B$6:$T$823,16,0),"")</f>
        <v>CPD25</v>
      </c>
      <c r="R447" s="101">
        <f>IFERROR(VLOOKUP(B447,'02. MM-KLH'!$B$6:$T$823,17,0),"")</f>
        <v>0</v>
      </c>
      <c r="S447" s="110" t="str">
        <f>IFERROR(VLOOKUP(B447,'02. MM-KLH'!$B$6:$T$823,18,0),"")</f>
        <v>05025DH3158</v>
      </c>
      <c r="T447" s="111">
        <f>IFERROR(VLOOKUP(B447,'02. MM-KLH'!$B$6:$T$823,19,0),"")</f>
        <v>0</v>
      </c>
      <c r="U447" s="863" t="s">
        <v>451</v>
      </c>
    </row>
    <row r="448" ht="13.5" customHeight="1" spans="1:21">
      <c r="A448" s="101">
        <f t="shared" si="18"/>
        <v>34</v>
      </c>
      <c r="B448" s="104" t="s">
        <v>2985</v>
      </c>
      <c r="C448" s="102">
        <f>IFERROR(VLOOKUP(B448,'02. MM-KLH'!$B$6:$T$823,2,0),"")</f>
        <v>0</v>
      </c>
      <c r="D448" s="103">
        <f>IFERROR(VLOOKUP(B448,'02. MM-KLH'!$B$6:$T$823,3,0),"")</f>
        <v>0</v>
      </c>
      <c r="E448" s="102">
        <f>IFERROR(VLOOKUP(B448,'02. MM-KLH'!$B$6:$T$823,4,0),"")</f>
        <v>0</v>
      </c>
      <c r="F448" s="146"/>
      <c r="G448" s="102" t="str">
        <f>IFERROR(VLOOKUP(B448,'02. MM-KLH'!$B$6:$T$823,6,0),"")</f>
        <v>Xe nâng điện 1.5 tấn</v>
      </c>
      <c r="H448" s="101" t="s">
        <v>3432</v>
      </c>
      <c r="I448" s="101" t="str">
        <f>IFERROR(VLOOKUP(B448,'02. MM-KLH'!$B$6:$T$823,8,0),"")</f>
        <v>Tổng kho</v>
      </c>
      <c r="J448" s="105">
        <f>IFERROR(VLOOKUP(B448,'02. MM-KLH'!$B$6:$T$823,9,0),"")</f>
        <v>0</v>
      </c>
      <c r="K448" s="101" t="str">
        <f>IFERROR(VLOOKUP(B448,'02. MM-KLH'!$B$6:$T$823,10,0),"")</f>
        <v>Bình thường</v>
      </c>
      <c r="L448" s="107">
        <f>IFERROR(VLOOKUP(B448,'02. MM-KLH'!$B$6:$T$823,11,0),"")</f>
        <v>0</v>
      </c>
      <c r="M448" s="864" t="str">
        <f>IFERROR(VLOOKUP(B448,'02. MM-KLH'!$B$6:$T$823,12,0),"")</f>
        <v>Xe đang hoạt động</v>
      </c>
      <c r="N448" s="110" t="str">
        <f>IFERROR(VLOOKUP(B448,'02. MM-KLH'!$B$6:$T$823,13,0),"")</f>
        <v>BYD</v>
      </c>
      <c r="O448" s="110">
        <f>IFERROR(VLOOKUP(B448,'02. MM-KLH'!$B$6:$T$823,14,0),"")</f>
        <v>0</v>
      </c>
      <c r="P448" s="101">
        <f>IFERROR(VLOOKUP(B448,'02. MM-KLH'!$B$6:$T$823,15,0),"")</f>
        <v>2021</v>
      </c>
      <c r="Q448" s="101" t="str">
        <f>IFERROR(VLOOKUP(B448,'02. MM-KLH'!$B$6:$T$823,16,0),"")</f>
        <v>ECP16S</v>
      </c>
      <c r="R448" s="101">
        <f>IFERROR(VLOOKUP(B448,'02. MM-KLH'!$B$6:$T$823,17,0),"")</f>
        <v>0</v>
      </c>
      <c r="S448" s="110">
        <f>IFERROR(VLOOKUP(B448,'02. MM-KLH'!$B$6:$T$823,18,0),"")</f>
        <v>1501190033</v>
      </c>
      <c r="T448" s="111">
        <f>IFERROR(VLOOKUP(B448,'02. MM-KLH'!$B$6:$T$823,19,0),"")</f>
        <v>0</v>
      </c>
      <c r="U448" s="863" t="s">
        <v>451</v>
      </c>
    </row>
    <row r="449" ht="13.5" customHeight="1" spans="1:21">
      <c r="A449" s="101">
        <f t="shared" si="18"/>
        <v>35</v>
      </c>
      <c r="B449" s="104" t="s">
        <v>2988</v>
      </c>
      <c r="C449" s="102">
        <f>IFERROR(VLOOKUP(B449,'02. MM-KLH'!$B$6:$T$823,2,0),"")</f>
        <v>0</v>
      </c>
      <c r="D449" s="103">
        <f>IFERROR(VLOOKUP(B449,'02. MM-KLH'!$B$6:$T$823,3,0),"")</f>
        <v>0</v>
      </c>
      <c r="E449" s="102">
        <f>IFERROR(VLOOKUP(B449,'02. MM-KLH'!$B$6:$T$823,4,0),"")</f>
        <v>0</v>
      </c>
      <c r="F449" s="146"/>
      <c r="G449" s="102" t="str">
        <f>IFERROR(VLOOKUP(B449,'02. MM-KLH'!$B$6:$T$823,6,0),"")</f>
        <v>Xe nâng điện 1.5 tấn</v>
      </c>
      <c r="H449" s="101" t="s">
        <v>3432</v>
      </c>
      <c r="I449" s="101" t="str">
        <f>IFERROR(VLOOKUP(B449,'02. MM-KLH'!$B$6:$T$823,8,0),"")</f>
        <v>Tổng kho</v>
      </c>
      <c r="J449" s="105">
        <f>IFERROR(VLOOKUP(B449,'02. MM-KLH'!$B$6:$T$823,9,0),"")</f>
        <v>0</v>
      </c>
      <c r="K449" s="101" t="str">
        <f>IFERROR(VLOOKUP(B449,'02. MM-KLH'!$B$6:$T$823,10,0),"")</f>
        <v>Bình thường</v>
      </c>
      <c r="L449" s="107">
        <f>IFERROR(VLOOKUP(B449,'02. MM-KLH'!$B$6:$T$823,11,0),"")</f>
        <v>0</v>
      </c>
      <c r="M449" s="864" t="str">
        <f>IFERROR(VLOOKUP(B449,'02. MM-KLH'!$B$6:$T$823,12,0),"")</f>
        <v>Xe đang hoạt động</v>
      </c>
      <c r="N449" s="110" t="str">
        <f>IFERROR(VLOOKUP(B449,'02. MM-KLH'!$B$6:$T$823,13,0),"")</f>
        <v>BYD</v>
      </c>
      <c r="O449" s="110">
        <f>IFERROR(VLOOKUP(B449,'02. MM-KLH'!$B$6:$T$823,14,0),"")</f>
        <v>0</v>
      </c>
      <c r="P449" s="101">
        <f>IFERROR(VLOOKUP(B449,'02. MM-KLH'!$B$6:$T$823,15,0),"")</f>
        <v>2021</v>
      </c>
      <c r="Q449" s="101" t="str">
        <f>IFERROR(VLOOKUP(B449,'02. MM-KLH'!$B$6:$T$823,16,0),"")</f>
        <v>ECP16S</v>
      </c>
      <c r="R449" s="101">
        <f>IFERROR(VLOOKUP(B449,'02. MM-KLH'!$B$6:$T$823,17,0),"")</f>
        <v>0</v>
      </c>
      <c r="S449" s="110">
        <f>IFERROR(VLOOKUP(B449,'02. MM-KLH'!$B$6:$T$823,18,0),"")</f>
        <v>1501190062</v>
      </c>
      <c r="T449" s="111">
        <f>IFERROR(VLOOKUP(B449,'02. MM-KLH'!$B$6:$T$823,19,0),"")</f>
        <v>0</v>
      </c>
      <c r="U449" s="863" t="s">
        <v>451</v>
      </c>
    </row>
    <row r="450" ht="13.5" customHeight="1" spans="1:21">
      <c r="A450" s="101">
        <f t="shared" si="18"/>
        <v>36</v>
      </c>
      <c r="B450" s="104" t="s">
        <v>2989</v>
      </c>
      <c r="C450" s="102">
        <f>IFERROR(VLOOKUP(B450,'02. MM-KLH'!$B$6:$T$823,2,0),"")</f>
        <v>0</v>
      </c>
      <c r="D450" s="103">
        <f>IFERROR(VLOOKUP(B450,'02. MM-KLH'!$B$6:$T$823,3,0),"")</f>
        <v>0</v>
      </c>
      <c r="E450" s="102">
        <f>IFERROR(VLOOKUP(B450,'02. MM-KLH'!$B$6:$T$823,4,0),"")</f>
        <v>0</v>
      </c>
      <c r="F450" s="146"/>
      <c r="G450" s="102" t="str">
        <f>IFERROR(VLOOKUP(B450,'02. MM-KLH'!$B$6:$T$823,6,0),"")</f>
        <v>Xe nâng điện 1.5 tấn</v>
      </c>
      <c r="H450" s="101" t="s">
        <v>3432</v>
      </c>
      <c r="I450" s="101" t="str">
        <f>IFERROR(VLOOKUP(B450,'02. MM-KLH'!$B$6:$T$823,8,0),"")</f>
        <v>Tổng kho</v>
      </c>
      <c r="J450" s="105">
        <f>IFERROR(VLOOKUP(B450,'02. MM-KLH'!$B$6:$T$823,9,0),"")</f>
        <v>0</v>
      </c>
      <c r="K450" s="101" t="str">
        <f>IFERROR(VLOOKUP(B450,'02. MM-KLH'!$B$6:$T$823,10,0),"")</f>
        <v>Bình thường</v>
      </c>
      <c r="L450" s="107">
        <f>IFERROR(VLOOKUP(B450,'02. MM-KLH'!$B$6:$T$823,11,0),"")</f>
        <v>0</v>
      </c>
      <c r="M450" s="864" t="str">
        <f>IFERROR(VLOOKUP(B450,'02. MM-KLH'!$B$6:$T$823,12,0),"")</f>
        <v>Xe đang hoạt động</v>
      </c>
      <c r="N450" s="110" t="str">
        <f>IFERROR(VLOOKUP(B450,'02. MM-KLH'!$B$6:$T$823,13,0),"")</f>
        <v>BYD</v>
      </c>
      <c r="O450" s="110">
        <f>IFERROR(VLOOKUP(B450,'02. MM-KLH'!$B$6:$T$823,14,0),"")</f>
        <v>0</v>
      </c>
      <c r="P450" s="101">
        <f>IFERROR(VLOOKUP(B450,'02. MM-KLH'!$B$6:$T$823,15,0),"")</f>
        <v>2021</v>
      </c>
      <c r="Q450" s="101" t="str">
        <f>IFERROR(VLOOKUP(B450,'02. MM-KLH'!$B$6:$T$823,16,0),"")</f>
        <v>ECP16S</v>
      </c>
      <c r="R450" s="101">
        <f>IFERROR(VLOOKUP(B450,'02. MM-KLH'!$B$6:$T$823,17,0),"")</f>
        <v>0</v>
      </c>
      <c r="S450" s="110">
        <f>IFERROR(VLOOKUP(B450,'02. MM-KLH'!$B$6:$T$823,18,0),"")</f>
        <v>1501190058</v>
      </c>
      <c r="T450" s="111">
        <f>IFERROR(VLOOKUP(B450,'02. MM-KLH'!$B$6:$T$823,19,0),"")</f>
        <v>0</v>
      </c>
      <c r="U450" s="863" t="s">
        <v>451</v>
      </c>
    </row>
    <row r="451" ht="13.5" customHeight="1" spans="1:21">
      <c r="A451" s="101">
        <f t="shared" si="18"/>
        <v>37</v>
      </c>
      <c r="B451" s="104" t="s">
        <v>2990</v>
      </c>
      <c r="C451" s="102">
        <f>IFERROR(VLOOKUP(B451,'02. MM-KLH'!$B$6:$T$823,2,0),"")</f>
        <v>0</v>
      </c>
      <c r="D451" s="103">
        <f>IFERROR(VLOOKUP(B451,'02. MM-KLH'!$B$6:$T$823,3,0),"")</f>
        <v>0</v>
      </c>
      <c r="E451" s="102">
        <f>IFERROR(VLOOKUP(B451,'02. MM-KLH'!$B$6:$T$823,4,0),"")</f>
        <v>0</v>
      </c>
      <c r="F451" s="146"/>
      <c r="G451" s="102" t="str">
        <f>IFERROR(VLOOKUP(B451,'02. MM-KLH'!$B$6:$T$823,6,0),"")</f>
        <v>Xe nâng điện 1.5 tấn</v>
      </c>
      <c r="H451" s="101" t="s">
        <v>3432</v>
      </c>
      <c r="I451" s="101" t="str">
        <f>IFERROR(VLOOKUP(B451,'02. MM-KLH'!$B$6:$T$823,8,0),"")</f>
        <v>Tổng kho</v>
      </c>
      <c r="J451" s="105">
        <f>IFERROR(VLOOKUP(B451,'02. MM-KLH'!$B$6:$T$823,9,0),"")</f>
        <v>0</v>
      </c>
      <c r="K451" s="101" t="str">
        <f>IFERROR(VLOOKUP(B451,'02. MM-KLH'!$B$6:$T$823,10,0),"")</f>
        <v>Hư hỏng</v>
      </c>
      <c r="L451" s="107">
        <f>IFERROR(VLOOKUP(B451,'02. MM-KLH'!$B$6:$T$823,11,0),"")</f>
        <v>0</v>
      </c>
      <c r="M451" s="864" t="str">
        <f>IFERROR(VLOOKUP(B451,'02. MM-KLH'!$B$6:$T$823,12,0),"")</f>
        <v>Xe hỏng không hoạt động được.</v>
      </c>
      <c r="N451" s="110" t="str">
        <f>IFERROR(VLOOKUP(B451,'02. MM-KLH'!$B$6:$T$823,13,0),"")</f>
        <v>BYD</v>
      </c>
      <c r="O451" s="110">
        <f>IFERROR(VLOOKUP(B451,'02. MM-KLH'!$B$6:$T$823,14,0),"")</f>
        <v>0</v>
      </c>
      <c r="P451" s="101">
        <f>IFERROR(VLOOKUP(B451,'02. MM-KLH'!$B$6:$T$823,15,0),"")</f>
        <v>2021</v>
      </c>
      <c r="Q451" s="101" t="str">
        <f>IFERROR(VLOOKUP(B451,'02. MM-KLH'!$B$6:$T$823,16,0),"")</f>
        <v>ECP16S</v>
      </c>
      <c r="R451" s="101">
        <f>IFERROR(VLOOKUP(B451,'02. MM-KLH'!$B$6:$T$823,17,0),"")</f>
        <v>0</v>
      </c>
      <c r="S451" s="110">
        <f>IFERROR(VLOOKUP(B451,'02. MM-KLH'!$B$6:$T$823,18,0),"")</f>
        <v>1501190065</v>
      </c>
      <c r="T451" s="111">
        <f>IFERROR(VLOOKUP(B451,'02. MM-KLH'!$B$6:$T$823,19,0),"")</f>
        <v>0</v>
      </c>
      <c r="U451" s="863" t="s">
        <v>451</v>
      </c>
    </row>
    <row r="452" ht="13.5" customHeight="1" spans="1:21">
      <c r="A452" s="101">
        <f t="shared" si="18"/>
        <v>38</v>
      </c>
      <c r="B452" s="104" t="s">
        <v>2992</v>
      </c>
      <c r="C452" s="102">
        <f>IFERROR(VLOOKUP(B452,'02. MM-KLH'!$B$6:$T$823,2,0),"")</f>
        <v>0</v>
      </c>
      <c r="D452" s="103">
        <f>IFERROR(VLOOKUP(B452,'02. MM-KLH'!$B$6:$T$823,3,0),"")</f>
        <v>0</v>
      </c>
      <c r="E452" s="102">
        <f>IFERROR(VLOOKUP(B452,'02. MM-KLH'!$B$6:$T$823,4,0),"")</f>
        <v>0</v>
      </c>
      <c r="F452" s="146"/>
      <c r="G452" s="102" t="str">
        <f>IFERROR(VLOOKUP(B452,'02. MM-KLH'!$B$6:$T$823,6,0),"")</f>
        <v>Xe nâng điện 1.5 tấn</v>
      </c>
      <c r="H452" s="101" t="s">
        <v>3432</v>
      </c>
      <c r="I452" s="101" t="str">
        <f>IFERROR(VLOOKUP(B452,'02. MM-KLH'!$B$6:$T$823,8,0),"")</f>
        <v>Tổng kho</v>
      </c>
      <c r="J452" s="105">
        <f>IFERROR(VLOOKUP(B452,'02. MM-KLH'!$B$6:$T$823,9,0),"")</f>
        <v>0</v>
      </c>
      <c r="K452" s="101" t="str">
        <f>IFERROR(VLOOKUP(B452,'02. MM-KLH'!$B$6:$T$823,10,0),"")</f>
        <v>Hư hỏng</v>
      </c>
      <c r="L452" s="107">
        <f>IFERROR(VLOOKUP(B452,'02. MM-KLH'!$B$6:$T$823,11,0),"")</f>
        <v>0</v>
      </c>
      <c r="M452" s="864" t="str">
        <f>IFERROR(VLOOKUP(B452,'02. MM-KLH'!$B$6:$T$823,12,0),"")</f>
        <v>Xe hỏng không hoạt động được.</v>
      </c>
      <c r="N452" s="110" t="str">
        <f>IFERROR(VLOOKUP(B452,'02. MM-KLH'!$B$6:$T$823,13,0),"")</f>
        <v>KOMATSU</v>
      </c>
      <c r="O452" s="110">
        <f>IFERROR(VLOOKUP(B452,'02. MM-KLH'!$B$6:$T$823,14,0),"")</f>
        <v>0</v>
      </c>
      <c r="P452" s="101">
        <f>IFERROR(VLOOKUP(B452,'02. MM-KLH'!$B$6:$T$823,15,0),"")</f>
        <v>2007</v>
      </c>
      <c r="Q452" s="101" t="str">
        <f>IFERROR(VLOOKUP(B452,'02. MM-KLH'!$B$6:$T$823,16,0),"")</f>
        <v>FB15EX-11</v>
      </c>
      <c r="R452" s="101">
        <f>IFERROR(VLOOKUP(B452,'02. MM-KLH'!$B$6:$T$823,17,0),"")</f>
        <v>0</v>
      </c>
      <c r="S452" s="110">
        <f>IFERROR(VLOOKUP(B452,'02. MM-KLH'!$B$6:$T$823,18,0),"")</f>
        <v>809168</v>
      </c>
      <c r="T452" s="111">
        <f>IFERROR(VLOOKUP(B452,'02. MM-KLH'!$B$6:$T$823,19,0),"")</f>
        <v>0</v>
      </c>
      <c r="U452" s="863" t="s">
        <v>451</v>
      </c>
    </row>
    <row r="453" ht="13.5" customHeight="1" spans="1:21">
      <c r="A453" s="101">
        <f t="shared" si="18"/>
        <v>39</v>
      </c>
      <c r="B453" s="104" t="s">
        <v>2993</v>
      </c>
      <c r="C453" s="102">
        <f>IFERROR(VLOOKUP(B453,'02. MM-KLH'!$B$6:$T$823,2,0),"")</f>
        <v>0</v>
      </c>
      <c r="D453" s="103">
        <f>IFERROR(VLOOKUP(B453,'02. MM-KLH'!$B$6:$T$823,3,0),"")</f>
        <v>0</v>
      </c>
      <c r="E453" s="102">
        <f>IFERROR(VLOOKUP(B453,'02. MM-KLH'!$B$6:$T$823,4,0),"")</f>
        <v>0</v>
      </c>
      <c r="F453" s="146"/>
      <c r="G453" s="102" t="str">
        <f>IFERROR(VLOOKUP(B453,'02. MM-KLH'!$B$6:$T$823,6,0),"")</f>
        <v>Xe nâng điện 1.5 tấn</v>
      </c>
      <c r="H453" s="101" t="s">
        <v>3432</v>
      </c>
      <c r="I453" s="101" t="str">
        <f>IFERROR(VLOOKUP(B453,'02. MM-KLH'!$B$6:$T$823,8,0),"")</f>
        <v>Tổng kho</v>
      </c>
      <c r="J453" s="105">
        <f>IFERROR(VLOOKUP(B453,'02. MM-KLH'!$B$6:$T$823,9,0),"")</f>
        <v>0</v>
      </c>
      <c r="K453" s="101" t="str">
        <f>IFERROR(VLOOKUP(B453,'02. MM-KLH'!$B$6:$T$823,10,0),"")</f>
        <v>Bình thường</v>
      </c>
      <c r="L453" s="107">
        <f>IFERROR(VLOOKUP(B453,'02. MM-KLH'!$B$6:$T$823,11,0),"")</f>
        <v>0</v>
      </c>
      <c r="M453" s="864" t="str">
        <f>IFERROR(VLOOKUP(B453,'02. MM-KLH'!$B$6:$T$823,12,0),"")</f>
        <v>Xe đang hoạt động (thường xuyên lỗi).</v>
      </c>
      <c r="N453" s="110" t="str">
        <f>IFERROR(VLOOKUP(B453,'02. MM-KLH'!$B$6:$T$823,13,0),"")</f>
        <v>KOMATSU</v>
      </c>
      <c r="O453" s="110">
        <f>IFERROR(VLOOKUP(B453,'02. MM-KLH'!$B$6:$T$823,14,0),"")</f>
        <v>0</v>
      </c>
      <c r="P453" s="101">
        <f>IFERROR(VLOOKUP(B453,'02. MM-KLH'!$B$6:$T$823,15,0),"")</f>
        <v>2017</v>
      </c>
      <c r="Q453" s="101" t="str">
        <f>IFERROR(VLOOKUP(B453,'02. MM-KLH'!$B$6:$T$823,16,0),"")</f>
        <v>FB15HB-12</v>
      </c>
      <c r="R453" s="101">
        <f>IFERROR(VLOOKUP(B453,'02. MM-KLH'!$B$6:$T$823,17,0),"")</f>
        <v>0</v>
      </c>
      <c r="S453" s="110">
        <f>IFERROR(VLOOKUP(B453,'02. MM-KLH'!$B$6:$T$823,18,0),"")</f>
        <v>841392</v>
      </c>
      <c r="T453" s="111">
        <f>IFERROR(VLOOKUP(B453,'02. MM-KLH'!$B$6:$T$823,19,0),"")</f>
        <v>0</v>
      </c>
      <c r="U453" s="863" t="s">
        <v>451</v>
      </c>
    </row>
    <row r="454" ht="13.5" customHeight="1" spans="1:21">
      <c r="A454" s="101"/>
      <c r="B454" s="104"/>
      <c r="C454" s="102"/>
      <c r="D454" s="103"/>
      <c r="E454" s="102"/>
      <c r="F454" s="146"/>
      <c r="G454" s="102"/>
      <c r="H454" s="101"/>
      <c r="I454" s="101"/>
      <c r="J454" s="105"/>
      <c r="K454" s="101"/>
      <c r="L454" s="107"/>
      <c r="M454" s="864"/>
      <c r="N454" s="110"/>
      <c r="O454" s="110"/>
      <c r="P454" s="101"/>
      <c r="Q454" s="101"/>
      <c r="R454" s="101"/>
      <c r="S454" s="110"/>
      <c r="T454" s="111"/>
      <c r="U454" s="863"/>
    </row>
    <row r="455" ht="13.5" customHeight="1" spans="1:21">
      <c r="A455" s="847" t="s">
        <v>290</v>
      </c>
      <c r="B455" s="848" t="s">
        <v>3434</v>
      </c>
      <c r="C455" s="849">
        <f>COUNTA(B456:B468)</f>
        <v>12</v>
      </c>
      <c r="D455" s="849" t="str">
        <f>IFERROR(VLOOKUP(B455,'02. MM-KLH'!$B$6:$T$823,3,0),"")</f>
        <v/>
      </c>
      <c r="E455" s="849" t="str">
        <f>IFERROR(VLOOKUP(B455,'02. MM-KLH'!$B$6:$T$823,4,0),"")</f>
        <v/>
      </c>
      <c r="F455" s="849"/>
      <c r="G455" s="849" t="str">
        <f>IFERROR(VLOOKUP(B455,'02. MM-KLH'!$B$6:$T$823,6,0),"")</f>
        <v/>
      </c>
      <c r="H455" s="849"/>
      <c r="I455" s="849" t="str">
        <f>IFERROR(VLOOKUP(B455,'02. MM-KLH'!$B$6:$T$823,8,0),"")</f>
        <v/>
      </c>
      <c r="J455" s="849" t="str">
        <f>IFERROR(VLOOKUP(B455,'02. MM-KLH'!$B$6:$T$823,9,0),"")</f>
        <v/>
      </c>
      <c r="K455" s="849" t="str">
        <f>IFERROR(VLOOKUP(B455,'02. MM-KLH'!$B$6:$T$823,10,0),"")</f>
        <v/>
      </c>
      <c r="L455" s="849" t="str">
        <f>IFERROR(VLOOKUP(B455,'02. MM-KLH'!$B$6:$T$823,11,0),"")</f>
        <v/>
      </c>
      <c r="M455" s="849" t="str">
        <f>IFERROR(VLOOKUP(B455,'02. MM-KLH'!$B$6:$T$823,12,0),"")</f>
        <v/>
      </c>
      <c r="N455" s="849" t="str">
        <f>IFERROR(VLOOKUP(B455,'02. MM-KLH'!$B$6:$T$823,13,0),"")</f>
        <v/>
      </c>
      <c r="O455" s="849" t="str">
        <f>IFERROR(VLOOKUP(B455,'02. MM-KLH'!$B$6:$T$823,14,0),"")</f>
        <v/>
      </c>
      <c r="P455" s="849" t="str">
        <f>IFERROR(VLOOKUP(B455,'02. MM-KLH'!$B$6:$T$823,15,0),"")</f>
        <v/>
      </c>
      <c r="Q455" s="849" t="str">
        <f>IFERROR(VLOOKUP(B455,'02. MM-KLH'!$B$6:$T$823,16,0),"")</f>
        <v/>
      </c>
      <c r="R455" s="849" t="str">
        <f>IFERROR(VLOOKUP(B455,'02. MM-KLH'!$B$6:$T$823,17,0),"")</f>
        <v/>
      </c>
      <c r="S455" s="849" t="str">
        <f>IFERROR(VLOOKUP(B455,'02. MM-KLH'!$B$6:$T$823,18,0),"")</f>
        <v/>
      </c>
      <c r="T455" s="849" t="str">
        <f>IFERROR(VLOOKUP(B455,'02. MM-KLH'!$B$6:$T$823,19,0),"")</f>
        <v/>
      </c>
      <c r="U455" s="849" t="str">
        <f>IFERROR(VLOOKUP(C455,'02. MM-KLH'!$B$6:$T$823,19,0),"")</f>
        <v/>
      </c>
    </row>
    <row r="456" ht="13.5" customHeight="1" spans="1:21">
      <c r="A456" s="103">
        <v>1</v>
      </c>
      <c r="B456" s="104" t="s">
        <v>538</v>
      </c>
      <c r="C456" s="102">
        <f>IFERROR(VLOOKUP(B456,'02. MM-KLH'!$B$6:$T$823,2,0),"")</f>
        <v>0</v>
      </c>
      <c r="D456" s="103" t="str">
        <f>IFERROR(VLOOKUP(B456,'02. MM-KLH'!$B$6:$T$823,3,0),"")</f>
        <v>ATT-A22-0295</v>
      </c>
      <c r="E456" s="102">
        <f>IFERROR(VLOOKUP(B456,'02. MM-KLH'!$B$6:$T$823,4,0),"")</f>
        <v>0</v>
      </c>
      <c r="F456" s="104" t="s">
        <v>3435</v>
      </c>
      <c r="G456" s="102" t="str">
        <f>IFERROR(VLOOKUP(B456,'02. MM-KLH'!$B$6:$T$823,6,0),"")</f>
        <v>Xe bồn AUMAN ETX D300 (tưới đường)</v>
      </c>
      <c r="H456" s="101" t="s">
        <v>3436</v>
      </c>
      <c r="I456" s="101" t="str">
        <f>IFERROR(VLOOKUP(B456,'02. MM-KLH'!$B$6:$T$823,8,0),"")</f>
        <v>CGTC DP</v>
      </c>
      <c r="J456" s="105" t="str">
        <f>IFERROR(VLOOKUP(B456,'02. MM-KLH'!$B$6:$T$823,9,0),"")</f>
        <v> </v>
      </c>
      <c r="K456" s="101" t="str">
        <f>IFERROR(VLOOKUP(B456,'02. MM-KLH'!$B$6:$T$823,10,0),"")</f>
        <v>Bình thường</v>
      </c>
      <c r="L456" s="107">
        <f>IFERROR(VLOOKUP(B456,'02. MM-KLH'!$B$6:$T$823,11,0),"")</f>
        <v>0.97</v>
      </c>
      <c r="M456" s="864">
        <f>IFERROR(VLOOKUP(B456,'02. MM-KLH'!$B$6:$T$823,12,0),"")</f>
        <v>0</v>
      </c>
      <c r="N456" s="110" t="str">
        <f>IFERROR(VLOOKUP(B456,'02. MM-KLH'!$B$6:$T$823,13,0),"")</f>
        <v>AUMAN</v>
      </c>
      <c r="O456" s="110" t="str">
        <f>IFERROR(VLOOKUP(B456,'02. MM-KLH'!$B$6:$T$823,14,0),"")</f>
        <v>VIỆT NAM</v>
      </c>
      <c r="P456" s="101">
        <f>IFERROR(VLOOKUP(B456,'02. MM-KLH'!$B$6:$T$823,15,0),"")</f>
        <v>2022</v>
      </c>
      <c r="Q456" s="101" t="str">
        <f>IFERROR(VLOOKUP(B456,'02. MM-KLH'!$B$6:$T$823,16,0),"")</f>
        <v> ETX D300</v>
      </c>
      <c r="R456" s="101" t="str">
        <f>IFERROR(VLOOKUP(B456,'02. MM-KLH'!$B$6:$T$823,17,0),"")</f>
        <v>330HP</v>
      </c>
      <c r="S456" s="110" t="str">
        <f>IFERROR(VLOOKUP(B456,'02. MM-KLH'!$B$6:$T$823,18,0),"")</f>
        <v>RNHD30FWANT067862</v>
      </c>
      <c r="T456" s="111" t="str">
        <f>IFERROR(VLOOKUP(B456,'02. MM-KLH'!$B$6:$T$823,19,0),"")</f>
        <v>WP10336E431622D017084</v>
      </c>
      <c r="U456" s="863" t="s">
        <v>451</v>
      </c>
    </row>
    <row r="457" ht="13.5" customHeight="1" spans="1:21">
      <c r="A457" s="103">
        <f t="shared" ref="A457:A467" si="19">A456+1</f>
        <v>2</v>
      </c>
      <c r="B457" s="104" t="s">
        <v>863</v>
      </c>
      <c r="C457" s="102" t="str">
        <f>IFERROR(VLOOKUP(B457,'02. MM-KLH'!$B$6:$T$823,2,0),"")</f>
        <v>CHT-XBO-003</v>
      </c>
      <c r="D457" s="103" t="str">
        <f>IFERROR(VLOOKUP(B457,'02. MM-KLH'!$B$6:$T$823,3,0),"")</f>
        <v>ATT-A22-0230</v>
      </c>
      <c r="E457" s="102">
        <f>IFERROR(VLOOKUP(B457,'02. MM-KLH'!$B$6:$T$823,4,0),"")</f>
        <v>0</v>
      </c>
      <c r="F457" s="104" t="s">
        <v>3437</v>
      </c>
      <c r="G457" s="102" t="str">
        <f>IFERROR(VLOOKUP(B457,'02. MM-KLH'!$B$6:$T$823,6,0),"")</f>
        <v>Xe bồn AUMAN ETX D300 (Bồn tưới 18m3)</v>
      </c>
      <c r="H457" s="101" t="s">
        <v>3436</v>
      </c>
      <c r="I457" s="101" t="str">
        <f>IFERROR(VLOOKUP(B457,'02. MM-KLH'!$B$6:$T$823,8,0),"")</f>
        <v>CGTC AD</v>
      </c>
      <c r="J457" s="105">
        <f>IFERROR(VLOOKUP(B457,'02. MM-KLH'!$B$6:$T$823,9,0),"")</f>
        <v>44198</v>
      </c>
      <c r="K457" s="101" t="str">
        <f>IFERROR(VLOOKUP(B457,'02. MM-KLH'!$B$6:$T$823,10,0),"")</f>
        <v>Bình thường</v>
      </c>
      <c r="L457" s="107">
        <f>IFERROR(VLOOKUP(B457,'02. MM-KLH'!$B$6:$T$823,11,0),"")</f>
        <v>0.69</v>
      </c>
      <c r="M457" s="864">
        <f>IFERROR(VLOOKUP(B457,'02. MM-KLH'!$B$6:$T$823,12,0),"")</f>
        <v>0</v>
      </c>
      <c r="N457" s="110" t="str">
        <f>IFERROR(VLOOKUP(B457,'02. MM-KLH'!$B$6:$T$823,13,0),"")</f>
        <v>THACO AUMAN</v>
      </c>
      <c r="O457" s="110" t="str">
        <f>IFERROR(VLOOKUP(B457,'02. MM-KLH'!$B$6:$T$823,14,0),"")</f>
        <v>VIỆT NAM</v>
      </c>
      <c r="P457" s="101">
        <f>IFERROR(VLOOKUP(B457,'02. MM-KLH'!$B$6:$T$823,15,0),"")</f>
        <v>2019</v>
      </c>
      <c r="Q457" s="101" t="str">
        <f>IFERROR(VLOOKUP(B457,'02. MM-KLH'!$B$6:$T$823,16,0),"")</f>
        <v>ETX D300E4</v>
      </c>
      <c r="R457" s="101" t="str">
        <f>IFERROR(VLOOKUP(B457,'02. MM-KLH'!$B$6:$T$823,17,0),"")</f>
        <v>336HP</v>
      </c>
      <c r="S457" s="110" t="str">
        <f>IFERROR(VLOOKUP(B457,'02. MM-KLH'!$B$6:$T$823,18,0),"")</f>
        <v>RNHD30FWBKC005994</v>
      </c>
      <c r="T457" s="111" t="str">
        <f>IFERROR(VLOOKUP(B457,'02. MM-KLH'!$B$6:$T$823,19,0),"")</f>
        <v>WP10336E431618C035173</v>
      </c>
      <c r="U457" s="863" t="s">
        <v>451</v>
      </c>
    </row>
    <row r="458" ht="13.5" customHeight="1" spans="1:21">
      <c r="A458" s="103">
        <f t="shared" si="19"/>
        <v>3</v>
      </c>
      <c r="B458" s="104" t="s">
        <v>2538</v>
      </c>
      <c r="C458" s="102" t="str">
        <f>IFERROR(VLOOKUP(B458,'02. MM-KLH'!$B$6:$T$823,2,0),"")</f>
        <v>TBT-XTB-001</v>
      </c>
      <c r="D458" s="103" t="str">
        <f>IFERROR(VLOOKUP(B458,'02. MM-KLH'!$B$6:$T$823,3,0),"")</f>
        <v>ATT-A22-0159</v>
      </c>
      <c r="E458" s="102">
        <f>IFERROR(VLOOKUP(B458,'02. MM-KLH'!$B$6:$T$823,4,0),"")</f>
        <v>0</v>
      </c>
      <c r="F458" s="104" t="s">
        <v>3438</v>
      </c>
      <c r="G458" s="102" t="str">
        <f>IFERROR(VLOOKUP(B458,'02. MM-KLH'!$B$6:$T$823,6,0),"")</f>
        <v>Xe tải bồn HYUNDAI HD 270</v>
      </c>
      <c r="H458" s="101" t="s">
        <v>3439</v>
      </c>
      <c r="I458" s="101" t="str">
        <f>IFERROR(VLOOKUP(B458,'02. MM-KLH'!$B$6:$T$823,8,0),"")</f>
        <v>Trạm trộn bê tông</v>
      </c>
      <c r="J458" s="105">
        <f>IFERROR(VLOOKUP(B458,'02. MM-KLH'!$B$6:$T$823,9,0),"")</f>
        <v>44197</v>
      </c>
      <c r="K458" s="101" t="str">
        <f>IFERROR(VLOOKUP(B458,'02. MM-KLH'!$B$6:$T$823,10,0),"")</f>
        <v>Bình thường</v>
      </c>
      <c r="L458" s="107">
        <f>IFERROR(VLOOKUP(B458,'02. MM-KLH'!$B$6:$T$823,11,0),"")</f>
        <v>0.67</v>
      </c>
      <c r="M458" s="864">
        <f>IFERROR(VLOOKUP(B458,'02. MM-KLH'!$B$6:$T$823,12,0),"")</f>
        <v>0</v>
      </c>
      <c r="N458" s="110" t="str">
        <f>IFERROR(VLOOKUP(B458,'02. MM-KLH'!$B$6:$T$823,13,0),"")</f>
        <v>HYUNDAI</v>
      </c>
      <c r="O458" s="110" t="str">
        <f>IFERROR(VLOOKUP(B458,'02. MM-KLH'!$B$6:$T$823,14,0),"")</f>
        <v>HÀN QUỐC</v>
      </c>
      <c r="P458" s="101">
        <f>IFERROR(VLOOKUP(B458,'02. MM-KLH'!$B$6:$T$823,15,0),"")</f>
        <v>2017</v>
      </c>
      <c r="Q458" s="101" t="str">
        <f>IFERROR(VLOOKUP(B458,'02. MM-KLH'!$B$6:$T$823,16,0),"")</f>
        <v>HD270</v>
      </c>
      <c r="R458" s="101" t="str">
        <f>IFERROR(VLOOKUP(B458,'02. MM-KLH'!$B$6:$T$823,17,0),"")</f>
        <v>280HP</v>
      </c>
      <c r="S458" s="110" t="str">
        <f>IFERROR(VLOOKUP(B458,'02. MM-KLH'!$B$6:$T$823,18,0),"")</f>
        <v>KMCDH18SPHC094971</v>
      </c>
      <c r="T458" s="111" t="str">
        <f>IFERROR(VLOOKUP(B458,'02. MM-KLH'!$B$6:$T$823,19,0),"")</f>
        <v>D6CAGJ310250</v>
      </c>
      <c r="U458" s="863" t="s">
        <v>451</v>
      </c>
    </row>
    <row r="459" ht="13.5" customHeight="1" spans="1:21">
      <c r="A459" s="103">
        <f t="shared" si="19"/>
        <v>4</v>
      </c>
      <c r="B459" s="104" t="s">
        <v>2542</v>
      </c>
      <c r="C459" s="102" t="str">
        <f>IFERROR(VLOOKUP(B459,'02. MM-KLH'!$B$6:$T$823,2,0),"")</f>
        <v>TBT-XTB-002</v>
      </c>
      <c r="D459" s="103" t="str">
        <f>IFERROR(VLOOKUP(B459,'02. MM-KLH'!$B$6:$T$823,3,0),"")</f>
        <v>ATT-A22-0160</v>
      </c>
      <c r="E459" s="102">
        <f>IFERROR(VLOOKUP(B459,'02. MM-KLH'!$B$6:$T$823,4,0),"")</f>
        <v>0</v>
      </c>
      <c r="F459" s="104" t="s">
        <v>3440</v>
      </c>
      <c r="G459" s="102" t="str">
        <f>IFERROR(VLOOKUP(B459,'02. MM-KLH'!$B$6:$T$823,6,0),"")</f>
        <v>Xe tải bồn HYUNDAI HD 270</v>
      </c>
      <c r="H459" s="101" t="s">
        <v>3439</v>
      </c>
      <c r="I459" s="101" t="str">
        <f>IFERROR(VLOOKUP(B459,'02. MM-KLH'!$B$6:$T$823,8,0),"")</f>
        <v>Trạm trộn bê tông</v>
      </c>
      <c r="J459" s="105">
        <f>IFERROR(VLOOKUP(B459,'02. MM-KLH'!$B$6:$T$823,9,0),"")</f>
        <v>44197</v>
      </c>
      <c r="K459" s="101" t="str">
        <f>IFERROR(VLOOKUP(B459,'02. MM-KLH'!$B$6:$T$823,10,0),"")</f>
        <v>Bình thường</v>
      </c>
      <c r="L459" s="107">
        <f>IFERROR(VLOOKUP(B459,'02. MM-KLH'!$B$6:$T$823,11,0),"")</f>
        <v>0.67</v>
      </c>
      <c r="M459" s="864">
        <f>IFERROR(VLOOKUP(B459,'02. MM-KLH'!$B$6:$T$823,12,0),"")</f>
        <v>0</v>
      </c>
      <c r="N459" s="110" t="str">
        <f>IFERROR(VLOOKUP(B459,'02. MM-KLH'!$B$6:$T$823,13,0),"")</f>
        <v>HYUNDAI</v>
      </c>
      <c r="O459" s="110" t="str">
        <f>IFERROR(VLOOKUP(B459,'02. MM-KLH'!$B$6:$T$823,14,0),"")</f>
        <v>HÀN QUỐC</v>
      </c>
      <c r="P459" s="101">
        <f>IFERROR(VLOOKUP(B459,'02. MM-KLH'!$B$6:$T$823,15,0),"")</f>
        <v>2017</v>
      </c>
      <c r="Q459" s="101" t="str">
        <f>IFERROR(VLOOKUP(B459,'02. MM-KLH'!$B$6:$T$823,16,0),"")</f>
        <v>HD270</v>
      </c>
      <c r="R459" s="101" t="str">
        <f>IFERROR(VLOOKUP(B459,'02. MM-KLH'!$B$6:$T$823,17,0),"")</f>
        <v>280HP</v>
      </c>
      <c r="S459" s="110" t="str">
        <f>IFERROR(VLOOKUP(B459,'02. MM-KLH'!$B$6:$T$823,18,0),"")</f>
        <v>KMCDH15SPHC094979</v>
      </c>
      <c r="T459" s="111" t="str">
        <f>IFERROR(VLOOKUP(B459,'02. MM-KLH'!$B$6:$T$823,19,0),"")</f>
        <v>D6CAGJ309410</v>
      </c>
      <c r="U459" s="863" t="s">
        <v>451</v>
      </c>
    </row>
    <row r="460" ht="13.5" customHeight="1" spans="1:21">
      <c r="A460" s="103">
        <f t="shared" si="19"/>
        <v>5</v>
      </c>
      <c r="B460" s="104" t="s">
        <v>2545</v>
      </c>
      <c r="C460" s="102" t="str">
        <f>IFERROR(VLOOKUP(B460,'02. MM-KLH'!$B$6:$T$823,2,0),"")</f>
        <v>TBT-XTB-003</v>
      </c>
      <c r="D460" s="103" t="str">
        <f>IFERROR(VLOOKUP(B460,'02. MM-KLH'!$B$6:$T$823,3,0),"")</f>
        <v>ATT-A22-0161</v>
      </c>
      <c r="E460" s="102">
        <f>IFERROR(VLOOKUP(B460,'02. MM-KLH'!$B$6:$T$823,4,0),"")</f>
        <v>0</v>
      </c>
      <c r="F460" s="104" t="s">
        <v>3441</v>
      </c>
      <c r="G460" s="102" t="str">
        <f>IFERROR(VLOOKUP(B460,'02. MM-KLH'!$B$6:$T$823,6,0),"")</f>
        <v>Xe tải bồn HYUNDAI HD 270</v>
      </c>
      <c r="H460" s="101" t="s">
        <v>3439</v>
      </c>
      <c r="I460" s="101" t="str">
        <f>IFERROR(VLOOKUP(B460,'02. MM-KLH'!$B$6:$T$823,8,0),"")</f>
        <v>Trạm trộn bê tông</v>
      </c>
      <c r="J460" s="105">
        <f>IFERROR(VLOOKUP(B460,'02. MM-KLH'!$B$6:$T$823,9,0),"")</f>
        <v>44197</v>
      </c>
      <c r="K460" s="101" t="str">
        <f>IFERROR(VLOOKUP(B460,'02. MM-KLH'!$B$6:$T$823,10,0),"")</f>
        <v>Bình thường</v>
      </c>
      <c r="L460" s="107">
        <f>IFERROR(VLOOKUP(B460,'02. MM-KLH'!$B$6:$T$823,11,0),"")</f>
        <v>0.67</v>
      </c>
      <c r="M460" s="864">
        <f>IFERROR(VLOOKUP(B460,'02. MM-KLH'!$B$6:$T$823,12,0),"")</f>
        <v>0</v>
      </c>
      <c r="N460" s="110" t="str">
        <f>IFERROR(VLOOKUP(B460,'02. MM-KLH'!$B$6:$T$823,13,0),"")</f>
        <v>HYUNDAI</v>
      </c>
      <c r="O460" s="110" t="str">
        <f>IFERROR(VLOOKUP(B460,'02. MM-KLH'!$B$6:$T$823,14,0),"")</f>
        <v>HÀN QUỐC</v>
      </c>
      <c r="P460" s="101">
        <f>IFERROR(VLOOKUP(B460,'02. MM-KLH'!$B$6:$T$823,15,0),"")</f>
        <v>2017</v>
      </c>
      <c r="Q460" s="101" t="str">
        <f>IFERROR(VLOOKUP(B460,'02. MM-KLH'!$B$6:$T$823,16,0),"")</f>
        <v>HD270</v>
      </c>
      <c r="R460" s="101" t="str">
        <f>IFERROR(VLOOKUP(B460,'02. MM-KLH'!$B$6:$T$823,17,0),"")</f>
        <v>280HP</v>
      </c>
      <c r="S460" s="110" t="str">
        <f>IFERROR(VLOOKUP(B460,'02. MM-KLH'!$B$6:$T$823,18,0),"")</f>
        <v>KMCDH18SPHC094980</v>
      </c>
      <c r="T460" s="111" t="str">
        <f>IFERROR(VLOOKUP(B460,'02. MM-KLH'!$B$6:$T$823,19,0),"")</f>
        <v>D6CAGJ309414</v>
      </c>
      <c r="U460" s="863" t="s">
        <v>451</v>
      </c>
    </row>
    <row r="461" ht="13.5" customHeight="1" spans="1:21">
      <c r="A461" s="103">
        <f t="shared" si="19"/>
        <v>6</v>
      </c>
      <c r="B461" s="104" t="s">
        <v>2548</v>
      </c>
      <c r="C461" s="102" t="str">
        <f>IFERROR(VLOOKUP(B461,'02. MM-KLH'!$B$6:$T$823,2,0),"")</f>
        <v>TBT-XTB-004</v>
      </c>
      <c r="D461" s="103" t="str">
        <f>IFERROR(VLOOKUP(B461,'02. MM-KLH'!$B$6:$T$823,3,0),"")</f>
        <v>ATT-A22-0162</v>
      </c>
      <c r="E461" s="102">
        <f>IFERROR(VLOOKUP(B461,'02. MM-KLH'!$B$6:$T$823,4,0),"")</f>
        <v>0</v>
      </c>
      <c r="F461" s="104" t="s">
        <v>3442</v>
      </c>
      <c r="G461" s="102" t="str">
        <f>IFERROR(VLOOKUP(B461,'02. MM-KLH'!$B$6:$T$823,6,0),"")</f>
        <v>Xe tải bồn FORTON</v>
      </c>
      <c r="H461" s="101" t="s">
        <v>3439</v>
      </c>
      <c r="I461" s="101" t="str">
        <f>IFERROR(VLOOKUP(B461,'02. MM-KLH'!$B$6:$T$823,8,0),"")</f>
        <v>Trạm trộn bê tông</v>
      </c>
      <c r="J461" s="105">
        <f>IFERROR(VLOOKUP(B461,'02. MM-KLH'!$B$6:$T$823,9,0),"")</f>
        <v>44197</v>
      </c>
      <c r="K461" s="101" t="str">
        <f>IFERROR(VLOOKUP(B461,'02. MM-KLH'!$B$6:$T$823,10,0),"")</f>
        <v>Bình thường</v>
      </c>
      <c r="L461" s="107">
        <f>IFERROR(VLOOKUP(B461,'02. MM-KLH'!$B$6:$T$823,11,0),"")</f>
        <v>0.68</v>
      </c>
      <c r="M461" s="864">
        <f>IFERROR(VLOOKUP(B461,'02. MM-KLH'!$B$6:$T$823,12,0),"")</f>
        <v>0</v>
      </c>
      <c r="N461" s="110" t="str">
        <f>IFERROR(VLOOKUP(B461,'02. MM-KLH'!$B$6:$T$823,13,0),"")</f>
        <v>FORTON</v>
      </c>
      <c r="O461" s="110" t="str">
        <f>IFERROR(VLOOKUP(B461,'02. MM-KLH'!$B$6:$T$823,14,0),"")</f>
        <v>TRUNG QUỐC</v>
      </c>
      <c r="P461" s="101">
        <f>IFERROR(VLOOKUP(B461,'02. MM-KLH'!$B$6:$T$823,15,0),"")</f>
        <v>2018</v>
      </c>
      <c r="Q461" s="101" t="str">
        <f>IFERROR(VLOOKUP(B461,'02. MM-KLH'!$B$6:$T$823,16,0),"")</f>
        <v>BJ5253GJB-AB</v>
      </c>
      <c r="R461" s="101" t="str">
        <f>IFERROR(VLOOKUP(B461,'02. MM-KLH'!$B$6:$T$823,17,0),"")</f>
        <v>335HP</v>
      </c>
      <c r="S461" s="110" t="str">
        <f>IFERROR(VLOOKUP(B461,'02. MM-KLH'!$B$6:$T$823,18,0),"")</f>
        <v>LRDV6PEC7JH613967</v>
      </c>
      <c r="T461" s="111" t="str">
        <f>IFERROR(VLOOKUP(B461,'02. MM-KLH'!$B$6:$T$823,19,0),"")</f>
        <v>ISGe534076226632</v>
      </c>
      <c r="U461" s="863" t="s">
        <v>451</v>
      </c>
    </row>
    <row r="462" ht="13.5" customHeight="1" spans="1:21">
      <c r="A462" s="103">
        <f t="shared" si="19"/>
        <v>7</v>
      </c>
      <c r="B462" s="104" t="s">
        <v>2553</v>
      </c>
      <c r="C462" s="102">
        <f>IFERROR(VLOOKUP(B462,'02. MM-KLH'!$B$6:$T$823,2,0),"")</f>
        <v>0</v>
      </c>
      <c r="D462" s="103" t="str">
        <f>IFERROR(VLOOKUP(B462,'02. MM-KLH'!$B$6:$T$823,3,0),"")</f>
        <v>ATT-A22-0311</v>
      </c>
      <c r="E462" s="102" t="str">
        <f>IFERROR(VLOOKUP(B462,'02. MM-KLH'!$B$6:$T$823,4,0),"")</f>
        <v>5A-0004</v>
      </c>
      <c r="F462" s="104" t="s">
        <v>3443</v>
      </c>
      <c r="G462" s="102" t="str">
        <f>IFERROR(VLOOKUP(B462,'02. MM-KLH'!$B$6:$T$823,6,0),"")</f>
        <v>Xe tải bồn CNHTC Sinotruk</v>
      </c>
      <c r="H462" s="101" t="s">
        <v>3439</v>
      </c>
      <c r="I462" s="101" t="str">
        <f>IFERROR(VLOOKUP(B462,'02. MM-KLH'!$B$6:$T$823,8,0),"")</f>
        <v>Trạm trộn bê tông</v>
      </c>
      <c r="J462" s="105" t="str">
        <f>IFERROR(VLOOKUP(B462,'02. MM-KLH'!$B$6:$T$823,9,0),"")</f>
        <v>17/12/2023</v>
      </c>
      <c r="K462" s="101" t="str">
        <f>IFERROR(VLOOKUP(B462,'02. MM-KLH'!$B$6:$T$823,10,0),"")</f>
        <v>Bình thường</v>
      </c>
      <c r="L462" s="107">
        <f>IFERROR(VLOOKUP(B462,'02. MM-KLH'!$B$6:$T$823,11,0),"")</f>
        <v>0.98</v>
      </c>
      <c r="M462" s="864">
        <f>IFERROR(VLOOKUP(B462,'02. MM-KLH'!$B$6:$T$823,12,0),"")</f>
        <v>0</v>
      </c>
      <c r="N462" s="110" t="str">
        <f>IFERROR(VLOOKUP(B462,'02. MM-KLH'!$B$6:$T$823,13,0),"")</f>
        <v>CNHTC Sinotruk</v>
      </c>
      <c r="O462" s="110" t="str">
        <f>IFERROR(VLOOKUP(B462,'02. MM-KLH'!$B$6:$T$823,14,0),"")</f>
        <v>TRUNG QUỐC</v>
      </c>
      <c r="P462" s="101">
        <f>IFERROR(VLOOKUP(B462,'02. MM-KLH'!$B$6:$T$823,15,0),"")</f>
        <v>2023</v>
      </c>
      <c r="Q462" s="101" t="str">
        <f>IFERROR(VLOOKUP(B462,'02. MM-KLH'!$B$6:$T$823,16,0),"")</f>
        <v>ZZ5257GJBN3847E1</v>
      </c>
      <c r="R462" s="101" t="str">
        <f>IFERROR(VLOOKUP(B462,'02. MM-KLH'!$B$6:$T$823,17,0),"")</f>
        <v>338.5HP</v>
      </c>
      <c r="S462" s="110" t="str">
        <f>IFERROR(VLOOKUP(B462,'02. MM-KLH'!$B$6:$T$823,18,0),"")</f>
        <v>LZZ1BLND6PA126475</v>
      </c>
      <c r="T462" s="111" t="str">
        <f>IFERROR(VLOOKUP(B462,'02. MM-KLH'!$B$6:$T$823,19,0),"")</f>
        <v>D103450230507007387</v>
      </c>
      <c r="U462" s="863" t="s">
        <v>3343</v>
      </c>
    </row>
    <row r="463" ht="13.5" customHeight="1" spans="1:21">
      <c r="A463" s="103">
        <f t="shared" si="19"/>
        <v>8</v>
      </c>
      <c r="B463" s="104" t="s">
        <v>2561</v>
      </c>
      <c r="C463" s="102">
        <f>IFERROR(VLOOKUP(B463,'02. MM-KLH'!$B$6:$T$823,2,0),"")</f>
        <v>0</v>
      </c>
      <c r="D463" s="103" t="str">
        <f>IFERROR(VLOOKUP(B463,'02. MM-KLH'!$B$6:$T$823,3,0),"")</f>
        <v>ATT-A22-0306</v>
      </c>
      <c r="E463" s="102" t="str">
        <f>IFERROR(VLOOKUP(B463,'02. MM-KLH'!$B$6:$T$823,4,0),"")</f>
        <v>5A-0006</v>
      </c>
      <c r="F463" s="104" t="s">
        <v>3444</v>
      </c>
      <c r="G463" s="102" t="str">
        <f>IFERROR(VLOOKUP(B463,'02. MM-KLH'!$B$6:$T$823,6,0),"")</f>
        <v>Xe tải bồn CNHTC Sinotruk</v>
      </c>
      <c r="H463" s="101" t="s">
        <v>3439</v>
      </c>
      <c r="I463" s="101" t="str">
        <f>IFERROR(VLOOKUP(B463,'02. MM-KLH'!$B$6:$T$823,8,0),"")</f>
        <v>Trạm trộn bê tông</v>
      </c>
      <c r="J463" s="105">
        <f>IFERROR(VLOOKUP(B463,'02. MM-KLH'!$B$6:$T$823,9,0),"")</f>
        <v>45150</v>
      </c>
      <c r="K463" s="101" t="str">
        <f>IFERROR(VLOOKUP(B463,'02. MM-KLH'!$B$6:$T$823,10,0),"")</f>
        <v>Bình thường</v>
      </c>
      <c r="L463" s="107">
        <f>IFERROR(VLOOKUP(B463,'02. MM-KLH'!$B$6:$T$823,11,0),"")</f>
        <v>0.98</v>
      </c>
      <c r="M463" s="864">
        <f>IFERROR(VLOOKUP(B463,'02. MM-KLH'!$B$6:$T$823,12,0),"")</f>
        <v>0</v>
      </c>
      <c r="N463" s="110" t="str">
        <f>IFERROR(VLOOKUP(B463,'02. MM-KLH'!$B$6:$T$823,13,0),"")</f>
        <v>CNHTC Sinotruk</v>
      </c>
      <c r="O463" s="110" t="str">
        <f>IFERROR(VLOOKUP(B463,'02. MM-KLH'!$B$6:$T$823,14,0),"")</f>
        <v>TRUNG QUỐC</v>
      </c>
      <c r="P463" s="101">
        <f>IFERROR(VLOOKUP(B463,'02. MM-KLH'!$B$6:$T$823,15,0),"")</f>
        <v>2023</v>
      </c>
      <c r="Q463" s="101" t="str">
        <f>IFERROR(VLOOKUP(B463,'02. MM-KLH'!$B$6:$T$823,16,0),"")</f>
        <v>ZZ5257GJBN3847E1</v>
      </c>
      <c r="R463" s="101" t="str">
        <f>IFERROR(VLOOKUP(B463,'02. MM-KLH'!$B$6:$T$823,17,0),"")</f>
        <v>338.5HP</v>
      </c>
      <c r="S463" s="110" t="str">
        <f>IFERROR(VLOOKUP(B463,'02. MM-KLH'!$B$6:$T$823,18,0),"")</f>
        <v>LZZ1BLND8PA126476</v>
      </c>
      <c r="T463" s="111" t="str">
        <f>IFERROR(VLOOKUP(B463,'02. MM-KLH'!$B$6:$T$823,19,0),"")</f>
        <v>D103450230507007397</v>
      </c>
      <c r="U463" s="863" t="s">
        <v>3343</v>
      </c>
    </row>
    <row r="464" ht="13.5" customHeight="1" spans="1:21">
      <c r="A464" s="103">
        <f t="shared" si="19"/>
        <v>9</v>
      </c>
      <c r="B464" s="104" t="s">
        <v>2565</v>
      </c>
      <c r="C464" s="102">
        <f>IFERROR(VLOOKUP(B464,'02. MM-KLH'!$B$6:$T$823,2,0),"")</f>
        <v>0</v>
      </c>
      <c r="D464" s="103" t="str">
        <f>IFERROR(VLOOKUP(B464,'02. MM-KLH'!$B$6:$T$823,3,0),"")</f>
        <v>ATT-A22-0307</v>
      </c>
      <c r="E464" s="102" t="str">
        <f>IFERROR(VLOOKUP(B464,'02. MM-KLH'!$B$6:$T$823,4,0),"")</f>
        <v>5A-0002</v>
      </c>
      <c r="F464" s="104" t="s">
        <v>3445</v>
      </c>
      <c r="G464" s="102" t="str">
        <f>IFERROR(VLOOKUP(B464,'02. MM-KLH'!$B$6:$T$823,6,0),"")</f>
        <v>Xe tải bồn CNHTC Sinotruk</v>
      </c>
      <c r="H464" s="101" t="s">
        <v>3439</v>
      </c>
      <c r="I464" s="101" t="str">
        <f>IFERROR(VLOOKUP(B464,'02. MM-KLH'!$B$6:$T$823,8,0),"")</f>
        <v>Trạm trộn bê tông</v>
      </c>
      <c r="J464" s="105">
        <f>IFERROR(VLOOKUP(B464,'02. MM-KLH'!$B$6:$T$823,9,0),"")</f>
        <v>45150</v>
      </c>
      <c r="K464" s="101" t="str">
        <f>IFERROR(VLOOKUP(B464,'02. MM-KLH'!$B$6:$T$823,10,0),"")</f>
        <v>Bình thường</v>
      </c>
      <c r="L464" s="107">
        <f>IFERROR(VLOOKUP(B464,'02. MM-KLH'!$B$6:$T$823,11,0),"")</f>
        <v>0.98</v>
      </c>
      <c r="M464" s="864">
        <f>IFERROR(VLOOKUP(B464,'02. MM-KLH'!$B$6:$T$823,12,0),"")</f>
        <v>0</v>
      </c>
      <c r="N464" s="110" t="str">
        <f>IFERROR(VLOOKUP(B464,'02. MM-KLH'!$B$6:$T$823,13,0),"")</f>
        <v>CNHTC Sinotruk</v>
      </c>
      <c r="O464" s="110" t="str">
        <f>IFERROR(VLOOKUP(B464,'02. MM-KLH'!$B$6:$T$823,14,0),"")</f>
        <v>TRUNG QUỐC</v>
      </c>
      <c r="P464" s="101">
        <f>IFERROR(VLOOKUP(B464,'02. MM-KLH'!$B$6:$T$823,15,0),"")</f>
        <v>2023</v>
      </c>
      <c r="Q464" s="101" t="str">
        <f>IFERROR(VLOOKUP(B464,'02. MM-KLH'!$B$6:$T$823,16,0),"")</f>
        <v>ZZ5257GJBN3847E1</v>
      </c>
      <c r="R464" s="101" t="str">
        <f>IFERROR(VLOOKUP(B464,'02. MM-KLH'!$B$6:$T$823,17,0),"")</f>
        <v>338.5HP</v>
      </c>
      <c r="S464" s="110" t="str">
        <f>IFERROR(VLOOKUP(B464,'02. MM-KLH'!$B$6:$T$823,18,0),"")</f>
        <v>LZZ1BLNDXPA126477</v>
      </c>
      <c r="T464" s="111" t="str">
        <f>IFERROR(VLOOKUP(B464,'02. MM-KLH'!$B$6:$T$823,19,0),"")</f>
        <v>D103450230507007367</v>
      </c>
      <c r="U464" s="863" t="s">
        <v>3343</v>
      </c>
    </row>
    <row r="465" ht="13.5" customHeight="1" spans="1:21">
      <c r="A465" s="103">
        <f t="shared" si="19"/>
        <v>10</v>
      </c>
      <c r="B465" s="104" t="s">
        <v>2569</v>
      </c>
      <c r="C465" s="102">
        <f>IFERROR(VLOOKUP(B465,'02. MM-KLH'!$B$6:$T$823,2,0),"")</f>
        <v>0</v>
      </c>
      <c r="D465" s="103" t="str">
        <f>IFERROR(VLOOKUP(B465,'02. MM-KLH'!$B$6:$T$823,3,0),"")</f>
        <v>ATT-A22-0308</v>
      </c>
      <c r="E465" s="102" t="str">
        <f>IFERROR(VLOOKUP(B465,'02. MM-KLH'!$B$6:$T$823,4,0),"")</f>
        <v>5A-0005</v>
      </c>
      <c r="F465" s="104" t="s">
        <v>3446</v>
      </c>
      <c r="G465" s="102" t="str">
        <f>IFERROR(VLOOKUP(B465,'02. MM-KLH'!$B$6:$T$823,6,0),"")</f>
        <v>Xe tải bồn CNHTC Sinotruk</v>
      </c>
      <c r="H465" s="101" t="s">
        <v>3439</v>
      </c>
      <c r="I465" s="101" t="str">
        <f>IFERROR(VLOOKUP(B465,'02. MM-KLH'!$B$6:$T$823,8,0),"")</f>
        <v>Trạm trộn bê tông</v>
      </c>
      <c r="J465" s="105">
        <f>IFERROR(VLOOKUP(B465,'02. MM-KLH'!$B$6:$T$823,9,0),"")</f>
        <v>45150</v>
      </c>
      <c r="K465" s="101" t="str">
        <f>IFERROR(VLOOKUP(B465,'02. MM-KLH'!$B$6:$T$823,10,0),"")</f>
        <v>Bình thường</v>
      </c>
      <c r="L465" s="107">
        <f>IFERROR(VLOOKUP(B465,'02. MM-KLH'!$B$6:$T$823,11,0),"")</f>
        <v>0.98</v>
      </c>
      <c r="M465" s="864">
        <f>IFERROR(VLOOKUP(B465,'02. MM-KLH'!$B$6:$T$823,12,0),"")</f>
        <v>0</v>
      </c>
      <c r="N465" s="110" t="str">
        <f>IFERROR(VLOOKUP(B465,'02. MM-KLH'!$B$6:$T$823,13,0),"")</f>
        <v>CNHTC Sinotruk</v>
      </c>
      <c r="O465" s="110" t="str">
        <f>IFERROR(VLOOKUP(B465,'02. MM-KLH'!$B$6:$T$823,14,0),"")</f>
        <v>TRUNG QUỐC</v>
      </c>
      <c r="P465" s="101">
        <f>IFERROR(VLOOKUP(B465,'02. MM-KLH'!$B$6:$T$823,15,0),"")</f>
        <v>2023</v>
      </c>
      <c r="Q465" s="101" t="str">
        <f>IFERROR(VLOOKUP(B465,'02. MM-KLH'!$B$6:$T$823,16,0),"")</f>
        <v>ZZ5257GJBN3847E1</v>
      </c>
      <c r="R465" s="101" t="str">
        <f>IFERROR(VLOOKUP(B465,'02. MM-KLH'!$B$6:$T$823,17,0),"")</f>
        <v>338.5HP</v>
      </c>
      <c r="S465" s="110" t="str">
        <f>IFERROR(VLOOKUP(B465,'02. MM-KLH'!$B$6:$T$823,18,0),"")</f>
        <v>LZZ1BLND1PA126478</v>
      </c>
      <c r="T465" s="111" t="str">
        <f>IFERROR(VLOOKUP(B465,'02. MM-KLH'!$B$6:$T$823,19,0),"")</f>
        <v>D103450230507007327</v>
      </c>
      <c r="U465" s="863" t="s">
        <v>3343</v>
      </c>
    </row>
    <row r="466" ht="13.5" customHeight="1" spans="1:21">
      <c r="A466" s="103">
        <f t="shared" si="19"/>
        <v>11</v>
      </c>
      <c r="B466" s="104" t="s">
        <v>2573</v>
      </c>
      <c r="C466" s="102">
        <f>IFERROR(VLOOKUP(B466,'02. MM-KLH'!$B$6:$T$823,2,0),"")</f>
        <v>0</v>
      </c>
      <c r="D466" s="103" t="str">
        <f>IFERROR(VLOOKUP(B466,'02. MM-KLH'!$B$6:$T$823,3,0),"")</f>
        <v>ATT-A22-0309</v>
      </c>
      <c r="E466" s="102" t="str">
        <f>IFERROR(VLOOKUP(B466,'02. MM-KLH'!$B$6:$T$823,4,0),"")</f>
        <v>5A-0003</v>
      </c>
      <c r="F466" s="104" t="s">
        <v>3447</v>
      </c>
      <c r="G466" s="102" t="str">
        <f>IFERROR(VLOOKUP(B466,'02. MM-KLH'!$B$6:$T$823,6,0),"")</f>
        <v>Xe tải bồn CNHTC Sinotruk</v>
      </c>
      <c r="H466" s="101" t="s">
        <v>3439</v>
      </c>
      <c r="I466" s="101" t="str">
        <f>IFERROR(VLOOKUP(B466,'02. MM-KLH'!$B$6:$T$823,8,0),"")</f>
        <v>Trạm trộn bê tông</v>
      </c>
      <c r="J466" s="105">
        <f>IFERROR(VLOOKUP(B466,'02. MM-KLH'!$B$6:$T$823,9,0),"")</f>
        <v>45150</v>
      </c>
      <c r="K466" s="101" t="str">
        <f>IFERROR(VLOOKUP(B466,'02. MM-KLH'!$B$6:$T$823,10,0),"")</f>
        <v>Bình thường</v>
      </c>
      <c r="L466" s="107">
        <f>IFERROR(VLOOKUP(B466,'02. MM-KLH'!$B$6:$T$823,11,0),"")</f>
        <v>0.98</v>
      </c>
      <c r="M466" s="864">
        <f>IFERROR(VLOOKUP(B466,'02. MM-KLH'!$B$6:$T$823,12,0),"")</f>
        <v>0</v>
      </c>
      <c r="N466" s="110" t="str">
        <f>IFERROR(VLOOKUP(B466,'02. MM-KLH'!$B$6:$T$823,13,0),"")</f>
        <v>CNHTC Sinotruk</v>
      </c>
      <c r="O466" s="110" t="str">
        <f>IFERROR(VLOOKUP(B466,'02. MM-KLH'!$B$6:$T$823,14,0),"")</f>
        <v>TRUNG QUỐC</v>
      </c>
      <c r="P466" s="101">
        <f>IFERROR(VLOOKUP(B466,'02. MM-KLH'!$B$6:$T$823,15,0),"")</f>
        <v>2023</v>
      </c>
      <c r="Q466" s="101" t="str">
        <f>IFERROR(VLOOKUP(B466,'02. MM-KLH'!$B$6:$T$823,16,0),"")</f>
        <v>ZZ5257GJBN3847E1</v>
      </c>
      <c r="R466" s="101" t="str">
        <f>IFERROR(VLOOKUP(B466,'02. MM-KLH'!$B$6:$T$823,17,0),"")</f>
        <v>338.5HP</v>
      </c>
      <c r="S466" s="110" t="str">
        <f>IFERROR(VLOOKUP(B466,'02. MM-KLH'!$B$6:$T$823,18,0),"")</f>
        <v>LZZ1BLND3PA126479</v>
      </c>
      <c r="T466" s="111" t="str">
        <f>IFERROR(VLOOKUP(B466,'02. MM-KLH'!$B$6:$T$823,19,0),"")</f>
        <v>D103450230507007377</v>
      </c>
      <c r="U466" s="863" t="s">
        <v>3343</v>
      </c>
    </row>
    <row r="467" ht="13.5" customHeight="1" spans="1:21">
      <c r="A467" s="103">
        <f t="shared" si="19"/>
        <v>12</v>
      </c>
      <c r="B467" s="104" t="s">
        <v>2577</v>
      </c>
      <c r="C467" s="102">
        <f>IFERROR(VLOOKUP(B467,'02. MM-KLH'!$B$6:$T$823,2,0),"")</f>
        <v>0</v>
      </c>
      <c r="D467" s="103" t="str">
        <f>IFERROR(VLOOKUP(B467,'02. MM-KLH'!$B$6:$T$823,3,0),"")</f>
        <v>ATT-A22-0310</v>
      </c>
      <c r="E467" s="102" t="str">
        <f>IFERROR(VLOOKUP(B467,'02. MM-KLH'!$B$6:$T$823,4,0),"")</f>
        <v>5A-0001</v>
      </c>
      <c r="F467" s="104" t="s">
        <v>3448</v>
      </c>
      <c r="G467" s="102" t="str">
        <f>IFERROR(VLOOKUP(B467,'02. MM-KLH'!$B$6:$T$823,6,0),"")</f>
        <v>Xe tải bồn CNHTC Sinotruk</v>
      </c>
      <c r="H467" s="101" t="s">
        <v>3439</v>
      </c>
      <c r="I467" s="101" t="str">
        <f>IFERROR(VLOOKUP(B467,'02. MM-KLH'!$B$6:$T$823,8,0),"")</f>
        <v>Trạm trộn bê tông</v>
      </c>
      <c r="J467" s="105">
        <f>IFERROR(VLOOKUP(B467,'02. MM-KLH'!$B$6:$T$823,9,0),"")</f>
        <v>45150</v>
      </c>
      <c r="K467" s="101" t="str">
        <f>IFERROR(VLOOKUP(B467,'02. MM-KLH'!$B$6:$T$823,10,0),"")</f>
        <v>Bình thường</v>
      </c>
      <c r="L467" s="107">
        <f>IFERROR(VLOOKUP(B467,'02. MM-KLH'!$B$6:$T$823,11,0),"")</f>
        <v>0.98</v>
      </c>
      <c r="M467" s="864">
        <f>IFERROR(VLOOKUP(B467,'02. MM-KLH'!$B$6:$T$823,12,0),"")</f>
        <v>0</v>
      </c>
      <c r="N467" s="110" t="str">
        <f>IFERROR(VLOOKUP(B467,'02. MM-KLH'!$B$6:$T$823,13,0),"")</f>
        <v>CNHTC Sinotruk</v>
      </c>
      <c r="O467" s="110" t="str">
        <f>IFERROR(VLOOKUP(B467,'02. MM-KLH'!$B$6:$T$823,14,0),"")</f>
        <v>TRUNG QUỐC</v>
      </c>
      <c r="P467" s="101">
        <f>IFERROR(VLOOKUP(B467,'02. MM-KLH'!$B$6:$T$823,15,0),"")</f>
        <v>2023</v>
      </c>
      <c r="Q467" s="101" t="str">
        <f>IFERROR(VLOOKUP(B467,'02. MM-KLH'!$B$6:$T$823,16,0),"")</f>
        <v>ZZ5257GJBN3847E1</v>
      </c>
      <c r="R467" s="101" t="str">
        <f>IFERROR(VLOOKUP(B467,'02. MM-KLH'!$B$6:$T$823,17,0),"")</f>
        <v>338.5HP</v>
      </c>
      <c r="S467" s="110" t="str">
        <f>IFERROR(VLOOKUP(B467,'02. MM-KLH'!$B$6:$T$823,18,0),"")</f>
        <v>LZZ1BLND3PA126482</v>
      </c>
      <c r="T467" s="111" t="str">
        <f>IFERROR(VLOOKUP(B467,'02. MM-KLH'!$B$6:$T$823,19,0),"")</f>
        <v>D103450230507007347</v>
      </c>
      <c r="U467" s="863" t="s">
        <v>3343</v>
      </c>
    </row>
    <row r="468" ht="13.5" customHeight="1" spans="1:21">
      <c r="A468" s="103"/>
      <c r="B468" s="104"/>
      <c r="C468" s="102" t="str">
        <f>IFERROR(VLOOKUP(B468,'02. MM-KLH'!$B$6:$T$823,2,0),"")</f>
        <v/>
      </c>
      <c r="D468" s="103" t="str">
        <f>IFERROR(VLOOKUP(B468,'02. MM-KLH'!$B$6:$T$823,3,0),"")</f>
        <v/>
      </c>
      <c r="E468" s="102" t="str">
        <f>IFERROR(VLOOKUP(B468,'02. MM-KLH'!$B$6:$T$823,4,0),"")</f>
        <v/>
      </c>
      <c r="F468" s="104"/>
      <c r="G468" s="102" t="str">
        <f>IFERROR(VLOOKUP(B468,'02. MM-KLH'!$B$6:$T$823,6,0),"")</f>
        <v/>
      </c>
      <c r="H468" s="101"/>
      <c r="I468" s="101" t="str">
        <f>IFERROR(VLOOKUP(B468,'02. MM-KLH'!$B$6:$T$823,8,0),"")</f>
        <v/>
      </c>
      <c r="J468" s="105" t="str">
        <f>IFERROR(VLOOKUP(B468,'02. MM-KLH'!$B$6:$T$823,9,0),"")</f>
        <v/>
      </c>
      <c r="K468" s="101" t="str">
        <f>IFERROR(VLOOKUP(B468,'02. MM-KLH'!$B$6:$T$823,10,0),"")</f>
        <v/>
      </c>
      <c r="L468" s="107" t="str">
        <f>IFERROR(VLOOKUP(B468,'02. MM-KLH'!$B$6:$T$823,11,0),"")</f>
        <v/>
      </c>
      <c r="M468" s="864" t="str">
        <f>IFERROR(VLOOKUP(B468,'02. MM-KLH'!$B$6:$T$823,12,0),"")</f>
        <v/>
      </c>
      <c r="N468" s="110" t="str">
        <f>IFERROR(VLOOKUP(B468,'02. MM-KLH'!$B$6:$T$823,13,0),"")</f>
        <v/>
      </c>
      <c r="O468" s="110" t="str">
        <f>IFERROR(VLOOKUP(B468,'02. MM-KLH'!$B$6:$T$823,14,0),"")</f>
        <v/>
      </c>
      <c r="P468" s="101" t="str">
        <f>IFERROR(VLOOKUP(B468,'02. MM-KLH'!$B$6:$T$823,15,0),"")</f>
        <v/>
      </c>
      <c r="Q468" s="101" t="str">
        <f>IFERROR(VLOOKUP(B468,'02. MM-KLH'!$B$6:$T$823,16,0),"")</f>
        <v/>
      </c>
      <c r="R468" s="101" t="str">
        <f>IFERROR(VLOOKUP(B468,'02. MM-KLH'!$B$6:$T$823,17,0),"")</f>
        <v/>
      </c>
      <c r="S468" s="110" t="str">
        <f>IFERROR(VLOOKUP(B468,'02. MM-KLH'!$B$6:$T$823,18,0),"")</f>
        <v/>
      </c>
      <c r="T468" s="111" t="str">
        <f>IFERROR(VLOOKUP(B468,'02. MM-KLH'!$B$6:$T$823,19,0),"")</f>
        <v/>
      </c>
      <c r="U468" s="863"/>
    </row>
    <row r="469" ht="13.5" customHeight="1" spans="1:21">
      <c r="A469" s="103"/>
      <c r="B469" s="104"/>
      <c r="C469" s="102"/>
      <c r="D469" s="103"/>
      <c r="E469" s="102"/>
      <c r="F469" s="104"/>
      <c r="G469" s="102"/>
      <c r="H469" s="101"/>
      <c r="I469" s="101"/>
      <c r="J469" s="105"/>
      <c r="K469" s="101"/>
      <c r="L469" s="107"/>
      <c r="M469" s="864"/>
      <c r="N469" s="110"/>
      <c r="O469" s="110"/>
      <c r="P469" s="101"/>
      <c r="Q469" s="101"/>
      <c r="R469" s="101"/>
      <c r="S469" s="110"/>
      <c r="T469" s="111"/>
      <c r="U469" s="863"/>
    </row>
    <row r="470" ht="13.5" customHeight="1" spans="1:21">
      <c r="A470" s="847" t="s">
        <v>290</v>
      </c>
      <c r="B470" s="848" t="s">
        <v>3449</v>
      </c>
      <c r="C470" s="849">
        <f>COUNTA(B471:B477)</f>
        <v>5</v>
      </c>
      <c r="D470" s="849" t="str">
        <f>IFERROR(VLOOKUP(B470,'02. MM-KLH'!$B$6:$T$823,3,0),"")</f>
        <v/>
      </c>
      <c r="E470" s="849" t="str">
        <f>IFERROR(VLOOKUP(B470,'02. MM-KLH'!$B$6:$T$823,4,0),"")</f>
        <v/>
      </c>
      <c r="F470" s="849"/>
      <c r="G470" s="849" t="str">
        <f>IFERROR(VLOOKUP(B470,'02. MM-KLH'!$B$6:$T$823,6,0),"")</f>
        <v/>
      </c>
      <c r="H470" s="849"/>
      <c r="I470" s="849" t="str">
        <f>IFERROR(VLOOKUP(B470,'02. MM-KLH'!$B$6:$T$823,8,0),"")</f>
        <v/>
      </c>
      <c r="J470" s="849" t="str">
        <f>IFERROR(VLOOKUP(B470,'02. MM-KLH'!$B$6:$T$823,9,0),"")</f>
        <v/>
      </c>
      <c r="K470" s="849" t="str">
        <f>IFERROR(VLOOKUP(B470,'02. MM-KLH'!$B$6:$T$823,10,0),"")</f>
        <v/>
      </c>
      <c r="L470" s="849" t="str">
        <f>IFERROR(VLOOKUP(B470,'02. MM-KLH'!$B$6:$T$823,11,0),"")</f>
        <v/>
      </c>
      <c r="M470" s="849" t="str">
        <f>IFERROR(VLOOKUP(B470,'02. MM-KLH'!$B$6:$T$823,12,0),"")</f>
        <v/>
      </c>
      <c r="N470" s="849" t="str">
        <f>IFERROR(VLOOKUP(B470,'02. MM-KLH'!$B$6:$T$823,13,0),"")</f>
        <v/>
      </c>
      <c r="O470" s="849" t="str">
        <f>IFERROR(VLOOKUP(B470,'02. MM-KLH'!$B$6:$T$823,14,0),"")</f>
        <v/>
      </c>
      <c r="P470" s="849" t="str">
        <f>IFERROR(VLOOKUP(B470,'02. MM-KLH'!$B$6:$T$823,15,0),"")</f>
        <v/>
      </c>
      <c r="Q470" s="849" t="str">
        <f>IFERROR(VLOOKUP(B470,'02. MM-KLH'!$B$6:$T$823,16,0),"")</f>
        <v/>
      </c>
      <c r="R470" s="849" t="str">
        <f>IFERROR(VLOOKUP(B470,'02. MM-KLH'!$B$6:$T$823,17,0),"")</f>
        <v/>
      </c>
      <c r="S470" s="849" t="str">
        <f>IFERROR(VLOOKUP(B470,'02. MM-KLH'!$B$6:$T$823,18,0),"")</f>
        <v/>
      </c>
      <c r="T470" s="849" t="str">
        <f>IFERROR(VLOOKUP(B470,'02. MM-KLH'!$B$6:$T$823,19,0),"")</f>
        <v/>
      </c>
      <c r="U470" s="849" t="str">
        <f>IFERROR(VLOOKUP(C470,'02. MM-KLH'!$B$6:$T$823,19,0),"")</f>
        <v/>
      </c>
    </row>
    <row r="471" ht="13.5" customHeight="1" spans="1:21">
      <c r="A471" s="101">
        <v>1</v>
      </c>
      <c r="B471" s="104" t="s">
        <v>2494</v>
      </c>
      <c r="C471" s="102" t="str">
        <f>IFERROR(VLOOKUP(B471,'02. MM-KLH'!$B$6:$T$823,2,0),"")</f>
        <v>CVC-XTA-014</v>
      </c>
      <c r="D471" s="103" t="str">
        <f>IFERROR(VLOOKUP(B471,'02. MM-KLH'!$B$6:$T$823,3,0),"")</f>
        <v>ATT-A22-0176</v>
      </c>
      <c r="E471" s="102">
        <f>IFERROR(VLOOKUP(B471,'02. MM-KLH'!$B$6:$T$823,4,0),"")</f>
        <v>0</v>
      </c>
      <c r="F471" s="104" t="s">
        <v>3450</v>
      </c>
      <c r="G471" s="102" t="str">
        <f>IFERROR(VLOOKUP(B471,'02. MM-KLH'!$B$6:$T$823,6,0),"")</f>
        <v>Xe tải AUMAN GTL D300 E4 (Cấp dầu)</v>
      </c>
      <c r="H471" s="101" t="s">
        <v>3378</v>
      </c>
      <c r="I471" s="101" t="str">
        <f>IFERROR(VLOOKUP(B471,'02. MM-KLH'!$B$6:$T$823,8,0),"")</f>
        <v>Phòng GNVC</v>
      </c>
      <c r="J471" s="105">
        <f>IFERROR(VLOOKUP(B471,'02. MM-KLH'!$B$6:$T$823,9,0),"")</f>
        <v>0</v>
      </c>
      <c r="K471" s="101" t="str">
        <f>IFERROR(VLOOKUP(B471,'02. MM-KLH'!$B$6:$T$823,10,0),"")</f>
        <v>Bình thường</v>
      </c>
      <c r="L471" s="107">
        <f>IFERROR(VLOOKUP(B471,'02. MM-KLH'!$B$6:$T$823,11,0),"")</f>
        <v>0</v>
      </c>
      <c r="M471" s="864">
        <f>IFERROR(VLOOKUP(B471,'02. MM-KLH'!$B$6:$T$823,12,0),"")</f>
        <v>0</v>
      </c>
      <c r="N471" s="110" t="str">
        <f>IFERROR(VLOOKUP(B471,'02. MM-KLH'!$B$6:$T$823,13,0),"")</f>
        <v>THACO AUMAN</v>
      </c>
      <c r="O471" s="110" t="str">
        <f>IFERROR(VLOOKUP(B471,'02. MM-KLH'!$B$6:$T$823,14,0),"")</f>
        <v>VIỆT NAM</v>
      </c>
      <c r="P471" s="101">
        <f>IFERROR(VLOOKUP(B471,'02. MM-KLH'!$B$6:$T$823,15,0),"")</f>
        <v>2018</v>
      </c>
      <c r="Q471" s="101" t="str">
        <f>IFERROR(VLOOKUP(B471,'02. MM-KLH'!$B$6:$T$823,16,0),"")</f>
        <v>GTL D300E4</v>
      </c>
      <c r="R471" s="101">
        <f>IFERROR(VLOOKUP(B471,'02. MM-KLH'!$B$6:$T$823,17,0),"")</f>
        <v>0</v>
      </c>
      <c r="S471" s="110" t="str">
        <f>IFERROR(VLOOKUP(B471,'02. MM-KLH'!$B$6:$T$823,18,0),"")</f>
        <v>RNHD30FWAJC07892</v>
      </c>
      <c r="T471" s="111" t="str">
        <f>IFERROR(VLOOKUP(B471,'02. MM-KLH'!$B$6:$T$823,19,0),"")</f>
        <v>CCN</v>
      </c>
      <c r="U471" s="863" t="s">
        <v>451</v>
      </c>
    </row>
    <row r="472" ht="13.5" customHeight="1" spans="1:21">
      <c r="A472" s="101">
        <f t="shared" ref="A472:A475" si="20">A471+1</f>
        <v>2</v>
      </c>
      <c r="B472" s="104" t="s">
        <v>2496</v>
      </c>
      <c r="C472" s="102" t="str">
        <f>IFERROR(VLOOKUP(B472,'02. MM-KLH'!$B$6:$T$823,2,0),"")</f>
        <v>CVC-XTA-015</v>
      </c>
      <c r="D472" s="103" t="str">
        <f>IFERROR(VLOOKUP(B472,'02. MM-KLH'!$B$6:$T$823,3,0),"")</f>
        <v>ATT-A22-0176</v>
      </c>
      <c r="E472" s="102">
        <f>IFERROR(VLOOKUP(B472,'02. MM-KLH'!$B$6:$T$823,4,0),"")</f>
        <v>0</v>
      </c>
      <c r="F472" s="104" t="s">
        <v>3450</v>
      </c>
      <c r="G472" s="102" t="str">
        <f>IFERROR(VLOOKUP(B472,'02. MM-KLH'!$B$6:$T$823,6,0),"")</f>
        <v>Xe tải AUMAN GTL D300 E4 (Cấp dầu)</v>
      </c>
      <c r="H472" s="101" t="s">
        <v>3451</v>
      </c>
      <c r="I472" s="101" t="str">
        <f>IFERROR(VLOOKUP(B472,'02. MM-KLH'!$B$6:$T$823,8,0),"")</f>
        <v>Phòng GNVC</v>
      </c>
      <c r="J472" s="105">
        <f>IFERROR(VLOOKUP(B472,'02. MM-KLH'!$B$6:$T$823,9,0),"")</f>
        <v>44198</v>
      </c>
      <c r="K472" s="101" t="str">
        <f>IFERROR(VLOOKUP(B472,'02. MM-KLH'!$B$6:$T$823,10,0),"")</f>
        <v>Bình thường</v>
      </c>
      <c r="L472" s="107">
        <f>IFERROR(VLOOKUP(B472,'02. MM-KLH'!$B$6:$T$823,11,0),"")</f>
        <v>0.68</v>
      </c>
      <c r="M472" s="864">
        <f>IFERROR(VLOOKUP(B472,'02. MM-KLH'!$B$6:$T$823,12,0),"")</f>
        <v>0</v>
      </c>
      <c r="N472" s="110" t="str">
        <f>IFERROR(VLOOKUP(B472,'02. MM-KLH'!$B$6:$T$823,13,0),"")</f>
        <v>THACO AUMAN</v>
      </c>
      <c r="O472" s="110" t="str">
        <f>IFERROR(VLOOKUP(B472,'02. MM-KLH'!$B$6:$T$823,14,0),"")</f>
        <v>VIỆT NAM</v>
      </c>
      <c r="P472" s="101">
        <f>IFERROR(VLOOKUP(B472,'02. MM-KLH'!$B$6:$T$823,15,0),"")</f>
        <v>2018</v>
      </c>
      <c r="Q472" s="101" t="str">
        <f>IFERROR(VLOOKUP(B472,'02. MM-KLH'!$B$6:$T$823,16,0),"")</f>
        <v>GTL D300E4</v>
      </c>
      <c r="R472" s="101" t="str">
        <f>IFERROR(VLOOKUP(B472,'02. MM-KLH'!$B$6:$T$823,17,0),"")</f>
        <v>375HP</v>
      </c>
      <c r="S472" s="110" t="str">
        <f>IFERROR(VLOOKUP(B472,'02. MM-KLH'!$B$6:$T$823,18,0),"")</f>
        <v>RNHD30FWAJC078093</v>
      </c>
      <c r="T472" s="111" t="str">
        <f>IFERROR(VLOOKUP(B472,'02. MM-KLH'!$B$6:$T$823,19,0),"")</f>
        <v>WP10375E431618A009911</v>
      </c>
      <c r="U472" s="863" t="s">
        <v>451</v>
      </c>
    </row>
    <row r="473" ht="13.5" customHeight="1" spans="1:21">
      <c r="A473" s="101">
        <f t="shared" si="20"/>
        <v>3</v>
      </c>
      <c r="B473" s="104" t="s">
        <v>2499</v>
      </c>
      <c r="C473" s="102" t="str">
        <f>IFERROR(VLOOKUP(B473,'02. MM-KLH'!$B$6:$T$823,2,0),"")</f>
        <v>CHT-XTA-006 (92C-17302)</v>
      </c>
      <c r="D473" s="103" t="str">
        <f>IFERROR(VLOOKUP(B473,'02. MM-KLH'!$B$6:$T$823,3,0),"")</f>
        <v>ATT-A23-0024</v>
      </c>
      <c r="E473" s="102" t="str">
        <f>IFERROR(VLOOKUP(B473,'02. MM-KLH'!$B$6:$T$823,4,0),"")</f>
        <v>92C-17302</v>
      </c>
      <c r="F473" s="104" t="s">
        <v>3452</v>
      </c>
      <c r="G473" s="102" t="str">
        <f>IFERROR(VLOOKUP(B473,'02. MM-KLH'!$B$6:$T$823,6,0),"")</f>
        <v>Xe tải FD850 (Cấp dầu)</v>
      </c>
      <c r="H473" s="101" t="s">
        <v>3451</v>
      </c>
      <c r="I473" s="101" t="str">
        <f>IFERROR(VLOOKUP(B473,'02. MM-KLH'!$B$6:$T$823,8,0),"")</f>
        <v>Phòng GNVC</v>
      </c>
      <c r="J473" s="105">
        <f>IFERROR(VLOOKUP(B473,'02. MM-KLH'!$B$6:$T$823,9,0),"")</f>
        <v>0</v>
      </c>
      <c r="K473" s="101" t="str">
        <f>IFERROR(VLOOKUP(B473,'02. MM-KLH'!$B$6:$T$823,10,0),"")</f>
        <v>Bình thường</v>
      </c>
      <c r="L473" s="107">
        <f>IFERROR(VLOOKUP(B473,'02. MM-KLH'!$B$6:$T$823,11,0),"")</f>
        <v>0</v>
      </c>
      <c r="M473" s="864">
        <f>IFERROR(VLOOKUP(B473,'02. MM-KLH'!$B$6:$T$823,12,0),"")</f>
        <v>0</v>
      </c>
      <c r="N473" s="110" t="str">
        <f>IFERROR(VLOOKUP(B473,'02. MM-KLH'!$B$6:$T$823,13,0),"")</f>
        <v>THACO FORLAND</v>
      </c>
      <c r="O473" s="110" t="str">
        <f>IFERROR(VLOOKUP(B473,'02. MM-KLH'!$B$6:$T$823,14,0),"")</f>
        <v>VIỆT NAM</v>
      </c>
      <c r="P473" s="101">
        <f>IFERROR(VLOOKUP(B473,'02. MM-KLH'!$B$6:$T$823,15,0),"")</f>
        <v>2020</v>
      </c>
      <c r="Q473" s="101" t="str">
        <f>IFERROR(VLOOKUP(B473,'02. MM-KLH'!$B$6:$T$823,16,0),"")</f>
        <v>FD850</v>
      </c>
      <c r="R473" s="101" t="str">
        <f>IFERROR(VLOOKUP(B473,'02. MM-KLH'!$B$6:$T$823,17,0),"")</f>
        <v>140HP</v>
      </c>
      <c r="S473" s="110" t="str">
        <f>IFERROR(VLOOKUP(B473,'02. MM-KLH'!$B$6:$T$823,18,0),"")</f>
        <v>RNHF14FYALC012920</v>
      </c>
      <c r="T473" s="111" t="str">
        <f>IFERROR(VLOOKUP(B473,'02. MM-KLH'!$B$6:$T$823,19,0),"")</f>
        <v>CCN</v>
      </c>
      <c r="U473" s="863" t="s">
        <v>451</v>
      </c>
    </row>
    <row r="474" ht="51.75" customHeight="1" spans="1:21">
      <c r="A474" s="101">
        <f t="shared" si="20"/>
        <v>4</v>
      </c>
      <c r="B474" s="104" t="s">
        <v>2504</v>
      </c>
      <c r="C474" s="102" t="str">
        <f>IFERROR(VLOOKUP(B474,'02. MM-KLH'!$B$6:$T$823,2,0),"")</f>
        <v>CHT-XTA-013</v>
      </c>
      <c r="D474" s="103" t="str">
        <f>IFERROR(VLOOKUP(B474,'02. MM-KLH'!$B$6:$T$823,3,0),"")</f>
        <v>A23-XTA-001</v>
      </c>
      <c r="E474" s="102">
        <f>IFERROR(VLOOKUP(B474,'02. MM-KLH'!$B$6:$T$823,4,0),"")</f>
        <v>0</v>
      </c>
      <c r="F474" s="104" t="s">
        <v>3267</v>
      </c>
      <c r="G474" s="102" t="str">
        <f>IFERROR(VLOOKUP(B474,'02. MM-KLH'!$B$6:$T$823,6,0),"")</f>
        <v>Xe tải AUMAN GTL D300 E4 (Cấp dầu)</v>
      </c>
      <c r="H474" s="101" t="s">
        <v>3451</v>
      </c>
      <c r="I474" s="101" t="str">
        <f>IFERROR(VLOOKUP(B474,'02. MM-KLH'!$B$6:$T$823,8,0),"")</f>
        <v>Phòng GNVC</v>
      </c>
      <c r="J474" s="105">
        <f>IFERROR(VLOOKUP(B474,'02. MM-KLH'!$B$6:$T$823,9,0),"")</f>
        <v>44198</v>
      </c>
      <c r="K474" s="101" t="str">
        <f>IFERROR(VLOOKUP(B474,'02. MM-KLH'!$B$6:$T$823,10,0),"")</f>
        <v>Bình thường</v>
      </c>
      <c r="L474" s="107">
        <f>IFERROR(VLOOKUP(B474,'02. MM-KLH'!$B$6:$T$823,11,0),"")</f>
        <v>0</v>
      </c>
      <c r="M474" s="864" t="str">
        <f>IFERROR(VLOOKUP(B474,'02. MM-KLH'!$B$6:$T$823,12,0),"")</f>
        <v>CGTC DP điều chuyển qua  ngày 06.12.2025
Cải tạo thành xe cấp dầu
Bồn nhiên liệu 16.000L: A23-BNL-001
Máy phát điện 3kw: CVC-MFĐ-001</v>
      </c>
      <c r="N474" s="110" t="str">
        <f>IFERROR(VLOOKUP(B474,'02. MM-KLH'!$B$6:$T$823,13,0),"")</f>
        <v>THACO AUMAN</v>
      </c>
      <c r="O474" s="110" t="str">
        <f>IFERROR(VLOOKUP(B474,'02. MM-KLH'!$B$6:$T$823,14,0),"")</f>
        <v>VIỆT NAM</v>
      </c>
      <c r="P474" s="101">
        <f>IFERROR(VLOOKUP(B474,'02. MM-KLH'!$B$6:$T$823,15,0),"")</f>
        <v>2018</v>
      </c>
      <c r="Q474" s="101" t="str">
        <f>IFERROR(VLOOKUP(B474,'02. MM-KLH'!$B$6:$T$823,16,0),"")</f>
        <v>GTL D300E4</v>
      </c>
      <c r="R474" s="101" t="str">
        <f>IFERROR(VLOOKUP(B474,'02. MM-KLH'!$B$6:$T$823,17,0),"")</f>
        <v>375HP</v>
      </c>
      <c r="S474" s="110" t="str">
        <f>IFERROR(VLOOKUP(B474,'02. MM-KLH'!$B$6:$T$823,18,0),"")</f>
        <v>RNHD30FWAJC078086</v>
      </c>
      <c r="T474" s="111" t="str">
        <f>IFERROR(VLOOKUP(B474,'02. MM-KLH'!$B$6:$T$823,19,0),"")</f>
        <v>CCN</v>
      </c>
      <c r="U474" s="863" t="s">
        <v>451</v>
      </c>
    </row>
    <row r="475" ht="59.25" customHeight="1" spans="1:21">
      <c r="A475" s="101">
        <f t="shared" si="20"/>
        <v>5</v>
      </c>
      <c r="B475" s="104" t="s">
        <v>2508</v>
      </c>
      <c r="C475" s="104" t="str">
        <f>IFERROR(VLOOKUP(B475,'02. MM-KLH'!$B$6:$T$823,2,0),"")</f>
        <v>CHT-XTA-016</v>
      </c>
      <c r="D475" s="103" t="str">
        <f>IFERROR(VLOOKUP(B475,'02. MM-KLH'!$B$6:$T$823,3,0),"")</f>
        <v>ATT-A24-0079</v>
      </c>
      <c r="E475" s="102">
        <f>IFERROR(VLOOKUP(B475,'02. MM-KLH'!$B$6:$T$823,4,0),"")</f>
        <v>0</v>
      </c>
      <c r="F475" s="104" t="s">
        <v>2510</v>
      </c>
      <c r="G475" s="102" t="str">
        <f>IFERROR(VLOOKUP(B475,'02. MM-KLH'!$B$6:$T$823,6,0),"")</f>
        <v>Xe tải AUMAN GTL D300 E4 (Cấp dầu)</v>
      </c>
      <c r="H475" s="101" t="s">
        <v>3378</v>
      </c>
      <c r="I475" s="101" t="str">
        <f>IFERROR(VLOOKUP(B475,'02. MM-KLH'!$B$6:$T$823,8,0),"")</f>
        <v>Phòng GNVC</v>
      </c>
      <c r="J475" s="105">
        <f>IFERROR(VLOOKUP(B475,'02. MM-KLH'!$B$6:$T$823,9,0),"")</f>
        <v>44205</v>
      </c>
      <c r="K475" s="101" t="str">
        <f>IFERROR(VLOOKUP(B475,'02. MM-KLH'!$B$6:$T$823,10,0),"")</f>
        <v>Bình thường</v>
      </c>
      <c r="L475" s="107">
        <f>IFERROR(VLOOKUP(B475,'02. MM-KLH'!$B$6:$T$823,11,0),"")</f>
        <v>0.7</v>
      </c>
      <c r="M475" s="864" t="str">
        <f>IFERROR(VLOOKUP(B475,'02. MM-KLH'!$B$6:$T$823,12,0),"")</f>
        <v>CGTC  LP điều chuyển qua ngày 25/12/2025
Cải tạo thành xe cấp dầu
Máy phát điện 3Kw: CVC-MFĐ-002 (cũ)
máy phát điện 6.5Kw: CVC-MFĐ-003 (08/04/2026 - mới)</v>
      </c>
      <c r="N475" s="110" t="str">
        <f>IFERROR(VLOOKUP(B475,'02. MM-KLH'!$B$6:$T$823,13,0),"")</f>
        <v>THACO AUMAN</v>
      </c>
      <c r="O475" s="110" t="str">
        <f>IFERROR(VLOOKUP(B475,'02. MM-KLH'!$B$6:$T$823,14,0),"")</f>
        <v>VIỆT NAM</v>
      </c>
      <c r="P475" s="101">
        <f>IFERROR(VLOOKUP(B475,'02. MM-KLH'!$B$6:$T$823,15,0),"")</f>
        <v>2018</v>
      </c>
      <c r="Q475" s="101" t="str">
        <f>IFERROR(VLOOKUP(B475,'02. MM-KLH'!$B$6:$T$823,16,0),"")</f>
        <v>GTL D300E4</v>
      </c>
      <c r="R475" s="101" t="str">
        <f>IFERROR(VLOOKUP(B475,'02. MM-KLH'!$B$6:$T$823,17,0),"")</f>
        <v>375HP</v>
      </c>
      <c r="S475" s="110" t="str">
        <f>IFERROR(VLOOKUP(B475,'02. MM-KLH'!$B$6:$T$823,18,0),"")</f>
        <v>RNHD30FWAJCO078101</v>
      </c>
      <c r="T475" s="111" t="str">
        <f>IFERROR(VLOOKUP(B475,'02. MM-KLH'!$B$6:$T$823,19,0),"")</f>
        <v>WP10375E431618A008105</v>
      </c>
      <c r="U475" s="863" t="s">
        <v>451</v>
      </c>
    </row>
    <row r="476" ht="13.5" customHeight="1" spans="1:21">
      <c r="A476" s="103"/>
      <c r="B476" s="104"/>
      <c r="C476" s="102"/>
      <c r="D476" s="103"/>
      <c r="E476" s="102"/>
      <c r="F476" s="104"/>
      <c r="G476" s="102"/>
      <c r="H476" s="101"/>
      <c r="I476" s="101"/>
      <c r="J476" s="105"/>
      <c r="K476" s="101"/>
      <c r="L476" s="107"/>
      <c r="M476" s="864"/>
      <c r="N476" s="110"/>
      <c r="O476" s="110"/>
      <c r="P476" s="101"/>
      <c r="Q476" s="101"/>
      <c r="R476" s="101"/>
      <c r="S476" s="110"/>
      <c r="T476" s="111"/>
      <c r="U476" s="863"/>
    </row>
    <row r="477" ht="13.5" customHeight="1" spans="1:21">
      <c r="A477" s="103"/>
      <c r="B477" s="104"/>
      <c r="C477" s="102"/>
      <c r="D477" s="103"/>
      <c r="E477" s="102"/>
      <c r="F477" s="104"/>
      <c r="G477" s="102"/>
      <c r="H477" s="101"/>
      <c r="I477" s="101"/>
      <c r="J477" s="105"/>
      <c r="K477" s="101"/>
      <c r="L477" s="107"/>
      <c r="M477" s="864"/>
      <c r="N477" s="110"/>
      <c r="O477" s="110"/>
      <c r="P477" s="101"/>
      <c r="Q477" s="101"/>
      <c r="R477" s="101"/>
      <c r="S477" s="110"/>
      <c r="T477" s="111"/>
      <c r="U477" s="863"/>
    </row>
    <row r="478" ht="13.5" customHeight="1" spans="1:21">
      <c r="A478" s="847" t="s">
        <v>290</v>
      </c>
      <c r="B478" s="848" t="s">
        <v>3453</v>
      </c>
      <c r="C478" s="849">
        <f>COUNTA(B479:B487)</f>
        <v>8</v>
      </c>
      <c r="D478" s="849" t="str">
        <f>IFERROR(VLOOKUP(B478,'02. MM-KLH'!$B$6:$T$823,3,0),"")</f>
        <v/>
      </c>
      <c r="E478" s="849" t="str">
        <f>IFERROR(VLOOKUP(B478,'02. MM-KLH'!$B$6:$T$823,4,0),"")</f>
        <v/>
      </c>
      <c r="F478" s="849"/>
      <c r="G478" s="849" t="str">
        <f>IFERROR(VLOOKUP(B478,'02. MM-KLH'!$B$6:$T$823,6,0),"")</f>
        <v/>
      </c>
      <c r="H478" s="849"/>
      <c r="I478" s="849" t="str">
        <f>IFERROR(VLOOKUP(B478,'02. MM-KLH'!$B$6:$T$823,8,0),"")</f>
        <v/>
      </c>
      <c r="J478" s="849" t="str">
        <f>IFERROR(VLOOKUP(B478,'02. MM-KLH'!$B$6:$T$823,9,0),"")</f>
        <v/>
      </c>
      <c r="K478" s="849" t="str">
        <f>IFERROR(VLOOKUP(B478,'02. MM-KLH'!$B$6:$T$823,10,0),"")</f>
        <v/>
      </c>
      <c r="L478" s="849" t="str">
        <f>IFERROR(VLOOKUP(B478,'02. MM-KLH'!$B$6:$T$823,11,0),"")</f>
        <v/>
      </c>
      <c r="M478" s="849" t="str">
        <f>IFERROR(VLOOKUP(B478,'02. MM-KLH'!$B$6:$T$823,12,0),"")</f>
        <v/>
      </c>
      <c r="N478" s="849" t="str">
        <f>IFERROR(VLOOKUP(B478,'02. MM-KLH'!$B$6:$T$823,13,0),"")</f>
        <v/>
      </c>
      <c r="O478" s="849" t="str">
        <f>IFERROR(VLOOKUP(B478,'02. MM-KLH'!$B$6:$T$823,14,0),"")</f>
        <v/>
      </c>
      <c r="P478" s="849" t="str">
        <f>IFERROR(VLOOKUP(B478,'02. MM-KLH'!$B$6:$T$823,15,0),"")</f>
        <v/>
      </c>
      <c r="Q478" s="849" t="str">
        <f>IFERROR(VLOOKUP(B478,'02. MM-KLH'!$B$6:$T$823,16,0),"")</f>
        <v/>
      </c>
      <c r="R478" s="849" t="str">
        <f>IFERROR(VLOOKUP(B478,'02. MM-KLH'!$B$6:$T$823,17,0),"")</f>
        <v/>
      </c>
      <c r="S478" s="849" t="str">
        <f>IFERROR(VLOOKUP(B478,'02. MM-KLH'!$B$6:$T$823,18,0),"")</f>
        <v/>
      </c>
      <c r="T478" s="849" t="str">
        <f>IFERROR(VLOOKUP(B478,'02. MM-KLH'!$B$6:$T$823,19,0),"")</f>
        <v/>
      </c>
      <c r="U478" s="849" t="str">
        <f>IFERROR(VLOOKUP(C478,'02. MM-KLH'!$B$6:$T$823,19,0),"")</f>
        <v/>
      </c>
    </row>
    <row r="479" ht="13.5" customHeight="1" spans="1:21">
      <c r="A479" s="101">
        <v>1</v>
      </c>
      <c r="B479" s="104" t="s">
        <v>1156</v>
      </c>
      <c r="C479" s="102" t="str">
        <f>IFERROR(VLOOKUP(B479,'02. MM-KLH'!$B$6:$T$823,2,0),"")</f>
        <v>XPT003(XD3-XPT-001)</v>
      </c>
      <c r="D479" s="103" t="str">
        <f>IFERROR(VLOOKUP(B479,'02. MM-KLH'!$B$6:$T$823,3,0),"")</f>
        <v>A23-XPT-001</v>
      </c>
      <c r="E479" s="102">
        <f>IFERROR(VLOOKUP(B479,'02. MM-KLH'!$B$6:$T$823,4,0),"")</f>
        <v>0</v>
      </c>
      <c r="F479" s="104"/>
      <c r="G479" s="102" t="str">
        <f>IFERROR(VLOOKUP(B479,'02. MM-KLH'!$B$6:$T$823,6,0),"")</f>
        <v>Xe phun thuốc Faw 15T</v>
      </c>
      <c r="H479" s="101" t="s">
        <v>3454</v>
      </c>
      <c r="I479" s="101" t="str">
        <f>IFERROR(VLOOKUP(B479,'02. MM-KLH'!$B$6:$T$823,8,0),"")</f>
        <v>XN Chuối DP1</v>
      </c>
      <c r="J479" s="105">
        <f>IFERROR(VLOOKUP(B479,'02. MM-KLH'!$B$6:$T$823,9,0),"")</f>
        <v>45446</v>
      </c>
      <c r="K479" s="101" t="str">
        <f>IFERROR(VLOOKUP(B479,'02. MM-KLH'!$B$6:$T$823,10,0),"")</f>
        <v>Bình thường</v>
      </c>
      <c r="L479" s="107">
        <f>IFERROR(VLOOKUP(B479,'02. MM-KLH'!$B$6:$T$823,11,0),"")</f>
        <v>0</v>
      </c>
      <c r="M479" s="864" t="str">
        <f>IFERROR(VLOOKUP(B479,'02. MM-KLH'!$B$6:$T$823,12,0),"")</f>
        <v>DP3 bàn giao qua</v>
      </c>
      <c r="N479" s="110" t="str">
        <f>IFERROR(VLOOKUP(B479,'02. MM-KLH'!$B$6:$T$823,13,0),"")</f>
        <v>FAW</v>
      </c>
      <c r="O479" s="110" t="str">
        <f>IFERROR(VLOOKUP(B479,'02. MM-KLH'!$B$6:$T$823,14,0),"")</f>
        <v>TRUNG QUỐC</v>
      </c>
      <c r="P479" s="101">
        <f>IFERROR(VLOOKUP(B479,'02. MM-KLH'!$B$6:$T$823,15,0),"")</f>
        <v>2010</v>
      </c>
      <c r="Q479" s="101">
        <f>IFERROR(VLOOKUP(B479,'02. MM-KLH'!$B$6:$T$823,16,0),"")</f>
        <v>0</v>
      </c>
      <c r="R479" s="101">
        <f>IFERROR(VLOOKUP(B479,'02. MM-KLH'!$B$6:$T$823,17,0),"")</f>
        <v>0</v>
      </c>
      <c r="S479" s="110" t="str">
        <f>IFERROR(VLOOKUP(B479,'02. MM-KLH'!$B$6:$T$823,18,0),"")</f>
        <v>9AD16885</v>
      </c>
      <c r="T479" s="111" t="str">
        <f>IFERROR(VLOOKUP(B479,'02. MM-KLH'!$B$6:$T$823,19,0),"")</f>
        <v>CCN</v>
      </c>
      <c r="U479" s="863" t="s">
        <v>451</v>
      </c>
    </row>
    <row r="480" ht="13.5" customHeight="1" spans="1:21">
      <c r="A480" s="101">
        <f t="shared" ref="A480:A486" si="21">A479+1</f>
        <v>2</v>
      </c>
      <c r="B480" s="104" t="s">
        <v>1265</v>
      </c>
      <c r="C480" s="102" t="str">
        <f>IFERROR(VLOOKUP(B480,'02. MM-KLH'!$B$6:$T$823,2,0),"")</f>
        <v>XPT09NNKLH</v>
      </c>
      <c r="D480" s="103" t="str">
        <f>IFERROR(VLOOKUP(B480,'02. MM-KLH'!$B$6:$T$823,3,0),"")</f>
        <v>A23-XPT-002</v>
      </c>
      <c r="E480" s="102">
        <f>IFERROR(VLOOKUP(B480,'02. MM-KLH'!$B$6:$T$823,4,0),"")</f>
        <v>0</v>
      </c>
      <c r="F480" s="104"/>
      <c r="G480" s="102" t="str">
        <f>IFERROR(VLOOKUP(B480,'02. MM-KLH'!$B$6:$T$823,6,0),"")</f>
        <v>Xe phun thuốc HYUNDAI 15T</v>
      </c>
      <c r="H480" s="101" t="s">
        <v>3454</v>
      </c>
      <c r="I480" s="101" t="str">
        <f>IFERROR(VLOOKUP(B480,'02. MM-KLH'!$B$6:$T$823,8,0),"")</f>
        <v>XN Chuối DP2</v>
      </c>
      <c r="J480" s="105">
        <f>IFERROR(VLOOKUP(B480,'02. MM-KLH'!$B$6:$T$823,9,0),"")</f>
        <v>0</v>
      </c>
      <c r="K480" s="101" t="str">
        <f>IFERROR(VLOOKUP(B480,'02. MM-KLH'!$B$6:$T$823,10,0),"")</f>
        <v>Bình thường</v>
      </c>
      <c r="L480" s="107">
        <f>IFERROR(VLOOKUP(B480,'02. MM-KLH'!$B$6:$T$823,11,0),"")</f>
        <v>0</v>
      </c>
      <c r="M480" s="864">
        <f>IFERROR(VLOOKUP(B480,'02. MM-KLH'!$B$6:$T$823,12,0),"")</f>
        <v>0</v>
      </c>
      <c r="N480" s="110" t="str">
        <f>IFERROR(VLOOKUP(B480,'02. MM-KLH'!$B$6:$T$823,13,0),"")</f>
        <v>HYUNDAI</v>
      </c>
      <c r="O480" s="110" t="str">
        <f>IFERROR(VLOOKUP(B480,'02. MM-KLH'!$B$6:$T$823,14,0),"")</f>
        <v>HÀN QUỐC</v>
      </c>
      <c r="P480" s="101">
        <f>IFERROR(VLOOKUP(B480,'02. MM-KLH'!$B$6:$T$823,15,0),"")</f>
        <v>1992</v>
      </c>
      <c r="Q480" s="101" t="str">
        <f>IFERROR(VLOOKUP(B480,'02. MM-KLH'!$B$6:$T$823,16,0),"")</f>
        <v>15T</v>
      </c>
      <c r="R480" s="101">
        <f>IFERROR(VLOOKUP(B480,'02. MM-KLH'!$B$6:$T$823,17,0),"")</f>
        <v>0</v>
      </c>
      <c r="S480" s="110" t="str">
        <f>IFERROR(VLOOKUP(B480,'02. MM-KLH'!$B$6:$T$823,18,0),"")</f>
        <v>KMCDB19IPNU003775</v>
      </c>
      <c r="T480" s="111" t="str">
        <f>IFERROR(VLOOKUP(B480,'02. MM-KLH'!$B$6:$T$823,19,0),"")</f>
        <v>D8AVP095627</v>
      </c>
      <c r="U480" s="863" t="s">
        <v>451</v>
      </c>
    </row>
    <row r="481" ht="13.5" customHeight="1" spans="1:21">
      <c r="A481" s="101">
        <f t="shared" si="21"/>
        <v>3</v>
      </c>
      <c r="B481" s="124" t="s">
        <v>1679</v>
      </c>
      <c r="C481" s="102" t="str">
        <f>IFERROR(VLOOKUP(B481,'02. MM-KLH'!$B$6:$T$823,2,0),"")</f>
        <v>XL1-XTA-002(XPT05NNKLH)</v>
      </c>
      <c r="D481" s="103" t="str">
        <f>IFERROR(VLOOKUP(B481,'02. MM-KLH'!$B$6:$T$823,3,0),"")</f>
        <v>A24-XPT-001</v>
      </c>
      <c r="E481" s="102">
        <f>IFERROR(VLOOKUP(B481,'02. MM-KLH'!$B$6:$T$823,4,0),"")</f>
        <v>0</v>
      </c>
      <c r="F481" s="124"/>
      <c r="G481" s="102" t="str">
        <f>IFERROR(VLOOKUP(B481,'02. MM-KLH'!$B$6:$T$823,6,0),"")</f>
        <v>Xe phun thuốc Faw 15T</v>
      </c>
      <c r="H481" s="101" t="s">
        <v>3454</v>
      </c>
      <c r="I481" s="101" t="str">
        <f>IFERROR(VLOOKUP(B481,'02. MM-KLH'!$B$6:$T$823,8,0),"")</f>
        <v>XN Chuối LP3</v>
      </c>
      <c r="J481" s="105" t="str">
        <f>IFERROR(VLOOKUP(B481,'02. MM-KLH'!$B$6:$T$823,9,0),"")</f>
        <v>21/02/2024</v>
      </c>
      <c r="K481" s="101" t="str">
        <f>IFERROR(VLOOKUP(B481,'02. MM-KLH'!$B$6:$T$823,10,0),"")</f>
        <v>Bình thường</v>
      </c>
      <c r="L481" s="107">
        <f>IFERROR(VLOOKUP(B481,'02. MM-KLH'!$B$6:$T$823,11,0),"")</f>
        <v>0</v>
      </c>
      <c r="M481" s="864" t="str">
        <f>IFERROR(VLOOKUP(B481,'02. MM-KLH'!$B$6:$T$823,12,0),"")</f>
        <v>LP1 Đ.chuyen qua LP3</v>
      </c>
      <c r="N481" s="110" t="str">
        <f>IFERROR(VLOOKUP(B481,'02. MM-KLH'!$B$6:$T$823,13,0),"")</f>
        <v>FAW</v>
      </c>
      <c r="O481" s="110">
        <f>IFERROR(VLOOKUP(B481,'02. MM-KLH'!$B$6:$T$823,14,0),"")</f>
        <v>0</v>
      </c>
      <c r="P481" s="101">
        <f>IFERROR(VLOOKUP(B481,'02. MM-KLH'!$B$6:$T$823,15,0),"")</f>
        <v>2010</v>
      </c>
      <c r="Q481" s="101">
        <f>IFERROR(VLOOKUP(B481,'02. MM-KLH'!$B$6:$T$823,16,0),"")</f>
        <v>0</v>
      </c>
      <c r="R481" s="101" t="str">
        <f>IFERROR(VLOOKUP(B481,'02. MM-KLH'!$B$6:$T$823,17,0),"")</f>
        <v>15 TẤN</v>
      </c>
      <c r="S481" s="110" t="str">
        <f>IFERROR(VLOOKUP(B481,'02. MM-KLH'!$B$6:$T$823,18,0),"")</f>
        <v>9AD16880</v>
      </c>
      <c r="T481" s="111" t="str">
        <f>IFERROR(VLOOKUP(B481,'02. MM-KLH'!$B$6:$T$823,19,0),"")</f>
        <v>CCN</v>
      </c>
      <c r="U481" s="863" t="s">
        <v>451</v>
      </c>
    </row>
    <row r="482" ht="13.5" customHeight="1" spans="1:21">
      <c r="A482" s="101">
        <f t="shared" si="21"/>
        <v>4</v>
      </c>
      <c r="B482" s="124" t="s">
        <v>1683</v>
      </c>
      <c r="C482" s="102" t="str">
        <f>IFERROR(VLOOKUP(B482,'02. MM-KLH'!$B$6:$T$823,2,0),"")</f>
        <v>XPT10 - NN KLH(XA2-XPT-002)</v>
      </c>
      <c r="D482" s="103" t="str">
        <f>IFERROR(VLOOKUP(B482,'02. MM-KLH'!$B$6:$T$823,3,0),"")</f>
        <v/>
      </c>
      <c r="E482" s="102">
        <f>IFERROR(VLOOKUP(B482,'02. MM-KLH'!$B$6:$T$823,4,0),"")</f>
        <v>0</v>
      </c>
      <c r="F482" s="104"/>
      <c r="G482" s="102" t="str">
        <f>IFERROR(VLOOKUP(B482,'02. MM-KLH'!$B$6:$T$823,6,0),"")</f>
        <v>Xe phun thuốc HYUNDAI 15T</v>
      </c>
      <c r="H482" s="101" t="s">
        <v>3454</v>
      </c>
      <c r="I482" s="101" t="str">
        <f>IFERROR(VLOOKUP(B482,'02. MM-KLH'!$B$6:$T$823,8,0),"")</f>
        <v>XN Chuối LP3</v>
      </c>
      <c r="J482" s="105">
        <f>IFERROR(VLOOKUP(B482,'02. MM-KLH'!$B$6:$T$823,9,0),"")</f>
        <v>0</v>
      </c>
      <c r="K482" s="101" t="str">
        <f>IFERROR(VLOOKUP(B482,'02. MM-KLH'!$B$6:$T$823,10,0),"")</f>
        <v>Bình thường</v>
      </c>
      <c r="L482" s="107">
        <f>IFERROR(VLOOKUP(B482,'02. MM-KLH'!$B$6:$T$823,11,0),"")</f>
        <v>0</v>
      </c>
      <c r="M482" s="864" t="str">
        <f>IFERROR(VLOOKUP(B482,'02. MM-KLH'!$B$6:$T$823,12,0),"")</f>
        <v>Đ.chuyển từ AD2 ngày 20/11/2024</v>
      </c>
      <c r="N482" s="110" t="str">
        <f>IFERROR(VLOOKUP(B482,'02. MM-KLH'!$B$6:$T$823,13,0),"")</f>
        <v>HYUNDAI</v>
      </c>
      <c r="O482" s="110" t="str">
        <f>IFERROR(VLOOKUP(B482,'02. MM-KLH'!$B$6:$T$823,14,0),"")</f>
        <v>HÀN QUỐC</v>
      </c>
      <c r="P482" s="101">
        <f>IFERROR(VLOOKUP(B482,'02. MM-KLH'!$B$6:$T$823,15,0),"")</f>
        <v>0</v>
      </c>
      <c r="Q482" s="101">
        <f>IFERROR(VLOOKUP(B482,'02. MM-KLH'!$B$6:$T$823,16,0),"")</f>
        <v>0</v>
      </c>
      <c r="R482" s="101">
        <f>IFERROR(VLOOKUP(B482,'02. MM-KLH'!$B$6:$T$823,17,0),"")</f>
        <v>0</v>
      </c>
      <c r="S482" s="110">
        <f>IFERROR(VLOOKUP(B482,'02. MM-KLH'!$B$6:$T$823,18,0),"")</f>
        <v>18446</v>
      </c>
      <c r="T482" s="111" t="str">
        <f>IFERROR(VLOOKUP(B482,'02. MM-KLH'!$B$6:$T$823,19,0),"")</f>
        <v>CCN</v>
      </c>
      <c r="U482" s="863" t="s">
        <v>451</v>
      </c>
    </row>
    <row r="483" ht="13.5" customHeight="1" spans="1:21">
      <c r="A483" s="101">
        <f t="shared" si="21"/>
        <v>5</v>
      </c>
      <c r="B483" s="104" t="s">
        <v>1550</v>
      </c>
      <c r="C483" s="102" t="str">
        <f>IFERROR(VLOOKUP(B483,'02. MM-KLH'!$B$6:$T$823,2,0),"")</f>
        <v>XL4-XPT-001(XPT04-NNKLH)</v>
      </c>
      <c r="D483" s="103" t="str">
        <f>IFERROR(VLOOKUP(B483,'02. MM-KLH'!$B$6:$T$823,3,0),"")</f>
        <v/>
      </c>
      <c r="E483" s="102">
        <f>IFERROR(VLOOKUP(B483,'02. MM-KLH'!$B$6:$T$823,4,0),"")</f>
        <v>0</v>
      </c>
      <c r="F483" s="104"/>
      <c r="G483" s="102" t="str">
        <f>IFERROR(VLOOKUP(B483,'02. MM-KLH'!$B$6:$T$823,6,0),"")</f>
        <v>Xe phun thuốc HYUNDAI 15T</v>
      </c>
      <c r="H483" s="101" t="s">
        <v>3454</v>
      </c>
      <c r="I483" s="101" t="str">
        <f>IFERROR(VLOOKUP(B483,'02. MM-KLH'!$B$6:$T$823,8,0),"")</f>
        <v>XN Chuối LP1</v>
      </c>
      <c r="J483" s="105">
        <f>IFERROR(VLOOKUP(B483,'02. MM-KLH'!$B$6:$T$823,9,0),"")</f>
        <v>0</v>
      </c>
      <c r="K483" s="101" t="str">
        <f>IFERROR(VLOOKUP(B483,'02. MM-KLH'!$B$6:$T$823,10,0),"")</f>
        <v>Bình thường</v>
      </c>
      <c r="L483" s="107">
        <f>IFERROR(VLOOKUP(B483,'02. MM-KLH'!$B$6:$T$823,11,0),"")</f>
        <v>0</v>
      </c>
      <c r="M483" s="864" t="str">
        <f>IFERROR(VLOOKUP(B483,'02. MM-KLH'!$B$6:$T$823,12,0),"")</f>
        <v>-Đ.chuyển từ LP4 sang LP1 ngày 22.11.2024</v>
      </c>
      <c r="N483" s="110" t="str">
        <f>IFERROR(VLOOKUP(B483,'02. MM-KLH'!$B$6:$T$823,13,0),"")</f>
        <v>HYUNDAI</v>
      </c>
      <c r="O483" s="110" t="str">
        <f>IFERROR(VLOOKUP(B483,'02. MM-KLH'!$B$6:$T$823,14,0),"")</f>
        <v>HÀN QUỐC</v>
      </c>
      <c r="P483" s="101">
        <f>IFERROR(VLOOKUP(B483,'02. MM-KLH'!$B$6:$T$823,15,0),"")</f>
        <v>0</v>
      </c>
      <c r="Q483" s="101">
        <f>IFERROR(VLOOKUP(B483,'02. MM-KLH'!$B$6:$T$823,16,0),"")</f>
        <v>0</v>
      </c>
      <c r="R483" s="101" t="str">
        <f>IFERROR(VLOOKUP(B483,'02. MM-KLH'!$B$6:$T$823,17,0),"")</f>
        <v>15TẤN</v>
      </c>
      <c r="S483" s="110">
        <f>IFERROR(VLOOKUP(B483,'02. MM-KLH'!$B$6:$T$823,18,0),"")</f>
        <v>6958</v>
      </c>
      <c r="T483" s="111" t="str">
        <f>IFERROR(VLOOKUP(B483,'02. MM-KLH'!$B$6:$T$823,19,0),"")</f>
        <v>CCN</v>
      </c>
      <c r="U483" s="863" t="s">
        <v>451</v>
      </c>
    </row>
    <row r="484" ht="13.5" customHeight="1" spans="1:21">
      <c r="A484" s="101">
        <f t="shared" si="21"/>
        <v>6</v>
      </c>
      <c r="B484" s="104" t="s">
        <v>1369</v>
      </c>
      <c r="C484" s="102" t="str">
        <f>IFERROR(VLOOKUP(B484,'02. MM-KLH'!$B$6:$T$823,2,0),"")</f>
        <v>XPT002</v>
      </c>
      <c r="D484" s="103" t="str">
        <f>IFERROR(VLOOKUP(B484,'02. MM-KLH'!$B$6:$T$823,3,0),"")</f>
        <v>A23-XPT-003</v>
      </c>
      <c r="E484" s="102">
        <f>IFERROR(VLOOKUP(B484,'02. MM-KLH'!$B$6:$T$823,4,0),"")</f>
        <v>0</v>
      </c>
      <c r="F484" s="104"/>
      <c r="G484" s="102" t="str">
        <f>IFERROR(VLOOKUP(B484,'02. MM-KLH'!$B$6:$T$823,6,0),"")</f>
        <v>Xe phun thuốc FC950</v>
      </c>
      <c r="H484" s="101" t="s">
        <v>3454</v>
      </c>
      <c r="I484" s="101" t="str">
        <f>IFERROR(VLOOKUP(B484,'02. MM-KLH'!$B$6:$T$823,8,0),"")</f>
        <v>XN Chuối DP3</v>
      </c>
      <c r="J484" s="105">
        <f>IFERROR(VLOOKUP(B484,'02. MM-KLH'!$B$6:$T$823,9,0),"")</f>
        <v>0</v>
      </c>
      <c r="K484" s="101" t="str">
        <f>IFERROR(VLOOKUP(B484,'02. MM-KLH'!$B$6:$T$823,10,0),"")</f>
        <v>Bình thường</v>
      </c>
      <c r="L484" s="107">
        <f>IFERROR(VLOOKUP(B484,'02. MM-KLH'!$B$6:$T$823,11,0),"")</f>
        <v>0</v>
      </c>
      <c r="M484" s="864">
        <f>IFERROR(VLOOKUP(B484,'02. MM-KLH'!$B$6:$T$823,12,0),"")</f>
        <v>0</v>
      </c>
      <c r="N484" s="110" t="str">
        <f>IFERROR(VLOOKUP(B484,'02. MM-KLH'!$B$6:$T$823,13,0),"")</f>
        <v>THACO FORLAND</v>
      </c>
      <c r="O484" s="110" t="str">
        <f>IFERROR(VLOOKUP(B484,'02. MM-KLH'!$B$6:$T$823,14,0),"")</f>
        <v>VIỆT NAM</v>
      </c>
      <c r="P484" s="101">
        <f>IFERROR(VLOOKUP(B484,'02. MM-KLH'!$B$6:$T$823,15,0),"")</f>
        <v>2018</v>
      </c>
      <c r="Q484" s="101" t="str">
        <f>IFERROR(VLOOKUP(B484,'02. MM-KLH'!$B$6:$T$823,16,0),"")</f>
        <v>FC950</v>
      </c>
      <c r="R484" s="101" t="str">
        <f>IFERROR(VLOOKUP(B484,'02. MM-KLH'!$B$6:$T$823,17,0),"")</f>
        <v>160HP</v>
      </c>
      <c r="S484" s="110" t="str">
        <f>IFERROR(VLOOKUP(B484,'02. MM-KLH'!$B$6:$T$823,18,0),"")</f>
        <v>RNHA16FYAJC093491</v>
      </c>
      <c r="T484" s="111" t="str">
        <f>IFERROR(VLOOKUP(B484,'02. MM-KLH'!$B$6:$T$823,19,0),"")</f>
        <v>J00043</v>
      </c>
      <c r="U484" s="863" t="s">
        <v>451</v>
      </c>
    </row>
    <row r="485" ht="13.5" customHeight="1" spans="1:21">
      <c r="A485" s="101">
        <f t="shared" si="21"/>
        <v>7</v>
      </c>
      <c r="B485" s="104" t="s">
        <v>1584</v>
      </c>
      <c r="C485" s="102" t="str">
        <f>IFERROR(VLOOKUP(B485,'02. MM-KLH'!$B$6:$T$823,2,0),"")</f>
        <v>XA2-XPT-003</v>
      </c>
      <c r="D485" s="103" t="str">
        <f>IFERROR(VLOOKUP(B485,'02. MM-KLH'!$B$6:$T$823,3,0),"")</f>
        <v/>
      </c>
      <c r="E485" s="102">
        <f>IFERROR(VLOOKUP(B485,'02. MM-KLH'!$B$6:$T$823,4,0),"")</f>
        <v>0</v>
      </c>
      <c r="F485" s="104"/>
      <c r="G485" s="102" t="str">
        <f>IFERROR(VLOOKUP(B485,'02. MM-KLH'!$B$6:$T$823,6,0),"")</f>
        <v>Xe phun thuốc FD 3.5T</v>
      </c>
      <c r="H485" s="101" t="s">
        <v>3454</v>
      </c>
      <c r="I485" s="101" t="str">
        <f>IFERROR(VLOOKUP(B485,'02. MM-KLH'!$B$6:$T$823,8,0),"")</f>
        <v>XN Chuối LP1</v>
      </c>
      <c r="J485" s="105">
        <f>IFERROR(VLOOKUP(B485,'02. MM-KLH'!$B$6:$T$823,9,0),"")</f>
        <v>0</v>
      </c>
      <c r="K485" s="101" t="str">
        <f>IFERROR(VLOOKUP(B485,'02. MM-KLH'!$B$6:$T$823,10,0),"")</f>
        <v>Bình thường</v>
      </c>
      <c r="L485" s="107">
        <f>IFERROR(VLOOKUP(B485,'02. MM-KLH'!$B$6:$T$823,11,0),"")</f>
        <v>0</v>
      </c>
      <c r="M485" s="864" t="str">
        <f>IFERROR(VLOOKUP(B485,'02. MM-KLH'!$B$6:$T$823,12,0),"")</f>
        <v>Điều chuyển từ AD2 ngày 31/7/2025</v>
      </c>
      <c r="N485" s="110" t="str">
        <f>IFERROR(VLOOKUP(B485,'02. MM-KLH'!$B$6:$T$823,13,0),"")</f>
        <v>THACO FORLAND</v>
      </c>
      <c r="O485" s="110" t="str">
        <f>IFERROR(VLOOKUP(B485,'02. MM-KLH'!$B$6:$T$823,14,0),"")</f>
        <v>VIỆT NAM</v>
      </c>
      <c r="P485" s="101">
        <f>IFERROR(VLOOKUP(B485,'02. MM-KLH'!$B$6:$T$823,15,0),"")</f>
        <v>2018</v>
      </c>
      <c r="Q485" s="101" t="str">
        <f>IFERROR(VLOOKUP(B485,'02. MM-KLH'!$B$6:$T$823,16,0),"")</f>
        <v>FD350</v>
      </c>
      <c r="R485" s="101" t="str">
        <f>IFERROR(VLOOKUP(B485,'02. MM-KLH'!$B$6:$T$823,17,0),"")</f>
        <v>78HP</v>
      </c>
      <c r="S485" s="110">
        <f>IFERROR(VLOOKUP(B485,'02. MM-KLH'!$B$6:$T$823,18,0),"")</f>
        <v>380096</v>
      </c>
      <c r="T485" s="111" t="str">
        <f>IFERROR(VLOOKUP(B485,'02. MM-KLH'!$B$6:$T$823,19,0),"")</f>
        <v>CCN</v>
      </c>
      <c r="U485" s="863" t="s">
        <v>451</v>
      </c>
    </row>
    <row r="486" ht="13.5" customHeight="1" spans="1:21">
      <c r="A486" s="101">
        <f t="shared" si="21"/>
        <v>8</v>
      </c>
      <c r="B486" s="104" t="s">
        <v>2421</v>
      </c>
      <c r="C486" s="102">
        <f>IFERROR(VLOOKUP(B486,'02. MM-KLH'!$B$6:$T$823,2,0),"")</f>
        <v>0</v>
      </c>
      <c r="D486" s="103" t="str">
        <f>IFERROR(VLOOKUP(B486,'02. MM-KLH'!$B$6:$T$823,3,0),"")</f>
        <v>A22-XPT-004</v>
      </c>
      <c r="E486" s="102">
        <f>IFERROR(VLOOKUP(B486,'02. MM-KLH'!$B$6:$T$823,4,0),"")</f>
        <v>0</v>
      </c>
      <c r="F486" s="104"/>
      <c r="G486" s="102" t="str">
        <f>IFERROR(VLOOKUP(B486,'02. MM-KLH'!$B$6:$T$823,6,0),"")</f>
        <v>Xe phun thuốc chuyên dụng</v>
      </c>
      <c r="H486" s="101" t="s">
        <v>3454</v>
      </c>
      <c r="I486" s="101" t="str">
        <f>IFERROR(VLOOKUP(B486,'02. MM-KLH'!$B$6:$T$823,8,0),"")</f>
        <v>XN Bò AD</v>
      </c>
      <c r="J486" s="105">
        <f>IFERROR(VLOOKUP(B486,'02. MM-KLH'!$B$6:$T$823,9,0),"")</f>
        <v>0</v>
      </c>
      <c r="K486" s="101" t="str">
        <f>IFERROR(VLOOKUP(B486,'02. MM-KLH'!$B$6:$T$823,10,0),"")</f>
        <v>Bình thường</v>
      </c>
      <c r="L486" s="107">
        <f>IFERROR(VLOOKUP(B486,'02. MM-KLH'!$B$6:$T$823,11,0),"")</f>
        <v>0</v>
      </c>
      <c r="M486" s="864" t="str">
        <f>IFERROR(VLOOKUP(B486,'02. MM-KLH'!$B$6:$T$823,12,0),"")</f>
        <v>Đã qua sử dụng</v>
      </c>
      <c r="N486" s="110" t="str">
        <f>IFERROR(VLOOKUP(B486,'02. MM-KLH'!$B$6:$T$823,13,0),"")</f>
        <v>YANMAR</v>
      </c>
      <c r="O486" s="110" t="str">
        <f>IFERROR(VLOOKUP(B486,'02. MM-KLH'!$B$6:$T$823,14,0),"")</f>
        <v>NHẬT BẢN</v>
      </c>
      <c r="P486" s="101">
        <f>IFERROR(VLOOKUP(B486,'02. MM-KLH'!$B$6:$T$823,15,0),"")</f>
        <v>0</v>
      </c>
      <c r="Q486" s="101" t="str">
        <f>IFERROR(VLOOKUP(B486,'02. MM-KLH'!$B$6:$T$823,16,0),"")</f>
        <v>3TNV88-DSA</v>
      </c>
      <c r="R486" s="101" t="str">
        <f>IFERROR(VLOOKUP(B486,'02. MM-KLH'!$B$6:$T$823,17,0),"")</f>
        <v>36HP</v>
      </c>
      <c r="S486" s="110" t="str">
        <f>IFERROR(VLOOKUP(B486,'02. MM-KLH'!$B$6:$T$823,18,0),"")</f>
        <v>CCN</v>
      </c>
      <c r="T486" s="111" t="str">
        <f>IFERROR(VLOOKUP(B486,'02. MM-KLH'!$B$6:$T$823,19,0),"")</f>
        <v>J8134</v>
      </c>
      <c r="U486" s="863" t="s">
        <v>451</v>
      </c>
    </row>
    <row r="487" ht="13.5" customHeight="1" spans="1:21">
      <c r="A487" s="103"/>
      <c r="B487" s="104"/>
      <c r="C487" s="102" t="str">
        <f>IFERROR(VLOOKUP(B487,'02. MM-KLH'!$B$6:$T$823,2,0),"")</f>
        <v/>
      </c>
      <c r="D487" s="103" t="str">
        <f>IFERROR(VLOOKUP(B487,'02. MM-KLH'!$B$6:$T$823,3,0),"")</f>
        <v/>
      </c>
      <c r="E487" s="102" t="str">
        <f>IFERROR(VLOOKUP(B487,'02. MM-KLH'!$B$6:$T$823,4,0),"")</f>
        <v/>
      </c>
      <c r="F487" s="104"/>
      <c r="G487" s="102" t="str">
        <f>IFERROR(VLOOKUP(B487,'02. MM-KLH'!$B$6:$T$823,6,0),"")</f>
        <v/>
      </c>
      <c r="H487" s="101"/>
      <c r="I487" s="101" t="str">
        <f>IFERROR(VLOOKUP(B487,'02. MM-KLH'!$B$6:$T$823,8,0),"")</f>
        <v/>
      </c>
      <c r="J487" s="105" t="str">
        <f>IFERROR(VLOOKUP(B487,'02. MM-KLH'!$B$6:$T$823,9,0),"")</f>
        <v/>
      </c>
      <c r="K487" s="101" t="str">
        <f>IFERROR(VLOOKUP(B487,'02. MM-KLH'!$B$6:$T$823,10,0),"")</f>
        <v/>
      </c>
      <c r="L487" s="107" t="str">
        <f>IFERROR(VLOOKUP(B487,'02. MM-KLH'!$B$6:$T$823,11,0),"")</f>
        <v/>
      </c>
      <c r="M487" s="864" t="str">
        <f>IFERROR(VLOOKUP(B487,'02. MM-KLH'!$B$6:$T$823,12,0),"")</f>
        <v/>
      </c>
      <c r="N487" s="110" t="str">
        <f>IFERROR(VLOOKUP(B487,'02. MM-KLH'!$B$6:$T$823,13,0),"")</f>
        <v/>
      </c>
      <c r="O487" s="110" t="str">
        <f>IFERROR(VLOOKUP(B487,'02. MM-KLH'!$B$6:$T$823,14,0),"")</f>
        <v/>
      </c>
      <c r="P487" s="101" t="str">
        <f>IFERROR(VLOOKUP(B487,'02. MM-KLH'!$B$6:$T$823,15,0),"")</f>
        <v/>
      </c>
      <c r="Q487" s="101" t="str">
        <f>IFERROR(VLOOKUP(B487,'02. MM-KLH'!$B$6:$T$823,16,0),"")</f>
        <v/>
      </c>
      <c r="R487" s="101" t="str">
        <f>IFERROR(VLOOKUP(B487,'02. MM-KLH'!$B$6:$T$823,17,0),"")</f>
        <v/>
      </c>
      <c r="S487" s="110" t="str">
        <f>IFERROR(VLOOKUP(B487,'02. MM-KLH'!$B$6:$T$823,18,0),"")</f>
        <v/>
      </c>
      <c r="T487" s="111" t="str">
        <f>IFERROR(VLOOKUP(B487,'02. MM-KLH'!$B$6:$T$823,19,0),"")</f>
        <v/>
      </c>
      <c r="U487" s="863"/>
    </row>
    <row r="488" ht="13.5" customHeight="1" spans="1:21">
      <c r="A488" s="847" t="s">
        <v>290</v>
      </c>
      <c r="B488" s="848" t="s">
        <v>3455</v>
      </c>
      <c r="C488" s="849">
        <f>COUNTA(B489:B503)</f>
        <v>14</v>
      </c>
      <c r="D488" s="849" t="str">
        <f>IFERROR(VLOOKUP(B488,'02. MM-KLH'!$B$6:$T$823,3,0),"")</f>
        <v/>
      </c>
      <c r="E488" s="849" t="str">
        <f>IFERROR(VLOOKUP(B488,'02. MM-KLH'!$B$6:$T$823,4,0),"")</f>
        <v/>
      </c>
      <c r="F488" s="849"/>
      <c r="G488" s="849" t="str">
        <f>IFERROR(VLOOKUP(B488,'02. MM-KLH'!$B$6:$T$823,6,0),"")</f>
        <v/>
      </c>
      <c r="H488" s="849"/>
      <c r="I488" s="849" t="str">
        <f>IFERROR(VLOOKUP(B488,'02. MM-KLH'!$B$6:$T$823,8,0),"")</f>
        <v/>
      </c>
      <c r="J488" s="849" t="str">
        <f>IFERROR(VLOOKUP(B488,'02. MM-KLH'!$B$6:$T$823,9,0),"")</f>
        <v/>
      </c>
      <c r="K488" s="849" t="str">
        <f>IFERROR(VLOOKUP(B488,'02. MM-KLH'!$B$6:$T$823,10,0),"")</f>
        <v/>
      </c>
      <c r="L488" s="849" t="str">
        <f>IFERROR(VLOOKUP(B488,'02. MM-KLH'!$B$6:$T$823,11,0),"")</f>
        <v/>
      </c>
      <c r="M488" s="849" t="str">
        <f>IFERROR(VLOOKUP(B488,'02. MM-KLH'!$B$6:$T$823,12,0),"")</f>
        <v/>
      </c>
      <c r="N488" s="849" t="str">
        <f>IFERROR(VLOOKUP(B488,'02. MM-KLH'!$B$6:$T$823,13,0),"")</f>
        <v/>
      </c>
      <c r="O488" s="849" t="str">
        <f>IFERROR(VLOOKUP(B488,'02. MM-KLH'!$B$6:$T$823,14,0),"")</f>
        <v/>
      </c>
      <c r="P488" s="849" t="str">
        <f>IFERROR(VLOOKUP(B488,'02. MM-KLH'!$B$6:$T$823,15,0),"")</f>
        <v/>
      </c>
      <c r="Q488" s="849" t="str">
        <f>IFERROR(VLOOKUP(B488,'02. MM-KLH'!$B$6:$T$823,16,0),"")</f>
        <v/>
      </c>
      <c r="R488" s="849" t="str">
        <f>IFERROR(VLOOKUP(B488,'02. MM-KLH'!$B$6:$T$823,17,0),"")</f>
        <v/>
      </c>
      <c r="S488" s="849" t="str">
        <f>IFERROR(VLOOKUP(B488,'02. MM-KLH'!$B$6:$T$823,18,0),"")</f>
        <v/>
      </c>
      <c r="T488" s="849" t="str">
        <f>IFERROR(VLOOKUP(B488,'02. MM-KLH'!$B$6:$T$823,19,0),"")</f>
        <v/>
      </c>
      <c r="U488" s="849" t="str">
        <f>IFERROR(VLOOKUP(C488,'02. MM-KLH'!$B$6:$T$823,19,0),"")</f>
        <v/>
      </c>
    </row>
    <row r="489" ht="13.5" customHeight="1" spans="1:21">
      <c r="A489" s="101">
        <v>1</v>
      </c>
      <c r="B489" s="104" t="s">
        <v>1150</v>
      </c>
      <c r="C489" s="102">
        <f>IFERROR(VLOOKUP(B489,'02. MM-KLH'!$B$6:$T$823,2,0),"")</f>
        <v>0</v>
      </c>
      <c r="D489" s="103" t="str">
        <f>IFERROR(VLOOKUP(B489,'02. MM-KLH'!$B$6:$T$823,3,0),"")</f>
        <v>ATT-A22-0314</v>
      </c>
      <c r="E489" s="102" t="str">
        <f>IFERROR(VLOOKUP(B489,'02. MM-KLH'!$B$6:$T$823,4,0),"")</f>
        <v>2A-0490</v>
      </c>
      <c r="F489" s="104" t="s">
        <v>3456</v>
      </c>
      <c r="G489" s="102" t="str">
        <f>IFERROR(VLOOKUP(B489,'02. MM-KLH'!$B$6:$T$823,6,0),"")</f>
        <v>Xe tải chuyên dụng (cabin đôi)</v>
      </c>
      <c r="H489" s="101" t="s">
        <v>3457</v>
      </c>
      <c r="I489" s="101" t="str">
        <f>IFERROR(VLOOKUP(B489,'02. MM-KLH'!$B$6:$T$823,8,0),"")</f>
        <v>XN Chuối DP1</v>
      </c>
      <c r="J489" s="105">
        <f>IFERROR(VLOOKUP(B489,'02. MM-KLH'!$B$6:$T$823,9,0),"")</f>
        <v>45566</v>
      </c>
      <c r="K489" s="101" t="str">
        <f>IFERROR(VLOOKUP(B489,'02. MM-KLH'!$B$6:$T$823,10,0),"")</f>
        <v>Bình thường</v>
      </c>
      <c r="L489" s="107">
        <f>IFERROR(VLOOKUP(B489,'02. MM-KLH'!$B$6:$T$823,11,0),"")</f>
        <v>0.98</v>
      </c>
      <c r="M489" s="864">
        <f>IFERROR(VLOOKUP(B489,'02. MM-KLH'!$B$6:$T$823,12,0),"")</f>
        <v>0</v>
      </c>
      <c r="N489" s="110" t="str">
        <f>IFERROR(VLOOKUP(B489,'02. MM-KLH'!$B$6:$T$823,13,0),"")</f>
        <v>THACO KIA</v>
      </c>
      <c r="O489" s="110" t="str">
        <f>IFERROR(VLOOKUP(B489,'02. MM-KLH'!$B$6:$T$823,14,0),"")</f>
        <v>VIỆT NAM</v>
      </c>
      <c r="P489" s="101">
        <f>IFERROR(VLOOKUP(B489,'02. MM-KLH'!$B$6:$T$823,15,0),"")</f>
        <v>2021</v>
      </c>
      <c r="Q489" s="101" t="str">
        <f>IFERROR(VLOOKUP(B489,'02. MM-KLH'!$B$6:$T$823,16,0),"")</f>
        <v>FRONTIER K200SD</v>
      </c>
      <c r="R489" s="101" t="str">
        <f>IFERROR(VLOOKUP(B489,'02. MM-KLH'!$B$6:$T$823,17,0),"")</f>
        <v>130HP</v>
      </c>
      <c r="S489" s="110" t="str">
        <f>IFERROR(VLOOKUP(B489,'02. MM-KLH'!$B$6:$T$823,18,0),"")</f>
        <v>RNHF39KHBMT045336</v>
      </c>
      <c r="T489" s="111" t="str">
        <f>IFERROR(VLOOKUP(B489,'02. MM-KLH'!$B$6:$T$823,19,0),"")</f>
        <v>MD534241D4CB</v>
      </c>
      <c r="U489" s="863" t="s">
        <v>3343</v>
      </c>
    </row>
    <row r="490" ht="13.5" customHeight="1" spans="1:21">
      <c r="A490" s="101">
        <f t="shared" ref="A490:A502" si="22">A489+1</f>
        <v>2</v>
      </c>
      <c r="B490" s="104" t="s">
        <v>1273</v>
      </c>
      <c r="C490" s="102">
        <f>IFERROR(VLOOKUP(B490,'02. MM-KLH'!$B$6:$T$823,2,0),"")</f>
        <v>0</v>
      </c>
      <c r="D490" s="103" t="str">
        <f>IFERROR(VLOOKUP(B490,'02. MM-KLH'!$B$6:$T$823,3,0),"")</f>
        <v>ATT-A22-0315</v>
      </c>
      <c r="E490" s="102" t="str">
        <f>IFERROR(VLOOKUP(B490,'02. MM-KLH'!$B$6:$T$823,4,0),"")</f>
        <v>2A-0494</v>
      </c>
      <c r="F490" s="104" t="s">
        <v>3458</v>
      </c>
      <c r="G490" s="102" t="str">
        <f>IFERROR(VLOOKUP(B490,'02. MM-KLH'!$B$6:$T$823,6,0),"")</f>
        <v>Xe tải chuyên dụng (cabin đôi)</v>
      </c>
      <c r="H490" s="101" t="s">
        <v>3457</v>
      </c>
      <c r="I490" s="101" t="str">
        <f>IFERROR(VLOOKUP(B490,'02. MM-KLH'!$B$6:$T$823,8,0),"")</f>
        <v>XN Chuối DP2</v>
      </c>
      <c r="J490" s="105">
        <f>IFERROR(VLOOKUP(B490,'02. MM-KLH'!$B$6:$T$823,9,0),"")</f>
        <v>45566</v>
      </c>
      <c r="K490" s="101" t="str">
        <f>IFERROR(VLOOKUP(B490,'02. MM-KLH'!$B$6:$T$823,10,0),"")</f>
        <v>Bình thường</v>
      </c>
      <c r="L490" s="107">
        <f>IFERROR(VLOOKUP(B490,'02. MM-KLH'!$B$6:$T$823,11,0),"")</f>
        <v>0.98</v>
      </c>
      <c r="M490" s="864">
        <f>IFERROR(VLOOKUP(B490,'02. MM-KLH'!$B$6:$T$823,12,0),"")</f>
        <v>0</v>
      </c>
      <c r="N490" s="110" t="str">
        <f>IFERROR(VLOOKUP(B490,'02. MM-KLH'!$B$6:$T$823,13,0),"")</f>
        <v>THACO KIA</v>
      </c>
      <c r="O490" s="110" t="str">
        <f>IFERROR(VLOOKUP(B490,'02. MM-KLH'!$B$6:$T$823,14,0),"")</f>
        <v>VIỆT NAM</v>
      </c>
      <c r="P490" s="101">
        <f>IFERROR(VLOOKUP(B490,'02. MM-KLH'!$B$6:$T$823,15,0),"")</f>
        <v>2021</v>
      </c>
      <c r="Q490" s="101" t="str">
        <f>IFERROR(VLOOKUP(B490,'02. MM-KLH'!$B$6:$T$823,16,0),"")</f>
        <v>FRONTIER K200SD</v>
      </c>
      <c r="R490" s="101" t="str">
        <f>IFERROR(VLOOKUP(B490,'02. MM-KLH'!$B$6:$T$823,17,0),"")</f>
        <v>130HP</v>
      </c>
      <c r="S490" s="110" t="str">
        <f>IFERROR(VLOOKUP(B490,'02. MM-KLH'!$B$6:$T$823,18,0),"")</f>
        <v>RNHF39KHBMT045667</v>
      </c>
      <c r="T490" s="111" t="str">
        <f>IFERROR(VLOOKUP(B490,'02. MM-KLH'!$B$6:$T$823,19,0),"")</f>
        <v>MD540079D4CB</v>
      </c>
      <c r="U490" s="863" t="s">
        <v>3343</v>
      </c>
    </row>
    <row r="491" ht="13.5" customHeight="1" spans="1:21">
      <c r="A491" s="101">
        <f t="shared" si="22"/>
        <v>3</v>
      </c>
      <c r="B491" s="104" t="s">
        <v>1374</v>
      </c>
      <c r="C491" s="102">
        <f>IFERROR(VLOOKUP(B491,'02. MM-KLH'!$B$6:$T$823,2,0),"")</f>
        <v>0</v>
      </c>
      <c r="D491" s="103" t="str">
        <f>IFERROR(VLOOKUP(B491,'02. MM-KLH'!$B$6:$T$823,3,0),"")</f>
        <v>ATT-A22-0316</v>
      </c>
      <c r="E491" s="102" t="str">
        <f>IFERROR(VLOOKUP(B491,'02. MM-KLH'!$B$6:$T$823,4,0),"")</f>
        <v>2A-0493</v>
      </c>
      <c r="F491" s="104" t="s">
        <v>3459</v>
      </c>
      <c r="G491" s="102" t="str">
        <f>IFERROR(VLOOKUP(B491,'02. MM-KLH'!$B$6:$T$823,6,0),"")</f>
        <v>Xe tải chuyên dụng (cabin đôi)</v>
      </c>
      <c r="H491" s="101" t="s">
        <v>3457</v>
      </c>
      <c r="I491" s="101" t="str">
        <f>IFERROR(VLOOKUP(B491,'02. MM-KLH'!$B$6:$T$823,8,0),"")</f>
        <v>XN Chuối DP3</v>
      </c>
      <c r="J491" s="105">
        <f>IFERROR(VLOOKUP(B491,'02. MM-KLH'!$B$6:$T$823,9,0),"")</f>
        <v>45566</v>
      </c>
      <c r="K491" s="101" t="str">
        <f>IFERROR(VLOOKUP(B491,'02. MM-KLH'!$B$6:$T$823,10,0),"")</f>
        <v>Bình thường</v>
      </c>
      <c r="L491" s="107">
        <f>IFERROR(VLOOKUP(B491,'02. MM-KLH'!$B$6:$T$823,11,0),"")</f>
        <v>0.98</v>
      </c>
      <c r="M491" s="864">
        <f>IFERROR(VLOOKUP(B491,'02. MM-KLH'!$B$6:$T$823,12,0),"")</f>
        <v>0</v>
      </c>
      <c r="N491" s="110" t="str">
        <f>IFERROR(VLOOKUP(B491,'02. MM-KLH'!$B$6:$T$823,13,0),"")</f>
        <v>THACO KIA</v>
      </c>
      <c r="O491" s="110" t="str">
        <f>IFERROR(VLOOKUP(B491,'02. MM-KLH'!$B$6:$T$823,14,0),"")</f>
        <v>VIỆT NAM</v>
      </c>
      <c r="P491" s="101">
        <f>IFERROR(VLOOKUP(B491,'02. MM-KLH'!$B$6:$T$823,15,0),"")</f>
        <v>2021</v>
      </c>
      <c r="Q491" s="101" t="str">
        <f>IFERROR(VLOOKUP(B491,'02. MM-KLH'!$B$6:$T$823,16,0),"")</f>
        <v>FRONTIER K200SD</v>
      </c>
      <c r="R491" s="101" t="str">
        <f>IFERROR(VLOOKUP(B491,'02. MM-KLH'!$B$6:$T$823,17,0),"")</f>
        <v>130HP</v>
      </c>
      <c r="S491" s="110" t="str">
        <f>IFERROR(VLOOKUP(B491,'02. MM-KLH'!$B$6:$T$823,18,0),"")</f>
        <v>RNHF39KHBMT045629</v>
      </c>
      <c r="T491" s="111" t="str">
        <f>IFERROR(VLOOKUP(B491,'02. MM-KLH'!$B$6:$T$823,19,0),"")</f>
        <v>MD540070D4CB</v>
      </c>
      <c r="U491" s="863" t="s">
        <v>3343</v>
      </c>
    </row>
    <row r="492" ht="13.5" customHeight="1" spans="1:21">
      <c r="A492" s="101">
        <f t="shared" si="22"/>
        <v>4</v>
      </c>
      <c r="B492" s="880" t="s">
        <v>1468</v>
      </c>
      <c r="C492" s="102">
        <f>IFERROR(VLOOKUP(B492,'02. MM-KLH'!$B$6:$T$823,2,0),"")</f>
        <v>0</v>
      </c>
      <c r="D492" s="103" t="str">
        <f>IFERROR(VLOOKUP(B492,'02. MM-KLH'!$B$6:$T$823,3,0),"")</f>
        <v>A24-TCD-001</v>
      </c>
      <c r="E492" s="102" t="str">
        <f>IFERROR(VLOOKUP(B492,'02. MM-KLH'!$B$6:$T$823,4,0),"")</f>
        <v>2A-6088</v>
      </c>
      <c r="F492" s="867"/>
      <c r="G492" s="102" t="str">
        <f>IFERROR(VLOOKUP(B492,'02. MM-KLH'!$B$6:$T$823,6,0),"")</f>
        <v>Xe tải chuyên dụng (thùng lửng)</v>
      </c>
      <c r="H492" s="101" t="s">
        <v>3457</v>
      </c>
      <c r="I492" s="101" t="str">
        <f>IFERROR(VLOOKUP(B492,'02. MM-KLH'!$B$6:$T$823,8,0),"")</f>
        <v>XN Chuối LP1</v>
      </c>
      <c r="J492" s="105">
        <f>IFERROR(VLOOKUP(B492,'02. MM-KLH'!$B$6:$T$823,9,0),"")</f>
        <v>45575</v>
      </c>
      <c r="K492" s="101" t="str">
        <f>IFERROR(VLOOKUP(B492,'02. MM-KLH'!$B$6:$T$823,10,0),"")</f>
        <v>Bình thường</v>
      </c>
      <c r="L492" s="107">
        <f>IFERROR(VLOOKUP(B492,'02. MM-KLH'!$B$6:$T$823,11,0),"")</f>
        <v>0.99</v>
      </c>
      <c r="M492" s="864" t="str">
        <f>IFERROR(VLOOKUP(B492,'02. MM-KLH'!$B$6:$T$823,12,0),"")</f>
        <v>Đầu tư mới ngày bàn giao 10/10/2024</v>
      </c>
      <c r="N492" s="110" t="str">
        <f>IFERROR(VLOOKUP(B492,'02. MM-KLH'!$B$6:$T$823,13,0),"")</f>
        <v>KIA</v>
      </c>
      <c r="O492" s="110" t="str">
        <f>IFERROR(VLOOKUP(B492,'02. MM-KLH'!$B$6:$T$823,14,0),"")</f>
        <v>VIỆT NAM</v>
      </c>
      <c r="P492" s="101">
        <f>IFERROR(VLOOKUP(B492,'02. MM-KLH'!$B$6:$T$823,15,0),"")</f>
        <v>2021</v>
      </c>
      <c r="Q492" s="101" t="str">
        <f>IFERROR(VLOOKUP(B492,'02. MM-KLH'!$B$6:$T$823,16,0),"")</f>
        <v>FRONTIER K200SD-4WD</v>
      </c>
      <c r="R492" s="101" t="str">
        <f>IFERROR(VLOOKUP(B492,'02. MM-KLH'!$B$6:$T$823,17,0),"")</f>
        <v>130HP</v>
      </c>
      <c r="S492" s="110" t="str">
        <f>IFERROR(VLOOKUP(B492,'02. MM-KLH'!$B$6:$T$823,18,0),"")</f>
        <v>RNHF39KHBMT045642</v>
      </c>
      <c r="T492" s="111" t="str">
        <f>IFERROR(VLOOKUP(B492,'02. MM-KLH'!$B$6:$T$823,19,0),"")</f>
        <v>MD540096D4CB</v>
      </c>
      <c r="U492" s="863" t="s">
        <v>3343</v>
      </c>
    </row>
    <row r="493" ht="13.5" customHeight="1" spans="1:21">
      <c r="A493" s="101">
        <f t="shared" si="22"/>
        <v>5</v>
      </c>
      <c r="B493" s="104" t="s">
        <v>1645</v>
      </c>
      <c r="C493" s="102">
        <f>IFERROR(VLOOKUP(B493,'02. MM-KLH'!$B$6:$T$823,2,0),"")</f>
        <v>0</v>
      </c>
      <c r="D493" s="103" t="str">
        <f>IFERROR(VLOOKUP(B493,'02. MM-KLH'!$B$6:$T$823,3,0),"")</f>
        <v>ATT-A22-0320</v>
      </c>
      <c r="E493" s="102" t="str">
        <f>IFERROR(VLOOKUP(B493,'02. MM-KLH'!$B$6:$T$823,4,0),"")</f>
        <v>2A-0492</v>
      </c>
      <c r="F493" s="104" t="s">
        <v>3460</v>
      </c>
      <c r="G493" s="102" t="str">
        <f>IFERROR(VLOOKUP(B493,'02. MM-KLH'!$B$6:$T$823,6,0),"")</f>
        <v>Xe tải chuyên dụng (cabin đôi)</v>
      </c>
      <c r="H493" s="101" t="s">
        <v>3457</v>
      </c>
      <c r="I493" s="101" t="str">
        <f>IFERROR(VLOOKUP(B493,'02. MM-KLH'!$B$6:$T$823,8,0),"")</f>
        <v>XN Chuối LP3</v>
      </c>
      <c r="J493" s="105">
        <f>IFERROR(VLOOKUP(B493,'02. MM-KLH'!$B$6:$T$823,9,0),"")</f>
        <v>45566</v>
      </c>
      <c r="K493" s="101" t="str">
        <f>IFERROR(VLOOKUP(B493,'02. MM-KLH'!$B$6:$T$823,10,0),"")</f>
        <v>Bình thường</v>
      </c>
      <c r="L493" s="107">
        <f>IFERROR(VLOOKUP(B493,'02. MM-KLH'!$B$6:$T$823,11,0),"")</f>
        <v>0.98</v>
      </c>
      <c r="M493" s="864" t="str">
        <f>IFERROR(VLOOKUP(B493,'02. MM-KLH'!$B$6:$T$823,12,0),"")</f>
        <v>Xe tai nạn đang SC</v>
      </c>
      <c r="N493" s="110" t="str">
        <f>IFERROR(VLOOKUP(B493,'02. MM-KLH'!$B$6:$T$823,13,0),"")</f>
        <v>THACO KIA</v>
      </c>
      <c r="O493" s="110" t="str">
        <f>IFERROR(VLOOKUP(B493,'02. MM-KLH'!$B$6:$T$823,14,0),"")</f>
        <v>VIỆT NAM</v>
      </c>
      <c r="P493" s="101">
        <f>IFERROR(VLOOKUP(B493,'02. MM-KLH'!$B$6:$T$823,15,0),"")</f>
        <v>2021</v>
      </c>
      <c r="Q493" s="101" t="str">
        <f>IFERROR(VLOOKUP(B493,'02. MM-KLH'!$B$6:$T$823,16,0),"")</f>
        <v>FRONTIER K200SD</v>
      </c>
      <c r="R493" s="101" t="str">
        <f>IFERROR(VLOOKUP(B493,'02. MM-KLH'!$B$6:$T$823,17,0),"")</f>
        <v>130HP</v>
      </c>
      <c r="S493" s="110" t="str">
        <f>IFERROR(VLOOKUP(B493,'02. MM-KLH'!$B$6:$T$823,18,0),"")</f>
        <v>RNHF39KHBMT045643</v>
      </c>
      <c r="T493" s="111" t="str">
        <f>IFERROR(VLOOKUP(B493,'02. MM-KLH'!$B$6:$T$823,19,0),"")</f>
        <v>MD540095D4CB</v>
      </c>
      <c r="U493" s="863" t="s">
        <v>3343</v>
      </c>
    </row>
    <row r="494" ht="13.5" customHeight="1" spans="1:21">
      <c r="A494" s="101">
        <f t="shared" si="22"/>
        <v>6</v>
      </c>
      <c r="B494" s="104" t="s">
        <v>1650</v>
      </c>
      <c r="C494" s="102">
        <f>IFERROR(VLOOKUP(B494,'02. MM-KLH'!$B$6:$T$823,2,0),"")</f>
        <v>0</v>
      </c>
      <c r="D494" s="103" t="str">
        <f>IFERROR(VLOOKUP(B494,'02. MM-KLH'!$B$6:$T$823,3,0),"")</f>
        <v>A24-TCD-002</v>
      </c>
      <c r="E494" s="102" t="str">
        <f>IFERROR(VLOOKUP(B494,'02. MM-KLH'!$B$6:$T$823,4,0),"")</f>
        <v>2A-6090</v>
      </c>
      <c r="F494" s="104"/>
      <c r="G494" s="102" t="str">
        <f>IFERROR(VLOOKUP(B494,'02. MM-KLH'!$B$6:$T$823,6,0),"")</f>
        <v>Xe tải chuyên dụng (thùng lửng)</v>
      </c>
      <c r="H494" s="101" t="s">
        <v>3457</v>
      </c>
      <c r="I494" s="101" t="str">
        <f>IFERROR(VLOOKUP(B494,'02. MM-KLH'!$B$6:$T$823,8,0),"")</f>
        <v>XN Chuối LP3</v>
      </c>
      <c r="J494" s="105" t="str">
        <f>IFERROR(VLOOKUP(B494,'02. MM-KLH'!$B$6:$T$823,9,0),"")</f>
        <v>13/10/2024</v>
      </c>
      <c r="K494" s="101" t="str">
        <f>IFERROR(VLOOKUP(B494,'02. MM-KLH'!$B$6:$T$823,10,0),"")</f>
        <v>Bình thường</v>
      </c>
      <c r="L494" s="107">
        <f>IFERROR(VLOOKUP(B494,'02. MM-KLH'!$B$6:$T$823,11,0),"")</f>
        <v>0</v>
      </c>
      <c r="M494" s="864">
        <f>IFERROR(VLOOKUP(B494,'02. MM-KLH'!$B$6:$T$823,12,0),"")</f>
        <v>0</v>
      </c>
      <c r="N494" s="110" t="str">
        <f>IFERROR(VLOOKUP(B494,'02. MM-KLH'!$B$6:$T$823,13,0),"")</f>
        <v>THACO KIA</v>
      </c>
      <c r="O494" s="110" t="str">
        <f>IFERROR(VLOOKUP(B494,'02. MM-KLH'!$B$6:$T$823,14,0),"")</f>
        <v>VIỆT NAM</v>
      </c>
      <c r="P494" s="101">
        <f>IFERROR(VLOOKUP(B494,'02. MM-KLH'!$B$6:$T$823,15,0),"")</f>
        <v>2021</v>
      </c>
      <c r="Q494" s="101" t="str">
        <f>IFERROR(VLOOKUP(B494,'02. MM-KLH'!$B$6:$T$823,16,0),"")</f>
        <v>FRONTIER K200SD-4WD</v>
      </c>
      <c r="R494" s="101" t="str">
        <f>IFERROR(VLOOKUP(B494,'02. MM-KLH'!$B$6:$T$823,17,0),"")</f>
        <v>129HP</v>
      </c>
      <c r="S494" s="110" t="str">
        <f>IFERROR(VLOOKUP(B494,'02. MM-KLH'!$B$6:$T$823,18,0),"")</f>
        <v>RNHF39KHBMT045662</v>
      </c>
      <c r="T494" s="111" t="str">
        <f>IFERROR(VLOOKUP(B494,'02. MM-KLH'!$B$6:$T$823,19,0),"")</f>
        <v>MD540097D4CB</v>
      </c>
      <c r="U494" s="863" t="s">
        <v>3343</v>
      </c>
    </row>
    <row r="495" ht="13.5" customHeight="1" spans="1:21">
      <c r="A495" s="101">
        <f t="shared" si="22"/>
        <v>7</v>
      </c>
      <c r="B495" s="104" t="s">
        <v>2728</v>
      </c>
      <c r="C495" s="102" t="str">
        <f>IFERROR(VLOOKUP(B495,'02. MM-KLH'!$B$6:$T$823,2,0),"")</f>
        <v>2A-0489(XA2-TCD-001)</v>
      </c>
      <c r="D495" s="103" t="str">
        <f>IFERROR(VLOOKUP(B495,'02. MM-KLH'!$B$6:$T$823,3,0),"")</f>
        <v>ATT-A22-0318</v>
      </c>
      <c r="E495" s="102" t="str">
        <f>IFERROR(VLOOKUP(B495,'02. MM-KLH'!$B$6:$T$823,4,0),"")</f>
        <v>2A-0489</v>
      </c>
      <c r="F495" s="104" t="s">
        <v>2730</v>
      </c>
      <c r="G495" s="102" t="str">
        <f>IFERROR(VLOOKUP(B495,'02. MM-KLH'!$B$6:$T$823,6,0),"")</f>
        <v>Xe tải chuyên dụng (cabin đôi)</v>
      </c>
      <c r="H495" s="101" t="s">
        <v>3457</v>
      </c>
      <c r="I495" s="101" t="str">
        <f>IFERROR(VLOOKUP(B495,'02. MM-KLH'!$B$6:$T$823,8,0),"")</f>
        <v>HÀNH CHÍNH KLH</v>
      </c>
      <c r="J495" s="105">
        <f>IFERROR(VLOOKUP(B495,'02. MM-KLH'!$B$6:$T$823,9,0),"")</f>
        <v>45566</v>
      </c>
      <c r="K495" s="101" t="str">
        <f>IFERROR(VLOOKUP(B495,'02. MM-KLH'!$B$6:$T$823,10,0),"")</f>
        <v>Bình thường</v>
      </c>
      <c r="L495" s="107">
        <f>IFERROR(VLOOKUP(B495,'02. MM-KLH'!$B$6:$T$823,11,0),"")</f>
        <v>0.98</v>
      </c>
      <c r="M495" s="864" t="str">
        <f>IFERROR(VLOOKUP(B495,'02. MM-KLH'!$B$6:$T$823,12,0),"")</f>
        <v>Đ.chuyển từ XN AD2 ngày 13/02/2025</v>
      </c>
      <c r="N495" s="110" t="str">
        <f>IFERROR(VLOOKUP(B495,'02. MM-KLH'!$B$6:$T$823,13,0),"")</f>
        <v>THACO KIA</v>
      </c>
      <c r="O495" s="110" t="str">
        <f>IFERROR(VLOOKUP(B495,'02. MM-KLH'!$B$6:$T$823,14,0),"")</f>
        <v>VIỆT NAM</v>
      </c>
      <c r="P495" s="101">
        <f>IFERROR(VLOOKUP(B495,'02. MM-KLH'!$B$6:$T$823,15,0),"")</f>
        <v>2021</v>
      </c>
      <c r="Q495" s="101" t="str">
        <f>IFERROR(VLOOKUP(B495,'02. MM-KLH'!$B$6:$T$823,16,0),"")</f>
        <v>FRONTIER K200SD</v>
      </c>
      <c r="R495" s="101" t="str">
        <f>IFERROR(VLOOKUP(B495,'02. MM-KLH'!$B$6:$T$823,17,0),"")</f>
        <v>130HP</v>
      </c>
      <c r="S495" s="110" t="str">
        <f>IFERROR(VLOOKUP(B495,'02. MM-KLH'!$B$6:$T$823,18,0),"")</f>
        <v>RNHF39KHBMT045661</v>
      </c>
      <c r="T495" s="111" t="str">
        <f>IFERROR(VLOOKUP(B495,'02. MM-KLH'!$B$6:$T$823,19,0),"")</f>
        <v>MD540089D4CB</v>
      </c>
      <c r="U495" s="863" t="s">
        <v>3343</v>
      </c>
    </row>
    <row r="496" ht="13.5" customHeight="1" spans="1:21">
      <c r="A496" s="101">
        <f t="shared" si="22"/>
        <v>8</v>
      </c>
      <c r="B496" s="104" t="s">
        <v>2410</v>
      </c>
      <c r="C496" s="102">
        <f>IFERROR(VLOOKUP(B496,'02. MM-KLH'!$B$6:$T$823,2,0),"")</f>
        <v>0</v>
      </c>
      <c r="D496" s="103" t="str">
        <f>IFERROR(VLOOKUP(B496,'02. MM-KLH'!$B$6:$T$823,3,0),"")</f>
        <v>ATT-A22-0317</v>
      </c>
      <c r="E496" s="102" t="str">
        <f>IFERROR(VLOOKUP(B496,'02. MM-KLH'!$B$6:$T$823,4,0),"")</f>
        <v>2A-0491</v>
      </c>
      <c r="F496" s="104" t="s">
        <v>3461</v>
      </c>
      <c r="G496" s="102" t="str">
        <f>IFERROR(VLOOKUP(B496,'02. MM-KLH'!$B$6:$T$823,6,0),"")</f>
        <v>Xe tải chuyên dụng (cabin đôi)</v>
      </c>
      <c r="H496" s="101" t="s">
        <v>3457</v>
      </c>
      <c r="I496" s="101" t="str">
        <f>IFERROR(VLOOKUP(B496,'02. MM-KLH'!$B$6:$T$823,8,0),"")</f>
        <v>XN Bò AD</v>
      </c>
      <c r="J496" s="105">
        <f>IFERROR(VLOOKUP(B496,'02. MM-KLH'!$B$6:$T$823,9,0),"")</f>
        <v>45566</v>
      </c>
      <c r="K496" s="101" t="str">
        <f>IFERROR(VLOOKUP(B496,'02. MM-KLH'!$B$6:$T$823,10,0),"")</f>
        <v>Bình thường</v>
      </c>
      <c r="L496" s="107">
        <f>IFERROR(VLOOKUP(B496,'02. MM-KLH'!$B$6:$T$823,11,0),"")</f>
        <v>0.98</v>
      </c>
      <c r="M496" s="864">
        <f>IFERROR(VLOOKUP(B496,'02. MM-KLH'!$B$6:$T$823,12,0),"")</f>
        <v>0</v>
      </c>
      <c r="N496" s="110" t="str">
        <f>IFERROR(VLOOKUP(B496,'02. MM-KLH'!$B$6:$T$823,13,0),"")</f>
        <v>THACO KIA</v>
      </c>
      <c r="O496" s="110" t="str">
        <f>IFERROR(VLOOKUP(B496,'02. MM-KLH'!$B$6:$T$823,14,0),"")</f>
        <v>VIỆT NAM</v>
      </c>
      <c r="P496" s="101">
        <f>IFERROR(VLOOKUP(B496,'02. MM-KLH'!$B$6:$T$823,15,0),"")</f>
        <v>2021</v>
      </c>
      <c r="Q496" s="101" t="str">
        <f>IFERROR(VLOOKUP(B496,'02. MM-KLH'!$B$6:$T$823,16,0),"")</f>
        <v>FRONTIER K200SD</v>
      </c>
      <c r="R496" s="101" t="str">
        <f>IFERROR(VLOOKUP(B496,'02. MM-KLH'!$B$6:$T$823,17,0),"")</f>
        <v>130HP</v>
      </c>
      <c r="S496" s="110" t="str">
        <f>IFERROR(VLOOKUP(B496,'02. MM-KLH'!$B$6:$T$823,18,0),"")</f>
        <v>RNHF39KHBMT045635</v>
      </c>
      <c r="T496" s="111" t="str">
        <f>IFERROR(VLOOKUP(B496,'02. MM-KLH'!$B$6:$T$823,19,0),"")</f>
        <v>MD540092D4CB</v>
      </c>
      <c r="U496" s="863" t="s">
        <v>3343</v>
      </c>
    </row>
    <row r="497" ht="13.5" customHeight="1" spans="1:21">
      <c r="A497" s="101">
        <f t="shared" si="22"/>
        <v>9</v>
      </c>
      <c r="B497" s="104" t="s">
        <v>2937</v>
      </c>
      <c r="C497" s="102" t="str">
        <f>IFERROR(VLOOKUP(B497,'02. MM-KLH'!$B$6:$T$823,2,0),"")</f>
        <v>2A-0488 (BCG-TCD-001)</v>
      </c>
      <c r="D497" s="103" t="str">
        <f>IFERROR(VLOOKUP(B497,'02. MM-KLH'!$B$6:$T$823,3,0),"")</f>
        <v>ATT-A22-0319</v>
      </c>
      <c r="E497" s="102" t="str">
        <f>IFERROR(VLOOKUP(B497,'02. MM-KLH'!$B$6:$T$823,4,0),"")</f>
        <v>2A-0488</v>
      </c>
      <c r="F497" s="146" t="s">
        <v>2939</v>
      </c>
      <c r="G497" s="102" t="str">
        <f>IFERROR(VLOOKUP(B497,'02. MM-KLH'!$B$6:$T$823,6,0),"")</f>
        <v>Xe tải chuyên dụng (cabin đôi)</v>
      </c>
      <c r="H497" s="101" t="s">
        <v>3457</v>
      </c>
      <c r="I497" s="101" t="str">
        <f>IFERROR(VLOOKUP(B497,'02. MM-KLH'!$B$6:$T$823,8,0),"")</f>
        <v>BAN KT CHUỐI</v>
      </c>
      <c r="J497" s="105" t="str">
        <f>IFERROR(VLOOKUP(B497,'02. MM-KLH'!$B$6:$T$823,9,0),"")</f>
        <v>15/10/2024</v>
      </c>
      <c r="K497" s="101" t="str">
        <f>IFERROR(VLOOKUP(B497,'02. MM-KLH'!$B$6:$T$823,10,0),"")</f>
        <v>Bình thường</v>
      </c>
      <c r="L497" s="107">
        <f>IFERROR(VLOOKUP(B497,'02. MM-KLH'!$B$6:$T$823,11,0),"")</f>
        <v>0.98</v>
      </c>
      <c r="M497" s="864" t="str">
        <f>IFERROR(VLOOKUP(B497,'02. MM-KLH'!$B$6:$T$823,12,0),"")</f>
        <v>Ban CG điều chuyển ngày 15/10/2024</v>
      </c>
      <c r="N497" s="110" t="str">
        <f>IFERROR(VLOOKUP(B497,'02. MM-KLH'!$B$6:$T$823,13,0),"")</f>
        <v>THACO KIA</v>
      </c>
      <c r="O497" s="110" t="str">
        <f>IFERROR(VLOOKUP(B497,'02. MM-KLH'!$B$6:$T$823,14,0),"")</f>
        <v>VIỆT NAM</v>
      </c>
      <c r="P497" s="101">
        <f>IFERROR(VLOOKUP(B497,'02. MM-KLH'!$B$6:$T$823,15,0),"")</f>
        <v>2021</v>
      </c>
      <c r="Q497" s="101" t="str">
        <f>IFERROR(VLOOKUP(B497,'02. MM-KLH'!$B$6:$T$823,16,0),"")</f>
        <v>FRONTIER K200SD</v>
      </c>
      <c r="R497" s="101" t="str">
        <f>IFERROR(VLOOKUP(B497,'02. MM-KLH'!$B$6:$T$823,17,0),"")</f>
        <v>130HP</v>
      </c>
      <c r="S497" s="110" t="str">
        <f>IFERROR(VLOOKUP(B497,'02. MM-KLH'!$B$6:$T$823,18,0),"")</f>
        <v>RNHF39KHBMT045640</v>
      </c>
      <c r="T497" s="111" t="str">
        <f>IFERROR(VLOOKUP(B497,'02. MM-KLH'!$B$6:$T$823,19,0),"")</f>
        <v>MD540107D4CB</v>
      </c>
      <c r="U497" s="863" t="s">
        <v>3343</v>
      </c>
    </row>
    <row r="498" ht="29.25" customHeight="1" spans="1:21">
      <c r="A498" s="101">
        <f t="shared" si="22"/>
        <v>10</v>
      </c>
      <c r="B498" s="104" t="s">
        <v>2945</v>
      </c>
      <c r="C498" s="102" t="str">
        <f>IFERROR(VLOOKUP(B498,'02. MM-KLH'!$B$6:$T$823,2,0),"")</f>
        <v>2A-6092</v>
      </c>
      <c r="D498" s="103" t="str">
        <f>IFERROR(VLOOKUP(B498,'02. MM-KLH'!$B$6:$T$823,3,0),"")</f>
        <v>A23-TCD-001</v>
      </c>
      <c r="E498" s="102" t="str">
        <f>IFERROR(VLOOKUP(B498,'02. MM-KLH'!$B$6:$T$823,4,0),"")</f>
        <v>2A-6092</v>
      </c>
      <c r="F498" s="146"/>
      <c r="G498" s="102" t="str">
        <f>IFERROR(VLOOKUP(B498,'02. MM-KLH'!$B$6:$T$823,6,0),"")</f>
        <v>Xe tải chuyên dụng (thùng lửng)</v>
      </c>
      <c r="H498" s="101" t="s">
        <v>3457</v>
      </c>
      <c r="I498" s="101" t="str">
        <f>IFERROR(VLOOKUP(B498,'02. MM-KLH'!$B$6:$T$823,8,0),"")</f>
        <v>BAN KT CHUỐI</v>
      </c>
      <c r="J498" s="105" t="str">
        <f>IFERROR(VLOOKUP(B498,'02. MM-KLH'!$B$6:$T$823,9,0),"")</f>
        <v>15/10/2024</v>
      </c>
      <c r="K498" s="101" t="str">
        <f>IFERROR(VLOOKUP(B498,'02. MM-KLH'!$B$6:$T$823,10,0),"")</f>
        <v>Bình thường</v>
      </c>
      <c r="L498" s="107">
        <f>IFERROR(VLOOKUP(B498,'02. MM-KLH'!$B$6:$T$823,11,0),"")</f>
        <v>0</v>
      </c>
      <c r="M498" s="864" t="str">
        <f>IFERROR(VLOOKUP(B498,'02. MM-KLH'!$B$6:$T$823,12,0),"")</f>
        <v>- Đầu tư mới
- Xe giao về HC KLH 02/05/2025</v>
      </c>
      <c r="N498" s="110" t="str">
        <f>IFERROR(VLOOKUP(B498,'02. MM-KLH'!$B$6:$T$823,13,0),"")</f>
        <v>KIA</v>
      </c>
      <c r="O498" s="110" t="str">
        <f>IFERROR(VLOOKUP(B498,'02. MM-KLH'!$B$6:$T$823,14,0),"")</f>
        <v>Việt Nam</v>
      </c>
      <c r="P498" s="101">
        <f>IFERROR(VLOOKUP(B498,'02. MM-KLH'!$B$6:$T$823,15,0),"")</f>
        <v>2021</v>
      </c>
      <c r="Q498" s="101" t="str">
        <f>IFERROR(VLOOKUP(B498,'02. MM-KLH'!$B$6:$T$823,16,0),"")</f>
        <v>FRONTIER K200SD-4WD</v>
      </c>
      <c r="R498" s="101" t="str">
        <f>IFERROR(VLOOKUP(B498,'02. MM-KLH'!$B$6:$T$823,17,0),"")</f>
        <v>130HP</v>
      </c>
      <c r="S498" s="110" t="str">
        <f>IFERROR(VLOOKUP(B498,'02. MM-KLH'!$B$6:$T$823,18,0),"")</f>
        <v>RNHF39KHBMT045631</v>
      </c>
      <c r="T498" s="111" t="str">
        <f>IFERROR(VLOOKUP(B498,'02. MM-KLH'!$B$6:$T$823,19,0),"")</f>
        <v>MD540071D4CB</v>
      </c>
      <c r="U498" s="863" t="s">
        <v>3343</v>
      </c>
    </row>
    <row r="499" ht="23.25" customHeight="1" spans="1:21">
      <c r="A499" s="101">
        <f t="shared" si="22"/>
        <v>11</v>
      </c>
      <c r="B499" s="104" t="s">
        <v>2951</v>
      </c>
      <c r="C499" s="102" t="str">
        <f>IFERROR(VLOOKUP(B499,'02. MM-KLH'!$B$6:$T$823,2,0),"")</f>
        <v>2A-6093</v>
      </c>
      <c r="D499" s="103" t="str">
        <f>IFERROR(VLOOKUP(B499,'02. MM-KLH'!$B$6:$T$823,3,0),"")</f>
        <v>A24-TCD-003</v>
      </c>
      <c r="E499" s="102" t="str">
        <f>IFERROR(VLOOKUP(B499,'02. MM-KLH'!$B$6:$T$823,4,0),"")</f>
        <v>2A-6093</v>
      </c>
      <c r="F499" s="146"/>
      <c r="G499" s="102" t="str">
        <f>IFERROR(VLOOKUP(B499,'02. MM-KLH'!$B$6:$T$823,6,0),"")</f>
        <v>Xe tải chuyên dụng (thùng lửng)</v>
      </c>
      <c r="H499" s="101" t="s">
        <v>3457</v>
      </c>
      <c r="I499" s="101" t="str">
        <f>IFERROR(VLOOKUP(B499,'02. MM-KLH'!$B$6:$T$823,8,0),"")</f>
        <v>BAN KT CHUỐI</v>
      </c>
      <c r="J499" s="105" t="str">
        <f>IFERROR(VLOOKUP(B499,'02. MM-KLH'!$B$6:$T$823,9,0),"")</f>
        <v>13/10/2024</v>
      </c>
      <c r="K499" s="101" t="str">
        <f>IFERROR(VLOOKUP(B499,'02. MM-KLH'!$B$6:$T$823,10,0),"")</f>
        <v>Bình thường</v>
      </c>
      <c r="L499" s="107">
        <f>IFERROR(VLOOKUP(B499,'02. MM-KLH'!$B$6:$T$823,11,0),"")</f>
        <v>0</v>
      </c>
      <c r="M499" s="864" t="str">
        <f>IFERROR(VLOOKUP(B499,'02. MM-KLH'!$B$6:$T$823,12,0),"")</f>
        <v>Đầu tư mới
- Xe tai nạn</v>
      </c>
      <c r="N499" s="110" t="str">
        <f>IFERROR(VLOOKUP(B499,'02. MM-KLH'!$B$6:$T$823,13,0),"")</f>
        <v>KIA</v>
      </c>
      <c r="O499" s="110" t="str">
        <f>IFERROR(VLOOKUP(B499,'02. MM-KLH'!$B$6:$T$823,14,0),"")</f>
        <v>Việt Nam</v>
      </c>
      <c r="P499" s="101">
        <f>IFERROR(VLOOKUP(B499,'02. MM-KLH'!$B$6:$T$823,15,0),"")</f>
        <v>2021</v>
      </c>
      <c r="Q499" s="101" t="str">
        <f>IFERROR(VLOOKUP(B499,'02. MM-KLH'!$B$6:$T$823,16,0),"")</f>
        <v>FRONTIER K200SD-4WD</v>
      </c>
      <c r="R499" s="101" t="str">
        <f>IFERROR(VLOOKUP(B499,'02. MM-KLH'!$B$6:$T$823,17,0),"")</f>
        <v>130HP</v>
      </c>
      <c r="S499" s="110" t="str">
        <f>IFERROR(VLOOKUP(B499,'02. MM-KLH'!$B$6:$T$823,18,0),"")</f>
        <v>RNHF39KHBMT045342</v>
      </c>
      <c r="T499" s="111" t="str">
        <f>IFERROR(VLOOKUP(B499,'02. MM-KLH'!$B$6:$T$823,19,0),"")</f>
        <v>MD534256D4CB</v>
      </c>
      <c r="U499" s="863" t="s">
        <v>3343</v>
      </c>
    </row>
    <row r="500" ht="13.5" customHeight="1" spans="1:21">
      <c r="A500" s="101">
        <f t="shared" si="22"/>
        <v>12</v>
      </c>
      <c r="B500" s="104" t="s">
        <v>2887</v>
      </c>
      <c r="C500" s="102" t="str">
        <f>IFERROR(VLOOKUP(B500,'02. MM-KLH'!$B$6:$T$823,2,0),"")</f>
        <v>2A-6091</v>
      </c>
      <c r="D500" s="103" t="str">
        <f>IFERROR(VLOOKUP(B500,'02. MM-KLH'!$B$6:$T$823,3,0),"")</f>
        <v>A22-TCD-002</v>
      </c>
      <c r="E500" s="102">
        <f>IFERROR(VLOOKUP(B500,'02. MM-KLH'!$B$6:$T$823,4,0),"")</f>
        <v>0</v>
      </c>
      <c r="F500" s="146"/>
      <c r="G500" s="102" t="str">
        <f>IFERROR(VLOOKUP(B500,'02. MM-KLH'!$B$6:$T$823,6,0),"")</f>
        <v>Xe tải chuyên dụng (thùng lửng)</v>
      </c>
      <c r="H500" s="101" t="s">
        <v>3457</v>
      </c>
      <c r="I500" s="101" t="str">
        <f>IFERROR(VLOOKUP(B500,'02. MM-KLH'!$B$6:$T$823,8,0),"")</f>
        <v>BAN CG-CK &amp; SXCN</v>
      </c>
      <c r="J500" s="105">
        <f>IFERROR(VLOOKUP(B500,'02. MM-KLH'!$B$6:$T$823,9,0),"")</f>
        <v>45606</v>
      </c>
      <c r="K500" s="101" t="str">
        <f>IFERROR(VLOOKUP(B500,'02. MM-KLH'!$B$6:$T$823,10,0),"")</f>
        <v>Bình thường</v>
      </c>
      <c r="L500" s="107">
        <f>IFERROR(VLOOKUP(B500,'02. MM-KLH'!$B$6:$T$823,11,0),"")</f>
        <v>0.99</v>
      </c>
      <c r="M500" s="864">
        <f>IFERROR(VLOOKUP(B500,'02. MM-KLH'!$B$6:$T$823,12,0),"")</f>
        <v>0</v>
      </c>
      <c r="N500" s="110" t="str">
        <f>IFERROR(VLOOKUP(B500,'02. MM-KLH'!$B$6:$T$823,13,0),"")</f>
        <v>THACO KIA</v>
      </c>
      <c r="O500" s="110" t="str">
        <f>IFERROR(VLOOKUP(B500,'02. MM-KLH'!$B$6:$T$823,14,0),"")</f>
        <v>Việt Nam</v>
      </c>
      <c r="P500" s="101">
        <f>IFERROR(VLOOKUP(B500,'02. MM-KLH'!$B$6:$T$823,15,0),"")</f>
        <v>2021</v>
      </c>
      <c r="Q500" s="101" t="str">
        <f>IFERROR(VLOOKUP(B500,'02. MM-KLH'!$B$6:$T$823,16,0),"")</f>
        <v>FRONTIER K200SD-4WD</v>
      </c>
      <c r="R500" s="101" t="str">
        <f>IFERROR(VLOOKUP(B500,'02. MM-KLH'!$B$6:$T$823,17,0),"")</f>
        <v>130HP</v>
      </c>
      <c r="S500" s="110" t="str">
        <f>IFERROR(VLOOKUP(B500,'02. MM-KLH'!$B$6:$T$823,18,0),"")</f>
        <v>RNHF39KHBMT045656</v>
      </c>
      <c r="T500" s="111" t="str">
        <f>IFERROR(VLOOKUP(B500,'02. MM-KLH'!$B$6:$T$823,19,0),"")</f>
        <v>MD540068D4CB</v>
      </c>
      <c r="U500" s="863" t="s">
        <v>3343</v>
      </c>
    </row>
    <row r="501" ht="13.5" customHeight="1" spans="1:21">
      <c r="A501" s="101">
        <f t="shared" si="22"/>
        <v>13</v>
      </c>
      <c r="B501" s="104" t="s">
        <v>2893</v>
      </c>
      <c r="C501" s="102" t="str">
        <f>IFERROR(VLOOKUP(B501,'02. MM-KLH'!$B$6:$T$823,2,0),"")</f>
        <v>2A-6089</v>
      </c>
      <c r="D501" s="103" t="str">
        <f>IFERROR(VLOOKUP(B501,'02. MM-KLH'!$B$6:$T$823,3,0),"")</f>
        <v>A22-TCD-003</v>
      </c>
      <c r="E501" s="102">
        <f>IFERROR(VLOOKUP(B501,'02. MM-KLH'!$B$6:$T$823,4,0),"")</f>
        <v>0</v>
      </c>
      <c r="F501" s="146"/>
      <c r="G501" s="102" t="str">
        <f>IFERROR(VLOOKUP(B501,'02. MM-KLH'!$B$6:$T$823,6,0),"")</f>
        <v>Xe tải chuyên dụng (thùng lửng)</v>
      </c>
      <c r="H501" s="101" t="s">
        <v>3457</v>
      </c>
      <c r="I501" s="101" t="str">
        <f>IFERROR(VLOOKUP(B501,'02. MM-KLH'!$B$6:$T$823,8,0),"")</f>
        <v>BAN CG-CK &amp; SXCN</v>
      </c>
      <c r="J501" s="105">
        <f>IFERROR(VLOOKUP(B501,'02. MM-KLH'!$B$6:$T$823,9,0),"")</f>
        <v>45575</v>
      </c>
      <c r="K501" s="101" t="str">
        <f>IFERROR(VLOOKUP(B501,'02. MM-KLH'!$B$6:$T$823,10,0),"")</f>
        <v>Bình thường</v>
      </c>
      <c r="L501" s="107">
        <f>IFERROR(VLOOKUP(B501,'02. MM-KLH'!$B$6:$T$823,11,0),"")</f>
        <v>0.99</v>
      </c>
      <c r="M501" s="864">
        <f>IFERROR(VLOOKUP(B501,'02. MM-KLH'!$B$6:$T$823,12,0),"")</f>
        <v>0</v>
      </c>
      <c r="N501" s="110" t="str">
        <f>IFERROR(VLOOKUP(B501,'02. MM-KLH'!$B$6:$T$823,13,0),"")</f>
        <v>THACO KIA</v>
      </c>
      <c r="O501" s="110" t="str">
        <f>IFERROR(VLOOKUP(B501,'02. MM-KLH'!$B$6:$T$823,14,0),"")</f>
        <v>Việt Nam</v>
      </c>
      <c r="P501" s="101">
        <f>IFERROR(VLOOKUP(B501,'02. MM-KLH'!$B$6:$T$823,15,0),"")</f>
        <v>2021</v>
      </c>
      <c r="Q501" s="101" t="str">
        <f>IFERROR(VLOOKUP(B501,'02. MM-KLH'!$B$6:$T$823,16,0),"")</f>
        <v>FRONTIER K200SD-4WD</v>
      </c>
      <c r="R501" s="101" t="str">
        <f>IFERROR(VLOOKUP(B501,'02. MM-KLH'!$B$6:$T$823,17,0),"")</f>
        <v>130HP</v>
      </c>
      <c r="S501" s="110" t="str">
        <f>IFERROR(VLOOKUP(B501,'02. MM-KLH'!$B$6:$T$823,18,0),"")</f>
        <v>RNHF39KHBMT045639</v>
      </c>
      <c r="T501" s="111" t="str">
        <f>IFERROR(VLOOKUP(B501,'02. MM-KLH'!$B$6:$T$823,19,0),"")</f>
        <v>MD540108D4CB</v>
      </c>
      <c r="U501" s="863" t="s">
        <v>3343</v>
      </c>
    </row>
    <row r="502" ht="13.5" customHeight="1" spans="1:21">
      <c r="A502" s="101">
        <f t="shared" si="22"/>
        <v>14</v>
      </c>
      <c r="B502" s="104" t="s">
        <v>2899</v>
      </c>
      <c r="C502" s="102">
        <f>IFERROR(VLOOKUP(B502,'02. MM-KLH'!$B$6:$T$823,2,0),"")</f>
        <v>0</v>
      </c>
      <c r="D502" s="103" t="str">
        <f>IFERROR(VLOOKUP(B502,'02. MM-KLH'!$B$6:$T$823,3,0),"")</f>
        <v>A22-TCD-004</v>
      </c>
      <c r="E502" s="102" t="str">
        <f>IFERROR(VLOOKUP(B502,'02. MM-KLH'!$B$6:$T$823,4,0),"")</f>
        <v>2A-0518</v>
      </c>
      <c r="F502" s="146"/>
      <c r="G502" s="102" t="str">
        <f>IFERROR(VLOOKUP(B502,'02. MM-KLH'!$B$6:$T$823,6,0),"")</f>
        <v>Xe tải chuyên dụng (thùng SCLĐ)</v>
      </c>
      <c r="H502" s="101" t="s">
        <v>3457</v>
      </c>
      <c r="I502" s="101" t="str">
        <f>IFERROR(VLOOKUP(B502,'02. MM-KLH'!$B$6:$T$823,8,0),"")</f>
        <v>BAN CG-CK &amp; SXCN</v>
      </c>
      <c r="J502" s="105" t="str">
        <f>IFERROR(VLOOKUP(B502,'02. MM-KLH'!$B$6:$T$823,9,0),"")</f>
        <v>27/01/2026</v>
      </c>
      <c r="K502" s="101" t="str">
        <f>IFERROR(VLOOKUP(B502,'02. MM-KLH'!$B$6:$T$823,10,0),"")</f>
        <v>Bình thường</v>
      </c>
      <c r="L502" s="107">
        <f>IFERROR(VLOOKUP(B502,'02. MM-KLH'!$B$6:$T$823,11,0),"")</f>
        <v>0</v>
      </c>
      <c r="M502" s="864">
        <f>IFERROR(VLOOKUP(B502,'02. MM-KLH'!$B$6:$T$823,12,0),"")</f>
        <v>0</v>
      </c>
      <c r="N502" s="110" t="str">
        <f>IFERROR(VLOOKUP(B502,'02. MM-KLH'!$B$6:$T$823,13,0),"")</f>
        <v>THACO KIA</v>
      </c>
      <c r="O502" s="110" t="str">
        <f>IFERROR(VLOOKUP(B502,'02. MM-KLH'!$B$6:$T$823,14,0),"")</f>
        <v>VIỆT NAM</v>
      </c>
      <c r="P502" s="101">
        <f>IFERROR(VLOOKUP(B502,'02. MM-KLH'!$B$6:$T$823,15,0),"")</f>
        <v>2024</v>
      </c>
      <c r="Q502" s="101" t="str">
        <f>IFERROR(VLOOKUP(B502,'02. MM-KLH'!$B$6:$T$823,16,0),"")</f>
        <v>KIA K200SD</v>
      </c>
      <c r="R502" s="101" t="str">
        <f>IFERROR(VLOOKUP(B502,'02. MM-KLH'!$B$6:$T$823,17,0),"")</f>
        <v>130HP</v>
      </c>
      <c r="S502" s="110" t="str">
        <f>IFERROR(VLOOKUP(B502,'02. MM-KLH'!$B$6:$T$823,18,0),"")</f>
        <v>RNHF39KHBMT045676</v>
      </c>
      <c r="T502" s="111" t="str">
        <f>IFERROR(VLOOKUP(B502,'02. MM-KLH'!$B$6:$T$823,19,0),"")</f>
        <v>MD540074D4CB</v>
      </c>
      <c r="U502" s="863" t="s">
        <v>3343</v>
      </c>
    </row>
    <row r="503" ht="13.5" customHeight="1" spans="1:21">
      <c r="A503" s="101"/>
      <c r="B503" s="104"/>
      <c r="C503" s="102" t="str">
        <f>IFERROR(VLOOKUP(B503,'02. MM-KLH'!$B$6:$T$823,2,0),"")</f>
        <v/>
      </c>
      <c r="D503" s="103" t="str">
        <f>IFERROR(VLOOKUP(B503,'02. MM-KLH'!$B$6:$T$823,3,0),"")</f>
        <v/>
      </c>
      <c r="E503" s="102" t="str">
        <f>IFERROR(VLOOKUP(B503,'02. MM-KLH'!$B$6:$T$823,4,0),"")</f>
        <v/>
      </c>
      <c r="F503" s="104"/>
      <c r="G503" s="102" t="str">
        <f>IFERROR(VLOOKUP(B503,'02. MM-KLH'!$B$6:$T$823,6,0),"")</f>
        <v/>
      </c>
      <c r="H503" s="101"/>
      <c r="I503" s="101" t="str">
        <f>IFERROR(VLOOKUP(B503,'02. MM-KLH'!$B$6:$T$823,8,0),"")</f>
        <v/>
      </c>
      <c r="J503" s="105" t="str">
        <f>IFERROR(VLOOKUP(B503,'02. MM-KLH'!$B$6:$T$823,9,0),"")</f>
        <v/>
      </c>
      <c r="K503" s="101" t="str">
        <f>IFERROR(VLOOKUP(B503,'02. MM-KLH'!$B$6:$T$823,10,0),"")</f>
        <v/>
      </c>
      <c r="L503" s="107" t="str">
        <f>IFERROR(VLOOKUP(B503,'02. MM-KLH'!$B$6:$T$823,11,0),"")</f>
        <v/>
      </c>
      <c r="M503" s="864" t="str">
        <f>IFERROR(VLOOKUP(B503,'02. MM-KLH'!$B$6:$T$823,12,0),"")</f>
        <v/>
      </c>
      <c r="N503" s="110" t="str">
        <f>IFERROR(VLOOKUP(B503,'02. MM-KLH'!$B$6:$T$823,13,0),"")</f>
        <v/>
      </c>
      <c r="O503" s="110" t="str">
        <f>IFERROR(VLOOKUP(B503,'02. MM-KLH'!$B$6:$T$823,14,0),"")</f>
        <v/>
      </c>
      <c r="P503" s="101" t="str">
        <f>IFERROR(VLOOKUP(B503,'02. MM-KLH'!$B$6:$T$823,15,0),"")</f>
        <v/>
      </c>
      <c r="Q503" s="101" t="str">
        <f>IFERROR(VLOOKUP(B503,'02. MM-KLH'!$B$6:$T$823,16,0),"")</f>
        <v/>
      </c>
      <c r="R503" s="101" t="str">
        <f>IFERROR(VLOOKUP(B503,'02. MM-KLH'!$B$6:$T$823,17,0),"")</f>
        <v/>
      </c>
      <c r="S503" s="110" t="str">
        <f>IFERROR(VLOOKUP(B503,'02. MM-KLH'!$B$6:$T$823,18,0),"")</f>
        <v/>
      </c>
      <c r="T503" s="111" t="str">
        <f>IFERROR(VLOOKUP(B503,'02. MM-KLH'!$B$6:$T$823,19,0),"")</f>
        <v/>
      </c>
      <c r="U503" s="863"/>
    </row>
    <row r="504" ht="13.5" customHeight="1" spans="1:21">
      <c r="A504" s="847" t="s">
        <v>290</v>
      </c>
      <c r="B504" s="848" t="s">
        <v>1751</v>
      </c>
      <c r="C504" s="849">
        <f>COUNTA(B505:B534)</f>
        <v>29</v>
      </c>
      <c r="D504" s="849" t="str">
        <f>IFERROR(VLOOKUP(B504,'02. MM-KLH'!$B$6:$T$823,3,0),"")</f>
        <v/>
      </c>
      <c r="E504" s="849" t="str">
        <f>IFERROR(VLOOKUP(B504,'02. MM-KLH'!$B$6:$T$823,4,0),"")</f>
        <v/>
      </c>
      <c r="F504" s="849"/>
      <c r="G504" s="849" t="str">
        <f>IFERROR(VLOOKUP(B504,'02. MM-KLH'!$B$6:$T$823,6,0),"")</f>
        <v/>
      </c>
      <c r="H504" s="849"/>
      <c r="I504" s="849" t="str">
        <f>IFERROR(VLOOKUP(B504,'02. MM-KLH'!$B$6:$T$823,8,0),"")</f>
        <v/>
      </c>
      <c r="J504" s="849" t="str">
        <f>IFERROR(VLOOKUP(B504,'02. MM-KLH'!$B$6:$T$823,9,0),"")</f>
        <v/>
      </c>
      <c r="K504" s="849" t="str">
        <f>IFERROR(VLOOKUP(B504,'02. MM-KLH'!$B$6:$T$823,10,0),"")</f>
        <v/>
      </c>
      <c r="L504" s="849" t="str">
        <f>IFERROR(VLOOKUP(B504,'02. MM-KLH'!$B$6:$T$823,11,0),"")</f>
        <v/>
      </c>
      <c r="M504" s="849" t="str">
        <f>IFERROR(VLOOKUP(B504,'02. MM-KLH'!$B$6:$T$823,12,0),"")</f>
        <v/>
      </c>
      <c r="N504" s="849" t="str">
        <f>IFERROR(VLOOKUP(B504,'02. MM-KLH'!$B$6:$T$823,13,0),"")</f>
        <v/>
      </c>
      <c r="O504" s="849" t="str">
        <f>IFERROR(VLOOKUP(B504,'02. MM-KLH'!$B$6:$T$823,14,0),"")</f>
        <v/>
      </c>
      <c r="P504" s="849" t="str">
        <f>IFERROR(VLOOKUP(B504,'02. MM-KLH'!$B$6:$T$823,15,0),"")</f>
        <v/>
      </c>
      <c r="Q504" s="849" t="str">
        <f>IFERROR(VLOOKUP(B504,'02. MM-KLH'!$B$6:$T$823,16,0),"")</f>
        <v/>
      </c>
      <c r="R504" s="849" t="str">
        <f>IFERROR(VLOOKUP(B504,'02. MM-KLH'!$B$6:$T$823,17,0),"")</f>
        <v/>
      </c>
      <c r="S504" s="849" t="str">
        <f>IFERROR(VLOOKUP(B504,'02. MM-KLH'!$B$6:$T$823,18,0),"")</f>
        <v/>
      </c>
      <c r="T504" s="849" t="str">
        <f>IFERROR(VLOOKUP(B504,'02. MM-KLH'!$B$6:$T$823,19,0),"")</f>
        <v/>
      </c>
      <c r="U504" s="849" t="str">
        <f>IFERROR(VLOOKUP(C504,'02. MM-KLH'!$B$6:$T$823,19,0),"")</f>
        <v/>
      </c>
    </row>
    <row r="505" ht="30.75" customHeight="1" spans="1:21">
      <c r="A505" s="101">
        <v>1</v>
      </c>
      <c r="B505" s="104" t="s">
        <v>1514</v>
      </c>
      <c r="C505" s="102" t="str">
        <f>IFERROR(VLOOKUP(B505,'02. MM-KLH'!$B$6:$T$823,2,0),"")</f>
        <v>XD3-CLT-005</v>
      </c>
      <c r="D505" s="103" t="str">
        <f>IFERROR(VLOOKUP(B505,'02. MM-KLH'!$B$6:$T$823,3,0),"")</f>
        <v>A23-CLT-015</v>
      </c>
      <c r="E505" s="102">
        <f>IFERROR(VLOOKUP(B505,'02. MM-KLH'!$B$6:$T$823,4,0),"")</f>
        <v>0</v>
      </c>
      <c r="F505" s="104" t="s">
        <v>3462</v>
      </c>
      <c r="G505" s="102" t="str">
        <f>IFERROR(VLOOKUP(B505,'02. MM-KLH'!$B$6:$T$823,6,0),"")</f>
        <v>Xe clethon</v>
      </c>
      <c r="H505" s="101" t="s">
        <v>3463</v>
      </c>
      <c r="I505" s="101" t="str">
        <f>IFERROR(VLOOKUP(B505,'02. MM-KLH'!$B$6:$T$823,8,0),"")</f>
        <v>XN Chuối LP1</v>
      </c>
      <c r="J505" s="105" t="str">
        <f>IFERROR(VLOOKUP(B505,'02. MM-KLH'!$B$6:$T$823,9,0),"")</f>
        <v>29/07/2025</v>
      </c>
      <c r="K505" s="101" t="str">
        <f>IFERROR(VLOOKUP(B505,'02. MM-KLH'!$B$6:$T$823,10,0),"")</f>
        <v>Bình thường</v>
      </c>
      <c r="L505" s="107">
        <f>IFERROR(VLOOKUP(B505,'02. MM-KLH'!$B$6:$T$823,11,0),"")</f>
        <v>0</v>
      </c>
      <c r="M505" s="864" t="str">
        <f>IFERROR(VLOOKUP(B505,'02. MM-KLH'!$B$6:$T$823,12,0),"")</f>
        <v>Đầu tư mới (24/07/2025)
- DP3 Đ.chuyển LP1 ngày 29/07/2025</v>
      </c>
      <c r="N505" s="110" t="str">
        <f>IFERROR(VLOOKUP(B505,'02. MM-KLH'!$B$6:$T$823,13,0),"")</f>
        <v>YANMAR</v>
      </c>
      <c r="O505" s="110" t="str">
        <f>IFERROR(VLOOKUP(B505,'02. MM-KLH'!$B$6:$T$823,14,0),"")</f>
        <v>INDONESIA</v>
      </c>
      <c r="P505" s="101">
        <f>IFERROR(VLOOKUP(B505,'02. MM-KLH'!$B$6:$T$823,15,0),"")</f>
        <v>2022</v>
      </c>
      <c r="Q505" s="101" t="str">
        <f>IFERROR(VLOOKUP(B505,'02. MM-KLH'!$B$6:$T$823,16,0),"")</f>
        <v>TF150NL-PR2</v>
      </c>
      <c r="R505" s="101" t="str">
        <f>IFERROR(VLOOKUP(B505,'02. MM-KLH'!$B$6:$T$823,17,0),"")</f>
        <v>15HP</v>
      </c>
      <c r="S505" s="110">
        <f>IFERROR(VLOOKUP(B505,'02. MM-KLH'!$B$6:$T$823,18,0),"")</f>
        <v>203084</v>
      </c>
      <c r="T505" s="111" t="str">
        <f>IFERROR(VLOOKUP(B505,'02. MM-KLH'!$B$6:$T$823,19,0),"")</f>
        <v>B2212L</v>
      </c>
      <c r="U505" s="863" t="s">
        <v>3343</v>
      </c>
    </row>
    <row r="506" ht="13.5" customHeight="1" spans="1:21">
      <c r="A506" s="101">
        <f t="shared" ref="A506:A533" si="23">A505+1</f>
        <v>2</v>
      </c>
      <c r="B506" s="104" t="s">
        <v>1194</v>
      </c>
      <c r="C506" s="102">
        <f>IFERROR(VLOOKUP(B506,'02. MM-KLH'!$B$6:$T$823,2,0),"")</f>
        <v>0</v>
      </c>
      <c r="D506" s="103" t="str">
        <f>IFERROR(VLOOKUP(B506,'02. MM-KLH'!$B$6:$T$823,3,0),"")</f>
        <v>A23-CLT-001</v>
      </c>
      <c r="E506" s="102">
        <f>IFERROR(VLOOKUP(B506,'02. MM-KLH'!$B$6:$T$823,4,0),"")</f>
        <v>0</v>
      </c>
      <c r="F506" s="104" t="s">
        <v>3464</v>
      </c>
      <c r="G506" s="102" t="str">
        <f>IFERROR(VLOOKUP(B506,'02. MM-KLH'!$B$6:$T$823,6,0),"")</f>
        <v>Xe clethon</v>
      </c>
      <c r="H506" s="101" t="s">
        <v>3463</v>
      </c>
      <c r="I506" s="101" t="str">
        <f>IFERROR(VLOOKUP(B506,'02. MM-KLH'!$B$6:$T$823,8,0),"")</f>
        <v>XN Chuối DP1</v>
      </c>
      <c r="J506" s="105" t="str">
        <f>IFERROR(VLOOKUP(B506,'02. MM-KLH'!$B$6:$T$823,9,0),"")</f>
        <v>24/07/2025</v>
      </c>
      <c r="K506" s="101" t="str">
        <f>IFERROR(VLOOKUP(B506,'02. MM-KLH'!$B$6:$T$823,10,0),"")</f>
        <v>Bình thường</v>
      </c>
      <c r="L506" s="107">
        <f>IFERROR(VLOOKUP(B506,'02. MM-KLH'!$B$6:$T$823,11,0),"")</f>
        <v>0</v>
      </c>
      <c r="M506" s="864" t="str">
        <f>IFERROR(VLOOKUP(B506,'02. MM-KLH'!$B$6:$T$823,12,0),"")</f>
        <v>Đầu tư mới</v>
      </c>
      <c r="N506" s="110" t="str">
        <f>IFERROR(VLOOKUP(B506,'02. MM-KLH'!$B$6:$T$823,13,0),"")</f>
        <v>YANMAR</v>
      </c>
      <c r="O506" s="110" t="str">
        <f>IFERROR(VLOOKUP(B506,'02. MM-KLH'!$B$6:$T$823,14,0),"")</f>
        <v>INDONESIA</v>
      </c>
      <c r="P506" s="101">
        <f>IFERROR(VLOOKUP(B506,'02. MM-KLH'!$B$6:$T$823,15,0),"")</f>
        <v>2022</v>
      </c>
      <c r="Q506" s="101" t="str">
        <f>IFERROR(VLOOKUP(B506,'02. MM-KLH'!$B$6:$T$823,16,0),"")</f>
        <v>TF150NL-PR2</v>
      </c>
      <c r="R506" s="101" t="str">
        <f>IFERROR(VLOOKUP(B506,'02. MM-KLH'!$B$6:$T$823,17,0),"")</f>
        <v>15HP</v>
      </c>
      <c r="S506" s="110">
        <f>IFERROR(VLOOKUP(B506,'02. MM-KLH'!$B$6:$T$823,18,0),"")</f>
        <v>203065</v>
      </c>
      <c r="T506" s="111" t="str">
        <f>IFERROR(VLOOKUP(B506,'02. MM-KLH'!$B$6:$T$823,19,0),"")</f>
        <v>B1320M</v>
      </c>
      <c r="U506" s="863" t="s">
        <v>3343</v>
      </c>
    </row>
    <row r="507" ht="13.5" customHeight="1" spans="1:21">
      <c r="A507" s="101">
        <f t="shared" si="23"/>
        <v>3</v>
      </c>
      <c r="B507" s="104" t="s">
        <v>1200</v>
      </c>
      <c r="C507" s="102">
        <f>IFERROR(VLOOKUP(B507,'02. MM-KLH'!$B$6:$T$823,2,0),"")</f>
        <v>0</v>
      </c>
      <c r="D507" s="103" t="str">
        <f>IFERROR(VLOOKUP(B507,'02. MM-KLH'!$B$6:$T$823,3,0),"")</f>
        <v>A23-CLT-002</v>
      </c>
      <c r="E507" s="102">
        <f>IFERROR(VLOOKUP(B507,'02. MM-KLH'!$B$6:$T$823,4,0),"")</f>
        <v>0</v>
      </c>
      <c r="F507" s="104" t="s">
        <v>3465</v>
      </c>
      <c r="G507" s="102" t="str">
        <f>IFERROR(VLOOKUP(B507,'02. MM-KLH'!$B$6:$T$823,6,0),"")</f>
        <v>Xe clethon</v>
      </c>
      <c r="H507" s="101" t="s">
        <v>3463</v>
      </c>
      <c r="I507" s="101" t="str">
        <f>IFERROR(VLOOKUP(B507,'02. MM-KLH'!$B$6:$T$823,8,0),"")</f>
        <v>XN Chuối DP1</v>
      </c>
      <c r="J507" s="105" t="str">
        <f>IFERROR(VLOOKUP(B507,'02. MM-KLH'!$B$6:$T$823,9,0),"")</f>
        <v>24/07/2025</v>
      </c>
      <c r="K507" s="101" t="str">
        <f>IFERROR(VLOOKUP(B507,'02. MM-KLH'!$B$6:$T$823,10,0),"")</f>
        <v>Bình thường</v>
      </c>
      <c r="L507" s="107">
        <f>IFERROR(VLOOKUP(B507,'02. MM-KLH'!$B$6:$T$823,11,0),"")</f>
        <v>0</v>
      </c>
      <c r="M507" s="864" t="str">
        <f>IFERROR(VLOOKUP(B507,'02. MM-KLH'!$B$6:$T$823,12,0),"")</f>
        <v>Đầu tư mới</v>
      </c>
      <c r="N507" s="110" t="str">
        <f>IFERROR(VLOOKUP(B507,'02. MM-KLH'!$B$6:$T$823,13,0),"")</f>
        <v>YANMAR</v>
      </c>
      <c r="O507" s="110" t="str">
        <f>IFERROR(VLOOKUP(B507,'02. MM-KLH'!$B$6:$T$823,14,0),"")</f>
        <v>INDONESIA</v>
      </c>
      <c r="P507" s="101">
        <f>IFERROR(VLOOKUP(B507,'02. MM-KLH'!$B$6:$T$823,15,0),"")</f>
        <v>2022</v>
      </c>
      <c r="Q507" s="101" t="str">
        <f>IFERROR(VLOOKUP(B507,'02. MM-KLH'!$B$6:$T$823,16,0),"")</f>
        <v>TF150NL-PR2</v>
      </c>
      <c r="R507" s="101" t="str">
        <f>IFERROR(VLOOKUP(B507,'02. MM-KLH'!$B$6:$T$823,17,0),"")</f>
        <v>15HP</v>
      </c>
      <c r="S507" s="110">
        <f>IFERROR(VLOOKUP(B507,'02. MM-KLH'!$B$6:$T$823,18,0),"")</f>
        <v>203175</v>
      </c>
      <c r="T507" s="111" t="str">
        <f>IFERROR(VLOOKUP(B507,'02. MM-KLH'!$B$6:$T$823,19,0),"")</f>
        <v>C0869C</v>
      </c>
      <c r="U507" s="863" t="s">
        <v>3343</v>
      </c>
    </row>
    <row r="508" ht="13.5" customHeight="1" spans="1:21">
      <c r="A508" s="101">
        <f t="shared" si="23"/>
        <v>4</v>
      </c>
      <c r="B508" s="104" t="s">
        <v>1203</v>
      </c>
      <c r="C508" s="102">
        <f>IFERROR(VLOOKUP(B508,'02. MM-KLH'!$B$6:$T$823,2,0),"")</f>
        <v>0</v>
      </c>
      <c r="D508" s="103" t="str">
        <f>IFERROR(VLOOKUP(B508,'02. MM-KLH'!$B$6:$T$823,3,0),"")</f>
        <v>A23-CLT-003</v>
      </c>
      <c r="E508" s="102">
        <f>IFERROR(VLOOKUP(B508,'02. MM-KLH'!$B$6:$T$823,4,0),"")</f>
        <v>0</v>
      </c>
      <c r="F508" s="104" t="s">
        <v>3466</v>
      </c>
      <c r="G508" s="102" t="str">
        <f>IFERROR(VLOOKUP(B508,'02. MM-KLH'!$B$6:$T$823,6,0),"")</f>
        <v>Xe clethon</v>
      </c>
      <c r="H508" s="101" t="s">
        <v>3463</v>
      </c>
      <c r="I508" s="101" t="str">
        <f>IFERROR(VLOOKUP(B508,'02. MM-KLH'!$B$6:$T$823,8,0),"")</f>
        <v>XN Chuối DP1</v>
      </c>
      <c r="J508" s="105" t="str">
        <f>IFERROR(VLOOKUP(B508,'02. MM-KLH'!$B$6:$T$823,9,0),"")</f>
        <v>24/07/2025</v>
      </c>
      <c r="K508" s="101" t="str">
        <f>IFERROR(VLOOKUP(B508,'02. MM-KLH'!$B$6:$T$823,10,0),"")</f>
        <v>Bình thường</v>
      </c>
      <c r="L508" s="107">
        <f>IFERROR(VLOOKUP(B508,'02. MM-KLH'!$B$6:$T$823,11,0),"")</f>
        <v>0</v>
      </c>
      <c r="M508" s="864" t="str">
        <f>IFERROR(VLOOKUP(B508,'02. MM-KLH'!$B$6:$T$823,12,0),"")</f>
        <v>Đầu tư mới</v>
      </c>
      <c r="N508" s="110" t="str">
        <f>IFERROR(VLOOKUP(B508,'02. MM-KLH'!$B$6:$T$823,13,0),"")</f>
        <v>YANMAR</v>
      </c>
      <c r="O508" s="110" t="str">
        <f>IFERROR(VLOOKUP(B508,'02. MM-KLH'!$B$6:$T$823,14,0),"")</f>
        <v>INDONESIA</v>
      </c>
      <c r="P508" s="101">
        <f>IFERROR(VLOOKUP(B508,'02. MM-KLH'!$B$6:$T$823,15,0),"")</f>
        <v>2022</v>
      </c>
      <c r="Q508" s="101" t="str">
        <f>IFERROR(VLOOKUP(B508,'02. MM-KLH'!$B$6:$T$823,16,0),"")</f>
        <v>TF150NL-PR2</v>
      </c>
      <c r="R508" s="101" t="str">
        <f>IFERROR(VLOOKUP(B508,'02. MM-KLH'!$B$6:$T$823,17,0),"")</f>
        <v>15HP</v>
      </c>
      <c r="S508" s="110">
        <f>IFERROR(VLOOKUP(B508,'02. MM-KLH'!$B$6:$T$823,18,0),"")</f>
        <v>203079</v>
      </c>
      <c r="T508" s="111" t="str">
        <f>IFERROR(VLOOKUP(B508,'02. MM-KLH'!$B$6:$T$823,19,0),"")</f>
        <v>B2167L</v>
      </c>
      <c r="U508" s="863" t="s">
        <v>3343</v>
      </c>
    </row>
    <row r="509" ht="13.5" customHeight="1" spans="1:21">
      <c r="A509" s="101">
        <f t="shared" si="23"/>
        <v>5</v>
      </c>
      <c r="B509" s="104" t="s">
        <v>1206</v>
      </c>
      <c r="C509" s="102">
        <f>IFERROR(VLOOKUP(B509,'02. MM-KLH'!$B$6:$T$823,2,0),"")</f>
        <v>0</v>
      </c>
      <c r="D509" s="103" t="str">
        <f>IFERROR(VLOOKUP(B509,'02. MM-KLH'!$B$6:$T$823,3,0),"")</f>
        <v>A23-CLT-004</v>
      </c>
      <c r="E509" s="102">
        <f>IFERROR(VLOOKUP(B509,'02. MM-KLH'!$B$6:$T$823,4,0),"")</f>
        <v>0</v>
      </c>
      <c r="F509" s="104" t="s">
        <v>3467</v>
      </c>
      <c r="G509" s="102" t="str">
        <f>IFERROR(VLOOKUP(B509,'02. MM-KLH'!$B$6:$T$823,6,0),"")</f>
        <v>Xe clethon</v>
      </c>
      <c r="H509" s="101" t="s">
        <v>3463</v>
      </c>
      <c r="I509" s="101" t="str">
        <f>IFERROR(VLOOKUP(B509,'02. MM-KLH'!$B$6:$T$823,8,0),"")</f>
        <v>XN Chuối DP1</v>
      </c>
      <c r="J509" s="105" t="str">
        <f>IFERROR(VLOOKUP(B509,'02. MM-KLH'!$B$6:$T$823,9,0),"")</f>
        <v>24/07/2025</v>
      </c>
      <c r="K509" s="101" t="str">
        <f>IFERROR(VLOOKUP(B509,'02. MM-KLH'!$B$6:$T$823,10,0),"")</f>
        <v>Bình thường</v>
      </c>
      <c r="L509" s="107">
        <f>IFERROR(VLOOKUP(B509,'02. MM-KLH'!$B$6:$T$823,11,0),"")</f>
        <v>0</v>
      </c>
      <c r="M509" s="864" t="str">
        <f>IFERROR(VLOOKUP(B509,'02. MM-KLH'!$B$6:$T$823,12,0),"")</f>
        <v>Đầu tư mới</v>
      </c>
      <c r="N509" s="110" t="str">
        <f>IFERROR(VLOOKUP(B509,'02. MM-KLH'!$B$6:$T$823,13,0),"")</f>
        <v>YANMAR</v>
      </c>
      <c r="O509" s="110" t="str">
        <f>IFERROR(VLOOKUP(B509,'02. MM-KLH'!$B$6:$T$823,14,0),"")</f>
        <v>INDONESIA</v>
      </c>
      <c r="P509" s="101">
        <f>IFERROR(VLOOKUP(B509,'02. MM-KLH'!$B$6:$T$823,15,0),"")</f>
        <v>2022</v>
      </c>
      <c r="Q509" s="101" t="str">
        <f>IFERROR(VLOOKUP(B509,'02. MM-KLH'!$B$6:$T$823,16,0),"")</f>
        <v>TF150NL-PR2</v>
      </c>
      <c r="R509" s="101" t="str">
        <f>IFERROR(VLOOKUP(B509,'02. MM-KLH'!$B$6:$T$823,17,0),"")</f>
        <v>15HP</v>
      </c>
      <c r="S509" s="110">
        <f>IFERROR(VLOOKUP(B509,'02. MM-KLH'!$B$6:$T$823,18,0),"")</f>
        <v>203080</v>
      </c>
      <c r="T509" s="111" t="str">
        <f>IFERROR(VLOOKUP(B509,'02. MM-KLH'!$B$6:$T$823,19,0),"")</f>
        <v>C0845C</v>
      </c>
      <c r="U509" s="863" t="s">
        <v>3343</v>
      </c>
    </row>
    <row r="510" ht="13.5" customHeight="1" spans="1:21">
      <c r="A510" s="101">
        <f t="shared" si="23"/>
        <v>6</v>
      </c>
      <c r="B510" s="104" t="s">
        <v>1209</v>
      </c>
      <c r="C510" s="102">
        <f>IFERROR(VLOOKUP(B510,'02. MM-KLH'!$B$6:$T$823,2,0),"")</f>
        <v>0</v>
      </c>
      <c r="D510" s="103" t="str">
        <f>IFERROR(VLOOKUP(B510,'02. MM-KLH'!$B$6:$T$823,3,0),"")</f>
        <v>A23-CLT-005</v>
      </c>
      <c r="E510" s="102">
        <f>IFERROR(VLOOKUP(B510,'02. MM-KLH'!$B$6:$T$823,4,0),"")</f>
        <v>0</v>
      </c>
      <c r="F510" s="104" t="s">
        <v>3468</v>
      </c>
      <c r="G510" s="102" t="str">
        <f>IFERROR(VLOOKUP(B510,'02. MM-KLH'!$B$6:$T$823,6,0),"")</f>
        <v>Xe clethon</v>
      </c>
      <c r="H510" s="101" t="s">
        <v>3463</v>
      </c>
      <c r="I510" s="101" t="str">
        <f>IFERROR(VLOOKUP(B510,'02. MM-KLH'!$B$6:$T$823,8,0),"")</f>
        <v>XN Chuối DP1</v>
      </c>
      <c r="J510" s="105" t="str">
        <f>IFERROR(VLOOKUP(B510,'02. MM-KLH'!$B$6:$T$823,9,0),"")</f>
        <v>24/07/2025</v>
      </c>
      <c r="K510" s="101" t="str">
        <f>IFERROR(VLOOKUP(B510,'02. MM-KLH'!$B$6:$T$823,10,0),"")</f>
        <v>Bình thường</v>
      </c>
      <c r="L510" s="107">
        <f>IFERROR(VLOOKUP(B510,'02. MM-KLH'!$B$6:$T$823,11,0),"")</f>
        <v>0</v>
      </c>
      <c r="M510" s="864" t="str">
        <f>IFERROR(VLOOKUP(B510,'02. MM-KLH'!$B$6:$T$823,12,0),"")</f>
        <v>Đầu tư mới</v>
      </c>
      <c r="N510" s="110" t="str">
        <f>IFERROR(VLOOKUP(B510,'02. MM-KLH'!$B$6:$T$823,13,0),"")</f>
        <v>YANMAR</v>
      </c>
      <c r="O510" s="110" t="str">
        <f>IFERROR(VLOOKUP(B510,'02. MM-KLH'!$B$6:$T$823,14,0),"")</f>
        <v>INDONESIA</v>
      </c>
      <c r="P510" s="101">
        <f>IFERROR(VLOOKUP(B510,'02. MM-KLH'!$B$6:$T$823,15,0),"")</f>
        <v>2022</v>
      </c>
      <c r="Q510" s="101" t="str">
        <f>IFERROR(VLOOKUP(B510,'02. MM-KLH'!$B$6:$T$823,16,0),"")</f>
        <v>TF150NL-PR2</v>
      </c>
      <c r="R510" s="101" t="str">
        <f>IFERROR(VLOOKUP(B510,'02. MM-KLH'!$B$6:$T$823,17,0),"")</f>
        <v>15HP</v>
      </c>
      <c r="S510" s="110">
        <f>IFERROR(VLOOKUP(B510,'02. MM-KLH'!$B$6:$T$823,18,0),"")</f>
        <v>203082</v>
      </c>
      <c r="T510" s="111" t="str">
        <f>IFERROR(VLOOKUP(B510,'02. MM-KLH'!$B$6:$T$823,19,0),"")</f>
        <v>B0518M</v>
      </c>
      <c r="U510" s="863" t="s">
        <v>3343</v>
      </c>
    </row>
    <row r="511" ht="13.5" customHeight="1" spans="1:21">
      <c r="A511" s="101">
        <f t="shared" si="23"/>
        <v>7</v>
      </c>
      <c r="B511" s="104" t="s">
        <v>1306</v>
      </c>
      <c r="C511" s="102">
        <f>IFERROR(VLOOKUP(B511,'02. MM-KLH'!$B$6:$T$823,2,0),"")</f>
        <v>0</v>
      </c>
      <c r="D511" s="103" t="str">
        <f>IFERROR(VLOOKUP(B511,'02. MM-KLH'!$B$6:$T$823,3,0),"")</f>
        <v>A23-CLT-006</v>
      </c>
      <c r="E511" s="102">
        <f>IFERROR(VLOOKUP(B511,'02. MM-KLH'!$B$6:$T$823,4,0),"")</f>
        <v>0</v>
      </c>
      <c r="F511" s="104" t="s">
        <v>3469</v>
      </c>
      <c r="G511" s="102" t="str">
        <f>IFERROR(VLOOKUP(B511,'02. MM-KLH'!$B$6:$T$823,6,0),"")</f>
        <v>Xe clethon</v>
      </c>
      <c r="H511" s="101" t="s">
        <v>3463</v>
      </c>
      <c r="I511" s="101" t="str">
        <f>IFERROR(VLOOKUP(B511,'02. MM-KLH'!$B$6:$T$823,8,0),"")</f>
        <v>XN Chuối DP2</v>
      </c>
      <c r="J511" s="105" t="str">
        <f>IFERROR(VLOOKUP(B511,'02. MM-KLH'!$B$6:$T$823,9,0),"")</f>
        <v>24/07/2025</v>
      </c>
      <c r="K511" s="101" t="str">
        <f>IFERROR(VLOOKUP(B511,'02. MM-KLH'!$B$6:$T$823,10,0),"")</f>
        <v>Bình thường</v>
      </c>
      <c r="L511" s="107">
        <f>IFERROR(VLOOKUP(B511,'02. MM-KLH'!$B$6:$T$823,11,0),"")</f>
        <v>0</v>
      </c>
      <c r="M511" s="864" t="str">
        <f>IFERROR(VLOOKUP(B511,'02. MM-KLH'!$B$6:$T$823,12,0),"")</f>
        <v>Đầu tư mới</v>
      </c>
      <c r="N511" s="110" t="str">
        <f>IFERROR(VLOOKUP(B511,'02. MM-KLH'!$B$6:$T$823,13,0),"")</f>
        <v>YANMAR</v>
      </c>
      <c r="O511" s="110" t="str">
        <f>IFERROR(VLOOKUP(B511,'02. MM-KLH'!$B$6:$T$823,14,0),"")</f>
        <v>INDONESIA</v>
      </c>
      <c r="P511" s="101">
        <f>IFERROR(VLOOKUP(B511,'02. MM-KLH'!$B$6:$T$823,15,0),"")</f>
        <v>2022</v>
      </c>
      <c r="Q511" s="101" t="str">
        <f>IFERROR(VLOOKUP(B511,'02. MM-KLH'!$B$6:$T$823,16,0),"")</f>
        <v>TF150NL-PR2</v>
      </c>
      <c r="R511" s="101" t="str">
        <f>IFERROR(VLOOKUP(B511,'02. MM-KLH'!$B$6:$T$823,17,0),"")</f>
        <v>15HP</v>
      </c>
      <c r="S511" s="110">
        <f>IFERROR(VLOOKUP(B511,'02. MM-KLH'!$B$6:$T$823,18,0),"")</f>
        <v>203050</v>
      </c>
      <c r="T511" s="111" t="str">
        <f>IFERROR(VLOOKUP(B511,'02. MM-KLH'!$B$6:$T$823,19,0),"")</f>
        <v>B2229L</v>
      </c>
      <c r="U511" s="863" t="s">
        <v>3343</v>
      </c>
    </row>
    <row r="512" ht="13.5" customHeight="1" spans="1:21">
      <c r="A512" s="101">
        <f t="shared" si="23"/>
        <v>8</v>
      </c>
      <c r="B512" s="104" t="s">
        <v>1309</v>
      </c>
      <c r="C512" s="102">
        <f>IFERROR(VLOOKUP(B512,'02. MM-KLH'!$B$6:$T$823,2,0),"")</f>
        <v>0</v>
      </c>
      <c r="D512" s="103" t="str">
        <f>IFERROR(VLOOKUP(B512,'02. MM-KLH'!$B$6:$T$823,3,0),"")</f>
        <v>A23-CLT-007</v>
      </c>
      <c r="E512" s="102">
        <f>IFERROR(VLOOKUP(B512,'02. MM-KLH'!$B$6:$T$823,4,0),"")</f>
        <v>0</v>
      </c>
      <c r="F512" s="104" t="s">
        <v>3470</v>
      </c>
      <c r="G512" s="102" t="str">
        <f>IFERROR(VLOOKUP(B512,'02. MM-KLH'!$B$6:$T$823,6,0),"")</f>
        <v>Xe clethon</v>
      </c>
      <c r="H512" s="101" t="s">
        <v>3463</v>
      </c>
      <c r="I512" s="101" t="str">
        <f>IFERROR(VLOOKUP(B512,'02. MM-KLH'!$B$6:$T$823,8,0),"")</f>
        <v>XN Chuối DP2</v>
      </c>
      <c r="J512" s="105" t="str">
        <f>IFERROR(VLOOKUP(B512,'02. MM-KLH'!$B$6:$T$823,9,0),"")</f>
        <v>24/07/2025</v>
      </c>
      <c r="K512" s="101" t="str">
        <f>IFERROR(VLOOKUP(B512,'02. MM-KLH'!$B$6:$T$823,10,0),"")</f>
        <v>Bình thường</v>
      </c>
      <c r="L512" s="107">
        <f>IFERROR(VLOOKUP(B512,'02. MM-KLH'!$B$6:$T$823,11,0),"")</f>
        <v>0</v>
      </c>
      <c r="M512" s="864" t="str">
        <f>IFERROR(VLOOKUP(B512,'02. MM-KLH'!$B$6:$T$823,12,0),"")</f>
        <v>Đầu tư mới</v>
      </c>
      <c r="N512" s="110" t="str">
        <f>IFERROR(VLOOKUP(B512,'02. MM-KLH'!$B$6:$T$823,13,0),"")</f>
        <v>YANMAR</v>
      </c>
      <c r="O512" s="110" t="str">
        <f>IFERROR(VLOOKUP(B512,'02. MM-KLH'!$B$6:$T$823,14,0),"")</f>
        <v>INDONESIA</v>
      </c>
      <c r="P512" s="101">
        <f>IFERROR(VLOOKUP(B512,'02. MM-KLH'!$B$6:$T$823,15,0),"")</f>
        <v>2022</v>
      </c>
      <c r="Q512" s="101" t="str">
        <f>IFERROR(VLOOKUP(B512,'02. MM-KLH'!$B$6:$T$823,16,0),"")</f>
        <v>TF150NL-PR2</v>
      </c>
      <c r="R512" s="101" t="str">
        <f>IFERROR(VLOOKUP(B512,'02. MM-KLH'!$B$6:$T$823,17,0),"")</f>
        <v>15HP</v>
      </c>
      <c r="S512" s="110">
        <f>IFERROR(VLOOKUP(B512,'02. MM-KLH'!$B$6:$T$823,18,0),"")</f>
        <v>203054</v>
      </c>
      <c r="T512" s="111" t="str">
        <f>IFERROR(VLOOKUP(B512,'02. MM-KLH'!$B$6:$T$823,19,0),"")</f>
        <v>B1314M</v>
      </c>
      <c r="U512" s="863" t="s">
        <v>3343</v>
      </c>
    </row>
    <row r="513" ht="13.5" customHeight="1" spans="1:21">
      <c r="A513" s="101">
        <f t="shared" si="23"/>
        <v>9</v>
      </c>
      <c r="B513" s="104" t="s">
        <v>1312</v>
      </c>
      <c r="C513" s="102">
        <f>IFERROR(VLOOKUP(B513,'02. MM-KLH'!$B$6:$T$823,2,0),"")</f>
        <v>0</v>
      </c>
      <c r="D513" s="103" t="str">
        <f>IFERROR(VLOOKUP(B513,'02. MM-KLH'!$B$6:$T$823,3,0),"")</f>
        <v>A23-CLT-008</v>
      </c>
      <c r="E513" s="102">
        <f>IFERROR(VLOOKUP(B513,'02. MM-KLH'!$B$6:$T$823,4,0),"")</f>
        <v>0</v>
      </c>
      <c r="F513" s="104" t="s">
        <v>3471</v>
      </c>
      <c r="G513" s="102" t="str">
        <f>IFERROR(VLOOKUP(B513,'02. MM-KLH'!$B$6:$T$823,6,0),"")</f>
        <v>Xe clethon</v>
      </c>
      <c r="H513" s="101" t="s">
        <v>3463</v>
      </c>
      <c r="I513" s="101" t="str">
        <f>IFERROR(VLOOKUP(B513,'02. MM-KLH'!$B$6:$T$823,8,0),"")</f>
        <v>XN Chuối DP2</v>
      </c>
      <c r="J513" s="105" t="str">
        <f>IFERROR(VLOOKUP(B513,'02. MM-KLH'!$B$6:$T$823,9,0),"")</f>
        <v>24/07/2025</v>
      </c>
      <c r="K513" s="101" t="str">
        <f>IFERROR(VLOOKUP(B513,'02. MM-KLH'!$B$6:$T$823,10,0),"")</f>
        <v>Bình thường</v>
      </c>
      <c r="L513" s="107">
        <f>IFERROR(VLOOKUP(B513,'02. MM-KLH'!$B$6:$T$823,11,0),"")</f>
        <v>0</v>
      </c>
      <c r="M513" s="864" t="str">
        <f>IFERROR(VLOOKUP(B513,'02. MM-KLH'!$B$6:$T$823,12,0),"")</f>
        <v>Đầu tư mới</v>
      </c>
      <c r="N513" s="110" t="str">
        <f>IFERROR(VLOOKUP(B513,'02. MM-KLH'!$B$6:$T$823,13,0),"")</f>
        <v>YANMAR</v>
      </c>
      <c r="O513" s="110" t="str">
        <f>IFERROR(VLOOKUP(B513,'02. MM-KLH'!$B$6:$T$823,14,0),"")</f>
        <v>INDONESIA</v>
      </c>
      <c r="P513" s="101">
        <f>IFERROR(VLOOKUP(B513,'02. MM-KLH'!$B$6:$T$823,15,0),"")</f>
        <v>2022</v>
      </c>
      <c r="Q513" s="101" t="str">
        <f>IFERROR(VLOOKUP(B513,'02. MM-KLH'!$B$6:$T$823,16,0),"")</f>
        <v>TF150NL-PR2</v>
      </c>
      <c r="R513" s="101" t="str">
        <f>IFERROR(VLOOKUP(B513,'02. MM-KLH'!$B$6:$T$823,17,0),"")</f>
        <v>15HP</v>
      </c>
      <c r="S513" s="110">
        <f>IFERROR(VLOOKUP(B513,'02. MM-KLH'!$B$6:$T$823,18,0),"")</f>
        <v>203068</v>
      </c>
      <c r="T513" s="111" t="str">
        <f>IFERROR(VLOOKUP(B513,'02. MM-KLH'!$B$6:$T$823,19,0),"")</f>
        <v>B2099L</v>
      </c>
      <c r="U513" s="863" t="s">
        <v>3343</v>
      </c>
    </row>
    <row r="514" ht="13.5" customHeight="1" spans="1:21">
      <c r="A514" s="101">
        <f t="shared" si="23"/>
        <v>10</v>
      </c>
      <c r="B514" s="104" t="s">
        <v>1315</v>
      </c>
      <c r="C514" s="102">
        <f>IFERROR(VLOOKUP(B514,'02. MM-KLH'!$B$6:$T$823,2,0),"")</f>
        <v>0</v>
      </c>
      <c r="D514" s="103" t="str">
        <f>IFERROR(VLOOKUP(B514,'02. MM-KLH'!$B$6:$T$823,3,0),"")</f>
        <v>A23-CLT-009</v>
      </c>
      <c r="E514" s="102">
        <f>IFERROR(VLOOKUP(B514,'02. MM-KLH'!$B$6:$T$823,4,0),"")</f>
        <v>0</v>
      </c>
      <c r="F514" s="104" t="s">
        <v>3472</v>
      </c>
      <c r="G514" s="102" t="str">
        <f>IFERROR(VLOOKUP(B514,'02. MM-KLH'!$B$6:$T$823,6,0),"")</f>
        <v>Xe clethon</v>
      </c>
      <c r="H514" s="101" t="s">
        <v>3463</v>
      </c>
      <c r="I514" s="101" t="str">
        <f>IFERROR(VLOOKUP(B514,'02. MM-KLH'!$B$6:$T$823,8,0),"")</f>
        <v>XN Chuối DP2</v>
      </c>
      <c r="J514" s="105" t="str">
        <f>IFERROR(VLOOKUP(B514,'02. MM-KLH'!$B$6:$T$823,9,0),"")</f>
        <v>24/07/2025</v>
      </c>
      <c r="K514" s="101" t="str">
        <f>IFERROR(VLOOKUP(B514,'02. MM-KLH'!$B$6:$T$823,10,0),"")</f>
        <v>Bình thường</v>
      </c>
      <c r="L514" s="107">
        <f>IFERROR(VLOOKUP(B514,'02. MM-KLH'!$B$6:$T$823,11,0),"")</f>
        <v>0</v>
      </c>
      <c r="M514" s="864" t="str">
        <f>IFERROR(VLOOKUP(B514,'02. MM-KLH'!$B$6:$T$823,12,0),"")</f>
        <v>Đầu tư mới</v>
      </c>
      <c r="N514" s="110" t="str">
        <f>IFERROR(VLOOKUP(B514,'02. MM-KLH'!$B$6:$T$823,13,0),"")</f>
        <v>YANMAR</v>
      </c>
      <c r="O514" s="110" t="str">
        <f>IFERROR(VLOOKUP(B514,'02. MM-KLH'!$B$6:$T$823,14,0),"")</f>
        <v>INDONESIA</v>
      </c>
      <c r="P514" s="101">
        <f>IFERROR(VLOOKUP(B514,'02. MM-KLH'!$B$6:$T$823,15,0),"")</f>
        <v>2022</v>
      </c>
      <c r="Q514" s="101" t="str">
        <f>IFERROR(VLOOKUP(B514,'02. MM-KLH'!$B$6:$T$823,16,0),"")</f>
        <v>TF150NL-PR2</v>
      </c>
      <c r="R514" s="101" t="str">
        <f>IFERROR(VLOOKUP(B514,'02. MM-KLH'!$B$6:$T$823,17,0),"")</f>
        <v>15HP</v>
      </c>
      <c r="S514" s="110">
        <f>IFERROR(VLOOKUP(B514,'02. MM-KLH'!$B$6:$T$823,18,0),"")</f>
        <v>203075</v>
      </c>
      <c r="T514" s="111" t="str">
        <f>IFERROR(VLOOKUP(B514,'02. MM-KLH'!$B$6:$T$823,19,0),"")</f>
        <v>B2151L</v>
      </c>
      <c r="U514" s="863" t="s">
        <v>3343</v>
      </c>
    </row>
    <row r="515" ht="13.5" customHeight="1" spans="1:21">
      <c r="A515" s="101">
        <f t="shared" si="23"/>
        <v>11</v>
      </c>
      <c r="B515" s="104" t="s">
        <v>1318</v>
      </c>
      <c r="C515" s="102">
        <f>IFERROR(VLOOKUP(B515,'02. MM-KLH'!$B$6:$T$823,2,0),"")</f>
        <v>0</v>
      </c>
      <c r="D515" s="103" t="str">
        <f>IFERROR(VLOOKUP(B515,'02. MM-KLH'!$B$6:$T$823,3,0),"")</f>
        <v>A23-CLT-010</v>
      </c>
      <c r="E515" s="102">
        <f>IFERROR(VLOOKUP(B515,'02. MM-KLH'!$B$6:$T$823,4,0),"")</f>
        <v>0</v>
      </c>
      <c r="F515" s="104" t="s">
        <v>3473</v>
      </c>
      <c r="G515" s="102" t="str">
        <f>IFERROR(VLOOKUP(B515,'02. MM-KLH'!$B$6:$T$823,6,0),"")</f>
        <v>Xe clethon</v>
      </c>
      <c r="H515" s="101" t="s">
        <v>3463</v>
      </c>
      <c r="I515" s="101" t="str">
        <f>IFERROR(VLOOKUP(B515,'02. MM-KLH'!$B$6:$T$823,8,0),"")</f>
        <v>XN Chuối DP2</v>
      </c>
      <c r="J515" s="105" t="str">
        <f>IFERROR(VLOOKUP(B515,'02. MM-KLH'!$B$6:$T$823,9,0),"")</f>
        <v>24/07/2025</v>
      </c>
      <c r="K515" s="101" t="str">
        <f>IFERROR(VLOOKUP(B515,'02. MM-KLH'!$B$6:$T$823,10,0),"")</f>
        <v>Bình thường</v>
      </c>
      <c r="L515" s="107">
        <f>IFERROR(VLOOKUP(B515,'02. MM-KLH'!$B$6:$T$823,11,0),"")</f>
        <v>0</v>
      </c>
      <c r="M515" s="864" t="str">
        <f>IFERROR(VLOOKUP(B515,'02. MM-KLH'!$B$6:$T$823,12,0),"")</f>
        <v>Đầu tư mới</v>
      </c>
      <c r="N515" s="110" t="str">
        <f>IFERROR(VLOOKUP(B515,'02. MM-KLH'!$B$6:$T$823,13,0),"")</f>
        <v>YANMAR</v>
      </c>
      <c r="O515" s="110" t="str">
        <f>IFERROR(VLOOKUP(B515,'02. MM-KLH'!$B$6:$T$823,14,0),"")</f>
        <v>INDONESIA</v>
      </c>
      <c r="P515" s="101">
        <f>IFERROR(VLOOKUP(B515,'02. MM-KLH'!$B$6:$T$823,15,0),"")</f>
        <v>2022</v>
      </c>
      <c r="Q515" s="101" t="str">
        <f>IFERROR(VLOOKUP(B515,'02. MM-KLH'!$B$6:$T$823,16,0),"")</f>
        <v>TF150NL-PR2</v>
      </c>
      <c r="R515" s="101" t="str">
        <f>IFERROR(VLOOKUP(B515,'02. MM-KLH'!$B$6:$T$823,17,0),"")</f>
        <v>15HP</v>
      </c>
      <c r="S515" s="110">
        <f>IFERROR(VLOOKUP(B515,'02. MM-KLH'!$B$6:$T$823,18,0),"")</f>
        <v>203086</v>
      </c>
      <c r="T515" s="111" t="str">
        <f>IFERROR(VLOOKUP(B515,'02. MM-KLH'!$B$6:$T$823,19,0),"")</f>
        <v>C0853C</v>
      </c>
      <c r="U515" s="863" t="s">
        <v>3343</v>
      </c>
    </row>
    <row r="516" ht="13.5" customHeight="1" spans="1:21">
      <c r="A516" s="101">
        <f t="shared" si="23"/>
        <v>12</v>
      </c>
      <c r="B516" s="104" t="s">
        <v>1419</v>
      </c>
      <c r="C516" s="102">
        <f>IFERROR(VLOOKUP(B516,'02. MM-KLH'!$B$6:$T$823,2,0),"")</f>
        <v>0</v>
      </c>
      <c r="D516" s="103" t="str">
        <f>IFERROR(VLOOKUP(B516,'02. MM-KLH'!$B$6:$T$823,3,0),"")</f>
        <v>A23-CLT-011</v>
      </c>
      <c r="E516" s="102">
        <f>IFERROR(VLOOKUP(B516,'02. MM-KLH'!$B$6:$T$823,4,0),"")</f>
        <v>0</v>
      </c>
      <c r="F516" s="104" t="s">
        <v>3474</v>
      </c>
      <c r="G516" s="102" t="str">
        <f>IFERROR(VLOOKUP(B516,'02. MM-KLH'!$B$6:$T$823,6,0),"")</f>
        <v>Xe clethon</v>
      </c>
      <c r="H516" s="101" t="s">
        <v>3463</v>
      </c>
      <c r="I516" s="101" t="str">
        <f>IFERROR(VLOOKUP(B516,'02. MM-KLH'!$B$6:$T$823,8,0),"")</f>
        <v>XN Chuối DP3</v>
      </c>
      <c r="J516" s="105" t="str">
        <f>IFERROR(VLOOKUP(B516,'02. MM-KLH'!$B$6:$T$823,9,0),"")</f>
        <v>24/07/2025</v>
      </c>
      <c r="K516" s="101" t="str">
        <f>IFERROR(VLOOKUP(B516,'02. MM-KLH'!$B$6:$T$823,10,0),"")</f>
        <v>Bình thường</v>
      </c>
      <c r="L516" s="107">
        <f>IFERROR(VLOOKUP(B516,'02. MM-KLH'!$B$6:$T$823,11,0),"")</f>
        <v>0</v>
      </c>
      <c r="M516" s="864" t="str">
        <f>IFERROR(VLOOKUP(B516,'02. MM-KLH'!$B$6:$T$823,12,0),"")</f>
        <v>Đầu tư mới</v>
      </c>
      <c r="N516" s="110" t="str">
        <f>IFERROR(VLOOKUP(B516,'02. MM-KLH'!$B$6:$T$823,13,0),"")</f>
        <v>YANMAR</v>
      </c>
      <c r="O516" s="110" t="str">
        <f>IFERROR(VLOOKUP(B516,'02. MM-KLH'!$B$6:$T$823,14,0),"")</f>
        <v>INDONESIA</v>
      </c>
      <c r="P516" s="101">
        <f>IFERROR(VLOOKUP(B516,'02. MM-KLH'!$B$6:$T$823,15,0),"")</f>
        <v>2022</v>
      </c>
      <c r="Q516" s="101" t="str">
        <f>IFERROR(VLOOKUP(B516,'02. MM-KLH'!$B$6:$T$823,16,0),"")</f>
        <v>TF150NL-PR2</v>
      </c>
      <c r="R516" s="101" t="str">
        <f>IFERROR(VLOOKUP(B516,'02. MM-KLH'!$B$6:$T$823,17,0),"")</f>
        <v>15HP</v>
      </c>
      <c r="S516" s="110">
        <f>IFERROR(VLOOKUP(B516,'02. MM-KLH'!$B$6:$T$823,18,0),"")</f>
        <v>203055</v>
      </c>
      <c r="T516" s="111" t="str">
        <f>IFERROR(VLOOKUP(B516,'02. MM-KLH'!$B$6:$T$823,19,0),"")</f>
        <v>B1541L</v>
      </c>
      <c r="U516" s="863" t="s">
        <v>3343</v>
      </c>
    </row>
    <row r="517" ht="13.5" customHeight="1" spans="1:21">
      <c r="A517" s="101">
        <f t="shared" si="23"/>
        <v>13</v>
      </c>
      <c r="B517" s="104" t="s">
        <v>1422</v>
      </c>
      <c r="C517" s="102">
        <f>IFERROR(VLOOKUP(B517,'02. MM-KLH'!$B$6:$T$823,2,0),"")</f>
        <v>0</v>
      </c>
      <c r="D517" s="103" t="str">
        <f>IFERROR(VLOOKUP(B517,'02. MM-KLH'!$B$6:$T$823,3,0),"")</f>
        <v>A23-CLT-012</v>
      </c>
      <c r="E517" s="102">
        <f>IFERROR(VLOOKUP(B517,'02. MM-KLH'!$B$6:$T$823,4,0),"")</f>
        <v>0</v>
      </c>
      <c r="F517" s="104" t="s">
        <v>3474</v>
      </c>
      <c r="G517" s="102" t="str">
        <f>IFERROR(VLOOKUP(B517,'02. MM-KLH'!$B$6:$T$823,6,0),"")</f>
        <v>Xe clethon</v>
      </c>
      <c r="H517" s="101" t="s">
        <v>3463</v>
      </c>
      <c r="I517" s="101" t="str">
        <f>IFERROR(VLOOKUP(B517,'02. MM-KLH'!$B$6:$T$823,8,0),"")</f>
        <v>XN Chuối DP3</v>
      </c>
      <c r="J517" s="105" t="str">
        <f>IFERROR(VLOOKUP(B517,'02. MM-KLH'!$B$6:$T$823,9,0),"")</f>
        <v>24/07/2025</v>
      </c>
      <c r="K517" s="101" t="str">
        <f>IFERROR(VLOOKUP(B517,'02. MM-KLH'!$B$6:$T$823,10,0),"")</f>
        <v>Bình thường</v>
      </c>
      <c r="L517" s="107">
        <f>IFERROR(VLOOKUP(B517,'02. MM-KLH'!$B$6:$T$823,11,0),"")</f>
        <v>0</v>
      </c>
      <c r="M517" s="864" t="str">
        <f>IFERROR(VLOOKUP(B517,'02. MM-KLH'!$B$6:$T$823,12,0),"")</f>
        <v>Đầu tư mới</v>
      </c>
      <c r="N517" s="110" t="str">
        <f>IFERROR(VLOOKUP(B517,'02. MM-KLH'!$B$6:$T$823,13,0),"")</f>
        <v>YANMAR</v>
      </c>
      <c r="O517" s="110" t="str">
        <f>IFERROR(VLOOKUP(B517,'02. MM-KLH'!$B$6:$T$823,14,0),"")</f>
        <v>INDONESIA</v>
      </c>
      <c r="P517" s="101">
        <f>IFERROR(VLOOKUP(B517,'02. MM-KLH'!$B$6:$T$823,15,0),"")</f>
        <v>2022</v>
      </c>
      <c r="Q517" s="101" t="str">
        <f>IFERROR(VLOOKUP(B517,'02. MM-KLH'!$B$6:$T$823,16,0),"")</f>
        <v>TF150NL-PR2</v>
      </c>
      <c r="R517" s="101" t="str">
        <f>IFERROR(VLOOKUP(B517,'02. MM-KLH'!$B$6:$T$823,17,0),"")</f>
        <v>15HP</v>
      </c>
      <c r="S517" s="110">
        <f>IFERROR(VLOOKUP(B517,'02. MM-KLH'!$B$6:$T$823,18,0),"")</f>
        <v>203059</v>
      </c>
      <c r="T517" s="111" t="str">
        <f>IFERROR(VLOOKUP(B517,'02. MM-KLH'!$B$6:$T$823,19,0),"")</f>
        <v>B2128L</v>
      </c>
      <c r="U517" s="863" t="s">
        <v>3343</v>
      </c>
    </row>
    <row r="518" ht="13.5" customHeight="1" spans="1:21">
      <c r="A518" s="101">
        <f t="shared" si="23"/>
        <v>14</v>
      </c>
      <c r="B518" s="104" t="s">
        <v>1425</v>
      </c>
      <c r="C518" s="102">
        <f>IFERROR(VLOOKUP(B518,'02. MM-KLH'!$B$6:$T$823,2,0),"")</f>
        <v>0</v>
      </c>
      <c r="D518" s="103" t="str">
        <f>IFERROR(VLOOKUP(B518,'02. MM-KLH'!$B$6:$T$823,3,0),"")</f>
        <v>A23-CLT-013</v>
      </c>
      <c r="E518" s="102">
        <f>IFERROR(VLOOKUP(B518,'02. MM-KLH'!$B$6:$T$823,4,0),"")</f>
        <v>0</v>
      </c>
      <c r="F518" s="104" t="s">
        <v>3475</v>
      </c>
      <c r="G518" s="102" t="str">
        <f>IFERROR(VLOOKUP(B518,'02. MM-KLH'!$B$6:$T$823,6,0),"")</f>
        <v>Xe clethon</v>
      </c>
      <c r="H518" s="101" t="s">
        <v>3463</v>
      </c>
      <c r="I518" s="101" t="str">
        <f>IFERROR(VLOOKUP(B518,'02. MM-KLH'!$B$6:$T$823,8,0),"")</f>
        <v>XN Chuối DP3</v>
      </c>
      <c r="J518" s="105" t="str">
        <f>IFERROR(VLOOKUP(B518,'02. MM-KLH'!$B$6:$T$823,9,0),"")</f>
        <v>24/07/2025</v>
      </c>
      <c r="K518" s="101" t="str">
        <f>IFERROR(VLOOKUP(B518,'02. MM-KLH'!$B$6:$T$823,10,0),"")</f>
        <v>Bình thường</v>
      </c>
      <c r="L518" s="107">
        <f>IFERROR(VLOOKUP(B518,'02. MM-KLH'!$B$6:$T$823,11,0),"")</f>
        <v>0</v>
      </c>
      <c r="M518" s="864" t="str">
        <f>IFERROR(VLOOKUP(B518,'02. MM-KLH'!$B$6:$T$823,12,0),"")</f>
        <v>Đầu tư mới</v>
      </c>
      <c r="N518" s="110" t="str">
        <f>IFERROR(VLOOKUP(B518,'02. MM-KLH'!$B$6:$T$823,13,0),"")</f>
        <v>YANMAR</v>
      </c>
      <c r="O518" s="110" t="str">
        <f>IFERROR(VLOOKUP(B518,'02. MM-KLH'!$B$6:$T$823,14,0),"")</f>
        <v>INDONESIA</v>
      </c>
      <c r="P518" s="101">
        <f>IFERROR(VLOOKUP(B518,'02. MM-KLH'!$B$6:$T$823,15,0),"")</f>
        <v>2022</v>
      </c>
      <c r="Q518" s="101" t="str">
        <f>IFERROR(VLOOKUP(B518,'02. MM-KLH'!$B$6:$T$823,16,0),"")</f>
        <v>TF150NL-PR2</v>
      </c>
      <c r="R518" s="101" t="str">
        <f>IFERROR(VLOOKUP(B518,'02. MM-KLH'!$B$6:$T$823,17,0),"")</f>
        <v>15HP</v>
      </c>
      <c r="S518" s="110">
        <f>IFERROR(VLOOKUP(B518,'02. MM-KLH'!$B$6:$T$823,18,0),"")</f>
        <v>203061</v>
      </c>
      <c r="T518" s="111" t="str">
        <f>IFERROR(VLOOKUP(B518,'02. MM-KLH'!$B$6:$T$823,19,0),"")</f>
        <v>B1316M</v>
      </c>
      <c r="U518" s="863" t="s">
        <v>3343</v>
      </c>
    </row>
    <row r="519" ht="13.5" customHeight="1" spans="1:21">
      <c r="A519" s="101">
        <f t="shared" si="23"/>
        <v>15</v>
      </c>
      <c r="B519" s="104" t="s">
        <v>1428</v>
      </c>
      <c r="C519" s="102">
        <f>IFERROR(VLOOKUP(B519,'02. MM-KLH'!$B$6:$T$823,2,0),"")</f>
        <v>0</v>
      </c>
      <c r="D519" s="103" t="str">
        <f>IFERROR(VLOOKUP(B519,'02. MM-KLH'!$B$6:$T$823,3,0),"")</f>
        <v>A23-CLT-014</v>
      </c>
      <c r="E519" s="102">
        <f>IFERROR(VLOOKUP(B519,'02. MM-KLH'!$B$6:$T$823,4,0),"")</f>
        <v>0</v>
      </c>
      <c r="F519" s="104" t="s">
        <v>3476</v>
      </c>
      <c r="G519" s="102" t="str">
        <f>IFERROR(VLOOKUP(B519,'02. MM-KLH'!$B$6:$T$823,6,0),"")</f>
        <v>Xe clethon</v>
      </c>
      <c r="H519" s="101" t="s">
        <v>3463</v>
      </c>
      <c r="I519" s="101" t="str">
        <f>IFERROR(VLOOKUP(B519,'02. MM-KLH'!$B$6:$T$823,8,0),"")</f>
        <v>XN Chuối DP3</v>
      </c>
      <c r="J519" s="105" t="str">
        <f>IFERROR(VLOOKUP(B519,'02. MM-KLH'!$B$6:$T$823,9,0),"")</f>
        <v>24/07/2025</v>
      </c>
      <c r="K519" s="101" t="str">
        <f>IFERROR(VLOOKUP(B519,'02. MM-KLH'!$B$6:$T$823,10,0),"")</f>
        <v>Bình thường</v>
      </c>
      <c r="L519" s="107">
        <f>IFERROR(VLOOKUP(B519,'02. MM-KLH'!$B$6:$T$823,11,0),"")</f>
        <v>0</v>
      </c>
      <c r="M519" s="864" t="str">
        <f>IFERROR(VLOOKUP(B519,'02. MM-KLH'!$B$6:$T$823,12,0),"")</f>
        <v>Đầu tư mới</v>
      </c>
      <c r="N519" s="110" t="str">
        <f>IFERROR(VLOOKUP(B519,'02. MM-KLH'!$B$6:$T$823,13,0),"")</f>
        <v>YANMAR</v>
      </c>
      <c r="O519" s="110" t="str">
        <f>IFERROR(VLOOKUP(B519,'02. MM-KLH'!$B$6:$T$823,14,0),"")</f>
        <v>INDONESIA</v>
      </c>
      <c r="P519" s="101">
        <f>IFERROR(VLOOKUP(B519,'02. MM-KLH'!$B$6:$T$823,15,0),"")</f>
        <v>2022</v>
      </c>
      <c r="Q519" s="101" t="str">
        <f>IFERROR(VLOOKUP(B519,'02. MM-KLH'!$B$6:$T$823,16,0),"")</f>
        <v>TF150NL-PR2</v>
      </c>
      <c r="R519" s="101" t="str">
        <f>IFERROR(VLOOKUP(B519,'02. MM-KLH'!$B$6:$T$823,17,0),"")</f>
        <v>15HP</v>
      </c>
      <c r="S519" s="110">
        <f>IFERROR(VLOOKUP(B519,'02. MM-KLH'!$B$6:$T$823,18,0),"")</f>
        <v>203176</v>
      </c>
      <c r="T519" s="111" t="str">
        <f>IFERROR(VLOOKUP(B519,'02. MM-KLH'!$B$6:$T$823,19,0),"")</f>
        <v>C0870C</v>
      </c>
      <c r="U519" s="863" t="s">
        <v>3343</v>
      </c>
    </row>
    <row r="520" ht="13.5" customHeight="1" spans="1:21">
      <c r="A520" s="101">
        <f t="shared" si="23"/>
        <v>16</v>
      </c>
      <c r="B520" s="104" t="s">
        <v>1693</v>
      </c>
      <c r="C520" s="102">
        <f>IFERROR(VLOOKUP(B520,'02. MM-KLH'!$B$6:$T$823,2,0),"")</f>
        <v>0</v>
      </c>
      <c r="D520" s="103" t="str">
        <f>IFERROR(VLOOKUP(B520,'02. MM-KLH'!$B$6:$T$823,3,0),"")</f>
        <v>A24-CLT-001</v>
      </c>
      <c r="E520" s="102">
        <f>IFERROR(VLOOKUP(B520,'02. MM-KLH'!$B$6:$T$823,4,0),"")</f>
        <v>0</v>
      </c>
      <c r="F520" s="104" t="s">
        <v>3477</v>
      </c>
      <c r="G520" s="102" t="str">
        <f>IFERROR(VLOOKUP(B520,'02. MM-KLH'!$B$6:$T$823,6,0),"")</f>
        <v>Xe clethon</v>
      </c>
      <c r="H520" s="101" t="s">
        <v>3463</v>
      </c>
      <c r="I520" s="101" t="str">
        <f>IFERROR(VLOOKUP(B520,'02. MM-KLH'!$B$6:$T$823,8,0),"")</f>
        <v>XN Chuối LP3</v>
      </c>
      <c r="J520" s="105" t="str">
        <f>IFERROR(VLOOKUP(B520,'02. MM-KLH'!$B$6:$T$823,9,0),"")</f>
        <v>24/07/2025</v>
      </c>
      <c r="K520" s="101" t="str">
        <f>IFERROR(VLOOKUP(B520,'02. MM-KLH'!$B$6:$T$823,10,0),"")</f>
        <v>Bình thường</v>
      </c>
      <c r="L520" s="107">
        <f>IFERROR(VLOOKUP(B520,'02. MM-KLH'!$B$6:$T$823,11,0),"")</f>
        <v>0</v>
      </c>
      <c r="M520" s="864" t="str">
        <f>IFERROR(VLOOKUP(B520,'02. MM-KLH'!$B$6:$T$823,12,0),"")</f>
        <v>Đầu tư mới</v>
      </c>
      <c r="N520" s="110" t="str">
        <f>IFERROR(VLOOKUP(B520,'02. MM-KLH'!$B$6:$T$823,13,0),"")</f>
        <v>YANMAR</v>
      </c>
      <c r="O520" s="110" t="str">
        <f>IFERROR(VLOOKUP(B520,'02. MM-KLH'!$B$6:$T$823,14,0),"")</f>
        <v>INDONESIA</v>
      </c>
      <c r="P520" s="101">
        <f>IFERROR(VLOOKUP(B520,'02. MM-KLH'!$B$6:$T$823,15,0),"")</f>
        <v>2022</v>
      </c>
      <c r="Q520" s="101" t="str">
        <f>IFERROR(VLOOKUP(B520,'02. MM-KLH'!$B$6:$T$823,16,0),"")</f>
        <v>TF150NL-PR2</v>
      </c>
      <c r="R520" s="101" t="str">
        <f>IFERROR(VLOOKUP(B520,'02. MM-KLH'!$B$6:$T$823,17,0),"")</f>
        <v>15HP</v>
      </c>
      <c r="S520" s="110">
        <f>IFERROR(VLOOKUP(B520,'02. MM-KLH'!$B$6:$T$823,18,0),"")</f>
        <v>203063</v>
      </c>
      <c r="T520" s="111" t="str">
        <f>IFERROR(VLOOKUP(B520,'02. MM-KLH'!$B$6:$T$823,19,0),"")</f>
        <v>B2165L</v>
      </c>
      <c r="U520" s="863" t="s">
        <v>3343</v>
      </c>
    </row>
    <row r="521" ht="13.5" customHeight="1" spans="1:21">
      <c r="A521" s="101">
        <f t="shared" si="23"/>
        <v>17</v>
      </c>
      <c r="B521" s="104" t="s">
        <v>1696</v>
      </c>
      <c r="C521" s="102">
        <f>IFERROR(VLOOKUP(B521,'02. MM-KLH'!$B$6:$T$823,2,0),"")</f>
        <v>0</v>
      </c>
      <c r="D521" s="103" t="str">
        <f>IFERROR(VLOOKUP(B521,'02. MM-KLH'!$B$6:$T$823,3,0),"")</f>
        <v>A24-CLT-002</v>
      </c>
      <c r="E521" s="102">
        <f>IFERROR(VLOOKUP(B521,'02. MM-KLH'!$B$6:$T$823,4,0),"")</f>
        <v>0</v>
      </c>
      <c r="F521" s="104" t="s">
        <v>3478</v>
      </c>
      <c r="G521" s="102" t="str">
        <f>IFERROR(VLOOKUP(B521,'02. MM-KLH'!$B$6:$T$823,6,0),"")</f>
        <v>Xe clethon</v>
      </c>
      <c r="H521" s="101" t="s">
        <v>3463</v>
      </c>
      <c r="I521" s="101" t="str">
        <f>IFERROR(VLOOKUP(B521,'02. MM-KLH'!$B$6:$T$823,8,0),"")</f>
        <v>XN Chuối LP3</v>
      </c>
      <c r="J521" s="105" t="str">
        <f>IFERROR(VLOOKUP(B521,'02. MM-KLH'!$B$6:$T$823,9,0),"")</f>
        <v>24/07/2025</v>
      </c>
      <c r="K521" s="101" t="str">
        <f>IFERROR(VLOOKUP(B521,'02. MM-KLH'!$B$6:$T$823,10,0),"")</f>
        <v>Bình thường</v>
      </c>
      <c r="L521" s="107">
        <f>IFERROR(VLOOKUP(B521,'02. MM-KLH'!$B$6:$T$823,11,0),"")</f>
        <v>0</v>
      </c>
      <c r="M521" s="864" t="str">
        <f>IFERROR(VLOOKUP(B521,'02. MM-KLH'!$B$6:$T$823,12,0),"")</f>
        <v>Đầu tư mới</v>
      </c>
      <c r="N521" s="110" t="str">
        <f>IFERROR(VLOOKUP(B521,'02. MM-KLH'!$B$6:$T$823,13,0),"")</f>
        <v>YANMAR</v>
      </c>
      <c r="O521" s="110" t="str">
        <f>IFERROR(VLOOKUP(B521,'02. MM-KLH'!$B$6:$T$823,14,0),"")</f>
        <v>INDONESIA</v>
      </c>
      <c r="P521" s="101">
        <f>IFERROR(VLOOKUP(B521,'02. MM-KLH'!$B$6:$T$823,15,0),"")</f>
        <v>2022</v>
      </c>
      <c r="Q521" s="101" t="str">
        <f>IFERROR(VLOOKUP(B521,'02. MM-KLH'!$B$6:$T$823,16,0),"")</f>
        <v>TF150NL-PR2</v>
      </c>
      <c r="R521" s="101" t="str">
        <f>IFERROR(VLOOKUP(B521,'02. MM-KLH'!$B$6:$T$823,17,0),"")</f>
        <v>15HP</v>
      </c>
      <c r="S521" s="110">
        <f>IFERROR(VLOOKUP(B521,'02. MM-KLH'!$B$6:$T$823,18,0),"")</f>
        <v>203064</v>
      </c>
      <c r="T521" s="111" t="str">
        <f>IFERROR(VLOOKUP(B521,'02. MM-KLH'!$B$6:$T$823,19,0),"")</f>
        <v>B0516M</v>
      </c>
      <c r="U521" s="863" t="s">
        <v>3343</v>
      </c>
    </row>
    <row r="522" ht="13.5" customHeight="1" spans="1:21">
      <c r="A522" s="101">
        <f t="shared" si="23"/>
        <v>18</v>
      </c>
      <c r="B522" s="104" t="s">
        <v>1699</v>
      </c>
      <c r="C522" s="102">
        <f>IFERROR(VLOOKUP(B522,'02. MM-KLH'!$B$6:$T$823,2,0),"")</f>
        <v>0</v>
      </c>
      <c r="D522" s="103" t="str">
        <f>IFERROR(VLOOKUP(B522,'02. MM-KLH'!$B$6:$T$823,3,0),"")</f>
        <v>A24-CLT-003</v>
      </c>
      <c r="E522" s="102">
        <f>IFERROR(VLOOKUP(B522,'02. MM-KLH'!$B$6:$T$823,4,0),"")</f>
        <v>0</v>
      </c>
      <c r="F522" s="104" t="s">
        <v>3479</v>
      </c>
      <c r="G522" s="102" t="str">
        <f>IFERROR(VLOOKUP(B522,'02. MM-KLH'!$B$6:$T$823,6,0),"")</f>
        <v>Xe clethon</v>
      </c>
      <c r="H522" s="101" t="s">
        <v>3463</v>
      </c>
      <c r="I522" s="101" t="str">
        <f>IFERROR(VLOOKUP(B522,'02. MM-KLH'!$B$6:$T$823,8,0),"")</f>
        <v>XN Chuối LP3</v>
      </c>
      <c r="J522" s="105" t="str">
        <f>IFERROR(VLOOKUP(B522,'02. MM-KLH'!$B$6:$T$823,9,0),"")</f>
        <v>24/07/2025</v>
      </c>
      <c r="K522" s="101" t="str">
        <f>IFERROR(VLOOKUP(B522,'02. MM-KLH'!$B$6:$T$823,10,0),"")</f>
        <v>Bình thường</v>
      </c>
      <c r="L522" s="107">
        <f>IFERROR(VLOOKUP(B522,'02. MM-KLH'!$B$6:$T$823,11,0),"")</f>
        <v>0</v>
      </c>
      <c r="M522" s="864" t="str">
        <f>IFERROR(VLOOKUP(B522,'02. MM-KLH'!$B$6:$T$823,12,0),"")</f>
        <v>Đầu tư mới</v>
      </c>
      <c r="N522" s="110" t="str">
        <f>IFERROR(VLOOKUP(B522,'02. MM-KLH'!$B$6:$T$823,13,0),"")</f>
        <v>YANMAR</v>
      </c>
      <c r="O522" s="110" t="str">
        <f>IFERROR(VLOOKUP(B522,'02. MM-KLH'!$B$6:$T$823,14,0),"")</f>
        <v>INDONESIA</v>
      </c>
      <c r="P522" s="101">
        <f>IFERROR(VLOOKUP(B522,'02. MM-KLH'!$B$6:$T$823,15,0),"")</f>
        <v>2022</v>
      </c>
      <c r="Q522" s="101" t="str">
        <f>IFERROR(VLOOKUP(B522,'02. MM-KLH'!$B$6:$T$823,16,0),"")</f>
        <v>TF150NL-PR2</v>
      </c>
      <c r="R522" s="101" t="str">
        <f>IFERROR(VLOOKUP(B522,'02. MM-KLH'!$B$6:$T$823,17,0),"")</f>
        <v>15HP</v>
      </c>
      <c r="S522" s="110">
        <f>IFERROR(VLOOKUP(B522,'02. MM-KLH'!$B$6:$T$823,18,0),"")</f>
        <v>203067</v>
      </c>
      <c r="T522" s="111" t="str">
        <f>IFERROR(VLOOKUP(B522,'02. MM-KLH'!$B$6:$T$823,19,0),"")</f>
        <v>B0502M</v>
      </c>
      <c r="U522" s="863" t="s">
        <v>3343</v>
      </c>
    </row>
    <row r="523" ht="13.5" customHeight="1" spans="1:21">
      <c r="A523" s="101">
        <f t="shared" si="23"/>
        <v>19</v>
      </c>
      <c r="B523" s="104" t="s">
        <v>1702</v>
      </c>
      <c r="C523" s="102">
        <f>IFERROR(VLOOKUP(B523,'02. MM-KLH'!$B$6:$T$823,2,0),"")</f>
        <v>0</v>
      </c>
      <c r="D523" s="103" t="str">
        <f>IFERROR(VLOOKUP(B523,'02. MM-KLH'!$B$6:$T$823,3,0),"")</f>
        <v>A24-CLT-004</v>
      </c>
      <c r="E523" s="102">
        <f>IFERROR(VLOOKUP(B523,'02. MM-KLH'!$B$6:$T$823,4,0),"")</f>
        <v>0</v>
      </c>
      <c r="F523" s="104" t="s">
        <v>3480</v>
      </c>
      <c r="G523" s="102" t="str">
        <f>IFERROR(VLOOKUP(B523,'02. MM-KLH'!$B$6:$T$823,6,0),"")</f>
        <v>Xe clethon</v>
      </c>
      <c r="H523" s="101" t="s">
        <v>3463</v>
      </c>
      <c r="I523" s="101" t="str">
        <f>IFERROR(VLOOKUP(B523,'02. MM-KLH'!$B$6:$T$823,8,0),"")</f>
        <v>XN Chuối LP3</v>
      </c>
      <c r="J523" s="105" t="str">
        <f>IFERROR(VLOOKUP(B523,'02. MM-KLH'!$B$6:$T$823,9,0),"")</f>
        <v>24/07/2025</v>
      </c>
      <c r="K523" s="101" t="str">
        <f>IFERROR(VLOOKUP(B523,'02. MM-KLH'!$B$6:$T$823,10,0),"")</f>
        <v>Bình thường</v>
      </c>
      <c r="L523" s="107">
        <f>IFERROR(VLOOKUP(B523,'02. MM-KLH'!$B$6:$T$823,11,0),"")</f>
        <v>0</v>
      </c>
      <c r="M523" s="864" t="str">
        <f>IFERROR(VLOOKUP(B523,'02. MM-KLH'!$B$6:$T$823,12,0),"")</f>
        <v>Đầu tư mới</v>
      </c>
      <c r="N523" s="110" t="str">
        <f>IFERROR(VLOOKUP(B523,'02. MM-KLH'!$B$6:$T$823,13,0),"")</f>
        <v>YANMAR</v>
      </c>
      <c r="O523" s="110" t="str">
        <f>IFERROR(VLOOKUP(B523,'02. MM-KLH'!$B$6:$T$823,14,0),"")</f>
        <v>INDONESIA</v>
      </c>
      <c r="P523" s="101">
        <f>IFERROR(VLOOKUP(B523,'02. MM-KLH'!$B$6:$T$823,15,0),"")</f>
        <v>2022</v>
      </c>
      <c r="Q523" s="101" t="str">
        <f>IFERROR(VLOOKUP(B523,'02. MM-KLH'!$B$6:$T$823,16,0),"")</f>
        <v>TF150NL-PR2</v>
      </c>
      <c r="R523" s="101" t="str">
        <f>IFERROR(VLOOKUP(B523,'02. MM-KLH'!$B$6:$T$823,17,0),"")</f>
        <v>15HP</v>
      </c>
      <c r="S523" s="110">
        <f>IFERROR(VLOOKUP(B523,'02. MM-KLH'!$B$6:$T$823,18,0),"")</f>
        <v>203073</v>
      </c>
      <c r="T523" s="111" t="str">
        <f>IFERROR(VLOOKUP(B523,'02. MM-KLH'!$B$6:$T$823,19,0),"")</f>
        <v>B2165L</v>
      </c>
      <c r="U523" s="863" t="s">
        <v>3343</v>
      </c>
    </row>
    <row r="524" ht="13.5" customHeight="1" spans="1:21">
      <c r="A524" s="101">
        <f t="shared" si="23"/>
        <v>20</v>
      </c>
      <c r="B524" s="104" t="s">
        <v>1704</v>
      </c>
      <c r="C524" s="102">
        <f>IFERROR(VLOOKUP(B524,'02. MM-KLH'!$B$6:$T$823,2,0),"")</f>
        <v>0</v>
      </c>
      <c r="D524" s="103" t="str">
        <f>IFERROR(VLOOKUP(B524,'02. MM-KLH'!$B$6:$T$823,3,0),"")</f>
        <v>A24-CLT-005</v>
      </c>
      <c r="E524" s="102">
        <f>IFERROR(VLOOKUP(B524,'02. MM-KLH'!$B$6:$T$823,4,0),"")</f>
        <v>0</v>
      </c>
      <c r="F524" s="104" t="s">
        <v>3481</v>
      </c>
      <c r="G524" s="102" t="str">
        <f>IFERROR(VLOOKUP(B524,'02. MM-KLH'!$B$6:$T$823,6,0),"")</f>
        <v>Xe clethon</v>
      </c>
      <c r="H524" s="101" t="s">
        <v>3463</v>
      </c>
      <c r="I524" s="101" t="str">
        <f>IFERROR(VLOOKUP(B524,'02. MM-KLH'!$B$6:$T$823,8,0),"")</f>
        <v>XN Chuối LP3</v>
      </c>
      <c r="J524" s="105" t="str">
        <f>IFERROR(VLOOKUP(B524,'02. MM-KLH'!$B$6:$T$823,9,0),"")</f>
        <v>24/07/2025</v>
      </c>
      <c r="K524" s="101" t="str">
        <f>IFERROR(VLOOKUP(B524,'02. MM-KLH'!$B$6:$T$823,10,0),"")</f>
        <v>Bình thường</v>
      </c>
      <c r="L524" s="107">
        <f>IFERROR(VLOOKUP(B524,'02. MM-KLH'!$B$6:$T$823,11,0),"")</f>
        <v>0</v>
      </c>
      <c r="M524" s="864" t="str">
        <f>IFERROR(VLOOKUP(B524,'02. MM-KLH'!$B$6:$T$823,12,0),"")</f>
        <v>Đầu tư mới</v>
      </c>
      <c r="N524" s="110" t="str">
        <f>IFERROR(VLOOKUP(B524,'02. MM-KLH'!$B$6:$T$823,13,0),"")</f>
        <v>YANMAR</v>
      </c>
      <c r="O524" s="110" t="str">
        <f>IFERROR(VLOOKUP(B524,'02. MM-KLH'!$B$6:$T$823,14,0),"")</f>
        <v>INDONESIA</v>
      </c>
      <c r="P524" s="101">
        <f>IFERROR(VLOOKUP(B524,'02. MM-KLH'!$B$6:$T$823,15,0),"")</f>
        <v>2022</v>
      </c>
      <c r="Q524" s="101" t="str">
        <f>IFERROR(VLOOKUP(B524,'02. MM-KLH'!$B$6:$T$823,16,0),"")</f>
        <v>TF150NL-PR2</v>
      </c>
      <c r="R524" s="101" t="str">
        <f>IFERROR(VLOOKUP(B524,'02. MM-KLH'!$B$6:$T$823,17,0),"")</f>
        <v>15HP</v>
      </c>
      <c r="S524" s="110">
        <f>IFERROR(VLOOKUP(B524,'02. MM-KLH'!$B$6:$T$823,18,0),"")</f>
        <v>203077</v>
      </c>
      <c r="T524" s="111" t="str">
        <f>IFERROR(VLOOKUP(B524,'02. MM-KLH'!$B$6:$T$823,19,0),"")</f>
        <v>B2103L</v>
      </c>
      <c r="U524" s="863" t="s">
        <v>3343</v>
      </c>
    </row>
    <row r="525" ht="13.5" customHeight="1" spans="1:21">
      <c r="A525" s="101">
        <f t="shared" si="23"/>
        <v>21</v>
      </c>
      <c r="B525" s="104" t="s">
        <v>1747</v>
      </c>
      <c r="C525" s="102" t="str">
        <f>IFERROR(VLOOKUP(B525,'02. MM-KLH'!$B$6:$T$823,2,0),"")</f>
        <v>CAT-CLT-001</v>
      </c>
      <c r="D525" s="103" t="str">
        <f>IFERROR(VLOOKUP(B525,'02. MM-KLH'!$B$6:$T$823,3,0),"")</f>
        <v/>
      </c>
      <c r="E525" s="102">
        <f>IFERROR(VLOOKUP(B525,'02. MM-KLH'!$B$6:$T$823,4,0),"")</f>
        <v>0</v>
      </c>
      <c r="F525" s="104"/>
      <c r="G525" s="102" t="str">
        <f>IFERROR(VLOOKUP(B525,'02. MM-KLH'!$B$6:$T$823,6,0),"")</f>
        <v>Xe clethon</v>
      </c>
      <c r="H525" s="101" t="s">
        <v>3463</v>
      </c>
      <c r="I525" s="101" t="str">
        <f>IFERROR(VLOOKUP(B525,'02. MM-KLH'!$B$6:$T$823,8,0),"")</f>
        <v>Xoài DP</v>
      </c>
      <c r="J525" s="105">
        <f>IFERROR(VLOOKUP(B525,'02. MM-KLH'!$B$6:$T$823,9,0),"")</f>
        <v>0</v>
      </c>
      <c r="K525" s="101" t="str">
        <f>IFERROR(VLOOKUP(B525,'02. MM-KLH'!$B$6:$T$823,10,0),"")</f>
        <v>Bình thường</v>
      </c>
      <c r="L525" s="107">
        <f>IFERROR(VLOOKUP(B525,'02. MM-KLH'!$B$6:$T$823,11,0),"")</f>
        <v>0</v>
      </c>
      <c r="M525" s="864" t="str">
        <f>IFERROR(VLOOKUP(B525,'02. MM-KLH'!$B$6:$T$823,12,0),"")</f>
        <v>Từ Nhãn DP Đ.chuyển sang Xoài DP ngày 06.08.2024</v>
      </c>
      <c r="N525" s="110" t="str">
        <f>IFERROR(VLOOKUP(B525,'02. MM-KLH'!$B$6:$T$823,13,0),"")</f>
        <v>CLETHON</v>
      </c>
      <c r="O525" s="110" t="str">
        <f>IFERROR(VLOOKUP(B525,'02. MM-KLH'!$B$6:$T$823,14,0),"")</f>
        <v>CAMPUCHIA</v>
      </c>
      <c r="P525" s="101">
        <f>IFERROR(VLOOKUP(B525,'02. MM-KLH'!$B$6:$T$823,15,0),"")</f>
        <v>0</v>
      </c>
      <c r="Q525" s="101">
        <f>IFERROR(VLOOKUP(B525,'02. MM-KLH'!$B$6:$T$823,16,0),"")</f>
        <v>0</v>
      </c>
      <c r="R525" s="101" t="str">
        <f>IFERROR(VLOOKUP(B525,'02. MM-KLH'!$B$6:$T$823,17,0),"")</f>
        <v>15HP</v>
      </c>
      <c r="S525" s="110" t="str">
        <f>IFERROR(VLOOKUP(B525,'02. MM-KLH'!$B$6:$T$823,18,0),"")</f>
        <v>RT140DI-19080197</v>
      </c>
      <c r="T525" s="111" t="str">
        <f>IFERROR(VLOOKUP(B525,'02. MM-KLH'!$B$6:$T$823,19,0),"")</f>
        <v>CCN</v>
      </c>
      <c r="U525" s="863" t="s">
        <v>451</v>
      </c>
    </row>
    <row r="526" ht="13.5" customHeight="1" spans="1:21">
      <c r="A526" s="101">
        <f t="shared" si="23"/>
        <v>22</v>
      </c>
      <c r="B526" s="104" t="s">
        <v>1753</v>
      </c>
      <c r="C526" s="102" t="str">
        <f>IFERROR(VLOOKUP(B526,'02. MM-KLH'!$B$6:$T$823,2,0),"")</f>
        <v>AD2-CLT-004</v>
      </c>
      <c r="D526" s="103" t="str">
        <f>IFERROR(VLOOKUP(B526,'02. MM-KLH'!$B$6:$T$823,3,0),"")</f>
        <v/>
      </c>
      <c r="E526" s="102">
        <f>IFERROR(VLOOKUP(B526,'02. MM-KLH'!$B$6:$T$823,4,0),"")</f>
        <v>0</v>
      </c>
      <c r="F526" s="104"/>
      <c r="G526" s="102" t="str">
        <f>IFERROR(VLOOKUP(B526,'02. MM-KLH'!$B$6:$T$823,6,0),"")</f>
        <v>Xe clethon</v>
      </c>
      <c r="H526" s="101" t="s">
        <v>3463</v>
      </c>
      <c r="I526" s="101" t="str">
        <f>IFERROR(VLOOKUP(B526,'02. MM-KLH'!$B$6:$T$823,8,0),"")</f>
        <v>Xoài DP</v>
      </c>
      <c r="J526" s="105">
        <f>IFERROR(VLOOKUP(B526,'02. MM-KLH'!$B$6:$T$823,9,0),"")</f>
        <v>0</v>
      </c>
      <c r="K526" s="101" t="str">
        <f>IFERROR(VLOOKUP(B526,'02. MM-KLH'!$B$6:$T$823,10,0),"")</f>
        <v>Hư hỏng</v>
      </c>
      <c r="L526" s="107">
        <f>IFERROR(VLOOKUP(B526,'02. MM-KLH'!$B$6:$T$823,11,0),"")</f>
        <v>0</v>
      </c>
      <c r="M526" s="864" t="str">
        <f>IFERROR(VLOOKUP(B526,'02. MM-KLH'!$B$6:$T$823,12,0),"")</f>
        <v>DX LOẠI BIÊN</v>
      </c>
      <c r="N526" s="110" t="str">
        <f>IFERROR(VLOOKUP(B526,'02. MM-KLH'!$B$6:$T$823,13,0),"")</f>
        <v>CLETHON</v>
      </c>
      <c r="O526" s="110" t="str">
        <f>IFERROR(VLOOKUP(B526,'02. MM-KLH'!$B$6:$T$823,14,0),"")</f>
        <v>CAMPUCHIA</v>
      </c>
      <c r="P526" s="101">
        <f>IFERROR(VLOOKUP(B526,'02. MM-KLH'!$B$6:$T$823,15,0),"")</f>
        <v>0</v>
      </c>
      <c r="Q526" s="101">
        <f>IFERROR(VLOOKUP(B526,'02. MM-KLH'!$B$6:$T$823,16,0),"")</f>
        <v>0</v>
      </c>
      <c r="R526" s="101" t="str">
        <f>IFERROR(VLOOKUP(B526,'02. MM-KLH'!$B$6:$T$823,17,0),"")</f>
        <v>15HP</v>
      </c>
      <c r="S526" s="110" t="str">
        <f>IFERROR(VLOOKUP(B526,'02. MM-KLH'!$B$6:$T$823,18,0),"")</f>
        <v>RT140DI-19011.978</v>
      </c>
      <c r="T526" s="111" t="str">
        <f>IFERROR(VLOOKUP(B526,'02. MM-KLH'!$B$6:$T$823,19,0),"")</f>
        <v>CCN</v>
      </c>
      <c r="U526" s="863" t="s">
        <v>451</v>
      </c>
    </row>
    <row r="527" ht="13.5" customHeight="1" spans="1:21">
      <c r="A527" s="101">
        <f t="shared" si="23"/>
        <v>23</v>
      </c>
      <c r="B527" s="104" t="s">
        <v>1767</v>
      </c>
      <c r="C527" s="102" t="str">
        <f>IFERROR(VLOOKUP(B527,'02. MM-KLH'!$B$6:$T$823,2,0),"")</f>
        <v>RT140-KH/1710053</v>
      </c>
      <c r="D527" s="103" t="str">
        <f>IFERROR(VLOOKUP(B527,'02. MM-KLH'!$B$6:$T$823,3,0),"")</f>
        <v>ATT-A22-0242</v>
      </c>
      <c r="E527" s="102">
        <f>IFERROR(VLOOKUP(B527,'02. MM-KLH'!$B$6:$T$823,4,0),"")</f>
        <v>0</v>
      </c>
      <c r="F527" s="104"/>
      <c r="G527" s="102" t="str">
        <f>IFERROR(VLOOKUP(B527,'02. MM-KLH'!$B$6:$T$823,6,0),"")</f>
        <v>Xe clethon</v>
      </c>
      <c r="H527" s="101" t="s">
        <v>3463</v>
      </c>
      <c r="I527" s="101" t="str">
        <f>IFERROR(VLOOKUP(B527,'02. MM-KLH'!$B$6:$T$823,8,0),"")</f>
        <v>BƯỞI AD</v>
      </c>
      <c r="J527" s="105">
        <f>IFERROR(VLOOKUP(B527,'02. MM-KLH'!$B$6:$T$823,9,0),"")</f>
        <v>0</v>
      </c>
      <c r="K527" s="101" t="str">
        <f>IFERROR(VLOOKUP(B527,'02. MM-KLH'!$B$6:$T$823,10,0),"")</f>
        <v>Bình thường</v>
      </c>
      <c r="L527" s="107">
        <f>IFERROR(VLOOKUP(B527,'02. MM-KLH'!$B$6:$T$823,11,0),"")</f>
        <v>0</v>
      </c>
      <c r="M527" s="864">
        <f>IFERROR(VLOOKUP(B527,'02. MM-KLH'!$B$6:$T$823,12,0),"")</f>
        <v>0</v>
      </c>
      <c r="N527" s="110" t="str">
        <f>IFERROR(VLOOKUP(B527,'02. MM-KLH'!$B$6:$T$823,13,0),"")</f>
        <v>CLETHON</v>
      </c>
      <c r="O527" s="110" t="str">
        <f>IFERROR(VLOOKUP(B527,'02. MM-KLH'!$B$6:$T$823,14,0),"")</f>
        <v>CAMPUCHIA</v>
      </c>
      <c r="P527" s="101">
        <f>IFERROR(VLOOKUP(B527,'02. MM-KLH'!$B$6:$T$823,15,0),"")</f>
        <v>0</v>
      </c>
      <c r="Q527" s="101">
        <f>IFERROR(VLOOKUP(B527,'02. MM-KLH'!$B$6:$T$823,16,0),"")</f>
        <v>0</v>
      </c>
      <c r="R527" s="101" t="str">
        <f>IFERROR(VLOOKUP(B527,'02. MM-KLH'!$B$6:$T$823,17,0),"")</f>
        <v>15HP</v>
      </c>
      <c r="S527" s="110">
        <f>IFERROR(VLOOKUP(B527,'02. MM-KLH'!$B$6:$T$823,18,0),"")</f>
        <v>0</v>
      </c>
      <c r="T527" s="111" t="str">
        <f>IFERROR(VLOOKUP(B527,'02. MM-KLH'!$B$6:$T$823,19,0),"")</f>
        <v>CCN</v>
      </c>
      <c r="U527" s="863" t="s">
        <v>451</v>
      </c>
    </row>
    <row r="528" ht="13.5" customHeight="1" spans="1:21">
      <c r="A528" s="101">
        <f t="shared" si="23"/>
        <v>24</v>
      </c>
      <c r="B528" s="104" t="s">
        <v>1809</v>
      </c>
      <c r="C528" s="102" t="str">
        <f>IFERROR(VLOOKUP(B528,'02. MM-KLH'!$B$6:$T$823,2,0),"")</f>
        <v>CAT-CLT-003</v>
      </c>
      <c r="D528" s="103" t="str">
        <f>IFERROR(VLOOKUP(B528,'02. MM-KLH'!$B$6:$T$823,3,0),"")</f>
        <v>ATT-A22-0242</v>
      </c>
      <c r="E528" s="102">
        <f>IFERROR(VLOOKUP(B528,'02. MM-KLH'!$B$6:$T$823,4,0),"")</f>
        <v>0</v>
      </c>
      <c r="F528" s="104" t="s">
        <v>3482</v>
      </c>
      <c r="G528" s="102" t="str">
        <f>IFERROR(VLOOKUP(B528,'02. MM-KLH'!$B$6:$T$823,6,0),"")</f>
        <v>Xe clethon</v>
      </c>
      <c r="H528" s="101" t="s">
        <v>3463</v>
      </c>
      <c r="I528" s="101" t="str">
        <f>IFERROR(VLOOKUP(B528,'02. MM-KLH'!$B$6:$T$823,8,0),"")</f>
        <v>XOÀI AD</v>
      </c>
      <c r="J528" s="105">
        <f>IFERROR(VLOOKUP(B528,'02. MM-KLH'!$B$6:$T$823,9,0),"")</f>
        <v>0</v>
      </c>
      <c r="K528" s="101" t="str">
        <f>IFERROR(VLOOKUP(B528,'02. MM-KLH'!$B$6:$T$823,10,0),"")</f>
        <v>Bình thường</v>
      </c>
      <c r="L528" s="107">
        <f>IFERROR(VLOOKUP(B528,'02. MM-KLH'!$B$6:$T$823,11,0),"")</f>
        <v>0</v>
      </c>
      <c r="M528" s="864">
        <f>IFERROR(VLOOKUP(B528,'02. MM-KLH'!$B$6:$T$823,12,0),"")</f>
        <v>0</v>
      </c>
      <c r="N528" s="110" t="str">
        <f>IFERROR(VLOOKUP(B528,'02. MM-KLH'!$B$6:$T$823,13,0),"")</f>
        <v>CLETHON</v>
      </c>
      <c r="O528" s="110" t="str">
        <f>IFERROR(VLOOKUP(B528,'02. MM-KLH'!$B$6:$T$823,14,0),"")</f>
        <v>CAMPUCHIA</v>
      </c>
      <c r="P528" s="101">
        <f>IFERROR(VLOOKUP(B528,'02. MM-KLH'!$B$6:$T$823,15,0),"")</f>
        <v>0</v>
      </c>
      <c r="Q528" s="101">
        <f>IFERROR(VLOOKUP(B528,'02. MM-KLH'!$B$6:$T$823,16,0),"")</f>
        <v>0</v>
      </c>
      <c r="R528" s="101">
        <f>IFERROR(VLOOKUP(B528,'02. MM-KLH'!$B$6:$T$823,17,0),"")</f>
        <v>0</v>
      </c>
      <c r="S528" s="110" t="str">
        <f>IFERROR(VLOOKUP(B528,'02. MM-KLH'!$B$6:$T$823,18,0),"")</f>
        <v>RT140DI-19011.483</v>
      </c>
      <c r="T528" s="111" t="str">
        <f>IFERROR(VLOOKUP(B528,'02. MM-KLH'!$B$6:$T$823,19,0),"")</f>
        <v>CCN</v>
      </c>
      <c r="U528" s="863" t="s">
        <v>451</v>
      </c>
    </row>
    <row r="529" ht="13.8" spans="1:21">
      <c r="A529" s="101">
        <f t="shared" si="23"/>
        <v>25</v>
      </c>
      <c r="B529" s="104" t="s">
        <v>2394</v>
      </c>
      <c r="C529" s="102">
        <f>IFERROR(VLOOKUP(B529,'02. MM-KLH'!$B$6:$T$823,2,0),"")</f>
        <v>0</v>
      </c>
      <c r="D529" s="103" t="str">
        <f>IFERROR(VLOOKUP(B529,'02. MM-KLH'!$B$6:$T$823,3,0),"")</f>
        <v>A22-CLT-001</v>
      </c>
      <c r="E529" s="102">
        <f>IFERROR(VLOOKUP(B529,'02. MM-KLH'!$B$6:$T$823,4,0),"")</f>
        <v>0</v>
      </c>
      <c r="F529" s="104"/>
      <c r="G529" s="102" t="str">
        <f>IFERROR(VLOOKUP(B529,'02. MM-KLH'!$B$6:$T$823,6,0),"")</f>
        <v>Xe clethon</v>
      </c>
      <c r="H529" s="101" t="s">
        <v>3463</v>
      </c>
      <c r="I529" s="101" t="str">
        <f>IFERROR(VLOOKUP(B529,'02. MM-KLH'!$B$6:$T$823,8,0),"")</f>
        <v>XN Bò AD</v>
      </c>
      <c r="J529" s="105">
        <f>IFERROR(VLOOKUP(B529,'02. MM-KLH'!$B$6:$T$823,9,0),"")</f>
        <v>45606</v>
      </c>
      <c r="K529" s="101" t="str">
        <f>IFERROR(VLOOKUP(B529,'02. MM-KLH'!$B$6:$T$823,10,0),"")</f>
        <v>Bình thường</v>
      </c>
      <c r="L529" s="107">
        <f>IFERROR(VLOOKUP(B529,'02. MM-KLH'!$B$6:$T$823,11,0),"")</f>
        <v>0</v>
      </c>
      <c r="M529" s="864" t="str">
        <f>IFERROR(VLOOKUP(B529,'02. MM-KLH'!$B$6:$T$823,12,0),"")</f>
        <v>Đầu tư mới</v>
      </c>
      <c r="N529" s="110" t="str">
        <f>IFERROR(VLOOKUP(B529,'02. MM-KLH'!$B$6:$T$823,13,0),"")</f>
        <v>YANMAR</v>
      </c>
      <c r="O529" s="110" t="str">
        <f>IFERROR(VLOOKUP(B529,'02. MM-KLH'!$B$6:$T$823,14,0),"")</f>
        <v>INDONESIA</v>
      </c>
      <c r="P529" s="101">
        <f>IFERROR(VLOOKUP(B529,'02. MM-KLH'!$B$6:$T$823,15,0),"")</f>
        <v>2022</v>
      </c>
      <c r="Q529" s="101" t="str">
        <f>IFERROR(VLOOKUP(B529,'02. MM-KLH'!$B$6:$T$823,16,0),"")</f>
        <v>TF150N</v>
      </c>
      <c r="R529" s="101" t="str">
        <f>IFERROR(VLOOKUP(B529,'02. MM-KLH'!$B$6:$T$823,17,0),"")</f>
        <v>15HP</v>
      </c>
      <c r="S529" s="110">
        <f>IFERROR(VLOOKUP(B529,'02. MM-KLH'!$B$6:$T$823,18,0),"")</f>
        <v>203373</v>
      </c>
      <c r="T529" s="111" t="str">
        <f>IFERROR(VLOOKUP(B529,'02. MM-KLH'!$B$6:$T$823,19,0),"")</f>
        <v>B2116J</v>
      </c>
      <c r="U529" s="863" t="s">
        <v>3343</v>
      </c>
    </row>
    <row r="530" ht="13.8" spans="1:21">
      <c r="A530" s="101">
        <f t="shared" si="23"/>
        <v>26</v>
      </c>
      <c r="B530" s="104" t="s">
        <v>2398</v>
      </c>
      <c r="C530" s="102">
        <f>IFERROR(VLOOKUP(B530,'02. MM-KLH'!$B$6:$T$823,2,0),"")</f>
        <v>0</v>
      </c>
      <c r="D530" s="103" t="str">
        <f>IFERROR(VLOOKUP(B530,'02. MM-KLH'!$B$6:$T$823,3,0),"")</f>
        <v>A22-CLT-002</v>
      </c>
      <c r="E530" s="102">
        <f>IFERROR(VLOOKUP(B530,'02. MM-KLH'!$B$6:$T$823,4,0),"")</f>
        <v>0</v>
      </c>
      <c r="F530" s="104"/>
      <c r="G530" s="102" t="str">
        <f>IFERROR(VLOOKUP(B530,'02. MM-KLH'!$B$6:$T$823,6,0),"")</f>
        <v>Xe clethon</v>
      </c>
      <c r="H530" s="101" t="s">
        <v>3463</v>
      </c>
      <c r="I530" s="101" t="str">
        <f>IFERROR(VLOOKUP(B530,'02. MM-KLH'!$B$6:$T$823,8,0),"")</f>
        <v>XN Bò AD</v>
      </c>
      <c r="J530" s="105">
        <f>IFERROR(VLOOKUP(B530,'02. MM-KLH'!$B$6:$T$823,9,0),"")</f>
        <v>45606</v>
      </c>
      <c r="K530" s="101" t="str">
        <f>IFERROR(VLOOKUP(B530,'02. MM-KLH'!$B$6:$T$823,10,0),"")</f>
        <v>Bình thường</v>
      </c>
      <c r="L530" s="107">
        <f>IFERROR(VLOOKUP(B530,'02. MM-KLH'!$B$6:$T$823,11,0),"")</f>
        <v>0</v>
      </c>
      <c r="M530" s="864" t="str">
        <f>IFERROR(VLOOKUP(B530,'02. MM-KLH'!$B$6:$T$823,12,0),"")</f>
        <v>Đầu tư mới</v>
      </c>
      <c r="N530" s="110" t="str">
        <f>IFERROR(VLOOKUP(B530,'02. MM-KLH'!$B$6:$T$823,13,0),"")</f>
        <v>YANMAR</v>
      </c>
      <c r="O530" s="110" t="str">
        <f>IFERROR(VLOOKUP(B530,'02. MM-KLH'!$B$6:$T$823,14,0),"")</f>
        <v>INDONESIA</v>
      </c>
      <c r="P530" s="101">
        <f>IFERROR(VLOOKUP(B530,'02. MM-KLH'!$B$6:$T$823,15,0),"")</f>
        <v>2022</v>
      </c>
      <c r="Q530" s="101" t="str">
        <f>IFERROR(VLOOKUP(B530,'02. MM-KLH'!$B$6:$T$823,16,0),"")</f>
        <v>TF150N</v>
      </c>
      <c r="R530" s="101" t="str">
        <f>IFERROR(VLOOKUP(B530,'02. MM-KLH'!$B$6:$T$823,17,0),"")</f>
        <v>15HP</v>
      </c>
      <c r="S530" s="110">
        <f>IFERROR(VLOOKUP(B530,'02. MM-KLH'!$B$6:$T$823,18,0),"")</f>
        <v>203356</v>
      </c>
      <c r="T530" s="111" t="str">
        <f>IFERROR(VLOOKUP(B530,'02. MM-KLH'!$B$6:$T$823,19,0),"")</f>
        <v>B1779J</v>
      </c>
      <c r="U530" s="863" t="s">
        <v>3343</v>
      </c>
    </row>
    <row r="531" ht="13.8" spans="1:21">
      <c r="A531" s="101">
        <f t="shared" si="23"/>
        <v>27</v>
      </c>
      <c r="B531" s="104" t="s">
        <v>2401</v>
      </c>
      <c r="C531" s="102">
        <f>IFERROR(VLOOKUP(B531,'02. MM-KLH'!$B$6:$T$823,2,0),"")</f>
        <v>0</v>
      </c>
      <c r="D531" s="103" t="str">
        <f>IFERROR(VLOOKUP(B531,'02. MM-KLH'!$B$6:$T$823,3,0),"")</f>
        <v>A22-CLT-003</v>
      </c>
      <c r="E531" s="102">
        <f>IFERROR(VLOOKUP(B531,'02. MM-KLH'!$B$6:$T$823,4,0),"")</f>
        <v>0</v>
      </c>
      <c r="F531" s="104"/>
      <c r="G531" s="102" t="str">
        <f>IFERROR(VLOOKUP(B531,'02. MM-KLH'!$B$6:$T$823,6,0),"")</f>
        <v>Xe clethon</v>
      </c>
      <c r="H531" s="101" t="s">
        <v>3463</v>
      </c>
      <c r="I531" s="101" t="str">
        <f>IFERROR(VLOOKUP(B531,'02. MM-KLH'!$B$6:$T$823,8,0),"")</f>
        <v>XN Bò AD</v>
      </c>
      <c r="J531" s="105">
        <f>IFERROR(VLOOKUP(B531,'02. MM-KLH'!$B$6:$T$823,9,0),"")</f>
        <v>45393</v>
      </c>
      <c r="K531" s="101" t="str">
        <f>IFERROR(VLOOKUP(B531,'02. MM-KLH'!$B$6:$T$823,10,0),"")</f>
        <v>Bình thường</v>
      </c>
      <c r="L531" s="107">
        <f>IFERROR(VLOOKUP(B531,'02. MM-KLH'!$B$6:$T$823,11,0),"")</f>
        <v>0</v>
      </c>
      <c r="M531" s="864" t="str">
        <f>IFERROR(VLOOKUP(B531,'02. MM-KLH'!$B$6:$T$823,12,0),"")</f>
        <v>Đầu tư mới</v>
      </c>
      <c r="N531" s="110" t="str">
        <f>IFERROR(VLOOKUP(B531,'02. MM-KLH'!$B$6:$T$823,13,0),"")</f>
        <v>YANMAR</v>
      </c>
      <c r="O531" s="110" t="str">
        <f>IFERROR(VLOOKUP(B531,'02. MM-KLH'!$B$6:$T$823,14,0),"")</f>
        <v>INDONESIA</v>
      </c>
      <c r="P531" s="101">
        <f>IFERROR(VLOOKUP(B531,'02. MM-KLH'!$B$6:$T$823,15,0),"")</f>
        <v>2022</v>
      </c>
      <c r="Q531" s="101" t="str">
        <f>IFERROR(VLOOKUP(B531,'02. MM-KLH'!$B$6:$T$823,16,0),"")</f>
        <v>TF150N</v>
      </c>
      <c r="R531" s="101" t="str">
        <f>IFERROR(VLOOKUP(B531,'02. MM-KLH'!$B$6:$T$823,17,0),"")</f>
        <v>15HP</v>
      </c>
      <c r="S531" s="110">
        <f>IFERROR(VLOOKUP(B531,'02. MM-KLH'!$B$6:$T$823,18,0),"")</f>
        <v>202927</v>
      </c>
      <c r="T531" s="111" t="str">
        <f>IFERROR(VLOOKUP(B531,'02. MM-KLH'!$B$6:$T$823,19,0),"")</f>
        <v>C1205A</v>
      </c>
      <c r="U531" s="863" t="s">
        <v>3343</v>
      </c>
    </row>
    <row r="532" ht="13.8" spans="1:21">
      <c r="A532" s="101">
        <f t="shared" si="23"/>
        <v>28</v>
      </c>
      <c r="B532" s="104" t="s">
        <v>2404</v>
      </c>
      <c r="C532" s="102">
        <f>IFERROR(VLOOKUP(B532,'02. MM-KLH'!$B$6:$T$823,2,0),"")</f>
        <v>0</v>
      </c>
      <c r="D532" s="103" t="str">
        <f>IFERROR(VLOOKUP(B532,'02. MM-KLH'!$B$6:$T$823,3,0),"")</f>
        <v>A22-CLT-004</v>
      </c>
      <c r="E532" s="102">
        <f>IFERROR(VLOOKUP(B532,'02. MM-KLH'!$B$6:$T$823,4,0),"")</f>
        <v>0</v>
      </c>
      <c r="F532" s="104"/>
      <c r="G532" s="102" t="str">
        <f>IFERROR(VLOOKUP(B532,'02. MM-KLH'!$B$6:$T$823,6,0),"")</f>
        <v>Xe clethon</v>
      </c>
      <c r="H532" s="101" t="s">
        <v>3463</v>
      </c>
      <c r="I532" s="101" t="str">
        <f>IFERROR(VLOOKUP(B532,'02. MM-KLH'!$B$6:$T$823,8,0),"")</f>
        <v>XN Bò AD</v>
      </c>
      <c r="J532" s="105">
        <f>IFERROR(VLOOKUP(B532,'02. MM-KLH'!$B$6:$T$823,9,0),"")</f>
        <v>45393</v>
      </c>
      <c r="K532" s="101" t="str">
        <f>IFERROR(VLOOKUP(B532,'02. MM-KLH'!$B$6:$T$823,10,0),"")</f>
        <v>Bình thường</v>
      </c>
      <c r="L532" s="107">
        <f>IFERROR(VLOOKUP(B532,'02. MM-KLH'!$B$6:$T$823,11,0),"")</f>
        <v>0</v>
      </c>
      <c r="M532" s="864" t="str">
        <f>IFERROR(VLOOKUP(B532,'02. MM-KLH'!$B$6:$T$823,12,0),"")</f>
        <v>Đầu tư mới</v>
      </c>
      <c r="N532" s="110" t="str">
        <f>IFERROR(VLOOKUP(B532,'02. MM-KLH'!$B$6:$T$823,13,0),"")</f>
        <v>YANMAR</v>
      </c>
      <c r="O532" s="110" t="str">
        <f>IFERROR(VLOOKUP(B532,'02. MM-KLH'!$B$6:$T$823,14,0),"")</f>
        <v>INDONESIA</v>
      </c>
      <c r="P532" s="101">
        <f>IFERROR(VLOOKUP(B532,'02. MM-KLH'!$B$6:$T$823,15,0),"")</f>
        <v>2022</v>
      </c>
      <c r="Q532" s="101" t="str">
        <f>IFERROR(VLOOKUP(B532,'02. MM-KLH'!$B$6:$T$823,16,0),"")</f>
        <v>TF150N</v>
      </c>
      <c r="R532" s="101" t="str">
        <f>IFERROR(VLOOKUP(B532,'02. MM-KLH'!$B$6:$T$823,17,0),"")</f>
        <v>15HP</v>
      </c>
      <c r="S532" s="110">
        <f>IFERROR(VLOOKUP(B532,'02. MM-KLH'!$B$6:$T$823,18,0),"")</f>
        <v>202929</v>
      </c>
      <c r="T532" s="111" t="str">
        <f>IFERROR(VLOOKUP(B532,'02. MM-KLH'!$B$6:$T$823,19,0),"")</f>
        <v>C1498A</v>
      </c>
      <c r="U532" s="863" t="s">
        <v>3343</v>
      </c>
    </row>
    <row r="533" ht="13.8" spans="1:21">
      <c r="A533" s="101">
        <f t="shared" si="23"/>
        <v>29</v>
      </c>
      <c r="B533" s="104" t="s">
        <v>2407</v>
      </c>
      <c r="C533" s="102">
        <f>IFERROR(VLOOKUP(B533,'02. MM-KLH'!$B$6:$T$823,2,0),"")</f>
        <v>0</v>
      </c>
      <c r="D533" s="103" t="str">
        <f>IFERROR(VLOOKUP(B533,'02. MM-KLH'!$B$6:$T$823,3,0),"")</f>
        <v>A22-CLT-005</v>
      </c>
      <c r="E533" s="102">
        <f>IFERROR(VLOOKUP(B533,'02. MM-KLH'!$B$6:$T$823,4,0),"")</f>
        <v>0</v>
      </c>
      <c r="F533" s="104"/>
      <c r="G533" s="102" t="str">
        <f>IFERROR(VLOOKUP(B533,'02. MM-KLH'!$B$6:$T$823,6,0),"")</f>
        <v>Xe clethon</v>
      </c>
      <c r="H533" s="101" t="s">
        <v>3463</v>
      </c>
      <c r="I533" s="101" t="str">
        <f>IFERROR(VLOOKUP(B533,'02. MM-KLH'!$B$6:$T$823,8,0),"")</f>
        <v>XN Bò AD</v>
      </c>
      <c r="J533" s="105">
        <f>IFERROR(VLOOKUP(B533,'02. MM-KLH'!$B$6:$T$823,9,0),"")</f>
        <v>45393</v>
      </c>
      <c r="K533" s="101" t="str">
        <f>IFERROR(VLOOKUP(B533,'02. MM-KLH'!$B$6:$T$823,10,0),"")</f>
        <v>Bình thường</v>
      </c>
      <c r="L533" s="107">
        <f>IFERROR(VLOOKUP(B533,'02. MM-KLH'!$B$6:$T$823,11,0),"")</f>
        <v>0</v>
      </c>
      <c r="M533" s="864" t="str">
        <f>IFERROR(VLOOKUP(B533,'02. MM-KLH'!$B$6:$T$823,12,0),"")</f>
        <v>Đầu tư mới</v>
      </c>
      <c r="N533" s="110" t="str">
        <f>IFERROR(VLOOKUP(B533,'02. MM-KLH'!$B$6:$T$823,13,0),"")</f>
        <v>YANMAR</v>
      </c>
      <c r="O533" s="110" t="str">
        <f>IFERROR(VLOOKUP(B533,'02. MM-KLH'!$B$6:$T$823,14,0),"")</f>
        <v>INDONESIA</v>
      </c>
      <c r="P533" s="101">
        <f>IFERROR(VLOOKUP(B533,'02. MM-KLH'!$B$6:$T$823,15,0),"")</f>
        <v>2022</v>
      </c>
      <c r="Q533" s="101" t="str">
        <f>IFERROR(VLOOKUP(B533,'02. MM-KLH'!$B$6:$T$823,16,0),"")</f>
        <v>TF150N</v>
      </c>
      <c r="R533" s="101" t="str">
        <f>IFERROR(VLOOKUP(B533,'02. MM-KLH'!$B$6:$T$823,17,0),"")</f>
        <v>15HP</v>
      </c>
      <c r="S533" s="110">
        <f>IFERROR(VLOOKUP(B533,'02. MM-KLH'!$B$6:$T$823,18,0),"")</f>
        <v>203359</v>
      </c>
      <c r="T533" s="111" t="str">
        <f>IFERROR(VLOOKUP(B533,'02. MM-KLH'!$B$6:$T$823,19,0),"")</f>
        <v>C1503A</v>
      </c>
      <c r="U533" s="863" t="s">
        <v>3343</v>
      </c>
    </row>
    <row r="534" ht="13.5" customHeight="1" spans="1:21">
      <c r="A534" s="101"/>
      <c r="B534" s="104"/>
      <c r="C534" s="102" t="str">
        <f>IFERROR(VLOOKUP(B534,'02. MM-KLH'!$B$6:$T$823,2,0),"")</f>
        <v/>
      </c>
      <c r="D534" s="103" t="str">
        <f>IFERROR(VLOOKUP(B534,'02. MM-KLH'!$B$6:$T$823,3,0),"")</f>
        <v/>
      </c>
      <c r="E534" s="102" t="str">
        <f>IFERROR(VLOOKUP(B534,'02. MM-KLH'!$B$6:$T$823,4,0),"")</f>
        <v/>
      </c>
      <c r="F534" s="104"/>
      <c r="G534" s="102" t="str">
        <f>IFERROR(VLOOKUP(B534,'02. MM-KLH'!$B$6:$T$823,6,0),"")</f>
        <v/>
      </c>
      <c r="H534" s="101"/>
      <c r="I534" s="101" t="str">
        <f>IFERROR(VLOOKUP(B534,'02. MM-KLH'!$B$6:$T$823,8,0),"")</f>
        <v/>
      </c>
      <c r="J534" s="105" t="str">
        <f>IFERROR(VLOOKUP(B534,'02. MM-KLH'!$B$6:$T$823,9,0),"")</f>
        <v/>
      </c>
      <c r="K534" s="101" t="str">
        <f>IFERROR(VLOOKUP(B534,'02. MM-KLH'!$B$6:$T$823,10,0),"")</f>
        <v/>
      </c>
      <c r="L534" s="107" t="str">
        <f>IFERROR(VLOOKUP(B534,'02. MM-KLH'!$B$6:$T$823,11,0),"")</f>
        <v/>
      </c>
      <c r="M534" s="864" t="str">
        <f>IFERROR(VLOOKUP(B534,'02. MM-KLH'!$B$6:$T$823,12,0),"")</f>
        <v/>
      </c>
      <c r="N534" s="110" t="str">
        <f>IFERROR(VLOOKUP(B534,'02. MM-KLH'!$B$6:$T$823,13,0),"")</f>
        <v/>
      </c>
      <c r="O534" s="110" t="str">
        <f>IFERROR(VLOOKUP(B534,'02. MM-KLH'!$B$6:$T$823,14,0),"")</f>
        <v/>
      </c>
      <c r="P534" s="101" t="str">
        <f>IFERROR(VLOOKUP(B534,'02. MM-KLH'!$B$6:$T$823,15,0),"")</f>
        <v/>
      </c>
      <c r="Q534" s="101" t="str">
        <f>IFERROR(VLOOKUP(B534,'02. MM-KLH'!$B$6:$T$823,16,0),"")</f>
        <v/>
      </c>
      <c r="R534" s="101" t="str">
        <f>IFERROR(VLOOKUP(B534,'02. MM-KLH'!$B$6:$T$823,17,0),"")</f>
        <v/>
      </c>
      <c r="S534" s="110" t="str">
        <f>IFERROR(VLOOKUP(B534,'02. MM-KLH'!$B$6:$T$823,18,0),"")</f>
        <v/>
      </c>
      <c r="T534" s="111" t="str">
        <f>IFERROR(VLOOKUP(B534,'02. MM-KLH'!$B$6:$T$823,19,0),"")</f>
        <v/>
      </c>
      <c r="U534" s="863"/>
    </row>
    <row r="535" ht="13.5" customHeight="1" spans="1:21">
      <c r="A535" s="847" t="s">
        <v>290</v>
      </c>
      <c r="B535" s="848" t="s">
        <v>3483</v>
      </c>
      <c r="C535" s="849">
        <f>COUNTA(B536:B555)</f>
        <v>18</v>
      </c>
      <c r="D535" s="849" t="str">
        <f>IFERROR(VLOOKUP(B535,'02. MM-KLH'!$B$6:$T$823,3,0),"")</f>
        <v/>
      </c>
      <c r="E535" s="849" t="str">
        <f>IFERROR(VLOOKUP(B535,'02. MM-KLH'!$B$6:$T$823,4,0),"")</f>
        <v/>
      </c>
      <c r="F535" s="849"/>
      <c r="G535" s="849" t="str">
        <f>IFERROR(VLOOKUP(B535,'02. MM-KLH'!$B$6:$T$823,6,0),"")</f>
        <v/>
      </c>
      <c r="H535" s="849"/>
      <c r="I535" s="849" t="str">
        <f>IFERROR(VLOOKUP(B535,'02. MM-KLH'!$B$6:$T$823,8,0),"")</f>
        <v/>
      </c>
      <c r="J535" s="849" t="str">
        <f>IFERROR(VLOOKUP(B535,'02. MM-KLH'!$B$6:$T$823,9,0),"")</f>
        <v/>
      </c>
      <c r="K535" s="849" t="str">
        <f>IFERROR(VLOOKUP(B535,'02. MM-KLH'!$B$6:$T$823,10,0),"")</f>
        <v/>
      </c>
      <c r="L535" s="849" t="str">
        <f>IFERROR(VLOOKUP(B535,'02. MM-KLH'!$B$6:$T$823,11,0),"")</f>
        <v/>
      </c>
      <c r="M535" s="849" t="s">
        <v>518</v>
      </c>
      <c r="N535" s="849" t="str">
        <f>IFERROR(VLOOKUP(B535,'02. MM-KLH'!$B$6:$T$823,13,0),"")</f>
        <v/>
      </c>
      <c r="O535" s="849" t="str">
        <f>IFERROR(VLOOKUP(B535,'02. MM-KLH'!$B$6:$T$823,14,0),"")</f>
        <v/>
      </c>
      <c r="P535" s="849" t="str">
        <f>IFERROR(VLOOKUP(B535,'02. MM-KLH'!$B$6:$T$823,15,0),"")</f>
        <v/>
      </c>
      <c r="Q535" s="849" t="str">
        <f>IFERROR(VLOOKUP(B535,'02. MM-KLH'!$B$6:$T$823,16,0),"")</f>
        <v/>
      </c>
      <c r="R535" s="849" t="str">
        <f>IFERROR(VLOOKUP(B535,'02. MM-KLH'!$B$6:$T$823,17,0),"")</f>
        <v/>
      </c>
      <c r="S535" s="849" t="str">
        <f>IFERROR(VLOOKUP(B535,'02. MM-KLH'!$B$6:$T$823,18,0),"")</f>
        <v/>
      </c>
      <c r="T535" s="849" t="str">
        <f>IFERROR(VLOOKUP(B535,'02. MM-KLH'!$B$6:$T$823,19,0),"")</f>
        <v/>
      </c>
      <c r="U535" s="849" t="str">
        <f>IFERROR(VLOOKUP(C535,'02. MM-KLH'!$B$6:$T$823,19,0),"")</f>
        <v/>
      </c>
    </row>
    <row r="536" ht="13.5" customHeight="1" spans="1:21">
      <c r="A536" s="103">
        <v>1</v>
      </c>
      <c r="B536" s="104" t="s">
        <v>2058</v>
      </c>
      <c r="C536" s="104" t="str">
        <f>IFERROR(VLOOKUP(B536,'02. MM-KLH'!$B$6:$T$823,2,0),"")</f>
        <v>XXL02-KLH</v>
      </c>
      <c r="D536" s="103" t="str">
        <f>IFERROR(VLOOKUP(B536,'02. MM-KLH'!$B$6:$T$823,3,0),"")</f>
        <v>ATT-A22-0194</v>
      </c>
      <c r="E536" s="102">
        <f>IFERROR(VLOOKUP(B536,'02. MM-KLH'!$B$6:$T$823,4,0),"")</f>
        <v>0</v>
      </c>
      <c r="F536" s="104" t="s">
        <v>3484</v>
      </c>
      <c r="G536" s="102" t="str">
        <f>IFERROR(VLOOKUP(B536,'02. MM-KLH'!$B$6:$T$823,6,0),"")</f>
        <v>Xe xúc lật WSM953</v>
      </c>
      <c r="H536" s="101" t="s">
        <v>3485</v>
      </c>
      <c r="I536" s="101" t="str">
        <f>IFERROR(VLOOKUP(B536,'02. MM-KLH'!$B$6:$T$823,8,0),"")</f>
        <v>XN Bò AD</v>
      </c>
      <c r="J536" s="105">
        <f>IFERROR(VLOOKUP(B536,'02. MM-KLH'!$B$6:$T$823,9,0),"")</f>
        <v>0</v>
      </c>
      <c r="K536" s="101" t="str">
        <f>IFERROR(VLOOKUP(B536,'02. MM-KLH'!$B$6:$T$823,10,0),"")</f>
        <v>Bình thường</v>
      </c>
      <c r="L536" s="107">
        <f>IFERROR(VLOOKUP(B536,'02. MM-KLH'!$B$6:$T$823,11,0),"")</f>
        <v>0</v>
      </c>
      <c r="M536" s="864">
        <f>IFERROR(VLOOKUP(B536,'02. MM-KLH'!$B$6:$T$823,12,0),"")</f>
        <v>0</v>
      </c>
      <c r="N536" s="110" t="str">
        <f>IFERROR(VLOOKUP(B536,'02. MM-KLH'!$B$6:$T$823,13,0),"")</f>
        <v>FUJIAN WEISHENG</v>
      </c>
      <c r="O536" s="110" t="str">
        <f>IFERROR(VLOOKUP(B536,'02. MM-KLH'!$B$6:$T$823,14,0),"")</f>
        <v>TRUNG QUỐC</v>
      </c>
      <c r="P536" s="101">
        <f>IFERROR(VLOOKUP(B536,'02. MM-KLH'!$B$6:$T$823,15,0),"")</f>
        <v>0</v>
      </c>
      <c r="Q536" s="101" t="str">
        <f>IFERROR(VLOOKUP(B536,'02. MM-KLH'!$B$6:$T$823,16,0),"")</f>
        <v>WSM953 2m3</v>
      </c>
      <c r="R536" s="101" t="str">
        <f>IFERROR(VLOOKUP(B536,'02. MM-KLH'!$B$6:$T$823,17,0),"")</f>
        <v>123HP</v>
      </c>
      <c r="S536" s="110">
        <f>IFERROR(VLOOKUP(B536,'02. MM-KLH'!$B$6:$T$823,18,0),"")</f>
        <v>90516</v>
      </c>
      <c r="T536" s="111" t="str">
        <f>IFERROR(VLOOKUP(B536,'02. MM-KLH'!$B$6:$T$823,19,0),"")</f>
        <v>CCN</v>
      </c>
      <c r="U536" s="863" t="s">
        <v>451</v>
      </c>
    </row>
    <row r="537" ht="13.5" customHeight="1" spans="1:21">
      <c r="A537" s="103">
        <f t="shared" ref="A537:A553" si="24">1+A536</f>
        <v>2</v>
      </c>
      <c r="B537" s="104" t="s">
        <v>2063</v>
      </c>
      <c r="C537" s="104" t="str">
        <f>IFERROR(VLOOKUP(B537,'02. MM-KLH'!$B$6:$T$823,2,0),"")</f>
        <v>XXL005-KLH</v>
      </c>
      <c r="D537" s="103" t="str">
        <f>IFERROR(VLOOKUP(B537,'02. MM-KLH'!$B$6:$T$823,3,0),"")</f>
        <v>A22-XXL-002</v>
      </c>
      <c r="E537" s="102">
        <f>IFERROR(VLOOKUP(B537,'02. MM-KLH'!$B$6:$T$823,4,0),"")</f>
        <v>0</v>
      </c>
      <c r="F537" s="104"/>
      <c r="G537" s="102" t="str">
        <f>IFERROR(VLOOKUP(B537,'02. MM-KLH'!$B$6:$T$823,6,0),"")</f>
        <v>Xe xúc lật WA400</v>
      </c>
      <c r="H537" s="101" t="s">
        <v>3485</v>
      </c>
      <c r="I537" s="101" t="str">
        <f>IFERROR(VLOOKUP(B537,'02. MM-KLH'!$B$6:$T$823,8,0),"")</f>
        <v>XN Bò AD</v>
      </c>
      <c r="J537" s="105">
        <f>IFERROR(VLOOKUP(B537,'02. MM-KLH'!$B$6:$T$823,9,0),"")</f>
        <v>0</v>
      </c>
      <c r="K537" s="101" t="str">
        <f>IFERROR(VLOOKUP(B537,'02. MM-KLH'!$B$6:$T$823,10,0),"")</f>
        <v>Bình thường</v>
      </c>
      <c r="L537" s="107">
        <f>IFERROR(VLOOKUP(B537,'02. MM-KLH'!$B$6:$T$823,11,0),"")</f>
        <v>0</v>
      </c>
      <c r="M537" s="864">
        <f>IFERROR(VLOOKUP(B537,'02. MM-KLH'!$B$6:$T$823,12,0),"")</f>
        <v>0</v>
      </c>
      <c r="N537" s="110" t="str">
        <f>IFERROR(VLOOKUP(B537,'02. MM-KLH'!$B$6:$T$823,13,0),"")</f>
        <v>KOMATSU</v>
      </c>
      <c r="O537" s="110" t="str">
        <f>IFERROR(VLOOKUP(B537,'02. MM-KLH'!$B$6:$T$823,14,0),"")</f>
        <v>NHẬT BẢN</v>
      </c>
      <c r="P537" s="101">
        <f>IFERROR(VLOOKUP(B537,'02. MM-KLH'!$B$6:$T$823,15,0),"")</f>
        <v>2020</v>
      </c>
      <c r="Q537" s="101" t="str">
        <f>IFERROR(VLOOKUP(B537,'02. MM-KLH'!$B$6:$T$823,16,0),"")</f>
        <v>WA400-3E</v>
      </c>
      <c r="R537" s="101" t="str">
        <f>IFERROR(VLOOKUP(B537,'02. MM-KLH'!$B$6:$T$823,17,0),"")</f>
        <v>208HP</v>
      </c>
      <c r="S537" s="110">
        <f>IFERROR(VLOOKUP(B537,'02. MM-KLH'!$B$6:$T$823,18,0),"")</f>
        <v>50183</v>
      </c>
      <c r="T537" s="111" t="str">
        <f>IFERROR(VLOOKUP(B537,'02. MM-KLH'!$B$6:$T$823,19,0),"")</f>
        <v>CCN</v>
      </c>
      <c r="U537" s="863" t="s">
        <v>451</v>
      </c>
    </row>
    <row r="538" ht="13.5" customHeight="1" spans="1:21">
      <c r="A538" s="103">
        <f t="shared" si="24"/>
        <v>3</v>
      </c>
      <c r="B538" s="104" t="s">
        <v>2066</v>
      </c>
      <c r="C538" s="104" t="str">
        <f>IFERROR(VLOOKUP(B538,'02. MM-KLH'!$B$6:$T$823,2,0),"")</f>
        <v>XXL04HT-KLH</v>
      </c>
      <c r="D538" s="103" t="str">
        <f>IFERROR(VLOOKUP(B538,'02. MM-KLH'!$B$6:$T$823,3,0),"")</f>
        <v>A22-XXL-004</v>
      </c>
      <c r="E538" s="102">
        <f>IFERROR(VLOOKUP(B538,'02. MM-KLH'!$B$6:$T$823,4,0),"")</f>
        <v>0</v>
      </c>
      <c r="F538" s="104"/>
      <c r="G538" s="102" t="str">
        <f>IFERROR(VLOOKUP(B538,'02. MM-KLH'!$B$6:$T$823,6,0),"")</f>
        <v>Xe xúc lật WA350</v>
      </c>
      <c r="H538" s="101" t="s">
        <v>3485</v>
      </c>
      <c r="I538" s="101" t="str">
        <f>IFERROR(VLOOKUP(B538,'02. MM-KLH'!$B$6:$T$823,8,0),"")</f>
        <v>XN Bò AD</v>
      </c>
      <c r="J538" s="105">
        <f>IFERROR(VLOOKUP(B538,'02. MM-KLH'!$B$6:$T$823,9,0),"")</f>
        <v>44208</v>
      </c>
      <c r="K538" s="101" t="str">
        <f>IFERROR(VLOOKUP(B538,'02. MM-KLH'!$B$6:$T$823,10,0),"")</f>
        <v>Bình thường</v>
      </c>
      <c r="L538" s="107">
        <f>IFERROR(VLOOKUP(B538,'02. MM-KLH'!$B$6:$T$823,11,0),"")</f>
        <v>0</v>
      </c>
      <c r="M538" s="864">
        <f>IFERROR(VLOOKUP(B538,'02. MM-KLH'!$B$6:$T$823,12,0),"")</f>
        <v>0</v>
      </c>
      <c r="N538" s="110" t="str">
        <f>IFERROR(VLOOKUP(B538,'02. MM-KLH'!$B$6:$T$823,13,0),"")</f>
        <v>KOMATSU</v>
      </c>
      <c r="O538" s="110" t="str">
        <f>IFERROR(VLOOKUP(B538,'02. MM-KLH'!$B$6:$T$823,14,0),"")</f>
        <v>NHẬT BẢN</v>
      </c>
      <c r="P538" s="101">
        <f>IFERROR(VLOOKUP(B538,'02. MM-KLH'!$B$6:$T$823,15,0),"")</f>
        <v>2020</v>
      </c>
      <c r="Q538" s="101" t="str">
        <f>IFERROR(VLOOKUP(B538,'02. MM-KLH'!$B$6:$T$823,16,0),"")</f>
        <v>WA350-3</v>
      </c>
      <c r="R538" s="101" t="str">
        <f>IFERROR(VLOOKUP(B538,'02. MM-KLH'!$B$6:$T$823,17,0),"")</f>
        <v>162HP</v>
      </c>
      <c r="S538" s="110">
        <f>IFERROR(VLOOKUP(B538,'02. MM-KLH'!$B$6:$T$823,18,0),"")</f>
        <v>50100</v>
      </c>
      <c r="T538" s="111">
        <f>IFERROR(VLOOKUP(B538,'02. MM-KLH'!$B$6:$T$823,19,0),"")</f>
        <v>18033</v>
      </c>
      <c r="U538" s="863" t="s">
        <v>451</v>
      </c>
    </row>
    <row r="539" ht="13.5" customHeight="1" spans="1:21">
      <c r="A539" s="103">
        <f t="shared" si="24"/>
        <v>4</v>
      </c>
      <c r="B539" s="104" t="s">
        <v>2070</v>
      </c>
      <c r="C539" s="104" t="str">
        <f>IFERROR(VLOOKUP(B539,'02. MM-KLH'!$B$6:$T$823,2,0),"")</f>
        <v>Mới</v>
      </c>
      <c r="D539" s="103" t="str">
        <f>IFERROR(VLOOKUP(B539,'02. MM-KLH'!$B$6:$T$823,3,0),"")</f>
        <v>ATM-A22-0127</v>
      </c>
      <c r="E539" s="102">
        <f>IFERROR(VLOOKUP(B539,'02. MM-KLH'!$B$6:$T$823,4,0),"")</f>
        <v>0</v>
      </c>
      <c r="F539" s="104" t="s">
        <v>3486</v>
      </c>
      <c r="G539" s="102" t="str">
        <f>IFERROR(VLOOKUP(B539,'02. MM-KLH'!$B$6:$T$823,6,0),"")</f>
        <v>Xe xúc lật MT625H</v>
      </c>
      <c r="H539" s="101" t="s">
        <v>3485</v>
      </c>
      <c r="I539" s="101" t="str">
        <f>IFERROR(VLOOKUP(B539,'02. MM-KLH'!$B$6:$T$823,8,0),"")</f>
        <v>XN Bò AD</v>
      </c>
      <c r="J539" s="105">
        <f>IFERROR(VLOOKUP(B539,'02. MM-KLH'!$B$6:$T$823,9,0),"")</f>
        <v>45292</v>
      </c>
      <c r="K539" s="101" t="str">
        <f>IFERROR(VLOOKUP(B539,'02. MM-KLH'!$B$6:$T$823,10,0),"")</f>
        <v>Bình thường</v>
      </c>
      <c r="L539" s="107">
        <f>IFERROR(VLOOKUP(B539,'02. MM-KLH'!$B$6:$T$823,11,0),"")</f>
        <v>0.98</v>
      </c>
      <c r="M539" s="864">
        <f>IFERROR(VLOOKUP(B539,'02. MM-KLH'!$B$6:$T$823,12,0),"")</f>
        <v>0</v>
      </c>
      <c r="N539" s="110" t="str">
        <f>IFERROR(VLOOKUP(B539,'02. MM-KLH'!$B$6:$T$823,13,0),"")</f>
        <v>MANITOU</v>
      </c>
      <c r="O539" s="110" t="str">
        <f>IFERROR(VLOOKUP(B539,'02. MM-KLH'!$B$6:$T$823,14,0),"")</f>
        <v>PHÁP</v>
      </c>
      <c r="P539" s="101">
        <f>IFERROR(VLOOKUP(B539,'02. MM-KLH'!$B$6:$T$823,15,0),"")</f>
        <v>2018</v>
      </c>
      <c r="Q539" s="101" t="str">
        <f>IFERROR(VLOOKUP(B539,'02. MM-KLH'!$B$6:$T$823,16,0),"")</f>
        <v>MT625H</v>
      </c>
      <c r="R539" s="101" t="str">
        <f>IFERROR(VLOOKUP(B539,'02. MM-KLH'!$B$6:$T$823,17,0),"")</f>
        <v>75HP</v>
      </c>
      <c r="S539" s="110" t="str">
        <f>IFERROR(VLOOKUP(B539,'02. MM-KLH'!$B$6:$T$823,18,0),"")</f>
        <v>MAN00000T01005580</v>
      </c>
      <c r="T539" s="111" t="str">
        <f>IFERROR(VLOOKUP(B539,'02. MM-KLH'!$B$6:$T$823,19,0),"")</f>
        <v> V3307T8JL1568</v>
      </c>
      <c r="U539" s="863" t="s">
        <v>451</v>
      </c>
    </row>
    <row r="540" ht="13.5" customHeight="1" spans="1:21">
      <c r="A540" s="103">
        <f t="shared" si="24"/>
        <v>5</v>
      </c>
      <c r="B540" s="104" t="s">
        <v>2076</v>
      </c>
      <c r="C540" s="104" t="str">
        <f>IFERROR(VLOOKUP(B540,'02. MM-KLH'!$B$6:$T$823,2,0),"")</f>
        <v>Mới</v>
      </c>
      <c r="D540" s="103" t="str">
        <f>IFERROR(VLOOKUP(B540,'02. MM-KLH'!$B$6:$T$823,3,0),"")</f>
        <v>ATM-A22-0120</v>
      </c>
      <c r="E540" s="102">
        <f>IFERROR(VLOOKUP(B540,'02. MM-KLH'!$B$6:$T$823,4,0),"")</f>
        <v>0</v>
      </c>
      <c r="F540" s="104" t="s">
        <v>3487</v>
      </c>
      <c r="G540" s="102" t="str">
        <f>IFERROR(VLOOKUP(B540,'02. MM-KLH'!$B$6:$T$823,6,0),"")</f>
        <v>Xe xúc lật LEHMAN ZL940G</v>
      </c>
      <c r="H540" s="101" t="s">
        <v>3485</v>
      </c>
      <c r="I540" s="101" t="str">
        <f>IFERROR(VLOOKUP(B540,'02. MM-KLH'!$B$6:$T$823,8,0),"")</f>
        <v>XN Bò AD</v>
      </c>
      <c r="J540" s="105" t="str">
        <f>IFERROR(VLOOKUP(B540,'02. MM-KLH'!$B$6:$T$823,9,0),"")</f>
        <v>15/12/2023</v>
      </c>
      <c r="K540" s="101" t="str">
        <f>IFERROR(VLOOKUP(B540,'02. MM-KLH'!$B$6:$T$823,10,0),"")</f>
        <v>Bình thường</v>
      </c>
      <c r="L540" s="107">
        <f>IFERROR(VLOOKUP(B540,'02. MM-KLH'!$B$6:$T$823,11,0),"")</f>
        <v>0.97</v>
      </c>
      <c r="M540" s="864" t="str">
        <f>IFERROR(VLOOKUP(B540,'02. MM-KLH'!$B$6:$T$823,12,0),"")</f>
        <v>Đầu tư mới</v>
      </c>
      <c r="N540" s="110" t="str">
        <f>IFERROR(VLOOKUP(B540,'02. MM-KLH'!$B$6:$T$823,13,0),"")</f>
        <v>LEHMAN</v>
      </c>
      <c r="O540" s="110" t="str">
        <f>IFERROR(VLOOKUP(B540,'02. MM-KLH'!$B$6:$T$823,14,0),"")</f>
        <v>TRUNG QUỐC</v>
      </c>
      <c r="P540" s="101">
        <f>IFERROR(VLOOKUP(B540,'02. MM-KLH'!$B$6:$T$823,15,0),"")</f>
        <v>2023</v>
      </c>
      <c r="Q540" s="101" t="str">
        <f>IFERROR(VLOOKUP(B540,'02. MM-KLH'!$B$6:$T$823,16,0),"")</f>
        <v>ZL940G</v>
      </c>
      <c r="R540" s="101" t="str">
        <f>IFERROR(VLOOKUP(B540,'02. MM-KLH'!$B$6:$T$823,17,0),"")</f>
        <v>115HP</v>
      </c>
      <c r="S540" s="110" t="str">
        <f>IFERROR(VLOOKUP(B540,'02. MM-KLH'!$B$6:$T$823,18,0),"")</f>
        <v>SY23090078</v>
      </c>
      <c r="T540" s="111" t="str">
        <f>IFERROR(VLOOKUP(B540,'02. MM-KLH'!$B$6:$T$823,19,0),"")</f>
        <v>YCD4J22T-1151JG410P03213</v>
      </c>
      <c r="U540" s="863" t="s">
        <v>451</v>
      </c>
    </row>
    <row r="541" ht="13.5" customHeight="1" spans="1:21">
      <c r="A541" s="103">
        <f t="shared" si="24"/>
        <v>6</v>
      </c>
      <c r="B541" s="104" t="s">
        <v>2082</v>
      </c>
      <c r="C541" s="104" t="str">
        <f>IFERROR(VLOOKUP(B541,'02. MM-KLH'!$B$6:$T$823,2,0),"")</f>
        <v>Mới</v>
      </c>
      <c r="D541" s="103" t="str">
        <f>IFERROR(VLOOKUP(B541,'02. MM-KLH'!$B$6:$T$823,3,0),"")</f>
        <v>ATT-A22-0324</v>
      </c>
      <c r="E541" s="102">
        <f>IFERROR(VLOOKUP(B541,'02. MM-KLH'!$B$6:$T$823,4,0),"")</f>
        <v>0</v>
      </c>
      <c r="F541" s="104" t="s">
        <v>3488</v>
      </c>
      <c r="G541" s="102" t="str">
        <f>IFERROR(VLOOKUP(B541,'02. MM-KLH'!$B$6:$T$823,6,0),"")</f>
        <v>Xe xúc lật L935H</v>
      </c>
      <c r="H541" s="101" t="s">
        <v>3485</v>
      </c>
      <c r="I541" s="101" t="str">
        <f>IFERROR(VLOOKUP(B541,'02. MM-KLH'!$B$6:$T$823,8,0),"")</f>
        <v>XN Bò AD</v>
      </c>
      <c r="J541" s="105" t="str">
        <f>IFERROR(VLOOKUP(B541,'02. MM-KLH'!$B$6:$T$823,9,0),"")</f>
        <v>30/01/2024</v>
      </c>
      <c r="K541" s="101" t="str">
        <f>IFERROR(VLOOKUP(B541,'02. MM-KLH'!$B$6:$T$823,10,0),"")</f>
        <v>Bình thường</v>
      </c>
      <c r="L541" s="107">
        <f>IFERROR(VLOOKUP(B541,'02. MM-KLH'!$B$6:$T$823,11,0),"")</f>
        <v>0.98</v>
      </c>
      <c r="M541" s="864" t="str">
        <f>IFERROR(VLOOKUP(B541,'02. MM-KLH'!$B$6:$T$823,12,0),"")</f>
        <v>Đầu tư mới</v>
      </c>
      <c r="N541" s="110" t="str">
        <f>IFERROR(VLOOKUP(B541,'02. MM-KLH'!$B$6:$T$823,13,0),"")</f>
        <v>SDLG</v>
      </c>
      <c r="O541" s="110" t="str">
        <f>IFERROR(VLOOKUP(B541,'02. MM-KLH'!$B$6:$T$823,14,0),"")</f>
        <v>TRUNG QUỐC</v>
      </c>
      <c r="P541" s="101">
        <f>IFERROR(VLOOKUP(B541,'02. MM-KLH'!$B$6:$T$823,15,0),"")</f>
        <v>2022</v>
      </c>
      <c r="Q541" s="101" t="str">
        <f>IFERROR(VLOOKUP(B541,'02. MM-KLH'!$B$6:$T$823,16,0),"")</f>
        <v>L935H</v>
      </c>
      <c r="R541" s="101" t="str">
        <f>IFERROR(VLOOKUP(B541,'02. MM-KLH'!$B$6:$T$823,17,0),"")</f>
        <v>140HP</v>
      </c>
      <c r="S541" s="110" t="str">
        <f>IFERROR(VLOOKUP(B541,'02. MM-KLH'!$B$6:$T$823,18,0),"")</f>
        <v>VLGL935HAN0620050</v>
      </c>
      <c r="T541" s="111" t="str">
        <f>IFERROR(VLOOKUP(B541,'02. MM-KLH'!$B$6:$T$823,19,0),"")</f>
        <v>WP6G140E226P22D023010</v>
      </c>
      <c r="U541" s="863" t="s">
        <v>3343</v>
      </c>
    </row>
    <row r="542" ht="13.5" customHeight="1" spans="1:21">
      <c r="A542" s="103">
        <f t="shared" si="24"/>
        <v>7</v>
      </c>
      <c r="B542" s="104" t="s">
        <v>2089</v>
      </c>
      <c r="C542" s="104" t="str">
        <f>IFERROR(VLOOKUP(B542,'02. MM-KLH'!$B$6:$T$823,2,0),"")</f>
        <v>Mới</v>
      </c>
      <c r="D542" s="103" t="str">
        <f>IFERROR(VLOOKUP(B542,'02. MM-KLH'!$B$6:$T$823,3,0),"")</f>
        <v>A22-XXL-008</v>
      </c>
      <c r="E542" s="102">
        <f>IFERROR(VLOOKUP(B542,'02. MM-KLH'!$B$6:$T$823,4,0),"")</f>
        <v>0</v>
      </c>
      <c r="F542" s="104"/>
      <c r="G542" s="102" t="str">
        <f>IFERROR(VLOOKUP(B542,'02. MM-KLH'!$B$6:$T$823,6,0),"")</f>
        <v>Xe xúc lật LEHMAN ZL946E</v>
      </c>
      <c r="H542" s="101" t="s">
        <v>3485</v>
      </c>
      <c r="I542" s="101" t="str">
        <f>IFERROR(VLOOKUP(B542,'02. MM-KLH'!$B$6:$T$823,8,0),"")</f>
        <v>XN Bò AD</v>
      </c>
      <c r="J542" s="105">
        <f>IFERROR(VLOOKUP(B542,'02. MM-KLH'!$B$6:$T$823,9,0),"")</f>
        <v>45633</v>
      </c>
      <c r="K542" s="101" t="str">
        <f>IFERROR(VLOOKUP(B542,'02. MM-KLH'!$B$6:$T$823,10,0),"")</f>
        <v>Bình thường</v>
      </c>
      <c r="L542" s="107">
        <f>IFERROR(VLOOKUP(B542,'02. MM-KLH'!$B$6:$T$823,11,0),"")</f>
        <v>0.99</v>
      </c>
      <c r="M542" s="864" t="str">
        <f>IFERROR(VLOOKUP(B542,'02. MM-KLH'!$B$6:$T$823,12,0),"")</f>
        <v>Đầu tư mới</v>
      </c>
      <c r="N542" s="110" t="str">
        <f>IFERROR(VLOOKUP(B542,'02. MM-KLH'!$B$6:$T$823,13,0),"")</f>
        <v>LEHMAN</v>
      </c>
      <c r="O542" s="110" t="str">
        <f>IFERROR(VLOOKUP(B542,'02. MM-KLH'!$B$6:$T$823,14,0),"")</f>
        <v>TRUNG QUỐC</v>
      </c>
      <c r="P542" s="101">
        <f>IFERROR(VLOOKUP(B542,'02. MM-KLH'!$B$6:$T$823,15,0),"")</f>
        <v>2024</v>
      </c>
      <c r="Q542" s="101" t="str">
        <f>IFERROR(VLOOKUP(B542,'02. MM-KLH'!$B$6:$T$823,16,0),"")</f>
        <v>ZL946E</v>
      </c>
      <c r="R542" s="101" t="str">
        <f>IFERROR(VLOOKUP(B542,'02. MM-KLH'!$B$6:$T$823,17,0),"")</f>
        <v>114HP</v>
      </c>
      <c r="S542" s="110" t="str">
        <f>IFERROR(VLOOKUP(B542,'02. MM-KLH'!$B$6:$T$823,18,0),"")</f>
        <v>SY24020177</v>
      </c>
      <c r="T542" s="111" t="str">
        <f>IFERROR(VLOOKUP(B542,'02. MM-KLH'!$B$6:$T$823,19,0),"")</f>
        <v>1JG410P06207</v>
      </c>
      <c r="U542" s="863" t="s">
        <v>3343</v>
      </c>
    </row>
    <row r="543" ht="13.5" customHeight="1" spans="1:21">
      <c r="A543" s="103">
        <f t="shared" si="24"/>
        <v>8</v>
      </c>
      <c r="B543" s="104" t="s">
        <v>2093</v>
      </c>
      <c r="C543" s="104" t="str">
        <f>IFERROR(VLOOKUP(B543,'02. MM-KLH'!$B$6:$T$823,2,0),"")</f>
        <v>Mới</v>
      </c>
      <c r="D543" s="103" t="str">
        <f>IFERROR(VLOOKUP(B543,'02. MM-KLH'!$B$6:$T$823,3,0),"")</f>
        <v>A22-XXL-009</v>
      </c>
      <c r="E543" s="102">
        <f>IFERROR(VLOOKUP(B543,'02. MM-KLH'!$B$6:$T$823,4,0),"")</f>
        <v>0</v>
      </c>
      <c r="F543" s="104"/>
      <c r="G543" s="102" t="str">
        <f>IFERROR(VLOOKUP(B543,'02. MM-KLH'!$B$6:$T$823,6,0),"")</f>
        <v>Xe xúc lật LEHMAN ZL946PR</v>
      </c>
      <c r="H543" s="101" t="s">
        <v>3485</v>
      </c>
      <c r="I543" s="101" t="str">
        <f>IFERROR(VLOOKUP(B543,'02. MM-KLH'!$B$6:$T$823,8,0),"")</f>
        <v>XN Bò AD</v>
      </c>
      <c r="J543" s="105" t="str">
        <f>IFERROR(VLOOKUP(B543,'02. MM-KLH'!$B$6:$T$823,9,0),"")</f>
        <v>16/08/2024</v>
      </c>
      <c r="K543" s="101" t="str">
        <f>IFERROR(VLOOKUP(B543,'02. MM-KLH'!$B$6:$T$823,10,0),"")</f>
        <v>Bình thường</v>
      </c>
      <c r="L543" s="107">
        <f>IFERROR(VLOOKUP(B543,'02. MM-KLH'!$B$6:$T$823,11,0),"")</f>
        <v>0</v>
      </c>
      <c r="M543" s="864" t="str">
        <f>IFERROR(VLOOKUP(B543,'02. MM-KLH'!$B$6:$T$823,12,0),"")</f>
        <v>Đầu tư mới</v>
      </c>
      <c r="N543" s="110" t="str">
        <f>IFERROR(VLOOKUP(B543,'02. MM-KLH'!$B$6:$T$823,13,0),"")</f>
        <v>LEHMAN</v>
      </c>
      <c r="O543" s="110" t="str">
        <f>IFERROR(VLOOKUP(B543,'02. MM-KLH'!$B$6:$T$823,14,0),"")</f>
        <v>TRUNG QUỐC</v>
      </c>
      <c r="P543" s="101">
        <f>IFERROR(VLOOKUP(B543,'02. MM-KLH'!$B$6:$T$823,15,0),"")</f>
        <v>2024</v>
      </c>
      <c r="Q543" s="101" t="str">
        <f>IFERROR(VLOOKUP(B543,'02. MM-KLH'!$B$6:$T$823,16,0),"")</f>
        <v>ZL946PR</v>
      </c>
      <c r="R543" s="101" t="str">
        <f>IFERROR(VLOOKUP(B543,'02. MM-KLH'!$B$6:$T$823,17,0),"")</f>
        <v>114HP</v>
      </c>
      <c r="S543" s="110" t="str">
        <f>IFERROR(VLOOKUP(B543,'02. MM-KLH'!$B$6:$T$823,18,0),"")</f>
        <v>SY24050287</v>
      </c>
      <c r="T543" s="111" t="str">
        <f>IFERROR(VLOOKUP(B543,'02. MM-KLH'!$B$6:$T$823,19,0),"")</f>
        <v>1JG410R01725</v>
      </c>
      <c r="U543" s="863" t="s">
        <v>3343</v>
      </c>
    </row>
    <row r="544" ht="13.5" customHeight="1" spans="1:21">
      <c r="A544" s="103">
        <f t="shared" si="24"/>
        <v>9</v>
      </c>
      <c r="B544" s="104" t="s">
        <v>2099</v>
      </c>
      <c r="C544" s="104">
        <f>IFERROR(VLOOKUP(B544,'02. MM-KLH'!$B$6:$T$823,2,0),"")</f>
        <v>0</v>
      </c>
      <c r="D544" s="103" t="str">
        <f>IFERROR(VLOOKUP(B544,'02. MM-KLH'!$B$6:$T$823,3,0),"")</f>
        <v>A22-XXL-010</v>
      </c>
      <c r="E544" s="102">
        <f>IFERROR(VLOOKUP(B544,'02. MM-KLH'!$B$6:$T$823,4,0),"")</f>
        <v>0</v>
      </c>
      <c r="F544" s="104"/>
      <c r="G544" s="102" t="str">
        <f>IFERROR(VLOOKUP(B544,'02. MM-KLH'!$B$6:$T$823,6,0),"")</f>
        <v>Xe xúc lật LEHMAN ZL946GP</v>
      </c>
      <c r="H544" s="101" t="s">
        <v>3485</v>
      </c>
      <c r="I544" s="101" t="str">
        <f>IFERROR(VLOOKUP(B544,'02. MM-KLH'!$B$6:$T$823,8,0),"")</f>
        <v>XN Bò AD</v>
      </c>
      <c r="J544" s="105">
        <f>IFERROR(VLOOKUP(B544,'02. MM-KLH'!$B$6:$T$823,9,0),"")</f>
        <v>45717</v>
      </c>
      <c r="K544" s="101" t="str">
        <f>IFERROR(VLOOKUP(B544,'02. MM-KLH'!$B$6:$T$823,10,0),"")</f>
        <v>Bình thường</v>
      </c>
      <c r="L544" s="107">
        <f>IFERROR(VLOOKUP(B544,'02. MM-KLH'!$B$6:$T$823,11,0),"")</f>
        <v>0</v>
      </c>
      <c r="M544" s="864" t="str">
        <f>IFERROR(VLOOKUP(B544,'02. MM-KLH'!$B$6:$T$823,12,0),"")</f>
        <v>Đầu tư mới</v>
      </c>
      <c r="N544" s="110" t="str">
        <f>IFERROR(VLOOKUP(B544,'02. MM-KLH'!$B$6:$T$823,13,0),"")</f>
        <v>LEHMAN</v>
      </c>
      <c r="O544" s="110" t="str">
        <f>IFERROR(VLOOKUP(B544,'02. MM-KLH'!$B$6:$T$823,14,0),"")</f>
        <v>TRUNG QUỐC</v>
      </c>
      <c r="P544" s="101">
        <f>IFERROR(VLOOKUP(B544,'02. MM-KLH'!$B$6:$T$823,15,0),"")</f>
        <v>2024</v>
      </c>
      <c r="Q544" s="101" t="str">
        <f>IFERROR(VLOOKUP(B544,'02. MM-KLH'!$B$6:$T$823,16,0),"")</f>
        <v>ZL946GP</v>
      </c>
      <c r="R544" s="101" t="str">
        <f>IFERROR(VLOOKUP(B544,'02. MM-KLH'!$B$6:$T$823,17,0),"")</f>
        <v>114HP</v>
      </c>
      <c r="S544" s="110" t="str">
        <f>IFERROR(VLOOKUP(B544,'02. MM-KLH'!$B$6:$T$823,18,0),"")</f>
        <v>SY24070162</v>
      </c>
      <c r="T544" s="111" t="str">
        <f>IFERROR(VLOOKUP(B544,'02. MM-KLH'!$B$6:$T$823,19,0),"")</f>
        <v>1JG410R02694</v>
      </c>
      <c r="U544" s="863" t="s">
        <v>3343</v>
      </c>
    </row>
    <row r="545" ht="13.5" customHeight="1" spans="1:21">
      <c r="A545" s="103">
        <f t="shared" si="24"/>
        <v>10</v>
      </c>
      <c r="B545" s="104" t="s">
        <v>2104</v>
      </c>
      <c r="C545" s="104">
        <f>IFERROR(VLOOKUP(B545,'02. MM-KLH'!$B$6:$T$823,2,0),"")</f>
        <v>0</v>
      </c>
      <c r="D545" s="103" t="str">
        <f>IFERROR(VLOOKUP(B545,'02. MM-KLH'!$B$6:$T$823,3,0),"")</f>
        <v>A22-XXL-011</v>
      </c>
      <c r="E545" s="102">
        <f>IFERROR(VLOOKUP(B545,'02. MM-KLH'!$B$6:$T$823,4,0),"")</f>
        <v>0</v>
      </c>
      <c r="F545" s="104"/>
      <c r="G545" s="102" t="str">
        <f>IFERROR(VLOOKUP(B545,'02. MM-KLH'!$B$6:$T$823,6,0),"")</f>
        <v>Xe xúc lật LEHMAN ZL946GP</v>
      </c>
      <c r="H545" s="101" t="s">
        <v>3485</v>
      </c>
      <c r="I545" s="101" t="str">
        <f>IFERROR(VLOOKUP(B545,'02. MM-KLH'!$B$6:$T$823,8,0),"")</f>
        <v>XN Bò AD</v>
      </c>
      <c r="J545" s="105">
        <f>IFERROR(VLOOKUP(B545,'02. MM-KLH'!$B$6:$T$823,9,0),"")</f>
        <v>45717</v>
      </c>
      <c r="K545" s="101" t="str">
        <f>IFERROR(VLOOKUP(B545,'02. MM-KLH'!$B$6:$T$823,10,0),"")</f>
        <v>Bình thường</v>
      </c>
      <c r="L545" s="107">
        <f>IFERROR(VLOOKUP(B545,'02. MM-KLH'!$B$6:$T$823,11,0),"")</f>
        <v>0</v>
      </c>
      <c r="M545" s="864" t="str">
        <f>IFERROR(VLOOKUP(B545,'02. MM-KLH'!$B$6:$T$823,12,0),"")</f>
        <v>Đầu tư mới</v>
      </c>
      <c r="N545" s="110" t="str">
        <f>IFERROR(VLOOKUP(B545,'02. MM-KLH'!$B$6:$T$823,13,0),"")</f>
        <v>LEHMAN</v>
      </c>
      <c r="O545" s="110" t="str">
        <f>IFERROR(VLOOKUP(B545,'02. MM-KLH'!$B$6:$T$823,14,0),"")</f>
        <v>TRUNG QUỐC</v>
      </c>
      <c r="P545" s="101">
        <f>IFERROR(VLOOKUP(B545,'02. MM-KLH'!$B$6:$T$823,15,0),"")</f>
        <v>2024</v>
      </c>
      <c r="Q545" s="101" t="str">
        <f>IFERROR(VLOOKUP(B545,'02. MM-KLH'!$B$6:$T$823,16,0),"")</f>
        <v>ZL946GP</v>
      </c>
      <c r="R545" s="101" t="str">
        <f>IFERROR(VLOOKUP(B545,'02. MM-KLH'!$B$6:$T$823,17,0),"")</f>
        <v>114HP</v>
      </c>
      <c r="S545" s="110" t="str">
        <f>IFERROR(VLOOKUP(B545,'02. MM-KLH'!$B$6:$T$823,18,0),"")</f>
        <v>SY35080163</v>
      </c>
      <c r="T545" s="111" t="str">
        <f>IFERROR(VLOOKUP(B545,'02. MM-KLH'!$B$6:$T$823,19,0),"")</f>
        <v>1JG410R02705</v>
      </c>
      <c r="U545" s="863" t="s">
        <v>3343</v>
      </c>
    </row>
    <row r="546" ht="13.5" customHeight="1" spans="1:21">
      <c r="A546" s="103">
        <f t="shared" si="24"/>
        <v>11</v>
      </c>
      <c r="B546" s="104" t="s">
        <v>2108</v>
      </c>
      <c r="C546" s="104">
        <f>IFERROR(VLOOKUP(B546,'02. MM-KLH'!$B$6:$T$823,2,0),"")</f>
        <v>0</v>
      </c>
      <c r="D546" s="103" t="str">
        <f>IFERROR(VLOOKUP(B546,'02. MM-KLH'!$B$6:$T$823,3,0),"")</f>
        <v>A22-XXL-012</v>
      </c>
      <c r="E546" s="102">
        <f>IFERROR(VLOOKUP(B546,'02. MM-KLH'!$B$6:$T$823,4,0),"")</f>
        <v>0</v>
      </c>
      <c r="F546" s="104"/>
      <c r="G546" s="102" t="str">
        <f>IFERROR(VLOOKUP(B546,'02. MM-KLH'!$B$6:$T$823,6,0),"")</f>
        <v>Xe xúc lật SDLG L936H</v>
      </c>
      <c r="H546" s="101" t="s">
        <v>3485</v>
      </c>
      <c r="I546" s="101" t="str">
        <f>IFERROR(VLOOKUP(B546,'02. MM-KLH'!$B$6:$T$823,8,0),"")</f>
        <v>XN Bò AD</v>
      </c>
      <c r="J546" s="105">
        <f>IFERROR(VLOOKUP(B546,'02. MM-KLH'!$B$6:$T$823,9,0),"")</f>
        <v>45939</v>
      </c>
      <c r="K546" s="101" t="str">
        <f>IFERROR(VLOOKUP(B546,'02. MM-KLH'!$B$6:$T$823,10,0),"")</f>
        <v>Bình thường</v>
      </c>
      <c r="L546" s="107">
        <f>IFERROR(VLOOKUP(B546,'02. MM-KLH'!$B$6:$T$823,11,0),"")</f>
        <v>0</v>
      </c>
      <c r="M546" s="864" t="str">
        <f>IFERROR(VLOOKUP(B546,'02. MM-KLH'!$B$6:$T$823,12,0),"")</f>
        <v>Đầu tư mới</v>
      </c>
      <c r="N546" s="110" t="str">
        <f>IFERROR(VLOOKUP(B546,'02. MM-KLH'!$B$6:$T$823,13,0),"")</f>
        <v>SDLG</v>
      </c>
      <c r="O546" s="110" t="str">
        <f>IFERROR(VLOOKUP(B546,'02. MM-KLH'!$B$6:$T$823,14,0),"")</f>
        <v>TRUNG QUỐC</v>
      </c>
      <c r="P546" s="101">
        <f>IFERROR(VLOOKUP(B546,'02. MM-KLH'!$B$6:$T$823,15,0),"")</f>
        <v>2025</v>
      </c>
      <c r="Q546" s="101" t="str">
        <f>IFERROR(VLOOKUP(B546,'02. MM-KLH'!$B$6:$T$823,16,0),"")</f>
        <v>L936H</v>
      </c>
      <c r="R546" s="101" t="str">
        <f>IFERROR(VLOOKUP(B546,'02. MM-KLH'!$B$6:$T$823,17,0),"")</f>
        <v>143HP</v>
      </c>
      <c r="S546" s="110" t="str">
        <f>IFERROR(VLOOKUP(B546,'02. MM-KLH'!$B$6:$T$823,18,0),"")</f>
        <v>VLGL936HLR0620877</v>
      </c>
      <c r="T546" s="111" t="str">
        <f>IFERROR(VLOOKUP(B546,'02. MM-KLH'!$B$6:$T$823,19,0),"")</f>
        <v>WP6G140E226P24S022431</v>
      </c>
      <c r="U546" s="863" t="s">
        <v>3343</v>
      </c>
    </row>
    <row r="547" ht="13.5" customHeight="1" spans="1:21">
      <c r="A547" s="103">
        <f t="shared" si="24"/>
        <v>12</v>
      </c>
      <c r="B547" s="104" t="s">
        <v>2113</v>
      </c>
      <c r="C547" s="104">
        <f>IFERROR(VLOOKUP(B547,'02. MM-KLH'!$B$6:$T$823,2,0),"")</f>
        <v>0</v>
      </c>
      <c r="D547" s="103" t="str">
        <f>IFERROR(VLOOKUP(B547,'02. MM-KLH'!$B$6:$T$823,3,0),"")</f>
        <v>A22-XXL-013</v>
      </c>
      <c r="E547" s="102">
        <f>IFERROR(VLOOKUP(B547,'02. MM-KLH'!$B$6:$T$823,4,0),"")</f>
        <v>0</v>
      </c>
      <c r="F547" s="104"/>
      <c r="G547" s="102" t="str">
        <f>IFERROR(VLOOKUP(B547,'02. MM-KLH'!$B$6:$T$823,6,0),"")</f>
        <v>Xe xúc lật SDLG L936H</v>
      </c>
      <c r="H547" s="101" t="s">
        <v>3485</v>
      </c>
      <c r="I547" s="101" t="str">
        <f>IFERROR(VLOOKUP(B547,'02. MM-KLH'!$B$6:$T$823,8,0),"")</f>
        <v>XN Bò AD</v>
      </c>
      <c r="J547" s="105">
        <f>IFERROR(VLOOKUP(B547,'02. MM-KLH'!$B$6:$T$823,9,0),"")</f>
        <v>45939</v>
      </c>
      <c r="K547" s="101" t="str">
        <f>IFERROR(VLOOKUP(B547,'02. MM-KLH'!$B$6:$T$823,10,0),"")</f>
        <v>Bình thường</v>
      </c>
      <c r="L547" s="107">
        <f>IFERROR(VLOOKUP(B547,'02. MM-KLH'!$B$6:$T$823,11,0),"")</f>
        <v>0</v>
      </c>
      <c r="M547" s="864" t="str">
        <f>IFERROR(VLOOKUP(B547,'02. MM-KLH'!$B$6:$T$823,12,0),"")</f>
        <v>Đầu tư mới</v>
      </c>
      <c r="N547" s="110" t="str">
        <f>IFERROR(VLOOKUP(B547,'02. MM-KLH'!$B$6:$T$823,13,0),"")</f>
        <v>SDLG</v>
      </c>
      <c r="O547" s="110" t="str">
        <f>IFERROR(VLOOKUP(B547,'02. MM-KLH'!$B$6:$T$823,14,0),"")</f>
        <v>TRUNG QUỐC</v>
      </c>
      <c r="P547" s="101">
        <f>IFERROR(VLOOKUP(B547,'02. MM-KLH'!$B$6:$T$823,15,0),"")</f>
        <v>2025</v>
      </c>
      <c r="Q547" s="101" t="str">
        <f>IFERROR(VLOOKUP(B547,'02. MM-KLH'!$B$6:$T$823,16,0),"")</f>
        <v>L936H</v>
      </c>
      <c r="R547" s="101" t="str">
        <f>IFERROR(VLOOKUP(B547,'02. MM-KLH'!$B$6:$T$823,17,0),"")</f>
        <v>143HP</v>
      </c>
      <c r="S547" s="110" t="str">
        <f>IFERROR(VLOOKUP(B547,'02. MM-KLH'!$B$6:$T$823,18,0),"")</f>
        <v>VLGL936HVS0620901</v>
      </c>
      <c r="T547" s="111" t="str">
        <f>IFERROR(VLOOKUP(B547,'02. MM-KLH'!$B$6:$T$823,19,0),"")</f>
        <v>WP6G140E226P24K026707</v>
      </c>
      <c r="U547" s="863" t="s">
        <v>3343</v>
      </c>
    </row>
    <row r="548" ht="13.5" customHeight="1" spans="1:21">
      <c r="A548" s="103">
        <f t="shared" si="24"/>
        <v>13</v>
      </c>
      <c r="B548" s="104" t="s">
        <v>2117</v>
      </c>
      <c r="C548" s="104">
        <f>IFERROR(VLOOKUP(B548,'02. MM-KLH'!$B$6:$T$823,2,0),"")</f>
        <v>0</v>
      </c>
      <c r="D548" s="103" t="str">
        <f>IFERROR(VLOOKUP(B548,'02. MM-KLH'!$B$6:$T$823,3,0),"")</f>
        <v>A22-XXL-014</v>
      </c>
      <c r="E548" s="102">
        <f>IFERROR(VLOOKUP(B548,'02. MM-KLH'!$B$6:$T$823,4,0),"")</f>
        <v>0</v>
      </c>
      <c r="F548" s="104"/>
      <c r="G548" s="102" t="str">
        <f>IFERROR(VLOOKUP(B548,'02. MM-KLH'!$B$6:$T$823,6,0),"")</f>
        <v>Xe xúc lật TCM 709</v>
      </c>
      <c r="H548" s="101" t="s">
        <v>3485</v>
      </c>
      <c r="I548" s="101" t="str">
        <f>IFERROR(VLOOKUP(B548,'02. MM-KLH'!$B$6:$T$823,8,0),"")</f>
        <v>XN Bò AD</v>
      </c>
      <c r="J548" s="105" t="str">
        <f>IFERROR(VLOOKUP(B548,'02. MM-KLH'!$B$6:$T$823,9,0),"")</f>
        <v>24/09/2025</v>
      </c>
      <c r="K548" s="101" t="str">
        <f>IFERROR(VLOOKUP(B548,'02. MM-KLH'!$B$6:$T$823,10,0),"")</f>
        <v>Bình thường</v>
      </c>
      <c r="L548" s="107">
        <f>IFERROR(VLOOKUP(B548,'02. MM-KLH'!$B$6:$T$823,11,0),"")</f>
        <v>0</v>
      </c>
      <c r="M548" s="864" t="str">
        <f>IFERROR(VLOOKUP(B548,'02. MM-KLH'!$B$6:$T$823,12,0),"")</f>
        <v>XNB IAPUCH điều chuyển cho KM mượn dài hạn</v>
      </c>
      <c r="N548" s="110" t="str">
        <f>IFERROR(VLOOKUP(B548,'02. MM-KLH'!$B$6:$T$823,13,0),"")</f>
        <v>TCM</v>
      </c>
      <c r="O548" s="110" t="str">
        <f>IFERROR(VLOOKUP(B548,'02. MM-KLH'!$B$6:$T$823,14,0),"")</f>
        <v>VIỆT NAM</v>
      </c>
      <c r="P548" s="101">
        <f>IFERROR(VLOOKUP(B548,'02. MM-KLH'!$B$6:$T$823,15,0),"")</f>
        <v>2007</v>
      </c>
      <c r="Q548" s="101" t="str">
        <f>IFERROR(VLOOKUP(B548,'02. MM-KLH'!$B$6:$T$823,16,0),"")</f>
        <v>V2403-M</v>
      </c>
      <c r="R548" s="101" t="str">
        <f>IFERROR(VLOOKUP(B548,'02. MM-KLH'!$B$6:$T$823,17,0),"")</f>
        <v>45HP</v>
      </c>
      <c r="S548" s="110" t="str">
        <f>IFERROR(VLOOKUP(B548,'02. MM-KLH'!$B$6:$T$823,18,0),"")</f>
        <v>56T01045</v>
      </c>
      <c r="T548" s="111" t="str">
        <f>IFERROR(VLOOKUP(B548,'02. MM-KLH'!$B$6:$T$823,19,0),"")</f>
        <v>V2403-08-3116</v>
      </c>
      <c r="U548" s="863" t="s">
        <v>3274</v>
      </c>
    </row>
    <row r="549" ht="13.5" customHeight="1" spans="1:21">
      <c r="A549" s="103">
        <f t="shared" si="24"/>
        <v>14</v>
      </c>
      <c r="B549" s="104" t="s">
        <v>2125</v>
      </c>
      <c r="C549" s="104">
        <f>IFERROR(VLOOKUP(B549,'02. MM-KLH'!$B$6:$T$823,2,0),"")</f>
        <v>0</v>
      </c>
      <c r="D549" s="103" t="str">
        <f>IFERROR(VLOOKUP(B549,'02. MM-KLH'!$B$6:$T$823,3,0),"")</f>
        <v>A22-XXL-015</v>
      </c>
      <c r="E549" s="102">
        <f>IFERROR(VLOOKUP(B549,'02. MM-KLH'!$B$6:$T$823,4,0),"")</f>
        <v>0</v>
      </c>
      <c r="F549" s="104"/>
      <c r="G549" s="102" t="str">
        <f>IFERROR(VLOOKUP(B549,'02. MM-KLH'!$B$6:$T$823,6,0),"")</f>
        <v>Xe xúc lật SDLG L936H</v>
      </c>
      <c r="H549" s="101" t="s">
        <v>3485</v>
      </c>
      <c r="I549" s="101" t="str">
        <f>IFERROR(VLOOKUP(B549,'02. MM-KLH'!$B$6:$T$823,8,0),"")</f>
        <v>XN Bò AD</v>
      </c>
      <c r="J549" s="105">
        <f>IFERROR(VLOOKUP(B549,'02. MM-KLH'!$B$6:$T$823,9,0),"")</f>
        <v>46002</v>
      </c>
      <c r="K549" s="101" t="str">
        <f>IFERROR(VLOOKUP(B549,'02. MM-KLH'!$B$6:$T$823,10,0),"")</f>
        <v>Bình thường</v>
      </c>
      <c r="L549" s="107">
        <f>IFERROR(VLOOKUP(B549,'02. MM-KLH'!$B$6:$T$823,11,0),"")</f>
        <v>0</v>
      </c>
      <c r="M549" s="864" t="str">
        <f>IFERROR(VLOOKUP(B549,'02. MM-KLH'!$B$6:$T$823,12,0),"")</f>
        <v>Đầu tư mới</v>
      </c>
      <c r="N549" s="110" t="str">
        <f>IFERROR(VLOOKUP(B549,'02. MM-KLH'!$B$6:$T$823,13,0),"")</f>
        <v>SDLG</v>
      </c>
      <c r="O549" s="110" t="str">
        <f>IFERROR(VLOOKUP(B549,'02. MM-KLH'!$B$6:$T$823,14,0),"")</f>
        <v>TRUNG QUỐC</v>
      </c>
      <c r="P549" s="101">
        <f>IFERROR(VLOOKUP(B549,'02. MM-KLH'!$B$6:$T$823,15,0),"")</f>
        <v>2025</v>
      </c>
      <c r="Q549" s="101" t="str">
        <f>IFERROR(VLOOKUP(B549,'02. MM-KLH'!$B$6:$T$823,16,0),"")</f>
        <v>L936H</v>
      </c>
      <c r="R549" s="101" t="str">
        <f>IFERROR(VLOOKUP(B549,'02. MM-KLH'!$B$6:$T$823,17,0),"")</f>
        <v>142.7HP</v>
      </c>
      <c r="S549" s="110" t="str">
        <f>IFERROR(VLOOKUP(B549,'02. MM-KLH'!$B$6:$T$823,18,0),"")</f>
        <v>VLGL936HCS0621335</v>
      </c>
      <c r="T549" s="111" t="str">
        <f>IFERROR(VLOOKUP(B549,'02. MM-KLH'!$B$6:$T$823,19,0),"")</f>
        <v>WP6G140E226P25G016629</v>
      </c>
      <c r="U549" s="863" t="s">
        <v>3343</v>
      </c>
    </row>
    <row r="550" ht="13.5" customHeight="1" spans="1:21">
      <c r="A550" s="103">
        <f t="shared" si="24"/>
        <v>15</v>
      </c>
      <c r="B550" s="104" t="s">
        <v>2131</v>
      </c>
      <c r="C550" s="104">
        <f>IFERROR(VLOOKUP(B550,'02. MM-KLH'!$B$6:$T$823,2,0),"")</f>
        <v>0</v>
      </c>
      <c r="D550" s="103" t="str">
        <f>IFERROR(VLOOKUP(B550,'02. MM-KLH'!$B$6:$T$823,3,0),"")</f>
        <v>A22-XXL-016</v>
      </c>
      <c r="E550" s="102">
        <f>IFERROR(VLOOKUP(B550,'02. MM-KLH'!$B$6:$T$823,4,0),"")</f>
        <v>0</v>
      </c>
      <c r="F550" s="104"/>
      <c r="G550" s="102" t="str">
        <f>IFERROR(VLOOKUP(B550,'02. MM-KLH'!$B$6:$T$823,6,0),"")</f>
        <v>Xe xúc lật BOBCAT 753</v>
      </c>
      <c r="H550" s="101" t="s">
        <v>3485</v>
      </c>
      <c r="I550" s="101" t="str">
        <f>IFERROR(VLOOKUP(B550,'02. MM-KLH'!$B$6:$T$823,8,0),"")</f>
        <v>XN Bò AD</v>
      </c>
      <c r="J550" s="105">
        <f>IFERROR(VLOOKUP(B550,'02. MM-KLH'!$B$6:$T$823,9,0),"")</f>
        <v>46082</v>
      </c>
      <c r="K550" s="101" t="str">
        <f>IFERROR(VLOOKUP(B550,'02. MM-KLH'!$B$6:$T$823,10,0),"")</f>
        <v>Bình thường</v>
      </c>
      <c r="L550" s="107">
        <f>IFERROR(VLOOKUP(B550,'02. MM-KLH'!$B$6:$T$823,11,0),"")</f>
        <v>0</v>
      </c>
      <c r="M550" s="864" t="str">
        <f>IFERROR(VLOOKUP(B550,'02. MM-KLH'!$B$6:$T$823,12,0),"")</f>
        <v>Đầu tư mới</v>
      </c>
      <c r="N550" s="110" t="str">
        <f>IFERROR(VLOOKUP(B550,'02. MM-KLH'!$B$6:$T$823,13,0),"")</f>
        <v>BOBCAT</v>
      </c>
      <c r="O550" s="110" t="str">
        <f>IFERROR(VLOOKUP(B550,'02. MM-KLH'!$B$6:$T$823,14,0),"")</f>
        <v>Mỹ</v>
      </c>
      <c r="P550" s="101">
        <f>IFERROR(VLOOKUP(B550,'02. MM-KLH'!$B$6:$T$823,15,0),"")</f>
        <v>0</v>
      </c>
      <c r="Q550" s="101">
        <f>IFERROR(VLOOKUP(B550,'02. MM-KLH'!$B$6:$T$823,16,0),"")</f>
        <v>753</v>
      </c>
      <c r="R550" s="101" t="str">
        <f>IFERROR(VLOOKUP(B550,'02. MM-KLH'!$B$6:$T$823,17,0),"")</f>
        <v>44Hp</v>
      </c>
      <c r="S550" s="110">
        <f>IFERROR(VLOOKUP(B550,'02. MM-KLH'!$B$6:$T$823,18,0),"")</f>
        <v>511350401</v>
      </c>
      <c r="T550" s="111" t="str">
        <f>IFERROR(VLOOKUP(B550,'02. MM-KLH'!$B$6:$T$823,19,0),"")</f>
        <v>V2203-389041</v>
      </c>
      <c r="U550" s="863" t="s">
        <v>3343</v>
      </c>
    </row>
    <row r="551" ht="13.5" customHeight="1" spans="1:21">
      <c r="A551" s="103">
        <f t="shared" si="24"/>
        <v>16</v>
      </c>
      <c r="B551" s="104" t="s">
        <v>2137</v>
      </c>
      <c r="C551" s="104">
        <f>IFERROR(VLOOKUP(B551,'02. MM-KLH'!$B$6:$T$823,2,0),"")</f>
        <v>0</v>
      </c>
      <c r="D551" s="103" t="str">
        <f>IFERROR(VLOOKUP(B551,'02. MM-KLH'!$B$6:$T$823,3,0),"")</f>
        <v>A22-XXL-017</v>
      </c>
      <c r="E551" s="102">
        <f>IFERROR(VLOOKUP(B551,'02. MM-KLH'!$B$6:$T$823,4,0),"")</f>
        <v>0</v>
      </c>
      <c r="F551" s="104"/>
      <c r="G551" s="102" t="str">
        <f>IFERROR(VLOOKUP(B551,'02. MM-KLH'!$B$6:$T$823,6,0),"")</f>
        <v>Xe xúc lật BOBCAT 763</v>
      </c>
      <c r="H551" s="101" t="s">
        <v>3485</v>
      </c>
      <c r="I551" s="101" t="str">
        <f>IFERROR(VLOOKUP(B551,'02. MM-KLH'!$B$6:$T$823,8,0),"")</f>
        <v>XN Bò AD</v>
      </c>
      <c r="J551" s="105">
        <f>IFERROR(VLOOKUP(B551,'02. MM-KLH'!$B$6:$T$823,9,0),"")</f>
        <v>46082</v>
      </c>
      <c r="K551" s="101" t="str">
        <f>IFERROR(VLOOKUP(B551,'02. MM-KLH'!$B$6:$T$823,10,0),"")</f>
        <v>Bình thường</v>
      </c>
      <c r="L551" s="107">
        <f>IFERROR(VLOOKUP(B551,'02. MM-KLH'!$B$6:$T$823,11,0),"")</f>
        <v>0</v>
      </c>
      <c r="M551" s="864" t="str">
        <f>IFERROR(VLOOKUP(B551,'02. MM-KLH'!$B$6:$T$823,12,0),"")</f>
        <v>Đầu tư mới</v>
      </c>
      <c r="N551" s="110" t="str">
        <f>IFERROR(VLOOKUP(B551,'02. MM-KLH'!$B$6:$T$823,13,0),"")</f>
        <v>BOBCAT</v>
      </c>
      <c r="O551" s="110" t="str">
        <f>IFERROR(VLOOKUP(B551,'02. MM-KLH'!$B$6:$T$823,14,0),"")</f>
        <v>Mỹ</v>
      </c>
      <c r="P551" s="101">
        <f>IFERROR(VLOOKUP(B551,'02. MM-KLH'!$B$6:$T$823,15,0),"")</f>
        <v>0</v>
      </c>
      <c r="Q551" s="101">
        <f>IFERROR(VLOOKUP(B551,'02. MM-KLH'!$B$6:$T$823,16,0),"")</f>
        <v>763</v>
      </c>
      <c r="R551" s="101" t="str">
        <f>IFERROR(VLOOKUP(B551,'02. MM-KLH'!$B$6:$T$823,17,0),"")</f>
        <v>46Hp</v>
      </c>
      <c r="S551" s="110">
        <f>IFERROR(VLOOKUP(B551,'02. MM-KLH'!$B$6:$T$823,18,0),"")</f>
        <v>512215700</v>
      </c>
      <c r="T551" s="111" t="str">
        <f>IFERROR(VLOOKUP(B551,'02. MM-KLH'!$B$6:$T$823,19,0),"")</f>
        <v>V2203-111961</v>
      </c>
      <c r="U551" s="863" t="s">
        <v>3343</v>
      </c>
    </row>
    <row r="552" ht="13.5" customHeight="1" spans="1:21">
      <c r="A552" s="103">
        <f t="shared" si="24"/>
        <v>17</v>
      </c>
      <c r="B552" s="104" t="s">
        <v>2581</v>
      </c>
      <c r="C552" s="104" t="str">
        <f>IFERROR(VLOOKUP(B552,'02. MM-KLH'!$B$6:$T$823,2,0),"")</f>
        <v>TBT-XXL-001</v>
      </c>
      <c r="D552" s="103" t="str">
        <f>IFERROR(VLOOKUP(B552,'02. MM-KLH'!$B$6:$T$823,3,0),"")</f>
        <v>ATT-A22-0158</v>
      </c>
      <c r="E552" s="102">
        <f>IFERROR(VLOOKUP(B552,'02. MM-KLH'!$B$6:$T$823,4,0),"")</f>
        <v>0</v>
      </c>
      <c r="F552" s="104" t="s">
        <v>3489</v>
      </c>
      <c r="G552" s="102" t="str">
        <f>IFERROR(VLOOKUP(B552,'02. MM-KLH'!$B$6:$T$823,6,0),"")</f>
        <v>Xe xúc lật WA200-3</v>
      </c>
      <c r="H552" s="101" t="s">
        <v>3485</v>
      </c>
      <c r="I552" s="101" t="str">
        <f>IFERROR(VLOOKUP(B552,'02. MM-KLH'!$B$6:$T$823,8,0),"")</f>
        <v>Trạm trộn bê tông</v>
      </c>
      <c r="J552" s="105">
        <f>IFERROR(VLOOKUP(B552,'02. MM-KLH'!$B$6:$T$823,9,0),"")</f>
        <v>44197</v>
      </c>
      <c r="K552" s="101" t="str">
        <f>IFERROR(VLOOKUP(B552,'02. MM-KLH'!$B$6:$T$823,10,0),"")</f>
        <v>Bình thường</v>
      </c>
      <c r="L552" s="107">
        <f>IFERROR(VLOOKUP(B552,'02. MM-KLH'!$B$6:$T$823,11,0),"")</f>
        <v>0.68</v>
      </c>
      <c r="M552" s="864">
        <f>IFERROR(VLOOKUP(B552,'02. MM-KLH'!$B$6:$T$823,12,0),"")</f>
        <v>0</v>
      </c>
      <c r="N552" s="110" t="str">
        <f>IFERROR(VLOOKUP(B552,'02. MM-KLH'!$B$6:$T$823,13,0),"")</f>
        <v>KOMATSU</v>
      </c>
      <c r="O552" s="110" t="str">
        <f>IFERROR(VLOOKUP(B552,'02. MM-KLH'!$B$6:$T$823,14,0),"")</f>
        <v>NHẬT BẢN</v>
      </c>
      <c r="P552" s="101">
        <f>IFERROR(VLOOKUP(B552,'02. MM-KLH'!$B$6:$T$823,15,0),"")</f>
        <v>1994</v>
      </c>
      <c r="Q552" s="101" t="str">
        <f>IFERROR(VLOOKUP(B552,'02. MM-KLH'!$B$6:$T$823,16,0),"")</f>
        <v>WA200-3</v>
      </c>
      <c r="R552" s="101" t="str">
        <f>IFERROR(VLOOKUP(B552,'02. MM-KLH'!$B$6:$T$823,17,0),"")</f>
        <v>123HP</v>
      </c>
      <c r="S552" s="110" t="str">
        <f>IFERROR(VLOOKUP(B552,'02. MM-KLH'!$B$6:$T$823,18,0),"")</f>
        <v>W038-60400</v>
      </c>
      <c r="T552" s="111" t="str">
        <f>IFERROR(VLOOKUP(B552,'02. MM-KLH'!$B$6:$T$823,19,0),"")</f>
        <v>6D95L-140544</v>
      </c>
      <c r="U552" s="863" t="s">
        <v>451</v>
      </c>
    </row>
    <row r="553" ht="13.5" customHeight="1" spans="1:21">
      <c r="A553" s="103">
        <f t="shared" si="24"/>
        <v>18</v>
      </c>
      <c r="B553" s="104" t="s">
        <v>2585</v>
      </c>
      <c r="C553" s="104">
        <f>IFERROR(VLOOKUP(B553,'02. MM-KLH'!$B$6:$T$823,2,0),"")</f>
        <v>0</v>
      </c>
      <c r="D553" s="103" t="str">
        <f>IFERROR(VLOOKUP(B553,'02. MM-KLH'!$B$6:$T$823,3,0),"")</f>
        <v>ATT-A22-0323</v>
      </c>
      <c r="E553" s="102">
        <f>IFERROR(VLOOKUP(B553,'02. MM-KLH'!$B$6:$T$823,4,0),"")</f>
        <v>0</v>
      </c>
      <c r="F553" s="104" t="s">
        <v>3490</v>
      </c>
      <c r="G553" s="102" t="str">
        <f>IFERROR(VLOOKUP(B553,'02. MM-KLH'!$B$6:$T$823,6,0),"")</f>
        <v>Xe xúc lật WA200-3</v>
      </c>
      <c r="H553" s="101" t="s">
        <v>3485</v>
      </c>
      <c r="I553" s="101" t="str">
        <f>IFERROR(VLOOKUP(B553,'02. MM-KLH'!$B$6:$T$823,8,0),"")</f>
        <v>Trạm trộn bê tông</v>
      </c>
      <c r="J553" s="105" t="str">
        <f>IFERROR(VLOOKUP(B553,'02. MM-KLH'!$B$6:$T$823,9,0),"")</f>
        <v>24/01/2024</v>
      </c>
      <c r="K553" s="101" t="str">
        <f>IFERROR(VLOOKUP(B553,'02. MM-KLH'!$B$6:$T$823,10,0),"")</f>
        <v>Bình thường</v>
      </c>
      <c r="L553" s="107">
        <f>IFERROR(VLOOKUP(B553,'02. MM-KLH'!$B$6:$T$823,11,0),"")</f>
        <v>0.97</v>
      </c>
      <c r="M553" s="864">
        <f>IFERROR(VLOOKUP(B553,'02. MM-KLH'!$B$6:$T$823,12,0),"")</f>
        <v>0</v>
      </c>
      <c r="N553" s="110" t="str">
        <f>IFERROR(VLOOKUP(B553,'02. MM-KLH'!$B$6:$T$823,13,0),"")</f>
        <v>KOMATSU</v>
      </c>
      <c r="O553" s="110" t="str">
        <f>IFERROR(VLOOKUP(B553,'02. MM-KLH'!$B$6:$T$823,14,0),"")</f>
        <v>NHẬT BẢN</v>
      </c>
      <c r="P553" s="101">
        <f>IFERROR(VLOOKUP(B553,'02. MM-KLH'!$B$6:$T$823,15,0),"")</f>
        <v>2021</v>
      </c>
      <c r="Q553" s="101" t="str">
        <f>IFERROR(VLOOKUP(B553,'02. MM-KLH'!$B$6:$T$823,16,0),"")</f>
        <v>WA200-3</v>
      </c>
      <c r="R553" s="101" t="str">
        <f>IFERROR(VLOOKUP(B553,'02. MM-KLH'!$B$6:$T$823,17,0),"")</f>
        <v>125HP</v>
      </c>
      <c r="S553" s="110" t="str">
        <f>IFERROR(VLOOKUP(B553,'02. MM-KLH'!$B$6:$T$823,18,0),"")</f>
        <v>W038-60624</v>
      </c>
      <c r="T553" s="111" t="str">
        <f>IFERROR(VLOOKUP(B553,'02. MM-KLH'!$B$6:$T$823,19,0),"")</f>
        <v>6D95L-153498</v>
      </c>
      <c r="U553" s="863" t="s">
        <v>451</v>
      </c>
    </row>
    <row r="554" ht="13.5" customHeight="1" spans="1:21">
      <c r="A554" s="101"/>
      <c r="B554" s="104"/>
      <c r="C554" s="104"/>
      <c r="D554" s="103"/>
      <c r="E554" s="102"/>
      <c r="F554" s="104"/>
      <c r="G554" s="102"/>
      <c r="H554" s="101"/>
      <c r="I554" s="101"/>
      <c r="J554" s="105"/>
      <c r="K554" s="101"/>
      <c r="L554" s="107"/>
      <c r="M554" s="864"/>
      <c r="N554" s="110"/>
      <c r="O554" s="110"/>
      <c r="P554" s="101"/>
      <c r="Q554" s="101"/>
      <c r="R554" s="101"/>
      <c r="S554" s="110"/>
      <c r="T554" s="111"/>
      <c r="U554" s="863"/>
    </row>
    <row r="555" ht="13.5" customHeight="1" spans="1:21">
      <c r="A555" s="101"/>
      <c r="B555" s="104"/>
      <c r="C555" s="104" t="str">
        <f>IFERROR(VLOOKUP(B555,'02. MM-KLH'!$B$6:$T$823,2,0),"")</f>
        <v/>
      </c>
      <c r="D555" s="103" t="str">
        <f>IFERROR(VLOOKUP(B555,'02. MM-KLH'!$B$6:$T$823,3,0),"")</f>
        <v/>
      </c>
      <c r="E555" s="102" t="str">
        <f>IFERROR(VLOOKUP(B555,'02. MM-KLH'!$B$6:$T$823,4,0),"")</f>
        <v/>
      </c>
      <c r="F555" s="104"/>
      <c r="G555" s="102" t="str">
        <f>IFERROR(VLOOKUP(B555,'02. MM-KLH'!$B$6:$T$823,6,0),"")</f>
        <v/>
      </c>
      <c r="H555" s="101"/>
      <c r="I555" s="101" t="str">
        <f>IFERROR(VLOOKUP(B555,'02. MM-KLH'!$B$6:$T$823,8,0),"")</f>
        <v/>
      </c>
      <c r="J555" s="105" t="str">
        <f>IFERROR(VLOOKUP(B555,'02. MM-KLH'!$B$6:$T$823,9,0),"")</f>
        <v/>
      </c>
      <c r="K555" s="101" t="str">
        <f>IFERROR(VLOOKUP(B555,'02. MM-KLH'!$B$6:$T$823,10,0),"")</f>
        <v/>
      </c>
      <c r="L555" s="107" t="str">
        <f>IFERROR(VLOOKUP(B555,'02. MM-KLH'!$B$6:$T$823,11,0),"")</f>
        <v/>
      </c>
      <c r="M555" s="864" t="str">
        <f>IFERROR(VLOOKUP(B555,'02. MM-KLH'!$B$6:$T$823,12,0),"")</f>
        <v/>
      </c>
      <c r="N555" s="110" t="str">
        <f>IFERROR(VLOOKUP(B555,'02. MM-KLH'!$B$6:$T$823,13,0),"")</f>
        <v/>
      </c>
      <c r="O555" s="110" t="str">
        <f>IFERROR(VLOOKUP(B555,'02. MM-KLH'!$B$6:$T$823,14,0),"")</f>
        <v/>
      </c>
      <c r="P555" s="101" t="str">
        <f>IFERROR(VLOOKUP(B555,'02. MM-KLH'!$B$6:$T$823,15,0),"")</f>
        <v/>
      </c>
      <c r="Q555" s="101" t="str">
        <f>IFERROR(VLOOKUP(B555,'02. MM-KLH'!$B$6:$T$823,16,0),"")</f>
        <v/>
      </c>
      <c r="R555" s="101" t="str">
        <f>IFERROR(VLOOKUP(B555,'02. MM-KLH'!$B$6:$T$823,17,0),"")</f>
        <v/>
      </c>
      <c r="S555" s="110" t="str">
        <f>IFERROR(VLOOKUP(B555,'02. MM-KLH'!$B$6:$T$823,18,0),"")</f>
        <v/>
      </c>
      <c r="T555" s="111" t="str">
        <f>IFERROR(VLOOKUP(B555,'02. MM-KLH'!$B$6:$T$823,19,0),"")</f>
        <v/>
      </c>
      <c r="U555" s="863"/>
    </row>
    <row r="556" ht="13.5" customHeight="1" spans="1:21">
      <c r="A556" s="847" t="s">
        <v>290</v>
      </c>
      <c r="B556" s="848" t="s">
        <v>3491</v>
      </c>
      <c r="C556" s="849">
        <f>COUNTA(B557:B568)</f>
        <v>11</v>
      </c>
      <c r="D556" s="849" t="str">
        <f>IFERROR(VLOOKUP(B556,'02. MM-KLH'!$B$6:$T$823,3,0),"")</f>
        <v/>
      </c>
      <c r="E556" s="849" t="str">
        <f>IFERROR(VLOOKUP(B556,'02. MM-KLH'!$B$6:$T$823,4,0),"")</f>
        <v/>
      </c>
      <c r="F556" s="849"/>
      <c r="G556" s="849" t="str">
        <f>IFERROR(VLOOKUP(B556,'02. MM-KLH'!$B$6:$T$823,6,0),"")</f>
        <v/>
      </c>
      <c r="H556" s="849"/>
      <c r="I556" s="849" t="str">
        <f>IFERROR(VLOOKUP(B556,'02. MM-KLH'!$B$6:$T$823,8,0),"")</f>
        <v/>
      </c>
      <c r="J556" s="849" t="str">
        <f>IFERROR(VLOOKUP(B556,'02. MM-KLH'!$B$6:$T$823,9,0),"")</f>
        <v/>
      </c>
      <c r="K556" s="849" t="str">
        <f>IFERROR(VLOOKUP(B556,'02. MM-KLH'!$B$6:$T$823,10,0),"")</f>
        <v/>
      </c>
      <c r="L556" s="849" t="str">
        <f>IFERROR(VLOOKUP(B556,'02. MM-KLH'!$B$6:$T$823,11,0),"")</f>
        <v/>
      </c>
      <c r="M556" s="849" t="str">
        <f>IFERROR(VLOOKUP(B556,'02. MM-KLH'!$B$6:$T$823,12,0),"")</f>
        <v/>
      </c>
      <c r="N556" s="849" t="str">
        <f>IFERROR(VLOOKUP(B556,'02. MM-KLH'!$B$6:$T$823,13,0),"")</f>
        <v/>
      </c>
      <c r="O556" s="849" t="str">
        <f>IFERROR(VLOOKUP(B556,'02. MM-KLH'!$B$6:$T$823,14,0),"")</f>
        <v/>
      </c>
      <c r="P556" s="849" t="str">
        <f>IFERROR(VLOOKUP(B556,'02. MM-KLH'!$B$6:$T$823,15,0),"")</f>
        <v/>
      </c>
      <c r="Q556" s="849" t="str">
        <f>IFERROR(VLOOKUP(B556,'02. MM-KLH'!$B$6:$T$823,16,0),"")</f>
        <v/>
      </c>
      <c r="R556" s="849" t="str">
        <f>IFERROR(VLOOKUP(B556,'02. MM-KLH'!$B$6:$T$823,17,0),"")</f>
        <v/>
      </c>
      <c r="S556" s="849" t="str">
        <f>IFERROR(VLOOKUP(B556,'02. MM-KLH'!$B$6:$T$823,18,0),"")</f>
        <v/>
      </c>
      <c r="T556" s="849" t="str">
        <f>IFERROR(VLOOKUP(B556,'02. MM-KLH'!$B$6:$T$823,19,0),"")</f>
        <v/>
      </c>
      <c r="U556" s="849" t="str">
        <f>IFERROR(VLOOKUP(C556,'02. MM-KLH'!$B$6:$T$823,19,0),"")</f>
        <v/>
      </c>
    </row>
    <row r="557" ht="13.5" customHeight="1" spans="1:21">
      <c r="A557" s="103">
        <v>1</v>
      </c>
      <c r="B557" s="104" t="s">
        <v>2204</v>
      </c>
      <c r="C557" s="102" t="str">
        <f>IFERROR(VLOOKUP(B557,'02. MM-KLH'!$B$6:$T$823,2,0),"")</f>
        <v>XB1-XCC-002</v>
      </c>
      <c r="D557" s="103" t="str">
        <f>IFERROR(VLOOKUP(B557,'02. MM-KLH'!$B$6:$T$823,3,0),"")</f>
        <v>ATT-A22-0285</v>
      </c>
      <c r="E557" s="102">
        <f>IFERROR(VLOOKUP(B557,'02. MM-KLH'!$B$6:$T$823,4,0),"")</f>
        <v>0</v>
      </c>
      <c r="F557" s="104" t="s">
        <v>3492</v>
      </c>
      <c r="G557" s="102" t="str">
        <f>IFERROR(VLOOKUP(B557,'02. MM-KLH'!$B$6:$T$823,6,0),"")</f>
        <v>Xe hứng cỏ FC150 (30m3)</v>
      </c>
      <c r="H557" s="101" t="s">
        <v>3493</v>
      </c>
      <c r="I557" s="101" t="str">
        <f>IFERROR(VLOOKUP(B557,'02. MM-KLH'!$B$6:$T$823,8,0),"")</f>
        <v>XN Bò AD</v>
      </c>
      <c r="J557" s="105">
        <f>IFERROR(VLOOKUP(B557,'02. MM-KLH'!$B$6:$T$823,9,0),"")</f>
        <v>45261</v>
      </c>
      <c r="K557" s="101" t="str">
        <f>IFERROR(VLOOKUP(B557,'02. MM-KLH'!$B$6:$T$823,10,0),"")</f>
        <v>Bình thường</v>
      </c>
      <c r="L557" s="107">
        <f>IFERROR(VLOOKUP(B557,'02. MM-KLH'!$B$6:$T$823,11,0),"")</f>
        <v>0.97</v>
      </c>
      <c r="M557" s="864">
        <f>IFERROR(VLOOKUP(B557,'02. MM-KLH'!$B$6:$T$823,12,0),"")</f>
        <v>0</v>
      </c>
      <c r="N557" s="110" t="str">
        <f>IFERROR(VLOOKUP(B557,'02. MM-KLH'!$B$6:$T$823,13,0),"")</f>
        <v>THACO FORLAND</v>
      </c>
      <c r="O557" s="110" t="str">
        <f>IFERROR(VLOOKUP(B557,'02. MM-KLH'!$B$6:$T$823,14,0),"")</f>
        <v>VIỆT NAM</v>
      </c>
      <c r="P557" s="101">
        <f>IFERROR(VLOOKUP(B557,'02. MM-KLH'!$B$6:$T$823,15,0),"")</f>
        <v>2022</v>
      </c>
      <c r="Q557" s="101" t="str">
        <f>IFERROR(VLOOKUP(B557,'02. MM-KLH'!$B$6:$T$823,16,0),"")</f>
        <v>FC150-4WD</v>
      </c>
      <c r="R557" s="101" t="str">
        <f>IFERROR(VLOOKUP(B557,'02. MM-KLH'!$B$6:$T$823,17,0),"")</f>
        <v>150HP</v>
      </c>
      <c r="S557" s="110" t="str">
        <f>IFERROR(VLOOKUP(B557,'02. MM-KLH'!$B$6:$T$823,18,0),"")</f>
        <v>RNHF16FYBNT070603</v>
      </c>
      <c r="T557" s="111" t="str">
        <f>IFERROR(VLOOKUP(B557,'02. MM-KLH'!$B$6:$T$823,19,0),"")</f>
        <v>YC4D150-48D59M1N00701</v>
      </c>
      <c r="U557" s="863" t="s">
        <v>3343</v>
      </c>
    </row>
    <row r="558" ht="13.5" customHeight="1" spans="1:21">
      <c r="A558" s="103">
        <v>2</v>
      </c>
      <c r="B558" s="104" t="s">
        <v>2208</v>
      </c>
      <c r="C558" s="102" t="str">
        <f>IFERROR(VLOOKUP(B558,'02. MM-KLH'!$B$6:$T$823,2,0),"")</f>
        <v>Mới</v>
      </c>
      <c r="D558" s="103" t="str">
        <f>IFERROR(VLOOKUP(B558,'02. MM-KLH'!$B$6:$T$823,3,0),"")</f>
        <v>ATT-A22-0289</v>
      </c>
      <c r="E558" s="102">
        <f>IFERROR(VLOOKUP(B558,'02. MM-KLH'!$B$6:$T$823,4,0),"")</f>
        <v>0</v>
      </c>
      <c r="F558" s="104" t="s">
        <v>3494</v>
      </c>
      <c r="G558" s="102" t="str">
        <f>IFERROR(VLOOKUP(B558,'02. MM-KLH'!$B$6:$T$823,6,0),"")</f>
        <v>Xe hứng cỏ FC150 (30m3)</v>
      </c>
      <c r="H558" s="101" t="s">
        <v>3493</v>
      </c>
      <c r="I558" s="101" t="str">
        <f>IFERROR(VLOOKUP(B558,'02. MM-KLH'!$B$6:$T$823,8,0),"")</f>
        <v>XN Bò AD</v>
      </c>
      <c r="J558" s="105">
        <f>IFERROR(VLOOKUP(B558,'02. MM-KLH'!$B$6:$T$823,9,0),"")</f>
        <v>45261</v>
      </c>
      <c r="K558" s="101" t="str">
        <f>IFERROR(VLOOKUP(B558,'02. MM-KLH'!$B$6:$T$823,10,0),"")</f>
        <v>Bình thường</v>
      </c>
      <c r="L558" s="107">
        <f>IFERROR(VLOOKUP(B558,'02. MM-KLH'!$B$6:$T$823,11,0),"")</f>
        <v>0.97</v>
      </c>
      <c r="M558" s="864">
        <f>IFERROR(VLOOKUP(B558,'02. MM-KLH'!$B$6:$T$823,12,0),"")</f>
        <v>0</v>
      </c>
      <c r="N558" s="110" t="str">
        <f>IFERROR(VLOOKUP(B558,'02. MM-KLH'!$B$6:$T$823,13,0),"")</f>
        <v>THACO FORLAND</v>
      </c>
      <c r="O558" s="110" t="str">
        <f>IFERROR(VLOOKUP(B558,'02. MM-KLH'!$B$6:$T$823,14,0),"")</f>
        <v>VIỆT NAM</v>
      </c>
      <c r="P558" s="101">
        <f>IFERROR(VLOOKUP(B558,'02. MM-KLH'!$B$6:$T$823,15,0),"")</f>
        <v>2023</v>
      </c>
      <c r="Q558" s="101" t="str">
        <f>IFERROR(VLOOKUP(B558,'02. MM-KLH'!$B$6:$T$823,16,0),"")</f>
        <v>FC150-4WD</v>
      </c>
      <c r="R558" s="101" t="str">
        <f>IFERROR(VLOOKUP(B558,'02. MM-KLH'!$B$6:$T$823,17,0),"")</f>
        <v>150HP</v>
      </c>
      <c r="S558" s="110" t="str">
        <f>IFERROR(VLOOKUP(B558,'02. MM-KLH'!$B$6:$T$823,18,0),"")</f>
        <v>RNHF16FYANT077508</v>
      </c>
      <c r="T558" s="111" t="str">
        <f>IFERROR(VLOOKUP(B558,'02. MM-KLH'!$B$6:$T$823,19,0),"")</f>
        <v>YC4D150-48D59M1N00901</v>
      </c>
      <c r="U558" s="863" t="s">
        <v>3343</v>
      </c>
    </row>
    <row r="559" ht="13.5" customHeight="1" spans="1:21">
      <c r="A559" s="103">
        <f t="shared" ref="A559:A567" si="25">1+A558</f>
        <v>3</v>
      </c>
      <c r="B559" s="104" t="s">
        <v>2211</v>
      </c>
      <c r="C559" s="102" t="str">
        <f>IFERROR(VLOOKUP(B559,'02. MM-KLH'!$B$6:$T$823,2,0),"")</f>
        <v>Mới</v>
      </c>
      <c r="D559" s="103" t="str">
        <f>IFERROR(VLOOKUP(B559,'02. MM-KLH'!$B$6:$T$823,3,0),"")</f>
        <v>ATT-A22-0293</v>
      </c>
      <c r="E559" s="102">
        <f>IFERROR(VLOOKUP(B559,'02. MM-KLH'!$B$6:$T$823,4,0),"")</f>
        <v>0</v>
      </c>
      <c r="F559" s="104" t="s">
        <v>3495</v>
      </c>
      <c r="G559" s="102" t="str">
        <f>IFERROR(VLOOKUP(B559,'02. MM-KLH'!$B$6:$T$823,6,0),"")</f>
        <v>Xe hứng cỏ FC150 (30m3)</v>
      </c>
      <c r="H559" s="101" t="s">
        <v>3493</v>
      </c>
      <c r="I559" s="101" t="str">
        <f>IFERROR(VLOOKUP(B559,'02. MM-KLH'!$B$6:$T$823,8,0),"")</f>
        <v>XN Bò AD</v>
      </c>
      <c r="J559" s="105">
        <f>IFERROR(VLOOKUP(B559,'02. MM-KLH'!$B$6:$T$823,9,0),"")</f>
        <v>45261</v>
      </c>
      <c r="K559" s="101" t="str">
        <f>IFERROR(VLOOKUP(B559,'02. MM-KLH'!$B$6:$T$823,10,0),"")</f>
        <v>Bình thường</v>
      </c>
      <c r="L559" s="107">
        <f>IFERROR(VLOOKUP(B559,'02. MM-KLH'!$B$6:$T$823,11,0),"")</f>
        <v>0.97</v>
      </c>
      <c r="M559" s="864" t="str">
        <f>IFERROR(VLOOKUP(B559,'02. MM-KLH'!$B$6:$T$823,12,0),"")</f>
        <v>Xe bị tai nạn 21/05/2025 (bị c.an giữ)</v>
      </c>
      <c r="N559" s="110" t="str">
        <f>IFERROR(VLOOKUP(B559,'02. MM-KLH'!$B$6:$T$823,13,0),"")</f>
        <v>THACO FORLAND</v>
      </c>
      <c r="O559" s="110" t="str">
        <f>IFERROR(VLOOKUP(B559,'02. MM-KLH'!$B$6:$T$823,14,0),"")</f>
        <v>VIỆT NAM</v>
      </c>
      <c r="P559" s="101">
        <f>IFERROR(VLOOKUP(B559,'02. MM-KLH'!$B$6:$T$823,15,0),"")</f>
        <v>2023</v>
      </c>
      <c r="Q559" s="101" t="str">
        <f>IFERROR(VLOOKUP(B559,'02. MM-KLH'!$B$6:$T$823,16,0),"")</f>
        <v>FC150-4WD</v>
      </c>
      <c r="R559" s="101" t="str">
        <f>IFERROR(VLOOKUP(B559,'02. MM-KLH'!$B$6:$T$823,17,0),"")</f>
        <v>150HP</v>
      </c>
      <c r="S559" s="1097" t="str">
        <f>IFERROR(VLOOKUP(B559,'02. MM-KLH'!$B$6:$T$823,18,0),"")</f>
        <v>RNHF16FYAPT077501</v>
      </c>
      <c r="T559" s="111" t="str">
        <f>IFERROR(VLOOKUP(B559,'02. MM-KLH'!$B$6:$T$823,19,0),"")</f>
        <v>YC4D150-48D59M1N00964</v>
      </c>
      <c r="U559" s="863" t="s">
        <v>3343</v>
      </c>
    </row>
    <row r="560" ht="13.5" customHeight="1" spans="1:21">
      <c r="A560" s="103">
        <f t="shared" si="25"/>
        <v>4</v>
      </c>
      <c r="B560" s="104" t="s">
        <v>2215</v>
      </c>
      <c r="C560" s="102" t="str">
        <f>IFERROR(VLOOKUP(B560,'02. MM-KLH'!$B$6:$T$823,2,0),"")</f>
        <v>Mới</v>
      </c>
      <c r="D560" s="103" t="str">
        <f>IFERROR(VLOOKUP(B560,'02. MM-KLH'!$B$6:$T$823,3,0),"")</f>
        <v>ATT-A22-0294</v>
      </c>
      <c r="E560" s="102">
        <f>IFERROR(VLOOKUP(B560,'02. MM-KLH'!$B$6:$T$823,4,0),"")</f>
        <v>0</v>
      </c>
      <c r="F560" s="104" t="s">
        <v>3496</v>
      </c>
      <c r="G560" s="102" t="str">
        <f>IFERROR(VLOOKUP(B560,'02. MM-KLH'!$B$6:$T$823,6,0),"")</f>
        <v>Xe hứng cỏ FC150 (30m3)</v>
      </c>
      <c r="H560" s="101" t="s">
        <v>3493</v>
      </c>
      <c r="I560" s="101" t="str">
        <f>IFERROR(VLOOKUP(B560,'02. MM-KLH'!$B$6:$T$823,8,0),"")</f>
        <v>XN Bò AD</v>
      </c>
      <c r="J560" s="105">
        <f>IFERROR(VLOOKUP(B560,'02. MM-KLH'!$B$6:$T$823,9,0),"")</f>
        <v>45261</v>
      </c>
      <c r="K560" s="101" t="str">
        <f>IFERROR(VLOOKUP(B560,'02. MM-KLH'!$B$6:$T$823,10,0),"")</f>
        <v>Bình thường</v>
      </c>
      <c r="L560" s="107">
        <f>IFERROR(VLOOKUP(B560,'02. MM-KLH'!$B$6:$T$823,11,0),"")</f>
        <v>0.97</v>
      </c>
      <c r="M560" s="864">
        <f>IFERROR(VLOOKUP(B560,'02. MM-KLH'!$B$6:$T$823,12,0),"")</f>
        <v>0</v>
      </c>
      <c r="N560" s="110" t="str">
        <f>IFERROR(VLOOKUP(B560,'02. MM-KLH'!$B$6:$T$823,13,0),"")</f>
        <v>THACO FORLAND</v>
      </c>
      <c r="O560" s="110" t="str">
        <f>IFERROR(VLOOKUP(B560,'02. MM-KLH'!$B$6:$T$823,14,0),"")</f>
        <v>VIỆT NAM</v>
      </c>
      <c r="P560" s="101">
        <f>IFERROR(VLOOKUP(B560,'02. MM-KLH'!$B$6:$T$823,15,0),"")</f>
        <v>2023</v>
      </c>
      <c r="Q560" s="101" t="str">
        <f>IFERROR(VLOOKUP(B560,'02. MM-KLH'!$B$6:$T$823,16,0),"")</f>
        <v>FC150-4WD</v>
      </c>
      <c r="R560" s="101" t="str">
        <f>IFERROR(VLOOKUP(B560,'02. MM-KLH'!$B$6:$T$823,17,0),"")</f>
        <v>150HP</v>
      </c>
      <c r="S560" s="110" t="str">
        <f>IFERROR(VLOOKUP(B560,'02. MM-KLH'!$B$6:$T$823,18,0),"")</f>
        <v>RNHF16FYAPT077504</v>
      </c>
      <c r="T560" s="111" t="str">
        <f>IFERROR(VLOOKUP(B560,'02. MM-KLH'!$B$6:$T$823,19,0),"")</f>
        <v>YC4D150-48D59M1N00940</v>
      </c>
      <c r="U560" s="863" t="s">
        <v>3343</v>
      </c>
    </row>
    <row r="561" ht="13.5" customHeight="1" spans="1:21">
      <c r="A561" s="103">
        <f t="shared" si="25"/>
        <v>5</v>
      </c>
      <c r="B561" s="104" t="s">
        <v>2218</v>
      </c>
      <c r="C561" s="102" t="str">
        <f>IFERROR(VLOOKUP(B561,'02. MM-KLH'!$B$6:$T$823,2,0),"")</f>
        <v>Mới</v>
      </c>
      <c r="D561" s="103" t="str">
        <f>IFERROR(VLOOKUP(B561,'02. MM-KLH'!$B$6:$T$823,3,0),"")</f>
        <v>ATT-A22-0296</v>
      </c>
      <c r="E561" s="102">
        <f>IFERROR(VLOOKUP(B561,'02. MM-KLH'!$B$6:$T$823,4,0),"")</f>
        <v>0</v>
      </c>
      <c r="F561" s="104" t="s">
        <v>3497</v>
      </c>
      <c r="G561" s="102" t="str">
        <f>IFERROR(VLOOKUP(B561,'02. MM-KLH'!$B$6:$T$823,6,0),"")</f>
        <v>Xe hứng cỏ FC150 (30m3)</v>
      </c>
      <c r="H561" s="101" t="s">
        <v>3493</v>
      </c>
      <c r="I561" s="101" t="str">
        <f>IFERROR(VLOOKUP(B561,'02. MM-KLH'!$B$6:$T$823,8,0),"")</f>
        <v>XN Bò AD</v>
      </c>
      <c r="J561" s="105" t="str">
        <f>IFERROR(VLOOKUP(B561,'02. MM-KLH'!$B$6:$T$823,9,0),"")</f>
        <v>25/11/2023</v>
      </c>
      <c r="K561" s="101" t="str">
        <f>IFERROR(VLOOKUP(B561,'02. MM-KLH'!$B$6:$T$823,10,0),"")</f>
        <v>Bình thường</v>
      </c>
      <c r="L561" s="107">
        <f>IFERROR(VLOOKUP(B561,'02. MM-KLH'!$B$6:$T$823,11,0),"")</f>
        <v>0.97</v>
      </c>
      <c r="M561" s="864" t="str">
        <f>IFERROR(VLOOKUP(B561,'02. MM-KLH'!$B$6:$T$823,12,0),"")</f>
        <v>Đầu tư mới</v>
      </c>
      <c r="N561" s="110" t="str">
        <f>IFERROR(VLOOKUP(B561,'02. MM-KLH'!$B$6:$T$823,13,0),"")</f>
        <v>THACO FORLAND</v>
      </c>
      <c r="O561" s="110" t="str">
        <f>IFERROR(VLOOKUP(B561,'02. MM-KLH'!$B$6:$T$823,14,0),"")</f>
        <v>VIỆT NAM</v>
      </c>
      <c r="P561" s="101">
        <f>IFERROR(VLOOKUP(B561,'02. MM-KLH'!$B$6:$T$823,15,0),"")</f>
        <v>2023</v>
      </c>
      <c r="Q561" s="101" t="str">
        <f>IFERROR(VLOOKUP(B561,'02. MM-KLH'!$B$6:$T$823,16,0),"")</f>
        <v>FC150-4WD</v>
      </c>
      <c r="R561" s="101" t="str">
        <f>IFERROR(VLOOKUP(B561,'02. MM-KLH'!$B$6:$T$823,17,0),"")</f>
        <v>150HP</v>
      </c>
      <c r="S561" s="110" t="str">
        <f>IFERROR(VLOOKUP(B561,'02. MM-KLH'!$B$6:$T$823,18,0),"")</f>
        <v>RNHF16FYAPT077505</v>
      </c>
      <c r="T561" s="111" t="str">
        <f>IFERROR(VLOOKUP(B561,'02. MM-KLH'!$B$6:$T$823,19,0),"")</f>
        <v>YC4D150-48D59M1N00944</v>
      </c>
      <c r="U561" s="863" t="s">
        <v>3343</v>
      </c>
    </row>
    <row r="562" ht="13.5" customHeight="1" spans="1:21">
      <c r="A562" s="103">
        <f t="shared" si="25"/>
        <v>6</v>
      </c>
      <c r="B562" s="104" t="s">
        <v>2222</v>
      </c>
      <c r="C562" s="102" t="str">
        <f>IFERROR(VLOOKUP(B562,'02. MM-KLH'!$B$6:$T$823,2,0),"")</f>
        <v>Mới</v>
      </c>
      <c r="D562" s="103" t="str">
        <f>IFERROR(VLOOKUP(B562,'02. MM-KLH'!$B$6:$T$823,3,0),"")</f>
        <v>ATT-A22-0297</v>
      </c>
      <c r="E562" s="102">
        <f>IFERROR(VLOOKUP(B562,'02. MM-KLH'!$B$6:$T$823,4,0),"")</f>
        <v>0</v>
      </c>
      <c r="F562" s="104" t="s">
        <v>3498</v>
      </c>
      <c r="G562" s="102" t="str">
        <f>IFERROR(VLOOKUP(B562,'02. MM-KLH'!$B$6:$T$823,6,0),"")</f>
        <v>Xe hứng cỏ FC150 (30m3)</v>
      </c>
      <c r="H562" s="101" t="s">
        <v>3493</v>
      </c>
      <c r="I562" s="101" t="str">
        <f>IFERROR(VLOOKUP(B562,'02. MM-KLH'!$B$6:$T$823,8,0),"")</f>
        <v>XN Bò AD</v>
      </c>
      <c r="J562" s="105" t="str">
        <f>IFERROR(VLOOKUP(B562,'02. MM-KLH'!$B$6:$T$823,9,0),"")</f>
        <v>25/11/2023</v>
      </c>
      <c r="K562" s="101" t="str">
        <f>IFERROR(VLOOKUP(B562,'02. MM-KLH'!$B$6:$T$823,10,0),"")</f>
        <v>Bình thường</v>
      </c>
      <c r="L562" s="107">
        <f>IFERROR(VLOOKUP(B562,'02. MM-KLH'!$B$6:$T$823,11,0),"")</f>
        <v>0.97</v>
      </c>
      <c r="M562" s="864" t="str">
        <f>IFERROR(VLOOKUP(B562,'02. MM-KLH'!$B$6:$T$823,12,0),"")</f>
        <v>Đầu tư mới</v>
      </c>
      <c r="N562" s="110" t="str">
        <f>IFERROR(VLOOKUP(B562,'02. MM-KLH'!$B$6:$T$823,13,0),"")</f>
        <v>THACO FORLAND</v>
      </c>
      <c r="O562" s="110" t="str">
        <f>IFERROR(VLOOKUP(B562,'02. MM-KLH'!$B$6:$T$823,14,0),"")</f>
        <v>VIỆT NAM</v>
      </c>
      <c r="P562" s="101">
        <f>IFERROR(VLOOKUP(B562,'02. MM-KLH'!$B$6:$T$823,15,0),"")</f>
        <v>2023</v>
      </c>
      <c r="Q562" s="101" t="str">
        <f>IFERROR(VLOOKUP(B562,'02. MM-KLH'!$B$6:$T$823,16,0),"")</f>
        <v>FC150-4WD</v>
      </c>
      <c r="R562" s="101" t="str">
        <f>IFERROR(VLOOKUP(B562,'02. MM-KLH'!$B$6:$T$823,17,0),"")</f>
        <v>150HP</v>
      </c>
      <c r="S562" s="110" t="str">
        <f>IFERROR(VLOOKUP(B562,'02. MM-KLH'!$B$6:$T$823,18,0),"")</f>
        <v>RNHF16FYAPT077506</v>
      </c>
      <c r="T562" s="111" t="str">
        <f>IFERROR(VLOOKUP(B562,'02. MM-KLH'!$B$6:$T$823,19,0),"")</f>
        <v>YC4D150-48D59M1N00906</v>
      </c>
      <c r="U562" s="863" t="s">
        <v>3343</v>
      </c>
    </row>
    <row r="563" ht="13.5" customHeight="1" spans="1:21">
      <c r="A563" s="103">
        <f t="shared" si="25"/>
        <v>7</v>
      </c>
      <c r="B563" s="104" t="s">
        <v>2225</v>
      </c>
      <c r="C563" s="102" t="str">
        <f>IFERROR(VLOOKUP(B563,'02. MM-KLH'!$B$6:$T$823,2,0),"")</f>
        <v>Mới</v>
      </c>
      <c r="D563" s="103" t="str">
        <f>IFERROR(VLOOKUP(B563,'02. MM-KLH'!$B$6:$T$823,3,0),"")</f>
        <v>A22-XHC-007</v>
      </c>
      <c r="E563" s="102">
        <f>IFERROR(VLOOKUP(B563,'02. MM-KLH'!$B$6:$T$823,4,0),"")</f>
        <v>0</v>
      </c>
      <c r="F563" s="104"/>
      <c r="G563" s="102" t="str">
        <f>IFERROR(VLOOKUP(B563,'02. MM-KLH'!$B$6:$T$823,6,0),"")</f>
        <v>Xe hứng cỏ FC150 (30m3)</v>
      </c>
      <c r="H563" s="101" t="s">
        <v>3493</v>
      </c>
      <c r="I563" s="101" t="str">
        <f>IFERROR(VLOOKUP(B563,'02. MM-KLH'!$B$6:$T$823,8,0),"")</f>
        <v>XN Bò AD</v>
      </c>
      <c r="J563" s="105">
        <f>IFERROR(VLOOKUP(B563,'02. MM-KLH'!$B$6:$T$823,9,0),"")</f>
        <v>45751</v>
      </c>
      <c r="K563" s="101" t="str">
        <f>IFERROR(VLOOKUP(B563,'02. MM-KLH'!$B$6:$T$823,10,0),"")</f>
        <v>Bình thường</v>
      </c>
      <c r="L563" s="107">
        <f>IFERROR(VLOOKUP(B563,'02. MM-KLH'!$B$6:$T$823,11,0),"")</f>
        <v>0</v>
      </c>
      <c r="M563" s="864" t="str">
        <f>IFERROR(VLOOKUP(B563,'02. MM-KLH'!$B$6:$T$823,12,0),"")</f>
        <v>Đầu tư mới</v>
      </c>
      <c r="N563" s="110" t="str">
        <f>IFERROR(VLOOKUP(B563,'02. MM-KLH'!$B$6:$T$823,13,0),"")</f>
        <v>THACO FORLAND</v>
      </c>
      <c r="O563" s="110" t="str">
        <f>IFERROR(VLOOKUP(B563,'02. MM-KLH'!$B$6:$T$823,14,0),"")</f>
        <v>VIỆT NAM</v>
      </c>
      <c r="P563" s="101">
        <f>IFERROR(VLOOKUP(B563,'02. MM-KLH'!$B$6:$T$823,15,0),"")</f>
        <v>2024</v>
      </c>
      <c r="Q563" s="101" t="str">
        <f>IFERROR(VLOOKUP(B563,'02. MM-KLH'!$B$6:$T$823,16,0),"")</f>
        <v>FC150-4WD</v>
      </c>
      <c r="R563" s="101" t="str">
        <f>IFERROR(VLOOKUP(B563,'02. MM-KLH'!$B$6:$T$823,17,0),"")</f>
        <v>150HP</v>
      </c>
      <c r="S563" s="110" t="str">
        <f>IFERROR(VLOOKUP(B563,'02. MM-KLH'!$B$6:$T$823,18,0),"")</f>
        <v>RNHF16FYBRT070602</v>
      </c>
      <c r="T563" s="111" t="str">
        <f>IFERROR(VLOOKUP(B563,'02. MM-KLH'!$B$6:$T$823,19,0),"")</f>
        <v>D59M1N00683</v>
      </c>
      <c r="U563" s="863" t="s">
        <v>3343</v>
      </c>
    </row>
    <row r="564" ht="13.5" customHeight="1" spans="1:21">
      <c r="A564" s="103">
        <f t="shared" si="25"/>
        <v>8</v>
      </c>
      <c r="B564" s="104" t="s">
        <v>2229</v>
      </c>
      <c r="C564" s="102" t="str">
        <f>IFERROR(VLOOKUP(B564,'02. MM-KLH'!$B$6:$T$823,2,0),"")</f>
        <v>Mới</v>
      </c>
      <c r="D564" s="103" t="str">
        <f>IFERROR(VLOOKUP(B564,'02. MM-KLH'!$B$6:$T$823,3,0),"")</f>
        <v>A22-XHC-008</v>
      </c>
      <c r="E564" s="102">
        <f>IFERROR(VLOOKUP(B564,'02. MM-KLH'!$B$6:$T$823,4,0),"")</f>
        <v>0</v>
      </c>
      <c r="F564" s="104"/>
      <c r="G564" s="102" t="str">
        <f>IFERROR(VLOOKUP(B564,'02. MM-KLH'!$B$6:$T$823,6,0),"")</f>
        <v>Xe hứng cỏ FC150 (30m3)</v>
      </c>
      <c r="H564" s="101" t="s">
        <v>3493</v>
      </c>
      <c r="I564" s="101" t="str">
        <f>IFERROR(VLOOKUP(B564,'02. MM-KLH'!$B$6:$T$823,8,0),"")</f>
        <v>XN Bò AD</v>
      </c>
      <c r="J564" s="105">
        <f>IFERROR(VLOOKUP(B564,'02. MM-KLH'!$B$6:$T$823,9,0),"")</f>
        <v>45751</v>
      </c>
      <c r="K564" s="101" t="str">
        <f>IFERROR(VLOOKUP(B564,'02. MM-KLH'!$B$6:$T$823,10,0),"")</f>
        <v>Bình thường</v>
      </c>
      <c r="L564" s="107">
        <f>IFERROR(VLOOKUP(B564,'02. MM-KLH'!$B$6:$T$823,11,0),"")</f>
        <v>0</v>
      </c>
      <c r="M564" s="864" t="str">
        <f>IFERROR(VLOOKUP(B564,'02. MM-KLH'!$B$6:$T$823,12,0),"")</f>
        <v>Đầu tư mới</v>
      </c>
      <c r="N564" s="110" t="str">
        <f>IFERROR(VLOOKUP(B564,'02. MM-KLH'!$B$6:$T$823,13,0),"")</f>
        <v>THACO FORLAND</v>
      </c>
      <c r="O564" s="110" t="str">
        <f>IFERROR(VLOOKUP(B564,'02. MM-KLH'!$B$6:$T$823,14,0),"")</f>
        <v>VIỆT NAM</v>
      </c>
      <c r="P564" s="101">
        <f>IFERROR(VLOOKUP(B564,'02. MM-KLH'!$B$6:$T$823,15,0),"")</f>
        <v>2024</v>
      </c>
      <c r="Q564" s="101" t="str">
        <f>IFERROR(VLOOKUP(B564,'02. MM-KLH'!$B$6:$T$823,16,0),"")</f>
        <v>FC150-4WD</v>
      </c>
      <c r="R564" s="101" t="str">
        <f>IFERROR(VLOOKUP(B564,'02. MM-KLH'!$B$6:$T$823,17,0),"")</f>
        <v>150HP</v>
      </c>
      <c r="S564" s="110" t="str">
        <f>IFERROR(VLOOKUP(B564,'02. MM-KLH'!$B$6:$T$823,18,0),"")</f>
        <v>RNHF16FYBRT077511</v>
      </c>
      <c r="T564" s="111" t="str">
        <f>IFERROR(VLOOKUP(B564,'02. MM-KLH'!$B$6:$T$823,19,0),"")</f>
        <v>D59M1N01090</v>
      </c>
      <c r="U564" s="863" t="s">
        <v>3343</v>
      </c>
    </row>
    <row r="565" ht="13.5" customHeight="1" spans="1:21">
      <c r="A565" s="103">
        <f t="shared" si="25"/>
        <v>9</v>
      </c>
      <c r="B565" s="104" t="s">
        <v>2233</v>
      </c>
      <c r="C565" s="102" t="str">
        <f>IFERROR(VLOOKUP(B565,'02. MM-KLH'!$B$6:$T$823,2,0),"")</f>
        <v>Mới</v>
      </c>
      <c r="D565" s="103" t="str">
        <f>IFERROR(VLOOKUP(B565,'02. MM-KLH'!$B$6:$T$823,3,0),"")</f>
        <v>A22-XHC-009</v>
      </c>
      <c r="E565" s="102">
        <f>IFERROR(VLOOKUP(B565,'02. MM-KLH'!$B$6:$T$823,4,0),"")</f>
        <v>0</v>
      </c>
      <c r="F565" s="104"/>
      <c r="G565" s="102" t="str">
        <f>IFERROR(VLOOKUP(B565,'02. MM-KLH'!$B$6:$T$823,6,0),"")</f>
        <v>Xe hứng cỏ FC150 (30m3)</v>
      </c>
      <c r="H565" s="101" t="s">
        <v>3493</v>
      </c>
      <c r="I565" s="101" t="str">
        <f>IFERROR(VLOOKUP(B565,'02. MM-KLH'!$B$6:$T$823,8,0),"")</f>
        <v>XN Bò AD</v>
      </c>
      <c r="J565" s="105">
        <f>IFERROR(VLOOKUP(B565,'02. MM-KLH'!$B$6:$T$823,9,0),"")</f>
        <v>45751</v>
      </c>
      <c r="K565" s="101" t="str">
        <f>IFERROR(VLOOKUP(B565,'02. MM-KLH'!$B$6:$T$823,10,0),"")</f>
        <v>Bình thường</v>
      </c>
      <c r="L565" s="107">
        <f>IFERROR(VLOOKUP(B565,'02. MM-KLH'!$B$6:$T$823,11,0),"")</f>
        <v>0</v>
      </c>
      <c r="M565" s="864" t="str">
        <f>IFERROR(VLOOKUP(B565,'02. MM-KLH'!$B$6:$T$823,12,0),"")</f>
        <v>Đầu tư mới</v>
      </c>
      <c r="N565" s="110" t="str">
        <f>IFERROR(VLOOKUP(B565,'02. MM-KLH'!$B$6:$T$823,13,0),"")</f>
        <v>THACO FORLAND</v>
      </c>
      <c r="O565" s="110" t="str">
        <f>IFERROR(VLOOKUP(B565,'02. MM-KLH'!$B$6:$T$823,14,0),"")</f>
        <v>VIỆT NAM</v>
      </c>
      <c r="P565" s="101">
        <f>IFERROR(VLOOKUP(B565,'02. MM-KLH'!$B$6:$T$823,15,0),"")</f>
        <v>2024</v>
      </c>
      <c r="Q565" s="101" t="str">
        <f>IFERROR(VLOOKUP(B565,'02. MM-KLH'!$B$6:$T$823,16,0),"")</f>
        <v>FC150-4WD</v>
      </c>
      <c r="R565" s="101" t="str">
        <f>IFERROR(VLOOKUP(B565,'02. MM-KLH'!$B$6:$T$823,17,0),"")</f>
        <v>150HP</v>
      </c>
      <c r="S565" s="110" t="str">
        <f>IFERROR(VLOOKUP(B565,'02. MM-KLH'!$B$6:$T$823,18,0),"")</f>
        <v>RNHF16FYBRT077510</v>
      </c>
      <c r="T565" s="111" t="str">
        <f>IFERROR(VLOOKUP(B565,'02. MM-KLH'!$B$6:$T$823,19,0),"")</f>
        <v>D59M1N01093</v>
      </c>
      <c r="U565" s="863" t="s">
        <v>3343</v>
      </c>
    </row>
    <row r="566" ht="13.5" customHeight="1" spans="1:21">
      <c r="A566" s="103">
        <f t="shared" si="25"/>
        <v>10</v>
      </c>
      <c r="B566" s="104" t="s">
        <v>2237</v>
      </c>
      <c r="C566" s="102" t="str">
        <f>IFERROR(VLOOKUP(B566,'02. MM-KLH'!$B$6:$T$823,2,0),"")</f>
        <v>Mới</v>
      </c>
      <c r="D566" s="103" t="str">
        <f>IFERROR(VLOOKUP(B566,'02. MM-KLH'!$B$6:$T$823,3,0),"")</f>
        <v>A22-XHC-010</v>
      </c>
      <c r="E566" s="102">
        <f>IFERROR(VLOOKUP(B566,'02. MM-KLH'!$B$6:$T$823,4,0),"")</f>
        <v>0</v>
      </c>
      <c r="F566" s="104"/>
      <c r="G566" s="102" t="str">
        <f>IFERROR(VLOOKUP(B566,'02. MM-KLH'!$B$6:$T$823,6,0),"")</f>
        <v>Xe hứng cỏ FC150 (30m3)</v>
      </c>
      <c r="H566" s="101" t="s">
        <v>3493</v>
      </c>
      <c r="I566" s="101" t="str">
        <f>IFERROR(VLOOKUP(B566,'02. MM-KLH'!$B$6:$T$823,8,0),"")</f>
        <v>XN Bò AD</v>
      </c>
      <c r="J566" s="105">
        <f>IFERROR(VLOOKUP(B566,'02. MM-KLH'!$B$6:$T$823,9,0),"")</f>
        <v>45751</v>
      </c>
      <c r="K566" s="101" t="str">
        <f>IFERROR(VLOOKUP(B566,'02. MM-KLH'!$B$6:$T$823,10,0),"")</f>
        <v>Bình thường</v>
      </c>
      <c r="L566" s="107">
        <f>IFERROR(VLOOKUP(B566,'02. MM-KLH'!$B$6:$T$823,11,0),"")</f>
        <v>0</v>
      </c>
      <c r="M566" s="864" t="str">
        <f>IFERROR(VLOOKUP(B566,'02. MM-KLH'!$B$6:$T$823,12,0),"")</f>
        <v>Đầu tư mới</v>
      </c>
      <c r="N566" s="110" t="str">
        <f>IFERROR(VLOOKUP(B566,'02. MM-KLH'!$B$6:$T$823,13,0),"")</f>
        <v>THACO FORLAND</v>
      </c>
      <c r="O566" s="110" t="str">
        <f>IFERROR(VLOOKUP(B566,'02. MM-KLH'!$B$6:$T$823,14,0),"")</f>
        <v>VIỆT NAM</v>
      </c>
      <c r="P566" s="101">
        <f>IFERROR(VLOOKUP(B566,'02. MM-KLH'!$B$6:$T$823,15,0),"")</f>
        <v>2024</v>
      </c>
      <c r="Q566" s="101" t="str">
        <f>IFERROR(VLOOKUP(B566,'02. MM-KLH'!$B$6:$T$823,16,0),"")</f>
        <v>FC150-4WD</v>
      </c>
      <c r="R566" s="101" t="str">
        <f>IFERROR(VLOOKUP(B566,'02. MM-KLH'!$B$6:$T$823,17,0),"")</f>
        <v>150HP</v>
      </c>
      <c r="S566" s="110" t="str">
        <f>IFERROR(VLOOKUP(B566,'02. MM-KLH'!$B$6:$T$823,18,0),"")</f>
        <v>RNHF16FYBRT077512</v>
      </c>
      <c r="T566" s="111" t="str">
        <f>IFERROR(VLOOKUP(B566,'02. MM-KLH'!$B$6:$T$823,19,0),"")</f>
        <v>D59M1N01099</v>
      </c>
      <c r="U566" s="863" t="s">
        <v>3343</v>
      </c>
    </row>
    <row r="567" ht="13.5" customHeight="1" spans="1:21">
      <c r="A567" s="103">
        <f t="shared" si="25"/>
        <v>11</v>
      </c>
      <c r="B567" s="104" t="s">
        <v>2241</v>
      </c>
      <c r="C567" s="102" t="str">
        <f>IFERROR(VLOOKUP(B567,'02. MM-KLH'!$B$6:$T$823,2,0),"")</f>
        <v>Mới</v>
      </c>
      <c r="D567" s="103" t="str">
        <f>IFERROR(VLOOKUP(B567,'02. MM-KLH'!$B$6:$T$823,3,0),"")</f>
        <v>A22-XHC-011</v>
      </c>
      <c r="E567" s="102">
        <f>IFERROR(VLOOKUP(B567,'02. MM-KLH'!$B$6:$T$823,4,0),"")</f>
        <v>0</v>
      </c>
      <c r="F567" s="104"/>
      <c r="G567" s="102" t="str">
        <f>IFERROR(VLOOKUP(B567,'02. MM-KLH'!$B$6:$T$823,6,0),"")</f>
        <v>Xe hứng cỏ FC150 (30m3)</v>
      </c>
      <c r="H567" s="101" t="s">
        <v>3493</v>
      </c>
      <c r="I567" s="101" t="str">
        <f>IFERROR(VLOOKUP(B567,'02. MM-KLH'!$B$6:$T$823,8,0),"")</f>
        <v>XN Bò AD</v>
      </c>
      <c r="J567" s="105">
        <f>IFERROR(VLOOKUP(B567,'02. MM-KLH'!$B$6:$T$823,9,0),"")</f>
        <v>45967</v>
      </c>
      <c r="K567" s="101" t="str">
        <f>IFERROR(VLOOKUP(B567,'02. MM-KLH'!$B$6:$T$823,10,0),"")</f>
        <v>Bình thường</v>
      </c>
      <c r="L567" s="107">
        <f>IFERROR(VLOOKUP(B567,'02. MM-KLH'!$B$6:$T$823,11,0),"")</f>
        <v>0</v>
      </c>
      <c r="M567" s="864" t="str">
        <f>IFERROR(VLOOKUP(B567,'02. MM-KLH'!$B$6:$T$823,12,0),"")</f>
        <v>Đầu tư mới</v>
      </c>
      <c r="N567" s="110" t="str">
        <f>IFERROR(VLOOKUP(B567,'02. MM-KLH'!$B$6:$T$823,13,0),"")</f>
        <v>THACO FORLAND</v>
      </c>
      <c r="O567" s="110" t="str">
        <f>IFERROR(VLOOKUP(B567,'02. MM-KLH'!$B$6:$T$823,14,0),"")</f>
        <v>VIỆT NAM</v>
      </c>
      <c r="P567" s="101">
        <f>IFERROR(VLOOKUP(B567,'02. MM-KLH'!$B$6:$T$823,15,0),"")</f>
        <v>2024</v>
      </c>
      <c r="Q567" s="101" t="str">
        <f>IFERROR(VLOOKUP(B567,'02. MM-KLH'!$B$6:$T$823,16,0),"")</f>
        <v>FC150-4WD</v>
      </c>
      <c r="R567" s="101" t="str">
        <f>IFERROR(VLOOKUP(B567,'02. MM-KLH'!$B$6:$T$823,17,0),"")</f>
        <v>150HP</v>
      </c>
      <c r="S567" s="110" t="str">
        <f>IFERROR(VLOOKUP(B567,'02. MM-KLH'!$B$6:$T$823,18,0),"")</f>
        <v>RNHF16FYBRT000129</v>
      </c>
      <c r="T567" s="111" t="str">
        <f>IFERROR(VLOOKUP(B567,'02. MM-KLH'!$B$6:$T$823,19,0),"")</f>
        <v>YC4D150-48*D59M1N01035*</v>
      </c>
      <c r="U567" s="863" t="s">
        <v>3343</v>
      </c>
    </row>
    <row r="568" ht="13.5" customHeight="1" spans="1:21">
      <c r="A568" s="101"/>
      <c r="B568" s="104"/>
      <c r="C568" s="102" t="str">
        <f>IFERROR(VLOOKUP(B568,'02. MM-KLH'!$B$6:$T$823,2,0),"")</f>
        <v/>
      </c>
      <c r="D568" s="103" t="str">
        <f>IFERROR(VLOOKUP(B568,'02. MM-KLH'!$B$6:$T$823,3,0),"")</f>
        <v/>
      </c>
      <c r="E568" s="102" t="str">
        <f>IFERROR(VLOOKUP(B568,'02. MM-KLH'!$B$6:$T$823,4,0),"")</f>
        <v/>
      </c>
      <c r="F568" s="104"/>
      <c r="G568" s="102" t="str">
        <f>IFERROR(VLOOKUP(B568,'02. MM-KLH'!$B$6:$T$823,6,0),"")</f>
        <v/>
      </c>
      <c r="H568" s="101"/>
      <c r="I568" s="101" t="str">
        <f>IFERROR(VLOOKUP(B568,'02. MM-KLH'!$B$6:$T$823,8,0),"")</f>
        <v/>
      </c>
      <c r="J568" s="105" t="str">
        <f>IFERROR(VLOOKUP(B568,'02. MM-KLH'!$B$6:$T$823,9,0),"")</f>
        <v/>
      </c>
      <c r="K568" s="101" t="str">
        <f>IFERROR(VLOOKUP(B568,'02. MM-KLH'!$B$6:$T$823,10,0),"")</f>
        <v/>
      </c>
      <c r="L568" s="107" t="str">
        <f>IFERROR(VLOOKUP(B568,'02. MM-KLH'!$B$6:$T$823,11,0),"")</f>
        <v/>
      </c>
      <c r="M568" s="864" t="str">
        <f>IFERROR(VLOOKUP(B568,'02. MM-KLH'!$B$6:$T$823,12,0),"")</f>
        <v/>
      </c>
      <c r="N568" s="110" t="str">
        <f>IFERROR(VLOOKUP(B568,'02. MM-KLH'!$B$6:$T$823,13,0),"")</f>
        <v/>
      </c>
      <c r="O568" s="110" t="str">
        <f>IFERROR(VLOOKUP(B568,'02. MM-KLH'!$B$6:$T$823,14,0),"")</f>
        <v/>
      </c>
      <c r="P568" s="101" t="str">
        <f>IFERROR(VLOOKUP(B568,'02. MM-KLH'!$B$6:$T$823,15,0),"")</f>
        <v/>
      </c>
      <c r="Q568" s="101" t="str">
        <f>IFERROR(VLOOKUP(B568,'02. MM-KLH'!$B$6:$T$823,16,0),"")</f>
        <v/>
      </c>
      <c r="R568" s="101" t="str">
        <f>IFERROR(VLOOKUP(B568,'02. MM-KLH'!$B$6:$T$823,17,0),"")</f>
        <v/>
      </c>
      <c r="S568" s="110" t="str">
        <f>IFERROR(VLOOKUP(B568,'02. MM-KLH'!$B$6:$T$823,18,0),"")</f>
        <v/>
      </c>
      <c r="T568" s="111" t="str">
        <f>IFERROR(VLOOKUP(B568,'02. MM-KLH'!$B$6:$T$823,19,0),"")</f>
        <v/>
      </c>
      <c r="U568" s="863"/>
    </row>
    <row r="569" ht="13.5" customHeight="1" spans="1:21">
      <c r="A569" s="847" t="s">
        <v>290</v>
      </c>
      <c r="B569" s="848" t="s">
        <v>3499</v>
      </c>
      <c r="C569" s="849">
        <f>COUNTA(B570:B583)</f>
        <v>13</v>
      </c>
      <c r="D569" s="849" t="str">
        <f>IFERROR(VLOOKUP(B569,'02. MM-KLH'!$B$6:$T$823,3,0),"")</f>
        <v/>
      </c>
      <c r="E569" s="849" t="str">
        <f>IFERROR(VLOOKUP(B569,'02. MM-KLH'!$B$6:$T$823,4,0),"")</f>
        <v/>
      </c>
      <c r="F569" s="849"/>
      <c r="G569" s="849" t="str">
        <f>IFERROR(VLOOKUP(B569,'02. MM-KLH'!$B$6:$T$823,6,0),"")</f>
        <v/>
      </c>
      <c r="H569" s="849"/>
      <c r="I569" s="849" t="str">
        <f>IFERROR(VLOOKUP(B569,'02. MM-KLH'!$B$6:$T$823,8,0),"")</f>
        <v/>
      </c>
      <c r="J569" s="849" t="str">
        <f>IFERROR(VLOOKUP(B569,'02. MM-KLH'!$B$6:$T$823,9,0),"")</f>
        <v/>
      </c>
      <c r="K569" s="849" t="str">
        <f>IFERROR(VLOOKUP(B569,'02. MM-KLH'!$B$6:$T$823,10,0),"")</f>
        <v/>
      </c>
      <c r="L569" s="849" t="str">
        <f>IFERROR(VLOOKUP(B569,'02. MM-KLH'!$B$6:$T$823,11,0),"")</f>
        <v/>
      </c>
      <c r="M569" s="849" t="str">
        <f>IFERROR(VLOOKUP(B569,'02. MM-KLH'!$B$6:$T$823,12,0),"")</f>
        <v/>
      </c>
      <c r="N569" s="849" t="str">
        <f>IFERROR(VLOOKUP(B569,'02. MM-KLH'!$B$6:$T$823,13,0),"")</f>
        <v/>
      </c>
      <c r="O569" s="849" t="str">
        <f>IFERROR(VLOOKUP(B569,'02. MM-KLH'!$B$6:$T$823,14,0),"")</f>
        <v/>
      </c>
      <c r="P569" s="849" t="str">
        <f>IFERROR(VLOOKUP(B569,'02. MM-KLH'!$B$6:$T$823,15,0),"")</f>
        <v/>
      </c>
      <c r="Q569" s="849" t="str">
        <f>IFERROR(VLOOKUP(B569,'02. MM-KLH'!$B$6:$T$823,16,0),"")</f>
        <v/>
      </c>
      <c r="R569" s="849" t="str">
        <f>IFERROR(VLOOKUP(B569,'02. MM-KLH'!$B$6:$T$823,17,0),"")</f>
        <v/>
      </c>
      <c r="S569" s="849" t="str">
        <f>IFERROR(VLOOKUP(B569,'02. MM-KLH'!$B$6:$T$823,18,0),"")</f>
        <v/>
      </c>
      <c r="T569" s="849" t="str">
        <f>IFERROR(VLOOKUP(B569,'02. MM-KLH'!$B$6:$T$823,19,0),"")</f>
        <v/>
      </c>
      <c r="U569" s="849" t="str">
        <f>IFERROR(VLOOKUP(C569,'02. MM-KLH'!$B$6:$T$823,19,0),"")</f>
        <v/>
      </c>
    </row>
    <row r="570" ht="13.5" customHeight="1" spans="1:21">
      <c r="A570" s="103">
        <v>1</v>
      </c>
      <c r="B570" s="104" t="s">
        <v>2245</v>
      </c>
      <c r="C570" s="104" t="str">
        <f>IFERROR(VLOOKUP(B570,'02. MM-KLH'!$B$6:$T$823,2,0),"")</f>
        <v>XB1-XCP-001</v>
      </c>
      <c r="D570" s="103" t="str">
        <f>IFERROR(VLOOKUP(B570,'02. MM-KLH'!$B$6:$T$823,3,0),"")</f>
        <v>ATT-A22-0286</v>
      </c>
      <c r="E570" s="102">
        <f>IFERROR(VLOOKUP(B570,'02. MM-KLH'!$B$6:$T$823,4,0),"")</f>
        <v>0</v>
      </c>
      <c r="F570" s="104" t="s">
        <v>3500</v>
      </c>
      <c r="G570" s="102" t="str">
        <f>IFERROR(VLOOKUP(B570,'02. MM-KLH'!$B$6:$T$823,6,0),"")</f>
        <v>Xe chở phân FD150 (11.8m3)</v>
      </c>
      <c r="H570" s="101" t="s">
        <v>3390</v>
      </c>
      <c r="I570" s="101" t="str">
        <f>IFERROR(VLOOKUP(B570,'02. MM-KLH'!$B$6:$T$823,8,0),"")</f>
        <v>XN Bò AD</v>
      </c>
      <c r="J570" s="105">
        <f>IFERROR(VLOOKUP(B570,'02. MM-KLH'!$B$6:$T$823,9,0),"")</f>
        <v>45261</v>
      </c>
      <c r="K570" s="101" t="str">
        <f>IFERROR(VLOOKUP(B570,'02. MM-KLH'!$B$6:$T$823,10,0),"")</f>
        <v>Bình thường</v>
      </c>
      <c r="L570" s="107">
        <f>IFERROR(VLOOKUP(B570,'02. MM-KLH'!$B$6:$T$823,11,0),"")</f>
        <v>0.97</v>
      </c>
      <c r="M570" s="864">
        <f>IFERROR(VLOOKUP(B570,'02. MM-KLH'!$B$6:$T$823,12,0),"")</f>
        <v>0</v>
      </c>
      <c r="N570" s="110" t="str">
        <f>IFERROR(VLOOKUP(B570,'02. MM-KLH'!$B$6:$T$823,13,0),"")</f>
        <v>THACO FORLAND</v>
      </c>
      <c r="O570" s="110" t="str">
        <f>IFERROR(VLOOKUP(B570,'02. MM-KLH'!$B$6:$T$823,14,0),"")</f>
        <v>VIỆT NAM</v>
      </c>
      <c r="P570" s="101">
        <f>IFERROR(VLOOKUP(B570,'02. MM-KLH'!$B$6:$T$823,15,0),"")</f>
        <v>2022</v>
      </c>
      <c r="Q570" s="101" t="str">
        <f>IFERROR(VLOOKUP(B570,'02. MM-KLH'!$B$6:$T$823,16,0),"")</f>
        <v>FD150-4WD</v>
      </c>
      <c r="R570" s="101" t="str">
        <f>IFERROR(VLOOKUP(B570,'02. MM-KLH'!$B$6:$T$823,17,0),"")</f>
        <v>150HP</v>
      </c>
      <c r="S570" s="110" t="str">
        <f>IFERROR(VLOOKUP(B570,'02. MM-KLH'!$B$6:$T$823,18,0),"")</f>
        <v>RNHF16FYANT066262</v>
      </c>
      <c r="T570" s="111" t="str">
        <f>IFERROR(VLOOKUP(B570,'02. MM-KLH'!$B$6:$T$823,19,0),"")</f>
        <v>YC4D150-48D59M1N00692</v>
      </c>
      <c r="U570" s="863" t="s">
        <v>3343</v>
      </c>
    </row>
    <row r="571" ht="13.5" customHeight="1" spans="1:21">
      <c r="A571" s="103">
        <v>2</v>
      </c>
      <c r="B571" s="104" t="s">
        <v>2248</v>
      </c>
      <c r="C571" s="104" t="str">
        <f>IFERROR(VLOOKUP(B571,'02. MM-KLH'!$B$6:$T$823,2,0),"")</f>
        <v>Mới</v>
      </c>
      <c r="D571" s="103" t="str">
        <f>IFERROR(VLOOKUP(B571,'02. MM-KLH'!$B$6:$T$823,3,0),"")</f>
        <v>ATT-A22-0292</v>
      </c>
      <c r="E571" s="102">
        <f>IFERROR(VLOOKUP(B571,'02. MM-KLH'!$B$6:$T$823,4,0),"")</f>
        <v>0</v>
      </c>
      <c r="F571" s="104" t="s">
        <v>3501</v>
      </c>
      <c r="G571" s="102" t="str">
        <f>IFERROR(VLOOKUP(B571,'02. MM-KLH'!$B$6:$T$823,6,0),"")</f>
        <v>Xe chở phân FD150 (11.8m3)</v>
      </c>
      <c r="H571" s="101" t="s">
        <v>3390</v>
      </c>
      <c r="I571" s="101" t="str">
        <f>IFERROR(VLOOKUP(B571,'02. MM-KLH'!$B$6:$T$823,8,0),"")</f>
        <v>XN Bò AD</v>
      </c>
      <c r="J571" s="105">
        <f>IFERROR(VLOOKUP(B571,'02. MM-KLH'!$B$6:$T$823,9,0),"")</f>
        <v>45261</v>
      </c>
      <c r="K571" s="101" t="str">
        <f>IFERROR(VLOOKUP(B571,'02. MM-KLH'!$B$6:$T$823,10,0),"")</f>
        <v>Bình thường</v>
      </c>
      <c r="L571" s="107">
        <f>IFERROR(VLOOKUP(B571,'02. MM-KLH'!$B$6:$T$823,11,0),"")</f>
        <v>0.97</v>
      </c>
      <c r="M571" s="864">
        <f>IFERROR(VLOOKUP(B571,'02. MM-KLH'!$B$6:$T$823,12,0),"")</f>
        <v>0</v>
      </c>
      <c r="N571" s="110" t="str">
        <f>IFERROR(VLOOKUP(B571,'02. MM-KLH'!$B$6:$T$823,13,0),"")</f>
        <v>THACO FORLAND</v>
      </c>
      <c r="O571" s="110" t="str">
        <f>IFERROR(VLOOKUP(B571,'02. MM-KLH'!$B$6:$T$823,14,0),"")</f>
        <v>VIỆT NAM</v>
      </c>
      <c r="P571" s="101">
        <f>IFERROR(VLOOKUP(B571,'02. MM-KLH'!$B$6:$T$823,15,0),"")</f>
        <v>2022</v>
      </c>
      <c r="Q571" s="101" t="str">
        <f>IFERROR(VLOOKUP(B571,'02. MM-KLH'!$B$6:$T$823,16,0),"")</f>
        <v>FD150-4WD</v>
      </c>
      <c r="R571" s="101" t="str">
        <f>IFERROR(VLOOKUP(B571,'02. MM-KLH'!$B$6:$T$823,17,0),"")</f>
        <v>150HP</v>
      </c>
      <c r="S571" s="110" t="str">
        <f>IFERROR(VLOOKUP(B571,'02. MM-KLH'!$B$6:$T$823,18,0),"")</f>
        <v>RNHF16FYANT065187</v>
      </c>
      <c r="T571" s="111" t="str">
        <f>IFERROR(VLOOKUP(B571,'02. MM-KLH'!$B$6:$T$823,19,0),"")</f>
        <v>YC4D150-48D59M1N00561</v>
      </c>
      <c r="U571" s="863" t="s">
        <v>3343</v>
      </c>
    </row>
    <row r="572" ht="13.5" customHeight="1" spans="1:21">
      <c r="A572" s="103">
        <f t="shared" ref="A572:A582" si="26">1+A571</f>
        <v>3</v>
      </c>
      <c r="B572" s="104" t="s">
        <v>2251</v>
      </c>
      <c r="C572" s="104" t="str">
        <f>IFERROR(VLOOKUP(B572,'02. MM-KLH'!$B$6:$T$823,2,0),"")</f>
        <v>Mới</v>
      </c>
      <c r="D572" s="103" t="str">
        <f>IFERROR(VLOOKUP(B572,'02. MM-KLH'!$B$6:$T$823,3,0),"")</f>
        <v>ATT-A22-0290</v>
      </c>
      <c r="E572" s="102">
        <f>IFERROR(VLOOKUP(B572,'02. MM-KLH'!$B$6:$T$823,4,0),"")</f>
        <v>0</v>
      </c>
      <c r="F572" s="104" t="s">
        <v>3502</v>
      </c>
      <c r="G572" s="102" t="str">
        <f>IFERROR(VLOOKUP(B572,'02. MM-KLH'!$B$6:$T$823,6,0),"")</f>
        <v>Xe chở phân FD150 (11.8m3)</v>
      </c>
      <c r="H572" s="101" t="s">
        <v>3390</v>
      </c>
      <c r="I572" s="101" t="str">
        <f>IFERROR(VLOOKUP(B572,'02. MM-KLH'!$B$6:$T$823,8,0),"")</f>
        <v>XN Bò AD</v>
      </c>
      <c r="J572" s="105">
        <f>IFERROR(VLOOKUP(B572,'02. MM-KLH'!$B$6:$T$823,9,0),"")</f>
        <v>45261</v>
      </c>
      <c r="K572" s="101" t="str">
        <f>IFERROR(VLOOKUP(B572,'02. MM-KLH'!$B$6:$T$823,10,0),"")</f>
        <v>Bình thường</v>
      </c>
      <c r="L572" s="107">
        <f>IFERROR(VLOOKUP(B572,'02. MM-KLH'!$B$6:$T$823,11,0),"")</f>
        <v>0.97</v>
      </c>
      <c r="M572" s="864">
        <f>IFERROR(VLOOKUP(B572,'02. MM-KLH'!$B$6:$T$823,12,0),"")</f>
        <v>0</v>
      </c>
      <c r="N572" s="110" t="str">
        <f>IFERROR(VLOOKUP(B572,'02. MM-KLH'!$B$6:$T$823,13,0),"")</f>
        <v>THACO FORLAND</v>
      </c>
      <c r="O572" s="110" t="str">
        <f>IFERROR(VLOOKUP(B572,'02. MM-KLH'!$B$6:$T$823,14,0),"")</f>
        <v>VIỆT NAM</v>
      </c>
      <c r="P572" s="101">
        <f>IFERROR(VLOOKUP(B572,'02. MM-KLH'!$B$6:$T$823,15,0),"")</f>
        <v>2022</v>
      </c>
      <c r="Q572" s="101" t="str">
        <f>IFERROR(VLOOKUP(B572,'02. MM-KLH'!$B$6:$T$823,16,0),"")</f>
        <v>FD150-4WD</v>
      </c>
      <c r="R572" s="101" t="str">
        <f>IFERROR(VLOOKUP(B572,'02. MM-KLH'!$B$6:$T$823,17,0),"")</f>
        <v>150HP</v>
      </c>
      <c r="S572" s="110" t="str">
        <f>IFERROR(VLOOKUP(B572,'02. MM-KLH'!$B$6:$T$823,18,0),"")</f>
        <v>RNHF16FYANT065161</v>
      </c>
      <c r="T572" s="111" t="str">
        <f>IFERROR(VLOOKUP(B572,'02. MM-KLH'!$B$6:$T$823,19,0),"")</f>
        <v>YC4D150-48D59M1N00654</v>
      </c>
      <c r="U572" s="863" t="s">
        <v>3343</v>
      </c>
    </row>
    <row r="573" ht="13.5" customHeight="1" spans="1:21">
      <c r="A573" s="103">
        <f t="shared" si="26"/>
        <v>4</v>
      </c>
      <c r="B573" s="104" t="s">
        <v>2254</v>
      </c>
      <c r="C573" s="104" t="str">
        <f>IFERROR(VLOOKUP(B573,'02. MM-KLH'!$B$6:$T$823,2,0),"")</f>
        <v>Mới</v>
      </c>
      <c r="D573" s="103" t="str">
        <f>IFERROR(VLOOKUP(B573,'02. MM-KLH'!$B$6:$T$823,3,0),"")</f>
        <v>ATT-A22-0291</v>
      </c>
      <c r="E573" s="102">
        <f>IFERROR(VLOOKUP(B573,'02. MM-KLH'!$B$6:$T$823,4,0),"")</f>
        <v>0</v>
      </c>
      <c r="F573" s="104" t="s">
        <v>3503</v>
      </c>
      <c r="G573" s="102" t="str">
        <f>IFERROR(VLOOKUP(B573,'02. MM-KLH'!$B$6:$T$823,6,0),"")</f>
        <v>Xe chở phân FD150 (11.8m3)</v>
      </c>
      <c r="H573" s="101" t="s">
        <v>3390</v>
      </c>
      <c r="I573" s="101" t="str">
        <f>IFERROR(VLOOKUP(B573,'02. MM-KLH'!$B$6:$T$823,8,0),"")</f>
        <v>XN Bò AD</v>
      </c>
      <c r="J573" s="105">
        <f>IFERROR(VLOOKUP(B573,'02. MM-KLH'!$B$6:$T$823,9,0),"")</f>
        <v>45261</v>
      </c>
      <c r="K573" s="101" t="str">
        <f>IFERROR(VLOOKUP(B573,'02. MM-KLH'!$B$6:$T$823,10,0),"")</f>
        <v>Bình thường</v>
      </c>
      <c r="L573" s="107">
        <f>IFERROR(VLOOKUP(B573,'02. MM-KLH'!$B$6:$T$823,11,0),"")</f>
        <v>0.97</v>
      </c>
      <c r="M573" s="864">
        <f>IFERROR(VLOOKUP(B573,'02. MM-KLH'!$B$6:$T$823,12,0),"")</f>
        <v>0</v>
      </c>
      <c r="N573" s="110" t="str">
        <f>IFERROR(VLOOKUP(B573,'02. MM-KLH'!$B$6:$T$823,13,0),"")</f>
        <v>THACO FORLAND</v>
      </c>
      <c r="O573" s="110" t="str">
        <f>IFERROR(VLOOKUP(B573,'02. MM-KLH'!$B$6:$T$823,14,0),"")</f>
        <v>VIỆT NAM</v>
      </c>
      <c r="P573" s="101">
        <f>IFERROR(VLOOKUP(B573,'02. MM-KLH'!$B$6:$T$823,15,0),"")</f>
        <v>2022</v>
      </c>
      <c r="Q573" s="101" t="str">
        <f>IFERROR(VLOOKUP(B573,'02. MM-KLH'!$B$6:$T$823,16,0),"")</f>
        <v>FD150-4WD</v>
      </c>
      <c r="R573" s="101" t="str">
        <f>IFERROR(VLOOKUP(B573,'02. MM-KLH'!$B$6:$T$823,17,0),"")</f>
        <v>150HP</v>
      </c>
      <c r="S573" s="110" t="str">
        <f>IFERROR(VLOOKUP(B573,'02. MM-KLH'!$B$6:$T$823,18,0),"")</f>
        <v> RNHF16FYANT065198</v>
      </c>
      <c r="T573" s="111" t="str">
        <f>IFERROR(VLOOKUP(B573,'02. MM-KLH'!$B$6:$T$823,19,0),"")</f>
        <v>YC4D150-48D59M1N00572</v>
      </c>
      <c r="U573" s="863" t="s">
        <v>3343</v>
      </c>
    </row>
    <row r="574" ht="13.5" customHeight="1" spans="1:21">
      <c r="A574" s="103">
        <f t="shared" si="26"/>
        <v>5</v>
      </c>
      <c r="B574" s="104" t="s">
        <v>2257</v>
      </c>
      <c r="C574" s="104" t="str">
        <f>IFERROR(VLOOKUP(B574,'02. MM-KLH'!$B$6:$T$823,2,0),"")</f>
        <v>Mới</v>
      </c>
      <c r="D574" s="103" t="str">
        <f>IFERROR(VLOOKUP(B574,'02. MM-KLH'!$B$6:$T$823,3,0),"")</f>
        <v>ATT-A22-0303</v>
      </c>
      <c r="E574" s="102">
        <f>IFERROR(VLOOKUP(B574,'02. MM-KLH'!$B$6:$T$823,4,0),"")</f>
        <v>0</v>
      </c>
      <c r="F574" s="104" t="s">
        <v>3504</v>
      </c>
      <c r="G574" s="102" t="str">
        <f>IFERROR(VLOOKUP(B574,'02. MM-KLH'!$B$6:$T$823,6,0),"")</f>
        <v>Xe chở phân FD150 (8.7m3)</v>
      </c>
      <c r="H574" s="101" t="s">
        <v>3390</v>
      </c>
      <c r="I574" s="101" t="str">
        <f>IFERROR(VLOOKUP(B574,'02. MM-KLH'!$B$6:$T$823,8,0),"")</f>
        <v>XN Bò AD</v>
      </c>
      <c r="J574" s="105" t="str">
        <f>IFERROR(VLOOKUP(B574,'02. MM-KLH'!$B$6:$T$823,9,0),"")</f>
        <v>25/11/2023</v>
      </c>
      <c r="K574" s="101" t="str">
        <f>IFERROR(VLOOKUP(B574,'02. MM-KLH'!$B$6:$T$823,10,0),"")</f>
        <v>Bình thường</v>
      </c>
      <c r="L574" s="107">
        <f>IFERROR(VLOOKUP(B574,'02. MM-KLH'!$B$6:$T$823,11,0),"")</f>
        <v>0.97</v>
      </c>
      <c r="M574" s="864">
        <f>IFERROR(VLOOKUP(B574,'02. MM-KLH'!$B$6:$T$823,12,0),"")</f>
        <v>0</v>
      </c>
      <c r="N574" s="110" t="str">
        <f>IFERROR(VLOOKUP(B574,'02. MM-KLH'!$B$6:$T$823,13,0),"")</f>
        <v>THACO FORLAND</v>
      </c>
      <c r="O574" s="110" t="str">
        <f>IFERROR(VLOOKUP(B574,'02. MM-KLH'!$B$6:$T$823,14,0),"")</f>
        <v>VIỆT NAM</v>
      </c>
      <c r="P574" s="101">
        <f>IFERROR(VLOOKUP(B574,'02. MM-KLH'!$B$6:$T$823,15,0),"")</f>
        <v>2023</v>
      </c>
      <c r="Q574" s="101" t="str">
        <f>IFERROR(VLOOKUP(B574,'02. MM-KLH'!$B$6:$T$823,16,0),"")</f>
        <v>FD150-4WD</v>
      </c>
      <c r="R574" s="101" t="str">
        <f>IFERROR(VLOOKUP(B574,'02. MM-KLH'!$B$6:$T$823,17,0),"")</f>
        <v>150HP</v>
      </c>
      <c r="S574" s="110" t="str">
        <f>IFERROR(VLOOKUP(B574,'02. MM-KLH'!$B$6:$T$823,18,0),"")</f>
        <v>RNHF16FYAPTO77540</v>
      </c>
      <c r="T574" s="111" t="str">
        <f>IFERROR(VLOOKUP(B574,'02. MM-KLH'!$B$6:$T$823,19,0),"")</f>
        <v>YC4D150-48D59M1N00920</v>
      </c>
      <c r="U574" s="863" t="s">
        <v>3343</v>
      </c>
    </row>
    <row r="575" ht="13.5" customHeight="1" spans="1:21">
      <c r="A575" s="103">
        <f t="shared" si="26"/>
        <v>6</v>
      </c>
      <c r="B575" s="104" t="s">
        <v>2260</v>
      </c>
      <c r="C575" s="104" t="str">
        <f>IFERROR(VLOOKUP(B575,'02. MM-KLH'!$B$6:$T$823,2,0),"")</f>
        <v>Mới</v>
      </c>
      <c r="D575" s="103" t="str">
        <f>IFERROR(VLOOKUP(B575,'02. MM-KLH'!$B$6:$T$823,3,0),"")</f>
        <v>ATT-A22-0299</v>
      </c>
      <c r="E575" s="102">
        <f>IFERROR(VLOOKUP(B575,'02. MM-KLH'!$B$6:$T$823,4,0),"")</f>
        <v>0</v>
      </c>
      <c r="F575" s="104" t="s">
        <v>3505</v>
      </c>
      <c r="G575" s="102" t="str">
        <f>IFERROR(VLOOKUP(B575,'02. MM-KLH'!$B$6:$T$823,6,0),"")</f>
        <v>Xe chở phân FD150 (8.7m3)</v>
      </c>
      <c r="H575" s="101" t="s">
        <v>3390</v>
      </c>
      <c r="I575" s="101" t="str">
        <f>IFERROR(VLOOKUP(B575,'02. MM-KLH'!$B$6:$T$823,8,0),"")</f>
        <v>XN Bò AD</v>
      </c>
      <c r="J575" s="105" t="str">
        <f>IFERROR(VLOOKUP(B575,'02. MM-KLH'!$B$6:$T$823,9,0),"")</f>
        <v>25/11/2023</v>
      </c>
      <c r="K575" s="101" t="str">
        <f>IFERROR(VLOOKUP(B575,'02. MM-KLH'!$B$6:$T$823,10,0),"")</f>
        <v>Bình thường</v>
      </c>
      <c r="L575" s="107">
        <f>IFERROR(VLOOKUP(B575,'02. MM-KLH'!$B$6:$T$823,11,0),"")</f>
        <v>0.97</v>
      </c>
      <c r="M575" s="864" t="str">
        <f>IFERROR(VLOOKUP(B575,'02. MM-KLH'!$B$6:$T$823,12,0),"")</f>
        <v>Đầu tư mới</v>
      </c>
      <c r="N575" s="110" t="str">
        <f>IFERROR(VLOOKUP(B575,'02. MM-KLH'!$B$6:$T$823,13,0),"")</f>
        <v>THACO FORLAND</v>
      </c>
      <c r="O575" s="110" t="str">
        <f>IFERROR(VLOOKUP(B575,'02. MM-KLH'!$B$6:$T$823,14,0),"")</f>
        <v>VIỆT NAM</v>
      </c>
      <c r="P575" s="101">
        <f>IFERROR(VLOOKUP(B575,'02. MM-KLH'!$B$6:$T$823,15,0),"")</f>
        <v>2023</v>
      </c>
      <c r="Q575" s="101" t="str">
        <f>IFERROR(VLOOKUP(B575,'02. MM-KLH'!$B$6:$T$823,16,0),"")</f>
        <v>FD150-4WD</v>
      </c>
      <c r="R575" s="101" t="str">
        <f>IFERROR(VLOOKUP(B575,'02. MM-KLH'!$B$6:$T$823,17,0),"")</f>
        <v>150HP</v>
      </c>
      <c r="S575" s="110" t="str">
        <f>IFERROR(VLOOKUP(B575,'02. MM-KLH'!$B$6:$T$823,18,0),"")</f>
        <v>RNHF16FYAPTO77538</v>
      </c>
      <c r="T575" s="111" t="str">
        <f>IFERROR(VLOOKUP(B575,'02. MM-KLH'!$B$6:$T$823,19,0),"")</f>
        <v>YC4D150-48D59M1N00903</v>
      </c>
      <c r="U575" s="863" t="s">
        <v>3343</v>
      </c>
    </row>
    <row r="576" ht="13.5" customHeight="1" spans="1:21">
      <c r="A576" s="103">
        <f t="shared" si="26"/>
        <v>7</v>
      </c>
      <c r="B576" s="104" t="s">
        <v>2263</v>
      </c>
      <c r="C576" s="104" t="str">
        <f>IFERROR(VLOOKUP(B576,'02. MM-KLH'!$B$6:$T$823,2,0),"")</f>
        <v>Mới</v>
      </c>
      <c r="D576" s="103" t="str">
        <f>IFERROR(VLOOKUP(B576,'02. MM-KLH'!$B$6:$T$823,3,0),"")</f>
        <v>A22-XCP-008</v>
      </c>
      <c r="E576" s="102" t="str">
        <f>IFERROR(VLOOKUP(B576,'02. MM-KLH'!$B$6:$T$823,4,0),"")</f>
        <v>3A-6803</v>
      </c>
      <c r="F576" s="104"/>
      <c r="G576" s="102" t="str">
        <f>IFERROR(VLOOKUP(B576,'02. MM-KLH'!$B$6:$T$823,6,0),"")</f>
        <v>Xe chở phân FD150 (8.7m3)</v>
      </c>
      <c r="H576" s="101" t="s">
        <v>3390</v>
      </c>
      <c r="I576" s="101" t="str">
        <f>IFERROR(VLOOKUP(B576,'02. MM-KLH'!$B$6:$T$823,8,0),"")</f>
        <v>XN Bò AD</v>
      </c>
      <c r="J576" s="105">
        <f>IFERROR(VLOOKUP(B576,'02. MM-KLH'!$B$6:$T$823,9,0),"")</f>
        <v>45452</v>
      </c>
      <c r="K576" s="101" t="str">
        <f>IFERROR(VLOOKUP(B576,'02. MM-KLH'!$B$6:$T$823,10,0),"")</f>
        <v>Bình thường</v>
      </c>
      <c r="L576" s="107">
        <f>IFERROR(VLOOKUP(B576,'02. MM-KLH'!$B$6:$T$823,11,0),"")</f>
        <v>0</v>
      </c>
      <c r="M576" s="864" t="str">
        <f>IFERROR(VLOOKUP(B576,'02. MM-KLH'!$B$6:$T$823,12,0),"")</f>
        <v>Đầu tư mới</v>
      </c>
      <c r="N576" s="110" t="str">
        <f>IFERROR(VLOOKUP(B576,'02. MM-KLH'!$B$6:$T$823,13,0),"")</f>
        <v>THACO FORLAND</v>
      </c>
      <c r="O576" s="110" t="str">
        <f>IFERROR(VLOOKUP(B576,'02. MM-KLH'!$B$6:$T$823,14,0),"")</f>
        <v>VIỆT NAM</v>
      </c>
      <c r="P576" s="101">
        <f>IFERROR(VLOOKUP(B576,'02. MM-KLH'!$B$6:$T$823,15,0),"")</f>
        <v>2024</v>
      </c>
      <c r="Q576" s="101" t="str">
        <f>IFERROR(VLOOKUP(B576,'02. MM-KLH'!$B$6:$T$823,16,0),"")</f>
        <v>FD150-4WD</v>
      </c>
      <c r="R576" s="101" t="str">
        <f>IFERROR(VLOOKUP(B576,'02. MM-KLH'!$B$6:$T$823,17,0),"")</f>
        <v>150HP</v>
      </c>
      <c r="S576" s="110" t="str">
        <f>IFERROR(VLOOKUP(B576,'02. MM-KLH'!$B$6:$T$823,18,0),"")</f>
        <v>RNHF16FYART095004</v>
      </c>
      <c r="T576" s="111" t="str">
        <f>IFERROR(VLOOKUP(B576,'02. MM-KLH'!$B$6:$T$823,19,0),"")</f>
        <v>D59M1N01406</v>
      </c>
      <c r="U576" s="863" t="s">
        <v>3343</v>
      </c>
    </row>
    <row r="577" ht="13.5" customHeight="1" spans="1:21">
      <c r="A577" s="103">
        <f t="shared" si="26"/>
        <v>8</v>
      </c>
      <c r="B577" s="104" t="s">
        <v>2268</v>
      </c>
      <c r="C577" s="104" t="str">
        <f>IFERROR(VLOOKUP(B577,'02. MM-KLH'!$B$6:$T$823,2,0),"")</f>
        <v>Mới</v>
      </c>
      <c r="D577" s="103" t="str">
        <f>IFERROR(VLOOKUP(B577,'02. MM-KLH'!$B$6:$T$823,3,0),"")</f>
        <v>A22-XCP-009</v>
      </c>
      <c r="E577" s="102" t="str">
        <f>IFERROR(VLOOKUP(B577,'02. MM-KLH'!$B$6:$T$823,4,0),"")</f>
        <v>3A-6801</v>
      </c>
      <c r="F577" s="104"/>
      <c r="G577" s="102" t="str">
        <f>IFERROR(VLOOKUP(B577,'02. MM-KLH'!$B$6:$T$823,6,0),"")</f>
        <v>Xe chở phân FD150 (8.7m3)</v>
      </c>
      <c r="H577" s="101" t="s">
        <v>3390</v>
      </c>
      <c r="I577" s="101" t="str">
        <f>IFERROR(VLOOKUP(B577,'02. MM-KLH'!$B$6:$T$823,8,0),"")</f>
        <v>XN Bò AD</v>
      </c>
      <c r="J577" s="105">
        <f>IFERROR(VLOOKUP(B577,'02. MM-KLH'!$B$6:$T$823,9,0),"")</f>
        <v>45452</v>
      </c>
      <c r="K577" s="101" t="str">
        <f>IFERROR(VLOOKUP(B577,'02. MM-KLH'!$B$6:$T$823,10,0),"")</f>
        <v>Bình thường</v>
      </c>
      <c r="L577" s="107">
        <f>IFERROR(VLOOKUP(B577,'02. MM-KLH'!$B$6:$T$823,11,0),"")</f>
        <v>0</v>
      </c>
      <c r="M577" s="864" t="str">
        <f>IFERROR(VLOOKUP(B577,'02. MM-KLH'!$B$6:$T$823,12,0),"")</f>
        <v>Đầu tư mới</v>
      </c>
      <c r="N577" s="110" t="str">
        <f>IFERROR(VLOOKUP(B577,'02. MM-KLH'!$B$6:$T$823,13,0),"")</f>
        <v>THACO FORLAND</v>
      </c>
      <c r="O577" s="110" t="str">
        <f>IFERROR(VLOOKUP(B577,'02. MM-KLH'!$B$6:$T$823,14,0),"")</f>
        <v>VIỆT NAM</v>
      </c>
      <c r="P577" s="101">
        <f>IFERROR(VLOOKUP(B577,'02. MM-KLH'!$B$6:$T$823,15,0),"")</f>
        <v>2024</v>
      </c>
      <c r="Q577" s="101" t="str">
        <f>IFERROR(VLOOKUP(B577,'02. MM-KLH'!$B$6:$T$823,16,0),"")</f>
        <v>FD150-4WD</v>
      </c>
      <c r="R577" s="101" t="str">
        <f>IFERROR(VLOOKUP(B577,'02. MM-KLH'!$B$6:$T$823,17,0),"")</f>
        <v>150HP</v>
      </c>
      <c r="S577" s="110" t="str">
        <f>IFERROR(VLOOKUP(B577,'02. MM-KLH'!$B$6:$T$823,18,0),"")</f>
        <v>RNHF16FYART095002</v>
      </c>
      <c r="T577" s="111" t="str">
        <f>IFERROR(VLOOKUP(B577,'02. MM-KLH'!$B$6:$T$823,19,0),"")</f>
        <v>D59M1N01437</v>
      </c>
      <c r="U577" s="863" t="s">
        <v>3343</v>
      </c>
    </row>
    <row r="578" ht="13.5" customHeight="1" spans="1:21">
      <c r="A578" s="103">
        <f t="shared" si="26"/>
        <v>9</v>
      </c>
      <c r="B578" s="104" t="s">
        <v>2273</v>
      </c>
      <c r="C578" s="104" t="str">
        <f>IFERROR(VLOOKUP(B578,'02. MM-KLH'!$B$6:$T$823,2,0),"")</f>
        <v>Mới</v>
      </c>
      <c r="D578" s="103" t="str">
        <f>IFERROR(VLOOKUP(B578,'02. MM-KLH'!$B$6:$T$823,3,0),"")</f>
        <v>A22-XCP-010</v>
      </c>
      <c r="E578" s="102" t="str">
        <f>IFERROR(VLOOKUP(B578,'02. MM-KLH'!$B$6:$T$823,4,0),"")</f>
        <v>3A-6807</v>
      </c>
      <c r="F578" s="104"/>
      <c r="G578" s="102" t="str">
        <f>IFERROR(VLOOKUP(B578,'02. MM-KLH'!$B$6:$T$823,6,0),"")</f>
        <v>Xe chở phân FD150 (8.7m3)</v>
      </c>
      <c r="H578" s="101" t="s">
        <v>3390</v>
      </c>
      <c r="I578" s="101" t="str">
        <f>IFERROR(VLOOKUP(B578,'02. MM-KLH'!$B$6:$T$823,8,0),"")</f>
        <v>XN Bò AD</v>
      </c>
      <c r="J578" s="105">
        <f>IFERROR(VLOOKUP(B578,'02. MM-KLH'!$B$6:$T$823,9,0),"")</f>
        <v>45452</v>
      </c>
      <c r="K578" s="101" t="str">
        <f>IFERROR(VLOOKUP(B578,'02. MM-KLH'!$B$6:$T$823,10,0),"")</f>
        <v>Bình thường</v>
      </c>
      <c r="L578" s="107">
        <f>IFERROR(VLOOKUP(B578,'02. MM-KLH'!$B$6:$T$823,11,0),"")</f>
        <v>0</v>
      </c>
      <c r="M578" s="864" t="str">
        <f>IFERROR(VLOOKUP(B578,'02. MM-KLH'!$B$6:$T$823,12,0),"")</f>
        <v>Đầu tư mới</v>
      </c>
      <c r="N578" s="110" t="str">
        <f>IFERROR(VLOOKUP(B578,'02. MM-KLH'!$B$6:$T$823,13,0),"")</f>
        <v>THACO FORLAND</v>
      </c>
      <c r="O578" s="110" t="str">
        <f>IFERROR(VLOOKUP(B578,'02. MM-KLH'!$B$6:$T$823,14,0),"")</f>
        <v>VIỆT NAM</v>
      </c>
      <c r="P578" s="101">
        <f>IFERROR(VLOOKUP(B578,'02. MM-KLH'!$B$6:$T$823,15,0),"")</f>
        <v>2024</v>
      </c>
      <c r="Q578" s="101" t="str">
        <f>IFERROR(VLOOKUP(B578,'02. MM-KLH'!$B$6:$T$823,16,0),"")</f>
        <v>FD150-4WD</v>
      </c>
      <c r="R578" s="101" t="str">
        <f>IFERROR(VLOOKUP(B578,'02. MM-KLH'!$B$6:$T$823,17,0),"")</f>
        <v>150HP</v>
      </c>
      <c r="S578" s="110" t="str">
        <f>IFERROR(VLOOKUP(B578,'02. MM-KLH'!$B$6:$T$823,18,0),"")</f>
        <v>RNHF16FYART095001</v>
      </c>
      <c r="T578" s="111" t="str">
        <f>IFERROR(VLOOKUP(B578,'02. MM-KLH'!$B$6:$T$823,19,0),"")</f>
        <v>D59M1N01416</v>
      </c>
      <c r="U578" s="863" t="s">
        <v>3343</v>
      </c>
    </row>
    <row r="579" ht="13.5" customHeight="1" spans="1:21">
      <c r="A579" s="103">
        <f t="shared" si="26"/>
        <v>10</v>
      </c>
      <c r="B579" s="104" t="s">
        <v>2278</v>
      </c>
      <c r="C579" s="104" t="str">
        <f>IFERROR(VLOOKUP(B579,'02. MM-KLH'!$B$6:$T$823,2,0),"")</f>
        <v>Mới</v>
      </c>
      <c r="D579" s="103" t="str">
        <f>IFERROR(VLOOKUP(B579,'02. MM-KLH'!$B$6:$T$823,3,0),"")</f>
        <v>A22-XCP-011</v>
      </c>
      <c r="E579" s="102" t="str">
        <f>IFERROR(VLOOKUP(B579,'02. MM-KLH'!$B$6:$T$823,4,0),"")</f>
        <v>3A-6802</v>
      </c>
      <c r="F579" s="104"/>
      <c r="G579" s="102" t="str">
        <f>IFERROR(VLOOKUP(B579,'02. MM-KLH'!$B$6:$T$823,6,0),"")</f>
        <v>Xe chở phân FD150 (8.7m3)</v>
      </c>
      <c r="H579" s="101" t="s">
        <v>3390</v>
      </c>
      <c r="I579" s="101" t="str">
        <f>IFERROR(VLOOKUP(B579,'02. MM-KLH'!$B$6:$T$823,8,0),"")</f>
        <v>XN Bò AD</v>
      </c>
      <c r="J579" s="105">
        <f>IFERROR(VLOOKUP(B579,'02. MM-KLH'!$B$6:$T$823,9,0),"")</f>
        <v>45452</v>
      </c>
      <c r="K579" s="101" t="str">
        <f>IFERROR(VLOOKUP(B579,'02. MM-KLH'!$B$6:$T$823,10,0),"")</f>
        <v>Bình thường</v>
      </c>
      <c r="L579" s="107">
        <f>IFERROR(VLOOKUP(B579,'02. MM-KLH'!$B$6:$T$823,11,0),"")</f>
        <v>0</v>
      </c>
      <c r="M579" s="864" t="str">
        <f>IFERROR(VLOOKUP(B579,'02. MM-KLH'!$B$6:$T$823,12,0),"")</f>
        <v>Đầu tư mới</v>
      </c>
      <c r="N579" s="110" t="str">
        <f>IFERROR(VLOOKUP(B579,'02. MM-KLH'!$B$6:$T$823,13,0),"")</f>
        <v>THACO FORLAND</v>
      </c>
      <c r="O579" s="110" t="str">
        <f>IFERROR(VLOOKUP(B579,'02. MM-KLH'!$B$6:$T$823,14,0),"")</f>
        <v>VIỆT NAM</v>
      </c>
      <c r="P579" s="101">
        <f>IFERROR(VLOOKUP(B579,'02. MM-KLH'!$B$6:$T$823,15,0),"")</f>
        <v>2024</v>
      </c>
      <c r="Q579" s="101" t="str">
        <f>IFERROR(VLOOKUP(B579,'02. MM-KLH'!$B$6:$T$823,16,0),"")</f>
        <v>FD150-4WD</v>
      </c>
      <c r="R579" s="101" t="str">
        <f>IFERROR(VLOOKUP(B579,'02. MM-KLH'!$B$6:$T$823,17,0),"")</f>
        <v>150HP</v>
      </c>
      <c r="S579" s="110" t="str">
        <f>IFERROR(VLOOKUP(B579,'02. MM-KLH'!$B$6:$T$823,18,0),"")</f>
        <v>RNHF16FYART094996</v>
      </c>
      <c r="T579" s="111" t="str">
        <f>IFERROR(VLOOKUP(B579,'02. MM-KLH'!$B$6:$T$823,19,0),"")</f>
        <v>D59M1N01392</v>
      </c>
      <c r="U579" s="863" t="s">
        <v>3343</v>
      </c>
    </row>
    <row r="580" ht="13.5" customHeight="1" spans="1:21">
      <c r="A580" s="103">
        <f t="shared" si="26"/>
        <v>11</v>
      </c>
      <c r="B580" s="104" t="s">
        <v>2283</v>
      </c>
      <c r="C580" s="104" t="str">
        <f>IFERROR(VLOOKUP(B580,'02. MM-KLH'!$B$6:$T$823,2,0),"")</f>
        <v>Mới</v>
      </c>
      <c r="D580" s="103" t="str">
        <f>IFERROR(VLOOKUP(B580,'02. MM-KLH'!$B$6:$T$823,3,0),"")</f>
        <v>A22-XCP-012</v>
      </c>
      <c r="E580" s="102" t="str">
        <f>IFERROR(VLOOKUP(B580,'02. MM-KLH'!$B$6:$T$823,4,0),"")</f>
        <v>3A-6841</v>
      </c>
      <c r="F580" s="104"/>
      <c r="G580" s="102" t="str">
        <f>IFERROR(VLOOKUP(B580,'02. MM-KLH'!$B$6:$T$823,6,0),"")</f>
        <v>Xe chở phân FD120 (5.41m3)</v>
      </c>
      <c r="H580" s="101" t="s">
        <v>3390</v>
      </c>
      <c r="I580" s="101" t="str">
        <f>IFERROR(VLOOKUP(B580,'02. MM-KLH'!$B$6:$T$823,8,0),"")</f>
        <v>XN Bò AD</v>
      </c>
      <c r="J580" s="105" t="str">
        <f>IFERROR(VLOOKUP(B580,'02. MM-KLH'!$B$6:$T$823,9,0),"")</f>
        <v>13/09/2025</v>
      </c>
      <c r="K580" s="101" t="str">
        <f>IFERROR(VLOOKUP(B580,'02. MM-KLH'!$B$6:$T$823,10,0),"")</f>
        <v>Bình thường</v>
      </c>
      <c r="L580" s="107">
        <f>IFERROR(VLOOKUP(B580,'02. MM-KLH'!$B$6:$T$823,11,0),"")</f>
        <v>0</v>
      </c>
      <c r="M580" s="864" t="str">
        <f>IFERROR(VLOOKUP(B580,'02. MM-KLH'!$B$6:$T$823,12,0),"")</f>
        <v>Đầu tư mới</v>
      </c>
      <c r="N580" s="110" t="str">
        <f>IFERROR(VLOOKUP(B580,'02. MM-KLH'!$B$6:$T$823,13,0),"")</f>
        <v>THACO FORLAND</v>
      </c>
      <c r="O580" s="110" t="str">
        <f>IFERROR(VLOOKUP(B580,'02. MM-KLH'!$B$6:$T$823,14,0),"")</f>
        <v>VIỆT NAM</v>
      </c>
      <c r="P580" s="101">
        <f>IFERROR(VLOOKUP(B580,'02. MM-KLH'!$B$6:$T$823,15,0),"")</f>
        <v>2024</v>
      </c>
      <c r="Q580" s="101" t="str">
        <f>IFERROR(VLOOKUP(B580,'02. MM-KLH'!$B$6:$T$823,16,0),"")</f>
        <v> FD120-4WD</v>
      </c>
      <c r="R580" s="101" t="str">
        <f>IFERROR(VLOOKUP(B580,'02. MM-KLH'!$B$6:$T$823,17,0),"")</f>
        <v>129HP</v>
      </c>
      <c r="S580" s="110" t="str">
        <f>IFERROR(VLOOKUP(B580,'02. MM-KLH'!$B$6:$T$823,18,0),"")</f>
        <v>RNHF12FNBRT002112</v>
      </c>
      <c r="T580" s="111" t="str">
        <f>IFERROR(VLOOKUP(B580,'02. MM-KLH'!$B$6:$T$823,19,0),"")</f>
        <v>YN38CRD1*AGN22000292*</v>
      </c>
      <c r="U580" s="863" t="s">
        <v>3343</v>
      </c>
    </row>
    <row r="581" ht="13.5" customHeight="1" spans="1:21">
      <c r="A581" s="103">
        <f t="shared" si="26"/>
        <v>12</v>
      </c>
      <c r="B581" s="104" t="s">
        <v>2290</v>
      </c>
      <c r="C581" s="104" t="str">
        <f>IFERROR(VLOOKUP(B581,'02. MM-KLH'!$B$6:$T$823,2,0),"")</f>
        <v>Mới</v>
      </c>
      <c r="D581" s="103" t="str">
        <f>IFERROR(VLOOKUP(B581,'02. MM-KLH'!$B$6:$T$823,3,0),"")</f>
        <v>A22-XCP-013</v>
      </c>
      <c r="E581" s="102">
        <f>IFERROR(VLOOKUP(B581,'02. MM-KLH'!$B$6:$T$823,4,0),"")</f>
        <v>0</v>
      </c>
      <c r="F581" s="104"/>
      <c r="G581" s="102" t="str">
        <f>IFERROR(VLOOKUP(B581,'02. MM-KLH'!$B$6:$T$823,6,0),"")</f>
        <v>Xe chở phân FD120 (5.41m3)</v>
      </c>
      <c r="H581" s="101" t="s">
        <v>3390</v>
      </c>
      <c r="I581" s="101" t="str">
        <f>IFERROR(VLOOKUP(B581,'02. MM-KLH'!$B$6:$T$823,8,0),"")</f>
        <v>XN Bò AD</v>
      </c>
      <c r="J581" s="105" t="str">
        <f>IFERROR(VLOOKUP(B581,'02. MM-KLH'!$B$6:$T$823,9,0),"")</f>
        <v>13/09/2025</v>
      </c>
      <c r="K581" s="101" t="str">
        <f>IFERROR(VLOOKUP(B581,'02. MM-KLH'!$B$6:$T$823,10,0),"")</f>
        <v>Bình thường</v>
      </c>
      <c r="L581" s="107">
        <f>IFERROR(VLOOKUP(B581,'02. MM-KLH'!$B$6:$T$823,11,0),"")</f>
        <v>0</v>
      </c>
      <c r="M581" s="864" t="str">
        <f>IFERROR(VLOOKUP(B581,'02. MM-KLH'!$B$6:$T$823,12,0),"")</f>
        <v>Đầu tư mới</v>
      </c>
      <c r="N581" s="110" t="str">
        <f>IFERROR(VLOOKUP(B581,'02. MM-KLH'!$B$6:$T$823,13,0),"")</f>
        <v>THACO FORLAND</v>
      </c>
      <c r="O581" s="110" t="str">
        <f>IFERROR(VLOOKUP(B581,'02. MM-KLH'!$B$6:$T$823,14,0),"")</f>
        <v>VIỆT NAM</v>
      </c>
      <c r="P581" s="101">
        <f>IFERROR(VLOOKUP(B581,'02. MM-KLH'!$B$6:$T$823,15,0),"")</f>
        <v>2024</v>
      </c>
      <c r="Q581" s="101" t="str">
        <f>IFERROR(VLOOKUP(B581,'02. MM-KLH'!$B$6:$T$823,16,0),"")</f>
        <v> FD120-4WD</v>
      </c>
      <c r="R581" s="101" t="str">
        <f>IFERROR(VLOOKUP(B581,'02. MM-KLH'!$B$6:$T$823,17,0),"")</f>
        <v>129HP</v>
      </c>
      <c r="S581" s="110" t="str">
        <f>IFERROR(VLOOKUP(B581,'02. MM-KLH'!$B$6:$T$823,18,0),"")</f>
        <v>RNHF12FNBRT002113</v>
      </c>
      <c r="T581" s="111" t="str">
        <f>IFERROR(VLOOKUP(B581,'02. MM-KLH'!$B$6:$T$823,19,0),"")</f>
        <v>YN38CRD1*AGN22000293*</v>
      </c>
      <c r="U581" s="863" t="s">
        <v>3343</v>
      </c>
    </row>
    <row r="582" ht="13.5" customHeight="1" spans="1:21">
      <c r="A582" s="103">
        <f t="shared" si="26"/>
        <v>13</v>
      </c>
      <c r="B582" s="104" t="s">
        <v>2294</v>
      </c>
      <c r="C582" s="104" t="str">
        <f>IFERROR(VLOOKUP(B582,'02. MM-KLH'!$B$6:$T$823,2,0),"")</f>
        <v>Mới</v>
      </c>
      <c r="D582" s="103" t="str">
        <f>IFERROR(VLOOKUP(B582,'02. MM-KLH'!$B$6:$T$823,3,0),"")</f>
        <v>A22-XCP-014</v>
      </c>
      <c r="E582" s="102" t="str">
        <f>IFERROR(VLOOKUP(B582,'02. MM-KLH'!$B$6:$T$823,4,0),"")</f>
        <v>3A-6833</v>
      </c>
      <c r="F582" s="104"/>
      <c r="G582" s="102" t="str">
        <f>IFERROR(VLOOKUP(B582,'02. MM-KLH'!$B$6:$T$823,6,0),"")</f>
        <v>Xe chở phân FD120 (5.41m3)</v>
      </c>
      <c r="H582" s="101" t="s">
        <v>3390</v>
      </c>
      <c r="I582" s="101" t="str">
        <f>IFERROR(VLOOKUP(B582,'02. MM-KLH'!$B$6:$T$823,8,0),"")</f>
        <v>XN Bò AD</v>
      </c>
      <c r="J582" s="105" t="str">
        <f>IFERROR(VLOOKUP(B582,'02. MM-KLH'!$B$6:$T$823,9,0),"")</f>
        <v>13/09/2025</v>
      </c>
      <c r="K582" s="101" t="str">
        <f>IFERROR(VLOOKUP(B582,'02. MM-KLH'!$B$6:$T$823,10,0),"")</f>
        <v>Bình thường</v>
      </c>
      <c r="L582" s="107">
        <f>IFERROR(VLOOKUP(B582,'02. MM-KLH'!$B$6:$T$823,11,0),"")</f>
        <v>0</v>
      </c>
      <c r="M582" s="864" t="str">
        <f>IFERROR(VLOOKUP(B582,'02. MM-KLH'!$B$6:$T$823,12,0),"")</f>
        <v>Đầu tư mới</v>
      </c>
      <c r="N582" s="110" t="str">
        <f>IFERROR(VLOOKUP(B582,'02. MM-KLH'!$B$6:$T$823,13,0),"")</f>
        <v>THACO FORLAND</v>
      </c>
      <c r="O582" s="110" t="str">
        <f>IFERROR(VLOOKUP(B582,'02. MM-KLH'!$B$6:$T$823,14,0),"")</f>
        <v>VIỆT NAM</v>
      </c>
      <c r="P582" s="101">
        <f>IFERROR(VLOOKUP(B582,'02. MM-KLH'!$B$6:$T$823,15,0),"")</f>
        <v>2024</v>
      </c>
      <c r="Q582" s="101" t="str">
        <f>IFERROR(VLOOKUP(B582,'02. MM-KLH'!$B$6:$T$823,16,0),"")</f>
        <v> FD120-4WD</v>
      </c>
      <c r="R582" s="101" t="str">
        <f>IFERROR(VLOOKUP(B582,'02. MM-KLH'!$B$6:$T$823,17,0),"")</f>
        <v>129HP</v>
      </c>
      <c r="S582" s="110" t="str">
        <f>IFERROR(VLOOKUP(B582,'02. MM-KLH'!$B$6:$T$823,18,0),"")</f>
        <v>RNHF12FNBRT002117</v>
      </c>
      <c r="T582" s="111" t="str">
        <f>IFERROR(VLOOKUP(B582,'02. MM-KLH'!$B$6:$T$823,19,0),"")</f>
        <v>YN38CRD1*AGN22000297*</v>
      </c>
      <c r="U582" s="863" t="s">
        <v>3343</v>
      </c>
    </row>
    <row r="583" ht="13.5" customHeight="1" spans="1:21">
      <c r="A583" s="103"/>
      <c r="B583" s="104"/>
      <c r="C583" s="104" t="str">
        <f>IFERROR(VLOOKUP(B583,'02. MM-KLH'!$B$6:$T$823,2,0),"")</f>
        <v/>
      </c>
      <c r="D583" s="103" t="str">
        <f>IFERROR(VLOOKUP(B583,'02. MM-KLH'!$B$6:$T$823,3,0),"")</f>
        <v/>
      </c>
      <c r="E583" s="102" t="str">
        <f>IFERROR(VLOOKUP(B583,'02. MM-KLH'!$B$6:$T$823,4,0),"")</f>
        <v/>
      </c>
      <c r="F583" s="104"/>
      <c r="G583" s="102" t="str">
        <f>IFERROR(VLOOKUP(B583,'02. MM-KLH'!$B$6:$T$823,6,0),"")</f>
        <v/>
      </c>
      <c r="H583" s="101"/>
      <c r="I583" s="101" t="str">
        <f>IFERROR(VLOOKUP(B583,'02. MM-KLH'!$B$6:$T$823,8,0),"")</f>
        <v/>
      </c>
      <c r="J583" s="105" t="str">
        <f>IFERROR(VLOOKUP(B583,'02. MM-KLH'!$B$6:$T$823,9,0),"")</f>
        <v/>
      </c>
      <c r="K583" s="101" t="str">
        <f>IFERROR(VLOOKUP(B583,'02. MM-KLH'!$B$6:$T$823,10,0),"")</f>
        <v/>
      </c>
      <c r="L583" s="107" t="str">
        <f>IFERROR(VLOOKUP(B583,'02. MM-KLH'!$B$6:$T$823,11,0),"")</f>
        <v/>
      </c>
      <c r="M583" s="864" t="str">
        <f>IFERROR(VLOOKUP(B583,'02. MM-KLH'!$B$6:$T$823,12,0),"")</f>
        <v/>
      </c>
      <c r="N583" s="110" t="str">
        <f>IFERROR(VLOOKUP(B583,'02. MM-KLH'!$B$6:$T$823,13,0),"")</f>
        <v/>
      </c>
      <c r="O583" s="110" t="str">
        <f>IFERROR(VLOOKUP(B583,'02. MM-KLH'!$B$6:$T$823,14,0),"")</f>
        <v/>
      </c>
      <c r="P583" s="101" t="str">
        <f>IFERROR(VLOOKUP(B583,'02. MM-KLH'!$B$6:$T$823,15,0),"")</f>
        <v/>
      </c>
      <c r="Q583" s="101" t="str">
        <f>IFERROR(VLOOKUP(B583,'02. MM-KLH'!$B$6:$T$823,16,0),"")</f>
        <v/>
      </c>
      <c r="R583" s="101" t="str">
        <f>IFERROR(VLOOKUP(B583,'02. MM-KLH'!$B$6:$T$823,17,0),"")</f>
        <v/>
      </c>
      <c r="S583" s="110" t="str">
        <f>IFERROR(VLOOKUP(B583,'02. MM-KLH'!$B$6:$T$823,18,0),"")</f>
        <v/>
      </c>
      <c r="T583" s="111" t="str">
        <f>IFERROR(VLOOKUP(B583,'02. MM-KLH'!$B$6:$T$823,19,0),"")</f>
        <v/>
      </c>
      <c r="U583" s="863"/>
    </row>
    <row r="584" ht="13.5" customHeight="1" spans="1:21">
      <c r="A584" s="847" t="s">
        <v>290</v>
      </c>
      <c r="B584" s="848" t="s">
        <v>3506</v>
      </c>
      <c r="C584" s="849">
        <f>COUNTA(B585:B589)</f>
        <v>4</v>
      </c>
      <c r="D584" s="849" t="str">
        <f>IFERROR(VLOOKUP(B584,'02. MM-KLH'!$B$6:$T$823,3,0),"")</f>
        <v/>
      </c>
      <c r="E584" s="849" t="str">
        <f>IFERROR(VLOOKUP(B584,'02. MM-KLH'!$B$6:$T$823,4,0),"")</f>
        <v/>
      </c>
      <c r="F584" s="849"/>
      <c r="G584" s="849" t="str">
        <f>IFERROR(VLOOKUP(B584,'02. MM-KLH'!$B$6:$T$823,6,0),"")</f>
        <v/>
      </c>
      <c r="H584" s="849"/>
      <c r="I584" s="849" t="str">
        <f>IFERROR(VLOOKUP(B584,'02. MM-KLH'!$B$6:$T$823,8,0),"")</f>
        <v/>
      </c>
      <c r="J584" s="849" t="str">
        <f>IFERROR(VLOOKUP(B584,'02. MM-KLH'!$B$6:$T$823,9,0),"")</f>
        <v/>
      </c>
      <c r="K584" s="849" t="str">
        <f>IFERROR(VLOOKUP(B584,'02. MM-KLH'!$B$6:$T$823,10,0),"")</f>
        <v/>
      </c>
      <c r="L584" s="849" t="str">
        <f>IFERROR(VLOOKUP(B584,'02. MM-KLH'!$B$6:$T$823,11,0),"")</f>
        <v/>
      </c>
      <c r="M584" s="849" t="str">
        <f>IFERROR(VLOOKUP(B584,'02. MM-KLH'!$B$6:$T$823,12,0),"")</f>
        <v/>
      </c>
      <c r="N584" s="849" t="str">
        <f>IFERROR(VLOOKUP(B584,'02. MM-KLH'!$B$6:$T$823,13,0),"")</f>
        <v/>
      </c>
      <c r="O584" s="849" t="str">
        <f>IFERROR(VLOOKUP(B584,'02. MM-KLH'!$B$6:$T$823,14,0),"")</f>
        <v/>
      </c>
      <c r="P584" s="849" t="str">
        <f>IFERROR(VLOOKUP(B584,'02. MM-KLH'!$B$6:$T$823,15,0),"")</f>
        <v/>
      </c>
      <c r="Q584" s="849" t="str">
        <f>IFERROR(VLOOKUP(B584,'02. MM-KLH'!$B$6:$T$823,16,0),"")</f>
        <v/>
      </c>
      <c r="R584" s="849" t="str">
        <f>IFERROR(VLOOKUP(B584,'02. MM-KLH'!$B$6:$T$823,17,0),"")</f>
        <v/>
      </c>
      <c r="S584" s="849" t="str">
        <f>IFERROR(VLOOKUP(B584,'02. MM-KLH'!$B$6:$T$823,18,0),"")</f>
        <v/>
      </c>
      <c r="T584" s="849" t="str">
        <f>IFERROR(VLOOKUP(B584,'02. MM-KLH'!$B$6:$T$823,19,0),"")</f>
        <v/>
      </c>
      <c r="U584" s="849" t="str">
        <f>IFERROR(VLOOKUP(C584,'02. MM-KLH'!$B$6:$T$823,19,0),"")</f>
        <v/>
      </c>
    </row>
    <row r="585" ht="13.5" customHeight="1" spans="1:21">
      <c r="A585" s="103">
        <v>1</v>
      </c>
      <c r="B585" s="104" t="s">
        <v>2191</v>
      </c>
      <c r="C585" s="102" t="str">
        <f>IFERROR(VLOOKUP(B585,'02. MM-KLH'!$B$6:$T$823,2,0),"")</f>
        <v>Mới</v>
      </c>
      <c r="D585" s="103" t="str">
        <f>IFERROR(VLOOKUP(B585,'02. MM-KLH'!$B$6:$T$823,3,0),"")</f>
        <v>ATT-A22-0270</v>
      </c>
      <c r="E585" s="102">
        <f>IFERROR(VLOOKUP(B585,'02. MM-KLH'!$B$6:$T$823,4,0),"")</f>
        <v>0</v>
      </c>
      <c r="F585" s="104" t="s">
        <v>3507</v>
      </c>
      <c r="G585" s="102" t="str">
        <f>IFERROR(VLOOKUP(B585,'02. MM-KLH'!$B$6:$T$823,6,0),"")</f>
        <v>Xe rải thức ăn FD1600B (23m3)</v>
      </c>
      <c r="H585" s="101" t="s">
        <v>3508</v>
      </c>
      <c r="I585" s="101" t="str">
        <f>IFERROR(VLOOKUP(B585,'02. MM-KLH'!$B$6:$T$823,8,0),"")</f>
        <v>XN Bò AD</v>
      </c>
      <c r="J585" s="105">
        <f>IFERROR(VLOOKUP(B585,'02. MM-KLH'!$B$6:$T$823,9,0),"")</f>
        <v>44927</v>
      </c>
      <c r="K585" s="101" t="str">
        <f>IFERROR(VLOOKUP(B585,'02. MM-KLH'!$B$6:$T$823,10,0),"")</f>
        <v>Bình thường</v>
      </c>
      <c r="L585" s="107">
        <f>IFERROR(VLOOKUP(B585,'02. MM-KLH'!$B$6:$T$823,11,0),"")</f>
        <v>0.97</v>
      </c>
      <c r="M585" s="864" t="str">
        <f>IFERROR(VLOOKUP(B585,'02. MM-KLH'!$B$6:$T$823,12,0),"")</f>
        <v>Đầu tư mới</v>
      </c>
      <c r="N585" s="110" t="str">
        <f>IFERROR(VLOOKUP(B585,'02. MM-KLH'!$B$6:$T$823,13,0),"")</f>
        <v>THACO FORLAND</v>
      </c>
      <c r="O585" s="110" t="str">
        <f>IFERROR(VLOOKUP(B585,'02. MM-KLH'!$B$6:$T$823,14,0),"")</f>
        <v>VIỆT NAM</v>
      </c>
      <c r="P585" s="101">
        <f>IFERROR(VLOOKUP(B585,'02. MM-KLH'!$B$6:$T$823,15,0),"")</f>
        <v>2017</v>
      </c>
      <c r="Q585" s="101" t="str">
        <f>IFERROR(VLOOKUP(B585,'02. MM-KLH'!$B$6:$T$823,16,0),"")</f>
        <v>FD1600B</v>
      </c>
      <c r="R585" s="101" t="str">
        <f>IFERROR(VLOOKUP(B585,'02. MM-KLH'!$B$6:$T$823,17,0),"")</f>
        <v>180HP</v>
      </c>
      <c r="S585" s="110" t="str">
        <f>IFERROR(VLOOKUP(B585,'02. MM-KLH'!$B$6:$T$823,18,0),"")</f>
        <v>RNHD1600DHC070080</v>
      </c>
      <c r="T585" s="111" t="str">
        <f>IFERROR(VLOOKUP(B585,'02. MM-KLH'!$B$6:$T$823,19,0),"")</f>
        <v>WP6180E326P15D005529</v>
      </c>
      <c r="U585" s="863" t="s">
        <v>3343</v>
      </c>
    </row>
    <row r="586" ht="13.5" customHeight="1" spans="1:21">
      <c r="A586" s="103">
        <v>2</v>
      </c>
      <c r="B586" s="104" t="s">
        <v>2195</v>
      </c>
      <c r="C586" s="102" t="str">
        <f>IFERROR(VLOOKUP(B586,'02. MM-KLH'!$B$6:$T$823,2,0),"")</f>
        <v>Mới</v>
      </c>
      <c r="D586" s="103" t="str">
        <f>IFERROR(VLOOKUP(B586,'02. MM-KLH'!$B$6:$T$823,3,0),"")</f>
        <v>ATT-A22-0287</v>
      </c>
      <c r="E586" s="102">
        <f>IFERROR(VLOOKUP(B586,'02. MM-KLH'!$B$6:$T$823,4,0),"")</f>
        <v>0</v>
      </c>
      <c r="F586" s="104" t="s">
        <v>3509</v>
      </c>
      <c r="G586" s="102" t="str">
        <f>IFERROR(VLOOKUP(B586,'02. MM-KLH'!$B$6:$T$823,6,0),"")</f>
        <v>Xe rải thức ăn FD1600B (23m3)</v>
      </c>
      <c r="H586" s="101" t="s">
        <v>3508</v>
      </c>
      <c r="I586" s="101" t="str">
        <f>IFERROR(VLOOKUP(B586,'02. MM-KLH'!$B$6:$T$823,8,0),"")</f>
        <v>XN Bò AD</v>
      </c>
      <c r="J586" s="105">
        <f>IFERROR(VLOOKUP(B586,'02. MM-KLH'!$B$6:$T$823,9,0),"")</f>
        <v>45261</v>
      </c>
      <c r="K586" s="101" t="str">
        <f>IFERROR(VLOOKUP(B586,'02. MM-KLH'!$B$6:$T$823,10,0),"")</f>
        <v>Bình thường</v>
      </c>
      <c r="L586" s="107">
        <f>IFERROR(VLOOKUP(B586,'02. MM-KLH'!$B$6:$T$823,11,0),"")</f>
        <v>0.97</v>
      </c>
      <c r="M586" s="864" t="str">
        <f>IFERROR(VLOOKUP(B586,'02. MM-KLH'!$B$6:$T$823,12,0),"")</f>
        <v>Đầu tư mới</v>
      </c>
      <c r="N586" s="110" t="str">
        <f>IFERROR(VLOOKUP(B586,'02. MM-KLH'!$B$6:$T$823,13,0),"")</f>
        <v>THACO FORLAND</v>
      </c>
      <c r="O586" s="110" t="str">
        <f>IFERROR(VLOOKUP(B586,'02. MM-KLH'!$B$6:$T$823,14,0),"")</f>
        <v>VIỆT NAM</v>
      </c>
      <c r="P586" s="101">
        <f>IFERROR(VLOOKUP(B586,'02. MM-KLH'!$B$6:$T$823,15,0),"")</f>
        <v>2017</v>
      </c>
      <c r="Q586" s="101" t="str">
        <f>IFERROR(VLOOKUP(B586,'02. MM-KLH'!$B$6:$T$823,16,0),"")</f>
        <v>FD1600B</v>
      </c>
      <c r="R586" s="101" t="str">
        <f>IFERROR(VLOOKUP(B586,'02. MM-KLH'!$B$6:$T$823,17,0),"")</f>
        <v>180HP</v>
      </c>
      <c r="S586" s="110" t="str">
        <f>IFERROR(VLOOKUP(B586,'02. MM-KLH'!$B$6:$T$823,18,0),"")</f>
        <v>RNHD1600DHC055025</v>
      </c>
      <c r="T586" s="111" t="str">
        <f>IFERROR(VLOOKUP(B586,'02. MM-KLH'!$B$6:$T$823,19,0),"")</f>
        <v>WP6180E326P15D005502</v>
      </c>
      <c r="U586" s="863" t="s">
        <v>3343</v>
      </c>
    </row>
    <row r="587" ht="13.5" customHeight="1" spans="1:21">
      <c r="A587" s="103">
        <f t="shared" ref="A587:A588" si="27">1+A586</f>
        <v>3</v>
      </c>
      <c r="B587" s="104" t="s">
        <v>2198</v>
      </c>
      <c r="C587" s="102" t="str">
        <f>IFERROR(VLOOKUP(B587,'02. MM-KLH'!$B$6:$T$823,2,0),"")</f>
        <v>Mới</v>
      </c>
      <c r="D587" s="103" t="str">
        <f>IFERROR(VLOOKUP(B587,'02. MM-KLH'!$B$6:$T$823,3,0),"")</f>
        <v>ATT-A22-0288</v>
      </c>
      <c r="E587" s="102">
        <f>IFERROR(VLOOKUP(B587,'02. MM-KLH'!$B$6:$T$823,4,0),"")</f>
        <v>0</v>
      </c>
      <c r="F587" s="104" t="s">
        <v>3510</v>
      </c>
      <c r="G587" s="102" t="str">
        <f>IFERROR(VLOOKUP(B587,'02. MM-KLH'!$B$6:$T$823,6,0),"")</f>
        <v>Xe rải thức ăn FD1600B (23m3)</v>
      </c>
      <c r="H587" s="101" t="s">
        <v>3508</v>
      </c>
      <c r="I587" s="101" t="str">
        <f>IFERROR(VLOOKUP(B587,'02. MM-KLH'!$B$6:$T$823,8,0),"")</f>
        <v>XN Bò AD</v>
      </c>
      <c r="J587" s="105">
        <f>IFERROR(VLOOKUP(B587,'02. MM-KLH'!$B$6:$T$823,9,0),"")</f>
        <v>45261</v>
      </c>
      <c r="K587" s="101" t="str">
        <f>IFERROR(VLOOKUP(B587,'02. MM-KLH'!$B$6:$T$823,10,0),"")</f>
        <v>Bình thường</v>
      </c>
      <c r="L587" s="107">
        <f>IFERROR(VLOOKUP(B587,'02. MM-KLH'!$B$6:$T$823,11,0),"")</f>
        <v>0.97</v>
      </c>
      <c r="M587" s="864" t="str">
        <f>IFERROR(VLOOKUP(B587,'02. MM-KLH'!$B$6:$T$823,12,0),"")</f>
        <v>Đầu tư mới</v>
      </c>
      <c r="N587" s="110" t="str">
        <f>IFERROR(VLOOKUP(B587,'02. MM-KLH'!$B$6:$T$823,13,0),"")</f>
        <v>THACO FORLAND</v>
      </c>
      <c r="O587" s="110" t="str">
        <f>IFERROR(VLOOKUP(B587,'02. MM-KLH'!$B$6:$T$823,14,0),"")</f>
        <v>VIỆT NAM</v>
      </c>
      <c r="P587" s="101">
        <f>IFERROR(VLOOKUP(B587,'02. MM-KLH'!$B$6:$T$823,15,0),"")</f>
        <v>2017</v>
      </c>
      <c r="Q587" s="101" t="str">
        <f>IFERROR(VLOOKUP(B587,'02. MM-KLH'!$B$6:$T$823,16,0),"")</f>
        <v>FD1600B</v>
      </c>
      <c r="R587" s="101" t="str">
        <f>IFERROR(VLOOKUP(B587,'02. MM-KLH'!$B$6:$T$823,17,0),"")</f>
        <v>180HP</v>
      </c>
      <c r="S587" s="110" t="str">
        <f>IFERROR(VLOOKUP(B587,'02. MM-KLH'!$B$6:$T$823,18,0),"")</f>
        <v>RNHD1600DHC056126</v>
      </c>
      <c r="T587" s="111" t="str">
        <f>IFERROR(VLOOKUP(B587,'02. MM-KLH'!$B$6:$T$823,19,0),"")</f>
        <v>WP6.180E326P15D005524</v>
      </c>
      <c r="U587" s="863" t="s">
        <v>3343</v>
      </c>
    </row>
    <row r="588" ht="13.5" customHeight="1" spans="1:21">
      <c r="A588" s="103">
        <f t="shared" si="27"/>
        <v>4</v>
      </c>
      <c r="B588" s="104" t="s">
        <v>2201</v>
      </c>
      <c r="C588" s="102" t="str">
        <f>IFERROR(VLOOKUP(B588,'02. MM-KLH'!$B$6:$T$823,2,0),"")</f>
        <v>Mới</v>
      </c>
      <c r="D588" s="103" t="str">
        <f>IFERROR(VLOOKUP(B588,'02. MM-KLH'!$B$6:$T$823,3,0),"")</f>
        <v>A22-XRA-005</v>
      </c>
      <c r="E588" s="102">
        <f>IFERROR(VLOOKUP(B588,'02. MM-KLH'!$B$6:$T$823,4,0),"")</f>
        <v>0</v>
      </c>
      <c r="F588" s="104"/>
      <c r="G588" s="102" t="str">
        <f>IFERROR(VLOOKUP(B588,'02. MM-KLH'!$B$6:$T$823,6,0),"")</f>
        <v>Xe rải thức ăn FD1600B (23m3)</v>
      </c>
      <c r="H588" s="101" t="s">
        <v>3508</v>
      </c>
      <c r="I588" s="101" t="str">
        <f>IFERROR(VLOOKUP(B588,'02. MM-KLH'!$B$6:$T$823,8,0),"")</f>
        <v>XN Bò AD</v>
      </c>
      <c r="J588" s="105">
        <f>IFERROR(VLOOKUP(B588,'02. MM-KLH'!$B$6:$T$823,9,0),"")</f>
        <v>45569</v>
      </c>
      <c r="K588" s="101" t="str">
        <f>IFERROR(VLOOKUP(B588,'02. MM-KLH'!$B$6:$T$823,10,0),"")</f>
        <v>Bình thường</v>
      </c>
      <c r="L588" s="107">
        <f>IFERROR(VLOOKUP(B588,'02. MM-KLH'!$B$6:$T$823,11,0),"")</f>
        <v>0</v>
      </c>
      <c r="M588" s="864" t="str">
        <f>IFERROR(VLOOKUP(B588,'02. MM-KLH'!$B$6:$T$823,12,0),"")</f>
        <v>Đầu tư mới</v>
      </c>
      <c r="N588" s="110" t="str">
        <f>IFERROR(VLOOKUP(B588,'02. MM-KLH'!$B$6:$T$823,13,0),"")</f>
        <v>THACO FORLAND</v>
      </c>
      <c r="O588" s="110" t="str">
        <f>IFERROR(VLOOKUP(B588,'02. MM-KLH'!$B$6:$T$823,14,0),"")</f>
        <v>VIỆT NAM</v>
      </c>
      <c r="P588" s="101">
        <f>IFERROR(VLOOKUP(B588,'02. MM-KLH'!$B$6:$T$823,15,0),"")</f>
        <v>2017</v>
      </c>
      <c r="Q588" s="101" t="str">
        <f>IFERROR(VLOOKUP(B588,'02. MM-KLH'!$B$6:$T$823,16,0),"")</f>
        <v>FD1600B</v>
      </c>
      <c r="R588" s="101" t="str">
        <f>IFERROR(VLOOKUP(B588,'02. MM-KLH'!$B$6:$T$823,17,0),"")</f>
        <v>180HP</v>
      </c>
      <c r="S588" s="110" t="str">
        <f>IFERROR(VLOOKUP(B588,'02. MM-KLH'!$B$6:$T$823,18,0),"")</f>
        <v>RNHD1600DHC056121</v>
      </c>
      <c r="T588" s="111" t="str">
        <f>IFERROR(VLOOKUP(B588,'02. MM-KLH'!$B$6:$T$823,19,0),"")</f>
        <v>WP6.180E32*6P15D005392</v>
      </c>
      <c r="U588" s="863" t="s">
        <v>3343</v>
      </c>
    </row>
    <row r="589" ht="13.5" customHeight="1" spans="1:21">
      <c r="A589" s="103"/>
      <c r="B589" s="104"/>
      <c r="C589" s="102" t="str">
        <f>IFERROR(VLOOKUP(B589,'02. MM-KLH'!$B$6:$T$823,2,0),"")</f>
        <v/>
      </c>
      <c r="D589" s="103" t="str">
        <f>IFERROR(VLOOKUP(B589,'02. MM-KLH'!$B$6:$T$823,3,0),"")</f>
        <v/>
      </c>
      <c r="E589" s="102" t="str">
        <f>IFERROR(VLOOKUP(B589,'02. MM-KLH'!$B$6:$T$823,4,0),"")</f>
        <v/>
      </c>
      <c r="F589" s="104"/>
      <c r="G589" s="102" t="str">
        <f>IFERROR(VLOOKUP(B589,'02. MM-KLH'!$B$6:$T$823,6,0),"")</f>
        <v/>
      </c>
      <c r="H589" s="101"/>
      <c r="I589" s="101" t="str">
        <f>IFERROR(VLOOKUP(B589,'02. MM-KLH'!$B$6:$T$823,8,0),"")</f>
        <v/>
      </c>
      <c r="J589" s="105" t="str">
        <f>IFERROR(VLOOKUP(B589,'02. MM-KLH'!$B$6:$T$823,9,0),"")</f>
        <v/>
      </c>
      <c r="K589" s="101" t="str">
        <f>IFERROR(VLOOKUP(B589,'02. MM-KLH'!$B$6:$T$823,10,0),"")</f>
        <v/>
      </c>
      <c r="L589" s="107" t="str">
        <f>IFERROR(VLOOKUP(B589,'02. MM-KLH'!$B$6:$T$823,11,0),"")</f>
        <v/>
      </c>
      <c r="M589" s="864" t="str">
        <f>IFERROR(VLOOKUP(B589,'02. MM-KLH'!$B$6:$T$823,12,0),"")</f>
        <v/>
      </c>
      <c r="N589" s="110" t="str">
        <f>IFERROR(VLOOKUP(B589,'02. MM-KLH'!$B$6:$T$823,13,0),"")</f>
        <v/>
      </c>
      <c r="O589" s="110" t="str">
        <f>IFERROR(VLOOKUP(B589,'02. MM-KLH'!$B$6:$T$823,14,0),"")</f>
        <v/>
      </c>
      <c r="P589" s="101" t="str">
        <f>IFERROR(VLOOKUP(B589,'02. MM-KLH'!$B$6:$T$823,15,0),"")</f>
        <v/>
      </c>
      <c r="Q589" s="101" t="str">
        <f>IFERROR(VLOOKUP(B589,'02. MM-KLH'!$B$6:$T$823,16,0),"")</f>
        <v/>
      </c>
      <c r="R589" s="101" t="str">
        <f>IFERROR(VLOOKUP(B589,'02. MM-KLH'!$B$6:$T$823,17,0),"")</f>
        <v/>
      </c>
      <c r="S589" s="110" t="str">
        <f>IFERROR(VLOOKUP(B589,'02. MM-KLH'!$B$6:$T$823,18,0),"")</f>
        <v/>
      </c>
      <c r="T589" s="111" t="str">
        <f>IFERROR(VLOOKUP(B589,'02. MM-KLH'!$B$6:$T$823,19,0),"")</f>
        <v/>
      </c>
      <c r="U589" s="863"/>
    </row>
    <row r="590" ht="13.5" customHeight="1" spans="1:21">
      <c r="A590" s="847" t="s">
        <v>290</v>
      </c>
      <c r="B590" s="848" t="s">
        <v>3511</v>
      </c>
      <c r="C590" s="849">
        <f>COUNTA(B591:B592)</f>
        <v>1</v>
      </c>
      <c r="D590" s="849" t="str">
        <f>IFERROR(VLOOKUP(B590,'02. MM-KLH'!$B$6:$T$823,3,0),"")</f>
        <v/>
      </c>
      <c r="E590" s="849" t="str">
        <f>IFERROR(VLOOKUP(B590,'02. MM-KLH'!$B$6:$T$823,4,0),"")</f>
        <v/>
      </c>
      <c r="F590" s="849"/>
      <c r="G590" s="849" t="str">
        <f>IFERROR(VLOOKUP(B590,'02. MM-KLH'!$B$6:$T$823,6,0),"")</f>
        <v/>
      </c>
      <c r="H590" s="849"/>
      <c r="I590" s="849" t="str">
        <f>IFERROR(VLOOKUP(B590,'02. MM-KLH'!$B$6:$T$823,8,0),"")</f>
        <v/>
      </c>
      <c r="J590" s="849" t="str">
        <f>IFERROR(VLOOKUP(B590,'02. MM-KLH'!$B$6:$T$823,9,0),"")</f>
        <v/>
      </c>
      <c r="K590" s="849" t="str">
        <f>IFERROR(VLOOKUP(B590,'02. MM-KLH'!$B$6:$T$823,10,0),"")</f>
        <v/>
      </c>
      <c r="L590" s="849" t="str">
        <f>IFERROR(VLOOKUP(B590,'02. MM-KLH'!$B$6:$T$823,11,0),"")</f>
        <v/>
      </c>
      <c r="M590" s="849" t="str">
        <f>IFERROR(VLOOKUP(B590,'02. MM-KLH'!$B$6:$T$823,12,0),"")</f>
        <v/>
      </c>
      <c r="N590" s="849" t="str">
        <f>IFERROR(VLOOKUP(B590,'02. MM-KLH'!$B$6:$T$823,13,0),"")</f>
        <v/>
      </c>
      <c r="O590" s="849" t="str">
        <f>IFERROR(VLOOKUP(B590,'02. MM-KLH'!$B$6:$T$823,14,0),"")</f>
        <v/>
      </c>
      <c r="P590" s="849" t="str">
        <f>IFERROR(VLOOKUP(B590,'02. MM-KLH'!$B$6:$T$823,15,0),"")</f>
        <v/>
      </c>
      <c r="Q590" s="849" t="str">
        <f>IFERROR(VLOOKUP(B590,'02. MM-KLH'!$B$6:$T$823,16,0),"")</f>
        <v/>
      </c>
      <c r="R590" s="849" t="str">
        <f>IFERROR(VLOOKUP(B590,'02. MM-KLH'!$B$6:$T$823,17,0),"")</f>
        <v/>
      </c>
      <c r="S590" s="849" t="str">
        <f>IFERROR(VLOOKUP(B590,'02. MM-KLH'!$B$6:$T$823,18,0),"")</f>
        <v/>
      </c>
      <c r="T590" s="849" t="str">
        <f>IFERROR(VLOOKUP(B590,'02. MM-KLH'!$B$6:$T$823,19,0),"")</f>
        <v/>
      </c>
      <c r="U590" s="849" t="str">
        <f>IFERROR(VLOOKUP(C590,'02. MM-KLH'!$B$6:$T$823,19,0),"")</f>
        <v/>
      </c>
    </row>
    <row r="591" ht="13.5" customHeight="1" spans="1:21">
      <c r="A591" s="103">
        <v>1</v>
      </c>
      <c r="B591" s="104" t="s">
        <v>2187</v>
      </c>
      <c r="C591" s="102" t="str">
        <f>IFERROR(VLOOKUP(B591,'02. MM-KLH'!$B$6:$T$823,2,0),"")</f>
        <v>XBT06NN-KLH</v>
      </c>
      <c r="D591" s="103" t="str">
        <f>IFERROR(VLOOKUP(B591,'02. MM-KLH'!$B$6:$T$823,3,0),"")</f>
        <v>A22-XCC-001</v>
      </c>
      <c r="E591" s="102">
        <f>IFERROR(VLOOKUP(B591,'02. MM-KLH'!$B$6:$T$823,4,0),"")</f>
        <v>0</v>
      </c>
      <c r="F591" s="104"/>
      <c r="G591" s="102" t="str">
        <f>IFERROR(VLOOKUP(B591,'02. MM-KLH'!$B$6:$T$823,6,0),"")</f>
        <v>Xe chở cám FC950</v>
      </c>
      <c r="H591" s="101" t="s">
        <v>3512</v>
      </c>
      <c r="I591" s="101" t="str">
        <f>IFERROR(VLOOKUP(B591,'02. MM-KLH'!$B$6:$T$823,8,0),"")</f>
        <v>XN Bò AD</v>
      </c>
      <c r="J591" s="105">
        <f>IFERROR(VLOOKUP(B591,'02. MM-KLH'!$B$6:$T$823,9,0),"")</f>
        <v>0</v>
      </c>
      <c r="K591" s="101" t="str">
        <f>IFERROR(VLOOKUP(B591,'02. MM-KLH'!$B$6:$T$823,10,0),"")</f>
        <v>Bình thường</v>
      </c>
      <c r="L591" s="107">
        <f>IFERROR(VLOOKUP(B591,'02. MM-KLH'!$B$6:$T$823,11,0),"")</f>
        <v>0</v>
      </c>
      <c r="M591" s="864">
        <f>IFERROR(VLOOKUP(B591,'02. MM-KLH'!$B$6:$T$823,12,0),"")</f>
        <v>0</v>
      </c>
      <c r="N591" s="110" t="str">
        <f>IFERROR(VLOOKUP(B591,'02. MM-KLH'!$B$6:$T$823,13,0),"")</f>
        <v>THACO FORLAND</v>
      </c>
      <c r="O591" s="110" t="str">
        <f>IFERROR(VLOOKUP(B591,'02. MM-KLH'!$B$6:$T$823,14,0),"")</f>
        <v>VIỆT NAM</v>
      </c>
      <c r="P591" s="101">
        <f>IFERROR(VLOOKUP(B591,'02. MM-KLH'!$B$6:$T$823,15,0),"")</f>
        <v>2018</v>
      </c>
      <c r="Q591" s="101" t="str">
        <f>IFERROR(VLOOKUP(B591,'02. MM-KLH'!$B$6:$T$823,16,0),"")</f>
        <v>FC950</v>
      </c>
      <c r="R591" s="101" t="str">
        <f>IFERROR(VLOOKUP(B591,'02. MM-KLH'!$B$6:$T$823,17,0),"")</f>
        <v>160HP</v>
      </c>
      <c r="S591" s="110" t="str">
        <f>IFERROR(VLOOKUP(B591,'02. MM-KLH'!$B$6:$T$823,18,0),"")</f>
        <v>RNHA16FYAJC084020</v>
      </c>
      <c r="T591" s="111" t="str">
        <f>IFERROR(VLOOKUP(B591,'02. MM-KLH'!$B$6:$T$823,19,0),"")</f>
        <v>J00052</v>
      </c>
      <c r="U591" s="863" t="s">
        <v>451</v>
      </c>
    </row>
    <row r="592" ht="13.5" customHeight="1" spans="1:21">
      <c r="A592" s="101"/>
      <c r="B592" s="104"/>
      <c r="C592" s="102" t="str">
        <f>IFERROR(VLOOKUP(B592,'02. MM-KLH'!$B$6:$T$823,2,0),"")</f>
        <v/>
      </c>
      <c r="D592" s="103" t="str">
        <f>IFERROR(VLOOKUP(B592,'02. MM-KLH'!$B$6:$T$823,3,0),"")</f>
        <v/>
      </c>
      <c r="E592" s="102" t="str">
        <f>IFERROR(VLOOKUP(B592,'02. MM-KLH'!$B$6:$T$823,4,0),"")</f>
        <v/>
      </c>
      <c r="F592" s="104"/>
      <c r="G592" s="102" t="str">
        <f>IFERROR(VLOOKUP(B592,'02. MM-KLH'!$B$6:$T$823,6,0),"")</f>
        <v/>
      </c>
      <c r="H592" s="101"/>
      <c r="I592" s="101" t="str">
        <f>IFERROR(VLOOKUP(B592,'02. MM-KLH'!$B$6:$T$823,8,0),"")</f>
        <v/>
      </c>
      <c r="J592" s="105" t="str">
        <f>IFERROR(VLOOKUP(B592,'02. MM-KLH'!$B$6:$T$823,9,0),"")</f>
        <v/>
      </c>
      <c r="K592" s="101" t="str">
        <f>IFERROR(VLOOKUP(B592,'02. MM-KLH'!$B$6:$T$823,10,0),"")</f>
        <v/>
      </c>
      <c r="L592" s="107" t="str">
        <f>IFERROR(VLOOKUP(B592,'02. MM-KLH'!$B$6:$T$823,11,0),"")</f>
        <v/>
      </c>
      <c r="M592" s="864" t="str">
        <f>IFERROR(VLOOKUP(B592,'02. MM-KLH'!$B$6:$T$823,12,0),"")</f>
        <v/>
      </c>
      <c r="N592" s="110" t="str">
        <f>IFERROR(VLOOKUP(B592,'02. MM-KLH'!$B$6:$T$823,13,0),"")</f>
        <v/>
      </c>
      <c r="O592" s="110" t="str">
        <f>IFERROR(VLOOKUP(B592,'02. MM-KLH'!$B$6:$T$823,14,0),"")</f>
        <v/>
      </c>
      <c r="P592" s="101" t="str">
        <f>IFERROR(VLOOKUP(B592,'02. MM-KLH'!$B$6:$T$823,15,0),"")</f>
        <v/>
      </c>
      <c r="Q592" s="101" t="str">
        <f>IFERROR(VLOOKUP(B592,'02. MM-KLH'!$B$6:$T$823,16,0),"")</f>
        <v/>
      </c>
      <c r="R592" s="101" t="str">
        <f>IFERROR(VLOOKUP(B592,'02. MM-KLH'!$B$6:$T$823,17,0),"")</f>
        <v/>
      </c>
      <c r="S592" s="110" t="str">
        <f>IFERROR(VLOOKUP(B592,'02. MM-KLH'!$B$6:$T$823,18,0),"")</f>
        <v/>
      </c>
      <c r="T592" s="111" t="str">
        <f>IFERROR(VLOOKUP(B592,'02. MM-KLH'!$B$6:$T$823,19,0),"")</f>
        <v/>
      </c>
      <c r="U592" s="863"/>
    </row>
    <row r="593" ht="13.5" customHeight="1" spans="1:21">
      <c r="A593" s="847" t="s">
        <v>290</v>
      </c>
      <c r="B593" s="848" t="s">
        <v>3513</v>
      </c>
      <c r="C593" s="849">
        <f>COUNTA(B594:B605)</f>
        <v>11</v>
      </c>
      <c r="D593" s="849" t="str">
        <f>IFERROR(VLOOKUP(B593,'02. MM-KLH'!$B$6:$T$823,3,0),"")</f>
        <v/>
      </c>
      <c r="E593" s="849" t="str">
        <f>IFERROR(VLOOKUP(B593,'02. MM-KLH'!$B$6:$T$823,4,0),"")</f>
        <v/>
      </c>
      <c r="F593" s="849"/>
      <c r="G593" s="849" t="str">
        <f>IFERROR(VLOOKUP(B593,'02. MM-KLH'!$B$6:$T$823,6,0),"")</f>
        <v/>
      </c>
      <c r="H593" s="849"/>
      <c r="I593" s="849" t="str">
        <f>IFERROR(VLOOKUP(B593,'02. MM-KLH'!$B$6:$T$823,8,0),"")</f>
        <v/>
      </c>
      <c r="J593" s="849" t="str">
        <f>IFERROR(VLOOKUP(B593,'02. MM-KLH'!$B$6:$T$823,9,0),"")</f>
        <v/>
      </c>
      <c r="K593" s="849" t="str">
        <f>IFERROR(VLOOKUP(B593,'02. MM-KLH'!$B$6:$T$823,10,0),"")</f>
        <v/>
      </c>
      <c r="L593" s="849" t="str">
        <f>IFERROR(VLOOKUP(B593,'02. MM-KLH'!$B$6:$T$823,11,0),"")</f>
        <v/>
      </c>
      <c r="M593" s="849" t="str">
        <f>IFERROR(VLOOKUP(B593,'02. MM-KLH'!$B$6:$T$823,12,0),"")</f>
        <v/>
      </c>
      <c r="N593" s="849" t="str">
        <f>IFERROR(VLOOKUP(B593,'02. MM-KLH'!$B$6:$T$823,13,0),"")</f>
        <v/>
      </c>
      <c r="O593" s="849" t="str">
        <f>IFERROR(VLOOKUP(B593,'02. MM-KLH'!$B$6:$T$823,14,0),"")</f>
        <v/>
      </c>
      <c r="P593" s="849" t="str">
        <f>IFERROR(VLOOKUP(B593,'02. MM-KLH'!$B$6:$T$823,15,0),"")</f>
        <v/>
      </c>
      <c r="Q593" s="849" t="str">
        <f>IFERROR(VLOOKUP(B593,'02. MM-KLH'!$B$6:$T$823,16,0),"")</f>
        <v/>
      </c>
      <c r="R593" s="849" t="str">
        <f>IFERROR(VLOOKUP(B593,'02. MM-KLH'!$B$6:$T$823,17,0),"")</f>
        <v/>
      </c>
      <c r="S593" s="849" t="str">
        <f>IFERROR(VLOOKUP(B593,'02. MM-KLH'!$B$6:$T$823,18,0),"")</f>
        <v/>
      </c>
      <c r="T593" s="849" t="str">
        <f>IFERROR(VLOOKUP(B593,'02. MM-KLH'!$B$6:$T$823,19,0),"")</f>
        <v/>
      </c>
      <c r="U593" s="863"/>
    </row>
    <row r="594" ht="13.5" customHeight="1" spans="1:21">
      <c r="A594" s="103">
        <v>1</v>
      </c>
      <c r="B594" s="104" t="s">
        <v>878</v>
      </c>
      <c r="C594" s="104" t="str">
        <f>IFERROR(VLOOKUP(B594,'02. MM-KLH'!$B$6:$T$823,2,0),"")</f>
        <v>CHT-XTA-001</v>
      </c>
      <c r="D594" s="103" t="str">
        <f>IFERROR(VLOOKUP(B594,'02. MM-KLH'!$B$6:$T$823,3,0),"")</f>
        <v>ATT-A22-0240</v>
      </c>
      <c r="E594" s="102">
        <f>IFERROR(VLOOKUP(B594,'02. MM-KLH'!$B$6:$T$823,4,0),"")</f>
        <v>0</v>
      </c>
      <c r="F594" s="104" t="s">
        <v>3514</v>
      </c>
      <c r="G594" s="102" t="str">
        <f>IFERROR(VLOOKUP(B594,'02. MM-KLH'!$B$6:$T$823,6,0),"")</f>
        <v>Xe cẩu bàn 5 tấn</v>
      </c>
      <c r="H594" s="101" t="s">
        <v>3515</v>
      </c>
      <c r="I594" s="101" t="str">
        <f>IFERROR(VLOOKUP(B594,'02. MM-KLH'!$B$6:$T$823,8,0),"")</f>
        <v>CGTC AD</v>
      </c>
      <c r="J594" s="105">
        <f>IFERROR(VLOOKUP(B594,'02. MM-KLH'!$B$6:$T$823,9,0),"")</f>
        <v>44317</v>
      </c>
      <c r="K594" s="101" t="str">
        <f>IFERROR(VLOOKUP(B594,'02. MM-KLH'!$B$6:$T$823,10,0),"")</f>
        <v>Bình thường</v>
      </c>
      <c r="L594" s="107">
        <f>IFERROR(VLOOKUP(B594,'02. MM-KLH'!$B$6:$T$823,11,0),"")</f>
        <v>0.74</v>
      </c>
      <c r="M594" s="864">
        <f>IFERROR(VLOOKUP(B594,'02. MM-KLH'!$B$6:$T$823,12,0),"")</f>
        <v>0</v>
      </c>
      <c r="N594" s="110" t="str">
        <f>IFERROR(VLOOKUP(B594,'02. MM-KLH'!$B$6:$T$823,13,0),"")</f>
        <v>THACO AUMAN</v>
      </c>
      <c r="O594" s="110" t="str">
        <f>IFERROR(VLOOKUP(B594,'02. MM-KLH'!$B$6:$T$823,14,0),"")</f>
        <v>VIETNAM</v>
      </c>
      <c r="P594" s="1101" t="str">
        <f>IFERROR(VLOOKUP(B594,'02. MM-KLH'!$B$6:$T$823,15,0),"")</f>
        <v>2019</v>
      </c>
      <c r="Q594" s="101" t="str">
        <f>IFERROR(VLOOKUP(B594,'02. MM-KLH'!$B$6:$T$823,16,0),"")</f>
        <v>ETX C240 ND2</v>
      </c>
      <c r="R594" s="101" t="str">
        <f>IFERROR(VLOOKUP(B594,'02. MM-KLH'!$B$6:$T$823,17,0),"")</f>
        <v>336HP</v>
      </c>
      <c r="S594" s="110" t="str">
        <f>IFERROR(VLOOKUP(B594,'02. MM-KLH'!$B$6:$T$823,18,0),"")</f>
        <v>RNHA24FWAKC099303</v>
      </c>
      <c r="T594" s="111" t="str">
        <f>IFERROR(VLOOKUP(B594,'02. MM-KLH'!$B$6:$T$823,19,0),"")</f>
        <v>WP10.336E431619A000091</v>
      </c>
      <c r="U594" s="863" t="s">
        <v>451</v>
      </c>
    </row>
    <row r="595" ht="21" customHeight="1" spans="1:21">
      <c r="A595" s="103">
        <f t="shared" ref="A595:A604" si="28">A594+1</f>
        <v>2</v>
      </c>
      <c r="B595" s="104" t="s">
        <v>683</v>
      </c>
      <c r="C595" s="104" t="str">
        <f>IFERROR(VLOOKUP(B595,'02. MM-KLH'!$B$6:$T$823,2,0),"")</f>
        <v>MỚI</v>
      </c>
      <c r="D595" s="103" t="str">
        <f>IFERROR(VLOOKUP(B595,'02. MM-KLH'!$B$6:$T$823,3,0),"")</f>
        <v>A23-XCA-004</v>
      </c>
      <c r="E595" s="102">
        <f>IFERROR(VLOOKUP(B595,'02. MM-KLH'!$B$6:$T$823,4,0),"")</f>
        <v>0</v>
      </c>
      <c r="F595" s="104" t="s">
        <v>3516</v>
      </c>
      <c r="G595" s="102" t="str">
        <f>IFERROR(VLOOKUP(B595,'02. MM-KLH'!$B$6:$T$823,6,0),"")</f>
        <v>Xe cẩu bàn 5 tấn</v>
      </c>
      <c r="H595" s="101" t="s">
        <v>3515</v>
      </c>
      <c r="I595" s="101" t="str">
        <f>IFERROR(VLOOKUP(B595,'02. MM-KLH'!$B$6:$T$823,8,0),"")</f>
        <v>CGTC DP</v>
      </c>
      <c r="J595" s="105">
        <f>IFERROR(VLOOKUP(B595,'02. MM-KLH'!$B$6:$T$823,9,0),"")</f>
        <v>46056</v>
      </c>
      <c r="K595" s="101" t="str">
        <f>IFERROR(VLOOKUP(B595,'02. MM-KLH'!$B$6:$T$823,10,0),"")</f>
        <v>Bình thường</v>
      </c>
      <c r="L595" s="107">
        <f>IFERROR(VLOOKUP(B595,'02. MM-KLH'!$B$6:$T$823,11,0),"")</f>
        <v>0</v>
      </c>
      <c r="M595" s="864" t="str">
        <f>IFERROR(VLOOKUP(B595,'02. MM-KLH'!$B$6:$T$823,12,0),"")</f>
        <v>Đầu tư mới</v>
      </c>
      <c r="N595" s="110" t="str">
        <f>IFERROR(VLOOKUP(B595,'02. MM-KLH'!$B$6:$T$823,13,0),"")</f>
        <v>HOWO</v>
      </c>
      <c r="O595" s="110" t="str">
        <f>IFERROR(VLOOKUP(B595,'02. MM-KLH'!$B$6:$T$823,14,0),"")</f>
        <v>TRUNG QUỐC</v>
      </c>
      <c r="P595" s="101">
        <f>IFERROR(VLOOKUP(B595,'02. MM-KLH'!$B$6:$T$823,15,0),"")</f>
        <v>2022</v>
      </c>
      <c r="Q595" s="101" t="str">
        <f>IFERROR(VLOOKUP(B595,'02. MM-KLH'!$B$6:$T$823,16,0),"")</f>
        <v>TXD800-ND2</v>
      </c>
      <c r="R595" s="101" t="str">
        <f>IFERROR(VLOOKUP(B595,'02. MM-KLH'!$B$6:$T$823,17,0),"")</f>
        <v>380HP</v>
      </c>
      <c r="S595" s="110" t="str">
        <f>IFERROR(VLOOKUP(B595,'02. MM-KLH'!$B$6:$T$823,18,0),"")</f>
        <v>RNHD30CWANT058649</v>
      </c>
      <c r="T595" s="111" t="str">
        <f>IFERROR(VLOOKUP(B595,'02. MM-KLH'!$B$6:$T$823,19,0),"")</f>
        <v>WP10380E53*1622B008536*</v>
      </c>
      <c r="U595" s="863" t="s">
        <v>3343</v>
      </c>
    </row>
    <row r="596" ht="21" customHeight="1" spans="1:21">
      <c r="A596" s="103">
        <f t="shared" si="28"/>
        <v>3</v>
      </c>
      <c r="B596" s="104" t="s">
        <v>2674</v>
      </c>
      <c r="C596" s="104" t="str">
        <f>IFERROR(VLOOKUP(B596,'02. MM-KLH'!$B$6:$T$823,2,0),"")</f>
        <v>MỚI</v>
      </c>
      <c r="D596" s="103" t="str">
        <f>IFERROR(VLOOKUP(B596,'02. MM-KLH'!$B$6:$T$823,3,0),"")</f>
        <v>A23-XCA-003</v>
      </c>
      <c r="E596" s="102">
        <f>IFERROR(VLOOKUP(B596,'02. MM-KLH'!$B$6:$T$823,4,0),"")</f>
        <v>0</v>
      </c>
      <c r="F596" s="104" t="s">
        <v>3516</v>
      </c>
      <c r="G596" s="102" t="str">
        <f>IFERROR(VLOOKUP(B596,'02. MM-KLH'!$B$6:$T$823,6,0),"")</f>
        <v>Xe cẩu thùng FOTON AUMAN 8 tấn</v>
      </c>
      <c r="H596" s="101" t="s">
        <v>3515</v>
      </c>
      <c r="I596" s="101" t="str">
        <f>IFERROR(VLOOKUP(B596,'02. MM-KLH'!$B$6:$T$823,8,0),"")</f>
        <v>Thagricons</v>
      </c>
      <c r="J596" s="105">
        <f>IFERROR(VLOOKUP(B596,'02. MM-KLH'!$B$6:$T$823,9,0),"")</f>
        <v>45757</v>
      </c>
      <c r="K596" s="101" t="str">
        <f>IFERROR(VLOOKUP(B596,'02. MM-KLH'!$B$6:$T$823,10,0),"")</f>
        <v>Bình thường</v>
      </c>
      <c r="L596" s="107">
        <f>IFERROR(VLOOKUP(B596,'02. MM-KLH'!$B$6:$T$823,11,0),"")</f>
        <v>0</v>
      </c>
      <c r="M596" s="864" t="str">
        <f>IFERROR(VLOOKUP(B596,'02. MM-KLH'!$B$6:$T$823,12,0),"")</f>
        <v>CGTC DP điều chuyển sang ngày 09/10/2025</v>
      </c>
      <c r="N596" s="110" t="str">
        <f>IFERROR(VLOOKUP(B596,'02. MM-KLH'!$B$6:$T$823,13,0),"")</f>
        <v>FOTON AUMAN</v>
      </c>
      <c r="O596" s="110" t="str">
        <f>IFERROR(VLOOKUP(B596,'02. MM-KLH'!$B$6:$T$823,14,0),"")</f>
        <v>VIỆT NAM</v>
      </c>
      <c r="P596" s="101">
        <f>IFERROR(VLOOKUP(B596,'02. MM-KLH'!$B$6:$T$823,15,0),"")</f>
        <v>2023</v>
      </c>
      <c r="Q596" s="101" t="str">
        <f>IFERROR(VLOOKUP(B596,'02. MM-KLH'!$B$6:$T$823,16,0),"")</f>
        <v>C240</v>
      </c>
      <c r="R596" s="101" t="str">
        <f>IFERROR(VLOOKUP(B596,'02. MM-KLH'!$B$6:$T$823,17,0),"")</f>
        <v>270HP</v>
      </c>
      <c r="S596" s="110" t="str">
        <f>IFERROR(VLOOKUP(B596,'02. MM-KLH'!$B$6:$T$823,18,0),"")</f>
        <v>RNHA24FCAPT080028</v>
      </c>
      <c r="T596" s="111" t="str">
        <f>IFERROR(VLOOKUP(B596,'02. MM-KLH'!$B$6:$T$823,19,0),"")</f>
        <v>ISDE2704082442137</v>
      </c>
      <c r="U596" s="863" t="s">
        <v>3343</v>
      </c>
    </row>
    <row r="597" ht="21" customHeight="1" spans="1:21">
      <c r="A597" s="103">
        <f t="shared" si="28"/>
        <v>4</v>
      </c>
      <c r="B597" s="104" t="s">
        <v>2597</v>
      </c>
      <c r="C597" s="104" t="str">
        <f>IFERROR(VLOOKUP(B597,'02. MM-KLH'!$B$6:$T$823,2,0),"")</f>
        <v>CKC-XCA-007(3F-5716)</v>
      </c>
      <c r="D597" s="103" t="str">
        <f>IFERROR(VLOOKUP(B597,'02. MM-KLH'!$B$6:$T$823,3,0),"")</f>
        <v/>
      </c>
      <c r="E597" s="102">
        <f>IFERROR(VLOOKUP(B597,'02. MM-KLH'!$B$6:$T$823,4,0),"")</f>
        <v>0</v>
      </c>
      <c r="F597" s="104" t="s">
        <v>3517</v>
      </c>
      <c r="G597" s="102" t="str">
        <f>IFERROR(VLOOKUP(B597,'02. MM-KLH'!$B$6:$T$823,6,0),"")</f>
        <v>Xe cẩu 5 tấn</v>
      </c>
      <c r="H597" s="101" t="s">
        <v>3518</v>
      </c>
      <c r="I597" s="101" t="str">
        <f>IFERROR(VLOOKUP(B597,'02. MM-KLH'!$B$6:$T$823,8,0),"")</f>
        <v>Ban điện nước</v>
      </c>
      <c r="J597" s="105">
        <f>IFERROR(VLOOKUP(B597,'02. MM-KLH'!$B$6:$T$823,9,0),"")</f>
        <v>43862</v>
      </c>
      <c r="K597" s="101" t="str">
        <f>IFERROR(VLOOKUP(B597,'02. MM-KLH'!$B$6:$T$823,10,0),"")</f>
        <v>Bình thường</v>
      </c>
      <c r="L597" s="107">
        <f>IFERROR(VLOOKUP(B597,'02. MM-KLH'!$B$6:$T$823,11,0),"")</f>
        <v>0.61</v>
      </c>
      <c r="M597" s="864" t="str">
        <f>IFERROR(VLOOKUP(B597,'02. MM-KLH'!$B$6:$T$823,12,0),"")</f>
        <v>-Đ.chuyên từ Đien nước KLH 08/08/2024
- Đ,chuyen từ ME qua DNuoc ngày 14/10/2024</v>
      </c>
      <c r="N597" s="110" t="str">
        <f>IFERROR(VLOOKUP(B597,'02. MM-KLH'!$B$6:$T$823,13,0),"")</f>
        <v>HYUNDAI</v>
      </c>
      <c r="O597" s="110">
        <f>IFERROR(VLOOKUP(B597,'02. MM-KLH'!$B$6:$T$823,14,0),"")</f>
        <v>0</v>
      </c>
      <c r="P597" s="101">
        <f>IFERROR(VLOOKUP(B597,'02. MM-KLH'!$B$6:$T$823,15,0),"")</f>
        <v>2000</v>
      </c>
      <c r="Q597" s="101">
        <f>IFERROR(VLOOKUP(B597,'02. MM-KLH'!$B$6:$T$823,16,0),"")</f>
        <v>0</v>
      </c>
      <c r="R597" s="101">
        <f>IFERROR(VLOOKUP(B597,'02. MM-KLH'!$B$6:$T$823,17,0),"")</f>
        <v>0</v>
      </c>
      <c r="S597" s="110" t="str">
        <f>IFERROR(VLOOKUP(B597,'02. MM-KLH'!$B$6:$T$823,18,0),"")</f>
        <v>19APC027557</v>
      </c>
      <c r="T597" s="1094" t="str">
        <f>IFERROR(VLOOKUP(B597,'02. MM-KLH'!$B$6:$T$823,19,0),"")</f>
        <v>00227</v>
      </c>
      <c r="U597" s="863" t="s">
        <v>451</v>
      </c>
    </row>
    <row r="598" ht="13.5" customHeight="1" spans="1:21">
      <c r="A598" s="103">
        <f t="shared" si="28"/>
        <v>5</v>
      </c>
      <c r="B598" s="104" t="s">
        <v>2602</v>
      </c>
      <c r="C598" s="104" t="str">
        <f>IFERROR(VLOOKUP(B598,'02. MM-KLH'!$B$6:$T$823,2,0),"")</f>
        <v>3F-2372</v>
      </c>
      <c r="D598" s="103">
        <f>IFERROR(VLOOKUP(B598,'02. MM-KLH'!$B$6:$T$823,3,0),"")</f>
        <v>0</v>
      </c>
      <c r="E598" s="102">
        <f>IFERROR(VLOOKUP(B598,'02. MM-KLH'!$B$6:$T$823,4,0),"")</f>
        <v>0</v>
      </c>
      <c r="F598" s="104" t="s">
        <v>3519</v>
      </c>
      <c r="G598" s="102" t="str">
        <f>IFERROR(VLOOKUP(B598,'02. MM-KLH'!$B$6:$T$823,6,0),"")</f>
        <v>Xe cẩu 3.5 tấn</v>
      </c>
      <c r="H598" s="101" t="s">
        <v>3518</v>
      </c>
      <c r="I598" s="101" t="str">
        <f>IFERROR(VLOOKUP(B598,'02. MM-KLH'!$B$6:$T$823,8,0),"")</f>
        <v>Ban điện nước</v>
      </c>
      <c r="J598" s="105">
        <f>IFERROR(VLOOKUP(B598,'02. MM-KLH'!$B$6:$T$823,9,0),"")</f>
        <v>0</v>
      </c>
      <c r="K598" s="101" t="str">
        <f>IFERROR(VLOOKUP(B598,'02. MM-KLH'!$B$6:$T$823,10,0),"")</f>
        <v>Bình thường</v>
      </c>
      <c r="L598" s="107">
        <f>IFERROR(VLOOKUP(B598,'02. MM-KLH'!$B$6:$T$823,11,0),"")</f>
        <v>0</v>
      </c>
      <c r="M598" s="864">
        <f>IFERROR(VLOOKUP(B598,'02. MM-KLH'!$B$6:$T$823,12,0),"")</f>
        <v>0</v>
      </c>
      <c r="N598" s="110" t="str">
        <f>IFERROR(VLOOKUP(B598,'02. MM-KLH'!$B$6:$T$823,13,0),"")</f>
        <v>THACO</v>
      </c>
      <c r="O598" s="110" t="str">
        <f>IFERROR(VLOOKUP(B598,'02. MM-KLH'!$B$6:$T$823,14,0),"")</f>
        <v>VIỆT NAM</v>
      </c>
      <c r="P598" s="101">
        <f>IFERROR(VLOOKUP(B598,'02. MM-KLH'!$B$6:$T$823,15,0),"")</f>
        <v>2017</v>
      </c>
      <c r="Q598" s="101" t="str">
        <f>IFERROR(VLOOKUP(B598,'02. MM-KLH'!$B$6:$T$823,16,0),"")</f>
        <v>Ollin 900B</v>
      </c>
      <c r="R598" s="101" t="str">
        <f>IFERROR(VLOOKUP(B598,'02. MM-KLH'!$B$6:$T$823,17,0),"")</f>
        <v>160HP</v>
      </c>
      <c r="S598" s="110" t="str">
        <f>IFERROR(VLOOKUP(B598,'02. MM-KLH'!$B$6:$T$823,18,0),"")</f>
        <v>RNHA1550BHC072222</v>
      </c>
      <c r="T598" s="111" t="str">
        <f>IFERROR(VLOOKUP(B598,'02. MM-KLH'!$B$6:$T$823,19,0),"")</f>
        <v>CCN</v>
      </c>
      <c r="U598" s="863" t="s">
        <v>451</v>
      </c>
    </row>
    <row r="599" ht="13.5" customHeight="1" spans="1:21">
      <c r="A599" s="103">
        <f t="shared" si="28"/>
        <v>6</v>
      </c>
      <c r="B599" s="104" t="s">
        <v>2653</v>
      </c>
      <c r="C599" s="104" t="str">
        <f>IFERROR(VLOOKUP(B599,'02. MM-KLH'!$B$6:$T$823,2,0),"")</f>
        <v>CHT-XCA-001</v>
      </c>
      <c r="D599" s="103" t="str">
        <f>IFERROR(VLOOKUP(B599,'02. MM-KLH'!$B$6:$T$823,3,0),"")</f>
        <v>A22-XCA-004</v>
      </c>
      <c r="E599" s="102">
        <f>IFERROR(VLOOKUP(B599,'02. MM-KLH'!$B$6:$T$823,4,0),"")</f>
        <v>0</v>
      </c>
      <c r="F599" s="104"/>
      <c r="G599" s="102" t="str">
        <f>IFERROR(VLOOKUP(B599,'02. MM-KLH'!$B$6:$T$823,6,0),"")</f>
        <v>Xe cẩu Hyundai 5 tấn</v>
      </c>
      <c r="H599" s="101" t="s">
        <v>3518</v>
      </c>
      <c r="I599" s="101" t="str">
        <f>IFERROR(VLOOKUP(B599,'02. MM-KLH'!$B$6:$T$823,8,0),"")</f>
        <v>Thagricons</v>
      </c>
      <c r="J599" s="105">
        <f>IFERROR(VLOOKUP(B599,'02. MM-KLH'!$B$6:$T$823,9,0),"")</f>
        <v>0</v>
      </c>
      <c r="K599" s="101" t="str">
        <f>IFERROR(VLOOKUP(B599,'02. MM-KLH'!$B$6:$T$823,10,0),"")</f>
        <v>Bình thường</v>
      </c>
      <c r="L599" s="107">
        <f>IFERROR(VLOOKUP(B599,'02. MM-KLH'!$B$6:$T$823,11,0),"")</f>
        <v>0</v>
      </c>
      <c r="M599" s="864">
        <f>IFERROR(VLOOKUP(B599,'02. MM-KLH'!$B$6:$T$823,12,0),"")</f>
        <v>0</v>
      </c>
      <c r="N599" s="110" t="str">
        <f>IFERROR(VLOOKUP(B599,'02. MM-KLH'!$B$6:$T$823,13,0),"")</f>
        <v>HYUNDAI</v>
      </c>
      <c r="O599" s="110" t="str">
        <f>IFERROR(VLOOKUP(B599,'02. MM-KLH'!$B$6:$T$823,14,0),"")</f>
        <v>HÀN QUỐC</v>
      </c>
      <c r="P599" s="101">
        <f>IFERROR(VLOOKUP(B599,'02. MM-KLH'!$B$6:$T$823,15,0),"")</f>
        <v>0</v>
      </c>
      <c r="Q599" s="101">
        <f>IFERROR(VLOOKUP(B599,'02. MM-KLH'!$B$6:$T$823,16,0),"")</f>
        <v>0</v>
      </c>
      <c r="R599" s="101">
        <f>IFERROR(VLOOKUP(B599,'02. MM-KLH'!$B$6:$T$823,17,0),"")</f>
        <v>0</v>
      </c>
      <c r="S599" s="110" t="str">
        <f>IFERROR(VLOOKUP(B599,'02. MM-KLH'!$B$6:$T$823,18,0),"")</f>
        <v>CCN</v>
      </c>
      <c r="T599" s="111">
        <f>IFERROR(VLOOKUP(B599,'02. MM-KLH'!$B$6:$T$823,19,0),"")</f>
        <v>107291</v>
      </c>
      <c r="U599" s="863" t="s">
        <v>451</v>
      </c>
    </row>
    <row r="600" ht="13.5" customHeight="1" spans="1:21">
      <c r="A600" s="103">
        <f t="shared" si="28"/>
        <v>7</v>
      </c>
      <c r="B600" s="104" t="s">
        <v>2655</v>
      </c>
      <c r="C600" s="104" t="str">
        <f>IFERROR(VLOOKUP(B600,'02. MM-KLH'!$B$6:$T$823,2,0),"")</f>
        <v>CHT-XCA-002</v>
      </c>
      <c r="D600" s="103" t="str">
        <f>IFERROR(VLOOKUP(B600,'02. MM-KLH'!$B$6:$T$823,3,0),"")</f>
        <v>A22-XCA-002</v>
      </c>
      <c r="E600" s="102">
        <f>IFERROR(VLOOKUP(B600,'02. MM-KLH'!$B$6:$T$823,4,0),"")</f>
        <v>0</v>
      </c>
      <c r="F600" s="104"/>
      <c r="G600" s="102" t="str">
        <f>IFERROR(VLOOKUP(B600,'02. MM-KLH'!$B$6:$T$823,6,0),"")</f>
        <v>Xe cẩu ZOOMLION 55 tấn</v>
      </c>
      <c r="H600" s="101" t="s">
        <v>3520</v>
      </c>
      <c r="I600" s="101" t="str">
        <f>IFERROR(VLOOKUP(B600,'02. MM-KLH'!$B$6:$T$823,8,0),"")</f>
        <v>Thagricons</v>
      </c>
      <c r="J600" s="105">
        <f>IFERROR(VLOOKUP(B600,'02. MM-KLH'!$B$6:$T$823,9,0),"")</f>
        <v>45478</v>
      </c>
      <c r="K600" s="101" t="str">
        <f>IFERROR(VLOOKUP(B600,'02. MM-KLH'!$B$6:$T$823,10,0),"")</f>
        <v>Bình thường</v>
      </c>
      <c r="L600" s="107">
        <f>IFERROR(VLOOKUP(B600,'02. MM-KLH'!$B$6:$T$823,11,0),"")</f>
        <v>1</v>
      </c>
      <c r="M600" s="864" t="str">
        <f>IFERROR(VLOOKUP(B600,'02. MM-KLH'!$B$6:$T$823,12,0),"")</f>
        <v>-Đ.chuyển từ CGTC AD -29/07/2024 </v>
      </c>
      <c r="N600" s="110" t="str">
        <f>IFERROR(VLOOKUP(B600,'02. MM-KLH'!$B$6:$T$823,13,0),"")</f>
        <v>ZOOMLION</v>
      </c>
      <c r="O600" s="110" t="str">
        <f>IFERROR(VLOOKUP(B600,'02. MM-KLH'!$B$6:$T$823,14,0),"")</f>
        <v>TRUNG QUỐC</v>
      </c>
      <c r="P600" s="101">
        <f>IFERROR(VLOOKUP(B600,'02. MM-KLH'!$B$6:$T$823,15,0),"")</f>
        <v>2023</v>
      </c>
      <c r="Q600" s="101" t="str">
        <f>IFERROR(VLOOKUP(B600,'02. MM-KLH'!$B$6:$T$823,16,0),"")</f>
        <v>ZTC550V532-1</v>
      </c>
      <c r="R600" s="101" t="str">
        <f>IFERROR(VLOOKUP(B600,'02. MM-KLH'!$B$6:$T$823,17,0),"")</f>
        <v>336HP</v>
      </c>
      <c r="S600" s="110" t="str">
        <f>IFERROR(VLOOKUP(B600,'02. MM-KLH'!$B$6:$T$823,18,0),"")</f>
        <v>L5E6H4D33PA014676</v>
      </c>
      <c r="T600" s="111" t="str">
        <f>IFERROR(VLOOKUP(B600,'02. MM-KLH'!$B$6:$T$823,19,0),"")</f>
        <v>WP103361623G017019</v>
      </c>
      <c r="U600" s="863" t="s">
        <v>3343</v>
      </c>
    </row>
    <row r="601" ht="36" customHeight="1" spans="1:21">
      <c r="A601" s="103">
        <f t="shared" si="28"/>
        <v>8</v>
      </c>
      <c r="B601" s="104" t="s">
        <v>2646</v>
      </c>
      <c r="C601" s="104" t="str">
        <f>IFERROR(VLOOKUP(B601,'02. MM-KLH'!$B$6:$T$823,2,0),"")</f>
        <v>ĐNA-XCA-003(CKC-XCA-005)
3A-6002</v>
      </c>
      <c r="D601" s="103" t="str">
        <f>IFERROR(VLOOKUP(B601,'02. MM-KLH'!$B$6:$T$823,3,0),"")</f>
        <v/>
      </c>
      <c r="E601" s="102">
        <f>IFERROR(VLOOKUP(B601,'02. MM-KLH'!$B$6:$T$823,4,0),"")</f>
        <v>0</v>
      </c>
      <c r="F601" s="104" t="s">
        <v>3521</v>
      </c>
      <c r="G601" s="102" t="str">
        <f>IFERROR(VLOOKUP(B601,'02. MM-KLH'!$B$6:$T$823,6,0),"")</f>
        <v>Xe cẩu 3.5 tấn</v>
      </c>
      <c r="H601" s="101" t="s">
        <v>3518</v>
      </c>
      <c r="I601" s="101" t="str">
        <f>IFERROR(VLOOKUP(B601,'02. MM-KLH'!$B$6:$T$823,8,0),"")</f>
        <v>Xưởng Cơ khí DP</v>
      </c>
      <c r="J601" s="105" t="str">
        <f>IFERROR(VLOOKUP(B601,'02. MM-KLH'!$B$6:$T$823,9,0),"")</f>
        <v>30/12/2024</v>
      </c>
      <c r="K601" s="101" t="str">
        <f>IFERROR(VLOOKUP(B601,'02. MM-KLH'!$B$6:$T$823,10,0),"")</f>
        <v>Bình thường</v>
      </c>
      <c r="L601" s="107">
        <f>IFERROR(VLOOKUP(B601,'02. MM-KLH'!$B$6:$T$823,11,0),"")</f>
        <v>0.65</v>
      </c>
      <c r="M601" s="864" t="str">
        <f>IFERROR(VLOOKUP(B601,'02. MM-KLH'!$B$6:$T$823,12,0),"")</f>
        <v>-Điều chuyển từ Điện nước KLH-09/05/2024
-Đ.chuyển từ Cơ khí TCRR (Mr.Khải)-29/07/2024
- Đ.chuyển từ ME qua cơ khí DP - 30/12/2024</v>
      </c>
      <c r="N601" s="110" t="str">
        <f>IFERROR(VLOOKUP(B601,'02. MM-KLH'!$B$6:$T$823,13,0),"")</f>
        <v>THACO </v>
      </c>
      <c r="O601" s="110" t="str">
        <f>IFERROR(VLOOKUP(B601,'02. MM-KLH'!$B$6:$T$823,14,0),"")</f>
        <v>VIỆT NAM</v>
      </c>
      <c r="P601" s="101">
        <f>IFERROR(VLOOKUP(B601,'02. MM-KLH'!$B$6:$T$823,15,0),"")</f>
        <v>2018</v>
      </c>
      <c r="Q601" s="101" t="str">
        <f>IFERROR(VLOOKUP(B601,'02. MM-KLH'!$B$6:$T$823,16,0),"")</f>
        <v>Ollin 900B</v>
      </c>
      <c r="R601" s="101" t="str">
        <f>IFERROR(VLOOKUP(B601,'02. MM-KLH'!$B$6:$T$823,17,0),"")</f>
        <v>160HP</v>
      </c>
      <c r="S601" s="110" t="str">
        <f>IFERROR(VLOOKUP(B601,'02. MM-KLH'!$B$6:$T$823,18,0),"")</f>
        <v>RNHA1550BHC063037</v>
      </c>
      <c r="T601" s="111" t="str">
        <f>IFERROR(VLOOKUP(B601,'02. MM-KLH'!$B$6:$T$823,19,0),"")</f>
        <v>YC4E160-33E37F2H00227</v>
      </c>
      <c r="U601" s="863" t="s">
        <v>451</v>
      </c>
    </row>
    <row r="602" ht="26.25" customHeight="1" spans="1:21">
      <c r="A602" s="103">
        <f t="shared" si="28"/>
        <v>9</v>
      </c>
      <c r="B602" s="104" t="s">
        <v>2662</v>
      </c>
      <c r="C602" s="104" t="str">
        <f>IFERROR(VLOOKUP(B602,'02. MM-KLH'!$B$6:$T$823,2,0),"")</f>
        <v>CKB-XCA-001</v>
      </c>
      <c r="D602" s="103" t="str">
        <f>IFERROR(VLOOKUP(B602,'02. MM-KLH'!$B$6:$T$823,3,0),"")</f>
        <v>A22-XCA-006</v>
      </c>
      <c r="E602" s="102">
        <f>IFERROR(VLOOKUP(B602,'02. MM-KLH'!$B$6:$T$823,4,0),"")</f>
        <v>0</v>
      </c>
      <c r="F602" s="146" t="s">
        <v>3522</v>
      </c>
      <c r="G602" s="102" t="str">
        <f>IFERROR(VLOOKUP(B602,'02. MM-KLH'!$B$6:$T$823,6,0),"")</f>
        <v>Xe cẩu 3.5 tấn</v>
      </c>
      <c r="H602" s="101" t="s">
        <v>3518</v>
      </c>
      <c r="I602" s="101" t="str">
        <f>IFERROR(VLOOKUP(B602,'02. MM-KLH'!$B$6:$T$823,8,0),"")</f>
        <v>Thagricons</v>
      </c>
      <c r="J602" s="105">
        <f>IFERROR(VLOOKUP(B602,'02. MM-KLH'!$B$6:$T$823,9,0),"")</f>
        <v>45329</v>
      </c>
      <c r="K602" s="101" t="str">
        <f>IFERROR(VLOOKUP(B602,'02. MM-KLH'!$B$6:$T$823,10,0),"")</f>
        <v>Bình thường</v>
      </c>
      <c r="L602" s="107">
        <f>IFERROR(VLOOKUP(B602,'02. MM-KLH'!$B$6:$T$823,11,0),"")</f>
        <v>0</v>
      </c>
      <c r="M602" s="864" t="str">
        <f>IFERROR(VLOOKUP(B602,'02. MM-KLH'!$B$6:$T$823,12,0),"")</f>
        <v>Điều chuyển từ Ban CK KLH (Mr.Phương)</v>
      </c>
      <c r="N602" s="110" t="str">
        <f>IFERROR(VLOOKUP(B602,'02. MM-KLH'!$B$6:$T$823,13,0),"")</f>
        <v>THACO</v>
      </c>
      <c r="O602" s="110" t="str">
        <f>IFERROR(VLOOKUP(B602,'02. MM-KLH'!$B$6:$T$823,14,0),"")</f>
        <v>VIỆT NAM</v>
      </c>
      <c r="P602" s="101">
        <f>IFERROR(VLOOKUP(B602,'02. MM-KLH'!$B$6:$T$823,15,0),"")</f>
        <v>2018</v>
      </c>
      <c r="Q602" s="101" t="str">
        <f>IFERROR(VLOOKUP(B602,'02. MM-KLH'!$B$6:$T$823,16,0),"")</f>
        <v>Ollin 900B</v>
      </c>
      <c r="R602" s="101" t="str">
        <f>IFERROR(VLOOKUP(B602,'02. MM-KLH'!$B$6:$T$823,17,0),"")</f>
        <v>160HP</v>
      </c>
      <c r="S602" s="110" t="str">
        <f>IFERROR(VLOOKUP(B602,'02. MM-KLH'!$B$6:$T$823,18,0),"")</f>
        <v>RNHA1550BHC063042</v>
      </c>
      <c r="T602" s="111" t="str">
        <f>IFERROR(VLOOKUP(B602,'02. MM-KLH'!$B$6:$T$823,19,0),"")</f>
        <v>YC4E160-33E37F2H00201</v>
      </c>
      <c r="U602" s="863" t="s">
        <v>451</v>
      </c>
    </row>
    <row r="603" ht="13.5" customHeight="1" spans="1:21">
      <c r="A603" s="103">
        <f t="shared" si="28"/>
        <v>10</v>
      </c>
      <c r="B603" s="104" t="s">
        <v>2668</v>
      </c>
      <c r="C603" s="104">
        <f>IFERROR(VLOOKUP(B603,'02. MM-KLH'!$B$6:$T$823,2,0),"")</f>
        <v>0</v>
      </c>
      <c r="D603" s="103" t="str">
        <f>IFERROR(VLOOKUP(B603,'02. MM-KLH'!$B$6:$T$823,3,0),"")</f>
        <v>A22-XCA-009</v>
      </c>
      <c r="E603" s="102">
        <f>IFERROR(VLOOKUP(B603,'02. MM-KLH'!$B$6:$T$823,4,0),"")</f>
        <v>0</v>
      </c>
      <c r="F603" s="146"/>
      <c r="G603" s="102" t="str">
        <f>IFERROR(VLOOKUP(B603,'02. MM-KLH'!$B$6:$T$823,6,0),"")</f>
        <v>Xe cẩu thùng FOTON AUMAN 8 tấn</v>
      </c>
      <c r="H603" s="101" t="s">
        <v>3523</v>
      </c>
      <c r="I603" s="101" t="str">
        <f>IFERROR(VLOOKUP(B603,'02. MM-KLH'!$B$6:$T$823,8,0),"")</f>
        <v>Thagricons</v>
      </c>
      <c r="J603" s="105" t="str">
        <f>IFERROR(VLOOKUP(B603,'02. MM-KLH'!$B$6:$T$823,9,0),"")</f>
        <v>21/10/2024</v>
      </c>
      <c r="K603" s="101" t="str">
        <f>IFERROR(VLOOKUP(B603,'02. MM-KLH'!$B$6:$T$823,10,0),"")</f>
        <v>Bình thường</v>
      </c>
      <c r="L603" s="107">
        <f>IFERROR(VLOOKUP(B603,'02. MM-KLH'!$B$6:$T$823,11,0),"")</f>
        <v>0</v>
      </c>
      <c r="M603" s="864" t="str">
        <f>IFERROR(VLOOKUP(B603,'02. MM-KLH'!$B$6:$T$823,12,0),"")</f>
        <v>Đầu tư mới</v>
      </c>
      <c r="N603" s="110" t="str">
        <f>IFERROR(VLOOKUP(B603,'02. MM-KLH'!$B$6:$T$823,13,0),"")</f>
        <v>FOTON AUMAN</v>
      </c>
      <c r="O603" s="110" t="str">
        <f>IFERROR(VLOOKUP(B603,'02. MM-KLH'!$B$6:$T$823,14,0),"")</f>
        <v>Việt Nam</v>
      </c>
      <c r="P603" s="101">
        <f>IFERROR(VLOOKUP(B603,'02. MM-KLH'!$B$6:$T$823,15,0),"")</f>
        <v>2022</v>
      </c>
      <c r="Q603" s="101" t="str">
        <f>IFERROR(VLOOKUP(B603,'02. MM-KLH'!$B$6:$T$823,16,0),"")</f>
        <v> C240</v>
      </c>
      <c r="R603" s="101" t="str">
        <f>IFERROR(VLOOKUP(B603,'02. MM-KLH'!$B$6:$T$823,17,0),"")</f>
        <v>266HP</v>
      </c>
      <c r="S603" s="110" t="str">
        <f>IFERROR(VLOOKUP(B603,'02. MM-KLH'!$B$6:$T$823,18,0),"")</f>
        <v>RNHA24FCANT056597</v>
      </c>
      <c r="T603" s="111">
        <f>IFERROR(VLOOKUP(B603,'02. MM-KLH'!$B$6:$T$823,19,0),"")</f>
        <v>82162916</v>
      </c>
      <c r="U603" s="863" t="s">
        <v>3343</v>
      </c>
    </row>
    <row r="604" ht="13.5" customHeight="1" spans="1:21">
      <c r="A604" s="103">
        <f t="shared" si="28"/>
        <v>11</v>
      </c>
      <c r="B604" s="881" t="s">
        <v>2681</v>
      </c>
      <c r="C604" s="104" t="str">
        <f>IFERROR(VLOOKUP(B604,'02. MM-KLH'!$B$6:$T$823,2,0),"")</f>
        <v>NTD-XCA-001</v>
      </c>
      <c r="D604" s="103">
        <f>IFERROR(VLOOKUP(B604,'02. MM-KLH'!$B$6:$T$823,3,0),"")</f>
        <v>0</v>
      </c>
      <c r="E604" s="102">
        <f>IFERROR(VLOOKUP(B604,'02. MM-KLH'!$B$6:$T$823,4,0),"")</f>
        <v>0</v>
      </c>
      <c r="F604" s="881"/>
      <c r="G604" s="102" t="str">
        <f>IFERROR(VLOOKUP(B604,'02. MM-KLH'!$B$6:$T$823,6,0),"")</f>
        <v>Xe cẩu AUMAN 15 tấn</v>
      </c>
      <c r="H604" s="882" t="s">
        <v>3523</v>
      </c>
      <c r="I604" s="101" t="str">
        <f>IFERROR(VLOOKUP(B604,'02. MM-KLH'!$B$6:$T$823,8,0),"")</f>
        <v>Thagricons</v>
      </c>
      <c r="J604" s="105">
        <f>IFERROR(VLOOKUP(B604,'02. MM-KLH'!$B$6:$T$823,9,0),"")</f>
        <v>0</v>
      </c>
      <c r="K604" s="101" t="str">
        <f>IFERROR(VLOOKUP(B604,'02. MM-KLH'!$B$6:$T$823,10,0),"")</f>
        <v>Bình thường</v>
      </c>
      <c r="L604" s="107">
        <f>IFERROR(VLOOKUP(B604,'02. MM-KLH'!$B$6:$T$823,11,0),"")</f>
        <v>0</v>
      </c>
      <c r="M604" s="864">
        <f>IFERROR(VLOOKUP(B604,'02. MM-KLH'!$B$6:$T$823,12,0),"")</f>
        <v>0</v>
      </c>
      <c r="N604" s="110" t="str">
        <f>IFERROR(VLOOKUP(B604,'02. MM-KLH'!$B$6:$T$823,13,0),"")</f>
        <v>AUMAN</v>
      </c>
      <c r="O604" s="110" t="str">
        <f>IFERROR(VLOOKUP(B604,'02. MM-KLH'!$B$6:$T$823,14,0),"")</f>
        <v>VIỆT NAM</v>
      </c>
      <c r="P604" s="101">
        <f>IFERROR(VLOOKUP(B604,'02. MM-KLH'!$B$6:$T$823,15,0),"")</f>
        <v>0</v>
      </c>
      <c r="Q604" s="101" t="str">
        <f>IFERROR(VLOOKUP(B604,'02. MM-KLH'!$B$6:$T$823,16,0),"")</f>
        <v>C34</v>
      </c>
      <c r="R604" s="101" t="str">
        <f>IFERROR(VLOOKUP(B604,'02. MM-KLH'!$B$6:$T$823,17,0),"")</f>
        <v>335HP</v>
      </c>
      <c r="S604" s="110" t="str">
        <f>IFERROR(VLOOKUP(B604,'02. MM-KLH'!$B$6:$T$823,18,0),"")</f>
        <v>21615E037691 </v>
      </c>
      <c r="T604" s="111" t="str">
        <f>IFERROR(VLOOKUP(B604,'02. MM-KLH'!$B$6:$T$823,19,0),"")</f>
        <v>000AFC072313</v>
      </c>
      <c r="U604" s="863" t="s">
        <v>451</v>
      </c>
    </row>
    <row r="605" ht="13.5" customHeight="1" spans="1:21">
      <c r="A605" s="101"/>
      <c r="B605" s="104"/>
      <c r="C605" s="104" t="str">
        <f>IFERROR(VLOOKUP(B605,'02. MM-KLH'!$B$6:$T$823,2,0),"")</f>
        <v/>
      </c>
      <c r="D605" s="103" t="str">
        <f>IFERROR(VLOOKUP(B605,'02. MM-KLH'!$B$6:$T$823,3,0),"")</f>
        <v/>
      </c>
      <c r="E605" s="102" t="str">
        <f>IFERROR(VLOOKUP(B605,'02. MM-KLH'!$B$6:$T$823,4,0),"")</f>
        <v/>
      </c>
      <c r="F605" s="146"/>
      <c r="G605" s="102" t="str">
        <f>IFERROR(VLOOKUP(B605,'02. MM-KLH'!$B$6:$T$823,6,0),"")</f>
        <v/>
      </c>
      <c r="H605" s="101"/>
      <c r="I605" s="101" t="str">
        <f>IFERROR(VLOOKUP(B605,'02. MM-KLH'!$B$6:$T$823,8,0),"")</f>
        <v/>
      </c>
      <c r="J605" s="105" t="str">
        <f>IFERROR(VLOOKUP(B605,'02. MM-KLH'!$B$6:$T$823,9,0),"")</f>
        <v/>
      </c>
      <c r="K605" s="101" t="str">
        <f>IFERROR(VLOOKUP(B605,'02. MM-KLH'!$B$6:$T$823,10,0),"")</f>
        <v/>
      </c>
      <c r="L605" s="107" t="str">
        <f>IFERROR(VLOOKUP(B605,'02. MM-KLH'!$B$6:$T$823,11,0),"")</f>
        <v/>
      </c>
      <c r="M605" s="864" t="str">
        <f>IFERROR(VLOOKUP(B605,'02. MM-KLH'!$B$6:$T$823,12,0),"")</f>
        <v/>
      </c>
      <c r="N605" s="110" t="str">
        <f>IFERROR(VLOOKUP(B605,'02. MM-KLH'!$B$6:$T$823,13,0),"")</f>
        <v/>
      </c>
      <c r="O605" s="110" t="str">
        <f>IFERROR(VLOOKUP(B605,'02. MM-KLH'!$B$6:$T$823,14,0),"")</f>
        <v/>
      </c>
      <c r="P605" s="101" t="str">
        <f>IFERROR(VLOOKUP(B605,'02. MM-KLH'!$B$6:$T$823,15,0),"")</f>
        <v/>
      </c>
      <c r="Q605" s="101" t="str">
        <f>IFERROR(VLOOKUP(B605,'02. MM-KLH'!$B$6:$T$823,16,0),"")</f>
        <v/>
      </c>
      <c r="R605" s="101" t="str">
        <f>IFERROR(VLOOKUP(B605,'02. MM-KLH'!$B$6:$T$823,17,0),"")</f>
        <v/>
      </c>
      <c r="S605" s="110" t="str">
        <f>IFERROR(VLOOKUP(B605,'02. MM-KLH'!$B$6:$T$823,18,0),"")</f>
        <v/>
      </c>
      <c r="T605" s="111" t="str">
        <f>IFERROR(VLOOKUP(B605,'02. MM-KLH'!$B$6:$T$823,19,0),"")</f>
        <v/>
      </c>
      <c r="U605" s="863"/>
    </row>
    <row r="606" ht="13.5" customHeight="1" spans="1:21">
      <c r="A606" s="847" t="s">
        <v>290</v>
      </c>
      <c r="B606" s="848" t="s">
        <v>3524</v>
      </c>
      <c r="C606" s="849">
        <f>COUNTA(B607:B629)</f>
        <v>22</v>
      </c>
      <c r="D606" s="849" t="str">
        <f>IFERROR(VLOOKUP(B606,'02. MM-KLH'!$B$6:$T$823,3,0),"")</f>
        <v/>
      </c>
      <c r="E606" s="849" t="str">
        <f>IFERROR(VLOOKUP(B606,'02. MM-KLH'!$B$6:$T$823,4,0),"")</f>
        <v/>
      </c>
      <c r="F606" s="849"/>
      <c r="G606" s="849" t="str">
        <f>IFERROR(VLOOKUP(B606,'02. MM-KLH'!$B$6:$T$823,6,0),"")</f>
        <v/>
      </c>
      <c r="H606" s="849"/>
      <c r="I606" s="849" t="str">
        <f>IFERROR(VLOOKUP(B606,'02. MM-KLH'!$B$6:$T$823,8,0),"")</f>
        <v/>
      </c>
      <c r="J606" s="849" t="str">
        <f>IFERROR(VLOOKUP(B606,'02. MM-KLH'!$B$6:$T$823,9,0),"")</f>
        <v/>
      </c>
      <c r="K606" s="849" t="str">
        <f>IFERROR(VLOOKUP(B606,'02. MM-KLH'!$B$6:$T$823,10,0),"")</f>
        <v/>
      </c>
      <c r="L606" s="849" t="str">
        <f>IFERROR(VLOOKUP(B606,'02. MM-KLH'!$B$6:$T$823,11,0),"")</f>
        <v/>
      </c>
      <c r="M606" s="849" t="str">
        <f>IFERROR(VLOOKUP(B606,'02. MM-KLH'!$B$6:$T$823,12,0),"")</f>
        <v/>
      </c>
      <c r="N606" s="849" t="str">
        <f>IFERROR(VLOOKUP(B606,'02. MM-KLH'!$B$6:$T$823,13,0),"")</f>
        <v/>
      </c>
      <c r="O606" s="849" t="str">
        <f>IFERROR(VLOOKUP(B606,'02. MM-KLH'!$B$6:$T$823,14,0),"")</f>
        <v/>
      </c>
      <c r="P606" s="849" t="str">
        <f>IFERROR(VLOOKUP(B606,'02. MM-KLH'!$B$6:$T$823,15,0),"")</f>
        <v/>
      </c>
      <c r="Q606" s="849" t="str">
        <f>IFERROR(VLOOKUP(B606,'02. MM-KLH'!$B$6:$T$823,16,0),"")</f>
        <v/>
      </c>
      <c r="R606" s="849" t="str">
        <f>IFERROR(VLOOKUP(B606,'02. MM-KLH'!$B$6:$T$823,17,0),"")</f>
        <v/>
      </c>
      <c r="S606" s="849" t="str">
        <f>IFERROR(VLOOKUP(B606,'02. MM-KLH'!$B$6:$T$823,18,0),"")</f>
        <v/>
      </c>
      <c r="T606" s="849" t="str">
        <f>IFERROR(VLOOKUP(B606,'02. MM-KLH'!$B$6:$T$823,19,0),"")</f>
        <v/>
      </c>
      <c r="U606" s="849" t="str">
        <f>IFERROR(VLOOKUP(C606,'02. MM-KLH'!$B$6:$T$823,19,0),"")</f>
        <v/>
      </c>
    </row>
    <row r="607" ht="13.5" customHeight="1" spans="1:21">
      <c r="A607" s="101">
        <v>1</v>
      </c>
      <c r="B607" s="104" t="s">
        <v>2738</v>
      </c>
      <c r="C607" s="102">
        <f>IFERROR(VLOOKUP(B607,'02. MM-KLH'!$B$6:$T$823,2,0),"")</f>
        <v>0</v>
      </c>
      <c r="D607" s="103">
        <f>IFERROR(VLOOKUP(B607,'02. MM-KLH'!$B$6:$T$823,3,0),"")</f>
        <v>0</v>
      </c>
      <c r="E607" s="102" t="str">
        <f>IFERROR(VLOOKUP(B607,'02. MM-KLH'!$B$6:$T$823,4,0),"")</f>
        <v>51D-480.22</v>
      </c>
      <c r="F607" s="104"/>
      <c r="G607" s="102" t="str">
        <f>IFERROR(VLOOKUP(B607,'02. MM-KLH'!$B$6:$T$823,6,0),"")</f>
        <v>Xe công vụ Mazda BT50</v>
      </c>
      <c r="H607" s="101" t="s">
        <v>3525</v>
      </c>
      <c r="I607" s="101" t="str">
        <f>IFERROR(VLOOKUP(B607,'02. MM-KLH'!$B$6:$T$823,8,0),"")</f>
        <v>HÀNH CHÍNH KLH</v>
      </c>
      <c r="J607" s="105">
        <f>IFERROR(VLOOKUP(B607,'02. MM-KLH'!$B$6:$T$823,9,0),"")</f>
        <v>0</v>
      </c>
      <c r="K607" s="101" t="str">
        <f>IFERROR(VLOOKUP(B607,'02. MM-KLH'!$B$6:$T$823,10,0),"")</f>
        <v>Bình thường</v>
      </c>
      <c r="L607" s="107">
        <f>IFERROR(VLOOKUP(B607,'02. MM-KLH'!$B$6:$T$823,11,0),"")</f>
        <v>0</v>
      </c>
      <c r="M607" s="864" t="str">
        <f>IFERROR(VLOOKUP(B607,'02. MM-KLH'!$B$6:$T$823,12,0),"")</f>
        <v>Cty ADM-P.TGĐ TT KLH</v>
      </c>
      <c r="N607" s="110" t="str">
        <f>IFERROR(VLOOKUP(B607,'02. MM-KLH'!$B$6:$T$823,13,0),"")</f>
        <v>MAZDA</v>
      </c>
      <c r="O607" s="110" t="str">
        <f>IFERROR(VLOOKUP(B607,'02. MM-KLH'!$B$6:$T$823,14,0),"")</f>
        <v>HÀN QUỐC</v>
      </c>
      <c r="P607" s="101">
        <f>IFERROR(VLOOKUP(B607,'02. MM-KLH'!$B$6:$T$823,15,0),"")</f>
        <v>2018</v>
      </c>
      <c r="Q607" s="101" t="str">
        <f>IFERROR(VLOOKUP(B607,'02. MM-KLH'!$B$6:$T$823,16,0),"")</f>
        <v>BT50</v>
      </c>
      <c r="R607" s="101" t="str">
        <f>IFERROR(VLOOKUP(B607,'02. MM-KLH'!$B$6:$T$823,17,0),"")</f>
        <v>148HP</v>
      </c>
      <c r="S607" s="110" t="str">
        <f>IFERROR(VLOOKUP(B607,'02. MM-KLH'!$B$6:$T$823,18,0),"")</f>
        <v>MM7UR4DF4KW852868</v>
      </c>
      <c r="T607" s="111" t="str">
        <f>IFERROR(VLOOKUP(B607,'02. MM-KLH'!$B$6:$T$823,19,0),"")</f>
        <v>P5AT2644238</v>
      </c>
      <c r="U607" s="863" t="s">
        <v>451</v>
      </c>
    </row>
    <row r="608" ht="13.5" customHeight="1" spans="1:21">
      <c r="A608" s="103">
        <f t="shared" ref="A608:A628" si="29">A607+1</f>
        <v>2</v>
      </c>
      <c r="B608" s="104" t="s">
        <v>2748</v>
      </c>
      <c r="C608" s="102">
        <f>IFERROR(VLOOKUP(B608,'02. MM-KLH'!$B$6:$T$823,2,0),"")</f>
        <v>0</v>
      </c>
      <c r="D608" s="103">
        <f>IFERROR(VLOOKUP(B608,'02. MM-KLH'!$B$6:$T$823,3,0),"")</f>
        <v>0</v>
      </c>
      <c r="E608" s="102" t="str">
        <f>IFERROR(VLOOKUP(B608,'02. MM-KLH'!$B$6:$T$823,4,0),"")</f>
        <v>51D-482.19</v>
      </c>
      <c r="F608" s="104"/>
      <c r="G608" s="102" t="str">
        <f>IFERROR(VLOOKUP(B608,'02. MM-KLH'!$B$6:$T$823,6,0),"")</f>
        <v>Xe công vụ Mazda BT50</v>
      </c>
      <c r="H608" s="101" t="s">
        <v>3525</v>
      </c>
      <c r="I608" s="101" t="str">
        <f>IFERROR(VLOOKUP(B608,'02. MM-KLH'!$B$6:$T$823,8,0),"")</f>
        <v>HÀNH CHÍNH KLH</v>
      </c>
      <c r="J608" s="105">
        <f>IFERROR(VLOOKUP(B608,'02. MM-KLH'!$B$6:$T$823,9,0),"")</f>
        <v>0</v>
      </c>
      <c r="K608" s="101" t="str">
        <f>IFERROR(VLOOKUP(B608,'02. MM-KLH'!$B$6:$T$823,10,0),"")</f>
        <v>Bình thường</v>
      </c>
      <c r="L608" s="107">
        <f>IFERROR(VLOOKUP(B608,'02. MM-KLH'!$B$6:$T$823,11,0),"")</f>
        <v>0</v>
      </c>
      <c r="M608" s="864" t="str">
        <f>IFERROR(VLOOKUP(B608,'02. MM-KLH'!$B$6:$T$823,12,0),"")</f>
        <v>Cty ADM-P.TGĐ CÔNG NGHIỆP</v>
      </c>
      <c r="N608" s="110" t="str">
        <f>IFERROR(VLOOKUP(B608,'02. MM-KLH'!$B$6:$T$823,13,0),"")</f>
        <v>MAZDA</v>
      </c>
      <c r="O608" s="110" t="str">
        <f>IFERROR(VLOOKUP(B608,'02. MM-KLH'!$B$6:$T$823,14,0),"")</f>
        <v>HÀN QUỐC</v>
      </c>
      <c r="P608" s="101">
        <f>IFERROR(VLOOKUP(B608,'02. MM-KLH'!$B$6:$T$823,15,0),"")</f>
        <v>2018</v>
      </c>
      <c r="Q608" s="101" t="str">
        <f>IFERROR(VLOOKUP(B608,'02. MM-KLH'!$B$6:$T$823,16,0),"")</f>
        <v>BT50</v>
      </c>
      <c r="R608" s="101" t="str">
        <f>IFERROR(VLOOKUP(B608,'02. MM-KLH'!$B$6:$T$823,17,0),"")</f>
        <v>148HP</v>
      </c>
      <c r="S608" s="110" t="str">
        <f>IFERROR(VLOOKUP(B608,'02. MM-KLH'!$B$6:$T$823,18,0),"")</f>
        <v>MM7UR4DFXKW861641</v>
      </c>
      <c r="T608" s="111" t="str">
        <f>IFERROR(VLOOKUP(B608,'02. MM-KLH'!$B$6:$T$823,19,0),"")</f>
        <v>P5AT2656720</v>
      </c>
      <c r="U608" s="863" t="s">
        <v>451</v>
      </c>
    </row>
    <row r="609" ht="13.5" customHeight="1" spans="1:21">
      <c r="A609" s="103">
        <f t="shared" si="29"/>
        <v>3</v>
      </c>
      <c r="B609" s="104" t="s">
        <v>2753</v>
      </c>
      <c r="C609" s="102">
        <f>IFERROR(VLOOKUP(B609,'02. MM-KLH'!$B$6:$T$823,2,0),"")</f>
        <v>0</v>
      </c>
      <c r="D609" s="103">
        <f>IFERROR(VLOOKUP(B609,'02. MM-KLH'!$B$6:$T$823,3,0),"")</f>
        <v>0</v>
      </c>
      <c r="E609" s="102" t="str">
        <f>IFERROR(VLOOKUP(B609,'02. MM-KLH'!$B$6:$T$823,4,0),"")</f>
        <v>51D-617.64</v>
      </c>
      <c r="F609" s="104"/>
      <c r="G609" s="102" t="str">
        <f>IFERROR(VLOOKUP(B609,'02. MM-KLH'!$B$6:$T$823,6,0),"")</f>
        <v>Xe công vụ Mazda BT50</v>
      </c>
      <c r="H609" s="101" t="s">
        <v>3525</v>
      </c>
      <c r="I609" s="101" t="str">
        <f>IFERROR(VLOOKUP(B609,'02. MM-KLH'!$B$6:$T$823,8,0),"")</f>
        <v>HÀNH CHÍNH KLH</v>
      </c>
      <c r="J609" s="105">
        <f>IFERROR(VLOOKUP(B609,'02. MM-KLH'!$B$6:$T$823,9,0),"")</f>
        <v>0</v>
      </c>
      <c r="K609" s="101" t="str">
        <f>IFERROR(VLOOKUP(B609,'02. MM-KLH'!$B$6:$T$823,10,0),"")</f>
        <v>Bình thường</v>
      </c>
      <c r="L609" s="107">
        <f>IFERROR(VLOOKUP(B609,'02. MM-KLH'!$B$6:$T$823,11,0),"")</f>
        <v>0</v>
      </c>
      <c r="M609" s="864" t="str">
        <f>IFERROR(VLOOKUP(B609,'02. MM-KLH'!$B$6:$T$823,12,0),"")</f>
        <v>Cty ADM-GĐ SXCN</v>
      </c>
      <c r="N609" s="110" t="str">
        <f>IFERROR(VLOOKUP(B609,'02. MM-KLH'!$B$6:$T$823,13,0),"")</f>
        <v>MAZDA</v>
      </c>
      <c r="O609" s="110" t="str">
        <f>IFERROR(VLOOKUP(B609,'02. MM-KLH'!$B$6:$T$823,14,0),"")</f>
        <v>HÀN QUỐC</v>
      </c>
      <c r="P609" s="101">
        <f>IFERROR(VLOOKUP(B609,'02. MM-KLH'!$B$6:$T$823,15,0),"")</f>
        <v>2018</v>
      </c>
      <c r="Q609" s="101" t="str">
        <f>IFERROR(VLOOKUP(B609,'02. MM-KLH'!$B$6:$T$823,16,0),"")</f>
        <v>BT50</v>
      </c>
      <c r="R609" s="101" t="str">
        <f>IFERROR(VLOOKUP(B609,'02. MM-KLH'!$B$6:$T$823,17,0),"")</f>
        <v>148HP</v>
      </c>
      <c r="S609" s="110">
        <f>IFERROR(VLOOKUP(B609,'02. MM-KLH'!$B$6:$T$823,18,0),"")</f>
        <v>0</v>
      </c>
      <c r="T609" s="111">
        <f>IFERROR(VLOOKUP(B609,'02. MM-KLH'!$B$6:$T$823,19,0),"")</f>
        <v>0</v>
      </c>
      <c r="U609" s="863" t="s">
        <v>451</v>
      </c>
    </row>
    <row r="610" ht="13.5" customHeight="1" spans="1:21">
      <c r="A610" s="103">
        <f t="shared" si="29"/>
        <v>4</v>
      </c>
      <c r="B610" s="104" t="s">
        <v>2757</v>
      </c>
      <c r="C610" s="102">
        <f>IFERROR(VLOOKUP(B610,'02. MM-KLH'!$B$6:$T$823,2,0),"")</f>
        <v>0</v>
      </c>
      <c r="D610" s="103">
        <f>IFERROR(VLOOKUP(B610,'02. MM-KLH'!$B$6:$T$823,3,0),"")</f>
        <v>0</v>
      </c>
      <c r="E610" s="102" t="str">
        <f>IFERROR(VLOOKUP(B610,'02. MM-KLH'!$B$6:$T$823,4,0),"")</f>
        <v>51D-607.44</v>
      </c>
      <c r="F610" s="104"/>
      <c r="G610" s="102" t="str">
        <f>IFERROR(VLOOKUP(B610,'02. MM-KLH'!$B$6:$T$823,6,0),"")</f>
        <v>Xe công vụ Mazda BT50</v>
      </c>
      <c r="H610" s="101" t="s">
        <v>3525</v>
      </c>
      <c r="I610" s="101" t="str">
        <f>IFERROR(VLOOKUP(B610,'02. MM-KLH'!$B$6:$T$823,8,0),"")</f>
        <v>HÀNH CHÍNH KLH</v>
      </c>
      <c r="J610" s="105">
        <f>IFERROR(VLOOKUP(B610,'02. MM-KLH'!$B$6:$T$823,9,0),"")</f>
        <v>0</v>
      </c>
      <c r="K610" s="101" t="str">
        <f>IFERROR(VLOOKUP(B610,'02. MM-KLH'!$B$6:$T$823,10,0),"")</f>
        <v>Bình thường</v>
      </c>
      <c r="L610" s="107">
        <f>IFERROR(VLOOKUP(B610,'02. MM-KLH'!$B$6:$T$823,11,0),"")</f>
        <v>0</v>
      </c>
      <c r="M610" s="864" t="str">
        <f>IFERROR(VLOOKUP(B610,'02. MM-KLH'!$B$6:$T$823,12,0),"")</f>
        <v>Cty LP-GĐ SX CHUỐI</v>
      </c>
      <c r="N610" s="110" t="str">
        <f>IFERROR(VLOOKUP(B610,'02. MM-KLH'!$B$6:$T$823,13,0),"")</f>
        <v>MAZDA</v>
      </c>
      <c r="O610" s="110" t="str">
        <f>IFERROR(VLOOKUP(B610,'02. MM-KLH'!$B$6:$T$823,14,0),"")</f>
        <v>HÀN QUỐC</v>
      </c>
      <c r="P610" s="101">
        <f>IFERROR(VLOOKUP(B610,'02. MM-KLH'!$B$6:$T$823,15,0),"")</f>
        <v>2018</v>
      </c>
      <c r="Q610" s="101" t="str">
        <f>IFERROR(VLOOKUP(B610,'02. MM-KLH'!$B$6:$T$823,16,0),"")</f>
        <v>BT50</v>
      </c>
      <c r="R610" s="101" t="str">
        <f>IFERROR(VLOOKUP(B610,'02. MM-KLH'!$B$6:$T$823,17,0),"")</f>
        <v>148HP</v>
      </c>
      <c r="S610" s="110" t="str">
        <f>IFERROR(VLOOKUP(B610,'02. MM-KLH'!$B$6:$T$823,18,0),"")</f>
        <v>MM7UR4DF1KW855663</v>
      </c>
      <c r="T610" s="111" t="str">
        <f>IFERROR(VLOOKUP(B610,'02. MM-KLH'!$B$6:$T$823,19,0),"")</f>
        <v>P5AT2648320</v>
      </c>
      <c r="U610" s="863" t="s">
        <v>451</v>
      </c>
    </row>
    <row r="611" ht="13.5" customHeight="1" spans="1:21">
      <c r="A611" s="103">
        <f t="shared" si="29"/>
        <v>5</v>
      </c>
      <c r="B611" s="104" t="s">
        <v>2762</v>
      </c>
      <c r="C611" s="102">
        <f>IFERROR(VLOOKUP(B611,'02. MM-KLH'!$B$6:$T$823,2,0),"")</f>
        <v>0</v>
      </c>
      <c r="D611" s="103">
        <f>IFERROR(VLOOKUP(B611,'02. MM-KLH'!$B$6:$T$823,3,0),"")</f>
        <v>0</v>
      </c>
      <c r="E611" s="102" t="str">
        <f>IFERROR(VLOOKUP(B611,'02. MM-KLH'!$B$6:$T$823,4,0),"")</f>
        <v>51D-609.04</v>
      </c>
      <c r="F611" s="104"/>
      <c r="G611" s="102" t="str">
        <f>IFERROR(VLOOKUP(B611,'02. MM-KLH'!$B$6:$T$823,6,0),"")</f>
        <v>Xe công vụ Mazda BT50</v>
      </c>
      <c r="H611" s="101" t="s">
        <v>3525</v>
      </c>
      <c r="I611" s="101" t="str">
        <f>IFERROR(VLOOKUP(B611,'02. MM-KLH'!$B$6:$T$823,8,0),"")</f>
        <v>HÀNH CHÍNH KLH</v>
      </c>
      <c r="J611" s="105">
        <f>IFERROR(VLOOKUP(B611,'02. MM-KLH'!$B$6:$T$823,9,0),"")</f>
        <v>0</v>
      </c>
      <c r="K611" s="101" t="str">
        <f>IFERROR(VLOOKUP(B611,'02. MM-KLH'!$B$6:$T$823,10,0),"")</f>
        <v>Bình thường</v>
      </c>
      <c r="L611" s="107">
        <f>IFERROR(VLOOKUP(B611,'02. MM-KLH'!$B$6:$T$823,11,0),"")</f>
        <v>0</v>
      </c>
      <c r="M611" s="864" t="str">
        <f>IFERROR(VLOOKUP(B611,'02. MM-KLH'!$B$6:$T$823,12,0),"")</f>
        <v>Cty LP-GĐ.HC NS</v>
      </c>
      <c r="N611" s="110" t="str">
        <f>IFERROR(VLOOKUP(B611,'02. MM-KLH'!$B$6:$T$823,13,0),"")</f>
        <v>MAZDA</v>
      </c>
      <c r="O611" s="110" t="str">
        <f>IFERROR(VLOOKUP(B611,'02. MM-KLH'!$B$6:$T$823,14,0),"")</f>
        <v>HÀN QUỐC</v>
      </c>
      <c r="P611" s="101">
        <f>IFERROR(VLOOKUP(B611,'02. MM-KLH'!$B$6:$T$823,15,0),"")</f>
        <v>2017</v>
      </c>
      <c r="Q611" s="101" t="str">
        <f>IFERROR(VLOOKUP(B611,'02. MM-KLH'!$B$6:$T$823,16,0),"")</f>
        <v>BT50</v>
      </c>
      <c r="R611" s="101" t="str">
        <f>IFERROR(VLOOKUP(B611,'02. MM-KLH'!$B$6:$T$823,17,0),"")</f>
        <v>148HP</v>
      </c>
      <c r="S611" s="110" t="str">
        <f>IFERROR(VLOOKUP(B611,'02. MM-KLH'!$B$6:$T$823,18,0),"")</f>
        <v>MM7UR4DF5JW777547</v>
      </c>
      <c r="T611" s="111" t="str">
        <f>IFERROR(VLOOKUP(B611,'02. MM-KLH'!$B$6:$T$823,19,0),"")</f>
        <v>P5AT2523639</v>
      </c>
      <c r="U611" s="863" t="s">
        <v>451</v>
      </c>
    </row>
    <row r="612" ht="13.5" customHeight="1" spans="1:21">
      <c r="A612" s="103">
        <f t="shared" si="29"/>
        <v>6</v>
      </c>
      <c r="B612" s="104" t="s">
        <v>2768</v>
      </c>
      <c r="C612" s="102">
        <f>IFERROR(VLOOKUP(B612,'02. MM-KLH'!$B$6:$T$823,2,0),"")</f>
        <v>0</v>
      </c>
      <c r="D612" s="103">
        <f>IFERROR(VLOOKUP(B612,'02. MM-KLH'!$B$6:$T$823,3,0),"")</f>
        <v>0</v>
      </c>
      <c r="E612" s="102" t="str">
        <f>IFERROR(VLOOKUP(B612,'02. MM-KLH'!$B$6:$T$823,4,0),"")</f>
        <v>51A-812.37</v>
      </c>
      <c r="F612" s="104"/>
      <c r="G612" s="102" t="str">
        <f>IFERROR(VLOOKUP(B612,'02. MM-KLH'!$B$6:$T$823,6,0),"")</f>
        <v>Xe công vụ Ford Everest</v>
      </c>
      <c r="H612" s="101" t="s">
        <v>3525</v>
      </c>
      <c r="I612" s="101" t="str">
        <f>IFERROR(VLOOKUP(B612,'02. MM-KLH'!$B$6:$T$823,8,0),"")</f>
        <v>HÀNH CHÍNH KLH</v>
      </c>
      <c r="J612" s="105">
        <f>IFERROR(VLOOKUP(B612,'02. MM-KLH'!$B$6:$T$823,9,0),"")</f>
        <v>0</v>
      </c>
      <c r="K612" s="101" t="str">
        <f>IFERROR(VLOOKUP(B612,'02. MM-KLH'!$B$6:$T$823,10,0),"")</f>
        <v>Bình thường</v>
      </c>
      <c r="L612" s="107">
        <f>IFERROR(VLOOKUP(B612,'02. MM-KLH'!$B$6:$T$823,11,0),"")</f>
        <v>0</v>
      </c>
      <c r="M612" s="864" t="str">
        <f>IFERROR(VLOOKUP(B612,'02. MM-KLH'!$B$6:$T$823,12,0),"")</f>
        <v>Cty ADM- Ban điện nước</v>
      </c>
      <c r="N612" s="110" t="str">
        <f>IFERROR(VLOOKUP(B612,'02. MM-KLH'!$B$6:$T$823,13,0),"")</f>
        <v>FORD</v>
      </c>
      <c r="O612" s="110" t="str">
        <f>IFERROR(VLOOKUP(B612,'02. MM-KLH'!$B$6:$T$823,14,0),"")</f>
        <v>MỸ</v>
      </c>
      <c r="P612" s="101">
        <f>IFERROR(VLOOKUP(B612,'02. MM-KLH'!$B$6:$T$823,15,0),"")</f>
        <v>2014</v>
      </c>
      <c r="Q612" s="101" t="str">
        <f>IFERROR(VLOOKUP(B612,'02. MM-KLH'!$B$6:$T$823,16,0),"")</f>
        <v>EVEREST</v>
      </c>
      <c r="R612" s="101" t="str">
        <f>IFERROR(VLOOKUP(B612,'02. MM-KLH'!$B$6:$T$823,17,0),"")</f>
        <v>141HP</v>
      </c>
      <c r="S612" s="110">
        <f>IFERROR(VLOOKUP(B612,'02. MM-KLH'!$B$6:$T$823,18,0),"")</f>
        <v>0</v>
      </c>
      <c r="T612" s="111">
        <f>IFERROR(VLOOKUP(B612,'02. MM-KLH'!$B$6:$T$823,19,0),"")</f>
        <v>0</v>
      </c>
      <c r="U612" s="863" t="s">
        <v>451</v>
      </c>
    </row>
    <row r="613" ht="13.5" customHeight="1" spans="1:21">
      <c r="A613" s="103">
        <f t="shared" si="29"/>
        <v>7</v>
      </c>
      <c r="B613" s="104" t="s">
        <v>2775</v>
      </c>
      <c r="C613" s="102">
        <f>IFERROR(VLOOKUP(B613,'02. MM-KLH'!$B$6:$T$823,2,0),"")</f>
        <v>0</v>
      </c>
      <c r="D613" s="103">
        <f>IFERROR(VLOOKUP(B613,'02. MM-KLH'!$B$6:$T$823,3,0),"")</f>
        <v>0</v>
      </c>
      <c r="E613" s="102" t="str">
        <f>IFERROR(VLOOKUP(B613,'02. MM-KLH'!$B$6:$T$823,4,0),"")</f>
        <v>51D-634.18</v>
      </c>
      <c r="F613" s="104"/>
      <c r="G613" s="102" t="str">
        <f>IFERROR(VLOOKUP(B613,'02. MM-KLH'!$B$6:$T$823,6,0),"")</f>
        <v>Xe công vụ Mazda BT50</v>
      </c>
      <c r="H613" s="101" t="s">
        <v>3525</v>
      </c>
      <c r="I613" s="101" t="str">
        <f>IFERROR(VLOOKUP(B613,'02. MM-KLH'!$B$6:$T$823,8,0),"")</f>
        <v>HÀNH CHÍNH KLH</v>
      </c>
      <c r="J613" s="105">
        <f>IFERROR(VLOOKUP(B613,'02. MM-KLH'!$B$6:$T$823,9,0),"")</f>
        <v>0</v>
      </c>
      <c r="K613" s="101" t="str">
        <f>IFERROR(VLOOKUP(B613,'02. MM-KLH'!$B$6:$T$823,10,0),"")</f>
        <v>Bình thường</v>
      </c>
      <c r="L613" s="107">
        <f>IFERROR(VLOOKUP(B613,'02. MM-KLH'!$B$6:$T$823,11,0),"")</f>
        <v>0</v>
      </c>
      <c r="M613" s="864" t="str">
        <f>IFERROR(VLOOKUP(B613,'02. MM-KLH'!$B$6:$T$823,12,0),"")</f>
        <v>Cty DP-Xe công vụ</v>
      </c>
      <c r="N613" s="110" t="str">
        <f>IFERROR(VLOOKUP(B613,'02. MM-KLH'!$B$6:$T$823,13,0),"")</f>
        <v>MAZDA</v>
      </c>
      <c r="O613" s="110" t="str">
        <f>IFERROR(VLOOKUP(B613,'02. MM-KLH'!$B$6:$T$823,14,0),"")</f>
        <v>HÀN QUỐC</v>
      </c>
      <c r="P613" s="101">
        <f>IFERROR(VLOOKUP(B613,'02. MM-KLH'!$B$6:$T$823,15,0),"")</f>
        <v>2018</v>
      </c>
      <c r="Q613" s="101" t="str">
        <f>IFERROR(VLOOKUP(B613,'02. MM-KLH'!$B$6:$T$823,16,0),"")</f>
        <v>BT50</v>
      </c>
      <c r="R613" s="101" t="str">
        <f>IFERROR(VLOOKUP(B613,'02. MM-KLH'!$B$6:$T$823,17,0),"")</f>
        <v>148HP</v>
      </c>
      <c r="S613" s="110" t="str">
        <f>IFERROR(VLOOKUP(B613,'02. MM-KLH'!$B$6:$T$823,18,0),"")</f>
        <v>MM7UR4DD2K936329</v>
      </c>
      <c r="T613" s="111" t="str">
        <f>IFERROR(VLOOKUP(B613,'02. MM-KLH'!$B$6:$T$823,19,0),"")</f>
        <v>P4AT2742432</v>
      </c>
      <c r="U613" s="863" t="s">
        <v>451</v>
      </c>
    </row>
    <row r="614" ht="13.5" customHeight="1" spans="1:21">
      <c r="A614" s="103">
        <f t="shared" si="29"/>
        <v>8</v>
      </c>
      <c r="B614" s="104" t="s">
        <v>2780</v>
      </c>
      <c r="C614" s="102">
        <f>IFERROR(VLOOKUP(B614,'02. MM-KLH'!$B$6:$T$823,2,0),"")</f>
        <v>0</v>
      </c>
      <c r="D614" s="103">
        <f>IFERROR(VLOOKUP(B614,'02. MM-KLH'!$B$6:$T$823,3,0),"")</f>
        <v>0</v>
      </c>
      <c r="E614" s="102" t="str">
        <f>IFERROR(VLOOKUP(B614,'02. MM-KLH'!$B$6:$T$823,4,0),"")</f>
        <v>51H-257.33</v>
      </c>
      <c r="F614" s="104"/>
      <c r="G614" s="102" t="str">
        <f>IFERROR(VLOOKUP(B614,'02. MM-KLH'!$B$6:$T$823,6,0),"")</f>
        <v>Xe công vụ Kia Sedona</v>
      </c>
      <c r="H614" s="101" t="s">
        <v>3525</v>
      </c>
      <c r="I614" s="101" t="str">
        <f>IFERROR(VLOOKUP(B614,'02. MM-KLH'!$B$6:$T$823,8,0),"")</f>
        <v>HÀNH CHÍNH KLH</v>
      </c>
      <c r="J614" s="105">
        <f>IFERROR(VLOOKUP(B614,'02. MM-KLH'!$B$6:$T$823,9,0),"")</f>
        <v>0</v>
      </c>
      <c r="K614" s="101" t="str">
        <f>IFERROR(VLOOKUP(B614,'02. MM-KLH'!$B$6:$T$823,10,0),"")</f>
        <v>Bình thường</v>
      </c>
      <c r="L614" s="107">
        <f>IFERROR(VLOOKUP(B614,'02. MM-KLH'!$B$6:$T$823,11,0),"")</f>
        <v>0</v>
      </c>
      <c r="M614" s="864" t="str">
        <f>IFERROR(VLOOKUP(B614,'02. MM-KLH'!$B$6:$T$823,12,0),"")</f>
        <v>Cty DP-Xe công vụ</v>
      </c>
      <c r="N614" s="110" t="str">
        <f>IFERROR(VLOOKUP(B614,'02. MM-KLH'!$B$6:$T$823,13,0),"")</f>
        <v>KIA</v>
      </c>
      <c r="O614" s="110" t="str">
        <f>IFERROR(VLOOKUP(B614,'02. MM-KLH'!$B$6:$T$823,14,0),"")</f>
        <v>HÀN QUỐC</v>
      </c>
      <c r="P614" s="101">
        <f>IFERROR(VLOOKUP(B614,'02. MM-KLH'!$B$6:$T$823,15,0),"")</f>
        <v>2019</v>
      </c>
      <c r="Q614" s="101" t="str">
        <f>IFERROR(VLOOKUP(B614,'02. MM-KLH'!$B$6:$T$823,16,0),"")</f>
        <v>SEDONA</v>
      </c>
      <c r="R614" s="101" t="str">
        <f>IFERROR(VLOOKUP(B614,'02. MM-KLH'!$B$6:$T$823,17,0),"")</f>
        <v>266HP</v>
      </c>
      <c r="S614" s="110" t="str">
        <f>IFERROR(VLOOKUP(B614,'02. MM-KLH'!$B$6:$T$823,18,0),"")</f>
        <v>RNYYK51A6JC142077</v>
      </c>
      <c r="T614" s="111" t="str">
        <f>IFERROR(VLOOKUP(B614,'02. MM-KLH'!$B$6:$T$823,19,0),"")</f>
        <v>G6DFJS807887</v>
      </c>
      <c r="U614" s="863" t="s">
        <v>451</v>
      </c>
    </row>
    <row r="615" ht="13.5" customHeight="1" spans="1:21">
      <c r="A615" s="103">
        <f t="shared" si="29"/>
        <v>9</v>
      </c>
      <c r="B615" s="104" t="s">
        <v>2785</v>
      </c>
      <c r="C615" s="102">
        <f>IFERROR(VLOOKUP(B615,'02. MM-KLH'!$B$6:$T$823,2,0),"")</f>
        <v>0</v>
      </c>
      <c r="D615" s="103">
        <f>IFERROR(VLOOKUP(B615,'02. MM-KLH'!$B$6:$T$823,3,0),"")</f>
        <v>0</v>
      </c>
      <c r="E615" s="102" t="str">
        <f>IFERROR(VLOOKUP(B615,'02. MM-KLH'!$B$6:$T$823,4,0),"")</f>
        <v>2B-3789</v>
      </c>
      <c r="F615" s="104"/>
      <c r="G615" s="102" t="str">
        <f>IFERROR(VLOOKUP(B615,'02. MM-KLH'!$B$6:$T$823,6,0),"")</f>
        <v>Xe công vụ Toyota Land Cruiser</v>
      </c>
      <c r="H615" s="101" t="s">
        <v>3525</v>
      </c>
      <c r="I615" s="101" t="str">
        <f>IFERROR(VLOOKUP(B615,'02. MM-KLH'!$B$6:$T$823,8,0),"")</f>
        <v>HÀNH CHÍNH KLH</v>
      </c>
      <c r="J615" s="105">
        <f>IFERROR(VLOOKUP(B615,'02. MM-KLH'!$B$6:$T$823,9,0),"")</f>
        <v>0</v>
      </c>
      <c r="K615" s="101" t="str">
        <f>IFERROR(VLOOKUP(B615,'02. MM-KLH'!$B$6:$T$823,10,0),"")</f>
        <v>Bình thường</v>
      </c>
      <c r="L615" s="107">
        <f>IFERROR(VLOOKUP(B615,'02. MM-KLH'!$B$6:$T$823,11,0),"")</f>
        <v>0</v>
      </c>
      <c r="M615" s="864" t="str">
        <f>IFERROR(VLOOKUP(B615,'02. MM-KLH'!$B$6:$T$823,12,0),"")</f>
        <v>Cty ADM- Xe công vụ</v>
      </c>
      <c r="N615" s="110" t="str">
        <f>IFERROR(VLOOKUP(B615,'02. MM-KLH'!$B$6:$T$823,13,0),"")</f>
        <v>TOYOTA</v>
      </c>
      <c r="O615" s="110" t="str">
        <f>IFERROR(VLOOKUP(B615,'02. MM-KLH'!$B$6:$T$823,14,0),"")</f>
        <v>NHẬT BẢN</v>
      </c>
      <c r="P615" s="101">
        <f>IFERROR(VLOOKUP(B615,'02. MM-KLH'!$B$6:$T$823,15,0),"")</f>
        <v>2009</v>
      </c>
      <c r="Q615" s="101" t="str">
        <f>IFERROR(VLOOKUP(B615,'02. MM-KLH'!$B$6:$T$823,16,0),"")</f>
        <v>CRUISER</v>
      </c>
      <c r="R615" s="101" t="str">
        <f>IFERROR(VLOOKUP(B615,'02. MM-KLH'!$B$6:$T$823,17,0),"")</f>
        <v>161HP</v>
      </c>
      <c r="S615" s="110" t="str">
        <f>IFERROR(VLOOKUP(B615,'02. MM-KLH'!$B$6:$T$823,18,0),"")</f>
        <v>JTMHU09JX95018220</v>
      </c>
      <c r="T615" s="111" t="str">
        <f>IFERROR(VLOOKUP(B615,'02. MM-KLH'!$B$6:$T$823,19,0),"")</f>
        <v>1GR8968561</v>
      </c>
      <c r="U615" s="863" t="s">
        <v>451</v>
      </c>
    </row>
    <row r="616" ht="13.5" customHeight="1" spans="1:21">
      <c r="A616" s="103">
        <f t="shared" si="29"/>
        <v>10</v>
      </c>
      <c r="B616" s="104" t="s">
        <v>2794</v>
      </c>
      <c r="C616" s="102">
        <f>IFERROR(VLOOKUP(B616,'02. MM-KLH'!$B$6:$T$823,2,0),"")</f>
        <v>0</v>
      </c>
      <c r="D616" s="103">
        <f>IFERROR(VLOOKUP(B616,'02. MM-KLH'!$B$6:$T$823,3,0),"")</f>
        <v>0</v>
      </c>
      <c r="E616" s="102" t="str">
        <f>IFERROR(VLOOKUP(B616,'02. MM-KLH'!$B$6:$T$823,4,0),"")</f>
        <v>81C-04260</v>
      </c>
      <c r="F616" s="104"/>
      <c r="G616" s="102" t="str">
        <f>IFERROR(VLOOKUP(B616,'02. MM-KLH'!$B$6:$T$823,6,0),"")</f>
        <v>Xe công vụ Toyota Hilux</v>
      </c>
      <c r="H616" s="101" t="s">
        <v>3525</v>
      </c>
      <c r="I616" s="101" t="str">
        <f>IFERROR(VLOOKUP(B616,'02. MM-KLH'!$B$6:$T$823,8,0),"")</f>
        <v>HÀNH CHÍNH KLH</v>
      </c>
      <c r="J616" s="105">
        <f>IFERROR(VLOOKUP(B616,'02. MM-KLH'!$B$6:$T$823,9,0),"")</f>
        <v>0</v>
      </c>
      <c r="K616" s="101" t="str">
        <f>IFERROR(VLOOKUP(B616,'02. MM-KLH'!$B$6:$T$823,10,0),"")</f>
        <v>Bình thường</v>
      </c>
      <c r="L616" s="107">
        <f>IFERROR(VLOOKUP(B616,'02. MM-KLH'!$B$6:$T$823,11,0),"")</f>
        <v>0</v>
      </c>
      <c r="M616" s="864" t="str">
        <f>IFERROR(VLOOKUP(B616,'02. MM-KLH'!$B$6:$T$823,12,0),"")</f>
        <v>Cty LP- Xe công vụ</v>
      </c>
      <c r="N616" s="110" t="str">
        <f>IFERROR(VLOOKUP(B616,'02. MM-KLH'!$B$6:$T$823,13,0),"")</f>
        <v>TOYOTA</v>
      </c>
      <c r="O616" s="110" t="str">
        <f>IFERROR(VLOOKUP(B616,'02. MM-KLH'!$B$6:$T$823,14,0),"")</f>
        <v>NHẬT BẢN</v>
      </c>
      <c r="P616" s="101">
        <f>IFERROR(VLOOKUP(B616,'02. MM-KLH'!$B$6:$T$823,15,0),"")</f>
        <v>2013</v>
      </c>
      <c r="Q616" s="101" t="str">
        <f>IFERROR(VLOOKUP(B616,'02. MM-KLH'!$B$6:$T$823,16,0),"")</f>
        <v>HILLUX</v>
      </c>
      <c r="R616" s="101" t="str">
        <f>IFERROR(VLOOKUP(B616,'02. MM-KLH'!$B$6:$T$823,17,0),"")</f>
        <v>148HP</v>
      </c>
      <c r="S616" s="110" t="str">
        <f>IFERROR(VLOOKUP(B616,'02. MM-KLH'!$B$6:$T$823,18,0),"")</f>
        <v>MROFZ29G101692700</v>
      </c>
      <c r="T616" s="111" t="str">
        <f>IFERROR(VLOOKUP(B616,'02. MM-KLH'!$B$6:$T$823,19,0),"")</f>
        <v>1KDU299927</v>
      </c>
      <c r="U616" s="863" t="s">
        <v>451</v>
      </c>
    </row>
    <row r="617" ht="13.5" customHeight="1" spans="1:21">
      <c r="A617" s="103">
        <f t="shared" si="29"/>
        <v>11</v>
      </c>
      <c r="B617" s="104" t="s">
        <v>2801</v>
      </c>
      <c r="C617" s="102">
        <f>IFERROR(VLOOKUP(B617,'02. MM-KLH'!$B$6:$T$823,2,0),"")</f>
        <v>0</v>
      </c>
      <c r="D617" s="103">
        <f>IFERROR(VLOOKUP(B617,'02. MM-KLH'!$B$6:$T$823,3,0),"")</f>
        <v>0</v>
      </c>
      <c r="E617" s="102" t="str">
        <f>IFERROR(VLOOKUP(B617,'02. MM-KLH'!$B$6:$T$823,4,0),"")</f>
        <v>92A -338.08</v>
      </c>
      <c r="F617" s="104"/>
      <c r="G617" s="102" t="str">
        <f>IFERROR(VLOOKUP(B617,'02. MM-KLH'!$B$6:$T$823,6,0),"")</f>
        <v>Xe công vụ Mazda CX8</v>
      </c>
      <c r="H617" s="101" t="s">
        <v>3525</v>
      </c>
      <c r="I617" s="101" t="str">
        <f>IFERROR(VLOOKUP(B617,'02. MM-KLH'!$B$6:$T$823,8,0),"")</f>
        <v>HÀNH CHÍNH KLH</v>
      </c>
      <c r="J617" s="105">
        <f>IFERROR(VLOOKUP(B617,'02. MM-KLH'!$B$6:$T$823,9,0),"")</f>
        <v>0</v>
      </c>
      <c r="K617" s="101" t="str">
        <f>IFERROR(VLOOKUP(B617,'02. MM-KLH'!$B$6:$T$823,10,0),"")</f>
        <v>Bình thường</v>
      </c>
      <c r="L617" s="107">
        <f>IFERROR(VLOOKUP(B617,'02. MM-KLH'!$B$6:$T$823,11,0),"")</f>
        <v>0</v>
      </c>
      <c r="M617" s="864" t="str">
        <f>IFERROR(VLOOKUP(B617,'02. MM-KLH'!$B$6:$T$823,12,0),"")</f>
        <v>Cty ADM- Xe công vụ</v>
      </c>
      <c r="N617" s="110" t="str">
        <f>IFERROR(VLOOKUP(B617,'02. MM-KLH'!$B$6:$T$823,13,0),"")</f>
        <v>MAZDA</v>
      </c>
      <c r="O617" s="110" t="str">
        <f>IFERROR(VLOOKUP(B617,'02. MM-KLH'!$B$6:$T$823,14,0),"")</f>
        <v>HÀN QUỐC</v>
      </c>
      <c r="P617" s="101">
        <f>IFERROR(VLOOKUP(B617,'02. MM-KLH'!$B$6:$T$823,15,0),"")</f>
        <v>2019</v>
      </c>
      <c r="Q617" s="101" t="str">
        <f>IFERROR(VLOOKUP(B617,'02. MM-KLH'!$B$6:$T$823,16,0),"")</f>
        <v>CX8</v>
      </c>
      <c r="R617" s="101" t="str">
        <f>IFERROR(VLOOKUP(B617,'02. MM-KLH'!$B$6:$T$823,17,0),"")</f>
        <v>188HP</v>
      </c>
      <c r="S617" s="110" t="str">
        <f>IFERROR(VLOOKUP(B617,'02. MM-KLH'!$B$6:$T$823,18,0),"")</f>
        <v>RN2K35346KM018796</v>
      </c>
      <c r="T617" s="111" t="str">
        <f>IFERROR(VLOOKUP(B617,'02. MM-KLH'!$B$6:$T$823,19,0),"")</f>
        <v>PY31030035</v>
      </c>
      <c r="U617" s="863" t="s">
        <v>451</v>
      </c>
    </row>
    <row r="618" ht="13.5" customHeight="1" spans="1:21">
      <c r="A618" s="103">
        <f t="shared" si="29"/>
        <v>12</v>
      </c>
      <c r="B618" s="104" t="s">
        <v>2808</v>
      </c>
      <c r="C618" s="102">
        <f>IFERROR(VLOOKUP(B618,'02. MM-KLH'!$B$6:$T$823,2,0),"")</f>
        <v>0</v>
      </c>
      <c r="D618" s="103">
        <f>IFERROR(VLOOKUP(B618,'02. MM-KLH'!$B$6:$T$823,3,0),"")</f>
        <v>0</v>
      </c>
      <c r="E618" s="102" t="str">
        <f>IFERROR(VLOOKUP(B618,'02. MM-KLH'!$B$6:$T$823,4,0),"")</f>
        <v>2A-0522</v>
      </c>
      <c r="F618" s="104"/>
      <c r="G618" s="102" t="str">
        <f>IFERROR(VLOOKUP(B618,'02. MM-KLH'!$B$6:$T$823,6,0),"")</f>
        <v>Xe cấp cứu Hyundai Starex</v>
      </c>
      <c r="H618" s="101" t="s">
        <v>3525</v>
      </c>
      <c r="I618" s="101" t="str">
        <f>IFERROR(VLOOKUP(B618,'02. MM-KLH'!$B$6:$T$823,8,0),"")</f>
        <v>HÀNH CHÍNH KLH</v>
      </c>
      <c r="J618" s="105">
        <f>IFERROR(VLOOKUP(B618,'02. MM-KLH'!$B$6:$T$823,9,0),"")</f>
        <v>0</v>
      </c>
      <c r="K618" s="101" t="str">
        <f>IFERROR(VLOOKUP(B618,'02. MM-KLH'!$B$6:$T$823,10,0),"")</f>
        <v>Bình thường</v>
      </c>
      <c r="L618" s="107">
        <f>IFERROR(VLOOKUP(B618,'02. MM-KLH'!$B$6:$T$823,11,0),"")</f>
        <v>0</v>
      </c>
      <c r="M618" s="864" t="str">
        <f>IFERROR(VLOOKUP(B618,'02. MM-KLH'!$B$6:$T$823,12,0),"")</f>
        <v>Cty ADM-Xe cấp cứu</v>
      </c>
      <c r="N618" s="110" t="str">
        <f>IFERROR(VLOOKUP(B618,'02. MM-KLH'!$B$6:$T$823,13,0),"")</f>
        <v>HYUNDAI</v>
      </c>
      <c r="O618" s="110" t="str">
        <f>IFERROR(VLOOKUP(B618,'02. MM-KLH'!$B$6:$T$823,14,0),"")</f>
        <v>HÀN QUỐC</v>
      </c>
      <c r="P618" s="101">
        <f>IFERROR(VLOOKUP(B618,'02. MM-KLH'!$B$6:$T$823,15,0),"")</f>
        <v>2016</v>
      </c>
      <c r="Q618" s="101" t="str">
        <f>IFERROR(VLOOKUP(B618,'02. MM-KLH'!$B$6:$T$823,16,0),"")</f>
        <v>STAREX</v>
      </c>
      <c r="R618" s="101" t="str">
        <f>IFERROR(VLOOKUP(B618,'02. MM-KLH'!$B$6:$T$823,17,0),"")</f>
        <v>100HP</v>
      </c>
      <c r="S618" s="110">
        <f>IFERROR(VLOOKUP(B618,'02. MM-KLH'!$B$6:$T$823,18,0),"")</f>
        <v>0</v>
      </c>
      <c r="T618" s="111">
        <f>IFERROR(VLOOKUP(B618,'02. MM-KLH'!$B$6:$T$823,19,0),"")</f>
        <v>0</v>
      </c>
      <c r="U618" s="863" t="s">
        <v>451</v>
      </c>
    </row>
    <row r="619" ht="13.5" customHeight="1" spans="1:21">
      <c r="A619" s="103">
        <f t="shared" si="29"/>
        <v>13</v>
      </c>
      <c r="B619" s="104" t="s">
        <v>2812</v>
      </c>
      <c r="C619" s="102">
        <f>IFERROR(VLOOKUP(B619,'02. MM-KLH'!$B$6:$T$823,2,0),"")</f>
        <v>0</v>
      </c>
      <c r="D619" s="103">
        <f>IFERROR(VLOOKUP(B619,'02. MM-KLH'!$B$6:$T$823,3,0),"")</f>
        <v>0</v>
      </c>
      <c r="E619" s="102" t="str">
        <f>IFERROR(VLOOKUP(B619,'02. MM-KLH'!$B$6:$T$823,4,0),"")</f>
        <v>2B-6868</v>
      </c>
      <c r="F619" s="104"/>
      <c r="G619" s="102" t="str">
        <f>IFERROR(VLOOKUP(B619,'02. MM-KLH'!$B$6:$T$823,6,0),"")</f>
        <v>Xe công vụ Ford Everest</v>
      </c>
      <c r="H619" s="101" t="s">
        <v>3525</v>
      </c>
      <c r="I619" s="101" t="str">
        <f>IFERROR(VLOOKUP(B619,'02. MM-KLH'!$B$6:$T$823,8,0),"")</f>
        <v>HÀNH CHÍNH KLH</v>
      </c>
      <c r="J619" s="105">
        <f>IFERROR(VLOOKUP(B619,'02. MM-KLH'!$B$6:$T$823,9,0),"")</f>
        <v>0</v>
      </c>
      <c r="K619" s="101" t="str">
        <f>IFERROR(VLOOKUP(B619,'02. MM-KLH'!$B$6:$T$823,10,0),"")</f>
        <v>Bình thường</v>
      </c>
      <c r="L619" s="107">
        <f>IFERROR(VLOOKUP(B619,'02. MM-KLH'!$B$6:$T$823,11,0),"")</f>
        <v>0</v>
      </c>
      <c r="M619" s="864" t="str">
        <f>IFERROR(VLOOKUP(B619,'02. MM-KLH'!$B$6:$T$823,12,0),"")</f>
        <v>Cty DP - P.TGĐ TT KLH</v>
      </c>
      <c r="N619" s="110" t="str">
        <f>IFERROR(VLOOKUP(B619,'02. MM-KLH'!$B$6:$T$823,13,0),"")</f>
        <v>FORD</v>
      </c>
      <c r="O619" s="110" t="str">
        <f>IFERROR(VLOOKUP(B619,'02. MM-KLH'!$B$6:$T$823,14,0),"")</f>
        <v>MỸ</v>
      </c>
      <c r="P619" s="101">
        <f>IFERROR(VLOOKUP(B619,'02. MM-KLH'!$B$6:$T$823,15,0),"")</f>
        <v>2024</v>
      </c>
      <c r="Q619" s="101" t="str">
        <f>IFERROR(VLOOKUP(B619,'02. MM-KLH'!$B$6:$T$823,16,0),"")</f>
        <v>EVEREST</v>
      </c>
      <c r="R619" s="101" t="str">
        <f>IFERROR(VLOOKUP(B619,'02. MM-KLH'!$B$6:$T$823,17,0),"")</f>
        <v>141HP</v>
      </c>
      <c r="S619" s="110" t="str">
        <f>IFERROR(VLOOKUP(B619,'02. MM-KLH'!$B$6:$T$823,18,0),"")</f>
        <v>PV5XWER8RLY00766</v>
      </c>
      <c r="T619" s="111" t="str">
        <f>IFERROR(VLOOKUP(B619,'02. MM-KLH'!$B$6:$T$823,19,0),"")</f>
        <v>YNWQRLY00046</v>
      </c>
      <c r="U619" s="863" t="s">
        <v>451</v>
      </c>
    </row>
    <row r="620" ht="13.5" customHeight="1" spans="1:21">
      <c r="A620" s="103">
        <f t="shared" si="29"/>
        <v>14</v>
      </c>
      <c r="B620" s="104" t="s">
        <v>2818</v>
      </c>
      <c r="C620" s="102">
        <f>IFERROR(VLOOKUP(B620,'02. MM-KLH'!$B$6:$T$823,2,0),"")</f>
        <v>0</v>
      </c>
      <c r="D620" s="103">
        <f>IFERROR(VLOOKUP(B620,'02. MM-KLH'!$B$6:$T$823,3,0),"")</f>
        <v>0</v>
      </c>
      <c r="E620" s="102" t="str">
        <f>IFERROR(VLOOKUP(B620,'02. MM-KLH'!$B$6:$T$823,4,0),"")</f>
        <v>51D-62994</v>
      </c>
      <c r="F620" s="104"/>
      <c r="G620" s="102" t="str">
        <f>IFERROR(VLOOKUP(B620,'02. MM-KLH'!$B$6:$T$823,6,0),"")</f>
        <v>Xe công vụ Mazda BT50</v>
      </c>
      <c r="H620" s="101" t="s">
        <v>3525</v>
      </c>
      <c r="I620" s="101" t="str">
        <f>IFERROR(VLOOKUP(B620,'02. MM-KLH'!$B$6:$T$823,8,0),"")</f>
        <v>HÀNH CHÍNH KLH</v>
      </c>
      <c r="J620" s="105">
        <f>IFERROR(VLOOKUP(B620,'02. MM-KLH'!$B$6:$T$823,9,0),"")</f>
        <v>0</v>
      </c>
      <c r="K620" s="101" t="str">
        <f>IFERROR(VLOOKUP(B620,'02. MM-KLH'!$B$6:$T$823,10,0),"")</f>
        <v>Bình thường</v>
      </c>
      <c r="L620" s="107">
        <f>IFERROR(VLOOKUP(B620,'02. MM-KLH'!$B$6:$T$823,11,0),"")</f>
        <v>0</v>
      </c>
      <c r="M620" s="864" t="str">
        <f>IFERROR(VLOOKUP(B620,'02. MM-KLH'!$B$6:$T$823,12,0),"")</f>
        <v>Cty AD - GĐ BAN XDCB</v>
      </c>
      <c r="N620" s="110" t="str">
        <f>IFERROR(VLOOKUP(B620,'02. MM-KLH'!$B$6:$T$823,13,0),"")</f>
        <v>MAZDA</v>
      </c>
      <c r="O620" s="110" t="str">
        <f>IFERROR(VLOOKUP(B620,'02. MM-KLH'!$B$6:$T$823,14,0),"")</f>
        <v>HÀN QUỐC</v>
      </c>
      <c r="P620" s="101">
        <f>IFERROR(VLOOKUP(B620,'02. MM-KLH'!$B$6:$T$823,15,0),"")</f>
        <v>2018</v>
      </c>
      <c r="Q620" s="101" t="str">
        <f>IFERROR(VLOOKUP(B620,'02. MM-KLH'!$B$6:$T$823,16,0),"")</f>
        <v>BT50</v>
      </c>
      <c r="R620" s="101" t="str">
        <f>IFERROR(VLOOKUP(B620,'02. MM-KLH'!$B$6:$T$823,17,0),"")</f>
        <v>148HP</v>
      </c>
      <c r="S620" s="110" t="str">
        <f>IFERROR(VLOOKUP(B620,'02. MM-KLH'!$B$6:$T$823,18,0),"")</f>
        <v>MM7UR4DF9KW903331</v>
      </c>
      <c r="T620" s="111" t="str">
        <f>IFERROR(VLOOKUP(B620,'02. MM-KLH'!$B$6:$T$823,19,0),"")</f>
        <v>P5AT2707088</v>
      </c>
      <c r="U620" s="863" t="s">
        <v>451</v>
      </c>
    </row>
    <row r="621" ht="13.5" customHeight="1" spans="1:21">
      <c r="A621" s="103">
        <f t="shared" si="29"/>
        <v>15</v>
      </c>
      <c r="B621" s="104" t="s">
        <v>2823</v>
      </c>
      <c r="C621" s="102">
        <f>IFERROR(VLOOKUP(B621,'02. MM-KLH'!$B$6:$T$823,2,0),"")</f>
        <v>0</v>
      </c>
      <c r="D621" s="103">
        <f>IFERROR(VLOOKUP(B621,'02. MM-KLH'!$B$6:$T$823,3,0),"")</f>
        <v>0</v>
      </c>
      <c r="E621" s="102" t="str">
        <f>IFERROR(VLOOKUP(B621,'02. MM-KLH'!$B$6:$T$823,4,0),"")</f>
        <v>92B-00858</v>
      </c>
      <c r="F621" s="104"/>
      <c r="G621" s="102" t="str">
        <f>IFERROR(VLOOKUP(B621,'02. MM-KLH'!$B$6:$T$823,6,0),"")</f>
        <v>Xe bus</v>
      </c>
      <c r="H621" s="101" t="s">
        <v>3525</v>
      </c>
      <c r="I621" s="101" t="str">
        <f>IFERROR(VLOOKUP(B621,'02. MM-KLH'!$B$6:$T$823,8,0),"")</f>
        <v>HÀNH CHÍNH KLH</v>
      </c>
      <c r="J621" s="105">
        <f>IFERROR(VLOOKUP(B621,'02. MM-KLH'!$B$6:$T$823,9,0),"")</f>
        <v>0</v>
      </c>
      <c r="K621" s="101" t="str">
        <f>IFERROR(VLOOKUP(B621,'02. MM-KLH'!$B$6:$T$823,10,0),"")</f>
        <v>Bình thường</v>
      </c>
      <c r="L621" s="107">
        <f>IFERROR(VLOOKUP(B621,'02. MM-KLH'!$B$6:$T$823,11,0),"")</f>
        <v>0</v>
      </c>
      <c r="M621" s="864">
        <f>IFERROR(VLOOKUP(B621,'02. MM-KLH'!$B$6:$T$823,12,0),"")</f>
        <v>0</v>
      </c>
      <c r="N621" s="110" t="str">
        <f>IFERROR(VLOOKUP(B621,'02. MM-KLH'!$B$6:$T$823,13,0),"")</f>
        <v>BUS</v>
      </c>
      <c r="O621" s="110">
        <f>IFERROR(VLOOKUP(B621,'02. MM-KLH'!$B$6:$T$823,14,0),"")</f>
        <v>0</v>
      </c>
      <c r="P621" s="101">
        <f>IFERROR(VLOOKUP(B621,'02. MM-KLH'!$B$6:$T$823,15,0),"")</f>
        <v>0</v>
      </c>
      <c r="Q621" s="101">
        <f>IFERROR(VLOOKUP(B621,'02. MM-KLH'!$B$6:$T$823,16,0),"")</f>
        <v>0</v>
      </c>
      <c r="R621" s="101">
        <f>IFERROR(VLOOKUP(B621,'02. MM-KLH'!$B$6:$T$823,17,0),"")</f>
        <v>0</v>
      </c>
      <c r="S621" s="110">
        <f>IFERROR(VLOOKUP(B621,'02. MM-KLH'!$B$6:$T$823,18,0),"")</f>
        <v>0</v>
      </c>
      <c r="T621" s="111">
        <f>IFERROR(VLOOKUP(B621,'02. MM-KLH'!$B$6:$T$823,19,0),"")</f>
        <v>0</v>
      </c>
      <c r="U621" s="863" t="s">
        <v>451</v>
      </c>
    </row>
    <row r="622" ht="13.5" customHeight="1" spans="1:21">
      <c r="A622" s="103">
        <f t="shared" si="29"/>
        <v>16</v>
      </c>
      <c r="B622" s="104" t="s">
        <v>2826</v>
      </c>
      <c r="C622" s="102">
        <f>IFERROR(VLOOKUP(B622,'02. MM-KLH'!$B$6:$T$823,2,0),"")</f>
        <v>0</v>
      </c>
      <c r="D622" s="103" t="str">
        <f>IFERROR(VLOOKUP(B622,'02. MM-KLH'!$B$6:$T$823,3,0),"")</f>
        <v>A23-TĐL-001</v>
      </c>
      <c r="E622" s="102" t="str">
        <f>IFERROR(VLOOKUP(B622,'02. MM-KLH'!$B$6:$T$823,4,0),"")</f>
        <v>2A-0091</v>
      </c>
      <c r="F622" s="104"/>
      <c r="G622" s="102" t="str">
        <f>IFERROR(VLOOKUP(B622,'02. MM-KLH'!$B$6:$T$823,6,0),"")</f>
        <v>Xe tải đông lạnh K200</v>
      </c>
      <c r="H622" s="101" t="s">
        <v>3526</v>
      </c>
      <c r="I622" s="101" t="str">
        <f>IFERROR(VLOOKUP(B622,'02. MM-KLH'!$B$6:$T$823,8,0),"")</f>
        <v>HÀNH CHÍNH KLH</v>
      </c>
      <c r="J622" s="105">
        <f>IFERROR(VLOOKUP(B622,'02. MM-KLH'!$B$6:$T$823,9,0),"")</f>
        <v>45452</v>
      </c>
      <c r="K622" s="101" t="str">
        <f>IFERROR(VLOOKUP(B622,'02. MM-KLH'!$B$6:$T$823,10,0),"")</f>
        <v>Bình thường</v>
      </c>
      <c r="L622" s="107">
        <f>IFERROR(VLOOKUP(B622,'02. MM-KLH'!$B$6:$T$823,11,0),"")</f>
        <v>0</v>
      </c>
      <c r="M622" s="864" t="str">
        <f>IFERROR(VLOOKUP(B622,'02. MM-KLH'!$B$6:$T$823,12,0),"")</f>
        <v>Đầu tư mới</v>
      </c>
      <c r="N622" s="110" t="str">
        <f>IFERROR(VLOOKUP(B622,'02. MM-KLH'!$B$6:$T$823,13,0),"")</f>
        <v>THACO KIA</v>
      </c>
      <c r="O622" s="110" t="str">
        <f>IFERROR(VLOOKUP(B622,'02. MM-KLH'!$B$6:$T$823,14,0),"")</f>
        <v>VIỆT NAM</v>
      </c>
      <c r="P622" s="101">
        <f>IFERROR(VLOOKUP(B622,'02. MM-KLH'!$B$6:$T$823,15,0),"")</f>
        <v>2024</v>
      </c>
      <c r="Q622" s="101" t="str">
        <f>IFERROR(VLOOKUP(B622,'02. MM-KLH'!$B$6:$T$823,16,0),"")</f>
        <v>K200</v>
      </c>
      <c r="R622" s="101" t="str">
        <f>IFERROR(VLOOKUP(B622,'02. MM-KLH'!$B$6:$T$823,17,0),"")</f>
        <v>130HP</v>
      </c>
      <c r="S622" s="110" t="str">
        <f>IFERROR(VLOOKUP(B622,'02. MM-KLH'!$B$6:$T$823,18,0),"")</f>
        <v>RNHA39KHERT094672</v>
      </c>
      <c r="T622" s="111" t="str">
        <f>IFERROR(VLOOKUP(B622,'02. MM-KLH'!$B$6:$T$823,19,0),"")</f>
        <v>RD577729D4CB</v>
      </c>
      <c r="U622" s="863" t="s">
        <v>3343</v>
      </c>
    </row>
    <row r="623" ht="13.5" customHeight="1" spans="1:21">
      <c r="A623" s="103">
        <f t="shared" si="29"/>
        <v>17</v>
      </c>
      <c r="B623" s="104" t="s">
        <v>2832</v>
      </c>
      <c r="C623" s="102">
        <f>IFERROR(VLOOKUP(B623,'02. MM-KLH'!$B$6:$T$823,2,0),"")</f>
        <v>0</v>
      </c>
      <c r="D623" s="103" t="str">
        <f>IFERROR(VLOOKUP(B623,'02. MM-KLH'!$B$6:$T$823,3,0),"")</f>
        <v>A23-TĐL-002</v>
      </c>
      <c r="E623" s="102" t="str">
        <f>IFERROR(VLOOKUP(B623,'02. MM-KLH'!$B$6:$T$823,4,0),"")</f>
        <v>2A-0046</v>
      </c>
      <c r="F623" s="104"/>
      <c r="G623" s="102" t="str">
        <f>IFERROR(VLOOKUP(B623,'02. MM-KLH'!$B$6:$T$823,6,0),"")</f>
        <v>Xe tải đông lạnh K200</v>
      </c>
      <c r="H623" s="101" t="s">
        <v>3526</v>
      </c>
      <c r="I623" s="101" t="str">
        <f>IFERROR(VLOOKUP(B623,'02. MM-KLH'!$B$6:$T$823,8,0),"")</f>
        <v>HÀNH CHÍNH KLH</v>
      </c>
      <c r="J623" s="105">
        <f>IFERROR(VLOOKUP(B623,'02. MM-KLH'!$B$6:$T$823,9,0),"")</f>
        <v>45452</v>
      </c>
      <c r="K623" s="101" t="str">
        <f>IFERROR(VLOOKUP(B623,'02. MM-KLH'!$B$6:$T$823,10,0),"")</f>
        <v>Bình thường</v>
      </c>
      <c r="L623" s="107">
        <f>IFERROR(VLOOKUP(B623,'02. MM-KLH'!$B$6:$T$823,11,0),"")</f>
        <v>0</v>
      </c>
      <c r="M623" s="864" t="str">
        <f>IFERROR(VLOOKUP(B623,'02. MM-KLH'!$B$6:$T$823,12,0),"")</f>
        <v>Đầu tư mới</v>
      </c>
      <c r="N623" s="110" t="str">
        <f>IFERROR(VLOOKUP(B623,'02. MM-KLH'!$B$6:$T$823,13,0),"")</f>
        <v>THACO KIA</v>
      </c>
      <c r="O623" s="110" t="str">
        <f>IFERROR(VLOOKUP(B623,'02. MM-KLH'!$B$6:$T$823,14,0),"")</f>
        <v>VIỆT NAM</v>
      </c>
      <c r="P623" s="101">
        <f>IFERROR(VLOOKUP(B623,'02. MM-KLH'!$B$6:$T$823,15,0),"")</f>
        <v>2024</v>
      </c>
      <c r="Q623" s="101" t="str">
        <f>IFERROR(VLOOKUP(B623,'02. MM-KLH'!$B$6:$T$823,16,0),"")</f>
        <v>K200</v>
      </c>
      <c r="R623" s="101" t="str">
        <f>IFERROR(VLOOKUP(B623,'02. MM-KLH'!$B$6:$T$823,17,0),"")</f>
        <v>130HP</v>
      </c>
      <c r="S623" s="110" t="str">
        <f>IFERROR(VLOOKUP(B623,'02. MM-KLH'!$B$6:$T$823,18,0),"")</f>
        <v>RNHA39KHERT094673</v>
      </c>
      <c r="T623" s="111" t="str">
        <f>IFERROR(VLOOKUP(B623,'02. MM-KLH'!$B$6:$T$823,19,0),"")</f>
        <v>RD577733D4CB</v>
      </c>
      <c r="U623" s="863" t="s">
        <v>3343</v>
      </c>
    </row>
    <row r="624" ht="13.5" customHeight="1" spans="1:21">
      <c r="A624" s="103">
        <f t="shared" si="29"/>
        <v>18</v>
      </c>
      <c r="B624" s="104" t="s">
        <v>2837</v>
      </c>
      <c r="C624" s="102">
        <f>IFERROR(VLOOKUP(B624,'02. MM-KLH'!$B$6:$T$823,2,0),"")</f>
        <v>0</v>
      </c>
      <c r="D624" s="103" t="str">
        <f>IFERROR(VLOOKUP(B624,'02. MM-KLH'!$B$6:$T$823,3,0),"")</f>
        <v>A23-TĐL-003</v>
      </c>
      <c r="E624" s="102" t="str">
        <f>IFERROR(VLOOKUP(B624,'02. MM-KLH'!$B$6:$T$823,4,0),"")</f>
        <v>2A-0109</v>
      </c>
      <c r="F624" s="104"/>
      <c r="G624" s="102" t="str">
        <f>IFERROR(VLOOKUP(B624,'02. MM-KLH'!$B$6:$T$823,6,0),"")</f>
        <v>Xe tải đông lạnh K200</v>
      </c>
      <c r="H624" s="101" t="s">
        <v>3526</v>
      </c>
      <c r="I624" s="101" t="str">
        <f>IFERROR(VLOOKUP(B624,'02. MM-KLH'!$B$6:$T$823,8,0),"")</f>
        <v>HÀNH CHÍNH KLH</v>
      </c>
      <c r="J624" s="105">
        <f>IFERROR(VLOOKUP(B624,'02. MM-KLH'!$B$6:$T$823,9,0),"")</f>
        <v>45452</v>
      </c>
      <c r="K624" s="101" t="str">
        <f>IFERROR(VLOOKUP(B624,'02. MM-KLH'!$B$6:$T$823,10,0),"")</f>
        <v>Bình thường</v>
      </c>
      <c r="L624" s="107">
        <f>IFERROR(VLOOKUP(B624,'02. MM-KLH'!$B$6:$T$823,11,0),"")</f>
        <v>0</v>
      </c>
      <c r="M624" s="864" t="str">
        <f>IFERROR(VLOOKUP(B624,'02. MM-KLH'!$B$6:$T$823,12,0),"")</f>
        <v>Đầu tư mới</v>
      </c>
      <c r="N624" s="110" t="str">
        <f>IFERROR(VLOOKUP(B624,'02. MM-KLH'!$B$6:$T$823,13,0),"")</f>
        <v>THACO KIA</v>
      </c>
      <c r="O624" s="110" t="str">
        <f>IFERROR(VLOOKUP(B624,'02. MM-KLH'!$B$6:$T$823,14,0),"")</f>
        <v>VIỆT NAM</v>
      </c>
      <c r="P624" s="101">
        <f>IFERROR(VLOOKUP(B624,'02. MM-KLH'!$B$6:$T$823,15,0),"")</f>
        <v>2024</v>
      </c>
      <c r="Q624" s="101" t="str">
        <f>IFERROR(VLOOKUP(B624,'02. MM-KLH'!$B$6:$T$823,16,0),"")</f>
        <v>K200</v>
      </c>
      <c r="R624" s="101" t="str">
        <f>IFERROR(VLOOKUP(B624,'02. MM-KLH'!$B$6:$T$823,17,0),"")</f>
        <v>130HP</v>
      </c>
      <c r="S624" s="110" t="str">
        <f>IFERROR(VLOOKUP(B624,'02. MM-KLH'!$B$6:$T$823,18,0),"")</f>
        <v>RNHA39KHERT094674</v>
      </c>
      <c r="T624" s="111" t="str">
        <f>IFERROR(VLOOKUP(B624,'02. MM-KLH'!$B$6:$T$823,19,0),"")</f>
        <v>RD577734D4CB</v>
      </c>
      <c r="U624" s="863" t="s">
        <v>3343</v>
      </c>
    </row>
    <row r="625" ht="13.5" customHeight="1" spans="1:21">
      <c r="A625" s="103">
        <f t="shared" si="29"/>
        <v>19</v>
      </c>
      <c r="B625" s="104" t="s">
        <v>2842</v>
      </c>
      <c r="C625" s="102">
        <f>IFERROR(VLOOKUP(B625,'02. MM-KLH'!$B$6:$T$823,2,0),"")</f>
        <v>0</v>
      </c>
      <c r="D625" s="103" t="str">
        <f>IFERROR(VLOOKUP(B625,'02. MM-KLH'!$B$6:$T$823,3,0),"")</f>
        <v>A23-XCR-001</v>
      </c>
      <c r="E625" s="102">
        <f>IFERROR(VLOOKUP(B625,'02. MM-KLH'!$B$6:$T$823,4,0),"")</f>
        <v>0</v>
      </c>
      <c r="F625" s="104"/>
      <c r="G625" s="102" t="str">
        <f>IFERROR(VLOOKUP(B625,'02. MM-KLH'!$B$6:$T$823,6,0),"")</f>
        <v>Xe chở rác K250B</v>
      </c>
      <c r="H625" s="101" t="s">
        <v>3527</v>
      </c>
      <c r="I625" s="101" t="str">
        <f>IFERROR(VLOOKUP(B625,'02. MM-KLH'!$B$6:$T$823,8,0),"")</f>
        <v>HÀNH CHÍNH KLH</v>
      </c>
      <c r="J625" s="105">
        <f>IFERROR(VLOOKUP(B625,'02. MM-KLH'!$B$6:$T$823,9,0),"")</f>
        <v>45452</v>
      </c>
      <c r="K625" s="101" t="str">
        <f>IFERROR(VLOOKUP(B625,'02. MM-KLH'!$B$6:$T$823,10,0),"")</f>
        <v>Bình thường</v>
      </c>
      <c r="L625" s="107">
        <f>IFERROR(VLOOKUP(B625,'02. MM-KLH'!$B$6:$T$823,11,0),"")</f>
        <v>0</v>
      </c>
      <c r="M625" s="864" t="str">
        <f>IFERROR(VLOOKUP(B625,'02. MM-KLH'!$B$6:$T$823,12,0),"")</f>
        <v>Đầu tư mới</v>
      </c>
      <c r="N625" s="110" t="str">
        <f>IFERROR(VLOOKUP(B625,'02. MM-KLH'!$B$6:$T$823,13,0),"")</f>
        <v>THACO KIA</v>
      </c>
      <c r="O625" s="110" t="str">
        <f>IFERROR(VLOOKUP(B625,'02. MM-KLH'!$B$6:$T$823,14,0),"")</f>
        <v>VIỆT NAM</v>
      </c>
      <c r="P625" s="101">
        <f>IFERROR(VLOOKUP(B625,'02. MM-KLH'!$B$6:$T$823,15,0),"")</f>
        <v>2023</v>
      </c>
      <c r="Q625" s="101" t="str">
        <f>IFERROR(VLOOKUP(B625,'02. MM-KLH'!$B$6:$T$823,16,0),"")</f>
        <v>K250B</v>
      </c>
      <c r="R625" s="101" t="str">
        <f>IFERROR(VLOOKUP(B625,'02. MM-KLH'!$B$6:$T$823,17,0),"")</f>
        <v>130HP</v>
      </c>
      <c r="S625" s="110" t="str">
        <f>IFERROR(VLOOKUP(B625,'02. MM-KLH'!$B$6:$T$823,18,0),"")</f>
        <v>RNHA49KHEPT069328</v>
      </c>
      <c r="T625" s="111" t="str">
        <f>IFERROR(VLOOKUP(B625,'02. MM-KLH'!$B$6:$T$823,19,0),"")</f>
        <v>LD527221D4CB</v>
      </c>
      <c r="U625" s="863" t="s">
        <v>3343</v>
      </c>
    </row>
    <row r="626" ht="27" customHeight="1" spans="1:21">
      <c r="A626" s="103">
        <f t="shared" si="29"/>
        <v>20</v>
      </c>
      <c r="B626" s="104" t="s">
        <v>2847</v>
      </c>
      <c r="C626" s="102" t="str">
        <f>IFERROR(VLOOKUP(B626,'02. MM-KLH'!$B$6:$T$823,2,0),"")</f>
        <v>XD3-XTA-007</v>
      </c>
      <c r="D626" s="103" t="str">
        <f>IFERROR(VLOOKUP(B626,'02. MM-KLH'!$B$6:$T$823,3,0),"")</f>
        <v>A23-XTA-047</v>
      </c>
      <c r="E626" s="102">
        <f>IFERROR(VLOOKUP(B626,'02. MM-KLH'!$B$6:$T$823,4,0),"")</f>
        <v>0</v>
      </c>
      <c r="F626" s="104" t="s">
        <v>2855</v>
      </c>
      <c r="G626" s="102" t="str">
        <f>IFERROR(VLOOKUP(B626,'02. MM-KLH'!$B$6:$T$823,6,0),"")</f>
        <v>Xe tải THACO FRONTIER TF490</v>
      </c>
      <c r="H626" s="101" t="s">
        <v>3382</v>
      </c>
      <c r="I626" s="101" t="str">
        <f>IFERROR(VLOOKUP(B626,'02. MM-KLH'!$B$6:$T$823,8,0),"")</f>
        <v>HÀNH CHÍNH KLH</v>
      </c>
      <c r="J626" s="105">
        <f>IFERROR(VLOOKUP(B626,'02. MM-KLH'!$B$6:$T$823,9,0),"")</f>
        <v>46114</v>
      </c>
      <c r="K626" s="101" t="str">
        <f>IFERROR(VLOOKUP(B626,'02. MM-KLH'!$B$6:$T$823,10,0),"")</f>
        <v>Bình thường</v>
      </c>
      <c r="L626" s="107">
        <f>IFERROR(VLOOKUP(B626,'02. MM-KLH'!$B$6:$T$823,11,0),"")</f>
        <v>0</v>
      </c>
      <c r="M626" s="864" t="str">
        <f>IFERROR(VLOOKUP(B626,'02. MM-KLH'!$B$6:$T$823,12,0),"")</f>
        <v>DP3 Đchuyen qua ASĐS ngày 20.07.2026
Đầu tư mới</v>
      </c>
      <c r="N626" s="110" t="str">
        <f>IFERROR(VLOOKUP(B626,'02. MM-KLH'!$B$6:$T$823,13,0),"")</f>
        <v>THACO FRONTIER</v>
      </c>
      <c r="O626" s="110" t="str">
        <f>IFERROR(VLOOKUP(B626,'02. MM-KLH'!$B$6:$T$823,14,0),"")</f>
        <v>VIỆT NAM</v>
      </c>
      <c r="P626" s="101">
        <f>IFERROR(VLOOKUP(B626,'02. MM-KLH'!$B$6:$T$823,15,0),"")</f>
        <v>2024</v>
      </c>
      <c r="Q626" s="101" t="str">
        <f>IFERROR(VLOOKUP(B626,'02. MM-KLH'!$B$6:$T$823,16,0),"")</f>
        <v>TF490</v>
      </c>
      <c r="R626" s="101" t="str">
        <f>IFERROR(VLOOKUP(B626,'02. MM-KLH'!$B$6:$T$823,17,0),"")</f>
        <v>107HP</v>
      </c>
      <c r="S626" s="110" t="str">
        <f>IFERROR(VLOOKUP(B626,'02. MM-KLH'!$B$6:$T$823,18,0),"")</f>
        <v>RNHA49TZART051060</v>
      </c>
      <c r="T626" s="111" t="str">
        <f>IFERROR(VLOOKUP(B626,'02. MM-KLH'!$B$6:$T$823,19,0),"")</f>
        <v>JE493ZLQ4*33102790*</v>
      </c>
      <c r="U626" s="863" t="s">
        <v>451</v>
      </c>
    </row>
    <row r="627" ht="13.5" customHeight="1" spans="1:21">
      <c r="A627" s="103">
        <f t="shared" si="29"/>
        <v>21</v>
      </c>
      <c r="B627" s="104" t="s">
        <v>2853</v>
      </c>
      <c r="C627" s="102" t="str">
        <f>IFERROR(VLOOKUP(B627,'02. MM-KLH'!$B$6:$T$823,2,0),"")</f>
        <v>CVC-XTA-008</v>
      </c>
      <c r="D627" s="103" t="str">
        <f>IFERROR(VLOOKUP(B627,'02. MM-KLH'!$B$6:$T$823,3,0),"")</f>
        <v>ATM-A23-0053</v>
      </c>
      <c r="E627" s="102">
        <f>IFERROR(VLOOKUP(B627,'02. MM-KLH'!$B$6:$T$823,4,0),"")</f>
        <v>0</v>
      </c>
      <c r="F627" s="104" t="s">
        <v>2855</v>
      </c>
      <c r="G627" s="102" t="str">
        <f>IFERROR(VLOOKUP(B627,'02. MM-KLH'!$B$6:$T$823,6,0),"")</f>
        <v>Xe tải thùng FD140</v>
      </c>
      <c r="H627" s="101" t="s">
        <v>3382</v>
      </c>
      <c r="I627" s="101" t="str">
        <f>IFERROR(VLOOKUP(B627,'02. MM-KLH'!$B$6:$T$823,8,0),"")</f>
        <v>HÀNH CHÍNH KLH</v>
      </c>
      <c r="J627" s="105">
        <f>IFERROR(VLOOKUP(B627,'02. MM-KLH'!$B$6:$T$823,9,0),"")</f>
        <v>44570</v>
      </c>
      <c r="K627" s="101" t="str">
        <f>IFERROR(VLOOKUP(B627,'02. MM-KLH'!$B$6:$T$823,10,0),"")</f>
        <v>Bình thường</v>
      </c>
      <c r="L627" s="107">
        <f>IFERROR(VLOOKUP(B627,'02. MM-KLH'!$B$6:$T$823,11,0),"")</f>
        <v>0.76</v>
      </c>
      <c r="M627" s="864" t="str">
        <f>IFERROR(VLOOKUP(B627,'02. MM-KLH'!$B$6:$T$823,12,0),"")</f>
        <v>GNVC bàn giao qua ngày 03.08.2026</v>
      </c>
      <c r="N627" s="110" t="str">
        <f>IFERROR(VLOOKUP(B627,'02. MM-KLH'!$B$6:$T$823,13,0),"")</f>
        <v>THACO FORLAND</v>
      </c>
      <c r="O627" s="110" t="str">
        <f>IFERROR(VLOOKUP(B627,'02. MM-KLH'!$B$6:$T$823,14,0),"")</f>
        <v>VIỆT NAM</v>
      </c>
      <c r="P627" s="101">
        <f>IFERROR(VLOOKUP(B627,'02. MM-KLH'!$B$6:$T$823,15,0),"")</f>
        <v>2021</v>
      </c>
      <c r="Q627" s="101" t="str">
        <f>IFERROR(VLOOKUP(B627,'02. MM-KLH'!$B$6:$T$823,16,0),"")</f>
        <v>FD140</v>
      </c>
      <c r="R627" s="101" t="str">
        <f>IFERROR(VLOOKUP(B627,'02. MM-KLH'!$B$6:$T$823,17,0),"")</f>
        <v>140HP</v>
      </c>
      <c r="S627" s="110">
        <f>IFERROR(VLOOKUP(B627,'02. MM-KLH'!$B$6:$T$823,18,0),"")</f>
        <v>49596</v>
      </c>
      <c r="T627" s="111" t="str">
        <f>IFERROR(VLOOKUP(B627,'02. MM-KLH'!$B$6:$T$823,19,0),"")</f>
        <v>CCN</v>
      </c>
      <c r="U627" s="863" t="s">
        <v>451</v>
      </c>
    </row>
    <row r="628" ht="13.5" customHeight="1" spans="1:21">
      <c r="A628" s="103">
        <f t="shared" si="29"/>
        <v>22</v>
      </c>
      <c r="B628" s="104" t="s">
        <v>2869</v>
      </c>
      <c r="C628" s="102">
        <f>IFERROR(VLOOKUP(B628,'02. MM-KLH'!$B$6:$T$823,2,0),"")</f>
        <v>0</v>
      </c>
      <c r="D628" s="103" t="str">
        <f>IFERROR(VLOOKUP(B628,'02. MM-KLH'!$B$6:$T$823,3,0),"")</f>
        <v>-</v>
      </c>
      <c r="E628" s="102" t="str">
        <f>IFERROR(VLOOKUP(B628,'02. MM-KLH'!$B$6:$T$823,4,0),"")</f>
        <v>81C-04285</v>
      </c>
      <c r="F628" s="201"/>
      <c r="G628" s="102" t="str">
        <f>IFERROR(VLOOKUP(B628,'02. MM-KLH'!$B$6:$T$823,6,0),"")</f>
        <v>Xe công vụ 81C-04285</v>
      </c>
      <c r="H628" s="101" t="s">
        <v>3525</v>
      </c>
      <c r="I628" s="101" t="str">
        <f>IFERROR(VLOOKUP(B628,'02. MM-KLH'!$B$6:$T$823,8,0),"")</f>
        <v>Thadicons A&amp;I</v>
      </c>
      <c r="J628" s="105" t="str">
        <f>IFERROR(VLOOKUP(B628,'02. MM-KLH'!$B$6:$T$823,9,0),"")</f>
        <v>Đã qua sử dụng</v>
      </c>
      <c r="K628" s="101" t="str">
        <f>IFERROR(VLOOKUP(B628,'02. MM-KLH'!$B$6:$T$823,10,0),"")</f>
        <v>Bình thường</v>
      </c>
      <c r="L628" s="107">
        <f>IFERROR(VLOOKUP(B628,'02. MM-KLH'!$B$6:$T$823,11,0),"")</f>
        <v>0</v>
      </c>
      <c r="M628" s="864">
        <f>IFERROR(VLOOKUP(B628,'02. MM-KLH'!$B$6:$T$823,12,0),"")</f>
        <v>0</v>
      </c>
      <c r="N628" s="110" t="str">
        <f>IFERROR(VLOOKUP(B628,'02. MM-KLH'!$B$6:$T$823,13,0),"")</f>
        <v>ISUZU</v>
      </c>
      <c r="O628" s="110" t="str">
        <f>IFERROR(VLOOKUP(B628,'02. MM-KLH'!$B$6:$T$823,14,0),"")</f>
        <v>NHẬT BẢN </v>
      </c>
      <c r="P628" s="101">
        <f>IFERROR(VLOOKUP(B628,'02. MM-KLH'!$B$6:$T$823,15,0),"")</f>
        <v>0</v>
      </c>
      <c r="Q628" s="101">
        <f>IFERROR(VLOOKUP(B628,'02. MM-KLH'!$B$6:$T$823,16,0),"")</f>
        <v>0</v>
      </c>
      <c r="R628" s="101">
        <f>IFERROR(VLOOKUP(B628,'02. MM-KLH'!$B$6:$T$823,17,0),"")</f>
        <v>0</v>
      </c>
      <c r="S628" s="110">
        <f>IFERROR(VLOOKUP(B628,'02. MM-KLH'!$B$6:$T$823,18,0),"")</f>
        <v>0</v>
      </c>
      <c r="T628" s="111">
        <f>IFERROR(VLOOKUP(B628,'02. MM-KLH'!$B$6:$T$823,19,0),"")</f>
        <v>0</v>
      </c>
      <c r="U628" s="863" t="s">
        <v>451</v>
      </c>
    </row>
    <row r="629" ht="13.5" customHeight="1" spans="1:21">
      <c r="A629" s="101"/>
      <c r="B629" s="104"/>
      <c r="C629" s="102" t="str">
        <f>IFERROR(VLOOKUP(B629,'02. MM-KLH'!$B$6:$T$823,2,0),"")</f>
        <v/>
      </c>
      <c r="D629" s="103" t="str">
        <f>IFERROR(VLOOKUP(B629,'02. MM-KLH'!$B$6:$T$823,3,0),"")</f>
        <v/>
      </c>
      <c r="E629" s="102" t="str">
        <f>IFERROR(VLOOKUP(B629,'02. MM-KLH'!$B$6:$T$823,4,0),"")</f>
        <v/>
      </c>
      <c r="F629" s="104"/>
      <c r="G629" s="102" t="str">
        <f>IFERROR(VLOOKUP(B629,'02. MM-KLH'!$B$6:$T$823,6,0),"")</f>
        <v/>
      </c>
      <c r="H629" s="101"/>
      <c r="I629" s="101" t="str">
        <f>IFERROR(VLOOKUP(B629,'02. MM-KLH'!$B$6:$T$823,8,0),"")</f>
        <v/>
      </c>
      <c r="J629" s="105" t="str">
        <f>IFERROR(VLOOKUP(B629,'02. MM-KLH'!$B$6:$T$823,9,0),"")</f>
        <v/>
      </c>
      <c r="K629" s="101" t="str">
        <f>IFERROR(VLOOKUP(B629,'02. MM-KLH'!$B$6:$T$823,10,0),"")</f>
        <v/>
      </c>
      <c r="L629" s="107" t="str">
        <f>IFERROR(VLOOKUP(B629,'02. MM-KLH'!$B$6:$T$823,11,0),"")</f>
        <v/>
      </c>
      <c r="M629" s="864" t="str">
        <f>IFERROR(VLOOKUP(B629,'02. MM-KLH'!$B$6:$T$823,12,0),"")</f>
        <v/>
      </c>
      <c r="N629" s="110" t="str">
        <f>IFERROR(VLOOKUP(B629,'02. MM-KLH'!$B$6:$T$823,13,0),"")</f>
        <v/>
      </c>
      <c r="O629" s="110" t="str">
        <f>IFERROR(VLOOKUP(B629,'02. MM-KLH'!$B$6:$T$823,14,0),"")</f>
        <v/>
      </c>
      <c r="P629" s="101" t="str">
        <f>IFERROR(VLOOKUP(B629,'02. MM-KLH'!$B$6:$T$823,15,0),"")</f>
        <v/>
      </c>
      <c r="Q629" s="101" t="str">
        <f>IFERROR(VLOOKUP(B629,'02. MM-KLH'!$B$6:$T$823,16,0),"")</f>
        <v/>
      </c>
      <c r="R629" s="101" t="str">
        <f>IFERROR(VLOOKUP(B629,'02. MM-KLH'!$B$6:$T$823,17,0),"")</f>
        <v/>
      </c>
      <c r="S629" s="110" t="str">
        <f>IFERROR(VLOOKUP(B629,'02. MM-KLH'!$B$6:$T$823,18,0),"")</f>
        <v/>
      </c>
      <c r="T629" s="111" t="str">
        <f>IFERROR(VLOOKUP(B629,'02. MM-KLH'!$B$6:$T$823,19,0),"")</f>
        <v/>
      </c>
      <c r="U629" s="863"/>
    </row>
    <row r="630" ht="13.5" customHeight="1" spans="1:21">
      <c r="A630" s="847" t="s">
        <v>290</v>
      </c>
      <c r="B630" s="848" t="s">
        <v>3528</v>
      </c>
      <c r="C630" s="849">
        <f>COUNTA(B631:B679)</f>
        <v>49</v>
      </c>
      <c r="D630" s="849" t="str">
        <f>IFERROR(VLOOKUP(B630,'02. MM-KLH'!$B$6:$T$823,3,0),"")</f>
        <v/>
      </c>
      <c r="E630" s="849" t="str">
        <f>IFERROR(VLOOKUP(B630,'02. MM-KLH'!$B$6:$T$823,4,0),"")</f>
        <v/>
      </c>
      <c r="F630" s="849"/>
      <c r="G630" s="849" t="str">
        <f>IFERROR(VLOOKUP(B630,'02. MM-KLH'!$B$6:$T$823,6,0),"")</f>
        <v/>
      </c>
      <c r="H630" s="849"/>
      <c r="I630" s="849" t="str">
        <f>IFERROR(VLOOKUP(B630,'02. MM-KLH'!$B$6:$T$823,8,0),"")</f>
        <v/>
      </c>
      <c r="J630" s="849" t="str">
        <f>IFERROR(VLOOKUP(B630,'02. MM-KLH'!$B$6:$T$823,9,0),"")</f>
        <v/>
      </c>
      <c r="K630" s="849" t="str">
        <f>IFERROR(VLOOKUP(B630,'02. MM-KLH'!$B$6:$T$823,10,0),"")</f>
        <v/>
      </c>
      <c r="L630" s="849" t="str">
        <f>IFERROR(VLOOKUP(B630,'02. MM-KLH'!$B$6:$T$823,11,0),"")</f>
        <v/>
      </c>
      <c r="M630" s="849" t="str">
        <f>IFERROR(VLOOKUP(B630,'02. MM-KLH'!$B$6:$T$823,12,0),"")</f>
        <v/>
      </c>
      <c r="N630" s="849" t="str">
        <f>IFERROR(VLOOKUP(B630,'02. MM-KLH'!$B$6:$T$823,13,0),"")</f>
        <v/>
      </c>
      <c r="O630" s="849" t="str">
        <f>IFERROR(VLOOKUP(B630,'02. MM-KLH'!$B$6:$T$823,14,0),"")</f>
        <v/>
      </c>
      <c r="P630" s="849" t="str">
        <f>IFERROR(VLOOKUP(B630,'02. MM-KLH'!$B$6:$T$823,15,0),"")</f>
        <v/>
      </c>
      <c r="Q630" s="849" t="str">
        <f>IFERROR(VLOOKUP(B630,'02. MM-KLH'!$B$6:$T$823,16,0),"")</f>
        <v/>
      </c>
      <c r="R630" s="849" t="str">
        <f>IFERROR(VLOOKUP(B630,'02. MM-KLH'!$B$6:$T$823,17,0),"")</f>
        <v/>
      </c>
      <c r="S630" s="849" t="str">
        <f>IFERROR(VLOOKUP(B630,'02. MM-KLH'!$B$6:$T$823,18,0),"")</f>
        <v/>
      </c>
      <c r="T630" s="849" t="str">
        <f>IFERROR(VLOOKUP(B630,'02. MM-KLH'!$B$6:$T$823,19,0),"")</f>
        <v/>
      </c>
      <c r="U630" s="849" t="str">
        <f>IFERROR(VLOOKUP(C630,'02. MM-KLH'!$B$6:$T$823,19,0),"")</f>
        <v/>
      </c>
    </row>
    <row r="631" ht="13.5" customHeight="1" spans="1:21">
      <c r="A631" s="103">
        <v>1</v>
      </c>
      <c r="B631" s="104" t="s">
        <v>2426</v>
      </c>
      <c r="C631" s="102" t="str">
        <f>IFERROR(VLOOKUP(B631,'02. MM-KLH'!$B$6:$T$823,2,0),"")</f>
        <v>XD1-RBX-001</v>
      </c>
      <c r="D631" s="103" t="str">
        <f>IFERROR(VLOOKUP(B631,'02. MM-KLH'!$B$6:$T$823,3,0),"")</f>
        <v>A24-CT-0171</v>
      </c>
      <c r="E631" s="102">
        <f>IFERROR(VLOOKUP(B631,'02. MM-KLH'!$B$6:$T$823,4,0),"")</f>
        <v>0</v>
      </c>
      <c r="F631" s="104"/>
      <c r="G631" s="102" t="str">
        <f>IFERROR(VLOOKUP(B631,'02. MM-KLH'!$B$6:$T$823,6,0),"")</f>
        <v>Xe rùa bánh xích HỒNG HÀ</v>
      </c>
      <c r="H631" s="101" t="s">
        <v>3529</v>
      </c>
      <c r="I631" s="101" t="str">
        <f>IFERROR(VLOOKUP(B631,'02. MM-KLH'!$B$6:$T$823,8,0),"")</f>
        <v>XN Bò AD</v>
      </c>
      <c r="J631" s="105">
        <f>IFERROR(VLOOKUP(B631,'02. MM-KLH'!$B$6:$T$823,9,0),"")</f>
        <v>45454</v>
      </c>
      <c r="K631" s="101" t="str">
        <f>IFERROR(VLOOKUP(B631,'02. MM-KLH'!$B$6:$T$823,10,0),"")</f>
        <v>Bình thường</v>
      </c>
      <c r="L631" s="107">
        <f>IFERROR(VLOOKUP(B631,'02. MM-KLH'!$B$6:$T$823,11,0),"")</f>
        <v>0</v>
      </c>
      <c r="M631" s="864" t="str">
        <f>IFERROR(VLOOKUP(B631,'02. MM-KLH'!$B$6:$T$823,12,0),"")</f>
        <v>Đang hư hỏng nằm ở TTBTSC (CHƯA NHẬN)</v>
      </c>
      <c r="N631" s="110" t="str">
        <f>IFERROR(VLOOKUP(B631,'02. MM-KLH'!$B$6:$T$823,13,0),"")</f>
        <v>HỒNG HÀ</v>
      </c>
      <c r="O631" s="110" t="str">
        <f>IFERROR(VLOOKUP(B631,'02. MM-KLH'!$B$6:$T$823,14,0),"")</f>
        <v>VIỆT NAM</v>
      </c>
      <c r="P631" s="101">
        <f>IFERROR(VLOOKUP(B631,'02. MM-KLH'!$B$6:$T$823,15,0),"")</f>
        <v>2024</v>
      </c>
      <c r="Q631" s="101" t="str">
        <f>IFERROR(VLOOKUP(B631,'02. MM-KLH'!$B$6:$T$823,16,0),"")</f>
        <v>4L6819010</v>
      </c>
      <c r="R631" s="101" t="str">
        <f>IFERROR(VLOOKUP(B631,'02. MM-KLH'!$B$6:$T$823,17,0),"")</f>
        <v>87HP</v>
      </c>
      <c r="S631" s="110" t="str">
        <f>IFERROR(VLOOKUP(B631,'02. MM-KLH'!$B$6:$T$823,18,0),"")</f>
        <v>RYTJU32C2NA178540</v>
      </c>
      <c r="T631" s="111">
        <f>IFERROR(VLOOKUP(B631,'02. MM-KLH'!$B$6:$T$823,19,0),"")</f>
        <v>410203</v>
      </c>
      <c r="U631" s="863" t="s">
        <v>3274</v>
      </c>
    </row>
    <row r="632" ht="13.5" customHeight="1" spans="1:21">
      <c r="A632" s="103">
        <f t="shared" ref="A632:A679" si="30">1+A631</f>
        <v>2</v>
      </c>
      <c r="B632" s="104" t="s">
        <v>1711</v>
      </c>
      <c r="C632" s="102">
        <f>IFERROR(VLOOKUP(B632,'02. MM-KLH'!$B$6:$T$823,2,0),"")</f>
        <v>0</v>
      </c>
      <c r="D632" s="103" t="str">
        <f>IFERROR(VLOOKUP(B632,'02. MM-KLH'!$B$6:$T$823,3,0),"")</f>
        <v>ATM-A23-0128</v>
      </c>
      <c r="E632" s="102">
        <f>IFERROR(VLOOKUP(B632,'02. MM-KLH'!$B$6:$T$823,4,0),"")</f>
        <v>0</v>
      </c>
      <c r="F632" s="883"/>
      <c r="G632" s="102" t="str">
        <f>IFERROR(VLOOKUP(B632,'02. MM-KLH'!$B$6:$T$823,6,0),"")</f>
        <v>Xe rùa bánh xích HỒNG HÀ</v>
      </c>
      <c r="H632" s="101" t="s">
        <v>3529</v>
      </c>
      <c r="I632" s="101" t="str">
        <f>IFERROR(VLOOKUP(B632,'02. MM-KLH'!$B$6:$T$823,8,0),"")</f>
        <v>XN Chuối LP3</v>
      </c>
      <c r="J632" s="105">
        <f>IFERROR(VLOOKUP(B632,'02. MM-KLH'!$B$6:$T$823,9,0),"")</f>
        <v>45577</v>
      </c>
      <c r="K632" s="101" t="str">
        <f>IFERROR(VLOOKUP(B632,'02. MM-KLH'!$B$6:$T$823,10,0),"")</f>
        <v>Bình thường</v>
      </c>
      <c r="L632" s="107">
        <f>IFERROR(VLOOKUP(B632,'02. MM-KLH'!$B$6:$T$823,11,0),"")</f>
        <v>0</v>
      </c>
      <c r="M632" s="864" t="str">
        <f>IFERROR(VLOOKUP(B632,'02. MM-KLH'!$B$6:$T$823,12,0),"")</f>
        <v>Đầu tư mới</v>
      </c>
      <c r="N632" s="110" t="str">
        <f>IFERROR(VLOOKUP(B632,'02. MM-KLH'!$B$6:$T$823,13,0),"")</f>
        <v>HỒNG HÀ</v>
      </c>
      <c r="O632" s="110" t="str">
        <f>IFERROR(VLOOKUP(B632,'02. MM-KLH'!$B$6:$T$823,14,0),"")</f>
        <v>VIỆT NAM</v>
      </c>
      <c r="P632" s="101">
        <f>IFERROR(VLOOKUP(B632,'02. MM-KLH'!$B$6:$T$823,15,0),"")</f>
        <v>2024</v>
      </c>
      <c r="Q632" s="101" t="str">
        <f>IFERROR(VLOOKUP(B632,'02. MM-KLH'!$B$6:$T$823,16,0),"")</f>
        <v>4L6819010 (động cơ diesel)</v>
      </c>
      <c r="R632" s="101" t="str">
        <f>IFERROR(VLOOKUP(B632,'02. MM-KLH'!$B$6:$T$823,17,0),"")</f>
        <v>67HP</v>
      </c>
      <c r="S632" s="110" t="str">
        <f>IFERROR(VLOOKUP(B632,'02. MM-KLH'!$B$6:$T$823,18,0),"")</f>
        <v>TCYUN54A1JR278360</v>
      </c>
      <c r="T632" s="111" t="str">
        <f>IFERROR(VLOOKUP(B632,'02. MM-KLH'!$B$6:$T$823,19,0),"")</f>
        <v>C43101509A</v>
      </c>
      <c r="U632" s="863" t="s">
        <v>3274</v>
      </c>
    </row>
    <row r="633" ht="13.5" customHeight="1" spans="1:21">
      <c r="A633" s="103">
        <f t="shared" si="30"/>
        <v>3</v>
      </c>
      <c r="B633" s="104" t="s">
        <v>2432</v>
      </c>
      <c r="C633" s="102">
        <f>IFERROR(VLOOKUP(B633,'02. MM-KLH'!$B$6:$T$823,2,0),"")</f>
        <v>0</v>
      </c>
      <c r="D633" s="103">
        <f>IFERROR(VLOOKUP(B633,'02. MM-KLH'!$B$6:$T$823,3,0),"")</f>
        <v>0</v>
      </c>
      <c r="E633" s="102">
        <f>IFERROR(VLOOKUP(B633,'02. MM-KLH'!$B$6:$T$823,4,0),"")</f>
        <v>0</v>
      </c>
      <c r="F633" s="104"/>
      <c r="G633" s="102" t="str">
        <f>IFERROR(VLOOKUP(B633,'02. MM-KLH'!$B$6:$T$823,6,0),"")</f>
        <v>Xe rùa bánh xích HỒNG HÀ</v>
      </c>
      <c r="H633" s="101" t="s">
        <v>3529</v>
      </c>
      <c r="I633" s="101" t="str">
        <f>IFERROR(VLOOKUP(B633,'02. MM-KLH'!$B$6:$T$823,8,0),"")</f>
        <v>XN Bò AD</v>
      </c>
      <c r="J633" s="105">
        <f>IFERROR(VLOOKUP(B633,'02. MM-KLH'!$B$6:$T$823,9,0),"")</f>
        <v>0</v>
      </c>
      <c r="K633" s="101" t="str">
        <f>IFERROR(VLOOKUP(B633,'02. MM-KLH'!$B$6:$T$823,10,0),"")</f>
        <v>Bình thường</v>
      </c>
      <c r="L633" s="107">
        <f>IFERROR(VLOOKUP(B633,'02. MM-KLH'!$B$6:$T$823,11,0),"")</f>
        <v>0</v>
      </c>
      <c r="M633" s="864" t="str">
        <f>IFERROR(VLOOKUP(B633,'02. MM-KLH'!$B$6:$T$823,12,0),"")</f>
        <v>Đang hư hỏng nằm ở TTBTSC (CHƯA NHẬN)</v>
      </c>
      <c r="N633" s="110" t="str">
        <f>IFERROR(VLOOKUP(B633,'02. MM-KLH'!$B$6:$T$823,13,0),"")</f>
        <v>HỒNG HÀ</v>
      </c>
      <c r="O633" s="110" t="str">
        <f>IFERROR(VLOOKUP(B633,'02. MM-KLH'!$B$6:$T$823,14,0),"")</f>
        <v>VIỆT NAM</v>
      </c>
      <c r="P633" s="101">
        <f>IFERROR(VLOOKUP(B633,'02. MM-KLH'!$B$6:$T$823,15,0),"")</f>
        <v>2024</v>
      </c>
      <c r="Q633" s="101" t="str">
        <f>IFERROR(VLOOKUP(B633,'02. MM-KLH'!$B$6:$T$823,16,0),"")</f>
        <v>4L6819010 (động cơ diesel)</v>
      </c>
      <c r="R633" s="101" t="str">
        <f>IFERROR(VLOOKUP(B633,'02. MM-KLH'!$B$6:$T$823,17,0),"")</f>
        <v>67HP</v>
      </c>
      <c r="S633" s="110" t="str">
        <f>IFERROR(VLOOKUP(B633,'02. MM-KLH'!$B$6:$T$823,18,0),"")</f>
        <v>Không có</v>
      </c>
      <c r="T633" s="111" t="str">
        <f>IFERROR(VLOOKUP(B633,'02. MM-KLH'!$B$6:$T$823,19,0),"")</f>
        <v>C43101511A</v>
      </c>
      <c r="U633" s="863" t="s">
        <v>3274</v>
      </c>
    </row>
    <row r="634" ht="13.5" customHeight="1" spans="1:21">
      <c r="A634" s="103">
        <f t="shared" si="30"/>
        <v>4</v>
      </c>
      <c r="B634" s="104" t="s">
        <v>2440</v>
      </c>
      <c r="C634" s="102">
        <f>IFERROR(VLOOKUP(B634,'02. MM-KLH'!$B$6:$T$823,2,0),"")</f>
        <v>0</v>
      </c>
      <c r="D634" s="103" t="str">
        <f>IFERROR(VLOOKUP(B634,'02. MM-KLH'!$B$6:$T$823,3,0),"")</f>
        <v>A22-RBX-004</v>
      </c>
      <c r="E634" s="102">
        <f>IFERROR(VLOOKUP(B634,'02. MM-KLH'!$B$6:$T$823,4,0),"")</f>
        <v>0</v>
      </c>
      <c r="F634" s="104"/>
      <c r="G634" s="102" t="str">
        <f>IFERROR(VLOOKUP(B634,'02. MM-KLH'!$B$6:$T$823,6,0),"")</f>
        <v>Xe rùa bánh xích MST2000</v>
      </c>
      <c r="H634" s="101" t="s">
        <v>3529</v>
      </c>
      <c r="I634" s="101" t="str">
        <f>IFERROR(VLOOKUP(B634,'02. MM-KLH'!$B$6:$T$823,8,0),"")</f>
        <v>XN Bò AD</v>
      </c>
      <c r="J634" s="105">
        <f>IFERROR(VLOOKUP(B634,'02. MM-KLH'!$B$6:$T$823,9,0),"")</f>
        <v>45785</v>
      </c>
      <c r="K634" s="101" t="str">
        <f>IFERROR(VLOOKUP(B634,'02. MM-KLH'!$B$6:$T$823,10,0),"")</f>
        <v>Bình thường</v>
      </c>
      <c r="L634" s="107">
        <f>IFERROR(VLOOKUP(B634,'02. MM-KLH'!$B$6:$T$823,11,0),"")</f>
        <v>0</v>
      </c>
      <c r="M634" s="864" t="str">
        <f>IFERROR(VLOOKUP(B634,'02. MM-KLH'!$B$6:$T$823,12,0),"")</f>
        <v>-</v>
      </c>
      <c r="N634" s="110" t="str">
        <f>IFERROR(VLOOKUP(B634,'02. MM-KLH'!$B$6:$T$823,13,0),"")</f>
        <v>MOROOKA</v>
      </c>
      <c r="O634" s="110">
        <f>IFERROR(VLOOKUP(B634,'02. MM-KLH'!$B$6:$T$823,14,0),"")</f>
        <v>0</v>
      </c>
      <c r="P634" s="101">
        <f>IFERROR(VLOOKUP(B634,'02. MM-KLH'!$B$6:$T$823,15,0),"")</f>
        <v>0</v>
      </c>
      <c r="Q634" s="101" t="str">
        <f>IFERROR(VLOOKUP(B634,'02. MM-KLH'!$B$6:$T$823,16,0),"")</f>
        <v>MST2000</v>
      </c>
      <c r="R634" s="101" t="str">
        <f>IFERROR(VLOOKUP(B634,'02. MM-KLH'!$B$6:$T$823,17,0),"")</f>
        <v>236HP</v>
      </c>
      <c r="S634" s="110">
        <f>IFERROR(VLOOKUP(B634,'02. MM-KLH'!$B$6:$T$823,18,0),"")</f>
        <v>20265</v>
      </c>
      <c r="T634" s="111" t="str">
        <f>IFERROR(VLOOKUP(B634,'02. MM-KLH'!$B$6:$T$823,19,0),"")</f>
        <v>6D110160178</v>
      </c>
      <c r="U634" s="863" t="s">
        <v>3274</v>
      </c>
    </row>
    <row r="635" ht="13.5" customHeight="1" spans="1:21">
      <c r="A635" s="103">
        <f t="shared" si="30"/>
        <v>5</v>
      </c>
      <c r="B635" s="104" t="s">
        <v>2444</v>
      </c>
      <c r="C635" s="102">
        <f>IFERROR(VLOOKUP(B635,'02. MM-KLH'!$B$6:$T$823,2,0),"")</f>
        <v>0</v>
      </c>
      <c r="D635" s="103" t="str">
        <f>IFERROR(VLOOKUP(B635,'02. MM-KLH'!$B$6:$T$823,3,0),"")</f>
        <v>A22-RBX-005</v>
      </c>
      <c r="E635" s="102">
        <f>IFERROR(VLOOKUP(B635,'02. MM-KLH'!$B$6:$T$823,4,0),"")</f>
        <v>0</v>
      </c>
      <c r="F635" s="104"/>
      <c r="G635" s="102" t="str">
        <f>IFERROR(VLOOKUP(B635,'02. MM-KLH'!$B$6:$T$823,6,0),"")</f>
        <v>Xe rùa bánh xích MST700E</v>
      </c>
      <c r="H635" s="101" t="s">
        <v>3529</v>
      </c>
      <c r="I635" s="101" t="str">
        <f>IFERROR(VLOOKUP(B635,'02. MM-KLH'!$B$6:$T$823,8,0),"")</f>
        <v>XN Bò AD</v>
      </c>
      <c r="J635" s="105">
        <f>IFERROR(VLOOKUP(B635,'02. MM-KLH'!$B$6:$T$823,9,0),"")</f>
        <v>45785</v>
      </c>
      <c r="K635" s="101" t="str">
        <f>IFERROR(VLOOKUP(B635,'02. MM-KLH'!$B$6:$T$823,10,0),"")</f>
        <v>Bình thường</v>
      </c>
      <c r="L635" s="107">
        <f>IFERROR(VLOOKUP(B635,'02. MM-KLH'!$B$6:$T$823,11,0),"")</f>
        <v>0</v>
      </c>
      <c r="M635" s="864" t="str">
        <f>IFERROR(VLOOKUP(B635,'02. MM-KLH'!$B$6:$T$823,12,0),"")</f>
        <v>-</v>
      </c>
      <c r="N635" s="110" t="str">
        <f>IFERROR(VLOOKUP(B635,'02. MM-KLH'!$B$6:$T$823,13,0),"")</f>
        <v>MOROOKA</v>
      </c>
      <c r="O635" s="110">
        <f>IFERROR(VLOOKUP(B635,'02. MM-KLH'!$B$6:$T$823,14,0),"")</f>
        <v>0</v>
      </c>
      <c r="P635" s="101">
        <f>IFERROR(VLOOKUP(B635,'02. MM-KLH'!$B$6:$T$823,15,0),"")</f>
        <v>1988</v>
      </c>
      <c r="Q635" s="101" t="str">
        <f>IFERROR(VLOOKUP(B635,'02. MM-KLH'!$B$6:$T$823,16,0),"")</f>
        <v>MST700E</v>
      </c>
      <c r="R635" s="101" t="str">
        <f>IFERROR(VLOOKUP(B635,'02. MM-KLH'!$B$6:$T$823,17,0),"")</f>
        <v>90HP</v>
      </c>
      <c r="S635" s="110">
        <f>IFERROR(VLOOKUP(B635,'02. MM-KLH'!$B$6:$T$823,18,0),"")</f>
        <v>701114</v>
      </c>
      <c r="T635" s="111" t="str">
        <f>IFERROR(VLOOKUP(B635,'02. MM-KLH'!$B$6:$T$823,19,0),"")</f>
        <v>4D95L177865</v>
      </c>
      <c r="U635" s="863" t="s">
        <v>3274</v>
      </c>
    </row>
    <row r="636" ht="13.5" customHeight="1" spans="1:21">
      <c r="A636" s="103">
        <f t="shared" si="30"/>
        <v>6</v>
      </c>
      <c r="B636" s="104" t="s">
        <v>2448</v>
      </c>
      <c r="C636" s="102">
        <f>IFERROR(VLOOKUP(B636,'02. MM-KLH'!$B$6:$T$823,2,0),"")</f>
        <v>0</v>
      </c>
      <c r="D636" s="103" t="str">
        <f>IFERROR(VLOOKUP(B636,'02. MM-KLH'!$B$6:$T$823,3,0),"")</f>
        <v>A22-CRZ-001</v>
      </c>
      <c r="E636" s="102">
        <f>IFERROR(VLOOKUP(B636,'02. MM-KLH'!$B$6:$T$823,4,0),"")</f>
        <v>0</v>
      </c>
      <c r="F636" s="104"/>
      <c r="G636" s="102" t="str">
        <f>IFERROR(VLOOKUP(B636,'02. MM-KLH'!$B$6:$T$823,6,0),"")</f>
        <v>Máy thu hoạch cỏ Ruzi</v>
      </c>
      <c r="H636" s="101" t="s">
        <v>3529</v>
      </c>
      <c r="I636" s="101" t="str">
        <f>IFERROR(VLOOKUP(B636,'02. MM-KLH'!$B$6:$T$823,8,0),"")</f>
        <v>XN Bò AD</v>
      </c>
      <c r="J636" s="105">
        <f>IFERROR(VLOOKUP(B636,'02. MM-KLH'!$B$6:$T$823,9,0),"")</f>
        <v>45669</v>
      </c>
      <c r="K636" s="101" t="str">
        <f>IFERROR(VLOOKUP(B636,'02. MM-KLH'!$B$6:$T$823,10,0),"")</f>
        <v>Bình thường</v>
      </c>
      <c r="L636" s="107">
        <f>IFERROR(VLOOKUP(B636,'02. MM-KLH'!$B$6:$T$823,11,0),"")</f>
        <v>0</v>
      </c>
      <c r="M636" s="864" t="str">
        <f>IFERROR(VLOOKUP(B636,'02. MM-KLH'!$B$6:$T$823,12,0),"")</f>
        <v>Đầu tư mới</v>
      </c>
      <c r="N636" s="110" t="str">
        <f>IFERROR(VLOOKUP(B636,'02. MM-KLH'!$B$6:$T$823,13,0),"")</f>
        <v>HONDA</v>
      </c>
      <c r="O636" s="110" t="str">
        <f>IFERROR(VLOOKUP(B636,'02. MM-KLH'!$B$6:$T$823,14,0),"")</f>
        <v>THÁI LAN</v>
      </c>
      <c r="P636" s="101">
        <f>IFERROR(VLOOKUP(B636,'02. MM-KLH'!$B$6:$T$823,15,0),"")</f>
        <v>2025</v>
      </c>
      <c r="Q636" s="101" t="str">
        <f>IFERROR(VLOOKUP(B636,'02. MM-KLH'!$B$6:$T$823,16,0),"")</f>
        <v>GX35T</v>
      </c>
      <c r="R636" s="101" t="str">
        <f>IFERROR(VLOOKUP(B636,'02. MM-KLH'!$B$6:$T$823,17,0),"")</f>
        <v>1.34HP</v>
      </c>
      <c r="S636" s="110" t="str">
        <f>IFERROR(VLOOKUP(B636,'02. MM-KLH'!$B$6:$T$823,18,0),"")</f>
        <v>CCN</v>
      </c>
      <c r="T636" s="111" t="str">
        <f>IFERROR(VLOOKUP(B636,'02. MM-KLH'!$B$6:$T$823,19,0),"")</f>
        <v>CCN</v>
      </c>
      <c r="U636" s="863" t="s">
        <v>3343</v>
      </c>
    </row>
    <row r="637" ht="13.5" customHeight="1" spans="1:21">
      <c r="A637" s="103">
        <f t="shared" si="30"/>
        <v>7</v>
      </c>
      <c r="B637" s="104" t="s">
        <v>2453</v>
      </c>
      <c r="C637" s="102">
        <f>IFERROR(VLOOKUP(B637,'02. MM-KLH'!$B$6:$T$823,2,0),"")</f>
        <v>0</v>
      </c>
      <c r="D637" s="103" t="str">
        <f>IFERROR(VLOOKUP(B637,'02. MM-KLH'!$B$6:$T$823,3,0),"")</f>
        <v>A22-CRZ-001</v>
      </c>
      <c r="E637" s="102">
        <f>IFERROR(VLOOKUP(B637,'02. MM-KLH'!$B$6:$T$823,4,0),"")</f>
        <v>0</v>
      </c>
      <c r="F637" s="104"/>
      <c r="G637" s="102" t="str">
        <f>IFERROR(VLOOKUP(B637,'02. MM-KLH'!$B$6:$T$823,6,0),"")</f>
        <v>Máy thu hoạch cỏ Ruzi</v>
      </c>
      <c r="H637" s="101" t="s">
        <v>3529</v>
      </c>
      <c r="I637" s="101" t="str">
        <f>IFERROR(VLOOKUP(B637,'02. MM-KLH'!$B$6:$T$823,8,0),"")</f>
        <v>XN Bò AD</v>
      </c>
      <c r="J637" s="105">
        <f>IFERROR(VLOOKUP(B637,'02. MM-KLH'!$B$6:$T$823,9,0),"")</f>
        <v>45669</v>
      </c>
      <c r="K637" s="101" t="str">
        <f>IFERROR(VLOOKUP(B637,'02. MM-KLH'!$B$6:$T$823,10,0),"")</f>
        <v>Bình thường</v>
      </c>
      <c r="L637" s="107">
        <f>IFERROR(VLOOKUP(B637,'02. MM-KLH'!$B$6:$T$823,11,0),"")</f>
        <v>0</v>
      </c>
      <c r="M637" s="864" t="str">
        <f>IFERROR(VLOOKUP(B637,'02. MM-KLH'!$B$6:$T$823,12,0),"")</f>
        <v>Đầu tư mới</v>
      </c>
      <c r="N637" s="110" t="str">
        <f>IFERROR(VLOOKUP(B637,'02. MM-KLH'!$B$6:$T$823,13,0),"")</f>
        <v>HONDA</v>
      </c>
      <c r="O637" s="110" t="str">
        <f>IFERROR(VLOOKUP(B637,'02. MM-KLH'!$B$6:$T$823,14,0),"")</f>
        <v>THÁI LAN</v>
      </c>
      <c r="P637" s="101">
        <f>IFERROR(VLOOKUP(B637,'02. MM-KLH'!$B$6:$T$823,15,0),"")</f>
        <v>2025</v>
      </c>
      <c r="Q637" s="101" t="str">
        <f>IFERROR(VLOOKUP(B637,'02. MM-KLH'!$B$6:$T$823,16,0),"")</f>
        <v>GX35T</v>
      </c>
      <c r="R637" s="101" t="str">
        <f>IFERROR(VLOOKUP(B637,'02. MM-KLH'!$B$6:$T$823,17,0),"")</f>
        <v>1.34HP</v>
      </c>
      <c r="S637" s="110" t="str">
        <f>IFERROR(VLOOKUP(B637,'02. MM-KLH'!$B$6:$T$823,18,0),"")</f>
        <v>CCN</v>
      </c>
      <c r="T637" s="111" t="str">
        <f>IFERROR(VLOOKUP(B637,'02. MM-KLH'!$B$6:$T$823,19,0),"")</f>
        <v>CCN</v>
      </c>
      <c r="U637" s="863" t="s">
        <v>3343</v>
      </c>
    </row>
    <row r="638" ht="13.5" customHeight="1" spans="1:21">
      <c r="A638" s="103">
        <f t="shared" si="30"/>
        <v>8</v>
      </c>
      <c r="B638" s="104" t="s">
        <v>2454</v>
      </c>
      <c r="C638" s="102">
        <f>IFERROR(VLOOKUP(B638,'02. MM-KLH'!$B$6:$T$823,2,0),"")</f>
        <v>0</v>
      </c>
      <c r="D638" s="103" t="str">
        <f>IFERROR(VLOOKUP(B638,'02. MM-KLH'!$B$6:$T$823,3,0),"")</f>
        <v>A22-CRZ-001</v>
      </c>
      <c r="E638" s="102">
        <f>IFERROR(VLOOKUP(B638,'02. MM-KLH'!$B$6:$T$823,4,0),"")</f>
        <v>0</v>
      </c>
      <c r="F638" s="104"/>
      <c r="G638" s="102" t="str">
        <f>IFERROR(VLOOKUP(B638,'02. MM-KLH'!$B$6:$T$823,6,0),"")</f>
        <v>Máy thu hoạch cỏ Ruzi</v>
      </c>
      <c r="H638" s="101" t="s">
        <v>3529</v>
      </c>
      <c r="I638" s="101" t="str">
        <f>IFERROR(VLOOKUP(B638,'02. MM-KLH'!$B$6:$T$823,8,0),"")</f>
        <v>XN Bò AD</v>
      </c>
      <c r="J638" s="105">
        <f>IFERROR(VLOOKUP(B638,'02. MM-KLH'!$B$6:$T$823,9,0),"")</f>
        <v>45669</v>
      </c>
      <c r="K638" s="101" t="str">
        <f>IFERROR(VLOOKUP(B638,'02. MM-KLH'!$B$6:$T$823,10,0),"")</f>
        <v>Bình thường</v>
      </c>
      <c r="L638" s="107">
        <f>IFERROR(VLOOKUP(B638,'02. MM-KLH'!$B$6:$T$823,11,0),"")</f>
        <v>0</v>
      </c>
      <c r="M638" s="864" t="str">
        <f>IFERROR(VLOOKUP(B638,'02. MM-KLH'!$B$6:$T$823,12,0),"")</f>
        <v>Đầu tư mới</v>
      </c>
      <c r="N638" s="110" t="str">
        <f>IFERROR(VLOOKUP(B638,'02. MM-KLH'!$B$6:$T$823,13,0),"")</f>
        <v>HONDA</v>
      </c>
      <c r="O638" s="110" t="str">
        <f>IFERROR(VLOOKUP(B638,'02. MM-KLH'!$B$6:$T$823,14,0),"")</f>
        <v>THÁI LAN</v>
      </c>
      <c r="P638" s="101">
        <f>IFERROR(VLOOKUP(B638,'02. MM-KLH'!$B$6:$T$823,15,0),"")</f>
        <v>2025</v>
      </c>
      <c r="Q638" s="101" t="str">
        <f>IFERROR(VLOOKUP(B638,'02. MM-KLH'!$B$6:$T$823,16,0),"")</f>
        <v>GX35T</v>
      </c>
      <c r="R638" s="101" t="str">
        <f>IFERROR(VLOOKUP(B638,'02. MM-KLH'!$B$6:$T$823,17,0),"")</f>
        <v>1.34HP</v>
      </c>
      <c r="S638" s="110" t="str">
        <f>IFERROR(VLOOKUP(B638,'02. MM-KLH'!$B$6:$T$823,18,0),"")</f>
        <v>CCN</v>
      </c>
      <c r="T638" s="111" t="str">
        <f>IFERROR(VLOOKUP(B638,'02. MM-KLH'!$B$6:$T$823,19,0),"")</f>
        <v>CCN</v>
      </c>
      <c r="U638" s="863" t="s">
        <v>3343</v>
      </c>
    </row>
    <row r="639" ht="13.5" customHeight="1" spans="1:21">
      <c r="A639" s="103">
        <f t="shared" si="30"/>
        <v>9</v>
      </c>
      <c r="B639" s="104" t="s">
        <v>2455</v>
      </c>
      <c r="C639" s="102">
        <f>IFERROR(VLOOKUP(B639,'02. MM-KLH'!$B$6:$T$823,2,0),"")</f>
        <v>0</v>
      </c>
      <c r="D639" s="103" t="str">
        <f>IFERROR(VLOOKUP(B639,'02. MM-KLH'!$B$6:$T$823,3,0),"")</f>
        <v>A22-CRZ-001</v>
      </c>
      <c r="E639" s="102">
        <f>IFERROR(VLOOKUP(B639,'02. MM-KLH'!$B$6:$T$823,4,0),"")</f>
        <v>0</v>
      </c>
      <c r="F639" s="104"/>
      <c r="G639" s="102" t="str">
        <f>IFERROR(VLOOKUP(B639,'02. MM-KLH'!$B$6:$T$823,6,0),"")</f>
        <v>Máy thu hoạch cỏ Ruzi</v>
      </c>
      <c r="H639" s="101" t="s">
        <v>3529</v>
      </c>
      <c r="I639" s="101" t="str">
        <f>IFERROR(VLOOKUP(B639,'02. MM-KLH'!$B$6:$T$823,8,0),"")</f>
        <v>XN Bò AD</v>
      </c>
      <c r="J639" s="105">
        <f>IFERROR(VLOOKUP(B639,'02. MM-KLH'!$B$6:$T$823,9,0),"")</f>
        <v>45669</v>
      </c>
      <c r="K639" s="101" t="str">
        <f>IFERROR(VLOOKUP(B639,'02. MM-KLH'!$B$6:$T$823,10,0),"")</f>
        <v>Bình thường</v>
      </c>
      <c r="L639" s="107">
        <f>IFERROR(VLOOKUP(B639,'02. MM-KLH'!$B$6:$T$823,11,0),"")</f>
        <v>0</v>
      </c>
      <c r="M639" s="864" t="str">
        <f>IFERROR(VLOOKUP(B639,'02. MM-KLH'!$B$6:$T$823,12,0),"")</f>
        <v>Đầu tư mới</v>
      </c>
      <c r="N639" s="110" t="str">
        <f>IFERROR(VLOOKUP(B639,'02. MM-KLH'!$B$6:$T$823,13,0),"")</f>
        <v>HONDA</v>
      </c>
      <c r="O639" s="110" t="str">
        <f>IFERROR(VLOOKUP(B639,'02. MM-KLH'!$B$6:$T$823,14,0),"")</f>
        <v>THÁI LAN</v>
      </c>
      <c r="P639" s="101">
        <f>IFERROR(VLOOKUP(B639,'02. MM-KLH'!$B$6:$T$823,15,0),"")</f>
        <v>2025</v>
      </c>
      <c r="Q639" s="101" t="str">
        <f>IFERROR(VLOOKUP(B639,'02. MM-KLH'!$B$6:$T$823,16,0),"")</f>
        <v>GX35T</v>
      </c>
      <c r="R639" s="101" t="str">
        <f>IFERROR(VLOOKUP(B639,'02. MM-KLH'!$B$6:$T$823,17,0),"")</f>
        <v>1.34HP</v>
      </c>
      <c r="S639" s="110" t="str">
        <f>IFERROR(VLOOKUP(B639,'02. MM-KLH'!$B$6:$T$823,18,0),"")</f>
        <v>CCN</v>
      </c>
      <c r="T639" s="111" t="str">
        <f>IFERROR(VLOOKUP(B639,'02. MM-KLH'!$B$6:$T$823,19,0),"")</f>
        <v>CCN</v>
      </c>
      <c r="U639" s="863" t="s">
        <v>3343</v>
      </c>
    </row>
    <row r="640" ht="13.5" customHeight="1" spans="1:21">
      <c r="A640" s="103">
        <f t="shared" si="30"/>
        <v>10</v>
      </c>
      <c r="B640" s="104" t="s">
        <v>2456</v>
      </c>
      <c r="C640" s="102">
        <f>IFERROR(VLOOKUP(B640,'02. MM-KLH'!$B$6:$T$823,2,0),"")</f>
        <v>0</v>
      </c>
      <c r="D640" s="103" t="str">
        <f>IFERROR(VLOOKUP(B640,'02. MM-KLH'!$B$6:$T$823,3,0),"")</f>
        <v>A22-CRZ-001</v>
      </c>
      <c r="E640" s="102">
        <f>IFERROR(VLOOKUP(B640,'02. MM-KLH'!$B$6:$T$823,4,0),"")</f>
        <v>0</v>
      </c>
      <c r="F640" s="104"/>
      <c r="G640" s="102" t="str">
        <f>IFERROR(VLOOKUP(B640,'02. MM-KLH'!$B$6:$T$823,6,0),"")</f>
        <v>Máy thu hoạch cỏ Ruzi</v>
      </c>
      <c r="H640" s="101" t="s">
        <v>3529</v>
      </c>
      <c r="I640" s="101" t="str">
        <f>IFERROR(VLOOKUP(B640,'02. MM-KLH'!$B$6:$T$823,8,0),"")</f>
        <v>XN Bò AD</v>
      </c>
      <c r="J640" s="105">
        <f>IFERROR(VLOOKUP(B640,'02. MM-KLH'!$B$6:$T$823,9,0),"")</f>
        <v>45669</v>
      </c>
      <c r="K640" s="101" t="str">
        <f>IFERROR(VLOOKUP(B640,'02. MM-KLH'!$B$6:$T$823,10,0),"")</f>
        <v>Bình thường</v>
      </c>
      <c r="L640" s="107">
        <f>IFERROR(VLOOKUP(B640,'02. MM-KLH'!$B$6:$T$823,11,0),"")</f>
        <v>0</v>
      </c>
      <c r="M640" s="864" t="str">
        <f>IFERROR(VLOOKUP(B640,'02. MM-KLH'!$B$6:$T$823,12,0),"")</f>
        <v>Đầu tư mới</v>
      </c>
      <c r="N640" s="110" t="str">
        <f>IFERROR(VLOOKUP(B640,'02. MM-KLH'!$B$6:$T$823,13,0),"")</f>
        <v>HONDA</v>
      </c>
      <c r="O640" s="110" t="str">
        <f>IFERROR(VLOOKUP(B640,'02. MM-KLH'!$B$6:$T$823,14,0),"")</f>
        <v>THÁI LAN</v>
      </c>
      <c r="P640" s="101">
        <f>IFERROR(VLOOKUP(B640,'02. MM-KLH'!$B$6:$T$823,15,0),"")</f>
        <v>2025</v>
      </c>
      <c r="Q640" s="101" t="str">
        <f>IFERROR(VLOOKUP(B640,'02. MM-KLH'!$B$6:$T$823,16,0),"")</f>
        <v>GX35T</v>
      </c>
      <c r="R640" s="101" t="str">
        <f>IFERROR(VLOOKUP(B640,'02. MM-KLH'!$B$6:$T$823,17,0),"")</f>
        <v>1.34HP</v>
      </c>
      <c r="S640" s="110" t="str">
        <f>IFERROR(VLOOKUP(B640,'02. MM-KLH'!$B$6:$T$823,18,0),"")</f>
        <v>CCN</v>
      </c>
      <c r="T640" s="111" t="str">
        <f>IFERROR(VLOOKUP(B640,'02. MM-KLH'!$B$6:$T$823,19,0),"")</f>
        <v>CCN</v>
      </c>
      <c r="U640" s="863" t="s">
        <v>3343</v>
      </c>
    </row>
    <row r="641" ht="13.5" customHeight="1" spans="1:21">
      <c r="A641" s="103">
        <f t="shared" si="30"/>
        <v>11</v>
      </c>
      <c r="B641" s="104" t="s">
        <v>1212</v>
      </c>
      <c r="C641" s="102">
        <f>IFERROR(VLOOKUP(B641,'02. MM-KLH'!$B$6:$T$823,2,0),"")</f>
        <v>0</v>
      </c>
      <c r="D641" s="103" t="str">
        <f>IFERROR(VLOOKUP(B641,'02. MM-KLH'!$B$6:$T$823,3,0),"")</f>
        <v>A23-CCM-001</v>
      </c>
      <c r="E641" s="102">
        <f>IFERROR(VLOOKUP(B641,'02. MM-KLH'!$B$6:$T$823,4,0),"")</f>
        <v>0</v>
      </c>
      <c r="F641" s="104"/>
      <c r="G641" s="102" t="str">
        <f>IFERROR(VLOOKUP(B641,'02. MM-KLH'!$B$6:$T$823,6,0),"")</f>
        <v>Máy cắt cỏ mini Yanmar</v>
      </c>
      <c r="H641" s="101" t="s">
        <v>3530</v>
      </c>
      <c r="I641" s="101" t="str">
        <f>IFERROR(VLOOKUP(B641,'02. MM-KLH'!$B$6:$T$823,8,0),"")</f>
        <v>XN Chuối DP1</v>
      </c>
      <c r="J641" s="105" t="str">
        <f>IFERROR(VLOOKUP(B641,'02. MM-KLH'!$B$6:$T$823,9,0),"")</f>
        <v>30/07/2024</v>
      </c>
      <c r="K641" s="101" t="str">
        <f>IFERROR(VLOOKUP(B641,'02. MM-KLH'!$B$6:$T$823,10,0),"")</f>
        <v>Bình thường</v>
      </c>
      <c r="L641" s="107">
        <f>IFERROR(VLOOKUP(B641,'02. MM-KLH'!$B$6:$T$823,11,0),"")</f>
        <v>0.7</v>
      </c>
      <c r="M641" s="864" t="str">
        <f>IFERROR(VLOOKUP(B641,'02. MM-KLH'!$B$6:$T$823,12,0),"")</f>
        <v>Bàn giao về XN DP1 ngày 30/07/2024 </v>
      </c>
      <c r="N641" s="110" t="str">
        <f>IFERROR(VLOOKUP(B641,'02. MM-KLH'!$B$6:$T$823,13,0),"")</f>
        <v>YANMAR</v>
      </c>
      <c r="O641" s="110" t="str">
        <f>IFERROR(VLOOKUP(B641,'02. MM-KLH'!$B$6:$T$823,14,0),"")</f>
        <v>ITALY</v>
      </c>
      <c r="P641" s="101">
        <f>IFERROR(VLOOKUP(B641,'02. MM-KLH'!$B$6:$T$823,15,0),"")</f>
        <v>0</v>
      </c>
      <c r="Q641" s="101" t="str">
        <f>IFERROR(VLOOKUP(B641,'02. MM-KLH'!$B$6:$T$823,16,0),"")</f>
        <v>L100N6FJ1P1AAFT</v>
      </c>
      <c r="R641" s="101" t="str">
        <f>IFERROR(VLOOKUP(B641,'02. MM-KLH'!$B$6:$T$823,17,0),"")</f>
        <v>10HP</v>
      </c>
      <c r="S641" s="110" t="str">
        <f>IFERROR(VLOOKUP(B641,'02. MM-KLH'!$B$6:$T$823,18,0),"")</f>
        <v>A001010284</v>
      </c>
      <c r="T641" s="111" t="str">
        <f>IFERROR(VLOOKUP(B641,'02. MM-KLH'!$B$6:$T$823,19,0),"")</f>
        <v>SF6637</v>
      </c>
      <c r="U641" s="863" t="s">
        <v>3274</v>
      </c>
    </row>
    <row r="642" ht="13.5" customHeight="1" spans="1:21">
      <c r="A642" s="103">
        <f t="shared" si="30"/>
        <v>12</v>
      </c>
      <c r="B642" s="124" t="s">
        <v>1707</v>
      </c>
      <c r="C642" s="102">
        <f>IFERROR(VLOOKUP(B642,'02. MM-KLH'!$B$6:$T$823,2,0),"")</f>
        <v>0</v>
      </c>
      <c r="D642" s="103" t="str">
        <f>IFERROR(VLOOKUP(B642,'02. MM-KLH'!$B$6:$T$823,3,0),"")</f>
        <v>A24-MĐQ-001</v>
      </c>
      <c r="E642" s="102">
        <f>IFERROR(VLOOKUP(B642,'02. MM-KLH'!$B$6:$T$823,4,0),"")</f>
        <v>0</v>
      </c>
      <c r="F642" s="124"/>
      <c r="G642" s="102" t="str">
        <f>IFERROR(VLOOKUP(B642,'02. MM-KLH'!$B$6:$T$823,6,0),"")</f>
        <v>Máy cắt cỏ đĩa quay 7.5HP</v>
      </c>
      <c r="H642" s="101" t="s">
        <v>3530</v>
      </c>
      <c r="I642" s="101" t="str">
        <f>IFERROR(VLOOKUP(B642,'02. MM-KLH'!$B$6:$T$823,8,0),"")</f>
        <v>XN Chuối LP3</v>
      </c>
      <c r="J642" s="105" t="str">
        <f>IFERROR(VLOOKUP(B642,'02. MM-KLH'!$B$6:$T$823,9,0),"")</f>
        <v>15/11/2024</v>
      </c>
      <c r="K642" s="101" t="str">
        <f>IFERROR(VLOOKUP(B642,'02. MM-KLH'!$B$6:$T$823,10,0),"")</f>
        <v>Bình thường</v>
      </c>
      <c r="L642" s="107">
        <f>IFERROR(VLOOKUP(B642,'02. MM-KLH'!$B$6:$T$823,11,0),"")</f>
        <v>0</v>
      </c>
      <c r="M642" s="864" t="str">
        <f>IFERROR(VLOOKUP(B642,'02. MM-KLH'!$B$6:$T$823,12,0),"")</f>
        <v>Đầu tư mới</v>
      </c>
      <c r="N642" s="110" t="str">
        <f>IFERROR(VLOOKUP(B642,'02. MM-KLH'!$B$6:$T$823,13,0),"")</f>
        <v>YANMAR</v>
      </c>
      <c r="O642" s="110" t="str">
        <f>IFERROR(VLOOKUP(B642,'02. MM-KLH'!$B$6:$T$823,14,0),"")</f>
        <v>Nhật Bản</v>
      </c>
      <c r="P642" s="101">
        <f>IFERROR(VLOOKUP(B642,'02. MM-KLH'!$B$6:$T$823,15,0),"")</f>
        <v>0</v>
      </c>
      <c r="Q642" s="101" t="str">
        <f>IFERROR(VLOOKUP(B642,'02. MM-KLH'!$B$6:$T$823,16,0),"")</f>
        <v>YANMAR YC750</v>
      </c>
      <c r="R642" s="101" t="str">
        <f>IFERROR(VLOOKUP(B642,'02. MM-KLH'!$B$6:$T$823,17,0),"")</f>
        <v>7.5HP</v>
      </c>
      <c r="S642" s="110">
        <f>IFERROR(VLOOKUP(B642,'02. MM-KLH'!$B$6:$T$823,18,0),"")</f>
        <v>31252</v>
      </c>
      <c r="T642" s="111">
        <f>IFERROR(VLOOKUP(B642,'02. MM-KLH'!$B$6:$T$823,19,0),"")</f>
        <v>13422</v>
      </c>
      <c r="U642" s="863" t="s">
        <v>3274</v>
      </c>
    </row>
    <row r="643" ht="13.5" customHeight="1" spans="1:21">
      <c r="A643" s="103">
        <f t="shared" si="30"/>
        <v>13</v>
      </c>
      <c r="B643" s="124" t="s">
        <v>1812</v>
      </c>
      <c r="C643" s="102" t="str">
        <f>IFERROR(VLOOKUP(B643,'02. MM-KLH'!$B$6:$T$823,2,0),"")</f>
        <v>XL3-CCM-001</v>
      </c>
      <c r="D643" s="103" t="str">
        <f>IFERROR(VLOOKUP(B643,'02. MM-KLH'!$B$6:$T$823,3,0),"")</f>
        <v/>
      </c>
      <c r="E643" s="102">
        <f>IFERROR(VLOOKUP(B643,'02. MM-KLH'!$B$6:$T$823,4,0),"")</f>
        <v>0</v>
      </c>
      <c r="F643" s="124"/>
      <c r="G643" s="102" t="str">
        <f>IFERROR(VLOOKUP(B643,'02. MM-KLH'!$B$6:$T$823,6,0),"")</f>
        <v>Máy cắt cỏ mini Yanmar</v>
      </c>
      <c r="H643" s="101" t="s">
        <v>3530</v>
      </c>
      <c r="I643" s="101" t="str">
        <f>IFERROR(VLOOKUP(B643,'02. MM-KLH'!$B$6:$T$823,8,0),"")</f>
        <v>XOÀI AD</v>
      </c>
      <c r="J643" s="105" t="str">
        <f>IFERROR(VLOOKUP(B643,'02. MM-KLH'!$B$6:$T$823,9,0),"")</f>
        <v>30/07/2024</v>
      </c>
      <c r="K643" s="101" t="str">
        <f>IFERROR(VLOOKUP(B643,'02. MM-KLH'!$B$6:$T$823,10,0),"")</f>
        <v>Bình thường</v>
      </c>
      <c r="L643" s="107">
        <f>IFERROR(VLOOKUP(B643,'02. MM-KLH'!$B$6:$T$823,11,0),"")</f>
        <v>0.7</v>
      </c>
      <c r="M643" s="864" t="str">
        <f>IFERROR(VLOOKUP(B643,'02. MM-KLH'!$B$6:$T$823,12,0),"")</f>
        <v>Điều chuyển LP3 qua ngày 26/11/2024</v>
      </c>
      <c r="N643" s="110" t="str">
        <f>IFERROR(VLOOKUP(B643,'02. MM-KLH'!$B$6:$T$823,13,0),"")</f>
        <v>YANMAR</v>
      </c>
      <c r="O643" s="110" t="str">
        <f>IFERROR(VLOOKUP(B643,'02. MM-KLH'!$B$6:$T$823,14,0),"")</f>
        <v>ITALY</v>
      </c>
      <c r="P643" s="101">
        <f>IFERROR(VLOOKUP(B643,'02. MM-KLH'!$B$6:$T$823,15,0),"")</f>
        <v>0</v>
      </c>
      <c r="Q643" s="101" t="str">
        <f>IFERROR(VLOOKUP(B643,'02. MM-KLH'!$B$6:$T$823,16,0),"")</f>
        <v>L100N6FJ1P1AAFT</v>
      </c>
      <c r="R643" s="101" t="str">
        <f>IFERROR(VLOOKUP(B643,'02. MM-KLH'!$B$6:$T$823,17,0),"")</f>
        <v>10HP</v>
      </c>
      <c r="S643" s="110" t="str">
        <f>IFERROR(VLOOKUP(B643,'02. MM-KLH'!$B$6:$T$823,18,0),"")</f>
        <v>A001010279</v>
      </c>
      <c r="T643" s="111" t="str">
        <f>IFERROR(VLOOKUP(B643,'02. MM-KLH'!$B$6:$T$823,19,0),"")</f>
        <v>SF6665</v>
      </c>
      <c r="U643" s="863" t="s">
        <v>3274</v>
      </c>
    </row>
    <row r="644" ht="12.75" customHeight="1" spans="1:21">
      <c r="A644" s="103">
        <f t="shared" si="30"/>
        <v>14</v>
      </c>
      <c r="B644" s="884" t="s">
        <v>1321</v>
      </c>
      <c r="C644" s="102">
        <f>IFERROR(VLOOKUP(B644,'02. MM-KLH'!$B$6:$T$823,2,0),"")</f>
        <v>0</v>
      </c>
      <c r="D644" s="103" t="str">
        <f>IFERROR(VLOOKUP(B644,'02. MM-KLH'!$B$6:$T$823,3,0),"")</f>
        <v>A23-MĐQ-003</v>
      </c>
      <c r="E644" s="102">
        <f>IFERROR(VLOOKUP(B644,'02. MM-KLH'!$B$6:$T$823,4,0),"")</f>
        <v>0</v>
      </c>
      <c r="F644" s="883"/>
      <c r="G644" s="102" t="str">
        <f>IFERROR(VLOOKUP(B644,'02. MM-KLH'!$B$6:$T$823,6,0),"")</f>
        <v>Máy cắt cỏ đĩa quay 8HP</v>
      </c>
      <c r="H644" s="101" t="s">
        <v>3530</v>
      </c>
      <c r="I644" s="101" t="str">
        <f>IFERROR(VLOOKUP(B644,'02. MM-KLH'!$B$6:$T$823,8,0),"")</f>
        <v>XN Chuối DP2</v>
      </c>
      <c r="J644" s="105" t="str">
        <f>IFERROR(VLOOKUP(B644,'02. MM-KLH'!$B$6:$T$823,9,0),"")</f>
        <v>23/01/2025</v>
      </c>
      <c r="K644" s="101" t="str">
        <f>IFERROR(VLOOKUP(B644,'02. MM-KLH'!$B$6:$T$823,10,0),"")</f>
        <v>Bình thường</v>
      </c>
      <c r="L644" s="107">
        <f>IFERROR(VLOOKUP(B644,'02. MM-KLH'!$B$6:$T$823,11,0),"")</f>
        <v>0</v>
      </c>
      <c r="M644" s="864" t="str">
        <f>IFERROR(VLOOKUP(B644,'02. MM-KLH'!$B$6:$T$823,12,0),"")</f>
        <v>Đầu tư mới</v>
      </c>
      <c r="N644" s="110" t="str">
        <f>IFERROR(VLOOKUP(B644,'02. MM-KLH'!$B$6:$T$823,13,0),"")</f>
        <v>HONDA</v>
      </c>
      <c r="O644" s="110" t="str">
        <f>IFERROR(VLOOKUP(B644,'02. MM-KLH'!$B$6:$T$823,14,0),"")</f>
        <v>JANPAN</v>
      </c>
      <c r="P644" s="101">
        <f>IFERROR(VLOOKUP(B644,'02. MM-KLH'!$B$6:$T$823,15,0),"")</f>
        <v>0</v>
      </c>
      <c r="Q644" s="101" t="str">
        <f>IFERROR(VLOOKUP(B644,'02. MM-KLH'!$B$6:$T$823,16,0),"")</f>
        <v>GX240</v>
      </c>
      <c r="R644" s="101" t="str">
        <f>IFERROR(VLOOKUP(B644,'02. MM-KLH'!$B$6:$T$823,17,0),"")</f>
        <v>8HP</v>
      </c>
      <c r="S644" s="110" t="str">
        <f>IFERROR(VLOOKUP(B644,'02. MM-KLH'!$B$6:$T$823,18,0),"")</f>
        <v>CCN</v>
      </c>
      <c r="T644" s="111">
        <f>IFERROR(VLOOKUP(B644,'02. MM-KLH'!$B$6:$T$823,19,0),"")</f>
        <v>4418343</v>
      </c>
      <c r="U644" s="863" t="s">
        <v>3274</v>
      </c>
    </row>
    <row r="645" ht="12.75" customHeight="1" spans="1:21">
      <c r="A645" s="103">
        <f t="shared" si="30"/>
        <v>15</v>
      </c>
      <c r="B645" s="884" t="s">
        <v>1325</v>
      </c>
      <c r="C645" s="102">
        <f>IFERROR(VLOOKUP(B645,'02. MM-KLH'!$B$6:$T$823,2,0),"")</f>
        <v>0</v>
      </c>
      <c r="D645" s="103" t="str">
        <f>IFERROR(VLOOKUP(B645,'02. MM-KLH'!$B$6:$T$823,3,0),"")</f>
        <v>A23-MĐQ-004</v>
      </c>
      <c r="E645" s="102">
        <f>IFERROR(VLOOKUP(B645,'02. MM-KLH'!$B$6:$T$823,4,0),"")</f>
        <v>0</v>
      </c>
      <c r="F645" s="883"/>
      <c r="G645" s="102" t="str">
        <f>IFERROR(VLOOKUP(B645,'02. MM-KLH'!$B$6:$T$823,6,0),"")</f>
        <v>Máy cắt cỏ đĩa quay 8HP</v>
      </c>
      <c r="H645" s="101" t="s">
        <v>3530</v>
      </c>
      <c r="I645" s="101" t="str">
        <f>IFERROR(VLOOKUP(B645,'02. MM-KLH'!$B$6:$T$823,8,0),"")</f>
        <v>XN Chuối DP2</v>
      </c>
      <c r="J645" s="105" t="str">
        <f>IFERROR(VLOOKUP(B645,'02. MM-KLH'!$B$6:$T$823,9,0),"")</f>
        <v>23/01/2025</v>
      </c>
      <c r="K645" s="101" t="str">
        <f>IFERROR(VLOOKUP(B645,'02. MM-KLH'!$B$6:$T$823,10,0),"")</f>
        <v>Bình thường</v>
      </c>
      <c r="L645" s="107">
        <f>IFERROR(VLOOKUP(B645,'02. MM-KLH'!$B$6:$T$823,11,0),"")</f>
        <v>0</v>
      </c>
      <c r="M645" s="864" t="str">
        <f>IFERROR(VLOOKUP(B645,'02. MM-KLH'!$B$6:$T$823,12,0),"")</f>
        <v>Đầu tư mới</v>
      </c>
      <c r="N645" s="110" t="str">
        <f>IFERROR(VLOOKUP(B645,'02. MM-KLH'!$B$6:$T$823,13,0),"")</f>
        <v>YANMAR</v>
      </c>
      <c r="O645" s="110" t="str">
        <f>IFERROR(VLOOKUP(B645,'02. MM-KLH'!$B$6:$T$823,14,0),"")</f>
        <v>JANPAN</v>
      </c>
      <c r="P645" s="101">
        <f>IFERROR(VLOOKUP(B645,'02. MM-KLH'!$B$6:$T$823,15,0),"")</f>
        <v>0</v>
      </c>
      <c r="Q645" s="101" t="str">
        <f>IFERROR(VLOOKUP(B645,'02. MM-KLH'!$B$6:$T$823,16,0),"")</f>
        <v>YG8</v>
      </c>
      <c r="R645" s="101" t="str">
        <f>IFERROR(VLOOKUP(B645,'02. MM-KLH'!$B$6:$T$823,17,0),"")</f>
        <v>8HP</v>
      </c>
      <c r="S645" s="110">
        <f>IFERROR(VLOOKUP(B645,'02. MM-KLH'!$B$6:$T$823,18,0),"")</f>
        <v>871668</v>
      </c>
      <c r="T645" s="111">
        <f>IFERROR(VLOOKUP(B645,'02. MM-KLH'!$B$6:$T$823,19,0),"")</f>
        <v>20189</v>
      </c>
      <c r="U645" s="863" t="s">
        <v>3274</v>
      </c>
    </row>
    <row r="646" ht="13.5" customHeight="1" spans="1:21">
      <c r="A646" s="103">
        <f t="shared" si="30"/>
        <v>16</v>
      </c>
      <c r="B646" s="880" t="s">
        <v>1431</v>
      </c>
      <c r="C646" s="102">
        <f>IFERROR(VLOOKUP(B646,'02. MM-KLH'!$B$6:$T$823,2,0),"")</f>
        <v>0</v>
      </c>
      <c r="D646" s="103" t="str">
        <f>IFERROR(VLOOKUP(B646,'02. MM-KLH'!$B$6:$T$823,3,0),"")</f>
        <v>A23-MĐQ-002</v>
      </c>
      <c r="E646" s="102">
        <f>IFERROR(VLOOKUP(B646,'02. MM-KLH'!$B$6:$T$823,4,0),"")</f>
        <v>0</v>
      </c>
      <c r="F646" s="867"/>
      <c r="G646" s="102" t="str">
        <f>IFERROR(VLOOKUP(B646,'02. MM-KLH'!$B$6:$T$823,6,0),"")</f>
        <v>Máy cắt cỏ đĩa quay 8HP</v>
      </c>
      <c r="H646" s="101" t="s">
        <v>3530</v>
      </c>
      <c r="I646" s="101" t="str">
        <f>IFERROR(VLOOKUP(B646,'02. MM-KLH'!$B$6:$T$823,8,0),"")</f>
        <v>XN Chuối DP3</v>
      </c>
      <c r="J646" s="105" t="str">
        <f>IFERROR(VLOOKUP(B646,'02. MM-KLH'!$B$6:$T$823,9,0),"")</f>
        <v>23/01/2025</v>
      </c>
      <c r="K646" s="101" t="str">
        <f>IFERROR(VLOOKUP(B646,'02. MM-KLH'!$B$6:$T$823,10,0),"")</f>
        <v>Bình thường</v>
      </c>
      <c r="L646" s="107">
        <f>IFERROR(VLOOKUP(B646,'02. MM-KLH'!$B$6:$T$823,11,0),"")</f>
        <v>0</v>
      </c>
      <c r="M646" s="864" t="str">
        <f>IFERROR(VLOOKUP(B646,'02. MM-KLH'!$B$6:$T$823,12,0),"")</f>
        <v>Đầu tư mới</v>
      </c>
      <c r="N646" s="110" t="str">
        <f>IFERROR(VLOOKUP(B646,'02. MM-KLH'!$B$6:$T$823,13,0),"")</f>
        <v>MISUBISHI</v>
      </c>
      <c r="O646" s="110" t="str">
        <f>IFERROR(VLOOKUP(B646,'02. MM-KLH'!$B$6:$T$823,14,0),"")</f>
        <v>JANPAN</v>
      </c>
      <c r="P646" s="101">
        <f>IFERROR(VLOOKUP(B646,'02. MM-KLH'!$B$6:$T$823,15,0),"")</f>
        <v>0</v>
      </c>
      <c r="Q646" s="101" t="str">
        <f>IFERROR(VLOOKUP(B646,'02. MM-KLH'!$B$6:$T$823,16,0),"")</f>
        <v>MR910</v>
      </c>
      <c r="R646" s="101" t="str">
        <f>IFERROR(VLOOKUP(B646,'02. MM-KLH'!$B$6:$T$823,17,0),"")</f>
        <v>8HP</v>
      </c>
      <c r="S646" s="110" t="str">
        <f>IFERROR(VLOOKUP(B646,'02. MM-KLH'!$B$6:$T$823,18,0),"")</f>
        <v>G910217678</v>
      </c>
      <c r="T646" s="111">
        <f>IFERROR(VLOOKUP(B646,'02. MM-KLH'!$B$6:$T$823,19,0),"")</f>
        <v>12168</v>
      </c>
      <c r="U646" s="863" t="s">
        <v>3274</v>
      </c>
    </row>
    <row r="647" ht="13.5" customHeight="1" spans="1:21">
      <c r="A647" s="103">
        <f t="shared" si="30"/>
        <v>17</v>
      </c>
      <c r="B647" s="160" t="s">
        <v>1219</v>
      </c>
      <c r="C647" s="102">
        <f>IFERROR(VLOOKUP(B647,'02. MM-KLH'!$B$6:$T$823,2,0),"")</f>
        <v>0</v>
      </c>
      <c r="D647" s="103" t="str">
        <f>IFERROR(VLOOKUP(B647,'02. MM-KLH'!$B$6:$T$823,3,0),"")</f>
        <v>A23-MĐQ-001</v>
      </c>
      <c r="E647" s="102">
        <f>IFERROR(VLOOKUP(B647,'02. MM-KLH'!$B$6:$T$823,4,0),"")</f>
        <v>0</v>
      </c>
      <c r="F647" s="206"/>
      <c r="G647" s="102" t="str">
        <f>IFERROR(VLOOKUP(B647,'02. MM-KLH'!$B$6:$T$823,6,0),"")</f>
        <v>Máy cắt cỏ đĩa quay 8HP</v>
      </c>
      <c r="H647" s="101" t="s">
        <v>3530</v>
      </c>
      <c r="I647" s="101" t="str">
        <f>IFERROR(VLOOKUP(B647,'02. MM-KLH'!$B$6:$T$823,8,0),"")</f>
        <v>XN Chuối DP1</v>
      </c>
      <c r="J647" s="105" t="str">
        <f>IFERROR(VLOOKUP(B647,'02. MM-KLH'!$B$6:$T$823,9,0),"")</f>
        <v>23/01/2025</v>
      </c>
      <c r="K647" s="101" t="str">
        <f>IFERROR(VLOOKUP(B647,'02. MM-KLH'!$B$6:$T$823,10,0),"")</f>
        <v>Bình thường</v>
      </c>
      <c r="L647" s="107">
        <f>IFERROR(VLOOKUP(B647,'02. MM-KLH'!$B$6:$T$823,11,0),"")</f>
        <v>0</v>
      </c>
      <c r="M647" s="864" t="str">
        <f>IFERROR(VLOOKUP(B647,'02. MM-KLH'!$B$6:$T$823,12,0),"")</f>
        <v>Đầu tư mới</v>
      </c>
      <c r="N647" s="110" t="str">
        <f>IFERROR(VLOOKUP(B647,'02. MM-KLH'!$B$6:$T$823,13,0),"")</f>
        <v>ISEKI</v>
      </c>
      <c r="O647" s="110" t="str">
        <f>IFERROR(VLOOKUP(B647,'02. MM-KLH'!$B$6:$T$823,14,0),"")</f>
        <v>JANPAN</v>
      </c>
      <c r="P647" s="101">
        <f>IFERROR(VLOOKUP(B647,'02. MM-KLH'!$B$6:$T$823,15,0),"")</f>
        <v>0</v>
      </c>
      <c r="Q647" s="101" t="str">
        <f>IFERROR(VLOOKUP(B647,'02. MM-KLH'!$B$6:$T$823,16,0),"")</f>
        <v>KC80F</v>
      </c>
      <c r="R647" s="101" t="str">
        <f>IFERROR(VLOOKUP(B647,'02. MM-KLH'!$B$6:$T$823,17,0),"")</f>
        <v>8HP</v>
      </c>
      <c r="S647" s="110">
        <f>IFERROR(VLOOKUP(B647,'02. MM-KLH'!$B$6:$T$823,18,0),"")</f>
        <v>341</v>
      </c>
      <c r="T647" s="111" t="str">
        <f>IFERROR(VLOOKUP(B647,'02. MM-KLH'!$B$6:$T$823,19,0),"")</f>
        <v>FE250G003323</v>
      </c>
      <c r="U647" s="863" t="s">
        <v>3274</v>
      </c>
    </row>
    <row r="648" ht="13.5" customHeight="1" spans="1:21">
      <c r="A648" s="103">
        <f t="shared" si="30"/>
        <v>18</v>
      </c>
      <c r="B648" s="104" t="s">
        <v>1569</v>
      </c>
      <c r="C648" s="102">
        <f>IFERROR(VLOOKUP(B648,'02. MM-KLH'!$B$6:$T$823,2,0),"")</f>
        <v>0</v>
      </c>
      <c r="D648" s="103" t="str">
        <f>IFERROR(VLOOKUP(B648,'02. MM-KLH'!$B$6:$T$823,3,0),"")</f>
        <v>A24-CCD-001</v>
      </c>
      <c r="E648" s="102">
        <f>IFERROR(VLOOKUP(B648,'02. MM-KLH'!$B$6:$T$823,4,0),"")</f>
        <v>0</v>
      </c>
      <c r="F648" s="206"/>
      <c r="G648" s="102" t="str">
        <f>IFERROR(VLOOKUP(B648,'02. MM-KLH'!$B$6:$T$823,6,0),"")</f>
        <v>Máy cắt cỏ trục băm đa năng</v>
      </c>
      <c r="H648" s="101" t="s">
        <v>3530</v>
      </c>
      <c r="I648" s="101" t="str">
        <f>IFERROR(VLOOKUP(B648,'02. MM-KLH'!$B$6:$T$823,8,0),"")</f>
        <v>XN Chuối LP1</v>
      </c>
      <c r="J648" s="105" t="str">
        <f>IFERROR(VLOOKUP(B648,'02. MM-KLH'!$B$6:$T$823,9,0),"")</f>
        <v>25/06/2025</v>
      </c>
      <c r="K648" s="101" t="str">
        <f>IFERROR(VLOOKUP(B648,'02. MM-KLH'!$B$6:$T$823,10,0),"")</f>
        <v>Bình thường</v>
      </c>
      <c r="L648" s="107">
        <f>IFERROR(VLOOKUP(B648,'02. MM-KLH'!$B$6:$T$823,11,0),"")</f>
        <v>0</v>
      </c>
      <c r="M648" s="864" t="str">
        <f>IFERROR(VLOOKUP(B648,'02. MM-KLH'!$B$6:$T$823,12,0),"")</f>
        <v>Đầu tư mới</v>
      </c>
      <c r="N648" s="110" t="str">
        <f>IFERROR(VLOOKUP(B648,'02. MM-KLH'!$B$6:$T$823,13,0),"")</f>
        <v>ISHIKAWA</v>
      </c>
      <c r="O648" s="110" t="str">
        <f>IFERROR(VLOOKUP(B648,'02. MM-KLH'!$B$6:$T$823,14,0),"")</f>
        <v>VIỆT NAM</v>
      </c>
      <c r="P648" s="101">
        <f>IFERROR(VLOOKUP(B648,'02. MM-KLH'!$B$6:$T$823,15,0),"")</f>
        <v>2025</v>
      </c>
      <c r="Q648" s="101" t="str">
        <f>IFERROR(VLOOKUP(B648,'02. MM-KLH'!$B$6:$T$823,16,0),"")</f>
        <v>TL662</v>
      </c>
      <c r="R648" s="101" t="str">
        <f>IFERROR(VLOOKUP(B648,'02. MM-KLH'!$B$6:$T$823,17,0),"")</f>
        <v>10HP</v>
      </c>
      <c r="S648" s="110" t="str">
        <f>IFERROR(VLOOKUP(B648,'02. MM-KLH'!$B$6:$T$823,18,0),"")</f>
        <v>TL20250601409</v>
      </c>
      <c r="T648" s="111" t="str">
        <f>IFERROR(VLOOKUP(B648,'02. MM-KLH'!$B$6:$T$823,19,0),"")</f>
        <v>GT1000B0042104CD</v>
      </c>
      <c r="U648" s="863" t="s">
        <v>3343</v>
      </c>
    </row>
    <row r="649" ht="13.5" customHeight="1" spans="1:21">
      <c r="A649" s="103">
        <f t="shared" si="30"/>
        <v>19</v>
      </c>
      <c r="B649" s="104" t="s">
        <v>1573</v>
      </c>
      <c r="C649" s="102">
        <f>IFERROR(VLOOKUP(B649,'02. MM-KLH'!$B$6:$T$823,2,0),"")</f>
        <v>0</v>
      </c>
      <c r="D649" s="103" t="str">
        <f>IFERROR(VLOOKUP(B649,'02. MM-KLH'!$B$6:$T$823,3,0),"")</f>
        <v>A24-CCD-002</v>
      </c>
      <c r="E649" s="102">
        <f>IFERROR(VLOOKUP(B649,'02. MM-KLH'!$B$6:$T$823,4,0),"")</f>
        <v>0</v>
      </c>
      <c r="F649" s="206"/>
      <c r="G649" s="102" t="str">
        <f>IFERROR(VLOOKUP(B649,'02. MM-KLH'!$B$6:$T$823,6,0),"")</f>
        <v>Máy cắt cỏ trục băm đa năng</v>
      </c>
      <c r="H649" s="101" t="s">
        <v>3530</v>
      </c>
      <c r="I649" s="101" t="str">
        <f>IFERROR(VLOOKUP(B649,'02. MM-KLH'!$B$6:$T$823,8,0),"")</f>
        <v>XN Chuối LP1</v>
      </c>
      <c r="J649" s="105" t="str">
        <f>IFERROR(VLOOKUP(B649,'02. MM-KLH'!$B$6:$T$823,9,0),"")</f>
        <v>25/06/2025</v>
      </c>
      <c r="K649" s="101" t="str">
        <f>IFERROR(VLOOKUP(B649,'02. MM-KLH'!$B$6:$T$823,10,0),"")</f>
        <v>Bình thường</v>
      </c>
      <c r="L649" s="107">
        <f>IFERROR(VLOOKUP(B649,'02. MM-KLH'!$B$6:$T$823,11,0),"")</f>
        <v>0</v>
      </c>
      <c r="M649" s="864" t="str">
        <f>IFERROR(VLOOKUP(B649,'02. MM-KLH'!$B$6:$T$823,12,0),"")</f>
        <v>Đầu tư mới</v>
      </c>
      <c r="N649" s="110" t="str">
        <f>IFERROR(VLOOKUP(B649,'02. MM-KLH'!$B$6:$T$823,13,0),"")</f>
        <v>ISHIKAWA</v>
      </c>
      <c r="O649" s="110" t="str">
        <f>IFERROR(VLOOKUP(B649,'02. MM-KLH'!$B$6:$T$823,14,0),"")</f>
        <v>VIỆT NAM</v>
      </c>
      <c r="P649" s="101">
        <f>IFERROR(VLOOKUP(B649,'02. MM-KLH'!$B$6:$T$823,15,0),"")</f>
        <v>2025</v>
      </c>
      <c r="Q649" s="101" t="str">
        <f>IFERROR(VLOOKUP(B649,'02. MM-KLH'!$B$6:$T$823,16,0),"")</f>
        <v>TL662</v>
      </c>
      <c r="R649" s="101" t="str">
        <f>IFERROR(VLOOKUP(B649,'02. MM-KLH'!$B$6:$T$823,17,0),"")</f>
        <v>10HP</v>
      </c>
      <c r="S649" s="110" t="str">
        <f>IFERROR(VLOOKUP(B649,'02. MM-KLH'!$B$6:$T$823,18,0),"")</f>
        <v>TL202506014011</v>
      </c>
      <c r="T649" s="111" t="str">
        <f>IFERROR(VLOOKUP(B649,'02. MM-KLH'!$B$6:$T$823,19,0),"")</f>
        <v>GT1000B0042103CD</v>
      </c>
      <c r="U649" s="863" t="s">
        <v>3343</v>
      </c>
    </row>
    <row r="650" ht="13.5" customHeight="1" spans="1:21">
      <c r="A650" s="103">
        <f t="shared" si="30"/>
        <v>20</v>
      </c>
      <c r="B650" s="104" t="s">
        <v>1577</v>
      </c>
      <c r="C650" s="102">
        <f>IFERROR(VLOOKUP(B650,'02. MM-KLH'!$B$6:$T$823,2,0),"")</f>
        <v>0</v>
      </c>
      <c r="D650" s="103" t="str">
        <f>IFERROR(VLOOKUP(B650,'02. MM-KLH'!$B$6:$T$823,3,0),"")</f>
        <v>A24-CCD-003</v>
      </c>
      <c r="E650" s="102">
        <f>IFERROR(VLOOKUP(B650,'02. MM-KLH'!$B$6:$T$823,4,0),"")</f>
        <v>0</v>
      </c>
      <c r="F650" s="206"/>
      <c r="G650" s="102" t="str">
        <f>IFERROR(VLOOKUP(B650,'02. MM-KLH'!$B$6:$T$823,6,0),"")</f>
        <v>Máy cắt cỏ trục băm đa năng</v>
      </c>
      <c r="H650" s="101" t="s">
        <v>3530</v>
      </c>
      <c r="I650" s="101" t="str">
        <f>IFERROR(VLOOKUP(B650,'02. MM-KLH'!$B$6:$T$823,8,0),"")</f>
        <v>XN Chuối LP1</v>
      </c>
      <c r="J650" s="105" t="str">
        <f>IFERROR(VLOOKUP(B650,'02. MM-KLH'!$B$6:$T$823,9,0),"")</f>
        <v>25/06/2025</v>
      </c>
      <c r="K650" s="101" t="str">
        <f>IFERROR(VLOOKUP(B650,'02. MM-KLH'!$B$6:$T$823,10,0),"")</f>
        <v>Bình thường</v>
      </c>
      <c r="L650" s="107">
        <f>IFERROR(VLOOKUP(B650,'02. MM-KLH'!$B$6:$T$823,11,0),"")</f>
        <v>0</v>
      </c>
      <c r="M650" s="864" t="str">
        <f>IFERROR(VLOOKUP(B650,'02. MM-KLH'!$B$6:$T$823,12,0),"")</f>
        <v>Đầu tư mới</v>
      </c>
      <c r="N650" s="110" t="str">
        <f>IFERROR(VLOOKUP(B650,'02. MM-KLH'!$B$6:$T$823,13,0),"")</f>
        <v>ISHIKAWA</v>
      </c>
      <c r="O650" s="110" t="str">
        <f>IFERROR(VLOOKUP(B650,'02. MM-KLH'!$B$6:$T$823,14,0),"")</f>
        <v>VIỆT NAM</v>
      </c>
      <c r="P650" s="101">
        <f>IFERROR(VLOOKUP(B650,'02. MM-KLH'!$B$6:$T$823,15,0),"")</f>
        <v>2025</v>
      </c>
      <c r="Q650" s="101" t="str">
        <f>IFERROR(VLOOKUP(B650,'02. MM-KLH'!$B$6:$T$823,16,0),"")</f>
        <v>TL662</v>
      </c>
      <c r="R650" s="101" t="str">
        <f>IFERROR(VLOOKUP(B650,'02. MM-KLH'!$B$6:$T$823,17,0),"")</f>
        <v>10HP</v>
      </c>
      <c r="S650" s="110" t="str">
        <f>IFERROR(VLOOKUP(B650,'02. MM-KLH'!$B$6:$T$823,18,0),"")</f>
        <v>TL202506014013</v>
      </c>
      <c r="T650" s="111" t="str">
        <f>IFERROR(VLOOKUP(B650,'02. MM-KLH'!$B$6:$T$823,19,0),"")</f>
        <v>GT1000B0042104CD</v>
      </c>
      <c r="U650" s="863" t="s">
        <v>3343</v>
      </c>
    </row>
    <row r="651" ht="13.5" customHeight="1" spans="1:21">
      <c r="A651" s="103">
        <f t="shared" si="30"/>
        <v>21</v>
      </c>
      <c r="B651" s="104" t="s">
        <v>1580</v>
      </c>
      <c r="C651" s="102">
        <f>IFERROR(VLOOKUP(B651,'02. MM-KLH'!$B$6:$T$823,2,0),"")</f>
        <v>0</v>
      </c>
      <c r="D651" s="103" t="str">
        <f>IFERROR(VLOOKUP(B651,'02. MM-KLH'!$B$6:$T$823,3,0),"")</f>
        <v>A24-CCD-004</v>
      </c>
      <c r="E651" s="102">
        <f>IFERROR(VLOOKUP(B651,'02. MM-KLH'!$B$6:$T$823,4,0),"")</f>
        <v>0</v>
      </c>
      <c r="F651" s="206"/>
      <c r="G651" s="102" t="str">
        <f>IFERROR(VLOOKUP(B651,'02. MM-KLH'!$B$6:$T$823,6,0),"")</f>
        <v>Máy cắt cỏ trục băm đa năng</v>
      </c>
      <c r="H651" s="101" t="s">
        <v>3530</v>
      </c>
      <c r="I651" s="101" t="str">
        <f>IFERROR(VLOOKUP(B651,'02. MM-KLH'!$B$6:$T$823,8,0),"")</f>
        <v>XN Chuối LP1</v>
      </c>
      <c r="J651" s="105" t="str">
        <f>IFERROR(VLOOKUP(B651,'02. MM-KLH'!$B$6:$T$823,9,0),"")</f>
        <v>25/06/2025</v>
      </c>
      <c r="K651" s="101" t="str">
        <f>IFERROR(VLOOKUP(B651,'02. MM-KLH'!$B$6:$T$823,10,0),"")</f>
        <v>Bình thường</v>
      </c>
      <c r="L651" s="107">
        <f>IFERROR(VLOOKUP(B651,'02. MM-KLH'!$B$6:$T$823,11,0),"")</f>
        <v>0</v>
      </c>
      <c r="M651" s="864" t="str">
        <f>IFERROR(VLOOKUP(B651,'02. MM-KLH'!$B$6:$T$823,12,0),"")</f>
        <v>Đầu tư mới</v>
      </c>
      <c r="N651" s="110" t="str">
        <f>IFERROR(VLOOKUP(B651,'02. MM-KLH'!$B$6:$T$823,13,0),"")</f>
        <v>ISHIKAWA</v>
      </c>
      <c r="O651" s="110" t="str">
        <f>IFERROR(VLOOKUP(B651,'02. MM-KLH'!$B$6:$T$823,14,0),"")</f>
        <v>VIỆT NAM</v>
      </c>
      <c r="P651" s="101">
        <f>IFERROR(VLOOKUP(B651,'02. MM-KLH'!$B$6:$T$823,15,0),"")</f>
        <v>2025</v>
      </c>
      <c r="Q651" s="101" t="str">
        <f>IFERROR(VLOOKUP(B651,'02. MM-KLH'!$B$6:$T$823,16,0),"")</f>
        <v>TL662</v>
      </c>
      <c r="R651" s="101" t="str">
        <f>IFERROR(VLOOKUP(B651,'02. MM-KLH'!$B$6:$T$823,17,0),"")</f>
        <v>10HP</v>
      </c>
      <c r="S651" s="110" t="str">
        <f>IFERROR(VLOOKUP(B651,'02. MM-KLH'!$B$6:$T$823,18,0),"")</f>
        <v>TL202506014014</v>
      </c>
      <c r="T651" s="111" t="str">
        <f>IFERROR(VLOOKUP(B651,'02. MM-KLH'!$B$6:$T$823,19,0),"")</f>
        <v>GT1000B0042096CD</v>
      </c>
      <c r="U651" s="863" t="s">
        <v>3343</v>
      </c>
    </row>
    <row r="652" ht="13.5" customHeight="1" spans="1:21">
      <c r="A652" s="103">
        <f t="shared" si="30"/>
        <v>22</v>
      </c>
      <c r="B652" s="104" t="s">
        <v>1718</v>
      </c>
      <c r="C652" s="102">
        <f>IFERROR(VLOOKUP(B652,'02. MM-KLH'!$B$6:$T$823,2,0),"")</f>
        <v>0</v>
      </c>
      <c r="D652" s="103" t="str">
        <f>IFERROR(VLOOKUP(B652,'02. MM-KLH'!$B$6:$T$823,3,0),"")</f>
        <v>A24-CCD-005</v>
      </c>
      <c r="E652" s="102">
        <f>IFERROR(VLOOKUP(B652,'02. MM-KLH'!$B$6:$T$823,4,0),"")</f>
        <v>0</v>
      </c>
      <c r="F652" s="206"/>
      <c r="G652" s="102" t="str">
        <f>IFERROR(VLOOKUP(B652,'02. MM-KLH'!$B$6:$T$823,6,0),"")</f>
        <v>Máy cắt cỏ trục băm đa năng</v>
      </c>
      <c r="H652" s="101" t="s">
        <v>3530</v>
      </c>
      <c r="I652" s="101" t="str">
        <f>IFERROR(VLOOKUP(B652,'02. MM-KLH'!$B$6:$T$823,8,0),"")</f>
        <v>XN Chuối LP3</v>
      </c>
      <c r="J652" s="105" t="str">
        <f>IFERROR(VLOOKUP(B652,'02. MM-KLH'!$B$6:$T$823,9,0),"")</f>
        <v>25/06/2025</v>
      </c>
      <c r="K652" s="101" t="str">
        <f>IFERROR(VLOOKUP(B652,'02. MM-KLH'!$B$6:$T$823,10,0),"")</f>
        <v>Bình thường</v>
      </c>
      <c r="L652" s="107">
        <f>IFERROR(VLOOKUP(B652,'02. MM-KLH'!$B$6:$T$823,11,0),"")</f>
        <v>0</v>
      </c>
      <c r="M652" s="864" t="str">
        <f>IFERROR(VLOOKUP(B652,'02. MM-KLH'!$B$6:$T$823,12,0),"")</f>
        <v>Đầu tư mới</v>
      </c>
      <c r="N652" s="110" t="str">
        <f>IFERROR(VLOOKUP(B652,'02. MM-KLH'!$B$6:$T$823,13,0),"")</f>
        <v>ISHIKAWA</v>
      </c>
      <c r="O652" s="110" t="str">
        <f>IFERROR(VLOOKUP(B652,'02. MM-KLH'!$B$6:$T$823,14,0),"")</f>
        <v>VIỆT NAM</v>
      </c>
      <c r="P652" s="101">
        <f>IFERROR(VLOOKUP(B652,'02. MM-KLH'!$B$6:$T$823,15,0),"")</f>
        <v>2025</v>
      </c>
      <c r="Q652" s="101" t="str">
        <f>IFERROR(VLOOKUP(B652,'02. MM-KLH'!$B$6:$T$823,16,0),"")</f>
        <v>TL662</v>
      </c>
      <c r="R652" s="101" t="str">
        <f>IFERROR(VLOOKUP(B652,'02. MM-KLH'!$B$6:$T$823,17,0),"")</f>
        <v>10HP</v>
      </c>
      <c r="S652" s="110" t="str">
        <f>IFERROR(VLOOKUP(B652,'02. MM-KLH'!$B$6:$T$823,18,0),"")</f>
        <v>TL20250601406</v>
      </c>
      <c r="T652" s="111" t="str">
        <f>IFERROR(VLOOKUP(B652,'02. MM-KLH'!$B$6:$T$823,19,0),"")</f>
        <v>GT1000B0042100CD</v>
      </c>
      <c r="U652" s="863" t="s">
        <v>3343</v>
      </c>
    </row>
    <row r="653" ht="13.5" customHeight="1" spans="1:21">
      <c r="A653" s="103">
        <f t="shared" si="30"/>
        <v>23</v>
      </c>
      <c r="B653" s="104" t="s">
        <v>1722</v>
      </c>
      <c r="C653" s="102">
        <f>IFERROR(VLOOKUP(B653,'02. MM-KLH'!$B$6:$T$823,2,0),"")</f>
        <v>0</v>
      </c>
      <c r="D653" s="103" t="str">
        <f>IFERROR(VLOOKUP(B653,'02. MM-KLH'!$B$6:$T$823,3,0),"")</f>
        <v>A24-CCD-006</v>
      </c>
      <c r="E653" s="102">
        <f>IFERROR(VLOOKUP(B653,'02. MM-KLH'!$B$6:$T$823,4,0),"")</f>
        <v>0</v>
      </c>
      <c r="F653" s="206"/>
      <c r="G653" s="102" t="str">
        <f>IFERROR(VLOOKUP(B653,'02. MM-KLH'!$B$6:$T$823,6,0),"")</f>
        <v>Máy cắt cỏ trục băm đa năng</v>
      </c>
      <c r="H653" s="101" t="s">
        <v>3530</v>
      </c>
      <c r="I653" s="101" t="str">
        <f>IFERROR(VLOOKUP(B653,'02. MM-KLH'!$B$6:$T$823,8,0),"")</f>
        <v>XN Chuối LP3</v>
      </c>
      <c r="J653" s="105" t="str">
        <f>IFERROR(VLOOKUP(B653,'02. MM-KLH'!$B$6:$T$823,9,0),"")</f>
        <v>25/06/2025</v>
      </c>
      <c r="K653" s="101" t="str">
        <f>IFERROR(VLOOKUP(B653,'02. MM-KLH'!$B$6:$T$823,10,0),"")</f>
        <v>Bình thường</v>
      </c>
      <c r="L653" s="107">
        <f>IFERROR(VLOOKUP(B653,'02. MM-KLH'!$B$6:$T$823,11,0),"")</f>
        <v>0</v>
      </c>
      <c r="M653" s="864" t="str">
        <f>IFERROR(VLOOKUP(B653,'02. MM-KLH'!$B$6:$T$823,12,0),"")</f>
        <v>Đầu tư mới</v>
      </c>
      <c r="N653" s="110" t="str">
        <f>IFERROR(VLOOKUP(B653,'02. MM-KLH'!$B$6:$T$823,13,0),"")</f>
        <v>ISHIKAWA</v>
      </c>
      <c r="O653" s="110" t="str">
        <f>IFERROR(VLOOKUP(B653,'02. MM-KLH'!$B$6:$T$823,14,0),"")</f>
        <v>VIỆT NAM</v>
      </c>
      <c r="P653" s="101">
        <f>IFERROR(VLOOKUP(B653,'02. MM-KLH'!$B$6:$T$823,15,0),"")</f>
        <v>2025</v>
      </c>
      <c r="Q653" s="101" t="str">
        <f>IFERROR(VLOOKUP(B653,'02. MM-KLH'!$B$6:$T$823,16,0),"")</f>
        <v>TL662</v>
      </c>
      <c r="R653" s="101" t="str">
        <f>IFERROR(VLOOKUP(B653,'02. MM-KLH'!$B$6:$T$823,17,0),"")</f>
        <v>10HP</v>
      </c>
      <c r="S653" s="110" t="str">
        <f>IFERROR(VLOOKUP(B653,'02. MM-KLH'!$B$6:$T$823,18,0),"")</f>
        <v>TL202506014010</v>
      </c>
      <c r="T653" s="111" t="str">
        <f>IFERROR(VLOOKUP(B653,'02. MM-KLH'!$B$6:$T$823,19,0),"")</f>
        <v>GT1000B0037706CC</v>
      </c>
      <c r="U653" s="863" t="s">
        <v>3343</v>
      </c>
    </row>
    <row r="654" ht="13.5" customHeight="1" spans="1:21">
      <c r="A654" s="103">
        <f t="shared" si="30"/>
        <v>24</v>
      </c>
      <c r="B654" s="104" t="s">
        <v>1726</v>
      </c>
      <c r="C654" s="102">
        <f>IFERROR(VLOOKUP(B654,'02. MM-KLH'!$B$6:$T$823,2,0),"")</f>
        <v>0</v>
      </c>
      <c r="D654" s="103" t="str">
        <f>IFERROR(VLOOKUP(B654,'02. MM-KLH'!$B$6:$T$823,3,0),"")</f>
        <v>A24-CCD-007</v>
      </c>
      <c r="E654" s="102">
        <f>IFERROR(VLOOKUP(B654,'02. MM-KLH'!$B$6:$T$823,4,0),"")</f>
        <v>0</v>
      </c>
      <c r="F654" s="206"/>
      <c r="G654" s="102" t="str">
        <f>IFERROR(VLOOKUP(B654,'02. MM-KLH'!$B$6:$T$823,6,0),"")</f>
        <v>Máy cắt cỏ trục băm đa năng</v>
      </c>
      <c r="H654" s="101" t="s">
        <v>3530</v>
      </c>
      <c r="I654" s="101" t="str">
        <f>IFERROR(VLOOKUP(B654,'02. MM-KLH'!$B$6:$T$823,8,0),"")</f>
        <v>XN Chuối LP3</v>
      </c>
      <c r="J654" s="105" t="str">
        <f>IFERROR(VLOOKUP(B654,'02. MM-KLH'!$B$6:$T$823,9,0),"")</f>
        <v>25/06/2025</v>
      </c>
      <c r="K654" s="101" t="str">
        <f>IFERROR(VLOOKUP(B654,'02. MM-KLH'!$B$6:$T$823,10,0),"")</f>
        <v>Bình thường</v>
      </c>
      <c r="L654" s="107">
        <f>IFERROR(VLOOKUP(B654,'02. MM-KLH'!$B$6:$T$823,11,0),"")</f>
        <v>0</v>
      </c>
      <c r="M654" s="864" t="str">
        <f>IFERROR(VLOOKUP(B654,'02. MM-KLH'!$B$6:$T$823,12,0),"")</f>
        <v>Đầu tư mới</v>
      </c>
      <c r="N654" s="110" t="str">
        <f>IFERROR(VLOOKUP(B654,'02. MM-KLH'!$B$6:$T$823,13,0),"")</f>
        <v>ISHIKAWA</v>
      </c>
      <c r="O654" s="110" t="str">
        <f>IFERROR(VLOOKUP(B654,'02. MM-KLH'!$B$6:$T$823,14,0),"")</f>
        <v>VIỆT NAM</v>
      </c>
      <c r="P654" s="101">
        <f>IFERROR(VLOOKUP(B654,'02. MM-KLH'!$B$6:$T$823,15,0),"")</f>
        <v>2025</v>
      </c>
      <c r="Q654" s="101" t="str">
        <f>IFERROR(VLOOKUP(B654,'02. MM-KLH'!$B$6:$T$823,16,0),"")</f>
        <v>TL662</v>
      </c>
      <c r="R654" s="101" t="str">
        <f>IFERROR(VLOOKUP(B654,'02. MM-KLH'!$B$6:$T$823,17,0),"")</f>
        <v>10HP</v>
      </c>
      <c r="S654" s="110" t="str">
        <f>IFERROR(VLOOKUP(B654,'02. MM-KLH'!$B$6:$T$823,18,0),"")</f>
        <v>TL202506014012</v>
      </c>
      <c r="T654" s="111" t="str">
        <f>IFERROR(VLOOKUP(B654,'02. MM-KLH'!$B$6:$T$823,19,0),"")</f>
        <v>GT1000B0042101CD</v>
      </c>
      <c r="U654" s="863" t="s">
        <v>3343</v>
      </c>
    </row>
    <row r="655" ht="13.5" customHeight="1" spans="1:21">
      <c r="A655" s="103">
        <f t="shared" si="30"/>
        <v>25</v>
      </c>
      <c r="B655" s="104" t="s">
        <v>1730</v>
      </c>
      <c r="C655" s="102">
        <f>IFERROR(VLOOKUP(B655,'02. MM-KLH'!$B$6:$T$823,2,0),"")</f>
        <v>0</v>
      </c>
      <c r="D655" s="103" t="str">
        <f>IFERROR(VLOOKUP(B655,'02. MM-KLH'!$B$6:$T$823,3,0),"")</f>
        <v>A24-CCD-008</v>
      </c>
      <c r="E655" s="102">
        <f>IFERROR(VLOOKUP(B655,'02. MM-KLH'!$B$6:$T$823,4,0),"")</f>
        <v>0</v>
      </c>
      <c r="F655" s="206"/>
      <c r="G655" s="102" t="str">
        <f>IFERROR(VLOOKUP(B655,'02. MM-KLH'!$B$6:$T$823,6,0),"")</f>
        <v>Máy cắt cỏ trục băm đa năng</v>
      </c>
      <c r="H655" s="101" t="s">
        <v>3530</v>
      </c>
      <c r="I655" s="101" t="str">
        <f>IFERROR(VLOOKUP(B655,'02. MM-KLH'!$B$6:$T$823,8,0),"")</f>
        <v>XN Chuối LP3</v>
      </c>
      <c r="J655" s="105" t="str">
        <f>IFERROR(VLOOKUP(B655,'02. MM-KLH'!$B$6:$T$823,9,0),"")</f>
        <v>25/06/2025</v>
      </c>
      <c r="K655" s="101" t="str">
        <f>IFERROR(VLOOKUP(B655,'02. MM-KLH'!$B$6:$T$823,10,0),"")</f>
        <v>Bình thường</v>
      </c>
      <c r="L655" s="107">
        <f>IFERROR(VLOOKUP(B655,'02. MM-KLH'!$B$6:$T$823,11,0),"")</f>
        <v>0</v>
      </c>
      <c r="M655" s="864" t="str">
        <f>IFERROR(VLOOKUP(B655,'02. MM-KLH'!$B$6:$T$823,12,0),"")</f>
        <v>Đầu tư mới</v>
      </c>
      <c r="N655" s="110" t="str">
        <f>IFERROR(VLOOKUP(B655,'02. MM-KLH'!$B$6:$T$823,13,0),"")</f>
        <v>ISHIKAWA</v>
      </c>
      <c r="O655" s="110" t="str">
        <f>IFERROR(VLOOKUP(B655,'02. MM-KLH'!$B$6:$T$823,14,0),"")</f>
        <v>VIỆT NAM</v>
      </c>
      <c r="P655" s="101">
        <f>IFERROR(VLOOKUP(B655,'02. MM-KLH'!$B$6:$T$823,15,0),"")</f>
        <v>2025</v>
      </c>
      <c r="Q655" s="101" t="str">
        <f>IFERROR(VLOOKUP(B655,'02. MM-KLH'!$B$6:$T$823,16,0),"")</f>
        <v>TL662</v>
      </c>
      <c r="R655" s="101" t="str">
        <f>IFERROR(VLOOKUP(B655,'02. MM-KLH'!$B$6:$T$823,17,0),"")</f>
        <v>10HP</v>
      </c>
      <c r="S655" s="110" t="str">
        <f>IFERROR(VLOOKUP(B655,'02. MM-KLH'!$B$6:$T$823,18,0),"")</f>
        <v>TL202506014016</v>
      </c>
      <c r="T655" s="111" t="str">
        <f>IFERROR(VLOOKUP(B655,'02. MM-KLH'!$B$6:$T$823,19,0),"")</f>
        <v>GT1000B0042102CD</v>
      </c>
      <c r="U655" s="863" t="s">
        <v>3343</v>
      </c>
    </row>
    <row r="656" ht="13.5" customHeight="1" spans="1:21">
      <c r="A656" s="103">
        <f t="shared" si="30"/>
        <v>26</v>
      </c>
      <c r="B656" s="104" t="s">
        <v>1226</v>
      </c>
      <c r="C656" s="102">
        <f>IFERROR(VLOOKUP(B656,'02. MM-KLH'!$B$6:$T$823,2,0),"")</f>
        <v>0</v>
      </c>
      <c r="D656" s="103" t="str">
        <f>IFERROR(VLOOKUP(B656,'02. MM-KLH'!$B$6:$T$823,3,0),"")</f>
        <v>A23-CCD-001</v>
      </c>
      <c r="E656" s="102">
        <f>IFERROR(VLOOKUP(B656,'02. MM-KLH'!$B$6:$T$823,4,0),"")</f>
        <v>0</v>
      </c>
      <c r="F656" s="206"/>
      <c r="G656" s="102" t="str">
        <f>IFERROR(VLOOKUP(B656,'02. MM-KLH'!$B$6:$T$823,6,0),"")</f>
        <v>Máy cắt cỏ trục băm đa năng</v>
      </c>
      <c r="H656" s="101" t="s">
        <v>3530</v>
      </c>
      <c r="I656" s="101" t="str">
        <f>IFERROR(VLOOKUP(B656,'02. MM-KLH'!$B$6:$T$823,8,0),"")</f>
        <v>XN Chuối DP1</v>
      </c>
      <c r="J656" s="105" t="str">
        <f>IFERROR(VLOOKUP(B656,'02. MM-KLH'!$B$6:$T$823,9,0),"")</f>
        <v>25/06/2025</v>
      </c>
      <c r="K656" s="101" t="str">
        <f>IFERROR(VLOOKUP(B656,'02. MM-KLH'!$B$6:$T$823,10,0),"")</f>
        <v>Bình thường</v>
      </c>
      <c r="L656" s="107">
        <f>IFERROR(VLOOKUP(B656,'02. MM-KLH'!$B$6:$T$823,11,0),"")</f>
        <v>0</v>
      </c>
      <c r="M656" s="864" t="str">
        <f>IFERROR(VLOOKUP(B656,'02. MM-KLH'!$B$6:$T$823,12,0),"")</f>
        <v>Đầu tư mới</v>
      </c>
      <c r="N656" s="110" t="str">
        <f>IFERROR(VLOOKUP(B656,'02. MM-KLH'!$B$6:$T$823,13,0),"")</f>
        <v>ISHIKAWA</v>
      </c>
      <c r="O656" s="110" t="str">
        <f>IFERROR(VLOOKUP(B656,'02. MM-KLH'!$B$6:$T$823,14,0),"")</f>
        <v>VIỆT NAM</v>
      </c>
      <c r="P656" s="101">
        <f>IFERROR(VLOOKUP(B656,'02. MM-KLH'!$B$6:$T$823,15,0),"")</f>
        <v>2025</v>
      </c>
      <c r="Q656" s="101" t="str">
        <f>IFERROR(VLOOKUP(B656,'02. MM-KLH'!$B$6:$T$823,16,0),"")</f>
        <v>TL662</v>
      </c>
      <c r="R656" s="101" t="str">
        <f>IFERROR(VLOOKUP(B656,'02. MM-KLH'!$B$6:$T$823,17,0),"")</f>
        <v>10HP</v>
      </c>
      <c r="S656" s="110" t="str">
        <f>IFERROR(VLOOKUP(B656,'02. MM-KLH'!$B$6:$T$823,18,0),"")</f>
        <v>TL20250601401</v>
      </c>
      <c r="T656" s="111" t="str">
        <f>IFERROR(VLOOKUP(B656,'02. MM-KLH'!$B$6:$T$823,19,0),"")</f>
        <v>GT1000B0042098CD</v>
      </c>
      <c r="U656" s="863" t="s">
        <v>3343</v>
      </c>
    </row>
    <row r="657" ht="13.5" customHeight="1" spans="1:21">
      <c r="A657" s="103">
        <f t="shared" si="30"/>
        <v>27</v>
      </c>
      <c r="B657" s="104" t="s">
        <v>1233</v>
      </c>
      <c r="C657" s="102">
        <f>IFERROR(VLOOKUP(B657,'02. MM-KLH'!$B$6:$T$823,2,0),"")</f>
        <v>0</v>
      </c>
      <c r="D657" s="103" t="str">
        <f>IFERROR(VLOOKUP(B657,'02. MM-KLH'!$B$6:$T$823,3,0),"")</f>
        <v>A23-CCD-002</v>
      </c>
      <c r="E657" s="102">
        <f>IFERROR(VLOOKUP(B657,'02. MM-KLH'!$B$6:$T$823,4,0),"")</f>
        <v>0</v>
      </c>
      <c r="F657" s="206"/>
      <c r="G657" s="102" t="str">
        <f>IFERROR(VLOOKUP(B657,'02. MM-KLH'!$B$6:$T$823,6,0),"")</f>
        <v>Máy cắt cỏ trục băm đa năng</v>
      </c>
      <c r="H657" s="101" t="s">
        <v>3530</v>
      </c>
      <c r="I657" s="101" t="str">
        <f>IFERROR(VLOOKUP(B657,'02. MM-KLH'!$B$6:$T$823,8,0),"")</f>
        <v>XN Chuối DP1</v>
      </c>
      <c r="J657" s="105" t="str">
        <f>IFERROR(VLOOKUP(B657,'02. MM-KLH'!$B$6:$T$823,9,0),"")</f>
        <v>25/06/2025</v>
      </c>
      <c r="K657" s="101" t="str">
        <f>IFERROR(VLOOKUP(B657,'02. MM-KLH'!$B$6:$T$823,10,0),"")</f>
        <v>Bình thường</v>
      </c>
      <c r="L657" s="107">
        <f>IFERROR(VLOOKUP(B657,'02. MM-KLH'!$B$6:$T$823,11,0),"")</f>
        <v>0</v>
      </c>
      <c r="M657" s="864" t="str">
        <f>IFERROR(VLOOKUP(B657,'02. MM-KLH'!$B$6:$T$823,12,0),"")</f>
        <v>Đầu tư mới</v>
      </c>
      <c r="N657" s="110" t="str">
        <f>IFERROR(VLOOKUP(B657,'02. MM-KLH'!$B$6:$T$823,13,0),"")</f>
        <v>ISHIKAWA</v>
      </c>
      <c r="O657" s="110" t="str">
        <f>IFERROR(VLOOKUP(B657,'02. MM-KLH'!$B$6:$T$823,14,0),"")</f>
        <v>VIỆT NAM</v>
      </c>
      <c r="P657" s="101">
        <f>IFERROR(VLOOKUP(B657,'02. MM-KLH'!$B$6:$T$823,15,0),"")</f>
        <v>2025</v>
      </c>
      <c r="Q657" s="101" t="str">
        <f>IFERROR(VLOOKUP(B657,'02. MM-KLH'!$B$6:$T$823,16,0),"")</f>
        <v>TL662</v>
      </c>
      <c r="R657" s="101" t="str">
        <f>IFERROR(VLOOKUP(B657,'02. MM-KLH'!$B$6:$T$823,17,0),"")</f>
        <v>10HP</v>
      </c>
      <c r="S657" s="110" t="str">
        <f>IFERROR(VLOOKUP(B657,'02. MM-KLH'!$B$6:$T$823,18,0),"")</f>
        <v>TL20250601402</v>
      </c>
      <c r="T657" s="111" t="str">
        <f>IFERROR(VLOOKUP(B657,'02. MM-KLH'!$B$6:$T$823,19,0),"")</f>
        <v>GT1000B0042097CD</v>
      </c>
      <c r="U657" s="863" t="s">
        <v>3343</v>
      </c>
    </row>
    <row r="658" ht="13.5" customHeight="1" spans="1:21">
      <c r="A658" s="103">
        <f t="shared" si="30"/>
        <v>28</v>
      </c>
      <c r="B658" s="104" t="s">
        <v>1237</v>
      </c>
      <c r="C658" s="102">
        <f>IFERROR(VLOOKUP(B658,'02. MM-KLH'!$B$6:$T$823,2,0),"")</f>
        <v>0</v>
      </c>
      <c r="D658" s="103" t="str">
        <f>IFERROR(VLOOKUP(B658,'02. MM-KLH'!$B$6:$T$823,3,0),"")</f>
        <v>A23-CCD-003</v>
      </c>
      <c r="E658" s="102">
        <f>IFERROR(VLOOKUP(B658,'02. MM-KLH'!$B$6:$T$823,4,0),"")</f>
        <v>0</v>
      </c>
      <c r="F658" s="206"/>
      <c r="G658" s="102" t="str">
        <f>IFERROR(VLOOKUP(B658,'02. MM-KLH'!$B$6:$T$823,6,0),"")</f>
        <v>Máy cắt cỏ trục băm đa năng</v>
      </c>
      <c r="H658" s="101" t="s">
        <v>3530</v>
      </c>
      <c r="I658" s="101" t="str">
        <f>IFERROR(VLOOKUP(B658,'02. MM-KLH'!$B$6:$T$823,8,0),"")</f>
        <v>XN Chuối DP1</v>
      </c>
      <c r="J658" s="105" t="str">
        <f>IFERROR(VLOOKUP(B658,'02. MM-KLH'!$B$6:$T$823,9,0),"")</f>
        <v>25/06/2025</v>
      </c>
      <c r="K658" s="101" t="str">
        <f>IFERROR(VLOOKUP(B658,'02. MM-KLH'!$B$6:$T$823,10,0),"")</f>
        <v>Bình thường</v>
      </c>
      <c r="L658" s="107">
        <f>IFERROR(VLOOKUP(B658,'02. MM-KLH'!$B$6:$T$823,11,0),"")</f>
        <v>0</v>
      </c>
      <c r="M658" s="864" t="str">
        <f>IFERROR(VLOOKUP(B658,'02. MM-KLH'!$B$6:$T$823,12,0),"")</f>
        <v>Đầu tư mới</v>
      </c>
      <c r="N658" s="110" t="str">
        <f>IFERROR(VLOOKUP(B658,'02. MM-KLH'!$B$6:$T$823,13,0),"")</f>
        <v>ISHIKAWA</v>
      </c>
      <c r="O658" s="110" t="str">
        <f>IFERROR(VLOOKUP(B658,'02. MM-KLH'!$B$6:$T$823,14,0),"")</f>
        <v>VIỆT NAM</v>
      </c>
      <c r="P658" s="101">
        <f>IFERROR(VLOOKUP(B658,'02. MM-KLH'!$B$6:$T$823,15,0),"")</f>
        <v>2025</v>
      </c>
      <c r="Q658" s="101" t="str">
        <f>IFERROR(VLOOKUP(B658,'02. MM-KLH'!$B$6:$T$823,16,0),"")</f>
        <v>TL662</v>
      </c>
      <c r="R658" s="101" t="str">
        <f>IFERROR(VLOOKUP(B658,'02. MM-KLH'!$B$6:$T$823,17,0),"")</f>
        <v>10HP</v>
      </c>
      <c r="S658" s="110" t="str">
        <f>IFERROR(VLOOKUP(B658,'02. MM-KLH'!$B$6:$T$823,18,0),"")</f>
        <v>TL20250601407</v>
      </c>
      <c r="T658" s="111" t="str">
        <f>IFERROR(VLOOKUP(B658,'02. MM-KLH'!$B$6:$T$823,19,0),"")</f>
        <v>GT1000B0042095CD</v>
      </c>
      <c r="U658" s="863" t="s">
        <v>3343</v>
      </c>
    </row>
    <row r="659" ht="13.5" customHeight="1" spans="1:21">
      <c r="A659" s="103">
        <f t="shared" si="30"/>
        <v>29</v>
      </c>
      <c r="B659" s="104" t="s">
        <v>1241</v>
      </c>
      <c r="C659" s="102">
        <f>IFERROR(VLOOKUP(B659,'02. MM-KLH'!$B$6:$T$823,2,0),"")</f>
        <v>0</v>
      </c>
      <c r="D659" s="103" t="str">
        <f>IFERROR(VLOOKUP(B659,'02. MM-KLH'!$B$6:$T$823,3,0),"")</f>
        <v>A23-CCD-004</v>
      </c>
      <c r="E659" s="102">
        <f>IFERROR(VLOOKUP(B659,'02. MM-KLH'!$B$6:$T$823,4,0),"")</f>
        <v>0</v>
      </c>
      <c r="F659" s="206"/>
      <c r="G659" s="102" t="str">
        <f>IFERROR(VLOOKUP(B659,'02. MM-KLH'!$B$6:$T$823,6,0),"")</f>
        <v>Máy cắt cỏ trục băm đa năng</v>
      </c>
      <c r="H659" s="101" t="s">
        <v>3530</v>
      </c>
      <c r="I659" s="101" t="str">
        <f>IFERROR(VLOOKUP(B659,'02. MM-KLH'!$B$6:$T$823,8,0),"")</f>
        <v>XN Chuối DP1</v>
      </c>
      <c r="J659" s="105" t="str">
        <f>IFERROR(VLOOKUP(B659,'02. MM-KLH'!$B$6:$T$823,9,0),"")</f>
        <v>25/06/2025</v>
      </c>
      <c r="K659" s="101" t="str">
        <f>IFERROR(VLOOKUP(B659,'02. MM-KLH'!$B$6:$T$823,10,0),"")</f>
        <v>Bình thường</v>
      </c>
      <c r="L659" s="107">
        <f>IFERROR(VLOOKUP(B659,'02. MM-KLH'!$B$6:$T$823,11,0),"")</f>
        <v>0</v>
      </c>
      <c r="M659" s="864" t="str">
        <f>IFERROR(VLOOKUP(B659,'02. MM-KLH'!$B$6:$T$823,12,0),"")</f>
        <v>Đầu tư mới</v>
      </c>
      <c r="N659" s="110" t="str">
        <f>IFERROR(VLOOKUP(B659,'02. MM-KLH'!$B$6:$T$823,13,0),"")</f>
        <v>ISHIKAWA</v>
      </c>
      <c r="O659" s="110" t="str">
        <f>IFERROR(VLOOKUP(B659,'02. MM-KLH'!$B$6:$T$823,14,0),"")</f>
        <v>VIỆT NAM</v>
      </c>
      <c r="P659" s="101">
        <f>IFERROR(VLOOKUP(B659,'02. MM-KLH'!$B$6:$T$823,15,0),"")</f>
        <v>2025</v>
      </c>
      <c r="Q659" s="101" t="str">
        <f>IFERROR(VLOOKUP(B659,'02. MM-KLH'!$B$6:$T$823,16,0),"")</f>
        <v>TL662</v>
      </c>
      <c r="R659" s="101" t="str">
        <f>IFERROR(VLOOKUP(B659,'02. MM-KLH'!$B$6:$T$823,17,0),"")</f>
        <v>10HP</v>
      </c>
      <c r="S659" s="110" t="str">
        <f>IFERROR(VLOOKUP(B659,'02. MM-KLH'!$B$6:$T$823,18,0),"")</f>
        <v>TL20250601408</v>
      </c>
      <c r="T659" s="111" t="str">
        <f>IFERROR(VLOOKUP(B659,'02. MM-KLH'!$B$6:$T$823,19,0),"")</f>
        <v>GT1000B0042141CD</v>
      </c>
      <c r="U659" s="863" t="s">
        <v>3343</v>
      </c>
    </row>
    <row r="660" ht="13.5" customHeight="1" spans="1:21">
      <c r="A660" s="103">
        <f t="shared" si="30"/>
        <v>30</v>
      </c>
      <c r="B660" s="104" t="s">
        <v>1328</v>
      </c>
      <c r="C660" s="102">
        <f>IFERROR(VLOOKUP(B660,'02. MM-KLH'!$B$6:$T$823,2,0),"")</f>
        <v>0</v>
      </c>
      <c r="D660" s="103" t="str">
        <f>IFERROR(VLOOKUP(B660,'02. MM-KLH'!$B$6:$T$823,3,0),"")</f>
        <v>A23-CCD-005</v>
      </c>
      <c r="E660" s="102">
        <f>IFERROR(VLOOKUP(B660,'02. MM-KLH'!$B$6:$T$823,4,0),"")</f>
        <v>0</v>
      </c>
      <c r="F660" s="206"/>
      <c r="G660" s="102" t="str">
        <f>IFERROR(VLOOKUP(B660,'02. MM-KLH'!$B$6:$T$823,6,0),"")</f>
        <v>Máy cắt cỏ trục băm đa năng</v>
      </c>
      <c r="H660" s="101" t="s">
        <v>3530</v>
      </c>
      <c r="I660" s="101" t="str">
        <f>IFERROR(VLOOKUP(B660,'02. MM-KLH'!$B$6:$T$823,8,0),"")</f>
        <v>XN Chuối DP2</v>
      </c>
      <c r="J660" s="105" t="str">
        <f>IFERROR(VLOOKUP(B660,'02. MM-KLH'!$B$6:$T$823,9,0),"")</f>
        <v>25/06/2025</v>
      </c>
      <c r="K660" s="101" t="str">
        <f>IFERROR(VLOOKUP(B660,'02. MM-KLH'!$B$6:$T$823,10,0),"")</f>
        <v>Bình thường</v>
      </c>
      <c r="L660" s="107">
        <f>IFERROR(VLOOKUP(B660,'02. MM-KLH'!$B$6:$T$823,11,0),"")</f>
        <v>0</v>
      </c>
      <c r="M660" s="864" t="str">
        <f>IFERROR(VLOOKUP(B660,'02. MM-KLH'!$B$6:$T$823,12,0),"")</f>
        <v>Đầu tư mới</v>
      </c>
      <c r="N660" s="110" t="str">
        <f>IFERROR(VLOOKUP(B660,'02. MM-KLH'!$B$6:$T$823,13,0),"")</f>
        <v>ISHIKAWA</v>
      </c>
      <c r="O660" s="110" t="str">
        <f>IFERROR(VLOOKUP(B660,'02. MM-KLH'!$B$6:$T$823,14,0),"")</f>
        <v>VIỆT NAM</v>
      </c>
      <c r="P660" s="101">
        <f>IFERROR(VLOOKUP(B660,'02. MM-KLH'!$B$6:$T$823,15,0),"")</f>
        <v>2025</v>
      </c>
      <c r="Q660" s="101" t="str">
        <f>IFERROR(VLOOKUP(B660,'02. MM-KLH'!$B$6:$T$823,16,0),"")</f>
        <v>TL662</v>
      </c>
      <c r="R660" s="101" t="str">
        <f>IFERROR(VLOOKUP(B660,'02. MM-KLH'!$B$6:$T$823,17,0),"")</f>
        <v>10HP</v>
      </c>
      <c r="S660" s="110" t="str">
        <f>IFERROR(VLOOKUP(B660,'02. MM-KLH'!$B$6:$T$823,18,0),"")</f>
        <v>TL20250601404</v>
      </c>
      <c r="T660" s="111" t="str">
        <f>IFERROR(VLOOKUP(B660,'02. MM-KLH'!$B$6:$T$823,19,0),"")</f>
        <v>GT1000B0042094CD</v>
      </c>
      <c r="U660" s="863" t="s">
        <v>3343</v>
      </c>
    </row>
    <row r="661" ht="13.5" customHeight="1" spans="1:21">
      <c r="A661" s="103">
        <f t="shared" si="30"/>
        <v>31</v>
      </c>
      <c r="B661" s="104" t="s">
        <v>1332</v>
      </c>
      <c r="C661" s="102">
        <f>IFERROR(VLOOKUP(B661,'02. MM-KLH'!$B$6:$T$823,2,0),"")</f>
        <v>0</v>
      </c>
      <c r="D661" s="103" t="str">
        <f>IFERROR(VLOOKUP(B661,'02. MM-KLH'!$B$6:$T$823,3,0),"")</f>
        <v>A23-CCD-006</v>
      </c>
      <c r="E661" s="102">
        <f>IFERROR(VLOOKUP(B661,'02. MM-KLH'!$B$6:$T$823,4,0),"")</f>
        <v>0</v>
      </c>
      <c r="F661" s="206"/>
      <c r="G661" s="102" t="str">
        <f>IFERROR(VLOOKUP(B661,'02. MM-KLH'!$B$6:$T$823,6,0),"")</f>
        <v>Máy cắt cỏ trục băm đa năng</v>
      </c>
      <c r="H661" s="101" t="s">
        <v>3530</v>
      </c>
      <c r="I661" s="101" t="str">
        <f>IFERROR(VLOOKUP(B661,'02. MM-KLH'!$B$6:$T$823,8,0),"")</f>
        <v>XN Chuối DP2</v>
      </c>
      <c r="J661" s="105" t="str">
        <f>IFERROR(VLOOKUP(B661,'02. MM-KLH'!$B$6:$T$823,9,0),"")</f>
        <v>25/06/2025</v>
      </c>
      <c r="K661" s="101" t="str">
        <f>IFERROR(VLOOKUP(B661,'02. MM-KLH'!$B$6:$T$823,10,0),"")</f>
        <v>Bình thường</v>
      </c>
      <c r="L661" s="107">
        <f>IFERROR(VLOOKUP(B661,'02. MM-KLH'!$B$6:$T$823,11,0),"")</f>
        <v>0</v>
      </c>
      <c r="M661" s="864" t="str">
        <f>IFERROR(VLOOKUP(B661,'02. MM-KLH'!$B$6:$T$823,12,0),"")</f>
        <v>Đầu tư mới</v>
      </c>
      <c r="N661" s="110" t="str">
        <f>IFERROR(VLOOKUP(B661,'02. MM-KLH'!$B$6:$T$823,13,0),"")</f>
        <v>ISHIKAWA</v>
      </c>
      <c r="O661" s="110" t="str">
        <f>IFERROR(VLOOKUP(B661,'02. MM-KLH'!$B$6:$T$823,14,0),"")</f>
        <v>VIỆT NAM</v>
      </c>
      <c r="P661" s="101">
        <f>IFERROR(VLOOKUP(B661,'02. MM-KLH'!$B$6:$T$823,15,0),"")</f>
        <v>2025</v>
      </c>
      <c r="Q661" s="101" t="str">
        <f>IFERROR(VLOOKUP(B661,'02. MM-KLH'!$B$6:$T$823,16,0),"")</f>
        <v>TL662</v>
      </c>
      <c r="R661" s="101" t="str">
        <f>IFERROR(VLOOKUP(B661,'02. MM-KLH'!$B$6:$T$823,17,0),"")</f>
        <v>10HP</v>
      </c>
      <c r="S661" s="110" t="str">
        <f>IFERROR(VLOOKUP(B661,'02. MM-KLH'!$B$6:$T$823,18,0),"")</f>
        <v>TL202506014015</v>
      </c>
      <c r="T661" s="111" t="str">
        <f>IFERROR(VLOOKUP(B661,'02. MM-KLH'!$B$6:$T$823,19,0),"")</f>
        <v>GT1000B0042109CD</v>
      </c>
      <c r="U661" s="863" t="s">
        <v>3343</v>
      </c>
    </row>
    <row r="662" ht="13.5" customHeight="1" spans="1:21">
      <c r="A662" s="103">
        <f t="shared" si="30"/>
        <v>32</v>
      </c>
      <c r="B662" s="104" t="s">
        <v>1336</v>
      </c>
      <c r="C662" s="102">
        <f>IFERROR(VLOOKUP(B662,'02. MM-KLH'!$B$6:$T$823,2,0),"")</f>
        <v>0</v>
      </c>
      <c r="D662" s="103" t="str">
        <f>IFERROR(VLOOKUP(B662,'02. MM-KLH'!$B$6:$T$823,3,0),"")</f>
        <v>A23-CCD-007</v>
      </c>
      <c r="E662" s="102">
        <f>IFERROR(VLOOKUP(B662,'02. MM-KLH'!$B$6:$T$823,4,0),"")</f>
        <v>0</v>
      </c>
      <c r="F662" s="206"/>
      <c r="G662" s="102" t="str">
        <f>IFERROR(VLOOKUP(B662,'02. MM-KLH'!$B$6:$T$823,6,0),"")</f>
        <v>Máy cắt cỏ trục băm đa năng</v>
      </c>
      <c r="H662" s="101" t="s">
        <v>3530</v>
      </c>
      <c r="I662" s="101" t="str">
        <f>IFERROR(VLOOKUP(B662,'02. MM-KLH'!$B$6:$T$823,8,0),"")</f>
        <v>XN Chuối DP2</v>
      </c>
      <c r="J662" s="105" t="str">
        <f>IFERROR(VLOOKUP(B662,'02. MM-KLH'!$B$6:$T$823,9,0),"")</f>
        <v>25/06/2025</v>
      </c>
      <c r="K662" s="101" t="str">
        <f>IFERROR(VLOOKUP(B662,'02. MM-KLH'!$B$6:$T$823,10,0),"")</f>
        <v>Bình thường</v>
      </c>
      <c r="L662" s="107">
        <f>IFERROR(VLOOKUP(B662,'02. MM-KLH'!$B$6:$T$823,11,0),"")</f>
        <v>0</v>
      </c>
      <c r="M662" s="864" t="str">
        <f>IFERROR(VLOOKUP(B662,'02. MM-KLH'!$B$6:$T$823,12,0),"")</f>
        <v>Đầu tư mới</v>
      </c>
      <c r="N662" s="110" t="str">
        <f>IFERROR(VLOOKUP(B662,'02. MM-KLH'!$B$6:$T$823,13,0),"")</f>
        <v>ISHIKAWA</v>
      </c>
      <c r="O662" s="110" t="str">
        <f>IFERROR(VLOOKUP(B662,'02. MM-KLH'!$B$6:$T$823,14,0),"")</f>
        <v>VIỆT NAM</v>
      </c>
      <c r="P662" s="101">
        <f>IFERROR(VLOOKUP(B662,'02. MM-KLH'!$B$6:$T$823,15,0),"")</f>
        <v>2025</v>
      </c>
      <c r="Q662" s="101" t="str">
        <f>IFERROR(VLOOKUP(B662,'02. MM-KLH'!$B$6:$T$823,16,0),"")</f>
        <v>TL662</v>
      </c>
      <c r="R662" s="101" t="str">
        <f>IFERROR(VLOOKUP(B662,'02. MM-KLH'!$B$6:$T$823,17,0),"")</f>
        <v>10HP</v>
      </c>
      <c r="S662" s="110" t="str">
        <f>IFERROR(VLOOKUP(B662,'02. MM-KLH'!$B$6:$T$823,18,0),"")</f>
        <v>TL202506014017</v>
      </c>
      <c r="T662" s="111" t="str">
        <f>IFERROR(VLOOKUP(B662,'02. MM-KLH'!$B$6:$T$823,19,0),"")</f>
        <v>GT1000B0042099CD</v>
      </c>
      <c r="U662" s="863" t="s">
        <v>3343</v>
      </c>
    </row>
    <row r="663" ht="13.5" customHeight="1" spans="1:21">
      <c r="A663" s="103">
        <f t="shared" si="30"/>
        <v>33</v>
      </c>
      <c r="B663" s="104" t="s">
        <v>1340</v>
      </c>
      <c r="C663" s="102">
        <f>IFERROR(VLOOKUP(B663,'02. MM-KLH'!$B$6:$T$823,2,0),"")</f>
        <v>0</v>
      </c>
      <c r="D663" s="103" t="str">
        <f>IFERROR(VLOOKUP(B663,'02. MM-KLH'!$B$6:$T$823,3,0),"")</f>
        <v>A23-CCD-008</v>
      </c>
      <c r="E663" s="102">
        <f>IFERROR(VLOOKUP(B663,'02. MM-KLH'!$B$6:$T$823,4,0),"")</f>
        <v>0</v>
      </c>
      <c r="F663" s="206"/>
      <c r="G663" s="102" t="str">
        <f>IFERROR(VLOOKUP(B663,'02. MM-KLH'!$B$6:$T$823,6,0),"")</f>
        <v>Máy cắt cỏ trục băm đa năng</v>
      </c>
      <c r="H663" s="101" t="s">
        <v>3530</v>
      </c>
      <c r="I663" s="101" t="str">
        <f>IFERROR(VLOOKUP(B663,'02. MM-KLH'!$B$6:$T$823,8,0),"")</f>
        <v>XN Chuối DP2</v>
      </c>
      <c r="J663" s="105" t="str">
        <f>IFERROR(VLOOKUP(B663,'02. MM-KLH'!$B$6:$T$823,9,0),"")</f>
        <v>25/06/2025</v>
      </c>
      <c r="K663" s="101" t="str">
        <f>IFERROR(VLOOKUP(B663,'02. MM-KLH'!$B$6:$T$823,10,0),"")</f>
        <v>Bình thường</v>
      </c>
      <c r="L663" s="107">
        <f>IFERROR(VLOOKUP(B663,'02. MM-KLH'!$B$6:$T$823,11,0),"")</f>
        <v>0</v>
      </c>
      <c r="M663" s="864" t="str">
        <f>IFERROR(VLOOKUP(B663,'02. MM-KLH'!$B$6:$T$823,12,0),"")</f>
        <v>Đầu tư mới</v>
      </c>
      <c r="N663" s="110" t="str">
        <f>IFERROR(VLOOKUP(B663,'02. MM-KLH'!$B$6:$T$823,13,0),"")</f>
        <v>ISHIKAWA</v>
      </c>
      <c r="O663" s="110" t="str">
        <f>IFERROR(VLOOKUP(B663,'02. MM-KLH'!$B$6:$T$823,14,0),"")</f>
        <v>VIỆT NAM</v>
      </c>
      <c r="P663" s="101">
        <f>IFERROR(VLOOKUP(B663,'02. MM-KLH'!$B$6:$T$823,15,0),"")</f>
        <v>2025</v>
      </c>
      <c r="Q663" s="101" t="str">
        <f>IFERROR(VLOOKUP(B663,'02. MM-KLH'!$B$6:$T$823,16,0),"")</f>
        <v>TL662</v>
      </c>
      <c r="R663" s="101" t="str">
        <f>IFERROR(VLOOKUP(B663,'02. MM-KLH'!$B$6:$T$823,17,0),"")</f>
        <v>10HP</v>
      </c>
      <c r="S663" s="110" t="str">
        <f>IFERROR(VLOOKUP(B663,'02. MM-KLH'!$B$6:$T$823,18,0),"")</f>
        <v>TL202506014020</v>
      </c>
      <c r="T663" s="111" t="str">
        <f>IFERROR(VLOOKUP(B663,'02. MM-KLH'!$B$6:$T$823,19,0),"")</f>
        <v>GT1000B0042092CD</v>
      </c>
      <c r="U663" s="863" t="s">
        <v>3343</v>
      </c>
    </row>
    <row r="664" ht="13.5" customHeight="1" spans="1:21">
      <c r="A664" s="103">
        <f t="shared" si="30"/>
        <v>34</v>
      </c>
      <c r="B664" s="104" t="s">
        <v>1436</v>
      </c>
      <c r="C664" s="102">
        <f>IFERROR(VLOOKUP(B664,'02. MM-KLH'!$B$6:$T$823,2,0),"")</f>
        <v>0</v>
      </c>
      <c r="D664" s="103" t="str">
        <f>IFERROR(VLOOKUP(B664,'02. MM-KLH'!$B$6:$T$823,3,0),"")</f>
        <v>A23-CCD-009</v>
      </c>
      <c r="E664" s="102">
        <f>IFERROR(VLOOKUP(B664,'02. MM-KLH'!$B$6:$T$823,4,0),"")</f>
        <v>0</v>
      </c>
      <c r="F664" s="206"/>
      <c r="G664" s="102" t="str">
        <f>IFERROR(VLOOKUP(B664,'02. MM-KLH'!$B$6:$T$823,6,0),"")</f>
        <v>Máy cắt cỏ trục băm đa năng</v>
      </c>
      <c r="H664" s="101" t="s">
        <v>3530</v>
      </c>
      <c r="I664" s="101" t="str">
        <f>IFERROR(VLOOKUP(B664,'02. MM-KLH'!$B$6:$T$823,8,0),"")</f>
        <v>XN Chuối DP3</v>
      </c>
      <c r="J664" s="105" t="str">
        <f>IFERROR(VLOOKUP(B664,'02. MM-KLH'!$B$6:$T$823,9,0),"")</f>
        <v>25/06/2025</v>
      </c>
      <c r="K664" s="101" t="str">
        <f>IFERROR(VLOOKUP(B664,'02. MM-KLH'!$B$6:$T$823,10,0),"")</f>
        <v>Bình thường</v>
      </c>
      <c r="L664" s="107">
        <f>IFERROR(VLOOKUP(B664,'02. MM-KLH'!$B$6:$T$823,11,0),"")</f>
        <v>0</v>
      </c>
      <c r="M664" s="864" t="str">
        <f>IFERROR(VLOOKUP(B664,'02. MM-KLH'!$B$6:$T$823,12,0),"")</f>
        <v>Đầu tư mới</v>
      </c>
      <c r="N664" s="110" t="str">
        <f>IFERROR(VLOOKUP(B664,'02. MM-KLH'!$B$6:$T$823,13,0),"")</f>
        <v>ISHIKAWA</v>
      </c>
      <c r="O664" s="110" t="str">
        <f>IFERROR(VLOOKUP(B664,'02. MM-KLH'!$B$6:$T$823,14,0),"")</f>
        <v>VIỆT NAM</v>
      </c>
      <c r="P664" s="101">
        <f>IFERROR(VLOOKUP(B664,'02. MM-KLH'!$B$6:$T$823,15,0),"")</f>
        <v>2025</v>
      </c>
      <c r="Q664" s="101" t="str">
        <f>IFERROR(VLOOKUP(B664,'02. MM-KLH'!$B$6:$T$823,16,0),"")</f>
        <v>TL662</v>
      </c>
      <c r="R664" s="101" t="str">
        <f>IFERROR(VLOOKUP(B664,'02. MM-KLH'!$B$6:$T$823,17,0),"")</f>
        <v>10HP</v>
      </c>
      <c r="S664" s="110" t="str">
        <f>IFERROR(VLOOKUP(B664,'02. MM-KLH'!$B$6:$T$823,18,0),"")</f>
        <v>TL20250601403</v>
      </c>
      <c r="T664" s="111" t="str">
        <f>IFERROR(VLOOKUP(B664,'02. MM-KLH'!$B$6:$T$823,19,0),"")</f>
        <v>GT1000B0037703CC</v>
      </c>
      <c r="U664" s="863" t="s">
        <v>3343</v>
      </c>
    </row>
    <row r="665" ht="13.5" customHeight="1" spans="1:21">
      <c r="A665" s="103">
        <f t="shared" si="30"/>
        <v>35</v>
      </c>
      <c r="B665" s="104" t="s">
        <v>1440</v>
      </c>
      <c r="C665" s="102">
        <f>IFERROR(VLOOKUP(B665,'02. MM-KLH'!$B$6:$T$823,2,0),"")</f>
        <v>0</v>
      </c>
      <c r="D665" s="103" t="str">
        <f>IFERROR(VLOOKUP(B665,'02. MM-KLH'!$B$6:$T$823,3,0),"")</f>
        <v>A23-CCD-010</v>
      </c>
      <c r="E665" s="102">
        <f>IFERROR(VLOOKUP(B665,'02. MM-KLH'!$B$6:$T$823,4,0),"")</f>
        <v>0</v>
      </c>
      <c r="F665" s="206"/>
      <c r="G665" s="102" t="str">
        <f>IFERROR(VLOOKUP(B665,'02. MM-KLH'!$B$6:$T$823,6,0),"")</f>
        <v>Máy cắt cỏ trục băm đa năng</v>
      </c>
      <c r="H665" s="101" t="s">
        <v>3530</v>
      </c>
      <c r="I665" s="101" t="str">
        <f>IFERROR(VLOOKUP(B665,'02. MM-KLH'!$B$6:$T$823,8,0),"")</f>
        <v>XN Chuối DP3</v>
      </c>
      <c r="J665" s="105" t="str">
        <f>IFERROR(VLOOKUP(B665,'02. MM-KLH'!$B$6:$T$823,9,0),"")</f>
        <v>25/06/2025</v>
      </c>
      <c r="K665" s="101" t="str">
        <f>IFERROR(VLOOKUP(B665,'02. MM-KLH'!$B$6:$T$823,10,0),"")</f>
        <v>Bình thường</v>
      </c>
      <c r="L665" s="107">
        <f>IFERROR(VLOOKUP(B665,'02. MM-KLH'!$B$6:$T$823,11,0),"")</f>
        <v>0</v>
      </c>
      <c r="M665" s="864" t="str">
        <f>IFERROR(VLOOKUP(B665,'02. MM-KLH'!$B$6:$T$823,12,0),"")</f>
        <v>Đầu tư mới</v>
      </c>
      <c r="N665" s="110" t="str">
        <f>IFERROR(VLOOKUP(B665,'02. MM-KLH'!$B$6:$T$823,13,0),"")</f>
        <v>ISHIKAWA</v>
      </c>
      <c r="O665" s="110" t="str">
        <f>IFERROR(VLOOKUP(B665,'02. MM-KLH'!$B$6:$T$823,14,0),"")</f>
        <v>VIỆT NAM</v>
      </c>
      <c r="P665" s="101">
        <f>IFERROR(VLOOKUP(B665,'02. MM-KLH'!$B$6:$T$823,15,0),"")</f>
        <v>2025</v>
      </c>
      <c r="Q665" s="101" t="str">
        <f>IFERROR(VLOOKUP(B665,'02. MM-KLH'!$B$6:$T$823,16,0),"")</f>
        <v>TL662</v>
      </c>
      <c r="R665" s="101" t="str">
        <f>IFERROR(VLOOKUP(B665,'02. MM-KLH'!$B$6:$T$823,17,0),"")</f>
        <v>10HP</v>
      </c>
      <c r="S665" s="110" t="str">
        <f>IFERROR(VLOOKUP(B665,'02. MM-KLH'!$B$6:$T$823,18,0),"")</f>
        <v>TL20250601405</v>
      </c>
      <c r="T665" s="111" t="str">
        <f>IFERROR(VLOOKUP(B665,'02. MM-KLH'!$B$6:$T$823,19,0),"")</f>
        <v>GT1000B0042145CD</v>
      </c>
      <c r="U665" s="863" t="s">
        <v>3343</v>
      </c>
    </row>
    <row r="666" ht="13.5" customHeight="1" spans="1:21">
      <c r="A666" s="103">
        <f t="shared" si="30"/>
        <v>36</v>
      </c>
      <c r="B666" s="104" t="s">
        <v>1444</v>
      </c>
      <c r="C666" s="102">
        <f>IFERROR(VLOOKUP(B666,'02. MM-KLH'!$B$6:$T$823,2,0),"")</f>
        <v>0</v>
      </c>
      <c r="D666" s="103" t="str">
        <f>IFERROR(VLOOKUP(B666,'02. MM-KLH'!$B$6:$T$823,3,0),"")</f>
        <v>A23-CCD-011</v>
      </c>
      <c r="E666" s="102">
        <f>IFERROR(VLOOKUP(B666,'02. MM-KLH'!$B$6:$T$823,4,0),"")</f>
        <v>0</v>
      </c>
      <c r="F666" s="206"/>
      <c r="G666" s="102" t="str">
        <f>IFERROR(VLOOKUP(B666,'02. MM-KLH'!$B$6:$T$823,6,0),"")</f>
        <v>Máy cắt cỏ trục băm đa năng</v>
      </c>
      <c r="H666" s="101" t="s">
        <v>3530</v>
      </c>
      <c r="I666" s="101" t="str">
        <f>IFERROR(VLOOKUP(B666,'02. MM-KLH'!$B$6:$T$823,8,0),"")</f>
        <v>XN Chuối DP3</v>
      </c>
      <c r="J666" s="105" t="str">
        <f>IFERROR(VLOOKUP(B666,'02. MM-KLH'!$B$6:$T$823,9,0),"")</f>
        <v>25/06/2025</v>
      </c>
      <c r="K666" s="101" t="str">
        <f>IFERROR(VLOOKUP(B666,'02. MM-KLH'!$B$6:$T$823,10,0),"")</f>
        <v>Bình thường</v>
      </c>
      <c r="L666" s="107">
        <f>IFERROR(VLOOKUP(B666,'02. MM-KLH'!$B$6:$T$823,11,0),"")</f>
        <v>0</v>
      </c>
      <c r="M666" s="864" t="str">
        <f>IFERROR(VLOOKUP(B666,'02. MM-KLH'!$B$6:$T$823,12,0),"")</f>
        <v>Đầu tư mới</v>
      </c>
      <c r="N666" s="110" t="str">
        <f>IFERROR(VLOOKUP(B666,'02. MM-KLH'!$B$6:$T$823,13,0),"")</f>
        <v>ISHIKAWA</v>
      </c>
      <c r="O666" s="110" t="str">
        <f>IFERROR(VLOOKUP(B666,'02. MM-KLH'!$B$6:$T$823,14,0),"")</f>
        <v>VIỆT NAM</v>
      </c>
      <c r="P666" s="101">
        <f>IFERROR(VLOOKUP(B666,'02. MM-KLH'!$B$6:$T$823,15,0),"")</f>
        <v>2025</v>
      </c>
      <c r="Q666" s="101" t="str">
        <f>IFERROR(VLOOKUP(B666,'02. MM-KLH'!$B$6:$T$823,16,0),"")</f>
        <v>TL662</v>
      </c>
      <c r="R666" s="101" t="str">
        <f>IFERROR(VLOOKUP(B666,'02. MM-KLH'!$B$6:$T$823,17,0),"")</f>
        <v>10HP</v>
      </c>
      <c r="S666" s="110" t="str">
        <f>IFERROR(VLOOKUP(B666,'02. MM-KLH'!$B$6:$T$823,18,0),"")</f>
        <v>TL202506014018</v>
      </c>
      <c r="T666" s="111" t="str">
        <f>IFERROR(VLOOKUP(B666,'02. MM-KLH'!$B$6:$T$823,19,0),"")</f>
        <v>GT1000B0012093CD</v>
      </c>
      <c r="U666" s="863" t="s">
        <v>3343</v>
      </c>
    </row>
    <row r="667" ht="13.5" customHeight="1" spans="1:21">
      <c r="A667" s="103">
        <f t="shared" si="30"/>
        <v>37</v>
      </c>
      <c r="B667" s="104" t="s">
        <v>1448</v>
      </c>
      <c r="C667" s="102">
        <f>IFERROR(VLOOKUP(B667,'02. MM-KLH'!$B$6:$T$823,2,0),"")</f>
        <v>0</v>
      </c>
      <c r="D667" s="103" t="str">
        <f>IFERROR(VLOOKUP(B667,'02. MM-KLH'!$B$6:$T$823,3,0),"")</f>
        <v>A23-CCD-012</v>
      </c>
      <c r="E667" s="102">
        <f>IFERROR(VLOOKUP(B667,'02. MM-KLH'!$B$6:$T$823,4,0),"")</f>
        <v>0</v>
      </c>
      <c r="F667" s="206"/>
      <c r="G667" s="102" t="str">
        <f>IFERROR(VLOOKUP(B667,'02. MM-KLH'!$B$6:$T$823,6,0),"")</f>
        <v>Máy cắt cỏ trục băm đa năng</v>
      </c>
      <c r="H667" s="101" t="s">
        <v>3530</v>
      </c>
      <c r="I667" s="101" t="str">
        <f>IFERROR(VLOOKUP(B667,'02. MM-KLH'!$B$6:$T$823,8,0),"")</f>
        <v>XN Chuối DP3</v>
      </c>
      <c r="J667" s="105" t="str">
        <f>IFERROR(VLOOKUP(B667,'02. MM-KLH'!$B$6:$T$823,9,0),"")</f>
        <v>25/06/2025</v>
      </c>
      <c r="K667" s="101" t="str">
        <f>IFERROR(VLOOKUP(B667,'02. MM-KLH'!$B$6:$T$823,10,0),"")</f>
        <v>Bình thường</v>
      </c>
      <c r="L667" s="107">
        <f>IFERROR(VLOOKUP(B667,'02. MM-KLH'!$B$6:$T$823,11,0),"")</f>
        <v>0</v>
      </c>
      <c r="M667" s="864" t="str">
        <f>IFERROR(VLOOKUP(B667,'02. MM-KLH'!$B$6:$T$823,12,0),"")</f>
        <v>Đầu tư mới</v>
      </c>
      <c r="N667" s="110" t="str">
        <f>IFERROR(VLOOKUP(B667,'02. MM-KLH'!$B$6:$T$823,13,0),"")</f>
        <v>ISHIKAWA</v>
      </c>
      <c r="O667" s="110" t="str">
        <f>IFERROR(VLOOKUP(B667,'02. MM-KLH'!$B$6:$T$823,14,0),"")</f>
        <v>VIỆT NAM</v>
      </c>
      <c r="P667" s="101">
        <f>IFERROR(VLOOKUP(B667,'02. MM-KLH'!$B$6:$T$823,15,0),"")</f>
        <v>2025</v>
      </c>
      <c r="Q667" s="101" t="str">
        <f>IFERROR(VLOOKUP(B667,'02. MM-KLH'!$B$6:$T$823,16,0),"")</f>
        <v>TL662</v>
      </c>
      <c r="R667" s="101" t="str">
        <f>IFERROR(VLOOKUP(B667,'02. MM-KLH'!$B$6:$T$823,17,0),"")</f>
        <v>10HP</v>
      </c>
      <c r="S667" s="110" t="str">
        <f>IFERROR(VLOOKUP(B667,'02. MM-KLH'!$B$6:$T$823,18,0),"")</f>
        <v>TL202506014019</v>
      </c>
      <c r="T667" s="111" t="str">
        <f>IFERROR(VLOOKUP(B667,'02. MM-KLH'!$B$6:$T$823,19,0),"")</f>
        <v>GT1000B0042106CD</v>
      </c>
      <c r="U667" s="863" t="s">
        <v>3343</v>
      </c>
    </row>
    <row r="668" ht="13.5" customHeight="1" spans="1:21">
      <c r="A668" s="103">
        <f t="shared" si="30"/>
        <v>38</v>
      </c>
      <c r="B668" s="104" t="s">
        <v>1452</v>
      </c>
      <c r="C668" s="102">
        <f>IFERROR(VLOOKUP(B668,'02. MM-KLH'!$B$6:$T$823,2,0),"")</f>
        <v>0</v>
      </c>
      <c r="D668" s="103">
        <f>IFERROR(VLOOKUP(B668,'02. MM-KLH'!$B$6:$T$823,3,0),"")</f>
        <v>0</v>
      </c>
      <c r="E668" s="102">
        <f>IFERROR(VLOOKUP(B668,'02. MM-KLH'!$B$6:$T$823,4,0),"")</f>
        <v>0</v>
      </c>
      <c r="F668" s="206"/>
      <c r="G668" s="102" t="str">
        <f>IFERROR(VLOOKUP(B668,'02. MM-KLH'!$B$6:$T$823,6,0),"")</f>
        <v>Máy cắt cỏ trục băm đa năng</v>
      </c>
      <c r="H668" s="101" t="s">
        <v>3530</v>
      </c>
      <c r="I668" s="101" t="str">
        <f>IFERROR(VLOOKUP(B668,'02. MM-KLH'!$B$6:$T$823,8,0),"")</f>
        <v>XN Chuối DP3</v>
      </c>
      <c r="J668" s="105" t="str">
        <f>IFERROR(VLOOKUP(B668,'02. MM-KLH'!$B$6:$T$823,9,0),"")</f>
        <v>13/03/2026</v>
      </c>
      <c r="K668" s="101" t="str">
        <f>IFERROR(VLOOKUP(B668,'02. MM-KLH'!$B$6:$T$823,10,0),"")</f>
        <v>Bình thường</v>
      </c>
      <c r="L668" s="107">
        <f>IFERROR(VLOOKUP(B668,'02. MM-KLH'!$B$6:$T$823,11,0),"")</f>
        <v>0</v>
      </c>
      <c r="M668" s="864" t="str">
        <f>IFERROR(VLOOKUP(B668,'02. MM-KLH'!$B$6:$T$823,12,0),"")</f>
        <v>Đầu tư mới (XN nhận qua thu mua)</v>
      </c>
      <c r="N668" s="110" t="str">
        <f>IFERROR(VLOOKUP(B668,'02. MM-KLH'!$B$6:$T$823,13,0),"")</f>
        <v>ISHIKAWA</v>
      </c>
      <c r="O668" s="110" t="str">
        <f>IFERROR(VLOOKUP(B668,'02. MM-KLH'!$B$6:$T$823,14,0),"")</f>
        <v>VIỆT NAM</v>
      </c>
      <c r="P668" s="101">
        <f>IFERROR(VLOOKUP(B668,'02. MM-KLH'!$B$6:$T$823,15,0),"")</f>
        <v>2025</v>
      </c>
      <c r="Q668" s="101" t="str">
        <f>IFERROR(VLOOKUP(B668,'02. MM-KLH'!$B$6:$T$823,16,0),"")</f>
        <v>TL663</v>
      </c>
      <c r="R668" s="101" t="str">
        <f>IFERROR(VLOOKUP(B668,'02. MM-KLH'!$B$6:$T$823,17,0),"")</f>
        <v>10HP</v>
      </c>
      <c r="S668" s="110" t="str">
        <f>IFERROR(VLOOKUP(B668,'02. MM-KLH'!$B$6:$T$823,18,0),"")</f>
        <v>TL20250901606
</v>
      </c>
      <c r="T668" s="111">
        <f>IFERROR(VLOOKUP(B668,'02. MM-KLH'!$B$6:$T$823,19,0),"")</f>
        <v>0</v>
      </c>
      <c r="U668" s="863" t="s">
        <v>3343</v>
      </c>
    </row>
    <row r="669" ht="13.5" customHeight="1" spans="1:21">
      <c r="A669" s="103">
        <f t="shared" si="30"/>
        <v>39</v>
      </c>
      <c r="B669" s="104" t="s">
        <v>1457</v>
      </c>
      <c r="C669" s="102">
        <f>IFERROR(VLOOKUP(B669,'02. MM-KLH'!$B$6:$T$823,2,0),"")</f>
        <v>0</v>
      </c>
      <c r="D669" s="103">
        <f>IFERROR(VLOOKUP(B669,'02. MM-KLH'!$B$6:$T$823,3,0),"")</f>
        <v>0</v>
      </c>
      <c r="E669" s="102">
        <f>IFERROR(VLOOKUP(B669,'02. MM-KLH'!$B$6:$T$823,4,0),"")</f>
        <v>0</v>
      </c>
      <c r="F669" s="206"/>
      <c r="G669" s="102" t="str">
        <f>IFERROR(VLOOKUP(B669,'02. MM-KLH'!$B$6:$T$823,6,0),"")</f>
        <v>Máy cắt cỏ trục băm đa năng</v>
      </c>
      <c r="H669" s="101" t="s">
        <v>3530</v>
      </c>
      <c r="I669" s="101" t="str">
        <f>IFERROR(VLOOKUP(B669,'02. MM-KLH'!$B$6:$T$823,8,0),"")</f>
        <v>XN Chuối DP3</v>
      </c>
      <c r="J669" s="105" t="str">
        <f>IFERROR(VLOOKUP(B669,'02. MM-KLH'!$B$6:$T$823,9,0),"")</f>
        <v>13/03/2026</v>
      </c>
      <c r="K669" s="101" t="str">
        <f>IFERROR(VLOOKUP(B669,'02. MM-KLH'!$B$6:$T$823,10,0),"")</f>
        <v>Bình thường</v>
      </c>
      <c r="L669" s="107">
        <f>IFERROR(VLOOKUP(B669,'02. MM-KLH'!$B$6:$T$823,11,0),"")</f>
        <v>0</v>
      </c>
      <c r="M669" s="864" t="str">
        <f>IFERROR(VLOOKUP(B669,'02. MM-KLH'!$B$6:$T$823,12,0),"")</f>
        <v>Đầu tư mới (XN nhận qua thu mua)</v>
      </c>
      <c r="N669" s="110" t="str">
        <f>IFERROR(VLOOKUP(B669,'02. MM-KLH'!$B$6:$T$823,13,0),"")</f>
        <v>ISHIKAWA</v>
      </c>
      <c r="O669" s="110" t="str">
        <f>IFERROR(VLOOKUP(B669,'02. MM-KLH'!$B$6:$T$823,14,0),"")</f>
        <v>VIỆT NAM</v>
      </c>
      <c r="P669" s="101">
        <f>IFERROR(VLOOKUP(B669,'02. MM-KLH'!$B$6:$T$823,15,0),"")</f>
        <v>2025</v>
      </c>
      <c r="Q669" s="101" t="str">
        <f>IFERROR(VLOOKUP(B669,'02. MM-KLH'!$B$6:$T$823,16,0),"")</f>
        <v>TL663</v>
      </c>
      <c r="R669" s="101" t="str">
        <f>IFERROR(VLOOKUP(B669,'02. MM-KLH'!$B$6:$T$823,17,0),"")</f>
        <v>10HP</v>
      </c>
      <c r="S669" s="110" t="str">
        <f>IFERROR(VLOOKUP(B669,'02. MM-KLH'!$B$6:$T$823,18,0),"")</f>
        <v>TL202501201501</v>
      </c>
      <c r="T669" s="111">
        <f>IFERROR(VLOOKUP(B669,'02. MM-KLH'!$B$6:$T$823,19,0),"")</f>
        <v>0</v>
      </c>
      <c r="U669" s="863" t="s">
        <v>3343</v>
      </c>
    </row>
    <row r="670" ht="13.5" customHeight="1" spans="1:21">
      <c r="A670" s="103">
        <f t="shared" si="30"/>
        <v>40</v>
      </c>
      <c r="B670" s="104" t="s">
        <v>1459</v>
      </c>
      <c r="C670" s="102">
        <f>IFERROR(VLOOKUP(B670,'02. MM-KLH'!$B$6:$T$823,2,0),"")</f>
        <v>0</v>
      </c>
      <c r="D670" s="103">
        <f>IFERROR(VLOOKUP(B670,'02. MM-KLH'!$B$6:$T$823,3,0),"")</f>
        <v>0</v>
      </c>
      <c r="E670" s="102">
        <f>IFERROR(VLOOKUP(B670,'02. MM-KLH'!$B$6:$T$823,4,0),"")</f>
        <v>0</v>
      </c>
      <c r="F670" s="206"/>
      <c r="G670" s="102" t="str">
        <f>IFERROR(VLOOKUP(B670,'02. MM-KLH'!$B$6:$T$823,6,0),"")</f>
        <v>Máy xới đất 7.5HP</v>
      </c>
      <c r="H670" s="101" t="s">
        <v>3530</v>
      </c>
      <c r="I670" s="101" t="str">
        <f>IFERROR(VLOOKUP(B670,'02. MM-KLH'!$B$6:$T$823,8,0),"")</f>
        <v>XN Chuối DP3</v>
      </c>
      <c r="J670" s="105" t="str">
        <f>IFERROR(VLOOKUP(B670,'02. MM-KLH'!$B$6:$T$823,9,0),"")</f>
        <v>13/03/2026</v>
      </c>
      <c r="K670" s="101" t="str">
        <f>IFERROR(VLOOKUP(B670,'02. MM-KLH'!$B$6:$T$823,10,0),"")</f>
        <v>Bình thường</v>
      </c>
      <c r="L670" s="107">
        <f>IFERROR(VLOOKUP(B670,'02. MM-KLH'!$B$6:$T$823,11,0),"")</f>
        <v>0</v>
      </c>
      <c r="M670" s="864" t="str">
        <f>IFERROR(VLOOKUP(B670,'02. MM-KLH'!$B$6:$T$823,12,0),"")</f>
        <v>Đầu tư mới (XN nhận qua thu mua)</v>
      </c>
      <c r="N670" s="110" t="str">
        <f>IFERROR(VLOOKUP(B670,'02. MM-KLH'!$B$6:$T$823,13,0),"")</f>
        <v>Shineray</v>
      </c>
      <c r="O670" s="110" t="str">
        <f>IFERROR(VLOOKUP(B670,'02. MM-KLH'!$B$6:$T$823,14,0),"")</f>
        <v>VIỆT NAM</v>
      </c>
      <c r="P670" s="101">
        <f>IFERROR(VLOOKUP(B670,'02. MM-KLH'!$B$6:$T$823,15,0),"")</f>
        <v>2025</v>
      </c>
      <c r="Q670" s="101" t="str">
        <f>IFERROR(VLOOKUP(B670,'02. MM-KLH'!$B$6:$T$823,16,0),"")</f>
        <v>SR1Z-75</v>
      </c>
      <c r="R670" s="101" t="str">
        <f>IFERROR(VLOOKUP(B670,'02. MM-KLH'!$B$6:$T$823,17,0),"")</f>
        <v>7.5HP</v>
      </c>
      <c r="S670" s="110">
        <f>IFERROR(VLOOKUP(B670,'02. MM-KLH'!$B$6:$T$823,18,0),"")</f>
        <v>2505401193</v>
      </c>
      <c r="T670" s="111" t="str">
        <f>IFERROR(VLOOKUP(B670,'02. MM-KLH'!$B$6:$T$823,19,0),"")</f>
        <v>00E534AT0852</v>
      </c>
      <c r="U670" s="863" t="s">
        <v>3343</v>
      </c>
    </row>
    <row r="671" ht="13.5" customHeight="1" spans="1:21">
      <c r="A671" s="103">
        <f t="shared" si="30"/>
        <v>41</v>
      </c>
      <c r="B671" s="104" t="s">
        <v>1464</v>
      </c>
      <c r="C671" s="102">
        <f>IFERROR(VLOOKUP(B671,'02. MM-KLH'!$B$6:$T$823,2,0),"")</f>
        <v>0</v>
      </c>
      <c r="D671" s="103">
        <f>IFERROR(VLOOKUP(B671,'02. MM-KLH'!$B$6:$T$823,3,0),"")</f>
        <v>0</v>
      </c>
      <c r="E671" s="102">
        <f>IFERROR(VLOOKUP(B671,'02. MM-KLH'!$B$6:$T$823,4,0),"")</f>
        <v>0</v>
      </c>
      <c r="F671" s="206"/>
      <c r="G671" s="102" t="str">
        <f>IFERROR(VLOOKUP(B671,'02. MM-KLH'!$B$6:$T$823,6,0),"")</f>
        <v>Máy xới đất 7.5HP</v>
      </c>
      <c r="H671" s="101" t="s">
        <v>3530</v>
      </c>
      <c r="I671" s="101" t="str">
        <f>IFERROR(VLOOKUP(B671,'02. MM-KLH'!$B$6:$T$823,8,0),"")</f>
        <v>XN Chuối DP3</v>
      </c>
      <c r="J671" s="105" t="str">
        <f>IFERROR(VLOOKUP(B671,'02. MM-KLH'!$B$6:$T$823,9,0),"")</f>
        <v>13/03/2026</v>
      </c>
      <c r="K671" s="101" t="str">
        <f>IFERROR(VLOOKUP(B671,'02. MM-KLH'!$B$6:$T$823,10,0),"")</f>
        <v>Bình thường</v>
      </c>
      <c r="L671" s="107">
        <f>IFERROR(VLOOKUP(B671,'02. MM-KLH'!$B$6:$T$823,11,0),"")</f>
        <v>0</v>
      </c>
      <c r="M671" s="864" t="str">
        <f>IFERROR(VLOOKUP(B671,'02. MM-KLH'!$B$6:$T$823,12,0),"")</f>
        <v>Đầu tư mới (XN nhận qua thu mua)</v>
      </c>
      <c r="N671" s="110" t="str">
        <f>IFERROR(VLOOKUP(B671,'02. MM-KLH'!$B$6:$T$823,13,0),"")</f>
        <v>Shineray</v>
      </c>
      <c r="O671" s="110" t="str">
        <f>IFERROR(VLOOKUP(B671,'02. MM-KLH'!$B$6:$T$823,14,0),"")</f>
        <v>VIỆT NAM</v>
      </c>
      <c r="P671" s="101">
        <f>IFERROR(VLOOKUP(B671,'02. MM-KLH'!$B$6:$T$823,15,0),"")</f>
        <v>2025</v>
      </c>
      <c r="Q671" s="101" t="str">
        <f>IFERROR(VLOOKUP(B671,'02. MM-KLH'!$B$6:$T$823,16,0),"")</f>
        <v>SR1Z-75</v>
      </c>
      <c r="R671" s="101" t="str">
        <f>IFERROR(VLOOKUP(B671,'02. MM-KLH'!$B$6:$T$823,17,0),"")</f>
        <v>7.5HP</v>
      </c>
      <c r="S671" s="110">
        <f>IFERROR(VLOOKUP(B671,'02. MM-KLH'!$B$6:$T$823,18,0),"")</f>
        <v>2505401175</v>
      </c>
      <c r="T671" s="111" t="str">
        <f>IFERROR(VLOOKUP(B671,'02. MM-KLH'!$B$6:$T$823,19,0),"")</f>
        <v>00E534AT0827</v>
      </c>
      <c r="U671" s="863" t="s">
        <v>3343</v>
      </c>
    </row>
    <row r="672" ht="13.5" customHeight="1" spans="1:21">
      <c r="A672" s="103">
        <f t="shared" si="30"/>
        <v>42</v>
      </c>
      <c r="B672" s="104" t="s">
        <v>2907</v>
      </c>
      <c r="C672" s="102">
        <f>IFERROR(VLOOKUP(B672,'02. MM-KLH'!$B$6:$T$823,2,0),"")</f>
        <v>0</v>
      </c>
      <c r="D672" s="103" t="str">
        <f>IFERROR(VLOOKUP(B672,'02. MM-KLH'!$B$6:$T$823,3,0),"")</f>
        <v>A22-XMA-001</v>
      </c>
      <c r="E672" s="102">
        <f>IFERROR(VLOOKUP(B672,'02. MM-KLH'!$B$6:$T$823,4,0),"")</f>
        <v>0</v>
      </c>
      <c r="F672" s="146"/>
      <c r="G672" s="102" t="str">
        <f>IFERROR(VLOOKUP(B672,'02. MM-KLH'!$B$6:$T$823,6,0),"")</f>
        <v>Xe máy</v>
      </c>
      <c r="H672" s="101" t="s">
        <v>3531</v>
      </c>
      <c r="I672" s="101" t="str">
        <f>IFERROR(VLOOKUP(B672,'02. MM-KLH'!$B$6:$T$823,8,0),"")</f>
        <v>BAN CG-CK &amp; SXCN</v>
      </c>
      <c r="J672" s="105">
        <f>IFERROR(VLOOKUP(B672,'02. MM-KLH'!$B$6:$T$823,9,0),"")</f>
        <v>45058</v>
      </c>
      <c r="K672" s="101" t="str">
        <f>IFERROR(VLOOKUP(B672,'02. MM-KLH'!$B$6:$T$823,10,0),"")</f>
        <v>Bình thường</v>
      </c>
      <c r="L672" s="107">
        <f>IFERROR(VLOOKUP(B672,'02. MM-KLH'!$B$6:$T$823,11,0),"")</f>
        <v>0</v>
      </c>
      <c r="M672" s="864" t="str">
        <f>IFERROR(VLOOKUP(B672,'02. MM-KLH'!$B$6:$T$823,12,0),"")</f>
        <v>Mr. Trận</v>
      </c>
      <c r="N672" s="110" t="str">
        <f>IFERROR(VLOOKUP(B672,'02. MM-KLH'!$B$6:$T$823,13,0),"")</f>
        <v>HONDA</v>
      </c>
      <c r="O672" s="110" t="str">
        <f>IFERROR(VLOOKUP(B672,'02. MM-KLH'!$B$6:$T$823,14,0),"")</f>
        <v>VIỆT NAM</v>
      </c>
      <c r="P672" s="101">
        <f>IFERROR(VLOOKUP(B672,'02. MM-KLH'!$B$6:$T$823,15,0),"")</f>
        <v>0</v>
      </c>
      <c r="Q672" s="101" t="str">
        <f>IFERROR(VLOOKUP(B672,'02. MM-KLH'!$B$6:$T$823,16,0),"")</f>
        <v>WAVE A</v>
      </c>
      <c r="R672" s="101" t="str">
        <f>IFERROR(VLOOKUP(B672,'02. MM-KLH'!$B$6:$T$823,17,0),"")</f>
        <v>110CC</v>
      </c>
      <c r="S672" s="110" t="str">
        <f>IFERROR(VLOOKUP(B672,'02. MM-KLH'!$B$6:$T$823,18,0),"")</f>
        <v>RLHJA3912KY147682</v>
      </c>
      <c r="T672" s="111" t="str">
        <f>IFERROR(VLOOKUP(B672,'02. MM-KLH'!$B$6:$T$823,19,0),"")</f>
        <v>JA39E-1004932</v>
      </c>
      <c r="U672" s="863" t="s">
        <v>451</v>
      </c>
    </row>
    <row r="673" ht="13.5" customHeight="1" spans="1:21">
      <c r="A673" s="103">
        <f t="shared" si="30"/>
        <v>43</v>
      </c>
      <c r="B673" s="104" t="s">
        <v>2914</v>
      </c>
      <c r="C673" s="102">
        <f>IFERROR(VLOOKUP(B673,'02. MM-KLH'!$B$6:$T$823,2,0),"")</f>
        <v>0</v>
      </c>
      <c r="D673" s="103" t="str">
        <f>IFERROR(VLOOKUP(B673,'02. MM-KLH'!$B$6:$T$823,3,0),"")</f>
        <v>A22-XMA-002</v>
      </c>
      <c r="E673" s="102">
        <f>IFERROR(VLOOKUP(B673,'02. MM-KLH'!$B$6:$T$823,4,0),"")</f>
        <v>0</v>
      </c>
      <c r="F673" s="146"/>
      <c r="G673" s="102" t="str">
        <f>IFERROR(VLOOKUP(B673,'02. MM-KLH'!$B$6:$T$823,6,0),"")</f>
        <v>Xe máy</v>
      </c>
      <c r="H673" s="101" t="s">
        <v>3531</v>
      </c>
      <c r="I673" s="101" t="str">
        <f>IFERROR(VLOOKUP(B673,'02. MM-KLH'!$B$6:$T$823,8,0),"")</f>
        <v>BAN CG-CK &amp; SXCN</v>
      </c>
      <c r="J673" s="105">
        <f>IFERROR(VLOOKUP(B673,'02. MM-KLH'!$B$6:$T$823,9,0),"")</f>
        <v>0</v>
      </c>
      <c r="K673" s="101" t="str">
        <f>IFERROR(VLOOKUP(B673,'02. MM-KLH'!$B$6:$T$823,10,0),"")</f>
        <v>Bình thường</v>
      </c>
      <c r="L673" s="107">
        <f>IFERROR(VLOOKUP(B673,'02. MM-KLH'!$B$6:$T$823,11,0),"")</f>
        <v>0</v>
      </c>
      <c r="M673" s="864" t="str">
        <f>IFERROR(VLOOKUP(B673,'02. MM-KLH'!$B$6:$T$823,12,0),"")</f>
        <v>Mr. Vũ</v>
      </c>
      <c r="N673" s="110" t="str">
        <f>IFERROR(VLOOKUP(B673,'02. MM-KLH'!$B$6:$T$823,13,0),"")</f>
        <v>HONDA</v>
      </c>
      <c r="O673" s="110" t="str">
        <f>IFERROR(VLOOKUP(B673,'02. MM-KLH'!$B$6:$T$823,14,0),"")</f>
        <v>VIỆT NAM</v>
      </c>
      <c r="P673" s="101">
        <f>IFERROR(VLOOKUP(B673,'02. MM-KLH'!$B$6:$T$823,15,0),"")</f>
        <v>0</v>
      </c>
      <c r="Q673" s="101" t="str">
        <f>IFERROR(VLOOKUP(B673,'02. MM-KLH'!$B$6:$T$823,16,0),"")</f>
        <v>WAVE A</v>
      </c>
      <c r="R673" s="101" t="str">
        <f>IFERROR(VLOOKUP(B673,'02. MM-KLH'!$B$6:$T$823,17,0),"")</f>
        <v>110CC</v>
      </c>
      <c r="S673" s="110" t="str">
        <f>IFERROR(VLOOKUP(B673,'02. MM-KLH'!$B$6:$T$823,18,0),"")</f>
        <v>RLHJAG912KY180667</v>
      </c>
      <c r="T673" s="111" t="str">
        <f>IFERROR(VLOOKUP(B673,'02. MM-KLH'!$B$6:$T$823,19,0),"")</f>
        <v>JA39E-1038313</v>
      </c>
      <c r="U673" s="863" t="s">
        <v>451</v>
      </c>
    </row>
    <row r="674" ht="13.5" customHeight="1" spans="1:21">
      <c r="A674" s="103">
        <f t="shared" si="30"/>
        <v>44</v>
      </c>
      <c r="B674" s="104" t="s">
        <v>2918</v>
      </c>
      <c r="C674" s="102">
        <f>IFERROR(VLOOKUP(B674,'02. MM-KLH'!$B$6:$T$823,2,0),"")</f>
        <v>0</v>
      </c>
      <c r="D674" s="103" t="str">
        <f>IFERROR(VLOOKUP(B674,'02. MM-KLH'!$B$6:$T$823,3,0),"")</f>
        <v>A22-XMA-003</v>
      </c>
      <c r="E674" s="102">
        <f>IFERROR(VLOOKUP(B674,'02. MM-KLH'!$B$6:$T$823,4,0),"")</f>
        <v>0</v>
      </c>
      <c r="F674" s="146"/>
      <c r="G674" s="102" t="str">
        <f>IFERROR(VLOOKUP(B674,'02. MM-KLH'!$B$6:$T$823,6,0),"")</f>
        <v>Xe máy</v>
      </c>
      <c r="H674" s="101" t="s">
        <v>3531</v>
      </c>
      <c r="I674" s="101" t="str">
        <f>IFERROR(VLOOKUP(B674,'02. MM-KLH'!$B$6:$T$823,8,0),"")</f>
        <v>BAN CG-CK &amp; SXCN</v>
      </c>
      <c r="J674" s="105">
        <f>IFERROR(VLOOKUP(B674,'02. MM-KLH'!$B$6:$T$823,9,0),"")</f>
        <v>0</v>
      </c>
      <c r="K674" s="101" t="str">
        <f>IFERROR(VLOOKUP(B674,'02. MM-KLH'!$B$6:$T$823,10,0),"")</f>
        <v>Bình thường</v>
      </c>
      <c r="L674" s="107">
        <f>IFERROR(VLOOKUP(B674,'02. MM-KLH'!$B$6:$T$823,11,0),"")</f>
        <v>0</v>
      </c>
      <c r="M674" s="864" t="str">
        <f>IFERROR(VLOOKUP(B674,'02. MM-KLH'!$B$6:$T$823,12,0),"")</f>
        <v>Mr. Khánh</v>
      </c>
      <c r="N674" s="110" t="str">
        <f>IFERROR(VLOOKUP(B674,'02. MM-KLH'!$B$6:$T$823,13,0),"")</f>
        <v>HONDA</v>
      </c>
      <c r="O674" s="110" t="str">
        <f>IFERROR(VLOOKUP(B674,'02. MM-KLH'!$B$6:$T$823,14,0),"")</f>
        <v>VIỆT NAM</v>
      </c>
      <c r="P674" s="101">
        <f>IFERROR(VLOOKUP(B674,'02. MM-KLH'!$B$6:$T$823,15,0),"")</f>
        <v>0</v>
      </c>
      <c r="Q674" s="101" t="str">
        <f>IFERROR(VLOOKUP(B674,'02. MM-KLH'!$B$6:$T$823,16,0),"")</f>
        <v>WAVE A</v>
      </c>
      <c r="R674" s="101" t="str">
        <f>IFERROR(VLOOKUP(B674,'02. MM-KLH'!$B$6:$T$823,17,0),"")</f>
        <v>110CC</v>
      </c>
      <c r="S674" s="110" t="str">
        <f>IFERROR(VLOOKUP(B674,'02. MM-KLH'!$B$6:$T$823,18,0),"")</f>
        <v>CCN</v>
      </c>
      <c r="T674" s="111" t="str">
        <f>IFERROR(VLOOKUP(B674,'02. MM-KLH'!$B$6:$T$823,19,0),"")</f>
        <v>JA39E-0414593</v>
      </c>
      <c r="U674" s="863" t="s">
        <v>451</v>
      </c>
    </row>
    <row r="675" ht="13.5" customHeight="1" spans="1:21">
      <c r="A675" s="103">
        <f t="shared" si="30"/>
        <v>45</v>
      </c>
      <c r="B675" s="104" t="s">
        <v>2921</v>
      </c>
      <c r="C675" s="102" t="str">
        <f>IFERROR(VLOOKUP(B675,'02. MM-KLH'!$B$6:$T$823,2,0),"")</f>
        <v>XA2-XMA-017</v>
      </c>
      <c r="D675" s="103" t="str">
        <f>IFERROR(VLOOKUP(B675,'02. MM-KLH'!$B$6:$T$823,3,0),"")</f>
        <v>TOL-A22-0795</v>
      </c>
      <c r="E675" s="102">
        <f>IFERROR(VLOOKUP(B675,'02. MM-KLH'!$B$6:$T$823,4,0),"")</f>
        <v>0</v>
      </c>
      <c r="F675" s="146" t="s">
        <v>3532</v>
      </c>
      <c r="G675" s="102" t="str">
        <f>IFERROR(VLOOKUP(B675,'02. MM-KLH'!$B$6:$T$823,6,0),"")</f>
        <v>Xe máy</v>
      </c>
      <c r="H675" s="101" t="s">
        <v>3531</v>
      </c>
      <c r="I675" s="101" t="str">
        <f>IFERROR(VLOOKUP(B675,'02. MM-KLH'!$B$6:$T$823,8,0),"")</f>
        <v>BAN CG-CK &amp; SXCN</v>
      </c>
      <c r="J675" s="105">
        <f>IFERROR(VLOOKUP(B675,'02. MM-KLH'!$B$6:$T$823,9,0),"")</f>
        <v>45841</v>
      </c>
      <c r="K675" s="101" t="str">
        <f>IFERROR(VLOOKUP(B675,'02. MM-KLH'!$B$6:$T$823,10,0),"")</f>
        <v>Bình thường</v>
      </c>
      <c r="L675" s="107">
        <f>IFERROR(VLOOKUP(B675,'02. MM-KLH'!$B$6:$T$823,11,0),"")</f>
        <v>0</v>
      </c>
      <c r="M675" s="864" t="str">
        <f>IFERROR(VLOOKUP(B675,'02. MM-KLH'!$B$6:$T$823,12,0),"")</f>
        <v>Mr. Bình</v>
      </c>
      <c r="N675" s="110" t="str">
        <f>IFERROR(VLOOKUP(B675,'02. MM-KLH'!$B$6:$T$823,13,0),"")</f>
        <v>HONDA</v>
      </c>
      <c r="O675" s="110" t="str">
        <f>IFERROR(VLOOKUP(B675,'02. MM-KLH'!$B$6:$T$823,14,0),"")</f>
        <v>VIỆT NAM</v>
      </c>
      <c r="P675" s="101">
        <f>IFERROR(VLOOKUP(B675,'02. MM-KLH'!$B$6:$T$823,15,0),"")</f>
        <v>0</v>
      </c>
      <c r="Q675" s="101" t="str">
        <f>IFERROR(VLOOKUP(B675,'02. MM-KLH'!$B$6:$T$823,16,0),"")</f>
        <v>WAVE A</v>
      </c>
      <c r="R675" s="101" t="str">
        <f>IFERROR(VLOOKUP(B675,'02. MM-KLH'!$B$6:$T$823,17,0),"")</f>
        <v>110CC</v>
      </c>
      <c r="S675" s="110" t="str">
        <f>IFERROR(VLOOKUP(B675,'02. MM-KLH'!$B$6:$T$823,18,0),"")</f>
        <v>RLHJA3914KY-216158</v>
      </c>
      <c r="T675" s="111" t="str">
        <f>IFERROR(VLOOKUP(B675,'02. MM-KLH'!$B$6:$T$823,19,0),"")</f>
        <v>JA39E-1190180</v>
      </c>
      <c r="U675" s="863" t="s">
        <v>451</v>
      </c>
    </row>
    <row r="676" ht="13.5" customHeight="1" spans="1:21">
      <c r="A676" s="103">
        <f t="shared" si="30"/>
        <v>46</v>
      </c>
      <c r="B676" s="104" t="s">
        <v>2927</v>
      </c>
      <c r="C676" s="102">
        <f>IFERROR(VLOOKUP(B676,'02. MM-KLH'!$B$6:$T$823,2,0),"")</f>
        <v>0</v>
      </c>
      <c r="D676" s="103" t="str">
        <f>IFERROR(VLOOKUP(B676,'02. MM-KLH'!$B$6:$T$823,3,0),"")</f>
        <v>A22-LBR-001</v>
      </c>
      <c r="E676" s="102" t="str">
        <f>IFERROR(VLOOKUP(B676,'02. MM-KLH'!$B$6:$T$823,4,0),"")</f>
        <v>2A-4453</v>
      </c>
      <c r="F676" s="146"/>
      <c r="G676" s="102" t="str">
        <f>IFERROR(VLOOKUP(B676,'02. MM-KLH'!$B$6:$T$823,6,0),"")</f>
        <v>Xe tải Libero</v>
      </c>
      <c r="H676" s="101" t="s">
        <v>3533</v>
      </c>
      <c r="I676" s="101" t="str">
        <f>IFERROR(VLOOKUP(B676,'02. MM-KLH'!$B$6:$T$823,8,0),"")</f>
        <v>BAN CG-CK &amp; SXCN</v>
      </c>
      <c r="J676" s="105">
        <f>IFERROR(VLOOKUP(B676,'02. MM-KLH'!$B$6:$T$823,9,0),"")</f>
        <v>0</v>
      </c>
      <c r="K676" s="101" t="str">
        <f>IFERROR(VLOOKUP(B676,'02. MM-KLH'!$B$6:$T$823,10,0),"")</f>
        <v>Bình thường</v>
      </c>
      <c r="L676" s="107">
        <f>IFERROR(VLOOKUP(B676,'02. MM-KLH'!$B$6:$T$823,11,0),"")</f>
        <v>0</v>
      </c>
      <c r="M676" s="864" t="str">
        <f>IFERROR(VLOOKUP(B676,'02. MM-KLH'!$B$6:$T$823,12,0),"")</f>
        <v>BP.QLVH GIAO Mr.Thi NCMK 13/11/2025</v>
      </c>
      <c r="N676" s="110" t="str">
        <f>IFERROR(VLOOKUP(B676,'02. MM-KLH'!$B$6:$T$823,13,0),"")</f>
        <v>LIBERO</v>
      </c>
      <c r="O676" s="110">
        <f>IFERROR(VLOOKUP(B676,'02. MM-KLH'!$B$6:$T$823,14,0),"")</f>
        <v>0</v>
      </c>
      <c r="P676" s="101">
        <f>IFERROR(VLOOKUP(B676,'02. MM-KLH'!$B$6:$T$823,15,0),"")</f>
        <v>0</v>
      </c>
      <c r="Q676" s="101">
        <f>IFERROR(VLOOKUP(B676,'02. MM-KLH'!$B$6:$T$823,16,0),"")</f>
        <v>0</v>
      </c>
      <c r="R676" s="101">
        <f>IFERROR(VLOOKUP(B676,'02. MM-KLH'!$B$6:$T$823,17,0),"")</f>
        <v>0</v>
      </c>
      <c r="S676" s="110" t="str">
        <f>IFERROR(VLOOKUP(B676,'02. MM-KLH'!$B$6:$T$823,18,0),"")</f>
        <v>KMFYKS7HP3U039257</v>
      </c>
      <c r="T676" s="111" t="str">
        <f>IFERROR(VLOOKUP(B676,'02. MM-KLH'!$B$6:$T$823,19,0),"")</f>
        <v>CCN</v>
      </c>
      <c r="U676" s="863" t="s">
        <v>451</v>
      </c>
    </row>
    <row r="677" ht="13.5" customHeight="1" spans="1:21">
      <c r="A677" s="103">
        <f t="shared" si="30"/>
        <v>47</v>
      </c>
      <c r="B677" s="104" t="s">
        <v>2932</v>
      </c>
      <c r="C677" s="102">
        <f>IFERROR(VLOOKUP(B677,'02. MM-KLH'!$B$6:$T$823,2,0),"")</f>
        <v>0</v>
      </c>
      <c r="D677" s="103" t="str">
        <f>IFERROR(VLOOKUP(B677,'02. MM-KLH'!$B$6:$T$823,3,0),"")</f>
        <v>A22-LBR-002</v>
      </c>
      <c r="E677" s="102" t="str">
        <f>IFERROR(VLOOKUP(B677,'02. MM-KLH'!$B$6:$T$823,4,0),"")</f>
        <v>2A-0834</v>
      </c>
      <c r="F677" s="146"/>
      <c r="G677" s="102" t="str">
        <f>IFERROR(VLOOKUP(B677,'02. MM-KLH'!$B$6:$T$823,6,0),"")</f>
        <v>Xe tải Libero</v>
      </c>
      <c r="H677" s="101" t="s">
        <v>3533</v>
      </c>
      <c r="I677" s="101" t="str">
        <f>IFERROR(VLOOKUP(B677,'02. MM-KLH'!$B$6:$T$823,8,0),"")</f>
        <v>BAN CG-CK &amp; SXCN</v>
      </c>
      <c r="J677" s="105">
        <f>IFERROR(VLOOKUP(B677,'02. MM-KLH'!$B$6:$T$823,9,0),"")</f>
        <v>45636</v>
      </c>
      <c r="K677" s="101" t="str">
        <f>IFERROR(VLOOKUP(B677,'02. MM-KLH'!$B$6:$T$823,10,0),"")</f>
        <v>Bình thường</v>
      </c>
      <c r="L677" s="107">
        <f>IFERROR(VLOOKUP(B677,'02. MM-KLH'!$B$6:$T$823,11,0),"")</f>
        <v>0</v>
      </c>
      <c r="M677" s="864" t="str">
        <f>IFERROR(VLOOKUP(B677,'02. MM-KLH'!$B$6:$T$823,12,0),"")</f>
        <v>- Mr Sơn bàn giao xe về xưởng CGH 12/10/2024</v>
      </c>
      <c r="N677" s="110" t="str">
        <f>IFERROR(VLOOKUP(B677,'02. MM-KLH'!$B$6:$T$823,13,0),"")</f>
        <v>LIBERO</v>
      </c>
      <c r="O677" s="110">
        <f>IFERROR(VLOOKUP(B677,'02. MM-KLH'!$B$6:$T$823,14,0),"")</f>
        <v>0</v>
      </c>
      <c r="P677" s="101">
        <f>IFERROR(VLOOKUP(B677,'02. MM-KLH'!$B$6:$T$823,15,0),"")</f>
        <v>0</v>
      </c>
      <c r="Q677" s="101">
        <f>IFERROR(VLOOKUP(B677,'02. MM-KLH'!$B$6:$T$823,16,0),"")</f>
        <v>0</v>
      </c>
      <c r="R677" s="101">
        <f>IFERROR(VLOOKUP(B677,'02. MM-KLH'!$B$6:$T$823,17,0),"")</f>
        <v>0</v>
      </c>
      <c r="S677" s="110">
        <f>IFERROR(VLOOKUP(B677,'02. MM-KLH'!$B$6:$T$823,18,0),"")</f>
        <v>0</v>
      </c>
      <c r="T677" s="111">
        <f>IFERROR(VLOOKUP(B677,'02. MM-KLH'!$B$6:$T$823,19,0),"")</f>
        <v>0</v>
      </c>
      <c r="U677" s="863" t="s">
        <v>451</v>
      </c>
    </row>
    <row r="678" ht="13.5" customHeight="1" spans="1:21">
      <c r="A678" s="103">
        <f t="shared" si="30"/>
        <v>48</v>
      </c>
      <c r="B678" s="104" t="s">
        <v>1027</v>
      </c>
      <c r="C678" s="102">
        <f>IFERROR(VLOOKUP(B678,'02. MM-KLH'!$B$6:$T$823,2,0),"")</f>
        <v>0</v>
      </c>
      <c r="D678" s="103" t="str">
        <f>IFERROR(VLOOKUP(B678,'02. MM-KLH'!$B$6:$T$823,3,0),"")</f>
        <v>ATT-A23-0020</v>
      </c>
      <c r="E678" s="102" t="str">
        <f>IFERROR(VLOOKUP(B678,'02. MM-KLH'!$B$6:$T$823,4,0),"")</f>
        <v>2A-0239</v>
      </c>
      <c r="F678" s="146" t="s">
        <v>1028</v>
      </c>
      <c r="G678" s="102" t="str">
        <f>IFERROR(VLOOKUP(B678,'02. MM-KLH'!$B$6:$T$823,6,0),"")</f>
        <v>Xe tải Libero</v>
      </c>
      <c r="H678" s="101" t="s">
        <v>3533</v>
      </c>
      <c r="I678" s="101" t="str">
        <f>IFERROR(VLOOKUP(B678,'02. MM-KLH'!$B$6:$T$823,8,0),"")</f>
        <v>CGLĐ DP</v>
      </c>
      <c r="J678" s="105">
        <f>IFERROR(VLOOKUP(B678,'02. MM-KLH'!$B$6:$T$823,9,0),"")</f>
        <v>0</v>
      </c>
      <c r="K678" s="101" t="str">
        <f>IFERROR(VLOOKUP(B678,'02. MM-KLH'!$B$6:$T$823,10,0),"")</f>
        <v>Bình thường</v>
      </c>
      <c r="L678" s="107">
        <f>IFERROR(VLOOKUP(B678,'02. MM-KLH'!$B$6:$T$823,11,0),"")</f>
        <v>0</v>
      </c>
      <c r="M678" s="864" t="str">
        <f>IFERROR(VLOOKUP(B678,'02. MM-KLH'!$B$6:$T$823,12,0),"")</f>
        <v>Mr.Sỹ nhận ngày 07/03/2025</v>
      </c>
      <c r="N678" s="110" t="str">
        <f>IFERROR(VLOOKUP(B678,'02. MM-KLH'!$B$6:$T$823,13,0),"")</f>
        <v>LIBERO</v>
      </c>
      <c r="O678" s="110">
        <f>IFERROR(VLOOKUP(B678,'02. MM-KLH'!$B$6:$T$823,14,0),"")</f>
        <v>0</v>
      </c>
      <c r="P678" s="101">
        <f>IFERROR(VLOOKUP(B678,'02. MM-KLH'!$B$6:$T$823,15,0),"")</f>
        <v>0</v>
      </c>
      <c r="Q678" s="101">
        <f>IFERROR(VLOOKUP(B678,'02. MM-KLH'!$B$6:$T$823,16,0),"")</f>
        <v>0</v>
      </c>
      <c r="R678" s="101">
        <f>IFERROR(VLOOKUP(B678,'02. MM-KLH'!$B$6:$T$823,17,0),"")</f>
        <v>0</v>
      </c>
      <c r="S678" s="110" t="str">
        <f>IFERROR(VLOOKUP(B678,'02. MM-KLH'!$B$6:$T$823,18,0),"")</f>
        <v>KMFYKS7HPYU0116</v>
      </c>
      <c r="T678" s="111" t="str">
        <f>IFERROR(VLOOKUP(B678,'02. MM-KLH'!$B$6:$T$823,19,0),"")</f>
        <v>D4BHY032368</v>
      </c>
      <c r="U678" s="863" t="s">
        <v>451</v>
      </c>
    </row>
    <row r="679" ht="13.5" customHeight="1" spans="1:21">
      <c r="A679" s="103">
        <f t="shared" si="30"/>
        <v>49</v>
      </c>
      <c r="B679" s="104" t="s">
        <v>1562</v>
      </c>
      <c r="C679" s="102" t="str">
        <f>IFERROR(VLOOKUP(B679,'02. MM-KLH'!$B$6:$T$823,2,0),"")</f>
        <v>PHC-MXĐ-001</v>
      </c>
      <c r="D679" s="103" t="str">
        <f>IFERROR(VLOOKUP(B679,'02. MM-KLH'!$B$6:$T$823,3,0),"")</f>
        <v/>
      </c>
      <c r="E679" s="102">
        <f>IFERROR(VLOOKUP(B679,'02. MM-KLH'!$B$6:$T$823,4,0),"")</f>
        <v>0</v>
      </c>
      <c r="F679" s="104" t="s">
        <v>3534</v>
      </c>
      <c r="G679" s="102" t="str">
        <f>IFERROR(VLOOKUP(B679,'02. MM-KLH'!$B$6:$T$823,6,0),"")</f>
        <v>Máy xới đất</v>
      </c>
      <c r="H679" s="101" t="s">
        <v>3535</v>
      </c>
      <c r="I679" s="101" t="str">
        <f>IFERROR(VLOOKUP(B679,'02. MM-KLH'!$B$6:$T$823,8,0),"")</f>
        <v>XN Chuối LP1</v>
      </c>
      <c r="J679" s="105">
        <f>IFERROR(VLOOKUP(B679,'02. MM-KLH'!$B$6:$T$823,9,0),"")</f>
        <v>45181</v>
      </c>
      <c r="K679" s="101" t="str">
        <f>IFERROR(VLOOKUP(B679,'02. MM-KLH'!$B$6:$T$823,10,0),"")</f>
        <v>Bình thường</v>
      </c>
      <c r="L679" s="107">
        <f>IFERROR(VLOOKUP(B679,'02. MM-KLH'!$B$6:$T$823,11,0),"")</f>
        <v>0</v>
      </c>
      <c r="M679" s="864" t="str">
        <f>IFERROR(VLOOKUP(B679,'02. MM-KLH'!$B$6:$T$823,12,0),"")</f>
        <v>-Đ.chuyển từ HC ADM ngày 05/05/2025</v>
      </c>
      <c r="N679" s="110" t="str">
        <f>IFERROR(VLOOKUP(B679,'02. MM-KLH'!$B$6:$T$823,13,0),"")</f>
        <v>BOER</v>
      </c>
      <c r="O679" s="110" t="str">
        <f>IFERROR(VLOOKUP(B679,'02. MM-KLH'!$B$6:$T$823,14,0),"")</f>
        <v>TRUNG QUỐC</v>
      </c>
      <c r="P679" s="101">
        <f>IFERROR(VLOOKUP(B679,'02. MM-KLH'!$B$6:$T$823,15,0),"")</f>
        <v>2022</v>
      </c>
      <c r="Q679" s="101" t="str">
        <f>IFERROR(VLOOKUP(B679,'02. MM-KLH'!$B$6:$T$823,16,0),"")</f>
        <v>RT165S</v>
      </c>
      <c r="R679" s="101" t="str">
        <f>IFERROR(VLOOKUP(B679,'02. MM-KLH'!$B$6:$T$823,17,0),"")</f>
        <v>16.5HP</v>
      </c>
      <c r="S679" s="110" t="str">
        <f>IFERROR(VLOOKUP(B679,'02. MM-KLH'!$B$6:$T$823,18,0),"")</f>
        <v>CCN</v>
      </c>
      <c r="T679" s="111" t="str">
        <f>IFERROR(VLOOKUP(B679,'02. MM-KLH'!$B$6:$T$823,19,0),"")</f>
        <v>RT165-23C01014</v>
      </c>
      <c r="U679" s="863" t="s">
        <v>451</v>
      </c>
    </row>
    <row r="680" ht="13.5" customHeight="1" spans="1:21">
      <c r="A680" s="201"/>
      <c r="B680" s="207"/>
      <c r="C680" s="156"/>
      <c r="D680" s="103" t="str">
        <f>IFERROR(VLOOKUP(B680,'02. MM-KLH'!$B$6:$T$823,3,0),"")</f>
        <v/>
      </c>
      <c r="E680" s="102" t="str">
        <f>IFERROR(VLOOKUP(B680,'02. MM-KLH'!$B$6:$T$823,4,0),"")</f>
        <v/>
      </c>
      <c r="F680" s="206"/>
      <c r="G680" s="102" t="str">
        <f>IFERROR(VLOOKUP(B680,'02. MM-KLH'!$B$6:$T$823,6,0),"")</f>
        <v/>
      </c>
      <c r="H680" s="206"/>
      <c r="I680" s="101" t="str">
        <f>IFERROR(VLOOKUP(B680,'02. MM-KLH'!$B$6:$T$823,8,0),"")</f>
        <v/>
      </c>
      <c r="J680" s="105" t="str">
        <f>IFERROR(VLOOKUP(B680,'02. MM-KLH'!$B$6:$T$823,9,0),"")</f>
        <v/>
      </c>
      <c r="K680" s="101" t="str">
        <f>IFERROR(VLOOKUP(B680,'02. MM-KLH'!$B$6:$T$823,10,0),"")</f>
        <v/>
      </c>
      <c r="L680" s="107" t="str">
        <f>IFERROR(VLOOKUP(B680,'02. MM-KLH'!$B$6:$T$823,11,0),"")</f>
        <v/>
      </c>
      <c r="M680" s="864" t="str">
        <f>IFERROR(VLOOKUP(B680,'02. MM-KLH'!$B$6:$T$823,12,0),"")</f>
        <v/>
      </c>
      <c r="N680" s="110" t="str">
        <f>IFERROR(VLOOKUP(B680,'02. MM-KLH'!$B$6:$T$823,13,0),"")</f>
        <v/>
      </c>
      <c r="O680" s="110" t="str">
        <f>IFERROR(VLOOKUP(B680,'02. MM-KLH'!$B$6:$T$823,14,0),"")</f>
        <v/>
      </c>
      <c r="P680" s="101" t="str">
        <f>IFERROR(VLOOKUP(B680,'02. MM-KLH'!$B$6:$T$823,15,0),"")</f>
        <v/>
      </c>
      <c r="Q680" s="101" t="str">
        <f>IFERROR(VLOOKUP(B680,'02. MM-KLH'!$B$6:$T$823,16,0),"")</f>
        <v/>
      </c>
      <c r="R680" s="101" t="str">
        <f>IFERROR(VLOOKUP(B680,'02. MM-KLH'!$B$6:$T$823,17,0),"")</f>
        <v/>
      </c>
      <c r="S680" s="110" t="str">
        <f>IFERROR(VLOOKUP(B680,'02. MM-KLH'!$B$6:$T$823,18,0),"")</f>
        <v/>
      </c>
      <c r="T680" s="111" t="str">
        <f>IFERROR(VLOOKUP(B680,'02. MM-KLH'!$B$6:$T$823,19,0),"")</f>
        <v/>
      </c>
      <c r="U680" s="863"/>
    </row>
    <row r="681" ht="13.5" customHeight="1" spans="1:21">
      <c r="A681" s="101"/>
      <c r="B681" s="104"/>
      <c r="C681" s="159" t="s">
        <v>1034</v>
      </c>
      <c r="D681" s="103" t="str">
        <f>IFERROR(VLOOKUP(B681,'02. MM-KLH'!$B$6:$T$823,3,0),"")</f>
        <v/>
      </c>
      <c r="E681" s="102" t="str">
        <f>IFERROR(VLOOKUP(B681,'02. MM-KLH'!$B$6:$T$823,4,0),"")</f>
        <v/>
      </c>
      <c r="F681" s="146"/>
      <c r="G681" s="102" t="str">
        <f>IFERROR(VLOOKUP(B681,'02. MM-KLH'!$B$6:$T$823,6,0),"")</f>
        <v/>
      </c>
      <c r="H681" s="885"/>
      <c r="I681" s="101" t="str">
        <f>IFERROR(VLOOKUP(B681,'02. MM-KLH'!$B$6:$T$823,8,0),"")</f>
        <v/>
      </c>
      <c r="J681" s="105" t="str">
        <f>IFERROR(VLOOKUP(B681,'02. MM-KLH'!$B$6:$T$823,9,0),"")</f>
        <v/>
      </c>
      <c r="K681" s="101" t="str">
        <f>IFERROR(VLOOKUP(B681,'02. MM-KLH'!$B$6:$T$823,10,0),"")</f>
        <v/>
      </c>
      <c r="L681" s="107" t="str">
        <f>IFERROR(VLOOKUP(B681,'02. MM-KLH'!$B$6:$T$823,11,0),"")</f>
        <v/>
      </c>
      <c r="M681" s="864" t="str">
        <f>IFERROR(VLOOKUP(B681,'02. MM-KLH'!$B$6:$T$823,12,0),"")</f>
        <v/>
      </c>
      <c r="N681" s="110" t="str">
        <f>IFERROR(VLOOKUP(B681,'02. MM-KLH'!$B$6:$T$823,13,0),"")</f>
        <v/>
      </c>
      <c r="O681" s="110" t="str">
        <f>IFERROR(VLOOKUP(B681,'02. MM-KLH'!$B$6:$T$823,14,0),"")</f>
        <v/>
      </c>
      <c r="P681" s="101" t="str">
        <f>IFERROR(VLOOKUP(B681,'02. MM-KLH'!$B$6:$T$823,15,0),"")</f>
        <v/>
      </c>
      <c r="Q681" s="101" t="str">
        <f>IFERROR(VLOOKUP(B681,'02. MM-KLH'!$B$6:$T$823,16,0),"")</f>
        <v/>
      </c>
      <c r="R681" s="101" t="str">
        <f>IFERROR(VLOOKUP(B681,'02. MM-KLH'!$B$6:$T$823,17,0),"")</f>
        <v/>
      </c>
      <c r="S681" s="110" t="str">
        <f>IFERROR(VLOOKUP(B681,'02. MM-KLH'!$B$6:$T$823,18,0),"")</f>
        <v/>
      </c>
      <c r="T681" s="111" t="str">
        <f>IFERROR(VLOOKUP(B681,'02. MM-KLH'!$B$6:$T$823,19,0),"")</f>
        <v/>
      </c>
      <c r="U681" s="863"/>
    </row>
    <row r="682" ht="13.5" customHeight="1" spans="1:21">
      <c r="A682" s="886" t="s">
        <v>3004</v>
      </c>
      <c r="B682" s="210" t="s">
        <v>3005</v>
      </c>
      <c r="C682" s="210"/>
      <c r="D682" s="210">
        <f>IFERROR(VLOOKUP(B682,'02. MM-KLH'!$B$6:$T$823,3,0),"")</f>
        <v>0</v>
      </c>
      <c r="E682" s="210">
        <f>IFERROR(VLOOKUP(B682,'02. MM-KLH'!$B$6:$T$823,4,0),"")</f>
        <v>0</v>
      </c>
      <c r="F682" s="210"/>
      <c r="G682" s="210" t="str">
        <f>IFERROR(VLOOKUP(B682,'02. MM-KLH'!$B$6:$T$823,6,0),"")</f>
        <v>(Chờ phân bổ chữ xanh dương)</v>
      </c>
      <c r="H682" s="210"/>
      <c r="I682" s="210">
        <f>IFERROR(VLOOKUP(B682,'02. MM-KLH'!$B$6:$T$823,8,0),"")</f>
        <v>0</v>
      </c>
      <c r="J682" s="210">
        <f>IFERROR(VLOOKUP(B682,'02. MM-KLH'!$B$6:$T$823,9,0),"")</f>
        <v>0</v>
      </c>
      <c r="K682" s="210">
        <f>IFERROR(VLOOKUP(B682,'02. MM-KLH'!$B$6:$T$823,10,0),"")</f>
        <v>0</v>
      </c>
      <c r="L682" s="210">
        <f>IFERROR(VLOOKUP(B682,'02. MM-KLH'!$B$6:$T$823,11,0),"")</f>
        <v>0</v>
      </c>
      <c r="M682" s="210">
        <f>IFERROR(VLOOKUP(B682,'02. MM-KLH'!$B$6:$T$823,12,0),"")</f>
        <v>0</v>
      </c>
      <c r="N682" s="210">
        <f>IFERROR(VLOOKUP(B682,'02. MM-KLH'!$B$6:$T$823,13,0),"")</f>
        <v>0</v>
      </c>
      <c r="O682" s="210">
        <f>IFERROR(VLOOKUP(B682,'02. MM-KLH'!$B$6:$T$823,14,0),"")</f>
        <v>0</v>
      </c>
      <c r="P682" s="210">
        <f>IFERROR(VLOOKUP(B682,'02. MM-KLH'!$B$6:$T$823,15,0),"")</f>
        <v>0</v>
      </c>
      <c r="Q682" s="210">
        <f>IFERROR(VLOOKUP(B682,'02. MM-KLH'!$B$6:$T$823,16,0),"")</f>
        <v>0</v>
      </c>
      <c r="R682" s="210">
        <f>IFERROR(VLOOKUP(B682,'02. MM-KLH'!$B$6:$T$823,17,0),"")</f>
        <v>0</v>
      </c>
      <c r="S682" s="210">
        <f>IFERROR(VLOOKUP(B682,'02. MM-KLH'!$B$6:$T$823,18,0),"")</f>
        <v>0</v>
      </c>
      <c r="T682" s="210">
        <f>IFERROR(VLOOKUP(B682,'02. MM-KLH'!$B$6:$T$823,19,0),"")</f>
        <v>0</v>
      </c>
      <c r="U682" s="210" t="str">
        <f>IFERROR(VLOOKUP(C682,'02. MM-KLH'!$B$6:$T$823,19,0),"")</f>
        <v/>
      </c>
    </row>
    <row r="683" ht="13.5" customHeight="1" spans="1:21">
      <c r="A683" s="887" t="s">
        <v>3007</v>
      </c>
      <c r="B683" s="216" t="s">
        <v>3008</v>
      </c>
      <c r="C683" s="887">
        <f>COUNTA($B$684:$B$689)</f>
        <v>2</v>
      </c>
      <c r="D683" s="887">
        <f>IFERROR(VLOOKUP(B683,'02. MM-KLH'!$B$6:$T$823,3,0),"")</f>
        <v>0</v>
      </c>
      <c r="E683" s="887">
        <f>IFERROR(VLOOKUP(B683,'02. MM-KLH'!$B$6:$T$823,4,0),"")</f>
        <v>0</v>
      </c>
      <c r="F683" s="887"/>
      <c r="G683" s="887">
        <f>IFERROR(VLOOKUP(B683,'02. MM-KLH'!$B$6:$T$823,6,0),"")</f>
        <v>0</v>
      </c>
      <c r="H683" s="887"/>
      <c r="I683" s="887">
        <f>IFERROR(VLOOKUP(B683,'02. MM-KLH'!$B$6:$T$823,8,0),"")</f>
        <v>0</v>
      </c>
      <c r="J683" s="887">
        <f>IFERROR(VLOOKUP(B683,'02. MM-KLH'!$B$6:$T$823,9,0),"")</f>
        <v>0</v>
      </c>
      <c r="K683" s="887">
        <f>IFERROR(VLOOKUP(B683,'02. MM-KLH'!$B$6:$T$823,10,0),"")</f>
        <v>0</v>
      </c>
      <c r="L683" s="887">
        <f>IFERROR(VLOOKUP(B683,'02. MM-KLH'!$B$6:$T$823,11,0),"")</f>
        <v>0</v>
      </c>
      <c r="M683" s="887">
        <f>IFERROR(VLOOKUP(B683,'02. MM-KLH'!$B$6:$T$823,12,0),"")</f>
        <v>0</v>
      </c>
      <c r="N683" s="887">
        <f>IFERROR(VLOOKUP(B683,'02. MM-KLH'!$B$6:$T$823,13,0),"")</f>
        <v>0</v>
      </c>
      <c r="O683" s="887">
        <f>IFERROR(VLOOKUP(B683,'02. MM-KLH'!$B$6:$T$823,14,0),"")</f>
        <v>0</v>
      </c>
      <c r="P683" s="887">
        <f>IFERROR(VLOOKUP(B683,'02. MM-KLH'!$B$6:$T$823,15,0),"")</f>
        <v>0</v>
      </c>
      <c r="Q683" s="887">
        <f>IFERROR(VLOOKUP(B683,'02. MM-KLH'!$B$6:$T$823,16,0),"")</f>
        <v>0</v>
      </c>
      <c r="R683" s="887">
        <f>IFERROR(VLOOKUP(B683,'02. MM-KLH'!$B$6:$T$823,17,0),"")</f>
        <v>0</v>
      </c>
      <c r="S683" s="887">
        <f>IFERROR(VLOOKUP(B683,'02. MM-KLH'!$B$6:$T$823,18,0),"")</f>
        <v>0</v>
      </c>
      <c r="T683" s="887">
        <f>IFERROR(VLOOKUP(B683,'02. MM-KLH'!$B$6:$T$823,19,0),"")</f>
        <v>0</v>
      </c>
      <c r="U683" s="887" t="str">
        <f>IFERROR(VLOOKUP(C683,'02. MM-KLH'!$B$6:$T$823,19,0),"")</f>
        <v/>
      </c>
    </row>
    <row r="684" ht="13.5" customHeight="1" spans="1:21">
      <c r="A684" s="101">
        <v>1</v>
      </c>
      <c r="B684" s="104" t="s">
        <v>3009</v>
      </c>
      <c r="C684" s="102" t="str">
        <f>IFERROR(VLOOKUP(B684,'02. MM-KLH'!$B$6:$T$823,2,0),"")</f>
        <v>XPT01NNKLH</v>
      </c>
      <c r="D684" s="103">
        <f>IFERROR(VLOOKUP(B684,'02. MM-KLH'!$B$6:$T$823,3,0),"")</f>
        <v>0</v>
      </c>
      <c r="E684" s="102">
        <f>IFERROR(VLOOKUP(B684,'02. MM-KLH'!$B$6:$T$823,4,0),"")</f>
        <v>0</v>
      </c>
      <c r="F684" s="104"/>
      <c r="G684" s="102" t="str">
        <f>IFERROR(VLOOKUP(B684,'02. MM-KLH'!$B$6:$T$823,6,0),"")</f>
        <v>Xe phun thuốc FC950</v>
      </c>
      <c r="H684" s="101" t="s">
        <v>3454</v>
      </c>
      <c r="I684" s="101" t="str">
        <f>IFERROR(VLOOKUP(B684,'02. MM-KLH'!$B$6:$T$823,8,0),"")</f>
        <v>CHƯA PHÂN BỔ</v>
      </c>
      <c r="J684" s="105" t="str">
        <f>IFERROR(VLOOKUP(B684,'02. MM-KLH'!$B$6:$T$823,9,0),"")</f>
        <v>Chưa phân bổ</v>
      </c>
      <c r="K684" s="101" t="str">
        <f>IFERROR(VLOOKUP(B684,'02. MM-KLH'!$B$6:$T$823,10,0),"")</f>
        <v>Hư hỏng</v>
      </c>
      <c r="L684" s="107">
        <f>IFERROR(VLOOKUP(B684,'02. MM-KLH'!$B$6:$T$823,11,0),"")</f>
        <v>0</v>
      </c>
      <c r="M684" s="864">
        <f>IFERROR(VLOOKUP(B684,'02. MM-KLH'!$B$6:$T$823,12,0),"")</f>
        <v>0</v>
      </c>
      <c r="N684" s="110" t="str">
        <f>IFERROR(VLOOKUP(B684,'02. MM-KLH'!$B$6:$T$823,13,0),"")</f>
        <v>THACO FORLAND</v>
      </c>
      <c r="O684" s="110" t="str">
        <f>IFERROR(VLOOKUP(B684,'02. MM-KLH'!$B$6:$T$823,14,0),"")</f>
        <v>VIỆT NAM</v>
      </c>
      <c r="P684" s="101">
        <f>IFERROR(VLOOKUP(B684,'02. MM-KLH'!$B$6:$T$823,15,0),"")</f>
        <v>2018</v>
      </c>
      <c r="Q684" s="101" t="str">
        <f>IFERROR(VLOOKUP(B684,'02. MM-KLH'!$B$6:$T$823,16,0),"")</f>
        <v>FC950</v>
      </c>
      <c r="R684" s="101" t="str">
        <f>IFERROR(VLOOKUP(B684,'02. MM-KLH'!$B$6:$T$823,17,0),"")</f>
        <v>160HP</v>
      </c>
      <c r="S684" s="110" t="str">
        <f>IFERROR(VLOOKUP(B684,'02. MM-KLH'!$B$6:$T$823,18,0),"")</f>
        <v>C084025</v>
      </c>
      <c r="T684" s="111" t="str">
        <f>IFERROR(VLOOKUP(B684,'02. MM-KLH'!$B$6:$T$823,19,0),"")</f>
        <v>J00061</v>
      </c>
      <c r="U684" s="863"/>
    </row>
    <row r="685" ht="13.5" customHeight="1" spans="1:21">
      <c r="A685" s="101">
        <v>3</v>
      </c>
      <c r="B685" s="104" t="s">
        <v>3015</v>
      </c>
      <c r="C685" s="102" t="str">
        <f>IFERROR(VLOOKUP(B685,'02. MM-KLH'!$B$6:$T$823,2,0),"")</f>
        <v>XPT08 - NN KLH</v>
      </c>
      <c r="D685" s="103" t="str">
        <f>IFERROR(VLOOKUP(B685,'02. MM-KLH'!$B$6:$T$823,3,0),"")</f>
        <v>A22-XPT-001</v>
      </c>
      <c r="E685" s="102">
        <f>IFERROR(VLOOKUP(B685,'02. MM-KLH'!$B$6:$T$823,4,0),"")</f>
        <v>0</v>
      </c>
      <c r="F685" s="104"/>
      <c r="G685" s="102" t="str">
        <f>IFERROR(VLOOKUP(B685,'02. MM-KLH'!$B$6:$T$823,6,0),"")</f>
        <v>Xe phun thuốc Faw 15T</v>
      </c>
      <c r="H685" s="101"/>
      <c r="I685" s="101" t="str">
        <f>IFERROR(VLOOKUP(B685,'02. MM-KLH'!$B$6:$T$823,8,0),"")</f>
        <v>CHƯA PHÂN BỔ</v>
      </c>
      <c r="J685" s="105">
        <f>IFERROR(VLOOKUP(B685,'02. MM-KLH'!$B$6:$T$823,9,0),"")</f>
        <v>0</v>
      </c>
      <c r="K685" s="101" t="str">
        <f>IFERROR(VLOOKUP(B685,'02. MM-KLH'!$B$6:$T$823,10,0),"")</f>
        <v>Hư hỏng</v>
      </c>
      <c r="L685" s="107">
        <f>IFERROR(VLOOKUP(B685,'02. MM-KLH'!$B$6:$T$823,11,0),"")</f>
        <v>0</v>
      </c>
      <c r="M685" s="888">
        <f>IFERROR(VLOOKUP(B685,'02. MM-KLH'!$B$6:$T$823,12,0),"")</f>
        <v>0</v>
      </c>
      <c r="N685" s="110" t="str">
        <f>IFERROR(VLOOKUP(B685,'02. MM-KLH'!$B$6:$T$823,13,0),"")</f>
        <v>FAW</v>
      </c>
      <c r="O685" s="110" t="str">
        <f>IFERROR(VLOOKUP(B685,'02. MM-KLH'!$B$6:$T$823,14,0),"")</f>
        <v>TRUNG QUỐC</v>
      </c>
      <c r="P685" s="101">
        <f>IFERROR(VLOOKUP(B685,'02. MM-KLH'!$B$6:$T$823,15,0),"")</f>
        <v>2009</v>
      </c>
      <c r="Q685" s="101">
        <f>IFERROR(VLOOKUP(B685,'02. MM-KLH'!$B$6:$T$823,16,0),"")</f>
        <v>0</v>
      </c>
      <c r="R685" s="101" t="str">
        <f>IFERROR(VLOOKUP(B685,'02. MM-KLH'!$B$6:$T$823,17,0),"")</f>
        <v>140HP</v>
      </c>
      <c r="S685" s="110" t="str">
        <f>IFERROR(VLOOKUP(B685,'02. MM-KLH'!$B$6:$T$823,18,0),"")</f>
        <v>9AD33858</v>
      </c>
      <c r="T685" s="111" t="str">
        <f>IFERROR(VLOOKUP(B685,'02. MM-KLH'!$B$6:$T$823,19,0),"")</f>
        <v>1509K055936</v>
      </c>
      <c r="U685" s="863"/>
    </row>
    <row r="686" ht="13.8" spans="1:21">
      <c r="B686" s="663"/>
    </row>
    <row r="687" ht="13.8" spans="1:21">
      <c r="B687" s="663"/>
    </row>
    <row r="688" ht="13.8" spans="1:21">
      <c r="B688" s="663"/>
    </row>
    <row r="689" ht="13.5" customHeight="1" spans="1:21">
      <c r="B689" s="663"/>
      <c r="C689" s="102" t="str">
        <f>IFERROR(VLOOKUP(B689,'02. MM-KLH'!$B$6:$T$823,2,0),"")</f>
        <v/>
      </c>
      <c r="D689" s="103" t="str">
        <f>IFERROR(VLOOKUP(B689,'02. MM-KLH'!$B$6:$T$823,3,0),"")</f>
        <v/>
      </c>
      <c r="E689" s="102" t="str">
        <f>IFERROR(VLOOKUP(B689,'02. MM-KLH'!$B$6:$T$823,4,0),"")</f>
        <v/>
      </c>
      <c r="G689" s="102" t="str">
        <f>IFERROR(VLOOKUP(B689,'02. MM-KLH'!$B$6:$T$823,6,0),"")</f>
        <v/>
      </c>
      <c r="I689" s="101" t="str">
        <f>IFERROR(VLOOKUP(B689,'02. MM-KLH'!$B$6:$T$823,8,0),"")</f>
        <v/>
      </c>
      <c r="J689" s="105" t="str">
        <f>IFERROR(VLOOKUP(B689,'02. MM-KLH'!$B$6:$T$823,9,0),"")</f>
        <v/>
      </c>
      <c r="K689" s="101" t="str">
        <f>IFERROR(VLOOKUP(B689,'02. MM-KLH'!$B$6:$T$823,10,0),"")</f>
        <v/>
      </c>
      <c r="L689" s="107" t="str">
        <f>IFERROR(VLOOKUP(B689,'02. MM-KLH'!$B$6:$T$823,11,0),"")</f>
        <v/>
      </c>
      <c r="M689" s="864" t="str">
        <f>IFERROR(VLOOKUP(B689,'02. MM-KLH'!$B$6:$T$823,12,0),"")</f>
        <v/>
      </c>
      <c r="N689" s="110" t="str">
        <f>IFERROR(VLOOKUP(B689,'02. MM-KLH'!$B$6:$T$823,13,0),"")</f>
        <v/>
      </c>
      <c r="O689" s="110" t="str">
        <f>IFERROR(VLOOKUP(B689,'02. MM-KLH'!$B$6:$T$823,14,0),"")</f>
        <v/>
      </c>
      <c r="P689" s="101" t="str">
        <f>IFERROR(VLOOKUP(B689,'02. MM-KLH'!$B$6:$T$823,15,0),"")</f>
        <v/>
      </c>
      <c r="Q689" s="101" t="str">
        <f>IFERROR(VLOOKUP(B689,'02. MM-KLH'!$B$6:$T$823,16,0),"")</f>
        <v/>
      </c>
      <c r="R689" s="101" t="str">
        <f>IFERROR(VLOOKUP(B689,'02. MM-KLH'!$B$6:$T$823,17,0),"")</f>
        <v/>
      </c>
      <c r="S689" s="110" t="str">
        <f>IFERROR(VLOOKUP(B689,'02. MM-KLH'!$B$6:$T$823,18,0),"")</f>
        <v/>
      </c>
      <c r="T689" s="111" t="str">
        <f>IFERROR(VLOOKUP(B689,'02. MM-KLH'!$B$6:$T$823,19,0),"")</f>
        <v/>
      </c>
      <c r="U689" s="863"/>
    </row>
    <row r="690" ht="13.5" customHeight="1" spans="1:21">
      <c r="A690" s="211" t="s">
        <v>3352</v>
      </c>
      <c r="B690" s="216" t="s">
        <v>3019</v>
      </c>
      <c r="C690" s="211">
        <f>COUNTA(G691:G761)</f>
        <v>59</v>
      </c>
      <c r="D690" s="211">
        <f>IFERROR(VLOOKUP(B690,'02. MM-KLH'!$B$6:$T$823,3,0),"")</f>
        <v>0</v>
      </c>
      <c r="E690" s="211">
        <f>IFERROR(VLOOKUP(B690,'02. MM-KLH'!$B$6:$T$823,4,0),"")</f>
        <v>0</v>
      </c>
      <c r="F690" s="211"/>
      <c r="G690" s="211" t="str">
        <f>IFERROR(VLOOKUP(B690,'02. MM-KLH'!$B$6:$T$823,6,0),"")</f>
        <v>(Loại biên chữ đỏ)</v>
      </c>
      <c r="H690" s="211"/>
      <c r="I690" s="211">
        <f>IFERROR(VLOOKUP(B690,'02. MM-KLH'!$B$6:$T$823,8,0),"")</f>
        <v>0</v>
      </c>
      <c r="J690" s="211">
        <f>IFERROR(VLOOKUP(B690,'02. MM-KLH'!$B$6:$T$823,9,0),"")</f>
        <v>0</v>
      </c>
      <c r="K690" s="211">
        <f>IFERROR(VLOOKUP(B690,'02. MM-KLH'!$B$6:$T$823,10,0),"")</f>
        <v>0</v>
      </c>
      <c r="L690" s="211">
        <f>IFERROR(VLOOKUP(B690,'02. MM-KLH'!$B$6:$T$823,11,0),"")</f>
        <v>0</v>
      </c>
      <c r="M690" s="211">
        <f>IFERROR(VLOOKUP(B690,'02. MM-KLH'!$B$6:$T$823,12,0),"")</f>
        <v>0</v>
      </c>
      <c r="N690" s="211">
        <f>IFERROR(VLOOKUP(B690,'02. MM-KLH'!$B$6:$T$823,13,0),"")</f>
        <v>0</v>
      </c>
      <c r="O690" s="211">
        <f>IFERROR(VLOOKUP(B690,'02. MM-KLH'!$B$6:$T$823,14,0),"")</f>
        <v>0</v>
      </c>
      <c r="P690" s="211">
        <f>IFERROR(VLOOKUP(B690,'02. MM-KLH'!$B$6:$T$823,15,0),"")</f>
        <v>0</v>
      </c>
      <c r="Q690" s="211">
        <f>IFERROR(VLOOKUP(B690,'02. MM-KLH'!$B$6:$T$823,16,0),"")</f>
        <v>0</v>
      </c>
      <c r="R690" s="211">
        <f>IFERROR(VLOOKUP(B690,'02. MM-KLH'!$B$6:$T$823,17,0),"")</f>
        <v>0</v>
      </c>
      <c r="S690" s="211">
        <f>IFERROR(VLOOKUP(B690,'02. MM-KLH'!$B$6:$T$823,18,0),"")</f>
        <v>0</v>
      </c>
      <c r="T690" s="211">
        <f>IFERROR(VLOOKUP(B690,'02. MM-KLH'!$B$6:$T$823,19,0),"")</f>
        <v>0</v>
      </c>
      <c r="U690" s="211" t="str">
        <f>IFERROR(VLOOKUP(C690,'02. MM-KLH'!$B$6:$T$823,19,0),"")</f>
        <v/>
      </c>
    </row>
    <row r="691" ht="13.5" customHeight="1" spans="1:21">
      <c r="A691" s="161">
        <v>1</v>
      </c>
      <c r="B691" s="164"/>
      <c r="C691" s="162" t="s">
        <v>3021</v>
      </c>
      <c r="D691" s="103"/>
      <c r="E691" s="102"/>
      <c r="F691" s="162"/>
      <c r="G691" s="102" t="s">
        <v>3536</v>
      </c>
      <c r="H691" s="101" t="s">
        <v>3338</v>
      </c>
      <c r="I691" s="101" t="s">
        <v>3023</v>
      </c>
      <c r="J691" s="889"/>
      <c r="K691" s="101"/>
      <c r="L691" s="101"/>
      <c r="M691" s="864" t="s">
        <v>3537</v>
      </c>
      <c r="N691" s="110" t="s">
        <v>1019</v>
      </c>
      <c r="O691" s="110" t="s">
        <v>500</v>
      </c>
      <c r="P691" s="101">
        <v>2018</v>
      </c>
      <c r="Q691" s="101" t="s">
        <v>1122</v>
      </c>
      <c r="R691" s="101" t="s">
        <v>128</v>
      </c>
      <c r="S691" s="110" t="s">
        <v>3025</v>
      </c>
      <c r="T691" s="111" t="s">
        <v>462</v>
      </c>
      <c r="U691" s="863">
        <v>2.5</v>
      </c>
    </row>
    <row r="692" ht="13.5" customHeight="1" spans="1:21">
      <c r="A692" s="161">
        <v>2</v>
      </c>
      <c r="B692" s="164"/>
      <c r="C692" s="162" t="s">
        <v>3026</v>
      </c>
      <c r="D692" s="103"/>
      <c r="E692" s="102"/>
      <c r="F692" s="162"/>
      <c r="G692" s="102" t="s">
        <v>3538</v>
      </c>
      <c r="H692" s="101" t="s">
        <v>3338</v>
      </c>
      <c r="I692" s="101" t="s">
        <v>3023</v>
      </c>
      <c r="J692" s="889"/>
      <c r="K692" s="101"/>
      <c r="L692" s="101"/>
      <c r="M692" s="864" t="s">
        <v>3537</v>
      </c>
      <c r="N692" s="110" t="s">
        <v>2693</v>
      </c>
      <c r="O692" s="110" t="s">
        <v>500</v>
      </c>
      <c r="P692" s="101"/>
      <c r="Q692" s="101"/>
      <c r="R692" s="101" t="s">
        <v>199</v>
      </c>
      <c r="S692" s="110" t="s">
        <v>3027</v>
      </c>
      <c r="T692" s="111" t="s">
        <v>462</v>
      </c>
      <c r="U692" s="863"/>
    </row>
    <row r="693" ht="13.5" customHeight="1" spans="1:21">
      <c r="A693" s="161">
        <v>3</v>
      </c>
      <c r="B693" s="164" t="s">
        <v>3028</v>
      </c>
      <c r="C693" s="162" t="s">
        <v>3029</v>
      </c>
      <c r="D693" s="103"/>
      <c r="E693" s="102"/>
      <c r="F693" s="162"/>
      <c r="G693" s="102" t="s">
        <v>3539</v>
      </c>
      <c r="H693" s="101" t="s">
        <v>3290</v>
      </c>
      <c r="I693" s="101" t="s">
        <v>1103</v>
      </c>
      <c r="J693" s="889"/>
      <c r="K693" s="101"/>
      <c r="L693" s="101"/>
      <c r="M693" s="864" t="s">
        <v>3537</v>
      </c>
      <c r="N693" s="110" t="s">
        <v>1644</v>
      </c>
      <c r="O693" s="110" t="s">
        <v>453</v>
      </c>
      <c r="P693" s="101"/>
      <c r="Q693" s="101">
        <v>303</v>
      </c>
      <c r="R693" s="101"/>
      <c r="S693" s="110">
        <v>857</v>
      </c>
      <c r="T693" s="111">
        <v>4262</v>
      </c>
      <c r="U693" s="863">
        <v>4</v>
      </c>
    </row>
    <row r="694" ht="13.5" customHeight="1" spans="1:21">
      <c r="A694" s="161">
        <v>4</v>
      </c>
      <c r="B694" s="104" t="s">
        <v>3031</v>
      </c>
      <c r="C694" s="162" t="s">
        <v>3032</v>
      </c>
      <c r="D694" s="103" t="s">
        <v>3540</v>
      </c>
      <c r="E694" s="102"/>
      <c r="F694" s="104"/>
      <c r="G694" s="102" t="s">
        <v>3536</v>
      </c>
      <c r="H694" s="101" t="s">
        <v>3338</v>
      </c>
      <c r="I694" s="101" t="s">
        <v>1103</v>
      </c>
      <c r="J694" s="105"/>
      <c r="K694" s="101"/>
      <c r="L694" s="101"/>
      <c r="M694" s="864" t="s">
        <v>3537</v>
      </c>
      <c r="N694" s="110" t="s">
        <v>1019</v>
      </c>
      <c r="O694" s="110" t="s">
        <v>500</v>
      </c>
      <c r="P694" s="101">
        <v>2018</v>
      </c>
      <c r="Q694" s="101" t="s">
        <v>1122</v>
      </c>
      <c r="R694" s="101" t="s">
        <v>128</v>
      </c>
      <c r="S694" s="110" t="s">
        <v>3033</v>
      </c>
      <c r="T694" s="111" t="s">
        <v>462</v>
      </c>
      <c r="U694" s="863">
        <v>2.5</v>
      </c>
    </row>
    <row r="695" ht="13.5" customHeight="1" spans="1:21">
      <c r="A695" s="163">
        <v>5</v>
      </c>
      <c r="B695" s="164" t="s">
        <v>3034</v>
      </c>
      <c r="C695" s="162" t="s">
        <v>3035</v>
      </c>
      <c r="D695" s="103"/>
      <c r="E695" s="102"/>
      <c r="F695" s="164" t="s">
        <v>3036</v>
      </c>
      <c r="G695" s="102" t="s">
        <v>3541</v>
      </c>
      <c r="H695" s="101" t="s">
        <v>3384</v>
      </c>
      <c r="I695" s="101" t="s">
        <v>1103</v>
      </c>
      <c r="J695" s="105"/>
      <c r="K695" s="101"/>
      <c r="L695" s="101"/>
      <c r="M695" s="864" t="s">
        <v>3537</v>
      </c>
      <c r="N695" s="110" t="s">
        <v>1019</v>
      </c>
      <c r="O695" s="110" t="s">
        <v>500</v>
      </c>
      <c r="P695" s="101">
        <v>2018</v>
      </c>
      <c r="Q695" s="101" t="s">
        <v>1587</v>
      </c>
      <c r="R695" s="101" t="s">
        <v>3038</v>
      </c>
      <c r="S695" s="110">
        <v>880102</v>
      </c>
      <c r="T695" s="111" t="s">
        <v>462</v>
      </c>
      <c r="U695" s="863"/>
    </row>
    <row r="696" ht="13.5" customHeight="1" spans="1:21">
      <c r="A696" s="163">
        <v>6</v>
      </c>
      <c r="B696" s="164" t="s">
        <v>3039</v>
      </c>
      <c r="C696" s="162" t="s">
        <v>3040</v>
      </c>
      <c r="D696" s="103"/>
      <c r="E696" s="102"/>
      <c r="F696" s="164" t="s">
        <v>3041</v>
      </c>
      <c r="G696" s="102" t="s">
        <v>3542</v>
      </c>
      <c r="H696" s="101" t="s">
        <v>3485</v>
      </c>
      <c r="I696" s="101" t="s">
        <v>1103</v>
      </c>
      <c r="J696" s="105">
        <v>44197</v>
      </c>
      <c r="K696" s="101"/>
      <c r="L696" s="107">
        <v>0</v>
      </c>
      <c r="M696" s="864" t="s">
        <v>3537</v>
      </c>
      <c r="N696" s="110" t="s">
        <v>3043</v>
      </c>
      <c r="O696" s="110" t="s">
        <v>1140</v>
      </c>
      <c r="P696" s="101">
        <v>2014</v>
      </c>
      <c r="Q696" s="101" t="s">
        <v>3044</v>
      </c>
      <c r="R696" s="101" t="s">
        <v>3045</v>
      </c>
      <c r="S696" s="110">
        <v>6042</v>
      </c>
      <c r="T696" s="111" t="s">
        <v>462</v>
      </c>
      <c r="U696" s="863"/>
    </row>
    <row r="697" ht="13.5" customHeight="1" spans="1:21">
      <c r="A697" s="161">
        <v>7</v>
      </c>
      <c r="B697" s="164" t="s">
        <v>3046</v>
      </c>
      <c r="C697" s="162" t="s">
        <v>3047</v>
      </c>
      <c r="D697" s="103"/>
      <c r="E697" s="102"/>
      <c r="F697" s="164"/>
      <c r="G697" s="102" t="s">
        <v>3543</v>
      </c>
      <c r="H697" s="101" t="s">
        <v>3378</v>
      </c>
      <c r="I697" s="101" t="s">
        <v>23</v>
      </c>
      <c r="J697" s="105"/>
      <c r="K697" s="101"/>
      <c r="L697" s="101"/>
      <c r="M697" s="864" t="s">
        <v>3537</v>
      </c>
      <c r="N697" s="110" t="s">
        <v>1160</v>
      </c>
      <c r="O697" s="110"/>
      <c r="P697" s="101"/>
      <c r="Q697" s="101"/>
      <c r="R697" s="101"/>
      <c r="S697" s="1097" t="s">
        <v>3049</v>
      </c>
      <c r="T697" s="111" t="s">
        <v>462</v>
      </c>
      <c r="U697" s="863"/>
    </row>
    <row r="698" ht="13.5" customHeight="1" spans="1:21">
      <c r="A698" s="161">
        <v>8</v>
      </c>
      <c r="B698" s="164" t="s">
        <v>3050</v>
      </c>
      <c r="C698" s="162" t="s">
        <v>3050</v>
      </c>
      <c r="D698" s="103"/>
      <c r="E698" s="102"/>
      <c r="F698" s="164"/>
      <c r="G698" s="102" t="s">
        <v>3544</v>
      </c>
      <c r="H698" s="101" t="s">
        <v>3384</v>
      </c>
      <c r="I698" s="101" t="s">
        <v>31</v>
      </c>
      <c r="J698" s="105"/>
      <c r="K698" s="101"/>
      <c r="L698" s="101"/>
      <c r="M698" s="864" t="s">
        <v>3537</v>
      </c>
      <c r="N698" s="110" t="s">
        <v>621</v>
      </c>
      <c r="O698" s="110" t="s">
        <v>500</v>
      </c>
      <c r="P698" s="101">
        <v>2012</v>
      </c>
      <c r="Q698" s="101"/>
      <c r="R698" s="101"/>
      <c r="S698" s="110">
        <v>32169</v>
      </c>
      <c r="T698" s="111" t="s">
        <v>462</v>
      </c>
      <c r="U698" s="863"/>
    </row>
    <row r="699" ht="13.5" customHeight="1" spans="1:21">
      <c r="A699" s="161">
        <v>9</v>
      </c>
      <c r="B699" s="164" t="s">
        <v>3052</v>
      </c>
      <c r="C699" s="162" t="s">
        <v>3052</v>
      </c>
      <c r="D699" s="103"/>
      <c r="E699" s="102"/>
      <c r="F699" s="164" t="s">
        <v>3053</v>
      </c>
      <c r="G699" s="102" t="s">
        <v>3545</v>
      </c>
      <c r="H699" s="101" t="s">
        <v>3384</v>
      </c>
      <c r="I699" s="101" t="s">
        <v>31</v>
      </c>
      <c r="J699" s="105">
        <v>40910</v>
      </c>
      <c r="K699" s="101"/>
      <c r="L699" s="107">
        <v>0</v>
      </c>
      <c r="M699" s="864" t="s">
        <v>3537</v>
      </c>
      <c r="N699" s="110" t="s">
        <v>1267</v>
      </c>
      <c r="O699" s="110" t="s">
        <v>465</v>
      </c>
      <c r="P699" s="101"/>
      <c r="Q699" s="101"/>
      <c r="R699" s="101"/>
      <c r="S699" s="110">
        <v>55454</v>
      </c>
      <c r="T699" s="111" t="s">
        <v>462</v>
      </c>
      <c r="U699" s="863"/>
    </row>
    <row r="700" ht="13.5" customHeight="1" spans="1:21">
      <c r="A700" s="161">
        <v>10</v>
      </c>
      <c r="B700" s="164" t="s">
        <v>3055</v>
      </c>
      <c r="C700" s="162" t="s">
        <v>3056</v>
      </c>
      <c r="D700" s="103" t="s">
        <v>1624</v>
      </c>
      <c r="E700" s="102"/>
      <c r="F700" s="164"/>
      <c r="G700" s="102" t="s">
        <v>3546</v>
      </c>
      <c r="H700" s="101" t="s">
        <v>3338</v>
      </c>
      <c r="I700" s="101" t="s">
        <v>1103</v>
      </c>
      <c r="J700" s="105"/>
      <c r="K700" s="101"/>
      <c r="L700" s="101"/>
      <c r="M700" s="864" t="s">
        <v>3537</v>
      </c>
      <c r="N700" s="110" t="s">
        <v>759</v>
      </c>
      <c r="O700" s="110" t="s">
        <v>453</v>
      </c>
      <c r="P700" s="101">
        <v>2013</v>
      </c>
      <c r="Q700" s="101" t="s">
        <v>1064</v>
      </c>
      <c r="R700" s="101" t="s">
        <v>208</v>
      </c>
      <c r="S700" s="110">
        <v>56762</v>
      </c>
      <c r="T700" s="111">
        <v>65</v>
      </c>
      <c r="U700" s="863">
        <v>3.5</v>
      </c>
    </row>
    <row r="701" ht="13.5" customHeight="1" spans="1:21">
      <c r="A701" s="161">
        <v>11</v>
      </c>
      <c r="B701" s="164" t="s">
        <v>3058</v>
      </c>
      <c r="C701" s="162" t="s">
        <v>3059</v>
      </c>
      <c r="D701" s="103" t="s">
        <v>3547</v>
      </c>
      <c r="E701" s="102"/>
      <c r="F701" s="164"/>
      <c r="G701" s="102" t="s">
        <v>3536</v>
      </c>
      <c r="H701" s="101" t="s">
        <v>3338</v>
      </c>
      <c r="I701" s="101" t="s">
        <v>1103</v>
      </c>
      <c r="J701" s="105"/>
      <c r="K701" s="101"/>
      <c r="L701" s="101"/>
      <c r="M701" s="864" t="s">
        <v>3537</v>
      </c>
      <c r="N701" s="110" t="s">
        <v>1019</v>
      </c>
      <c r="O701" s="110" t="s">
        <v>500</v>
      </c>
      <c r="P701" s="101">
        <v>2018</v>
      </c>
      <c r="Q701" s="101" t="s">
        <v>1122</v>
      </c>
      <c r="R701" s="101" t="s">
        <v>128</v>
      </c>
      <c r="S701" s="1097" t="s">
        <v>3060</v>
      </c>
      <c r="T701" s="1094" t="s">
        <v>3061</v>
      </c>
      <c r="U701" s="863">
        <v>2.5</v>
      </c>
    </row>
    <row r="702" ht="13.5" customHeight="1" spans="1:21">
      <c r="A702" s="161">
        <v>12</v>
      </c>
      <c r="B702" s="164" t="s">
        <v>3062</v>
      </c>
      <c r="C702" s="162" t="s">
        <v>3063</v>
      </c>
      <c r="D702" s="103" t="s">
        <v>3548</v>
      </c>
      <c r="E702" s="102"/>
      <c r="F702" s="164"/>
      <c r="G702" s="102" t="s">
        <v>3536</v>
      </c>
      <c r="H702" s="101" t="s">
        <v>3338</v>
      </c>
      <c r="I702" s="101" t="s">
        <v>1103</v>
      </c>
      <c r="J702" s="105"/>
      <c r="K702" s="101"/>
      <c r="L702" s="101"/>
      <c r="M702" s="864" t="s">
        <v>3537</v>
      </c>
      <c r="N702" s="110" t="s">
        <v>1019</v>
      </c>
      <c r="O702" s="110" t="s">
        <v>500</v>
      </c>
      <c r="P702" s="101">
        <v>2018</v>
      </c>
      <c r="Q702" s="101" t="s">
        <v>1122</v>
      </c>
      <c r="R702" s="101" t="s">
        <v>128</v>
      </c>
      <c r="S702" s="1097" t="s">
        <v>3064</v>
      </c>
      <c r="T702" s="111">
        <v>80076</v>
      </c>
      <c r="U702" s="863">
        <v>2.5</v>
      </c>
    </row>
    <row r="703" ht="13.5" customHeight="1" spans="1:21">
      <c r="A703" s="161">
        <v>13</v>
      </c>
      <c r="B703" s="164" t="s">
        <v>3065</v>
      </c>
      <c r="C703" s="162" t="s">
        <v>3066</v>
      </c>
      <c r="D703" s="103" t="s">
        <v>3549</v>
      </c>
      <c r="E703" s="102"/>
      <c r="F703" s="164"/>
      <c r="G703" s="102" t="s">
        <v>3536</v>
      </c>
      <c r="H703" s="101" t="s">
        <v>3338</v>
      </c>
      <c r="I703" s="101" t="s">
        <v>1103</v>
      </c>
      <c r="J703" s="105"/>
      <c r="K703" s="101"/>
      <c r="L703" s="101"/>
      <c r="M703" s="864" t="s">
        <v>3537</v>
      </c>
      <c r="N703" s="110" t="s">
        <v>1019</v>
      </c>
      <c r="O703" s="110" t="s">
        <v>500</v>
      </c>
      <c r="P703" s="101">
        <v>2018</v>
      </c>
      <c r="Q703" s="101" t="s">
        <v>1122</v>
      </c>
      <c r="R703" s="101" t="s">
        <v>128</v>
      </c>
      <c r="S703" s="110" t="s">
        <v>3067</v>
      </c>
      <c r="T703" s="111">
        <v>180053</v>
      </c>
      <c r="U703" s="863">
        <v>2.5</v>
      </c>
    </row>
    <row r="704" ht="13.5" customHeight="1" spans="1:21">
      <c r="A704" s="161">
        <v>14</v>
      </c>
      <c r="B704" s="164" t="s">
        <v>3068</v>
      </c>
      <c r="C704" s="162" t="s">
        <v>3069</v>
      </c>
      <c r="D704" s="103" t="s">
        <v>3339</v>
      </c>
      <c r="E704" s="102"/>
      <c r="F704" s="164" t="s">
        <v>3070</v>
      </c>
      <c r="G704" s="102" t="s">
        <v>3550</v>
      </c>
      <c r="H704" s="101" t="s">
        <v>3340</v>
      </c>
      <c r="I704" s="101" t="s">
        <v>1103</v>
      </c>
      <c r="J704" s="105"/>
      <c r="K704" s="101"/>
      <c r="L704" s="101"/>
      <c r="M704" s="864" t="s">
        <v>3537</v>
      </c>
      <c r="N704" s="110" t="s">
        <v>759</v>
      </c>
      <c r="O704" s="110" t="s">
        <v>453</v>
      </c>
      <c r="P704" s="101">
        <v>2011</v>
      </c>
      <c r="Q704" s="101">
        <v>9540</v>
      </c>
      <c r="R704" s="101" t="s">
        <v>120</v>
      </c>
      <c r="S704" s="110">
        <v>2482</v>
      </c>
      <c r="T704" s="111" t="s">
        <v>462</v>
      </c>
      <c r="U704" s="863">
        <v>3.8</v>
      </c>
    </row>
    <row r="705" ht="13.5" customHeight="1" spans="1:21">
      <c r="A705" s="161">
        <v>15</v>
      </c>
      <c r="B705" s="164" t="s">
        <v>3071</v>
      </c>
      <c r="C705" s="162" t="s">
        <v>3072</v>
      </c>
      <c r="D705" s="103" t="s">
        <v>3551</v>
      </c>
      <c r="E705" s="102"/>
      <c r="F705" s="164"/>
      <c r="G705" s="102" t="s">
        <v>3536</v>
      </c>
      <c r="H705" s="101" t="s">
        <v>3338</v>
      </c>
      <c r="I705" s="101" t="s">
        <v>1103</v>
      </c>
      <c r="J705" s="101" t="s">
        <v>3073</v>
      </c>
      <c r="K705" s="101"/>
      <c r="L705" s="101"/>
      <c r="M705" s="864" t="s">
        <v>3537</v>
      </c>
      <c r="N705" s="110" t="s">
        <v>1019</v>
      </c>
      <c r="O705" s="110" t="s">
        <v>500</v>
      </c>
      <c r="P705" s="101">
        <v>2018</v>
      </c>
      <c r="Q705" s="101" t="s">
        <v>1122</v>
      </c>
      <c r="R705" s="101" t="s">
        <v>128</v>
      </c>
      <c r="S705" s="110" t="s">
        <v>3074</v>
      </c>
      <c r="T705" s="111" t="s">
        <v>462</v>
      </c>
      <c r="U705" s="863">
        <v>2.5</v>
      </c>
    </row>
    <row r="706" ht="13.5" customHeight="1" spans="1:21">
      <c r="A706" s="161">
        <v>16</v>
      </c>
      <c r="B706" s="164" t="s">
        <v>3075</v>
      </c>
      <c r="C706" s="162" t="s">
        <v>3076</v>
      </c>
      <c r="D706" s="103" t="s">
        <v>3339</v>
      </c>
      <c r="E706" s="102"/>
      <c r="F706" s="164" t="s">
        <v>3077</v>
      </c>
      <c r="G706" s="102" t="s">
        <v>3550</v>
      </c>
      <c r="H706" s="101" t="s">
        <v>3340</v>
      </c>
      <c r="I706" s="101" t="s">
        <v>1103</v>
      </c>
      <c r="J706" s="101" t="s">
        <v>1854</v>
      </c>
      <c r="K706" s="101"/>
      <c r="L706" s="101"/>
      <c r="M706" s="864" t="s">
        <v>3537</v>
      </c>
      <c r="N706" s="110" t="s">
        <v>759</v>
      </c>
      <c r="O706" s="110" t="s">
        <v>453</v>
      </c>
      <c r="P706" s="101">
        <v>2011</v>
      </c>
      <c r="Q706" s="101">
        <v>9540</v>
      </c>
      <c r="R706" s="101" t="s">
        <v>120</v>
      </c>
      <c r="S706" s="110">
        <v>3106</v>
      </c>
      <c r="T706" s="111" t="s">
        <v>462</v>
      </c>
      <c r="U706" s="863">
        <v>3.8</v>
      </c>
    </row>
    <row r="707" ht="13.5" customHeight="1" spans="1:21">
      <c r="A707" s="161">
        <v>17</v>
      </c>
      <c r="B707" s="164" t="s">
        <v>3078</v>
      </c>
      <c r="C707" s="162" t="s">
        <v>2593</v>
      </c>
      <c r="D707" s="103" t="s">
        <v>1624</v>
      </c>
      <c r="E707" s="102"/>
      <c r="F707" s="164" t="s">
        <v>1624</v>
      </c>
      <c r="G707" s="102" t="s">
        <v>3552</v>
      </c>
      <c r="H707" s="101" t="s">
        <v>3338</v>
      </c>
      <c r="I707" s="101" t="s">
        <v>1103</v>
      </c>
      <c r="J707" s="101" t="s">
        <v>3079</v>
      </c>
      <c r="K707" s="101"/>
      <c r="L707" s="107">
        <v>0.55</v>
      </c>
      <c r="M707" s="864" t="s">
        <v>3537</v>
      </c>
      <c r="N707" s="110" t="s">
        <v>759</v>
      </c>
      <c r="O707" s="110" t="s">
        <v>555</v>
      </c>
      <c r="P707" s="101">
        <v>2019</v>
      </c>
      <c r="Q707" s="101">
        <v>4508</v>
      </c>
      <c r="R707" s="101" t="s">
        <v>41</v>
      </c>
      <c r="S707" s="1097" t="s">
        <v>3080</v>
      </c>
      <c r="T707" s="111" t="s">
        <v>3081</v>
      </c>
      <c r="U707" s="863">
        <v>2.5</v>
      </c>
    </row>
    <row r="708" ht="13.5" customHeight="1" spans="1:21">
      <c r="A708" s="161">
        <v>18</v>
      </c>
      <c r="B708" s="164" t="s">
        <v>3082</v>
      </c>
      <c r="C708" s="162" t="s">
        <v>3083</v>
      </c>
      <c r="D708" s="103" t="s">
        <v>3084</v>
      </c>
      <c r="E708" s="102"/>
      <c r="F708" s="164" t="s">
        <v>3084</v>
      </c>
      <c r="G708" s="102" t="s">
        <v>3553</v>
      </c>
      <c r="H708" s="101" t="s">
        <v>3384</v>
      </c>
      <c r="I708" s="101" t="s">
        <v>1103</v>
      </c>
      <c r="J708" s="105"/>
      <c r="K708" s="101"/>
      <c r="L708" s="101"/>
      <c r="M708" s="864" t="s">
        <v>3537</v>
      </c>
      <c r="N708" s="110" t="s">
        <v>1164</v>
      </c>
      <c r="O708" s="110" t="s">
        <v>1165</v>
      </c>
      <c r="P708" s="101"/>
      <c r="Q708" s="101"/>
      <c r="R708" s="101" t="s">
        <v>208</v>
      </c>
      <c r="S708" s="110">
        <v>78509</v>
      </c>
      <c r="T708" s="111" t="s">
        <v>462</v>
      </c>
      <c r="U708" s="863">
        <v>2</v>
      </c>
    </row>
    <row r="709" ht="13.5" customHeight="1" spans="1:21">
      <c r="A709" s="161">
        <v>19</v>
      </c>
      <c r="B709" s="164" t="s">
        <v>3085</v>
      </c>
      <c r="C709" s="162" t="s">
        <v>3086</v>
      </c>
      <c r="D709" s="103" t="s">
        <v>3084</v>
      </c>
      <c r="E709" s="102"/>
      <c r="F709" s="164" t="s">
        <v>3084</v>
      </c>
      <c r="G709" s="102" t="s">
        <v>3553</v>
      </c>
      <c r="H709" s="101" t="s">
        <v>3384</v>
      </c>
      <c r="I709" s="101" t="s">
        <v>1103</v>
      </c>
      <c r="J709" s="105"/>
      <c r="K709" s="101"/>
      <c r="L709" s="101"/>
      <c r="M709" s="864" t="s">
        <v>3537</v>
      </c>
      <c r="N709" s="110" t="s">
        <v>1164</v>
      </c>
      <c r="O709" s="110" t="s">
        <v>1165</v>
      </c>
      <c r="P709" s="101"/>
      <c r="Q709" s="101"/>
      <c r="R709" s="101" t="s">
        <v>208</v>
      </c>
      <c r="S709" s="110">
        <v>58759</v>
      </c>
      <c r="T709" s="111" t="s">
        <v>462</v>
      </c>
      <c r="U709" s="863">
        <v>2</v>
      </c>
    </row>
    <row r="710" ht="13.5" customHeight="1" spans="1:21">
      <c r="A710" s="161">
        <v>20</v>
      </c>
      <c r="B710" s="164" t="s">
        <v>3087</v>
      </c>
      <c r="C710" s="162" t="s">
        <v>3088</v>
      </c>
      <c r="D710" s="103" t="s">
        <v>3554</v>
      </c>
      <c r="E710" s="102"/>
      <c r="F710" s="164" t="s">
        <v>3089</v>
      </c>
      <c r="G710" s="102" t="s">
        <v>3546</v>
      </c>
      <c r="H710" s="101" t="s">
        <v>3338</v>
      </c>
      <c r="I710" s="101" t="s">
        <v>15</v>
      </c>
      <c r="J710" s="105">
        <v>45352</v>
      </c>
      <c r="K710" s="101"/>
      <c r="L710" s="101"/>
      <c r="M710" s="864" t="s">
        <v>3537</v>
      </c>
      <c r="N710" s="110" t="s">
        <v>759</v>
      </c>
      <c r="O710" s="110" t="s">
        <v>453</v>
      </c>
      <c r="P710" s="101">
        <v>2013</v>
      </c>
      <c r="Q710" s="101" t="s">
        <v>1064</v>
      </c>
      <c r="R710" s="101" t="s">
        <v>208</v>
      </c>
      <c r="S710" s="110">
        <v>57271</v>
      </c>
      <c r="T710" s="111" t="s">
        <v>462</v>
      </c>
      <c r="U710" s="863">
        <v>3.5</v>
      </c>
    </row>
    <row r="711" ht="13.5" customHeight="1" spans="1:21">
      <c r="A711" s="161">
        <v>21</v>
      </c>
      <c r="B711" s="164" t="s">
        <v>3090</v>
      </c>
      <c r="C711" s="162" t="s">
        <v>3091</v>
      </c>
      <c r="D711" s="103" t="s">
        <v>3555</v>
      </c>
      <c r="E711" s="102"/>
      <c r="F711" s="164" t="s">
        <v>3092</v>
      </c>
      <c r="G711" s="102" t="s">
        <v>3556</v>
      </c>
      <c r="H711" s="101" t="s">
        <v>3340</v>
      </c>
      <c r="I711" s="101" t="s">
        <v>15</v>
      </c>
      <c r="J711" s="105">
        <v>43862</v>
      </c>
      <c r="K711" s="101"/>
      <c r="L711" s="107">
        <v>0.46</v>
      </c>
      <c r="M711" s="864" t="s">
        <v>3537</v>
      </c>
      <c r="N711" s="110" t="s">
        <v>1104</v>
      </c>
      <c r="O711" s="110" t="s">
        <v>3094</v>
      </c>
      <c r="P711" s="101">
        <v>2018</v>
      </c>
      <c r="Q711" s="101" t="s">
        <v>3095</v>
      </c>
      <c r="R711" s="101" t="s">
        <v>188</v>
      </c>
      <c r="S711" s="110">
        <v>162744</v>
      </c>
      <c r="T711" s="111" t="s">
        <v>462</v>
      </c>
      <c r="U711" s="863">
        <v>8.5</v>
      </c>
    </row>
    <row r="712" ht="13.5" customHeight="1" spans="1:21">
      <c r="A712" s="161">
        <v>22</v>
      </c>
      <c r="B712" s="164" t="s">
        <v>3096</v>
      </c>
      <c r="C712" s="162" t="s">
        <v>3097</v>
      </c>
      <c r="D712" s="103" t="s">
        <v>3557</v>
      </c>
      <c r="E712" s="102"/>
      <c r="F712" s="164" t="s">
        <v>3092</v>
      </c>
      <c r="G712" s="102" t="s">
        <v>3556</v>
      </c>
      <c r="H712" s="101" t="s">
        <v>3340</v>
      </c>
      <c r="I712" s="101" t="s">
        <v>15</v>
      </c>
      <c r="J712" s="105">
        <v>43862</v>
      </c>
      <c r="K712" s="101"/>
      <c r="L712" s="107">
        <v>0.46</v>
      </c>
      <c r="M712" s="864" t="s">
        <v>3537</v>
      </c>
      <c r="N712" s="110" t="s">
        <v>1104</v>
      </c>
      <c r="O712" s="110" t="s">
        <v>3094</v>
      </c>
      <c r="P712" s="101">
        <v>2018</v>
      </c>
      <c r="Q712" s="101" t="s">
        <v>3095</v>
      </c>
      <c r="R712" s="101" t="s">
        <v>188</v>
      </c>
      <c r="S712" s="110">
        <v>171754</v>
      </c>
      <c r="T712" s="111" t="s">
        <v>462</v>
      </c>
      <c r="U712" s="863">
        <v>8.5</v>
      </c>
    </row>
    <row r="713" ht="13.5" customHeight="1" spans="1:21">
      <c r="A713" s="161">
        <v>23</v>
      </c>
      <c r="B713" s="164" t="s">
        <v>3098</v>
      </c>
      <c r="C713" s="162" t="s">
        <v>3099</v>
      </c>
      <c r="D713" s="103" t="s">
        <v>3092</v>
      </c>
      <c r="E713" s="102"/>
      <c r="F713" s="164" t="s">
        <v>3092</v>
      </c>
      <c r="G713" s="102" t="s">
        <v>3556</v>
      </c>
      <c r="H713" s="101" t="s">
        <v>3340</v>
      </c>
      <c r="I713" s="101" t="s">
        <v>24</v>
      </c>
      <c r="J713" s="105">
        <v>43862</v>
      </c>
      <c r="K713" s="101"/>
      <c r="L713" s="107">
        <v>0.46</v>
      </c>
      <c r="M713" s="864" t="s">
        <v>3537</v>
      </c>
      <c r="N713" s="110" t="s">
        <v>1104</v>
      </c>
      <c r="O713" s="110" t="s">
        <v>1105</v>
      </c>
      <c r="P713" s="101">
        <v>2018</v>
      </c>
      <c r="Q713" s="101" t="s">
        <v>3095</v>
      </c>
      <c r="R713" s="101" t="s">
        <v>188</v>
      </c>
      <c r="S713" s="110">
        <v>394479</v>
      </c>
      <c r="T713" s="111" t="s">
        <v>462</v>
      </c>
      <c r="U713" s="863">
        <v>8.5</v>
      </c>
    </row>
    <row r="714" ht="13.5" customHeight="1" spans="1:21">
      <c r="A714" s="161">
        <v>24</v>
      </c>
      <c r="B714" s="164" t="s">
        <v>3100</v>
      </c>
      <c r="C714" s="162" t="s">
        <v>3101</v>
      </c>
      <c r="D714" s="103" t="s">
        <v>3482</v>
      </c>
      <c r="E714" s="102"/>
      <c r="F714" s="164"/>
      <c r="G714" s="102" t="s">
        <v>3558</v>
      </c>
      <c r="H714" s="101" t="s">
        <v>3463</v>
      </c>
      <c r="I714" s="101" t="s">
        <v>1769</v>
      </c>
      <c r="J714" s="105"/>
      <c r="K714" s="101"/>
      <c r="L714" s="101"/>
      <c r="M714" s="864" t="s">
        <v>3537</v>
      </c>
      <c r="N714" s="110" t="s">
        <v>1751</v>
      </c>
      <c r="O714" s="110" t="s">
        <v>1165</v>
      </c>
      <c r="P714" s="101"/>
      <c r="Q714" s="101"/>
      <c r="R714" s="101" t="s">
        <v>219</v>
      </c>
      <c r="S714" s="110"/>
      <c r="T714" s="111" t="s">
        <v>462</v>
      </c>
      <c r="U714" s="863">
        <v>0.5</v>
      </c>
    </row>
    <row r="715" ht="13.5" customHeight="1" spans="1:21">
      <c r="A715" s="161">
        <v>25</v>
      </c>
      <c r="B715" s="164" t="s">
        <v>3102</v>
      </c>
      <c r="C715" s="162" t="s">
        <v>3103</v>
      </c>
      <c r="D715" s="103" t="s">
        <v>3559</v>
      </c>
      <c r="E715" s="102"/>
      <c r="F715" s="164"/>
      <c r="G715" s="102" t="s">
        <v>3560</v>
      </c>
      <c r="H715" s="101" t="s">
        <v>3338</v>
      </c>
      <c r="I715" s="101" t="s">
        <v>1776</v>
      </c>
      <c r="J715" s="105"/>
      <c r="K715" s="101"/>
      <c r="L715" s="101"/>
      <c r="M715" s="864" t="s">
        <v>3537</v>
      </c>
      <c r="N715" s="110" t="s">
        <v>2693</v>
      </c>
      <c r="O715" s="110" t="s">
        <v>453</v>
      </c>
      <c r="P715" s="101"/>
      <c r="Q715" s="101" t="s">
        <v>2693</v>
      </c>
      <c r="R715" s="101" t="s">
        <v>199</v>
      </c>
      <c r="S715" s="110" t="s">
        <v>462</v>
      </c>
      <c r="T715" s="111">
        <v>20054</v>
      </c>
      <c r="U715" s="863"/>
    </row>
    <row r="716" ht="13.5" customHeight="1" spans="1:21">
      <c r="A716" s="161">
        <v>26</v>
      </c>
      <c r="B716" s="164" t="s">
        <v>3105</v>
      </c>
      <c r="C716" s="162" t="s">
        <v>3106</v>
      </c>
      <c r="D716" s="103" t="s">
        <v>3107</v>
      </c>
      <c r="E716" s="102"/>
      <c r="F716" s="164" t="s">
        <v>3107</v>
      </c>
      <c r="G716" s="102" t="s">
        <v>3553</v>
      </c>
      <c r="H716" s="101" t="s">
        <v>3384</v>
      </c>
      <c r="I716" s="101" t="s">
        <v>1593</v>
      </c>
      <c r="J716" s="101" t="s">
        <v>1605</v>
      </c>
      <c r="K716" s="101"/>
      <c r="L716" s="101"/>
      <c r="M716" s="864" t="s">
        <v>3537</v>
      </c>
      <c r="N716" s="110" t="s">
        <v>1164</v>
      </c>
      <c r="O716" s="110" t="s">
        <v>1165</v>
      </c>
      <c r="P716" s="101"/>
      <c r="Q716" s="101"/>
      <c r="R716" s="101" t="s">
        <v>208</v>
      </c>
      <c r="S716" s="110" t="s">
        <v>1658</v>
      </c>
      <c r="T716" s="111">
        <v>77109</v>
      </c>
      <c r="U716" s="863">
        <v>2</v>
      </c>
    </row>
    <row r="717" ht="13.5" customHeight="1" spans="1:21">
      <c r="A717" s="161">
        <v>27</v>
      </c>
      <c r="B717" s="164" t="s">
        <v>3108</v>
      </c>
      <c r="C717" s="162" t="s">
        <v>3109</v>
      </c>
      <c r="D717" s="103" t="s">
        <v>3107</v>
      </c>
      <c r="E717" s="102"/>
      <c r="F717" s="164" t="s">
        <v>3107</v>
      </c>
      <c r="G717" s="102" t="s">
        <v>3553</v>
      </c>
      <c r="H717" s="101" t="s">
        <v>3384</v>
      </c>
      <c r="I717" s="101" t="s">
        <v>1593</v>
      </c>
      <c r="J717" s="105"/>
      <c r="K717" s="101"/>
      <c r="L717" s="101"/>
      <c r="M717" s="864" t="s">
        <v>3537</v>
      </c>
      <c r="N717" s="110" t="s">
        <v>1164</v>
      </c>
      <c r="O717" s="110" t="s">
        <v>1165</v>
      </c>
      <c r="P717" s="101"/>
      <c r="Q717" s="101"/>
      <c r="R717" s="101" t="s">
        <v>208</v>
      </c>
      <c r="S717" s="110" t="s">
        <v>1658</v>
      </c>
      <c r="T717" s="111">
        <v>77052</v>
      </c>
      <c r="U717" s="863">
        <v>2</v>
      </c>
    </row>
    <row r="718" ht="13.5" customHeight="1" spans="1:21">
      <c r="A718" s="161">
        <v>28</v>
      </c>
      <c r="B718" s="164" t="s">
        <v>3110</v>
      </c>
      <c r="C718" s="162" t="s">
        <v>3111</v>
      </c>
      <c r="D718" s="103" t="s">
        <v>3112</v>
      </c>
      <c r="E718" s="102"/>
      <c r="F718" s="164" t="s">
        <v>3112</v>
      </c>
      <c r="G718" s="102" t="s">
        <v>3561</v>
      </c>
      <c r="H718" s="101" t="s">
        <v>3290</v>
      </c>
      <c r="I718" s="101" t="s">
        <v>1593</v>
      </c>
      <c r="J718" s="105"/>
      <c r="K718" s="101"/>
      <c r="L718" s="101"/>
      <c r="M718" s="864" t="s">
        <v>3537</v>
      </c>
      <c r="N718" s="110" t="s">
        <v>759</v>
      </c>
      <c r="O718" s="110" t="s">
        <v>453</v>
      </c>
      <c r="P718" s="101">
        <v>2015</v>
      </c>
      <c r="Q718" s="101" t="s">
        <v>760</v>
      </c>
      <c r="R718" s="101" t="s">
        <v>761</v>
      </c>
      <c r="S718" s="110">
        <v>60284</v>
      </c>
      <c r="T718" s="111" t="s">
        <v>462</v>
      </c>
      <c r="U718" s="863">
        <v>4</v>
      </c>
    </row>
    <row r="719" ht="13.5" customHeight="1" spans="1:21">
      <c r="A719" s="161">
        <v>29</v>
      </c>
      <c r="B719" s="164" t="s">
        <v>3113</v>
      </c>
      <c r="C719" s="162" t="s">
        <v>3114</v>
      </c>
      <c r="D719" s="103" t="s">
        <v>3112</v>
      </c>
      <c r="E719" s="102"/>
      <c r="F719" s="164" t="s">
        <v>3112</v>
      </c>
      <c r="G719" s="102" t="s">
        <v>3561</v>
      </c>
      <c r="H719" s="101" t="s">
        <v>3290</v>
      </c>
      <c r="I719" s="101" t="s">
        <v>1593</v>
      </c>
      <c r="J719" s="105">
        <v>43617</v>
      </c>
      <c r="K719" s="101"/>
      <c r="L719" s="107">
        <v>0.4</v>
      </c>
      <c r="M719" s="864" t="s">
        <v>3537</v>
      </c>
      <c r="N719" s="110" t="s">
        <v>759</v>
      </c>
      <c r="O719" s="110" t="s">
        <v>453</v>
      </c>
      <c r="P719" s="101">
        <v>2015</v>
      </c>
      <c r="Q719" s="101" t="s">
        <v>760</v>
      </c>
      <c r="R719" s="101" t="s">
        <v>761</v>
      </c>
      <c r="S719" s="110">
        <v>60273</v>
      </c>
      <c r="T719" s="111" t="s">
        <v>462</v>
      </c>
      <c r="U719" s="863">
        <v>4</v>
      </c>
    </row>
    <row r="720" ht="13.5" customHeight="1" spans="1:21">
      <c r="A720" s="161">
        <v>30</v>
      </c>
      <c r="B720" s="164" t="s">
        <v>3115</v>
      </c>
      <c r="C720" s="162" t="s">
        <v>3116</v>
      </c>
      <c r="D720" s="103"/>
      <c r="E720" s="102"/>
      <c r="F720" s="164"/>
      <c r="G720" s="102" t="s">
        <v>3536</v>
      </c>
      <c r="H720" s="101" t="s">
        <v>3338</v>
      </c>
      <c r="I720" s="101" t="s">
        <v>1593</v>
      </c>
      <c r="J720" s="105"/>
      <c r="K720" s="101"/>
      <c r="L720" s="101"/>
      <c r="M720" s="864" t="s">
        <v>3537</v>
      </c>
      <c r="N720" s="110" t="s">
        <v>1019</v>
      </c>
      <c r="O720" s="110" t="s">
        <v>500</v>
      </c>
      <c r="P720" s="101">
        <v>2018</v>
      </c>
      <c r="Q720" s="101" t="s">
        <v>1122</v>
      </c>
      <c r="R720" s="101" t="s">
        <v>128</v>
      </c>
      <c r="S720" s="110" t="s">
        <v>3117</v>
      </c>
      <c r="T720" s="111" t="s">
        <v>462</v>
      </c>
      <c r="U720" s="863">
        <v>2.5</v>
      </c>
    </row>
    <row r="721" ht="13.5" customHeight="1" spans="1:21">
      <c r="A721" s="161">
        <v>9</v>
      </c>
      <c r="B721" s="164" t="s">
        <v>3118</v>
      </c>
      <c r="C721" s="162" t="s">
        <v>3119</v>
      </c>
      <c r="D721" s="103" t="s">
        <v>3120</v>
      </c>
      <c r="E721" s="102"/>
      <c r="F721" s="164" t="s">
        <v>3120</v>
      </c>
      <c r="G721" s="102" t="s">
        <v>3558</v>
      </c>
      <c r="H721" s="101" t="s">
        <v>3463</v>
      </c>
      <c r="I721" s="101" t="s">
        <v>1471</v>
      </c>
      <c r="J721" s="105"/>
      <c r="K721" s="101"/>
      <c r="L721" s="101"/>
      <c r="M721" s="864" t="s">
        <v>3537</v>
      </c>
      <c r="N721" s="110" t="s">
        <v>1751</v>
      </c>
      <c r="O721" s="110" t="s">
        <v>1165</v>
      </c>
      <c r="P721" s="101"/>
      <c r="Q721" s="101"/>
      <c r="R721" s="101" t="s">
        <v>219</v>
      </c>
      <c r="S721" s="110" t="s">
        <v>3121</v>
      </c>
      <c r="T721" s="111" t="s">
        <v>462</v>
      </c>
      <c r="U721" s="863">
        <v>0.5</v>
      </c>
    </row>
    <row r="722" ht="13.5" customHeight="1" spans="1:21">
      <c r="A722" s="161">
        <v>10</v>
      </c>
      <c r="B722" s="164" t="s">
        <v>3122</v>
      </c>
      <c r="C722" s="162" t="s">
        <v>3123</v>
      </c>
      <c r="D722" s="103" t="s">
        <v>3120</v>
      </c>
      <c r="E722" s="102"/>
      <c r="F722" s="164" t="s">
        <v>3120</v>
      </c>
      <c r="G722" s="102" t="s">
        <v>3558</v>
      </c>
      <c r="H722" s="101" t="s">
        <v>3463</v>
      </c>
      <c r="I722" s="101" t="s">
        <v>1471</v>
      </c>
      <c r="J722" s="105"/>
      <c r="K722" s="101"/>
      <c r="L722" s="101"/>
      <c r="M722" s="864" t="s">
        <v>3537</v>
      </c>
      <c r="N722" s="110" t="s">
        <v>1751</v>
      </c>
      <c r="O722" s="110" t="s">
        <v>1165</v>
      </c>
      <c r="P722" s="101"/>
      <c r="Q722" s="101"/>
      <c r="R722" s="101" t="s">
        <v>219</v>
      </c>
      <c r="S722" s="110" t="s">
        <v>3124</v>
      </c>
      <c r="T722" s="111" t="s">
        <v>462</v>
      </c>
      <c r="U722" s="863">
        <v>0.5</v>
      </c>
    </row>
    <row r="723" ht="13.5" customHeight="1" spans="1:21">
      <c r="A723" s="161">
        <v>11</v>
      </c>
      <c r="B723" s="164" t="s">
        <v>3125</v>
      </c>
      <c r="C723" s="162" t="s">
        <v>3126</v>
      </c>
      <c r="D723" s="103" t="s">
        <v>3120</v>
      </c>
      <c r="E723" s="102"/>
      <c r="F723" s="164" t="s">
        <v>3120</v>
      </c>
      <c r="G723" s="102" t="s">
        <v>3558</v>
      </c>
      <c r="H723" s="101" t="s">
        <v>3463</v>
      </c>
      <c r="I723" s="101" t="s">
        <v>1471</v>
      </c>
      <c r="J723" s="105"/>
      <c r="K723" s="101"/>
      <c r="L723" s="101"/>
      <c r="M723" s="864" t="s">
        <v>3537</v>
      </c>
      <c r="N723" s="110" t="s">
        <v>1751</v>
      </c>
      <c r="O723" s="110" t="s">
        <v>1165</v>
      </c>
      <c r="P723" s="101"/>
      <c r="Q723" s="101"/>
      <c r="R723" s="101" t="s">
        <v>219</v>
      </c>
      <c r="S723" s="110" t="s">
        <v>3127</v>
      </c>
      <c r="T723" s="111" t="s">
        <v>462</v>
      </c>
      <c r="U723" s="863">
        <v>0.5</v>
      </c>
    </row>
    <row r="724" ht="13.5" customHeight="1" spans="1:21">
      <c r="A724" s="161">
        <v>12</v>
      </c>
      <c r="B724" s="164" t="s">
        <v>3128</v>
      </c>
      <c r="C724" s="162" t="s">
        <v>3129</v>
      </c>
      <c r="D724" s="103" t="s">
        <v>3120</v>
      </c>
      <c r="E724" s="102"/>
      <c r="F724" s="164" t="s">
        <v>3120</v>
      </c>
      <c r="G724" s="102" t="s">
        <v>3558</v>
      </c>
      <c r="H724" s="101" t="s">
        <v>3463</v>
      </c>
      <c r="I724" s="101" t="s">
        <v>1471</v>
      </c>
      <c r="J724" s="101" t="s">
        <v>1479</v>
      </c>
      <c r="K724" s="101"/>
      <c r="L724" s="101"/>
      <c r="M724" s="864" t="s">
        <v>3537</v>
      </c>
      <c r="N724" s="110" t="s">
        <v>1751</v>
      </c>
      <c r="O724" s="110" t="s">
        <v>1165</v>
      </c>
      <c r="P724" s="101"/>
      <c r="Q724" s="101"/>
      <c r="R724" s="101" t="s">
        <v>219</v>
      </c>
      <c r="S724" s="110" t="s">
        <v>3130</v>
      </c>
      <c r="T724" s="111" t="s">
        <v>462</v>
      </c>
      <c r="U724" s="863">
        <v>0.5</v>
      </c>
    </row>
    <row r="725" ht="13.5" customHeight="1" spans="1:21">
      <c r="A725" s="161">
        <v>13</v>
      </c>
      <c r="B725" s="164" t="s">
        <v>3131</v>
      </c>
      <c r="C725" s="162" t="s">
        <v>3132</v>
      </c>
      <c r="D725" s="103" t="s">
        <v>3120</v>
      </c>
      <c r="E725" s="102"/>
      <c r="F725" s="164" t="s">
        <v>3120</v>
      </c>
      <c r="G725" s="102" t="s">
        <v>3558</v>
      </c>
      <c r="H725" s="101" t="s">
        <v>3463</v>
      </c>
      <c r="I725" s="101" t="s">
        <v>1471</v>
      </c>
      <c r="J725" s="101" t="s">
        <v>1479</v>
      </c>
      <c r="K725" s="101"/>
      <c r="L725" s="101"/>
      <c r="M725" s="864" t="s">
        <v>3537</v>
      </c>
      <c r="N725" s="110" t="s">
        <v>1751</v>
      </c>
      <c r="O725" s="110" t="s">
        <v>1165</v>
      </c>
      <c r="P725" s="101"/>
      <c r="Q725" s="101"/>
      <c r="R725" s="101" t="s">
        <v>219</v>
      </c>
      <c r="S725" s="110" t="s">
        <v>3133</v>
      </c>
      <c r="T725" s="111" t="s">
        <v>462</v>
      </c>
      <c r="U725" s="863">
        <v>0.68</v>
      </c>
    </row>
    <row r="726" ht="13.5" customHeight="1" spans="1:21">
      <c r="A726" s="161">
        <v>14</v>
      </c>
      <c r="B726" s="164" t="s">
        <v>3134</v>
      </c>
      <c r="C726" s="162" t="s">
        <v>3135</v>
      </c>
      <c r="D726" s="103" t="s">
        <v>3482</v>
      </c>
      <c r="E726" s="102"/>
      <c r="F726" s="164" t="s">
        <v>3136</v>
      </c>
      <c r="G726" s="102" t="s">
        <v>3558</v>
      </c>
      <c r="H726" s="101" t="s">
        <v>3463</v>
      </c>
      <c r="I726" s="101" t="s">
        <v>1471</v>
      </c>
      <c r="J726" s="105">
        <v>43112</v>
      </c>
      <c r="K726" s="101"/>
      <c r="L726" s="107"/>
      <c r="M726" s="864" t="s">
        <v>3537</v>
      </c>
      <c r="N726" s="110" t="s">
        <v>1751</v>
      </c>
      <c r="O726" s="110" t="s">
        <v>1165</v>
      </c>
      <c r="P726" s="101"/>
      <c r="Q726" s="101"/>
      <c r="R726" s="101" t="s">
        <v>219</v>
      </c>
      <c r="S726" s="110" t="s">
        <v>3081</v>
      </c>
      <c r="T726" s="111" t="s">
        <v>3137</v>
      </c>
      <c r="U726" s="863">
        <v>0.5</v>
      </c>
    </row>
    <row r="727" ht="13.5" customHeight="1" spans="1:21">
      <c r="A727" s="161">
        <v>14</v>
      </c>
      <c r="B727" s="164" t="s">
        <v>3138</v>
      </c>
      <c r="C727" s="162" t="s">
        <v>3139</v>
      </c>
      <c r="D727" s="103"/>
      <c r="E727" s="102"/>
      <c r="F727" s="164" t="s">
        <v>3107</v>
      </c>
      <c r="G727" s="102" t="s">
        <v>3553</v>
      </c>
      <c r="H727" s="101" t="s">
        <v>3384</v>
      </c>
      <c r="I727" s="101" t="s">
        <v>1471</v>
      </c>
      <c r="J727" s="105"/>
      <c r="K727" s="101"/>
      <c r="L727" s="101"/>
      <c r="M727" s="864" t="s">
        <v>3537</v>
      </c>
      <c r="N727" s="110" t="s">
        <v>1164</v>
      </c>
      <c r="O727" s="110" t="s">
        <v>1165</v>
      </c>
      <c r="P727" s="101"/>
      <c r="Q727" s="101"/>
      <c r="R727" s="101" t="s">
        <v>208</v>
      </c>
      <c r="S727" s="110" t="s">
        <v>3140</v>
      </c>
      <c r="T727" s="111" t="s">
        <v>462</v>
      </c>
      <c r="U727" s="863">
        <v>2</v>
      </c>
    </row>
    <row r="728" ht="13.5" customHeight="1" spans="1:21">
      <c r="A728" s="161">
        <v>13</v>
      </c>
      <c r="B728" s="164" t="s">
        <v>3141</v>
      </c>
      <c r="C728" s="162"/>
      <c r="D728" s="103" t="s">
        <v>3142</v>
      </c>
      <c r="E728" s="102"/>
      <c r="F728" s="164"/>
      <c r="G728" s="102" t="s">
        <v>3562</v>
      </c>
      <c r="H728" s="101" t="s">
        <v>3530</v>
      </c>
      <c r="I728" s="101" t="s">
        <v>1471</v>
      </c>
      <c r="J728" s="105">
        <v>45300</v>
      </c>
      <c r="K728" s="101"/>
      <c r="L728" s="101"/>
      <c r="M728" s="864" t="s">
        <v>3537</v>
      </c>
      <c r="N728" s="110" t="s">
        <v>3143</v>
      </c>
      <c r="O728" s="110" t="s">
        <v>3144</v>
      </c>
      <c r="P728" s="101">
        <v>2024</v>
      </c>
      <c r="Q728" s="101" t="s">
        <v>3145</v>
      </c>
      <c r="R728" s="101" t="s">
        <v>3563</v>
      </c>
      <c r="S728" s="110"/>
      <c r="T728" s="111" t="s">
        <v>3146</v>
      </c>
      <c r="U728" s="863">
        <v>0.6</v>
      </c>
    </row>
    <row r="729" ht="13.5" customHeight="1" spans="1:21">
      <c r="A729" s="161">
        <v>14</v>
      </c>
      <c r="B729" s="164" t="s">
        <v>3147</v>
      </c>
      <c r="C729" s="162"/>
      <c r="D729" s="103" t="s">
        <v>3148</v>
      </c>
      <c r="E729" s="102"/>
      <c r="F729" s="164"/>
      <c r="G729" s="102" t="s">
        <v>3562</v>
      </c>
      <c r="H729" s="101" t="s">
        <v>3530</v>
      </c>
      <c r="I729" s="101" t="s">
        <v>1471</v>
      </c>
      <c r="J729" s="101" t="s">
        <v>3149</v>
      </c>
      <c r="K729" s="101"/>
      <c r="L729" s="101"/>
      <c r="M729" s="864" t="s">
        <v>3537</v>
      </c>
      <c r="N729" s="110" t="s">
        <v>3143</v>
      </c>
      <c r="O729" s="110" t="s">
        <v>3144</v>
      </c>
      <c r="P729" s="101">
        <v>2024</v>
      </c>
      <c r="Q729" s="101" t="s">
        <v>3150</v>
      </c>
      <c r="R729" s="101" t="s">
        <v>286</v>
      </c>
      <c r="S729" s="110" t="s">
        <v>462</v>
      </c>
      <c r="T729" s="111" t="s">
        <v>462</v>
      </c>
      <c r="U729" s="863">
        <v>0.6</v>
      </c>
    </row>
    <row r="730" ht="13.5" customHeight="1" spans="1:21">
      <c r="A730" s="161">
        <v>15</v>
      </c>
      <c r="B730" s="164" t="s">
        <v>3151</v>
      </c>
      <c r="C730" s="162" t="s">
        <v>3152</v>
      </c>
      <c r="D730" s="103" t="s">
        <v>3564</v>
      </c>
      <c r="E730" s="102"/>
      <c r="F730" s="164" t="s">
        <v>3089</v>
      </c>
      <c r="G730" s="102" t="s">
        <v>3546</v>
      </c>
      <c r="H730" s="101" t="s">
        <v>3338</v>
      </c>
      <c r="I730" s="101" t="s">
        <v>1348</v>
      </c>
      <c r="J730" s="105"/>
      <c r="K730" s="101"/>
      <c r="L730" s="101"/>
      <c r="M730" s="864" t="s">
        <v>3537</v>
      </c>
      <c r="N730" s="110" t="s">
        <v>759</v>
      </c>
      <c r="O730" s="110" t="s">
        <v>453</v>
      </c>
      <c r="P730" s="101">
        <v>2013</v>
      </c>
      <c r="Q730" s="101" t="s">
        <v>1064</v>
      </c>
      <c r="R730" s="101" t="s">
        <v>208</v>
      </c>
      <c r="S730" s="110">
        <v>57125</v>
      </c>
      <c r="T730" s="111" t="s">
        <v>462</v>
      </c>
      <c r="U730" s="863">
        <v>3.5</v>
      </c>
    </row>
    <row r="731" ht="13.5" customHeight="1" spans="1:21">
      <c r="A731" s="161">
        <v>16</v>
      </c>
      <c r="B731" s="164" t="s">
        <v>3153</v>
      </c>
      <c r="C731" s="162" t="s">
        <v>3154</v>
      </c>
      <c r="D731" s="103" t="s">
        <v>3155</v>
      </c>
      <c r="E731" s="102"/>
      <c r="F731" s="164" t="s">
        <v>3155</v>
      </c>
      <c r="G731" s="102" t="s">
        <v>3565</v>
      </c>
      <c r="H731" s="101" t="s">
        <v>3290</v>
      </c>
      <c r="I731" s="101" t="s">
        <v>1348</v>
      </c>
      <c r="J731" s="105"/>
      <c r="K731" s="101"/>
      <c r="L731" s="101"/>
      <c r="M731" s="864" t="s">
        <v>3537</v>
      </c>
      <c r="N731" s="110" t="s">
        <v>480</v>
      </c>
      <c r="O731" s="110" t="s">
        <v>453</v>
      </c>
      <c r="P731" s="101">
        <v>2006</v>
      </c>
      <c r="Q731" s="101" t="s">
        <v>1629</v>
      </c>
      <c r="R731" s="101" t="s">
        <v>767</v>
      </c>
      <c r="S731" s="110">
        <v>9873</v>
      </c>
      <c r="T731" s="111" t="s">
        <v>462</v>
      </c>
      <c r="U731" s="863">
        <v>4</v>
      </c>
    </row>
    <row r="732" ht="13.5" customHeight="1" spans="1:21">
      <c r="A732" s="161">
        <v>17</v>
      </c>
      <c r="B732" s="164" t="s">
        <v>3156</v>
      </c>
      <c r="C732" s="162" t="s">
        <v>3157</v>
      </c>
      <c r="D732" s="103" t="s">
        <v>3566</v>
      </c>
      <c r="E732" s="102"/>
      <c r="F732" s="164"/>
      <c r="G732" s="102" t="s">
        <v>3553</v>
      </c>
      <c r="H732" s="101" t="s">
        <v>3384</v>
      </c>
      <c r="I732" s="101" t="s">
        <v>1348</v>
      </c>
      <c r="J732" s="105"/>
      <c r="K732" s="101"/>
      <c r="L732" s="107"/>
      <c r="M732" s="864" t="s">
        <v>3537</v>
      </c>
      <c r="N732" s="110" t="s">
        <v>1164</v>
      </c>
      <c r="O732" s="110" t="s">
        <v>1165</v>
      </c>
      <c r="P732" s="101"/>
      <c r="Q732" s="101"/>
      <c r="R732" s="101" t="s">
        <v>208</v>
      </c>
      <c r="S732" s="110" t="s">
        <v>462</v>
      </c>
      <c r="T732" s="111">
        <v>55581</v>
      </c>
      <c r="U732" s="863">
        <v>2</v>
      </c>
    </row>
    <row r="733" ht="13.5" customHeight="1" spans="1:21">
      <c r="A733" s="161">
        <v>18</v>
      </c>
      <c r="B733" s="164" t="s">
        <v>3158</v>
      </c>
      <c r="C733" s="162" t="s">
        <v>3159</v>
      </c>
      <c r="D733" s="103" t="s">
        <v>3567</v>
      </c>
      <c r="E733" s="102"/>
      <c r="F733" s="164"/>
      <c r="G733" s="102" t="s">
        <v>3553</v>
      </c>
      <c r="H733" s="101" t="s">
        <v>3384</v>
      </c>
      <c r="I733" s="101" t="s">
        <v>1348</v>
      </c>
      <c r="J733" s="105"/>
      <c r="K733" s="101"/>
      <c r="L733" s="107"/>
      <c r="M733" s="864" t="s">
        <v>3537</v>
      </c>
      <c r="N733" s="110" t="s">
        <v>1164</v>
      </c>
      <c r="O733" s="110" t="s">
        <v>1165</v>
      </c>
      <c r="P733" s="101"/>
      <c r="Q733" s="101"/>
      <c r="R733" s="101" t="s">
        <v>208</v>
      </c>
      <c r="S733" s="110"/>
      <c r="T733" s="111" t="s">
        <v>462</v>
      </c>
      <c r="U733" s="863">
        <v>2</v>
      </c>
    </row>
    <row r="734" ht="13.5" customHeight="1" spans="1:21">
      <c r="A734" s="161">
        <v>19</v>
      </c>
      <c r="B734" s="164" t="s">
        <v>3160</v>
      </c>
      <c r="C734" s="162" t="s">
        <v>3161</v>
      </c>
      <c r="D734" s="103" t="s">
        <v>3568</v>
      </c>
      <c r="E734" s="102"/>
      <c r="F734" s="164"/>
      <c r="G734" s="102" t="s">
        <v>3553</v>
      </c>
      <c r="H734" s="101" t="s">
        <v>3384</v>
      </c>
      <c r="I734" s="101" t="s">
        <v>1250</v>
      </c>
      <c r="J734" s="105"/>
      <c r="K734" s="101"/>
      <c r="L734" s="101"/>
      <c r="M734" s="864" t="s">
        <v>3537</v>
      </c>
      <c r="N734" s="110" t="s">
        <v>1164</v>
      </c>
      <c r="O734" s="110" t="s">
        <v>1165</v>
      </c>
      <c r="P734" s="101"/>
      <c r="Q734" s="101"/>
      <c r="R734" s="101" t="s">
        <v>208</v>
      </c>
      <c r="S734" s="110"/>
      <c r="T734" s="111" t="s">
        <v>462</v>
      </c>
      <c r="U734" s="863">
        <v>2</v>
      </c>
    </row>
    <row r="735" ht="13.5" customHeight="1" spans="1:21">
      <c r="A735" s="161">
        <v>20</v>
      </c>
      <c r="B735" s="164" t="s">
        <v>3162</v>
      </c>
      <c r="C735" s="162" t="s">
        <v>3163</v>
      </c>
      <c r="D735" s="103" t="s">
        <v>3164</v>
      </c>
      <c r="E735" s="102"/>
      <c r="F735" s="164" t="s">
        <v>3164</v>
      </c>
      <c r="G735" s="102" t="s">
        <v>3565</v>
      </c>
      <c r="H735" s="101" t="s">
        <v>3290</v>
      </c>
      <c r="I735" s="101" t="s">
        <v>3023</v>
      </c>
      <c r="J735" s="105">
        <v>44105</v>
      </c>
      <c r="K735" s="101"/>
      <c r="L735" s="107">
        <v>0.65</v>
      </c>
      <c r="M735" s="864" t="s">
        <v>3537</v>
      </c>
      <c r="N735" s="110" t="s">
        <v>480</v>
      </c>
      <c r="O735" s="110" t="s">
        <v>453</v>
      </c>
      <c r="P735" s="101">
        <v>2006</v>
      </c>
      <c r="Q735" s="101" t="s">
        <v>3166</v>
      </c>
      <c r="R735" s="101"/>
      <c r="S735" s="110" t="s">
        <v>3167</v>
      </c>
      <c r="T735" s="111">
        <v>10189</v>
      </c>
      <c r="U735" s="863">
        <v>4</v>
      </c>
    </row>
    <row r="736" ht="13.5" customHeight="1" spans="1:21">
      <c r="A736" s="161">
        <v>21</v>
      </c>
      <c r="B736" s="164" t="s">
        <v>3168</v>
      </c>
      <c r="C736" s="162" t="s">
        <v>3169</v>
      </c>
      <c r="D736" s="103" t="s">
        <v>3084</v>
      </c>
      <c r="E736" s="102"/>
      <c r="F736" s="164" t="s">
        <v>3084</v>
      </c>
      <c r="G736" s="102" t="s">
        <v>3553</v>
      </c>
      <c r="H736" s="101" t="s">
        <v>3384</v>
      </c>
      <c r="I736" s="101" t="s">
        <v>3023</v>
      </c>
      <c r="J736" s="105">
        <v>41651</v>
      </c>
      <c r="K736" s="101"/>
      <c r="L736" s="101"/>
      <c r="M736" s="864" t="s">
        <v>3537</v>
      </c>
      <c r="N736" s="110" t="s">
        <v>1164</v>
      </c>
      <c r="O736" s="110" t="s">
        <v>1165</v>
      </c>
      <c r="P736" s="101"/>
      <c r="Q736" s="101"/>
      <c r="R736" s="101" t="s">
        <v>208</v>
      </c>
      <c r="S736" s="110">
        <v>55065</v>
      </c>
      <c r="T736" s="111" t="s">
        <v>462</v>
      </c>
      <c r="U736" s="863">
        <v>2</v>
      </c>
    </row>
    <row r="737" ht="13.5" customHeight="1" spans="1:21">
      <c r="A737" s="161">
        <v>22</v>
      </c>
      <c r="B737" s="164" t="s">
        <v>3170</v>
      </c>
      <c r="C737" s="162" t="s">
        <v>3171</v>
      </c>
      <c r="D737" s="103" t="s">
        <v>3482</v>
      </c>
      <c r="E737" s="102"/>
      <c r="F737" s="164" t="s">
        <v>3136</v>
      </c>
      <c r="G737" s="102" t="s">
        <v>3558</v>
      </c>
      <c r="H737" s="101" t="s">
        <v>3463</v>
      </c>
      <c r="I737" s="101" t="s">
        <v>3023</v>
      </c>
      <c r="J737" s="105">
        <v>43112</v>
      </c>
      <c r="K737" s="101"/>
      <c r="L737" s="107"/>
      <c r="M737" s="864" t="s">
        <v>3537</v>
      </c>
      <c r="N737" s="110" t="s">
        <v>1751</v>
      </c>
      <c r="O737" s="110" t="s">
        <v>1165</v>
      </c>
      <c r="P737" s="101"/>
      <c r="Q737" s="101"/>
      <c r="R737" s="101" t="s">
        <v>219</v>
      </c>
      <c r="S737" s="110" t="s">
        <v>3081</v>
      </c>
      <c r="T737" s="111" t="s">
        <v>3172</v>
      </c>
      <c r="U737" s="863">
        <v>0.5</v>
      </c>
    </row>
    <row r="738" ht="13.5" customHeight="1" spans="1:21">
      <c r="A738" s="103">
        <f>A457+1</f>
        <v>3</v>
      </c>
      <c r="B738" s="104" t="s">
        <v>3173</v>
      </c>
      <c r="C738" s="102">
        <f>IFERROR(VLOOKUP(B738,'02. MM-KLH'!$B$6:$T$823,2,0),"")</f>
        <v>0</v>
      </c>
      <c r="D738" s="103" t="str">
        <f>IFERROR(VLOOKUP(B738,'02. MM-KLH'!$B$6:$T$823,3,0),"")</f>
        <v>A24-XB0-001</v>
      </c>
      <c r="E738" s="102">
        <f>IFERROR(VLOOKUP(B738,'02. MM-KLH'!$B$6:$T$823,4,0),"")</f>
        <v>0</v>
      </c>
      <c r="F738" s="104"/>
      <c r="G738" s="102" t="str">
        <f>IFERROR(VLOOKUP(B738,'02. MM-KLH'!$B$6:$T$823,6,0),"")</f>
        <v>Xe bồn HYUNDAI</v>
      </c>
      <c r="H738" s="101" t="s">
        <v>3436</v>
      </c>
      <c r="I738" s="101" t="str">
        <f>IFERROR(VLOOKUP(B738,'02. MM-KLH'!$B$6:$T$823,8,0),"")</f>
        <v>Loại biên</v>
      </c>
      <c r="J738" s="105">
        <f>IFERROR(VLOOKUP(B738,'02. MM-KLH'!$B$6:$T$823,9,0),"")</f>
        <v>0</v>
      </c>
      <c r="K738" s="101" t="str">
        <f>IFERROR(VLOOKUP(B738,'02. MM-KLH'!$B$6:$T$823,10,0),"")</f>
        <v>CGTC LP</v>
      </c>
      <c r="L738" s="107">
        <f>IFERROR(VLOOKUP(B738,'02. MM-KLH'!$B$6:$T$823,11,0),"")</f>
        <v>0.05</v>
      </c>
      <c r="M738" s="864" t="str">
        <f>IFERROR(VLOOKUP(B738,'02. MM-KLH'!$B$6:$T$823,12,0),"")</f>
        <v>Đã loại biên</v>
      </c>
      <c r="N738" s="110" t="str">
        <f>IFERROR(VLOOKUP(B738,'02. MM-KLH'!$B$6:$T$823,13,0),"")</f>
        <v>HYUNDAI</v>
      </c>
      <c r="O738" s="110" t="str">
        <f>IFERROR(VLOOKUP(B738,'02. MM-KLH'!$B$6:$T$823,14,0),"")</f>
        <v>HÀN QUỐC</v>
      </c>
      <c r="P738" s="101">
        <f>IFERROR(VLOOKUP(B738,'02. MM-KLH'!$B$6:$T$823,15,0),"")</f>
        <v>2005</v>
      </c>
      <c r="Q738" s="101" t="str">
        <f>IFERROR(VLOOKUP(B738,'02. MM-KLH'!$B$6:$T$823,16,0),"")</f>
        <v>HYUNDAI (Bồn tưới 18m3)</v>
      </c>
      <c r="R738" s="101" t="str">
        <f>IFERROR(VLOOKUP(B738,'02. MM-KLH'!$B$6:$T$823,17,0),"")</f>
        <v>336HP</v>
      </c>
      <c r="S738" s="110" t="str">
        <f>IFERROR(VLOOKUP(B738,'02. MM-KLH'!$B$6:$T$823,18,0),"")</f>
        <v>EF750032850</v>
      </c>
      <c r="T738" s="111" t="str">
        <f>IFERROR(VLOOKUP(B738,'02. MM-KLH'!$B$6:$T$823,19,0),"")</f>
        <v>CCN</v>
      </c>
      <c r="U738" s="863" t="s">
        <v>451</v>
      </c>
    </row>
    <row r="739" ht="13.5" customHeight="1" spans="1:21">
      <c r="A739" s="101">
        <v>6</v>
      </c>
      <c r="B739" s="104" t="s">
        <v>3185</v>
      </c>
      <c r="C739" s="102" t="str">
        <f>IFERROR(VLOOKUP(B739,'02. MM-KLH'!$B$6:$T$823,2,0),"")</f>
        <v>MK15 VCKLH</v>
      </c>
      <c r="D739" s="103" t="str">
        <f>IFERROR(VLOOKUP(B739,'02. MM-KLH'!$B$6:$T$823,3,0),"")</f>
        <v>A22-MKE-023</v>
      </c>
      <c r="E739" s="102">
        <f>IFERROR(VLOOKUP(B739,'02. MM-KLH'!$B$6:$T$823,4,0),"")</f>
        <v>0</v>
      </c>
      <c r="F739" s="104"/>
      <c r="G739" s="102" t="str">
        <f>IFERROR(VLOOKUP(B739,'02. MM-KLH'!$B$6:$T$823,6,0),"")</f>
        <v>Máy cày KAM50</v>
      </c>
      <c r="H739" s="101"/>
      <c r="I739" s="101" t="str">
        <f>IFERROR(VLOOKUP(B739,'02. MM-KLH'!$B$6:$T$823,8,0),"")</f>
        <v>Loại biên</v>
      </c>
      <c r="J739" s="105">
        <f>IFERROR(VLOOKUP(B739,'02. MM-KLH'!$B$6:$T$823,9,0),"")</f>
        <v>0</v>
      </c>
      <c r="K739" s="101" t="str">
        <f>IFERROR(VLOOKUP(B739,'02. MM-KLH'!$B$6:$T$823,10,0),"")</f>
        <v>Hư hỏng</v>
      </c>
      <c r="L739" s="107">
        <f>IFERROR(VLOOKUP(B739,'02. MM-KLH'!$B$6:$T$823,11,0),"")</f>
        <v>0</v>
      </c>
      <c r="M739" s="888">
        <f>IFERROR(VLOOKUP(B739,'02. MM-KLH'!$B$6:$T$823,12,0),"")</f>
        <v>0</v>
      </c>
      <c r="N739" s="110" t="str">
        <f>IFERROR(VLOOKUP(B739,'02. MM-KLH'!$B$6:$T$823,13,0),"")</f>
        <v>THACO</v>
      </c>
      <c r="O739" s="110" t="str">
        <f>IFERROR(VLOOKUP(B739,'02. MM-KLH'!$B$6:$T$823,14,0),"")</f>
        <v>VIỆT NAM</v>
      </c>
      <c r="P739" s="101">
        <f>IFERROR(VLOOKUP(B739,'02. MM-KLH'!$B$6:$T$823,15,0),"")</f>
        <v>2018</v>
      </c>
      <c r="Q739" s="101" t="str">
        <f>IFERROR(VLOOKUP(B739,'02. MM-KLH'!$B$6:$T$823,16,0),"")</f>
        <v>KAM50</v>
      </c>
      <c r="R739" s="101" t="str">
        <f>IFERROR(VLOOKUP(B739,'02. MM-KLH'!$B$6:$T$823,17,0),"")</f>
        <v>50HP</v>
      </c>
      <c r="S739" s="110" t="str">
        <f>IFERROR(VLOOKUP(B739,'02. MM-KLH'!$B$6:$T$823,18,0),"")</f>
        <v>C000061</v>
      </c>
      <c r="T739" s="111" t="str">
        <f>IFERROR(VLOOKUP(B739,'02. MM-KLH'!$B$6:$T$823,19,0),"")</f>
        <v>CCN</v>
      </c>
      <c r="U739" s="863"/>
    </row>
    <row r="740" ht="13.5" customHeight="1" spans="1:21">
      <c r="A740" s="101">
        <v>4</v>
      </c>
      <c r="B740" s="104" t="s">
        <v>3178</v>
      </c>
      <c r="C740" s="102" t="str">
        <f>IFERROR(VLOOKUP(B740,'02. MM-KLH'!$B$6:$T$823,2,0),"")</f>
        <v>MK44 VCKLH(XAD-MKE-018)</v>
      </c>
      <c r="D740" s="103" t="str">
        <f>IFERROR(VLOOKUP(B740,'02. MM-KLH'!$B$6:$T$823,3,0),"")</f>
        <v>A22-MKE-027</v>
      </c>
      <c r="E740" s="102">
        <f>IFERROR(VLOOKUP(B740,'02. MM-KLH'!$B$6:$T$823,4,0),"")</f>
        <v>0</v>
      </c>
      <c r="F740" s="104"/>
      <c r="G740" s="102" t="str">
        <f>IFERROR(VLOOKUP(B740,'02. MM-KLH'!$B$6:$T$823,6,0),"")</f>
        <v>Máy cày M6040</v>
      </c>
      <c r="H740" s="101"/>
      <c r="I740" s="101" t="str">
        <f>IFERROR(VLOOKUP(B740,'02. MM-KLH'!$B$6:$T$823,8,0),"")</f>
        <v>Loại biên</v>
      </c>
      <c r="J740" s="105">
        <f>IFERROR(VLOOKUP(B740,'02. MM-KLH'!$B$6:$T$823,9,0),"")</f>
        <v>0</v>
      </c>
      <c r="K740" s="101" t="str">
        <f>IFERROR(VLOOKUP(B740,'02. MM-KLH'!$B$6:$T$823,10,0),"")</f>
        <v>Hư hỏng</v>
      </c>
      <c r="L740" s="107">
        <f>IFERROR(VLOOKUP(B740,'02. MM-KLH'!$B$6:$T$823,11,0),"")</f>
        <v>0</v>
      </c>
      <c r="M740" s="888">
        <f>IFERROR(VLOOKUP(B740,'02. MM-KLH'!$B$6:$T$823,12,0),"")</f>
        <v>0</v>
      </c>
      <c r="N740" s="110" t="str">
        <f>IFERROR(VLOOKUP(B740,'02. MM-KLH'!$B$6:$T$823,13,0),"")</f>
        <v>KUBOTA</v>
      </c>
      <c r="O740" s="110" t="str">
        <f>IFERROR(VLOOKUP(B740,'02. MM-KLH'!$B$6:$T$823,14,0),"")</f>
        <v>NHẬT BẢN</v>
      </c>
      <c r="P740" s="101">
        <f>IFERROR(VLOOKUP(B740,'02. MM-KLH'!$B$6:$T$823,15,0),"")</f>
        <v>2013</v>
      </c>
      <c r="Q740" s="101" t="str">
        <f>IFERROR(VLOOKUP(B740,'02. MM-KLH'!$B$6:$T$823,16,0),"")</f>
        <v>M6040</v>
      </c>
      <c r="R740" s="101" t="str">
        <f>IFERROR(VLOOKUP(B740,'02. MM-KLH'!$B$6:$T$823,17,0),"")</f>
        <v>62HP</v>
      </c>
      <c r="S740" s="110" t="str">
        <f>IFERROR(VLOOKUP(B740,'02. MM-KLH'!$B$6:$T$823,18,0),"")</f>
        <v>M6040SUD57648</v>
      </c>
      <c r="T740" s="111" t="str">
        <f>IFERROR(VLOOKUP(B740,'02. MM-KLH'!$B$6:$T$823,19,0),"")</f>
        <v>CCN</v>
      </c>
      <c r="U740" s="863"/>
    </row>
    <row r="741" ht="13.5" customHeight="1" spans="1:21">
      <c r="A741" s="101">
        <v>5</v>
      </c>
      <c r="B741" s="104" t="s">
        <v>3182</v>
      </c>
      <c r="C741" s="102" t="str">
        <f>IFERROR(VLOOKUP(B741,'02. MM-KLH'!$B$6:$T$823,2,0),"")</f>
        <v>MK29 VCKLH</v>
      </c>
      <c r="D741" s="103" t="str">
        <f>IFERROR(VLOOKUP(B741,'02. MM-KLH'!$B$6:$T$823,3,0),"")</f>
        <v>A22-MKE-025</v>
      </c>
      <c r="E741" s="102">
        <f>IFERROR(VLOOKUP(B741,'02. MM-KLH'!$B$6:$T$823,4,0),"")</f>
        <v>0</v>
      </c>
      <c r="F741" s="104"/>
      <c r="G741" s="102" t="str">
        <f>IFERROR(VLOOKUP(B741,'02. MM-KLH'!$B$6:$T$823,6,0),"")</f>
        <v>Máy cày KAM50</v>
      </c>
      <c r="H741" s="101"/>
      <c r="I741" s="101" t="str">
        <f>IFERROR(VLOOKUP(B741,'02. MM-KLH'!$B$6:$T$823,8,0),"")</f>
        <v>Loại biên</v>
      </c>
      <c r="J741" s="105">
        <f>IFERROR(VLOOKUP(B741,'02. MM-KLH'!$B$6:$T$823,9,0),"")</f>
        <v>0</v>
      </c>
      <c r="K741" s="101" t="str">
        <f>IFERROR(VLOOKUP(B741,'02. MM-KLH'!$B$6:$T$823,10,0),"")</f>
        <v>Hư hỏng</v>
      </c>
      <c r="L741" s="107">
        <f>IFERROR(VLOOKUP(B741,'02. MM-KLH'!$B$6:$T$823,11,0),"")</f>
        <v>0</v>
      </c>
      <c r="M741" s="888">
        <f>IFERROR(VLOOKUP(B741,'02. MM-KLH'!$B$6:$T$823,12,0),"")</f>
        <v>0</v>
      </c>
      <c r="N741" s="110" t="str">
        <f>IFERROR(VLOOKUP(B741,'02. MM-KLH'!$B$6:$T$823,13,0),"")</f>
        <v>THACO</v>
      </c>
      <c r="O741" s="110" t="str">
        <f>IFERROR(VLOOKUP(B741,'02. MM-KLH'!$B$6:$T$823,14,0),"")</f>
        <v>VIỆT NAM</v>
      </c>
      <c r="P741" s="101">
        <f>IFERROR(VLOOKUP(B741,'02. MM-KLH'!$B$6:$T$823,15,0),"")</f>
        <v>2018</v>
      </c>
      <c r="Q741" s="101" t="str">
        <f>IFERROR(VLOOKUP(B741,'02. MM-KLH'!$B$6:$T$823,16,0),"")</f>
        <v>KAM50</v>
      </c>
      <c r="R741" s="101" t="str">
        <f>IFERROR(VLOOKUP(B741,'02. MM-KLH'!$B$6:$T$823,17,0),"")</f>
        <v>50HP</v>
      </c>
      <c r="S741" s="110" t="str">
        <f>IFERROR(VLOOKUP(B741,'02. MM-KLH'!$B$6:$T$823,18,0),"")</f>
        <v>C000009</v>
      </c>
      <c r="T741" s="111" t="str">
        <f>IFERROR(VLOOKUP(B741,'02. MM-KLH'!$B$6:$T$823,19,0),"")</f>
        <v>CCN</v>
      </c>
      <c r="U741" s="863"/>
    </row>
    <row r="742" ht="13.5" customHeight="1" spans="1:21">
      <c r="A742" s="103">
        <f>1+A640</f>
        <v>11</v>
      </c>
      <c r="B742" s="104" t="s">
        <v>3200</v>
      </c>
      <c r="C742" s="102">
        <f>IFERROR(VLOOKUP(B742,'02. MM-KLH'!$B$6:$T$823,2,0),"")</f>
        <v>0</v>
      </c>
      <c r="D742" s="103" t="str">
        <f>IFERROR(VLOOKUP(B742,'02. MM-KLH'!$B$6:$T$823,3,0),"")</f>
        <v>A24-CĐN-003</v>
      </c>
      <c r="E742" s="102">
        <f>IFERROR(VLOOKUP(B742,'02. MM-KLH'!$B$6:$T$823,4,0),"")</f>
        <v>0</v>
      </c>
      <c r="F742" s="104"/>
      <c r="G742" s="102" t="str">
        <f>IFERROR(VLOOKUP(B742,'02. MM-KLH'!$B$6:$T$823,6,0),"")</f>
        <v>Máy cắt cỏ đẩy tay đa năng</v>
      </c>
      <c r="H742" s="101" t="s">
        <v>3530</v>
      </c>
      <c r="I742" s="101" t="str">
        <f>IFERROR(VLOOKUP(B742,'02. MM-KLH'!$B$6:$T$823,8,0),"")</f>
        <v>XN Chuối LP3</v>
      </c>
      <c r="J742" s="105" t="str">
        <f>IFERROR(VLOOKUP(B742,'02. MM-KLH'!$B$6:$T$823,9,0),"")</f>
        <v>21/12/2024</v>
      </c>
      <c r="K742" s="101" t="str">
        <f>IFERROR(VLOOKUP(B742,'02. MM-KLH'!$B$6:$T$823,10,0),"")</f>
        <v>Bình thường</v>
      </c>
      <c r="L742" s="107">
        <f>IFERROR(VLOOKUP(B742,'02. MM-KLH'!$B$6:$T$823,11,0),"")</f>
        <v>0</v>
      </c>
      <c r="M742" s="864" t="str">
        <f>IFERROR(VLOOKUP(B742,'02. MM-KLH'!$B$6:$T$823,12,0),"")</f>
        <v>Đầu tư mới</v>
      </c>
      <c r="N742" s="110" t="str">
        <f>IFERROR(VLOOKUP(B742,'02. MM-KLH'!$B$6:$T$823,13,0),"")</f>
        <v>YAMASUKI</v>
      </c>
      <c r="O742" s="110" t="str">
        <f>IFERROR(VLOOKUP(B742,'02. MM-KLH'!$B$6:$T$823,14,0),"")</f>
        <v>CAMBODIA</v>
      </c>
      <c r="P742" s="101">
        <f>IFERROR(VLOOKUP(B742,'02. MM-KLH'!$B$6:$T$823,15,0),"")</f>
        <v>2024</v>
      </c>
      <c r="Q742" s="101" t="str">
        <f>IFERROR(VLOOKUP(B742,'02. MM-KLH'!$B$6:$T$823,16,0),"")</f>
        <v>GX-35</v>
      </c>
      <c r="R742" s="101" t="str">
        <f>IFERROR(VLOOKUP(B742,'02. MM-KLH'!$B$6:$T$823,17,0),"")</f>
        <v>1.3HP</v>
      </c>
      <c r="S742" s="110" t="str">
        <f>IFERROR(VLOOKUP(B742,'02. MM-KLH'!$B$6:$T$823,18,0),"")</f>
        <v>CCN</v>
      </c>
      <c r="T742" s="111" t="str">
        <f>IFERROR(VLOOKUP(B742,'02. MM-KLH'!$B$6:$T$823,19,0),"")</f>
        <v>CCN</v>
      </c>
      <c r="U742" s="863" t="s">
        <v>3274</v>
      </c>
    </row>
    <row r="743" ht="13.5" customHeight="1" spans="1:21">
      <c r="A743" s="103">
        <f t="shared" ref="A743:A749" si="31">1+A742</f>
        <v>12</v>
      </c>
      <c r="B743" s="104" t="s">
        <v>3202</v>
      </c>
      <c r="C743" s="102">
        <f>IFERROR(VLOOKUP(B743,'02. MM-KLH'!$B$6:$T$823,2,0),"")</f>
        <v>0</v>
      </c>
      <c r="D743" s="103" t="str">
        <f>IFERROR(VLOOKUP(B743,'02. MM-KLH'!$B$6:$T$823,3,0),"")</f>
        <v>A24-CĐN-004</v>
      </c>
      <c r="E743" s="102">
        <f>IFERROR(VLOOKUP(B743,'02. MM-KLH'!$B$6:$T$823,4,0),"")</f>
        <v>0</v>
      </c>
      <c r="F743" s="104"/>
      <c r="G743" s="102" t="str">
        <f>IFERROR(VLOOKUP(B743,'02. MM-KLH'!$B$6:$T$823,6,0),"")</f>
        <v>Máy cắt cỏ đẩy tay đa năng</v>
      </c>
      <c r="H743" s="101" t="s">
        <v>3530</v>
      </c>
      <c r="I743" s="101" t="str">
        <f>IFERROR(VLOOKUP(B743,'02. MM-KLH'!$B$6:$T$823,8,0),"")</f>
        <v>XN Chuối LP3</v>
      </c>
      <c r="J743" s="105" t="str">
        <f>IFERROR(VLOOKUP(B743,'02. MM-KLH'!$B$6:$T$823,9,0),"")</f>
        <v>21/12/2024</v>
      </c>
      <c r="K743" s="101" t="str">
        <f>IFERROR(VLOOKUP(B743,'02. MM-KLH'!$B$6:$T$823,10,0),"")</f>
        <v>Bình thường</v>
      </c>
      <c r="L743" s="107">
        <f>IFERROR(VLOOKUP(B743,'02. MM-KLH'!$B$6:$T$823,11,0),"")</f>
        <v>0</v>
      </c>
      <c r="M743" s="864" t="str">
        <f>IFERROR(VLOOKUP(B743,'02. MM-KLH'!$B$6:$T$823,12,0),"")</f>
        <v>Đầu tư mới</v>
      </c>
      <c r="N743" s="110" t="str">
        <f>IFERROR(VLOOKUP(B743,'02. MM-KLH'!$B$6:$T$823,13,0),"")</f>
        <v>YAMASUKI</v>
      </c>
      <c r="O743" s="110" t="str">
        <f>IFERROR(VLOOKUP(B743,'02. MM-KLH'!$B$6:$T$823,14,0),"")</f>
        <v>CAMBODIA</v>
      </c>
      <c r="P743" s="101">
        <f>IFERROR(VLOOKUP(B743,'02. MM-KLH'!$B$6:$T$823,15,0),"")</f>
        <v>2024</v>
      </c>
      <c r="Q743" s="101" t="str">
        <f>IFERROR(VLOOKUP(B743,'02. MM-KLH'!$B$6:$T$823,16,0),"")</f>
        <v>GX-35</v>
      </c>
      <c r="R743" s="101" t="str">
        <f>IFERROR(VLOOKUP(B743,'02. MM-KLH'!$B$6:$T$823,17,0),"")</f>
        <v>1.3HP</v>
      </c>
      <c r="S743" s="110" t="str">
        <f>IFERROR(VLOOKUP(B743,'02. MM-KLH'!$B$6:$T$823,18,0),"")</f>
        <v>CCN</v>
      </c>
      <c r="T743" s="111" t="str">
        <f>IFERROR(VLOOKUP(B743,'02. MM-KLH'!$B$6:$T$823,19,0),"")</f>
        <v>CCN</v>
      </c>
      <c r="U743" s="863" t="s">
        <v>3274</v>
      </c>
    </row>
    <row r="744" ht="13.5" customHeight="1" spans="1:21">
      <c r="A744" s="103">
        <f t="shared" si="31"/>
        <v>13</v>
      </c>
      <c r="B744" s="104" t="s">
        <v>3188</v>
      </c>
      <c r="C744" s="102">
        <f>IFERROR(VLOOKUP(B744,'02. MM-KLH'!$B$6:$T$823,2,0),"")</f>
        <v>0</v>
      </c>
      <c r="D744" s="103" t="str">
        <f>IFERROR(VLOOKUP(B744,'02. MM-KLH'!$B$6:$T$823,3,0),"")</f>
        <v>A23-CĐN-001</v>
      </c>
      <c r="E744" s="102">
        <f>IFERROR(VLOOKUP(B744,'02. MM-KLH'!$B$6:$T$823,4,0),"")</f>
        <v>0</v>
      </c>
      <c r="F744" s="104"/>
      <c r="G744" s="102" t="str">
        <f>IFERROR(VLOOKUP(B744,'02. MM-KLH'!$B$6:$T$823,6,0),"")</f>
        <v>Máy cắt cỏ đẩy tay đa năng</v>
      </c>
      <c r="H744" s="101" t="s">
        <v>3530</v>
      </c>
      <c r="I744" s="101" t="str">
        <f>IFERROR(VLOOKUP(B744,'02. MM-KLH'!$B$6:$T$823,8,0),"")</f>
        <v>XN Chuối DP1</v>
      </c>
      <c r="J744" s="105" t="str">
        <f>IFERROR(VLOOKUP(B744,'02. MM-KLH'!$B$6:$T$823,9,0),"")</f>
        <v>21/12/2024</v>
      </c>
      <c r="K744" s="101" t="str">
        <f>IFERROR(VLOOKUP(B744,'02. MM-KLH'!$B$6:$T$823,10,0),"")</f>
        <v>Bình thường</v>
      </c>
      <c r="L744" s="107">
        <f>IFERROR(VLOOKUP(B744,'02. MM-KLH'!$B$6:$T$823,11,0),"")</f>
        <v>0</v>
      </c>
      <c r="M744" s="864" t="str">
        <f>IFERROR(VLOOKUP(B744,'02. MM-KLH'!$B$6:$T$823,12,0),"")</f>
        <v>Đầu tư mới</v>
      </c>
      <c r="N744" s="110" t="str">
        <f>IFERROR(VLOOKUP(B744,'02. MM-KLH'!$B$6:$T$823,13,0),"")</f>
        <v>YAMASUKI</v>
      </c>
      <c r="O744" s="110" t="str">
        <f>IFERROR(VLOOKUP(B744,'02. MM-KLH'!$B$6:$T$823,14,0),"")</f>
        <v>CAMBODIA</v>
      </c>
      <c r="P744" s="101">
        <f>IFERROR(VLOOKUP(B744,'02. MM-KLH'!$B$6:$T$823,15,0),"")</f>
        <v>2024</v>
      </c>
      <c r="Q744" s="101" t="str">
        <f>IFERROR(VLOOKUP(B744,'02. MM-KLH'!$B$6:$T$823,16,0),"")</f>
        <v>GX-35</v>
      </c>
      <c r="R744" s="101" t="str">
        <f>IFERROR(VLOOKUP(B744,'02. MM-KLH'!$B$6:$T$823,17,0),"")</f>
        <v>1.3HP</v>
      </c>
      <c r="S744" s="110" t="str">
        <f>IFERROR(VLOOKUP(B744,'02. MM-KLH'!$B$6:$T$823,18,0),"")</f>
        <v>CCN</v>
      </c>
      <c r="T744" s="111" t="str">
        <f>IFERROR(VLOOKUP(B744,'02. MM-KLH'!$B$6:$T$823,19,0),"")</f>
        <v>CCN</v>
      </c>
      <c r="U744" s="863" t="s">
        <v>3274</v>
      </c>
    </row>
    <row r="745" ht="13.5" customHeight="1" spans="1:21">
      <c r="A745" s="103">
        <f t="shared" si="31"/>
        <v>14</v>
      </c>
      <c r="B745" s="104" t="s">
        <v>3190</v>
      </c>
      <c r="C745" s="102">
        <f>IFERROR(VLOOKUP(B745,'02. MM-KLH'!$B$6:$T$823,2,0),"")</f>
        <v>0</v>
      </c>
      <c r="D745" s="103" t="str">
        <f>IFERROR(VLOOKUP(B745,'02. MM-KLH'!$B$6:$T$823,3,0),"")</f>
        <v>A23-CĐN-002</v>
      </c>
      <c r="E745" s="102">
        <f>IFERROR(VLOOKUP(B745,'02. MM-KLH'!$B$6:$T$823,4,0),"")</f>
        <v>0</v>
      </c>
      <c r="F745" s="104"/>
      <c r="G745" s="102" t="str">
        <f>IFERROR(VLOOKUP(B745,'02. MM-KLH'!$B$6:$T$823,6,0),"")</f>
        <v>Máy cắt cỏ đẩy tay đa năng</v>
      </c>
      <c r="H745" s="101" t="s">
        <v>3530</v>
      </c>
      <c r="I745" s="101" t="str">
        <f>IFERROR(VLOOKUP(B745,'02. MM-KLH'!$B$6:$T$823,8,0),"")</f>
        <v>XN Chuối DP1</v>
      </c>
      <c r="J745" s="105" t="str">
        <f>IFERROR(VLOOKUP(B745,'02. MM-KLH'!$B$6:$T$823,9,0),"")</f>
        <v>21/12/2024</v>
      </c>
      <c r="K745" s="101" t="str">
        <f>IFERROR(VLOOKUP(B745,'02. MM-KLH'!$B$6:$T$823,10,0),"")</f>
        <v>Bình thường</v>
      </c>
      <c r="L745" s="107">
        <f>IFERROR(VLOOKUP(B745,'02. MM-KLH'!$B$6:$T$823,11,0),"")</f>
        <v>0</v>
      </c>
      <c r="M745" s="864" t="str">
        <f>IFERROR(VLOOKUP(B745,'02. MM-KLH'!$B$6:$T$823,12,0),"")</f>
        <v>Đầu tư mới</v>
      </c>
      <c r="N745" s="110" t="str">
        <f>IFERROR(VLOOKUP(B745,'02. MM-KLH'!$B$6:$T$823,13,0),"")</f>
        <v>YAMASUKI</v>
      </c>
      <c r="O745" s="110" t="str">
        <f>IFERROR(VLOOKUP(B745,'02. MM-KLH'!$B$6:$T$823,14,0),"")</f>
        <v>CAMBODIA</v>
      </c>
      <c r="P745" s="101">
        <f>IFERROR(VLOOKUP(B745,'02. MM-KLH'!$B$6:$T$823,15,0),"")</f>
        <v>2024</v>
      </c>
      <c r="Q745" s="101" t="str">
        <f>IFERROR(VLOOKUP(B745,'02. MM-KLH'!$B$6:$T$823,16,0),"")</f>
        <v>GX-35</v>
      </c>
      <c r="R745" s="101" t="str">
        <f>IFERROR(VLOOKUP(B745,'02. MM-KLH'!$B$6:$T$823,17,0),"")</f>
        <v>1.3HP</v>
      </c>
      <c r="S745" s="110" t="str">
        <f>IFERROR(VLOOKUP(B745,'02. MM-KLH'!$B$6:$T$823,18,0),"")</f>
        <v>CCN</v>
      </c>
      <c r="T745" s="111" t="str">
        <f>IFERROR(VLOOKUP(B745,'02. MM-KLH'!$B$6:$T$823,19,0),"")</f>
        <v>CCN</v>
      </c>
      <c r="U745" s="863" t="s">
        <v>3274</v>
      </c>
    </row>
    <row r="746" ht="13.5" customHeight="1" spans="1:21">
      <c r="A746" s="103">
        <f t="shared" si="31"/>
        <v>15</v>
      </c>
      <c r="B746" s="104" t="s">
        <v>3192</v>
      </c>
      <c r="C746" s="102">
        <f>IFERROR(VLOOKUP(B746,'02. MM-KLH'!$B$6:$T$823,2,0),"")</f>
        <v>0</v>
      </c>
      <c r="D746" s="103" t="str">
        <f>IFERROR(VLOOKUP(B746,'02. MM-KLH'!$B$6:$T$823,3,0),"")</f>
        <v>A23-CĐN-003</v>
      </c>
      <c r="E746" s="102">
        <f>IFERROR(VLOOKUP(B746,'02. MM-KLH'!$B$6:$T$823,4,0),"")</f>
        <v>0</v>
      </c>
      <c r="F746" s="104"/>
      <c r="G746" s="102" t="str">
        <f>IFERROR(VLOOKUP(B746,'02. MM-KLH'!$B$6:$T$823,6,0),"")</f>
        <v>Máy cắt cỏ đẩy tay đa năng</v>
      </c>
      <c r="H746" s="101" t="s">
        <v>3530</v>
      </c>
      <c r="I746" s="101" t="str">
        <f>IFERROR(VLOOKUP(B746,'02. MM-KLH'!$B$6:$T$823,8,0),"")</f>
        <v>XN Chuối DP2</v>
      </c>
      <c r="J746" s="105" t="str">
        <f>IFERROR(VLOOKUP(B746,'02. MM-KLH'!$B$6:$T$823,9,0),"")</f>
        <v>21/12/2024</v>
      </c>
      <c r="K746" s="101" t="str">
        <f>IFERROR(VLOOKUP(B746,'02. MM-KLH'!$B$6:$T$823,10,0),"")</f>
        <v>Bình thường</v>
      </c>
      <c r="L746" s="107">
        <f>IFERROR(VLOOKUP(B746,'02. MM-KLH'!$B$6:$T$823,11,0),"")</f>
        <v>0</v>
      </c>
      <c r="M746" s="864" t="str">
        <f>IFERROR(VLOOKUP(B746,'02. MM-KLH'!$B$6:$T$823,12,0),"")</f>
        <v>Đầu tư mới</v>
      </c>
      <c r="N746" s="110" t="str">
        <f>IFERROR(VLOOKUP(B746,'02. MM-KLH'!$B$6:$T$823,13,0),"")</f>
        <v>YAMASUKI</v>
      </c>
      <c r="O746" s="110" t="str">
        <f>IFERROR(VLOOKUP(B746,'02. MM-KLH'!$B$6:$T$823,14,0),"")</f>
        <v>CAMBODIA</v>
      </c>
      <c r="P746" s="101">
        <f>IFERROR(VLOOKUP(B746,'02. MM-KLH'!$B$6:$T$823,15,0),"")</f>
        <v>2024</v>
      </c>
      <c r="Q746" s="101" t="str">
        <f>IFERROR(VLOOKUP(B746,'02. MM-KLH'!$B$6:$T$823,16,0),"")</f>
        <v>GX-35</v>
      </c>
      <c r="R746" s="101" t="str">
        <f>IFERROR(VLOOKUP(B746,'02. MM-KLH'!$B$6:$T$823,17,0),"")</f>
        <v>1.3HP</v>
      </c>
      <c r="S746" s="110" t="str">
        <f>IFERROR(VLOOKUP(B746,'02. MM-KLH'!$B$6:$T$823,18,0),"")</f>
        <v>CCN</v>
      </c>
      <c r="T746" s="111" t="str">
        <f>IFERROR(VLOOKUP(B746,'02. MM-KLH'!$B$6:$T$823,19,0),"")</f>
        <v>CCN</v>
      </c>
      <c r="U746" s="863" t="s">
        <v>3274</v>
      </c>
    </row>
    <row r="747" ht="13.5" customHeight="1" spans="1:21">
      <c r="A747" s="103">
        <f t="shared" si="31"/>
        <v>16</v>
      </c>
      <c r="B747" s="104" t="s">
        <v>3194</v>
      </c>
      <c r="C747" s="102">
        <f>IFERROR(VLOOKUP(B747,'02. MM-KLH'!$B$6:$T$823,2,0),"")</f>
        <v>0</v>
      </c>
      <c r="D747" s="103" t="str">
        <f>IFERROR(VLOOKUP(B747,'02. MM-KLH'!$B$6:$T$823,3,0),"")</f>
        <v>A23-CĐN-004</v>
      </c>
      <c r="E747" s="102">
        <f>IFERROR(VLOOKUP(B747,'02. MM-KLH'!$B$6:$T$823,4,0),"")</f>
        <v>0</v>
      </c>
      <c r="F747" s="104"/>
      <c r="G747" s="102" t="str">
        <f>IFERROR(VLOOKUP(B747,'02. MM-KLH'!$B$6:$T$823,6,0),"")</f>
        <v>Máy cắt cỏ đẩy tay đa năng</v>
      </c>
      <c r="H747" s="101" t="s">
        <v>3530</v>
      </c>
      <c r="I747" s="101" t="str">
        <f>IFERROR(VLOOKUP(B747,'02. MM-KLH'!$B$6:$T$823,8,0),"")</f>
        <v>XN Chuối DP2</v>
      </c>
      <c r="J747" s="105" t="str">
        <f>IFERROR(VLOOKUP(B747,'02. MM-KLH'!$B$6:$T$823,9,0),"")</f>
        <v>21/12/2024</v>
      </c>
      <c r="K747" s="101" t="str">
        <f>IFERROR(VLOOKUP(B747,'02. MM-KLH'!$B$6:$T$823,10,0),"")</f>
        <v>Bình thường</v>
      </c>
      <c r="L747" s="107">
        <f>IFERROR(VLOOKUP(B747,'02. MM-KLH'!$B$6:$T$823,11,0),"")</f>
        <v>0</v>
      </c>
      <c r="M747" s="864" t="str">
        <f>IFERROR(VLOOKUP(B747,'02. MM-KLH'!$B$6:$T$823,12,0),"")</f>
        <v>Đầu tư mới</v>
      </c>
      <c r="N747" s="110" t="str">
        <f>IFERROR(VLOOKUP(B747,'02. MM-KLH'!$B$6:$T$823,13,0),"")</f>
        <v>YAMASUKI</v>
      </c>
      <c r="O747" s="110" t="str">
        <f>IFERROR(VLOOKUP(B747,'02. MM-KLH'!$B$6:$T$823,14,0),"")</f>
        <v>CAMBODIA</v>
      </c>
      <c r="P747" s="101">
        <f>IFERROR(VLOOKUP(B747,'02. MM-KLH'!$B$6:$T$823,15,0),"")</f>
        <v>2024</v>
      </c>
      <c r="Q747" s="101" t="str">
        <f>IFERROR(VLOOKUP(B747,'02. MM-KLH'!$B$6:$T$823,16,0),"")</f>
        <v>GX-35</v>
      </c>
      <c r="R747" s="101" t="str">
        <f>IFERROR(VLOOKUP(B747,'02. MM-KLH'!$B$6:$T$823,17,0),"")</f>
        <v>1.3HP</v>
      </c>
      <c r="S747" s="110" t="str">
        <f>IFERROR(VLOOKUP(B747,'02. MM-KLH'!$B$6:$T$823,18,0),"")</f>
        <v>CCN</v>
      </c>
      <c r="T747" s="111" t="str">
        <f>IFERROR(VLOOKUP(B747,'02. MM-KLH'!$B$6:$T$823,19,0),"")</f>
        <v>CCN</v>
      </c>
      <c r="U747" s="863" t="s">
        <v>3274</v>
      </c>
    </row>
    <row r="748" ht="13.5" customHeight="1" spans="1:21">
      <c r="A748" s="103">
        <f t="shared" si="31"/>
        <v>17</v>
      </c>
      <c r="B748" s="104" t="s">
        <v>3196</v>
      </c>
      <c r="C748" s="102">
        <f>IFERROR(VLOOKUP(B748,'02. MM-KLH'!$B$6:$T$823,2,0),"")</f>
        <v>0</v>
      </c>
      <c r="D748" s="103" t="str">
        <f>IFERROR(VLOOKUP(B748,'02. MM-KLH'!$B$6:$T$823,3,0),"")</f>
        <v>A23-CĐN-005</v>
      </c>
      <c r="E748" s="102">
        <f>IFERROR(VLOOKUP(B748,'02. MM-KLH'!$B$6:$T$823,4,0),"")</f>
        <v>0</v>
      </c>
      <c r="F748" s="104"/>
      <c r="G748" s="102" t="str">
        <f>IFERROR(VLOOKUP(B748,'02. MM-KLH'!$B$6:$T$823,6,0),"")</f>
        <v>Máy cắt cỏ đẩy tay đa năng</v>
      </c>
      <c r="H748" s="101" t="s">
        <v>3530</v>
      </c>
      <c r="I748" s="101" t="str">
        <f>IFERROR(VLOOKUP(B748,'02. MM-KLH'!$B$6:$T$823,8,0),"")</f>
        <v>XN Chuối DP3</v>
      </c>
      <c r="J748" s="105" t="str">
        <f>IFERROR(VLOOKUP(B748,'02. MM-KLH'!$B$6:$T$823,9,0),"")</f>
        <v>21/12/2024</v>
      </c>
      <c r="K748" s="101" t="str">
        <f>IFERROR(VLOOKUP(B748,'02. MM-KLH'!$B$6:$T$823,10,0),"")</f>
        <v>Bình thường</v>
      </c>
      <c r="L748" s="107">
        <f>IFERROR(VLOOKUP(B748,'02. MM-KLH'!$B$6:$T$823,11,0),"")</f>
        <v>0</v>
      </c>
      <c r="M748" s="864" t="str">
        <f>IFERROR(VLOOKUP(B748,'02. MM-KLH'!$B$6:$T$823,12,0),"")</f>
        <v>Đầu tư mới</v>
      </c>
      <c r="N748" s="110" t="str">
        <f>IFERROR(VLOOKUP(B748,'02. MM-KLH'!$B$6:$T$823,13,0),"")</f>
        <v>YAMASUKI</v>
      </c>
      <c r="O748" s="110" t="str">
        <f>IFERROR(VLOOKUP(B748,'02. MM-KLH'!$B$6:$T$823,14,0),"")</f>
        <v>CAMBODIA</v>
      </c>
      <c r="P748" s="101">
        <f>IFERROR(VLOOKUP(B748,'02. MM-KLH'!$B$6:$T$823,15,0),"")</f>
        <v>2024</v>
      </c>
      <c r="Q748" s="101" t="str">
        <f>IFERROR(VLOOKUP(B748,'02. MM-KLH'!$B$6:$T$823,16,0),"")</f>
        <v>GX-35</v>
      </c>
      <c r="R748" s="101" t="str">
        <f>IFERROR(VLOOKUP(B748,'02. MM-KLH'!$B$6:$T$823,17,0),"")</f>
        <v>1.3HP</v>
      </c>
      <c r="S748" s="110" t="str">
        <f>IFERROR(VLOOKUP(B748,'02. MM-KLH'!$B$6:$T$823,18,0),"")</f>
        <v>CCN</v>
      </c>
      <c r="T748" s="111" t="str">
        <f>IFERROR(VLOOKUP(B748,'02. MM-KLH'!$B$6:$T$823,19,0),"")</f>
        <v>CCN</v>
      </c>
      <c r="U748" s="863" t="s">
        <v>3274</v>
      </c>
    </row>
    <row r="749" ht="13.5" customHeight="1" spans="1:21">
      <c r="A749" s="103">
        <f t="shared" si="31"/>
        <v>18</v>
      </c>
      <c r="B749" s="104" t="s">
        <v>3198</v>
      </c>
      <c r="C749" s="102">
        <f>IFERROR(VLOOKUP(B749,'02. MM-KLH'!$B$6:$T$823,2,0),"")</f>
        <v>0</v>
      </c>
      <c r="D749" s="103" t="str">
        <f>IFERROR(VLOOKUP(B749,'02. MM-KLH'!$B$6:$T$823,3,0),"")</f>
        <v>A23-CĐN-006</v>
      </c>
      <c r="E749" s="102">
        <f>IFERROR(VLOOKUP(B749,'02. MM-KLH'!$B$6:$T$823,4,0),"")</f>
        <v>0</v>
      </c>
      <c r="F749" s="104"/>
      <c r="G749" s="102" t="str">
        <f>IFERROR(VLOOKUP(B749,'02. MM-KLH'!$B$6:$T$823,6,0),"")</f>
        <v>Máy cắt cỏ đẩy tay đa năng</v>
      </c>
      <c r="H749" s="101" t="s">
        <v>3530</v>
      </c>
      <c r="I749" s="101" t="str">
        <f>IFERROR(VLOOKUP(B749,'02. MM-KLH'!$B$6:$T$823,8,0),"")</f>
        <v>XN Chuối DP3</v>
      </c>
      <c r="J749" s="105" t="str">
        <f>IFERROR(VLOOKUP(B749,'02. MM-KLH'!$B$6:$T$823,9,0),"")</f>
        <v>21/12/2024</v>
      </c>
      <c r="K749" s="101" t="str">
        <f>IFERROR(VLOOKUP(B749,'02. MM-KLH'!$B$6:$T$823,10,0),"")</f>
        <v>Bình thường</v>
      </c>
      <c r="L749" s="107">
        <f>IFERROR(VLOOKUP(B749,'02. MM-KLH'!$B$6:$T$823,11,0),"")</f>
        <v>0</v>
      </c>
      <c r="M749" s="864" t="str">
        <f>IFERROR(VLOOKUP(B749,'02. MM-KLH'!$B$6:$T$823,12,0),"")</f>
        <v>Đầu tư mới</v>
      </c>
      <c r="N749" s="110" t="str">
        <f>IFERROR(VLOOKUP(B749,'02. MM-KLH'!$B$6:$T$823,13,0),"")</f>
        <v>YAMASUKI</v>
      </c>
      <c r="O749" s="110" t="str">
        <f>IFERROR(VLOOKUP(B749,'02. MM-KLH'!$B$6:$T$823,14,0),"")</f>
        <v>CAMBODIA</v>
      </c>
      <c r="P749" s="101">
        <f>IFERROR(VLOOKUP(B749,'02. MM-KLH'!$B$6:$T$823,15,0),"")</f>
        <v>2024</v>
      </c>
      <c r="Q749" s="101" t="str">
        <f>IFERROR(VLOOKUP(B749,'02. MM-KLH'!$B$6:$T$823,16,0),"")</f>
        <v>GX-35</v>
      </c>
      <c r="R749" s="101" t="str">
        <f>IFERROR(VLOOKUP(B749,'02. MM-KLH'!$B$6:$T$823,17,0),"")</f>
        <v>1.3HP</v>
      </c>
      <c r="S749" s="110" t="str">
        <f>IFERROR(VLOOKUP(B749,'02. MM-KLH'!$B$6:$T$823,18,0),"")</f>
        <v>CCN</v>
      </c>
      <c r="T749" s="111" t="str">
        <f>IFERROR(VLOOKUP(B749,'02. MM-KLH'!$B$6:$T$823,19,0),"")</f>
        <v>CCN</v>
      </c>
      <c r="U749" s="863" t="s">
        <v>3274</v>
      </c>
    </row>
    <row r="750" ht="13.5" customHeight="1" spans="1:21">
      <c r="A750" s="161"/>
      <c r="B750" s="164"/>
      <c r="C750" s="162"/>
      <c r="D750" s="103"/>
      <c r="E750" s="102"/>
      <c r="F750" s="164"/>
      <c r="G750" s="102"/>
      <c r="H750" s="101"/>
      <c r="I750" s="101"/>
      <c r="J750" s="105"/>
      <c r="K750" s="101"/>
      <c r="L750" s="107"/>
      <c r="M750" s="864"/>
      <c r="N750" s="110"/>
      <c r="O750" s="110"/>
      <c r="P750" s="101"/>
      <c r="Q750" s="101"/>
      <c r="R750" s="101"/>
      <c r="S750" s="110"/>
      <c r="T750" s="111"/>
      <c r="U750" s="863"/>
    </row>
    <row r="751" ht="13.5" customHeight="1" spans="1:21">
      <c r="A751" s="161"/>
      <c r="B751" s="164"/>
      <c r="C751" s="162"/>
      <c r="D751" s="103"/>
      <c r="E751" s="102"/>
      <c r="F751" s="164"/>
      <c r="G751" s="102"/>
      <c r="H751" s="101"/>
      <c r="I751" s="101"/>
      <c r="J751" s="105"/>
      <c r="K751" s="101"/>
      <c r="L751" s="107"/>
      <c r="M751" s="864"/>
      <c r="N751" s="110"/>
      <c r="O751" s="110"/>
      <c r="P751" s="101"/>
      <c r="Q751" s="101"/>
      <c r="R751" s="101"/>
      <c r="S751" s="110"/>
      <c r="T751" s="111"/>
      <c r="U751" s="863"/>
    </row>
    <row r="752" ht="13.5" customHeight="1" spans="1:21">
      <c r="A752" s="161"/>
      <c r="B752" s="164"/>
      <c r="C752" s="162"/>
      <c r="D752" s="103"/>
      <c r="E752" s="102"/>
      <c r="F752" s="164"/>
      <c r="G752" s="102"/>
      <c r="H752" s="101"/>
      <c r="I752" s="101"/>
      <c r="J752" s="105"/>
      <c r="K752" s="101"/>
      <c r="L752" s="107"/>
      <c r="M752" s="864"/>
      <c r="N752" s="110"/>
      <c r="O752" s="110"/>
      <c r="P752" s="101"/>
      <c r="Q752" s="101"/>
      <c r="R752" s="101"/>
      <c r="S752" s="110"/>
      <c r="T752" s="111"/>
      <c r="U752" s="863"/>
    </row>
    <row r="753" ht="13.5" customHeight="1" spans="1:21">
      <c r="A753" s="161"/>
      <c r="B753" s="164"/>
      <c r="C753" s="162"/>
      <c r="D753" s="103"/>
      <c r="E753" s="102"/>
      <c r="F753" s="164"/>
      <c r="G753" s="102"/>
      <c r="H753" s="101"/>
      <c r="I753" s="101"/>
      <c r="J753" s="105"/>
      <c r="K753" s="101"/>
      <c r="L753" s="107"/>
      <c r="M753" s="864"/>
      <c r="N753" s="110"/>
      <c r="O753" s="110"/>
      <c r="P753" s="101"/>
      <c r="Q753" s="101"/>
      <c r="R753" s="101"/>
      <c r="S753" s="110"/>
      <c r="T753" s="111"/>
      <c r="U753" s="863"/>
    </row>
    <row r="754" ht="13.5" customHeight="1" spans="1:21">
      <c r="A754" s="161"/>
      <c r="B754" s="164"/>
      <c r="C754" s="162"/>
      <c r="D754" s="103"/>
      <c r="E754" s="102"/>
      <c r="F754" s="164"/>
      <c r="G754" s="102"/>
      <c r="H754" s="101"/>
      <c r="I754" s="101"/>
      <c r="J754" s="105"/>
      <c r="K754" s="101"/>
      <c r="L754" s="107"/>
      <c r="M754" s="864"/>
      <c r="N754" s="110"/>
      <c r="O754" s="110"/>
      <c r="P754" s="101"/>
      <c r="Q754" s="101"/>
      <c r="R754" s="101"/>
      <c r="S754" s="110"/>
      <c r="T754" s="111"/>
      <c r="U754" s="863"/>
    </row>
    <row r="755" ht="13.5" customHeight="1" spans="1:21">
      <c r="A755" s="161"/>
      <c r="B755" s="164"/>
      <c r="C755" s="162"/>
      <c r="D755" s="103"/>
      <c r="E755" s="102"/>
      <c r="F755" s="164"/>
      <c r="G755" s="102"/>
      <c r="H755" s="101"/>
      <c r="I755" s="101"/>
      <c r="J755" s="105"/>
      <c r="K755" s="101"/>
      <c r="L755" s="107"/>
      <c r="M755" s="864"/>
      <c r="N755" s="110"/>
      <c r="O755" s="110"/>
      <c r="P755" s="101"/>
      <c r="Q755" s="101"/>
      <c r="R755" s="101"/>
      <c r="S755" s="110"/>
      <c r="T755" s="111"/>
      <c r="U755" s="863"/>
    </row>
    <row r="756" ht="13.5" customHeight="1" spans="1:21">
      <c r="A756" s="161"/>
      <c r="B756" s="164"/>
      <c r="C756" s="162"/>
      <c r="D756" s="103"/>
      <c r="E756" s="102"/>
      <c r="F756" s="164"/>
      <c r="G756" s="102"/>
      <c r="H756" s="101"/>
      <c r="I756" s="101"/>
      <c r="J756" s="105"/>
      <c r="K756" s="101"/>
      <c r="L756" s="107"/>
      <c r="M756" s="864"/>
      <c r="N756" s="110"/>
      <c r="O756" s="110"/>
      <c r="P756" s="101"/>
      <c r="Q756" s="101"/>
      <c r="R756" s="101"/>
      <c r="S756" s="110"/>
      <c r="T756" s="111"/>
      <c r="U756" s="863"/>
    </row>
    <row r="757" ht="13.5" customHeight="1" spans="1:21">
      <c r="A757" s="161"/>
      <c r="B757" s="164"/>
      <c r="C757" s="162"/>
      <c r="D757" s="103"/>
      <c r="E757" s="102"/>
      <c r="F757" s="164"/>
      <c r="G757" s="102"/>
      <c r="H757" s="101"/>
      <c r="I757" s="101"/>
      <c r="J757" s="105"/>
      <c r="K757" s="101"/>
      <c r="L757" s="107"/>
      <c r="M757" s="864"/>
      <c r="N757" s="110"/>
      <c r="O757" s="110"/>
      <c r="P757" s="101"/>
      <c r="Q757" s="101"/>
      <c r="R757" s="101"/>
      <c r="S757" s="110"/>
      <c r="T757" s="111"/>
      <c r="U757" s="863"/>
    </row>
    <row r="758" ht="13.5" customHeight="1" spans="1:21">
      <c r="A758" s="161"/>
      <c r="B758" s="164"/>
      <c r="C758" s="162"/>
      <c r="D758" s="103"/>
      <c r="E758" s="102"/>
      <c r="F758" s="164"/>
      <c r="G758" s="102"/>
      <c r="H758" s="101"/>
      <c r="I758" s="101"/>
      <c r="J758" s="105"/>
      <c r="K758" s="101"/>
      <c r="L758" s="107"/>
      <c r="M758" s="864"/>
      <c r="N758" s="110"/>
      <c r="O758" s="110"/>
      <c r="P758" s="101"/>
      <c r="Q758" s="101"/>
      <c r="R758" s="101"/>
      <c r="S758" s="110"/>
      <c r="T758" s="111"/>
      <c r="U758" s="863"/>
    </row>
    <row r="759" ht="13.5" customHeight="1" spans="1:21">
      <c r="A759" s="161"/>
      <c r="B759" s="164"/>
      <c r="C759" s="162"/>
      <c r="D759" s="103"/>
      <c r="E759" s="102"/>
      <c r="F759" s="164"/>
      <c r="G759" s="102"/>
      <c r="H759" s="101"/>
      <c r="I759" s="101"/>
      <c r="J759" s="105"/>
      <c r="K759" s="101"/>
      <c r="L759" s="107"/>
      <c r="M759" s="864"/>
      <c r="N759" s="110"/>
      <c r="O759" s="110"/>
      <c r="P759" s="101"/>
      <c r="Q759" s="101"/>
      <c r="R759" s="101"/>
      <c r="S759" s="110"/>
      <c r="T759" s="111"/>
      <c r="U759" s="863"/>
    </row>
    <row r="760" ht="13.5" customHeight="1" spans="1:21">
      <c r="A760" s="161"/>
      <c r="B760" s="164"/>
      <c r="C760" s="162"/>
      <c r="D760" s="103"/>
      <c r="E760" s="102"/>
      <c r="F760" s="164"/>
      <c r="G760" s="102"/>
      <c r="H760" s="101"/>
      <c r="I760" s="101"/>
      <c r="J760" s="105"/>
      <c r="K760" s="101"/>
      <c r="L760" s="107"/>
      <c r="M760" s="864"/>
      <c r="N760" s="110"/>
      <c r="O760" s="110"/>
      <c r="P760" s="101"/>
      <c r="Q760" s="101"/>
      <c r="R760" s="101"/>
      <c r="S760" s="110"/>
      <c r="T760" s="111"/>
      <c r="U760" s="863"/>
    </row>
    <row r="761" ht="13.5" customHeight="1" spans="1:21">
      <c r="A761" s="161"/>
      <c r="B761" s="164"/>
      <c r="C761" s="162"/>
      <c r="D761" s="103"/>
      <c r="E761" s="102"/>
      <c r="F761" s="164"/>
      <c r="G761" s="102"/>
      <c r="H761" s="101"/>
      <c r="I761" s="101"/>
      <c r="J761" s="105"/>
      <c r="K761" s="101"/>
      <c r="L761" s="107"/>
      <c r="M761" s="864"/>
      <c r="N761" s="110"/>
      <c r="O761" s="110"/>
      <c r="P761" s="101"/>
      <c r="Q761" s="101"/>
      <c r="R761" s="101"/>
      <c r="S761" s="110"/>
      <c r="T761" s="111"/>
      <c r="U761" s="863"/>
    </row>
    <row r="762" ht="13.5" customHeight="1" spans="1:21">
      <c r="A762" s="211" t="s">
        <v>290</v>
      </c>
      <c r="B762" s="216" t="s">
        <v>3204</v>
      </c>
      <c r="C762" s="211">
        <f>COUNTA(B763:B768)</f>
        <v>6</v>
      </c>
      <c r="D762" s="211">
        <f>IFERROR(VLOOKUP(B762,'02. MM-KLH'!$B$6:$T$823,3,0),"")</f>
        <v>0</v>
      </c>
      <c r="E762" s="211">
        <f>IFERROR(VLOOKUP(B762,'02. MM-KLH'!$B$6:$T$823,4,0),"")</f>
        <v>0</v>
      </c>
      <c r="F762" s="211"/>
      <c r="G762" s="211" t="str">
        <f>IFERROR(VLOOKUP(B762,'02. MM-KLH'!$B$6:$T$823,6,0),"")</f>
        <v>(Điều chuyển chữ xanh dương)</v>
      </c>
      <c r="H762" s="211"/>
      <c r="I762" s="211">
        <f>IFERROR(VLOOKUP(B762,'02. MM-KLH'!$B$6:$T$823,8,0),"")</f>
        <v>0</v>
      </c>
      <c r="J762" s="211">
        <f>IFERROR(VLOOKUP(B762,'02. MM-KLH'!$B$6:$T$823,9,0),"")</f>
        <v>0</v>
      </c>
      <c r="K762" s="211">
        <f>IFERROR(VLOOKUP(B762,'02. MM-KLH'!$B$6:$T$823,10,0),"")</f>
        <v>0</v>
      </c>
      <c r="L762" s="211">
        <f>IFERROR(VLOOKUP(B762,'02. MM-KLH'!$B$6:$T$823,11,0),"")</f>
        <v>0</v>
      </c>
      <c r="M762" s="211">
        <f>IFERROR(VLOOKUP(B762,'02. MM-KLH'!$B$6:$T$823,12,0),"")</f>
        <v>0</v>
      </c>
      <c r="N762" s="211">
        <f>IFERROR(VLOOKUP(B762,'02. MM-KLH'!$B$6:$T$823,13,0),"")</f>
        <v>0</v>
      </c>
      <c r="O762" s="211">
        <f>IFERROR(VLOOKUP(B762,'02. MM-KLH'!$B$6:$T$823,14,0),"")</f>
        <v>0</v>
      </c>
      <c r="P762" s="211">
        <f>IFERROR(VLOOKUP(B762,'02. MM-KLH'!$B$6:$T$823,15,0),"")</f>
        <v>0</v>
      </c>
      <c r="Q762" s="211">
        <f>IFERROR(VLOOKUP(B762,'02. MM-KLH'!$B$6:$T$823,16,0),"")</f>
        <v>0</v>
      </c>
      <c r="R762" s="211">
        <f>IFERROR(VLOOKUP(B762,'02. MM-KLH'!$B$6:$T$823,17,0),"")</f>
        <v>0</v>
      </c>
      <c r="S762" s="211">
        <f>IFERROR(VLOOKUP(B762,'02. MM-KLH'!$B$6:$T$823,18,0),"")</f>
        <v>0</v>
      </c>
      <c r="T762" s="211">
        <f>IFERROR(VLOOKUP(B762,'02. MM-KLH'!$B$6:$T$823,19,0),"")</f>
        <v>0</v>
      </c>
      <c r="U762" s="211" t="str">
        <f>IFERROR(VLOOKUP(C762,'02. MM-KLH'!$B$6:$T$823,19,0),"")</f>
        <v/>
      </c>
    </row>
    <row r="763" ht="35.25" customHeight="1" spans="1:21">
      <c r="A763" s="103">
        <v>1</v>
      </c>
      <c r="B763" s="124" t="s">
        <v>3206</v>
      </c>
      <c r="C763" s="102" t="str">
        <f>IFERROR(VLOOKUP(B763,'02. MM-KLH'!$B$6:$T$823,2,0),"")</f>
        <v>MỚI</v>
      </c>
      <c r="D763" s="103" t="str">
        <f>IFERROR(VLOOKUP(B763,'02. MM-KLH'!$B$6:$T$823,3,0),"")</f>
        <v>A23-MĐA-068</v>
      </c>
      <c r="E763" s="102">
        <f>IFERROR(VLOOKUP(B763,'02. MM-KLH'!$B$6:$T$823,4,0),"")</f>
        <v>0</v>
      </c>
      <c r="F763" s="124"/>
      <c r="G763" s="102" t="str">
        <f>IFERROR(VLOOKUP(B763,'02. MM-KLH'!$B$6:$T$823,6,0),"")</f>
        <v>Máy đào KOMATSU bánh xích gàu 0.8m3</v>
      </c>
      <c r="H763" s="101" t="s">
        <v>3268</v>
      </c>
      <c r="I763" s="101" t="str">
        <f>IFERROR(VLOOKUP(B763,'02. MM-KLH'!$B$6:$T$823,8,0),"")</f>
        <v>RAT OYD</v>
      </c>
      <c r="J763" s="105">
        <f>IFERROR(VLOOKUP(B763,'02. MM-KLH'!$B$6:$T$823,9,0),"")</f>
        <v>45963</v>
      </c>
      <c r="K763" s="101">
        <f>IFERROR(VLOOKUP(B763,'02. MM-KLH'!$B$6:$T$823,10,0),"")</f>
        <v>0</v>
      </c>
      <c r="L763" s="107">
        <f>IFERROR(VLOOKUP(B763,'02. MM-KLH'!$B$6:$T$823,11,0),"")</f>
        <v>0</v>
      </c>
      <c r="M763" s="125" t="str">
        <f>IFERROR(VLOOKUP(B763,'02. MM-KLH'!$B$6:$T$823,12,0),"")</f>
        <v>Bàn giao về XDCB ngày 11/02/2025 
-Đ.chuyển đi RAT OYD ngày 13/05/2025</v>
      </c>
      <c r="N763" s="110" t="str">
        <f>IFERROR(VLOOKUP(B763,'02. MM-KLH'!$B$6:$T$823,13,0),"")</f>
        <v>KOMATSU</v>
      </c>
      <c r="O763" s="110" t="str">
        <f>IFERROR(VLOOKUP(B763,'02. MM-KLH'!$B$6:$T$823,14,0),"")</f>
        <v>NHẬT BẢN</v>
      </c>
      <c r="P763" s="101">
        <f>IFERROR(VLOOKUP(B763,'02. MM-KLH'!$B$6:$T$823,15,0),"")</f>
        <v>2004</v>
      </c>
      <c r="Q763" s="101" t="str">
        <f>IFERROR(VLOOKUP(B763,'02. MM-KLH'!$B$6:$T$823,16,0),"")</f>
        <v>PC200-7</v>
      </c>
      <c r="R763" s="101" t="str">
        <f>IFERROR(VLOOKUP(B763,'02. MM-KLH'!$B$6:$T$823,17,0),"")</f>
        <v>145HP</v>
      </c>
      <c r="S763" s="110" t="str">
        <f>IFERROR(VLOOKUP(B763,'02. MM-KLH'!$B$6:$T$823,18,0),"")</f>
        <v>KMTPC049P02251262</v>
      </c>
      <c r="T763" s="111" t="str">
        <f>IFERROR(VLOOKUP(B763,'02. MM-KLH'!$B$6:$T$823,19,0),"")</f>
        <v>6D10226342017</v>
      </c>
      <c r="U763" s="863"/>
    </row>
    <row r="764" ht="13.5" customHeight="1" spans="1:21">
      <c r="A764" s="101">
        <v>2</v>
      </c>
      <c r="B764" s="104" t="s">
        <v>3213</v>
      </c>
      <c r="C764" s="102" t="str">
        <f>IFERROR(VLOOKUP(B764,'02. MM-KLH'!$B$6:$T$823,2,0),"")</f>
        <v>XDP-MKE-004(MK18NNKLH)</v>
      </c>
      <c r="D764" s="103" t="str">
        <f>IFERROR(VLOOKUP(B764,'02. MM-KLH'!$B$6:$T$823,3,0),"")</f>
        <v>A23-MKE-004</v>
      </c>
      <c r="E764" s="102">
        <f>IFERROR(VLOOKUP(B764,'02. MM-KLH'!$B$6:$T$823,4,0),"")</f>
        <v>0</v>
      </c>
      <c r="F764" s="104" t="s">
        <v>3089</v>
      </c>
      <c r="G764" s="102" t="str">
        <f>IFERROR(VLOOKUP(B764,'02. MM-KLH'!$B$6:$T$823,6,0),"")</f>
        <v>Máy cày M9540</v>
      </c>
      <c r="H764" s="101" t="s">
        <v>3340</v>
      </c>
      <c r="I764" s="101" t="str">
        <f>IFERROR(VLOOKUP(B764,'02. MM-KLH'!$B$6:$T$823,8,0),"")</f>
        <v>RAT OYD</v>
      </c>
      <c r="J764" s="105">
        <f>IFERROR(VLOOKUP(B764,'02. MM-KLH'!$B$6:$T$823,9,0),"")</f>
        <v>0</v>
      </c>
      <c r="K764" s="101">
        <f>IFERROR(VLOOKUP(B764,'02. MM-KLH'!$B$6:$T$823,10,0),"")</f>
        <v>0</v>
      </c>
      <c r="L764" s="107">
        <f>IFERROR(VLOOKUP(B764,'02. MM-KLH'!$B$6:$T$823,11,0),"")</f>
        <v>0</v>
      </c>
      <c r="M764" s="864" t="str">
        <f>IFERROR(VLOOKUP(B764,'02. MM-KLH'!$B$6:$T$823,12,0),"")</f>
        <v>Thu hồi bàn giao về RAT OYD 05/12/2024</v>
      </c>
      <c r="N764" s="110" t="str">
        <f>IFERROR(VLOOKUP(B764,'02. MM-KLH'!$B$6:$T$823,13,0),"")</f>
        <v>KUBOTA</v>
      </c>
      <c r="O764" s="110" t="str">
        <f>IFERROR(VLOOKUP(B764,'02. MM-KLH'!$B$6:$T$823,14,0),"")</f>
        <v>NHẬT BẢN</v>
      </c>
      <c r="P764" s="101">
        <f>IFERROR(VLOOKUP(B764,'02. MM-KLH'!$B$6:$T$823,15,0),"")</f>
        <v>2011</v>
      </c>
      <c r="Q764" s="101">
        <f>IFERROR(VLOOKUP(B764,'02. MM-KLH'!$B$6:$T$823,16,0),"")</f>
        <v>9540</v>
      </c>
      <c r="R764" s="101" t="str">
        <f>IFERROR(VLOOKUP(B764,'02. MM-KLH'!$B$6:$T$823,17,0),"")</f>
        <v>95HP</v>
      </c>
      <c r="S764" s="110">
        <f>IFERROR(VLOOKUP(B764,'02. MM-KLH'!$B$6:$T$823,18,0),"")</f>
        <v>77433</v>
      </c>
      <c r="T764" s="111" t="str">
        <f>IFERROR(VLOOKUP(B764,'02. MM-KLH'!$B$6:$T$823,19,0),"")</f>
        <v>CCN</v>
      </c>
      <c r="U764" s="863"/>
    </row>
    <row r="765" ht="13.5" customHeight="1" spans="1:21">
      <c r="A765" s="101">
        <v>3</v>
      </c>
      <c r="B765" s="104" t="s">
        <v>3216</v>
      </c>
      <c r="C765" s="102" t="str">
        <f>IFERROR(VLOOKUP(B765,'02. MM-KLH'!$B$6:$T$823,2,0),"")</f>
        <v>MK 88-VC KLH</v>
      </c>
      <c r="D765" s="103" t="str">
        <f>IFERROR(VLOOKUP(B765,'02. MM-KLH'!$B$6:$T$823,3,0),"")</f>
        <v>A23-MKE-015</v>
      </c>
      <c r="E765" s="102">
        <f>IFERROR(VLOOKUP(B765,'02. MM-KLH'!$B$6:$T$823,4,0),"")</f>
        <v>0</v>
      </c>
      <c r="F765" s="104" t="s">
        <v>3089</v>
      </c>
      <c r="G765" s="102" t="str">
        <f>IFERROR(VLOOKUP(B765,'02. MM-KLH'!$B$6:$T$823,6,0),"")</f>
        <v>Máy cày M9540</v>
      </c>
      <c r="H765" s="101" t="s">
        <v>3340</v>
      </c>
      <c r="I765" s="101" t="str">
        <f>IFERROR(VLOOKUP(B765,'02. MM-KLH'!$B$6:$T$823,8,0),"")</f>
        <v>RAT OYD</v>
      </c>
      <c r="J765" s="105">
        <f>IFERROR(VLOOKUP(B765,'02. MM-KLH'!$B$6:$T$823,9,0),"")</f>
        <v>0</v>
      </c>
      <c r="K765" s="101">
        <f>IFERROR(VLOOKUP(B765,'02. MM-KLH'!$B$6:$T$823,10,0),"")</f>
        <v>0</v>
      </c>
      <c r="L765" s="107">
        <f>IFERROR(VLOOKUP(B765,'02. MM-KLH'!$B$6:$T$823,11,0),"")</f>
        <v>0</v>
      </c>
      <c r="M765" s="864" t="str">
        <f>IFERROR(VLOOKUP(B765,'02. MM-KLH'!$B$6:$T$823,12,0),"")</f>
        <v>Thu hồi bàn giao về RAT OYD 05/12/2024</v>
      </c>
      <c r="N765" s="110" t="str">
        <f>IFERROR(VLOOKUP(B765,'02. MM-KLH'!$B$6:$T$823,13,0),"")</f>
        <v>KUBOTA</v>
      </c>
      <c r="O765" s="110" t="str">
        <f>IFERROR(VLOOKUP(B765,'02. MM-KLH'!$B$6:$T$823,14,0),"")</f>
        <v>NHẬT BẢN</v>
      </c>
      <c r="P765" s="101">
        <f>IFERROR(VLOOKUP(B765,'02. MM-KLH'!$B$6:$T$823,15,0),"")</f>
        <v>2013</v>
      </c>
      <c r="Q765" s="101">
        <f>IFERROR(VLOOKUP(B765,'02. MM-KLH'!$B$6:$T$823,16,0),"")</f>
        <v>9540</v>
      </c>
      <c r="R765" s="101" t="str">
        <f>IFERROR(VLOOKUP(B765,'02. MM-KLH'!$B$6:$T$823,17,0),"")</f>
        <v>95HP</v>
      </c>
      <c r="S765" s="110">
        <f>IFERROR(VLOOKUP(B765,'02. MM-KLH'!$B$6:$T$823,18,0),"")</f>
        <v>173035</v>
      </c>
      <c r="T765" s="111" t="str">
        <f>IFERROR(VLOOKUP(B765,'02. MM-KLH'!$B$6:$T$823,19,0),"")</f>
        <v>CCN</v>
      </c>
      <c r="U765" s="863"/>
    </row>
    <row r="766" ht="13.5" customHeight="1" spans="1:21">
      <c r="A766" s="146">
        <v>4</v>
      </c>
      <c r="B766" s="124" t="s">
        <v>3218</v>
      </c>
      <c r="C766" s="102" t="str">
        <f>IFERROR(VLOOKUP(B766,'02. MM-KLH'!$B$6:$T$823,2,0),"")</f>
        <v>Mới</v>
      </c>
      <c r="D766" s="103" t="str">
        <f>IFERROR(VLOOKUP(B766,'02. MM-KLH'!$B$6:$T$823,3,0),"")</f>
        <v>ATT-A22-0271</v>
      </c>
      <c r="E766" s="102">
        <f>IFERROR(VLOOKUP(B766,'02. MM-KLH'!$B$6:$T$823,4,0),"")</f>
        <v>0</v>
      </c>
      <c r="F766" s="124" t="s">
        <v>3219</v>
      </c>
      <c r="G766" s="102" t="str">
        <f>IFERROR(VLOOKUP(B766,'02. MM-KLH'!$B$6:$T$823,6,0),"")</f>
        <v>Xe rải thức ăn FD1600B</v>
      </c>
      <c r="H766" s="146" t="s">
        <v>3508</v>
      </c>
      <c r="I766" s="101" t="str">
        <f>IFERROR(VLOOKUP(B766,'02. MM-KLH'!$B$6:$T$823,8,0),"")</f>
        <v>KLH SNOUL</v>
      </c>
      <c r="J766" s="105">
        <f>IFERROR(VLOOKUP(B766,'02. MM-KLH'!$B$6:$T$823,9,0),"")</f>
        <v>44927</v>
      </c>
      <c r="K766" s="101">
        <f>IFERROR(VLOOKUP(B766,'02. MM-KLH'!$B$6:$T$823,10,0),"")</f>
        <v>0</v>
      </c>
      <c r="L766" s="107">
        <f>IFERROR(VLOOKUP(B766,'02. MM-KLH'!$B$6:$T$823,11,0),"")</f>
        <v>0.97</v>
      </c>
      <c r="M766" s="864" t="str">
        <f>IFERROR(VLOOKUP(B766,'02. MM-KLH'!$B$6:$T$823,12,0),"")</f>
        <v>Điều chuyển về SNOUL ngày 02/05/2025</v>
      </c>
      <c r="N766" s="110" t="str">
        <f>IFERROR(VLOOKUP(B766,'02. MM-KLH'!$B$6:$T$823,13,0),"")</f>
        <v>THACO FORLAND</v>
      </c>
      <c r="O766" s="110" t="str">
        <f>IFERROR(VLOOKUP(B766,'02. MM-KLH'!$B$6:$T$823,14,0),"")</f>
        <v>VIỆT NAM</v>
      </c>
      <c r="P766" s="101">
        <f>IFERROR(VLOOKUP(B766,'02. MM-KLH'!$B$6:$T$823,15,0),"")</f>
        <v>2017</v>
      </c>
      <c r="Q766" s="101" t="str">
        <f>IFERROR(VLOOKUP(B766,'02. MM-KLH'!$B$6:$T$823,16,0),"")</f>
        <v>FD1600B</v>
      </c>
      <c r="R766" s="101" t="str">
        <f>IFERROR(VLOOKUP(B766,'02. MM-KLH'!$B$6:$T$823,17,0),"")</f>
        <v>180HP</v>
      </c>
      <c r="S766" s="110" t="str">
        <f>IFERROR(VLOOKUP(B766,'02. MM-KLH'!$B$6:$T$823,18,0),"")</f>
        <v>RNHD1600DHC070081</v>
      </c>
      <c r="T766" s="111" t="str">
        <f>IFERROR(VLOOKUP(B766,'02. MM-KLH'!$B$6:$T$823,19,0),"")</f>
        <v>WP6180E326P15D005530</v>
      </c>
      <c r="U766" s="863"/>
    </row>
    <row r="767" ht="30.75" customHeight="1" spans="1:21">
      <c r="A767" s="146">
        <v>5</v>
      </c>
      <c r="B767" s="124" t="s">
        <v>3225</v>
      </c>
      <c r="C767" s="102" t="str">
        <f>IFERROR(VLOOKUP(B767,'02. MM-KLH'!$B$6:$T$823,2,0),"")</f>
        <v>CHT-XCA-032</v>
      </c>
      <c r="D767" s="103">
        <f>IFERROR(VLOOKUP(B767,'02. MM-KLH'!$B$6:$T$823,3,0),"")</f>
        <v>0</v>
      </c>
      <c r="E767" s="102">
        <f>IFERROR(VLOOKUP(B767,'02. MM-KLH'!$B$6:$T$823,4,0),"")</f>
        <v>0</v>
      </c>
      <c r="F767" s="124" t="s">
        <v>3227</v>
      </c>
      <c r="G767" s="102" t="str">
        <f>IFERROR(VLOOKUP(B767,'02. MM-KLH'!$B$6:$T$823,6,0),"")</f>
        <v>Xe cẩu Zoomliom 25 tấn</v>
      </c>
      <c r="H767" s="146" t="s">
        <v>3520</v>
      </c>
      <c r="I767" s="101" t="str">
        <f>IFERROR(VLOOKUP(B767,'02. MM-KLH'!$B$6:$T$823,8,0),"")</f>
        <v>KLH SNOUL</v>
      </c>
      <c r="J767" s="105">
        <f>IFERROR(VLOOKUP(B767,'02. MM-KLH'!$B$6:$T$823,9,0),"")</f>
        <v>41644</v>
      </c>
      <c r="K767" s="101">
        <f>IFERROR(VLOOKUP(B767,'02. MM-KLH'!$B$6:$T$823,10,0),"")</f>
        <v>0</v>
      </c>
      <c r="L767" s="107">
        <f>IFERROR(VLOOKUP(B767,'02. MM-KLH'!$B$6:$T$823,11,0),"")</f>
        <v>0.4</v>
      </c>
      <c r="M767" s="864" t="str">
        <f>IFERROR(VLOOKUP(B767,'02. MM-KLH'!$B$6:$T$823,12,0),"")</f>
        <v>- Điều chuyển về KLH SNOUL ngày 18/07/2024 (Đã ký)</v>
      </c>
      <c r="N767" s="110" t="str">
        <f>IFERROR(VLOOKUP(B767,'02. MM-KLH'!$B$6:$T$823,13,0),"")</f>
        <v>ZOOMLION </v>
      </c>
      <c r="O767" s="110" t="str">
        <f>IFERROR(VLOOKUP(B767,'02. MM-KLH'!$B$6:$T$823,14,0),"")</f>
        <v>CHINA</v>
      </c>
      <c r="P767" s="101">
        <f>IFERROR(VLOOKUP(B767,'02. MM-KLH'!$B$6:$T$823,15,0),"")</f>
        <v>2004</v>
      </c>
      <c r="Q767" s="101" t="str">
        <f>IFERROR(VLOOKUP(B767,'02. MM-KLH'!$B$6:$T$823,16,0),"")</f>
        <v>CRANE TRUCK QY30V</v>
      </c>
      <c r="R767" s="101" t="str">
        <f>IFERROR(VLOOKUP(B767,'02. MM-KLH'!$B$6:$T$823,17,0),"")</f>
        <v>30T</v>
      </c>
      <c r="S767" s="110" t="str">
        <f>IFERROR(VLOOKUP(B767,'02. MM-KLH'!$B$6:$T$823,18,0),"")</f>
        <v>L5E5H3D22EA020978</v>
      </c>
      <c r="T767" s="111" t="str">
        <f>IFERROR(VLOOKUP(B767,'02. MM-KLH'!$B$6:$T$823,19,0),"")</f>
        <v>CCN</v>
      </c>
      <c r="U767" s="863"/>
    </row>
    <row r="768" ht="13.5" customHeight="1" spans="1:21">
      <c r="A768" s="146">
        <v>5</v>
      </c>
      <c r="B768" s="124" t="s">
        <v>290</v>
      </c>
      <c r="C768" s="102">
        <f>IFERROR(VLOOKUP(B768,'02. MM-KLH'!$B$6:$T$823,2,0),"")</f>
        <v>0</v>
      </c>
      <c r="D768" s="103">
        <f>IFERROR(VLOOKUP(B768,'02. MM-KLH'!$B$6:$T$823,3,0),"")</f>
        <v>0</v>
      </c>
      <c r="E768" s="102">
        <f>IFERROR(VLOOKUP(B768,'02. MM-KLH'!$B$6:$T$823,4,0),"")</f>
        <v>0</v>
      </c>
      <c r="F768" s="124" t="s">
        <v>3569</v>
      </c>
      <c r="G768" s="102" t="str">
        <f>IFERROR(VLOOKUP(B768,'02. MM-KLH'!$B$6:$T$823,6,0),"")</f>
        <v>Máy kéo JD 7810</v>
      </c>
      <c r="H768" s="146" t="s">
        <v>3520</v>
      </c>
      <c r="I768" s="101" t="str">
        <f>IFERROR(VLOOKUP(B768,'02. MM-KLH'!$B$6:$T$823,8,0),"")</f>
        <v>KLH SNOUL</v>
      </c>
      <c r="J768" s="105" t="str">
        <f>IFERROR(VLOOKUP(B768,'02. MM-KLH'!$B$6:$T$823,9,0),"")</f>
        <v>13/06/2025</v>
      </c>
      <c r="K768" s="101">
        <f>IFERROR(VLOOKUP(B768,'02. MM-KLH'!$B$6:$T$823,10,0),"")</f>
        <v>0</v>
      </c>
      <c r="L768" s="107">
        <f>IFERROR(VLOOKUP(B768,'02. MM-KLH'!$B$6:$T$823,11,0),"")</f>
        <v>0</v>
      </c>
      <c r="M768" s="864" t="str">
        <f>IFERROR(VLOOKUP(B768,'02. MM-KLH'!$B$6:$T$823,12,0),"")</f>
        <v>Cho mượn 2 năm hoàn trả</v>
      </c>
      <c r="N768" s="110" t="str">
        <f>IFERROR(VLOOKUP(B768,'02. MM-KLH'!$B$6:$T$823,13,0),"")</f>
        <v>JOHN DEERE</v>
      </c>
      <c r="O768" s="110" t="str">
        <f>IFERROR(VLOOKUP(B768,'02. MM-KLH'!$B$6:$T$823,14,0),"")</f>
        <v>Mỹ</v>
      </c>
      <c r="P768" s="101">
        <f>IFERROR(VLOOKUP(B768,'02. MM-KLH'!$B$6:$T$823,15,0),"")</f>
        <v>1997</v>
      </c>
      <c r="Q768" s="101">
        <f>IFERROR(VLOOKUP(B768,'02. MM-KLH'!$B$6:$T$823,16,0),"")</f>
        <v>7810</v>
      </c>
      <c r="R768" s="101" t="str">
        <f>IFERROR(VLOOKUP(B768,'02. MM-KLH'!$B$6:$T$823,17,0),"")</f>
        <v>155Hp</v>
      </c>
      <c r="S768" s="110" t="str">
        <f>IFERROR(VLOOKUP(B768,'02. MM-KLH'!$B$6:$T$823,18,0),"")</f>
        <v>RW7810P001704</v>
      </c>
      <c r="T768" s="111" t="str">
        <f>IFERROR(VLOOKUP(B768,'02. MM-KLH'!$B$6:$T$823,19,0),"")</f>
        <v>RG6081T011143</v>
      </c>
      <c r="U768" s="863"/>
    </row>
    <row r="769" ht="13.5" customHeight="1" spans="1:21">
      <c r="A769" s="101">
        <f>A407+1</f>
        <v>7</v>
      </c>
      <c r="B769" s="871" t="s">
        <v>3241</v>
      </c>
      <c r="C769" s="872" t="str">
        <f>IFERROR(VLOOKUP(B769,'02. MM-KLH'!$B$6:$T$823,2,0),"")</f>
        <v>92C-14638</v>
      </c>
      <c r="D769" s="103">
        <f>IFERROR(VLOOKUP(B769,'02. MM-KLH'!$B$6:$T$823,3,0),"")</f>
        <v>0</v>
      </c>
      <c r="E769" s="102">
        <f>IFERROR(VLOOKUP(B769,'02. MM-KLH'!$B$6:$T$823,4,0),"")</f>
        <v>0</v>
      </c>
      <c r="F769" s="871"/>
      <c r="G769" s="102" t="str">
        <f>IFERROR(VLOOKUP(B769,'02. MM-KLH'!$B$6:$T$823,6,0),"")</f>
        <v>Xe container FUSO FZ49</v>
      </c>
      <c r="H769" s="101" t="s">
        <v>3420</v>
      </c>
      <c r="I769" s="101">
        <f>IFERROR(VLOOKUP(B769,'02. MM-KLH'!$B$6:$T$823,8,0),"")</f>
        <v>0</v>
      </c>
      <c r="J769" s="105">
        <f>IFERROR(VLOOKUP(B769,'02. MM-KLH'!$B$6:$T$823,9,0),"")</f>
        <v>45940</v>
      </c>
      <c r="K769" s="101">
        <f>IFERROR(VLOOKUP(B769,'02. MM-KLH'!$B$6:$T$823,10,0),"")</f>
        <v>0</v>
      </c>
      <c r="L769" s="107">
        <f>IFERROR(VLOOKUP(B769,'02. MM-KLH'!$B$6:$T$823,11,0),"")</f>
        <v>0</v>
      </c>
      <c r="M769" s="864" t="str">
        <f>IFERROR(VLOOKUP(B769,'02. MM-KLH'!$B$6:$T$823,12,0),"")</f>
        <v>ĐÃ TRẢ LẠI THILOGI</v>
      </c>
      <c r="N769" s="110" t="str">
        <f>IFERROR(VLOOKUP(B769,'02. MM-KLH'!$B$6:$T$823,13,0),"")</f>
        <v>FUSO</v>
      </c>
      <c r="O769" s="110">
        <f>IFERROR(VLOOKUP(B769,'02. MM-KLH'!$B$6:$T$823,14,0),"")</f>
        <v>0</v>
      </c>
      <c r="P769" s="101">
        <f>IFERROR(VLOOKUP(B769,'02. MM-KLH'!$B$6:$T$823,15,0),"")</f>
        <v>0</v>
      </c>
      <c r="Q769" s="101" t="str">
        <f>IFERROR(VLOOKUP(B769,'02. MM-KLH'!$B$6:$T$823,16,0),"")</f>
        <v>FZ49</v>
      </c>
      <c r="R769" s="101" t="str">
        <f>IFERROR(VLOOKUP(B769,'02. MM-KLH'!$B$6:$T$823,17,0),"")</f>
        <v>280HP</v>
      </c>
      <c r="S769" s="110" t="str">
        <f>IFERROR(VLOOKUP(B769,'02. MM-KLH'!$B$6:$T$823,18,0),"")</f>
        <v>MEC2812SCGP028592</v>
      </c>
      <c r="T769" s="111" t="str">
        <f>IFERROR(VLOOKUP(B769,'02. MM-KLH'!$B$6:$T$823,19,0),"")</f>
        <v>400951D0028557</v>
      </c>
      <c r="U769" s="863" t="s">
        <v>451</v>
      </c>
    </row>
    <row r="770" ht="13.5" customHeight="1" spans="1:21">
      <c r="A770" s="101">
        <f>A769+1</f>
        <v>8</v>
      </c>
      <c r="B770" s="871" t="s">
        <v>3246</v>
      </c>
      <c r="C770" s="872" t="str">
        <f>IFERROR(VLOOKUP(B770,'02. MM-KLH'!$B$6:$T$823,2,0),"")</f>
        <v>92C-14670</v>
      </c>
      <c r="D770" s="103">
        <f>IFERROR(VLOOKUP(B770,'02. MM-KLH'!$B$6:$T$823,3,0),"")</f>
        <v>0</v>
      </c>
      <c r="E770" s="102">
        <f>IFERROR(VLOOKUP(B770,'02. MM-KLH'!$B$6:$T$823,4,0),"")</f>
        <v>0</v>
      </c>
      <c r="F770" s="871"/>
      <c r="G770" s="102" t="str">
        <f>IFERROR(VLOOKUP(B770,'02. MM-KLH'!$B$6:$T$823,6,0),"")</f>
        <v>Xe container FUSO FZ49</v>
      </c>
      <c r="H770" s="101" t="s">
        <v>3420</v>
      </c>
      <c r="I770" s="101">
        <f>IFERROR(VLOOKUP(B770,'02. MM-KLH'!$B$6:$T$823,8,0),"")</f>
        <v>0</v>
      </c>
      <c r="J770" s="105">
        <f>IFERROR(VLOOKUP(B770,'02. MM-KLH'!$B$6:$T$823,9,0),"")</f>
        <v>45940</v>
      </c>
      <c r="K770" s="101">
        <f>IFERROR(VLOOKUP(B770,'02. MM-KLH'!$B$6:$T$823,10,0),"")</f>
        <v>0</v>
      </c>
      <c r="L770" s="107">
        <f>IFERROR(VLOOKUP(B770,'02. MM-KLH'!$B$6:$T$823,11,0),"")</f>
        <v>0</v>
      </c>
      <c r="M770" s="864" t="str">
        <f>IFERROR(VLOOKUP(B770,'02. MM-KLH'!$B$6:$T$823,12,0),"")</f>
        <v>ĐÃ TRẢ LẠI THILOGI</v>
      </c>
      <c r="N770" s="110" t="str">
        <f>IFERROR(VLOOKUP(B770,'02. MM-KLH'!$B$6:$T$823,13,0),"")</f>
        <v>FUSO</v>
      </c>
      <c r="O770" s="110">
        <f>IFERROR(VLOOKUP(B770,'02. MM-KLH'!$B$6:$T$823,14,0),"")</f>
        <v>0</v>
      </c>
      <c r="P770" s="101">
        <f>IFERROR(VLOOKUP(B770,'02. MM-KLH'!$B$6:$T$823,15,0),"")</f>
        <v>0</v>
      </c>
      <c r="Q770" s="101" t="str">
        <f>IFERROR(VLOOKUP(B770,'02. MM-KLH'!$B$6:$T$823,16,0),"")</f>
        <v>FZ49</v>
      </c>
      <c r="R770" s="101" t="str">
        <f>IFERROR(VLOOKUP(B770,'02. MM-KLH'!$B$6:$T$823,17,0),"")</f>
        <v>280HP</v>
      </c>
      <c r="S770" s="110" t="str">
        <f>IFERROR(VLOOKUP(B770,'02. MM-KLH'!$B$6:$T$823,18,0),"")</f>
        <v>MEC2812SDGP029269</v>
      </c>
      <c r="T770" s="111" t="str">
        <f>IFERROR(VLOOKUP(B770,'02. MM-KLH'!$B$6:$T$823,19,0),"")</f>
        <v>400951D0029283</v>
      </c>
      <c r="U770" s="863" t="s">
        <v>451</v>
      </c>
    </row>
    <row r="771" ht="13.5" customHeight="1" spans="1:21">
      <c r="A771" s="102"/>
      <c r="B771" s="104"/>
      <c r="C771" s="102"/>
      <c r="D771" s="103" t="str">
        <f>IFERROR(VLOOKUP(B771,'02. MM-KLH'!$B$6:$T$823,3,0),"")</f>
        <v/>
      </c>
      <c r="E771" s="102" t="str">
        <f>IFERROR(VLOOKUP(B771,'02. MM-KLH'!$B$6:$T$823,4,0),"")</f>
        <v/>
      </c>
      <c r="F771" s="226"/>
      <c r="G771" s="102" t="str">
        <f>IFERROR(VLOOKUP(B771,'02. MM-KLH'!$B$6:$T$823,6,0),"")</f>
        <v/>
      </c>
      <c r="H771" s="227"/>
      <c r="I771" s="101" t="str">
        <f>IFERROR(VLOOKUP(B771,'02. MM-KLH'!$B$6:$T$823,8,0),"")</f>
        <v/>
      </c>
      <c r="J771" s="105" t="str">
        <f>IFERROR(VLOOKUP(B771,'02. MM-KLH'!$B$6:$T$823,9,0),"")</f>
        <v/>
      </c>
      <c r="K771" s="101" t="str">
        <f>IFERROR(VLOOKUP(B771,'02. MM-KLH'!$B$6:$T$823,10,0),"")</f>
        <v/>
      </c>
      <c r="L771" s="107" t="str">
        <f>IFERROR(VLOOKUP(B771,'02. MM-KLH'!$B$6:$T$823,11,0),"")</f>
        <v/>
      </c>
      <c r="M771" s="864" t="str">
        <f>IFERROR(VLOOKUP(B771,'02. MM-KLH'!$B$6:$T$823,12,0),"")</f>
        <v/>
      </c>
      <c r="N771" s="110" t="str">
        <f>IFERROR(VLOOKUP(B771,'02. MM-KLH'!$B$6:$T$823,13,0),"")</f>
        <v/>
      </c>
      <c r="O771" s="110" t="str">
        <f>IFERROR(VLOOKUP(B771,'02. MM-KLH'!$B$6:$T$823,14,0),"")</f>
        <v/>
      </c>
      <c r="P771" s="101" t="str">
        <f>IFERROR(VLOOKUP(B771,'02. MM-KLH'!$B$6:$T$823,15,0),"")</f>
        <v/>
      </c>
      <c r="Q771" s="101" t="str">
        <f>IFERROR(VLOOKUP(B771,'02. MM-KLH'!$B$6:$T$823,16,0),"")</f>
        <v/>
      </c>
      <c r="R771" s="101" t="str">
        <f>IFERROR(VLOOKUP(B771,'02. MM-KLH'!$B$6:$T$823,17,0),"")</f>
        <v/>
      </c>
      <c r="S771" s="110" t="str">
        <f>IFERROR(VLOOKUP(B771,'02. MM-KLH'!$B$6:$T$823,18,0),"")</f>
        <v/>
      </c>
      <c r="T771" s="111" t="str">
        <f>IFERROR(VLOOKUP(B771,'02. MM-KLH'!$B$6:$T$823,19,0),"")</f>
        <v/>
      </c>
      <c r="U771" s="863"/>
    </row>
    <row r="772" ht="13.5" customHeight="1" spans="1:21">
      <c r="A772" s="102"/>
      <c r="B772" s="104"/>
      <c r="C772" s="102"/>
      <c r="D772" s="103" t="str">
        <f>IFERROR(VLOOKUP(B772,'02. MM-KLH'!$B$6:$T$823,3,0),"")</f>
        <v/>
      </c>
      <c r="E772" s="102" t="str">
        <f>IFERROR(VLOOKUP(B772,'02. MM-KLH'!$B$6:$T$823,4,0),"")</f>
        <v/>
      </c>
      <c r="F772" s="226"/>
      <c r="G772" s="102" t="str">
        <f>IFERROR(VLOOKUP(B772,'02. MM-KLH'!$B$6:$T$823,6,0),"")</f>
        <v/>
      </c>
      <c r="H772" s="227"/>
      <c r="I772" s="101" t="str">
        <f>IFERROR(VLOOKUP(B772,'02. MM-KLH'!$B$6:$T$823,8,0),"")</f>
        <v/>
      </c>
      <c r="J772" s="105" t="str">
        <f>IFERROR(VLOOKUP(B772,'02. MM-KLH'!$B$6:$T$823,9,0),"")</f>
        <v/>
      </c>
      <c r="K772" s="101" t="str">
        <f>IFERROR(VLOOKUP(B772,'02. MM-KLH'!$B$6:$T$823,10,0),"")</f>
        <v/>
      </c>
      <c r="L772" s="107" t="str">
        <f>IFERROR(VLOOKUP(B772,'02. MM-KLH'!$B$6:$T$823,11,0),"")</f>
        <v/>
      </c>
      <c r="M772" s="864" t="str">
        <f>IFERROR(VLOOKUP(B772,'02. MM-KLH'!$B$6:$T$823,12,0),"")</f>
        <v/>
      </c>
      <c r="N772" s="110" t="str">
        <f>IFERROR(VLOOKUP(B772,'02. MM-KLH'!$B$6:$T$823,13,0),"")</f>
        <v/>
      </c>
      <c r="O772" s="110" t="str">
        <f>IFERROR(VLOOKUP(B772,'02. MM-KLH'!$B$6:$T$823,14,0),"")</f>
        <v/>
      </c>
      <c r="P772" s="101" t="str">
        <f>IFERROR(VLOOKUP(B772,'02. MM-KLH'!$B$6:$T$823,15,0),"")</f>
        <v/>
      </c>
      <c r="Q772" s="101" t="str">
        <f>IFERROR(VLOOKUP(B772,'02. MM-KLH'!$B$6:$T$823,16,0),"")</f>
        <v/>
      </c>
      <c r="R772" s="101" t="str">
        <f>IFERROR(VLOOKUP(B772,'02. MM-KLH'!$B$6:$T$823,17,0),"")</f>
        <v/>
      </c>
      <c r="S772" s="110" t="str">
        <f>IFERROR(VLOOKUP(B772,'02. MM-KLH'!$B$6:$T$823,18,0),"")</f>
        <v/>
      </c>
      <c r="T772" s="111" t="str">
        <f>IFERROR(VLOOKUP(B772,'02. MM-KLH'!$B$6:$T$823,19,0),"")</f>
        <v/>
      </c>
      <c r="U772" s="863"/>
    </row>
    <row r="773" ht="13.5" customHeight="1" spans="1:21">
      <c r="A773" s="102"/>
      <c r="B773" s="104"/>
      <c r="C773" s="102"/>
      <c r="D773" s="103" t="str">
        <f>IFERROR(VLOOKUP(B773,'02. MM-KLH'!$B$6:$T$823,3,0),"")</f>
        <v/>
      </c>
      <c r="E773" s="102" t="str">
        <f>IFERROR(VLOOKUP(B773,'02. MM-KLH'!$B$6:$T$823,4,0),"")</f>
        <v/>
      </c>
      <c r="F773" s="226"/>
      <c r="G773" s="102" t="str">
        <f>IFERROR(VLOOKUP(B773,'02. MM-KLH'!$B$6:$T$823,6,0),"")</f>
        <v/>
      </c>
      <c r="H773" s="227"/>
      <c r="I773" s="101" t="str">
        <f>IFERROR(VLOOKUP(B773,'02. MM-KLH'!$B$6:$T$823,8,0),"")</f>
        <v/>
      </c>
      <c r="J773" s="105" t="str">
        <f>IFERROR(VLOOKUP(B773,'02. MM-KLH'!$B$6:$T$823,9,0),"")</f>
        <v/>
      </c>
      <c r="K773" s="101" t="str">
        <f>IFERROR(VLOOKUP(B773,'02. MM-KLH'!$B$6:$T$823,10,0),"")</f>
        <v/>
      </c>
      <c r="L773" s="107" t="str">
        <f>IFERROR(VLOOKUP(B773,'02. MM-KLH'!$B$6:$T$823,11,0),"")</f>
        <v/>
      </c>
      <c r="M773" s="864" t="str">
        <f>IFERROR(VLOOKUP(B773,'02. MM-KLH'!$B$6:$T$823,12,0),"")</f>
        <v/>
      </c>
      <c r="N773" s="110" t="str">
        <f>IFERROR(VLOOKUP(B773,'02. MM-KLH'!$B$6:$T$823,13,0),"")</f>
        <v/>
      </c>
      <c r="O773" s="110" t="str">
        <f>IFERROR(VLOOKUP(B773,'02. MM-KLH'!$B$6:$T$823,14,0),"")</f>
        <v/>
      </c>
      <c r="P773" s="101" t="str">
        <f>IFERROR(VLOOKUP(B773,'02. MM-KLH'!$B$6:$T$823,15,0),"")</f>
        <v/>
      </c>
      <c r="Q773" s="101" t="str">
        <f>IFERROR(VLOOKUP(B773,'02. MM-KLH'!$B$6:$T$823,16,0),"")</f>
        <v/>
      </c>
      <c r="R773" s="101" t="str">
        <f>IFERROR(VLOOKUP(B773,'02. MM-KLH'!$B$6:$T$823,17,0),"")</f>
        <v/>
      </c>
      <c r="S773" s="110" t="str">
        <f>IFERROR(VLOOKUP(B773,'02. MM-KLH'!$B$6:$T$823,18,0),"")</f>
        <v/>
      </c>
      <c r="T773" s="111" t="str">
        <f>IFERROR(VLOOKUP(B773,'02. MM-KLH'!$B$6:$T$823,19,0),"")</f>
        <v/>
      </c>
      <c r="U773" s="863"/>
    </row>
    <row r="774" ht="13.5" customHeight="1" spans="1:21">
      <c r="A774" s="102"/>
      <c r="B774" s="104"/>
      <c r="C774" s="102"/>
      <c r="D774" s="103" t="str">
        <f>IFERROR(VLOOKUP(B774,'02. MM-KLH'!$B$6:$T$823,3,0),"")</f>
        <v/>
      </c>
      <c r="E774" s="102" t="str">
        <f>IFERROR(VLOOKUP(B774,'02. MM-KLH'!$B$6:$T$823,4,0),"")</f>
        <v/>
      </c>
      <c r="F774" s="226"/>
      <c r="G774" s="102" t="str">
        <f>IFERROR(VLOOKUP(B774,'02. MM-KLH'!$B$6:$T$823,6,0),"")</f>
        <v/>
      </c>
      <c r="H774" s="227"/>
      <c r="I774" s="101" t="str">
        <f>IFERROR(VLOOKUP(B774,'02. MM-KLH'!$B$6:$T$823,8,0),"")</f>
        <v/>
      </c>
      <c r="J774" s="105" t="str">
        <f>IFERROR(VLOOKUP(B774,'02. MM-KLH'!$B$6:$T$823,9,0),"")</f>
        <v/>
      </c>
      <c r="K774" s="101" t="str">
        <f>IFERROR(VLOOKUP(B774,'02. MM-KLH'!$B$6:$T$823,10,0),"")</f>
        <v/>
      </c>
      <c r="L774" s="107" t="str">
        <f>IFERROR(VLOOKUP(B774,'02. MM-KLH'!$B$6:$T$823,11,0),"")</f>
        <v/>
      </c>
      <c r="M774" s="864" t="str">
        <f>IFERROR(VLOOKUP(B774,'02. MM-KLH'!$B$6:$T$823,12,0),"")</f>
        <v/>
      </c>
      <c r="N774" s="110" t="str">
        <f>IFERROR(VLOOKUP(B774,'02. MM-KLH'!$B$6:$T$823,13,0),"")</f>
        <v/>
      </c>
      <c r="O774" s="110" t="str">
        <f>IFERROR(VLOOKUP(B774,'02. MM-KLH'!$B$6:$T$823,14,0),"")</f>
        <v/>
      </c>
      <c r="P774" s="101" t="str">
        <f>IFERROR(VLOOKUP(B774,'02. MM-KLH'!$B$6:$T$823,15,0),"")</f>
        <v/>
      </c>
      <c r="Q774" s="101" t="str">
        <f>IFERROR(VLOOKUP(B774,'02. MM-KLH'!$B$6:$T$823,16,0),"")</f>
        <v/>
      </c>
      <c r="R774" s="101" t="str">
        <f>IFERROR(VLOOKUP(B774,'02. MM-KLH'!$B$6:$T$823,17,0),"")</f>
        <v/>
      </c>
      <c r="S774" s="110" t="str">
        <f>IFERROR(VLOOKUP(B774,'02. MM-KLH'!$B$6:$T$823,18,0),"")</f>
        <v/>
      </c>
      <c r="T774" s="111" t="str">
        <f>IFERROR(VLOOKUP(B774,'02. MM-KLH'!$B$6:$T$823,19,0),"")</f>
        <v/>
      </c>
      <c r="U774" s="863"/>
    </row>
    <row r="775" ht="13.5" customHeight="1" spans="1:21">
      <c r="A775" s="102"/>
      <c r="B775" s="104"/>
      <c r="C775" s="102"/>
      <c r="D775" s="103" t="str">
        <f>IFERROR(VLOOKUP(B775,'02. MM-KLH'!$B$6:$T$823,3,0),"")</f>
        <v/>
      </c>
      <c r="E775" s="102" t="str">
        <f>IFERROR(VLOOKUP(B775,'02. MM-KLH'!$B$6:$T$823,4,0),"")</f>
        <v/>
      </c>
      <c r="F775" s="226"/>
      <c r="G775" s="102" t="str">
        <f>IFERROR(VLOOKUP(B775,'02. MM-KLH'!$B$6:$T$823,6,0),"")</f>
        <v/>
      </c>
      <c r="H775" s="227"/>
      <c r="I775" s="101" t="str">
        <f>IFERROR(VLOOKUP(B775,'02. MM-KLH'!$B$6:$T$823,8,0),"")</f>
        <v/>
      </c>
      <c r="J775" s="105" t="str">
        <f>IFERROR(VLOOKUP(B775,'02. MM-KLH'!$B$6:$T$823,9,0),"")</f>
        <v/>
      </c>
      <c r="K775" s="101" t="str">
        <f>IFERROR(VLOOKUP(B775,'02. MM-KLH'!$B$6:$T$823,10,0),"")</f>
        <v/>
      </c>
      <c r="L775" s="107" t="str">
        <f>IFERROR(VLOOKUP(B775,'02. MM-KLH'!$B$6:$T$823,11,0),"")</f>
        <v/>
      </c>
      <c r="M775" s="864" t="str">
        <f>IFERROR(VLOOKUP(B775,'02. MM-KLH'!$B$6:$T$823,12,0),"")</f>
        <v/>
      </c>
      <c r="N775" s="110" t="str">
        <f>IFERROR(VLOOKUP(B775,'02. MM-KLH'!$B$6:$T$823,13,0),"")</f>
        <v/>
      </c>
      <c r="O775" s="110" t="str">
        <f>IFERROR(VLOOKUP(B775,'02. MM-KLH'!$B$6:$T$823,14,0),"")</f>
        <v/>
      </c>
      <c r="P775" s="101" t="str">
        <f>IFERROR(VLOOKUP(B775,'02. MM-KLH'!$B$6:$T$823,15,0),"")</f>
        <v/>
      </c>
      <c r="Q775" s="101" t="str">
        <f>IFERROR(VLOOKUP(B775,'02. MM-KLH'!$B$6:$T$823,16,0),"")</f>
        <v/>
      </c>
      <c r="R775" s="101" t="str">
        <f>IFERROR(VLOOKUP(B775,'02. MM-KLH'!$B$6:$T$823,17,0),"")</f>
        <v/>
      </c>
      <c r="S775" s="110" t="str">
        <f>IFERROR(VLOOKUP(B775,'02. MM-KLH'!$B$6:$T$823,18,0),"")</f>
        <v/>
      </c>
      <c r="T775" s="111" t="str">
        <f>IFERROR(VLOOKUP(B775,'02. MM-KLH'!$B$6:$T$823,19,0),"")</f>
        <v/>
      </c>
      <c r="U775" s="863"/>
    </row>
    <row r="776" ht="13.5" customHeight="1" spans="1:21">
      <c r="A776" s="102"/>
      <c r="B776" s="104"/>
      <c r="C776" s="102"/>
      <c r="D776" s="103" t="str">
        <f>IFERROR(VLOOKUP(B776,'02. MM-KLH'!$B$6:$T$823,3,0),"")</f>
        <v/>
      </c>
      <c r="E776" s="102" t="str">
        <f>IFERROR(VLOOKUP(B776,'02. MM-KLH'!$B$6:$T$823,4,0),"")</f>
        <v/>
      </c>
      <c r="F776" s="226"/>
      <c r="G776" s="102" t="str">
        <f>IFERROR(VLOOKUP(B776,'02. MM-KLH'!$B$6:$T$823,6,0),"")</f>
        <v/>
      </c>
      <c r="H776" s="227"/>
      <c r="I776" s="101" t="str">
        <f>IFERROR(VLOOKUP(B776,'02. MM-KLH'!$B$6:$T$823,8,0),"")</f>
        <v/>
      </c>
      <c r="J776" s="105" t="str">
        <f>IFERROR(VLOOKUP(B776,'02. MM-KLH'!$B$6:$T$823,9,0),"")</f>
        <v/>
      </c>
      <c r="K776" s="101" t="str">
        <f>IFERROR(VLOOKUP(B776,'02. MM-KLH'!$B$6:$T$823,10,0),"")</f>
        <v/>
      </c>
      <c r="L776" s="107" t="str">
        <f>IFERROR(VLOOKUP(B776,'02. MM-KLH'!$B$6:$T$823,11,0),"")</f>
        <v/>
      </c>
      <c r="M776" s="864" t="str">
        <f>IFERROR(VLOOKUP(B776,'02. MM-KLH'!$B$6:$T$823,12,0),"")</f>
        <v/>
      </c>
      <c r="N776" s="110" t="str">
        <f>IFERROR(VLOOKUP(B776,'02. MM-KLH'!$B$6:$T$823,13,0),"")</f>
        <v/>
      </c>
      <c r="O776" s="110" t="str">
        <f>IFERROR(VLOOKUP(B776,'02. MM-KLH'!$B$6:$T$823,14,0),"")</f>
        <v/>
      </c>
      <c r="P776" s="101" t="str">
        <f>IFERROR(VLOOKUP(B776,'02. MM-KLH'!$B$6:$T$823,15,0),"")</f>
        <v/>
      </c>
      <c r="Q776" s="101" t="str">
        <f>IFERROR(VLOOKUP(B776,'02. MM-KLH'!$B$6:$T$823,16,0),"")</f>
        <v/>
      </c>
      <c r="R776" s="101" t="str">
        <f>IFERROR(VLOOKUP(B776,'02. MM-KLH'!$B$6:$T$823,17,0),"")</f>
        <v/>
      </c>
      <c r="S776" s="110" t="str">
        <f>IFERROR(VLOOKUP(B776,'02. MM-KLH'!$B$6:$T$823,18,0),"")</f>
        <v/>
      </c>
      <c r="T776" s="111" t="str">
        <f>IFERROR(VLOOKUP(B776,'02. MM-KLH'!$B$6:$T$823,19,0),"")</f>
        <v/>
      </c>
      <c r="U776" s="863"/>
    </row>
    <row r="777" ht="13.5" customHeight="1" spans="1:21">
      <c r="A777" s="102"/>
      <c r="B777" s="104"/>
      <c r="C777" s="102"/>
      <c r="D777" s="103" t="str">
        <f>IFERROR(VLOOKUP(B777,'02. MM-KLH'!$B$6:$T$823,3,0),"")</f>
        <v/>
      </c>
      <c r="E777" s="102" t="str">
        <f>IFERROR(VLOOKUP(B777,'02. MM-KLH'!$B$6:$T$823,4,0),"")</f>
        <v/>
      </c>
      <c r="F777" s="226"/>
      <c r="G777" s="102" t="str">
        <f>IFERROR(VLOOKUP(B777,'02. MM-KLH'!$B$6:$T$823,6,0),"")</f>
        <v/>
      </c>
      <c r="H777" s="227"/>
      <c r="I777" s="101" t="str">
        <f>IFERROR(VLOOKUP(B777,'02. MM-KLH'!$B$6:$T$823,8,0),"")</f>
        <v/>
      </c>
      <c r="J777" s="105" t="str">
        <f>IFERROR(VLOOKUP(B777,'02. MM-KLH'!$B$6:$T$823,9,0),"")</f>
        <v/>
      </c>
      <c r="K777" s="101" t="str">
        <f>IFERROR(VLOOKUP(B777,'02. MM-KLH'!$B$6:$T$823,10,0),"")</f>
        <v/>
      </c>
      <c r="L777" s="107" t="str">
        <f>IFERROR(VLOOKUP(B777,'02. MM-KLH'!$B$6:$T$823,11,0),"")</f>
        <v/>
      </c>
      <c r="M777" s="864" t="str">
        <f>IFERROR(VLOOKUP(B777,'02. MM-KLH'!$B$6:$T$823,12,0),"")</f>
        <v/>
      </c>
      <c r="N777" s="110" t="str">
        <f>IFERROR(VLOOKUP(B777,'02. MM-KLH'!$B$6:$T$823,13,0),"")</f>
        <v/>
      </c>
      <c r="O777" s="110" t="str">
        <f>IFERROR(VLOOKUP(B777,'02. MM-KLH'!$B$6:$T$823,14,0),"")</f>
        <v/>
      </c>
      <c r="P777" s="101" t="str">
        <f>IFERROR(VLOOKUP(B777,'02. MM-KLH'!$B$6:$T$823,15,0),"")</f>
        <v/>
      </c>
      <c r="Q777" s="101" t="str">
        <f>IFERROR(VLOOKUP(B777,'02. MM-KLH'!$B$6:$T$823,16,0),"")</f>
        <v/>
      </c>
      <c r="R777" s="101" t="str">
        <f>IFERROR(VLOOKUP(B777,'02. MM-KLH'!$B$6:$T$823,17,0),"")</f>
        <v/>
      </c>
      <c r="S777" s="110" t="str">
        <f>IFERROR(VLOOKUP(B777,'02. MM-KLH'!$B$6:$T$823,18,0),"")</f>
        <v/>
      </c>
      <c r="T777" s="111" t="str">
        <f>IFERROR(VLOOKUP(B777,'02. MM-KLH'!$B$6:$T$823,19,0),"")</f>
        <v/>
      </c>
      <c r="U777" s="863"/>
    </row>
    <row r="778" ht="13.5" customHeight="1" spans="1:21">
      <c r="A778" s="102"/>
      <c r="B778" s="104"/>
      <c r="C778" s="102"/>
      <c r="D778" s="103" t="str">
        <f>IFERROR(VLOOKUP(B778,'02. MM-KLH'!$B$6:$T$823,3,0),"")</f>
        <v/>
      </c>
      <c r="E778" s="102" t="str">
        <f>IFERROR(VLOOKUP(B778,'02. MM-KLH'!$B$6:$T$823,4,0),"")</f>
        <v/>
      </c>
      <c r="F778" s="226"/>
      <c r="G778" s="102" t="str">
        <f>IFERROR(VLOOKUP(B778,'02. MM-KLH'!$B$6:$T$823,6,0),"")</f>
        <v/>
      </c>
      <c r="H778" s="227"/>
      <c r="I778" s="101" t="str">
        <f>IFERROR(VLOOKUP(B778,'02. MM-KLH'!$B$6:$T$823,8,0),"")</f>
        <v/>
      </c>
      <c r="J778" s="105" t="str">
        <f>IFERROR(VLOOKUP(B778,'02. MM-KLH'!$B$6:$T$823,9,0),"")</f>
        <v/>
      </c>
      <c r="K778" s="101" t="str">
        <f>IFERROR(VLOOKUP(B778,'02. MM-KLH'!$B$6:$T$823,10,0),"")</f>
        <v/>
      </c>
      <c r="L778" s="107" t="str">
        <f>IFERROR(VLOOKUP(B778,'02. MM-KLH'!$B$6:$T$823,11,0),"")</f>
        <v/>
      </c>
      <c r="M778" s="864" t="str">
        <f>IFERROR(VLOOKUP(B778,'02. MM-KLH'!$B$6:$T$823,12,0),"")</f>
        <v/>
      </c>
      <c r="N778" s="110" t="str">
        <f>IFERROR(VLOOKUP(B778,'02. MM-KLH'!$B$6:$T$823,13,0),"")</f>
        <v/>
      </c>
      <c r="O778" s="110" t="str">
        <f>IFERROR(VLOOKUP(B778,'02. MM-KLH'!$B$6:$T$823,14,0),"")</f>
        <v/>
      </c>
      <c r="P778" s="101" t="str">
        <f>IFERROR(VLOOKUP(B778,'02. MM-KLH'!$B$6:$T$823,15,0),"")</f>
        <v/>
      </c>
      <c r="Q778" s="101" t="str">
        <f>IFERROR(VLOOKUP(B778,'02. MM-KLH'!$B$6:$T$823,16,0),"")</f>
        <v/>
      </c>
      <c r="R778" s="101" t="str">
        <f>IFERROR(VLOOKUP(B778,'02. MM-KLH'!$B$6:$T$823,17,0),"")</f>
        <v/>
      </c>
      <c r="S778" s="110" t="str">
        <f>IFERROR(VLOOKUP(B778,'02. MM-KLH'!$B$6:$T$823,18,0),"")</f>
        <v/>
      </c>
      <c r="T778" s="111" t="str">
        <f>IFERROR(VLOOKUP(B778,'02. MM-KLH'!$B$6:$T$823,19,0),"")</f>
        <v/>
      </c>
      <c r="U778" s="863"/>
    </row>
    <row r="779" ht="13.5" customHeight="1" spans="1:21">
      <c r="A779" s="102"/>
      <c r="B779" s="104"/>
      <c r="C779" s="102"/>
      <c r="D779" s="103" t="str">
        <f>IFERROR(VLOOKUP(B779,'02. MM-KLH'!$B$6:$T$823,3,0),"")</f>
        <v/>
      </c>
      <c r="E779" s="102" t="str">
        <f>IFERROR(VLOOKUP(B779,'02. MM-KLH'!$B$6:$T$823,4,0),"")</f>
        <v/>
      </c>
      <c r="F779" s="226"/>
      <c r="G779" s="102" t="str">
        <f>IFERROR(VLOOKUP(B779,'02. MM-KLH'!$B$6:$T$823,6,0),"")</f>
        <v/>
      </c>
      <c r="H779" s="227"/>
      <c r="I779" s="101" t="str">
        <f>IFERROR(VLOOKUP(B779,'02. MM-KLH'!$B$6:$T$823,8,0),"")</f>
        <v/>
      </c>
      <c r="J779" s="105" t="str">
        <f>IFERROR(VLOOKUP(B779,'02. MM-KLH'!$B$6:$T$823,9,0),"")</f>
        <v/>
      </c>
      <c r="K779" s="101" t="str">
        <f>IFERROR(VLOOKUP(B779,'02. MM-KLH'!$B$6:$T$823,10,0),"")</f>
        <v/>
      </c>
      <c r="L779" s="107" t="str">
        <f>IFERROR(VLOOKUP(B779,'02. MM-KLH'!$B$6:$T$823,11,0),"")</f>
        <v/>
      </c>
      <c r="M779" s="864" t="str">
        <f>IFERROR(VLOOKUP(B779,'02. MM-KLH'!$B$6:$T$823,12,0),"")</f>
        <v/>
      </c>
      <c r="N779" s="110" t="str">
        <f>IFERROR(VLOOKUP(B779,'02. MM-KLH'!$B$6:$T$823,13,0),"")</f>
        <v/>
      </c>
      <c r="O779" s="110" t="str">
        <f>IFERROR(VLOOKUP(B779,'02. MM-KLH'!$B$6:$T$823,14,0),"")</f>
        <v/>
      </c>
      <c r="P779" s="101" t="str">
        <f>IFERROR(VLOOKUP(B779,'02. MM-KLH'!$B$6:$T$823,15,0),"")</f>
        <v/>
      </c>
      <c r="Q779" s="101" t="str">
        <f>IFERROR(VLOOKUP(B779,'02. MM-KLH'!$B$6:$T$823,16,0),"")</f>
        <v/>
      </c>
      <c r="R779" s="101" t="str">
        <f>IFERROR(VLOOKUP(B779,'02. MM-KLH'!$B$6:$T$823,17,0),"")</f>
        <v/>
      </c>
      <c r="S779" s="110" t="str">
        <f>IFERROR(VLOOKUP(B779,'02. MM-KLH'!$B$6:$T$823,18,0),"")</f>
        <v/>
      </c>
      <c r="T779" s="111" t="str">
        <f>IFERROR(VLOOKUP(B779,'02. MM-KLH'!$B$6:$T$823,19,0),"")</f>
        <v/>
      </c>
      <c r="U779" s="863"/>
    </row>
    <row r="780" ht="13.5" customHeight="1" spans="1:21">
      <c r="A780" s="102"/>
      <c r="B780" s="104"/>
      <c r="C780" s="102"/>
      <c r="D780" s="103" t="str">
        <f>IFERROR(VLOOKUP(B780,'02. MM-KLH'!$B$6:$T$823,3,0),"")</f>
        <v/>
      </c>
      <c r="E780" s="102" t="str">
        <f>IFERROR(VLOOKUP(B780,'02. MM-KLH'!$B$6:$T$823,4,0),"")</f>
        <v/>
      </c>
      <c r="F780" s="226"/>
      <c r="G780" s="102" t="str">
        <f>IFERROR(VLOOKUP(B780,'02. MM-KLH'!$B$6:$T$823,6,0),"")</f>
        <v/>
      </c>
      <c r="H780" s="227"/>
      <c r="I780" s="101" t="str">
        <f>IFERROR(VLOOKUP(B780,'02. MM-KLH'!$B$6:$T$823,8,0),"")</f>
        <v/>
      </c>
      <c r="J780" s="105" t="str">
        <f>IFERROR(VLOOKUP(B780,'02. MM-KLH'!$B$6:$T$823,9,0),"")</f>
        <v/>
      </c>
      <c r="K780" s="101" t="str">
        <f>IFERROR(VLOOKUP(B780,'02. MM-KLH'!$B$6:$T$823,10,0),"")</f>
        <v/>
      </c>
      <c r="L780" s="107" t="str">
        <f>IFERROR(VLOOKUP(B780,'02. MM-KLH'!$B$6:$T$823,11,0),"")</f>
        <v/>
      </c>
      <c r="M780" s="864" t="str">
        <f>IFERROR(VLOOKUP(B780,'02. MM-KLH'!$B$6:$T$823,12,0),"")</f>
        <v/>
      </c>
      <c r="N780" s="110" t="str">
        <f>IFERROR(VLOOKUP(B780,'02. MM-KLH'!$B$6:$T$823,13,0),"")</f>
        <v/>
      </c>
      <c r="O780" s="110" t="str">
        <f>IFERROR(VLOOKUP(B780,'02. MM-KLH'!$B$6:$T$823,14,0),"")</f>
        <v/>
      </c>
      <c r="P780" s="101" t="str">
        <f>IFERROR(VLOOKUP(B780,'02. MM-KLH'!$B$6:$T$823,15,0),"")</f>
        <v/>
      </c>
      <c r="Q780" s="101" t="str">
        <f>IFERROR(VLOOKUP(B780,'02. MM-KLH'!$B$6:$T$823,16,0),"")</f>
        <v/>
      </c>
      <c r="R780" s="101" t="str">
        <f>IFERROR(VLOOKUP(B780,'02. MM-KLH'!$B$6:$T$823,17,0),"")</f>
        <v/>
      </c>
      <c r="S780" s="110" t="str">
        <f>IFERROR(VLOOKUP(B780,'02. MM-KLH'!$B$6:$T$823,18,0),"")</f>
        <v/>
      </c>
      <c r="T780" s="111" t="str">
        <f>IFERROR(VLOOKUP(B780,'02. MM-KLH'!$B$6:$T$823,19,0),"")</f>
        <v/>
      </c>
      <c r="U780" s="863"/>
    </row>
    <row r="781" ht="13.5" customHeight="1" spans="1:21">
      <c r="A781" s="102"/>
      <c r="B781" s="104"/>
      <c r="C781" s="102"/>
      <c r="D781" s="103" t="str">
        <f>IFERROR(VLOOKUP(B781,'02. MM-KLH'!$B$6:$T$823,3,0),"")</f>
        <v/>
      </c>
      <c r="E781" s="102" t="str">
        <f>IFERROR(VLOOKUP(B781,'02. MM-KLH'!$B$6:$T$823,4,0),"")</f>
        <v/>
      </c>
      <c r="F781" s="226"/>
      <c r="G781" s="102" t="str">
        <f>IFERROR(VLOOKUP(B781,'02. MM-KLH'!$B$6:$T$823,6,0),"")</f>
        <v/>
      </c>
      <c r="H781" s="227"/>
      <c r="I781" s="101" t="str">
        <f>IFERROR(VLOOKUP(B781,'02. MM-KLH'!$B$6:$T$823,8,0),"")</f>
        <v/>
      </c>
      <c r="J781" s="105" t="str">
        <f>IFERROR(VLOOKUP(B781,'02. MM-KLH'!$B$6:$T$823,9,0),"")</f>
        <v/>
      </c>
      <c r="K781" s="101" t="str">
        <f>IFERROR(VLOOKUP(B781,'02. MM-KLH'!$B$6:$T$823,10,0),"")</f>
        <v/>
      </c>
      <c r="L781" s="107" t="str">
        <f>IFERROR(VLOOKUP(B781,'02. MM-KLH'!$B$6:$T$823,11,0),"")</f>
        <v/>
      </c>
      <c r="M781" s="864" t="str">
        <f>IFERROR(VLOOKUP(B781,'02. MM-KLH'!$B$6:$T$823,12,0),"")</f>
        <v/>
      </c>
      <c r="N781" s="110" t="str">
        <f>IFERROR(VLOOKUP(B781,'02. MM-KLH'!$B$6:$T$823,13,0),"")</f>
        <v/>
      </c>
      <c r="O781" s="110" t="str">
        <f>IFERROR(VLOOKUP(B781,'02. MM-KLH'!$B$6:$T$823,14,0),"")</f>
        <v/>
      </c>
      <c r="P781" s="101" t="str">
        <f>IFERROR(VLOOKUP(B781,'02. MM-KLH'!$B$6:$T$823,15,0),"")</f>
        <v/>
      </c>
      <c r="Q781" s="101" t="str">
        <f>IFERROR(VLOOKUP(B781,'02. MM-KLH'!$B$6:$T$823,16,0),"")</f>
        <v/>
      </c>
      <c r="R781" s="101" t="str">
        <f>IFERROR(VLOOKUP(B781,'02. MM-KLH'!$B$6:$T$823,17,0),"")</f>
        <v/>
      </c>
      <c r="S781" s="110" t="str">
        <f>IFERROR(VLOOKUP(B781,'02. MM-KLH'!$B$6:$T$823,18,0),"")</f>
        <v/>
      </c>
      <c r="T781" s="111" t="str">
        <f>IFERROR(VLOOKUP(B781,'02. MM-KLH'!$B$6:$T$823,19,0),"")</f>
        <v/>
      </c>
      <c r="U781" s="863"/>
    </row>
    <row r="782" ht="13.5" customHeight="1" spans="1:21">
      <c r="A782" s="102"/>
      <c r="B782" s="104"/>
      <c r="C782" s="102"/>
      <c r="D782" s="103" t="str">
        <f>IFERROR(VLOOKUP(B782,'02. MM-KLH'!$B$6:$T$823,3,0),"")</f>
        <v/>
      </c>
      <c r="E782" s="102" t="str">
        <f>IFERROR(VLOOKUP(B782,'02. MM-KLH'!$B$6:$T$823,4,0),"")</f>
        <v/>
      </c>
      <c r="F782" s="226"/>
      <c r="G782" s="102" t="str">
        <f>IFERROR(VLOOKUP(B782,'02. MM-KLH'!$B$6:$T$823,6,0),"")</f>
        <v/>
      </c>
      <c r="H782" s="227"/>
      <c r="I782" s="101" t="str">
        <f>IFERROR(VLOOKUP(B782,'02. MM-KLH'!$B$6:$T$823,8,0),"")</f>
        <v/>
      </c>
      <c r="J782" s="105" t="str">
        <f>IFERROR(VLOOKUP(B782,'02. MM-KLH'!$B$6:$T$823,9,0),"")</f>
        <v/>
      </c>
      <c r="K782" s="101" t="str">
        <f>IFERROR(VLOOKUP(B782,'02. MM-KLH'!$B$6:$T$823,10,0),"")</f>
        <v/>
      </c>
      <c r="L782" s="107" t="str">
        <f>IFERROR(VLOOKUP(B782,'02. MM-KLH'!$B$6:$T$823,11,0),"")</f>
        <v/>
      </c>
      <c r="M782" s="864" t="str">
        <f>IFERROR(VLOOKUP(B782,'02. MM-KLH'!$B$6:$T$823,12,0),"")</f>
        <v/>
      </c>
      <c r="N782" s="110" t="str">
        <f>IFERROR(VLOOKUP(B782,'02. MM-KLH'!$B$6:$T$823,13,0),"")</f>
        <v/>
      </c>
      <c r="O782" s="110" t="str">
        <f>IFERROR(VLOOKUP(B782,'02. MM-KLH'!$B$6:$T$823,14,0),"")</f>
        <v/>
      </c>
      <c r="P782" s="101" t="str">
        <f>IFERROR(VLOOKUP(B782,'02. MM-KLH'!$B$6:$T$823,15,0),"")</f>
        <v/>
      </c>
      <c r="Q782" s="101" t="str">
        <f>IFERROR(VLOOKUP(B782,'02. MM-KLH'!$B$6:$T$823,16,0),"")</f>
        <v/>
      </c>
      <c r="R782" s="101" t="str">
        <f>IFERROR(VLOOKUP(B782,'02. MM-KLH'!$B$6:$T$823,17,0),"")</f>
        <v/>
      </c>
      <c r="S782" s="110" t="str">
        <f>IFERROR(VLOOKUP(B782,'02. MM-KLH'!$B$6:$T$823,18,0),"")</f>
        <v/>
      </c>
      <c r="T782" s="111" t="str">
        <f>IFERROR(VLOOKUP(B782,'02. MM-KLH'!$B$6:$T$823,19,0),"")</f>
        <v/>
      </c>
      <c r="U782" s="863"/>
    </row>
    <row r="783" ht="13.5" customHeight="1" spans="1:21">
      <c r="A783" s="102"/>
      <c r="B783" s="104"/>
      <c r="C783" s="102"/>
      <c r="D783" s="103" t="str">
        <f>IFERROR(VLOOKUP(B783,'02. MM-KLH'!$B$6:$T$823,3,0),"")</f>
        <v/>
      </c>
      <c r="E783" s="102" t="str">
        <f>IFERROR(VLOOKUP(B783,'02. MM-KLH'!$B$6:$T$823,4,0),"")</f>
        <v/>
      </c>
      <c r="F783" s="226"/>
      <c r="G783" s="102" t="str">
        <f>IFERROR(VLOOKUP(B783,'02. MM-KLH'!$B$6:$T$823,6,0),"")</f>
        <v/>
      </c>
      <c r="H783" s="227"/>
      <c r="I783" s="101" t="str">
        <f>IFERROR(VLOOKUP(B783,'02. MM-KLH'!$B$6:$T$823,8,0),"")</f>
        <v/>
      </c>
      <c r="J783" s="105" t="str">
        <f>IFERROR(VLOOKUP(B783,'02. MM-KLH'!$B$6:$T$823,9,0),"")</f>
        <v/>
      </c>
      <c r="K783" s="101" t="str">
        <f>IFERROR(VLOOKUP(B783,'02. MM-KLH'!$B$6:$T$823,10,0),"")</f>
        <v/>
      </c>
      <c r="L783" s="107" t="str">
        <f>IFERROR(VLOOKUP(B783,'02. MM-KLH'!$B$6:$T$823,11,0),"")</f>
        <v/>
      </c>
      <c r="M783" s="864" t="str">
        <f>IFERROR(VLOOKUP(B783,'02. MM-KLH'!$B$6:$T$823,12,0),"")</f>
        <v/>
      </c>
      <c r="N783" s="110" t="str">
        <f>IFERROR(VLOOKUP(B783,'02. MM-KLH'!$B$6:$T$823,13,0),"")</f>
        <v/>
      </c>
      <c r="O783" s="110" t="str">
        <f>IFERROR(VLOOKUP(B783,'02. MM-KLH'!$B$6:$T$823,14,0),"")</f>
        <v/>
      </c>
      <c r="P783" s="101" t="str">
        <f>IFERROR(VLOOKUP(B783,'02. MM-KLH'!$B$6:$T$823,15,0),"")</f>
        <v/>
      </c>
      <c r="Q783" s="101" t="str">
        <f>IFERROR(VLOOKUP(B783,'02. MM-KLH'!$B$6:$T$823,16,0),"")</f>
        <v/>
      </c>
      <c r="R783" s="101" t="str">
        <f>IFERROR(VLOOKUP(B783,'02. MM-KLH'!$B$6:$T$823,17,0),"")</f>
        <v/>
      </c>
      <c r="S783" s="110" t="str">
        <f>IFERROR(VLOOKUP(B783,'02. MM-KLH'!$B$6:$T$823,18,0),"")</f>
        <v/>
      </c>
      <c r="T783" s="111" t="str">
        <f>IFERROR(VLOOKUP(B783,'02. MM-KLH'!$B$6:$T$823,19,0),"")</f>
        <v/>
      </c>
      <c r="U783" s="863"/>
    </row>
    <row r="784" ht="13.5" customHeight="1" spans="1:21">
      <c r="A784" s="102"/>
      <c r="B784" s="104"/>
      <c r="C784" s="102"/>
      <c r="D784" s="103" t="str">
        <f>IFERROR(VLOOKUP(B784,'02. MM-KLH'!$B$6:$T$823,3,0),"")</f>
        <v/>
      </c>
      <c r="E784" s="102" t="str">
        <f>IFERROR(VLOOKUP(B784,'02. MM-KLH'!$B$6:$T$823,4,0),"")</f>
        <v/>
      </c>
      <c r="F784" s="226"/>
      <c r="G784" s="102" t="str">
        <f>IFERROR(VLOOKUP(B784,'02. MM-KLH'!$B$6:$T$823,6,0),"")</f>
        <v/>
      </c>
      <c r="H784" s="227"/>
      <c r="I784" s="101" t="str">
        <f>IFERROR(VLOOKUP(B784,'02. MM-KLH'!$B$6:$T$823,8,0),"")</f>
        <v/>
      </c>
      <c r="J784" s="105" t="str">
        <f>IFERROR(VLOOKUP(B784,'02. MM-KLH'!$B$6:$T$823,9,0),"")</f>
        <v/>
      </c>
      <c r="K784" s="101" t="str">
        <f>IFERROR(VLOOKUP(B784,'02. MM-KLH'!$B$6:$T$823,10,0),"")</f>
        <v/>
      </c>
      <c r="L784" s="107" t="str">
        <f>IFERROR(VLOOKUP(B784,'02. MM-KLH'!$B$6:$T$823,11,0),"")</f>
        <v/>
      </c>
      <c r="M784" s="864" t="str">
        <f>IFERROR(VLOOKUP(B784,'02. MM-KLH'!$B$6:$T$823,12,0),"")</f>
        <v/>
      </c>
      <c r="N784" s="110" t="str">
        <f>IFERROR(VLOOKUP(B784,'02. MM-KLH'!$B$6:$T$823,13,0),"")</f>
        <v/>
      </c>
      <c r="O784" s="110" t="str">
        <f>IFERROR(VLOOKUP(B784,'02. MM-KLH'!$B$6:$T$823,14,0),"")</f>
        <v/>
      </c>
      <c r="P784" s="101" t="str">
        <f>IFERROR(VLOOKUP(B784,'02. MM-KLH'!$B$6:$T$823,15,0),"")</f>
        <v/>
      </c>
      <c r="Q784" s="101" t="str">
        <f>IFERROR(VLOOKUP(B784,'02. MM-KLH'!$B$6:$T$823,16,0),"")</f>
        <v/>
      </c>
      <c r="R784" s="101" t="str">
        <f>IFERROR(VLOOKUP(B784,'02. MM-KLH'!$B$6:$T$823,17,0),"")</f>
        <v/>
      </c>
      <c r="S784" s="110" t="str">
        <f>IFERROR(VLOOKUP(B784,'02. MM-KLH'!$B$6:$T$823,18,0),"")</f>
        <v/>
      </c>
      <c r="T784" s="111" t="str">
        <f>IFERROR(VLOOKUP(B784,'02. MM-KLH'!$B$6:$T$823,19,0),"")</f>
        <v/>
      </c>
      <c r="U784" s="863"/>
    </row>
    <row r="785" ht="13.5" customHeight="1" spans="1:21">
      <c r="A785" s="102"/>
      <c r="B785" s="104"/>
      <c r="C785" s="102"/>
      <c r="D785" s="103" t="str">
        <f>IFERROR(VLOOKUP(B785,'02. MM-KLH'!$B$6:$T$823,3,0),"")</f>
        <v/>
      </c>
      <c r="E785" s="102" t="str">
        <f>IFERROR(VLOOKUP(B785,'02. MM-KLH'!$B$6:$T$823,4,0),"")</f>
        <v/>
      </c>
      <c r="F785" s="226"/>
      <c r="G785" s="102" t="str">
        <f>IFERROR(VLOOKUP(B785,'02. MM-KLH'!$B$6:$T$823,6,0),"")</f>
        <v/>
      </c>
      <c r="H785" s="227"/>
      <c r="I785" s="101" t="str">
        <f>IFERROR(VLOOKUP(B785,'02. MM-KLH'!$B$6:$T$823,8,0),"")</f>
        <v/>
      </c>
      <c r="J785" s="105" t="str">
        <f>IFERROR(VLOOKUP(B785,'02. MM-KLH'!$B$6:$T$823,9,0),"")</f>
        <v/>
      </c>
      <c r="K785" s="101" t="str">
        <f>IFERROR(VLOOKUP(B785,'02. MM-KLH'!$B$6:$T$823,10,0),"")</f>
        <v/>
      </c>
      <c r="L785" s="107" t="str">
        <f>IFERROR(VLOOKUP(B785,'02. MM-KLH'!$B$6:$T$823,11,0),"")</f>
        <v/>
      </c>
      <c r="M785" s="864" t="str">
        <f>IFERROR(VLOOKUP(B785,'02. MM-KLH'!$B$6:$T$823,12,0),"")</f>
        <v/>
      </c>
      <c r="N785" s="110" t="str">
        <f>IFERROR(VLOOKUP(B785,'02. MM-KLH'!$B$6:$T$823,13,0),"")</f>
        <v/>
      </c>
      <c r="O785" s="110" t="str">
        <f>IFERROR(VLOOKUP(B785,'02. MM-KLH'!$B$6:$T$823,14,0),"")</f>
        <v/>
      </c>
      <c r="P785" s="101" t="str">
        <f>IFERROR(VLOOKUP(B785,'02. MM-KLH'!$B$6:$T$823,15,0),"")</f>
        <v/>
      </c>
      <c r="Q785" s="101" t="str">
        <f>IFERROR(VLOOKUP(B785,'02. MM-KLH'!$B$6:$T$823,16,0),"")</f>
        <v/>
      </c>
      <c r="R785" s="101" t="str">
        <f>IFERROR(VLOOKUP(B785,'02. MM-KLH'!$B$6:$T$823,17,0),"")</f>
        <v/>
      </c>
      <c r="S785" s="110" t="str">
        <f>IFERROR(VLOOKUP(B785,'02. MM-KLH'!$B$6:$T$823,18,0),"")</f>
        <v/>
      </c>
      <c r="T785" s="111" t="str">
        <f>IFERROR(VLOOKUP(B785,'02. MM-KLH'!$B$6:$T$823,19,0),"")</f>
        <v/>
      </c>
      <c r="U785" s="863"/>
    </row>
    <row r="786" ht="13.5" customHeight="1" spans="1:21">
      <c r="A786" s="102"/>
      <c r="B786" s="104"/>
      <c r="C786" s="102"/>
      <c r="D786" s="103" t="str">
        <f>IFERROR(VLOOKUP(B786,'02. MM-KLH'!$B$6:$T$823,3,0),"")</f>
        <v/>
      </c>
      <c r="E786" s="102" t="str">
        <f>IFERROR(VLOOKUP(B786,'02. MM-KLH'!$B$6:$T$823,4,0),"")</f>
        <v/>
      </c>
      <c r="F786" s="226"/>
      <c r="G786" s="102" t="str">
        <f>IFERROR(VLOOKUP(B786,'02. MM-KLH'!$B$6:$T$823,6,0),"")</f>
        <v/>
      </c>
      <c r="H786" s="227"/>
      <c r="I786" s="101" t="str">
        <f>IFERROR(VLOOKUP(B786,'02. MM-KLH'!$B$6:$T$823,8,0),"")</f>
        <v/>
      </c>
      <c r="J786" s="105" t="str">
        <f>IFERROR(VLOOKUP(B786,'02. MM-KLH'!$B$6:$T$823,9,0),"")</f>
        <v/>
      </c>
      <c r="K786" s="101" t="str">
        <f>IFERROR(VLOOKUP(B786,'02. MM-KLH'!$B$6:$T$823,10,0),"")</f>
        <v/>
      </c>
      <c r="L786" s="107" t="str">
        <f>IFERROR(VLOOKUP(B786,'02. MM-KLH'!$B$6:$T$823,11,0),"")</f>
        <v/>
      </c>
      <c r="M786" s="864" t="str">
        <f>IFERROR(VLOOKUP(B786,'02. MM-KLH'!$B$6:$T$823,12,0),"")</f>
        <v/>
      </c>
      <c r="N786" s="110" t="str">
        <f>IFERROR(VLOOKUP(B786,'02. MM-KLH'!$B$6:$T$823,13,0),"")</f>
        <v/>
      </c>
      <c r="O786" s="110" t="str">
        <f>IFERROR(VLOOKUP(B786,'02. MM-KLH'!$B$6:$T$823,14,0),"")</f>
        <v/>
      </c>
      <c r="P786" s="101" t="str">
        <f>IFERROR(VLOOKUP(B786,'02. MM-KLH'!$B$6:$T$823,15,0),"")</f>
        <v/>
      </c>
      <c r="Q786" s="101" t="str">
        <f>IFERROR(VLOOKUP(B786,'02. MM-KLH'!$B$6:$T$823,16,0),"")</f>
        <v/>
      </c>
      <c r="R786" s="101" t="str">
        <f>IFERROR(VLOOKUP(B786,'02. MM-KLH'!$B$6:$T$823,17,0),"")</f>
        <v/>
      </c>
      <c r="S786" s="110" t="str">
        <f>IFERROR(VLOOKUP(B786,'02. MM-KLH'!$B$6:$T$823,18,0),"")</f>
        <v/>
      </c>
      <c r="T786" s="111" t="str">
        <f>IFERROR(VLOOKUP(B786,'02. MM-KLH'!$B$6:$T$823,19,0),"")</f>
        <v/>
      </c>
      <c r="U786" s="863"/>
    </row>
    <row r="787" ht="13.5" customHeight="1" spans="1:21">
      <c r="A787" s="102"/>
      <c r="B787" s="104"/>
      <c r="C787" s="102"/>
      <c r="D787" s="103" t="str">
        <f>IFERROR(VLOOKUP(B787,'02. MM-KLH'!$B$6:$T$823,3,0),"")</f>
        <v/>
      </c>
      <c r="E787" s="102" t="str">
        <f>IFERROR(VLOOKUP(B787,'02. MM-KLH'!$B$6:$T$823,4,0),"")</f>
        <v/>
      </c>
      <c r="F787" s="226"/>
      <c r="G787" s="102" t="str">
        <f>IFERROR(VLOOKUP(B787,'02. MM-KLH'!$B$6:$T$823,6,0),"")</f>
        <v/>
      </c>
      <c r="H787" s="227"/>
      <c r="I787" s="101" t="str">
        <f>IFERROR(VLOOKUP(B787,'02. MM-KLH'!$B$6:$T$823,8,0),"")</f>
        <v/>
      </c>
      <c r="J787" s="105" t="str">
        <f>IFERROR(VLOOKUP(B787,'02. MM-KLH'!$B$6:$T$823,9,0),"")</f>
        <v/>
      </c>
      <c r="K787" s="101" t="str">
        <f>IFERROR(VLOOKUP(B787,'02. MM-KLH'!$B$6:$T$823,10,0),"")</f>
        <v/>
      </c>
      <c r="L787" s="107" t="str">
        <f>IFERROR(VLOOKUP(B787,'02. MM-KLH'!$B$6:$T$823,11,0),"")</f>
        <v/>
      </c>
      <c r="M787" s="864" t="str">
        <f>IFERROR(VLOOKUP(B787,'02. MM-KLH'!$B$6:$T$823,12,0),"")</f>
        <v/>
      </c>
      <c r="N787" s="110" t="str">
        <f>IFERROR(VLOOKUP(B787,'02. MM-KLH'!$B$6:$T$823,13,0),"")</f>
        <v/>
      </c>
      <c r="O787" s="110" t="str">
        <f>IFERROR(VLOOKUP(B787,'02. MM-KLH'!$B$6:$T$823,14,0),"")</f>
        <v/>
      </c>
      <c r="P787" s="101" t="str">
        <f>IFERROR(VLOOKUP(B787,'02. MM-KLH'!$B$6:$T$823,15,0),"")</f>
        <v/>
      </c>
      <c r="Q787" s="101" t="str">
        <f>IFERROR(VLOOKUP(B787,'02. MM-KLH'!$B$6:$T$823,16,0),"")</f>
        <v/>
      </c>
      <c r="R787" s="101" t="str">
        <f>IFERROR(VLOOKUP(B787,'02. MM-KLH'!$B$6:$T$823,17,0),"")</f>
        <v/>
      </c>
      <c r="S787" s="110" t="str">
        <f>IFERROR(VLOOKUP(B787,'02. MM-KLH'!$B$6:$T$823,18,0),"")</f>
        <v/>
      </c>
      <c r="T787" s="111" t="str">
        <f>IFERROR(VLOOKUP(B787,'02. MM-KLH'!$B$6:$T$823,19,0),"")</f>
        <v/>
      </c>
      <c r="U787" s="863"/>
    </row>
    <row r="788" ht="13.5" customHeight="1" spans="1:21">
      <c r="A788" s="102"/>
      <c r="B788" s="104"/>
      <c r="C788" s="102"/>
      <c r="D788" s="103" t="str">
        <f>IFERROR(VLOOKUP(B788,'02. MM-KLH'!$B$6:$T$823,3,0),"")</f>
        <v/>
      </c>
      <c r="E788" s="102" t="str">
        <f>IFERROR(VLOOKUP(B788,'02. MM-KLH'!$B$6:$T$823,4,0),"")</f>
        <v/>
      </c>
      <c r="F788" s="226"/>
      <c r="G788" s="102" t="str">
        <f>IFERROR(VLOOKUP(B788,'02. MM-KLH'!$B$6:$T$823,6,0),"")</f>
        <v/>
      </c>
      <c r="H788" s="227"/>
      <c r="I788" s="101" t="str">
        <f>IFERROR(VLOOKUP(B788,'02. MM-KLH'!$B$6:$T$823,8,0),"")</f>
        <v/>
      </c>
      <c r="J788" s="105" t="str">
        <f>IFERROR(VLOOKUP(B788,'02. MM-KLH'!$B$6:$T$823,9,0),"")</f>
        <v/>
      </c>
      <c r="K788" s="101" t="str">
        <f>IFERROR(VLOOKUP(B788,'02. MM-KLH'!$B$6:$T$823,10,0),"")</f>
        <v/>
      </c>
      <c r="L788" s="107" t="str">
        <f>IFERROR(VLOOKUP(B788,'02. MM-KLH'!$B$6:$T$823,11,0),"")</f>
        <v/>
      </c>
      <c r="M788" s="864" t="str">
        <f>IFERROR(VLOOKUP(B788,'02. MM-KLH'!$B$6:$T$823,12,0),"")</f>
        <v/>
      </c>
      <c r="N788" s="110" t="str">
        <f>IFERROR(VLOOKUP(B788,'02. MM-KLH'!$B$6:$T$823,13,0),"")</f>
        <v/>
      </c>
      <c r="O788" s="110" t="str">
        <f>IFERROR(VLOOKUP(B788,'02. MM-KLH'!$B$6:$T$823,14,0),"")</f>
        <v/>
      </c>
      <c r="P788" s="101" t="str">
        <f>IFERROR(VLOOKUP(B788,'02. MM-KLH'!$B$6:$T$823,15,0),"")</f>
        <v/>
      </c>
      <c r="Q788" s="101" t="str">
        <f>IFERROR(VLOOKUP(B788,'02. MM-KLH'!$B$6:$T$823,16,0),"")</f>
        <v/>
      </c>
      <c r="R788" s="101" t="str">
        <f>IFERROR(VLOOKUP(B788,'02. MM-KLH'!$B$6:$T$823,17,0),"")</f>
        <v/>
      </c>
      <c r="S788" s="110" t="str">
        <f>IFERROR(VLOOKUP(B788,'02. MM-KLH'!$B$6:$T$823,18,0),"")</f>
        <v/>
      </c>
      <c r="T788" s="111" t="str">
        <f>IFERROR(VLOOKUP(B788,'02. MM-KLH'!$B$6:$T$823,19,0),"")</f>
        <v/>
      </c>
      <c r="U788" s="863"/>
    </row>
    <row r="789" ht="13.5" customHeight="1" spans="1:21">
      <c r="A789" s="102"/>
      <c r="B789" s="104"/>
      <c r="C789" s="102"/>
      <c r="D789" s="103" t="str">
        <f>IFERROR(VLOOKUP(B789,'02. MM-KLH'!$B$6:$T$823,3,0),"")</f>
        <v/>
      </c>
      <c r="E789" s="102" t="str">
        <f>IFERROR(VLOOKUP(B789,'02. MM-KLH'!$B$6:$T$823,4,0),"")</f>
        <v/>
      </c>
      <c r="F789" s="226"/>
      <c r="G789" s="102" t="str">
        <f>IFERROR(VLOOKUP(B789,'02. MM-KLH'!$B$6:$T$823,6,0),"")</f>
        <v/>
      </c>
      <c r="H789" s="227"/>
      <c r="I789" s="101" t="str">
        <f>IFERROR(VLOOKUP(B789,'02. MM-KLH'!$B$6:$T$823,8,0),"")</f>
        <v/>
      </c>
      <c r="J789" s="105" t="str">
        <f>IFERROR(VLOOKUP(B789,'02. MM-KLH'!$B$6:$T$823,9,0),"")</f>
        <v/>
      </c>
      <c r="K789" s="101" t="str">
        <f>IFERROR(VLOOKUP(B789,'02. MM-KLH'!$B$6:$T$823,10,0),"")</f>
        <v/>
      </c>
      <c r="L789" s="107" t="str">
        <f>IFERROR(VLOOKUP(B789,'02. MM-KLH'!$B$6:$T$823,11,0),"")</f>
        <v/>
      </c>
      <c r="M789" s="864" t="str">
        <f>IFERROR(VLOOKUP(B789,'02. MM-KLH'!$B$6:$T$823,12,0),"")</f>
        <v/>
      </c>
      <c r="N789" s="110" t="str">
        <f>IFERROR(VLOOKUP(B789,'02. MM-KLH'!$B$6:$T$823,13,0),"")</f>
        <v/>
      </c>
      <c r="O789" s="110" t="str">
        <f>IFERROR(VLOOKUP(B789,'02. MM-KLH'!$B$6:$T$823,14,0),"")</f>
        <v/>
      </c>
      <c r="P789" s="101" t="str">
        <f>IFERROR(VLOOKUP(B789,'02. MM-KLH'!$B$6:$T$823,15,0),"")</f>
        <v/>
      </c>
      <c r="Q789" s="101" t="str">
        <f>IFERROR(VLOOKUP(B789,'02. MM-KLH'!$B$6:$T$823,16,0),"")</f>
        <v/>
      </c>
      <c r="R789" s="101" t="str">
        <f>IFERROR(VLOOKUP(B789,'02. MM-KLH'!$B$6:$T$823,17,0),"")</f>
        <v/>
      </c>
      <c r="S789" s="110" t="str">
        <f>IFERROR(VLOOKUP(B789,'02. MM-KLH'!$B$6:$T$823,18,0),"")</f>
        <v/>
      </c>
      <c r="T789" s="111" t="str">
        <f>IFERROR(VLOOKUP(B789,'02. MM-KLH'!$B$6:$T$823,19,0),"")</f>
        <v/>
      </c>
      <c r="U789" s="863"/>
    </row>
    <row r="790" ht="13.5" customHeight="1" spans="1:21">
      <c r="A790" s="102"/>
      <c r="B790" s="104"/>
      <c r="C790" s="102"/>
      <c r="D790" s="103" t="str">
        <f>IFERROR(VLOOKUP(B790,'02. MM-KLH'!$B$6:$T$823,3,0),"")</f>
        <v/>
      </c>
      <c r="E790" s="102" t="str">
        <f>IFERROR(VLOOKUP(B790,'02. MM-KLH'!$B$6:$T$823,4,0),"")</f>
        <v/>
      </c>
      <c r="F790" s="226"/>
      <c r="G790" s="102" t="str">
        <f>IFERROR(VLOOKUP(B790,'02. MM-KLH'!$B$6:$T$823,6,0),"")</f>
        <v/>
      </c>
      <c r="H790" s="227"/>
      <c r="I790" s="101" t="str">
        <f>IFERROR(VLOOKUP(B790,'02. MM-KLH'!$B$6:$T$823,8,0),"")</f>
        <v/>
      </c>
      <c r="J790" s="105" t="str">
        <f>IFERROR(VLOOKUP(B790,'02. MM-KLH'!$B$6:$T$823,9,0),"")</f>
        <v/>
      </c>
      <c r="K790" s="101" t="str">
        <f>IFERROR(VLOOKUP(B790,'02. MM-KLH'!$B$6:$T$823,10,0),"")</f>
        <v/>
      </c>
      <c r="L790" s="107" t="str">
        <f>IFERROR(VLOOKUP(B790,'02. MM-KLH'!$B$6:$T$823,11,0),"")</f>
        <v/>
      </c>
      <c r="M790" s="864" t="str">
        <f>IFERROR(VLOOKUP(B790,'02. MM-KLH'!$B$6:$T$823,12,0),"")</f>
        <v/>
      </c>
      <c r="N790" s="110" t="str">
        <f>IFERROR(VLOOKUP(B790,'02. MM-KLH'!$B$6:$T$823,13,0),"")</f>
        <v/>
      </c>
      <c r="O790" s="110" t="str">
        <f>IFERROR(VLOOKUP(B790,'02. MM-KLH'!$B$6:$T$823,14,0),"")</f>
        <v/>
      </c>
      <c r="P790" s="101" t="str">
        <f>IFERROR(VLOOKUP(B790,'02. MM-KLH'!$B$6:$T$823,15,0),"")</f>
        <v/>
      </c>
      <c r="Q790" s="101" t="str">
        <f>IFERROR(VLOOKUP(B790,'02. MM-KLH'!$B$6:$T$823,16,0),"")</f>
        <v/>
      </c>
      <c r="R790" s="101" t="str">
        <f>IFERROR(VLOOKUP(B790,'02. MM-KLH'!$B$6:$T$823,17,0),"")</f>
        <v/>
      </c>
      <c r="S790" s="110" t="str">
        <f>IFERROR(VLOOKUP(B790,'02. MM-KLH'!$B$6:$T$823,18,0),"")</f>
        <v/>
      </c>
      <c r="T790" s="111" t="str">
        <f>IFERROR(VLOOKUP(B790,'02. MM-KLH'!$B$6:$T$823,19,0),"")</f>
        <v/>
      </c>
      <c r="U790" s="863"/>
    </row>
    <row r="791" ht="13.5" customHeight="1" spans="1:21">
      <c r="A791" s="102"/>
      <c r="B791" s="104"/>
      <c r="C791" s="102"/>
      <c r="D791" s="103" t="str">
        <f>IFERROR(VLOOKUP(B791,'02. MM-KLH'!$B$6:$T$823,3,0),"")</f>
        <v/>
      </c>
      <c r="E791" s="102" t="str">
        <f>IFERROR(VLOOKUP(B791,'02. MM-KLH'!$B$6:$T$823,4,0),"")</f>
        <v/>
      </c>
      <c r="F791" s="226"/>
      <c r="G791" s="102" t="str">
        <f>IFERROR(VLOOKUP(B791,'02. MM-KLH'!$B$6:$T$823,6,0),"")</f>
        <v/>
      </c>
      <c r="H791" s="227"/>
      <c r="I791" s="101" t="str">
        <f>IFERROR(VLOOKUP(B791,'02. MM-KLH'!$B$6:$T$823,8,0),"")</f>
        <v/>
      </c>
      <c r="J791" s="105" t="str">
        <f>IFERROR(VLOOKUP(B791,'02. MM-KLH'!$B$6:$T$823,9,0),"")</f>
        <v/>
      </c>
      <c r="K791" s="101" t="str">
        <f>IFERROR(VLOOKUP(B791,'02. MM-KLH'!$B$6:$T$823,10,0),"")</f>
        <v/>
      </c>
      <c r="L791" s="107" t="str">
        <f>IFERROR(VLOOKUP(B791,'02. MM-KLH'!$B$6:$T$823,11,0),"")</f>
        <v/>
      </c>
      <c r="M791" s="864" t="str">
        <f>IFERROR(VLOOKUP(B791,'02. MM-KLH'!$B$6:$T$823,12,0),"")</f>
        <v/>
      </c>
      <c r="N791" s="110" t="str">
        <f>IFERROR(VLOOKUP(B791,'02. MM-KLH'!$B$6:$T$823,13,0),"")</f>
        <v/>
      </c>
      <c r="O791" s="110" t="str">
        <f>IFERROR(VLOOKUP(B791,'02. MM-KLH'!$B$6:$T$823,14,0),"")</f>
        <v/>
      </c>
      <c r="P791" s="101" t="str">
        <f>IFERROR(VLOOKUP(B791,'02. MM-KLH'!$B$6:$T$823,15,0),"")</f>
        <v/>
      </c>
      <c r="Q791" s="101" t="str">
        <f>IFERROR(VLOOKUP(B791,'02. MM-KLH'!$B$6:$T$823,16,0),"")</f>
        <v/>
      </c>
      <c r="R791" s="101" t="str">
        <f>IFERROR(VLOOKUP(B791,'02. MM-KLH'!$B$6:$T$823,17,0),"")</f>
        <v/>
      </c>
      <c r="S791" s="110" t="str">
        <f>IFERROR(VLOOKUP(B791,'02. MM-KLH'!$B$6:$T$823,18,0),"")</f>
        <v/>
      </c>
      <c r="T791" s="111" t="str">
        <f>IFERROR(VLOOKUP(B791,'02. MM-KLH'!$B$6:$T$823,19,0),"")</f>
        <v/>
      </c>
      <c r="U791" s="863"/>
    </row>
    <row r="792" ht="13.5" customHeight="1" spans="1:21">
      <c r="A792" s="102"/>
      <c r="B792" s="104"/>
      <c r="C792" s="102"/>
      <c r="D792" s="103" t="str">
        <f>IFERROR(VLOOKUP(B792,'02. MM-KLH'!$B$6:$T$823,3,0),"")</f>
        <v/>
      </c>
      <c r="E792" s="102" t="str">
        <f>IFERROR(VLOOKUP(B792,'02. MM-KLH'!$B$6:$T$823,4,0),"")</f>
        <v/>
      </c>
      <c r="F792" s="226"/>
      <c r="G792" s="102" t="str">
        <f>IFERROR(VLOOKUP(B792,'02. MM-KLH'!$B$6:$T$823,6,0),"")</f>
        <v/>
      </c>
      <c r="H792" s="227"/>
      <c r="I792" s="101" t="str">
        <f>IFERROR(VLOOKUP(B792,'02. MM-KLH'!$B$6:$T$823,8,0),"")</f>
        <v/>
      </c>
      <c r="J792" s="105" t="str">
        <f>IFERROR(VLOOKUP(B792,'02. MM-KLH'!$B$6:$T$823,9,0),"")</f>
        <v/>
      </c>
      <c r="K792" s="101" t="str">
        <f>IFERROR(VLOOKUP(B792,'02. MM-KLH'!$B$6:$T$823,10,0),"")</f>
        <v/>
      </c>
      <c r="L792" s="107" t="str">
        <f>IFERROR(VLOOKUP(B792,'02. MM-KLH'!$B$6:$T$823,11,0),"")</f>
        <v/>
      </c>
      <c r="M792" s="864" t="str">
        <f>IFERROR(VLOOKUP(B792,'02. MM-KLH'!$B$6:$T$823,12,0),"")</f>
        <v/>
      </c>
      <c r="N792" s="110" t="str">
        <f>IFERROR(VLOOKUP(B792,'02. MM-KLH'!$B$6:$T$823,13,0),"")</f>
        <v/>
      </c>
      <c r="O792" s="110" t="str">
        <f>IFERROR(VLOOKUP(B792,'02. MM-KLH'!$B$6:$T$823,14,0),"")</f>
        <v/>
      </c>
      <c r="P792" s="101" t="str">
        <f>IFERROR(VLOOKUP(B792,'02. MM-KLH'!$B$6:$T$823,15,0),"")</f>
        <v/>
      </c>
      <c r="Q792" s="101" t="str">
        <f>IFERROR(VLOOKUP(B792,'02. MM-KLH'!$B$6:$T$823,16,0),"")</f>
        <v/>
      </c>
      <c r="R792" s="101" t="str">
        <f>IFERROR(VLOOKUP(B792,'02. MM-KLH'!$B$6:$T$823,17,0),"")</f>
        <v/>
      </c>
      <c r="S792" s="110" t="str">
        <f>IFERROR(VLOOKUP(B792,'02. MM-KLH'!$B$6:$T$823,18,0),"")</f>
        <v/>
      </c>
      <c r="T792" s="111" t="str">
        <f>IFERROR(VLOOKUP(B792,'02. MM-KLH'!$B$6:$T$823,19,0),"")</f>
        <v/>
      </c>
      <c r="U792" s="863"/>
    </row>
    <row r="793" ht="13.5" customHeight="1" spans="1:21">
      <c r="A793" s="102"/>
      <c r="B793" s="104"/>
      <c r="C793" s="102"/>
      <c r="D793" s="103" t="str">
        <f>IFERROR(VLOOKUP(B793,'02. MM-KLH'!$B$6:$T$823,3,0),"")</f>
        <v/>
      </c>
      <c r="E793" s="102" t="str">
        <f>IFERROR(VLOOKUP(B793,'02. MM-KLH'!$B$6:$T$823,4,0),"")</f>
        <v/>
      </c>
      <c r="F793" s="226"/>
      <c r="G793" s="102" t="str">
        <f>IFERROR(VLOOKUP(B793,'02. MM-KLH'!$B$6:$T$823,6,0),"")</f>
        <v/>
      </c>
      <c r="H793" s="227"/>
      <c r="I793" s="101" t="str">
        <f>IFERROR(VLOOKUP(B793,'02. MM-KLH'!$B$6:$T$823,8,0),"")</f>
        <v/>
      </c>
      <c r="J793" s="105" t="str">
        <f>IFERROR(VLOOKUP(B793,'02. MM-KLH'!$B$6:$T$823,9,0),"")</f>
        <v/>
      </c>
      <c r="K793" s="101" t="str">
        <f>IFERROR(VLOOKUP(B793,'02. MM-KLH'!$B$6:$T$823,10,0),"")</f>
        <v/>
      </c>
      <c r="L793" s="107" t="str">
        <f>IFERROR(VLOOKUP(B793,'02. MM-KLH'!$B$6:$T$823,11,0),"")</f>
        <v/>
      </c>
      <c r="M793" s="864" t="str">
        <f>IFERROR(VLOOKUP(B793,'02. MM-KLH'!$B$6:$T$823,12,0),"")</f>
        <v/>
      </c>
      <c r="N793" s="110" t="str">
        <f>IFERROR(VLOOKUP(B793,'02. MM-KLH'!$B$6:$T$823,13,0),"")</f>
        <v/>
      </c>
      <c r="O793" s="110" t="str">
        <f>IFERROR(VLOOKUP(B793,'02. MM-KLH'!$B$6:$T$823,14,0),"")</f>
        <v/>
      </c>
      <c r="P793" s="101" t="str">
        <f>IFERROR(VLOOKUP(B793,'02. MM-KLH'!$B$6:$T$823,15,0),"")</f>
        <v/>
      </c>
      <c r="Q793" s="101" t="str">
        <f>IFERROR(VLOOKUP(B793,'02. MM-KLH'!$B$6:$T$823,16,0),"")</f>
        <v/>
      </c>
      <c r="R793" s="101" t="str">
        <f>IFERROR(VLOOKUP(B793,'02. MM-KLH'!$B$6:$T$823,17,0),"")</f>
        <v/>
      </c>
      <c r="S793" s="110" t="str">
        <f>IFERROR(VLOOKUP(B793,'02. MM-KLH'!$B$6:$T$823,18,0),"")</f>
        <v/>
      </c>
      <c r="T793" s="111" t="str">
        <f>IFERROR(VLOOKUP(B793,'02. MM-KLH'!$B$6:$T$823,19,0),"")</f>
        <v/>
      </c>
      <c r="U793" s="863"/>
    </row>
    <row r="794" ht="13.5" customHeight="1" spans="1:21">
      <c r="A794" s="102"/>
      <c r="B794" s="104"/>
      <c r="C794" s="102"/>
      <c r="D794" s="103" t="str">
        <f>IFERROR(VLOOKUP(B794,'02. MM-KLH'!$B$6:$T$823,3,0),"")</f>
        <v/>
      </c>
      <c r="E794" s="102" t="str">
        <f>IFERROR(VLOOKUP(B794,'02. MM-KLH'!$B$6:$T$823,4,0),"")</f>
        <v/>
      </c>
      <c r="F794" s="226"/>
      <c r="G794" s="102" t="str">
        <f>IFERROR(VLOOKUP(B794,'02. MM-KLH'!$B$6:$T$823,6,0),"")</f>
        <v/>
      </c>
      <c r="H794" s="227"/>
      <c r="I794" s="101" t="str">
        <f>IFERROR(VLOOKUP(B794,'02. MM-KLH'!$B$6:$T$823,8,0),"")</f>
        <v/>
      </c>
      <c r="J794" s="105" t="str">
        <f>IFERROR(VLOOKUP(B794,'02. MM-KLH'!$B$6:$T$823,9,0),"")</f>
        <v/>
      </c>
      <c r="K794" s="101" t="str">
        <f>IFERROR(VLOOKUP(B794,'02. MM-KLH'!$B$6:$T$823,10,0),"")</f>
        <v/>
      </c>
      <c r="L794" s="107" t="str">
        <f>IFERROR(VLOOKUP(B794,'02. MM-KLH'!$B$6:$T$823,11,0),"")</f>
        <v/>
      </c>
      <c r="M794" s="864" t="str">
        <f>IFERROR(VLOOKUP(B794,'02. MM-KLH'!$B$6:$T$823,12,0),"")</f>
        <v/>
      </c>
      <c r="N794" s="110" t="str">
        <f>IFERROR(VLOOKUP(B794,'02. MM-KLH'!$B$6:$T$823,13,0),"")</f>
        <v/>
      </c>
      <c r="O794" s="110" t="str">
        <f>IFERROR(VLOOKUP(B794,'02. MM-KLH'!$B$6:$T$823,14,0),"")</f>
        <v/>
      </c>
      <c r="P794" s="101" t="str">
        <f>IFERROR(VLOOKUP(B794,'02. MM-KLH'!$B$6:$T$823,15,0),"")</f>
        <v/>
      </c>
      <c r="Q794" s="101" t="str">
        <f>IFERROR(VLOOKUP(B794,'02. MM-KLH'!$B$6:$T$823,16,0),"")</f>
        <v/>
      </c>
      <c r="R794" s="101" t="str">
        <f>IFERROR(VLOOKUP(B794,'02. MM-KLH'!$B$6:$T$823,17,0),"")</f>
        <v/>
      </c>
      <c r="S794" s="110" t="str">
        <f>IFERROR(VLOOKUP(B794,'02. MM-KLH'!$B$6:$T$823,18,0),"")</f>
        <v/>
      </c>
      <c r="T794" s="111" t="str">
        <f>IFERROR(VLOOKUP(B794,'02. MM-KLH'!$B$6:$T$823,19,0),"")</f>
        <v/>
      </c>
      <c r="U794" s="863"/>
    </row>
    <row r="795" ht="13.5" customHeight="1" spans="1:21">
      <c r="A795" s="102"/>
      <c r="B795" s="104"/>
      <c r="C795" s="102"/>
      <c r="D795" s="103" t="str">
        <f>IFERROR(VLOOKUP(B795,'02. MM-KLH'!$B$6:$T$823,3,0),"")</f>
        <v/>
      </c>
      <c r="E795" s="102" t="str">
        <f>IFERROR(VLOOKUP(B795,'02. MM-KLH'!$B$6:$T$823,4,0),"")</f>
        <v/>
      </c>
      <c r="F795" s="226"/>
      <c r="G795" s="102" t="str">
        <f>IFERROR(VLOOKUP(B795,'02. MM-KLH'!$B$6:$T$823,6,0),"")</f>
        <v/>
      </c>
      <c r="H795" s="227"/>
      <c r="I795" s="101" t="str">
        <f>IFERROR(VLOOKUP(B795,'02. MM-KLH'!$B$6:$T$823,8,0),"")</f>
        <v/>
      </c>
      <c r="J795" s="105" t="str">
        <f>IFERROR(VLOOKUP(B795,'02. MM-KLH'!$B$6:$T$823,9,0),"")</f>
        <v/>
      </c>
      <c r="K795" s="101" t="str">
        <f>IFERROR(VLOOKUP(B795,'02. MM-KLH'!$B$6:$T$823,10,0),"")</f>
        <v/>
      </c>
      <c r="L795" s="107" t="str">
        <f>IFERROR(VLOOKUP(B795,'02. MM-KLH'!$B$6:$T$823,11,0),"")</f>
        <v/>
      </c>
      <c r="M795" s="864" t="str">
        <f>IFERROR(VLOOKUP(B795,'02. MM-KLH'!$B$6:$T$823,12,0),"")</f>
        <v/>
      </c>
      <c r="N795" s="110" t="str">
        <f>IFERROR(VLOOKUP(B795,'02. MM-KLH'!$B$6:$T$823,13,0),"")</f>
        <v/>
      </c>
      <c r="O795" s="110" t="str">
        <f>IFERROR(VLOOKUP(B795,'02. MM-KLH'!$B$6:$T$823,14,0),"")</f>
        <v/>
      </c>
      <c r="P795" s="101" t="str">
        <f>IFERROR(VLOOKUP(B795,'02. MM-KLH'!$B$6:$T$823,15,0),"")</f>
        <v/>
      </c>
      <c r="Q795" s="101" t="str">
        <f>IFERROR(VLOOKUP(B795,'02. MM-KLH'!$B$6:$T$823,16,0),"")</f>
        <v/>
      </c>
      <c r="R795" s="101" t="str">
        <f>IFERROR(VLOOKUP(B795,'02. MM-KLH'!$B$6:$T$823,17,0),"")</f>
        <v/>
      </c>
      <c r="S795" s="110" t="str">
        <f>IFERROR(VLOOKUP(B795,'02. MM-KLH'!$B$6:$T$823,18,0),"")</f>
        <v/>
      </c>
      <c r="T795" s="111" t="str">
        <f>IFERROR(VLOOKUP(B795,'02. MM-KLH'!$B$6:$T$823,19,0),"")</f>
        <v/>
      </c>
      <c r="U795" s="863"/>
    </row>
    <row r="796" ht="13.5" customHeight="1" spans="1:21">
      <c r="A796" s="102"/>
      <c r="B796" s="104"/>
      <c r="C796" s="102"/>
      <c r="D796" s="103" t="str">
        <f>IFERROR(VLOOKUP(B796,'02. MM-KLH'!$B$6:$T$823,3,0),"")</f>
        <v/>
      </c>
      <c r="E796" s="102" t="str">
        <f>IFERROR(VLOOKUP(B796,'02. MM-KLH'!$B$6:$T$823,4,0),"")</f>
        <v/>
      </c>
      <c r="F796" s="226"/>
      <c r="G796" s="102" t="str">
        <f>IFERROR(VLOOKUP(B796,'02. MM-KLH'!$B$6:$T$823,6,0),"")</f>
        <v/>
      </c>
      <c r="H796" s="227"/>
      <c r="I796" s="101" t="str">
        <f>IFERROR(VLOOKUP(B796,'02. MM-KLH'!$B$6:$T$823,8,0),"")</f>
        <v/>
      </c>
      <c r="J796" s="105" t="str">
        <f>IFERROR(VLOOKUP(B796,'02. MM-KLH'!$B$6:$T$823,9,0),"")</f>
        <v/>
      </c>
      <c r="K796" s="101" t="str">
        <f>IFERROR(VLOOKUP(B796,'02. MM-KLH'!$B$6:$T$823,10,0),"")</f>
        <v/>
      </c>
      <c r="L796" s="107" t="str">
        <f>IFERROR(VLOOKUP(B796,'02. MM-KLH'!$B$6:$T$823,11,0),"")</f>
        <v/>
      </c>
      <c r="M796" s="864" t="str">
        <f>IFERROR(VLOOKUP(B796,'02. MM-KLH'!$B$6:$T$823,12,0),"")</f>
        <v/>
      </c>
      <c r="N796" s="110" t="str">
        <f>IFERROR(VLOOKUP(B796,'02. MM-KLH'!$B$6:$T$823,13,0),"")</f>
        <v/>
      </c>
      <c r="O796" s="110" t="str">
        <f>IFERROR(VLOOKUP(B796,'02. MM-KLH'!$B$6:$T$823,14,0),"")</f>
        <v/>
      </c>
      <c r="P796" s="101" t="str">
        <f>IFERROR(VLOOKUP(B796,'02. MM-KLH'!$B$6:$T$823,15,0),"")</f>
        <v/>
      </c>
      <c r="Q796" s="101" t="str">
        <f>IFERROR(VLOOKUP(B796,'02. MM-KLH'!$B$6:$T$823,16,0),"")</f>
        <v/>
      </c>
      <c r="R796" s="101" t="str">
        <f>IFERROR(VLOOKUP(B796,'02. MM-KLH'!$B$6:$T$823,17,0),"")</f>
        <v/>
      </c>
      <c r="S796" s="110" t="str">
        <f>IFERROR(VLOOKUP(B796,'02. MM-KLH'!$B$6:$T$823,18,0),"")</f>
        <v/>
      </c>
      <c r="T796" s="111" t="str">
        <f>IFERROR(VLOOKUP(B796,'02. MM-KLH'!$B$6:$T$823,19,0),"")</f>
        <v/>
      </c>
      <c r="U796" s="863"/>
    </row>
    <row r="797" ht="13.5" customHeight="1" spans="1:21">
      <c r="A797" s="102"/>
      <c r="B797" s="104"/>
      <c r="C797" s="102"/>
      <c r="D797" s="103" t="str">
        <f>IFERROR(VLOOKUP(B797,'02. MM-KLH'!$B$6:$T$823,3,0),"")</f>
        <v/>
      </c>
      <c r="E797" s="102" t="str">
        <f>IFERROR(VLOOKUP(B797,'02. MM-KLH'!$B$6:$T$823,4,0),"")</f>
        <v/>
      </c>
      <c r="F797" s="226"/>
      <c r="G797" s="102" t="str">
        <f>IFERROR(VLOOKUP(B797,'02. MM-KLH'!$B$6:$T$823,6,0),"")</f>
        <v/>
      </c>
      <c r="H797" s="227"/>
      <c r="I797" s="101" t="str">
        <f>IFERROR(VLOOKUP(B797,'02. MM-KLH'!$B$6:$T$823,8,0),"")</f>
        <v/>
      </c>
      <c r="J797" s="105" t="str">
        <f>IFERROR(VLOOKUP(B797,'02. MM-KLH'!$B$6:$T$823,9,0),"")</f>
        <v/>
      </c>
      <c r="K797" s="101" t="str">
        <f>IFERROR(VLOOKUP(B797,'02. MM-KLH'!$B$6:$T$823,10,0),"")</f>
        <v/>
      </c>
      <c r="L797" s="107" t="str">
        <f>IFERROR(VLOOKUP(B797,'02. MM-KLH'!$B$6:$T$823,11,0),"")</f>
        <v/>
      </c>
      <c r="M797" s="864" t="str">
        <f>IFERROR(VLOOKUP(B797,'02. MM-KLH'!$B$6:$T$823,12,0),"")</f>
        <v/>
      </c>
      <c r="N797" s="110" t="str">
        <f>IFERROR(VLOOKUP(B797,'02. MM-KLH'!$B$6:$T$823,13,0),"")</f>
        <v/>
      </c>
      <c r="O797" s="110" t="str">
        <f>IFERROR(VLOOKUP(B797,'02. MM-KLH'!$B$6:$T$823,14,0),"")</f>
        <v/>
      </c>
      <c r="P797" s="101" t="str">
        <f>IFERROR(VLOOKUP(B797,'02. MM-KLH'!$B$6:$T$823,15,0),"")</f>
        <v/>
      </c>
      <c r="Q797" s="101" t="str">
        <f>IFERROR(VLOOKUP(B797,'02. MM-KLH'!$B$6:$T$823,16,0),"")</f>
        <v/>
      </c>
      <c r="R797" s="101" t="str">
        <f>IFERROR(VLOOKUP(B797,'02. MM-KLH'!$B$6:$T$823,17,0),"")</f>
        <v/>
      </c>
      <c r="S797" s="110" t="str">
        <f>IFERROR(VLOOKUP(B797,'02. MM-KLH'!$B$6:$T$823,18,0),"")</f>
        <v/>
      </c>
      <c r="T797" s="111" t="str">
        <f>IFERROR(VLOOKUP(B797,'02. MM-KLH'!$B$6:$T$823,19,0),"")</f>
        <v/>
      </c>
      <c r="U797" s="863"/>
    </row>
    <row r="798" ht="13.5" customHeight="1" spans="1:21">
      <c r="A798" s="102"/>
      <c r="B798" s="104"/>
      <c r="C798" s="102"/>
      <c r="D798" s="103" t="str">
        <f>IFERROR(VLOOKUP(B798,'02. MM-KLH'!$B$6:$T$823,3,0),"")</f>
        <v/>
      </c>
      <c r="E798" s="102" t="str">
        <f>IFERROR(VLOOKUP(B798,'02. MM-KLH'!$B$6:$T$823,4,0),"")</f>
        <v/>
      </c>
      <c r="F798" s="226"/>
      <c r="G798" s="102" t="str">
        <f>IFERROR(VLOOKUP(B798,'02. MM-KLH'!$B$6:$T$823,6,0),"")</f>
        <v/>
      </c>
      <c r="H798" s="227"/>
      <c r="I798" s="101" t="str">
        <f>IFERROR(VLOOKUP(B798,'02. MM-KLH'!$B$6:$T$823,8,0),"")</f>
        <v/>
      </c>
      <c r="J798" s="105" t="str">
        <f>IFERROR(VLOOKUP(B798,'02. MM-KLH'!$B$6:$T$823,9,0),"")</f>
        <v/>
      </c>
      <c r="K798" s="101" t="str">
        <f>IFERROR(VLOOKUP(B798,'02. MM-KLH'!$B$6:$T$823,10,0),"")</f>
        <v/>
      </c>
      <c r="L798" s="107" t="str">
        <f>IFERROR(VLOOKUP(B798,'02. MM-KLH'!$B$6:$T$823,11,0),"")</f>
        <v/>
      </c>
      <c r="M798" s="864" t="str">
        <f>IFERROR(VLOOKUP(B798,'02. MM-KLH'!$B$6:$T$823,12,0),"")</f>
        <v/>
      </c>
      <c r="N798" s="110" t="str">
        <f>IFERROR(VLOOKUP(B798,'02. MM-KLH'!$B$6:$T$823,13,0),"")</f>
        <v/>
      </c>
      <c r="O798" s="110" t="str">
        <f>IFERROR(VLOOKUP(B798,'02. MM-KLH'!$B$6:$T$823,14,0),"")</f>
        <v/>
      </c>
      <c r="P798" s="101" t="str">
        <f>IFERROR(VLOOKUP(B798,'02. MM-KLH'!$B$6:$T$823,15,0),"")</f>
        <v/>
      </c>
      <c r="Q798" s="101" t="str">
        <f>IFERROR(VLOOKUP(B798,'02. MM-KLH'!$B$6:$T$823,16,0),"")</f>
        <v/>
      </c>
      <c r="R798" s="101" t="str">
        <f>IFERROR(VLOOKUP(B798,'02. MM-KLH'!$B$6:$T$823,17,0),"")</f>
        <v/>
      </c>
      <c r="S798" s="110" t="str">
        <f>IFERROR(VLOOKUP(B798,'02. MM-KLH'!$B$6:$T$823,18,0),"")</f>
        <v/>
      </c>
      <c r="T798" s="111" t="str">
        <f>IFERROR(VLOOKUP(B798,'02. MM-KLH'!$B$6:$T$823,19,0),"")</f>
        <v/>
      </c>
      <c r="U798" s="863"/>
    </row>
    <row r="799" ht="13.5" customHeight="1" spans="1:21">
      <c r="A799" s="102"/>
      <c r="B799" s="104"/>
      <c r="C799" s="102"/>
      <c r="D799" s="103" t="str">
        <f>IFERROR(VLOOKUP(B799,'02. MM-KLH'!$B$6:$T$823,3,0),"")</f>
        <v/>
      </c>
      <c r="E799" s="102" t="str">
        <f>IFERROR(VLOOKUP(B799,'02. MM-KLH'!$B$6:$T$823,4,0),"")</f>
        <v/>
      </c>
      <c r="F799" s="226"/>
      <c r="G799" s="102" t="str">
        <f>IFERROR(VLOOKUP(B799,'02. MM-KLH'!$B$6:$T$823,6,0),"")</f>
        <v/>
      </c>
      <c r="H799" s="227"/>
      <c r="I799" s="101" t="str">
        <f>IFERROR(VLOOKUP(B799,'02. MM-KLH'!$B$6:$T$823,8,0),"")</f>
        <v/>
      </c>
      <c r="J799" s="105" t="str">
        <f>IFERROR(VLOOKUP(B799,'02. MM-KLH'!$B$6:$T$823,9,0),"")</f>
        <v/>
      </c>
      <c r="K799" s="101" t="str">
        <f>IFERROR(VLOOKUP(B799,'02. MM-KLH'!$B$6:$T$823,10,0),"")</f>
        <v/>
      </c>
      <c r="L799" s="107" t="str">
        <f>IFERROR(VLOOKUP(B799,'02. MM-KLH'!$B$6:$T$823,11,0),"")</f>
        <v/>
      </c>
      <c r="M799" s="864" t="str">
        <f>IFERROR(VLOOKUP(B799,'02. MM-KLH'!$B$6:$T$823,12,0),"")</f>
        <v/>
      </c>
      <c r="N799" s="110" t="str">
        <f>IFERROR(VLOOKUP(B799,'02. MM-KLH'!$B$6:$T$823,13,0),"")</f>
        <v/>
      </c>
      <c r="O799" s="110" t="str">
        <f>IFERROR(VLOOKUP(B799,'02. MM-KLH'!$B$6:$T$823,14,0),"")</f>
        <v/>
      </c>
      <c r="P799" s="101" t="str">
        <f>IFERROR(VLOOKUP(B799,'02. MM-KLH'!$B$6:$T$823,15,0),"")</f>
        <v/>
      </c>
      <c r="Q799" s="101" t="str">
        <f>IFERROR(VLOOKUP(B799,'02. MM-KLH'!$B$6:$T$823,16,0),"")</f>
        <v/>
      </c>
      <c r="R799" s="101" t="str">
        <f>IFERROR(VLOOKUP(B799,'02. MM-KLH'!$B$6:$T$823,17,0),"")</f>
        <v/>
      </c>
      <c r="S799" s="110" t="str">
        <f>IFERROR(VLOOKUP(B799,'02. MM-KLH'!$B$6:$T$823,18,0),"")</f>
        <v/>
      </c>
      <c r="T799" s="111" t="str">
        <f>IFERROR(VLOOKUP(B799,'02. MM-KLH'!$B$6:$T$823,19,0),"")</f>
        <v/>
      </c>
      <c r="U799" s="863"/>
    </row>
    <row r="800" ht="13.5" customHeight="1" spans="1:21">
      <c r="A800" s="102"/>
      <c r="B800" s="104"/>
      <c r="C800" s="102"/>
      <c r="D800" s="103" t="str">
        <f>IFERROR(VLOOKUP(B800,'02. MM-KLH'!$B$6:$T$823,3,0),"")</f>
        <v/>
      </c>
      <c r="E800" s="102" t="str">
        <f>IFERROR(VLOOKUP(B800,'02. MM-KLH'!$B$6:$T$823,4,0),"")</f>
        <v/>
      </c>
      <c r="F800" s="226"/>
      <c r="G800" s="102" t="str">
        <f>IFERROR(VLOOKUP(B800,'02. MM-KLH'!$B$6:$T$823,6,0),"")</f>
        <v/>
      </c>
      <c r="H800" s="227"/>
      <c r="I800" s="101" t="str">
        <f>IFERROR(VLOOKUP(B800,'02. MM-KLH'!$B$6:$T$823,8,0),"")</f>
        <v/>
      </c>
      <c r="J800" s="105" t="str">
        <f>IFERROR(VLOOKUP(B800,'02. MM-KLH'!$B$6:$T$823,9,0),"")</f>
        <v/>
      </c>
      <c r="K800" s="101" t="str">
        <f>IFERROR(VLOOKUP(B800,'02. MM-KLH'!$B$6:$T$823,10,0),"")</f>
        <v/>
      </c>
      <c r="L800" s="107" t="str">
        <f>IFERROR(VLOOKUP(B800,'02. MM-KLH'!$B$6:$T$823,11,0),"")</f>
        <v/>
      </c>
      <c r="M800" s="864" t="str">
        <f>IFERROR(VLOOKUP(B800,'02. MM-KLH'!$B$6:$T$823,12,0),"")</f>
        <v/>
      </c>
      <c r="N800" s="110" t="str">
        <f>IFERROR(VLOOKUP(B800,'02. MM-KLH'!$B$6:$T$823,13,0),"")</f>
        <v/>
      </c>
      <c r="O800" s="110" t="str">
        <f>IFERROR(VLOOKUP(B800,'02. MM-KLH'!$B$6:$T$823,14,0),"")</f>
        <v/>
      </c>
      <c r="P800" s="101" t="str">
        <f>IFERROR(VLOOKUP(B800,'02. MM-KLH'!$B$6:$T$823,15,0),"")</f>
        <v/>
      </c>
      <c r="Q800" s="101" t="str">
        <f>IFERROR(VLOOKUP(B800,'02. MM-KLH'!$B$6:$T$823,16,0),"")</f>
        <v/>
      </c>
      <c r="R800" s="101" t="str">
        <f>IFERROR(VLOOKUP(B800,'02. MM-KLH'!$B$6:$T$823,17,0),"")</f>
        <v/>
      </c>
      <c r="S800" s="110" t="str">
        <f>IFERROR(VLOOKUP(B800,'02. MM-KLH'!$B$6:$T$823,18,0),"")</f>
        <v/>
      </c>
      <c r="T800" s="111" t="str">
        <f>IFERROR(VLOOKUP(B800,'02. MM-KLH'!$B$6:$T$823,19,0),"")</f>
        <v/>
      </c>
      <c r="U800" s="863"/>
    </row>
    <row r="801" ht="13.5" customHeight="1" spans="1:21">
      <c r="A801" s="102"/>
      <c r="B801" s="104"/>
      <c r="C801" s="102"/>
      <c r="D801" s="103" t="str">
        <f>IFERROR(VLOOKUP(B801,'02. MM-KLH'!$B$6:$T$823,3,0),"")</f>
        <v/>
      </c>
      <c r="E801" s="102" t="str">
        <f>IFERROR(VLOOKUP(B801,'02. MM-KLH'!$B$6:$T$823,4,0),"")</f>
        <v/>
      </c>
      <c r="F801" s="226"/>
      <c r="G801" s="102" t="str">
        <f>IFERROR(VLOOKUP(B801,'02. MM-KLH'!$B$6:$T$823,6,0),"")</f>
        <v/>
      </c>
      <c r="H801" s="227"/>
      <c r="I801" s="101" t="str">
        <f>IFERROR(VLOOKUP(B801,'02. MM-KLH'!$B$6:$T$823,8,0),"")</f>
        <v/>
      </c>
      <c r="J801" s="105" t="str">
        <f>IFERROR(VLOOKUP(B801,'02. MM-KLH'!$B$6:$T$823,9,0),"")</f>
        <v/>
      </c>
      <c r="K801" s="101" t="str">
        <f>IFERROR(VLOOKUP(B801,'02. MM-KLH'!$B$6:$T$823,10,0),"")</f>
        <v/>
      </c>
      <c r="L801" s="107" t="str">
        <f>IFERROR(VLOOKUP(B801,'02. MM-KLH'!$B$6:$T$823,11,0),"")</f>
        <v/>
      </c>
      <c r="M801" s="864" t="str">
        <f>IFERROR(VLOOKUP(B801,'02. MM-KLH'!$B$6:$T$823,12,0),"")</f>
        <v/>
      </c>
      <c r="N801" s="110" t="str">
        <f>IFERROR(VLOOKUP(B801,'02. MM-KLH'!$B$6:$T$823,13,0),"")</f>
        <v/>
      </c>
      <c r="O801" s="110" t="str">
        <f>IFERROR(VLOOKUP(B801,'02. MM-KLH'!$B$6:$T$823,14,0),"")</f>
        <v/>
      </c>
      <c r="P801" s="101" t="str">
        <f>IFERROR(VLOOKUP(B801,'02. MM-KLH'!$B$6:$T$823,15,0),"")</f>
        <v/>
      </c>
      <c r="Q801" s="101" t="str">
        <f>IFERROR(VLOOKUP(B801,'02. MM-KLH'!$B$6:$T$823,16,0),"")</f>
        <v/>
      </c>
      <c r="R801" s="101" t="str">
        <f>IFERROR(VLOOKUP(B801,'02. MM-KLH'!$B$6:$T$823,17,0),"")</f>
        <v/>
      </c>
      <c r="S801" s="110" t="str">
        <f>IFERROR(VLOOKUP(B801,'02. MM-KLH'!$B$6:$T$823,18,0),"")</f>
        <v/>
      </c>
      <c r="T801" s="111" t="str">
        <f>IFERROR(VLOOKUP(B801,'02. MM-KLH'!$B$6:$T$823,19,0),"")</f>
        <v/>
      </c>
      <c r="U801" s="863"/>
    </row>
    <row r="802" ht="13.5" customHeight="1" spans="1:21">
      <c r="A802" s="102"/>
      <c r="B802" s="104"/>
      <c r="C802" s="102"/>
      <c r="D802" s="103" t="str">
        <f>IFERROR(VLOOKUP(B802,'02. MM-KLH'!$B$6:$T$823,3,0),"")</f>
        <v/>
      </c>
      <c r="E802" s="102" t="str">
        <f>IFERROR(VLOOKUP(B802,'02. MM-KLH'!$B$6:$T$823,4,0),"")</f>
        <v/>
      </c>
      <c r="F802" s="226"/>
      <c r="G802" s="102" t="str">
        <f>IFERROR(VLOOKUP(B802,'02. MM-KLH'!$B$6:$T$823,6,0),"")</f>
        <v/>
      </c>
      <c r="H802" s="227"/>
      <c r="I802" s="101" t="str">
        <f>IFERROR(VLOOKUP(B802,'02. MM-KLH'!$B$6:$T$823,8,0),"")</f>
        <v/>
      </c>
      <c r="J802" s="105" t="str">
        <f>IFERROR(VLOOKUP(B802,'02. MM-KLH'!$B$6:$T$823,9,0),"")</f>
        <v/>
      </c>
      <c r="K802" s="101" t="str">
        <f>IFERROR(VLOOKUP(B802,'02. MM-KLH'!$B$6:$T$823,10,0),"")</f>
        <v/>
      </c>
      <c r="L802" s="107" t="str">
        <f>IFERROR(VLOOKUP(B802,'02. MM-KLH'!$B$6:$T$823,11,0),"")</f>
        <v/>
      </c>
      <c r="M802" s="864" t="str">
        <f>IFERROR(VLOOKUP(B802,'02. MM-KLH'!$B$6:$T$823,12,0),"")</f>
        <v/>
      </c>
      <c r="N802" s="110" t="str">
        <f>IFERROR(VLOOKUP(B802,'02. MM-KLH'!$B$6:$T$823,13,0),"")</f>
        <v/>
      </c>
      <c r="O802" s="110" t="str">
        <f>IFERROR(VLOOKUP(B802,'02. MM-KLH'!$B$6:$T$823,14,0),"")</f>
        <v/>
      </c>
      <c r="P802" s="101" t="str">
        <f>IFERROR(VLOOKUP(B802,'02. MM-KLH'!$B$6:$T$823,15,0),"")</f>
        <v/>
      </c>
      <c r="Q802" s="101" t="str">
        <f>IFERROR(VLOOKUP(B802,'02. MM-KLH'!$B$6:$T$823,16,0),"")</f>
        <v/>
      </c>
      <c r="R802" s="101" t="str">
        <f>IFERROR(VLOOKUP(B802,'02. MM-KLH'!$B$6:$T$823,17,0),"")</f>
        <v/>
      </c>
      <c r="S802" s="110" t="str">
        <f>IFERROR(VLOOKUP(B802,'02. MM-KLH'!$B$6:$T$823,18,0),"")</f>
        <v/>
      </c>
      <c r="T802" s="111" t="str">
        <f>IFERROR(VLOOKUP(B802,'02. MM-KLH'!$B$6:$T$823,19,0),"")</f>
        <v/>
      </c>
      <c r="U802" s="863"/>
    </row>
    <row r="803" ht="13.5" customHeight="1" spans="1:21">
      <c r="A803" s="102"/>
      <c r="B803" s="104"/>
      <c r="C803" s="102"/>
      <c r="D803" s="103" t="str">
        <f>IFERROR(VLOOKUP(B803,'02. MM-KLH'!$B$6:$T$823,3,0),"")</f>
        <v/>
      </c>
      <c r="E803" s="102" t="str">
        <f>IFERROR(VLOOKUP(B803,'02. MM-KLH'!$B$6:$T$823,4,0),"")</f>
        <v/>
      </c>
      <c r="F803" s="226"/>
      <c r="G803" s="102" t="str">
        <f>IFERROR(VLOOKUP(B803,'02. MM-KLH'!$B$6:$T$823,6,0),"")</f>
        <v/>
      </c>
      <c r="H803" s="227"/>
      <c r="I803" s="101" t="str">
        <f>IFERROR(VLOOKUP(B803,'02. MM-KLH'!$B$6:$T$823,8,0),"")</f>
        <v/>
      </c>
      <c r="J803" s="105" t="str">
        <f>IFERROR(VLOOKUP(B803,'02. MM-KLH'!$B$6:$T$823,9,0),"")</f>
        <v/>
      </c>
      <c r="K803" s="101" t="str">
        <f>IFERROR(VLOOKUP(B803,'02. MM-KLH'!$B$6:$T$823,10,0),"")</f>
        <v/>
      </c>
      <c r="L803" s="107" t="str">
        <f>IFERROR(VLOOKUP(B803,'02. MM-KLH'!$B$6:$T$823,11,0),"")</f>
        <v/>
      </c>
      <c r="M803" s="864" t="str">
        <f>IFERROR(VLOOKUP(B803,'02. MM-KLH'!$B$6:$T$823,12,0),"")</f>
        <v/>
      </c>
      <c r="N803" s="110" t="str">
        <f>IFERROR(VLOOKUP(B803,'02. MM-KLH'!$B$6:$T$823,13,0),"")</f>
        <v/>
      </c>
      <c r="O803" s="110" t="str">
        <f>IFERROR(VLOOKUP(B803,'02. MM-KLH'!$B$6:$T$823,14,0),"")</f>
        <v/>
      </c>
      <c r="P803" s="101" t="str">
        <f>IFERROR(VLOOKUP(B803,'02. MM-KLH'!$B$6:$T$823,15,0),"")</f>
        <v/>
      </c>
      <c r="Q803" s="101" t="str">
        <f>IFERROR(VLOOKUP(B803,'02. MM-KLH'!$B$6:$T$823,16,0),"")</f>
        <v/>
      </c>
      <c r="R803" s="101" t="str">
        <f>IFERROR(VLOOKUP(B803,'02. MM-KLH'!$B$6:$T$823,17,0),"")</f>
        <v/>
      </c>
      <c r="S803" s="110" t="str">
        <f>IFERROR(VLOOKUP(B803,'02. MM-KLH'!$B$6:$T$823,18,0),"")</f>
        <v/>
      </c>
      <c r="T803" s="111" t="str">
        <f>IFERROR(VLOOKUP(B803,'02. MM-KLH'!$B$6:$T$823,19,0),"")</f>
        <v/>
      </c>
      <c r="U803" s="863"/>
    </row>
    <row r="804" ht="13.5" customHeight="1" spans="1:21">
      <c r="A804" s="102"/>
      <c r="B804" s="104"/>
      <c r="C804" s="102"/>
      <c r="D804" s="103" t="str">
        <f>IFERROR(VLOOKUP(B804,'02. MM-KLH'!$B$6:$T$823,3,0),"")</f>
        <v/>
      </c>
      <c r="E804" s="102" t="str">
        <f>IFERROR(VLOOKUP(B804,'02. MM-KLH'!$B$6:$T$823,4,0),"")</f>
        <v/>
      </c>
      <c r="F804" s="226"/>
      <c r="G804" s="102" t="str">
        <f>IFERROR(VLOOKUP(B804,'02. MM-KLH'!$B$6:$T$823,6,0),"")</f>
        <v/>
      </c>
      <c r="H804" s="227"/>
      <c r="I804" s="101" t="str">
        <f>IFERROR(VLOOKUP(B804,'02. MM-KLH'!$B$6:$T$823,8,0),"")</f>
        <v/>
      </c>
      <c r="J804" s="105" t="str">
        <f>IFERROR(VLOOKUP(B804,'02. MM-KLH'!$B$6:$T$823,9,0),"")</f>
        <v/>
      </c>
      <c r="K804" s="101" t="str">
        <f>IFERROR(VLOOKUP(B804,'02. MM-KLH'!$B$6:$T$823,10,0),"")</f>
        <v/>
      </c>
      <c r="L804" s="107" t="str">
        <f>IFERROR(VLOOKUP(B804,'02. MM-KLH'!$B$6:$T$823,11,0),"")</f>
        <v/>
      </c>
      <c r="M804" s="864" t="str">
        <f>IFERROR(VLOOKUP(B804,'02. MM-KLH'!$B$6:$T$823,12,0),"")</f>
        <v/>
      </c>
      <c r="N804" s="110" t="str">
        <f>IFERROR(VLOOKUP(B804,'02. MM-KLH'!$B$6:$T$823,13,0),"")</f>
        <v/>
      </c>
      <c r="O804" s="110" t="str">
        <f>IFERROR(VLOOKUP(B804,'02. MM-KLH'!$B$6:$T$823,14,0),"")</f>
        <v/>
      </c>
      <c r="P804" s="101" t="str">
        <f>IFERROR(VLOOKUP(B804,'02. MM-KLH'!$B$6:$T$823,15,0),"")</f>
        <v/>
      </c>
      <c r="Q804" s="101" t="str">
        <f>IFERROR(VLOOKUP(B804,'02. MM-KLH'!$B$6:$T$823,16,0),"")</f>
        <v/>
      </c>
      <c r="R804" s="101" t="str">
        <f>IFERROR(VLOOKUP(B804,'02. MM-KLH'!$B$6:$T$823,17,0),"")</f>
        <v/>
      </c>
      <c r="S804" s="110" t="str">
        <f>IFERROR(VLOOKUP(B804,'02. MM-KLH'!$B$6:$T$823,18,0),"")</f>
        <v/>
      </c>
      <c r="T804" s="111" t="str">
        <f>IFERROR(VLOOKUP(B804,'02. MM-KLH'!$B$6:$T$823,19,0),"")</f>
        <v/>
      </c>
      <c r="U804" s="863"/>
    </row>
    <row r="805" ht="13.5" customHeight="1" spans="1:21">
      <c r="A805" s="102"/>
      <c r="B805" s="104"/>
      <c r="C805" s="102"/>
      <c r="D805" s="103" t="str">
        <f>IFERROR(VLOOKUP(B805,'02. MM-KLH'!$B$6:$T$823,3,0),"")</f>
        <v/>
      </c>
      <c r="E805" s="102" t="str">
        <f>IFERROR(VLOOKUP(B805,'02. MM-KLH'!$B$6:$T$823,4,0),"")</f>
        <v/>
      </c>
      <c r="F805" s="226"/>
      <c r="G805" s="102" t="str">
        <f>IFERROR(VLOOKUP(B805,'02. MM-KLH'!$B$6:$T$823,6,0),"")</f>
        <v/>
      </c>
      <c r="H805" s="227"/>
      <c r="I805" s="101" t="str">
        <f>IFERROR(VLOOKUP(B805,'02. MM-KLH'!$B$6:$T$823,8,0),"")</f>
        <v/>
      </c>
      <c r="J805" s="105" t="str">
        <f>IFERROR(VLOOKUP(B805,'02. MM-KLH'!$B$6:$T$823,9,0),"")</f>
        <v/>
      </c>
      <c r="K805" s="101" t="str">
        <f>IFERROR(VLOOKUP(B805,'02. MM-KLH'!$B$6:$T$823,10,0),"")</f>
        <v/>
      </c>
      <c r="L805" s="107" t="str">
        <f>IFERROR(VLOOKUP(B805,'02. MM-KLH'!$B$6:$T$823,11,0),"")</f>
        <v/>
      </c>
      <c r="M805" s="864" t="str">
        <f>IFERROR(VLOOKUP(B805,'02. MM-KLH'!$B$6:$T$823,12,0),"")</f>
        <v/>
      </c>
      <c r="N805" s="110" t="str">
        <f>IFERROR(VLOOKUP(B805,'02. MM-KLH'!$B$6:$T$823,13,0),"")</f>
        <v/>
      </c>
      <c r="O805" s="110" t="str">
        <f>IFERROR(VLOOKUP(B805,'02. MM-KLH'!$B$6:$T$823,14,0),"")</f>
        <v/>
      </c>
      <c r="P805" s="101" t="str">
        <f>IFERROR(VLOOKUP(B805,'02. MM-KLH'!$B$6:$T$823,15,0),"")</f>
        <v/>
      </c>
      <c r="Q805" s="101" t="str">
        <f>IFERROR(VLOOKUP(B805,'02. MM-KLH'!$B$6:$T$823,16,0),"")</f>
        <v/>
      </c>
      <c r="R805" s="101" t="str">
        <f>IFERROR(VLOOKUP(B805,'02. MM-KLH'!$B$6:$T$823,17,0),"")</f>
        <v/>
      </c>
      <c r="S805" s="110" t="str">
        <f>IFERROR(VLOOKUP(B805,'02. MM-KLH'!$B$6:$T$823,18,0),"")</f>
        <v/>
      </c>
      <c r="T805" s="111" t="str">
        <f>IFERROR(VLOOKUP(B805,'02. MM-KLH'!$B$6:$T$823,19,0),"")</f>
        <v/>
      </c>
      <c r="U805" s="863"/>
    </row>
    <row r="806" ht="13.5" customHeight="1" spans="1:21">
      <c r="A806" s="102"/>
      <c r="B806" s="104"/>
      <c r="C806" s="102"/>
      <c r="D806" s="103" t="str">
        <f>IFERROR(VLOOKUP(B806,'02. MM-KLH'!$B$6:$T$823,3,0),"")</f>
        <v/>
      </c>
      <c r="E806" s="102" t="str">
        <f>IFERROR(VLOOKUP(B806,'02. MM-KLH'!$B$6:$T$823,4,0),"")</f>
        <v/>
      </c>
      <c r="F806" s="226"/>
      <c r="G806" s="102" t="str">
        <f>IFERROR(VLOOKUP(B806,'02. MM-KLH'!$B$6:$T$823,6,0),"")</f>
        <v/>
      </c>
      <c r="H806" s="227"/>
      <c r="I806" s="101" t="str">
        <f>IFERROR(VLOOKUP(B806,'02. MM-KLH'!$B$6:$T$823,8,0),"")</f>
        <v/>
      </c>
      <c r="J806" s="105" t="str">
        <f>IFERROR(VLOOKUP(B806,'02. MM-KLH'!$B$6:$T$823,9,0),"")</f>
        <v/>
      </c>
      <c r="K806" s="101" t="str">
        <f>IFERROR(VLOOKUP(B806,'02. MM-KLH'!$B$6:$T$823,10,0),"")</f>
        <v/>
      </c>
      <c r="L806" s="107" t="str">
        <f>IFERROR(VLOOKUP(B806,'02. MM-KLH'!$B$6:$T$823,11,0),"")</f>
        <v/>
      </c>
      <c r="M806" s="864" t="str">
        <f>IFERROR(VLOOKUP(B806,'02. MM-KLH'!$B$6:$T$823,12,0),"")</f>
        <v/>
      </c>
      <c r="N806" s="110" t="str">
        <f>IFERROR(VLOOKUP(B806,'02. MM-KLH'!$B$6:$T$823,13,0),"")</f>
        <v/>
      </c>
      <c r="O806" s="110" t="str">
        <f>IFERROR(VLOOKUP(B806,'02. MM-KLH'!$B$6:$T$823,14,0),"")</f>
        <v/>
      </c>
      <c r="P806" s="101" t="str">
        <f>IFERROR(VLOOKUP(B806,'02. MM-KLH'!$B$6:$T$823,15,0),"")</f>
        <v/>
      </c>
      <c r="Q806" s="101" t="str">
        <f>IFERROR(VLOOKUP(B806,'02. MM-KLH'!$B$6:$T$823,16,0),"")</f>
        <v/>
      </c>
      <c r="R806" s="101" t="str">
        <f>IFERROR(VLOOKUP(B806,'02. MM-KLH'!$B$6:$T$823,17,0),"")</f>
        <v/>
      </c>
      <c r="S806" s="110" t="str">
        <f>IFERROR(VLOOKUP(B806,'02. MM-KLH'!$B$6:$T$823,18,0),"")</f>
        <v/>
      </c>
      <c r="T806" s="111" t="str">
        <f>IFERROR(VLOOKUP(B806,'02. MM-KLH'!$B$6:$T$823,19,0),"")</f>
        <v/>
      </c>
      <c r="U806" s="863"/>
    </row>
    <row r="807" ht="13.5" customHeight="1" spans="1:21">
      <c r="A807" s="102"/>
      <c r="B807" s="104"/>
      <c r="C807" s="102"/>
      <c r="D807" s="103" t="str">
        <f>IFERROR(VLOOKUP(B807,'02. MM-KLH'!$B$6:$T$823,3,0),"")</f>
        <v/>
      </c>
      <c r="E807" s="102" t="str">
        <f>IFERROR(VLOOKUP(B807,'02. MM-KLH'!$B$6:$T$823,4,0),"")</f>
        <v/>
      </c>
      <c r="F807" s="226"/>
      <c r="G807" s="102" t="str">
        <f>IFERROR(VLOOKUP(B807,'02. MM-KLH'!$B$6:$T$823,6,0),"")</f>
        <v/>
      </c>
      <c r="H807" s="227"/>
      <c r="I807" s="101" t="str">
        <f>IFERROR(VLOOKUP(B807,'02. MM-KLH'!$B$6:$T$823,8,0),"")</f>
        <v/>
      </c>
      <c r="J807" s="105" t="str">
        <f>IFERROR(VLOOKUP(B807,'02. MM-KLH'!$B$6:$T$823,9,0),"")</f>
        <v/>
      </c>
      <c r="K807" s="101" t="str">
        <f>IFERROR(VLOOKUP(B807,'02. MM-KLH'!$B$6:$T$823,10,0),"")</f>
        <v/>
      </c>
      <c r="L807" s="107" t="str">
        <f>IFERROR(VLOOKUP(B807,'02. MM-KLH'!$B$6:$T$823,11,0),"")</f>
        <v/>
      </c>
      <c r="M807" s="864" t="str">
        <f>IFERROR(VLOOKUP(B807,'02. MM-KLH'!$B$6:$T$823,12,0),"")</f>
        <v/>
      </c>
      <c r="N807" s="110" t="str">
        <f>IFERROR(VLOOKUP(B807,'02. MM-KLH'!$B$6:$T$823,13,0),"")</f>
        <v/>
      </c>
      <c r="O807" s="110" t="str">
        <f>IFERROR(VLOOKUP(B807,'02. MM-KLH'!$B$6:$T$823,14,0),"")</f>
        <v/>
      </c>
      <c r="P807" s="101" t="str">
        <f>IFERROR(VLOOKUP(B807,'02. MM-KLH'!$B$6:$T$823,15,0),"")</f>
        <v/>
      </c>
      <c r="Q807" s="101" t="str">
        <f>IFERROR(VLOOKUP(B807,'02. MM-KLH'!$B$6:$T$823,16,0),"")</f>
        <v/>
      </c>
      <c r="R807" s="101" t="str">
        <f>IFERROR(VLOOKUP(B807,'02. MM-KLH'!$B$6:$T$823,17,0),"")</f>
        <v/>
      </c>
      <c r="S807" s="110" t="str">
        <f>IFERROR(VLOOKUP(B807,'02. MM-KLH'!$B$6:$T$823,18,0),"")</f>
        <v/>
      </c>
      <c r="T807" s="111" t="str">
        <f>IFERROR(VLOOKUP(B807,'02. MM-KLH'!$B$6:$T$823,19,0),"")</f>
        <v/>
      </c>
      <c r="U807" s="863"/>
    </row>
    <row r="808" ht="13.5" customHeight="1" spans="1:21">
      <c r="A808" s="102"/>
      <c r="B808" s="104"/>
      <c r="C808" s="102"/>
      <c r="D808" s="103" t="str">
        <f>IFERROR(VLOOKUP(B808,'02. MM-KLH'!$B$6:$T$823,3,0),"")</f>
        <v/>
      </c>
      <c r="E808" s="102" t="str">
        <f>IFERROR(VLOOKUP(B808,'02. MM-KLH'!$B$6:$T$823,4,0),"")</f>
        <v/>
      </c>
      <c r="F808" s="226"/>
      <c r="G808" s="102" t="str">
        <f>IFERROR(VLOOKUP(B808,'02. MM-KLH'!$B$6:$T$823,6,0),"")</f>
        <v/>
      </c>
      <c r="H808" s="227"/>
      <c r="I808" s="101" t="str">
        <f>IFERROR(VLOOKUP(B808,'02. MM-KLH'!$B$6:$T$823,8,0),"")</f>
        <v/>
      </c>
      <c r="J808" s="105" t="str">
        <f>IFERROR(VLOOKUP(B808,'02. MM-KLH'!$B$6:$T$823,9,0),"")</f>
        <v/>
      </c>
      <c r="K808" s="101" t="str">
        <f>IFERROR(VLOOKUP(B808,'02. MM-KLH'!$B$6:$T$823,10,0),"")</f>
        <v/>
      </c>
      <c r="L808" s="107" t="str">
        <f>IFERROR(VLOOKUP(B808,'02. MM-KLH'!$B$6:$T$823,11,0),"")</f>
        <v/>
      </c>
      <c r="M808" s="864" t="str">
        <f>IFERROR(VLOOKUP(B808,'02. MM-KLH'!$B$6:$T$823,12,0),"")</f>
        <v/>
      </c>
      <c r="N808" s="110" t="str">
        <f>IFERROR(VLOOKUP(B808,'02. MM-KLH'!$B$6:$T$823,13,0),"")</f>
        <v/>
      </c>
      <c r="O808" s="110" t="str">
        <f>IFERROR(VLOOKUP(B808,'02. MM-KLH'!$B$6:$T$823,14,0),"")</f>
        <v/>
      </c>
      <c r="P808" s="101" t="str">
        <f>IFERROR(VLOOKUP(B808,'02. MM-KLH'!$B$6:$T$823,15,0),"")</f>
        <v/>
      </c>
      <c r="Q808" s="101" t="str">
        <f>IFERROR(VLOOKUP(B808,'02. MM-KLH'!$B$6:$T$823,16,0),"")</f>
        <v/>
      </c>
      <c r="R808" s="101" t="str">
        <f>IFERROR(VLOOKUP(B808,'02. MM-KLH'!$B$6:$T$823,17,0),"")</f>
        <v/>
      </c>
      <c r="S808" s="110" t="str">
        <f>IFERROR(VLOOKUP(B808,'02. MM-KLH'!$B$6:$T$823,18,0),"")</f>
        <v/>
      </c>
      <c r="T808" s="111" t="str">
        <f>IFERROR(VLOOKUP(B808,'02. MM-KLH'!$B$6:$T$823,19,0),"")</f>
        <v/>
      </c>
      <c r="U808" s="863"/>
    </row>
    <row r="809" ht="13.5" customHeight="1" spans="1:21">
      <c r="A809" s="102"/>
      <c r="B809" s="104"/>
      <c r="C809" s="102"/>
      <c r="D809" s="103" t="str">
        <f>IFERROR(VLOOKUP(B809,'02. MM-KLH'!$B$6:$T$823,3,0),"")</f>
        <v/>
      </c>
      <c r="E809" s="102" t="str">
        <f>IFERROR(VLOOKUP(B809,'02. MM-KLH'!$B$6:$T$823,4,0),"")</f>
        <v/>
      </c>
      <c r="F809" s="226"/>
      <c r="G809" s="102" t="str">
        <f>IFERROR(VLOOKUP(B809,'02. MM-KLH'!$B$6:$T$823,6,0),"")</f>
        <v/>
      </c>
      <c r="H809" s="227"/>
      <c r="I809" s="101" t="str">
        <f>IFERROR(VLOOKUP(B809,'02. MM-KLH'!$B$6:$T$823,8,0),"")</f>
        <v/>
      </c>
      <c r="J809" s="105" t="str">
        <f>IFERROR(VLOOKUP(B809,'02. MM-KLH'!$B$6:$T$823,9,0),"")</f>
        <v/>
      </c>
      <c r="K809" s="101" t="str">
        <f>IFERROR(VLOOKUP(B809,'02. MM-KLH'!$B$6:$T$823,10,0),"")</f>
        <v/>
      </c>
      <c r="L809" s="107" t="str">
        <f>IFERROR(VLOOKUP(B809,'02. MM-KLH'!$B$6:$T$823,11,0),"")</f>
        <v/>
      </c>
      <c r="M809" s="864" t="str">
        <f>IFERROR(VLOOKUP(B809,'02. MM-KLH'!$B$6:$T$823,12,0),"")</f>
        <v/>
      </c>
      <c r="N809" s="110" t="str">
        <f>IFERROR(VLOOKUP(B809,'02. MM-KLH'!$B$6:$T$823,13,0),"")</f>
        <v/>
      </c>
      <c r="O809" s="110" t="str">
        <f>IFERROR(VLOOKUP(B809,'02. MM-KLH'!$B$6:$T$823,14,0),"")</f>
        <v/>
      </c>
      <c r="P809" s="101" t="str">
        <f>IFERROR(VLOOKUP(B809,'02. MM-KLH'!$B$6:$T$823,15,0),"")</f>
        <v/>
      </c>
      <c r="Q809" s="101" t="str">
        <f>IFERROR(VLOOKUP(B809,'02. MM-KLH'!$B$6:$T$823,16,0),"")</f>
        <v/>
      </c>
      <c r="R809" s="101" t="str">
        <f>IFERROR(VLOOKUP(B809,'02. MM-KLH'!$B$6:$T$823,17,0),"")</f>
        <v/>
      </c>
      <c r="S809" s="110" t="str">
        <f>IFERROR(VLOOKUP(B809,'02. MM-KLH'!$B$6:$T$823,18,0),"")</f>
        <v/>
      </c>
      <c r="T809" s="111" t="str">
        <f>IFERROR(VLOOKUP(B809,'02. MM-KLH'!$B$6:$T$823,19,0),"")</f>
        <v/>
      </c>
      <c r="U809" s="863"/>
    </row>
    <row r="810" ht="13.5" customHeight="1" spans="1:21">
      <c r="A810" s="102"/>
      <c r="B810" s="104"/>
      <c r="C810" s="102"/>
      <c r="D810" s="103" t="str">
        <f>IFERROR(VLOOKUP(B810,'02. MM-KLH'!$B$6:$T$823,3,0),"")</f>
        <v/>
      </c>
      <c r="E810" s="102" t="str">
        <f>IFERROR(VLOOKUP(B810,'02. MM-KLH'!$B$6:$T$823,4,0),"")</f>
        <v/>
      </c>
      <c r="F810" s="226"/>
      <c r="G810" s="102" t="str">
        <f>IFERROR(VLOOKUP(B810,'02. MM-KLH'!$B$6:$T$823,6,0),"")</f>
        <v/>
      </c>
      <c r="H810" s="227"/>
      <c r="I810" s="101" t="str">
        <f>IFERROR(VLOOKUP(B810,'02. MM-KLH'!$B$6:$T$823,8,0),"")</f>
        <v/>
      </c>
      <c r="J810" s="105" t="str">
        <f>IFERROR(VLOOKUP(B810,'02. MM-KLH'!$B$6:$T$823,9,0),"")</f>
        <v/>
      </c>
      <c r="K810" s="101" t="str">
        <f>IFERROR(VLOOKUP(B810,'02. MM-KLH'!$B$6:$T$823,10,0),"")</f>
        <v/>
      </c>
      <c r="L810" s="107" t="str">
        <f>IFERROR(VLOOKUP(B810,'02. MM-KLH'!$B$6:$T$823,11,0),"")</f>
        <v/>
      </c>
      <c r="M810" s="864" t="str">
        <f>IFERROR(VLOOKUP(B810,'02. MM-KLH'!$B$6:$T$823,12,0),"")</f>
        <v/>
      </c>
      <c r="N810" s="110" t="str">
        <f>IFERROR(VLOOKUP(B810,'02. MM-KLH'!$B$6:$T$823,13,0),"")</f>
        <v/>
      </c>
      <c r="O810" s="110" t="str">
        <f>IFERROR(VLOOKUP(B810,'02. MM-KLH'!$B$6:$T$823,14,0),"")</f>
        <v/>
      </c>
      <c r="P810" s="101" t="str">
        <f>IFERROR(VLOOKUP(B810,'02. MM-KLH'!$B$6:$T$823,15,0),"")</f>
        <v/>
      </c>
      <c r="Q810" s="101" t="str">
        <f>IFERROR(VLOOKUP(B810,'02. MM-KLH'!$B$6:$T$823,16,0),"")</f>
        <v/>
      </c>
      <c r="R810" s="101" t="str">
        <f>IFERROR(VLOOKUP(B810,'02. MM-KLH'!$B$6:$T$823,17,0),"")</f>
        <v/>
      </c>
      <c r="S810" s="110" t="str">
        <f>IFERROR(VLOOKUP(B810,'02. MM-KLH'!$B$6:$T$823,18,0),"")</f>
        <v/>
      </c>
      <c r="T810" s="111" t="str">
        <f>IFERROR(VLOOKUP(B810,'02. MM-KLH'!$B$6:$T$823,19,0),"")</f>
        <v/>
      </c>
      <c r="U810" s="863"/>
    </row>
    <row r="811" ht="13.5" customHeight="1" spans="1:21">
      <c r="A811" s="102"/>
      <c r="B811" s="104"/>
      <c r="C811" s="102"/>
      <c r="D811" s="103" t="str">
        <f>IFERROR(VLOOKUP(B811,'02. MM-KLH'!$B$6:$T$823,3,0),"")</f>
        <v/>
      </c>
      <c r="E811" s="102" t="str">
        <f>IFERROR(VLOOKUP(B811,'02. MM-KLH'!$B$6:$T$823,4,0),"")</f>
        <v/>
      </c>
      <c r="F811" s="226"/>
      <c r="G811" s="102" t="str">
        <f>IFERROR(VLOOKUP(B811,'02. MM-KLH'!$B$6:$T$823,6,0),"")</f>
        <v/>
      </c>
      <c r="H811" s="227"/>
      <c r="I811" s="101" t="str">
        <f>IFERROR(VLOOKUP(B811,'02. MM-KLH'!$B$6:$T$823,8,0),"")</f>
        <v/>
      </c>
      <c r="J811" s="105" t="str">
        <f>IFERROR(VLOOKUP(B811,'02. MM-KLH'!$B$6:$T$823,9,0),"")</f>
        <v/>
      </c>
      <c r="K811" s="101" t="str">
        <f>IFERROR(VLOOKUP(B811,'02. MM-KLH'!$B$6:$T$823,10,0),"")</f>
        <v/>
      </c>
      <c r="L811" s="107" t="str">
        <f>IFERROR(VLOOKUP(B811,'02. MM-KLH'!$B$6:$T$823,11,0),"")</f>
        <v/>
      </c>
      <c r="M811" s="864" t="str">
        <f>IFERROR(VLOOKUP(B811,'02. MM-KLH'!$B$6:$T$823,12,0),"")</f>
        <v/>
      </c>
      <c r="N811" s="110" t="str">
        <f>IFERROR(VLOOKUP(B811,'02. MM-KLH'!$B$6:$T$823,13,0),"")</f>
        <v/>
      </c>
      <c r="O811" s="110" t="str">
        <f>IFERROR(VLOOKUP(B811,'02. MM-KLH'!$B$6:$T$823,14,0),"")</f>
        <v/>
      </c>
      <c r="P811" s="101" t="str">
        <f>IFERROR(VLOOKUP(B811,'02. MM-KLH'!$B$6:$T$823,15,0),"")</f>
        <v/>
      </c>
      <c r="Q811" s="101" t="str">
        <f>IFERROR(VLOOKUP(B811,'02. MM-KLH'!$B$6:$T$823,16,0),"")</f>
        <v/>
      </c>
      <c r="R811" s="101" t="str">
        <f>IFERROR(VLOOKUP(B811,'02. MM-KLH'!$B$6:$T$823,17,0),"")</f>
        <v/>
      </c>
      <c r="S811" s="110" t="str">
        <f>IFERROR(VLOOKUP(B811,'02. MM-KLH'!$B$6:$T$823,18,0),"")</f>
        <v/>
      </c>
      <c r="T811" s="111" t="str">
        <f>IFERROR(VLOOKUP(B811,'02. MM-KLH'!$B$6:$T$823,19,0),"")</f>
        <v/>
      </c>
      <c r="U811" s="863"/>
    </row>
    <row r="812" ht="13.5" customHeight="1" spans="1:21">
      <c r="A812" s="102"/>
      <c r="B812" s="104"/>
      <c r="C812" s="102"/>
      <c r="D812" s="103" t="str">
        <f>IFERROR(VLOOKUP(B812,'02. MM-KLH'!$B$6:$T$823,3,0),"")</f>
        <v/>
      </c>
      <c r="E812" s="102" t="str">
        <f>IFERROR(VLOOKUP(B812,'02. MM-KLH'!$B$6:$T$823,4,0),"")</f>
        <v/>
      </c>
      <c r="F812" s="226"/>
      <c r="G812" s="102" t="str">
        <f>IFERROR(VLOOKUP(B812,'02. MM-KLH'!$B$6:$T$823,6,0),"")</f>
        <v/>
      </c>
      <c r="H812" s="227"/>
      <c r="I812" s="101" t="str">
        <f>IFERROR(VLOOKUP(B812,'02. MM-KLH'!$B$6:$T$823,8,0),"")</f>
        <v/>
      </c>
      <c r="J812" s="105" t="str">
        <f>IFERROR(VLOOKUP(B812,'02. MM-KLH'!$B$6:$T$823,9,0),"")</f>
        <v/>
      </c>
      <c r="K812" s="101" t="str">
        <f>IFERROR(VLOOKUP(B812,'02. MM-KLH'!$B$6:$T$823,10,0),"")</f>
        <v/>
      </c>
      <c r="L812" s="107" t="str">
        <f>IFERROR(VLOOKUP(B812,'02. MM-KLH'!$B$6:$T$823,11,0),"")</f>
        <v/>
      </c>
      <c r="M812" s="864" t="str">
        <f>IFERROR(VLOOKUP(B812,'02. MM-KLH'!$B$6:$T$823,12,0),"")</f>
        <v/>
      </c>
      <c r="N812" s="110" t="str">
        <f>IFERROR(VLOOKUP(B812,'02. MM-KLH'!$B$6:$T$823,13,0),"")</f>
        <v/>
      </c>
      <c r="O812" s="110" t="str">
        <f>IFERROR(VLOOKUP(B812,'02. MM-KLH'!$B$6:$T$823,14,0),"")</f>
        <v/>
      </c>
      <c r="P812" s="101" t="str">
        <f>IFERROR(VLOOKUP(B812,'02. MM-KLH'!$B$6:$T$823,15,0),"")</f>
        <v/>
      </c>
      <c r="Q812" s="101" t="str">
        <f>IFERROR(VLOOKUP(B812,'02. MM-KLH'!$B$6:$T$823,16,0),"")</f>
        <v/>
      </c>
      <c r="R812" s="101" t="str">
        <f>IFERROR(VLOOKUP(B812,'02. MM-KLH'!$B$6:$T$823,17,0),"")</f>
        <v/>
      </c>
      <c r="S812" s="110" t="str">
        <f>IFERROR(VLOOKUP(B812,'02. MM-KLH'!$B$6:$T$823,18,0),"")</f>
        <v/>
      </c>
      <c r="T812" s="111" t="str">
        <f>IFERROR(VLOOKUP(B812,'02. MM-KLH'!$B$6:$T$823,19,0),"")</f>
        <v/>
      </c>
      <c r="U812" s="863"/>
    </row>
    <row r="813" ht="13.5" customHeight="1" spans="1:21">
      <c r="A813" s="102"/>
      <c r="B813" s="104"/>
      <c r="C813" s="102"/>
      <c r="D813" s="103" t="str">
        <f>IFERROR(VLOOKUP(B813,'02. MM-KLH'!$B$6:$T$823,3,0),"")</f>
        <v/>
      </c>
      <c r="E813" s="102" t="str">
        <f>IFERROR(VLOOKUP(B813,'02. MM-KLH'!$B$6:$T$823,4,0),"")</f>
        <v/>
      </c>
      <c r="F813" s="226"/>
      <c r="G813" s="102" t="str">
        <f>IFERROR(VLOOKUP(B813,'02. MM-KLH'!$B$6:$T$823,6,0),"")</f>
        <v/>
      </c>
      <c r="H813" s="227"/>
      <c r="I813" s="101" t="str">
        <f>IFERROR(VLOOKUP(B813,'02. MM-KLH'!$B$6:$T$823,8,0),"")</f>
        <v/>
      </c>
      <c r="J813" s="105" t="str">
        <f>IFERROR(VLOOKUP(B813,'02. MM-KLH'!$B$6:$T$823,9,0),"")</f>
        <v/>
      </c>
      <c r="K813" s="101" t="str">
        <f>IFERROR(VLOOKUP(B813,'02. MM-KLH'!$B$6:$T$823,10,0),"")</f>
        <v/>
      </c>
      <c r="L813" s="107" t="str">
        <f>IFERROR(VLOOKUP(B813,'02. MM-KLH'!$B$6:$T$823,11,0),"")</f>
        <v/>
      </c>
      <c r="M813" s="864" t="str">
        <f>IFERROR(VLOOKUP(B813,'02. MM-KLH'!$B$6:$T$823,12,0),"")</f>
        <v/>
      </c>
      <c r="N813" s="110" t="str">
        <f>IFERROR(VLOOKUP(B813,'02. MM-KLH'!$B$6:$T$823,13,0),"")</f>
        <v/>
      </c>
      <c r="O813" s="110" t="str">
        <f>IFERROR(VLOOKUP(B813,'02. MM-KLH'!$B$6:$T$823,14,0),"")</f>
        <v/>
      </c>
      <c r="P813" s="101" t="str">
        <f>IFERROR(VLOOKUP(B813,'02. MM-KLH'!$B$6:$T$823,15,0),"")</f>
        <v/>
      </c>
      <c r="Q813" s="101" t="str">
        <f>IFERROR(VLOOKUP(B813,'02. MM-KLH'!$B$6:$T$823,16,0),"")</f>
        <v/>
      </c>
      <c r="R813" s="101" t="str">
        <f>IFERROR(VLOOKUP(B813,'02. MM-KLH'!$B$6:$T$823,17,0),"")</f>
        <v/>
      </c>
      <c r="S813" s="110" t="str">
        <f>IFERROR(VLOOKUP(B813,'02. MM-KLH'!$B$6:$T$823,18,0),"")</f>
        <v/>
      </c>
      <c r="T813" s="111" t="str">
        <f>IFERROR(VLOOKUP(B813,'02. MM-KLH'!$B$6:$T$823,19,0),"")</f>
        <v/>
      </c>
      <c r="U813" s="863"/>
    </row>
    <row r="814" ht="13.5" customHeight="1" spans="1:21">
      <c r="A814" s="102"/>
      <c r="B814" s="104"/>
      <c r="C814" s="102"/>
      <c r="D814" s="103" t="str">
        <f>IFERROR(VLOOKUP(B814,'02. MM-KLH'!$B$6:$T$823,3,0),"")</f>
        <v/>
      </c>
      <c r="E814" s="102" t="str">
        <f>IFERROR(VLOOKUP(B814,'02. MM-KLH'!$B$6:$T$823,4,0),"")</f>
        <v/>
      </c>
      <c r="F814" s="226"/>
      <c r="G814" s="102" t="str">
        <f>IFERROR(VLOOKUP(B814,'02. MM-KLH'!$B$6:$T$823,6,0),"")</f>
        <v/>
      </c>
      <c r="H814" s="227"/>
      <c r="I814" s="101" t="str">
        <f>IFERROR(VLOOKUP(B814,'02. MM-KLH'!$B$6:$T$823,8,0),"")</f>
        <v/>
      </c>
      <c r="J814" s="105" t="str">
        <f>IFERROR(VLOOKUP(B814,'02. MM-KLH'!$B$6:$T$823,9,0),"")</f>
        <v/>
      </c>
      <c r="K814" s="101" t="str">
        <f>IFERROR(VLOOKUP(B814,'02. MM-KLH'!$B$6:$T$823,10,0),"")</f>
        <v/>
      </c>
      <c r="L814" s="107" t="str">
        <f>IFERROR(VLOOKUP(B814,'02. MM-KLH'!$B$6:$T$823,11,0),"")</f>
        <v/>
      </c>
      <c r="M814" s="864" t="str">
        <f>IFERROR(VLOOKUP(B814,'02. MM-KLH'!$B$6:$T$823,12,0),"")</f>
        <v/>
      </c>
      <c r="N814" s="110" t="str">
        <f>IFERROR(VLOOKUP(B814,'02. MM-KLH'!$B$6:$T$823,13,0),"")</f>
        <v/>
      </c>
      <c r="O814" s="110" t="str">
        <f>IFERROR(VLOOKUP(B814,'02. MM-KLH'!$B$6:$T$823,14,0),"")</f>
        <v/>
      </c>
      <c r="P814" s="101" t="str">
        <f>IFERROR(VLOOKUP(B814,'02. MM-KLH'!$B$6:$T$823,15,0),"")</f>
        <v/>
      </c>
      <c r="Q814" s="101" t="str">
        <f>IFERROR(VLOOKUP(B814,'02. MM-KLH'!$B$6:$T$823,16,0),"")</f>
        <v/>
      </c>
      <c r="R814" s="101" t="str">
        <f>IFERROR(VLOOKUP(B814,'02. MM-KLH'!$B$6:$T$823,17,0),"")</f>
        <v/>
      </c>
      <c r="S814" s="110" t="str">
        <f>IFERROR(VLOOKUP(B814,'02. MM-KLH'!$B$6:$T$823,18,0),"")</f>
        <v/>
      </c>
      <c r="T814" s="111" t="str">
        <f>IFERROR(VLOOKUP(B814,'02. MM-KLH'!$B$6:$T$823,19,0),"")</f>
        <v/>
      </c>
      <c r="U814" s="863"/>
    </row>
    <row r="815" ht="13.5" customHeight="1" spans="1:21">
      <c r="A815" s="102"/>
      <c r="B815" s="104"/>
      <c r="C815" s="102"/>
      <c r="D815" s="103" t="str">
        <f>IFERROR(VLOOKUP(B815,'02. MM-KLH'!$B$6:$T$823,3,0),"")</f>
        <v/>
      </c>
      <c r="E815" s="102" t="str">
        <f>IFERROR(VLOOKUP(B815,'02. MM-KLH'!$B$6:$T$823,4,0),"")</f>
        <v/>
      </c>
      <c r="F815" s="226"/>
      <c r="G815" s="102" t="str">
        <f>IFERROR(VLOOKUP(B815,'02. MM-KLH'!$B$6:$T$823,6,0),"")</f>
        <v/>
      </c>
      <c r="H815" s="227"/>
      <c r="I815" s="101" t="str">
        <f>IFERROR(VLOOKUP(B815,'02. MM-KLH'!$B$6:$T$823,8,0),"")</f>
        <v/>
      </c>
      <c r="J815" s="105" t="str">
        <f>IFERROR(VLOOKUP(B815,'02. MM-KLH'!$B$6:$T$823,9,0),"")</f>
        <v/>
      </c>
      <c r="K815" s="101" t="str">
        <f>IFERROR(VLOOKUP(B815,'02. MM-KLH'!$B$6:$T$823,10,0),"")</f>
        <v/>
      </c>
      <c r="L815" s="107" t="str">
        <f>IFERROR(VLOOKUP(B815,'02. MM-KLH'!$B$6:$T$823,11,0),"")</f>
        <v/>
      </c>
      <c r="M815" s="864" t="str">
        <f>IFERROR(VLOOKUP(B815,'02. MM-KLH'!$B$6:$T$823,12,0),"")</f>
        <v/>
      </c>
      <c r="N815" s="110" t="str">
        <f>IFERROR(VLOOKUP(B815,'02. MM-KLH'!$B$6:$T$823,13,0),"")</f>
        <v/>
      </c>
      <c r="O815" s="110" t="str">
        <f>IFERROR(VLOOKUP(B815,'02. MM-KLH'!$B$6:$T$823,14,0),"")</f>
        <v/>
      </c>
      <c r="P815" s="101" t="str">
        <f>IFERROR(VLOOKUP(B815,'02. MM-KLH'!$B$6:$T$823,15,0),"")</f>
        <v/>
      </c>
      <c r="Q815" s="101" t="str">
        <f>IFERROR(VLOOKUP(B815,'02. MM-KLH'!$B$6:$T$823,16,0),"")</f>
        <v/>
      </c>
      <c r="R815" s="101" t="str">
        <f>IFERROR(VLOOKUP(B815,'02. MM-KLH'!$B$6:$T$823,17,0),"")</f>
        <v/>
      </c>
      <c r="S815" s="110" t="str">
        <f>IFERROR(VLOOKUP(B815,'02. MM-KLH'!$B$6:$T$823,18,0),"")</f>
        <v/>
      </c>
      <c r="T815" s="111" t="str">
        <f>IFERROR(VLOOKUP(B815,'02. MM-KLH'!$B$6:$T$823,19,0),"")</f>
        <v/>
      </c>
      <c r="U815" s="863"/>
    </row>
    <row r="816" ht="13.5" customHeight="1" spans="1:21">
      <c r="A816" s="102"/>
      <c r="B816" s="104"/>
      <c r="C816" s="102"/>
      <c r="D816" s="103" t="str">
        <f>IFERROR(VLOOKUP(B816,'02. MM-KLH'!$B$6:$T$823,3,0),"")</f>
        <v/>
      </c>
      <c r="E816" s="102" t="str">
        <f>IFERROR(VLOOKUP(B816,'02. MM-KLH'!$B$6:$T$823,4,0),"")</f>
        <v/>
      </c>
      <c r="F816" s="226"/>
      <c r="G816" s="102" t="str">
        <f>IFERROR(VLOOKUP(B816,'02. MM-KLH'!$B$6:$T$823,6,0),"")</f>
        <v/>
      </c>
      <c r="H816" s="227"/>
      <c r="I816" s="101" t="str">
        <f>IFERROR(VLOOKUP(B816,'02. MM-KLH'!$B$6:$T$823,8,0),"")</f>
        <v/>
      </c>
      <c r="J816" s="105" t="str">
        <f>IFERROR(VLOOKUP(B816,'02. MM-KLH'!$B$6:$T$823,9,0),"")</f>
        <v/>
      </c>
      <c r="K816" s="101" t="str">
        <f>IFERROR(VLOOKUP(B816,'02. MM-KLH'!$B$6:$T$823,10,0),"")</f>
        <v/>
      </c>
      <c r="L816" s="107" t="str">
        <f>IFERROR(VLOOKUP(B816,'02. MM-KLH'!$B$6:$T$823,11,0),"")</f>
        <v/>
      </c>
      <c r="M816" s="864" t="str">
        <f>IFERROR(VLOOKUP(B816,'02. MM-KLH'!$B$6:$T$823,12,0),"")</f>
        <v/>
      </c>
      <c r="N816" s="110" t="str">
        <f>IFERROR(VLOOKUP(B816,'02. MM-KLH'!$B$6:$T$823,13,0),"")</f>
        <v/>
      </c>
      <c r="O816" s="110" t="str">
        <f>IFERROR(VLOOKUP(B816,'02. MM-KLH'!$B$6:$T$823,14,0),"")</f>
        <v/>
      </c>
      <c r="P816" s="101" t="str">
        <f>IFERROR(VLOOKUP(B816,'02. MM-KLH'!$B$6:$T$823,15,0),"")</f>
        <v/>
      </c>
      <c r="Q816" s="101" t="str">
        <f>IFERROR(VLOOKUP(B816,'02. MM-KLH'!$B$6:$T$823,16,0),"")</f>
        <v/>
      </c>
      <c r="R816" s="101" t="str">
        <f>IFERROR(VLOOKUP(B816,'02. MM-KLH'!$B$6:$T$823,17,0),"")</f>
        <v/>
      </c>
      <c r="S816" s="110" t="str">
        <f>IFERROR(VLOOKUP(B816,'02. MM-KLH'!$B$6:$T$823,18,0),"")</f>
        <v/>
      </c>
      <c r="T816" s="111" t="str">
        <f>IFERROR(VLOOKUP(B816,'02. MM-KLH'!$B$6:$T$823,19,0),"")</f>
        <v/>
      </c>
      <c r="U816" s="863"/>
    </row>
    <row r="817" ht="13.5" customHeight="1" spans="1:21">
      <c r="A817" s="102"/>
      <c r="B817" s="104"/>
      <c r="C817" s="102"/>
      <c r="D817" s="103" t="str">
        <f>IFERROR(VLOOKUP(B817,'02. MM-KLH'!$B$6:$T$823,3,0),"")</f>
        <v/>
      </c>
      <c r="E817" s="102" t="str">
        <f>IFERROR(VLOOKUP(B817,'02. MM-KLH'!$B$6:$T$823,4,0),"")</f>
        <v/>
      </c>
      <c r="F817" s="226"/>
      <c r="G817" s="102" t="str">
        <f>IFERROR(VLOOKUP(B817,'02. MM-KLH'!$B$6:$T$823,6,0),"")</f>
        <v/>
      </c>
      <c r="H817" s="227"/>
      <c r="I817" s="101" t="str">
        <f>IFERROR(VLOOKUP(B817,'02. MM-KLH'!$B$6:$T$823,8,0),"")</f>
        <v/>
      </c>
      <c r="J817" s="105" t="str">
        <f>IFERROR(VLOOKUP(B817,'02. MM-KLH'!$B$6:$T$823,9,0),"")</f>
        <v/>
      </c>
      <c r="K817" s="101" t="str">
        <f>IFERROR(VLOOKUP(B817,'02. MM-KLH'!$B$6:$T$823,10,0),"")</f>
        <v/>
      </c>
      <c r="L817" s="107" t="str">
        <f>IFERROR(VLOOKUP(B817,'02. MM-KLH'!$B$6:$T$823,11,0),"")</f>
        <v/>
      </c>
      <c r="M817" s="864" t="str">
        <f>IFERROR(VLOOKUP(B817,'02. MM-KLH'!$B$6:$T$823,12,0),"")</f>
        <v/>
      </c>
      <c r="N817" s="110" t="str">
        <f>IFERROR(VLOOKUP(B817,'02. MM-KLH'!$B$6:$T$823,13,0),"")</f>
        <v/>
      </c>
      <c r="O817" s="110" t="str">
        <f>IFERROR(VLOOKUP(B817,'02. MM-KLH'!$B$6:$T$823,14,0),"")</f>
        <v/>
      </c>
      <c r="P817" s="101" t="str">
        <f>IFERROR(VLOOKUP(B817,'02. MM-KLH'!$B$6:$T$823,15,0),"")</f>
        <v/>
      </c>
      <c r="Q817" s="101" t="str">
        <f>IFERROR(VLOOKUP(B817,'02. MM-KLH'!$B$6:$T$823,16,0),"")</f>
        <v/>
      </c>
      <c r="R817" s="101" t="str">
        <f>IFERROR(VLOOKUP(B817,'02. MM-KLH'!$B$6:$T$823,17,0),"")</f>
        <v/>
      </c>
      <c r="S817" s="110" t="str">
        <f>IFERROR(VLOOKUP(B817,'02. MM-KLH'!$B$6:$T$823,18,0),"")</f>
        <v/>
      </c>
      <c r="T817" s="111" t="str">
        <f>IFERROR(VLOOKUP(B817,'02. MM-KLH'!$B$6:$T$823,19,0),"")</f>
        <v/>
      </c>
      <c r="U817" s="863"/>
    </row>
    <row r="818" ht="13.5" customHeight="1" spans="1:21">
      <c r="A818" s="102"/>
      <c r="B818" s="104"/>
      <c r="C818" s="102"/>
      <c r="D818" s="103" t="str">
        <f>IFERROR(VLOOKUP(B818,'02. MM-KLH'!$B$6:$T$823,3,0),"")</f>
        <v/>
      </c>
      <c r="E818" s="102" t="str">
        <f>IFERROR(VLOOKUP(B818,'02. MM-KLH'!$B$6:$T$823,4,0),"")</f>
        <v/>
      </c>
      <c r="F818" s="226"/>
      <c r="G818" s="102" t="str">
        <f>IFERROR(VLOOKUP(B818,'02. MM-KLH'!$B$6:$T$823,6,0),"")</f>
        <v/>
      </c>
      <c r="H818" s="227"/>
      <c r="I818" s="101" t="str">
        <f>IFERROR(VLOOKUP(B818,'02. MM-KLH'!$B$6:$T$823,8,0),"")</f>
        <v/>
      </c>
      <c r="J818" s="105" t="str">
        <f>IFERROR(VLOOKUP(B818,'02. MM-KLH'!$B$6:$T$823,9,0),"")</f>
        <v/>
      </c>
      <c r="K818" s="101" t="str">
        <f>IFERROR(VLOOKUP(B818,'02. MM-KLH'!$B$6:$T$823,10,0),"")</f>
        <v/>
      </c>
      <c r="L818" s="107" t="str">
        <f>IFERROR(VLOOKUP(B818,'02. MM-KLH'!$B$6:$T$823,11,0),"")</f>
        <v/>
      </c>
      <c r="M818" s="864" t="str">
        <f>IFERROR(VLOOKUP(B818,'02. MM-KLH'!$B$6:$T$823,12,0),"")</f>
        <v/>
      </c>
      <c r="N818" s="110" t="str">
        <f>IFERROR(VLOOKUP(B818,'02. MM-KLH'!$B$6:$T$823,13,0),"")</f>
        <v/>
      </c>
      <c r="O818" s="110" t="str">
        <f>IFERROR(VLOOKUP(B818,'02. MM-KLH'!$B$6:$T$823,14,0),"")</f>
        <v/>
      </c>
      <c r="P818" s="101" t="str">
        <f>IFERROR(VLOOKUP(B818,'02. MM-KLH'!$B$6:$T$823,15,0),"")</f>
        <v/>
      </c>
      <c r="Q818" s="101" t="str">
        <f>IFERROR(VLOOKUP(B818,'02. MM-KLH'!$B$6:$T$823,16,0),"")</f>
        <v/>
      </c>
      <c r="R818" s="101" t="str">
        <f>IFERROR(VLOOKUP(B818,'02. MM-KLH'!$B$6:$T$823,17,0),"")</f>
        <v/>
      </c>
      <c r="S818" s="110" t="str">
        <f>IFERROR(VLOOKUP(B818,'02. MM-KLH'!$B$6:$T$823,18,0),"")</f>
        <v/>
      </c>
      <c r="T818" s="111" t="str">
        <f>IFERROR(VLOOKUP(B818,'02. MM-KLH'!$B$6:$T$823,19,0),"")</f>
        <v/>
      </c>
      <c r="U818" s="863"/>
    </row>
    <row r="819" ht="13.5" customHeight="1" spans="1:21">
      <c r="A819" s="102"/>
      <c r="B819" s="104"/>
      <c r="C819" s="102"/>
      <c r="D819" s="103" t="str">
        <f>IFERROR(VLOOKUP(B819,'02. MM-KLH'!$B$6:$T$823,3,0),"")</f>
        <v/>
      </c>
      <c r="E819" s="102" t="str">
        <f>IFERROR(VLOOKUP(B819,'02. MM-KLH'!$B$6:$T$823,4,0),"")</f>
        <v/>
      </c>
      <c r="F819" s="226"/>
      <c r="G819" s="102" t="str">
        <f>IFERROR(VLOOKUP(B819,'02. MM-KLH'!$B$6:$T$823,6,0),"")</f>
        <v/>
      </c>
      <c r="H819" s="227"/>
      <c r="I819" s="101" t="str">
        <f>IFERROR(VLOOKUP(B819,'02. MM-KLH'!$B$6:$T$823,8,0),"")</f>
        <v/>
      </c>
      <c r="J819" s="105" t="str">
        <f>IFERROR(VLOOKUP(B819,'02. MM-KLH'!$B$6:$T$823,9,0),"")</f>
        <v/>
      </c>
      <c r="K819" s="101" t="str">
        <f>IFERROR(VLOOKUP(B819,'02. MM-KLH'!$B$6:$T$823,10,0),"")</f>
        <v/>
      </c>
      <c r="L819" s="107" t="str">
        <f>IFERROR(VLOOKUP(B819,'02. MM-KLH'!$B$6:$T$823,11,0),"")</f>
        <v/>
      </c>
      <c r="M819" s="864" t="str">
        <f>IFERROR(VLOOKUP(B819,'02. MM-KLH'!$B$6:$T$823,12,0),"")</f>
        <v/>
      </c>
      <c r="N819" s="110" t="str">
        <f>IFERROR(VLOOKUP(B819,'02. MM-KLH'!$B$6:$T$823,13,0),"")</f>
        <v/>
      </c>
      <c r="O819" s="110" t="str">
        <f>IFERROR(VLOOKUP(B819,'02. MM-KLH'!$B$6:$T$823,14,0),"")</f>
        <v/>
      </c>
      <c r="P819" s="101" t="str">
        <f>IFERROR(VLOOKUP(B819,'02. MM-KLH'!$B$6:$T$823,15,0),"")</f>
        <v/>
      </c>
      <c r="Q819" s="101" t="str">
        <f>IFERROR(VLOOKUP(B819,'02. MM-KLH'!$B$6:$T$823,16,0),"")</f>
        <v/>
      </c>
      <c r="R819" s="101" t="str">
        <f>IFERROR(VLOOKUP(B819,'02. MM-KLH'!$B$6:$T$823,17,0),"")</f>
        <v/>
      </c>
      <c r="S819" s="110" t="str">
        <f>IFERROR(VLOOKUP(B819,'02. MM-KLH'!$B$6:$T$823,18,0),"")</f>
        <v/>
      </c>
      <c r="T819" s="111" t="str">
        <f>IFERROR(VLOOKUP(B819,'02. MM-KLH'!$B$6:$T$823,19,0),"")</f>
        <v/>
      </c>
      <c r="U819" s="863"/>
    </row>
    <row r="820" ht="13.5" customHeight="1" spans="1:21">
      <c r="A820" s="102"/>
      <c r="B820" s="104"/>
      <c r="C820" s="102"/>
      <c r="D820" s="103" t="str">
        <f>IFERROR(VLOOKUP(B820,'02. MM-KLH'!$B$6:$T$823,3,0),"")</f>
        <v/>
      </c>
      <c r="E820" s="102" t="str">
        <f>IFERROR(VLOOKUP(B820,'02. MM-KLH'!$B$6:$T$823,4,0),"")</f>
        <v/>
      </c>
      <c r="F820" s="226"/>
      <c r="G820" s="102" t="str">
        <f>IFERROR(VLOOKUP(B820,'02. MM-KLH'!$B$6:$T$823,6,0),"")</f>
        <v/>
      </c>
      <c r="H820" s="227"/>
      <c r="I820" s="101" t="str">
        <f>IFERROR(VLOOKUP(B820,'02. MM-KLH'!$B$6:$T$823,8,0),"")</f>
        <v/>
      </c>
      <c r="J820" s="105" t="str">
        <f>IFERROR(VLOOKUP(B820,'02. MM-KLH'!$B$6:$T$823,9,0),"")</f>
        <v/>
      </c>
      <c r="K820" s="101" t="str">
        <f>IFERROR(VLOOKUP(B820,'02. MM-KLH'!$B$6:$T$823,10,0),"")</f>
        <v/>
      </c>
      <c r="L820" s="107" t="str">
        <f>IFERROR(VLOOKUP(B820,'02. MM-KLH'!$B$6:$T$823,11,0),"")</f>
        <v/>
      </c>
      <c r="M820" s="864" t="str">
        <f>IFERROR(VLOOKUP(B820,'02. MM-KLH'!$B$6:$T$823,12,0),"")</f>
        <v/>
      </c>
      <c r="N820" s="110" t="str">
        <f>IFERROR(VLOOKUP(B820,'02. MM-KLH'!$B$6:$T$823,13,0),"")</f>
        <v/>
      </c>
      <c r="O820" s="110" t="str">
        <f>IFERROR(VLOOKUP(B820,'02. MM-KLH'!$B$6:$T$823,14,0),"")</f>
        <v/>
      </c>
      <c r="P820" s="101" t="str">
        <f>IFERROR(VLOOKUP(B820,'02. MM-KLH'!$B$6:$T$823,15,0),"")</f>
        <v/>
      </c>
      <c r="Q820" s="101" t="str">
        <f>IFERROR(VLOOKUP(B820,'02. MM-KLH'!$B$6:$T$823,16,0),"")</f>
        <v/>
      </c>
      <c r="R820" s="101" t="str">
        <f>IFERROR(VLOOKUP(B820,'02. MM-KLH'!$B$6:$T$823,17,0),"")</f>
        <v/>
      </c>
      <c r="S820" s="110" t="str">
        <f>IFERROR(VLOOKUP(B820,'02. MM-KLH'!$B$6:$T$823,18,0),"")</f>
        <v/>
      </c>
      <c r="T820" s="111" t="str">
        <f>IFERROR(VLOOKUP(B820,'02. MM-KLH'!$B$6:$T$823,19,0),"")</f>
        <v/>
      </c>
      <c r="U820" s="863"/>
    </row>
    <row r="821" ht="13.5" customHeight="1" spans="1:21">
      <c r="A821" s="102"/>
      <c r="B821" s="104"/>
      <c r="C821" s="102"/>
      <c r="D821" s="103" t="str">
        <f>IFERROR(VLOOKUP(B821,'02. MM-KLH'!$B$6:$T$823,3,0),"")</f>
        <v/>
      </c>
      <c r="E821" s="102" t="str">
        <f>IFERROR(VLOOKUP(B821,'02. MM-KLH'!$B$6:$T$823,4,0),"")</f>
        <v/>
      </c>
      <c r="F821" s="226"/>
      <c r="G821" s="102" t="str">
        <f>IFERROR(VLOOKUP(B821,'02. MM-KLH'!$B$6:$T$823,6,0),"")</f>
        <v/>
      </c>
      <c r="H821" s="227"/>
      <c r="I821" s="101" t="str">
        <f>IFERROR(VLOOKUP(B821,'02. MM-KLH'!$B$6:$T$823,8,0),"")</f>
        <v/>
      </c>
      <c r="J821" s="105" t="str">
        <f>IFERROR(VLOOKUP(B821,'02. MM-KLH'!$B$6:$T$823,9,0),"")</f>
        <v/>
      </c>
      <c r="K821" s="101" t="str">
        <f>IFERROR(VLOOKUP(B821,'02. MM-KLH'!$B$6:$T$823,10,0),"")</f>
        <v/>
      </c>
      <c r="L821" s="107" t="str">
        <f>IFERROR(VLOOKUP(B821,'02. MM-KLH'!$B$6:$T$823,11,0),"")</f>
        <v/>
      </c>
      <c r="M821" s="864" t="str">
        <f>IFERROR(VLOOKUP(B821,'02. MM-KLH'!$B$6:$T$823,12,0),"")</f>
        <v/>
      </c>
      <c r="N821" s="110" t="str">
        <f>IFERROR(VLOOKUP(B821,'02. MM-KLH'!$B$6:$T$823,13,0),"")</f>
        <v/>
      </c>
      <c r="O821" s="110" t="str">
        <f>IFERROR(VLOOKUP(B821,'02. MM-KLH'!$B$6:$T$823,14,0),"")</f>
        <v/>
      </c>
      <c r="P821" s="101" t="str">
        <f>IFERROR(VLOOKUP(B821,'02. MM-KLH'!$B$6:$T$823,15,0),"")</f>
        <v/>
      </c>
      <c r="Q821" s="101" t="str">
        <f>IFERROR(VLOOKUP(B821,'02. MM-KLH'!$B$6:$T$823,16,0),"")</f>
        <v/>
      </c>
      <c r="R821" s="101" t="str">
        <f>IFERROR(VLOOKUP(B821,'02. MM-KLH'!$B$6:$T$823,17,0),"")</f>
        <v/>
      </c>
      <c r="S821" s="110" t="str">
        <f>IFERROR(VLOOKUP(B821,'02. MM-KLH'!$B$6:$T$823,18,0),"")</f>
        <v/>
      </c>
      <c r="T821" s="111" t="str">
        <f>IFERROR(VLOOKUP(B821,'02. MM-KLH'!$B$6:$T$823,19,0),"")</f>
        <v/>
      </c>
      <c r="U821" s="863"/>
    </row>
    <row r="822" ht="13.5" customHeight="1" spans="1:21">
      <c r="A822" s="102"/>
      <c r="B822" s="104"/>
      <c r="C822" s="102"/>
      <c r="D822" s="103" t="str">
        <f>IFERROR(VLOOKUP(B822,'02. MM-KLH'!$B$6:$T$823,3,0),"")</f>
        <v/>
      </c>
      <c r="E822" s="102" t="str">
        <f>IFERROR(VLOOKUP(B822,'02. MM-KLH'!$B$6:$T$823,4,0),"")</f>
        <v/>
      </c>
      <c r="F822" s="226"/>
      <c r="G822" s="102" t="str">
        <f>IFERROR(VLOOKUP(B822,'02. MM-KLH'!$B$6:$T$823,6,0),"")</f>
        <v/>
      </c>
      <c r="H822" s="227"/>
      <c r="I822" s="101" t="str">
        <f>IFERROR(VLOOKUP(B822,'02. MM-KLH'!$B$6:$T$823,8,0),"")</f>
        <v/>
      </c>
      <c r="J822" s="105" t="str">
        <f>IFERROR(VLOOKUP(B822,'02. MM-KLH'!$B$6:$T$823,9,0),"")</f>
        <v/>
      </c>
      <c r="K822" s="101" t="str">
        <f>IFERROR(VLOOKUP(B822,'02. MM-KLH'!$B$6:$T$823,10,0),"")</f>
        <v/>
      </c>
      <c r="L822" s="107" t="str">
        <f>IFERROR(VLOOKUP(B822,'02. MM-KLH'!$B$6:$T$823,11,0),"")</f>
        <v/>
      </c>
      <c r="M822" s="864" t="str">
        <f>IFERROR(VLOOKUP(B822,'02. MM-KLH'!$B$6:$T$823,12,0),"")</f>
        <v/>
      </c>
      <c r="N822" s="110" t="str">
        <f>IFERROR(VLOOKUP(B822,'02. MM-KLH'!$B$6:$T$823,13,0),"")</f>
        <v/>
      </c>
      <c r="O822" s="110" t="str">
        <f>IFERROR(VLOOKUP(B822,'02. MM-KLH'!$B$6:$T$823,14,0),"")</f>
        <v/>
      </c>
      <c r="P822" s="101" t="str">
        <f>IFERROR(VLOOKUP(B822,'02. MM-KLH'!$B$6:$T$823,15,0),"")</f>
        <v/>
      </c>
      <c r="Q822" s="101" t="str">
        <f>IFERROR(VLOOKUP(B822,'02. MM-KLH'!$B$6:$T$823,16,0),"")</f>
        <v/>
      </c>
      <c r="R822" s="101" t="str">
        <f>IFERROR(VLOOKUP(B822,'02. MM-KLH'!$B$6:$T$823,17,0),"")</f>
        <v/>
      </c>
      <c r="S822" s="110" t="str">
        <f>IFERROR(VLOOKUP(B822,'02. MM-KLH'!$B$6:$T$823,18,0),"")</f>
        <v/>
      </c>
      <c r="T822" s="111" t="str">
        <f>IFERROR(VLOOKUP(B822,'02. MM-KLH'!$B$6:$T$823,19,0),"")</f>
        <v/>
      </c>
      <c r="U822" s="863"/>
    </row>
    <row r="823" ht="13.5" customHeight="1" spans="1:21">
      <c r="A823" s="102"/>
      <c r="B823" s="104"/>
      <c r="C823" s="102"/>
      <c r="D823" s="103" t="str">
        <f>IFERROR(VLOOKUP(B823,'02. MM-KLH'!$B$6:$T$823,3,0),"")</f>
        <v/>
      </c>
      <c r="E823" s="102" t="str">
        <f>IFERROR(VLOOKUP(B823,'02. MM-KLH'!$B$6:$T$823,4,0),"")</f>
        <v/>
      </c>
      <c r="F823" s="226"/>
      <c r="G823" s="102" t="str">
        <f>IFERROR(VLOOKUP(B823,'02. MM-KLH'!$B$6:$T$823,6,0),"")</f>
        <v/>
      </c>
      <c r="H823" s="227"/>
      <c r="I823" s="101" t="str">
        <f>IFERROR(VLOOKUP(B823,'02. MM-KLH'!$B$6:$T$823,8,0),"")</f>
        <v/>
      </c>
      <c r="J823" s="105" t="str">
        <f>IFERROR(VLOOKUP(B823,'02. MM-KLH'!$B$6:$T$823,9,0),"")</f>
        <v/>
      </c>
      <c r="K823" s="101" t="str">
        <f>IFERROR(VLOOKUP(B823,'02. MM-KLH'!$B$6:$T$823,10,0),"")</f>
        <v/>
      </c>
      <c r="L823" s="107" t="str">
        <f>IFERROR(VLOOKUP(B823,'02. MM-KLH'!$B$6:$T$823,11,0),"")</f>
        <v/>
      </c>
      <c r="M823" s="864" t="str">
        <f>IFERROR(VLOOKUP(B823,'02. MM-KLH'!$B$6:$T$823,12,0),"")</f>
        <v/>
      </c>
      <c r="N823" s="110" t="str">
        <f>IFERROR(VLOOKUP(B823,'02. MM-KLH'!$B$6:$T$823,13,0),"")</f>
        <v/>
      </c>
      <c r="O823" s="110" t="str">
        <f>IFERROR(VLOOKUP(B823,'02. MM-KLH'!$B$6:$T$823,14,0),"")</f>
        <v/>
      </c>
      <c r="P823" s="101" t="str">
        <f>IFERROR(VLOOKUP(B823,'02. MM-KLH'!$B$6:$T$823,15,0),"")</f>
        <v/>
      </c>
      <c r="Q823" s="101" t="str">
        <f>IFERROR(VLOOKUP(B823,'02. MM-KLH'!$B$6:$T$823,16,0),"")</f>
        <v/>
      </c>
      <c r="R823" s="101" t="str">
        <f>IFERROR(VLOOKUP(B823,'02. MM-KLH'!$B$6:$T$823,17,0),"")</f>
        <v/>
      </c>
      <c r="S823" s="110" t="str">
        <f>IFERROR(VLOOKUP(B823,'02. MM-KLH'!$B$6:$T$823,18,0),"")</f>
        <v/>
      </c>
      <c r="T823" s="111" t="str">
        <f>IFERROR(VLOOKUP(B823,'02. MM-KLH'!$B$6:$T$823,19,0),"")</f>
        <v/>
      </c>
      <c r="U823" s="863"/>
    </row>
    <row r="824" ht="13.5" customHeight="1" spans="1:21">
      <c r="A824" s="102"/>
      <c r="B824" s="104"/>
      <c r="C824" s="102"/>
      <c r="D824" s="103" t="str">
        <f>IFERROR(VLOOKUP(B824,'02. MM-KLH'!$B$6:$T$823,3,0),"")</f>
        <v/>
      </c>
      <c r="E824" s="102" t="str">
        <f>IFERROR(VLOOKUP(B824,'02. MM-KLH'!$B$6:$T$823,4,0),"")</f>
        <v/>
      </c>
      <c r="F824" s="226"/>
      <c r="G824" s="102" t="str">
        <f>IFERROR(VLOOKUP(B824,'02. MM-KLH'!$B$6:$T$823,6,0),"")</f>
        <v/>
      </c>
      <c r="H824" s="227"/>
      <c r="I824" s="101" t="str">
        <f>IFERROR(VLOOKUP(B824,'02. MM-KLH'!$B$6:$T$823,8,0),"")</f>
        <v/>
      </c>
      <c r="J824" s="105" t="str">
        <f>IFERROR(VLOOKUP(B824,'02. MM-KLH'!$B$6:$T$823,9,0),"")</f>
        <v/>
      </c>
      <c r="K824" s="101" t="str">
        <f>IFERROR(VLOOKUP(B824,'02. MM-KLH'!$B$6:$T$823,10,0),"")</f>
        <v/>
      </c>
      <c r="L824" s="107" t="str">
        <f>IFERROR(VLOOKUP(B824,'02. MM-KLH'!$B$6:$T$823,11,0),"")</f>
        <v/>
      </c>
      <c r="M824" s="864" t="str">
        <f>IFERROR(VLOOKUP(B824,'02. MM-KLH'!$B$6:$T$823,12,0),"")</f>
        <v/>
      </c>
      <c r="N824" s="110" t="str">
        <f>IFERROR(VLOOKUP(B824,'02. MM-KLH'!$B$6:$T$823,13,0),"")</f>
        <v/>
      </c>
      <c r="O824" s="110" t="str">
        <f>IFERROR(VLOOKUP(B824,'02. MM-KLH'!$B$6:$T$823,14,0),"")</f>
        <v/>
      </c>
      <c r="P824" s="101" t="str">
        <f>IFERROR(VLOOKUP(B824,'02. MM-KLH'!$B$6:$T$823,15,0),"")</f>
        <v/>
      </c>
      <c r="Q824" s="101" t="str">
        <f>IFERROR(VLOOKUP(B824,'02. MM-KLH'!$B$6:$T$823,16,0),"")</f>
        <v/>
      </c>
      <c r="R824" s="101" t="str">
        <f>IFERROR(VLOOKUP(B824,'02. MM-KLH'!$B$6:$T$823,17,0),"")</f>
        <v/>
      </c>
      <c r="S824" s="110" t="str">
        <f>IFERROR(VLOOKUP(B824,'02. MM-KLH'!$B$6:$T$823,18,0),"")</f>
        <v/>
      </c>
      <c r="T824" s="111" t="str">
        <f>IFERROR(VLOOKUP(B824,'02. MM-KLH'!$B$6:$T$823,19,0),"")</f>
        <v/>
      </c>
      <c r="U824" s="863"/>
    </row>
    <row r="825" ht="13.5" customHeight="1" spans="1:21">
      <c r="A825" s="102"/>
      <c r="B825" s="104"/>
      <c r="C825" s="102"/>
      <c r="D825" s="103" t="str">
        <f>IFERROR(VLOOKUP(B825,'02. MM-KLH'!$B$6:$T$823,3,0),"")</f>
        <v/>
      </c>
      <c r="E825" s="102" t="str">
        <f>IFERROR(VLOOKUP(B825,'02. MM-KLH'!$B$6:$T$823,4,0),"")</f>
        <v/>
      </c>
      <c r="F825" s="226"/>
      <c r="G825" s="102" t="str">
        <f>IFERROR(VLOOKUP(B825,'02. MM-KLH'!$B$6:$T$823,6,0),"")</f>
        <v/>
      </c>
      <c r="H825" s="227"/>
      <c r="I825" s="101" t="str">
        <f>IFERROR(VLOOKUP(B825,'02. MM-KLH'!$B$6:$T$823,8,0),"")</f>
        <v/>
      </c>
      <c r="J825" s="105" t="str">
        <f>IFERROR(VLOOKUP(B825,'02. MM-KLH'!$B$6:$T$823,9,0),"")</f>
        <v/>
      </c>
      <c r="K825" s="101" t="str">
        <f>IFERROR(VLOOKUP(B825,'02. MM-KLH'!$B$6:$T$823,10,0),"")</f>
        <v/>
      </c>
      <c r="L825" s="107" t="str">
        <f>IFERROR(VLOOKUP(B825,'02. MM-KLH'!$B$6:$T$823,11,0),"")</f>
        <v/>
      </c>
      <c r="M825" s="864" t="str">
        <f>IFERROR(VLOOKUP(B825,'02. MM-KLH'!$B$6:$T$823,12,0),"")</f>
        <v/>
      </c>
      <c r="N825" s="110" t="str">
        <f>IFERROR(VLOOKUP(B825,'02. MM-KLH'!$B$6:$T$823,13,0),"")</f>
        <v/>
      </c>
      <c r="O825" s="110" t="str">
        <f>IFERROR(VLOOKUP(B825,'02. MM-KLH'!$B$6:$T$823,14,0),"")</f>
        <v/>
      </c>
      <c r="P825" s="101" t="str">
        <f>IFERROR(VLOOKUP(B825,'02. MM-KLH'!$B$6:$T$823,15,0),"")</f>
        <v/>
      </c>
      <c r="Q825" s="101" t="str">
        <f>IFERROR(VLOOKUP(B825,'02. MM-KLH'!$B$6:$T$823,16,0),"")</f>
        <v/>
      </c>
      <c r="R825" s="101" t="str">
        <f>IFERROR(VLOOKUP(B825,'02. MM-KLH'!$B$6:$T$823,17,0),"")</f>
        <v/>
      </c>
      <c r="S825" s="110" t="str">
        <f>IFERROR(VLOOKUP(B825,'02. MM-KLH'!$B$6:$T$823,18,0),"")</f>
        <v/>
      </c>
      <c r="T825" s="111" t="str">
        <f>IFERROR(VLOOKUP(B825,'02. MM-KLH'!$B$6:$T$823,19,0),"")</f>
        <v/>
      </c>
      <c r="U825" s="863"/>
    </row>
    <row r="826" ht="13.5" customHeight="1" spans="1:21">
      <c r="A826" s="102"/>
      <c r="B826" s="104"/>
      <c r="C826" s="102"/>
      <c r="D826" s="103" t="str">
        <f>IFERROR(VLOOKUP(B826,'02. MM-KLH'!$B$6:$T$823,3,0),"")</f>
        <v/>
      </c>
      <c r="E826" s="102" t="str">
        <f>IFERROR(VLOOKUP(B826,'02. MM-KLH'!$B$6:$T$823,4,0),"")</f>
        <v/>
      </c>
      <c r="F826" s="226"/>
      <c r="G826" s="102" t="str">
        <f>IFERROR(VLOOKUP(B826,'02. MM-KLH'!$B$6:$T$823,6,0),"")</f>
        <v/>
      </c>
      <c r="H826" s="227"/>
      <c r="I826" s="101" t="str">
        <f>IFERROR(VLOOKUP(B826,'02. MM-KLH'!$B$6:$T$823,8,0),"")</f>
        <v/>
      </c>
      <c r="J826" s="105" t="str">
        <f>IFERROR(VLOOKUP(B826,'02. MM-KLH'!$B$6:$T$823,9,0),"")</f>
        <v/>
      </c>
      <c r="K826" s="101" t="str">
        <f>IFERROR(VLOOKUP(B826,'02. MM-KLH'!$B$6:$T$823,10,0),"")</f>
        <v/>
      </c>
      <c r="L826" s="107" t="str">
        <f>IFERROR(VLOOKUP(B826,'02. MM-KLH'!$B$6:$T$823,11,0),"")</f>
        <v/>
      </c>
      <c r="M826" s="864" t="str">
        <f>IFERROR(VLOOKUP(B826,'02. MM-KLH'!$B$6:$T$823,12,0),"")</f>
        <v/>
      </c>
      <c r="N826" s="228"/>
      <c r="O826" s="228"/>
      <c r="P826" s="227"/>
      <c r="Q826" s="226"/>
      <c r="R826" s="226"/>
      <c r="S826" s="228"/>
      <c r="T826" s="228"/>
      <c r="U826" s="863"/>
    </row>
    <row r="827" ht="13.5" customHeight="1" spans="1:21">
      <c r="A827" s="102"/>
      <c r="B827" s="104"/>
      <c r="C827" s="102"/>
      <c r="D827" s="103" t="str">
        <f>IFERROR(VLOOKUP(B827,'02. MM-KLH'!$B$6:$T$823,3,0),"")</f>
        <v/>
      </c>
      <c r="E827" s="102" t="str">
        <f>IFERROR(VLOOKUP(B827,'02. MM-KLH'!$B$6:$T$823,4,0),"")</f>
        <v/>
      </c>
      <c r="F827" s="226"/>
      <c r="G827" s="102" t="str">
        <f>IFERROR(VLOOKUP(B827,'02. MM-KLH'!$B$6:$T$823,6,0),"")</f>
        <v/>
      </c>
      <c r="H827" s="227"/>
      <c r="I827" s="101" t="str">
        <f>IFERROR(VLOOKUP(B827,'02. MM-KLH'!$B$6:$T$823,8,0),"")</f>
        <v/>
      </c>
      <c r="J827" s="105" t="str">
        <f>IFERROR(VLOOKUP(B827,'02. MM-KLH'!$B$6:$T$823,9,0),"")</f>
        <v/>
      </c>
      <c r="K827" s="101" t="str">
        <f>IFERROR(VLOOKUP(B827,'02. MM-KLH'!$B$6:$T$823,10,0),"")</f>
        <v/>
      </c>
      <c r="L827" s="107" t="str">
        <f>IFERROR(VLOOKUP(B827,'02. MM-KLH'!$B$6:$T$823,11,0),"")</f>
        <v/>
      </c>
      <c r="M827" s="864" t="str">
        <f>IFERROR(VLOOKUP(B827,'02. MM-KLH'!$B$6:$T$823,12,0),"")</f>
        <v/>
      </c>
      <c r="N827" s="228"/>
      <c r="O827" s="228"/>
      <c r="P827" s="227"/>
      <c r="Q827" s="226"/>
      <c r="R827" s="226"/>
      <c r="S827" s="228"/>
      <c r="T827" s="228"/>
      <c r="U827" s="863"/>
    </row>
    <row r="828" ht="13.5" customHeight="1" spans="1:21">
      <c r="A828" s="102"/>
      <c r="B828" s="104"/>
      <c r="C828" s="102"/>
      <c r="D828" s="103" t="str">
        <f>IFERROR(VLOOKUP(B828,'02. MM-KLH'!$B$6:$T$823,3,0),"")</f>
        <v/>
      </c>
      <c r="E828" s="102" t="str">
        <f>IFERROR(VLOOKUP(B828,'02. MM-KLH'!$B$6:$T$823,4,0),"")</f>
        <v/>
      </c>
      <c r="F828" s="226"/>
      <c r="G828" s="102" t="str">
        <f>IFERROR(VLOOKUP(B828,'02. MM-KLH'!$B$6:$T$823,6,0),"")</f>
        <v/>
      </c>
      <c r="H828" s="227"/>
      <c r="I828" s="101" t="str">
        <f>IFERROR(VLOOKUP(B828,'02. MM-KLH'!$B$6:$T$823,8,0),"")</f>
        <v/>
      </c>
      <c r="J828" s="105" t="str">
        <f>IFERROR(VLOOKUP(B828,'02. MM-KLH'!$B$6:$T$823,9,0),"")</f>
        <v/>
      </c>
      <c r="K828" s="101" t="str">
        <f>IFERROR(VLOOKUP(B828,'02. MM-KLH'!$B$6:$T$823,10,0),"")</f>
        <v/>
      </c>
      <c r="L828" s="107" t="str">
        <f>IFERROR(VLOOKUP(B828,'02. MM-KLH'!$B$6:$T$823,11,0),"")</f>
        <v/>
      </c>
      <c r="M828" s="864" t="str">
        <f>IFERROR(VLOOKUP(B828,'02. MM-KLH'!$B$6:$T$823,12,0),"")</f>
        <v/>
      </c>
      <c r="N828" s="228"/>
      <c r="O828" s="228"/>
      <c r="P828" s="227"/>
      <c r="Q828" s="226"/>
      <c r="R828" s="226"/>
      <c r="S828" s="228"/>
      <c r="T828" s="228"/>
      <c r="U828" s="863"/>
    </row>
    <row r="829" ht="13.5" customHeight="1" spans="1:21">
      <c r="A829" s="102"/>
      <c r="B829" s="104"/>
      <c r="C829" s="102"/>
      <c r="D829" s="103" t="str">
        <f>IFERROR(VLOOKUP(B829,'02. MM-KLH'!$B$6:$T$823,3,0),"")</f>
        <v/>
      </c>
      <c r="E829" s="102" t="str">
        <f>IFERROR(VLOOKUP(B829,'02. MM-KLH'!$B$6:$T$823,4,0),"")</f>
        <v/>
      </c>
      <c r="F829" s="226"/>
      <c r="G829" s="102" t="str">
        <f>IFERROR(VLOOKUP(B829,'02. MM-KLH'!$B$6:$T$823,6,0),"")</f>
        <v/>
      </c>
      <c r="H829" s="227"/>
      <c r="I829" s="101" t="str">
        <f>IFERROR(VLOOKUP(B829,'02. MM-KLH'!$B$6:$T$823,8,0),"")</f>
        <v/>
      </c>
      <c r="J829" s="105" t="str">
        <f>IFERROR(VLOOKUP(B829,'02. MM-KLH'!$B$6:$T$823,9,0),"")</f>
        <v/>
      </c>
      <c r="K829" s="101" t="str">
        <f>IFERROR(VLOOKUP(B829,'02. MM-KLH'!$B$6:$T$823,10,0),"")</f>
        <v/>
      </c>
      <c r="L829" s="107" t="str">
        <f>IFERROR(VLOOKUP(B829,'02. MM-KLH'!$B$6:$T$823,11,0),"")</f>
        <v/>
      </c>
      <c r="M829" s="864" t="str">
        <f>IFERROR(VLOOKUP(B829,'02. MM-KLH'!$B$6:$T$823,12,0),"")</f>
        <v/>
      </c>
      <c r="N829" s="228"/>
      <c r="O829" s="228"/>
      <c r="P829" s="227"/>
      <c r="Q829" s="226"/>
      <c r="R829" s="226"/>
      <c r="S829" s="228"/>
      <c r="T829" s="228"/>
      <c r="U829" s="863"/>
    </row>
    <row r="830" ht="13.5" customHeight="1" spans="1:21">
      <c r="A830" s="102"/>
      <c r="B830" s="104"/>
      <c r="C830" s="102"/>
      <c r="D830" s="103" t="str">
        <f>IFERROR(VLOOKUP(B830,'02. MM-KLH'!$B$6:$T$823,3,0),"")</f>
        <v/>
      </c>
      <c r="E830" s="102" t="str">
        <f>IFERROR(VLOOKUP(B830,'02. MM-KLH'!$B$6:$T$823,4,0),"")</f>
        <v/>
      </c>
      <c r="F830" s="226"/>
      <c r="G830" s="102" t="str">
        <f>IFERROR(VLOOKUP(B830,'02. MM-KLH'!$B$6:$T$823,6,0),"")</f>
        <v/>
      </c>
      <c r="H830" s="227"/>
      <c r="I830" s="101" t="str">
        <f>IFERROR(VLOOKUP(B830,'02. MM-KLH'!$B$6:$T$823,8,0),"")</f>
        <v/>
      </c>
      <c r="J830" s="105" t="str">
        <f>IFERROR(VLOOKUP(B830,'02. MM-KLH'!$B$6:$T$823,9,0),"")</f>
        <v/>
      </c>
      <c r="K830" s="101" t="str">
        <f>IFERROR(VLOOKUP(B830,'02. MM-KLH'!$B$6:$T$823,10,0),"")</f>
        <v/>
      </c>
      <c r="L830" s="107" t="str">
        <f>IFERROR(VLOOKUP(B830,'02. MM-KLH'!$B$6:$T$823,11,0),"")</f>
        <v/>
      </c>
      <c r="M830" s="864" t="str">
        <f>IFERROR(VLOOKUP(B830,'02. MM-KLH'!$B$6:$T$823,12,0),"")</f>
        <v/>
      </c>
      <c r="N830" s="228"/>
      <c r="O830" s="228"/>
      <c r="P830" s="227"/>
      <c r="Q830" s="226"/>
      <c r="R830" s="226"/>
      <c r="S830" s="228"/>
      <c r="T830" s="228"/>
      <c r="U830" s="863"/>
    </row>
    <row r="831" ht="13.5" customHeight="1" spans="1:21">
      <c r="A831" s="102"/>
      <c r="B831" s="104"/>
      <c r="C831" s="102"/>
      <c r="D831" s="103" t="str">
        <f>IFERROR(VLOOKUP(B831,'02. MM-KLH'!$B$6:$T$823,3,0),"")</f>
        <v/>
      </c>
      <c r="E831" s="102" t="str">
        <f>IFERROR(VLOOKUP(B831,'02. MM-KLH'!$B$6:$T$823,4,0),"")</f>
        <v/>
      </c>
      <c r="F831" s="226"/>
      <c r="G831" s="102" t="str">
        <f>IFERROR(VLOOKUP(B831,'02. MM-KLH'!$B$6:$T$823,6,0),"")</f>
        <v/>
      </c>
      <c r="H831" s="227"/>
      <c r="I831" s="101" t="str">
        <f>IFERROR(VLOOKUP(B831,'02. MM-KLH'!$B$6:$T$823,8,0),"")</f>
        <v/>
      </c>
      <c r="J831" s="105" t="str">
        <f>IFERROR(VLOOKUP(B831,'02. MM-KLH'!$B$6:$T$823,9,0),"")</f>
        <v/>
      </c>
      <c r="K831" s="101" t="str">
        <f>IFERROR(VLOOKUP(B831,'02. MM-KLH'!$B$6:$T$823,10,0),"")</f>
        <v/>
      </c>
      <c r="L831" s="107" t="str">
        <f>IFERROR(VLOOKUP(B831,'02. MM-KLH'!$B$6:$T$823,11,0),"")</f>
        <v/>
      </c>
      <c r="M831" s="864" t="str">
        <f>IFERROR(VLOOKUP(B831,'02. MM-KLH'!$B$6:$T$823,12,0),"")</f>
        <v/>
      </c>
      <c r="N831" s="228"/>
      <c r="O831" s="228"/>
      <c r="P831" s="227"/>
      <c r="Q831" s="226"/>
      <c r="R831" s="226"/>
      <c r="S831" s="228"/>
      <c r="T831" s="228"/>
      <c r="U831" s="863"/>
    </row>
    <row r="832" ht="13.5" customHeight="1" spans="1:21">
      <c r="A832" s="102"/>
      <c r="B832" s="104"/>
      <c r="C832" s="102"/>
      <c r="D832" s="103" t="str">
        <f>IFERROR(VLOOKUP(B832,'02. MM-KLH'!$B$6:$T$823,3,0),"")</f>
        <v/>
      </c>
      <c r="E832" s="102" t="str">
        <f>IFERROR(VLOOKUP(B832,'02. MM-KLH'!$B$6:$T$823,4,0),"")</f>
        <v/>
      </c>
      <c r="F832" s="226"/>
      <c r="G832" s="102" t="str">
        <f>IFERROR(VLOOKUP(B832,'02. MM-KLH'!$B$6:$T$823,6,0),"")</f>
        <v/>
      </c>
      <c r="H832" s="227"/>
      <c r="I832" s="101" t="str">
        <f>IFERROR(VLOOKUP(B832,'02. MM-KLH'!$B$6:$T$823,8,0),"")</f>
        <v/>
      </c>
      <c r="J832" s="105" t="str">
        <f>IFERROR(VLOOKUP(B832,'02. MM-KLH'!$B$6:$T$823,9,0),"")</f>
        <v/>
      </c>
      <c r="K832" s="101" t="str">
        <f>IFERROR(VLOOKUP(B832,'02. MM-KLH'!$B$6:$T$823,10,0),"")</f>
        <v/>
      </c>
      <c r="L832" s="107" t="str">
        <f>IFERROR(VLOOKUP(B832,'02. MM-KLH'!$B$6:$T$823,11,0),"")</f>
        <v/>
      </c>
      <c r="M832" s="864" t="str">
        <f>IFERROR(VLOOKUP(B832,'02. MM-KLH'!$B$6:$T$823,12,0),"")</f>
        <v/>
      </c>
      <c r="N832" s="228"/>
      <c r="O832" s="228"/>
      <c r="P832" s="227"/>
      <c r="Q832" s="226"/>
      <c r="R832" s="226"/>
      <c r="S832" s="228"/>
      <c r="T832" s="228"/>
      <c r="U832" s="863"/>
    </row>
    <row r="833" ht="13.5" customHeight="1" spans="1:21">
      <c r="A833" s="102"/>
      <c r="B833" s="104"/>
      <c r="C833" s="102"/>
      <c r="D833" s="103" t="str">
        <f>IFERROR(VLOOKUP(B833,'02. MM-KLH'!$B$6:$T$823,3,0),"")</f>
        <v/>
      </c>
      <c r="E833" s="102" t="str">
        <f>IFERROR(VLOOKUP(B833,'02. MM-KLH'!$B$6:$T$823,4,0),"")</f>
        <v/>
      </c>
      <c r="F833" s="226"/>
      <c r="G833" s="102" t="str">
        <f>IFERROR(VLOOKUP(B833,'02. MM-KLH'!$B$6:$T$823,6,0),"")</f>
        <v/>
      </c>
      <c r="H833" s="227"/>
      <c r="I833" s="101" t="str">
        <f>IFERROR(VLOOKUP(B833,'02. MM-KLH'!$B$6:$T$823,8,0),"")</f>
        <v/>
      </c>
      <c r="J833" s="105" t="str">
        <f>IFERROR(VLOOKUP(B833,'02. MM-KLH'!$B$6:$T$823,9,0),"")</f>
        <v/>
      </c>
      <c r="K833" s="101" t="str">
        <f>IFERROR(VLOOKUP(B833,'02. MM-KLH'!$B$6:$T$823,10,0),"")</f>
        <v/>
      </c>
      <c r="L833" s="107" t="str">
        <f>IFERROR(VLOOKUP(B833,'02. MM-KLH'!$B$6:$T$823,11,0),"")</f>
        <v/>
      </c>
      <c r="M833" s="864" t="str">
        <f>IFERROR(VLOOKUP(B833,'02. MM-KLH'!$B$6:$T$823,12,0),"")</f>
        <v/>
      </c>
      <c r="N833" s="228"/>
      <c r="O833" s="228"/>
      <c r="P833" s="227"/>
      <c r="Q833" s="226"/>
      <c r="R833" s="226"/>
      <c r="S833" s="228"/>
      <c r="T833" s="228"/>
      <c r="U833" s="863"/>
    </row>
    <row r="834" ht="13.5" customHeight="1" spans="1:21">
      <c r="A834" s="102"/>
      <c r="B834" s="104"/>
      <c r="C834" s="102"/>
      <c r="D834" s="103" t="str">
        <f>IFERROR(VLOOKUP(B834,'02. MM-KLH'!$B$6:$T$823,3,0),"")</f>
        <v/>
      </c>
      <c r="E834" s="102" t="str">
        <f>IFERROR(VLOOKUP(B834,'02. MM-KLH'!$B$6:$T$823,4,0),"")</f>
        <v/>
      </c>
      <c r="F834" s="226"/>
      <c r="G834" s="102" t="str">
        <f>IFERROR(VLOOKUP(B834,'02. MM-KLH'!$B$6:$T$823,6,0),"")</f>
        <v/>
      </c>
      <c r="H834" s="227"/>
      <c r="I834" s="101" t="str">
        <f>IFERROR(VLOOKUP(B834,'02. MM-KLH'!$B$6:$T$823,8,0),"")</f>
        <v/>
      </c>
      <c r="J834" s="105" t="str">
        <f>IFERROR(VLOOKUP(B834,'02. MM-KLH'!$B$6:$T$823,9,0),"")</f>
        <v/>
      </c>
      <c r="K834" s="101" t="str">
        <f>IFERROR(VLOOKUP(B834,'02. MM-KLH'!$B$6:$T$823,10,0),"")</f>
        <v/>
      </c>
      <c r="L834" s="107" t="str">
        <f>IFERROR(VLOOKUP(B834,'02. MM-KLH'!$B$6:$T$823,11,0),"")</f>
        <v/>
      </c>
      <c r="M834" s="864" t="str">
        <f>IFERROR(VLOOKUP(B834,'02. MM-KLH'!$B$6:$T$823,12,0),"")</f>
        <v/>
      </c>
      <c r="N834" s="228"/>
      <c r="O834" s="228"/>
      <c r="P834" s="227"/>
      <c r="Q834" s="226"/>
      <c r="R834" s="226"/>
      <c r="S834" s="228"/>
      <c r="T834" s="228"/>
      <c r="U834" s="863"/>
    </row>
    <row r="835" ht="13.5" customHeight="1" spans="1:21">
      <c r="A835" s="102"/>
      <c r="B835" s="104"/>
      <c r="C835" s="102"/>
      <c r="D835" s="103" t="str">
        <f>IFERROR(VLOOKUP(B835,'02. MM-KLH'!$B$6:$T$823,3,0),"")</f>
        <v/>
      </c>
      <c r="E835" s="102" t="str">
        <f>IFERROR(VLOOKUP(B835,'02. MM-KLH'!$B$6:$T$823,4,0),"")</f>
        <v/>
      </c>
      <c r="F835" s="226"/>
      <c r="G835" s="102" t="str">
        <f>IFERROR(VLOOKUP(B835,'02. MM-KLH'!$B$6:$T$823,6,0),"")</f>
        <v/>
      </c>
      <c r="H835" s="227"/>
      <c r="I835" s="101" t="str">
        <f>IFERROR(VLOOKUP(B835,'02. MM-KLH'!$B$6:$T$823,8,0),"")</f>
        <v/>
      </c>
      <c r="J835" s="105" t="str">
        <f>IFERROR(VLOOKUP(B835,'02. MM-KLH'!$B$6:$T$823,9,0),"")</f>
        <v/>
      </c>
      <c r="K835" s="101" t="str">
        <f>IFERROR(VLOOKUP(B835,'02. MM-KLH'!$B$6:$T$823,10,0),"")</f>
        <v/>
      </c>
      <c r="L835" s="107" t="str">
        <f>IFERROR(VLOOKUP(B835,'02. MM-KLH'!$B$6:$T$823,11,0),"")</f>
        <v/>
      </c>
      <c r="M835" s="864" t="str">
        <f>IFERROR(VLOOKUP(B835,'02. MM-KLH'!$B$6:$T$823,12,0),"")</f>
        <v/>
      </c>
      <c r="N835" s="228"/>
      <c r="O835" s="228"/>
      <c r="P835" s="227"/>
      <c r="Q835" s="226"/>
      <c r="R835" s="226"/>
      <c r="S835" s="228"/>
      <c r="T835" s="228"/>
      <c r="U835" s="863"/>
    </row>
    <row r="836" ht="13.5" customHeight="1" spans="1:21">
      <c r="A836" s="102"/>
      <c r="B836" s="104"/>
      <c r="C836" s="102"/>
      <c r="D836" s="103" t="str">
        <f>IFERROR(VLOOKUP(B836,'02. MM-KLH'!$B$6:$T$823,3,0),"")</f>
        <v/>
      </c>
      <c r="E836" s="102" t="str">
        <f>IFERROR(VLOOKUP(B836,'02. MM-KLH'!$B$6:$T$823,4,0),"")</f>
        <v/>
      </c>
      <c r="F836" s="226"/>
      <c r="G836" s="102" t="str">
        <f>IFERROR(VLOOKUP(B836,'02. MM-KLH'!$B$6:$T$823,6,0),"")</f>
        <v/>
      </c>
      <c r="H836" s="227"/>
      <c r="I836" s="101" t="str">
        <f>IFERROR(VLOOKUP(B836,'02. MM-KLH'!$B$6:$T$823,8,0),"")</f>
        <v/>
      </c>
      <c r="J836" s="105" t="str">
        <f>IFERROR(VLOOKUP(B836,'02. MM-KLH'!$B$6:$T$823,9,0),"")</f>
        <v/>
      </c>
      <c r="K836" s="101" t="str">
        <f>IFERROR(VLOOKUP(B836,'02. MM-KLH'!$B$6:$T$823,10,0),"")</f>
        <v/>
      </c>
      <c r="L836" s="107" t="str">
        <f>IFERROR(VLOOKUP(B836,'02. MM-KLH'!$B$6:$T$823,11,0),"")</f>
        <v/>
      </c>
      <c r="M836" s="864" t="str">
        <f>IFERROR(VLOOKUP(B836,'02. MM-KLH'!$B$6:$T$823,12,0),"")</f>
        <v/>
      </c>
      <c r="N836" s="228"/>
      <c r="O836" s="228"/>
      <c r="P836" s="227"/>
      <c r="Q836" s="226"/>
      <c r="R836" s="226"/>
      <c r="S836" s="228"/>
      <c r="T836" s="228"/>
      <c r="U836" s="863"/>
    </row>
    <row r="837" ht="13.5" customHeight="1" spans="1:21">
      <c r="A837" s="102"/>
      <c r="B837" s="104"/>
      <c r="C837" s="102"/>
      <c r="D837" s="103" t="str">
        <f>IFERROR(VLOOKUP(B837,'02. MM-KLH'!$B$6:$T$823,3,0),"")</f>
        <v/>
      </c>
      <c r="E837" s="102" t="str">
        <f>IFERROR(VLOOKUP(B837,'02. MM-KLH'!$B$6:$T$823,4,0),"")</f>
        <v/>
      </c>
      <c r="F837" s="226"/>
      <c r="G837" s="226"/>
      <c r="H837" s="227"/>
      <c r="I837" s="101" t="str">
        <f>IFERROR(VLOOKUP(B837,'02. MM-KLH'!$B$6:$T$823,8,0),"")</f>
        <v/>
      </c>
      <c r="J837" s="105" t="str">
        <f>IFERROR(VLOOKUP(B837,'02. MM-KLH'!$B$6:$T$823,9,0),"")</f>
        <v/>
      </c>
      <c r="K837" s="101" t="str">
        <f>IFERROR(VLOOKUP(B837,'02. MM-KLH'!$B$6:$T$823,10,0),"")</f>
        <v/>
      </c>
      <c r="L837" s="107" t="str">
        <f>IFERROR(VLOOKUP(B837,'02. MM-KLH'!$B$6:$T$823,11,0),"")</f>
        <v/>
      </c>
      <c r="M837" s="864" t="str">
        <f>IFERROR(VLOOKUP(B837,'02. MM-KLH'!$B$6:$T$823,12,0),"")</f>
        <v/>
      </c>
      <c r="N837" s="228"/>
      <c r="O837" s="228"/>
      <c r="P837" s="227"/>
      <c r="Q837" s="226"/>
      <c r="R837" s="226"/>
      <c r="S837" s="228"/>
      <c r="T837" s="228"/>
      <c r="U837" s="228"/>
    </row>
    <row r="838" ht="13.5" customHeight="1" spans="1:21">
      <c r="A838" s="102"/>
      <c r="B838" s="104"/>
      <c r="C838" s="102"/>
      <c r="D838" s="103" t="str">
        <f>IFERROR(VLOOKUP(B838,'02. MM-KLH'!$B$6:$T$823,3,0),"")</f>
        <v/>
      </c>
      <c r="E838" s="102" t="str">
        <f>IFERROR(VLOOKUP(B838,'02. MM-KLH'!$B$6:$T$823,4,0),"")</f>
        <v/>
      </c>
      <c r="F838" s="226"/>
      <c r="G838" s="226"/>
      <c r="H838" s="227"/>
      <c r="I838" s="101" t="str">
        <f>IFERROR(VLOOKUP(B838,'02. MM-KLH'!$B$6:$T$823,8,0),"")</f>
        <v/>
      </c>
      <c r="J838" s="105" t="str">
        <f>IFERROR(VLOOKUP(B838,'02. MM-KLH'!$B$6:$T$823,9,0),"")</f>
        <v/>
      </c>
      <c r="K838" s="101" t="str">
        <f>IFERROR(VLOOKUP(B838,'02. MM-KLH'!$B$6:$T$823,10,0),"")</f>
        <v/>
      </c>
      <c r="L838" s="107" t="str">
        <f>IFERROR(VLOOKUP(B838,'02. MM-KLH'!$B$6:$T$823,11,0),"")</f>
        <v/>
      </c>
      <c r="M838" s="864" t="str">
        <f>IFERROR(VLOOKUP(B838,'02. MM-KLH'!$B$6:$T$823,12,0),"")</f>
        <v/>
      </c>
      <c r="N838" s="228"/>
      <c r="O838" s="228"/>
      <c r="P838" s="227"/>
      <c r="Q838" s="226"/>
      <c r="R838" s="226"/>
      <c r="S838" s="228"/>
      <c r="T838" s="228"/>
      <c r="U838" s="228"/>
    </row>
    <row r="839" ht="13.5" customHeight="1" spans="1:21">
      <c r="A839" s="102"/>
      <c r="B839" s="104"/>
      <c r="C839" s="102"/>
      <c r="D839" s="103" t="str">
        <f>IFERROR(VLOOKUP(B839,'02. MM-KLH'!$B$6:$T$823,3,0),"")</f>
        <v/>
      </c>
      <c r="E839" s="102" t="str">
        <f>IFERROR(VLOOKUP(B839,'02. MM-KLH'!$B$6:$T$823,4,0),"")</f>
        <v/>
      </c>
      <c r="F839" s="226"/>
      <c r="G839" s="226"/>
      <c r="H839" s="227"/>
      <c r="I839" s="101" t="str">
        <f>IFERROR(VLOOKUP(B839,'02. MM-KLH'!$B$6:$T$823,8,0),"")</f>
        <v/>
      </c>
      <c r="J839" s="105" t="str">
        <f>IFERROR(VLOOKUP(B839,'02. MM-KLH'!$B$6:$T$823,9,0),"")</f>
        <v/>
      </c>
      <c r="K839" s="101" t="str">
        <f>IFERROR(VLOOKUP(B839,'02. MM-KLH'!$B$6:$T$823,10,0),"")</f>
        <v/>
      </c>
      <c r="L839" s="107" t="str">
        <f>IFERROR(VLOOKUP(B839,'02. MM-KLH'!$B$6:$T$823,11,0),"")</f>
        <v/>
      </c>
      <c r="M839" s="864" t="str">
        <f>IFERROR(VLOOKUP(B839,'02. MM-KLH'!$B$6:$T$823,12,0),"")</f>
        <v/>
      </c>
      <c r="N839" s="228"/>
      <c r="O839" s="228"/>
      <c r="P839" s="227"/>
      <c r="Q839" s="226"/>
      <c r="R839" s="226"/>
      <c r="S839" s="228"/>
      <c r="T839" s="228"/>
      <c r="U839" s="228"/>
    </row>
    <row r="840" ht="13.5" customHeight="1" spans="1:21">
      <c r="A840" s="102"/>
      <c r="B840" s="104"/>
      <c r="C840" s="102"/>
      <c r="D840" s="103" t="str">
        <f>IFERROR(VLOOKUP(B840,'02. MM-KLH'!$B$6:$T$823,3,0),"")</f>
        <v/>
      </c>
      <c r="E840" s="102" t="str">
        <f>IFERROR(VLOOKUP(B840,'02. MM-KLH'!$B$6:$T$823,4,0),"")</f>
        <v/>
      </c>
      <c r="F840" s="226"/>
      <c r="G840" s="226"/>
      <c r="H840" s="227"/>
      <c r="I840" s="101" t="str">
        <f>IFERROR(VLOOKUP(B840,'02. MM-KLH'!$B$6:$T$823,8,0),"")</f>
        <v/>
      </c>
      <c r="J840" s="105" t="str">
        <f>IFERROR(VLOOKUP(B840,'02. MM-KLH'!$B$6:$T$823,9,0),"")</f>
        <v/>
      </c>
      <c r="K840" s="101" t="str">
        <f>IFERROR(VLOOKUP(B840,'02. MM-KLH'!$B$6:$T$823,10,0),"")</f>
        <v/>
      </c>
      <c r="L840" s="107" t="str">
        <f>IFERROR(VLOOKUP(B840,'02. MM-KLH'!$B$6:$T$823,11,0),"")</f>
        <v/>
      </c>
      <c r="M840" s="864" t="str">
        <f>IFERROR(VLOOKUP(B840,'02. MM-KLH'!$B$6:$T$823,12,0),"")</f>
        <v/>
      </c>
      <c r="N840" s="228"/>
      <c r="O840" s="228"/>
      <c r="P840" s="227"/>
      <c r="Q840" s="226"/>
      <c r="R840" s="226"/>
      <c r="S840" s="228"/>
      <c r="T840" s="228"/>
      <c r="U840" s="228"/>
    </row>
    <row r="841" ht="13.5" customHeight="1" spans="1:21">
      <c r="A841" s="226"/>
      <c r="B841" s="869"/>
      <c r="C841" s="226"/>
      <c r="D841" s="103" t="str">
        <f>IFERROR(VLOOKUP(B841,'02. MM-KLH'!$B$6:$T$823,3,0),"")</f>
        <v/>
      </c>
      <c r="E841" s="102" t="str">
        <f>IFERROR(VLOOKUP(B841,'02. MM-KLH'!$B$6:$T$823,4,0),"")</f>
        <v/>
      </c>
      <c r="F841" s="226"/>
      <c r="G841" s="226"/>
      <c r="H841" s="227"/>
      <c r="I841" s="101" t="str">
        <f>IFERROR(VLOOKUP(B841,'02. MM-KLH'!$B$6:$T$823,8,0),"")</f>
        <v/>
      </c>
      <c r="J841" s="105" t="str">
        <f>IFERROR(VLOOKUP(B841,'02. MM-KLH'!$B$6:$T$823,9,0),"")</f>
        <v/>
      </c>
      <c r="K841" s="101" t="str">
        <f>IFERROR(VLOOKUP(B841,'02. MM-KLH'!$B$6:$T$823,10,0),"")</f>
        <v/>
      </c>
      <c r="L841" s="227"/>
      <c r="M841" s="864" t="str">
        <f>IFERROR(VLOOKUP(B841,'02. MM-KLH'!$B$6:$T$823,12,0),"")</f>
        <v/>
      </c>
      <c r="N841" s="228"/>
      <c r="O841" s="228"/>
      <c r="P841" s="227"/>
      <c r="Q841" s="226"/>
      <c r="R841" s="226"/>
      <c r="S841" s="228"/>
      <c r="T841" s="228"/>
      <c r="U841" s="228"/>
    </row>
    <row r="842" ht="13.5" customHeight="1" spans="1:21">
      <c r="A842" s="226"/>
      <c r="B842" s="869"/>
      <c r="C842" s="226"/>
      <c r="D842" s="227"/>
      <c r="E842" s="227"/>
      <c r="F842" s="226"/>
      <c r="G842" s="226"/>
      <c r="H842" s="227"/>
      <c r="I842" s="101" t="str">
        <f>IFERROR(VLOOKUP(B842,'02. MM-KLH'!$B$6:$T$823,8,0),"")</f>
        <v/>
      </c>
      <c r="J842" s="105" t="str">
        <f>IFERROR(VLOOKUP(B842,'02. MM-KLH'!$B$6:$T$823,9,0),"")</f>
        <v/>
      </c>
      <c r="K842" s="101" t="str">
        <f>IFERROR(VLOOKUP(B842,'02. MM-KLH'!$B$6:$T$823,10,0),"")</f>
        <v/>
      </c>
      <c r="L842" s="227"/>
      <c r="M842" s="864" t="str">
        <f>IFERROR(VLOOKUP(B842,'02. MM-KLH'!$B$6:$T$823,12,0),"")</f>
        <v/>
      </c>
      <c r="N842" s="228"/>
      <c r="O842" s="228"/>
      <c r="P842" s="227"/>
      <c r="Q842" s="226"/>
      <c r="R842" s="226"/>
      <c r="S842" s="228"/>
      <c r="T842" s="228"/>
      <c r="U842" s="228"/>
    </row>
    <row r="843" ht="13.5" customHeight="1" spans="1:21">
      <c r="A843" s="226"/>
      <c r="B843" s="869"/>
      <c r="C843" s="226"/>
      <c r="D843" s="227"/>
      <c r="E843" s="227"/>
      <c r="F843" s="226"/>
      <c r="G843" s="226"/>
      <c r="H843" s="227"/>
      <c r="I843" s="101" t="str">
        <f>IFERROR(VLOOKUP(B843,'02. MM-KLH'!$B$6:$T$823,8,0),"")</f>
        <v/>
      </c>
      <c r="J843" s="105" t="str">
        <f>IFERROR(VLOOKUP(B843,'02. MM-KLH'!$B$6:$T$823,9,0),"")</f>
        <v/>
      </c>
      <c r="K843" s="101" t="str">
        <f>IFERROR(VLOOKUP(B843,'02. MM-KLH'!$B$6:$T$823,10,0),"")</f>
        <v/>
      </c>
      <c r="L843" s="227"/>
      <c r="M843" s="864" t="str">
        <f>IFERROR(VLOOKUP(B843,'02. MM-KLH'!$B$6:$T$823,12,0),"")</f>
        <v/>
      </c>
      <c r="N843" s="228"/>
      <c r="O843" s="228"/>
      <c r="P843" s="227"/>
      <c r="Q843" s="226"/>
      <c r="R843" s="226"/>
      <c r="S843" s="228"/>
      <c r="T843" s="228"/>
      <c r="U843" s="228"/>
    </row>
    <row r="844" ht="13.5" customHeight="1" spans="1:21">
      <c r="A844" s="226"/>
      <c r="B844" s="869"/>
      <c r="C844" s="226"/>
      <c r="D844" s="227"/>
      <c r="E844" s="227"/>
      <c r="F844" s="226"/>
      <c r="G844" s="226"/>
      <c r="H844" s="227"/>
      <c r="I844" s="101" t="str">
        <f>IFERROR(VLOOKUP(B844,'02. MM-KLH'!$B$6:$T$823,8,0),"")</f>
        <v/>
      </c>
      <c r="J844" s="105" t="str">
        <f>IFERROR(VLOOKUP(B844,'02. MM-KLH'!$B$6:$T$823,9,0),"")</f>
        <v/>
      </c>
      <c r="K844" s="227"/>
      <c r="L844" s="227"/>
      <c r="M844" s="864" t="str">
        <f>IFERROR(VLOOKUP(B844,'02. MM-KLH'!$B$6:$T$823,12,0),"")</f>
        <v/>
      </c>
      <c r="N844" s="228"/>
      <c r="O844" s="228"/>
      <c r="P844" s="227"/>
      <c r="Q844" s="226"/>
      <c r="R844" s="226"/>
      <c r="S844" s="228"/>
      <c r="T844" s="228"/>
      <c r="U844" s="228"/>
    </row>
    <row r="845" ht="13.5" customHeight="1" spans="1:21">
      <c r="A845" s="226"/>
      <c r="B845" s="869"/>
      <c r="C845" s="226"/>
      <c r="D845" s="227"/>
      <c r="E845" s="227"/>
      <c r="F845" s="226"/>
      <c r="G845" s="226"/>
      <c r="H845" s="227"/>
      <c r="I845" s="227"/>
      <c r="J845" s="105" t="str">
        <f>IFERROR(VLOOKUP(B845,'02. MM-KLH'!$B$6:$T$823,9,0),"")</f>
        <v/>
      </c>
      <c r="K845" s="227"/>
      <c r="L845" s="227"/>
      <c r="M845" s="864" t="str">
        <f>IFERROR(VLOOKUP(B845,'02. MM-KLH'!$B$6:$T$823,12,0),"")</f>
        <v/>
      </c>
      <c r="N845" s="228"/>
      <c r="O845" s="228"/>
      <c r="P845" s="227"/>
      <c r="Q845" s="226"/>
      <c r="R845" s="226"/>
      <c r="S845" s="228"/>
      <c r="T845" s="228"/>
      <c r="U845" s="228"/>
    </row>
    <row r="846" ht="13.5" customHeight="1" spans="1:21">
      <c r="A846" s="226"/>
      <c r="B846" s="869"/>
      <c r="C846" s="226"/>
      <c r="D846" s="227"/>
      <c r="E846" s="227"/>
      <c r="F846" s="226"/>
      <c r="G846" s="226"/>
      <c r="H846" s="227"/>
      <c r="I846" s="227"/>
      <c r="J846" s="105" t="str">
        <f>IFERROR(VLOOKUP(B846,'02. MM-KLH'!$B$6:$T$823,9,0),"")</f>
        <v/>
      </c>
      <c r="K846" s="227"/>
      <c r="L846" s="227"/>
      <c r="M846" s="864" t="str">
        <f>IFERROR(VLOOKUP(B846,'02. MM-KLH'!$B$6:$T$823,12,0),"")</f>
        <v/>
      </c>
      <c r="N846" s="228"/>
      <c r="O846" s="228"/>
      <c r="P846" s="227"/>
      <c r="Q846" s="226"/>
      <c r="R846" s="226"/>
      <c r="S846" s="228"/>
      <c r="T846" s="228"/>
      <c r="U846" s="228"/>
    </row>
    <row r="847" ht="13.5" customHeight="1" spans="1:21">
      <c r="A847" s="226"/>
      <c r="B847" s="869"/>
      <c r="C847" s="226"/>
      <c r="D847" s="227"/>
      <c r="E847" s="227"/>
      <c r="F847" s="226"/>
      <c r="G847" s="226"/>
      <c r="H847" s="227"/>
      <c r="I847" s="227"/>
      <c r="J847" s="105" t="str">
        <f>IFERROR(VLOOKUP(B847,'02. MM-KLH'!$B$6:$T$823,9,0),"")</f>
        <v/>
      </c>
      <c r="K847" s="227"/>
      <c r="L847" s="227"/>
      <c r="M847" s="864" t="str">
        <f>IFERROR(VLOOKUP(B847,'02. MM-KLH'!$B$6:$T$823,12,0),"")</f>
        <v/>
      </c>
      <c r="N847" s="228"/>
      <c r="O847" s="228"/>
      <c r="P847" s="227"/>
      <c r="Q847" s="226"/>
      <c r="R847" s="226"/>
      <c r="S847" s="228"/>
      <c r="T847" s="228"/>
      <c r="U847" s="228"/>
    </row>
    <row r="848" ht="13.5" customHeight="1" spans="1:21">
      <c r="A848" s="226"/>
      <c r="B848" s="869"/>
      <c r="C848" s="226"/>
      <c r="D848" s="227"/>
      <c r="E848" s="227"/>
      <c r="F848" s="226"/>
      <c r="G848" s="226"/>
      <c r="H848" s="227"/>
      <c r="I848" s="227"/>
      <c r="J848" s="105" t="str">
        <f>IFERROR(VLOOKUP(B848,'02. MM-KLH'!$B$6:$T$823,9,0),"")</f>
        <v/>
      </c>
      <c r="K848" s="227"/>
      <c r="L848" s="227"/>
      <c r="M848" s="864" t="str">
        <f>IFERROR(VLOOKUP(B848,'02. MM-KLH'!$B$6:$T$823,12,0),"")</f>
        <v/>
      </c>
      <c r="N848" s="228"/>
      <c r="O848" s="228"/>
      <c r="P848" s="227"/>
      <c r="Q848" s="226"/>
      <c r="R848" s="226"/>
      <c r="S848" s="228"/>
      <c r="T848" s="228"/>
      <c r="U848" s="228"/>
    </row>
    <row r="849" ht="13.5" customHeight="1" spans="1:21">
      <c r="A849" s="226"/>
      <c r="B849" s="869"/>
      <c r="C849" s="226"/>
      <c r="D849" s="227"/>
      <c r="E849" s="227"/>
      <c r="F849" s="226"/>
      <c r="G849" s="226"/>
      <c r="H849" s="227"/>
      <c r="I849" s="227"/>
      <c r="J849" s="105" t="str">
        <f>IFERROR(VLOOKUP(B849,'02. MM-KLH'!$B$6:$T$823,9,0),"")</f>
        <v/>
      </c>
      <c r="K849" s="227"/>
      <c r="L849" s="227"/>
      <c r="M849" s="890"/>
      <c r="N849" s="228"/>
      <c r="O849" s="228"/>
      <c r="P849" s="227"/>
      <c r="Q849" s="226"/>
      <c r="R849" s="226"/>
      <c r="S849" s="228"/>
      <c r="T849" s="228"/>
      <c r="U849" s="228"/>
    </row>
    <row r="850" ht="13.5" customHeight="1" spans="1:21">
      <c r="A850" s="226"/>
      <c r="B850" s="869"/>
      <c r="C850" s="226"/>
      <c r="D850" s="227"/>
      <c r="E850" s="227"/>
      <c r="F850" s="226"/>
      <c r="G850" s="226"/>
      <c r="H850" s="227"/>
      <c r="I850" s="227"/>
      <c r="J850" s="105" t="str">
        <f>IFERROR(VLOOKUP(B850,'02. MM-KLH'!$B$6:$T$823,9,0),"")</f>
        <v/>
      </c>
      <c r="K850" s="227"/>
      <c r="L850" s="227"/>
      <c r="M850" s="890"/>
      <c r="N850" s="228"/>
      <c r="O850" s="228"/>
      <c r="P850" s="227"/>
      <c r="Q850" s="226"/>
      <c r="R850" s="226"/>
      <c r="S850" s="228"/>
      <c r="T850" s="228"/>
      <c r="U850" s="228"/>
    </row>
    <row r="851" ht="13.5" customHeight="1" spans="1:21">
      <c r="A851" s="226"/>
      <c r="B851" s="869"/>
      <c r="C851" s="226"/>
      <c r="D851" s="227"/>
      <c r="E851" s="227"/>
      <c r="F851" s="226"/>
      <c r="G851" s="226"/>
      <c r="H851" s="227"/>
      <c r="I851" s="227"/>
      <c r="J851" s="105" t="str">
        <f>IFERROR(VLOOKUP(B851,'02. MM-KLH'!$B$6:$T$823,9,0),"")</f>
        <v/>
      </c>
      <c r="K851" s="227"/>
      <c r="L851" s="227"/>
      <c r="M851" s="890"/>
      <c r="N851" s="228"/>
      <c r="O851" s="228"/>
      <c r="P851" s="227"/>
      <c r="Q851" s="226"/>
      <c r="R851" s="226"/>
      <c r="S851" s="228"/>
      <c r="T851" s="228"/>
      <c r="U851" s="228"/>
    </row>
    <row r="852" ht="13.5" customHeight="1" spans="1:21">
      <c r="A852" s="226"/>
      <c r="B852" s="869"/>
      <c r="C852" s="226"/>
      <c r="D852" s="227"/>
      <c r="E852" s="227"/>
      <c r="F852" s="226"/>
      <c r="G852" s="226"/>
      <c r="H852" s="227"/>
      <c r="I852" s="227"/>
      <c r="J852" s="105" t="str">
        <f>IFERROR(VLOOKUP(B852,'02. MM-KLH'!$B$6:$T$823,9,0),"")</f>
        <v/>
      </c>
      <c r="K852" s="227"/>
      <c r="L852" s="227"/>
      <c r="M852" s="890"/>
      <c r="N852" s="228"/>
      <c r="O852" s="228"/>
      <c r="P852" s="227"/>
      <c r="Q852" s="226"/>
      <c r="R852" s="226"/>
      <c r="S852" s="228"/>
      <c r="T852" s="228"/>
      <c r="U852" s="228"/>
    </row>
    <row r="853" ht="13.5" customHeight="1" spans="1:21">
      <c r="A853" s="226"/>
      <c r="B853" s="869"/>
      <c r="C853" s="226"/>
      <c r="D853" s="227"/>
      <c r="E853" s="227"/>
      <c r="F853" s="226"/>
      <c r="G853" s="226"/>
      <c r="H853" s="227"/>
      <c r="I853" s="227"/>
      <c r="J853" s="105" t="str">
        <f>IFERROR(VLOOKUP(B853,'02. MM-KLH'!$B$6:$T$823,9,0),"")</f>
        <v/>
      </c>
      <c r="K853" s="227"/>
      <c r="L853" s="227"/>
      <c r="M853" s="890"/>
      <c r="N853" s="228"/>
      <c r="O853" s="228"/>
      <c r="P853" s="227"/>
      <c r="Q853" s="226"/>
      <c r="R853" s="226"/>
      <c r="S853" s="228"/>
      <c r="T853" s="228"/>
      <c r="U853" s="228"/>
    </row>
    <row r="854" ht="13.5" customHeight="1" spans="1:21">
      <c r="A854" s="226"/>
      <c r="B854" s="869"/>
      <c r="C854" s="226"/>
      <c r="D854" s="227"/>
      <c r="E854" s="227"/>
      <c r="F854" s="226"/>
      <c r="G854" s="226"/>
      <c r="H854" s="227"/>
      <c r="I854" s="227"/>
      <c r="J854" s="105" t="str">
        <f>IFERROR(VLOOKUP(B854,'02. MM-KLH'!$B$6:$T$823,9,0),"")</f>
        <v/>
      </c>
      <c r="K854" s="227"/>
      <c r="L854" s="227"/>
      <c r="M854" s="890"/>
      <c r="N854" s="228"/>
      <c r="O854" s="228"/>
      <c r="P854" s="227"/>
      <c r="Q854" s="226"/>
      <c r="R854" s="226"/>
      <c r="S854" s="228"/>
      <c r="T854" s="228"/>
      <c r="U854" s="228"/>
    </row>
    <row r="855" ht="13.5" customHeight="1" spans="1:21">
      <c r="A855" s="226"/>
      <c r="B855" s="869"/>
      <c r="C855" s="226"/>
      <c r="D855" s="227"/>
      <c r="E855" s="227"/>
      <c r="F855" s="226"/>
      <c r="G855" s="226"/>
      <c r="H855" s="227"/>
      <c r="I855" s="227"/>
      <c r="J855" s="105" t="str">
        <f>IFERROR(VLOOKUP(B855,'02. MM-KLH'!$B$6:$T$823,9,0),"")</f>
        <v/>
      </c>
      <c r="K855" s="227"/>
      <c r="L855" s="227"/>
      <c r="M855" s="890"/>
      <c r="N855" s="228"/>
      <c r="O855" s="228"/>
      <c r="P855" s="227"/>
      <c r="Q855" s="226"/>
      <c r="R855" s="226"/>
      <c r="S855" s="228"/>
      <c r="T855" s="228"/>
      <c r="U855" s="228"/>
    </row>
    <row r="856" ht="13.5" customHeight="1" spans="1:21">
      <c r="A856" s="226"/>
      <c r="B856" s="869"/>
      <c r="C856" s="226"/>
      <c r="D856" s="227"/>
      <c r="E856" s="227"/>
      <c r="F856" s="226"/>
      <c r="G856" s="226"/>
      <c r="H856" s="227"/>
      <c r="I856" s="227"/>
      <c r="J856" s="105" t="str">
        <f>IFERROR(VLOOKUP(B856,'02. MM-KLH'!$B$6:$T$823,9,0),"")</f>
        <v/>
      </c>
      <c r="K856" s="227"/>
      <c r="L856" s="227"/>
      <c r="M856" s="890"/>
      <c r="N856" s="228"/>
      <c r="O856" s="228"/>
      <c r="P856" s="227"/>
      <c r="Q856" s="226"/>
      <c r="R856" s="226"/>
      <c r="S856" s="228"/>
      <c r="T856" s="228"/>
      <c r="U856" s="228"/>
    </row>
    <row r="857" ht="13.5" customHeight="1" spans="1:21">
      <c r="A857" s="226"/>
      <c r="B857" s="869"/>
      <c r="C857" s="226"/>
      <c r="D857" s="227"/>
      <c r="E857" s="227"/>
      <c r="F857" s="226"/>
      <c r="G857" s="226"/>
      <c r="H857" s="227"/>
      <c r="I857" s="227"/>
      <c r="J857" s="105" t="str">
        <f>IFERROR(VLOOKUP(B857,'02. MM-KLH'!$B$6:$T$823,9,0),"")</f>
        <v/>
      </c>
      <c r="K857" s="227"/>
      <c r="L857" s="227"/>
      <c r="M857" s="890"/>
      <c r="N857" s="228"/>
      <c r="O857" s="228"/>
      <c r="P857" s="227"/>
      <c r="Q857" s="226"/>
      <c r="R857" s="226"/>
      <c r="S857" s="228"/>
      <c r="T857" s="228"/>
      <c r="U857" s="228"/>
    </row>
    <row r="858" ht="13.5" customHeight="1" spans="1:21">
      <c r="A858" s="226"/>
      <c r="B858" s="869"/>
      <c r="C858" s="226"/>
      <c r="D858" s="227"/>
      <c r="E858" s="227"/>
      <c r="F858" s="226"/>
      <c r="G858" s="226"/>
      <c r="H858" s="227"/>
      <c r="I858" s="227"/>
      <c r="J858" s="105" t="str">
        <f>IFERROR(VLOOKUP(B858,'02. MM-KLH'!$B$6:$T$823,9,0),"")</f>
        <v/>
      </c>
      <c r="K858" s="227"/>
      <c r="L858" s="227"/>
      <c r="M858" s="890"/>
      <c r="N858" s="228"/>
      <c r="O858" s="228"/>
      <c r="P858" s="227"/>
      <c r="Q858" s="226"/>
      <c r="R858" s="226"/>
      <c r="S858" s="228"/>
      <c r="T858" s="228"/>
      <c r="U858" s="228"/>
    </row>
    <row r="859" ht="13.5" customHeight="1" spans="1:21">
      <c r="A859" s="226"/>
      <c r="B859" s="869"/>
      <c r="C859" s="226"/>
      <c r="D859" s="227"/>
      <c r="E859" s="227"/>
      <c r="F859" s="226"/>
      <c r="G859" s="226"/>
      <c r="H859" s="227"/>
      <c r="I859" s="227"/>
      <c r="J859" s="105" t="str">
        <f>IFERROR(VLOOKUP(B859,'02. MM-KLH'!$B$6:$T$823,9,0),"")</f>
        <v/>
      </c>
      <c r="K859" s="227"/>
      <c r="L859" s="227"/>
      <c r="M859" s="890"/>
      <c r="N859" s="228"/>
      <c r="O859" s="228"/>
      <c r="P859" s="227"/>
      <c r="Q859" s="226"/>
      <c r="R859" s="226"/>
      <c r="S859" s="228"/>
      <c r="T859" s="228"/>
      <c r="U859" s="228"/>
    </row>
    <row r="860" ht="13.5" customHeight="1" spans="1:21">
      <c r="A860" s="226"/>
      <c r="B860" s="869"/>
      <c r="C860" s="226"/>
      <c r="D860" s="227"/>
      <c r="E860" s="227"/>
      <c r="F860" s="226"/>
      <c r="G860" s="226"/>
      <c r="H860" s="227"/>
      <c r="I860" s="227"/>
      <c r="J860" s="105" t="str">
        <f>IFERROR(VLOOKUP(B860,'02. MM-KLH'!$B$6:$T$823,9,0),"")</f>
        <v/>
      </c>
      <c r="K860" s="227"/>
      <c r="L860" s="227"/>
      <c r="M860" s="890"/>
      <c r="N860" s="228"/>
      <c r="O860" s="228"/>
      <c r="P860" s="227"/>
      <c r="Q860" s="226"/>
      <c r="R860" s="226"/>
      <c r="S860" s="228"/>
      <c r="T860" s="228"/>
      <c r="U860" s="228"/>
    </row>
    <row r="861" ht="13.5" customHeight="1" spans="1:21">
      <c r="A861" s="226"/>
      <c r="B861" s="869"/>
      <c r="C861" s="226"/>
      <c r="D861" s="227"/>
      <c r="E861" s="227"/>
      <c r="F861" s="226"/>
      <c r="G861" s="226"/>
      <c r="H861" s="227"/>
      <c r="I861" s="227"/>
      <c r="J861" s="105" t="str">
        <f>IFERROR(VLOOKUP(B861,'02. MM-KLH'!$B$6:$T$823,9,0),"")</f>
        <v/>
      </c>
      <c r="K861" s="227"/>
      <c r="L861" s="227"/>
      <c r="M861" s="890"/>
      <c r="N861" s="228"/>
      <c r="O861" s="228"/>
      <c r="P861" s="227"/>
      <c r="Q861" s="226"/>
      <c r="R861" s="226"/>
      <c r="S861" s="228"/>
      <c r="T861" s="228"/>
      <c r="U861" s="228"/>
    </row>
    <row r="862" ht="13.5" customHeight="1" spans="1:21">
      <c r="A862" s="226"/>
      <c r="B862" s="869"/>
      <c r="C862" s="226"/>
      <c r="D862" s="227"/>
      <c r="E862" s="227"/>
      <c r="F862" s="226"/>
      <c r="G862" s="226"/>
      <c r="H862" s="227"/>
      <c r="I862" s="227"/>
      <c r="J862" s="105" t="str">
        <f>IFERROR(VLOOKUP(B862,'02. MM-KLH'!$B$6:$T$823,9,0),"")</f>
        <v/>
      </c>
      <c r="K862" s="227"/>
      <c r="L862" s="227"/>
      <c r="M862" s="890"/>
      <c r="N862" s="228"/>
      <c r="O862" s="228"/>
      <c r="P862" s="227"/>
      <c r="Q862" s="226"/>
      <c r="R862" s="226"/>
      <c r="S862" s="228"/>
      <c r="T862" s="228"/>
      <c r="U862" s="228"/>
    </row>
    <row r="863" ht="13.5" customHeight="1" spans="1:21">
      <c r="A863" s="226"/>
      <c r="B863" s="869"/>
      <c r="C863" s="226"/>
      <c r="D863" s="227"/>
      <c r="E863" s="227"/>
      <c r="F863" s="226"/>
      <c r="G863" s="226"/>
      <c r="H863" s="227"/>
      <c r="I863" s="227"/>
      <c r="J863" s="105" t="str">
        <f>IFERROR(VLOOKUP(B863,'02. MM-KLH'!$B$6:$T$823,9,0),"")</f>
        <v/>
      </c>
      <c r="K863" s="227"/>
      <c r="L863" s="227"/>
      <c r="M863" s="890"/>
      <c r="N863" s="228"/>
      <c r="O863" s="228"/>
      <c r="P863" s="227"/>
      <c r="Q863" s="226"/>
      <c r="R863" s="226"/>
      <c r="S863" s="228"/>
      <c r="T863" s="228"/>
      <c r="U863" s="228"/>
    </row>
    <row r="864" ht="13.5" customHeight="1" spans="1:21">
      <c r="A864" s="226"/>
      <c r="B864" s="869"/>
      <c r="C864" s="226"/>
      <c r="D864" s="227"/>
      <c r="E864" s="227"/>
      <c r="F864" s="226"/>
      <c r="G864" s="226"/>
      <c r="H864" s="227"/>
      <c r="I864" s="227"/>
      <c r="J864" s="105" t="str">
        <f>IFERROR(VLOOKUP(B864,'02. MM-KLH'!$B$6:$T$823,9,0),"")</f>
        <v/>
      </c>
      <c r="K864" s="227"/>
      <c r="L864" s="227"/>
      <c r="M864" s="890"/>
      <c r="N864" s="228"/>
      <c r="O864" s="228"/>
      <c r="P864" s="227"/>
      <c r="Q864" s="226"/>
      <c r="R864" s="226"/>
      <c r="S864" s="228"/>
      <c r="T864" s="228"/>
      <c r="U864" s="228"/>
    </row>
    <row r="865" ht="13.5" customHeight="1" spans="1:21">
      <c r="A865" s="226"/>
      <c r="B865" s="869"/>
      <c r="C865" s="226"/>
      <c r="D865" s="227"/>
      <c r="E865" s="227"/>
      <c r="F865" s="226"/>
      <c r="G865" s="226"/>
      <c r="H865" s="227"/>
      <c r="I865" s="227"/>
      <c r="J865" s="105" t="str">
        <f>IFERROR(VLOOKUP(B865,'02. MM-KLH'!$B$6:$T$823,9,0),"")</f>
        <v/>
      </c>
      <c r="K865" s="227"/>
      <c r="L865" s="227"/>
      <c r="M865" s="890"/>
      <c r="N865" s="228"/>
      <c r="O865" s="228"/>
      <c r="P865" s="227"/>
      <c r="Q865" s="226"/>
      <c r="R865" s="226"/>
      <c r="S865" s="228"/>
      <c r="T865" s="228"/>
      <c r="U865" s="228"/>
    </row>
    <row r="866" ht="13.5" customHeight="1" spans="1:21">
      <c r="A866" s="226"/>
      <c r="B866" s="869"/>
      <c r="C866" s="226"/>
      <c r="D866" s="227"/>
      <c r="E866" s="227"/>
      <c r="F866" s="226"/>
      <c r="G866" s="226"/>
      <c r="H866" s="227"/>
      <c r="I866" s="227"/>
      <c r="J866" s="105" t="str">
        <f>IFERROR(VLOOKUP(B866,'02. MM-KLH'!$B$6:$T$823,9,0),"")</f>
        <v/>
      </c>
      <c r="K866" s="227"/>
      <c r="L866" s="227"/>
      <c r="M866" s="890"/>
      <c r="N866" s="228"/>
      <c r="O866" s="228"/>
      <c r="P866" s="227"/>
      <c r="Q866" s="226"/>
      <c r="R866" s="226"/>
      <c r="S866" s="228"/>
      <c r="T866" s="228"/>
      <c r="U866" s="228"/>
    </row>
    <row r="867" ht="13.5" customHeight="1" spans="1:21">
      <c r="A867" s="226"/>
      <c r="B867" s="869"/>
      <c r="C867" s="226"/>
      <c r="D867" s="227"/>
      <c r="E867" s="227"/>
      <c r="F867" s="226"/>
      <c r="G867" s="226"/>
      <c r="H867" s="227"/>
      <c r="I867" s="227"/>
      <c r="J867" s="105" t="str">
        <f>IFERROR(VLOOKUP(B867,'02. MM-KLH'!$B$6:$T$823,9,0),"")</f>
        <v/>
      </c>
      <c r="K867" s="227"/>
      <c r="L867" s="227"/>
      <c r="M867" s="890"/>
      <c r="N867" s="228"/>
      <c r="O867" s="228"/>
      <c r="P867" s="227"/>
      <c r="Q867" s="226"/>
      <c r="R867" s="226"/>
      <c r="S867" s="228"/>
      <c r="T867" s="228"/>
      <c r="U867" s="228"/>
    </row>
    <row r="868" ht="13.5" customHeight="1" spans="1:21">
      <c r="A868" s="226"/>
      <c r="B868" s="869"/>
      <c r="C868" s="226"/>
      <c r="D868" s="227"/>
      <c r="E868" s="227"/>
      <c r="F868" s="226"/>
      <c r="G868" s="226"/>
      <c r="H868" s="227"/>
      <c r="I868" s="227"/>
      <c r="J868" s="105" t="str">
        <f>IFERROR(VLOOKUP(B868,'02. MM-KLH'!$B$6:$T$823,9,0),"")</f>
        <v/>
      </c>
      <c r="K868" s="227"/>
      <c r="L868" s="227"/>
      <c r="M868" s="890"/>
      <c r="N868" s="228"/>
      <c r="O868" s="228"/>
      <c r="P868" s="227"/>
      <c r="Q868" s="226"/>
      <c r="R868" s="226"/>
      <c r="S868" s="228"/>
      <c r="T868" s="228"/>
      <c r="U868" s="228"/>
    </row>
    <row r="869" ht="13.5" customHeight="1" spans="1:21">
      <c r="A869" s="226"/>
      <c r="B869" s="869"/>
      <c r="C869" s="226"/>
      <c r="D869" s="227"/>
      <c r="E869" s="227"/>
      <c r="F869" s="226"/>
      <c r="G869" s="226"/>
      <c r="H869" s="227"/>
      <c r="I869" s="227"/>
      <c r="J869" s="105" t="str">
        <f>IFERROR(VLOOKUP(B869,'02. MM-KLH'!$B$6:$T$823,9,0),"")</f>
        <v/>
      </c>
      <c r="K869" s="227"/>
      <c r="L869" s="227"/>
      <c r="M869" s="890"/>
      <c r="N869" s="228"/>
      <c r="O869" s="228"/>
      <c r="P869" s="227"/>
      <c r="Q869" s="226"/>
      <c r="R869" s="226"/>
      <c r="S869" s="228"/>
      <c r="T869" s="228"/>
      <c r="U869" s="228"/>
    </row>
    <row r="870" ht="13.5" customHeight="1" spans="1:21">
      <c r="A870" s="226"/>
      <c r="B870" s="869"/>
      <c r="C870" s="226"/>
      <c r="D870" s="227"/>
      <c r="E870" s="227"/>
      <c r="F870" s="226"/>
      <c r="G870" s="226"/>
      <c r="H870" s="227"/>
      <c r="I870" s="227"/>
      <c r="J870" s="105" t="str">
        <f>IFERROR(VLOOKUP(B870,'02. MM-KLH'!$B$6:$T$823,9,0),"")</f>
        <v/>
      </c>
      <c r="K870" s="227"/>
      <c r="L870" s="227"/>
      <c r="M870" s="890"/>
      <c r="N870" s="228"/>
      <c r="O870" s="228"/>
      <c r="P870" s="227"/>
      <c r="Q870" s="226"/>
      <c r="R870" s="226"/>
      <c r="S870" s="228"/>
      <c r="T870" s="228"/>
      <c r="U870" s="228"/>
    </row>
    <row r="871" ht="13.5" customHeight="1" spans="1:21">
      <c r="A871" s="226"/>
      <c r="B871" s="869"/>
      <c r="C871" s="226"/>
      <c r="D871" s="227"/>
      <c r="E871" s="227"/>
      <c r="F871" s="226"/>
      <c r="G871" s="226"/>
      <c r="H871" s="227"/>
      <c r="I871" s="227"/>
      <c r="J871" s="105" t="str">
        <f>IFERROR(VLOOKUP(B871,'02. MM-KLH'!$B$6:$T$823,9,0),"")</f>
        <v/>
      </c>
      <c r="K871" s="227"/>
      <c r="L871" s="227"/>
      <c r="M871" s="890"/>
      <c r="N871" s="228"/>
      <c r="O871" s="228"/>
      <c r="P871" s="227"/>
      <c r="Q871" s="226"/>
      <c r="R871" s="226"/>
      <c r="S871" s="228"/>
      <c r="T871" s="228"/>
      <c r="U871" s="228"/>
    </row>
    <row r="872" ht="13.5" customHeight="1" spans="1:21">
      <c r="A872" s="226"/>
      <c r="B872" s="869"/>
      <c r="C872" s="226"/>
      <c r="D872" s="227"/>
      <c r="E872" s="227"/>
      <c r="F872" s="226"/>
      <c r="G872" s="226"/>
      <c r="H872" s="227"/>
      <c r="I872" s="227"/>
      <c r="J872" s="105" t="str">
        <f>IFERROR(VLOOKUP(B872,'02. MM-KLH'!$B$6:$T$823,9,0),"")</f>
        <v/>
      </c>
      <c r="K872" s="227"/>
      <c r="L872" s="227"/>
      <c r="M872" s="890"/>
      <c r="N872" s="228"/>
      <c r="O872" s="228"/>
      <c r="P872" s="227"/>
      <c r="Q872" s="226"/>
      <c r="R872" s="226"/>
      <c r="S872" s="228"/>
      <c r="T872" s="228"/>
      <c r="U872" s="228"/>
    </row>
    <row r="873" ht="13.5" customHeight="1" spans="1:21">
      <c r="A873" s="226"/>
      <c r="B873" s="869"/>
      <c r="C873" s="226"/>
      <c r="D873" s="227"/>
      <c r="E873" s="227"/>
      <c r="F873" s="226"/>
      <c r="G873" s="226"/>
      <c r="H873" s="227"/>
      <c r="I873" s="227"/>
      <c r="J873" s="105" t="str">
        <f>IFERROR(VLOOKUP(B873,'02. MM-KLH'!$B$6:$T$823,9,0),"")</f>
        <v/>
      </c>
      <c r="K873" s="227"/>
      <c r="L873" s="227"/>
      <c r="M873" s="890"/>
      <c r="N873" s="228"/>
      <c r="O873" s="228"/>
      <c r="P873" s="227"/>
      <c r="Q873" s="226"/>
      <c r="R873" s="226"/>
      <c r="S873" s="228"/>
      <c r="T873" s="228"/>
      <c r="U873" s="228"/>
    </row>
    <row r="874" ht="13.5" customHeight="1" spans="1:21">
      <c r="A874" s="226"/>
      <c r="B874" s="869"/>
      <c r="C874" s="226"/>
      <c r="D874" s="227"/>
      <c r="E874" s="227"/>
      <c r="F874" s="226"/>
      <c r="G874" s="226"/>
      <c r="H874" s="227"/>
      <c r="I874" s="227"/>
      <c r="J874" s="105" t="str">
        <f>IFERROR(VLOOKUP(B874,'02. MM-KLH'!$B$6:$T$823,9,0),"")</f>
        <v/>
      </c>
      <c r="K874" s="227"/>
      <c r="L874" s="227"/>
      <c r="M874" s="890"/>
      <c r="N874" s="228"/>
      <c r="O874" s="228"/>
      <c r="P874" s="227"/>
      <c r="Q874" s="226"/>
      <c r="R874" s="226"/>
      <c r="S874" s="228"/>
      <c r="T874" s="228"/>
      <c r="U874" s="228"/>
    </row>
    <row r="875" ht="13.5" customHeight="1" spans="1:21">
      <c r="A875" s="226"/>
      <c r="B875" s="869"/>
      <c r="C875" s="226"/>
      <c r="D875" s="227"/>
      <c r="E875" s="227"/>
      <c r="F875" s="226"/>
      <c r="G875" s="226"/>
      <c r="H875" s="227"/>
      <c r="I875" s="227"/>
      <c r="J875" s="105" t="str">
        <f>IFERROR(VLOOKUP(B875,'02. MM-KLH'!$B$6:$T$823,9,0),"")</f>
        <v/>
      </c>
      <c r="K875" s="227"/>
      <c r="L875" s="227"/>
      <c r="M875" s="890"/>
      <c r="N875" s="228"/>
      <c r="O875" s="228"/>
      <c r="P875" s="227"/>
      <c r="Q875" s="226"/>
      <c r="R875" s="226"/>
      <c r="S875" s="228"/>
      <c r="T875" s="228"/>
      <c r="U875" s="228"/>
    </row>
    <row r="876" ht="13.5" customHeight="1" spans="1:21">
      <c r="A876" s="226"/>
      <c r="B876" s="869"/>
      <c r="C876" s="226"/>
      <c r="D876" s="227"/>
      <c r="E876" s="227"/>
      <c r="F876" s="226"/>
      <c r="G876" s="226"/>
      <c r="H876" s="227"/>
      <c r="I876" s="227"/>
      <c r="J876" s="105" t="str">
        <f>IFERROR(VLOOKUP(B876,'02. MM-KLH'!$B$6:$T$823,9,0),"")</f>
        <v/>
      </c>
      <c r="K876" s="227"/>
      <c r="L876" s="227"/>
      <c r="M876" s="890"/>
      <c r="N876" s="228"/>
      <c r="O876" s="228"/>
      <c r="P876" s="227"/>
      <c r="Q876" s="226"/>
      <c r="R876" s="226"/>
      <c r="S876" s="228"/>
      <c r="T876" s="228"/>
      <c r="U876" s="228"/>
    </row>
    <row r="877" ht="13.5" customHeight="1" spans="1:21">
      <c r="A877" s="226"/>
      <c r="B877" s="869"/>
      <c r="C877" s="226"/>
      <c r="D877" s="227"/>
      <c r="E877" s="227"/>
      <c r="F877" s="226"/>
      <c r="G877" s="226"/>
      <c r="H877" s="227"/>
      <c r="I877" s="227"/>
      <c r="J877" s="105" t="str">
        <f>IFERROR(VLOOKUP(B877,'02. MM-KLH'!$B$6:$T$823,9,0),"")</f>
        <v/>
      </c>
      <c r="K877" s="227"/>
      <c r="L877" s="227"/>
      <c r="M877" s="890"/>
      <c r="N877" s="228"/>
      <c r="O877" s="228"/>
      <c r="P877" s="227"/>
      <c r="Q877" s="226"/>
      <c r="R877" s="226"/>
      <c r="S877" s="228"/>
      <c r="T877" s="228"/>
      <c r="U877" s="228"/>
    </row>
    <row r="878" ht="13.5" customHeight="1" spans="1:21">
      <c r="A878" s="226"/>
      <c r="B878" s="869"/>
      <c r="C878" s="226"/>
      <c r="D878" s="227"/>
      <c r="E878" s="227"/>
      <c r="F878" s="226"/>
      <c r="G878" s="226"/>
      <c r="H878" s="227"/>
      <c r="I878" s="227"/>
      <c r="J878" s="105" t="str">
        <f>IFERROR(VLOOKUP(B878,'02. MM-KLH'!$B$6:$T$823,9,0),"")</f>
        <v/>
      </c>
      <c r="K878" s="227"/>
      <c r="L878" s="227"/>
      <c r="M878" s="890"/>
      <c r="N878" s="228"/>
      <c r="O878" s="228"/>
      <c r="P878" s="227"/>
      <c r="Q878" s="226"/>
      <c r="R878" s="226"/>
      <c r="S878" s="228"/>
      <c r="T878" s="228"/>
      <c r="U878" s="228"/>
    </row>
    <row r="879" ht="13.5" customHeight="1" spans="1:21">
      <c r="A879" s="226"/>
      <c r="B879" s="869"/>
      <c r="C879" s="226"/>
      <c r="D879" s="227"/>
      <c r="E879" s="227"/>
      <c r="F879" s="226"/>
      <c r="G879" s="226"/>
      <c r="H879" s="227"/>
      <c r="I879" s="227"/>
      <c r="J879" s="105" t="str">
        <f>IFERROR(VLOOKUP(B879,'02. MM-KLH'!$B$6:$T$823,9,0),"")</f>
        <v/>
      </c>
      <c r="K879" s="227"/>
      <c r="L879" s="227"/>
      <c r="M879" s="890"/>
      <c r="N879" s="228"/>
      <c r="O879" s="228"/>
      <c r="P879" s="227"/>
      <c r="Q879" s="226"/>
      <c r="R879" s="226"/>
      <c r="S879" s="228"/>
      <c r="T879" s="228"/>
      <c r="U879" s="228"/>
    </row>
    <row r="880" ht="13.5" customHeight="1" spans="1:21">
      <c r="A880" s="226"/>
      <c r="B880" s="869"/>
      <c r="C880" s="226"/>
      <c r="D880" s="227"/>
      <c r="E880" s="227"/>
      <c r="F880" s="226"/>
      <c r="G880" s="226"/>
      <c r="H880" s="227"/>
      <c r="I880" s="227"/>
      <c r="J880" s="105" t="str">
        <f>IFERROR(VLOOKUP(B880,'02. MM-KLH'!$B$6:$T$823,9,0),"")</f>
        <v/>
      </c>
      <c r="K880" s="227"/>
      <c r="L880" s="227"/>
      <c r="M880" s="890"/>
      <c r="N880" s="228"/>
      <c r="O880" s="228"/>
      <c r="P880" s="227"/>
      <c r="Q880" s="226"/>
      <c r="R880" s="226"/>
      <c r="S880" s="228"/>
      <c r="T880" s="228"/>
      <c r="U880" s="228"/>
    </row>
    <row r="881" ht="13.5" customHeight="1" spans="1:21">
      <c r="A881" s="226"/>
      <c r="B881" s="869"/>
      <c r="C881" s="226"/>
      <c r="D881" s="227"/>
      <c r="E881" s="227"/>
      <c r="F881" s="226"/>
      <c r="G881" s="226"/>
      <c r="H881" s="227"/>
      <c r="I881" s="227"/>
      <c r="J881" s="105" t="str">
        <f>IFERROR(VLOOKUP(B881,'02. MM-KLH'!$B$6:$T$823,9,0),"")</f>
        <v/>
      </c>
      <c r="K881" s="227"/>
      <c r="L881" s="227"/>
      <c r="M881" s="890"/>
      <c r="N881" s="228"/>
      <c r="O881" s="228"/>
      <c r="P881" s="227"/>
      <c r="Q881" s="226"/>
      <c r="R881" s="226"/>
      <c r="S881" s="228"/>
      <c r="T881" s="228"/>
      <c r="U881" s="228"/>
    </row>
    <row r="882" ht="13.5" customHeight="1" spans="1:21">
      <c r="A882" s="226"/>
      <c r="B882" s="869"/>
      <c r="C882" s="226"/>
      <c r="D882" s="227"/>
      <c r="E882" s="227"/>
      <c r="F882" s="226"/>
      <c r="G882" s="226"/>
      <c r="H882" s="227"/>
      <c r="I882" s="227"/>
      <c r="J882" s="227"/>
      <c r="K882" s="227"/>
      <c r="L882" s="227"/>
      <c r="M882" s="890"/>
      <c r="N882" s="228"/>
      <c r="O882" s="228"/>
      <c r="P882" s="227"/>
      <c r="Q882" s="226"/>
      <c r="R882" s="226"/>
      <c r="S882" s="228"/>
      <c r="T882" s="228"/>
      <c r="U882" s="228"/>
    </row>
    <row r="883" ht="13.5" customHeight="1" spans="1:21">
      <c r="A883" s="226"/>
      <c r="B883" s="869"/>
      <c r="C883" s="226"/>
      <c r="D883" s="227"/>
      <c r="E883" s="227"/>
      <c r="F883" s="226"/>
      <c r="G883" s="226"/>
      <c r="H883" s="227"/>
      <c r="I883" s="227"/>
      <c r="J883" s="227"/>
      <c r="K883" s="227"/>
      <c r="L883" s="227"/>
      <c r="M883" s="890"/>
      <c r="N883" s="228"/>
      <c r="O883" s="228"/>
      <c r="P883" s="227"/>
      <c r="Q883" s="226"/>
      <c r="R883" s="226"/>
      <c r="S883" s="228"/>
      <c r="T883" s="228"/>
      <c r="U883" s="228"/>
    </row>
    <row r="884" ht="13.5" customHeight="1" spans="1:21">
      <c r="A884" s="226"/>
      <c r="B884" s="869"/>
      <c r="C884" s="226"/>
      <c r="D884" s="227"/>
      <c r="E884" s="227"/>
      <c r="F884" s="226"/>
      <c r="G884" s="226"/>
      <c r="H884" s="227"/>
      <c r="I884" s="227"/>
      <c r="J884" s="227"/>
      <c r="K884" s="227"/>
      <c r="L884" s="227"/>
      <c r="M884" s="890"/>
      <c r="N884" s="228"/>
      <c r="O884" s="228"/>
      <c r="P884" s="227"/>
      <c r="Q884" s="226"/>
      <c r="R884" s="226"/>
      <c r="S884" s="228"/>
      <c r="T884" s="228"/>
      <c r="U884" s="228"/>
    </row>
    <row r="885" ht="13.5" customHeight="1" spans="1:21">
      <c r="A885" s="226"/>
      <c r="B885" s="869"/>
      <c r="C885" s="226"/>
      <c r="D885" s="227"/>
      <c r="E885" s="227"/>
      <c r="F885" s="226"/>
      <c r="G885" s="226"/>
      <c r="H885" s="227"/>
      <c r="I885" s="227"/>
      <c r="J885" s="227"/>
      <c r="K885" s="227"/>
      <c r="L885" s="227"/>
      <c r="M885" s="890"/>
      <c r="N885" s="228"/>
      <c r="O885" s="228"/>
      <c r="P885" s="227"/>
      <c r="Q885" s="226"/>
      <c r="R885" s="226"/>
      <c r="S885" s="228"/>
      <c r="T885" s="228"/>
      <c r="U885" s="228"/>
    </row>
    <row r="886" ht="13.5" customHeight="1" spans="1:21">
      <c r="A886" s="226"/>
      <c r="B886" s="869"/>
      <c r="C886" s="226"/>
      <c r="D886" s="227"/>
      <c r="E886" s="227"/>
      <c r="F886" s="226"/>
      <c r="G886" s="226"/>
      <c r="H886" s="227"/>
      <c r="I886" s="227"/>
      <c r="J886" s="227"/>
      <c r="K886" s="227"/>
      <c r="L886" s="227"/>
      <c r="M886" s="890"/>
      <c r="N886" s="228"/>
      <c r="O886" s="228"/>
      <c r="P886" s="227"/>
      <c r="Q886" s="226"/>
      <c r="R886" s="226"/>
      <c r="S886" s="228"/>
      <c r="T886" s="228"/>
      <c r="U886" s="228"/>
    </row>
    <row r="887" ht="13.5" customHeight="1" spans="1:21">
      <c r="A887" s="226"/>
      <c r="B887" s="869"/>
      <c r="C887" s="226"/>
      <c r="D887" s="227"/>
      <c r="E887" s="227"/>
      <c r="F887" s="226"/>
      <c r="G887" s="226"/>
      <c r="H887" s="227"/>
      <c r="I887" s="227"/>
      <c r="J887" s="227"/>
      <c r="K887" s="227"/>
      <c r="L887" s="227"/>
      <c r="M887" s="890"/>
      <c r="N887" s="228"/>
      <c r="O887" s="228"/>
      <c r="P887" s="227"/>
      <c r="Q887" s="226"/>
      <c r="R887" s="226"/>
      <c r="S887" s="228"/>
      <c r="T887" s="228"/>
      <c r="U887" s="228"/>
    </row>
    <row r="888" ht="13.5" customHeight="1" spans="1:21">
      <c r="A888" s="226"/>
      <c r="B888" s="869"/>
      <c r="C888" s="226"/>
      <c r="D888" s="227"/>
      <c r="E888" s="227"/>
      <c r="F888" s="226"/>
      <c r="G888" s="226"/>
      <c r="H888" s="227"/>
      <c r="I888" s="227"/>
      <c r="J888" s="227"/>
      <c r="K888" s="227"/>
      <c r="L888" s="227"/>
      <c r="M888" s="890"/>
      <c r="N888" s="228"/>
      <c r="O888" s="228"/>
      <c r="P888" s="227"/>
      <c r="Q888" s="226"/>
      <c r="R888" s="226"/>
      <c r="S888" s="228"/>
      <c r="T888" s="228"/>
      <c r="U888" s="228"/>
    </row>
    <row r="889" ht="13.5" customHeight="1" spans="1:21">
      <c r="A889" s="226"/>
      <c r="B889" s="869"/>
      <c r="C889" s="226"/>
      <c r="D889" s="227"/>
      <c r="E889" s="227"/>
      <c r="F889" s="226"/>
      <c r="G889" s="226"/>
      <c r="H889" s="227"/>
      <c r="I889" s="227"/>
      <c r="J889" s="227"/>
      <c r="K889" s="227"/>
      <c r="L889" s="227"/>
      <c r="M889" s="890"/>
      <c r="N889" s="228"/>
      <c r="O889" s="228"/>
      <c r="P889" s="227"/>
      <c r="Q889" s="226"/>
      <c r="R889" s="226"/>
      <c r="S889" s="228"/>
      <c r="T889" s="228"/>
      <c r="U889" s="228"/>
    </row>
    <row r="890" ht="13.5" customHeight="1" spans="1:21">
      <c r="A890" s="226"/>
      <c r="B890" s="869"/>
      <c r="C890" s="226"/>
      <c r="D890" s="227"/>
      <c r="E890" s="227"/>
      <c r="F890" s="226"/>
      <c r="G890" s="226"/>
      <c r="H890" s="227"/>
      <c r="I890" s="227"/>
      <c r="J890" s="227"/>
      <c r="K890" s="227"/>
      <c r="L890" s="227"/>
      <c r="M890" s="890"/>
      <c r="N890" s="228"/>
      <c r="O890" s="228"/>
      <c r="P890" s="227"/>
      <c r="Q890" s="226"/>
      <c r="R890" s="226"/>
      <c r="S890" s="228"/>
      <c r="T890" s="228"/>
      <c r="U890" s="228"/>
    </row>
    <row r="891" ht="13.5" customHeight="1" spans="1:21">
      <c r="A891" s="226"/>
      <c r="B891" s="869"/>
      <c r="C891" s="226"/>
      <c r="D891" s="227"/>
      <c r="E891" s="227"/>
      <c r="F891" s="226"/>
      <c r="G891" s="226"/>
      <c r="H891" s="227"/>
      <c r="I891" s="227"/>
      <c r="J891" s="227"/>
      <c r="K891" s="227"/>
      <c r="L891" s="227"/>
      <c r="M891" s="890"/>
      <c r="N891" s="228"/>
      <c r="O891" s="228"/>
      <c r="P891" s="227"/>
      <c r="Q891" s="226"/>
      <c r="R891" s="226"/>
      <c r="S891" s="228"/>
      <c r="T891" s="228"/>
      <c r="U891" s="228"/>
    </row>
    <row r="892" ht="13.5" customHeight="1" spans="1:21">
      <c r="A892" s="226"/>
      <c r="B892" s="869"/>
      <c r="C892" s="226"/>
      <c r="D892" s="227"/>
      <c r="E892" s="227"/>
      <c r="F892" s="226"/>
      <c r="G892" s="226"/>
      <c r="H892" s="227"/>
      <c r="I892" s="227"/>
      <c r="J892" s="227"/>
      <c r="K892" s="227"/>
      <c r="L892" s="227"/>
      <c r="M892" s="890"/>
      <c r="N892" s="228"/>
      <c r="O892" s="228"/>
      <c r="P892" s="227"/>
      <c r="Q892" s="226"/>
      <c r="R892" s="226"/>
      <c r="S892" s="228"/>
      <c r="T892" s="228"/>
      <c r="U892" s="228"/>
    </row>
    <row r="893" ht="13.5" customHeight="1" spans="1:21">
      <c r="A893" s="226"/>
      <c r="B893" s="869"/>
      <c r="C893" s="226"/>
      <c r="D893" s="227"/>
      <c r="E893" s="227"/>
      <c r="F893" s="226"/>
      <c r="G893" s="226"/>
      <c r="H893" s="227"/>
      <c r="I893" s="227"/>
      <c r="J893" s="227"/>
      <c r="K893" s="227"/>
      <c r="L893" s="227"/>
      <c r="M893" s="890"/>
      <c r="N893" s="228"/>
      <c r="O893" s="228"/>
      <c r="P893" s="227"/>
      <c r="Q893" s="226"/>
      <c r="R893" s="226"/>
      <c r="S893" s="228"/>
      <c r="T893" s="228"/>
      <c r="U893" s="228"/>
    </row>
    <row r="894" ht="13.5" customHeight="1" spans="1:21">
      <c r="A894" s="226"/>
      <c r="B894" s="869"/>
      <c r="C894" s="226"/>
      <c r="D894" s="227"/>
      <c r="E894" s="227"/>
      <c r="F894" s="226"/>
      <c r="G894" s="226"/>
      <c r="H894" s="227"/>
      <c r="I894" s="227"/>
      <c r="J894" s="227"/>
      <c r="K894" s="227"/>
      <c r="L894" s="227"/>
      <c r="M894" s="890"/>
      <c r="N894" s="228"/>
      <c r="O894" s="228"/>
      <c r="P894" s="227"/>
      <c r="Q894" s="226"/>
      <c r="R894" s="226"/>
      <c r="S894" s="228"/>
      <c r="T894" s="228"/>
      <c r="U894" s="228"/>
    </row>
    <row r="895" ht="13.5" customHeight="1" spans="1:21">
      <c r="A895" s="226"/>
      <c r="B895" s="869"/>
      <c r="C895" s="226"/>
      <c r="D895" s="227"/>
      <c r="E895" s="227"/>
      <c r="F895" s="226"/>
      <c r="G895" s="226"/>
      <c r="H895" s="227"/>
      <c r="I895" s="227"/>
      <c r="J895" s="227"/>
      <c r="K895" s="227"/>
      <c r="L895" s="227"/>
      <c r="M895" s="890"/>
      <c r="N895" s="228"/>
      <c r="O895" s="228"/>
      <c r="P895" s="227"/>
      <c r="Q895" s="226"/>
      <c r="R895" s="226"/>
      <c r="S895" s="228"/>
      <c r="T895" s="228"/>
      <c r="U895" s="228"/>
    </row>
    <row r="896" ht="13.5" customHeight="1" spans="1:21">
      <c r="A896" s="226"/>
      <c r="B896" s="869"/>
      <c r="C896" s="226"/>
      <c r="D896" s="227"/>
      <c r="E896" s="227"/>
      <c r="F896" s="226"/>
      <c r="G896" s="226"/>
      <c r="H896" s="227"/>
      <c r="I896" s="227"/>
      <c r="J896" s="227"/>
      <c r="K896" s="227"/>
      <c r="L896" s="227"/>
      <c r="M896" s="890"/>
      <c r="N896" s="228"/>
      <c r="O896" s="228"/>
      <c r="P896" s="227"/>
      <c r="Q896" s="226"/>
      <c r="R896" s="226"/>
      <c r="S896" s="228"/>
      <c r="T896" s="228"/>
      <c r="U896" s="228"/>
    </row>
    <row r="897" ht="13.5" customHeight="1" spans="1:21">
      <c r="A897" s="226"/>
      <c r="B897" s="869"/>
      <c r="C897" s="226"/>
      <c r="D897" s="227"/>
      <c r="E897" s="227"/>
      <c r="F897" s="226"/>
      <c r="G897" s="226"/>
      <c r="H897" s="227"/>
      <c r="I897" s="227"/>
      <c r="J897" s="227"/>
      <c r="K897" s="227"/>
      <c r="L897" s="227"/>
      <c r="M897" s="890"/>
      <c r="N897" s="228"/>
      <c r="O897" s="228"/>
      <c r="P897" s="227"/>
      <c r="Q897" s="226"/>
      <c r="R897" s="226"/>
      <c r="S897" s="228"/>
      <c r="T897" s="228"/>
      <c r="U897" s="228"/>
    </row>
    <row r="898" ht="13.5" customHeight="1" spans="1:21">
      <c r="A898" s="226"/>
      <c r="B898" s="869"/>
      <c r="C898" s="226"/>
      <c r="D898" s="227"/>
      <c r="E898" s="227"/>
      <c r="F898" s="226"/>
      <c r="G898" s="226"/>
      <c r="H898" s="227"/>
      <c r="I898" s="227"/>
      <c r="J898" s="227"/>
      <c r="K898" s="227"/>
      <c r="L898" s="227"/>
      <c r="M898" s="890"/>
      <c r="N898" s="228"/>
      <c r="O898" s="228"/>
      <c r="P898" s="227"/>
      <c r="Q898" s="226"/>
      <c r="R898" s="226"/>
      <c r="S898" s="228"/>
      <c r="T898" s="228"/>
      <c r="U898" s="228"/>
    </row>
    <row r="899" ht="13.5" customHeight="1" spans="1:21">
      <c r="A899" s="226"/>
      <c r="B899" s="869"/>
      <c r="C899" s="226"/>
      <c r="D899" s="227"/>
      <c r="E899" s="227"/>
      <c r="F899" s="226"/>
      <c r="G899" s="226"/>
      <c r="H899" s="227"/>
      <c r="I899" s="227"/>
      <c r="J899" s="227"/>
      <c r="K899" s="227"/>
      <c r="L899" s="227"/>
      <c r="M899" s="890"/>
      <c r="N899" s="228"/>
      <c r="O899" s="228"/>
      <c r="P899" s="227"/>
      <c r="Q899" s="226"/>
      <c r="R899" s="226"/>
      <c r="S899" s="228"/>
      <c r="T899" s="228"/>
      <c r="U899" s="228"/>
    </row>
    <row r="900" ht="13.5" customHeight="1" spans="1:21">
      <c r="A900" s="226"/>
      <c r="B900" s="869"/>
      <c r="C900" s="226"/>
      <c r="D900" s="227"/>
      <c r="E900" s="227"/>
      <c r="F900" s="226"/>
      <c r="G900" s="226"/>
      <c r="H900" s="227"/>
      <c r="I900" s="227"/>
      <c r="J900" s="227"/>
      <c r="K900" s="227"/>
      <c r="L900" s="227"/>
      <c r="M900" s="890"/>
      <c r="N900" s="228"/>
      <c r="O900" s="228"/>
      <c r="P900" s="227"/>
      <c r="Q900" s="226"/>
      <c r="R900" s="226"/>
      <c r="S900" s="228"/>
      <c r="T900" s="228"/>
      <c r="U900" s="228"/>
    </row>
    <row r="901" ht="13.5" customHeight="1" spans="1:21">
      <c r="A901" s="226"/>
      <c r="B901" s="869"/>
      <c r="C901" s="226"/>
      <c r="D901" s="227"/>
      <c r="E901" s="227"/>
      <c r="F901" s="226"/>
      <c r="G901" s="226"/>
      <c r="H901" s="227"/>
      <c r="I901" s="227"/>
      <c r="J901" s="227"/>
      <c r="K901" s="227"/>
      <c r="L901" s="227"/>
      <c r="M901" s="890"/>
      <c r="N901" s="228"/>
      <c r="O901" s="228"/>
      <c r="P901" s="227"/>
      <c r="Q901" s="226"/>
      <c r="R901" s="226"/>
      <c r="S901" s="228"/>
      <c r="T901" s="228"/>
      <c r="U901" s="228"/>
    </row>
    <row r="902" ht="13.5" customHeight="1" spans="1:21">
      <c r="A902" s="226"/>
      <c r="B902" s="869"/>
      <c r="C902" s="226"/>
      <c r="D902" s="227"/>
      <c r="E902" s="227"/>
      <c r="F902" s="226"/>
      <c r="G902" s="226"/>
      <c r="H902" s="227"/>
      <c r="I902" s="227"/>
      <c r="J902" s="227"/>
      <c r="K902" s="227"/>
      <c r="L902" s="227"/>
      <c r="M902" s="890"/>
      <c r="N902" s="228"/>
      <c r="O902" s="228"/>
      <c r="P902" s="227"/>
      <c r="Q902" s="226"/>
      <c r="R902" s="226"/>
      <c r="S902" s="228"/>
      <c r="T902" s="228"/>
      <c r="U902" s="228"/>
    </row>
    <row r="903" ht="13.5" customHeight="1" spans="1:21">
      <c r="A903" s="226"/>
      <c r="B903" s="869"/>
      <c r="C903" s="226"/>
      <c r="D903" s="227"/>
      <c r="E903" s="227"/>
      <c r="F903" s="226"/>
      <c r="G903" s="226"/>
      <c r="H903" s="227"/>
      <c r="I903" s="227"/>
      <c r="J903" s="227"/>
      <c r="K903" s="227"/>
      <c r="L903" s="227"/>
      <c r="M903" s="890"/>
      <c r="N903" s="228"/>
      <c r="O903" s="228"/>
      <c r="P903" s="227"/>
      <c r="Q903" s="226"/>
      <c r="R903" s="226"/>
      <c r="S903" s="228"/>
      <c r="T903" s="228"/>
      <c r="U903" s="228"/>
    </row>
    <row r="904" ht="13.5" customHeight="1" spans="1:21">
      <c r="A904" s="226"/>
      <c r="B904" s="869"/>
      <c r="C904" s="226"/>
      <c r="D904" s="227"/>
      <c r="E904" s="227"/>
      <c r="F904" s="226"/>
      <c r="G904" s="226"/>
      <c r="H904" s="227"/>
      <c r="I904" s="227"/>
      <c r="J904" s="227"/>
      <c r="K904" s="227"/>
      <c r="L904" s="227"/>
      <c r="M904" s="890"/>
      <c r="N904" s="228"/>
      <c r="O904" s="228"/>
      <c r="P904" s="227"/>
      <c r="Q904" s="226"/>
      <c r="R904" s="226"/>
      <c r="S904" s="228"/>
      <c r="T904" s="228"/>
      <c r="U904" s="228"/>
    </row>
    <row r="905" ht="13.5" customHeight="1" spans="1:21">
      <c r="A905" s="226"/>
      <c r="B905" s="869"/>
      <c r="C905" s="226"/>
      <c r="D905" s="227"/>
      <c r="E905" s="227"/>
      <c r="F905" s="226"/>
      <c r="G905" s="226"/>
      <c r="H905" s="227"/>
      <c r="I905" s="227"/>
      <c r="J905" s="227"/>
      <c r="K905" s="227"/>
      <c r="L905" s="227"/>
      <c r="M905" s="890"/>
      <c r="N905" s="228"/>
      <c r="O905" s="228"/>
      <c r="P905" s="227"/>
      <c r="Q905" s="226"/>
      <c r="R905" s="226"/>
      <c r="S905" s="228"/>
      <c r="T905" s="228"/>
      <c r="U905" s="228"/>
    </row>
    <row r="906" ht="13.5" customHeight="1" spans="1:21">
      <c r="A906" s="226"/>
      <c r="B906" s="869"/>
      <c r="C906" s="226"/>
      <c r="D906" s="227"/>
      <c r="E906" s="227"/>
      <c r="F906" s="226"/>
      <c r="G906" s="226"/>
      <c r="H906" s="227"/>
      <c r="I906" s="227"/>
      <c r="J906" s="227"/>
      <c r="K906" s="227"/>
      <c r="L906" s="227"/>
      <c r="M906" s="890"/>
      <c r="N906" s="228"/>
      <c r="O906" s="228"/>
      <c r="P906" s="227"/>
      <c r="Q906" s="226"/>
      <c r="R906" s="226"/>
      <c r="S906" s="228"/>
      <c r="T906" s="228"/>
      <c r="U906" s="228"/>
    </row>
    <row r="907" ht="13.5" customHeight="1" spans="1:21">
      <c r="A907" s="226"/>
      <c r="B907" s="869"/>
      <c r="C907" s="226"/>
      <c r="D907" s="227"/>
      <c r="E907" s="227"/>
      <c r="F907" s="226"/>
      <c r="G907" s="226"/>
      <c r="H907" s="227"/>
      <c r="I907" s="227"/>
      <c r="J907" s="227"/>
      <c r="K907" s="227"/>
      <c r="L907" s="227"/>
      <c r="M907" s="890"/>
      <c r="N907" s="228"/>
      <c r="O907" s="228"/>
      <c r="P907" s="227"/>
      <c r="Q907" s="226"/>
      <c r="R907" s="226"/>
      <c r="S907" s="228"/>
      <c r="T907" s="228"/>
      <c r="U907" s="228"/>
    </row>
    <row r="908" ht="13.5" customHeight="1" spans="1:21">
      <c r="A908" s="226"/>
      <c r="B908" s="869"/>
      <c r="C908" s="226"/>
      <c r="D908" s="227"/>
      <c r="E908" s="227"/>
      <c r="F908" s="226"/>
      <c r="G908" s="226"/>
      <c r="H908" s="227"/>
      <c r="I908" s="227"/>
      <c r="J908" s="227"/>
      <c r="K908" s="227"/>
      <c r="L908" s="227"/>
      <c r="M908" s="890"/>
      <c r="N908" s="228"/>
      <c r="O908" s="228"/>
      <c r="P908" s="227"/>
      <c r="Q908" s="226"/>
      <c r="R908" s="226"/>
      <c r="S908" s="228"/>
      <c r="T908" s="228"/>
      <c r="U908" s="228"/>
    </row>
    <row r="909" ht="13.5" customHeight="1" spans="1:21">
      <c r="A909" s="226"/>
      <c r="B909" s="869"/>
      <c r="C909" s="226"/>
      <c r="D909" s="227"/>
      <c r="E909" s="227"/>
      <c r="F909" s="226"/>
      <c r="G909" s="226"/>
      <c r="H909" s="227"/>
      <c r="I909" s="227"/>
      <c r="J909" s="227"/>
      <c r="K909" s="227"/>
      <c r="L909" s="227"/>
      <c r="M909" s="890"/>
      <c r="N909" s="228"/>
      <c r="O909" s="228"/>
      <c r="P909" s="227"/>
      <c r="Q909" s="226"/>
      <c r="R909" s="226"/>
      <c r="S909" s="228"/>
      <c r="T909" s="228"/>
      <c r="U909" s="228"/>
    </row>
    <row r="910" ht="13.5" customHeight="1" spans="1:21">
      <c r="A910" s="226"/>
      <c r="B910" s="869"/>
      <c r="C910" s="226"/>
      <c r="D910" s="227"/>
      <c r="E910" s="227"/>
      <c r="F910" s="226"/>
      <c r="G910" s="226"/>
      <c r="H910" s="227"/>
      <c r="I910" s="227"/>
      <c r="J910" s="227"/>
      <c r="K910" s="227"/>
      <c r="L910" s="227"/>
      <c r="M910" s="890"/>
      <c r="N910" s="228"/>
      <c r="O910" s="228"/>
      <c r="P910" s="227"/>
      <c r="Q910" s="226"/>
      <c r="R910" s="226"/>
      <c r="S910" s="228"/>
      <c r="T910" s="228"/>
      <c r="U910" s="228"/>
    </row>
    <row r="911" ht="13.5" customHeight="1" spans="1:21">
      <c r="A911" s="226"/>
      <c r="B911" s="869"/>
      <c r="C911" s="226"/>
      <c r="D911" s="227"/>
      <c r="E911" s="227"/>
      <c r="F911" s="226"/>
      <c r="G911" s="226"/>
      <c r="H911" s="227"/>
      <c r="I911" s="227"/>
      <c r="J911" s="227"/>
      <c r="K911" s="227"/>
      <c r="L911" s="227"/>
      <c r="M911" s="890"/>
      <c r="N911" s="228"/>
      <c r="O911" s="228"/>
      <c r="P911" s="227"/>
      <c r="Q911" s="226"/>
      <c r="R911" s="226"/>
      <c r="S911" s="228"/>
      <c r="T911" s="228"/>
      <c r="U911" s="228"/>
    </row>
    <row r="912" ht="13.5" customHeight="1" spans="1:21">
      <c r="A912" s="226"/>
      <c r="B912" s="869"/>
      <c r="C912" s="226"/>
      <c r="D912" s="227"/>
      <c r="E912" s="227"/>
      <c r="F912" s="226"/>
      <c r="G912" s="226"/>
      <c r="H912" s="227"/>
      <c r="I912" s="227"/>
      <c r="J912" s="227"/>
      <c r="K912" s="227"/>
      <c r="L912" s="227"/>
      <c r="M912" s="890"/>
      <c r="N912" s="228"/>
      <c r="O912" s="228"/>
      <c r="P912" s="227"/>
      <c r="Q912" s="226"/>
      <c r="R912" s="226"/>
      <c r="S912" s="228"/>
      <c r="T912" s="228"/>
      <c r="U912" s="228"/>
    </row>
    <row r="913" ht="13.5" customHeight="1" spans="1:21">
      <c r="A913" s="226"/>
      <c r="B913" s="869"/>
      <c r="C913" s="226"/>
      <c r="D913" s="227"/>
      <c r="E913" s="227"/>
      <c r="F913" s="226"/>
      <c r="G913" s="226"/>
      <c r="H913" s="227"/>
      <c r="I913" s="227"/>
      <c r="J913" s="227"/>
      <c r="K913" s="227"/>
      <c r="L913" s="227"/>
      <c r="M913" s="890"/>
      <c r="N913" s="228"/>
      <c r="O913" s="228"/>
      <c r="P913" s="227"/>
      <c r="Q913" s="226"/>
      <c r="R913" s="226"/>
      <c r="S913" s="228"/>
      <c r="T913" s="228"/>
      <c r="U913" s="228"/>
    </row>
    <row r="914" ht="13.5" customHeight="1" spans="1:21">
      <c r="A914" s="226"/>
      <c r="B914" s="869"/>
      <c r="C914" s="226"/>
      <c r="D914" s="227"/>
      <c r="E914" s="227"/>
      <c r="F914" s="226"/>
      <c r="G914" s="226"/>
      <c r="H914" s="227"/>
      <c r="I914" s="227"/>
      <c r="J914" s="227"/>
      <c r="K914" s="227"/>
      <c r="L914" s="227"/>
      <c r="M914" s="890"/>
      <c r="N914" s="228"/>
      <c r="O914" s="228"/>
      <c r="P914" s="227"/>
      <c r="Q914" s="226"/>
      <c r="R914" s="226"/>
      <c r="S914" s="228"/>
      <c r="T914" s="228"/>
      <c r="U914" s="228"/>
    </row>
    <row r="915" ht="13.5" customHeight="1" spans="1:21">
      <c r="A915" s="226"/>
      <c r="B915" s="869"/>
      <c r="C915" s="226"/>
      <c r="D915" s="227"/>
      <c r="E915" s="227"/>
      <c r="F915" s="226"/>
      <c r="G915" s="226"/>
      <c r="H915" s="227"/>
      <c r="I915" s="227"/>
      <c r="J915" s="227"/>
      <c r="K915" s="227"/>
      <c r="L915" s="227"/>
      <c r="M915" s="890"/>
      <c r="N915" s="228"/>
      <c r="O915" s="228"/>
      <c r="P915" s="227"/>
      <c r="Q915" s="226"/>
      <c r="R915" s="226"/>
      <c r="S915" s="228"/>
      <c r="T915" s="228"/>
      <c r="U915" s="228"/>
    </row>
    <row r="916" ht="13.5" customHeight="1" spans="1:21">
      <c r="A916" s="226"/>
      <c r="B916" s="869"/>
      <c r="C916" s="226"/>
      <c r="D916" s="227"/>
      <c r="E916" s="227"/>
      <c r="F916" s="226"/>
      <c r="G916" s="226"/>
      <c r="H916" s="227"/>
      <c r="I916" s="227"/>
      <c r="J916" s="227"/>
      <c r="K916" s="227"/>
      <c r="L916" s="227"/>
      <c r="M916" s="890"/>
      <c r="N916" s="228"/>
      <c r="O916" s="228"/>
      <c r="P916" s="227"/>
      <c r="Q916" s="226"/>
      <c r="R916" s="226"/>
      <c r="S916" s="228"/>
      <c r="T916" s="228"/>
      <c r="U916" s="228"/>
    </row>
    <row r="917" ht="13.5" customHeight="1" spans="1:21">
      <c r="A917" s="226"/>
      <c r="B917" s="869"/>
      <c r="C917" s="226"/>
      <c r="D917" s="227"/>
      <c r="E917" s="227"/>
      <c r="F917" s="226"/>
      <c r="G917" s="226"/>
      <c r="H917" s="227"/>
      <c r="I917" s="227"/>
      <c r="J917" s="227"/>
      <c r="K917" s="227"/>
      <c r="L917" s="227"/>
      <c r="M917" s="890"/>
      <c r="N917" s="228"/>
      <c r="O917" s="228"/>
      <c r="P917" s="227"/>
      <c r="Q917" s="226"/>
      <c r="R917" s="226"/>
      <c r="S917" s="228"/>
      <c r="T917" s="228"/>
      <c r="U917" s="228"/>
    </row>
    <row r="918" ht="13.5" customHeight="1" spans="1:21">
      <c r="A918" s="226"/>
      <c r="B918" s="869"/>
      <c r="C918" s="226"/>
      <c r="D918" s="227"/>
      <c r="E918" s="227"/>
      <c r="F918" s="226"/>
      <c r="G918" s="226"/>
      <c r="H918" s="227"/>
      <c r="I918" s="227"/>
      <c r="J918" s="227"/>
      <c r="K918" s="227"/>
      <c r="L918" s="227"/>
      <c r="M918" s="890"/>
      <c r="N918" s="228"/>
      <c r="O918" s="228"/>
      <c r="P918" s="227"/>
      <c r="Q918" s="226"/>
      <c r="R918" s="226"/>
      <c r="S918" s="228"/>
      <c r="T918" s="228"/>
      <c r="U918" s="228"/>
    </row>
    <row r="919" ht="13.5" customHeight="1" spans="1:21">
      <c r="A919" s="226"/>
      <c r="B919" s="869"/>
      <c r="C919" s="226"/>
      <c r="D919" s="227"/>
      <c r="E919" s="227"/>
      <c r="F919" s="226"/>
      <c r="G919" s="226"/>
      <c r="H919" s="227"/>
      <c r="I919" s="227"/>
      <c r="J919" s="227"/>
      <c r="K919" s="227"/>
      <c r="L919" s="227"/>
      <c r="M919" s="890"/>
      <c r="N919" s="228"/>
      <c r="O919" s="228"/>
      <c r="P919" s="227"/>
      <c r="Q919" s="226"/>
      <c r="R919" s="226"/>
      <c r="S919" s="228"/>
      <c r="T919" s="228"/>
      <c r="U919" s="228"/>
    </row>
    <row r="920" ht="13.5" customHeight="1" spans="1:21">
      <c r="A920" s="226"/>
      <c r="B920" s="869"/>
      <c r="C920" s="226"/>
      <c r="D920" s="227"/>
      <c r="E920" s="227"/>
      <c r="F920" s="226"/>
      <c r="G920" s="226"/>
      <c r="H920" s="227"/>
      <c r="I920" s="227"/>
      <c r="J920" s="227"/>
      <c r="K920" s="227"/>
      <c r="L920" s="227"/>
      <c r="M920" s="890"/>
      <c r="N920" s="228"/>
      <c r="O920" s="228"/>
      <c r="P920" s="227"/>
      <c r="Q920" s="226"/>
      <c r="R920" s="226"/>
      <c r="S920" s="228"/>
      <c r="T920" s="228"/>
      <c r="U920" s="228"/>
    </row>
    <row r="921" ht="13.5" customHeight="1" spans="1:21">
      <c r="A921" s="226"/>
      <c r="B921" s="869"/>
      <c r="C921" s="226"/>
      <c r="D921" s="227"/>
      <c r="E921" s="227"/>
      <c r="F921" s="226"/>
      <c r="G921" s="226"/>
      <c r="H921" s="227"/>
      <c r="I921" s="227"/>
      <c r="J921" s="227"/>
      <c r="K921" s="227"/>
      <c r="L921" s="227"/>
      <c r="M921" s="890"/>
      <c r="N921" s="228"/>
      <c r="O921" s="228"/>
      <c r="P921" s="227"/>
      <c r="Q921" s="226"/>
      <c r="R921" s="226"/>
      <c r="S921" s="228"/>
      <c r="T921" s="228"/>
      <c r="U921" s="228"/>
    </row>
    <row r="922" ht="13.5" customHeight="1" spans="1:21">
      <c r="A922" s="226"/>
      <c r="B922" s="869"/>
      <c r="C922" s="226"/>
      <c r="D922" s="227"/>
      <c r="E922" s="227"/>
      <c r="F922" s="226"/>
      <c r="G922" s="226"/>
      <c r="H922" s="227"/>
      <c r="I922" s="227"/>
      <c r="J922" s="227"/>
      <c r="K922" s="227"/>
      <c r="L922" s="227"/>
      <c r="M922" s="890"/>
      <c r="N922" s="228"/>
      <c r="O922" s="228"/>
      <c r="P922" s="227"/>
      <c r="Q922" s="226"/>
      <c r="R922" s="226"/>
      <c r="S922" s="228"/>
      <c r="T922" s="228"/>
      <c r="U922" s="228"/>
    </row>
    <row r="923" ht="13.5" customHeight="1" spans="1:21">
      <c r="A923" s="226"/>
      <c r="B923" s="869"/>
      <c r="C923" s="226"/>
      <c r="D923" s="227"/>
      <c r="E923" s="227"/>
      <c r="F923" s="226"/>
      <c r="G923" s="226"/>
      <c r="H923" s="227"/>
      <c r="I923" s="227"/>
      <c r="J923" s="227"/>
      <c r="K923" s="227"/>
      <c r="L923" s="227"/>
      <c r="M923" s="890"/>
      <c r="N923" s="228"/>
      <c r="O923" s="228"/>
      <c r="P923" s="227"/>
      <c r="Q923" s="226"/>
      <c r="R923" s="226"/>
      <c r="S923" s="228"/>
      <c r="T923" s="228"/>
      <c r="U923" s="228"/>
    </row>
    <row r="924" ht="13.5" customHeight="1" spans="1:21">
      <c r="A924" s="226"/>
      <c r="B924" s="869"/>
      <c r="C924" s="226"/>
      <c r="D924" s="227"/>
      <c r="E924" s="227"/>
      <c r="F924" s="226"/>
      <c r="G924" s="226"/>
      <c r="H924" s="227"/>
      <c r="I924" s="227"/>
      <c r="J924" s="227"/>
      <c r="K924" s="227"/>
      <c r="L924" s="227"/>
      <c r="M924" s="890"/>
      <c r="N924" s="228"/>
      <c r="O924" s="228"/>
      <c r="P924" s="227"/>
      <c r="Q924" s="226"/>
      <c r="R924" s="226"/>
      <c r="S924" s="228"/>
      <c r="T924" s="228"/>
      <c r="U924" s="228"/>
    </row>
    <row r="925" ht="13.5" customHeight="1" spans="1:21">
      <c r="A925" s="226"/>
      <c r="B925" s="869"/>
      <c r="C925" s="226"/>
      <c r="D925" s="227"/>
      <c r="E925" s="227"/>
      <c r="F925" s="226"/>
      <c r="G925" s="226"/>
      <c r="H925" s="227"/>
      <c r="I925" s="227"/>
      <c r="J925" s="227"/>
      <c r="K925" s="227"/>
      <c r="L925" s="227"/>
      <c r="M925" s="890"/>
      <c r="N925" s="228"/>
      <c r="O925" s="228"/>
      <c r="P925" s="227"/>
      <c r="Q925" s="226"/>
      <c r="R925" s="226"/>
      <c r="S925" s="228"/>
      <c r="T925" s="228"/>
      <c r="U925" s="228"/>
    </row>
    <row r="926" ht="13.5" customHeight="1" spans="1:21">
      <c r="A926" s="226"/>
      <c r="B926" s="869"/>
      <c r="C926" s="226"/>
      <c r="D926" s="227"/>
      <c r="E926" s="227"/>
      <c r="F926" s="226"/>
      <c r="G926" s="226"/>
      <c r="H926" s="227"/>
      <c r="I926" s="227"/>
      <c r="J926" s="227"/>
      <c r="K926" s="227"/>
      <c r="L926" s="227"/>
      <c r="M926" s="890"/>
      <c r="N926" s="228"/>
      <c r="O926" s="228"/>
      <c r="P926" s="227"/>
      <c r="Q926" s="226"/>
      <c r="R926" s="226"/>
      <c r="S926" s="228"/>
      <c r="T926" s="228"/>
      <c r="U926" s="228"/>
    </row>
    <row r="927" ht="13.5" customHeight="1" spans="1:21">
      <c r="A927" s="226"/>
      <c r="B927" s="869"/>
      <c r="C927" s="226"/>
      <c r="D927" s="227"/>
      <c r="E927" s="227"/>
      <c r="F927" s="226"/>
      <c r="G927" s="226"/>
      <c r="H927" s="227"/>
      <c r="I927" s="227"/>
      <c r="J927" s="227"/>
      <c r="K927" s="227"/>
      <c r="L927" s="227"/>
      <c r="M927" s="890"/>
      <c r="N927" s="228"/>
      <c r="O927" s="228"/>
      <c r="P927" s="227"/>
      <c r="Q927" s="226"/>
      <c r="R927" s="226"/>
      <c r="S927" s="228"/>
      <c r="T927" s="228"/>
      <c r="U927" s="228"/>
    </row>
    <row r="928" ht="13.5" customHeight="1" spans="1:21">
      <c r="A928" s="226"/>
      <c r="B928" s="869"/>
      <c r="C928" s="226"/>
      <c r="D928" s="227"/>
      <c r="E928" s="227"/>
      <c r="F928" s="226"/>
      <c r="G928" s="226"/>
      <c r="H928" s="227"/>
      <c r="I928" s="227"/>
      <c r="J928" s="227"/>
      <c r="K928" s="227"/>
      <c r="L928" s="227"/>
      <c r="M928" s="890"/>
      <c r="N928" s="228"/>
      <c r="O928" s="228"/>
      <c r="P928" s="227"/>
      <c r="Q928" s="226"/>
      <c r="R928" s="226"/>
      <c r="S928" s="228"/>
      <c r="T928" s="228"/>
      <c r="U928" s="228"/>
    </row>
    <row r="929" ht="13.5" customHeight="1" spans="1:21">
      <c r="A929" s="226"/>
      <c r="B929" s="869"/>
      <c r="C929" s="226"/>
      <c r="D929" s="227"/>
      <c r="E929" s="227"/>
      <c r="F929" s="226"/>
      <c r="G929" s="226"/>
      <c r="H929" s="227"/>
      <c r="I929" s="227"/>
      <c r="J929" s="227"/>
      <c r="K929" s="227"/>
      <c r="L929" s="227"/>
      <c r="M929" s="890"/>
      <c r="N929" s="228"/>
      <c r="O929" s="228"/>
      <c r="P929" s="227"/>
      <c r="Q929" s="226"/>
      <c r="R929" s="226"/>
      <c r="S929" s="228"/>
      <c r="T929" s="228"/>
      <c r="U929" s="228"/>
    </row>
    <row r="930" ht="13.5" customHeight="1" spans="1:21">
      <c r="A930" s="226"/>
      <c r="B930" s="869"/>
      <c r="C930" s="226"/>
      <c r="D930" s="227"/>
      <c r="E930" s="227"/>
      <c r="F930" s="226"/>
      <c r="G930" s="226"/>
      <c r="H930" s="227"/>
      <c r="I930" s="227"/>
      <c r="J930" s="227"/>
      <c r="K930" s="227"/>
      <c r="L930" s="227"/>
      <c r="M930" s="890"/>
      <c r="N930" s="228"/>
      <c r="O930" s="228"/>
      <c r="P930" s="227"/>
      <c r="Q930" s="226"/>
      <c r="R930" s="226"/>
      <c r="S930" s="228"/>
      <c r="T930" s="228"/>
      <c r="U930" s="228"/>
    </row>
    <row r="931" ht="13.5" customHeight="1" spans="1:21">
      <c r="A931" s="226"/>
      <c r="B931" s="869"/>
      <c r="C931" s="226"/>
      <c r="D931" s="227"/>
      <c r="E931" s="227"/>
      <c r="F931" s="226"/>
      <c r="G931" s="226"/>
      <c r="H931" s="227"/>
      <c r="I931" s="227"/>
      <c r="J931" s="227"/>
      <c r="K931" s="227"/>
      <c r="L931" s="227"/>
      <c r="M931" s="890"/>
      <c r="N931" s="228"/>
      <c r="O931" s="228"/>
      <c r="P931" s="227"/>
      <c r="Q931" s="226"/>
      <c r="R931" s="226"/>
      <c r="S931" s="228"/>
      <c r="T931" s="228"/>
      <c r="U931" s="228"/>
    </row>
    <row r="932" ht="13.5" customHeight="1" spans="1:21">
      <c r="A932" s="226"/>
      <c r="B932" s="869"/>
      <c r="C932" s="226"/>
      <c r="D932" s="227"/>
      <c r="E932" s="227"/>
      <c r="F932" s="226"/>
      <c r="G932" s="226"/>
      <c r="H932" s="227"/>
      <c r="I932" s="227"/>
      <c r="J932" s="227"/>
      <c r="K932" s="227"/>
      <c r="L932" s="227"/>
      <c r="M932" s="890"/>
      <c r="N932" s="228"/>
      <c r="O932" s="228"/>
      <c r="P932" s="227"/>
      <c r="Q932" s="226"/>
      <c r="R932" s="226"/>
      <c r="S932" s="228"/>
      <c r="T932" s="228"/>
      <c r="U932" s="228"/>
    </row>
    <row r="933" ht="13.5" customHeight="1" spans="1:21">
      <c r="A933" s="226"/>
      <c r="B933" s="869"/>
      <c r="C933" s="226"/>
      <c r="D933" s="227"/>
      <c r="E933" s="227"/>
      <c r="F933" s="226"/>
      <c r="G933" s="226"/>
      <c r="H933" s="227"/>
      <c r="I933" s="227"/>
      <c r="J933" s="227"/>
      <c r="K933" s="227"/>
      <c r="L933" s="227"/>
      <c r="M933" s="890"/>
      <c r="N933" s="228"/>
      <c r="O933" s="228"/>
      <c r="P933" s="227"/>
      <c r="Q933" s="226"/>
      <c r="R933" s="226"/>
      <c r="S933" s="228"/>
      <c r="T933" s="228"/>
      <c r="U933" s="228"/>
    </row>
    <row r="934" ht="13.5" customHeight="1" spans="1:21">
      <c r="A934" s="226"/>
      <c r="B934" s="869"/>
      <c r="C934" s="226"/>
      <c r="D934" s="227"/>
      <c r="E934" s="227"/>
      <c r="F934" s="226"/>
      <c r="G934" s="226"/>
      <c r="H934" s="227"/>
      <c r="I934" s="227"/>
      <c r="J934" s="227"/>
      <c r="K934" s="227"/>
      <c r="L934" s="227"/>
      <c r="M934" s="890"/>
      <c r="N934" s="228"/>
      <c r="O934" s="228"/>
      <c r="P934" s="227"/>
      <c r="Q934" s="226"/>
      <c r="R934" s="226"/>
      <c r="S934" s="228"/>
      <c r="T934" s="228"/>
      <c r="U934" s="228"/>
    </row>
    <row r="935" ht="13.5" customHeight="1" spans="1:21">
      <c r="A935" s="226"/>
      <c r="B935" s="869"/>
      <c r="C935" s="226"/>
      <c r="D935" s="227"/>
      <c r="E935" s="227"/>
      <c r="F935" s="226"/>
      <c r="G935" s="226"/>
      <c r="H935" s="227"/>
      <c r="I935" s="227"/>
      <c r="J935" s="227"/>
      <c r="K935" s="227"/>
      <c r="L935" s="227"/>
      <c r="M935" s="890"/>
      <c r="N935" s="228"/>
      <c r="O935" s="228"/>
      <c r="P935" s="227"/>
      <c r="Q935" s="226"/>
      <c r="R935" s="226"/>
      <c r="S935" s="228"/>
      <c r="T935" s="228"/>
      <c r="U935" s="228"/>
    </row>
    <row r="936" ht="13.5" customHeight="1" spans="1:21">
      <c r="A936" s="226"/>
      <c r="B936" s="869"/>
      <c r="C936" s="226"/>
      <c r="D936" s="227"/>
      <c r="E936" s="227"/>
      <c r="F936" s="226"/>
      <c r="G936" s="226"/>
      <c r="H936" s="227"/>
      <c r="I936" s="227"/>
      <c r="J936" s="227"/>
      <c r="K936" s="227"/>
      <c r="L936" s="227"/>
      <c r="M936" s="890"/>
      <c r="N936" s="228"/>
      <c r="O936" s="228"/>
      <c r="P936" s="227"/>
      <c r="Q936" s="226"/>
      <c r="R936" s="226"/>
      <c r="S936" s="228"/>
      <c r="T936" s="228"/>
      <c r="U936" s="228"/>
    </row>
    <row r="937" ht="13.5" customHeight="1" spans="1:21">
      <c r="A937" s="226"/>
      <c r="B937" s="869"/>
      <c r="C937" s="226"/>
      <c r="D937" s="227"/>
      <c r="E937" s="227"/>
      <c r="F937" s="226"/>
      <c r="G937" s="226"/>
      <c r="H937" s="227"/>
      <c r="I937" s="227"/>
      <c r="J937" s="227"/>
      <c r="K937" s="227"/>
      <c r="L937" s="227"/>
      <c r="M937" s="890"/>
      <c r="N937" s="228"/>
      <c r="O937" s="228"/>
      <c r="P937" s="227"/>
      <c r="Q937" s="226"/>
      <c r="R937" s="226"/>
      <c r="S937" s="228"/>
      <c r="T937" s="228"/>
      <c r="U937" s="228"/>
    </row>
    <row r="938" ht="13.5" customHeight="1" spans="1:21">
      <c r="A938" s="226"/>
      <c r="B938" s="869"/>
      <c r="C938" s="226"/>
      <c r="D938" s="227"/>
      <c r="E938" s="227"/>
      <c r="F938" s="226"/>
      <c r="G938" s="226"/>
      <c r="H938" s="227"/>
      <c r="I938" s="227"/>
      <c r="J938" s="227"/>
      <c r="K938" s="227"/>
      <c r="L938" s="227"/>
      <c r="M938" s="890"/>
      <c r="N938" s="228"/>
      <c r="O938" s="228"/>
      <c r="P938" s="227"/>
      <c r="Q938" s="226"/>
      <c r="R938" s="226"/>
      <c r="S938" s="228"/>
      <c r="T938" s="228"/>
      <c r="U938" s="228"/>
    </row>
    <row r="939" ht="13.5" customHeight="1" spans="1:21">
      <c r="A939" s="226"/>
      <c r="B939" s="869"/>
      <c r="C939" s="226"/>
      <c r="D939" s="227"/>
      <c r="E939" s="227"/>
      <c r="F939" s="226"/>
      <c r="G939" s="226"/>
      <c r="H939" s="227"/>
      <c r="I939" s="227"/>
      <c r="J939" s="227"/>
      <c r="K939" s="227"/>
      <c r="L939" s="227"/>
      <c r="M939" s="890"/>
      <c r="N939" s="228"/>
      <c r="O939" s="228"/>
      <c r="P939" s="227"/>
      <c r="Q939" s="226"/>
      <c r="R939" s="226"/>
      <c r="S939" s="228"/>
      <c r="T939" s="228"/>
      <c r="U939" s="228"/>
    </row>
    <row r="940" ht="13.5" customHeight="1" spans="1:21">
      <c r="A940" s="226"/>
      <c r="B940" s="869"/>
      <c r="C940" s="226"/>
      <c r="D940" s="227"/>
      <c r="E940" s="227"/>
      <c r="F940" s="226"/>
      <c r="G940" s="226"/>
      <c r="H940" s="227"/>
      <c r="I940" s="227"/>
      <c r="J940" s="227"/>
      <c r="K940" s="227"/>
      <c r="L940" s="227"/>
      <c r="M940" s="890"/>
      <c r="N940" s="228"/>
      <c r="O940" s="228"/>
      <c r="P940" s="227"/>
      <c r="Q940" s="226"/>
      <c r="R940" s="226"/>
      <c r="S940" s="228"/>
      <c r="T940" s="228"/>
      <c r="U940" s="228"/>
    </row>
    <row r="941" ht="13.5" customHeight="1" spans="1:21">
      <c r="A941" s="226"/>
      <c r="B941" s="869"/>
      <c r="C941" s="226"/>
      <c r="D941" s="227"/>
      <c r="E941" s="227"/>
      <c r="F941" s="226"/>
      <c r="G941" s="226"/>
      <c r="H941" s="227"/>
      <c r="I941" s="227"/>
      <c r="J941" s="227"/>
      <c r="K941" s="227"/>
      <c r="L941" s="227"/>
      <c r="M941" s="890"/>
      <c r="N941" s="228"/>
      <c r="O941" s="228"/>
      <c r="P941" s="227"/>
      <c r="Q941" s="226"/>
      <c r="R941" s="226"/>
      <c r="S941" s="228"/>
      <c r="T941" s="228"/>
      <c r="U941" s="228"/>
    </row>
    <row r="942" ht="13.5" customHeight="1" spans="1:21">
      <c r="A942" s="226"/>
      <c r="B942" s="869"/>
      <c r="C942" s="226"/>
      <c r="D942" s="227"/>
      <c r="E942" s="227"/>
      <c r="F942" s="226"/>
      <c r="G942" s="226"/>
      <c r="H942" s="227"/>
      <c r="I942" s="227"/>
      <c r="J942" s="227"/>
      <c r="K942" s="227"/>
      <c r="L942" s="227"/>
      <c r="M942" s="890"/>
      <c r="N942" s="228"/>
      <c r="O942" s="228"/>
      <c r="P942" s="227"/>
      <c r="Q942" s="226"/>
      <c r="R942" s="226"/>
      <c r="S942" s="228"/>
      <c r="T942" s="228"/>
      <c r="U942" s="228"/>
    </row>
    <row r="943" ht="13.5" customHeight="1" spans="1:21">
      <c r="A943" s="226"/>
      <c r="B943" s="869"/>
      <c r="C943" s="226"/>
      <c r="D943" s="227"/>
      <c r="E943" s="227"/>
      <c r="F943" s="226"/>
      <c r="G943" s="226"/>
      <c r="H943" s="227"/>
      <c r="I943" s="227"/>
      <c r="J943" s="227"/>
      <c r="K943" s="227"/>
      <c r="L943" s="227"/>
      <c r="M943" s="890"/>
      <c r="N943" s="228"/>
      <c r="O943" s="228"/>
      <c r="P943" s="227"/>
      <c r="Q943" s="226"/>
      <c r="R943" s="226"/>
      <c r="S943" s="228"/>
      <c r="T943" s="228"/>
      <c r="U943" s="228"/>
    </row>
    <row r="944" ht="13.5" customHeight="1" spans="1:21">
      <c r="A944" s="226"/>
      <c r="B944" s="869"/>
      <c r="C944" s="226"/>
      <c r="D944" s="227"/>
      <c r="E944" s="227"/>
      <c r="F944" s="226"/>
      <c r="G944" s="226"/>
      <c r="H944" s="227"/>
      <c r="I944" s="227"/>
      <c r="J944" s="227"/>
      <c r="K944" s="227"/>
      <c r="L944" s="227"/>
      <c r="M944" s="890"/>
      <c r="N944" s="228"/>
      <c r="O944" s="228"/>
      <c r="P944" s="227"/>
      <c r="Q944" s="226"/>
      <c r="R944" s="226"/>
      <c r="S944" s="228"/>
      <c r="T944" s="228"/>
      <c r="U944" s="228"/>
    </row>
    <row r="945" ht="13.5" customHeight="1" spans="1:21">
      <c r="A945" s="226"/>
      <c r="B945" s="869"/>
      <c r="C945" s="226"/>
      <c r="D945" s="227"/>
      <c r="E945" s="227"/>
      <c r="F945" s="226"/>
      <c r="G945" s="226"/>
      <c r="H945" s="227"/>
      <c r="I945" s="227"/>
      <c r="J945" s="227"/>
      <c r="K945" s="227"/>
      <c r="L945" s="227"/>
      <c r="M945" s="890"/>
      <c r="N945" s="228"/>
      <c r="O945" s="228"/>
      <c r="P945" s="227"/>
      <c r="Q945" s="226"/>
      <c r="R945" s="226"/>
      <c r="S945" s="228"/>
      <c r="T945" s="228"/>
      <c r="U945" s="228"/>
    </row>
    <row r="946" ht="13.5" customHeight="1" spans="1:21">
      <c r="A946" s="226"/>
      <c r="B946" s="869"/>
      <c r="C946" s="226"/>
      <c r="D946" s="227"/>
      <c r="E946" s="227"/>
      <c r="F946" s="226"/>
      <c r="G946" s="226"/>
      <c r="H946" s="227"/>
      <c r="I946" s="227"/>
      <c r="J946" s="227"/>
      <c r="K946" s="227"/>
      <c r="L946" s="227"/>
      <c r="M946" s="890"/>
      <c r="N946" s="228"/>
      <c r="O946" s="228"/>
      <c r="P946" s="227"/>
      <c r="Q946" s="226"/>
      <c r="R946" s="226"/>
      <c r="S946" s="228"/>
      <c r="T946" s="228"/>
      <c r="U946" s="228"/>
    </row>
    <row r="947" ht="13.5" customHeight="1" spans="1:21">
      <c r="A947" s="226"/>
      <c r="B947" s="869"/>
      <c r="C947" s="226"/>
      <c r="D947" s="227"/>
      <c r="E947" s="227"/>
      <c r="F947" s="226"/>
      <c r="G947" s="226"/>
      <c r="H947" s="227"/>
      <c r="I947" s="227"/>
      <c r="J947" s="227"/>
      <c r="K947" s="227"/>
      <c r="L947" s="227"/>
      <c r="M947" s="890"/>
      <c r="N947" s="228"/>
      <c r="O947" s="228"/>
      <c r="P947" s="227"/>
      <c r="Q947" s="226"/>
      <c r="R947" s="226"/>
      <c r="S947" s="228"/>
      <c r="T947" s="228"/>
      <c r="U947" s="228"/>
    </row>
    <row r="948" ht="13.5" customHeight="1" spans="1:21">
      <c r="A948" s="226"/>
      <c r="B948" s="869"/>
      <c r="C948" s="226"/>
      <c r="D948" s="227"/>
      <c r="E948" s="227"/>
      <c r="F948" s="226"/>
      <c r="G948" s="226"/>
      <c r="H948" s="227"/>
      <c r="I948" s="227"/>
      <c r="J948" s="227"/>
      <c r="K948" s="227"/>
      <c r="L948" s="227"/>
      <c r="M948" s="890"/>
      <c r="N948" s="228"/>
      <c r="O948" s="228"/>
      <c r="P948" s="227"/>
      <c r="Q948" s="226"/>
      <c r="R948" s="226"/>
      <c r="S948" s="228"/>
      <c r="T948" s="228"/>
      <c r="U948" s="228"/>
    </row>
    <row r="949" ht="13.5" customHeight="1" spans="1:21">
      <c r="A949" s="226"/>
      <c r="B949" s="869"/>
      <c r="C949" s="226"/>
      <c r="D949" s="227"/>
      <c r="E949" s="227"/>
      <c r="F949" s="226"/>
      <c r="G949" s="226"/>
      <c r="H949" s="227"/>
      <c r="I949" s="227"/>
      <c r="J949" s="227"/>
      <c r="K949" s="227"/>
      <c r="L949" s="227"/>
      <c r="M949" s="890"/>
      <c r="N949" s="228"/>
      <c r="O949" s="228"/>
      <c r="P949" s="227"/>
      <c r="Q949" s="226"/>
      <c r="R949" s="226"/>
      <c r="S949" s="228"/>
      <c r="T949" s="228"/>
      <c r="U949" s="228"/>
    </row>
    <row r="950" ht="13.5" customHeight="1" spans="1:21">
      <c r="A950" s="226"/>
      <c r="B950" s="869"/>
      <c r="C950" s="226"/>
      <c r="D950" s="227"/>
      <c r="E950" s="227"/>
      <c r="F950" s="226"/>
      <c r="G950" s="226"/>
      <c r="H950" s="227"/>
      <c r="I950" s="227"/>
      <c r="J950" s="227"/>
      <c r="K950" s="227"/>
      <c r="L950" s="227"/>
      <c r="M950" s="890"/>
      <c r="N950" s="228"/>
      <c r="O950" s="228"/>
      <c r="P950" s="227"/>
      <c r="Q950" s="226"/>
      <c r="R950" s="226"/>
      <c r="S950" s="228"/>
      <c r="T950" s="228"/>
      <c r="U950" s="228"/>
    </row>
    <row r="951" ht="13.5" customHeight="1" spans="1:21">
      <c r="A951" s="226"/>
      <c r="B951" s="869"/>
      <c r="C951" s="226"/>
      <c r="D951" s="227"/>
      <c r="E951" s="227"/>
      <c r="F951" s="226"/>
      <c r="G951" s="226"/>
      <c r="H951" s="227"/>
      <c r="I951" s="227"/>
      <c r="J951" s="227"/>
      <c r="K951" s="227"/>
      <c r="L951" s="227"/>
      <c r="M951" s="890"/>
      <c r="N951" s="228"/>
      <c r="O951" s="228"/>
      <c r="P951" s="227"/>
      <c r="Q951" s="226"/>
      <c r="R951" s="226"/>
      <c r="S951" s="228"/>
      <c r="T951" s="228"/>
      <c r="U951" s="228"/>
    </row>
    <row r="952" ht="13.5" customHeight="1" spans="1:21">
      <c r="A952" s="226"/>
      <c r="B952" s="869"/>
      <c r="C952" s="226"/>
      <c r="D952" s="227"/>
      <c r="E952" s="227"/>
      <c r="F952" s="226"/>
      <c r="G952" s="226"/>
      <c r="H952" s="227"/>
      <c r="I952" s="227"/>
      <c r="J952" s="227"/>
      <c r="K952" s="227"/>
      <c r="L952" s="227"/>
      <c r="M952" s="890"/>
      <c r="N952" s="228"/>
      <c r="O952" s="228"/>
      <c r="P952" s="227"/>
      <c r="Q952" s="226"/>
      <c r="R952" s="226"/>
      <c r="S952" s="228"/>
      <c r="T952" s="228"/>
      <c r="U952" s="228"/>
    </row>
    <row r="953" ht="13.5" customHeight="1" spans="1:21">
      <c r="A953" s="226"/>
      <c r="B953" s="869"/>
      <c r="C953" s="226"/>
      <c r="D953" s="227"/>
      <c r="E953" s="227"/>
      <c r="F953" s="226"/>
      <c r="G953" s="226"/>
      <c r="H953" s="227"/>
      <c r="I953" s="227"/>
      <c r="J953" s="227"/>
      <c r="K953" s="227"/>
      <c r="L953" s="227"/>
      <c r="M953" s="890"/>
      <c r="N953" s="228"/>
      <c r="O953" s="228"/>
      <c r="P953" s="227"/>
      <c r="Q953" s="226"/>
      <c r="R953" s="226"/>
      <c r="S953" s="228"/>
      <c r="T953" s="228"/>
      <c r="U953" s="228"/>
    </row>
    <row r="954" ht="13.5" customHeight="1" spans="1:21">
      <c r="A954" s="226"/>
      <c r="B954" s="869"/>
      <c r="C954" s="226"/>
      <c r="D954" s="227"/>
      <c r="E954" s="227"/>
      <c r="F954" s="226"/>
      <c r="G954" s="226"/>
      <c r="H954" s="227"/>
      <c r="I954" s="227"/>
      <c r="J954" s="227"/>
      <c r="K954" s="227"/>
      <c r="L954" s="227"/>
      <c r="M954" s="890"/>
      <c r="N954" s="228"/>
      <c r="O954" s="228"/>
      <c r="P954" s="227"/>
      <c r="Q954" s="226"/>
      <c r="R954" s="226"/>
      <c r="S954" s="228"/>
      <c r="T954" s="228"/>
      <c r="U954" s="228"/>
    </row>
    <row r="955" ht="13.5" customHeight="1" spans="1:21">
      <c r="A955" s="226"/>
      <c r="B955" s="869"/>
      <c r="C955" s="226"/>
      <c r="D955" s="227"/>
      <c r="E955" s="227"/>
      <c r="F955" s="226"/>
      <c r="G955" s="226"/>
      <c r="H955" s="227"/>
      <c r="I955" s="227"/>
      <c r="J955" s="227"/>
      <c r="K955" s="227"/>
      <c r="L955" s="227"/>
      <c r="M955" s="890"/>
      <c r="N955" s="228"/>
      <c r="O955" s="228"/>
      <c r="P955" s="227"/>
      <c r="Q955" s="226"/>
      <c r="R955" s="226"/>
      <c r="S955" s="228"/>
      <c r="T955" s="228"/>
      <c r="U955" s="228"/>
    </row>
    <row r="956" ht="13.5" customHeight="1" spans="1:21">
      <c r="A956" s="226"/>
      <c r="B956" s="869"/>
      <c r="C956" s="226"/>
      <c r="D956" s="227"/>
      <c r="E956" s="227"/>
      <c r="F956" s="226"/>
      <c r="G956" s="226"/>
      <c r="H956" s="227"/>
      <c r="I956" s="227"/>
      <c r="J956" s="227"/>
      <c r="K956" s="227"/>
      <c r="L956" s="227"/>
      <c r="M956" s="890"/>
      <c r="N956" s="228"/>
      <c r="O956" s="228"/>
      <c r="P956" s="227"/>
      <c r="Q956" s="226"/>
      <c r="R956" s="226"/>
      <c r="S956" s="228"/>
      <c r="T956" s="228"/>
      <c r="U956" s="228"/>
    </row>
    <row r="957" ht="13.5" customHeight="1" spans="1:21">
      <c r="A957" s="226"/>
      <c r="B957" s="869"/>
      <c r="C957" s="226"/>
      <c r="D957" s="227"/>
      <c r="E957" s="227"/>
      <c r="F957" s="226"/>
      <c r="G957" s="226"/>
      <c r="H957" s="227"/>
      <c r="I957" s="227"/>
      <c r="J957" s="227"/>
      <c r="K957" s="227"/>
      <c r="L957" s="227"/>
      <c r="M957" s="890"/>
      <c r="N957" s="228"/>
      <c r="O957" s="228"/>
      <c r="P957" s="227"/>
      <c r="Q957" s="226"/>
      <c r="R957" s="226"/>
      <c r="S957" s="228"/>
      <c r="T957" s="228"/>
      <c r="U957" s="228"/>
    </row>
    <row r="958" ht="13.5" customHeight="1" spans="1:21">
      <c r="A958" s="226"/>
      <c r="B958" s="869"/>
      <c r="C958" s="226"/>
      <c r="D958" s="227"/>
      <c r="E958" s="227"/>
      <c r="F958" s="226"/>
      <c r="G958" s="226"/>
      <c r="H958" s="227"/>
      <c r="I958" s="227"/>
      <c r="J958" s="227"/>
      <c r="K958" s="227"/>
      <c r="L958" s="227"/>
      <c r="M958" s="890"/>
      <c r="N958" s="228"/>
      <c r="O958" s="228"/>
      <c r="P958" s="227"/>
      <c r="Q958" s="226"/>
      <c r="R958" s="226"/>
      <c r="S958" s="228"/>
      <c r="T958" s="228"/>
      <c r="U958" s="228"/>
    </row>
    <row r="959" ht="13.5" customHeight="1" spans="1:21">
      <c r="A959" s="226"/>
      <c r="B959" s="869"/>
      <c r="C959" s="226"/>
      <c r="D959" s="227"/>
      <c r="E959" s="227"/>
      <c r="F959" s="226"/>
      <c r="G959" s="226"/>
      <c r="H959" s="227"/>
      <c r="I959" s="227"/>
      <c r="J959" s="227"/>
      <c r="K959" s="227"/>
      <c r="L959" s="227"/>
      <c r="M959" s="890"/>
      <c r="N959" s="228"/>
      <c r="O959" s="228"/>
      <c r="P959" s="227"/>
      <c r="Q959" s="226"/>
      <c r="R959" s="226"/>
      <c r="S959" s="228"/>
      <c r="T959" s="228"/>
      <c r="U959" s="228"/>
    </row>
    <row r="960" ht="13.5" customHeight="1" spans="1:21">
      <c r="A960" s="226"/>
      <c r="B960" s="869"/>
      <c r="C960" s="226"/>
      <c r="D960" s="227"/>
      <c r="E960" s="227"/>
      <c r="F960" s="226"/>
      <c r="G960" s="226"/>
      <c r="H960" s="227"/>
      <c r="I960" s="227"/>
      <c r="J960" s="227"/>
      <c r="K960" s="227"/>
      <c r="L960" s="227"/>
      <c r="M960" s="890"/>
      <c r="N960" s="228"/>
      <c r="O960" s="228"/>
      <c r="P960" s="227"/>
      <c r="Q960" s="226"/>
      <c r="R960" s="226"/>
      <c r="S960" s="228"/>
      <c r="T960" s="228"/>
      <c r="U960" s="228"/>
    </row>
    <row r="961" ht="13.5" customHeight="1" spans="1:21">
      <c r="A961" s="226"/>
      <c r="B961" s="869"/>
      <c r="C961" s="226"/>
      <c r="D961" s="227"/>
      <c r="E961" s="227"/>
      <c r="F961" s="226"/>
      <c r="G961" s="226"/>
      <c r="H961" s="227"/>
      <c r="I961" s="227"/>
      <c r="J961" s="227"/>
      <c r="K961" s="227"/>
      <c r="L961" s="227"/>
      <c r="M961" s="890"/>
      <c r="N961" s="228"/>
      <c r="O961" s="228"/>
      <c r="P961" s="227"/>
      <c r="Q961" s="226"/>
      <c r="R961" s="226"/>
      <c r="S961" s="228"/>
      <c r="T961" s="228"/>
      <c r="U961" s="228"/>
    </row>
    <row r="962" ht="13.5" customHeight="1" spans="1:21">
      <c r="A962" s="226"/>
      <c r="B962" s="869"/>
      <c r="C962" s="226"/>
      <c r="D962" s="227"/>
      <c r="E962" s="227"/>
      <c r="F962" s="226"/>
      <c r="G962" s="226"/>
      <c r="H962" s="227"/>
      <c r="I962" s="227"/>
      <c r="J962" s="227"/>
      <c r="K962" s="227"/>
      <c r="L962" s="227"/>
      <c r="M962" s="890"/>
      <c r="N962" s="228"/>
      <c r="O962" s="228"/>
      <c r="P962" s="227"/>
      <c r="Q962" s="226"/>
      <c r="R962" s="226"/>
      <c r="S962" s="228"/>
      <c r="T962" s="228"/>
      <c r="U962" s="228"/>
    </row>
    <row r="963" ht="13.5" customHeight="1" spans="1:21">
      <c r="A963" s="226"/>
      <c r="B963" s="869"/>
      <c r="C963" s="226"/>
      <c r="D963" s="227"/>
      <c r="E963" s="227"/>
      <c r="F963" s="226"/>
      <c r="G963" s="226"/>
      <c r="H963" s="227"/>
      <c r="I963" s="227"/>
      <c r="J963" s="227"/>
      <c r="K963" s="227"/>
      <c r="L963" s="227"/>
      <c r="M963" s="890"/>
      <c r="N963" s="228"/>
      <c r="O963" s="228"/>
      <c r="P963" s="227"/>
      <c r="Q963" s="226"/>
      <c r="R963" s="226"/>
      <c r="S963" s="228"/>
      <c r="T963" s="228"/>
      <c r="U963" s="228"/>
    </row>
    <row r="964" ht="13.5" customHeight="1" spans="1:21">
      <c r="A964" s="226"/>
      <c r="B964" s="869"/>
      <c r="C964" s="226"/>
      <c r="D964" s="227"/>
      <c r="E964" s="227"/>
      <c r="F964" s="226"/>
      <c r="G964" s="226"/>
      <c r="H964" s="227"/>
      <c r="I964" s="227"/>
      <c r="J964" s="227"/>
      <c r="K964" s="227"/>
      <c r="L964" s="227"/>
      <c r="M964" s="890"/>
      <c r="N964" s="228"/>
      <c r="O964" s="228"/>
      <c r="P964" s="227"/>
      <c r="Q964" s="226"/>
      <c r="R964" s="226"/>
      <c r="S964" s="228"/>
      <c r="T964" s="228"/>
      <c r="U964" s="228"/>
    </row>
    <row r="965" ht="13.5" customHeight="1" spans="1:21">
      <c r="A965" s="226"/>
      <c r="B965" s="869"/>
      <c r="C965" s="226"/>
      <c r="D965" s="227"/>
      <c r="E965" s="227"/>
      <c r="F965" s="226"/>
      <c r="G965" s="226"/>
      <c r="H965" s="227"/>
      <c r="I965" s="227"/>
      <c r="J965" s="227"/>
      <c r="K965" s="227"/>
      <c r="L965" s="227"/>
      <c r="M965" s="890"/>
      <c r="N965" s="228"/>
      <c r="O965" s="228"/>
      <c r="P965" s="227"/>
      <c r="Q965" s="226"/>
      <c r="R965" s="226"/>
      <c r="S965" s="228"/>
      <c r="T965" s="228"/>
      <c r="U965" s="228"/>
    </row>
    <row r="966" ht="13.5" customHeight="1" spans="1:21">
      <c r="A966" s="226"/>
      <c r="B966" s="869"/>
      <c r="C966" s="226"/>
      <c r="D966" s="227"/>
      <c r="E966" s="227"/>
      <c r="F966" s="226"/>
      <c r="G966" s="226"/>
      <c r="H966" s="227"/>
      <c r="I966" s="227"/>
      <c r="J966" s="227"/>
      <c r="K966" s="227"/>
      <c r="L966" s="227"/>
      <c r="M966" s="890"/>
      <c r="N966" s="228"/>
      <c r="O966" s="228"/>
      <c r="P966" s="227"/>
      <c r="Q966" s="226"/>
      <c r="R966" s="226"/>
      <c r="S966" s="228"/>
      <c r="T966" s="228"/>
      <c r="U966" s="228"/>
    </row>
    <row r="967" ht="13.5" customHeight="1" spans="1:21">
      <c r="A967" s="226"/>
      <c r="B967" s="869"/>
      <c r="C967" s="226"/>
      <c r="D967" s="227"/>
      <c r="E967" s="227"/>
      <c r="F967" s="226"/>
      <c r="G967" s="226"/>
      <c r="H967" s="227"/>
      <c r="I967" s="227"/>
      <c r="J967" s="227"/>
      <c r="K967" s="227"/>
      <c r="L967" s="227"/>
      <c r="M967" s="890"/>
      <c r="N967" s="228"/>
      <c r="O967" s="228"/>
      <c r="P967" s="227"/>
      <c r="Q967" s="226"/>
      <c r="R967" s="226"/>
      <c r="S967" s="228"/>
      <c r="T967" s="228"/>
      <c r="U967" s="228"/>
    </row>
    <row r="968" ht="13.5" customHeight="1" spans="1:21">
      <c r="A968" s="226"/>
      <c r="B968" s="869"/>
      <c r="C968" s="226"/>
      <c r="D968" s="227"/>
      <c r="E968" s="227"/>
      <c r="F968" s="226"/>
      <c r="G968" s="226"/>
      <c r="H968" s="227"/>
      <c r="I968" s="227"/>
      <c r="J968" s="227"/>
      <c r="K968" s="227"/>
      <c r="L968" s="227"/>
      <c r="M968" s="890"/>
      <c r="N968" s="228"/>
      <c r="O968" s="228"/>
      <c r="P968" s="227"/>
      <c r="Q968" s="226"/>
      <c r="R968" s="226"/>
      <c r="S968" s="228"/>
      <c r="T968" s="228"/>
      <c r="U968" s="228"/>
    </row>
    <row r="969" ht="13.5" customHeight="1" spans="1:21">
      <c r="A969" s="226"/>
      <c r="B969" s="869"/>
      <c r="C969" s="226"/>
      <c r="D969" s="227"/>
      <c r="E969" s="227"/>
      <c r="F969" s="226"/>
      <c r="G969" s="226"/>
      <c r="H969" s="227"/>
      <c r="I969" s="227"/>
      <c r="J969" s="227"/>
      <c r="K969" s="227"/>
      <c r="L969" s="227"/>
      <c r="M969" s="890"/>
      <c r="N969" s="228"/>
      <c r="O969" s="228"/>
      <c r="P969" s="227"/>
      <c r="Q969" s="226"/>
      <c r="R969" s="226"/>
      <c r="S969" s="228"/>
      <c r="T969" s="228"/>
      <c r="U969" s="228"/>
    </row>
    <row r="970" ht="13.5" customHeight="1" spans="1:21">
      <c r="A970" s="226"/>
      <c r="B970" s="869"/>
      <c r="C970" s="226"/>
      <c r="D970" s="227"/>
      <c r="E970" s="227"/>
      <c r="F970" s="226"/>
      <c r="G970" s="226"/>
      <c r="H970" s="227"/>
      <c r="I970" s="227"/>
      <c r="J970" s="227"/>
      <c r="K970" s="227"/>
      <c r="L970" s="227"/>
      <c r="M970" s="890"/>
      <c r="N970" s="228"/>
      <c r="O970" s="228"/>
      <c r="P970" s="227"/>
      <c r="Q970" s="226"/>
      <c r="R970" s="226"/>
      <c r="S970" s="228"/>
      <c r="T970" s="228"/>
      <c r="U970" s="228"/>
    </row>
    <row r="971" ht="13.5" customHeight="1" spans="1:21">
      <c r="A971" s="226"/>
      <c r="B971" s="869"/>
      <c r="C971" s="226"/>
      <c r="D971" s="227"/>
      <c r="E971" s="227"/>
      <c r="F971" s="226"/>
      <c r="G971" s="226"/>
      <c r="H971" s="227"/>
      <c r="I971" s="227"/>
      <c r="J971" s="227"/>
      <c r="K971" s="227"/>
      <c r="L971" s="227"/>
      <c r="M971" s="890"/>
      <c r="N971" s="228"/>
      <c r="O971" s="228"/>
      <c r="P971" s="227"/>
      <c r="Q971" s="226"/>
      <c r="R971" s="226"/>
      <c r="S971" s="228"/>
      <c r="T971" s="228"/>
      <c r="U971" s="228"/>
    </row>
    <row r="972" ht="13.5" customHeight="1" spans="1:21">
      <c r="A972" s="226"/>
      <c r="B972" s="869"/>
      <c r="C972" s="226"/>
      <c r="D972" s="227"/>
      <c r="E972" s="227"/>
      <c r="F972" s="226"/>
      <c r="G972" s="226"/>
      <c r="H972" s="227"/>
      <c r="I972" s="227"/>
      <c r="J972" s="227"/>
      <c r="K972" s="227"/>
      <c r="L972" s="227"/>
      <c r="M972" s="890"/>
      <c r="N972" s="228"/>
      <c r="O972" s="228"/>
      <c r="P972" s="227"/>
      <c r="Q972" s="226"/>
      <c r="R972" s="226"/>
      <c r="S972" s="228"/>
      <c r="T972" s="228"/>
      <c r="U972" s="228"/>
    </row>
    <row r="973" ht="13.5" customHeight="1" spans="1:21">
      <c r="A973" s="226"/>
      <c r="B973" s="869"/>
      <c r="C973" s="226"/>
      <c r="D973" s="227"/>
      <c r="E973" s="227"/>
      <c r="F973" s="226"/>
      <c r="G973" s="226"/>
      <c r="H973" s="227"/>
      <c r="I973" s="227"/>
      <c r="J973" s="227"/>
      <c r="K973" s="227"/>
      <c r="L973" s="227"/>
      <c r="M973" s="890"/>
      <c r="N973" s="228"/>
      <c r="O973" s="228"/>
      <c r="P973" s="227"/>
      <c r="Q973" s="226"/>
      <c r="R973" s="226"/>
      <c r="S973" s="228"/>
      <c r="T973" s="228"/>
      <c r="U973" s="228"/>
    </row>
    <row r="974" ht="13.5" customHeight="1" spans="1:21">
      <c r="A974" s="226"/>
      <c r="B974" s="869"/>
      <c r="C974" s="226"/>
      <c r="D974" s="227"/>
      <c r="E974" s="227"/>
      <c r="F974" s="226"/>
      <c r="G974" s="226"/>
      <c r="H974" s="227"/>
      <c r="I974" s="227"/>
      <c r="J974" s="227"/>
      <c r="K974" s="227"/>
      <c r="L974" s="227"/>
      <c r="M974" s="890"/>
      <c r="N974" s="228"/>
      <c r="O974" s="228"/>
      <c r="P974" s="227"/>
      <c r="Q974" s="226"/>
      <c r="R974" s="226"/>
      <c r="S974" s="228"/>
      <c r="T974" s="228"/>
      <c r="U974" s="228"/>
    </row>
    <row r="975" ht="13.5" customHeight="1" spans="1:21">
      <c r="A975" s="226"/>
      <c r="B975" s="869"/>
      <c r="C975" s="226"/>
      <c r="D975" s="227"/>
      <c r="E975" s="227"/>
      <c r="F975" s="226"/>
      <c r="G975" s="226"/>
      <c r="H975" s="227"/>
      <c r="I975" s="227"/>
      <c r="J975" s="227"/>
      <c r="K975" s="227"/>
      <c r="L975" s="227"/>
      <c r="M975" s="890"/>
      <c r="N975" s="228"/>
      <c r="O975" s="228"/>
      <c r="P975" s="227"/>
      <c r="Q975" s="226"/>
      <c r="R975" s="226"/>
      <c r="S975" s="228"/>
      <c r="T975" s="228"/>
      <c r="U975" s="228"/>
    </row>
    <row r="976" ht="13.5" customHeight="1" spans="1:21">
      <c r="A976" s="226"/>
      <c r="B976" s="869"/>
      <c r="C976" s="226"/>
      <c r="D976" s="227"/>
      <c r="E976" s="227"/>
      <c r="F976" s="226"/>
      <c r="G976" s="226"/>
      <c r="H976" s="227"/>
      <c r="I976" s="227"/>
      <c r="J976" s="227"/>
      <c r="K976" s="227"/>
      <c r="L976" s="227"/>
      <c r="M976" s="890"/>
      <c r="N976" s="228"/>
      <c r="O976" s="228"/>
      <c r="P976" s="227"/>
      <c r="Q976" s="226"/>
      <c r="R976" s="226"/>
      <c r="S976" s="228"/>
      <c r="T976" s="228"/>
      <c r="U976" s="228"/>
    </row>
    <row r="977" ht="13.5" customHeight="1" spans="1:21">
      <c r="A977" s="226"/>
      <c r="B977" s="869"/>
      <c r="C977" s="226"/>
      <c r="D977" s="227"/>
      <c r="E977" s="227"/>
      <c r="F977" s="226"/>
      <c r="G977" s="226"/>
      <c r="H977" s="227"/>
      <c r="I977" s="227"/>
      <c r="J977" s="227"/>
      <c r="K977" s="227"/>
      <c r="L977" s="227"/>
      <c r="M977" s="890"/>
      <c r="N977" s="228"/>
      <c r="O977" s="228"/>
      <c r="P977" s="227"/>
      <c r="Q977" s="226"/>
      <c r="R977" s="226"/>
      <c r="S977" s="228"/>
      <c r="T977" s="228"/>
      <c r="U977" s="228"/>
    </row>
    <row r="978" ht="13.5" customHeight="1" spans="1:21">
      <c r="A978" s="226"/>
      <c r="B978" s="869"/>
      <c r="C978" s="226"/>
      <c r="D978" s="227"/>
      <c r="E978" s="227"/>
      <c r="F978" s="226"/>
      <c r="G978" s="226"/>
      <c r="H978" s="227"/>
      <c r="I978" s="227"/>
      <c r="J978" s="227"/>
      <c r="K978" s="227"/>
      <c r="L978" s="227"/>
      <c r="M978" s="890"/>
      <c r="N978" s="228"/>
      <c r="O978" s="228"/>
      <c r="P978" s="227"/>
      <c r="Q978" s="226"/>
      <c r="R978" s="226"/>
      <c r="S978" s="228"/>
      <c r="T978" s="228"/>
      <c r="U978" s="228"/>
    </row>
    <row r="979" ht="13.5" customHeight="1" spans="1:21">
      <c r="A979" s="226"/>
      <c r="B979" s="869"/>
      <c r="C979" s="226"/>
      <c r="D979" s="227"/>
      <c r="E979" s="227"/>
      <c r="F979" s="226"/>
      <c r="G979" s="226"/>
      <c r="H979" s="227"/>
      <c r="I979" s="227"/>
      <c r="J979" s="227"/>
      <c r="K979" s="227"/>
      <c r="L979" s="227"/>
      <c r="M979" s="890"/>
      <c r="N979" s="228"/>
      <c r="O979" s="228"/>
      <c r="P979" s="227"/>
      <c r="Q979" s="226"/>
      <c r="R979" s="226"/>
      <c r="S979" s="228"/>
      <c r="T979" s="228"/>
      <c r="U979" s="228"/>
    </row>
    <row r="980" ht="13.5" customHeight="1" spans="1:21">
      <c r="A980" s="226"/>
      <c r="B980" s="869"/>
      <c r="C980" s="226"/>
      <c r="D980" s="227"/>
      <c r="E980" s="227"/>
      <c r="F980" s="226"/>
      <c r="G980" s="226"/>
      <c r="H980" s="227"/>
      <c r="I980" s="227"/>
      <c r="J980" s="227"/>
      <c r="K980" s="227"/>
      <c r="L980" s="227"/>
      <c r="M980" s="890"/>
      <c r="N980" s="228"/>
      <c r="O980" s="228"/>
      <c r="P980" s="227"/>
      <c r="Q980" s="226"/>
      <c r="R980" s="226"/>
      <c r="S980" s="228"/>
      <c r="T980" s="228"/>
      <c r="U980" s="228"/>
    </row>
    <row r="981" ht="13.5" customHeight="1" spans="1:21">
      <c r="A981" s="226"/>
      <c r="B981" s="869"/>
      <c r="C981" s="226"/>
      <c r="D981" s="227"/>
      <c r="E981" s="227"/>
      <c r="F981" s="226"/>
      <c r="G981" s="226"/>
      <c r="H981" s="227"/>
      <c r="I981" s="227"/>
      <c r="J981" s="227"/>
      <c r="K981" s="227"/>
      <c r="L981" s="227"/>
      <c r="M981" s="890"/>
      <c r="N981" s="228"/>
      <c r="O981" s="228"/>
      <c r="P981" s="227"/>
      <c r="Q981" s="226"/>
      <c r="R981" s="226"/>
      <c r="S981" s="228"/>
      <c r="T981" s="228"/>
      <c r="U981" s="228"/>
    </row>
    <row r="982" ht="13.5" customHeight="1" spans="1:21">
      <c r="A982" s="226"/>
      <c r="B982" s="869"/>
      <c r="C982" s="226"/>
      <c r="D982" s="227"/>
      <c r="E982" s="227"/>
      <c r="F982" s="226"/>
      <c r="G982" s="226"/>
      <c r="H982" s="227"/>
      <c r="I982" s="227"/>
      <c r="J982" s="227"/>
      <c r="K982" s="227"/>
      <c r="L982" s="227"/>
      <c r="M982" s="890"/>
      <c r="N982" s="228"/>
      <c r="O982" s="228"/>
      <c r="P982" s="227"/>
      <c r="Q982" s="226"/>
      <c r="R982" s="226"/>
      <c r="S982" s="228"/>
      <c r="T982" s="228"/>
      <c r="U982" s="228"/>
    </row>
    <row r="983" ht="13.5" customHeight="1" spans="1:21">
      <c r="A983" s="226"/>
      <c r="B983" s="869"/>
      <c r="C983" s="226"/>
      <c r="D983" s="227"/>
      <c r="E983" s="227"/>
      <c r="F983" s="226"/>
      <c r="G983" s="226"/>
      <c r="H983" s="227"/>
      <c r="I983" s="227"/>
      <c r="J983" s="227"/>
      <c r="K983" s="227"/>
      <c r="L983" s="227"/>
      <c r="M983" s="890"/>
      <c r="N983" s="228"/>
      <c r="O983" s="228"/>
      <c r="P983" s="227"/>
      <c r="Q983" s="226"/>
      <c r="R983" s="226"/>
      <c r="S983" s="228"/>
      <c r="T983" s="228"/>
      <c r="U983" s="228"/>
    </row>
    <row r="984" ht="13.5" customHeight="1" spans="1:21">
      <c r="A984" s="226"/>
      <c r="B984" s="869"/>
      <c r="C984" s="226"/>
      <c r="D984" s="227"/>
      <c r="E984" s="227"/>
      <c r="F984" s="226"/>
      <c r="G984" s="226"/>
      <c r="H984" s="227"/>
      <c r="I984" s="227"/>
      <c r="J984" s="227"/>
      <c r="K984" s="227"/>
      <c r="L984" s="227"/>
      <c r="M984" s="890"/>
      <c r="N984" s="228"/>
      <c r="O984" s="228"/>
      <c r="P984" s="227"/>
      <c r="Q984" s="226"/>
      <c r="R984" s="226"/>
      <c r="S984" s="228"/>
      <c r="T984" s="228"/>
      <c r="U984" s="228"/>
    </row>
    <row r="985" ht="13.5" customHeight="1" spans="1:21">
      <c r="A985" s="226"/>
      <c r="B985" s="869"/>
      <c r="C985" s="226"/>
      <c r="D985" s="227"/>
      <c r="E985" s="227"/>
      <c r="F985" s="226"/>
      <c r="G985" s="226"/>
      <c r="H985" s="227"/>
      <c r="I985" s="227"/>
      <c r="J985" s="227"/>
      <c r="K985" s="227"/>
      <c r="L985" s="227"/>
      <c r="M985" s="890"/>
      <c r="N985" s="228"/>
      <c r="O985" s="228"/>
      <c r="P985" s="227"/>
      <c r="Q985" s="226"/>
      <c r="R985" s="226"/>
      <c r="S985" s="228"/>
      <c r="T985" s="228"/>
      <c r="U985" s="228"/>
    </row>
    <row r="986" ht="13.5" customHeight="1" spans="1:21">
      <c r="A986" s="226"/>
      <c r="B986" s="869"/>
      <c r="C986" s="226"/>
      <c r="D986" s="227"/>
      <c r="E986" s="227"/>
      <c r="F986" s="226"/>
      <c r="G986" s="226"/>
      <c r="H986" s="227"/>
      <c r="I986" s="227"/>
      <c r="J986" s="227"/>
      <c r="K986" s="227"/>
      <c r="L986" s="227"/>
      <c r="M986" s="890"/>
      <c r="N986" s="228"/>
      <c r="O986" s="228"/>
      <c r="P986" s="227"/>
      <c r="Q986" s="226"/>
      <c r="R986" s="226"/>
      <c r="S986" s="228"/>
      <c r="T986" s="228"/>
      <c r="U986" s="228"/>
    </row>
    <row r="987" ht="13.5" customHeight="1" spans="1:21">
      <c r="A987" s="226"/>
      <c r="B987" s="869"/>
      <c r="C987" s="226"/>
      <c r="D987" s="227"/>
      <c r="E987" s="227"/>
      <c r="F987" s="226"/>
      <c r="G987" s="226"/>
      <c r="H987" s="227"/>
      <c r="I987" s="227"/>
      <c r="J987" s="227"/>
      <c r="K987" s="227"/>
      <c r="L987" s="227"/>
      <c r="M987" s="890"/>
      <c r="N987" s="228"/>
      <c r="O987" s="228"/>
      <c r="P987" s="227"/>
      <c r="Q987" s="226"/>
      <c r="R987" s="226"/>
      <c r="S987" s="228"/>
      <c r="T987" s="228"/>
      <c r="U987" s="228"/>
    </row>
    <row r="988" ht="13.5" customHeight="1" spans="1:21">
      <c r="A988" s="226"/>
      <c r="B988" s="869"/>
      <c r="C988" s="226"/>
      <c r="D988" s="227"/>
      <c r="E988" s="227"/>
      <c r="F988" s="226"/>
      <c r="G988" s="226"/>
      <c r="H988" s="227"/>
      <c r="I988" s="227"/>
      <c r="J988" s="227"/>
      <c r="K988" s="227"/>
      <c r="L988" s="227"/>
      <c r="M988" s="890"/>
      <c r="N988" s="228"/>
      <c r="O988" s="228"/>
      <c r="P988" s="227"/>
      <c r="Q988" s="226"/>
      <c r="R988" s="226"/>
      <c r="S988" s="228"/>
      <c r="T988" s="228"/>
      <c r="U988" s="228"/>
    </row>
    <row r="989" ht="13.5" customHeight="1" spans="1:21">
      <c r="A989" s="226"/>
      <c r="B989" s="869"/>
      <c r="C989" s="226"/>
      <c r="D989" s="227"/>
      <c r="E989" s="227"/>
      <c r="F989" s="226"/>
      <c r="G989" s="226"/>
      <c r="H989" s="227"/>
      <c r="I989" s="227"/>
      <c r="J989" s="227"/>
      <c r="K989" s="227"/>
      <c r="L989" s="227"/>
      <c r="M989" s="890"/>
      <c r="N989" s="228"/>
      <c r="O989" s="228"/>
      <c r="P989" s="227"/>
      <c r="Q989" s="226"/>
      <c r="R989" s="226"/>
      <c r="S989" s="228"/>
      <c r="T989" s="228"/>
      <c r="U989" s="228"/>
    </row>
    <row r="990" ht="13.5" customHeight="1" spans="1:21">
      <c r="A990" s="226"/>
      <c r="B990" s="869"/>
      <c r="C990" s="226"/>
      <c r="D990" s="227"/>
      <c r="E990" s="227"/>
      <c r="F990" s="226"/>
      <c r="G990" s="226"/>
      <c r="H990" s="227"/>
      <c r="I990" s="227"/>
      <c r="J990" s="227"/>
      <c r="K990" s="227"/>
      <c r="L990" s="227"/>
      <c r="M990" s="890"/>
      <c r="N990" s="228"/>
      <c r="O990" s="228"/>
      <c r="P990" s="227"/>
      <c r="Q990" s="226"/>
      <c r="R990" s="226"/>
      <c r="S990" s="228"/>
      <c r="T990" s="228"/>
      <c r="U990" s="228"/>
    </row>
    <row r="991" ht="13.5" customHeight="1" spans="1:21">
      <c r="A991" s="226"/>
      <c r="B991" s="869"/>
      <c r="C991" s="226"/>
      <c r="D991" s="227"/>
      <c r="E991" s="227"/>
      <c r="F991" s="226"/>
      <c r="G991" s="226"/>
      <c r="H991" s="227"/>
      <c r="I991" s="227"/>
      <c r="J991" s="227"/>
      <c r="K991" s="227"/>
      <c r="L991" s="227"/>
      <c r="M991" s="890"/>
      <c r="N991" s="228"/>
      <c r="O991" s="228"/>
      <c r="P991" s="227"/>
      <c r="Q991" s="226"/>
      <c r="R991" s="226"/>
      <c r="S991" s="228"/>
      <c r="T991" s="228"/>
      <c r="U991" s="228"/>
    </row>
    <row r="992" ht="13.5" customHeight="1" spans="1:21">
      <c r="A992" s="226"/>
      <c r="B992" s="869"/>
      <c r="C992" s="226"/>
      <c r="D992" s="227"/>
      <c r="E992" s="227"/>
      <c r="F992" s="226"/>
      <c r="G992" s="226"/>
      <c r="H992" s="227"/>
      <c r="I992" s="227"/>
      <c r="J992" s="227"/>
      <c r="K992" s="227"/>
      <c r="L992" s="227"/>
      <c r="M992" s="890"/>
      <c r="N992" s="228"/>
      <c r="O992" s="228"/>
      <c r="P992" s="227"/>
      <c r="Q992" s="226"/>
      <c r="R992" s="226"/>
      <c r="S992" s="228"/>
      <c r="T992" s="228"/>
      <c r="U992" s="228"/>
    </row>
    <row r="993" ht="13.5" customHeight="1" spans="1:21">
      <c r="A993" s="226"/>
      <c r="B993" s="869"/>
      <c r="C993" s="226"/>
      <c r="D993" s="227"/>
      <c r="E993" s="227"/>
      <c r="F993" s="226"/>
      <c r="G993" s="226"/>
      <c r="H993" s="227"/>
      <c r="I993" s="227"/>
      <c r="J993" s="227"/>
      <c r="K993" s="227"/>
      <c r="L993" s="227"/>
      <c r="M993" s="890"/>
      <c r="N993" s="228"/>
      <c r="O993" s="228"/>
      <c r="P993" s="227"/>
      <c r="Q993" s="226"/>
      <c r="R993" s="226"/>
      <c r="S993" s="228"/>
      <c r="T993" s="228"/>
      <c r="U993" s="228"/>
    </row>
    <row r="994" ht="13.5" customHeight="1" spans="1:21">
      <c r="A994" s="226"/>
      <c r="B994" s="869"/>
      <c r="C994" s="226"/>
      <c r="D994" s="227"/>
      <c r="E994" s="227"/>
      <c r="F994" s="226"/>
      <c r="G994" s="226"/>
      <c r="H994" s="227"/>
      <c r="I994" s="227"/>
      <c r="J994" s="227"/>
      <c r="K994" s="227"/>
      <c r="L994" s="227"/>
      <c r="M994" s="890"/>
      <c r="N994" s="228"/>
      <c r="O994" s="228"/>
      <c r="P994" s="227"/>
      <c r="Q994" s="226"/>
      <c r="R994" s="226"/>
      <c r="S994" s="228"/>
      <c r="T994" s="228"/>
      <c r="U994" s="228"/>
    </row>
    <row r="995" ht="13.5" customHeight="1" spans="1:21">
      <c r="A995" s="226"/>
      <c r="B995" s="869"/>
      <c r="C995" s="226"/>
      <c r="D995" s="227"/>
      <c r="E995" s="227"/>
      <c r="F995" s="226"/>
      <c r="G995" s="226"/>
      <c r="H995" s="227"/>
      <c r="I995" s="227"/>
      <c r="J995" s="227"/>
      <c r="K995" s="227"/>
      <c r="L995" s="227"/>
      <c r="M995" s="890"/>
      <c r="N995" s="228"/>
      <c r="O995" s="228"/>
      <c r="P995" s="227"/>
      <c r="Q995" s="226"/>
      <c r="R995" s="226"/>
      <c r="S995" s="228"/>
      <c r="T995" s="228"/>
      <c r="U995" s="228"/>
    </row>
    <row r="996" ht="13.5" customHeight="1" spans="1:21">
      <c r="A996" s="226"/>
      <c r="B996" s="869"/>
      <c r="C996" s="226"/>
      <c r="D996" s="227"/>
      <c r="E996" s="227"/>
      <c r="F996" s="226"/>
      <c r="G996" s="226"/>
      <c r="H996" s="227"/>
      <c r="I996" s="227"/>
      <c r="J996" s="227"/>
      <c r="K996" s="227"/>
      <c r="L996" s="227"/>
      <c r="M996" s="890"/>
      <c r="N996" s="228"/>
      <c r="O996" s="228"/>
      <c r="P996" s="227"/>
      <c r="Q996" s="226"/>
      <c r="R996" s="226"/>
      <c r="S996" s="228"/>
      <c r="T996" s="228"/>
      <c r="U996" s="228"/>
    </row>
    <row r="997" ht="13.5" customHeight="1" spans="1:21">
      <c r="A997" s="226"/>
      <c r="B997" s="869"/>
      <c r="C997" s="226"/>
      <c r="D997" s="227"/>
      <c r="E997" s="227"/>
      <c r="F997" s="226"/>
      <c r="G997" s="226"/>
      <c r="H997" s="227"/>
      <c r="I997" s="227"/>
      <c r="J997" s="227"/>
      <c r="K997" s="227"/>
      <c r="L997" s="227"/>
      <c r="M997" s="890"/>
      <c r="N997" s="228"/>
      <c r="O997" s="228"/>
      <c r="P997" s="227"/>
      <c r="Q997" s="226"/>
      <c r="R997" s="226"/>
      <c r="S997" s="228"/>
      <c r="T997" s="228"/>
      <c r="U997" s="228"/>
    </row>
    <row r="998" ht="13.5" customHeight="1" spans="1:21">
      <c r="A998" s="226"/>
      <c r="B998" s="869"/>
      <c r="C998" s="226"/>
      <c r="D998" s="227"/>
      <c r="E998" s="227"/>
      <c r="F998" s="226"/>
      <c r="G998" s="226"/>
      <c r="H998" s="227"/>
      <c r="I998" s="227"/>
      <c r="J998" s="227"/>
      <c r="K998" s="227"/>
      <c r="L998" s="227"/>
      <c r="M998" s="890"/>
      <c r="N998" s="228"/>
      <c r="O998" s="228"/>
      <c r="P998" s="227"/>
      <c r="Q998" s="226"/>
      <c r="R998" s="226"/>
      <c r="S998" s="228"/>
      <c r="T998" s="228"/>
      <c r="U998" s="228"/>
    </row>
    <row r="999" ht="13.5" customHeight="1" spans="1:21">
      <c r="A999" s="226"/>
      <c r="B999" s="869"/>
      <c r="C999" s="226"/>
      <c r="D999" s="227"/>
      <c r="E999" s="227"/>
      <c r="F999" s="226"/>
      <c r="G999" s="226"/>
      <c r="H999" s="227"/>
      <c r="I999" s="227"/>
      <c r="J999" s="227"/>
      <c r="K999" s="227"/>
      <c r="L999" s="227"/>
      <c r="M999" s="890"/>
      <c r="N999" s="228"/>
      <c r="O999" s="228"/>
      <c r="P999" s="227"/>
      <c r="Q999" s="226"/>
      <c r="R999" s="226"/>
      <c r="S999" s="228"/>
      <c r="T999" s="228"/>
      <c r="U999" s="228"/>
    </row>
    <row r="1000" ht="13.5" customHeight="1" spans="1:21">
      <c r="A1000" s="226"/>
      <c r="B1000" s="869"/>
      <c r="C1000" s="226"/>
      <c r="D1000" s="227"/>
      <c r="E1000" s="227"/>
      <c r="F1000" s="226"/>
      <c r="G1000" s="226"/>
      <c r="H1000" s="227"/>
      <c r="I1000" s="227"/>
      <c r="J1000" s="227"/>
      <c r="K1000" s="227"/>
      <c r="L1000" s="227"/>
      <c r="M1000" s="890"/>
      <c r="N1000" s="228"/>
      <c r="O1000" s="228"/>
      <c r="P1000" s="227"/>
      <c r="Q1000" s="226"/>
      <c r="R1000" s="226"/>
      <c r="S1000" s="228"/>
      <c r="T1000" s="228"/>
      <c r="U1000" s="228"/>
    </row>
    <row r="1001" ht="13.5" customHeight="1" spans="1:21">
      <c r="A1001" s="226"/>
      <c r="B1001" s="869"/>
      <c r="C1001" s="226"/>
      <c r="D1001" s="227"/>
      <c r="E1001" s="227"/>
      <c r="F1001" s="226"/>
      <c r="G1001" s="226"/>
      <c r="H1001" s="227"/>
      <c r="I1001" s="227"/>
      <c r="J1001" s="227"/>
      <c r="K1001" s="227"/>
      <c r="L1001" s="227"/>
      <c r="M1001" s="890"/>
      <c r="N1001" s="228"/>
      <c r="O1001" s="228"/>
      <c r="P1001" s="227"/>
      <c r="Q1001" s="226"/>
      <c r="R1001" s="226"/>
      <c r="S1001" s="228"/>
      <c r="T1001" s="228"/>
      <c r="U1001" s="228"/>
    </row>
    <row r="1002" ht="13.5" customHeight="1" spans="1:21">
      <c r="A1002" s="226"/>
      <c r="B1002" s="869"/>
      <c r="C1002" s="226"/>
      <c r="D1002" s="227"/>
      <c r="E1002" s="227"/>
      <c r="F1002" s="226"/>
      <c r="G1002" s="226"/>
      <c r="H1002" s="227"/>
      <c r="I1002" s="227"/>
      <c r="J1002" s="227"/>
      <c r="K1002" s="227"/>
      <c r="L1002" s="227"/>
      <c r="M1002" s="890"/>
      <c r="N1002" s="228"/>
      <c r="O1002" s="228"/>
      <c r="P1002" s="227"/>
      <c r="Q1002" s="226"/>
      <c r="R1002" s="226"/>
      <c r="S1002" s="228"/>
      <c r="T1002" s="228"/>
      <c r="U1002" s="228"/>
    </row>
    <row r="1003" ht="13.5" customHeight="1" spans="1:21">
      <c r="A1003" s="226"/>
      <c r="B1003" s="869"/>
      <c r="C1003" s="226"/>
      <c r="D1003" s="227"/>
      <c r="E1003" s="227"/>
      <c r="F1003" s="226"/>
      <c r="G1003" s="226"/>
      <c r="H1003" s="227"/>
      <c r="I1003" s="227"/>
      <c r="J1003" s="227"/>
      <c r="K1003" s="227"/>
      <c r="L1003" s="227"/>
      <c r="M1003" s="890"/>
      <c r="N1003" s="228"/>
      <c r="O1003" s="228"/>
      <c r="P1003" s="227"/>
      <c r="Q1003" s="226"/>
      <c r="R1003" s="226"/>
      <c r="S1003" s="228"/>
      <c r="T1003" s="228"/>
      <c r="U1003" s="228"/>
    </row>
    <row r="1004" ht="13.5" customHeight="1" spans="1:21">
      <c r="A1004" s="226"/>
      <c r="B1004" s="869"/>
      <c r="C1004" s="226"/>
      <c r="D1004" s="227"/>
      <c r="E1004" s="227"/>
      <c r="F1004" s="226"/>
      <c r="G1004" s="226"/>
      <c r="H1004" s="227"/>
      <c r="I1004" s="227"/>
      <c r="J1004" s="227"/>
      <c r="K1004" s="227"/>
      <c r="L1004" s="227"/>
      <c r="M1004" s="890"/>
      <c r="N1004" s="228"/>
      <c r="O1004" s="228"/>
      <c r="P1004" s="227"/>
      <c r="Q1004" s="226"/>
      <c r="R1004" s="226"/>
      <c r="S1004" s="228"/>
      <c r="T1004" s="228"/>
      <c r="U1004" s="228"/>
    </row>
    <row r="1005" ht="13.5" customHeight="1" spans="1:21">
      <c r="A1005" s="226"/>
      <c r="B1005" s="869"/>
      <c r="C1005" s="226"/>
      <c r="D1005" s="227"/>
      <c r="E1005" s="227"/>
      <c r="F1005" s="226"/>
      <c r="G1005" s="226"/>
      <c r="H1005" s="227"/>
      <c r="I1005" s="227"/>
      <c r="J1005" s="227"/>
      <c r="K1005" s="227"/>
      <c r="L1005" s="227"/>
      <c r="M1005" s="890"/>
      <c r="N1005" s="228"/>
      <c r="O1005" s="228"/>
      <c r="P1005" s="227"/>
      <c r="Q1005" s="226"/>
      <c r="R1005" s="226"/>
      <c r="S1005" s="228"/>
      <c r="T1005" s="228"/>
      <c r="U1005" s="228"/>
    </row>
    <row r="1006" ht="13.5" customHeight="1" spans="1:21">
      <c r="A1006" s="226"/>
      <c r="B1006" s="869"/>
      <c r="C1006" s="226"/>
      <c r="D1006" s="227"/>
      <c r="E1006" s="227"/>
      <c r="F1006" s="226"/>
      <c r="G1006" s="226"/>
      <c r="H1006" s="227"/>
      <c r="I1006" s="227"/>
      <c r="J1006" s="227"/>
      <c r="K1006" s="227"/>
      <c r="L1006" s="227"/>
      <c r="M1006" s="890"/>
      <c r="N1006" s="228"/>
      <c r="O1006" s="228"/>
      <c r="P1006" s="227"/>
      <c r="Q1006" s="226"/>
      <c r="R1006" s="226"/>
      <c r="S1006" s="228"/>
      <c r="T1006" s="228"/>
      <c r="U1006" s="228"/>
    </row>
    <row r="1007" ht="13.5" customHeight="1" spans="1:21">
      <c r="A1007" s="226"/>
      <c r="B1007" s="869"/>
      <c r="C1007" s="226"/>
      <c r="D1007" s="227"/>
      <c r="E1007" s="227"/>
      <c r="F1007" s="226"/>
      <c r="G1007" s="226"/>
      <c r="H1007" s="227"/>
      <c r="I1007" s="227"/>
      <c r="J1007" s="227"/>
      <c r="K1007" s="227"/>
      <c r="L1007" s="227"/>
      <c r="M1007" s="890"/>
      <c r="N1007" s="228"/>
      <c r="O1007" s="228"/>
      <c r="P1007" s="227"/>
      <c r="Q1007" s="226"/>
      <c r="R1007" s="226"/>
      <c r="S1007" s="228"/>
      <c r="T1007" s="228"/>
      <c r="U1007" s="228"/>
    </row>
    <row r="1008" ht="13.5" customHeight="1" spans="1:21">
      <c r="A1008" s="226"/>
      <c r="B1008" s="869"/>
      <c r="C1008" s="226"/>
      <c r="D1008" s="227"/>
      <c r="E1008" s="227"/>
      <c r="F1008" s="226"/>
      <c r="G1008" s="226"/>
      <c r="H1008" s="227"/>
      <c r="I1008" s="227"/>
      <c r="J1008" s="227"/>
      <c r="K1008" s="227"/>
      <c r="L1008" s="227"/>
      <c r="M1008" s="890"/>
      <c r="N1008" s="228"/>
      <c r="O1008" s="228"/>
      <c r="P1008" s="227"/>
      <c r="Q1008" s="226"/>
      <c r="R1008" s="226"/>
      <c r="S1008" s="228"/>
      <c r="T1008" s="228"/>
      <c r="U1008" s="228"/>
    </row>
    <row r="1009" ht="13.5" customHeight="1" spans="1:21">
      <c r="A1009" s="226"/>
      <c r="B1009" s="869"/>
      <c r="C1009" s="226"/>
      <c r="D1009" s="227"/>
      <c r="E1009" s="227"/>
      <c r="F1009" s="226"/>
      <c r="G1009" s="226"/>
      <c r="H1009" s="227"/>
      <c r="I1009" s="227"/>
      <c r="J1009" s="227"/>
      <c r="K1009" s="227"/>
      <c r="L1009" s="227"/>
      <c r="M1009" s="890"/>
      <c r="N1009" s="228"/>
      <c r="O1009" s="228"/>
      <c r="P1009" s="227"/>
      <c r="Q1009" s="226"/>
      <c r="R1009" s="226"/>
      <c r="S1009" s="228"/>
      <c r="T1009" s="228"/>
      <c r="U1009" s="228"/>
    </row>
    <row r="1010" ht="13.5" customHeight="1" spans="1:21">
      <c r="A1010" s="226"/>
      <c r="B1010" s="869"/>
      <c r="C1010" s="226"/>
      <c r="D1010" s="227"/>
      <c r="E1010" s="227"/>
      <c r="F1010" s="226"/>
      <c r="G1010" s="226"/>
      <c r="H1010" s="227"/>
      <c r="I1010" s="227"/>
      <c r="J1010" s="227"/>
      <c r="K1010" s="227"/>
      <c r="L1010" s="227"/>
      <c r="M1010" s="890"/>
      <c r="N1010" s="228"/>
      <c r="O1010" s="228"/>
      <c r="P1010" s="227"/>
      <c r="Q1010" s="226"/>
      <c r="R1010" s="226"/>
      <c r="S1010" s="228"/>
      <c r="T1010" s="228"/>
      <c r="U1010" s="228"/>
    </row>
    <row r="1011" ht="13.5" customHeight="1" spans="1:21">
      <c r="A1011" s="226"/>
      <c r="B1011" s="869"/>
      <c r="C1011" s="226"/>
      <c r="D1011" s="227"/>
      <c r="E1011" s="227"/>
      <c r="F1011" s="226"/>
      <c r="G1011" s="226"/>
      <c r="H1011" s="227"/>
      <c r="I1011" s="227"/>
      <c r="J1011" s="227"/>
      <c r="K1011" s="227"/>
      <c r="L1011" s="227"/>
      <c r="M1011" s="890"/>
      <c r="N1011" s="228"/>
      <c r="O1011" s="228"/>
      <c r="P1011" s="227"/>
      <c r="Q1011" s="226"/>
      <c r="R1011" s="226"/>
      <c r="S1011" s="228"/>
      <c r="T1011" s="228"/>
      <c r="U1011" s="228"/>
    </row>
    <row r="1012" ht="13.5" customHeight="1" spans="1:21">
      <c r="A1012" s="226"/>
      <c r="B1012" s="869"/>
      <c r="C1012" s="226"/>
      <c r="D1012" s="227"/>
      <c r="E1012" s="227"/>
      <c r="F1012" s="226"/>
      <c r="G1012" s="226"/>
      <c r="H1012" s="227"/>
      <c r="I1012" s="227"/>
      <c r="J1012" s="227"/>
      <c r="K1012" s="227"/>
      <c r="L1012" s="227"/>
      <c r="M1012" s="890"/>
      <c r="N1012" s="228"/>
      <c r="O1012" s="228"/>
      <c r="P1012" s="227"/>
      <c r="Q1012" s="226"/>
      <c r="R1012" s="226"/>
      <c r="S1012" s="228"/>
      <c r="T1012" s="228"/>
      <c r="U1012" s="228"/>
    </row>
    <row r="1013" ht="13.5" customHeight="1" spans="1:21">
      <c r="A1013" s="226"/>
      <c r="B1013" s="869"/>
      <c r="C1013" s="226"/>
      <c r="D1013" s="227"/>
      <c r="E1013" s="227"/>
      <c r="F1013" s="226"/>
      <c r="G1013" s="226"/>
      <c r="H1013" s="227"/>
      <c r="I1013" s="227"/>
      <c r="J1013" s="227"/>
      <c r="K1013" s="227"/>
      <c r="L1013" s="227"/>
      <c r="M1013" s="890"/>
      <c r="N1013" s="228"/>
      <c r="O1013" s="228"/>
      <c r="P1013" s="227"/>
      <c r="Q1013" s="226"/>
      <c r="R1013" s="226"/>
      <c r="S1013" s="228"/>
      <c r="T1013" s="228"/>
      <c r="U1013" s="228"/>
    </row>
    <row r="1014" ht="13.5" customHeight="1" spans="1:21">
      <c r="A1014" s="226"/>
      <c r="B1014" s="869"/>
      <c r="C1014" s="226"/>
      <c r="D1014" s="227"/>
      <c r="E1014" s="227"/>
      <c r="F1014" s="226"/>
      <c r="G1014" s="226"/>
      <c r="H1014" s="227"/>
      <c r="I1014" s="227"/>
      <c r="J1014" s="227"/>
      <c r="K1014" s="227"/>
      <c r="L1014" s="227"/>
      <c r="M1014" s="890"/>
      <c r="N1014" s="228"/>
      <c r="O1014" s="228"/>
      <c r="P1014" s="227"/>
      <c r="Q1014" s="226"/>
      <c r="R1014" s="226"/>
      <c r="S1014" s="228"/>
      <c r="T1014" s="228"/>
      <c r="U1014" s="228"/>
    </row>
    <row r="1015" ht="13.5" customHeight="1" spans="1:21">
      <c r="A1015" s="226"/>
      <c r="B1015" s="869"/>
      <c r="C1015" s="226"/>
      <c r="D1015" s="227"/>
      <c r="E1015" s="227"/>
      <c r="F1015" s="226"/>
      <c r="G1015" s="226"/>
      <c r="H1015" s="227"/>
      <c r="I1015" s="227"/>
      <c r="J1015" s="227"/>
      <c r="K1015" s="227"/>
      <c r="L1015" s="227"/>
      <c r="M1015" s="890"/>
      <c r="N1015" s="228"/>
      <c r="O1015" s="228"/>
      <c r="P1015" s="227"/>
      <c r="Q1015" s="226"/>
      <c r="R1015" s="226"/>
      <c r="S1015" s="228"/>
      <c r="T1015" s="228"/>
      <c r="U1015" s="228"/>
    </row>
    <row r="1016" ht="13.5" customHeight="1" spans="1:21">
      <c r="A1016" s="226"/>
      <c r="B1016" s="869"/>
      <c r="C1016" s="226"/>
      <c r="D1016" s="227"/>
      <c r="E1016" s="227"/>
      <c r="F1016" s="226"/>
      <c r="G1016" s="226"/>
      <c r="H1016" s="227"/>
      <c r="I1016" s="227"/>
      <c r="J1016" s="227"/>
      <c r="K1016" s="227"/>
      <c r="L1016" s="227"/>
      <c r="M1016" s="890"/>
      <c r="N1016" s="228"/>
      <c r="O1016" s="228"/>
      <c r="P1016" s="227"/>
      <c r="Q1016" s="226"/>
      <c r="R1016" s="226"/>
      <c r="S1016" s="228"/>
      <c r="T1016" s="228"/>
      <c r="U1016" s="228"/>
    </row>
    <row r="1017" ht="13.5" customHeight="1" spans="1:21">
      <c r="A1017" s="226"/>
      <c r="B1017" s="869"/>
      <c r="C1017" s="226"/>
      <c r="D1017" s="227"/>
      <c r="E1017" s="227"/>
      <c r="F1017" s="226"/>
      <c r="G1017" s="226"/>
      <c r="H1017" s="227"/>
      <c r="I1017" s="227"/>
      <c r="J1017" s="227"/>
      <c r="K1017" s="227"/>
      <c r="L1017" s="227"/>
      <c r="M1017" s="890"/>
      <c r="N1017" s="228"/>
      <c r="O1017" s="228"/>
      <c r="P1017" s="227"/>
      <c r="Q1017" s="226"/>
      <c r="R1017" s="226"/>
      <c r="S1017" s="228"/>
      <c r="T1017" s="228"/>
      <c r="U1017" s="228"/>
    </row>
    <row r="1018" ht="13.5" customHeight="1" spans="1:21">
      <c r="A1018" s="226"/>
      <c r="B1018" s="869"/>
      <c r="C1018" s="226"/>
      <c r="D1018" s="227"/>
      <c r="E1018" s="227"/>
      <c r="F1018" s="226"/>
      <c r="G1018" s="226"/>
      <c r="H1018" s="227"/>
      <c r="I1018" s="227"/>
      <c r="J1018" s="227"/>
      <c r="K1018" s="227"/>
      <c r="L1018" s="227"/>
      <c r="M1018" s="890"/>
      <c r="N1018" s="228"/>
      <c r="O1018" s="228"/>
      <c r="P1018" s="227"/>
      <c r="Q1018" s="226"/>
      <c r="R1018" s="226"/>
      <c r="S1018" s="228"/>
      <c r="T1018" s="228"/>
      <c r="U1018" s="228"/>
    </row>
    <row r="1019" ht="13.5" customHeight="1" spans="1:21">
      <c r="A1019" s="226"/>
      <c r="B1019" s="869"/>
      <c r="C1019" s="226"/>
      <c r="D1019" s="227"/>
      <c r="E1019" s="227"/>
      <c r="F1019" s="226"/>
      <c r="G1019" s="226"/>
      <c r="H1019" s="227"/>
      <c r="I1019" s="227"/>
      <c r="J1019" s="227"/>
      <c r="K1019" s="227"/>
      <c r="L1019" s="227"/>
      <c r="M1019" s="890"/>
      <c r="N1019" s="228"/>
      <c r="O1019" s="228"/>
      <c r="P1019" s="227"/>
      <c r="Q1019" s="226"/>
      <c r="R1019" s="226"/>
      <c r="S1019" s="228"/>
      <c r="T1019" s="228"/>
      <c r="U1019" s="228"/>
    </row>
    <row r="1020" ht="13.5" customHeight="1" spans="1:21">
      <c r="A1020" s="226"/>
      <c r="B1020" s="869"/>
      <c r="C1020" s="226"/>
      <c r="D1020" s="227"/>
      <c r="E1020" s="227"/>
      <c r="F1020" s="226"/>
      <c r="G1020" s="226"/>
      <c r="H1020" s="227"/>
      <c r="I1020" s="227"/>
      <c r="J1020" s="227"/>
      <c r="K1020" s="227"/>
      <c r="L1020" s="227"/>
      <c r="M1020" s="890"/>
      <c r="N1020" s="228"/>
      <c r="O1020" s="228"/>
      <c r="P1020" s="227"/>
      <c r="Q1020" s="226"/>
      <c r="R1020" s="226"/>
      <c r="S1020" s="228"/>
      <c r="T1020" s="228"/>
      <c r="U1020" s="228"/>
    </row>
    <row r="1021" ht="13.5" customHeight="1" spans="1:21">
      <c r="A1021" s="226"/>
      <c r="B1021" s="869"/>
      <c r="C1021" s="226"/>
      <c r="D1021" s="227"/>
      <c r="E1021" s="227"/>
      <c r="F1021" s="226"/>
      <c r="G1021" s="226"/>
      <c r="H1021" s="227"/>
      <c r="I1021" s="227"/>
      <c r="J1021" s="227"/>
      <c r="K1021" s="227"/>
      <c r="L1021" s="227"/>
      <c r="M1021" s="890"/>
      <c r="N1021" s="228"/>
      <c r="O1021" s="228"/>
      <c r="P1021" s="227"/>
      <c r="Q1021" s="226"/>
      <c r="R1021" s="226"/>
      <c r="S1021" s="228"/>
      <c r="T1021" s="228"/>
      <c r="U1021" s="228"/>
    </row>
    <row r="1022" ht="13.5" customHeight="1" spans="1:21">
      <c r="A1022" s="226"/>
      <c r="B1022" s="869"/>
      <c r="C1022" s="226"/>
      <c r="D1022" s="227"/>
      <c r="E1022" s="227"/>
      <c r="F1022" s="226"/>
      <c r="G1022" s="226"/>
      <c r="H1022" s="227"/>
      <c r="I1022" s="227"/>
      <c r="J1022" s="227"/>
      <c r="K1022" s="227"/>
      <c r="L1022" s="227"/>
      <c r="M1022" s="890"/>
      <c r="N1022" s="228"/>
      <c r="O1022" s="228"/>
      <c r="P1022" s="227"/>
      <c r="Q1022" s="226"/>
      <c r="R1022" s="226"/>
      <c r="S1022" s="228"/>
      <c r="T1022" s="228"/>
      <c r="U1022" s="228"/>
    </row>
    <row r="1023" ht="13.5" customHeight="1" spans="1:21">
      <c r="A1023" s="226"/>
      <c r="B1023" s="869"/>
      <c r="C1023" s="226"/>
      <c r="D1023" s="227"/>
      <c r="E1023" s="227"/>
      <c r="F1023" s="226"/>
      <c r="G1023" s="226"/>
      <c r="H1023" s="227"/>
      <c r="I1023" s="227"/>
      <c r="J1023" s="227"/>
      <c r="K1023" s="227"/>
      <c r="L1023" s="227"/>
      <c r="M1023" s="890"/>
      <c r="N1023" s="228"/>
      <c r="O1023" s="228"/>
      <c r="P1023" s="227"/>
      <c r="Q1023" s="226"/>
      <c r="R1023" s="226"/>
      <c r="S1023" s="228"/>
      <c r="T1023" s="228"/>
      <c r="U1023" s="228"/>
    </row>
    <row r="1024" ht="13.5" customHeight="1" spans="1:21">
      <c r="A1024" s="226"/>
      <c r="B1024" s="869"/>
      <c r="C1024" s="226"/>
      <c r="D1024" s="227"/>
      <c r="E1024" s="227"/>
      <c r="F1024" s="226"/>
      <c r="G1024" s="226"/>
      <c r="H1024" s="227"/>
      <c r="I1024" s="227"/>
      <c r="J1024" s="227"/>
      <c r="K1024" s="227"/>
      <c r="L1024" s="227"/>
      <c r="M1024" s="890"/>
      <c r="N1024" s="228"/>
      <c r="O1024" s="228"/>
      <c r="P1024" s="227"/>
      <c r="Q1024" s="226"/>
      <c r="R1024" s="226"/>
      <c r="S1024" s="228"/>
      <c r="T1024" s="228"/>
      <c r="U1024" s="228"/>
    </row>
    <row r="1025" ht="13.5" customHeight="1" spans="1:21">
      <c r="A1025" s="226"/>
      <c r="B1025" s="869"/>
      <c r="C1025" s="226"/>
      <c r="D1025" s="227"/>
      <c r="E1025" s="227"/>
      <c r="F1025" s="226"/>
      <c r="G1025" s="226"/>
      <c r="H1025" s="227"/>
      <c r="I1025" s="227"/>
      <c r="J1025" s="227"/>
      <c r="K1025" s="227"/>
      <c r="L1025" s="227"/>
      <c r="M1025" s="890"/>
      <c r="N1025" s="228"/>
      <c r="O1025" s="228"/>
      <c r="P1025" s="227"/>
      <c r="Q1025" s="226"/>
      <c r="R1025" s="226"/>
      <c r="S1025" s="228"/>
      <c r="T1025" s="228"/>
      <c r="U1025" s="228"/>
    </row>
    <row r="1026" ht="13.5" customHeight="1" spans="1:21">
      <c r="A1026" s="226"/>
      <c r="B1026" s="869"/>
      <c r="C1026" s="226"/>
      <c r="D1026" s="227"/>
      <c r="E1026" s="227"/>
      <c r="F1026" s="226"/>
      <c r="G1026" s="226"/>
      <c r="H1026" s="227"/>
      <c r="I1026" s="227"/>
      <c r="J1026" s="227"/>
      <c r="K1026" s="227"/>
      <c r="L1026" s="227"/>
      <c r="M1026" s="890"/>
      <c r="N1026" s="228"/>
      <c r="O1026" s="228"/>
      <c r="P1026" s="227"/>
      <c r="Q1026" s="226"/>
      <c r="R1026" s="226"/>
      <c r="S1026" s="228"/>
      <c r="T1026" s="228"/>
      <c r="U1026" s="228"/>
    </row>
    <row r="1027" ht="13.5" customHeight="1" spans="1:21">
      <c r="A1027" s="226"/>
      <c r="B1027" s="869"/>
      <c r="C1027" s="226"/>
      <c r="D1027" s="227"/>
      <c r="E1027" s="227"/>
      <c r="F1027" s="226"/>
      <c r="G1027" s="226"/>
      <c r="H1027" s="227"/>
      <c r="I1027" s="227"/>
      <c r="J1027" s="227"/>
      <c r="K1027" s="227"/>
      <c r="L1027" s="227"/>
      <c r="M1027" s="890"/>
      <c r="N1027" s="228"/>
      <c r="O1027" s="228"/>
      <c r="P1027" s="227"/>
      <c r="Q1027" s="226"/>
      <c r="R1027" s="226"/>
      <c r="S1027" s="228"/>
      <c r="T1027" s="228"/>
      <c r="U1027" s="228"/>
    </row>
    <row r="1028" ht="13.5" customHeight="1" spans="1:21">
      <c r="A1028" s="226"/>
      <c r="B1028" s="869"/>
      <c r="C1028" s="226"/>
      <c r="D1028" s="227"/>
      <c r="E1028" s="227"/>
      <c r="F1028" s="226"/>
      <c r="G1028" s="226"/>
      <c r="H1028" s="227"/>
      <c r="I1028" s="227"/>
      <c r="J1028" s="227"/>
      <c r="K1028" s="227"/>
      <c r="L1028" s="227"/>
      <c r="M1028" s="890"/>
      <c r="N1028" s="228"/>
      <c r="O1028" s="228"/>
      <c r="P1028" s="227"/>
      <c r="Q1028" s="226"/>
      <c r="R1028" s="226"/>
      <c r="S1028" s="228"/>
      <c r="T1028" s="228"/>
      <c r="U1028" s="228"/>
    </row>
    <row r="1029" ht="13.5" customHeight="1" spans="1:21">
      <c r="A1029" s="226"/>
      <c r="B1029" s="869"/>
      <c r="C1029" s="226"/>
      <c r="D1029" s="227"/>
      <c r="E1029" s="227"/>
      <c r="F1029" s="226"/>
      <c r="G1029" s="226"/>
      <c r="H1029" s="227"/>
      <c r="I1029" s="227"/>
      <c r="J1029" s="227"/>
      <c r="K1029" s="227"/>
      <c r="L1029" s="227"/>
      <c r="M1029" s="890"/>
      <c r="N1029" s="228"/>
      <c r="O1029" s="228"/>
      <c r="P1029" s="227"/>
      <c r="Q1029" s="226"/>
      <c r="R1029" s="226"/>
      <c r="S1029" s="228"/>
      <c r="T1029" s="228"/>
      <c r="U1029" s="228"/>
    </row>
    <row r="1030" ht="13.5" customHeight="1" spans="1:21">
      <c r="A1030" s="226"/>
      <c r="B1030" s="869"/>
      <c r="C1030" s="226"/>
      <c r="D1030" s="227"/>
      <c r="E1030" s="227"/>
      <c r="F1030" s="226"/>
      <c r="G1030" s="226"/>
      <c r="H1030" s="227"/>
      <c r="I1030" s="227"/>
      <c r="J1030" s="227"/>
      <c r="K1030" s="227"/>
      <c r="L1030" s="227"/>
      <c r="M1030" s="890"/>
      <c r="N1030" s="228"/>
      <c r="O1030" s="228"/>
      <c r="P1030" s="227"/>
      <c r="Q1030" s="226"/>
      <c r="R1030" s="226"/>
      <c r="S1030" s="228"/>
      <c r="T1030" s="228"/>
      <c r="U1030" s="228"/>
    </row>
    <row r="1031" ht="13.5" customHeight="1" spans="1:21">
      <c r="A1031" s="226"/>
      <c r="B1031" s="869"/>
      <c r="C1031" s="226"/>
      <c r="D1031" s="227"/>
      <c r="E1031" s="227"/>
      <c r="F1031" s="226"/>
      <c r="G1031" s="226"/>
      <c r="H1031" s="227"/>
      <c r="I1031" s="227"/>
      <c r="J1031" s="227"/>
      <c r="K1031" s="227"/>
      <c r="L1031" s="227"/>
      <c r="M1031" s="890"/>
      <c r="N1031" s="228"/>
      <c r="O1031" s="228"/>
      <c r="P1031" s="227"/>
      <c r="Q1031" s="226"/>
      <c r="R1031" s="226"/>
      <c r="S1031" s="228"/>
      <c r="T1031" s="228"/>
      <c r="U1031" s="228"/>
    </row>
    <row r="1032" ht="13.5" customHeight="1" spans="1:21">
      <c r="A1032" s="226"/>
      <c r="B1032" s="869"/>
      <c r="C1032" s="226"/>
      <c r="D1032" s="227"/>
      <c r="E1032" s="227"/>
      <c r="F1032" s="226"/>
      <c r="G1032" s="226"/>
      <c r="H1032" s="227"/>
      <c r="I1032" s="227"/>
      <c r="J1032" s="227"/>
      <c r="K1032" s="227"/>
      <c r="L1032" s="227"/>
      <c r="M1032" s="890"/>
      <c r="N1032" s="228"/>
      <c r="O1032" s="228"/>
      <c r="P1032" s="227"/>
      <c r="Q1032" s="226"/>
      <c r="R1032" s="226"/>
      <c r="S1032" s="228"/>
      <c r="T1032" s="228"/>
      <c r="U1032" s="228"/>
    </row>
    <row r="1033" ht="13.5" customHeight="1" spans="1:21">
      <c r="A1033" s="226"/>
      <c r="B1033" s="869"/>
      <c r="C1033" s="226"/>
      <c r="D1033" s="227"/>
      <c r="E1033" s="227"/>
      <c r="F1033" s="226"/>
      <c r="G1033" s="226"/>
      <c r="H1033" s="227"/>
      <c r="I1033" s="227"/>
      <c r="J1033" s="227"/>
      <c r="K1033" s="227"/>
      <c r="L1033" s="227"/>
      <c r="M1033" s="890"/>
      <c r="N1033" s="228"/>
      <c r="O1033" s="228"/>
      <c r="P1033" s="227"/>
      <c r="Q1033" s="226"/>
      <c r="R1033" s="226"/>
      <c r="S1033" s="228"/>
      <c r="T1033" s="228"/>
      <c r="U1033" s="228"/>
    </row>
    <row r="1034" ht="13.5" customHeight="1" spans="1:21">
      <c r="A1034" s="226"/>
      <c r="B1034" s="869"/>
      <c r="C1034" s="226"/>
      <c r="D1034" s="227"/>
      <c r="E1034" s="227"/>
      <c r="F1034" s="226"/>
      <c r="G1034" s="226"/>
      <c r="H1034" s="227"/>
      <c r="I1034" s="227"/>
      <c r="J1034" s="227"/>
      <c r="K1034" s="227"/>
      <c r="L1034" s="227"/>
      <c r="M1034" s="890"/>
      <c r="N1034" s="228"/>
      <c r="O1034" s="228"/>
      <c r="P1034" s="227"/>
      <c r="Q1034" s="226"/>
      <c r="R1034" s="226"/>
      <c r="S1034" s="228"/>
      <c r="T1034" s="228"/>
      <c r="U1034" s="228"/>
    </row>
    <row r="1035" ht="13.5" customHeight="1" spans="1:21">
      <c r="A1035" s="226"/>
      <c r="B1035" s="869"/>
      <c r="C1035" s="226"/>
      <c r="D1035" s="227"/>
      <c r="E1035" s="227"/>
      <c r="F1035" s="226"/>
      <c r="G1035" s="226"/>
      <c r="H1035" s="227"/>
      <c r="I1035" s="227"/>
      <c r="J1035" s="227"/>
      <c r="K1035" s="227"/>
      <c r="L1035" s="227"/>
      <c r="M1035" s="890"/>
      <c r="N1035" s="228"/>
      <c r="O1035" s="228"/>
      <c r="P1035" s="227"/>
      <c r="Q1035" s="226"/>
      <c r="R1035" s="226"/>
      <c r="S1035" s="228"/>
      <c r="T1035" s="228"/>
      <c r="U1035" s="228"/>
    </row>
    <row r="1036" ht="13.5" customHeight="1" spans="1:21">
      <c r="A1036" s="226"/>
      <c r="B1036" s="869"/>
      <c r="C1036" s="226"/>
      <c r="D1036" s="227"/>
      <c r="E1036" s="227"/>
      <c r="F1036" s="226"/>
      <c r="G1036" s="226"/>
      <c r="H1036" s="227"/>
      <c r="I1036" s="227"/>
      <c r="J1036" s="227"/>
      <c r="K1036" s="227"/>
      <c r="L1036" s="227"/>
      <c r="M1036" s="890"/>
      <c r="N1036" s="228"/>
      <c r="O1036" s="228"/>
      <c r="P1036" s="227"/>
      <c r="Q1036" s="226"/>
      <c r="R1036" s="226"/>
      <c r="S1036" s="228"/>
      <c r="T1036" s="228"/>
      <c r="U1036" s="228"/>
    </row>
    <row r="1037" ht="13.5" customHeight="1" spans="1:21">
      <c r="A1037" s="226"/>
      <c r="B1037" s="869"/>
      <c r="C1037" s="226"/>
      <c r="D1037" s="227"/>
      <c r="E1037" s="227"/>
      <c r="F1037" s="226"/>
      <c r="G1037" s="226"/>
      <c r="H1037" s="227"/>
      <c r="I1037" s="227"/>
      <c r="J1037" s="227"/>
      <c r="K1037" s="227"/>
      <c r="L1037" s="227"/>
      <c r="M1037" s="890"/>
      <c r="N1037" s="228"/>
      <c r="O1037" s="228"/>
      <c r="P1037" s="227"/>
      <c r="Q1037" s="226"/>
      <c r="R1037" s="226"/>
      <c r="S1037" s="228"/>
      <c r="T1037" s="228"/>
      <c r="U1037" s="228"/>
    </row>
    <row r="1038" ht="13.5" customHeight="1" spans="1:21">
      <c r="A1038" s="226"/>
      <c r="B1038" s="869"/>
      <c r="C1038" s="226"/>
      <c r="D1038" s="227"/>
      <c r="E1038" s="227"/>
      <c r="F1038" s="226"/>
      <c r="G1038" s="226"/>
      <c r="H1038" s="227"/>
      <c r="I1038" s="227"/>
      <c r="J1038" s="227"/>
      <c r="K1038" s="227"/>
      <c r="L1038" s="227"/>
      <c r="M1038" s="890"/>
      <c r="N1038" s="228"/>
      <c r="O1038" s="228"/>
      <c r="P1038" s="227"/>
      <c r="Q1038" s="226"/>
      <c r="R1038" s="226"/>
      <c r="S1038" s="228"/>
      <c r="T1038" s="228"/>
      <c r="U1038" s="228"/>
    </row>
    <row r="1039" ht="13.5" customHeight="1" spans="1:21">
      <c r="A1039" s="226"/>
      <c r="B1039" s="869"/>
      <c r="C1039" s="226"/>
      <c r="D1039" s="227"/>
      <c r="E1039" s="227"/>
      <c r="F1039" s="226"/>
      <c r="G1039" s="226"/>
      <c r="H1039" s="227"/>
      <c r="I1039" s="227"/>
      <c r="J1039" s="227"/>
      <c r="K1039" s="227"/>
      <c r="L1039" s="227"/>
      <c r="M1039" s="890"/>
      <c r="N1039" s="228"/>
      <c r="O1039" s="228"/>
      <c r="P1039" s="227"/>
      <c r="Q1039" s="226"/>
      <c r="R1039" s="226"/>
      <c r="S1039" s="228"/>
      <c r="T1039" s="228"/>
      <c r="U1039" s="228"/>
    </row>
    <row r="1040" ht="13.5" customHeight="1" spans="1:21">
      <c r="A1040" s="226"/>
      <c r="B1040" s="869"/>
      <c r="C1040" s="226"/>
      <c r="D1040" s="227"/>
      <c r="E1040" s="227"/>
      <c r="F1040" s="226"/>
      <c r="G1040" s="226"/>
      <c r="H1040" s="227"/>
      <c r="I1040" s="227"/>
      <c r="J1040" s="227"/>
      <c r="K1040" s="227"/>
      <c r="L1040" s="227"/>
      <c r="M1040" s="890"/>
      <c r="N1040" s="228"/>
      <c r="O1040" s="228"/>
      <c r="P1040" s="227"/>
      <c r="Q1040" s="226"/>
      <c r="R1040" s="226"/>
      <c r="S1040" s="228"/>
      <c r="T1040" s="228"/>
      <c r="U1040" s="228"/>
    </row>
    <row r="1041" ht="13.5" customHeight="1" spans="1:21">
      <c r="A1041" s="226"/>
      <c r="B1041" s="869"/>
      <c r="C1041" s="226"/>
      <c r="D1041" s="227"/>
      <c r="E1041" s="227"/>
      <c r="F1041" s="226"/>
      <c r="G1041" s="226"/>
      <c r="H1041" s="227"/>
      <c r="I1041" s="227"/>
      <c r="J1041" s="227"/>
      <c r="K1041" s="227"/>
      <c r="L1041" s="227"/>
      <c r="M1041" s="890"/>
      <c r="N1041" s="228"/>
      <c r="O1041" s="228"/>
      <c r="P1041" s="227"/>
      <c r="Q1041" s="226"/>
      <c r="R1041" s="226"/>
      <c r="S1041" s="228"/>
      <c r="T1041" s="228"/>
      <c r="U1041" s="228"/>
    </row>
    <row r="1042" ht="13.5" customHeight="1" spans="1:21">
      <c r="A1042" s="226"/>
      <c r="B1042" s="869"/>
      <c r="C1042" s="226"/>
      <c r="D1042" s="227"/>
      <c r="E1042" s="227"/>
      <c r="F1042" s="226"/>
      <c r="G1042" s="226"/>
      <c r="H1042" s="227"/>
      <c r="I1042" s="227"/>
      <c r="J1042" s="227"/>
      <c r="K1042" s="227"/>
      <c r="L1042" s="227"/>
      <c r="M1042" s="890"/>
      <c r="N1042" s="228"/>
      <c r="O1042" s="228"/>
      <c r="P1042" s="227"/>
      <c r="Q1042" s="226"/>
      <c r="R1042" s="226"/>
      <c r="S1042" s="228"/>
      <c r="T1042" s="228"/>
      <c r="U1042" s="228"/>
    </row>
    <row r="1043" ht="13.5" customHeight="1" spans="1:21">
      <c r="A1043" s="226"/>
      <c r="B1043" s="869"/>
      <c r="C1043" s="226"/>
      <c r="D1043" s="227"/>
      <c r="E1043" s="227"/>
      <c r="F1043" s="226"/>
      <c r="G1043" s="226"/>
      <c r="H1043" s="227"/>
      <c r="I1043" s="227"/>
      <c r="J1043" s="227"/>
      <c r="K1043" s="227"/>
      <c r="L1043" s="227"/>
      <c r="M1043" s="890"/>
      <c r="N1043" s="228"/>
      <c r="O1043" s="228"/>
      <c r="P1043" s="227"/>
      <c r="Q1043" s="226"/>
      <c r="R1043" s="226"/>
      <c r="S1043" s="228"/>
      <c r="T1043" s="228"/>
      <c r="U1043" s="228"/>
    </row>
    <row r="1044" ht="13.5" customHeight="1" spans="1:21">
      <c r="A1044" s="226"/>
      <c r="B1044" s="869"/>
      <c r="C1044" s="226"/>
      <c r="D1044" s="227"/>
      <c r="E1044" s="227"/>
      <c r="F1044" s="226"/>
      <c r="G1044" s="226"/>
      <c r="H1044" s="227"/>
      <c r="I1044" s="227"/>
      <c r="J1044" s="227"/>
      <c r="K1044" s="227"/>
      <c r="L1044" s="227"/>
      <c r="M1044" s="890"/>
      <c r="N1044" s="228"/>
      <c r="O1044" s="228"/>
      <c r="P1044" s="227"/>
      <c r="Q1044" s="226"/>
      <c r="R1044" s="226"/>
      <c r="S1044" s="228"/>
      <c r="T1044" s="228"/>
      <c r="U1044" s="228"/>
    </row>
    <row r="1045" ht="13.5" customHeight="1" spans="1:21">
      <c r="A1045" s="226"/>
      <c r="B1045" s="869"/>
      <c r="C1045" s="226"/>
      <c r="D1045" s="227"/>
      <c r="E1045" s="227"/>
      <c r="F1045" s="226"/>
      <c r="G1045" s="226"/>
      <c r="H1045" s="227"/>
      <c r="I1045" s="227"/>
      <c r="J1045" s="227"/>
      <c r="K1045" s="227"/>
      <c r="L1045" s="227"/>
      <c r="M1045" s="890"/>
      <c r="N1045" s="228"/>
      <c r="O1045" s="228"/>
      <c r="P1045" s="227"/>
      <c r="Q1045" s="226"/>
      <c r="R1045" s="226"/>
      <c r="S1045" s="228"/>
      <c r="T1045" s="228"/>
      <c r="U1045" s="228"/>
    </row>
    <row r="1046" ht="13.5" customHeight="1" spans="1:21">
      <c r="A1046" s="226"/>
      <c r="B1046" s="869"/>
      <c r="C1046" s="226"/>
      <c r="D1046" s="227"/>
      <c r="E1046" s="227"/>
      <c r="F1046" s="226"/>
      <c r="G1046" s="226"/>
      <c r="H1046" s="227"/>
      <c r="I1046" s="227"/>
      <c r="J1046" s="227"/>
      <c r="K1046" s="227"/>
      <c r="L1046" s="227"/>
      <c r="M1046" s="890"/>
      <c r="N1046" s="228"/>
      <c r="O1046" s="228"/>
      <c r="P1046" s="227"/>
      <c r="Q1046" s="226"/>
      <c r="R1046" s="226"/>
      <c r="S1046" s="228"/>
      <c r="T1046" s="228"/>
      <c r="U1046" s="228"/>
    </row>
    <row r="1047" ht="13.5" customHeight="1" spans="1:21">
      <c r="A1047" s="226"/>
      <c r="B1047" s="869"/>
      <c r="C1047" s="226"/>
      <c r="D1047" s="227"/>
      <c r="E1047" s="227"/>
      <c r="F1047" s="226"/>
      <c r="G1047" s="226"/>
      <c r="H1047" s="227"/>
      <c r="I1047" s="227"/>
      <c r="J1047" s="227"/>
      <c r="K1047" s="227"/>
      <c r="L1047" s="227"/>
      <c r="M1047" s="890"/>
      <c r="N1047" s="228"/>
      <c r="O1047" s="228"/>
      <c r="P1047" s="227"/>
      <c r="Q1047" s="226"/>
      <c r="R1047" s="226"/>
      <c r="S1047" s="228"/>
      <c r="T1047" s="228"/>
      <c r="U1047" s="228"/>
    </row>
    <row r="1048" ht="13.5" customHeight="1" spans="1:21">
      <c r="A1048" s="226"/>
      <c r="B1048" s="869"/>
      <c r="C1048" s="226"/>
      <c r="D1048" s="227"/>
      <c r="E1048" s="227"/>
      <c r="F1048" s="226"/>
      <c r="G1048" s="226"/>
      <c r="H1048" s="227"/>
      <c r="I1048" s="227"/>
      <c r="J1048" s="227"/>
      <c r="K1048" s="227"/>
      <c r="L1048" s="227"/>
      <c r="M1048" s="890"/>
      <c r="N1048" s="228"/>
      <c r="O1048" s="228"/>
      <c r="P1048" s="227"/>
      <c r="Q1048" s="226"/>
      <c r="R1048" s="226"/>
      <c r="S1048" s="228"/>
      <c r="T1048" s="228"/>
      <c r="U1048" s="228"/>
    </row>
    <row r="1049" ht="13.5" customHeight="1" spans="1:21">
      <c r="A1049" s="226"/>
      <c r="B1049" s="869"/>
      <c r="C1049" s="226"/>
      <c r="D1049" s="227"/>
      <c r="E1049" s="227"/>
      <c r="F1049" s="226"/>
      <c r="G1049" s="226"/>
      <c r="H1049" s="227"/>
      <c r="I1049" s="227"/>
      <c r="J1049" s="227"/>
      <c r="K1049" s="227"/>
      <c r="L1049" s="227"/>
      <c r="M1049" s="890"/>
      <c r="N1049" s="228"/>
      <c r="O1049" s="228"/>
      <c r="P1049" s="227"/>
      <c r="Q1049" s="226"/>
      <c r="R1049" s="226"/>
      <c r="S1049" s="228"/>
      <c r="T1049" s="228"/>
      <c r="U1049" s="228"/>
    </row>
    <row r="1050" ht="13.5" customHeight="1" spans="1:21">
      <c r="A1050" s="226"/>
      <c r="B1050" s="869"/>
      <c r="C1050" s="226"/>
      <c r="D1050" s="227"/>
      <c r="E1050" s="227"/>
      <c r="F1050" s="226"/>
      <c r="G1050" s="226"/>
      <c r="H1050" s="227"/>
      <c r="I1050" s="227"/>
      <c r="J1050" s="227"/>
      <c r="K1050" s="227"/>
      <c r="L1050" s="227"/>
      <c r="M1050" s="890"/>
      <c r="N1050" s="228"/>
      <c r="O1050" s="228"/>
      <c r="P1050" s="227"/>
      <c r="Q1050" s="226"/>
      <c r="R1050" s="226"/>
      <c r="S1050" s="228"/>
      <c r="T1050" s="228"/>
      <c r="U1050" s="228"/>
    </row>
    <row r="1051" ht="13.5" customHeight="1" spans="1:21">
      <c r="A1051" s="226"/>
      <c r="B1051" s="869"/>
      <c r="C1051" s="226"/>
      <c r="D1051" s="227"/>
      <c r="E1051" s="227"/>
      <c r="F1051" s="226"/>
      <c r="G1051" s="226"/>
      <c r="H1051" s="227"/>
      <c r="I1051" s="227"/>
      <c r="J1051" s="227"/>
      <c r="K1051" s="227"/>
      <c r="L1051" s="227"/>
      <c r="M1051" s="890"/>
      <c r="N1051" s="228"/>
      <c r="O1051" s="228"/>
      <c r="P1051" s="227"/>
      <c r="Q1051" s="226"/>
      <c r="R1051" s="226"/>
      <c r="S1051" s="228"/>
      <c r="T1051" s="228"/>
      <c r="U1051" s="228"/>
    </row>
    <row r="1052" ht="13.5" customHeight="1" spans="1:21">
      <c r="A1052" s="226"/>
      <c r="B1052" s="869"/>
      <c r="C1052" s="226"/>
      <c r="D1052" s="227"/>
      <c r="E1052" s="227"/>
      <c r="F1052" s="226"/>
      <c r="G1052" s="226"/>
      <c r="H1052" s="227"/>
      <c r="I1052" s="227"/>
      <c r="J1052" s="227"/>
      <c r="K1052" s="227"/>
      <c r="L1052" s="227"/>
      <c r="M1052" s="890"/>
      <c r="N1052" s="228"/>
      <c r="O1052" s="228"/>
      <c r="P1052" s="227"/>
      <c r="Q1052" s="226"/>
      <c r="R1052" s="226"/>
      <c r="S1052" s="228"/>
      <c r="T1052" s="228"/>
      <c r="U1052" s="228"/>
    </row>
    <row r="1053" ht="13.5" customHeight="1" spans="1:21">
      <c r="A1053" s="226"/>
      <c r="B1053" s="869"/>
      <c r="C1053" s="226"/>
      <c r="D1053" s="227"/>
      <c r="E1053" s="227"/>
      <c r="F1053" s="226"/>
      <c r="G1053" s="226"/>
      <c r="H1053" s="227"/>
      <c r="I1053" s="227"/>
      <c r="J1053" s="227"/>
      <c r="K1053" s="227"/>
      <c r="L1053" s="227"/>
      <c r="M1053" s="890"/>
      <c r="N1053" s="228"/>
      <c r="O1053" s="228"/>
      <c r="P1053" s="227"/>
      <c r="Q1053" s="226"/>
      <c r="R1053" s="226"/>
      <c r="S1053" s="228"/>
      <c r="T1053" s="228"/>
      <c r="U1053" s="228"/>
    </row>
    <row r="1054" ht="13.5" customHeight="1" spans="1:21">
      <c r="A1054" s="226"/>
      <c r="B1054" s="869"/>
      <c r="C1054" s="226"/>
      <c r="D1054" s="227"/>
      <c r="E1054" s="227"/>
      <c r="F1054" s="226"/>
      <c r="G1054" s="226"/>
      <c r="H1054" s="227"/>
      <c r="I1054" s="227"/>
      <c r="J1054" s="227"/>
      <c r="K1054" s="227"/>
      <c r="L1054" s="227"/>
      <c r="M1054" s="890"/>
      <c r="N1054" s="228"/>
      <c r="O1054" s="228"/>
      <c r="P1054" s="227"/>
      <c r="Q1054" s="226"/>
      <c r="R1054" s="226"/>
      <c r="S1054" s="228"/>
      <c r="T1054" s="228"/>
      <c r="U1054" s="228"/>
    </row>
    <row r="1055" ht="13.5" customHeight="1" spans="1:21">
      <c r="A1055" s="226"/>
      <c r="B1055" s="869"/>
      <c r="C1055" s="226"/>
      <c r="D1055" s="227"/>
      <c r="E1055" s="227"/>
      <c r="F1055" s="226"/>
      <c r="G1055" s="226"/>
      <c r="H1055" s="227"/>
      <c r="I1055" s="227"/>
      <c r="J1055" s="227"/>
      <c r="K1055" s="227"/>
      <c r="L1055" s="227"/>
      <c r="M1055" s="890"/>
      <c r="N1055" s="228"/>
      <c r="O1055" s="228"/>
      <c r="P1055" s="227"/>
      <c r="Q1055" s="226"/>
      <c r="R1055" s="226"/>
      <c r="S1055" s="228"/>
      <c r="T1055" s="228"/>
      <c r="U1055" s="228"/>
    </row>
    <row r="1056" ht="13.5" customHeight="1" spans="1:21">
      <c r="A1056" s="226"/>
      <c r="B1056" s="869"/>
      <c r="C1056" s="226"/>
      <c r="D1056" s="227"/>
      <c r="E1056" s="227"/>
      <c r="F1056" s="226"/>
      <c r="G1056" s="226"/>
      <c r="H1056" s="227"/>
      <c r="I1056" s="227"/>
      <c r="J1056" s="227"/>
      <c r="K1056" s="227"/>
      <c r="L1056" s="227"/>
      <c r="M1056" s="890"/>
      <c r="N1056" s="228"/>
      <c r="O1056" s="228"/>
      <c r="P1056" s="227"/>
      <c r="Q1056" s="226"/>
      <c r="R1056" s="226"/>
      <c r="S1056" s="228"/>
      <c r="T1056" s="228"/>
      <c r="U1056" s="228"/>
    </row>
    <row r="1057" ht="13.5" customHeight="1" spans="1:21">
      <c r="A1057" s="226"/>
      <c r="B1057" s="869"/>
      <c r="C1057" s="226"/>
      <c r="D1057" s="227"/>
      <c r="E1057" s="227"/>
      <c r="F1057" s="226"/>
      <c r="G1057" s="226"/>
      <c r="H1057" s="227"/>
      <c r="I1057" s="227"/>
      <c r="J1057" s="227"/>
      <c r="K1057" s="227"/>
      <c r="L1057" s="227"/>
      <c r="M1057" s="890"/>
      <c r="N1057" s="228"/>
      <c r="O1057" s="228"/>
      <c r="P1057" s="227"/>
      <c r="Q1057" s="226"/>
      <c r="R1057" s="226"/>
      <c r="S1057" s="228"/>
      <c r="T1057" s="228"/>
      <c r="U1057" s="228"/>
    </row>
    <row r="1058" ht="13.5" customHeight="1" spans="1:21">
      <c r="A1058" s="226"/>
      <c r="B1058" s="869"/>
      <c r="C1058" s="226"/>
      <c r="D1058" s="227"/>
      <c r="E1058" s="227"/>
      <c r="F1058" s="226"/>
      <c r="G1058" s="226"/>
      <c r="H1058" s="227"/>
      <c r="I1058" s="227"/>
      <c r="J1058" s="227"/>
      <c r="K1058" s="227"/>
      <c r="L1058" s="227"/>
      <c r="M1058" s="890"/>
      <c r="N1058" s="228"/>
      <c r="O1058" s="228"/>
      <c r="P1058" s="227"/>
      <c r="Q1058" s="226"/>
      <c r="R1058" s="226"/>
      <c r="S1058" s="228"/>
      <c r="T1058" s="228"/>
      <c r="U1058" s="228"/>
    </row>
    <row r="1059" ht="13.5" customHeight="1" spans="1:21">
      <c r="A1059" s="226"/>
      <c r="B1059" s="869"/>
      <c r="C1059" s="226"/>
      <c r="D1059" s="227"/>
      <c r="E1059" s="227"/>
      <c r="F1059" s="226"/>
      <c r="G1059" s="226"/>
      <c r="H1059" s="227"/>
      <c r="I1059" s="227"/>
      <c r="J1059" s="227"/>
      <c r="K1059" s="227"/>
      <c r="L1059" s="227"/>
      <c r="M1059" s="890"/>
      <c r="N1059" s="228"/>
      <c r="O1059" s="228"/>
      <c r="P1059" s="227"/>
      <c r="Q1059" s="226"/>
      <c r="R1059" s="226"/>
      <c r="S1059" s="228"/>
      <c r="T1059" s="228"/>
      <c r="U1059" s="228"/>
    </row>
    <row r="1060" ht="13.5" customHeight="1" spans="1:21">
      <c r="A1060" s="226"/>
      <c r="B1060" s="869"/>
      <c r="C1060" s="226"/>
      <c r="D1060" s="227"/>
      <c r="E1060" s="227"/>
      <c r="F1060" s="226"/>
      <c r="G1060" s="226"/>
      <c r="H1060" s="227"/>
      <c r="I1060" s="227"/>
      <c r="J1060" s="227"/>
      <c r="K1060" s="227"/>
      <c r="L1060" s="227"/>
      <c r="M1060" s="890"/>
      <c r="N1060" s="228"/>
      <c r="O1060" s="228"/>
      <c r="P1060" s="227"/>
      <c r="Q1060" s="226"/>
      <c r="R1060" s="226"/>
      <c r="S1060" s="228"/>
      <c r="T1060" s="228"/>
      <c r="U1060" s="228"/>
    </row>
    <row r="1061" ht="13.5" customHeight="1" spans="1:21">
      <c r="A1061" s="226"/>
      <c r="B1061" s="869"/>
      <c r="C1061" s="226"/>
      <c r="D1061" s="227"/>
      <c r="E1061" s="227"/>
      <c r="F1061" s="226"/>
      <c r="G1061" s="226"/>
      <c r="H1061" s="227"/>
      <c r="I1061" s="227"/>
      <c r="J1061" s="227"/>
      <c r="K1061" s="227"/>
      <c r="L1061" s="227"/>
      <c r="M1061" s="890"/>
      <c r="N1061" s="228"/>
      <c r="O1061" s="228"/>
      <c r="P1061" s="227"/>
      <c r="Q1061" s="226"/>
      <c r="R1061" s="226"/>
      <c r="S1061" s="228"/>
      <c r="T1061" s="228"/>
      <c r="U1061" s="228"/>
    </row>
    <row r="1062" ht="13.5" customHeight="1" spans="1:21">
      <c r="A1062" s="226"/>
      <c r="B1062" s="869"/>
      <c r="C1062" s="226"/>
      <c r="D1062" s="227"/>
      <c r="E1062" s="227"/>
      <c r="F1062" s="226"/>
      <c r="G1062" s="226"/>
      <c r="H1062" s="227"/>
      <c r="I1062" s="227"/>
      <c r="J1062" s="227"/>
      <c r="K1062" s="227"/>
      <c r="L1062" s="227"/>
      <c r="M1062" s="890"/>
      <c r="N1062" s="228"/>
      <c r="O1062" s="228"/>
      <c r="P1062" s="227"/>
      <c r="Q1062" s="226"/>
      <c r="R1062" s="226"/>
      <c r="S1062" s="228"/>
      <c r="T1062" s="228"/>
      <c r="U1062" s="228"/>
    </row>
    <row r="1063" ht="13.5" customHeight="1" spans="1:21">
      <c r="A1063" s="226"/>
      <c r="B1063" s="869"/>
      <c r="C1063" s="226"/>
      <c r="D1063" s="227"/>
      <c r="E1063" s="227"/>
      <c r="F1063" s="226"/>
      <c r="G1063" s="226"/>
      <c r="H1063" s="227"/>
      <c r="I1063" s="227"/>
      <c r="J1063" s="227"/>
      <c r="K1063" s="227"/>
      <c r="L1063" s="227"/>
      <c r="M1063" s="890"/>
      <c r="N1063" s="228"/>
      <c r="O1063" s="228"/>
      <c r="P1063" s="227"/>
      <c r="Q1063" s="226"/>
      <c r="R1063" s="226"/>
      <c r="S1063" s="228"/>
      <c r="T1063" s="228"/>
      <c r="U1063" s="228"/>
    </row>
    <row r="1064" ht="13.5" customHeight="1" spans="1:21">
      <c r="A1064" s="226"/>
      <c r="B1064" s="869"/>
      <c r="C1064" s="226"/>
      <c r="D1064" s="227"/>
      <c r="E1064" s="227"/>
      <c r="F1064" s="226"/>
      <c r="G1064" s="226"/>
      <c r="H1064" s="227"/>
      <c r="I1064" s="227"/>
      <c r="J1064" s="227"/>
      <c r="K1064" s="227"/>
      <c r="L1064" s="227"/>
      <c r="M1064" s="890"/>
      <c r="N1064" s="228"/>
      <c r="O1064" s="228"/>
      <c r="P1064" s="227"/>
      <c r="Q1064" s="226"/>
      <c r="R1064" s="226"/>
      <c r="S1064" s="228"/>
      <c r="T1064" s="228"/>
      <c r="U1064" s="228"/>
    </row>
    <row r="1065" ht="13.5" customHeight="1" spans="1:21">
      <c r="A1065" s="226"/>
      <c r="B1065" s="869"/>
      <c r="C1065" s="226"/>
      <c r="D1065" s="227"/>
      <c r="E1065" s="227"/>
      <c r="F1065" s="226"/>
      <c r="G1065" s="226"/>
      <c r="H1065" s="227"/>
      <c r="I1065" s="227"/>
      <c r="J1065" s="227"/>
      <c r="K1065" s="227"/>
      <c r="L1065" s="227"/>
      <c r="M1065" s="890"/>
      <c r="N1065" s="228"/>
      <c r="O1065" s="228"/>
      <c r="P1065" s="227"/>
      <c r="Q1065" s="226"/>
      <c r="R1065" s="226"/>
      <c r="S1065" s="228"/>
      <c r="T1065" s="228"/>
      <c r="U1065" s="228"/>
    </row>
    <row r="1066" ht="13.5" customHeight="1" spans="1:21">
      <c r="A1066" s="226"/>
      <c r="B1066" s="869"/>
      <c r="C1066" s="226"/>
      <c r="D1066" s="227"/>
      <c r="E1066" s="227"/>
      <c r="F1066" s="226"/>
      <c r="G1066" s="226"/>
      <c r="H1066" s="227"/>
      <c r="I1066" s="227"/>
      <c r="J1066" s="227"/>
      <c r="K1066" s="227"/>
      <c r="L1066" s="227"/>
      <c r="M1066" s="890"/>
      <c r="N1066" s="228"/>
      <c r="O1066" s="228"/>
      <c r="P1066" s="227"/>
      <c r="Q1066" s="226"/>
      <c r="R1066" s="226"/>
      <c r="S1066" s="228"/>
      <c r="T1066" s="228"/>
      <c r="U1066" s="228"/>
    </row>
    <row r="1067" ht="13.5" customHeight="1" spans="1:21">
      <c r="A1067" s="226"/>
      <c r="B1067" s="869"/>
      <c r="C1067" s="226"/>
      <c r="D1067" s="227"/>
      <c r="E1067" s="227"/>
      <c r="F1067" s="226"/>
      <c r="G1067" s="226"/>
      <c r="H1067" s="227"/>
      <c r="I1067" s="227"/>
      <c r="J1067" s="227"/>
      <c r="K1067" s="227"/>
      <c r="L1067" s="227"/>
      <c r="M1067" s="890"/>
      <c r="N1067" s="228"/>
      <c r="O1067" s="228"/>
      <c r="P1067" s="227"/>
      <c r="Q1067" s="226"/>
      <c r="R1067" s="226"/>
      <c r="S1067" s="228"/>
      <c r="T1067" s="228"/>
      <c r="U1067" s="228"/>
    </row>
    <row r="1068" ht="13.5" customHeight="1" spans="1:21">
      <c r="A1068" s="226"/>
      <c r="B1068" s="869"/>
      <c r="C1068" s="226"/>
      <c r="D1068" s="227"/>
      <c r="E1068" s="227"/>
      <c r="F1068" s="226"/>
      <c r="G1068" s="226"/>
      <c r="H1068" s="227"/>
      <c r="I1068" s="227"/>
      <c r="J1068" s="227"/>
      <c r="K1068" s="227"/>
      <c r="L1068" s="227"/>
      <c r="M1068" s="890"/>
      <c r="N1068" s="228"/>
      <c r="O1068" s="228"/>
      <c r="P1068" s="227"/>
      <c r="Q1068" s="226"/>
      <c r="R1068" s="226"/>
      <c r="S1068" s="228"/>
      <c r="T1068" s="228"/>
      <c r="U1068" s="228"/>
    </row>
    <row r="1069" ht="13.5" customHeight="1" spans="1:21">
      <c r="A1069" s="226"/>
      <c r="B1069" s="869"/>
      <c r="C1069" s="226"/>
      <c r="D1069" s="227"/>
      <c r="E1069" s="227"/>
      <c r="F1069" s="226"/>
      <c r="G1069" s="226"/>
      <c r="H1069" s="227"/>
      <c r="I1069" s="227"/>
      <c r="J1069" s="227"/>
      <c r="K1069" s="227"/>
      <c r="L1069" s="227"/>
      <c r="M1069" s="890"/>
      <c r="N1069" s="228"/>
      <c r="O1069" s="228"/>
      <c r="P1069" s="227"/>
      <c r="Q1069" s="226"/>
      <c r="R1069" s="226"/>
      <c r="S1069" s="228"/>
      <c r="T1069" s="228"/>
      <c r="U1069" s="228"/>
    </row>
    <row r="1070" ht="13.5" customHeight="1" spans="1:21">
      <c r="A1070" s="226"/>
      <c r="B1070" s="869"/>
      <c r="C1070" s="226"/>
      <c r="D1070" s="227"/>
      <c r="E1070" s="227"/>
      <c r="F1070" s="226"/>
      <c r="G1070" s="226"/>
      <c r="H1070" s="227"/>
      <c r="I1070" s="227"/>
      <c r="J1070" s="227"/>
      <c r="K1070" s="227"/>
      <c r="L1070" s="227"/>
      <c r="M1070" s="890"/>
      <c r="N1070" s="228"/>
      <c r="O1070" s="228"/>
      <c r="P1070" s="227"/>
      <c r="Q1070" s="226"/>
      <c r="R1070" s="226"/>
      <c r="S1070" s="228"/>
      <c r="T1070" s="228"/>
      <c r="U1070" s="228"/>
    </row>
    <row r="1071" ht="13.5" customHeight="1" spans="1:21">
      <c r="A1071" s="226"/>
      <c r="B1071" s="869"/>
      <c r="C1071" s="226"/>
      <c r="D1071" s="227"/>
      <c r="E1071" s="227"/>
      <c r="F1071" s="226"/>
      <c r="G1071" s="226"/>
      <c r="H1071" s="227"/>
      <c r="I1071" s="227"/>
      <c r="J1071" s="227"/>
      <c r="K1071" s="227"/>
      <c r="L1071" s="227"/>
      <c r="M1071" s="890"/>
      <c r="N1071" s="228"/>
      <c r="O1071" s="228"/>
      <c r="P1071" s="227"/>
      <c r="Q1071" s="226"/>
      <c r="R1071" s="226"/>
      <c r="S1071" s="228"/>
      <c r="T1071" s="228"/>
      <c r="U1071" s="228"/>
    </row>
    <row r="1072" ht="13.5" customHeight="1" spans="1:21">
      <c r="A1072" s="226"/>
      <c r="B1072" s="869"/>
      <c r="C1072" s="226"/>
      <c r="D1072" s="227"/>
      <c r="E1072" s="227"/>
      <c r="F1072" s="226"/>
      <c r="G1072" s="226"/>
      <c r="H1072" s="227"/>
      <c r="I1072" s="227"/>
      <c r="J1072" s="227"/>
      <c r="K1072" s="227"/>
      <c r="L1072" s="227"/>
      <c r="M1072" s="890"/>
      <c r="N1072" s="228"/>
      <c r="O1072" s="228"/>
      <c r="P1072" s="227"/>
      <c r="Q1072" s="226"/>
      <c r="R1072" s="226"/>
      <c r="S1072" s="228"/>
      <c r="T1072" s="228"/>
      <c r="U1072" s="228"/>
    </row>
    <row r="1073" ht="13.5" customHeight="1" spans="1:21">
      <c r="A1073" s="226"/>
      <c r="B1073" s="869"/>
      <c r="C1073" s="226"/>
      <c r="D1073" s="227"/>
      <c r="E1073" s="227"/>
      <c r="F1073" s="226"/>
      <c r="G1073" s="226"/>
      <c r="H1073" s="227"/>
      <c r="I1073" s="227"/>
      <c r="J1073" s="227"/>
      <c r="K1073" s="227"/>
      <c r="L1073" s="227"/>
      <c r="M1073" s="890"/>
      <c r="N1073" s="228"/>
      <c r="O1073" s="228"/>
      <c r="P1073" s="227"/>
      <c r="Q1073" s="226"/>
      <c r="R1073" s="226"/>
      <c r="S1073" s="228"/>
      <c r="T1073" s="228"/>
      <c r="U1073" s="228"/>
    </row>
    <row r="1074" ht="13.5" customHeight="1" spans="1:21">
      <c r="A1074" s="226"/>
      <c r="B1074" s="869"/>
      <c r="C1074" s="226"/>
      <c r="D1074" s="227"/>
      <c r="E1074" s="227"/>
      <c r="F1074" s="226"/>
      <c r="G1074" s="226"/>
      <c r="H1074" s="227"/>
      <c r="I1074" s="227"/>
      <c r="J1074" s="227"/>
      <c r="K1074" s="227"/>
      <c r="L1074" s="227"/>
      <c r="M1074" s="890"/>
      <c r="N1074" s="228"/>
      <c r="O1074" s="228"/>
      <c r="P1074" s="227"/>
      <c r="Q1074" s="226"/>
      <c r="R1074" s="226"/>
      <c r="S1074" s="228"/>
      <c r="T1074" s="228"/>
      <c r="U1074" s="228"/>
    </row>
    <row r="1075" ht="13.5" customHeight="1" spans="1:21">
      <c r="A1075" s="226"/>
      <c r="B1075" s="869"/>
      <c r="C1075" s="226"/>
      <c r="D1075" s="227"/>
      <c r="E1075" s="227"/>
      <c r="F1075" s="226"/>
      <c r="G1075" s="226"/>
      <c r="H1075" s="227"/>
      <c r="I1075" s="227"/>
      <c r="J1075" s="227"/>
      <c r="K1075" s="227"/>
      <c r="L1075" s="227"/>
      <c r="M1075" s="890"/>
      <c r="N1075" s="228"/>
      <c r="O1075" s="228"/>
      <c r="P1075" s="227"/>
      <c r="Q1075" s="226"/>
      <c r="R1075" s="226"/>
      <c r="S1075" s="228"/>
      <c r="T1075" s="228"/>
      <c r="U1075" s="228"/>
    </row>
    <row r="1076" ht="13.5" customHeight="1" spans="1:21">
      <c r="A1076" s="226"/>
      <c r="B1076" s="869"/>
      <c r="C1076" s="226"/>
      <c r="D1076" s="227"/>
      <c r="E1076" s="227"/>
      <c r="F1076" s="226"/>
      <c r="G1076" s="226"/>
      <c r="H1076" s="227"/>
      <c r="I1076" s="227"/>
      <c r="J1076" s="227"/>
      <c r="K1076" s="227"/>
      <c r="L1076" s="227"/>
      <c r="M1076" s="890"/>
      <c r="N1076" s="228"/>
      <c r="O1076" s="228"/>
      <c r="P1076" s="227"/>
      <c r="Q1076" s="226"/>
      <c r="R1076" s="226"/>
      <c r="S1076" s="228"/>
      <c r="T1076" s="228"/>
      <c r="U1076" s="228"/>
    </row>
    <row r="1077" ht="13.5" customHeight="1" spans="1:21">
      <c r="A1077" s="226"/>
      <c r="B1077" s="869"/>
      <c r="C1077" s="226"/>
      <c r="D1077" s="227"/>
      <c r="E1077" s="227"/>
      <c r="F1077" s="226"/>
      <c r="G1077" s="226"/>
      <c r="H1077" s="227"/>
      <c r="I1077" s="227"/>
      <c r="J1077" s="227"/>
      <c r="K1077" s="227"/>
      <c r="L1077" s="227"/>
      <c r="M1077" s="890"/>
      <c r="N1077" s="228"/>
      <c r="O1077" s="228"/>
      <c r="P1077" s="227"/>
      <c r="Q1077" s="226"/>
      <c r="R1077" s="226"/>
      <c r="S1077" s="228"/>
      <c r="T1077" s="228"/>
      <c r="U1077" s="228"/>
    </row>
    <row r="1078" ht="13.5" customHeight="1" spans="1:21">
      <c r="A1078" s="226"/>
      <c r="B1078" s="869"/>
      <c r="C1078" s="226"/>
      <c r="D1078" s="227"/>
      <c r="E1078" s="227"/>
      <c r="F1078" s="226"/>
      <c r="G1078" s="226"/>
      <c r="H1078" s="227"/>
      <c r="I1078" s="227"/>
      <c r="J1078" s="227"/>
      <c r="K1078" s="227"/>
      <c r="L1078" s="227"/>
      <c r="M1078" s="890"/>
      <c r="N1078" s="228"/>
      <c r="O1078" s="228"/>
      <c r="P1078" s="227"/>
      <c r="Q1078" s="226"/>
      <c r="R1078" s="226"/>
      <c r="S1078" s="228"/>
      <c r="T1078" s="228"/>
      <c r="U1078" s="228"/>
    </row>
    <row r="1079" ht="13.5" customHeight="1" spans="1:21">
      <c r="A1079" s="226"/>
      <c r="B1079" s="869"/>
      <c r="C1079" s="226"/>
      <c r="D1079" s="227"/>
      <c r="E1079" s="227"/>
      <c r="F1079" s="226"/>
      <c r="G1079" s="226"/>
      <c r="H1079" s="227"/>
      <c r="I1079" s="227"/>
      <c r="J1079" s="227"/>
      <c r="K1079" s="227"/>
      <c r="L1079" s="227"/>
      <c r="M1079" s="890"/>
      <c r="N1079" s="228"/>
      <c r="O1079" s="228"/>
      <c r="P1079" s="227"/>
      <c r="Q1079" s="226"/>
      <c r="R1079" s="226"/>
      <c r="S1079" s="228"/>
      <c r="T1079" s="228"/>
      <c r="U1079" s="228"/>
    </row>
    <row r="1080" ht="13.5" customHeight="1" spans="1:21">
      <c r="A1080" s="226"/>
      <c r="B1080" s="869"/>
      <c r="C1080" s="226"/>
      <c r="D1080" s="227"/>
      <c r="E1080" s="227"/>
      <c r="F1080" s="226"/>
      <c r="G1080" s="226"/>
      <c r="H1080" s="227"/>
      <c r="I1080" s="227"/>
      <c r="J1080" s="227"/>
      <c r="K1080" s="227"/>
      <c r="L1080" s="227"/>
      <c r="M1080" s="890"/>
      <c r="N1080" s="228"/>
      <c r="O1080" s="228"/>
      <c r="P1080" s="227"/>
      <c r="Q1080" s="226"/>
      <c r="R1080" s="226"/>
      <c r="S1080" s="228"/>
      <c r="T1080" s="228"/>
      <c r="U1080" s="228"/>
    </row>
    <row r="1081" ht="13.5" customHeight="1" spans="1:21">
      <c r="A1081" s="226"/>
      <c r="B1081" s="869"/>
      <c r="C1081" s="226"/>
      <c r="D1081" s="227"/>
      <c r="E1081" s="227"/>
      <c r="F1081" s="226"/>
      <c r="G1081" s="226"/>
      <c r="H1081" s="227"/>
      <c r="I1081" s="227"/>
      <c r="J1081" s="227"/>
      <c r="K1081" s="227"/>
      <c r="L1081" s="227"/>
      <c r="M1081" s="890"/>
      <c r="N1081" s="228"/>
      <c r="O1081" s="228"/>
      <c r="P1081" s="227"/>
      <c r="Q1081" s="226"/>
      <c r="R1081" s="226"/>
      <c r="S1081" s="228"/>
      <c r="T1081" s="228"/>
      <c r="U1081" s="228"/>
    </row>
    <row r="1082" ht="13.5" customHeight="1" spans="1:21">
      <c r="A1082" s="226"/>
      <c r="B1082" s="869"/>
      <c r="C1082" s="226"/>
      <c r="D1082" s="227"/>
      <c r="E1082" s="227"/>
      <c r="F1082" s="226"/>
      <c r="G1082" s="226"/>
      <c r="H1082" s="227"/>
      <c r="I1082" s="227"/>
      <c r="J1082" s="227"/>
      <c r="K1082" s="227"/>
      <c r="L1082" s="227"/>
      <c r="M1082" s="890"/>
      <c r="N1082" s="228"/>
      <c r="O1082" s="228"/>
      <c r="P1082" s="227"/>
      <c r="Q1082" s="226"/>
      <c r="R1082" s="226"/>
      <c r="S1082" s="228"/>
      <c r="T1082" s="228"/>
      <c r="U1082" s="228"/>
    </row>
    <row r="1083" ht="13.5" customHeight="1" spans="1:21">
      <c r="A1083" s="226"/>
      <c r="B1083" s="869"/>
      <c r="C1083" s="226"/>
      <c r="D1083" s="227"/>
      <c r="E1083" s="227"/>
      <c r="F1083" s="226"/>
      <c r="G1083" s="226"/>
      <c r="H1083" s="227"/>
      <c r="I1083" s="227"/>
      <c r="J1083" s="227"/>
      <c r="K1083" s="227"/>
      <c r="L1083" s="227"/>
      <c r="M1083" s="890"/>
      <c r="N1083" s="228"/>
      <c r="O1083" s="228"/>
      <c r="P1083" s="227"/>
      <c r="Q1083" s="226"/>
      <c r="R1083" s="226"/>
      <c r="S1083" s="228"/>
      <c r="T1083" s="228"/>
      <c r="U1083" s="228"/>
    </row>
    <row r="1084" ht="13.5" customHeight="1" spans="1:21">
      <c r="A1084" s="226"/>
      <c r="B1084" s="869"/>
      <c r="C1084" s="226"/>
      <c r="D1084" s="227"/>
      <c r="E1084" s="227"/>
      <c r="F1084" s="226"/>
      <c r="G1084" s="226"/>
      <c r="H1084" s="227"/>
      <c r="I1084" s="227"/>
      <c r="J1084" s="227"/>
      <c r="K1084" s="227"/>
      <c r="L1084" s="227"/>
      <c r="M1084" s="890"/>
      <c r="N1084" s="228"/>
      <c r="O1084" s="228"/>
      <c r="P1084" s="227"/>
      <c r="Q1084" s="226"/>
      <c r="R1084" s="226"/>
      <c r="S1084" s="228"/>
      <c r="T1084" s="228"/>
      <c r="U1084" s="228"/>
    </row>
    <row r="1085" ht="13.5" customHeight="1" spans="1:21">
      <c r="A1085" s="226"/>
      <c r="B1085" s="869"/>
      <c r="C1085" s="226"/>
      <c r="D1085" s="227"/>
      <c r="E1085" s="227"/>
      <c r="F1085" s="226"/>
      <c r="G1085" s="226"/>
      <c r="H1085" s="227"/>
      <c r="I1085" s="227"/>
      <c r="J1085" s="227"/>
      <c r="K1085" s="227"/>
      <c r="L1085" s="227"/>
      <c r="M1085" s="890"/>
      <c r="N1085" s="228"/>
      <c r="O1085" s="228"/>
      <c r="P1085" s="227"/>
      <c r="Q1085" s="226"/>
      <c r="R1085" s="226"/>
      <c r="S1085" s="228"/>
      <c r="T1085" s="228"/>
      <c r="U1085" s="228"/>
    </row>
    <row r="1086" ht="13.5" customHeight="1" spans="1:21">
      <c r="A1086" s="226"/>
      <c r="B1086" s="869"/>
      <c r="C1086" s="226"/>
      <c r="D1086" s="227"/>
      <c r="E1086" s="227"/>
      <c r="F1086" s="226"/>
      <c r="G1086" s="226"/>
      <c r="H1086" s="227"/>
      <c r="I1086" s="227"/>
      <c r="J1086" s="227"/>
      <c r="K1086" s="227"/>
      <c r="L1086" s="227"/>
      <c r="M1086" s="890"/>
      <c r="N1086" s="228"/>
      <c r="O1086" s="228"/>
      <c r="P1086" s="227"/>
      <c r="Q1086" s="226"/>
      <c r="R1086" s="226"/>
      <c r="S1086" s="228"/>
      <c r="T1086" s="228"/>
      <c r="U1086" s="228"/>
    </row>
    <row r="1087" ht="13.5" customHeight="1" spans="1:21">
      <c r="A1087" s="226"/>
      <c r="B1087" s="869"/>
      <c r="C1087" s="226"/>
      <c r="D1087" s="227"/>
      <c r="E1087" s="227"/>
      <c r="F1087" s="226"/>
      <c r="G1087" s="226"/>
      <c r="H1087" s="227"/>
      <c r="I1087" s="227"/>
      <c r="J1087" s="227"/>
      <c r="K1087" s="227"/>
      <c r="L1087" s="227"/>
      <c r="M1087" s="890"/>
      <c r="N1087" s="228"/>
      <c r="O1087" s="228"/>
      <c r="P1087" s="227"/>
      <c r="Q1087" s="226"/>
      <c r="R1087" s="226"/>
      <c r="S1087" s="228"/>
      <c r="T1087" s="228"/>
      <c r="U1087" s="228"/>
    </row>
    <row r="1088" ht="13.5" customHeight="1" spans="1:21">
      <c r="A1088" s="226"/>
      <c r="B1088" s="869"/>
      <c r="C1088" s="226"/>
      <c r="D1088" s="227"/>
      <c r="E1088" s="227"/>
      <c r="F1088" s="226"/>
      <c r="G1088" s="226"/>
      <c r="H1088" s="227"/>
      <c r="I1088" s="227"/>
      <c r="J1088" s="227"/>
      <c r="K1088" s="227"/>
      <c r="L1088" s="227"/>
      <c r="M1088" s="890"/>
      <c r="N1088" s="228"/>
      <c r="O1088" s="228"/>
      <c r="P1088" s="227"/>
      <c r="Q1088" s="226"/>
      <c r="R1088" s="226"/>
      <c r="S1088" s="228"/>
      <c r="T1088" s="228"/>
      <c r="U1088" s="228"/>
    </row>
    <row r="1089" ht="13.5" customHeight="1" spans="1:21">
      <c r="A1089" s="226"/>
      <c r="B1089" s="869"/>
      <c r="C1089" s="226"/>
      <c r="D1089" s="227"/>
      <c r="E1089" s="227"/>
      <c r="F1089" s="226"/>
      <c r="G1089" s="226"/>
      <c r="H1089" s="227"/>
      <c r="I1089" s="227"/>
      <c r="J1089" s="227"/>
      <c r="K1089" s="227"/>
      <c r="L1089" s="227"/>
      <c r="M1089" s="890"/>
      <c r="N1089" s="228"/>
      <c r="O1089" s="228"/>
      <c r="P1089" s="227"/>
      <c r="Q1089" s="226"/>
      <c r="R1089" s="226"/>
      <c r="S1089" s="228"/>
      <c r="T1089" s="228"/>
      <c r="U1089" s="228"/>
    </row>
    <row r="1090" ht="13.5" customHeight="1" spans="1:21">
      <c r="A1090" s="226"/>
      <c r="B1090" s="869"/>
      <c r="C1090" s="226"/>
      <c r="D1090" s="227"/>
      <c r="E1090" s="227"/>
      <c r="F1090" s="226"/>
      <c r="G1090" s="226"/>
      <c r="H1090" s="227"/>
      <c r="I1090" s="227"/>
      <c r="J1090" s="227"/>
      <c r="K1090" s="227"/>
      <c r="L1090" s="227"/>
      <c r="M1090" s="890"/>
      <c r="N1090" s="228"/>
      <c r="O1090" s="228"/>
      <c r="P1090" s="227"/>
      <c r="Q1090" s="226"/>
      <c r="R1090" s="226"/>
      <c r="S1090" s="228"/>
      <c r="T1090" s="228"/>
      <c r="U1090" s="228"/>
    </row>
    <row r="1091" ht="13.5" customHeight="1" spans="1:21">
      <c r="A1091" s="226"/>
      <c r="B1091" s="869"/>
      <c r="C1091" s="226"/>
      <c r="D1091" s="227"/>
      <c r="E1091" s="227"/>
      <c r="F1091" s="226"/>
      <c r="G1091" s="226"/>
      <c r="H1091" s="227"/>
      <c r="I1091" s="227"/>
      <c r="J1091" s="227"/>
      <c r="K1091" s="227"/>
      <c r="L1091" s="227"/>
      <c r="M1091" s="890"/>
      <c r="N1091" s="228"/>
      <c r="O1091" s="228"/>
      <c r="P1091" s="227"/>
      <c r="Q1091" s="226"/>
      <c r="R1091" s="226"/>
      <c r="S1091" s="228"/>
      <c r="T1091" s="228"/>
      <c r="U1091" s="228"/>
    </row>
    <row r="1092" ht="13.5" customHeight="1" spans="1:21">
      <c r="A1092" s="226"/>
      <c r="B1092" s="869"/>
      <c r="C1092" s="226"/>
      <c r="D1092" s="227"/>
      <c r="E1092" s="227"/>
      <c r="F1092" s="226"/>
      <c r="G1092" s="226"/>
      <c r="H1092" s="227"/>
      <c r="I1092" s="227"/>
      <c r="J1092" s="227"/>
      <c r="K1092" s="227"/>
      <c r="L1092" s="227"/>
      <c r="M1092" s="890"/>
      <c r="N1092" s="228"/>
      <c r="O1092" s="228"/>
      <c r="P1092" s="227"/>
      <c r="Q1092" s="226"/>
      <c r="R1092" s="226"/>
      <c r="S1092" s="228"/>
      <c r="T1092" s="228"/>
      <c r="U1092" s="228"/>
    </row>
    <row r="1093" ht="13.5" customHeight="1" spans="1:21">
      <c r="A1093" s="226"/>
      <c r="B1093" s="869"/>
      <c r="C1093" s="226"/>
      <c r="D1093" s="227"/>
      <c r="E1093" s="227"/>
      <c r="F1093" s="226"/>
      <c r="G1093" s="226"/>
      <c r="H1093" s="227"/>
      <c r="I1093" s="227"/>
      <c r="J1093" s="227"/>
      <c r="K1093" s="227"/>
      <c r="L1093" s="227"/>
      <c r="M1093" s="890"/>
      <c r="N1093" s="228"/>
      <c r="O1093" s="228"/>
      <c r="P1093" s="227"/>
      <c r="Q1093" s="226"/>
      <c r="R1093" s="226"/>
      <c r="S1093" s="228"/>
      <c r="T1093" s="228"/>
      <c r="U1093" s="228"/>
    </row>
    <row r="1094" ht="13.5" customHeight="1" spans="1:21">
      <c r="A1094" s="226"/>
      <c r="B1094" s="869"/>
      <c r="C1094" s="226"/>
      <c r="D1094" s="227"/>
      <c r="E1094" s="227"/>
      <c r="F1094" s="226"/>
      <c r="G1094" s="226"/>
      <c r="H1094" s="227"/>
      <c r="I1094" s="227"/>
      <c r="J1094" s="227"/>
      <c r="K1094" s="227"/>
      <c r="L1094" s="227"/>
      <c r="M1094" s="890"/>
      <c r="N1094" s="228"/>
      <c r="O1094" s="228"/>
      <c r="P1094" s="227"/>
      <c r="Q1094" s="226"/>
      <c r="R1094" s="226"/>
      <c r="S1094" s="228"/>
      <c r="T1094" s="228"/>
      <c r="U1094" s="228"/>
    </row>
    <row r="1095" ht="13.5" customHeight="1" spans="1:21">
      <c r="A1095" s="226"/>
      <c r="B1095" s="869"/>
      <c r="C1095" s="226"/>
      <c r="D1095" s="227"/>
      <c r="E1095" s="227"/>
      <c r="F1095" s="226"/>
      <c r="G1095" s="226"/>
      <c r="H1095" s="227"/>
      <c r="I1095" s="227"/>
      <c r="J1095" s="227"/>
      <c r="K1095" s="227"/>
      <c r="L1095" s="227"/>
      <c r="M1095" s="890"/>
      <c r="N1095" s="228"/>
      <c r="O1095" s="228"/>
      <c r="P1095" s="227"/>
      <c r="Q1095" s="226"/>
      <c r="R1095" s="226"/>
      <c r="S1095" s="228"/>
      <c r="T1095" s="228"/>
      <c r="U1095" s="228"/>
    </row>
    <row r="1096" ht="13.5" customHeight="1" spans="1:21">
      <c r="A1096" s="226"/>
      <c r="B1096" s="869"/>
      <c r="C1096" s="226"/>
      <c r="D1096" s="227"/>
      <c r="E1096" s="227"/>
      <c r="F1096" s="226"/>
      <c r="G1096" s="226"/>
      <c r="H1096" s="227"/>
      <c r="I1096" s="227"/>
      <c r="J1096" s="227"/>
      <c r="K1096" s="227"/>
      <c r="L1096" s="227"/>
      <c r="M1096" s="890"/>
      <c r="N1096" s="228"/>
      <c r="O1096" s="228"/>
      <c r="P1096" s="227"/>
      <c r="Q1096" s="226"/>
      <c r="R1096" s="226"/>
      <c r="S1096" s="228"/>
      <c r="T1096" s="228"/>
      <c r="U1096" s="228"/>
    </row>
    <row r="1097" ht="13.5" customHeight="1" spans="1:21">
      <c r="A1097" s="226"/>
      <c r="B1097" s="869"/>
      <c r="C1097" s="226"/>
      <c r="D1097" s="227"/>
      <c r="E1097" s="227"/>
      <c r="F1097" s="226"/>
      <c r="G1097" s="226"/>
      <c r="H1097" s="227"/>
      <c r="I1097" s="227"/>
      <c r="J1097" s="227"/>
      <c r="K1097" s="227"/>
      <c r="L1097" s="227"/>
      <c r="M1097" s="890"/>
      <c r="N1097" s="228"/>
      <c r="O1097" s="228"/>
      <c r="P1097" s="227"/>
      <c r="Q1097" s="226"/>
      <c r="R1097" s="226"/>
      <c r="S1097" s="228"/>
      <c r="T1097" s="228"/>
      <c r="U1097" s="228"/>
    </row>
    <row r="1098" ht="13.5" customHeight="1" spans="1:21">
      <c r="A1098" s="226"/>
      <c r="B1098" s="869"/>
      <c r="C1098" s="226"/>
      <c r="D1098" s="227"/>
      <c r="E1098" s="227"/>
      <c r="F1098" s="226"/>
      <c r="G1098" s="226"/>
      <c r="H1098" s="227"/>
      <c r="I1098" s="227"/>
      <c r="J1098" s="227"/>
      <c r="K1098" s="227"/>
      <c r="L1098" s="227"/>
      <c r="M1098" s="890"/>
      <c r="N1098" s="228"/>
      <c r="O1098" s="228"/>
      <c r="P1098" s="227"/>
      <c r="Q1098" s="226"/>
      <c r="R1098" s="226"/>
      <c r="S1098" s="228"/>
      <c r="T1098" s="228"/>
      <c r="U1098" s="228"/>
    </row>
    <row r="1099" ht="13.5" customHeight="1" spans="1:21">
      <c r="A1099" s="226"/>
      <c r="B1099" s="869"/>
      <c r="C1099" s="226"/>
      <c r="D1099" s="227"/>
      <c r="E1099" s="227"/>
      <c r="F1099" s="226"/>
      <c r="G1099" s="226"/>
      <c r="H1099" s="227"/>
      <c r="I1099" s="227"/>
      <c r="J1099" s="227"/>
      <c r="K1099" s="227"/>
      <c r="L1099" s="227"/>
      <c r="M1099" s="890"/>
      <c r="N1099" s="228"/>
      <c r="O1099" s="228"/>
      <c r="P1099" s="227"/>
      <c r="Q1099" s="226"/>
      <c r="R1099" s="226"/>
      <c r="S1099" s="228"/>
      <c r="T1099" s="228"/>
      <c r="U1099" s="228"/>
    </row>
    <row r="1100" ht="13.5" customHeight="1" spans="1:21">
      <c r="A1100" s="226"/>
      <c r="B1100" s="869"/>
      <c r="C1100" s="226"/>
      <c r="D1100" s="227"/>
      <c r="E1100" s="227"/>
      <c r="F1100" s="226"/>
      <c r="G1100" s="226"/>
      <c r="H1100" s="227"/>
      <c r="I1100" s="227"/>
      <c r="J1100" s="227"/>
      <c r="K1100" s="227"/>
      <c r="L1100" s="227"/>
      <c r="M1100" s="890"/>
      <c r="N1100" s="228"/>
      <c r="O1100" s="228"/>
      <c r="P1100" s="227"/>
      <c r="Q1100" s="226"/>
      <c r="R1100" s="226"/>
      <c r="S1100" s="228"/>
      <c r="T1100" s="228"/>
      <c r="U1100" s="228"/>
    </row>
    <row r="1101" ht="13.5" customHeight="1" spans="1:21">
      <c r="A1101" s="226"/>
      <c r="B1101" s="869"/>
      <c r="C1101" s="226"/>
      <c r="D1101" s="227"/>
      <c r="E1101" s="227"/>
      <c r="F1101" s="226"/>
      <c r="G1101" s="226"/>
      <c r="H1101" s="227"/>
      <c r="I1101" s="227"/>
      <c r="J1101" s="227"/>
      <c r="K1101" s="227"/>
      <c r="L1101" s="227"/>
      <c r="M1101" s="890"/>
      <c r="N1101" s="228"/>
      <c r="O1101" s="228"/>
      <c r="P1101" s="227"/>
      <c r="Q1101" s="226"/>
      <c r="R1101" s="226"/>
      <c r="S1101" s="228"/>
      <c r="T1101" s="228"/>
      <c r="U1101" s="228"/>
    </row>
    <row r="1102" ht="13.5" customHeight="1" spans="1:21">
      <c r="A1102" s="226"/>
      <c r="B1102" s="869"/>
      <c r="C1102" s="226"/>
      <c r="D1102" s="227"/>
      <c r="E1102" s="227"/>
      <c r="F1102" s="226"/>
      <c r="G1102" s="226"/>
      <c r="H1102" s="227"/>
      <c r="I1102" s="227"/>
      <c r="J1102" s="227"/>
      <c r="K1102" s="227"/>
      <c r="L1102" s="227"/>
      <c r="M1102" s="890"/>
      <c r="N1102" s="228"/>
      <c r="O1102" s="228"/>
      <c r="P1102" s="227"/>
      <c r="Q1102" s="226"/>
      <c r="R1102" s="226"/>
      <c r="S1102" s="228"/>
      <c r="T1102" s="228"/>
      <c r="U1102" s="228"/>
    </row>
    <row r="1103" ht="13.5" customHeight="1" spans="1:21">
      <c r="A1103" s="226"/>
      <c r="B1103" s="869"/>
      <c r="C1103" s="226"/>
      <c r="D1103" s="227"/>
      <c r="E1103" s="227"/>
      <c r="F1103" s="226"/>
      <c r="G1103" s="226"/>
      <c r="H1103" s="227"/>
      <c r="I1103" s="227"/>
      <c r="J1103" s="227"/>
      <c r="K1103" s="227"/>
      <c r="L1103" s="227"/>
      <c r="M1103" s="890"/>
      <c r="N1103" s="228"/>
      <c r="O1103" s="228"/>
      <c r="P1103" s="227"/>
      <c r="Q1103" s="226"/>
      <c r="R1103" s="226"/>
      <c r="S1103" s="228"/>
      <c r="T1103" s="228"/>
      <c r="U1103" s="228"/>
    </row>
    <row r="1104" ht="13.5" customHeight="1" spans="1:21">
      <c r="A1104" s="226"/>
      <c r="B1104" s="869"/>
      <c r="C1104" s="226"/>
      <c r="D1104" s="227"/>
      <c r="E1104" s="227"/>
      <c r="F1104" s="226"/>
      <c r="G1104" s="226"/>
      <c r="H1104" s="227"/>
      <c r="I1104" s="227"/>
      <c r="J1104" s="227"/>
      <c r="K1104" s="227"/>
      <c r="L1104" s="227"/>
      <c r="M1104" s="890"/>
      <c r="N1104" s="228"/>
      <c r="O1104" s="228"/>
      <c r="P1104" s="227"/>
      <c r="Q1104" s="226"/>
      <c r="R1104" s="226"/>
      <c r="S1104" s="228"/>
      <c r="T1104" s="228"/>
      <c r="U1104" s="228"/>
    </row>
    <row r="1105" ht="13.5" customHeight="1" spans="1:21">
      <c r="A1105" s="226"/>
      <c r="B1105" s="869"/>
      <c r="C1105" s="226"/>
      <c r="D1105" s="227"/>
      <c r="E1105" s="227"/>
      <c r="F1105" s="226"/>
      <c r="G1105" s="226"/>
      <c r="H1105" s="227"/>
      <c r="I1105" s="227"/>
      <c r="J1105" s="227"/>
      <c r="K1105" s="227"/>
      <c r="L1105" s="227"/>
      <c r="M1105" s="890"/>
      <c r="N1105" s="228"/>
      <c r="O1105" s="228"/>
      <c r="P1105" s="227"/>
      <c r="Q1105" s="226"/>
      <c r="R1105" s="226"/>
      <c r="S1105" s="228"/>
      <c r="T1105" s="228"/>
      <c r="U1105" s="228"/>
    </row>
    <row r="1106" ht="13.5" customHeight="1" spans="1:21">
      <c r="A1106" s="226"/>
      <c r="B1106" s="869"/>
      <c r="C1106" s="226"/>
      <c r="D1106" s="227"/>
      <c r="E1106" s="227"/>
      <c r="F1106" s="226"/>
      <c r="G1106" s="226"/>
      <c r="H1106" s="227"/>
      <c r="I1106" s="227"/>
      <c r="J1106" s="227"/>
      <c r="K1106" s="227"/>
      <c r="L1106" s="227"/>
      <c r="M1106" s="890"/>
      <c r="N1106" s="228"/>
      <c r="O1106" s="228"/>
      <c r="P1106" s="227"/>
      <c r="Q1106" s="226"/>
      <c r="R1106" s="226"/>
      <c r="S1106" s="228"/>
      <c r="T1106" s="228"/>
      <c r="U1106" s="228"/>
    </row>
    <row r="1107" ht="13.5" customHeight="1" spans="1:21">
      <c r="A1107" s="226"/>
      <c r="B1107" s="869"/>
      <c r="C1107" s="226"/>
      <c r="D1107" s="227"/>
      <c r="E1107" s="227"/>
      <c r="F1107" s="226"/>
      <c r="G1107" s="226"/>
      <c r="H1107" s="227"/>
      <c r="I1107" s="227"/>
      <c r="J1107" s="227"/>
      <c r="K1107" s="227"/>
      <c r="L1107" s="227"/>
      <c r="M1107" s="890"/>
      <c r="N1107" s="228"/>
      <c r="O1107" s="228"/>
      <c r="P1107" s="227"/>
      <c r="Q1107" s="226"/>
      <c r="R1107" s="226"/>
      <c r="S1107" s="228"/>
      <c r="T1107" s="228"/>
      <c r="U1107" s="228"/>
    </row>
    <row r="1108" ht="13.5" customHeight="1" spans="1:21">
      <c r="A1108" s="226"/>
      <c r="B1108" s="869"/>
      <c r="C1108" s="226"/>
      <c r="D1108" s="227"/>
      <c r="E1108" s="227"/>
      <c r="F1108" s="226"/>
      <c r="G1108" s="226"/>
      <c r="H1108" s="227"/>
      <c r="I1108" s="227"/>
      <c r="J1108" s="227"/>
      <c r="K1108" s="227"/>
      <c r="L1108" s="227"/>
      <c r="M1108" s="890"/>
      <c r="N1108" s="228"/>
      <c r="O1108" s="228"/>
      <c r="P1108" s="227"/>
      <c r="Q1108" s="226"/>
      <c r="R1108" s="226"/>
      <c r="S1108" s="228"/>
      <c r="T1108" s="228"/>
      <c r="U1108" s="228"/>
    </row>
    <row r="1109" ht="13.5" customHeight="1" spans="1:21">
      <c r="A1109" s="226"/>
      <c r="B1109" s="869"/>
      <c r="C1109" s="226"/>
      <c r="D1109" s="227"/>
      <c r="E1109" s="227"/>
      <c r="F1109" s="226"/>
      <c r="G1109" s="226"/>
      <c r="H1109" s="227"/>
      <c r="I1109" s="227"/>
      <c r="J1109" s="227"/>
      <c r="K1109" s="227"/>
      <c r="L1109" s="227"/>
      <c r="M1109" s="890"/>
      <c r="N1109" s="228"/>
      <c r="O1109" s="228"/>
      <c r="P1109" s="227"/>
      <c r="Q1109" s="226"/>
      <c r="R1109" s="226"/>
      <c r="S1109" s="228"/>
      <c r="T1109" s="228"/>
      <c r="U1109" s="228"/>
    </row>
    <row r="1110" ht="13.5" customHeight="1" spans="1:21">
      <c r="A1110" s="226"/>
      <c r="B1110" s="869"/>
      <c r="C1110" s="226"/>
      <c r="D1110" s="227"/>
      <c r="E1110" s="227"/>
      <c r="F1110" s="226"/>
      <c r="G1110" s="226"/>
      <c r="H1110" s="227"/>
      <c r="I1110" s="227"/>
      <c r="J1110" s="227"/>
      <c r="K1110" s="227"/>
      <c r="L1110" s="227"/>
      <c r="M1110" s="890"/>
      <c r="N1110" s="228"/>
      <c r="O1110" s="228"/>
      <c r="P1110" s="227"/>
      <c r="Q1110" s="226"/>
      <c r="R1110" s="226"/>
      <c r="S1110" s="228"/>
      <c r="T1110" s="228"/>
      <c r="U1110" s="228"/>
    </row>
    <row r="1111" ht="13.5" customHeight="1" spans="1:21">
      <c r="A1111" s="226"/>
      <c r="B1111" s="869"/>
      <c r="C1111" s="226"/>
      <c r="D1111" s="227"/>
      <c r="E1111" s="227"/>
      <c r="F1111" s="226"/>
      <c r="G1111" s="226"/>
      <c r="H1111" s="227"/>
      <c r="I1111" s="227"/>
      <c r="J1111" s="227"/>
      <c r="K1111" s="227"/>
      <c r="L1111" s="227"/>
      <c r="M1111" s="890"/>
      <c r="N1111" s="228"/>
      <c r="O1111" s="228"/>
      <c r="P1111" s="227"/>
      <c r="Q1111" s="226"/>
      <c r="R1111" s="226"/>
      <c r="S1111" s="228"/>
      <c r="T1111" s="228"/>
      <c r="U1111" s="228"/>
    </row>
    <row r="1112" ht="13.5" customHeight="1" spans="1:21">
      <c r="A1112" s="226"/>
      <c r="B1112" s="869"/>
      <c r="C1112" s="226"/>
      <c r="D1112" s="227"/>
      <c r="E1112" s="227"/>
      <c r="F1112" s="226"/>
      <c r="G1112" s="226"/>
      <c r="H1112" s="227"/>
      <c r="I1112" s="227"/>
      <c r="J1112" s="227"/>
      <c r="K1112" s="227"/>
      <c r="L1112" s="227"/>
      <c r="M1112" s="890"/>
      <c r="N1112" s="228"/>
      <c r="O1112" s="228"/>
      <c r="P1112" s="227"/>
      <c r="Q1112" s="226"/>
      <c r="R1112" s="226"/>
      <c r="S1112" s="228"/>
      <c r="T1112" s="228"/>
      <c r="U1112" s="228"/>
    </row>
    <row r="1113" ht="13.5" customHeight="1" spans="1:21">
      <c r="A1113" s="226"/>
      <c r="B1113" s="869"/>
      <c r="C1113" s="226"/>
      <c r="D1113" s="227"/>
      <c r="E1113" s="227"/>
      <c r="F1113" s="226"/>
      <c r="G1113" s="226"/>
      <c r="H1113" s="227"/>
      <c r="I1113" s="227"/>
      <c r="J1113" s="227"/>
      <c r="K1113" s="227"/>
      <c r="L1113" s="227"/>
      <c r="M1113" s="890"/>
      <c r="N1113" s="228"/>
      <c r="O1113" s="228"/>
      <c r="P1113" s="227"/>
      <c r="Q1113" s="226"/>
      <c r="R1113" s="226"/>
      <c r="S1113" s="228"/>
      <c r="T1113" s="228"/>
      <c r="U1113" s="228"/>
    </row>
    <row r="1114" ht="13.5" customHeight="1" spans="1:21">
      <c r="A1114" s="226"/>
      <c r="B1114" s="869"/>
      <c r="C1114" s="226"/>
      <c r="D1114" s="227"/>
      <c r="E1114" s="227"/>
      <c r="F1114" s="226"/>
      <c r="G1114" s="226"/>
      <c r="H1114" s="227"/>
      <c r="I1114" s="227"/>
      <c r="J1114" s="227"/>
      <c r="K1114" s="227"/>
      <c r="L1114" s="227"/>
      <c r="M1114" s="890"/>
      <c r="N1114" s="228"/>
      <c r="O1114" s="228"/>
      <c r="P1114" s="227"/>
      <c r="Q1114" s="226"/>
      <c r="R1114" s="226"/>
      <c r="S1114" s="228"/>
      <c r="T1114" s="228"/>
      <c r="U1114" s="228"/>
    </row>
    <row r="1115" ht="13.5" customHeight="1" spans="1:21">
      <c r="A1115" s="226"/>
      <c r="B1115" s="869"/>
      <c r="C1115" s="226"/>
      <c r="D1115" s="227"/>
      <c r="E1115" s="227"/>
      <c r="F1115" s="226"/>
      <c r="G1115" s="226"/>
      <c r="H1115" s="227"/>
      <c r="I1115" s="227"/>
      <c r="J1115" s="227"/>
      <c r="K1115" s="227"/>
      <c r="L1115" s="227"/>
      <c r="M1115" s="890"/>
      <c r="N1115" s="228"/>
      <c r="O1115" s="228"/>
      <c r="P1115" s="227"/>
      <c r="Q1115" s="226"/>
      <c r="R1115" s="226"/>
      <c r="S1115" s="228"/>
      <c r="T1115" s="228"/>
      <c r="U1115" s="228"/>
    </row>
    <row r="1116" ht="13.5" customHeight="1" spans="1:21">
      <c r="A1116" s="226"/>
      <c r="B1116" s="869"/>
      <c r="C1116" s="226"/>
      <c r="D1116" s="227"/>
      <c r="E1116" s="227"/>
      <c r="F1116" s="226"/>
      <c r="G1116" s="226"/>
      <c r="H1116" s="227"/>
      <c r="I1116" s="227"/>
      <c r="J1116" s="227"/>
      <c r="K1116" s="227"/>
      <c r="L1116" s="227"/>
      <c r="M1116" s="890"/>
      <c r="N1116" s="228"/>
      <c r="O1116" s="228"/>
      <c r="P1116" s="227"/>
      <c r="Q1116" s="226"/>
      <c r="R1116" s="226"/>
      <c r="S1116" s="228"/>
      <c r="T1116" s="228"/>
      <c r="U1116" s="228"/>
    </row>
    <row r="1117" ht="13.5" customHeight="1" spans="1:21">
      <c r="A1117" s="226"/>
      <c r="B1117" s="869"/>
      <c r="C1117" s="226"/>
      <c r="D1117" s="227"/>
      <c r="E1117" s="227"/>
      <c r="F1117" s="226"/>
      <c r="G1117" s="226"/>
      <c r="H1117" s="227"/>
      <c r="I1117" s="227"/>
      <c r="J1117" s="227"/>
      <c r="K1117" s="227"/>
      <c r="L1117" s="227"/>
      <c r="M1117" s="890"/>
      <c r="N1117" s="228"/>
      <c r="O1117" s="228"/>
      <c r="P1117" s="227"/>
      <c r="Q1117" s="226"/>
      <c r="R1117" s="226"/>
      <c r="S1117" s="228"/>
      <c r="T1117" s="228"/>
      <c r="U1117" s="228"/>
    </row>
    <row r="1118" ht="13.5" customHeight="1" spans="1:21">
      <c r="A1118" s="226"/>
      <c r="B1118" s="869"/>
      <c r="C1118" s="226"/>
      <c r="D1118" s="227"/>
      <c r="E1118" s="227"/>
      <c r="F1118" s="226"/>
      <c r="G1118" s="226"/>
      <c r="H1118" s="227"/>
      <c r="I1118" s="227"/>
      <c r="J1118" s="227"/>
      <c r="K1118" s="227"/>
      <c r="L1118" s="227"/>
      <c r="M1118" s="890"/>
      <c r="N1118" s="228"/>
      <c r="O1118" s="228"/>
      <c r="P1118" s="227"/>
      <c r="Q1118" s="226"/>
      <c r="R1118" s="226"/>
      <c r="S1118" s="228"/>
      <c r="T1118" s="228"/>
      <c r="U1118" s="228"/>
    </row>
    <row r="1119" ht="13.5" customHeight="1" spans="1:21">
      <c r="A1119" s="226"/>
      <c r="B1119" s="869"/>
      <c r="C1119" s="226"/>
      <c r="D1119" s="227"/>
      <c r="E1119" s="227"/>
      <c r="F1119" s="226"/>
      <c r="G1119" s="226"/>
      <c r="H1119" s="227"/>
      <c r="I1119" s="227"/>
      <c r="J1119" s="227"/>
      <c r="K1119" s="227"/>
      <c r="L1119" s="227"/>
      <c r="M1119" s="890"/>
      <c r="N1119" s="228"/>
      <c r="O1119" s="228"/>
      <c r="P1119" s="227"/>
      <c r="Q1119" s="226"/>
      <c r="R1119" s="226"/>
      <c r="S1119" s="228"/>
      <c r="T1119" s="228"/>
      <c r="U1119" s="228"/>
    </row>
    <row r="1120" ht="13.5" customHeight="1" spans="1:21">
      <c r="A1120" s="226"/>
      <c r="B1120" s="869"/>
      <c r="C1120" s="226"/>
      <c r="D1120" s="227"/>
      <c r="E1120" s="227"/>
      <c r="F1120" s="226"/>
      <c r="G1120" s="226"/>
      <c r="H1120" s="227"/>
      <c r="I1120" s="227"/>
      <c r="J1120" s="227"/>
      <c r="K1120" s="227"/>
      <c r="L1120" s="227"/>
      <c r="M1120" s="890"/>
      <c r="N1120" s="228"/>
      <c r="O1120" s="228"/>
      <c r="P1120" s="227"/>
      <c r="Q1120" s="226"/>
      <c r="R1120" s="226"/>
      <c r="S1120" s="228"/>
      <c r="T1120" s="228"/>
      <c r="U1120" s="228"/>
    </row>
    <row r="1121" ht="13.5" customHeight="1" spans="1:21">
      <c r="A1121" s="226"/>
      <c r="B1121" s="869"/>
      <c r="C1121" s="226"/>
      <c r="D1121" s="227"/>
      <c r="E1121" s="227"/>
      <c r="F1121" s="226"/>
      <c r="G1121" s="226"/>
      <c r="H1121" s="227"/>
      <c r="I1121" s="227"/>
      <c r="J1121" s="227"/>
      <c r="K1121" s="227"/>
      <c r="L1121" s="227"/>
      <c r="M1121" s="890"/>
      <c r="N1121" s="228"/>
      <c r="O1121" s="228"/>
      <c r="P1121" s="227"/>
      <c r="Q1121" s="226"/>
      <c r="R1121" s="226"/>
      <c r="S1121" s="228"/>
      <c r="T1121" s="228"/>
      <c r="U1121" s="228"/>
    </row>
    <row r="1122" ht="13.5" customHeight="1" spans="1:21">
      <c r="A1122" s="226"/>
      <c r="B1122" s="869"/>
      <c r="C1122" s="226"/>
      <c r="D1122" s="227"/>
      <c r="E1122" s="227"/>
      <c r="F1122" s="226"/>
      <c r="G1122" s="226"/>
      <c r="H1122" s="227"/>
      <c r="I1122" s="227"/>
      <c r="J1122" s="227"/>
      <c r="K1122" s="227"/>
      <c r="L1122" s="227"/>
      <c r="M1122" s="890"/>
      <c r="N1122" s="228"/>
      <c r="O1122" s="228"/>
      <c r="P1122" s="227"/>
      <c r="Q1122" s="226"/>
      <c r="R1122" s="226"/>
      <c r="S1122" s="228"/>
      <c r="T1122" s="228"/>
      <c r="U1122" s="228"/>
    </row>
    <row r="1123" ht="13.5" customHeight="1" spans="1:21">
      <c r="A1123" s="226"/>
      <c r="B1123" s="869"/>
      <c r="C1123" s="226"/>
      <c r="D1123" s="227"/>
      <c r="E1123" s="227"/>
      <c r="F1123" s="226"/>
      <c r="G1123" s="226"/>
      <c r="H1123" s="227"/>
      <c r="I1123" s="227"/>
      <c r="J1123" s="227"/>
      <c r="K1123" s="227"/>
      <c r="L1123" s="227"/>
      <c r="M1123" s="890"/>
      <c r="N1123" s="228"/>
      <c r="O1123" s="228"/>
      <c r="P1123" s="227"/>
      <c r="Q1123" s="226"/>
      <c r="R1123" s="226"/>
      <c r="S1123" s="228"/>
      <c r="T1123" s="228"/>
      <c r="U1123" s="228"/>
    </row>
    <row r="1124" ht="13.5" customHeight="1" spans="1:21">
      <c r="A1124" s="226"/>
      <c r="B1124" s="869"/>
      <c r="C1124" s="226"/>
      <c r="D1124" s="227"/>
      <c r="E1124" s="227"/>
      <c r="F1124" s="226"/>
      <c r="G1124" s="226"/>
      <c r="H1124" s="227"/>
      <c r="I1124" s="227"/>
      <c r="J1124" s="227"/>
      <c r="K1124" s="227"/>
      <c r="L1124" s="227"/>
      <c r="M1124" s="890"/>
      <c r="N1124" s="228"/>
      <c r="O1124" s="228"/>
      <c r="P1124" s="227"/>
      <c r="Q1124" s="226"/>
      <c r="R1124" s="226"/>
      <c r="S1124" s="228"/>
      <c r="T1124" s="228"/>
      <c r="U1124" s="228"/>
    </row>
    <row r="1125" ht="13.5" customHeight="1" spans="1:21">
      <c r="A1125" s="226"/>
      <c r="B1125" s="869"/>
      <c r="C1125" s="226"/>
      <c r="D1125" s="227"/>
      <c r="E1125" s="227"/>
      <c r="F1125" s="226"/>
      <c r="G1125" s="226"/>
      <c r="H1125" s="227"/>
      <c r="I1125" s="227"/>
      <c r="J1125" s="227"/>
      <c r="K1125" s="227"/>
      <c r="L1125" s="227"/>
      <c r="M1125" s="890"/>
      <c r="N1125" s="228"/>
      <c r="O1125" s="228"/>
      <c r="P1125" s="227"/>
      <c r="Q1125" s="226"/>
      <c r="R1125" s="226"/>
      <c r="S1125" s="228"/>
      <c r="T1125" s="228"/>
      <c r="U1125" s="228"/>
    </row>
    <row r="1126" ht="13.5" customHeight="1" spans="1:21">
      <c r="A1126" s="226"/>
      <c r="B1126" s="869"/>
      <c r="C1126" s="226"/>
      <c r="D1126" s="227"/>
      <c r="E1126" s="227"/>
      <c r="F1126" s="226"/>
      <c r="G1126" s="226"/>
      <c r="H1126" s="227"/>
      <c r="I1126" s="227"/>
      <c r="J1126" s="227"/>
      <c r="K1126" s="227"/>
      <c r="L1126" s="227"/>
      <c r="M1126" s="890"/>
      <c r="N1126" s="228"/>
      <c r="O1126" s="228"/>
      <c r="P1126" s="227"/>
      <c r="Q1126" s="226"/>
      <c r="R1126" s="226"/>
      <c r="S1126" s="228"/>
      <c r="T1126" s="228"/>
      <c r="U1126" s="228"/>
    </row>
    <row r="1127" ht="13.5" customHeight="1" spans="1:21">
      <c r="A1127" s="226"/>
      <c r="B1127" s="869"/>
      <c r="C1127" s="226"/>
      <c r="D1127" s="227"/>
      <c r="E1127" s="227"/>
      <c r="F1127" s="226"/>
      <c r="G1127" s="226"/>
      <c r="H1127" s="227"/>
      <c r="I1127" s="227"/>
      <c r="J1127" s="227"/>
      <c r="K1127" s="227"/>
      <c r="L1127" s="227"/>
      <c r="M1127" s="890"/>
      <c r="N1127" s="228"/>
      <c r="O1127" s="228"/>
      <c r="P1127" s="227"/>
      <c r="Q1127" s="226"/>
      <c r="R1127" s="226"/>
      <c r="S1127" s="228"/>
      <c r="T1127" s="228"/>
      <c r="U1127" s="228"/>
    </row>
    <row r="1128" ht="13.5" customHeight="1" spans="1:21">
      <c r="A1128" s="226"/>
      <c r="B1128" s="869"/>
      <c r="C1128" s="226"/>
      <c r="D1128" s="227"/>
      <c r="E1128" s="227"/>
      <c r="F1128" s="226"/>
      <c r="G1128" s="226"/>
      <c r="H1128" s="227"/>
      <c r="I1128" s="227"/>
      <c r="J1128" s="227"/>
      <c r="K1128" s="227"/>
      <c r="L1128" s="227"/>
      <c r="M1128" s="890"/>
      <c r="N1128" s="228"/>
      <c r="O1128" s="228"/>
      <c r="P1128" s="227"/>
      <c r="Q1128" s="226"/>
      <c r="R1128" s="226"/>
      <c r="S1128" s="228"/>
      <c r="T1128" s="228"/>
      <c r="U1128" s="228"/>
    </row>
    <row r="1129" ht="13.5" customHeight="1" spans="1:21">
      <c r="A1129" s="226"/>
      <c r="B1129" s="869"/>
      <c r="C1129" s="226"/>
      <c r="D1129" s="227"/>
      <c r="E1129" s="227"/>
      <c r="F1129" s="226"/>
      <c r="G1129" s="226"/>
      <c r="H1129" s="227"/>
      <c r="I1129" s="227"/>
      <c r="J1129" s="227"/>
      <c r="K1129" s="227"/>
      <c r="L1129" s="227"/>
      <c r="M1129" s="890"/>
      <c r="N1129" s="228"/>
      <c r="O1129" s="228"/>
      <c r="P1129" s="227"/>
      <c r="Q1129" s="226"/>
      <c r="R1129" s="226"/>
      <c r="S1129" s="228"/>
      <c r="T1129" s="228"/>
      <c r="U1129" s="228"/>
    </row>
    <row r="1130" ht="13.5" customHeight="1" spans="1:21">
      <c r="A1130" s="226"/>
      <c r="B1130" s="869"/>
      <c r="C1130" s="226"/>
      <c r="D1130" s="227"/>
      <c r="E1130" s="227"/>
      <c r="F1130" s="226"/>
      <c r="G1130" s="226"/>
      <c r="H1130" s="227"/>
      <c r="I1130" s="227"/>
      <c r="J1130" s="227"/>
      <c r="K1130" s="227"/>
      <c r="L1130" s="227"/>
      <c r="M1130" s="890"/>
      <c r="N1130" s="228"/>
      <c r="O1130" s="228"/>
      <c r="P1130" s="227"/>
      <c r="Q1130" s="226"/>
      <c r="R1130" s="226"/>
      <c r="S1130" s="228"/>
      <c r="T1130" s="228"/>
      <c r="U1130" s="228"/>
    </row>
    <row r="1131" ht="13.5" customHeight="1" spans="1:21">
      <c r="A1131" s="226"/>
      <c r="B1131" s="869"/>
      <c r="C1131" s="226"/>
      <c r="D1131" s="227"/>
      <c r="E1131" s="227"/>
      <c r="F1131" s="226"/>
      <c r="G1131" s="226"/>
      <c r="H1131" s="227"/>
      <c r="I1131" s="227"/>
      <c r="J1131" s="227"/>
      <c r="K1131" s="227"/>
      <c r="L1131" s="227"/>
      <c r="M1131" s="890"/>
      <c r="N1131" s="228"/>
      <c r="O1131" s="228"/>
      <c r="P1131" s="227"/>
      <c r="Q1131" s="226"/>
      <c r="R1131" s="226"/>
      <c r="S1131" s="228"/>
      <c r="T1131" s="228"/>
      <c r="U1131" s="228"/>
    </row>
    <row r="1132" ht="13.5" customHeight="1" spans="1:21">
      <c r="A1132" s="226"/>
      <c r="B1132" s="869"/>
      <c r="C1132" s="226"/>
      <c r="D1132" s="227"/>
      <c r="E1132" s="227"/>
      <c r="F1132" s="226"/>
      <c r="G1132" s="226"/>
      <c r="H1132" s="227"/>
      <c r="I1132" s="227"/>
      <c r="J1132" s="227"/>
      <c r="K1132" s="227"/>
      <c r="L1132" s="227"/>
      <c r="M1132" s="890"/>
      <c r="N1132" s="228"/>
      <c r="O1132" s="228"/>
      <c r="P1132" s="227"/>
      <c r="Q1132" s="226"/>
      <c r="R1132" s="226"/>
      <c r="S1132" s="228"/>
      <c r="T1132" s="228"/>
      <c r="U1132" s="228"/>
    </row>
    <row r="1133" ht="13.5" customHeight="1" spans="1:21">
      <c r="A1133" s="226"/>
      <c r="B1133" s="869"/>
      <c r="C1133" s="226"/>
      <c r="D1133" s="227"/>
      <c r="E1133" s="227"/>
      <c r="F1133" s="226"/>
      <c r="G1133" s="226"/>
      <c r="H1133" s="227"/>
      <c r="I1133" s="227"/>
      <c r="J1133" s="227"/>
      <c r="K1133" s="227"/>
      <c r="L1133" s="227"/>
      <c r="M1133" s="890"/>
      <c r="N1133" s="228"/>
      <c r="O1133" s="228"/>
      <c r="P1133" s="227"/>
      <c r="Q1133" s="226"/>
      <c r="R1133" s="226"/>
      <c r="S1133" s="228"/>
      <c r="T1133" s="228"/>
      <c r="U1133" s="228"/>
    </row>
    <row r="1134" ht="13.5" customHeight="1" spans="1:21">
      <c r="A1134" s="226"/>
      <c r="B1134" s="869"/>
      <c r="C1134" s="226"/>
      <c r="D1134" s="227"/>
      <c r="E1134" s="227"/>
      <c r="F1134" s="226"/>
      <c r="G1134" s="226"/>
      <c r="H1134" s="227"/>
      <c r="I1134" s="227"/>
      <c r="J1134" s="227"/>
      <c r="K1134" s="227"/>
      <c r="L1134" s="227"/>
      <c r="M1134" s="890"/>
      <c r="N1134" s="228"/>
      <c r="O1134" s="228"/>
      <c r="P1134" s="227"/>
      <c r="Q1134" s="226"/>
      <c r="R1134" s="226"/>
      <c r="S1134" s="228"/>
      <c r="T1134" s="228"/>
      <c r="U1134" s="228"/>
    </row>
    <row r="1135" ht="13.5" customHeight="1" spans="1:21">
      <c r="A1135" s="226"/>
      <c r="B1135" s="869"/>
      <c r="C1135" s="226"/>
      <c r="D1135" s="227"/>
      <c r="E1135" s="227"/>
      <c r="F1135" s="226"/>
      <c r="G1135" s="226"/>
      <c r="H1135" s="227"/>
      <c r="I1135" s="227"/>
      <c r="J1135" s="227"/>
      <c r="K1135" s="227"/>
      <c r="L1135" s="227"/>
      <c r="M1135" s="890"/>
      <c r="N1135" s="228"/>
      <c r="O1135" s="228"/>
      <c r="P1135" s="227"/>
      <c r="Q1135" s="226"/>
      <c r="R1135" s="226"/>
      <c r="S1135" s="228"/>
      <c r="T1135" s="228"/>
      <c r="U1135" s="228"/>
    </row>
    <row r="1136" ht="13.5" customHeight="1" spans="1:21">
      <c r="A1136" s="226"/>
      <c r="B1136" s="869"/>
      <c r="C1136" s="226"/>
      <c r="D1136" s="227"/>
      <c r="E1136" s="227"/>
      <c r="F1136" s="226"/>
      <c r="G1136" s="226"/>
      <c r="H1136" s="227"/>
      <c r="I1136" s="227"/>
      <c r="J1136" s="227"/>
      <c r="K1136" s="227"/>
      <c r="L1136" s="227"/>
      <c r="M1136" s="890"/>
      <c r="N1136" s="228"/>
      <c r="O1136" s="228"/>
      <c r="P1136" s="227"/>
      <c r="Q1136" s="226"/>
      <c r="R1136" s="226"/>
      <c r="S1136" s="228"/>
      <c r="T1136" s="228"/>
      <c r="U1136" s="228"/>
    </row>
    <row r="1137" ht="13.5" customHeight="1" spans="1:21">
      <c r="A1137" s="226"/>
      <c r="B1137" s="869"/>
      <c r="C1137" s="226"/>
      <c r="D1137" s="227"/>
      <c r="E1137" s="227"/>
      <c r="F1137" s="226"/>
      <c r="G1137" s="226"/>
      <c r="H1137" s="227"/>
      <c r="I1137" s="227"/>
      <c r="J1137" s="227"/>
      <c r="K1137" s="227"/>
      <c r="L1137" s="227"/>
      <c r="M1137" s="890"/>
      <c r="N1137" s="228"/>
      <c r="O1137" s="228"/>
      <c r="P1137" s="227"/>
      <c r="Q1137" s="226"/>
      <c r="R1137" s="226"/>
      <c r="S1137" s="228"/>
      <c r="T1137" s="228"/>
      <c r="U1137" s="228"/>
    </row>
    <row r="1138" ht="13.5" customHeight="1" spans="1:21">
      <c r="A1138" s="226"/>
      <c r="B1138" s="869"/>
      <c r="C1138" s="226"/>
      <c r="D1138" s="227"/>
      <c r="E1138" s="227"/>
      <c r="F1138" s="226"/>
      <c r="G1138" s="226"/>
      <c r="H1138" s="227"/>
      <c r="I1138" s="227"/>
      <c r="J1138" s="227"/>
      <c r="K1138" s="227"/>
      <c r="L1138" s="227"/>
      <c r="M1138" s="890"/>
      <c r="N1138" s="228"/>
      <c r="O1138" s="228"/>
      <c r="P1138" s="227"/>
      <c r="Q1138" s="226"/>
      <c r="R1138" s="226"/>
      <c r="S1138" s="228"/>
      <c r="T1138" s="228"/>
      <c r="U1138" s="228"/>
    </row>
    <row r="1139" ht="13.5" customHeight="1" spans="1:21">
      <c r="A1139" s="226"/>
      <c r="B1139" s="869"/>
      <c r="C1139" s="226"/>
      <c r="D1139" s="227"/>
      <c r="E1139" s="227"/>
      <c r="F1139" s="226"/>
      <c r="G1139" s="226"/>
      <c r="H1139" s="227"/>
      <c r="I1139" s="227"/>
      <c r="J1139" s="227"/>
      <c r="K1139" s="227"/>
      <c r="L1139" s="227"/>
      <c r="M1139" s="890"/>
      <c r="N1139" s="228"/>
      <c r="O1139" s="228"/>
      <c r="P1139" s="227"/>
      <c r="Q1139" s="226"/>
      <c r="R1139" s="226"/>
      <c r="S1139" s="228"/>
      <c r="T1139" s="228"/>
      <c r="U1139" s="228"/>
    </row>
    <row r="1140" ht="13.5" customHeight="1" spans="1:21">
      <c r="A1140" s="226"/>
      <c r="B1140" s="869"/>
      <c r="C1140" s="226"/>
      <c r="D1140" s="227"/>
      <c r="E1140" s="227"/>
      <c r="F1140" s="226"/>
      <c r="G1140" s="226"/>
      <c r="H1140" s="227"/>
      <c r="I1140" s="227"/>
      <c r="J1140" s="227"/>
      <c r="K1140" s="227"/>
      <c r="L1140" s="227"/>
      <c r="M1140" s="890"/>
      <c r="N1140" s="228"/>
      <c r="O1140" s="228"/>
      <c r="P1140" s="227"/>
      <c r="Q1140" s="226"/>
      <c r="R1140" s="226"/>
      <c r="S1140" s="228"/>
      <c r="T1140" s="228"/>
      <c r="U1140" s="228"/>
    </row>
    <row r="1141" ht="13.5" customHeight="1" spans="1:21">
      <c r="A1141" s="226"/>
      <c r="B1141" s="869"/>
      <c r="C1141" s="226"/>
      <c r="D1141" s="227"/>
      <c r="E1141" s="227"/>
      <c r="F1141" s="226"/>
      <c r="G1141" s="226"/>
      <c r="H1141" s="227"/>
      <c r="I1141" s="227"/>
      <c r="J1141" s="227"/>
      <c r="K1141" s="227"/>
      <c r="L1141" s="227"/>
      <c r="M1141" s="890"/>
      <c r="N1141" s="228"/>
      <c r="O1141" s="228"/>
      <c r="P1141" s="227"/>
      <c r="Q1141" s="226"/>
      <c r="R1141" s="226"/>
      <c r="S1141" s="228"/>
      <c r="T1141" s="228"/>
      <c r="U1141" s="228"/>
    </row>
    <row r="1142" ht="13.5" customHeight="1" spans="1:21">
      <c r="A1142" s="226"/>
      <c r="B1142" s="869"/>
      <c r="C1142" s="226"/>
      <c r="D1142" s="227"/>
      <c r="E1142" s="227"/>
      <c r="F1142" s="226"/>
      <c r="G1142" s="226"/>
      <c r="H1142" s="227"/>
      <c r="I1142" s="227"/>
      <c r="J1142" s="227"/>
      <c r="K1142" s="227"/>
      <c r="L1142" s="227"/>
      <c r="M1142" s="890"/>
      <c r="N1142" s="228"/>
      <c r="O1142" s="228"/>
      <c r="P1142" s="227"/>
      <c r="Q1142" s="226"/>
      <c r="R1142" s="226"/>
      <c r="S1142" s="228"/>
      <c r="T1142" s="228"/>
      <c r="U1142" s="228"/>
    </row>
    <row r="1143" ht="13.5" customHeight="1" spans="1:21">
      <c r="A1143" s="226"/>
      <c r="B1143" s="869"/>
      <c r="C1143" s="226"/>
      <c r="D1143" s="227"/>
      <c r="E1143" s="227"/>
      <c r="F1143" s="226"/>
      <c r="G1143" s="226"/>
      <c r="H1143" s="227"/>
      <c r="I1143" s="227"/>
      <c r="J1143" s="227"/>
      <c r="K1143" s="227"/>
      <c r="L1143" s="227"/>
      <c r="M1143" s="890"/>
      <c r="N1143" s="228"/>
      <c r="O1143" s="228"/>
      <c r="P1143" s="227"/>
      <c r="Q1143" s="226"/>
      <c r="R1143" s="226"/>
      <c r="S1143" s="228"/>
      <c r="T1143" s="228"/>
      <c r="U1143" s="228"/>
    </row>
    <row r="1144" ht="13.5" customHeight="1" spans="1:21">
      <c r="A1144" s="226"/>
      <c r="B1144" s="869"/>
      <c r="C1144" s="226"/>
      <c r="D1144" s="227"/>
      <c r="E1144" s="227"/>
      <c r="F1144" s="226"/>
      <c r="G1144" s="226"/>
      <c r="H1144" s="227"/>
      <c r="I1144" s="227"/>
      <c r="J1144" s="227"/>
      <c r="K1144" s="227"/>
      <c r="L1144" s="227"/>
      <c r="M1144" s="890"/>
      <c r="N1144" s="228"/>
      <c r="O1144" s="228"/>
      <c r="P1144" s="227"/>
      <c r="Q1144" s="226"/>
      <c r="R1144" s="226"/>
      <c r="S1144" s="228"/>
      <c r="T1144" s="228"/>
      <c r="U1144" s="228"/>
    </row>
    <row r="1145" ht="13.5" customHeight="1" spans="1:21">
      <c r="A1145" s="226"/>
      <c r="B1145" s="869"/>
      <c r="C1145" s="226"/>
      <c r="D1145" s="227"/>
      <c r="E1145" s="227"/>
      <c r="F1145" s="226"/>
      <c r="G1145" s="226"/>
      <c r="H1145" s="227"/>
      <c r="I1145" s="227"/>
      <c r="J1145" s="227"/>
      <c r="K1145" s="227"/>
      <c r="L1145" s="227"/>
      <c r="M1145" s="890"/>
      <c r="N1145" s="228"/>
      <c r="O1145" s="228"/>
      <c r="P1145" s="227"/>
      <c r="Q1145" s="226"/>
      <c r="R1145" s="226"/>
      <c r="S1145" s="228"/>
      <c r="T1145" s="228"/>
      <c r="U1145" s="228"/>
    </row>
    <row r="1146" ht="13.5" customHeight="1" spans="1:21">
      <c r="A1146" s="226"/>
      <c r="B1146" s="869"/>
      <c r="C1146" s="226"/>
      <c r="D1146" s="227"/>
      <c r="E1146" s="227"/>
      <c r="F1146" s="226"/>
      <c r="G1146" s="226"/>
      <c r="H1146" s="227"/>
      <c r="I1146" s="227"/>
      <c r="J1146" s="227"/>
      <c r="K1146" s="227"/>
      <c r="L1146" s="227"/>
      <c r="M1146" s="890"/>
      <c r="N1146" s="228"/>
      <c r="O1146" s="228"/>
      <c r="P1146" s="227"/>
      <c r="Q1146" s="226"/>
      <c r="R1146" s="226"/>
      <c r="S1146" s="228"/>
      <c r="T1146" s="228"/>
      <c r="U1146" s="228"/>
    </row>
    <row r="1147" ht="13.5" customHeight="1" spans="1:21">
      <c r="A1147" s="226"/>
      <c r="B1147" s="869"/>
      <c r="C1147" s="226"/>
      <c r="D1147" s="227"/>
      <c r="E1147" s="227"/>
      <c r="F1147" s="226"/>
      <c r="G1147" s="226"/>
      <c r="H1147" s="227"/>
      <c r="I1147" s="227"/>
      <c r="J1147" s="227"/>
      <c r="K1147" s="227"/>
      <c r="L1147" s="227"/>
      <c r="M1147" s="890"/>
      <c r="N1147" s="228"/>
      <c r="O1147" s="228"/>
      <c r="P1147" s="227"/>
      <c r="Q1147" s="226"/>
      <c r="R1147" s="226"/>
      <c r="S1147" s="228"/>
      <c r="T1147" s="228"/>
      <c r="U1147" s="228"/>
    </row>
    <row r="1148" ht="13.5" customHeight="1" spans="1:21">
      <c r="A1148" s="226"/>
      <c r="B1148" s="869"/>
      <c r="C1148" s="226"/>
      <c r="D1148" s="227"/>
      <c r="E1148" s="227"/>
      <c r="F1148" s="226"/>
      <c r="G1148" s="226"/>
      <c r="H1148" s="227"/>
      <c r="I1148" s="227"/>
      <c r="J1148" s="227"/>
      <c r="K1148" s="227"/>
      <c r="L1148" s="227"/>
      <c r="M1148" s="890"/>
      <c r="N1148" s="228"/>
      <c r="O1148" s="228"/>
      <c r="P1148" s="227"/>
      <c r="Q1148" s="226"/>
      <c r="R1148" s="226"/>
      <c r="S1148" s="228"/>
      <c r="T1148" s="228"/>
      <c r="U1148" s="228"/>
    </row>
    <row r="1149" ht="13.5" customHeight="1" spans="1:21">
      <c r="A1149" s="226"/>
      <c r="B1149" s="869"/>
      <c r="C1149" s="226"/>
      <c r="D1149" s="227"/>
      <c r="E1149" s="227"/>
      <c r="F1149" s="226"/>
      <c r="G1149" s="226"/>
      <c r="H1149" s="227"/>
      <c r="I1149" s="227"/>
      <c r="J1149" s="227"/>
      <c r="K1149" s="227"/>
      <c r="L1149" s="227"/>
      <c r="M1149" s="890"/>
      <c r="N1149" s="228"/>
      <c r="O1149" s="228"/>
      <c r="P1149" s="227"/>
      <c r="Q1149" s="226"/>
      <c r="R1149" s="226"/>
      <c r="S1149" s="228"/>
      <c r="T1149" s="228"/>
      <c r="U1149" s="228"/>
    </row>
    <row r="1150" ht="13.5" customHeight="1" spans="1:21">
      <c r="A1150" s="226"/>
      <c r="B1150" s="869"/>
      <c r="C1150" s="226"/>
      <c r="D1150" s="227"/>
      <c r="E1150" s="227"/>
      <c r="F1150" s="226"/>
      <c r="G1150" s="226"/>
      <c r="H1150" s="227"/>
      <c r="I1150" s="227"/>
      <c r="J1150" s="227"/>
      <c r="K1150" s="227"/>
      <c r="L1150" s="227"/>
      <c r="M1150" s="890"/>
      <c r="N1150" s="228"/>
      <c r="O1150" s="228"/>
      <c r="P1150" s="227"/>
      <c r="Q1150" s="226"/>
      <c r="R1150" s="226"/>
      <c r="S1150" s="228"/>
      <c r="T1150" s="228"/>
      <c r="U1150" s="228"/>
    </row>
    <row r="1151" ht="13.5" customHeight="1" spans="1:21">
      <c r="A1151" s="226"/>
      <c r="B1151" s="869"/>
      <c r="C1151" s="226"/>
      <c r="D1151" s="227"/>
      <c r="E1151" s="227"/>
      <c r="F1151" s="226"/>
      <c r="G1151" s="226"/>
      <c r="H1151" s="227"/>
      <c r="I1151" s="227"/>
      <c r="J1151" s="227"/>
      <c r="K1151" s="227"/>
      <c r="L1151" s="227"/>
      <c r="M1151" s="890"/>
      <c r="N1151" s="228"/>
      <c r="O1151" s="228"/>
      <c r="P1151" s="227"/>
      <c r="Q1151" s="226"/>
      <c r="R1151" s="226"/>
      <c r="S1151" s="228"/>
      <c r="T1151" s="228"/>
      <c r="U1151" s="228"/>
    </row>
    <row r="1152" ht="13.5" customHeight="1" spans="1:21">
      <c r="A1152" s="226"/>
      <c r="B1152" s="869"/>
      <c r="C1152" s="226"/>
      <c r="D1152" s="227"/>
      <c r="E1152" s="227"/>
      <c r="F1152" s="226"/>
      <c r="G1152" s="226"/>
      <c r="H1152" s="227"/>
      <c r="I1152" s="227"/>
      <c r="J1152" s="227"/>
      <c r="K1152" s="227"/>
      <c r="L1152" s="227"/>
      <c r="M1152" s="890"/>
      <c r="N1152" s="228"/>
      <c r="O1152" s="228"/>
      <c r="P1152" s="227"/>
      <c r="Q1152" s="226"/>
      <c r="R1152" s="226"/>
      <c r="S1152" s="228"/>
      <c r="T1152" s="228"/>
      <c r="U1152" s="228"/>
    </row>
    <row r="1153" ht="13.5" customHeight="1" spans="1:21">
      <c r="A1153" s="226"/>
      <c r="B1153" s="869"/>
      <c r="C1153" s="226"/>
      <c r="D1153" s="227"/>
      <c r="E1153" s="227"/>
      <c r="F1153" s="226"/>
      <c r="G1153" s="226"/>
      <c r="H1153" s="227"/>
      <c r="I1153" s="227"/>
      <c r="J1153" s="227"/>
      <c r="K1153" s="227"/>
      <c r="L1153" s="227"/>
      <c r="M1153" s="890"/>
      <c r="N1153" s="228"/>
      <c r="O1153" s="228"/>
      <c r="P1153" s="227"/>
      <c r="Q1153" s="226"/>
      <c r="R1153" s="226"/>
      <c r="S1153" s="228"/>
      <c r="T1153" s="228"/>
      <c r="U1153" s="228"/>
    </row>
    <row r="1154" ht="13.5" customHeight="1" spans="1:21">
      <c r="A1154" s="226"/>
      <c r="B1154" s="869"/>
      <c r="C1154" s="226"/>
      <c r="D1154" s="227"/>
      <c r="E1154" s="227"/>
      <c r="F1154" s="226"/>
      <c r="G1154" s="226"/>
      <c r="H1154" s="227"/>
      <c r="I1154" s="227"/>
      <c r="J1154" s="227"/>
      <c r="K1154" s="227"/>
      <c r="L1154" s="227"/>
      <c r="M1154" s="890"/>
      <c r="N1154" s="228"/>
      <c r="O1154" s="228"/>
      <c r="P1154" s="227"/>
      <c r="Q1154" s="226"/>
      <c r="R1154" s="226"/>
      <c r="S1154" s="228"/>
      <c r="T1154" s="228"/>
      <c r="U1154" s="228"/>
    </row>
    <row r="1155" ht="13.5" customHeight="1" spans="1:21">
      <c r="A1155" s="226"/>
      <c r="B1155" s="869"/>
      <c r="C1155" s="226"/>
      <c r="D1155" s="227"/>
      <c r="E1155" s="227"/>
      <c r="F1155" s="226"/>
      <c r="G1155" s="226"/>
      <c r="H1155" s="227"/>
      <c r="I1155" s="227"/>
      <c r="J1155" s="227"/>
      <c r="K1155" s="227"/>
      <c r="L1155" s="227"/>
      <c r="M1155" s="890"/>
      <c r="N1155" s="228"/>
      <c r="O1155" s="228"/>
      <c r="P1155" s="227"/>
      <c r="Q1155" s="226"/>
      <c r="R1155" s="226"/>
      <c r="S1155" s="228"/>
      <c r="T1155" s="228"/>
      <c r="U1155" s="228"/>
    </row>
    <row r="1156" ht="13.5" customHeight="1" spans="1:21">
      <c r="A1156" s="226"/>
      <c r="B1156" s="869"/>
      <c r="C1156" s="226"/>
      <c r="D1156" s="227"/>
      <c r="E1156" s="227"/>
      <c r="F1156" s="226"/>
      <c r="G1156" s="226"/>
      <c r="H1156" s="227"/>
      <c r="I1156" s="227"/>
      <c r="J1156" s="227"/>
      <c r="K1156" s="227"/>
      <c r="L1156" s="227"/>
      <c r="M1156" s="890"/>
      <c r="N1156" s="228"/>
      <c r="O1156" s="228"/>
      <c r="P1156" s="227"/>
      <c r="Q1156" s="226"/>
      <c r="R1156" s="226"/>
      <c r="S1156" s="228"/>
      <c r="T1156" s="228"/>
      <c r="U1156" s="228"/>
    </row>
    <row r="1157" ht="13.5" customHeight="1" spans="1:21">
      <c r="A1157" s="226"/>
      <c r="B1157" s="869"/>
      <c r="C1157" s="226"/>
      <c r="D1157" s="227"/>
      <c r="E1157" s="227"/>
      <c r="F1157" s="226"/>
      <c r="G1157" s="226"/>
      <c r="H1157" s="227"/>
      <c r="I1157" s="227"/>
      <c r="J1157" s="227"/>
      <c r="K1157" s="227"/>
      <c r="L1157" s="227"/>
      <c r="M1157" s="890"/>
      <c r="N1157" s="228"/>
      <c r="O1157" s="228"/>
      <c r="P1157" s="227"/>
      <c r="Q1157" s="226"/>
      <c r="R1157" s="226"/>
      <c r="S1157" s="228"/>
      <c r="T1157" s="228"/>
      <c r="U1157" s="228"/>
    </row>
    <row r="1158" ht="13.5" customHeight="1" spans="1:21">
      <c r="A1158" s="226"/>
      <c r="B1158" s="869"/>
      <c r="C1158" s="226"/>
      <c r="D1158" s="227"/>
      <c r="E1158" s="227"/>
      <c r="F1158" s="226"/>
      <c r="G1158" s="226"/>
      <c r="H1158" s="227"/>
      <c r="I1158" s="227"/>
      <c r="J1158" s="227"/>
      <c r="K1158" s="227"/>
      <c r="L1158" s="227"/>
      <c r="M1158" s="890"/>
      <c r="N1158" s="228"/>
      <c r="O1158" s="228"/>
      <c r="P1158" s="227"/>
      <c r="Q1158" s="226"/>
      <c r="R1158" s="226"/>
      <c r="S1158" s="228"/>
      <c r="T1158" s="228"/>
      <c r="U1158" s="228"/>
    </row>
    <row r="1159" ht="13.5" customHeight="1" spans="1:21">
      <c r="A1159" s="226"/>
      <c r="B1159" s="869"/>
      <c r="C1159" s="226"/>
      <c r="D1159" s="227"/>
      <c r="E1159" s="227"/>
      <c r="F1159" s="226"/>
      <c r="G1159" s="226"/>
      <c r="H1159" s="227"/>
      <c r="I1159" s="227"/>
      <c r="J1159" s="227"/>
      <c r="K1159" s="227"/>
      <c r="L1159" s="227"/>
      <c r="M1159" s="890"/>
      <c r="N1159" s="228"/>
      <c r="O1159" s="228"/>
      <c r="P1159" s="227"/>
      <c r="Q1159" s="226"/>
      <c r="R1159" s="226"/>
      <c r="S1159" s="228"/>
      <c r="T1159" s="228"/>
      <c r="U1159" s="228"/>
    </row>
    <row r="1160" ht="13.5" customHeight="1" spans="1:21">
      <c r="A1160" s="226"/>
      <c r="B1160" s="869"/>
      <c r="C1160" s="226"/>
      <c r="D1160" s="227"/>
      <c r="E1160" s="227"/>
      <c r="F1160" s="226"/>
      <c r="G1160" s="226"/>
      <c r="H1160" s="227"/>
      <c r="I1160" s="227"/>
      <c r="J1160" s="227"/>
      <c r="K1160" s="227"/>
      <c r="L1160" s="227"/>
      <c r="M1160" s="890"/>
      <c r="N1160" s="228"/>
      <c r="O1160" s="228"/>
      <c r="P1160" s="227"/>
      <c r="Q1160" s="226"/>
      <c r="R1160" s="226"/>
      <c r="S1160" s="228"/>
      <c r="T1160" s="228"/>
      <c r="U1160" s="228"/>
    </row>
    <row r="1161" ht="13.5" customHeight="1" spans="1:21">
      <c r="A1161" s="226"/>
      <c r="B1161" s="869"/>
      <c r="C1161" s="226"/>
      <c r="D1161" s="227"/>
      <c r="E1161" s="227"/>
      <c r="F1161" s="226"/>
      <c r="G1161" s="226"/>
      <c r="H1161" s="227"/>
      <c r="I1161" s="227"/>
      <c r="J1161" s="227"/>
      <c r="K1161" s="227"/>
      <c r="L1161" s="227"/>
      <c r="M1161" s="890"/>
      <c r="N1161" s="228"/>
      <c r="O1161" s="228"/>
      <c r="P1161" s="227"/>
      <c r="Q1161" s="226"/>
      <c r="R1161" s="226"/>
      <c r="S1161" s="228"/>
      <c r="T1161" s="228"/>
      <c r="U1161" s="228"/>
    </row>
    <row r="1162" ht="13.5" customHeight="1" spans="1:21">
      <c r="A1162" s="226"/>
      <c r="B1162" s="869"/>
      <c r="C1162" s="226"/>
      <c r="D1162" s="227"/>
      <c r="E1162" s="227"/>
      <c r="F1162" s="226"/>
      <c r="G1162" s="226"/>
      <c r="H1162" s="227"/>
      <c r="I1162" s="227"/>
      <c r="J1162" s="227"/>
      <c r="K1162" s="227"/>
      <c r="L1162" s="227"/>
      <c r="M1162" s="890"/>
      <c r="N1162" s="228"/>
      <c r="O1162" s="228"/>
      <c r="P1162" s="227"/>
      <c r="Q1162" s="226"/>
      <c r="R1162" s="226"/>
      <c r="S1162" s="228"/>
      <c r="T1162" s="228"/>
      <c r="U1162" s="228"/>
    </row>
    <row r="1163" ht="13.5" customHeight="1" spans="1:21">
      <c r="A1163" s="226"/>
      <c r="B1163" s="869"/>
      <c r="C1163" s="226"/>
      <c r="D1163" s="227"/>
      <c r="E1163" s="227"/>
      <c r="F1163" s="226"/>
      <c r="G1163" s="226"/>
      <c r="H1163" s="227"/>
      <c r="I1163" s="227"/>
      <c r="J1163" s="227"/>
      <c r="K1163" s="227"/>
      <c r="L1163" s="227"/>
      <c r="M1163" s="890"/>
      <c r="N1163" s="228"/>
      <c r="O1163" s="228"/>
      <c r="P1163" s="227"/>
      <c r="Q1163" s="226"/>
      <c r="R1163" s="226"/>
      <c r="S1163" s="228"/>
      <c r="T1163" s="228"/>
      <c r="U1163" s="228"/>
    </row>
    <row r="1164" ht="13.5" customHeight="1" spans="1:21">
      <c r="A1164" s="226"/>
      <c r="B1164" s="869"/>
      <c r="C1164" s="226"/>
      <c r="D1164" s="227"/>
      <c r="E1164" s="227"/>
      <c r="F1164" s="226"/>
      <c r="G1164" s="226"/>
      <c r="H1164" s="227"/>
      <c r="I1164" s="227"/>
      <c r="J1164" s="227"/>
      <c r="K1164" s="227"/>
      <c r="L1164" s="227"/>
      <c r="M1164" s="890"/>
      <c r="N1164" s="228"/>
      <c r="O1164" s="228"/>
      <c r="P1164" s="227"/>
      <c r="Q1164" s="226"/>
      <c r="R1164" s="226"/>
      <c r="S1164" s="228"/>
      <c r="T1164" s="228"/>
      <c r="U1164" s="228"/>
    </row>
    <row r="1165" ht="13.5" customHeight="1" spans="1:21">
      <c r="A1165" s="226"/>
      <c r="B1165" s="869"/>
      <c r="C1165" s="226"/>
      <c r="D1165" s="227"/>
      <c r="E1165" s="227"/>
      <c r="F1165" s="226"/>
      <c r="G1165" s="226"/>
      <c r="H1165" s="227"/>
      <c r="I1165" s="227"/>
      <c r="J1165" s="227"/>
      <c r="K1165" s="227"/>
      <c r="L1165" s="227"/>
      <c r="M1165" s="890"/>
      <c r="N1165" s="228"/>
      <c r="O1165" s="228"/>
      <c r="P1165" s="227"/>
      <c r="Q1165" s="226"/>
      <c r="R1165" s="226"/>
      <c r="S1165" s="228"/>
      <c r="T1165" s="228"/>
      <c r="U1165" s="228"/>
    </row>
    <row r="1166" ht="13.5" customHeight="1" spans="1:21">
      <c r="A1166" s="226"/>
      <c r="B1166" s="869"/>
      <c r="C1166" s="226"/>
      <c r="D1166" s="227"/>
      <c r="E1166" s="227"/>
      <c r="F1166" s="226"/>
      <c r="G1166" s="226"/>
      <c r="H1166" s="227"/>
      <c r="I1166" s="227"/>
      <c r="J1166" s="227"/>
      <c r="K1166" s="227"/>
      <c r="L1166" s="227"/>
      <c r="M1166" s="890"/>
      <c r="N1166" s="228"/>
      <c r="O1166" s="228"/>
      <c r="P1166" s="227"/>
      <c r="Q1166" s="226"/>
      <c r="R1166" s="226"/>
      <c r="S1166" s="228"/>
      <c r="T1166" s="228"/>
      <c r="U1166" s="228"/>
    </row>
    <row r="1167" ht="13.5" customHeight="1" spans="1:21">
      <c r="A1167" s="226"/>
      <c r="B1167" s="869"/>
      <c r="C1167" s="226"/>
      <c r="D1167" s="227"/>
      <c r="E1167" s="227"/>
      <c r="F1167" s="226"/>
      <c r="G1167" s="226"/>
      <c r="H1167" s="227"/>
      <c r="I1167" s="227"/>
      <c r="J1167" s="227"/>
      <c r="K1167" s="227"/>
      <c r="L1167" s="227"/>
      <c r="M1167" s="890"/>
      <c r="N1167" s="228"/>
      <c r="O1167" s="228"/>
      <c r="P1167" s="227"/>
      <c r="Q1167" s="226"/>
      <c r="R1167" s="226"/>
      <c r="S1167" s="228"/>
      <c r="T1167" s="228"/>
      <c r="U1167" s="228"/>
    </row>
    <row r="1168" ht="13.5" customHeight="1" spans="1:21">
      <c r="A1168" s="226"/>
      <c r="B1168" s="869"/>
      <c r="C1168" s="226"/>
      <c r="D1168" s="227"/>
      <c r="E1168" s="227"/>
      <c r="F1168" s="226"/>
      <c r="G1168" s="226"/>
      <c r="H1168" s="227"/>
      <c r="I1168" s="227"/>
      <c r="J1168" s="227"/>
      <c r="K1168" s="227"/>
      <c r="L1168" s="227"/>
      <c r="M1168" s="890"/>
      <c r="N1168" s="228"/>
      <c r="O1168" s="228"/>
      <c r="P1168" s="227"/>
      <c r="Q1168" s="226"/>
      <c r="R1168" s="226"/>
      <c r="S1168" s="228"/>
      <c r="T1168" s="228"/>
      <c r="U1168" s="228"/>
    </row>
    <row r="1169" ht="13.5" customHeight="1" spans="1:21">
      <c r="A1169" s="226"/>
      <c r="B1169" s="869"/>
      <c r="C1169" s="226"/>
      <c r="D1169" s="227"/>
      <c r="E1169" s="227"/>
      <c r="F1169" s="226"/>
      <c r="G1169" s="226"/>
      <c r="H1169" s="227"/>
      <c r="I1169" s="227"/>
      <c r="J1169" s="227"/>
      <c r="K1169" s="227"/>
      <c r="L1169" s="227"/>
      <c r="M1169" s="890"/>
      <c r="N1169" s="228"/>
      <c r="O1169" s="228"/>
      <c r="P1169" s="227"/>
      <c r="Q1169" s="226"/>
      <c r="R1169" s="226"/>
      <c r="S1169" s="228"/>
      <c r="T1169" s="228"/>
      <c r="U1169" s="228"/>
    </row>
    <row r="1170" ht="13.5" customHeight="1" spans="1:21">
      <c r="A1170" s="226"/>
      <c r="B1170" s="869"/>
      <c r="C1170" s="226"/>
      <c r="D1170" s="227"/>
      <c r="E1170" s="227"/>
      <c r="F1170" s="226"/>
      <c r="G1170" s="226"/>
      <c r="H1170" s="227"/>
      <c r="I1170" s="227"/>
      <c r="J1170" s="227"/>
      <c r="K1170" s="227"/>
      <c r="L1170" s="227"/>
      <c r="M1170" s="890"/>
      <c r="N1170" s="228"/>
      <c r="O1170" s="228"/>
      <c r="P1170" s="227"/>
      <c r="Q1170" s="226"/>
      <c r="R1170" s="226"/>
      <c r="S1170" s="228"/>
      <c r="T1170" s="228"/>
      <c r="U1170" s="228"/>
    </row>
    <row r="1171" ht="13.5" customHeight="1" spans="1:21">
      <c r="A1171" s="226"/>
      <c r="B1171" s="869"/>
      <c r="C1171" s="226"/>
      <c r="D1171" s="227"/>
      <c r="E1171" s="227"/>
      <c r="F1171" s="226"/>
      <c r="G1171" s="226"/>
      <c r="H1171" s="227"/>
      <c r="I1171" s="227"/>
      <c r="J1171" s="227"/>
      <c r="K1171" s="227"/>
      <c r="L1171" s="227"/>
      <c r="M1171" s="890"/>
      <c r="N1171" s="228"/>
      <c r="O1171" s="228"/>
      <c r="P1171" s="227"/>
      <c r="Q1171" s="226"/>
      <c r="R1171" s="226"/>
      <c r="S1171" s="228"/>
      <c r="T1171" s="228"/>
      <c r="U1171" s="228"/>
    </row>
    <row r="1172" ht="13.5" customHeight="1" spans="1:21">
      <c r="A1172" s="226"/>
      <c r="B1172" s="869"/>
      <c r="C1172" s="226"/>
      <c r="D1172" s="227"/>
      <c r="E1172" s="227"/>
      <c r="F1172" s="226"/>
      <c r="G1172" s="226"/>
      <c r="H1172" s="227"/>
      <c r="I1172" s="227"/>
      <c r="J1172" s="227"/>
      <c r="K1172" s="227"/>
      <c r="L1172" s="227"/>
      <c r="M1172" s="890"/>
      <c r="N1172" s="228"/>
      <c r="O1172" s="228"/>
      <c r="P1172" s="227"/>
      <c r="Q1172" s="226"/>
      <c r="R1172" s="226"/>
      <c r="S1172" s="228"/>
      <c r="T1172" s="228"/>
      <c r="U1172" s="228"/>
    </row>
    <row r="1173" ht="13.5" customHeight="1" spans="1:21">
      <c r="A1173" s="226"/>
      <c r="B1173" s="869"/>
      <c r="C1173" s="226"/>
      <c r="D1173" s="227"/>
      <c r="E1173" s="227"/>
      <c r="F1173" s="226"/>
      <c r="G1173" s="226"/>
      <c r="H1173" s="227"/>
      <c r="I1173" s="227"/>
      <c r="J1173" s="227"/>
      <c r="K1173" s="227"/>
      <c r="L1173" s="227"/>
      <c r="M1173" s="890"/>
      <c r="N1173" s="228"/>
      <c r="O1173" s="228"/>
      <c r="P1173" s="227"/>
      <c r="Q1173" s="226"/>
      <c r="R1173" s="226"/>
      <c r="S1173" s="228"/>
      <c r="T1173" s="228"/>
      <c r="U1173" s="228"/>
    </row>
    <row r="1174" ht="13.5" customHeight="1" spans="1:21">
      <c r="A1174" s="226"/>
      <c r="B1174" s="869"/>
      <c r="C1174" s="226"/>
      <c r="D1174" s="227"/>
      <c r="E1174" s="227"/>
      <c r="F1174" s="226"/>
      <c r="G1174" s="226"/>
      <c r="H1174" s="227"/>
      <c r="I1174" s="227"/>
      <c r="J1174" s="227"/>
      <c r="K1174" s="227"/>
      <c r="L1174" s="227"/>
      <c r="M1174" s="890"/>
      <c r="N1174" s="228"/>
      <c r="O1174" s="228"/>
      <c r="P1174" s="227"/>
      <c r="Q1174" s="226"/>
      <c r="R1174" s="226"/>
      <c r="S1174" s="228"/>
      <c r="T1174" s="228"/>
      <c r="U1174" s="228"/>
    </row>
    <row r="1175" ht="13.5" customHeight="1" spans="1:21">
      <c r="A1175" s="226"/>
      <c r="B1175" s="869"/>
      <c r="C1175" s="226"/>
      <c r="D1175" s="227"/>
      <c r="E1175" s="227"/>
      <c r="F1175" s="226"/>
      <c r="G1175" s="226"/>
      <c r="H1175" s="227"/>
      <c r="I1175" s="227"/>
      <c r="J1175" s="227"/>
      <c r="K1175" s="227"/>
      <c r="L1175" s="227"/>
      <c r="M1175" s="890"/>
      <c r="N1175" s="228"/>
      <c r="O1175" s="228"/>
      <c r="P1175" s="227"/>
      <c r="Q1175" s="226"/>
      <c r="R1175" s="226"/>
      <c r="S1175" s="228"/>
      <c r="T1175" s="228"/>
      <c r="U1175" s="228"/>
    </row>
    <row r="1176" ht="13.5" customHeight="1" spans="1:21">
      <c r="A1176" s="226"/>
      <c r="B1176" s="869"/>
      <c r="C1176" s="226"/>
      <c r="D1176" s="227"/>
      <c r="E1176" s="227"/>
      <c r="F1176" s="226"/>
      <c r="G1176" s="226"/>
      <c r="H1176" s="227"/>
      <c r="I1176" s="227"/>
      <c r="J1176" s="227"/>
      <c r="K1176" s="227"/>
      <c r="L1176" s="227"/>
      <c r="M1176" s="890"/>
      <c r="N1176" s="228"/>
      <c r="O1176" s="228"/>
      <c r="P1176" s="227"/>
      <c r="Q1176" s="226"/>
      <c r="R1176" s="226"/>
      <c r="S1176" s="228"/>
      <c r="T1176" s="228"/>
      <c r="U1176" s="228"/>
    </row>
    <row r="1177" ht="13.5" customHeight="1" spans="1:21">
      <c r="A1177" s="226"/>
      <c r="B1177" s="869"/>
      <c r="C1177" s="226"/>
      <c r="D1177" s="227"/>
      <c r="E1177" s="227"/>
      <c r="F1177" s="226"/>
      <c r="G1177" s="226"/>
      <c r="H1177" s="227"/>
      <c r="I1177" s="227"/>
      <c r="J1177" s="227"/>
      <c r="K1177" s="227"/>
      <c r="L1177" s="227"/>
      <c r="M1177" s="890"/>
      <c r="N1177" s="228"/>
      <c r="O1177" s="228"/>
      <c r="P1177" s="227"/>
      <c r="Q1177" s="226"/>
      <c r="R1177" s="226"/>
      <c r="S1177" s="228"/>
      <c r="T1177" s="228"/>
      <c r="U1177" s="228"/>
    </row>
    <row r="1178" ht="13.5" customHeight="1" spans="1:21">
      <c r="A1178" s="226"/>
      <c r="B1178" s="869"/>
      <c r="C1178" s="226"/>
      <c r="D1178" s="227"/>
      <c r="E1178" s="227"/>
      <c r="F1178" s="226"/>
      <c r="G1178" s="226"/>
      <c r="H1178" s="227"/>
      <c r="I1178" s="227"/>
      <c r="J1178" s="227"/>
      <c r="K1178" s="227"/>
      <c r="L1178" s="227"/>
      <c r="M1178" s="890"/>
      <c r="N1178" s="228"/>
      <c r="O1178" s="228"/>
      <c r="P1178" s="227"/>
      <c r="Q1178" s="226"/>
      <c r="R1178" s="226"/>
      <c r="S1178" s="228"/>
      <c r="T1178" s="228"/>
      <c r="U1178" s="228"/>
    </row>
    <row r="1179" ht="13.5" customHeight="1" spans="1:21">
      <c r="A1179" s="226"/>
      <c r="B1179" s="869"/>
      <c r="C1179" s="226"/>
      <c r="D1179" s="227"/>
      <c r="E1179" s="227"/>
      <c r="F1179" s="226"/>
      <c r="G1179" s="226"/>
      <c r="H1179" s="227"/>
      <c r="I1179" s="227"/>
      <c r="J1179" s="227"/>
      <c r="K1179" s="227"/>
      <c r="L1179" s="227"/>
      <c r="M1179" s="890"/>
      <c r="N1179" s="228"/>
      <c r="O1179" s="228"/>
      <c r="P1179" s="227"/>
      <c r="Q1179" s="226"/>
      <c r="R1179" s="226"/>
      <c r="S1179" s="228"/>
      <c r="T1179" s="228"/>
      <c r="U1179" s="228"/>
    </row>
    <row r="1180" ht="13.5" customHeight="1" spans="1:21">
      <c r="A1180" s="226"/>
      <c r="B1180" s="869"/>
      <c r="C1180" s="226"/>
      <c r="D1180" s="227"/>
      <c r="E1180" s="227"/>
      <c r="F1180" s="226"/>
      <c r="G1180" s="226"/>
      <c r="H1180" s="227"/>
      <c r="I1180" s="227"/>
      <c r="J1180" s="227"/>
      <c r="K1180" s="227"/>
      <c r="L1180" s="227"/>
      <c r="M1180" s="890"/>
      <c r="N1180" s="228"/>
      <c r="O1180" s="228"/>
      <c r="P1180" s="227"/>
      <c r="Q1180" s="226"/>
      <c r="R1180" s="226"/>
      <c r="S1180" s="228"/>
      <c r="T1180" s="228"/>
      <c r="U1180" s="228"/>
    </row>
    <row r="1181" ht="13.5" customHeight="1" spans="1:21">
      <c r="A1181" s="226"/>
      <c r="B1181" s="869"/>
      <c r="C1181" s="226"/>
      <c r="D1181" s="227"/>
      <c r="E1181" s="227"/>
      <c r="F1181" s="226"/>
      <c r="G1181" s="226"/>
      <c r="H1181" s="227"/>
      <c r="I1181" s="227"/>
      <c r="J1181" s="227"/>
      <c r="K1181" s="227"/>
      <c r="L1181" s="227"/>
      <c r="M1181" s="890"/>
      <c r="N1181" s="228"/>
      <c r="O1181" s="228"/>
      <c r="P1181" s="227"/>
      <c r="Q1181" s="226"/>
      <c r="R1181" s="226"/>
      <c r="S1181" s="228"/>
      <c r="T1181" s="228"/>
      <c r="U1181" s="228"/>
    </row>
    <row r="1182" ht="13.5" customHeight="1" spans="1:21">
      <c r="A1182" s="226"/>
      <c r="B1182" s="869"/>
      <c r="C1182" s="226"/>
      <c r="D1182" s="227"/>
      <c r="E1182" s="227"/>
      <c r="F1182" s="226"/>
      <c r="G1182" s="226"/>
      <c r="H1182" s="227"/>
      <c r="I1182" s="227"/>
      <c r="J1182" s="227"/>
      <c r="K1182" s="227"/>
      <c r="L1182" s="227"/>
      <c r="M1182" s="890"/>
      <c r="N1182" s="228"/>
      <c r="O1182" s="228"/>
      <c r="P1182" s="227"/>
      <c r="Q1182" s="226"/>
      <c r="R1182" s="226"/>
      <c r="S1182" s="228"/>
      <c r="T1182" s="228"/>
      <c r="U1182" s="228"/>
    </row>
    <row r="1183" ht="13.5" customHeight="1" spans="1:21">
      <c r="A1183" s="226"/>
      <c r="B1183" s="869"/>
      <c r="C1183" s="226"/>
      <c r="D1183" s="227"/>
      <c r="E1183" s="227"/>
      <c r="F1183" s="226"/>
      <c r="G1183" s="226"/>
      <c r="H1183" s="227"/>
      <c r="I1183" s="227"/>
      <c r="J1183" s="227"/>
      <c r="K1183" s="227"/>
      <c r="L1183" s="227"/>
      <c r="M1183" s="890"/>
      <c r="N1183" s="228"/>
      <c r="O1183" s="228"/>
      <c r="P1183" s="227"/>
      <c r="Q1183" s="226"/>
      <c r="R1183" s="226"/>
      <c r="S1183" s="228"/>
      <c r="T1183" s="228"/>
      <c r="U1183" s="228"/>
    </row>
    <row r="1184" ht="13.5" customHeight="1" spans="1:21">
      <c r="A1184" s="226"/>
      <c r="B1184" s="869"/>
      <c r="C1184" s="226"/>
      <c r="D1184" s="227"/>
      <c r="E1184" s="227"/>
      <c r="F1184" s="226"/>
      <c r="G1184" s="226"/>
      <c r="H1184" s="227"/>
      <c r="I1184" s="227"/>
      <c r="J1184" s="227"/>
      <c r="K1184" s="227"/>
      <c r="L1184" s="227"/>
      <c r="M1184" s="890"/>
      <c r="N1184" s="228"/>
      <c r="O1184" s="228"/>
      <c r="P1184" s="227"/>
      <c r="Q1184" s="226"/>
      <c r="R1184" s="226"/>
      <c r="S1184" s="228"/>
      <c r="T1184" s="228"/>
      <c r="U1184" s="228"/>
    </row>
    <row r="1185" ht="13.5" customHeight="1" spans="1:21">
      <c r="A1185" s="226"/>
      <c r="B1185" s="869"/>
      <c r="C1185" s="226"/>
      <c r="D1185" s="227"/>
      <c r="E1185" s="227"/>
      <c r="F1185" s="226"/>
      <c r="G1185" s="226"/>
      <c r="H1185" s="227"/>
      <c r="I1185" s="227"/>
      <c r="J1185" s="227"/>
      <c r="K1185" s="227"/>
      <c r="L1185" s="227"/>
      <c r="M1185" s="890"/>
      <c r="N1185" s="228"/>
      <c r="O1185" s="228"/>
      <c r="P1185" s="227"/>
      <c r="Q1185" s="226"/>
      <c r="R1185" s="226"/>
      <c r="S1185" s="228"/>
      <c r="T1185" s="228"/>
      <c r="U1185" s="228"/>
    </row>
    <row r="1186" ht="13.5" customHeight="1" spans="1:21">
      <c r="A1186" s="226"/>
      <c r="B1186" s="869"/>
      <c r="C1186" s="226"/>
      <c r="D1186" s="227"/>
      <c r="E1186" s="227"/>
      <c r="F1186" s="226"/>
      <c r="G1186" s="226"/>
      <c r="H1186" s="227"/>
      <c r="I1186" s="227"/>
      <c r="J1186" s="227"/>
      <c r="K1186" s="227"/>
      <c r="L1186" s="227"/>
      <c r="M1186" s="890"/>
      <c r="N1186" s="228"/>
      <c r="O1186" s="228"/>
      <c r="P1186" s="227"/>
      <c r="Q1186" s="226"/>
      <c r="R1186" s="226"/>
      <c r="S1186" s="228"/>
      <c r="T1186" s="228"/>
      <c r="U1186" s="228"/>
    </row>
    <row r="1187" ht="13.5" customHeight="1" spans="1:21">
      <c r="A1187" s="226"/>
      <c r="B1187" s="869"/>
      <c r="C1187" s="226"/>
      <c r="D1187" s="227"/>
      <c r="E1187" s="227"/>
      <c r="F1187" s="226"/>
      <c r="G1187" s="226"/>
      <c r="H1187" s="227"/>
      <c r="I1187" s="227"/>
      <c r="J1187" s="227"/>
      <c r="K1187" s="227"/>
      <c r="L1187" s="227"/>
      <c r="M1187" s="890"/>
      <c r="N1187" s="228"/>
      <c r="O1187" s="228"/>
      <c r="P1187" s="227"/>
      <c r="Q1187" s="226"/>
      <c r="R1187" s="226"/>
      <c r="S1187" s="228"/>
      <c r="T1187" s="228"/>
      <c r="U1187" s="228"/>
    </row>
    <row r="1188" ht="13.5" customHeight="1" spans="1:21">
      <c r="A1188" s="226"/>
      <c r="B1188" s="869"/>
      <c r="C1188" s="226"/>
      <c r="D1188" s="227"/>
      <c r="E1188" s="227"/>
      <c r="F1188" s="226"/>
      <c r="G1188" s="226"/>
      <c r="H1188" s="227"/>
      <c r="I1188" s="227"/>
      <c r="J1188" s="227"/>
      <c r="K1188" s="227"/>
      <c r="L1188" s="227"/>
      <c r="M1188" s="890"/>
      <c r="N1188" s="228"/>
      <c r="O1188" s="228"/>
      <c r="P1188" s="227"/>
      <c r="Q1188" s="226"/>
      <c r="R1188" s="226"/>
      <c r="S1188" s="228"/>
      <c r="T1188" s="228"/>
      <c r="U1188" s="228"/>
    </row>
    <row r="1189" ht="13.5" customHeight="1" spans="1:21">
      <c r="A1189" s="226"/>
      <c r="B1189" s="869"/>
      <c r="C1189" s="226"/>
      <c r="D1189" s="227"/>
      <c r="E1189" s="227"/>
      <c r="F1189" s="226"/>
      <c r="G1189" s="226"/>
      <c r="H1189" s="227"/>
      <c r="I1189" s="227"/>
      <c r="J1189" s="227"/>
      <c r="K1189" s="227"/>
      <c r="L1189" s="227"/>
      <c r="M1189" s="890"/>
      <c r="N1189" s="228"/>
      <c r="O1189" s="228"/>
      <c r="P1189" s="227"/>
      <c r="Q1189" s="226"/>
      <c r="R1189" s="226"/>
      <c r="S1189" s="228"/>
      <c r="T1189" s="228"/>
      <c r="U1189" s="228"/>
    </row>
    <row r="1190" ht="13.5" customHeight="1" spans="1:21">
      <c r="A1190" s="226"/>
      <c r="B1190" s="869"/>
      <c r="C1190" s="226"/>
      <c r="D1190" s="227"/>
      <c r="E1190" s="227"/>
      <c r="F1190" s="226"/>
      <c r="G1190" s="226"/>
      <c r="H1190" s="227"/>
      <c r="I1190" s="227"/>
      <c r="J1190" s="227"/>
      <c r="K1190" s="227"/>
      <c r="L1190" s="227"/>
      <c r="M1190" s="890"/>
      <c r="N1190" s="228"/>
      <c r="O1190" s="228"/>
      <c r="P1190" s="227"/>
      <c r="Q1190" s="226"/>
      <c r="R1190" s="226"/>
      <c r="S1190" s="228"/>
      <c r="T1190" s="228"/>
      <c r="U1190" s="228"/>
    </row>
    <row r="1191" ht="13.5" customHeight="1" spans="1:21">
      <c r="A1191" s="226"/>
      <c r="B1191" s="869"/>
      <c r="C1191" s="226"/>
      <c r="D1191" s="227"/>
      <c r="E1191" s="227"/>
      <c r="F1191" s="226"/>
      <c r="G1191" s="226"/>
      <c r="H1191" s="227"/>
      <c r="I1191" s="227"/>
      <c r="J1191" s="227"/>
      <c r="K1191" s="227"/>
      <c r="L1191" s="227"/>
      <c r="M1191" s="890"/>
      <c r="N1191" s="228"/>
      <c r="O1191" s="228"/>
      <c r="P1191" s="227"/>
      <c r="Q1191" s="226"/>
      <c r="R1191" s="226"/>
      <c r="S1191" s="228"/>
      <c r="T1191" s="228"/>
      <c r="U1191" s="228"/>
    </row>
    <row r="1192" ht="13.5" customHeight="1" spans="1:21">
      <c r="A1192" s="226"/>
      <c r="B1192" s="869"/>
      <c r="C1192" s="226"/>
      <c r="D1192" s="227"/>
      <c r="E1192" s="227"/>
      <c r="F1192" s="226"/>
      <c r="G1192" s="226"/>
      <c r="H1192" s="227"/>
      <c r="I1192" s="227"/>
      <c r="J1192" s="227"/>
      <c r="K1192" s="227"/>
      <c r="L1192" s="227"/>
      <c r="M1192" s="890"/>
      <c r="N1192" s="228"/>
      <c r="O1192" s="228"/>
      <c r="P1192" s="227"/>
      <c r="Q1192" s="226"/>
      <c r="R1192" s="226"/>
      <c r="S1192" s="228"/>
      <c r="T1192" s="228"/>
      <c r="U1192" s="228"/>
    </row>
    <row r="1193" ht="13.5" customHeight="1" spans="1:21">
      <c r="A1193" s="226"/>
      <c r="B1193" s="869"/>
      <c r="C1193" s="226"/>
      <c r="D1193" s="227"/>
      <c r="E1193" s="227"/>
      <c r="F1193" s="226"/>
      <c r="G1193" s="226"/>
      <c r="H1193" s="227"/>
      <c r="I1193" s="227"/>
      <c r="J1193" s="227"/>
      <c r="K1193" s="227"/>
      <c r="L1193" s="227"/>
      <c r="M1193" s="890"/>
      <c r="N1193" s="228"/>
      <c r="O1193" s="228"/>
      <c r="P1193" s="227"/>
      <c r="Q1193" s="226"/>
      <c r="R1193" s="226"/>
      <c r="S1193" s="228"/>
      <c r="T1193" s="228"/>
      <c r="U1193" s="228"/>
    </row>
    <row r="1194" ht="13.5" customHeight="1" spans="1:21">
      <c r="A1194" s="226"/>
      <c r="B1194" s="869"/>
      <c r="C1194" s="226"/>
      <c r="D1194" s="227"/>
      <c r="E1194" s="227"/>
      <c r="F1194" s="226"/>
      <c r="G1194" s="226"/>
      <c r="H1194" s="227"/>
      <c r="I1194" s="227"/>
      <c r="J1194" s="227"/>
      <c r="K1194" s="227"/>
      <c r="L1194" s="227"/>
      <c r="M1194" s="890"/>
      <c r="N1194" s="228"/>
      <c r="O1194" s="228"/>
      <c r="P1194" s="227"/>
      <c r="Q1194" s="226"/>
      <c r="R1194" s="226"/>
      <c r="S1194" s="228"/>
      <c r="T1194" s="228"/>
      <c r="U1194" s="228"/>
    </row>
    <row r="1195" ht="13.5" customHeight="1" spans="1:21">
      <c r="A1195" s="226"/>
      <c r="B1195" s="869"/>
      <c r="C1195" s="226"/>
      <c r="D1195" s="227"/>
      <c r="E1195" s="227"/>
      <c r="F1195" s="226"/>
      <c r="G1195" s="226"/>
      <c r="H1195" s="227"/>
      <c r="I1195" s="227"/>
      <c r="J1195" s="227"/>
      <c r="K1195" s="227"/>
      <c r="L1195" s="227"/>
      <c r="M1195" s="890"/>
      <c r="N1195" s="228"/>
      <c r="O1195" s="228"/>
      <c r="P1195" s="227"/>
      <c r="Q1195" s="226"/>
      <c r="R1195" s="226"/>
      <c r="S1195" s="228"/>
      <c r="T1195" s="228"/>
      <c r="U1195" s="228"/>
    </row>
    <row r="1196" ht="13.5" customHeight="1" spans="1:21">
      <c r="A1196" s="226"/>
      <c r="B1196" s="869"/>
      <c r="C1196" s="226"/>
      <c r="D1196" s="227"/>
      <c r="E1196" s="227"/>
      <c r="F1196" s="226"/>
      <c r="G1196" s="226"/>
      <c r="H1196" s="227"/>
      <c r="I1196" s="227"/>
      <c r="J1196" s="227"/>
      <c r="K1196" s="227"/>
      <c r="L1196" s="227"/>
      <c r="M1196" s="890"/>
      <c r="N1196" s="228"/>
      <c r="O1196" s="228"/>
      <c r="P1196" s="227"/>
      <c r="Q1196" s="226"/>
      <c r="R1196" s="226"/>
      <c r="S1196" s="228"/>
      <c r="T1196" s="228"/>
      <c r="U1196" s="228"/>
    </row>
    <row r="1197" ht="13.5" customHeight="1" spans="1:21">
      <c r="A1197" s="226"/>
      <c r="B1197" s="869"/>
      <c r="C1197" s="226"/>
      <c r="D1197" s="227"/>
      <c r="E1197" s="227"/>
      <c r="F1197" s="226"/>
      <c r="G1197" s="226"/>
      <c r="H1197" s="227"/>
      <c r="I1197" s="227"/>
      <c r="J1197" s="227"/>
      <c r="K1197" s="227"/>
      <c r="L1197" s="227"/>
      <c r="M1197" s="890"/>
      <c r="N1197" s="228"/>
      <c r="O1197" s="228"/>
      <c r="P1197" s="227"/>
      <c r="Q1197" s="226"/>
      <c r="R1197" s="226"/>
      <c r="S1197" s="228"/>
      <c r="T1197" s="228"/>
      <c r="U1197" s="228"/>
    </row>
    <row r="1198" ht="13.5" customHeight="1" spans="1:21">
      <c r="A1198" s="226"/>
      <c r="B1198" s="869"/>
      <c r="C1198" s="226"/>
      <c r="D1198" s="227"/>
      <c r="E1198" s="227"/>
      <c r="F1198" s="226"/>
      <c r="G1198" s="226"/>
      <c r="H1198" s="227"/>
      <c r="I1198" s="227"/>
      <c r="J1198" s="227"/>
      <c r="K1198" s="227"/>
      <c r="L1198" s="227"/>
      <c r="M1198" s="890"/>
      <c r="N1198" s="228"/>
      <c r="O1198" s="228"/>
      <c r="P1198" s="227"/>
      <c r="Q1198" s="226"/>
      <c r="R1198" s="226"/>
      <c r="S1198" s="228"/>
      <c r="T1198" s="228"/>
      <c r="U1198" s="228"/>
    </row>
    <row r="1199" ht="13.5" customHeight="1" spans="1:21">
      <c r="A1199" s="226"/>
      <c r="B1199" s="869"/>
      <c r="C1199" s="226"/>
      <c r="D1199" s="227"/>
      <c r="E1199" s="227"/>
      <c r="F1199" s="226"/>
      <c r="G1199" s="226"/>
      <c r="H1199" s="227"/>
      <c r="I1199" s="227"/>
      <c r="J1199" s="227"/>
      <c r="K1199" s="227"/>
      <c r="L1199" s="227"/>
      <c r="M1199" s="890"/>
      <c r="N1199" s="228"/>
      <c r="O1199" s="228"/>
      <c r="P1199" s="227"/>
      <c r="Q1199" s="226"/>
      <c r="R1199" s="226"/>
      <c r="S1199" s="228"/>
      <c r="T1199" s="228"/>
      <c r="U1199" s="228"/>
    </row>
    <row r="1200" ht="13.5" customHeight="1" spans="1:21">
      <c r="A1200" s="226"/>
      <c r="B1200" s="869"/>
      <c r="C1200" s="226"/>
      <c r="D1200" s="227"/>
      <c r="E1200" s="227"/>
      <c r="F1200" s="226"/>
      <c r="G1200" s="226"/>
      <c r="H1200" s="227"/>
      <c r="I1200" s="227"/>
      <c r="J1200" s="227"/>
      <c r="K1200" s="227"/>
      <c r="L1200" s="227"/>
      <c r="M1200" s="890"/>
      <c r="N1200" s="228"/>
      <c r="O1200" s="228"/>
      <c r="P1200" s="227"/>
      <c r="Q1200" s="226"/>
      <c r="R1200" s="226"/>
      <c r="S1200" s="228"/>
      <c r="T1200" s="228"/>
      <c r="U1200" s="228"/>
    </row>
    <row r="1201" ht="13.5" customHeight="1" spans="1:21">
      <c r="A1201" s="226"/>
      <c r="B1201" s="869"/>
      <c r="C1201" s="226"/>
      <c r="D1201" s="227"/>
      <c r="E1201" s="227"/>
      <c r="F1201" s="226"/>
      <c r="G1201" s="226"/>
      <c r="H1201" s="227"/>
      <c r="I1201" s="227"/>
      <c r="J1201" s="227"/>
      <c r="K1201" s="227"/>
      <c r="L1201" s="227"/>
      <c r="M1201" s="890"/>
      <c r="N1201" s="228"/>
      <c r="O1201" s="228"/>
      <c r="P1201" s="227"/>
      <c r="Q1201" s="226"/>
      <c r="R1201" s="226"/>
      <c r="S1201" s="228"/>
      <c r="T1201" s="228"/>
      <c r="U1201" s="228"/>
    </row>
    <row r="1202" ht="13.5" customHeight="1" spans="1:21">
      <c r="A1202" s="226"/>
      <c r="B1202" s="869"/>
      <c r="C1202" s="226"/>
      <c r="D1202" s="227"/>
      <c r="E1202" s="227"/>
      <c r="F1202" s="226"/>
      <c r="G1202" s="226"/>
      <c r="H1202" s="227"/>
      <c r="I1202" s="227"/>
      <c r="J1202" s="227"/>
      <c r="K1202" s="227"/>
      <c r="L1202" s="227"/>
      <c r="M1202" s="890"/>
      <c r="N1202" s="228"/>
      <c r="O1202" s="228"/>
      <c r="P1202" s="227"/>
      <c r="Q1202" s="226"/>
      <c r="R1202" s="226"/>
      <c r="S1202" s="228"/>
      <c r="T1202" s="228"/>
      <c r="U1202" s="228"/>
    </row>
    <row r="1203" ht="13.5" customHeight="1" spans="1:21">
      <c r="A1203" s="226"/>
      <c r="B1203" s="869"/>
      <c r="C1203" s="226"/>
      <c r="D1203" s="227"/>
      <c r="E1203" s="227"/>
      <c r="F1203" s="226"/>
      <c r="G1203" s="226"/>
      <c r="H1203" s="227"/>
      <c r="I1203" s="227"/>
      <c r="J1203" s="227"/>
      <c r="K1203" s="227"/>
      <c r="L1203" s="227"/>
      <c r="M1203" s="890"/>
      <c r="N1203" s="228"/>
      <c r="O1203" s="228"/>
      <c r="P1203" s="227"/>
      <c r="Q1203" s="226"/>
      <c r="R1203" s="226"/>
      <c r="S1203" s="228"/>
      <c r="T1203" s="228"/>
      <c r="U1203" s="228"/>
    </row>
    <row r="1204" ht="13.5" customHeight="1" spans="1:21">
      <c r="A1204" s="226"/>
      <c r="B1204" s="869"/>
      <c r="C1204" s="226"/>
      <c r="D1204" s="227"/>
      <c r="E1204" s="227"/>
      <c r="F1204" s="226"/>
      <c r="G1204" s="226"/>
      <c r="H1204" s="227"/>
      <c r="I1204" s="227"/>
      <c r="J1204" s="227"/>
      <c r="K1204" s="227"/>
      <c r="L1204" s="227"/>
      <c r="M1204" s="890"/>
      <c r="N1204" s="228"/>
      <c r="O1204" s="228"/>
      <c r="P1204" s="227"/>
      <c r="Q1204" s="226"/>
      <c r="R1204" s="226"/>
      <c r="S1204" s="228"/>
      <c r="T1204" s="228"/>
      <c r="U1204" s="228"/>
    </row>
    <row r="1205" ht="13.5" customHeight="1" spans="1:21">
      <c r="A1205" s="226"/>
      <c r="B1205" s="869"/>
      <c r="C1205" s="226"/>
      <c r="D1205" s="227"/>
      <c r="E1205" s="227"/>
      <c r="F1205" s="226"/>
      <c r="G1205" s="226"/>
      <c r="H1205" s="227"/>
      <c r="I1205" s="227"/>
      <c r="J1205" s="227"/>
      <c r="K1205" s="227"/>
      <c r="L1205" s="227"/>
      <c r="M1205" s="890"/>
      <c r="N1205" s="228"/>
      <c r="O1205" s="228"/>
      <c r="P1205" s="227"/>
      <c r="Q1205" s="226"/>
      <c r="R1205" s="226"/>
      <c r="S1205" s="228"/>
      <c r="T1205" s="228"/>
      <c r="U1205" s="228"/>
    </row>
    <row r="1206" ht="13.5" customHeight="1" spans="1:21">
      <c r="A1206" s="226"/>
      <c r="B1206" s="869"/>
      <c r="C1206" s="226"/>
      <c r="D1206" s="227"/>
      <c r="E1206" s="227"/>
      <c r="F1206" s="226"/>
      <c r="G1206" s="226"/>
      <c r="H1206" s="227"/>
      <c r="I1206" s="227"/>
      <c r="J1206" s="227"/>
      <c r="K1206" s="227"/>
      <c r="L1206" s="227"/>
      <c r="M1206" s="890"/>
      <c r="N1206" s="228"/>
      <c r="O1206" s="228"/>
      <c r="P1206" s="227"/>
      <c r="Q1206" s="226"/>
      <c r="R1206" s="226"/>
      <c r="S1206" s="228"/>
      <c r="T1206" s="228"/>
      <c r="U1206" s="228"/>
    </row>
    <row r="1207" ht="13.5" customHeight="1" spans="1:21">
      <c r="A1207" s="226"/>
      <c r="B1207" s="869"/>
      <c r="C1207" s="226"/>
      <c r="D1207" s="227"/>
      <c r="E1207" s="227"/>
      <c r="F1207" s="226"/>
      <c r="G1207" s="226"/>
      <c r="H1207" s="227"/>
      <c r="I1207" s="227"/>
      <c r="J1207" s="227"/>
      <c r="K1207" s="227"/>
      <c r="L1207" s="227"/>
      <c r="M1207" s="890"/>
      <c r="N1207" s="228"/>
      <c r="O1207" s="228"/>
      <c r="P1207" s="227"/>
      <c r="Q1207" s="226"/>
      <c r="R1207" s="226"/>
      <c r="S1207" s="228"/>
      <c r="T1207" s="228"/>
      <c r="U1207" s="228"/>
    </row>
    <row r="1208" ht="13.5" customHeight="1" spans="1:21">
      <c r="A1208" s="226"/>
      <c r="B1208" s="869"/>
      <c r="C1208" s="226"/>
      <c r="D1208" s="227"/>
      <c r="E1208" s="227"/>
      <c r="F1208" s="226"/>
      <c r="G1208" s="226"/>
      <c r="H1208" s="227"/>
      <c r="I1208" s="227"/>
      <c r="J1208" s="227"/>
      <c r="K1208" s="227"/>
      <c r="L1208" s="227"/>
      <c r="M1208" s="890"/>
      <c r="N1208" s="228"/>
      <c r="O1208" s="228"/>
      <c r="P1208" s="227"/>
      <c r="Q1208" s="226"/>
      <c r="R1208" s="226"/>
      <c r="S1208" s="228"/>
      <c r="T1208" s="228"/>
      <c r="U1208" s="228"/>
    </row>
    <row r="1209" ht="13.5" customHeight="1" spans="1:21">
      <c r="A1209" s="226"/>
      <c r="B1209" s="869"/>
      <c r="C1209" s="226"/>
      <c r="D1209" s="227"/>
      <c r="E1209" s="227"/>
      <c r="F1209" s="226"/>
      <c r="G1209" s="226"/>
      <c r="H1209" s="227"/>
      <c r="I1209" s="227"/>
      <c r="J1209" s="227"/>
      <c r="K1209" s="227"/>
      <c r="L1209" s="227"/>
      <c r="M1209" s="890"/>
      <c r="N1209" s="228"/>
      <c r="O1209" s="228"/>
      <c r="P1209" s="227"/>
      <c r="Q1209" s="226"/>
      <c r="R1209" s="226"/>
      <c r="S1209" s="228"/>
      <c r="T1209" s="228"/>
      <c r="U1209" s="228"/>
    </row>
    <row r="1210" ht="13.5" customHeight="1" spans="1:21">
      <c r="A1210" s="226"/>
      <c r="B1210" s="869"/>
      <c r="C1210" s="226"/>
      <c r="D1210" s="227"/>
      <c r="E1210" s="227"/>
      <c r="F1210" s="226"/>
      <c r="G1210" s="226"/>
      <c r="H1210" s="227"/>
      <c r="I1210" s="227"/>
      <c r="J1210" s="227"/>
      <c r="K1210" s="227"/>
      <c r="L1210" s="227"/>
      <c r="M1210" s="890"/>
      <c r="N1210" s="228"/>
      <c r="O1210" s="228"/>
      <c r="P1210" s="227"/>
      <c r="Q1210" s="226"/>
      <c r="R1210" s="226"/>
      <c r="S1210" s="228"/>
      <c r="T1210" s="228"/>
      <c r="U1210" s="228"/>
    </row>
    <row r="1211" ht="13.5" customHeight="1" spans="1:21">
      <c r="A1211" s="226"/>
      <c r="B1211" s="869"/>
      <c r="C1211" s="226"/>
      <c r="D1211" s="227"/>
      <c r="E1211" s="227"/>
      <c r="F1211" s="226"/>
      <c r="G1211" s="226"/>
      <c r="H1211" s="227"/>
      <c r="I1211" s="227"/>
      <c r="J1211" s="227"/>
      <c r="K1211" s="227"/>
      <c r="L1211" s="227"/>
      <c r="M1211" s="890"/>
      <c r="N1211" s="228"/>
      <c r="O1211" s="228"/>
      <c r="P1211" s="227"/>
      <c r="Q1211" s="226"/>
      <c r="R1211" s="226"/>
      <c r="S1211" s="228"/>
      <c r="T1211" s="228"/>
      <c r="U1211" s="228"/>
    </row>
    <row r="1212" ht="13.5" customHeight="1" spans="1:21">
      <c r="A1212" s="226"/>
      <c r="B1212" s="869"/>
      <c r="C1212" s="226"/>
      <c r="D1212" s="227"/>
      <c r="E1212" s="227"/>
      <c r="F1212" s="226"/>
      <c r="G1212" s="226"/>
      <c r="H1212" s="227"/>
      <c r="I1212" s="227"/>
      <c r="J1212" s="227"/>
      <c r="K1212" s="227"/>
      <c r="L1212" s="227"/>
      <c r="M1212" s="890"/>
      <c r="N1212" s="228"/>
      <c r="O1212" s="228"/>
      <c r="P1212" s="227"/>
      <c r="Q1212" s="226"/>
      <c r="R1212" s="226"/>
      <c r="S1212" s="228"/>
      <c r="T1212" s="228"/>
      <c r="U1212" s="228"/>
    </row>
    <row r="1213" ht="13.5" customHeight="1" spans="1:21">
      <c r="A1213" s="226"/>
      <c r="B1213" s="869"/>
      <c r="C1213" s="226"/>
      <c r="D1213" s="227"/>
      <c r="E1213" s="227"/>
      <c r="F1213" s="226"/>
      <c r="G1213" s="226"/>
      <c r="H1213" s="227"/>
      <c r="I1213" s="227"/>
      <c r="J1213" s="227"/>
      <c r="K1213" s="227"/>
      <c r="L1213" s="227"/>
      <c r="M1213" s="890"/>
      <c r="N1213" s="228"/>
      <c r="O1213" s="228"/>
      <c r="P1213" s="227"/>
      <c r="Q1213" s="226"/>
      <c r="R1213" s="226"/>
      <c r="S1213" s="228"/>
      <c r="T1213" s="228"/>
      <c r="U1213" s="228"/>
    </row>
    <row r="1214" ht="13.5" customHeight="1" spans="1:21">
      <c r="A1214" s="226"/>
      <c r="B1214" s="869"/>
      <c r="C1214" s="226"/>
      <c r="D1214" s="227"/>
      <c r="E1214" s="227"/>
      <c r="F1214" s="226"/>
      <c r="G1214" s="226"/>
      <c r="H1214" s="227"/>
      <c r="I1214" s="227"/>
      <c r="J1214" s="227"/>
      <c r="K1214" s="227"/>
      <c r="L1214" s="227"/>
      <c r="M1214" s="890"/>
      <c r="N1214" s="228"/>
      <c r="O1214" s="228"/>
      <c r="P1214" s="227"/>
      <c r="Q1214" s="226"/>
      <c r="R1214" s="226"/>
      <c r="S1214" s="228"/>
      <c r="T1214" s="228"/>
      <c r="U1214" s="228"/>
    </row>
    <row r="1215" ht="13.5" customHeight="1" spans="1:21">
      <c r="A1215" s="226"/>
      <c r="B1215" s="869"/>
      <c r="C1215" s="226"/>
      <c r="D1215" s="227"/>
      <c r="E1215" s="227"/>
      <c r="F1215" s="226"/>
      <c r="G1215" s="226"/>
      <c r="H1215" s="227"/>
      <c r="I1215" s="227"/>
      <c r="J1215" s="227"/>
      <c r="K1215" s="227"/>
      <c r="L1215" s="227"/>
      <c r="M1215" s="890"/>
      <c r="N1215" s="228"/>
      <c r="O1215" s="228"/>
      <c r="P1215" s="227"/>
      <c r="Q1215" s="226"/>
      <c r="R1215" s="226"/>
      <c r="S1215" s="228"/>
      <c r="T1215" s="228"/>
      <c r="U1215" s="228"/>
    </row>
    <row r="1216" ht="13.5" customHeight="1" spans="1:21">
      <c r="A1216" s="226"/>
      <c r="B1216" s="869"/>
      <c r="C1216" s="226"/>
      <c r="D1216" s="227"/>
      <c r="E1216" s="227"/>
      <c r="F1216" s="226"/>
      <c r="G1216" s="226"/>
      <c r="H1216" s="227"/>
      <c r="I1216" s="227"/>
      <c r="J1216" s="227"/>
      <c r="K1216" s="227"/>
      <c r="L1216" s="227"/>
      <c r="M1216" s="890"/>
      <c r="N1216" s="228"/>
      <c r="O1216" s="228"/>
      <c r="P1216" s="227"/>
      <c r="Q1216" s="226"/>
      <c r="R1216" s="226"/>
      <c r="S1216" s="228"/>
      <c r="T1216" s="228"/>
      <c r="U1216" s="228"/>
    </row>
    <row r="1217" ht="13.5" customHeight="1" spans="1:21">
      <c r="A1217" s="226"/>
      <c r="B1217" s="869"/>
      <c r="C1217" s="226"/>
      <c r="D1217" s="227"/>
      <c r="E1217" s="227"/>
      <c r="F1217" s="226"/>
      <c r="G1217" s="226"/>
      <c r="H1217" s="227"/>
      <c r="I1217" s="227"/>
      <c r="J1217" s="227"/>
      <c r="K1217" s="227"/>
      <c r="L1217" s="227"/>
      <c r="M1217" s="890"/>
      <c r="N1217" s="228"/>
      <c r="O1217" s="228"/>
      <c r="P1217" s="227"/>
      <c r="Q1217" s="226"/>
      <c r="R1217" s="226"/>
      <c r="S1217" s="228"/>
      <c r="T1217" s="228"/>
      <c r="U1217" s="228"/>
    </row>
    <row r="1218" ht="13.5" customHeight="1" spans="1:21">
      <c r="A1218" s="226"/>
      <c r="B1218" s="869"/>
      <c r="C1218" s="226"/>
      <c r="D1218" s="227"/>
      <c r="E1218" s="227"/>
      <c r="F1218" s="226"/>
      <c r="G1218" s="226"/>
      <c r="H1218" s="227"/>
      <c r="I1218" s="227"/>
      <c r="J1218" s="227"/>
      <c r="K1218" s="227"/>
      <c r="L1218" s="227"/>
      <c r="M1218" s="890"/>
      <c r="N1218" s="228"/>
      <c r="O1218" s="228"/>
      <c r="P1218" s="227"/>
      <c r="Q1218" s="226"/>
      <c r="R1218" s="226"/>
      <c r="S1218" s="228"/>
      <c r="T1218" s="228"/>
      <c r="U1218" s="228"/>
    </row>
    <row r="1219" ht="13.5" customHeight="1" spans="1:21">
      <c r="A1219" s="226"/>
      <c r="B1219" s="869"/>
      <c r="C1219" s="226"/>
      <c r="D1219" s="227"/>
      <c r="E1219" s="227"/>
      <c r="F1219" s="226"/>
      <c r="G1219" s="226"/>
      <c r="H1219" s="227"/>
      <c r="I1219" s="227"/>
      <c r="J1219" s="227"/>
      <c r="K1219" s="227"/>
      <c r="L1219" s="227"/>
      <c r="M1219" s="890"/>
      <c r="N1219" s="228"/>
      <c r="O1219" s="228"/>
      <c r="P1219" s="227"/>
      <c r="Q1219" s="226"/>
      <c r="R1219" s="226"/>
      <c r="S1219" s="228"/>
      <c r="T1219" s="228"/>
      <c r="U1219" s="228"/>
    </row>
    <row r="1220" ht="13.5" customHeight="1" spans="1:21">
      <c r="A1220" s="226"/>
      <c r="B1220" s="869"/>
      <c r="C1220" s="226"/>
      <c r="D1220" s="227"/>
      <c r="E1220" s="227"/>
      <c r="F1220" s="226"/>
      <c r="G1220" s="226"/>
      <c r="H1220" s="227"/>
      <c r="I1220" s="227"/>
      <c r="J1220" s="227"/>
      <c r="K1220" s="227"/>
      <c r="L1220" s="227"/>
      <c r="M1220" s="890"/>
      <c r="N1220" s="228"/>
      <c r="O1220" s="228"/>
      <c r="P1220" s="227"/>
      <c r="Q1220" s="226"/>
      <c r="R1220" s="226"/>
      <c r="S1220" s="228"/>
      <c r="T1220" s="228"/>
      <c r="U1220" s="228"/>
    </row>
    <row r="1221" ht="13.5" customHeight="1" spans="1:21">
      <c r="A1221" s="226"/>
      <c r="B1221" s="869"/>
      <c r="C1221" s="226"/>
      <c r="D1221" s="227"/>
      <c r="E1221" s="227"/>
      <c r="F1221" s="226"/>
      <c r="G1221" s="226"/>
      <c r="H1221" s="227"/>
      <c r="I1221" s="227"/>
      <c r="J1221" s="227"/>
      <c r="K1221" s="227"/>
      <c r="L1221" s="227"/>
      <c r="M1221" s="890"/>
      <c r="N1221" s="228"/>
      <c r="O1221" s="228"/>
      <c r="P1221" s="227"/>
      <c r="Q1221" s="226"/>
      <c r="R1221" s="226"/>
      <c r="S1221" s="228"/>
      <c r="T1221" s="228"/>
      <c r="U1221" s="228"/>
    </row>
    <row r="1222" ht="13.5" customHeight="1" spans="1:21">
      <c r="A1222" s="226"/>
      <c r="B1222" s="869"/>
      <c r="C1222" s="226"/>
      <c r="D1222" s="227"/>
      <c r="E1222" s="227"/>
      <c r="F1222" s="226"/>
      <c r="G1222" s="226"/>
      <c r="H1222" s="227"/>
      <c r="I1222" s="227"/>
      <c r="J1222" s="227"/>
      <c r="K1222" s="227"/>
      <c r="L1222" s="227"/>
      <c r="M1222" s="890"/>
      <c r="N1222" s="228"/>
      <c r="O1222" s="228"/>
      <c r="P1222" s="227"/>
      <c r="Q1222" s="226"/>
      <c r="R1222" s="226"/>
      <c r="S1222" s="228"/>
      <c r="T1222" s="228"/>
      <c r="U1222" s="228"/>
    </row>
    <row r="1223" ht="13.5" customHeight="1" spans="1:21">
      <c r="A1223" s="226"/>
      <c r="B1223" s="869"/>
      <c r="C1223" s="226"/>
      <c r="D1223" s="227"/>
      <c r="E1223" s="227"/>
      <c r="F1223" s="226"/>
      <c r="G1223" s="226"/>
      <c r="H1223" s="227"/>
      <c r="I1223" s="227"/>
      <c r="J1223" s="227"/>
      <c r="K1223" s="227"/>
      <c r="L1223" s="227"/>
      <c r="M1223" s="890"/>
      <c r="N1223" s="228"/>
      <c r="O1223" s="228"/>
      <c r="P1223" s="227"/>
      <c r="Q1223" s="226"/>
      <c r="R1223" s="226"/>
      <c r="S1223" s="228"/>
      <c r="T1223" s="228"/>
      <c r="U1223" s="228"/>
    </row>
    <row r="1224" ht="13.5" customHeight="1" spans="1:21">
      <c r="A1224" s="226"/>
      <c r="B1224" s="869"/>
      <c r="C1224" s="226"/>
      <c r="D1224" s="227"/>
      <c r="E1224" s="227"/>
      <c r="F1224" s="226"/>
      <c r="G1224" s="226"/>
      <c r="H1224" s="227"/>
      <c r="I1224" s="227"/>
      <c r="J1224" s="227"/>
      <c r="K1224" s="227"/>
      <c r="L1224" s="227"/>
      <c r="M1224" s="890"/>
      <c r="N1224" s="228"/>
      <c r="O1224" s="228"/>
      <c r="P1224" s="227"/>
      <c r="Q1224" s="226"/>
      <c r="R1224" s="226"/>
      <c r="S1224" s="228"/>
      <c r="T1224" s="228"/>
      <c r="U1224" s="228"/>
    </row>
    <row r="1225" ht="13.5" customHeight="1" spans="1:21">
      <c r="A1225" s="226"/>
      <c r="B1225" s="869"/>
      <c r="C1225" s="226"/>
      <c r="D1225" s="227"/>
      <c r="E1225" s="227"/>
      <c r="F1225" s="226"/>
      <c r="G1225" s="226"/>
      <c r="H1225" s="227"/>
      <c r="I1225" s="227"/>
      <c r="J1225" s="227"/>
      <c r="K1225" s="227"/>
      <c r="L1225" s="227"/>
      <c r="M1225" s="890"/>
      <c r="N1225" s="228"/>
      <c r="O1225" s="228"/>
      <c r="P1225" s="227"/>
      <c r="Q1225" s="226"/>
      <c r="R1225" s="226"/>
      <c r="S1225" s="228"/>
      <c r="T1225" s="228"/>
      <c r="U1225" s="228"/>
    </row>
    <row r="1226" ht="13.5" customHeight="1" spans="1:21">
      <c r="A1226" s="226"/>
      <c r="B1226" s="869"/>
      <c r="C1226" s="226"/>
      <c r="D1226" s="227"/>
      <c r="E1226" s="227"/>
      <c r="F1226" s="226"/>
      <c r="G1226" s="226"/>
      <c r="H1226" s="227"/>
      <c r="I1226" s="227"/>
      <c r="J1226" s="227"/>
      <c r="K1226" s="227"/>
      <c r="L1226" s="227"/>
      <c r="M1226" s="890"/>
      <c r="N1226" s="228"/>
      <c r="O1226" s="228"/>
      <c r="P1226" s="227"/>
      <c r="Q1226" s="226"/>
      <c r="R1226" s="226"/>
      <c r="S1226" s="228"/>
      <c r="T1226" s="228"/>
      <c r="U1226" s="228"/>
    </row>
    <row r="1227" ht="13.5" customHeight="1" spans="1:21">
      <c r="A1227" s="226"/>
      <c r="B1227" s="869"/>
      <c r="C1227" s="226"/>
      <c r="D1227" s="227"/>
      <c r="E1227" s="227"/>
      <c r="F1227" s="226"/>
      <c r="G1227" s="226"/>
      <c r="H1227" s="227"/>
      <c r="I1227" s="227"/>
      <c r="J1227" s="227"/>
      <c r="K1227" s="227"/>
      <c r="L1227" s="227"/>
      <c r="M1227" s="890"/>
      <c r="N1227" s="228"/>
      <c r="O1227" s="228"/>
      <c r="P1227" s="227"/>
      <c r="Q1227" s="226"/>
      <c r="R1227" s="226"/>
      <c r="S1227" s="228"/>
      <c r="T1227" s="228"/>
      <c r="U1227" s="228"/>
    </row>
    <row r="1228" ht="13.5" customHeight="1" spans="1:21">
      <c r="A1228" s="226"/>
      <c r="B1228" s="869"/>
      <c r="C1228" s="226"/>
      <c r="D1228" s="227"/>
      <c r="E1228" s="227"/>
      <c r="F1228" s="226"/>
      <c r="G1228" s="226"/>
      <c r="H1228" s="227"/>
      <c r="I1228" s="227"/>
      <c r="J1228" s="227"/>
      <c r="K1228" s="227"/>
      <c r="L1228" s="227"/>
      <c r="M1228" s="890"/>
      <c r="N1228" s="228"/>
      <c r="O1228" s="228"/>
      <c r="P1228" s="227"/>
      <c r="Q1228" s="226"/>
      <c r="R1228" s="226"/>
      <c r="S1228" s="228"/>
      <c r="T1228" s="228"/>
      <c r="U1228" s="228"/>
    </row>
    <row r="1229" ht="13.5" customHeight="1" spans="1:21">
      <c r="A1229" s="226"/>
      <c r="B1229" s="869"/>
      <c r="C1229" s="226"/>
      <c r="D1229" s="227"/>
      <c r="E1229" s="227"/>
      <c r="F1229" s="226"/>
      <c r="G1229" s="226"/>
      <c r="H1229" s="227"/>
      <c r="I1229" s="227"/>
      <c r="J1229" s="227"/>
      <c r="K1229" s="227"/>
      <c r="L1229" s="227"/>
      <c r="M1229" s="890"/>
      <c r="N1229" s="228"/>
      <c r="O1229" s="228"/>
      <c r="P1229" s="227"/>
      <c r="Q1229" s="226"/>
      <c r="R1229" s="226"/>
      <c r="S1229" s="228"/>
      <c r="T1229" s="228"/>
      <c r="U1229" s="228"/>
    </row>
    <row r="1230" ht="13.5" customHeight="1" spans="1:21">
      <c r="A1230" s="226"/>
      <c r="B1230" s="869"/>
      <c r="C1230" s="226"/>
      <c r="D1230" s="227"/>
      <c r="E1230" s="227"/>
      <c r="F1230" s="226"/>
      <c r="G1230" s="226"/>
      <c r="H1230" s="227"/>
      <c r="I1230" s="227"/>
      <c r="J1230" s="227"/>
      <c r="K1230" s="227"/>
      <c r="L1230" s="227"/>
      <c r="M1230" s="890"/>
      <c r="N1230" s="228"/>
      <c r="O1230" s="228"/>
      <c r="P1230" s="227"/>
      <c r="Q1230" s="226"/>
      <c r="R1230" s="226"/>
      <c r="S1230" s="228"/>
      <c r="T1230" s="228"/>
      <c r="U1230" s="228"/>
    </row>
    <row r="1231" ht="13.5" customHeight="1" spans="1:21">
      <c r="A1231" s="226"/>
      <c r="B1231" s="869"/>
      <c r="C1231" s="226"/>
      <c r="D1231" s="227"/>
      <c r="E1231" s="227"/>
      <c r="F1231" s="226"/>
      <c r="G1231" s="226"/>
      <c r="H1231" s="227"/>
      <c r="I1231" s="227"/>
      <c r="J1231" s="227"/>
      <c r="K1231" s="227"/>
      <c r="L1231" s="227"/>
      <c r="M1231" s="890"/>
      <c r="N1231" s="228"/>
      <c r="O1231" s="228"/>
      <c r="P1231" s="227"/>
      <c r="Q1231" s="226"/>
      <c r="R1231" s="226"/>
      <c r="S1231" s="228"/>
      <c r="T1231" s="228"/>
      <c r="U1231" s="228"/>
    </row>
    <row r="1232" ht="13.5" customHeight="1" spans="1:21">
      <c r="A1232" s="226"/>
      <c r="B1232" s="869"/>
      <c r="C1232" s="226"/>
      <c r="D1232" s="227"/>
      <c r="E1232" s="227"/>
      <c r="F1232" s="226"/>
      <c r="G1232" s="226"/>
      <c r="H1232" s="227"/>
      <c r="I1232" s="227"/>
      <c r="J1232" s="227"/>
      <c r="K1232" s="227"/>
      <c r="L1232" s="227"/>
      <c r="M1232" s="890"/>
      <c r="N1232" s="228"/>
      <c r="O1232" s="228"/>
      <c r="P1232" s="227"/>
      <c r="Q1232" s="226"/>
      <c r="R1232" s="226"/>
      <c r="S1232" s="228"/>
      <c r="T1232" s="228"/>
      <c r="U1232" s="228"/>
    </row>
    <row r="1233" ht="13.5" customHeight="1" spans="1:21">
      <c r="A1233" s="226"/>
      <c r="B1233" s="869"/>
      <c r="C1233" s="226"/>
      <c r="D1233" s="227"/>
      <c r="E1233" s="227"/>
      <c r="F1233" s="226"/>
      <c r="G1233" s="226"/>
      <c r="H1233" s="227"/>
      <c r="I1233" s="227"/>
      <c r="J1233" s="227"/>
      <c r="K1233" s="227"/>
      <c r="L1233" s="227"/>
      <c r="M1233" s="890"/>
      <c r="N1233" s="228"/>
      <c r="O1233" s="228"/>
      <c r="P1233" s="227"/>
      <c r="Q1233" s="226"/>
      <c r="R1233" s="226"/>
      <c r="S1233" s="228"/>
      <c r="T1233" s="228"/>
      <c r="U1233" s="228"/>
    </row>
    <row r="1234" ht="13.5" customHeight="1" spans="1:21">
      <c r="A1234" s="226"/>
      <c r="B1234" s="869"/>
      <c r="C1234" s="226"/>
      <c r="D1234" s="227"/>
      <c r="E1234" s="227"/>
      <c r="F1234" s="226"/>
      <c r="G1234" s="226"/>
      <c r="H1234" s="227"/>
      <c r="I1234" s="227"/>
      <c r="J1234" s="227"/>
      <c r="K1234" s="227"/>
      <c r="L1234" s="227"/>
      <c r="M1234" s="890"/>
      <c r="N1234" s="228"/>
      <c r="O1234" s="228"/>
      <c r="P1234" s="227"/>
      <c r="Q1234" s="226"/>
      <c r="R1234" s="226"/>
      <c r="S1234" s="228"/>
      <c r="T1234" s="228"/>
      <c r="U1234" s="228"/>
    </row>
    <row r="1235" ht="13.5" customHeight="1" spans="1:21">
      <c r="A1235" s="226"/>
      <c r="B1235" s="869"/>
      <c r="C1235" s="226"/>
      <c r="D1235" s="227"/>
      <c r="E1235" s="227"/>
      <c r="F1235" s="226"/>
      <c r="G1235" s="226"/>
      <c r="H1235" s="227"/>
      <c r="I1235" s="227"/>
      <c r="J1235" s="227"/>
      <c r="K1235" s="227"/>
      <c r="L1235" s="227"/>
      <c r="M1235" s="890"/>
      <c r="N1235" s="228"/>
      <c r="O1235" s="228"/>
      <c r="P1235" s="227"/>
      <c r="Q1235" s="226"/>
      <c r="R1235" s="226"/>
      <c r="S1235" s="228"/>
      <c r="T1235" s="228"/>
      <c r="U1235" s="228"/>
    </row>
    <row r="1236" ht="13.5" customHeight="1" spans="1:21">
      <c r="A1236" s="226"/>
      <c r="B1236" s="869"/>
      <c r="C1236" s="226"/>
      <c r="D1236" s="227"/>
      <c r="E1236" s="227"/>
      <c r="F1236" s="226"/>
      <c r="G1236" s="226"/>
      <c r="H1236" s="227"/>
      <c r="I1236" s="227"/>
      <c r="J1236" s="227"/>
      <c r="K1236" s="227"/>
      <c r="L1236" s="227"/>
      <c r="M1236" s="890"/>
      <c r="N1236" s="228"/>
      <c r="O1236" s="228"/>
      <c r="P1236" s="227"/>
      <c r="Q1236" s="226"/>
      <c r="R1236" s="226"/>
      <c r="S1236" s="228"/>
      <c r="T1236" s="228"/>
      <c r="U1236" s="228"/>
    </row>
    <row r="1237" ht="13.5" customHeight="1" spans="1:21">
      <c r="A1237" s="226"/>
      <c r="B1237" s="869"/>
      <c r="C1237" s="226"/>
      <c r="D1237" s="227"/>
      <c r="E1237" s="227"/>
      <c r="F1237" s="226"/>
      <c r="G1237" s="226"/>
      <c r="H1237" s="227"/>
      <c r="I1237" s="227"/>
      <c r="J1237" s="227"/>
      <c r="K1237" s="227"/>
      <c r="L1237" s="227"/>
      <c r="M1237" s="890"/>
      <c r="N1237" s="228"/>
      <c r="O1237" s="228"/>
      <c r="P1237" s="227"/>
      <c r="Q1237" s="226"/>
      <c r="R1237" s="226"/>
      <c r="S1237" s="228"/>
      <c r="T1237" s="228"/>
      <c r="U1237" s="228"/>
    </row>
    <row r="1238" ht="13.5" customHeight="1" spans="1:21">
      <c r="A1238" s="226"/>
      <c r="B1238" s="869"/>
      <c r="C1238" s="226"/>
      <c r="D1238" s="227"/>
      <c r="E1238" s="227"/>
      <c r="F1238" s="226"/>
      <c r="G1238" s="226"/>
      <c r="H1238" s="227"/>
      <c r="I1238" s="227"/>
      <c r="J1238" s="227"/>
      <c r="K1238" s="227"/>
      <c r="L1238" s="227"/>
      <c r="M1238" s="890"/>
      <c r="N1238" s="228"/>
      <c r="O1238" s="228"/>
      <c r="P1238" s="227"/>
      <c r="Q1238" s="226"/>
      <c r="R1238" s="226"/>
      <c r="S1238" s="228"/>
      <c r="T1238" s="228"/>
      <c r="U1238" s="228"/>
    </row>
    <row r="1239" ht="13.5" customHeight="1" spans="1:21">
      <c r="A1239" s="226"/>
      <c r="B1239" s="869"/>
      <c r="C1239" s="226"/>
      <c r="D1239" s="227"/>
      <c r="E1239" s="227"/>
      <c r="F1239" s="226"/>
      <c r="G1239" s="226"/>
      <c r="H1239" s="227"/>
      <c r="I1239" s="227"/>
      <c r="J1239" s="227"/>
      <c r="K1239" s="227"/>
      <c r="L1239" s="227"/>
      <c r="M1239" s="890"/>
      <c r="N1239" s="228"/>
      <c r="O1239" s="228"/>
      <c r="P1239" s="227"/>
      <c r="Q1239" s="226"/>
      <c r="R1239" s="226"/>
      <c r="S1239" s="228"/>
      <c r="T1239" s="228"/>
      <c r="U1239" s="228"/>
    </row>
    <row r="1240" ht="13.5" customHeight="1" spans="1:21">
      <c r="A1240" s="226"/>
      <c r="B1240" s="869"/>
      <c r="C1240" s="226"/>
      <c r="D1240" s="227"/>
      <c r="E1240" s="227"/>
      <c r="F1240" s="226"/>
      <c r="G1240" s="226"/>
      <c r="H1240" s="227"/>
      <c r="I1240" s="227"/>
      <c r="J1240" s="227"/>
      <c r="K1240" s="227"/>
      <c r="L1240" s="227"/>
      <c r="M1240" s="890"/>
      <c r="N1240" s="228"/>
      <c r="O1240" s="228"/>
      <c r="P1240" s="227"/>
      <c r="Q1240" s="226"/>
      <c r="R1240" s="226"/>
      <c r="S1240" s="228"/>
      <c r="T1240" s="228"/>
      <c r="U1240" s="228"/>
    </row>
    <row r="1241" ht="13.5" customHeight="1" spans="1:21">
      <c r="A1241" s="226"/>
      <c r="B1241" s="869"/>
      <c r="C1241" s="226"/>
      <c r="D1241" s="227"/>
      <c r="E1241" s="227"/>
      <c r="F1241" s="226"/>
      <c r="G1241" s="226"/>
      <c r="H1241" s="227"/>
      <c r="I1241" s="227"/>
      <c r="J1241" s="227"/>
      <c r="K1241" s="227"/>
      <c r="L1241" s="227"/>
      <c r="M1241" s="890"/>
      <c r="N1241" s="228"/>
      <c r="O1241" s="228"/>
      <c r="P1241" s="227"/>
      <c r="Q1241" s="226"/>
      <c r="R1241" s="226"/>
      <c r="S1241" s="228"/>
      <c r="T1241" s="228"/>
      <c r="U1241" s="228"/>
    </row>
    <row r="1242" ht="13.5" customHeight="1" spans="1:21">
      <c r="A1242" s="226"/>
      <c r="B1242" s="869"/>
      <c r="C1242" s="226"/>
      <c r="D1242" s="227"/>
      <c r="E1242" s="227"/>
      <c r="F1242" s="226"/>
      <c r="G1242" s="226"/>
      <c r="H1242" s="227"/>
      <c r="I1242" s="227"/>
      <c r="J1242" s="227"/>
      <c r="K1242" s="227"/>
      <c r="L1242" s="227"/>
      <c r="M1242" s="890"/>
      <c r="N1242" s="228"/>
      <c r="O1242" s="228"/>
      <c r="P1242" s="227"/>
      <c r="Q1242" s="226"/>
      <c r="R1242" s="226"/>
      <c r="S1242" s="228"/>
      <c r="T1242" s="228"/>
      <c r="U1242" s="228"/>
    </row>
    <row r="1243" ht="13.5" customHeight="1" spans="1:21">
      <c r="A1243" s="226"/>
      <c r="B1243" s="869"/>
      <c r="C1243" s="226"/>
      <c r="D1243" s="227"/>
      <c r="E1243" s="227"/>
      <c r="F1243" s="226"/>
      <c r="G1243" s="226"/>
      <c r="H1243" s="227"/>
      <c r="I1243" s="227"/>
      <c r="J1243" s="227"/>
      <c r="K1243" s="227"/>
      <c r="L1243" s="227"/>
      <c r="M1243" s="890"/>
      <c r="N1243" s="228"/>
      <c r="O1243" s="228"/>
      <c r="P1243" s="227"/>
      <c r="Q1243" s="226"/>
      <c r="R1243" s="226"/>
      <c r="S1243" s="228"/>
      <c r="T1243" s="228"/>
      <c r="U1243" s="228"/>
    </row>
    <row r="1244" ht="13.5" customHeight="1" spans="1:21">
      <c r="A1244" s="226"/>
      <c r="B1244" s="869"/>
      <c r="C1244" s="226"/>
      <c r="D1244" s="227"/>
      <c r="E1244" s="227"/>
      <c r="F1244" s="226"/>
      <c r="G1244" s="226"/>
      <c r="H1244" s="227"/>
      <c r="I1244" s="227"/>
      <c r="J1244" s="227"/>
      <c r="K1244" s="227"/>
      <c r="L1244" s="227"/>
      <c r="M1244" s="890"/>
      <c r="N1244" s="228"/>
      <c r="O1244" s="228"/>
      <c r="P1244" s="227"/>
      <c r="Q1244" s="226"/>
      <c r="R1244" s="226"/>
      <c r="S1244" s="228"/>
      <c r="T1244" s="228"/>
      <c r="U1244" s="228"/>
    </row>
    <row r="1245" ht="13.5" customHeight="1" spans="1:21">
      <c r="A1245" s="226"/>
      <c r="B1245" s="869"/>
      <c r="C1245" s="226"/>
      <c r="D1245" s="227"/>
      <c r="E1245" s="227"/>
      <c r="F1245" s="226"/>
      <c r="G1245" s="226"/>
      <c r="H1245" s="227"/>
      <c r="I1245" s="227"/>
      <c r="J1245" s="227"/>
      <c r="K1245" s="227"/>
      <c r="L1245" s="227"/>
      <c r="M1245" s="890"/>
      <c r="N1245" s="228"/>
      <c r="O1245" s="228"/>
      <c r="P1245" s="227"/>
      <c r="Q1245" s="226"/>
      <c r="R1245" s="226"/>
      <c r="S1245" s="228"/>
      <c r="T1245" s="228"/>
      <c r="U1245" s="228"/>
    </row>
    <row r="1246" ht="13.5" customHeight="1" spans="1:21">
      <c r="A1246" s="226"/>
      <c r="B1246" s="869"/>
      <c r="C1246" s="226"/>
      <c r="D1246" s="227"/>
      <c r="E1246" s="227"/>
      <c r="F1246" s="226"/>
      <c r="G1246" s="226"/>
      <c r="H1246" s="227"/>
      <c r="I1246" s="227"/>
      <c r="J1246" s="227"/>
      <c r="K1246" s="227"/>
      <c r="L1246" s="227"/>
      <c r="M1246" s="890"/>
      <c r="N1246" s="228"/>
      <c r="O1246" s="228"/>
      <c r="P1246" s="227"/>
      <c r="Q1246" s="226"/>
      <c r="R1246" s="226"/>
      <c r="S1246" s="228"/>
      <c r="T1246" s="228"/>
      <c r="U1246" s="228"/>
    </row>
    <row r="1247" ht="13.5" customHeight="1" spans="1:21">
      <c r="A1247" s="226"/>
      <c r="B1247" s="869"/>
      <c r="C1247" s="226"/>
      <c r="D1247" s="227"/>
      <c r="E1247" s="227"/>
      <c r="F1247" s="226"/>
      <c r="G1247" s="226"/>
      <c r="H1247" s="227"/>
      <c r="I1247" s="227"/>
      <c r="J1247" s="227"/>
      <c r="K1247" s="227"/>
      <c r="L1247" s="227"/>
      <c r="M1247" s="890"/>
      <c r="N1247" s="228"/>
      <c r="O1247" s="228"/>
      <c r="P1247" s="227"/>
      <c r="Q1247" s="226"/>
      <c r="R1247" s="226"/>
      <c r="S1247" s="228"/>
      <c r="T1247" s="228"/>
      <c r="U1247" s="228"/>
    </row>
    <row r="1248" ht="13.5" customHeight="1" spans="1:21">
      <c r="A1248" s="226"/>
      <c r="B1248" s="869"/>
      <c r="C1248" s="226"/>
      <c r="D1248" s="227"/>
      <c r="E1248" s="227"/>
      <c r="F1248" s="226"/>
      <c r="G1248" s="226"/>
      <c r="H1248" s="227"/>
      <c r="I1248" s="227"/>
      <c r="J1248" s="227"/>
      <c r="K1248" s="227"/>
      <c r="L1248" s="227"/>
      <c r="M1248" s="890"/>
      <c r="N1248" s="228"/>
      <c r="O1248" s="228"/>
      <c r="P1248" s="227"/>
      <c r="Q1248" s="226"/>
      <c r="R1248" s="226"/>
      <c r="S1248" s="228"/>
      <c r="T1248" s="228"/>
      <c r="U1248" s="228"/>
    </row>
    <row r="1249" ht="13.5" customHeight="1" spans="1:21">
      <c r="A1249" s="226"/>
      <c r="B1249" s="869"/>
      <c r="C1249" s="226"/>
      <c r="D1249" s="227"/>
      <c r="E1249" s="227"/>
      <c r="F1249" s="226"/>
      <c r="G1249" s="226"/>
      <c r="H1249" s="227"/>
      <c r="I1249" s="227"/>
      <c r="J1249" s="227"/>
      <c r="K1249" s="227"/>
      <c r="L1249" s="227"/>
      <c r="M1249" s="890"/>
      <c r="N1249" s="228"/>
      <c r="O1249" s="228"/>
      <c r="P1249" s="227"/>
      <c r="Q1249" s="226"/>
      <c r="R1249" s="226"/>
      <c r="S1249" s="228"/>
      <c r="T1249" s="228"/>
      <c r="U1249" s="228"/>
    </row>
    <row r="1250" ht="13.5" customHeight="1" spans="1:21">
      <c r="A1250" s="226"/>
      <c r="B1250" s="869"/>
      <c r="C1250" s="226"/>
      <c r="D1250" s="227"/>
      <c r="E1250" s="227"/>
      <c r="F1250" s="226"/>
      <c r="G1250" s="226"/>
      <c r="H1250" s="227"/>
      <c r="I1250" s="227"/>
      <c r="J1250" s="227"/>
      <c r="K1250" s="227"/>
      <c r="L1250" s="227"/>
      <c r="M1250" s="890"/>
      <c r="N1250" s="228"/>
      <c r="O1250" s="228"/>
      <c r="P1250" s="227"/>
      <c r="Q1250" s="226"/>
      <c r="R1250" s="226"/>
      <c r="S1250" s="228"/>
      <c r="T1250" s="228"/>
      <c r="U1250" s="228"/>
    </row>
    <row r="1251" ht="13.5" customHeight="1" spans="1:21">
      <c r="A1251" s="226"/>
      <c r="B1251" s="869"/>
      <c r="C1251" s="226"/>
      <c r="D1251" s="227"/>
      <c r="E1251" s="227"/>
      <c r="F1251" s="226"/>
      <c r="G1251" s="226"/>
      <c r="H1251" s="227"/>
      <c r="I1251" s="227"/>
      <c r="J1251" s="227"/>
      <c r="K1251" s="227"/>
      <c r="L1251" s="227"/>
      <c r="M1251" s="890"/>
      <c r="N1251" s="228"/>
      <c r="O1251" s="228"/>
      <c r="P1251" s="227"/>
      <c r="Q1251" s="226"/>
      <c r="R1251" s="226"/>
      <c r="S1251" s="228"/>
      <c r="T1251" s="228"/>
      <c r="U1251" s="228"/>
    </row>
    <row r="1252" ht="13.5" customHeight="1" spans="1:21">
      <c r="A1252" s="226"/>
      <c r="B1252" s="869"/>
      <c r="C1252" s="226"/>
      <c r="D1252" s="227"/>
      <c r="E1252" s="227"/>
      <c r="F1252" s="226"/>
      <c r="G1252" s="226"/>
      <c r="H1252" s="227"/>
      <c r="I1252" s="227"/>
      <c r="J1252" s="227"/>
      <c r="K1252" s="227"/>
      <c r="L1252" s="227"/>
      <c r="M1252" s="890"/>
      <c r="N1252" s="228"/>
      <c r="O1252" s="228"/>
      <c r="P1252" s="227"/>
      <c r="Q1252" s="226"/>
      <c r="R1252" s="226"/>
      <c r="S1252" s="228"/>
      <c r="T1252" s="228"/>
      <c r="U1252" s="228"/>
    </row>
    <row r="1253" ht="13.5" customHeight="1" spans="1:21">
      <c r="A1253" s="226"/>
      <c r="B1253" s="869"/>
      <c r="C1253" s="226"/>
      <c r="D1253" s="227"/>
      <c r="E1253" s="227"/>
      <c r="F1253" s="226"/>
      <c r="G1253" s="226"/>
      <c r="H1253" s="227"/>
      <c r="I1253" s="227"/>
      <c r="J1253" s="227"/>
      <c r="K1253" s="227"/>
      <c r="L1253" s="227"/>
      <c r="M1253" s="890"/>
      <c r="N1253" s="228"/>
      <c r="O1253" s="228"/>
      <c r="P1253" s="227"/>
      <c r="Q1253" s="226"/>
      <c r="R1253" s="226"/>
      <c r="S1253" s="228"/>
      <c r="T1253" s="228"/>
      <c r="U1253" s="228"/>
    </row>
    <row r="1254" ht="13.5" customHeight="1" spans="1:21">
      <c r="A1254" s="226"/>
      <c r="B1254" s="869"/>
      <c r="C1254" s="226"/>
      <c r="D1254" s="227"/>
      <c r="E1254" s="227"/>
      <c r="F1254" s="226"/>
      <c r="G1254" s="226"/>
      <c r="H1254" s="227"/>
      <c r="I1254" s="227"/>
      <c r="J1254" s="227"/>
      <c r="K1254" s="227"/>
      <c r="L1254" s="227"/>
      <c r="M1254" s="890"/>
      <c r="N1254" s="228"/>
      <c r="O1254" s="228"/>
      <c r="P1254" s="227"/>
      <c r="Q1254" s="226"/>
      <c r="R1254" s="226"/>
      <c r="S1254" s="228"/>
      <c r="T1254" s="228"/>
      <c r="U1254" s="228"/>
    </row>
    <row r="1255" ht="13.5" customHeight="1" spans="1:21">
      <c r="A1255" s="226"/>
      <c r="B1255" s="869"/>
      <c r="C1255" s="226"/>
      <c r="D1255" s="227"/>
      <c r="E1255" s="227"/>
      <c r="F1255" s="226"/>
      <c r="G1255" s="226"/>
      <c r="H1255" s="227"/>
      <c r="I1255" s="227"/>
      <c r="J1255" s="227"/>
      <c r="K1255" s="227"/>
      <c r="L1255" s="227"/>
      <c r="M1255" s="890"/>
      <c r="N1255" s="228"/>
      <c r="O1255" s="228"/>
      <c r="P1255" s="227"/>
      <c r="Q1255" s="226"/>
      <c r="R1255" s="226"/>
      <c r="S1255" s="228"/>
      <c r="T1255" s="228"/>
      <c r="U1255" s="228"/>
    </row>
    <row r="1256" ht="13.5" customHeight="1" spans="1:21">
      <c r="A1256" s="226"/>
      <c r="B1256" s="869"/>
      <c r="C1256" s="226"/>
      <c r="D1256" s="227"/>
      <c r="E1256" s="227"/>
      <c r="F1256" s="226"/>
      <c r="G1256" s="226"/>
      <c r="H1256" s="227"/>
      <c r="I1256" s="227"/>
      <c r="J1256" s="227"/>
      <c r="K1256" s="227"/>
      <c r="L1256" s="227"/>
      <c r="M1256" s="890"/>
      <c r="N1256" s="228"/>
      <c r="O1256" s="228"/>
      <c r="P1256" s="227"/>
      <c r="Q1256" s="226"/>
      <c r="R1256" s="226"/>
      <c r="S1256" s="228"/>
      <c r="T1256" s="228"/>
      <c r="U1256" s="228"/>
    </row>
    <row r="1257" ht="13.5" customHeight="1" spans="1:21">
      <c r="A1257" s="226"/>
      <c r="B1257" s="869"/>
      <c r="C1257" s="226"/>
      <c r="D1257" s="227"/>
      <c r="E1257" s="227"/>
      <c r="F1257" s="226"/>
      <c r="G1257" s="226"/>
      <c r="H1257" s="227"/>
      <c r="I1257" s="227"/>
      <c r="J1257" s="227"/>
      <c r="K1257" s="227"/>
      <c r="L1257" s="227"/>
      <c r="M1257" s="890"/>
      <c r="N1257" s="228"/>
      <c r="O1257" s="228"/>
      <c r="P1257" s="227"/>
      <c r="Q1257" s="226"/>
      <c r="R1257" s="226"/>
      <c r="S1257" s="228"/>
      <c r="T1257" s="228"/>
      <c r="U1257" s="228"/>
    </row>
    <row r="1258" ht="13.5" customHeight="1" spans="1:21">
      <c r="A1258" s="226"/>
      <c r="B1258" s="869"/>
      <c r="C1258" s="226"/>
      <c r="D1258" s="227"/>
      <c r="E1258" s="227"/>
      <c r="F1258" s="226"/>
      <c r="G1258" s="226"/>
      <c r="H1258" s="227"/>
      <c r="I1258" s="227"/>
      <c r="J1258" s="227"/>
      <c r="K1258" s="227"/>
      <c r="L1258" s="227"/>
      <c r="M1258" s="890"/>
      <c r="N1258" s="228"/>
      <c r="O1258" s="228"/>
      <c r="P1258" s="227"/>
      <c r="Q1258" s="226"/>
      <c r="R1258" s="226"/>
      <c r="S1258" s="228"/>
      <c r="T1258" s="228"/>
      <c r="U1258" s="228"/>
    </row>
    <row r="1259" ht="13.5" customHeight="1" spans="1:21">
      <c r="A1259" s="226"/>
      <c r="B1259" s="869"/>
      <c r="C1259" s="226"/>
      <c r="D1259" s="227"/>
      <c r="E1259" s="227"/>
      <c r="F1259" s="226"/>
      <c r="G1259" s="226"/>
      <c r="H1259" s="227"/>
      <c r="I1259" s="227"/>
      <c r="J1259" s="227"/>
      <c r="K1259" s="227"/>
      <c r="L1259" s="227"/>
      <c r="M1259" s="890"/>
      <c r="N1259" s="228"/>
      <c r="O1259" s="228"/>
      <c r="P1259" s="227"/>
      <c r="Q1259" s="226"/>
      <c r="R1259" s="226"/>
      <c r="S1259" s="228"/>
      <c r="T1259" s="228"/>
      <c r="U1259" s="228"/>
    </row>
    <row r="1260" ht="13.5" customHeight="1" spans="1:21">
      <c r="A1260" s="226"/>
      <c r="B1260" s="869"/>
      <c r="C1260" s="226"/>
      <c r="D1260" s="227"/>
      <c r="E1260" s="227"/>
      <c r="F1260" s="226"/>
      <c r="G1260" s="226"/>
      <c r="H1260" s="227"/>
      <c r="I1260" s="227"/>
      <c r="J1260" s="227"/>
      <c r="K1260" s="227"/>
      <c r="L1260" s="227"/>
      <c r="M1260" s="890"/>
      <c r="N1260" s="228"/>
      <c r="O1260" s="228"/>
      <c r="P1260" s="227"/>
      <c r="Q1260" s="226"/>
      <c r="R1260" s="226"/>
      <c r="S1260" s="228"/>
      <c r="T1260" s="228"/>
      <c r="U1260" s="228"/>
    </row>
    <row r="1261" ht="13.5" customHeight="1" spans="1:21">
      <c r="A1261" s="226"/>
      <c r="B1261" s="869"/>
      <c r="C1261" s="226"/>
      <c r="D1261" s="227"/>
      <c r="E1261" s="227"/>
      <c r="F1261" s="226"/>
      <c r="G1261" s="226"/>
      <c r="H1261" s="227"/>
      <c r="I1261" s="227"/>
      <c r="J1261" s="227"/>
      <c r="K1261" s="227"/>
      <c r="L1261" s="227"/>
      <c r="M1261" s="890"/>
      <c r="N1261" s="228"/>
      <c r="O1261" s="228"/>
      <c r="P1261" s="227"/>
      <c r="Q1261" s="226"/>
      <c r="R1261" s="226"/>
      <c r="S1261" s="228"/>
      <c r="T1261" s="228"/>
      <c r="U1261" s="228"/>
    </row>
    <row r="1262" ht="13.5" customHeight="1" spans="1:21">
      <c r="A1262" s="226"/>
      <c r="B1262" s="869"/>
      <c r="C1262" s="226"/>
      <c r="D1262" s="227"/>
      <c r="E1262" s="227"/>
      <c r="F1262" s="226"/>
      <c r="G1262" s="226"/>
      <c r="H1262" s="227"/>
      <c r="I1262" s="227"/>
      <c r="J1262" s="227"/>
      <c r="K1262" s="227"/>
      <c r="L1262" s="227"/>
      <c r="M1262" s="890"/>
      <c r="N1262" s="228"/>
      <c r="O1262" s="228"/>
      <c r="P1262" s="227"/>
      <c r="Q1262" s="226"/>
      <c r="R1262" s="226"/>
      <c r="S1262" s="228"/>
      <c r="T1262" s="228"/>
      <c r="U1262" s="228"/>
    </row>
    <row r="1263" ht="13.5" customHeight="1" spans="1:21">
      <c r="A1263" s="226"/>
      <c r="B1263" s="869"/>
      <c r="C1263" s="226"/>
      <c r="D1263" s="227"/>
      <c r="E1263" s="227"/>
      <c r="F1263" s="226"/>
      <c r="G1263" s="226"/>
      <c r="H1263" s="227"/>
      <c r="I1263" s="227"/>
      <c r="J1263" s="227"/>
      <c r="K1263" s="227"/>
      <c r="L1263" s="227"/>
      <c r="M1263" s="890"/>
      <c r="N1263" s="228"/>
      <c r="O1263" s="228"/>
      <c r="P1263" s="227"/>
      <c r="Q1263" s="226"/>
      <c r="R1263" s="226"/>
      <c r="S1263" s="228"/>
      <c r="T1263" s="228"/>
      <c r="U1263" s="228"/>
    </row>
    <row r="1264" ht="13.5" customHeight="1" spans="1:21">
      <c r="A1264" s="226"/>
      <c r="B1264" s="869"/>
      <c r="C1264" s="226"/>
      <c r="D1264" s="227"/>
      <c r="E1264" s="227"/>
      <c r="F1264" s="226"/>
      <c r="G1264" s="226"/>
      <c r="H1264" s="227"/>
      <c r="I1264" s="227"/>
      <c r="J1264" s="227"/>
      <c r="K1264" s="227"/>
      <c r="L1264" s="227"/>
      <c r="M1264" s="890"/>
      <c r="N1264" s="228"/>
      <c r="O1264" s="228"/>
      <c r="P1264" s="227"/>
      <c r="Q1264" s="226"/>
      <c r="R1264" s="226"/>
      <c r="S1264" s="228"/>
      <c r="T1264" s="228"/>
      <c r="U1264" s="228"/>
    </row>
    <row r="1265" ht="13.5" customHeight="1" spans="1:21">
      <c r="A1265" s="226"/>
      <c r="B1265" s="869"/>
      <c r="C1265" s="226"/>
      <c r="D1265" s="227"/>
      <c r="E1265" s="227"/>
      <c r="F1265" s="226"/>
      <c r="G1265" s="226"/>
      <c r="H1265" s="227"/>
      <c r="I1265" s="227"/>
      <c r="J1265" s="227"/>
      <c r="K1265" s="227"/>
      <c r="L1265" s="227"/>
      <c r="M1265" s="890"/>
      <c r="N1265" s="228"/>
      <c r="O1265" s="228"/>
      <c r="P1265" s="227"/>
      <c r="Q1265" s="226"/>
      <c r="R1265" s="226"/>
      <c r="S1265" s="228"/>
      <c r="T1265" s="228"/>
      <c r="U1265" s="228"/>
    </row>
    <row r="1266" ht="13.5" customHeight="1" spans="1:21">
      <c r="A1266" s="226"/>
      <c r="B1266" s="869"/>
      <c r="C1266" s="226"/>
      <c r="D1266" s="227"/>
      <c r="E1266" s="227"/>
      <c r="F1266" s="226"/>
      <c r="G1266" s="226"/>
      <c r="H1266" s="227"/>
      <c r="I1266" s="227"/>
      <c r="J1266" s="227"/>
      <c r="K1266" s="227"/>
      <c r="L1266" s="227"/>
      <c r="M1266" s="890"/>
      <c r="N1266" s="228"/>
      <c r="O1266" s="228"/>
      <c r="P1266" s="227"/>
      <c r="Q1266" s="226"/>
      <c r="R1266" s="226"/>
      <c r="S1266" s="228"/>
      <c r="T1266" s="228"/>
      <c r="U1266" s="228"/>
    </row>
    <row r="1267" ht="13.5" customHeight="1" spans="1:21">
      <c r="A1267" s="226"/>
      <c r="B1267" s="869"/>
      <c r="C1267" s="226"/>
      <c r="D1267" s="227"/>
      <c r="E1267" s="227"/>
      <c r="F1267" s="226"/>
      <c r="G1267" s="226"/>
      <c r="H1267" s="227"/>
      <c r="I1267" s="227"/>
      <c r="J1267" s="227"/>
      <c r="K1267" s="227"/>
      <c r="L1267" s="227"/>
      <c r="M1267" s="890"/>
      <c r="N1267" s="228"/>
      <c r="O1267" s="228"/>
      <c r="P1267" s="227"/>
      <c r="Q1267" s="226"/>
      <c r="R1267" s="226"/>
      <c r="S1267" s="228"/>
      <c r="T1267" s="228"/>
      <c r="U1267" s="228"/>
    </row>
    <row r="1268" ht="13.5" customHeight="1" spans="1:21">
      <c r="A1268" s="226"/>
      <c r="B1268" s="869"/>
      <c r="C1268" s="226"/>
      <c r="D1268" s="227"/>
      <c r="E1268" s="227"/>
      <c r="F1268" s="226"/>
      <c r="G1268" s="226"/>
      <c r="H1268" s="227"/>
      <c r="I1268" s="227"/>
      <c r="J1268" s="227"/>
      <c r="K1268" s="227"/>
      <c r="L1268" s="227"/>
      <c r="M1268" s="890"/>
      <c r="N1268" s="228"/>
      <c r="O1268" s="228"/>
      <c r="P1268" s="227"/>
      <c r="Q1268" s="226"/>
      <c r="R1268" s="226"/>
      <c r="S1268" s="228"/>
      <c r="T1268" s="228"/>
      <c r="U1268" s="228"/>
    </row>
    <row r="1269" ht="13.5" customHeight="1" spans="1:21">
      <c r="A1269" s="226"/>
      <c r="B1269" s="869"/>
      <c r="C1269" s="226"/>
      <c r="D1269" s="227"/>
      <c r="E1269" s="227"/>
      <c r="F1269" s="226"/>
      <c r="G1269" s="226"/>
      <c r="H1269" s="227"/>
      <c r="I1269" s="227"/>
      <c r="J1269" s="227"/>
      <c r="K1269" s="227"/>
      <c r="L1269" s="227"/>
      <c r="M1269" s="890"/>
      <c r="N1269" s="228"/>
      <c r="O1269" s="228"/>
      <c r="P1269" s="227"/>
      <c r="Q1269" s="226"/>
      <c r="R1269" s="226"/>
      <c r="S1269" s="228"/>
      <c r="T1269" s="228"/>
      <c r="U1269" s="228"/>
    </row>
    <row r="1270" ht="13.5" customHeight="1" spans="1:21">
      <c r="A1270" s="226"/>
      <c r="B1270" s="869"/>
      <c r="C1270" s="226"/>
      <c r="D1270" s="227"/>
      <c r="E1270" s="227"/>
      <c r="F1270" s="226"/>
      <c r="G1270" s="226"/>
      <c r="H1270" s="227"/>
      <c r="I1270" s="227"/>
      <c r="J1270" s="227"/>
      <c r="K1270" s="227"/>
      <c r="L1270" s="227"/>
      <c r="M1270" s="890"/>
      <c r="N1270" s="228"/>
      <c r="O1270" s="228"/>
      <c r="P1270" s="227"/>
      <c r="Q1270" s="226"/>
      <c r="R1270" s="226"/>
      <c r="S1270" s="228"/>
      <c r="T1270" s="228"/>
      <c r="U1270" s="228"/>
    </row>
    <row r="1271" ht="13.5" customHeight="1" spans="1:21">
      <c r="A1271" s="226"/>
      <c r="B1271" s="869"/>
      <c r="C1271" s="226"/>
      <c r="D1271" s="227"/>
      <c r="E1271" s="227"/>
      <c r="F1271" s="226"/>
      <c r="G1271" s="226"/>
      <c r="H1271" s="227"/>
      <c r="I1271" s="227"/>
      <c r="J1271" s="227"/>
      <c r="K1271" s="227"/>
      <c r="L1271" s="227"/>
      <c r="M1271" s="890"/>
      <c r="N1271" s="228"/>
      <c r="O1271" s="228"/>
      <c r="P1271" s="227"/>
      <c r="Q1271" s="226"/>
      <c r="R1271" s="226"/>
      <c r="S1271" s="228"/>
      <c r="T1271" s="228"/>
      <c r="U1271" s="228"/>
    </row>
    <row r="1272" ht="13.5" customHeight="1" spans="1:21">
      <c r="A1272" s="226"/>
      <c r="B1272" s="869"/>
      <c r="C1272" s="226"/>
      <c r="D1272" s="227"/>
      <c r="E1272" s="227"/>
      <c r="F1272" s="226"/>
      <c r="G1272" s="226"/>
      <c r="H1272" s="227"/>
      <c r="I1272" s="227"/>
      <c r="J1272" s="227"/>
      <c r="K1272" s="227"/>
      <c r="L1272" s="227"/>
      <c r="M1272" s="890"/>
      <c r="N1272" s="228"/>
      <c r="O1272" s="228"/>
      <c r="P1272" s="227"/>
      <c r="Q1272" s="226"/>
      <c r="R1272" s="226"/>
      <c r="S1272" s="228"/>
      <c r="T1272" s="228"/>
      <c r="U1272" s="228"/>
    </row>
    <row r="1273" ht="13.5" customHeight="1" spans="1:21">
      <c r="A1273" s="226"/>
      <c r="B1273" s="869"/>
      <c r="C1273" s="226"/>
      <c r="D1273" s="227"/>
      <c r="E1273" s="227"/>
      <c r="F1273" s="226"/>
      <c r="G1273" s="226"/>
      <c r="H1273" s="227"/>
      <c r="I1273" s="227"/>
      <c r="J1273" s="227"/>
      <c r="K1273" s="227"/>
      <c r="L1273" s="227"/>
      <c r="M1273" s="890"/>
      <c r="N1273" s="228"/>
      <c r="O1273" s="228"/>
      <c r="P1273" s="227"/>
      <c r="Q1273" s="226"/>
      <c r="R1273" s="226"/>
      <c r="S1273" s="228"/>
      <c r="T1273" s="228"/>
      <c r="U1273" s="228"/>
    </row>
    <row r="1274" ht="13.5" customHeight="1" spans="1:21">
      <c r="A1274" s="226"/>
      <c r="B1274" s="869"/>
      <c r="C1274" s="226"/>
      <c r="D1274" s="227"/>
      <c r="E1274" s="227"/>
      <c r="F1274" s="226"/>
      <c r="G1274" s="226"/>
      <c r="H1274" s="227"/>
      <c r="I1274" s="227"/>
      <c r="J1274" s="227"/>
      <c r="K1274" s="227"/>
      <c r="L1274" s="227"/>
      <c r="M1274" s="890"/>
      <c r="N1274" s="228"/>
      <c r="O1274" s="228"/>
      <c r="P1274" s="227"/>
      <c r="Q1274" s="226"/>
      <c r="R1274" s="226"/>
      <c r="S1274" s="228"/>
      <c r="T1274" s="228"/>
      <c r="U1274" s="228"/>
    </row>
    <row r="1275" ht="13.5" customHeight="1" spans="1:21">
      <c r="A1275" s="226"/>
      <c r="B1275" s="869"/>
      <c r="C1275" s="226"/>
      <c r="D1275" s="227"/>
      <c r="E1275" s="227"/>
      <c r="F1275" s="226"/>
      <c r="G1275" s="226"/>
      <c r="H1275" s="227"/>
      <c r="I1275" s="227"/>
      <c r="J1275" s="227"/>
      <c r="K1275" s="227"/>
      <c r="L1275" s="227"/>
      <c r="M1275" s="890"/>
      <c r="N1275" s="228"/>
      <c r="O1275" s="228"/>
      <c r="P1275" s="227"/>
      <c r="Q1275" s="226"/>
      <c r="R1275" s="226"/>
      <c r="S1275" s="228"/>
      <c r="T1275" s="228"/>
      <c r="U1275" s="228"/>
    </row>
    <row r="1276" ht="13.5" customHeight="1" spans="1:21">
      <c r="A1276" s="226"/>
      <c r="B1276" s="869"/>
      <c r="C1276" s="226"/>
      <c r="D1276" s="227"/>
      <c r="E1276" s="227"/>
      <c r="F1276" s="226"/>
      <c r="G1276" s="226"/>
      <c r="H1276" s="227"/>
      <c r="I1276" s="227"/>
      <c r="J1276" s="227"/>
      <c r="K1276" s="227"/>
      <c r="L1276" s="227"/>
      <c r="M1276" s="890"/>
      <c r="N1276" s="228"/>
      <c r="O1276" s="228"/>
      <c r="P1276" s="227"/>
      <c r="Q1276" s="226"/>
      <c r="R1276" s="226"/>
      <c r="S1276" s="228"/>
      <c r="T1276" s="228"/>
      <c r="U1276" s="228"/>
    </row>
    <row r="1277" ht="13.5" customHeight="1" spans="1:21">
      <c r="A1277" s="226"/>
      <c r="B1277" s="869"/>
      <c r="C1277" s="226"/>
      <c r="D1277" s="227"/>
      <c r="E1277" s="227"/>
      <c r="F1277" s="226"/>
      <c r="G1277" s="226"/>
      <c r="H1277" s="227"/>
      <c r="I1277" s="227"/>
      <c r="J1277" s="227"/>
      <c r="K1277" s="227"/>
      <c r="L1277" s="227"/>
      <c r="M1277" s="890"/>
      <c r="N1277" s="228"/>
      <c r="O1277" s="228"/>
      <c r="P1277" s="227"/>
      <c r="Q1277" s="226"/>
      <c r="R1277" s="226"/>
      <c r="S1277" s="228"/>
      <c r="T1277" s="228"/>
      <c r="U1277" s="228"/>
    </row>
    <row r="1278" ht="13.5" customHeight="1" spans="1:21">
      <c r="A1278" s="226"/>
      <c r="B1278" s="869"/>
      <c r="C1278" s="226"/>
      <c r="D1278" s="227"/>
      <c r="E1278" s="227"/>
      <c r="F1278" s="226"/>
      <c r="G1278" s="226"/>
      <c r="H1278" s="227"/>
      <c r="I1278" s="227"/>
      <c r="J1278" s="227"/>
      <c r="K1278" s="227"/>
      <c r="L1278" s="227"/>
      <c r="M1278" s="890"/>
      <c r="N1278" s="228"/>
      <c r="O1278" s="228"/>
      <c r="P1278" s="227"/>
      <c r="Q1278" s="226"/>
      <c r="R1278" s="226"/>
      <c r="S1278" s="228"/>
      <c r="T1278" s="228"/>
      <c r="U1278" s="228"/>
    </row>
    <row r="1279" ht="13.5" customHeight="1" spans="1:21">
      <c r="A1279" s="226"/>
      <c r="B1279" s="869"/>
      <c r="C1279" s="226"/>
      <c r="D1279" s="227"/>
      <c r="E1279" s="227"/>
      <c r="F1279" s="226"/>
      <c r="G1279" s="226"/>
      <c r="H1279" s="227"/>
      <c r="I1279" s="227"/>
      <c r="J1279" s="227"/>
      <c r="K1279" s="227"/>
      <c r="L1279" s="227"/>
      <c r="M1279" s="890"/>
      <c r="N1279" s="228"/>
      <c r="O1279" s="228"/>
      <c r="P1279" s="227"/>
      <c r="Q1279" s="226"/>
      <c r="R1279" s="226"/>
      <c r="S1279" s="228"/>
      <c r="T1279" s="228"/>
      <c r="U1279" s="228"/>
    </row>
    <row r="1280" ht="13.5" customHeight="1" spans="1:21">
      <c r="A1280" s="226"/>
      <c r="B1280" s="869"/>
      <c r="C1280" s="226"/>
      <c r="D1280" s="227"/>
      <c r="E1280" s="227"/>
      <c r="F1280" s="226"/>
      <c r="G1280" s="226"/>
      <c r="H1280" s="227"/>
      <c r="I1280" s="227"/>
      <c r="J1280" s="227"/>
      <c r="K1280" s="227"/>
      <c r="L1280" s="227"/>
      <c r="M1280" s="890"/>
      <c r="N1280" s="228"/>
      <c r="O1280" s="228"/>
      <c r="P1280" s="227"/>
      <c r="Q1280" s="226"/>
      <c r="R1280" s="226"/>
      <c r="S1280" s="228"/>
      <c r="T1280" s="228"/>
      <c r="U1280" s="228"/>
    </row>
    <row r="1281" ht="13.5" customHeight="1" spans="1:21">
      <c r="A1281" s="226"/>
      <c r="B1281" s="869"/>
      <c r="C1281" s="226"/>
      <c r="D1281" s="227"/>
      <c r="E1281" s="227"/>
      <c r="F1281" s="226"/>
      <c r="G1281" s="226"/>
      <c r="H1281" s="227"/>
      <c r="I1281" s="227"/>
      <c r="J1281" s="227"/>
      <c r="K1281" s="227"/>
      <c r="L1281" s="227"/>
      <c r="M1281" s="890"/>
      <c r="N1281" s="228"/>
      <c r="O1281" s="228"/>
      <c r="P1281" s="227"/>
      <c r="Q1281" s="226"/>
      <c r="R1281" s="226"/>
      <c r="S1281" s="228"/>
      <c r="T1281" s="228"/>
      <c r="U1281" s="228"/>
    </row>
    <row r="1282" ht="13.5" customHeight="1" spans="1:21">
      <c r="A1282" s="226"/>
      <c r="B1282" s="869"/>
      <c r="C1282" s="226"/>
      <c r="D1282" s="227"/>
      <c r="E1282" s="227"/>
      <c r="F1282" s="226"/>
      <c r="G1282" s="226"/>
      <c r="H1282" s="227"/>
      <c r="I1282" s="227"/>
      <c r="J1282" s="227"/>
      <c r="K1282" s="227"/>
      <c r="L1282" s="227"/>
      <c r="M1282" s="890"/>
      <c r="N1282" s="228"/>
      <c r="O1282" s="228"/>
      <c r="P1282" s="227"/>
      <c r="Q1282" s="226"/>
      <c r="R1282" s="226"/>
      <c r="S1282" s="228"/>
      <c r="T1282" s="228"/>
      <c r="U1282" s="228"/>
    </row>
    <row r="1283" ht="13.5" customHeight="1" spans="1:21">
      <c r="A1283" s="226"/>
      <c r="B1283" s="869"/>
      <c r="C1283" s="226"/>
      <c r="D1283" s="227"/>
      <c r="E1283" s="227"/>
      <c r="F1283" s="226"/>
      <c r="G1283" s="226"/>
      <c r="H1283" s="227"/>
      <c r="I1283" s="227"/>
      <c r="J1283" s="227"/>
      <c r="K1283" s="227"/>
      <c r="L1283" s="227"/>
      <c r="M1283" s="890"/>
      <c r="N1283" s="228"/>
      <c r="O1283" s="228"/>
      <c r="P1283" s="227"/>
      <c r="Q1283" s="226"/>
      <c r="R1283" s="226"/>
      <c r="S1283" s="228"/>
      <c r="T1283" s="228"/>
      <c r="U1283" s="228"/>
    </row>
    <row r="1284" ht="13.5" customHeight="1" spans="1:21">
      <c r="A1284" s="226"/>
      <c r="B1284" s="869"/>
      <c r="C1284" s="226"/>
      <c r="D1284" s="227"/>
      <c r="E1284" s="227"/>
      <c r="F1284" s="226"/>
      <c r="G1284" s="226"/>
      <c r="H1284" s="227"/>
      <c r="I1284" s="227"/>
      <c r="J1284" s="227"/>
      <c r="K1284" s="227"/>
      <c r="L1284" s="227"/>
      <c r="M1284" s="890"/>
      <c r="N1284" s="228"/>
      <c r="O1284" s="228"/>
      <c r="P1284" s="227"/>
      <c r="Q1284" s="226"/>
      <c r="R1284" s="226"/>
      <c r="S1284" s="228"/>
      <c r="T1284" s="228"/>
      <c r="U1284" s="228"/>
    </row>
    <row r="1285" ht="13.5" customHeight="1" spans="1:21">
      <c r="A1285" s="226"/>
      <c r="B1285" s="869"/>
      <c r="C1285" s="226"/>
      <c r="D1285" s="227"/>
      <c r="E1285" s="227"/>
      <c r="F1285" s="226"/>
      <c r="G1285" s="226"/>
      <c r="H1285" s="227"/>
      <c r="I1285" s="227"/>
      <c r="J1285" s="227"/>
      <c r="K1285" s="227"/>
      <c r="L1285" s="227"/>
      <c r="M1285" s="890"/>
      <c r="N1285" s="228"/>
      <c r="O1285" s="228"/>
      <c r="P1285" s="227"/>
      <c r="Q1285" s="226"/>
      <c r="R1285" s="226"/>
      <c r="S1285" s="228"/>
      <c r="T1285" s="228"/>
      <c r="U1285" s="228"/>
    </row>
    <row r="1286" ht="13.5" customHeight="1" spans="1:21">
      <c r="A1286" s="226"/>
      <c r="B1286" s="869"/>
      <c r="C1286" s="226"/>
      <c r="D1286" s="227"/>
      <c r="E1286" s="227"/>
      <c r="F1286" s="226"/>
      <c r="G1286" s="226"/>
      <c r="H1286" s="227"/>
      <c r="I1286" s="227"/>
      <c r="J1286" s="227"/>
      <c r="K1286" s="227"/>
      <c r="L1286" s="227"/>
      <c r="M1286" s="890"/>
      <c r="N1286" s="228"/>
      <c r="O1286" s="228"/>
      <c r="P1286" s="227"/>
      <c r="Q1286" s="226"/>
      <c r="R1286" s="226"/>
      <c r="S1286" s="228"/>
      <c r="T1286" s="228"/>
      <c r="U1286" s="228"/>
    </row>
    <row r="1287" ht="13.5" customHeight="1" spans="1:21">
      <c r="A1287" s="226"/>
      <c r="B1287" s="869"/>
      <c r="C1287" s="226"/>
      <c r="D1287" s="227"/>
      <c r="E1287" s="227"/>
      <c r="F1287" s="226"/>
      <c r="G1287" s="226"/>
      <c r="H1287" s="227"/>
      <c r="I1287" s="227"/>
      <c r="J1287" s="227"/>
      <c r="K1287" s="227"/>
      <c r="L1287" s="227"/>
      <c r="M1287" s="890"/>
      <c r="N1287" s="228"/>
      <c r="O1287" s="228"/>
      <c r="P1287" s="227"/>
      <c r="Q1287" s="226"/>
      <c r="R1287" s="226"/>
      <c r="S1287" s="228"/>
      <c r="T1287" s="228"/>
      <c r="U1287" s="228"/>
    </row>
    <row r="1288" ht="13.5" customHeight="1" spans="1:21">
      <c r="A1288" s="226"/>
      <c r="B1288" s="869"/>
      <c r="C1288" s="226"/>
      <c r="D1288" s="227"/>
      <c r="E1288" s="227"/>
      <c r="F1288" s="226"/>
      <c r="G1288" s="226"/>
      <c r="H1288" s="227"/>
      <c r="I1288" s="227"/>
      <c r="J1288" s="227"/>
      <c r="K1288" s="227"/>
      <c r="L1288" s="227"/>
      <c r="M1288" s="890"/>
      <c r="N1288" s="228"/>
      <c r="O1288" s="228"/>
      <c r="P1288" s="227"/>
      <c r="Q1288" s="226"/>
      <c r="R1288" s="226"/>
      <c r="S1288" s="228"/>
      <c r="T1288" s="228"/>
      <c r="U1288" s="228"/>
    </row>
    <row r="1289" ht="13.5" customHeight="1" spans="1:21">
      <c r="A1289" s="226"/>
      <c r="B1289" s="869"/>
      <c r="C1289" s="226"/>
      <c r="D1289" s="227"/>
      <c r="E1289" s="227"/>
      <c r="F1289" s="226"/>
      <c r="G1289" s="226"/>
      <c r="H1289" s="227"/>
      <c r="I1289" s="227"/>
      <c r="J1289" s="227"/>
      <c r="K1289" s="227"/>
      <c r="L1289" s="227"/>
      <c r="M1289" s="890"/>
      <c r="N1289" s="228"/>
      <c r="O1289" s="228"/>
      <c r="P1289" s="227"/>
      <c r="Q1289" s="226"/>
      <c r="R1289" s="226"/>
      <c r="S1289" s="228"/>
      <c r="T1289" s="228"/>
      <c r="U1289" s="228"/>
    </row>
    <row r="1290" ht="13.5" customHeight="1" spans="1:21">
      <c r="A1290" s="226"/>
      <c r="B1290" s="869"/>
      <c r="C1290" s="226"/>
      <c r="D1290" s="227"/>
      <c r="E1290" s="227"/>
      <c r="F1290" s="226"/>
      <c r="G1290" s="226"/>
      <c r="H1290" s="227"/>
      <c r="I1290" s="227"/>
      <c r="J1290" s="227"/>
      <c r="K1290" s="227"/>
      <c r="L1290" s="227"/>
      <c r="M1290" s="890"/>
      <c r="N1290" s="228"/>
      <c r="O1290" s="228"/>
      <c r="P1290" s="227"/>
      <c r="Q1290" s="226"/>
      <c r="R1290" s="226"/>
      <c r="S1290" s="228"/>
      <c r="T1290" s="228"/>
      <c r="U1290" s="228"/>
    </row>
    <row r="1291" ht="13.5" customHeight="1" spans="1:21">
      <c r="A1291" s="226"/>
      <c r="B1291" s="869"/>
      <c r="C1291" s="226"/>
      <c r="D1291" s="227"/>
      <c r="E1291" s="227"/>
      <c r="F1291" s="226"/>
      <c r="G1291" s="226"/>
      <c r="H1291" s="227"/>
      <c r="I1291" s="227"/>
      <c r="J1291" s="227"/>
      <c r="K1291" s="227"/>
      <c r="L1291" s="227"/>
      <c r="M1291" s="890"/>
      <c r="N1291" s="228"/>
      <c r="O1291" s="228"/>
      <c r="P1291" s="227"/>
      <c r="Q1291" s="226"/>
      <c r="R1291" s="226"/>
      <c r="S1291" s="228"/>
      <c r="T1291" s="228"/>
      <c r="U1291" s="228"/>
    </row>
    <row r="1292" ht="13.5" customHeight="1" spans="1:21">
      <c r="A1292" s="226"/>
      <c r="B1292" s="869"/>
      <c r="C1292" s="226"/>
      <c r="D1292" s="227"/>
      <c r="E1292" s="227"/>
      <c r="F1292" s="226"/>
      <c r="G1292" s="226"/>
      <c r="H1292" s="227"/>
      <c r="I1292" s="227"/>
      <c r="J1292" s="227"/>
      <c r="K1292" s="227"/>
      <c r="L1292" s="227"/>
      <c r="M1292" s="890"/>
      <c r="N1292" s="228"/>
      <c r="O1292" s="228"/>
      <c r="P1292" s="227"/>
      <c r="Q1292" s="226"/>
      <c r="R1292" s="226"/>
      <c r="S1292" s="228"/>
      <c r="T1292" s="228"/>
      <c r="U1292" s="228"/>
    </row>
    <row r="1293" ht="13.5" customHeight="1" spans="1:21">
      <c r="A1293" s="226"/>
      <c r="B1293" s="869"/>
      <c r="C1293" s="226"/>
      <c r="D1293" s="227"/>
      <c r="E1293" s="227"/>
      <c r="F1293" s="226"/>
      <c r="G1293" s="226"/>
      <c r="H1293" s="227"/>
      <c r="I1293" s="227"/>
      <c r="J1293" s="227"/>
      <c r="K1293" s="227"/>
      <c r="L1293" s="227"/>
      <c r="M1293" s="890"/>
      <c r="N1293" s="228"/>
      <c r="O1293" s="228"/>
      <c r="P1293" s="227"/>
      <c r="Q1293" s="226"/>
      <c r="R1293" s="226"/>
      <c r="S1293" s="228"/>
      <c r="T1293" s="228"/>
      <c r="U1293" s="228"/>
    </row>
    <row r="1294" ht="13.5" customHeight="1" spans="1:21">
      <c r="A1294" s="226"/>
      <c r="B1294" s="869"/>
      <c r="C1294" s="226"/>
      <c r="D1294" s="227"/>
      <c r="E1294" s="227"/>
      <c r="F1294" s="226"/>
      <c r="G1294" s="226"/>
      <c r="H1294" s="227"/>
      <c r="I1294" s="227"/>
      <c r="J1294" s="227"/>
      <c r="K1294" s="227"/>
      <c r="L1294" s="227"/>
      <c r="M1294" s="890"/>
      <c r="N1294" s="228"/>
      <c r="O1294" s="228"/>
      <c r="P1294" s="227"/>
      <c r="Q1294" s="226"/>
      <c r="R1294" s="226"/>
      <c r="S1294" s="228"/>
      <c r="T1294" s="228"/>
      <c r="U1294" s="228"/>
    </row>
    <row r="1295" ht="13.5" customHeight="1" spans="1:21">
      <c r="A1295" s="226"/>
      <c r="B1295" s="869"/>
      <c r="C1295" s="226"/>
      <c r="D1295" s="227"/>
      <c r="E1295" s="227"/>
      <c r="F1295" s="226"/>
      <c r="G1295" s="226"/>
      <c r="H1295" s="227"/>
      <c r="I1295" s="227"/>
      <c r="J1295" s="227"/>
      <c r="K1295" s="227"/>
      <c r="L1295" s="227"/>
      <c r="M1295" s="890"/>
      <c r="N1295" s="228"/>
      <c r="O1295" s="228"/>
      <c r="P1295" s="227"/>
      <c r="Q1295" s="226"/>
      <c r="R1295" s="226"/>
      <c r="S1295" s="228"/>
      <c r="T1295" s="228"/>
      <c r="U1295" s="228"/>
    </row>
    <row r="1296" ht="13.5" customHeight="1" spans="1:21">
      <c r="A1296" s="226"/>
      <c r="B1296" s="869"/>
      <c r="C1296" s="226"/>
      <c r="D1296" s="227"/>
      <c r="E1296" s="227"/>
      <c r="F1296" s="226"/>
      <c r="G1296" s="226"/>
      <c r="H1296" s="227"/>
      <c r="I1296" s="227"/>
      <c r="J1296" s="227"/>
      <c r="K1296" s="227"/>
      <c r="L1296" s="227"/>
      <c r="M1296" s="890"/>
      <c r="N1296" s="228"/>
      <c r="O1296" s="228"/>
      <c r="P1296" s="227"/>
      <c r="Q1296" s="226"/>
      <c r="R1296" s="226"/>
      <c r="S1296" s="228"/>
      <c r="T1296" s="228"/>
      <c r="U1296" s="228"/>
    </row>
    <row r="1297" ht="13.5" customHeight="1" spans="1:21">
      <c r="A1297" s="226"/>
      <c r="B1297" s="869"/>
      <c r="C1297" s="226"/>
      <c r="D1297" s="227"/>
      <c r="E1297" s="227"/>
      <c r="F1297" s="226"/>
      <c r="G1297" s="226"/>
      <c r="H1297" s="227"/>
      <c r="I1297" s="227"/>
      <c r="J1297" s="227"/>
      <c r="K1297" s="227"/>
      <c r="L1297" s="227"/>
      <c r="M1297" s="890"/>
      <c r="N1297" s="228"/>
      <c r="O1297" s="228"/>
      <c r="P1297" s="227"/>
      <c r="Q1297" s="226"/>
      <c r="R1297" s="226"/>
      <c r="S1297" s="228"/>
      <c r="T1297" s="228"/>
      <c r="U1297" s="228"/>
    </row>
    <row r="1298" ht="13.5" customHeight="1" spans="1:21">
      <c r="A1298" s="226"/>
      <c r="B1298" s="869"/>
      <c r="C1298" s="226"/>
      <c r="D1298" s="227"/>
      <c r="E1298" s="227"/>
      <c r="F1298" s="226"/>
      <c r="G1298" s="226"/>
      <c r="H1298" s="227"/>
      <c r="I1298" s="227"/>
      <c r="J1298" s="227"/>
      <c r="K1298" s="227"/>
      <c r="L1298" s="227"/>
      <c r="M1298" s="890"/>
      <c r="N1298" s="228"/>
      <c r="O1298" s="228"/>
      <c r="P1298" s="227"/>
      <c r="Q1298" s="226"/>
      <c r="R1298" s="226"/>
      <c r="S1298" s="228"/>
      <c r="T1298" s="228"/>
      <c r="U1298" s="228"/>
    </row>
    <row r="1299" ht="13.5" customHeight="1" spans="1:21">
      <c r="A1299" s="226"/>
      <c r="B1299" s="869"/>
      <c r="C1299" s="226"/>
      <c r="D1299" s="227"/>
      <c r="E1299" s="227"/>
      <c r="F1299" s="226"/>
      <c r="G1299" s="226"/>
      <c r="H1299" s="227"/>
      <c r="I1299" s="227"/>
      <c r="J1299" s="227"/>
      <c r="K1299" s="227"/>
      <c r="L1299" s="227"/>
      <c r="M1299" s="890"/>
      <c r="N1299" s="228"/>
      <c r="O1299" s="228"/>
      <c r="P1299" s="227"/>
      <c r="Q1299" s="226"/>
      <c r="R1299" s="226"/>
      <c r="S1299" s="228"/>
      <c r="T1299" s="228"/>
      <c r="U1299" s="228"/>
    </row>
    <row r="1300" ht="13.5" customHeight="1" spans="1:21">
      <c r="A1300" s="226"/>
      <c r="B1300" s="869"/>
      <c r="C1300" s="226"/>
      <c r="D1300" s="227"/>
      <c r="E1300" s="227"/>
      <c r="F1300" s="226"/>
      <c r="G1300" s="226"/>
      <c r="H1300" s="227"/>
      <c r="I1300" s="227"/>
      <c r="J1300" s="227"/>
      <c r="K1300" s="227"/>
      <c r="L1300" s="227"/>
      <c r="M1300" s="890"/>
      <c r="N1300" s="228"/>
      <c r="O1300" s="228"/>
      <c r="P1300" s="227"/>
      <c r="Q1300" s="226"/>
      <c r="R1300" s="226"/>
      <c r="S1300" s="228"/>
      <c r="T1300" s="228"/>
      <c r="U1300" s="228"/>
    </row>
    <row r="1301" ht="13.5" customHeight="1" spans="1:21">
      <c r="A1301" s="226"/>
      <c r="B1301" s="869"/>
      <c r="C1301" s="226"/>
      <c r="D1301" s="227"/>
      <c r="E1301" s="227"/>
      <c r="F1301" s="226"/>
      <c r="G1301" s="226"/>
      <c r="H1301" s="227"/>
      <c r="I1301" s="227"/>
      <c r="J1301" s="227"/>
      <c r="K1301" s="227"/>
      <c r="L1301" s="227"/>
      <c r="M1301" s="890"/>
      <c r="N1301" s="228"/>
      <c r="O1301" s="228"/>
      <c r="P1301" s="227"/>
      <c r="Q1301" s="226"/>
      <c r="R1301" s="226"/>
      <c r="S1301" s="228"/>
      <c r="T1301" s="228"/>
      <c r="U1301" s="228"/>
    </row>
    <row r="1302" ht="13.5" customHeight="1" spans="1:21">
      <c r="A1302" s="226"/>
      <c r="B1302" s="869"/>
      <c r="C1302" s="226"/>
      <c r="D1302" s="227"/>
      <c r="E1302" s="227"/>
      <c r="F1302" s="226"/>
      <c r="G1302" s="226"/>
      <c r="H1302" s="227"/>
      <c r="I1302" s="227"/>
      <c r="J1302" s="227"/>
      <c r="K1302" s="227"/>
      <c r="L1302" s="227"/>
      <c r="M1302" s="890"/>
      <c r="N1302" s="228"/>
      <c r="O1302" s="228"/>
      <c r="P1302" s="227"/>
      <c r="Q1302" s="226"/>
      <c r="R1302" s="226"/>
      <c r="S1302" s="228"/>
      <c r="T1302" s="228"/>
      <c r="U1302" s="228"/>
    </row>
    <row r="1303" ht="13.5" customHeight="1" spans="1:21">
      <c r="A1303" s="226"/>
      <c r="B1303" s="869"/>
      <c r="C1303" s="226"/>
      <c r="D1303" s="227"/>
      <c r="E1303" s="227"/>
      <c r="F1303" s="226"/>
      <c r="G1303" s="226"/>
      <c r="H1303" s="227"/>
      <c r="I1303" s="227"/>
      <c r="J1303" s="227"/>
      <c r="K1303" s="227"/>
      <c r="L1303" s="227"/>
      <c r="M1303" s="890"/>
      <c r="N1303" s="228"/>
      <c r="O1303" s="228"/>
      <c r="P1303" s="227"/>
      <c r="Q1303" s="226"/>
      <c r="R1303" s="226"/>
      <c r="S1303" s="228"/>
      <c r="T1303" s="228"/>
      <c r="U1303" s="228"/>
    </row>
    <row r="1304" ht="13.5" customHeight="1" spans="1:21">
      <c r="A1304" s="226"/>
      <c r="B1304" s="869"/>
      <c r="C1304" s="226"/>
      <c r="D1304" s="227"/>
      <c r="E1304" s="227"/>
      <c r="F1304" s="226"/>
      <c r="G1304" s="226"/>
      <c r="H1304" s="227"/>
      <c r="I1304" s="227"/>
      <c r="J1304" s="227"/>
      <c r="K1304" s="227"/>
      <c r="L1304" s="227"/>
      <c r="M1304" s="890"/>
      <c r="N1304" s="228"/>
      <c r="O1304" s="228"/>
      <c r="P1304" s="227"/>
      <c r="Q1304" s="226"/>
      <c r="R1304" s="226"/>
      <c r="S1304" s="228"/>
      <c r="T1304" s="228"/>
      <c r="U1304" s="228"/>
    </row>
    <row r="1305" ht="13.5" customHeight="1" spans="1:21">
      <c r="A1305" s="226"/>
      <c r="B1305" s="869"/>
      <c r="C1305" s="226"/>
      <c r="D1305" s="227"/>
      <c r="E1305" s="227"/>
      <c r="F1305" s="226"/>
      <c r="G1305" s="226"/>
      <c r="H1305" s="227"/>
      <c r="I1305" s="227"/>
      <c r="J1305" s="227"/>
      <c r="K1305" s="227"/>
      <c r="L1305" s="227"/>
      <c r="M1305" s="890"/>
      <c r="N1305" s="228"/>
      <c r="O1305" s="228"/>
      <c r="P1305" s="227"/>
      <c r="Q1305" s="226"/>
      <c r="R1305" s="226"/>
      <c r="S1305" s="228"/>
      <c r="T1305" s="228"/>
      <c r="U1305" s="228"/>
    </row>
    <row r="1306" ht="13.5" customHeight="1" spans="1:21">
      <c r="A1306" s="226"/>
      <c r="B1306" s="869"/>
      <c r="C1306" s="226"/>
      <c r="D1306" s="227"/>
      <c r="E1306" s="227"/>
      <c r="F1306" s="226"/>
      <c r="G1306" s="226"/>
      <c r="H1306" s="227"/>
      <c r="I1306" s="227"/>
      <c r="J1306" s="227"/>
      <c r="K1306" s="227"/>
      <c r="L1306" s="227"/>
      <c r="M1306" s="890"/>
      <c r="N1306" s="228"/>
      <c r="O1306" s="228"/>
      <c r="P1306" s="227"/>
      <c r="Q1306" s="226"/>
      <c r="R1306" s="226"/>
      <c r="S1306" s="228"/>
      <c r="T1306" s="228"/>
      <c r="U1306" s="228"/>
    </row>
    <row r="1307" ht="13.5" customHeight="1" spans="1:21">
      <c r="A1307" s="226"/>
      <c r="B1307" s="869"/>
      <c r="C1307" s="226"/>
      <c r="D1307" s="227"/>
      <c r="E1307" s="227"/>
      <c r="F1307" s="226"/>
      <c r="G1307" s="226"/>
      <c r="H1307" s="227"/>
      <c r="I1307" s="227"/>
      <c r="J1307" s="227"/>
      <c r="K1307" s="227"/>
      <c r="L1307" s="227"/>
      <c r="M1307" s="890"/>
      <c r="N1307" s="228"/>
      <c r="O1307" s="228"/>
      <c r="P1307" s="227"/>
      <c r="Q1307" s="226"/>
      <c r="R1307" s="226"/>
      <c r="S1307" s="228"/>
      <c r="T1307" s="228"/>
      <c r="U1307" s="228"/>
    </row>
    <row r="1308" ht="13.5" customHeight="1" spans="1:21">
      <c r="A1308" s="226"/>
      <c r="B1308" s="869"/>
      <c r="C1308" s="226"/>
      <c r="D1308" s="227"/>
      <c r="E1308" s="227"/>
      <c r="F1308" s="226"/>
      <c r="G1308" s="226"/>
      <c r="H1308" s="227"/>
      <c r="I1308" s="227"/>
      <c r="J1308" s="227"/>
      <c r="K1308" s="227"/>
      <c r="L1308" s="227"/>
      <c r="M1308" s="890"/>
      <c r="N1308" s="228"/>
      <c r="O1308" s="228"/>
      <c r="P1308" s="227"/>
      <c r="Q1308" s="226"/>
      <c r="R1308" s="226"/>
      <c r="S1308" s="228"/>
      <c r="T1308" s="228"/>
      <c r="U1308" s="228"/>
    </row>
    <row r="1309" ht="13.5" customHeight="1" spans="1:21">
      <c r="A1309" s="226"/>
      <c r="B1309" s="869"/>
      <c r="C1309" s="226"/>
      <c r="D1309" s="227"/>
      <c r="E1309" s="227"/>
      <c r="F1309" s="226"/>
      <c r="G1309" s="226"/>
      <c r="H1309" s="227"/>
      <c r="I1309" s="227"/>
      <c r="J1309" s="227"/>
      <c r="K1309" s="227"/>
      <c r="L1309" s="227"/>
      <c r="M1309" s="890"/>
      <c r="N1309" s="228"/>
      <c r="O1309" s="228"/>
      <c r="P1309" s="227"/>
      <c r="Q1309" s="226"/>
      <c r="R1309" s="226"/>
      <c r="S1309" s="228"/>
      <c r="T1309" s="228"/>
      <c r="U1309" s="228"/>
    </row>
    <row r="1310" ht="13.5" customHeight="1" spans="1:21">
      <c r="A1310" s="226"/>
      <c r="B1310" s="869"/>
      <c r="C1310" s="226"/>
      <c r="D1310" s="227"/>
      <c r="E1310" s="227"/>
      <c r="F1310" s="226"/>
      <c r="G1310" s="226"/>
      <c r="H1310" s="227"/>
      <c r="I1310" s="227"/>
      <c r="J1310" s="227"/>
      <c r="K1310" s="227"/>
      <c r="L1310" s="227"/>
      <c r="M1310" s="890"/>
      <c r="N1310" s="228"/>
      <c r="O1310" s="228"/>
      <c r="P1310" s="227"/>
      <c r="Q1310" s="226"/>
      <c r="R1310" s="226"/>
      <c r="S1310" s="228"/>
      <c r="T1310" s="228"/>
      <c r="U1310" s="228"/>
    </row>
    <row r="1311" ht="13.5" customHeight="1" spans="1:21">
      <c r="A1311" s="226"/>
      <c r="B1311" s="869"/>
      <c r="C1311" s="226"/>
      <c r="D1311" s="227"/>
      <c r="E1311" s="227"/>
      <c r="F1311" s="226"/>
      <c r="G1311" s="226"/>
      <c r="H1311" s="227"/>
      <c r="I1311" s="227"/>
      <c r="J1311" s="227"/>
      <c r="K1311" s="227"/>
      <c r="L1311" s="227"/>
      <c r="M1311" s="890"/>
      <c r="N1311" s="228"/>
      <c r="O1311" s="228"/>
      <c r="P1311" s="227"/>
      <c r="Q1311" s="226"/>
      <c r="R1311" s="226"/>
      <c r="S1311" s="228"/>
      <c r="T1311" s="228"/>
      <c r="U1311" s="228"/>
    </row>
    <row r="1312" ht="13.5" customHeight="1" spans="1:21">
      <c r="A1312" s="226"/>
      <c r="B1312" s="869"/>
      <c r="C1312" s="226"/>
      <c r="D1312" s="227"/>
      <c r="E1312" s="227"/>
      <c r="F1312" s="226"/>
      <c r="G1312" s="226"/>
      <c r="H1312" s="227"/>
      <c r="I1312" s="227"/>
      <c r="J1312" s="227"/>
      <c r="K1312" s="227"/>
      <c r="L1312" s="227"/>
      <c r="M1312" s="890"/>
      <c r="N1312" s="228"/>
      <c r="O1312" s="228"/>
      <c r="P1312" s="227"/>
      <c r="Q1312" s="226"/>
      <c r="R1312" s="226"/>
      <c r="S1312" s="228"/>
      <c r="T1312" s="228"/>
      <c r="U1312" s="228"/>
    </row>
    <row r="1313" ht="13.5" customHeight="1" spans="1:21">
      <c r="A1313" s="226"/>
      <c r="B1313" s="869"/>
      <c r="C1313" s="226"/>
      <c r="D1313" s="227"/>
      <c r="E1313" s="227"/>
      <c r="F1313" s="226"/>
      <c r="G1313" s="226"/>
      <c r="H1313" s="227"/>
      <c r="I1313" s="227"/>
      <c r="J1313" s="227"/>
      <c r="K1313" s="227"/>
      <c r="L1313" s="227"/>
      <c r="M1313" s="890"/>
      <c r="N1313" s="228"/>
      <c r="O1313" s="228"/>
      <c r="P1313" s="227"/>
      <c r="Q1313" s="226"/>
      <c r="R1313" s="226"/>
      <c r="S1313" s="228"/>
      <c r="T1313" s="228"/>
      <c r="U1313" s="228"/>
    </row>
    <row r="1314" ht="13.5" customHeight="1" spans="1:21">
      <c r="A1314" s="226"/>
      <c r="B1314" s="869"/>
      <c r="C1314" s="226"/>
      <c r="D1314" s="227"/>
      <c r="E1314" s="227"/>
      <c r="F1314" s="226"/>
      <c r="G1314" s="226"/>
      <c r="H1314" s="227"/>
      <c r="I1314" s="227"/>
      <c r="J1314" s="227"/>
      <c r="K1314" s="227"/>
      <c r="L1314" s="227"/>
      <c r="M1314" s="890"/>
      <c r="N1314" s="228"/>
      <c r="O1314" s="228"/>
      <c r="P1314" s="227"/>
      <c r="Q1314" s="226"/>
      <c r="R1314" s="226"/>
      <c r="S1314" s="228"/>
      <c r="T1314" s="228"/>
      <c r="U1314" s="228"/>
    </row>
    <row r="1315" ht="13.5" customHeight="1" spans="1:21">
      <c r="A1315" s="226"/>
      <c r="B1315" s="869"/>
      <c r="C1315" s="226"/>
      <c r="D1315" s="227"/>
      <c r="E1315" s="227"/>
      <c r="F1315" s="226"/>
      <c r="G1315" s="226"/>
      <c r="H1315" s="227"/>
      <c r="I1315" s="227"/>
      <c r="J1315" s="227"/>
      <c r="K1315" s="227"/>
      <c r="L1315" s="227"/>
      <c r="M1315" s="890"/>
      <c r="N1315" s="228"/>
      <c r="O1315" s="228"/>
      <c r="P1315" s="227"/>
      <c r="Q1315" s="226"/>
      <c r="R1315" s="226"/>
      <c r="S1315" s="228"/>
      <c r="T1315" s="228"/>
      <c r="U1315" s="228"/>
    </row>
    <row r="1316" ht="13.5" customHeight="1" spans="1:21">
      <c r="A1316" s="226"/>
      <c r="B1316" s="869"/>
      <c r="C1316" s="226"/>
      <c r="D1316" s="227"/>
      <c r="E1316" s="227"/>
      <c r="F1316" s="226"/>
      <c r="G1316" s="226"/>
      <c r="H1316" s="227"/>
      <c r="I1316" s="227"/>
      <c r="J1316" s="227"/>
      <c r="K1316" s="227"/>
      <c r="L1316" s="227"/>
      <c r="M1316" s="890"/>
      <c r="N1316" s="228"/>
      <c r="O1316" s="228"/>
      <c r="P1316" s="227"/>
      <c r="Q1316" s="226"/>
      <c r="R1316" s="226"/>
      <c r="S1316" s="228"/>
      <c r="T1316" s="228"/>
      <c r="U1316" s="228"/>
    </row>
    <row r="1317" ht="13.5" customHeight="1" spans="1:21">
      <c r="A1317" s="226"/>
      <c r="B1317" s="869"/>
      <c r="C1317" s="226"/>
      <c r="D1317" s="227"/>
      <c r="E1317" s="227"/>
      <c r="F1317" s="226"/>
      <c r="G1317" s="226"/>
      <c r="H1317" s="227"/>
      <c r="I1317" s="227"/>
      <c r="J1317" s="227"/>
      <c r="K1317" s="227"/>
      <c r="L1317" s="227"/>
      <c r="M1317" s="890"/>
      <c r="N1317" s="228"/>
      <c r="O1317" s="228"/>
      <c r="P1317" s="227"/>
      <c r="Q1317" s="226"/>
      <c r="R1317" s="226"/>
      <c r="S1317" s="228"/>
      <c r="T1317" s="228"/>
      <c r="U1317" s="228"/>
    </row>
    <row r="1318" ht="13.5" customHeight="1" spans="1:21">
      <c r="A1318" s="226"/>
      <c r="B1318" s="869"/>
      <c r="C1318" s="226"/>
      <c r="D1318" s="227"/>
      <c r="E1318" s="227"/>
      <c r="F1318" s="226"/>
      <c r="G1318" s="226"/>
      <c r="H1318" s="227"/>
      <c r="I1318" s="227"/>
      <c r="J1318" s="227"/>
      <c r="K1318" s="227"/>
      <c r="L1318" s="227"/>
      <c r="M1318" s="890"/>
      <c r="N1318" s="228"/>
      <c r="O1318" s="228"/>
      <c r="P1318" s="227"/>
      <c r="Q1318" s="226"/>
      <c r="R1318" s="226"/>
      <c r="S1318" s="228"/>
      <c r="T1318" s="228"/>
      <c r="U1318" s="228"/>
    </row>
    <row r="1319" ht="13.5" customHeight="1" spans="1:21">
      <c r="A1319" s="226"/>
      <c r="B1319" s="869"/>
      <c r="C1319" s="226"/>
      <c r="D1319" s="227"/>
      <c r="E1319" s="227"/>
      <c r="F1319" s="226"/>
      <c r="G1319" s="226"/>
      <c r="H1319" s="227"/>
      <c r="I1319" s="227"/>
      <c r="J1319" s="227"/>
      <c r="K1319" s="227"/>
      <c r="L1319" s="227"/>
      <c r="M1319" s="890"/>
      <c r="N1319" s="228"/>
      <c r="O1319" s="228"/>
      <c r="P1319" s="227"/>
      <c r="Q1319" s="226"/>
      <c r="R1319" s="226"/>
      <c r="S1319" s="228"/>
      <c r="T1319" s="228"/>
      <c r="U1319" s="228"/>
    </row>
    <row r="1320" ht="13.5" customHeight="1" spans="1:21">
      <c r="A1320" s="226"/>
      <c r="B1320" s="869"/>
      <c r="C1320" s="226"/>
      <c r="D1320" s="227"/>
      <c r="E1320" s="227"/>
      <c r="F1320" s="226"/>
      <c r="G1320" s="226"/>
      <c r="H1320" s="227"/>
      <c r="I1320" s="227"/>
      <c r="J1320" s="227"/>
      <c r="K1320" s="227"/>
      <c r="L1320" s="227"/>
      <c r="M1320" s="890"/>
      <c r="N1320" s="228"/>
      <c r="O1320" s="228"/>
      <c r="P1320" s="227"/>
      <c r="Q1320" s="226"/>
      <c r="R1320" s="226"/>
      <c r="S1320" s="228"/>
      <c r="T1320" s="228"/>
      <c r="U1320" s="228"/>
    </row>
    <row r="1321" ht="13.5" customHeight="1" spans="1:21">
      <c r="A1321" s="226"/>
      <c r="B1321" s="869"/>
      <c r="C1321" s="226"/>
      <c r="D1321" s="227"/>
      <c r="E1321" s="227"/>
      <c r="F1321" s="226"/>
      <c r="G1321" s="226"/>
      <c r="H1321" s="227"/>
      <c r="I1321" s="227"/>
      <c r="J1321" s="227"/>
      <c r="K1321" s="227"/>
      <c r="L1321" s="227"/>
      <c r="M1321" s="890"/>
      <c r="N1321" s="228"/>
      <c r="O1321" s="228"/>
      <c r="P1321" s="227"/>
      <c r="Q1321" s="226"/>
      <c r="R1321" s="226"/>
      <c r="S1321" s="228"/>
      <c r="T1321" s="228"/>
      <c r="U1321" s="228"/>
    </row>
    <row r="1322" ht="13.5" customHeight="1" spans="1:21">
      <c r="A1322" s="226"/>
      <c r="B1322" s="869"/>
      <c r="C1322" s="226"/>
      <c r="D1322" s="227"/>
      <c r="E1322" s="227"/>
      <c r="F1322" s="226"/>
      <c r="G1322" s="226"/>
      <c r="H1322" s="227"/>
      <c r="I1322" s="227"/>
      <c r="J1322" s="227"/>
      <c r="K1322" s="227"/>
      <c r="L1322" s="227"/>
      <c r="M1322" s="890"/>
      <c r="N1322" s="228"/>
      <c r="O1322" s="228"/>
      <c r="P1322" s="227"/>
      <c r="Q1322" s="226"/>
      <c r="R1322" s="226"/>
      <c r="S1322" s="228"/>
      <c r="T1322" s="228"/>
      <c r="U1322" s="228"/>
    </row>
    <row r="1323" ht="13.5" customHeight="1" spans="1:21">
      <c r="A1323" s="226"/>
      <c r="B1323" s="869"/>
      <c r="C1323" s="226"/>
      <c r="D1323" s="227"/>
      <c r="E1323" s="227"/>
      <c r="F1323" s="226"/>
      <c r="G1323" s="226"/>
      <c r="H1323" s="227"/>
      <c r="I1323" s="227"/>
      <c r="J1323" s="227"/>
      <c r="K1323" s="227"/>
      <c r="L1323" s="227"/>
      <c r="M1323" s="890"/>
      <c r="N1323" s="228"/>
      <c r="O1323" s="228"/>
      <c r="P1323" s="227"/>
      <c r="Q1323" s="226"/>
      <c r="R1323" s="226"/>
      <c r="S1323" s="228"/>
      <c r="T1323" s="228"/>
      <c r="U1323" s="228"/>
    </row>
    <row r="1324" ht="13.5" customHeight="1" spans="1:21">
      <c r="A1324" s="226"/>
      <c r="B1324" s="869"/>
      <c r="C1324" s="226"/>
      <c r="D1324" s="227"/>
      <c r="E1324" s="227"/>
      <c r="F1324" s="226"/>
      <c r="G1324" s="226"/>
      <c r="H1324" s="227"/>
      <c r="I1324" s="227"/>
      <c r="J1324" s="227"/>
      <c r="K1324" s="227"/>
      <c r="L1324" s="227"/>
      <c r="M1324" s="890"/>
      <c r="N1324" s="228"/>
      <c r="O1324" s="228"/>
      <c r="P1324" s="227"/>
      <c r="Q1324" s="226"/>
      <c r="R1324" s="226"/>
      <c r="S1324" s="228"/>
      <c r="T1324" s="228"/>
      <c r="U1324" s="228"/>
    </row>
    <row r="1325" ht="13.5" customHeight="1" spans="1:21">
      <c r="A1325" s="226"/>
      <c r="B1325" s="869"/>
      <c r="C1325" s="226"/>
      <c r="D1325" s="227"/>
      <c r="E1325" s="227"/>
      <c r="F1325" s="226"/>
      <c r="G1325" s="226"/>
      <c r="H1325" s="227"/>
      <c r="I1325" s="227"/>
      <c r="J1325" s="227"/>
      <c r="K1325" s="227"/>
      <c r="L1325" s="227"/>
      <c r="M1325" s="890"/>
      <c r="N1325" s="228"/>
      <c r="O1325" s="228"/>
      <c r="P1325" s="227"/>
      <c r="Q1325" s="226"/>
      <c r="R1325" s="226"/>
      <c r="S1325" s="228"/>
      <c r="T1325" s="228"/>
      <c r="U1325" s="228"/>
    </row>
    <row r="1326" ht="13.5" customHeight="1" spans="1:21">
      <c r="A1326" s="226"/>
      <c r="B1326" s="869"/>
      <c r="C1326" s="226"/>
      <c r="D1326" s="227"/>
      <c r="E1326" s="227"/>
      <c r="F1326" s="226"/>
      <c r="G1326" s="226"/>
      <c r="H1326" s="227"/>
      <c r="I1326" s="227"/>
      <c r="J1326" s="227"/>
      <c r="K1326" s="227"/>
      <c r="L1326" s="227"/>
      <c r="M1326" s="890"/>
      <c r="N1326" s="228"/>
      <c r="O1326" s="228"/>
      <c r="P1326" s="227"/>
      <c r="Q1326" s="226"/>
      <c r="R1326" s="226"/>
      <c r="S1326" s="228"/>
      <c r="T1326" s="228"/>
      <c r="U1326" s="228"/>
    </row>
    <row r="1327" ht="13.5" customHeight="1" spans="1:21">
      <c r="A1327" s="226"/>
      <c r="B1327" s="869"/>
      <c r="C1327" s="226"/>
      <c r="D1327" s="227"/>
      <c r="E1327" s="227"/>
      <c r="F1327" s="226"/>
      <c r="G1327" s="226"/>
      <c r="H1327" s="227"/>
      <c r="I1327" s="227"/>
      <c r="J1327" s="227"/>
      <c r="K1327" s="227"/>
      <c r="L1327" s="227"/>
      <c r="M1327" s="890"/>
      <c r="N1327" s="228"/>
      <c r="O1327" s="228"/>
      <c r="P1327" s="227"/>
      <c r="Q1327" s="226"/>
      <c r="R1327" s="226"/>
      <c r="S1327" s="228"/>
      <c r="T1327" s="228"/>
      <c r="U1327" s="228"/>
    </row>
    <row r="1328" ht="13.5" customHeight="1" spans="1:21">
      <c r="A1328" s="226"/>
      <c r="B1328" s="869"/>
      <c r="C1328" s="226"/>
      <c r="D1328" s="227"/>
      <c r="E1328" s="227"/>
      <c r="F1328" s="226"/>
      <c r="G1328" s="226"/>
      <c r="H1328" s="227"/>
      <c r="I1328" s="227"/>
      <c r="J1328" s="227"/>
      <c r="K1328" s="227"/>
      <c r="L1328" s="227"/>
      <c r="M1328" s="890"/>
      <c r="N1328" s="228"/>
      <c r="O1328" s="228"/>
      <c r="P1328" s="227"/>
      <c r="Q1328" s="226"/>
      <c r="R1328" s="226"/>
      <c r="S1328" s="228"/>
      <c r="T1328" s="228"/>
      <c r="U1328" s="228"/>
    </row>
    <row r="1329" ht="13.5" customHeight="1" spans="1:21">
      <c r="A1329" s="226"/>
      <c r="B1329" s="869"/>
      <c r="C1329" s="226"/>
      <c r="D1329" s="227"/>
      <c r="E1329" s="227"/>
      <c r="F1329" s="226"/>
      <c r="G1329" s="226"/>
      <c r="H1329" s="227"/>
      <c r="I1329" s="227"/>
      <c r="J1329" s="227"/>
      <c r="K1329" s="227"/>
      <c r="L1329" s="227"/>
      <c r="M1329" s="890"/>
      <c r="N1329" s="228"/>
      <c r="O1329" s="228"/>
      <c r="P1329" s="227"/>
      <c r="Q1329" s="226"/>
      <c r="R1329" s="226"/>
      <c r="S1329" s="228"/>
      <c r="T1329" s="228"/>
      <c r="U1329" s="228"/>
    </row>
    <row r="1330" ht="13.5" customHeight="1" spans="1:21">
      <c r="A1330" s="226"/>
      <c r="B1330" s="869"/>
      <c r="C1330" s="226"/>
      <c r="D1330" s="227"/>
      <c r="E1330" s="227"/>
      <c r="F1330" s="226"/>
      <c r="G1330" s="226"/>
      <c r="H1330" s="227"/>
      <c r="I1330" s="227"/>
      <c r="J1330" s="227"/>
      <c r="K1330" s="227"/>
      <c r="L1330" s="227"/>
      <c r="M1330" s="890"/>
      <c r="N1330" s="228"/>
      <c r="O1330" s="228"/>
      <c r="P1330" s="227"/>
      <c r="Q1330" s="226"/>
      <c r="R1330" s="226"/>
      <c r="S1330" s="228"/>
      <c r="T1330" s="228"/>
      <c r="U1330" s="228"/>
    </row>
    <row r="1331" ht="13.5" customHeight="1" spans="1:21">
      <c r="A1331" s="226"/>
      <c r="B1331" s="869"/>
      <c r="C1331" s="226"/>
      <c r="D1331" s="227"/>
      <c r="E1331" s="227"/>
      <c r="F1331" s="226"/>
      <c r="G1331" s="226"/>
      <c r="H1331" s="227"/>
      <c r="I1331" s="227"/>
      <c r="J1331" s="227"/>
      <c r="K1331" s="227"/>
      <c r="L1331" s="227"/>
      <c r="M1331" s="890"/>
      <c r="N1331" s="228"/>
      <c r="O1331" s="228"/>
      <c r="P1331" s="227"/>
      <c r="Q1331" s="226"/>
      <c r="R1331" s="226"/>
      <c r="S1331" s="228"/>
      <c r="T1331" s="228"/>
      <c r="U1331" s="228"/>
    </row>
    <row r="1332" ht="13.5" customHeight="1" spans="1:21">
      <c r="A1332" s="226"/>
      <c r="B1332" s="869"/>
      <c r="C1332" s="226"/>
      <c r="D1332" s="227"/>
      <c r="E1332" s="227"/>
      <c r="F1332" s="226"/>
      <c r="G1332" s="226"/>
      <c r="H1332" s="227"/>
      <c r="I1332" s="227"/>
      <c r="J1332" s="227"/>
      <c r="K1332" s="227"/>
      <c r="L1332" s="227"/>
      <c r="M1332" s="890"/>
      <c r="N1332" s="228"/>
      <c r="O1332" s="228"/>
      <c r="P1332" s="227"/>
      <c r="Q1332" s="226"/>
      <c r="R1332" s="226"/>
      <c r="S1332" s="228"/>
      <c r="T1332" s="228"/>
      <c r="U1332" s="228"/>
    </row>
    <row r="1333" ht="13.5" customHeight="1" spans="1:21">
      <c r="A1333" s="226"/>
      <c r="B1333" s="869"/>
      <c r="C1333" s="226"/>
      <c r="D1333" s="227"/>
      <c r="E1333" s="227"/>
      <c r="F1333" s="226"/>
      <c r="G1333" s="226"/>
      <c r="H1333" s="227"/>
      <c r="I1333" s="227"/>
      <c r="J1333" s="227"/>
      <c r="K1333" s="227"/>
      <c r="L1333" s="227"/>
      <c r="M1333" s="890"/>
      <c r="N1333" s="228"/>
      <c r="O1333" s="228"/>
      <c r="P1333" s="227"/>
      <c r="Q1333" s="226"/>
      <c r="R1333" s="226"/>
      <c r="S1333" s="228"/>
      <c r="T1333" s="228"/>
      <c r="U1333" s="228"/>
    </row>
    <row r="1334" ht="13.5" customHeight="1" spans="1:21">
      <c r="A1334" s="226"/>
      <c r="B1334" s="869"/>
      <c r="C1334" s="226"/>
      <c r="D1334" s="227"/>
      <c r="E1334" s="227"/>
      <c r="F1334" s="226"/>
      <c r="G1334" s="226"/>
      <c r="H1334" s="227"/>
      <c r="I1334" s="227"/>
      <c r="J1334" s="227"/>
      <c r="K1334" s="227"/>
      <c r="L1334" s="227"/>
      <c r="M1334" s="890"/>
      <c r="N1334" s="228"/>
      <c r="O1334" s="228"/>
      <c r="P1334" s="227"/>
      <c r="Q1334" s="226"/>
      <c r="R1334" s="226"/>
      <c r="S1334" s="228"/>
      <c r="T1334" s="228"/>
      <c r="U1334" s="228"/>
    </row>
    <row r="1335" ht="13.5" customHeight="1" spans="1:21">
      <c r="A1335" s="226"/>
      <c r="B1335" s="869"/>
      <c r="C1335" s="226"/>
      <c r="D1335" s="227"/>
      <c r="E1335" s="227"/>
      <c r="F1335" s="226"/>
      <c r="G1335" s="226"/>
      <c r="H1335" s="227"/>
      <c r="I1335" s="227"/>
      <c r="J1335" s="227"/>
      <c r="K1335" s="227"/>
      <c r="L1335" s="227"/>
      <c r="M1335" s="890"/>
      <c r="N1335" s="228"/>
      <c r="O1335" s="228"/>
      <c r="P1335" s="227"/>
      <c r="Q1335" s="226"/>
      <c r="R1335" s="226"/>
      <c r="S1335" s="228"/>
      <c r="T1335" s="228"/>
      <c r="U1335" s="228"/>
    </row>
    <row r="1336" ht="13.5" customHeight="1" spans="1:21">
      <c r="A1336" s="226"/>
      <c r="B1336" s="869"/>
      <c r="C1336" s="226"/>
      <c r="D1336" s="227"/>
      <c r="E1336" s="227"/>
      <c r="F1336" s="226"/>
      <c r="G1336" s="226"/>
      <c r="H1336" s="227"/>
      <c r="I1336" s="227"/>
      <c r="J1336" s="227"/>
      <c r="K1336" s="227"/>
      <c r="L1336" s="227"/>
      <c r="M1336" s="890"/>
      <c r="N1336" s="228"/>
      <c r="O1336" s="228"/>
      <c r="P1336" s="227"/>
      <c r="Q1336" s="226"/>
      <c r="R1336" s="226"/>
      <c r="S1336" s="228"/>
      <c r="T1336" s="228"/>
      <c r="U1336" s="228"/>
    </row>
    <row r="1337" ht="13.5" customHeight="1" spans="1:21">
      <c r="A1337" s="226"/>
      <c r="B1337" s="869"/>
      <c r="C1337" s="226"/>
      <c r="D1337" s="227"/>
      <c r="E1337" s="227"/>
      <c r="F1337" s="226"/>
      <c r="G1337" s="226"/>
      <c r="H1337" s="227"/>
      <c r="I1337" s="227"/>
      <c r="J1337" s="227"/>
      <c r="K1337" s="227"/>
      <c r="L1337" s="227"/>
      <c r="M1337" s="890"/>
      <c r="N1337" s="228"/>
      <c r="O1337" s="228"/>
      <c r="P1337" s="227"/>
      <c r="Q1337" s="226"/>
      <c r="R1337" s="226"/>
      <c r="S1337" s="228"/>
      <c r="T1337" s="228"/>
      <c r="U1337" s="228"/>
    </row>
    <row r="1338" ht="13.5" customHeight="1" spans="1:21">
      <c r="A1338" s="226"/>
      <c r="B1338" s="869"/>
      <c r="C1338" s="226"/>
      <c r="D1338" s="227"/>
      <c r="E1338" s="227"/>
      <c r="F1338" s="226"/>
      <c r="G1338" s="226"/>
      <c r="H1338" s="227"/>
      <c r="I1338" s="227"/>
      <c r="J1338" s="227"/>
      <c r="K1338" s="227"/>
      <c r="L1338" s="227"/>
      <c r="M1338" s="890"/>
      <c r="N1338" s="228"/>
      <c r="O1338" s="228"/>
      <c r="P1338" s="227"/>
      <c r="Q1338" s="226"/>
      <c r="R1338" s="226"/>
      <c r="S1338" s="228"/>
      <c r="T1338" s="228"/>
      <c r="U1338" s="228"/>
    </row>
    <row r="1339" ht="13.5" customHeight="1" spans="1:21">
      <c r="A1339" s="226"/>
      <c r="B1339" s="869"/>
      <c r="C1339" s="226"/>
      <c r="D1339" s="227"/>
      <c r="E1339" s="227"/>
      <c r="F1339" s="226"/>
      <c r="G1339" s="226"/>
      <c r="H1339" s="227"/>
      <c r="I1339" s="227"/>
      <c r="J1339" s="227"/>
      <c r="K1339" s="227"/>
      <c r="L1339" s="227"/>
      <c r="M1339" s="890"/>
      <c r="N1339" s="228"/>
      <c r="O1339" s="228"/>
      <c r="P1339" s="227"/>
      <c r="Q1339" s="226"/>
      <c r="R1339" s="226"/>
      <c r="S1339" s="228"/>
      <c r="T1339" s="228"/>
      <c r="U1339" s="228"/>
    </row>
    <row r="1340" ht="13.5" customHeight="1" spans="1:21">
      <c r="A1340" s="226"/>
      <c r="B1340" s="869"/>
      <c r="C1340" s="226"/>
      <c r="D1340" s="227"/>
      <c r="E1340" s="227"/>
      <c r="F1340" s="226"/>
      <c r="G1340" s="226"/>
      <c r="H1340" s="227"/>
      <c r="I1340" s="227"/>
      <c r="J1340" s="227"/>
      <c r="K1340" s="227"/>
      <c r="L1340" s="227"/>
      <c r="M1340" s="890"/>
      <c r="N1340" s="228"/>
      <c r="O1340" s="228"/>
      <c r="P1340" s="227"/>
      <c r="Q1340" s="226"/>
      <c r="R1340" s="226"/>
      <c r="S1340" s="228"/>
      <c r="T1340" s="228"/>
      <c r="U1340" s="228"/>
    </row>
    <row r="1341" ht="13.5" customHeight="1" spans="1:21">
      <c r="A1341" s="226"/>
      <c r="B1341" s="869"/>
      <c r="C1341" s="226"/>
      <c r="D1341" s="227"/>
      <c r="E1341" s="227"/>
      <c r="F1341" s="226"/>
      <c r="G1341" s="226"/>
      <c r="H1341" s="227"/>
      <c r="I1341" s="227"/>
      <c r="J1341" s="227"/>
      <c r="K1341" s="227"/>
      <c r="L1341" s="227"/>
      <c r="M1341" s="890"/>
      <c r="N1341" s="228"/>
      <c r="O1341" s="228"/>
      <c r="P1341" s="227"/>
      <c r="Q1341" s="226"/>
      <c r="R1341" s="226"/>
      <c r="S1341" s="228"/>
      <c r="T1341" s="228"/>
      <c r="U1341" s="228"/>
    </row>
    <row r="1342" ht="13.5" customHeight="1" spans="1:21">
      <c r="A1342" s="226"/>
      <c r="B1342" s="869"/>
      <c r="C1342" s="226"/>
      <c r="D1342" s="227"/>
      <c r="E1342" s="227"/>
      <c r="F1342" s="226"/>
      <c r="G1342" s="226"/>
      <c r="H1342" s="227"/>
      <c r="I1342" s="227"/>
      <c r="J1342" s="227"/>
      <c r="K1342" s="227"/>
      <c r="L1342" s="227"/>
      <c r="M1342" s="890"/>
      <c r="N1342" s="228"/>
      <c r="O1342" s="228"/>
      <c r="P1342" s="227"/>
      <c r="Q1342" s="226"/>
      <c r="R1342" s="226"/>
      <c r="S1342" s="228"/>
      <c r="T1342" s="228"/>
      <c r="U1342" s="228"/>
    </row>
    <row r="1343" ht="13.5" customHeight="1" spans="1:21">
      <c r="A1343" s="226"/>
      <c r="B1343" s="869"/>
      <c r="C1343" s="226"/>
      <c r="D1343" s="227"/>
      <c r="E1343" s="227"/>
      <c r="F1343" s="226"/>
      <c r="G1343" s="226"/>
      <c r="H1343" s="227"/>
      <c r="I1343" s="227"/>
      <c r="J1343" s="227"/>
      <c r="K1343" s="227"/>
      <c r="L1343" s="227"/>
      <c r="M1343" s="890"/>
      <c r="N1343" s="228"/>
      <c r="O1343" s="228"/>
      <c r="P1343" s="227"/>
      <c r="Q1343" s="226"/>
      <c r="R1343" s="226"/>
      <c r="S1343" s="228"/>
      <c r="T1343" s="228"/>
      <c r="U1343" s="228"/>
    </row>
    <row r="1344" ht="13.5" customHeight="1" spans="1:21">
      <c r="A1344" s="226"/>
      <c r="B1344" s="869"/>
      <c r="C1344" s="226"/>
      <c r="D1344" s="227"/>
      <c r="E1344" s="227"/>
      <c r="F1344" s="226"/>
      <c r="G1344" s="226"/>
      <c r="H1344" s="227"/>
      <c r="I1344" s="227"/>
      <c r="J1344" s="227"/>
      <c r="K1344" s="227"/>
      <c r="L1344" s="227"/>
      <c r="M1344" s="890"/>
      <c r="N1344" s="228"/>
      <c r="O1344" s="228"/>
      <c r="P1344" s="227"/>
      <c r="Q1344" s="226"/>
      <c r="R1344" s="226"/>
      <c r="S1344" s="228"/>
      <c r="T1344" s="228"/>
      <c r="U1344" s="228"/>
    </row>
    <row r="1345" ht="13.5" customHeight="1" spans="1:21">
      <c r="A1345" s="226"/>
      <c r="B1345" s="869"/>
      <c r="C1345" s="226"/>
      <c r="D1345" s="227"/>
      <c r="E1345" s="227"/>
      <c r="F1345" s="226"/>
      <c r="G1345" s="226"/>
      <c r="H1345" s="227"/>
      <c r="I1345" s="227"/>
      <c r="J1345" s="227"/>
      <c r="K1345" s="227"/>
      <c r="L1345" s="227"/>
      <c r="M1345" s="890"/>
      <c r="N1345" s="228"/>
      <c r="O1345" s="228"/>
      <c r="P1345" s="227"/>
      <c r="Q1345" s="226"/>
      <c r="R1345" s="226"/>
      <c r="S1345" s="228"/>
      <c r="T1345" s="228"/>
      <c r="U1345" s="228"/>
    </row>
    <row r="1346" ht="13.5" customHeight="1" spans="1:21">
      <c r="A1346" s="226"/>
      <c r="B1346" s="869"/>
      <c r="C1346" s="226"/>
      <c r="D1346" s="227"/>
      <c r="E1346" s="227"/>
      <c r="F1346" s="226"/>
      <c r="G1346" s="226"/>
      <c r="H1346" s="227"/>
      <c r="I1346" s="227"/>
      <c r="J1346" s="227"/>
      <c r="K1346" s="227"/>
      <c r="L1346" s="227"/>
      <c r="M1346" s="890"/>
      <c r="N1346" s="228"/>
      <c r="O1346" s="228"/>
      <c r="P1346" s="227"/>
      <c r="Q1346" s="226"/>
      <c r="R1346" s="226"/>
      <c r="S1346" s="228"/>
      <c r="T1346" s="228"/>
      <c r="U1346" s="228"/>
    </row>
    <row r="1347" ht="13.5" customHeight="1" spans="1:21">
      <c r="A1347" s="226"/>
      <c r="B1347" s="869"/>
      <c r="C1347" s="226"/>
      <c r="D1347" s="227"/>
      <c r="E1347" s="227"/>
      <c r="F1347" s="226"/>
      <c r="G1347" s="226"/>
      <c r="H1347" s="227"/>
      <c r="I1347" s="227"/>
      <c r="J1347" s="227"/>
      <c r="K1347" s="227"/>
      <c r="L1347" s="227"/>
      <c r="M1347" s="890"/>
      <c r="N1347" s="228"/>
      <c r="O1347" s="228"/>
      <c r="P1347" s="227"/>
      <c r="Q1347" s="226"/>
      <c r="R1347" s="226"/>
      <c r="S1347" s="228"/>
      <c r="T1347" s="228"/>
      <c r="U1347" s="228"/>
    </row>
    <row r="1348" ht="13.5" customHeight="1" spans="1:21">
      <c r="A1348" s="226"/>
      <c r="B1348" s="869"/>
      <c r="C1348" s="226"/>
      <c r="D1348" s="227"/>
      <c r="E1348" s="227"/>
      <c r="F1348" s="226"/>
      <c r="G1348" s="226"/>
      <c r="H1348" s="227"/>
      <c r="I1348" s="227"/>
      <c r="J1348" s="227"/>
      <c r="K1348" s="227"/>
      <c r="L1348" s="227"/>
      <c r="M1348" s="890"/>
      <c r="N1348" s="228"/>
      <c r="O1348" s="228"/>
      <c r="P1348" s="227"/>
      <c r="Q1348" s="226"/>
      <c r="R1348" s="226"/>
      <c r="S1348" s="228"/>
      <c r="T1348" s="228"/>
      <c r="U1348" s="228"/>
    </row>
    <row r="1349" ht="13.5" customHeight="1" spans="1:21">
      <c r="A1349" s="226"/>
      <c r="B1349" s="869"/>
      <c r="C1349" s="226"/>
      <c r="D1349" s="227"/>
      <c r="E1349" s="227"/>
      <c r="F1349" s="226"/>
      <c r="G1349" s="226"/>
      <c r="H1349" s="227"/>
      <c r="I1349" s="227"/>
      <c r="J1349" s="227"/>
      <c r="K1349" s="227"/>
      <c r="L1349" s="227"/>
      <c r="M1349" s="890"/>
      <c r="N1349" s="228"/>
      <c r="O1349" s="228"/>
      <c r="P1349" s="227"/>
      <c r="Q1349" s="226"/>
      <c r="R1349" s="226"/>
      <c r="S1349" s="228"/>
      <c r="T1349" s="228"/>
      <c r="U1349" s="228"/>
    </row>
    <row r="1350" ht="13.5" customHeight="1" spans="1:21">
      <c r="A1350" s="226"/>
      <c r="B1350" s="869"/>
      <c r="C1350" s="226"/>
      <c r="D1350" s="227"/>
      <c r="E1350" s="227"/>
      <c r="F1350" s="226"/>
      <c r="G1350" s="226"/>
      <c r="H1350" s="227"/>
      <c r="I1350" s="227"/>
      <c r="J1350" s="227"/>
      <c r="K1350" s="227"/>
      <c r="L1350" s="227"/>
      <c r="M1350" s="890"/>
      <c r="N1350" s="228"/>
      <c r="O1350" s="228"/>
      <c r="P1350" s="227"/>
      <c r="Q1350" s="226"/>
      <c r="R1350" s="226"/>
      <c r="S1350" s="228"/>
      <c r="T1350" s="228"/>
      <c r="U1350" s="228"/>
    </row>
    <row r="1351" ht="13.5" customHeight="1" spans="1:21">
      <c r="A1351" s="226"/>
      <c r="B1351" s="869"/>
      <c r="C1351" s="226"/>
      <c r="D1351" s="227"/>
      <c r="E1351" s="227"/>
      <c r="F1351" s="226"/>
      <c r="G1351" s="226"/>
      <c r="H1351" s="227"/>
      <c r="I1351" s="227"/>
      <c r="J1351" s="227"/>
      <c r="K1351" s="227"/>
      <c r="L1351" s="227"/>
      <c r="M1351" s="890"/>
      <c r="N1351" s="228"/>
      <c r="O1351" s="228"/>
      <c r="P1351" s="227"/>
      <c r="Q1351" s="226"/>
      <c r="R1351" s="226"/>
      <c r="S1351" s="228"/>
      <c r="T1351" s="228"/>
      <c r="U1351" s="228"/>
    </row>
    <row r="1352" ht="13.5" customHeight="1" spans="1:21">
      <c r="A1352" s="226"/>
      <c r="B1352" s="869"/>
      <c r="C1352" s="226"/>
      <c r="D1352" s="227"/>
      <c r="E1352" s="227"/>
      <c r="F1352" s="226"/>
      <c r="G1352" s="226"/>
      <c r="H1352" s="227"/>
      <c r="I1352" s="227"/>
      <c r="J1352" s="227"/>
      <c r="K1352" s="227"/>
      <c r="L1352" s="227"/>
      <c r="M1352" s="890"/>
      <c r="N1352" s="228"/>
      <c r="O1352" s="228"/>
      <c r="P1352" s="227"/>
      <c r="Q1352" s="226"/>
      <c r="R1352" s="226"/>
      <c r="S1352" s="228"/>
      <c r="T1352" s="228"/>
      <c r="U1352" s="228"/>
    </row>
    <row r="1353" ht="13.5" customHeight="1" spans="1:21">
      <c r="A1353" s="226"/>
      <c r="B1353" s="869"/>
      <c r="C1353" s="226"/>
      <c r="D1353" s="227"/>
      <c r="E1353" s="227"/>
      <c r="F1353" s="226"/>
      <c r="G1353" s="226"/>
      <c r="H1353" s="227"/>
      <c r="I1353" s="227"/>
      <c r="J1353" s="227"/>
      <c r="K1353" s="227"/>
      <c r="L1353" s="227"/>
      <c r="M1353" s="890"/>
      <c r="N1353" s="228"/>
      <c r="O1353" s="228"/>
      <c r="P1353" s="227"/>
      <c r="Q1353" s="226"/>
      <c r="R1353" s="226"/>
      <c r="S1353" s="228"/>
      <c r="T1353" s="228"/>
      <c r="U1353" s="228"/>
    </row>
    <row r="1354" ht="13.5" customHeight="1" spans="1:21">
      <c r="A1354" s="226"/>
      <c r="B1354" s="869"/>
      <c r="C1354" s="226"/>
      <c r="D1354" s="227"/>
      <c r="E1354" s="227"/>
      <c r="F1354" s="226"/>
      <c r="G1354" s="226"/>
      <c r="H1354" s="227"/>
      <c r="I1354" s="227"/>
      <c r="J1354" s="227"/>
      <c r="K1354" s="227"/>
      <c r="L1354" s="227"/>
      <c r="M1354" s="890"/>
      <c r="N1354" s="228"/>
      <c r="O1354" s="228"/>
      <c r="P1354" s="227"/>
      <c r="Q1354" s="226"/>
      <c r="R1354" s="226"/>
      <c r="S1354" s="228"/>
      <c r="T1354" s="228"/>
      <c r="U1354" s="228"/>
    </row>
    <row r="1355" ht="13.5" customHeight="1" spans="1:21">
      <c r="A1355" s="226"/>
      <c r="B1355" s="869"/>
      <c r="C1355" s="226"/>
      <c r="D1355" s="227"/>
      <c r="E1355" s="227"/>
      <c r="F1355" s="226"/>
      <c r="G1355" s="226"/>
      <c r="H1355" s="227"/>
      <c r="I1355" s="227"/>
      <c r="J1355" s="227"/>
      <c r="K1355" s="227"/>
      <c r="L1355" s="227"/>
      <c r="M1355" s="890"/>
      <c r="N1355" s="228"/>
      <c r="O1355" s="228"/>
      <c r="P1355" s="227"/>
      <c r="Q1355" s="226"/>
      <c r="R1355" s="226"/>
      <c r="S1355" s="228"/>
      <c r="T1355" s="228"/>
      <c r="U1355" s="228"/>
    </row>
    <row r="1356" ht="13.5" customHeight="1" spans="1:21">
      <c r="A1356" s="226"/>
      <c r="B1356" s="869"/>
      <c r="C1356" s="226"/>
      <c r="D1356" s="227"/>
      <c r="E1356" s="227"/>
      <c r="F1356" s="226"/>
      <c r="G1356" s="226"/>
      <c r="H1356" s="227"/>
      <c r="I1356" s="227"/>
      <c r="J1356" s="227"/>
      <c r="K1356" s="227"/>
      <c r="L1356" s="227"/>
      <c r="M1356" s="890"/>
      <c r="N1356" s="228"/>
      <c r="O1356" s="228"/>
      <c r="P1356" s="227"/>
      <c r="Q1356" s="226"/>
      <c r="R1356" s="226"/>
      <c r="S1356" s="228"/>
      <c r="T1356" s="228"/>
      <c r="U1356" s="228"/>
    </row>
    <row r="1357" ht="13.5" customHeight="1" spans="1:21">
      <c r="A1357" s="226"/>
      <c r="B1357" s="869"/>
      <c r="C1357" s="226"/>
      <c r="D1357" s="227"/>
      <c r="E1357" s="227"/>
      <c r="F1357" s="226"/>
      <c r="G1357" s="226"/>
      <c r="H1357" s="227"/>
      <c r="I1357" s="227"/>
      <c r="J1357" s="227"/>
      <c r="K1357" s="227"/>
      <c r="L1357" s="227"/>
      <c r="M1357" s="890"/>
      <c r="N1357" s="228"/>
      <c r="O1357" s="228"/>
      <c r="P1357" s="227"/>
      <c r="Q1357" s="226"/>
      <c r="R1357" s="226"/>
      <c r="S1357" s="228"/>
      <c r="T1357" s="228"/>
      <c r="U1357" s="228"/>
    </row>
    <row r="1358" ht="13.5" customHeight="1" spans="1:21">
      <c r="A1358" s="226"/>
      <c r="B1358" s="869"/>
      <c r="C1358" s="226"/>
      <c r="D1358" s="227"/>
      <c r="E1358" s="227"/>
      <c r="F1358" s="226"/>
      <c r="G1358" s="226"/>
      <c r="H1358" s="227"/>
      <c r="I1358" s="227"/>
      <c r="J1358" s="227"/>
      <c r="K1358" s="227"/>
      <c r="L1358" s="227"/>
      <c r="M1358" s="890"/>
      <c r="N1358" s="228"/>
      <c r="O1358" s="228"/>
      <c r="P1358" s="227"/>
      <c r="Q1358" s="226"/>
      <c r="R1358" s="226"/>
      <c r="S1358" s="228"/>
      <c r="T1358" s="228"/>
      <c r="U1358" s="228"/>
    </row>
    <row r="1359" ht="13.5" customHeight="1" spans="1:21">
      <c r="A1359" s="226"/>
      <c r="B1359" s="869"/>
      <c r="C1359" s="226"/>
      <c r="D1359" s="227"/>
      <c r="E1359" s="227"/>
      <c r="F1359" s="226"/>
      <c r="G1359" s="226"/>
      <c r="H1359" s="227"/>
      <c r="I1359" s="227"/>
      <c r="J1359" s="227"/>
      <c r="K1359" s="227"/>
      <c r="L1359" s="227"/>
      <c r="M1359" s="890"/>
      <c r="N1359" s="228"/>
      <c r="O1359" s="228"/>
      <c r="P1359" s="227"/>
      <c r="Q1359" s="226"/>
      <c r="R1359" s="226"/>
      <c r="S1359" s="228"/>
      <c r="T1359" s="228"/>
      <c r="U1359" s="228"/>
    </row>
    <row r="1360" ht="13.5" customHeight="1" spans="1:21">
      <c r="A1360" s="226"/>
      <c r="B1360" s="869"/>
      <c r="C1360" s="226"/>
      <c r="D1360" s="227"/>
      <c r="E1360" s="227"/>
      <c r="F1360" s="226"/>
      <c r="G1360" s="226"/>
      <c r="H1360" s="227"/>
      <c r="I1360" s="227"/>
      <c r="J1360" s="227"/>
      <c r="K1360" s="227"/>
      <c r="L1360" s="227"/>
      <c r="M1360" s="890"/>
      <c r="N1360" s="228"/>
      <c r="O1360" s="228"/>
      <c r="P1360" s="227"/>
      <c r="Q1360" s="226"/>
      <c r="R1360" s="226"/>
      <c r="S1360" s="228"/>
      <c r="T1360" s="228"/>
      <c r="U1360" s="228"/>
    </row>
    <row r="1361" ht="13.5" customHeight="1" spans="1:21">
      <c r="A1361" s="226"/>
      <c r="B1361" s="869"/>
      <c r="C1361" s="226"/>
      <c r="D1361" s="227"/>
      <c r="E1361" s="227"/>
      <c r="F1361" s="226"/>
      <c r="G1361" s="226"/>
      <c r="H1361" s="227"/>
      <c r="I1361" s="227"/>
      <c r="J1361" s="227"/>
      <c r="K1361" s="227"/>
      <c r="L1361" s="227"/>
      <c r="M1361" s="890"/>
      <c r="N1361" s="228"/>
      <c r="O1361" s="228"/>
      <c r="P1361" s="227"/>
      <c r="Q1361" s="226"/>
      <c r="R1361" s="226"/>
      <c r="S1361" s="228"/>
      <c r="T1361" s="228"/>
      <c r="U1361" s="228"/>
    </row>
    <row r="1362" ht="13.5" customHeight="1" spans="1:21">
      <c r="A1362" s="226"/>
      <c r="B1362" s="869"/>
      <c r="C1362" s="226"/>
      <c r="D1362" s="227"/>
      <c r="E1362" s="227"/>
      <c r="F1362" s="226"/>
      <c r="G1362" s="226"/>
      <c r="H1362" s="227"/>
      <c r="I1362" s="227"/>
      <c r="J1362" s="227"/>
      <c r="K1362" s="227"/>
      <c r="L1362" s="227"/>
      <c r="M1362" s="890"/>
      <c r="N1362" s="228"/>
      <c r="O1362" s="228"/>
      <c r="P1362" s="227"/>
      <c r="Q1362" s="226"/>
      <c r="R1362" s="226"/>
      <c r="S1362" s="228"/>
      <c r="T1362" s="228"/>
      <c r="U1362" s="228"/>
    </row>
    <row r="1363" ht="13.5" customHeight="1" spans="1:21">
      <c r="A1363" s="226"/>
      <c r="B1363" s="869"/>
      <c r="C1363" s="226"/>
      <c r="D1363" s="227"/>
      <c r="E1363" s="227"/>
      <c r="F1363" s="226"/>
      <c r="G1363" s="226"/>
      <c r="H1363" s="227"/>
      <c r="I1363" s="227"/>
      <c r="J1363" s="227"/>
      <c r="K1363" s="227"/>
      <c r="L1363" s="227"/>
      <c r="M1363" s="890"/>
      <c r="N1363" s="228"/>
      <c r="O1363" s="228"/>
      <c r="P1363" s="227"/>
      <c r="Q1363" s="226"/>
      <c r="R1363" s="226"/>
      <c r="S1363" s="228"/>
      <c r="T1363" s="228"/>
      <c r="U1363" s="228"/>
    </row>
    <row r="1364" ht="13.5" customHeight="1" spans="1:21">
      <c r="A1364" s="226"/>
      <c r="B1364" s="869"/>
      <c r="C1364" s="226"/>
      <c r="D1364" s="227"/>
      <c r="E1364" s="227"/>
      <c r="F1364" s="226"/>
      <c r="G1364" s="226"/>
      <c r="H1364" s="227"/>
      <c r="I1364" s="227"/>
      <c r="J1364" s="227"/>
      <c r="K1364" s="227"/>
      <c r="L1364" s="227"/>
      <c r="M1364" s="890"/>
      <c r="N1364" s="228"/>
      <c r="O1364" s="228"/>
      <c r="P1364" s="227"/>
      <c r="Q1364" s="226"/>
      <c r="R1364" s="226"/>
      <c r="S1364" s="228"/>
      <c r="T1364" s="228"/>
      <c r="U1364" s="228"/>
    </row>
    <row r="1365" ht="13.5" customHeight="1" spans="1:21">
      <c r="A1365" s="226"/>
      <c r="B1365" s="869"/>
      <c r="C1365" s="226"/>
      <c r="D1365" s="227"/>
      <c r="E1365" s="227"/>
      <c r="F1365" s="226"/>
      <c r="G1365" s="226"/>
      <c r="H1365" s="227"/>
      <c r="I1365" s="227"/>
      <c r="J1365" s="227"/>
      <c r="K1365" s="227"/>
      <c r="L1365" s="227"/>
      <c r="M1365" s="890"/>
      <c r="N1365" s="228"/>
      <c r="O1365" s="228"/>
      <c r="P1365" s="227"/>
      <c r="Q1365" s="226"/>
      <c r="R1365" s="226"/>
      <c r="S1365" s="228"/>
      <c r="T1365" s="228"/>
      <c r="U1365" s="228"/>
    </row>
    <row r="1366" ht="13.5" customHeight="1" spans="1:21">
      <c r="A1366" s="226"/>
      <c r="B1366" s="869"/>
      <c r="C1366" s="226"/>
      <c r="D1366" s="227"/>
      <c r="E1366" s="227"/>
      <c r="F1366" s="226"/>
      <c r="G1366" s="226"/>
      <c r="H1366" s="227"/>
      <c r="I1366" s="227"/>
      <c r="J1366" s="227"/>
      <c r="K1366" s="227"/>
      <c r="L1366" s="227"/>
      <c r="M1366" s="890"/>
      <c r="N1366" s="228"/>
      <c r="O1366" s="228"/>
      <c r="P1366" s="227"/>
      <c r="Q1366" s="226"/>
      <c r="R1366" s="226"/>
      <c r="S1366" s="228"/>
      <c r="T1366" s="228"/>
      <c r="U1366" s="228"/>
    </row>
    <row r="1367" ht="13.5" customHeight="1" spans="1:21">
      <c r="A1367" s="226"/>
      <c r="B1367" s="869"/>
      <c r="C1367" s="226"/>
      <c r="D1367" s="227"/>
      <c r="E1367" s="227"/>
      <c r="F1367" s="226"/>
      <c r="G1367" s="226"/>
      <c r="H1367" s="227"/>
      <c r="I1367" s="227"/>
      <c r="J1367" s="227"/>
      <c r="K1367" s="227"/>
      <c r="L1367" s="227"/>
      <c r="M1367" s="890"/>
      <c r="N1367" s="228"/>
      <c r="O1367" s="228"/>
      <c r="P1367" s="227"/>
      <c r="Q1367" s="226"/>
      <c r="R1367" s="226"/>
      <c r="S1367" s="228"/>
      <c r="T1367" s="228"/>
      <c r="U1367" s="228"/>
    </row>
    <row r="1368" ht="13.5" customHeight="1" spans="1:21">
      <c r="A1368" s="226"/>
      <c r="B1368" s="869"/>
      <c r="C1368" s="226"/>
      <c r="D1368" s="227"/>
      <c r="E1368" s="227"/>
      <c r="F1368" s="226"/>
      <c r="G1368" s="226"/>
      <c r="H1368" s="227"/>
      <c r="I1368" s="227"/>
      <c r="J1368" s="227"/>
      <c r="K1368" s="227"/>
      <c r="L1368" s="227"/>
      <c r="M1368" s="890"/>
      <c r="N1368" s="228"/>
      <c r="O1368" s="228"/>
      <c r="P1368" s="227"/>
      <c r="Q1368" s="226"/>
      <c r="R1368" s="226"/>
      <c r="S1368" s="228"/>
      <c r="T1368" s="228"/>
      <c r="U1368" s="228"/>
    </row>
    <row r="1369" ht="13.5" customHeight="1" spans="1:21">
      <c r="A1369" s="226"/>
      <c r="B1369" s="869"/>
      <c r="C1369" s="226"/>
      <c r="D1369" s="227"/>
      <c r="E1369" s="227"/>
      <c r="F1369" s="226"/>
      <c r="G1369" s="226"/>
      <c r="H1369" s="227"/>
      <c r="I1369" s="227"/>
      <c r="J1369" s="227"/>
      <c r="K1369" s="227"/>
      <c r="L1369" s="227"/>
      <c r="M1369" s="890"/>
      <c r="N1369" s="228"/>
      <c r="O1369" s="228"/>
      <c r="P1369" s="227"/>
      <c r="Q1369" s="226"/>
      <c r="R1369" s="226"/>
      <c r="S1369" s="228"/>
      <c r="T1369" s="228"/>
      <c r="U1369" s="228"/>
    </row>
    <row r="1370" ht="13.5" customHeight="1" spans="1:21">
      <c r="A1370" s="226"/>
      <c r="B1370" s="869"/>
      <c r="C1370" s="226"/>
      <c r="D1370" s="227"/>
      <c r="E1370" s="227"/>
      <c r="F1370" s="226"/>
      <c r="G1370" s="226"/>
      <c r="H1370" s="227"/>
      <c r="I1370" s="227"/>
      <c r="J1370" s="227"/>
      <c r="K1370" s="227"/>
      <c r="L1370" s="227"/>
      <c r="M1370" s="890"/>
      <c r="N1370" s="228"/>
      <c r="O1370" s="228"/>
      <c r="P1370" s="227"/>
      <c r="Q1370" s="226"/>
      <c r="R1370" s="226"/>
      <c r="S1370" s="228"/>
      <c r="T1370" s="228"/>
      <c r="U1370" s="228"/>
    </row>
    <row r="1371" ht="13.5" customHeight="1" spans="1:21">
      <c r="A1371" s="226"/>
      <c r="B1371" s="869"/>
      <c r="C1371" s="226"/>
      <c r="D1371" s="227"/>
      <c r="E1371" s="227"/>
      <c r="F1371" s="226"/>
      <c r="G1371" s="226"/>
      <c r="H1371" s="227"/>
      <c r="I1371" s="227"/>
      <c r="J1371" s="227"/>
      <c r="K1371" s="227"/>
      <c r="L1371" s="227"/>
      <c r="M1371" s="890"/>
      <c r="N1371" s="228"/>
      <c r="O1371" s="228"/>
      <c r="P1371" s="227"/>
      <c r="Q1371" s="226"/>
      <c r="R1371" s="226"/>
      <c r="S1371" s="228"/>
      <c r="T1371" s="228"/>
      <c r="U1371" s="228"/>
    </row>
    <row r="1372" ht="13.5" customHeight="1" spans="1:21">
      <c r="A1372" s="226"/>
      <c r="B1372" s="869"/>
      <c r="C1372" s="226"/>
      <c r="D1372" s="227"/>
      <c r="E1372" s="227"/>
      <c r="F1372" s="226"/>
      <c r="G1372" s="226"/>
      <c r="H1372" s="227"/>
      <c r="I1372" s="227"/>
      <c r="J1372" s="227"/>
      <c r="K1372" s="227"/>
      <c r="L1372" s="227"/>
      <c r="M1372" s="890"/>
      <c r="N1372" s="228"/>
      <c r="O1372" s="228"/>
      <c r="P1372" s="227"/>
      <c r="Q1372" s="226"/>
      <c r="R1372" s="226"/>
      <c r="S1372" s="228"/>
      <c r="T1372" s="228"/>
      <c r="U1372" s="228"/>
    </row>
    <row r="1373" ht="13.5" customHeight="1" spans="1:21">
      <c r="A1373" s="226"/>
      <c r="B1373" s="869"/>
      <c r="C1373" s="226"/>
      <c r="D1373" s="227"/>
      <c r="E1373" s="227"/>
      <c r="F1373" s="226"/>
      <c r="G1373" s="226"/>
      <c r="H1373" s="227"/>
      <c r="I1373" s="227"/>
      <c r="J1373" s="227"/>
      <c r="K1373" s="227"/>
      <c r="L1373" s="227"/>
      <c r="M1373" s="890"/>
      <c r="N1373" s="228"/>
      <c r="O1373" s="228"/>
      <c r="P1373" s="227"/>
      <c r="Q1373" s="226"/>
      <c r="R1373" s="226"/>
      <c r="S1373" s="228"/>
      <c r="T1373" s="228"/>
      <c r="U1373" s="228"/>
    </row>
    <row r="1374" ht="13.5" customHeight="1" spans="1:21">
      <c r="A1374" s="226"/>
      <c r="B1374" s="869"/>
      <c r="C1374" s="226"/>
      <c r="D1374" s="227"/>
      <c r="E1374" s="227"/>
      <c r="F1374" s="226"/>
      <c r="G1374" s="226"/>
      <c r="H1374" s="227"/>
      <c r="I1374" s="227"/>
      <c r="J1374" s="227"/>
      <c r="K1374" s="227"/>
      <c r="L1374" s="227"/>
      <c r="M1374" s="890"/>
      <c r="N1374" s="228"/>
      <c r="O1374" s="228"/>
      <c r="P1374" s="227"/>
      <c r="Q1374" s="226"/>
      <c r="R1374" s="226"/>
      <c r="S1374" s="228"/>
      <c r="T1374" s="228"/>
      <c r="U1374" s="228"/>
    </row>
    <row r="1375" ht="13.5" customHeight="1" spans="1:21">
      <c r="A1375" s="226"/>
      <c r="B1375" s="869"/>
      <c r="C1375" s="226"/>
      <c r="D1375" s="227"/>
      <c r="E1375" s="227"/>
      <c r="F1375" s="226"/>
      <c r="G1375" s="226"/>
      <c r="H1375" s="227"/>
      <c r="I1375" s="227"/>
      <c r="J1375" s="227"/>
      <c r="K1375" s="227"/>
      <c r="L1375" s="227"/>
      <c r="M1375" s="890"/>
      <c r="N1375" s="228"/>
      <c r="O1375" s="228"/>
      <c r="P1375" s="227"/>
      <c r="Q1375" s="226"/>
      <c r="R1375" s="226"/>
      <c r="S1375" s="228"/>
      <c r="T1375" s="228"/>
      <c r="U1375" s="228"/>
    </row>
    <row r="1376" ht="13.5" customHeight="1" spans="1:21">
      <c r="A1376" s="226"/>
      <c r="B1376" s="869"/>
      <c r="C1376" s="226"/>
      <c r="D1376" s="227"/>
      <c r="E1376" s="227"/>
      <c r="F1376" s="226"/>
      <c r="G1376" s="226"/>
      <c r="H1376" s="227"/>
      <c r="I1376" s="227"/>
      <c r="J1376" s="227"/>
      <c r="K1376" s="227"/>
      <c r="L1376" s="227"/>
      <c r="M1376" s="890"/>
      <c r="N1376" s="228"/>
      <c r="O1376" s="228"/>
      <c r="P1376" s="227"/>
      <c r="Q1376" s="226"/>
      <c r="R1376" s="226"/>
      <c r="S1376" s="228"/>
      <c r="T1376" s="228"/>
      <c r="U1376" s="228"/>
    </row>
    <row r="1377" ht="13.5" customHeight="1" spans="1:21">
      <c r="A1377" s="226"/>
      <c r="B1377" s="869"/>
      <c r="C1377" s="226"/>
      <c r="D1377" s="227"/>
      <c r="E1377" s="227"/>
      <c r="F1377" s="226"/>
      <c r="G1377" s="226"/>
      <c r="H1377" s="227"/>
      <c r="I1377" s="227"/>
      <c r="J1377" s="227"/>
      <c r="K1377" s="227"/>
      <c r="L1377" s="227"/>
      <c r="M1377" s="890"/>
      <c r="N1377" s="228"/>
      <c r="O1377" s="228"/>
      <c r="P1377" s="227"/>
      <c r="Q1377" s="226"/>
      <c r="R1377" s="226"/>
      <c r="S1377" s="228"/>
      <c r="T1377" s="228"/>
      <c r="U1377" s="228"/>
    </row>
    <row r="1378" ht="13.5" customHeight="1" spans="1:21">
      <c r="A1378" s="226"/>
      <c r="B1378" s="869"/>
      <c r="C1378" s="226"/>
      <c r="D1378" s="227"/>
      <c r="E1378" s="227"/>
      <c r="F1378" s="226"/>
      <c r="G1378" s="226"/>
      <c r="H1378" s="227"/>
      <c r="I1378" s="227"/>
      <c r="J1378" s="227"/>
      <c r="K1378" s="227"/>
      <c r="L1378" s="227"/>
      <c r="M1378" s="890"/>
      <c r="N1378" s="228"/>
      <c r="O1378" s="228"/>
      <c r="P1378" s="227"/>
      <c r="Q1378" s="226"/>
      <c r="R1378" s="226"/>
      <c r="S1378" s="228"/>
      <c r="T1378" s="228"/>
      <c r="U1378" s="228"/>
    </row>
    <row r="1379" ht="13.5" customHeight="1" spans="1:21">
      <c r="A1379" s="226"/>
      <c r="B1379" s="869"/>
      <c r="C1379" s="226"/>
      <c r="D1379" s="227"/>
      <c r="E1379" s="227"/>
      <c r="F1379" s="226"/>
      <c r="G1379" s="226"/>
      <c r="H1379" s="227"/>
      <c r="I1379" s="227"/>
      <c r="J1379" s="227"/>
      <c r="K1379" s="227"/>
      <c r="L1379" s="227"/>
      <c r="M1379" s="890"/>
      <c r="N1379" s="228"/>
      <c r="O1379" s="228"/>
      <c r="P1379" s="227"/>
      <c r="Q1379" s="226"/>
      <c r="R1379" s="226"/>
      <c r="S1379" s="228"/>
      <c r="T1379" s="228"/>
      <c r="U1379" s="228"/>
    </row>
    <row r="1380" ht="13.5" customHeight="1" spans="1:21">
      <c r="A1380" s="226"/>
      <c r="B1380" s="869"/>
      <c r="C1380" s="226"/>
      <c r="D1380" s="227"/>
      <c r="E1380" s="227"/>
      <c r="F1380" s="226"/>
      <c r="G1380" s="226"/>
      <c r="H1380" s="227"/>
      <c r="I1380" s="227"/>
      <c r="J1380" s="227"/>
      <c r="K1380" s="227"/>
      <c r="L1380" s="227"/>
      <c r="M1380" s="890"/>
      <c r="N1380" s="228"/>
      <c r="O1380" s="228"/>
      <c r="P1380" s="227"/>
      <c r="Q1380" s="226"/>
      <c r="R1380" s="226"/>
      <c r="S1380" s="228"/>
      <c r="T1380" s="228"/>
      <c r="U1380" s="228"/>
    </row>
    <row r="1381" ht="13.5" customHeight="1" spans="1:21">
      <c r="A1381" s="226"/>
      <c r="B1381" s="869"/>
      <c r="C1381" s="226"/>
      <c r="D1381" s="227"/>
      <c r="E1381" s="227"/>
      <c r="F1381" s="226"/>
      <c r="G1381" s="226"/>
      <c r="H1381" s="227"/>
      <c r="I1381" s="227"/>
      <c r="J1381" s="227"/>
      <c r="K1381" s="227"/>
      <c r="L1381" s="227"/>
      <c r="M1381" s="890"/>
      <c r="N1381" s="228"/>
      <c r="O1381" s="228"/>
      <c r="P1381" s="227"/>
      <c r="Q1381" s="226"/>
      <c r="R1381" s="226"/>
      <c r="S1381" s="228"/>
      <c r="T1381" s="228"/>
      <c r="U1381" s="228"/>
    </row>
    <row r="1382" ht="13.5" customHeight="1" spans="1:21">
      <c r="A1382" s="226"/>
      <c r="B1382" s="869"/>
      <c r="C1382" s="226"/>
      <c r="D1382" s="227"/>
      <c r="E1382" s="227"/>
      <c r="F1382" s="226"/>
      <c r="G1382" s="226"/>
      <c r="H1382" s="227"/>
      <c r="I1382" s="227"/>
      <c r="J1382" s="227"/>
      <c r="K1382" s="227"/>
      <c r="L1382" s="227"/>
      <c r="M1382" s="890"/>
      <c r="N1382" s="228"/>
      <c r="O1382" s="228"/>
      <c r="P1382" s="227"/>
      <c r="Q1382" s="226"/>
      <c r="R1382" s="226"/>
      <c r="S1382" s="228"/>
      <c r="T1382" s="228"/>
      <c r="U1382" s="228"/>
    </row>
    <row r="1383" ht="13.5" customHeight="1" spans="1:21">
      <c r="A1383" s="226"/>
      <c r="B1383" s="869"/>
      <c r="C1383" s="226"/>
      <c r="D1383" s="227"/>
      <c r="E1383" s="227"/>
      <c r="F1383" s="226"/>
      <c r="G1383" s="226"/>
      <c r="H1383" s="227"/>
      <c r="I1383" s="227"/>
      <c r="J1383" s="227"/>
      <c r="K1383" s="227"/>
      <c r="L1383" s="227"/>
      <c r="M1383" s="890"/>
      <c r="N1383" s="228"/>
      <c r="O1383" s="228"/>
      <c r="P1383" s="227"/>
      <c r="Q1383" s="226"/>
      <c r="R1383" s="226"/>
      <c r="S1383" s="228"/>
      <c r="T1383" s="228"/>
      <c r="U1383" s="228"/>
    </row>
    <row r="1384" ht="13.5" customHeight="1" spans="1:21">
      <c r="A1384" s="226"/>
      <c r="B1384" s="869"/>
      <c r="C1384" s="226"/>
      <c r="D1384" s="227"/>
      <c r="E1384" s="227"/>
      <c r="F1384" s="226"/>
      <c r="G1384" s="226"/>
      <c r="H1384" s="227"/>
      <c r="I1384" s="227"/>
      <c r="J1384" s="227"/>
      <c r="K1384" s="227"/>
      <c r="L1384" s="227"/>
      <c r="M1384" s="890"/>
      <c r="N1384" s="228"/>
      <c r="O1384" s="228"/>
      <c r="P1384" s="227"/>
      <c r="Q1384" s="226"/>
      <c r="R1384" s="226"/>
      <c r="S1384" s="228"/>
      <c r="T1384" s="228"/>
      <c r="U1384" s="228"/>
    </row>
    <row r="1385" ht="13.5" customHeight="1" spans="1:21">
      <c r="A1385" s="226"/>
      <c r="B1385" s="869"/>
      <c r="C1385" s="226"/>
      <c r="D1385" s="227"/>
      <c r="E1385" s="227"/>
      <c r="F1385" s="226"/>
      <c r="G1385" s="226"/>
      <c r="H1385" s="227"/>
      <c r="I1385" s="227"/>
      <c r="J1385" s="227"/>
      <c r="K1385" s="227"/>
      <c r="L1385" s="227"/>
      <c r="M1385" s="890"/>
      <c r="N1385" s="228"/>
      <c r="O1385" s="228"/>
      <c r="P1385" s="227"/>
      <c r="Q1385" s="226"/>
      <c r="R1385" s="226"/>
      <c r="S1385" s="228"/>
      <c r="T1385" s="228"/>
      <c r="U1385" s="228"/>
    </row>
    <row r="1386" ht="13.5" customHeight="1" spans="1:21">
      <c r="A1386" s="226"/>
      <c r="B1386" s="869"/>
      <c r="C1386" s="226"/>
      <c r="D1386" s="227"/>
      <c r="E1386" s="227"/>
      <c r="F1386" s="226"/>
      <c r="G1386" s="226"/>
      <c r="H1386" s="227"/>
      <c r="I1386" s="227"/>
      <c r="J1386" s="227"/>
      <c r="K1386" s="227"/>
      <c r="L1386" s="227"/>
      <c r="M1386" s="890"/>
      <c r="N1386" s="228"/>
      <c r="O1386" s="228"/>
      <c r="P1386" s="227"/>
      <c r="Q1386" s="226"/>
      <c r="R1386" s="226"/>
      <c r="S1386" s="228"/>
      <c r="T1386" s="228"/>
      <c r="U1386" s="228"/>
    </row>
  </sheetData>
  <mergeCells count="1">
    <mergeCell ref="A1:B1"/>
  </mergeCells>
  <conditionalFormatting sqref="D316">
    <cfRule type="expression" dxfId="1" priority="6">
      <formula>$I316="Hư hỏng"</formula>
    </cfRule>
  </conditionalFormatting>
  <conditionalFormatting sqref="B643:C643">
    <cfRule type="expression" dxfId="2" priority="2">
      <formula>COUNTIF(A:A,B643)&gt;1</formula>
    </cfRule>
  </conditionalFormatting>
  <conditionalFormatting sqref="H675">
    <cfRule type="containsText" dxfId="5" priority="3" operator="between" text="bình thường">
      <formula>NOT(ISERROR(SEARCH("bình thường",H675)))</formula>
    </cfRule>
    <cfRule type="containsText" dxfId="4" priority="4" operator="between" text="Thu hồi">
      <formula>NOT(ISERROR(SEARCH("Thu hồi",H675)))</formula>
    </cfRule>
    <cfRule type="containsText" dxfId="3" priority="5" operator="between" text="Hư hỏng">
      <formula>NOT(ISERROR(SEARCH("Hư hỏng",H675)))</formula>
    </cfRule>
  </conditionalFormatting>
  <conditionalFormatting sqref="A1:U1386">
    <cfRule type="expression" dxfId="1" priority="8">
      <formula>$K1="Hư hỏng"</formula>
    </cfRule>
  </conditionalFormatting>
  <conditionalFormatting sqref="B26 B91:B92 B176 B226 B230 B331 B445:B453">
    <cfRule type="expression" dxfId="2" priority="1">
      <formula>COUNTIF(B:B,B26)&gt;1</formula>
    </cfRule>
  </conditionalFormatting>
  <conditionalFormatting sqref="B171:C171 B595:B597 C595:C598 B600:C601 B644:C671">
    <cfRule type="expression" dxfId="2" priority="7">
      <formula>COUNTIF(A:A,B171)&gt;1</formula>
    </cfRule>
  </conditionalFormatting>
  <dataValidations count="3">
    <dataValidation type="list" allowBlank="1" showErrorMessage="1" sqref="U140 U689 U7:U28 U30:U32 U35:U63 U66:U81 U84:U94 U97:U103 U106:U107 U110:U135 U144:U176 U179:U204 U208:U226 U230:U255 U260:U261 U263:U275 U278:U333 U337:U359 U361:U376 U378:U400 U402:U408 U410:U412 U415:U454 U456:U468 U471:U475 U479:U487 U489:U503 U505:U534 U536:U555 U557:U568 U570:U583 U585:U589 U591:U605 U607:U629 U631:U681 U684:U685 U691:U699 U738:U749 U763:U836">
      <formula1>"ĐTM (ĐQSD),ĐTM (ALL NEW),ĐQSD"</formula1>
    </dataValidation>
    <dataValidation type="list" allowBlank="1" showErrorMessage="1" sqref="H684 H738 H6:H32 H34:H61 H66:H81 H84:H94 H97:H102 H106:H108 H110:H131 H140:H141 H143:H204 H207:H273 H277:H333 H336:H411 H414:H502 H504:H533 H535:H553 H556:H567 H569:H591 H593:H630 H641:H679 H691:H699 H742:H749 H763:H770">
      <formula1>'[1]#REF'!$B$3:$B$167</formula1>
    </dataValidation>
    <dataValidation type="list" allowBlank="1" showErrorMessage="1" sqref="H631:H640">
      <formula1>"M.Băm cỏ cố định, di động,Rùa "</formula1>
    </dataValidation>
  </dataValidations>
  <pageMargins left="0.7" right="0.7" top="0.75" bottom="0.75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D966"/>
  </sheetPr>
  <dimension ref="A1:V1605"/>
  <sheetViews>
    <sheetView workbookViewId="0">
      <pane xSplit="6" ySplit="2" topLeftCell="G3" activePane="bottomRight" state="frozen"/>
      <selection/>
      <selection pane="topRight"/>
      <selection pane="bottomLeft"/>
      <selection pane="bottomRight" activeCell="G3" sqref="G3"/>
    </sheetView>
  </sheetViews>
  <sheetFormatPr defaultColWidth="12.6333333333333" defaultRowHeight="15" customHeight="1"/>
  <cols>
    <col min="1" max="1" width="4.38333333333333" customWidth="1"/>
    <col min="2" max="2" width="26.75" customWidth="1"/>
    <col min="3" max="3" width="28.1333333333333" customWidth="1"/>
    <col min="4" max="4" width="16.6333333333333" customWidth="1"/>
    <col min="5" max="5" width="18" customWidth="1"/>
    <col min="6" max="6" width="40.6333333333333" customWidth="1"/>
    <col min="7" max="7" width="14.5" hidden="1" customWidth="1"/>
    <col min="8" max="8" width="14.5" customWidth="1"/>
    <col min="9" max="9" width="13.5" customWidth="1"/>
    <col min="10" max="10" width="12.75" hidden="1" customWidth="1"/>
    <col min="11" max="11" width="15.1333333333333" customWidth="1"/>
    <col min="12" max="12" width="42.25" customWidth="1"/>
    <col min="13" max="13" width="43.1333333333333" customWidth="1"/>
    <col min="14" max="14" width="18" customWidth="1"/>
    <col min="15" max="15" width="18.25" customWidth="1"/>
    <col min="16" max="16" width="11.5" customWidth="1"/>
    <col min="17" max="17" width="9.75" customWidth="1"/>
    <col min="18" max="18" width="28.75" customWidth="1"/>
    <col min="19" max="19" width="26.6333333333333" customWidth="1"/>
    <col min="20" max="20" width="11.75" customWidth="1"/>
    <col min="21" max="22" width="18.8833333333333" customWidth="1"/>
  </cols>
  <sheetData>
    <row r="1" ht="39" customHeight="1" spans="1:22">
      <c r="A1" s="774" t="s">
        <v>3570</v>
      </c>
      <c r="B1" s="775"/>
      <c r="C1" s="775"/>
      <c r="D1" s="775"/>
      <c r="E1" s="775"/>
      <c r="F1" s="775"/>
      <c r="G1" s="775"/>
      <c r="H1" s="775"/>
      <c r="I1" s="775"/>
      <c r="J1" s="775"/>
      <c r="K1" s="775"/>
      <c r="L1" s="775"/>
      <c r="M1" s="776"/>
      <c r="N1" s="777"/>
      <c r="O1" s="777" t="s">
        <v>420</v>
      </c>
      <c r="P1" s="777"/>
      <c r="Q1" s="778"/>
      <c r="R1" s="777"/>
      <c r="S1" s="777"/>
      <c r="T1" s="779"/>
      <c r="U1" s="777"/>
      <c r="V1" s="777"/>
    </row>
    <row r="2" ht="33" customHeight="1" spans="1:22">
      <c r="A2" s="6" t="s">
        <v>421</v>
      </c>
      <c r="B2" s="6" t="s">
        <v>3571</v>
      </c>
      <c r="C2" s="7" t="s">
        <v>3572</v>
      </c>
      <c r="D2" s="6" t="s">
        <v>3573</v>
      </c>
      <c r="E2" s="6" t="s">
        <v>426</v>
      </c>
      <c r="F2" s="6" t="s">
        <v>427</v>
      </c>
      <c r="G2" s="6"/>
      <c r="H2" s="6" t="s">
        <v>429</v>
      </c>
      <c r="I2" s="8" t="s">
        <v>3574</v>
      </c>
      <c r="J2" s="6" t="s">
        <v>3575</v>
      </c>
      <c r="K2" s="6" t="s">
        <v>3576</v>
      </c>
      <c r="L2" s="6" t="s">
        <v>432</v>
      </c>
      <c r="M2" s="6" t="s">
        <v>443</v>
      </c>
      <c r="N2" s="6" t="s">
        <v>3577</v>
      </c>
      <c r="O2" s="6" t="s">
        <v>3578</v>
      </c>
      <c r="P2" s="6" t="s">
        <v>434</v>
      </c>
      <c r="Q2" s="6" t="s">
        <v>435</v>
      </c>
      <c r="R2" s="6" t="s">
        <v>3579</v>
      </c>
      <c r="S2" s="6" t="s">
        <v>3580</v>
      </c>
      <c r="T2" s="90" t="s">
        <v>3581</v>
      </c>
      <c r="U2" s="90" t="s">
        <v>3582</v>
      </c>
      <c r="V2" s="90" t="s">
        <v>444</v>
      </c>
    </row>
    <row r="3" customHeight="1" spans="1:22">
      <c r="A3" s="595"/>
      <c r="B3" s="596" t="s">
        <v>3262</v>
      </c>
      <c r="C3" s="597">
        <f>SUM(C4,C123,C238,C540,C592,C762,C782,C786,C805)</f>
        <v>747</v>
      </c>
      <c r="D3" s="598"/>
      <c r="E3" s="598"/>
      <c r="F3" s="598"/>
      <c r="G3" s="595"/>
      <c r="H3" s="595"/>
      <c r="I3" s="595"/>
      <c r="J3" s="595"/>
      <c r="K3" s="595"/>
      <c r="L3" s="598"/>
      <c r="M3" s="599"/>
      <c r="N3" s="598"/>
      <c r="O3" s="599"/>
      <c r="P3" s="598"/>
      <c r="Q3" s="600"/>
      <c r="R3" s="599"/>
      <c r="S3" s="599"/>
      <c r="T3" s="780"/>
      <c r="U3" s="192"/>
      <c r="V3" s="192" t="s">
        <v>445</v>
      </c>
    </row>
    <row r="4" customHeight="1" spans="1:22">
      <c r="A4" s="9" t="s">
        <v>3583</v>
      </c>
      <c r="B4" s="10" t="s">
        <v>3584</v>
      </c>
      <c r="C4" s="781">
        <f>SUM(C5,C64,C108)</f>
        <v>94</v>
      </c>
      <c r="D4" s="12"/>
      <c r="E4" s="12"/>
      <c r="F4" s="12"/>
      <c r="G4" s="9"/>
      <c r="H4" s="9"/>
      <c r="I4" s="9"/>
      <c r="J4" s="9"/>
      <c r="K4" s="9"/>
      <c r="L4" s="12"/>
      <c r="M4" s="782"/>
      <c r="N4" s="12"/>
      <c r="O4" s="782"/>
      <c r="P4" s="12"/>
      <c r="Q4" s="13"/>
      <c r="R4" s="782"/>
      <c r="S4" s="782"/>
      <c r="T4" s="783"/>
      <c r="U4" s="784"/>
      <c r="V4" s="785" t="s">
        <v>447</v>
      </c>
    </row>
    <row r="5" customHeight="1" spans="1:22">
      <c r="A5" s="14" t="s">
        <v>448</v>
      </c>
      <c r="B5" s="15" t="s">
        <v>449</v>
      </c>
      <c r="C5" s="14">
        <f>COUNTA($B$6:$B$63)</f>
        <v>46</v>
      </c>
      <c r="D5" s="17"/>
      <c r="E5" s="17"/>
      <c r="F5" s="17"/>
      <c r="G5" s="18"/>
      <c r="H5" s="18"/>
      <c r="I5" s="14"/>
      <c r="J5" s="15"/>
      <c r="K5" s="14"/>
      <c r="L5" s="17"/>
      <c r="M5" s="16"/>
      <c r="N5" s="17"/>
      <c r="O5" s="16"/>
      <c r="P5" s="17"/>
      <c r="Q5" s="18"/>
      <c r="R5" s="16"/>
      <c r="S5" s="16"/>
      <c r="T5" s="786"/>
      <c r="U5" s="17"/>
      <c r="V5" s="17"/>
    </row>
    <row r="6" customHeight="1" spans="1:22">
      <c r="A6" s="19">
        <v>1</v>
      </c>
      <c r="B6" s="20" t="s">
        <v>3585</v>
      </c>
      <c r="C6" s="20"/>
      <c r="D6" s="22" t="s">
        <v>3586</v>
      </c>
      <c r="E6" s="20" t="s">
        <v>451</v>
      </c>
      <c r="F6" s="20" t="s">
        <v>3587</v>
      </c>
      <c r="G6" s="101" t="e">
        <f>VLOOKUP(F6,'01. TH'!$B:$E,3,0)</f>
        <v>#N/A</v>
      </c>
      <c r="H6" s="19" t="s">
        <v>14</v>
      </c>
      <c r="I6" s="58">
        <v>45658</v>
      </c>
      <c r="J6" s="20"/>
      <c r="K6" s="19" t="s">
        <v>1839</v>
      </c>
      <c r="L6" s="20"/>
      <c r="M6" s="22"/>
      <c r="N6" s="25" t="s">
        <v>590</v>
      </c>
      <c r="O6" s="22" t="s">
        <v>3588</v>
      </c>
      <c r="P6" s="25" t="s">
        <v>590</v>
      </c>
      <c r="Q6" s="19">
        <v>2022</v>
      </c>
      <c r="R6" s="22"/>
      <c r="S6" s="22"/>
      <c r="T6" s="47"/>
      <c r="U6" s="20"/>
      <c r="V6" s="20"/>
    </row>
    <row r="7" customHeight="1" spans="1:22">
      <c r="A7" s="23">
        <v>2</v>
      </c>
      <c r="B7" s="20" t="s">
        <v>3589</v>
      </c>
      <c r="C7" s="21"/>
      <c r="D7" s="24" t="s">
        <v>3590</v>
      </c>
      <c r="E7" s="20" t="s">
        <v>451</v>
      </c>
      <c r="F7" s="20" t="s">
        <v>3587</v>
      </c>
      <c r="G7" s="101" t="e">
        <f>VLOOKUP(F7,'01. TH'!$B:$E,3,0)</f>
        <v>#N/A</v>
      </c>
      <c r="H7" s="19" t="s">
        <v>14</v>
      </c>
      <c r="I7" s="23"/>
      <c r="J7" s="25"/>
      <c r="K7" s="19" t="s">
        <v>1839</v>
      </c>
      <c r="L7" s="25"/>
      <c r="M7" s="24"/>
      <c r="N7" s="25" t="s">
        <v>590</v>
      </c>
      <c r="O7" s="24" t="s">
        <v>3588</v>
      </c>
      <c r="P7" s="25" t="s">
        <v>590</v>
      </c>
      <c r="Q7" s="23"/>
      <c r="R7" s="24"/>
      <c r="S7" s="24"/>
      <c r="T7" s="787"/>
      <c r="U7" s="25"/>
      <c r="V7" s="25"/>
    </row>
    <row r="8" customHeight="1" spans="1:22">
      <c r="A8" s="19">
        <v>3</v>
      </c>
      <c r="B8" s="20" t="s">
        <v>3591</v>
      </c>
      <c r="C8" s="21"/>
      <c r="D8" s="24" t="s">
        <v>3592</v>
      </c>
      <c r="E8" s="25" t="s">
        <v>3593</v>
      </c>
      <c r="F8" s="20" t="s">
        <v>301</v>
      </c>
      <c r="G8" s="101">
        <f>VLOOKUP(F8,'01. TH'!$B:$E,3,0)</f>
        <v>0</v>
      </c>
      <c r="H8" s="19" t="s">
        <v>14</v>
      </c>
      <c r="I8" s="610">
        <v>45545</v>
      </c>
      <c r="J8" s="25"/>
      <c r="K8" s="19" t="s">
        <v>1839</v>
      </c>
      <c r="L8" s="25" t="s">
        <v>653</v>
      </c>
      <c r="M8" s="24"/>
      <c r="N8" s="25" t="s">
        <v>590</v>
      </c>
      <c r="O8" s="24" t="s">
        <v>3594</v>
      </c>
      <c r="P8" s="25" t="s">
        <v>590</v>
      </c>
      <c r="Q8" s="23">
        <v>2024</v>
      </c>
      <c r="R8" s="24"/>
      <c r="S8" s="24" t="s">
        <v>3595</v>
      </c>
      <c r="T8" s="787"/>
      <c r="U8" s="25"/>
      <c r="V8" s="25"/>
    </row>
    <row r="9" customHeight="1" spans="1:22">
      <c r="A9" s="23">
        <v>4</v>
      </c>
      <c r="B9" s="20" t="s">
        <v>3596</v>
      </c>
      <c r="C9" s="21"/>
      <c r="D9" s="24" t="s">
        <v>3597</v>
      </c>
      <c r="E9" s="20" t="s">
        <v>451</v>
      </c>
      <c r="F9" s="20" t="s">
        <v>3598</v>
      </c>
      <c r="G9" s="101" t="e">
        <f>VLOOKUP(F9,'01. TH'!$B:$E,3,0)</f>
        <v>#N/A</v>
      </c>
      <c r="H9" s="19" t="s">
        <v>14</v>
      </c>
      <c r="I9" s="23"/>
      <c r="J9" s="25"/>
      <c r="K9" s="19" t="s">
        <v>1839</v>
      </c>
      <c r="L9" s="25"/>
      <c r="M9" s="24"/>
      <c r="N9" s="25" t="s">
        <v>590</v>
      </c>
      <c r="O9" s="24" t="s">
        <v>3599</v>
      </c>
      <c r="P9" s="25" t="s">
        <v>590</v>
      </c>
      <c r="Q9" s="23"/>
      <c r="R9" s="24"/>
      <c r="S9" s="24"/>
      <c r="T9" s="787"/>
      <c r="U9" s="25"/>
      <c r="V9" s="25"/>
    </row>
    <row r="10" customHeight="1" spans="1:22">
      <c r="A10" s="19">
        <v>5</v>
      </c>
      <c r="B10" s="20" t="s">
        <v>3600</v>
      </c>
      <c r="C10" s="21"/>
      <c r="D10" s="22" t="s">
        <v>3601</v>
      </c>
      <c r="E10" s="20" t="s">
        <v>451</v>
      </c>
      <c r="F10" s="20" t="s">
        <v>3602</v>
      </c>
      <c r="G10" s="101" t="e">
        <f>VLOOKUP(F10,'01. TH'!$B:$E,3,0)</f>
        <v>#N/A</v>
      </c>
      <c r="H10" s="19" t="s">
        <v>14</v>
      </c>
      <c r="I10" s="19"/>
      <c r="J10" s="20"/>
      <c r="K10" s="19" t="s">
        <v>1839</v>
      </c>
      <c r="L10" s="20"/>
      <c r="M10" s="22"/>
      <c r="N10" s="25" t="s">
        <v>590</v>
      </c>
      <c r="O10" s="22" t="s">
        <v>3603</v>
      </c>
      <c r="P10" s="25" t="s">
        <v>590</v>
      </c>
      <c r="Q10" s="19"/>
      <c r="R10" s="22"/>
      <c r="S10" s="22"/>
      <c r="T10" s="47"/>
      <c r="U10" s="20"/>
      <c r="V10" s="20"/>
    </row>
    <row r="11" customHeight="1" spans="1:22">
      <c r="A11" s="23">
        <v>6</v>
      </c>
      <c r="B11" s="20" t="s">
        <v>3604</v>
      </c>
      <c r="C11" s="21"/>
      <c r="D11" s="24" t="s">
        <v>3605</v>
      </c>
      <c r="E11" s="20" t="s">
        <v>451</v>
      </c>
      <c r="F11" s="25" t="s">
        <v>303</v>
      </c>
      <c r="G11" s="101">
        <f>VLOOKUP(F11,'01. TH'!$B:$E,3,0)</f>
        <v>0</v>
      </c>
      <c r="H11" s="19" t="s">
        <v>14</v>
      </c>
      <c r="I11" s="23"/>
      <c r="J11" s="25"/>
      <c r="K11" s="19" t="s">
        <v>1839</v>
      </c>
      <c r="L11" s="25"/>
      <c r="M11" s="24"/>
      <c r="N11" s="25" t="s">
        <v>590</v>
      </c>
      <c r="O11" s="24" t="s">
        <v>3606</v>
      </c>
      <c r="P11" s="25" t="s">
        <v>590</v>
      </c>
      <c r="Q11" s="23"/>
      <c r="R11" s="24"/>
      <c r="S11" s="24"/>
      <c r="T11" s="787"/>
      <c r="U11" s="25"/>
      <c r="V11" s="25"/>
    </row>
    <row r="12" customHeight="1" spans="1:22">
      <c r="A12" s="19">
        <v>7</v>
      </c>
      <c r="B12" s="20" t="s">
        <v>3607</v>
      </c>
      <c r="C12" s="21"/>
      <c r="D12" s="24" t="s">
        <v>3608</v>
      </c>
      <c r="E12" s="20" t="s">
        <v>451</v>
      </c>
      <c r="F12" s="25" t="s">
        <v>3609</v>
      </c>
      <c r="G12" s="101" t="e">
        <f>VLOOKUP(F12,'01. TH'!$B:$E,3,0)</f>
        <v>#N/A</v>
      </c>
      <c r="H12" s="19" t="s">
        <v>14</v>
      </c>
      <c r="I12" s="23" t="s">
        <v>3610</v>
      </c>
      <c r="J12" s="25"/>
      <c r="K12" s="19" t="s">
        <v>1839</v>
      </c>
      <c r="L12" s="25"/>
      <c r="M12" s="22"/>
      <c r="N12" s="20" t="s">
        <v>3611</v>
      </c>
      <c r="O12" s="24" t="s">
        <v>3612</v>
      </c>
      <c r="P12" s="20" t="s">
        <v>3613</v>
      </c>
      <c r="Q12" s="23">
        <v>2024</v>
      </c>
      <c r="R12" s="24" t="s">
        <v>3614</v>
      </c>
      <c r="S12" s="24"/>
      <c r="T12" s="787"/>
      <c r="U12" s="25"/>
      <c r="V12" s="25"/>
    </row>
    <row r="13" customHeight="1" spans="1:22">
      <c r="A13" s="23">
        <v>8</v>
      </c>
      <c r="B13" s="20" t="s">
        <v>3615</v>
      </c>
      <c r="C13" s="21"/>
      <c r="D13" s="24" t="s">
        <v>3616</v>
      </c>
      <c r="E13" s="20" t="s">
        <v>451</v>
      </c>
      <c r="F13" s="25" t="s">
        <v>3617</v>
      </c>
      <c r="G13" s="101" t="e">
        <f>VLOOKUP(F13,'01. TH'!$B:$E,3,0)</f>
        <v>#N/A</v>
      </c>
      <c r="H13" s="19" t="s">
        <v>14</v>
      </c>
      <c r="I13" s="23" t="s">
        <v>3610</v>
      </c>
      <c r="J13" s="25"/>
      <c r="K13" s="19" t="s">
        <v>1839</v>
      </c>
      <c r="L13" s="25"/>
      <c r="M13" s="22"/>
      <c r="N13" s="20" t="s">
        <v>3611</v>
      </c>
      <c r="O13" s="24" t="s">
        <v>3618</v>
      </c>
      <c r="P13" s="20" t="s">
        <v>3613</v>
      </c>
      <c r="Q13" s="23">
        <v>2024</v>
      </c>
      <c r="R13" s="24" t="s">
        <v>3619</v>
      </c>
      <c r="S13" s="24"/>
      <c r="T13" s="787"/>
      <c r="U13" s="25"/>
      <c r="V13" s="25"/>
    </row>
    <row r="14" customHeight="1" spans="1:22">
      <c r="A14" s="19">
        <v>9</v>
      </c>
      <c r="B14" s="20" t="s">
        <v>3620</v>
      </c>
      <c r="C14" s="21"/>
      <c r="D14" s="24" t="s">
        <v>3621</v>
      </c>
      <c r="E14" s="20" t="s">
        <v>451</v>
      </c>
      <c r="F14" s="25" t="s">
        <v>3622</v>
      </c>
      <c r="G14" s="101" t="e">
        <f>VLOOKUP(F14,'01. TH'!$B:$E,3,0)</f>
        <v>#N/A</v>
      </c>
      <c r="H14" s="19" t="s">
        <v>14</v>
      </c>
      <c r="I14" s="610">
        <v>45634</v>
      </c>
      <c r="J14" s="25"/>
      <c r="K14" s="19" t="s">
        <v>1839</v>
      </c>
      <c r="L14" s="25"/>
      <c r="M14" s="22"/>
      <c r="N14" s="20" t="s">
        <v>3611</v>
      </c>
      <c r="O14" s="24" t="s">
        <v>3612</v>
      </c>
      <c r="P14" s="20" t="s">
        <v>3613</v>
      </c>
      <c r="Q14" s="23">
        <v>2024</v>
      </c>
      <c r="R14" s="24" t="s">
        <v>3623</v>
      </c>
      <c r="S14" s="24"/>
      <c r="T14" s="787"/>
      <c r="U14" s="25"/>
      <c r="V14" s="25"/>
    </row>
    <row r="15" customHeight="1" spans="1:22">
      <c r="A15" s="23">
        <v>10</v>
      </c>
      <c r="B15" s="20" t="s">
        <v>3624</v>
      </c>
      <c r="C15" s="21"/>
      <c r="D15" s="24" t="s">
        <v>3625</v>
      </c>
      <c r="E15" s="20" t="s">
        <v>451</v>
      </c>
      <c r="F15" s="25" t="s">
        <v>3622</v>
      </c>
      <c r="G15" s="101" t="e">
        <f>VLOOKUP(F15,'01. TH'!$B:$E,3,0)</f>
        <v>#N/A</v>
      </c>
      <c r="H15" s="19" t="s">
        <v>14</v>
      </c>
      <c r="I15" s="610">
        <v>45634</v>
      </c>
      <c r="J15" s="25"/>
      <c r="K15" s="19" t="s">
        <v>1839</v>
      </c>
      <c r="L15" s="25"/>
      <c r="M15" s="22"/>
      <c r="N15" s="20" t="s">
        <v>3611</v>
      </c>
      <c r="O15" s="24" t="s">
        <v>3612</v>
      </c>
      <c r="P15" s="20" t="s">
        <v>3613</v>
      </c>
      <c r="Q15" s="23">
        <v>2024</v>
      </c>
      <c r="R15" s="24" t="s">
        <v>3623</v>
      </c>
      <c r="S15" s="24"/>
      <c r="T15" s="787"/>
      <c r="U15" s="25"/>
      <c r="V15" s="25"/>
    </row>
    <row r="16" customHeight="1" spans="1:22">
      <c r="A16" s="19">
        <v>11</v>
      </c>
      <c r="B16" s="20" t="s">
        <v>3626</v>
      </c>
      <c r="C16" s="21"/>
      <c r="D16" s="24" t="s">
        <v>3627</v>
      </c>
      <c r="E16" s="20" t="s">
        <v>451</v>
      </c>
      <c r="F16" s="25" t="s">
        <v>3622</v>
      </c>
      <c r="G16" s="101" t="e">
        <f>VLOOKUP(F16,'01. TH'!$B:$E,3,0)</f>
        <v>#N/A</v>
      </c>
      <c r="H16" s="19" t="s">
        <v>14</v>
      </c>
      <c r="I16" s="610">
        <v>45634</v>
      </c>
      <c r="J16" s="25"/>
      <c r="K16" s="19" t="s">
        <v>1839</v>
      </c>
      <c r="L16" s="25"/>
      <c r="M16" s="22"/>
      <c r="N16" s="20" t="s">
        <v>3611</v>
      </c>
      <c r="O16" s="24" t="s">
        <v>3612</v>
      </c>
      <c r="P16" s="20" t="s">
        <v>3613</v>
      </c>
      <c r="Q16" s="23">
        <v>2024</v>
      </c>
      <c r="R16" s="24" t="s">
        <v>3623</v>
      </c>
      <c r="S16" s="24"/>
      <c r="T16" s="787"/>
      <c r="U16" s="25"/>
      <c r="V16" s="25"/>
    </row>
    <row r="17" customHeight="1" spans="1:22">
      <c r="A17" s="23">
        <v>12</v>
      </c>
      <c r="B17" s="20" t="s">
        <v>3628</v>
      </c>
      <c r="C17" s="21"/>
      <c r="D17" s="24" t="s">
        <v>3629</v>
      </c>
      <c r="E17" s="20" t="s">
        <v>451</v>
      </c>
      <c r="F17" s="25" t="s">
        <v>3622</v>
      </c>
      <c r="G17" s="101" t="e">
        <f>VLOOKUP(F17,'01. TH'!$B:$E,3,0)</f>
        <v>#N/A</v>
      </c>
      <c r="H17" s="19" t="s">
        <v>14</v>
      </c>
      <c r="I17" s="610">
        <v>45634</v>
      </c>
      <c r="J17" s="25"/>
      <c r="K17" s="19" t="s">
        <v>1839</v>
      </c>
      <c r="L17" s="25"/>
      <c r="M17" s="22"/>
      <c r="N17" s="20" t="s">
        <v>3611</v>
      </c>
      <c r="O17" s="24" t="s">
        <v>3612</v>
      </c>
      <c r="P17" s="20" t="s">
        <v>3613</v>
      </c>
      <c r="Q17" s="23">
        <v>2024</v>
      </c>
      <c r="R17" s="24" t="s">
        <v>3623</v>
      </c>
      <c r="S17" s="24"/>
      <c r="T17" s="787"/>
      <c r="U17" s="25"/>
      <c r="V17" s="25"/>
    </row>
    <row r="18" customHeight="1" spans="1:22">
      <c r="A18" s="19">
        <v>13</v>
      </c>
      <c r="B18" s="20" t="s">
        <v>3630</v>
      </c>
      <c r="C18" s="21"/>
      <c r="D18" s="24" t="s">
        <v>3631</v>
      </c>
      <c r="E18" s="20" t="s">
        <v>451</v>
      </c>
      <c r="F18" s="25" t="s">
        <v>3632</v>
      </c>
      <c r="G18" s="101" t="e">
        <f>VLOOKUP(F18,'01. TH'!$B:$E,3,0)</f>
        <v>#N/A</v>
      </c>
      <c r="H18" s="19" t="s">
        <v>14</v>
      </c>
      <c r="I18" s="23" t="s">
        <v>2095</v>
      </c>
      <c r="J18" s="25"/>
      <c r="K18" s="19" t="s">
        <v>1839</v>
      </c>
      <c r="L18" s="25"/>
      <c r="M18" s="22"/>
      <c r="N18" s="20" t="s">
        <v>3611</v>
      </c>
      <c r="O18" s="24"/>
      <c r="P18" s="20" t="s">
        <v>3613</v>
      </c>
      <c r="Q18" s="23">
        <v>2024</v>
      </c>
      <c r="R18" s="24" t="s">
        <v>3633</v>
      </c>
      <c r="S18" s="24"/>
      <c r="T18" s="787"/>
      <c r="U18" s="25"/>
      <c r="V18" s="25"/>
    </row>
    <row r="19" customHeight="1" spans="1:22">
      <c r="A19" s="23">
        <v>14</v>
      </c>
      <c r="B19" s="20" t="s">
        <v>3634</v>
      </c>
      <c r="C19" s="21"/>
      <c r="D19" s="24" t="s">
        <v>3635</v>
      </c>
      <c r="E19" s="20" t="s">
        <v>451</v>
      </c>
      <c r="F19" s="25" t="s">
        <v>3632</v>
      </c>
      <c r="G19" s="101" t="e">
        <f>VLOOKUP(F19,'01. TH'!$B:$E,3,0)</f>
        <v>#N/A</v>
      </c>
      <c r="H19" s="19" t="s">
        <v>14</v>
      </c>
      <c r="I19" s="23" t="s">
        <v>2095</v>
      </c>
      <c r="J19" s="25"/>
      <c r="K19" s="19" t="s">
        <v>1839</v>
      </c>
      <c r="L19" s="25"/>
      <c r="M19" s="22"/>
      <c r="N19" s="20" t="s">
        <v>3611</v>
      </c>
      <c r="O19" s="24"/>
      <c r="P19" s="20" t="s">
        <v>3613</v>
      </c>
      <c r="Q19" s="23">
        <v>2024</v>
      </c>
      <c r="R19" s="24" t="s">
        <v>3636</v>
      </c>
      <c r="S19" s="24"/>
      <c r="T19" s="787"/>
      <c r="U19" s="25"/>
      <c r="V19" s="25"/>
    </row>
    <row r="20" customHeight="1" spans="1:22">
      <c r="A20" s="19">
        <v>15</v>
      </c>
      <c r="B20" s="20" t="s">
        <v>3637</v>
      </c>
      <c r="C20" s="21"/>
      <c r="D20" s="24" t="s">
        <v>3638</v>
      </c>
      <c r="E20" s="20" t="s">
        <v>451</v>
      </c>
      <c r="F20" s="25" t="s">
        <v>3632</v>
      </c>
      <c r="G20" s="101" t="e">
        <f>VLOOKUP(F20,'01. TH'!$B:$E,3,0)</f>
        <v>#N/A</v>
      </c>
      <c r="H20" s="19" t="s">
        <v>14</v>
      </c>
      <c r="I20" s="23" t="s">
        <v>2095</v>
      </c>
      <c r="J20" s="25"/>
      <c r="K20" s="19" t="s">
        <v>1839</v>
      </c>
      <c r="L20" s="25"/>
      <c r="M20" s="22"/>
      <c r="N20" s="20" t="s">
        <v>3611</v>
      </c>
      <c r="O20" s="24"/>
      <c r="P20" s="20" t="s">
        <v>3613</v>
      </c>
      <c r="Q20" s="23">
        <v>2024</v>
      </c>
      <c r="R20" s="24" t="s">
        <v>3639</v>
      </c>
      <c r="S20" s="24"/>
      <c r="T20" s="787"/>
      <c r="U20" s="25"/>
      <c r="V20" s="25"/>
    </row>
    <row r="21" customHeight="1" spans="1:22">
      <c r="A21" s="23">
        <v>16</v>
      </c>
      <c r="B21" s="20" t="s">
        <v>3640</v>
      </c>
      <c r="C21" s="21"/>
      <c r="D21" s="24" t="s">
        <v>3641</v>
      </c>
      <c r="E21" s="20" t="s">
        <v>451</v>
      </c>
      <c r="F21" s="25" t="s">
        <v>3632</v>
      </c>
      <c r="G21" s="101" t="e">
        <f>VLOOKUP(F21,'01. TH'!$B:$E,3,0)</f>
        <v>#N/A</v>
      </c>
      <c r="H21" s="19" t="s">
        <v>14</v>
      </c>
      <c r="I21" s="23" t="s">
        <v>2095</v>
      </c>
      <c r="J21" s="25"/>
      <c r="K21" s="19" t="s">
        <v>1839</v>
      </c>
      <c r="L21" s="25"/>
      <c r="M21" s="22"/>
      <c r="N21" s="20" t="s">
        <v>3611</v>
      </c>
      <c r="O21" s="24"/>
      <c r="P21" s="20" t="s">
        <v>3613</v>
      </c>
      <c r="Q21" s="23">
        <v>2024</v>
      </c>
      <c r="R21" s="24" t="s">
        <v>3639</v>
      </c>
      <c r="S21" s="24"/>
      <c r="T21" s="787"/>
      <c r="U21" s="25"/>
      <c r="V21" s="25"/>
    </row>
    <row r="22" customHeight="1" spans="1:22">
      <c r="A22" s="19">
        <v>17</v>
      </c>
      <c r="B22" s="20" t="s">
        <v>3642</v>
      </c>
      <c r="C22" s="21"/>
      <c r="D22" s="24" t="s">
        <v>3643</v>
      </c>
      <c r="E22" s="20" t="s">
        <v>451</v>
      </c>
      <c r="F22" s="25" t="s">
        <v>3632</v>
      </c>
      <c r="G22" s="101" t="e">
        <f>VLOOKUP(F22,'01. TH'!$B:$E,3,0)</f>
        <v>#N/A</v>
      </c>
      <c r="H22" s="19" t="s">
        <v>14</v>
      </c>
      <c r="I22" s="23" t="s">
        <v>2095</v>
      </c>
      <c r="J22" s="25"/>
      <c r="K22" s="19" t="s">
        <v>1839</v>
      </c>
      <c r="L22" s="25"/>
      <c r="M22" s="22"/>
      <c r="N22" s="20" t="s">
        <v>3611</v>
      </c>
      <c r="O22" s="24"/>
      <c r="P22" s="20" t="s">
        <v>3613</v>
      </c>
      <c r="Q22" s="23">
        <v>2024</v>
      </c>
      <c r="R22" s="24" t="s">
        <v>3639</v>
      </c>
      <c r="S22" s="24"/>
      <c r="T22" s="787"/>
      <c r="U22" s="25"/>
      <c r="V22" s="25"/>
    </row>
    <row r="23" customHeight="1" spans="1:22">
      <c r="A23" s="23">
        <v>18</v>
      </c>
      <c r="B23" s="20" t="s">
        <v>3644</v>
      </c>
      <c r="C23" s="21"/>
      <c r="D23" s="24" t="s">
        <v>3645</v>
      </c>
      <c r="E23" s="20" t="s">
        <v>451</v>
      </c>
      <c r="F23" s="25" t="s">
        <v>3632</v>
      </c>
      <c r="G23" s="101" t="e">
        <f>VLOOKUP(F23,'01. TH'!$B:$E,3,0)</f>
        <v>#N/A</v>
      </c>
      <c r="H23" s="19" t="s">
        <v>14</v>
      </c>
      <c r="I23" s="23" t="s">
        <v>3646</v>
      </c>
      <c r="J23" s="25"/>
      <c r="K23" s="19" t="s">
        <v>1839</v>
      </c>
      <c r="L23" s="25"/>
      <c r="M23" s="22"/>
      <c r="N23" s="20" t="s">
        <v>3611</v>
      </c>
      <c r="O23" s="24"/>
      <c r="P23" s="20" t="s">
        <v>3613</v>
      </c>
      <c r="Q23" s="23">
        <v>2024</v>
      </c>
      <c r="R23" s="24" t="s">
        <v>3647</v>
      </c>
      <c r="S23" s="24"/>
      <c r="T23" s="787"/>
      <c r="U23" s="25"/>
      <c r="V23" s="25"/>
    </row>
    <row r="24" customHeight="1" spans="1:22">
      <c r="A24" s="19">
        <v>19</v>
      </c>
      <c r="B24" s="20" t="s">
        <v>3648</v>
      </c>
      <c r="C24" s="21"/>
      <c r="D24" s="24" t="s">
        <v>3649</v>
      </c>
      <c r="E24" s="20" t="s">
        <v>451</v>
      </c>
      <c r="F24" s="25" t="s">
        <v>3632</v>
      </c>
      <c r="G24" s="101" t="e">
        <f>VLOOKUP(F24,'01. TH'!$B:$E,3,0)</f>
        <v>#N/A</v>
      </c>
      <c r="H24" s="19" t="s">
        <v>14</v>
      </c>
      <c r="I24" s="610">
        <v>45360</v>
      </c>
      <c r="J24" s="25"/>
      <c r="K24" s="19" t="s">
        <v>1839</v>
      </c>
      <c r="L24" s="25"/>
      <c r="M24" s="22"/>
      <c r="N24" s="20" t="s">
        <v>3611</v>
      </c>
      <c r="O24" s="24"/>
      <c r="P24" s="20" t="s">
        <v>3613</v>
      </c>
      <c r="Q24" s="23">
        <v>2024</v>
      </c>
      <c r="R24" s="24" t="s">
        <v>3639</v>
      </c>
      <c r="S24" s="24"/>
      <c r="T24" s="787"/>
      <c r="U24" s="25"/>
      <c r="V24" s="25"/>
    </row>
    <row r="25" customHeight="1" spans="1:22">
      <c r="A25" s="23">
        <v>20</v>
      </c>
      <c r="B25" s="20" t="s">
        <v>3650</v>
      </c>
      <c r="C25" s="21"/>
      <c r="D25" s="24" t="s">
        <v>3651</v>
      </c>
      <c r="E25" s="20" t="s">
        <v>451</v>
      </c>
      <c r="F25" s="25" t="s">
        <v>3632</v>
      </c>
      <c r="G25" s="101" t="e">
        <f>VLOOKUP(F25,'01. TH'!$B:$E,3,0)</f>
        <v>#N/A</v>
      </c>
      <c r="H25" s="19" t="s">
        <v>14</v>
      </c>
      <c r="I25" s="610">
        <v>45360</v>
      </c>
      <c r="J25" s="25"/>
      <c r="K25" s="19" t="s">
        <v>1839</v>
      </c>
      <c r="L25" s="25"/>
      <c r="M25" s="22"/>
      <c r="N25" s="20" t="s">
        <v>3611</v>
      </c>
      <c r="O25" s="24"/>
      <c r="P25" s="20" t="s">
        <v>3613</v>
      </c>
      <c r="Q25" s="23">
        <v>2024</v>
      </c>
      <c r="R25" s="24" t="s">
        <v>3639</v>
      </c>
      <c r="S25" s="24"/>
      <c r="T25" s="787"/>
      <c r="U25" s="25"/>
      <c r="V25" s="25"/>
    </row>
    <row r="26" customHeight="1" spans="1:22">
      <c r="A26" s="19">
        <v>21</v>
      </c>
      <c r="B26" s="20" t="s">
        <v>3652</v>
      </c>
      <c r="C26" s="21"/>
      <c r="D26" s="24" t="s">
        <v>3653</v>
      </c>
      <c r="E26" s="20" t="s">
        <v>451</v>
      </c>
      <c r="F26" s="25" t="s">
        <v>3632</v>
      </c>
      <c r="G26" s="101" t="e">
        <f>VLOOKUP(F26,'01. TH'!$B:$E,3,0)</f>
        <v>#N/A</v>
      </c>
      <c r="H26" s="19" t="s">
        <v>14</v>
      </c>
      <c r="I26" s="610">
        <v>45360</v>
      </c>
      <c r="J26" s="25"/>
      <c r="K26" s="19" t="s">
        <v>1839</v>
      </c>
      <c r="L26" s="25"/>
      <c r="M26" s="22"/>
      <c r="N26" s="20" t="s">
        <v>3611</v>
      </c>
      <c r="O26" s="24"/>
      <c r="P26" s="20" t="s">
        <v>3613</v>
      </c>
      <c r="Q26" s="23">
        <v>2024</v>
      </c>
      <c r="R26" s="24" t="s">
        <v>3639</v>
      </c>
      <c r="S26" s="24"/>
      <c r="T26" s="787"/>
      <c r="U26" s="25"/>
      <c r="V26" s="25"/>
    </row>
    <row r="27" customHeight="1" spans="1:22">
      <c r="A27" s="23">
        <v>22</v>
      </c>
      <c r="B27" s="20" t="s">
        <v>3654</v>
      </c>
      <c r="C27" s="39"/>
      <c r="D27" s="24" t="s">
        <v>3655</v>
      </c>
      <c r="E27" s="20" t="s">
        <v>451</v>
      </c>
      <c r="F27" s="25" t="s">
        <v>3656</v>
      </c>
      <c r="G27" s="101" t="e">
        <f>VLOOKUP(F27,'01. TH'!$B:$E,3,0)</f>
        <v>#N/A</v>
      </c>
      <c r="H27" s="19" t="s">
        <v>14</v>
      </c>
      <c r="I27" s="23" t="s">
        <v>3657</v>
      </c>
      <c r="J27" s="25"/>
      <c r="K27" s="19" t="s">
        <v>1839</v>
      </c>
      <c r="L27" s="25"/>
      <c r="M27" s="22"/>
      <c r="N27" s="20" t="s">
        <v>3611</v>
      </c>
      <c r="O27" s="24" t="s">
        <v>3618</v>
      </c>
      <c r="P27" s="20" t="s">
        <v>3613</v>
      </c>
      <c r="Q27" s="23">
        <v>2024</v>
      </c>
      <c r="R27" s="24" t="s">
        <v>3658</v>
      </c>
      <c r="S27" s="24"/>
      <c r="T27" s="787"/>
      <c r="U27" s="25"/>
      <c r="V27" s="25"/>
    </row>
    <row r="28" customHeight="1" spans="1:22">
      <c r="A28" s="19">
        <v>23</v>
      </c>
      <c r="B28" s="20" t="s">
        <v>3659</v>
      </c>
      <c r="C28" s="39"/>
      <c r="D28" s="24" t="s">
        <v>3660</v>
      </c>
      <c r="E28" s="20" t="s">
        <v>451</v>
      </c>
      <c r="F28" s="25" t="s">
        <v>3656</v>
      </c>
      <c r="G28" s="101" t="e">
        <f>VLOOKUP(F28,'01. TH'!$B:$E,3,0)</f>
        <v>#N/A</v>
      </c>
      <c r="H28" s="19" t="s">
        <v>14</v>
      </c>
      <c r="I28" s="23" t="s">
        <v>3657</v>
      </c>
      <c r="J28" s="25"/>
      <c r="K28" s="19" t="s">
        <v>1839</v>
      </c>
      <c r="L28" s="25"/>
      <c r="M28" s="22"/>
      <c r="N28" s="20" t="s">
        <v>3611</v>
      </c>
      <c r="O28" s="24" t="s">
        <v>3618</v>
      </c>
      <c r="P28" s="20" t="s">
        <v>3613</v>
      </c>
      <c r="Q28" s="23">
        <v>2024</v>
      </c>
      <c r="R28" s="24" t="s">
        <v>3658</v>
      </c>
      <c r="S28" s="24"/>
      <c r="T28" s="787"/>
      <c r="U28" s="25"/>
      <c r="V28" s="25"/>
    </row>
    <row r="29" customHeight="1" spans="1:22">
      <c r="A29" s="23">
        <v>24</v>
      </c>
      <c r="B29" s="20" t="s">
        <v>3661</v>
      </c>
      <c r="C29" s="39"/>
      <c r="D29" s="24" t="s">
        <v>3662</v>
      </c>
      <c r="E29" s="20" t="s">
        <v>451</v>
      </c>
      <c r="F29" s="25" t="s">
        <v>3656</v>
      </c>
      <c r="G29" s="101" t="e">
        <f>VLOOKUP(F29,'01. TH'!$B:$E,3,0)</f>
        <v>#N/A</v>
      </c>
      <c r="H29" s="19" t="s">
        <v>14</v>
      </c>
      <c r="I29" s="23" t="s">
        <v>3657</v>
      </c>
      <c r="J29" s="25"/>
      <c r="K29" s="19" t="s">
        <v>1839</v>
      </c>
      <c r="L29" s="25"/>
      <c r="M29" s="22"/>
      <c r="N29" s="20" t="s">
        <v>3611</v>
      </c>
      <c r="O29" s="24" t="s">
        <v>3618</v>
      </c>
      <c r="P29" s="20" t="s">
        <v>3613</v>
      </c>
      <c r="Q29" s="23">
        <v>2024</v>
      </c>
      <c r="R29" s="24" t="s">
        <v>3658</v>
      </c>
      <c r="S29" s="24"/>
      <c r="T29" s="787"/>
      <c r="U29" s="25"/>
      <c r="V29" s="25"/>
    </row>
    <row r="30" customHeight="1" spans="1:22">
      <c r="A30" s="19">
        <v>25</v>
      </c>
      <c r="B30" s="20" t="s">
        <v>3663</v>
      </c>
      <c r="C30" s="39"/>
      <c r="D30" s="24" t="s">
        <v>3664</v>
      </c>
      <c r="E30" s="20" t="s">
        <v>451</v>
      </c>
      <c r="F30" s="25" t="s">
        <v>3656</v>
      </c>
      <c r="G30" s="101" t="e">
        <f>VLOOKUP(F30,'01. TH'!$B:$E,3,0)</f>
        <v>#N/A</v>
      </c>
      <c r="H30" s="19" t="s">
        <v>14</v>
      </c>
      <c r="I30" s="23" t="s">
        <v>3657</v>
      </c>
      <c r="J30" s="25"/>
      <c r="K30" s="19" t="s">
        <v>1839</v>
      </c>
      <c r="L30" s="25"/>
      <c r="M30" s="22"/>
      <c r="N30" s="20" t="s">
        <v>3611</v>
      </c>
      <c r="O30" s="24" t="s">
        <v>3618</v>
      </c>
      <c r="P30" s="20" t="s">
        <v>3613</v>
      </c>
      <c r="Q30" s="23">
        <v>2024</v>
      </c>
      <c r="R30" s="24" t="s">
        <v>3658</v>
      </c>
      <c r="S30" s="24"/>
      <c r="T30" s="787"/>
      <c r="U30" s="25"/>
      <c r="V30" s="25"/>
    </row>
    <row r="31" customHeight="1" spans="1:22">
      <c r="A31" s="23">
        <v>26</v>
      </c>
      <c r="B31" s="20" t="s">
        <v>3665</v>
      </c>
      <c r="C31" s="39"/>
      <c r="D31" s="24" t="s">
        <v>3666</v>
      </c>
      <c r="E31" s="20" t="s">
        <v>451</v>
      </c>
      <c r="F31" s="25" t="s">
        <v>3656</v>
      </c>
      <c r="G31" s="101" t="e">
        <f>VLOOKUP(F31,'01. TH'!$B:$E,3,0)</f>
        <v>#N/A</v>
      </c>
      <c r="H31" s="19" t="s">
        <v>14</v>
      </c>
      <c r="I31" s="23" t="s">
        <v>3657</v>
      </c>
      <c r="J31" s="25"/>
      <c r="K31" s="19" t="s">
        <v>1839</v>
      </c>
      <c r="L31" s="25"/>
      <c r="M31" s="22"/>
      <c r="N31" s="20" t="s">
        <v>3611</v>
      </c>
      <c r="O31" s="24" t="s">
        <v>3618</v>
      </c>
      <c r="P31" s="20" t="s">
        <v>3613</v>
      </c>
      <c r="Q31" s="23">
        <v>2024</v>
      </c>
      <c r="R31" s="24" t="s">
        <v>3658</v>
      </c>
      <c r="S31" s="24"/>
      <c r="T31" s="787"/>
      <c r="U31" s="25"/>
      <c r="V31" s="25"/>
    </row>
    <row r="32" customHeight="1" spans="1:22">
      <c r="A32" s="19">
        <v>27</v>
      </c>
      <c r="B32" s="20" t="s">
        <v>3667</v>
      </c>
      <c r="C32" s="39"/>
      <c r="D32" s="24" t="s">
        <v>3668</v>
      </c>
      <c r="E32" s="20" t="s">
        <v>451</v>
      </c>
      <c r="F32" s="25" t="s">
        <v>3669</v>
      </c>
      <c r="G32" s="101" t="e">
        <f>VLOOKUP(F32,'01. TH'!$B:$E,3,0)</f>
        <v>#N/A</v>
      </c>
      <c r="H32" s="19" t="s">
        <v>14</v>
      </c>
      <c r="I32" s="610">
        <v>45751</v>
      </c>
      <c r="J32" s="25"/>
      <c r="K32" s="19" t="s">
        <v>1839</v>
      </c>
      <c r="L32" s="25"/>
      <c r="M32" s="22"/>
      <c r="N32" s="20" t="s">
        <v>3611</v>
      </c>
      <c r="O32" s="24" t="s">
        <v>3618</v>
      </c>
      <c r="P32" s="20" t="s">
        <v>3613</v>
      </c>
      <c r="Q32" s="23">
        <v>2025</v>
      </c>
      <c r="R32" s="24" t="s">
        <v>3670</v>
      </c>
      <c r="S32" s="24"/>
      <c r="T32" s="787"/>
      <c r="U32" s="25"/>
      <c r="V32" s="25"/>
    </row>
    <row r="33" customHeight="1" spans="1:22">
      <c r="A33" s="23">
        <v>28</v>
      </c>
      <c r="B33" s="20" t="s">
        <v>3671</v>
      </c>
      <c r="C33" s="39"/>
      <c r="D33" s="24" t="s">
        <v>3672</v>
      </c>
      <c r="E33" s="20" t="s">
        <v>451</v>
      </c>
      <c r="F33" s="25" t="s">
        <v>3669</v>
      </c>
      <c r="G33" s="101" t="e">
        <f>VLOOKUP(F33,'01. TH'!$B:$E,3,0)</f>
        <v>#N/A</v>
      </c>
      <c r="H33" s="19" t="s">
        <v>14</v>
      </c>
      <c r="I33" s="610">
        <v>45751</v>
      </c>
      <c r="J33" s="25"/>
      <c r="K33" s="19" t="s">
        <v>1839</v>
      </c>
      <c r="L33" s="25"/>
      <c r="M33" s="22"/>
      <c r="N33" s="20" t="s">
        <v>3611</v>
      </c>
      <c r="O33" s="24" t="s">
        <v>3618</v>
      </c>
      <c r="P33" s="20" t="s">
        <v>3613</v>
      </c>
      <c r="Q33" s="23">
        <v>2025</v>
      </c>
      <c r="R33" s="24" t="s">
        <v>3670</v>
      </c>
      <c r="S33" s="24"/>
      <c r="T33" s="787"/>
      <c r="U33" s="25"/>
      <c r="V33" s="25"/>
    </row>
    <row r="34" customHeight="1" spans="1:22">
      <c r="A34" s="19">
        <v>29</v>
      </c>
      <c r="B34" s="20" t="s">
        <v>3673</v>
      </c>
      <c r="C34" s="39"/>
      <c r="D34" s="24" t="s">
        <v>3674</v>
      </c>
      <c r="E34" s="20" t="s">
        <v>451</v>
      </c>
      <c r="F34" s="25" t="s">
        <v>3669</v>
      </c>
      <c r="G34" s="101" t="e">
        <f>VLOOKUP(F34,'01. TH'!$B:$E,3,0)</f>
        <v>#N/A</v>
      </c>
      <c r="H34" s="19" t="s">
        <v>14</v>
      </c>
      <c r="I34" s="610">
        <v>45842</v>
      </c>
      <c r="J34" s="25"/>
      <c r="K34" s="19" t="s">
        <v>1839</v>
      </c>
      <c r="L34" s="25"/>
      <c r="M34" s="22"/>
      <c r="N34" s="20" t="s">
        <v>3611</v>
      </c>
      <c r="O34" s="24" t="s">
        <v>3618</v>
      </c>
      <c r="P34" s="20" t="s">
        <v>3613</v>
      </c>
      <c r="Q34" s="23">
        <v>2025</v>
      </c>
      <c r="R34" s="24" t="s">
        <v>3670</v>
      </c>
      <c r="S34" s="24"/>
      <c r="T34" s="787"/>
      <c r="U34" s="25"/>
      <c r="V34" s="25"/>
    </row>
    <row r="35" customHeight="1" spans="1:22">
      <c r="A35" s="23">
        <v>30</v>
      </c>
      <c r="B35" s="20" t="s">
        <v>3675</v>
      </c>
      <c r="C35" s="39"/>
      <c r="D35" s="24" t="s">
        <v>3676</v>
      </c>
      <c r="E35" s="20" t="s">
        <v>451</v>
      </c>
      <c r="F35" s="25" t="s">
        <v>3669</v>
      </c>
      <c r="G35" s="101" t="e">
        <f>VLOOKUP(F35,'01. TH'!$B:$E,3,0)</f>
        <v>#N/A</v>
      </c>
      <c r="H35" s="19" t="s">
        <v>14</v>
      </c>
      <c r="I35" s="610">
        <v>45842</v>
      </c>
      <c r="J35" s="25"/>
      <c r="K35" s="19" t="s">
        <v>1839</v>
      </c>
      <c r="L35" s="25"/>
      <c r="M35" s="22"/>
      <c r="N35" s="20" t="s">
        <v>3611</v>
      </c>
      <c r="O35" s="24" t="s">
        <v>3618</v>
      </c>
      <c r="P35" s="20" t="s">
        <v>3613</v>
      </c>
      <c r="Q35" s="23">
        <v>2025</v>
      </c>
      <c r="R35" s="24" t="s">
        <v>3670</v>
      </c>
      <c r="S35" s="24"/>
      <c r="T35" s="787"/>
      <c r="U35" s="25"/>
      <c r="V35" s="25"/>
    </row>
    <row r="36" customHeight="1" spans="1:22">
      <c r="A36" s="19">
        <v>31</v>
      </c>
      <c r="B36" s="20" t="s">
        <v>3677</v>
      </c>
      <c r="C36" s="39"/>
      <c r="D36" s="24" t="s">
        <v>3678</v>
      </c>
      <c r="E36" s="20" t="s">
        <v>451</v>
      </c>
      <c r="F36" s="25" t="s">
        <v>3669</v>
      </c>
      <c r="G36" s="101" t="e">
        <f>VLOOKUP(F36,'01. TH'!$B:$E,3,0)</f>
        <v>#N/A</v>
      </c>
      <c r="H36" s="19" t="s">
        <v>14</v>
      </c>
      <c r="I36" s="610">
        <v>45842</v>
      </c>
      <c r="J36" s="25"/>
      <c r="K36" s="19" t="s">
        <v>1839</v>
      </c>
      <c r="L36" s="25"/>
      <c r="M36" s="22"/>
      <c r="N36" s="20" t="s">
        <v>3611</v>
      </c>
      <c r="O36" s="24" t="s">
        <v>3618</v>
      </c>
      <c r="P36" s="20" t="s">
        <v>3613</v>
      </c>
      <c r="Q36" s="23">
        <v>2025</v>
      </c>
      <c r="R36" s="24" t="s">
        <v>3670</v>
      </c>
      <c r="S36" s="24"/>
      <c r="T36" s="787"/>
      <c r="U36" s="25"/>
      <c r="V36" s="25"/>
    </row>
    <row r="37" customHeight="1" spans="1:22">
      <c r="A37" s="23">
        <v>32</v>
      </c>
      <c r="B37" s="20" t="s">
        <v>3679</v>
      </c>
      <c r="C37" s="39"/>
      <c r="D37" s="24" t="s">
        <v>3680</v>
      </c>
      <c r="E37" s="20" t="s">
        <v>451</v>
      </c>
      <c r="F37" s="25" t="s">
        <v>3669</v>
      </c>
      <c r="G37" s="101" t="e">
        <f>VLOOKUP(F37,'01. TH'!$B:$E,3,0)</f>
        <v>#N/A</v>
      </c>
      <c r="H37" s="19" t="s">
        <v>14</v>
      </c>
      <c r="I37" s="610">
        <v>45842</v>
      </c>
      <c r="J37" s="25"/>
      <c r="K37" s="19" t="s">
        <v>1839</v>
      </c>
      <c r="L37" s="25"/>
      <c r="M37" s="22"/>
      <c r="N37" s="20" t="s">
        <v>3611</v>
      </c>
      <c r="O37" s="24" t="s">
        <v>3618</v>
      </c>
      <c r="P37" s="20" t="s">
        <v>3613</v>
      </c>
      <c r="Q37" s="23">
        <v>2025</v>
      </c>
      <c r="R37" s="24" t="s">
        <v>3670</v>
      </c>
      <c r="S37" s="24"/>
      <c r="T37" s="787"/>
      <c r="U37" s="25"/>
      <c r="V37" s="25"/>
    </row>
    <row r="38" customHeight="1" spans="1:22">
      <c r="A38" s="19">
        <v>33</v>
      </c>
      <c r="B38" s="20" t="s">
        <v>3681</v>
      </c>
      <c r="C38" s="39"/>
      <c r="D38" s="24" t="s">
        <v>3682</v>
      </c>
      <c r="E38" s="20" t="s">
        <v>451</v>
      </c>
      <c r="F38" s="25" t="s">
        <v>3669</v>
      </c>
      <c r="G38" s="101" t="e">
        <f>VLOOKUP(F38,'01. TH'!$B:$E,3,0)</f>
        <v>#N/A</v>
      </c>
      <c r="H38" s="19" t="s">
        <v>14</v>
      </c>
      <c r="I38" s="23" t="s">
        <v>3683</v>
      </c>
      <c r="J38" s="25"/>
      <c r="K38" s="19" t="s">
        <v>1839</v>
      </c>
      <c r="L38" s="25"/>
      <c r="M38" s="22"/>
      <c r="N38" s="20" t="s">
        <v>3611</v>
      </c>
      <c r="O38" s="24" t="s">
        <v>3618</v>
      </c>
      <c r="P38" s="20" t="s">
        <v>3613</v>
      </c>
      <c r="Q38" s="23">
        <v>2025</v>
      </c>
      <c r="R38" s="24" t="s">
        <v>3670</v>
      </c>
      <c r="S38" s="24"/>
      <c r="T38" s="787"/>
      <c r="U38" s="25"/>
      <c r="V38" s="25"/>
    </row>
    <row r="39" customHeight="1" spans="1:22">
      <c r="A39" s="23">
        <v>34</v>
      </c>
      <c r="B39" s="20" t="s">
        <v>3684</v>
      </c>
      <c r="C39" s="39"/>
      <c r="D39" s="24" t="s">
        <v>3685</v>
      </c>
      <c r="E39" s="20" t="s">
        <v>451</v>
      </c>
      <c r="F39" s="25" t="s">
        <v>3669</v>
      </c>
      <c r="G39" s="101" t="e">
        <f>VLOOKUP(F39,'01. TH'!$B:$E,3,0)</f>
        <v>#N/A</v>
      </c>
      <c r="H39" s="19" t="s">
        <v>14</v>
      </c>
      <c r="I39" s="23" t="s">
        <v>3683</v>
      </c>
      <c r="J39" s="25"/>
      <c r="K39" s="19" t="s">
        <v>1839</v>
      </c>
      <c r="L39" s="25"/>
      <c r="M39" s="22"/>
      <c r="N39" s="20" t="s">
        <v>3611</v>
      </c>
      <c r="O39" s="24" t="s">
        <v>3618</v>
      </c>
      <c r="P39" s="20" t="s">
        <v>3613</v>
      </c>
      <c r="Q39" s="23">
        <v>2025</v>
      </c>
      <c r="R39" s="24" t="s">
        <v>3670</v>
      </c>
      <c r="S39" s="24"/>
      <c r="T39" s="787"/>
      <c r="U39" s="25"/>
      <c r="V39" s="25"/>
    </row>
    <row r="40" customHeight="1" spans="1:22">
      <c r="A40" s="19">
        <v>35</v>
      </c>
      <c r="B40" s="20" t="s">
        <v>3686</v>
      </c>
      <c r="C40" s="39"/>
      <c r="D40" s="24" t="s">
        <v>3687</v>
      </c>
      <c r="E40" s="20" t="s">
        <v>451</v>
      </c>
      <c r="F40" s="25" t="s">
        <v>3669</v>
      </c>
      <c r="G40" s="101" t="e">
        <f>VLOOKUP(F40,'01. TH'!$B:$E,3,0)</f>
        <v>#N/A</v>
      </c>
      <c r="H40" s="19" t="s">
        <v>14</v>
      </c>
      <c r="I40" s="23" t="s">
        <v>3683</v>
      </c>
      <c r="J40" s="25"/>
      <c r="K40" s="19" t="s">
        <v>1839</v>
      </c>
      <c r="L40" s="25"/>
      <c r="M40" s="22"/>
      <c r="N40" s="20" t="s">
        <v>3611</v>
      </c>
      <c r="O40" s="24" t="s">
        <v>3618</v>
      </c>
      <c r="P40" s="20" t="s">
        <v>3613</v>
      </c>
      <c r="Q40" s="23">
        <v>2025</v>
      </c>
      <c r="R40" s="24" t="s">
        <v>3670</v>
      </c>
      <c r="S40" s="24"/>
      <c r="T40" s="787"/>
      <c r="U40" s="25"/>
      <c r="V40" s="25"/>
    </row>
    <row r="41" customHeight="1" spans="1:22">
      <c r="A41" s="23">
        <f t="shared" ref="A41:A61" si="0">A40+1</f>
        <v>36</v>
      </c>
      <c r="B41" s="20" t="s">
        <v>3688</v>
      </c>
      <c r="C41" s="39"/>
      <c r="D41" s="24" t="s">
        <v>3689</v>
      </c>
      <c r="E41" s="20" t="s">
        <v>451</v>
      </c>
      <c r="F41" s="25" t="s">
        <v>3669</v>
      </c>
      <c r="G41" s="101" t="e">
        <f>VLOOKUP(F41,'01. TH'!$B:$E,3,0)</f>
        <v>#N/A</v>
      </c>
      <c r="H41" s="19" t="s">
        <v>14</v>
      </c>
      <c r="I41" s="23" t="s">
        <v>3683</v>
      </c>
      <c r="J41" s="25"/>
      <c r="K41" s="19" t="s">
        <v>1839</v>
      </c>
      <c r="L41" s="25"/>
      <c r="M41" s="22"/>
      <c r="N41" s="20" t="s">
        <v>3611</v>
      </c>
      <c r="O41" s="24" t="s">
        <v>3618</v>
      </c>
      <c r="P41" s="20" t="s">
        <v>3613</v>
      </c>
      <c r="Q41" s="23">
        <v>2025</v>
      </c>
      <c r="R41" s="24" t="s">
        <v>3670</v>
      </c>
      <c r="S41" s="24"/>
      <c r="T41" s="787"/>
      <c r="U41" s="25"/>
      <c r="V41" s="25"/>
    </row>
    <row r="42" customHeight="1" spans="1:22">
      <c r="A42" s="23">
        <f t="shared" si="0"/>
        <v>37</v>
      </c>
      <c r="B42" s="20" t="s">
        <v>3690</v>
      </c>
      <c r="C42" s="39"/>
      <c r="D42" s="24" t="s">
        <v>3691</v>
      </c>
      <c r="E42" s="20" t="s">
        <v>451</v>
      </c>
      <c r="F42" s="24" t="s">
        <v>3692</v>
      </c>
      <c r="G42" s="101" t="e">
        <f>VLOOKUP(F42,'01. TH'!$B:$E,3,0)</f>
        <v>#N/A</v>
      </c>
      <c r="H42" s="19" t="s">
        <v>14</v>
      </c>
      <c r="I42" s="23" t="s">
        <v>3693</v>
      </c>
      <c r="J42" s="25"/>
      <c r="K42" s="19" t="s">
        <v>1839</v>
      </c>
      <c r="L42" s="25"/>
      <c r="M42" s="22"/>
      <c r="N42" s="20" t="s">
        <v>3611</v>
      </c>
      <c r="O42" s="24" t="s">
        <v>3694</v>
      </c>
      <c r="P42" s="20" t="s">
        <v>3613</v>
      </c>
      <c r="Q42" s="23">
        <v>2025</v>
      </c>
      <c r="R42" s="24" t="s">
        <v>3670</v>
      </c>
      <c r="S42" s="24"/>
      <c r="T42" s="787"/>
      <c r="U42" s="25"/>
      <c r="V42" s="25"/>
    </row>
    <row r="43" customHeight="1" spans="1:22">
      <c r="A43" s="23">
        <f t="shared" si="0"/>
        <v>38</v>
      </c>
      <c r="B43" s="20" t="s">
        <v>3695</v>
      </c>
      <c r="C43" s="39"/>
      <c r="D43" s="24" t="s">
        <v>3696</v>
      </c>
      <c r="E43" s="20" t="s">
        <v>451</v>
      </c>
      <c r="F43" s="24" t="s">
        <v>3692</v>
      </c>
      <c r="G43" s="101" t="e">
        <f>VLOOKUP(F43,'01. TH'!$B:$E,3,0)</f>
        <v>#N/A</v>
      </c>
      <c r="H43" s="19" t="s">
        <v>14</v>
      </c>
      <c r="I43" s="23" t="s">
        <v>3693</v>
      </c>
      <c r="J43" s="25"/>
      <c r="K43" s="19" t="s">
        <v>1839</v>
      </c>
      <c r="L43" s="25"/>
      <c r="M43" s="22"/>
      <c r="N43" s="20" t="s">
        <v>3611</v>
      </c>
      <c r="O43" s="24" t="s">
        <v>3694</v>
      </c>
      <c r="P43" s="20" t="s">
        <v>3613</v>
      </c>
      <c r="Q43" s="23">
        <v>2025</v>
      </c>
      <c r="R43" s="24" t="s">
        <v>3670</v>
      </c>
      <c r="S43" s="24"/>
      <c r="T43" s="787"/>
      <c r="U43" s="25"/>
      <c r="V43" s="25"/>
    </row>
    <row r="44" customHeight="1" spans="1:22">
      <c r="A44" s="23">
        <f t="shared" si="0"/>
        <v>39</v>
      </c>
      <c r="B44" s="20" t="s">
        <v>3697</v>
      </c>
      <c r="C44" s="39"/>
      <c r="D44" s="24" t="s">
        <v>3698</v>
      </c>
      <c r="E44" s="20" t="s">
        <v>451</v>
      </c>
      <c r="F44" s="25" t="s">
        <v>3699</v>
      </c>
      <c r="G44" s="101" t="e">
        <f>VLOOKUP(F44,'01. TH'!$B:$E,3,0)</f>
        <v>#N/A</v>
      </c>
      <c r="H44" s="19" t="s">
        <v>14</v>
      </c>
      <c r="I44" s="23" t="s">
        <v>3700</v>
      </c>
      <c r="J44" s="25"/>
      <c r="K44" s="19" t="s">
        <v>1839</v>
      </c>
      <c r="L44" s="25"/>
      <c r="M44" s="22"/>
      <c r="N44" s="20" t="s">
        <v>3611</v>
      </c>
      <c r="O44" s="24" t="s">
        <v>3694</v>
      </c>
      <c r="P44" s="20" t="s">
        <v>3613</v>
      </c>
      <c r="Q44" s="23">
        <v>2025</v>
      </c>
      <c r="R44" s="24" t="s">
        <v>3670</v>
      </c>
      <c r="S44" s="24"/>
      <c r="T44" s="787"/>
      <c r="U44" s="25"/>
      <c r="V44" s="25"/>
    </row>
    <row r="45" customHeight="1" spans="1:22">
      <c r="A45" s="23">
        <f t="shared" si="0"/>
        <v>40</v>
      </c>
      <c r="B45" s="20" t="s">
        <v>3701</v>
      </c>
      <c r="C45" s="39"/>
      <c r="D45" s="24" t="s">
        <v>3702</v>
      </c>
      <c r="E45" s="20" t="s">
        <v>451</v>
      </c>
      <c r="F45" s="25" t="s">
        <v>3699</v>
      </c>
      <c r="G45" s="101" t="e">
        <f>VLOOKUP(F45,'01. TH'!$B:$E,3,0)</f>
        <v>#N/A</v>
      </c>
      <c r="H45" s="19" t="s">
        <v>14</v>
      </c>
      <c r="I45" s="23" t="s">
        <v>3700</v>
      </c>
      <c r="J45" s="25"/>
      <c r="K45" s="19" t="s">
        <v>1839</v>
      </c>
      <c r="L45" s="25"/>
      <c r="M45" s="22"/>
      <c r="N45" s="20" t="s">
        <v>3611</v>
      </c>
      <c r="O45" s="24" t="s">
        <v>3694</v>
      </c>
      <c r="P45" s="20" t="s">
        <v>3613</v>
      </c>
      <c r="Q45" s="23">
        <v>2025</v>
      </c>
      <c r="R45" s="24" t="s">
        <v>3670</v>
      </c>
      <c r="S45" s="24"/>
      <c r="T45" s="787"/>
      <c r="U45" s="25"/>
      <c r="V45" s="25"/>
    </row>
    <row r="46" customHeight="1" spans="1:22">
      <c r="A46" s="23">
        <f t="shared" si="0"/>
        <v>41</v>
      </c>
      <c r="B46" s="20" t="s">
        <v>3703</v>
      </c>
      <c r="C46" s="39"/>
      <c r="D46" s="24" t="s">
        <v>3704</v>
      </c>
      <c r="E46" s="20" t="s">
        <v>451</v>
      </c>
      <c r="F46" s="25" t="s">
        <v>3699</v>
      </c>
      <c r="G46" s="101"/>
      <c r="H46" s="19" t="s">
        <v>14</v>
      </c>
      <c r="I46" s="610">
        <v>46056</v>
      </c>
      <c r="J46" s="25"/>
      <c r="K46" s="19" t="s">
        <v>1839</v>
      </c>
      <c r="L46" s="25"/>
      <c r="M46" s="22"/>
      <c r="N46" s="20" t="s">
        <v>3611</v>
      </c>
      <c r="O46" s="24" t="s">
        <v>3618</v>
      </c>
      <c r="P46" s="20" t="s">
        <v>3613</v>
      </c>
      <c r="Q46" s="23">
        <v>2026</v>
      </c>
      <c r="R46" s="24" t="s">
        <v>3705</v>
      </c>
      <c r="S46" s="24" t="s">
        <v>3706</v>
      </c>
      <c r="T46" s="787"/>
      <c r="U46" s="25"/>
      <c r="V46" s="25"/>
    </row>
    <row r="47" customHeight="1" spans="1:22">
      <c r="A47" s="23">
        <f t="shared" si="0"/>
        <v>42</v>
      </c>
      <c r="B47" s="20" t="s">
        <v>3707</v>
      </c>
      <c r="C47" s="39"/>
      <c r="D47" s="24" t="s">
        <v>3708</v>
      </c>
      <c r="E47" s="20" t="s">
        <v>451</v>
      </c>
      <c r="F47" s="25" t="s">
        <v>3699</v>
      </c>
      <c r="G47" s="101"/>
      <c r="H47" s="19" t="s">
        <v>14</v>
      </c>
      <c r="I47" s="610">
        <v>46056</v>
      </c>
      <c r="J47" s="25"/>
      <c r="K47" s="19" t="s">
        <v>1839</v>
      </c>
      <c r="L47" s="25"/>
      <c r="M47" s="22"/>
      <c r="N47" s="20" t="s">
        <v>3611</v>
      </c>
      <c r="O47" s="24" t="s">
        <v>3618</v>
      </c>
      <c r="P47" s="20" t="s">
        <v>3613</v>
      </c>
      <c r="Q47" s="23">
        <v>2026</v>
      </c>
      <c r="R47" s="24" t="s">
        <v>3705</v>
      </c>
      <c r="S47" s="24" t="s">
        <v>3706</v>
      </c>
      <c r="T47" s="787"/>
      <c r="U47" s="25"/>
      <c r="V47" s="25"/>
    </row>
    <row r="48" customHeight="1" spans="1:22">
      <c r="A48" s="23">
        <f t="shared" si="0"/>
        <v>43</v>
      </c>
      <c r="B48" s="20" t="s">
        <v>3709</v>
      </c>
      <c r="C48" s="39"/>
      <c r="D48" s="24" t="s">
        <v>3710</v>
      </c>
      <c r="E48" s="20" t="s">
        <v>451</v>
      </c>
      <c r="F48" s="25" t="s">
        <v>3699</v>
      </c>
      <c r="G48" s="101"/>
      <c r="H48" s="19" t="s">
        <v>14</v>
      </c>
      <c r="I48" s="610">
        <v>46056</v>
      </c>
      <c r="J48" s="25"/>
      <c r="K48" s="19" t="s">
        <v>1839</v>
      </c>
      <c r="L48" s="25"/>
      <c r="M48" s="22"/>
      <c r="N48" s="20" t="s">
        <v>3611</v>
      </c>
      <c r="O48" s="24" t="s">
        <v>3618</v>
      </c>
      <c r="P48" s="20" t="s">
        <v>3613</v>
      </c>
      <c r="Q48" s="23">
        <v>2026</v>
      </c>
      <c r="R48" s="24" t="s">
        <v>3705</v>
      </c>
      <c r="S48" s="24" t="s">
        <v>3706</v>
      </c>
      <c r="T48" s="787"/>
      <c r="U48" s="25"/>
      <c r="V48" s="25"/>
    </row>
    <row r="49" customHeight="1" spans="1:22">
      <c r="A49" s="23">
        <f t="shared" si="0"/>
        <v>44</v>
      </c>
      <c r="B49" s="20" t="s">
        <v>3711</v>
      </c>
      <c r="C49" s="39"/>
      <c r="D49" s="24" t="s">
        <v>3712</v>
      </c>
      <c r="E49" s="20" t="s">
        <v>451</v>
      </c>
      <c r="F49" s="25" t="s">
        <v>3699</v>
      </c>
      <c r="G49" s="101"/>
      <c r="H49" s="19" t="s">
        <v>14</v>
      </c>
      <c r="I49" s="610">
        <v>46056</v>
      </c>
      <c r="J49" s="25"/>
      <c r="K49" s="19" t="s">
        <v>1839</v>
      </c>
      <c r="L49" s="25"/>
      <c r="M49" s="22"/>
      <c r="N49" s="20" t="s">
        <v>3611</v>
      </c>
      <c r="O49" s="24" t="s">
        <v>3618</v>
      </c>
      <c r="P49" s="20" t="s">
        <v>3613</v>
      </c>
      <c r="Q49" s="23">
        <v>2026</v>
      </c>
      <c r="R49" s="24" t="s">
        <v>3705</v>
      </c>
      <c r="S49" s="24" t="s">
        <v>3713</v>
      </c>
      <c r="T49" s="787"/>
      <c r="U49" s="25"/>
      <c r="V49" s="25"/>
    </row>
    <row r="50" customHeight="1" spans="1:22">
      <c r="A50" s="23">
        <f t="shared" si="0"/>
        <v>45</v>
      </c>
      <c r="B50" s="20" t="s">
        <v>3714</v>
      </c>
      <c r="C50" s="39"/>
      <c r="D50" s="24" t="s">
        <v>3715</v>
      </c>
      <c r="E50" s="20" t="s">
        <v>451</v>
      </c>
      <c r="F50" s="25" t="s">
        <v>3716</v>
      </c>
      <c r="G50" s="101"/>
      <c r="H50" s="19" t="s">
        <v>14</v>
      </c>
      <c r="I50" s="610">
        <v>46056</v>
      </c>
      <c r="J50" s="25"/>
      <c r="K50" s="19" t="s">
        <v>1839</v>
      </c>
      <c r="L50" s="25"/>
      <c r="M50" s="22"/>
      <c r="N50" s="20" t="s">
        <v>3611</v>
      </c>
      <c r="O50" s="24" t="s">
        <v>3717</v>
      </c>
      <c r="P50" s="20" t="s">
        <v>3613</v>
      </c>
      <c r="Q50" s="23">
        <v>2026</v>
      </c>
      <c r="R50" s="24" t="s">
        <v>3718</v>
      </c>
      <c r="S50" s="24" t="s">
        <v>3719</v>
      </c>
      <c r="T50" s="787"/>
      <c r="U50" s="25"/>
      <c r="V50" s="25"/>
    </row>
    <row r="51" customHeight="1" spans="1:22">
      <c r="A51" s="23">
        <f t="shared" si="0"/>
        <v>46</v>
      </c>
      <c r="B51" s="20" t="s">
        <v>3720</v>
      </c>
      <c r="C51" s="39"/>
      <c r="D51" s="24" t="s">
        <v>3721</v>
      </c>
      <c r="E51" s="20" t="s">
        <v>451</v>
      </c>
      <c r="F51" s="25" t="s">
        <v>3716</v>
      </c>
      <c r="G51" s="101"/>
      <c r="H51" s="19" t="s">
        <v>14</v>
      </c>
      <c r="I51" s="610">
        <v>46056</v>
      </c>
      <c r="J51" s="25"/>
      <c r="K51" s="19" t="s">
        <v>1839</v>
      </c>
      <c r="L51" s="25"/>
      <c r="M51" s="22"/>
      <c r="N51" s="20" t="s">
        <v>3611</v>
      </c>
      <c r="O51" s="24" t="s">
        <v>3717</v>
      </c>
      <c r="P51" s="20" t="s">
        <v>3613</v>
      </c>
      <c r="Q51" s="23">
        <v>2026</v>
      </c>
      <c r="R51" s="24" t="s">
        <v>3718</v>
      </c>
      <c r="S51" s="24" t="s">
        <v>3719</v>
      </c>
      <c r="T51" s="787"/>
      <c r="U51" s="25"/>
      <c r="V51" s="25"/>
    </row>
    <row r="52" customHeight="1" spans="1:22">
      <c r="A52" s="23">
        <f t="shared" si="0"/>
        <v>47</v>
      </c>
      <c r="B52" s="20"/>
      <c r="C52" s="39"/>
      <c r="D52" s="24"/>
      <c r="E52" s="25"/>
      <c r="F52" s="25"/>
      <c r="G52" s="101"/>
      <c r="H52" s="19"/>
      <c r="I52" s="610"/>
      <c r="J52" s="25"/>
      <c r="K52" s="19"/>
      <c r="L52" s="25"/>
      <c r="M52" s="22"/>
      <c r="N52" s="20"/>
      <c r="O52" s="24"/>
      <c r="P52" s="25"/>
      <c r="Q52" s="23"/>
      <c r="R52" s="24"/>
      <c r="S52" s="24"/>
      <c r="T52" s="787"/>
      <c r="U52" s="25"/>
      <c r="V52" s="25"/>
    </row>
    <row r="53" hidden="1" customHeight="1" spans="1:22">
      <c r="A53" s="23">
        <f t="shared" si="0"/>
        <v>48</v>
      </c>
      <c r="B53" s="20"/>
      <c r="C53" s="39"/>
      <c r="D53" s="24"/>
      <c r="E53" s="25"/>
      <c r="F53" s="25"/>
      <c r="G53" s="101"/>
      <c r="H53" s="19"/>
      <c r="I53" s="610"/>
      <c r="J53" s="25"/>
      <c r="K53" s="19"/>
      <c r="L53" s="25"/>
      <c r="M53" s="22"/>
      <c r="N53" s="20"/>
      <c r="O53" s="24"/>
      <c r="P53" s="25"/>
      <c r="Q53" s="23"/>
      <c r="R53" s="24"/>
      <c r="S53" s="24"/>
      <c r="T53" s="787"/>
      <c r="U53" s="25"/>
      <c r="V53" s="25"/>
    </row>
    <row r="54" hidden="1" customHeight="1" spans="1:22">
      <c r="A54" s="23">
        <f t="shared" si="0"/>
        <v>49</v>
      </c>
      <c r="B54" s="20"/>
      <c r="C54" s="39"/>
      <c r="D54" s="24"/>
      <c r="E54" s="25"/>
      <c r="F54" s="25"/>
      <c r="G54" s="101"/>
      <c r="H54" s="19"/>
      <c r="I54" s="610"/>
      <c r="J54" s="25"/>
      <c r="K54" s="19"/>
      <c r="L54" s="25"/>
      <c r="M54" s="22"/>
      <c r="N54" s="20"/>
      <c r="O54" s="24"/>
      <c r="P54" s="25"/>
      <c r="Q54" s="23"/>
      <c r="R54" s="24"/>
      <c r="S54" s="24"/>
      <c r="T54" s="787"/>
      <c r="U54" s="25"/>
      <c r="V54" s="25"/>
    </row>
    <row r="55" hidden="1" customHeight="1" spans="1:22">
      <c r="A55" s="23">
        <f t="shared" si="0"/>
        <v>50</v>
      </c>
      <c r="B55" s="20"/>
      <c r="C55" s="39"/>
      <c r="D55" s="24"/>
      <c r="E55" s="25"/>
      <c r="F55" s="25"/>
      <c r="G55" s="101" t="e">
        <f>VLOOKUP(F55,'01. TH'!$B:$E,3,0)</f>
        <v>#N/A</v>
      </c>
      <c r="H55" s="19"/>
      <c r="I55" s="610"/>
      <c r="J55" s="25"/>
      <c r="K55" s="19"/>
      <c r="L55" s="25"/>
      <c r="M55" s="22"/>
      <c r="N55" s="20"/>
      <c r="O55" s="24"/>
      <c r="P55" s="25"/>
      <c r="Q55" s="23"/>
      <c r="R55" s="24"/>
      <c r="S55" s="24"/>
      <c r="T55" s="787"/>
      <c r="U55" s="25"/>
      <c r="V55" s="25"/>
    </row>
    <row r="56" hidden="1" customHeight="1" spans="1:22">
      <c r="A56" s="23">
        <f t="shared" si="0"/>
        <v>51</v>
      </c>
      <c r="B56" s="20"/>
      <c r="C56" s="39"/>
      <c r="D56" s="24"/>
      <c r="E56" s="25"/>
      <c r="F56" s="25"/>
      <c r="G56" s="101" t="e">
        <f>VLOOKUP(F56,'01. TH'!$B:$E,3,0)</f>
        <v>#N/A</v>
      </c>
      <c r="H56" s="19"/>
      <c r="I56" s="610"/>
      <c r="J56" s="25"/>
      <c r="K56" s="19"/>
      <c r="L56" s="25"/>
      <c r="M56" s="22"/>
      <c r="N56" s="20"/>
      <c r="O56" s="24"/>
      <c r="P56" s="25"/>
      <c r="Q56" s="23"/>
      <c r="R56" s="24"/>
      <c r="S56" s="24"/>
      <c r="T56" s="787"/>
      <c r="U56" s="25"/>
      <c r="V56" s="25"/>
    </row>
    <row r="57" hidden="1" customHeight="1" spans="1:22">
      <c r="A57" s="23">
        <f t="shared" si="0"/>
        <v>52</v>
      </c>
      <c r="B57" s="20"/>
      <c r="C57" s="39"/>
      <c r="D57" s="24"/>
      <c r="E57" s="25"/>
      <c r="F57" s="25"/>
      <c r="G57" s="101" t="e">
        <f>VLOOKUP(F57,'01. TH'!$B:$E,3,0)</f>
        <v>#N/A</v>
      </c>
      <c r="H57" s="19"/>
      <c r="I57" s="610"/>
      <c r="J57" s="25"/>
      <c r="K57" s="19"/>
      <c r="L57" s="25"/>
      <c r="M57" s="22"/>
      <c r="N57" s="20"/>
      <c r="O57" s="24"/>
      <c r="P57" s="25"/>
      <c r="Q57" s="23"/>
      <c r="R57" s="24"/>
      <c r="S57" s="24"/>
      <c r="T57" s="787"/>
      <c r="U57" s="25"/>
      <c r="V57" s="25"/>
    </row>
    <row r="58" hidden="1" customHeight="1" spans="1:22">
      <c r="A58" s="23">
        <f t="shared" si="0"/>
        <v>53</v>
      </c>
      <c r="B58" s="20"/>
      <c r="C58" s="39"/>
      <c r="D58" s="24"/>
      <c r="E58" s="25"/>
      <c r="F58" s="25"/>
      <c r="G58" s="101" t="e">
        <f>VLOOKUP(F58,'01. TH'!$B:$E,3,0)</f>
        <v>#N/A</v>
      </c>
      <c r="H58" s="19"/>
      <c r="I58" s="610"/>
      <c r="J58" s="25"/>
      <c r="K58" s="19"/>
      <c r="L58" s="25"/>
      <c r="M58" s="22"/>
      <c r="N58" s="20"/>
      <c r="O58" s="24"/>
      <c r="P58" s="25"/>
      <c r="Q58" s="23"/>
      <c r="R58" s="24"/>
      <c r="S58" s="24"/>
      <c r="T58" s="787"/>
      <c r="U58" s="25"/>
      <c r="V58" s="25"/>
    </row>
    <row r="59" hidden="1" customHeight="1" spans="1:22">
      <c r="A59" s="23">
        <f t="shared" si="0"/>
        <v>54</v>
      </c>
      <c r="B59" s="20"/>
      <c r="C59" s="39"/>
      <c r="D59" s="24"/>
      <c r="E59" s="25"/>
      <c r="F59" s="25"/>
      <c r="G59" s="101" t="e">
        <f>VLOOKUP(F59,'01. TH'!$B:$E,3,0)</f>
        <v>#N/A</v>
      </c>
      <c r="H59" s="19"/>
      <c r="I59" s="610"/>
      <c r="J59" s="25"/>
      <c r="K59" s="19"/>
      <c r="L59" s="25"/>
      <c r="M59" s="22"/>
      <c r="N59" s="20"/>
      <c r="O59" s="24"/>
      <c r="P59" s="25"/>
      <c r="Q59" s="23"/>
      <c r="R59" s="24"/>
      <c r="S59" s="24"/>
      <c r="T59" s="787"/>
      <c r="U59" s="25"/>
      <c r="V59" s="25"/>
    </row>
    <row r="60" hidden="1" customHeight="1" spans="1:22">
      <c r="A60" s="23">
        <f t="shared" si="0"/>
        <v>55</v>
      </c>
      <c r="B60" s="20"/>
      <c r="C60" s="39"/>
      <c r="D60" s="24"/>
      <c r="E60" s="25"/>
      <c r="F60" s="25"/>
      <c r="G60" s="101" t="e">
        <f>VLOOKUP(F60,'01. TH'!$B:$E,3,0)</f>
        <v>#N/A</v>
      </c>
      <c r="H60" s="19"/>
      <c r="I60" s="610"/>
      <c r="J60" s="25"/>
      <c r="K60" s="19"/>
      <c r="L60" s="25"/>
      <c r="M60" s="22"/>
      <c r="N60" s="20"/>
      <c r="O60" s="24"/>
      <c r="P60" s="25"/>
      <c r="Q60" s="23"/>
      <c r="R60" s="24"/>
      <c r="S60" s="24"/>
      <c r="T60" s="787"/>
      <c r="U60" s="25"/>
      <c r="V60" s="25"/>
    </row>
    <row r="61" hidden="1" customHeight="1" spans="1:22">
      <c r="A61" s="23">
        <f t="shared" si="0"/>
        <v>56</v>
      </c>
      <c r="B61" s="20"/>
      <c r="C61" s="39"/>
      <c r="D61" s="24"/>
      <c r="E61" s="25"/>
      <c r="F61" s="25"/>
      <c r="G61" s="101" t="e">
        <f>VLOOKUP(F61,'01. TH'!$B:$E,3,0)</f>
        <v>#N/A</v>
      </c>
      <c r="H61" s="19"/>
      <c r="I61" s="610"/>
      <c r="J61" s="25"/>
      <c r="K61" s="19"/>
      <c r="L61" s="25"/>
      <c r="M61" s="22"/>
      <c r="N61" s="20"/>
      <c r="O61" s="24"/>
      <c r="P61" s="25"/>
      <c r="Q61" s="23"/>
      <c r="R61" s="24"/>
      <c r="S61" s="24"/>
      <c r="T61" s="787"/>
      <c r="U61" s="25"/>
      <c r="V61" s="25"/>
    </row>
    <row r="62" hidden="1" customHeight="1" spans="1:22">
      <c r="A62" s="23"/>
      <c r="B62" s="20"/>
      <c r="C62" s="39"/>
      <c r="D62" s="24"/>
      <c r="E62" s="25"/>
      <c r="F62" s="25"/>
      <c r="G62" s="101" t="e">
        <f>VLOOKUP(F62,'01. TH'!$B:$E,3,0)</f>
        <v>#N/A</v>
      </c>
      <c r="H62" s="19"/>
      <c r="I62" s="610"/>
      <c r="J62" s="25"/>
      <c r="K62" s="19"/>
      <c r="L62" s="25"/>
      <c r="M62" s="22"/>
      <c r="N62" s="20"/>
      <c r="O62" s="24"/>
      <c r="P62" s="25"/>
      <c r="Q62" s="23"/>
      <c r="R62" s="24"/>
      <c r="S62" s="24"/>
      <c r="T62" s="787"/>
      <c r="U62" s="25"/>
      <c r="V62" s="25"/>
    </row>
    <row r="63" hidden="1" customHeight="1" spans="1:22">
      <c r="A63" s="23"/>
      <c r="B63" s="20"/>
      <c r="C63" s="39" t="s">
        <v>1034</v>
      </c>
      <c r="D63" s="24"/>
      <c r="E63" s="25"/>
      <c r="F63" s="25"/>
      <c r="G63" s="101" t="e">
        <f>VLOOKUP(F63,'01. TH'!$B:$E,3,0)</f>
        <v>#N/A</v>
      </c>
      <c r="H63" s="19"/>
      <c r="I63" s="610"/>
      <c r="J63" s="25"/>
      <c r="K63" s="19"/>
      <c r="L63" s="25"/>
      <c r="M63" s="22"/>
      <c r="N63" s="20"/>
      <c r="O63" s="24"/>
      <c r="P63" s="25"/>
      <c r="Q63" s="23"/>
      <c r="R63" s="24"/>
      <c r="S63" s="24"/>
      <c r="T63" s="787"/>
      <c r="U63" s="25"/>
      <c r="V63" s="25"/>
    </row>
    <row r="64" customHeight="1" spans="1:22">
      <c r="A64" s="14" t="s">
        <v>690</v>
      </c>
      <c r="B64" s="15" t="s">
        <v>691</v>
      </c>
      <c r="C64" s="14">
        <f>COUNTA($B$65:$B$107)</f>
        <v>35</v>
      </c>
      <c r="D64" s="17"/>
      <c r="E64" s="17"/>
      <c r="F64" s="17"/>
      <c r="G64" s="18"/>
      <c r="H64" s="18"/>
      <c r="I64" s="14"/>
      <c r="J64" s="15"/>
      <c r="K64" s="14"/>
      <c r="L64" s="17"/>
      <c r="M64" s="16"/>
      <c r="N64" s="17"/>
      <c r="O64" s="16"/>
      <c r="P64" s="17"/>
      <c r="Q64" s="18"/>
      <c r="R64" s="16"/>
      <c r="S64" s="16"/>
      <c r="T64" s="786"/>
      <c r="U64" s="17"/>
      <c r="V64" s="17"/>
    </row>
    <row r="65" customHeight="1" spans="1:22">
      <c r="A65" s="23">
        <v>1</v>
      </c>
      <c r="B65" s="25" t="s">
        <v>3722</v>
      </c>
      <c r="C65" s="21"/>
      <c r="D65" s="24" t="s">
        <v>3723</v>
      </c>
      <c r="E65" s="20" t="s">
        <v>451</v>
      </c>
      <c r="F65" s="20" t="s">
        <v>301</v>
      </c>
      <c r="G65" s="101">
        <f>VLOOKUP(F65,'01. TH'!$B:$E,3,0)</f>
        <v>0</v>
      </c>
      <c r="H65" s="23" t="s">
        <v>23</v>
      </c>
      <c r="I65" s="23"/>
      <c r="J65" s="25"/>
      <c r="K65" s="19" t="s">
        <v>1839</v>
      </c>
      <c r="L65" s="25"/>
      <c r="M65" s="24" t="s">
        <v>3724</v>
      </c>
      <c r="N65" s="25" t="s">
        <v>590</v>
      </c>
      <c r="O65" s="24"/>
      <c r="P65" s="25" t="s">
        <v>590</v>
      </c>
      <c r="Q65" s="23"/>
      <c r="R65" s="24"/>
      <c r="S65" s="24"/>
      <c r="T65" s="787"/>
      <c r="U65" s="25"/>
      <c r="V65" s="25"/>
    </row>
    <row r="66" customHeight="1" spans="1:22">
      <c r="A66" s="19">
        <f t="shared" ref="A66:A99" si="1">A65+1</f>
        <v>2</v>
      </c>
      <c r="B66" s="20" t="s">
        <v>3725</v>
      </c>
      <c r="C66" s="21"/>
      <c r="D66" s="22" t="s">
        <v>3726</v>
      </c>
      <c r="E66" s="20" t="s">
        <v>3593</v>
      </c>
      <c r="F66" s="20" t="s">
        <v>301</v>
      </c>
      <c r="G66" s="101">
        <f>VLOOKUP(F66,'01. TH'!$B:$E,3,0)</f>
        <v>0</v>
      </c>
      <c r="H66" s="23" t="s">
        <v>23</v>
      </c>
      <c r="I66" s="19" t="s">
        <v>3727</v>
      </c>
      <c r="J66" s="20"/>
      <c r="K66" s="19" t="s">
        <v>1839</v>
      </c>
      <c r="L66" s="20" t="s">
        <v>653</v>
      </c>
      <c r="M66" s="22"/>
      <c r="N66" s="25" t="s">
        <v>590</v>
      </c>
      <c r="O66" s="22" t="s">
        <v>3728</v>
      </c>
      <c r="P66" s="25" t="s">
        <v>590</v>
      </c>
      <c r="Q66" s="19">
        <v>2024</v>
      </c>
      <c r="R66" s="22"/>
      <c r="S66" s="22" t="s">
        <v>3729</v>
      </c>
      <c r="T66" s="47"/>
      <c r="U66" s="20"/>
      <c r="V66" s="20"/>
    </row>
    <row r="67" customHeight="1" spans="1:22">
      <c r="A67" s="19">
        <f t="shared" si="1"/>
        <v>3</v>
      </c>
      <c r="B67" s="20" t="s">
        <v>3730</v>
      </c>
      <c r="C67" s="21"/>
      <c r="D67" s="22" t="s">
        <v>3731</v>
      </c>
      <c r="E67" s="20" t="s">
        <v>3593</v>
      </c>
      <c r="F67" s="25" t="s">
        <v>301</v>
      </c>
      <c r="G67" s="101">
        <f>VLOOKUP(F67,'01. TH'!$B:$E,3,0)</f>
        <v>0</v>
      </c>
      <c r="H67" s="23" t="s">
        <v>23</v>
      </c>
      <c r="I67" s="19" t="s">
        <v>3732</v>
      </c>
      <c r="J67" s="20"/>
      <c r="K67" s="19" t="s">
        <v>1839</v>
      </c>
      <c r="L67" s="20" t="s">
        <v>653</v>
      </c>
      <c r="M67" s="22"/>
      <c r="N67" s="20" t="s">
        <v>3733</v>
      </c>
      <c r="O67" s="22" t="s">
        <v>3734</v>
      </c>
      <c r="P67" s="20" t="s">
        <v>555</v>
      </c>
      <c r="Q67" s="19">
        <v>2016</v>
      </c>
      <c r="R67" s="22"/>
      <c r="S67" s="788">
        <v>1892</v>
      </c>
      <c r="T67" s="47"/>
      <c r="U67" s="20"/>
      <c r="V67" s="20"/>
    </row>
    <row r="68" customHeight="1" spans="1:22">
      <c r="A68" s="19">
        <f t="shared" si="1"/>
        <v>4</v>
      </c>
      <c r="B68" s="20" t="s">
        <v>3735</v>
      </c>
      <c r="C68" s="21"/>
      <c r="D68" s="22" t="s">
        <v>3736</v>
      </c>
      <c r="E68" s="20" t="s">
        <v>451</v>
      </c>
      <c r="F68" s="25" t="s">
        <v>303</v>
      </c>
      <c r="G68" s="101">
        <f>VLOOKUP(F68,'01. TH'!$B:$E,3,0)</f>
        <v>0</v>
      </c>
      <c r="H68" s="19" t="s">
        <v>23</v>
      </c>
      <c r="I68" s="19"/>
      <c r="J68" s="20"/>
      <c r="K68" s="19" t="s">
        <v>1839</v>
      </c>
      <c r="L68" s="20"/>
      <c r="M68" s="22" t="s">
        <v>3737</v>
      </c>
      <c r="N68" s="25" t="s">
        <v>590</v>
      </c>
      <c r="O68" s="22" t="s">
        <v>3606</v>
      </c>
      <c r="P68" s="25" t="s">
        <v>590</v>
      </c>
      <c r="Q68" s="19"/>
      <c r="R68" s="22"/>
      <c r="S68" s="22"/>
      <c r="T68" s="47"/>
      <c r="U68" s="20"/>
      <c r="V68" s="20"/>
    </row>
    <row r="69" customHeight="1" spans="1:22">
      <c r="A69" s="19">
        <f t="shared" si="1"/>
        <v>5</v>
      </c>
      <c r="B69" s="20" t="s">
        <v>3738</v>
      </c>
      <c r="C69" s="21"/>
      <c r="D69" s="22" t="s">
        <v>3739</v>
      </c>
      <c r="E69" s="20" t="s">
        <v>451</v>
      </c>
      <c r="F69" s="20" t="s">
        <v>3740</v>
      </c>
      <c r="G69" s="101" t="e">
        <f>VLOOKUP(F69,'01. TH'!$B:$E,3,0)</f>
        <v>#N/A</v>
      </c>
      <c r="H69" s="19" t="s">
        <v>23</v>
      </c>
      <c r="I69" s="19" t="s">
        <v>560</v>
      </c>
      <c r="J69" s="20"/>
      <c r="K69" s="19" t="s">
        <v>1839</v>
      </c>
      <c r="L69" s="20" t="s">
        <v>3741</v>
      </c>
      <c r="M69" s="22"/>
      <c r="N69" s="20" t="s">
        <v>3611</v>
      </c>
      <c r="O69" s="22" t="s">
        <v>3717</v>
      </c>
      <c r="P69" s="20" t="s">
        <v>3613</v>
      </c>
      <c r="Q69" s="19">
        <v>2024</v>
      </c>
      <c r="R69" s="22" t="s">
        <v>3717</v>
      </c>
      <c r="S69" s="22"/>
      <c r="T69" s="47"/>
      <c r="U69" s="20"/>
      <c r="V69" s="20"/>
    </row>
    <row r="70" customHeight="1" spans="1:22">
      <c r="A70" s="19">
        <f t="shared" si="1"/>
        <v>6</v>
      </c>
      <c r="B70" s="20" t="s">
        <v>3742</v>
      </c>
      <c r="C70" s="21"/>
      <c r="D70" s="22" t="s">
        <v>3743</v>
      </c>
      <c r="E70" s="20" t="s">
        <v>451</v>
      </c>
      <c r="F70" s="20" t="s">
        <v>3744</v>
      </c>
      <c r="G70" s="101" t="e">
        <f>VLOOKUP(F70,'01. TH'!$B:$E,3,0)</f>
        <v>#N/A</v>
      </c>
      <c r="H70" s="19" t="s">
        <v>23</v>
      </c>
      <c r="I70" s="19" t="s">
        <v>553</v>
      </c>
      <c r="J70" s="20"/>
      <c r="K70" s="19" t="s">
        <v>1839</v>
      </c>
      <c r="L70" s="20" t="s">
        <v>3741</v>
      </c>
      <c r="M70" s="22"/>
      <c r="N70" s="20" t="s">
        <v>3611</v>
      </c>
      <c r="O70" s="22" t="s">
        <v>3612</v>
      </c>
      <c r="P70" s="20" t="s">
        <v>3613</v>
      </c>
      <c r="Q70" s="19">
        <v>2024</v>
      </c>
      <c r="R70" s="22" t="s">
        <v>3614</v>
      </c>
      <c r="S70" s="22"/>
      <c r="T70" s="47"/>
      <c r="U70" s="20"/>
      <c r="V70" s="20"/>
    </row>
    <row r="71" customHeight="1" spans="1:22">
      <c r="A71" s="19">
        <f t="shared" si="1"/>
        <v>7</v>
      </c>
      <c r="B71" s="20" t="s">
        <v>3745</v>
      </c>
      <c r="C71" s="21"/>
      <c r="D71" s="22" t="s">
        <v>3746</v>
      </c>
      <c r="E71" s="20" t="s">
        <v>451</v>
      </c>
      <c r="F71" s="20" t="s">
        <v>3744</v>
      </c>
      <c r="G71" s="101" t="e">
        <f>VLOOKUP(F71,'01. TH'!$B:$E,3,0)</f>
        <v>#N/A</v>
      </c>
      <c r="H71" s="19" t="s">
        <v>23</v>
      </c>
      <c r="I71" s="19" t="s">
        <v>553</v>
      </c>
      <c r="J71" s="20"/>
      <c r="K71" s="19" t="s">
        <v>1839</v>
      </c>
      <c r="L71" s="20" t="s">
        <v>3741</v>
      </c>
      <c r="M71" s="22"/>
      <c r="N71" s="20" t="s">
        <v>3611</v>
      </c>
      <c r="O71" s="22" t="s">
        <v>3612</v>
      </c>
      <c r="P71" s="20" t="s">
        <v>3613</v>
      </c>
      <c r="Q71" s="19">
        <v>2024</v>
      </c>
      <c r="R71" s="22" t="s">
        <v>3614</v>
      </c>
      <c r="S71" s="22"/>
      <c r="T71" s="47"/>
      <c r="U71" s="20"/>
      <c r="V71" s="20"/>
    </row>
    <row r="72" customHeight="1" spans="1:22">
      <c r="A72" s="19">
        <f t="shared" si="1"/>
        <v>8</v>
      </c>
      <c r="B72" s="20" t="s">
        <v>3747</v>
      </c>
      <c r="C72" s="21"/>
      <c r="D72" s="22" t="s">
        <v>3748</v>
      </c>
      <c r="E72" s="20" t="s">
        <v>451</v>
      </c>
      <c r="F72" s="20" t="s">
        <v>3744</v>
      </c>
      <c r="G72" s="101" t="e">
        <f>VLOOKUP(F72,'01. TH'!$B:$E,3,0)</f>
        <v>#N/A</v>
      </c>
      <c r="H72" s="19" t="s">
        <v>23</v>
      </c>
      <c r="I72" s="19" t="s">
        <v>553</v>
      </c>
      <c r="J72" s="20"/>
      <c r="K72" s="19" t="s">
        <v>1839</v>
      </c>
      <c r="L72" s="20" t="s">
        <v>3741</v>
      </c>
      <c r="M72" s="22"/>
      <c r="N72" s="20" t="s">
        <v>3611</v>
      </c>
      <c r="O72" s="22" t="s">
        <v>3612</v>
      </c>
      <c r="P72" s="20" t="s">
        <v>3613</v>
      </c>
      <c r="Q72" s="19">
        <v>2024</v>
      </c>
      <c r="R72" s="22" t="s">
        <v>3614</v>
      </c>
      <c r="S72" s="22"/>
      <c r="T72" s="47"/>
      <c r="U72" s="20"/>
      <c r="V72" s="20"/>
    </row>
    <row r="73" customHeight="1" spans="1:22">
      <c r="A73" s="19">
        <f t="shared" si="1"/>
        <v>9</v>
      </c>
      <c r="B73" s="20" t="s">
        <v>3749</v>
      </c>
      <c r="C73" s="21"/>
      <c r="D73" s="22" t="s">
        <v>3750</v>
      </c>
      <c r="E73" s="20" t="s">
        <v>451</v>
      </c>
      <c r="F73" s="20" t="s">
        <v>3744</v>
      </c>
      <c r="G73" s="101" t="e">
        <f>VLOOKUP(F73,'01. TH'!$B:$E,3,0)</f>
        <v>#N/A</v>
      </c>
      <c r="H73" s="19" t="s">
        <v>23</v>
      </c>
      <c r="I73" s="19" t="s">
        <v>553</v>
      </c>
      <c r="J73" s="20"/>
      <c r="K73" s="19" t="s">
        <v>1839</v>
      </c>
      <c r="L73" s="20" t="s">
        <v>3741</v>
      </c>
      <c r="M73" s="22"/>
      <c r="N73" s="20" t="s">
        <v>3611</v>
      </c>
      <c r="O73" s="22" t="s">
        <v>3612</v>
      </c>
      <c r="P73" s="20" t="s">
        <v>3613</v>
      </c>
      <c r="Q73" s="19">
        <v>2024</v>
      </c>
      <c r="R73" s="22" t="s">
        <v>3614</v>
      </c>
      <c r="S73" s="22"/>
      <c r="T73" s="47"/>
      <c r="U73" s="20"/>
      <c r="V73" s="20"/>
    </row>
    <row r="74" customHeight="1" spans="1:22">
      <c r="A74" s="19">
        <f t="shared" si="1"/>
        <v>10</v>
      </c>
      <c r="B74" s="20" t="s">
        <v>3751</v>
      </c>
      <c r="C74" s="21"/>
      <c r="D74" s="22" t="s">
        <v>3752</v>
      </c>
      <c r="E74" s="20" t="s">
        <v>451</v>
      </c>
      <c r="F74" s="20" t="s">
        <v>3744</v>
      </c>
      <c r="G74" s="101" t="e">
        <f>VLOOKUP(F74,'01. TH'!$B:$E,3,0)</f>
        <v>#N/A</v>
      </c>
      <c r="H74" s="19" t="s">
        <v>23</v>
      </c>
      <c r="I74" s="19" t="s">
        <v>553</v>
      </c>
      <c r="J74" s="20"/>
      <c r="K74" s="19" t="s">
        <v>1839</v>
      </c>
      <c r="L74" s="20" t="s">
        <v>3741</v>
      </c>
      <c r="M74" s="22"/>
      <c r="N74" s="20" t="s">
        <v>3611</v>
      </c>
      <c r="O74" s="22" t="s">
        <v>3612</v>
      </c>
      <c r="P74" s="20" t="s">
        <v>3613</v>
      </c>
      <c r="Q74" s="19">
        <v>2024</v>
      </c>
      <c r="R74" s="22" t="s">
        <v>3614</v>
      </c>
      <c r="S74" s="22"/>
      <c r="T74" s="47"/>
      <c r="U74" s="20"/>
      <c r="V74" s="20"/>
    </row>
    <row r="75" customHeight="1" spans="1:22">
      <c r="A75" s="19">
        <f t="shared" si="1"/>
        <v>11</v>
      </c>
      <c r="B75" s="20" t="s">
        <v>3753</v>
      </c>
      <c r="C75" s="21"/>
      <c r="D75" s="22" t="s">
        <v>3754</v>
      </c>
      <c r="E75" s="20" t="s">
        <v>451</v>
      </c>
      <c r="F75" s="20" t="s">
        <v>3755</v>
      </c>
      <c r="G75" s="101" t="e">
        <f>VLOOKUP(F75,'01. TH'!$B:$E,3,0)</f>
        <v>#N/A</v>
      </c>
      <c r="H75" s="19" t="s">
        <v>23</v>
      </c>
      <c r="I75" s="19" t="s">
        <v>553</v>
      </c>
      <c r="J75" s="20"/>
      <c r="K75" s="19" t="s">
        <v>1839</v>
      </c>
      <c r="L75" s="20" t="s">
        <v>3741</v>
      </c>
      <c r="M75" s="22"/>
      <c r="N75" s="20" t="s">
        <v>3611</v>
      </c>
      <c r="O75" s="22" t="s">
        <v>3756</v>
      </c>
      <c r="P75" s="20" t="s">
        <v>3613</v>
      </c>
      <c r="Q75" s="19">
        <v>2024</v>
      </c>
      <c r="R75" s="22" t="s">
        <v>3757</v>
      </c>
      <c r="S75" s="22"/>
      <c r="T75" s="47"/>
      <c r="U75" s="20"/>
      <c r="V75" s="20"/>
    </row>
    <row r="76" customHeight="1" spans="1:22">
      <c r="A76" s="19">
        <f t="shared" si="1"/>
        <v>12</v>
      </c>
      <c r="B76" s="20" t="s">
        <v>3758</v>
      </c>
      <c r="C76" s="21"/>
      <c r="D76" s="22" t="s">
        <v>3759</v>
      </c>
      <c r="E76" s="20" t="s">
        <v>451</v>
      </c>
      <c r="F76" s="20" t="s">
        <v>3755</v>
      </c>
      <c r="G76" s="101" t="e">
        <f>VLOOKUP(F76,'01. TH'!$B:$E,3,0)</f>
        <v>#N/A</v>
      </c>
      <c r="H76" s="19" t="s">
        <v>23</v>
      </c>
      <c r="I76" s="19" t="s">
        <v>553</v>
      </c>
      <c r="J76" s="20"/>
      <c r="K76" s="19" t="s">
        <v>1839</v>
      </c>
      <c r="L76" s="20" t="s">
        <v>3741</v>
      </c>
      <c r="M76" s="22"/>
      <c r="N76" s="20" t="s">
        <v>3611</v>
      </c>
      <c r="O76" s="22" t="s">
        <v>3756</v>
      </c>
      <c r="P76" s="20" t="s">
        <v>3613</v>
      </c>
      <c r="Q76" s="19">
        <v>2024</v>
      </c>
      <c r="R76" s="22" t="s">
        <v>3757</v>
      </c>
      <c r="S76" s="22"/>
      <c r="T76" s="47"/>
      <c r="U76" s="20"/>
      <c r="V76" s="20"/>
    </row>
    <row r="77" customHeight="1" spans="1:22">
      <c r="A77" s="19">
        <f t="shared" si="1"/>
        <v>13</v>
      </c>
      <c r="B77" s="20" t="s">
        <v>3760</v>
      </c>
      <c r="C77" s="21"/>
      <c r="D77" s="22" t="s">
        <v>3761</v>
      </c>
      <c r="E77" s="20" t="s">
        <v>451</v>
      </c>
      <c r="F77" s="20" t="s">
        <v>3617</v>
      </c>
      <c r="G77" s="101" t="e">
        <f>VLOOKUP(F77,'01. TH'!$B:$E,3,0)</f>
        <v>#N/A</v>
      </c>
      <c r="H77" s="19" t="s">
        <v>23</v>
      </c>
      <c r="I77" s="19" t="s">
        <v>3762</v>
      </c>
      <c r="J77" s="20"/>
      <c r="K77" s="19" t="s">
        <v>1839</v>
      </c>
      <c r="L77" s="20" t="s">
        <v>3741</v>
      </c>
      <c r="M77" s="22"/>
      <c r="N77" s="20" t="s">
        <v>3611</v>
      </c>
      <c r="O77" s="22" t="s">
        <v>3618</v>
      </c>
      <c r="P77" s="20" t="s">
        <v>3613</v>
      </c>
      <c r="Q77" s="19">
        <v>2024</v>
      </c>
      <c r="R77" s="22" t="s">
        <v>3763</v>
      </c>
      <c r="S77" s="22"/>
      <c r="T77" s="47"/>
      <c r="U77" s="20"/>
      <c r="V77" s="20"/>
    </row>
    <row r="78" customHeight="1" spans="1:22">
      <c r="A78" s="19">
        <f t="shared" si="1"/>
        <v>14</v>
      </c>
      <c r="B78" s="20" t="s">
        <v>3764</v>
      </c>
      <c r="C78" s="21"/>
      <c r="D78" s="22" t="s">
        <v>3765</v>
      </c>
      <c r="E78" s="20" t="s">
        <v>451</v>
      </c>
      <c r="F78" s="20" t="s">
        <v>3617</v>
      </c>
      <c r="G78" s="101" t="e">
        <f>VLOOKUP(F78,'01. TH'!$B:$E,3,0)</f>
        <v>#N/A</v>
      </c>
      <c r="H78" s="19" t="s">
        <v>23</v>
      </c>
      <c r="I78" s="19" t="s">
        <v>3762</v>
      </c>
      <c r="J78" s="20"/>
      <c r="K78" s="19" t="s">
        <v>1839</v>
      </c>
      <c r="L78" s="20" t="s">
        <v>3741</v>
      </c>
      <c r="M78" s="22"/>
      <c r="N78" s="20" t="s">
        <v>3611</v>
      </c>
      <c r="O78" s="22" t="s">
        <v>3618</v>
      </c>
      <c r="P78" s="20" t="s">
        <v>3613</v>
      </c>
      <c r="Q78" s="19">
        <v>2024</v>
      </c>
      <c r="R78" s="22" t="s">
        <v>3763</v>
      </c>
      <c r="S78" s="22"/>
      <c r="T78" s="47"/>
      <c r="U78" s="20"/>
      <c r="V78" s="20"/>
    </row>
    <row r="79" customHeight="1" spans="1:22">
      <c r="A79" s="19">
        <f t="shared" si="1"/>
        <v>15</v>
      </c>
      <c r="B79" s="20" t="s">
        <v>3766</v>
      </c>
      <c r="C79" s="21"/>
      <c r="D79" s="22" t="s">
        <v>3767</v>
      </c>
      <c r="E79" s="20" t="s">
        <v>451</v>
      </c>
      <c r="F79" s="20" t="s">
        <v>3768</v>
      </c>
      <c r="G79" s="101" t="e">
        <f>VLOOKUP(F79,'01. TH'!$B:$E,3,0)</f>
        <v>#N/A</v>
      </c>
      <c r="H79" s="19" t="s">
        <v>23</v>
      </c>
      <c r="I79" s="58">
        <v>45542</v>
      </c>
      <c r="J79" s="20"/>
      <c r="K79" s="19" t="s">
        <v>1839</v>
      </c>
      <c r="L79" s="20" t="s">
        <v>3741</v>
      </c>
      <c r="M79" s="22"/>
      <c r="N79" s="20" t="s">
        <v>3611</v>
      </c>
      <c r="O79" s="22" t="s">
        <v>3769</v>
      </c>
      <c r="P79" s="20" t="s">
        <v>3613</v>
      </c>
      <c r="Q79" s="19">
        <v>2024</v>
      </c>
      <c r="R79" s="22" t="s">
        <v>3770</v>
      </c>
      <c r="S79" s="22"/>
      <c r="T79" s="47"/>
      <c r="U79" s="20"/>
      <c r="V79" s="20"/>
    </row>
    <row r="80" customHeight="1" spans="1:22">
      <c r="A80" s="19">
        <f t="shared" si="1"/>
        <v>16</v>
      </c>
      <c r="B80" s="20" t="s">
        <v>3771</v>
      </c>
      <c r="C80" s="21"/>
      <c r="D80" s="22" t="s">
        <v>3772</v>
      </c>
      <c r="E80" s="20" t="s">
        <v>451</v>
      </c>
      <c r="F80" s="20" t="s">
        <v>3773</v>
      </c>
      <c r="G80" s="101" t="e">
        <f>VLOOKUP(F80,'01. TH'!$B:$E,3,0)</f>
        <v>#N/A</v>
      </c>
      <c r="H80" s="19" t="s">
        <v>23</v>
      </c>
      <c r="I80" s="19" t="s">
        <v>3762</v>
      </c>
      <c r="J80" s="20"/>
      <c r="K80" s="19" t="s">
        <v>1839</v>
      </c>
      <c r="L80" s="20" t="s">
        <v>3741</v>
      </c>
      <c r="M80" s="22"/>
      <c r="N80" s="20" t="s">
        <v>3611</v>
      </c>
      <c r="O80" s="22" t="s">
        <v>3774</v>
      </c>
      <c r="P80" s="20" t="s">
        <v>3613</v>
      </c>
      <c r="Q80" s="19">
        <v>2024</v>
      </c>
      <c r="R80" s="22" t="s">
        <v>3775</v>
      </c>
      <c r="S80" s="22"/>
      <c r="T80" s="47"/>
      <c r="U80" s="20"/>
      <c r="V80" s="20"/>
    </row>
    <row r="81" customHeight="1" spans="1:22">
      <c r="A81" s="19">
        <f t="shared" si="1"/>
        <v>17</v>
      </c>
      <c r="B81" s="20" t="s">
        <v>3776</v>
      </c>
      <c r="C81" s="21"/>
      <c r="D81" s="22" t="s">
        <v>3777</v>
      </c>
      <c r="E81" s="20" t="s">
        <v>451</v>
      </c>
      <c r="F81" s="20" t="s">
        <v>3773</v>
      </c>
      <c r="G81" s="101" t="e">
        <f>VLOOKUP(F81,'01. TH'!$B:$E,3,0)</f>
        <v>#N/A</v>
      </c>
      <c r="H81" s="19" t="s">
        <v>23</v>
      </c>
      <c r="I81" s="19" t="s">
        <v>3762</v>
      </c>
      <c r="J81" s="20"/>
      <c r="K81" s="19" t="s">
        <v>1839</v>
      </c>
      <c r="L81" s="20" t="s">
        <v>3741</v>
      </c>
      <c r="M81" s="22"/>
      <c r="N81" s="20" t="s">
        <v>3611</v>
      </c>
      <c r="O81" s="22" t="s">
        <v>3774</v>
      </c>
      <c r="P81" s="20" t="s">
        <v>3613</v>
      </c>
      <c r="Q81" s="19">
        <v>2024</v>
      </c>
      <c r="R81" s="22" t="s">
        <v>3775</v>
      </c>
      <c r="S81" s="22"/>
      <c r="T81" s="47"/>
      <c r="U81" s="20"/>
      <c r="V81" s="20"/>
    </row>
    <row r="82" customHeight="1" spans="1:22">
      <c r="A82" s="19">
        <f t="shared" si="1"/>
        <v>18</v>
      </c>
      <c r="B82" s="20" t="s">
        <v>3778</v>
      </c>
      <c r="C82" s="39"/>
      <c r="D82" s="22" t="s">
        <v>3779</v>
      </c>
      <c r="E82" s="20" t="s">
        <v>451</v>
      </c>
      <c r="F82" s="20" t="s">
        <v>3780</v>
      </c>
      <c r="G82" s="101" t="e">
        <f>VLOOKUP(F82,'01. TH'!$B:$E,3,0)</f>
        <v>#N/A</v>
      </c>
      <c r="H82" s="19" t="s">
        <v>23</v>
      </c>
      <c r="I82" s="58">
        <v>45993</v>
      </c>
      <c r="J82" s="20"/>
      <c r="K82" s="19" t="s">
        <v>1839</v>
      </c>
      <c r="L82" s="20" t="s">
        <v>3741</v>
      </c>
      <c r="M82" s="22"/>
      <c r="N82" s="20" t="s">
        <v>3611</v>
      </c>
      <c r="O82" s="22"/>
      <c r="P82" s="20" t="s">
        <v>3613</v>
      </c>
      <c r="Q82" s="19">
        <v>2025</v>
      </c>
      <c r="R82" s="22" t="s">
        <v>3781</v>
      </c>
      <c r="S82" s="22"/>
      <c r="T82" s="47"/>
      <c r="U82" s="20"/>
      <c r="V82" s="20"/>
    </row>
    <row r="83" customHeight="1" spans="1:22">
      <c r="A83" s="19">
        <f t="shared" si="1"/>
        <v>19</v>
      </c>
      <c r="B83" s="20" t="s">
        <v>3782</v>
      </c>
      <c r="C83" s="39"/>
      <c r="D83" s="22" t="s">
        <v>3783</v>
      </c>
      <c r="E83" s="20" t="s">
        <v>451</v>
      </c>
      <c r="F83" s="20" t="s">
        <v>3780</v>
      </c>
      <c r="G83" s="101" t="e">
        <f>VLOOKUP(F83,'01. TH'!$B:$E,3,0)</f>
        <v>#N/A</v>
      </c>
      <c r="H83" s="19" t="s">
        <v>23</v>
      </c>
      <c r="I83" s="58">
        <v>45993</v>
      </c>
      <c r="J83" s="20"/>
      <c r="K83" s="19" t="s">
        <v>1839</v>
      </c>
      <c r="L83" s="20" t="s">
        <v>3741</v>
      </c>
      <c r="M83" s="22"/>
      <c r="N83" s="20" t="s">
        <v>3611</v>
      </c>
      <c r="O83" s="22"/>
      <c r="P83" s="20" t="s">
        <v>3613</v>
      </c>
      <c r="Q83" s="19">
        <v>2025</v>
      </c>
      <c r="R83" s="22" t="s">
        <v>3781</v>
      </c>
      <c r="S83" s="22"/>
      <c r="T83" s="47"/>
      <c r="U83" s="20"/>
      <c r="V83" s="20"/>
    </row>
    <row r="84" customHeight="1" spans="1:22">
      <c r="A84" s="19">
        <f t="shared" si="1"/>
        <v>20</v>
      </c>
      <c r="B84" s="20" t="s">
        <v>3784</v>
      </c>
      <c r="C84" s="39"/>
      <c r="D84" s="22" t="s">
        <v>3785</v>
      </c>
      <c r="E84" s="20" t="s">
        <v>451</v>
      </c>
      <c r="F84" s="20" t="s">
        <v>3780</v>
      </c>
      <c r="G84" s="101" t="e">
        <f>VLOOKUP(F84,'01. TH'!$B:$E,3,0)</f>
        <v>#N/A</v>
      </c>
      <c r="H84" s="19" t="s">
        <v>23</v>
      </c>
      <c r="I84" s="58">
        <v>45993</v>
      </c>
      <c r="J84" s="20"/>
      <c r="K84" s="19" t="s">
        <v>1839</v>
      </c>
      <c r="L84" s="20" t="s">
        <v>3741</v>
      </c>
      <c r="M84" s="22"/>
      <c r="N84" s="20" t="s">
        <v>3611</v>
      </c>
      <c r="O84" s="22"/>
      <c r="P84" s="20" t="s">
        <v>3613</v>
      </c>
      <c r="Q84" s="19">
        <v>2025</v>
      </c>
      <c r="R84" s="22" t="s">
        <v>3781</v>
      </c>
      <c r="S84" s="22"/>
      <c r="T84" s="47"/>
      <c r="U84" s="20"/>
      <c r="V84" s="20"/>
    </row>
    <row r="85" customHeight="1" spans="1:22">
      <c r="A85" s="19">
        <f t="shared" si="1"/>
        <v>21</v>
      </c>
      <c r="B85" s="20" t="s">
        <v>3786</v>
      </c>
      <c r="C85" s="39"/>
      <c r="D85" s="22" t="s">
        <v>3787</v>
      </c>
      <c r="E85" s="20" t="s">
        <v>451</v>
      </c>
      <c r="F85" s="20" t="s">
        <v>3780</v>
      </c>
      <c r="G85" s="101" t="e">
        <f>VLOOKUP(F85,'01. TH'!$B:$E,3,0)</f>
        <v>#N/A</v>
      </c>
      <c r="H85" s="19" t="s">
        <v>23</v>
      </c>
      <c r="I85" s="58">
        <v>45993</v>
      </c>
      <c r="J85" s="20"/>
      <c r="K85" s="19" t="s">
        <v>1839</v>
      </c>
      <c r="L85" s="20" t="s">
        <v>3741</v>
      </c>
      <c r="M85" s="22"/>
      <c r="N85" s="20" t="s">
        <v>3611</v>
      </c>
      <c r="O85" s="22"/>
      <c r="P85" s="20" t="s">
        <v>3613</v>
      </c>
      <c r="Q85" s="19">
        <v>2025</v>
      </c>
      <c r="R85" s="22" t="s">
        <v>3781</v>
      </c>
      <c r="S85" s="22"/>
      <c r="T85" s="47"/>
      <c r="U85" s="20"/>
      <c r="V85" s="20"/>
    </row>
    <row r="86" customHeight="1" spans="1:22">
      <c r="A86" s="19">
        <f t="shared" si="1"/>
        <v>22</v>
      </c>
      <c r="B86" s="20" t="s">
        <v>3788</v>
      </c>
      <c r="C86" s="39"/>
      <c r="D86" s="22" t="s">
        <v>3789</v>
      </c>
      <c r="E86" s="20" t="s">
        <v>451</v>
      </c>
      <c r="F86" s="20" t="s">
        <v>3780</v>
      </c>
      <c r="G86" s="101" t="e">
        <f>VLOOKUP(F86,'01. TH'!$B:$E,3,0)</f>
        <v>#N/A</v>
      </c>
      <c r="H86" s="19" t="s">
        <v>23</v>
      </c>
      <c r="I86" s="58">
        <v>45993</v>
      </c>
      <c r="J86" s="20"/>
      <c r="K86" s="19" t="s">
        <v>1839</v>
      </c>
      <c r="L86" s="20" t="s">
        <v>3741</v>
      </c>
      <c r="M86" s="22"/>
      <c r="N86" s="20" t="s">
        <v>3611</v>
      </c>
      <c r="O86" s="22"/>
      <c r="P86" s="20" t="s">
        <v>3613</v>
      </c>
      <c r="Q86" s="19">
        <v>2025</v>
      </c>
      <c r="R86" s="22" t="s">
        <v>3781</v>
      </c>
      <c r="S86" s="22"/>
      <c r="T86" s="47"/>
      <c r="U86" s="20"/>
      <c r="V86" s="20"/>
    </row>
    <row r="87" customHeight="1" spans="1:22">
      <c r="A87" s="19">
        <f t="shared" si="1"/>
        <v>23</v>
      </c>
      <c r="B87" s="20" t="s">
        <v>3790</v>
      </c>
      <c r="C87" s="39"/>
      <c r="D87" s="22" t="s">
        <v>3791</v>
      </c>
      <c r="E87" s="20" t="s">
        <v>451</v>
      </c>
      <c r="F87" s="20" t="s">
        <v>3792</v>
      </c>
      <c r="G87" s="101" t="e">
        <f>VLOOKUP(F87,'01. TH'!$B:$E,3,0)</f>
        <v>#N/A</v>
      </c>
      <c r="H87" s="19" t="s">
        <v>23</v>
      </c>
      <c r="I87" s="58">
        <v>45993</v>
      </c>
      <c r="J87" s="20"/>
      <c r="K87" s="19" t="s">
        <v>1839</v>
      </c>
      <c r="L87" s="20" t="s">
        <v>3741</v>
      </c>
      <c r="M87" s="22"/>
      <c r="N87" s="20" t="s">
        <v>3611</v>
      </c>
      <c r="O87" s="22"/>
      <c r="P87" s="20" t="s">
        <v>3613</v>
      </c>
      <c r="Q87" s="19">
        <v>2025</v>
      </c>
      <c r="R87" s="22" t="s">
        <v>3793</v>
      </c>
      <c r="S87" s="22"/>
      <c r="T87" s="47"/>
      <c r="U87" s="20"/>
      <c r="V87" s="20"/>
    </row>
    <row r="88" customHeight="1" spans="1:22">
      <c r="A88" s="19">
        <f t="shared" si="1"/>
        <v>24</v>
      </c>
      <c r="B88" s="20" t="s">
        <v>3794</v>
      </c>
      <c r="C88" s="39"/>
      <c r="D88" s="22" t="s">
        <v>3795</v>
      </c>
      <c r="E88" s="20" t="s">
        <v>451</v>
      </c>
      <c r="F88" s="24" t="s">
        <v>3692</v>
      </c>
      <c r="G88" s="101" t="e">
        <f>VLOOKUP(F88,'01. TH'!$B:$E,3,0)</f>
        <v>#N/A</v>
      </c>
      <c r="H88" s="19" t="s">
        <v>23</v>
      </c>
      <c r="I88" s="19" t="s">
        <v>3796</v>
      </c>
      <c r="J88" s="20"/>
      <c r="K88" s="19" t="s">
        <v>1839</v>
      </c>
      <c r="L88" s="20" t="s">
        <v>3741</v>
      </c>
      <c r="M88" s="22"/>
      <c r="N88" s="20" t="s">
        <v>3611</v>
      </c>
      <c r="O88" s="22" t="s">
        <v>3694</v>
      </c>
      <c r="P88" s="20" t="s">
        <v>3613</v>
      </c>
      <c r="Q88" s="19">
        <v>2025</v>
      </c>
      <c r="R88" s="22" t="s">
        <v>3670</v>
      </c>
      <c r="S88" s="22"/>
      <c r="T88" s="47"/>
      <c r="U88" s="20"/>
      <c r="V88" s="20"/>
    </row>
    <row r="89" customHeight="1" spans="1:22">
      <c r="A89" s="19">
        <f t="shared" si="1"/>
        <v>25</v>
      </c>
      <c r="B89" s="20" t="s">
        <v>3797</v>
      </c>
      <c r="C89" s="39"/>
      <c r="D89" s="22" t="s">
        <v>3798</v>
      </c>
      <c r="E89" s="20" t="s">
        <v>451</v>
      </c>
      <c r="F89" s="24" t="s">
        <v>3692</v>
      </c>
      <c r="G89" s="101" t="e">
        <f>VLOOKUP(F89,'01. TH'!$B:$E,3,0)</f>
        <v>#N/A</v>
      </c>
      <c r="H89" s="19" t="s">
        <v>23</v>
      </c>
      <c r="I89" s="19" t="s">
        <v>3693</v>
      </c>
      <c r="J89" s="20"/>
      <c r="K89" s="19" t="s">
        <v>1839</v>
      </c>
      <c r="L89" s="20" t="s">
        <v>3741</v>
      </c>
      <c r="M89" s="22"/>
      <c r="N89" s="20" t="s">
        <v>3611</v>
      </c>
      <c r="O89" s="22" t="s">
        <v>3694</v>
      </c>
      <c r="P89" s="20" t="s">
        <v>3613</v>
      </c>
      <c r="Q89" s="19">
        <v>2025</v>
      </c>
      <c r="R89" s="22" t="s">
        <v>3670</v>
      </c>
      <c r="S89" s="22"/>
      <c r="T89" s="47"/>
      <c r="U89" s="20"/>
      <c r="V89" s="20"/>
    </row>
    <row r="90" customHeight="1" spans="1:22">
      <c r="A90" s="19">
        <f t="shared" si="1"/>
        <v>26</v>
      </c>
      <c r="B90" s="20" t="s">
        <v>3799</v>
      </c>
      <c r="C90" s="39"/>
      <c r="D90" s="22" t="s">
        <v>3800</v>
      </c>
      <c r="E90" s="20" t="s">
        <v>451</v>
      </c>
      <c r="F90" s="24" t="s">
        <v>3692</v>
      </c>
      <c r="G90" s="101" t="e">
        <f>VLOOKUP(F90,'01. TH'!$B:$E,3,0)</f>
        <v>#N/A</v>
      </c>
      <c r="H90" s="19" t="s">
        <v>23</v>
      </c>
      <c r="I90" s="19" t="s">
        <v>3693</v>
      </c>
      <c r="J90" s="20"/>
      <c r="K90" s="19" t="s">
        <v>1839</v>
      </c>
      <c r="L90" s="20" t="s">
        <v>3741</v>
      </c>
      <c r="M90" s="22"/>
      <c r="N90" s="20" t="s">
        <v>3611</v>
      </c>
      <c r="O90" s="22" t="s">
        <v>3694</v>
      </c>
      <c r="P90" s="20" t="s">
        <v>3613</v>
      </c>
      <c r="Q90" s="19">
        <v>2025</v>
      </c>
      <c r="R90" s="22" t="s">
        <v>3670</v>
      </c>
      <c r="S90" s="22"/>
      <c r="T90" s="47"/>
      <c r="U90" s="20"/>
      <c r="V90" s="20"/>
    </row>
    <row r="91" customHeight="1" spans="1:22">
      <c r="A91" s="19">
        <f t="shared" si="1"/>
        <v>27</v>
      </c>
      <c r="B91" s="20" t="s">
        <v>3801</v>
      </c>
      <c r="C91" s="39"/>
      <c r="D91" s="22" t="s">
        <v>3802</v>
      </c>
      <c r="E91" s="20" t="s">
        <v>451</v>
      </c>
      <c r="F91" s="24" t="s">
        <v>3692</v>
      </c>
      <c r="G91" s="101" t="e">
        <f>VLOOKUP(F91,'01. TH'!$B:$E,3,0)</f>
        <v>#N/A</v>
      </c>
      <c r="H91" s="19" t="s">
        <v>23</v>
      </c>
      <c r="I91" s="19" t="s">
        <v>3693</v>
      </c>
      <c r="J91" s="20"/>
      <c r="K91" s="19" t="s">
        <v>1839</v>
      </c>
      <c r="L91" s="20" t="s">
        <v>3741</v>
      </c>
      <c r="M91" s="22"/>
      <c r="N91" s="20" t="s">
        <v>3611</v>
      </c>
      <c r="O91" s="22" t="s">
        <v>3694</v>
      </c>
      <c r="P91" s="20" t="s">
        <v>3613</v>
      </c>
      <c r="Q91" s="19">
        <v>2025</v>
      </c>
      <c r="R91" s="22" t="s">
        <v>3670</v>
      </c>
      <c r="S91" s="22"/>
      <c r="T91" s="47"/>
      <c r="U91" s="20"/>
      <c r="V91" s="20"/>
    </row>
    <row r="92" customHeight="1" spans="1:22">
      <c r="A92" s="19">
        <f t="shared" si="1"/>
        <v>28</v>
      </c>
      <c r="B92" s="20" t="s">
        <v>3803</v>
      </c>
      <c r="C92" s="39"/>
      <c r="D92" s="22" t="s">
        <v>3804</v>
      </c>
      <c r="E92" s="20" t="s">
        <v>451</v>
      </c>
      <c r="F92" s="24" t="s">
        <v>3692</v>
      </c>
      <c r="G92" s="101" t="e">
        <f>VLOOKUP(F92,'01. TH'!$B:$E,3,0)</f>
        <v>#N/A</v>
      </c>
      <c r="H92" s="19" t="s">
        <v>23</v>
      </c>
      <c r="I92" s="19" t="s">
        <v>3693</v>
      </c>
      <c r="J92" s="20"/>
      <c r="K92" s="19" t="s">
        <v>1839</v>
      </c>
      <c r="L92" s="20" t="s">
        <v>3741</v>
      </c>
      <c r="M92" s="22"/>
      <c r="N92" s="20" t="s">
        <v>3611</v>
      </c>
      <c r="O92" s="22" t="s">
        <v>3694</v>
      </c>
      <c r="P92" s="20" t="s">
        <v>3613</v>
      </c>
      <c r="Q92" s="19">
        <v>2025</v>
      </c>
      <c r="R92" s="22" t="s">
        <v>3670</v>
      </c>
      <c r="S92" s="22"/>
      <c r="T92" s="47"/>
      <c r="U92" s="20"/>
      <c r="V92" s="20"/>
    </row>
    <row r="93" customHeight="1" spans="1:22">
      <c r="A93" s="19">
        <f t="shared" si="1"/>
        <v>29</v>
      </c>
      <c r="B93" s="20" t="s">
        <v>3805</v>
      </c>
      <c r="C93" s="39"/>
      <c r="D93" s="22" t="s">
        <v>3806</v>
      </c>
      <c r="E93" s="20" t="s">
        <v>451</v>
      </c>
      <c r="F93" s="20" t="s">
        <v>3692</v>
      </c>
      <c r="G93" s="101"/>
      <c r="H93" s="19" t="s">
        <v>23</v>
      </c>
      <c r="I93" s="19" t="s">
        <v>1539</v>
      </c>
      <c r="J93" s="20"/>
      <c r="K93" s="19" t="s">
        <v>1839</v>
      </c>
      <c r="L93" s="20" t="s">
        <v>3741</v>
      </c>
      <c r="M93" s="22"/>
      <c r="N93" s="20"/>
      <c r="O93" s="22"/>
      <c r="P93" s="20"/>
      <c r="Q93" s="19"/>
      <c r="R93" s="22"/>
      <c r="S93" s="22"/>
      <c r="T93" s="47"/>
      <c r="U93" s="20"/>
      <c r="V93" s="20"/>
    </row>
    <row r="94" customHeight="1" spans="1:22">
      <c r="A94" s="19">
        <f t="shared" si="1"/>
        <v>30</v>
      </c>
      <c r="B94" s="20" t="s">
        <v>3807</v>
      </c>
      <c r="C94" s="39"/>
      <c r="D94" s="22" t="s">
        <v>3808</v>
      </c>
      <c r="E94" s="20" t="s">
        <v>451</v>
      </c>
      <c r="F94" s="20" t="s">
        <v>3692</v>
      </c>
      <c r="G94" s="101"/>
      <c r="H94" s="19" t="s">
        <v>23</v>
      </c>
      <c r="I94" s="19" t="s">
        <v>1539</v>
      </c>
      <c r="J94" s="20"/>
      <c r="K94" s="19" t="s">
        <v>1839</v>
      </c>
      <c r="L94" s="20" t="s">
        <v>3741</v>
      </c>
      <c r="M94" s="22"/>
      <c r="N94" s="20"/>
      <c r="O94" s="22"/>
      <c r="P94" s="20"/>
      <c r="Q94" s="19"/>
      <c r="R94" s="22"/>
      <c r="S94" s="22"/>
      <c r="T94" s="47"/>
      <c r="U94" s="20"/>
      <c r="V94" s="20"/>
    </row>
    <row r="95" customHeight="1" spans="1:22">
      <c r="A95" s="19">
        <f t="shared" si="1"/>
        <v>31</v>
      </c>
      <c r="B95" s="20" t="s">
        <v>3809</v>
      </c>
      <c r="C95" s="39"/>
      <c r="D95" s="22" t="s">
        <v>3810</v>
      </c>
      <c r="E95" s="20" t="s">
        <v>451</v>
      </c>
      <c r="F95" s="20" t="s">
        <v>3692</v>
      </c>
      <c r="G95" s="101"/>
      <c r="H95" s="19" t="s">
        <v>23</v>
      </c>
      <c r="I95" s="19" t="s">
        <v>1539</v>
      </c>
      <c r="J95" s="20"/>
      <c r="K95" s="19" t="s">
        <v>1839</v>
      </c>
      <c r="L95" s="20" t="s">
        <v>3741</v>
      </c>
      <c r="M95" s="22"/>
      <c r="N95" s="20"/>
      <c r="O95" s="22"/>
      <c r="P95" s="20"/>
      <c r="Q95" s="19"/>
      <c r="R95" s="22"/>
      <c r="S95" s="22"/>
      <c r="T95" s="47"/>
      <c r="U95" s="20"/>
      <c r="V95" s="20"/>
    </row>
    <row r="96" customHeight="1" spans="1:22">
      <c r="A96" s="19">
        <f t="shared" si="1"/>
        <v>32</v>
      </c>
      <c r="B96" s="20" t="s">
        <v>3811</v>
      </c>
      <c r="C96" s="39"/>
      <c r="D96" s="22" t="s">
        <v>3812</v>
      </c>
      <c r="E96" s="20" t="s">
        <v>451</v>
      </c>
      <c r="F96" s="20" t="s">
        <v>3692</v>
      </c>
      <c r="G96" s="101"/>
      <c r="H96" s="19" t="s">
        <v>23</v>
      </c>
      <c r="I96" s="19" t="s">
        <v>1539</v>
      </c>
      <c r="J96" s="20"/>
      <c r="K96" s="19" t="s">
        <v>1839</v>
      </c>
      <c r="L96" s="20" t="s">
        <v>3741</v>
      </c>
      <c r="M96" s="22"/>
      <c r="N96" s="20"/>
      <c r="O96" s="22"/>
      <c r="P96" s="20"/>
      <c r="Q96" s="19"/>
      <c r="R96" s="22"/>
      <c r="S96" s="22"/>
      <c r="T96" s="47"/>
      <c r="U96" s="20"/>
      <c r="V96" s="20"/>
    </row>
    <row r="97" customHeight="1" spans="1:22">
      <c r="A97" s="19">
        <f t="shared" si="1"/>
        <v>33</v>
      </c>
      <c r="B97" s="20" t="s">
        <v>3813</v>
      </c>
      <c r="C97" s="39"/>
      <c r="D97" s="22" t="s">
        <v>3814</v>
      </c>
      <c r="E97" s="20" t="s">
        <v>451</v>
      </c>
      <c r="F97" s="20" t="s">
        <v>3692</v>
      </c>
      <c r="G97" s="101"/>
      <c r="H97" s="19" t="s">
        <v>23</v>
      </c>
      <c r="I97" s="19" t="s">
        <v>1539</v>
      </c>
      <c r="J97" s="20"/>
      <c r="K97" s="19" t="s">
        <v>1839</v>
      </c>
      <c r="L97" s="20" t="s">
        <v>3741</v>
      </c>
      <c r="M97" s="22"/>
      <c r="N97" s="20"/>
      <c r="O97" s="22"/>
      <c r="P97" s="20"/>
      <c r="Q97" s="19"/>
      <c r="R97" s="22"/>
      <c r="S97" s="22"/>
      <c r="T97" s="47"/>
      <c r="U97" s="20"/>
      <c r="V97" s="20"/>
    </row>
    <row r="98" customHeight="1" spans="1:22">
      <c r="A98" s="19">
        <f t="shared" si="1"/>
        <v>34</v>
      </c>
      <c r="B98" s="20" t="s">
        <v>3815</v>
      </c>
      <c r="C98" s="39"/>
      <c r="D98" s="22" t="s">
        <v>3816</v>
      </c>
      <c r="E98" s="20" t="s">
        <v>451</v>
      </c>
      <c r="F98" s="20" t="s">
        <v>3692</v>
      </c>
      <c r="G98" s="101"/>
      <c r="H98" s="19" t="s">
        <v>23</v>
      </c>
      <c r="I98" s="19" t="s">
        <v>1539</v>
      </c>
      <c r="J98" s="20"/>
      <c r="K98" s="19" t="s">
        <v>1839</v>
      </c>
      <c r="L98" s="20" t="s">
        <v>3741</v>
      </c>
      <c r="M98" s="22"/>
      <c r="N98" s="20"/>
      <c r="O98" s="22"/>
      <c r="P98" s="20"/>
      <c r="Q98" s="19"/>
      <c r="R98" s="22"/>
      <c r="S98" s="22"/>
      <c r="T98" s="47"/>
      <c r="U98" s="20"/>
      <c r="V98" s="20"/>
    </row>
    <row r="99" customHeight="1" spans="1:22">
      <c r="A99" s="19">
        <f t="shared" si="1"/>
        <v>35</v>
      </c>
      <c r="B99" s="20" t="s">
        <v>3817</v>
      </c>
      <c r="C99" s="39"/>
      <c r="D99" s="22" t="s">
        <v>3818</v>
      </c>
      <c r="E99" s="20" t="s">
        <v>451</v>
      </c>
      <c r="F99" s="20" t="s">
        <v>3692</v>
      </c>
      <c r="G99" s="101"/>
      <c r="H99" s="19" t="s">
        <v>23</v>
      </c>
      <c r="I99" s="19" t="s">
        <v>1539</v>
      </c>
      <c r="J99" s="20"/>
      <c r="K99" s="19" t="s">
        <v>1839</v>
      </c>
      <c r="L99" s="20" t="s">
        <v>3741</v>
      </c>
      <c r="M99" s="22"/>
      <c r="N99" s="20"/>
      <c r="O99" s="22"/>
      <c r="P99" s="20"/>
      <c r="Q99" s="19"/>
      <c r="R99" s="22"/>
      <c r="S99" s="22"/>
      <c r="T99" s="47"/>
      <c r="U99" s="20"/>
      <c r="V99" s="20"/>
    </row>
    <row r="100" customHeight="1" spans="1:22">
      <c r="A100" s="19"/>
      <c r="B100" s="20"/>
      <c r="C100" s="39"/>
      <c r="D100" s="22"/>
      <c r="E100" s="20"/>
      <c r="F100" s="20"/>
      <c r="G100" s="101"/>
      <c r="H100" s="19"/>
      <c r="I100" s="19"/>
      <c r="J100" s="20"/>
      <c r="K100" s="19"/>
      <c r="L100" s="20"/>
      <c r="M100" s="22"/>
      <c r="N100" s="20"/>
      <c r="O100" s="22"/>
      <c r="P100" s="20"/>
      <c r="Q100" s="19"/>
      <c r="R100" s="22"/>
      <c r="S100" s="22"/>
      <c r="T100" s="47"/>
      <c r="U100" s="20"/>
      <c r="V100" s="20"/>
    </row>
    <row r="101" customHeight="1" spans="1:22">
      <c r="A101" s="19"/>
      <c r="B101" s="20"/>
      <c r="C101" s="39"/>
      <c r="D101" s="22"/>
      <c r="E101" s="20"/>
      <c r="F101" s="20"/>
      <c r="G101" s="101"/>
      <c r="H101" s="19"/>
      <c r="I101" s="19"/>
      <c r="J101" s="20"/>
      <c r="K101" s="19"/>
      <c r="L101" s="20"/>
      <c r="M101" s="22"/>
      <c r="N101" s="20"/>
      <c r="O101" s="22"/>
      <c r="P101" s="20"/>
      <c r="Q101" s="19"/>
      <c r="R101" s="22"/>
      <c r="S101" s="22"/>
      <c r="T101" s="47"/>
      <c r="U101" s="20"/>
      <c r="V101" s="20"/>
    </row>
    <row r="102" customHeight="1" spans="1:22">
      <c r="A102" s="19"/>
      <c r="B102" s="20"/>
      <c r="C102" s="39"/>
      <c r="D102" s="22"/>
      <c r="E102" s="20"/>
      <c r="F102" s="20"/>
      <c r="G102" s="101"/>
      <c r="H102" s="19"/>
      <c r="I102" s="19"/>
      <c r="J102" s="20"/>
      <c r="K102" s="19"/>
      <c r="L102" s="20"/>
      <c r="M102" s="22"/>
      <c r="N102" s="20"/>
      <c r="O102" s="22"/>
      <c r="P102" s="20"/>
      <c r="Q102" s="19"/>
      <c r="R102" s="22"/>
      <c r="S102" s="22"/>
      <c r="T102" s="47"/>
      <c r="U102" s="20"/>
      <c r="V102" s="20"/>
    </row>
    <row r="103" customHeight="1" spans="1:22">
      <c r="A103" s="19"/>
      <c r="B103" s="20"/>
      <c r="C103" s="39"/>
      <c r="D103" s="22"/>
      <c r="E103" s="20"/>
      <c r="F103" s="20"/>
      <c r="G103" s="101"/>
      <c r="H103" s="19"/>
      <c r="I103" s="19"/>
      <c r="J103" s="20"/>
      <c r="K103" s="19"/>
      <c r="L103" s="20"/>
      <c r="M103" s="22"/>
      <c r="N103" s="20"/>
      <c r="O103" s="22"/>
      <c r="P103" s="20"/>
      <c r="Q103" s="19"/>
      <c r="R103" s="22"/>
      <c r="S103" s="22"/>
      <c r="T103" s="47"/>
      <c r="U103" s="20"/>
      <c r="V103" s="20"/>
    </row>
    <row r="104" customHeight="1" spans="1:22">
      <c r="A104" s="19"/>
      <c r="B104" s="20"/>
      <c r="C104" s="39"/>
      <c r="D104" s="22"/>
      <c r="E104" s="20"/>
      <c r="F104" s="20"/>
      <c r="G104" s="101"/>
      <c r="H104" s="19"/>
      <c r="I104" s="19"/>
      <c r="J104" s="20"/>
      <c r="K104" s="19"/>
      <c r="L104" s="20"/>
      <c r="M104" s="22"/>
      <c r="N104" s="20"/>
      <c r="O104" s="22"/>
      <c r="P104" s="20"/>
      <c r="Q104" s="19"/>
      <c r="R104" s="22"/>
      <c r="S104" s="22"/>
      <c r="T104" s="47"/>
      <c r="U104" s="20"/>
      <c r="V104" s="20"/>
    </row>
    <row r="105" customHeight="1" spans="1:22">
      <c r="A105" s="19"/>
      <c r="B105" s="20"/>
      <c r="C105" s="39"/>
      <c r="D105" s="22"/>
      <c r="E105" s="20"/>
      <c r="F105" s="20"/>
      <c r="G105" s="101"/>
      <c r="H105" s="19"/>
      <c r="I105" s="19"/>
      <c r="J105" s="20"/>
      <c r="K105" s="19"/>
      <c r="L105" s="20"/>
      <c r="M105" s="22"/>
      <c r="N105" s="20"/>
      <c r="O105" s="22"/>
      <c r="P105" s="20"/>
      <c r="Q105" s="19"/>
      <c r="R105" s="22"/>
      <c r="S105" s="22"/>
      <c r="T105" s="47"/>
      <c r="U105" s="20"/>
      <c r="V105" s="20"/>
    </row>
    <row r="106" customHeight="1" spans="1:22">
      <c r="A106" s="19"/>
      <c r="B106" s="20"/>
      <c r="C106" s="39"/>
      <c r="D106" s="22"/>
      <c r="E106" s="20"/>
      <c r="F106" s="20"/>
      <c r="G106" s="101"/>
      <c r="H106" s="19"/>
      <c r="I106" s="19"/>
      <c r="J106" s="20"/>
      <c r="K106" s="19"/>
      <c r="L106" s="20"/>
      <c r="M106" s="22"/>
      <c r="N106" s="20"/>
      <c r="O106" s="22"/>
      <c r="P106" s="20"/>
      <c r="Q106" s="19"/>
      <c r="R106" s="22"/>
      <c r="S106" s="22"/>
      <c r="T106" s="47"/>
      <c r="U106" s="20"/>
      <c r="V106" s="20"/>
    </row>
    <row r="107" customHeight="1" spans="1:22">
      <c r="A107" s="19"/>
      <c r="B107" s="20"/>
      <c r="C107" s="39" t="s">
        <v>1034</v>
      </c>
      <c r="D107" s="22"/>
      <c r="E107" s="20"/>
      <c r="F107" s="20"/>
      <c r="G107" s="101" t="e">
        <f>VLOOKUP(F107,'01. TH'!$B:$E,3,0)</f>
        <v>#N/A</v>
      </c>
      <c r="H107" s="19"/>
      <c r="I107" s="19"/>
      <c r="J107" s="20"/>
      <c r="K107" s="19"/>
      <c r="L107" s="20"/>
      <c r="M107" s="22"/>
      <c r="N107" s="20"/>
      <c r="O107" s="22"/>
      <c r="P107" s="20"/>
      <c r="Q107" s="19"/>
      <c r="R107" s="22"/>
      <c r="S107" s="22"/>
      <c r="T107" s="47"/>
      <c r="U107" s="20"/>
      <c r="V107" s="20"/>
    </row>
    <row r="108" customHeight="1" spans="1:22">
      <c r="A108" s="14" t="s">
        <v>815</v>
      </c>
      <c r="B108" s="15" t="s">
        <v>816</v>
      </c>
      <c r="C108" s="14">
        <f>COUNTA($B$109:$B$122)</f>
        <v>13</v>
      </c>
      <c r="D108" s="17"/>
      <c r="E108" s="17"/>
      <c r="F108" s="17"/>
      <c r="G108" s="18"/>
      <c r="H108" s="18"/>
      <c r="I108" s="14"/>
      <c r="J108" s="15"/>
      <c r="K108" s="14"/>
      <c r="L108" s="17"/>
      <c r="M108" s="16"/>
      <c r="N108" s="17"/>
      <c r="O108" s="16"/>
      <c r="P108" s="17"/>
      <c r="Q108" s="18"/>
      <c r="R108" s="16"/>
      <c r="S108" s="16"/>
      <c r="T108" s="786"/>
      <c r="U108" s="17"/>
      <c r="V108" s="17"/>
    </row>
    <row r="109" customHeight="1" spans="1:22">
      <c r="A109" s="23">
        <v>1</v>
      </c>
      <c r="B109" s="20" t="s">
        <v>3819</v>
      </c>
      <c r="C109" s="22" t="s">
        <v>3820</v>
      </c>
      <c r="D109" s="20" t="s">
        <v>3821</v>
      </c>
      <c r="E109" s="20" t="s">
        <v>451</v>
      </c>
      <c r="F109" s="20" t="s">
        <v>328</v>
      </c>
      <c r="G109" s="101" t="str">
        <f>VLOOKUP(F109,'01. TH'!$B:$E,3,0)</f>
        <v>1830x1885x1590</v>
      </c>
      <c r="H109" s="19" t="s">
        <v>27</v>
      </c>
      <c r="I109" s="19"/>
      <c r="J109" s="20"/>
      <c r="K109" s="19" t="s">
        <v>1839</v>
      </c>
      <c r="L109" s="20"/>
      <c r="M109" s="22"/>
      <c r="N109" s="25" t="s">
        <v>590</v>
      </c>
      <c r="O109" s="22" t="s">
        <v>3588</v>
      </c>
      <c r="P109" s="25" t="s">
        <v>590</v>
      </c>
      <c r="Q109" s="19"/>
      <c r="R109" s="22"/>
      <c r="S109" s="22"/>
      <c r="T109" s="47"/>
      <c r="U109" s="20"/>
      <c r="V109" s="20"/>
    </row>
    <row r="110" customHeight="1" spans="1:22">
      <c r="A110" s="19">
        <v>2</v>
      </c>
      <c r="B110" s="20" t="s">
        <v>3822</v>
      </c>
      <c r="C110" s="22" t="s">
        <v>3822</v>
      </c>
      <c r="D110" s="20" t="s">
        <v>3823</v>
      </c>
      <c r="E110" s="20" t="s">
        <v>451</v>
      </c>
      <c r="F110" s="20" t="s">
        <v>3824</v>
      </c>
      <c r="G110" s="101" t="e">
        <f>VLOOKUP(F110,'01. TH'!$B:$E,3,0)</f>
        <v>#N/A</v>
      </c>
      <c r="H110" s="19" t="s">
        <v>27</v>
      </c>
      <c r="I110" s="19"/>
      <c r="J110" s="20"/>
      <c r="K110" s="19" t="s">
        <v>1839</v>
      </c>
      <c r="L110" s="20"/>
      <c r="M110" s="22"/>
      <c r="N110" s="25" t="s">
        <v>590</v>
      </c>
      <c r="O110" s="22"/>
      <c r="P110" s="25" t="s">
        <v>590</v>
      </c>
      <c r="Q110" s="19"/>
      <c r="R110" s="22"/>
      <c r="S110" s="22"/>
      <c r="T110" s="47"/>
      <c r="U110" s="20"/>
      <c r="V110" s="20"/>
    </row>
    <row r="111" customHeight="1" spans="1:22">
      <c r="A111" s="23">
        <v>3</v>
      </c>
      <c r="B111" s="20" t="s">
        <v>3825</v>
      </c>
      <c r="C111" s="22" t="s">
        <v>3600</v>
      </c>
      <c r="D111" s="20" t="s">
        <v>3826</v>
      </c>
      <c r="E111" s="20" t="s">
        <v>451</v>
      </c>
      <c r="F111" s="20" t="s">
        <v>3598</v>
      </c>
      <c r="G111" s="101" t="e">
        <f>VLOOKUP(F111,'01. TH'!$B:$E,3,0)</f>
        <v>#N/A</v>
      </c>
      <c r="H111" s="19" t="s">
        <v>27</v>
      </c>
      <c r="I111" s="19"/>
      <c r="J111" s="20"/>
      <c r="K111" s="19" t="s">
        <v>1839</v>
      </c>
      <c r="L111" s="20"/>
      <c r="M111" s="22"/>
      <c r="N111" s="25" t="s">
        <v>590</v>
      </c>
      <c r="O111" s="22" t="s">
        <v>3599</v>
      </c>
      <c r="P111" s="25" t="s">
        <v>590</v>
      </c>
      <c r="Q111" s="19"/>
      <c r="R111" s="22"/>
      <c r="S111" s="22"/>
      <c r="T111" s="47"/>
      <c r="U111" s="20"/>
      <c r="V111" s="20"/>
    </row>
    <row r="112" customHeight="1" spans="1:22">
      <c r="A112" s="19">
        <v>4</v>
      </c>
      <c r="B112" s="20" t="s">
        <v>3827</v>
      </c>
      <c r="C112" s="22"/>
      <c r="D112" s="20" t="s">
        <v>3828</v>
      </c>
      <c r="E112" s="20" t="s">
        <v>451</v>
      </c>
      <c r="F112" s="20" t="s">
        <v>3829</v>
      </c>
      <c r="G112" s="101" t="e">
        <f>VLOOKUP(F112,'01. TH'!$B:$E,3,0)</f>
        <v>#N/A</v>
      </c>
      <c r="H112" s="19" t="s">
        <v>27</v>
      </c>
      <c r="I112" s="19"/>
      <c r="J112" s="20"/>
      <c r="K112" s="19" t="s">
        <v>1755</v>
      </c>
      <c r="L112" s="20"/>
      <c r="M112" s="22" t="s">
        <v>3830</v>
      </c>
      <c r="N112" s="25" t="s">
        <v>590</v>
      </c>
      <c r="O112" s="22" t="s">
        <v>3831</v>
      </c>
      <c r="P112" s="25" t="s">
        <v>590</v>
      </c>
      <c r="Q112" s="19"/>
      <c r="R112" s="22"/>
      <c r="S112" s="22"/>
      <c r="T112" s="47"/>
      <c r="U112" s="20"/>
      <c r="V112" s="20"/>
    </row>
    <row r="113" customHeight="1" spans="1:22">
      <c r="A113" s="23">
        <v>5</v>
      </c>
      <c r="B113" s="25" t="s">
        <v>3832</v>
      </c>
      <c r="C113" s="22"/>
      <c r="D113" s="20" t="s">
        <v>3833</v>
      </c>
      <c r="E113" s="20" t="s">
        <v>451</v>
      </c>
      <c r="F113" s="20" t="s">
        <v>301</v>
      </c>
      <c r="G113" s="101">
        <f>VLOOKUP(F113,'01. TH'!$B:$E,3,0)</f>
        <v>0</v>
      </c>
      <c r="H113" s="19" t="s">
        <v>27</v>
      </c>
      <c r="I113" s="19"/>
      <c r="J113" s="20"/>
      <c r="K113" s="19" t="s">
        <v>1839</v>
      </c>
      <c r="L113" s="20"/>
      <c r="M113" s="22"/>
      <c r="N113" s="25" t="s">
        <v>590</v>
      </c>
      <c r="O113" s="22"/>
      <c r="P113" s="25" t="s">
        <v>590</v>
      </c>
      <c r="Q113" s="19"/>
      <c r="R113" s="22"/>
      <c r="S113" s="22"/>
      <c r="T113" s="47"/>
      <c r="U113" s="20"/>
      <c r="V113" s="20"/>
    </row>
    <row r="114" customHeight="1" spans="1:22">
      <c r="A114" s="19">
        <v>6</v>
      </c>
      <c r="B114" s="25" t="s">
        <v>3834</v>
      </c>
      <c r="C114" s="22"/>
      <c r="D114" s="20" t="s">
        <v>3835</v>
      </c>
      <c r="E114" s="20" t="s">
        <v>451</v>
      </c>
      <c r="F114" s="20" t="s">
        <v>301</v>
      </c>
      <c r="G114" s="101">
        <f>VLOOKUP(F114,'01. TH'!$B:$E,3,0)</f>
        <v>0</v>
      </c>
      <c r="H114" s="19" t="s">
        <v>27</v>
      </c>
      <c r="I114" s="19" t="s">
        <v>3836</v>
      </c>
      <c r="J114" s="20"/>
      <c r="K114" s="19" t="s">
        <v>1839</v>
      </c>
      <c r="L114" s="20"/>
      <c r="M114" s="22"/>
      <c r="N114" s="25" t="s">
        <v>590</v>
      </c>
      <c r="O114" s="22" t="s">
        <v>3837</v>
      </c>
      <c r="P114" s="25" t="s">
        <v>590</v>
      </c>
      <c r="Q114" s="19">
        <v>2024</v>
      </c>
      <c r="R114" s="22" t="s">
        <v>3838</v>
      </c>
      <c r="S114" s="22" t="s">
        <v>3839</v>
      </c>
      <c r="T114" s="47"/>
      <c r="U114" s="20"/>
      <c r="V114" s="20"/>
    </row>
    <row r="115" customHeight="1" spans="1:22">
      <c r="A115" s="23">
        <v>7</v>
      </c>
      <c r="B115" s="20" t="s">
        <v>3840</v>
      </c>
      <c r="C115" s="22"/>
      <c r="D115" s="20" t="s">
        <v>3841</v>
      </c>
      <c r="E115" s="20" t="s">
        <v>3593</v>
      </c>
      <c r="F115" s="20" t="s">
        <v>301</v>
      </c>
      <c r="G115" s="101">
        <f>VLOOKUP(F115,'01. TH'!$B:$E,3,0)</f>
        <v>0</v>
      </c>
      <c r="H115" s="19" t="s">
        <v>27</v>
      </c>
      <c r="I115" s="19" t="s">
        <v>494</v>
      </c>
      <c r="J115" s="20"/>
      <c r="K115" s="19" t="s">
        <v>1839</v>
      </c>
      <c r="L115" s="20" t="s">
        <v>793</v>
      </c>
      <c r="M115" s="22"/>
      <c r="N115" s="20" t="s">
        <v>3733</v>
      </c>
      <c r="O115" s="22" t="s">
        <v>3842</v>
      </c>
      <c r="P115" s="20" t="s">
        <v>555</v>
      </c>
      <c r="Q115" s="19"/>
      <c r="R115" s="22"/>
      <c r="S115" s="22" t="s">
        <v>3843</v>
      </c>
      <c r="T115" s="47"/>
      <c r="U115" s="20"/>
      <c r="V115" s="20"/>
    </row>
    <row r="116" customHeight="1" spans="1:22">
      <c r="A116" s="19">
        <v>8</v>
      </c>
      <c r="B116" s="20" t="s">
        <v>3844</v>
      </c>
      <c r="C116" s="22"/>
      <c r="D116" s="20" t="s">
        <v>3845</v>
      </c>
      <c r="E116" s="20" t="s">
        <v>3593</v>
      </c>
      <c r="F116" s="20" t="s">
        <v>301</v>
      </c>
      <c r="G116" s="101">
        <f>VLOOKUP(F116,'01. TH'!$B:$E,3,0)</f>
        <v>0</v>
      </c>
      <c r="H116" s="19" t="s">
        <v>27</v>
      </c>
      <c r="I116" s="19" t="s">
        <v>494</v>
      </c>
      <c r="J116" s="20"/>
      <c r="K116" s="19" t="s">
        <v>1839</v>
      </c>
      <c r="L116" s="20" t="s">
        <v>793</v>
      </c>
      <c r="M116" s="22"/>
      <c r="N116" s="20" t="s">
        <v>3733</v>
      </c>
      <c r="O116" s="22" t="s">
        <v>3842</v>
      </c>
      <c r="P116" s="20" t="s">
        <v>555</v>
      </c>
      <c r="Q116" s="19"/>
      <c r="R116" s="22"/>
      <c r="S116" s="22" t="s">
        <v>3846</v>
      </c>
      <c r="T116" s="47"/>
      <c r="U116" s="20"/>
      <c r="V116" s="20"/>
    </row>
    <row r="117" customHeight="1" spans="1:22">
      <c r="A117" s="23">
        <v>9</v>
      </c>
      <c r="B117" s="20" t="s">
        <v>3847</v>
      </c>
      <c r="C117" s="22"/>
      <c r="D117" s="20" t="s">
        <v>3848</v>
      </c>
      <c r="E117" s="20" t="s">
        <v>3593</v>
      </c>
      <c r="F117" s="20" t="s">
        <v>301</v>
      </c>
      <c r="G117" s="101">
        <f>VLOOKUP(F117,'01. TH'!$B:$E,3,0)</f>
        <v>0</v>
      </c>
      <c r="H117" s="19" t="s">
        <v>27</v>
      </c>
      <c r="I117" s="19" t="s">
        <v>3849</v>
      </c>
      <c r="J117" s="20"/>
      <c r="K117" s="19" t="s">
        <v>1839</v>
      </c>
      <c r="L117" s="20" t="s">
        <v>793</v>
      </c>
      <c r="M117" s="22"/>
      <c r="N117" s="20" t="s">
        <v>3733</v>
      </c>
      <c r="O117" s="22" t="s">
        <v>3842</v>
      </c>
      <c r="P117" s="20" t="s">
        <v>555</v>
      </c>
      <c r="Q117" s="19"/>
      <c r="R117" s="22"/>
      <c r="S117" s="22" t="s">
        <v>3850</v>
      </c>
      <c r="T117" s="47"/>
      <c r="U117" s="20"/>
      <c r="V117" s="20"/>
    </row>
    <row r="118" customHeight="1" spans="1:22">
      <c r="A118" s="19">
        <v>10</v>
      </c>
      <c r="B118" s="20" t="s">
        <v>3851</v>
      </c>
      <c r="C118" s="22"/>
      <c r="D118" s="20"/>
      <c r="E118" s="20" t="s">
        <v>3593</v>
      </c>
      <c r="F118" s="20" t="s">
        <v>301</v>
      </c>
      <c r="G118" s="101">
        <f>VLOOKUP(F118,'01. TH'!$B:$E,3,0)</f>
        <v>0</v>
      </c>
      <c r="H118" s="19" t="s">
        <v>27</v>
      </c>
      <c r="I118" s="19"/>
      <c r="J118" s="20"/>
      <c r="K118" s="19" t="s">
        <v>1839</v>
      </c>
      <c r="L118" s="20" t="s">
        <v>3852</v>
      </c>
      <c r="M118" s="22"/>
      <c r="N118" s="20"/>
      <c r="O118" s="22" t="s">
        <v>3853</v>
      </c>
      <c r="P118" s="20"/>
      <c r="Q118" s="19"/>
      <c r="R118" s="22"/>
      <c r="S118" s="22"/>
      <c r="T118" s="47"/>
      <c r="U118" s="20"/>
      <c r="V118" s="20"/>
    </row>
    <row r="119" customHeight="1" spans="1:22">
      <c r="A119" s="23">
        <v>11</v>
      </c>
      <c r="B119" s="20" t="s">
        <v>3854</v>
      </c>
      <c r="C119" s="22"/>
      <c r="D119" s="20" t="s">
        <v>3855</v>
      </c>
      <c r="E119" s="20" t="s">
        <v>451</v>
      </c>
      <c r="F119" s="25" t="s">
        <v>303</v>
      </c>
      <c r="G119" s="101">
        <f>VLOOKUP(F119,'01. TH'!$B:$E,3,0)</f>
        <v>0</v>
      </c>
      <c r="H119" s="19" t="s">
        <v>27</v>
      </c>
      <c r="I119" s="19"/>
      <c r="J119" s="20"/>
      <c r="K119" s="19" t="s">
        <v>1839</v>
      </c>
      <c r="L119" s="20"/>
      <c r="M119" s="22"/>
      <c r="N119" s="25" t="s">
        <v>590</v>
      </c>
      <c r="O119" s="22" t="s">
        <v>3606</v>
      </c>
      <c r="P119" s="25" t="s">
        <v>590</v>
      </c>
      <c r="Q119" s="19"/>
      <c r="R119" s="22"/>
      <c r="S119" s="22"/>
      <c r="T119" s="47"/>
      <c r="U119" s="20"/>
      <c r="V119" s="20"/>
    </row>
    <row r="120" customHeight="1" spans="1:22">
      <c r="A120" s="19">
        <v>12</v>
      </c>
      <c r="B120" s="20" t="s">
        <v>3856</v>
      </c>
      <c r="C120" s="39"/>
      <c r="D120" s="20" t="s">
        <v>3857</v>
      </c>
      <c r="E120" s="20" t="s">
        <v>3593</v>
      </c>
      <c r="F120" s="25" t="s">
        <v>303</v>
      </c>
      <c r="G120" s="101">
        <f>VLOOKUP(F120,'01. TH'!$B:$E,3,0)</f>
        <v>0</v>
      </c>
      <c r="H120" s="19" t="s">
        <v>27</v>
      </c>
      <c r="I120" s="58">
        <v>45452</v>
      </c>
      <c r="J120" s="20"/>
      <c r="K120" s="19" t="s">
        <v>1839</v>
      </c>
      <c r="L120" s="20" t="s">
        <v>653</v>
      </c>
      <c r="M120" s="22"/>
      <c r="N120" s="20" t="s">
        <v>3858</v>
      </c>
      <c r="O120" s="22" t="s">
        <v>3859</v>
      </c>
      <c r="P120" s="20" t="s">
        <v>465</v>
      </c>
      <c r="Q120" s="19">
        <v>2021</v>
      </c>
      <c r="R120" s="22" t="s">
        <v>3860</v>
      </c>
      <c r="S120" s="22" t="s">
        <v>3861</v>
      </c>
      <c r="T120" s="47"/>
      <c r="U120" s="20"/>
      <c r="V120" s="20"/>
    </row>
    <row r="121" customHeight="1" spans="1:22">
      <c r="A121" s="23">
        <v>13</v>
      </c>
      <c r="B121" s="20" t="s">
        <v>3862</v>
      </c>
      <c r="C121" s="39" t="s">
        <v>3863</v>
      </c>
      <c r="D121" s="20" t="s">
        <v>3864</v>
      </c>
      <c r="E121" s="20" t="s">
        <v>451</v>
      </c>
      <c r="F121" s="20" t="s">
        <v>408</v>
      </c>
      <c r="G121" s="101" t="str">
        <f>VLOOKUP(F121,'01. TH'!$B:$E,3,0)</f>
        <v>6.1x2.4x0.9</v>
      </c>
      <c r="H121" s="19" t="s">
        <v>27</v>
      </c>
      <c r="I121" s="19" t="s">
        <v>1479</v>
      </c>
      <c r="J121" s="20"/>
      <c r="K121" s="19" t="s">
        <v>1839</v>
      </c>
      <c r="L121" s="20" t="s">
        <v>3865</v>
      </c>
      <c r="M121" s="22"/>
      <c r="N121" s="20" t="s">
        <v>3611</v>
      </c>
      <c r="O121" s="22"/>
      <c r="P121" s="20" t="s">
        <v>3613</v>
      </c>
      <c r="Q121" s="19"/>
      <c r="R121" s="22"/>
      <c r="S121" s="22"/>
      <c r="T121" s="47"/>
      <c r="U121" s="20"/>
      <c r="V121" s="20"/>
    </row>
    <row r="122" hidden="1" customHeight="1" spans="1:22">
      <c r="A122" s="23"/>
      <c r="B122" s="20"/>
      <c r="C122" s="39" t="s">
        <v>1034</v>
      </c>
      <c r="D122" s="20"/>
      <c r="E122" s="20"/>
      <c r="F122" s="20"/>
      <c r="G122" s="101" t="e">
        <f>VLOOKUP(F122,'01. TH'!$B:$E,3,0)</f>
        <v>#N/A</v>
      </c>
      <c r="H122" s="19"/>
      <c r="I122" s="19"/>
      <c r="J122" s="20"/>
      <c r="K122" s="19"/>
      <c r="L122" s="52"/>
      <c r="M122" s="22"/>
      <c r="N122" s="20"/>
      <c r="O122" s="22"/>
      <c r="P122" s="20"/>
      <c r="Q122" s="19"/>
      <c r="R122" s="22"/>
      <c r="S122" s="22"/>
      <c r="T122" s="47"/>
      <c r="U122" s="20"/>
      <c r="V122" s="20"/>
    </row>
    <row r="123" customHeight="1" spans="1:22">
      <c r="A123" s="9" t="s">
        <v>3866</v>
      </c>
      <c r="B123" s="10" t="s">
        <v>3867</v>
      </c>
      <c r="C123" s="604">
        <f>SUM(C124,C185,C217)</f>
        <v>103</v>
      </c>
      <c r="D123" s="12"/>
      <c r="E123" s="12"/>
      <c r="F123" s="12"/>
      <c r="G123" s="9"/>
      <c r="H123" s="13"/>
      <c r="I123" s="13"/>
      <c r="J123" s="12"/>
      <c r="K123" s="13"/>
      <c r="L123" s="12"/>
      <c r="M123" s="782"/>
      <c r="N123" s="12"/>
      <c r="O123" s="782"/>
      <c r="P123" s="12"/>
      <c r="Q123" s="13"/>
      <c r="R123" s="782"/>
      <c r="S123" s="782"/>
      <c r="T123" s="783"/>
      <c r="U123" s="12"/>
      <c r="V123" s="12"/>
    </row>
    <row r="124" customHeight="1" spans="1:22">
      <c r="A124" s="14" t="s">
        <v>948</v>
      </c>
      <c r="B124" s="15" t="s">
        <v>949</v>
      </c>
      <c r="C124" s="14">
        <f>COUNTA($B$125:$B$184)</f>
        <v>54</v>
      </c>
      <c r="D124" s="17"/>
      <c r="E124" s="17"/>
      <c r="F124" s="17"/>
      <c r="G124" s="18"/>
      <c r="H124" s="18"/>
      <c r="I124" s="14"/>
      <c r="J124" s="15"/>
      <c r="K124" s="14"/>
      <c r="L124" s="17"/>
      <c r="M124" s="16"/>
      <c r="N124" s="17"/>
      <c r="O124" s="16"/>
      <c r="P124" s="17"/>
      <c r="Q124" s="18"/>
      <c r="R124" s="16"/>
      <c r="S124" s="16"/>
      <c r="T124" s="786"/>
      <c r="U124" s="17"/>
      <c r="V124" s="17"/>
    </row>
    <row r="125" customHeight="1" spans="1:22">
      <c r="A125" s="19">
        <v>1</v>
      </c>
      <c r="B125" s="20" t="s">
        <v>3868</v>
      </c>
      <c r="C125" s="22" t="s">
        <v>3869</v>
      </c>
      <c r="D125" s="20" t="s">
        <v>3870</v>
      </c>
      <c r="E125" s="20" t="s">
        <v>451</v>
      </c>
      <c r="F125" s="20" t="s">
        <v>401</v>
      </c>
      <c r="G125" s="101" t="str">
        <f>VLOOKUP(F125,'01. TH'!$B:$E,3,0)</f>
        <v>1x1x1</v>
      </c>
      <c r="H125" s="19" t="s">
        <v>15</v>
      </c>
      <c r="I125" s="19"/>
      <c r="J125" s="20"/>
      <c r="K125" s="19" t="s">
        <v>1839</v>
      </c>
      <c r="L125" s="20"/>
      <c r="M125" s="22"/>
      <c r="N125" s="20" t="s">
        <v>3611</v>
      </c>
      <c r="O125" s="22"/>
      <c r="P125" s="20" t="s">
        <v>3613</v>
      </c>
      <c r="Q125" s="19"/>
      <c r="R125" s="22"/>
      <c r="S125" s="22" t="s">
        <v>3871</v>
      </c>
      <c r="T125" s="47"/>
      <c r="U125" s="20"/>
      <c r="V125" s="20"/>
    </row>
    <row r="126" customHeight="1" spans="1:22">
      <c r="A126" s="19">
        <f t="shared" ref="A126:A178" si="2">A125+1</f>
        <v>2</v>
      </c>
      <c r="B126" s="20" t="s">
        <v>3872</v>
      </c>
      <c r="C126" s="22" t="s">
        <v>3873</v>
      </c>
      <c r="D126" s="20" t="s">
        <v>3874</v>
      </c>
      <c r="E126" s="20" t="s">
        <v>451</v>
      </c>
      <c r="F126" s="20" t="s">
        <v>324</v>
      </c>
      <c r="G126" s="101" t="str">
        <f>VLOOKUP(F126,'01. TH'!$B:$E,3,0)</f>
        <v>1070 x 2310 x 1300</v>
      </c>
      <c r="H126" s="19" t="s">
        <v>15</v>
      </c>
      <c r="I126" s="19"/>
      <c r="J126" s="20"/>
      <c r="K126" s="19" t="s">
        <v>1839</v>
      </c>
      <c r="L126" s="20"/>
      <c r="M126" s="22"/>
      <c r="N126" s="25" t="s">
        <v>590</v>
      </c>
      <c r="O126" s="22" t="s">
        <v>3875</v>
      </c>
      <c r="P126" s="25" t="s">
        <v>590</v>
      </c>
      <c r="Q126" s="19"/>
      <c r="R126" s="22"/>
      <c r="S126" s="22"/>
      <c r="T126" s="47"/>
      <c r="U126" s="20"/>
      <c r="V126" s="20"/>
    </row>
    <row r="127" customHeight="1" spans="1:22">
      <c r="A127" s="19">
        <f t="shared" si="2"/>
        <v>3</v>
      </c>
      <c r="B127" s="20" t="s">
        <v>3876</v>
      </c>
      <c r="C127" s="22" t="s">
        <v>3877</v>
      </c>
      <c r="D127" s="20" t="s">
        <v>3878</v>
      </c>
      <c r="E127" s="20" t="s">
        <v>451</v>
      </c>
      <c r="F127" s="20" t="s">
        <v>324</v>
      </c>
      <c r="G127" s="101" t="str">
        <f>VLOOKUP(F127,'01. TH'!$B:$E,3,0)</f>
        <v>1070 x 2310 x 1300</v>
      </c>
      <c r="H127" s="19" t="s">
        <v>15</v>
      </c>
      <c r="I127" s="19"/>
      <c r="J127" s="20"/>
      <c r="K127" s="19" t="s">
        <v>1839</v>
      </c>
      <c r="L127" s="20"/>
      <c r="M127" s="22"/>
      <c r="N127" s="25" t="s">
        <v>590</v>
      </c>
      <c r="O127" s="22" t="s">
        <v>3875</v>
      </c>
      <c r="P127" s="25" t="s">
        <v>590</v>
      </c>
      <c r="Q127" s="19"/>
      <c r="R127" s="22"/>
      <c r="S127" s="22"/>
      <c r="T127" s="47"/>
      <c r="U127" s="20"/>
      <c r="V127" s="20"/>
    </row>
    <row r="128" customHeight="1" spans="1:22">
      <c r="A128" s="19">
        <f t="shared" si="2"/>
        <v>4</v>
      </c>
      <c r="B128" s="20" t="s">
        <v>3879</v>
      </c>
      <c r="C128" s="22" t="s">
        <v>3880</v>
      </c>
      <c r="D128" s="20" t="s">
        <v>3881</v>
      </c>
      <c r="E128" s="20" t="s">
        <v>451</v>
      </c>
      <c r="F128" s="20" t="s">
        <v>324</v>
      </c>
      <c r="G128" s="101" t="str">
        <f>VLOOKUP(F128,'01. TH'!$B:$E,3,0)</f>
        <v>1070 x 2310 x 1300</v>
      </c>
      <c r="H128" s="19" t="s">
        <v>15</v>
      </c>
      <c r="I128" s="19"/>
      <c r="J128" s="20"/>
      <c r="K128" s="19" t="s">
        <v>1839</v>
      </c>
      <c r="L128" s="20"/>
      <c r="M128" s="22"/>
      <c r="N128" s="25" t="s">
        <v>590</v>
      </c>
      <c r="O128" s="22" t="s">
        <v>3875</v>
      </c>
      <c r="P128" s="25" t="s">
        <v>590</v>
      </c>
      <c r="Q128" s="19"/>
      <c r="R128" s="22"/>
      <c r="S128" s="22"/>
      <c r="T128" s="47"/>
      <c r="U128" s="20"/>
      <c r="V128" s="20"/>
    </row>
    <row r="129" customHeight="1" spans="1:22">
      <c r="A129" s="19">
        <f t="shared" si="2"/>
        <v>5</v>
      </c>
      <c r="B129" s="20" t="s">
        <v>3882</v>
      </c>
      <c r="C129" s="22" t="s">
        <v>3883</v>
      </c>
      <c r="D129" s="20" t="s">
        <v>3884</v>
      </c>
      <c r="E129" s="20" t="s">
        <v>451</v>
      </c>
      <c r="F129" s="20" t="s">
        <v>312</v>
      </c>
      <c r="G129" s="101" t="str">
        <f>VLOOKUP(F129,'01. TH'!$B:$E,3,0)</f>
        <v>1230x1705x860</v>
      </c>
      <c r="H129" s="19" t="s">
        <v>15</v>
      </c>
      <c r="I129" s="19"/>
      <c r="J129" s="20"/>
      <c r="K129" s="19" t="s">
        <v>1839</v>
      </c>
      <c r="L129" s="20"/>
      <c r="M129" s="22"/>
      <c r="N129" s="25" t="s">
        <v>590</v>
      </c>
      <c r="O129" s="22" t="s">
        <v>3885</v>
      </c>
      <c r="P129" s="25" t="s">
        <v>590</v>
      </c>
      <c r="Q129" s="19"/>
      <c r="R129" s="22"/>
      <c r="S129" s="22"/>
      <c r="T129" s="47">
        <v>9.5</v>
      </c>
      <c r="U129" s="20" t="s">
        <v>3886</v>
      </c>
      <c r="V129" s="20"/>
    </row>
    <row r="130" customHeight="1" spans="1:22">
      <c r="A130" s="19">
        <f t="shared" si="2"/>
        <v>6</v>
      </c>
      <c r="B130" s="20" t="s">
        <v>3887</v>
      </c>
      <c r="C130" s="22" t="s">
        <v>3888</v>
      </c>
      <c r="D130" s="20" t="s">
        <v>3889</v>
      </c>
      <c r="E130" s="20" t="s">
        <v>451</v>
      </c>
      <c r="F130" s="20" t="s">
        <v>312</v>
      </c>
      <c r="G130" s="101" t="str">
        <f>VLOOKUP(F130,'01. TH'!$B:$E,3,0)</f>
        <v>1230x1705x860</v>
      </c>
      <c r="H130" s="19" t="s">
        <v>15</v>
      </c>
      <c r="I130" s="19"/>
      <c r="J130" s="20"/>
      <c r="K130" s="19" t="s">
        <v>1839</v>
      </c>
      <c r="L130" s="20"/>
      <c r="M130" s="22"/>
      <c r="N130" s="25" t="s">
        <v>590</v>
      </c>
      <c r="O130" s="22" t="s">
        <v>3885</v>
      </c>
      <c r="P130" s="25" t="s">
        <v>590</v>
      </c>
      <c r="Q130" s="19"/>
      <c r="R130" s="22"/>
      <c r="S130" s="22"/>
      <c r="T130" s="47">
        <v>9.5</v>
      </c>
      <c r="U130" s="20" t="s">
        <v>3886</v>
      </c>
      <c r="V130" s="20"/>
    </row>
    <row r="131" customHeight="1" spans="1:22">
      <c r="A131" s="19">
        <f t="shared" si="2"/>
        <v>7</v>
      </c>
      <c r="B131" s="20" t="s">
        <v>3890</v>
      </c>
      <c r="C131" s="22"/>
      <c r="D131" s="20" t="s">
        <v>3891</v>
      </c>
      <c r="E131" s="20" t="s">
        <v>3593</v>
      </c>
      <c r="F131" s="20" t="s">
        <v>312</v>
      </c>
      <c r="G131" s="101"/>
      <c r="H131" s="19" t="s">
        <v>15</v>
      </c>
      <c r="I131" s="19" t="s">
        <v>3892</v>
      </c>
      <c r="J131" s="20"/>
      <c r="K131" s="19" t="s">
        <v>1839</v>
      </c>
      <c r="L131" s="20" t="s">
        <v>507</v>
      </c>
      <c r="M131" s="22"/>
      <c r="N131" s="25" t="s">
        <v>3893</v>
      </c>
      <c r="O131" s="22" t="s">
        <v>3894</v>
      </c>
      <c r="P131" s="25" t="s">
        <v>2450</v>
      </c>
      <c r="Q131" s="19">
        <v>2025</v>
      </c>
      <c r="R131" s="22" t="s">
        <v>3895</v>
      </c>
      <c r="S131" s="22" t="s">
        <v>3896</v>
      </c>
      <c r="T131" s="47">
        <v>9.5</v>
      </c>
      <c r="U131" s="20" t="s">
        <v>3886</v>
      </c>
      <c r="V131" s="20"/>
    </row>
    <row r="132" customHeight="1" spans="1:22">
      <c r="A132" s="19">
        <f t="shared" si="2"/>
        <v>8</v>
      </c>
      <c r="B132" s="20" t="s">
        <v>3897</v>
      </c>
      <c r="C132" s="22" t="s">
        <v>3898</v>
      </c>
      <c r="D132" s="20" t="s">
        <v>3899</v>
      </c>
      <c r="E132" s="20" t="s">
        <v>451</v>
      </c>
      <c r="F132" s="20" t="s">
        <v>314</v>
      </c>
      <c r="G132" s="101" t="str">
        <f>VLOOKUP(F132,'01. TH'!$B:$E,3,0)</f>
        <v>1970x1460x978</v>
      </c>
      <c r="H132" s="19" t="s">
        <v>15</v>
      </c>
      <c r="I132" s="19"/>
      <c r="J132" s="20"/>
      <c r="K132" s="19" t="s">
        <v>1839</v>
      </c>
      <c r="L132" s="20"/>
      <c r="M132" s="22"/>
      <c r="N132" s="25" t="s">
        <v>590</v>
      </c>
      <c r="O132" s="22" t="s">
        <v>3900</v>
      </c>
      <c r="P132" s="25" t="s">
        <v>590</v>
      </c>
      <c r="Q132" s="19"/>
      <c r="R132" s="22"/>
      <c r="S132" s="22"/>
      <c r="T132" s="47"/>
      <c r="U132" s="20"/>
      <c r="V132" s="20"/>
    </row>
    <row r="133" customHeight="1" spans="1:22">
      <c r="A133" s="19">
        <f t="shared" si="2"/>
        <v>9</v>
      </c>
      <c r="B133" s="20" t="s">
        <v>3901</v>
      </c>
      <c r="C133" s="22" t="s">
        <v>3902</v>
      </c>
      <c r="D133" s="20" t="s">
        <v>3903</v>
      </c>
      <c r="E133" s="20" t="s">
        <v>451</v>
      </c>
      <c r="F133" s="20" t="s">
        <v>335</v>
      </c>
      <c r="G133" s="101">
        <f>VLOOKUP(F133,'01. TH'!$B:$E,3,0)</f>
        <v>0</v>
      </c>
      <c r="H133" s="19" t="s">
        <v>15</v>
      </c>
      <c r="I133" s="19"/>
      <c r="J133" s="20"/>
      <c r="K133" s="19" t="s">
        <v>1839</v>
      </c>
      <c r="L133" s="20"/>
      <c r="M133" s="22"/>
      <c r="N133" s="25" t="s">
        <v>590</v>
      </c>
      <c r="O133" s="22" t="s">
        <v>3904</v>
      </c>
      <c r="P133" s="25" t="s">
        <v>590</v>
      </c>
      <c r="Q133" s="19"/>
      <c r="R133" s="22"/>
      <c r="S133" s="22"/>
      <c r="T133" s="47">
        <v>6</v>
      </c>
      <c r="U133" s="20" t="s">
        <v>3886</v>
      </c>
      <c r="V133" s="20"/>
    </row>
    <row r="134" customHeight="1" spans="1:22">
      <c r="A134" s="19">
        <f t="shared" si="2"/>
        <v>10</v>
      </c>
      <c r="B134" s="20" t="s">
        <v>3905</v>
      </c>
      <c r="C134" s="22" t="s">
        <v>3906</v>
      </c>
      <c r="D134" s="20" t="s">
        <v>3907</v>
      </c>
      <c r="E134" s="20" t="s">
        <v>451</v>
      </c>
      <c r="F134" s="20" t="s">
        <v>335</v>
      </c>
      <c r="G134" s="101">
        <f>VLOOKUP(F134,'01. TH'!$B:$E,3,0)</f>
        <v>0</v>
      </c>
      <c r="H134" s="19" t="s">
        <v>15</v>
      </c>
      <c r="I134" s="19"/>
      <c r="J134" s="20"/>
      <c r="K134" s="19" t="s">
        <v>1126</v>
      </c>
      <c r="L134" s="20"/>
      <c r="M134" s="22"/>
      <c r="N134" s="25" t="s">
        <v>590</v>
      </c>
      <c r="O134" s="22" t="s">
        <v>3904</v>
      </c>
      <c r="P134" s="25" t="s">
        <v>590</v>
      </c>
      <c r="Q134" s="19"/>
      <c r="R134" s="22"/>
      <c r="S134" s="22"/>
      <c r="T134" s="47">
        <v>6</v>
      </c>
      <c r="U134" s="20" t="s">
        <v>3886</v>
      </c>
      <c r="V134" s="20"/>
    </row>
    <row r="135" customHeight="1" spans="1:22">
      <c r="A135" s="19">
        <f t="shared" si="2"/>
        <v>11</v>
      </c>
      <c r="B135" s="20" t="s">
        <v>3908</v>
      </c>
      <c r="C135" s="22" t="s">
        <v>3909</v>
      </c>
      <c r="D135" s="20" t="s">
        <v>3910</v>
      </c>
      <c r="E135" s="20" t="s">
        <v>451</v>
      </c>
      <c r="F135" s="20" t="s">
        <v>336</v>
      </c>
      <c r="G135" s="101">
        <f>VLOOKUP(F135,'01. TH'!$B:$E,3,0)</f>
        <v>0</v>
      </c>
      <c r="H135" s="19" t="s">
        <v>15</v>
      </c>
      <c r="I135" s="19"/>
      <c r="J135" s="20"/>
      <c r="K135" s="19" t="s">
        <v>1839</v>
      </c>
      <c r="L135" s="20"/>
      <c r="M135" s="22"/>
      <c r="N135" s="25" t="s">
        <v>590</v>
      </c>
      <c r="O135" s="22" t="s">
        <v>3911</v>
      </c>
      <c r="P135" s="25" t="s">
        <v>590</v>
      </c>
      <c r="Q135" s="19"/>
      <c r="R135" s="22"/>
      <c r="S135" s="22"/>
      <c r="T135" s="47"/>
      <c r="U135" s="20"/>
      <c r="V135" s="20"/>
    </row>
    <row r="136" customHeight="1" spans="1:22">
      <c r="A136" s="19">
        <f t="shared" si="2"/>
        <v>12</v>
      </c>
      <c r="B136" s="20" t="s">
        <v>3912</v>
      </c>
      <c r="C136" s="22"/>
      <c r="D136" s="20" t="s">
        <v>3913</v>
      </c>
      <c r="E136" s="20" t="s">
        <v>451</v>
      </c>
      <c r="F136" s="20" t="s">
        <v>3914</v>
      </c>
      <c r="G136" s="101" t="e">
        <f>VLOOKUP(F136,'01. TH'!$B:$E,3,0)</f>
        <v>#N/A</v>
      </c>
      <c r="H136" s="19" t="s">
        <v>15</v>
      </c>
      <c r="I136" s="19"/>
      <c r="J136" s="20"/>
      <c r="K136" s="19" t="s">
        <v>1839</v>
      </c>
      <c r="L136" s="20"/>
      <c r="M136" s="22"/>
      <c r="N136" s="25" t="s">
        <v>590</v>
      </c>
      <c r="O136" s="22"/>
      <c r="P136" s="25" t="s">
        <v>590</v>
      </c>
      <c r="Q136" s="19"/>
      <c r="R136" s="22"/>
      <c r="S136" s="22"/>
      <c r="T136" s="47"/>
      <c r="U136" s="20"/>
      <c r="V136" s="20"/>
    </row>
    <row r="137" customHeight="1" spans="1:22">
      <c r="A137" s="19">
        <f t="shared" si="2"/>
        <v>13</v>
      </c>
      <c r="B137" s="20" t="s">
        <v>3915</v>
      </c>
      <c r="C137" s="22" t="s">
        <v>3916</v>
      </c>
      <c r="D137" s="20" t="s">
        <v>3917</v>
      </c>
      <c r="E137" s="20" t="s">
        <v>451</v>
      </c>
      <c r="F137" s="20" t="s">
        <v>3918</v>
      </c>
      <c r="G137" s="101" t="e">
        <f>VLOOKUP(F137,'01. TH'!$B:$E,3,0)</f>
        <v>#N/A</v>
      </c>
      <c r="H137" s="19" t="s">
        <v>15</v>
      </c>
      <c r="I137" s="19"/>
      <c r="J137" s="20"/>
      <c r="K137" s="19" t="s">
        <v>1839</v>
      </c>
      <c r="L137" s="20"/>
      <c r="M137" s="22"/>
      <c r="N137" s="25" t="s">
        <v>590</v>
      </c>
      <c r="O137" s="22" t="s">
        <v>3919</v>
      </c>
      <c r="P137" s="25" t="s">
        <v>590</v>
      </c>
      <c r="Q137" s="19"/>
      <c r="R137" s="22"/>
      <c r="S137" s="22"/>
      <c r="T137" s="47"/>
      <c r="U137" s="20"/>
      <c r="V137" s="20"/>
    </row>
    <row r="138" customHeight="1" spans="1:22">
      <c r="A138" s="19">
        <f t="shared" si="2"/>
        <v>14</v>
      </c>
      <c r="B138" s="20" t="s">
        <v>3920</v>
      </c>
      <c r="C138" s="22" t="s">
        <v>3921</v>
      </c>
      <c r="D138" s="20" t="s">
        <v>3586</v>
      </c>
      <c r="E138" s="20" t="s">
        <v>451</v>
      </c>
      <c r="F138" s="20" t="s">
        <v>328</v>
      </c>
      <c r="G138" s="101" t="str">
        <f>VLOOKUP(F138,'01. TH'!$B:$E,3,0)</f>
        <v>1830x1885x1590</v>
      </c>
      <c r="H138" s="19" t="s">
        <v>15</v>
      </c>
      <c r="I138" s="19"/>
      <c r="J138" s="20"/>
      <c r="K138" s="19" t="s">
        <v>1839</v>
      </c>
      <c r="L138" s="20"/>
      <c r="M138" s="22"/>
      <c r="N138" s="25" t="s">
        <v>590</v>
      </c>
      <c r="O138" s="22" t="s">
        <v>3588</v>
      </c>
      <c r="P138" s="25" t="s">
        <v>590</v>
      </c>
      <c r="Q138" s="19"/>
      <c r="R138" s="22"/>
      <c r="S138" s="22"/>
      <c r="T138" s="47">
        <v>13</v>
      </c>
      <c r="U138" s="20" t="s">
        <v>3922</v>
      </c>
      <c r="V138" s="20"/>
    </row>
    <row r="139" customHeight="1" spans="1:22">
      <c r="A139" s="19">
        <f t="shared" si="2"/>
        <v>15</v>
      </c>
      <c r="B139" s="38" t="s">
        <v>3923</v>
      </c>
      <c r="C139" s="39"/>
      <c r="D139" s="38" t="s">
        <v>3924</v>
      </c>
      <c r="E139" s="20" t="s">
        <v>451</v>
      </c>
      <c r="F139" s="20" t="s">
        <v>328</v>
      </c>
      <c r="G139" s="101" t="str">
        <f>VLOOKUP(F139,'01. TH'!$B:$E,3,0)</f>
        <v>1830x1885x1590</v>
      </c>
      <c r="H139" s="19" t="s">
        <v>15</v>
      </c>
      <c r="I139" s="49" t="s">
        <v>1803</v>
      </c>
      <c r="J139" s="38"/>
      <c r="K139" s="19" t="s">
        <v>1839</v>
      </c>
      <c r="L139" s="38" t="s">
        <v>3925</v>
      </c>
      <c r="M139" s="39"/>
      <c r="N139" s="20" t="s">
        <v>3611</v>
      </c>
      <c r="O139" s="39"/>
      <c r="P139" s="25"/>
      <c r="Q139" s="49"/>
      <c r="R139" s="39"/>
      <c r="S139" s="39"/>
      <c r="T139" s="47">
        <v>13</v>
      </c>
      <c r="U139" s="20" t="s">
        <v>3922</v>
      </c>
      <c r="V139" s="38"/>
    </row>
    <row r="140" customHeight="1" spans="1:22">
      <c r="A140" s="19">
        <f t="shared" si="2"/>
        <v>16</v>
      </c>
      <c r="B140" s="38" t="s">
        <v>3926</v>
      </c>
      <c r="C140" s="39"/>
      <c r="D140" s="38"/>
      <c r="E140" s="20" t="s">
        <v>451</v>
      </c>
      <c r="F140" s="38" t="s">
        <v>3927</v>
      </c>
      <c r="G140" s="101" t="e">
        <f>VLOOKUP(F140,'01. TH'!$B:$E,3,0)</f>
        <v>#N/A</v>
      </c>
      <c r="H140" s="49" t="s">
        <v>15</v>
      </c>
      <c r="I140" s="49"/>
      <c r="J140" s="38"/>
      <c r="K140" s="49" t="s">
        <v>1839</v>
      </c>
      <c r="L140" s="38"/>
      <c r="M140" s="39"/>
      <c r="N140" s="20" t="s">
        <v>3611</v>
      </c>
      <c r="O140" s="39"/>
      <c r="P140" s="25"/>
      <c r="Q140" s="49"/>
      <c r="R140" s="39"/>
      <c r="S140" s="39"/>
      <c r="T140" s="789"/>
      <c r="U140" s="38"/>
      <c r="V140" s="38"/>
    </row>
    <row r="141" customHeight="1" spans="1:22">
      <c r="A141" s="19">
        <f t="shared" si="2"/>
        <v>17</v>
      </c>
      <c r="B141" s="20" t="s">
        <v>3928</v>
      </c>
      <c r="C141" s="22" t="s">
        <v>3929</v>
      </c>
      <c r="D141" s="20" t="s">
        <v>3930</v>
      </c>
      <c r="E141" s="20" t="s">
        <v>451</v>
      </c>
      <c r="F141" s="20" t="s">
        <v>3931</v>
      </c>
      <c r="G141" s="101" t="e">
        <f>VLOOKUP(F141,'01. TH'!$B:$E,3,0)</f>
        <v>#N/A</v>
      </c>
      <c r="H141" s="19" t="s">
        <v>15</v>
      </c>
      <c r="I141" s="19"/>
      <c r="J141" s="20"/>
      <c r="K141" s="19" t="s">
        <v>1839</v>
      </c>
      <c r="L141" s="20"/>
      <c r="M141" s="22"/>
      <c r="N141" s="20" t="s">
        <v>3611</v>
      </c>
      <c r="O141" s="22" t="s">
        <v>3932</v>
      </c>
      <c r="P141" s="25" t="s">
        <v>3613</v>
      </c>
      <c r="Q141" s="19"/>
      <c r="R141" s="22"/>
      <c r="S141" s="22"/>
      <c r="T141" s="47"/>
      <c r="U141" s="20"/>
      <c r="V141" s="20"/>
    </row>
    <row r="142" customHeight="1" spans="1:22">
      <c r="A142" s="19">
        <f t="shared" si="2"/>
        <v>18</v>
      </c>
      <c r="B142" s="20" t="s">
        <v>3933</v>
      </c>
      <c r="C142" s="22" t="s">
        <v>3934</v>
      </c>
      <c r="D142" s="20" t="s">
        <v>3935</v>
      </c>
      <c r="E142" s="20" t="s">
        <v>451</v>
      </c>
      <c r="F142" s="20" t="s">
        <v>3931</v>
      </c>
      <c r="G142" s="101" t="e">
        <f>VLOOKUP(F142,'01. TH'!$B:$E,3,0)</f>
        <v>#N/A</v>
      </c>
      <c r="H142" s="19" t="s">
        <v>15</v>
      </c>
      <c r="I142" s="19"/>
      <c r="J142" s="20"/>
      <c r="K142" s="19" t="s">
        <v>1839</v>
      </c>
      <c r="L142" s="20"/>
      <c r="M142" s="22"/>
      <c r="N142" s="20" t="s">
        <v>3611</v>
      </c>
      <c r="O142" s="22" t="s">
        <v>3932</v>
      </c>
      <c r="P142" s="25" t="s">
        <v>3613</v>
      </c>
      <c r="Q142" s="19"/>
      <c r="R142" s="22"/>
      <c r="S142" s="22"/>
      <c r="T142" s="47"/>
      <c r="U142" s="20"/>
      <c r="V142" s="20"/>
    </row>
    <row r="143" customHeight="1" spans="1:22">
      <c r="A143" s="19">
        <f t="shared" si="2"/>
        <v>19</v>
      </c>
      <c r="B143" s="20" t="s">
        <v>3936</v>
      </c>
      <c r="C143" s="22"/>
      <c r="D143" s="20" t="s">
        <v>3937</v>
      </c>
      <c r="E143" s="20" t="s">
        <v>451</v>
      </c>
      <c r="F143" s="20" t="s">
        <v>3931</v>
      </c>
      <c r="G143" s="101"/>
      <c r="H143" s="19" t="s">
        <v>15</v>
      </c>
      <c r="I143" s="58">
        <v>46176</v>
      </c>
      <c r="J143" s="20"/>
      <c r="K143" s="19" t="s">
        <v>1839</v>
      </c>
      <c r="L143" s="38" t="s">
        <v>3925</v>
      </c>
      <c r="M143" s="22"/>
      <c r="N143" s="20" t="s">
        <v>3611</v>
      </c>
      <c r="O143" s="22" t="s">
        <v>3932</v>
      </c>
      <c r="P143" s="25" t="s">
        <v>3613</v>
      </c>
      <c r="Q143" s="19"/>
      <c r="R143" s="22"/>
      <c r="S143" s="22"/>
      <c r="T143" s="47"/>
      <c r="U143" s="20"/>
      <c r="V143" s="20"/>
    </row>
    <row r="144" customHeight="1" spans="1:22">
      <c r="A144" s="19">
        <f t="shared" si="2"/>
        <v>20</v>
      </c>
      <c r="B144" s="20" t="s">
        <v>3938</v>
      </c>
      <c r="C144" s="22"/>
      <c r="D144" s="20" t="s">
        <v>3939</v>
      </c>
      <c r="E144" s="20" t="s">
        <v>451</v>
      </c>
      <c r="F144" s="20" t="s">
        <v>3931</v>
      </c>
      <c r="G144" s="101"/>
      <c r="H144" s="19" t="s">
        <v>15</v>
      </c>
      <c r="I144" s="58">
        <v>46176</v>
      </c>
      <c r="J144" s="20"/>
      <c r="K144" s="19" t="s">
        <v>1839</v>
      </c>
      <c r="L144" s="38" t="s">
        <v>3925</v>
      </c>
      <c r="M144" s="22"/>
      <c r="N144" s="20" t="s">
        <v>3611</v>
      </c>
      <c r="O144" s="22" t="s">
        <v>3932</v>
      </c>
      <c r="P144" s="25" t="s">
        <v>3613</v>
      </c>
      <c r="Q144" s="19"/>
      <c r="R144" s="22"/>
      <c r="S144" s="22"/>
      <c r="T144" s="47"/>
      <c r="U144" s="20"/>
      <c r="V144" s="20"/>
    </row>
    <row r="145" customHeight="1" spans="1:22">
      <c r="A145" s="19">
        <f t="shared" si="2"/>
        <v>21</v>
      </c>
      <c r="B145" s="20" t="s">
        <v>3940</v>
      </c>
      <c r="C145" s="22" t="s">
        <v>3941</v>
      </c>
      <c r="D145" s="20" t="s">
        <v>3942</v>
      </c>
      <c r="E145" s="20" t="s">
        <v>451</v>
      </c>
      <c r="F145" s="20" t="s">
        <v>330</v>
      </c>
      <c r="G145" s="101" t="str">
        <f>VLOOKUP(F145,'01. TH'!$B:$E,3,0)</f>
        <v>1800x1180x1152</v>
      </c>
      <c r="H145" s="19" t="s">
        <v>15</v>
      </c>
      <c r="I145" s="19"/>
      <c r="J145" s="20"/>
      <c r="K145" s="19" t="s">
        <v>1839</v>
      </c>
      <c r="L145" s="20"/>
      <c r="M145" s="22"/>
      <c r="N145" s="25" t="s">
        <v>590</v>
      </c>
      <c r="O145" s="22"/>
      <c r="P145" s="25" t="s">
        <v>590</v>
      </c>
      <c r="Q145" s="19"/>
      <c r="R145" s="22"/>
      <c r="S145" s="22"/>
      <c r="T145" s="47">
        <v>3.8</v>
      </c>
      <c r="U145" s="20" t="s">
        <v>3943</v>
      </c>
      <c r="V145" s="20"/>
    </row>
    <row r="146" customHeight="1" spans="1:22">
      <c r="A146" s="19">
        <f t="shared" si="2"/>
        <v>22</v>
      </c>
      <c r="B146" s="20" t="s">
        <v>3944</v>
      </c>
      <c r="C146" s="22"/>
      <c r="D146" s="20" t="s">
        <v>3945</v>
      </c>
      <c r="E146" s="20" t="s">
        <v>3593</v>
      </c>
      <c r="F146" s="20" t="s">
        <v>330</v>
      </c>
      <c r="G146" s="101" t="str">
        <f>VLOOKUP(F146,'01. TH'!$B:$E,3,0)</f>
        <v>1800x1180x1152</v>
      </c>
      <c r="H146" s="19" t="s">
        <v>15</v>
      </c>
      <c r="I146" s="58">
        <v>46054</v>
      </c>
      <c r="J146" s="20"/>
      <c r="K146" s="19" t="s">
        <v>1839</v>
      </c>
      <c r="L146" s="20"/>
      <c r="M146" s="22"/>
      <c r="N146" s="20" t="s">
        <v>3946</v>
      </c>
      <c r="O146" s="24" t="s">
        <v>3947</v>
      </c>
      <c r="P146" s="25" t="s">
        <v>3948</v>
      </c>
      <c r="Q146" s="19">
        <v>2024</v>
      </c>
      <c r="R146" s="22"/>
      <c r="S146" s="24" t="s">
        <v>3949</v>
      </c>
      <c r="T146" s="47">
        <v>3.8</v>
      </c>
      <c r="U146" s="20" t="s">
        <v>3943</v>
      </c>
      <c r="V146" s="20"/>
    </row>
    <row r="147" customHeight="1" spans="1:22">
      <c r="A147" s="19">
        <f t="shared" si="2"/>
        <v>23</v>
      </c>
      <c r="B147" s="20" t="s">
        <v>3950</v>
      </c>
      <c r="C147" s="22" t="s">
        <v>3951</v>
      </c>
      <c r="D147" s="20" t="s">
        <v>3952</v>
      </c>
      <c r="E147" s="20" t="s">
        <v>451</v>
      </c>
      <c r="F147" s="20" t="s">
        <v>408</v>
      </c>
      <c r="G147" s="101" t="str">
        <f>VLOOKUP(F147,'01. TH'!$B:$E,3,0)</f>
        <v>6.1x2.4x0.9</v>
      </c>
      <c r="H147" s="19" t="s">
        <v>15</v>
      </c>
      <c r="I147" s="19"/>
      <c r="J147" s="20" t="s">
        <v>3613</v>
      </c>
      <c r="K147" s="19" t="s">
        <v>1839</v>
      </c>
      <c r="L147" s="20"/>
      <c r="M147" s="22"/>
      <c r="N147" s="20" t="s">
        <v>3611</v>
      </c>
      <c r="O147" s="22"/>
      <c r="P147" s="21"/>
      <c r="Q147" s="19"/>
      <c r="R147" s="22"/>
      <c r="S147" s="22"/>
      <c r="T147" s="47"/>
      <c r="U147" s="20"/>
      <c r="V147" s="20"/>
    </row>
    <row r="148" customHeight="1" spans="1:22">
      <c r="A148" s="19">
        <f t="shared" si="2"/>
        <v>24</v>
      </c>
      <c r="B148" s="20" t="s">
        <v>3953</v>
      </c>
      <c r="C148" s="22" t="s">
        <v>3954</v>
      </c>
      <c r="D148" s="20" t="s">
        <v>3955</v>
      </c>
      <c r="E148" s="20" t="s">
        <v>451</v>
      </c>
      <c r="F148" s="20" t="s">
        <v>3956</v>
      </c>
      <c r="G148" s="101" t="e">
        <f>VLOOKUP(F148,'01. TH'!$B:$E,3,0)</f>
        <v>#N/A</v>
      </c>
      <c r="H148" s="19" t="s">
        <v>15</v>
      </c>
      <c r="I148" s="19"/>
      <c r="J148" s="20"/>
      <c r="K148" s="19" t="s">
        <v>1839</v>
      </c>
      <c r="L148" s="20"/>
      <c r="M148" s="22"/>
      <c r="N148" s="20" t="s">
        <v>3611</v>
      </c>
      <c r="O148" s="22"/>
      <c r="P148" s="20" t="s">
        <v>3613</v>
      </c>
      <c r="Q148" s="19"/>
      <c r="R148" s="22"/>
      <c r="S148" s="22"/>
      <c r="T148" s="47"/>
      <c r="U148" s="20"/>
      <c r="V148" s="20"/>
    </row>
    <row r="149" customHeight="1" spans="1:22">
      <c r="A149" s="19">
        <f t="shared" si="2"/>
        <v>25</v>
      </c>
      <c r="B149" s="20" t="s">
        <v>3957</v>
      </c>
      <c r="C149" s="22"/>
      <c r="D149" s="20" t="s">
        <v>3958</v>
      </c>
      <c r="E149" s="20" t="s">
        <v>451</v>
      </c>
      <c r="F149" s="20" t="s">
        <v>337</v>
      </c>
      <c r="G149" s="101">
        <f>VLOOKUP(F149,'01. TH'!$B:$E,3,0)</f>
        <v>0</v>
      </c>
      <c r="H149" s="19" t="s">
        <v>15</v>
      </c>
      <c r="I149" s="19" t="s">
        <v>3959</v>
      </c>
      <c r="J149" s="20"/>
      <c r="K149" s="19" t="s">
        <v>1839</v>
      </c>
      <c r="L149" s="20" t="s">
        <v>3960</v>
      </c>
      <c r="M149" s="612"/>
      <c r="N149" s="20" t="s">
        <v>3611</v>
      </c>
      <c r="O149" s="612"/>
      <c r="P149" s="20" t="s">
        <v>3613</v>
      </c>
      <c r="Q149" s="19"/>
      <c r="R149" s="48" t="s">
        <v>3961</v>
      </c>
      <c r="S149" s="22"/>
      <c r="T149" s="47"/>
      <c r="U149" s="20"/>
      <c r="V149" s="20"/>
    </row>
    <row r="150" customHeight="1" spans="1:22">
      <c r="A150" s="19">
        <f t="shared" si="2"/>
        <v>26</v>
      </c>
      <c r="B150" s="20" t="s">
        <v>3962</v>
      </c>
      <c r="C150" s="22" t="s">
        <v>1850</v>
      </c>
      <c r="D150" s="20" t="s">
        <v>3963</v>
      </c>
      <c r="E150" s="20" t="s">
        <v>3593</v>
      </c>
      <c r="F150" s="20" t="s">
        <v>307</v>
      </c>
      <c r="G150" s="101" t="str">
        <f>VLOOKUP(F150,'01. TH'!$B:$E,3,0)</f>
        <v>150x150x200</v>
      </c>
      <c r="H150" s="19" t="s">
        <v>15</v>
      </c>
      <c r="I150" s="19" t="s">
        <v>3964</v>
      </c>
      <c r="J150" s="20"/>
      <c r="K150" s="19" t="s">
        <v>1839</v>
      </c>
      <c r="L150" s="20"/>
      <c r="M150" s="22"/>
      <c r="N150" s="20" t="s">
        <v>3965</v>
      </c>
      <c r="O150" s="22" t="s">
        <v>3966</v>
      </c>
      <c r="P150" s="20" t="s">
        <v>3967</v>
      </c>
      <c r="Q150" s="19">
        <v>2024</v>
      </c>
      <c r="R150" s="22"/>
      <c r="S150" s="22"/>
      <c r="T150" s="47"/>
      <c r="U150" s="20"/>
      <c r="V150" s="20"/>
    </row>
    <row r="151" customHeight="1" spans="1:22">
      <c r="A151" s="19">
        <f t="shared" si="2"/>
        <v>27</v>
      </c>
      <c r="B151" s="20" t="s">
        <v>3968</v>
      </c>
      <c r="C151" s="22" t="s">
        <v>2083</v>
      </c>
      <c r="D151" s="20" t="s">
        <v>3969</v>
      </c>
      <c r="E151" s="20" t="s">
        <v>3593</v>
      </c>
      <c r="F151" s="20" t="s">
        <v>307</v>
      </c>
      <c r="G151" s="101" t="str">
        <f>VLOOKUP(F151,'01. TH'!$B:$E,3,0)</f>
        <v>150x150x200</v>
      </c>
      <c r="H151" s="19" t="s">
        <v>15</v>
      </c>
      <c r="I151" s="19" t="s">
        <v>560</v>
      </c>
      <c r="J151" s="20"/>
      <c r="K151" s="19" t="s">
        <v>1839</v>
      </c>
      <c r="L151" s="20"/>
      <c r="M151" s="22"/>
      <c r="N151" s="20" t="s">
        <v>3965</v>
      </c>
      <c r="O151" s="22" t="s">
        <v>3966</v>
      </c>
      <c r="P151" s="20" t="s">
        <v>3967</v>
      </c>
      <c r="Q151" s="19">
        <v>2024</v>
      </c>
      <c r="R151" s="22"/>
      <c r="S151" s="22">
        <v>3453785</v>
      </c>
      <c r="T151" s="47"/>
      <c r="U151" s="20"/>
      <c r="V151" s="20"/>
    </row>
    <row r="152" customHeight="1" spans="1:22">
      <c r="A152" s="19">
        <f t="shared" si="2"/>
        <v>28</v>
      </c>
      <c r="B152" s="20" t="s">
        <v>3970</v>
      </c>
      <c r="C152" s="22" t="s">
        <v>2083</v>
      </c>
      <c r="D152" s="20" t="s">
        <v>3971</v>
      </c>
      <c r="E152" s="20" t="s">
        <v>3593</v>
      </c>
      <c r="F152" s="20" t="s">
        <v>309</v>
      </c>
      <c r="G152" s="101" t="str">
        <f>VLOOKUP(F152,'01. TH'!$B:$E,3,0)</f>
        <v>150x150x200</v>
      </c>
      <c r="H152" s="19" t="s">
        <v>15</v>
      </c>
      <c r="I152" s="19" t="s">
        <v>560</v>
      </c>
      <c r="J152" s="20"/>
      <c r="K152" s="19" t="s">
        <v>1839</v>
      </c>
      <c r="L152" s="20"/>
      <c r="M152" s="22"/>
      <c r="N152" s="20" t="s">
        <v>3965</v>
      </c>
      <c r="O152" s="22" t="s">
        <v>3966</v>
      </c>
      <c r="P152" s="20" t="s">
        <v>3967</v>
      </c>
      <c r="Q152" s="19">
        <v>2024</v>
      </c>
      <c r="R152" s="22"/>
      <c r="S152" s="22">
        <v>3453784</v>
      </c>
      <c r="T152" s="47"/>
      <c r="U152" s="20"/>
      <c r="V152" s="20"/>
    </row>
    <row r="153" customHeight="1" spans="1:22">
      <c r="A153" s="19">
        <f t="shared" si="2"/>
        <v>29</v>
      </c>
      <c r="B153" s="20" t="s">
        <v>3972</v>
      </c>
      <c r="C153" s="22"/>
      <c r="D153" s="20" t="s">
        <v>3973</v>
      </c>
      <c r="E153" s="20" t="s">
        <v>451</v>
      </c>
      <c r="F153" s="20" t="s">
        <v>3974</v>
      </c>
      <c r="G153" s="101" t="e">
        <f>VLOOKUP(F153,'01. TH'!$B:$E,3,0)</f>
        <v>#N/A</v>
      </c>
      <c r="H153" s="19" t="s">
        <v>15</v>
      </c>
      <c r="I153" s="19" t="s">
        <v>3975</v>
      </c>
      <c r="J153" s="20"/>
      <c r="K153" s="19" t="s">
        <v>1839</v>
      </c>
      <c r="L153" s="20"/>
      <c r="M153" s="22"/>
      <c r="N153" s="20" t="s">
        <v>3611</v>
      </c>
      <c r="O153" s="612"/>
      <c r="P153" s="20" t="s">
        <v>3613</v>
      </c>
      <c r="Q153" s="19"/>
      <c r="R153" s="22" t="s">
        <v>3976</v>
      </c>
      <c r="S153" s="22"/>
      <c r="T153" s="47"/>
      <c r="U153" s="20"/>
      <c r="V153" s="20"/>
    </row>
    <row r="154" customHeight="1" spans="1:22">
      <c r="A154" s="19">
        <f t="shared" si="2"/>
        <v>30</v>
      </c>
      <c r="B154" s="20" t="s">
        <v>3977</v>
      </c>
      <c r="C154" s="22" t="s">
        <v>3978</v>
      </c>
      <c r="D154" s="20" t="s">
        <v>3979</v>
      </c>
      <c r="E154" s="20" t="s">
        <v>451</v>
      </c>
      <c r="F154" s="20" t="s">
        <v>3931</v>
      </c>
      <c r="G154" s="101" t="e">
        <f>VLOOKUP(F154,'01. TH'!$B:$E,3,0)</f>
        <v>#N/A</v>
      </c>
      <c r="H154" s="19" t="s">
        <v>15</v>
      </c>
      <c r="I154" s="19" t="s">
        <v>3980</v>
      </c>
      <c r="J154" s="20"/>
      <c r="K154" s="19" t="s">
        <v>1839</v>
      </c>
      <c r="L154" s="20" t="s">
        <v>3981</v>
      </c>
      <c r="M154" s="612"/>
      <c r="N154" s="20" t="s">
        <v>3611</v>
      </c>
      <c r="O154" s="22"/>
      <c r="P154" s="20" t="s">
        <v>3613</v>
      </c>
      <c r="Q154" s="19"/>
      <c r="R154" s="22"/>
      <c r="S154" s="22"/>
      <c r="T154" s="47"/>
      <c r="U154" s="20"/>
      <c r="V154" s="20"/>
    </row>
    <row r="155" customHeight="1" spans="1:22">
      <c r="A155" s="19">
        <f t="shared" si="2"/>
        <v>31</v>
      </c>
      <c r="B155" s="20" t="s">
        <v>3982</v>
      </c>
      <c r="C155" s="22"/>
      <c r="D155" s="20" t="s">
        <v>3983</v>
      </c>
      <c r="E155" s="20" t="s">
        <v>451</v>
      </c>
      <c r="F155" s="20" t="s">
        <v>305</v>
      </c>
      <c r="G155" s="101" t="str">
        <f>VLOOKUP(F155,'01. TH'!$B:$E,3,0)</f>
        <v> 1590mm x 1300mm</v>
      </c>
      <c r="H155" s="19" t="s">
        <v>15</v>
      </c>
      <c r="I155" s="58">
        <v>45419</v>
      </c>
      <c r="J155" s="20"/>
      <c r="K155" s="19" t="s">
        <v>1839</v>
      </c>
      <c r="L155" s="20" t="s">
        <v>3984</v>
      </c>
      <c r="M155" s="22"/>
      <c r="N155" s="20" t="s">
        <v>3611</v>
      </c>
      <c r="O155" s="22" t="s">
        <v>3985</v>
      </c>
      <c r="P155" s="20" t="s">
        <v>3613</v>
      </c>
      <c r="Q155" s="19">
        <v>2024</v>
      </c>
      <c r="R155" s="22" t="s">
        <v>3986</v>
      </c>
      <c r="S155" s="22"/>
      <c r="T155" s="47"/>
      <c r="U155" s="20"/>
      <c r="V155" s="20"/>
    </row>
    <row r="156" customHeight="1" spans="1:22">
      <c r="A156" s="19">
        <f t="shared" si="2"/>
        <v>32</v>
      </c>
      <c r="B156" s="20" t="s">
        <v>3987</v>
      </c>
      <c r="C156" s="22"/>
      <c r="D156" s="20" t="s">
        <v>3988</v>
      </c>
      <c r="E156" s="20" t="s">
        <v>451</v>
      </c>
      <c r="F156" s="20" t="s">
        <v>305</v>
      </c>
      <c r="G156" s="101" t="str">
        <f>VLOOKUP(F156,'01. TH'!$B:$E,3,0)</f>
        <v> 1590mm x 1300mm</v>
      </c>
      <c r="H156" s="19" t="s">
        <v>15</v>
      </c>
      <c r="I156" s="19" t="s">
        <v>3989</v>
      </c>
      <c r="J156" s="20"/>
      <c r="K156" s="19" t="s">
        <v>1839</v>
      </c>
      <c r="L156" s="20" t="s">
        <v>3984</v>
      </c>
      <c r="M156" s="22"/>
      <c r="N156" s="20" t="s">
        <v>3611</v>
      </c>
      <c r="O156" s="22" t="s">
        <v>3990</v>
      </c>
      <c r="P156" s="20" t="s">
        <v>3613</v>
      </c>
      <c r="Q156" s="19">
        <v>2024</v>
      </c>
      <c r="R156" s="22" t="s">
        <v>3991</v>
      </c>
      <c r="S156" s="22"/>
      <c r="T156" s="47"/>
      <c r="U156" s="20"/>
      <c r="V156" s="20"/>
    </row>
    <row r="157" customHeight="1" spans="1:22">
      <c r="A157" s="19">
        <f t="shared" si="2"/>
        <v>33</v>
      </c>
      <c r="B157" s="20" t="s">
        <v>3992</v>
      </c>
      <c r="C157" s="22" t="s">
        <v>3993</v>
      </c>
      <c r="D157" s="20" t="s">
        <v>3994</v>
      </c>
      <c r="E157" s="20" t="s">
        <v>451</v>
      </c>
      <c r="F157" s="20" t="s">
        <v>335</v>
      </c>
      <c r="G157" s="101">
        <f>VLOOKUP(F157,'01. TH'!$B:$E,3,0)</f>
        <v>0</v>
      </c>
      <c r="H157" s="19" t="s">
        <v>15</v>
      </c>
      <c r="I157" s="19" t="s">
        <v>3995</v>
      </c>
      <c r="J157" s="20"/>
      <c r="K157" s="19" t="s">
        <v>1839</v>
      </c>
      <c r="L157" s="20" t="s">
        <v>3996</v>
      </c>
      <c r="M157" s="22"/>
      <c r="N157" s="20" t="s">
        <v>590</v>
      </c>
      <c r="O157" s="22" t="s">
        <v>3904</v>
      </c>
      <c r="P157" s="25" t="s">
        <v>590</v>
      </c>
      <c r="Q157" s="19"/>
      <c r="R157" s="22"/>
      <c r="S157" s="22"/>
      <c r="T157" s="47">
        <v>6</v>
      </c>
      <c r="U157" s="20" t="s">
        <v>3886</v>
      </c>
      <c r="V157" s="20"/>
    </row>
    <row r="158" customHeight="1" spans="1:22">
      <c r="A158" s="19">
        <f t="shared" si="2"/>
        <v>34</v>
      </c>
      <c r="B158" s="20" t="s">
        <v>3997</v>
      </c>
      <c r="C158" s="21"/>
      <c r="D158" s="22" t="s">
        <v>3998</v>
      </c>
      <c r="E158" s="20" t="s">
        <v>3593</v>
      </c>
      <c r="F158" s="20" t="s">
        <v>335</v>
      </c>
      <c r="G158" s="101">
        <f>VLOOKUP(F158,'01. TH'!$B:$E,3,0)</f>
        <v>0</v>
      </c>
      <c r="H158" s="19" t="s">
        <v>15</v>
      </c>
      <c r="I158" s="58">
        <v>45424</v>
      </c>
      <c r="J158" s="20"/>
      <c r="K158" s="19" t="s">
        <v>1839</v>
      </c>
      <c r="L158" s="20" t="s">
        <v>653</v>
      </c>
      <c r="M158" s="22"/>
      <c r="N158" s="20" t="s">
        <v>590</v>
      </c>
      <c r="O158" s="22" t="s">
        <v>3904</v>
      </c>
      <c r="P158" s="25" t="s">
        <v>590</v>
      </c>
      <c r="Q158" s="19"/>
      <c r="R158" s="22"/>
      <c r="S158" s="22"/>
      <c r="T158" s="47">
        <v>6</v>
      </c>
      <c r="U158" s="20" t="s">
        <v>3886</v>
      </c>
      <c r="V158" s="20"/>
    </row>
    <row r="159" customHeight="1" spans="1:22">
      <c r="A159" s="19">
        <f t="shared" si="2"/>
        <v>35</v>
      </c>
      <c r="B159" s="20" t="s">
        <v>3999</v>
      </c>
      <c r="C159" s="22" t="s">
        <v>4000</v>
      </c>
      <c r="D159" s="20" t="s">
        <v>4001</v>
      </c>
      <c r="E159" s="20" t="s">
        <v>451</v>
      </c>
      <c r="F159" s="20" t="s">
        <v>316</v>
      </c>
      <c r="G159" s="101" t="str">
        <f>VLOOKUP(F159,'01. TH'!$B:$E,3,0)</f>
        <v>2189x1335x1058</v>
      </c>
      <c r="H159" s="19" t="s">
        <v>15</v>
      </c>
      <c r="I159" s="19" t="s">
        <v>3995</v>
      </c>
      <c r="J159" s="20"/>
      <c r="K159" s="19" t="s">
        <v>1839</v>
      </c>
      <c r="L159" s="20" t="s">
        <v>3996</v>
      </c>
      <c r="M159" s="22"/>
      <c r="N159" s="20"/>
      <c r="O159" s="22" t="s">
        <v>4002</v>
      </c>
      <c r="P159" s="20" t="s">
        <v>290</v>
      </c>
      <c r="Q159" s="19"/>
      <c r="R159" s="22"/>
      <c r="S159" s="22"/>
      <c r="T159" s="47"/>
      <c r="U159" s="20"/>
      <c r="V159" s="20"/>
    </row>
    <row r="160" customHeight="1" spans="1:22">
      <c r="A160" s="19">
        <f t="shared" si="2"/>
        <v>36</v>
      </c>
      <c r="B160" s="20" t="s">
        <v>4003</v>
      </c>
      <c r="C160" s="22"/>
      <c r="D160" s="20" t="s">
        <v>4004</v>
      </c>
      <c r="E160" s="20" t="s">
        <v>451</v>
      </c>
      <c r="F160" s="20" t="s">
        <v>4005</v>
      </c>
      <c r="G160" s="101" t="e">
        <f>VLOOKUP(F160,'01. TH'!$B:$E,3,0)</f>
        <v>#N/A</v>
      </c>
      <c r="H160" s="19" t="s">
        <v>15</v>
      </c>
      <c r="I160" s="19" t="s">
        <v>4006</v>
      </c>
      <c r="J160" s="20"/>
      <c r="K160" s="19" t="s">
        <v>1839</v>
      </c>
      <c r="L160" s="20" t="s">
        <v>3925</v>
      </c>
      <c r="M160" s="22"/>
      <c r="N160" s="20" t="s">
        <v>3611</v>
      </c>
      <c r="O160" s="22" t="s">
        <v>4007</v>
      </c>
      <c r="P160" s="20" t="s">
        <v>3613</v>
      </c>
      <c r="Q160" s="19"/>
      <c r="R160" s="22"/>
      <c r="S160" s="22"/>
      <c r="T160" s="47">
        <v>14</v>
      </c>
      <c r="U160" s="20" t="s">
        <v>4008</v>
      </c>
      <c r="V160" s="20"/>
    </row>
    <row r="161" customHeight="1" spans="1:22">
      <c r="A161" s="19">
        <f t="shared" si="2"/>
        <v>37</v>
      </c>
      <c r="B161" s="20" t="s">
        <v>4009</v>
      </c>
      <c r="C161" s="22"/>
      <c r="D161" s="20" t="s">
        <v>4010</v>
      </c>
      <c r="E161" s="20" t="s">
        <v>451</v>
      </c>
      <c r="F161" s="20" t="s">
        <v>4005</v>
      </c>
      <c r="G161" s="101" t="e">
        <f>VLOOKUP(F161,'01. TH'!$B:$E,3,0)</f>
        <v>#N/A</v>
      </c>
      <c r="H161" s="19" t="s">
        <v>15</v>
      </c>
      <c r="I161" s="19" t="s">
        <v>4011</v>
      </c>
      <c r="J161" s="20"/>
      <c r="K161" s="19" t="s">
        <v>1839</v>
      </c>
      <c r="L161" s="20" t="s">
        <v>3925</v>
      </c>
      <c r="M161" s="22"/>
      <c r="N161" s="20" t="s">
        <v>3611</v>
      </c>
      <c r="O161" s="22" t="s">
        <v>4012</v>
      </c>
      <c r="P161" s="20" t="s">
        <v>3613</v>
      </c>
      <c r="Q161" s="19"/>
      <c r="R161" s="22" t="s">
        <v>4013</v>
      </c>
      <c r="S161" s="22"/>
      <c r="T161" s="47">
        <v>14</v>
      </c>
      <c r="U161" s="20" t="s">
        <v>4008</v>
      </c>
      <c r="V161" s="20"/>
    </row>
    <row r="162" customHeight="1" spans="1:22">
      <c r="A162" s="19">
        <f t="shared" si="2"/>
        <v>38</v>
      </c>
      <c r="B162" s="20" t="s">
        <v>4014</v>
      </c>
      <c r="C162" s="22"/>
      <c r="D162" s="20" t="s">
        <v>4015</v>
      </c>
      <c r="E162" s="20" t="s">
        <v>451</v>
      </c>
      <c r="F162" s="20" t="s">
        <v>4005</v>
      </c>
      <c r="G162" s="101" t="e">
        <f>VLOOKUP(F162,'01. TH'!$B:$E,3,0)</f>
        <v>#N/A</v>
      </c>
      <c r="H162" s="19" t="s">
        <v>15</v>
      </c>
      <c r="I162" s="19" t="s">
        <v>4016</v>
      </c>
      <c r="J162" s="20"/>
      <c r="K162" s="19" t="s">
        <v>1839</v>
      </c>
      <c r="L162" s="20" t="s">
        <v>3925</v>
      </c>
      <c r="M162" s="22"/>
      <c r="N162" s="20" t="s">
        <v>3611</v>
      </c>
      <c r="O162" s="22" t="s">
        <v>4017</v>
      </c>
      <c r="P162" s="20" t="s">
        <v>3613</v>
      </c>
      <c r="Q162" s="19"/>
      <c r="R162" s="22"/>
      <c r="S162" s="22"/>
      <c r="T162" s="47">
        <v>14</v>
      </c>
      <c r="U162" s="20" t="s">
        <v>4008</v>
      </c>
      <c r="V162" s="20"/>
    </row>
    <row r="163" customHeight="1" spans="1:22">
      <c r="A163" s="19">
        <f t="shared" si="2"/>
        <v>39</v>
      </c>
      <c r="B163" s="20" t="s">
        <v>4018</v>
      </c>
      <c r="C163" s="22"/>
      <c r="D163" s="20" t="s">
        <v>4019</v>
      </c>
      <c r="E163" s="20" t="s">
        <v>3593</v>
      </c>
      <c r="F163" s="20" t="s">
        <v>326</v>
      </c>
      <c r="G163" s="101" t="str">
        <f>VLOOKUP(F163,'01. TH'!$B:$E,3,0)</f>
        <v>960 x 2260 x 950</v>
      </c>
      <c r="H163" s="19" t="s">
        <v>15</v>
      </c>
      <c r="I163" s="58">
        <v>45811</v>
      </c>
      <c r="J163" s="20"/>
      <c r="K163" s="19" t="s">
        <v>1839</v>
      </c>
      <c r="L163" s="20" t="s">
        <v>653</v>
      </c>
      <c r="M163" s="22"/>
      <c r="N163" s="20" t="s">
        <v>759</v>
      </c>
      <c r="O163" s="22" t="s">
        <v>4020</v>
      </c>
      <c r="P163" s="20" t="s">
        <v>3144</v>
      </c>
      <c r="Q163" s="19"/>
      <c r="R163" s="22"/>
      <c r="S163" s="22"/>
      <c r="T163" s="47"/>
      <c r="U163" s="20"/>
      <c r="V163" s="20"/>
    </row>
    <row r="164" customHeight="1" spans="1:22">
      <c r="A164" s="19">
        <f t="shared" si="2"/>
        <v>40</v>
      </c>
      <c r="B164" s="20" t="s">
        <v>4021</v>
      </c>
      <c r="C164" s="22"/>
      <c r="D164" s="20" t="s">
        <v>4022</v>
      </c>
      <c r="E164" s="20" t="s">
        <v>3593</v>
      </c>
      <c r="F164" s="20" t="s">
        <v>326</v>
      </c>
      <c r="G164" s="101" t="str">
        <f>VLOOKUP(F164,'01. TH'!$B:$E,3,0)</f>
        <v>960 x 2260 x 950</v>
      </c>
      <c r="H164" s="19" t="s">
        <v>15</v>
      </c>
      <c r="I164" s="58">
        <v>45811</v>
      </c>
      <c r="J164" s="20"/>
      <c r="K164" s="19" t="s">
        <v>1839</v>
      </c>
      <c r="L164" s="20" t="s">
        <v>653</v>
      </c>
      <c r="M164" s="22"/>
      <c r="N164" s="20" t="s">
        <v>759</v>
      </c>
      <c r="O164" s="22" t="s">
        <v>4020</v>
      </c>
      <c r="P164" s="20" t="s">
        <v>3144</v>
      </c>
      <c r="Q164" s="19"/>
      <c r="R164" s="22"/>
      <c r="S164" s="22"/>
      <c r="T164" s="47"/>
      <c r="U164" s="20"/>
      <c r="V164" s="20"/>
    </row>
    <row r="165" customHeight="1" spans="1:22">
      <c r="A165" s="19">
        <f t="shared" si="2"/>
        <v>41</v>
      </c>
      <c r="B165" s="20" t="s">
        <v>4023</v>
      </c>
      <c r="C165" s="22"/>
      <c r="D165" s="20" t="s">
        <v>4024</v>
      </c>
      <c r="E165" s="20" t="s">
        <v>451</v>
      </c>
      <c r="F165" s="20" t="s">
        <v>332</v>
      </c>
      <c r="G165" s="101">
        <f>VLOOKUP(F165,'01. TH'!$B:$E,3,0)</f>
        <v>0</v>
      </c>
      <c r="H165" s="19" t="s">
        <v>15</v>
      </c>
      <c r="I165" s="19" t="s">
        <v>3683</v>
      </c>
      <c r="J165" s="20"/>
      <c r="K165" s="19" t="s">
        <v>1839</v>
      </c>
      <c r="L165" s="20" t="s">
        <v>3925</v>
      </c>
      <c r="M165" s="22"/>
      <c r="N165" s="20" t="s">
        <v>3611</v>
      </c>
      <c r="O165" s="22" t="s">
        <v>4025</v>
      </c>
      <c r="P165" s="20" t="s">
        <v>3144</v>
      </c>
      <c r="Q165" s="19">
        <v>2025</v>
      </c>
      <c r="R165" s="22"/>
      <c r="S165" s="22"/>
      <c r="T165" s="47">
        <v>6.5</v>
      </c>
      <c r="U165" s="20" t="s">
        <v>4026</v>
      </c>
      <c r="V165" s="20"/>
    </row>
    <row r="166" customHeight="1" spans="1:22">
      <c r="A166" s="19">
        <f t="shared" si="2"/>
        <v>42</v>
      </c>
      <c r="B166" s="20" t="s">
        <v>4027</v>
      </c>
      <c r="C166" s="22"/>
      <c r="D166" s="20" t="s">
        <v>4028</v>
      </c>
      <c r="E166" s="20" t="s">
        <v>451</v>
      </c>
      <c r="F166" s="20" t="s">
        <v>332</v>
      </c>
      <c r="G166" s="101">
        <f>VLOOKUP(F166,'01. TH'!$B:$E,3,0)</f>
        <v>0</v>
      </c>
      <c r="H166" s="19" t="s">
        <v>15</v>
      </c>
      <c r="I166" s="773">
        <v>46002</v>
      </c>
      <c r="J166" s="20"/>
      <c r="K166" s="19" t="s">
        <v>1839</v>
      </c>
      <c r="L166" s="20" t="s">
        <v>3925</v>
      </c>
      <c r="M166" s="22"/>
      <c r="N166" s="20" t="s">
        <v>3611</v>
      </c>
      <c r="O166" s="22" t="s">
        <v>4029</v>
      </c>
      <c r="P166" s="20" t="s">
        <v>3144</v>
      </c>
      <c r="Q166" s="19">
        <v>2025</v>
      </c>
      <c r="R166" s="22"/>
      <c r="S166" s="22"/>
      <c r="T166" s="47">
        <v>6.5</v>
      </c>
      <c r="U166" s="20" t="s">
        <v>4026</v>
      </c>
      <c r="V166" s="20"/>
    </row>
    <row r="167" customHeight="1" spans="1:22">
      <c r="A167" s="19">
        <f t="shared" si="2"/>
        <v>43</v>
      </c>
      <c r="B167" s="20" t="s">
        <v>4030</v>
      </c>
      <c r="C167" s="22"/>
      <c r="D167" s="20"/>
      <c r="E167" s="20" t="s">
        <v>451</v>
      </c>
      <c r="F167" s="20" t="s">
        <v>332</v>
      </c>
      <c r="G167" s="101"/>
      <c r="H167" s="19" t="s">
        <v>15</v>
      </c>
      <c r="I167" s="19" t="s">
        <v>4031</v>
      </c>
      <c r="J167" s="20"/>
      <c r="K167" s="19" t="s">
        <v>1839</v>
      </c>
      <c r="L167" s="20" t="s">
        <v>4032</v>
      </c>
      <c r="M167" s="22"/>
      <c r="N167" s="20" t="s">
        <v>3611</v>
      </c>
      <c r="O167" s="22"/>
      <c r="P167" s="20" t="s">
        <v>3144</v>
      </c>
      <c r="Q167" s="19">
        <v>2026</v>
      </c>
      <c r="R167" s="22"/>
      <c r="S167" s="22"/>
      <c r="T167" s="47">
        <v>6.5</v>
      </c>
      <c r="U167" s="20" t="s">
        <v>4026</v>
      </c>
      <c r="V167" s="20"/>
    </row>
    <row r="168" customHeight="1" spans="1:22">
      <c r="A168" s="19">
        <f t="shared" si="2"/>
        <v>44</v>
      </c>
      <c r="B168" s="20" t="s">
        <v>4033</v>
      </c>
      <c r="C168" s="22"/>
      <c r="D168" s="20"/>
      <c r="E168" s="20" t="s">
        <v>451</v>
      </c>
      <c r="F168" s="20" t="s">
        <v>332</v>
      </c>
      <c r="G168" s="101"/>
      <c r="H168" s="19" t="s">
        <v>15</v>
      </c>
      <c r="I168" s="19" t="s">
        <v>4031</v>
      </c>
      <c r="J168" s="20"/>
      <c r="K168" s="19" t="s">
        <v>1839</v>
      </c>
      <c r="L168" s="20" t="s">
        <v>4032</v>
      </c>
      <c r="M168" s="22"/>
      <c r="N168" s="20" t="s">
        <v>3611</v>
      </c>
      <c r="O168" s="22"/>
      <c r="P168" s="20" t="s">
        <v>3144</v>
      </c>
      <c r="Q168" s="19">
        <v>2026</v>
      </c>
      <c r="R168" s="22"/>
      <c r="S168" s="22"/>
      <c r="T168" s="47">
        <v>6.5</v>
      </c>
      <c r="U168" s="20" t="s">
        <v>4026</v>
      </c>
      <c r="V168" s="20"/>
    </row>
    <row r="169" customHeight="1" spans="1:22">
      <c r="A169" s="19">
        <f t="shared" si="2"/>
        <v>45</v>
      </c>
      <c r="B169" s="20" t="s">
        <v>4034</v>
      </c>
      <c r="C169" s="22"/>
      <c r="D169" s="20"/>
      <c r="E169" s="20" t="s">
        <v>451</v>
      </c>
      <c r="F169" s="20" t="s">
        <v>332</v>
      </c>
      <c r="G169" s="101"/>
      <c r="H169" s="19" t="s">
        <v>15</v>
      </c>
      <c r="I169" s="19" t="s">
        <v>4031</v>
      </c>
      <c r="J169" s="20"/>
      <c r="K169" s="19" t="s">
        <v>1839</v>
      </c>
      <c r="L169" s="20" t="s">
        <v>4032</v>
      </c>
      <c r="M169" s="22"/>
      <c r="N169" s="20" t="s">
        <v>3611</v>
      </c>
      <c r="O169" s="22"/>
      <c r="P169" s="20" t="s">
        <v>3144</v>
      </c>
      <c r="Q169" s="19">
        <v>2026</v>
      </c>
      <c r="R169" s="22"/>
      <c r="S169" s="22"/>
      <c r="T169" s="47">
        <v>6.5</v>
      </c>
      <c r="U169" s="20" t="s">
        <v>4026</v>
      </c>
      <c r="V169" s="20"/>
    </row>
    <row r="170" customHeight="1" spans="1:22">
      <c r="A170" s="19">
        <f t="shared" si="2"/>
        <v>46</v>
      </c>
      <c r="B170" s="20" t="s">
        <v>4035</v>
      </c>
      <c r="C170" s="22"/>
      <c r="D170" s="20"/>
      <c r="E170" s="20" t="s">
        <v>451</v>
      </c>
      <c r="F170" s="20" t="s">
        <v>332</v>
      </c>
      <c r="G170" s="101"/>
      <c r="H170" s="19" t="s">
        <v>15</v>
      </c>
      <c r="I170" s="19" t="s">
        <v>4031</v>
      </c>
      <c r="J170" s="20"/>
      <c r="K170" s="19" t="s">
        <v>1839</v>
      </c>
      <c r="L170" s="20" t="s">
        <v>4032</v>
      </c>
      <c r="M170" s="22"/>
      <c r="N170" s="20" t="s">
        <v>3611</v>
      </c>
      <c r="O170" s="22"/>
      <c r="P170" s="20" t="s">
        <v>3144</v>
      </c>
      <c r="Q170" s="19">
        <v>2026</v>
      </c>
      <c r="R170" s="22"/>
      <c r="S170" s="22"/>
      <c r="T170" s="47">
        <v>6.5</v>
      </c>
      <c r="U170" s="20" t="s">
        <v>4026</v>
      </c>
      <c r="V170" s="20"/>
    </row>
    <row r="171" customHeight="1" spans="1:22">
      <c r="A171" s="19">
        <f t="shared" si="2"/>
        <v>47</v>
      </c>
      <c r="B171" s="20" t="s">
        <v>4036</v>
      </c>
      <c r="C171" s="22"/>
      <c r="D171" s="20" t="s">
        <v>4037</v>
      </c>
      <c r="E171" s="20" t="s">
        <v>451</v>
      </c>
      <c r="F171" s="20" t="s">
        <v>4038</v>
      </c>
      <c r="G171" s="101" t="e">
        <f>VLOOKUP(F171,'01. TH'!$B:$E,3,0)</f>
        <v>#N/A</v>
      </c>
      <c r="H171" s="19" t="s">
        <v>15</v>
      </c>
      <c r="I171" s="19" t="s">
        <v>4039</v>
      </c>
      <c r="J171" s="20"/>
      <c r="K171" s="19" t="s">
        <v>1839</v>
      </c>
      <c r="L171" s="20" t="s">
        <v>3925</v>
      </c>
      <c r="M171" s="22"/>
      <c r="N171" s="20" t="s">
        <v>3611</v>
      </c>
      <c r="O171" s="22" t="s">
        <v>4040</v>
      </c>
      <c r="P171" s="20" t="s">
        <v>3144</v>
      </c>
      <c r="Q171" s="19">
        <v>2025</v>
      </c>
      <c r="R171" s="22" t="s">
        <v>4041</v>
      </c>
      <c r="S171" s="22"/>
      <c r="T171" s="47"/>
      <c r="U171" s="20"/>
      <c r="V171" s="20"/>
    </row>
    <row r="172" customHeight="1" spans="1:22">
      <c r="A172" s="19">
        <f t="shared" si="2"/>
        <v>48</v>
      </c>
      <c r="B172" s="20" t="s">
        <v>4042</v>
      </c>
      <c r="C172" s="22"/>
      <c r="D172" s="20" t="s">
        <v>4043</v>
      </c>
      <c r="E172" s="20" t="s">
        <v>3593</v>
      </c>
      <c r="F172" s="24" t="s">
        <v>318</v>
      </c>
      <c r="G172" s="101" t="str">
        <f>VLOOKUP(F172,'01. TH'!$B:$E,3,0)</f>
        <v>6525x2385x2775</v>
      </c>
      <c r="H172" s="19" t="s">
        <v>15</v>
      </c>
      <c r="I172" s="58">
        <v>45964</v>
      </c>
      <c r="J172" s="20"/>
      <c r="K172" s="19" t="s">
        <v>1839</v>
      </c>
      <c r="L172" s="20" t="s">
        <v>653</v>
      </c>
      <c r="M172" s="22"/>
      <c r="N172" s="20" t="s">
        <v>4044</v>
      </c>
      <c r="O172" s="22" t="s">
        <v>4045</v>
      </c>
      <c r="P172" s="20" t="s">
        <v>4046</v>
      </c>
      <c r="Q172" s="19">
        <v>2025</v>
      </c>
      <c r="R172" s="22">
        <v>7</v>
      </c>
      <c r="S172" s="22"/>
      <c r="T172" s="47">
        <v>3.5</v>
      </c>
      <c r="U172" s="20" t="s">
        <v>4047</v>
      </c>
      <c r="V172" s="20"/>
    </row>
    <row r="173" customHeight="1" spans="1:22">
      <c r="A173" s="19">
        <f t="shared" si="2"/>
        <v>49</v>
      </c>
      <c r="B173" s="20" t="s">
        <v>4048</v>
      </c>
      <c r="C173" s="22"/>
      <c r="D173" s="20" t="s">
        <v>4049</v>
      </c>
      <c r="E173" s="20" t="s">
        <v>3593</v>
      </c>
      <c r="F173" s="24" t="s">
        <v>318</v>
      </c>
      <c r="G173" s="101" t="str">
        <f>VLOOKUP(F173,'01. TH'!$B:$E,3,0)</f>
        <v>6525x2385x2775</v>
      </c>
      <c r="H173" s="19" t="s">
        <v>15</v>
      </c>
      <c r="I173" s="19" t="s">
        <v>4050</v>
      </c>
      <c r="J173" s="20"/>
      <c r="K173" s="19" t="s">
        <v>1839</v>
      </c>
      <c r="L173" s="20" t="s">
        <v>653</v>
      </c>
      <c r="M173" s="22"/>
      <c r="N173" s="20" t="s">
        <v>4044</v>
      </c>
      <c r="O173" s="22" t="s">
        <v>4045</v>
      </c>
      <c r="P173" s="20" t="s">
        <v>4046</v>
      </c>
      <c r="Q173" s="19">
        <v>2025</v>
      </c>
      <c r="R173" s="22" t="s">
        <v>4051</v>
      </c>
      <c r="S173" s="22">
        <v>16</v>
      </c>
      <c r="T173" s="47">
        <v>3.5</v>
      </c>
      <c r="U173" s="20" t="s">
        <v>4047</v>
      </c>
      <c r="V173" s="20"/>
    </row>
    <row r="174" customHeight="1" spans="1:22">
      <c r="A174" s="19">
        <f t="shared" si="2"/>
        <v>50</v>
      </c>
      <c r="B174" s="20" t="s">
        <v>4052</v>
      </c>
      <c r="C174" s="22"/>
      <c r="D174" s="20" t="s">
        <v>4053</v>
      </c>
      <c r="E174" s="20" t="s">
        <v>3593</v>
      </c>
      <c r="F174" s="24" t="s">
        <v>318</v>
      </c>
      <c r="G174" s="101" t="str">
        <f>VLOOKUP(F174,'01. TH'!$B:$E,3,0)</f>
        <v>6525x2385x2775</v>
      </c>
      <c r="H174" s="19" t="s">
        <v>15</v>
      </c>
      <c r="I174" s="58">
        <v>45789</v>
      </c>
      <c r="J174" s="20"/>
      <c r="K174" s="19" t="s">
        <v>1839</v>
      </c>
      <c r="L174" s="20" t="s">
        <v>653</v>
      </c>
      <c r="M174" s="22"/>
      <c r="N174" s="20" t="s">
        <v>4044</v>
      </c>
      <c r="O174" s="22" t="s">
        <v>4045</v>
      </c>
      <c r="P174" s="20" t="s">
        <v>4046</v>
      </c>
      <c r="Q174" s="19">
        <v>2025</v>
      </c>
      <c r="R174" s="22" t="s">
        <v>4054</v>
      </c>
      <c r="S174" s="22">
        <v>18</v>
      </c>
      <c r="T174" s="47">
        <v>3.5</v>
      </c>
      <c r="U174" s="20" t="s">
        <v>4047</v>
      </c>
      <c r="V174" s="20"/>
    </row>
    <row r="175" customHeight="1" spans="1:22">
      <c r="A175" s="19">
        <f t="shared" si="2"/>
        <v>51</v>
      </c>
      <c r="B175" s="20" t="s">
        <v>4055</v>
      </c>
      <c r="C175" s="22"/>
      <c r="D175" s="20" t="s">
        <v>4056</v>
      </c>
      <c r="E175" s="20" t="s">
        <v>3593</v>
      </c>
      <c r="F175" s="24" t="s">
        <v>318</v>
      </c>
      <c r="G175" s="101"/>
      <c r="H175" s="19" t="s">
        <v>15</v>
      </c>
      <c r="I175" s="19" t="s">
        <v>4057</v>
      </c>
      <c r="J175" s="20"/>
      <c r="K175" s="19" t="s">
        <v>1839</v>
      </c>
      <c r="L175" s="20" t="s">
        <v>653</v>
      </c>
      <c r="M175" s="22"/>
      <c r="N175" s="20" t="s">
        <v>4044</v>
      </c>
      <c r="O175" s="22" t="s">
        <v>4045</v>
      </c>
      <c r="P175" s="20" t="s">
        <v>4046</v>
      </c>
      <c r="Q175" s="19">
        <v>2025</v>
      </c>
      <c r="R175" s="22" t="s">
        <v>4058</v>
      </c>
      <c r="S175" s="22">
        <v>19</v>
      </c>
      <c r="T175" s="47">
        <v>3.5</v>
      </c>
      <c r="U175" s="20" t="s">
        <v>4047</v>
      </c>
      <c r="V175" s="20"/>
    </row>
    <row r="176" customHeight="1" spans="1:22">
      <c r="A176" s="19">
        <f t="shared" si="2"/>
        <v>52</v>
      </c>
      <c r="B176" s="20" t="s">
        <v>4059</v>
      </c>
      <c r="C176" s="22"/>
      <c r="D176" s="20" t="s">
        <v>4060</v>
      </c>
      <c r="E176" s="20" t="s">
        <v>3593</v>
      </c>
      <c r="F176" s="20" t="s">
        <v>320</v>
      </c>
      <c r="G176" s="101" t="str">
        <f>VLOOKUP(F176,'01. TH'!$B:$E,3,0)</f>
        <v>1900x1900x1800</v>
      </c>
      <c r="H176" s="19" t="s">
        <v>15</v>
      </c>
      <c r="I176" s="19" t="s">
        <v>4061</v>
      </c>
      <c r="J176" s="20"/>
      <c r="K176" s="19" t="s">
        <v>1839</v>
      </c>
      <c r="L176" s="20" t="s">
        <v>653</v>
      </c>
      <c r="M176" s="22"/>
      <c r="N176" s="20" t="s">
        <v>4044</v>
      </c>
      <c r="O176" s="22" t="s">
        <v>4062</v>
      </c>
      <c r="P176" s="25" t="s">
        <v>590</v>
      </c>
      <c r="Q176" s="19">
        <v>2025</v>
      </c>
      <c r="R176" s="22"/>
      <c r="S176" s="22" t="s">
        <v>4063</v>
      </c>
      <c r="T176" s="47"/>
      <c r="U176" s="20"/>
      <c r="V176" s="20"/>
    </row>
    <row r="177" customHeight="1" spans="1:22">
      <c r="A177" s="19">
        <f t="shared" si="2"/>
        <v>53</v>
      </c>
      <c r="B177" s="20" t="s">
        <v>4064</v>
      </c>
      <c r="C177" s="22"/>
      <c r="D177" s="20" t="s">
        <v>4065</v>
      </c>
      <c r="E177" s="20" t="s">
        <v>3593</v>
      </c>
      <c r="F177" s="20" t="s">
        <v>320</v>
      </c>
      <c r="G177" s="101" t="str">
        <f>VLOOKUP(F177,'01. TH'!$B:$E,3,0)</f>
        <v>1900x1900x1800</v>
      </c>
      <c r="H177" s="19" t="s">
        <v>15</v>
      </c>
      <c r="I177" s="19" t="s">
        <v>4061</v>
      </c>
      <c r="J177" s="20"/>
      <c r="K177" s="19" t="s">
        <v>1839</v>
      </c>
      <c r="L177" s="20" t="s">
        <v>653</v>
      </c>
      <c r="M177" s="22"/>
      <c r="N177" s="20" t="s">
        <v>4044</v>
      </c>
      <c r="O177" s="22" t="s">
        <v>4062</v>
      </c>
      <c r="P177" s="25" t="s">
        <v>590</v>
      </c>
      <c r="Q177" s="19">
        <v>2025</v>
      </c>
      <c r="R177" s="22"/>
      <c r="S177" s="22" t="s">
        <v>4066</v>
      </c>
      <c r="T177" s="47"/>
      <c r="U177" s="20"/>
      <c r="V177" s="20"/>
    </row>
    <row r="178" customHeight="1" spans="1:22">
      <c r="A178" s="19">
        <f t="shared" si="2"/>
        <v>54</v>
      </c>
      <c r="B178" s="20" t="s">
        <v>4067</v>
      </c>
      <c r="C178" s="22"/>
      <c r="D178" s="20" t="s">
        <v>4068</v>
      </c>
      <c r="E178" s="20" t="s">
        <v>3593</v>
      </c>
      <c r="F178" s="20" t="s">
        <v>320</v>
      </c>
      <c r="G178" s="101" t="str">
        <f>VLOOKUP(F178,'01. TH'!$B:$E,3,0)</f>
        <v>1900x1900x1800</v>
      </c>
      <c r="H178" s="19" t="s">
        <v>15</v>
      </c>
      <c r="I178" s="19" t="s">
        <v>4061</v>
      </c>
      <c r="J178" s="20"/>
      <c r="K178" s="19" t="s">
        <v>1839</v>
      </c>
      <c r="L178" s="20" t="s">
        <v>653</v>
      </c>
      <c r="M178" s="22"/>
      <c r="N178" s="20" t="s">
        <v>4044</v>
      </c>
      <c r="O178" s="22" t="s">
        <v>4062</v>
      </c>
      <c r="P178" s="25" t="s">
        <v>590</v>
      </c>
      <c r="Q178" s="19">
        <v>2025</v>
      </c>
      <c r="R178" s="22"/>
      <c r="S178" s="22" t="s">
        <v>4069</v>
      </c>
      <c r="T178" s="47"/>
      <c r="U178" s="20"/>
      <c r="V178" s="20"/>
    </row>
    <row r="179" customHeight="1" spans="1:22">
      <c r="A179" s="19"/>
      <c r="B179" s="20"/>
      <c r="C179" s="22"/>
      <c r="D179" s="20"/>
      <c r="E179" s="20"/>
      <c r="F179" s="20"/>
      <c r="G179" s="101" t="e">
        <f>VLOOKUP(F179,'01. TH'!$B:$E,3,0)</f>
        <v>#N/A</v>
      </c>
      <c r="H179" s="19"/>
      <c r="I179" s="19"/>
      <c r="J179" s="20"/>
      <c r="K179" s="19"/>
      <c r="L179" s="20"/>
      <c r="M179" s="22"/>
      <c r="N179" s="20"/>
      <c r="O179" s="22"/>
      <c r="P179" s="20"/>
      <c r="Q179" s="19"/>
      <c r="R179" s="22"/>
      <c r="S179" s="22"/>
      <c r="T179" s="47"/>
      <c r="U179" s="20"/>
      <c r="V179" s="20"/>
    </row>
    <row r="180" hidden="1" customHeight="1" spans="1:22">
      <c r="A180" s="19"/>
      <c r="B180" s="20"/>
      <c r="C180" s="22"/>
      <c r="D180" s="20"/>
      <c r="E180" s="20"/>
      <c r="F180" s="20"/>
      <c r="G180" s="101" t="e">
        <f>VLOOKUP(F180,'01. TH'!$B:$E,3,0)</f>
        <v>#N/A</v>
      </c>
      <c r="H180" s="19"/>
      <c r="I180" s="19"/>
      <c r="J180" s="20"/>
      <c r="K180" s="19"/>
      <c r="L180" s="20"/>
      <c r="M180" s="22"/>
      <c r="N180" s="20"/>
      <c r="O180" s="22"/>
      <c r="P180" s="20"/>
      <c r="Q180" s="19"/>
      <c r="R180" s="22"/>
      <c r="S180" s="22"/>
      <c r="T180" s="47"/>
      <c r="U180" s="20"/>
      <c r="V180" s="20"/>
    </row>
    <row r="181" hidden="1" customHeight="1" spans="1:22">
      <c r="A181" s="19"/>
      <c r="B181" s="20"/>
      <c r="C181" s="22"/>
      <c r="D181" s="20"/>
      <c r="E181" s="20"/>
      <c r="F181" s="20"/>
      <c r="G181" s="101" t="e">
        <f>VLOOKUP(F181,'01. TH'!$B:$E,3,0)</f>
        <v>#N/A</v>
      </c>
      <c r="H181" s="19"/>
      <c r="I181" s="19"/>
      <c r="J181" s="20"/>
      <c r="K181" s="19"/>
      <c r="L181" s="20"/>
      <c r="M181" s="22"/>
      <c r="N181" s="20"/>
      <c r="O181" s="22"/>
      <c r="P181" s="20"/>
      <c r="Q181" s="19"/>
      <c r="R181" s="22"/>
      <c r="S181" s="22"/>
      <c r="T181" s="47"/>
      <c r="U181" s="20"/>
      <c r="V181" s="20"/>
    </row>
    <row r="182" hidden="1" customHeight="1" spans="1:22">
      <c r="A182" s="19"/>
      <c r="B182" s="20"/>
      <c r="C182" s="22"/>
      <c r="D182" s="20"/>
      <c r="E182" s="20"/>
      <c r="F182" s="20"/>
      <c r="G182" s="101" t="e">
        <f>VLOOKUP(F182,'01. TH'!$B:$E,3,0)</f>
        <v>#N/A</v>
      </c>
      <c r="H182" s="19"/>
      <c r="I182" s="19"/>
      <c r="J182" s="20"/>
      <c r="K182" s="19"/>
      <c r="L182" s="20"/>
      <c r="M182" s="22"/>
      <c r="N182" s="20"/>
      <c r="O182" s="22"/>
      <c r="P182" s="20"/>
      <c r="Q182" s="19"/>
      <c r="R182" s="22"/>
      <c r="S182" s="22"/>
      <c r="T182" s="47"/>
      <c r="U182" s="20"/>
      <c r="V182" s="20"/>
    </row>
    <row r="183" hidden="1" customHeight="1" spans="1:22">
      <c r="A183" s="19"/>
      <c r="B183" s="20"/>
      <c r="C183" s="22"/>
      <c r="D183" s="20"/>
      <c r="E183" s="20"/>
      <c r="F183" s="20"/>
      <c r="G183" s="101" t="e">
        <f>VLOOKUP(F183,'01. TH'!$B:$E,3,0)</f>
        <v>#N/A</v>
      </c>
      <c r="H183" s="19"/>
      <c r="I183" s="19"/>
      <c r="J183" s="20"/>
      <c r="K183" s="19"/>
      <c r="L183" s="20"/>
      <c r="M183" s="22"/>
      <c r="N183" s="20"/>
      <c r="O183" s="22"/>
      <c r="P183" s="20"/>
      <c r="Q183" s="19"/>
      <c r="R183" s="22"/>
      <c r="S183" s="22"/>
      <c r="T183" s="47"/>
      <c r="U183" s="20"/>
      <c r="V183" s="20"/>
    </row>
    <row r="184" hidden="1" customHeight="1" spans="1:22">
      <c r="A184" s="19"/>
      <c r="B184" s="20"/>
      <c r="C184" s="22" t="s">
        <v>946</v>
      </c>
      <c r="D184" s="20"/>
      <c r="E184" s="20"/>
      <c r="F184" s="20"/>
      <c r="G184" s="101" t="e">
        <f>VLOOKUP(F184,'01. TH'!$B:$E,3,0)</f>
        <v>#N/A</v>
      </c>
      <c r="H184" s="19"/>
      <c r="I184" s="19"/>
      <c r="J184" s="20"/>
      <c r="K184" s="19"/>
      <c r="L184" s="20"/>
      <c r="M184" s="22"/>
      <c r="N184" s="20"/>
      <c r="O184" s="22"/>
      <c r="P184" s="20"/>
      <c r="Q184" s="19"/>
      <c r="R184" s="22"/>
      <c r="S184" s="22"/>
      <c r="T184" s="47"/>
      <c r="U184" s="20"/>
      <c r="V184" s="20"/>
    </row>
    <row r="185" customHeight="1" spans="1:22">
      <c r="A185" s="14" t="s">
        <v>1035</v>
      </c>
      <c r="B185" s="15" t="s">
        <v>1036</v>
      </c>
      <c r="C185" s="14">
        <f>COUNTA($B$186:$B$216)</f>
        <v>30</v>
      </c>
      <c r="D185" s="17"/>
      <c r="E185" s="17"/>
      <c r="F185" s="17"/>
      <c r="G185" s="18"/>
      <c r="H185" s="18"/>
      <c r="I185" s="14"/>
      <c r="J185" s="15"/>
      <c r="K185" s="14"/>
      <c r="L185" s="17"/>
      <c r="M185" s="16"/>
      <c r="N185" s="17"/>
      <c r="O185" s="16"/>
      <c r="P185" s="17"/>
      <c r="Q185" s="18"/>
      <c r="R185" s="16"/>
      <c r="S185" s="16"/>
      <c r="T185" s="786"/>
      <c r="U185" s="17"/>
      <c r="V185" s="17"/>
    </row>
    <row r="186" customHeight="1" spans="1:22">
      <c r="A186" s="19">
        <v>1</v>
      </c>
      <c r="B186" s="20" t="s">
        <v>4070</v>
      </c>
      <c r="C186" s="22" t="s">
        <v>4071</v>
      </c>
      <c r="D186" s="20" t="s">
        <v>4072</v>
      </c>
      <c r="E186" s="20" t="s">
        <v>451</v>
      </c>
      <c r="F186" s="20" t="s">
        <v>4073</v>
      </c>
      <c r="G186" s="101" t="str">
        <f>VLOOKUP(F186,'01. TH'!$B:$E,3,0)</f>
        <v>1070 x 2310 x 1300</v>
      </c>
      <c r="H186" s="19" t="s">
        <v>24</v>
      </c>
      <c r="I186" s="19"/>
      <c r="J186" s="20"/>
      <c r="K186" s="19" t="s">
        <v>1839</v>
      </c>
      <c r="L186" s="20"/>
      <c r="M186" s="22"/>
      <c r="N186" s="20" t="s">
        <v>3144</v>
      </c>
      <c r="O186" s="22" t="s">
        <v>3875</v>
      </c>
      <c r="P186" s="20" t="s">
        <v>3144</v>
      </c>
      <c r="Q186" s="19"/>
      <c r="R186" s="22"/>
      <c r="S186" s="22"/>
      <c r="T186" s="47"/>
      <c r="U186" s="20"/>
      <c r="V186" s="20"/>
    </row>
    <row r="187" customHeight="1" spans="1:22">
      <c r="A187" s="19">
        <f t="shared" ref="A187:A215" si="3">A186+1</f>
        <v>2</v>
      </c>
      <c r="B187" s="20" t="s">
        <v>4074</v>
      </c>
      <c r="C187" s="22" t="s">
        <v>4075</v>
      </c>
      <c r="D187" s="20" t="s">
        <v>4076</v>
      </c>
      <c r="E187" s="20" t="s">
        <v>451</v>
      </c>
      <c r="F187" s="20" t="s">
        <v>4073</v>
      </c>
      <c r="G187" s="101" t="str">
        <f>VLOOKUP(F187,'01. TH'!$B:$E,3,0)</f>
        <v>1070 x 2310 x 1300</v>
      </c>
      <c r="H187" s="19" t="s">
        <v>24</v>
      </c>
      <c r="I187" s="19"/>
      <c r="J187" s="20"/>
      <c r="K187" s="19" t="s">
        <v>1839</v>
      </c>
      <c r="L187" s="20"/>
      <c r="M187" s="22"/>
      <c r="N187" s="20" t="s">
        <v>3144</v>
      </c>
      <c r="O187" s="22" t="s">
        <v>3875</v>
      </c>
      <c r="P187" s="20" t="s">
        <v>3144</v>
      </c>
      <c r="Q187" s="19"/>
      <c r="R187" s="22"/>
      <c r="S187" s="22"/>
      <c r="T187" s="47"/>
      <c r="U187" s="20"/>
      <c r="V187" s="20"/>
    </row>
    <row r="188" customHeight="1" spans="1:22">
      <c r="A188" s="19">
        <f t="shared" si="3"/>
        <v>3</v>
      </c>
      <c r="B188" s="20" t="s">
        <v>4077</v>
      </c>
      <c r="C188" s="22" t="s">
        <v>4078</v>
      </c>
      <c r="D188" s="20" t="s">
        <v>4079</v>
      </c>
      <c r="E188" s="20" t="s">
        <v>451</v>
      </c>
      <c r="F188" s="20" t="s">
        <v>4073</v>
      </c>
      <c r="G188" s="101" t="str">
        <f>VLOOKUP(F188,'01. TH'!$B:$E,3,0)</f>
        <v>1070 x 2310 x 1300</v>
      </c>
      <c r="H188" s="19" t="s">
        <v>24</v>
      </c>
      <c r="I188" s="19"/>
      <c r="J188" s="20"/>
      <c r="K188" s="19" t="s">
        <v>1839</v>
      </c>
      <c r="L188" s="20"/>
      <c r="M188" s="22"/>
      <c r="N188" s="20" t="s">
        <v>3144</v>
      </c>
      <c r="O188" s="22" t="s">
        <v>3875</v>
      </c>
      <c r="P188" s="20" t="s">
        <v>3144</v>
      </c>
      <c r="Q188" s="19"/>
      <c r="R188" s="22"/>
      <c r="S188" s="22"/>
      <c r="T188" s="47"/>
      <c r="U188" s="20"/>
      <c r="V188" s="20"/>
    </row>
    <row r="189" customHeight="1" spans="1:22">
      <c r="A189" s="19">
        <f t="shared" si="3"/>
        <v>4</v>
      </c>
      <c r="B189" s="20" t="s">
        <v>4080</v>
      </c>
      <c r="C189" s="22" t="s">
        <v>4081</v>
      </c>
      <c r="D189" s="20" t="s">
        <v>4082</v>
      </c>
      <c r="E189" s="20" t="s">
        <v>451</v>
      </c>
      <c r="F189" s="20" t="s">
        <v>4083</v>
      </c>
      <c r="G189" s="101" t="str">
        <f>VLOOKUP(F189,'01. TH'!$B:$E,3,0)</f>
        <v>1970x1460x978</v>
      </c>
      <c r="H189" s="19" t="s">
        <v>24</v>
      </c>
      <c r="I189" s="19"/>
      <c r="J189" s="20"/>
      <c r="K189" s="19" t="s">
        <v>1839</v>
      </c>
      <c r="L189" s="20"/>
      <c r="M189" s="22"/>
      <c r="N189" s="20" t="s">
        <v>3144</v>
      </c>
      <c r="O189" s="22" t="s">
        <v>3900</v>
      </c>
      <c r="P189" s="20" t="s">
        <v>3144</v>
      </c>
      <c r="Q189" s="19"/>
      <c r="R189" s="22"/>
      <c r="S189" s="22"/>
      <c r="T189" s="47"/>
      <c r="U189" s="20"/>
      <c r="V189" s="20"/>
    </row>
    <row r="190" customHeight="1" spans="1:22">
      <c r="A190" s="19">
        <f t="shared" si="3"/>
        <v>5</v>
      </c>
      <c r="B190" s="20" t="s">
        <v>4084</v>
      </c>
      <c r="C190" s="22" t="s">
        <v>4085</v>
      </c>
      <c r="D190" s="20" t="s">
        <v>4086</v>
      </c>
      <c r="E190" s="20" t="s">
        <v>3593</v>
      </c>
      <c r="F190" s="20" t="s">
        <v>310</v>
      </c>
      <c r="G190" s="101" t="str">
        <f>VLOOKUP(F190,'01. TH'!$B:$E,3,0)</f>
        <v>150x150x200</v>
      </c>
      <c r="H190" s="19" t="s">
        <v>24</v>
      </c>
      <c r="I190" s="19"/>
      <c r="J190" s="20"/>
      <c r="K190" s="19" t="s">
        <v>1839</v>
      </c>
      <c r="L190" s="20"/>
      <c r="M190" s="22"/>
      <c r="N190" s="20" t="s">
        <v>3144</v>
      </c>
      <c r="O190" s="22" t="s">
        <v>4087</v>
      </c>
      <c r="P190" s="20" t="s">
        <v>3144</v>
      </c>
      <c r="Q190" s="19"/>
      <c r="R190" s="22"/>
      <c r="S190" s="22"/>
      <c r="T190" s="47"/>
      <c r="U190" s="20"/>
      <c r="V190" s="20"/>
    </row>
    <row r="191" customHeight="1" spans="1:22">
      <c r="A191" s="19">
        <f t="shared" si="3"/>
        <v>6</v>
      </c>
      <c r="B191" s="20" t="s">
        <v>4088</v>
      </c>
      <c r="C191" s="20" t="s">
        <v>4088</v>
      </c>
      <c r="D191" s="20" t="s">
        <v>4089</v>
      </c>
      <c r="E191" s="20" t="s">
        <v>3593</v>
      </c>
      <c r="F191" s="20" t="s">
        <v>307</v>
      </c>
      <c r="G191" s="101" t="str">
        <f>VLOOKUP(F191,'01. TH'!$B:$E,3,0)</f>
        <v>150x150x200</v>
      </c>
      <c r="H191" s="19" t="s">
        <v>24</v>
      </c>
      <c r="I191" s="19" t="s">
        <v>3964</v>
      </c>
      <c r="J191" s="20"/>
      <c r="K191" s="19" t="s">
        <v>1839</v>
      </c>
      <c r="L191" s="20" t="s">
        <v>1048</v>
      </c>
      <c r="M191" s="22"/>
      <c r="N191" s="20" t="s">
        <v>3144</v>
      </c>
      <c r="O191" s="22" t="s">
        <v>4090</v>
      </c>
      <c r="P191" s="20" t="s">
        <v>3144</v>
      </c>
      <c r="Q191" s="19"/>
      <c r="R191" s="22"/>
      <c r="S191" s="22"/>
      <c r="T191" s="47"/>
      <c r="U191" s="20"/>
      <c r="V191" s="20"/>
    </row>
    <row r="192" customHeight="1" spans="1:22">
      <c r="A192" s="19">
        <f t="shared" si="3"/>
        <v>7</v>
      </c>
      <c r="B192" s="20" t="s">
        <v>4091</v>
      </c>
      <c r="C192" s="22" t="s">
        <v>4092</v>
      </c>
      <c r="D192" s="20" t="s">
        <v>4093</v>
      </c>
      <c r="E192" s="20" t="s">
        <v>451</v>
      </c>
      <c r="F192" s="20" t="s">
        <v>335</v>
      </c>
      <c r="G192" s="101">
        <f>VLOOKUP(F192,'01. TH'!$B:$E,3,0)</f>
        <v>0</v>
      </c>
      <c r="H192" s="19" t="s">
        <v>24</v>
      </c>
      <c r="I192" s="19"/>
      <c r="J192" s="20"/>
      <c r="K192" s="19" t="s">
        <v>1839</v>
      </c>
      <c r="L192" s="20"/>
      <c r="M192" s="22"/>
      <c r="N192" s="20" t="s">
        <v>3144</v>
      </c>
      <c r="O192" s="22" t="s">
        <v>3904</v>
      </c>
      <c r="P192" s="20" t="s">
        <v>3144</v>
      </c>
      <c r="Q192" s="19"/>
      <c r="R192" s="22"/>
      <c r="S192" s="22"/>
      <c r="T192" s="47">
        <v>6</v>
      </c>
      <c r="U192" s="20" t="s">
        <v>3886</v>
      </c>
      <c r="V192" s="20"/>
    </row>
    <row r="193" customHeight="1" spans="1:22">
      <c r="A193" s="19">
        <f t="shared" si="3"/>
        <v>8</v>
      </c>
      <c r="B193" s="20" t="s">
        <v>4094</v>
      </c>
      <c r="C193" s="22" t="s">
        <v>4095</v>
      </c>
      <c r="D193" s="20" t="s">
        <v>4096</v>
      </c>
      <c r="E193" s="20" t="s">
        <v>451</v>
      </c>
      <c r="F193" s="20" t="s">
        <v>3918</v>
      </c>
      <c r="G193" s="101" t="e">
        <f>VLOOKUP(F193,'01. TH'!$B:$E,3,0)</f>
        <v>#N/A</v>
      </c>
      <c r="H193" s="19" t="s">
        <v>24</v>
      </c>
      <c r="I193" s="19"/>
      <c r="J193" s="35"/>
      <c r="K193" s="19" t="s">
        <v>1839</v>
      </c>
      <c r="M193" s="22"/>
      <c r="N193" s="20" t="s">
        <v>3144</v>
      </c>
      <c r="O193" s="22" t="s">
        <v>4097</v>
      </c>
      <c r="P193" s="20" t="s">
        <v>3144</v>
      </c>
      <c r="Q193" s="19"/>
      <c r="R193" s="22"/>
      <c r="S193" s="22"/>
      <c r="T193" s="47"/>
      <c r="U193" s="20"/>
      <c r="V193" s="20"/>
    </row>
    <row r="194" customHeight="1" spans="1:22">
      <c r="A194" s="19">
        <f t="shared" si="3"/>
        <v>9</v>
      </c>
      <c r="B194" s="20" t="s">
        <v>4098</v>
      </c>
      <c r="C194" s="22" t="s">
        <v>4099</v>
      </c>
      <c r="D194" s="20" t="s">
        <v>4100</v>
      </c>
      <c r="E194" s="20" t="s">
        <v>451</v>
      </c>
      <c r="F194" s="20" t="s">
        <v>328</v>
      </c>
      <c r="G194" s="101" t="str">
        <f>VLOOKUP(F194,'01. TH'!$B:$E,3,0)</f>
        <v>1830x1885x1590</v>
      </c>
      <c r="H194" s="19" t="s">
        <v>24</v>
      </c>
      <c r="I194" s="19"/>
      <c r="J194" s="35"/>
      <c r="K194" s="19" t="s">
        <v>1839</v>
      </c>
      <c r="L194" s="20"/>
      <c r="M194" s="22"/>
      <c r="N194" s="20" t="s">
        <v>3144</v>
      </c>
      <c r="O194" s="22" t="s">
        <v>3588</v>
      </c>
      <c r="P194" s="20" t="s">
        <v>3144</v>
      </c>
      <c r="Q194" s="19"/>
      <c r="R194" s="22"/>
      <c r="S194" s="22"/>
      <c r="T194" s="47">
        <v>13</v>
      </c>
      <c r="U194" s="20" t="s">
        <v>3922</v>
      </c>
      <c r="V194" s="20"/>
    </row>
    <row r="195" customHeight="1" spans="1:22">
      <c r="A195" s="19">
        <f t="shared" si="3"/>
        <v>10</v>
      </c>
      <c r="B195" s="20" t="s">
        <v>4101</v>
      </c>
      <c r="C195" s="22" t="s">
        <v>4102</v>
      </c>
      <c r="D195" s="20" t="s">
        <v>4103</v>
      </c>
      <c r="E195" s="20" t="s">
        <v>451</v>
      </c>
      <c r="F195" s="20" t="s">
        <v>3931</v>
      </c>
      <c r="G195" s="101" t="e">
        <f>VLOOKUP(F195,'01. TH'!$B:$E,3,0)</f>
        <v>#N/A</v>
      </c>
      <c r="H195" s="19" t="s">
        <v>24</v>
      </c>
      <c r="I195" s="19"/>
      <c r="J195" s="36"/>
      <c r="K195" s="19" t="s">
        <v>1839</v>
      </c>
      <c r="L195" s="20"/>
      <c r="M195" s="22"/>
      <c r="N195" s="20" t="s">
        <v>3144</v>
      </c>
      <c r="O195" s="22"/>
      <c r="P195" s="20" t="s">
        <v>3144</v>
      </c>
      <c r="Q195" s="19"/>
      <c r="R195" s="22"/>
      <c r="S195" s="22"/>
      <c r="T195" s="47"/>
      <c r="U195" s="20"/>
      <c r="V195" s="20"/>
    </row>
    <row r="196" customHeight="1" spans="1:22">
      <c r="A196" s="19">
        <f t="shared" si="3"/>
        <v>11</v>
      </c>
      <c r="B196" s="20" t="s">
        <v>4104</v>
      </c>
      <c r="C196" s="22"/>
      <c r="D196" s="20" t="s">
        <v>4105</v>
      </c>
      <c r="E196" s="20" t="s">
        <v>451</v>
      </c>
      <c r="F196" s="20" t="s">
        <v>337</v>
      </c>
      <c r="G196" s="101">
        <f>VLOOKUP(F196,'01. TH'!$B:$E,3,0)</f>
        <v>0</v>
      </c>
      <c r="H196" s="19" t="s">
        <v>24</v>
      </c>
      <c r="I196" s="19" t="s">
        <v>3959</v>
      </c>
      <c r="J196" s="20"/>
      <c r="K196" s="19" t="s">
        <v>1839</v>
      </c>
      <c r="L196" s="20" t="s">
        <v>3960</v>
      </c>
      <c r="M196" s="612"/>
      <c r="N196" s="20" t="s">
        <v>3611</v>
      </c>
      <c r="O196" s="612"/>
      <c r="P196" s="20" t="s">
        <v>3613</v>
      </c>
      <c r="Q196" s="19"/>
      <c r="R196" s="22" t="s">
        <v>3961</v>
      </c>
      <c r="S196" s="22"/>
      <c r="T196" s="47"/>
      <c r="U196" s="20"/>
      <c r="V196" s="20"/>
    </row>
    <row r="197" customHeight="1" spans="1:22">
      <c r="A197" s="19">
        <f t="shared" si="3"/>
        <v>12</v>
      </c>
      <c r="B197" s="20" t="s">
        <v>4106</v>
      </c>
      <c r="C197" s="20"/>
      <c r="D197" s="20" t="s">
        <v>4107</v>
      </c>
      <c r="E197" s="20" t="s">
        <v>451</v>
      </c>
      <c r="F197" s="20" t="s">
        <v>330</v>
      </c>
      <c r="G197" s="101" t="str">
        <f>VLOOKUP(F197,'01. TH'!$B:$E,3,0)</f>
        <v>1800x1180x1152</v>
      </c>
      <c r="H197" s="19" t="s">
        <v>24</v>
      </c>
      <c r="I197" s="58">
        <v>45446</v>
      </c>
      <c r="J197" s="20"/>
      <c r="K197" s="19" t="s">
        <v>1839</v>
      </c>
      <c r="L197" s="20" t="s">
        <v>4108</v>
      </c>
      <c r="M197" s="612"/>
      <c r="N197" s="20" t="s">
        <v>3144</v>
      </c>
      <c r="O197" s="22"/>
      <c r="P197" s="20" t="s">
        <v>3144</v>
      </c>
      <c r="Q197" s="19"/>
      <c r="R197" s="22"/>
      <c r="S197" s="22"/>
      <c r="T197" s="47">
        <v>3.8</v>
      </c>
      <c r="U197" s="20" t="s">
        <v>3943</v>
      </c>
      <c r="V197" s="20"/>
    </row>
    <row r="198" customHeight="1" spans="1:22">
      <c r="A198" s="19">
        <f t="shared" si="3"/>
        <v>13</v>
      </c>
      <c r="B198" s="38" t="s">
        <v>4109</v>
      </c>
      <c r="C198" s="39"/>
      <c r="D198" s="38" t="s">
        <v>4110</v>
      </c>
      <c r="E198" s="20" t="s">
        <v>3593</v>
      </c>
      <c r="F198" s="20" t="s">
        <v>330</v>
      </c>
      <c r="G198" s="101" t="str">
        <f>VLOOKUP(F198,'01. TH'!$B:$E,3,0)</f>
        <v>1800x1180x1152</v>
      </c>
      <c r="H198" s="19" t="s">
        <v>24</v>
      </c>
      <c r="I198" s="790">
        <v>46054</v>
      </c>
      <c r="J198" s="38"/>
      <c r="K198" s="19" t="s">
        <v>1839</v>
      </c>
      <c r="L198" s="38"/>
      <c r="M198" s="39"/>
      <c r="N198" s="20" t="s">
        <v>3946</v>
      </c>
      <c r="O198" s="24" t="s">
        <v>3947</v>
      </c>
      <c r="P198" s="20" t="s">
        <v>3948</v>
      </c>
      <c r="Q198" s="49">
        <v>2024</v>
      </c>
      <c r="R198" s="39"/>
      <c r="S198" s="24" t="s">
        <v>4111</v>
      </c>
      <c r="T198" s="47">
        <v>3.8</v>
      </c>
      <c r="U198" s="20" t="s">
        <v>3943</v>
      </c>
      <c r="V198" s="38"/>
    </row>
    <row r="199" customHeight="1" spans="1:22">
      <c r="A199" s="19">
        <f t="shared" si="3"/>
        <v>14</v>
      </c>
      <c r="B199" s="38" t="s">
        <v>4112</v>
      </c>
      <c r="C199" s="39" t="s">
        <v>4113</v>
      </c>
      <c r="D199" s="38" t="s">
        <v>4114</v>
      </c>
      <c r="E199" s="20" t="s">
        <v>451</v>
      </c>
      <c r="F199" s="38" t="s">
        <v>335</v>
      </c>
      <c r="G199" s="101">
        <f>VLOOKUP(F199,'01. TH'!$B:$E,3,0)</f>
        <v>0</v>
      </c>
      <c r="H199" s="19" t="s">
        <v>24</v>
      </c>
      <c r="I199" s="49"/>
      <c r="J199" s="38"/>
      <c r="K199" s="19" t="s">
        <v>1839</v>
      </c>
      <c r="L199" s="38"/>
      <c r="M199" s="39"/>
      <c r="N199" s="20" t="s">
        <v>3144</v>
      </c>
      <c r="O199" s="39" t="s">
        <v>3904</v>
      </c>
      <c r="P199" s="20" t="s">
        <v>3144</v>
      </c>
      <c r="Q199" s="49"/>
      <c r="R199" s="39"/>
      <c r="S199" s="39"/>
      <c r="T199" s="47">
        <v>6</v>
      </c>
      <c r="U199" s="20" t="s">
        <v>3886</v>
      </c>
      <c r="V199" s="38"/>
    </row>
    <row r="200" customHeight="1" spans="1:22">
      <c r="A200" s="19">
        <f t="shared" si="3"/>
        <v>15</v>
      </c>
      <c r="B200" s="38" t="s">
        <v>4115</v>
      </c>
      <c r="C200" s="39"/>
      <c r="D200" s="38" t="s">
        <v>4116</v>
      </c>
      <c r="E200" s="38" t="s">
        <v>3593</v>
      </c>
      <c r="F200" s="38" t="s">
        <v>335</v>
      </c>
      <c r="G200" s="101">
        <f>VLOOKUP(F200,'01. TH'!$B:$E,3,0)</f>
        <v>0</v>
      </c>
      <c r="H200" s="19" t="s">
        <v>24</v>
      </c>
      <c r="I200" s="790">
        <v>45424</v>
      </c>
      <c r="J200" s="38"/>
      <c r="K200" s="19" t="s">
        <v>1839</v>
      </c>
      <c r="L200" s="38" t="s">
        <v>653</v>
      </c>
      <c r="M200" s="39"/>
      <c r="N200" s="20" t="s">
        <v>3144</v>
      </c>
      <c r="O200" s="39" t="s">
        <v>3904</v>
      </c>
      <c r="P200" s="20" t="s">
        <v>3144</v>
      </c>
      <c r="Q200" s="49"/>
      <c r="R200" s="39"/>
      <c r="S200" s="39"/>
      <c r="T200" s="47">
        <v>6</v>
      </c>
      <c r="U200" s="20" t="s">
        <v>3886</v>
      </c>
      <c r="V200" s="38"/>
    </row>
    <row r="201" customHeight="1" spans="1:22">
      <c r="A201" s="19">
        <f t="shared" si="3"/>
        <v>16</v>
      </c>
      <c r="B201" s="38" t="s">
        <v>4117</v>
      </c>
      <c r="C201" s="39" t="s">
        <v>4118</v>
      </c>
      <c r="D201" s="38" t="s">
        <v>4119</v>
      </c>
      <c r="E201" s="20" t="s">
        <v>451</v>
      </c>
      <c r="F201" s="20" t="s">
        <v>328</v>
      </c>
      <c r="G201" s="101" t="str">
        <f>VLOOKUP(F201,'01. TH'!$B:$E,3,0)</f>
        <v>1830x1885x1590</v>
      </c>
      <c r="H201" s="19" t="s">
        <v>24</v>
      </c>
      <c r="I201" s="790">
        <v>45570</v>
      </c>
      <c r="J201" s="38"/>
      <c r="K201" s="19" t="s">
        <v>1839</v>
      </c>
      <c r="L201" s="38" t="s">
        <v>3925</v>
      </c>
      <c r="M201" s="39"/>
      <c r="N201" s="20" t="s">
        <v>3144</v>
      </c>
      <c r="O201" s="39" t="s">
        <v>3588</v>
      </c>
      <c r="P201" s="20" t="s">
        <v>3144</v>
      </c>
      <c r="Q201" s="49"/>
      <c r="R201" s="39" t="s">
        <v>4120</v>
      </c>
      <c r="S201" s="39"/>
      <c r="T201" s="47">
        <v>13</v>
      </c>
      <c r="U201" s="20" t="s">
        <v>3922</v>
      </c>
      <c r="V201" s="38"/>
    </row>
    <row r="202" customHeight="1" spans="1:22">
      <c r="A202" s="19">
        <f t="shared" si="3"/>
        <v>17</v>
      </c>
      <c r="B202" s="20" t="s">
        <v>4121</v>
      </c>
      <c r="C202" s="22"/>
      <c r="D202" s="20" t="s">
        <v>4122</v>
      </c>
      <c r="E202" s="20" t="s">
        <v>451</v>
      </c>
      <c r="F202" s="20" t="s">
        <v>328</v>
      </c>
      <c r="G202" s="101" t="str">
        <f>VLOOKUP(F202,'01. TH'!$B:$E,3,0)</f>
        <v>1830x1885x1590</v>
      </c>
      <c r="H202" s="19" t="s">
        <v>24</v>
      </c>
      <c r="I202" s="19" t="s">
        <v>1803</v>
      </c>
      <c r="J202" s="20"/>
      <c r="K202" s="19" t="s">
        <v>1839</v>
      </c>
      <c r="L202" s="38" t="s">
        <v>3925</v>
      </c>
      <c r="M202" s="791"/>
      <c r="N202" s="20" t="s">
        <v>3611</v>
      </c>
      <c r="O202" s="22"/>
      <c r="P202" s="20"/>
      <c r="Q202" s="49"/>
      <c r="R202" s="22"/>
      <c r="S202" s="22"/>
      <c r="T202" s="47">
        <v>13</v>
      </c>
      <c r="U202" s="20" t="s">
        <v>3922</v>
      </c>
      <c r="V202" s="20"/>
    </row>
    <row r="203" customHeight="1" spans="1:22">
      <c r="A203" s="19">
        <f t="shared" si="3"/>
        <v>18</v>
      </c>
      <c r="B203" s="20" t="s">
        <v>4123</v>
      </c>
      <c r="C203" s="22"/>
      <c r="D203" s="20" t="s">
        <v>4124</v>
      </c>
      <c r="E203" s="20" t="s">
        <v>451</v>
      </c>
      <c r="F203" s="20" t="s">
        <v>328</v>
      </c>
      <c r="G203" s="101"/>
      <c r="H203" s="19" t="s">
        <v>24</v>
      </c>
      <c r="I203" s="19" t="s">
        <v>4125</v>
      </c>
      <c r="J203" s="20"/>
      <c r="K203" s="19" t="s">
        <v>1839</v>
      </c>
      <c r="L203" s="38" t="s">
        <v>3925</v>
      </c>
      <c r="M203" s="791"/>
      <c r="N203" s="20"/>
      <c r="O203" s="22"/>
      <c r="P203" s="20"/>
      <c r="Q203" s="49"/>
      <c r="R203" s="22"/>
      <c r="S203" s="22"/>
      <c r="T203" s="47">
        <v>13</v>
      </c>
      <c r="U203" s="20" t="s">
        <v>3922</v>
      </c>
      <c r="V203" s="20"/>
    </row>
    <row r="204" customHeight="1" spans="1:22">
      <c r="A204" s="19">
        <f t="shared" si="3"/>
        <v>19</v>
      </c>
      <c r="B204" s="20" t="s">
        <v>4126</v>
      </c>
      <c r="C204" s="22"/>
      <c r="D204" s="20" t="s">
        <v>4127</v>
      </c>
      <c r="E204" s="20" t="s">
        <v>451</v>
      </c>
      <c r="F204" s="20" t="s">
        <v>305</v>
      </c>
      <c r="G204" s="101" t="str">
        <f>VLOOKUP(F204,'01. TH'!$B:$E,3,0)</f>
        <v> 1590mm x 1300mm</v>
      </c>
      <c r="H204" s="19" t="s">
        <v>24</v>
      </c>
      <c r="I204" s="58">
        <v>45633</v>
      </c>
      <c r="J204" s="20"/>
      <c r="K204" s="19" t="s">
        <v>1839</v>
      </c>
      <c r="L204" s="20" t="s">
        <v>3984</v>
      </c>
      <c r="M204" s="791"/>
      <c r="N204" s="20" t="s">
        <v>3611</v>
      </c>
      <c r="O204" s="22" t="s">
        <v>4128</v>
      </c>
      <c r="P204" s="20" t="s">
        <v>3613</v>
      </c>
      <c r="Q204" s="49">
        <v>2024</v>
      </c>
      <c r="R204" s="22" t="s">
        <v>4129</v>
      </c>
      <c r="S204" s="22"/>
      <c r="T204" s="47"/>
      <c r="U204" s="20"/>
      <c r="V204" s="20"/>
    </row>
    <row r="205" customHeight="1" spans="1:22">
      <c r="A205" s="19">
        <f t="shared" si="3"/>
        <v>20</v>
      </c>
      <c r="B205" s="20" t="s">
        <v>4130</v>
      </c>
      <c r="C205" s="22"/>
      <c r="D205" s="20" t="s">
        <v>4131</v>
      </c>
      <c r="E205" s="20" t="s">
        <v>451</v>
      </c>
      <c r="F205" s="20" t="s">
        <v>305</v>
      </c>
      <c r="G205" s="101" t="str">
        <f>VLOOKUP(F205,'01. TH'!$B:$E,3,0)</f>
        <v> 1590mm x 1300mm</v>
      </c>
      <c r="H205" s="19" t="s">
        <v>24</v>
      </c>
      <c r="I205" s="19" t="s">
        <v>4132</v>
      </c>
      <c r="J205" s="20"/>
      <c r="K205" s="19" t="s">
        <v>1839</v>
      </c>
      <c r="L205" s="20" t="s">
        <v>3984</v>
      </c>
      <c r="M205" s="791"/>
      <c r="N205" s="20" t="s">
        <v>3611</v>
      </c>
      <c r="O205" s="22" t="s">
        <v>3990</v>
      </c>
      <c r="P205" s="20" t="s">
        <v>3613</v>
      </c>
      <c r="Q205" s="49">
        <v>2024</v>
      </c>
      <c r="R205" s="22" t="s">
        <v>4133</v>
      </c>
      <c r="S205" s="22"/>
      <c r="T205" s="47"/>
      <c r="U205" s="20"/>
      <c r="V205" s="20"/>
    </row>
    <row r="206" customHeight="1" spans="1:22">
      <c r="A206" s="19">
        <f t="shared" si="3"/>
        <v>21</v>
      </c>
      <c r="B206" s="20" t="s">
        <v>4134</v>
      </c>
      <c r="C206" s="22"/>
      <c r="D206" s="20" t="s">
        <v>4135</v>
      </c>
      <c r="E206" s="20" t="s">
        <v>3593</v>
      </c>
      <c r="F206" s="20" t="s">
        <v>4136</v>
      </c>
      <c r="G206" s="101" t="e">
        <f>VLOOKUP(F206,'01. TH'!$B:$E,3,0)</f>
        <v>#N/A</v>
      </c>
      <c r="H206" s="19" t="s">
        <v>24</v>
      </c>
      <c r="I206" s="19" t="s">
        <v>560</v>
      </c>
      <c r="J206" s="20"/>
      <c r="K206" s="19" t="s">
        <v>1839</v>
      </c>
      <c r="L206" s="38" t="s">
        <v>3925</v>
      </c>
      <c r="M206" s="791"/>
      <c r="N206" s="20" t="s">
        <v>3965</v>
      </c>
      <c r="O206" s="22" t="s">
        <v>4137</v>
      </c>
      <c r="P206" s="20" t="s">
        <v>3967</v>
      </c>
      <c r="Q206" s="49">
        <v>2024</v>
      </c>
      <c r="R206" s="22"/>
      <c r="S206" s="22">
        <v>3453783</v>
      </c>
      <c r="T206" s="47" t="s">
        <v>290</v>
      </c>
      <c r="U206" s="20"/>
      <c r="V206" s="20"/>
    </row>
    <row r="207" customHeight="1" spans="1:22">
      <c r="A207" s="19">
        <f t="shared" si="3"/>
        <v>22</v>
      </c>
      <c r="B207" s="20" t="s">
        <v>4138</v>
      </c>
      <c r="C207" s="22" t="s">
        <v>4139</v>
      </c>
      <c r="D207" s="20" t="s">
        <v>4140</v>
      </c>
      <c r="E207" s="20" t="s">
        <v>3593</v>
      </c>
      <c r="F207" s="20" t="s">
        <v>4141</v>
      </c>
      <c r="G207" s="101" t="e">
        <f>VLOOKUP(F207,'01. TH'!$B:$E,3,0)</f>
        <v>#N/A</v>
      </c>
      <c r="H207" s="19" t="s">
        <v>24</v>
      </c>
      <c r="I207" s="19" t="s">
        <v>4142</v>
      </c>
      <c r="J207" s="20"/>
      <c r="K207" s="19" t="s">
        <v>1839</v>
      </c>
      <c r="L207" s="38" t="s">
        <v>3925</v>
      </c>
      <c r="M207" s="791"/>
      <c r="N207" s="20" t="s">
        <v>3611</v>
      </c>
      <c r="O207" s="22" t="s">
        <v>4139</v>
      </c>
      <c r="P207" s="20" t="s">
        <v>3613</v>
      </c>
      <c r="Q207" s="49">
        <v>2024</v>
      </c>
      <c r="R207" s="22"/>
      <c r="S207" s="22"/>
      <c r="T207" s="47">
        <v>9.5</v>
      </c>
      <c r="U207" s="20" t="s">
        <v>3886</v>
      </c>
      <c r="V207" s="20"/>
    </row>
    <row r="208" customHeight="1" spans="1:22">
      <c r="A208" s="19">
        <f t="shared" si="3"/>
        <v>23</v>
      </c>
      <c r="B208" s="20" t="s">
        <v>4143</v>
      </c>
      <c r="C208" s="22"/>
      <c r="D208" s="20" t="s">
        <v>4144</v>
      </c>
      <c r="E208" s="20" t="s">
        <v>451</v>
      </c>
      <c r="F208" s="20" t="s">
        <v>339</v>
      </c>
      <c r="G208" s="101">
        <f>VLOOKUP(F208,'01. TH'!$B:$E,3,0)</f>
        <v>0</v>
      </c>
      <c r="H208" s="19" t="s">
        <v>24</v>
      </c>
      <c r="I208" s="19" t="s">
        <v>4145</v>
      </c>
      <c r="J208" s="20"/>
      <c r="K208" s="19" t="s">
        <v>1839</v>
      </c>
      <c r="L208" s="38" t="s">
        <v>653</v>
      </c>
      <c r="M208" s="791"/>
      <c r="N208" s="20" t="s">
        <v>4146</v>
      </c>
      <c r="O208" s="22" t="s">
        <v>4147</v>
      </c>
      <c r="P208" s="20" t="s">
        <v>3231</v>
      </c>
      <c r="Q208" s="49">
        <v>2024</v>
      </c>
      <c r="R208" s="22"/>
      <c r="S208" s="22">
        <v>202400390003</v>
      </c>
      <c r="T208" s="47"/>
      <c r="U208" s="20"/>
      <c r="V208" s="20"/>
    </row>
    <row r="209" customHeight="1" spans="1:22">
      <c r="A209" s="19">
        <f t="shared" si="3"/>
        <v>24</v>
      </c>
      <c r="B209" s="20" t="s">
        <v>4148</v>
      </c>
      <c r="C209" s="22"/>
      <c r="D209" s="20" t="s">
        <v>4149</v>
      </c>
      <c r="E209" s="20" t="s">
        <v>3593</v>
      </c>
      <c r="F209" s="20" t="s">
        <v>326</v>
      </c>
      <c r="G209" s="101" t="str">
        <f>VLOOKUP(F209,'01. TH'!$B:$E,3,0)</f>
        <v>960 x 2260 x 950</v>
      </c>
      <c r="H209" s="19" t="s">
        <v>24</v>
      </c>
      <c r="I209" s="58">
        <v>45811</v>
      </c>
      <c r="J209" s="20"/>
      <c r="K209" s="19" t="s">
        <v>1839</v>
      </c>
      <c r="L209" s="38" t="s">
        <v>653</v>
      </c>
      <c r="M209" s="791"/>
      <c r="N209" s="20" t="s">
        <v>759</v>
      </c>
      <c r="O209" s="22" t="s">
        <v>4020</v>
      </c>
      <c r="P209" s="20" t="s">
        <v>3144</v>
      </c>
      <c r="Q209" s="49">
        <v>2025</v>
      </c>
      <c r="R209" s="22"/>
      <c r="S209" s="22"/>
      <c r="T209" s="47"/>
      <c r="U209" s="20"/>
      <c r="V209" s="20"/>
    </row>
    <row r="210" customHeight="1" spans="1:22">
      <c r="A210" s="19">
        <f t="shared" si="3"/>
        <v>25</v>
      </c>
      <c r="B210" s="20" t="s">
        <v>4150</v>
      </c>
      <c r="C210" s="22"/>
      <c r="D210" s="20" t="s">
        <v>4151</v>
      </c>
      <c r="E210" s="20" t="s">
        <v>451</v>
      </c>
      <c r="F210" s="20" t="s">
        <v>4005</v>
      </c>
      <c r="G210" s="101" t="e">
        <f>VLOOKUP(F210,'01. TH'!$B:$E,3,0)</f>
        <v>#N/A</v>
      </c>
      <c r="H210" s="19" t="s">
        <v>24</v>
      </c>
      <c r="I210" s="19" t="s">
        <v>4152</v>
      </c>
      <c r="J210" s="20"/>
      <c r="K210" s="19" t="s">
        <v>1839</v>
      </c>
      <c r="L210" s="38" t="s">
        <v>3925</v>
      </c>
      <c r="M210" s="791"/>
      <c r="N210" s="20" t="s">
        <v>3611</v>
      </c>
      <c r="O210" s="22" t="s">
        <v>4153</v>
      </c>
      <c r="P210" s="20" t="s">
        <v>3613</v>
      </c>
      <c r="Q210" s="49">
        <v>2025</v>
      </c>
      <c r="R210" s="22"/>
      <c r="S210" s="22"/>
      <c r="T210" s="47">
        <v>14</v>
      </c>
      <c r="U210" s="20" t="s">
        <v>4008</v>
      </c>
      <c r="V210" s="20"/>
    </row>
    <row r="211" customHeight="1" spans="1:22">
      <c r="A211" s="19">
        <f t="shared" si="3"/>
        <v>26</v>
      </c>
      <c r="B211" s="20" t="s">
        <v>4154</v>
      </c>
      <c r="C211" s="22"/>
      <c r="D211" s="20" t="s">
        <v>4155</v>
      </c>
      <c r="E211" s="20" t="s">
        <v>451</v>
      </c>
      <c r="F211" s="20" t="s">
        <v>4005</v>
      </c>
      <c r="G211" s="101" t="e">
        <f>VLOOKUP(F211,'01. TH'!$B:$E,3,0)</f>
        <v>#N/A</v>
      </c>
      <c r="H211" s="19" t="s">
        <v>24</v>
      </c>
      <c r="I211" s="19" t="s">
        <v>4152</v>
      </c>
      <c r="J211" s="20"/>
      <c r="K211" s="19" t="s">
        <v>1839</v>
      </c>
      <c r="L211" s="38" t="s">
        <v>3925</v>
      </c>
      <c r="M211" s="791"/>
      <c r="N211" s="20" t="s">
        <v>3611</v>
      </c>
      <c r="O211" s="22" t="s">
        <v>4156</v>
      </c>
      <c r="P211" s="20" t="s">
        <v>3613</v>
      </c>
      <c r="Q211" s="49">
        <v>2025</v>
      </c>
      <c r="R211" s="22"/>
      <c r="S211" s="22"/>
      <c r="T211" s="47">
        <v>14</v>
      </c>
      <c r="U211" s="20" t="s">
        <v>4008</v>
      </c>
      <c r="V211" s="20"/>
    </row>
    <row r="212" customHeight="1" spans="1:22">
      <c r="A212" s="19">
        <f t="shared" si="3"/>
        <v>27</v>
      </c>
      <c r="B212" s="20" t="s">
        <v>4157</v>
      </c>
      <c r="C212" s="22"/>
      <c r="D212" s="20" t="s">
        <v>4158</v>
      </c>
      <c r="E212" s="20" t="s">
        <v>451</v>
      </c>
      <c r="F212" s="20" t="s">
        <v>320</v>
      </c>
      <c r="G212" s="101" t="str">
        <f>VLOOKUP(F212,'01. TH'!$B:$E,3,0)</f>
        <v>1900x1900x1800</v>
      </c>
      <c r="H212" s="19" t="s">
        <v>24</v>
      </c>
      <c r="I212" s="19" t="s">
        <v>4061</v>
      </c>
      <c r="J212" s="20"/>
      <c r="K212" s="19" t="s">
        <v>1839</v>
      </c>
      <c r="L212" s="38" t="s">
        <v>653</v>
      </c>
      <c r="M212" s="791"/>
      <c r="N212" s="20" t="s">
        <v>4044</v>
      </c>
      <c r="O212" s="22" t="s">
        <v>4062</v>
      </c>
      <c r="P212" s="25" t="s">
        <v>590</v>
      </c>
      <c r="Q212" s="49">
        <v>2025</v>
      </c>
      <c r="R212" s="22"/>
      <c r="S212" s="22" t="s">
        <v>4159</v>
      </c>
      <c r="T212" s="47"/>
      <c r="U212" s="20"/>
      <c r="V212" s="20"/>
    </row>
    <row r="213" customHeight="1" spans="1:22">
      <c r="A213" s="19">
        <f t="shared" si="3"/>
        <v>28</v>
      </c>
      <c r="B213" s="20" t="s">
        <v>4160</v>
      </c>
      <c r="C213" s="22"/>
      <c r="D213" s="20" t="s">
        <v>4161</v>
      </c>
      <c r="E213" s="20" t="s">
        <v>451</v>
      </c>
      <c r="F213" s="20" t="s">
        <v>320</v>
      </c>
      <c r="G213" s="101" t="str">
        <f>VLOOKUP(F213,'01. TH'!$B:$E,3,0)</f>
        <v>1900x1900x1800</v>
      </c>
      <c r="H213" s="19" t="s">
        <v>24</v>
      </c>
      <c r="I213" s="19" t="s">
        <v>4061</v>
      </c>
      <c r="J213" s="20"/>
      <c r="K213" s="19" t="s">
        <v>1839</v>
      </c>
      <c r="L213" s="38" t="s">
        <v>653</v>
      </c>
      <c r="M213" s="791"/>
      <c r="N213" s="20" t="s">
        <v>4044</v>
      </c>
      <c r="O213" s="22" t="s">
        <v>4062</v>
      </c>
      <c r="P213" s="25" t="s">
        <v>590</v>
      </c>
      <c r="Q213" s="49">
        <v>2025</v>
      </c>
      <c r="R213" s="22"/>
      <c r="S213" s="22" t="s">
        <v>4162</v>
      </c>
      <c r="T213" s="47"/>
      <c r="U213" s="20"/>
      <c r="V213" s="20"/>
    </row>
    <row r="214" customHeight="1" spans="1:22">
      <c r="A214" s="19">
        <f t="shared" si="3"/>
        <v>29</v>
      </c>
      <c r="B214" s="20" t="s">
        <v>4163</v>
      </c>
      <c r="C214" s="22"/>
      <c r="D214" s="20" t="s">
        <v>4164</v>
      </c>
      <c r="E214" s="20" t="s">
        <v>451</v>
      </c>
      <c r="F214" s="20" t="s">
        <v>332</v>
      </c>
      <c r="G214" s="101">
        <f>VLOOKUP(F214,'01. TH'!$B:$E,3,0)</f>
        <v>0</v>
      </c>
      <c r="H214" s="19" t="s">
        <v>24</v>
      </c>
      <c r="I214" s="773">
        <v>46002</v>
      </c>
      <c r="J214" s="20"/>
      <c r="K214" s="19" t="s">
        <v>1839</v>
      </c>
      <c r="L214" s="38" t="s">
        <v>653</v>
      </c>
      <c r="M214" s="791"/>
      <c r="N214" s="20" t="s">
        <v>3611</v>
      </c>
      <c r="O214" s="22" t="s">
        <v>4165</v>
      </c>
      <c r="P214" s="20" t="s">
        <v>3144</v>
      </c>
      <c r="Q214" s="49">
        <v>2025</v>
      </c>
      <c r="R214" s="22"/>
      <c r="S214" s="22"/>
      <c r="T214" s="47">
        <v>6.5</v>
      </c>
      <c r="U214" s="20" t="s">
        <v>4026</v>
      </c>
      <c r="V214" s="20"/>
    </row>
    <row r="215" customHeight="1" spans="1:22">
      <c r="A215" s="19">
        <f t="shared" si="3"/>
        <v>30</v>
      </c>
      <c r="B215" s="20" t="s">
        <v>4166</v>
      </c>
      <c r="C215" s="22"/>
      <c r="D215" s="20" t="s">
        <v>4167</v>
      </c>
      <c r="E215" s="20" t="s">
        <v>451</v>
      </c>
      <c r="F215" s="20" t="s">
        <v>318</v>
      </c>
      <c r="G215" s="101" t="str">
        <f>VLOOKUP(F215,'01. TH'!$B:$E,3,0)</f>
        <v>6525x2385x2775</v>
      </c>
      <c r="H215" s="19" t="s">
        <v>24</v>
      </c>
      <c r="I215" s="19" t="s">
        <v>4050</v>
      </c>
      <c r="J215" s="20"/>
      <c r="K215" s="19" t="s">
        <v>1839</v>
      </c>
      <c r="L215" s="20"/>
      <c r="M215" s="791"/>
      <c r="N215" s="20" t="s">
        <v>4168</v>
      </c>
      <c r="O215" s="22"/>
      <c r="P215" s="20" t="s">
        <v>4046</v>
      </c>
      <c r="Q215" s="49">
        <v>2025</v>
      </c>
      <c r="R215" s="22" t="s">
        <v>4169</v>
      </c>
      <c r="S215" s="22">
        <v>14</v>
      </c>
      <c r="T215" s="47">
        <v>3.5</v>
      </c>
      <c r="U215" s="20" t="s">
        <v>4047</v>
      </c>
      <c r="V215" s="20"/>
    </row>
    <row r="216" customHeight="1" spans="1:22">
      <c r="A216" s="19"/>
      <c r="B216" s="20"/>
      <c r="C216" s="22" t="s">
        <v>1034</v>
      </c>
      <c r="D216" s="20"/>
      <c r="E216" s="20"/>
      <c r="F216" s="20"/>
      <c r="G216" s="101" t="e">
        <f>VLOOKUP(F216,'01. TH'!$B:$E,3,0)</f>
        <v>#N/A</v>
      </c>
      <c r="H216" s="19"/>
      <c r="I216" s="19"/>
      <c r="J216" s="20"/>
      <c r="K216" s="19"/>
      <c r="L216" s="20"/>
      <c r="M216" s="791"/>
      <c r="N216" s="20"/>
      <c r="O216" s="22"/>
      <c r="P216" s="20"/>
      <c r="Q216" s="218"/>
      <c r="R216" s="22"/>
      <c r="S216" s="22"/>
      <c r="T216" s="47"/>
      <c r="U216" s="20"/>
      <c r="V216" s="20"/>
    </row>
    <row r="217" customHeight="1" spans="1:22">
      <c r="A217" s="14" t="s">
        <v>1099</v>
      </c>
      <c r="B217" s="15" t="s">
        <v>1100</v>
      </c>
      <c r="C217" s="14">
        <f>COUNTA($B$218:$B$237)</f>
        <v>19</v>
      </c>
      <c r="D217" s="17"/>
      <c r="E217" s="17"/>
      <c r="F217" s="17"/>
      <c r="G217" s="18"/>
      <c r="H217" s="18"/>
      <c r="I217" s="14"/>
      <c r="J217" s="15"/>
      <c r="K217" s="14"/>
      <c r="L217" s="17"/>
      <c r="M217" s="16"/>
      <c r="N217" s="17"/>
      <c r="O217" s="16"/>
      <c r="P217" s="17"/>
      <c r="Q217" s="18"/>
      <c r="R217" s="16"/>
      <c r="S217" s="16"/>
      <c r="T217" s="786"/>
      <c r="U217" s="17"/>
      <c r="V217" s="17"/>
    </row>
    <row r="218" customHeight="1" spans="1:22">
      <c r="A218" s="19">
        <v>1</v>
      </c>
      <c r="B218" s="20" t="s">
        <v>4170</v>
      </c>
      <c r="C218" s="22" t="s">
        <v>4070</v>
      </c>
      <c r="D218" s="20" t="s">
        <v>4171</v>
      </c>
      <c r="E218" s="20" t="s">
        <v>451</v>
      </c>
      <c r="F218" s="20" t="s">
        <v>4073</v>
      </c>
      <c r="G218" s="101" t="str">
        <f>VLOOKUP(F218,'01. TH'!$B:$E,3,0)</f>
        <v>1070 x 2310 x 1300</v>
      </c>
      <c r="H218" s="19" t="s">
        <v>29</v>
      </c>
      <c r="I218" s="19"/>
      <c r="J218" s="20"/>
      <c r="K218" s="19" t="s">
        <v>1839</v>
      </c>
      <c r="L218" s="20"/>
      <c r="M218" s="22"/>
      <c r="N218" s="20" t="s">
        <v>3144</v>
      </c>
      <c r="O218" s="22" t="s">
        <v>3875</v>
      </c>
      <c r="P218" s="20" t="s">
        <v>3144</v>
      </c>
      <c r="Q218" s="19"/>
      <c r="R218" s="22"/>
      <c r="S218" s="22"/>
      <c r="T218" s="47"/>
      <c r="U218" s="20"/>
      <c r="V218" s="20"/>
    </row>
    <row r="219" customHeight="1" spans="1:22">
      <c r="A219" s="19">
        <v>2</v>
      </c>
      <c r="B219" s="20" t="s">
        <v>4172</v>
      </c>
      <c r="C219" s="22" t="s">
        <v>4074</v>
      </c>
      <c r="D219" s="20" t="s">
        <v>4173</v>
      </c>
      <c r="E219" s="20" t="s">
        <v>451</v>
      </c>
      <c r="F219" s="20" t="s">
        <v>4073</v>
      </c>
      <c r="G219" s="101" t="str">
        <f>VLOOKUP(F219,'01. TH'!$B:$E,3,0)</f>
        <v>1070 x 2310 x 1300</v>
      </c>
      <c r="H219" s="19" t="s">
        <v>29</v>
      </c>
      <c r="I219" s="19"/>
      <c r="J219" s="20"/>
      <c r="K219" s="19" t="s">
        <v>1839</v>
      </c>
      <c r="L219" s="20"/>
      <c r="M219" s="22"/>
      <c r="N219" s="20" t="s">
        <v>3144</v>
      </c>
      <c r="O219" s="22" t="s">
        <v>3875</v>
      </c>
      <c r="P219" s="20" t="s">
        <v>3144</v>
      </c>
      <c r="Q219" s="19"/>
      <c r="R219" s="22"/>
      <c r="S219" s="22"/>
      <c r="T219" s="47"/>
      <c r="U219" s="20"/>
      <c r="V219" s="20"/>
    </row>
    <row r="220" customHeight="1" spans="1:22">
      <c r="A220" s="19">
        <v>3</v>
      </c>
      <c r="B220" s="20" t="s">
        <v>4174</v>
      </c>
      <c r="C220" s="22" t="s">
        <v>4077</v>
      </c>
      <c r="D220" s="20" t="s">
        <v>4175</v>
      </c>
      <c r="E220" s="20" t="s">
        <v>451</v>
      </c>
      <c r="F220" s="20" t="s">
        <v>4073</v>
      </c>
      <c r="G220" s="101" t="str">
        <f>VLOOKUP(F220,'01. TH'!$B:$E,3,0)</f>
        <v>1070 x 2310 x 1300</v>
      </c>
      <c r="H220" s="19" t="s">
        <v>29</v>
      </c>
      <c r="I220" s="19"/>
      <c r="J220" s="20"/>
      <c r="K220" s="19" t="s">
        <v>1839</v>
      </c>
      <c r="L220" s="20" t="s">
        <v>4176</v>
      </c>
      <c r="M220" s="22"/>
      <c r="N220" s="20" t="s">
        <v>3144</v>
      </c>
      <c r="O220" s="22" t="s">
        <v>3875</v>
      </c>
      <c r="P220" s="20" t="s">
        <v>3144</v>
      </c>
      <c r="Q220" s="19"/>
      <c r="R220" s="22"/>
      <c r="S220" s="22"/>
      <c r="T220" s="47"/>
      <c r="U220" s="20"/>
      <c r="V220" s="20"/>
    </row>
    <row r="221" customHeight="1" spans="1:22">
      <c r="A221" s="19">
        <v>4</v>
      </c>
      <c r="B221" s="20" t="s">
        <v>4071</v>
      </c>
      <c r="C221" s="22" t="s">
        <v>4170</v>
      </c>
      <c r="D221" s="20" t="s">
        <v>4177</v>
      </c>
      <c r="E221" s="20" t="s">
        <v>451</v>
      </c>
      <c r="F221" s="20" t="s">
        <v>4073</v>
      </c>
      <c r="G221" s="101" t="str">
        <f>VLOOKUP(F221,'01. TH'!$B:$E,3,0)</f>
        <v>1070 x 2310 x 1300</v>
      </c>
      <c r="H221" s="19" t="s">
        <v>29</v>
      </c>
      <c r="I221" s="19"/>
      <c r="J221" s="20"/>
      <c r="K221" s="19" t="s">
        <v>1839</v>
      </c>
      <c r="L221" s="20"/>
      <c r="M221" s="22"/>
      <c r="N221" s="20" t="s">
        <v>3144</v>
      </c>
      <c r="O221" s="22" t="s">
        <v>3875</v>
      </c>
      <c r="P221" s="20" t="s">
        <v>3144</v>
      </c>
      <c r="Q221" s="19"/>
      <c r="R221" s="22"/>
      <c r="S221" s="22"/>
      <c r="T221" s="47"/>
      <c r="U221" s="20"/>
      <c r="V221" s="20"/>
    </row>
    <row r="222" customHeight="1" spans="1:22">
      <c r="A222" s="19">
        <v>5</v>
      </c>
      <c r="B222" s="20" t="s">
        <v>4075</v>
      </c>
      <c r="C222" s="22" t="s">
        <v>4172</v>
      </c>
      <c r="D222" s="20" t="s">
        <v>4178</v>
      </c>
      <c r="E222" s="20" t="s">
        <v>451</v>
      </c>
      <c r="F222" s="20" t="s">
        <v>4073</v>
      </c>
      <c r="G222" s="101" t="str">
        <f>VLOOKUP(F222,'01. TH'!$B:$E,3,0)</f>
        <v>1070 x 2310 x 1300</v>
      </c>
      <c r="H222" s="19" t="s">
        <v>29</v>
      </c>
      <c r="I222" s="19"/>
      <c r="J222" s="20"/>
      <c r="K222" s="19" t="s">
        <v>1839</v>
      </c>
      <c r="L222" s="20"/>
      <c r="M222" s="22"/>
      <c r="N222" s="20" t="s">
        <v>3144</v>
      </c>
      <c r="O222" s="22" t="s">
        <v>3875</v>
      </c>
      <c r="P222" s="20" t="s">
        <v>3144</v>
      </c>
      <c r="Q222" s="19"/>
      <c r="R222" s="22"/>
      <c r="S222" s="22"/>
      <c r="T222" s="47"/>
      <c r="U222" s="20"/>
      <c r="V222" s="20"/>
    </row>
    <row r="223" customHeight="1" spans="1:22">
      <c r="A223" s="19">
        <v>6</v>
      </c>
      <c r="B223" s="20" t="s">
        <v>4179</v>
      </c>
      <c r="C223" s="22" t="s">
        <v>4080</v>
      </c>
      <c r="D223" s="20" t="s">
        <v>4180</v>
      </c>
      <c r="E223" s="20" t="s">
        <v>451</v>
      </c>
      <c r="F223" s="20" t="s">
        <v>314</v>
      </c>
      <c r="G223" s="101" t="str">
        <f>VLOOKUP(F223,'01. TH'!$B:$E,3,0)</f>
        <v>1970x1460x978</v>
      </c>
      <c r="H223" s="19" t="s">
        <v>29</v>
      </c>
      <c r="I223" s="19"/>
      <c r="J223" s="20"/>
      <c r="K223" s="19" t="s">
        <v>1839</v>
      </c>
      <c r="L223" s="20"/>
      <c r="M223" s="22"/>
      <c r="N223" s="20" t="s">
        <v>3144</v>
      </c>
      <c r="O223" s="22" t="s">
        <v>3900</v>
      </c>
      <c r="P223" s="20" t="s">
        <v>3144</v>
      </c>
      <c r="Q223" s="19"/>
      <c r="R223" s="22"/>
      <c r="S223" s="22"/>
      <c r="T223" s="47"/>
      <c r="U223" s="20"/>
      <c r="V223" s="20"/>
    </row>
    <row r="224" customHeight="1" spans="1:22">
      <c r="A224" s="19">
        <v>7</v>
      </c>
      <c r="B224" s="20" t="s">
        <v>4085</v>
      </c>
      <c r="C224" s="22" t="s">
        <v>4084</v>
      </c>
      <c r="D224" s="20" t="s">
        <v>4181</v>
      </c>
      <c r="E224" s="20" t="s">
        <v>451</v>
      </c>
      <c r="F224" s="20" t="s">
        <v>314</v>
      </c>
      <c r="G224" s="101" t="str">
        <f>VLOOKUP(F224,'01. TH'!$B:$E,3,0)</f>
        <v>1970x1460x978</v>
      </c>
      <c r="H224" s="19" t="s">
        <v>29</v>
      </c>
      <c r="I224" s="19"/>
      <c r="J224" s="20"/>
      <c r="K224" s="19" t="s">
        <v>1839</v>
      </c>
      <c r="L224" s="20"/>
      <c r="M224" s="22"/>
      <c r="N224" s="20" t="s">
        <v>3144</v>
      </c>
      <c r="O224" s="22" t="s">
        <v>3900</v>
      </c>
      <c r="P224" s="20" t="s">
        <v>3144</v>
      </c>
      <c r="Q224" s="19"/>
      <c r="R224" s="22"/>
      <c r="S224" s="22"/>
      <c r="T224" s="47"/>
      <c r="U224" s="20"/>
      <c r="V224" s="20"/>
    </row>
    <row r="225" customHeight="1" spans="1:22">
      <c r="A225" s="19">
        <v>8</v>
      </c>
      <c r="B225" s="20" t="s">
        <v>4081</v>
      </c>
      <c r="C225" s="22" t="s">
        <v>3999</v>
      </c>
      <c r="D225" s="20" t="s">
        <v>4182</v>
      </c>
      <c r="E225" s="20" t="s">
        <v>451</v>
      </c>
      <c r="F225" s="20" t="s">
        <v>312</v>
      </c>
      <c r="G225" s="101" t="str">
        <f>VLOOKUP(F225,'01. TH'!$B:$E,3,0)</f>
        <v>1230x1705x860</v>
      </c>
      <c r="H225" s="19" t="s">
        <v>29</v>
      </c>
      <c r="I225" s="19"/>
      <c r="J225" s="20"/>
      <c r="K225" s="19" t="s">
        <v>1839</v>
      </c>
      <c r="L225" s="20"/>
      <c r="M225" s="22"/>
      <c r="N225" s="20" t="s">
        <v>3144</v>
      </c>
      <c r="O225" s="22" t="s">
        <v>3885</v>
      </c>
      <c r="P225" s="20" t="s">
        <v>3144</v>
      </c>
      <c r="Q225" s="19"/>
      <c r="R225" s="22"/>
      <c r="S225" s="22"/>
      <c r="T225" s="47"/>
      <c r="U225" s="20"/>
      <c r="V225" s="20"/>
    </row>
    <row r="226" customHeight="1" spans="1:22">
      <c r="A226" s="19">
        <v>9</v>
      </c>
      <c r="B226" s="20" t="s">
        <v>4183</v>
      </c>
      <c r="C226" s="22" t="s">
        <v>4184</v>
      </c>
      <c r="D226" s="20" t="s">
        <v>4185</v>
      </c>
      <c r="E226" s="20" t="s">
        <v>451</v>
      </c>
      <c r="F226" s="20" t="s">
        <v>311</v>
      </c>
      <c r="G226" s="101" t="str">
        <f>VLOOKUP(F226,'01. TH'!$B:$E,3,0)</f>
        <v>150x150x200</v>
      </c>
      <c r="H226" s="19" t="s">
        <v>29</v>
      </c>
      <c r="I226" s="19"/>
      <c r="J226" s="20"/>
      <c r="K226" s="19" t="s">
        <v>1839</v>
      </c>
      <c r="L226" s="20"/>
      <c r="M226" s="22"/>
      <c r="N226" s="20" t="s">
        <v>3144</v>
      </c>
      <c r="O226" s="22" t="s">
        <v>4186</v>
      </c>
      <c r="P226" s="20" t="s">
        <v>3144</v>
      </c>
      <c r="Q226" s="19"/>
      <c r="R226" s="22"/>
      <c r="S226" s="22"/>
      <c r="T226" s="47"/>
      <c r="U226" s="20"/>
      <c r="V226" s="20"/>
    </row>
    <row r="227" customHeight="1" spans="1:22">
      <c r="A227" s="19">
        <v>10</v>
      </c>
      <c r="B227" s="20" t="s">
        <v>4092</v>
      </c>
      <c r="C227" s="21"/>
      <c r="D227" s="20" t="s">
        <v>4187</v>
      </c>
      <c r="E227" s="20" t="s">
        <v>451</v>
      </c>
      <c r="F227" s="20" t="s">
        <v>335</v>
      </c>
      <c r="G227" s="101">
        <f>VLOOKUP(F227,'01. TH'!$B:$E,3,0)</f>
        <v>0</v>
      </c>
      <c r="H227" s="19" t="s">
        <v>29</v>
      </c>
      <c r="I227" s="58">
        <v>44927</v>
      </c>
      <c r="J227" s="43">
        <v>0.82</v>
      </c>
      <c r="K227" s="19" t="s">
        <v>1839</v>
      </c>
      <c r="L227" s="20"/>
      <c r="M227" s="22"/>
      <c r="N227" s="20" t="s">
        <v>3144</v>
      </c>
      <c r="O227" s="22" t="s">
        <v>3904</v>
      </c>
      <c r="P227" s="20" t="s">
        <v>3144</v>
      </c>
      <c r="Q227" s="19"/>
      <c r="R227" s="22"/>
      <c r="S227" s="22"/>
      <c r="T227" s="47"/>
      <c r="U227" s="20"/>
      <c r="V227" s="20"/>
    </row>
    <row r="228" customHeight="1" spans="1:22">
      <c r="A228" s="19">
        <v>11</v>
      </c>
      <c r="B228" s="20" t="s">
        <v>4188</v>
      </c>
      <c r="C228" s="22" t="s">
        <v>4189</v>
      </c>
      <c r="D228" s="20" t="s">
        <v>4190</v>
      </c>
      <c r="E228" s="20" t="s">
        <v>451</v>
      </c>
      <c r="F228" s="20" t="s">
        <v>330</v>
      </c>
      <c r="G228" s="101" t="str">
        <f>VLOOKUP(F228,'01. TH'!$B:$E,3,0)</f>
        <v>1800x1180x1152</v>
      </c>
      <c r="H228" s="19" t="s">
        <v>29</v>
      </c>
      <c r="I228" s="19"/>
      <c r="J228" s="20"/>
      <c r="K228" s="19" t="s">
        <v>1839</v>
      </c>
      <c r="L228" s="20"/>
      <c r="M228" s="22"/>
      <c r="N228" s="20" t="s">
        <v>3144</v>
      </c>
      <c r="O228" s="22"/>
      <c r="P228" s="20" t="s">
        <v>3144</v>
      </c>
      <c r="Q228" s="19"/>
      <c r="R228" s="22"/>
      <c r="S228" s="22"/>
      <c r="T228" s="47"/>
      <c r="U228" s="20"/>
      <c r="V228" s="20"/>
    </row>
    <row r="229" customHeight="1" spans="1:22">
      <c r="A229" s="19">
        <v>12</v>
      </c>
      <c r="B229" s="20" t="s">
        <v>4191</v>
      </c>
      <c r="C229" s="22" t="s">
        <v>3915</v>
      </c>
      <c r="D229" s="20" t="s">
        <v>4192</v>
      </c>
      <c r="E229" s="20" t="s">
        <v>451</v>
      </c>
      <c r="F229" s="20" t="s">
        <v>4193</v>
      </c>
      <c r="G229" s="101" t="e">
        <f>VLOOKUP(F229,'01. TH'!$B:$E,3,0)</f>
        <v>#N/A</v>
      </c>
      <c r="H229" s="19" t="s">
        <v>29</v>
      </c>
      <c r="I229" s="19"/>
      <c r="J229" s="20"/>
      <c r="K229" s="19" t="s">
        <v>1839</v>
      </c>
      <c r="L229" s="20"/>
      <c r="M229" s="22"/>
      <c r="N229" s="20" t="s">
        <v>3144</v>
      </c>
      <c r="O229" s="22" t="s">
        <v>4194</v>
      </c>
      <c r="P229" s="20" t="s">
        <v>3144</v>
      </c>
      <c r="Q229" s="19"/>
      <c r="R229" s="22"/>
      <c r="S229" s="22"/>
      <c r="T229" s="47"/>
      <c r="U229" s="20"/>
      <c r="V229" s="20"/>
    </row>
    <row r="230" customHeight="1" spans="1:22">
      <c r="A230" s="19">
        <v>13</v>
      </c>
      <c r="B230" s="20" t="s">
        <v>4195</v>
      </c>
      <c r="C230" s="22" t="s">
        <v>4094</v>
      </c>
      <c r="D230" s="20" t="s">
        <v>4196</v>
      </c>
      <c r="E230" s="20" t="s">
        <v>451</v>
      </c>
      <c r="F230" s="20" t="s">
        <v>4193</v>
      </c>
      <c r="G230" s="101" t="e">
        <f>VLOOKUP(F230,'01. TH'!$B:$E,3,0)</f>
        <v>#N/A</v>
      </c>
      <c r="H230" s="19" t="s">
        <v>29</v>
      </c>
      <c r="I230" s="19"/>
      <c r="J230" s="20"/>
      <c r="K230" s="19" t="s">
        <v>1839</v>
      </c>
      <c r="L230" s="20"/>
      <c r="M230" s="22"/>
      <c r="N230" s="20" t="s">
        <v>3144</v>
      </c>
      <c r="O230" s="22" t="s">
        <v>4194</v>
      </c>
      <c r="P230" s="20" t="s">
        <v>3144</v>
      </c>
      <c r="Q230" s="19"/>
      <c r="R230" s="22"/>
      <c r="S230" s="22"/>
      <c r="T230" s="47"/>
      <c r="U230" s="20"/>
      <c r="V230" s="20"/>
    </row>
    <row r="231" customHeight="1" spans="1:22">
      <c r="A231" s="19">
        <v>14</v>
      </c>
      <c r="B231" s="20" t="s">
        <v>4197</v>
      </c>
      <c r="C231" s="22" t="s">
        <v>3920</v>
      </c>
      <c r="D231" s="20" t="s">
        <v>3821</v>
      </c>
      <c r="E231" s="20" t="s">
        <v>451</v>
      </c>
      <c r="F231" s="20" t="s">
        <v>328</v>
      </c>
      <c r="G231" s="101" t="str">
        <f>VLOOKUP(F231,'01. TH'!$B:$E,3,0)</f>
        <v>1830x1885x1590</v>
      </c>
      <c r="H231" s="19" t="s">
        <v>29</v>
      </c>
      <c r="I231" s="19"/>
      <c r="J231" s="20"/>
      <c r="K231" s="19" t="s">
        <v>1839</v>
      </c>
      <c r="L231" s="20"/>
      <c r="M231" s="22"/>
      <c r="N231" s="20" t="s">
        <v>3144</v>
      </c>
      <c r="O231" s="22" t="s">
        <v>3588</v>
      </c>
      <c r="P231" s="20" t="s">
        <v>3144</v>
      </c>
      <c r="Q231" s="19"/>
      <c r="R231" s="22"/>
      <c r="S231" s="22"/>
      <c r="T231" s="47"/>
      <c r="U231" s="20"/>
      <c r="V231" s="20"/>
    </row>
    <row r="232" customHeight="1" spans="1:22">
      <c r="A232" s="19">
        <v>15</v>
      </c>
      <c r="B232" s="20" t="s">
        <v>4198</v>
      </c>
      <c r="C232" s="22" t="s">
        <v>4199</v>
      </c>
      <c r="D232" s="20" t="s">
        <v>4200</v>
      </c>
      <c r="E232" s="20" t="s">
        <v>451</v>
      </c>
      <c r="F232" s="20" t="s">
        <v>3931</v>
      </c>
      <c r="G232" s="101" t="e">
        <f>VLOOKUP(F232,'01. TH'!$B:$E,3,0)</f>
        <v>#N/A</v>
      </c>
      <c r="H232" s="19" t="s">
        <v>29</v>
      </c>
      <c r="I232" s="19"/>
      <c r="J232" s="20"/>
      <c r="K232" s="19" t="s">
        <v>1839</v>
      </c>
      <c r="L232" s="20"/>
      <c r="M232" s="22"/>
      <c r="N232" s="20" t="s">
        <v>3144</v>
      </c>
      <c r="O232" s="22"/>
      <c r="P232" s="20" t="s">
        <v>3144</v>
      </c>
      <c r="Q232" s="19"/>
      <c r="R232" s="22"/>
      <c r="S232" s="22"/>
      <c r="T232" s="47"/>
      <c r="U232" s="20"/>
      <c r="V232" s="20"/>
    </row>
    <row r="233" customHeight="1" spans="1:22">
      <c r="A233" s="19">
        <v>16</v>
      </c>
      <c r="B233" s="20" t="s">
        <v>4201</v>
      </c>
      <c r="C233" s="22" t="s">
        <v>4202</v>
      </c>
      <c r="D233" s="20" t="s">
        <v>4203</v>
      </c>
      <c r="E233" s="20" t="s">
        <v>451</v>
      </c>
      <c r="F233" s="20" t="s">
        <v>336</v>
      </c>
      <c r="G233" s="101">
        <f>VLOOKUP(F233,'01. TH'!$B:$E,3,0)</f>
        <v>0</v>
      </c>
      <c r="H233" s="19" t="s">
        <v>29</v>
      </c>
      <c r="I233" s="19"/>
      <c r="J233" s="20"/>
      <c r="K233" s="19" t="s">
        <v>1839</v>
      </c>
      <c r="L233" s="20"/>
      <c r="M233" s="22"/>
      <c r="N233" s="20" t="s">
        <v>3144</v>
      </c>
      <c r="O233" s="22" t="s">
        <v>3911</v>
      </c>
      <c r="P233" s="20" t="s">
        <v>3144</v>
      </c>
      <c r="Q233" s="19"/>
      <c r="R233" s="22"/>
      <c r="S233" s="22"/>
      <c r="T233" s="47"/>
      <c r="U233" s="20"/>
      <c r="V233" s="20"/>
    </row>
    <row r="234" customHeight="1" spans="1:22">
      <c r="A234" s="19">
        <v>17</v>
      </c>
      <c r="B234" s="20" t="s">
        <v>4204</v>
      </c>
      <c r="C234" s="22" t="s">
        <v>4205</v>
      </c>
      <c r="D234" s="20" t="s">
        <v>4206</v>
      </c>
      <c r="E234" s="20" t="s">
        <v>451</v>
      </c>
      <c r="F234" s="20" t="s">
        <v>4207</v>
      </c>
      <c r="G234" s="101" t="e">
        <f>VLOOKUP(F234,'01. TH'!$B:$E,3,0)</f>
        <v>#N/A</v>
      </c>
      <c r="H234" s="19" t="s">
        <v>29</v>
      </c>
      <c r="I234" s="19"/>
      <c r="J234" s="20"/>
      <c r="K234" s="19" t="s">
        <v>1839</v>
      </c>
      <c r="L234" s="20"/>
      <c r="M234" s="22"/>
      <c r="N234" s="20" t="s">
        <v>3144</v>
      </c>
      <c r="O234" s="22"/>
      <c r="P234" s="20" t="s">
        <v>3144</v>
      </c>
      <c r="Q234" s="19"/>
      <c r="R234" s="22"/>
      <c r="S234" s="22"/>
      <c r="T234" s="47"/>
      <c r="U234" s="20"/>
      <c r="V234" s="20"/>
    </row>
    <row r="235" customHeight="1" spans="1:22">
      <c r="A235" s="49">
        <v>18</v>
      </c>
      <c r="B235" s="38" t="s">
        <v>4208</v>
      </c>
      <c r="C235" s="39" t="s">
        <v>4209</v>
      </c>
      <c r="D235" s="38" t="s">
        <v>4210</v>
      </c>
      <c r="E235" s="20" t="s">
        <v>451</v>
      </c>
      <c r="F235" s="38" t="s">
        <v>4211</v>
      </c>
      <c r="G235" s="101" t="e">
        <f>VLOOKUP(F235,'01. TH'!$B:$E,3,0)</f>
        <v>#N/A</v>
      </c>
      <c r="H235" s="19" t="s">
        <v>29</v>
      </c>
      <c r="I235" s="49"/>
      <c r="J235" s="38"/>
      <c r="K235" s="49" t="s">
        <v>1839</v>
      </c>
      <c r="L235" s="38"/>
      <c r="M235" s="39"/>
      <c r="N235" s="38" t="s">
        <v>3144</v>
      </c>
      <c r="O235" s="39"/>
      <c r="P235" s="38" t="s">
        <v>3144</v>
      </c>
      <c r="Q235" s="49"/>
      <c r="R235" s="39"/>
      <c r="S235" s="39"/>
      <c r="T235" s="789"/>
      <c r="U235" s="38"/>
      <c r="V235" s="38"/>
    </row>
    <row r="236" customHeight="1" spans="1:22">
      <c r="A236" s="19">
        <v>19</v>
      </c>
      <c r="B236" s="20" t="s">
        <v>4212</v>
      </c>
      <c r="C236" s="22"/>
      <c r="D236" s="20" t="s">
        <v>4213</v>
      </c>
      <c r="E236" s="20" t="s">
        <v>3593</v>
      </c>
      <c r="F236" s="24" t="s">
        <v>318</v>
      </c>
      <c r="G236" s="101" t="str">
        <f>VLOOKUP(F236,'01. TH'!$B:$E,3,0)</f>
        <v>6525x2385x2775</v>
      </c>
      <c r="H236" s="19" t="s">
        <v>29</v>
      </c>
      <c r="I236" s="58">
        <v>45968</v>
      </c>
      <c r="J236" s="20"/>
      <c r="K236" s="19" t="s">
        <v>1839</v>
      </c>
      <c r="L236" s="20" t="s">
        <v>4214</v>
      </c>
      <c r="M236" s="22"/>
      <c r="N236" s="20" t="s">
        <v>4168</v>
      </c>
      <c r="O236" s="22" t="s">
        <v>4045</v>
      </c>
      <c r="P236" s="20" t="s">
        <v>4046</v>
      </c>
      <c r="Q236" s="19">
        <v>2025</v>
      </c>
      <c r="R236" s="22"/>
      <c r="S236" s="792">
        <v>45701</v>
      </c>
      <c r="T236" s="47"/>
      <c r="U236" s="20"/>
      <c r="V236" s="20"/>
    </row>
    <row r="237" customHeight="1" spans="1:22">
      <c r="A237" s="19"/>
      <c r="B237" s="31"/>
      <c r="C237" s="32" t="s">
        <v>1034</v>
      </c>
      <c r="D237" s="20"/>
      <c r="E237" s="31"/>
      <c r="F237" s="31"/>
      <c r="G237" s="101" t="e">
        <f>VLOOKUP(F237,'01. TH'!$B:$E,3,0)</f>
        <v>#N/A</v>
      </c>
      <c r="H237" s="33"/>
      <c r="I237" s="19"/>
      <c r="J237" s="20"/>
      <c r="K237" s="19"/>
      <c r="L237" s="20"/>
      <c r="M237" s="22"/>
      <c r="N237" s="20"/>
      <c r="O237" s="22"/>
      <c r="P237" s="20"/>
      <c r="Q237" s="19"/>
      <c r="R237" s="22"/>
      <c r="S237" s="22"/>
      <c r="T237" s="47"/>
      <c r="U237" s="20"/>
      <c r="V237" s="20"/>
    </row>
    <row r="238" customHeight="1" spans="1:22">
      <c r="A238" s="9" t="s">
        <v>4215</v>
      </c>
      <c r="B238" s="10" t="s">
        <v>4216</v>
      </c>
      <c r="C238" s="604">
        <f>SUM(C239,C298,C359,C424,C470,C531)</f>
        <v>287</v>
      </c>
      <c r="D238" s="45"/>
      <c r="E238" s="45"/>
      <c r="F238" s="45"/>
      <c r="G238" s="9"/>
      <c r="H238" s="46"/>
      <c r="I238" s="46"/>
      <c r="J238" s="45"/>
      <c r="K238" s="46"/>
      <c r="L238" s="45"/>
      <c r="M238" s="793"/>
      <c r="N238" s="45"/>
      <c r="O238" s="793"/>
      <c r="P238" s="45"/>
      <c r="Q238" s="46"/>
      <c r="R238" s="793"/>
      <c r="S238" s="793"/>
      <c r="T238" s="794"/>
      <c r="U238" s="45"/>
      <c r="V238" s="45"/>
    </row>
    <row r="239" customHeight="1" spans="1:22">
      <c r="A239" s="14" t="s">
        <v>1117</v>
      </c>
      <c r="B239" s="15" t="s">
        <v>4217</v>
      </c>
      <c r="C239" s="14">
        <f>COUNTA($B$240:$B$297)</f>
        <v>57</v>
      </c>
      <c r="D239" s="17"/>
      <c r="E239" s="17"/>
      <c r="F239" s="17"/>
      <c r="G239" s="18"/>
      <c r="H239" s="18"/>
      <c r="I239" s="14"/>
      <c r="J239" s="15"/>
      <c r="K239" s="14"/>
      <c r="L239" s="17"/>
      <c r="M239" s="16"/>
      <c r="N239" s="17"/>
      <c r="O239" s="16"/>
      <c r="P239" s="17"/>
      <c r="Q239" s="18"/>
      <c r="R239" s="16"/>
      <c r="S239" s="16"/>
      <c r="T239" s="786"/>
      <c r="U239" s="17"/>
      <c r="V239" s="17"/>
    </row>
    <row r="240" customHeight="1" spans="1:22">
      <c r="A240" s="19">
        <v>1</v>
      </c>
      <c r="B240" s="20" t="s">
        <v>4218</v>
      </c>
      <c r="C240" s="22" t="s">
        <v>4219</v>
      </c>
      <c r="D240" s="20" t="s">
        <v>3870</v>
      </c>
      <c r="E240" s="20" t="s">
        <v>451</v>
      </c>
      <c r="F240" s="20" t="s">
        <v>401</v>
      </c>
      <c r="G240" s="101" t="str">
        <f>VLOOKUP(F240,'01. TH'!$B:$E,3,0)</f>
        <v>1x1x1</v>
      </c>
      <c r="H240" s="19" t="s">
        <v>1121</v>
      </c>
      <c r="I240" s="19"/>
      <c r="J240" s="20"/>
      <c r="K240" s="19" t="s">
        <v>1839</v>
      </c>
      <c r="L240" s="20"/>
      <c r="M240" s="22"/>
      <c r="N240" s="20" t="s">
        <v>3611</v>
      </c>
      <c r="O240" s="22"/>
      <c r="P240" s="20" t="s">
        <v>3613</v>
      </c>
      <c r="Q240" s="19"/>
      <c r="R240" s="22"/>
      <c r="S240" s="22">
        <v>44</v>
      </c>
      <c r="T240" s="47"/>
      <c r="U240" s="20"/>
      <c r="V240" s="20"/>
    </row>
    <row r="241" customHeight="1" spans="1:22">
      <c r="A241" s="19">
        <f>A240+1</f>
        <v>2</v>
      </c>
      <c r="B241" s="20" t="s">
        <v>4220</v>
      </c>
      <c r="C241" s="22" t="s">
        <v>4221</v>
      </c>
      <c r="D241" s="20" t="s">
        <v>4222</v>
      </c>
      <c r="E241" s="20" t="s">
        <v>451</v>
      </c>
      <c r="F241" s="20" t="s">
        <v>401</v>
      </c>
      <c r="G241" s="101" t="str">
        <f>VLOOKUP(F241,'01. TH'!$B:$E,3,0)</f>
        <v>1x1x1</v>
      </c>
      <c r="H241" s="19" t="s">
        <v>1121</v>
      </c>
      <c r="I241" s="19"/>
      <c r="J241" s="20"/>
      <c r="K241" s="19" t="s">
        <v>1839</v>
      </c>
      <c r="L241" s="20"/>
      <c r="M241" s="22"/>
      <c r="N241" s="20" t="s">
        <v>3611</v>
      </c>
      <c r="O241" s="22"/>
      <c r="P241" s="20" t="s">
        <v>3613</v>
      </c>
      <c r="Q241" s="19"/>
      <c r="R241" s="22"/>
      <c r="S241" s="22">
        <v>40</v>
      </c>
      <c r="T241" s="47"/>
      <c r="U241" s="20"/>
      <c r="V241" s="20"/>
    </row>
    <row r="242" customHeight="1" spans="1:22">
      <c r="A242" s="19">
        <f>A825+1</f>
        <v>5</v>
      </c>
      <c r="B242" s="20" t="s">
        <v>4223</v>
      </c>
      <c r="C242" s="20" t="s">
        <v>4224</v>
      </c>
      <c r="D242" s="20"/>
      <c r="E242" s="20" t="s">
        <v>451</v>
      </c>
      <c r="F242" s="20" t="s">
        <v>401</v>
      </c>
      <c r="G242" s="101" t="str">
        <f>VLOOKUP(F242,'01. TH'!$B:$E,3,0)</f>
        <v>1x1x1</v>
      </c>
      <c r="H242" s="19" t="s">
        <v>1121</v>
      </c>
      <c r="I242" s="19"/>
      <c r="J242" s="20"/>
      <c r="K242" s="19" t="s">
        <v>1839</v>
      </c>
      <c r="L242" s="20" t="s">
        <v>4225</v>
      </c>
      <c r="M242" s="22"/>
      <c r="N242" s="20" t="s">
        <v>3611</v>
      </c>
      <c r="O242" s="22"/>
      <c r="P242" s="20" t="s">
        <v>3613</v>
      </c>
      <c r="Q242" s="19"/>
      <c r="R242" s="22"/>
      <c r="S242" s="22"/>
      <c r="T242" s="47"/>
      <c r="U242" s="20"/>
      <c r="V242" s="20"/>
    </row>
    <row r="243" customHeight="1" spans="1:22">
      <c r="A243" s="19">
        <f t="shared" ref="A243:A296" si="4">A242+1</f>
        <v>6</v>
      </c>
      <c r="B243" s="20" t="s">
        <v>4226</v>
      </c>
      <c r="C243" s="20"/>
      <c r="D243" s="20"/>
      <c r="E243" s="20" t="s">
        <v>451</v>
      </c>
      <c r="F243" s="20" t="s">
        <v>4227</v>
      </c>
      <c r="G243" s="101" t="e">
        <f>VLOOKUP(F243,'01. TH'!$B:$E,3,0)</f>
        <v>#N/A</v>
      </c>
      <c r="H243" s="19" t="s">
        <v>1121</v>
      </c>
      <c r="I243" s="19"/>
      <c r="J243" s="20"/>
      <c r="K243" s="19" t="s">
        <v>1839</v>
      </c>
      <c r="L243" s="20"/>
      <c r="M243" s="22"/>
      <c r="N243" s="20" t="s">
        <v>3611</v>
      </c>
      <c r="O243" s="22"/>
      <c r="P243" s="20" t="s">
        <v>3613</v>
      </c>
      <c r="Q243" s="19"/>
      <c r="R243" s="22"/>
      <c r="S243" s="22"/>
      <c r="T243" s="47"/>
      <c r="U243" s="20"/>
      <c r="V243" s="20"/>
    </row>
    <row r="244" customHeight="1" spans="1:22">
      <c r="A244" s="19">
        <f t="shared" si="4"/>
        <v>7</v>
      </c>
      <c r="B244" s="20" t="s">
        <v>4228</v>
      </c>
      <c r="C244" s="20"/>
      <c r="D244" s="20" t="s">
        <v>4229</v>
      </c>
      <c r="E244" s="20" t="s">
        <v>451</v>
      </c>
      <c r="F244" s="20" t="s">
        <v>299</v>
      </c>
      <c r="G244" s="101">
        <f>VLOOKUP(F244,'01. TH'!$B:$E,3,0)</f>
        <v>0</v>
      </c>
      <c r="H244" s="19" t="s">
        <v>1121</v>
      </c>
      <c r="I244" s="19"/>
      <c r="J244" s="20"/>
      <c r="K244" s="19" t="s">
        <v>1839</v>
      </c>
      <c r="L244" s="20"/>
      <c r="M244" s="22"/>
      <c r="N244" s="20" t="s">
        <v>3144</v>
      </c>
      <c r="O244" s="22"/>
      <c r="P244" s="20" t="s">
        <v>3144</v>
      </c>
      <c r="Q244" s="19"/>
      <c r="R244" s="20"/>
      <c r="S244" s="22"/>
      <c r="T244" s="47"/>
      <c r="U244" s="20"/>
      <c r="V244" s="20"/>
    </row>
    <row r="245" customHeight="1" spans="1:22">
      <c r="A245" s="19">
        <f t="shared" si="4"/>
        <v>8</v>
      </c>
      <c r="B245" s="20" t="s">
        <v>4230</v>
      </c>
      <c r="C245" s="20"/>
      <c r="D245" s="20" t="s">
        <v>4231</v>
      </c>
      <c r="E245" s="20" t="s">
        <v>451</v>
      </c>
      <c r="F245" s="20" t="s">
        <v>299</v>
      </c>
      <c r="G245" s="101">
        <f>VLOOKUP(F245,'01. TH'!$B:$E,3,0)</f>
        <v>0</v>
      </c>
      <c r="H245" s="19" t="s">
        <v>1121</v>
      </c>
      <c r="I245" s="19"/>
      <c r="J245" s="20"/>
      <c r="K245" s="19" t="s">
        <v>1839</v>
      </c>
      <c r="L245" s="20"/>
      <c r="M245" s="22"/>
      <c r="N245" s="20" t="s">
        <v>3144</v>
      </c>
      <c r="O245" s="22"/>
      <c r="P245" s="20" t="s">
        <v>3144</v>
      </c>
      <c r="Q245" s="19"/>
      <c r="R245" s="20"/>
      <c r="S245" s="22"/>
      <c r="T245" s="47"/>
      <c r="U245" s="20"/>
      <c r="V245" s="20"/>
    </row>
    <row r="246" customHeight="1" spans="1:22">
      <c r="A246" s="19">
        <f t="shared" si="4"/>
        <v>9</v>
      </c>
      <c r="B246" s="20" t="s">
        <v>4232</v>
      </c>
      <c r="C246" s="20"/>
      <c r="D246" s="20" t="s">
        <v>4233</v>
      </c>
      <c r="E246" s="20" t="s">
        <v>451</v>
      </c>
      <c r="F246" s="20" t="s">
        <v>299</v>
      </c>
      <c r="G246" s="101">
        <f>VLOOKUP(F246,'01. TH'!$B:$E,3,0)</f>
        <v>0</v>
      </c>
      <c r="H246" s="19" t="s">
        <v>1121</v>
      </c>
      <c r="I246" s="19"/>
      <c r="J246" s="20"/>
      <c r="K246" s="19" t="s">
        <v>1839</v>
      </c>
      <c r="L246" s="20"/>
      <c r="M246" s="22"/>
      <c r="N246" s="20" t="s">
        <v>3144</v>
      </c>
      <c r="O246" s="22"/>
      <c r="P246" s="20" t="s">
        <v>3144</v>
      </c>
      <c r="Q246" s="19"/>
      <c r="R246" s="20"/>
      <c r="S246" s="22"/>
      <c r="T246" s="47"/>
      <c r="U246" s="20"/>
      <c r="V246" s="20"/>
    </row>
    <row r="247" customHeight="1" spans="1:22">
      <c r="A247" s="19">
        <f t="shared" si="4"/>
        <v>10</v>
      </c>
      <c r="B247" s="20" t="s">
        <v>4234</v>
      </c>
      <c r="C247" s="20"/>
      <c r="D247" s="20" t="s">
        <v>4235</v>
      </c>
      <c r="E247" s="20" t="s">
        <v>451</v>
      </c>
      <c r="F247" s="20" t="s">
        <v>299</v>
      </c>
      <c r="G247" s="101">
        <f>VLOOKUP(F247,'01. TH'!$B:$E,3,0)</f>
        <v>0</v>
      </c>
      <c r="H247" s="19" t="s">
        <v>1121</v>
      </c>
      <c r="I247" s="19"/>
      <c r="J247" s="20"/>
      <c r="K247" s="19" t="s">
        <v>1839</v>
      </c>
      <c r="L247" s="20"/>
      <c r="M247" s="22"/>
      <c r="N247" s="20" t="s">
        <v>3144</v>
      </c>
      <c r="O247" s="22"/>
      <c r="P247" s="20" t="s">
        <v>3144</v>
      </c>
      <c r="Q247" s="19"/>
      <c r="R247" s="20"/>
      <c r="S247" s="22"/>
      <c r="T247" s="47"/>
      <c r="U247" s="20"/>
      <c r="V247" s="20"/>
    </row>
    <row r="248" customHeight="1" spans="1:22">
      <c r="A248" s="19">
        <f t="shared" si="4"/>
        <v>11</v>
      </c>
      <c r="B248" s="20" t="s">
        <v>4236</v>
      </c>
      <c r="C248" s="20"/>
      <c r="D248" s="20" t="s">
        <v>4237</v>
      </c>
      <c r="E248" s="20" t="s">
        <v>451</v>
      </c>
      <c r="F248" s="20" t="s">
        <v>299</v>
      </c>
      <c r="G248" s="101">
        <f>VLOOKUP(F248,'01. TH'!$B:$E,3,0)</f>
        <v>0</v>
      </c>
      <c r="H248" s="19" t="s">
        <v>1121</v>
      </c>
      <c r="I248" s="19"/>
      <c r="J248" s="20"/>
      <c r="K248" s="19" t="s">
        <v>1839</v>
      </c>
      <c r="L248" s="20"/>
      <c r="M248" s="22"/>
      <c r="N248" s="20" t="s">
        <v>3144</v>
      </c>
      <c r="O248" s="22"/>
      <c r="P248" s="20" t="s">
        <v>3144</v>
      </c>
      <c r="Q248" s="19"/>
      <c r="R248" s="20"/>
      <c r="S248" s="22"/>
      <c r="T248" s="47"/>
      <c r="U248" s="20"/>
      <c r="V248" s="20"/>
    </row>
    <row r="249" customHeight="1" spans="1:22">
      <c r="A249" s="19">
        <f t="shared" si="4"/>
        <v>12</v>
      </c>
      <c r="B249" s="20" t="s">
        <v>4238</v>
      </c>
      <c r="C249" s="20"/>
      <c r="D249" s="20" t="s">
        <v>4239</v>
      </c>
      <c r="E249" s="20" t="s">
        <v>451</v>
      </c>
      <c r="F249" s="20" t="s">
        <v>299</v>
      </c>
      <c r="G249" s="101">
        <f>VLOOKUP(F249,'01. TH'!$B:$E,3,0)</f>
        <v>0</v>
      </c>
      <c r="H249" s="19" t="s">
        <v>1121</v>
      </c>
      <c r="I249" s="19"/>
      <c r="J249" s="20"/>
      <c r="K249" s="19" t="s">
        <v>1839</v>
      </c>
      <c r="L249" s="20"/>
      <c r="M249" s="22"/>
      <c r="N249" s="20" t="s">
        <v>3144</v>
      </c>
      <c r="O249" s="22"/>
      <c r="P249" s="20" t="s">
        <v>3144</v>
      </c>
      <c r="Q249" s="19"/>
      <c r="R249" s="20"/>
      <c r="S249" s="22"/>
      <c r="T249" s="47"/>
      <c r="U249" s="20"/>
      <c r="V249" s="20"/>
    </row>
    <row r="250" customHeight="1" spans="1:22">
      <c r="A250" s="19">
        <f t="shared" si="4"/>
        <v>13</v>
      </c>
      <c r="B250" s="20" t="s">
        <v>4240</v>
      </c>
      <c r="C250" s="20"/>
      <c r="D250" s="20" t="s">
        <v>4241</v>
      </c>
      <c r="E250" s="20" t="s">
        <v>451</v>
      </c>
      <c r="F250" s="20" t="s">
        <v>299</v>
      </c>
      <c r="G250" s="101">
        <f>VLOOKUP(F250,'01. TH'!$B:$E,3,0)</f>
        <v>0</v>
      </c>
      <c r="H250" s="19" t="s">
        <v>1121</v>
      </c>
      <c r="I250" s="19"/>
      <c r="J250" s="20"/>
      <c r="K250" s="19" t="s">
        <v>1839</v>
      </c>
      <c r="L250" s="20"/>
      <c r="M250" s="22"/>
      <c r="N250" s="20" t="s">
        <v>3144</v>
      </c>
      <c r="O250" s="22"/>
      <c r="P250" s="20" t="s">
        <v>3144</v>
      </c>
      <c r="Q250" s="19"/>
      <c r="R250" s="20"/>
      <c r="S250" s="22"/>
      <c r="T250" s="47"/>
      <c r="U250" s="20"/>
      <c r="V250" s="20"/>
    </row>
    <row r="251" customHeight="1" spans="1:22">
      <c r="A251" s="19">
        <f t="shared" si="4"/>
        <v>14</v>
      </c>
      <c r="B251" s="20" t="s">
        <v>4242</v>
      </c>
      <c r="C251" s="20"/>
      <c r="D251" s="20" t="s">
        <v>4243</v>
      </c>
      <c r="E251" s="20" t="s">
        <v>451</v>
      </c>
      <c r="F251" s="20" t="s">
        <v>299</v>
      </c>
      <c r="G251" s="101">
        <f>VLOOKUP(F251,'01. TH'!$B:$E,3,0)</f>
        <v>0</v>
      </c>
      <c r="H251" s="19" t="s">
        <v>1121</v>
      </c>
      <c r="I251" s="19"/>
      <c r="J251" s="20"/>
      <c r="K251" s="19" t="s">
        <v>1839</v>
      </c>
      <c r="L251" s="20"/>
      <c r="M251" s="22"/>
      <c r="N251" s="20" t="s">
        <v>3144</v>
      </c>
      <c r="O251" s="22"/>
      <c r="P251" s="20" t="s">
        <v>3144</v>
      </c>
      <c r="Q251" s="19"/>
      <c r="R251" s="20"/>
      <c r="S251" s="22"/>
      <c r="T251" s="47"/>
      <c r="U251" s="20"/>
      <c r="V251" s="20"/>
    </row>
    <row r="252" customHeight="1" spans="1:22">
      <c r="A252" s="19">
        <f t="shared" si="4"/>
        <v>15</v>
      </c>
      <c r="B252" s="20" t="s">
        <v>4244</v>
      </c>
      <c r="C252" s="20"/>
      <c r="D252" s="20" t="s">
        <v>4245</v>
      </c>
      <c r="E252" s="20" t="s">
        <v>451</v>
      </c>
      <c r="F252" s="20" t="s">
        <v>299</v>
      </c>
      <c r="G252" s="101">
        <f>VLOOKUP(F252,'01. TH'!$B:$E,3,0)</f>
        <v>0</v>
      </c>
      <c r="H252" s="19" t="s">
        <v>1121</v>
      </c>
      <c r="I252" s="19"/>
      <c r="J252" s="20"/>
      <c r="K252" s="19" t="s">
        <v>1839</v>
      </c>
      <c r="L252" s="20"/>
      <c r="M252" s="22"/>
      <c r="N252" s="20" t="s">
        <v>3144</v>
      </c>
      <c r="O252" s="22"/>
      <c r="P252" s="20" t="s">
        <v>3144</v>
      </c>
      <c r="Q252" s="19"/>
      <c r="R252" s="20"/>
      <c r="S252" s="22"/>
      <c r="T252" s="47"/>
      <c r="U252" s="20"/>
      <c r="V252" s="20"/>
    </row>
    <row r="253" customHeight="1" spans="1:22">
      <c r="A253" s="19">
        <f t="shared" si="4"/>
        <v>16</v>
      </c>
      <c r="B253" s="38" t="s">
        <v>4246</v>
      </c>
      <c r="C253" s="22" t="s">
        <v>4247</v>
      </c>
      <c r="D253" s="20" t="s">
        <v>4248</v>
      </c>
      <c r="E253" s="20" t="s">
        <v>451</v>
      </c>
      <c r="F253" s="20" t="s">
        <v>383</v>
      </c>
      <c r="G253" s="101">
        <f>VLOOKUP(F253,'01. TH'!$B:$E,3,0)</f>
        <v>0</v>
      </c>
      <c r="H253" s="49" t="s">
        <v>1121</v>
      </c>
      <c r="I253" s="58">
        <v>45446</v>
      </c>
      <c r="J253" s="20"/>
      <c r="K253" s="19" t="s">
        <v>1839</v>
      </c>
      <c r="L253" s="20"/>
      <c r="M253" s="22"/>
      <c r="N253" s="20" t="s">
        <v>2742</v>
      </c>
      <c r="O253" s="22" t="s">
        <v>4249</v>
      </c>
      <c r="P253" s="20" t="s">
        <v>2742</v>
      </c>
      <c r="Q253" s="19"/>
      <c r="R253" s="22"/>
      <c r="S253" s="39" t="s">
        <v>4250</v>
      </c>
      <c r="T253" s="789">
        <v>8.47</v>
      </c>
      <c r="U253" s="38"/>
      <c r="V253" s="38"/>
    </row>
    <row r="254" customHeight="1" spans="1:22">
      <c r="A254" s="19">
        <f t="shared" si="4"/>
        <v>17</v>
      </c>
      <c r="B254" s="20" t="s">
        <v>4251</v>
      </c>
      <c r="C254" s="20" t="s">
        <v>4252</v>
      </c>
      <c r="D254" s="20" t="s">
        <v>4253</v>
      </c>
      <c r="E254" s="20" t="s">
        <v>451</v>
      </c>
      <c r="F254" s="20" t="s">
        <v>395</v>
      </c>
      <c r="G254" s="101" t="str">
        <f>VLOOKUP(F254,'01. TH'!$B:$E,3,0)</f>
        <v>3000 x 1.600 x 1200</v>
      </c>
      <c r="H254" s="19" t="s">
        <v>1121</v>
      </c>
      <c r="I254" s="19" t="s">
        <v>2587</v>
      </c>
      <c r="J254" s="20"/>
      <c r="K254" s="19" t="s">
        <v>1839</v>
      </c>
      <c r="L254" s="20"/>
      <c r="M254" s="22"/>
      <c r="N254" s="20" t="s">
        <v>3611</v>
      </c>
      <c r="O254" s="22"/>
      <c r="P254" s="20" t="s">
        <v>3613</v>
      </c>
      <c r="Q254" s="19"/>
      <c r="R254" s="22" t="s">
        <v>4254</v>
      </c>
      <c r="S254" s="22"/>
      <c r="T254" s="47"/>
      <c r="U254" s="20"/>
      <c r="V254" s="20"/>
    </row>
    <row r="255" customHeight="1" spans="1:22">
      <c r="A255" s="19">
        <f t="shared" si="4"/>
        <v>18</v>
      </c>
      <c r="B255" s="20" t="s">
        <v>4255</v>
      </c>
      <c r="C255" s="20" t="s">
        <v>4256</v>
      </c>
      <c r="D255" s="20" t="s">
        <v>4257</v>
      </c>
      <c r="E255" s="20" t="s">
        <v>451</v>
      </c>
      <c r="F255" s="20" t="s">
        <v>395</v>
      </c>
      <c r="G255" s="101" t="str">
        <f>VLOOKUP(F255,'01. TH'!$B:$E,3,0)</f>
        <v>3000 x 1.600 x 1200</v>
      </c>
      <c r="H255" s="19" t="s">
        <v>1121</v>
      </c>
      <c r="I255" s="19" t="s">
        <v>2587</v>
      </c>
      <c r="J255" s="20"/>
      <c r="K255" s="19" t="s">
        <v>1839</v>
      </c>
      <c r="L255" s="20"/>
      <c r="M255" s="22"/>
      <c r="N255" s="20" t="s">
        <v>3611</v>
      </c>
      <c r="O255" s="22"/>
      <c r="P255" s="20" t="s">
        <v>3613</v>
      </c>
      <c r="Q255" s="19"/>
      <c r="R255" s="22" t="s">
        <v>4254</v>
      </c>
      <c r="S255" s="22"/>
      <c r="T255" s="47"/>
      <c r="U255" s="20"/>
      <c r="V255" s="20"/>
    </row>
    <row r="256" customHeight="1" spans="1:22">
      <c r="A256" s="19">
        <f t="shared" si="4"/>
        <v>19</v>
      </c>
      <c r="B256" s="20" t="s">
        <v>4258</v>
      </c>
      <c r="C256" s="20" t="s">
        <v>4259</v>
      </c>
      <c r="D256" s="20" t="s">
        <v>4260</v>
      </c>
      <c r="E256" s="20" t="s">
        <v>451</v>
      </c>
      <c r="F256" s="20" t="s">
        <v>395</v>
      </c>
      <c r="G256" s="101" t="str">
        <f>VLOOKUP(F256,'01. TH'!$B:$E,3,0)</f>
        <v>3000 x 1.600 x 1200</v>
      </c>
      <c r="H256" s="19" t="s">
        <v>1121</v>
      </c>
      <c r="I256" s="19" t="s">
        <v>2587</v>
      </c>
      <c r="J256" s="20"/>
      <c r="K256" s="19" t="s">
        <v>1839</v>
      </c>
      <c r="L256" s="20"/>
      <c r="M256" s="22"/>
      <c r="N256" s="20" t="s">
        <v>3611</v>
      </c>
      <c r="O256" s="22"/>
      <c r="P256" s="20" t="s">
        <v>3613</v>
      </c>
      <c r="Q256" s="19"/>
      <c r="R256" s="22" t="s">
        <v>4254</v>
      </c>
      <c r="S256" s="22"/>
      <c r="T256" s="47"/>
      <c r="U256" s="20"/>
      <c r="V256" s="20"/>
    </row>
    <row r="257" customHeight="1" spans="1:22">
      <c r="A257" s="19">
        <f t="shared" si="4"/>
        <v>20</v>
      </c>
      <c r="B257" s="20" t="s">
        <v>4261</v>
      </c>
      <c r="C257" s="20" t="s">
        <v>4262</v>
      </c>
      <c r="D257" s="20" t="s">
        <v>4263</v>
      </c>
      <c r="E257" s="20" t="s">
        <v>451</v>
      </c>
      <c r="F257" s="20" t="s">
        <v>395</v>
      </c>
      <c r="G257" s="101" t="str">
        <f>VLOOKUP(F257,'01. TH'!$B:$E,3,0)</f>
        <v>3000 x 1.600 x 1200</v>
      </c>
      <c r="H257" s="19" t="s">
        <v>1121</v>
      </c>
      <c r="I257" s="19" t="s">
        <v>2587</v>
      </c>
      <c r="J257" s="20"/>
      <c r="K257" s="19" t="s">
        <v>1839</v>
      </c>
      <c r="L257" s="20"/>
      <c r="M257" s="22"/>
      <c r="N257" s="20" t="s">
        <v>3611</v>
      </c>
      <c r="O257" s="22"/>
      <c r="P257" s="20" t="s">
        <v>3613</v>
      </c>
      <c r="Q257" s="19"/>
      <c r="R257" s="22" t="s">
        <v>4254</v>
      </c>
      <c r="S257" s="22"/>
      <c r="T257" s="47"/>
      <c r="U257" s="20"/>
      <c r="V257" s="20"/>
    </row>
    <row r="258" customHeight="1" spans="1:22">
      <c r="A258" s="19">
        <f t="shared" si="4"/>
        <v>21</v>
      </c>
      <c r="B258" s="20" t="s">
        <v>4264</v>
      </c>
      <c r="C258" s="20" t="s">
        <v>4265</v>
      </c>
      <c r="D258" s="20" t="s">
        <v>4266</v>
      </c>
      <c r="E258" s="20" t="s">
        <v>451</v>
      </c>
      <c r="F258" s="20" t="s">
        <v>395</v>
      </c>
      <c r="G258" s="101" t="str">
        <f>VLOOKUP(F258,'01. TH'!$B:$E,3,0)</f>
        <v>3000 x 1.600 x 1200</v>
      </c>
      <c r="H258" s="19" t="s">
        <v>1121</v>
      </c>
      <c r="I258" s="19" t="s">
        <v>2587</v>
      </c>
      <c r="J258" s="20"/>
      <c r="K258" s="19" t="s">
        <v>1839</v>
      </c>
      <c r="L258" s="20"/>
      <c r="M258" s="22"/>
      <c r="N258" s="20" t="s">
        <v>3611</v>
      </c>
      <c r="O258" s="22"/>
      <c r="P258" s="20" t="s">
        <v>3613</v>
      </c>
      <c r="Q258" s="19"/>
      <c r="R258" s="22" t="s">
        <v>4254</v>
      </c>
      <c r="S258" s="22"/>
      <c r="T258" s="47"/>
      <c r="U258" s="20"/>
      <c r="V258" s="20"/>
    </row>
    <row r="259" customHeight="1" spans="1:22">
      <c r="A259" s="19">
        <f t="shared" si="4"/>
        <v>22</v>
      </c>
      <c r="B259" s="20" t="s">
        <v>4267</v>
      </c>
      <c r="C259" s="20" t="s">
        <v>4268</v>
      </c>
      <c r="D259" s="20" t="s">
        <v>4269</v>
      </c>
      <c r="E259" s="20" t="s">
        <v>451</v>
      </c>
      <c r="F259" s="20" t="s">
        <v>395</v>
      </c>
      <c r="G259" s="101" t="str">
        <f>VLOOKUP(F259,'01. TH'!$B:$E,3,0)</f>
        <v>3000 x 1.600 x 1200</v>
      </c>
      <c r="H259" s="19" t="s">
        <v>1121</v>
      </c>
      <c r="I259" s="19" t="s">
        <v>2587</v>
      </c>
      <c r="J259" s="20"/>
      <c r="K259" s="19" t="s">
        <v>1839</v>
      </c>
      <c r="L259" s="20"/>
      <c r="M259" s="22"/>
      <c r="N259" s="20" t="s">
        <v>3611</v>
      </c>
      <c r="O259" s="22"/>
      <c r="P259" s="20" t="s">
        <v>3613</v>
      </c>
      <c r="Q259" s="19"/>
      <c r="R259" s="22" t="s">
        <v>4254</v>
      </c>
      <c r="S259" s="22"/>
      <c r="T259" s="47"/>
      <c r="U259" s="20"/>
      <c r="V259" s="20"/>
    </row>
    <row r="260" customHeight="1" spans="1:22">
      <c r="A260" s="19">
        <f t="shared" si="4"/>
        <v>23</v>
      </c>
      <c r="B260" s="20" t="s">
        <v>4270</v>
      </c>
      <c r="C260" s="20" t="s">
        <v>4271</v>
      </c>
      <c r="D260" s="20" t="s">
        <v>4272</v>
      </c>
      <c r="E260" s="20" t="s">
        <v>451</v>
      </c>
      <c r="F260" s="20" t="s">
        <v>395</v>
      </c>
      <c r="G260" s="101" t="str">
        <f>VLOOKUP(F260,'01. TH'!$B:$E,3,0)</f>
        <v>3000 x 1.600 x 1200</v>
      </c>
      <c r="H260" s="19" t="s">
        <v>1121</v>
      </c>
      <c r="I260" s="19" t="s">
        <v>2587</v>
      </c>
      <c r="J260" s="20"/>
      <c r="K260" s="19" t="s">
        <v>1839</v>
      </c>
      <c r="L260" s="20"/>
      <c r="M260" s="22"/>
      <c r="N260" s="20" t="s">
        <v>3611</v>
      </c>
      <c r="O260" s="22"/>
      <c r="P260" s="20" t="s">
        <v>3613</v>
      </c>
      <c r="Q260" s="19"/>
      <c r="R260" s="22" t="s">
        <v>4254</v>
      </c>
      <c r="S260" s="22"/>
      <c r="T260" s="47"/>
      <c r="U260" s="20"/>
      <c r="V260" s="20"/>
    </row>
    <row r="261" customHeight="1" spans="1:22">
      <c r="A261" s="19">
        <f t="shared" si="4"/>
        <v>24</v>
      </c>
      <c r="B261" s="20" t="s">
        <v>4273</v>
      </c>
      <c r="C261" s="20"/>
      <c r="D261" s="20" t="s">
        <v>4274</v>
      </c>
      <c r="E261" s="20" t="s">
        <v>451</v>
      </c>
      <c r="F261" s="20" t="s">
        <v>410</v>
      </c>
      <c r="G261" s="101">
        <f>VLOOKUP(F261,'01. TH'!$B:$E,3,0)</f>
        <v>0</v>
      </c>
      <c r="H261" s="19" t="s">
        <v>1121</v>
      </c>
      <c r="I261" s="19"/>
      <c r="J261" s="20"/>
      <c r="K261" s="19" t="s">
        <v>1839</v>
      </c>
      <c r="L261" s="20" t="s">
        <v>4275</v>
      </c>
      <c r="M261" s="22"/>
      <c r="N261" s="20" t="s">
        <v>3611</v>
      </c>
      <c r="O261" s="22"/>
      <c r="P261" s="20" t="s">
        <v>3613</v>
      </c>
      <c r="Q261" s="19"/>
      <c r="R261" s="22"/>
      <c r="S261" s="22"/>
      <c r="T261" s="47"/>
      <c r="U261" s="20"/>
      <c r="V261" s="20"/>
    </row>
    <row r="262" customHeight="1" spans="1:22">
      <c r="A262" s="19">
        <f t="shared" si="4"/>
        <v>25</v>
      </c>
      <c r="B262" s="20" t="s">
        <v>4276</v>
      </c>
      <c r="C262" s="21"/>
      <c r="D262" s="20" t="s">
        <v>3952</v>
      </c>
      <c r="E262" s="20" t="s">
        <v>451</v>
      </c>
      <c r="F262" s="20" t="s">
        <v>408</v>
      </c>
      <c r="G262" s="101" t="str">
        <f>VLOOKUP(F262,'01. TH'!$B:$E,3,0)</f>
        <v>6.1x2.4x0.9</v>
      </c>
      <c r="H262" s="19" t="s">
        <v>1121</v>
      </c>
      <c r="I262" s="19" t="s">
        <v>4277</v>
      </c>
      <c r="J262" s="20"/>
      <c r="K262" s="19" t="s">
        <v>1839</v>
      </c>
      <c r="L262" s="20"/>
      <c r="M262" s="22"/>
      <c r="N262" s="20" t="s">
        <v>3611</v>
      </c>
      <c r="O262" s="22"/>
      <c r="P262" s="20" t="s">
        <v>3613</v>
      </c>
      <c r="Q262" s="19"/>
      <c r="R262" s="22" t="s">
        <v>4278</v>
      </c>
      <c r="S262" s="22"/>
      <c r="T262" s="47"/>
      <c r="U262" s="20"/>
      <c r="V262" s="20"/>
    </row>
    <row r="263" customHeight="1" spans="1:22">
      <c r="A263" s="19">
        <f t="shared" si="4"/>
        <v>26</v>
      </c>
      <c r="B263" s="20" t="s">
        <v>4279</v>
      </c>
      <c r="C263" s="20"/>
      <c r="D263" s="20" t="s">
        <v>4280</v>
      </c>
      <c r="E263" s="20" t="s">
        <v>451</v>
      </c>
      <c r="F263" s="20" t="s">
        <v>4281</v>
      </c>
      <c r="G263" s="101" t="e">
        <f>VLOOKUP(F263,'01. TH'!$B:$E,3,0)</f>
        <v>#N/A</v>
      </c>
      <c r="H263" s="19" t="s">
        <v>1121</v>
      </c>
      <c r="I263" s="19" t="s">
        <v>4282</v>
      </c>
      <c r="J263" s="20"/>
      <c r="K263" s="19" t="s">
        <v>1839</v>
      </c>
      <c r="L263" s="20"/>
      <c r="M263" s="22"/>
      <c r="N263" s="20" t="s">
        <v>3611</v>
      </c>
      <c r="O263" s="22"/>
      <c r="P263" s="20" t="s">
        <v>3613</v>
      </c>
      <c r="Q263" s="19"/>
      <c r="R263" s="612"/>
      <c r="S263" s="22"/>
      <c r="T263" s="47"/>
      <c r="U263" s="20"/>
      <c r="V263" s="20"/>
    </row>
    <row r="264" customHeight="1" spans="1:22">
      <c r="A264" s="19">
        <f t="shared" si="4"/>
        <v>27</v>
      </c>
      <c r="B264" s="20" t="s">
        <v>4283</v>
      </c>
      <c r="C264" s="20"/>
      <c r="D264" s="20" t="s">
        <v>4284</v>
      </c>
      <c r="E264" s="20" t="s">
        <v>451</v>
      </c>
      <c r="F264" s="20" t="s">
        <v>4285</v>
      </c>
      <c r="G264" s="101" t="e">
        <f>VLOOKUP(F264,'01. TH'!$B:$E,3,0)</f>
        <v>#N/A</v>
      </c>
      <c r="H264" s="19" t="s">
        <v>1121</v>
      </c>
      <c r="I264" s="19" t="s">
        <v>4282</v>
      </c>
      <c r="J264" s="20"/>
      <c r="K264" s="19" t="s">
        <v>1839</v>
      </c>
      <c r="L264" s="20"/>
      <c r="M264" s="22"/>
      <c r="N264" s="20" t="s">
        <v>3611</v>
      </c>
      <c r="O264" s="22"/>
      <c r="P264" s="20" t="s">
        <v>3613</v>
      </c>
      <c r="Q264" s="19"/>
      <c r="R264" s="612"/>
      <c r="S264" s="22"/>
      <c r="T264" s="47"/>
      <c r="U264" s="20"/>
      <c r="V264" s="20"/>
    </row>
    <row r="265" customHeight="1" spans="1:22">
      <c r="A265" s="19">
        <f t="shared" si="4"/>
        <v>28</v>
      </c>
      <c r="B265" s="20" t="s">
        <v>4286</v>
      </c>
      <c r="C265" s="20"/>
      <c r="D265" s="20" t="s">
        <v>4287</v>
      </c>
      <c r="E265" s="20" t="s">
        <v>451</v>
      </c>
      <c r="F265" s="20" t="s">
        <v>4288</v>
      </c>
      <c r="G265" s="101" t="e">
        <f>VLOOKUP(F265,'01. TH'!$B:$E,3,0)</f>
        <v>#N/A</v>
      </c>
      <c r="H265" s="19" t="s">
        <v>1121</v>
      </c>
      <c r="I265" s="19" t="s">
        <v>4282</v>
      </c>
      <c r="J265" s="20"/>
      <c r="K265" s="19" t="s">
        <v>1839</v>
      </c>
      <c r="L265" s="20"/>
      <c r="M265" s="22"/>
      <c r="N265" s="20" t="s">
        <v>3611</v>
      </c>
      <c r="O265" s="22"/>
      <c r="P265" s="20" t="s">
        <v>3613</v>
      </c>
      <c r="Q265" s="19"/>
      <c r="R265" s="612"/>
      <c r="S265" s="22"/>
      <c r="T265" s="47"/>
      <c r="U265" s="20"/>
      <c r="V265" s="20"/>
    </row>
    <row r="266" customHeight="1" spans="1:22">
      <c r="A266" s="19">
        <f t="shared" si="4"/>
        <v>29</v>
      </c>
      <c r="B266" s="20" t="s">
        <v>4289</v>
      </c>
      <c r="C266" s="20"/>
      <c r="D266" s="20" t="s">
        <v>4290</v>
      </c>
      <c r="E266" s="20" t="s">
        <v>451</v>
      </c>
      <c r="F266" s="24" t="s">
        <v>3632</v>
      </c>
      <c r="G266" s="101" t="e">
        <f>VLOOKUP(F266,'01. TH'!$B:$E,3,0)</f>
        <v>#N/A</v>
      </c>
      <c r="H266" s="19" t="s">
        <v>1121</v>
      </c>
      <c r="I266" s="19" t="s">
        <v>3796</v>
      </c>
      <c r="J266" s="20"/>
      <c r="K266" s="19" t="s">
        <v>1839</v>
      </c>
      <c r="L266" s="20"/>
      <c r="M266" s="20" t="s">
        <v>3925</v>
      </c>
      <c r="N266" s="20" t="s">
        <v>3611</v>
      </c>
      <c r="O266" s="22"/>
      <c r="P266" s="20" t="s">
        <v>3613</v>
      </c>
      <c r="Q266" s="19">
        <v>2025</v>
      </c>
      <c r="R266" s="22" t="s">
        <v>3639</v>
      </c>
      <c r="S266" s="22"/>
      <c r="T266" s="47"/>
      <c r="U266" s="20"/>
      <c r="V266" s="20"/>
    </row>
    <row r="267" customHeight="1" spans="1:22">
      <c r="A267" s="19">
        <f t="shared" si="4"/>
        <v>30</v>
      </c>
      <c r="B267" s="20" t="s">
        <v>4291</v>
      </c>
      <c r="C267" s="20"/>
      <c r="D267" s="20" t="s">
        <v>4292</v>
      </c>
      <c r="E267" s="20" t="s">
        <v>451</v>
      </c>
      <c r="F267" s="24" t="s">
        <v>3632</v>
      </c>
      <c r="G267" s="101" t="e">
        <f>VLOOKUP(F267,'01. TH'!$B:$E,3,0)</f>
        <v>#N/A</v>
      </c>
      <c r="H267" s="19" t="s">
        <v>1121</v>
      </c>
      <c r="I267" s="19" t="s">
        <v>3796</v>
      </c>
      <c r="J267" s="20"/>
      <c r="K267" s="19" t="s">
        <v>1839</v>
      </c>
      <c r="L267" s="20"/>
      <c r="M267" s="20" t="s">
        <v>3925</v>
      </c>
      <c r="N267" s="20" t="s">
        <v>3611</v>
      </c>
      <c r="O267" s="22"/>
      <c r="P267" s="20" t="s">
        <v>3613</v>
      </c>
      <c r="Q267" s="19">
        <v>2025</v>
      </c>
      <c r="R267" s="22" t="s">
        <v>3639</v>
      </c>
      <c r="S267" s="22"/>
      <c r="T267" s="47"/>
      <c r="U267" s="20"/>
      <c r="V267" s="20"/>
    </row>
    <row r="268" customHeight="1" spans="1:22">
      <c r="A268" s="19">
        <f t="shared" si="4"/>
        <v>31</v>
      </c>
      <c r="B268" s="20" t="s">
        <v>4293</v>
      </c>
      <c r="C268" s="20"/>
      <c r="D268" s="20" t="s">
        <v>4294</v>
      </c>
      <c r="E268" s="20" t="s">
        <v>451</v>
      </c>
      <c r="F268" s="24" t="s">
        <v>3632</v>
      </c>
      <c r="G268" s="101" t="e">
        <f>VLOOKUP(F268,'01. TH'!$B:$E,3,0)</f>
        <v>#N/A</v>
      </c>
      <c r="H268" s="19" t="s">
        <v>1121</v>
      </c>
      <c r="I268" s="19" t="s">
        <v>3796</v>
      </c>
      <c r="J268" s="20"/>
      <c r="K268" s="19" t="s">
        <v>1839</v>
      </c>
      <c r="L268" s="20"/>
      <c r="M268" s="20" t="s">
        <v>3925</v>
      </c>
      <c r="N268" s="20" t="s">
        <v>3611</v>
      </c>
      <c r="O268" s="22"/>
      <c r="P268" s="20" t="s">
        <v>3613</v>
      </c>
      <c r="Q268" s="19">
        <v>2025</v>
      </c>
      <c r="R268" s="22" t="s">
        <v>3639</v>
      </c>
      <c r="S268" s="22"/>
      <c r="T268" s="47"/>
      <c r="U268" s="20"/>
      <c r="V268" s="20"/>
    </row>
    <row r="269" customHeight="1" spans="1:22">
      <c r="A269" s="19">
        <f t="shared" si="4"/>
        <v>32</v>
      </c>
      <c r="B269" s="20" t="s">
        <v>4295</v>
      </c>
      <c r="C269" s="20"/>
      <c r="D269" s="20" t="s">
        <v>4296</v>
      </c>
      <c r="E269" s="20" t="s">
        <v>451</v>
      </c>
      <c r="F269" s="24" t="s">
        <v>3632</v>
      </c>
      <c r="G269" s="101" t="e">
        <f>VLOOKUP(F269,'01. TH'!$B:$E,3,0)</f>
        <v>#N/A</v>
      </c>
      <c r="H269" s="19" t="s">
        <v>1121</v>
      </c>
      <c r="I269" s="19" t="s">
        <v>3796</v>
      </c>
      <c r="J269" s="20"/>
      <c r="K269" s="19" t="s">
        <v>1839</v>
      </c>
      <c r="L269" s="20"/>
      <c r="M269" s="20" t="s">
        <v>3925</v>
      </c>
      <c r="N269" s="20" t="s">
        <v>3611</v>
      </c>
      <c r="O269" s="22"/>
      <c r="P269" s="20" t="s">
        <v>3613</v>
      </c>
      <c r="Q269" s="19">
        <v>2025</v>
      </c>
      <c r="R269" s="22" t="s">
        <v>3639</v>
      </c>
      <c r="S269" s="22"/>
      <c r="T269" s="47"/>
      <c r="U269" s="20"/>
      <c r="V269" s="20"/>
    </row>
    <row r="270" customHeight="1" spans="1:22">
      <c r="A270" s="19">
        <f t="shared" si="4"/>
        <v>33</v>
      </c>
      <c r="B270" s="20" t="s">
        <v>4297</v>
      </c>
      <c r="C270" s="20"/>
      <c r="D270" s="20" t="s">
        <v>4298</v>
      </c>
      <c r="E270" s="20" t="s">
        <v>451</v>
      </c>
      <c r="F270" s="24" t="s">
        <v>3632</v>
      </c>
      <c r="G270" s="101" t="e">
        <f>VLOOKUP(F270,'01. TH'!$B:$E,3,0)</f>
        <v>#N/A</v>
      </c>
      <c r="H270" s="19" t="s">
        <v>1121</v>
      </c>
      <c r="I270" s="19" t="s">
        <v>3796</v>
      </c>
      <c r="J270" s="20"/>
      <c r="K270" s="19" t="s">
        <v>1839</v>
      </c>
      <c r="L270" s="20"/>
      <c r="M270" s="20" t="s">
        <v>3925</v>
      </c>
      <c r="N270" s="20" t="s">
        <v>3611</v>
      </c>
      <c r="O270" s="22"/>
      <c r="P270" s="20" t="s">
        <v>3613</v>
      </c>
      <c r="Q270" s="19">
        <v>2025</v>
      </c>
      <c r="R270" s="22" t="s">
        <v>3639</v>
      </c>
      <c r="S270" s="22"/>
      <c r="T270" s="47"/>
      <c r="U270" s="20"/>
      <c r="V270" s="20"/>
    </row>
    <row r="271" customHeight="1" spans="1:22">
      <c r="A271" s="19">
        <f t="shared" si="4"/>
        <v>34</v>
      </c>
      <c r="B271" s="20" t="s">
        <v>4299</v>
      </c>
      <c r="C271" s="20"/>
      <c r="D271" s="20" t="s">
        <v>4300</v>
      </c>
      <c r="E271" s="20" t="s">
        <v>451</v>
      </c>
      <c r="F271" s="24" t="s">
        <v>3632</v>
      </c>
      <c r="G271" s="101" t="e">
        <f>VLOOKUP(F271,'01. TH'!$B:$E,3,0)</f>
        <v>#N/A</v>
      </c>
      <c r="H271" s="19" t="s">
        <v>1121</v>
      </c>
      <c r="I271" s="19" t="s">
        <v>3796</v>
      </c>
      <c r="J271" s="20"/>
      <c r="K271" s="19" t="s">
        <v>1839</v>
      </c>
      <c r="L271" s="20"/>
      <c r="M271" s="20" t="s">
        <v>3925</v>
      </c>
      <c r="N271" s="20" t="s">
        <v>3611</v>
      </c>
      <c r="O271" s="22"/>
      <c r="P271" s="20" t="s">
        <v>3613</v>
      </c>
      <c r="Q271" s="19">
        <v>2025</v>
      </c>
      <c r="R271" s="22" t="s">
        <v>3639</v>
      </c>
      <c r="S271" s="22"/>
      <c r="T271" s="47"/>
      <c r="U271" s="20"/>
      <c r="V271" s="20"/>
    </row>
    <row r="272" customHeight="1" spans="1:22">
      <c r="A272" s="19">
        <f t="shared" si="4"/>
        <v>35</v>
      </c>
      <c r="B272" s="20" t="s">
        <v>4301</v>
      </c>
      <c r="C272" s="20"/>
      <c r="D272" s="20" t="s">
        <v>4302</v>
      </c>
      <c r="E272" s="20" t="s">
        <v>451</v>
      </c>
      <c r="F272" s="20" t="s">
        <v>4303</v>
      </c>
      <c r="G272" s="101" t="e">
        <f>VLOOKUP(F272,'01. TH'!$B:$E,3,0)</f>
        <v>#N/A</v>
      </c>
      <c r="H272" s="19" t="s">
        <v>1121</v>
      </c>
      <c r="I272" s="19" t="s">
        <v>1479</v>
      </c>
      <c r="J272" s="20"/>
      <c r="K272" s="19" t="s">
        <v>1839</v>
      </c>
      <c r="L272" s="20"/>
      <c r="M272" s="22"/>
      <c r="N272" s="20" t="s">
        <v>3144</v>
      </c>
      <c r="O272" s="22" t="s">
        <v>4304</v>
      </c>
      <c r="P272" s="20" t="s">
        <v>3144</v>
      </c>
      <c r="Q272" s="19"/>
      <c r="R272" s="22" t="s">
        <v>4305</v>
      </c>
      <c r="S272" s="22"/>
      <c r="T272" s="47"/>
      <c r="U272" s="20"/>
      <c r="V272" s="20"/>
    </row>
    <row r="273" customHeight="1" spans="1:22">
      <c r="A273" s="19">
        <f t="shared" si="4"/>
        <v>36</v>
      </c>
      <c r="B273" s="20" t="s">
        <v>4306</v>
      </c>
      <c r="C273" s="20"/>
      <c r="D273" s="20" t="s">
        <v>4307</v>
      </c>
      <c r="E273" s="20" t="s">
        <v>451</v>
      </c>
      <c r="F273" s="20" t="s">
        <v>4308</v>
      </c>
      <c r="G273" s="101" t="e">
        <f>VLOOKUP(F273,'01. TH'!$B:$E,3,0)</f>
        <v>#N/A</v>
      </c>
      <c r="H273" s="19" t="s">
        <v>1121</v>
      </c>
      <c r="I273" s="58">
        <v>45419</v>
      </c>
      <c r="J273" s="20"/>
      <c r="K273" s="19" t="s">
        <v>1839</v>
      </c>
      <c r="L273" s="20"/>
      <c r="M273" s="22"/>
      <c r="N273" s="20" t="s">
        <v>3611</v>
      </c>
      <c r="O273" s="22" t="s">
        <v>4309</v>
      </c>
      <c r="P273" s="20" t="s">
        <v>3613</v>
      </c>
      <c r="Q273" s="19">
        <v>2024</v>
      </c>
      <c r="R273" s="22" t="s">
        <v>4310</v>
      </c>
      <c r="S273" s="22"/>
      <c r="T273" s="47"/>
      <c r="U273" s="20"/>
      <c r="V273" s="20"/>
    </row>
    <row r="274" customHeight="1" spans="1:22">
      <c r="A274" s="19">
        <f t="shared" si="4"/>
        <v>37</v>
      </c>
      <c r="B274" s="20" t="s">
        <v>4311</v>
      </c>
      <c r="C274" s="20"/>
      <c r="D274" s="20" t="s">
        <v>3958</v>
      </c>
      <c r="E274" s="20" t="s">
        <v>451</v>
      </c>
      <c r="F274" s="20" t="s">
        <v>344</v>
      </c>
      <c r="G274" s="101" t="str">
        <f>VLOOKUP(F274,'01. TH'!$B:$E,3,0)</f>
        <v>115x130x120</v>
      </c>
      <c r="H274" s="19" t="s">
        <v>1121</v>
      </c>
      <c r="I274" s="58">
        <v>45419</v>
      </c>
      <c r="J274" s="20"/>
      <c r="K274" s="19" t="s">
        <v>1839</v>
      </c>
      <c r="L274" s="20"/>
      <c r="M274" s="22"/>
      <c r="N274" s="20" t="s">
        <v>3611</v>
      </c>
      <c r="O274" s="22"/>
      <c r="P274" s="20" t="s">
        <v>3613</v>
      </c>
      <c r="Q274" s="19"/>
      <c r="R274" s="22" t="s">
        <v>4312</v>
      </c>
      <c r="S274" s="22"/>
      <c r="T274" s="47"/>
      <c r="U274" s="20"/>
      <c r="V274" s="20"/>
    </row>
    <row r="275" customHeight="1" spans="1:22">
      <c r="A275" s="19">
        <f t="shared" si="4"/>
        <v>38</v>
      </c>
      <c r="B275" s="20" t="s">
        <v>4313</v>
      </c>
      <c r="C275" s="20"/>
      <c r="D275" s="20" t="s">
        <v>4314</v>
      </c>
      <c r="E275" s="20" t="s">
        <v>451</v>
      </c>
      <c r="F275" s="20" t="s">
        <v>4315</v>
      </c>
      <c r="G275" s="101" t="e">
        <f>VLOOKUP(F275,'01. TH'!$B:$E,3,0)</f>
        <v>#N/A</v>
      </c>
      <c r="H275" s="19" t="s">
        <v>1121</v>
      </c>
      <c r="I275" s="58">
        <v>45933</v>
      </c>
      <c r="J275" s="20"/>
      <c r="K275" s="19" t="s">
        <v>1839</v>
      </c>
      <c r="L275" s="654"/>
      <c r="M275" s="22"/>
      <c r="N275" s="20" t="s">
        <v>4316</v>
      </c>
      <c r="O275" s="22" t="s">
        <v>4317</v>
      </c>
      <c r="P275" s="20" t="s">
        <v>3613</v>
      </c>
      <c r="Q275" s="19">
        <v>2025</v>
      </c>
      <c r="R275" s="22"/>
      <c r="S275" s="22">
        <v>10</v>
      </c>
      <c r="T275" s="47">
        <v>0.56</v>
      </c>
      <c r="U275" s="20" t="s">
        <v>4318</v>
      </c>
      <c r="V275" s="20"/>
    </row>
    <row r="276" customHeight="1" spans="1:22">
      <c r="A276" s="19">
        <f t="shared" si="4"/>
        <v>39</v>
      </c>
      <c r="B276" s="20" t="s">
        <v>4319</v>
      </c>
      <c r="C276" s="20"/>
      <c r="D276" s="20" t="s">
        <v>4320</v>
      </c>
      <c r="E276" s="20" t="s">
        <v>451</v>
      </c>
      <c r="F276" s="20" t="s">
        <v>4315</v>
      </c>
      <c r="G276" s="101" t="e">
        <f>VLOOKUP(F276,'01. TH'!$B:$E,3,0)</f>
        <v>#N/A</v>
      </c>
      <c r="H276" s="19" t="s">
        <v>1121</v>
      </c>
      <c r="I276" s="58">
        <v>45933</v>
      </c>
      <c r="J276" s="20"/>
      <c r="K276" s="19" t="s">
        <v>1839</v>
      </c>
      <c r="L276" s="20"/>
      <c r="M276" s="22"/>
      <c r="N276" s="20" t="s">
        <v>4316</v>
      </c>
      <c r="O276" s="22" t="s">
        <v>4317</v>
      </c>
      <c r="P276" s="20" t="s">
        <v>3613</v>
      </c>
      <c r="Q276" s="19">
        <v>2025</v>
      </c>
      <c r="R276" s="22"/>
      <c r="S276" s="22">
        <v>11</v>
      </c>
      <c r="T276" s="47">
        <v>0.56</v>
      </c>
      <c r="U276" s="20" t="s">
        <v>4318</v>
      </c>
      <c r="V276" s="20"/>
    </row>
    <row r="277" customHeight="1" spans="1:22">
      <c r="A277" s="19">
        <f t="shared" si="4"/>
        <v>40</v>
      </c>
      <c r="B277" s="20" t="s">
        <v>4321</v>
      </c>
      <c r="C277" s="20"/>
      <c r="D277" s="20" t="s">
        <v>4322</v>
      </c>
      <c r="E277" s="20" t="s">
        <v>451</v>
      </c>
      <c r="F277" s="20" t="s">
        <v>4315</v>
      </c>
      <c r="G277" s="101" t="e">
        <f>VLOOKUP(F277,'01. TH'!$B:$E,3,0)</f>
        <v>#N/A</v>
      </c>
      <c r="H277" s="19" t="s">
        <v>1121</v>
      </c>
      <c r="I277" s="19" t="s">
        <v>3732</v>
      </c>
      <c r="J277" s="20"/>
      <c r="K277" s="19" t="s">
        <v>1839</v>
      </c>
      <c r="L277" s="22"/>
      <c r="M277" s="20" t="s">
        <v>3925</v>
      </c>
      <c r="N277" s="20" t="s">
        <v>4316</v>
      </c>
      <c r="O277" s="22" t="s">
        <v>4317</v>
      </c>
      <c r="P277" s="20" t="s">
        <v>3613</v>
      </c>
      <c r="Q277" s="19">
        <v>2024</v>
      </c>
      <c r="R277" s="22" t="s">
        <v>4323</v>
      </c>
      <c r="S277" s="22" t="s">
        <v>4324</v>
      </c>
      <c r="T277" s="47">
        <v>0.56</v>
      </c>
      <c r="U277" s="20" t="s">
        <v>4318</v>
      </c>
      <c r="V277" s="20"/>
    </row>
    <row r="278" customHeight="1" spans="1:22">
      <c r="A278" s="19">
        <f t="shared" si="4"/>
        <v>41</v>
      </c>
      <c r="B278" s="20" t="s">
        <v>4325</v>
      </c>
      <c r="C278" s="20"/>
      <c r="D278" s="20" t="s">
        <v>4326</v>
      </c>
      <c r="E278" s="20" t="s">
        <v>451</v>
      </c>
      <c r="F278" s="20" t="s">
        <v>4315</v>
      </c>
      <c r="G278" s="101" t="e">
        <f>VLOOKUP(F278,'01. TH'!$B:$E,3,0)</f>
        <v>#N/A</v>
      </c>
      <c r="H278" s="19" t="s">
        <v>1121</v>
      </c>
      <c r="I278" s="58">
        <v>45995</v>
      </c>
      <c r="J278" s="20"/>
      <c r="K278" s="19" t="s">
        <v>1839</v>
      </c>
      <c r="L278" s="22"/>
      <c r="M278" s="20" t="s">
        <v>3925</v>
      </c>
      <c r="N278" s="20" t="s">
        <v>4316</v>
      </c>
      <c r="O278" s="22" t="s">
        <v>4317</v>
      </c>
      <c r="P278" s="20" t="s">
        <v>3613</v>
      </c>
      <c r="Q278" s="19">
        <v>2025</v>
      </c>
      <c r="R278" s="22" t="s">
        <v>4323</v>
      </c>
      <c r="S278" s="22" t="s">
        <v>4327</v>
      </c>
      <c r="T278" s="47">
        <v>0.56</v>
      </c>
      <c r="U278" s="20" t="s">
        <v>4318</v>
      </c>
      <c r="V278" s="20"/>
    </row>
    <row r="279" customHeight="1" spans="1:22">
      <c r="A279" s="19">
        <f t="shared" si="4"/>
        <v>42</v>
      </c>
      <c r="B279" s="20" t="s">
        <v>4328</v>
      </c>
      <c r="C279" s="20"/>
      <c r="D279" s="20" t="s">
        <v>4329</v>
      </c>
      <c r="E279" s="20" t="s">
        <v>451</v>
      </c>
      <c r="F279" s="20" t="s">
        <v>4315</v>
      </c>
      <c r="G279" s="101" t="e">
        <f>VLOOKUP(F279,'01. TH'!$B:$E,3,0)</f>
        <v>#N/A</v>
      </c>
      <c r="H279" s="19" t="s">
        <v>1121</v>
      </c>
      <c r="I279" s="19" t="s">
        <v>4330</v>
      </c>
      <c r="J279" s="20"/>
      <c r="K279" s="19" t="s">
        <v>1839</v>
      </c>
      <c r="L279" s="22"/>
      <c r="M279" s="20" t="s">
        <v>3925</v>
      </c>
      <c r="N279" s="20" t="s">
        <v>4316</v>
      </c>
      <c r="O279" s="22" t="s">
        <v>4317</v>
      </c>
      <c r="P279" s="20" t="s">
        <v>3613</v>
      </c>
      <c r="Q279" s="19">
        <v>2025</v>
      </c>
      <c r="R279" s="22" t="s">
        <v>4323</v>
      </c>
      <c r="S279" s="22"/>
      <c r="T279" s="47">
        <v>0.56</v>
      </c>
      <c r="U279" s="20" t="s">
        <v>4318</v>
      </c>
      <c r="V279" s="20"/>
    </row>
    <row r="280" customHeight="1" spans="1:22">
      <c r="A280" s="19">
        <f t="shared" si="4"/>
        <v>43</v>
      </c>
      <c r="B280" s="20" t="s">
        <v>4331</v>
      </c>
      <c r="C280" s="20"/>
      <c r="D280" s="20" t="s">
        <v>4332</v>
      </c>
      <c r="E280" s="20" t="s">
        <v>451</v>
      </c>
      <c r="F280" s="20" t="s">
        <v>4315</v>
      </c>
      <c r="G280" s="101" t="e">
        <f>VLOOKUP(F280,'01. TH'!$B:$E,3,0)</f>
        <v>#N/A</v>
      </c>
      <c r="H280" s="19" t="s">
        <v>1121</v>
      </c>
      <c r="I280" s="19" t="s">
        <v>2029</v>
      </c>
      <c r="J280" s="20"/>
      <c r="K280" s="19" t="s">
        <v>1839</v>
      </c>
      <c r="L280" s="22"/>
      <c r="M280" s="20" t="s">
        <v>3925</v>
      </c>
      <c r="N280" s="20" t="s">
        <v>4316</v>
      </c>
      <c r="O280" s="22" t="s">
        <v>4333</v>
      </c>
      <c r="P280" s="20" t="s">
        <v>3613</v>
      </c>
      <c r="Q280" s="19">
        <v>2025</v>
      </c>
      <c r="R280" s="22" t="s">
        <v>4323</v>
      </c>
      <c r="S280" s="22">
        <v>11</v>
      </c>
      <c r="T280" s="47">
        <v>0.56</v>
      </c>
      <c r="U280" s="20" t="s">
        <v>4318</v>
      </c>
      <c r="V280" s="20"/>
    </row>
    <row r="281" customHeight="1" spans="1:22">
      <c r="A281" s="19">
        <f t="shared" si="4"/>
        <v>44</v>
      </c>
      <c r="B281" s="20" t="s">
        <v>4334</v>
      </c>
      <c r="C281" s="20"/>
      <c r="D281" s="20" t="s">
        <v>4335</v>
      </c>
      <c r="E281" s="20" t="s">
        <v>451</v>
      </c>
      <c r="F281" s="20" t="s">
        <v>4315</v>
      </c>
      <c r="G281" s="101" t="e">
        <f>VLOOKUP(F281,'01. TH'!$B:$E,3,0)</f>
        <v>#N/A</v>
      </c>
      <c r="H281" s="19" t="s">
        <v>1121</v>
      </c>
      <c r="I281" s="19" t="s">
        <v>2029</v>
      </c>
      <c r="J281" s="20"/>
      <c r="K281" s="19" t="s">
        <v>1839</v>
      </c>
      <c r="L281" s="22"/>
      <c r="M281" s="20" t="s">
        <v>3925</v>
      </c>
      <c r="N281" s="20" t="s">
        <v>4316</v>
      </c>
      <c r="O281" s="22" t="s">
        <v>4333</v>
      </c>
      <c r="P281" s="20" t="s">
        <v>3613</v>
      </c>
      <c r="Q281" s="19">
        <v>2025</v>
      </c>
      <c r="R281" s="22" t="s">
        <v>4323</v>
      </c>
      <c r="S281" s="22">
        <v>11</v>
      </c>
      <c r="T281" s="47">
        <v>0.56</v>
      </c>
      <c r="U281" s="20" t="s">
        <v>4318</v>
      </c>
      <c r="V281" s="20"/>
    </row>
    <row r="282" customHeight="1" spans="1:22">
      <c r="A282" s="19">
        <f t="shared" si="4"/>
        <v>45</v>
      </c>
      <c r="B282" s="20" t="s">
        <v>4336</v>
      </c>
      <c r="C282" s="20"/>
      <c r="D282" s="24" t="s">
        <v>4337</v>
      </c>
      <c r="E282" s="20" t="s">
        <v>451</v>
      </c>
      <c r="F282" s="20" t="s">
        <v>4315</v>
      </c>
      <c r="G282" s="101" t="e">
        <f>VLOOKUP(F282,'01. TH'!$B:$E,3,0)</f>
        <v>#N/A</v>
      </c>
      <c r="H282" s="19" t="s">
        <v>1121</v>
      </c>
      <c r="I282" s="795">
        <v>45906</v>
      </c>
      <c r="J282" s="20"/>
      <c r="K282" s="19" t="s">
        <v>1839</v>
      </c>
      <c r="L282" s="22" t="s">
        <v>4338</v>
      </c>
      <c r="M282" s="20" t="s">
        <v>3925</v>
      </c>
      <c r="N282" s="20" t="s">
        <v>4316</v>
      </c>
      <c r="O282" s="788" t="s">
        <v>4339</v>
      </c>
      <c r="P282" s="20" t="s">
        <v>3613</v>
      </c>
      <c r="Q282" s="796">
        <v>2025</v>
      </c>
      <c r="R282" s="796" t="s">
        <v>4340</v>
      </c>
      <c r="S282" s="22">
        <v>18</v>
      </c>
      <c r="T282" s="47">
        <v>0.56</v>
      </c>
      <c r="U282" s="20" t="s">
        <v>4318</v>
      </c>
      <c r="V282" s="20"/>
    </row>
    <row r="283" customHeight="1" spans="1:22">
      <c r="A283" s="19">
        <f t="shared" si="4"/>
        <v>46</v>
      </c>
      <c r="B283" s="20" t="s">
        <v>4341</v>
      </c>
      <c r="C283" s="20"/>
      <c r="D283" s="24" t="s">
        <v>4342</v>
      </c>
      <c r="E283" s="20" t="s">
        <v>451</v>
      </c>
      <c r="F283" s="20" t="s">
        <v>4315</v>
      </c>
      <c r="G283" s="101" t="e">
        <f>VLOOKUP(F283,'01. TH'!$B:$E,3,0)</f>
        <v>#N/A</v>
      </c>
      <c r="H283" s="19" t="s">
        <v>1121</v>
      </c>
      <c r="I283" s="795">
        <v>45919</v>
      </c>
      <c r="J283" s="20"/>
      <c r="K283" s="19" t="s">
        <v>1839</v>
      </c>
      <c r="L283" s="22" t="s">
        <v>4338</v>
      </c>
      <c r="M283" s="20" t="s">
        <v>3925</v>
      </c>
      <c r="N283" s="20" t="s">
        <v>3611</v>
      </c>
      <c r="O283" s="788" t="s">
        <v>4343</v>
      </c>
      <c r="P283" s="20" t="s">
        <v>3613</v>
      </c>
      <c r="Q283" s="796">
        <v>2025</v>
      </c>
      <c r="R283" s="796" t="s">
        <v>4340</v>
      </c>
      <c r="S283" s="22">
        <v>24</v>
      </c>
      <c r="T283" s="47">
        <v>0.56</v>
      </c>
      <c r="U283" s="20" t="s">
        <v>4318</v>
      </c>
      <c r="V283" s="20"/>
    </row>
    <row r="284" customHeight="1" spans="1:22">
      <c r="A284" s="19">
        <f t="shared" si="4"/>
        <v>47</v>
      </c>
      <c r="B284" s="20" t="s">
        <v>4344</v>
      </c>
      <c r="C284" s="20"/>
      <c r="D284" s="20" t="s">
        <v>4345</v>
      </c>
      <c r="E284" s="20" t="s">
        <v>451</v>
      </c>
      <c r="F284" s="20" t="s">
        <v>4315</v>
      </c>
      <c r="G284" s="101" t="e">
        <f>VLOOKUP(F284,'01. TH'!$B:$E,3,0)</f>
        <v>#N/A</v>
      </c>
      <c r="H284" s="19" t="s">
        <v>1121</v>
      </c>
      <c r="I284" s="19" t="s">
        <v>4346</v>
      </c>
      <c r="J284" s="20"/>
      <c r="K284" s="19" t="s">
        <v>1839</v>
      </c>
      <c r="L284" s="22"/>
      <c r="M284" s="20" t="s">
        <v>3925</v>
      </c>
      <c r="N284" s="20" t="s">
        <v>4316</v>
      </c>
      <c r="O284" s="22" t="s">
        <v>4347</v>
      </c>
      <c r="P284" s="20" t="s">
        <v>3613</v>
      </c>
      <c r="Q284" s="796">
        <v>2025</v>
      </c>
      <c r="R284" s="22"/>
      <c r="S284" s="22"/>
      <c r="T284" s="47">
        <v>0.56</v>
      </c>
      <c r="U284" s="20" t="s">
        <v>4318</v>
      </c>
      <c r="V284" s="20"/>
    </row>
    <row r="285" customHeight="1" spans="1:22">
      <c r="A285" s="19">
        <f t="shared" si="4"/>
        <v>48</v>
      </c>
      <c r="B285" s="20" t="s">
        <v>4348</v>
      </c>
      <c r="C285" s="20"/>
      <c r="D285" s="20" t="s">
        <v>4349</v>
      </c>
      <c r="E285" s="20" t="s">
        <v>451</v>
      </c>
      <c r="F285" s="20" t="s">
        <v>4315</v>
      </c>
      <c r="G285" s="101" t="e">
        <f>VLOOKUP(F285,'01. TH'!$B:$E,3,0)</f>
        <v>#N/A</v>
      </c>
      <c r="H285" s="19" t="s">
        <v>1121</v>
      </c>
      <c r="I285" s="19" t="s">
        <v>4350</v>
      </c>
      <c r="J285" s="20"/>
      <c r="K285" s="19" t="s">
        <v>1839</v>
      </c>
      <c r="L285" s="22"/>
      <c r="M285" s="20" t="s">
        <v>3925</v>
      </c>
      <c r="N285" s="20" t="s">
        <v>4316</v>
      </c>
      <c r="O285" s="22" t="s">
        <v>4351</v>
      </c>
      <c r="P285" s="20" t="s">
        <v>3613</v>
      </c>
      <c r="Q285" s="796">
        <v>2025</v>
      </c>
      <c r="R285" s="22"/>
      <c r="S285" s="22"/>
      <c r="T285" s="47">
        <v>0.56</v>
      </c>
      <c r="U285" s="20" t="s">
        <v>4318</v>
      </c>
      <c r="V285" s="20"/>
    </row>
    <row r="286" customHeight="1" spans="1:22">
      <c r="A286" s="19">
        <f t="shared" si="4"/>
        <v>49</v>
      </c>
      <c r="B286" s="20" t="s">
        <v>4352</v>
      </c>
      <c r="C286" s="20"/>
      <c r="D286" s="20" t="s">
        <v>4353</v>
      </c>
      <c r="E286" s="20" t="s">
        <v>451</v>
      </c>
      <c r="F286" s="20" t="s">
        <v>4315</v>
      </c>
      <c r="G286" s="101" t="e">
        <f>VLOOKUP(F286,'01. TH'!$B:$E,3,0)</f>
        <v>#N/A</v>
      </c>
      <c r="H286" s="19" t="s">
        <v>1121</v>
      </c>
      <c r="I286" s="19" t="s">
        <v>4354</v>
      </c>
      <c r="J286" s="20"/>
      <c r="K286" s="19" t="s">
        <v>1839</v>
      </c>
      <c r="L286" s="22"/>
      <c r="M286" s="20" t="s">
        <v>3925</v>
      </c>
      <c r="N286" s="20" t="s">
        <v>4316</v>
      </c>
      <c r="O286" s="22" t="s">
        <v>4355</v>
      </c>
      <c r="P286" s="20" t="s">
        <v>3613</v>
      </c>
      <c r="Q286" s="796">
        <v>2025</v>
      </c>
      <c r="R286" s="22"/>
      <c r="S286" s="22"/>
      <c r="T286" s="47">
        <v>0.56</v>
      </c>
      <c r="U286" s="20" t="s">
        <v>4318</v>
      </c>
      <c r="V286" s="20"/>
    </row>
    <row r="287" customHeight="1" spans="1:22">
      <c r="A287" s="19">
        <f t="shared" si="4"/>
        <v>50</v>
      </c>
      <c r="B287" s="20" t="s">
        <v>4356</v>
      </c>
      <c r="C287" s="20"/>
      <c r="D287" s="20" t="s">
        <v>4357</v>
      </c>
      <c r="E287" s="20" t="s">
        <v>451</v>
      </c>
      <c r="F287" s="20" t="s">
        <v>4315</v>
      </c>
      <c r="G287" s="101" t="e">
        <f>VLOOKUP(F287,'01. TH'!$B:$E,3,0)</f>
        <v>#N/A</v>
      </c>
      <c r="H287" s="19" t="s">
        <v>1121</v>
      </c>
      <c r="I287" s="58">
        <v>45758</v>
      </c>
      <c r="J287" s="20"/>
      <c r="K287" s="19" t="s">
        <v>1839</v>
      </c>
      <c r="L287" s="22"/>
      <c r="M287" s="20" t="s">
        <v>3925</v>
      </c>
      <c r="N287" s="20" t="s">
        <v>4316</v>
      </c>
      <c r="O287" s="22" t="s">
        <v>4358</v>
      </c>
      <c r="P287" s="20" t="s">
        <v>3613</v>
      </c>
      <c r="Q287" s="796">
        <v>2025</v>
      </c>
      <c r="R287" s="22"/>
      <c r="S287" s="22"/>
      <c r="T287" s="47">
        <v>0.56</v>
      </c>
      <c r="U287" s="20" t="s">
        <v>4318</v>
      </c>
      <c r="V287" s="20"/>
    </row>
    <row r="288" customHeight="1" spans="1:22">
      <c r="A288" s="19">
        <f t="shared" si="4"/>
        <v>51</v>
      </c>
      <c r="B288" s="20" t="s">
        <v>4359</v>
      </c>
      <c r="C288" s="20"/>
      <c r="D288" s="20" t="s">
        <v>4360</v>
      </c>
      <c r="E288" s="20" t="s">
        <v>451</v>
      </c>
      <c r="F288" s="20" t="s">
        <v>4315</v>
      </c>
      <c r="G288" s="101" t="e">
        <f>VLOOKUP(F288,'01. TH'!$B:$E,3,0)</f>
        <v>#N/A</v>
      </c>
      <c r="H288" s="19" t="s">
        <v>1121</v>
      </c>
      <c r="I288" s="58">
        <v>45912</v>
      </c>
      <c r="J288" s="20"/>
      <c r="K288" s="19" t="s">
        <v>1839</v>
      </c>
      <c r="L288" s="22"/>
      <c r="M288" s="20" t="s">
        <v>3925</v>
      </c>
      <c r="N288" s="20" t="s">
        <v>4316</v>
      </c>
      <c r="O288" s="22" t="s">
        <v>4361</v>
      </c>
      <c r="P288" s="20" t="s">
        <v>3613</v>
      </c>
      <c r="Q288" s="796">
        <v>2025</v>
      </c>
      <c r="R288" s="22"/>
      <c r="S288" s="22"/>
      <c r="T288" s="47">
        <v>0.56</v>
      </c>
      <c r="U288" s="20" t="s">
        <v>4318</v>
      </c>
      <c r="V288" s="20"/>
    </row>
    <row r="289" customHeight="1" spans="1:22">
      <c r="A289" s="19">
        <f t="shared" si="4"/>
        <v>52</v>
      </c>
      <c r="B289" s="20" t="s">
        <v>4362</v>
      </c>
      <c r="C289" s="20"/>
      <c r="D289" s="20" t="s">
        <v>4363</v>
      </c>
      <c r="E289" s="20" t="s">
        <v>451</v>
      </c>
      <c r="F289" s="20" t="s">
        <v>4315</v>
      </c>
      <c r="G289" s="101"/>
      <c r="H289" s="19" t="s">
        <v>1121</v>
      </c>
      <c r="I289" s="58">
        <v>45912</v>
      </c>
      <c r="J289" s="20"/>
      <c r="K289" s="19" t="s">
        <v>1839</v>
      </c>
      <c r="L289" s="22"/>
      <c r="M289" s="20" t="s">
        <v>3925</v>
      </c>
      <c r="N289" s="20" t="s">
        <v>4316</v>
      </c>
      <c r="O289" s="22" t="s">
        <v>4364</v>
      </c>
      <c r="P289" s="20" t="s">
        <v>3613</v>
      </c>
      <c r="Q289" s="796">
        <v>2025</v>
      </c>
      <c r="R289" s="22"/>
      <c r="S289" s="22"/>
      <c r="T289" s="47">
        <v>0.56</v>
      </c>
      <c r="U289" s="20" t="s">
        <v>4318</v>
      </c>
      <c r="V289" s="20"/>
    </row>
    <row r="290" customHeight="1" spans="1:22">
      <c r="A290" s="19">
        <f t="shared" si="4"/>
        <v>53</v>
      </c>
      <c r="B290" s="20" t="s">
        <v>4365</v>
      </c>
      <c r="C290" s="20"/>
      <c r="D290" s="20" t="s">
        <v>4366</v>
      </c>
      <c r="E290" s="20" t="s">
        <v>451</v>
      </c>
      <c r="F290" s="20" t="s">
        <v>4315</v>
      </c>
      <c r="G290" s="101"/>
      <c r="H290" s="19" t="s">
        <v>1121</v>
      </c>
      <c r="I290" s="58">
        <v>45912</v>
      </c>
      <c r="J290" s="20"/>
      <c r="K290" s="19" t="s">
        <v>1839</v>
      </c>
      <c r="L290" s="22"/>
      <c r="M290" s="20" t="s">
        <v>3925</v>
      </c>
      <c r="N290" s="20" t="s">
        <v>4316</v>
      </c>
      <c r="O290" s="22" t="s">
        <v>4367</v>
      </c>
      <c r="P290" s="20" t="s">
        <v>3613</v>
      </c>
      <c r="Q290" s="796">
        <v>2025</v>
      </c>
      <c r="R290" s="22"/>
      <c r="S290" s="22"/>
      <c r="T290" s="47">
        <v>0.56</v>
      </c>
      <c r="U290" s="20" t="s">
        <v>4318</v>
      </c>
      <c r="V290" s="20"/>
    </row>
    <row r="291" customHeight="1" spans="1:22">
      <c r="A291" s="19">
        <f t="shared" si="4"/>
        <v>54</v>
      </c>
      <c r="B291" s="20" t="s">
        <v>4368</v>
      </c>
      <c r="C291" s="20" t="s">
        <v>4369</v>
      </c>
      <c r="D291" s="20"/>
      <c r="E291" s="20" t="s">
        <v>451</v>
      </c>
      <c r="F291" s="20" t="s">
        <v>4370</v>
      </c>
      <c r="G291" s="101" t="e">
        <f>VLOOKUP(F291,'01. TH'!$B:$E,3,0)</f>
        <v>#N/A</v>
      </c>
      <c r="H291" s="19" t="s">
        <v>1121</v>
      </c>
      <c r="I291" s="19" t="s">
        <v>4371</v>
      </c>
      <c r="J291" s="20"/>
      <c r="K291" s="19" t="s">
        <v>1839</v>
      </c>
      <c r="L291" s="22" t="s">
        <v>4372</v>
      </c>
      <c r="M291" s="20" t="s">
        <v>3925</v>
      </c>
      <c r="N291" s="20" t="s">
        <v>3611</v>
      </c>
      <c r="O291" s="22" t="s">
        <v>4373</v>
      </c>
      <c r="P291" s="20" t="s">
        <v>3613</v>
      </c>
      <c r="Q291" s="19"/>
      <c r="R291" s="22"/>
      <c r="S291" s="22"/>
      <c r="T291" s="47"/>
      <c r="U291" s="20"/>
      <c r="V291" s="20"/>
    </row>
    <row r="292" customHeight="1" spans="1:22">
      <c r="A292" s="19">
        <f t="shared" si="4"/>
        <v>55</v>
      </c>
      <c r="B292" s="20" t="s">
        <v>4374</v>
      </c>
      <c r="C292" s="20" t="s">
        <v>4375</v>
      </c>
      <c r="D292" s="20" t="s">
        <v>4376</v>
      </c>
      <c r="E292" s="20" t="s">
        <v>451</v>
      </c>
      <c r="F292" s="20" t="s">
        <v>4377</v>
      </c>
      <c r="G292" s="101" t="e">
        <f>VLOOKUP(F292,'01. TH'!$B:$E,3,0)</f>
        <v>#N/A</v>
      </c>
      <c r="H292" s="19" t="s">
        <v>1121</v>
      </c>
      <c r="I292" s="19" t="s">
        <v>4011</v>
      </c>
      <c r="J292" s="20"/>
      <c r="K292" s="19" t="s">
        <v>1839</v>
      </c>
      <c r="L292" s="22"/>
      <c r="M292" s="22"/>
      <c r="N292" s="20" t="s">
        <v>3611</v>
      </c>
      <c r="O292" s="22"/>
      <c r="P292" s="20" t="s">
        <v>3613</v>
      </c>
      <c r="Q292" s="19"/>
      <c r="R292" s="22"/>
      <c r="S292" s="612"/>
      <c r="T292" s="47"/>
      <c r="U292" s="20"/>
      <c r="V292" s="20"/>
    </row>
    <row r="293" customHeight="1" spans="1:22">
      <c r="A293" s="19">
        <f t="shared" si="4"/>
        <v>56</v>
      </c>
      <c r="B293" s="20" t="s">
        <v>4378</v>
      </c>
      <c r="C293" s="20"/>
      <c r="D293" s="20"/>
      <c r="E293" s="20" t="s">
        <v>3593</v>
      </c>
      <c r="F293" s="20" t="s">
        <v>298</v>
      </c>
      <c r="G293" s="101">
        <f>VLOOKUP(F293,'01. TH'!$B:$E,3,0)</f>
        <v>0</v>
      </c>
      <c r="H293" s="19" t="s">
        <v>1121</v>
      </c>
      <c r="I293" s="797">
        <v>45884</v>
      </c>
      <c r="J293" s="20"/>
      <c r="K293" s="19" t="s">
        <v>1839</v>
      </c>
      <c r="L293" s="654"/>
      <c r="M293" s="22"/>
      <c r="N293" s="20" t="s">
        <v>4379</v>
      </c>
      <c r="O293" s="22">
        <v>7045</v>
      </c>
      <c r="P293" s="20" t="s">
        <v>880</v>
      </c>
      <c r="Q293" s="19">
        <v>2025</v>
      </c>
      <c r="R293" s="22" t="s">
        <v>4380</v>
      </c>
      <c r="S293" s="144" t="s">
        <v>4381</v>
      </c>
      <c r="T293" s="47">
        <v>1.2</v>
      </c>
      <c r="U293" s="20"/>
      <c r="V293" s="20"/>
    </row>
    <row r="294" customHeight="1" spans="1:22">
      <c r="A294" s="19">
        <f t="shared" si="4"/>
        <v>57</v>
      </c>
      <c r="B294" s="20" t="s">
        <v>4382</v>
      </c>
      <c r="C294" s="20"/>
      <c r="D294" s="20"/>
      <c r="E294" s="20" t="s">
        <v>3593</v>
      </c>
      <c r="F294" s="20" t="s">
        <v>298</v>
      </c>
      <c r="G294" s="101">
        <f>VLOOKUP(F294,'01. TH'!$B:$E,3,0)</f>
        <v>0</v>
      </c>
      <c r="H294" s="19" t="s">
        <v>1121</v>
      </c>
      <c r="I294" s="797">
        <v>45884</v>
      </c>
      <c r="J294" s="20"/>
      <c r="K294" s="19" t="s">
        <v>1839</v>
      </c>
      <c r="L294" s="654"/>
      <c r="M294" s="22"/>
      <c r="N294" s="20" t="s">
        <v>4379</v>
      </c>
      <c r="O294" s="22">
        <v>7045</v>
      </c>
      <c r="P294" s="20" t="s">
        <v>880</v>
      </c>
      <c r="Q294" s="19">
        <v>2025</v>
      </c>
      <c r="R294" s="22" t="s">
        <v>4380</v>
      </c>
      <c r="S294" s="144" t="s">
        <v>4383</v>
      </c>
      <c r="T294" s="47">
        <v>1.2</v>
      </c>
      <c r="U294" s="20"/>
      <c r="V294" s="20"/>
    </row>
    <row r="295" customHeight="1" spans="1:22">
      <c r="A295" s="19">
        <f t="shared" si="4"/>
        <v>58</v>
      </c>
      <c r="B295" s="20" t="s">
        <v>4384</v>
      </c>
      <c r="C295" s="20"/>
      <c r="D295" s="20"/>
      <c r="E295" s="20" t="s">
        <v>3593</v>
      </c>
      <c r="F295" s="20" t="s">
        <v>298</v>
      </c>
      <c r="G295" s="101">
        <f>VLOOKUP(F295,'01. TH'!$B:$E,3,0)</f>
        <v>0</v>
      </c>
      <c r="H295" s="19" t="s">
        <v>1121</v>
      </c>
      <c r="I295" s="797">
        <v>45884</v>
      </c>
      <c r="J295" s="20"/>
      <c r="K295" s="19" t="s">
        <v>1839</v>
      </c>
      <c r="L295" s="654"/>
      <c r="M295" s="22"/>
      <c r="N295" s="20" t="s">
        <v>4379</v>
      </c>
      <c r="O295" s="22">
        <v>7045</v>
      </c>
      <c r="P295" s="20" t="s">
        <v>880</v>
      </c>
      <c r="Q295" s="19">
        <v>2025</v>
      </c>
      <c r="R295" s="22" t="s">
        <v>4380</v>
      </c>
      <c r="S295" s="144" t="s">
        <v>4385</v>
      </c>
      <c r="T295" s="47">
        <v>1.2</v>
      </c>
      <c r="U295" s="20"/>
      <c r="V295" s="20"/>
    </row>
    <row r="296" customHeight="1" spans="1:22">
      <c r="A296" s="19">
        <f t="shared" si="4"/>
        <v>59</v>
      </c>
      <c r="B296" s="20" t="s">
        <v>4386</v>
      </c>
      <c r="C296" s="20"/>
      <c r="D296" s="20"/>
      <c r="E296" s="20" t="s">
        <v>3593</v>
      </c>
      <c r="F296" s="20" t="s">
        <v>298</v>
      </c>
      <c r="G296" s="101">
        <f>VLOOKUP(F296,'01. TH'!$B:$E,3,0)</f>
        <v>0</v>
      </c>
      <c r="H296" s="19" t="s">
        <v>1121</v>
      </c>
      <c r="I296" s="797">
        <v>45884</v>
      </c>
      <c r="J296" s="20"/>
      <c r="K296" s="19" t="s">
        <v>1839</v>
      </c>
      <c r="L296" s="654"/>
      <c r="M296" s="22"/>
      <c r="N296" s="20" t="s">
        <v>4379</v>
      </c>
      <c r="O296" s="22">
        <v>7045</v>
      </c>
      <c r="P296" s="20" t="s">
        <v>880</v>
      </c>
      <c r="Q296" s="19">
        <v>2025</v>
      </c>
      <c r="R296" s="22" t="s">
        <v>4380</v>
      </c>
      <c r="S296" s="144" t="s">
        <v>4387</v>
      </c>
      <c r="T296" s="47">
        <v>1.2</v>
      </c>
      <c r="U296" s="20"/>
      <c r="V296" s="20"/>
    </row>
    <row r="297" customHeight="1" spans="1:22">
      <c r="A297" s="19"/>
      <c r="B297" s="20"/>
      <c r="C297" s="20"/>
      <c r="D297" s="20"/>
      <c r="E297" s="20"/>
      <c r="F297" s="20"/>
      <c r="G297" s="101" t="e">
        <f>VLOOKUP(F297,'01. TH'!$B:$E,3,0)</f>
        <v>#N/A</v>
      </c>
      <c r="H297" s="19"/>
      <c r="I297" s="19"/>
      <c r="J297" s="20"/>
      <c r="K297" s="19"/>
      <c r="L297" s="654"/>
      <c r="M297" s="22"/>
      <c r="N297" s="20"/>
      <c r="O297" s="22"/>
      <c r="P297" s="20"/>
      <c r="Q297" s="19"/>
      <c r="R297" s="22"/>
      <c r="S297" s="22"/>
      <c r="T297" s="47"/>
      <c r="U297" s="20"/>
      <c r="V297" s="20"/>
    </row>
    <row r="298" customHeight="1" spans="1:22">
      <c r="A298" s="14" t="s">
        <v>1246</v>
      </c>
      <c r="B298" s="15" t="s">
        <v>4388</v>
      </c>
      <c r="C298" s="14">
        <f>COUNTA($B$299:$B$358)</f>
        <v>58</v>
      </c>
      <c r="D298" s="17"/>
      <c r="E298" s="17"/>
      <c r="F298" s="17"/>
      <c r="G298" s="18"/>
      <c r="H298" s="18"/>
      <c r="I298" s="14"/>
      <c r="J298" s="15"/>
      <c r="K298" s="14"/>
      <c r="L298" s="17"/>
      <c r="M298" s="16"/>
      <c r="N298" s="17"/>
      <c r="O298" s="16"/>
      <c r="P298" s="17"/>
      <c r="Q298" s="18"/>
      <c r="R298" s="16"/>
      <c r="S298" s="16"/>
      <c r="T298" s="786"/>
      <c r="U298" s="17"/>
      <c r="V298" s="17"/>
    </row>
    <row r="299" customHeight="1" spans="1:22">
      <c r="A299" s="19">
        <v>1</v>
      </c>
      <c r="B299" s="20" t="s">
        <v>4389</v>
      </c>
      <c r="C299" s="22" t="s">
        <v>4390</v>
      </c>
      <c r="D299" s="20" t="s">
        <v>4222</v>
      </c>
      <c r="E299" s="20" t="s">
        <v>451</v>
      </c>
      <c r="F299" s="20" t="s">
        <v>401</v>
      </c>
      <c r="G299" s="101" t="str">
        <f>VLOOKUP(F299,'01. TH'!$B:$E,3,0)</f>
        <v>1x1x1</v>
      </c>
      <c r="H299" s="19" t="s">
        <v>1250</v>
      </c>
      <c r="I299" s="19"/>
      <c r="J299" s="20"/>
      <c r="K299" s="19" t="s">
        <v>1839</v>
      </c>
      <c r="L299" s="20"/>
      <c r="M299" s="22"/>
      <c r="N299" s="20" t="s">
        <v>3611</v>
      </c>
      <c r="O299" s="22"/>
      <c r="P299" s="20" t="s">
        <v>3613</v>
      </c>
      <c r="Q299" s="19"/>
      <c r="R299" s="22"/>
      <c r="S299" s="22">
        <v>40</v>
      </c>
      <c r="T299" s="321"/>
      <c r="U299" s="22"/>
      <c r="V299" s="22"/>
    </row>
    <row r="300" customHeight="1" spans="1:22">
      <c r="A300" s="19">
        <f t="shared" ref="A300:A331" si="5">A299+1</f>
        <v>2</v>
      </c>
      <c r="B300" s="20" t="s">
        <v>4391</v>
      </c>
      <c r="C300" s="22" t="s">
        <v>4392</v>
      </c>
      <c r="D300" s="20" t="s">
        <v>4393</v>
      </c>
      <c r="E300" s="20" t="s">
        <v>451</v>
      </c>
      <c r="F300" s="20" t="s">
        <v>401</v>
      </c>
      <c r="G300" s="101" t="str">
        <f>VLOOKUP(F300,'01. TH'!$B:$E,3,0)</f>
        <v>1x1x1</v>
      </c>
      <c r="H300" s="19" t="s">
        <v>1250</v>
      </c>
      <c r="I300" s="19"/>
      <c r="J300" s="20"/>
      <c r="K300" s="19" t="s">
        <v>1839</v>
      </c>
      <c r="L300" s="20"/>
      <c r="M300" s="22"/>
      <c r="N300" s="20" t="s">
        <v>3611</v>
      </c>
      <c r="O300" s="22"/>
      <c r="P300" s="20" t="s">
        <v>3613</v>
      </c>
      <c r="Q300" s="19"/>
      <c r="R300" s="22"/>
      <c r="S300" s="22">
        <v>40</v>
      </c>
      <c r="T300" s="321"/>
      <c r="U300" s="22"/>
      <c r="V300" s="22"/>
    </row>
    <row r="301" customHeight="1" spans="1:22">
      <c r="A301" s="19">
        <f t="shared" si="5"/>
        <v>3</v>
      </c>
      <c r="B301" s="20" t="s">
        <v>4394</v>
      </c>
      <c r="C301" s="22" t="s">
        <v>4395</v>
      </c>
      <c r="D301" s="20" t="s">
        <v>4396</v>
      </c>
      <c r="E301" s="20" t="s">
        <v>451</v>
      </c>
      <c r="F301" s="20" t="s">
        <v>401</v>
      </c>
      <c r="G301" s="101" t="str">
        <f>VLOOKUP(F301,'01. TH'!$B:$E,3,0)</f>
        <v>1x1x1</v>
      </c>
      <c r="H301" s="19" t="s">
        <v>1250</v>
      </c>
      <c r="I301" s="19"/>
      <c r="J301" s="20"/>
      <c r="K301" s="19" t="s">
        <v>1839</v>
      </c>
      <c r="L301" s="20"/>
      <c r="M301" s="22"/>
      <c r="N301" s="20" t="s">
        <v>3611</v>
      </c>
      <c r="O301" s="22"/>
      <c r="P301" s="20" t="s">
        <v>3613</v>
      </c>
      <c r="Q301" s="19"/>
      <c r="R301" s="22"/>
      <c r="S301" s="22">
        <v>40</v>
      </c>
      <c r="T301" s="321"/>
      <c r="U301" s="22"/>
      <c r="V301" s="22"/>
    </row>
    <row r="302" customHeight="1" spans="1:22">
      <c r="A302" s="19">
        <f t="shared" si="5"/>
        <v>4</v>
      </c>
      <c r="B302" s="20" t="s">
        <v>4397</v>
      </c>
      <c r="C302" s="22" t="s">
        <v>4398</v>
      </c>
      <c r="D302" s="20" t="s">
        <v>4399</v>
      </c>
      <c r="E302" s="20" t="s">
        <v>451</v>
      </c>
      <c r="F302" s="20" t="s">
        <v>401</v>
      </c>
      <c r="G302" s="101" t="str">
        <f>VLOOKUP(F302,'01. TH'!$B:$E,3,0)</f>
        <v>1x1x1</v>
      </c>
      <c r="H302" s="19" t="s">
        <v>1250</v>
      </c>
      <c r="I302" s="19"/>
      <c r="J302" s="20"/>
      <c r="K302" s="19" t="s">
        <v>1839</v>
      </c>
      <c r="L302" s="20"/>
      <c r="M302" s="22"/>
      <c r="N302" s="20" t="s">
        <v>3611</v>
      </c>
      <c r="O302" s="22"/>
      <c r="P302" s="20" t="s">
        <v>3613</v>
      </c>
      <c r="Q302" s="19"/>
      <c r="R302" s="22"/>
      <c r="S302" s="22">
        <v>44</v>
      </c>
      <c r="T302" s="321"/>
      <c r="U302" s="22"/>
      <c r="V302" s="22"/>
    </row>
    <row r="303" customHeight="1" spans="1:22">
      <c r="A303" s="19">
        <f t="shared" si="5"/>
        <v>5</v>
      </c>
      <c r="B303" s="20" t="s">
        <v>4400</v>
      </c>
      <c r="C303" s="22" t="s">
        <v>4401</v>
      </c>
      <c r="D303" s="20" t="s">
        <v>4402</v>
      </c>
      <c r="E303" s="20" t="s">
        <v>451</v>
      </c>
      <c r="F303" s="20" t="s">
        <v>405</v>
      </c>
      <c r="G303" s="101" t="str">
        <f>VLOOKUP(F303,'01. TH'!$B:$E,3,0)</f>
        <v>1x1x1</v>
      </c>
      <c r="H303" s="19" t="s">
        <v>1250</v>
      </c>
      <c r="I303" s="19"/>
      <c r="J303" s="20"/>
      <c r="K303" s="19" t="s">
        <v>1839</v>
      </c>
      <c r="L303" s="20"/>
      <c r="M303" s="22"/>
      <c r="N303" s="20" t="s">
        <v>3611</v>
      </c>
      <c r="O303" s="22"/>
      <c r="P303" s="20" t="s">
        <v>3613</v>
      </c>
      <c r="Q303" s="19"/>
      <c r="R303" s="22"/>
      <c r="S303" s="22" t="s">
        <v>4403</v>
      </c>
      <c r="T303" s="321"/>
      <c r="U303" s="22"/>
      <c r="V303" s="22"/>
    </row>
    <row r="304" customHeight="1" spans="1:22">
      <c r="A304" s="19">
        <f t="shared" si="5"/>
        <v>6</v>
      </c>
      <c r="B304" s="20" t="s">
        <v>4404</v>
      </c>
      <c r="C304" s="22" t="s">
        <v>4405</v>
      </c>
      <c r="D304" s="20" t="s">
        <v>4406</v>
      </c>
      <c r="E304" s="20" t="s">
        <v>451</v>
      </c>
      <c r="F304" s="20" t="s">
        <v>405</v>
      </c>
      <c r="G304" s="101" t="str">
        <f>VLOOKUP(F304,'01. TH'!$B:$E,3,0)</f>
        <v>1x1x1</v>
      </c>
      <c r="H304" s="19" t="s">
        <v>1250</v>
      </c>
      <c r="I304" s="19"/>
      <c r="J304" s="20"/>
      <c r="K304" s="19" t="s">
        <v>1839</v>
      </c>
      <c r="L304" s="20"/>
      <c r="M304" s="22"/>
      <c r="N304" s="20" t="s">
        <v>3611</v>
      </c>
      <c r="O304" s="22"/>
      <c r="P304" s="20" t="s">
        <v>3613</v>
      </c>
      <c r="Q304" s="19"/>
      <c r="R304" s="22"/>
      <c r="S304" s="22" t="s">
        <v>4403</v>
      </c>
      <c r="T304" s="321"/>
      <c r="U304" s="22"/>
      <c r="V304" s="22"/>
    </row>
    <row r="305" customHeight="1" spans="1:22">
      <c r="A305" s="19">
        <f t="shared" si="5"/>
        <v>7</v>
      </c>
      <c r="B305" s="20" t="s">
        <v>4407</v>
      </c>
      <c r="C305" s="22" t="s">
        <v>4408</v>
      </c>
      <c r="D305" s="20" t="s">
        <v>4409</v>
      </c>
      <c r="E305" s="20" t="s">
        <v>451</v>
      </c>
      <c r="F305" s="20" t="s">
        <v>383</v>
      </c>
      <c r="G305" s="101">
        <f>VLOOKUP(F305,'01. TH'!$B:$E,3,0)</f>
        <v>0</v>
      </c>
      <c r="H305" s="19" t="s">
        <v>1250</v>
      </c>
      <c r="I305" s="19"/>
      <c r="J305" s="20"/>
      <c r="K305" s="19" t="s">
        <v>1839</v>
      </c>
      <c r="L305" s="20"/>
      <c r="M305" s="22"/>
      <c r="N305" s="20" t="s">
        <v>3611</v>
      </c>
      <c r="O305" s="22" t="s">
        <v>4249</v>
      </c>
      <c r="P305" s="20" t="s">
        <v>3613</v>
      </c>
      <c r="Q305" s="19"/>
      <c r="R305" s="22"/>
      <c r="S305" s="22" t="s">
        <v>4410</v>
      </c>
      <c r="T305" s="789">
        <v>8.47</v>
      </c>
      <c r="U305" s="38"/>
      <c r="V305" s="38"/>
    </row>
    <row r="306" customHeight="1" spans="1:22">
      <c r="A306" s="19">
        <f t="shared" si="5"/>
        <v>8</v>
      </c>
      <c r="B306" s="20" t="s">
        <v>4411</v>
      </c>
      <c r="C306" s="22"/>
      <c r="D306" s="20" t="s">
        <v>4412</v>
      </c>
      <c r="E306" s="20" t="s">
        <v>451</v>
      </c>
      <c r="F306" s="20" t="s">
        <v>389</v>
      </c>
      <c r="G306" s="101" t="str">
        <f>VLOOKUP(F306,'01. TH'!$B:$E,3,0)</f>
        <v>6.8x2x2.2</v>
      </c>
      <c r="H306" s="19" t="s">
        <v>1250</v>
      </c>
      <c r="I306" s="19"/>
      <c r="J306" s="20"/>
      <c r="K306" s="19" t="s">
        <v>1839</v>
      </c>
      <c r="L306" s="20" t="s">
        <v>4413</v>
      </c>
      <c r="M306" s="22"/>
      <c r="N306" s="20" t="s">
        <v>3611</v>
      </c>
      <c r="O306" s="22"/>
      <c r="P306" s="20" t="s">
        <v>3613</v>
      </c>
      <c r="Q306" s="19"/>
      <c r="R306" s="22"/>
      <c r="S306" s="39" t="s">
        <v>4414</v>
      </c>
      <c r="T306" s="789"/>
      <c r="U306" s="38"/>
      <c r="V306" s="38"/>
    </row>
    <row r="307" customHeight="1" spans="1:22">
      <c r="A307" s="19">
        <f t="shared" si="5"/>
        <v>9</v>
      </c>
      <c r="B307" s="20" t="s">
        <v>4415</v>
      </c>
      <c r="C307" s="22" t="s">
        <v>4416</v>
      </c>
      <c r="D307" s="20"/>
      <c r="E307" s="20" t="s">
        <v>451</v>
      </c>
      <c r="F307" s="20" t="s">
        <v>389</v>
      </c>
      <c r="G307" s="101"/>
      <c r="H307" s="19" t="s">
        <v>1250</v>
      </c>
      <c r="I307" s="19"/>
      <c r="J307" s="20"/>
      <c r="K307" s="19" t="s">
        <v>1839</v>
      </c>
      <c r="L307" s="20" t="s">
        <v>4413</v>
      </c>
      <c r="M307" s="22"/>
      <c r="N307" s="20" t="s">
        <v>3611</v>
      </c>
      <c r="O307" s="22"/>
      <c r="P307" s="20" t="s">
        <v>3613</v>
      </c>
      <c r="Q307" s="19"/>
      <c r="R307" s="22"/>
      <c r="S307" s="39"/>
      <c r="T307" s="789"/>
      <c r="U307" s="38"/>
      <c r="V307" s="38"/>
    </row>
    <row r="308" customHeight="1" spans="1:22">
      <c r="A308" s="19">
        <f t="shared" si="5"/>
        <v>10</v>
      </c>
      <c r="B308" s="20" t="s">
        <v>4417</v>
      </c>
      <c r="C308" s="22"/>
      <c r="D308" s="20" t="s">
        <v>3952</v>
      </c>
      <c r="E308" s="20" t="s">
        <v>451</v>
      </c>
      <c r="F308" s="20" t="s">
        <v>408</v>
      </c>
      <c r="G308" s="101" t="str">
        <f>VLOOKUP(F308,'01. TH'!$B:$E,3,0)</f>
        <v>6.1x2.4x0.9</v>
      </c>
      <c r="H308" s="19" t="s">
        <v>1250</v>
      </c>
      <c r="I308" s="19"/>
      <c r="J308" s="20"/>
      <c r="K308" s="19" t="s">
        <v>1839</v>
      </c>
      <c r="L308" s="20"/>
      <c r="M308" s="22"/>
      <c r="N308" s="20" t="s">
        <v>3611</v>
      </c>
      <c r="O308" s="22"/>
      <c r="P308" s="20" t="s">
        <v>3613</v>
      </c>
      <c r="Q308" s="19"/>
      <c r="R308" s="22"/>
      <c r="S308" s="39"/>
      <c r="T308" s="789"/>
      <c r="U308" s="38"/>
      <c r="V308" s="38"/>
    </row>
    <row r="309" customHeight="1" spans="1:22">
      <c r="A309" s="19">
        <f t="shared" si="5"/>
        <v>11</v>
      </c>
      <c r="B309" s="20" t="s">
        <v>4418</v>
      </c>
      <c r="C309" s="22" t="s">
        <v>4419</v>
      </c>
      <c r="D309" s="20" t="s">
        <v>4420</v>
      </c>
      <c r="E309" s="20" t="s">
        <v>451</v>
      </c>
      <c r="F309" s="20" t="s">
        <v>397</v>
      </c>
      <c r="G309" s="101" t="str">
        <f>VLOOKUP(F309,'01. TH'!$B:$E,3,0)</f>
        <v>5500 x 2500 x 2400</v>
      </c>
      <c r="H309" s="19" t="s">
        <v>1250</v>
      </c>
      <c r="I309" s="58">
        <v>45297</v>
      </c>
      <c r="J309" s="20"/>
      <c r="K309" s="19" t="s">
        <v>1839</v>
      </c>
      <c r="L309" s="20"/>
      <c r="M309" s="22" t="s">
        <v>4421</v>
      </c>
      <c r="N309" s="20" t="s">
        <v>3611</v>
      </c>
      <c r="O309" s="22"/>
      <c r="P309" s="20" t="s">
        <v>3613</v>
      </c>
      <c r="Q309" s="19"/>
      <c r="R309" s="22" t="s">
        <v>4422</v>
      </c>
      <c r="S309" s="22"/>
      <c r="T309" s="47"/>
      <c r="U309" s="20"/>
      <c r="V309" s="20"/>
    </row>
    <row r="310" customHeight="1" spans="1:22">
      <c r="A310" s="19">
        <f t="shared" si="5"/>
        <v>12</v>
      </c>
      <c r="B310" s="20" t="s">
        <v>4423</v>
      </c>
      <c r="C310" s="22"/>
      <c r="D310" s="20" t="s">
        <v>4424</v>
      </c>
      <c r="E310" s="20" t="s">
        <v>451</v>
      </c>
      <c r="F310" s="20" t="s">
        <v>3632</v>
      </c>
      <c r="G310" s="101" t="e">
        <f>VLOOKUP(F310,'01. TH'!$B:$E,3,0)</f>
        <v>#N/A</v>
      </c>
      <c r="H310" s="19" t="s">
        <v>1250</v>
      </c>
      <c r="I310" s="19" t="s">
        <v>3796</v>
      </c>
      <c r="J310" s="20"/>
      <c r="K310" s="19" t="s">
        <v>1839</v>
      </c>
      <c r="L310" s="20"/>
      <c r="M310" s="20" t="s">
        <v>3925</v>
      </c>
      <c r="N310" s="20" t="s">
        <v>3611</v>
      </c>
      <c r="O310" s="22"/>
      <c r="P310" s="20" t="s">
        <v>3613</v>
      </c>
      <c r="Q310" s="19">
        <v>2025</v>
      </c>
      <c r="R310" s="22" t="s">
        <v>3639</v>
      </c>
      <c r="S310" s="22"/>
      <c r="T310" s="47"/>
      <c r="U310" s="20"/>
      <c r="V310" s="20"/>
    </row>
    <row r="311" customHeight="1" spans="1:22">
      <c r="A311" s="19">
        <f t="shared" si="5"/>
        <v>13</v>
      </c>
      <c r="B311" s="20" t="s">
        <v>4425</v>
      </c>
      <c r="C311" s="22"/>
      <c r="D311" s="20" t="s">
        <v>4426</v>
      </c>
      <c r="E311" s="20" t="s">
        <v>451</v>
      </c>
      <c r="F311" s="20" t="s">
        <v>3632</v>
      </c>
      <c r="G311" s="101" t="e">
        <f>VLOOKUP(F311,'01. TH'!$B:$E,3,0)</f>
        <v>#N/A</v>
      </c>
      <c r="H311" s="19" t="s">
        <v>1250</v>
      </c>
      <c r="I311" s="19" t="s">
        <v>3796</v>
      </c>
      <c r="J311" s="20"/>
      <c r="K311" s="19" t="s">
        <v>1839</v>
      </c>
      <c r="L311" s="20"/>
      <c r="M311" s="20" t="s">
        <v>3925</v>
      </c>
      <c r="N311" s="20" t="s">
        <v>3611</v>
      </c>
      <c r="O311" s="22"/>
      <c r="P311" s="20" t="s">
        <v>3613</v>
      </c>
      <c r="Q311" s="19">
        <v>2025</v>
      </c>
      <c r="R311" s="22" t="s">
        <v>3639</v>
      </c>
      <c r="S311" s="22"/>
      <c r="T311" s="47"/>
      <c r="U311" s="20"/>
      <c r="V311" s="20"/>
    </row>
    <row r="312" customHeight="1" spans="1:22">
      <c r="A312" s="19">
        <f t="shared" si="5"/>
        <v>14</v>
      </c>
      <c r="B312" s="20" t="s">
        <v>4427</v>
      </c>
      <c r="C312" s="22"/>
      <c r="D312" s="20"/>
      <c r="E312" s="20" t="s">
        <v>451</v>
      </c>
      <c r="F312" s="20" t="s">
        <v>299</v>
      </c>
      <c r="G312" s="101">
        <f>VLOOKUP(F312,'01. TH'!$B:$E,3,0)</f>
        <v>0</v>
      </c>
      <c r="H312" s="19" t="s">
        <v>1250</v>
      </c>
      <c r="I312" s="19"/>
      <c r="J312" s="20"/>
      <c r="K312" s="19" t="s">
        <v>1839</v>
      </c>
      <c r="L312" s="20"/>
      <c r="M312" s="22" t="s">
        <v>4428</v>
      </c>
      <c r="N312" s="20" t="s">
        <v>3144</v>
      </c>
      <c r="O312" s="22" t="s">
        <v>4429</v>
      </c>
      <c r="P312" s="20" t="s">
        <v>3144</v>
      </c>
      <c r="Q312" s="19"/>
      <c r="R312" s="20" t="s">
        <v>279</v>
      </c>
      <c r="S312" s="22"/>
      <c r="T312" s="47"/>
      <c r="U312" s="20"/>
      <c r="V312" s="20"/>
    </row>
    <row r="313" customHeight="1" spans="1:22">
      <c r="A313" s="19">
        <f t="shared" si="5"/>
        <v>15</v>
      </c>
      <c r="B313" s="20" t="s">
        <v>4430</v>
      </c>
      <c r="C313" s="22"/>
      <c r="D313" s="20"/>
      <c r="E313" s="20" t="s">
        <v>451</v>
      </c>
      <c r="F313" s="20" t="s">
        <v>299</v>
      </c>
      <c r="G313" s="101">
        <f>VLOOKUP(F313,'01. TH'!$B:$E,3,0)</f>
        <v>0</v>
      </c>
      <c r="H313" s="19" t="s">
        <v>1250</v>
      </c>
      <c r="I313" s="19"/>
      <c r="J313" s="20"/>
      <c r="K313" s="19" t="s">
        <v>1839</v>
      </c>
      <c r="L313" s="20"/>
      <c r="M313" s="22" t="s">
        <v>4428</v>
      </c>
      <c r="N313" s="20" t="s">
        <v>3144</v>
      </c>
      <c r="O313" s="22" t="s">
        <v>4429</v>
      </c>
      <c r="P313" s="20" t="s">
        <v>3144</v>
      </c>
      <c r="Q313" s="19"/>
      <c r="R313" s="20" t="s">
        <v>279</v>
      </c>
      <c r="S313" s="22"/>
      <c r="T313" s="47"/>
      <c r="U313" s="20"/>
      <c r="V313" s="20"/>
    </row>
    <row r="314" customHeight="1" spans="1:22">
      <c r="A314" s="19">
        <f t="shared" si="5"/>
        <v>16</v>
      </c>
      <c r="B314" s="20" t="s">
        <v>4431</v>
      </c>
      <c r="C314" s="22"/>
      <c r="D314" s="20"/>
      <c r="E314" s="20" t="s">
        <v>451</v>
      </c>
      <c r="F314" s="20" t="s">
        <v>299</v>
      </c>
      <c r="G314" s="101">
        <f>VLOOKUP(F314,'01. TH'!$B:$E,3,0)</f>
        <v>0</v>
      </c>
      <c r="H314" s="19" t="s">
        <v>1250</v>
      </c>
      <c r="I314" s="19"/>
      <c r="J314" s="20"/>
      <c r="K314" s="19" t="s">
        <v>1839</v>
      </c>
      <c r="L314" s="20"/>
      <c r="M314" s="22" t="s">
        <v>4432</v>
      </c>
      <c r="N314" s="20" t="s">
        <v>3144</v>
      </c>
      <c r="O314" s="22" t="s">
        <v>4433</v>
      </c>
      <c r="P314" s="20" t="s">
        <v>3144</v>
      </c>
      <c r="Q314" s="19"/>
      <c r="R314" s="20" t="s">
        <v>4434</v>
      </c>
      <c r="S314" s="22"/>
      <c r="T314" s="47"/>
      <c r="U314" s="20"/>
      <c r="V314" s="20"/>
    </row>
    <row r="315" customHeight="1" spans="1:22">
      <c r="A315" s="19">
        <f t="shared" si="5"/>
        <v>17</v>
      </c>
      <c r="B315" s="20" t="s">
        <v>4435</v>
      </c>
      <c r="C315" s="22"/>
      <c r="D315" s="20"/>
      <c r="E315" s="20" t="s">
        <v>451</v>
      </c>
      <c r="F315" s="20" t="s">
        <v>299</v>
      </c>
      <c r="G315" s="101">
        <f>VLOOKUP(F315,'01. TH'!$B:$E,3,0)</f>
        <v>0</v>
      </c>
      <c r="H315" s="19" t="s">
        <v>1250</v>
      </c>
      <c r="I315" s="19"/>
      <c r="J315" s="20"/>
      <c r="K315" s="19" t="s">
        <v>1839</v>
      </c>
      <c r="L315" s="20"/>
      <c r="M315" s="22" t="s">
        <v>4436</v>
      </c>
      <c r="N315" s="20" t="s">
        <v>3144</v>
      </c>
      <c r="O315" s="22" t="s">
        <v>4433</v>
      </c>
      <c r="P315" s="20" t="s">
        <v>3144</v>
      </c>
      <c r="Q315" s="19"/>
      <c r="R315" s="20" t="s">
        <v>4434</v>
      </c>
      <c r="S315" s="22"/>
      <c r="T315" s="47"/>
      <c r="U315" s="20"/>
      <c r="V315" s="20"/>
    </row>
    <row r="316" customHeight="1" spans="1:22">
      <c r="A316" s="19">
        <f t="shared" si="5"/>
        <v>18</v>
      </c>
      <c r="B316" s="20" t="s">
        <v>4437</v>
      </c>
      <c r="C316" s="22"/>
      <c r="D316" s="20"/>
      <c r="E316" s="20" t="s">
        <v>451</v>
      </c>
      <c r="F316" s="20" t="s">
        <v>299</v>
      </c>
      <c r="G316" s="101">
        <f>VLOOKUP(F316,'01. TH'!$B:$E,3,0)</f>
        <v>0</v>
      </c>
      <c r="H316" s="19" t="s">
        <v>1250</v>
      </c>
      <c r="I316" s="19"/>
      <c r="J316" s="20"/>
      <c r="K316" s="19" t="s">
        <v>1839</v>
      </c>
      <c r="L316" s="20"/>
      <c r="M316" s="22" t="s">
        <v>4436</v>
      </c>
      <c r="N316" s="20" t="s">
        <v>3144</v>
      </c>
      <c r="O316" s="22" t="s">
        <v>4433</v>
      </c>
      <c r="P316" s="20" t="s">
        <v>3144</v>
      </c>
      <c r="Q316" s="19"/>
      <c r="R316" s="20" t="s">
        <v>4434</v>
      </c>
      <c r="S316" s="22"/>
      <c r="T316" s="47"/>
      <c r="U316" s="20"/>
      <c r="V316" s="20"/>
    </row>
    <row r="317" customHeight="1" spans="1:22">
      <c r="A317" s="19">
        <f t="shared" si="5"/>
        <v>19</v>
      </c>
      <c r="B317" s="20" t="s">
        <v>4438</v>
      </c>
      <c r="C317" s="22"/>
      <c r="D317" s="20"/>
      <c r="E317" s="20" t="s">
        <v>451</v>
      </c>
      <c r="F317" s="20" t="s">
        <v>299</v>
      </c>
      <c r="G317" s="101">
        <f>VLOOKUP(F317,'01. TH'!$B:$E,3,0)</f>
        <v>0</v>
      </c>
      <c r="H317" s="19" t="s">
        <v>1250</v>
      </c>
      <c r="I317" s="19"/>
      <c r="J317" s="20"/>
      <c r="K317" s="19" t="s">
        <v>1839</v>
      </c>
      <c r="L317" s="20"/>
      <c r="M317" s="22" t="s">
        <v>4439</v>
      </c>
      <c r="N317" s="20" t="s">
        <v>3144</v>
      </c>
      <c r="O317" s="22" t="s">
        <v>4433</v>
      </c>
      <c r="P317" s="20" t="s">
        <v>3144</v>
      </c>
      <c r="Q317" s="19"/>
      <c r="R317" s="20" t="s">
        <v>4434</v>
      </c>
      <c r="S317" s="22"/>
      <c r="T317" s="47"/>
      <c r="U317" s="20"/>
      <c r="V317" s="20"/>
    </row>
    <row r="318" customHeight="1" spans="1:22">
      <c r="A318" s="19">
        <f t="shared" si="5"/>
        <v>20</v>
      </c>
      <c r="B318" s="20" t="s">
        <v>4440</v>
      </c>
      <c r="C318" s="22"/>
      <c r="D318" s="20"/>
      <c r="E318" s="20" t="s">
        <v>451</v>
      </c>
      <c r="F318" s="20" t="s">
        <v>299</v>
      </c>
      <c r="G318" s="101">
        <f>VLOOKUP(F318,'01. TH'!$B:$E,3,0)</f>
        <v>0</v>
      </c>
      <c r="H318" s="19" t="s">
        <v>1250</v>
      </c>
      <c r="I318" s="19"/>
      <c r="J318" s="20"/>
      <c r="K318" s="19" t="s">
        <v>1839</v>
      </c>
      <c r="L318" s="20"/>
      <c r="M318" s="22" t="s">
        <v>4439</v>
      </c>
      <c r="N318" s="20" t="s">
        <v>3144</v>
      </c>
      <c r="O318" s="22" t="s">
        <v>4441</v>
      </c>
      <c r="P318" s="20" t="s">
        <v>3144</v>
      </c>
      <c r="Q318" s="19"/>
      <c r="R318" s="20" t="s">
        <v>4442</v>
      </c>
      <c r="S318" s="22"/>
      <c r="T318" s="47"/>
      <c r="U318" s="20"/>
      <c r="V318" s="20"/>
    </row>
    <row r="319" customHeight="1" spans="1:22">
      <c r="A319" s="19">
        <f t="shared" si="5"/>
        <v>21</v>
      </c>
      <c r="B319" s="20" t="s">
        <v>4443</v>
      </c>
      <c r="C319" s="22"/>
      <c r="D319" s="20"/>
      <c r="E319" s="20" t="s">
        <v>451</v>
      </c>
      <c r="F319" s="20" t="s">
        <v>299</v>
      </c>
      <c r="G319" s="101">
        <f>VLOOKUP(F319,'01. TH'!$B:$E,3,0)</f>
        <v>0</v>
      </c>
      <c r="H319" s="19" t="s">
        <v>1250</v>
      </c>
      <c r="I319" s="19" t="s">
        <v>4444</v>
      </c>
      <c r="J319" s="20"/>
      <c r="K319" s="19" t="s">
        <v>1839</v>
      </c>
      <c r="L319" s="20"/>
      <c r="M319" s="22" t="s">
        <v>4445</v>
      </c>
      <c r="N319" s="20" t="s">
        <v>3144</v>
      </c>
      <c r="O319" s="22" t="s">
        <v>4446</v>
      </c>
      <c r="P319" s="20" t="s">
        <v>3144</v>
      </c>
      <c r="Q319" s="19"/>
      <c r="R319" s="20" t="s">
        <v>4447</v>
      </c>
      <c r="S319" s="22"/>
      <c r="T319" s="47"/>
      <c r="U319" s="20"/>
      <c r="V319" s="20"/>
    </row>
    <row r="320" customHeight="1" spans="1:22">
      <c r="A320" s="19">
        <f t="shared" si="5"/>
        <v>22</v>
      </c>
      <c r="B320" s="20" t="s">
        <v>4448</v>
      </c>
      <c r="C320" s="22"/>
      <c r="D320" s="20"/>
      <c r="E320" s="20" t="s">
        <v>451</v>
      </c>
      <c r="F320" s="20" t="s">
        <v>299</v>
      </c>
      <c r="G320" s="101">
        <f>VLOOKUP(F320,'01. TH'!$B:$E,3,0)</f>
        <v>0</v>
      </c>
      <c r="H320" s="19" t="s">
        <v>1250</v>
      </c>
      <c r="I320" s="19" t="s">
        <v>4444</v>
      </c>
      <c r="J320" s="20"/>
      <c r="K320" s="19" t="s">
        <v>1839</v>
      </c>
      <c r="L320" s="20"/>
      <c r="M320" s="22" t="s">
        <v>4445</v>
      </c>
      <c r="N320" s="20" t="s">
        <v>3144</v>
      </c>
      <c r="O320" s="22" t="s">
        <v>4446</v>
      </c>
      <c r="P320" s="20" t="s">
        <v>3144</v>
      </c>
      <c r="Q320" s="19"/>
      <c r="R320" s="20" t="s">
        <v>4447</v>
      </c>
      <c r="S320" s="22"/>
      <c r="T320" s="47"/>
      <c r="U320" s="20"/>
      <c r="V320" s="20"/>
    </row>
    <row r="321" customHeight="1" spans="1:22">
      <c r="A321" s="19">
        <f t="shared" si="5"/>
        <v>23</v>
      </c>
      <c r="B321" s="20" t="s">
        <v>4449</v>
      </c>
      <c r="C321" s="22"/>
      <c r="D321" s="20"/>
      <c r="E321" s="20" t="s">
        <v>451</v>
      </c>
      <c r="F321" s="20" t="s">
        <v>299</v>
      </c>
      <c r="G321" s="101">
        <f>VLOOKUP(F321,'01. TH'!$B:$E,3,0)</f>
        <v>0</v>
      </c>
      <c r="H321" s="19" t="s">
        <v>1250</v>
      </c>
      <c r="I321" s="19" t="s">
        <v>4444</v>
      </c>
      <c r="J321" s="20"/>
      <c r="K321" s="19" t="s">
        <v>1839</v>
      </c>
      <c r="L321" s="20"/>
      <c r="M321" s="22" t="s">
        <v>4445</v>
      </c>
      <c r="N321" s="20" t="s">
        <v>3144</v>
      </c>
      <c r="O321" s="22" t="s">
        <v>4446</v>
      </c>
      <c r="P321" s="20" t="s">
        <v>3144</v>
      </c>
      <c r="Q321" s="19"/>
      <c r="R321" s="20" t="s">
        <v>4447</v>
      </c>
      <c r="S321" s="22"/>
      <c r="T321" s="47"/>
      <c r="U321" s="20"/>
      <c r="V321" s="20"/>
    </row>
    <row r="322" customHeight="1" spans="1:22">
      <c r="A322" s="19">
        <f t="shared" si="5"/>
        <v>24</v>
      </c>
      <c r="B322" s="20" t="s">
        <v>4450</v>
      </c>
      <c r="C322" s="22"/>
      <c r="D322" s="20"/>
      <c r="E322" s="20" t="s">
        <v>451</v>
      </c>
      <c r="F322" s="20" t="s">
        <v>299</v>
      </c>
      <c r="G322" s="101">
        <f>VLOOKUP(F322,'01. TH'!$B:$E,3,0)</f>
        <v>0</v>
      </c>
      <c r="H322" s="19" t="s">
        <v>1250</v>
      </c>
      <c r="I322" s="19" t="s">
        <v>4444</v>
      </c>
      <c r="J322" s="20"/>
      <c r="K322" s="19" t="s">
        <v>1839</v>
      </c>
      <c r="L322" s="20"/>
      <c r="M322" s="22" t="s">
        <v>4445</v>
      </c>
      <c r="N322" s="20" t="s">
        <v>3144</v>
      </c>
      <c r="O322" s="22" t="s">
        <v>4446</v>
      </c>
      <c r="P322" s="20" t="s">
        <v>3144</v>
      </c>
      <c r="Q322" s="19"/>
      <c r="R322" s="20" t="s">
        <v>4447</v>
      </c>
      <c r="S322" s="22"/>
      <c r="T322" s="47"/>
      <c r="U322" s="20"/>
      <c r="V322" s="20"/>
    </row>
    <row r="323" customHeight="1" spans="1:22">
      <c r="A323" s="19">
        <f t="shared" si="5"/>
        <v>25</v>
      </c>
      <c r="B323" s="20" t="s">
        <v>4451</v>
      </c>
      <c r="C323" s="22"/>
      <c r="D323" s="20"/>
      <c r="E323" s="20" t="s">
        <v>451</v>
      </c>
      <c r="F323" s="20" t="s">
        <v>299</v>
      </c>
      <c r="G323" s="101">
        <f>VLOOKUP(F323,'01. TH'!$B:$E,3,0)</f>
        <v>0</v>
      </c>
      <c r="H323" s="19" t="s">
        <v>1250</v>
      </c>
      <c r="I323" s="19" t="s">
        <v>4444</v>
      </c>
      <c r="J323" s="20"/>
      <c r="K323" s="19" t="s">
        <v>1839</v>
      </c>
      <c r="L323" s="20"/>
      <c r="M323" s="22" t="s">
        <v>4452</v>
      </c>
      <c r="N323" s="20" t="s">
        <v>3144</v>
      </c>
      <c r="O323" s="22" t="s">
        <v>4453</v>
      </c>
      <c r="P323" s="20" t="s">
        <v>3144</v>
      </c>
      <c r="Q323" s="19"/>
      <c r="R323" s="20" t="s">
        <v>279</v>
      </c>
      <c r="S323" s="22"/>
      <c r="T323" s="47"/>
      <c r="U323" s="20"/>
      <c r="V323" s="20"/>
    </row>
    <row r="324" customHeight="1" spans="1:22">
      <c r="A324" s="19">
        <f t="shared" si="5"/>
        <v>26</v>
      </c>
      <c r="B324" s="20" t="s">
        <v>4454</v>
      </c>
      <c r="C324" s="22"/>
      <c r="D324" s="20"/>
      <c r="E324" s="20" t="s">
        <v>451</v>
      </c>
      <c r="F324" s="20" t="s">
        <v>299</v>
      </c>
      <c r="G324" s="101">
        <f>VLOOKUP(F324,'01. TH'!$B:$E,3,0)</f>
        <v>0</v>
      </c>
      <c r="H324" s="19" t="s">
        <v>1250</v>
      </c>
      <c r="I324" s="19" t="s">
        <v>4444</v>
      </c>
      <c r="J324" s="20"/>
      <c r="K324" s="19" t="s">
        <v>1839</v>
      </c>
      <c r="L324" s="20"/>
      <c r="M324" s="22" t="s">
        <v>4452</v>
      </c>
      <c r="N324" s="20" t="s">
        <v>3144</v>
      </c>
      <c r="O324" s="22" t="s">
        <v>4453</v>
      </c>
      <c r="P324" s="20" t="s">
        <v>3144</v>
      </c>
      <c r="Q324" s="19"/>
      <c r="R324" s="20" t="s">
        <v>279</v>
      </c>
      <c r="S324" s="22"/>
      <c r="T324" s="47"/>
      <c r="U324" s="20"/>
      <c r="V324" s="20"/>
    </row>
    <row r="325" customHeight="1" spans="1:22">
      <c r="A325" s="19">
        <f t="shared" si="5"/>
        <v>27</v>
      </c>
      <c r="B325" s="20" t="s">
        <v>4455</v>
      </c>
      <c r="C325" s="22"/>
      <c r="D325" s="20"/>
      <c r="E325" s="20" t="s">
        <v>451</v>
      </c>
      <c r="F325" s="20" t="s">
        <v>299</v>
      </c>
      <c r="G325" s="101">
        <f>VLOOKUP(F325,'01. TH'!$B:$E,3,0)</f>
        <v>0</v>
      </c>
      <c r="H325" s="19" t="s">
        <v>1250</v>
      </c>
      <c r="I325" s="19" t="s">
        <v>4444</v>
      </c>
      <c r="J325" s="20"/>
      <c r="K325" s="19" t="s">
        <v>1839</v>
      </c>
      <c r="L325" s="20"/>
      <c r="M325" s="22" t="s">
        <v>4452</v>
      </c>
      <c r="N325" s="20" t="s">
        <v>3144</v>
      </c>
      <c r="O325" s="22" t="s">
        <v>4453</v>
      </c>
      <c r="P325" s="20" t="s">
        <v>3144</v>
      </c>
      <c r="Q325" s="19"/>
      <c r="R325" s="20" t="s">
        <v>279</v>
      </c>
      <c r="S325" s="22"/>
      <c r="T325" s="47"/>
      <c r="U325" s="20"/>
      <c r="V325" s="20"/>
    </row>
    <row r="326" customHeight="1" spans="1:22">
      <c r="A326" s="19">
        <f t="shared" si="5"/>
        <v>28</v>
      </c>
      <c r="B326" s="20" t="s">
        <v>4456</v>
      </c>
      <c r="C326" s="22"/>
      <c r="D326" s="20"/>
      <c r="E326" s="20" t="s">
        <v>451</v>
      </c>
      <c r="F326" s="20" t="s">
        <v>299</v>
      </c>
      <c r="G326" s="101">
        <f>VLOOKUP(F326,'01. TH'!$B:$E,3,0)</f>
        <v>0</v>
      </c>
      <c r="H326" s="19" t="s">
        <v>1250</v>
      </c>
      <c r="I326" s="19" t="s">
        <v>4444</v>
      </c>
      <c r="J326" s="20"/>
      <c r="K326" s="19" t="s">
        <v>1839</v>
      </c>
      <c r="L326" s="20"/>
      <c r="M326" s="22" t="s">
        <v>4452</v>
      </c>
      <c r="N326" s="20" t="s">
        <v>3144</v>
      </c>
      <c r="O326" s="22" t="s">
        <v>4453</v>
      </c>
      <c r="P326" s="20" t="s">
        <v>3144</v>
      </c>
      <c r="Q326" s="19"/>
      <c r="R326" s="20" t="s">
        <v>279</v>
      </c>
      <c r="S326" s="22"/>
      <c r="T326" s="47"/>
      <c r="U326" s="20"/>
      <c r="V326" s="20"/>
    </row>
    <row r="327" customHeight="1" spans="1:22">
      <c r="A327" s="19">
        <f t="shared" si="5"/>
        <v>29</v>
      </c>
      <c r="B327" s="20" t="s">
        <v>4457</v>
      </c>
      <c r="C327" s="22"/>
      <c r="D327" s="20"/>
      <c r="E327" s="20" t="s">
        <v>451</v>
      </c>
      <c r="F327" s="20" t="s">
        <v>299</v>
      </c>
      <c r="G327" s="101">
        <f>VLOOKUP(F327,'01. TH'!$B:$E,3,0)</f>
        <v>0</v>
      </c>
      <c r="H327" s="19" t="s">
        <v>1250</v>
      </c>
      <c r="I327" s="58">
        <v>45809</v>
      </c>
      <c r="J327" s="20"/>
      <c r="K327" s="19" t="s">
        <v>1839</v>
      </c>
      <c r="L327" s="20"/>
      <c r="M327" s="22" t="s">
        <v>4439</v>
      </c>
      <c r="N327" s="20" t="s">
        <v>3144</v>
      </c>
      <c r="O327" s="22" t="s">
        <v>4442</v>
      </c>
      <c r="P327" s="20" t="s">
        <v>3144</v>
      </c>
      <c r="Q327" s="19"/>
      <c r="R327" s="20" t="s">
        <v>4442</v>
      </c>
      <c r="S327" s="22"/>
      <c r="T327" s="47"/>
      <c r="U327" s="20"/>
      <c r="V327" s="20"/>
    </row>
    <row r="328" customHeight="1" spans="1:22">
      <c r="A328" s="19">
        <f t="shared" si="5"/>
        <v>30</v>
      </c>
      <c r="B328" s="20" t="s">
        <v>4458</v>
      </c>
      <c r="C328" s="22"/>
      <c r="D328" s="20"/>
      <c r="E328" s="20" t="s">
        <v>451</v>
      </c>
      <c r="F328" s="20" t="s">
        <v>299</v>
      </c>
      <c r="G328" s="101">
        <f>VLOOKUP(F328,'01. TH'!$B:$E,3,0)</f>
        <v>0</v>
      </c>
      <c r="H328" s="19" t="s">
        <v>1250</v>
      </c>
      <c r="I328" s="58">
        <v>45809</v>
      </c>
      <c r="J328" s="20"/>
      <c r="K328" s="19" t="s">
        <v>1839</v>
      </c>
      <c r="L328" s="20"/>
      <c r="M328" s="22" t="s">
        <v>4439</v>
      </c>
      <c r="N328" s="20" t="s">
        <v>3144</v>
      </c>
      <c r="O328" s="22" t="s">
        <v>4442</v>
      </c>
      <c r="P328" s="20" t="s">
        <v>3144</v>
      </c>
      <c r="Q328" s="19"/>
      <c r="R328" s="20" t="s">
        <v>4442</v>
      </c>
      <c r="S328" s="22"/>
      <c r="T328" s="47"/>
      <c r="U328" s="20"/>
      <c r="V328" s="20"/>
    </row>
    <row r="329" customHeight="1" spans="1:22">
      <c r="A329" s="19">
        <f t="shared" si="5"/>
        <v>31</v>
      </c>
      <c r="B329" s="20" t="s">
        <v>4459</v>
      </c>
      <c r="C329" s="22"/>
      <c r="D329" s="20"/>
      <c r="E329" s="20" t="s">
        <v>451</v>
      </c>
      <c r="F329" s="20" t="s">
        <v>299</v>
      </c>
      <c r="G329" s="101">
        <f>VLOOKUP(F329,'01. TH'!$B:$E,3,0)</f>
        <v>0</v>
      </c>
      <c r="H329" s="19" t="s">
        <v>1250</v>
      </c>
      <c r="I329" s="58">
        <v>45809</v>
      </c>
      <c r="J329" s="20"/>
      <c r="K329" s="19" t="s">
        <v>1839</v>
      </c>
      <c r="L329" s="20"/>
      <c r="M329" s="22" t="s">
        <v>4439</v>
      </c>
      <c r="N329" s="20" t="s">
        <v>3144</v>
      </c>
      <c r="O329" s="22" t="s">
        <v>4442</v>
      </c>
      <c r="P329" s="20" t="s">
        <v>3144</v>
      </c>
      <c r="Q329" s="19"/>
      <c r="R329" s="20" t="s">
        <v>4442</v>
      </c>
      <c r="S329" s="22"/>
      <c r="T329" s="47"/>
      <c r="U329" s="20"/>
      <c r="V329" s="20"/>
    </row>
    <row r="330" customHeight="1" spans="1:22">
      <c r="A330" s="19">
        <f t="shared" si="5"/>
        <v>32</v>
      </c>
      <c r="B330" s="20" t="s">
        <v>4460</v>
      </c>
      <c r="C330" s="22"/>
      <c r="D330" s="20"/>
      <c r="E330" s="20" t="s">
        <v>451</v>
      </c>
      <c r="F330" s="20" t="s">
        <v>299</v>
      </c>
      <c r="G330" s="101">
        <f>VLOOKUP(F330,'01. TH'!$B:$E,3,0)</f>
        <v>0</v>
      </c>
      <c r="H330" s="19" t="s">
        <v>1250</v>
      </c>
      <c r="I330" s="58">
        <v>45809</v>
      </c>
      <c r="J330" s="20"/>
      <c r="K330" s="19" t="s">
        <v>1839</v>
      </c>
      <c r="L330" s="20"/>
      <c r="M330" s="22" t="s">
        <v>4439</v>
      </c>
      <c r="N330" s="20" t="s">
        <v>3144</v>
      </c>
      <c r="O330" s="22" t="s">
        <v>4442</v>
      </c>
      <c r="P330" s="20" t="s">
        <v>3144</v>
      </c>
      <c r="Q330" s="19"/>
      <c r="R330" s="20" t="s">
        <v>4442</v>
      </c>
      <c r="S330" s="22"/>
      <c r="T330" s="47"/>
      <c r="U330" s="20"/>
      <c r="V330" s="20"/>
    </row>
    <row r="331" customHeight="1" spans="1:22">
      <c r="A331" s="19">
        <f t="shared" si="5"/>
        <v>33</v>
      </c>
      <c r="B331" s="20" t="s">
        <v>4461</v>
      </c>
      <c r="C331" s="22" t="s">
        <v>4462</v>
      </c>
      <c r="D331" s="20" t="s">
        <v>4463</v>
      </c>
      <c r="E331" s="20" t="s">
        <v>451</v>
      </c>
      <c r="F331" s="20" t="s">
        <v>4377</v>
      </c>
      <c r="G331" s="101" t="e">
        <f>VLOOKUP(F331,'01. TH'!$B:$E,3,0)</f>
        <v>#N/A</v>
      </c>
      <c r="H331" s="19" t="s">
        <v>1250</v>
      </c>
      <c r="I331" s="58">
        <v>45547</v>
      </c>
      <c r="J331" s="20"/>
      <c r="K331" s="19" t="s">
        <v>1839</v>
      </c>
      <c r="L331" s="20"/>
      <c r="M331" s="22"/>
      <c r="N331" s="20" t="s">
        <v>3611</v>
      </c>
      <c r="O331" s="22" t="s">
        <v>4462</v>
      </c>
      <c r="P331" s="20" t="s">
        <v>3613</v>
      </c>
      <c r="Q331" s="19">
        <v>2024</v>
      </c>
      <c r="R331" s="22" t="s">
        <v>4464</v>
      </c>
      <c r="S331" s="22"/>
      <c r="T331" s="47"/>
      <c r="U331" s="20"/>
      <c r="V331" s="20"/>
    </row>
    <row r="332" customHeight="1" spans="1:22">
      <c r="A332" s="19">
        <f>A619+1</f>
        <v>35</v>
      </c>
      <c r="B332" s="20" t="s">
        <v>4465</v>
      </c>
      <c r="C332" s="22"/>
      <c r="D332" s="20" t="s">
        <v>4466</v>
      </c>
      <c r="E332" s="20" t="s">
        <v>451</v>
      </c>
      <c r="F332" s="20" t="s">
        <v>4377</v>
      </c>
      <c r="G332" s="101" t="e">
        <f>VLOOKUP(F332,'01. TH'!$B:$E,3,0)</f>
        <v>#N/A</v>
      </c>
      <c r="H332" s="19" t="s">
        <v>1250</v>
      </c>
      <c r="I332" s="19" t="s">
        <v>4350</v>
      </c>
      <c r="J332" s="20"/>
      <c r="K332" s="19" t="s">
        <v>1839</v>
      </c>
      <c r="L332" s="20"/>
      <c r="M332" s="22"/>
      <c r="N332" s="20" t="s">
        <v>3611</v>
      </c>
      <c r="O332" s="22" t="s">
        <v>4462</v>
      </c>
      <c r="P332" s="20" t="s">
        <v>3613</v>
      </c>
      <c r="Q332" s="19">
        <v>2025</v>
      </c>
      <c r="R332" s="22" t="s">
        <v>4467</v>
      </c>
      <c r="S332" s="22"/>
      <c r="T332" s="47"/>
      <c r="U332" s="20"/>
      <c r="V332" s="20"/>
    </row>
    <row r="333" customHeight="1" spans="1:22">
      <c r="A333" s="19">
        <f t="shared" ref="A333:A356" si="6">A332+1</f>
        <v>36</v>
      </c>
      <c r="B333" s="20" t="s">
        <v>4468</v>
      </c>
      <c r="C333" s="22"/>
      <c r="D333" s="20" t="s">
        <v>4469</v>
      </c>
      <c r="E333" s="20" t="s">
        <v>451</v>
      </c>
      <c r="F333" s="20" t="s">
        <v>4377</v>
      </c>
      <c r="G333" s="101" t="e">
        <f>VLOOKUP(F333,'01. TH'!$B:$E,3,0)</f>
        <v>#N/A</v>
      </c>
      <c r="H333" s="19" t="s">
        <v>1250</v>
      </c>
      <c r="I333" s="22" t="s">
        <v>4470</v>
      </c>
      <c r="J333" s="20"/>
      <c r="K333" s="19" t="s">
        <v>1839</v>
      </c>
      <c r="L333" s="20"/>
      <c r="M333" s="22"/>
      <c r="N333" s="20" t="s">
        <v>3611</v>
      </c>
      <c r="O333" s="22"/>
      <c r="P333" s="20"/>
      <c r="Q333" s="19"/>
      <c r="R333" s="21"/>
      <c r="S333" s="22"/>
      <c r="T333" s="47"/>
      <c r="U333" s="20"/>
      <c r="V333" s="20"/>
    </row>
    <row r="334" customHeight="1" spans="1:22">
      <c r="A334" s="19">
        <f t="shared" si="6"/>
        <v>37</v>
      </c>
      <c r="B334" s="20" t="s">
        <v>4471</v>
      </c>
      <c r="C334" s="22"/>
      <c r="D334" s="20" t="s">
        <v>4472</v>
      </c>
      <c r="E334" s="20" t="s">
        <v>451</v>
      </c>
      <c r="F334" s="20" t="s">
        <v>395</v>
      </c>
      <c r="G334" s="101" t="str">
        <f>VLOOKUP(F334,'01. TH'!$B:$E,3,0)</f>
        <v>3000 x 1.600 x 1200</v>
      </c>
      <c r="H334" s="19" t="s">
        <v>1250</v>
      </c>
      <c r="I334" s="19"/>
      <c r="J334" s="20"/>
      <c r="K334" s="19" t="s">
        <v>1839</v>
      </c>
      <c r="L334" s="20"/>
      <c r="M334" s="22"/>
      <c r="N334" s="20" t="s">
        <v>3611</v>
      </c>
      <c r="O334" s="22"/>
      <c r="P334" s="20" t="s">
        <v>3613</v>
      </c>
      <c r="Q334" s="19"/>
      <c r="R334" s="22"/>
      <c r="S334" s="22"/>
      <c r="T334" s="47"/>
      <c r="U334" s="20"/>
      <c r="V334" s="20"/>
    </row>
    <row r="335" customHeight="1" spans="1:22">
      <c r="A335" s="19">
        <f t="shared" si="6"/>
        <v>38</v>
      </c>
      <c r="B335" s="20" t="s">
        <v>4473</v>
      </c>
      <c r="C335" s="22"/>
      <c r="D335" s="20" t="s">
        <v>4474</v>
      </c>
      <c r="E335" s="20" t="s">
        <v>451</v>
      </c>
      <c r="F335" s="20" t="s">
        <v>395</v>
      </c>
      <c r="G335" s="101" t="str">
        <f>VLOOKUP(F335,'01. TH'!$B:$E,3,0)</f>
        <v>3000 x 1.600 x 1200</v>
      </c>
      <c r="H335" s="19" t="s">
        <v>1250</v>
      </c>
      <c r="I335" s="19"/>
      <c r="J335" s="20"/>
      <c r="K335" s="19" t="s">
        <v>1839</v>
      </c>
      <c r="L335" s="20"/>
      <c r="M335" s="22"/>
      <c r="N335" s="20" t="s">
        <v>3611</v>
      </c>
      <c r="O335" s="22"/>
      <c r="P335" s="20" t="s">
        <v>3613</v>
      </c>
      <c r="Q335" s="19"/>
      <c r="R335" s="22"/>
      <c r="S335" s="22"/>
      <c r="T335" s="47"/>
      <c r="U335" s="20"/>
      <c r="V335" s="20"/>
    </row>
    <row r="336" customHeight="1" spans="1:22">
      <c r="A336" s="19">
        <f t="shared" si="6"/>
        <v>39</v>
      </c>
      <c r="B336" s="20" t="s">
        <v>4475</v>
      </c>
      <c r="C336" s="22"/>
      <c r="D336" s="20" t="s">
        <v>4476</v>
      </c>
      <c r="E336" s="20" t="s">
        <v>451</v>
      </c>
      <c r="F336" s="20" t="s">
        <v>395</v>
      </c>
      <c r="G336" s="101" t="str">
        <f>VLOOKUP(F336,'01. TH'!$B:$E,3,0)</f>
        <v>3000 x 1.600 x 1200</v>
      </c>
      <c r="H336" s="19" t="s">
        <v>1250</v>
      </c>
      <c r="I336" s="19"/>
      <c r="J336" s="20"/>
      <c r="K336" s="19" t="s">
        <v>1839</v>
      </c>
      <c r="L336" s="20"/>
      <c r="M336" s="22"/>
      <c r="N336" s="20" t="s">
        <v>3611</v>
      </c>
      <c r="O336" s="22"/>
      <c r="P336" s="20" t="s">
        <v>3613</v>
      </c>
      <c r="Q336" s="19"/>
      <c r="R336" s="22"/>
      <c r="S336" s="22"/>
      <c r="T336" s="47"/>
      <c r="U336" s="20"/>
      <c r="V336" s="20"/>
    </row>
    <row r="337" customHeight="1" spans="1:22">
      <c r="A337" s="19">
        <f t="shared" si="6"/>
        <v>40</v>
      </c>
      <c r="B337" s="20" t="s">
        <v>4477</v>
      </c>
      <c r="C337" s="22"/>
      <c r="D337" s="20" t="s">
        <v>4478</v>
      </c>
      <c r="E337" s="20" t="s">
        <v>451</v>
      </c>
      <c r="F337" s="20" t="s">
        <v>395</v>
      </c>
      <c r="G337" s="101" t="str">
        <f>VLOOKUP(F337,'01. TH'!$B:$E,3,0)</f>
        <v>3000 x 1.600 x 1200</v>
      </c>
      <c r="H337" s="19" t="s">
        <v>1250</v>
      </c>
      <c r="I337" s="19"/>
      <c r="J337" s="20"/>
      <c r="K337" s="19" t="s">
        <v>1839</v>
      </c>
      <c r="L337" s="20"/>
      <c r="M337" s="22"/>
      <c r="N337" s="20" t="s">
        <v>3611</v>
      </c>
      <c r="O337" s="22"/>
      <c r="P337" s="20" t="s">
        <v>3613</v>
      </c>
      <c r="Q337" s="19"/>
      <c r="R337" s="22"/>
      <c r="S337" s="22"/>
      <c r="T337" s="47"/>
      <c r="U337" s="20"/>
      <c r="V337" s="20"/>
    </row>
    <row r="338" customHeight="1" spans="1:22">
      <c r="A338" s="19">
        <f t="shared" si="6"/>
        <v>41</v>
      </c>
      <c r="B338" s="20" t="s">
        <v>4479</v>
      </c>
      <c r="C338" s="22"/>
      <c r="D338" s="20" t="s">
        <v>4480</v>
      </c>
      <c r="E338" s="20" t="s">
        <v>451</v>
      </c>
      <c r="F338" s="20" t="s">
        <v>395</v>
      </c>
      <c r="G338" s="101" t="str">
        <f>VLOOKUP(F338,'01. TH'!$B:$E,3,0)</f>
        <v>3000 x 1.600 x 1200</v>
      </c>
      <c r="H338" s="19" t="s">
        <v>1250</v>
      </c>
      <c r="I338" s="19"/>
      <c r="J338" s="20"/>
      <c r="K338" s="19" t="s">
        <v>1839</v>
      </c>
      <c r="L338" s="20"/>
      <c r="M338" s="22"/>
      <c r="N338" s="20" t="s">
        <v>3611</v>
      </c>
      <c r="O338" s="22"/>
      <c r="P338" s="20" t="s">
        <v>3613</v>
      </c>
      <c r="Q338" s="19"/>
      <c r="R338" s="22"/>
      <c r="S338" s="22"/>
      <c r="T338" s="47"/>
      <c r="U338" s="20"/>
      <c r="V338" s="20"/>
    </row>
    <row r="339" customHeight="1" spans="1:22">
      <c r="A339" s="19">
        <f t="shared" si="6"/>
        <v>42</v>
      </c>
      <c r="B339" s="20" t="s">
        <v>4481</v>
      </c>
      <c r="C339" s="22"/>
      <c r="D339" s="20" t="s">
        <v>4482</v>
      </c>
      <c r="E339" s="20" t="s">
        <v>451</v>
      </c>
      <c r="F339" s="20" t="s">
        <v>395</v>
      </c>
      <c r="G339" s="101" t="str">
        <f>VLOOKUP(F339,'01. TH'!$B:$E,3,0)</f>
        <v>3000 x 1.600 x 1200</v>
      </c>
      <c r="H339" s="19" t="s">
        <v>1250</v>
      </c>
      <c r="I339" s="19"/>
      <c r="J339" s="20"/>
      <c r="K339" s="19" t="s">
        <v>1839</v>
      </c>
      <c r="L339" s="20"/>
      <c r="M339" s="22"/>
      <c r="N339" s="20" t="s">
        <v>3611</v>
      </c>
      <c r="O339" s="22"/>
      <c r="P339" s="20" t="s">
        <v>3613</v>
      </c>
      <c r="Q339" s="19"/>
      <c r="R339" s="22"/>
      <c r="S339" s="22"/>
      <c r="T339" s="47"/>
      <c r="U339" s="20"/>
      <c r="V339" s="20"/>
    </row>
    <row r="340" customHeight="1" spans="1:22">
      <c r="A340" s="19">
        <f t="shared" si="6"/>
        <v>43</v>
      </c>
      <c r="B340" s="20" t="s">
        <v>4483</v>
      </c>
      <c r="C340" s="22"/>
      <c r="D340" s="20" t="s">
        <v>4484</v>
      </c>
      <c r="E340" s="20" t="s">
        <v>451</v>
      </c>
      <c r="F340" s="20" t="s">
        <v>395</v>
      </c>
      <c r="G340" s="101" t="str">
        <f>VLOOKUP(F340,'01. TH'!$B:$E,3,0)</f>
        <v>3000 x 1.600 x 1200</v>
      </c>
      <c r="H340" s="19" t="s">
        <v>1250</v>
      </c>
      <c r="I340" s="19"/>
      <c r="J340" s="20"/>
      <c r="K340" s="19" t="s">
        <v>1839</v>
      </c>
      <c r="L340" s="20"/>
      <c r="M340" s="22"/>
      <c r="N340" s="20" t="s">
        <v>3611</v>
      </c>
      <c r="O340" s="22"/>
      <c r="P340" s="20" t="s">
        <v>3613</v>
      </c>
      <c r="Q340" s="19"/>
      <c r="R340" s="22"/>
      <c r="S340" s="22"/>
      <c r="T340" s="47"/>
      <c r="U340" s="20"/>
      <c r="V340" s="20"/>
    </row>
    <row r="341" customHeight="1" spans="1:22">
      <c r="A341" s="19">
        <f t="shared" si="6"/>
        <v>44</v>
      </c>
      <c r="B341" s="20" t="s">
        <v>4485</v>
      </c>
      <c r="C341" s="22"/>
      <c r="D341" s="20" t="s">
        <v>4486</v>
      </c>
      <c r="E341" s="20" t="s">
        <v>451</v>
      </c>
      <c r="F341" s="20" t="s">
        <v>395</v>
      </c>
      <c r="G341" s="101" t="str">
        <f>VLOOKUP(F341,'01. TH'!$B:$E,3,0)</f>
        <v>3000 x 1.600 x 1200</v>
      </c>
      <c r="H341" s="19" t="s">
        <v>1250</v>
      </c>
      <c r="I341" s="19"/>
      <c r="J341" s="20"/>
      <c r="K341" s="19" t="s">
        <v>1839</v>
      </c>
      <c r="L341" s="20"/>
      <c r="M341" s="22"/>
      <c r="N341" s="20" t="s">
        <v>3611</v>
      </c>
      <c r="O341" s="22"/>
      <c r="P341" s="20" t="s">
        <v>3613</v>
      </c>
      <c r="Q341" s="19"/>
      <c r="R341" s="22"/>
      <c r="S341" s="22"/>
      <c r="T341" s="47"/>
      <c r="U341" s="20"/>
      <c r="V341" s="20"/>
    </row>
    <row r="342" customHeight="1" spans="1:22">
      <c r="A342" s="19">
        <f t="shared" si="6"/>
        <v>45</v>
      </c>
      <c r="B342" s="20" t="s">
        <v>4487</v>
      </c>
      <c r="C342" s="22"/>
      <c r="D342" s="20" t="s">
        <v>4488</v>
      </c>
      <c r="E342" s="20" t="s">
        <v>451</v>
      </c>
      <c r="F342" s="20" t="s">
        <v>391</v>
      </c>
      <c r="G342" s="101" t="str">
        <f>VLOOKUP(F342,'01. TH'!$B:$E,3,0)</f>
        <v>4500 x 2500 x 1400</v>
      </c>
      <c r="H342" s="19" t="s">
        <v>1250</v>
      </c>
      <c r="I342" s="58"/>
      <c r="J342" s="20"/>
      <c r="K342" s="19" t="s">
        <v>1839</v>
      </c>
      <c r="L342" s="20"/>
      <c r="M342" s="22"/>
      <c r="N342" s="20" t="s">
        <v>3611</v>
      </c>
      <c r="O342" s="22"/>
      <c r="P342" s="20" t="s">
        <v>3613</v>
      </c>
      <c r="Q342" s="19"/>
      <c r="R342" s="22" t="s">
        <v>4489</v>
      </c>
      <c r="S342" s="22"/>
      <c r="T342" s="47"/>
      <c r="U342" s="20"/>
      <c r="V342" s="20"/>
    </row>
    <row r="343" customHeight="1" spans="1:22">
      <c r="A343" s="19">
        <f t="shared" si="6"/>
        <v>46</v>
      </c>
      <c r="B343" s="20" t="s">
        <v>4490</v>
      </c>
      <c r="C343" s="22"/>
      <c r="D343" s="20" t="s">
        <v>4491</v>
      </c>
      <c r="E343" s="20" t="s">
        <v>451</v>
      </c>
      <c r="F343" s="20" t="s">
        <v>391</v>
      </c>
      <c r="G343" s="101" t="str">
        <f>VLOOKUP(F343,'01. TH'!$B:$E,3,0)</f>
        <v>4500 x 2500 x 1400</v>
      </c>
      <c r="H343" s="19" t="s">
        <v>1250</v>
      </c>
      <c r="I343" s="58"/>
      <c r="J343" s="20"/>
      <c r="K343" s="19" t="s">
        <v>1839</v>
      </c>
      <c r="L343" s="20"/>
      <c r="M343" s="22"/>
      <c r="N343" s="20" t="s">
        <v>3611</v>
      </c>
      <c r="O343" s="22"/>
      <c r="P343" s="20" t="s">
        <v>3613</v>
      </c>
      <c r="Q343" s="19"/>
      <c r="R343" s="22" t="s">
        <v>4489</v>
      </c>
      <c r="S343" s="22"/>
      <c r="T343" s="47"/>
      <c r="U343" s="20"/>
      <c r="V343" s="20"/>
    </row>
    <row r="344" customHeight="1" spans="1:22">
      <c r="A344" s="19">
        <f t="shared" si="6"/>
        <v>47</v>
      </c>
      <c r="B344" s="20" t="s">
        <v>4492</v>
      </c>
      <c r="C344" s="22" t="s">
        <v>4493</v>
      </c>
      <c r="D344" s="20" t="s">
        <v>4494</v>
      </c>
      <c r="E344" s="20" t="s">
        <v>451</v>
      </c>
      <c r="F344" s="20" t="s">
        <v>4315</v>
      </c>
      <c r="G344" s="101" t="e">
        <f>VLOOKUP(F344,'01. TH'!$B:$E,3,0)</f>
        <v>#N/A</v>
      </c>
      <c r="H344" s="19" t="s">
        <v>1250</v>
      </c>
      <c r="I344" s="58">
        <v>45574</v>
      </c>
      <c r="J344" s="20"/>
      <c r="K344" s="19" t="s">
        <v>1839</v>
      </c>
      <c r="L344" s="20"/>
      <c r="M344" s="22"/>
      <c r="N344" s="20" t="s">
        <v>4316</v>
      </c>
      <c r="O344" s="22" t="s">
        <v>4317</v>
      </c>
      <c r="P344" s="20" t="s">
        <v>3613</v>
      </c>
      <c r="Q344" s="19">
        <v>2024</v>
      </c>
      <c r="R344" s="22" t="s">
        <v>4323</v>
      </c>
      <c r="S344" s="22" t="s">
        <v>4495</v>
      </c>
      <c r="T344" s="47">
        <v>0.56</v>
      </c>
      <c r="U344" s="20" t="s">
        <v>4318</v>
      </c>
      <c r="V344" s="20"/>
    </row>
    <row r="345" customHeight="1" spans="1:22">
      <c r="A345" s="19">
        <f t="shared" si="6"/>
        <v>48</v>
      </c>
      <c r="B345" s="20" t="s">
        <v>4496</v>
      </c>
      <c r="C345" s="24" t="s">
        <v>4497</v>
      </c>
      <c r="D345" s="24" t="s">
        <v>4498</v>
      </c>
      <c r="E345" s="20" t="s">
        <v>451</v>
      </c>
      <c r="F345" s="20" t="s">
        <v>4315</v>
      </c>
      <c r="G345" s="101" t="e">
        <f>VLOOKUP(F345,'01. TH'!$B:$E,3,0)</f>
        <v>#N/A</v>
      </c>
      <c r="H345" s="19" t="s">
        <v>1250</v>
      </c>
      <c r="I345" s="19" t="s">
        <v>4499</v>
      </c>
      <c r="J345" s="20"/>
      <c r="K345" s="19" t="s">
        <v>1839</v>
      </c>
      <c r="L345" s="20"/>
      <c r="M345" s="22"/>
      <c r="N345" s="20" t="s">
        <v>4316</v>
      </c>
      <c r="O345" s="22" t="s">
        <v>4317</v>
      </c>
      <c r="P345" s="20" t="s">
        <v>3613</v>
      </c>
      <c r="Q345" s="19">
        <v>2024</v>
      </c>
      <c r="R345" s="22" t="s">
        <v>4323</v>
      </c>
      <c r="S345" s="22" t="s">
        <v>4500</v>
      </c>
      <c r="T345" s="47">
        <v>0.56</v>
      </c>
      <c r="U345" s="20" t="s">
        <v>4318</v>
      </c>
      <c r="V345" s="20"/>
    </row>
    <row r="346" customHeight="1" spans="1:22">
      <c r="A346" s="19">
        <f t="shared" si="6"/>
        <v>49</v>
      </c>
      <c r="B346" s="20" t="s">
        <v>4501</v>
      </c>
      <c r="C346" s="22" t="s">
        <v>4502</v>
      </c>
      <c r="D346" s="20" t="s">
        <v>4503</v>
      </c>
      <c r="E346" s="20" t="s">
        <v>451</v>
      </c>
      <c r="F346" s="20" t="s">
        <v>4315</v>
      </c>
      <c r="G346" s="101" t="e">
        <f>VLOOKUP(F346,'01. TH'!$B:$E,3,0)</f>
        <v>#N/A</v>
      </c>
      <c r="H346" s="19" t="s">
        <v>1250</v>
      </c>
      <c r="I346" s="58">
        <v>45995</v>
      </c>
      <c r="J346" s="20"/>
      <c r="K346" s="19" t="s">
        <v>1839</v>
      </c>
      <c r="L346" s="20"/>
      <c r="M346" s="22"/>
      <c r="N346" s="20" t="s">
        <v>4316</v>
      </c>
      <c r="O346" s="22" t="s">
        <v>4317</v>
      </c>
      <c r="P346" s="20" t="s">
        <v>3613</v>
      </c>
      <c r="Q346" s="19">
        <v>2025</v>
      </c>
      <c r="R346" s="22" t="s">
        <v>4323</v>
      </c>
      <c r="S346" s="22" t="s">
        <v>4504</v>
      </c>
      <c r="T346" s="47">
        <v>0.56</v>
      </c>
      <c r="U346" s="20" t="s">
        <v>4318</v>
      </c>
      <c r="V346" s="20"/>
    </row>
    <row r="347" customHeight="1" spans="1:22">
      <c r="A347" s="19">
        <f t="shared" si="6"/>
        <v>50</v>
      </c>
      <c r="B347" s="20" t="s">
        <v>4505</v>
      </c>
      <c r="C347" s="22" t="s">
        <v>4506</v>
      </c>
      <c r="D347" s="20" t="s">
        <v>4507</v>
      </c>
      <c r="E347" s="20" t="s">
        <v>451</v>
      </c>
      <c r="F347" s="20" t="s">
        <v>4315</v>
      </c>
      <c r="G347" s="101" t="e">
        <f>VLOOKUP(F347,'01. TH'!$B:$E,3,0)</f>
        <v>#N/A</v>
      </c>
      <c r="H347" s="19" t="s">
        <v>1250</v>
      </c>
      <c r="I347" s="58">
        <v>45995</v>
      </c>
      <c r="J347" s="20"/>
      <c r="K347" s="19" t="s">
        <v>1839</v>
      </c>
      <c r="L347" s="20"/>
      <c r="M347" s="22"/>
      <c r="N347" s="20" t="s">
        <v>4316</v>
      </c>
      <c r="O347" s="22" t="s">
        <v>4317</v>
      </c>
      <c r="P347" s="20" t="s">
        <v>3613</v>
      </c>
      <c r="Q347" s="19">
        <v>2025</v>
      </c>
      <c r="R347" s="22" t="s">
        <v>4323</v>
      </c>
      <c r="S347" s="22" t="s">
        <v>4508</v>
      </c>
      <c r="T347" s="47">
        <v>0.56</v>
      </c>
      <c r="U347" s="20" t="s">
        <v>4318</v>
      </c>
      <c r="V347" s="20"/>
    </row>
    <row r="348" customHeight="1" spans="1:22">
      <c r="A348" s="19">
        <f t="shared" si="6"/>
        <v>51</v>
      </c>
      <c r="B348" s="20" t="s">
        <v>4509</v>
      </c>
      <c r="C348" s="22"/>
      <c r="D348" s="20" t="s">
        <v>4510</v>
      </c>
      <c r="E348" s="20" t="s">
        <v>451</v>
      </c>
      <c r="F348" s="20" t="s">
        <v>4315</v>
      </c>
      <c r="G348" s="101" t="e">
        <f>VLOOKUP(F348,'01. TH'!$B:$E,3,0)</f>
        <v>#N/A</v>
      </c>
      <c r="H348" s="19" t="s">
        <v>1250</v>
      </c>
      <c r="I348" s="19" t="s">
        <v>4511</v>
      </c>
      <c r="J348" s="20"/>
      <c r="K348" s="19" t="s">
        <v>1839</v>
      </c>
      <c r="L348" s="20"/>
      <c r="M348" s="22" t="s">
        <v>3925</v>
      </c>
      <c r="N348" s="20" t="s">
        <v>4316</v>
      </c>
      <c r="O348" s="22" t="s">
        <v>4512</v>
      </c>
      <c r="P348" s="20" t="s">
        <v>3613</v>
      </c>
      <c r="Q348" s="19">
        <v>2025</v>
      </c>
      <c r="R348" s="22" t="s">
        <v>4323</v>
      </c>
      <c r="S348" s="22">
        <v>25</v>
      </c>
      <c r="T348" s="47">
        <v>0.56</v>
      </c>
      <c r="U348" s="20" t="s">
        <v>4318</v>
      </c>
      <c r="V348" s="20"/>
    </row>
    <row r="349" customHeight="1" spans="1:22">
      <c r="A349" s="19">
        <f t="shared" si="6"/>
        <v>52</v>
      </c>
      <c r="B349" s="20" t="s">
        <v>4513</v>
      </c>
      <c r="C349" s="22"/>
      <c r="D349" s="20" t="s">
        <v>4514</v>
      </c>
      <c r="E349" s="20" t="s">
        <v>451</v>
      </c>
      <c r="F349" s="20" t="s">
        <v>4315</v>
      </c>
      <c r="G349" s="101" t="e">
        <f>VLOOKUP(F349,'01. TH'!$B:$E,3,0)</f>
        <v>#N/A</v>
      </c>
      <c r="H349" s="19" t="s">
        <v>1250</v>
      </c>
      <c r="I349" s="19" t="s">
        <v>4511</v>
      </c>
      <c r="J349" s="20"/>
      <c r="K349" s="19" t="s">
        <v>1839</v>
      </c>
      <c r="L349" s="20"/>
      <c r="M349" s="22" t="s">
        <v>3925</v>
      </c>
      <c r="N349" s="20" t="s">
        <v>4316</v>
      </c>
      <c r="O349" s="22" t="s">
        <v>4515</v>
      </c>
      <c r="P349" s="20" t="s">
        <v>3613</v>
      </c>
      <c r="Q349" s="19">
        <v>2025</v>
      </c>
      <c r="R349" s="22" t="s">
        <v>4323</v>
      </c>
      <c r="S349" s="22">
        <v>27</v>
      </c>
      <c r="T349" s="47">
        <v>0.56</v>
      </c>
      <c r="U349" s="20" t="s">
        <v>4318</v>
      </c>
      <c r="V349" s="20"/>
    </row>
    <row r="350" customHeight="1" spans="1:22">
      <c r="A350" s="19">
        <f t="shared" si="6"/>
        <v>53</v>
      </c>
      <c r="B350" s="20" t="s">
        <v>4516</v>
      </c>
      <c r="C350" s="22"/>
      <c r="D350" s="20" t="s">
        <v>4517</v>
      </c>
      <c r="E350" s="20" t="s">
        <v>451</v>
      </c>
      <c r="F350" s="20" t="s">
        <v>4315</v>
      </c>
      <c r="G350" s="101" t="e">
        <f>VLOOKUP(F350,'01. TH'!$B:$E,3,0)</f>
        <v>#N/A</v>
      </c>
      <c r="H350" s="19" t="s">
        <v>1250</v>
      </c>
      <c r="I350" s="19" t="s">
        <v>4518</v>
      </c>
      <c r="J350" s="20"/>
      <c r="K350" s="19" t="s">
        <v>1839</v>
      </c>
      <c r="L350" s="20"/>
      <c r="M350" s="22" t="s">
        <v>3925</v>
      </c>
      <c r="N350" s="20" t="s">
        <v>4316</v>
      </c>
      <c r="O350" s="22" t="s">
        <v>4519</v>
      </c>
      <c r="P350" s="20" t="s">
        <v>3613</v>
      </c>
      <c r="Q350" s="19">
        <v>2025</v>
      </c>
      <c r="R350" s="22" t="s">
        <v>4323</v>
      </c>
      <c r="S350" s="22"/>
      <c r="T350" s="47">
        <v>0.56</v>
      </c>
      <c r="U350" s="20" t="s">
        <v>4318</v>
      </c>
      <c r="V350" s="20"/>
    </row>
    <row r="351" customHeight="1" spans="1:22">
      <c r="A351" s="19">
        <f t="shared" si="6"/>
        <v>54</v>
      </c>
      <c r="B351" s="20" t="s">
        <v>4520</v>
      </c>
      <c r="C351" s="22"/>
      <c r="D351" s="20" t="s">
        <v>4521</v>
      </c>
      <c r="E351" s="20" t="s">
        <v>451</v>
      </c>
      <c r="F351" s="20" t="s">
        <v>4315</v>
      </c>
      <c r="G351" s="101" t="e">
        <f>VLOOKUP(F351,'01. TH'!$B:$E,3,0)</f>
        <v>#N/A</v>
      </c>
      <c r="H351" s="19" t="s">
        <v>1250</v>
      </c>
      <c r="I351" s="58">
        <v>45880</v>
      </c>
      <c r="J351" s="20"/>
      <c r="K351" s="19" t="s">
        <v>1839</v>
      </c>
      <c r="L351" s="20"/>
      <c r="M351" s="22" t="s">
        <v>3925</v>
      </c>
      <c r="N351" s="20" t="s">
        <v>4316</v>
      </c>
      <c r="O351" s="22" t="s">
        <v>4522</v>
      </c>
      <c r="P351" s="20" t="s">
        <v>3613</v>
      </c>
      <c r="Q351" s="19">
        <v>2025</v>
      </c>
      <c r="R351" s="22" t="s">
        <v>4323</v>
      </c>
      <c r="S351" s="22"/>
      <c r="T351" s="47">
        <v>0.56</v>
      </c>
      <c r="U351" s="20" t="s">
        <v>4318</v>
      </c>
      <c r="V351" s="20"/>
    </row>
    <row r="352" customHeight="1" spans="1:22">
      <c r="A352" s="19">
        <f t="shared" si="6"/>
        <v>55</v>
      </c>
      <c r="B352" s="20" t="s">
        <v>4523</v>
      </c>
      <c r="C352" s="22"/>
      <c r="D352" s="20" t="s">
        <v>4524</v>
      </c>
      <c r="E352" s="20" t="s">
        <v>451</v>
      </c>
      <c r="F352" s="20" t="s">
        <v>4315</v>
      </c>
      <c r="G352" s="101" t="e">
        <f>VLOOKUP(F352,'01. TH'!$B:$E,3,0)</f>
        <v>#N/A</v>
      </c>
      <c r="H352" s="19" t="s">
        <v>1250</v>
      </c>
      <c r="I352" s="19" t="s">
        <v>4525</v>
      </c>
      <c r="J352" s="20"/>
      <c r="K352" s="19" t="s">
        <v>1839</v>
      </c>
      <c r="L352" s="20"/>
      <c r="M352" s="22" t="s">
        <v>3925</v>
      </c>
      <c r="N352" s="20" t="s">
        <v>4316</v>
      </c>
      <c r="O352" s="22" t="s">
        <v>4526</v>
      </c>
      <c r="P352" s="20" t="s">
        <v>3613</v>
      </c>
      <c r="Q352" s="19">
        <v>2025</v>
      </c>
      <c r="R352" s="22" t="s">
        <v>4323</v>
      </c>
      <c r="S352" s="22"/>
      <c r="T352" s="47">
        <v>0.56</v>
      </c>
      <c r="U352" s="20" t="s">
        <v>4318</v>
      </c>
      <c r="V352" s="20"/>
    </row>
    <row r="353" customHeight="1" spans="1:22">
      <c r="A353" s="19">
        <f t="shared" si="6"/>
        <v>56</v>
      </c>
      <c r="B353" s="20" t="s">
        <v>4527</v>
      </c>
      <c r="C353" s="22"/>
      <c r="D353" s="20" t="s">
        <v>4528</v>
      </c>
      <c r="E353" s="20" t="s">
        <v>451</v>
      </c>
      <c r="F353" s="20" t="s">
        <v>4315</v>
      </c>
      <c r="G353" s="101" t="e">
        <f>VLOOKUP(F353,'01. TH'!$B:$E,3,0)</f>
        <v>#N/A</v>
      </c>
      <c r="H353" s="19" t="s">
        <v>1250</v>
      </c>
      <c r="I353" s="58">
        <v>45759</v>
      </c>
      <c r="J353" s="20"/>
      <c r="K353" s="19" t="s">
        <v>1839</v>
      </c>
      <c r="L353" s="20"/>
      <c r="M353" s="22" t="s">
        <v>3925</v>
      </c>
      <c r="N353" s="20" t="s">
        <v>4316</v>
      </c>
      <c r="O353" s="22" t="s">
        <v>4529</v>
      </c>
      <c r="P353" s="20" t="s">
        <v>3613</v>
      </c>
      <c r="Q353" s="19">
        <v>2025</v>
      </c>
      <c r="R353" s="22" t="s">
        <v>4323</v>
      </c>
      <c r="S353" s="22"/>
      <c r="T353" s="47">
        <v>0.56</v>
      </c>
      <c r="U353" s="20" t="s">
        <v>4318</v>
      </c>
      <c r="V353" s="20"/>
    </row>
    <row r="354" customHeight="1" spans="1:22">
      <c r="A354" s="19">
        <f t="shared" si="6"/>
        <v>57</v>
      </c>
      <c r="B354" s="20" t="s">
        <v>4530</v>
      </c>
      <c r="C354" s="22"/>
      <c r="D354" s="20" t="s">
        <v>4531</v>
      </c>
      <c r="E354" s="20" t="s">
        <v>451</v>
      </c>
      <c r="F354" s="20" t="s">
        <v>4315</v>
      </c>
      <c r="G354" s="101" t="e">
        <f>VLOOKUP(F354,'01. TH'!$B:$E,3,0)</f>
        <v>#N/A</v>
      </c>
      <c r="H354" s="19" t="s">
        <v>1250</v>
      </c>
      <c r="I354" s="58">
        <v>45759</v>
      </c>
      <c r="J354" s="20"/>
      <c r="K354" s="19" t="s">
        <v>1839</v>
      </c>
      <c r="L354" s="20"/>
      <c r="M354" s="22" t="s">
        <v>3925</v>
      </c>
      <c r="N354" s="20" t="s">
        <v>4316</v>
      </c>
      <c r="O354" s="22" t="s">
        <v>4532</v>
      </c>
      <c r="P354" s="20" t="s">
        <v>3613</v>
      </c>
      <c r="Q354" s="19">
        <v>2025</v>
      </c>
      <c r="R354" s="22" t="s">
        <v>4323</v>
      </c>
      <c r="S354" s="22"/>
      <c r="T354" s="47">
        <v>0.56</v>
      </c>
      <c r="U354" s="20" t="s">
        <v>4318</v>
      </c>
      <c r="V354" s="20"/>
    </row>
    <row r="355" customHeight="1" spans="1:22">
      <c r="A355" s="19">
        <f t="shared" si="6"/>
        <v>58</v>
      </c>
      <c r="B355" s="20" t="s">
        <v>4533</v>
      </c>
      <c r="C355" s="22"/>
      <c r="D355" s="20" t="s">
        <v>4366</v>
      </c>
      <c r="E355" s="20" t="s">
        <v>451</v>
      </c>
      <c r="F355" s="20" t="s">
        <v>4315</v>
      </c>
      <c r="G355" s="101"/>
      <c r="H355" s="19" t="s">
        <v>1250</v>
      </c>
      <c r="I355" s="19" t="s">
        <v>4534</v>
      </c>
      <c r="J355" s="20"/>
      <c r="K355" s="19" t="s">
        <v>1839</v>
      </c>
      <c r="L355" s="20"/>
      <c r="M355" s="22" t="s">
        <v>3925</v>
      </c>
      <c r="N355" s="20"/>
      <c r="O355" s="22"/>
      <c r="P355" s="20"/>
      <c r="Q355" s="19"/>
      <c r="R355" s="22"/>
      <c r="S355" s="22"/>
      <c r="T355" s="47">
        <v>0.56</v>
      </c>
      <c r="U355" s="20" t="s">
        <v>4318</v>
      </c>
      <c r="V355" s="20"/>
    </row>
    <row r="356" customHeight="1" spans="1:22">
      <c r="A356" s="19">
        <f t="shared" si="6"/>
        <v>59</v>
      </c>
      <c r="B356" s="20" t="s">
        <v>4535</v>
      </c>
      <c r="C356" s="22"/>
      <c r="D356" s="20" t="s">
        <v>4536</v>
      </c>
      <c r="E356" s="20" t="s">
        <v>451</v>
      </c>
      <c r="F356" s="20" t="s">
        <v>4315</v>
      </c>
      <c r="G356" s="101" t="e">
        <f>VLOOKUP(F356,'01. TH'!$B:$E,3,0)</f>
        <v>#N/A</v>
      </c>
      <c r="H356" s="19" t="s">
        <v>1250</v>
      </c>
      <c r="I356" s="58">
        <v>46056</v>
      </c>
      <c r="J356" s="20"/>
      <c r="K356" s="19" t="s">
        <v>1839</v>
      </c>
      <c r="L356" s="20"/>
      <c r="M356" s="22" t="s">
        <v>3925</v>
      </c>
      <c r="N356" s="20"/>
      <c r="O356" s="22"/>
      <c r="P356" s="20"/>
      <c r="Q356" s="19"/>
      <c r="R356" s="22"/>
      <c r="S356" s="22"/>
      <c r="T356" s="47">
        <v>0.56</v>
      </c>
      <c r="U356" s="20" t="s">
        <v>4318</v>
      </c>
      <c r="V356" s="20"/>
    </row>
    <row r="357" customHeight="1" spans="1:22">
      <c r="A357" s="19"/>
      <c r="B357" s="20"/>
      <c r="C357" s="22"/>
      <c r="D357" s="20"/>
      <c r="E357" s="20"/>
      <c r="F357" s="20"/>
      <c r="G357" s="101"/>
      <c r="H357" s="19"/>
      <c r="I357" s="19"/>
      <c r="J357" s="20"/>
      <c r="K357" s="19"/>
      <c r="L357" s="20"/>
      <c r="M357" s="22"/>
      <c r="N357" s="20"/>
      <c r="O357" s="22"/>
      <c r="P357" s="20"/>
      <c r="Q357" s="19"/>
      <c r="R357" s="22"/>
      <c r="S357" s="22"/>
      <c r="T357" s="47"/>
      <c r="U357" s="20"/>
      <c r="V357" s="20"/>
    </row>
    <row r="358" customHeight="1" spans="1:22">
      <c r="A358" s="19"/>
      <c r="B358" s="20"/>
      <c r="C358" s="22" t="s">
        <v>4537</v>
      </c>
      <c r="D358" s="20"/>
      <c r="E358" s="20"/>
      <c r="F358" s="20"/>
      <c r="G358" s="101" t="e">
        <f>VLOOKUP(F358,'01. TH'!$B:$E,3,0)</f>
        <v>#N/A</v>
      </c>
      <c r="H358" s="19"/>
      <c r="I358" s="19"/>
      <c r="J358" s="20"/>
      <c r="K358" s="19"/>
      <c r="L358" s="20"/>
      <c r="M358" s="22"/>
      <c r="N358" s="20"/>
      <c r="O358" s="22"/>
      <c r="P358" s="20"/>
      <c r="Q358" s="19"/>
      <c r="R358" s="22"/>
      <c r="S358" s="22"/>
      <c r="T358" s="47"/>
      <c r="U358" s="20"/>
      <c r="V358" s="20"/>
    </row>
    <row r="359" customHeight="1" spans="1:22">
      <c r="A359" s="14" t="s">
        <v>1344</v>
      </c>
      <c r="B359" s="15" t="s">
        <v>4538</v>
      </c>
      <c r="C359" s="14">
        <f>COUNTA($B$360:$B$423)</f>
        <v>63</v>
      </c>
      <c r="D359" s="17"/>
      <c r="E359" s="17"/>
      <c r="F359" s="17">
        <f>COUNTA(F382:F397)</f>
        <v>16</v>
      </c>
      <c r="G359" s="18"/>
      <c r="H359" s="18"/>
      <c r="I359" s="14"/>
      <c r="J359" s="15"/>
      <c r="K359" s="14"/>
      <c r="L359" s="17"/>
      <c r="M359" s="16"/>
      <c r="N359" s="17"/>
      <c r="O359" s="16"/>
      <c r="P359" s="17"/>
      <c r="Q359" s="18"/>
      <c r="R359" s="16"/>
      <c r="S359" s="16"/>
      <c r="T359" s="786"/>
      <c r="U359" s="17"/>
      <c r="V359" s="17"/>
    </row>
    <row r="360" customHeight="1" spans="1:22">
      <c r="A360" s="19">
        <v>1</v>
      </c>
      <c r="B360" s="38" t="s">
        <v>4539</v>
      </c>
      <c r="C360" s="22"/>
      <c r="D360" s="20"/>
      <c r="E360" s="20" t="s">
        <v>451</v>
      </c>
      <c r="F360" s="20" t="s">
        <v>299</v>
      </c>
      <c r="G360" s="101">
        <f>VLOOKUP(F360,'01. TH'!$B:$E,3,0)</f>
        <v>0</v>
      </c>
      <c r="H360" s="49" t="s">
        <v>1348</v>
      </c>
      <c r="I360" s="19"/>
      <c r="J360" s="20"/>
      <c r="K360" s="19" t="s">
        <v>1839</v>
      </c>
      <c r="L360" s="20"/>
      <c r="M360" s="22" t="s">
        <v>4445</v>
      </c>
      <c r="N360" s="20" t="s">
        <v>3144</v>
      </c>
      <c r="O360" s="22" t="s">
        <v>4434</v>
      </c>
      <c r="P360" s="20" t="s">
        <v>3144</v>
      </c>
      <c r="Q360" s="19"/>
      <c r="R360" s="20" t="s">
        <v>4434</v>
      </c>
      <c r="S360" s="39"/>
      <c r="T360" s="789"/>
      <c r="U360" s="38"/>
      <c r="V360" s="38"/>
    </row>
    <row r="361" customHeight="1" spans="1:22">
      <c r="A361" s="19">
        <f t="shared" ref="A361:A422" si="7">A360+1</f>
        <v>2</v>
      </c>
      <c r="B361" s="38" t="s">
        <v>4540</v>
      </c>
      <c r="C361" s="22"/>
      <c r="D361" s="20"/>
      <c r="E361" s="20" t="s">
        <v>451</v>
      </c>
      <c r="F361" s="20" t="s">
        <v>299</v>
      </c>
      <c r="G361" s="101">
        <f>VLOOKUP(F361,'01. TH'!$B:$E,3,0)</f>
        <v>0</v>
      </c>
      <c r="H361" s="49" t="s">
        <v>1348</v>
      </c>
      <c r="I361" s="19"/>
      <c r="J361" s="20"/>
      <c r="K361" s="19" t="s">
        <v>1839</v>
      </c>
      <c r="L361" s="20"/>
      <c r="M361" s="22" t="s">
        <v>4445</v>
      </c>
      <c r="N361" s="20" t="s">
        <v>3144</v>
      </c>
      <c r="O361" s="22" t="s">
        <v>4434</v>
      </c>
      <c r="P361" s="20" t="s">
        <v>3144</v>
      </c>
      <c r="Q361" s="19"/>
      <c r="R361" s="20" t="s">
        <v>4434</v>
      </c>
      <c r="S361" s="39"/>
      <c r="T361" s="789"/>
      <c r="U361" s="38"/>
      <c r="V361" s="38"/>
    </row>
    <row r="362" customHeight="1" spans="1:22">
      <c r="A362" s="19">
        <f t="shared" si="7"/>
        <v>3</v>
      </c>
      <c r="B362" s="38" t="s">
        <v>4541</v>
      </c>
      <c r="C362" s="22"/>
      <c r="D362" s="20"/>
      <c r="E362" s="20" t="s">
        <v>451</v>
      </c>
      <c r="F362" s="20" t="s">
        <v>299</v>
      </c>
      <c r="G362" s="101">
        <f>VLOOKUP(F362,'01. TH'!$B:$E,3,0)</f>
        <v>0</v>
      </c>
      <c r="H362" s="49" t="s">
        <v>1348</v>
      </c>
      <c r="I362" s="19"/>
      <c r="J362" s="20"/>
      <c r="K362" s="19" t="s">
        <v>1839</v>
      </c>
      <c r="L362" s="20"/>
      <c r="M362" s="22" t="s">
        <v>4445</v>
      </c>
      <c r="N362" s="20" t="s">
        <v>3144</v>
      </c>
      <c r="O362" s="22" t="s">
        <v>4434</v>
      </c>
      <c r="P362" s="20" t="s">
        <v>3144</v>
      </c>
      <c r="Q362" s="19"/>
      <c r="R362" s="20" t="s">
        <v>4434</v>
      </c>
      <c r="S362" s="39"/>
      <c r="T362" s="789"/>
      <c r="U362" s="38"/>
      <c r="V362" s="38"/>
    </row>
    <row r="363" customHeight="1" spans="1:22">
      <c r="A363" s="19">
        <f t="shared" si="7"/>
        <v>4</v>
      </c>
      <c r="B363" s="38" t="s">
        <v>4542</v>
      </c>
      <c r="C363" s="22"/>
      <c r="D363" s="20"/>
      <c r="E363" s="20" t="s">
        <v>451</v>
      </c>
      <c r="F363" s="20" t="s">
        <v>299</v>
      </c>
      <c r="G363" s="101">
        <f>VLOOKUP(F363,'01. TH'!$B:$E,3,0)</f>
        <v>0</v>
      </c>
      <c r="H363" s="49" t="s">
        <v>1348</v>
      </c>
      <c r="I363" s="19"/>
      <c r="J363" s="20"/>
      <c r="K363" s="19" t="s">
        <v>1839</v>
      </c>
      <c r="L363" s="20"/>
      <c r="M363" s="22" t="s">
        <v>4445</v>
      </c>
      <c r="N363" s="20" t="s">
        <v>3144</v>
      </c>
      <c r="O363" s="22" t="s">
        <v>4434</v>
      </c>
      <c r="P363" s="20" t="s">
        <v>3144</v>
      </c>
      <c r="Q363" s="19"/>
      <c r="R363" s="20" t="s">
        <v>4434</v>
      </c>
      <c r="S363" s="39"/>
      <c r="T363" s="789"/>
      <c r="U363" s="38"/>
      <c r="V363" s="38"/>
    </row>
    <row r="364" customHeight="1" spans="1:22">
      <c r="A364" s="19">
        <f t="shared" si="7"/>
        <v>5</v>
      </c>
      <c r="B364" s="38" t="s">
        <v>4543</v>
      </c>
      <c r="C364" s="22"/>
      <c r="D364" s="20"/>
      <c r="E364" s="20" t="s">
        <v>451</v>
      </c>
      <c r="F364" s="20" t="s">
        <v>299</v>
      </c>
      <c r="G364" s="101">
        <f>VLOOKUP(F364,'01. TH'!$B:$E,3,0)</f>
        <v>0</v>
      </c>
      <c r="H364" s="49" t="s">
        <v>1348</v>
      </c>
      <c r="I364" s="19"/>
      <c r="J364" s="20"/>
      <c r="K364" s="19" t="s">
        <v>1839</v>
      </c>
      <c r="L364" s="20"/>
      <c r="M364" s="22" t="s">
        <v>4544</v>
      </c>
      <c r="N364" s="20" t="s">
        <v>3144</v>
      </c>
      <c r="O364" s="22" t="s">
        <v>4434</v>
      </c>
      <c r="P364" s="20" t="s">
        <v>3144</v>
      </c>
      <c r="Q364" s="19"/>
      <c r="R364" s="20" t="s">
        <v>4434</v>
      </c>
      <c r="S364" s="39"/>
      <c r="T364" s="789"/>
      <c r="U364" s="38"/>
      <c r="V364" s="38"/>
    </row>
    <row r="365" customHeight="1" spans="1:22">
      <c r="A365" s="19">
        <f t="shared" si="7"/>
        <v>6</v>
      </c>
      <c r="B365" s="38" t="s">
        <v>4545</v>
      </c>
      <c r="C365" s="22"/>
      <c r="D365" s="20"/>
      <c r="E365" s="20" t="s">
        <v>451</v>
      </c>
      <c r="F365" s="20" t="s">
        <v>299</v>
      </c>
      <c r="G365" s="101">
        <f>VLOOKUP(F365,'01. TH'!$B:$E,3,0)</f>
        <v>0</v>
      </c>
      <c r="H365" s="49" t="s">
        <v>1348</v>
      </c>
      <c r="I365" s="19"/>
      <c r="J365" s="20"/>
      <c r="K365" s="19" t="s">
        <v>1839</v>
      </c>
      <c r="L365" s="20"/>
      <c r="M365" s="22" t="s">
        <v>4544</v>
      </c>
      <c r="N365" s="20" t="s">
        <v>3144</v>
      </c>
      <c r="O365" s="22" t="s">
        <v>4434</v>
      </c>
      <c r="P365" s="20" t="s">
        <v>3144</v>
      </c>
      <c r="Q365" s="19"/>
      <c r="R365" s="20" t="s">
        <v>4434</v>
      </c>
      <c r="S365" s="39"/>
      <c r="T365" s="789"/>
      <c r="U365" s="38"/>
      <c r="V365" s="38"/>
    </row>
    <row r="366" customHeight="1" spans="1:22">
      <c r="A366" s="19">
        <f t="shared" si="7"/>
        <v>7</v>
      </c>
      <c r="B366" s="38" t="s">
        <v>4546</v>
      </c>
      <c r="C366" s="22"/>
      <c r="D366" s="20"/>
      <c r="E366" s="20" t="s">
        <v>451</v>
      </c>
      <c r="F366" s="20" t="s">
        <v>299</v>
      </c>
      <c r="G366" s="101">
        <f>VLOOKUP(F366,'01. TH'!$B:$E,3,0)</f>
        <v>0</v>
      </c>
      <c r="H366" s="49" t="s">
        <v>1348</v>
      </c>
      <c r="I366" s="19"/>
      <c r="J366" s="20"/>
      <c r="K366" s="19" t="s">
        <v>1839</v>
      </c>
      <c r="L366" s="20"/>
      <c r="M366" s="22" t="s">
        <v>4544</v>
      </c>
      <c r="N366" s="20" t="s">
        <v>3144</v>
      </c>
      <c r="O366" s="22" t="s">
        <v>4434</v>
      </c>
      <c r="P366" s="20" t="s">
        <v>3144</v>
      </c>
      <c r="Q366" s="19"/>
      <c r="R366" s="20" t="s">
        <v>4434</v>
      </c>
      <c r="S366" s="39"/>
      <c r="T366" s="789"/>
      <c r="U366" s="38"/>
      <c r="V366" s="38"/>
    </row>
    <row r="367" customHeight="1" spans="1:22">
      <c r="A367" s="19">
        <f t="shared" si="7"/>
        <v>8</v>
      </c>
      <c r="B367" s="38" t="s">
        <v>4547</v>
      </c>
      <c r="C367" s="22"/>
      <c r="D367" s="20"/>
      <c r="E367" s="20" t="s">
        <v>451</v>
      </c>
      <c r="F367" s="20" t="s">
        <v>299</v>
      </c>
      <c r="G367" s="101">
        <f>VLOOKUP(F367,'01. TH'!$B:$E,3,0)</f>
        <v>0</v>
      </c>
      <c r="H367" s="49" t="s">
        <v>1348</v>
      </c>
      <c r="I367" s="19"/>
      <c r="J367" s="20"/>
      <c r="K367" s="19" t="s">
        <v>1839</v>
      </c>
      <c r="L367" s="20"/>
      <c r="M367" s="22" t="s">
        <v>4544</v>
      </c>
      <c r="N367" s="20" t="s">
        <v>3144</v>
      </c>
      <c r="O367" s="22" t="s">
        <v>4434</v>
      </c>
      <c r="P367" s="20" t="s">
        <v>3144</v>
      </c>
      <c r="Q367" s="19"/>
      <c r="R367" s="20" t="s">
        <v>4434</v>
      </c>
      <c r="S367" s="39"/>
      <c r="T367" s="789"/>
      <c r="U367" s="38"/>
      <c r="V367" s="38"/>
    </row>
    <row r="368" customHeight="1" spans="1:22">
      <c r="A368" s="19">
        <f t="shared" si="7"/>
        <v>9</v>
      </c>
      <c r="B368" s="38" t="s">
        <v>4548</v>
      </c>
      <c r="C368" s="22"/>
      <c r="D368" s="20"/>
      <c r="E368" s="20" t="s">
        <v>451</v>
      </c>
      <c r="F368" s="20" t="s">
        <v>299</v>
      </c>
      <c r="G368" s="101">
        <f>VLOOKUP(F368,'01. TH'!$B:$E,3,0)</f>
        <v>0</v>
      </c>
      <c r="H368" s="49" t="s">
        <v>1348</v>
      </c>
      <c r="I368" s="19"/>
      <c r="J368" s="20"/>
      <c r="K368" s="19" t="s">
        <v>1839</v>
      </c>
      <c r="L368" s="20"/>
      <c r="M368" s="22" t="s">
        <v>4544</v>
      </c>
      <c r="N368" s="20" t="s">
        <v>3144</v>
      </c>
      <c r="O368" s="22" t="s">
        <v>4434</v>
      </c>
      <c r="P368" s="20" t="s">
        <v>3144</v>
      </c>
      <c r="Q368" s="19"/>
      <c r="R368" s="20" t="s">
        <v>4434</v>
      </c>
      <c r="S368" s="39"/>
      <c r="T368" s="789"/>
      <c r="U368" s="38"/>
      <c r="V368" s="38"/>
    </row>
    <row r="369" customHeight="1" spans="1:22">
      <c r="A369" s="19">
        <f t="shared" si="7"/>
        <v>10</v>
      </c>
      <c r="B369" s="38" t="s">
        <v>4549</v>
      </c>
      <c r="C369" s="22"/>
      <c r="D369" s="20"/>
      <c r="E369" s="20" t="s">
        <v>451</v>
      </c>
      <c r="F369" s="20" t="s">
        <v>299</v>
      </c>
      <c r="G369" s="101">
        <f>VLOOKUP(F369,'01. TH'!$B:$E,3,0)</f>
        <v>0</v>
      </c>
      <c r="H369" s="49" t="s">
        <v>1348</v>
      </c>
      <c r="I369" s="19"/>
      <c r="J369" s="20"/>
      <c r="K369" s="19" t="s">
        <v>1839</v>
      </c>
      <c r="L369" s="20"/>
      <c r="M369" s="22" t="s">
        <v>4544</v>
      </c>
      <c r="N369" s="20" t="s">
        <v>3144</v>
      </c>
      <c r="O369" s="22" t="s">
        <v>4434</v>
      </c>
      <c r="P369" s="20" t="s">
        <v>3144</v>
      </c>
      <c r="Q369" s="19"/>
      <c r="R369" s="20" t="s">
        <v>4434</v>
      </c>
      <c r="S369" s="39"/>
      <c r="T369" s="789"/>
      <c r="U369" s="38"/>
      <c r="V369" s="38"/>
    </row>
    <row r="370" customHeight="1" spans="1:22">
      <c r="A370" s="19">
        <f t="shared" si="7"/>
        <v>11</v>
      </c>
      <c r="B370" s="38" t="s">
        <v>4550</v>
      </c>
      <c r="C370" s="22"/>
      <c r="D370" s="20"/>
      <c r="E370" s="20" t="s">
        <v>451</v>
      </c>
      <c r="F370" s="20" t="s">
        <v>299</v>
      </c>
      <c r="G370" s="101">
        <f>VLOOKUP(F370,'01. TH'!$B:$E,3,0)</f>
        <v>0</v>
      </c>
      <c r="H370" s="49" t="s">
        <v>1348</v>
      </c>
      <c r="I370" s="19"/>
      <c r="J370" s="20"/>
      <c r="K370" s="19" t="s">
        <v>1839</v>
      </c>
      <c r="L370" s="20"/>
      <c r="M370" s="22"/>
      <c r="N370" s="20" t="s">
        <v>3144</v>
      </c>
      <c r="O370" s="22" t="s">
        <v>4442</v>
      </c>
      <c r="P370" s="20" t="s">
        <v>3144</v>
      </c>
      <c r="Q370" s="19"/>
      <c r="R370" s="20" t="s">
        <v>4442</v>
      </c>
      <c r="S370" s="39"/>
      <c r="T370" s="789"/>
      <c r="U370" s="38"/>
      <c r="V370" s="38"/>
    </row>
    <row r="371" customHeight="1" spans="1:22">
      <c r="A371" s="19">
        <f t="shared" si="7"/>
        <v>12</v>
      </c>
      <c r="B371" s="38" t="s">
        <v>4551</v>
      </c>
      <c r="C371" s="22"/>
      <c r="D371" s="20"/>
      <c r="E371" s="20" t="s">
        <v>451</v>
      </c>
      <c r="F371" s="20" t="s">
        <v>299</v>
      </c>
      <c r="G371" s="101">
        <f>VLOOKUP(F371,'01. TH'!$B:$E,3,0)</f>
        <v>0</v>
      </c>
      <c r="H371" s="49" t="s">
        <v>1348</v>
      </c>
      <c r="I371" s="19"/>
      <c r="J371" s="20"/>
      <c r="K371" s="19" t="s">
        <v>1839</v>
      </c>
      <c r="L371" s="20"/>
      <c r="M371" s="22"/>
      <c r="N371" s="20" t="s">
        <v>3144</v>
      </c>
      <c r="O371" s="22" t="s">
        <v>4442</v>
      </c>
      <c r="P371" s="20" t="s">
        <v>3144</v>
      </c>
      <c r="Q371" s="19"/>
      <c r="R371" s="20" t="s">
        <v>4442</v>
      </c>
      <c r="S371" s="39"/>
      <c r="T371" s="789"/>
      <c r="U371" s="38"/>
      <c r="V371" s="38"/>
    </row>
    <row r="372" customHeight="1" spans="1:22">
      <c r="A372" s="19">
        <f t="shared" si="7"/>
        <v>13</v>
      </c>
      <c r="B372" s="38" t="s">
        <v>4552</v>
      </c>
      <c r="C372" s="22"/>
      <c r="D372" s="20"/>
      <c r="E372" s="20" t="s">
        <v>451</v>
      </c>
      <c r="F372" s="20" t="s">
        <v>299</v>
      </c>
      <c r="G372" s="101">
        <f>VLOOKUP(F372,'01. TH'!$B:$E,3,0)</f>
        <v>0</v>
      </c>
      <c r="H372" s="49" t="s">
        <v>1348</v>
      </c>
      <c r="I372" s="19"/>
      <c r="J372" s="20"/>
      <c r="K372" s="19" t="s">
        <v>1839</v>
      </c>
      <c r="L372" s="20"/>
      <c r="M372" s="22"/>
      <c r="N372" s="20" t="s">
        <v>3144</v>
      </c>
      <c r="O372" s="22" t="s">
        <v>4442</v>
      </c>
      <c r="P372" s="20" t="s">
        <v>3144</v>
      </c>
      <c r="Q372" s="19"/>
      <c r="R372" s="20" t="s">
        <v>4442</v>
      </c>
      <c r="S372" s="39"/>
      <c r="T372" s="789"/>
      <c r="U372" s="38"/>
      <c r="V372" s="38"/>
    </row>
    <row r="373" customHeight="1" spans="1:22">
      <c r="A373" s="19">
        <f t="shared" si="7"/>
        <v>14</v>
      </c>
      <c r="B373" s="38" t="s">
        <v>4553</v>
      </c>
      <c r="C373" s="22"/>
      <c r="D373" s="20"/>
      <c r="E373" s="20" t="s">
        <v>451</v>
      </c>
      <c r="F373" s="20" t="s">
        <v>299</v>
      </c>
      <c r="G373" s="101">
        <f>VLOOKUP(F373,'01. TH'!$B:$E,3,0)</f>
        <v>0</v>
      </c>
      <c r="H373" s="49" t="s">
        <v>1348</v>
      </c>
      <c r="I373" s="19"/>
      <c r="J373" s="20"/>
      <c r="K373" s="19" t="s">
        <v>1839</v>
      </c>
      <c r="L373" s="20"/>
      <c r="M373" s="22"/>
      <c r="N373" s="20" t="s">
        <v>3144</v>
      </c>
      <c r="O373" s="22" t="s">
        <v>4442</v>
      </c>
      <c r="P373" s="20" t="s">
        <v>3144</v>
      </c>
      <c r="Q373" s="19"/>
      <c r="R373" s="20" t="s">
        <v>4442</v>
      </c>
      <c r="S373" s="39"/>
      <c r="T373" s="789"/>
      <c r="U373" s="38"/>
      <c r="V373" s="38"/>
    </row>
    <row r="374" customHeight="1" spans="1:22">
      <c r="A374" s="19">
        <f t="shared" si="7"/>
        <v>15</v>
      </c>
      <c r="B374" s="38" t="s">
        <v>4554</v>
      </c>
      <c r="C374" s="22"/>
      <c r="D374" s="20"/>
      <c r="E374" s="20" t="s">
        <v>451</v>
      </c>
      <c r="F374" s="20" t="s">
        <v>299</v>
      </c>
      <c r="G374" s="101">
        <f>VLOOKUP(F374,'01. TH'!$B:$E,3,0)</f>
        <v>0</v>
      </c>
      <c r="H374" s="49" t="s">
        <v>1348</v>
      </c>
      <c r="I374" s="19"/>
      <c r="J374" s="20"/>
      <c r="K374" s="19" t="s">
        <v>1839</v>
      </c>
      <c r="L374" s="20"/>
      <c r="M374" s="22"/>
      <c r="N374" s="20" t="s">
        <v>3144</v>
      </c>
      <c r="O374" s="22" t="s">
        <v>4442</v>
      </c>
      <c r="P374" s="20" t="s">
        <v>3144</v>
      </c>
      <c r="Q374" s="19"/>
      <c r="R374" s="20" t="s">
        <v>4442</v>
      </c>
      <c r="S374" s="39"/>
      <c r="T374" s="789"/>
      <c r="U374" s="38"/>
      <c r="V374" s="38"/>
    </row>
    <row r="375" customHeight="1" spans="1:22">
      <c r="A375" s="19">
        <f t="shared" si="7"/>
        <v>16</v>
      </c>
      <c r="B375" s="38" t="s">
        <v>4555</v>
      </c>
      <c r="C375" s="22"/>
      <c r="D375" s="20"/>
      <c r="E375" s="20" t="s">
        <v>451</v>
      </c>
      <c r="F375" s="20" t="s">
        <v>299</v>
      </c>
      <c r="G375" s="101">
        <f>VLOOKUP(F375,'01. TH'!$B:$E,3,0)</f>
        <v>0</v>
      </c>
      <c r="H375" s="49" t="s">
        <v>1348</v>
      </c>
      <c r="I375" s="19"/>
      <c r="J375" s="20"/>
      <c r="K375" s="19" t="s">
        <v>1839</v>
      </c>
      <c r="L375" s="20"/>
      <c r="M375" s="22"/>
      <c r="N375" s="20" t="s">
        <v>3144</v>
      </c>
      <c r="O375" s="22" t="s">
        <v>4442</v>
      </c>
      <c r="P375" s="20" t="s">
        <v>3144</v>
      </c>
      <c r="Q375" s="19"/>
      <c r="R375" s="20" t="s">
        <v>4442</v>
      </c>
      <c r="S375" s="39"/>
      <c r="T375" s="789"/>
      <c r="U375" s="38"/>
      <c r="V375" s="38"/>
    </row>
    <row r="376" customHeight="1" spans="1:22">
      <c r="A376" s="19">
        <f t="shared" si="7"/>
        <v>17</v>
      </c>
      <c r="B376" s="38" t="s">
        <v>4556</v>
      </c>
      <c r="C376" s="22"/>
      <c r="D376" s="20"/>
      <c r="E376" s="20" t="s">
        <v>451</v>
      </c>
      <c r="F376" s="20" t="s">
        <v>299</v>
      </c>
      <c r="G376" s="101">
        <f>VLOOKUP(F376,'01. TH'!$B:$E,3,0)</f>
        <v>0</v>
      </c>
      <c r="H376" s="49" t="s">
        <v>1348</v>
      </c>
      <c r="I376" s="19"/>
      <c r="J376" s="20"/>
      <c r="K376" s="19" t="s">
        <v>1839</v>
      </c>
      <c r="L376" s="20"/>
      <c r="M376" s="22"/>
      <c r="N376" s="20" t="s">
        <v>3144</v>
      </c>
      <c r="O376" s="22" t="s">
        <v>4557</v>
      </c>
      <c r="P376" s="20" t="s">
        <v>3144</v>
      </c>
      <c r="Q376" s="19"/>
      <c r="R376" s="20"/>
      <c r="S376" s="39"/>
      <c r="T376" s="789"/>
      <c r="U376" s="38"/>
      <c r="V376" s="38"/>
    </row>
    <row r="377" customHeight="1" spans="1:22">
      <c r="A377" s="19">
        <f t="shared" si="7"/>
        <v>18</v>
      </c>
      <c r="B377" s="38" t="s">
        <v>4558</v>
      </c>
      <c r="C377" s="22"/>
      <c r="D377" s="20"/>
      <c r="E377" s="20" t="s">
        <v>3593</v>
      </c>
      <c r="F377" s="20" t="s">
        <v>298</v>
      </c>
      <c r="G377" s="101">
        <f>VLOOKUP(F377,'01. TH'!$B:$E,3,0)</f>
        <v>0</v>
      </c>
      <c r="H377" s="49" t="s">
        <v>1348</v>
      </c>
      <c r="I377" s="19"/>
      <c r="J377" s="20"/>
      <c r="K377" s="19" t="s">
        <v>1839</v>
      </c>
      <c r="L377" s="20"/>
      <c r="M377" s="22"/>
      <c r="N377" s="20" t="s">
        <v>4379</v>
      </c>
      <c r="O377" s="22">
        <v>7045</v>
      </c>
      <c r="P377" s="20" t="s">
        <v>880</v>
      </c>
      <c r="Q377" s="19">
        <v>2025</v>
      </c>
      <c r="R377" s="22" t="s">
        <v>4380</v>
      </c>
      <c r="S377" s="39" t="s">
        <v>4559</v>
      </c>
      <c r="T377" s="47">
        <v>1.2</v>
      </c>
      <c r="U377" s="20"/>
      <c r="V377" s="20"/>
    </row>
    <row r="378" customHeight="1" spans="1:22">
      <c r="A378" s="19">
        <f t="shared" si="7"/>
        <v>19</v>
      </c>
      <c r="B378" s="38" t="s">
        <v>4560</v>
      </c>
      <c r="C378" s="22"/>
      <c r="D378" s="20"/>
      <c r="E378" s="20" t="s">
        <v>3593</v>
      </c>
      <c r="F378" s="20" t="s">
        <v>298</v>
      </c>
      <c r="G378" s="101">
        <f>VLOOKUP(F378,'01. TH'!$B:$E,3,0)</f>
        <v>0</v>
      </c>
      <c r="H378" s="49" t="s">
        <v>1348</v>
      </c>
      <c r="I378" s="19"/>
      <c r="J378" s="20"/>
      <c r="K378" s="19" t="s">
        <v>1839</v>
      </c>
      <c r="L378" s="20"/>
      <c r="M378" s="22"/>
      <c r="N378" s="20" t="s">
        <v>4379</v>
      </c>
      <c r="O378" s="22">
        <v>7045</v>
      </c>
      <c r="P378" s="20" t="s">
        <v>880</v>
      </c>
      <c r="Q378" s="19">
        <v>2025</v>
      </c>
      <c r="R378" s="22" t="s">
        <v>4380</v>
      </c>
      <c r="S378" s="39" t="s">
        <v>4561</v>
      </c>
      <c r="T378" s="47">
        <v>1.2</v>
      </c>
      <c r="U378" s="20"/>
      <c r="V378" s="20"/>
    </row>
    <row r="379" customHeight="1" spans="1:22">
      <c r="A379" s="19">
        <f t="shared" si="7"/>
        <v>20</v>
      </c>
      <c r="B379" s="38" t="s">
        <v>4562</v>
      </c>
      <c r="C379" s="22"/>
      <c r="D379" s="20"/>
      <c r="E379" s="20" t="s">
        <v>3593</v>
      </c>
      <c r="F379" s="20" t="s">
        <v>298</v>
      </c>
      <c r="G379" s="101">
        <f>VLOOKUP(F379,'01. TH'!$B:$E,3,0)</f>
        <v>0</v>
      </c>
      <c r="H379" s="49" t="s">
        <v>1348</v>
      </c>
      <c r="I379" s="19"/>
      <c r="J379" s="20"/>
      <c r="K379" s="19" t="s">
        <v>1839</v>
      </c>
      <c r="L379" s="20"/>
      <c r="M379" s="22"/>
      <c r="N379" s="20" t="s">
        <v>4379</v>
      </c>
      <c r="O379" s="22">
        <v>7045</v>
      </c>
      <c r="P379" s="20" t="s">
        <v>880</v>
      </c>
      <c r="Q379" s="19">
        <v>2025</v>
      </c>
      <c r="R379" s="22" t="s">
        <v>4380</v>
      </c>
      <c r="S379" s="39" t="s">
        <v>4563</v>
      </c>
      <c r="T379" s="47">
        <v>1.2</v>
      </c>
      <c r="U379" s="20"/>
      <c r="V379" s="20"/>
    </row>
    <row r="380" customHeight="1" spans="1:22">
      <c r="A380" s="19">
        <f t="shared" si="7"/>
        <v>21</v>
      </c>
      <c r="B380" s="38" t="s">
        <v>4564</v>
      </c>
      <c r="C380" s="22"/>
      <c r="D380" s="20"/>
      <c r="E380" s="20" t="s">
        <v>3593</v>
      </c>
      <c r="F380" s="20" t="s">
        <v>298</v>
      </c>
      <c r="G380" s="101">
        <f>VLOOKUP(F380,'01. TH'!$B:$E,3,0)</f>
        <v>0</v>
      </c>
      <c r="H380" s="49" t="s">
        <v>1348</v>
      </c>
      <c r="I380" s="19"/>
      <c r="J380" s="20"/>
      <c r="K380" s="19" t="s">
        <v>1839</v>
      </c>
      <c r="L380" s="20"/>
      <c r="M380" s="22"/>
      <c r="N380" s="20" t="s">
        <v>4379</v>
      </c>
      <c r="O380" s="22">
        <v>7045</v>
      </c>
      <c r="P380" s="20" t="s">
        <v>880</v>
      </c>
      <c r="Q380" s="19">
        <v>2025</v>
      </c>
      <c r="R380" s="22" t="s">
        <v>4380</v>
      </c>
      <c r="S380" s="39" t="s">
        <v>4565</v>
      </c>
      <c r="T380" s="47">
        <v>1.2</v>
      </c>
      <c r="U380" s="20"/>
      <c r="V380" s="20"/>
    </row>
    <row r="381" customHeight="1" spans="1:22">
      <c r="A381" s="19">
        <f t="shared" si="7"/>
        <v>22</v>
      </c>
      <c r="B381" s="38" t="s">
        <v>4566</v>
      </c>
      <c r="C381" s="22"/>
      <c r="D381" s="20"/>
      <c r="E381" s="20" t="s">
        <v>3593</v>
      </c>
      <c r="F381" s="20" t="s">
        <v>298</v>
      </c>
      <c r="G381" s="101">
        <f>VLOOKUP(F381,'01. TH'!$B:$E,3,0)</f>
        <v>0</v>
      </c>
      <c r="H381" s="49" t="s">
        <v>1348</v>
      </c>
      <c r="I381" s="19"/>
      <c r="J381" s="20"/>
      <c r="K381" s="19" t="s">
        <v>1839</v>
      </c>
      <c r="L381" s="20"/>
      <c r="M381" s="22"/>
      <c r="N381" s="20" t="s">
        <v>4379</v>
      </c>
      <c r="O381" s="22">
        <v>7045</v>
      </c>
      <c r="P381" s="20" t="s">
        <v>880</v>
      </c>
      <c r="Q381" s="19">
        <v>2025</v>
      </c>
      <c r="R381" s="22" t="s">
        <v>4380</v>
      </c>
      <c r="S381" s="39" t="s">
        <v>4567</v>
      </c>
      <c r="T381" s="47">
        <v>1.2</v>
      </c>
      <c r="U381" s="20"/>
      <c r="V381" s="20"/>
    </row>
    <row r="382" customHeight="1" spans="1:22">
      <c r="A382" s="19">
        <f t="shared" si="7"/>
        <v>23</v>
      </c>
      <c r="B382" s="38" t="s">
        <v>4568</v>
      </c>
      <c r="C382" s="22" t="s">
        <v>4569</v>
      </c>
      <c r="D382" s="20" t="s">
        <v>4248</v>
      </c>
      <c r="E382" s="20" t="s">
        <v>451</v>
      </c>
      <c r="F382" s="20" t="s">
        <v>383</v>
      </c>
      <c r="G382" s="101">
        <f>VLOOKUP(F382,'01. TH'!$B:$E,3,0)</f>
        <v>0</v>
      </c>
      <c r="H382" s="49" t="s">
        <v>1348</v>
      </c>
      <c r="I382" s="19"/>
      <c r="J382" s="20"/>
      <c r="K382" s="19" t="s">
        <v>1839</v>
      </c>
      <c r="L382" s="20"/>
      <c r="M382" s="22"/>
      <c r="N382" s="20" t="s">
        <v>4249</v>
      </c>
      <c r="O382" s="22" t="s">
        <v>1019</v>
      </c>
      <c r="P382" s="20" t="s">
        <v>2742</v>
      </c>
      <c r="Q382" s="19"/>
      <c r="R382" s="22"/>
      <c r="S382" s="39" t="s">
        <v>4570</v>
      </c>
      <c r="T382" s="789">
        <v>8.47</v>
      </c>
      <c r="U382" s="38"/>
      <c r="V382" s="38"/>
    </row>
    <row r="383" customHeight="1" spans="1:22">
      <c r="A383" s="19">
        <f t="shared" si="7"/>
        <v>24</v>
      </c>
      <c r="B383" s="20" t="s">
        <v>4571</v>
      </c>
      <c r="C383" s="22" t="s">
        <v>4572</v>
      </c>
      <c r="D383" s="20" t="s">
        <v>4573</v>
      </c>
      <c r="E383" s="20" t="s">
        <v>451</v>
      </c>
      <c r="F383" s="20" t="s">
        <v>401</v>
      </c>
      <c r="G383" s="101" t="str">
        <f>VLOOKUP(F383,'01. TH'!$B:$E,3,0)</f>
        <v>1x1x1</v>
      </c>
      <c r="H383" s="49" t="s">
        <v>1348</v>
      </c>
      <c r="I383" s="19"/>
      <c r="J383" s="20"/>
      <c r="K383" s="19" t="s">
        <v>1839</v>
      </c>
      <c r="L383" s="20"/>
      <c r="M383" s="22"/>
      <c r="N383" s="20" t="s">
        <v>3611</v>
      </c>
      <c r="O383" s="22"/>
      <c r="P383" s="20" t="s">
        <v>3613</v>
      </c>
      <c r="Q383" s="19"/>
      <c r="R383" s="22"/>
      <c r="S383" s="22">
        <v>44</v>
      </c>
      <c r="T383" s="321"/>
      <c r="U383" s="22"/>
      <c r="V383" s="22"/>
    </row>
    <row r="384" customHeight="1" spans="1:22">
      <c r="A384" s="19">
        <f t="shared" si="7"/>
        <v>25</v>
      </c>
      <c r="B384" s="20" t="s">
        <v>4574</v>
      </c>
      <c r="C384" s="22" t="s">
        <v>4575</v>
      </c>
      <c r="D384" s="20" t="s">
        <v>4576</v>
      </c>
      <c r="E384" s="20" t="s">
        <v>451</v>
      </c>
      <c r="F384" s="20" t="s">
        <v>401</v>
      </c>
      <c r="G384" s="101" t="str">
        <f>VLOOKUP(F384,'01. TH'!$B:$E,3,0)</f>
        <v>1x1x1</v>
      </c>
      <c r="H384" s="49" t="s">
        <v>1348</v>
      </c>
      <c r="I384" s="19"/>
      <c r="J384" s="20"/>
      <c r="K384" s="19" t="s">
        <v>1839</v>
      </c>
      <c r="L384" s="20"/>
      <c r="M384" s="22"/>
      <c r="N384" s="20" t="s">
        <v>3611</v>
      </c>
      <c r="O384" s="22"/>
      <c r="P384" s="20" t="s">
        <v>3613</v>
      </c>
      <c r="Q384" s="19"/>
      <c r="R384" s="22"/>
      <c r="S384" s="22">
        <v>44</v>
      </c>
      <c r="T384" s="321"/>
      <c r="U384" s="22"/>
      <c r="V384" s="22"/>
    </row>
    <row r="385" customHeight="1" spans="1:22">
      <c r="A385" s="19">
        <f t="shared" si="7"/>
        <v>26</v>
      </c>
      <c r="B385" s="20" t="s">
        <v>4577</v>
      </c>
      <c r="C385" s="22" t="s">
        <v>4405</v>
      </c>
      <c r="D385" s="20" t="s">
        <v>4578</v>
      </c>
      <c r="E385" s="20" t="s">
        <v>451</v>
      </c>
      <c r="F385" s="20" t="s">
        <v>401</v>
      </c>
      <c r="G385" s="101" t="str">
        <f>VLOOKUP(F385,'01. TH'!$B:$E,3,0)</f>
        <v>1x1x1</v>
      </c>
      <c r="H385" s="49" t="s">
        <v>1348</v>
      </c>
      <c r="I385" s="19"/>
      <c r="J385" s="20"/>
      <c r="K385" s="19" t="s">
        <v>1839</v>
      </c>
      <c r="L385" s="20"/>
      <c r="M385" s="22"/>
      <c r="N385" s="20" t="s">
        <v>3611</v>
      </c>
      <c r="O385" s="22"/>
      <c r="P385" s="20" t="s">
        <v>3613</v>
      </c>
      <c r="Q385" s="19"/>
      <c r="R385" s="22"/>
      <c r="S385" s="22">
        <v>50</v>
      </c>
      <c r="T385" s="321"/>
      <c r="U385" s="22"/>
      <c r="V385" s="22"/>
    </row>
    <row r="386" customHeight="1" spans="1:22">
      <c r="A386" s="19">
        <f t="shared" si="7"/>
        <v>27</v>
      </c>
      <c r="B386" s="20" t="s">
        <v>4579</v>
      </c>
      <c r="C386" s="22" t="s">
        <v>4580</v>
      </c>
      <c r="D386" s="20" t="s">
        <v>4581</v>
      </c>
      <c r="E386" s="20" t="s">
        <v>451</v>
      </c>
      <c r="F386" s="20" t="s">
        <v>401</v>
      </c>
      <c r="G386" s="101" t="str">
        <f>VLOOKUP(F386,'01. TH'!$B:$E,3,0)</f>
        <v>1x1x1</v>
      </c>
      <c r="H386" s="49" t="s">
        <v>1348</v>
      </c>
      <c r="I386" s="19"/>
      <c r="J386" s="20"/>
      <c r="K386" s="19" t="s">
        <v>1839</v>
      </c>
      <c r="L386" s="20"/>
      <c r="M386" s="22"/>
      <c r="N386" s="20" t="s">
        <v>3611</v>
      </c>
      <c r="O386" s="22"/>
      <c r="P386" s="20" t="s">
        <v>3613</v>
      </c>
      <c r="Q386" s="19"/>
      <c r="R386" s="22"/>
      <c r="S386" s="22">
        <v>44</v>
      </c>
      <c r="T386" s="321"/>
      <c r="U386" s="22"/>
      <c r="V386" s="22"/>
    </row>
    <row r="387" customHeight="1" spans="1:22">
      <c r="A387" s="19">
        <f t="shared" si="7"/>
        <v>28</v>
      </c>
      <c r="B387" s="20" t="s">
        <v>4582</v>
      </c>
      <c r="C387" s="22" t="s">
        <v>4583</v>
      </c>
      <c r="D387" s="20" t="s">
        <v>4402</v>
      </c>
      <c r="E387" s="20" t="s">
        <v>451</v>
      </c>
      <c r="F387" s="20" t="s">
        <v>405</v>
      </c>
      <c r="G387" s="101" t="str">
        <f>VLOOKUP(F387,'01. TH'!$B:$E,3,0)</f>
        <v>1x1x1</v>
      </c>
      <c r="H387" s="49" t="s">
        <v>1348</v>
      </c>
      <c r="I387" s="19"/>
      <c r="J387" s="20"/>
      <c r="K387" s="19" t="s">
        <v>1839</v>
      </c>
      <c r="L387" s="20"/>
      <c r="M387" s="22"/>
      <c r="N387" s="20" t="s">
        <v>3611</v>
      </c>
      <c r="O387" s="22"/>
      <c r="P387" s="20" t="s">
        <v>3613</v>
      </c>
      <c r="Q387" s="19"/>
      <c r="R387" s="22"/>
      <c r="S387" s="22" t="s">
        <v>4403</v>
      </c>
      <c r="T387" s="321"/>
      <c r="U387" s="22"/>
      <c r="V387" s="22"/>
    </row>
    <row r="388" customHeight="1" spans="1:22">
      <c r="A388" s="19">
        <f t="shared" si="7"/>
        <v>29</v>
      </c>
      <c r="B388" s="20" t="s">
        <v>4584</v>
      </c>
      <c r="C388" s="22" t="s">
        <v>4585</v>
      </c>
      <c r="D388" s="20" t="s">
        <v>4586</v>
      </c>
      <c r="E388" s="20" t="s">
        <v>451</v>
      </c>
      <c r="F388" s="20" t="s">
        <v>405</v>
      </c>
      <c r="G388" s="101" t="str">
        <f>VLOOKUP(F388,'01. TH'!$B:$E,3,0)</f>
        <v>1x1x1</v>
      </c>
      <c r="H388" s="49" t="s">
        <v>1348</v>
      </c>
      <c r="I388" s="19"/>
      <c r="J388" s="20"/>
      <c r="K388" s="19" t="s">
        <v>1839</v>
      </c>
      <c r="L388" s="20"/>
      <c r="M388" s="22"/>
      <c r="N388" s="20" t="s">
        <v>3611</v>
      </c>
      <c r="O388" s="22"/>
      <c r="P388" s="20" t="s">
        <v>3613</v>
      </c>
      <c r="Q388" s="19"/>
      <c r="R388" s="22"/>
      <c r="S388" s="22" t="s">
        <v>4403</v>
      </c>
      <c r="T388" s="321"/>
      <c r="U388" s="22"/>
      <c r="V388" s="22"/>
    </row>
    <row r="389" customHeight="1" spans="1:22">
      <c r="A389" s="19">
        <f t="shared" si="7"/>
        <v>30</v>
      </c>
      <c r="B389" s="20" t="s">
        <v>4587</v>
      </c>
      <c r="C389" s="22" t="s">
        <v>4588</v>
      </c>
      <c r="D389" s="20" t="s">
        <v>4589</v>
      </c>
      <c r="E389" s="20" t="s">
        <v>451</v>
      </c>
      <c r="F389" s="20" t="s">
        <v>405</v>
      </c>
      <c r="G389" s="101" t="str">
        <f>VLOOKUP(F389,'01. TH'!$B:$E,3,0)</f>
        <v>1x1x1</v>
      </c>
      <c r="H389" s="49" t="s">
        <v>1348</v>
      </c>
      <c r="I389" s="19"/>
      <c r="J389" s="20"/>
      <c r="K389" s="19" t="s">
        <v>1839</v>
      </c>
      <c r="L389" s="20"/>
      <c r="M389" s="22"/>
      <c r="N389" s="20" t="s">
        <v>3611</v>
      </c>
      <c r="O389" s="22"/>
      <c r="P389" s="20" t="s">
        <v>3613</v>
      </c>
      <c r="Q389" s="19"/>
      <c r="R389" s="22"/>
      <c r="S389" s="22" t="s">
        <v>4590</v>
      </c>
      <c r="T389" s="321"/>
      <c r="U389" s="22"/>
      <c r="V389" s="22"/>
    </row>
    <row r="390" customHeight="1" spans="1:22">
      <c r="A390" s="19">
        <f t="shared" si="7"/>
        <v>31</v>
      </c>
      <c r="B390" s="20" t="s">
        <v>4591</v>
      </c>
      <c r="C390" s="22" t="s">
        <v>4592</v>
      </c>
      <c r="D390" s="20" t="s">
        <v>4593</v>
      </c>
      <c r="E390" s="20" t="s">
        <v>451</v>
      </c>
      <c r="F390" s="20" t="s">
        <v>405</v>
      </c>
      <c r="G390" s="101" t="str">
        <f>VLOOKUP(F390,'01. TH'!$B:$E,3,0)</f>
        <v>1x1x1</v>
      </c>
      <c r="H390" s="49" t="s">
        <v>1348</v>
      </c>
      <c r="I390" s="19"/>
      <c r="J390" s="20"/>
      <c r="K390" s="19" t="s">
        <v>1839</v>
      </c>
      <c r="L390" s="20"/>
      <c r="M390" s="22"/>
      <c r="N390" s="20" t="s">
        <v>3611</v>
      </c>
      <c r="O390" s="22"/>
      <c r="P390" s="20" t="s">
        <v>3613</v>
      </c>
      <c r="Q390" s="19"/>
      <c r="R390" s="22"/>
      <c r="S390" s="22" t="s">
        <v>4590</v>
      </c>
      <c r="T390" s="321"/>
      <c r="U390" s="22"/>
      <c r="V390" s="22"/>
    </row>
    <row r="391" customHeight="1" spans="1:22">
      <c r="A391" s="19">
        <f t="shared" si="7"/>
        <v>32</v>
      </c>
      <c r="B391" s="20" t="s">
        <v>4594</v>
      </c>
      <c r="C391" s="22"/>
      <c r="D391" s="20" t="s">
        <v>4595</v>
      </c>
      <c r="E391" s="20" t="s">
        <v>451</v>
      </c>
      <c r="F391" s="20" t="s">
        <v>395</v>
      </c>
      <c r="G391" s="101" t="str">
        <f>VLOOKUP(F391,'01. TH'!$B:$E,3,0)</f>
        <v>3000 x 1.600 x 1200</v>
      </c>
      <c r="H391" s="49" t="s">
        <v>1348</v>
      </c>
      <c r="I391" s="19"/>
      <c r="J391" s="20"/>
      <c r="K391" s="19" t="s">
        <v>1839</v>
      </c>
      <c r="L391" s="20"/>
      <c r="M391" s="22"/>
      <c r="N391" s="20" t="s">
        <v>3611</v>
      </c>
      <c r="O391" s="22"/>
      <c r="P391" s="20" t="s">
        <v>3613</v>
      </c>
      <c r="Q391" s="19"/>
      <c r="R391" s="22"/>
      <c r="S391" s="22"/>
      <c r="T391" s="321"/>
      <c r="U391" s="22"/>
      <c r="V391" s="22"/>
    </row>
    <row r="392" customHeight="1" spans="1:22">
      <c r="A392" s="19">
        <f t="shared" si="7"/>
        <v>33</v>
      </c>
      <c r="B392" s="20" t="s">
        <v>4596</v>
      </c>
      <c r="C392" s="22"/>
      <c r="D392" s="20" t="s">
        <v>4597</v>
      </c>
      <c r="E392" s="20" t="s">
        <v>451</v>
      </c>
      <c r="F392" s="20" t="s">
        <v>395</v>
      </c>
      <c r="G392" s="101" t="str">
        <f>VLOOKUP(F392,'01. TH'!$B:$E,3,0)</f>
        <v>3000 x 1.600 x 1200</v>
      </c>
      <c r="H392" s="49" t="s">
        <v>1348</v>
      </c>
      <c r="I392" s="19"/>
      <c r="J392" s="20"/>
      <c r="K392" s="19" t="s">
        <v>1839</v>
      </c>
      <c r="L392" s="20"/>
      <c r="M392" s="22"/>
      <c r="N392" s="20" t="s">
        <v>3611</v>
      </c>
      <c r="O392" s="22"/>
      <c r="P392" s="20" t="s">
        <v>3613</v>
      </c>
      <c r="Q392" s="19"/>
      <c r="R392" s="22"/>
      <c r="S392" s="22"/>
      <c r="T392" s="321"/>
      <c r="U392" s="22"/>
      <c r="V392" s="22"/>
    </row>
    <row r="393" customHeight="1" spans="1:22">
      <c r="A393" s="19">
        <f t="shared" si="7"/>
        <v>34</v>
      </c>
      <c r="B393" s="20" t="s">
        <v>4598</v>
      </c>
      <c r="C393" s="22"/>
      <c r="D393" s="20" t="s">
        <v>4599</v>
      </c>
      <c r="E393" s="20" t="s">
        <v>451</v>
      </c>
      <c r="F393" s="20" t="s">
        <v>395</v>
      </c>
      <c r="G393" s="101" t="str">
        <f>VLOOKUP(F393,'01. TH'!$B:$E,3,0)</f>
        <v>3000 x 1.600 x 1200</v>
      </c>
      <c r="H393" s="49" t="s">
        <v>1348</v>
      </c>
      <c r="I393" s="19"/>
      <c r="J393" s="20"/>
      <c r="K393" s="19" t="s">
        <v>1839</v>
      </c>
      <c r="L393" s="20"/>
      <c r="M393" s="22"/>
      <c r="N393" s="20" t="s">
        <v>3611</v>
      </c>
      <c r="O393" s="22"/>
      <c r="P393" s="20" t="s">
        <v>3613</v>
      </c>
      <c r="Q393" s="19"/>
      <c r="R393" s="22"/>
      <c r="S393" s="22"/>
      <c r="T393" s="321"/>
      <c r="U393" s="22"/>
      <c r="V393" s="22"/>
    </row>
    <row r="394" customHeight="1" spans="1:22">
      <c r="A394" s="19">
        <f t="shared" si="7"/>
        <v>35</v>
      </c>
      <c r="B394" s="20" t="s">
        <v>4600</v>
      </c>
      <c r="C394" s="22"/>
      <c r="D394" s="20" t="s">
        <v>4601</v>
      </c>
      <c r="E394" s="20" t="s">
        <v>451</v>
      </c>
      <c r="F394" s="20" t="s">
        <v>395</v>
      </c>
      <c r="G394" s="101" t="str">
        <f>VLOOKUP(F394,'01. TH'!$B:$E,3,0)</f>
        <v>3000 x 1.600 x 1200</v>
      </c>
      <c r="H394" s="49" t="s">
        <v>1348</v>
      </c>
      <c r="I394" s="19"/>
      <c r="J394" s="20"/>
      <c r="K394" s="19" t="s">
        <v>1839</v>
      </c>
      <c r="L394" s="20"/>
      <c r="M394" s="22"/>
      <c r="N394" s="20" t="s">
        <v>3611</v>
      </c>
      <c r="O394" s="22"/>
      <c r="P394" s="20" t="s">
        <v>3613</v>
      </c>
      <c r="Q394" s="19"/>
      <c r="R394" s="22"/>
      <c r="S394" s="22"/>
      <c r="T394" s="321"/>
      <c r="U394" s="22"/>
      <c r="V394" s="22"/>
    </row>
    <row r="395" customHeight="1" spans="1:22">
      <c r="A395" s="19">
        <f t="shared" si="7"/>
        <v>36</v>
      </c>
      <c r="B395" s="20" t="s">
        <v>4602</v>
      </c>
      <c r="C395" s="22"/>
      <c r="D395" s="20" t="s">
        <v>4603</v>
      </c>
      <c r="E395" s="20" t="s">
        <v>451</v>
      </c>
      <c r="F395" s="20" t="s">
        <v>395</v>
      </c>
      <c r="G395" s="101" t="str">
        <f>VLOOKUP(F395,'01. TH'!$B:$E,3,0)</f>
        <v>3000 x 1.600 x 1200</v>
      </c>
      <c r="H395" s="49" t="s">
        <v>1348</v>
      </c>
      <c r="I395" s="19"/>
      <c r="J395" s="20"/>
      <c r="K395" s="19" t="s">
        <v>1839</v>
      </c>
      <c r="L395" s="20"/>
      <c r="M395" s="22"/>
      <c r="N395" s="20" t="s">
        <v>3611</v>
      </c>
      <c r="O395" s="22"/>
      <c r="P395" s="20" t="s">
        <v>3613</v>
      </c>
      <c r="Q395" s="19"/>
      <c r="R395" s="22"/>
      <c r="S395" s="22"/>
      <c r="T395" s="321"/>
      <c r="U395" s="22"/>
      <c r="V395" s="22"/>
    </row>
    <row r="396" customHeight="1" spans="1:22">
      <c r="A396" s="19">
        <f t="shared" si="7"/>
        <v>37</v>
      </c>
      <c r="B396" s="20" t="s">
        <v>4604</v>
      </c>
      <c r="C396" s="22"/>
      <c r="D396" s="20" t="s">
        <v>4605</v>
      </c>
      <c r="E396" s="20" t="s">
        <v>451</v>
      </c>
      <c r="F396" s="20" t="s">
        <v>395</v>
      </c>
      <c r="G396" s="101" t="str">
        <f>VLOOKUP(F396,'01. TH'!$B:$E,3,0)</f>
        <v>3000 x 1.600 x 1200</v>
      </c>
      <c r="H396" s="49" t="s">
        <v>1348</v>
      </c>
      <c r="I396" s="19"/>
      <c r="J396" s="20"/>
      <c r="K396" s="19" t="s">
        <v>1839</v>
      </c>
      <c r="L396" s="20"/>
      <c r="M396" s="22"/>
      <c r="N396" s="20" t="s">
        <v>3611</v>
      </c>
      <c r="O396" s="22"/>
      <c r="P396" s="20" t="s">
        <v>3613</v>
      </c>
      <c r="Q396" s="19"/>
      <c r="R396" s="22"/>
      <c r="S396" s="22"/>
      <c r="T396" s="321"/>
      <c r="U396" s="22"/>
      <c r="V396" s="22"/>
    </row>
    <row r="397" customHeight="1" spans="1:22">
      <c r="A397" s="19">
        <f t="shared" si="7"/>
        <v>38</v>
      </c>
      <c r="B397" s="20" t="s">
        <v>4606</v>
      </c>
      <c r="C397" s="22" t="s">
        <v>3950</v>
      </c>
      <c r="D397" s="20" t="s">
        <v>3952</v>
      </c>
      <c r="E397" s="20" t="s">
        <v>451</v>
      </c>
      <c r="F397" s="20" t="s">
        <v>408</v>
      </c>
      <c r="G397" s="101" t="str">
        <f>VLOOKUP(F397,'01. TH'!$B:$E,3,0)</f>
        <v>6.1x2.4x0.9</v>
      </c>
      <c r="H397" s="49" t="s">
        <v>1348</v>
      </c>
      <c r="I397" s="19"/>
      <c r="J397" s="20"/>
      <c r="K397" s="19" t="s">
        <v>1839</v>
      </c>
      <c r="L397" s="20"/>
      <c r="M397" s="22"/>
      <c r="N397" s="20" t="s">
        <v>3611</v>
      </c>
      <c r="O397" s="22"/>
      <c r="P397" s="20" t="s">
        <v>3613</v>
      </c>
      <c r="Q397" s="19"/>
      <c r="R397" s="22" t="s">
        <v>4278</v>
      </c>
      <c r="S397" s="22"/>
      <c r="T397" s="321"/>
      <c r="U397" s="22"/>
      <c r="V397" s="22"/>
    </row>
    <row r="398" customHeight="1" spans="1:22">
      <c r="A398" s="19">
        <f t="shared" si="7"/>
        <v>39</v>
      </c>
      <c r="B398" s="20" t="s">
        <v>4607</v>
      </c>
      <c r="C398" s="22" t="s">
        <v>4608</v>
      </c>
      <c r="D398" s="20"/>
      <c r="E398" s="20" t="s">
        <v>451</v>
      </c>
      <c r="F398" s="20" t="s">
        <v>4609</v>
      </c>
      <c r="G398" s="101" t="e">
        <f>VLOOKUP(F398,'01. TH'!$B:$E,3,0)</f>
        <v>#N/A</v>
      </c>
      <c r="H398" s="49" t="s">
        <v>1348</v>
      </c>
      <c r="I398" s="19" t="s">
        <v>4610</v>
      </c>
      <c r="J398" s="20"/>
      <c r="K398" s="19" t="s">
        <v>1839</v>
      </c>
      <c r="L398" s="20" t="s">
        <v>4611</v>
      </c>
      <c r="M398" s="22"/>
      <c r="N398" s="20" t="s">
        <v>3611</v>
      </c>
      <c r="O398" s="22" t="s">
        <v>4612</v>
      </c>
      <c r="P398" s="20" t="s">
        <v>3613</v>
      </c>
      <c r="Q398" s="19"/>
      <c r="R398" s="22"/>
      <c r="S398" s="22"/>
      <c r="T398" s="321"/>
      <c r="U398" s="22"/>
      <c r="V398" s="22"/>
    </row>
    <row r="399" customHeight="1" spans="1:22">
      <c r="A399" s="19">
        <f t="shared" si="7"/>
        <v>40</v>
      </c>
      <c r="B399" s="20" t="s">
        <v>4613</v>
      </c>
      <c r="C399" s="22" t="s">
        <v>4614</v>
      </c>
      <c r="D399" s="20" t="s">
        <v>4615</v>
      </c>
      <c r="E399" s="20" t="s">
        <v>451</v>
      </c>
      <c r="F399" s="20" t="s">
        <v>406</v>
      </c>
      <c r="G399" s="101" t="str">
        <f>VLOOKUP(F399,'01. TH'!$B:$E,3,0)</f>
        <v>4500 x 2000 x 1500</v>
      </c>
      <c r="H399" s="49" t="s">
        <v>1348</v>
      </c>
      <c r="I399" s="19" t="s">
        <v>4616</v>
      </c>
      <c r="J399" s="20"/>
      <c r="K399" s="19" t="s">
        <v>1839</v>
      </c>
      <c r="L399" s="20" t="s">
        <v>4617</v>
      </c>
      <c r="M399" s="612"/>
      <c r="N399" s="20" t="s">
        <v>3611</v>
      </c>
      <c r="O399" s="612"/>
      <c r="P399" s="20" t="s">
        <v>3613</v>
      </c>
      <c r="Q399" s="19"/>
      <c r="R399" s="22" t="s">
        <v>4618</v>
      </c>
      <c r="S399" s="22" t="s">
        <v>4619</v>
      </c>
      <c r="T399" s="47"/>
      <c r="U399" s="20"/>
      <c r="V399" s="20"/>
    </row>
    <row r="400" customHeight="1" spans="1:22">
      <c r="A400" s="19">
        <f t="shared" si="7"/>
        <v>41</v>
      </c>
      <c r="B400" s="20" t="s">
        <v>4620</v>
      </c>
      <c r="C400" s="22" t="s">
        <v>4621</v>
      </c>
      <c r="D400" s="20" t="s">
        <v>4622</v>
      </c>
      <c r="E400" s="20" t="s">
        <v>451</v>
      </c>
      <c r="F400" s="20" t="s">
        <v>4377</v>
      </c>
      <c r="G400" s="101" t="e">
        <f>VLOOKUP(F400,'01. TH'!$B:$E,3,0)</f>
        <v>#N/A</v>
      </c>
      <c r="H400" s="49" t="s">
        <v>1348</v>
      </c>
      <c r="I400" s="773">
        <v>45638</v>
      </c>
      <c r="J400" s="20"/>
      <c r="K400" s="19" t="s">
        <v>1839</v>
      </c>
      <c r="L400" s="20"/>
      <c r="M400" s="22"/>
      <c r="N400" s="20" t="s">
        <v>3611</v>
      </c>
      <c r="O400" s="22" t="s">
        <v>4621</v>
      </c>
      <c r="P400" s="20" t="s">
        <v>3613</v>
      </c>
      <c r="Q400" s="19">
        <v>2024</v>
      </c>
      <c r="R400" s="22" t="s">
        <v>4623</v>
      </c>
      <c r="S400" s="22"/>
      <c r="T400" s="321"/>
      <c r="U400" s="22"/>
      <c r="V400" s="22"/>
    </row>
    <row r="401" customHeight="1" spans="1:22">
      <c r="A401" s="19">
        <f t="shared" si="7"/>
        <v>42</v>
      </c>
      <c r="B401" s="20" t="s">
        <v>4624</v>
      </c>
      <c r="C401" s="22" t="s">
        <v>4625</v>
      </c>
      <c r="D401" s="20" t="s">
        <v>4626</v>
      </c>
      <c r="E401" s="20" t="s">
        <v>451</v>
      </c>
      <c r="F401" s="20" t="s">
        <v>4377</v>
      </c>
      <c r="G401" s="101" t="e">
        <f>VLOOKUP(F401,'01. TH'!$B:$E,3,0)</f>
        <v>#N/A</v>
      </c>
      <c r="H401" s="49" t="s">
        <v>1348</v>
      </c>
      <c r="I401" s="19" t="s">
        <v>4627</v>
      </c>
      <c r="J401" s="20"/>
      <c r="K401" s="19" t="s">
        <v>1839</v>
      </c>
      <c r="L401" s="20"/>
      <c r="M401" s="20" t="s">
        <v>4628</v>
      </c>
      <c r="N401" s="20" t="s">
        <v>3611</v>
      </c>
      <c r="O401" s="19" t="s">
        <v>4629</v>
      </c>
      <c r="P401" s="20" t="s">
        <v>3613</v>
      </c>
      <c r="Q401" s="19">
        <v>2025</v>
      </c>
      <c r="R401" s="22"/>
      <c r="S401" s="22"/>
      <c r="T401" s="47"/>
      <c r="U401" s="20"/>
      <c r="V401" s="20"/>
    </row>
    <row r="402" customHeight="1" spans="1:22">
      <c r="A402" s="19">
        <f t="shared" si="7"/>
        <v>43</v>
      </c>
      <c r="B402" s="20" t="s">
        <v>4630</v>
      </c>
      <c r="C402" s="22"/>
      <c r="D402" s="20" t="s">
        <v>4631</v>
      </c>
      <c r="E402" s="20" t="s">
        <v>451</v>
      </c>
      <c r="F402" s="20" t="s">
        <v>4315</v>
      </c>
      <c r="G402" s="101" t="e">
        <f>VLOOKUP(F402,'01. TH'!$B:$E,3,0)</f>
        <v>#N/A</v>
      </c>
      <c r="H402" s="49" t="s">
        <v>1348</v>
      </c>
      <c r="I402" s="19" t="s">
        <v>3732</v>
      </c>
      <c r="J402" s="20"/>
      <c r="K402" s="19" t="s">
        <v>1839</v>
      </c>
      <c r="L402" s="20"/>
      <c r="M402" s="22"/>
      <c r="N402" s="20" t="s">
        <v>3611</v>
      </c>
      <c r="O402" s="22" t="s">
        <v>4317</v>
      </c>
      <c r="P402" s="20" t="s">
        <v>3613</v>
      </c>
      <c r="Q402" s="19">
        <v>2025</v>
      </c>
      <c r="R402" s="22" t="s">
        <v>4323</v>
      </c>
      <c r="S402" s="22" t="s">
        <v>4632</v>
      </c>
      <c r="T402" s="47">
        <v>0.56</v>
      </c>
      <c r="U402" s="20" t="s">
        <v>4318</v>
      </c>
      <c r="V402" s="20"/>
    </row>
    <row r="403" customHeight="1" spans="1:22">
      <c r="A403" s="19">
        <f t="shared" si="7"/>
        <v>44</v>
      </c>
      <c r="B403" s="20" t="s">
        <v>4633</v>
      </c>
      <c r="C403" s="22"/>
      <c r="D403" s="20" t="s">
        <v>4634</v>
      </c>
      <c r="E403" s="20" t="s">
        <v>451</v>
      </c>
      <c r="F403" s="20" t="s">
        <v>4315</v>
      </c>
      <c r="G403" s="101" t="e">
        <f>VLOOKUP(F403,'01. TH'!$B:$E,3,0)</f>
        <v>#N/A</v>
      </c>
      <c r="H403" s="49" t="s">
        <v>1348</v>
      </c>
      <c r="I403" s="19" t="s">
        <v>3236</v>
      </c>
      <c r="J403" s="20"/>
      <c r="K403" s="19" t="s">
        <v>1839</v>
      </c>
      <c r="L403" s="20"/>
      <c r="M403" s="22"/>
      <c r="N403" s="20" t="s">
        <v>3611</v>
      </c>
      <c r="O403" s="22" t="s">
        <v>4317</v>
      </c>
      <c r="P403" s="20" t="s">
        <v>3613</v>
      </c>
      <c r="Q403" s="19">
        <v>2025</v>
      </c>
      <c r="R403" s="22" t="s">
        <v>4323</v>
      </c>
      <c r="S403" s="22"/>
      <c r="T403" s="47">
        <v>0.56</v>
      </c>
      <c r="U403" s="20" t="s">
        <v>4318</v>
      </c>
      <c r="V403" s="20"/>
    </row>
    <row r="404" customHeight="1" spans="1:22">
      <c r="A404" s="19">
        <f t="shared" si="7"/>
        <v>45</v>
      </c>
      <c r="B404" s="20" t="s">
        <v>4635</v>
      </c>
      <c r="C404" s="22"/>
      <c r="D404" s="20" t="s">
        <v>4636</v>
      </c>
      <c r="E404" s="20" t="s">
        <v>451</v>
      </c>
      <c r="F404" s="20" t="s">
        <v>4315</v>
      </c>
      <c r="G404" s="101" t="e">
        <f>VLOOKUP(F404,'01. TH'!$B:$E,3,0)</f>
        <v>#N/A</v>
      </c>
      <c r="H404" s="49" t="s">
        <v>1348</v>
      </c>
      <c r="I404" s="19" t="s">
        <v>3236</v>
      </c>
      <c r="J404" s="20"/>
      <c r="K404" s="19" t="s">
        <v>1839</v>
      </c>
      <c r="L404" s="20"/>
      <c r="M404" s="22"/>
      <c r="N404" s="20" t="s">
        <v>3611</v>
      </c>
      <c r="O404" s="22" t="s">
        <v>4317</v>
      </c>
      <c r="P404" s="20" t="s">
        <v>3613</v>
      </c>
      <c r="Q404" s="19">
        <v>2025</v>
      </c>
      <c r="R404" s="22" t="s">
        <v>4323</v>
      </c>
      <c r="S404" s="22"/>
      <c r="T404" s="47">
        <v>0.56</v>
      </c>
      <c r="U404" s="20" t="s">
        <v>4318</v>
      </c>
      <c r="V404" s="20"/>
    </row>
    <row r="405" customHeight="1" spans="1:22">
      <c r="A405" s="19">
        <f t="shared" si="7"/>
        <v>46</v>
      </c>
      <c r="B405" s="20" t="s">
        <v>4637</v>
      </c>
      <c r="C405" s="22"/>
      <c r="D405" s="20" t="s">
        <v>4638</v>
      </c>
      <c r="E405" s="20" t="s">
        <v>451</v>
      </c>
      <c r="F405" s="20" t="s">
        <v>4315</v>
      </c>
      <c r="G405" s="101" t="e">
        <f>VLOOKUP(F405,'01. TH'!$B:$E,3,0)</f>
        <v>#N/A</v>
      </c>
      <c r="H405" s="49" t="s">
        <v>1348</v>
      </c>
      <c r="I405" s="19" t="s">
        <v>2029</v>
      </c>
      <c r="J405" s="20"/>
      <c r="K405" s="19" t="s">
        <v>1839</v>
      </c>
      <c r="L405" s="20"/>
      <c r="M405" s="22"/>
      <c r="N405" s="20" t="s">
        <v>3611</v>
      </c>
      <c r="O405" s="22" t="s">
        <v>4639</v>
      </c>
      <c r="P405" s="20" t="s">
        <v>3613</v>
      </c>
      <c r="Q405" s="19">
        <v>2025</v>
      </c>
      <c r="R405" s="22" t="s">
        <v>4323</v>
      </c>
      <c r="S405" s="22">
        <v>12</v>
      </c>
      <c r="T405" s="47">
        <v>0.56</v>
      </c>
      <c r="U405" s="20" t="s">
        <v>4318</v>
      </c>
      <c r="V405" s="22"/>
    </row>
    <row r="406" customHeight="1" spans="1:22">
      <c r="A406" s="19">
        <f t="shared" si="7"/>
        <v>47</v>
      </c>
      <c r="B406" s="20" t="s">
        <v>4640</v>
      </c>
      <c r="C406" s="22"/>
      <c r="D406" s="20" t="s">
        <v>4641</v>
      </c>
      <c r="E406" s="20" t="s">
        <v>451</v>
      </c>
      <c r="F406" s="20" t="s">
        <v>4315</v>
      </c>
      <c r="G406" s="101" t="e">
        <f>VLOOKUP(F406,'01. TH'!$B:$E,3,0)</f>
        <v>#N/A</v>
      </c>
      <c r="H406" s="49" t="s">
        <v>1348</v>
      </c>
      <c r="I406" s="19" t="s">
        <v>2029</v>
      </c>
      <c r="J406" s="20"/>
      <c r="K406" s="19" t="s">
        <v>1839</v>
      </c>
      <c r="L406" s="20"/>
      <c r="M406" s="22"/>
      <c r="N406" s="20" t="s">
        <v>3611</v>
      </c>
      <c r="O406" s="22" t="s">
        <v>4642</v>
      </c>
      <c r="P406" s="20" t="s">
        <v>3613</v>
      </c>
      <c r="Q406" s="19">
        <v>2025</v>
      </c>
      <c r="R406" s="22" t="s">
        <v>4323</v>
      </c>
      <c r="S406" s="22">
        <v>13</v>
      </c>
      <c r="T406" s="47">
        <v>0.56</v>
      </c>
      <c r="U406" s="20" t="s">
        <v>4318</v>
      </c>
      <c r="V406" s="22"/>
    </row>
    <row r="407" customHeight="1" spans="1:22">
      <c r="A407" s="19">
        <f t="shared" si="7"/>
        <v>48</v>
      </c>
      <c r="B407" s="20" t="s">
        <v>4643</v>
      </c>
      <c r="C407" s="22"/>
      <c r="D407" s="144" t="s">
        <v>4644</v>
      </c>
      <c r="E407" s="20" t="s">
        <v>451</v>
      </c>
      <c r="F407" s="20" t="s">
        <v>4315</v>
      </c>
      <c r="G407" s="101" t="e">
        <f>VLOOKUP(F407,'01. TH'!$B:$E,3,0)</f>
        <v>#N/A</v>
      </c>
      <c r="H407" s="49" t="s">
        <v>1348</v>
      </c>
      <c r="I407" s="58">
        <v>45909</v>
      </c>
      <c r="J407" s="20"/>
      <c r="K407" s="19" t="s">
        <v>1839</v>
      </c>
      <c r="L407" s="20"/>
      <c r="M407" s="22"/>
      <c r="N407" s="20" t="s">
        <v>3611</v>
      </c>
      <c r="O407" s="144" t="s">
        <v>4642</v>
      </c>
      <c r="P407" s="20" t="s">
        <v>3613</v>
      </c>
      <c r="Q407" s="19">
        <v>2025</v>
      </c>
      <c r="R407" s="356" t="s">
        <v>4340</v>
      </c>
      <c r="S407" s="22"/>
      <c r="T407" s="47">
        <v>0.56</v>
      </c>
      <c r="U407" s="20" t="s">
        <v>4318</v>
      </c>
      <c r="V407" s="22"/>
    </row>
    <row r="408" customHeight="1" spans="1:22">
      <c r="A408" s="19">
        <f t="shared" si="7"/>
        <v>49</v>
      </c>
      <c r="B408" s="20" t="s">
        <v>4645</v>
      </c>
      <c r="C408" s="22"/>
      <c r="D408" s="144" t="s">
        <v>4646</v>
      </c>
      <c r="E408" s="20" t="s">
        <v>451</v>
      </c>
      <c r="F408" s="20" t="s">
        <v>4315</v>
      </c>
      <c r="G408" s="101" t="e">
        <f>VLOOKUP(F408,'01. TH'!$B:$E,3,0)</f>
        <v>#N/A</v>
      </c>
      <c r="H408" s="49" t="s">
        <v>1348</v>
      </c>
      <c r="I408" s="19" t="s">
        <v>4647</v>
      </c>
      <c r="J408" s="20"/>
      <c r="K408" s="19" t="s">
        <v>1839</v>
      </c>
      <c r="L408" s="20"/>
      <c r="M408" s="22"/>
      <c r="N408" s="20" t="s">
        <v>3611</v>
      </c>
      <c r="O408" s="144" t="s">
        <v>4648</v>
      </c>
      <c r="P408" s="20" t="s">
        <v>3613</v>
      </c>
      <c r="Q408" s="19">
        <v>2025</v>
      </c>
      <c r="R408" s="356" t="s">
        <v>4340</v>
      </c>
      <c r="S408" s="22"/>
      <c r="T408" s="47">
        <v>0.56</v>
      </c>
      <c r="U408" s="20" t="s">
        <v>4318</v>
      </c>
      <c r="V408" s="22"/>
    </row>
    <row r="409" customHeight="1" spans="1:22">
      <c r="A409" s="19">
        <f t="shared" si="7"/>
        <v>50</v>
      </c>
      <c r="B409" s="20" t="s">
        <v>4649</v>
      </c>
      <c r="C409" s="22"/>
      <c r="D409" s="798" t="s">
        <v>4650</v>
      </c>
      <c r="E409" s="20" t="s">
        <v>3593</v>
      </c>
      <c r="F409" s="20" t="s">
        <v>4651</v>
      </c>
      <c r="G409" s="101" t="e">
        <f>VLOOKUP(F409,'01. TH'!$B:$E,3,0)</f>
        <v>#N/A</v>
      </c>
      <c r="H409" s="49" t="s">
        <v>1348</v>
      </c>
      <c r="I409" s="58">
        <v>45818</v>
      </c>
      <c r="J409" s="20"/>
      <c r="K409" s="19" t="s">
        <v>1839</v>
      </c>
      <c r="L409" s="20"/>
      <c r="M409" s="22"/>
      <c r="N409" s="20" t="s">
        <v>3611</v>
      </c>
      <c r="O409" s="144"/>
      <c r="P409" s="20" t="s">
        <v>3613</v>
      </c>
      <c r="Q409" s="19">
        <v>2025</v>
      </c>
      <c r="R409" s="356" t="s">
        <v>4652</v>
      </c>
      <c r="S409" s="22" t="s">
        <v>4653</v>
      </c>
      <c r="T409" s="47"/>
      <c r="U409" s="20" t="s">
        <v>4318</v>
      </c>
      <c r="V409" s="22"/>
    </row>
    <row r="410" customHeight="1" spans="1:22">
      <c r="A410" s="19">
        <f t="shared" si="7"/>
        <v>51</v>
      </c>
      <c r="B410" s="20" t="s">
        <v>4654</v>
      </c>
      <c r="C410" s="22"/>
      <c r="D410" s="798" t="s">
        <v>4655</v>
      </c>
      <c r="E410" s="20" t="s">
        <v>451</v>
      </c>
      <c r="F410" s="20" t="s">
        <v>4315</v>
      </c>
      <c r="G410" s="101" t="e">
        <f>VLOOKUP(F410,'01. TH'!$B:$E,3,0)</f>
        <v>#N/A</v>
      </c>
      <c r="H410" s="49" t="s">
        <v>1348</v>
      </c>
      <c r="I410" s="58">
        <v>45818</v>
      </c>
      <c r="J410" s="20"/>
      <c r="K410" s="19" t="s">
        <v>1839</v>
      </c>
      <c r="L410" s="20"/>
      <c r="M410" s="22"/>
      <c r="N410" s="20" t="s">
        <v>3611</v>
      </c>
      <c r="O410" s="798" t="s">
        <v>4656</v>
      </c>
      <c r="P410" s="20" t="s">
        <v>3613</v>
      </c>
      <c r="Q410" s="19">
        <v>2025</v>
      </c>
      <c r="R410" s="356"/>
      <c r="S410" s="22"/>
      <c r="T410" s="47">
        <v>0.56</v>
      </c>
      <c r="U410" s="20" t="s">
        <v>4318</v>
      </c>
      <c r="V410" s="22"/>
    </row>
    <row r="411" customHeight="1" spans="1:22">
      <c r="A411" s="19">
        <f t="shared" si="7"/>
        <v>52</v>
      </c>
      <c r="B411" s="20" t="s">
        <v>4657</v>
      </c>
      <c r="C411" s="22"/>
      <c r="D411" s="20" t="s">
        <v>4658</v>
      </c>
      <c r="E411" s="20" t="s">
        <v>451</v>
      </c>
      <c r="F411" s="20" t="s">
        <v>4315</v>
      </c>
      <c r="G411" s="101" t="e">
        <f>VLOOKUP(F411,'01. TH'!$B:$E,3,0)</f>
        <v>#N/A</v>
      </c>
      <c r="H411" s="49" t="s">
        <v>1348</v>
      </c>
      <c r="I411" s="19" t="s">
        <v>4346</v>
      </c>
      <c r="J411" s="20"/>
      <c r="K411" s="19" t="s">
        <v>1839</v>
      </c>
      <c r="L411" s="20"/>
      <c r="M411" s="22"/>
      <c r="N411" s="20" t="s">
        <v>3611</v>
      </c>
      <c r="O411" s="22" t="s">
        <v>4659</v>
      </c>
      <c r="P411" s="20" t="s">
        <v>3613</v>
      </c>
      <c r="Q411" s="19">
        <v>2025</v>
      </c>
      <c r="R411" s="22"/>
      <c r="S411" s="22"/>
      <c r="T411" s="47">
        <v>0.56</v>
      </c>
      <c r="U411" s="20" t="s">
        <v>4318</v>
      </c>
      <c r="V411" s="22"/>
    </row>
    <row r="412" customHeight="1" spans="1:22">
      <c r="A412" s="19">
        <f t="shared" si="7"/>
        <v>53</v>
      </c>
      <c r="B412" s="20" t="s">
        <v>4660</v>
      </c>
      <c r="C412" s="22"/>
      <c r="D412" s="20" t="s">
        <v>4661</v>
      </c>
      <c r="E412" s="20" t="s">
        <v>451</v>
      </c>
      <c r="F412" s="20" t="s">
        <v>4315</v>
      </c>
      <c r="G412" s="101" t="e">
        <f>VLOOKUP(F412,'01. TH'!$B:$E,3,0)</f>
        <v>#N/A</v>
      </c>
      <c r="H412" s="49" t="s">
        <v>1348</v>
      </c>
      <c r="I412" s="19" t="s">
        <v>4354</v>
      </c>
      <c r="J412" s="20"/>
      <c r="K412" s="19" t="s">
        <v>1839</v>
      </c>
      <c r="L412" s="20"/>
      <c r="M412" s="22"/>
      <c r="N412" s="20" t="s">
        <v>3611</v>
      </c>
      <c r="O412" s="22" t="s">
        <v>4662</v>
      </c>
      <c r="P412" s="20" t="s">
        <v>3613</v>
      </c>
      <c r="Q412" s="19">
        <v>2025</v>
      </c>
      <c r="R412" s="22"/>
      <c r="S412" s="22"/>
      <c r="T412" s="47">
        <v>0.56</v>
      </c>
      <c r="U412" s="20" t="s">
        <v>4318</v>
      </c>
      <c r="V412" s="22"/>
    </row>
    <row r="413" customHeight="1" spans="1:22">
      <c r="A413" s="19">
        <f t="shared" si="7"/>
        <v>54</v>
      </c>
      <c r="B413" s="20" t="s">
        <v>4663</v>
      </c>
      <c r="C413" s="22"/>
      <c r="D413" s="20" t="s">
        <v>4664</v>
      </c>
      <c r="E413" s="20" t="s">
        <v>451</v>
      </c>
      <c r="F413" s="20" t="s">
        <v>4315</v>
      </c>
      <c r="G413" s="101" t="e">
        <f>VLOOKUP(F413,'01. TH'!$B:$E,3,0)</f>
        <v>#N/A</v>
      </c>
      <c r="H413" s="49" t="s">
        <v>1348</v>
      </c>
      <c r="I413" s="19" t="s">
        <v>2346</v>
      </c>
      <c r="J413" s="20"/>
      <c r="K413" s="19" t="s">
        <v>1839</v>
      </c>
      <c r="L413" s="20"/>
      <c r="M413" s="22"/>
      <c r="N413" s="20" t="s">
        <v>3611</v>
      </c>
      <c r="O413" s="22" t="s">
        <v>4665</v>
      </c>
      <c r="P413" s="20" t="s">
        <v>3613</v>
      </c>
      <c r="Q413" s="19">
        <v>2025</v>
      </c>
      <c r="R413" s="22"/>
      <c r="S413" s="22"/>
      <c r="T413" s="47">
        <v>0.56</v>
      </c>
      <c r="U413" s="20" t="s">
        <v>4318</v>
      </c>
      <c r="V413" s="22"/>
    </row>
    <row r="414" customHeight="1" spans="1:22">
      <c r="A414" s="19">
        <f t="shared" si="7"/>
        <v>55</v>
      </c>
      <c r="B414" s="20" t="s">
        <v>4666</v>
      </c>
      <c r="C414" s="22"/>
      <c r="D414" s="20" t="s">
        <v>4667</v>
      </c>
      <c r="E414" s="20" t="s">
        <v>451</v>
      </c>
      <c r="F414" s="20" t="s">
        <v>4315</v>
      </c>
      <c r="G414" s="101" t="e">
        <f>VLOOKUP(F414,'01. TH'!$B:$E,3,0)</f>
        <v>#N/A</v>
      </c>
      <c r="H414" s="49" t="s">
        <v>1348</v>
      </c>
      <c r="I414" s="58">
        <v>45819</v>
      </c>
      <c r="J414" s="20"/>
      <c r="K414" s="19" t="s">
        <v>1839</v>
      </c>
      <c r="L414" s="20"/>
      <c r="M414" s="22"/>
      <c r="N414" s="20" t="s">
        <v>3611</v>
      </c>
      <c r="O414" s="22" t="s">
        <v>4668</v>
      </c>
      <c r="P414" s="20" t="s">
        <v>3613</v>
      </c>
      <c r="Q414" s="19">
        <v>2025</v>
      </c>
      <c r="R414" s="22"/>
      <c r="S414" s="22"/>
      <c r="T414" s="47">
        <v>0.56</v>
      </c>
      <c r="U414" s="20" t="s">
        <v>4318</v>
      </c>
      <c r="V414" s="22"/>
    </row>
    <row r="415" customHeight="1" spans="1:22">
      <c r="A415" s="19">
        <f t="shared" si="7"/>
        <v>56</v>
      </c>
      <c r="B415" s="20" t="s">
        <v>4669</v>
      </c>
      <c r="C415" s="22"/>
      <c r="D415" s="144" t="s">
        <v>4670</v>
      </c>
      <c r="E415" s="20" t="s">
        <v>451</v>
      </c>
      <c r="F415" s="20" t="s">
        <v>4315</v>
      </c>
      <c r="G415" s="101" t="e">
        <f>VLOOKUP(F415,'01. TH'!$B:$E,3,0)</f>
        <v>#N/A</v>
      </c>
      <c r="H415" s="49" t="s">
        <v>1348</v>
      </c>
      <c r="I415" s="799">
        <v>46004</v>
      </c>
      <c r="J415" s="20"/>
      <c r="K415" s="19" t="s">
        <v>1839</v>
      </c>
      <c r="L415" s="20"/>
      <c r="M415" s="22"/>
      <c r="N415" s="20" t="s">
        <v>3611</v>
      </c>
      <c r="O415" s="24" t="s">
        <v>4671</v>
      </c>
      <c r="P415" s="20" t="s">
        <v>3613</v>
      </c>
      <c r="Q415" s="19">
        <v>2025</v>
      </c>
      <c r="R415" s="22" t="s">
        <v>4672</v>
      </c>
      <c r="S415" s="22">
        <v>47</v>
      </c>
      <c r="T415" s="47">
        <v>0.56</v>
      </c>
      <c r="U415" s="20" t="s">
        <v>4318</v>
      </c>
      <c r="V415" s="22"/>
    </row>
    <row r="416" customHeight="1" spans="1:22">
      <c r="A416" s="19">
        <f t="shared" si="7"/>
        <v>57</v>
      </c>
      <c r="B416" s="20" t="s">
        <v>4673</v>
      </c>
      <c r="C416" s="22"/>
      <c r="D416" s="20" t="s">
        <v>4674</v>
      </c>
      <c r="E416" s="20" t="s">
        <v>451</v>
      </c>
      <c r="F416" s="20" t="s">
        <v>4315</v>
      </c>
      <c r="G416" s="101"/>
      <c r="H416" s="49" t="s">
        <v>1348</v>
      </c>
      <c r="I416" s="19" t="s">
        <v>4534</v>
      </c>
      <c r="J416" s="20"/>
      <c r="K416" s="19" t="s">
        <v>1839</v>
      </c>
      <c r="L416" s="20"/>
      <c r="M416" s="22"/>
      <c r="N416" s="20"/>
      <c r="O416" s="22"/>
      <c r="P416" s="20"/>
      <c r="Q416" s="19"/>
      <c r="R416" s="22"/>
      <c r="S416" s="22"/>
      <c r="T416" s="47">
        <v>0.56</v>
      </c>
      <c r="U416" s="20" t="s">
        <v>4318</v>
      </c>
      <c r="V416" s="22"/>
    </row>
    <row r="417" customHeight="1" spans="1:22">
      <c r="A417" s="19">
        <f t="shared" si="7"/>
        <v>58</v>
      </c>
      <c r="B417" s="20" t="s">
        <v>4675</v>
      </c>
      <c r="C417" s="22"/>
      <c r="D417" s="20" t="s">
        <v>4676</v>
      </c>
      <c r="E417" s="20" t="s">
        <v>451</v>
      </c>
      <c r="F417" s="20" t="s">
        <v>4315</v>
      </c>
      <c r="G417" s="101"/>
      <c r="H417" s="49" t="s">
        <v>1348</v>
      </c>
      <c r="I417" s="19" t="s">
        <v>4534</v>
      </c>
      <c r="J417" s="20"/>
      <c r="K417" s="19" t="s">
        <v>1839</v>
      </c>
      <c r="L417" s="20"/>
      <c r="M417" s="22"/>
      <c r="N417" s="20"/>
      <c r="O417" s="22"/>
      <c r="P417" s="20"/>
      <c r="Q417" s="19"/>
      <c r="R417" s="22"/>
      <c r="S417" s="22"/>
      <c r="T417" s="47">
        <v>0.56</v>
      </c>
      <c r="U417" s="20" t="s">
        <v>4318</v>
      </c>
      <c r="V417" s="22"/>
    </row>
    <row r="418" customHeight="1" spans="1:22">
      <c r="A418" s="19">
        <f t="shared" si="7"/>
        <v>59</v>
      </c>
      <c r="B418" s="20" t="s">
        <v>4677</v>
      </c>
      <c r="C418" s="22"/>
      <c r="D418" s="20" t="s">
        <v>4678</v>
      </c>
      <c r="E418" s="20" t="s">
        <v>451</v>
      </c>
      <c r="F418" s="20" t="s">
        <v>4679</v>
      </c>
      <c r="G418" s="101" t="e">
        <f>VLOOKUP(F418,'01. TH'!$B:$E,3,0)</f>
        <v>#N/A</v>
      </c>
      <c r="H418" s="49" t="s">
        <v>1348</v>
      </c>
      <c r="I418" s="19" t="s">
        <v>4680</v>
      </c>
      <c r="J418" s="20"/>
      <c r="K418" s="19" t="s">
        <v>1839</v>
      </c>
      <c r="L418" s="20"/>
      <c r="M418" s="22"/>
      <c r="N418" s="20" t="s">
        <v>3611</v>
      </c>
      <c r="O418" s="22"/>
      <c r="P418" s="20" t="s">
        <v>3613</v>
      </c>
      <c r="Q418" s="19">
        <v>2025</v>
      </c>
      <c r="R418" s="22" t="s">
        <v>3639</v>
      </c>
      <c r="S418" s="22"/>
      <c r="T418" s="321"/>
      <c r="U418" s="22"/>
      <c r="V418" s="22"/>
    </row>
    <row r="419" customHeight="1" spans="1:22">
      <c r="A419" s="19">
        <f t="shared" si="7"/>
        <v>60</v>
      </c>
      <c r="B419" s="20" t="s">
        <v>4681</v>
      </c>
      <c r="C419" s="22"/>
      <c r="D419" s="20" t="s">
        <v>4682</v>
      </c>
      <c r="E419" s="20" t="s">
        <v>451</v>
      </c>
      <c r="F419" s="20" t="s">
        <v>4679</v>
      </c>
      <c r="G419" s="101" t="e">
        <f>VLOOKUP(F419,'01. TH'!$B:$E,3,0)</f>
        <v>#N/A</v>
      </c>
      <c r="H419" s="49" t="s">
        <v>1348</v>
      </c>
      <c r="I419" s="19" t="s">
        <v>4680</v>
      </c>
      <c r="J419" s="20"/>
      <c r="K419" s="19" t="s">
        <v>1839</v>
      </c>
      <c r="L419" s="20"/>
      <c r="M419" s="22"/>
      <c r="N419" s="20" t="s">
        <v>3611</v>
      </c>
      <c r="O419" s="22"/>
      <c r="P419" s="20" t="s">
        <v>3613</v>
      </c>
      <c r="Q419" s="19">
        <v>2025</v>
      </c>
      <c r="R419" s="22" t="s">
        <v>3639</v>
      </c>
      <c r="S419" s="22"/>
      <c r="T419" s="321"/>
      <c r="U419" s="22"/>
      <c r="V419" s="22"/>
    </row>
    <row r="420" customHeight="1" spans="1:22">
      <c r="A420" s="19">
        <f t="shared" si="7"/>
        <v>61</v>
      </c>
      <c r="B420" s="20" t="s">
        <v>4683</v>
      </c>
      <c r="C420" s="22"/>
      <c r="D420" s="20" t="s">
        <v>4684</v>
      </c>
      <c r="E420" s="20" t="s">
        <v>451</v>
      </c>
      <c r="F420" s="20" t="s">
        <v>4679</v>
      </c>
      <c r="G420" s="101" t="e">
        <f>VLOOKUP(F420,'01. TH'!$B:$E,3,0)</f>
        <v>#N/A</v>
      </c>
      <c r="H420" s="49" t="s">
        <v>1348</v>
      </c>
      <c r="I420" s="19" t="s">
        <v>4680</v>
      </c>
      <c r="J420" s="20"/>
      <c r="K420" s="19" t="s">
        <v>1839</v>
      </c>
      <c r="L420" s="20"/>
      <c r="M420" s="22"/>
      <c r="N420" s="20" t="s">
        <v>3611</v>
      </c>
      <c r="O420" s="22"/>
      <c r="P420" s="20" t="s">
        <v>3613</v>
      </c>
      <c r="Q420" s="19">
        <v>2025</v>
      </c>
      <c r="R420" s="22" t="s">
        <v>3639</v>
      </c>
      <c r="S420" s="22"/>
      <c r="T420" s="321"/>
      <c r="U420" s="22"/>
      <c r="V420" s="22"/>
    </row>
    <row r="421" customHeight="1" spans="1:22">
      <c r="A421" s="19">
        <f t="shared" si="7"/>
        <v>62</v>
      </c>
      <c r="B421" s="20" t="s">
        <v>4685</v>
      </c>
      <c r="C421" s="22"/>
      <c r="D421" s="20" t="s">
        <v>4686</v>
      </c>
      <c r="E421" s="20" t="s">
        <v>451</v>
      </c>
      <c r="F421" s="20" t="s">
        <v>4679</v>
      </c>
      <c r="G421" s="101" t="e">
        <f>VLOOKUP(F421,'01. TH'!$B:$E,3,0)</f>
        <v>#N/A</v>
      </c>
      <c r="H421" s="49" t="s">
        <v>1348</v>
      </c>
      <c r="I421" s="19" t="s">
        <v>4680</v>
      </c>
      <c r="J421" s="20"/>
      <c r="K421" s="19" t="s">
        <v>1839</v>
      </c>
      <c r="L421" s="20"/>
      <c r="M421" s="22"/>
      <c r="N421" s="20" t="s">
        <v>3611</v>
      </c>
      <c r="O421" s="22"/>
      <c r="P421" s="20" t="s">
        <v>3613</v>
      </c>
      <c r="Q421" s="19">
        <v>2025</v>
      </c>
      <c r="R421" s="22" t="s">
        <v>3639</v>
      </c>
      <c r="S421" s="22"/>
      <c r="T421" s="321"/>
      <c r="U421" s="22"/>
      <c r="V421" s="22"/>
    </row>
    <row r="422" customHeight="1" spans="1:22">
      <c r="A422" s="19">
        <f t="shared" si="7"/>
        <v>63</v>
      </c>
      <c r="B422" s="20" t="s">
        <v>4687</v>
      </c>
      <c r="C422" s="22" t="s">
        <v>4688</v>
      </c>
      <c r="D422" s="20" t="s">
        <v>4689</v>
      </c>
      <c r="E422" s="20" t="s">
        <v>451</v>
      </c>
      <c r="F422" s="20" t="s">
        <v>4690</v>
      </c>
      <c r="G422" s="101" t="e">
        <f>VLOOKUP(F422,'01. TH'!$B:$E,3,0)</f>
        <v>#N/A</v>
      </c>
      <c r="H422" s="49" t="s">
        <v>1348</v>
      </c>
      <c r="I422" s="19" t="s">
        <v>4691</v>
      </c>
      <c r="J422" s="20"/>
      <c r="K422" s="19" t="s">
        <v>1839</v>
      </c>
      <c r="L422" s="20" t="s">
        <v>4692</v>
      </c>
      <c r="M422" s="22"/>
      <c r="N422" s="20" t="s">
        <v>4693</v>
      </c>
      <c r="O422" s="22" t="s">
        <v>4694</v>
      </c>
      <c r="P422" s="20" t="s">
        <v>3144</v>
      </c>
      <c r="Q422" s="19"/>
      <c r="R422" s="22"/>
      <c r="S422" s="22" t="s">
        <v>4694</v>
      </c>
      <c r="T422" s="47"/>
      <c r="U422" s="20"/>
      <c r="V422" s="20"/>
    </row>
    <row r="423" customHeight="1" spans="1:22">
      <c r="A423" s="19"/>
      <c r="B423" s="20"/>
      <c r="C423" s="22" t="s">
        <v>4695</v>
      </c>
      <c r="D423" s="20"/>
      <c r="E423" s="20"/>
      <c r="F423" s="20"/>
      <c r="G423" s="101" t="e">
        <f>VLOOKUP(F423,'01. TH'!$B:$E,3,0)</f>
        <v>#N/A</v>
      </c>
      <c r="H423" s="49"/>
      <c r="I423" s="19"/>
      <c r="J423" s="20"/>
      <c r="K423" s="19"/>
      <c r="L423" s="20"/>
      <c r="M423" s="22"/>
      <c r="N423" s="20"/>
      <c r="O423" s="22"/>
      <c r="P423" s="20"/>
      <c r="Q423" s="19"/>
      <c r="R423" s="22"/>
      <c r="S423" s="22"/>
      <c r="T423" s="321"/>
      <c r="U423" s="22"/>
      <c r="V423" s="22"/>
    </row>
    <row r="424" customHeight="1" spans="1:22">
      <c r="A424" s="14" t="s">
        <v>1466</v>
      </c>
      <c r="B424" s="15" t="s">
        <v>4696</v>
      </c>
      <c r="C424" s="14">
        <f>COUNTA($B$425:$B$469)</f>
        <v>44</v>
      </c>
      <c r="D424" s="17"/>
      <c r="E424" s="17"/>
      <c r="F424" s="17"/>
      <c r="G424" s="18"/>
      <c r="H424" s="18"/>
      <c r="I424" s="14"/>
      <c r="J424" s="15"/>
      <c r="K424" s="14"/>
      <c r="L424" s="17"/>
      <c r="M424" s="16"/>
      <c r="N424" s="17"/>
      <c r="O424" s="16"/>
      <c r="P424" s="17"/>
      <c r="Q424" s="18"/>
      <c r="R424" s="16"/>
      <c r="S424" s="16"/>
      <c r="T424" s="786"/>
      <c r="U424" s="17"/>
      <c r="V424" s="17"/>
    </row>
    <row r="425" customHeight="1" spans="1:22">
      <c r="A425" s="19">
        <v>1</v>
      </c>
      <c r="B425" s="20" t="s">
        <v>4697</v>
      </c>
      <c r="C425" s="22"/>
      <c r="D425" s="20" t="s">
        <v>4698</v>
      </c>
      <c r="E425" s="20" t="s">
        <v>451</v>
      </c>
      <c r="F425" s="20" t="s">
        <v>4699</v>
      </c>
      <c r="G425" s="101" t="e">
        <f>VLOOKUP(F425,'01. TH'!$B:$E,3,0)</f>
        <v>#N/A</v>
      </c>
      <c r="H425" s="19" t="s">
        <v>25</v>
      </c>
      <c r="I425" s="773">
        <v>45419</v>
      </c>
      <c r="J425" s="20"/>
      <c r="K425" s="19" t="s">
        <v>1839</v>
      </c>
      <c r="L425" s="20" t="s">
        <v>4700</v>
      </c>
      <c r="M425" s="22"/>
      <c r="N425" s="25" t="s">
        <v>590</v>
      </c>
      <c r="O425" s="22" t="s">
        <v>4701</v>
      </c>
      <c r="P425" s="25" t="s">
        <v>590</v>
      </c>
      <c r="Q425" s="19">
        <v>2014</v>
      </c>
      <c r="R425" s="22" t="s">
        <v>4702</v>
      </c>
      <c r="S425" s="22">
        <v>14163379</v>
      </c>
      <c r="T425" s="47"/>
      <c r="U425" s="20"/>
      <c r="V425" s="20"/>
    </row>
    <row r="426" customHeight="1" spans="1:22">
      <c r="A426" s="19">
        <f t="shared" ref="A426:A468" si="8">A425+1</f>
        <v>2</v>
      </c>
      <c r="B426" s="20" t="s">
        <v>4703</v>
      </c>
      <c r="C426" s="39"/>
      <c r="D426" s="20" t="s">
        <v>4704</v>
      </c>
      <c r="E426" s="20" t="s">
        <v>451</v>
      </c>
      <c r="F426" s="20" t="s">
        <v>4705</v>
      </c>
      <c r="G426" s="101" t="e">
        <f>VLOOKUP(F426,'01. TH'!$B:$E,3,0)</f>
        <v>#N/A</v>
      </c>
      <c r="H426" s="19" t="s">
        <v>25</v>
      </c>
      <c r="I426" s="58">
        <v>45332</v>
      </c>
      <c r="J426" s="20"/>
      <c r="K426" s="19" t="s">
        <v>1839</v>
      </c>
      <c r="L426" s="20" t="s">
        <v>4706</v>
      </c>
      <c r="M426" s="22"/>
      <c r="N426" s="20" t="s">
        <v>3611</v>
      </c>
      <c r="O426" s="22" t="s">
        <v>4707</v>
      </c>
      <c r="P426" s="20" t="s">
        <v>3613</v>
      </c>
      <c r="Q426" s="19">
        <v>2024</v>
      </c>
      <c r="R426" s="22" t="s">
        <v>4708</v>
      </c>
      <c r="S426" s="22"/>
      <c r="T426" s="47"/>
      <c r="U426" s="20"/>
      <c r="V426" s="20"/>
    </row>
    <row r="427" customHeight="1" spans="1:22">
      <c r="A427" s="19">
        <f t="shared" si="8"/>
        <v>3</v>
      </c>
      <c r="B427" s="20" t="s">
        <v>4709</v>
      </c>
      <c r="C427" s="39"/>
      <c r="D427" s="20" t="s">
        <v>4710</v>
      </c>
      <c r="E427" s="20" t="s">
        <v>451</v>
      </c>
      <c r="F427" s="20" t="s">
        <v>4711</v>
      </c>
      <c r="G427" s="101" t="e">
        <f>VLOOKUP(F427,'01. TH'!$B:$E,3,0)</f>
        <v>#N/A</v>
      </c>
      <c r="H427" s="19" t="s">
        <v>25</v>
      </c>
      <c r="I427" s="58">
        <v>45363</v>
      </c>
      <c r="J427" s="20"/>
      <c r="K427" s="19" t="s">
        <v>1839</v>
      </c>
      <c r="L427" s="20"/>
      <c r="M427" s="22"/>
      <c r="N427" s="20" t="s">
        <v>4712</v>
      </c>
      <c r="O427" s="22" t="s">
        <v>4713</v>
      </c>
      <c r="P427" s="25" t="s">
        <v>590</v>
      </c>
      <c r="Q427" s="19">
        <v>2023</v>
      </c>
      <c r="R427" s="22"/>
      <c r="S427" s="22"/>
      <c r="T427" s="47">
        <v>0.3</v>
      </c>
      <c r="U427" s="20" t="s">
        <v>4714</v>
      </c>
      <c r="V427" s="20"/>
    </row>
    <row r="428" customHeight="1" spans="1:22">
      <c r="A428" s="19">
        <f t="shared" si="8"/>
        <v>4</v>
      </c>
      <c r="B428" s="20" t="s">
        <v>4715</v>
      </c>
      <c r="C428" s="22" t="s">
        <v>4716</v>
      </c>
      <c r="D428" s="20" t="s">
        <v>4717</v>
      </c>
      <c r="E428" s="20" t="s">
        <v>451</v>
      </c>
      <c r="F428" s="20" t="s">
        <v>401</v>
      </c>
      <c r="G428" s="101" t="str">
        <f>VLOOKUP(F428,'01. TH'!$B:$E,3,0)</f>
        <v>1x1x1</v>
      </c>
      <c r="H428" s="19" t="s">
        <v>25</v>
      </c>
      <c r="I428" s="19" t="s">
        <v>764</v>
      </c>
      <c r="J428" s="20"/>
      <c r="K428" s="19" t="s">
        <v>1839</v>
      </c>
      <c r="L428" s="20" t="s">
        <v>4718</v>
      </c>
      <c r="M428" s="22"/>
      <c r="N428" s="20" t="s">
        <v>3611</v>
      </c>
      <c r="O428" s="22"/>
      <c r="P428" s="20" t="s">
        <v>3613</v>
      </c>
      <c r="Q428" s="19"/>
      <c r="R428" s="22"/>
      <c r="S428" s="22"/>
      <c r="T428" s="47"/>
      <c r="U428" s="20"/>
      <c r="V428" s="20"/>
    </row>
    <row r="429" customHeight="1" spans="1:22">
      <c r="A429" s="19">
        <f t="shared" si="8"/>
        <v>5</v>
      </c>
      <c r="B429" s="20" t="s">
        <v>4719</v>
      </c>
      <c r="C429" s="22" t="s">
        <v>4720</v>
      </c>
      <c r="D429" s="20" t="s">
        <v>4721</v>
      </c>
      <c r="E429" s="20" t="s">
        <v>451</v>
      </c>
      <c r="F429" s="20" t="s">
        <v>401</v>
      </c>
      <c r="G429" s="101" t="str">
        <f>VLOOKUP(F429,'01. TH'!$B:$E,3,0)</f>
        <v>1x1x1</v>
      </c>
      <c r="H429" s="19" t="s">
        <v>25</v>
      </c>
      <c r="I429" s="19" t="s">
        <v>4722</v>
      </c>
      <c r="J429" s="20"/>
      <c r="K429" s="19" t="s">
        <v>1839</v>
      </c>
      <c r="L429" s="20" t="s">
        <v>4723</v>
      </c>
      <c r="M429" s="22"/>
      <c r="N429" s="20" t="s">
        <v>3611</v>
      </c>
      <c r="O429" s="22"/>
      <c r="P429" s="20" t="s">
        <v>3613</v>
      </c>
      <c r="Q429" s="19"/>
      <c r="R429" s="22"/>
      <c r="S429" s="22"/>
      <c r="T429" s="47"/>
      <c r="U429" s="20"/>
      <c r="V429" s="20"/>
    </row>
    <row r="430" customHeight="1" spans="1:22">
      <c r="A430" s="19">
        <f t="shared" si="8"/>
        <v>6</v>
      </c>
      <c r="B430" s="20" t="s">
        <v>4724</v>
      </c>
      <c r="C430" s="39" t="s">
        <v>4725</v>
      </c>
      <c r="D430" s="20" t="s">
        <v>4726</v>
      </c>
      <c r="E430" s="20" t="s">
        <v>451</v>
      </c>
      <c r="F430" s="20" t="s">
        <v>401</v>
      </c>
      <c r="G430" s="101" t="str">
        <f>VLOOKUP(F430,'01. TH'!$B:$E,3,0)</f>
        <v>1x1x1</v>
      </c>
      <c r="H430" s="19" t="s">
        <v>25</v>
      </c>
      <c r="I430" s="19" t="s">
        <v>4727</v>
      </c>
      <c r="J430" s="20"/>
      <c r="K430" s="19" t="s">
        <v>1839</v>
      </c>
      <c r="L430" s="20" t="s">
        <v>4728</v>
      </c>
      <c r="M430" s="22"/>
      <c r="N430" s="20" t="s">
        <v>3611</v>
      </c>
      <c r="O430" s="22"/>
      <c r="P430" s="20" t="s">
        <v>3613</v>
      </c>
      <c r="Q430" s="19"/>
      <c r="R430" s="22"/>
      <c r="S430" s="22" t="s">
        <v>4729</v>
      </c>
      <c r="T430" s="47"/>
      <c r="U430" s="20"/>
      <c r="V430" s="20"/>
    </row>
    <row r="431" customHeight="1" spans="1:22">
      <c r="A431" s="19">
        <f t="shared" si="8"/>
        <v>7</v>
      </c>
      <c r="B431" s="20" t="s">
        <v>4730</v>
      </c>
      <c r="C431" s="39"/>
      <c r="D431" s="20" t="s">
        <v>4731</v>
      </c>
      <c r="E431" s="20" t="s">
        <v>451</v>
      </c>
      <c r="F431" s="20" t="s">
        <v>385</v>
      </c>
      <c r="G431" s="101" t="str">
        <f>VLOOKUP(F431,'01. TH'!$B:$E,3,0)</f>
        <v>4000 x 2400 x 1500</v>
      </c>
      <c r="H431" s="19" t="s">
        <v>25</v>
      </c>
      <c r="I431" s="58">
        <v>45359</v>
      </c>
      <c r="J431" s="20"/>
      <c r="K431" s="19" t="s">
        <v>1839</v>
      </c>
      <c r="L431" s="20" t="s">
        <v>4732</v>
      </c>
      <c r="M431" s="22"/>
      <c r="N431" s="20" t="s">
        <v>3611</v>
      </c>
      <c r="O431" s="22"/>
      <c r="P431" s="20" t="s">
        <v>3613</v>
      </c>
      <c r="Q431" s="19"/>
      <c r="R431" s="22" t="s">
        <v>4733</v>
      </c>
      <c r="S431" s="22"/>
      <c r="T431" s="47"/>
      <c r="U431" s="20"/>
      <c r="V431" s="20"/>
    </row>
    <row r="432" customHeight="1" spans="1:22">
      <c r="A432" s="19">
        <f t="shared" si="8"/>
        <v>8</v>
      </c>
      <c r="B432" s="20" t="s">
        <v>4734</v>
      </c>
      <c r="C432" s="22" t="s">
        <v>4735</v>
      </c>
      <c r="D432" s="20"/>
      <c r="E432" s="20" t="s">
        <v>451</v>
      </c>
      <c r="F432" s="20" t="s">
        <v>4609</v>
      </c>
      <c r="G432" s="101" t="e">
        <f>VLOOKUP(F432,'01. TH'!$B:$E,3,0)</f>
        <v>#N/A</v>
      </c>
      <c r="H432" s="19" t="s">
        <v>25</v>
      </c>
      <c r="I432" s="19" t="s">
        <v>4727</v>
      </c>
      <c r="J432" s="20"/>
      <c r="K432" s="19" t="s">
        <v>1839</v>
      </c>
      <c r="L432" s="20" t="s">
        <v>4728</v>
      </c>
      <c r="M432" s="22" t="s">
        <v>4736</v>
      </c>
      <c r="N432" s="20" t="s">
        <v>3611</v>
      </c>
      <c r="O432" s="21"/>
      <c r="P432" s="20" t="s">
        <v>3613</v>
      </c>
      <c r="Q432" s="19"/>
      <c r="R432" s="22" t="s">
        <v>4737</v>
      </c>
      <c r="S432" s="22"/>
      <c r="T432" s="47"/>
      <c r="U432" s="20"/>
      <c r="V432" s="20"/>
    </row>
    <row r="433" customHeight="1" spans="1:22">
      <c r="A433" s="19">
        <f t="shared" si="8"/>
        <v>9</v>
      </c>
      <c r="B433" s="20" t="s">
        <v>4738</v>
      </c>
      <c r="C433" s="20" t="s">
        <v>4739</v>
      </c>
      <c r="D433" s="20" t="s">
        <v>4740</v>
      </c>
      <c r="E433" s="20" t="s">
        <v>451</v>
      </c>
      <c r="F433" s="20" t="s">
        <v>411</v>
      </c>
      <c r="G433" s="101">
        <f>VLOOKUP(F433,'01. TH'!$B:$E,3,0)</f>
        <v>0</v>
      </c>
      <c r="H433" s="19" t="s">
        <v>25</v>
      </c>
      <c r="I433" s="19" t="s">
        <v>4741</v>
      </c>
      <c r="J433" s="20"/>
      <c r="K433" s="19" t="s">
        <v>1839</v>
      </c>
      <c r="L433" s="20" t="s">
        <v>4742</v>
      </c>
      <c r="M433" s="22"/>
      <c r="N433" s="20" t="s">
        <v>3611</v>
      </c>
      <c r="O433" s="22"/>
      <c r="P433" s="20" t="s">
        <v>3613</v>
      </c>
      <c r="Q433" s="19"/>
      <c r="R433" s="22"/>
      <c r="S433" s="22"/>
      <c r="T433" s="47"/>
      <c r="U433" s="20"/>
      <c r="V433" s="20"/>
    </row>
    <row r="434" customHeight="1" spans="1:22">
      <c r="A434" s="19">
        <f t="shared" si="8"/>
        <v>10</v>
      </c>
      <c r="B434" s="20" t="s">
        <v>4743</v>
      </c>
      <c r="C434" s="22" t="s">
        <v>4744</v>
      </c>
      <c r="D434" s="20" t="s">
        <v>4745</v>
      </c>
      <c r="E434" s="20" t="s">
        <v>451</v>
      </c>
      <c r="F434" s="20" t="s">
        <v>408</v>
      </c>
      <c r="G434" s="101" t="str">
        <f>VLOOKUP(F434,'01. TH'!$B:$E,3,0)</f>
        <v>6.1x2.4x0.9</v>
      </c>
      <c r="H434" s="19" t="s">
        <v>1471</v>
      </c>
      <c r="I434" s="19" t="s">
        <v>4746</v>
      </c>
      <c r="J434" s="20"/>
      <c r="K434" s="19" t="s">
        <v>1839</v>
      </c>
      <c r="L434" s="20" t="s">
        <v>4747</v>
      </c>
      <c r="M434" s="22"/>
      <c r="N434" s="20" t="s">
        <v>3611</v>
      </c>
      <c r="O434" s="22"/>
      <c r="P434" s="20" t="s">
        <v>3613</v>
      </c>
      <c r="Q434" s="19"/>
      <c r="R434" s="22"/>
      <c r="S434" s="22"/>
      <c r="T434" s="47"/>
      <c r="U434" s="20"/>
      <c r="V434" s="20"/>
    </row>
    <row r="435" customHeight="1" spans="1:22">
      <c r="A435" s="19">
        <f t="shared" si="8"/>
        <v>11</v>
      </c>
      <c r="B435" s="20" t="s">
        <v>4748</v>
      </c>
      <c r="C435" s="39"/>
      <c r="D435" s="20" t="s">
        <v>4749</v>
      </c>
      <c r="E435" s="20" t="s">
        <v>451</v>
      </c>
      <c r="F435" s="20" t="s">
        <v>305</v>
      </c>
      <c r="G435" s="101" t="str">
        <f>VLOOKUP(F435,'01. TH'!$B:$E,3,0)</f>
        <v> 1590mm x 1300mm</v>
      </c>
      <c r="H435" s="19" t="s">
        <v>25</v>
      </c>
      <c r="I435" s="19" t="s">
        <v>4750</v>
      </c>
      <c r="J435" s="20"/>
      <c r="K435" s="19" t="s">
        <v>1839</v>
      </c>
      <c r="L435" s="20" t="s">
        <v>4732</v>
      </c>
      <c r="M435" s="22"/>
      <c r="N435" s="20" t="s">
        <v>3611</v>
      </c>
      <c r="O435" s="22" t="s">
        <v>4751</v>
      </c>
      <c r="P435" s="20" t="s">
        <v>3613</v>
      </c>
      <c r="Q435" s="19">
        <v>2024</v>
      </c>
      <c r="R435" s="22" t="s">
        <v>4752</v>
      </c>
      <c r="S435" s="22"/>
      <c r="T435" s="47"/>
      <c r="U435" s="20"/>
      <c r="V435" s="20"/>
    </row>
    <row r="436" customHeight="1" spans="1:22">
      <c r="A436" s="19">
        <f t="shared" si="8"/>
        <v>12</v>
      </c>
      <c r="B436" s="20" t="s">
        <v>4753</v>
      </c>
      <c r="C436" s="22"/>
      <c r="D436" s="20" t="s">
        <v>4754</v>
      </c>
      <c r="E436" s="20" t="s">
        <v>451</v>
      </c>
      <c r="F436" s="20" t="s">
        <v>410</v>
      </c>
      <c r="G436" s="101">
        <f>VLOOKUP(F436,'01. TH'!$B:$E,3,0)</f>
        <v>0</v>
      </c>
      <c r="H436" s="19" t="s">
        <v>25</v>
      </c>
      <c r="I436" s="19" t="s">
        <v>764</v>
      </c>
      <c r="J436" s="20"/>
      <c r="K436" s="19" t="s">
        <v>1839</v>
      </c>
      <c r="L436" s="20" t="s">
        <v>4718</v>
      </c>
      <c r="M436" s="22"/>
      <c r="N436" s="20" t="s">
        <v>3611</v>
      </c>
      <c r="O436" s="22"/>
      <c r="P436" s="20" t="s">
        <v>3613</v>
      </c>
      <c r="Q436" s="19"/>
      <c r="R436" s="22"/>
      <c r="S436" s="22"/>
      <c r="T436" s="47"/>
      <c r="U436" s="20"/>
      <c r="V436" s="20"/>
    </row>
    <row r="437" customHeight="1" spans="1:22">
      <c r="A437" s="19">
        <f t="shared" si="8"/>
        <v>13</v>
      </c>
      <c r="B437" s="20" t="s">
        <v>4755</v>
      </c>
      <c r="C437" s="20" t="s">
        <v>4756</v>
      </c>
      <c r="D437" s="20" t="s">
        <v>4757</v>
      </c>
      <c r="E437" s="20" t="s">
        <v>451</v>
      </c>
      <c r="F437" s="20" t="s">
        <v>410</v>
      </c>
      <c r="G437" s="101">
        <f>VLOOKUP(F437,'01. TH'!$B:$E,3,0)</f>
        <v>0</v>
      </c>
      <c r="H437" s="19" t="s">
        <v>25</v>
      </c>
      <c r="I437" s="19" t="s">
        <v>4758</v>
      </c>
      <c r="J437" s="20"/>
      <c r="K437" s="19" t="s">
        <v>1839</v>
      </c>
      <c r="L437" s="20" t="s">
        <v>4759</v>
      </c>
      <c r="M437" s="22"/>
      <c r="N437" s="20" t="s">
        <v>3611</v>
      </c>
      <c r="O437" s="22"/>
      <c r="P437" s="20" t="s">
        <v>3613</v>
      </c>
      <c r="Q437" s="19"/>
      <c r="R437" s="22"/>
      <c r="S437" s="22"/>
      <c r="T437" s="47"/>
      <c r="U437" s="20"/>
      <c r="V437" s="20"/>
    </row>
    <row r="438" customHeight="1" spans="1:22">
      <c r="A438" s="19">
        <f t="shared" si="8"/>
        <v>14</v>
      </c>
      <c r="B438" s="20" t="s">
        <v>4760</v>
      </c>
      <c r="C438" s="20" t="s">
        <v>4761</v>
      </c>
      <c r="D438" s="20" t="s">
        <v>4762</v>
      </c>
      <c r="E438" s="20" t="s">
        <v>451</v>
      </c>
      <c r="F438" s="20" t="s">
        <v>410</v>
      </c>
      <c r="G438" s="101">
        <f>VLOOKUP(F438,'01. TH'!$B:$E,3,0)</f>
        <v>0</v>
      </c>
      <c r="H438" s="19" t="s">
        <v>25</v>
      </c>
      <c r="I438" s="19" t="s">
        <v>4758</v>
      </c>
      <c r="J438" s="20"/>
      <c r="K438" s="19" t="s">
        <v>1839</v>
      </c>
      <c r="L438" s="20" t="s">
        <v>4759</v>
      </c>
      <c r="M438" s="22"/>
      <c r="N438" s="20" t="s">
        <v>3611</v>
      </c>
      <c r="O438" s="22"/>
      <c r="P438" s="20" t="s">
        <v>3613</v>
      </c>
      <c r="Q438" s="19"/>
      <c r="R438" s="22"/>
      <c r="S438" s="22"/>
      <c r="T438" s="47"/>
      <c r="U438" s="20"/>
      <c r="V438" s="20"/>
    </row>
    <row r="439" customHeight="1" spans="1:22">
      <c r="A439" s="19">
        <f t="shared" si="8"/>
        <v>15</v>
      </c>
      <c r="B439" s="20" t="s">
        <v>4763</v>
      </c>
      <c r="C439" s="20" t="s">
        <v>4764</v>
      </c>
      <c r="D439" s="20" t="s">
        <v>4765</v>
      </c>
      <c r="E439" s="20" t="s">
        <v>451</v>
      </c>
      <c r="F439" s="20" t="s">
        <v>410</v>
      </c>
      <c r="G439" s="101">
        <f>VLOOKUP(F439,'01. TH'!$B:$E,3,0)</f>
        <v>0</v>
      </c>
      <c r="H439" s="19" t="s">
        <v>25</v>
      </c>
      <c r="I439" s="19" t="s">
        <v>4758</v>
      </c>
      <c r="J439" s="20"/>
      <c r="K439" s="19" t="s">
        <v>1839</v>
      </c>
      <c r="L439" s="20" t="s">
        <v>4759</v>
      </c>
      <c r="M439" s="22"/>
      <c r="N439" s="20" t="s">
        <v>3611</v>
      </c>
      <c r="O439" s="22"/>
      <c r="P439" s="20" t="s">
        <v>3613</v>
      </c>
      <c r="Q439" s="19"/>
      <c r="R439" s="22"/>
      <c r="S439" s="22"/>
      <c r="T439" s="47"/>
      <c r="U439" s="20"/>
      <c r="V439" s="20"/>
    </row>
    <row r="440" customHeight="1" spans="1:22">
      <c r="A440" s="19">
        <f t="shared" si="8"/>
        <v>16</v>
      </c>
      <c r="B440" s="20" t="s">
        <v>4766</v>
      </c>
      <c r="C440" s="22"/>
      <c r="D440" s="20"/>
      <c r="E440" s="20" t="s">
        <v>451</v>
      </c>
      <c r="F440" s="20" t="s">
        <v>340</v>
      </c>
      <c r="G440" s="101">
        <f>VLOOKUP(F440,'01. TH'!$B:$E,3,0)</f>
        <v>0</v>
      </c>
      <c r="H440" s="19" t="s">
        <v>25</v>
      </c>
      <c r="I440" s="58">
        <v>45332</v>
      </c>
      <c r="J440" s="20"/>
      <c r="K440" s="19" t="s">
        <v>1839</v>
      </c>
      <c r="L440" s="20" t="s">
        <v>4706</v>
      </c>
      <c r="M440" s="22"/>
      <c r="N440" s="20" t="s">
        <v>3611</v>
      </c>
      <c r="O440" s="22" t="s">
        <v>4707</v>
      </c>
      <c r="P440" s="20" t="s">
        <v>3613</v>
      </c>
      <c r="Q440" s="19">
        <v>2024</v>
      </c>
      <c r="R440" s="22" t="s">
        <v>4767</v>
      </c>
      <c r="S440" s="22"/>
      <c r="T440" s="47">
        <v>6.14</v>
      </c>
      <c r="U440" s="20" t="s">
        <v>4768</v>
      </c>
      <c r="V440" s="20"/>
    </row>
    <row r="441" customHeight="1" spans="1:22">
      <c r="A441" s="19">
        <f t="shared" si="8"/>
        <v>17</v>
      </c>
      <c r="B441" s="20" t="s">
        <v>4769</v>
      </c>
      <c r="C441" s="22"/>
      <c r="D441" s="20" t="s">
        <v>4770</v>
      </c>
      <c r="E441" s="20" t="s">
        <v>451</v>
      </c>
      <c r="F441" s="20" t="s">
        <v>4315</v>
      </c>
      <c r="G441" s="101" t="e">
        <f>VLOOKUP(F441,'01. TH'!$B:$E,3,0)</f>
        <v>#N/A</v>
      </c>
      <c r="H441" s="19" t="s">
        <v>25</v>
      </c>
      <c r="I441" s="19" t="s">
        <v>4771</v>
      </c>
      <c r="J441" s="20"/>
      <c r="K441" s="19" t="s">
        <v>1839</v>
      </c>
      <c r="L441" s="20" t="s">
        <v>4706</v>
      </c>
      <c r="M441" s="22"/>
      <c r="N441" s="20" t="s">
        <v>3611</v>
      </c>
      <c r="O441" s="22" t="s">
        <v>4317</v>
      </c>
      <c r="P441" s="20" t="s">
        <v>3613</v>
      </c>
      <c r="Q441" s="19">
        <v>2025</v>
      </c>
      <c r="R441" s="22" t="s">
        <v>4323</v>
      </c>
      <c r="S441" s="22" t="s">
        <v>4772</v>
      </c>
      <c r="T441" s="47">
        <v>0.56</v>
      </c>
      <c r="U441" s="20" t="s">
        <v>4318</v>
      </c>
      <c r="V441" s="20"/>
    </row>
    <row r="442" customHeight="1" spans="1:22">
      <c r="A442" s="19">
        <f t="shared" si="8"/>
        <v>18</v>
      </c>
      <c r="B442" s="20" t="s">
        <v>4773</v>
      </c>
      <c r="C442" s="22"/>
      <c r="D442" s="20" t="s">
        <v>4774</v>
      </c>
      <c r="E442" s="20" t="s">
        <v>451</v>
      </c>
      <c r="F442" s="20" t="s">
        <v>4315</v>
      </c>
      <c r="G442" s="101" t="e">
        <f>VLOOKUP(F442,'01. TH'!$B:$E,3,0)</f>
        <v>#N/A</v>
      </c>
      <c r="H442" s="19" t="s">
        <v>25</v>
      </c>
      <c r="I442" s="19" t="s">
        <v>3732</v>
      </c>
      <c r="J442" s="20"/>
      <c r="K442" s="19" t="s">
        <v>1263</v>
      </c>
      <c r="L442" s="20" t="s">
        <v>4706</v>
      </c>
      <c r="M442" s="22"/>
      <c r="N442" s="20" t="s">
        <v>3611</v>
      </c>
      <c r="O442" s="22" t="s">
        <v>4317</v>
      </c>
      <c r="P442" s="20" t="s">
        <v>3613</v>
      </c>
      <c r="Q442" s="19">
        <v>2025</v>
      </c>
      <c r="R442" s="22" t="s">
        <v>4323</v>
      </c>
      <c r="S442" s="22" t="s">
        <v>4775</v>
      </c>
      <c r="T442" s="47">
        <v>0.56</v>
      </c>
      <c r="U442" s="20" t="s">
        <v>4318</v>
      </c>
      <c r="V442" s="20"/>
    </row>
    <row r="443" customHeight="1" spans="1:22">
      <c r="A443" s="19">
        <f t="shared" si="8"/>
        <v>19</v>
      </c>
      <c r="B443" s="20" t="s">
        <v>4776</v>
      </c>
      <c r="C443" s="22"/>
      <c r="D443" s="20" t="s">
        <v>4777</v>
      </c>
      <c r="E443" s="20" t="s">
        <v>451</v>
      </c>
      <c r="F443" s="20" t="s">
        <v>4315</v>
      </c>
      <c r="G443" s="101" t="e">
        <f>VLOOKUP(F443,'01. TH'!$B:$E,3,0)</f>
        <v>#N/A</v>
      </c>
      <c r="H443" s="19" t="s">
        <v>25</v>
      </c>
      <c r="I443" s="19" t="s">
        <v>4330</v>
      </c>
      <c r="J443" s="20"/>
      <c r="K443" s="19" t="s">
        <v>1263</v>
      </c>
      <c r="L443" s="20" t="s">
        <v>4706</v>
      </c>
      <c r="M443" s="22"/>
      <c r="N443" s="20" t="s">
        <v>3611</v>
      </c>
      <c r="O443" s="22"/>
      <c r="P443" s="20" t="s">
        <v>3613</v>
      </c>
      <c r="Q443" s="19">
        <v>2025</v>
      </c>
      <c r="R443" s="22"/>
      <c r="S443" s="22"/>
      <c r="T443" s="47">
        <v>0.56</v>
      </c>
      <c r="U443" s="20" t="s">
        <v>4318</v>
      </c>
      <c r="V443" s="20"/>
    </row>
    <row r="444" customHeight="1" spans="1:22">
      <c r="A444" s="19">
        <f t="shared" si="8"/>
        <v>20</v>
      </c>
      <c r="B444" s="20" t="s">
        <v>4778</v>
      </c>
      <c r="C444" s="22"/>
      <c r="D444" s="20" t="s">
        <v>4779</v>
      </c>
      <c r="E444" s="20" t="s">
        <v>451</v>
      </c>
      <c r="F444" s="20" t="s">
        <v>4315</v>
      </c>
      <c r="G444" s="101" t="e">
        <f>VLOOKUP(F444,'01. TH'!$B:$E,3,0)</f>
        <v>#N/A</v>
      </c>
      <c r="H444" s="19" t="s">
        <v>25</v>
      </c>
      <c r="I444" s="58">
        <v>45725</v>
      </c>
      <c r="J444" s="20"/>
      <c r="K444" s="19" t="s">
        <v>1263</v>
      </c>
      <c r="L444" s="20" t="s">
        <v>4706</v>
      </c>
      <c r="M444" s="22"/>
      <c r="N444" s="20" t="s">
        <v>3611</v>
      </c>
      <c r="O444" s="22" t="s">
        <v>4780</v>
      </c>
      <c r="P444" s="20" t="s">
        <v>3613</v>
      </c>
      <c r="Q444" s="19">
        <v>2025</v>
      </c>
      <c r="R444" s="22"/>
      <c r="S444" s="22">
        <v>16</v>
      </c>
      <c r="T444" s="47">
        <v>0.56</v>
      </c>
      <c r="U444" s="20" t="s">
        <v>4318</v>
      </c>
      <c r="V444" s="38"/>
    </row>
    <row r="445" customHeight="1" spans="1:22">
      <c r="A445" s="19">
        <f t="shared" si="8"/>
        <v>21</v>
      </c>
      <c r="B445" s="20" t="s">
        <v>4781</v>
      </c>
      <c r="C445" s="22"/>
      <c r="D445" s="20" t="s">
        <v>4782</v>
      </c>
      <c r="E445" s="20" t="s">
        <v>451</v>
      </c>
      <c r="F445" s="20" t="s">
        <v>4315</v>
      </c>
      <c r="G445" s="101" t="e">
        <f>VLOOKUP(F445,'01. TH'!$B:$E,3,0)</f>
        <v>#N/A</v>
      </c>
      <c r="H445" s="19" t="s">
        <v>25</v>
      </c>
      <c r="I445" s="58">
        <v>45725</v>
      </c>
      <c r="J445" s="20"/>
      <c r="K445" s="19" t="s">
        <v>1263</v>
      </c>
      <c r="L445" s="20" t="s">
        <v>4706</v>
      </c>
      <c r="M445" s="22"/>
      <c r="N445" s="20" t="s">
        <v>3611</v>
      </c>
      <c r="O445" s="22" t="s">
        <v>4780</v>
      </c>
      <c r="P445" s="20" t="s">
        <v>3613</v>
      </c>
      <c r="Q445" s="19">
        <v>2025</v>
      </c>
      <c r="R445" s="22"/>
      <c r="S445" s="22">
        <v>17</v>
      </c>
      <c r="T445" s="47">
        <v>0.56</v>
      </c>
      <c r="U445" s="20" t="s">
        <v>4318</v>
      </c>
      <c r="V445" s="38"/>
    </row>
    <row r="446" customHeight="1" spans="1:22">
      <c r="A446" s="19">
        <f t="shared" si="8"/>
        <v>22</v>
      </c>
      <c r="B446" s="20" t="s">
        <v>4783</v>
      </c>
      <c r="C446" s="22"/>
      <c r="D446" s="20" t="s">
        <v>4784</v>
      </c>
      <c r="E446" s="20" t="s">
        <v>451</v>
      </c>
      <c r="F446" s="20" t="s">
        <v>4315</v>
      </c>
      <c r="G446" s="101" t="e">
        <f>VLOOKUP(F446,'01. TH'!$B:$E,3,0)</f>
        <v>#N/A</v>
      </c>
      <c r="H446" s="19" t="s">
        <v>25</v>
      </c>
      <c r="I446" s="58">
        <v>45878</v>
      </c>
      <c r="J446" s="20"/>
      <c r="K446" s="19" t="s">
        <v>1263</v>
      </c>
      <c r="L446" s="20" t="s">
        <v>4706</v>
      </c>
      <c r="M446" s="22"/>
      <c r="N446" s="20" t="s">
        <v>3611</v>
      </c>
      <c r="O446" s="22" t="s">
        <v>4785</v>
      </c>
      <c r="P446" s="20" t="s">
        <v>3613</v>
      </c>
      <c r="Q446" s="19">
        <v>2025</v>
      </c>
      <c r="R446" s="22"/>
      <c r="S446" s="22"/>
      <c r="T446" s="47">
        <v>0.56</v>
      </c>
      <c r="U446" s="20" t="s">
        <v>4318</v>
      </c>
      <c r="V446" s="38"/>
    </row>
    <row r="447" customHeight="1" spans="1:22">
      <c r="A447" s="19">
        <f t="shared" si="8"/>
        <v>23</v>
      </c>
      <c r="B447" s="20" t="s">
        <v>4786</v>
      </c>
      <c r="C447" s="22"/>
      <c r="D447" s="20" t="s">
        <v>4787</v>
      </c>
      <c r="E447" s="20" t="s">
        <v>451</v>
      </c>
      <c r="F447" s="20" t="s">
        <v>4315</v>
      </c>
      <c r="G447" s="101" t="e">
        <f>VLOOKUP(F447,'01. TH'!$B:$E,3,0)</f>
        <v>#N/A</v>
      </c>
      <c r="H447" s="19" t="s">
        <v>25</v>
      </c>
      <c r="I447" s="19" t="s">
        <v>4647</v>
      </c>
      <c r="J447" s="20"/>
      <c r="K447" s="19" t="s">
        <v>1263</v>
      </c>
      <c r="L447" s="20" t="s">
        <v>4706</v>
      </c>
      <c r="M447" s="22"/>
      <c r="N447" s="20" t="s">
        <v>3611</v>
      </c>
      <c r="O447" s="22" t="s">
        <v>4788</v>
      </c>
      <c r="P447" s="20" t="s">
        <v>3613</v>
      </c>
      <c r="Q447" s="19">
        <v>2025</v>
      </c>
      <c r="R447" s="22"/>
      <c r="S447" s="22"/>
      <c r="T447" s="47">
        <v>0.56</v>
      </c>
      <c r="U447" s="20" t="s">
        <v>4318</v>
      </c>
      <c r="V447" s="38"/>
    </row>
    <row r="448" customHeight="1" spans="1:22">
      <c r="A448" s="19">
        <f t="shared" si="8"/>
        <v>24</v>
      </c>
      <c r="B448" s="20" t="s">
        <v>4789</v>
      </c>
      <c r="C448" s="22" t="s">
        <v>4341</v>
      </c>
      <c r="D448" s="20" t="s">
        <v>4342</v>
      </c>
      <c r="E448" s="20" t="s">
        <v>451</v>
      </c>
      <c r="F448" s="20" t="s">
        <v>4315</v>
      </c>
      <c r="G448" s="101" t="e">
        <f>VLOOKUP(F448,'01. TH'!$B:$E,3,0)</f>
        <v>#N/A</v>
      </c>
      <c r="H448" s="19" t="s">
        <v>25</v>
      </c>
      <c r="I448" s="58">
        <v>45726</v>
      </c>
      <c r="J448" s="20"/>
      <c r="K448" s="19" t="s">
        <v>1263</v>
      </c>
      <c r="L448" s="20" t="s">
        <v>4790</v>
      </c>
      <c r="M448" s="22"/>
      <c r="N448" s="20" t="s">
        <v>4316</v>
      </c>
      <c r="O448" s="22" t="s">
        <v>4343</v>
      </c>
      <c r="P448" s="20" t="s">
        <v>3613</v>
      </c>
      <c r="Q448" s="19">
        <v>2025</v>
      </c>
      <c r="R448" s="22"/>
      <c r="S448" s="22"/>
      <c r="T448" s="47">
        <v>0.56</v>
      </c>
      <c r="U448" s="20" t="s">
        <v>4318</v>
      </c>
      <c r="V448" s="38"/>
    </row>
    <row r="449" customHeight="1" spans="1:22">
      <c r="A449" s="19">
        <f t="shared" si="8"/>
        <v>25</v>
      </c>
      <c r="B449" s="20" t="s">
        <v>4791</v>
      </c>
      <c r="C449" s="22"/>
      <c r="D449" s="20" t="s">
        <v>4792</v>
      </c>
      <c r="E449" s="20" t="s">
        <v>451</v>
      </c>
      <c r="F449" s="20" t="s">
        <v>4315</v>
      </c>
      <c r="G449" s="101" t="e">
        <f>VLOOKUP(F449,'01. TH'!$B:$E,3,0)</f>
        <v>#N/A</v>
      </c>
      <c r="H449" s="19" t="s">
        <v>25</v>
      </c>
      <c r="I449" s="19" t="s">
        <v>4793</v>
      </c>
      <c r="J449" s="20"/>
      <c r="K449" s="19" t="s">
        <v>1263</v>
      </c>
      <c r="L449" s="20" t="s">
        <v>4706</v>
      </c>
      <c r="M449" s="22"/>
      <c r="N449" s="20" t="s">
        <v>4316</v>
      </c>
      <c r="O449" s="22" t="s">
        <v>4794</v>
      </c>
      <c r="P449" s="20" t="s">
        <v>3613</v>
      </c>
      <c r="Q449" s="19">
        <v>2025</v>
      </c>
      <c r="R449" s="22"/>
      <c r="S449" s="22"/>
      <c r="T449" s="47">
        <v>0.56</v>
      </c>
      <c r="U449" s="20" t="s">
        <v>4318</v>
      </c>
      <c r="V449" s="38"/>
    </row>
    <row r="450" customHeight="1" spans="1:22">
      <c r="A450" s="19">
        <f t="shared" si="8"/>
        <v>26</v>
      </c>
      <c r="B450" s="20" t="s">
        <v>4795</v>
      </c>
      <c r="C450" s="22"/>
      <c r="D450" s="20" t="s">
        <v>4796</v>
      </c>
      <c r="E450" s="20" t="s">
        <v>451</v>
      </c>
      <c r="F450" s="20" t="s">
        <v>4315</v>
      </c>
      <c r="G450" s="101" t="e">
        <f>VLOOKUP(F450,'01. TH'!$B:$E,3,0)</f>
        <v>#N/A</v>
      </c>
      <c r="H450" s="19" t="s">
        <v>25</v>
      </c>
      <c r="I450" s="19" t="s">
        <v>4797</v>
      </c>
      <c r="J450" s="20"/>
      <c r="K450" s="19" t="s">
        <v>1263</v>
      </c>
      <c r="L450" s="20" t="s">
        <v>4706</v>
      </c>
      <c r="M450" s="22"/>
      <c r="N450" s="20" t="s">
        <v>4316</v>
      </c>
      <c r="O450" s="22" t="s">
        <v>4798</v>
      </c>
      <c r="P450" s="20" t="s">
        <v>3613</v>
      </c>
      <c r="Q450" s="19">
        <v>2025</v>
      </c>
      <c r="R450" s="22"/>
      <c r="S450" s="22"/>
      <c r="T450" s="47">
        <v>0.56</v>
      </c>
      <c r="U450" s="20" t="s">
        <v>4318</v>
      </c>
      <c r="V450" s="38"/>
    </row>
    <row r="451" customHeight="1" spans="1:22">
      <c r="A451" s="19">
        <f t="shared" si="8"/>
        <v>27</v>
      </c>
      <c r="B451" s="20" t="s">
        <v>4799</v>
      </c>
      <c r="C451" s="22"/>
      <c r="D451" s="20" t="s">
        <v>4800</v>
      </c>
      <c r="E451" s="20" t="s">
        <v>451</v>
      </c>
      <c r="F451" s="20" t="s">
        <v>4315</v>
      </c>
      <c r="G451" s="101" t="e">
        <f>VLOOKUP(F451,'01. TH'!$B:$E,3,0)</f>
        <v>#N/A</v>
      </c>
      <c r="H451" s="19" t="s">
        <v>25</v>
      </c>
      <c r="I451" s="19" t="s">
        <v>4797</v>
      </c>
      <c r="J451" s="20"/>
      <c r="K451" s="19" t="s">
        <v>1263</v>
      </c>
      <c r="L451" s="20" t="s">
        <v>4706</v>
      </c>
      <c r="M451" s="22"/>
      <c r="N451" s="20" t="s">
        <v>4316</v>
      </c>
      <c r="O451" s="22" t="s">
        <v>4801</v>
      </c>
      <c r="P451" s="20" t="s">
        <v>3613</v>
      </c>
      <c r="Q451" s="19">
        <v>2025</v>
      </c>
      <c r="R451" s="22"/>
      <c r="S451" s="22"/>
      <c r="T451" s="47">
        <v>0.56</v>
      </c>
      <c r="U451" s="20" t="s">
        <v>4318</v>
      </c>
      <c r="V451" s="38"/>
    </row>
    <row r="452" customHeight="1" spans="1:22">
      <c r="A452" s="19">
        <f t="shared" si="8"/>
        <v>28</v>
      </c>
      <c r="B452" s="20" t="s">
        <v>4802</v>
      </c>
      <c r="C452" s="22"/>
      <c r="D452" s="20" t="s">
        <v>4803</v>
      </c>
      <c r="E452" s="20" t="s">
        <v>451</v>
      </c>
      <c r="F452" s="20" t="s">
        <v>4315</v>
      </c>
      <c r="G452" s="101"/>
      <c r="H452" s="19" t="s">
        <v>25</v>
      </c>
      <c r="I452" s="58">
        <v>46329</v>
      </c>
      <c r="J452" s="20"/>
      <c r="K452" s="19" t="s">
        <v>1263</v>
      </c>
      <c r="L452" s="20" t="s">
        <v>4706</v>
      </c>
      <c r="M452" s="22"/>
      <c r="N452" s="20" t="s">
        <v>4316</v>
      </c>
      <c r="O452" s="22" t="s">
        <v>4804</v>
      </c>
      <c r="P452" s="20" t="s">
        <v>3613</v>
      </c>
      <c r="Q452" s="19">
        <v>2025</v>
      </c>
      <c r="R452" s="22"/>
      <c r="S452" s="22"/>
      <c r="T452" s="47">
        <v>0.56</v>
      </c>
      <c r="U452" s="20" t="s">
        <v>4318</v>
      </c>
      <c r="V452" s="38"/>
    </row>
    <row r="453" customHeight="1" spans="1:22">
      <c r="A453" s="19">
        <f t="shared" si="8"/>
        <v>29</v>
      </c>
      <c r="B453" s="20" t="s">
        <v>4805</v>
      </c>
      <c r="C453" s="22"/>
      <c r="D453" s="20" t="s">
        <v>4806</v>
      </c>
      <c r="E453" s="20" t="s">
        <v>451</v>
      </c>
      <c r="F453" s="20" t="s">
        <v>4315</v>
      </c>
      <c r="G453" s="101"/>
      <c r="H453" s="19" t="s">
        <v>25</v>
      </c>
      <c r="I453" s="58">
        <v>46329</v>
      </c>
      <c r="J453" s="20"/>
      <c r="K453" s="19" t="s">
        <v>1263</v>
      </c>
      <c r="L453" s="20" t="s">
        <v>4706</v>
      </c>
      <c r="M453" s="22"/>
      <c r="N453" s="20" t="s">
        <v>4316</v>
      </c>
      <c r="O453" s="22" t="s">
        <v>4807</v>
      </c>
      <c r="P453" s="20" t="s">
        <v>3613</v>
      </c>
      <c r="Q453" s="19">
        <v>2025</v>
      </c>
      <c r="R453" s="22"/>
      <c r="S453" s="22"/>
      <c r="T453" s="47">
        <v>0.56</v>
      </c>
      <c r="U453" s="20" t="s">
        <v>4318</v>
      </c>
      <c r="V453" s="38"/>
    </row>
    <row r="454" customHeight="1" spans="1:22">
      <c r="A454" s="19">
        <f t="shared" si="8"/>
        <v>30</v>
      </c>
      <c r="B454" s="20" t="s">
        <v>4808</v>
      </c>
      <c r="C454" s="22" t="s">
        <v>4809</v>
      </c>
      <c r="D454" s="20" t="s">
        <v>4810</v>
      </c>
      <c r="E454" s="20" t="s">
        <v>451</v>
      </c>
      <c r="F454" s="20" t="s">
        <v>383</v>
      </c>
      <c r="G454" s="101">
        <f>VLOOKUP(F454,'01. TH'!$B:$E,3,0)</f>
        <v>0</v>
      </c>
      <c r="H454" s="19" t="s">
        <v>25</v>
      </c>
      <c r="I454" s="19" t="s">
        <v>4811</v>
      </c>
      <c r="J454" s="20"/>
      <c r="K454" s="19" t="s">
        <v>1263</v>
      </c>
      <c r="L454" s="20" t="s">
        <v>4812</v>
      </c>
      <c r="M454" s="22"/>
      <c r="N454" s="20" t="s">
        <v>2742</v>
      </c>
      <c r="O454" s="22" t="s">
        <v>4249</v>
      </c>
      <c r="P454" s="20" t="s">
        <v>2742</v>
      </c>
      <c r="Q454" s="19"/>
      <c r="R454" s="22"/>
      <c r="S454" s="22"/>
      <c r="T454" s="789">
        <v>8.47</v>
      </c>
      <c r="U454" s="38"/>
      <c r="V454" s="38"/>
    </row>
    <row r="455" customHeight="1" spans="1:22">
      <c r="A455" s="19">
        <f t="shared" si="8"/>
        <v>31</v>
      </c>
      <c r="B455" s="20" t="s">
        <v>4813</v>
      </c>
      <c r="C455" s="22"/>
      <c r="D455" s="20" t="s">
        <v>4814</v>
      </c>
      <c r="E455" s="20" t="s">
        <v>451</v>
      </c>
      <c r="F455" s="20" t="s">
        <v>4679</v>
      </c>
      <c r="G455" s="101" t="e">
        <f>VLOOKUP(F455,'01. TH'!$B:$E,3,0)</f>
        <v>#N/A</v>
      </c>
      <c r="H455" s="19" t="s">
        <v>25</v>
      </c>
      <c r="I455" s="19" t="s">
        <v>4680</v>
      </c>
      <c r="J455" s="20"/>
      <c r="K455" s="19" t="s">
        <v>1263</v>
      </c>
      <c r="L455" s="20" t="s">
        <v>4706</v>
      </c>
      <c r="M455" s="22"/>
      <c r="N455" s="20" t="s">
        <v>3611</v>
      </c>
      <c r="O455" s="22"/>
      <c r="P455" s="20" t="s">
        <v>3613</v>
      </c>
      <c r="Q455" s="19"/>
      <c r="R455" s="22" t="s">
        <v>3639</v>
      </c>
      <c r="S455" s="22"/>
      <c r="T455" s="47"/>
      <c r="U455" s="20"/>
      <c r="V455" s="20"/>
    </row>
    <row r="456" customHeight="1" spans="1:22">
      <c r="A456" s="19">
        <f t="shared" si="8"/>
        <v>32</v>
      </c>
      <c r="B456" s="20" t="s">
        <v>4815</v>
      </c>
      <c r="C456" s="22"/>
      <c r="D456" s="20" t="s">
        <v>4816</v>
      </c>
      <c r="E456" s="20" t="s">
        <v>451</v>
      </c>
      <c r="F456" s="20" t="s">
        <v>4679</v>
      </c>
      <c r="G456" s="101" t="e">
        <f>VLOOKUP(F456,'01. TH'!$B:$E,3,0)</f>
        <v>#N/A</v>
      </c>
      <c r="H456" s="19" t="s">
        <v>25</v>
      </c>
      <c r="I456" s="19" t="s">
        <v>4680</v>
      </c>
      <c r="J456" s="20"/>
      <c r="K456" s="19" t="s">
        <v>1263</v>
      </c>
      <c r="L456" s="20" t="s">
        <v>4706</v>
      </c>
      <c r="M456" s="22"/>
      <c r="N456" s="20" t="s">
        <v>3611</v>
      </c>
      <c r="O456" s="22"/>
      <c r="P456" s="20" t="s">
        <v>3613</v>
      </c>
      <c r="Q456" s="19"/>
      <c r="R456" s="22" t="s">
        <v>3639</v>
      </c>
      <c r="S456" s="22"/>
      <c r="T456" s="47"/>
      <c r="U456" s="20"/>
      <c r="V456" s="20"/>
    </row>
    <row r="457" customHeight="1" spans="1:22">
      <c r="A457" s="19">
        <f t="shared" si="8"/>
        <v>33</v>
      </c>
      <c r="B457" s="20" t="s">
        <v>4817</v>
      </c>
      <c r="C457" s="22"/>
      <c r="D457" s="20" t="s">
        <v>4818</v>
      </c>
      <c r="E457" s="20" t="s">
        <v>451</v>
      </c>
      <c r="F457" s="20" t="s">
        <v>4679</v>
      </c>
      <c r="G457" s="101" t="e">
        <f>VLOOKUP(F457,'01. TH'!$B:$E,3,0)</f>
        <v>#N/A</v>
      </c>
      <c r="H457" s="19" t="s">
        <v>25</v>
      </c>
      <c r="I457" s="58">
        <v>45694</v>
      </c>
      <c r="J457" s="20"/>
      <c r="K457" s="19" t="s">
        <v>1263</v>
      </c>
      <c r="L457" s="20" t="s">
        <v>4706</v>
      </c>
      <c r="M457" s="22"/>
      <c r="N457" s="20" t="s">
        <v>3611</v>
      </c>
      <c r="O457" s="22"/>
      <c r="P457" s="20" t="s">
        <v>3613</v>
      </c>
      <c r="Q457" s="19"/>
      <c r="R457" s="22" t="s">
        <v>3639</v>
      </c>
      <c r="S457" s="22"/>
      <c r="T457" s="47"/>
      <c r="U457" s="20"/>
      <c r="V457" s="20"/>
    </row>
    <row r="458" customHeight="1" spans="1:22">
      <c r="A458" s="19">
        <f t="shared" si="8"/>
        <v>34</v>
      </c>
      <c r="B458" s="20" t="s">
        <v>4819</v>
      </c>
      <c r="C458" s="22"/>
      <c r="D458" s="20" t="s">
        <v>4820</v>
      </c>
      <c r="E458" s="20" t="s">
        <v>451</v>
      </c>
      <c r="F458" s="20" t="s">
        <v>4679</v>
      </c>
      <c r="G458" s="101" t="e">
        <f>VLOOKUP(F458,'01. TH'!$B:$E,3,0)</f>
        <v>#N/A</v>
      </c>
      <c r="H458" s="19" t="s">
        <v>25</v>
      </c>
      <c r="I458" s="58">
        <v>45694</v>
      </c>
      <c r="J458" s="20"/>
      <c r="K458" s="19" t="s">
        <v>1263</v>
      </c>
      <c r="L458" s="20" t="s">
        <v>4706</v>
      </c>
      <c r="M458" s="22"/>
      <c r="N458" s="20" t="s">
        <v>3611</v>
      </c>
      <c r="O458" s="22"/>
      <c r="P458" s="20" t="s">
        <v>3613</v>
      </c>
      <c r="Q458" s="19"/>
      <c r="R458" s="22" t="s">
        <v>3639</v>
      </c>
      <c r="S458" s="22"/>
      <c r="T458" s="47"/>
      <c r="U458" s="20"/>
      <c r="V458" s="20"/>
    </row>
    <row r="459" customHeight="1" spans="1:22">
      <c r="A459" s="19">
        <f t="shared" si="8"/>
        <v>35</v>
      </c>
      <c r="B459" s="20" t="s">
        <v>4821</v>
      </c>
      <c r="C459" s="22"/>
      <c r="D459" s="20" t="s">
        <v>4822</v>
      </c>
      <c r="E459" s="20" t="s">
        <v>451</v>
      </c>
      <c r="F459" s="788" t="s">
        <v>3632</v>
      </c>
      <c r="G459" s="101" t="e">
        <f>VLOOKUP(F459,'01. TH'!$B:$E,3,0)</f>
        <v>#N/A</v>
      </c>
      <c r="H459" s="19" t="s">
        <v>25</v>
      </c>
      <c r="I459" s="58">
        <v>45694</v>
      </c>
      <c r="J459" s="20"/>
      <c r="K459" s="19" t="s">
        <v>1263</v>
      </c>
      <c r="L459" s="20" t="s">
        <v>4706</v>
      </c>
      <c r="M459" s="22"/>
      <c r="N459" s="20" t="s">
        <v>3611</v>
      </c>
      <c r="O459" s="22"/>
      <c r="P459" s="20" t="s">
        <v>3613</v>
      </c>
      <c r="Q459" s="19"/>
      <c r="R459" s="22" t="s">
        <v>3639</v>
      </c>
      <c r="S459" s="22"/>
      <c r="T459" s="47"/>
      <c r="U459" s="20"/>
      <c r="V459" s="20"/>
    </row>
    <row r="460" customHeight="1" spans="1:22">
      <c r="A460" s="19">
        <f t="shared" si="8"/>
        <v>36</v>
      </c>
      <c r="B460" s="20" t="s">
        <v>4823</v>
      </c>
      <c r="C460" s="22"/>
      <c r="D460" s="20" t="s">
        <v>4824</v>
      </c>
      <c r="E460" s="20" t="s">
        <v>451</v>
      </c>
      <c r="F460" s="788" t="s">
        <v>3632</v>
      </c>
      <c r="G460" s="101" t="e">
        <f>VLOOKUP(F460,'01. TH'!$B:$E,3,0)</f>
        <v>#N/A</v>
      </c>
      <c r="H460" s="19" t="s">
        <v>25</v>
      </c>
      <c r="I460" s="58">
        <v>45694</v>
      </c>
      <c r="J460" s="20"/>
      <c r="K460" s="19" t="s">
        <v>1263</v>
      </c>
      <c r="L460" s="20" t="s">
        <v>4706</v>
      </c>
      <c r="M460" s="22"/>
      <c r="N460" s="20" t="s">
        <v>3611</v>
      </c>
      <c r="O460" s="22"/>
      <c r="P460" s="20" t="s">
        <v>3613</v>
      </c>
      <c r="Q460" s="19"/>
      <c r="R460" s="22" t="s">
        <v>3639</v>
      </c>
      <c r="S460" s="22"/>
      <c r="T460" s="47"/>
      <c r="U460" s="20"/>
      <c r="V460" s="20"/>
    </row>
    <row r="461" customHeight="1" spans="1:22">
      <c r="A461" s="19">
        <f t="shared" si="8"/>
        <v>37</v>
      </c>
      <c r="B461" s="20" t="s">
        <v>4825</v>
      </c>
      <c r="C461" s="22"/>
      <c r="D461" s="20" t="s">
        <v>4826</v>
      </c>
      <c r="E461" s="20" t="s">
        <v>451</v>
      </c>
      <c r="F461" s="788" t="s">
        <v>3632</v>
      </c>
      <c r="G461" s="101" t="e">
        <f>VLOOKUP(F461,'01. TH'!$B:$E,3,0)</f>
        <v>#N/A</v>
      </c>
      <c r="H461" s="19" t="s">
        <v>25</v>
      </c>
      <c r="I461" s="58">
        <v>45694</v>
      </c>
      <c r="J461" s="20"/>
      <c r="K461" s="19" t="s">
        <v>1263</v>
      </c>
      <c r="L461" s="20" t="s">
        <v>4706</v>
      </c>
      <c r="M461" s="22"/>
      <c r="N461" s="20" t="s">
        <v>3611</v>
      </c>
      <c r="O461" s="22"/>
      <c r="P461" s="20" t="s">
        <v>3613</v>
      </c>
      <c r="Q461" s="19"/>
      <c r="R461" s="22" t="s">
        <v>3639</v>
      </c>
      <c r="S461" s="22"/>
      <c r="T461" s="47"/>
      <c r="U461" s="20"/>
      <c r="V461" s="20"/>
    </row>
    <row r="462" customHeight="1" spans="1:22">
      <c r="A462" s="19">
        <f t="shared" si="8"/>
        <v>38</v>
      </c>
      <c r="B462" s="20" t="s">
        <v>4827</v>
      </c>
      <c r="C462" s="22"/>
      <c r="D462" s="20" t="s">
        <v>4828</v>
      </c>
      <c r="E462" s="20" t="s">
        <v>451</v>
      </c>
      <c r="F462" s="788" t="s">
        <v>3632</v>
      </c>
      <c r="G462" s="101" t="e">
        <f>VLOOKUP(F462,'01. TH'!$B:$E,3,0)</f>
        <v>#N/A</v>
      </c>
      <c r="H462" s="19" t="s">
        <v>25</v>
      </c>
      <c r="I462" s="58">
        <v>45694</v>
      </c>
      <c r="J462" s="20"/>
      <c r="K462" s="19" t="s">
        <v>1263</v>
      </c>
      <c r="L462" s="20" t="s">
        <v>4706</v>
      </c>
      <c r="M462" s="22"/>
      <c r="N462" s="20" t="s">
        <v>3611</v>
      </c>
      <c r="O462" s="22"/>
      <c r="P462" s="20" t="s">
        <v>3613</v>
      </c>
      <c r="Q462" s="19"/>
      <c r="R462" s="22" t="s">
        <v>3639</v>
      </c>
      <c r="S462" s="22"/>
      <c r="T462" s="47"/>
      <c r="U462" s="20"/>
      <c r="V462" s="20"/>
    </row>
    <row r="463" customHeight="1" spans="1:22">
      <c r="A463" s="19">
        <f t="shared" si="8"/>
        <v>39</v>
      </c>
      <c r="B463" s="20" t="s">
        <v>4829</v>
      </c>
      <c r="C463" s="22"/>
      <c r="D463" s="20"/>
      <c r="E463" s="20" t="s">
        <v>3593</v>
      </c>
      <c r="F463" s="20" t="s">
        <v>298</v>
      </c>
      <c r="G463" s="101">
        <f>VLOOKUP(F463,'01. TH'!$B:$E,3,0)</f>
        <v>0</v>
      </c>
      <c r="H463" s="19" t="s">
        <v>25</v>
      </c>
      <c r="I463" s="58">
        <v>45723</v>
      </c>
      <c r="J463" s="20"/>
      <c r="K463" s="19" t="s">
        <v>1263</v>
      </c>
      <c r="L463" s="20"/>
      <c r="M463" s="22"/>
      <c r="N463" s="20" t="s">
        <v>4379</v>
      </c>
      <c r="O463" s="22">
        <v>7045</v>
      </c>
      <c r="P463" s="20" t="s">
        <v>880</v>
      </c>
      <c r="Q463" s="19">
        <v>2025</v>
      </c>
      <c r="R463" s="22" t="s">
        <v>4380</v>
      </c>
      <c r="S463" s="22" t="s">
        <v>4830</v>
      </c>
      <c r="T463" s="47">
        <v>1.2</v>
      </c>
      <c r="U463" s="20"/>
      <c r="V463" s="20"/>
    </row>
    <row r="464" customHeight="1" spans="1:22">
      <c r="A464" s="19">
        <f t="shared" si="8"/>
        <v>40</v>
      </c>
      <c r="B464" s="20" t="s">
        <v>4831</v>
      </c>
      <c r="C464" s="22"/>
      <c r="D464" s="20"/>
      <c r="E464" s="20" t="s">
        <v>3593</v>
      </c>
      <c r="F464" s="20" t="s">
        <v>298</v>
      </c>
      <c r="G464" s="101">
        <f>VLOOKUP(F464,'01. TH'!$B:$E,3,0)</f>
        <v>0</v>
      </c>
      <c r="H464" s="19" t="s">
        <v>25</v>
      </c>
      <c r="I464" s="58">
        <v>45723</v>
      </c>
      <c r="J464" s="20"/>
      <c r="K464" s="19" t="s">
        <v>1263</v>
      </c>
      <c r="L464" s="20"/>
      <c r="M464" s="22"/>
      <c r="N464" s="20" t="s">
        <v>4379</v>
      </c>
      <c r="O464" s="22">
        <v>7045</v>
      </c>
      <c r="P464" s="20" t="s">
        <v>880</v>
      </c>
      <c r="Q464" s="19">
        <v>2025</v>
      </c>
      <c r="R464" s="22" t="s">
        <v>4380</v>
      </c>
      <c r="S464" s="22" t="s">
        <v>4832</v>
      </c>
      <c r="T464" s="47">
        <v>1.2</v>
      </c>
      <c r="U464" s="20"/>
      <c r="V464" s="20"/>
    </row>
    <row r="465" customHeight="1" spans="1:22">
      <c r="A465" s="19">
        <f t="shared" si="8"/>
        <v>41</v>
      </c>
      <c r="B465" s="20" t="s">
        <v>4833</v>
      </c>
      <c r="C465" s="22"/>
      <c r="D465" s="20"/>
      <c r="E465" s="20" t="s">
        <v>3593</v>
      </c>
      <c r="F465" s="20" t="s">
        <v>298</v>
      </c>
      <c r="G465" s="101">
        <f>VLOOKUP(F465,'01. TH'!$B:$E,3,0)</f>
        <v>0</v>
      </c>
      <c r="H465" s="19" t="s">
        <v>25</v>
      </c>
      <c r="I465" s="58">
        <v>45723</v>
      </c>
      <c r="J465" s="20"/>
      <c r="K465" s="19" t="s">
        <v>1263</v>
      </c>
      <c r="L465" s="20"/>
      <c r="M465" s="22"/>
      <c r="N465" s="20" t="s">
        <v>4379</v>
      </c>
      <c r="O465" s="22">
        <v>7045</v>
      </c>
      <c r="P465" s="20" t="s">
        <v>880</v>
      </c>
      <c r="Q465" s="19">
        <v>2025</v>
      </c>
      <c r="R465" s="22" t="s">
        <v>4380</v>
      </c>
      <c r="S465" s="22" t="s">
        <v>4834</v>
      </c>
      <c r="T465" s="47">
        <v>1.2</v>
      </c>
      <c r="U465" s="20"/>
      <c r="V465" s="20"/>
    </row>
    <row r="466" customHeight="1" spans="1:22">
      <c r="A466" s="19">
        <f t="shared" si="8"/>
        <v>42</v>
      </c>
      <c r="B466" s="20" t="s">
        <v>4835</v>
      </c>
      <c r="C466" s="22"/>
      <c r="D466" s="20"/>
      <c r="E466" s="20" t="s">
        <v>3593</v>
      </c>
      <c r="F466" s="20" t="s">
        <v>298</v>
      </c>
      <c r="G466" s="101">
        <f>VLOOKUP(F466,'01. TH'!$B:$E,3,0)</f>
        <v>0</v>
      </c>
      <c r="H466" s="19" t="s">
        <v>25</v>
      </c>
      <c r="I466" s="58">
        <v>45723</v>
      </c>
      <c r="J466" s="20"/>
      <c r="K466" s="19" t="s">
        <v>1263</v>
      </c>
      <c r="L466" s="20"/>
      <c r="M466" s="22"/>
      <c r="N466" s="20" t="s">
        <v>4379</v>
      </c>
      <c r="O466" s="22">
        <v>7045</v>
      </c>
      <c r="P466" s="20" t="s">
        <v>880</v>
      </c>
      <c r="Q466" s="19">
        <v>2025</v>
      </c>
      <c r="R466" s="22" t="s">
        <v>4380</v>
      </c>
      <c r="S466" s="22" t="s">
        <v>4836</v>
      </c>
      <c r="T466" s="47">
        <v>1.2</v>
      </c>
      <c r="U466" s="20"/>
      <c r="V466" s="20"/>
    </row>
    <row r="467" customHeight="1" spans="1:22">
      <c r="A467" s="19">
        <f t="shared" si="8"/>
        <v>43</v>
      </c>
      <c r="B467" s="20" t="s">
        <v>4837</v>
      </c>
      <c r="C467" s="22"/>
      <c r="D467" s="24" t="s">
        <v>4838</v>
      </c>
      <c r="E467" s="20" t="s">
        <v>451</v>
      </c>
      <c r="F467" s="20" t="s">
        <v>4377</v>
      </c>
      <c r="G467" s="101" t="e">
        <f>VLOOKUP(F467,'01. TH'!$B:$E,3,0)</f>
        <v>#N/A</v>
      </c>
      <c r="H467" s="19" t="s">
        <v>25</v>
      </c>
      <c r="I467" s="795">
        <v>45905</v>
      </c>
      <c r="J467" s="20"/>
      <c r="K467" s="19" t="s">
        <v>1263</v>
      </c>
      <c r="L467" s="20" t="s">
        <v>4706</v>
      </c>
      <c r="M467" s="22"/>
      <c r="N467" s="796" t="s">
        <v>3611</v>
      </c>
      <c r="O467" s="24" t="s">
        <v>4629</v>
      </c>
      <c r="P467" s="20" t="s">
        <v>880</v>
      </c>
      <c r="Q467" s="19">
        <v>2025</v>
      </c>
      <c r="R467" s="22"/>
      <c r="S467" s="22"/>
      <c r="T467" s="47"/>
      <c r="U467" s="20"/>
      <c r="V467" s="20"/>
    </row>
    <row r="468" customHeight="1" spans="1:22">
      <c r="A468" s="19">
        <f t="shared" si="8"/>
        <v>44</v>
      </c>
      <c r="B468" s="20" t="s">
        <v>4839</v>
      </c>
      <c r="C468" s="22"/>
      <c r="D468" s="24" t="s">
        <v>4840</v>
      </c>
      <c r="E468" s="20" t="s">
        <v>451</v>
      </c>
      <c r="F468" s="20" t="s">
        <v>4841</v>
      </c>
      <c r="G468" s="101"/>
      <c r="H468" s="19" t="s">
        <v>1471</v>
      </c>
      <c r="I468" s="795"/>
      <c r="J468" s="20"/>
      <c r="K468" s="19" t="str">
        <f>IF(COUNTIF('TT BTSC'!$D:$D,B468)&gt;0,"Hư hỏng","Bình thường")</f>
        <v>Bình thường</v>
      </c>
      <c r="L468" s="20"/>
      <c r="M468" s="22" t="s">
        <v>1146</v>
      </c>
      <c r="N468" s="796" t="s">
        <v>4842</v>
      </c>
      <c r="O468" s="24" t="s">
        <v>500</v>
      </c>
      <c r="P468" s="20">
        <v>2024</v>
      </c>
      <c r="Q468" s="19" t="s">
        <v>4843</v>
      </c>
      <c r="R468" s="22" t="s">
        <v>242</v>
      </c>
      <c r="S468" s="22">
        <v>210311293</v>
      </c>
      <c r="T468" s="47"/>
      <c r="U468" s="20"/>
      <c r="V468" s="20">
        <v>0</v>
      </c>
    </row>
    <row r="469" customHeight="1" spans="1:22">
      <c r="A469" s="19"/>
      <c r="B469" s="20"/>
      <c r="C469" s="22" t="s">
        <v>4844</v>
      </c>
      <c r="D469" s="20"/>
      <c r="E469" s="20"/>
      <c r="F469" s="20"/>
      <c r="G469" s="101" t="e">
        <f>VLOOKUP(F469,'01. TH'!$B:$E,3,0)</f>
        <v>#N/A</v>
      </c>
      <c r="H469" s="19"/>
      <c r="I469" s="58"/>
      <c r="J469" s="20"/>
      <c r="K469" s="19"/>
      <c r="L469" s="20"/>
      <c r="M469" s="22"/>
      <c r="N469" s="20"/>
      <c r="O469" s="22"/>
      <c r="P469" s="20"/>
      <c r="Q469" s="19"/>
      <c r="R469" s="22"/>
      <c r="S469" s="22"/>
      <c r="T469" s="47"/>
      <c r="U469" s="20"/>
      <c r="V469" s="20"/>
    </row>
    <row r="470" customHeight="1" spans="1:22">
      <c r="A470" s="14" t="s">
        <v>1589</v>
      </c>
      <c r="B470" s="15" t="s">
        <v>4845</v>
      </c>
      <c r="C470" s="14">
        <f>COUNTA($B$471:$B$530)</f>
        <v>59</v>
      </c>
      <c r="D470" s="17"/>
      <c r="E470" s="17"/>
      <c r="F470" s="17"/>
      <c r="G470" s="18"/>
      <c r="H470" s="18"/>
      <c r="I470" s="14"/>
      <c r="J470" s="15"/>
      <c r="K470" s="14"/>
      <c r="L470" s="17"/>
      <c r="M470" s="16"/>
      <c r="N470" s="17"/>
      <c r="O470" s="16"/>
      <c r="P470" s="17"/>
      <c r="Q470" s="18"/>
      <c r="R470" s="16"/>
      <c r="S470" s="16"/>
      <c r="T470" s="786"/>
      <c r="U470" s="17"/>
      <c r="V470" s="17"/>
    </row>
    <row r="471" customHeight="1" spans="1:22">
      <c r="A471" s="19">
        <v>1</v>
      </c>
      <c r="B471" s="20" t="s">
        <v>4846</v>
      </c>
      <c r="C471" s="22" t="s">
        <v>4847</v>
      </c>
      <c r="D471" s="20" t="s">
        <v>4848</v>
      </c>
      <c r="E471" s="20" t="s">
        <v>451</v>
      </c>
      <c r="F471" s="20" t="s">
        <v>340</v>
      </c>
      <c r="G471" s="101">
        <f>VLOOKUP(F471,'01. TH'!$B:$E,3,0)</f>
        <v>0</v>
      </c>
      <c r="H471" s="19" t="s">
        <v>1593</v>
      </c>
      <c r="I471" s="773">
        <v>45057</v>
      </c>
      <c r="J471" s="20"/>
      <c r="K471" s="19" t="s">
        <v>1839</v>
      </c>
      <c r="L471" s="20"/>
      <c r="M471" s="22" t="s">
        <v>4849</v>
      </c>
      <c r="N471" s="20" t="s">
        <v>3611</v>
      </c>
      <c r="O471" s="22"/>
      <c r="P471" s="20" t="s">
        <v>3613</v>
      </c>
      <c r="Q471" s="19"/>
      <c r="R471" s="22" t="s">
        <v>4850</v>
      </c>
      <c r="S471" s="22"/>
      <c r="T471" s="47">
        <v>6.14</v>
      </c>
      <c r="U471" s="20" t="s">
        <v>4768</v>
      </c>
      <c r="V471" s="20"/>
    </row>
    <row r="472" customHeight="1" spans="1:22">
      <c r="A472" s="19">
        <f t="shared" ref="A472:A529" si="9">A471+1</f>
        <v>2</v>
      </c>
      <c r="B472" s="20" t="s">
        <v>4851</v>
      </c>
      <c r="C472" s="22"/>
      <c r="D472" s="20" t="s">
        <v>3739</v>
      </c>
      <c r="E472" s="20" t="s">
        <v>451</v>
      </c>
      <c r="F472" s="20" t="s">
        <v>4852</v>
      </c>
      <c r="G472" s="101" t="e">
        <f>VLOOKUP(F472,'01. TH'!$B:$E,3,0)</f>
        <v>#N/A</v>
      </c>
      <c r="H472" s="19" t="s">
        <v>1593</v>
      </c>
      <c r="I472" s="19" t="s">
        <v>4853</v>
      </c>
      <c r="J472" s="20"/>
      <c r="K472" s="19" t="s">
        <v>1839</v>
      </c>
      <c r="L472" s="20"/>
      <c r="M472" s="22"/>
      <c r="N472" s="20" t="s">
        <v>3611</v>
      </c>
      <c r="O472" s="22"/>
      <c r="P472" s="20" t="s">
        <v>3613</v>
      </c>
      <c r="Q472" s="19">
        <v>2024</v>
      </c>
      <c r="R472" s="22" t="s">
        <v>3639</v>
      </c>
      <c r="S472" s="22"/>
      <c r="T472" s="47"/>
      <c r="U472" s="20"/>
      <c r="V472" s="20"/>
    </row>
    <row r="473" customHeight="1" spans="1:22">
      <c r="A473" s="19">
        <f t="shared" si="9"/>
        <v>3</v>
      </c>
      <c r="B473" s="20" t="s">
        <v>4854</v>
      </c>
      <c r="C473" s="22"/>
      <c r="D473" s="20" t="s">
        <v>3743</v>
      </c>
      <c r="E473" s="20" t="s">
        <v>451</v>
      </c>
      <c r="F473" s="20" t="s">
        <v>4852</v>
      </c>
      <c r="G473" s="101" t="e">
        <f>VLOOKUP(F473,'01. TH'!$B:$E,3,0)</f>
        <v>#N/A</v>
      </c>
      <c r="H473" s="19" t="s">
        <v>1593</v>
      </c>
      <c r="I473" s="19" t="s">
        <v>4853</v>
      </c>
      <c r="J473" s="20"/>
      <c r="K473" s="19" t="s">
        <v>1839</v>
      </c>
      <c r="L473" s="20"/>
      <c r="M473" s="22"/>
      <c r="N473" s="20" t="s">
        <v>3611</v>
      </c>
      <c r="O473" s="22"/>
      <c r="P473" s="20" t="s">
        <v>3613</v>
      </c>
      <c r="Q473" s="19">
        <v>2024</v>
      </c>
      <c r="R473" s="22" t="s">
        <v>4855</v>
      </c>
      <c r="S473" s="22"/>
      <c r="T473" s="47"/>
      <c r="U473" s="20"/>
      <c r="V473" s="20"/>
    </row>
    <row r="474" customHeight="1" spans="1:22">
      <c r="A474" s="19">
        <f t="shared" si="9"/>
        <v>4</v>
      </c>
      <c r="B474" s="20" t="s">
        <v>4856</v>
      </c>
      <c r="C474" s="22"/>
      <c r="D474" s="20" t="s">
        <v>3746</v>
      </c>
      <c r="E474" s="20" t="s">
        <v>451</v>
      </c>
      <c r="F474" s="20" t="s">
        <v>4852</v>
      </c>
      <c r="G474" s="101" t="e">
        <f>VLOOKUP(F474,'01. TH'!$B:$E,3,0)</f>
        <v>#N/A</v>
      </c>
      <c r="H474" s="19" t="s">
        <v>1593</v>
      </c>
      <c r="I474" s="19" t="s">
        <v>4853</v>
      </c>
      <c r="J474" s="20"/>
      <c r="K474" s="19" t="s">
        <v>1839</v>
      </c>
      <c r="L474" s="20"/>
      <c r="M474" s="22"/>
      <c r="N474" s="20" t="s">
        <v>3611</v>
      </c>
      <c r="O474" s="22"/>
      <c r="P474" s="20" t="s">
        <v>3613</v>
      </c>
      <c r="Q474" s="19">
        <v>2024</v>
      </c>
      <c r="R474" s="22" t="s">
        <v>4855</v>
      </c>
      <c r="S474" s="22"/>
      <c r="T474" s="47"/>
      <c r="U474" s="20"/>
      <c r="V474" s="20"/>
    </row>
    <row r="475" customHeight="1" spans="1:22">
      <c r="A475" s="19">
        <f t="shared" si="9"/>
        <v>5</v>
      </c>
      <c r="B475" s="20" t="s">
        <v>4857</v>
      </c>
      <c r="C475" s="22"/>
      <c r="D475" s="20" t="s">
        <v>4858</v>
      </c>
      <c r="E475" s="20" t="s">
        <v>451</v>
      </c>
      <c r="F475" s="20" t="s">
        <v>3632</v>
      </c>
      <c r="G475" s="101" t="e">
        <f>VLOOKUP(F475,'01. TH'!$B:$E,3,0)</f>
        <v>#N/A</v>
      </c>
      <c r="H475" s="19" t="s">
        <v>1593</v>
      </c>
      <c r="I475" s="19" t="s">
        <v>494</v>
      </c>
      <c r="J475" s="20"/>
      <c r="K475" s="19" t="s">
        <v>1839</v>
      </c>
      <c r="L475" s="20"/>
      <c r="M475" s="22"/>
      <c r="N475" s="20" t="s">
        <v>3611</v>
      </c>
      <c r="O475" s="22"/>
      <c r="P475" s="20" t="s">
        <v>3613</v>
      </c>
      <c r="Q475" s="19">
        <v>2025</v>
      </c>
      <c r="R475" s="22" t="s">
        <v>4859</v>
      </c>
      <c r="S475" s="22"/>
      <c r="T475" s="47"/>
      <c r="U475" s="20"/>
      <c r="V475" s="20"/>
    </row>
    <row r="476" customHeight="1" spans="1:22">
      <c r="A476" s="19">
        <f t="shared" si="9"/>
        <v>6</v>
      </c>
      <c r="B476" s="20" t="s">
        <v>4860</v>
      </c>
      <c r="C476" s="22"/>
      <c r="D476" s="20" t="s">
        <v>4861</v>
      </c>
      <c r="E476" s="20" t="s">
        <v>451</v>
      </c>
      <c r="F476" s="20" t="s">
        <v>3632</v>
      </c>
      <c r="G476" s="101" t="e">
        <f>VLOOKUP(F476,'01. TH'!$B:$E,3,0)</f>
        <v>#N/A</v>
      </c>
      <c r="H476" s="19" t="s">
        <v>1593</v>
      </c>
      <c r="I476" s="19" t="s">
        <v>494</v>
      </c>
      <c r="J476" s="20"/>
      <c r="K476" s="19" t="s">
        <v>1839</v>
      </c>
      <c r="L476" s="20"/>
      <c r="M476" s="22"/>
      <c r="N476" s="20" t="s">
        <v>3611</v>
      </c>
      <c r="O476" s="22"/>
      <c r="P476" s="20" t="s">
        <v>3613</v>
      </c>
      <c r="Q476" s="19">
        <v>2025</v>
      </c>
      <c r="R476" s="22" t="s">
        <v>4859</v>
      </c>
      <c r="S476" s="22"/>
      <c r="T476" s="47"/>
      <c r="U476" s="20"/>
      <c r="V476" s="20"/>
    </row>
    <row r="477" customHeight="1" spans="1:22">
      <c r="A477" s="19">
        <f t="shared" si="9"/>
        <v>7</v>
      </c>
      <c r="B477" s="20" t="s">
        <v>4862</v>
      </c>
      <c r="C477" s="22"/>
      <c r="D477" s="20" t="s">
        <v>4863</v>
      </c>
      <c r="E477" s="20" t="s">
        <v>451</v>
      </c>
      <c r="F477" s="20" t="s">
        <v>3632</v>
      </c>
      <c r="G477" s="101" t="e">
        <f>VLOOKUP(F477,'01. TH'!$B:$E,3,0)</f>
        <v>#N/A</v>
      </c>
      <c r="H477" s="19" t="s">
        <v>1593</v>
      </c>
      <c r="I477" s="19" t="s">
        <v>494</v>
      </c>
      <c r="J477" s="20"/>
      <c r="K477" s="19" t="s">
        <v>1839</v>
      </c>
      <c r="L477" s="20"/>
      <c r="M477" s="22"/>
      <c r="N477" s="20" t="s">
        <v>3611</v>
      </c>
      <c r="O477" s="22"/>
      <c r="P477" s="20" t="s">
        <v>3613</v>
      </c>
      <c r="Q477" s="19">
        <v>2025</v>
      </c>
      <c r="R477" s="22" t="s">
        <v>4859</v>
      </c>
      <c r="S477" s="22"/>
      <c r="T477" s="47"/>
      <c r="U477" s="20"/>
      <c r="V477" s="20"/>
    </row>
    <row r="478" customHeight="1" spans="1:22">
      <c r="A478" s="19">
        <f t="shared" si="9"/>
        <v>8</v>
      </c>
      <c r="B478" s="20" t="s">
        <v>4864</v>
      </c>
      <c r="C478" s="22" t="s">
        <v>4865</v>
      </c>
      <c r="D478" s="20" t="s">
        <v>4721</v>
      </c>
      <c r="E478" s="20" t="s">
        <v>451</v>
      </c>
      <c r="F478" s="20" t="s">
        <v>401</v>
      </c>
      <c r="G478" s="101" t="str">
        <f>VLOOKUP(F478,'01. TH'!$B:$E,3,0)</f>
        <v>1x1x1</v>
      </c>
      <c r="H478" s="19" t="s">
        <v>1593</v>
      </c>
      <c r="I478" s="19"/>
      <c r="J478" s="20"/>
      <c r="K478" s="19" t="s">
        <v>1839</v>
      </c>
      <c r="L478" s="20"/>
      <c r="M478" s="22"/>
      <c r="N478" s="20" t="s">
        <v>3611</v>
      </c>
      <c r="O478" s="22"/>
      <c r="P478" s="20" t="s">
        <v>3613</v>
      </c>
      <c r="Q478" s="19"/>
      <c r="R478" s="22"/>
      <c r="S478" s="22"/>
      <c r="T478" s="47"/>
      <c r="U478" s="20"/>
      <c r="V478" s="20"/>
    </row>
    <row r="479" customHeight="1" spans="1:22">
      <c r="A479" s="19">
        <f t="shared" si="9"/>
        <v>9</v>
      </c>
      <c r="B479" s="20" t="s">
        <v>4866</v>
      </c>
      <c r="C479" s="22" t="s">
        <v>4867</v>
      </c>
      <c r="D479" s="20" t="s">
        <v>4868</v>
      </c>
      <c r="E479" s="20" t="s">
        <v>451</v>
      </c>
      <c r="F479" s="20" t="s">
        <v>401</v>
      </c>
      <c r="G479" s="101" t="str">
        <f>VLOOKUP(F479,'01. TH'!$B:$E,3,0)</f>
        <v>1x1x1</v>
      </c>
      <c r="H479" s="19" t="s">
        <v>1593</v>
      </c>
      <c r="I479" s="19"/>
      <c r="J479" s="20"/>
      <c r="K479" s="19" t="s">
        <v>1839</v>
      </c>
      <c r="L479" s="20"/>
      <c r="M479" s="22"/>
      <c r="N479" s="20" t="s">
        <v>3611</v>
      </c>
      <c r="O479" s="22"/>
      <c r="P479" s="20" t="s">
        <v>3613</v>
      </c>
      <c r="Q479" s="19"/>
      <c r="R479" s="22"/>
      <c r="S479" s="22"/>
      <c r="T479" s="47"/>
      <c r="U479" s="20"/>
      <c r="V479" s="20"/>
    </row>
    <row r="480" customHeight="1" spans="1:22">
      <c r="A480" s="19">
        <f t="shared" si="9"/>
        <v>10</v>
      </c>
      <c r="B480" s="20" t="s">
        <v>4869</v>
      </c>
      <c r="C480" s="22" t="s">
        <v>4870</v>
      </c>
      <c r="D480" s="20" t="s">
        <v>4717</v>
      </c>
      <c r="E480" s="20" t="s">
        <v>451</v>
      </c>
      <c r="F480" s="20" t="s">
        <v>401</v>
      </c>
      <c r="G480" s="101" t="str">
        <f>VLOOKUP(F480,'01. TH'!$B:$E,3,0)</f>
        <v>1x1x1</v>
      </c>
      <c r="H480" s="19" t="s">
        <v>1593</v>
      </c>
      <c r="I480" s="19"/>
      <c r="J480" s="20"/>
      <c r="K480" s="19" t="s">
        <v>1839</v>
      </c>
      <c r="L480" s="20"/>
      <c r="M480" s="22"/>
      <c r="N480" s="20" t="s">
        <v>3611</v>
      </c>
      <c r="O480" s="22"/>
      <c r="P480" s="20" t="s">
        <v>3613</v>
      </c>
      <c r="Q480" s="19"/>
      <c r="R480" s="22"/>
      <c r="S480" s="22"/>
      <c r="T480" s="47"/>
      <c r="U480" s="20"/>
      <c r="V480" s="20"/>
    </row>
    <row r="481" customHeight="1" spans="1:22">
      <c r="A481" s="19">
        <f t="shared" si="9"/>
        <v>11</v>
      </c>
      <c r="B481" s="20" t="s">
        <v>4871</v>
      </c>
      <c r="C481" s="22" t="s">
        <v>4872</v>
      </c>
      <c r="D481" s="20" t="s">
        <v>4873</v>
      </c>
      <c r="E481" s="20" t="s">
        <v>451</v>
      </c>
      <c r="F481" s="20" t="s">
        <v>401</v>
      </c>
      <c r="G481" s="101" t="str">
        <f>VLOOKUP(F481,'01. TH'!$B:$E,3,0)</f>
        <v>1x1x1</v>
      </c>
      <c r="H481" s="19" t="s">
        <v>1593</v>
      </c>
      <c r="I481" s="19"/>
      <c r="J481" s="20"/>
      <c r="K481" s="19" t="s">
        <v>1839</v>
      </c>
      <c r="L481" s="20"/>
      <c r="M481" s="22"/>
      <c r="N481" s="20" t="s">
        <v>3611</v>
      </c>
      <c r="O481" s="22"/>
      <c r="P481" s="20" t="s">
        <v>3613</v>
      </c>
      <c r="Q481" s="19"/>
      <c r="R481" s="22"/>
      <c r="S481" s="22"/>
      <c r="T481" s="47"/>
      <c r="U481" s="20"/>
      <c r="V481" s="20"/>
    </row>
    <row r="482" customHeight="1" spans="1:22">
      <c r="A482" s="19">
        <f t="shared" si="9"/>
        <v>12</v>
      </c>
      <c r="B482" s="20" t="s">
        <v>4874</v>
      </c>
      <c r="C482" s="22" t="s">
        <v>4875</v>
      </c>
      <c r="D482" s="20" t="s">
        <v>4876</v>
      </c>
      <c r="E482" s="20" t="s">
        <v>451</v>
      </c>
      <c r="F482" s="20" t="s">
        <v>401</v>
      </c>
      <c r="G482" s="101" t="str">
        <f>VLOOKUP(F482,'01. TH'!$B:$E,3,0)</f>
        <v>1x1x1</v>
      </c>
      <c r="H482" s="19" t="s">
        <v>1593</v>
      </c>
      <c r="I482" s="19"/>
      <c r="J482" s="20"/>
      <c r="K482" s="19" t="s">
        <v>1839</v>
      </c>
      <c r="L482" s="20"/>
      <c r="M482" s="22"/>
      <c r="N482" s="20" t="s">
        <v>3611</v>
      </c>
      <c r="O482" s="22"/>
      <c r="P482" s="20" t="s">
        <v>3613</v>
      </c>
      <c r="Q482" s="19"/>
      <c r="R482" s="22"/>
      <c r="S482" s="22" t="s">
        <v>4414</v>
      </c>
      <c r="T482" s="47"/>
      <c r="U482" s="20"/>
      <c r="V482" s="20"/>
    </row>
    <row r="483" customHeight="1" spans="1:22">
      <c r="A483" s="19">
        <f t="shared" si="9"/>
        <v>13</v>
      </c>
      <c r="B483" s="20" t="s">
        <v>4877</v>
      </c>
      <c r="C483" s="22" t="s">
        <v>4878</v>
      </c>
      <c r="D483" s="20" t="s">
        <v>4879</v>
      </c>
      <c r="E483" s="20" t="s">
        <v>451</v>
      </c>
      <c r="F483" s="20" t="s">
        <v>4880</v>
      </c>
      <c r="G483" s="101" t="e">
        <f>VLOOKUP(F483,'01. TH'!$B:$E,3,0)</f>
        <v>#N/A</v>
      </c>
      <c r="H483" s="19" t="s">
        <v>1593</v>
      </c>
      <c r="I483" s="19"/>
      <c r="J483" s="20"/>
      <c r="K483" s="19" t="s">
        <v>1839</v>
      </c>
      <c r="L483" s="20"/>
      <c r="M483" s="22"/>
      <c r="N483" s="20" t="s">
        <v>3611</v>
      </c>
      <c r="O483" s="22"/>
      <c r="P483" s="20" t="s">
        <v>3613</v>
      </c>
      <c r="Q483" s="19"/>
      <c r="R483" s="22"/>
      <c r="S483" s="22" t="s">
        <v>4881</v>
      </c>
      <c r="T483" s="321"/>
      <c r="U483" s="22"/>
      <c r="V483" s="22"/>
    </row>
    <row r="484" customHeight="1" spans="1:22">
      <c r="A484" s="19">
        <f t="shared" si="9"/>
        <v>14</v>
      </c>
      <c r="B484" s="20" t="s">
        <v>4882</v>
      </c>
      <c r="C484" s="22" t="s">
        <v>4883</v>
      </c>
      <c r="D484" s="20" t="s">
        <v>4745</v>
      </c>
      <c r="E484" s="20" t="s">
        <v>451</v>
      </c>
      <c r="F484" s="20" t="s">
        <v>4884</v>
      </c>
      <c r="G484" s="101" t="str">
        <f>VLOOKUP(F484,'01. TH'!$B:$E,3,0)</f>
        <v>6.1x2.4x0.9</v>
      </c>
      <c r="H484" s="19" t="s">
        <v>1593</v>
      </c>
      <c r="I484" s="19"/>
      <c r="J484" s="20"/>
      <c r="K484" s="19" t="s">
        <v>1839</v>
      </c>
      <c r="L484" s="20"/>
      <c r="M484" s="22"/>
      <c r="N484" s="20" t="s">
        <v>3611</v>
      </c>
      <c r="O484" s="22"/>
      <c r="P484" s="20" t="s">
        <v>3613</v>
      </c>
      <c r="Q484" s="19"/>
      <c r="R484" s="22"/>
      <c r="S484" s="22"/>
      <c r="T484" s="47"/>
      <c r="U484" s="20"/>
      <c r="V484" s="20"/>
    </row>
    <row r="485" customHeight="1" spans="1:22">
      <c r="A485" s="19">
        <f t="shared" si="9"/>
        <v>15</v>
      </c>
      <c r="B485" s="20" t="s">
        <v>4885</v>
      </c>
      <c r="C485" s="22"/>
      <c r="D485" s="20" t="s">
        <v>4886</v>
      </c>
      <c r="E485" s="20" t="s">
        <v>451</v>
      </c>
      <c r="F485" s="20" t="s">
        <v>391</v>
      </c>
      <c r="G485" s="101" t="str">
        <f>VLOOKUP(F485,'01. TH'!$B:$E,3,0)</f>
        <v>4500 x 2500 x 1400</v>
      </c>
      <c r="H485" s="19" t="s">
        <v>1593</v>
      </c>
      <c r="I485" s="19" t="s">
        <v>4350</v>
      </c>
      <c r="J485" s="20"/>
      <c r="K485" s="19" t="s">
        <v>1839</v>
      </c>
      <c r="L485" s="52"/>
      <c r="M485" s="22" t="s">
        <v>3925</v>
      </c>
      <c r="N485" s="20" t="s">
        <v>3611</v>
      </c>
      <c r="O485" s="22" t="s">
        <v>4887</v>
      </c>
      <c r="P485" s="20" t="s">
        <v>3613</v>
      </c>
      <c r="Q485" s="19"/>
      <c r="R485" s="22"/>
      <c r="S485" s="22" t="s">
        <v>4888</v>
      </c>
      <c r="T485" s="789"/>
      <c r="U485" s="38"/>
      <c r="V485" s="38"/>
    </row>
    <row r="486" customHeight="1" spans="1:22">
      <c r="A486" s="19">
        <f t="shared" si="9"/>
        <v>16</v>
      </c>
      <c r="B486" s="20" t="s">
        <v>4889</v>
      </c>
      <c r="C486" s="22"/>
      <c r="D486" s="20" t="s">
        <v>4890</v>
      </c>
      <c r="E486" s="20" t="s">
        <v>451</v>
      </c>
      <c r="F486" s="20" t="s">
        <v>391</v>
      </c>
      <c r="G486" s="101" t="str">
        <f>VLOOKUP(F486,'01. TH'!$B:$E,3,0)</f>
        <v>4500 x 2500 x 1400</v>
      </c>
      <c r="H486" s="19" t="s">
        <v>1593</v>
      </c>
      <c r="I486" s="19" t="s">
        <v>4470</v>
      </c>
      <c r="J486" s="20"/>
      <c r="K486" s="19" t="s">
        <v>1839</v>
      </c>
      <c r="L486" s="52"/>
      <c r="M486" s="22" t="s">
        <v>3925</v>
      </c>
      <c r="N486" s="20" t="s">
        <v>3611</v>
      </c>
      <c r="O486" s="22" t="s">
        <v>4887</v>
      </c>
      <c r="P486" s="20" t="s">
        <v>3613</v>
      </c>
      <c r="Q486" s="19"/>
      <c r="R486" s="22"/>
      <c r="S486" s="22"/>
      <c r="T486" s="789"/>
      <c r="U486" s="38"/>
      <c r="V486" s="38"/>
    </row>
    <row r="487" customHeight="1" spans="1:22">
      <c r="A487" s="19">
        <f t="shared" si="9"/>
        <v>17</v>
      </c>
      <c r="B487" s="20" t="s">
        <v>4891</v>
      </c>
      <c r="C487" s="22"/>
      <c r="D487" s="20" t="s">
        <v>4892</v>
      </c>
      <c r="E487" s="20" t="s">
        <v>451</v>
      </c>
      <c r="F487" s="20" t="s">
        <v>391</v>
      </c>
      <c r="G487" s="101" t="str">
        <f>VLOOKUP(F487,'01. TH'!$B:$E,3,0)</f>
        <v>4500 x 2500 x 1400</v>
      </c>
      <c r="H487" s="19" t="s">
        <v>1593</v>
      </c>
      <c r="I487" s="19" t="s">
        <v>4470</v>
      </c>
      <c r="J487" s="20"/>
      <c r="K487" s="19" t="s">
        <v>1839</v>
      </c>
      <c r="L487" s="52"/>
      <c r="M487" s="22" t="s">
        <v>3925</v>
      </c>
      <c r="N487" s="20" t="s">
        <v>3611</v>
      </c>
      <c r="O487" s="22" t="s">
        <v>4887</v>
      </c>
      <c r="P487" s="20" t="s">
        <v>3613</v>
      </c>
      <c r="Q487" s="19"/>
      <c r="R487" s="22"/>
      <c r="S487" s="22"/>
      <c r="T487" s="789"/>
      <c r="U487" s="38"/>
      <c r="V487" s="38"/>
    </row>
    <row r="488" customHeight="1" spans="1:22">
      <c r="A488" s="19">
        <f t="shared" si="9"/>
        <v>18</v>
      </c>
      <c r="B488" s="20" t="s">
        <v>4893</v>
      </c>
      <c r="C488" s="22"/>
      <c r="D488" s="20" t="s">
        <v>4894</v>
      </c>
      <c r="E488" s="20" t="s">
        <v>451</v>
      </c>
      <c r="F488" s="20" t="s">
        <v>391</v>
      </c>
      <c r="G488" s="101"/>
      <c r="H488" s="19" t="s">
        <v>1593</v>
      </c>
      <c r="I488" s="58">
        <v>46296</v>
      </c>
      <c r="J488" s="20"/>
      <c r="K488" s="19" t="s">
        <v>1839</v>
      </c>
      <c r="L488" s="52"/>
      <c r="M488" s="22" t="s">
        <v>3925</v>
      </c>
      <c r="N488" s="20" t="s">
        <v>3611</v>
      </c>
      <c r="O488" s="22" t="s">
        <v>4887</v>
      </c>
      <c r="P488" s="20" t="s">
        <v>3613</v>
      </c>
      <c r="Q488" s="19"/>
      <c r="R488" s="22"/>
      <c r="S488" s="22"/>
      <c r="T488" s="789"/>
      <c r="U488" s="38"/>
      <c r="V488" s="38"/>
    </row>
    <row r="489" customHeight="1" spans="1:22">
      <c r="A489" s="19">
        <f t="shared" si="9"/>
        <v>19</v>
      </c>
      <c r="B489" s="20" t="s">
        <v>4895</v>
      </c>
      <c r="C489" s="22" t="s">
        <v>4896</v>
      </c>
      <c r="D489" s="20" t="s">
        <v>4810</v>
      </c>
      <c r="E489" s="20" t="s">
        <v>451</v>
      </c>
      <c r="F489" s="20" t="s">
        <v>383</v>
      </c>
      <c r="G489" s="101">
        <f>VLOOKUP(F489,'01. TH'!$B:$E,3,0)</f>
        <v>0</v>
      </c>
      <c r="H489" s="19" t="s">
        <v>1593</v>
      </c>
      <c r="I489" s="19"/>
      <c r="J489" s="20"/>
      <c r="K489" s="19" t="s">
        <v>1839</v>
      </c>
      <c r="L489" s="52"/>
      <c r="M489" s="791"/>
      <c r="N489" s="20" t="s">
        <v>2742</v>
      </c>
      <c r="O489" s="22" t="s">
        <v>4249</v>
      </c>
      <c r="P489" s="20" t="s">
        <v>2742</v>
      </c>
      <c r="Q489" s="19"/>
      <c r="R489" s="22"/>
      <c r="S489" s="22" t="s">
        <v>4897</v>
      </c>
      <c r="T489" s="789">
        <v>8.47</v>
      </c>
      <c r="U489" s="38"/>
      <c r="V489" s="38"/>
    </row>
    <row r="490" customHeight="1" spans="1:22">
      <c r="A490" s="19">
        <f t="shared" si="9"/>
        <v>20</v>
      </c>
      <c r="B490" s="20" t="s">
        <v>4898</v>
      </c>
      <c r="C490" s="22" t="s">
        <v>4899</v>
      </c>
      <c r="D490" s="20" t="s">
        <v>4900</v>
      </c>
      <c r="E490" s="20" t="s">
        <v>451</v>
      </c>
      <c r="F490" s="20" t="s">
        <v>383</v>
      </c>
      <c r="G490" s="101">
        <f>VLOOKUP(F490,'01. TH'!$B:$E,3,0)</f>
        <v>0</v>
      </c>
      <c r="H490" s="19" t="s">
        <v>1593</v>
      </c>
      <c r="I490" s="19"/>
      <c r="J490" s="20"/>
      <c r="K490" s="19" t="s">
        <v>1839</v>
      </c>
      <c r="L490" s="20" t="s">
        <v>4901</v>
      </c>
      <c r="M490" s="22"/>
      <c r="N490" s="20" t="s">
        <v>2742</v>
      </c>
      <c r="O490" s="22" t="s">
        <v>4249</v>
      </c>
      <c r="P490" s="20" t="s">
        <v>2742</v>
      </c>
      <c r="Q490" s="19"/>
      <c r="R490" s="22"/>
      <c r="S490" s="22" t="s">
        <v>4902</v>
      </c>
      <c r="T490" s="789">
        <v>8.47</v>
      </c>
      <c r="U490" s="38"/>
      <c r="V490" s="38"/>
    </row>
    <row r="491" customHeight="1" spans="1:22">
      <c r="A491" s="19">
        <f t="shared" si="9"/>
        <v>21</v>
      </c>
      <c r="B491" s="20" t="s">
        <v>4903</v>
      </c>
      <c r="C491" s="22"/>
      <c r="D491" s="20" t="s">
        <v>4904</v>
      </c>
      <c r="E491" s="20" t="s">
        <v>451</v>
      </c>
      <c r="F491" s="20" t="s">
        <v>389</v>
      </c>
      <c r="G491" s="101" t="str">
        <f>VLOOKUP(F491,'01. TH'!$B:$E,3,0)</f>
        <v>6.8x2x2.2</v>
      </c>
      <c r="H491" s="19" t="s">
        <v>1593</v>
      </c>
      <c r="I491" s="19"/>
      <c r="J491" s="20"/>
      <c r="K491" s="19" t="s">
        <v>1839</v>
      </c>
      <c r="L491" s="20"/>
      <c r="M491" s="22" t="s">
        <v>4905</v>
      </c>
      <c r="N491" s="20" t="s">
        <v>3611</v>
      </c>
      <c r="O491" s="22"/>
      <c r="P491" s="20" t="s">
        <v>3613</v>
      </c>
      <c r="Q491" s="19"/>
      <c r="R491" s="22" t="s">
        <v>4906</v>
      </c>
      <c r="S491" s="22" t="s">
        <v>4905</v>
      </c>
      <c r="T491" s="47"/>
      <c r="U491" s="20"/>
      <c r="V491" s="20"/>
    </row>
    <row r="492" customHeight="1" spans="1:22">
      <c r="A492" s="19">
        <f t="shared" si="9"/>
        <v>22</v>
      </c>
      <c r="B492" s="38" t="s">
        <v>4907</v>
      </c>
      <c r="C492" s="39" t="s">
        <v>4908</v>
      </c>
      <c r="D492" s="20" t="s">
        <v>4909</v>
      </c>
      <c r="E492" s="20" t="s">
        <v>451</v>
      </c>
      <c r="F492" s="38" t="s">
        <v>405</v>
      </c>
      <c r="G492" s="101" t="str">
        <f>VLOOKUP(F492,'01. TH'!$B:$E,3,0)</f>
        <v>1x1x1</v>
      </c>
      <c r="H492" s="19" t="s">
        <v>1593</v>
      </c>
      <c r="I492" s="790">
        <v>45750</v>
      </c>
      <c r="J492" s="38"/>
      <c r="K492" s="19" t="s">
        <v>1839</v>
      </c>
      <c r="L492" s="38" t="s">
        <v>4910</v>
      </c>
      <c r="M492" s="39"/>
      <c r="N492" s="20" t="s">
        <v>3611</v>
      </c>
      <c r="O492" s="39"/>
      <c r="P492" s="20" t="s">
        <v>3613</v>
      </c>
      <c r="Q492" s="49"/>
      <c r="R492" s="39"/>
      <c r="S492" s="39" t="s">
        <v>4590</v>
      </c>
      <c r="T492" s="800"/>
      <c r="U492" s="39"/>
      <c r="V492" s="39"/>
    </row>
    <row r="493" customHeight="1" spans="1:22">
      <c r="A493" s="19">
        <f t="shared" si="9"/>
        <v>23</v>
      </c>
      <c r="B493" s="20" t="s">
        <v>4911</v>
      </c>
      <c r="C493" s="22" t="s">
        <v>4912</v>
      </c>
      <c r="D493" s="20" t="s">
        <v>4731</v>
      </c>
      <c r="E493" s="20" t="s">
        <v>451</v>
      </c>
      <c r="F493" s="20" t="s">
        <v>406</v>
      </c>
      <c r="G493" s="101" t="str">
        <f>VLOOKUP(F493,'01. TH'!$B:$E,3,0)</f>
        <v>4500 x 2000 x 1500</v>
      </c>
      <c r="H493" s="19" t="s">
        <v>1593</v>
      </c>
      <c r="I493" s="19"/>
      <c r="J493" s="20"/>
      <c r="K493" s="19" t="s">
        <v>1839</v>
      </c>
      <c r="L493" s="20"/>
      <c r="M493" s="22" t="s">
        <v>4913</v>
      </c>
      <c r="N493" s="20" t="s">
        <v>3611</v>
      </c>
      <c r="O493" s="22"/>
      <c r="P493" s="20" t="s">
        <v>3613</v>
      </c>
      <c r="Q493" s="19"/>
      <c r="R493" s="22" t="s">
        <v>4914</v>
      </c>
      <c r="S493" s="22" t="s">
        <v>4913</v>
      </c>
      <c r="T493" s="47"/>
      <c r="U493" s="20"/>
      <c r="V493" s="20"/>
    </row>
    <row r="494" customHeight="1" spans="1:22">
      <c r="A494" s="19">
        <f t="shared" si="9"/>
        <v>24</v>
      </c>
      <c r="B494" s="20" t="s">
        <v>4915</v>
      </c>
      <c r="C494" s="22" t="s">
        <v>4916</v>
      </c>
      <c r="D494" s="20" t="s">
        <v>4917</v>
      </c>
      <c r="E494" s="20" t="s">
        <v>451</v>
      </c>
      <c r="F494" s="20" t="s">
        <v>410</v>
      </c>
      <c r="G494" s="101">
        <f>VLOOKUP(F494,'01. TH'!$B:$E,3,0)</f>
        <v>0</v>
      </c>
      <c r="H494" s="19" t="s">
        <v>1593</v>
      </c>
      <c r="I494" s="19" t="s">
        <v>4918</v>
      </c>
      <c r="J494" s="20"/>
      <c r="K494" s="19" t="s">
        <v>1839</v>
      </c>
      <c r="L494" s="20"/>
      <c r="M494" s="22" t="s">
        <v>3925</v>
      </c>
      <c r="N494" s="20" t="s">
        <v>3611</v>
      </c>
      <c r="O494" s="22"/>
      <c r="P494" s="20" t="s">
        <v>3613</v>
      </c>
      <c r="Q494" s="19"/>
      <c r="R494" s="22" t="s">
        <v>4919</v>
      </c>
      <c r="S494" s="22"/>
      <c r="T494" s="47"/>
      <c r="U494" s="20"/>
      <c r="V494" s="20"/>
    </row>
    <row r="495" customHeight="1" spans="1:22">
      <c r="A495" s="19">
        <f t="shared" si="9"/>
        <v>25</v>
      </c>
      <c r="B495" s="20" t="s">
        <v>4920</v>
      </c>
      <c r="C495" s="22" t="s">
        <v>4921</v>
      </c>
      <c r="D495" s="20" t="s">
        <v>4922</v>
      </c>
      <c r="E495" s="20" t="s">
        <v>451</v>
      </c>
      <c r="F495" s="20" t="s">
        <v>410</v>
      </c>
      <c r="G495" s="101">
        <f>VLOOKUP(F495,'01. TH'!$B:$E,3,0)</f>
        <v>0</v>
      </c>
      <c r="H495" s="19" t="s">
        <v>1593</v>
      </c>
      <c r="I495" s="19" t="s">
        <v>4918</v>
      </c>
      <c r="J495" s="20"/>
      <c r="K495" s="19" t="s">
        <v>1839</v>
      </c>
      <c r="L495" s="20"/>
      <c r="M495" s="22" t="s">
        <v>3925</v>
      </c>
      <c r="N495" s="20" t="s">
        <v>3611</v>
      </c>
      <c r="O495" s="22"/>
      <c r="P495" s="20" t="s">
        <v>3613</v>
      </c>
      <c r="Q495" s="19"/>
      <c r="R495" s="22" t="s">
        <v>4919</v>
      </c>
      <c r="S495" s="22"/>
      <c r="T495" s="47"/>
      <c r="U495" s="20"/>
      <c r="V495" s="20"/>
    </row>
    <row r="496" customHeight="1" spans="1:22">
      <c r="A496" s="19">
        <f t="shared" si="9"/>
        <v>26</v>
      </c>
      <c r="B496" s="20" t="s">
        <v>4923</v>
      </c>
      <c r="C496" s="22" t="s">
        <v>4924</v>
      </c>
      <c r="D496" s="20" t="s">
        <v>4925</v>
      </c>
      <c r="E496" s="20" t="s">
        <v>451</v>
      </c>
      <c r="F496" s="20" t="s">
        <v>410</v>
      </c>
      <c r="G496" s="101">
        <f>VLOOKUP(F496,'01. TH'!$B:$E,3,0)</f>
        <v>0</v>
      </c>
      <c r="H496" s="19" t="s">
        <v>1593</v>
      </c>
      <c r="I496" s="19" t="s">
        <v>4918</v>
      </c>
      <c r="J496" s="20"/>
      <c r="K496" s="19" t="s">
        <v>1839</v>
      </c>
      <c r="L496" s="20"/>
      <c r="M496" s="22" t="s">
        <v>3925</v>
      </c>
      <c r="N496" s="20" t="s">
        <v>3611</v>
      </c>
      <c r="O496" s="22"/>
      <c r="P496" s="20" t="s">
        <v>3613</v>
      </c>
      <c r="Q496" s="19"/>
      <c r="R496" s="22" t="s">
        <v>4919</v>
      </c>
      <c r="S496" s="22"/>
      <c r="T496" s="47"/>
      <c r="U496" s="20"/>
      <c r="V496" s="20"/>
    </row>
    <row r="497" customHeight="1" spans="1:22">
      <c r="A497" s="19">
        <f t="shared" si="9"/>
        <v>27</v>
      </c>
      <c r="B497" s="20" t="s">
        <v>4926</v>
      </c>
      <c r="C497" s="22" t="s">
        <v>4927</v>
      </c>
      <c r="D497" s="20" t="s">
        <v>4928</v>
      </c>
      <c r="E497" s="20" t="s">
        <v>451</v>
      </c>
      <c r="F497" s="20" t="s">
        <v>410</v>
      </c>
      <c r="G497" s="101">
        <f>VLOOKUP(F497,'01. TH'!$B:$E,3,0)</f>
        <v>0</v>
      </c>
      <c r="H497" s="19" t="s">
        <v>1593</v>
      </c>
      <c r="I497" s="19" t="s">
        <v>4918</v>
      </c>
      <c r="J497" s="20"/>
      <c r="K497" s="19" t="s">
        <v>1839</v>
      </c>
      <c r="L497" s="20"/>
      <c r="M497" s="22" t="s">
        <v>3925</v>
      </c>
      <c r="N497" s="20" t="s">
        <v>3611</v>
      </c>
      <c r="O497" s="22"/>
      <c r="P497" s="20" t="s">
        <v>3613</v>
      </c>
      <c r="Q497" s="19"/>
      <c r="R497" s="22" t="s">
        <v>4919</v>
      </c>
      <c r="S497" s="22"/>
      <c r="T497" s="47"/>
      <c r="U497" s="20"/>
      <c r="V497" s="20"/>
    </row>
    <row r="498" customHeight="1" spans="1:22">
      <c r="A498" s="19">
        <f t="shared" si="9"/>
        <v>28</v>
      </c>
      <c r="B498" s="20" t="s">
        <v>4929</v>
      </c>
      <c r="C498" s="22" t="s">
        <v>4930</v>
      </c>
      <c r="D498" s="20" t="s">
        <v>4931</v>
      </c>
      <c r="E498" s="20" t="s">
        <v>451</v>
      </c>
      <c r="F498" s="20" t="s">
        <v>410</v>
      </c>
      <c r="G498" s="101">
        <f>VLOOKUP(F498,'01. TH'!$B:$E,3,0)</f>
        <v>0</v>
      </c>
      <c r="H498" s="19" t="s">
        <v>1593</v>
      </c>
      <c r="I498" s="19" t="s">
        <v>4918</v>
      </c>
      <c r="J498" s="20"/>
      <c r="K498" s="19" t="s">
        <v>1839</v>
      </c>
      <c r="L498" s="20"/>
      <c r="M498" s="22" t="s">
        <v>3925</v>
      </c>
      <c r="N498" s="20" t="s">
        <v>3611</v>
      </c>
      <c r="O498" s="22"/>
      <c r="P498" s="20" t="s">
        <v>3613</v>
      </c>
      <c r="Q498" s="19"/>
      <c r="R498" s="22" t="s">
        <v>4919</v>
      </c>
      <c r="S498" s="22"/>
      <c r="T498" s="47"/>
      <c r="U498" s="20"/>
      <c r="V498" s="20"/>
    </row>
    <row r="499" customHeight="1" spans="1:22">
      <c r="A499" s="19">
        <f t="shared" si="9"/>
        <v>29</v>
      </c>
      <c r="B499" s="20" t="s">
        <v>4932</v>
      </c>
      <c r="C499" s="22" t="s">
        <v>4933</v>
      </c>
      <c r="D499" s="20" t="s">
        <v>4934</v>
      </c>
      <c r="E499" s="20" t="s">
        <v>451</v>
      </c>
      <c r="F499" s="20" t="s">
        <v>410</v>
      </c>
      <c r="G499" s="101">
        <f>VLOOKUP(F499,'01. TH'!$B:$E,3,0)</f>
        <v>0</v>
      </c>
      <c r="H499" s="19" t="s">
        <v>1593</v>
      </c>
      <c r="I499" s="19" t="s">
        <v>4918</v>
      </c>
      <c r="J499" s="20"/>
      <c r="K499" s="19" t="s">
        <v>1839</v>
      </c>
      <c r="L499" s="20"/>
      <c r="M499" s="22" t="s">
        <v>3925</v>
      </c>
      <c r="N499" s="20" t="s">
        <v>3611</v>
      </c>
      <c r="O499" s="22"/>
      <c r="P499" s="20" t="s">
        <v>3613</v>
      </c>
      <c r="Q499" s="19"/>
      <c r="R499" s="22" t="s">
        <v>4919</v>
      </c>
      <c r="S499" s="22"/>
      <c r="T499" s="47"/>
      <c r="U499" s="20"/>
      <c r="V499" s="20"/>
    </row>
    <row r="500" customHeight="1" spans="1:22">
      <c r="A500" s="19">
        <f t="shared" si="9"/>
        <v>30</v>
      </c>
      <c r="B500" s="20" t="s">
        <v>4935</v>
      </c>
      <c r="C500" s="22" t="s">
        <v>4936</v>
      </c>
      <c r="D500" s="20" t="s">
        <v>4937</v>
      </c>
      <c r="E500" s="20" t="s">
        <v>451</v>
      </c>
      <c r="F500" s="20" t="s">
        <v>410</v>
      </c>
      <c r="G500" s="101">
        <f>VLOOKUP(F500,'01. TH'!$B:$E,3,0)</f>
        <v>0</v>
      </c>
      <c r="H500" s="19" t="s">
        <v>1593</v>
      </c>
      <c r="I500" s="19" t="s">
        <v>4918</v>
      </c>
      <c r="J500" s="20"/>
      <c r="K500" s="19" t="s">
        <v>1839</v>
      </c>
      <c r="L500" s="20"/>
      <c r="M500" s="22" t="s">
        <v>3925</v>
      </c>
      <c r="N500" s="20" t="s">
        <v>3611</v>
      </c>
      <c r="O500" s="22"/>
      <c r="P500" s="20" t="s">
        <v>3613</v>
      </c>
      <c r="Q500" s="19"/>
      <c r="R500" s="22" t="s">
        <v>4919</v>
      </c>
      <c r="S500" s="22"/>
      <c r="T500" s="47"/>
      <c r="U500" s="20"/>
      <c r="V500" s="20"/>
    </row>
    <row r="501" customHeight="1" spans="1:22">
      <c r="A501" s="19">
        <f t="shared" si="9"/>
        <v>31</v>
      </c>
      <c r="B501" s="20" t="s">
        <v>4938</v>
      </c>
      <c r="C501" s="22" t="s">
        <v>4939</v>
      </c>
      <c r="D501" s="20" t="s">
        <v>4940</v>
      </c>
      <c r="E501" s="20" t="s">
        <v>451</v>
      </c>
      <c r="F501" s="20" t="s">
        <v>410</v>
      </c>
      <c r="G501" s="101">
        <f>VLOOKUP(F501,'01. TH'!$B:$E,3,0)</f>
        <v>0</v>
      </c>
      <c r="H501" s="19" t="s">
        <v>1593</v>
      </c>
      <c r="I501" s="19" t="s">
        <v>4918</v>
      </c>
      <c r="J501" s="20"/>
      <c r="K501" s="19" t="s">
        <v>1839</v>
      </c>
      <c r="L501" s="20"/>
      <c r="M501" s="22" t="s">
        <v>3925</v>
      </c>
      <c r="N501" s="20" t="s">
        <v>3611</v>
      </c>
      <c r="O501" s="22"/>
      <c r="P501" s="20" t="s">
        <v>3613</v>
      </c>
      <c r="Q501" s="19"/>
      <c r="R501" s="22" t="s">
        <v>4919</v>
      </c>
      <c r="S501" s="22"/>
      <c r="T501" s="47"/>
      <c r="U501" s="20"/>
      <c r="V501" s="20"/>
    </row>
    <row r="502" customHeight="1" spans="1:22">
      <c r="A502" s="19">
        <f t="shared" si="9"/>
        <v>32</v>
      </c>
      <c r="B502" s="20" t="s">
        <v>4941</v>
      </c>
      <c r="C502" s="22"/>
      <c r="D502" s="20" t="s">
        <v>4942</v>
      </c>
      <c r="E502" s="20" t="s">
        <v>451</v>
      </c>
      <c r="F502" s="20" t="s">
        <v>4943</v>
      </c>
      <c r="G502" s="101" t="e">
        <f>VLOOKUP(F502,'01. TH'!$B:$E,3,0)</f>
        <v>#N/A</v>
      </c>
      <c r="H502" s="19" t="s">
        <v>1593</v>
      </c>
      <c r="I502" s="19" t="s">
        <v>4282</v>
      </c>
      <c r="J502" s="20"/>
      <c r="K502" s="19" t="s">
        <v>1839</v>
      </c>
      <c r="L502" s="20"/>
      <c r="M502" s="22" t="s">
        <v>3925</v>
      </c>
      <c r="N502" s="20" t="s">
        <v>3611</v>
      </c>
      <c r="O502" s="22"/>
      <c r="P502" s="20" t="s">
        <v>3613</v>
      </c>
      <c r="Q502" s="19"/>
      <c r="R502" s="22" t="s">
        <v>4944</v>
      </c>
      <c r="S502" s="22"/>
      <c r="T502" s="47"/>
      <c r="U502" s="20"/>
      <c r="V502" s="20"/>
    </row>
    <row r="503" customHeight="1" spans="1:22">
      <c r="A503" s="19">
        <f t="shared" si="9"/>
        <v>33</v>
      </c>
      <c r="B503" s="20" t="s">
        <v>4945</v>
      </c>
      <c r="C503" s="22" t="s">
        <v>4946</v>
      </c>
      <c r="D503" s="20" t="s">
        <v>4947</v>
      </c>
      <c r="E503" s="20" t="s">
        <v>451</v>
      </c>
      <c r="F503" s="20" t="s">
        <v>4315</v>
      </c>
      <c r="G503" s="101" t="e">
        <f>VLOOKUP(F503,'01. TH'!$B:$E,3,0)</f>
        <v>#N/A</v>
      </c>
      <c r="H503" s="19" t="s">
        <v>1593</v>
      </c>
      <c r="I503" s="58">
        <v>45359</v>
      </c>
      <c r="J503" s="20"/>
      <c r="K503" s="19" t="s">
        <v>1839</v>
      </c>
      <c r="L503" s="20"/>
      <c r="M503" s="22" t="s">
        <v>3925</v>
      </c>
      <c r="N503" s="20" t="s">
        <v>4316</v>
      </c>
      <c r="O503" s="22" t="s">
        <v>4317</v>
      </c>
      <c r="P503" s="20" t="s">
        <v>3613</v>
      </c>
      <c r="Q503" s="19">
        <v>2024</v>
      </c>
      <c r="R503" s="22" t="s">
        <v>4948</v>
      </c>
      <c r="S503" s="22"/>
      <c r="T503" s="47">
        <v>0.56</v>
      </c>
      <c r="U503" s="20" t="s">
        <v>4318</v>
      </c>
      <c r="V503" s="20"/>
    </row>
    <row r="504" customHeight="1" spans="1:22">
      <c r="A504" s="19">
        <f t="shared" si="9"/>
        <v>34</v>
      </c>
      <c r="B504" s="20" t="s">
        <v>4949</v>
      </c>
      <c r="C504" s="22" t="s">
        <v>4950</v>
      </c>
      <c r="D504" s="20" t="s">
        <v>4951</v>
      </c>
      <c r="E504" s="20" t="s">
        <v>451</v>
      </c>
      <c r="F504" s="20" t="s">
        <v>4315</v>
      </c>
      <c r="G504" s="101" t="e">
        <f>VLOOKUP(F504,'01. TH'!$B:$E,3,0)</f>
        <v>#N/A</v>
      </c>
      <c r="H504" s="19" t="s">
        <v>1593</v>
      </c>
      <c r="I504" s="19" t="s">
        <v>4952</v>
      </c>
      <c r="J504" s="20"/>
      <c r="K504" s="19" t="s">
        <v>1839</v>
      </c>
      <c r="L504" s="20"/>
      <c r="M504" s="22" t="s">
        <v>3925</v>
      </c>
      <c r="N504" s="20" t="s">
        <v>4316</v>
      </c>
      <c r="O504" s="22" t="s">
        <v>4317</v>
      </c>
      <c r="P504" s="20" t="s">
        <v>3613</v>
      </c>
      <c r="Q504" s="19">
        <v>2024</v>
      </c>
      <c r="R504" s="22" t="s">
        <v>4948</v>
      </c>
      <c r="S504" s="22" t="s">
        <v>4953</v>
      </c>
      <c r="T504" s="47">
        <v>0.56</v>
      </c>
      <c r="U504" s="20" t="s">
        <v>4318</v>
      </c>
      <c r="V504" s="20"/>
    </row>
    <row r="505" customHeight="1" spans="1:22">
      <c r="A505" s="19">
        <f t="shared" si="9"/>
        <v>35</v>
      </c>
      <c r="B505" s="20" t="s">
        <v>4954</v>
      </c>
      <c r="C505" s="22"/>
      <c r="D505" s="20" t="s">
        <v>4955</v>
      </c>
      <c r="E505" s="20" t="s">
        <v>451</v>
      </c>
      <c r="F505" s="20" t="s">
        <v>4315</v>
      </c>
      <c r="G505" s="101" t="e">
        <f>VLOOKUP(F505,'01. TH'!$B:$E,3,0)</f>
        <v>#N/A</v>
      </c>
      <c r="H505" s="19" t="s">
        <v>1593</v>
      </c>
      <c r="I505" s="19" t="s">
        <v>3657</v>
      </c>
      <c r="J505" s="20"/>
      <c r="K505" s="19" t="s">
        <v>1839</v>
      </c>
      <c r="L505" s="20"/>
      <c r="M505" s="22" t="s">
        <v>3925</v>
      </c>
      <c r="N505" s="20" t="s">
        <v>4316</v>
      </c>
      <c r="O505" s="22" t="s">
        <v>4317</v>
      </c>
      <c r="P505" s="20" t="s">
        <v>3613</v>
      </c>
      <c r="Q505" s="19">
        <v>2024</v>
      </c>
      <c r="R505" s="22" t="s">
        <v>4948</v>
      </c>
      <c r="S505" s="22" t="s">
        <v>4956</v>
      </c>
      <c r="T505" s="47">
        <v>0.56</v>
      </c>
      <c r="U505" s="20" t="s">
        <v>4318</v>
      </c>
      <c r="V505" s="20"/>
    </row>
    <row r="506" customHeight="1" spans="1:22">
      <c r="A506" s="19">
        <f t="shared" si="9"/>
        <v>36</v>
      </c>
      <c r="B506" s="20" t="s">
        <v>4957</v>
      </c>
      <c r="C506" s="22" t="s">
        <v>4958</v>
      </c>
      <c r="D506" s="24" t="s">
        <v>4770</v>
      </c>
      <c r="E506" s="20" t="s">
        <v>451</v>
      </c>
      <c r="F506" s="20" t="s">
        <v>4315</v>
      </c>
      <c r="G506" s="101" t="e">
        <f>VLOOKUP(F506,'01. TH'!$B:$E,3,0)</f>
        <v>#N/A</v>
      </c>
      <c r="H506" s="19" t="s">
        <v>1593</v>
      </c>
      <c r="I506" s="19" t="s">
        <v>4959</v>
      </c>
      <c r="J506" s="20"/>
      <c r="K506" s="19" t="s">
        <v>1839</v>
      </c>
      <c r="L506" s="20"/>
      <c r="M506" s="22" t="s">
        <v>3925</v>
      </c>
      <c r="N506" s="20" t="s">
        <v>4316</v>
      </c>
      <c r="O506" s="22" t="s">
        <v>4317</v>
      </c>
      <c r="P506" s="20" t="s">
        <v>3613</v>
      </c>
      <c r="Q506" s="19">
        <v>2024</v>
      </c>
      <c r="R506" s="22" t="s">
        <v>4948</v>
      </c>
      <c r="S506" s="22" t="s">
        <v>4960</v>
      </c>
      <c r="T506" s="47">
        <v>0.56</v>
      </c>
      <c r="U506" s="20" t="s">
        <v>4318</v>
      </c>
      <c r="V506" s="20"/>
    </row>
    <row r="507" customHeight="1" spans="1:22">
      <c r="A507" s="19">
        <f t="shared" si="9"/>
        <v>37</v>
      </c>
      <c r="B507" s="20" t="s">
        <v>4961</v>
      </c>
      <c r="C507" s="22" t="s">
        <v>4962</v>
      </c>
      <c r="D507" s="24" t="s">
        <v>4963</v>
      </c>
      <c r="E507" s="20" t="s">
        <v>451</v>
      </c>
      <c r="F507" s="20" t="s">
        <v>4315</v>
      </c>
      <c r="G507" s="101" t="e">
        <f>VLOOKUP(F507,'01. TH'!$B:$E,3,0)</f>
        <v>#N/A</v>
      </c>
      <c r="H507" s="19" t="s">
        <v>1593</v>
      </c>
      <c r="I507" s="19" t="s">
        <v>4952</v>
      </c>
      <c r="J507" s="20"/>
      <c r="K507" s="19" t="s">
        <v>1839</v>
      </c>
      <c r="L507" s="19" t="s">
        <v>4964</v>
      </c>
      <c r="M507" s="22" t="s">
        <v>4965</v>
      </c>
      <c r="N507" s="20" t="s">
        <v>4316</v>
      </c>
      <c r="O507" s="22" t="s">
        <v>4317</v>
      </c>
      <c r="P507" s="20" t="s">
        <v>3613</v>
      </c>
      <c r="Q507" s="19">
        <v>2024</v>
      </c>
      <c r="R507" s="22" t="s">
        <v>4966</v>
      </c>
      <c r="S507" s="22" t="s">
        <v>4967</v>
      </c>
      <c r="T507" s="47">
        <v>0.56</v>
      </c>
      <c r="U507" s="20" t="s">
        <v>4318</v>
      </c>
      <c r="V507" s="20"/>
    </row>
    <row r="508" customHeight="1" spans="1:22">
      <c r="A508" s="19">
        <f t="shared" si="9"/>
        <v>38</v>
      </c>
      <c r="B508" s="20" t="s">
        <v>4968</v>
      </c>
      <c r="C508" s="22"/>
      <c r="D508" s="20" t="s">
        <v>4969</v>
      </c>
      <c r="E508" s="20" t="s">
        <v>451</v>
      </c>
      <c r="F508" s="20" t="s">
        <v>4315</v>
      </c>
      <c r="G508" s="101" t="e">
        <f>VLOOKUP(F508,'01. TH'!$B:$E,3,0)</f>
        <v>#N/A</v>
      </c>
      <c r="H508" s="19" t="s">
        <v>1593</v>
      </c>
      <c r="I508" s="58">
        <v>45933</v>
      </c>
      <c r="J508" s="20"/>
      <c r="K508" s="19" t="s">
        <v>1839</v>
      </c>
      <c r="L508" s="19"/>
      <c r="M508" s="22" t="s">
        <v>4965</v>
      </c>
      <c r="N508" s="20" t="s">
        <v>4316</v>
      </c>
      <c r="O508" s="22" t="s">
        <v>4317</v>
      </c>
      <c r="P508" s="20" t="s">
        <v>3613</v>
      </c>
      <c r="Q508" s="19">
        <v>2025</v>
      </c>
      <c r="R508" s="22" t="s">
        <v>4966</v>
      </c>
      <c r="S508" s="22" t="s">
        <v>4970</v>
      </c>
      <c r="T508" s="47">
        <v>0.56</v>
      </c>
      <c r="U508" s="20" t="s">
        <v>4318</v>
      </c>
      <c r="V508" s="20"/>
    </row>
    <row r="509" customHeight="1" spans="1:22">
      <c r="A509" s="19">
        <f t="shared" si="9"/>
        <v>39</v>
      </c>
      <c r="B509" s="20" t="s">
        <v>4971</v>
      </c>
      <c r="C509" s="22"/>
      <c r="D509" s="20" t="s">
        <v>4972</v>
      </c>
      <c r="E509" s="20" t="s">
        <v>451</v>
      </c>
      <c r="F509" s="20" t="s">
        <v>4315</v>
      </c>
      <c r="G509" s="101" t="e">
        <f>VLOOKUP(F509,'01. TH'!$B:$E,3,0)</f>
        <v>#N/A</v>
      </c>
      <c r="H509" s="19" t="s">
        <v>1593</v>
      </c>
      <c r="I509" s="19" t="s">
        <v>4973</v>
      </c>
      <c r="J509" s="20"/>
      <c r="K509" s="19" t="s">
        <v>1839</v>
      </c>
      <c r="L509" s="19"/>
      <c r="M509" s="22" t="s">
        <v>4965</v>
      </c>
      <c r="N509" s="20" t="s">
        <v>4316</v>
      </c>
      <c r="O509" s="22" t="s">
        <v>4317</v>
      </c>
      <c r="P509" s="20" t="s">
        <v>3613</v>
      </c>
      <c r="Q509" s="19">
        <v>2025</v>
      </c>
      <c r="R509" s="22" t="s">
        <v>4966</v>
      </c>
      <c r="S509" s="22"/>
      <c r="T509" s="47">
        <v>0.56</v>
      </c>
      <c r="U509" s="20" t="s">
        <v>4318</v>
      </c>
      <c r="V509" s="20"/>
    </row>
    <row r="510" customHeight="1" spans="1:22">
      <c r="A510" s="19">
        <f t="shared" si="9"/>
        <v>40</v>
      </c>
      <c r="B510" s="20" t="s">
        <v>4974</v>
      </c>
      <c r="C510" s="22"/>
      <c r="D510" s="20" t="s">
        <v>4975</v>
      </c>
      <c r="E510" s="20" t="s">
        <v>451</v>
      </c>
      <c r="F510" s="20" t="s">
        <v>4315</v>
      </c>
      <c r="G510" s="101" t="e">
        <f>VLOOKUP(F510,'01. TH'!$B:$E,3,0)</f>
        <v>#N/A</v>
      </c>
      <c r="H510" s="19" t="s">
        <v>1593</v>
      </c>
      <c r="I510" s="19" t="s">
        <v>4973</v>
      </c>
      <c r="J510" s="20"/>
      <c r="K510" s="19" t="s">
        <v>1839</v>
      </c>
      <c r="L510" s="19"/>
      <c r="M510" s="22" t="s">
        <v>4965</v>
      </c>
      <c r="N510" s="20" t="s">
        <v>4316</v>
      </c>
      <c r="O510" s="22" t="s">
        <v>4317</v>
      </c>
      <c r="P510" s="20" t="s">
        <v>3613</v>
      </c>
      <c r="Q510" s="19">
        <v>2025</v>
      </c>
      <c r="R510" s="22" t="s">
        <v>4966</v>
      </c>
      <c r="S510" s="22"/>
      <c r="T510" s="47">
        <v>0.56</v>
      </c>
      <c r="U510" s="20" t="s">
        <v>4318</v>
      </c>
      <c r="V510" s="20"/>
    </row>
    <row r="511" customHeight="1" spans="1:22">
      <c r="A511" s="19">
        <f t="shared" si="9"/>
        <v>41</v>
      </c>
      <c r="B511" s="20" t="s">
        <v>4976</v>
      </c>
      <c r="C511" s="22"/>
      <c r="D511" s="20" t="s">
        <v>4977</v>
      </c>
      <c r="E511" s="20" t="s">
        <v>451</v>
      </c>
      <c r="F511" s="20" t="s">
        <v>4315</v>
      </c>
      <c r="G511" s="101" t="e">
        <f>VLOOKUP(F511,'01. TH'!$B:$E,3,0)</f>
        <v>#N/A</v>
      </c>
      <c r="H511" s="19" t="s">
        <v>1593</v>
      </c>
      <c r="I511" s="19" t="s">
        <v>2029</v>
      </c>
      <c r="J511" s="20"/>
      <c r="K511" s="19" t="s">
        <v>1839</v>
      </c>
      <c r="L511" s="19"/>
      <c r="M511" s="22" t="s">
        <v>4965</v>
      </c>
      <c r="N511" s="20" t="s">
        <v>4316</v>
      </c>
      <c r="O511" s="22" t="s">
        <v>4978</v>
      </c>
      <c r="P511" s="20" t="s">
        <v>3613</v>
      </c>
      <c r="Q511" s="19">
        <v>2025</v>
      </c>
      <c r="R511" s="22" t="s">
        <v>4966</v>
      </c>
      <c r="S511" s="22">
        <v>14</v>
      </c>
      <c r="T511" s="47">
        <v>0.56</v>
      </c>
      <c r="U511" s="20" t="s">
        <v>4318</v>
      </c>
      <c r="V511" s="20"/>
    </row>
    <row r="512" customHeight="1" spans="1:22">
      <c r="A512" s="19">
        <f t="shared" si="9"/>
        <v>42</v>
      </c>
      <c r="B512" s="20" t="s">
        <v>4979</v>
      </c>
      <c r="C512" s="22"/>
      <c r="D512" s="20" t="s">
        <v>4980</v>
      </c>
      <c r="E512" s="20" t="s">
        <v>451</v>
      </c>
      <c r="F512" s="20" t="s">
        <v>4315</v>
      </c>
      <c r="G512" s="101" t="e">
        <f>VLOOKUP(F512,'01. TH'!$B:$E,3,0)</f>
        <v>#N/A</v>
      </c>
      <c r="H512" s="19" t="s">
        <v>1593</v>
      </c>
      <c r="I512" s="19" t="s">
        <v>4981</v>
      </c>
      <c r="J512" s="20"/>
      <c r="K512" s="19" t="s">
        <v>1839</v>
      </c>
      <c r="L512" s="19"/>
      <c r="M512" s="22" t="s">
        <v>4965</v>
      </c>
      <c r="N512" s="20" t="s">
        <v>4316</v>
      </c>
      <c r="O512" s="22" t="s">
        <v>4982</v>
      </c>
      <c r="P512" s="20" t="s">
        <v>3613</v>
      </c>
      <c r="Q512" s="19">
        <v>2025</v>
      </c>
      <c r="R512" s="22" t="s">
        <v>4966</v>
      </c>
      <c r="S512" s="22"/>
      <c r="T512" s="47">
        <v>0.56</v>
      </c>
      <c r="U512" s="20" t="s">
        <v>4318</v>
      </c>
      <c r="V512" s="20"/>
    </row>
    <row r="513" customHeight="1" spans="1:22">
      <c r="A513" s="19">
        <f t="shared" si="9"/>
        <v>43</v>
      </c>
      <c r="B513" s="20" t="s">
        <v>4983</v>
      </c>
      <c r="C513" s="22"/>
      <c r="D513" s="20" t="s">
        <v>4984</v>
      </c>
      <c r="E513" s="20" t="s">
        <v>451</v>
      </c>
      <c r="F513" s="20" t="s">
        <v>4315</v>
      </c>
      <c r="G513" s="101" t="e">
        <f>VLOOKUP(F513,'01. TH'!$B:$E,3,0)</f>
        <v>#N/A</v>
      </c>
      <c r="H513" s="19" t="s">
        <v>1593</v>
      </c>
      <c r="I513" s="58">
        <v>45848</v>
      </c>
      <c r="J513" s="20"/>
      <c r="K513" s="19" t="s">
        <v>1839</v>
      </c>
      <c r="L513" s="19"/>
      <c r="M513" s="22" t="s">
        <v>4965</v>
      </c>
      <c r="N513" s="20" t="s">
        <v>4316</v>
      </c>
      <c r="O513" s="22" t="s">
        <v>4985</v>
      </c>
      <c r="P513" s="20" t="s">
        <v>3613</v>
      </c>
      <c r="Q513" s="19">
        <v>2025</v>
      </c>
      <c r="R513" s="22" t="s">
        <v>4966</v>
      </c>
      <c r="S513" s="22"/>
      <c r="T513" s="47">
        <v>0.56</v>
      </c>
      <c r="U513" s="20" t="s">
        <v>4318</v>
      </c>
      <c r="V513" s="20"/>
    </row>
    <row r="514" customHeight="1" spans="1:22">
      <c r="A514" s="19">
        <f t="shared" si="9"/>
        <v>44</v>
      </c>
      <c r="B514" s="20" t="s">
        <v>4986</v>
      </c>
      <c r="C514" s="22"/>
      <c r="D514" s="20" t="s">
        <v>4987</v>
      </c>
      <c r="E514" s="20" t="s">
        <v>451</v>
      </c>
      <c r="F514" s="20" t="s">
        <v>4651</v>
      </c>
      <c r="G514" s="101" t="e">
        <f>VLOOKUP(F514,'01. TH'!$B:$E,3,0)</f>
        <v>#N/A</v>
      </c>
      <c r="H514" s="19" t="s">
        <v>1593</v>
      </c>
      <c r="I514" s="19" t="s">
        <v>4988</v>
      </c>
      <c r="J514" s="20"/>
      <c r="K514" s="19" t="s">
        <v>1839</v>
      </c>
      <c r="L514" s="19"/>
      <c r="M514" s="22" t="s">
        <v>4965</v>
      </c>
      <c r="N514" s="20" t="s">
        <v>4989</v>
      </c>
      <c r="O514" s="22"/>
      <c r="P514" s="20"/>
      <c r="Q514" s="19">
        <v>2025</v>
      </c>
      <c r="R514" s="22" t="s">
        <v>4652</v>
      </c>
      <c r="S514" s="22" t="s">
        <v>4653</v>
      </c>
      <c r="T514" s="47"/>
      <c r="U514" s="20" t="s">
        <v>4318</v>
      </c>
      <c r="V514" s="20"/>
    </row>
    <row r="515" customHeight="1" spans="1:22">
      <c r="A515" s="19">
        <f t="shared" si="9"/>
        <v>45</v>
      </c>
      <c r="B515" s="20" t="s">
        <v>4990</v>
      </c>
      <c r="C515" s="22"/>
      <c r="D515" s="20" t="s">
        <v>4991</v>
      </c>
      <c r="E515" s="20" t="s">
        <v>451</v>
      </c>
      <c r="F515" s="20" t="s">
        <v>4315</v>
      </c>
      <c r="G515" s="101" t="e">
        <f>VLOOKUP(F515,'01. TH'!$B:$E,3,0)</f>
        <v>#N/A</v>
      </c>
      <c r="H515" s="19" t="s">
        <v>1593</v>
      </c>
      <c r="I515" s="58">
        <v>45880</v>
      </c>
      <c r="J515" s="20"/>
      <c r="K515" s="19" t="s">
        <v>1839</v>
      </c>
      <c r="L515" s="19"/>
      <c r="M515" s="22" t="s">
        <v>4965</v>
      </c>
      <c r="N515" s="20" t="s">
        <v>4316</v>
      </c>
      <c r="O515" s="22" t="s">
        <v>4992</v>
      </c>
      <c r="P515" s="20" t="s">
        <v>3613</v>
      </c>
      <c r="Q515" s="19">
        <v>2025</v>
      </c>
      <c r="R515" s="22" t="s">
        <v>4966</v>
      </c>
      <c r="S515" s="22"/>
      <c r="T515" s="47">
        <v>0.56</v>
      </c>
      <c r="U515" s="20" t="s">
        <v>4318</v>
      </c>
      <c r="V515" s="20"/>
    </row>
    <row r="516" customHeight="1" spans="1:22">
      <c r="A516" s="19">
        <f t="shared" si="9"/>
        <v>46</v>
      </c>
      <c r="B516" s="20" t="s">
        <v>4993</v>
      </c>
      <c r="C516" s="22"/>
      <c r="D516" s="20" t="s">
        <v>4994</v>
      </c>
      <c r="E516" s="20" t="s">
        <v>451</v>
      </c>
      <c r="F516" s="20" t="s">
        <v>4315</v>
      </c>
      <c r="G516" s="101"/>
      <c r="H516" s="19" t="s">
        <v>1593</v>
      </c>
      <c r="I516" s="58">
        <v>46235</v>
      </c>
      <c r="J516" s="20"/>
      <c r="K516" s="19" t="s">
        <v>1839</v>
      </c>
      <c r="L516" s="19"/>
      <c r="M516" s="22" t="s">
        <v>4965</v>
      </c>
      <c r="N516" s="20"/>
      <c r="O516" s="22" t="s">
        <v>4995</v>
      </c>
      <c r="P516" s="20" t="s">
        <v>3613</v>
      </c>
      <c r="Q516" s="19">
        <v>2025</v>
      </c>
      <c r="R516" s="22" t="s">
        <v>4966</v>
      </c>
      <c r="S516" s="22"/>
      <c r="T516" s="47">
        <v>0.56</v>
      </c>
      <c r="U516" s="20" t="s">
        <v>4318</v>
      </c>
      <c r="V516" s="20"/>
    </row>
    <row r="517" customHeight="1" spans="1:22">
      <c r="A517" s="19">
        <f t="shared" si="9"/>
        <v>47</v>
      </c>
      <c r="B517" s="20" t="s">
        <v>4996</v>
      </c>
      <c r="C517" s="22"/>
      <c r="D517" s="20" t="s">
        <v>4997</v>
      </c>
      <c r="E517" s="20" t="s">
        <v>451</v>
      </c>
      <c r="F517" s="20" t="s">
        <v>4315</v>
      </c>
      <c r="G517" s="101"/>
      <c r="H517" s="19" t="s">
        <v>1593</v>
      </c>
      <c r="I517" s="19" t="s">
        <v>4998</v>
      </c>
      <c r="J517" s="20"/>
      <c r="K517" s="19" t="s">
        <v>1839</v>
      </c>
      <c r="L517" s="19"/>
      <c r="M517" s="22" t="s">
        <v>4965</v>
      </c>
      <c r="N517" s="20"/>
      <c r="O517" s="22" t="s">
        <v>4999</v>
      </c>
      <c r="P517" s="20" t="s">
        <v>3613</v>
      </c>
      <c r="Q517" s="19">
        <v>2025</v>
      </c>
      <c r="R517" s="22" t="s">
        <v>4966</v>
      </c>
      <c r="S517" s="22"/>
      <c r="T517" s="47">
        <v>0.56</v>
      </c>
      <c r="U517" s="20" t="s">
        <v>4318</v>
      </c>
      <c r="V517" s="20"/>
    </row>
    <row r="518" customHeight="1" spans="1:22">
      <c r="A518" s="19">
        <f t="shared" si="9"/>
        <v>48</v>
      </c>
      <c r="B518" s="20" t="s">
        <v>5000</v>
      </c>
      <c r="C518" s="22"/>
      <c r="D518" s="20" t="s">
        <v>5001</v>
      </c>
      <c r="E518" s="20" t="s">
        <v>451</v>
      </c>
      <c r="F518" s="20" t="s">
        <v>4315</v>
      </c>
      <c r="G518" s="101"/>
      <c r="H518" s="19" t="s">
        <v>1593</v>
      </c>
      <c r="I518" s="19" t="s">
        <v>5002</v>
      </c>
      <c r="J518" s="20"/>
      <c r="K518" s="19" t="s">
        <v>1839</v>
      </c>
      <c r="L518" s="19"/>
      <c r="M518" s="22" t="s">
        <v>4965</v>
      </c>
      <c r="N518" s="20"/>
      <c r="O518" s="22"/>
      <c r="P518" s="20"/>
      <c r="Q518" s="19"/>
      <c r="R518" s="22"/>
      <c r="S518" s="22"/>
      <c r="T518" s="47">
        <v>0.56</v>
      </c>
      <c r="U518" s="20" t="s">
        <v>4318</v>
      </c>
      <c r="V518" s="20"/>
    </row>
    <row r="519" customHeight="1" spans="1:22">
      <c r="A519" s="19">
        <f t="shared" si="9"/>
        <v>49</v>
      </c>
      <c r="B519" s="20" t="s">
        <v>5003</v>
      </c>
      <c r="C519" s="22"/>
      <c r="D519" s="20"/>
      <c r="E519" s="20" t="s">
        <v>451</v>
      </c>
      <c r="F519" s="20" t="s">
        <v>5004</v>
      </c>
      <c r="G519" s="101"/>
      <c r="H519" s="19" t="s">
        <v>1593</v>
      </c>
      <c r="I519" s="19" t="s">
        <v>5005</v>
      </c>
      <c r="J519" s="20"/>
      <c r="K519" s="19" t="s">
        <v>1839</v>
      </c>
      <c r="L519" s="19"/>
      <c r="M519" s="22"/>
      <c r="N519" s="20" t="s">
        <v>4989</v>
      </c>
      <c r="O519" s="22"/>
      <c r="P519" s="20"/>
      <c r="Q519" s="19">
        <v>2026</v>
      </c>
      <c r="R519" s="22" t="s">
        <v>4652</v>
      </c>
      <c r="S519" s="22" t="s">
        <v>4653</v>
      </c>
      <c r="T519" s="47"/>
      <c r="U519" s="20"/>
      <c r="V519" s="20"/>
    </row>
    <row r="520" customHeight="1" spans="1:22">
      <c r="A520" s="19">
        <f t="shared" si="9"/>
        <v>50</v>
      </c>
      <c r="B520" s="20" t="s">
        <v>5006</v>
      </c>
      <c r="C520" s="22" t="s">
        <v>5007</v>
      </c>
      <c r="D520" s="20"/>
      <c r="E520" s="20" t="s">
        <v>451</v>
      </c>
      <c r="F520" s="20" t="s">
        <v>5008</v>
      </c>
      <c r="G520" s="101" t="e">
        <f>VLOOKUP(F520,'01. TH'!$B:$E,3,0)</f>
        <v>#N/A</v>
      </c>
      <c r="H520" s="19" t="s">
        <v>1593</v>
      </c>
      <c r="I520" s="19" t="s">
        <v>4371</v>
      </c>
      <c r="J520" s="20"/>
      <c r="K520" s="19" t="s">
        <v>1839</v>
      </c>
      <c r="L520" s="19" t="s">
        <v>5009</v>
      </c>
      <c r="M520" s="22" t="s">
        <v>5010</v>
      </c>
      <c r="N520" s="20" t="s">
        <v>3611</v>
      </c>
      <c r="O520" s="22" t="s">
        <v>5011</v>
      </c>
      <c r="P520" s="20" t="s">
        <v>3613</v>
      </c>
      <c r="Q520" s="19"/>
      <c r="R520" s="22" t="s">
        <v>5012</v>
      </c>
      <c r="S520" s="22"/>
      <c r="T520" s="47"/>
      <c r="U520" s="20"/>
      <c r="V520" s="20"/>
    </row>
    <row r="521" customHeight="1" spans="1:22">
      <c r="A521" s="19">
        <f t="shared" si="9"/>
        <v>51</v>
      </c>
      <c r="B521" s="20" t="s">
        <v>5013</v>
      </c>
      <c r="C521" s="22" t="s">
        <v>5014</v>
      </c>
      <c r="D521" s="20"/>
      <c r="E521" s="20" t="s">
        <v>451</v>
      </c>
      <c r="F521" s="20" t="s">
        <v>5008</v>
      </c>
      <c r="G521" s="101" t="e">
        <f>VLOOKUP(F521,'01. TH'!$B:$E,3,0)</f>
        <v>#N/A</v>
      </c>
      <c r="H521" s="19" t="s">
        <v>1593</v>
      </c>
      <c r="I521" s="19" t="s">
        <v>4371</v>
      </c>
      <c r="J521" s="20"/>
      <c r="K521" s="19" t="s">
        <v>1839</v>
      </c>
      <c r="L521" s="19"/>
      <c r="M521" s="22" t="s">
        <v>5010</v>
      </c>
      <c r="N521" s="20" t="s">
        <v>3611</v>
      </c>
      <c r="O521" s="22" t="s">
        <v>5011</v>
      </c>
      <c r="P521" s="20" t="s">
        <v>3613</v>
      </c>
      <c r="Q521" s="19"/>
      <c r="R521" s="22" t="s">
        <v>5012</v>
      </c>
      <c r="S521" s="22"/>
      <c r="T521" s="47"/>
      <c r="U521" s="20"/>
      <c r="V521" s="20"/>
    </row>
    <row r="522" customHeight="1" spans="1:22">
      <c r="A522" s="19">
        <f t="shared" si="9"/>
        <v>52</v>
      </c>
      <c r="B522" s="20" t="s">
        <v>5015</v>
      </c>
      <c r="C522" s="22" t="s">
        <v>5016</v>
      </c>
      <c r="D522" s="20"/>
      <c r="E522" s="20" t="s">
        <v>451</v>
      </c>
      <c r="F522" s="20" t="s">
        <v>4370</v>
      </c>
      <c r="G522" s="101" t="e">
        <f>VLOOKUP(F522,'01. TH'!$B:$E,3,0)</f>
        <v>#N/A</v>
      </c>
      <c r="H522" s="19" t="s">
        <v>1593</v>
      </c>
      <c r="I522" s="19" t="s">
        <v>4371</v>
      </c>
      <c r="J522" s="20"/>
      <c r="K522" s="19" t="s">
        <v>1839</v>
      </c>
      <c r="L522" s="19"/>
      <c r="M522" s="22" t="s">
        <v>5010</v>
      </c>
      <c r="N522" s="20" t="s">
        <v>3611</v>
      </c>
      <c r="O522" s="22" t="s">
        <v>5017</v>
      </c>
      <c r="P522" s="20" t="s">
        <v>3613</v>
      </c>
      <c r="Q522" s="19">
        <v>2023</v>
      </c>
      <c r="R522" s="22" t="s">
        <v>5018</v>
      </c>
      <c r="S522" s="22"/>
      <c r="T522" s="47"/>
      <c r="U522" s="20"/>
      <c r="V522" s="20"/>
    </row>
    <row r="523" customHeight="1" spans="1:22">
      <c r="A523" s="19">
        <f t="shared" si="9"/>
        <v>53</v>
      </c>
      <c r="B523" s="20" t="s">
        <v>5019</v>
      </c>
      <c r="C523" s="22" t="s">
        <v>5020</v>
      </c>
      <c r="D523" s="20" t="s">
        <v>5021</v>
      </c>
      <c r="E523" s="20" t="s">
        <v>451</v>
      </c>
      <c r="F523" s="20" t="s">
        <v>4377</v>
      </c>
      <c r="G523" s="101" t="e">
        <f>VLOOKUP(F523,'01. TH'!$B:$E,3,0)</f>
        <v>#N/A</v>
      </c>
      <c r="H523" s="19" t="s">
        <v>1593</v>
      </c>
      <c r="I523" s="19" t="s">
        <v>5022</v>
      </c>
      <c r="J523" s="20"/>
      <c r="K523" s="19" t="s">
        <v>1839</v>
      </c>
      <c r="L523" s="19" t="s">
        <v>5023</v>
      </c>
      <c r="M523" s="22" t="s">
        <v>4628</v>
      </c>
      <c r="N523" s="20" t="s">
        <v>3611</v>
      </c>
      <c r="O523" s="22" t="s">
        <v>5024</v>
      </c>
      <c r="P523" s="20" t="s">
        <v>3613</v>
      </c>
      <c r="Q523" s="19">
        <v>2025</v>
      </c>
      <c r="R523" s="22"/>
      <c r="S523" s="22"/>
      <c r="T523" s="47"/>
      <c r="U523" s="20"/>
      <c r="V523" s="20"/>
    </row>
    <row r="524" customHeight="1" spans="1:22">
      <c r="A524" s="19">
        <f t="shared" si="9"/>
        <v>54</v>
      </c>
      <c r="B524" s="20" t="s">
        <v>5025</v>
      </c>
      <c r="C524" s="22"/>
      <c r="D524" s="20" t="s">
        <v>5026</v>
      </c>
      <c r="E524" s="20" t="s">
        <v>451</v>
      </c>
      <c r="F524" s="20" t="s">
        <v>4377</v>
      </c>
      <c r="G524" s="101" t="e">
        <f>VLOOKUP(F524,'01. TH'!$B:$E,3,0)</f>
        <v>#N/A</v>
      </c>
      <c r="H524" s="19" t="s">
        <v>1593</v>
      </c>
      <c r="I524" s="19" t="s">
        <v>5027</v>
      </c>
      <c r="J524" s="20"/>
      <c r="K524" s="19" t="s">
        <v>1839</v>
      </c>
      <c r="L524" s="19"/>
      <c r="M524" s="22" t="s">
        <v>3925</v>
      </c>
      <c r="N524" s="20"/>
      <c r="O524" s="22"/>
      <c r="P524" s="20"/>
      <c r="Q524" s="19"/>
      <c r="R524" s="22"/>
      <c r="S524" s="22"/>
      <c r="T524" s="47"/>
      <c r="U524" s="20"/>
      <c r="V524" s="20"/>
    </row>
    <row r="525" customHeight="1" spans="1:22">
      <c r="A525" s="19">
        <f t="shared" si="9"/>
        <v>55</v>
      </c>
      <c r="B525" s="20" t="s">
        <v>5028</v>
      </c>
      <c r="C525" s="22" t="s">
        <v>5029</v>
      </c>
      <c r="D525" s="20"/>
      <c r="E525" s="20" t="s">
        <v>451</v>
      </c>
      <c r="F525" s="20" t="s">
        <v>5030</v>
      </c>
      <c r="G525" s="101" t="e">
        <f>VLOOKUP(F525,'01. TH'!$B:$E,3,0)</f>
        <v>#N/A</v>
      </c>
      <c r="H525" s="19" t="s">
        <v>1593</v>
      </c>
      <c r="I525" s="19" t="s">
        <v>5031</v>
      </c>
      <c r="J525" s="20"/>
      <c r="K525" s="19" t="s">
        <v>1839</v>
      </c>
      <c r="L525" s="19"/>
      <c r="M525" s="22" t="s">
        <v>3925</v>
      </c>
      <c r="N525" s="20" t="s">
        <v>3611</v>
      </c>
      <c r="O525" s="22"/>
      <c r="P525" s="20" t="s">
        <v>3613</v>
      </c>
      <c r="Q525" s="19">
        <v>2024</v>
      </c>
      <c r="R525" s="22" t="s">
        <v>5032</v>
      </c>
      <c r="S525" s="22"/>
      <c r="T525" s="47"/>
      <c r="U525" s="20"/>
      <c r="V525" s="20"/>
    </row>
    <row r="526" customHeight="1" spans="1:22">
      <c r="A526" s="19">
        <f t="shared" si="9"/>
        <v>56</v>
      </c>
      <c r="B526" s="20" t="s">
        <v>5033</v>
      </c>
      <c r="C526" s="22"/>
      <c r="D526" s="20" t="s">
        <v>5034</v>
      </c>
      <c r="E526" s="20" t="s">
        <v>451</v>
      </c>
      <c r="F526" s="20" t="s">
        <v>5035</v>
      </c>
      <c r="G526" s="101" t="e">
        <f>VLOOKUP(F526,'01. TH'!$B:$E,3,0)</f>
        <v>#N/A</v>
      </c>
      <c r="H526" s="19" t="s">
        <v>1593</v>
      </c>
      <c r="I526" s="58">
        <v>45871</v>
      </c>
      <c r="J526" s="20"/>
      <c r="K526" s="19" t="s">
        <v>1839</v>
      </c>
      <c r="L526" s="19"/>
      <c r="M526" s="22" t="s">
        <v>3925</v>
      </c>
      <c r="N526" s="20" t="s">
        <v>3611</v>
      </c>
      <c r="O526" s="22"/>
      <c r="P526" s="20" t="s">
        <v>3613</v>
      </c>
      <c r="Q526" s="19">
        <v>2025</v>
      </c>
      <c r="R526" s="22"/>
      <c r="S526" s="22"/>
      <c r="T526" s="47"/>
      <c r="U526" s="20"/>
      <c r="V526" s="20"/>
    </row>
    <row r="527" customHeight="1" spans="1:22">
      <c r="A527" s="19">
        <f t="shared" si="9"/>
        <v>57</v>
      </c>
      <c r="B527" s="20" t="s">
        <v>5036</v>
      </c>
      <c r="C527" s="22"/>
      <c r="D527" s="20"/>
      <c r="E527" s="20" t="s">
        <v>3593</v>
      </c>
      <c r="F527" s="20" t="s">
        <v>298</v>
      </c>
      <c r="G527" s="101">
        <f>VLOOKUP(F527,'01. TH'!$B:$E,3,0)</f>
        <v>0</v>
      </c>
      <c r="H527" s="19" t="s">
        <v>1593</v>
      </c>
      <c r="I527" s="58">
        <v>46357</v>
      </c>
      <c r="J527" s="20"/>
      <c r="K527" s="19" t="s">
        <v>1839</v>
      </c>
      <c r="L527" s="19"/>
      <c r="M527" s="22"/>
      <c r="N527" s="20" t="s">
        <v>4379</v>
      </c>
      <c r="O527" s="22">
        <v>7045</v>
      </c>
      <c r="P527" s="20" t="s">
        <v>880</v>
      </c>
      <c r="Q527" s="19">
        <v>2025</v>
      </c>
      <c r="R527" s="22" t="s">
        <v>4380</v>
      </c>
      <c r="S527" s="22" t="s">
        <v>5037</v>
      </c>
      <c r="T527" s="47"/>
      <c r="U527" s="20"/>
      <c r="V527" s="20"/>
    </row>
    <row r="528" customHeight="1" spans="1:22">
      <c r="A528" s="19">
        <f t="shared" si="9"/>
        <v>58</v>
      </c>
      <c r="B528" s="20" t="s">
        <v>5038</v>
      </c>
      <c r="C528" s="22"/>
      <c r="D528" s="20"/>
      <c r="E528" s="20" t="s">
        <v>3593</v>
      </c>
      <c r="F528" s="20" t="s">
        <v>298</v>
      </c>
      <c r="G528" s="101">
        <f>VLOOKUP(F528,'01. TH'!$B:$E,3,0)</f>
        <v>0</v>
      </c>
      <c r="H528" s="19" t="s">
        <v>1593</v>
      </c>
      <c r="I528" s="58">
        <v>46357</v>
      </c>
      <c r="J528" s="20"/>
      <c r="K528" s="19" t="s">
        <v>1839</v>
      </c>
      <c r="L528" s="19"/>
      <c r="M528" s="22"/>
      <c r="N528" s="20" t="s">
        <v>4379</v>
      </c>
      <c r="O528" s="22">
        <v>7045</v>
      </c>
      <c r="P528" s="20" t="s">
        <v>880</v>
      </c>
      <c r="Q528" s="19">
        <v>2025</v>
      </c>
      <c r="R528" s="22" t="s">
        <v>4380</v>
      </c>
      <c r="S528" s="22" t="s">
        <v>5039</v>
      </c>
      <c r="T528" s="47"/>
      <c r="U528" s="20"/>
      <c r="V528" s="20"/>
    </row>
    <row r="529" customHeight="1" spans="1:22">
      <c r="A529" s="19">
        <f t="shared" si="9"/>
        <v>59</v>
      </c>
      <c r="B529" s="20" t="s">
        <v>5040</v>
      </c>
      <c r="C529" s="22" t="s">
        <v>5041</v>
      </c>
      <c r="D529" s="20" t="str">
        <f>IFERROR(VLOOKUP(B529,' 02.1 KLH-CN MÃ BRAVO MM'!$B:$C,2,0),"")</f>
        <v>A24-XLT-001</v>
      </c>
      <c r="E529" s="20" t="s">
        <v>451</v>
      </c>
      <c r="F529" s="20" t="s">
        <v>5042</v>
      </c>
      <c r="G529" s="101" t="e">
        <f>VLOOKUP(#REF!,'01. TH'!$B:$E,3,0)</f>
        <v>#REF!</v>
      </c>
      <c r="H529" s="19" t="s">
        <v>1593</v>
      </c>
      <c r="I529" s="58"/>
      <c r="J529" s="20"/>
      <c r="K529" s="19" t="str">
        <f>IF(COUNTIF('TT BTSC'!$D:$D,B529)&gt;0,"Hư hỏng","Bình thường")</f>
        <v>Bình thường</v>
      </c>
      <c r="L529" s="19"/>
      <c r="M529" s="22"/>
      <c r="N529" s="20" t="s">
        <v>530</v>
      </c>
      <c r="O529" s="22" t="s">
        <v>453</v>
      </c>
      <c r="P529" s="20"/>
      <c r="Q529" s="19" t="s">
        <v>5043</v>
      </c>
      <c r="R529" s="22" t="s">
        <v>5044</v>
      </c>
      <c r="S529" s="22" t="s">
        <v>5045</v>
      </c>
      <c r="T529" s="47"/>
      <c r="U529" s="20"/>
      <c r="V529" s="20"/>
    </row>
    <row r="530" customHeight="1" spans="1:22">
      <c r="A530" s="19"/>
      <c r="B530" s="20"/>
      <c r="C530" s="22" t="s">
        <v>4844</v>
      </c>
      <c r="D530" s="20"/>
      <c r="E530" s="20"/>
      <c r="F530" s="20"/>
      <c r="G530" s="101" t="e">
        <f>VLOOKUP(F530,'01. TH'!$B:$E,3,0)</f>
        <v>#N/A</v>
      </c>
      <c r="H530" s="19"/>
      <c r="I530" s="19"/>
      <c r="J530" s="20"/>
      <c r="K530" s="19"/>
      <c r="L530" s="19"/>
      <c r="M530" s="22"/>
      <c r="N530" s="20"/>
      <c r="O530" s="22"/>
      <c r="P530" s="20"/>
      <c r="Q530" s="19"/>
      <c r="R530" s="22"/>
      <c r="S530" s="22"/>
      <c r="T530" s="47"/>
      <c r="U530" s="20"/>
      <c r="V530" s="20"/>
    </row>
    <row r="531" hidden="1" customHeight="1" spans="1:22">
      <c r="A531" s="14" t="s">
        <v>1741</v>
      </c>
      <c r="B531" s="15" t="s">
        <v>5046</v>
      </c>
      <c r="C531" s="14">
        <f>COUNTA(B532:B538)</f>
        <v>6</v>
      </c>
      <c r="D531" s="17"/>
      <c r="E531" s="17"/>
      <c r="F531" s="17"/>
      <c r="G531" s="18"/>
      <c r="H531" s="18"/>
      <c r="I531" s="14"/>
      <c r="J531" s="15"/>
      <c r="K531" s="14"/>
      <c r="L531" s="17"/>
      <c r="M531" s="16"/>
      <c r="N531" s="17"/>
      <c r="O531" s="16"/>
      <c r="P531" s="17"/>
      <c r="Q531" s="18"/>
      <c r="R531" s="16"/>
      <c r="S531" s="16"/>
      <c r="T531" s="786"/>
      <c r="U531" s="17"/>
      <c r="V531" s="17"/>
    </row>
    <row r="532" hidden="1" customHeight="1" spans="1:22">
      <c r="A532" s="19">
        <v>1</v>
      </c>
      <c r="B532" s="20" t="s">
        <v>5047</v>
      </c>
      <c r="C532" s="22" t="s">
        <v>5048</v>
      </c>
      <c r="D532" s="20" t="s">
        <v>4868</v>
      </c>
      <c r="E532" s="20"/>
      <c r="F532" s="20" t="s">
        <v>401</v>
      </c>
      <c r="G532" s="101" t="str">
        <f>VLOOKUP(F532,'01. TH'!$B:$E,3,0)</f>
        <v>1x1x1</v>
      </c>
      <c r="H532" s="19" t="s">
        <v>5049</v>
      </c>
      <c r="I532" s="19"/>
      <c r="J532" s="20"/>
      <c r="K532" s="19" t="s">
        <v>1839</v>
      </c>
      <c r="L532" s="20"/>
      <c r="M532" s="22"/>
      <c r="N532" s="20" t="s">
        <v>3611</v>
      </c>
      <c r="O532" s="22"/>
      <c r="P532" s="20" t="s">
        <v>3613</v>
      </c>
      <c r="Q532" s="19"/>
      <c r="R532" s="22"/>
      <c r="S532" s="22"/>
      <c r="T532" s="47"/>
      <c r="U532" s="20"/>
      <c r="V532" s="20"/>
    </row>
    <row r="533" hidden="1" customHeight="1" spans="1:22">
      <c r="A533" s="19">
        <f t="shared" ref="A533:A537" si="10">A532+1</f>
        <v>2</v>
      </c>
      <c r="B533" s="20" t="s">
        <v>5050</v>
      </c>
      <c r="C533" s="22" t="s">
        <v>5051</v>
      </c>
      <c r="D533" s="20" t="s">
        <v>5052</v>
      </c>
      <c r="E533" s="20"/>
      <c r="F533" s="20" t="s">
        <v>5053</v>
      </c>
      <c r="G533" s="101" t="str">
        <f>VLOOKUP(F533,'01. TH'!$B:$E,3,0)</f>
        <v>1x1x1</v>
      </c>
      <c r="H533" s="19" t="s">
        <v>5049</v>
      </c>
      <c r="I533" s="19"/>
      <c r="J533" s="20"/>
      <c r="K533" s="19" t="s">
        <v>1839</v>
      </c>
      <c r="L533" s="20"/>
      <c r="M533" s="22"/>
      <c r="N533" s="20" t="s">
        <v>3611</v>
      </c>
      <c r="O533" s="22"/>
      <c r="P533" s="20" t="s">
        <v>3613</v>
      </c>
      <c r="Q533" s="19"/>
      <c r="R533" s="22"/>
      <c r="S533" s="22"/>
      <c r="T533" s="47"/>
      <c r="U533" s="20"/>
      <c r="V533" s="20"/>
    </row>
    <row r="534" hidden="1" customHeight="1" spans="1:22">
      <c r="A534" s="19">
        <f t="shared" si="10"/>
        <v>3</v>
      </c>
      <c r="B534" s="20" t="s">
        <v>5054</v>
      </c>
      <c r="C534" s="22"/>
      <c r="D534" s="20" t="s">
        <v>5055</v>
      </c>
      <c r="E534" s="20"/>
      <c r="F534" s="20" t="s">
        <v>405</v>
      </c>
      <c r="G534" s="101" t="str">
        <f>VLOOKUP(F534,'01. TH'!$B:$E,3,0)</f>
        <v>1x1x1</v>
      </c>
      <c r="H534" s="19" t="s">
        <v>5049</v>
      </c>
      <c r="I534" s="19"/>
      <c r="J534" s="20"/>
      <c r="K534" s="19" t="s">
        <v>1839</v>
      </c>
      <c r="L534" s="20"/>
      <c r="M534" s="22"/>
      <c r="N534" s="20" t="s">
        <v>3611</v>
      </c>
      <c r="O534" s="22"/>
      <c r="P534" s="20" t="s">
        <v>3613</v>
      </c>
      <c r="Q534" s="19"/>
      <c r="R534" s="22"/>
      <c r="S534" s="22"/>
      <c r="T534" s="47"/>
      <c r="U534" s="20"/>
      <c r="V534" s="20"/>
    </row>
    <row r="535" hidden="1" customHeight="1" spans="1:22">
      <c r="A535" s="19">
        <f t="shared" si="10"/>
        <v>4</v>
      </c>
      <c r="B535" s="20" t="s">
        <v>5056</v>
      </c>
      <c r="C535" s="22"/>
      <c r="D535" s="20" t="s">
        <v>5057</v>
      </c>
      <c r="E535" s="20"/>
      <c r="F535" s="20" t="s">
        <v>410</v>
      </c>
      <c r="G535" s="101">
        <f>VLOOKUP(F535,'01. TH'!$B:$E,3,0)</f>
        <v>0</v>
      </c>
      <c r="H535" s="19" t="s">
        <v>5049</v>
      </c>
      <c r="I535" s="58"/>
      <c r="J535" s="20"/>
      <c r="K535" s="19" t="s">
        <v>1839</v>
      </c>
      <c r="L535" s="20"/>
      <c r="M535" s="22"/>
      <c r="N535" s="20" t="s">
        <v>3611</v>
      </c>
      <c r="O535" s="22"/>
      <c r="P535" s="20" t="s">
        <v>3613</v>
      </c>
      <c r="Q535" s="19"/>
      <c r="R535" s="22"/>
      <c r="S535" s="22"/>
      <c r="T535" s="47"/>
      <c r="U535" s="20"/>
      <c r="V535" s="20"/>
    </row>
    <row r="536" hidden="1" customHeight="1" spans="1:22">
      <c r="A536" s="19">
        <f t="shared" si="10"/>
        <v>5</v>
      </c>
      <c r="B536" s="20" t="s">
        <v>5058</v>
      </c>
      <c r="C536" s="22"/>
      <c r="D536" s="20" t="s">
        <v>5059</v>
      </c>
      <c r="E536" s="20"/>
      <c r="F536" s="20" t="s">
        <v>410</v>
      </c>
      <c r="G536" s="101">
        <f>VLOOKUP(F536,'01. TH'!$B:$E,3,0)</f>
        <v>0</v>
      </c>
      <c r="H536" s="19" t="s">
        <v>5049</v>
      </c>
      <c r="I536" s="58"/>
      <c r="J536" s="20"/>
      <c r="K536" s="19" t="s">
        <v>1839</v>
      </c>
      <c r="L536" s="20"/>
      <c r="M536" s="22"/>
      <c r="N536" s="20" t="s">
        <v>3611</v>
      </c>
      <c r="O536" s="22"/>
      <c r="P536" s="20" t="s">
        <v>3613</v>
      </c>
      <c r="Q536" s="19"/>
      <c r="R536" s="22"/>
      <c r="S536" s="22"/>
      <c r="T536" s="47"/>
      <c r="U536" s="20"/>
      <c r="V536" s="20"/>
    </row>
    <row r="537" hidden="1" customHeight="1" spans="1:22">
      <c r="A537" s="19">
        <f t="shared" si="10"/>
        <v>6</v>
      </c>
      <c r="B537" s="20" t="s">
        <v>5060</v>
      </c>
      <c r="C537" s="22"/>
      <c r="D537" s="20" t="s">
        <v>5061</v>
      </c>
      <c r="E537" s="20"/>
      <c r="F537" s="20" t="s">
        <v>410</v>
      </c>
      <c r="G537" s="101">
        <f>VLOOKUP(F537,'01. TH'!$B:$E,3,0)</f>
        <v>0</v>
      </c>
      <c r="H537" s="19" t="s">
        <v>5049</v>
      </c>
      <c r="I537" s="58"/>
      <c r="J537" s="20"/>
      <c r="K537" s="19" t="s">
        <v>1839</v>
      </c>
      <c r="L537" s="20"/>
      <c r="M537" s="22"/>
      <c r="N537" s="20" t="s">
        <v>3611</v>
      </c>
      <c r="O537" s="22"/>
      <c r="P537" s="20" t="s">
        <v>3613</v>
      </c>
      <c r="Q537" s="19"/>
      <c r="R537" s="22"/>
      <c r="S537" s="22"/>
      <c r="T537" s="47"/>
      <c r="U537" s="20"/>
      <c r="V537" s="20"/>
    </row>
    <row r="538" customHeight="1" spans="1:22">
      <c r="A538" s="21"/>
      <c r="B538" s="21"/>
      <c r="C538" s="21"/>
      <c r="D538" s="21"/>
      <c r="E538" s="21"/>
      <c r="F538" s="21"/>
      <c r="G538" s="101" t="e">
        <f>VLOOKUP(F538,'01. TH'!$B:$E,3,0)</f>
        <v>#N/A</v>
      </c>
      <c r="H538" s="21"/>
      <c r="I538" s="21"/>
      <c r="J538" s="21"/>
      <c r="K538" s="21"/>
      <c r="L538" s="21"/>
      <c r="M538" s="612"/>
      <c r="N538" s="21"/>
      <c r="O538" s="612"/>
      <c r="P538" s="21"/>
      <c r="Q538" s="218"/>
      <c r="R538" s="612"/>
      <c r="S538" s="612"/>
      <c r="T538" s="801"/>
      <c r="U538" s="21"/>
      <c r="V538" s="21"/>
    </row>
    <row r="539" customHeight="1" spans="1:22">
      <c r="A539" s="19"/>
      <c r="B539" s="20"/>
      <c r="C539" s="22" t="s">
        <v>4844</v>
      </c>
      <c r="D539" s="20"/>
      <c r="E539" s="20"/>
      <c r="F539" s="20"/>
      <c r="G539" s="101" t="e">
        <f>VLOOKUP(F539,'01. TH'!$B:$E,3,0)</f>
        <v>#N/A</v>
      </c>
      <c r="H539" s="19"/>
      <c r="I539" s="19"/>
      <c r="J539" s="20"/>
      <c r="K539" s="19"/>
      <c r="L539" s="20"/>
      <c r="M539" s="22"/>
      <c r="N539" s="20"/>
      <c r="O539" s="22"/>
      <c r="P539" s="20"/>
      <c r="Q539" s="19"/>
      <c r="R539" s="22"/>
      <c r="S539" s="22"/>
      <c r="T539" s="47"/>
      <c r="U539" s="20"/>
      <c r="V539" s="20"/>
    </row>
    <row r="540" customHeight="1" spans="1:22">
      <c r="A540" s="14" t="s">
        <v>1745</v>
      </c>
      <c r="B540" s="15" t="s">
        <v>5062</v>
      </c>
      <c r="C540" s="14">
        <f>SUM(C541,C584)</f>
        <v>46</v>
      </c>
      <c r="D540" s="17"/>
      <c r="E540" s="17"/>
      <c r="F540" s="17"/>
      <c r="G540" s="18"/>
      <c r="H540" s="18"/>
      <c r="I540" s="14"/>
      <c r="J540" s="15"/>
      <c r="K540" s="14"/>
      <c r="L540" s="17"/>
      <c r="M540" s="16"/>
      <c r="N540" s="17"/>
      <c r="O540" s="16"/>
      <c r="P540" s="17"/>
      <c r="Q540" s="18"/>
      <c r="R540" s="16"/>
      <c r="S540" s="16"/>
      <c r="T540" s="786"/>
      <c r="U540" s="17"/>
      <c r="V540" s="17"/>
    </row>
    <row r="541" ht="13.8" spans="1:22">
      <c r="A541" s="53" t="s">
        <v>5063</v>
      </c>
      <c r="B541" s="54" t="s">
        <v>5064</v>
      </c>
      <c r="C541" s="53">
        <f>COUNTA($B$542:$B$583)</f>
        <v>40</v>
      </c>
      <c r="D541" s="56"/>
      <c r="E541" s="56"/>
      <c r="F541" s="56"/>
      <c r="G541" s="57"/>
      <c r="H541" s="57"/>
      <c r="I541" s="57"/>
      <c r="J541" s="56"/>
      <c r="K541" s="57"/>
      <c r="L541" s="56"/>
      <c r="M541" s="55"/>
      <c r="N541" s="56"/>
      <c r="O541" s="55"/>
      <c r="P541" s="56"/>
      <c r="Q541" s="57"/>
      <c r="R541" s="55"/>
      <c r="S541" s="55"/>
      <c r="T541" s="802"/>
      <c r="U541" s="56"/>
      <c r="V541" s="56"/>
    </row>
    <row r="542" customHeight="1" spans="1:22">
      <c r="A542" s="19">
        <v>1</v>
      </c>
      <c r="B542" s="20" t="s">
        <v>5065</v>
      </c>
      <c r="C542" s="22" t="s">
        <v>5066</v>
      </c>
      <c r="D542" s="20" t="s">
        <v>5067</v>
      </c>
      <c r="E542" s="20" t="s">
        <v>451</v>
      </c>
      <c r="F542" s="20" t="s">
        <v>5068</v>
      </c>
      <c r="G542" s="101" t="e">
        <f>VLOOKUP(F542,'01. TH'!$B:$E,3,0)</f>
        <v>#N/A</v>
      </c>
      <c r="H542" s="19" t="s">
        <v>5069</v>
      </c>
      <c r="I542" s="19"/>
      <c r="J542" s="20"/>
      <c r="K542" s="19" t="s">
        <v>1839</v>
      </c>
      <c r="L542" s="20"/>
      <c r="M542" s="22"/>
      <c r="N542" s="20" t="s">
        <v>3144</v>
      </c>
      <c r="O542" s="22">
        <v>140</v>
      </c>
      <c r="P542" s="20" t="s">
        <v>3144</v>
      </c>
      <c r="Q542" s="19"/>
      <c r="R542" s="22"/>
      <c r="S542" s="22"/>
      <c r="T542" s="321">
        <v>2</v>
      </c>
      <c r="U542" s="22"/>
      <c r="V542" s="22"/>
    </row>
    <row r="543" customHeight="1" spans="1:22">
      <c r="A543" s="19">
        <f t="shared" ref="A543:A581" si="11">A542+1</f>
        <v>2</v>
      </c>
      <c r="B543" s="20" t="s">
        <v>5070</v>
      </c>
      <c r="C543" s="22" t="s">
        <v>5071</v>
      </c>
      <c r="D543" s="20" t="s">
        <v>5072</v>
      </c>
      <c r="E543" s="20" t="s">
        <v>451</v>
      </c>
      <c r="F543" s="20" t="s">
        <v>5068</v>
      </c>
      <c r="G543" s="101" t="e">
        <f>VLOOKUP(F543,'01. TH'!$B:$E,3,0)</f>
        <v>#N/A</v>
      </c>
      <c r="H543" s="19" t="s">
        <v>5069</v>
      </c>
      <c r="I543" s="19"/>
      <c r="J543" s="20"/>
      <c r="K543" s="19" t="s">
        <v>1839</v>
      </c>
      <c r="L543" s="20"/>
      <c r="M543" s="22"/>
      <c r="N543" s="20" t="s">
        <v>3144</v>
      </c>
      <c r="O543" s="22">
        <v>140</v>
      </c>
      <c r="P543" s="20" t="s">
        <v>3144</v>
      </c>
      <c r="Q543" s="19"/>
      <c r="R543" s="22"/>
      <c r="S543" s="22"/>
      <c r="T543" s="321">
        <v>2</v>
      </c>
      <c r="U543" s="22"/>
      <c r="V543" s="22"/>
    </row>
    <row r="544" customHeight="1" spans="1:22">
      <c r="A544" s="19">
        <f t="shared" si="11"/>
        <v>3</v>
      </c>
      <c r="B544" s="20" t="s">
        <v>5073</v>
      </c>
      <c r="C544" s="22">
        <v>282102260096</v>
      </c>
      <c r="D544" s="20" t="s">
        <v>5074</v>
      </c>
      <c r="E544" s="20" t="s">
        <v>451</v>
      </c>
      <c r="F544" s="20" t="s">
        <v>5075</v>
      </c>
      <c r="G544" s="101" t="e">
        <f>VLOOKUP(F544,'01. TH'!$B:$E,3,0)</f>
        <v>#N/A</v>
      </c>
      <c r="H544" s="19" t="s">
        <v>5069</v>
      </c>
      <c r="I544" s="19"/>
      <c r="J544" s="20"/>
      <c r="K544" s="19" t="s">
        <v>1839</v>
      </c>
      <c r="L544" s="20"/>
      <c r="M544" s="22"/>
      <c r="N544" s="20" t="s">
        <v>3144</v>
      </c>
      <c r="O544" s="22" t="s">
        <v>5076</v>
      </c>
      <c r="P544" s="20" t="s">
        <v>3144</v>
      </c>
      <c r="Q544" s="19"/>
      <c r="R544" s="22"/>
      <c r="S544" s="22"/>
      <c r="T544" s="321">
        <v>3</v>
      </c>
      <c r="U544" s="22"/>
      <c r="V544" s="22"/>
    </row>
    <row r="545" customHeight="1" spans="1:22">
      <c r="A545" s="19">
        <f t="shared" si="11"/>
        <v>4</v>
      </c>
      <c r="B545" s="20" t="s">
        <v>5077</v>
      </c>
      <c r="C545" s="22">
        <v>281903220106</v>
      </c>
      <c r="D545" s="20" t="s">
        <v>5078</v>
      </c>
      <c r="E545" s="20" t="s">
        <v>451</v>
      </c>
      <c r="F545" s="20" t="s">
        <v>5075</v>
      </c>
      <c r="G545" s="101" t="e">
        <f>VLOOKUP(F545,'01. TH'!$B:$E,3,0)</f>
        <v>#N/A</v>
      </c>
      <c r="H545" s="19" t="s">
        <v>5069</v>
      </c>
      <c r="I545" s="19"/>
      <c r="J545" s="20"/>
      <c r="K545" s="19" t="s">
        <v>1839</v>
      </c>
      <c r="L545" s="20"/>
      <c r="M545" s="22"/>
      <c r="N545" s="20" t="s">
        <v>3144</v>
      </c>
      <c r="O545" s="22" t="s">
        <v>5076</v>
      </c>
      <c r="P545" s="20" t="s">
        <v>3144</v>
      </c>
      <c r="Q545" s="19"/>
      <c r="R545" s="22"/>
      <c r="S545" s="22"/>
      <c r="T545" s="321">
        <v>3</v>
      </c>
      <c r="U545" s="22"/>
      <c r="V545" s="22"/>
    </row>
    <row r="546" customHeight="1" spans="1:22">
      <c r="A546" s="19">
        <f t="shared" si="11"/>
        <v>5</v>
      </c>
      <c r="B546" s="20" t="s">
        <v>5079</v>
      </c>
      <c r="C546" s="22"/>
      <c r="D546" s="20" t="s">
        <v>5080</v>
      </c>
      <c r="E546" s="20" t="s">
        <v>451</v>
      </c>
      <c r="F546" s="20" t="s">
        <v>5075</v>
      </c>
      <c r="G546" s="101" t="e">
        <f>VLOOKUP(F546,'01. TH'!$B:$E,3,0)</f>
        <v>#N/A</v>
      </c>
      <c r="H546" s="19" t="s">
        <v>5069</v>
      </c>
      <c r="I546" s="19"/>
      <c r="J546" s="20"/>
      <c r="K546" s="19" t="s">
        <v>1839</v>
      </c>
      <c r="L546" s="20"/>
      <c r="M546" s="22"/>
      <c r="N546" s="20" t="s">
        <v>3144</v>
      </c>
      <c r="O546" s="22" t="s">
        <v>5076</v>
      </c>
      <c r="P546" s="20" t="s">
        <v>3144</v>
      </c>
      <c r="Q546" s="19"/>
      <c r="R546" s="22"/>
      <c r="S546" s="22"/>
      <c r="T546" s="321">
        <v>3</v>
      </c>
      <c r="U546" s="22"/>
      <c r="V546" s="22"/>
    </row>
    <row r="547" customHeight="1" spans="1:22">
      <c r="A547" s="19">
        <f t="shared" si="11"/>
        <v>6</v>
      </c>
      <c r="B547" s="20" t="s">
        <v>5081</v>
      </c>
      <c r="C547" s="22"/>
      <c r="D547" s="20" t="s">
        <v>5082</v>
      </c>
      <c r="E547" s="20" t="s">
        <v>451</v>
      </c>
      <c r="F547" s="20" t="s">
        <v>5075</v>
      </c>
      <c r="G547" s="101" t="e">
        <f>VLOOKUP(F547,'01. TH'!$B:$E,3,0)</f>
        <v>#N/A</v>
      </c>
      <c r="H547" s="19" t="s">
        <v>5069</v>
      </c>
      <c r="I547" s="19"/>
      <c r="J547" s="20"/>
      <c r="K547" s="19" t="s">
        <v>1839</v>
      </c>
      <c r="L547" s="20"/>
      <c r="M547" s="22"/>
      <c r="N547" s="20" t="s">
        <v>3144</v>
      </c>
      <c r="O547" s="22" t="s">
        <v>5076</v>
      </c>
      <c r="P547" s="20" t="s">
        <v>3144</v>
      </c>
      <c r="Q547" s="19"/>
      <c r="R547" s="22"/>
      <c r="S547" s="22"/>
      <c r="T547" s="321">
        <v>3</v>
      </c>
      <c r="U547" s="22"/>
      <c r="V547" s="22"/>
    </row>
    <row r="548" customHeight="1" spans="1:22">
      <c r="A548" s="19">
        <f t="shared" si="11"/>
        <v>7</v>
      </c>
      <c r="B548" s="20" t="s">
        <v>5083</v>
      </c>
      <c r="C548" s="22" t="s">
        <v>5084</v>
      </c>
      <c r="D548" s="20" t="s">
        <v>5085</v>
      </c>
      <c r="E548" s="20" t="s">
        <v>451</v>
      </c>
      <c r="F548" s="20" t="s">
        <v>5075</v>
      </c>
      <c r="G548" s="101" t="e">
        <f>VLOOKUP(F548,'01. TH'!$B:$E,3,0)</f>
        <v>#N/A</v>
      </c>
      <c r="H548" s="19" t="s">
        <v>5069</v>
      </c>
      <c r="I548" s="19"/>
      <c r="J548" s="20"/>
      <c r="K548" s="19" t="s">
        <v>1839</v>
      </c>
      <c r="L548" s="20"/>
      <c r="M548" s="22"/>
      <c r="N548" s="20" t="s">
        <v>3144</v>
      </c>
      <c r="O548" s="22" t="s">
        <v>5076</v>
      </c>
      <c r="P548" s="20" t="s">
        <v>3144</v>
      </c>
      <c r="Q548" s="19"/>
      <c r="R548" s="22"/>
      <c r="S548" s="22"/>
      <c r="T548" s="321">
        <v>3</v>
      </c>
      <c r="U548" s="22"/>
      <c r="V548" s="22"/>
    </row>
    <row r="549" customHeight="1" spans="1:22">
      <c r="A549" s="19">
        <f t="shared" si="11"/>
        <v>8</v>
      </c>
      <c r="B549" s="20" t="s">
        <v>5086</v>
      </c>
      <c r="C549" s="22" t="s">
        <v>5087</v>
      </c>
      <c r="D549" s="20" t="s">
        <v>5088</v>
      </c>
      <c r="E549" s="20" t="s">
        <v>451</v>
      </c>
      <c r="F549" s="20" t="s">
        <v>5075</v>
      </c>
      <c r="G549" s="101" t="e">
        <f>VLOOKUP(F549,'01. TH'!$B:$E,3,0)</f>
        <v>#N/A</v>
      </c>
      <c r="H549" s="19" t="s">
        <v>5069</v>
      </c>
      <c r="I549" s="19"/>
      <c r="J549" s="20"/>
      <c r="K549" s="19" t="s">
        <v>1839</v>
      </c>
      <c r="L549" s="20"/>
      <c r="M549" s="22"/>
      <c r="N549" s="20" t="s">
        <v>3144</v>
      </c>
      <c r="O549" s="22" t="s">
        <v>5076</v>
      </c>
      <c r="P549" s="20" t="s">
        <v>3144</v>
      </c>
      <c r="Q549" s="19"/>
      <c r="R549" s="22"/>
      <c r="S549" s="22"/>
      <c r="T549" s="321">
        <v>3</v>
      </c>
      <c r="U549" s="22"/>
      <c r="V549" s="22"/>
    </row>
    <row r="550" customHeight="1" spans="1:22">
      <c r="A550" s="19">
        <f t="shared" si="11"/>
        <v>9</v>
      </c>
      <c r="B550" s="20" t="s">
        <v>5089</v>
      </c>
      <c r="C550" s="24" t="s">
        <v>5090</v>
      </c>
      <c r="D550" s="20" t="s">
        <v>5091</v>
      </c>
      <c r="E550" s="20" t="s">
        <v>451</v>
      </c>
      <c r="F550" s="20" t="s">
        <v>5075</v>
      </c>
      <c r="G550" s="101" t="e">
        <f>VLOOKUP(F550,'01. TH'!$B:$E,3,0)</f>
        <v>#N/A</v>
      </c>
      <c r="H550" s="19" t="s">
        <v>5069</v>
      </c>
      <c r="I550" s="19"/>
      <c r="J550" s="20"/>
      <c r="K550" s="19" t="s">
        <v>1839</v>
      </c>
      <c r="L550" s="20"/>
      <c r="M550" s="22"/>
      <c r="N550" s="20" t="s">
        <v>3144</v>
      </c>
      <c r="O550" s="22" t="s">
        <v>5076</v>
      </c>
      <c r="P550" s="20" t="s">
        <v>3144</v>
      </c>
      <c r="Q550" s="19"/>
      <c r="R550" s="22"/>
      <c r="S550" s="22">
        <v>281906170429</v>
      </c>
      <c r="T550" s="321">
        <v>3</v>
      </c>
      <c r="U550" s="22"/>
      <c r="V550" s="22"/>
    </row>
    <row r="551" customHeight="1" spans="1:22">
      <c r="A551" s="19">
        <f t="shared" si="11"/>
        <v>10</v>
      </c>
      <c r="B551" s="20" t="s">
        <v>5092</v>
      </c>
      <c r="C551" s="22"/>
      <c r="D551" s="20" t="s">
        <v>5093</v>
      </c>
      <c r="E551" s="20" t="s">
        <v>451</v>
      </c>
      <c r="F551" s="20" t="s">
        <v>5075</v>
      </c>
      <c r="G551" s="101" t="e">
        <f>VLOOKUP(F551,'01. TH'!$B:$E,3,0)</f>
        <v>#N/A</v>
      </c>
      <c r="H551" s="19" t="s">
        <v>5069</v>
      </c>
      <c r="I551" s="19"/>
      <c r="J551" s="20"/>
      <c r="K551" s="19" t="s">
        <v>1839</v>
      </c>
      <c r="L551" s="20"/>
      <c r="M551" s="22"/>
      <c r="N551" s="20" t="s">
        <v>3144</v>
      </c>
      <c r="O551" s="22" t="s">
        <v>5076</v>
      </c>
      <c r="P551" s="20" t="s">
        <v>3144</v>
      </c>
      <c r="Q551" s="19"/>
      <c r="R551" s="22"/>
      <c r="S551" s="22"/>
      <c r="T551" s="321">
        <v>3</v>
      </c>
      <c r="U551" s="22"/>
      <c r="V551" s="22"/>
    </row>
    <row r="552" customHeight="1" spans="1:22">
      <c r="A552" s="19">
        <f t="shared" si="11"/>
        <v>11</v>
      </c>
      <c r="B552" s="20" t="s">
        <v>5094</v>
      </c>
      <c r="C552" s="22" t="s">
        <v>5095</v>
      </c>
      <c r="D552" s="20" t="s">
        <v>5096</v>
      </c>
      <c r="E552" s="20" t="s">
        <v>451</v>
      </c>
      <c r="F552" s="20" t="s">
        <v>5097</v>
      </c>
      <c r="G552" s="101" t="e">
        <f>VLOOKUP(F552,'01. TH'!$B:$E,3,0)</f>
        <v>#N/A</v>
      </c>
      <c r="H552" s="19" t="s">
        <v>5069</v>
      </c>
      <c r="I552" s="19"/>
      <c r="J552" s="20"/>
      <c r="K552" s="19" t="s">
        <v>1839</v>
      </c>
      <c r="L552" s="20"/>
      <c r="M552" s="22"/>
      <c r="N552" s="20" t="s">
        <v>3144</v>
      </c>
      <c r="O552" s="22" t="s">
        <v>5098</v>
      </c>
      <c r="P552" s="20" t="s">
        <v>3144</v>
      </c>
      <c r="Q552" s="19"/>
      <c r="R552" s="22"/>
      <c r="S552" s="22" t="s">
        <v>5098</v>
      </c>
      <c r="T552" s="321"/>
      <c r="U552" s="22"/>
      <c r="V552" s="22"/>
    </row>
    <row r="553" customHeight="1" spans="1:22">
      <c r="A553" s="19">
        <f t="shared" si="11"/>
        <v>12</v>
      </c>
      <c r="B553" s="20" t="s">
        <v>5099</v>
      </c>
      <c r="C553" s="22" t="s">
        <v>5100</v>
      </c>
      <c r="D553" s="20" t="s">
        <v>5101</v>
      </c>
      <c r="E553" s="20" t="s">
        <v>451</v>
      </c>
      <c r="F553" s="20" t="s">
        <v>5097</v>
      </c>
      <c r="G553" s="101" t="e">
        <f>VLOOKUP(F553,'01. TH'!$B:$E,3,0)</f>
        <v>#N/A</v>
      </c>
      <c r="H553" s="19" t="s">
        <v>5069</v>
      </c>
      <c r="I553" s="19"/>
      <c r="J553" s="20"/>
      <c r="K553" s="19" t="s">
        <v>1839</v>
      </c>
      <c r="L553" s="20"/>
      <c r="M553" s="22"/>
      <c r="N553" s="20" t="s">
        <v>3144</v>
      </c>
      <c r="O553" s="22" t="s">
        <v>5098</v>
      </c>
      <c r="P553" s="20" t="s">
        <v>3144</v>
      </c>
      <c r="Q553" s="19"/>
      <c r="R553" s="22"/>
      <c r="S553" s="22" t="s">
        <v>5098</v>
      </c>
      <c r="T553" s="321"/>
      <c r="U553" s="22"/>
      <c r="V553" s="22"/>
    </row>
    <row r="554" customHeight="1" spans="1:22">
      <c r="A554" s="19">
        <f t="shared" si="11"/>
        <v>13</v>
      </c>
      <c r="B554" s="20" t="s">
        <v>5102</v>
      </c>
      <c r="C554" s="22" t="s">
        <v>5103</v>
      </c>
      <c r="D554" s="20" t="s">
        <v>5104</v>
      </c>
      <c r="E554" s="20" t="s">
        <v>451</v>
      </c>
      <c r="F554" s="20" t="s">
        <v>4609</v>
      </c>
      <c r="G554" s="101" t="e">
        <f>VLOOKUP(F554,'01. TH'!$B:$E,3,0)</f>
        <v>#N/A</v>
      </c>
      <c r="H554" s="19" t="s">
        <v>5069</v>
      </c>
      <c r="I554" s="19"/>
      <c r="J554" s="20"/>
      <c r="K554" s="19" t="s">
        <v>1839</v>
      </c>
      <c r="L554" s="20"/>
      <c r="M554" s="22"/>
      <c r="N554" s="20" t="s">
        <v>3611</v>
      </c>
      <c r="O554" s="22"/>
      <c r="P554" s="20" t="s">
        <v>3613</v>
      </c>
      <c r="Q554" s="19"/>
      <c r="R554" s="22"/>
      <c r="S554" s="22"/>
      <c r="T554" s="321"/>
      <c r="U554" s="22"/>
      <c r="V554" s="22"/>
    </row>
    <row r="555" customHeight="1" spans="1:22">
      <c r="A555" s="19">
        <f t="shared" si="11"/>
        <v>14</v>
      </c>
      <c r="B555" s="20" t="s">
        <v>5105</v>
      </c>
      <c r="C555" s="22" t="s">
        <v>5106</v>
      </c>
      <c r="D555" s="20" t="s">
        <v>5107</v>
      </c>
      <c r="E555" s="20" t="s">
        <v>451</v>
      </c>
      <c r="F555" s="20" t="s">
        <v>4609</v>
      </c>
      <c r="G555" s="101" t="e">
        <f>VLOOKUP(F555,'01. TH'!$B:$E,3,0)</f>
        <v>#N/A</v>
      </c>
      <c r="H555" s="19" t="s">
        <v>5069</v>
      </c>
      <c r="I555" s="19"/>
      <c r="J555" s="20"/>
      <c r="K555" s="19" t="s">
        <v>1839</v>
      </c>
      <c r="L555" s="20"/>
      <c r="M555" s="22"/>
      <c r="N555" s="20" t="s">
        <v>3611</v>
      </c>
      <c r="O555" s="22"/>
      <c r="P555" s="20" t="s">
        <v>3613</v>
      </c>
      <c r="Q555" s="19"/>
      <c r="R555" s="22"/>
      <c r="S555" s="22"/>
      <c r="T555" s="321"/>
      <c r="U555" s="22"/>
      <c r="V555" s="22"/>
    </row>
    <row r="556" customHeight="1" spans="1:22">
      <c r="A556" s="19">
        <f t="shared" si="11"/>
        <v>15</v>
      </c>
      <c r="B556" s="20" t="s">
        <v>5108</v>
      </c>
      <c r="C556" s="22" t="s">
        <v>5109</v>
      </c>
      <c r="D556" s="20" t="s">
        <v>5110</v>
      </c>
      <c r="E556" s="20" t="s">
        <v>451</v>
      </c>
      <c r="F556" s="20" t="s">
        <v>4609</v>
      </c>
      <c r="G556" s="101" t="e">
        <f>VLOOKUP(F556,'01. TH'!$B:$E,3,0)</f>
        <v>#N/A</v>
      </c>
      <c r="H556" s="19" t="s">
        <v>5069</v>
      </c>
      <c r="I556" s="19" t="s">
        <v>5111</v>
      </c>
      <c r="J556" s="20"/>
      <c r="K556" s="19" t="s">
        <v>1839</v>
      </c>
      <c r="L556" s="21"/>
      <c r="M556" s="20" t="s">
        <v>3925</v>
      </c>
      <c r="N556" s="20" t="s">
        <v>3611</v>
      </c>
      <c r="O556" s="22"/>
      <c r="P556" s="20" t="s">
        <v>3613</v>
      </c>
      <c r="Q556" s="19"/>
      <c r="R556" s="22" t="s">
        <v>5112</v>
      </c>
      <c r="S556" s="22"/>
      <c r="T556" s="321"/>
      <c r="U556" s="22"/>
      <c r="V556" s="22"/>
    </row>
    <row r="557" customHeight="1" spans="1:22">
      <c r="A557" s="19">
        <f t="shared" si="11"/>
        <v>16</v>
      </c>
      <c r="B557" s="20" t="s">
        <v>5113</v>
      </c>
      <c r="C557" s="22" t="s">
        <v>5114</v>
      </c>
      <c r="D557" s="20" t="s">
        <v>5115</v>
      </c>
      <c r="E557" s="20" t="s">
        <v>451</v>
      </c>
      <c r="F557" s="20" t="s">
        <v>4609</v>
      </c>
      <c r="G557" s="101" t="e">
        <f>VLOOKUP(F557,'01. TH'!$B:$E,3,0)</f>
        <v>#N/A</v>
      </c>
      <c r="H557" s="19" t="s">
        <v>5069</v>
      </c>
      <c r="I557" s="19" t="s">
        <v>5111</v>
      </c>
      <c r="J557" s="20"/>
      <c r="K557" s="19" t="s">
        <v>1839</v>
      </c>
      <c r="L557" s="20"/>
      <c r="M557" s="20" t="s">
        <v>3925</v>
      </c>
      <c r="N557" s="20" t="s">
        <v>3611</v>
      </c>
      <c r="O557" s="22"/>
      <c r="P557" s="20" t="s">
        <v>3613</v>
      </c>
      <c r="Q557" s="19"/>
      <c r="R557" s="22" t="s">
        <v>5112</v>
      </c>
      <c r="S557" s="22"/>
      <c r="T557" s="321"/>
      <c r="U557" s="22"/>
      <c r="V557" s="22"/>
    </row>
    <row r="558" customHeight="1" spans="1:22">
      <c r="A558" s="19">
        <f t="shared" si="11"/>
        <v>17</v>
      </c>
      <c r="B558" s="20" t="s">
        <v>5116</v>
      </c>
      <c r="C558" s="22"/>
      <c r="D558" s="144" t="s">
        <v>5117</v>
      </c>
      <c r="E558" s="20" t="s">
        <v>451</v>
      </c>
      <c r="F558" s="20" t="s">
        <v>4609</v>
      </c>
      <c r="G558" s="101"/>
      <c r="H558" s="19"/>
      <c r="I558" s="19"/>
      <c r="J558" s="20"/>
      <c r="K558" s="19"/>
      <c r="L558" s="20"/>
      <c r="M558" s="20" t="s">
        <v>3925</v>
      </c>
      <c r="N558" s="20" t="s">
        <v>3611</v>
      </c>
      <c r="O558" s="22"/>
      <c r="P558" s="20" t="s">
        <v>3613</v>
      </c>
      <c r="Q558" s="19"/>
      <c r="R558" s="22" t="s">
        <v>5112</v>
      </c>
      <c r="S558" s="22"/>
      <c r="T558" s="321"/>
      <c r="U558" s="22"/>
      <c r="V558" s="22"/>
    </row>
    <row r="559" customHeight="1" spans="1:22">
      <c r="A559" s="19">
        <f t="shared" si="11"/>
        <v>18</v>
      </c>
      <c r="B559" s="20" t="s">
        <v>5118</v>
      </c>
      <c r="C559" s="22"/>
      <c r="D559" s="144" t="s">
        <v>5119</v>
      </c>
      <c r="E559" s="20" t="s">
        <v>451</v>
      </c>
      <c r="F559" s="20" t="s">
        <v>4609</v>
      </c>
      <c r="G559" s="101"/>
      <c r="H559" s="19"/>
      <c r="I559" s="19"/>
      <c r="J559" s="20"/>
      <c r="K559" s="19"/>
      <c r="L559" s="20"/>
      <c r="M559" s="20" t="s">
        <v>3925</v>
      </c>
      <c r="N559" s="20" t="s">
        <v>3611</v>
      </c>
      <c r="O559" s="22"/>
      <c r="P559" s="20" t="s">
        <v>3613</v>
      </c>
      <c r="Q559" s="19"/>
      <c r="R559" s="22" t="s">
        <v>5112</v>
      </c>
      <c r="S559" s="22"/>
      <c r="T559" s="321"/>
      <c r="U559" s="22"/>
      <c r="V559" s="22"/>
    </row>
    <row r="560" customHeight="1" spans="1:22">
      <c r="A560" s="19">
        <f t="shared" si="11"/>
        <v>19</v>
      </c>
      <c r="B560" s="20" t="s">
        <v>5120</v>
      </c>
      <c r="C560" s="22"/>
      <c r="D560" s="144" t="s">
        <v>5121</v>
      </c>
      <c r="E560" s="20" t="s">
        <v>451</v>
      </c>
      <c r="F560" s="20" t="s">
        <v>4609</v>
      </c>
      <c r="G560" s="101"/>
      <c r="H560" s="19"/>
      <c r="I560" s="19"/>
      <c r="J560" s="20"/>
      <c r="K560" s="19"/>
      <c r="L560" s="20"/>
      <c r="M560" s="20" t="s">
        <v>3925</v>
      </c>
      <c r="N560" s="20" t="s">
        <v>3611</v>
      </c>
      <c r="O560" s="22"/>
      <c r="P560" s="20" t="s">
        <v>3613</v>
      </c>
      <c r="Q560" s="19"/>
      <c r="R560" s="22" t="s">
        <v>5112</v>
      </c>
      <c r="S560" s="22"/>
      <c r="T560" s="321"/>
      <c r="U560" s="22"/>
      <c r="V560" s="22"/>
    </row>
    <row r="561" customHeight="1" spans="1:22">
      <c r="A561" s="19">
        <f t="shared" si="11"/>
        <v>20</v>
      </c>
      <c r="B561" s="20" t="s">
        <v>5122</v>
      </c>
      <c r="C561" s="22"/>
      <c r="D561" s="144" t="s">
        <v>5123</v>
      </c>
      <c r="E561" s="20" t="s">
        <v>451</v>
      </c>
      <c r="F561" s="20" t="s">
        <v>4609</v>
      </c>
      <c r="G561" s="101"/>
      <c r="H561" s="19"/>
      <c r="I561" s="19"/>
      <c r="J561" s="20"/>
      <c r="K561" s="19"/>
      <c r="L561" s="20"/>
      <c r="M561" s="20" t="s">
        <v>3925</v>
      </c>
      <c r="N561" s="20" t="s">
        <v>3611</v>
      </c>
      <c r="O561" s="22"/>
      <c r="P561" s="20" t="s">
        <v>3613</v>
      </c>
      <c r="Q561" s="19"/>
      <c r="R561" s="22" t="s">
        <v>5112</v>
      </c>
      <c r="S561" s="22"/>
      <c r="T561" s="321"/>
      <c r="U561" s="22"/>
      <c r="V561" s="22"/>
    </row>
    <row r="562" customHeight="1" spans="1:22">
      <c r="A562" s="19">
        <f t="shared" si="11"/>
        <v>21</v>
      </c>
      <c r="B562" s="20" t="s">
        <v>5124</v>
      </c>
      <c r="C562" s="22" t="s">
        <v>5125</v>
      </c>
      <c r="D562" s="20" t="s">
        <v>5126</v>
      </c>
      <c r="E562" s="20" t="s">
        <v>451</v>
      </c>
      <c r="F562" s="20" t="s">
        <v>403</v>
      </c>
      <c r="G562" s="101" t="str">
        <f>VLOOKUP(F562,'01. TH'!$B:$E,3,0)</f>
        <v>1x1x1</v>
      </c>
      <c r="H562" s="19" t="s">
        <v>5069</v>
      </c>
      <c r="I562" s="19"/>
      <c r="J562" s="20"/>
      <c r="K562" s="19" t="s">
        <v>1839</v>
      </c>
      <c r="L562" s="20"/>
      <c r="M562" s="22"/>
      <c r="N562" s="20" t="s">
        <v>3611</v>
      </c>
      <c r="O562" s="22"/>
      <c r="P562" s="20" t="s">
        <v>3613</v>
      </c>
      <c r="Q562" s="19"/>
      <c r="R562" s="22"/>
      <c r="S562" s="22"/>
      <c r="T562" s="321"/>
      <c r="U562" s="22"/>
      <c r="V562" s="22"/>
    </row>
    <row r="563" customHeight="1" spans="1:22">
      <c r="A563" s="19">
        <f t="shared" si="11"/>
        <v>22</v>
      </c>
      <c r="B563" s="20" t="s">
        <v>5127</v>
      </c>
      <c r="C563" s="22" t="s">
        <v>5128</v>
      </c>
      <c r="D563" s="20" t="s">
        <v>5129</v>
      </c>
      <c r="E563" s="20" t="s">
        <v>451</v>
      </c>
      <c r="F563" s="20" t="s">
        <v>387</v>
      </c>
      <c r="G563" s="101" t="str">
        <f>VLOOKUP(F563,'01. TH'!$B:$E,3,0)</f>
        <v>3x2.1x2.1</v>
      </c>
      <c r="H563" s="19" t="s">
        <v>5069</v>
      </c>
      <c r="I563" s="19"/>
      <c r="J563" s="20"/>
      <c r="K563" s="19" t="s">
        <v>1839</v>
      </c>
      <c r="L563" s="20"/>
      <c r="M563" s="22"/>
      <c r="N563" s="20" t="s">
        <v>3611</v>
      </c>
      <c r="O563" s="22"/>
      <c r="P563" s="20" t="s">
        <v>3613</v>
      </c>
      <c r="Q563" s="19"/>
      <c r="R563" s="22"/>
      <c r="S563" s="22"/>
      <c r="T563" s="321"/>
      <c r="U563" s="22"/>
      <c r="V563" s="22"/>
    </row>
    <row r="564" customHeight="1" spans="1:22">
      <c r="A564" s="19">
        <f t="shared" si="11"/>
        <v>23</v>
      </c>
      <c r="B564" s="20" t="s">
        <v>5130</v>
      </c>
      <c r="C564" s="22" t="s">
        <v>5131</v>
      </c>
      <c r="D564" s="20" t="s">
        <v>5132</v>
      </c>
      <c r="E564" s="20" t="s">
        <v>451</v>
      </c>
      <c r="F564" s="20" t="s">
        <v>387</v>
      </c>
      <c r="G564" s="101" t="str">
        <f>VLOOKUP(F564,'01. TH'!$B:$E,3,0)</f>
        <v>3x2.1x2.1</v>
      </c>
      <c r="H564" s="19" t="s">
        <v>5069</v>
      </c>
      <c r="I564" s="19"/>
      <c r="J564" s="20"/>
      <c r="K564" s="19" t="s">
        <v>1839</v>
      </c>
      <c r="L564" s="20"/>
      <c r="M564" s="22"/>
      <c r="N564" s="20" t="s">
        <v>3611</v>
      </c>
      <c r="O564" s="22"/>
      <c r="P564" s="20" t="s">
        <v>3613</v>
      </c>
      <c r="Q564" s="19"/>
      <c r="R564" s="22"/>
      <c r="S564" s="22"/>
      <c r="T564" s="321"/>
      <c r="U564" s="22"/>
      <c r="V564" s="22"/>
    </row>
    <row r="565" customHeight="1" spans="1:22">
      <c r="A565" s="19">
        <f t="shared" si="11"/>
        <v>24</v>
      </c>
      <c r="B565" s="20" t="s">
        <v>5133</v>
      </c>
      <c r="C565" s="20"/>
      <c r="D565" s="20" t="s">
        <v>5134</v>
      </c>
      <c r="E565" s="20" t="s">
        <v>451</v>
      </c>
      <c r="F565" s="20" t="s">
        <v>387</v>
      </c>
      <c r="G565" s="101" t="str">
        <f>VLOOKUP(F565,'01. TH'!$B:$E,3,0)</f>
        <v>3x2.1x2.1</v>
      </c>
      <c r="H565" s="19" t="s">
        <v>5069</v>
      </c>
      <c r="I565" s="773">
        <v>45636</v>
      </c>
      <c r="J565" s="20"/>
      <c r="K565" s="19" t="s">
        <v>1839</v>
      </c>
      <c r="L565" s="20"/>
      <c r="M565" s="21"/>
      <c r="N565" s="20" t="s">
        <v>3611</v>
      </c>
      <c r="O565" s="22"/>
      <c r="P565" s="20" t="s">
        <v>3613</v>
      </c>
      <c r="Q565" s="19">
        <v>2024</v>
      </c>
      <c r="R565" s="22" t="s">
        <v>5135</v>
      </c>
      <c r="S565" s="22" t="s">
        <v>5136</v>
      </c>
      <c r="T565" s="321"/>
      <c r="U565" s="22"/>
      <c r="V565" s="22"/>
    </row>
    <row r="566" customHeight="1" spans="1:22">
      <c r="A566" s="19">
        <f t="shared" si="11"/>
        <v>25</v>
      </c>
      <c r="B566" s="34" t="s">
        <v>5137</v>
      </c>
      <c r="C566" s="20"/>
      <c r="D566" s="20" t="s">
        <v>5138</v>
      </c>
      <c r="E566" s="20" t="s">
        <v>451</v>
      </c>
      <c r="F566" s="20" t="s">
        <v>387</v>
      </c>
      <c r="G566" s="101" t="str">
        <f>VLOOKUP(F566,'01. TH'!$B:$E,3,0)</f>
        <v>3x2.1x2.1</v>
      </c>
      <c r="H566" s="19" t="s">
        <v>5069</v>
      </c>
      <c r="I566" s="19" t="s">
        <v>4011</v>
      </c>
      <c r="J566" s="20"/>
      <c r="K566" s="19" t="s">
        <v>1839</v>
      </c>
      <c r="L566" s="20"/>
      <c r="M566" s="22"/>
      <c r="N566" s="20" t="s">
        <v>3611</v>
      </c>
      <c r="O566" s="22"/>
      <c r="P566" s="20" t="s">
        <v>3613</v>
      </c>
      <c r="Q566" s="19">
        <v>2024</v>
      </c>
      <c r="R566" s="22" t="s">
        <v>5139</v>
      </c>
      <c r="S566" s="22"/>
      <c r="T566" s="321"/>
      <c r="U566" s="22"/>
      <c r="V566" s="22"/>
    </row>
    <row r="567" customHeight="1" spans="1:22">
      <c r="A567" s="19">
        <f t="shared" si="11"/>
        <v>26</v>
      </c>
      <c r="B567" s="34" t="s">
        <v>5140</v>
      </c>
      <c r="C567" s="20" t="s">
        <v>5141</v>
      </c>
      <c r="D567" s="20" t="s">
        <v>5142</v>
      </c>
      <c r="E567" s="20" t="s">
        <v>451</v>
      </c>
      <c r="F567" s="20" t="s">
        <v>299</v>
      </c>
      <c r="G567" s="101">
        <f>VLOOKUP(F567,'01. TH'!$B:$E,3,0)</f>
        <v>0</v>
      </c>
      <c r="H567" s="19" t="s">
        <v>5069</v>
      </c>
      <c r="I567" s="19"/>
      <c r="J567" s="20"/>
      <c r="K567" s="19" t="s">
        <v>1839</v>
      </c>
      <c r="L567" s="20"/>
      <c r="M567" s="22"/>
      <c r="N567" s="20" t="s">
        <v>3144</v>
      </c>
      <c r="O567" s="22" t="s">
        <v>5143</v>
      </c>
      <c r="P567" s="20" t="s">
        <v>3144</v>
      </c>
      <c r="Q567" s="19"/>
      <c r="R567" s="20"/>
      <c r="S567" s="22"/>
      <c r="T567" s="321"/>
      <c r="U567" s="22"/>
      <c r="V567" s="22"/>
    </row>
    <row r="568" customHeight="1" spans="1:22">
      <c r="A568" s="19">
        <f t="shared" si="11"/>
        <v>27</v>
      </c>
      <c r="B568" s="34" t="s">
        <v>5144</v>
      </c>
      <c r="C568" s="20"/>
      <c r="D568" s="20" t="s">
        <v>5145</v>
      </c>
      <c r="E568" s="20" t="s">
        <v>451</v>
      </c>
      <c r="F568" s="20" t="s">
        <v>299</v>
      </c>
      <c r="G568" s="101">
        <f>VLOOKUP(F568,'01. TH'!$B:$E,3,0)</f>
        <v>0</v>
      </c>
      <c r="H568" s="19" t="s">
        <v>5069</v>
      </c>
      <c r="I568" s="19"/>
      <c r="J568" s="20"/>
      <c r="K568" s="19" t="s">
        <v>1839</v>
      </c>
      <c r="L568" s="20"/>
      <c r="M568" s="22"/>
      <c r="N568" s="20" t="s">
        <v>3144</v>
      </c>
      <c r="O568" s="22" t="s">
        <v>4557</v>
      </c>
      <c r="P568" s="20" t="s">
        <v>3144</v>
      </c>
      <c r="Q568" s="19"/>
      <c r="R568" s="20"/>
      <c r="S568" s="22"/>
      <c r="T568" s="321"/>
      <c r="U568" s="22"/>
      <c r="V568" s="22"/>
    </row>
    <row r="569" customHeight="1" spans="1:22">
      <c r="A569" s="19">
        <f t="shared" si="11"/>
        <v>28</v>
      </c>
      <c r="B569" s="34" t="s">
        <v>5146</v>
      </c>
      <c r="C569" s="20" t="s">
        <v>5147</v>
      </c>
      <c r="D569" s="20" t="s">
        <v>5148</v>
      </c>
      <c r="E569" s="20" t="s">
        <v>451</v>
      </c>
      <c r="F569" s="20" t="s">
        <v>299</v>
      </c>
      <c r="G569" s="101">
        <f>VLOOKUP(F569,'01. TH'!$B:$E,3,0)</f>
        <v>0</v>
      </c>
      <c r="H569" s="19" t="s">
        <v>5069</v>
      </c>
      <c r="I569" s="19"/>
      <c r="J569" s="20"/>
      <c r="K569" s="19" t="s">
        <v>1839</v>
      </c>
      <c r="L569" s="19"/>
      <c r="M569" s="22" t="s">
        <v>5149</v>
      </c>
      <c r="N569" s="20" t="s">
        <v>3144</v>
      </c>
      <c r="O569" s="22" t="s">
        <v>5143</v>
      </c>
      <c r="P569" s="20" t="s">
        <v>3144</v>
      </c>
      <c r="Q569" s="19"/>
      <c r="R569" s="20"/>
      <c r="S569" s="22"/>
      <c r="T569" s="321"/>
      <c r="U569" s="22"/>
      <c r="V569" s="22"/>
    </row>
    <row r="570" customHeight="1" spans="1:22">
      <c r="A570" s="19">
        <f t="shared" si="11"/>
        <v>29</v>
      </c>
      <c r="B570" s="34" t="s">
        <v>5150</v>
      </c>
      <c r="C570" s="20" t="s">
        <v>5151</v>
      </c>
      <c r="D570" s="20" t="s">
        <v>5152</v>
      </c>
      <c r="E570" s="20" t="s">
        <v>451</v>
      </c>
      <c r="F570" s="20" t="s">
        <v>299</v>
      </c>
      <c r="G570" s="101">
        <f>VLOOKUP(F570,'01. TH'!$B:$E,3,0)</f>
        <v>0</v>
      </c>
      <c r="H570" s="19" t="s">
        <v>5069</v>
      </c>
      <c r="I570" s="19"/>
      <c r="J570" s="20"/>
      <c r="K570" s="19" t="s">
        <v>1839</v>
      </c>
      <c r="L570" s="19"/>
      <c r="M570" s="22"/>
      <c r="N570" s="20" t="s">
        <v>3144</v>
      </c>
      <c r="O570" s="22" t="s">
        <v>5143</v>
      </c>
      <c r="P570" s="20" t="s">
        <v>3144</v>
      </c>
      <c r="Q570" s="19"/>
      <c r="R570" s="20"/>
      <c r="S570" s="22"/>
      <c r="T570" s="321"/>
      <c r="U570" s="22"/>
      <c r="V570" s="22"/>
    </row>
    <row r="571" customHeight="1" spans="1:22">
      <c r="A571" s="19">
        <f t="shared" si="11"/>
        <v>30</v>
      </c>
      <c r="B571" s="34" t="s">
        <v>5153</v>
      </c>
      <c r="C571" s="20" t="s">
        <v>5154</v>
      </c>
      <c r="D571" s="20" t="s">
        <v>5155</v>
      </c>
      <c r="E571" s="20" t="s">
        <v>451</v>
      </c>
      <c r="F571" s="20" t="s">
        <v>299</v>
      </c>
      <c r="G571" s="101">
        <f>VLOOKUP(F571,'01. TH'!$B:$E,3,0)</f>
        <v>0</v>
      </c>
      <c r="H571" s="19" t="s">
        <v>5069</v>
      </c>
      <c r="I571" s="19"/>
      <c r="J571" s="20"/>
      <c r="K571" s="19" t="s">
        <v>1839</v>
      </c>
      <c r="L571" s="19"/>
      <c r="M571" s="22"/>
      <c r="N571" s="20" t="s">
        <v>3144</v>
      </c>
      <c r="O571" s="22" t="s">
        <v>5143</v>
      </c>
      <c r="P571" s="20" t="s">
        <v>3144</v>
      </c>
      <c r="Q571" s="19"/>
      <c r="R571" s="20"/>
      <c r="S571" s="22"/>
      <c r="T571" s="321"/>
      <c r="U571" s="22"/>
      <c r="V571" s="22"/>
    </row>
    <row r="572" customHeight="1" spans="1:22">
      <c r="A572" s="19">
        <f t="shared" si="11"/>
        <v>31</v>
      </c>
      <c r="B572" s="34" t="s">
        <v>5156</v>
      </c>
      <c r="C572" s="20"/>
      <c r="D572" s="20" t="s">
        <v>5157</v>
      </c>
      <c r="E572" s="20" t="s">
        <v>451</v>
      </c>
      <c r="F572" s="20" t="s">
        <v>4711</v>
      </c>
      <c r="G572" s="101" t="e">
        <f>VLOOKUP(F572,'01. TH'!$B:$E,3,0)</f>
        <v>#N/A</v>
      </c>
      <c r="H572" s="19" t="s">
        <v>5069</v>
      </c>
      <c r="I572" s="19" t="s">
        <v>3964</v>
      </c>
      <c r="J572" s="20"/>
      <c r="K572" s="19" t="s">
        <v>1839</v>
      </c>
      <c r="L572" s="19"/>
      <c r="M572" s="22"/>
      <c r="N572" s="20" t="s">
        <v>4712</v>
      </c>
      <c r="O572" s="22" t="s">
        <v>4713</v>
      </c>
      <c r="P572" s="20" t="s">
        <v>500</v>
      </c>
      <c r="Q572" s="19">
        <v>2024</v>
      </c>
      <c r="R572" s="22" t="s">
        <v>5158</v>
      </c>
      <c r="S572" s="22">
        <v>14290</v>
      </c>
      <c r="T572" s="47">
        <v>0.3</v>
      </c>
      <c r="U572" s="20" t="s">
        <v>4714</v>
      </c>
      <c r="V572" s="22"/>
    </row>
    <row r="573" customHeight="1" spans="1:22">
      <c r="A573" s="19">
        <f t="shared" si="11"/>
        <v>32</v>
      </c>
      <c r="B573" s="34" t="s">
        <v>5159</v>
      </c>
      <c r="C573" s="20"/>
      <c r="D573" s="20" t="s">
        <v>5157</v>
      </c>
      <c r="E573" s="20" t="s">
        <v>451</v>
      </c>
      <c r="F573" s="20" t="s">
        <v>4711</v>
      </c>
      <c r="G573" s="101" t="e">
        <f>VLOOKUP(F573,'01. TH'!$B:$E,3,0)</f>
        <v>#N/A</v>
      </c>
      <c r="H573" s="19" t="s">
        <v>5069</v>
      </c>
      <c r="I573" s="58">
        <v>45572</v>
      </c>
      <c r="J573" s="20"/>
      <c r="K573" s="19" t="s">
        <v>1839</v>
      </c>
      <c r="L573" s="19"/>
      <c r="M573" s="22"/>
      <c r="N573" s="20" t="s">
        <v>4712</v>
      </c>
      <c r="O573" s="22" t="s">
        <v>4713</v>
      </c>
      <c r="P573" s="20" t="s">
        <v>500</v>
      </c>
      <c r="Q573" s="19">
        <v>2024</v>
      </c>
      <c r="R573" s="22" t="s">
        <v>5158</v>
      </c>
      <c r="S573" s="22">
        <v>630745</v>
      </c>
      <c r="T573" s="47">
        <v>0.3</v>
      </c>
      <c r="U573" s="20" t="s">
        <v>4714</v>
      </c>
      <c r="V573" s="22"/>
    </row>
    <row r="574" customHeight="1" spans="1:22">
      <c r="A574" s="19">
        <f t="shared" si="11"/>
        <v>33</v>
      </c>
      <c r="B574" s="20" t="s">
        <v>5160</v>
      </c>
      <c r="C574" s="20" t="s">
        <v>5161</v>
      </c>
      <c r="D574" s="20" t="s">
        <v>5162</v>
      </c>
      <c r="E574" s="20" t="s">
        <v>451</v>
      </c>
      <c r="F574" s="20" t="s">
        <v>335</v>
      </c>
      <c r="G574" s="101">
        <f>VLOOKUP(F574,'01. TH'!$B:$E,3,0)</f>
        <v>0</v>
      </c>
      <c r="H574" s="19" t="s">
        <v>5069</v>
      </c>
      <c r="I574" s="19" t="s">
        <v>5163</v>
      </c>
      <c r="J574" s="20"/>
      <c r="K574" s="19" t="s">
        <v>1839</v>
      </c>
      <c r="L574" s="19" t="s">
        <v>5164</v>
      </c>
      <c r="M574" s="22"/>
      <c r="N574" s="20" t="s">
        <v>3144</v>
      </c>
      <c r="O574" s="22" t="s">
        <v>3904</v>
      </c>
      <c r="P574" s="20" t="s">
        <v>3613</v>
      </c>
      <c r="Q574" s="19"/>
      <c r="R574" s="22"/>
      <c r="S574" s="22"/>
      <c r="T574" s="321"/>
      <c r="U574" s="22"/>
      <c r="V574" s="22"/>
    </row>
    <row r="575" customHeight="1" spans="1:22">
      <c r="A575" s="19">
        <f t="shared" si="11"/>
        <v>34</v>
      </c>
      <c r="B575" s="20" t="s">
        <v>5165</v>
      </c>
      <c r="C575" s="20"/>
      <c r="D575" s="20" t="s">
        <v>5166</v>
      </c>
      <c r="E575" s="20" t="s">
        <v>451</v>
      </c>
      <c r="F575" s="20" t="s">
        <v>5167</v>
      </c>
      <c r="G575" s="101" t="e">
        <f>VLOOKUP(F575,'01. TH'!$B:$E,3,0)</f>
        <v>#N/A</v>
      </c>
      <c r="H575" s="19" t="s">
        <v>5069</v>
      </c>
      <c r="I575" s="19" t="s">
        <v>5168</v>
      </c>
      <c r="J575" s="20"/>
      <c r="K575" s="19" t="s">
        <v>1839</v>
      </c>
      <c r="L575" s="19"/>
      <c r="M575" s="22" t="s">
        <v>4965</v>
      </c>
      <c r="N575" s="20" t="s">
        <v>3611</v>
      </c>
      <c r="O575" s="22" t="s">
        <v>5169</v>
      </c>
      <c r="P575" s="20" t="s">
        <v>5170</v>
      </c>
      <c r="Q575" s="19">
        <v>2024</v>
      </c>
      <c r="R575" s="22" t="s">
        <v>5171</v>
      </c>
      <c r="S575" s="22"/>
      <c r="T575" s="321"/>
      <c r="U575" s="22"/>
      <c r="V575" s="22"/>
    </row>
    <row r="576" customHeight="1" spans="1:22">
      <c r="A576" s="19">
        <f t="shared" si="11"/>
        <v>35</v>
      </c>
      <c r="B576" s="20" t="s">
        <v>5172</v>
      </c>
      <c r="C576" s="20"/>
      <c r="D576" s="20" t="s">
        <v>5173</v>
      </c>
      <c r="E576" s="20" t="s">
        <v>451</v>
      </c>
      <c r="F576" s="20" t="s">
        <v>5174</v>
      </c>
      <c r="G576" s="101" t="e">
        <f>VLOOKUP(F576,'01. TH'!$B:$E,3,0)</f>
        <v>#N/A</v>
      </c>
      <c r="H576" s="19" t="s">
        <v>5069</v>
      </c>
      <c r="I576" s="19" t="s">
        <v>5168</v>
      </c>
      <c r="J576" s="20"/>
      <c r="K576" s="19" t="s">
        <v>1839</v>
      </c>
      <c r="L576" s="19"/>
      <c r="M576" s="22" t="s">
        <v>4965</v>
      </c>
      <c r="N576" s="20" t="s">
        <v>3611</v>
      </c>
      <c r="O576" s="22" t="s">
        <v>5175</v>
      </c>
      <c r="P576" s="20" t="s">
        <v>5170</v>
      </c>
      <c r="Q576" s="19">
        <v>2024</v>
      </c>
      <c r="R576" s="22" t="s">
        <v>5176</v>
      </c>
      <c r="S576" s="22"/>
      <c r="T576" s="321"/>
      <c r="U576" s="22"/>
      <c r="V576" s="22"/>
    </row>
    <row r="577" customHeight="1" spans="1:22">
      <c r="A577" s="19">
        <f t="shared" si="11"/>
        <v>36</v>
      </c>
      <c r="B577" s="20" t="s">
        <v>5177</v>
      </c>
      <c r="C577" s="20"/>
      <c r="D577" s="20" t="s">
        <v>5178</v>
      </c>
      <c r="E577" s="20" t="s">
        <v>451</v>
      </c>
      <c r="F577" s="20" t="s">
        <v>399</v>
      </c>
      <c r="G577" s="101" t="str">
        <f>VLOOKUP(F577,'01. TH'!$B:$E,3,0)</f>
        <v>5400 x 2000 x 2500</v>
      </c>
      <c r="H577" s="19" t="s">
        <v>5069</v>
      </c>
      <c r="I577" s="19" t="s">
        <v>5168</v>
      </c>
      <c r="J577" s="20"/>
      <c r="K577" s="19" t="s">
        <v>1839</v>
      </c>
      <c r="L577" s="19"/>
      <c r="M577" s="22" t="s">
        <v>4965</v>
      </c>
      <c r="N577" s="20" t="s">
        <v>3611</v>
      </c>
      <c r="O577" s="22" t="s">
        <v>5169</v>
      </c>
      <c r="P577" s="20" t="s">
        <v>5170</v>
      </c>
      <c r="Q577" s="19">
        <v>2024</v>
      </c>
      <c r="R577" s="22" t="s">
        <v>5179</v>
      </c>
      <c r="S577" s="22"/>
      <c r="T577" s="321"/>
      <c r="U577" s="22"/>
      <c r="V577" s="22"/>
    </row>
    <row r="578" customHeight="1" spans="1:22">
      <c r="A578" s="19">
        <f t="shared" si="11"/>
        <v>37</v>
      </c>
      <c r="B578" s="20" t="s">
        <v>5180</v>
      </c>
      <c r="C578" s="20"/>
      <c r="D578" s="20" t="s">
        <v>5181</v>
      </c>
      <c r="E578" s="20" t="s">
        <v>451</v>
      </c>
      <c r="F578" s="20" t="s">
        <v>354</v>
      </c>
      <c r="G578" s="101" t="str">
        <f>VLOOKUP(F578,'01. TH'!$B:$E,3,0)</f>
        <v>2300 x 650 x 1050 </v>
      </c>
      <c r="H578" s="19" t="s">
        <v>5069</v>
      </c>
      <c r="I578" s="19" t="s">
        <v>4853</v>
      </c>
      <c r="J578" s="20"/>
      <c r="K578" s="19" t="s">
        <v>1839</v>
      </c>
      <c r="L578" s="19"/>
      <c r="M578" s="22" t="s">
        <v>4965</v>
      </c>
      <c r="N578" s="20" t="s">
        <v>3611</v>
      </c>
      <c r="O578" s="22" t="s">
        <v>5182</v>
      </c>
      <c r="P578" s="20" t="s">
        <v>3613</v>
      </c>
      <c r="Q578" s="19">
        <v>2024</v>
      </c>
      <c r="R578" s="22" t="s">
        <v>5183</v>
      </c>
      <c r="S578" s="22"/>
      <c r="T578" s="321"/>
      <c r="U578" s="22"/>
      <c r="V578" s="22"/>
    </row>
    <row r="579" customHeight="1" spans="1:22">
      <c r="A579" s="19">
        <f t="shared" si="11"/>
        <v>38</v>
      </c>
      <c r="B579" s="20" t="s">
        <v>5184</v>
      </c>
      <c r="C579" s="20" t="s">
        <v>5185</v>
      </c>
      <c r="D579" s="20" t="s">
        <v>5186</v>
      </c>
      <c r="E579" s="20" t="s">
        <v>451</v>
      </c>
      <c r="F579" s="20" t="s">
        <v>339</v>
      </c>
      <c r="G579" s="101">
        <f>VLOOKUP(F579,'01. TH'!$B:$E,3,0)</f>
        <v>0</v>
      </c>
      <c r="H579" s="19" t="s">
        <v>5069</v>
      </c>
      <c r="I579" s="19" t="s">
        <v>4145</v>
      </c>
      <c r="J579" s="20"/>
      <c r="K579" s="19" t="s">
        <v>1839</v>
      </c>
      <c r="L579" s="52" t="s">
        <v>5187</v>
      </c>
      <c r="M579" s="22" t="s">
        <v>653</v>
      </c>
      <c r="N579" s="20" t="s">
        <v>4146</v>
      </c>
      <c r="O579" s="22" t="s">
        <v>5188</v>
      </c>
      <c r="P579" s="20" t="s">
        <v>3231</v>
      </c>
      <c r="Q579" s="23">
        <v>2024</v>
      </c>
      <c r="R579" s="22"/>
      <c r="S579" s="22">
        <v>202400390001</v>
      </c>
      <c r="T579" s="47"/>
      <c r="U579" s="20"/>
      <c r="V579" s="20"/>
    </row>
    <row r="580" customHeight="1" spans="1:22">
      <c r="A580" s="19">
        <f t="shared" si="11"/>
        <v>39</v>
      </c>
      <c r="B580" s="20" t="s">
        <v>5189</v>
      </c>
      <c r="C580" s="20" t="s">
        <v>4075</v>
      </c>
      <c r="D580" s="20" t="s">
        <v>4178</v>
      </c>
      <c r="E580" s="20" t="s">
        <v>451</v>
      </c>
      <c r="F580" s="20" t="s">
        <v>4073</v>
      </c>
      <c r="G580" s="101" t="str">
        <f>VLOOKUP(F580,'01. TH'!$B:$E,3,0)</f>
        <v>1070 x 2310 x 1300</v>
      </c>
      <c r="H580" s="19" t="s">
        <v>5069</v>
      </c>
      <c r="I580" s="19" t="s">
        <v>5190</v>
      </c>
      <c r="J580" s="20"/>
      <c r="K580" s="19" t="s">
        <v>1839</v>
      </c>
      <c r="L580" s="19" t="s">
        <v>5191</v>
      </c>
      <c r="M580" s="22"/>
      <c r="N580" s="20" t="s">
        <v>3144</v>
      </c>
      <c r="O580" s="22" t="s">
        <v>3875</v>
      </c>
      <c r="P580" s="20" t="s">
        <v>3144</v>
      </c>
      <c r="Q580" s="19"/>
      <c r="R580" s="22"/>
      <c r="S580" s="22"/>
      <c r="T580" s="321"/>
      <c r="U580" s="22"/>
      <c r="V580" s="22"/>
    </row>
    <row r="581" customHeight="1" spans="1:22">
      <c r="A581" s="19">
        <f t="shared" si="11"/>
        <v>40</v>
      </c>
      <c r="B581" s="20" t="s">
        <v>5192</v>
      </c>
      <c r="C581" s="20"/>
      <c r="D581" s="20" t="s">
        <v>5193</v>
      </c>
      <c r="E581" s="20" t="s">
        <v>451</v>
      </c>
      <c r="F581" s="20" t="s">
        <v>5194</v>
      </c>
      <c r="G581" s="101"/>
      <c r="H581" s="19" t="s">
        <v>5069</v>
      </c>
      <c r="I581" s="19" t="s">
        <v>5195</v>
      </c>
      <c r="J581" s="20"/>
      <c r="K581" s="19" t="s">
        <v>1839</v>
      </c>
      <c r="L581" s="19"/>
      <c r="M581" s="22" t="s">
        <v>4965</v>
      </c>
      <c r="N581" s="353" t="s">
        <v>3611</v>
      </c>
      <c r="O581" s="356" t="s">
        <v>5196</v>
      </c>
      <c r="P581" s="356">
        <v>2026</v>
      </c>
      <c r="Q581" s="144" t="s">
        <v>5197</v>
      </c>
      <c r="R581" s="356" t="s">
        <v>5198</v>
      </c>
      <c r="S581" s="22"/>
      <c r="T581" s="321"/>
      <c r="U581" s="22"/>
      <c r="V581" s="22"/>
    </row>
    <row r="582" customHeight="1" spans="1:22">
      <c r="A582" s="19"/>
      <c r="B582" s="20"/>
      <c r="C582" s="20"/>
      <c r="D582" s="20"/>
      <c r="E582" s="20"/>
      <c r="F582" s="20"/>
      <c r="G582" s="101"/>
      <c r="H582" s="19"/>
      <c r="I582" s="19"/>
      <c r="J582" s="20"/>
      <c r="K582" s="19"/>
      <c r="L582" s="19"/>
      <c r="M582" s="22"/>
      <c r="N582" s="353"/>
      <c r="O582" s="356"/>
      <c r="P582" s="356"/>
      <c r="Q582" s="144"/>
      <c r="R582" s="356"/>
      <c r="S582" s="22"/>
      <c r="T582" s="321"/>
      <c r="U582" s="22"/>
      <c r="V582" s="22"/>
    </row>
    <row r="583" hidden="1" customHeight="1" spans="1:22">
      <c r="A583" s="19"/>
      <c r="B583" s="20"/>
      <c r="C583" s="20" t="s">
        <v>5199</v>
      </c>
      <c r="D583" s="20"/>
      <c r="E583" s="20"/>
      <c r="F583" s="20"/>
      <c r="G583" s="101" t="e">
        <f>VLOOKUP(F583,'01. TH'!$B:$E,3,0)</f>
        <v>#N/A</v>
      </c>
      <c r="H583" s="19"/>
      <c r="I583" s="19"/>
      <c r="J583" s="20"/>
      <c r="K583" s="19"/>
      <c r="L583" s="19"/>
      <c r="M583" s="22"/>
      <c r="N583" s="20"/>
      <c r="O583" s="22"/>
      <c r="P583" s="20"/>
      <c r="Q583" s="19"/>
      <c r="R583" s="22"/>
      <c r="S583" s="22"/>
      <c r="T583" s="321"/>
      <c r="U583" s="22"/>
      <c r="V583" s="22"/>
    </row>
    <row r="584" ht="13.8" spans="1:22">
      <c r="A584" s="53" t="s">
        <v>5063</v>
      </c>
      <c r="B584" s="54" t="s">
        <v>5200</v>
      </c>
      <c r="C584" s="53">
        <f>COUNTA($B$585:$B$591)</f>
        <v>6</v>
      </c>
      <c r="D584" s="56"/>
      <c r="E584" s="56"/>
      <c r="F584" s="56"/>
      <c r="G584" s="57"/>
      <c r="H584" s="57"/>
      <c r="I584" s="57"/>
      <c r="J584" s="56"/>
      <c r="K584" s="57"/>
      <c r="L584" s="56"/>
      <c r="M584" s="55"/>
      <c r="N584" s="56"/>
      <c r="O584" s="55"/>
      <c r="P584" s="56"/>
      <c r="Q584" s="57"/>
      <c r="R584" s="55"/>
      <c r="S584" s="55"/>
      <c r="T584" s="802"/>
      <c r="U584" s="56"/>
      <c r="V584" s="56"/>
    </row>
    <row r="585" customHeight="1" spans="1:22">
      <c r="A585" s="19">
        <v>1</v>
      </c>
      <c r="B585" s="20" t="s">
        <v>5201</v>
      </c>
      <c r="C585" s="20" t="s">
        <v>5202</v>
      </c>
      <c r="D585" s="20" t="s">
        <v>4420</v>
      </c>
      <c r="E585" s="20" t="s">
        <v>451</v>
      </c>
      <c r="F585" s="20" t="s">
        <v>4609</v>
      </c>
      <c r="G585" s="101" t="e">
        <f>VLOOKUP(F585,'01. TH'!$B:$E,3,0)</f>
        <v>#N/A</v>
      </c>
      <c r="H585" s="19" t="s">
        <v>5203</v>
      </c>
      <c r="I585" s="58">
        <v>45383</v>
      </c>
      <c r="J585" s="20"/>
      <c r="K585" s="19" t="s">
        <v>1839</v>
      </c>
      <c r="L585" s="19"/>
      <c r="M585" s="22"/>
      <c r="N585" s="20" t="s">
        <v>3611</v>
      </c>
      <c r="O585" s="22"/>
      <c r="P585" s="20" t="s">
        <v>3613</v>
      </c>
      <c r="Q585" s="19"/>
      <c r="R585" s="22" t="s">
        <v>5204</v>
      </c>
      <c r="S585" s="22"/>
      <c r="T585" s="321"/>
      <c r="U585" s="22"/>
      <c r="V585" s="22"/>
    </row>
    <row r="586" customHeight="1" spans="1:22">
      <c r="A586" s="19">
        <v>2</v>
      </c>
      <c r="B586" s="20" t="s">
        <v>5205</v>
      </c>
      <c r="C586" s="20" t="s">
        <v>5206</v>
      </c>
      <c r="D586" s="20" t="s">
        <v>5207</v>
      </c>
      <c r="E586" s="20" t="s">
        <v>451</v>
      </c>
      <c r="F586" s="20" t="s">
        <v>4609</v>
      </c>
      <c r="G586" s="101" t="e">
        <f>VLOOKUP(F586,'01. TH'!$B:$E,3,0)</f>
        <v>#N/A</v>
      </c>
      <c r="H586" s="19" t="s">
        <v>5203</v>
      </c>
      <c r="I586" s="58">
        <v>45383</v>
      </c>
      <c r="J586" s="20"/>
      <c r="K586" s="19" t="s">
        <v>1839</v>
      </c>
      <c r="L586" s="19"/>
      <c r="M586" s="22"/>
      <c r="N586" s="20" t="s">
        <v>3611</v>
      </c>
      <c r="O586" s="22"/>
      <c r="P586" s="20" t="s">
        <v>3613</v>
      </c>
      <c r="Q586" s="19"/>
      <c r="R586" s="22" t="s">
        <v>5204</v>
      </c>
      <c r="S586" s="22"/>
      <c r="T586" s="321"/>
      <c r="U586" s="22"/>
      <c r="V586" s="22"/>
    </row>
    <row r="587" customHeight="1" spans="1:22">
      <c r="A587" s="19">
        <v>3</v>
      </c>
      <c r="B587" s="20" t="s">
        <v>5208</v>
      </c>
      <c r="C587" s="20"/>
      <c r="D587" s="20" t="s">
        <v>4229</v>
      </c>
      <c r="E587" s="20" t="s">
        <v>451</v>
      </c>
      <c r="F587" s="20" t="s">
        <v>299</v>
      </c>
      <c r="G587" s="101">
        <f>VLOOKUP(F587,'01. TH'!$B:$E,3,0)</f>
        <v>0</v>
      </c>
      <c r="H587" s="19" t="s">
        <v>5203</v>
      </c>
      <c r="I587" s="58"/>
      <c r="J587" s="20"/>
      <c r="K587" s="19" t="s">
        <v>1839</v>
      </c>
      <c r="L587" s="19"/>
      <c r="M587" s="22"/>
      <c r="N587" s="20" t="s">
        <v>3144</v>
      </c>
      <c r="O587" s="22" t="s">
        <v>4434</v>
      </c>
      <c r="P587" s="20" t="s">
        <v>3144</v>
      </c>
      <c r="Q587" s="19"/>
      <c r="R587" s="20" t="s">
        <v>4434</v>
      </c>
      <c r="S587" s="22"/>
      <c r="T587" s="321"/>
      <c r="U587" s="22"/>
      <c r="V587" s="22"/>
    </row>
    <row r="588" customHeight="1" spans="1:22">
      <c r="A588" s="19">
        <v>4</v>
      </c>
      <c r="B588" s="20" t="s">
        <v>5209</v>
      </c>
      <c r="C588" s="20"/>
      <c r="D588" s="20" t="s">
        <v>4231</v>
      </c>
      <c r="E588" s="20" t="s">
        <v>451</v>
      </c>
      <c r="F588" s="20" t="s">
        <v>299</v>
      </c>
      <c r="G588" s="101">
        <f>VLOOKUP(F588,'01. TH'!$B:$E,3,0)</f>
        <v>0</v>
      </c>
      <c r="H588" s="19" t="s">
        <v>5203</v>
      </c>
      <c r="I588" s="58"/>
      <c r="J588" s="20"/>
      <c r="K588" s="19" t="s">
        <v>1839</v>
      </c>
      <c r="L588" s="19"/>
      <c r="M588" s="22"/>
      <c r="N588" s="20" t="s">
        <v>3144</v>
      </c>
      <c r="O588" s="22" t="s">
        <v>4434</v>
      </c>
      <c r="P588" s="20" t="s">
        <v>3144</v>
      </c>
      <c r="Q588" s="19"/>
      <c r="R588" s="20" t="s">
        <v>4434</v>
      </c>
      <c r="S588" s="22"/>
      <c r="T588" s="321"/>
      <c r="U588" s="22"/>
      <c r="V588" s="22"/>
    </row>
    <row r="589" customHeight="1" spans="1:22">
      <c r="A589" s="19">
        <v>5</v>
      </c>
      <c r="B589" s="20" t="s">
        <v>5210</v>
      </c>
      <c r="C589" s="20"/>
      <c r="D589" s="20" t="s">
        <v>4229</v>
      </c>
      <c r="E589" s="20" t="s">
        <v>451</v>
      </c>
      <c r="F589" s="20" t="s">
        <v>299</v>
      </c>
      <c r="G589" s="101">
        <f>VLOOKUP(F589,'01. TH'!$B:$E,3,0)</f>
        <v>0</v>
      </c>
      <c r="H589" s="19" t="s">
        <v>5203</v>
      </c>
      <c r="I589" s="19"/>
      <c r="J589" s="20"/>
      <c r="K589" s="19" t="s">
        <v>1839</v>
      </c>
      <c r="L589" s="654" t="s">
        <v>5211</v>
      </c>
      <c r="M589" s="22"/>
      <c r="N589" s="20" t="s">
        <v>3144</v>
      </c>
      <c r="O589" s="22" t="s">
        <v>4434</v>
      </c>
      <c r="P589" s="20" t="s">
        <v>3144</v>
      </c>
      <c r="Q589" s="19"/>
      <c r="R589" s="20" t="s">
        <v>4434</v>
      </c>
      <c r="S589" s="22"/>
      <c r="T589" s="321"/>
      <c r="U589" s="22"/>
      <c r="V589" s="22"/>
    </row>
    <row r="590" customHeight="1" spans="1:22">
      <c r="A590" s="19">
        <v>6</v>
      </c>
      <c r="B590" s="20" t="s">
        <v>5212</v>
      </c>
      <c r="C590" s="20"/>
      <c r="D590" s="20" t="s">
        <v>4231</v>
      </c>
      <c r="E590" s="20" t="s">
        <v>451</v>
      </c>
      <c r="F590" s="20" t="s">
        <v>299</v>
      </c>
      <c r="G590" s="101">
        <f>VLOOKUP(F590,'01. TH'!$B:$E,3,0)</f>
        <v>0</v>
      </c>
      <c r="H590" s="19" t="s">
        <v>5203</v>
      </c>
      <c r="I590" s="19"/>
      <c r="J590" s="20"/>
      <c r="K590" s="19" t="s">
        <v>1839</v>
      </c>
      <c r="L590" s="654" t="s">
        <v>5211</v>
      </c>
      <c r="M590" s="22"/>
      <c r="N590" s="20" t="s">
        <v>3144</v>
      </c>
      <c r="O590" s="22" t="s">
        <v>4434</v>
      </c>
      <c r="P590" s="20" t="s">
        <v>3144</v>
      </c>
      <c r="Q590" s="19"/>
      <c r="R590" s="20" t="s">
        <v>4434</v>
      </c>
      <c r="S590" s="22"/>
      <c r="T590" s="321"/>
      <c r="U590" s="22"/>
      <c r="V590" s="22"/>
    </row>
    <row r="591" hidden="1" customHeight="1" spans="1:22">
      <c r="A591" s="19"/>
      <c r="B591" s="20"/>
      <c r="C591" s="20" t="s">
        <v>5199</v>
      </c>
      <c r="D591" s="20"/>
      <c r="E591" s="20"/>
      <c r="F591" s="20"/>
      <c r="G591" s="101" t="e">
        <f>VLOOKUP(F591,'01. TH'!$B:$E,3,0)</f>
        <v>#N/A</v>
      </c>
      <c r="H591" s="19"/>
      <c r="I591" s="19"/>
      <c r="J591" s="20"/>
      <c r="K591" s="19"/>
      <c r="L591" s="654"/>
      <c r="M591" s="22"/>
      <c r="N591" s="20"/>
      <c r="O591" s="22"/>
      <c r="P591" s="20"/>
      <c r="Q591" s="19"/>
      <c r="R591" s="22"/>
      <c r="S591" s="22"/>
      <c r="T591" s="321"/>
      <c r="U591" s="22"/>
      <c r="V591" s="22"/>
    </row>
    <row r="592" ht="13.8" spans="1:22">
      <c r="A592" s="9" t="s">
        <v>5213</v>
      </c>
      <c r="B592" s="10" t="s">
        <v>5214</v>
      </c>
      <c r="C592" s="9">
        <f>COUNTA($B$593:$B$761)</f>
        <v>168</v>
      </c>
      <c r="D592" s="59"/>
      <c r="E592" s="59"/>
      <c r="F592" s="59"/>
      <c r="G592" s="9"/>
      <c r="H592" s="59"/>
      <c r="I592" s="803"/>
      <c r="J592" s="59"/>
      <c r="K592" s="803"/>
      <c r="L592" s="59"/>
      <c r="M592" s="804"/>
      <c r="N592" s="59"/>
      <c r="O592" s="804"/>
      <c r="P592" s="59"/>
      <c r="Q592" s="803"/>
      <c r="R592" s="804"/>
      <c r="S592" s="804"/>
      <c r="T592" s="805"/>
      <c r="U592" s="59"/>
      <c r="V592" s="59"/>
    </row>
    <row r="593" customHeight="1" spans="1:22">
      <c r="A593" s="19">
        <v>1</v>
      </c>
      <c r="B593" s="25" t="s">
        <v>5215</v>
      </c>
      <c r="C593" s="22"/>
      <c r="D593" s="20" t="s">
        <v>5216</v>
      </c>
      <c r="E593" s="20" t="s">
        <v>3593</v>
      </c>
      <c r="F593" s="20" t="s">
        <v>371</v>
      </c>
      <c r="G593" s="101" t="str">
        <f>VLOOKUP(F593,'01. TH'!$B:$E,3,0)</f>
        <v>2750x4130 x 4190</v>
      </c>
      <c r="H593" s="19" t="s">
        <v>1103</v>
      </c>
      <c r="I593" s="58">
        <v>45292</v>
      </c>
      <c r="J593" s="43">
        <v>0.96</v>
      </c>
      <c r="K593" s="654" t="s">
        <v>1126</v>
      </c>
      <c r="L593" s="20"/>
      <c r="M593" s="22"/>
      <c r="N593" s="20" t="s">
        <v>5217</v>
      </c>
      <c r="O593" s="22" t="s">
        <v>5218</v>
      </c>
      <c r="P593" s="20" t="s">
        <v>5219</v>
      </c>
      <c r="Q593" s="19">
        <v>2019</v>
      </c>
      <c r="R593" s="22"/>
      <c r="S593" s="22"/>
      <c r="T593" s="47">
        <v>10</v>
      </c>
      <c r="U593" s="20" t="s">
        <v>5220</v>
      </c>
      <c r="V593" s="20"/>
    </row>
    <row r="594" customHeight="1" spans="1:22">
      <c r="A594" s="19">
        <f t="shared" ref="A594:A602" si="12">A593+1</f>
        <v>2</v>
      </c>
      <c r="B594" s="25" t="s">
        <v>5221</v>
      </c>
      <c r="C594" s="22"/>
      <c r="D594" s="20" t="s">
        <v>5222</v>
      </c>
      <c r="E594" s="20" t="s">
        <v>3593</v>
      </c>
      <c r="F594" s="20" t="s">
        <v>371</v>
      </c>
      <c r="G594" s="101" t="str">
        <f>VLOOKUP(F594,'01. TH'!$B:$E,3,0)</f>
        <v>2750x4130 x 4190</v>
      </c>
      <c r="H594" s="19" t="s">
        <v>1103</v>
      </c>
      <c r="I594" s="58">
        <v>45292</v>
      </c>
      <c r="J594" s="43">
        <v>0.96</v>
      </c>
      <c r="K594" s="19" t="s">
        <v>1839</v>
      </c>
      <c r="L594" s="20"/>
      <c r="M594" s="22"/>
      <c r="N594" s="20" t="s">
        <v>5217</v>
      </c>
      <c r="O594" s="22" t="s">
        <v>5218</v>
      </c>
      <c r="P594" s="20" t="s">
        <v>5219</v>
      </c>
      <c r="Q594" s="19">
        <v>2022</v>
      </c>
      <c r="R594" s="22"/>
      <c r="S594" s="22" t="s">
        <v>5223</v>
      </c>
      <c r="T594" s="47">
        <v>10</v>
      </c>
      <c r="U594" s="20" t="s">
        <v>5220</v>
      </c>
      <c r="V594" s="20"/>
    </row>
    <row r="595" customHeight="1" spans="1:22">
      <c r="A595" s="19">
        <f t="shared" si="12"/>
        <v>3</v>
      </c>
      <c r="B595" s="25" t="s">
        <v>5224</v>
      </c>
      <c r="C595" s="22"/>
      <c r="D595" s="20" t="s">
        <v>5225</v>
      </c>
      <c r="E595" s="20" t="s">
        <v>3593</v>
      </c>
      <c r="F595" s="20" t="s">
        <v>373</v>
      </c>
      <c r="G595" s="101" t="str">
        <f>VLOOKUP(F595,'01. TH'!$B:$E,3,0)</f>
        <v>2750x4130 x 4190</v>
      </c>
      <c r="H595" s="19" t="s">
        <v>1103</v>
      </c>
      <c r="I595" s="19" t="s">
        <v>2095</v>
      </c>
      <c r="J595" s="43"/>
      <c r="K595" s="19" t="s">
        <v>1839</v>
      </c>
      <c r="L595" s="20"/>
      <c r="M595" s="22"/>
      <c r="N595" s="20" t="s">
        <v>5217</v>
      </c>
      <c r="O595" s="22" t="s">
        <v>5226</v>
      </c>
      <c r="P595" s="20" t="s">
        <v>5219</v>
      </c>
      <c r="Q595" s="19">
        <v>2022</v>
      </c>
      <c r="R595" s="22" t="s">
        <v>5227</v>
      </c>
      <c r="S595" s="22" t="s">
        <v>5228</v>
      </c>
      <c r="T595" s="47">
        <v>10</v>
      </c>
      <c r="U595" s="20" t="s">
        <v>5220</v>
      </c>
      <c r="V595" s="20"/>
    </row>
    <row r="596" customHeight="1" spans="1:22">
      <c r="A596" s="19">
        <f t="shared" si="12"/>
        <v>4</v>
      </c>
      <c r="B596" s="25" t="s">
        <v>5229</v>
      </c>
      <c r="C596" s="22"/>
      <c r="D596" s="20" t="s">
        <v>5230</v>
      </c>
      <c r="E596" s="20" t="s">
        <v>3593</v>
      </c>
      <c r="F596" s="20" t="s">
        <v>373</v>
      </c>
      <c r="G596" s="101" t="str">
        <f>VLOOKUP(F596,'01. TH'!$B:$E,3,0)</f>
        <v>2750x4130 x 4190</v>
      </c>
      <c r="H596" s="19" t="s">
        <v>1103</v>
      </c>
      <c r="I596" s="19" t="s">
        <v>2095</v>
      </c>
      <c r="J596" s="43">
        <v>1</v>
      </c>
      <c r="K596" s="19" t="s">
        <v>1839</v>
      </c>
      <c r="L596" s="20"/>
      <c r="M596" s="22"/>
      <c r="N596" s="20" t="s">
        <v>5217</v>
      </c>
      <c r="O596" s="22" t="s">
        <v>5226</v>
      </c>
      <c r="P596" s="20" t="s">
        <v>5219</v>
      </c>
      <c r="Q596" s="19">
        <v>2022</v>
      </c>
      <c r="R596" s="22" t="s">
        <v>5227</v>
      </c>
      <c r="S596" s="22" t="s">
        <v>5231</v>
      </c>
      <c r="T596" s="47">
        <v>10</v>
      </c>
      <c r="U596" s="20" t="s">
        <v>5220</v>
      </c>
      <c r="V596" s="20"/>
    </row>
    <row r="597" customHeight="1" spans="1:22">
      <c r="A597" s="19">
        <f t="shared" si="12"/>
        <v>5</v>
      </c>
      <c r="B597" s="25" t="s">
        <v>5232</v>
      </c>
      <c r="C597" s="22"/>
      <c r="D597" s="20" t="s">
        <v>5233</v>
      </c>
      <c r="E597" s="20" t="s">
        <v>3593</v>
      </c>
      <c r="F597" s="20" t="s">
        <v>376</v>
      </c>
      <c r="G597" s="101" t="str">
        <f>VLOOKUP(F597,'01. TH'!$B:$E,3,0)</f>
        <v>2400x2840x3700</v>
      </c>
      <c r="H597" s="19" t="s">
        <v>1103</v>
      </c>
      <c r="I597" s="19" t="s">
        <v>5234</v>
      </c>
      <c r="J597" s="43"/>
      <c r="K597" s="19" t="s">
        <v>1839</v>
      </c>
      <c r="L597" s="20"/>
      <c r="M597" s="22"/>
      <c r="N597" s="20" t="s">
        <v>5217</v>
      </c>
      <c r="O597" s="22" t="s">
        <v>5235</v>
      </c>
      <c r="P597" s="20" t="s">
        <v>5219</v>
      </c>
      <c r="Q597" s="19">
        <v>2024</v>
      </c>
      <c r="R597" s="22" t="s">
        <v>5227</v>
      </c>
      <c r="S597" s="22" t="s">
        <v>5236</v>
      </c>
      <c r="T597" s="47">
        <v>10</v>
      </c>
      <c r="U597" s="20" t="s">
        <v>5220</v>
      </c>
      <c r="V597" s="20"/>
    </row>
    <row r="598" customHeight="1" spans="1:22">
      <c r="A598" s="19">
        <f t="shared" si="12"/>
        <v>6</v>
      </c>
      <c r="B598" s="25" t="s">
        <v>5237</v>
      </c>
      <c r="C598" s="22"/>
      <c r="D598" s="20" t="s">
        <v>5238</v>
      </c>
      <c r="E598" s="20" t="s">
        <v>3593</v>
      </c>
      <c r="F598" s="20" t="s">
        <v>374</v>
      </c>
      <c r="G598" s="101" t="str">
        <f>VLOOKUP(F598,'01. TH'!$B:$E,3,0)</f>
        <v>2600x4165x4115</v>
      </c>
      <c r="H598" s="19" t="s">
        <v>1103</v>
      </c>
      <c r="I598" s="19" t="s">
        <v>5239</v>
      </c>
      <c r="J598" s="43"/>
      <c r="K598" s="19" t="s">
        <v>1839</v>
      </c>
      <c r="L598" s="20"/>
      <c r="M598" s="22"/>
      <c r="N598" s="20" t="s">
        <v>5217</v>
      </c>
      <c r="O598" s="22" t="s">
        <v>5240</v>
      </c>
      <c r="P598" s="20" t="s">
        <v>5219</v>
      </c>
      <c r="Q598" s="19">
        <v>2024</v>
      </c>
      <c r="R598" s="22" t="s">
        <v>5227</v>
      </c>
      <c r="S598" s="22" t="s">
        <v>5241</v>
      </c>
      <c r="T598" s="47">
        <v>10</v>
      </c>
      <c r="U598" s="20" t="s">
        <v>5220</v>
      </c>
      <c r="V598" s="20"/>
    </row>
    <row r="599" customHeight="1" spans="1:22">
      <c r="A599" s="19">
        <f t="shared" si="12"/>
        <v>7</v>
      </c>
      <c r="B599" s="25" t="s">
        <v>5242</v>
      </c>
      <c r="C599" s="22"/>
      <c r="D599" s="20" t="s">
        <v>5243</v>
      </c>
      <c r="E599" s="20" t="s">
        <v>3593</v>
      </c>
      <c r="F599" s="20" t="s">
        <v>374</v>
      </c>
      <c r="G599" s="101" t="str">
        <f>VLOOKUP(F599,'01. TH'!$B:$E,3,0)</f>
        <v>2600x4165x4115</v>
      </c>
      <c r="H599" s="19" t="s">
        <v>1103</v>
      </c>
      <c r="I599" s="19" t="s">
        <v>5244</v>
      </c>
      <c r="J599" s="43"/>
      <c r="K599" s="19" t="s">
        <v>1839</v>
      </c>
      <c r="L599" s="20"/>
      <c r="M599" s="22"/>
      <c r="N599" s="20" t="s">
        <v>5217</v>
      </c>
      <c r="O599" s="22" t="s">
        <v>5240</v>
      </c>
      <c r="P599" s="20" t="s">
        <v>5219</v>
      </c>
      <c r="Q599" s="19">
        <v>2024</v>
      </c>
      <c r="R599" s="22" t="s">
        <v>5227</v>
      </c>
      <c r="S599" s="22" t="s">
        <v>5245</v>
      </c>
      <c r="T599" s="47">
        <v>10</v>
      </c>
      <c r="U599" s="20" t="s">
        <v>5220</v>
      </c>
      <c r="V599" s="20"/>
    </row>
    <row r="600" customHeight="1" spans="1:22">
      <c r="A600" s="19">
        <f t="shared" si="12"/>
        <v>8</v>
      </c>
      <c r="B600" s="25" t="s">
        <v>5246</v>
      </c>
      <c r="C600" s="22"/>
      <c r="D600" s="20" t="s">
        <v>5247</v>
      </c>
      <c r="E600" s="20" t="s">
        <v>3593</v>
      </c>
      <c r="F600" s="20" t="s">
        <v>376</v>
      </c>
      <c r="G600" s="101" t="str">
        <f>VLOOKUP(F600,'01. TH'!$B:$E,3,0)</f>
        <v>2400x2840x3700</v>
      </c>
      <c r="H600" s="19" t="s">
        <v>1103</v>
      </c>
      <c r="I600" s="19" t="s">
        <v>2628</v>
      </c>
      <c r="J600" s="43"/>
      <c r="K600" s="19" t="s">
        <v>1839</v>
      </c>
      <c r="L600" s="20"/>
      <c r="M600" s="22"/>
      <c r="N600" s="20" t="s">
        <v>5217</v>
      </c>
      <c r="O600" s="22" t="s">
        <v>5235</v>
      </c>
      <c r="P600" s="20" t="s">
        <v>5219</v>
      </c>
      <c r="Q600" s="19">
        <v>2025</v>
      </c>
      <c r="R600" s="22" t="s">
        <v>5227</v>
      </c>
      <c r="S600" s="22" t="s">
        <v>5248</v>
      </c>
      <c r="T600" s="47">
        <v>10</v>
      </c>
      <c r="U600" s="20" t="s">
        <v>5220</v>
      </c>
      <c r="V600" s="20"/>
    </row>
    <row r="601" customHeight="1" spans="1:22">
      <c r="A601" s="19">
        <f t="shared" si="12"/>
        <v>9</v>
      </c>
      <c r="B601" s="25" t="s">
        <v>5249</v>
      </c>
      <c r="C601" s="22"/>
      <c r="D601" s="20" t="s">
        <v>5250</v>
      </c>
      <c r="E601" s="20" t="s">
        <v>3593</v>
      </c>
      <c r="F601" s="20" t="s">
        <v>376</v>
      </c>
      <c r="G601" s="101" t="str">
        <f>VLOOKUP(F601,'01. TH'!$B:$E,3,0)</f>
        <v>2400x2840x3700</v>
      </c>
      <c r="H601" s="19" t="s">
        <v>1103</v>
      </c>
      <c r="I601" s="19" t="s">
        <v>2628</v>
      </c>
      <c r="J601" s="43"/>
      <c r="K601" s="19" t="s">
        <v>1839</v>
      </c>
      <c r="L601" s="20"/>
      <c r="M601" s="22"/>
      <c r="N601" s="20" t="s">
        <v>5217</v>
      </c>
      <c r="O601" s="22" t="s">
        <v>5235</v>
      </c>
      <c r="P601" s="20" t="s">
        <v>5219</v>
      </c>
      <c r="Q601" s="19">
        <v>2025</v>
      </c>
      <c r="R601" s="22" t="s">
        <v>5227</v>
      </c>
      <c r="S601" s="22" t="s">
        <v>5251</v>
      </c>
      <c r="T601" s="47">
        <v>10</v>
      </c>
      <c r="U601" s="20" t="s">
        <v>5220</v>
      </c>
      <c r="V601" s="20"/>
    </row>
    <row r="602" customHeight="1" spans="1:22">
      <c r="A602" s="19">
        <f t="shared" si="12"/>
        <v>10</v>
      </c>
      <c r="B602" s="25" t="s">
        <v>5252</v>
      </c>
      <c r="C602" s="22"/>
      <c r="D602" s="20" t="s">
        <v>5253</v>
      </c>
      <c r="E602" s="20" t="s">
        <v>3593</v>
      </c>
      <c r="F602" s="20" t="s">
        <v>374</v>
      </c>
      <c r="G602" s="101"/>
      <c r="H602" s="19" t="s">
        <v>1103</v>
      </c>
      <c r="I602" s="19" t="s">
        <v>962</v>
      </c>
      <c r="J602" s="43"/>
      <c r="K602" s="19" t="s">
        <v>1839</v>
      </c>
      <c r="L602" s="20"/>
      <c r="M602" s="22"/>
      <c r="N602" s="20" t="s">
        <v>5217</v>
      </c>
      <c r="O602" s="22" t="s">
        <v>5240</v>
      </c>
      <c r="P602" s="20" t="s">
        <v>5219</v>
      </c>
      <c r="Q602" s="19">
        <v>2025</v>
      </c>
      <c r="R602" s="22" t="s">
        <v>5227</v>
      </c>
      <c r="S602" s="22" t="s">
        <v>5254</v>
      </c>
      <c r="T602" s="47">
        <v>10</v>
      </c>
      <c r="U602" s="20" t="s">
        <v>5220</v>
      </c>
      <c r="V602" s="20"/>
    </row>
    <row r="603" customHeight="1" spans="1:22">
      <c r="A603" s="19"/>
      <c r="B603" s="25" t="s">
        <v>5255</v>
      </c>
      <c r="C603" s="22"/>
      <c r="D603" s="20" t="s">
        <v>5256</v>
      </c>
      <c r="E603" s="20" t="s">
        <v>451</v>
      </c>
      <c r="F603" s="20" t="s">
        <v>5257</v>
      </c>
      <c r="G603" s="101"/>
      <c r="H603" s="19" t="s">
        <v>1103</v>
      </c>
      <c r="I603" s="795">
        <v>46219</v>
      </c>
      <c r="J603" s="43"/>
      <c r="K603" s="19" t="s">
        <v>1839</v>
      </c>
      <c r="L603" s="20"/>
      <c r="M603" s="22"/>
      <c r="N603" s="20"/>
      <c r="O603" s="22"/>
      <c r="P603" s="20"/>
      <c r="Q603" s="19"/>
      <c r="R603" s="22"/>
      <c r="S603" s="22"/>
      <c r="T603" s="47">
        <v>10</v>
      </c>
      <c r="U603" s="20" t="s">
        <v>5220</v>
      </c>
      <c r="V603" s="20"/>
    </row>
    <row r="604" customHeight="1" spans="1:22">
      <c r="A604" s="19">
        <f>A602+1</f>
        <v>11</v>
      </c>
      <c r="B604" s="25" t="s">
        <v>5258</v>
      </c>
      <c r="C604" s="22"/>
      <c r="D604" s="20" t="s">
        <v>5259</v>
      </c>
      <c r="E604" s="20" t="s">
        <v>3593</v>
      </c>
      <c r="F604" s="20" t="s">
        <v>376</v>
      </c>
      <c r="G604" s="101"/>
      <c r="H604" s="19" t="s">
        <v>1103</v>
      </c>
      <c r="I604" s="19" t="s">
        <v>5260</v>
      </c>
      <c r="J604" s="43"/>
      <c r="K604" s="19" t="s">
        <v>1839</v>
      </c>
      <c r="L604" s="20"/>
      <c r="M604" s="22" t="s">
        <v>653</v>
      </c>
      <c r="N604" s="20" t="s">
        <v>5217</v>
      </c>
      <c r="O604" s="22" t="s">
        <v>5219</v>
      </c>
      <c r="P604" s="20">
        <v>2026</v>
      </c>
      <c r="Q604" s="19" t="s">
        <v>5235</v>
      </c>
      <c r="R604" s="22" t="s">
        <v>5261</v>
      </c>
      <c r="S604" s="22" t="s">
        <v>5262</v>
      </c>
      <c r="T604" s="47">
        <v>10</v>
      </c>
      <c r="U604" s="20" t="s">
        <v>5220</v>
      </c>
      <c r="V604" s="20"/>
    </row>
    <row r="605" customHeight="1" spans="1:22">
      <c r="A605" s="19">
        <f t="shared" ref="A605:A618" si="13">A604+1</f>
        <v>12</v>
      </c>
      <c r="B605" s="25" t="s">
        <v>5263</v>
      </c>
      <c r="C605" s="22"/>
      <c r="D605" s="20" t="s">
        <v>5264</v>
      </c>
      <c r="E605" s="20" t="s">
        <v>3593</v>
      </c>
      <c r="F605" s="20" t="s">
        <v>5265</v>
      </c>
      <c r="G605" s="101"/>
      <c r="H605" s="19" t="s">
        <v>1103</v>
      </c>
      <c r="I605" s="19" t="s">
        <v>5260</v>
      </c>
      <c r="J605" s="43"/>
      <c r="K605" s="19" t="s">
        <v>1839</v>
      </c>
      <c r="L605" s="20"/>
      <c r="M605" s="22" t="s">
        <v>653</v>
      </c>
      <c r="N605" s="20" t="s">
        <v>5217</v>
      </c>
      <c r="O605" s="22" t="s">
        <v>5219</v>
      </c>
      <c r="P605" s="20">
        <v>2026</v>
      </c>
      <c r="Q605" s="19" t="s">
        <v>5266</v>
      </c>
      <c r="R605" s="22" t="s">
        <v>5267</v>
      </c>
      <c r="S605" s="22" t="s">
        <v>5262</v>
      </c>
      <c r="T605" s="47">
        <v>10</v>
      </c>
      <c r="U605" s="20" t="s">
        <v>5220</v>
      </c>
      <c r="V605" s="20"/>
    </row>
    <row r="606" customHeight="1" spans="1:22">
      <c r="A606" s="19">
        <f t="shared" si="13"/>
        <v>13</v>
      </c>
      <c r="B606" s="25" t="s">
        <v>5268</v>
      </c>
      <c r="C606" s="22"/>
      <c r="D606" s="20" t="s">
        <v>5269</v>
      </c>
      <c r="E606" s="20" t="s">
        <v>3593</v>
      </c>
      <c r="F606" s="20" t="s">
        <v>356</v>
      </c>
      <c r="G606" s="101" t="str">
        <f>VLOOKUP(F606,'01. TH'!$B:$E,3,0)</f>
        <v>700x800x1000</v>
      </c>
      <c r="H606" s="19" t="s">
        <v>1103</v>
      </c>
      <c r="I606" s="58">
        <v>45303</v>
      </c>
      <c r="J606" s="43"/>
      <c r="K606" s="19" t="s">
        <v>1839</v>
      </c>
      <c r="L606" s="20"/>
      <c r="M606" s="22"/>
      <c r="N606" s="20" t="s">
        <v>5217</v>
      </c>
      <c r="O606" s="22" t="s">
        <v>5270</v>
      </c>
      <c r="P606" s="20" t="s">
        <v>5219</v>
      </c>
      <c r="Q606" s="19">
        <v>2024</v>
      </c>
      <c r="R606" s="22" t="s">
        <v>5271</v>
      </c>
      <c r="S606" s="22" t="s">
        <v>5272</v>
      </c>
      <c r="T606" s="47"/>
      <c r="U606" s="20"/>
      <c r="V606" s="20"/>
    </row>
    <row r="607" customHeight="1" spans="1:22">
      <c r="A607" s="19">
        <f t="shared" si="13"/>
        <v>14</v>
      </c>
      <c r="B607" s="25" t="s">
        <v>5273</v>
      </c>
      <c r="C607" s="22"/>
      <c r="D607" s="20" t="s">
        <v>5274</v>
      </c>
      <c r="E607" s="20" t="s">
        <v>3593</v>
      </c>
      <c r="F607" s="20" t="s">
        <v>5275</v>
      </c>
      <c r="G607" s="101" t="e">
        <f>VLOOKUP(F607,'01. TH'!$B:$E,3,0)</f>
        <v>#N/A</v>
      </c>
      <c r="H607" s="19" t="s">
        <v>1103</v>
      </c>
      <c r="I607" s="58">
        <v>45292</v>
      </c>
      <c r="J607" s="43">
        <v>0.97</v>
      </c>
      <c r="K607" s="19" t="s">
        <v>1839</v>
      </c>
      <c r="L607" s="20"/>
      <c r="M607" s="22"/>
      <c r="N607" s="20" t="s">
        <v>3144</v>
      </c>
      <c r="O607" s="22"/>
      <c r="P607" s="20" t="s">
        <v>3144</v>
      </c>
      <c r="Q607" s="19"/>
      <c r="R607" s="22"/>
      <c r="S607" s="22"/>
      <c r="T607" s="47"/>
      <c r="U607" s="20"/>
      <c r="V607" s="20"/>
    </row>
    <row r="608" ht="30" customHeight="1" spans="1:22">
      <c r="A608" s="19">
        <f t="shared" si="13"/>
        <v>15</v>
      </c>
      <c r="B608" s="25" t="s">
        <v>5276</v>
      </c>
      <c r="C608" s="22"/>
      <c r="D608" s="20" t="s">
        <v>5277</v>
      </c>
      <c r="E608" s="20" t="s">
        <v>451</v>
      </c>
      <c r="F608" s="24" t="s">
        <v>5278</v>
      </c>
      <c r="G608" s="101" t="e">
        <f>VLOOKUP(F608,'01. TH'!$B:$E,3,0)</f>
        <v>#N/A</v>
      </c>
      <c r="H608" s="19" t="s">
        <v>1103</v>
      </c>
      <c r="I608" s="58">
        <v>45391</v>
      </c>
      <c r="J608" s="20"/>
      <c r="K608" s="19" t="s">
        <v>1839</v>
      </c>
      <c r="L608" s="20"/>
      <c r="M608" s="22" t="s">
        <v>4965</v>
      </c>
      <c r="N608" s="20" t="s">
        <v>3611</v>
      </c>
      <c r="O608" s="22" t="s">
        <v>5279</v>
      </c>
      <c r="P608" s="20" t="s">
        <v>3613</v>
      </c>
      <c r="Q608" s="19">
        <v>2024</v>
      </c>
      <c r="R608" s="321" t="s">
        <v>5280</v>
      </c>
      <c r="S608" s="22"/>
      <c r="T608" s="47"/>
      <c r="U608" s="20"/>
      <c r="V608" s="20"/>
    </row>
    <row r="609" customHeight="1" spans="1:22">
      <c r="A609" s="19">
        <f t="shared" si="13"/>
        <v>16</v>
      </c>
      <c r="B609" s="25" t="s">
        <v>5281</v>
      </c>
      <c r="C609" s="22"/>
      <c r="D609" s="20" t="s">
        <v>5282</v>
      </c>
      <c r="E609" s="20" t="s">
        <v>451</v>
      </c>
      <c r="F609" s="20" t="s">
        <v>5283</v>
      </c>
      <c r="G609" s="101" t="e">
        <f>VLOOKUP(F609,'01. TH'!$B:$E,3,0)</f>
        <v>#N/A</v>
      </c>
      <c r="H609" s="19" t="s">
        <v>1103</v>
      </c>
      <c r="I609" s="19" t="s">
        <v>5284</v>
      </c>
      <c r="J609" s="20"/>
      <c r="K609" s="19" t="s">
        <v>1839</v>
      </c>
      <c r="L609" s="20"/>
      <c r="M609" s="22" t="s">
        <v>2083</v>
      </c>
      <c r="N609" s="20" t="s">
        <v>5285</v>
      </c>
      <c r="O609" s="22" t="s">
        <v>5286</v>
      </c>
      <c r="P609" s="25" t="s">
        <v>590</v>
      </c>
      <c r="Q609" s="19">
        <v>2024</v>
      </c>
      <c r="R609" s="22"/>
      <c r="S609" s="22" t="s">
        <v>5287</v>
      </c>
      <c r="T609" s="47"/>
      <c r="U609" s="20"/>
      <c r="V609" s="20"/>
    </row>
    <row r="610" customHeight="1" spans="1:22">
      <c r="A610" s="19">
        <f t="shared" si="13"/>
        <v>17</v>
      </c>
      <c r="B610" s="25" t="s">
        <v>5288</v>
      </c>
      <c r="C610" s="22" t="s">
        <v>5172</v>
      </c>
      <c r="D610" s="20" t="s">
        <v>5173</v>
      </c>
      <c r="E610" s="20" t="s">
        <v>451</v>
      </c>
      <c r="F610" s="20" t="s">
        <v>5174</v>
      </c>
      <c r="G610" s="101"/>
      <c r="H610" s="19" t="s">
        <v>1103</v>
      </c>
      <c r="I610" s="19">
        <v>46028</v>
      </c>
      <c r="J610" s="20"/>
      <c r="K610" s="19" t="s">
        <v>1839</v>
      </c>
      <c r="L610" s="20"/>
      <c r="M610" s="22" t="s">
        <v>5010</v>
      </c>
      <c r="N610" s="20" t="s">
        <v>3611</v>
      </c>
      <c r="O610" s="22" t="s">
        <v>5175</v>
      </c>
      <c r="P610" s="25" t="s">
        <v>5170</v>
      </c>
      <c r="Q610" s="19">
        <v>2024</v>
      </c>
      <c r="R610" s="22" t="s">
        <v>5176</v>
      </c>
      <c r="S610" s="22"/>
      <c r="T610" s="47"/>
      <c r="U610" s="20"/>
      <c r="V610" s="20"/>
    </row>
    <row r="611" customHeight="1" spans="1:22">
      <c r="A611" s="19">
        <f t="shared" si="13"/>
        <v>18</v>
      </c>
      <c r="B611" s="25" t="s">
        <v>5289</v>
      </c>
      <c r="C611" s="22"/>
      <c r="D611" s="20" t="s">
        <v>5290</v>
      </c>
      <c r="E611" s="20" t="s">
        <v>451</v>
      </c>
      <c r="F611" s="20" t="s">
        <v>5291</v>
      </c>
      <c r="G611" s="101" t="e">
        <f>VLOOKUP(F611,'01. TH'!$B:$E,3,0)</f>
        <v>#N/A</v>
      </c>
      <c r="H611" s="19" t="s">
        <v>1103</v>
      </c>
      <c r="I611" s="19"/>
      <c r="J611" s="20"/>
      <c r="K611" s="19" t="s">
        <v>1839</v>
      </c>
      <c r="L611" s="20"/>
      <c r="M611" s="22" t="s">
        <v>5292</v>
      </c>
      <c r="N611" s="20" t="s">
        <v>3144</v>
      </c>
      <c r="O611" s="22" t="s">
        <v>5293</v>
      </c>
      <c r="P611" s="20" t="s">
        <v>3144</v>
      </c>
      <c r="Q611" s="19"/>
      <c r="R611" s="22"/>
      <c r="S611" s="22"/>
      <c r="T611" s="47"/>
      <c r="U611" s="20"/>
      <c r="V611" s="20"/>
    </row>
    <row r="612" customHeight="1" spans="1:22">
      <c r="A612" s="19">
        <f t="shared" si="13"/>
        <v>19</v>
      </c>
      <c r="B612" s="25" t="s">
        <v>5294</v>
      </c>
      <c r="C612" s="22"/>
      <c r="D612" s="20" t="s">
        <v>5295</v>
      </c>
      <c r="E612" s="20" t="s">
        <v>451</v>
      </c>
      <c r="F612" s="20" t="s">
        <v>5291</v>
      </c>
      <c r="G612" s="101" t="e">
        <f>VLOOKUP(F612,'01. TH'!$B:$E,3,0)</f>
        <v>#N/A</v>
      </c>
      <c r="H612" s="19" t="s">
        <v>1103</v>
      </c>
      <c r="I612" s="19"/>
      <c r="J612" s="20"/>
      <c r="K612" s="19" t="s">
        <v>1839</v>
      </c>
      <c r="L612" s="20"/>
      <c r="M612" s="22" t="s">
        <v>5292</v>
      </c>
      <c r="N612" s="20" t="s">
        <v>3144</v>
      </c>
      <c r="O612" s="22" t="s">
        <v>5293</v>
      </c>
      <c r="P612" s="20" t="s">
        <v>3144</v>
      </c>
      <c r="Q612" s="19"/>
      <c r="R612" s="22"/>
      <c r="S612" s="22"/>
      <c r="T612" s="47"/>
      <c r="U612" s="20"/>
      <c r="V612" s="20"/>
    </row>
    <row r="613" customHeight="1" spans="1:22">
      <c r="A613" s="19">
        <f t="shared" si="13"/>
        <v>20</v>
      </c>
      <c r="B613" s="25" t="s">
        <v>5296</v>
      </c>
      <c r="C613" s="22"/>
      <c r="D613" s="20" t="s">
        <v>5297</v>
      </c>
      <c r="E613" s="20" t="s">
        <v>451</v>
      </c>
      <c r="F613" s="20" t="s">
        <v>5291</v>
      </c>
      <c r="G613" s="101" t="e">
        <f>VLOOKUP(F613,'01. TH'!$B:$E,3,0)</f>
        <v>#N/A</v>
      </c>
      <c r="H613" s="19" t="s">
        <v>1103</v>
      </c>
      <c r="I613" s="19"/>
      <c r="J613" s="20"/>
      <c r="K613" s="19" t="s">
        <v>1839</v>
      </c>
      <c r="L613" s="20"/>
      <c r="M613" s="22" t="s">
        <v>5292</v>
      </c>
      <c r="N613" s="20" t="s">
        <v>3144</v>
      </c>
      <c r="O613" s="22" t="s">
        <v>5293</v>
      </c>
      <c r="P613" s="20" t="s">
        <v>3144</v>
      </c>
      <c r="Q613" s="19"/>
      <c r="R613" s="22"/>
      <c r="S613" s="22"/>
      <c r="T613" s="47"/>
      <c r="U613" s="20"/>
      <c r="V613" s="20"/>
    </row>
    <row r="614" customHeight="1" spans="1:22">
      <c r="A614" s="19">
        <f t="shared" si="13"/>
        <v>21</v>
      </c>
      <c r="B614" s="25" t="s">
        <v>5298</v>
      </c>
      <c r="C614" s="22"/>
      <c r="D614" s="20" t="s">
        <v>5299</v>
      </c>
      <c r="E614" s="20" t="s">
        <v>451</v>
      </c>
      <c r="F614" s="20" t="s">
        <v>5300</v>
      </c>
      <c r="G614" s="101" t="e">
        <f>VLOOKUP(F614,'01. TH'!$B:$E,3,0)</f>
        <v>#N/A</v>
      </c>
      <c r="H614" s="19" t="s">
        <v>1103</v>
      </c>
      <c r="I614" s="19"/>
      <c r="J614" s="20"/>
      <c r="K614" s="19" t="s">
        <v>1839</v>
      </c>
      <c r="L614" s="20"/>
      <c r="M614" s="22"/>
      <c r="N614" s="20" t="s">
        <v>3611</v>
      </c>
      <c r="O614" s="22" t="s">
        <v>5301</v>
      </c>
      <c r="P614" s="20" t="s">
        <v>3613</v>
      </c>
      <c r="Q614" s="19"/>
      <c r="R614" s="22"/>
      <c r="S614" s="22"/>
      <c r="T614" s="47"/>
      <c r="U614" s="20"/>
      <c r="V614" s="20"/>
    </row>
    <row r="615" customHeight="1" spans="1:22">
      <c r="A615" s="19">
        <f t="shared" si="13"/>
        <v>22</v>
      </c>
      <c r="B615" s="25" t="s">
        <v>5302</v>
      </c>
      <c r="C615" s="22"/>
      <c r="D615" s="20" t="s">
        <v>5303</v>
      </c>
      <c r="E615" s="20" t="s">
        <v>451</v>
      </c>
      <c r="F615" s="20" t="s">
        <v>5300</v>
      </c>
      <c r="G615" s="101" t="e">
        <f>VLOOKUP(F615,'01. TH'!$B:$E,3,0)</f>
        <v>#N/A</v>
      </c>
      <c r="H615" s="19" t="s">
        <v>1103</v>
      </c>
      <c r="I615" s="19"/>
      <c r="J615" s="20"/>
      <c r="K615" s="19" t="s">
        <v>1839</v>
      </c>
      <c r="L615" s="20"/>
      <c r="M615" s="22"/>
      <c r="N615" s="20" t="s">
        <v>3611</v>
      </c>
      <c r="O615" s="22" t="s">
        <v>5301</v>
      </c>
      <c r="P615" s="20" t="s">
        <v>3613</v>
      </c>
      <c r="Q615" s="19"/>
      <c r="R615" s="22"/>
      <c r="S615" s="22"/>
      <c r="T615" s="47"/>
      <c r="U615" s="20"/>
      <c r="V615" s="20"/>
    </row>
    <row r="616" customHeight="1" spans="1:22">
      <c r="A616" s="19">
        <f t="shared" si="13"/>
        <v>23</v>
      </c>
      <c r="B616" s="25" t="s">
        <v>5304</v>
      </c>
      <c r="C616" s="22"/>
      <c r="D616" s="20" t="s">
        <v>5305</v>
      </c>
      <c r="E616" s="20" t="s">
        <v>451</v>
      </c>
      <c r="F616" s="20" t="s">
        <v>5300</v>
      </c>
      <c r="G616" s="101" t="e">
        <f>VLOOKUP(F616,'01. TH'!$B:$E,3,0)</f>
        <v>#N/A</v>
      </c>
      <c r="H616" s="19" t="s">
        <v>1103</v>
      </c>
      <c r="I616" s="19"/>
      <c r="J616" s="20"/>
      <c r="K616" s="19" t="s">
        <v>1839</v>
      </c>
      <c r="L616" s="20"/>
      <c r="M616" s="22"/>
      <c r="N616" s="20" t="s">
        <v>3611</v>
      </c>
      <c r="O616" s="22" t="s">
        <v>5301</v>
      </c>
      <c r="P616" s="20" t="s">
        <v>3613</v>
      </c>
      <c r="Q616" s="19"/>
      <c r="R616" s="22"/>
      <c r="S616" s="22"/>
      <c r="T616" s="47"/>
      <c r="U616" s="20"/>
      <c r="V616" s="20"/>
    </row>
    <row r="617" customHeight="1" spans="1:22">
      <c r="A617" s="19">
        <f t="shared" si="13"/>
        <v>24</v>
      </c>
      <c r="B617" s="25" t="s">
        <v>5306</v>
      </c>
      <c r="C617" s="22"/>
      <c r="D617" s="20" t="s">
        <v>5307</v>
      </c>
      <c r="E617" s="20" t="s">
        <v>451</v>
      </c>
      <c r="F617" s="20" t="s">
        <v>5300</v>
      </c>
      <c r="G617" s="101" t="e">
        <f>VLOOKUP(F617,'01. TH'!$B:$E,3,0)</f>
        <v>#N/A</v>
      </c>
      <c r="H617" s="19" t="s">
        <v>1103</v>
      </c>
      <c r="I617" s="19"/>
      <c r="J617" s="20"/>
      <c r="K617" s="19" t="s">
        <v>1839</v>
      </c>
      <c r="L617" s="20"/>
      <c r="M617" s="22"/>
      <c r="N617" s="20" t="s">
        <v>3611</v>
      </c>
      <c r="O617" s="22" t="s">
        <v>5301</v>
      </c>
      <c r="P617" s="20" t="s">
        <v>3613</v>
      </c>
      <c r="Q617" s="19"/>
      <c r="R617" s="22"/>
      <c r="S617" s="22"/>
      <c r="T617" s="47"/>
      <c r="U617" s="20"/>
      <c r="V617" s="20"/>
    </row>
    <row r="618" customHeight="1" spans="1:22">
      <c r="A618" s="19">
        <f t="shared" si="13"/>
        <v>25</v>
      </c>
      <c r="B618" s="25" t="s">
        <v>5308</v>
      </c>
      <c r="C618" s="22"/>
      <c r="D618" s="20" t="s">
        <v>5309</v>
      </c>
      <c r="E618" s="20" t="s">
        <v>451</v>
      </c>
      <c r="F618" s="20" t="s">
        <v>5300</v>
      </c>
      <c r="G618" s="101" t="e">
        <f>VLOOKUP(F618,'01. TH'!$B:$E,3,0)</f>
        <v>#N/A</v>
      </c>
      <c r="H618" s="19" t="s">
        <v>1103</v>
      </c>
      <c r="I618" s="19"/>
      <c r="J618" s="20"/>
      <c r="K618" s="19" t="s">
        <v>1839</v>
      </c>
      <c r="L618" s="20"/>
      <c r="M618" s="22"/>
      <c r="N618" s="20" t="s">
        <v>3611</v>
      </c>
      <c r="O618" s="22" t="s">
        <v>5301</v>
      </c>
      <c r="P618" s="20" t="s">
        <v>3613</v>
      </c>
      <c r="Q618" s="19"/>
      <c r="R618" s="22"/>
      <c r="S618" s="22"/>
      <c r="T618" s="47"/>
      <c r="U618" s="20"/>
      <c r="V618" s="20"/>
    </row>
    <row r="619" customHeight="1" spans="1:22">
      <c r="A619" s="19">
        <f>A331+1</f>
        <v>34</v>
      </c>
      <c r="B619" s="25" t="s">
        <v>5020</v>
      </c>
      <c r="C619" s="20" t="s">
        <v>5310</v>
      </c>
      <c r="D619" s="20" t="s">
        <v>5311</v>
      </c>
      <c r="E619" s="20" t="s">
        <v>451</v>
      </c>
      <c r="F619" s="20" t="s">
        <v>4377</v>
      </c>
      <c r="G619" s="101" t="e">
        <f>VLOOKUP(F619,'01. TH'!$B:$E,3,0)</f>
        <v>#N/A</v>
      </c>
      <c r="H619" s="19" t="s">
        <v>1250</v>
      </c>
      <c r="I619" s="58">
        <v>45666</v>
      </c>
      <c r="J619" s="20"/>
      <c r="K619" s="19" t="s">
        <v>1839</v>
      </c>
      <c r="L619" s="20"/>
      <c r="M619" s="22"/>
      <c r="N619" s="20" t="s">
        <v>3611</v>
      </c>
      <c r="O619" s="22" t="s">
        <v>4462</v>
      </c>
      <c r="P619" s="20" t="s">
        <v>3613</v>
      </c>
      <c r="Q619" s="19">
        <v>2024</v>
      </c>
      <c r="R619" s="22" t="s">
        <v>4467</v>
      </c>
      <c r="S619" s="22"/>
      <c r="T619" s="47"/>
      <c r="U619" s="20"/>
      <c r="V619" s="20"/>
    </row>
    <row r="620" customHeight="1" spans="1:22">
      <c r="A620" s="19">
        <v>22</v>
      </c>
      <c r="B620" s="25" t="s">
        <v>5312</v>
      </c>
      <c r="C620" s="22"/>
      <c r="D620" s="20" t="s">
        <v>5313</v>
      </c>
      <c r="E620" s="20" t="s">
        <v>451</v>
      </c>
      <c r="F620" s="20" t="s">
        <v>5314</v>
      </c>
      <c r="G620" s="101" t="e">
        <f>VLOOKUP(F620,'01. TH'!$B:$E,3,0)</f>
        <v>#N/A</v>
      </c>
      <c r="H620" s="19" t="s">
        <v>1103</v>
      </c>
      <c r="I620" s="19"/>
      <c r="J620" s="20"/>
      <c r="K620" s="19" t="s">
        <v>1839</v>
      </c>
      <c r="L620" s="20"/>
      <c r="M620" s="22"/>
      <c r="N620" s="20" t="s">
        <v>3611</v>
      </c>
      <c r="O620" s="22" t="s">
        <v>5315</v>
      </c>
      <c r="P620" s="20" t="s">
        <v>3613</v>
      </c>
      <c r="Q620" s="19"/>
      <c r="R620" s="22"/>
      <c r="S620" s="22"/>
      <c r="T620" s="47"/>
      <c r="U620" s="20"/>
      <c r="V620" s="20"/>
    </row>
    <row r="621" customHeight="1" spans="1:22">
      <c r="A621" s="19">
        <f t="shared" ref="A621:A689" si="14">A620+1</f>
        <v>23</v>
      </c>
      <c r="B621" s="25" t="s">
        <v>5316</v>
      </c>
      <c r="C621" s="22"/>
      <c r="D621" s="20" t="s">
        <v>5317</v>
      </c>
      <c r="E621" s="20" t="s">
        <v>451</v>
      </c>
      <c r="F621" s="20" t="s">
        <v>5314</v>
      </c>
      <c r="G621" s="101" t="e">
        <f>VLOOKUP(F621,'01. TH'!$B:$E,3,0)</f>
        <v>#N/A</v>
      </c>
      <c r="H621" s="19" t="s">
        <v>1103</v>
      </c>
      <c r="I621" s="19"/>
      <c r="J621" s="20"/>
      <c r="K621" s="19" t="s">
        <v>1839</v>
      </c>
      <c r="L621" s="20"/>
      <c r="M621" s="22"/>
      <c r="N621" s="20" t="s">
        <v>3611</v>
      </c>
      <c r="O621" s="22" t="s">
        <v>5315</v>
      </c>
      <c r="P621" s="20" t="s">
        <v>3613</v>
      </c>
      <c r="Q621" s="19"/>
      <c r="R621" s="22"/>
      <c r="S621" s="22"/>
      <c r="T621" s="47"/>
      <c r="U621" s="20"/>
      <c r="V621" s="20"/>
    </row>
    <row r="622" customHeight="1" spans="1:22">
      <c r="A622" s="19">
        <f t="shared" si="14"/>
        <v>24</v>
      </c>
      <c r="B622" s="25" t="s">
        <v>5318</v>
      </c>
      <c r="C622" s="22"/>
      <c r="D622" s="20" t="s">
        <v>5319</v>
      </c>
      <c r="E622" s="20" t="s">
        <v>451</v>
      </c>
      <c r="F622" s="20" t="s">
        <v>5320</v>
      </c>
      <c r="G622" s="101" t="e">
        <f>VLOOKUP(F622,'01. TH'!$B:$E,3,0)</f>
        <v>#N/A</v>
      </c>
      <c r="H622" s="19" t="s">
        <v>1103</v>
      </c>
      <c r="I622" s="19"/>
      <c r="J622" s="20"/>
      <c r="K622" s="19" t="s">
        <v>1839</v>
      </c>
      <c r="L622" s="20"/>
      <c r="M622" s="22"/>
      <c r="N622" s="20" t="s">
        <v>3144</v>
      </c>
      <c r="O622" s="22"/>
      <c r="P622" s="20" t="s">
        <v>3144</v>
      </c>
      <c r="Q622" s="19"/>
      <c r="R622" s="22"/>
      <c r="S622" s="22"/>
      <c r="T622" s="47"/>
      <c r="U622" s="20"/>
      <c r="V622" s="20"/>
    </row>
    <row r="623" customHeight="1" spans="1:22">
      <c r="A623" s="19">
        <f t="shared" si="14"/>
        <v>25</v>
      </c>
      <c r="B623" s="25" t="s">
        <v>5321</v>
      </c>
      <c r="C623" s="22"/>
      <c r="D623" s="20" t="s">
        <v>5322</v>
      </c>
      <c r="E623" s="20" t="s">
        <v>451</v>
      </c>
      <c r="F623" s="20" t="s">
        <v>5320</v>
      </c>
      <c r="G623" s="101" t="e">
        <f>VLOOKUP(F623,'01. TH'!$B:$E,3,0)</f>
        <v>#N/A</v>
      </c>
      <c r="H623" s="19" t="s">
        <v>1103</v>
      </c>
      <c r="I623" s="19"/>
      <c r="J623" s="20"/>
      <c r="K623" s="19" t="s">
        <v>1839</v>
      </c>
      <c r="L623" s="20"/>
      <c r="M623" s="22"/>
      <c r="N623" s="20" t="s">
        <v>3144</v>
      </c>
      <c r="O623" s="22"/>
      <c r="P623" s="20" t="s">
        <v>3144</v>
      </c>
      <c r="Q623" s="19"/>
      <c r="R623" s="22"/>
      <c r="S623" s="22"/>
      <c r="T623" s="47"/>
      <c r="U623" s="20"/>
      <c r="V623" s="20"/>
    </row>
    <row r="624" customHeight="1" spans="1:22">
      <c r="A624" s="19">
        <f t="shared" si="14"/>
        <v>26</v>
      </c>
      <c r="B624" s="20" t="s">
        <v>5323</v>
      </c>
      <c r="C624" s="22"/>
      <c r="D624" s="20"/>
      <c r="E624" s="20" t="s">
        <v>451</v>
      </c>
      <c r="F624" s="20" t="s">
        <v>404</v>
      </c>
      <c r="G624" s="101" t="str">
        <f>VLOOKUP(F624,'01. TH'!$B:$E,3,0)</f>
        <v>1x1x1</v>
      </c>
      <c r="H624" s="19" t="s">
        <v>1103</v>
      </c>
      <c r="I624" s="19"/>
      <c r="J624" s="20"/>
      <c r="K624" s="19" t="s">
        <v>1839</v>
      </c>
      <c r="L624" s="20"/>
      <c r="M624" s="22"/>
      <c r="N624" s="20" t="s">
        <v>3611</v>
      </c>
      <c r="O624" s="22" t="s">
        <v>5324</v>
      </c>
      <c r="P624" s="20" t="s">
        <v>3613</v>
      </c>
      <c r="Q624" s="19"/>
      <c r="R624" s="22"/>
      <c r="S624" s="22"/>
      <c r="T624" s="47"/>
      <c r="U624" s="20"/>
      <c r="V624" s="20"/>
    </row>
    <row r="625" customHeight="1" spans="1:22">
      <c r="A625" s="19">
        <f t="shared" si="14"/>
        <v>27</v>
      </c>
      <c r="B625" s="20" t="s">
        <v>5325</v>
      </c>
      <c r="C625" s="22"/>
      <c r="D625" s="20"/>
      <c r="E625" s="20" t="s">
        <v>451</v>
      </c>
      <c r="F625" s="20" t="s">
        <v>404</v>
      </c>
      <c r="G625" s="101" t="str">
        <f>VLOOKUP(F625,'01. TH'!$B:$E,3,0)</f>
        <v>1x1x1</v>
      </c>
      <c r="H625" s="19" t="s">
        <v>1103</v>
      </c>
      <c r="I625" s="19"/>
      <c r="J625" s="20"/>
      <c r="K625" s="19" t="s">
        <v>1839</v>
      </c>
      <c r="L625" s="20"/>
      <c r="M625" s="22"/>
      <c r="N625" s="20" t="s">
        <v>3611</v>
      </c>
      <c r="O625" s="22" t="s">
        <v>5324</v>
      </c>
      <c r="P625" s="20" t="s">
        <v>3613</v>
      </c>
      <c r="Q625" s="19"/>
      <c r="R625" s="22"/>
      <c r="S625" s="22"/>
      <c r="T625" s="47"/>
      <c r="U625" s="20"/>
      <c r="V625" s="20"/>
    </row>
    <row r="626" customHeight="1" spans="1:22">
      <c r="A626" s="19">
        <f t="shared" si="14"/>
        <v>28</v>
      </c>
      <c r="B626" s="20" t="s">
        <v>5326</v>
      </c>
      <c r="C626" s="22"/>
      <c r="D626" s="20"/>
      <c r="E626" s="20" t="s">
        <v>451</v>
      </c>
      <c r="F626" s="20" t="s">
        <v>404</v>
      </c>
      <c r="G626" s="101" t="str">
        <f>VLOOKUP(F626,'01. TH'!$B:$E,3,0)</f>
        <v>1x1x1</v>
      </c>
      <c r="H626" s="19" t="s">
        <v>1103</v>
      </c>
      <c r="I626" s="19"/>
      <c r="J626" s="20"/>
      <c r="K626" s="19" t="s">
        <v>1839</v>
      </c>
      <c r="L626" s="20"/>
      <c r="M626" s="22"/>
      <c r="N626" s="20" t="s">
        <v>3611</v>
      </c>
      <c r="O626" s="22" t="s">
        <v>5324</v>
      </c>
      <c r="P626" s="20" t="s">
        <v>3613</v>
      </c>
      <c r="Q626" s="19"/>
      <c r="R626" s="22"/>
      <c r="S626" s="22"/>
      <c r="T626" s="47"/>
      <c r="U626" s="20"/>
      <c r="V626" s="20"/>
    </row>
    <row r="627" customHeight="1" spans="1:22">
      <c r="A627" s="19">
        <f t="shared" si="14"/>
        <v>29</v>
      </c>
      <c r="B627" s="20" t="s">
        <v>5327</v>
      </c>
      <c r="C627" s="22"/>
      <c r="D627" s="20"/>
      <c r="E627" s="20" t="s">
        <v>451</v>
      </c>
      <c r="F627" s="20" t="s">
        <v>404</v>
      </c>
      <c r="G627" s="101" t="str">
        <f>VLOOKUP(F627,'01. TH'!$B:$E,3,0)</f>
        <v>1x1x1</v>
      </c>
      <c r="H627" s="19" t="s">
        <v>1103</v>
      </c>
      <c r="I627" s="19"/>
      <c r="J627" s="20"/>
      <c r="K627" s="19" t="s">
        <v>1839</v>
      </c>
      <c r="L627" s="20"/>
      <c r="M627" s="22"/>
      <c r="N627" s="20" t="s">
        <v>3611</v>
      </c>
      <c r="O627" s="22" t="s">
        <v>5324</v>
      </c>
      <c r="P627" s="20" t="s">
        <v>3613</v>
      </c>
      <c r="Q627" s="19"/>
      <c r="R627" s="22"/>
      <c r="S627" s="22"/>
      <c r="T627" s="47"/>
      <c r="U627" s="20"/>
      <c r="V627" s="20"/>
    </row>
    <row r="628" customHeight="1" spans="1:22">
      <c r="A628" s="19">
        <f t="shared" si="14"/>
        <v>30</v>
      </c>
      <c r="B628" s="20" t="s">
        <v>5328</v>
      </c>
      <c r="C628" s="22"/>
      <c r="D628" s="20"/>
      <c r="E628" s="20" t="s">
        <v>451</v>
      </c>
      <c r="F628" s="20" t="s">
        <v>5329</v>
      </c>
      <c r="G628" s="101" t="e">
        <f>VLOOKUP(F628,'01. TH'!$B:$E,3,0)</f>
        <v>#N/A</v>
      </c>
      <c r="H628" s="19" t="s">
        <v>1103</v>
      </c>
      <c r="I628" s="58"/>
      <c r="J628" s="20"/>
      <c r="K628" s="19" t="s">
        <v>1839</v>
      </c>
      <c r="L628" s="20"/>
      <c r="M628" s="22"/>
      <c r="N628" s="20" t="s">
        <v>3611</v>
      </c>
      <c r="O628" s="22"/>
      <c r="P628" s="20" t="s">
        <v>3613</v>
      </c>
      <c r="Q628" s="19"/>
      <c r="R628" s="22"/>
      <c r="S628" s="22"/>
      <c r="T628" s="47"/>
      <c r="U628" s="20"/>
      <c r="V628" s="20"/>
    </row>
    <row r="629" customHeight="1" spans="1:22">
      <c r="A629" s="19">
        <f t="shared" si="14"/>
        <v>31</v>
      </c>
      <c r="B629" s="20" t="s">
        <v>5330</v>
      </c>
      <c r="C629" s="22" t="s">
        <v>5331</v>
      </c>
      <c r="D629" s="20"/>
      <c r="E629" s="20" t="s">
        <v>451</v>
      </c>
      <c r="F629" s="20" t="s">
        <v>401</v>
      </c>
      <c r="G629" s="101" t="str">
        <f>VLOOKUP(F629,'01. TH'!$B:$E,3,0)</f>
        <v>1x1x1</v>
      </c>
      <c r="H629" s="19" t="s">
        <v>1103</v>
      </c>
      <c r="I629" s="58">
        <v>45545</v>
      </c>
      <c r="J629" s="20"/>
      <c r="K629" s="654" t="s">
        <v>1126</v>
      </c>
      <c r="L629" s="1102" t="s">
        <v>5332</v>
      </c>
      <c r="M629" s="22"/>
      <c r="N629" s="20" t="s">
        <v>3611</v>
      </c>
      <c r="O629" s="22" t="s">
        <v>5333</v>
      </c>
      <c r="P629" s="20" t="s">
        <v>3613</v>
      </c>
      <c r="Q629" s="19"/>
      <c r="R629" s="22"/>
      <c r="S629" s="22"/>
      <c r="T629" s="47"/>
      <c r="U629" s="20"/>
      <c r="V629" s="20"/>
    </row>
    <row r="630" customHeight="1" spans="1:22">
      <c r="A630" s="19">
        <f t="shared" si="14"/>
        <v>32</v>
      </c>
      <c r="B630" s="20" t="s">
        <v>5334</v>
      </c>
      <c r="C630" s="22" t="s">
        <v>5335</v>
      </c>
      <c r="D630" s="20"/>
      <c r="E630" s="20" t="s">
        <v>451</v>
      </c>
      <c r="F630" s="20" t="s">
        <v>401</v>
      </c>
      <c r="G630" s="101" t="str">
        <f>VLOOKUP(F630,'01. TH'!$B:$E,3,0)</f>
        <v>1x1x1</v>
      </c>
      <c r="H630" s="19" t="s">
        <v>1103</v>
      </c>
      <c r="I630" s="58">
        <v>45545</v>
      </c>
      <c r="J630" s="20"/>
      <c r="K630" s="654" t="s">
        <v>1126</v>
      </c>
      <c r="L630" s="1102" t="s">
        <v>5332</v>
      </c>
      <c r="M630" s="22"/>
      <c r="N630" s="20" t="s">
        <v>3611</v>
      </c>
      <c r="O630" s="22" t="s">
        <v>5333</v>
      </c>
      <c r="P630" s="20" t="s">
        <v>3613</v>
      </c>
      <c r="Q630" s="19"/>
      <c r="R630" s="22"/>
      <c r="S630" s="22"/>
      <c r="T630" s="47"/>
      <c r="U630" s="20"/>
      <c r="V630" s="20"/>
    </row>
    <row r="631" customHeight="1" spans="1:22">
      <c r="A631" s="19">
        <f t="shared" si="14"/>
        <v>33</v>
      </c>
      <c r="B631" s="20" t="s">
        <v>5336</v>
      </c>
      <c r="C631" s="22" t="s">
        <v>5337</v>
      </c>
      <c r="D631" s="20"/>
      <c r="E631" s="20" t="s">
        <v>451</v>
      </c>
      <c r="F631" s="20" t="s">
        <v>401</v>
      </c>
      <c r="G631" s="101" t="str">
        <f>VLOOKUP(F631,'01. TH'!$B:$E,3,0)</f>
        <v>1x1x1</v>
      </c>
      <c r="H631" s="19" t="s">
        <v>1103</v>
      </c>
      <c r="I631" s="58">
        <v>45545</v>
      </c>
      <c r="J631" s="20"/>
      <c r="K631" s="654" t="s">
        <v>1126</v>
      </c>
      <c r="L631" s="1102" t="s">
        <v>5338</v>
      </c>
      <c r="M631" s="22"/>
      <c r="N631" s="20" t="s">
        <v>3611</v>
      </c>
      <c r="O631" s="22" t="s">
        <v>5333</v>
      </c>
      <c r="P631" s="20" t="s">
        <v>3613</v>
      </c>
      <c r="Q631" s="19"/>
      <c r="R631" s="22"/>
      <c r="S631" s="22"/>
      <c r="T631" s="47"/>
      <c r="U631" s="20"/>
      <c r="V631" s="20"/>
    </row>
    <row r="632" customHeight="1" spans="1:22">
      <c r="A632" s="19">
        <f t="shared" si="14"/>
        <v>34</v>
      </c>
      <c r="B632" s="20" t="s">
        <v>5339</v>
      </c>
      <c r="C632" s="22"/>
      <c r="D632" s="20" t="s">
        <v>5340</v>
      </c>
      <c r="E632" s="20" t="s">
        <v>451</v>
      </c>
      <c r="F632" s="20" t="s">
        <v>405</v>
      </c>
      <c r="G632" s="101" t="str">
        <f>VLOOKUP(F632,'01. TH'!$B:$E,3,0)</f>
        <v>1x1x1</v>
      </c>
      <c r="H632" s="19" t="s">
        <v>1103</v>
      </c>
      <c r="I632" s="19"/>
      <c r="J632" s="20"/>
      <c r="K632" s="19" t="s">
        <v>1839</v>
      </c>
      <c r="L632" s="20"/>
      <c r="M632" s="22"/>
      <c r="N632" s="20" t="s">
        <v>3611</v>
      </c>
      <c r="O632" s="22" t="s">
        <v>5341</v>
      </c>
      <c r="P632" s="20" t="s">
        <v>3613</v>
      </c>
      <c r="Q632" s="19"/>
      <c r="R632" s="22"/>
      <c r="S632" s="22"/>
      <c r="T632" s="47"/>
      <c r="U632" s="20"/>
      <c r="V632" s="20"/>
    </row>
    <row r="633" customHeight="1" spans="1:22">
      <c r="A633" s="19">
        <f t="shared" si="14"/>
        <v>35</v>
      </c>
      <c r="B633" s="20" t="s">
        <v>5342</v>
      </c>
      <c r="C633" s="22"/>
      <c r="D633" s="20" t="s">
        <v>5343</v>
      </c>
      <c r="E633" s="20" t="s">
        <v>451</v>
      </c>
      <c r="F633" s="20" t="s">
        <v>405</v>
      </c>
      <c r="G633" s="101" t="str">
        <f>VLOOKUP(F633,'01. TH'!$B:$E,3,0)</f>
        <v>1x1x1</v>
      </c>
      <c r="H633" s="19" t="s">
        <v>1103</v>
      </c>
      <c r="I633" s="19"/>
      <c r="J633" s="20"/>
      <c r="K633" s="19" t="s">
        <v>1839</v>
      </c>
      <c r="L633" s="20"/>
      <c r="M633" s="22"/>
      <c r="N633" s="20" t="s">
        <v>3611</v>
      </c>
      <c r="O633" s="22" t="s">
        <v>5341</v>
      </c>
      <c r="P633" s="20" t="s">
        <v>3613</v>
      </c>
      <c r="Q633" s="19"/>
      <c r="R633" s="22"/>
      <c r="S633" s="22"/>
      <c r="T633" s="47"/>
      <c r="U633" s="20"/>
      <c r="V633" s="20"/>
    </row>
    <row r="634" customHeight="1" spans="1:22">
      <c r="A634" s="19">
        <f t="shared" si="14"/>
        <v>36</v>
      </c>
      <c r="B634" s="20" t="s">
        <v>5344</v>
      </c>
      <c r="C634" s="22"/>
      <c r="D634" s="20"/>
      <c r="E634" s="20" t="s">
        <v>451</v>
      </c>
      <c r="F634" s="20" t="s">
        <v>4609</v>
      </c>
      <c r="G634" s="101" t="e">
        <f>VLOOKUP(F634,'01. TH'!$B:$E,3,0)</f>
        <v>#N/A</v>
      </c>
      <c r="H634" s="19" t="s">
        <v>1103</v>
      </c>
      <c r="I634" s="19"/>
      <c r="J634" s="20"/>
      <c r="K634" s="19" t="s">
        <v>1839</v>
      </c>
      <c r="L634" s="20"/>
      <c r="M634" s="22"/>
      <c r="N634" s="20" t="s">
        <v>3611</v>
      </c>
      <c r="O634" s="22" t="s">
        <v>4612</v>
      </c>
      <c r="P634" s="20" t="s">
        <v>3613</v>
      </c>
      <c r="Q634" s="19"/>
      <c r="R634" s="22"/>
      <c r="S634" s="22"/>
      <c r="T634" s="47"/>
      <c r="U634" s="20"/>
      <c r="V634" s="20"/>
    </row>
    <row r="635" customHeight="1" spans="1:22">
      <c r="A635" s="19">
        <f t="shared" si="14"/>
        <v>37</v>
      </c>
      <c r="B635" s="20" t="s">
        <v>5345</v>
      </c>
      <c r="C635" s="22"/>
      <c r="D635" s="20"/>
      <c r="E635" s="20" t="s">
        <v>451</v>
      </c>
      <c r="F635" s="20" t="s">
        <v>4609</v>
      </c>
      <c r="G635" s="101" t="e">
        <f>VLOOKUP(F635,'01. TH'!$B:$E,3,0)</f>
        <v>#N/A</v>
      </c>
      <c r="H635" s="19" t="s">
        <v>1103</v>
      </c>
      <c r="I635" s="19"/>
      <c r="J635" s="20"/>
      <c r="K635" s="19" t="s">
        <v>1839</v>
      </c>
      <c r="L635" s="20"/>
      <c r="M635" s="22"/>
      <c r="N635" s="20" t="s">
        <v>3611</v>
      </c>
      <c r="O635" s="22" t="s">
        <v>4612</v>
      </c>
      <c r="P635" s="20" t="s">
        <v>3613</v>
      </c>
      <c r="Q635" s="19"/>
      <c r="R635" s="22"/>
      <c r="S635" s="22"/>
      <c r="T635" s="47"/>
      <c r="U635" s="20"/>
      <c r="V635" s="20"/>
    </row>
    <row r="636" customHeight="1" spans="1:22">
      <c r="A636" s="19">
        <f t="shared" si="14"/>
        <v>38</v>
      </c>
      <c r="B636" s="20" t="s">
        <v>5346</v>
      </c>
      <c r="C636" s="22"/>
      <c r="D636" s="20"/>
      <c r="E636" s="20" t="s">
        <v>451</v>
      </c>
      <c r="F636" s="20" t="s">
        <v>4609</v>
      </c>
      <c r="G636" s="101" t="e">
        <f>VLOOKUP(F636,'01. TH'!$B:$E,3,0)</f>
        <v>#N/A</v>
      </c>
      <c r="H636" s="19" t="s">
        <v>1103</v>
      </c>
      <c r="I636" s="19"/>
      <c r="J636" s="20"/>
      <c r="K636" s="19" t="s">
        <v>1839</v>
      </c>
      <c r="L636" s="20"/>
      <c r="M636" s="22"/>
      <c r="N636" s="20" t="s">
        <v>3611</v>
      </c>
      <c r="O636" s="22" t="s">
        <v>4612</v>
      </c>
      <c r="P636" s="20" t="s">
        <v>3613</v>
      </c>
      <c r="Q636" s="19"/>
      <c r="R636" s="22"/>
      <c r="S636" s="22"/>
      <c r="T636" s="47"/>
      <c r="U636" s="20"/>
      <c r="V636" s="20"/>
    </row>
    <row r="637" customHeight="1" spans="1:22">
      <c r="A637" s="19">
        <f t="shared" si="14"/>
        <v>39</v>
      </c>
      <c r="B637" s="20" t="s">
        <v>5347</v>
      </c>
      <c r="C637" s="22"/>
      <c r="D637" s="20"/>
      <c r="E637" s="20" t="s">
        <v>451</v>
      </c>
      <c r="F637" s="20" t="s">
        <v>4609</v>
      </c>
      <c r="G637" s="101" t="e">
        <f>VLOOKUP(F637,'01. TH'!$B:$E,3,0)</f>
        <v>#N/A</v>
      </c>
      <c r="H637" s="19" t="s">
        <v>1103</v>
      </c>
      <c r="I637" s="19"/>
      <c r="J637" s="20"/>
      <c r="K637" s="19" t="s">
        <v>1839</v>
      </c>
      <c r="L637" s="20"/>
      <c r="M637" s="22"/>
      <c r="N637" s="20" t="s">
        <v>3611</v>
      </c>
      <c r="O637" s="22" t="s">
        <v>4612</v>
      </c>
      <c r="P637" s="20" t="s">
        <v>3613</v>
      </c>
      <c r="Q637" s="19"/>
      <c r="R637" s="22"/>
      <c r="S637" s="22"/>
      <c r="T637" s="47"/>
      <c r="U637" s="20"/>
      <c r="V637" s="20"/>
    </row>
    <row r="638" customHeight="1" spans="1:22">
      <c r="A638" s="19">
        <f t="shared" si="14"/>
        <v>40</v>
      </c>
      <c r="B638" s="20" t="s">
        <v>5348</v>
      </c>
      <c r="C638" s="22"/>
      <c r="D638" s="20"/>
      <c r="E638" s="20" t="s">
        <v>451</v>
      </c>
      <c r="F638" s="20" t="s">
        <v>4609</v>
      </c>
      <c r="G638" s="101" t="e">
        <f>VLOOKUP(F638,'01. TH'!$B:$E,3,0)</f>
        <v>#N/A</v>
      </c>
      <c r="H638" s="19" t="s">
        <v>1103</v>
      </c>
      <c r="I638" s="19"/>
      <c r="J638" s="20"/>
      <c r="K638" s="19" t="s">
        <v>1839</v>
      </c>
      <c r="L638" s="20"/>
      <c r="M638" s="22"/>
      <c r="N638" s="20" t="s">
        <v>3611</v>
      </c>
      <c r="O638" s="22" t="s">
        <v>4612</v>
      </c>
      <c r="P638" s="20" t="s">
        <v>3613</v>
      </c>
      <c r="Q638" s="19"/>
      <c r="R638" s="22"/>
      <c r="S638" s="22"/>
      <c r="T638" s="47"/>
      <c r="U638" s="20"/>
      <c r="V638" s="20"/>
    </row>
    <row r="639" customHeight="1" spans="1:22">
      <c r="A639" s="19">
        <f t="shared" si="14"/>
        <v>41</v>
      </c>
      <c r="B639" s="20" t="s">
        <v>5349</v>
      </c>
      <c r="C639" s="22"/>
      <c r="D639" s="20" t="s">
        <v>5123</v>
      </c>
      <c r="E639" s="20" t="s">
        <v>451</v>
      </c>
      <c r="F639" s="20" t="s">
        <v>4609</v>
      </c>
      <c r="G639" s="101" t="e">
        <f>VLOOKUP(F639,'01. TH'!$B:$E,3,0)</f>
        <v>#N/A</v>
      </c>
      <c r="H639" s="19" t="s">
        <v>1103</v>
      </c>
      <c r="I639" s="19" t="s">
        <v>5350</v>
      </c>
      <c r="J639" s="20"/>
      <c r="K639" s="19" t="s">
        <v>1839</v>
      </c>
      <c r="L639" s="20"/>
      <c r="M639" s="22"/>
      <c r="N639" s="20" t="s">
        <v>3611</v>
      </c>
      <c r="O639" s="22" t="s">
        <v>4612</v>
      </c>
      <c r="P639" s="20" t="s">
        <v>3613</v>
      </c>
      <c r="Q639" s="19"/>
      <c r="R639" s="22" t="s">
        <v>5351</v>
      </c>
      <c r="S639" s="22" t="s">
        <v>5352</v>
      </c>
      <c r="T639" s="47"/>
      <c r="U639" s="20"/>
      <c r="V639" s="20"/>
    </row>
    <row r="640" customHeight="1" spans="1:22">
      <c r="A640" s="19">
        <f t="shared" si="14"/>
        <v>42</v>
      </c>
      <c r="B640" s="20" t="s">
        <v>5353</v>
      </c>
      <c r="C640" s="22"/>
      <c r="D640" s="20" t="s">
        <v>5354</v>
      </c>
      <c r="E640" s="20" t="s">
        <v>451</v>
      </c>
      <c r="F640" s="20" t="s">
        <v>399</v>
      </c>
      <c r="G640" s="101" t="str">
        <f>VLOOKUP(F640,'01. TH'!$B:$E,3,0)</f>
        <v>5400 x 2000 x 2500</v>
      </c>
      <c r="H640" s="19" t="s">
        <v>1103</v>
      </c>
      <c r="I640" s="58">
        <v>45392</v>
      </c>
      <c r="J640" s="20"/>
      <c r="K640" s="19" t="s">
        <v>1839</v>
      </c>
      <c r="L640" s="20"/>
      <c r="M640" s="22"/>
      <c r="N640" s="20" t="s">
        <v>3611</v>
      </c>
      <c r="O640" s="22" t="s">
        <v>4612</v>
      </c>
      <c r="P640" s="20" t="s">
        <v>3613</v>
      </c>
      <c r="Q640" s="19">
        <v>2024</v>
      </c>
      <c r="R640" s="22" t="s">
        <v>5355</v>
      </c>
      <c r="S640" s="22"/>
      <c r="T640" s="47"/>
      <c r="U640" s="20"/>
      <c r="V640" s="20"/>
    </row>
    <row r="641" customHeight="1" spans="1:22">
      <c r="A641" s="19">
        <f t="shared" si="14"/>
        <v>43</v>
      </c>
      <c r="B641" s="20" t="s">
        <v>5356</v>
      </c>
      <c r="C641" s="22"/>
      <c r="D641" s="20" t="s">
        <v>5357</v>
      </c>
      <c r="E641" s="20" t="s">
        <v>451</v>
      </c>
      <c r="F641" s="20" t="s">
        <v>408</v>
      </c>
      <c r="G641" s="101" t="str">
        <f>VLOOKUP(F641,'01. TH'!$B:$E,3,0)</f>
        <v>6.1x2.4x0.9</v>
      </c>
      <c r="H641" s="19" t="s">
        <v>1103</v>
      </c>
      <c r="I641" s="19"/>
      <c r="J641" s="20"/>
      <c r="K641" s="19" t="s">
        <v>1839</v>
      </c>
      <c r="L641" s="20"/>
      <c r="M641" s="22"/>
      <c r="N641" s="20" t="s">
        <v>3611</v>
      </c>
      <c r="O641" s="22" t="s">
        <v>5358</v>
      </c>
      <c r="P641" s="20" t="s">
        <v>3613</v>
      </c>
      <c r="Q641" s="19"/>
      <c r="R641" s="22"/>
      <c r="S641" s="22"/>
      <c r="T641" s="47"/>
      <c r="U641" s="20"/>
      <c r="V641" s="20"/>
    </row>
    <row r="642" customHeight="1" spans="1:22">
      <c r="A642" s="19">
        <f t="shared" si="14"/>
        <v>44</v>
      </c>
      <c r="B642" s="20" t="s">
        <v>5359</v>
      </c>
      <c r="C642" s="22"/>
      <c r="D642" s="20" t="s">
        <v>5360</v>
      </c>
      <c r="E642" s="20" t="s">
        <v>451</v>
      </c>
      <c r="F642" s="20" t="s">
        <v>5361</v>
      </c>
      <c r="G642" s="101"/>
      <c r="H642" s="19" t="s">
        <v>1103</v>
      </c>
      <c r="I642" s="58">
        <v>46231</v>
      </c>
      <c r="J642" s="20"/>
      <c r="K642" s="19" t="s">
        <v>1839</v>
      </c>
      <c r="L642" s="20"/>
      <c r="M642" s="22"/>
      <c r="N642" s="20" t="s">
        <v>3611</v>
      </c>
      <c r="O642" s="22" t="s">
        <v>5196</v>
      </c>
      <c r="P642" s="20">
        <v>2026</v>
      </c>
      <c r="Q642" s="19" t="s">
        <v>5362</v>
      </c>
      <c r="R642" s="22"/>
      <c r="S642" s="22"/>
      <c r="T642" s="47"/>
      <c r="U642" s="20"/>
      <c r="V642" s="20"/>
    </row>
    <row r="643" customHeight="1" spans="1:22">
      <c r="A643" s="19">
        <f t="shared" si="14"/>
        <v>45</v>
      </c>
      <c r="B643" s="20" t="s">
        <v>5363</v>
      </c>
      <c r="C643" s="22"/>
      <c r="D643" s="20" t="s">
        <v>5364</v>
      </c>
      <c r="E643" s="20" t="s">
        <v>3593</v>
      </c>
      <c r="F643" s="20" t="s">
        <v>416</v>
      </c>
      <c r="G643" s="101">
        <f>VLOOKUP(F643,'01. TH'!$B:$E,3,0)</f>
        <v>0</v>
      </c>
      <c r="H643" s="19" t="s">
        <v>1103</v>
      </c>
      <c r="I643" s="19" t="s">
        <v>2312</v>
      </c>
      <c r="J643" s="20"/>
      <c r="K643" s="19" t="s">
        <v>1839</v>
      </c>
      <c r="L643" s="20"/>
      <c r="M643" s="22"/>
      <c r="N643" s="20" t="s">
        <v>5365</v>
      </c>
      <c r="O643" s="22" t="s">
        <v>5366</v>
      </c>
      <c r="P643" s="20" t="s">
        <v>5367</v>
      </c>
      <c r="Q643" s="19">
        <v>2017</v>
      </c>
      <c r="R643" s="22" t="s">
        <v>5368</v>
      </c>
      <c r="S643" s="22" t="s">
        <v>5369</v>
      </c>
      <c r="T643" s="47"/>
      <c r="U643" s="20"/>
      <c r="V643" s="20"/>
    </row>
    <row r="644" customHeight="1" spans="1:22">
      <c r="A644" s="19">
        <f t="shared" si="14"/>
        <v>46</v>
      </c>
      <c r="B644" s="20" t="s">
        <v>5370</v>
      </c>
      <c r="C644" s="22"/>
      <c r="D644" s="20" t="s">
        <v>5371</v>
      </c>
      <c r="E644" s="20" t="s">
        <v>3593</v>
      </c>
      <c r="F644" s="20" t="s">
        <v>413</v>
      </c>
      <c r="G644" s="101">
        <f>VLOOKUP(F644,'01. TH'!$B:$E,3,0)</f>
        <v>0</v>
      </c>
      <c r="H644" s="19" t="s">
        <v>1103</v>
      </c>
      <c r="I644" s="58">
        <v>45692</v>
      </c>
      <c r="J644" s="20"/>
      <c r="K644" s="19" t="s">
        <v>1839</v>
      </c>
      <c r="L644" s="20"/>
      <c r="M644" s="22"/>
      <c r="N644" s="20" t="s">
        <v>5365</v>
      </c>
      <c r="O644" s="22" t="s">
        <v>5366</v>
      </c>
      <c r="P644" s="20" t="s">
        <v>5367</v>
      </c>
      <c r="Q644" s="19">
        <v>2025</v>
      </c>
      <c r="R644" s="22" t="s">
        <v>5368</v>
      </c>
      <c r="S644" s="22" t="s">
        <v>5372</v>
      </c>
      <c r="T644" s="47">
        <v>5.25</v>
      </c>
      <c r="U644" s="20" t="s">
        <v>5373</v>
      </c>
      <c r="V644" s="20"/>
    </row>
    <row r="645" customHeight="1" spans="1:22">
      <c r="A645" s="19">
        <f t="shared" si="14"/>
        <v>47</v>
      </c>
      <c r="B645" s="20" t="s">
        <v>5374</v>
      </c>
      <c r="C645" s="22"/>
      <c r="D645" s="20" t="s">
        <v>5375</v>
      </c>
      <c r="E645" s="20" t="s">
        <v>3593</v>
      </c>
      <c r="F645" s="20" t="s">
        <v>413</v>
      </c>
      <c r="G645" s="101">
        <f>VLOOKUP(F645,'01. TH'!$B:$E,3,0)</f>
        <v>0</v>
      </c>
      <c r="H645" s="19" t="s">
        <v>1103</v>
      </c>
      <c r="I645" s="58">
        <v>45697</v>
      </c>
      <c r="J645" s="20"/>
      <c r="K645" s="19" t="s">
        <v>1839</v>
      </c>
      <c r="L645" s="20"/>
      <c r="M645" s="22"/>
      <c r="N645" s="20" t="s">
        <v>5365</v>
      </c>
      <c r="O645" s="22" t="s">
        <v>5366</v>
      </c>
      <c r="P645" s="20" t="s">
        <v>5367</v>
      </c>
      <c r="Q645" s="19">
        <v>2025</v>
      </c>
      <c r="R645" s="22" t="s">
        <v>5368</v>
      </c>
      <c r="S645" s="22" t="s">
        <v>5376</v>
      </c>
      <c r="T645" s="47">
        <v>5.25</v>
      </c>
      <c r="U645" s="20" t="s">
        <v>5373</v>
      </c>
      <c r="V645" s="20"/>
    </row>
    <row r="646" customHeight="1" spans="1:22">
      <c r="A646" s="19">
        <f t="shared" si="14"/>
        <v>48</v>
      </c>
      <c r="B646" s="20" t="s">
        <v>5377</v>
      </c>
      <c r="C646" s="22"/>
      <c r="D646" s="20" t="s">
        <v>5378</v>
      </c>
      <c r="E646" s="20" t="s">
        <v>3593</v>
      </c>
      <c r="F646" s="20" t="s">
        <v>413</v>
      </c>
      <c r="G646" s="101">
        <f>VLOOKUP(F646,'01. TH'!$B:$E,3,0)</f>
        <v>0</v>
      </c>
      <c r="H646" s="19" t="s">
        <v>1103</v>
      </c>
      <c r="I646" s="58">
        <v>45879</v>
      </c>
      <c r="J646" s="20"/>
      <c r="K646" s="19" t="s">
        <v>1839</v>
      </c>
      <c r="L646" s="20"/>
      <c r="M646" s="22"/>
      <c r="N646" s="20" t="s">
        <v>5365</v>
      </c>
      <c r="O646" s="22" t="s">
        <v>5366</v>
      </c>
      <c r="P646" s="20" t="s">
        <v>5367</v>
      </c>
      <c r="Q646" s="19">
        <v>2025</v>
      </c>
      <c r="R646" s="22" t="s">
        <v>5368</v>
      </c>
      <c r="S646" s="22" t="s">
        <v>5379</v>
      </c>
      <c r="T646" s="47">
        <v>5.25</v>
      </c>
      <c r="U646" s="20" t="s">
        <v>5373</v>
      </c>
      <c r="V646" s="20"/>
    </row>
    <row r="647" customHeight="1" spans="1:22">
      <c r="A647" s="19">
        <f t="shared" si="14"/>
        <v>49</v>
      </c>
      <c r="B647" s="20" t="s">
        <v>5380</v>
      </c>
      <c r="C647" s="22"/>
      <c r="D647" s="20" t="s">
        <v>5381</v>
      </c>
      <c r="E647" s="20" t="s">
        <v>3593</v>
      </c>
      <c r="F647" s="20" t="s">
        <v>413</v>
      </c>
      <c r="G647" s="101">
        <f>VLOOKUP(F647,'01. TH'!$B:$E,3,0)</f>
        <v>0</v>
      </c>
      <c r="H647" s="19" t="s">
        <v>1103</v>
      </c>
      <c r="I647" s="58">
        <v>45879</v>
      </c>
      <c r="J647" s="20"/>
      <c r="K647" s="19" t="s">
        <v>1839</v>
      </c>
      <c r="L647" s="20"/>
      <c r="M647" s="22"/>
      <c r="N647" s="20" t="s">
        <v>5365</v>
      </c>
      <c r="O647" s="22" t="s">
        <v>5366</v>
      </c>
      <c r="P647" s="20" t="s">
        <v>5367</v>
      </c>
      <c r="Q647" s="19">
        <v>2025</v>
      </c>
      <c r="R647" s="22" t="s">
        <v>5368</v>
      </c>
      <c r="S647" s="22" t="s">
        <v>5382</v>
      </c>
      <c r="T647" s="47">
        <v>5.25</v>
      </c>
      <c r="U647" s="20" t="s">
        <v>5373</v>
      </c>
      <c r="V647" s="20"/>
    </row>
    <row r="648" customHeight="1" spans="1:22">
      <c r="A648" s="19">
        <f t="shared" si="14"/>
        <v>50</v>
      </c>
      <c r="B648" s="20" t="s">
        <v>5383</v>
      </c>
      <c r="C648" s="22"/>
      <c r="D648" s="20" t="s">
        <v>5384</v>
      </c>
      <c r="E648" s="20" t="s">
        <v>3593</v>
      </c>
      <c r="F648" s="20" t="s">
        <v>413</v>
      </c>
      <c r="G648" s="101">
        <f>VLOOKUP(F648,'01. TH'!$B:$E,3,0)</f>
        <v>0</v>
      </c>
      <c r="H648" s="19" t="s">
        <v>1103</v>
      </c>
      <c r="I648" s="19" t="s">
        <v>2346</v>
      </c>
      <c r="J648" s="20"/>
      <c r="K648" s="19" t="s">
        <v>1839</v>
      </c>
      <c r="L648" s="20"/>
      <c r="M648" s="22"/>
      <c r="N648" s="20" t="s">
        <v>5365</v>
      </c>
      <c r="O648" s="22" t="s">
        <v>5366</v>
      </c>
      <c r="P648" s="20" t="s">
        <v>5367</v>
      </c>
      <c r="Q648" s="19">
        <v>2025</v>
      </c>
      <c r="R648" s="22" t="s">
        <v>5368</v>
      </c>
      <c r="S648" s="22" t="s">
        <v>5385</v>
      </c>
      <c r="T648" s="47">
        <v>5.25</v>
      </c>
      <c r="U648" s="20" t="s">
        <v>5373</v>
      </c>
      <c r="V648" s="20"/>
    </row>
    <row r="649" customHeight="1" spans="1:22">
      <c r="A649" s="19">
        <f t="shared" si="14"/>
        <v>51</v>
      </c>
      <c r="B649" s="20" t="s">
        <v>5386</v>
      </c>
      <c r="C649" s="22"/>
      <c r="D649" s="20" t="s">
        <v>5387</v>
      </c>
      <c r="E649" s="20" t="s">
        <v>3593</v>
      </c>
      <c r="F649" s="20" t="s">
        <v>413</v>
      </c>
      <c r="G649" s="101">
        <f>VLOOKUP(F649,'01. TH'!$B:$E,3,0)</f>
        <v>0</v>
      </c>
      <c r="H649" s="19" t="s">
        <v>1103</v>
      </c>
      <c r="I649" s="19" t="s">
        <v>2346</v>
      </c>
      <c r="J649" s="20"/>
      <c r="K649" s="19" t="s">
        <v>1839</v>
      </c>
      <c r="L649" s="20"/>
      <c r="M649" s="22"/>
      <c r="N649" s="20" t="s">
        <v>5365</v>
      </c>
      <c r="O649" s="22" t="s">
        <v>5366</v>
      </c>
      <c r="P649" s="20" t="s">
        <v>5367</v>
      </c>
      <c r="Q649" s="19">
        <v>2025</v>
      </c>
      <c r="R649" s="22" t="s">
        <v>5368</v>
      </c>
      <c r="S649" s="22" t="s">
        <v>5388</v>
      </c>
      <c r="T649" s="47">
        <v>5.25</v>
      </c>
      <c r="U649" s="20" t="s">
        <v>5373</v>
      </c>
      <c r="V649" s="20"/>
    </row>
    <row r="650" customHeight="1" spans="1:22">
      <c r="A650" s="19">
        <f t="shared" si="14"/>
        <v>52</v>
      </c>
      <c r="B650" s="20" t="s">
        <v>5389</v>
      </c>
      <c r="C650" s="22"/>
      <c r="D650" s="20" t="s">
        <v>5390</v>
      </c>
      <c r="E650" s="20" t="s">
        <v>3593</v>
      </c>
      <c r="F650" s="20" t="s">
        <v>413</v>
      </c>
      <c r="G650" s="101"/>
      <c r="H650" s="19" t="s">
        <v>1103</v>
      </c>
      <c r="I650" s="58">
        <v>46114</v>
      </c>
      <c r="J650" s="20"/>
      <c r="K650" s="19" t="s">
        <v>1839</v>
      </c>
      <c r="L650" s="20"/>
      <c r="M650" s="22"/>
      <c r="N650" s="20" t="s">
        <v>5365</v>
      </c>
      <c r="O650" s="22" t="s">
        <v>5366</v>
      </c>
      <c r="P650" s="20" t="s">
        <v>5367</v>
      </c>
      <c r="Q650" s="19">
        <v>2025</v>
      </c>
      <c r="R650" s="22" t="s">
        <v>5368</v>
      </c>
      <c r="S650" s="22" t="s">
        <v>5391</v>
      </c>
      <c r="T650" s="47">
        <v>5.25</v>
      </c>
      <c r="U650" s="20" t="s">
        <v>5373</v>
      </c>
      <c r="V650" s="20"/>
    </row>
    <row r="651" customHeight="1" spans="1:22">
      <c r="A651" s="19">
        <f t="shared" si="14"/>
        <v>53</v>
      </c>
      <c r="B651" s="20" t="s">
        <v>5392</v>
      </c>
      <c r="C651" s="22"/>
      <c r="D651" s="20" t="s">
        <v>5393</v>
      </c>
      <c r="E651" s="20" t="s">
        <v>3593</v>
      </c>
      <c r="F651" s="20" t="s">
        <v>413</v>
      </c>
      <c r="G651" s="101"/>
      <c r="H651" s="19" t="s">
        <v>1103</v>
      </c>
      <c r="I651" s="58">
        <v>46114</v>
      </c>
      <c r="J651" s="20"/>
      <c r="K651" s="19" t="s">
        <v>1839</v>
      </c>
      <c r="L651" s="20"/>
      <c r="M651" s="22"/>
      <c r="N651" s="20" t="s">
        <v>5365</v>
      </c>
      <c r="O651" s="22" t="s">
        <v>5366</v>
      </c>
      <c r="P651" s="20" t="s">
        <v>5367</v>
      </c>
      <c r="Q651" s="19">
        <v>2025</v>
      </c>
      <c r="R651" s="22" t="s">
        <v>5368</v>
      </c>
      <c r="S651" s="22" t="s">
        <v>5394</v>
      </c>
      <c r="T651" s="47">
        <v>5.25</v>
      </c>
      <c r="U651" s="20" t="s">
        <v>5373</v>
      </c>
      <c r="V651" s="20"/>
    </row>
    <row r="652" customHeight="1" spans="1:22">
      <c r="A652" s="19">
        <f t="shared" si="14"/>
        <v>54</v>
      </c>
      <c r="B652" s="20" t="s">
        <v>5395</v>
      </c>
      <c r="C652" s="22"/>
      <c r="D652" s="20" t="s">
        <v>5396</v>
      </c>
      <c r="E652" s="20" t="s">
        <v>3593</v>
      </c>
      <c r="F652" s="20" t="s">
        <v>414</v>
      </c>
      <c r="G652" s="101">
        <f>VLOOKUP(F652,'01. TH'!$B:$E,3,0)</f>
        <v>0</v>
      </c>
      <c r="H652" s="19" t="s">
        <v>1103</v>
      </c>
      <c r="I652" s="58">
        <v>45727</v>
      </c>
      <c r="J652" s="20"/>
      <c r="K652" s="19" t="s">
        <v>1839</v>
      </c>
      <c r="L652" s="20"/>
      <c r="M652" s="22"/>
      <c r="N652" s="20" t="s">
        <v>5365</v>
      </c>
      <c r="O652" s="22" t="s">
        <v>5397</v>
      </c>
      <c r="P652" s="20" t="s">
        <v>5367</v>
      </c>
      <c r="Q652" s="19">
        <v>2025</v>
      </c>
      <c r="R652" s="22" t="s">
        <v>5397</v>
      </c>
      <c r="S652" s="22">
        <v>202410001</v>
      </c>
      <c r="T652" s="47"/>
      <c r="U652" s="20"/>
      <c r="V652" s="20"/>
    </row>
    <row r="653" customHeight="1" spans="1:22">
      <c r="A653" s="19">
        <f t="shared" si="14"/>
        <v>55</v>
      </c>
      <c r="B653" s="20" t="s">
        <v>5398</v>
      </c>
      <c r="C653" s="22"/>
      <c r="D653" s="20" t="s">
        <v>5399</v>
      </c>
      <c r="E653" s="20" t="s">
        <v>3593</v>
      </c>
      <c r="F653" s="20" t="s">
        <v>415</v>
      </c>
      <c r="G653" s="101">
        <f>VLOOKUP(F653,'01. TH'!$B:$E,3,0)</f>
        <v>0</v>
      </c>
      <c r="H653" s="19" t="s">
        <v>1103</v>
      </c>
      <c r="I653" s="19" t="s">
        <v>2365</v>
      </c>
      <c r="J653" s="20"/>
      <c r="K653" s="19" t="s">
        <v>1839</v>
      </c>
      <c r="L653" s="20"/>
      <c r="M653" s="22"/>
      <c r="N653" s="20" t="s">
        <v>5365</v>
      </c>
      <c r="O653" s="22" t="s">
        <v>5400</v>
      </c>
      <c r="P653" s="20" t="s">
        <v>5367</v>
      </c>
      <c r="Q653" s="19">
        <v>2025</v>
      </c>
      <c r="R653" s="22" t="s">
        <v>5400</v>
      </c>
      <c r="S653" s="22" t="s">
        <v>5401</v>
      </c>
      <c r="T653" s="47"/>
      <c r="U653" s="20"/>
      <c r="V653" s="20"/>
    </row>
    <row r="654" customHeight="1" spans="1:22">
      <c r="A654" s="19">
        <f t="shared" si="14"/>
        <v>56</v>
      </c>
      <c r="B654" s="20" t="s">
        <v>5402</v>
      </c>
      <c r="C654" s="22"/>
      <c r="D654" s="20" t="s">
        <v>5403</v>
      </c>
      <c r="E654" s="20" t="s">
        <v>3593</v>
      </c>
      <c r="F654" s="20" t="s">
        <v>415</v>
      </c>
      <c r="G654" s="101"/>
      <c r="H654" s="19" t="s">
        <v>1103</v>
      </c>
      <c r="I654" s="58">
        <v>46176</v>
      </c>
      <c r="J654" s="20"/>
      <c r="K654" s="19" t="s">
        <v>1839</v>
      </c>
      <c r="L654" s="20"/>
      <c r="M654" s="22"/>
      <c r="N654" s="20" t="s">
        <v>5365</v>
      </c>
      <c r="O654" s="22" t="s">
        <v>5400</v>
      </c>
      <c r="P654" s="20" t="s">
        <v>5367</v>
      </c>
      <c r="Q654" s="19">
        <v>2025</v>
      </c>
      <c r="R654" s="22" t="s">
        <v>5400</v>
      </c>
      <c r="S654" s="22" t="s">
        <v>5404</v>
      </c>
      <c r="T654" s="47"/>
      <c r="U654" s="20"/>
      <c r="V654" s="20"/>
    </row>
    <row r="655" customHeight="1" spans="1:22">
      <c r="A655" s="19">
        <f t="shared" si="14"/>
        <v>57</v>
      </c>
      <c r="B655" s="20" t="s">
        <v>5405</v>
      </c>
      <c r="C655" s="22"/>
      <c r="D655" s="20" t="s">
        <v>5406</v>
      </c>
      <c r="E655" s="20" t="s">
        <v>3593</v>
      </c>
      <c r="F655" s="20" t="s">
        <v>415</v>
      </c>
      <c r="G655" s="101"/>
      <c r="H655" s="19" t="s">
        <v>1103</v>
      </c>
      <c r="I655" s="58">
        <v>46176</v>
      </c>
      <c r="J655" s="20"/>
      <c r="K655" s="19" t="s">
        <v>1839</v>
      </c>
      <c r="L655" s="20"/>
      <c r="M655" s="22"/>
      <c r="N655" s="20" t="s">
        <v>5365</v>
      </c>
      <c r="O655" s="22" t="s">
        <v>5400</v>
      </c>
      <c r="P655" s="20" t="s">
        <v>5367</v>
      </c>
      <c r="Q655" s="19">
        <v>2025</v>
      </c>
      <c r="R655" s="22" t="s">
        <v>5400</v>
      </c>
      <c r="S655" s="22" t="s">
        <v>5407</v>
      </c>
      <c r="T655" s="47"/>
      <c r="U655" s="20"/>
      <c r="V655" s="20"/>
    </row>
    <row r="656" customHeight="1" spans="1:22">
      <c r="A656" s="19">
        <f t="shared" si="14"/>
        <v>58</v>
      </c>
      <c r="B656" s="20" t="s">
        <v>5408</v>
      </c>
      <c r="C656" s="22"/>
      <c r="D656" s="20" t="s">
        <v>5409</v>
      </c>
      <c r="E656" s="20" t="s">
        <v>3593</v>
      </c>
      <c r="F656" s="20" t="s">
        <v>415</v>
      </c>
      <c r="G656" s="101"/>
      <c r="H656" s="19" t="s">
        <v>1103</v>
      </c>
      <c r="I656" s="58">
        <v>46267</v>
      </c>
      <c r="J656" s="20"/>
      <c r="K656" s="19" t="s">
        <v>1839</v>
      </c>
      <c r="L656" s="20"/>
      <c r="M656" s="22"/>
      <c r="N656" s="20" t="s">
        <v>5365</v>
      </c>
      <c r="O656" s="22" t="s">
        <v>5400</v>
      </c>
      <c r="P656" s="20" t="s">
        <v>5367</v>
      </c>
      <c r="Q656" s="19">
        <v>2025</v>
      </c>
      <c r="R656" s="22" t="s">
        <v>5400</v>
      </c>
      <c r="S656" s="22" t="s">
        <v>5410</v>
      </c>
      <c r="T656" s="47"/>
      <c r="U656" s="20"/>
      <c r="V656" s="20"/>
    </row>
    <row r="657" customHeight="1" spans="1:22">
      <c r="A657" s="19">
        <f t="shared" si="14"/>
        <v>59</v>
      </c>
      <c r="B657" s="20" t="s">
        <v>5411</v>
      </c>
      <c r="C657" s="22"/>
      <c r="D657" s="20" t="s">
        <v>5412</v>
      </c>
      <c r="E657" s="20" t="s">
        <v>3593</v>
      </c>
      <c r="F657" s="20" t="s">
        <v>415</v>
      </c>
      <c r="G657" s="101"/>
      <c r="H657" s="19" t="s">
        <v>1103</v>
      </c>
      <c r="I657" s="58">
        <v>46176</v>
      </c>
      <c r="J657" s="20"/>
      <c r="K657" s="19" t="s">
        <v>1839</v>
      </c>
      <c r="L657" s="20"/>
      <c r="M657" s="22"/>
      <c r="N657" s="20" t="s">
        <v>5365</v>
      </c>
      <c r="O657" s="22" t="s">
        <v>5400</v>
      </c>
      <c r="P657" s="20" t="s">
        <v>5367</v>
      </c>
      <c r="Q657" s="19">
        <v>2025</v>
      </c>
      <c r="R657" s="22" t="s">
        <v>5400</v>
      </c>
      <c r="S657" s="22" t="s">
        <v>5413</v>
      </c>
      <c r="T657" s="47"/>
      <c r="U657" s="20"/>
      <c r="V657" s="20"/>
    </row>
    <row r="658" customHeight="1" spans="1:22">
      <c r="A658" s="19">
        <f t="shared" si="14"/>
        <v>60</v>
      </c>
      <c r="B658" s="20" t="s">
        <v>5414</v>
      </c>
      <c r="C658" s="22"/>
      <c r="D658" s="20" t="s">
        <v>5415</v>
      </c>
      <c r="E658" s="20" t="s">
        <v>3593</v>
      </c>
      <c r="F658" s="20" t="s">
        <v>415</v>
      </c>
      <c r="G658" s="101"/>
      <c r="H658" s="19" t="s">
        <v>1103</v>
      </c>
      <c r="I658" s="58">
        <v>46176</v>
      </c>
      <c r="J658" s="20"/>
      <c r="K658" s="19" t="s">
        <v>1839</v>
      </c>
      <c r="L658" s="20"/>
      <c r="M658" s="22"/>
      <c r="N658" s="20" t="s">
        <v>5365</v>
      </c>
      <c r="O658" s="22" t="s">
        <v>5400</v>
      </c>
      <c r="P658" s="20" t="s">
        <v>5367</v>
      </c>
      <c r="Q658" s="19">
        <v>2025</v>
      </c>
      <c r="R658" s="22" t="s">
        <v>5400</v>
      </c>
      <c r="S658" s="22" t="s">
        <v>5416</v>
      </c>
      <c r="T658" s="47"/>
      <c r="U658" s="20"/>
      <c r="V658" s="20"/>
    </row>
    <row r="659" customHeight="1" spans="1:22">
      <c r="A659" s="19">
        <f t="shared" si="14"/>
        <v>61</v>
      </c>
      <c r="B659" s="20" t="s">
        <v>5417</v>
      </c>
      <c r="C659" s="22"/>
      <c r="D659" s="20" t="s">
        <v>5418</v>
      </c>
      <c r="E659" s="20" t="s">
        <v>3593</v>
      </c>
      <c r="F659" s="20" t="s">
        <v>415</v>
      </c>
      <c r="G659" s="101"/>
      <c r="H659" s="19" t="s">
        <v>1103</v>
      </c>
      <c r="I659" s="58">
        <v>46176</v>
      </c>
      <c r="J659" s="20"/>
      <c r="K659" s="19" t="s">
        <v>1839</v>
      </c>
      <c r="L659" s="20"/>
      <c r="M659" s="22"/>
      <c r="N659" s="20" t="s">
        <v>5365</v>
      </c>
      <c r="O659" s="22" t="s">
        <v>5400</v>
      </c>
      <c r="P659" s="20" t="s">
        <v>5367</v>
      </c>
      <c r="Q659" s="19">
        <v>2025</v>
      </c>
      <c r="R659" s="22" t="s">
        <v>5400</v>
      </c>
      <c r="S659" s="22" t="s">
        <v>5419</v>
      </c>
      <c r="T659" s="47"/>
      <c r="U659" s="20"/>
      <c r="V659" s="20"/>
    </row>
    <row r="660" customHeight="1" spans="1:22">
      <c r="A660" s="19">
        <f t="shared" si="14"/>
        <v>62</v>
      </c>
      <c r="B660" s="20" t="s">
        <v>5420</v>
      </c>
      <c r="C660" s="22"/>
      <c r="D660" s="20" t="s">
        <v>5421</v>
      </c>
      <c r="E660" s="20" t="s">
        <v>3593</v>
      </c>
      <c r="F660" s="20" t="s">
        <v>415</v>
      </c>
      <c r="G660" s="101"/>
      <c r="H660" s="19" t="s">
        <v>1103</v>
      </c>
      <c r="I660" s="58">
        <v>46176</v>
      </c>
      <c r="J660" s="20"/>
      <c r="K660" s="19" t="s">
        <v>1839</v>
      </c>
      <c r="L660" s="20"/>
      <c r="M660" s="22"/>
      <c r="N660" s="20" t="s">
        <v>5365</v>
      </c>
      <c r="O660" s="22" t="s">
        <v>5400</v>
      </c>
      <c r="P660" s="20" t="s">
        <v>5367</v>
      </c>
      <c r="Q660" s="19">
        <v>2025</v>
      </c>
      <c r="R660" s="22" t="s">
        <v>5400</v>
      </c>
      <c r="S660" s="22" t="s">
        <v>5422</v>
      </c>
      <c r="T660" s="47"/>
      <c r="U660" s="20"/>
      <c r="V660" s="20"/>
    </row>
    <row r="661" customHeight="1" spans="1:22">
      <c r="A661" s="19">
        <f t="shared" si="14"/>
        <v>63</v>
      </c>
      <c r="B661" s="20" t="s">
        <v>5423</v>
      </c>
      <c r="C661" s="22"/>
      <c r="D661" s="20" t="s">
        <v>5424</v>
      </c>
      <c r="E661" s="20" t="s">
        <v>3593</v>
      </c>
      <c r="F661" s="20" t="s">
        <v>415</v>
      </c>
      <c r="G661" s="101"/>
      <c r="H661" s="19" t="s">
        <v>1103</v>
      </c>
      <c r="I661" s="58">
        <v>46176</v>
      </c>
      <c r="J661" s="20"/>
      <c r="K661" s="19" t="s">
        <v>1839</v>
      </c>
      <c r="L661" s="20"/>
      <c r="M661" s="22"/>
      <c r="N661" s="20" t="s">
        <v>5365</v>
      </c>
      <c r="O661" s="22" t="s">
        <v>5400</v>
      </c>
      <c r="P661" s="20" t="s">
        <v>5367</v>
      </c>
      <c r="Q661" s="19">
        <v>2025</v>
      </c>
      <c r="R661" s="22" t="s">
        <v>5400</v>
      </c>
      <c r="S661" s="22" t="s">
        <v>5425</v>
      </c>
      <c r="T661" s="47"/>
      <c r="U661" s="20"/>
      <c r="V661" s="20"/>
    </row>
    <row r="662" customHeight="1" spans="1:22">
      <c r="A662" s="19">
        <f t="shared" si="14"/>
        <v>64</v>
      </c>
      <c r="B662" s="20" t="s">
        <v>5426</v>
      </c>
      <c r="C662" s="22"/>
      <c r="D662" s="20" t="s">
        <v>5427</v>
      </c>
      <c r="E662" s="20" t="s">
        <v>451</v>
      </c>
      <c r="F662" s="20" t="s">
        <v>5428</v>
      </c>
      <c r="G662" s="101" t="e">
        <f>VLOOKUP(F662,'01. TH'!$B:$E,3,0)</f>
        <v>#N/A</v>
      </c>
      <c r="H662" s="19" t="s">
        <v>1103</v>
      </c>
      <c r="I662" s="19"/>
      <c r="J662" s="20"/>
      <c r="K662" s="19" t="s">
        <v>1839</v>
      </c>
      <c r="L662" s="20"/>
      <c r="M662" s="22"/>
      <c r="N662" s="20" t="s">
        <v>3611</v>
      </c>
      <c r="O662" s="22"/>
      <c r="P662" s="20" t="s">
        <v>3613</v>
      </c>
      <c r="Q662" s="19"/>
      <c r="R662" s="22"/>
      <c r="S662" s="22"/>
      <c r="T662" s="47"/>
      <c r="U662" s="20"/>
      <c r="V662" s="20"/>
    </row>
    <row r="663" customHeight="1" spans="1:22">
      <c r="A663" s="19">
        <f t="shared" si="14"/>
        <v>65</v>
      </c>
      <c r="B663" s="20" t="s">
        <v>5429</v>
      </c>
      <c r="C663" s="22"/>
      <c r="D663" s="20" t="s">
        <v>5430</v>
      </c>
      <c r="E663" s="20" t="s">
        <v>451</v>
      </c>
      <c r="F663" s="20" t="s">
        <v>330</v>
      </c>
      <c r="G663" s="101" t="str">
        <f>VLOOKUP(F663,'01. TH'!$B:$E,3,0)</f>
        <v>1800x1180x1152</v>
      </c>
      <c r="H663" s="19" t="s">
        <v>1103</v>
      </c>
      <c r="I663" s="19"/>
      <c r="J663" s="20"/>
      <c r="K663" s="19" t="s">
        <v>1839</v>
      </c>
      <c r="L663" s="20"/>
      <c r="M663" s="22"/>
      <c r="N663" s="20" t="s">
        <v>3611</v>
      </c>
      <c r="O663" s="22"/>
      <c r="P663" s="20" t="s">
        <v>3613</v>
      </c>
      <c r="Q663" s="19"/>
      <c r="R663" s="22"/>
      <c r="S663" s="22"/>
      <c r="T663" s="47"/>
      <c r="U663" s="20"/>
      <c r="V663" s="20"/>
    </row>
    <row r="664" customHeight="1" spans="1:22">
      <c r="A664" s="19">
        <f t="shared" si="14"/>
        <v>66</v>
      </c>
      <c r="B664" s="20" t="s">
        <v>5431</v>
      </c>
      <c r="C664" s="22"/>
      <c r="D664" s="20" t="s">
        <v>5432</v>
      </c>
      <c r="E664" s="20" t="s">
        <v>3593</v>
      </c>
      <c r="F664" s="20" t="s">
        <v>330</v>
      </c>
      <c r="G664" s="101" t="str">
        <f>VLOOKUP(F664,'01. TH'!$B:$E,3,0)</f>
        <v>1800x1180x1152</v>
      </c>
      <c r="H664" s="19" t="s">
        <v>1103</v>
      </c>
      <c r="I664" s="19"/>
      <c r="J664" s="20"/>
      <c r="K664" s="19" t="s">
        <v>1839</v>
      </c>
      <c r="L664" s="20"/>
      <c r="M664" s="22"/>
      <c r="N664" s="20" t="s">
        <v>3611</v>
      </c>
      <c r="O664" s="22"/>
      <c r="P664" s="20" t="s">
        <v>3613</v>
      </c>
      <c r="Q664" s="19"/>
      <c r="R664" s="22"/>
      <c r="S664" s="22"/>
      <c r="T664" s="47"/>
      <c r="U664" s="20"/>
      <c r="V664" s="20"/>
    </row>
    <row r="665" customHeight="1" spans="1:22">
      <c r="A665" s="19">
        <f t="shared" si="14"/>
        <v>67</v>
      </c>
      <c r="B665" s="20" t="s">
        <v>5433</v>
      </c>
      <c r="C665" s="22"/>
      <c r="D665" s="20" t="s">
        <v>5434</v>
      </c>
      <c r="E665" s="20" t="s">
        <v>3593</v>
      </c>
      <c r="F665" s="20" t="s">
        <v>330</v>
      </c>
      <c r="G665" s="101" t="str">
        <f>VLOOKUP(F665,'01. TH'!$B:$E,3,0)</f>
        <v>1800x1180x1152</v>
      </c>
      <c r="H665" s="19" t="s">
        <v>1103</v>
      </c>
      <c r="I665" s="58">
        <v>45785</v>
      </c>
      <c r="J665" s="43"/>
      <c r="K665" s="19" t="s">
        <v>1839</v>
      </c>
      <c r="L665" s="20"/>
      <c r="M665" s="22"/>
      <c r="N665" s="20" t="s">
        <v>4168</v>
      </c>
      <c r="O665" s="22" t="s">
        <v>5435</v>
      </c>
      <c r="P665" s="20" t="s">
        <v>4046</v>
      </c>
      <c r="Q665" s="19">
        <v>2025</v>
      </c>
      <c r="R665" s="22"/>
      <c r="S665" s="22"/>
      <c r="T665" s="47"/>
      <c r="U665" s="20"/>
      <c r="V665" s="20"/>
    </row>
    <row r="666" customHeight="1" spans="1:22">
      <c r="A666" s="19">
        <f t="shared" si="14"/>
        <v>68</v>
      </c>
      <c r="B666" s="20" t="s">
        <v>5436</v>
      </c>
      <c r="C666" s="22"/>
      <c r="D666" s="20" t="s">
        <v>5437</v>
      </c>
      <c r="E666" s="20" t="s">
        <v>5438</v>
      </c>
      <c r="F666" s="20" t="s">
        <v>5439</v>
      </c>
      <c r="G666" s="101" t="e">
        <f>VLOOKUP(F666,'01. TH'!$B:$E,3,0)</f>
        <v>#N/A</v>
      </c>
      <c r="H666" s="19" t="s">
        <v>1103</v>
      </c>
      <c r="I666" s="58">
        <v>45292</v>
      </c>
      <c r="J666" s="43">
        <v>0.96</v>
      </c>
      <c r="K666" s="19" t="s">
        <v>1839</v>
      </c>
      <c r="L666" s="20"/>
      <c r="M666" s="22"/>
      <c r="N666" s="20" t="s">
        <v>3611</v>
      </c>
      <c r="O666" s="22" t="s">
        <v>5440</v>
      </c>
      <c r="P666" s="20" t="s">
        <v>3613</v>
      </c>
      <c r="Q666" s="19"/>
      <c r="R666" s="22"/>
      <c r="S666" s="22"/>
      <c r="T666" s="47"/>
      <c r="U666" s="20"/>
      <c r="V666" s="20"/>
    </row>
    <row r="667" customHeight="1" spans="1:22">
      <c r="A667" s="19">
        <f t="shared" si="14"/>
        <v>69</v>
      </c>
      <c r="B667" s="20" t="s">
        <v>5441</v>
      </c>
      <c r="C667" s="22"/>
      <c r="D667" s="20" t="s">
        <v>5442</v>
      </c>
      <c r="E667" s="20" t="s">
        <v>451</v>
      </c>
      <c r="F667" s="20" t="s">
        <v>5443</v>
      </c>
      <c r="G667" s="101" t="e">
        <f>VLOOKUP(F667,'01. TH'!$B:$E,3,0)</f>
        <v>#N/A</v>
      </c>
      <c r="H667" s="19" t="s">
        <v>1103</v>
      </c>
      <c r="I667" s="19"/>
      <c r="J667" s="20"/>
      <c r="K667" s="19" t="s">
        <v>1839</v>
      </c>
      <c r="L667" s="20"/>
      <c r="M667" s="22"/>
      <c r="N667" s="20" t="s">
        <v>3611</v>
      </c>
      <c r="O667" s="22"/>
      <c r="P667" s="20" t="s">
        <v>3613</v>
      </c>
      <c r="Q667" s="19"/>
      <c r="R667" s="22"/>
      <c r="S667" s="22"/>
      <c r="T667" s="47"/>
      <c r="U667" s="20"/>
      <c r="V667" s="20"/>
    </row>
    <row r="668" customHeight="1" spans="1:22">
      <c r="A668" s="19">
        <f t="shared" si="14"/>
        <v>70</v>
      </c>
      <c r="B668" s="20" t="s">
        <v>5444</v>
      </c>
      <c r="C668" s="22"/>
      <c r="D668" s="20" t="s">
        <v>5445</v>
      </c>
      <c r="E668" s="20" t="s">
        <v>451</v>
      </c>
      <c r="F668" s="20" t="s">
        <v>5446</v>
      </c>
      <c r="G668" s="101" t="e">
        <f>VLOOKUP(F668,'01. TH'!$B:$E,3,0)</f>
        <v>#N/A</v>
      </c>
      <c r="H668" s="19" t="s">
        <v>1103</v>
      </c>
      <c r="I668" s="19"/>
      <c r="J668" s="20"/>
      <c r="K668" s="19" t="s">
        <v>1839</v>
      </c>
      <c r="L668" s="20"/>
      <c r="M668" s="22"/>
      <c r="N668" s="20" t="s">
        <v>3611</v>
      </c>
      <c r="O668" s="22"/>
      <c r="P668" s="20" t="s">
        <v>3613</v>
      </c>
      <c r="Q668" s="19"/>
      <c r="R668" s="22"/>
      <c r="S668" s="22"/>
      <c r="T668" s="47"/>
      <c r="U668" s="20"/>
      <c r="V668" s="20"/>
    </row>
    <row r="669" customHeight="1" spans="1:22">
      <c r="A669" s="19">
        <f t="shared" si="14"/>
        <v>71</v>
      </c>
      <c r="B669" s="20" t="s">
        <v>5447</v>
      </c>
      <c r="C669" s="22"/>
      <c r="D669" s="20" t="s">
        <v>5448</v>
      </c>
      <c r="E669" s="20" t="s">
        <v>451</v>
      </c>
      <c r="F669" s="20" t="s">
        <v>5449</v>
      </c>
      <c r="G669" s="101" t="e">
        <f>VLOOKUP(F669,'01. TH'!$B:$E,3,0)</f>
        <v>#N/A</v>
      </c>
      <c r="H669" s="19" t="s">
        <v>1103</v>
      </c>
      <c r="I669" s="19"/>
      <c r="J669" s="20"/>
      <c r="K669" s="19" t="s">
        <v>1839</v>
      </c>
      <c r="L669" s="20"/>
      <c r="M669" s="22"/>
      <c r="N669" s="20" t="s">
        <v>3611</v>
      </c>
      <c r="O669" s="22" t="s">
        <v>5450</v>
      </c>
      <c r="P669" s="20" t="s">
        <v>3613</v>
      </c>
      <c r="Q669" s="19"/>
      <c r="R669" s="22"/>
      <c r="S669" s="22"/>
      <c r="T669" s="47"/>
      <c r="U669" s="20"/>
      <c r="V669" s="20"/>
    </row>
    <row r="670" customHeight="1" spans="1:22">
      <c r="A670" s="19">
        <f t="shared" si="14"/>
        <v>72</v>
      </c>
      <c r="B670" s="20" t="s">
        <v>5451</v>
      </c>
      <c r="C670" s="21"/>
      <c r="D670" s="20" t="s">
        <v>5452</v>
      </c>
      <c r="E670" s="20" t="s">
        <v>451</v>
      </c>
      <c r="F670" s="20" t="s">
        <v>5453</v>
      </c>
      <c r="G670" s="101" t="e">
        <f>VLOOKUP(F670,'01. TH'!$B:$E,3,0)</f>
        <v>#N/A</v>
      </c>
      <c r="H670" s="19" t="s">
        <v>1103</v>
      </c>
      <c r="I670" s="19"/>
      <c r="J670" s="20"/>
      <c r="K670" s="19" t="s">
        <v>1839</v>
      </c>
      <c r="L670" s="20"/>
      <c r="M670" s="22"/>
      <c r="N670" s="20" t="s">
        <v>3611</v>
      </c>
      <c r="O670" s="22" t="s">
        <v>5454</v>
      </c>
      <c r="P670" s="20" t="s">
        <v>3613</v>
      </c>
      <c r="Q670" s="19"/>
      <c r="R670" s="22"/>
      <c r="S670" s="22"/>
      <c r="T670" s="47"/>
      <c r="U670" s="20"/>
      <c r="V670" s="20"/>
    </row>
    <row r="671" customHeight="1" spans="1:22">
      <c r="A671" s="19">
        <f t="shared" si="14"/>
        <v>73</v>
      </c>
      <c r="B671" s="20" t="s">
        <v>5455</v>
      </c>
      <c r="C671" s="22"/>
      <c r="D671" s="20" t="s">
        <v>5456</v>
      </c>
      <c r="E671" s="20" t="s">
        <v>451</v>
      </c>
      <c r="F671" s="20" t="s">
        <v>5457</v>
      </c>
      <c r="G671" s="101" t="e">
        <f>VLOOKUP(F671,'01. TH'!$B:$E,3,0)</f>
        <v>#N/A</v>
      </c>
      <c r="H671" s="19" t="s">
        <v>1103</v>
      </c>
      <c r="I671" s="19"/>
      <c r="J671" s="20"/>
      <c r="K671" s="19" t="s">
        <v>1839</v>
      </c>
      <c r="L671" s="20"/>
      <c r="M671" s="22"/>
      <c r="N671" s="20" t="s">
        <v>3611</v>
      </c>
      <c r="O671" s="22"/>
      <c r="P671" s="20" t="s">
        <v>3613</v>
      </c>
      <c r="Q671" s="19"/>
      <c r="R671" s="22"/>
      <c r="S671" s="22"/>
      <c r="T671" s="47"/>
      <c r="U671" s="20"/>
      <c r="V671" s="20"/>
    </row>
    <row r="672" customHeight="1" spans="1:22">
      <c r="A672" s="19">
        <f t="shared" si="14"/>
        <v>74</v>
      </c>
      <c r="B672" s="20" t="s">
        <v>5458</v>
      </c>
      <c r="C672" s="22"/>
      <c r="D672" s="20" t="s">
        <v>5459</v>
      </c>
      <c r="E672" s="20" t="s">
        <v>451</v>
      </c>
      <c r="F672" s="20" t="s">
        <v>5457</v>
      </c>
      <c r="G672" s="101" t="e">
        <f>VLOOKUP(F672,'01. TH'!$B:$E,3,0)</f>
        <v>#N/A</v>
      </c>
      <c r="H672" s="19" t="s">
        <v>1103</v>
      </c>
      <c r="I672" s="19"/>
      <c r="J672" s="20"/>
      <c r="K672" s="19" t="s">
        <v>1126</v>
      </c>
      <c r="L672" s="20"/>
      <c r="M672" s="22"/>
      <c r="N672" s="20" t="s">
        <v>3611</v>
      </c>
      <c r="O672" s="22"/>
      <c r="P672" s="20" t="s">
        <v>3613</v>
      </c>
      <c r="Q672" s="19"/>
      <c r="R672" s="22"/>
      <c r="S672" s="22"/>
      <c r="T672" s="47"/>
      <c r="U672" s="20"/>
      <c r="V672" s="20"/>
    </row>
    <row r="673" customHeight="1" spans="1:22">
      <c r="A673" s="19">
        <f t="shared" si="14"/>
        <v>75</v>
      </c>
      <c r="B673" s="20" t="s">
        <v>5460</v>
      </c>
      <c r="C673" s="22"/>
      <c r="D673" s="20" t="s">
        <v>5461</v>
      </c>
      <c r="E673" s="20" t="s">
        <v>451</v>
      </c>
      <c r="F673" s="20" t="s">
        <v>5462</v>
      </c>
      <c r="G673" s="101" t="e">
        <f>VLOOKUP(F673,'01. TH'!$B:$E,3,0)</f>
        <v>#N/A</v>
      </c>
      <c r="H673" s="19" t="s">
        <v>1103</v>
      </c>
      <c r="I673" s="19"/>
      <c r="J673" s="20"/>
      <c r="K673" s="19" t="s">
        <v>1839</v>
      </c>
      <c r="L673" s="20"/>
      <c r="M673" s="22"/>
      <c r="N673" s="20" t="s">
        <v>3611</v>
      </c>
      <c r="O673" s="22"/>
      <c r="P673" s="20" t="s">
        <v>3613</v>
      </c>
      <c r="Q673" s="19"/>
      <c r="R673" s="22"/>
      <c r="S673" s="22"/>
      <c r="T673" s="47"/>
      <c r="U673" s="20"/>
      <c r="V673" s="20"/>
    </row>
    <row r="674" customHeight="1" spans="1:22">
      <c r="A674" s="19">
        <f t="shared" si="14"/>
        <v>76</v>
      </c>
      <c r="B674" s="20" t="s">
        <v>5463</v>
      </c>
      <c r="C674" s="22"/>
      <c r="D674" s="20" t="s">
        <v>5464</v>
      </c>
      <c r="E674" s="20" t="s">
        <v>451</v>
      </c>
      <c r="F674" s="20" t="s">
        <v>5465</v>
      </c>
      <c r="G674" s="101" t="e">
        <f>VLOOKUP(F674,'01. TH'!$B:$E,3,0)</f>
        <v>#N/A</v>
      </c>
      <c r="H674" s="19" t="s">
        <v>1103</v>
      </c>
      <c r="I674" s="19"/>
      <c r="J674" s="20"/>
      <c r="K674" s="19" t="s">
        <v>1839</v>
      </c>
      <c r="L674" s="20"/>
      <c r="M674" s="22"/>
      <c r="N674" s="20" t="s">
        <v>3611</v>
      </c>
      <c r="O674" s="22"/>
      <c r="P674" s="20" t="s">
        <v>3613</v>
      </c>
      <c r="Q674" s="19"/>
      <c r="R674" s="22"/>
      <c r="S674" s="22"/>
      <c r="T674" s="47"/>
      <c r="U674" s="20"/>
      <c r="V674" s="20"/>
    </row>
    <row r="675" customHeight="1" spans="1:22">
      <c r="A675" s="19">
        <f t="shared" si="14"/>
        <v>77</v>
      </c>
      <c r="B675" s="20" t="s">
        <v>5466</v>
      </c>
      <c r="C675" s="22"/>
      <c r="D675" s="20" t="s">
        <v>5467</v>
      </c>
      <c r="E675" s="20" t="s">
        <v>451</v>
      </c>
      <c r="F675" s="20" t="s">
        <v>5465</v>
      </c>
      <c r="G675" s="101" t="e">
        <f>VLOOKUP(F675,'01. TH'!$B:$E,3,0)</f>
        <v>#N/A</v>
      </c>
      <c r="H675" s="19" t="s">
        <v>1103</v>
      </c>
      <c r="I675" s="19"/>
      <c r="J675" s="20"/>
      <c r="K675" s="19" t="s">
        <v>1839</v>
      </c>
      <c r="L675" s="20"/>
      <c r="M675" s="22"/>
      <c r="N675" s="20" t="s">
        <v>3611</v>
      </c>
      <c r="O675" s="22"/>
      <c r="P675" s="20" t="s">
        <v>3613</v>
      </c>
      <c r="Q675" s="19"/>
      <c r="R675" s="22"/>
      <c r="S675" s="22"/>
      <c r="T675" s="47"/>
      <c r="U675" s="20"/>
      <c r="V675" s="20"/>
    </row>
    <row r="676" customHeight="1" spans="1:22">
      <c r="A676" s="19">
        <f t="shared" si="14"/>
        <v>78</v>
      </c>
      <c r="B676" s="20" t="s">
        <v>5468</v>
      </c>
      <c r="C676" s="22"/>
      <c r="D676" s="20" t="s">
        <v>5469</v>
      </c>
      <c r="E676" s="20" t="s">
        <v>451</v>
      </c>
      <c r="F676" s="20" t="s">
        <v>5470</v>
      </c>
      <c r="G676" s="101" t="e">
        <f>VLOOKUP(F676,'01. TH'!$B:$E,3,0)</f>
        <v>#N/A</v>
      </c>
      <c r="H676" s="19" t="s">
        <v>1103</v>
      </c>
      <c r="I676" s="19"/>
      <c r="J676" s="20"/>
      <c r="K676" s="19" t="s">
        <v>1839</v>
      </c>
      <c r="L676" s="20"/>
      <c r="M676" s="22" t="s">
        <v>5292</v>
      </c>
      <c r="N676" s="20" t="s">
        <v>3611</v>
      </c>
      <c r="O676" s="22" t="s">
        <v>5471</v>
      </c>
      <c r="P676" s="20" t="s">
        <v>3613</v>
      </c>
      <c r="Q676" s="19"/>
      <c r="R676" s="22"/>
      <c r="S676" s="22"/>
      <c r="T676" s="47"/>
      <c r="U676" s="20"/>
      <c r="V676" s="20"/>
    </row>
    <row r="677" customHeight="1" spans="1:22">
      <c r="A677" s="19">
        <f t="shared" si="14"/>
        <v>79</v>
      </c>
      <c r="B677" s="20" t="s">
        <v>5472</v>
      </c>
      <c r="C677" s="22"/>
      <c r="D677" s="20" t="s">
        <v>5473</v>
      </c>
      <c r="E677" s="20" t="s">
        <v>451</v>
      </c>
      <c r="F677" s="20" t="s">
        <v>5470</v>
      </c>
      <c r="G677" s="101" t="e">
        <f>VLOOKUP(F677,'01. TH'!$B:$E,3,0)</f>
        <v>#N/A</v>
      </c>
      <c r="H677" s="19" t="s">
        <v>1103</v>
      </c>
      <c r="I677" s="19"/>
      <c r="J677" s="20"/>
      <c r="K677" s="19" t="s">
        <v>1839</v>
      </c>
      <c r="L677" s="20"/>
      <c r="M677" s="22" t="s">
        <v>5292</v>
      </c>
      <c r="N677" s="20" t="s">
        <v>3611</v>
      </c>
      <c r="O677" s="22" t="s">
        <v>5471</v>
      </c>
      <c r="P677" s="20" t="s">
        <v>3613</v>
      </c>
      <c r="Q677" s="19"/>
      <c r="R677" s="22"/>
      <c r="S677" s="22"/>
      <c r="T677" s="47"/>
      <c r="U677" s="20"/>
      <c r="V677" s="20"/>
    </row>
    <row r="678" customHeight="1" spans="1:22">
      <c r="A678" s="19">
        <f t="shared" si="14"/>
        <v>80</v>
      </c>
      <c r="B678" s="20" t="s">
        <v>5474</v>
      </c>
      <c r="C678" s="22"/>
      <c r="D678" s="20" t="s">
        <v>5475</v>
      </c>
      <c r="E678" s="20" t="s">
        <v>451</v>
      </c>
      <c r="F678" s="20" t="s">
        <v>5476</v>
      </c>
      <c r="G678" s="101" t="e">
        <f>VLOOKUP(F678,'01. TH'!$B:$E,3,0)</f>
        <v>#N/A</v>
      </c>
      <c r="H678" s="19" t="s">
        <v>1103</v>
      </c>
      <c r="I678" s="19"/>
      <c r="J678" s="20"/>
      <c r="K678" s="19" t="s">
        <v>1839</v>
      </c>
      <c r="L678" s="20"/>
      <c r="M678" s="22" t="s">
        <v>5292</v>
      </c>
      <c r="N678" s="20" t="s">
        <v>3611</v>
      </c>
      <c r="O678" s="22"/>
      <c r="P678" s="20" t="s">
        <v>3613</v>
      </c>
      <c r="Q678" s="19"/>
      <c r="R678" s="22"/>
      <c r="S678" s="22"/>
      <c r="T678" s="47"/>
      <c r="U678" s="20"/>
      <c r="V678" s="20"/>
    </row>
    <row r="679" customHeight="1" spans="1:22">
      <c r="A679" s="19">
        <f t="shared" si="14"/>
        <v>81</v>
      </c>
      <c r="B679" s="20" t="s">
        <v>5477</v>
      </c>
      <c r="C679" s="22"/>
      <c r="D679" s="20" t="s">
        <v>5478</v>
      </c>
      <c r="E679" s="20" t="s">
        <v>451</v>
      </c>
      <c r="F679" s="20" t="s">
        <v>5479</v>
      </c>
      <c r="G679" s="101" t="e">
        <f>VLOOKUP(F679,'01. TH'!$B:$E,3,0)</f>
        <v>#N/A</v>
      </c>
      <c r="H679" s="19" t="s">
        <v>1103</v>
      </c>
      <c r="I679" s="19"/>
      <c r="J679" s="20"/>
      <c r="K679" s="19" t="s">
        <v>1839</v>
      </c>
      <c r="L679" s="20"/>
      <c r="M679" s="22" t="s">
        <v>5292</v>
      </c>
      <c r="N679" s="20" t="s">
        <v>3611</v>
      </c>
      <c r="O679" s="22"/>
      <c r="P679" s="20" t="s">
        <v>3613</v>
      </c>
      <c r="Q679" s="19"/>
      <c r="R679" s="22"/>
      <c r="S679" s="22"/>
      <c r="T679" s="47"/>
      <c r="U679" s="20"/>
      <c r="V679" s="20"/>
    </row>
    <row r="680" customHeight="1" spans="1:22">
      <c r="A680" s="19">
        <f t="shared" si="14"/>
        <v>82</v>
      </c>
      <c r="B680" s="20" t="s">
        <v>5480</v>
      </c>
      <c r="C680" s="22"/>
      <c r="D680" s="20" t="s">
        <v>5481</v>
      </c>
      <c r="E680" s="20" t="s">
        <v>451</v>
      </c>
      <c r="F680" s="20" t="s">
        <v>5482</v>
      </c>
      <c r="G680" s="101" t="e">
        <f>VLOOKUP(F680,'01. TH'!$B:$E,3,0)</f>
        <v>#N/A</v>
      </c>
      <c r="H680" s="19" t="s">
        <v>1103</v>
      </c>
      <c r="I680" s="19"/>
      <c r="J680" s="20"/>
      <c r="K680" s="19" t="s">
        <v>1839</v>
      </c>
      <c r="L680" s="20"/>
      <c r="M680" s="22" t="s">
        <v>5292</v>
      </c>
      <c r="N680" s="20" t="s">
        <v>3611</v>
      </c>
      <c r="O680" s="22"/>
      <c r="P680" s="20" t="s">
        <v>3613</v>
      </c>
      <c r="Q680" s="19"/>
      <c r="R680" s="22"/>
      <c r="S680" s="22"/>
      <c r="T680" s="47"/>
      <c r="U680" s="20"/>
      <c r="V680" s="20"/>
    </row>
    <row r="681" customHeight="1" spans="1:22">
      <c r="A681" s="19">
        <f t="shared" si="14"/>
        <v>83</v>
      </c>
      <c r="B681" s="20" t="s">
        <v>5483</v>
      </c>
      <c r="C681" s="22"/>
      <c r="D681" s="20" t="s">
        <v>5484</v>
      </c>
      <c r="E681" s="20" t="s">
        <v>451</v>
      </c>
      <c r="F681" s="20" t="s">
        <v>5485</v>
      </c>
      <c r="G681" s="101" t="e">
        <f>VLOOKUP(F681,'01. TH'!$B:$E,3,0)</f>
        <v>#N/A</v>
      </c>
      <c r="H681" s="19" t="s">
        <v>1103</v>
      </c>
      <c r="I681" s="19"/>
      <c r="J681" s="20"/>
      <c r="K681" s="19" t="s">
        <v>1839</v>
      </c>
      <c r="L681" s="20"/>
      <c r="M681" s="22" t="s">
        <v>3925</v>
      </c>
      <c r="N681" s="20" t="s">
        <v>3611</v>
      </c>
      <c r="O681" s="22"/>
      <c r="P681" s="20" t="s">
        <v>3613</v>
      </c>
      <c r="Q681" s="19"/>
      <c r="R681" s="22"/>
      <c r="S681" s="22"/>
      <c r="T681" s="47"/>
      <c r="U681" s="20"/>
      <c r="V681" s="20"/>
    </row>
    <row r="682" ht="33.75" customHeight="1" spans="1:22">
      <c r="A682" s="19">
        <f t="shared" si="14"/>
        <v>84</v>
      </c>
      <c r="B682" s="20" t="s">
        <v>5486</v>
      </c>
      <c r="C682" s="22" t="s">
        <v>5487</v>
      </c>
      <c r="D682" s="20" t="s">
        <v>5488</v>
      </c>
      <c r="E682" s="20" t="s">
        <v>451</v>
      </c>
      <c r="F682" s="20" t="s">
        <v>361</v>
      </c>
      <c r="G682" s="101" t="str">
        <f>VLOOKUP(F682,'01. TH'!$B:$E,3,0)</f>
        <v>2500x800x2500</v>
      </c>
      <c r="H682" s="19" t="s">
        <v>1103</v>
      </c>
      <c r="I682" s="19" t="s">
        <v>5489</v>
      </c>
      <c r="J682" s="20"/>
      <c r="K682" s="19" t="s">
        <v>1126</v>
      </c>
      <c r="L682" s="20"/>
      <c r="M682" s="321" t="s">
        <v>3925</v>
      </c>
      <c r="N682" s="20" t="s">
        <v>3611</v>
      </c>
      <c r="O682" s="22"/>
      <c r="P682" s="20" t="s">
        <v>3613</v>
      </c>
      <c r="Q682" s="19"/>
      <c r="R682" s="22" t="s">
        <v>5490</v>
      </c>
      <c r="S682" s="22"/>
      <c r="T682" s="47"/>
      <c r="U682" s="20"/>
      <c r="V682" s="20"/>
    </row>
    <row r="683" customHeight="1" spans="1:22">
      <c r="A683" s="19">
        <f t="shared" si="14"/>
        <v>85</v>
      </c>
      <c r="B683" s="20" t="s">
        <v>5491</v>
      </c>
      <c r="C683" s="22"/>
      <c r="D683" s="20"/>
      <c r="E683" s="20" t="s">
        <v>451</v>
      </c>
      <c r="F683" s="20" t="s">
        <v>361</v>
      </c>
      <c r="G683" s="101" t="str">
        <f>VLOOKUP(F683,'01. TH'!$B:$E,3,0)</f>
        <v>2500x800x2500</v>
      </c>
      <c r="H683" s="19" t="s">
        <v>1103</v>
      </c>
      <c r="I683" s="19" t="s">
        <v>5492</v>
      </c>
      <c r="J683" s="20"/>
      <c r="K683" s="19" t="s">
        <v>1839</v>
      </c>
      <c r="L683" s="20"/>
      <c r="M683" s="22" t="s">
        <v>5493</v>
      </c>
      <c r="N683" s="20" t="s">
        <v>3611</v>
      </c>
      <c r="O683" s="22"/>
      <c r="P683" s="20" t="s">
        <v>3613</v>
      </c>
      <c r="Q683" s="19"/>
      <c r="R683" s="22"/>
      <c r="S683" s="22"/>
      <c r="T683" s="47"/>
      <c r="U683" s="20"/>
      <c r="V683" s="20"/>
    </row>
    <row r="684" customHeight="1" spans="1:22">
      <c r="A684" s="19">
        <f t="shared" si="14"/>
        <v>86</v>
      </c>
      <c r="B684" s="20" t="s">
        <v>5494</v>
      </c>
      <c r="C684" s="22"/>
      <c r="D684" s="20" t="s">
        <v>518</v>
      </c>
      <c r="E684" s="20" t="s">
        <v>451</v>
      </c>
      <c r="F684" s="20" t="s">
        <v>5495</v>
      </c>
      <c r="G684" s="101" t="e">
        <f>VLOOKUP(F684,'01. TH'!$B:$E,3,0)</f>
        <v>#N/A</v>
      </c>
      <c r="H684" s="19" t="s">
        <v>1103</v>
      </c>
      <c r="I684" s="19"/>
      <c r="J684" s="20"/>
      <c r="K684" s="19" t="s">
        <v>1839</v>
      </c>
      <c r="L684" s="20"/>
      <c r="M684" s="22" t="s">
        <v>3925</v>
      </c>
      <c r="N684" s="20" t="s">
        <v>3611</v>
      </c>
      <c r="O684" s="22"/>
      <c r="P684" s="20" t="s">
        <v>3613</v>
      </c>
      <c r="Q684" s="19"/>
      <c r="R684" s="22"/>
      <c r="S684" s="22"/>
      <c r="T684" s="47"/>
      <c r="U684" s="20"/>
      <c r="V684" s="20"/>
    </row>
    <row r="685" customHeight="1" spans="1:22">
      <c r="A685" s="19">
        <f t="shared" si="14"/>
        <v>87</v>
      </c>
      <c r="B685" s="20" t="s">
        <v>5496</v>
      </c>
      <c r="C685" s="22"/>
      <c r="D685" s="20" t="s">
        <v>5497</v>
      </c>
      <c r="E685" s="20" t="s">
        <v>451</v>
      </c>
      <c r="F685" s="20" t="s">
        <v>5498</v>
      </c>
      <c r="G685" s="101" t="e">
        <f>VLOOKUP(F685,'01. TH'!$B:$E,3,0)</f>
        <v>#N/A</v>
      </c>
      <c r="H685" s="19" t="s">
        <v>1103</v>
      </c>
      <c r="I685" s="58">
        <v>45413</v>
      </c>
      <c r="J685" s="43">
        <v>0.96</v>
      </c>
      <c r="K685" s="19" t="s">
        <v>1839</v>
      </c>
      <c r="L685" s="20"/>
      <c r="M685" s="22" t="s">
        <v>653</v>
      </c>
      <c r="N685" s="20" t="s">
        <v>4712</v>
      </c>
      <c r="O685" s="22" t="s">
        <v>4713</v>
      </c>
      <c r="P685" s="25" t="s">
        <v>590</v>
      </c>
      <c r="Q685" s="19">
        <v>2023</v>
      </c>
      <c r="R685" s="1103" t="s">
        <v>5499</v>
      </c>
      <c r="S685" s="22" t="s">
        <v>5500</v>
      </c>
      <c r="T685" s="47">
        <v>0.3</v>
      </c>
      <c r="U685" s="20" t="s">
        <v>4714</v>
      </c>
      <c r="V685" s="20"/>
    </row>
    <row r="686" customHeight="1" spans="1:22">
      <c r="A686" s="19">
        <f t="shared" si="14"/>
        <v>88</v>
      </c>
      <c r="B686" s="20" t="s">
        <v>5501</v>
      </c>
      <c r="C686" s="22"/>
      <c r="D686" s="20" t="s">
        <v>5502</v>
      </c>
      <c r="E686" s="20" t="s">
        <v>451</v>
      </c>
      <c r="F686" s="20" t="s">
        <v>5498</v>
      </c>
      <c r="G686" s="101" t="e">
        <f>VLOOKUP(F686,'01. TH'!$B:$E,3,0)</f>
        <v>#N/A</v>
      </c>
      <c r="H686" s="19" t="s">
        <v>1103</v>
      </c>
      <c r="I686" s="19" t="s">
        <v>764</v>
      </c>
      <c r="J686" s="20"/>
      <c r="K686" s="19" t="s">
        <v>1839</v>
      </c>
      <c r="L686" s="20"/>
      <c r="M686" s="22" t="s">
        <v>653</v>
      </c>
      <c r="N686" s="20" t="s">
        <v>4712</v>
      </c>
      <c r="O686" s="22" t="s">
        <v>4713</v>
      </c>
      <c r="P686" s="25" t="s">
        <v>590</v>
      </c>
      <c r="Q686" s="19">
        <v>2023</v>
      </c>
      <c r="R686" s="1103" t="s">
        <v>5499</v>
      </c>
      <c r="S686" s="22">
        <v>631513</v>
      </c>
      <c r="T686" s="47">
        <v>0.3</v>
      </c>
      <c r="U686" s="20" t="s">
        <v>4714</v>
      </c>
      <c r="V686" s="20"/>
    </row>
    <row r="687" customHeight="1" spans="1:22">
      <c r="A687" s="19">
        <f t="shared" si="14"/>
        <v>89</v>
      </c>
      <c r="B687" s="20" t="s">
        <v>5503</v>
      </c>
      <c r="C687" s="22"/>
      <c r="D687" s="20" t="s">
        <v>5504</v>
      </c>
      <c r="E687" s="20" t="s">
        <v>451</v>
      </c>
      <c r="F687" s="20" t="s">
        <v>5498</v>
      </c>
      <c r="G687" s="101" t="e">
        <f>VLOOKUP(F687,'01. TH'!$B:$E,3,0)</f>
        <v>#N/A</v>
      </c>
      <c r="H687" s="19" t="s">
        <v>1103</v>
      </c>
      <c r="I687" s="19" t="s">
        <v>553</v>
      </c>
      <c r="J687" s="20"/>
      <c r="K687" s="654" t="s">
        <v>1126</v>
      </c>
      <c r="L687" s="20"/>
      <c r="M687" s="22" t="s">
        <v>653</v>
      </c>
      <c r="N687" s="20" t="s">
        <v>4712</v>
      </c>
      <c r="O687" s="22" t="s">
        <v>4713</v>
      </c>
      <c r="P687" s="25" t="s">
        <v>590</v>
      </c>
      <c r="Q687" s="19">
        <v>2023</v>
      </c>
      <c r="R687" s="1103" t="s">
        <v>5499</v>
      </c>
      <c r="S687" s="22">
        <v>631514</v>
      </c>
      <c r="T687" s="47">
        <v>0.3</v>
      </c>
      <c r="U687" s="20" t="s">
        <v>4714</v>
      </c>
      <c r="V687" s="20"/>
    </row>
    <row r="688" customHeight="1" spans="1:22">
      <c r="A688" s="19">
        <f t="shared" si="14"/>
        <v>90</v>
      </c>
      <c r="B688" s="20" t="s">
        <v>5505</v>
      </c>
      <c r="C688" s="791"/>
      <c r="D688" s="20" t="s">
        <v>5506</v>
      </c>
      <c r="E688" s="20" t="s">
        <v>451</v>
      </c>
      <c r="F688" s="20" t="s">
        <v>5498</v>
      </c>
      <c r="G688" s="101" t="e">
        <f>VLOOKUP(F688,'01. TH'!$B:$E,3,0)</f>
        <v>#N/A</v>
      </c>
      <c r="H688" s="19" t="s">
        <v>1103</v>
      </c>
      <c r="I688" s="19" t="s">
        <v>5507</v>
      </c>
      <c r="J688" s="52"/>
      <c r="K688" s="19" t="s">
        <v>1839</v>
      </c>
      <c r="L688" s="20"/>
      <c r="M688" s="22" t="s">
        <v>653</v>
      </c>
      <c r="N688" s="20" t="s">
        <v>4712</v>
      </c>
      <c r="O688" s="22" t="s">
        <v>4713</v>
      </c>
      <c r="P688" s="25" t="s">
        <v>590</v>
      </c>
      <c r="Q688" s="19">
        <v>2024</v>
      </c>
      <c r="R688" s="1103" t="s">
        <v>5499</v>
      </c>
      <c r="S688" s="22">
        <v>631512</v>
      </c>
      <c r="T688" s="47">
        <v>0.3</v>
      </c>
      <c r="U688" s="20" t="s">
        <v>4714</v>
      </c>
      <c r="V688" s="52"/>
    </row>
    <row r="689" customHeight="1" spans="1:22">
      <c r="A689" s="19">
        <f t="shared" si="14"/>
        <v>91</v>
      </c>
      <c r="B689" s="20" t="s">
        <v>5508</v>
      </c>
      <c r="C689" s="20" t="s">
        <v>5509</v>
      </c>
      <c r="D689" s="20" t="s">
        <v>5157</v>
      </c>
      <c r="E689" s="20" t="s">
        <v>451</v>
      </c>
      <c r="F689" s="20" t="s">
        <v>4711</v>
      </c>
      <c r="G689" s="101" t="e">
        <f>VLOOKUP(F689,'01. TH'!$B:$E,3,0)</f>
        <v>#N/A</v>
      </c>
      <c r="H689" s="19" t="s">
        <v>1103</v>
      </c>
      <c r="I689" s="19" t="s">
        <v>3149</v>
      </c>
      <c r="J689" s="20"/>
      <c r="K689" s="654" t="s">
        <v>1126</v>
      </c>
      <c r="L689" s="22" t="s">
        <v>5510</v>
      </c>
      <c r="M689" s="22" t="s">
        <v>5493</v>
      </c>
      <c r="N689" s="20" t="s">
        <v>4712</v>
      </c>
      <c r="O689" s="22" t="s">
        <v>4713</v>
      </c>
      <c r="P689" s="20" t="s">
        <v>500</v>
      </c>
      <c r="Q689" s="19">
        <v>2024</v>
      </c>
      <c r="R689" s="22" t="s">
        <v>5158</v>
      </c>
      <c r="S689" s="22">
        <v>631511</v>
      </c>
      <c r="T689" s="47">
        <v>0.3</v>
      </c>
      <c r="U689" s="20" t="s">
        <v>4714</v>
      </c>
      <c r="V689" s="22"/>
    </row>
    <row r="690" customHeight="1" spans="1:22">
      <c r="A690" s="19"/>
      <c r="B690" s="20" t="s">
        <v>5511</v>
      </c>
      <c r="C690" s="20" t="s">
        <v>5159</v>
      </c>
      <c r="D690" s="20" t="s">
        <v>5157</v>
      </c>
      <c r="E690" s="20" t="s">
        <v>451</v>
      </c>
      <c r="F690" s="20" t="s">
        <v>4711</v>
      </c>
      <c r="G690" s="101"/>
      <c r="H690" s="19" t="s">
        <v>1103</v>
      </c>
      <c r="I690" s="19">
        <v>46028</v>
      </c>
      <c r="J690" s="20"/>
      <c r="K690" s="654" t="s">
        <v>1839</v>
      </c>
      <c r="L690" s="22" t="s">
        <v>5512</v>
      </c>
      <c r="M690" s="22" t="s">
        <v>5493</v>
      </c>
      <c r="N690" s="20" t="s">
        <v>4712</v>
      </c>
      <c r="O690" s="22" t="s">
        <v>4713</v>
      </c>
      <c r="P690" s="20" t="s">
        <v>500</v>
      </c>
      <c r="Q690" s="19">
        <v>2024</v>
      </c>
      <c r="R690" s="22" t="s">
        <v>5158</v>
      </c>
      <c r="S690" s="22">
        <v>630745</v>
      </c>
      <c r="T690" s="47">
        <v>0.3</v>
      </c>
      <c r="U690" s="20" t="s">
        <v>4714</v>
      </c>
      <c r="V690" s="22"/>
    </row>
    <row r="691" customHeight="1" spans="1:22">
      <c r="A691" s="19">
        <f>A689+1</f>
        <v>92</v>
      </c>
      <c r="B691" s="20" t="s">
        <v>5513</v>
      </c>
      <c r="C691" s="791"/>
      <c r="D691" s="20"/>
      <c r="E691" s="20" t="s">
        <v>451</v>
      </c>
      <c r="F691" s="20" t="s">
        <v>297</v>
      </c>
      <c r="G691" s="101">
        <f>VLOOKUP(F691,'01. TH'!$B:$E,3,0)</f>
        <v>0</v>
      </c>
      <c r="H691" s="19" t="s">
        <v>1103</v>
      </c>
      <c r="I691" s="58">
        <v>45422</v>
      </c>
      <c r="J691" s="52"/>
      <c r="K691" s="19" t="s">
        <v>1839</v>
      </c>
      <c r="L691" s="20"/>
      <c r="M691" s="22" t="s">
        <v>653</v>
      </c>
      <c r="N691" s="20" t="s">
        <v>5514</v>
      </c>
      <c r="O691" s="22" t="s">
        <v>5515</v>
      </c>
      <c r="P691" s="25" t="s">
        <v>590</v>
      </c>
      <c r="Q691" s="19" t="s">
        <v>290</v>
      </c>
      <c r="R691" s="22"/>
      <c r="S691" s="22" t="s">
        <v>5516</v>
      </c>
      <c r="T691" s="806"/>
      <c r="U691" s="52"/>
      <c r="V691" s="52"/>
    </row>
    <row r="692" customHeight="1" spans="1:22">
      <c r="A692" s="19">
        <f t="shared" ref="A692:A760" si="15">A691+1</f>
        <v>93</v>
      </c>
      <c r="B692" s="20" t="s">
        <v>5517</v>
      </c>
      <c r="C692" s="791"/>
      <c r="D692" s="20"/>
      <c r="E692" s="20" t="s">
        <v>451</v>
      </c>
      <c r="F692" s="20" t="s">
        <v>297</v>
      </c>
      <c r="G692" s="101">
        <f>VLOOKUP(F692,'01. TH'!$B:$E,3,0)</f>
        <v>0</v>
      </c>
      <c r="H692" s="19" t="s">
        <v>1103</v>
      </c>
      <c r="I692" s="58">
        <v>45422</v>
      </c>
      <c r="J692" s="52"/>
      <c r="K692" s="19" t="s">
        <v>1839</v>
      </c>
      <c r="L692" s="20"/>
      <c r="M692" s="22" t="s">
        <v>653</v>
      </c>
      <c r="N692" s="20" t="s">
        <v>5514</v>
      </c>
      <c r="O692" s="22" t="s">
        <v>5515</v>
      </c>
      <c r="P692" s="25" t="s">
        <v>590</v>
      </c>
      <c r="Q692" s="19"/>
      <c r="R692" s="22" t="s">
        <v>290</v>
      </c>
      <c r="S692" s="22" t="s">
        <v>290</v>
      </c>
      <c r="T692" s="806"/>
      <c r="U692" s="52"/>
      <c r="V692" s="52"/>
    </row>
    <row r="693" customHeight="1" spans="1:22">
      <c r="A693" s="19">
        <f t="shared" si="15"/>
        <v>94</v>
      </c>
      <c r="B693" s="20" t="s">
        <v>5518</v>
      </c>
      <c r="C693" s="22"/>
      <c r="D693" s="20"/>
      <c r="E693" s="20" t="s">
        <v>451</v>
      </c>
      <c r="F693" s="20" t="s">
        <v>297</v>
      </c>
      <c r="G693" s="101">
        <f>VLOOKUP(F693,'01. TH'!$B:$E,3,0)</f>
        <v>0</v>
      </c>
      <c r="H693" s="19" t="s">
        <v>1103</v>
      </c>
      <c r="I693" s="19" t="s">
        <v>1899</v>
      </c>
      <c r="J693" s="20"/>
      <c r="K693" s="19" t="s">
        <v>1839</v>
      </c>
      <c r="L693" s="20"/>
      <c r="M693" s="22" t="s">
        <v>653</v>
      </c>
      <c r="N693" s="20" t="s">
        <v>5514</v>
      </c>
      <c r="O693" s="22" t="s">
        <v>5515</v>
      </c>
      <c r="P693" s="25" t="s">
        <v>590</v>
      </c>
      <c r="Q693" s="19"/>
      <c r="R693" s="22"/>
      <c r="S693" s="22" t="s">
        <v>5519</v>
      </c>
      <c r="T693" s="47"/>
      <c r="U693" s="20"/>
      <c r="V693" s="20"/>
    </row>
    <row r="694" customHeight="1" spans="1:22">
      <c r="A694" s="19">
        <f t="shared" si="15"/>
        <v>95</v>
      </c>
      <c r="B694" s="20" t="s">
        <v>5520</v>
      </c>
      <c r="C694" s="22"/>
      <c r="D694" s="20"/>
      <c r="E694" s="20" t="s">
        <v>451</v>
      </c>
      <c r="F694" s="20" t="s">
        <v>297</v>
      </c>
      <c r="G694" s="101">
        <f>VLOOKUP(F694,'01. TH'!$B:$E,3,0)</f>
        <v>0</v>
      </c>
      <c r="H694" s="19" t="s">
        <v>1103</v>
      </c>
      <c r="I694" s="19" t="s">
        <v>1899</v>
      </c>
      <c r="J694" s="20"/>
      <c r="K694" s="19" t="s">
        <v>1839</v>
      </c>
      <c r="L694" s="20"/>
      <c r="M694" s="22" t="s">
        <v>653</v>
      </c>
      <c r="N694" s="20" t="s">
        <v>5514</v>
      </c>
      <c r="O694" s="22" t="s">
        <v>5515</v>
      </c>
      <c r="P694" s="25" t="s">
        <v>590</v>
      </c>
      <c r="Q694" s="19"/>
      <c r="R694" s="22"/>
      <c r="S694" s="22">
        <v>46200892</v>
      </c>
      <c r="T694" s="47"/>
      <c r="U694" s="20"/>
      <c r="V694" s="20"/>
    </row>
    <row r="695" customHeight="1" spans="1:22">
      <c r="A695" s="19">
        <f t="shared" si="15"/>
        <v>96</v>
      </c>
      <c r="B695" s="20" t="s">
        <v>5521</v>
      </c>
      <c r="C695" s="22"/>
      <c r="D695" s="20"/>
      <c r="E695" s="20" t="s">
        <v>451</v>
      </c>
      <c r="F695" s="20" t="s">
        <v>297</v>
      </c>
      <c r="G695" s="101">
        <f>VLOOKUP(F695,'01. TH'!$B:$E,3,0)</f>
        <v>0</v>
      </c>
      <c r="H695" s="19" t="s">
        <v>1103</v>
      </c>
      <c r="I695" s="19" t="s">
        <v>1899</v>
      </c>
      <c r="J695" s="20"/>
      <c r="K695" s="19" t="s">
        <v>1839</v>
      </c>
      <c r="L695" s="20"/>
      <c r="M695" s="22" t="s">
        <v>653</v>
      </c>
      <c r="N695" s="20" t="s">
        <v>5514</v>
      </c>
      <c r="O695" s="22" t="s">
        <v>5515</v>
      </c>
      <c r="P695" s="25" t="s">
        <v>590</v>
      </c>
      <c r="Q695" s="19"/>
      <c r="R695" s="22"/>
      <c r="S695" s="22" t="s">
        <v>5522</v>
      </c>
      <c r="T695" s="47"/>
      <c r="U695" s="20"/>
      <c r="V695" s="20"/>
    </row>
    <row r="696" customHeight="1" spans="1:22">
      <c r="A696" s="19">
        <f t="shared" si="15"/>
        <v>97</v>
      </c>
      <c r="B696" s="20" t="s">
        <v>5523</v>
      </c>
      <c r="C696" s="22"/>
      <c r="D696" s="20"/>
      <c r="E696" s="20" t="s">
        <v>451</v>
      </c>
      <c r="F696" s="20" t="s">
        <v>297</v>
      </c>
      <c r="G696" s="101">
        <f>VLOOKUP(F696,'01. TH'!$B:$E,3,0)</f>
        <v>0</v>
      </c>
      <c r="H696" s="19" t="s">
        <v>1103</v>
      </c>
      <c r="I696" s="58">
        <v>45323</v>
      </c>
      <c r="J696" s="20"/>
      <c r="K696" s="19" t="s">
        <v>1839</v>
      </c>
      <c r="L696" s="20"/>
      <c r="M696" s="22" t="s">
        <v>653</v>
      </c>
      <c r="N696" s="20" t="s">
        <v>5514</v>
      </c>
      <c r="O696" s="22" t="s">
        <v>5515</v>
      </c>
      <c r="P696" s="25" t="s">
        <v>590</v>
      </c>
      <c r="Q696" s="19"/>
      <c r="R696" s="22"/>
      <c r="S696" s="22" t="s">
        <v>5524</v>
      </c>
      <c r="T696" s="47"/>
      <c r="U696" s="20"/>
      <c r="V696" s="20"/>
    </row>
    <row r="697" customHeight="1" spans="1:22">
      <c r="A697" s="19">
        <f t="shared" si="15"/>
        <v>98</v>
      </c>
      <c r="B697" s="20" t="s">
        <v>5525</v>
      </c>
      <c r="C697" s="22"/>
      <c r="D697" s="20"/>
      <c r="E697" s="20" t="s">
        <v>451</v>
      </c>
      <c r="F697" s="20" t="s">
        <v>299</v>
      </c>
      <c r="G697" s="101">
        <f>VLOOKUP(F697,'01. TH'!$B:$E,3,0)</f>
        <v>0</v>
      </c>
      <c r="H697" s="19" t="s">
        <v>1103</v>
      </c>
      <c r="I697" s="58">
        <v>45514</v>
      </c>
      <c r="J697" s="20"/>
      <c r="K697" s="19" t="s">
        <v>1839</v>
      </c>
      <c r="L697" s="20"/>
      <c r="M697" s="22" t="s">
        <v>653</v>
      </c>
      <c r="N697" s="20" t="s">
        <v>5526</v>
      </c>
      <c r="O697" s="22" t="s">
        <v>5527</v>
      </c>
      <c r="P697" s="25" t="s">
        <v>590</v>
      </c>
      <c r="Q697" s="19"/>
      <c r="R697" s="20"/>
      <c r="S697" s="22" t="s">
        <v>5528</v>
      </c>
      <c r="T697" s="47"/>
      <c r="U697" s="20"/>
      <c r="V697" s="20"/>
    </row>
    <row r="698" customHeight="1" spans="1:22">
      <c r="A698" s="19">
        <f t="shared" si="15"/>
        <v>99</v>
      </c>
      <c r="B698" s="20" t="s">
        <v>5529</v>
      </c>
      <c r="C698" s="22"/>
      <c r="D698" s="20"/>
      <c r="E698" s="20" t="s">
        <v>451</v>
      </c>
      <c r="F698" s="20" t="s">
        <v>299</v>
      </c>
      <c r="G698" s="101">
        <f>VLOOKUP(F698,'01. TH'!$B:$E,3,0)</f>
        <v>0</v>
      </c>
      <c r="H698" s="19" t="s">
        <v>1103</v>
      </c>
      <c r="I698" s="58">
        <v>45514</v>
      </c>
      <c r="J698" s="20"/>
      <c r="K698" s="19" t="s">
        <v>1839</v>
      </c>
      <c r="L698" s="20"/>
      <c r="M698" s="22" t="s">
        <v>653</v>
      </c>
      <c r="N698" s="20" t="s">
        <v>5526</v>
      </c>
      <c r="O698" s="22" t="s">
        <v>5527</v>
      </c>
      <c r="P698" s="25" t="s">
        <v>590</v>
      </c>
      <c r="Q698" s="19"/>
      <c r="R698" s="20"/>
      <c r="S698" s="22" t="s">
        <v>5530</v>
      </c>
      <c r="T698" s="47"/>
      <c r="U698" s="20"/>
      <c r="V698" s="20"/>
    </row>
    <row r="699" customHeight="1" spans="1:22">
      <c r="A699" s="19">
        <f t="shared" si="15"/>
        <v>100</v>
      </c>
      <c r="B699" s="20" t="s">
        <v>5531</v>
      </c>
      <c r="C699" s="22"/>
      <c r="D699" s="20"/>
      <c r="E699" s="20" t="s">
        <v>451</v>
      </c>
      <c r="F699" s="20" t="s">
        <v>299</v>
      </c>
      <c r="G699" s="101">
        <f>VLOOKUP(F699,'01. TH'!$B:$E,3,0)</f>
        <v>0</v>
      </c>
      <c r="H699" s="19" t="s">
        <v>1103</v>
      </c>
      <c r="I699" s="58">
        <v>45514</v>
      </c>
      <c r="J699" s="20"/>
      <c r="K699" s="19" t="s">
        <v>1839</v>
      </c>
      <c r="L699" s="20"/>
      <c r="M699" s="22" t="s">
        <v>653</v>
      </c>
      <c r="N699" s="20" t="s">
        <v>5526</v>
      </c>
      <c r="O699" s="22" t="s">
        <v>5527</v>
      </c>
      <c r="P699" s="25" t="s">
        <v>590</v>
      </c>
      <c r="Q699" s="19"/>
      <c r="R699" s="20"/>
      <c r="S699" s="22" t="s">
        <v>5532</v>
      </c>
      <c r="T699" s="47"/>
      <c r="U699" s="20"/>
      <c r="V699" s="20"/>
    </row>
    <row r="700" customHeight="1" spans="1:22">
      <c r="A700" s="19">
        <f t="shared" si="15"/>
        <v>101</v>
      </c>
      <c r="B700" s="20" t="s">
        <v>5533</v>
      </c>
      <c r="C700" s="22" t="s">
        <v>5534</v>
      </c>
      <c r="D700" s="20" t="s">
        <v>5535</v>
      </c>
      <c r="E700" s="20" t="s">
        <v>3593</v>
      </c>
      <c r="F700" s="20" t="s">
        <v>5536</v>
      </c>
      <c r="G700" s="101" t="str">
        <f>VLOOKUP(F700,'01. TH'!$B:$E,3,0)</f>
        <v>150x150x200</v>
      </c>
      <c r="H700" s="19" t="s">
        <v>1103</v>
      </c>
      <c r="I700" s="58">
        <v>45294</v>
      </c>
      <c r="J700" s="20"/>
      <c r="K700" s="19" t="s">
        <v>1839</v>
      </c>
      <c r="L700" s="20"/>
      <c r="M700" s="22" t="s">
        <v>653</v>
      </c>
      <c r="N700" s="20" t="s">
        <v>5526</v>
      </c>
      <c r="O700" s="22" t="s">
        <v>5527</v>
      </c>
      <c r="P700" s="25" t="s">
        <v>590</v>
      </c>
      <c r="Q700" s="19"/>
      <c r="R700" s="22"/>
      <c r="S700" s="22"/>
      <c r="T700" s="47"/>
      <c r="U700" s="20"/>
      <c r="V700" s="20"/>
    </row>
    <row r="701" customHeight="1" spans="1:22">
      <c r="A701" s="19">
        <f t="shared" si="15"/>
        <v>102</v>
      </c>
      <c r="B701" s="20" t="s">
        <v>5537</v>
      </c>
      <c r="C701" s="22"/>
      <c r="D701" s="20" t="s">
        <v>5538</v>
      </c>
      <c r="E701" s="20" t="s">
        <v>3593</v>
      </c>
      <c r="F701" s="20" t="s">
        <v>5539</v>
      </c>
      <c r="G701" s="101" t="e">
        <f>VLOOKUP(F701,'01. TH'!$B:$E,3,0)</f>
        <v>#N/A</v>
      </c>
      <c r="H701" s="19" t="s">
        <v>1103</v>
      </c>
      <c r="I701" s="19" t="s">
        <v>560</v>
      </c>
      <c r="J701" s="20"/>
      <c r="K701" s="19" t="s">
        <v>1839</v>
      </c>
      <c r="L701" s="20"/>
      <c r="M701" s="22" t="s">
        <v>653</v>
      </c>
      <c r="N701" s="20" t="s">
        <v>3965</v>
      </c>
      <c r="O701" s="22" t="s">
        <v>4137</v>
      </c>
      <c r="P701" s="20" t="s">
        <v>3967</v>
      </c>
      <c r="Q701" s="19">
        <v>2024</v>
      </c>
      <c r="R701" s="22"/>
      <c r="S701" s="22">
        <v>3453782</v>
      </c>
      <c r="T701" s="47"/>
      <c r="U701" s="20"/>
      <c r="V701" s="20"/>
    </row>
    <row r="702" customHeight="1" spans="1:22">
      <c r="A702" s="19">
        <f t="shared" si="15"/>
        <v>103</v>
      </c>
      <c r="B702" s="20" t="s">
        <v>5540</v>
      </c>
      <c r="C702" s="22"/>
      <c r="D702" s="20" t="s">
        <v>5541</v>
      </c>
      <c r="E702" s="20" t="s">
        <v>3593</v>
      </c>
      <c r="F702" s="20" t="s">
        <v>5539</v>
      </c>
      <c r="G702" s="101" t="e">
        <f>VLOOKUP(F702,'01. TH'!$B:$E,3,0)</f>
        <v>#N/A</v>
      </c>
      <c r="H702" s="19" t="s">
        <v>1103</v>
      </c>
      <c r="I702" s="58">
        <v>45789</v>
      </c>
      <c r="J702" s="20"/>
      <c r="K702" s="19" t="s">
        <v>1839</v>
      </c>
      <c r="L702" s="20"/>
      <c r="M702" s="22" t="s">
        <v>653</v>
      </c>
      <c r="N702" s="20"/>
      <c r="O702" s="22"/>
      <c r="P702" s="20" t="s">
        <v>590</v>
      </c>
      <c r="Q702" s="19">
        <v>2025</v>
      </c>
      <c r="R702" s="22"/>
      <c r="S702" s="22"/>
      <c r="T702" s="47"/>
      <c r="U702" s="20"/>
      <c r="V702" s="20"/>
    </row>
    <row r="703" customHeight="1" spans="1:22">
      <c r="A703" s="19">
        <f t="shared" si="15"/>
        <v>104</v>
      </c>
      <c r="B703" s="20" t="s">
        <v>5542</v>
      </c>
      <c r="C703" s="22"/>
      <c r="D703" s="20" t="s">
        <v>5543</v>
      </c>
      <c r="E703" s="20" t="s">
        <v>3593</v>
      </c>
      <c r="F703" s="20" t="s">
        <v>5544</v>
      </c>
      <c r="G703" s="101" t="e">
        <f>VLOOKUP(F703,'01. TH'!$B:$E,3,0)</f>
        <v>#N/A</v>
      </c>
      <c r="H703" s="19" t="s">
        <v>1103</v>
      </c>
      <c r="I703" s="58">
        <v>45789</v>
      </c>
      <c r="J703" s="20"/>
      <c r="K703" s="19" t="s">
        <v>1839</v>
      </c>
      <c r="L703" s="20"/>
      <c r="M703" s="22" t="s">
        <v>653</v>
      </c>
      <c r="N703" s="20"/>
      <c r="O703" s="22"/>
      <c r="P703" s="20" t="s">
        <v>590</v>
      </c>
      <c r="Q703" s="19">
        <v>2025</v>
      </c>
      <c r="R703" s="22"/>
      <c r="S703" s="22"/>
      <c r="T703" s="47"/>
      <c r="U703" s="20"/>
      <c r="V703" s="20"/>
    </row>
    <row r="704" customHeight="1" spans="1:22">
      <c r="A704" s="19">
        <f t="shared" si="15"/>
        <v>105</v>
      </c>
      <c r="B704" s="20" t="s">
        <v>5545</v>
      </c>
      <c r="C704" s="22"/>
      <c r="D704" s="20" t="s">
        <v>5546</v>
      </c>
      <c r="E704" s="20" t="s">
        <v>3593</v>
      </c>
      <c r="F704" s="20" t="s">
        <v>5547</v>
      </c>
      <c r="G704" s="101" t="e">
        <f>VLOOKUP(F704,'01. TH'!$B:$E,3,0)</f>
        <v>#N/A</v>
      </c>
      <c r="H704" s="19" t="s">
        <v>1103</v>
      </c>
      <c r="I704" s="58"/>
      <c r="J704" s="20"/>
      <c r="K704" s="19" t="s">
        <v>1839</v>
      </c>
      <c r="L704" s="20"/>
      <c r="M704" s="22" t="s">
        <v>653</v>
      </c>
      <c r="N704" s="20" t="s">
        <v>4168</v>
      </c>
      <c r="O704" s="22" t="s">
        <v>4045</v>
      </c>
      <c r="P704" s="20" t="s">
        <v>955</v>
      </c>
      <c r="Q704" s="19">
        <v>2023</v>
      </c>
      <c r="R704" s="22"/>
      <c r="S704" s="22"/>
      <c r="T704" s="47"/>
      <c r="U704" s="20"/>
      <c r="V704" s="20"/>
    </row>
    <row r="705" customHeight="1" spans="1:22">
      <c r="A705" s="19">
        <f t="shared" si="15"/>
        <v>106</v>
      </c>
      <c r="B705" s="20" t="s">
        <v>5548</v>
      </c>
      <c r="C705" s="22"/>
      <c r="D705" s="20" t="s">
        <v>5549</v>
      </c>
      <c r="E705" s="20" t="s">
        <v>3593</v>
      </c>
      <c r="F705" s="20" t="s">
        <v>5547</v>
      </c>
      <c r="G705" s="101" t="e">
        <f>VLOOKUP(F705,'01. TH'!$B:$E,3,0)</f>
        <v>#N/A</v>
      </c>
      <c r="H705" s="19" t="s">
        <v>1103</v>
      </c>
      <c r="I705" s="58">
        <v>45455</v>
      </c>
      <c r="J705" s="20"/>
      <c r="K705" s="19" t="s">
        <v>1839</v>
      </c>
      <c r="L705" s="20"/>
      <c r="M705" s="22" t="s">
        <v>653</v>
      </c>
      <c r="N705" s="20" t="s">
        <v>4168</v>
      </c>
      <c r="O705" s="22" t="s">
        <v>4045</v>
      </c>
      <c r="P705" s="20" t="s">
        <v>955</v>
      </c>
      <c r="Q705" s="19">
        <v>2024</v>
      </c>
      <c r="R705" s="22" t="s">
        <v>5550</v>
      </c>
      <c r="S705" s="22"/>
      <c r="T705" s="47"/>
      <c r="U705" s="20"/>
      <c r="V705" s="20"/>
    </row>
    <row r="706" customHeight="1" spans="1:22">
      <c r="A706" s="19">
        <f t="shared" si="15"/>
        <v>107</v>
      </c>
      <c r="B706" s="20" t="s">
        <v>5551</v>
      </c>
      <c r="C706" s="22"/>
      <c r="D706" s="20" t="s">
        <v>5552</v>
      </c>
      <c r="E706" s="20" t="s">
        <v>3593</v>
      </c>
      <c r="F706" s="20" t="s">
        <v>5547</v>
      </c>
      <c r="G706" s="101"/>
      <c r="H706" s="19" t="s">
        <v>1103</v>
      </c>
      <c r="I706" s="58">
        <v>46060</v>
      </c>
      <c r="J706" s="20"/>
      <c r="K706" s="19" t="s">
        <v>1839</v>
      </c>
      <c r="L706" s="20"/>
      <c r="M706" s="22" t="s">
        <v>5553</v>
      </c>
      <c r="N706" s="20" t="s">
        <v>4168</v>
      </c>
      <c r="O706" s="22" t="s">
        <v>4045</v>
      </c>
      <c r="P706" s="20" t="s">
        <v>955</v>
      </c>
      <c r="Q706" s="19">
        <v>2026</v>
      </c>
      <c r="R706" s="22"/>
      <c r="S706" s="22" t="s">
        <v>5554</v>
      </c>
      <c r="T706" s="47"/>
      <c r="U706" s="20"/>
      <c r="V706" s="20"/>
    </row>
    <row r="707" customHeight="1" spans="1:22">
      <c r="A707" s="19">
        <f t="shared" si="15"/>
        <v>108</v>
      </c>
      <c r="B707" s="20" t="s">
        <v>5555</v>
      </c>
      <c r="C707" s="22" t="s">
        <v>4166</v>
      </c>
      <c r="D707" s="20" t="s">
        <v>4167</v>
      </c>
      <c r="E707" s="20" t="s">
        <v>3593</v>
      </c>
      <c r="F707" s="20" t="s">
        <v>318</v>
      </c>
      <c r="G707" s="101"/>
      <c r="H707" s="19" t="s">
        <v>1103</v>
      </c>
      <c r="I707" s="58">
        <v>46241</v>
      </c>
      <c r="J707" s="20"/>
      <c r="K707" s="19" t="s">
        <v>1839</v>
      </c>
      <c r="L707" s="20" t="s">
        <v>5556</v>
      </c>
      <c r="M707" s="22" t="s">
        <v>5493</v>
      </c>
      <c r="N707" s="20" t="s">
        <v>4168</v>
      </c>
      <c r="O707" s="22" t="s">
        <v>4046</v>
      </c>
      <c r="P707" s="22">
        <v>2025</v>
      </c>
      <c r="Q707" s="19" t="s">
        <v>5557</v>
      </c>
      <c r="R707" s="22" t="s">
        <v>5261</v>
      </c>
      <c r="S707" s="22" t="s">
        <v>4169</v>
      </c>
      <c r="T707" s="47"/>
      <c r="U707" s="20"/>
      <c r="V707" s="20"/>
    </row>
    <row r="708" customHeight="1" spans="1:22">
      <c r="A708" s="19">
        <f t="shared" si="15"/>
        <v>109</v>
      </c>
      <c r="B708" s="20" t="s">
        <v>5558</v>
      </c>
      <c r="C708" s="22" t="s">
        <v>5559</v>
      </c>
      <c r="D708" s="20" t="s">
        <v>5560</v>
      </c>
      <c r="E708" s="20" t="s">
        <v>451</v>
      </c>
      <c r="F708" s="20" t="s">
        <v>4308</v>
      </c>
      <c r="G708" s="101" t="e">
        <f>VLOOKUP(F708,'01. TH'!$B:$E,3,0)</f>
        <v>#N/A</v>
      </c>
      <c r="H708" s="19" t="s">
        <v>1103</v>
      </c>
      <c r="I708" s="19" t="s">
        <v>5561</v>
      </c>
      <c r="J708" s="20"/>
      <c r="K708" s="19" t="s">
        <v>1839</v>
      </c>
      <c r="L708" s="20"/>
      <c r="M708" s="22" t="s">
        <v>4965</v>
      </c>
      <c r="N708" s="20" t="s">
        <v>3611</v>
      </c>
      <c r="O708" s="22"/>
      <c r="P708" s="20" t="s">
        <v>1019</v>
      </c>
      <c r="Q708" s="19"/>
      <c r="R708" s="22" t="s">
        <v>5562</v>
      </c>
      <c r="S708" s="22"/>
      <c r="T708" s="47"/>
      <c r="U708" s="20"/>
      <c r="V708" s="20"/>
    </row>
    <row r="709" ht="14.25" customHeight="1" spans="1:22">
      <c r="A709" s="19">
        <f t="shared" si="15"/>
        <v>110</v>
      </c>
      <c r="B709" s="20" t="s">
        <v>5563</v>
      </c>
      <c r="C709" s="22"/>
      <c r="D709" s="20" t="s">
        <v>5564</v>
      </c>
      <c r="E709" s="20" t="s">
        <v>451</v>
      </c>
      <c r="F709" s="20" t="s">
        <v>380</v>
      </c>
      <c r="G709" s="101">
        <f>VLOOKUP(F709,'01. TH'!$B:$E,3,0)</f>
        <v>0</v>
      </c>
      <c r="H709" s="19" t="s">
        <v>1103</v>
      </c>
      <c r="I709" s="19" t="s">
        <v>1131</v>
      </c>
      <c r="J709" s="20"/>
      <c r="K709" s="19" t="s">
        <v>1839</v>
      </c>
      <c r="L709" s="20"/>
      <c r="M709" s="22" t="s">
        <v>5493</v>
      </c>
      <c r="N709" s="20" t="s">
        <v>3611</v>
      </c>
      <c r="O709" s="22"/>
      <c r="P709" s="20" t="s">
        <v>1019</v>
      </c>
      <c r="Q709" s="19"/>
      <c r="R709" s="22"/>
      <c r="S709" s="22"/>
      <c r="T709" s="47"/>
      <c r="U709" s="20"/>
      <c r="V709" s="20"/>
    </row>
    <row r="710" customHeight="1" spans="1:22">
      <c r="A710" s="19">
        <f t="shared" si="15"/>
        <v>111</v>
      </c>
      <c r="B710" s="20" t="s">
        <v>5565</v>
      </c>
      <c r="C710" s="22" t="s">
        <v>5566</v>
      </c>
      <c r="D710" s="20" t="s">
        <v>5567</v>
      </c>
      <c r="E710" s="20" t="s">
        <v>451</v>
      </c>
      <c r="F710" s="20" t="s">
        <v>5568</v>
      </c>
      <c r="G710" s="101" t="e">
        <f>VLOOKUP(F710,'01. TH'!$B:$E,3,0)</f>
        <v>#N/A</v>
      </c>
      <c r="H710" s="19" t="s">
        <v>1103</v>
      </c>
      <c r="I710" s="19" t="s">
        <v>5569</v>
      </c>
      <c r="J710" s="20"/>
      <c r="K710" s="19" t="s">
        <v>1839</v>
      </c>
      <c r="L710" s="20"/>
      <c r="M710" s="22" t="s">
        <v>4965</v>
      </c>
      <c r="N710" s="20" t="s">
        <v>3611</v>
      </c>
      <c r="O710" s="22"/>
      <c r="P710" s="20" t="s">
        <v>1019</v>
      </c>
      <c r="Q710" s="19"/>
      <c r="R710" s="22" t="s">
        <v>5570</v>
      </c>
      <c r="S710" s="22"/>
      <c r="T710" s="47"/>
      <c r="U710" s="20"/>
      <c r="V710" s="20"/>
    </row>
    <row r="711" customHeight="1" spans="1:22">
      <c r="A711" s="19">
        <f t="shared" si="15"/>
        <v>112</v>
      </c>
      <c r="B711" s="20" t="s">
        <v>5571</v>
      </c>
      <c r="C711" s="22" t="s">
        <v>5572</v>
      </c>
      <c r="D711" s="20" t="s">
        <v>5573</v>
      </c>
      <c r="E711" s="20" t="s">
        <v>451</v>
      </c>
      <c r="F711" s="20" t="s">
        <v>340</v>
      </c>
      <c r="G711" s="101">
        <f>VLOOKUP(F711,'01. TH'!$B:$E,3,0)</f>
        <v>0</v>
      </c>
      <c r="H711" s="19" t="s">
        <v>1103</v>
      </c>
      <c r="I711" s="58">
        <v>45356</v>
      </c>
      <c r="J711" s="20"/>
      <c r="K711" s="19" t="s">
        <v>1839</v>
      </c>
      <c r="L711" s="20"/>
      <c r="M711" s="22" t="s">
        <v>3925</v>
      </c>
      <c r="N711" s="20" t="s">
        <v>3611</v>
      </c>
      <c r="O711" s="22" t="s">
        <v>5574</v>
      </c>
      <c r="P711" s="20" t="s">
        <v>1019</v>
      </c>
      <c r="Q711" s="19"/>
      <c r="R711" s="22" t="s">
        <v>5575</v>
      </c>
      <c r="S711" s="22"/>
      <c r="T711" s="47">
        <v>6.14</v>
      </c>
      <c r="U711" s="20" t="s">
        <v>4768</v>
      </c>
      <c r="V711" s="20"/>
    </row>
    <row r="712" customHeight="1" spans="1:22">
      <c r="A712" s="19">
        <f t="shared" si="15"/>
        <v>113</v>
      </c>
      <c r="B712" s="20" t="s">
        <v>5576</v>
      </c>
      <c r="C712" s="22" t="s">
        <v>5577</v>
      </c>
      <c r="D712" s="20" t="s">
        <v>5578</v>
      </c>
      <c r="E712" s="20" t="s">
        <v>451</v>
      </c>
      <c r="F712" s="20" t="s">
        <v>5579</v>
      </c>
      <c r="G712" s="101" t="e">
        <f>VLOOKUP(F712,'01. TH'!$B:$E,3,0)</f>
        <v>#N/A</v>
      </c>
      <c r="H712" s="19" t="s">
        <v>1103</v>
      </c>
      <c r="I712" s="19" t="s">
        <v>553</v>
      </c>
      <c r="J712" s="20"/>
      <c r="K712" s="19" t="s">
        <v>1839</v>
      </c>
      <c r="L712" s="20"/>
      <c r="M712" s="22" t="s">
        <v>3925</v>
      </c>
      <c r="N712" s="20" t="s">
        <v>3611</v>
      </c>
      <c r="O712" s="22" t="s">
        <v>5580</v>
      </c>
      <c r="P712" s="20" t="s">
        <v>4309</v>
      </c>
      <c r="Q712" s="19">
        <v>2024</v>
      </c>
      <c r="R712" s="22" t="s">
        <v>5581</v>
      </c>
      <c r="S712" s="22" t="s">
        <v>5582</v>
      </c>
      <c r="T712" s="47">
        <v>6.14</v>
      </c>
      <c r="U712" s="20" t="s">
        <v>4768</v>
      </c>
      <c r="V712" s="20"/>
    </row>
    <row r="713" customHeight="1" spans="1:22">
      <c r="A713" s="19">
        <f t="shared" si="15"/>
        <v>114</v>
      </c>
      <c r="B713" s="20" t="s">
        <v>5583</v>
      </c>
      <c r="C713" s="22" t="s">
        <v>5584</v>
      </c>
      <c r="D713" s="20" t="s">
        <v>5585</v>
      </c>
      <c r="E713" s="20" t="s">
        <v>451</v>
      </c>
      <c r="F713" s="20" t="s">
        <v>340</v>
      </c>
      <c r="G713" s="101">
        <f>VLOOKUP(F713,'01. TH'!$B:$E,3,0)</f>
        <v>0</v>
      </c>
      <c r="H713" s="19" t="s">
        <v>1103</v>
      </c>
      <c r="I713" s="19"/>
      <c r="J713" s="20"/>
      <c r="K713" s="19" t="s">
        <v>1839</v>
      </c>
      <c r="L713" s="20"/>
      <c r="M713" s="22" t="s">
        <v>3925</v>
      </c>
      <c r="N713" s="20" t="s">
        <v>3611</v>
      </c>
      <c r="O713" s="22" t="s">
        <v>5584</v>
      </c>
      <c r="P713" s="20" t="s">
        <v>3613</v>
      </c>
      <c r="Q713" s="19">
        <v>2024</v>
      </c>
      <c r="R713" s="22" t="s">
        <v>5586</v>
      </c>
      <c r="S713" s="22"/>
      <c r="T713" s="47">
        <v>6.14</v>
      </c>
      <c r="U713" s="20" t="s">
        <v>4768</v>
      </c>
      <c r="V713" s="20"/>
    </row>
    <row r="714" customHeight="1" spans="1:22">
      <c r="A714" s="19">
        <f t="shared" si="15"/>
        <v>115</v>
      </c>
      <c r="B714" s="20" t="s">
        <v>5587</v>
      </c>
      <c r="C714" s="22"/>
      <c r="D714" s="20" t="s">
        <v>5588</v>
      </c>
      <c r="E714" s="20" t="s">
        <v>451</v>
      </c>
      <c r="F714" s="20" t="s">
        <v>340</v>
      </c>
      <c r="G714" s="101">
        <f>VLOOKUP(F714,'01. TH'!$B:$E,3,0)</f>
        <v>0</v>
      </c>
      <c r="H714" s="19" t="s">
        <v>1103</v>
      </c>
      <c r="I714" s="19" t="s">
        <v>5589</v>
      </c>
      <c r="J714" s="20"/>
      <c r="K714" s="19" t="s">
        <v>1839</v>
      </c>
      <c r="L714" s="20"/>
      <c r="M714" s="22" t="s">
        <v>3925</v>
      </c>
      <c r="N714" s="20" t="s">
        <v>3611</v>
      </c>
      <c r="O714" s="22" t="s">
        <v>5590</v>
      </c>
      <c r="P714" s="20" t="s">
        <v>3613</v>
      </c>
      <c r="Q714" s="19">
        <v>2025</v>
      </c>
      <c r="R714" s="22" t="s">
        <v>5586</v>
      </c>
      <c r="S714" s="22"/>
      <c r="T714" s="47">
        <v>6.14</v>
      </c>
      <c r="U714" s="20" t="s">
        <v>4768</v>
      </c>
      <c r="V714" s="20"/>
    </row>
    <row r="715" customHeight="1" spans="1:22">
      <c r="A715" s="19">
        <f t="shared" si="15"/>
        <v>116</v>
      </c>
      <c r="B715" s="20" t="s">
        <v>5591</v>
      </c>
      <c r="C715" s="22"/>
      <c r="D715" s="20" t="s">
        <v>5592</v>
      </c>
      <c r="E715" s="20" t="s">
        <v>451</v>
      </c>
      <c r="F715" s="20" t="s">
        <v>340</v>
      </c>
      <c r="G715" s="101">
        <f>VLOOKUP(F715,'01. TH'!$B:$E,3,0)</f>
        <v>0</v>
      </c>
      <c r="H715" s="19" t="s">
        <v>1103</v>
      </c>
      <c r="I715" s="19" t="s">
        <v>5589</v>
      </c>
      <c r="J715" s="20"/>
      <c r="K715" s="19" t="s">
        <v>1839</v>
      </c>
      <c r="L715" s="20"/>
      <c r="M715" s="22" t="s">
        <v>3925</v>
      </c>
      <c r="N715" s="20" t="s">
        <v>3611</v>
      </c>
      <c r="O715" s="22" t="s">
        <v>5593</v>
      </c>
      <c r="P715" s="20" t="s">
        <v>3613</v>
      </c>
      <c r="Q715" s="19">
        <v>2025</v>
      </c>
      <c r="R715" s="22" t="s">
        <v>5586</v>
      </c>
      <c r="S715" s="22"/>
      <c r="T715" s="47">
        <v>6.14</v>
      </c>
      <c r="U715" s="20" t="s">
        <v>4768</v>
      </c>
      <c r="V715" s="20"/>
    </row>
    <row r="716" customHeight="1" spans="1:22">
      <c r="A716" s="19">
        <f t="shared" si="15"/>
        <v>117</v>
      </c>
      <c r="B716" s="20" t="s">
        <v>5594</v>
      </c>
      <c r="C716" s="22"/>
      <c r="D716" s="20" t="s">
        <v>5595</v>
      </c>
      <c r="E716" s="20" t="s">
        <v>451</v>
      </c>
      <c r="F716" s="20" t="s">
        <v>340</v>
      </c>
      <c r="G716" s="101">
        <f>VLOOKUP(F716,'01. TH'!$B:$E,3,0)</f>
        <v>0</v>
      </c>
      <c r="H716" s="19" t="s">
        <v>1103</v>
      </c>
      <c r="I716" s="19" t="s">
        <v>5589</v>
      </c>
      <c r="J716" s="20"/>
      <c r="K716" s="19" t="s">
        <v>1839</v>
      </c>
      <c r="L716" s="20"/>
      <c r="M716" s="22" t="s">
        <v>3925</v>
      </c>
      <c r="N716" s="20" t="s">
        <v>3611</v>
      </c>
      <c r="O716" s="22" t="s">
        <v>5596</v>
      </c>
      <c r="P716" s="20" t="s">
        <v>3613</v>
      </c>
      <c r="Q716" s="19">
        <v>2025</v>
      </c>
      <c r="R716" s="22" t="s">
        <v>5586</v>
      </c>
      <c r="S716" s="22"/>
      <c r="T716" s="47">
        <v>6.14</v>
      </c>
      <c r="U716" s="20" t="s">
        <v>4768</v>
      </c>
      <c r="V716" s="20"/>
    </row>
    <row r="717" customHeight="1" spans="1:22">
      <c r="A717" s="19">
        <f t="shared" si="15"/>
        <v>118</v>
      </c>
      <c r="B717" s="20" t="s">
        <v>5597</v>
      </c>
      <c r="C717" s="22"/>
      <c r="D717" s="20" t="s">
        <v>5598</v>
      </c>
      <c r="E717" s="20" t="s">
        <v>451</v>
      </c>
      <c r="F717" s="20" t="s">
        <v>340</v>
      </c>
      <c r="G717" s="101">
        <f>VLOOKUP(F717,'01. TH'!$B:$E,3,0)</f>
        <v>0</v>
      </c>
      <c r="H717" s="19" t="s">
        <v>1103</v>
      </c>
      <c r="I717" s="19" t="s">
        <v>5589</v>
      </c>
      <c r="J717" s="20"/>
      <c r="K717" s="19" t="s">
        <v>1839</v>
      </c>
      <c r="L717" s="20"/>
      <c r="M717" s="22" t="s">
        <v>3925</v>
      </c>
      <c r="N717" s="20" t="s">
        <v>3611</v>
      </c>
      <c r="O717" s="22" t="s">
        <v>5599</v>
      </c>
      <c r="P717" s="20" t="s">
        <v>3613</v>
      </c>
      <c r="Q717" s="19">
        <v>2025</v>
      </c>
      <c r="R717" s="22" t="s">
        <v>5586</v>
      </c>
      <c r="S717" s="22"/>
      <c r="T717" s="47">
        <v>6.14</v>
      </c>
      <c r="U717" s="20" t="s">
        <v>4768</v>
      </c>
      <c r="V717" s="20"/>
    </row>
    <row r="718" customHeight="1" spans="1:22">
      <c r="A718" s="19">
        <f t="shared" si="15"/>
        <v>119</v>
      </c>
      <c r="B718" s="20" t="s">
        <v>5600</v>
      </c>
      <c r="C718" s="22"/>
      <c r="D718" s="20" t="s">
        <v>5601</v>
      </c>
      <c r="E718" s="20" t="s">
        <v>451</v>
      </c>
      <c r="F718" s="20" t="s">
        <v>340</v>
      </c>
      <c r="G718" s="101">
        <f>VLOOKUP(F718,'01. TH'!$B:$E,3,0)</f>
        <v>0</v>
      </c>
      <c r="H718" s="19" t="s">
        <v>1103</v>
      </c>
      <c r="I718" s="19" t="s">
        <v>5589</v>
      </c>
      <c r="J718" s="20"/>
      <c r="K718" s="19" t="s">
        <v>1839</v>
      </c>
      <c r="L718" s="20"/>
      <c r="M718" s="22" t="s">
        <v>3925</v>
      </c>
      <c r="N718" s="20" t="s">
        <v>3611</v>
      </c>
      <c r="O718" s="22" t="s">
        <v>5602</v>
      </c>
      <c r="P718" s="20" t="s">
        <v>3613</v>
      </c>
      <c r="Q718" s="19">
        <v>2025</v>
      </c>
      <c r="R718" s="22" t="s">
        <v>5586</v>
      </c>
      <c r="S718" s="22"/>
      <c r="T718" s="47">
        <v>6.14</v>
      </c>
      <c r="U718" s="20" t="s">
        <v>4768</v>
      </c>
      <c r="V718" s="20"/>
    </row>
    <row r="719" customHeight="1" spans="1:22">
      <c r="A719" s="19">
        <f t="shared" si="15"/>
        <v>120</v>
      </c>
      <c r="B719" s="20" t="s">
        <v>5603</v>
      </c>
      <c r="C719" s="22"/>
      <c r="D719" s="20" t="s">
        <v>5604</v>
      </c>
      <c r="E719" s="20" t="s">
        <v>451</v>
      </c>
      <c r="F719" s="20" t="s">
        <v>340</v>
      </c>
      <c r="G719" s="101"/>
      <c r="H719" s="19" t="s">
        <v>1103</v>
      </c>
      <c r="I719" s="807">
        <v>46200</v>
      </c>
      <c r="J719" s="20"/>
      <c r="K719" s="19" t="s">
        <v>1839</v>
      </c>
      <c r="L719" s="20"/>
      <c r="M719" s="22"/>
      <c r="N719" s="20"/>
      <c r="O719" s="22"/>
      <c r="P719" s="20"/>
      <c r="Q719" s="19"/>
      <c r="R719" s="22"/>
      <c r="S719" s="22"/>
      <c r="T719" s="47">
        <v>6.14</v>
      </c>
      <c r="U719" s="20" t="s">
        <v>4768</v>
      </c>
      <c r="V719" s="20"/>
    </row>
    <row r="720" customHeight="1" spans="1:22">
      <c r="A720" s="19">
        <f t="shared" si="15"/>
        <v>121</v>
      </c>
      <c r="B720" s="20" t="s">
        <v>5605</v>
      </c>
      <c r="C720" s="22"/>
      <c r="D720" s="20" t="s">
        <v>5606</v>
      </c>
      <c r="E720" s="20" t="s">
        <v>451</v>
      </c>
      <c r="F720" s="20" t="s">
        <v>340</v>
      </c>
      <c r="G720" s="101"/>
      <c r="H720" s="19" t="s">
        <v>1103</v>
      </c>
      <c r="I720" s="807">
        <v>46200</v>
      </c>
      <c r="J720" s="20"/>
      <c r="K720" s="19" t="s">
        <v>1839</v>
      </c>
      <c r="L720" s="20"/>
      <c r="M720" s="22"/>
      <c r="N720" s="20"/>
      <c r="O720" s="22"/>
      <c r="P720" s="20"/>
      <c r="Q720" s="19"/>
      <c r="R720" s="22"/>
      <c r="S720" s="22"/>
      <c r="T720" s="47">
        <v>6.14</v>
      </c>
      <c r="U720" s="20" t="s">
        <v>4768</v>
      </c>
      <c r="V720" s="20"/>
    </row>
    <row r="721" customHeight="1" spans="1:22">
      <c r="A721" s="19">
        <f t="shared" si="15"/>
        <v>122</v>
      </c>
      <c r="B721" s="20" t="s">
        <v>5607</v>
      </c>
      <c r="C721" s="22"/>
      <c r="D721" s="20" t="s">
        <v>5608</v>
      </c>
      <c r="E721" s="20" t="s">
        <v>451</v>
      </c>
      <c r="F721" s="20" t="s">
        <v>5609</v>
      </c>
      <c r="G721" s="101" t="e">
        <f>VLOOKUP(F721,'01. TH'!$B:$E,3,0)</f>
        <v>#N/A</v>
      </c>
      <c r="H721" s="19" t="s">
        <v>1103</v>
      </c>
      <c r="I721" s="19" t="s">
        <v>5610</v>
      </c>
      <c r="J721" s="20"/>
      <c r="K721" s="19" t="s">
        <v>1839</v>
      </c>
      <c r="L721" s="20"/>
      <c r="M721" s="22" t="s">
        <v>5493</v>
      </c>
      <c r="N721" s="20" t="s">
        <v>2742</v>
      </c>
      <c r="O721" s="22" t="s">
        <v>5611</v>
      </c>
      <c r="P721" s="20" t="s">
        <v>2742</v>
      </c>
      <c r="Q721" s="19"/>
      <c r="R721" s="22" t="s">
        <v>5612</v>
      </c>
      <c r="S721" s="22"/>
      <c r="T721" s="47"/>
      <c r="U721" s="20"/>
      <c r="V721" s="20"/>
    </row>
    <row r="722" customHeight="1" spans="1:22">
      <c r="A722" s="19">
        <f t="shared" si="15"/>
        <v>123</v>
      </c>
      <c r="B722" s="20" t="s">
        <v>5613</v>
      </c>
      <c r="C722" s="22"/>
      <c r="D722" s="20" t="s">
        <v>5614</v>
      </c>
      <c r="E722" s="20" t="s">
        <v>451</v>
      </c>
      <c r="F722" s="20" t="s">
        <v>391</v>
      </c>
      <c r="G722" s="101" t="str">
        <f>VLOOKUP(F722,'01. TH'!$B:$E,3,0)</f>
        <v>4500 x 2500 x 1400</v>
      </c>
      <c r="H722" s="19" t="s">
        <v>1103</v>
      </c>
      <c r="I722" s="58">
        <v>45362</v>
      </c>
      <c r="J722" s="20"/>
      <c r="K722" s="19" t="s">
        <v>1839</v>
      </c>
      <c r="L722" s="20"/>
      <c r="M722" s="22" t="s">
        <v>3925</v>
      </c>
      <c r="N722" s="20" t="s">
        <v>3611</v>
      </c>
      <c r="O722" s="22" t="s">
        <v>5615</v>
      </c>
      <c r="P722" s="20" t="s">
        <v>3613</v>
      </c>
      <c r="Q722" s="19">
        <v>2024</v>
      </c>
      <c r="R722" s="22" t="s">
        <v>5616</v>
      </c>
      <c r="S722" s="22"/>
      <c r="T722" s="47"/>
      <c r="U722" s="20"/>
      <c r="V722" s="20"/>
    </row>
    <row r="723" customHeight="1" spans="1:22">
      <c r="A723" s="19">
        <f t="shared" si="15"/>
        <v>124</v>
      </c>
      <c r="B723" s="20" t="s">
        <v>5617</v>
      </c>
      <c r="C723" s="22"/>
      <c r="D723" s="20" t="s">
        <v>5618</v>
      </c>
      <c r="E723" s="20" t="s">
        <v>451</v>
      </c>
      <c r="F723" s="20" t="s">
        <v>391</v>
      </c>
      <c r="G723" s="101" t="str">
        <f>VLOOKUP(F723,'01. TH'!$B:$E,3,0)</f>
        <v>4500 x 2500 x 1400</v>
      </c>
      <c r="H723" s="19" t="s">
        <v>1103</v>
      </c>
      <c r="I723" s="58">
        <v>45362</v>
      </c>
      <c r="J723" s="20"/>
      <c r="K723" s="19" t="s">
        <v>1839</v>
      </c>
      <c r="L723" s="20"/>
      <c r="M723" s="22" t="s">
        <v>3925</v>
      </c>
      <c r="N723" s="20" t="s">
        <v>3611</v>
      </c>
      <c r="O723" s="22" t="s">
        <v>5615</v>
      </c>
      <c r="P723" s="20" t="s">
        <v>3613</v>
      </c>
      <c r="Q723" s="19">
        <v>2024</v>
      </c>
      <c r="R723" s="22" t="s">
        <v>5616</v>
      </c>
      <c r="S723" s="22"/>
      <c r="T723" s="47"/>
      <c r="U723" s="20"/>
      <c r="V723" s="20"/>
    </row>
    <row r="724" customHeight="1" spans="1:22">
      <c r="A724" s="19">
        <f t="shared" si="15"/>
        <v>125</v>
      </c>
      <c r="B724" s="20" t="s">
        <v>5619</v>
      </c>
      <c r="C724" s="22" t="s">
        <v>5620</v>
      </c>
      <c r="D724" s="20" t="s">
        <v>5621</v>
      </c>
      <c r="E724" s="20" t="s">
        <v>451</v>
      </c>
      <c r="F724" s="20" t="s">
        <v>378</v>
      </c>
      <c r="G724" s="101" t="str">
        <f>VLOOKUP(F724,'01. TH'!$B:$E,3,0)</f>
        <v>3000 x 3000 x 1400</v>
      </c>
      <c r="H724" s="19" t="s">
        <v>1103</v>
      </c>
      <c r="I724" s="58">
        <v>45515</v>
      </c>
      <c r="J724" s="20"/>
      <c r="K724" s="19" t="s">
        <v>1839</v>
      </c>
      <c r="L724" s="20"/>
      <c r="M724" s="22" t="s">
        <v>3925</v>
      </c>
      <c r="N724" s="20" t="s">
        <v>3611</v>
      </c>
      <c r="O724" s="22" t="s">
        <v>5620</v>
      </c>
      <c r="P724" s="20" t="s">
        <v>3613</v>
      </c>
      <c r="Q724" s="19">
        <v>2024</v>
      </c>
      <c r="R724" s="22" t="s">
        <v>5622</v>
      </c>
      <c r="S724" s="22"/>
      <c r="T724" s="47"/>
      <c r="U724" s="20"/>
      <c r="V724" s="20"/>
    </row>
    <row r="725" ht="63" customHeight="1" spans="1:22">
      <c r="A725" s="19">
        <f t="shared" si="15"/>
        <v>126</v>
      </c>
      <c r="B725" s="38" t="s">
        <v>5623</v>
      </c>
      <c r="C725" s="22"/>
      <c r="D725" s="20" t="s">
        <v>5624</v>
      </c>
      <c r="E725" s="20" t="s">
        <v>3593</v>
      </c>
      <c r="F725" s="20" t="s">
        <v>348</v>
      </c>
      <c r="G725" s="101" t="str">
        <f>VLOOKUP(F725,'01. TH'!$B:$E,3,0)</f>
        <v>2x2.3x1.4</v>
      </c>
      <c r="H725" s="19" t="s">
        <v>1103</v>
      </c>
      <c r="I725" s="19" t="s">
        <v>5625</v>
      </c>
      <c r="J725" s="20"/>
      <c r="K725" s="19" t="s">
        <v>1839</v>
      </c>
      <c r="L725" s="20"/>
      <c r="M725" s="22" t="s">
        <v>653</v>
      </c>
      <c r="N725" s="20" t="s">
        <v>590</v>
      </c>
      <c r="O725" s="22" t="s">
        <v>5626</v>
      </c>
      <c r="P725" s="25" t="s">
        <v>590</v>
      </c>
      <c r="Q725" s="19">
        <v>2024</v>
      </c>
      <c r="R725" s="321" t="s">
        <v>5627</v>
      </c>
      <c r="S725" s="22"/>
      <c r="T725" s="47"/>
      <c r="U725" s="20"/>
      <c r="V725" s="20"/>
    </row>
    <row r="726" ht="63" customHeight="1" spans="1:22">
      <c r="A726" s="19">
        <f t="shared" si="15"/>
        <v>127</v>
      </c>
      <c r="B726" s="38" t="s">
        <v>5628</v>
      </c>
      <c r="C726" s="22"/>
      <c r="D726" s="20" t="s">
        <v>5629</v>
      </c>
      <c r="E726" s="20" t="s">
        <v>3593</v>
      </c>
      <c r="F726" s="20" t="s">
        <v>348</v>
      </c>
      <c r="G726" s="101" t="str">
        <f>VLOOKUP(F726,'01. TH'!$B:$E,3,0)</f>
        <v>2x2.3x1.4</v>
      </c>
      <c r="H726" s="19" t="s">
        <v>1103</v>
      </c>
      <c r="I726" s="19" t="s">
        <v>2670</v>
      </c>
      <c r="J726" s="20"/>
      <c r="K726" s="19" t="s">
        <v>1839</v>
      </c>
      <c r="L726" s="20"/>
      <c r="M726" s="22" t="s">
        <v>653</v>
      </c>
      <c r="N726" s="20" t="s">
        <v>590</v>
      </c>
      <c r="O726" s="22" t="s">
        <v>5626</v>
      </c>
      <c r="P726" s="25" t="s">
        <v>590</v>
      </c>
      <c r="Q726" s="19">
        <v>2024</v>
      </c>
      <c r="R726" s="321" t="s">
        <v>5627</v>
      </c>
      <c r="S726" s="22"/>
      <c r="T726" s="47"/>
      <c r="U726" s="20"/>
      <c r="V726" s="20"/>
    </row>
    <row r="727" ht="27" customHeight="1" spans="1:22">
      <c r="A727" s="19">
        <f t="shared" si="15"/>
        <v>128</v>
      </c>
      <c r="B727" s="38" t="s">
        <v>5630</v>
      </c>
      <c r="C727" s="22" t="s">
        <v>5631</v>
      </c>
      <c r="D727" s="20" t="s">
        <v>5632</v>
      </c>
      <c r="E727" s="20" t="s">
        <v>451</v>
      </c>
      <c r="F727" s="20" t="s">
        <v>5633</v>
      </c>
      <c r="G727" s="101" t="e">
        <f>VLOOKUP(F727,'01. TH'!$B:$E,3,0)</f>
        <v>#N/A</v>
      </c>
      <c r="H727" s="19" t="s">
        <v>1103</v>
      </c>
      <c r="I727" s="58">
        <v>45512</v>
      </c>
      <c r="J727" s="20"/>
      <c r="K727" s="19" t="s">
        <v>1839</v>
      </c>
      <c r="L727" s="20"/>
      <c r="M727" s="22" t="s">
        <v>3925</v>
      </c>
      <c r="N727" s="20" t="s">
        <v>3611</v>
      </c>
      <c r="O727" s="22"/>
      <c r="P727" s="20" t="s">
        <v>3613</v>
      </c>
      <c r="Q727" s="19">
        <v>2024</v>
      </c>
      <c r="R727" s="321"/>
      <c r="S727" s="22"/>
      <c r="T727" s="47"/>
      <c r="U727" s="20"/>
      <c r="V727" s="20"/>
    </row>
    <row r="728" ht="27" customHeight="1" spans="1:22">
      <c r="A728" s="19">
        <f t="shared" si="15"/>
        <v>129</v>
      </c>
      <c r="B728" s="38" t="s">
        <v>5634</v>
      </c>
      <c r="C728" s="22" t="s">
        <v>5635</v>
      </c>
      <c r="D728" s="20" t="s">
        <v>5636</v>
      </c>
      <c r="E728" s="20" t="s">
        <v>451</v>
      </c>
      <c r="F728" s="20" t="s">
        <v>350</v>
      </c>
      <c r="G728" s="101" t="str">
        <f>VLOOKUP(F728,'01. TH'!$B:$E,3,0)</f>
        <v>2000 x 2300 x 1400</v>
      </c>
      <c r="H728" s="19" t="s">
        <v>1103</v>
      </c>
      <c r="I728" s="58">
        <v>45391</v>
      </c>
      <c r="J728" s="20"/>
      <c r="K728" s="19" t="s">
        <v>1839</v>
      </c>
      <c r="L728" s="20"/>
      <c r="M728" s="22" t="s">
        <v>3925</v>
      </c>
      <c r="N728" s="20" t="s">
        <v>3611</v>
      </c>
      <c r="O728" s="22" t="s">
        <v>5637</v>
      </c>
      <c r="P728" s="20" t="s">
        <v>3613</v>
      </c>
      <c r="Q728" s="19">
        <v>2024</v>
      </c>
      <c r="R728" s="321" t="s">
        <v>349</v>
      </c>
      <c r="S728" s="22"/>
      <c r="T728" s="47"/>
      <c r="U728" s="20"/>
      <c r="V728" s="20"/>
    </row>
    <row r="729" ht="27" customHeight="1" spans="1:22">
      <c r="A729" s="19">
        <f t="shared" si="15"/>
        <v>130</v>
      </c>
      <c r="B729" s="38" t="s">
        <v>5638</v>
      </c>
      <c r="C729" s="22" t="s">
        <v>5639</v>
      </c>
      <c r="D729" s="20" t="s">
        <v>5640</v>
      </c>
      <c r="E729" s="20" t="s">
        <v>451</v>
      </c>
      <c r="F729" s="20" t="s">
        <v>350</v>
      </c>
      <c r="G729" s="101" t="str">
        <f>VLOOKUP(F729,'01. TH'!$B:$E,3,0)</f>
        <v>2000 x 2300 x 1400</v>
      </c>
      <c r="H729" s="19" t="s">
        <v>1103</v>
      </c>
      <c r="I729" s="19" t="s">
        <v>5641</v>
      </c>
      <c r="J729" s="20"/>
      <c r="K729" s="19" t="s">
        <v>1839</v>
      </c>
      <c r="L729" s="20"/>
      <c r="M729" s="22" t="s">
        <v>3925</v>
      </c>
      <c r="N729" s="20" t="s">
        <v>3611</v>
      </c>
      <c r="O729" s="22" t="s">
        <v>5637</v>
      </c>
      <c r="P729" s="20" t="s">
        <v>3613</v>
      </c>
      <c r="Q729" s="19"/>
      <c r="R729" s="321"/>
      <c r="S729" s="22"/>
      <c r="T729" s="47"/>
      <c r="U729" s="20"/>
      <c r="V729" s="20"/>
    </row>
    <row r="730" ht="27" customHeight="1" spans="1:22">
      <c r="A730" s="19">
        <f t="shared" si="15"/>
        <v>131</v>
      </c>
      <c r="B730" s="38" t="s">
        <v>5642</v>
      </c>
      <c r="C730" s="22" t="s">
        <v>5643</v>
      </c>
      <c r="D730" s="20" t="s">
        <v>5644</v>
      </c>
      <c r="E730" s="20" t="s">
        <v>451</v>
      </c>
      <c r="F730" s="20" t="s">
        <v>350</v>
      </c>
      <c r="G730" s="101" t="str">
        <f>VLOOKUP(F730,'01. TH'!$B:$E,3,0)</f>
        <v>2000 x 2300 x 1400</v>
      </c>
      <c r="H730" s="19" t="s">
        <v>1103</v>
      </c>
      <c r="I730" s="19" t="s">
        <v>5645</v>
      </c>
      <c r="J730" s="20"/>
      <c r="K730" s="19" t="s">
        <v>1839</v>
      </c>
      <c r="L730" s="20"/>
      <c r="M730" s="22" t="s">
        <v>3925</v>
      </c>
      <c r="N730" s="20" t="s">
        <v>3611</v>
      </c>
      <c r="O730" s="22" t="s">
        <v>5643</v>
      </c>
      <c r="P730" s="20" t="s">
        <v>3613</v>
      </c>
      <c r="Q730" s="19">
        <v>2024</v>
      </c>
      <c r="R730" s="321" t="s">
        <v>5646</v>
      </c>
      <c r="S730" s="22"/>
      <c r="T730" s="47"/>
      <c r="U730" s="20"/>
      <c r="V730" s="20"/>
    </row>
    <row r="731" ht="27" customHeight="1" spans="1:22">
      <c r="A731" s="19">
        <f t="shared" si="15"/>
        <v>132</v>
      </c>
      <c r="B731" s="38" t="s">
        <v>5647</v>
      </c>
      <c r="C731" s="22"/>
      <c r="D731" s="20" t="s">
        <v>5648</v>
      </c>
      <c r="E731" s="20" t="s">
        <v>451</v>
      </c>
      <c r="F731" s="20" t="s">
        <v>350</v>
      </c>
      <c r="G731" s="101" t="str">
        <f>VLOOKUP(F731,'01. TH'!$B:$E,3,0)</f>
        <v>2000 x 2300 x 1400</v>
      </c>
      <c r="H731" s="19" t="s">
        <v>1103</v>
      </c>
      <c r="I731" s="58">
        <v>45424</v>
      </c>
      <c r="J731" s="20"/>
      <c r="K731" s="19" t="s">
        <v>1839</v>
      </c>
      <c r="L731" s="20"/>
      <c r="M731" s="22" t="s">
        <v>3925</v>
      </c>
      <c r="N731" s="20" t="s">
        <v>3611</v>
      </c>
      <c r="O731" s="22" t="s">
        <v>5649</v>
      </c>
      <c r="P731" s="20" t="s">
        <v>3613</v>
      </c>
      <c r="Q731" s="19">
        <v>2024</v>
      </c>
      <c r="R731" s="321"/>
      <c r="S731" s="22"/>
      <c r="T731" s="47"/>
      <c r="U731" s="20"/>
      <c r="V731" s="20"/>
    </row>
    <row r="732" ht="27" customHeight="1" spans="1:22">
      <c r="A732" s="19">
        <f t="shared" si="15"/>
        <v>133</v>
      </c>
      <c r="B732" s="38" t="s">
        <v>5650</v>
      </c>
      <c r="C732" s="22" t="s">
        <v>5651</v>
      </c>
      <c r="D732" s="20" t="s">
        <v>5652</v>
      </c>
      <c r="E732" s="20" t="s">
        <v>451</v>
      </c>
      <c r="F732" s="20" t="s">
        <v>341</v>
      </c>
      <c r="G732" s="101" t="str">
        <f>VLOOKUP(F732,'01. TH'!$B:$E,3,0)</f>
        <v>3500 x 2200 x 2150</v>
      </c>
      <c r="H732" s="19" t="s">
        <v>1103</v>
      </c>
      <c r="I732" s="19" t="s">
        <v>5653</v>
      </c>
      <c r="J732" s="20"/>
      <c r="K732" s="19" t="s">
        <v>1839</v>
      </c>
      <c r="L732" s="20"/>
      <c r="M732" s="22" t="s">
        <v>3925</v>
      </c>
      <c r="N732" s="20" t="s">
        <v>3611</v>
      </c>
      <c r="O732" s="22" t="s">
        <v>5651</v>
      </c>
      <c r="P732" s="20" t="s">
        <v>3613</v>
      </c>
      <c r="Q732" s="19"/>
      <c r="R732" s="321" t="s">
        <v>5654</v>
      </c>
      <c r="S732" s="22"/>
      <c r="T732" s="47"/>
      <c r="U732" s="20"/>
      <c r="V732" s="20"/>
    </row>
    <row r="733" ht="27" customHeight="1" spans="1:22">
      <c r="A733" s="19">
        <f t="shared" si="15"/>
        <v>134</v>
      </c>
      <c r="B733" s="38" t="s">
        <v>5655</v>
      </c>
      <c r="C733" s="22"/>
      <c r="D733" s="24" t="s">
        <v>5656</v>
      </c>
      <c r="E733" s="20" t="s">
        <v>451</v>
      </c>
      <c r="F733" s="24" t="s">
        <v>366</v>
      </c>
      <c r="G733" s="101">
        <f>VLOOKUP(F733,'01. TH'!$B:$E,3,0)</f>
        <v>0</v>
      </c>
      <c r="H733" s="19" t="s">
        <v>1103</v>
      </c>
      <c r="I733" s="58">
        <v>45814</v>
      </c>
      <c r="J733" s="20"/>
      <c r="K733" s="19" t="s">
        <v>1839</v>
      </c>
      <c r="L733" s="20"/>
      <c r="M733" s="22" t="s">
        <v>5657</v>
      </c>
      <c r="N733" s="19" t="s">
        <v>5658</v>
      </c>
      <c r="O733" s="22" t="s">
        <v>5659</v>
      </c>
      <c r="P733" s="20" t="s">
        <v>5660</v>
      </c>
      <c r="Q733" s="19">
        <v>2024</v>
      </c>
      <c r="R733" s="321"/>
      <c r="S733" s="22" t="s">
        <v>5661</v>
      </c>
      <c r="T733" s="47"/>
      <c r="U733" s="20"/>
      <c r="V733" s="20"/>
    </row>
    <row r="734" ht="27" customHeight="1" spans="1:22">
      <c r="A734" s="19">
        <f t="shared" si="15"/>
        <v>135</v>
      </c>
      <c r="B734" s="38" t="s">
        <v>5662</v>
      </c>
      <c r="C734" s="22"/>
      <c r="D734" s="24" t="s">
        <v>5663</v>
      </c>
      <c r="E734" s="20" t="s">
        <v>451</v>
      </c>
      <c r="F734" s="24" t="s">
        <v>366</v>
      </c>
      <c r="G734" s="101">
        <f>VLOOKUP(F734,'01. TH'!$B:$E,3,0)</f>
        <v>0</v>
      </c>
      <c r="H734" s="19" t="s">
        <v>1103</v>
      </c>
      <c r="I734" s="58">
        <v>45814</v>
      </c>
      <c r="J734" s="20"/>
      <c r="K734" s="19" t="s">
        <v>1839</v>
      </c>
      <c r="L734" s="20"/>
      <c r="M734" s="22" t="s">
        <v>5657</v>
      </c>
      <c r="N734" s="19" t="s">
        <v>5658</v>
      </c>
      <c r="O734" s="22" t="s">
        <v>5659</v>
      </c>
      <c r="P734" s="20" t="s">
        <v>5660</v>
      </c>
      <c r="Q734" s="19">
        <v>2024</v>
      </c>
      <c r="R734" s="321"/>
      <c r="S734" s="22" t="s">
        <v>5664</v>
      </c>
      <c r="T734" s="47"/>
      <c r="U734" s="20"/>
      <c r="V734" s="20"/>
    </row>
    <row r="735" ht="27" customHeight="1" spans="1:22">
      <c r="A735" s="19">
        <f t="shared" si="15"/>
        <v>136</v>
      </c>
      <c r="B735" s="38" t="s">
        <v>5665</v>
      </c>
      <c r="C735" s="22"/>
      <c r="D735" s="20"/>
      <c r="E735" s="20" t="s">
        <v>451</v>
      </c>
      <c r="F735" s="20" t="s">
        <v>368</v>
      </c>
      <c r="G735" s="101">
        <f>VLOOKUP(F735,'01. TH'!$B:$E,3,0)</f>
        <v>0</v>
      </c>
      <c r="H735" s="19" t="s">
        <v>1103</v>
      </c>
      <c r="I735" s="19" t="s">
        <v>5666</v>
      </c>
      <c r="J735" s="20"/>
      <c r="K735" s="19" t="s">
        <v>1839</v>
      </c>
      <c r="L735" s="20"/>
      <c r="M735" s="22" t="s">
        <v>3925</v>
      </c>
      <c r="N735" s="19" t="s">
        <v>4168</v>
      </c>
      <c r="O735" s="22"/>
      <c r="P735" s="20" t="s">
        <v>5667</v>
      </c>
      <c r="Q735" s="19">
        <v>2024</v>
      </c>
      <c r="R735" s="321"/>
      <c r="S735" s="22"/>
      <c r="T735" s="47"/>
      <c r="U735" s="20"/>
      <c r="V735" s="20"/>
    </row>
    <row r="736" ht="27" customHeight="1" spans="1:22">
      <c r="A736" s="19">
        <f t="shared" si="15"/>
        <v>137</v>
      </c>
      <c r="B736" s="38" t="s">
        <v>5668</v>
      </c>
      <c r="C736" s="22"/>
      <c r="D736" s="20" t="s">
        <v>5669</v>
      </c>
      <c r="E736" s="20" t="s">
        <v>451</v>
      </c>
      <c r="F736" s="20" t="s">
        <v>365</v>
      </c>
      <c r="G736" s="101" t="str">
        <f>VLOOKUP(F736,'01. TH'!$B:$E,3,0)</f>
        <v>3600 x 2700 x 1340</v>
      </c>
      <c r="H736" s="19" t="s">
        <v>1103</v>
      </c>
      <c r="I736" s="19" t="s">
        <v>4727</v>
      </c>
      <c r="J736" s="20"/>
      <c r="K736" s="19" t="s">
        <v>1839</v>
      </c>
      <c r="L736" s="20"/>
      <c r="M736" s="22" t="s">
        <v>3925</v>
      </c>
      <c r="N736" s="20" t="s">
        <v>3611</v>
      </c>
      <c r="O736" s="22" t="s">
        <v>5670</v>
      </c>
      <c r="P736" s="20" t="s">
        <v>3613</v>
      </c>
      <c r="Q736" s="19"/>
      <c r="R736" s="321"/>
      <c r="S736" s="22"/>
      <c r="T736" s="47"/>
      <c r="U736" s="20"/>
      <c r="V736" s="20"/>
    </row>
    <row r="737" ht="24.75" customHeight="1" spans="1:22">
      <c r="A737" s="19">
        <f t="shared" si="15"/>
        <v>138</v>
      </c>
      <c r="B737" s="20" t="s">
        <v>5671</v>
      </c>
      <c r="C737" s="20"/>
      <c r="D737" s="20" t="s">
        <v>5672</v>
      </c>
      <c r="E737" s="20" t="s">
        <v>451</v>
      </c>
      <c r="F737" s="20" t="s">
        <v>363</v>
      </c>
      <c r="G737" s="101" t="str">
        <f>VLOOKUP(F737,'01. TH'!$B:$E,3,0)</f>
        <v>3600 x 2700 x 1340</v>
      </c>
      <c r="H737" s="19" t="s">
        <v>1103</v>
      </c>
      <c r="I737" s="19" t="s">
        <v>4039</v>
      </c>
      <c r="J737" s="20"/>
      <c r="K737" s="19" t="s">
        <v>1839</v>
      </c>
      <c r="L737" s="20"/>
      <c r="M737" s="22" t="s">
        <v>3925</v>
      </c>
      <c r="N737" s="20" t="s">
        <v>3611</v>
      </c>
      <c r="O737" s="22" t="s">
        <v>4165</v>
      </c>
      <c r="P737" s="20" t="s">
        <v>3613</v>
      </c>
      <c r="Q737" s="19">
        <v>2025</v>
      </c>
      <c r="R737" s="22" t="s">
        <v>5673</v>
      </c>
      <c r="S737" s="22">
        <v>3</v>
      </c>
      <c r="T737" s="47"/>
      <c r="U737" s="20"/>
      <c r="V737" s="20"/>
    </row>
    <row r="738" ht="24.75" customHeight="1" spans="1:22">
      <c r="A738" s="19">
        <f t="shared" si="15"/>
        <v>139</v>
      </c>
      <c r="B738" s="20" t="s">
        <v>5674</v>
      </c>
      <c r="C738" s="20"/>
      <c r="D738" s="20" t="s">
        <v>5675</v>
      </c>
      <c r="E738" s="20" t="s">
        <v>451</v>
      </c>
      <c r="F738" s="20" t="s">
        <v>363</v>
      </c>
      <c r="G738" s="101" t="str">
        <f>VLOOKUP(F738,'01. TH'!$B:$E,3,0)</f>
        <v>3600 x 2700 x 1340</v>
      </c>
      <c r="H738" s="19" t="s">
        <v>1103</v>
      </c>
      <c r="I738" s="58">
        <v>45692</v>
      </c>
      <c r="J738" s="20"/>
      <c r="K738" s="19" t="s">
        <v>1839</v>
      </c>
      <c r="L738" s="20"/>
      <c r="M738" s="22" t="s">
        <v>3925</v>
      </c>
      <c r="N738" s="20" t="s">
        <v>3611</v>
      </c>
      <c r="O738" s="22" t="s">
        <v>5676</v>
      </c>
      <c r="P738" s="20" t="s">
        <v>3613</v>
      </c>
      <c r="Q738" s="19">
        <v>2025</v>
      </c>
      <c r="R738" s="22" t="s">
        <v>5673</v>
      </c>
      <c r="S738" s="22"/>
      <c r="T738" s="47"/>
      <c r="U738" s="20"/>
      <c r="V738" s="20"/>
    </row>
    <row r="739" ht="26.25" customHeight="1" spans="1:22">
      <c r="A739" s="19">
        <f t="shared" si="15"/>
        <v>140</v>
      </c>
      <c r="B739" s="20" t="s">
        <v>5677</v>
      </c>
      <c r="C739" s="20"/>
      <c r="D739" s="20" t="s">
        <v>4200</v>
      </c>
      <c r="E739" s="20" t="s">
        <v>451</v>
      </c>
      <c r="F739" s="20" t="s">
        <v>5678</v>
      </c>
      <c r="G739" s="101" t="e">
        <f>VLOOKUP(F739,'01. TH'!$B:$E,3,0)</f>
        <v>#N/A</v>
      </c>
      <c r="H739" s="19" t="s">
        <v>1103</v>
      </c>
      <c r="I739" s="19" t="s">
        <v>5679</v>
      </c>
      <c r="J739" s="20"/>
      <c r="K739" s="19" t="s">
        <v>1839</v>
      </c>
      <c r="L739" s="20"/>
      <c r="M739" s="22" t="s">
        <v>3925</v>
      </c>
      <c r="N739" s="20" t="s">
        <v>3611</v>
      </c>
      <c r="O739" s="22" t="s">
        <v>5680</v>
      </c>
      <c r="P739" s="20" t="s">
        <v>3613</v>
      </c>
      <c r="Q739" s="19">
        <v>2025</v>
      </c>
      <c r="R739" s="22" t="s">
        <v>5673</v>
      </c>
      <c r="S739" s="22"/>
      <c r="T739" s="47"/>
      <c r="U739" s="20"/>
      <c r="V739" s="20"/>
    </row>
    <row r="740" ht="26.25" customHeight="1" spans="1:22">
      <c r="A740" s="19">
        <f t="shared" si="15"/>
        <v>141</v>
      </c>
      <c r="B740" s="20" t="s">
        <v>5681</v>
      </c>
      <c r="C740" s="20"/>
      <c r="D740" s="20" t="s">
        <v>5682</v>
      </c>
      <c r="E740" s="20" t="s">
        <v>451</v>
      </c>
      <c r="F740" s="20" t="s">
        <v>5683</v>
      </c>
      <c r="G740" s="101"/>
      <c r="H740" s="19" t="s">
        <v>1103</v>
      </c>
      <c r="I740" s="19">
        <v>45997</v>
      </c>
      <c r="J740" s="20"/>
      <c r="K740" s="19" t="s">
        <v>1839</v>
      </c>
      <c r="L740" s="20" t="s">
        <v>5684</v>
      </c>
      <c r="M740" s="22" t="s">
        <v>5685</v>
      </c>
      <c r="N740" s="20" t="s">
        <v>5686</v>
      </c>
      <c r="O740" s="22" t="s">
        <v>5687</v>
      </c>
      <c r="P740" s="20">
        <v>2025</v>
      </c>
      <c r="Q740" s="19" t="s">
        <v>5688</v>
      </c>
      <c r="R740" s="22" t="s">
        <v>5689</v>
      </c>
      <c r="S740" s="22" t="s">
        <v>5690</v>
      </c>
      <c r="T740" s="47"/>
      <c r="U740" s="20"/>
      <c r="V740" s="20"/>
    </row>
    <row r="741" ht="20.25" customHeight="1" spans="1:22">
      <c r="A741" s="19">
        <f t="shared" si="15"/>
        <v>142</v>
      </c>
      <c r="B741" s="20" t="s">
        <v>5691</v>
      </c>
      <c r="C741" s="20" t="s">
        <v>5692</v>
      </c>
      <c r="D741" s="20" t="s">
        <v>5693</v>
      </c>
      <c r="E741" s="20" t="s">
        <v>451</v>
      </c>
      <c r="F741" s="20" t="s">
        <v>410</v>
      </c>
      <c r="G741" s="101">
        <f>VLOOKUP(F741,'01. TH'!$B:$E,3,0)</f>
        <v>0</v>
      </c>
      <c r="H741" s="19" t="s">
        <v>1103</v>
      </c>
      <c r="I741" s="58">
        <v>45719</v>
      </c>
      <c r="J741" s="20"/>
      <c r="K741" s="19" t="s">
        <v>1839</v>
      </c>
      <c r="L741" s="20" t="s">
        <v>5694</v>
      </c>
      <c r="M741" s="22"/>
      <c r="N741" s="20" t="s">
        <v>3611</v>
      </c>
      <c r="O741" s="22"/>
      <c r="P741" s="20" t="s">
        <v>3613</v>
      </c>
      <c r="Q741" s="19"/>
      <c r="R741" s="22"/>
      <c r="S741" s="22"/>
      <c r="T741" s="47"/>
      <c r="U741" s="20"/>
      <c r="V741" s="20"/>
    </row>
    <row r="742" ht="20.25" customHeight="1" spans="1:22">
      <c r="A742" s="19">
        <f t="shared" si="15"/>
        <v>143</v>
      </c>
      <c r="B742" s="20" t="s">
        <v>5695</v>
      </c>
      <c r="C742" s="20" t="s">
        <v>5696</v>
      </c>
      <c r="D742" s="20" t="s">
        <v>5697</v>
      </c>
      <c r="E742" s="20" t="s">
        <v>451</v>
      </c>
      <c r="F742" s="20" t="s">
        <v>410</v>
      </c>
      <c r="G742" s="101">
        <f>VLOOKUP(F742,'01. TH'!$B:$E,3,0)</f>
        <v>0</v>
      </c>
      <c r="H742" s="19" t="s">
        <v>1103</v>
      </c>
      <c r="I742" s="19" t="s">
        <v>4039</v>
      </c>
      <c r="J742" s="20"/>
      <c r="K742" s="19" t="s">
        <v>1839</v>
      </c>
      <c r="L742" s="20" t="s">
        <v>5698</v>
      </c>
      <c r="M742" s="22"/>
      <c r="N742" s="20" t="s">
        <v>3611</v>
      </c>
      <c r="O742" s="22"/>
      <c r="P742" s="20" t="s">
        <v>3613</v>
      </c>
      <c r="Q742" s="19"/>
      <c r="R742" s="22"/>
      <c r="S742" s="22"/>
      <c r="T742" s="47"/>
      <c r="U742" s="20"/>
      <c r="V742" s="20"/>
    </row>
    <row r="743" ht="27" customHeight="1" spans="1:22">
      <c r="A743" s="19">
        <f t="shared" si="15"/>
        <v>144</v>
      </c>
      <c r="B743" s="38" t="s">
        <v>5699</v>
      </c>
      <c r="C743" s="22"/>
      <c r="D743" s="20" t="s">
        <v>5700</v>
      </c>
      <c r="E743" s="20" t="s">
        <v>451</v>
      </c>
      <c r="F743" s="20" t="s">
        <v>352</v>
      </c>
      <c r="G743" s="101" t="str">
        <f>VLOOKUP(F743,'01. TH'!$B:$E,3,0)</f>
        <v>1400 x 900 x 1100</v>
      </c>
      <c r="H743" s="19" t="s">
        <v>1103</v>
      </c>
      <c r="I743" s="19" t="s">
        <v>5701</v>
      </c>
      <c r="J743" s="20"/>
      <c r="K743" s="19" t="s">
        <v>1839</v>
      </c>
      <c r="L743" s="20"/>
      <c r="M743" s="22" t="s">
        <v>3925</v>
      </c>
      <c r="N743" s="20" t="s">
        <v>3611</v>
      </c>
      <c r="O743" s="22" t="s">
        <v>5702</v>
      </c>
      <c r="P743" s="20" t="s">
        <v>3613</v>
      </c>
      <c r="Q743" s="19">
        <v>2025</v>
      </c>
      <c r="R743" s="321" t="s">
        <v>5703</v>
      </c>
      <c r="S743" s="22"/>
      <c r="T743" s="47"/>
      <c r="U743" s="20"/>
      <c r="V743" s="20"/>
    </row>
    <row r="744" ht="27" customHeight="1" spans="1:22">
      <c r="A744" s="19">
        <f t="shared" si="15"/>
        <v>145</v>
      </c>
      <c r="B744" s="38" t="s">
        <v>5704</v>
      </c>
      <c r="C744" s="22"/>
      <c r="D744" s="20" t="s">
        <v>5705</v>
      </c>
      <c r="E744" s="20" t="s">
        <v>3593</v>
      </c>
      <c r="F744" s="20" t="s">
        <v>369</v>
      </c>
      <c r="G744" s="101">
        <f>VLOOKUP(F744,'01. TH'!$B:$E,3,0)</f>
        <v>0</v>
      </c>
      <c r="H744" s="19" t="s">
        <v>1103</v>
      </c>
      <c r="I744" s="19" t="s">
        <v>5706</v>
      </c>
      <c r="J744" s="20"/>
      <c r="K744" s="19" t="s">
        <v>1839</v>
      </c>
      <c r="L744" s="20"/>
      <c r="M744" s="22" t="s">
        <v>653</v>
      </c>
      <c r="N744" s="22" t="s">
        <v>5707</v>
      </c>
      <c r="O744" s="22" t="s">
        <v>5708</v>
      </c>
      <c r="P744" s="20" t="s">
        <v>5660</v>
      </c>
      <c r="Q744" s="19">
        <v>2025</v>
      </c>
      <c r="R744" s="321" t="s">
        <v>5709</v>
      </c>
      <c r="S744" s="22"/>
      <c r="T744" s="47"/>
      <c r="U744" s="20"/>
      <c r="V744" s="20"/>
    </row>
    <row r="745" ht="27" customHeight="1" spans="1:22">
      <c r="A745" s="19">
        <f t="shared" si="15"/>
        <v>146</v>
      </c>
      <c r="B745" s="38" t="s">
        <v>5710</v>
      </c>
      <c r="C745" s="22"/>
      <c r="D745" s="20" t="s">
        <v>5711</v>
      </c>
      <c r="E745" s="20" t="s">
        <v>3593</v>
      </c>
      <c r="F745" s="20" t="s">
        <v>369</v>
      </c>
      <c r="G745" s="101">
        <f>VLOOKUP(F745,'01. TH'!$B:$E,3,0)</f>
        <v>0</v>
      </c>
      <c r="H745" s="19" t="s">
        <v>1103</v>
      </c>
      <c r="I745" s="19" t="s">
        <v>5706</v>
      </c>
      <c r="J745" s="20"/>
      <c r="K745" s="19" t="s">
        <v>1839</v>
      </c>
      <c r="L745" s="20"/>
      <c r="M745" s="22" t="s">
        <v>653</v>
      </c>
      <c r="N745" s="22" t="s">
        <v>5707</v>
      </c>
      <c r="O745" s="22" t="s">
        <v>5708</v>
      </c>
      <c r="P745" s="20" t="s">
        <v>5660</v>
      </c>
      <c r="Q745" s="19">
        <v>2025</v>
      </c>
      <c r="R745" s="321" t="s">
        <v>5709</v>
      </c>
      <c r="S745" s="22"/>
      <c r="T745" s="47"/>
      <c r="U745" s="20"/>
      <c r="V745" s="20"/>
    </row>
    <row r="746" ht="27" customHeight="1" spans="1:22">
      <c r="A746" s="19">
        <f t="shared" si="15"/>
        <v>147</v>
      </c>
      <c r="B746" s="38" t="s">
        <v>5712</v>
      </c>
      <c r="C746" s="22"/>
      <c r="D746" s="20" t="s">
        <v>5713</v>
      </c>
      <c r="E746" s="20" t="s">
        <v>3593</v>
      </c>
      <c r="F746" s="20" t="s">
        <v>359</v>
      </c>
      <c r="G746" s="101" t="str">
        <f>VLOOKUP(F746,'01. TH'!$B:$E,3,0)</f>
        <v>1485x2510x1255</v>
      </c>
      <c r="H746" s="19" t="s">
        <v>1103</v>
      </c>
      <c r="I746" s="19" t="s">
        <v>5714</v>
      </c>
      <c r="J746" s="20"/>
      <c r="K746" s="19" t="s">
        <v>1839</v>
      </c>
      <c r="L746" s="20"/>
      <c r="M746" s="22" t="s">
        <v>653</v>
      </c>
      <c r="N746" s="22" t="s">
        <v>5715</v>
      </c>
      <c r="O746" s="22" t="s">
        <v>5716</v>
      </c>
      <c r="P746" s="20" t="s">
        <v>5717</v>
      </c>
      <c r="Q746" s="19">
        <v>2025</v>
      </c>
      <c r="R746" s="321" t="s">
        <v>5718</v>
      </c>
      <c r="S746" s="22" t="s">
        <v>5719</v>
      </c>
      <c r="T746" s="47"/>
      <c r="U746" s="20"/>
      <c r="V746" s="20"/>
    </row>
    <row r="747" ht="27" customHeight="1" spans="1:22">
      <c r="A747" s="19">
        <f t="shared" si="15"/>
        <v>148</v>
      </c>
      <c r="B747" s="38" t="s">
        <v>5720</v>
      </c>
      <c r="C747" s="22"/>
      <c r="D747" s="20" t="s">
        <v>5721</v>
      </c>
      <c r="E747" s="20" t="s">
        <v>451</v>
      </c>
      <c r="F747" s="20" t="s">
        <v>359</v>
      </c>
      <c r="G747" s="101"/>
      <c r="H747" s="19" t="s">
        <v>1103</v>
      </c>
      <c r="I747" s="19" t="s">
        <v>1262</v>
      </c>
      <c r="J747" s="20"/>
      <c r="K747" s="19" t="s">
        <v>1839</v>
      </c>
      <c r="L747" s="20"/>
      <c r="M747" s="22" t="s">
        <v>5722</v>
      </c>
      <c r="N747" s="19" t="s">
        <v>5715</v>
      </c>
      <c r="O747" s="19" t="s">
        <v>5716</v>
      </c>
      <c r="P747" s="19" t="s">
        <v>5723</v>
      </c>
      <c r="Q747" s="19">
        <v>2025</v>
      </c>
      <c r="R747" s="321" t="s">
        <v>5724</v>
      </c>
      <c r="S747" s="22" t="s">
        <v>5725</v>
      </c>
      <c r="T747" s="47"/>
      <c r="U747" s="20"/>
      <c r="V747" s="20"/>
    </row>
    <row r="748" ht="27" customHeight="1" spans="1:22">
      <c r="A748" s="19">
        <f t="shared" si="15"/>
        <v>149</v>
      </c>
      <c r="B748" s="38" t="s">
        <v>5726</v>
      </c>
      <c r="C748" s="22"/>
      <c r="D748" s="20" t="s">
        <v>5727</v>
      </c>
      <c r="E748" s="20" t="s">
        <v>3593</v>
      </c>
      <c r="F748" s="20" t="s">
        <v>370</v>
      </c>
      <c r="G748" s="101">
        <f>VLOOKUP(F748,'01. TH'!$B:$E,3,0)</f>
        <v>0</v>
      </c>
      <c r="H748" s="19" t="s">
        <v>1103</v>
      </c>
      <c r="I748" s="19" t="s">
        <v>4981</v>
      </c>
      <c r="J748" s="20"/>
      <c r="K748" s="19" t="s">
        <v>1839</v>
      </c>
      <c r="L748" s="20"/>
      <c r="M748" s="22" t="s">
        <v>653</v>
      </c>
      <c r="N748" s="19" t="s">
        <v>4168</v>
      </c>
      <c r="O748" s="22"/>
      <c r="P748" s="19" t="s">
        <v>4046</v>
      </c>
      <c r="Q748" s="19">
        <v>2025</v>
      </c>
      <c r="R748" s="321"/>
      <c r="S748" s="22"/>
      <c r="T748" s="47"/>
      <c r="U748" s="20"/>
      <c r="V748" s="20"/>
    </row>
    <row r="749" ht="27" customHeight="1" spans="1:22">
      <c r="A749" s="19">
        <f t="shared" si="15"/>
        <v>150</v>
      </c>
      <c r="B749" s="38" t="s">
        <v>5728</v>
      </c>
      <c r="C749" s="22"/>
      <c r="D749" s="20" t="s">
        <v>5729</v>
      </c>
      <c r="E749" s="20" t="s">
        <v>3593</v>
      </c>
      <c r="F749" s="20" t="s">
        <v>370</v>
      </c>
      <c r="G749" s="101">
        <f>VLOOKUP(F749,'01. TH'!$B:$E,3,0)</f>
        <v>0</v>
      </c>
      <c r="H749" s="19" t="s">
        <v>1103</v>
      </c>
      <c r="I749" s="19" t="s">
        <v>4981</v>
      </c>
      <c r="J749" s="20"/>
      <c r="K749" s="19" t="s">
        <v>1839</v>
      </c>
      <c r="L749" s="20"/>
      <c r="M749" s="22" t="s">
        <v>653</v>
      </c>
      <c r="N749" s="19" t="s">
        <v>4168</v>
      </c>
      <c r="O749" s="22"/>
      <c r="P749" s="19" t="s">
        <v>4046</v>
      </c>
      <c r="Q749" s="19">
        <v>2025</v>
      </c>
      <c r="R749" s="321"/>
      <c r="S749" s="22"/>
      <c r="T749" s="47"/>
      <c r="U749" s="20"/>
      <c r="V749" s="20"/>
    </row>
    <row r="750" ht="27" customHeight="1" spans="1:22">
      <c r="A750" s="19">
        <f t="shared" si="15"/>
        <v>151</v>
      </c>
      <c r="B750" s="38" t="s">
        <v>5730</v>
      </c>
      <c r="C750" s="22"/>
      <c r="D750" s="20" t="s">
        <v>5731</v>
      </c>
      <c r="E750" s="20" t="s">
        <v>451</v>
      </c>
      <c r="F750" s="20" t="s">
        <v>367</v>
      </c>
      <c r="G750" s="101">
        <f>VLOOKUP(F750,'01. TH'!$B:$E,3,0)</f>
        <v>0</v>
      </c>
      <c r="H750" s="19" t="s">
        <v>1103</v>
      </c>
      <c r="I750" s="19" t="s">
        <v>5732</v>
      </c>
      <c r="J750" s="20"/>
      <c r="K750" s="19" t="s">
        <v>1839</v>
      </c>
      <c r="L750" s="20"/>
      <c r="M750" s="22" t="s">
        <v>3925</v>
      </c>
      <c r="N750" s="20" t="s">
        <v>3611</v>
      </c>
      <c r="O750" s="22"/>
      <c r="P750" s="20" t="s">
        <v>3613</v>
      </c>
      <c r="Q750" s="19">
        <v>2025</v>
      </c>
      <c r="R750" s="321"/>
      <c r="S750" s="22"/>
      <c r="T750" s="47"/>
      <c r="U750" s="20"/>
      <c r="V750" s="20"/>
    </row>
    <row r="751" ht="27" customHeight="1" spans="1:22">
      <c r="A751" s="19">
        <f t="shared" si="15"/>
        <v>152</v>
      </c>
      <c r="B751" s="38" t="s">
        <v>5733</v>
      </c>
      <c r="C751" s="22"/>
      <c r="D751" s="20" t="s">
        <v>5734</v>
      </c>
      <c r="E751" s="20" t="s">
        <v>451</v>
      </c>
      <c r="F751" s="20" t="s">
        <v>346</v>
      </c>
      <c r="G751" s="101" t="str">
        <f>VLOOKUP(F751,'01. TH'!$B:$E,3,0)</f>
        <v>1195 x 4200 x 1148</v>
      </c>
      <c r="H751" s="19" t="s">
        <v>1103</v>
      </c>
      <c r="I751" s="773">
        <v>46002</v>
      </c>
      <c r="J751" s="20"/>
      <c r="K751" s="19" t="s">
        <v>1839</v>
      </c>
      <c r="L751" s="20"/>
      <c r="M751" s="22" t="s">
        <v>3925</v>
      </c>
      <c r="N751" s="20" t="s">
        <v>3611</v>
      </c>
      <c r="O751" s="22" t="s">
        <v>5735</v>
      </c>
      <c r="P751" s="20" t="s">
        <v>3613</v>
      </c>
      <c r="Q751" s="19">
        <v>2025</v>
      </c>
      <c r="R751" s="321" t="s">
        <v>5736</v>
      </c>
      <c r="S751" s="22" t="s">
        <v>5737</v>
      </c>
      <c r="T751" s="47"/>
      <c r="U751" s="20"/>
      <c r="V751" s="20"/>
    </row>
    <row r="752" ht="27" customHeight="1" spans="1:22">
      <c r="A752" s="19">
        <f t="shared" si="15"/>
        <v>153</v>
      </c>
      <c r="B752" s="38" t="s">
        <v>5738</v>
      </c>
      <c r="C752" s="22"/>
      <c r="D752" s="25" t="s">
        <v>5739</v>
      </c>
      <c r="E752" s="20" t="s">
        <v>451</v>
      </c>
      <c r="F752" s="20" t="s">
        <v>346</v>
      </c>
      <c r="G752" s="101"/>
      <c r="H752" s="19" t="s">
        <v>1103</v>
      </c>
      <c r="I752" s="58">
        <v>46027</v>
      </c>
      <c r="J752" s="20"/>
      <c r="K752" s="19" t="s">
        <v>1839</v>
      </c>
      <c r="L752" s="20" t="s">
        <v>5740</v>
      </c>
      <c r="M752" s="22" t="s">
        <v>5722</v>
      </c>
      <c r="N752" s="19" t="s">
        <v>3611</v>
      </c>
      <c r="O752" s="23" t="s">
        <v>5741</v>
      </c>
      <c r="P752" s="23">
        <v>2025</v>
      </c>
      <c r="Q752" s="23" t="s">
        <v>5742</v>
      </c>
      <c r="R752" s="23" t="s">
        <v>5261</v>
      </c>
      <c r="S752" s="322"/>
      <c r="T752" s="808"/>
      <c r="U752" s="20"/>
      <c r="V752" s="20"/>
    </row>
    <row r="753" ht="27" customHeight="1" spans="1:22">
      <c r="A753" s="19">
        <f t="shared" si="15"/>
        <v>154</v>
      </c>
      <c r="B753" s="38" t="s">
        <v>5743</v>
      </c>
      <c r="C753" s="22"/>
      <c r="D753" s="25" t="s">
        <v>5744</v>
      </c>
      <c r="E753" s="20" t="s">
        <v>451</v>
      </c>
      <c r="F753" s="20" t="s">
        <v>5745</v>
      </c>
      <c r="G753" s="101"/>
      <c r="H753" s="19" t="s">
        <v>1103</v>
      </c>
      <c r="I753" s="58">
        <v>46027</v>
      </c>
      <c r="J753" s="20"/>
      <c r="K753" s="19" t="s">
        <v>1839</v>
      </c>
      <c r="L753" s="20" t="s">
        <v>5740</v>
      </c>
      <c r="M753" s="22" t="s">
        <v>5722</v>
      </c>
      <c r="N753" s="19" t="s">
        <v>3611</v>
      </c>
      <c r="O753" s="23" t="s">
        <v>5741</v>
      </c>
      <c r="P753" s="23">
        <v>2025</v>
      </c>
      <c r="Q753" s="23" t="s">
        <v>5746</v>
      </c>
      <c r="R753" s="23" t="s">
        <v>5261</v>
      </c>
      <c r="S753" s="322"/>
      <c r="T753" s="808"/>
      <c r="U753" s="20"/>
      <c r="V753" s="20"/>
    </row>
    <row r="754" ht="27" customHeight="1" spans="1:22">
      <c r="A754" s="19">
        <f t="shared" si="15"/>
        <v>155</v>
      </c>
      <c r="B754" s="38" t="s">
        <v>5747</v>
      </c>
      <c r="C754" s="22"/>
      <c r="D754" s="25" t="s">
        <v>5748</v>
      </c>
      <c r="E754" s="20" t="s">
        <v>451</v>
      </c>
      <c r="F754" s="20" t="s">
        <v>5745</v>
      </c>
      <c r="G754" s="101"/>
      <c r="H754" s="19" t="s">
        <v>1103</v>
      </c>
      <c r="I754" s="58">
        <v>46028</v>
      </c>
      <c r="J754" s="20"/>
      <c r="K754" s="19" t="s">
        <v>1839</v>
      </c>
      <c r="L754" s="1102" t="s">
        <v>5749</v>
      </c>
      <c r="M754" s="22" t="s">
        <v>3925</v>
      </c>
      <c r="N754" s="19" t="s">
        <v>3611</v>
      </c>
      <c r="O754" s="23" t="s">
        <v>5750</v>
      </c>
      <c r="P754" s="23">
        <v>2026</v>
      </c>
      <c r="Q754" s="23" t="s">
        <v>5751</v>
      </c>
      <c r="R754" s="23" t="s">
        <v>5198</v>
      </c>
      <c r="S754" s="322"/>
      <c r="T754" s="808"/>
      <c r="U754" s="20"/>
      <c r="V754" s="20"/>
    </row>
    <row r="755" ht="27" customHeight="1" spans="1:22">
      <c r="A755" s="19">
        <f t="shared" si="15"/>
        <v>156</v>
      </c>
      <c r="B755" s="38" t="s">
        <v>5752</v>
      </c>
      <c r="C755" s="22"/>
      <c r="D755" s="25" t="s">
        <v>5753</v>
      </c>
      <c r="E755" s="20" t="s">
        <v>451</v>
      </c>
      <c r="F755" s="20" t="s">
        <v>5745</v>
      </c>
      <c r="G755" s="101"/>
      <c r="H755" s="19" t="s">
        <v>1103</v>
      </c>
      <c r="I755" s="58">
        <v>46029</v>
      </c>
      <c r="J755" s="20"/>
      <c r="K755" s="19" t="s">
        <v>1839</v>
      </c>
      <c r="L755" s="1102" t="s">
        <v>5749</v>
      </c>
      <c r="M755" s="22" t="s">
        <v>3925</v>
      </c>
      <c r="N755" s="19" t="s">
        <v>3611</v>
      </c>
      <c r="O755" s="23" t="s">
        <v>5750</v>
      </c>
      <c r="P755" s="23">
        <v>2026</v>
      </c>
      <c r="Q755" s="23" t="s">
        <v>5751</v>
      </c>
      <c r="R755" s="23" t="s">
        <v>5198</v>
      </c>
      <c r="S755" s="322"/>
      <c r="T755" s="808"/>
      <c r="U755" s="20"/>
      <c r="V755" s="20"/>
    </row>
    <row r="756" ht="27" customHeight="1" spans="1:22">
      <c r="A756" s="19">
        <f t="shared" si="15"/>
        <v>157</v>
      </c>
      <c r="B756" s="38" t="s">
        <v>5754</v>
      </c>
      <c r="C756" s="22"/>
      <c r="D756" s="25" t="s">
        <v>5755</v>
      </c>
      <c r="E756" s="20" t="s">
        <v>451</v>
      </c>
      <c r="F756" s="20" t="s">
        <v>5745</v>
      </c>
      <c r="G756" s="101"/>
      <c r="H756" s="19" t="s">
        <v>1103</v>
      </c>
      <c r="I756" s="58">
        <v>46030</v>
      </c>
      <c r="J756" s="20"/>
      <c r="K756" s="19" t="s">
        <v>1839</v>
      </c>
      <c r="L756" s="1102" t="s">
        <v>5756</v>
      </c>
      <c r="M756" s="22" t="s">
        <v>3925</v>
      </c>
      <c r="N756" s="19" t="s">
        <v>3611</v>
      </c>
      <c r="O756" s="23" t="s">
        <v>5750</v>
      </c>
      <c r="P756" s="23">
        <v>2026</v>
      </c>
      <c r="Q756" s="23" t="s">
        <v>5751</v>
      </c>
      <c r="R756" s="23" t="s">
        <v>5198</v>
      </c>
      <c r="S756" s="322"/>
      <c r="T756" s="808"/>
      <c r="U756" s="20"/>
      <c r="V756" s="20"/>
    </row>
    <row r="757" ht="27" customHeight="1" spans="1:22">
      <c r="A757" s="19">
        <f t="shared" si="15"/>
        <v>158</v>
      </c>
      <c r="B757" s="38" t="s">
        <v>5757</v>
      </c>
      <c r="C757" s="22"/>
      <c r="D757" s="25" t="s">
        <v>5758</v>
      </c>
      <c r="E757" s="20" t="s">
        <v>451</v>
      </c>
      <c r="F757" s="20" t="s">
        <v>5745</v>
      </c>
      <c r="G757" s="101"/>
      <c r="H757" s="19" t="s">
        <v>1103</v>
      </c>
      <c r="I757" s="58">
        <v>46031</v>
      </c>
      <c r="J757" s="20"/>
      <c r="K757" s="19" t="s">
        <v>1839</v>
      </c>
      <c r="L757" s="1102" t="s">
        <v>5756</v>
      </c>
      <c r="M757" s="22" t="s">
        <v>3925</v>
      </c>
      <c r="N757" s="19" t="s">
        <v>3611</v>
      </c>
      <c r="O757" s="23" t="s">
        <v>5750</v>
      </c>
      <c r="P757" s="23">
        <v>2026</v>
      </c>
      <c r="Q757" s="23" t="s">
        <v>5751</v>
      </c>
      <c r="R757" s="23" t="s">
        <v>5198</v>
      </c>
      <c r="S757" s="322"/>
      <c r="T757" s="808"/>
      <c r="U757" s="20"/>
      <c r="V757" s="20"/>
    </row>
    <row r="758" ht="27" customHeight="1" spans="1:22">
      <c r="A758" s="19">
        <f t="shared" si="15"/>
        <v>159</v>
      </c>
      <c r="B758" s="38" t="s">
        <v>5759</v>
      </c>
      <c r="C758" s="22"/>
      <c r="D758" s="25" t="s">
        <v>5760</v>
      </c>
      <c r="E758" s="20" t="s">
        <v>451</v>
      </c>
      <c r="F758" s="20" t="s">
        <v>5761</v>
      </c>
      <c r="G758" s="101"/>
      <c r="H758" s="19" t="s">
        <v>1103</v>
      </c>
      <c r="I758" s="19" t="s">
        <v>5762</v>
      </c>
      <c r="J758" s="20"/>
      <c r="K758" s="19" t="s">
        <v>1839</v>
      </c>
      <c r="L758" s="1102" t="s">
        <v>5756</v>
      </c>
      <c r="M758" s="22" t="s">
        <v>3925</v>
      </c>
      <c r="N758" s="19" t="s">
        <v>3611</v>
      </c>
      <c r="O758" s="23" t="s">
        <v>5750</v>
      </c>
      <c r="P758" s="23">
        <v>2026</v>
      </c>
      <c r="Q758" s="403" t="s">
        <v>5763</v>
      </c>
      <c r="R758" s="23" t="s">
        <v>5198</v>
      </c>
      <c r="S758" s="322"/>
      <c r="T758" s="808"/>
      <c r="U758" s="20"/>
      <c r="V758" s="20"/>
    </row>
    <row r="759" ht="27" customHeight="1" spans="1:22">
      <c r="A759" s="19">
        <f t="shared" si="15"/>
        <v>160</v>
      </c>
      <c r="B759" s="38" t="s">
        <v>5764</v>
      </c>
      <c r="C759" s="22"/>
      <c r="D759" s="25" t="s">
        <v>5765</v>
      </c>
      <c r="E759" s="20" t="s">
        <v>451</v>
      </c>
      <c r="F759" s="20" t="s">
        <v>5761</v>
      </c>
      <c r="G759" s="101"/>
      <c r="H759" s="19" t="s">
        <v>1103</v>
      </c>
      <c r="I759" s="19" t="s">
        <v>5762</v>
      </c>
      <c r="J759" s="20"/>
      <c r="K759" s="19" t="s">
        <v>1839</v>
      </c>
      <c r="L759" s="1102" t="s">
        <v>5756</v>
      </c>
      <c r="M759" s="22" t="s">
        <v>3925</v>
      </c>
      <c r="N759" s="19" t="s">
        <v>3611</v>
      </c>
      <c r="O759" s="23" t="s">
        <v>5750</v>
      </c>
      <c r="P759" s="23">
        <v>2026</v>
      </c>
      <c r="Q759" s="403" t="s">
        <v>5763</v>
      </c>
      <c r="R759" s="23" t="s">
        <v>5198</v>
      </c>
      <c r="S759" s="322"/>
      <c r="T759" s="808"/>
      <c r="U759" s="20"/>
      <c r="V759" s="20"/>
    </row>
    <row r="760" ht="27" customHeight="1" spans="1:22">
      <c r="A760" s="19">
        <f t="shared" si="15"/>
        <v>161</v>
      </c>
      <c r="B760" s="38" t="s">
        <v>5766</v>
      </c>
      <c r="C760" s="21"/>
      <c r="D760" s="24" t="s">
        <v>5767</v>
      </c>
      <c r="E760" s="20" t="s">
        <v>3593</v>
      </c>
      <c r="F760" s="24" t="s">
        <v>5768</v>
      </c>
      <c r="G760" s="101"/>
      <c r="H760" s="19" t="s">
        <v>1103</v>
      </c>
      <c r="I760" s="58">
        <v>46239</v>
      </c>
      <c r="J760" s="20"/>
      <c r="K760" s="19" t="s">
        <v>1839</v>
      </c>
      <c r="L760" s="20"/>
      <c r="M760" s="22" t="s">
        <v>653</v>
      </c>
      <c r="N760" s="354"/>
      <c r="O760" s="23" t="s">
        <v>3231</v>
      </c>
      <c r="P760" s="23">
        <v>2026</v>
      </c>
      <c r="Q760" s="23" t="s">
        <v>5769</v>
      </c>
      <c r="R760" s="23" t="s">
        <v>5770</v>
      </c>
      <c r="S760" s="23" t="s">
        <v>5771</v>
      </c>
      <c r="T760" s="47"/>
      <c r="U760" s="20"/>
      <c r="V760" s="20"/>
    </row>
    <row r="761" ht="27" customHeight="1" spans="1:22">
      <c r="A761" s="19"/>
      <c r="B761" s="21"/>
      <c r="C761" s="21"/>
      <c r="D761" s="21"/>
      <c r="E761" s="21"/>
      <c r="F761" s="21"/>
      <c r="G761" s="101"/>
      <c r="H761" s="19"/>
      <c r="I761" s="19"/>
      <c r="J761" s="20"/>
      <c r="K761" s="19"/>
      <c r="L761" s="20"/>
      <c r="M761" s="22"/>
      <c r="N761" s="19"/>
      <c r="O761" s="22"/>
      <c r="P761" s="19"/>
      <c r="Q761" s="23"/>
      <c r="R761" s="321"/>
      <c r="S761" s="22"/>
      <c r="T761" s="47"/>
      <c r="U761" s="20"/>
      <c r="V761" s="20"/>
    </row>
    <row r="762" ht="13.8" spans="1:22">
      <c r="A762" s="9" t="s">
        <v>5772</v>
      </c>
      <c r="B762" s="10" t="s">
        <v>5773</v>
      </c>
      <c r="C762" s="9">
        <f>COUNTA(B763:B781)</f>
        <v>18</v>
      </c>
      <c r="D762" s="59"/>
      <c r="E762" s="59"/>
      <c r="F762" s="59"/>
      <c r="G762" s="9"/>
      <c r="H762" s="59"/>
      <c r="I762" s="803"/>
      <c r="J762" s="59"/>
      <c r="K762" s="803"/>
      <c r="L762" s="59"/>
      <c r="M762" s="804"/>
      <c r="N762" s="59"/>
      <c r="O762" s="804"/>
      <c r="P762" s="59"/>
      <c r="Q762" s="803"/>
      <c r="R762" s="804"/>
      <c r="S762" s="804"/>
      <c r="T762" s="805"/>
      <c r="U762" s="59"/>
      <c r="V762" s="59"/>
    </row>
    <row r="763" customHeight="1" spans="1:22">
      <c r="A763" s="19">
        <v>1</v>
      </c>
      <c r="B763" s="20" t="s">
        <v>5774</v>
      </c>
      <c r="C763" s="20" t="s">
        <v>5775</v>
      </c>
      <c r="D763" s="20"/>
      <c r="E763" s="20" t="s">
        <v>2516</v>
      </c>
      <c r="F763" s="20" t="s">
        <v>412</v>
      </c>
      <c r="G763" s="101">
        <f>VLOOKUP(F763,'01. TH'!$B:$E,3,0)</f>
        <v>0</v>
      </c>
      <c r="H763" s="19" t="s">
        <v>31</v>
      </c>
      <c r="I763" s="19"/>
      <c r="J763" s="20"/>
      <c r="K763" s="19" t="s">
        <v>1839</v>
      </c>
      <c r="L763" s="20"/>
      <c r="M763" s="22"/>
      <c r="N763" s="20" t="s">
        <v>3144</v>
      </c>
      <c r="O763" s="22" t="s">
        <v>5776</v>
      </c>
      <c r="P763" s="20" t="s">
        <v>3144</v>
      </c>
      <c r="Q763" s="19"/>
      <c r="R763" s="612"/>
      <c r="S763" s="22" t="s">
        <v>5777</v>
      </c>
      <c r="T763" s="47"/>
      <c r="U763" s="20"/>
      <c r="V763" s="20"/>
    </row>
    <row r="764" customHeight="1" spans="1:22">
      <c r="A764" s="19">
        <f t="shared" ref="A764:A778" si="16">A763+1</f>
        <v>2</v>
      </c>
      <c r="B764" s="20" t="s">
        <v>5778</v>
      </c>
      <c r="C764" s="20" t="s">
        <v>5779</v>
      </c>
      <c r="D764" s="20"/>
      <c r="E764" s="20" t="s">
        <v>2516</v>
      </c>
      <c r="F764" s="20" t="s">
        <v>412</v>
      </c>
      <c r="G764" s="101">
        <f>VLOOKUP(F764,'01. TH'!$B:$E,3,0)</f>
        <v>0</v>
      </c>
      <c r="H764" s="19" t="s">
        <v>31</v>
      </c>
      <c r="I764" s="19"/>
      <c r="J764" s="20"/>
      <c r="K764" s="19" t="s">
        <v>1839</v>
      </c>
      <c r="L764" s="20"/>
      <c r="M764" s="22"/>
      <c r="N764" s="20" t="s">
        <v>3144</v>
      </c>
      <c r="O764" s="22" t="s">
        <v>5776</v>
      </c>
      <c r="P764" s="20" t="s">
        <v>3144</v>
      </c>
      <c r="Q764" s="19"/>
      <c r="R764" s="612"/>
      <c r="S764" s="22" t="s">
        <v>5780</v>
      </c>
      <c r="T764" s="47"/>
      <c r="U764" s="20"/>
      <c r="V764" s="20"/>
    </row>
    <row r="765" customHeight="1" spans="1:22">
      <c r="A765" s="19">
        <f t="shared" si="16"/>
        <v>3</v>
      </c>
      <c r="B765" s="20" t="s">
        <v>5781</v>
      </c>
      <c r="C765" s="20" t="s">
        <v>5782</v>
      </c>
      <c r="D765" s="20"/>
      <c r="E765" s="20" t="s">
        <v>2516</v>
      </c>
      <c r="F765" s="20" t="s">
        <v>412</v>
      </c>
      <c r="G765" s="101">
        <f>VLOOKUP(F765,'01. TH'!$B:$E,3,0)</f>
        <v>0</v>
      </c>
      <c r="H765" s="19" t="s">
        <v>31</v>
      </c>
      <c r="I765" s="19"/>
      <c r="J765" s="20"/>
      <c r="K765" s="19" t="s">
        <v>1839</v>
      </c>
      <c r="L765" s="20"/>
      <c r="M765" s="22"/>
      <c r="N765" s="20" t="s">
        <v>3144</v>
      </c>
      <c r="O765" s="22" t="s">
        <v>5776</v>
      </c>
      <c r="P765" s="20" t="s">
        <v>3144</v>
      </c>
      <c r="Q765" s="19"/>
      <c r="R765" s="612"/>
      <c r="S765" s="22" t="s">
        <v>5783</v>
      </c>
      <c r="T765" s="47"/>
      <c r="U765" s="20"/>
      <c r="V765" s="20"/>
    </row>
    <row r="766" customHeight="1" spans="1:22">
      <c r="A766" s="19">
        <f t="shared" si="16"/>
        <v>4</v>
      </c>
      <c r="B766" s="20" t="s">
        <v>5784</v>
      </c>
      <c r="C766" s="20" t="s">
        <v>5785</v>
      </c>
      <c r="D766" s="20"/>
      <c r="E766" s="20" t="s">
        <v>2516</v>
      </c>
      <c r="F766" s="20" t="s">
        <v>412</v>
      </c>
      <c r="G766" s="101">
        <f>VLOOKUP(F766,'01. TH'!$B:$E,3,0)</f>
        <v>0</v>
      </c>
      <c r="H766" s="19" t="s">
        <v>31</v>
      </c>
      <c r="I766" s="19"/>
      <c r="J766" s="20"/>
      <c r="K766" s="19" t="s">
        <v>1839</v>
      </c>
      <c r="L766" s="20"/>
      <c r="M766" s="22"/>
      <c r="N766" s="20" t="s">
        <v>3144</v>
      </c>
      <c r="O766" s="22" t="s">
        <v>5776</v>
      </c>
      <c r="P766" s="20" t="s">
        <v>3144</v>
      </c>
      <c r="Q766" s="218"/>
      <c r="R766" s="612"/>
      <c r="S766" s="22" t="s">
        <v>5786</v>
      </c>
      <c r="T766" s="47"/>
      <c r="U766" s="20"/>
      <c r="V766" s="20"/>
    </row>
    <row r="767" customHeight="1" spans="1:22">
      <c r="A767" s="19">
        <f t="shared" si="16"/>
        <v>5</v>
      </c>
      <c r="B767" s="20" t="s">
        <v>5787</v>
      </c>
      <c r="C767" s="20" t="s">
        <v>5788</v>
      </c>
      <c r="D767" s="20"/>
      <c r="E767" s="20" t="s">
        <v>2516</v>
      </c>
      <c r="F767" s="20" t="s">
        <v>412</v>
      </c>
      <c r="G767" s="101">
        <f>VLOOKUP(F767,'01. TH'!$B:$E,3,0)</f>
        <v>0</v>
      </c>
      <c r="H767" s="19" t="s">
        <v>31</v>
      </c>
      <c r="I767" s="19"/>
      <c r="J767" s="20"/>
      <c r="K767" s="19" t="s">
        <v>1839</v>
      </c>
      <c r="L767" s="20"/>
      <c r="M767" s="22"/>
      <c r="N767" s="20" t="s">
        <v>3144</v>
      </c>
      <c r="O767" s="22" t="s">
        <v>5776</v>
      </c>
      <c r="P767" s="20" t="s">
        <v>3144</v>
      </c>
      <c r="Q767" s="218"/>
      <c r="R767" s="612"/>
      <c r="S767" s="22" t="s">
        <v>5789</v>
      </c>
      <c r="T767" s="47"/>
      <c r="U767" s="20"/>
      <c r="V767" s="20"/>
    </row>
    <row r="768" customHeight="1" spans="1:22">
      <c r="A768" s="19">
        <f t="shared" si="16"/>
        <v>6</v>
      </c>
      <c r="B768" s="20" t="s">
        <v>5790</v>
      </c>
      <c r="C768" s="20" t="s">
        <v>5791</v>
      </c>
      <c r="D768" s="20"/>
      <c r="E768" s="20" t="s">
        <v>2516</v>
      </c>
      <c r="F768" s="20" t="s">
        <v>412</v>
      </c>
      <c r="G768" s="101">
        <f>VLOOKUP(F768,'01. TH'!$B:$E,3,0)</f>
        <v>0</v>
      </c>
      <c r="H768" s="19" t="s">
        <v>31</v>
      </c>
      <c r="I768" s="19"/>
      <c r="J768" s="20"/>
      <c r="K768" s="19" t="s">
        <v>1839</v>
      </c>
      <c r="L768" s="20"/>
      <c r="M768" s="22"/>
      <c r="N768" s="20" t="s">
        <v>3144</v>
      </c>
      <c r="O768" s="22" t="s">
        <v>5776</v>
      </c>
      <c r="P768" s="20" t="s">
        <v>3144</v>
      </c>
      <c r="Q768" s="19"/>
      <c r="R768" s="612"/>
      <c r="S768" s="22" t="s">
        <v>5792</v>
      </c>
      <c r="T768" s="47"/>
      <c r="U768" s="20"/>
      <c r="V768" s="20"/>
    </row>
    <row r="769" customHeight="1" spans="1:22">
      <c r="A769" s="19">
        <f t="shared" si="16"/>
        <v>7</v>
      </c>
      <c r="B769" s="20" t="s">
        <v>5793</v>
      </c>
      <c r="C769" s="20" t="s">
        <v>5794</v>
      </c>
      <c r="D769" s="20"/>
      <c r="E769" s="20" t="s">
        <v>2516</v>
      </c>
      <c r="F769" s="20" t="s">
        <v>412</v>
      </c>
      <c r="G769" s="101">
        <f>VLOOKUP(F769,'01. TH'!$B:$E,3,0)</f>
        <v>0</v>
      </c>
      <c r="H769" s="19" t="s">
        <v>31</v>
      </c>
      <c r="I769" s="19"/>
      <c r="J769" s="20"/>
      <c r="K769" s="19" t="s">
        <v>1839</v>
      </c>
      <c r="L769" s="20"/>
      <c r="M769" s="22"/>
      <c r="N769" s="20" t="s">
        <v>3144</v>
      </c>
      <c r="O769" s="22" t="s">
        <v>5776</v>
      </c>
      <c r="P769" s="20" t="s">
        <v>3144</v>
      </c>
      <c r="Q769" s="19"/>
      <c r="R769" s="612"/>
      <c r="S769" s="22" t="s">
        <v>5795</v>
      </c>
      <c r="T769" s="47"/>
      <c r="U769" s="20"/>
      <c r="V769" s="20"/>
    </row>
    <row r="770" customHeight="1" spans="1:22">
      <c r="A770" s="19">
        <f t="shared" si="16"/>
        <v>8</v>
      </c>
      <c r="B770" s="20" t="s">
        <v>5796</v>
      </c>
      <c r="C770" s="20" t="s">
        <v>5797</v>
      </c>
      <c r="D770" s="20"/>
      <c r="E770" s="20" t="s">
        <v>2516</v>
      </c>
      <c r="F770" s="20" t="s">
        <v>417</v>
      </c>
      <c r="G770" s="101">
        <f>VLOOKUP(F770,'01. TH'!$B:$E,3,0)</f>
        <v>0</v>
      </c>
      <c r="H770" s="19" t="s">
        <v>31</v>
      </c>
      <c r="I770" s="19"/>
      <c r="J770" s="20"/>
      <c r="K770" s="19" t="s">
        <v>1839</v>
      </c>
      <c r="L770" s="20"/>
      <c r="M770" s="22"/>
      <c r="N770" s="20" t="s">
        <v>3144</v>
      </c>
      <c r="O770" s="22" t="s">
        <v>5798</v>
      </c>
      <c r="P770" s="20" t="s">
        <v>3144</v>
      </c>
      <c r="Q770" s="19"/>
      <c r="R770" s="612"/>
      <c r="S770" s="22" t="s">
        <v>5799</v>
      </c>
      <c r="T770" s="47"/>
      <c r="U770" s="20"/>
      <c r="V770" s="20"/>
    </row>
    <row r="771" customHeight="1" spans="1:22">
      <c r="A771" s="19">
        <f t="shared" si="16"/>
        <v>9</v>
      </c>
      <c r="B771" s="20" t="s">
        <v>5800</v>
      </c>
      <c r="C771" s="20" t="s">
        <v>5801</v>
      </c>
      <c r="D771" s="20"/>
      <c r="E771" s="20" t="s">
        <v>2516</v>
      </c>
      <c r="F771" s="20" t="s">
        <v>417</v>
      </c>
      <c r="G771" s="101">
        <f>VLOOKUP(F771,'01. TH'!$B:$E,3,0)</f>
        <v>0</v>
      </c>
      <c r="H771" s="19" t="s">
        <v>31</v>
      </c>
      <c r="I771" s="19"/>
      <c r="J771" s="20"/>
      <c r="K771" s="19" t="s">
        <v>1839</v>
      </c>
      <c r="L771" s="20"/>
      <c r="M771" s="22"/>
      <c r="N771" s="20" t="s">
        <v>3144</v>
      </c>
      <c r="O771" s="22" t="s">
        <v>5802</v>
      </c>
      <c r="P771" s="20" t="s">
        <v>3144</v>
      </c>
      <c r="Q771" s="19"/>
      <c r="R771" s="612"/>
      <c r="S771" s="22" t="s">
        <v>5803</v>
      </c>
      <c r="T771" s="47"/>
      <c r="U771" s="20"/>
      <c r="V771" s="20"/>
    </row>
    <row r="772" customHeight="1" spans="1:22">
      <c r="A772" s="19">
        <f t="shared" si="16"/>
        <v>10</v>
      </c>
      <c r="B772" s="20" t="s">
        <v>5804</v>
      </c>
      <c r="C772" s="20" t="s">
        <v>5805</v>
      </c>
      <c r="D772" s="20"/>
      <c r="E772" s="20" t="s">
        <v>2516</v>
      </c>
      <c r="F772" s="20" t="s">
        <v>412</v>
      </c>
      <c r="G772" s="101">
        <f>VLOOKUP(F772,'01. TH'!$B:$E,3,0)</f>
        <v>0</v>
      </c>
      <c r="H772" s="19" t="s">
        <v>31</v>
      </c>
      <c r="I772" s="19"/>
      <c r="J772" s="20"/>
      <c r="K772" s="19" t="s">
        <v>1839</v>
      </c>
      <c r="L772" s="20"/>
      <c r="M772" s="22"/>
      <c r="N772" s="20" t="s">
        <v>3144</v>
      </c>
      <c r="O772" s="22" t="s">
        <v>5776</v>
      </c>
      <c r="P772" s="20" t="s">
        <v>3144</v>
      </c>
      <c r="Q772" s="19"/>
      <c r="R772" s="612"/>
      <c r="S772" s="22" t="s">
        <v>5806</v>
      </c>
      <c r="T772" s="47"/>
      <c r="U772" s="20"/>
      <c r="V772" s="20"/>
    </row>
    <row r="773" customHeight="1" spans="1:22">
      <c r="A773" s="19">
        <f t="shared" si="16"/>
        <v>11</v>
      </c>
      <c r="B773" s="20" t="s">
        <v>5807</v>
      </c>
      <c r="C773" s="20" t="s">
        <v>5808</v>
      </c>
      <c r="D773" s="20"/>
      <c r="E773" s="20" t="s">
        <v>2516</v>
      </c>
      <c r="F773" s="20" t="s">
        <v>417</v>
      </c>
      <c r="G773" s="101">
        <f>VLOOKUP(F773,'01. TH'!$B:$E,3,0)</f>
        <v>0</v>
      </c>
      <c r="H773" s="19" t="s">
        <v>31</v>
      </c>
      <c r="I773" s="19"/>
      <c r="J773" s="20"/>
      <c r="K773" s="19" t="s">
        <v>1839</v>
      </c>
      <c r="L773" s="20"/>
      <c r="M773" s="22"/>
      <c r="N773" s="20" t="s">
        <v>3144</v>
      </c>
      <c r="O773" s="22" t="s">
        <v>5802</v>
      </c>
      <c r="P773" s="20" t="s">
        <v>3144</v>
      </c>
      <c r="Q773" s="19"/>
      <c r="R773" s="612"/>
      <c r="S773" s="22" t="s">
        <v>5809</v>
      </c>
      <c r="T773" s="47"/>
      <c r="U773" s="20"/>
      <c r="V773" s="20"/>
    </row>
    <row r="774" customHeight="1" spans="1:22">
      <c r="A774" s="19">
        <f t="shared" si="16"/>
        <v>12</v>
      </c>
      <c r="B774" s="20" t="s">
        <v>5810</v>
      </c>
      <c r="C774" s="20" t="s">
        <v>5811</v>
      </c>
      <c r="D774" s="20"/>
      <c r="E774" s="20" t="s">
        <v>2516</v>
      </c>
      <c r="F774" s="20" t="s">
        <v>417</v>
      </c>
      <c r="G774" s="101">
        <f>VLOOKUP(F774,'01. TH'!$B:$E,3,0)</f>
        <v>0</v>
      </c>
      <c r="H774" s="19" t="s">
        <v>31</v>
      </c>
      <c r="I774" s="19"/>
      <c r="J774" s="20"/>
      <c r="K774" s="19" t="s">
        <v>1839</v>
      </c>
      <c r="L774" s="20"/>
      <c r="M774" s="22"/>
      <c r="N774" s="20" t="s">
        <v>3144</v>
      </c>
      <c r="O774" s="22" t="s">
        <v>5798</v>
      </c>
      <c r="P774" s="20" t="s">
        <v>3144</v>
      </c>
      <c r="Q774" s="19"/>
      <c r="R774" s="612"/>
      <c r="S774" s="22" t="s">
        <v>5812</v>
      </c>
      <c r="T774" s="47"/>
      <c r="U774" s="20"/>
      <c r="V774" s="20"/>
    </row>
    <row r="775" customHeight="1" spans="1:22">
      <c r="A775" s="19">
        <f t="shared" si="16"/>
        <v>13</v>
      </c>
      <c r="B775" s="20" t="s">
        <v>5813</v>
      </c>
      <c r="C775" s="22" t="s">
        <v>5814</v>
      </c>
      <c r="D775" s="20"/>
      <c r="E775" s="20" t="s">
        <v>2516</v>
      </c>
      <c r="F775" s="20" t="s">
        <v>417</v>
      </c>
      <c r="G775" s="101">
        <f>VLOOKUP(F775,'01. TH'!$B:$E,3,0)</f>
        <v>0</v>
      </c>
      <c r="H775" s="19" t="s">
        <v>31</v>
      </c>
      <c r="I775" s="19"/>
      <c r="J775" s="20"/>
      <c r="K775" s="19" t="s">
        <v>1839</v>
      </c>
      <c r="L775" s="20"/>
      <c r="M775" s="22"/>
      <c r="N775" s="20" t="s">
        <v>3144</v>
      </c>
      <c r="O775" s="22" t="s">
        <v>5798</v>
      </c>
      <c r="P775" s="20" t="s">
        <v>3144</v>
      </c>
      <c r="Q775" s="19"/>
      <c r="R775" s="612"/>
      <c r="S775" s="22" t="s">
        <v>5815</v>
      </c>
      <c r="T775" s="809"/>
      <c r="U775" s="60"/>
      <c r="V775" s="60"/>
    </row>
    <row r="776" customHeight="1" spans="1:22">
      <c r="A776" s="19">
        <f t="shared" si="16"/>
        <v>14</v>
      </c>
      <c r="B776" s="20" t="s">
        <v>5816</v>
      </c>
      <c r="C776" s="22" t="s">
        <v>5817</v>
      </c>
      <c r="D776" s="20"/>
      <c r="E776" s="20" t="s">
        <v>2516</v>
      </c>
      <c r="F776" s="20" t="s">
        <v>417</v>
      </c>
      <c r="G776" s="101">
        <f>VLOOKUP(F776,'01. TH'!$B:$E,3,0)</f>
        <v>0</v>
      </c>
      <c r="H776" s="19" t="s">
        <v>31</v>
      </c>
      <c r="I776" s="19"/>
      <c r="J776" s="20"/>
      <c r="K776" s="19" t="s">
        <v>1839</v>
      </c>
      <c r="L776" s="20"/>
      <c r="M776" s="22"/>
      <c r="N776" s="20" t="s">
        <v>3144</v>
      </c>
      <c r="O776" s="22" t="s">
        <v>5798</v>
      </c>
      <c r="P776" s="20" t="s">
        <v>3144</v>
      </c>
      <c r="Q776" s="19"/>
      <c r="R776" s="612"/>
      <c r="S776" s="22" t="s">
        <v>5818</v>
      </c>
      <c r="T776" s="47"/>
      <c r="U776" s="20"/>
      <c r="V776" s="20"/>
    </row>
    <row r="777" customHeight="1" spans="1:22">
      <c r="A777" s="19">
        <f t="shared" si="16"/>
        <v>15</v>
      </c>
      <c r="B777" s="20" t="s">
        <v>5819</v>
      </c>
      <c r="C777" s="22" t="s">
        <v>5820</v>
      </c>
      <c r="D777" s="20"/>
      <c r="E777" s="20" t="s">
        <v>2516</v>
      </c>
      <c r="F777" s="20" t="s">
        <v>412</v>
      </c>
      <c r="G777" s="101">
        <f>VLOOKUP(F777,'01. TH'!$B:$E,3,0)</f>
        <v>0</v>
      </c>
      <c r="H777" s="19" t="s">
        <v>31</v>
      </c>
      <c r="I777" s="773">
        <v>45940</v>
      </c>
      <c r="J777" s="20"/>
      <c r="K777" s="19" t="s">
        <v>1839</v>
      </c>
      <c r="L777" s="20"/>
      <c r="M777" s="22"/>
      <c r="N777" s="20"/>
      <c r="O777" s="22" t="s">
        <v>5798</v>
      </c>
      <c r="P777" s="20"/>
      <c r="Q777" s="19"/>
      <c r="R777" s="612"/>
      <c r="S777" s="22" t="s">
        <v>5821</v>
      </c>
      <c r="T777" s="47"/>
      <c r="U777" s="20"/>
      <c r="V777" s="20"/>
    </row>
    <row r="778" customHeight="1" spans="1:22">
      <c r="A778" s="19">
        <f t="shared" si="16"/>
        <v>16</v>
      </c>
      <c r="B778" s="20" t="s">
        <v>5822</v>
      </c>
      <c r="C778" s="22" t="s">
        <v>5823</v>
      </c>
      <c r="D778" s="20"/>
      <c r="E778" s="20" t="s">
        <v>2516</v>
      </c>
      <c r="F778" s="20" t="s">
        <v>412</v>
      </c>
      <c r="G778" s="101">
        <f>VLOOKUP(F778,'01. TH'!$B:$E,3,0)</f>
        <v>0</v>
      </c>
      <c r="H778" s="19" t="s">
        <v>31</v>
      </c>
      <c r="I778" s="773">
        <v>45940</v>
      </c>
      <c r="J778" s="20"/>
      <c r="K778" s="19" t="s">
        <v>1839</v>
      </c>
      <c r="L778" s="20"/>
      <c r="M778" s="22"/>
      <c r="N778" s="20"/>
      <c r="O778" s="22" t="s">
        <v>5798</v>
      </c>
      <c r="P778" s="20"/>
      <c r="Q778" s="19"/>
      <c r="R778" s="612"/>
      <c r="S778" s="22" t="s">
        <v>5824</v>
      </c>
      <c r="T778" s="47"/>
      <c r="U778" s="20"/>
      <c r="V778" s="20"/>
    </row>
    <row r="779" customHeight="1" spans="1:22">
      <c r="A779" s="19">
        <v>17</v>
      </c>
      <c r="B779" s="20" t="s">
        <v>5825</v>
      </c>
      <c r="C779" s="22" t="s">
        <v>5826</v>
      </c>
      <c r="D779" s="20"/>
      <c r="E779" s="20" t="s">
        <v>2516</v>
      </c>
      <c r="F779" s="20" t="s">
        <v>412</v>
      </c>
      <c r="G779" s="101">
        <f>VLOOKUP(F779,'01. TH'!$B:$E,3,0)</f>
        <v>0</v>
      </c>
      <c r="H779" s="19" t="s">
        <v>31</v>
      </c>
      <c r="I779" s="19" t="s">
        <v>5827</v>
      </c>
      <c r="J779" s="20"/>
      <c r="K779" s="19" t="s">
        <v>1839</v>
      </c>
      <c r="L779" s="20"/>
      <c r="M779" s="22"/>
      <c r="N779" s="20"/>
      <c r="O779" s="22" t="s">
        <v>5802</v>
      </c>
      <c r="P779" s="20"/>
      <c r="Q779" s="19"/>
      <c r="R779" s="612"/>
      <c r="S779" s="22" t="s">
        <v>5828</v>
      </c>
      <c r="T779" s="47"/>
      <c r="U779" s="20"/>
      <c r="V779" s="20"/>
    </row>
    <row r="780" customHeight="1" spans="1:22">
      <c r="A780" s="19">
        <v>18</v>
      </c>
      <c r="B780" s="20" t="s">
        <v>5829</v>
      </c>
      <c r="C780" s="22" t="s">
        <v>5830</v>
      </c>
      <c r="D780" s="20"/>
      <c r="E780" s="20" t="s">
        <v>2516</v>
      </c>
      <c r="F780" s="20" t="s">
        <v>417</v>
      </c>
      <c r="G780" s="101"/>
      <c r="H780" s="19" t="s">
        <v>31</v>
      </c>
      <c r="I780" s="19" t="s">
        <v>5831</v>
      </c>
      <c r="J780" s="20"/>
      <c r="K780" s="19" t="s">
        <v>1839</v>
      </c>
      <c r="L780" s="20"/>
      <c r="M780" s="22"/>
      <c r="N780" s="20"/>
      <c r="O780" s="22"/>
      <c r="P780" s="20"/>
      <c r="Q780" s="19"/>
      <c r="R780" s="612"/>
      <c r="S780" s="22"/>
      <c r="T780" s="47"/>
      <c r="U780" s="20"/>
      <c r="V780" s="20"/>
    </row>
    <row r="781" customHeight="1" spans="1:22">
      <c r="A781" s="19"/>
      <c r="B781" s="20"/>
      <c r="C781" s="22"/>
      <c r="D781" s="20"/>
      <c r="E781" s="20"/>
      <c r="F781" s="20"/>
      <c r="G781" s="101" t="e">
        <f>VLOOKUP(F781,'01. TH'!$B:$E,3,0)</f>
        <v>#N/A</v>
      </c>
      <c r="H781" s="19"/>
      <c r="I781" s="19"/>
      <c r="J781" s="20"/>
      <c r="K781" s="19"/>
      <c r="L781" s="20"/>
      <c r="M781" s="22"/>
      <c r="N781" s="20"/>
      <c r="O781" s="22"/>
      <c r="P781" s="20"/>
      <c r="Q781" s="19"/>
      <c r="R781" s="612"/>
      <c r="S781" s="22"/>
      <c r="T781" s="47"/>
      <c r="U781" s="20"/>
      <c r="V781" s="20"/>
    </row>
    <row r="782" ht="13.8" spans="1:22">
      <c r="A782" s="9" t="s">
        <v>5772</v>
      </c>
      <c r="B782" s="10" t="s">
        <v>5832</v>
      </c>
      <c r="C782" s="9">
        <f>COUNTA(B783:B785)</f>
        <v>2</v>
      </c>
      <c r="D782" s="59"/>
      <c r="E782" s="59"/>
      <c r="F782" s="59"/>
      <c r="G782" s="9"/>
      <c r="H782" s="59"/>
      <c r="I782" s="803"/>
      <c r="J782" s="59"/>
      <c r="K782" s="803"/>
      <c r="L782" s="59"/>
      <c r="M782" s="804"/>
      <c r="N782" s="59"/>
      <c r="O782" s="804"/>
      <c r="P782" s="59"/>
      <c r="Q782" s="803"/>
      <c r="R782" s="804"/>
      <c r="S782" s="804"/>
      <c r="T782" s="805"/>
      <c r="U782" s="59"/>
      <c r="V782" s="59"/>
    </row>
    <row r="783" customHeight="1" spans="1:22">
      <c r="A783" s="19">
        <v>1</v>
      </c>
      <c r="B783" s="20" t="s">
        <v>5819</v>
      </c>
      <c r="C783" s="22" t="s">
        <v>5833</v>
      </c>
      <c r="D783" s="20"/>
      <c r="E783" s="20" t="s">
        <v>2516</v>
      </c>
      <c r="F783" s="20" t="s">
        <v>417</v>
      </c>
      <c r="G783" s="101">
        <f>VLOOKUP(F783,'01. TH'!$B:$E,3,0)</f>
        <v>0</v>
      </c>
      <c r="H783" s="49" t="s">
        <v>1348</v>
      </c>
      <c r="I783" s="58">
        <v>45905</v>
      </c>
      <c r="J783" s="20"/>
      <c r="K783" s="19" t="s">
        <v>1839</v>
      </c>
      <c r="L783" s="20"/>
      <c r="M783" s="22"/>
      <c r="N783" s="20" t="s">
        <v>3144</v>
      </c>
      <c r="O783" s="22" t="s">
        <v>5834</v>
      </c>
      <c r="P783" s="20" t="s">
        <v>3144</v>
      </c>
      <c r="Q783" s="19"/>
      <c r="R783" s="612"/>
      <c r="S783" s="22" t="s">
        <v>5835</v>
      </c>
      <c r="T783" s="47"/>
      <c r="U783" s="20"/>
      <c r="V783" s="20"/>
    </row>
    <row r="784" customHeight="1" spans="1:22">
      <c r="A784" s="19">
        <v>2</v>
      </c>
      <c r="B784" s="20" t="s">
        <v>5822</v>
      </c>
      <c r="C784" s="22" t="s">
        <v>5836</v>
      </c>
      <c r="D784" s="20"/>
      <c r="E784" s="20" t="s">
        <v>2516</v>
      </c>
      <c r="F784" s="20" t="s">
        <v>418</v>
      </c>
      <c r="G784" s="101">
        <f>VLOOKUP(F784,'01. TH'!$B:$E,3,0)</f>
        <v>0</v>
      </c>
      <c r="H784" s="19" t="s">
        <v>5837</v>
      </c>
      <c r="I784" s="58">
        <v>45660</v>
      </c>
      <c r="J784" s="20"/>
      <c r="K784" s="19" t="s">
        <v>1839</v>
      </c>
      <c r="L784" s="20"/>
      <c r="M784" s="22"/>
      <c r="N784" s="20" t="s">
        <v>3144</v>
      </c>
      <c r="O784" s="22" t="s">
        <v>5834</v>
      </c>
      <c r="P784" s="20" t="s">
        <v>3144</v>
      </c>
      <c r="Q784" s="19"/>
      <c r="R784" s="612"/>
      <c r="S784" s="22" t="s">
        <v>5838</v>
      </c>
      <c r="T784" s="47"/>
      <c r="U784" s="20"/>
      <c r="V784" s="20" t="s">
        <v>2727</v>
      </c>
    </row>
    <row r="785" customHeight="1" spans="1:22">
      <c r="A785" s="19"/>
      <c r="B785" s="21"/>
      <c r="C785" s="22"/>
      <c r="D785" s="20"/>
      <c r="E785" s="20"/>
      <c r="F785" s="20"/>
      <c r="G785" s="101" t="e">
        <f>VLOOKUP(F785,'01. TH'!$B:$E,3,0)</f>
        <v>#N/A</v>
      </c>
      <c r="H785" s="19"/>
      <c r="I785" s="19"/>
      <c r="J785" s="20"/>
      <c r="K785" s="19"/>
      <c r="L785" s="20"/>
      <c r="M785" s="22"/>
      <c r="N785" s="20"/>
      <c r="O785" s="22"/>
      <c r="P785" s="20"/>
      <c r="Q785" s="19"/>
      <c r="R785" s="612"/>
      <c r="S785" s="22"/>
      <c r="T785" s="47"/>
      <c r="U785" s="20"/>
      <c r="V785" s="20"/>
    </row>
    <row r="786" ht="13.8" spans="1:22">
      <c r="A786" s="9" t="s">
        <v>5839</v>
      </c>
      <c r="B786" s="10" t="s">
        <v>5840</v>
      </c>
      <c r="C786" s="9">
        <f>COUNTA(B787:B802)</f>
        <v>16</v>
      </c>
      <c r="D786" s="59"/>
      <c r="E786" s="59"/>
      <c r="F786" s="59"/>
      <c r="G786" s="9"/>
      <c r="H786" s="59"/>
      <c r="I786" s="803"/>
      <c r="J786" s="59"/>
      <c r="K786" s="803"/>
      <c r="L786" s="59"/>
      <c r="M786" s="804"/>
      <c r="N786" s="59"/>
      <c r="O786" s="804"/>
      <c r="P786" s="59"/>
      <c r="Q786" s="803"/>
      <c r="R786" s="804"/>
      <c r="S786" s="804"/>
      <c r="T786" s="805"/>
      <c r="U786" s="59"/>
      <c r="V786" s="59"/>
    </row>
    <row r="787" customHeight="1" spans="1:22">
      <c r="A787" s="23">
        <v>1</v>
      </c>
      <c r="B787" s="20" t="s">
        <v>5841</v>
      </c>
      <c r="C787" s="22"/>
      <c r="D787" s="20"/>
      <c r="E787" s="20"/>
      <c r="F787" s="20" t="s">
        <v>393</v>
      </c>
      <c r="G787" s="101" t="str">
        <f>VLOOKUP(F787,'01. TH'!$B:$E,3,0)</f>
        <v>2000 x 4000 x 700</v>
      </c>
      <c r="H787" s="19" t="s">
        <v>5837</v>
      </c>
      <c r="I787" s="19"/>
      <c r="J787" s="20"/>
      <c r="K787" s="19" t="s">
        <v>1839</v>
      </c>
      <c r="L787" s="19"/>
      <c r="M787" s="22"/>
      <c r="N787" s="20" t="s">
        <v>3611</v>
      </c>
      <c r="O787" s="22"/>
      <c r="P787" s="20" t="s">
        <v>3613</v>
      </c>
      <c r="Q787" s="19"/>
      <c r="R787" s="22" t="s">
        <v>5842</v>
      </c>
      <c r="S787" s="22"/>
      <c r="T787" s="321"/>
      <c r="U787" s="22"/>
      <c r="V787" s="22" t="s">
        <v>2735</v>
      </c>
    </row>
    <row r="788" customHeight="1" spans="1:22">
      <c r="A788" s="23">
        <v>2</v>
      </c>
      <c r="B788" s="20" t="s">
        <v>5843</v>
      </c>
      <c r="C788" s="22" t="s">
        <v>5844</v>
      </c>
      <c r="D788" s="20"/>
      <c r="E788" s="20"/>
      <c r="F788" s="20" t="s">
        <v>5845</v>
      </c>
      <c r="G788" s="101" t="e">
        <f>VLOOKUP(F788,'01. TH'!$B:$E,3,0)</f>
        <v>#N/A</v>
      </c>
      <c r="H788" s="19" t="s">
        <v>20</v>
      </c>
      <c r="I788" s="19"/>
      <c r="J788" s="20"/>
      <c r="K788" s="19" t="s">
        <v>1839</v>
      </c>
      <c r="L788" s="19"/>
      <c r="M788" s="22" t="s">
        <v>5846</v>
      </c>
      <c r="N788" s="20" t="s">
        <v>3611</v>
      </c>
      <c r="O788" s="22"/>
      <c r="P788" s="20" t="s">
        <v>3613</v>
      </c>
      <c r="Q788" s="19"/>
      <c r="R788" s="22"/>
      <c r="S788" s="22"/>
      <c r="T788" s="321"/>
      <c r="U788" s="22"/>
      <c r="V788" s="22"/>
    </row>
    <row r="789" customHeight="1" spans="1:22">
      <c r="A789" s="23">
        <v>3</v>
      </c>
      <c r="B789" s="20" t="s">
        <v>5847</v>
      </c>
      <c r="C789" s="22" t="s">
        <v>5848</v>
      </c>
      <c r="D789" s="20"/>
      <c r="E789" s="20"/>
      <c r="F789" s="20" t="s">
        <v>5845</v>
      </c>
      <c r="G789" s="101" t="e">
        <f>VLOOKUP(F789,'01. TH'!$B:$E,3,0)</f>
        <v>#N/A</v>
      </c>
      <c r="H789" s="19" t="s">
        <v>20</v>
      </c>
      <c r="I789" s="19"/>
      <c r="J789" s="20"/>
      <c r="K789" s="19" t="s">
        <v>1839</v>
      </c>
      <c r="L789" s="19"/>
      <c r="M789" s="22" t="s">
        <v>5846</v>
      </c>
      <c r="N789" s="20" t="s">
        <v>3611</v>
      </c>
      <c r="O789" s="22"/>
      <c r="P789" s="20" t="s">
        <v>3613</v>
      </c>
      <c r="Q789" s="19"/>
      <c r="R789" s="22"/>
      <c r="S789" s="22"/>
      <c r="T789" s="321"/>
      <c r="U789" s="22"/>
      <c r="V789" s="22"/>
    </row>
    <row r="790" customHeight="1" spans="1:22">
      <c r="A790" s="23">
        <v>4</v>
      </c>
      <c r="B790" s="20" t="s">
        <v>5849</v>
      </c>
      <c r="C790" s="22" t="s">
        <v>5850</v>
      </c>
      <c r="D790" s="20"/>
      <c r="E790" s="20"/>
      <c r="F790" s="20" t="s">
        <v>5845</v>
      </c>
      <c r="G790" s="101" t="e">
        <f>VLOOKUP(F790,'01. TH'!$B:$E,3,0)</f>
        <v>#N/A</v>
      </c>
      <c r="H790" s="19" t="s">
        <v>20</v>
      </c>
      <c r="I790" s="19"/>
      <c r="J790" s="20"/>
      <c r="K790" s="19" t="s">
        <v>1839</v>
      </c>
      <c r="L790" s="19"/>
      <c r="M790" s="22" t="s">
        <v>5846</v>
      </c>
      <c r="N790" s="20" t="s">
        <v>3611</v>
      </c>
      <c r="O790" s="22"/>
      <c r="P790" s="20" t="s">
        <v>3613</v>
      </c>
      <c r="Q790" s="19"/>
      <c r="R790" s="22"/>
      <c r="S790" s="22"/>
      <c r="T790" s="321"/>
      <c r="U790" s="22"/>
      <c r="V790" s="22"/>
    </row>
    <row r="791" customHeight="1" spans="1:22">
      <c r="A791" s="23">
        <v>5</v>
      </c>
      <c r="B791" s="20" t="s">
        <v>5851</v>
      </c>
      <c r="C791" s="22" t="s">
        <v>5852</v>
      </c>
      <c r="D791" s="20"/>
      <c r="E791" s="20"/>
      <c r="F791" s="20" t="s">
        <v>5845</v>
      </c>
      <c r="G791" s="101" t="e">
        <f>VLOOKUP(F791,'01. TH'!$B:$E,3,0)</f>
        <v>#N/A</v>
      </c>
      <c r="H791" s="19" t="s">
        <v>20</v>
      </c>
      <c r="I791" s="19"/>
      <c r="J791" s="20"/>
      <c r="K791" s="19" t="s">
        <v>1839</v>
      </c>
      <c r="L791" s="19"/>
      <c r="M791" s="22" t="s">
        <v>5846</v>
      </c>
      <c r="N791" s="20" t="s">
        <v>3611</v>
      </c>
      <c r="O791" s="22"/>
      <c r="P791" s="20" t="s">
        <v>3613</v>
      </c>
      <c r="Q791" s="19"/>
      <c r="R791" s="22"/>
      <c r="S791" s="22"/>
      <c r="T791" s="321"/>
      <c r="U791" s="22"/>
      <c r="V791" s="22"/>
    </row>
    <row r="792" customHeight="1" spans="1:22">
      <c r="A792" s="23">
        <v>6</v>
      </c>
      <c r="B792" s="20" t="s">
        <v>5853</v>
      </c>
      <c r="C792" s="39"/>
      <c r="D792" s="20" t="s">
        <v>5854</v>
      </c>
      <c r="E792" s="20"/>
      <c r="F792" s="20" t="s">
        <v>270</v>
      </c>
      <c r="G792" s="101">
        <f>VLOOKUP(F792,'01. TH'!$B:$E,3,0)</f>
        <v>0</v>
      </c>
      <c r="H792" s="19" t="s">
        <v>20</v>
      </c>
      <c r="I792" s="19" t="s">
        <v>5855</v>
      </c>
      <c r="J792" s="20"/>
      <c r="K792" s="19" t="s">
        <v>1839</v>
      </c>
      <c r="L792" s="20"/>
      <c r="M792" s="22"/>
      <c r="N792" s="20" t="s">
        <v>3611</v>
      </c>
      <c r="O792" s="22"/>
      <c r="P792" s="20" t="s">
        <v>3613</v>
      </c>
      <c r="Q792" s="19"/>
      <c r="R792" s="22"/>
      <c r="S792" s="22"/>
      <c r="T792" s="47">
        <v>0.56</v>
      </c>
      <c r="U792" s="20" t="s">
        <v>4318</v>
      </c>
      <c r="V792" s="20"/>
    </row>
    <row r="793" customHeight="1" spans="1:22">
      <c r="A793" s="23">
        <v>7</v>
      </c>
      <c r="B793" s="20" t="s">
        <v>5856</v>
      </c>
      <c r="C793" s="39" t="s">
        <v>5857</v>
      </c>
      <c r="D793" s="20" t="s">
        <v>5858</v>
      </c>
      <c r="E793" s="20"/>
      <c r="F793" s="20" t="s">
        <v>401</v>
      </c>
      <c r="G793" s="101" t="str">
        <f>VLOOKUP(F793,'01. TH'!$B:$E,3,0)</f>
        <v>1x1x1</v>
      </c>
      <c r="H793" s="19" t="s">
        <v>3023</v>
      </c>
      <c r="I793" s="58">
        <v>45779</v>
      </c>
      <c r="J793" s="20"/>
      <c r="K793" s="19" t="s">
        <v>1839</v>
      </c>
      <c r="L793" s="20" t="s">
        <v>5859</v>
      </c>
      <c r="M793" s="22"/>
      <c r="N793" s="20" t="s">
        <v>3611</v>
      </c>
      <c r="O793" s="22"/>
      <c r="P793" s="20" t="s">
        <v>3613</v>
      </c>
      <c r="Q793" s="19"/>
      <c r="R793" s="22"/>
      <c r="S793" s="22" t="s">
        <v>4729</v>
      </c>
      <c r="T793" s="47"/>
      <c r="U793" s="20"/>
      <c r="V793" s="20"/>
    </row>
    <row r="794" customHeight="1" spans="1:22">
      <c r="A794" s="23">
        <v>8</v>
      </c>
      <c r="B794" s="20" t="s">
        <v>5860</v>
      </c>
      <c r="C794" s="22"/>
      <c r="D794" s="20"/>
      <c r="E794" s="20"/>
      <c r="F794" s="20" t="s">
        <v>5845</v>
      </c>
      <c r="G794" s="101" t="e">
        <f>VLOOKUP(F794,'01. TH'!$B:$E,3,0)</f>
        <v>#N/A</v>
      </c>
      <c r="H794" s="19" t="s">
        <v>5861</v>
      </c>
      <c r="I794" s="58"/>
      <c r="J794" s="20"/>
      <c r="K794" s="19" t="s">
        <v>1839</v>
      </c>
      <c r="L794" s="19"/>
      <c r="M794" s="22" t="s">
        <v>5862</v>
      </c>
      <c r="N794" s="20" t="s">
        <v>3611</v>
      </c>
      <c r="O794" s="22"/>
      <c r="P794" s="20" t="s">
        <v>3613</v>
      </c>
      <c r="Q794" s="19"/>
      <c r="R794" s="22"/>
      <c r="S794" s="22"/>
      <c r="T794" s="321"/>
      <c r="U794" s="22"/>
      <c r="V794" s="22"/>
    </row>
    <row r="795" customHeight="1" spans="1:22">
      <c r="A795" s="23">
        <v>9</v>
      </c>
      <c r="B795" s="20" t="s">
        <v>5863</v>
      </c>
      <c r="C795" s="22"/>
      <c r="D795" s="20" t="s">
        <v>5864</v>
      </c>
      <c r="E795" s="20" t="s">
        <v>5864</v>
      </c>
      <c r="F795" s="20" t="s">
        <v>5865</v>
      </c>
      <c r="G795" s="101" t="e">
        <f>VLOOKUP(F795,'01. TH'!$B:$E,3,0)</f>
        <v>#N/A</v>
      </c>
      <c r="H795" s="19" t="s">
        <v>5861</v>
      </c>
      <c r="I795" s="58">
        <v>45483</v>
      </c>
      <c r="J795" s="20"/>
      <c r="K795" s="19" t="s">
        <v>1839</v>
      </c>
      <c r="L795" s="19"/>
      <c r="M795" s="22"/>
      <c r="N795" s="20" t="s">
        <v>3611</v>
      </c>
      <c r="O795" s="22"/>
      <c r="P795" s="20" t="s">
        <v>3613</v>
      </c>
      <c r="Q795" s="19">
        <v>2024</v>
      </c>
      <c r="R795" s="22" t="s">
        <v>3639</v>
      </c>
      <c r="S795" s="22"/>
      <c r="T795" s="321"/>
      <c r="U795" s="22"/>
      <c r="V795" s="22"/>
    </row>
    <row r="796" customHeight="1" spans="1:22">
      <c r="A796" s="23">
        <v>10</v>
      </c>
      <c r="B796" s="20" t="s">
        <v>5866</v>
      </c>
      <c r="C796" s="22"/>
      <c r="D796" s="20" t="s">
        <v>5867</v>
      </c>
      <c r="E796" s="20" t="s">
        <v>5867</v>
      </c>
      <c r="F796" s="20" t="s">
        <v>5865</v>
      </c>
      <c r="G796" s="101" t="e">
        <f>VLOOKUP(F796,'01. TH'!$B:$E,3,0)</f>
        <v>#N/A</v>
      </c>
      <c r="H796" s="19" t="s">
        <v>5861</v>
      </c>
      <c r="I796" s="58">
        <v>45483</v>
      </c>
      <c r="J796" s="20"/>
      <c r="K796" s="19" t="s">
        <v>1839</v>
      </c>
      <c r="L796" s="19"/>
      <c r="M796" s="22"/>
      <c r="N796" s="20" t="s">
        <v>3611</v>
      </c>
      <c r="O796" s="22"/>
      <c r="P796" s="20" t="s">
        <v>3613</v>
      </c>
      <c r="Q796" s="19">
        <v>2024</v>
      </c>
      <c r="R796" s="22" t="s">
        <v>3639</v>
      </c>
      <c r="S796" s="22"/>
      <c r="T796" s="321"/>
      <c r="U796" s="22"/>
      <c r="V796" s="22"/>
    </row>
    <row r="797" customHeight="1" spans="1:22">
      <c r="A797" s="23">
        <v>11</v>
      </c>
      <c r="B797" s="20" t="s">
        <v>5868</v>
      </c>
      <c r="C797" s="22"/>
      <c r="D797" s="20" t="s">
        <v>5869</v>
      </c>
      <c r="E797" s="20" t="s">
        <v>5869</v>
      </c>
      <c r="F797" s="20" t="s">
        <v>5865</v>
      </c>
      <c r="G797" s="101" t="e">
        <f>VLOOKUP(F797,'01. TH'!$B:$E,3,0)</f>
        <v>#N/A</v>
      </c>
      <c r="H797" s="19" t="s">
        <v>5861</v>
      </c>
      <c r="I797" s="58">
        <v>45483</v>
      </c>
      <c r="J797" s="20"/>
      <c r="K797" s="19" t="s">
        <v>1839</v>
      </c>
      <c r="L797" s="19"/>
      <c r="M797" s="22"/>
      <c r="N797" s="20" t="s">
        <v>3611</v>
      </c>
      <c r="O797" s="22"/>
      <c r="P797" s="20" t="s">
        <v>3613</v>
      </c>
      <c r="Q797" s="19">
        <v>2024</v>
      </c>
      <c r="R797" s="22" t="s">
        <v>3639</v>
      </c>
      <c r="S797" s="22"/>
      <c r="T797" s="321"/>
      <c r="U797" s="22"/>
      <c r="V797" s="22"/>
    </row>
    <row r="798" customHeight="1" spans="1:22">
      <c r="A798" s="23">
        <v>12</v>
      </c>
      <c r="B798" s="20" t="s">
        <v>5870</v>
      </c>
      <c r="C798" s="22"/>
      <c r="D798" s="20" t="s">
        <v>5871</v>
      </c>
      <c r="E798" s="20" t="s">
        <v>5871</v>
      </c>
      <c r="F798" s="20" t="s">
        <v>5865</v>
      </c>
      <c r="G798" s="101" t="e">
        <f>VLOOKUP(F798,'01. TH'!$B:$E,3,0)</f>
        <v>#N/A</v>
      </c>
      <c r="H798" s="19" t="s">
        <v>5861</v>
      </c>
      <c r="I798" s="58">
        <v>45483</v>
      </c>
      <c r="J798" s="20"/>
      <c r="K798" s="19" t="s">
        <v>1839</v>
      </c>
      <c r="L798" s="19"/>
      <c r="M798" s="22"/>
      <c r="N798" s="20" t="s">
        <v>3611</v>
      </c>
      <c r="O798" s="22"/>
      <c r="P798" s="20" t="s">
        <v>3613</v>
      </c>
      <c r="Q798" s="19">
        <v>2024</v>
      </c>
      <c r="R798" s="22" t="s">
        <v>3639</v>
      </c>
      <c r="S798" s="22"/>
      <c r="T798" s="321"/>
      <c r="U798" s="22"/>
      <c r="V798" s="22"/>
    </row>
    <row r="799" customHeight="1" spans="1:22">
      <c r="A799" s="23">
        <v>13</v>
      </c>
      <c r="B799" s="20" t="s">
        <v>5872</v>
      </c>
      <c r="C799" s="22"/>
      <c r="D799" s="20" t="s">
        <v>5873</v>
      </c>
      <c r="E799" s="20" t="s">
        <v>5873</v>
      </c>
      <c r="F799" s="20" t="s">
        <v>5865</v>
      </c>
      <c r="G799" s="101" t="e">
        <f>VLOOKUP(F799,'01. TH'!$B:$E,3,0)</f>
        <v>#N/A</v>
      </c>
      <c r="H799" s="19" t="s">
        <v>5861</v>
      </c>
      <c r="I799" s="58">
        <v>45483</v>
      </c>
      <c r="J799" s="20"/>
      <c r="K799" s="19" t="s">
        <v>1839</v>
      </c>
      <c r="L799" s="19"/>
      <c r="M799" s="22"/>
      <c r="N799" s="20" t="s">
        <v>3611</v>
      </c>
      <c r="O799" s="22"/>
      <c r="P799" s="20" t="s">
        <v>3613</v>
      </c>
      <c r="Q799" s="19">
        <v>2024</v>
      </c>
      <c r="R799" s="22" t="s">
        <v>3639</v>
      </c>
      <c r="S799" s="22"/>
      <c r="T799" s="321"/>
      <c r="U799" s="22"/>
      <c r="V799" s="22"/>
    </row>
    <row r="800" customHeight="1" spans="1:22">
      <c r="A800" s="23">
        <v>14</v>
      </c>
      <c r="B800" s="20" t="s">
        <v>5874</v>
      </c>
      <c r="C800" s="22"/>
      <c r="D800" s="20" t="s">
        <v>5875</v>
      </c>
      <c r="E800" s="20" t="s">
        <v>5875</v>
      </c>
      <c r="F800" s="20" t="s">
        <v>5865</v>
      </c>
      <c r="G800" s="101" t="e">
        <f>VLOOKUP(F800,'01. TH'!$B:$E,3,0)</f>
        <v>#N/A</v>
      </c>
      <c r="H800" s="19" t="s">
        <v>5861</v>
      </c>
      <c r="I800" s="58">
        <v>45483</v>
      </c>
      <c r="J800" s="20"/>
      <c r="K800" s="19" t="s">
        <v>1839</v>
      </c>
      <c r="L800" s="19"/>
      <c r="M800" s="22"/>
      <c r="N800" s="20" t="s">
        <v>3611</v>
      </c>
      <c r="O800" s="22"/>
      <c r="P800" s="20" t="s">
        <v>3613</v>
      </c>
      <c r="Q800" s="19">
        <v>2024</v>
      </c>
      <c r="R800" s="22" t="s">
        <v>3639</v>
      </c>
      <c r="S800" s="22"/>
      <c r="T800" s="321"/>
      <c r="U800" s="22"/>
      <c r="V800" s="22"/>
    </row>
    <row r="801" customHeight="1" spans="1:22">
      <c r="A801" s="23">
        <v>15</v>
      </c>
      <c r="B801" s="20" t="s">
        <v>5876</v>
      </c>
      <c r="C801" s="22"/>
      <c r="D801" s="20" t="s">
        <v>3608</v>
      </c>
      <c r="E801" s="20" t="s">
        <v>3608</v>
      </c>
      <c r="F801" s="20" t="s">
        <v>5865</v>
      </c>
      <c r="G801" s="101" t="e">
        <f>VLOOKUP(F801,'01. TH'!$B:$E,3,0)</f>
        <v>#N/A</v>
      </c>
      <c r="H801" s="19" t="s">
        <v>5861</v>
      </c>
      <c r="I801" s="58">
        <v>45483</v>
      </c>
      <c r="J801" s="20"/>
      <c r="K801" s="19" t="s">
        <v>1839</v>
      </c>
      <c r="L801" s="19"/>
      <c r="M801" s="22"/>
      <c r="N801" s="20" t="s">
        <v>3611</v>
      </c>
      <c r="O801" s="22"/>
      <c r="P801" s="20" t="s">
        <v>3613</v>
      </c>
      <c r="Q801" s="19">
        <v>2024</v>
      </c>
      <c r="R801" s="22" t="s">
        <v>3639</v>
      </c>
      <c r="S801" s="22"/>
      <c r="T801" s="321"/>
      <c r="U801" s="22"/>
      <c r="V801" s="22"/>
    </row>
    <row r="802" customHeight="1" spans="1:22">
      <c r="A802" s="23">
        <v>16</v>
      </c>
      <c r="B802" s="20" t="s">
        <v>5877</v>
      </c>
      <c r="C802" s="22"/>
      <c r="D802" s="20" t="s">
        <v>5878</v>
      </c>
      <c r="E802" s="20" t="s">
        <v>5878</v>
      </c>
      <c r="F802" s="20" t="s">
        <v>5865</v>
      </c>
      <c r="G802" s="101" t="e">
        <f>VLOOKUP(F802,'01. TH'!$B:$E,3,0)</f>
        <v>#N/A</v>
      </c>
      <c r="H802" s="19" t="s">
        <v>5861</v>
      </c>
      <c r="I802" s="58">
        <v>45483</v>
      </c>
      <c r="J802" s="20"/>
      <c r="K802" s="19" t="s">
        <v>1839</v>
      </c>
      <c r="L802" s="19"/>
      <c r="M802" s="22"/>
      <c r="N802" s="20" t="s">
        <v>3611</v>
      </c>
      <c r="O802" s="22"/>
      <c r="P802" s="20" t="s">
        <v>3613</v>
      </c>
      <c r="Q802" s="19">
        <v>2024</v>
      </c>
      <c r="R802" s="22" t="s">
        <v>3639</v>
      </c>
      <c r="S802" s="22"/>
      <c r="T802" s="321"/>
      <c r="U802" s="22"/>
      <c r="V802" s="22"/>
    </row>
    <row r="803" ht="13.5" customHeight="1" spans="1:22">
      <c r="A803" s="101">
        <v>11</v>
      </c>
      <c r="B803" s="102" t="s">
        <v>5879</v>
      </c>
      <c r="C803" s="102"/>
      <c r="D803" s="103"/>
      <c r="E803" s="103"/>
      <c r="F803" s="102" t="s">
        <v>5880</v>
      </c>
      <c r="G803" s="101" t="e">
        <f>VLOOKUP(F803,'01. TH'!$B:$E,3,0)</f>
        <v>#N/A</v>
      </c>
      <c r="H803" s="101" t="s">
        <v>2860</v>
      </c>
      <c r="I803" s="21"/>
      <c r="J803" s="105"/>
      <c r="K803" s="101" t="str">
        <f>IF(COUNTIF('TT BTSC'!$D:$D,B803)&gt;0,"Hư hỏng","Bình thường")</f>
        <v>Bình thường</v>
      </c>
      <c r="L803" s="101"/>
      <c r="M803" s="182" t="s">
        <v>5881</v>
      </c>
      <c r="N803" s="110" t="s">
        <v>5882</v>
      </c>
      <c r="O803" s="110" t="s">
        <v>590</v>
      </c>
      <c r="P803" s="101"/>
      <c r="Q803" s="101" t="s">
        <v>5883</v>
      </c>
      <c r="R803" s="101" t="s">
        <v>219</v>
      </c>
      <c r="S803" s="110">
        <v>216281</v>
      </c>
      <c r="T803" s="111"/>
      <c r="U803" s="111"/>
      <c r="V803" s="111"/>
    </row>
    <row r="804" customHeight="1" spans="1:22">
      <c r="A804" s="61" t="s">
        <v>3004</v>
      </c>
      <c r="B804" s="62" t="s">
        <v>3005</v>
      </c>
      <c r="C804" s="62"/>
      <c r="D804" s="62"/>
      <c r="E804" s="62"/>
      <c r="F804" s="62"/>
      <c r="G804" s="61"/>
      <c r="H804" s="61"/>
      <c r="I804" s="61"/>
      <c r="J804" s="62"/>
      <c r="K804" s="61"/>
      <c r="L804" s="62"/>
      <c r="M804" s="810"/>
      <c r="N804" s="62"/>
      <c r="O804" s="810"/>
      <c r="P804" s="62"/>
      <c r="Q804" s="61"/>
      <c r="R804" s="810"/>
      <c r="S804" s="810"/>
      <c r="T804" s="811"/>
      <c r="U804" s="62"/>
      <c r="V804" s="62"/>
    </row>
    <row r="805" ht="13.5" customHeight="1" spans="1:22">
      <c r="A805" s="63" t="s">
        <v>3007</v>
      </c>
      <c r="B805" s="64" t="s">
        <v>5884</v>
      </c>
      <c r="C805" s="63">
        <f>COUNTA(B806:B818)</f>
        <v>13</v>
      </c>
      <c r="D805" s="63"/>
      <c r="E805" s="63"/>
      <c r="F805" s="63"/>
      <c r="G805" s="63"/>
      <c r="H805" s="63"/>
      <c r="I805" s="65"/>
      <c r="J805" s="63"/>
      <c r="K805" s="63"/>
      <c r="L805" s="63"/>
      <c r="M805" s="64"/>
      <c r="N805" s="64"/>
      <c r="O805" s="64"/>
      <c r="P805" s="64"/>
      <c r="Q805" s="63"/>
      <c r="R805" s="64"/>
      <c r="S805" s="64"/>
      <c r="T805" s="812"/>
      <c r="U805" s="63"/>
      <c r="V805" s="63"/>
    </row>
    <row r="806" customHeight="1" spans="1:22">
      <c r="A806" s="813">
        <v>1</v>
      </c>
      <c r="B806" s="814" t="s">
        <v>5885</v>
      </c>
      <c r="C806" s="815" t="s">
        <v>5886</v>
      </c>
      <c r="D806" s="814"/>
      <c r="E806" s="814"/>
      <c r="F806" s="814" t="s">
        <v>401</v>
      </c>
      <c r="G806" s="101" t="str">
        <f>VLOOKUP(F806,'01. TH'!$B:$E,3,0)</f>
        <v>1x1x1</v>
      </c>
      <c r="H806" s="813" t="s">
        <v>1250</v>
      </c>
      <c r="I806" s="813" t="s">
        <v>5887</v>
      </c>
      <c r="J806" s="814"/>
      <c r="K806" s="813" t="s">
        <v>5493</v>
      </c>
      <c r="L806" s="816"/>
      <c r="M806" s="817"/>
      <c r="N806" s="814" t="s">
        <v>3611</v>
      </c>
      <c r="O806" s="815"/>
      <c r="P806" s="814" t="s">
        <v>3613</v>
      </c>
      <c r="Q806" s="813"/>
      <c r="R806" s="815"/>
      <c r="S806" s="815"/>
      <c r="T806" s="818"/>
      <c r="U806" s="814"/>
      <c r="V806" s="814"/>
    </row>
    <row r="807" customHeight="1" spans="1:22">
      <c r="A807" s="813">
        <f t="shared" ref="A807:A818" si="17">A806+1</f>
        <v>2</v>
      </c>
      <c r="B807" s="814" t="s">
        <v>5888</v>
      </c>
      <c r="C807" s="815" t="s">
        <v>5889</v>
      </c>
      <c r="D807" s="814"/>
      <c r="E807" s="814"/>
      <c r="F807" s="814" t="s">
        <v>405</v>
      </c>
      <c r="G807" s="101" t="str">
        <f>VLOOKUP(F807,'01. TH'!$B:$E,3,0)</f>
        <v>1x1x1</v>
      </c>
      <c r="H807" s="813" t="s">
        <v>1250</v>
      </c>
      <c r="I807" s="813" t="s">
        <v>5887</v>
      </c>
      <c r="J807" s="814"/>
      <c r="K807" s="813" t="s">
        <v>5493</v>
      </c>
      <c r="L807" s="816"/>
      <c r="M807" s="817"/>
      <c r="N807" s="814" t="s">
        <v>3611</v>
      </c>
      <c r="O807" s="815"/>
      <c r="P807" s="814" t="s">
        <v>3613</v>
      </c>
      <c r="Q807" s="813"/>
      <c r="R807" s="815"/>
      <c r="S807" s="815"/>
      <c r="T807" s="818"/>
      <c r="U807" s="814"/>
      <c r="V807" s="814"/>
    </row>
    <row r="808" customHeight="1" spans="1:22">
      <c r="A808" s="813">
        <f t="shared" si="17"/>
        <v>3</v>
      </c>
      <c r="B808" s="814" t="s">
        <v>5890</v>
      </c>
      <c r="C808" s="815" t="s">
        <v>5891</v>
      </c>
      <c r="D808" s="814"/>
      <c r="E808" s="814"/>
      <c r="F808" s="814" t="s">
        <v>405</v>
      </c>
      <c r="G808" s="101" t="str">
        <f>VLOOKUP(F808,'01. TH'!$B:$E,3,0)</f>
        <v>1x1x1</v>
      </c>
      <c r="H808" s="813" t="s">
        <v>1250</v>
      </c>
      <c r="I808" s="813" t="s">
        <v>5887</v>
      </c>
      <c r="J808" s="814"/>
      <c r="K808" s="813" t="s">
        <v>5493</v>
      </c>
      <c r="L808" s="816"/>
      <c r="M808" s="817"/>
      <c r="N808" s="814" t="s">
        <v>3611</v>
      </c>
      <c r="O808" s="815"/>
      <c r="P808" s="814" t="s">
        <v>3613</v>
      </c>
      <c r="Q808" s="813"/>
      <c r="R808" s="815"/>
      <c r="S808" s="815"/>
      <c r="T808" s="818"/>
      <c r="U808" s="814"/>
      <c r="V808" s="814"/>
    </row>
    <row r="809" customHeight="1" spans="1:22">
      <c r="A809" s="813">
        <f t="shared" si="17"/>
        <v>4</v>
      </c>
      <c r="B809" s="819" t="s">
        <v>5892</v>
      </c>
      <c r="C809" s="820" t="s">
        <v>5893</v>
      </c>
      <c r="D809" s="821"/>
      <c r="E809" s="821"/>
      <c r="F809" s="814" t="s">
        <v>401</v>
      </c>
      <c r="G809" s="101" t="str">
        <f>VLOOKUP(F809,'01. TH'!$B:$E,3,0)</f>
        <v>1x1x1</v>
      </c>
      <c r="H809" s="813" t="s">
        <v>1348</v>
      </c>
      <c r="I809" s="813" t="s">
        <v>5887</v>
      </c>
      <c r="J809" s="822"/>
      <c r="K809" s="822" t="s">
        <v>2422</v>
      </c>
      <c r="L809" s="823"/>
      <c r="M809" s="824"/>
      <c r="N809" s="814" t="s">
        <v>3611</v>
      </c>
      <c r="O809" s="824"/>
      <c r="P809" s="814" t="s">
        <v>3613</v>
      </c>
      <c r="Q809" s="825"/>
      <c r="R809" s="826"/>
      <c r="S809" s="826"/>
      <c r="T809" s="827"/>
      <c r="U809" s="821"/>
      <c r="V809" s="821"/>
    </row>
    <row r="810" customHeight="1" spans="1:22">
      <c r="A810" s="813">
        <f t="shared" si="17"/>
        <v>5</v>
      </c>
      <c r="B810" s="819" t="s">
        <v>5894</v>
      </c>
      <c r="C810" s="820" t="s">
        <v>5895</v>
      </c>
      <c r="D810" s="821"/>
      <c r="E810" s="821"/>
      <c r="F810" s="814" t="s">
        <v>401</v>
      </c>
      <c r="G810" s="101" t="str">
        <f>VLOOKUP(F810,'01. TH'!$B:$E,3,0)</f>
        <v>1x1x1</v>
      </c>
      <c r="H810" s="813" t="s">
        <v>1348</v>
      </c>
      <c r="I810" s="813" t="s">
        <v>5887</v>
      </c>
      <c r="J810" s="822"/>
      <c r="K810" s="822" t="s">
        <v>2422</v>
      </c>
      <c r="L810" s="823"/>
      <c r="M810" s="824"/>
      <c r="N810" s="814" t="s">
        <v>3611</v>
      </c>
      <c r="O810" s="824"/>
      <c r="P810" s="814" t="s">
        <v>3613</v>
      </c>
      <c r="Q810" s="825"/>
      <c r="R810" s="826"/>
      <c r="S810" s="826"/>
      <c r="T810" s="827"/>
      <c r="U810" s="821"/>
      <c r="V810" s="821"/>
    </row>
    <row r="811" customHeight="1" spans="1:22">
      <c r="A811" s="813">
        <f t="shared" si="17"/>
        <v>6</v>
      </c>
      <c r="B811" s="819" t="s">
        <v>5335</v>
      </c>
      <c r="C811" s="820" t="s">
        <v>5891</v>
      </c>
      <c r="D811" s="821"/>
      <c r="E811" s="821"/>
      <c r="F811" s="814" t="s">
        <v>401</v>
      </c>
      <c r="G811" s="101" t="str">
        <f>VLOOKUP(F811,'01. TH'!$B:$E,3,0)</f>
        <v>1x1x1</v>
      </c>
      <c r="H811" s="813" t="s">
        <v>1348</v>
      </c>
      <c r="I811" s="813" t="s">
        <v>5887</v>
      </c>
      <c r="J811" s="822"/>
      <c r="K811" s="822" t="s">
        <v>2422</v>
      </c>
      <c r="L811" s="823"/>
      <c r="M811" s="824"/>
      <c r="N811" s="814" t="s">
        <v>3611</v>
      </c>
      <c r="O811" s="824"/>
      <c r="P811" s="814" t="s">
        <v>3613</v>
      </c>
      <c r="Q811" s="825"/>
      <c r="R811" s="826"/>
      <c r="S811" s="826"/>
      <c r="T811" s="827"/>
      <c r="U811" s="821"/>
      <c r="V811" s="821"/>
    </row>
    <row r="812" customHeight="1" spans="1:22">
      <c r="A812" s="813">
        <f t="shared" si="17"/>
        <v>7</v>
      </c>
      <c r="B812" s="814" t="s">
        <v>5896</v>
      </c>
      <c r="C812" s="815" t="s">
        <v>5897</v>
      </c>
      <c r="D812" s="814" t="s">
        <v>5898</v>
      </c>
      <c r="E812" s="814"/>
      <c r="F812" s="814" t="s">
        <v>401</v>
      </c>
      <c r="G812" s="101" t="str">
        <f>VLOOKUP(F812,'01. TH'!$B:$E,3,0)</f>
        <v>1x1x1</v>
      </c>
      <c r="H812" s="813" t="s">
        <v>1348</v>
      </c>
      <c r="I812" s="813"/>
      <c r="J812" s="814"/>
      <c r="K812" s="813" t="s">
        <v>1839</v>
      </c>
      <c r="L812" s="814"/>
      <c r="M812" s="815"/>
      <c r="N812" s="814" t="s">
        <v>3611</v>
      </c>
      <c r="O812" s="815" t="s">
        <v>1019</v>
      </c>
      <c r="P812" s="814" t="s">
        <v>3613</v>
      </c>
      <c r="Q812" s="813"/>
      <c r="R812" s="815"/>
      <c r="S812" s="815">
        <v>44</v>
      </c>
      <c r="T812" s="828"/>
      <c r="U812" s="815"/>
      <c r="V812" s="815"/>
    </row>
    <row r="813" customHeight="1" spans="1:22">
      <c r="A813" s="813">
        <f t="shared" si="17"/>
        <v>8</v>
      </c>
      <c r="B813" s="814" t="s">
        <v>5899</v>
      </c>
      <c r="C813" s="815" t="s">
        <v>5900</v>
      </c>
      <c r="D813" s="814"/>
      <c r="E813" s="814"/>
      <c r="F813" s="814" t="s">
        <v>383</v>
      </c>
      <c r="G813" s="101">
        <f>VLOOKUP(F813,'01. TH'!$B:$E,3,0)</f>
        <v>0</v>
      </c>
      <c r="H813" s="813" t="s">
        <v>1250</v>
      </c>
      <c r="I813" s="829">
        <v>45357</v>
      </c>
      <c r="J813" s="814"/>
      <c r="K813" s="822" t="s">
        <v>2422</v>
      </c>
      <c r="L813" s="814"/>
      <c r="M813" s="815"/>
      <c r="N813" s="814"/>
      <c r="O813" s="815" t="s">
        <v>1019</v>
      </c>
      <c r="P813" s="814" t="s">
        <v>2742</v>
      </c>
      <c r="Q813" s="813"/>
      <c r="R813" s="815"/>
      <c r="S813" s="815" t="s">
        <v>5901</v>
      </c>
      <c r="T813" s="818">
        <v>8.47</v>
      </c>
      <c r="U813" s="814"/>
      <c r="V813" s="814"/>
    </row>
    <row r="814" customHeight="1" spans="1:22">
      <c r="A814" s="813">
        <f t="shared" si="17"/>
        <v>9</v>
      </c>
      <c r="B814" s="814" t="s">
        <v>5902</v>
      </c>
      <c r="C814" s="815"/>
      <c r="D814" s="814"/>
      <c r="E814" s="814"/>
      <c r="F814" s="814" t="s">
        <v>5903</v>
      </c>
      <c r="G814" s="101" t="e">
        <f>VLOOKUP(F814,'01. TH'!$B:$E,3,0)</f>
        <v>#N/A</v>
      </c>
      <c r="H814" s="813" t="s">
        <v>1103</v>
      </c>
      <c r="I814" s="829">
        <v>45388</v>
      </c>
      <c r="J814" s="814"/>
      <c r="K814" s="813" t="s">
        <v>5493</v>
      </c>
      <c r="L814" s="814"/>
      <c r="M814" s="815" t="s">
        <v>5904</v>
      </c>
      <c r="N814" s="814" t="s">
        <v>3611</v>
      </c>
      <c r="O814" s="815"/>
      <c r="P814" s="814" t="s">
        <v>3613</v>
      </c>
      <c r="Q814" s="813"/>
      <c r="R814" s="815"/>
      <c r="S814" s="815"/>
      <c r="T814" s="818"/>
      <c r="U814" s="814"/>
      <c r="V814" s="814"/>
    </row>
    <row r="815" customHeight="1" spans="1:22">
      <c r="A815" s="813">
        <f t="shared" si="17"/>
        <v>10</v>
      </c>
      <c r="B815" s="814" t="s">
        <v>5905</v>
      </c>
      <c r="C815" s="815" t="s">
        <v>5906</v>
      </c>
      <c r="D815" s="814" t="s">
        <v>5055</v>
      </c>
      <c r="E815" s="814"/>
      <c r="F815" s="814" t="s">
        <v>405</v>
      </c>
      <c r="G815" s="101" t="str">
        <f>VLOOKUP(F815,'01. TH'!$B:$E,3,0)</f>
        <v>1x1x1</v>
      </c>
      <c r="H815" s="813" t="s">
        <v>1348</v>
      </c>
      <c r="I815" s="829">
        <v>45330</v>
      </c>
      <c r="J815" s="814"/>
      <c r="K815" s="813" t="s">
        <v>5493</v>
      </c>
      <c r="L815" s="814"/>
      <c r="M815" s="815" t="s">
        <v>5907</v>
      </c>
      <c r="N815" s="814" t="s">
        <v>3611</v>
      </c>
      <c r="O815" s="815" t="s">
        <v>1019</v>
      </c>
      <c r="P815" s="814" t="s">
        <v>3613</v>
      </c>
      <c r="Q815" s="813"/>
      <c r="R815" s="815"/>
      <c r="S815" s="815" t="s">
        <v>4403</v>
      </c>
      <c r="T815" s="828"/>
      <c r="U815" s="815"/>
      <c r="V815" s="815"/>
    </row>
    <row r="816" customHeight="1" spans="1:22">
      <c r="A816" s="813">
        <f t="shared" si="17"/>
        <v>11</v>
      </c>
      <c r="B816" s="815" t="s">
        <v>5908</v>
      </c>
      <c r="C816" s="830"/>
      <c r="D816" s="814" t="s">
        <v>4721</v>
      </c>
      <c r="E816" s="814"/>
      <c r="F816" s="814" t="s">
        <v>401</v>
      </c>
      <c r="G816" s="101" t="str">
        <f>VLOOKUP(F816,'01. TH'!$B:$E,3,0)</f>
        <v>1x1x1</v>
      </c>
      <c r="H816" s="813" t="s">
        <v>5909</v>
      </c>
      <c r="I816" s="813" t="s">
        <v>1479</v>
      </c>
      <c r="J816" s="814"/>
      <c r="K816" s="813" t="s">
        <v>1839</v>
      </c>
      <c r="L816" s="814"/>
      <c r="M816" s="815" t="s">
        <v>5904</v>
      </c>
      <c r="N816" s="814" t="s">
        <v>3611</v>
      </c>
      <c r="O816" s="815"/>
      <c r="P816" s="814" t="s">
        <v>3613</v>
      </c>
      <c r="Q816" s="813"/>
      <c r="R816" s="815"/>
      <c r="S816" s="815" t="s">
        <v>4729</v>
      </c>
      <c r="T816" s="818"/>
      <c r="U816" s="814"/>
      <c r="V816" s="814"/>
    </row>
    <row r="817" customHeight="1" spans="1:22">
      <c r="A817" s="813">
        <f t="shared" si="17"/>
        <v>12</v>
      </c>
      <c r="B817" s="814" t="s">
        <v>5910</v>
      </c>
      <c r="C817" s="815" t="s">
        <v>5911</v>
      </c>
      <c r="D817" s="814" t="s">
        <v>5912</v>
      </c>
      <c r="E817" s="814"/>
      <c r="F817" s="814" t="s">
        <v>401</v>
      </c>
      <c r="G817" s="101" t="str">
        <f>VLOOKUP(F817,'01. TH'!$B:$E,3,0)</f>
        <v>1x1x1</v>
      </c>
      <c r="H817" s="813" t="s">
        <v>3023</v>
      </c>
      <c r="I817" s="813"/>
      <c r="J817" s="814"/>
      <c r="K817" s="813" t="s">
        <v>1839</v>
      </c>
      <c r="L817" s="814"/>
      <c r="M817" s="815" t="s">
        <v>5904</v>
      </c>
      <c r="N817" s="814" t="s">
        <v>3611</v>
      </c>
      <c r="O817" s="815"/>
      <c r="P817" s="814" t="s">
        <v>3613</v>
      </c>
      <c r="Q817" s="813"/>
      <c r="R817" s="815"/>
      <c r="S817" s="815" t="s">
        <v>5913</v>
      </c>
      <c r="T817" s="818"/>
      <c r="U817" s="814"/>
      <c r="V817" s="814"/>
    </row>
    <row r="818" customHeight="1" spans="1:22">
      <c r="A818" s="813">
        <f t="shared" si="17"/>
        <v>13</v>
      </c>
      <c r="B818" s="814" t="s">
        <v>5914</v>
      </c>
      <c r="C818" s="815" t="s">
        <v>5915</v>
      </c>
      <c r="D818" s="814" t="s">
        <v>5916</v>
      </c>
      <c r="E818" s="814"/>
      <c r="F818" s="814" t="s">
        <v>383</v>
      </c>
      <c r="G818" s="101">
        <f>VLOOKUP(F818,'01. TH'!$B:$E,3,0)</f>
        <v>0</v>
      </c>
      <c r="H818" s="813" t="s">
        <v>3023</v>
      </c>
      <c r="I818" s="813"/>
      <c r="J818" s="814"/>
      <c r="K818" s="813" t="s">
        <v>1839</v>
      </c>
      <c r="L818" s="814"/>
      <c r="M818" s="815" t="s">
        <v>5904</v>
      </c>
      <c r="N818" s="814"/>
      <c r="O818" s="815"/>
      <c r="P818" s="814" t="s">
        <v>2742</v>
      </c>
      <c r="Q818" s="813"/>
      <c r="R818" s="815"/>
      <c r="S818" s="815" t="s">
        <v>5917</v>
      </c>
      <c r="T818" s="818">
        <v>8.47</v>
      </c>
      <c r="U818" s="814"/>
      <c r="V818" s="814"/>
    </row>
    <row r="819" ht="13.5" customHeight="1" spans="1:22">
      <c r="A819" s="211" t="s">
        <v>290</v>
      </c>
      <c r="B819" s="212" t="s">
        <v>3019</v>
      </c>
      <c r="C819" s="211">
        <f>COUNTA(B820:B834)</f>
        <v>7</v>
      </c>
      <c r="D819" s="211"/>
      <c r="E819" s="211"/>
      <c r="F819" s="211"/>
      <c r="G819" s="63"/>
      <c r="H819" s="63"/>
      <c r="I819" s="211"/>
      <c r="J819" s="213"/>
      <c r="K819" s="211"/>
      <c r="L819" s="211"/>
      <c r="M819" s="212"/>
      <c r="N819" s="212"/>
      <c r="O819" s="212"/>
      <c r="P819" s="211"/>
      <c r="Q819" s="211"/>
      <c r="R819" s="211"/>
      <c r="S819" s="212"/>
      <c r="T819" s="216"/>
      <c r="U819" s="216"/>
      <c r="V819" s="216"/>
    </row>
    <row r="820" customHeight="1" spans="1:22">
      <c r="A820" s="33">
        <f>A571+1</f>
        <v>31</v>
      </c>
      <c r="B820" s="831" t="s">
        <v>5918</v>
      </c>
      <c r="C820" s="31" t="s">
        <v>5919</v>
      </c>
      <c r="D820" s="31" t="s">
        <v>5920</v>
      </c>
      <c r="E820" s="31"/>
      <c r="F820" s="31" t="s">
        <v>5921</v>
      </c>
      <c r="G820" s="101" t="e">
        <f>VLOOKUP(F820,'01. TH'!$B:$E,3,0)</f>
        <v>#N/A</v>
      </c>
      <c r="H820" s="33" t="s">
        <v>3022</v>
      </c>
      <c r="I820" s="33" t="s">
        <v>3022</v>
      </c>
      <c r="J820" s="31"/>
      <c r="K820" s="679" t="s">
        <v>5922</v>
      </c>
      <c r="L820" s="832"/>
      <c r="M820" s="32"/>
      <c r="N820" s="31" t="s">
        <v>3144</v>
      </c>
      <c r="O820" s="32" t="s">
        <v>5143</v>
      </c>
      <c r="P820" s="31" t="s">
        <v>3144</v>
      </c>
      <c r="Q820" s="33"/>
      <c r="R820" s="32"/>
      <c r="S820" s="32"/>
      <c r="T820" s="833"/>
      <c r="U820" s="32"/>
      <c r="V820" s="32"/>
    </row>
    <row r="821" customHeight="1" spans="1:22">
      <c r="A821" s="33">
        <f t="shared" ref="A821:A822" si="18">A820+1</f>
        <v>32</v>
      </c>
      <c r="B821" s="831" t="s">
        <v>5923</v>
      </c>
      <c r="C821" s="31" t="s">
        <v>5924</v>
      </c>
      <c r="D821" s="31" t="s">
        <v>5925</v>
      </c>
      <c r="E821" s="31"/>
      <c r="F821" s="31" t="s">
        <v>5921</v>
      </c>
      <c r="G821" s="101" t="e">
        <f>VLOOKUP(F821,'01. TH'!$B:$E,3,0)</f>
        <v>#N/A</v>
      </c>
      <c r="H821" s="33" t="s">
        <v>3022</v>
      </c>
      <c r="I821" s="33" t="s">
        <v>3022</v>
      </c>
      <c r="J821" s="31"/>
      <c r="K821" s="679" t="s">
        <v>5922</v>
      </c>
      <c r="L821" s="33"/>
      <c r="M821" s="32"/>
      <c r="N821" s="31" t="s">
        <v>3144</v>
      </c>
      <c r="O821" s="32" t="s">
        <v>5143</v>
      </c>
      <c r="P821" s="31" t="s">
        <v>3144</v>
      </c>
      <c r="Q821" s="33"/>
      <c r="R821" s="32"/>
      <c r="S821" s="32"/>
      <c r="T821" s="833"/>
      <c r="U821" s="32"/>
      <c r="V821" s="32"/>
    </row>
    <row r="822" customHeight="1" spans="1:22">
      <c r="A822" s="33">
        <f t="shared" si="18"/>
        <v>33</v>
      </c>
      <c r="B822" s="831" t="s">
        <v>5926</v>
      </c>
      <c r="C822" s="31" t="s">
        <v>5927</v>
      </c>
      <c r="D822" s="31" t="s">
        <v>5928</v>
      </c>
      <c r="E822" s="31"/>
      <c r="F822" s="31" t="s">
        <v>5921</v>
      </c>
      <c r="G822" s="101" t="e">
        <f>VLOOKUP(F822,'01. TH'!$B:$E,3,0)</f>
        <v>#N/A</v>
      </c>
      <c r="H822" s="33" t="s">
        <v>3022</v>
      </c>
      <c r="I822" s="33" t="s">
        <v>3022</v>
      </c>
      <c r="J822" s="31"/>
      <c r="K822" s="679" t="s">
        <v>5922</v>
      </c>
      <c r="L822" s="33"/>
      <c r="M822" s="32"/>
      <c r="N822" s="31" t="s">
        <v>3144</v>
      </c>
      <c r="O822" s="32" t="s">
        <v>5143</v>
      </c>
      <c r="P822" s="31" t="s">
        <v>3144</v>
      </c>
      <c r="Q822" s="33"/>
      <c r="R822" s="32"/>
      <c r="S822" s="32"/>
      <c r="T822" s="833"/>
      <c r="U822" s="32"/>
      <c r="V822" s="32"/>
    </row>
    <row r="823" customHeight="1" spans="1:22">
      <c r="A823" s="33">
        <v>1</v>
      </c>
      <c r="B823" s="31" t="s">
        <v>5929</v>
      </c>
      <c r="C823" s="32"/>
      <c r="D823" s="31" t="s">
        <v>5930</v>
      </c>
      <c r="E823" s="31"/>
      <c r="F823" s="31" t="s">
        <v>5931</v>
      </c>
      <c r="G823" s="101" t="e">
        <f>VLOOKUP(F823,'01. TH'!$B:$E,3,0)</f>
        <v>#N/A</v>
      </c>
      <c r="H823" s="33" t="s">
        <v>3022</v>
      </c>
      <c r="I823" s="33" t="s">
        <v>3022</v>
      </c>
      <c r="J823" s="31"/>
      <c r="K823" s="679" t="s">
        <v>5922</v>
      </c>
      <c r="L823" s="31"/>
      <c r="M823" s="32" t="s">
        <v>5932</v>
      </c>
      <c r="N823" s="31" t="s">
        <v>3611</v>
      </c>
      <c r="O823" s="32"/>
      <c r="P823" s="31" t="s">
        <v>3613</v>
      </c>
      <c r="Q823" s="33"/>
      <c r="R823" s="32" t="s">
        <v>5933</v>
      </c>
      <c r="S823" s="32"/>
      <c r="T823" s="834"/>
      <c r="U823" s="31"/>
      <c r="V823" s="31"/>
    </row>
    <row r="824" customHeight="1" spans="1:22">
      <c r="A824" s="33">
        <f>A241+1</f>
        <v>3</v>
      </c>
      <c r="B824" s="31" t="s">
        <v>5934</v>
      </c>
      <c r="C824" s="31" t="s">
        <v>5935</v>
      </c>
      <c r="D824" s="31" t="s">
        <v>4393</v>
      </c>
      <c r="E824" s="31"/>
      <c r="F824" s="31" t="s">
        <v>401</v>
      </c>
      <c r="G824" s="101" t="str">
        <f>VLOOKUP(F824,'01. TH'!$B:$E,3,0)</f>
        <v>1x1x1</v>
      </c>
      <c r="H824" s="33" t="s">
        <v>3022</v>
      </c>
      <c r="I824" s="33" t="s">
        <v>3022</v>
      </c>
      <c r="J824" s="31"/>
      <c r="K824" s="679" t="s">
        <v>5922</v>
      </c>
      <c r="L824" s="31"/>
      <c r="M824" s="32"/>
      <c r="N824" s="31" t="s">
        <v>3611</v>
      </c>
      <c r="O824" s="32"/>
      <c r="P824" s="31" t="s">
        <v>3613</v>
      </c>
      <c r="Q824" s="33"/>
      <c r="R824" s="32"/>
      <c r="S824" s="32">
        <v>40</v>
      </c>
      <c r="T824" s="834"/>
      <c r="U824" s="31"/>
      <c r="V824" s="31"/>
    </row>
    <row r="825" customHeight="1" spans="1:22">
      <c r="A825" s="33">
        <f>A824+1</f>
        <v>4</v>
      </c>
      <c r="B825" s="31" t="s">
        <v>5936</v>
      </c>
      <c r="C825" s="31" t="s">
        <v>5937</v>
      </c>
      <c r="D825" s="31" t="s">
        <v>4396</v>
      </c>
      <c r="E825" s="31"/>
      <c r="F825" s="31" t="s">
        <v>401</v>
      </c>
      <c r="G825" s="101" t="str">
        <f>VLOOKUP(F825,'01. TH'!$B:$E,3,0)</f>
        <v>1x1x1</v>
      </c>
      <c r="H825" s="33" t="s">
        <v>3022</v>
      </c>
      <c r="I825" s="33" t="s">
        <v>3022</v>
      </c>
      <c r="J825" s="31"/>
      <c r="K825" s="679" t="s">
        <v>5922</v>
      </c>
      <c r="L825" s="31"/>
      <c r="M825" s="32"/>
      <c r="N825" s="31" t="s">
        <v>3611</v>
      </c>
      <c r="O825" s="32"/>
      <c r="P825" s="31" t="s">
        <v>3613</v>
      </c>
      <c r="Q825" s="33"/>
      <c r="R825" s="32"/>
      <c r="S825" s="32">
        <v>50</v>
      </c>
      <c r="T825" s="834"/>
      <c r="U825" s="31"/>
      <c r="V825" s="31"/>
    </row>
    <row r="826" customHeight="1" spans="1:22">
      <c r="A826" s="33">
        <f>A145+1</f>
        <v>22</v>
      </c>
      <c r="B826" s="31" t="s">
        <v>5938</v>
      </c>
      <c r="C826" s="32" t="s">
        <v>5939</v>
      </c>
      <c r="D826" s="31" t="s">
        <v>5940</v>
      </c>
      <c r="E826" s="31"/>
      <c r="F826" s="31" t="s">
        <v>330</v>
      </c>
      <c r="G826" s="101" t="str">
        <f>VLOOKUP(F826,'01. TH'!$B:$E,3,0)</f>
        <v>1800x1180x1152</v>
      </c>
      <c r="H826" s="33" t="s">
        <v>3022</v>
      </c>
      <c r="I826" s="33" t="s">
        <v>3022</v>
      </c>
      <c r="J826" s="31"/>
      <c r="K826" s="679" t="s">
        <v>5922</v>
      </c>
      <c r="L826" s="31"/>
      <c r="M826" s="32"/>
      <c r="N826" s="433" t="s">
        <v>590</v>
      </c>
      <c r="O826" s="32"/>
      <c r="P826" s="433" t="s">
        <v>590</v>
      </c>
      <c r="Q826" s="33"/>
      <c r="R826" s="32"/>
      <c r="S826" s="32"/>
      <c r="T826" s="834"/>
      <c r="U826" s="31"/>
      <c r="V826" s="31"/>
    </row>
    <row r="827" customHeight="1" spans="1:22">
      <c r="A827" s="19"/>
      <c r="B827" s="20"/>
      <c r="C827" s="22"/>
      <c r="D827" s="20"/>
      <c r="E827" s="20"/>
      <c r="F827" s="20"/>
      <c r="G827" s="101" t="e">
        <f>VLOOKUP(F827,'01. TH'!$B:$E,3,0)</f>
        <v>#N/A</v>
      </c>
      <c r="H827" s="49"/>
      <c r="I827" s="58"/>
      <c r="J827" s="20"/>
      <c r="K827" s="19"/>
      <c r="L827" s="20"/>
      <c r="M827" s="22"/>
      <c r="N827" s="20"/>
      <c r="O827" s="22"/>
      <c r="P827" s="20"/>
      <c r="Q827" s="19"/>
      <c r="R827" s="22"/>
      <c r="S827" s="22"/>
      <c r="T827" s="321"/>
      <c r="U827" s="22"/>
      <c r="V827" s="22"/>
    </row>
    <row r="828" customHeight="1" spans="1:22">
      <c r="A828" s="19"/>
      <c r="B828" s="20"/>
      <c r="C828" s="22"/>
      <c r="D828" s="20"/>
      <c r="E828" s="20"/>
      <c r="F828" s="20"/>
      <c r="G828" s="101" t="e">
        <f>VLOOKUP(F828,'01. TH'!$B:$E,3,0)</f>
        <v>#N/A</v>
      </c>
      <c r="H828" s="49"/>
      <c r="I828" s="58"/>
      <c r="J828" s="20"/>
      <c r="K828" s="19"/>
      <c r="L828" s="20"/>
      <c r="M828" s="22"/>
      <c r="N828" s="20"/>
      <c r="O828" s="22"/>
      <c r="P828" s="20"/>
      <c r="Q828" s="19"/>
      <c r="R828" s="22"/>
      <c r="S828" s="22"/>
      <c r="T828" s="321"/>
      <c r="U828" s="22"/>
      <c r="V828" s="22"/>
    </row>
    <row r="829" customHeight="1" spans="1:22">
      <c r="A829" s="19"/>
      <c r="B829" s="20"/>
      <c r="C829" s="22"/>
      <c r="D829" s="20"/>
      <c r="E829" s="20"/>
      <c r="F829" s="20"/>
      <c r="G829" s="101" t="e">
        <f>VLOOKUP(F829,'01. TH'!$B:$E,3,0)</f>
        <v>#N/A</v>
      </c>
      <c r="H829" s="49"/>
      <c r="I829" s="58"/>
      <c r="J829" s="20"/>
      <c r="K829" s="19"/>
      <c r="L829" s="20"/>
      <c r="M829" s="22"/>
      <c r="N829" s="20"/>
      <c r="O829" s="22"/>
      <c r="P829" s="20"/>
      <c r="Q829" s="19"/>
      <c r="R829" s="22"/>
      <c r="S829" s="22"/>
      <c r="T829" s="321"/>
      <c r="U829" s="22"/>
      <c r="V829" s="22"/>
    </row>
    <row r="830" customHeight="1" spans="1:22">
      <c r="A830" s="19"/>
      <c r="B830" s="20"/>
      <c r="C830" s="22"/>
      <c r="D830" s="20"/>
      <c r="E830" s="20"/>
      <c r="F830" s="20"/>
      <c r="G830" s="101" t="e">
        <f>VLOOKUP(F830,'01. TH'!$B:$E,3,0)</f>
        <v>#N/A</v>
      </c>
      <c r="H830" s="49"/>
      <c r="I830" s="58"/>
      <c r="J830" s="20"/>
      <c r="K830" s="19"/>
      <c r="L830" s="20"/>
      <c r="M830" s="22"/>
      <c r="N830" s="20"/>
      <c r="O830" s="22"/>
      <c r="P830" s="20"/>
      <c r="Q830" s="19"/>
      <c r="R830" s="22"/>
      <c r="S830" s="22"/>
      <c r="T830" s="321"/>
      <c r="U830" s="22"/>
      <c r="V830" s="22"/>
    </row>
    <row r="831" customHeight="1" spans="1:22">
      <c r="A831" s="19"/>
      <c r="B831" s="20"/>
      <c r="C831" s="22"/>
      <c r="D831" s="20"/>
      <c r="E831" s="20"/>
      <c r="F831" s="20"/>
      <c r="G831" s="101" t="e">
        <f>VLOOKUP(F831,'01. TH'!$B:$E,3,0)</f>
        <v>#N/A</v>
      </c>
      <c r="H831" s="49"/>
      <c r="I831" s="58"/>
      <c r="J831" s="20"/>
      <c r="K831" s="19"/>
      <c r="L831" s="20"/>
      <c r="M831" s="22"/>
      <c r="N831" s="20"/>
      <c r="O831" s="22"/>
      <c r="P831" s="20"/>
      <c r="Q831" s="19"/>
      <c r="R831" s="22"/>
      <c r="S831" s="22"/>
      <c r="T831" s="321"/>
      <c r="U831" s="22"/>
      <c r="V831" s="22"/>
    </row>
    <row r="832" customHeight="1" spans="1:22">
      <c r="A832" s="19"/>
      <c r="B832" s="20"/>
      <c r="C832" s="22"/>
      <c r="D832" s="20"/>
      <c r="E832" s="20"/>
      <c r="F832" s="20"/>
      <c r="G832" s="101" t="e">
        <f>VLOOKUP(F832,'01. TH'!$B:$E,3,0)</f>
        <v>#N/A</v>
      </c>
      <c r="H832" s="49"/>
      <c r="I832" s="58"/>
      <c r="J832" s="20"/>
      <c r="K832" s="19"/>
      <c r="L832" s="20"/>
      <c r="M832" s="22"/>
      <c r="N832" s="20"/>
      <c r="O832" s="22"/>
      <c r="P832" s="20"/>
      <c r="Q832" s="19"/>
      <c r="R832" s="22"/>
      <c r="S832" s="22"/>
      <c r="T832" s="321"/>
      <c r="U832" s="22"/>
      <c r="V832" s="22"/>
    </row>
    <row r="833" customHeight="1" spans="1:22">
      <c r="A833" s="19"/>
      <c r="B833" s="20"/>
      <c r="C833" s="22"/>
      <c r="D833" s="20"/>
      <c r="E833" s="20"/>
      <c r="F833" s="20"/>
      <c r="G833" s="101" t="e">
        <f>VLOOKUP(F833,'01. TH'!$B:$E,3,0)</f>
        <v>#N/A</v>
      </c>
      <c r="H833" s="49"/>
      <c r="I833" s="58"/>
      <c r="J833" s="20"/>
      <c r="K833" s="19"/>
      <c r="L833" s="20"/>
      <c r="M833" s="22"/>
      <c r="N833" s="20"/>
      <c r="O833" s="22"/>
      <c r="P833" s="20"/>
      <c r="Q833" s="19"/>
      <c r="R833" s="22"/>
      <c r="S833" s="22"/>
      <c r="T833" s="321"/>
      <c r="U833" s="22"/>
      <c r="V833" s="22"/>
    </row>
    <row r="834" customHeight="1" spans="1:22">
      <c r="A834" s="19"/>
      <c r="B834" s="20"/>
      <c r="C834" s="22"/>
      <c r="D834" s="20"/>
      <c r="E834" s="20"/>
      <c r="F834" s="20"/>
      <c r="G834" s="101" t="e">
        <f>VLOOKUP(F834,'01. TH'!$B:$E,3,0)</f>
        <v>#N/A</v>
      </c>
      <c r="H834" s="49"/>
      <c r="I834" s="58"/>
      <c r="J834" s="20"/>
      <c r="K834" s="19"/>
      <c r="L834" s="20"/>
      <c r="M834" s="22"/>
      <c r="N834" s="20"/>
      <c r="O834" s="22"/>
      <c r="P834" s="20"/>
      <c r="Q834" s="19"/>
      <c r="R834" s="22"/>
      <c r="S834" s="22"/>
      <c r="T834" s="321"/>
      <c r="U834" s="22"/>
      <c r="V834" s="22"/>
    </row>
    <row r="835" ht="13.5" customHeight="1" spans="1:22">
      <c r="A835" s="63" t="s">
        <v>3335</v>
      </c>
      <c r="B835" s="64" t="s">
        <v>5941</v>
      </c>
      <c r="C835" s="63">
        <f>COUNTA(C836)</f>
        <v>1</v>
      </c>
      <c r="D835" s="63"/>
      <c r="E835" s="63"/>
      <c r="F835" s="63"/>
      <c r="G835" s="63"/>
      <c r="H835" s="63"/>
      <c r="I835" s="65"/>
      <c r="J835" s="63"/>
      <c r="K835" s="63"/>
      <c r="L835" s="63"/>
      <c r="M835" s="64"/>
      <c r="N835" s="64"/>
      <c r="O835" s="64"/>
      <c r="P835" s="64"/>
      <c r="Q835" s="63"/>
      <c r="R835" s="64"/>
      <c r="S835" s="64"/>
      <c r="T835" s="812"/>
      <c r="U835" s="63"/>
      <c r="V835" s="63"/>
    </row>
    <row r="836" ht="40.5" customHeight="1" spans="1:22">
      <c r="A836" s="19">
        <v>1</v>
      </c>
      <c r="B836" s="20" t="s">
        <v>5942</v>
      </c>
      <c r="C836" s="20" t="s">
        <v>5943</v>
      </c>
      <c r="D836" s="20"/>
      <c r="E836" s="20"/>
      <c r="F836" s="20" t="s">
        <v>5008</v>
      </c>
      <c r="G836" s="101" t="e">
        <f>VLOOKUP(F836,'01. TH'!$B:$E,3,0)</f>
        <v>#N/A</v>
      </c>
      <c r="H836" s="19" t="s">
        <v>3221</v>
      </c>
      <c r="I836" s="19" t="s">
        <v>5031</v>
      </c>
      <c r="J836" s="20"/>
      <c r="K836" s="19"/>
      <c r="L836" s="791" t="s">
        <v>5944</v>
      </c>
      <c r="M836" s="22" t="s">
        <v>290</v>
      </c>
      <c r="N836" s="20"/>
      <c r="O836" s="22"/>
      <c r="P836" s="20"/>
      <c r="Q836" s="19">
        <v>2024</v>
      </c>
      <c r="R836" s="22" t="s">
        <v>5945</v>
      </c>
      <c r="S836" s="22"/>
      <c r="T836" s="47"/>
      <c r="U836" s="20"/>
      <c r="V836" s="20"/>
    </row>
    <row r="837" ht="13.8" spans="1:22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</row>
    <row r="838" ht="13.8" spans="1:22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</row>
    <row r="839" ht="13.5" customHeight="1" spans="1:22">
      <c r="A839" s="63"/>
      <c r="B839" s="64"/>
      <c r="C839" s="64" t="s">
        <v>5946</v>
      </c>
      <c r="D839" s="63"/>
      <c r="E839" s="63"/>
      <c r="F839" s="63"/>
      <c r="G839" s="63"/>
      <c r="H839" s="63"/>
      <c r="I839" s="65"/>
      <c r="J839" s="63"/>
      <c r="K839" s="63"/>
      <c r="L839" s="63"/>
      <c r="M839" s="64"/>
      <c r="N839" s="64"/>
      <c r="O839" s="64"/>
      <c r="P839" s="64"/>
      <c r="Q839" s="63"/>
      <c r="R839" s="64"/>
      <c r="S839" s="64"/>
      <c r="T839" s="812"/>
      <c r="U839" s="63"/>
      <c r="V839" s="63"/>
    </row>
    <row r="840" customHeight="1" spans="1:22">
      <c r="A840" s="835"/>
      <c r="B840" s="836"/>
      <c r="C840" s="836"/>
      <c r="D840" s="836"/>
      <c r="E840" s="836"/>
      <c r="F840" s="836"/>
      <c r="G840" s="836"/>
      <c r="H840" s="836"/>
      <c r="I840" s="835"/>
      <c r="J840" s="836"/>
      <c r="K840" s="835"/>
      <c r="L840" s="836"/>
      <c r="M840" s="837"/>
      <c r="N840" s="836"/>
      <c r="O840" s="837"/>
      <c r="P840" s="836"/>
      <c r="Q840" s="835"/>
      <c r="R840" s="837"/>
      <c r="S840" s="837"/>
      <c r="T840" s="838"/>
      <c r="U840" s="836"/>
      <c r="V840" s="836"/>
    </row>
    <row r="841" customHeight="1" spans="1:22">
      <c r="A841" s="835"/>
      <c r="B841" s="836"/>
      <c r="C841" s="836"/>
      <c r="D841" s="836"/>
      <c r="E841" s="836"/>
      <c r="F841" s="836"/>
      <c r="G841" s="836"/>
      <c r="H841" s="836"/>
      <c r="I841" s="835"/>
      <c r="J841" s="836"/>
      <c r="K841" s="835"/>
      <c r="L841" s="836"/>
      <c r="M841" s="837"/>
      <c r="N841" s="836"/>
      <c r="O841" s="837"/>
      <c r="P841" s="836"/>
      <c r="Q841" s="835"/>
      <c r="R841" s="837"/>
      <c r="S841" s="837"/>
      <c r="T841" s="838"/>
      <c r="U841" s="836"/>
      <c r="V841" s="836"/>
    </row>
    <row r="842" customHeight="1" spans="1:22">
      <c r="A842" s="835"/>
      <c r="B842" s="836"/>
      <c r="C842" s="836"/>
      <c r="D842" s="836"/>
      <c r="E842" s="836"/>
      <c r="F842" s="836"/>
      <c r="G842" s="836"/>
      <c r="H842" s="836"/>
      <c r="I842" s="835"/>
      <c r="J842" s="836"/>
      <c r="K842" s="835"/>
      <c r="L842" s="836"/>
      <c r="M842" s="837"/>
      <c r="N842" s="836"/>
      <c r="O842" s="837"/>
      <c r="P842" s="836"/>
      <c r="Q842" s="835"/>
      <c r="R842" s="837"/>
      <c r="S842" s="837"/>
      <c r="T842" s="838"/>
      <c r="U842" s="836"/>
      <c r="V842" s="836"/>
    </row>
    <row r="843" customHeight="1" spans="1:22">
      <c r="A843" s="835"/>
      <c r="B843" s="836"/>
      <c r="C843" s="836"/>
      <c r="D843" s="836"/>
      <c r="E843" s="836"/>
      <c r="F843" s="836"/>
      <c r="G843" s="836"/>
      <c r="H843" s="836"/>
      <c r="I843" s="835"/>
      <c r="J843" s="836"/>
      <c r="K843" s="835"/>
      <c r="L843" s="836"/>
      <c r="M843" s="837"/>
      <c r="N843" s="836"/>
      <c r="O843" s="837"/>
      <c r="P843" s="836"/>
      <c r="Q843" s="835"/>
      <c r="R843" s="837"/>
      <c r="S843" s="837"/>
      <c r="T843" s="838"/>
      <c r="U843" s="836"/>
      <c r="V843" s="836"/>
    </row>
    <row r="844" customHeight="1" spans="1:22">
      <c r="A844" s="835"/>
      <c r="B844" s="836"/>
      <c r="C844" s="836"/>
      <c r="D844" s="836"/>
      <c r="E844" s="836"/>
      <c r="F844" s="836"/>
      <c r="G844" s="836"/>
      <c r="H844" s="836"/>
      <c r="I844" s="835"/>
      <c r="J844" s="836"/>
      <c r="K844" s="835"/>
      <c r="L844" s="836"/>
      <c r="M844" s="837"/>
      <c r="N844" s="836"/>
      <c r="O844" s="837"/>
      <c r="P844" s="836"/>
      <c r="Q844" s="835"/>
      <c r="R844" s="837"/>
      <c r="S844" s="837"/>
      <c r="T844" s="838"/>
      <c r="U844" s="836"/>
      <c r="V844" s="836"/>
    </row>
    <row r="845" customHeight="1" spans="1:22">
      <c r="A845" s="835"/>
      <c r="B845" s="836"/>
      <c r="C845" s="836"/>
      <c r="D845" s="836"/>
      <c r="E845" s="836"/>
      <c r="F845" s="836"/>
      <c r="G845" s="836"/>
      <c r="H845" s="836"/>
      <c r="I845" s="835"/>
      <c r="J845" s="836"/>
      <c r="K845" s="835"/>
      <c r="L845" s="836"/>
      <c r="M845" s="837"/>
      <c r="N845" s="836"/>
      <c r="O845" s="837"/>
      <c r="P845" s="836"/>
      <c r="Q845" s="835"/>
      <c r="R845" s="837"/>
      <c r="S845" s="837"/>
      <c r="T845" s="838"/>
      <c r="U845" s="836"/>
      <c r="V845" s="836"/>
    </row>
    <row r="846" customHeight="1" spans="1:22">
      <c r="A846" s="835"/>
      <c r="B846" s="836"/>
      <c r="C846" s="836"/>
      <c r="D846" s="836"/>
      <c r="E846" s="836"/>
      <c r="F846" s="836"/>
      <c r="G846" s="836"/>
      <c r="H846" s="836"/>
      <c r="I846" s="835"/>
      <c r="J846" s="836"/>
      <c r="K846" s="835"/>
      <c r="L846" s="836"/>
      <c r="M846" s="837"/>
      <c r="N846" s="836"/>
      <c r="O846" s="837"/>
      <c r="P846" s="836"/>
      <c r="Q846" s="835"/>
      <c r="R846" s="837"/>
      <c r="S846" s="837"/>
      <c r="T846" s="838"/>
      <c r="U846" s="836"/>
      <c r="V846" s="836"/>
    </row>
    <row r="847" customHeight="1" spans="1:22">
      <c r="A847" s="835"/>
      <c r="B847" s="836"/>
      <c r="C847" s="836"/>
      <c r="D847" s="836"/>
      <c r="E847" s="836"/>
      <c r="F847" s="836"/>
      <c r="G847" s="836"/>
      <c r="H847" s="836"/>
      <c r="I847" s="835"/>
      <c r="J847" s="836"/>
      <c r="K847" s="835"/>
      <c r="L847" s="836"/>
      <c r="M847" s="837"/>
      <c r="N847" s="836"/>
      <c r="O847" s="837"/>
      <c r="P847" s="836"/>
      <c r="Q847" s="835"/>
      <c r="R847" s="837"/>
      <c r="S847" s="837"/>
      <c r="T847" s="838"/>
      <c r="U847" s="836"/>
      <c r="V847" s="836"/>
    </row>
    <row r="848" customHeight="1" spans="1:22">
      <c r="A848" s="835"/>
      <c r="B848" s="836"/>
      <c r="C848" s="836"/>
      <c r="D848" s="836"/>
      <c r="E848" s="836"/>
      <c r="F848" s="836"/>
      <c r="G848" s="836"/>
      <c r="H848" s="836"/>
      <c r="I848" s="835"/>
      <c r="J848" s="836"/>
      <c r="K848" s="835"/>
      <c r="L848" s="836"/>
      <c r="M848" s="837"/>
      <c r="N848" s="836"/>
      <c r="O848" s="837"/>
      <c r="P848" s="836"/>
      <c r="Q848" s="835"/>
      <c r="R848" s="837"/>
      <c r="S848" s="837"/>
      <c r="T848" s="838"/>
      <c r="U848" s="836"/>
      <c r="V848" s="836"/>
    </row>
    <row r="849" customHeight="1" spans="1:22">
      <c r="A849" s="835"/>
      <c r="B849" s="836"/>
      <c r="C849" s="836"/>
      <c r="D849" s="836"/>
      <c r="E849" s="836"/>
      <c r="F849" s="836"/>
      <c r="G849" s="836"/>
      <c r="H849" s="836"/>
      <c r="I849" s="835"/>
      <c r="J849" s="836"/>
      <c r="K849" s="835"/>
      <c r="L849" s="836"/>
      <c r="M849" s="837"/>
      <c r="N849" s="836"/>
      <c r="O849" s="837"/>
      <c r="P849" s="836"/>
      <c r="Q849" s="835"/>
      <c r="R849" s="837"/>
      <c r="S849" s="837"/>
      <c r="T849" s="838"/>
      <c r="U849" s="836"/>
      <c r="V849" s="836"/>
    </row>
    <row r="850" customHeight="1" spans="1:22">
      <c r="A850" s="835"/>
      <c r="B850" s="836"/>
      <c r="C850" s="836"/>
      <c r="D850" s="836"/>
      <c r="E850" s="836"/>
      <c r="F850" s="836"/>
      <c r="G850" s="836"/>
      <c r="H850" s="836"/>
      <c r="I850" s="835"/>
      <c r="J850" s="836"/>
      <c r="K850" s="835"/>
      <c r="L850" s="836"/>
      <c r="M850" s="837"/>
      <c r="N850" s="836"/>
      <c r="O850" s="837"/>
      <c r="P850" s="836"/>
      <c r="Q850" s="835"/>
      <c r="R850" s="837"/>
      <c r="S850" s="837"/>
      <c r="T850" s="838"/>
      <c r="U850" s="836"/>
      <c r="V850" s="836"/>
    </row>
    <row r="851" customHeight="1" spans="1:22">
      <c r="A851" s="835"/>
      <c r="B851" s="836"/>
      <c r="C851" s="836"/>
      <c r="D851" s="836"/>
      <c r="E851" s="836"/>
      <c r="F851" s="836"/>
      <c r="G851" s="836"/>
      <c r="H851" s="836"/>
      <c r="I851" s="835"/>
      <c r="J851" s="836"/>
      <c r="K851" s="835"/>
      <c r="L851" s="836"/>
      <c r="M851" s="837"/>
      <c r="N851" s="836"/>
      <c r="O851" s="837"/>
      <c r="P851" s="836"/>
      <c r="Q851" s="835"/>
      <c r="R851" s="837"/>
      <c r="S851" s="837"/>
      <c r="T851" s="838"/>
      <c r="U851" s="836"/>
      <c r="V851" s="836"/>
    </row>
    <row r="852" customHeight="1" spans="1:22">
      <c r="A852" s="835"/>
      <c r="B852" s="836"/>
      <c r="C852" s="836"/>
      <c r="D852" s="836"/>
      <c r="E852" s="836"/>
      <c r="F852" s="836"/>
      <c r="G852" s="836"/>
      <c r="H852" s="836"/>
      <c r="I852" s="835"/>
      <c r="J852" s="836"/>
      <c r="K852" s="835"/>
      <c r="L852" s="836"/>
      <c r="M852" s="837"/>
      <c r="N852" s="836"/>
      <c r="O852" s="837"/>
      <c r="P852" s="836"/>
      <c r="Q852" s="835"/>
      <c r="R852" s="837"/>
      <c r="S852" s="837"/>
      <c r="T852" s="838"/>
      <c r="U852" s="836"/>
      <c r="V852" s="836"/>
    </row>
    <row r="853" customHeight="1" spans="1:22">
      <c r="A853" s="835"/>
      <c r="B853" s="836"/>
      <c r="C853" s="836"/>
      <c r="D853" s="836"/>
      <c r="E853" s="836"/>
      <c r="F853" s="836"/>
      <c r="G853" s="836"/>
      <c r="H853" s="836"/>
      <c r="I853" s="835"/>
      <c r="J853" s="836"/>
      <c r="K853" s="835"/>
      <c r="L853" s="836"/>
      <c r="M853" s="837"/>
      <c r="N853" s="836"/>
      <c r="O853" s="837"/>
      <c r="P853" s="836"/>
      <c r="Q853" s="835"/>
      <c r="R853" s="837"/>
      <c r="S853" s="837"/>
      <c r="T853" s="838"/>
      <c r="U853" s="836"/>
      <c r="V853" s="836"/>
    </row>
    <row r="854" customHeight="1" spans="1:22">
      <c r="A854" s="835"/>
      <c r="B854" s="836"/>
      <c r="C854" s="836"/>
      <c r="D854" s="836"/>
      <c r="E854" s="836"/>
      <c r="F854" s="836"/>
      <c r="G854" s="836"/>
      <c r="H854" s="836"/>
      <c r="I854" s="835"/>
      <c r="J854" s="836"/>
      <c r="K854" s="835"/>
      <c r="L854" s="836"/>
      <c r="M854" s="837"/>
      <c r="N854" s="836"/>
      <c r="O854" s="837"/>
      <c r="P854" s="836"/>
      <c r="Q854" s="835"/>
      <c r="R854" s="837"/>
      <c r="S854" s="837"/>
      <c r="T854" s="838"/>
      <c r="U854" s="836"/>
      <c r="V854" s="836"/>
    </row>
    <row r="855" customHeight="1" spans="1:22">
      <c r="A855" s="835"/>
      <c r="B855" s="836"/>
      <c r="C855" s="836"/>
      <c r="D855" s="836"/>
      <c r="E855" s="836"/>
      <c r="F855" s="836"/>
      <c r="G855" s="836"/>
      <c r="H855" s="836"/>
      <c r="I855" s="835"/>
      <c r="J855" s="836"/>
      <c r="K855" s="835"/>
      <c r="L855" s="836"/>
      <c r="M855" s="837"/>
      <c r="N855" s="836"/>
      <c r="O855" s="837"/>
      <c r="P855" s="836"/>
      <c r="Q855" s="835"/>
      <c r="R855" s="837"/>
      <c r="S855" s="837"/>
      <c r="T855" s="838"/>
      <c r="U855" s="836"/>
      <c r="V855" s="836"/>
    </row>
    <row r="856" customHeight="1" spans="1:22">
      <c r="A856" s="835"/>
      <c r="B856" s="836"/>
      <c r="C856" s="836"/>
      <c r="D856" s="836"/>
      <c r="E856" s="836"/>
      <c r="F856" s="836"/>
      <c r="G856" s="836"/>
      <c r="H856" s="836"/>
      <c r="I856" s="835"/>
      <c r="J856" s="836"/>
      <c r="K856" s="835"/>
      <c r="L856" s="836"/>
      <c r="M856" s="837"/>
      <c r="N856" s="836"/>
      <c r="O856" s="837"/>
      <c r="P856" s="836"/>
      <c r="Q856" s="835"/>
      <c r="R856" s="837"/>
      <c r="S856" s="837"/>
      <c r="T856" s="838"/>
      <c r="U856" s="836"/>
      <c r="V856" s="836"/>
    </row>
    <row r="857" customHeight="1" spans="1:22">
      <c r="A857" s="835"/>
      <c r="B857" s="836"/>
      <c r="C857" s="836"/>
      <c r="D857" s="836"/>
      <c r="E857" s="836"/>
      <c r="F857" s="836"/>
      <c r="G857" s="836"/>
      <c r="H857" s="836"/>
      <c r="I857" s="835"/>
      <c r="J857" s="836"/>
      <c r="K857" s="835"/>
      <c r="L857" s="836"/>
      <c r="M857" s="837"/>
      <c r="N857" s="836"/>
      <c r="O857" s="837"/>
      <c r="P857" s="836"/>
      <c r="Q857" s="835"/>
      <c r="R857" s="837"/>
      <c r="S857" s="837"/>
      <c r="T857" s="838"/>
      <c r="U857" s="836"/>
      <c r="V857" s="836"/>
    </row>
    <row r="858" customHeight="1" spans="1:22">
      <c r="A858" s="835"/>
      <c r="B858" s="836"/>
      <c r="C858" s="836"/>
      <c r="D858" s="836"/>
      <c r="E858" s="836"/>
      <c r="F858" s="836"/>
      <c r="G858" s="836"/>
      <c r="H858" s="836"/>
      <c r="I858" s="835"/>
      <c r="J858" s="836"/>
      <c r="K858" s="835"/>
      <c r="L858" s="836"/>
      <c r="M858" s="837"/>
      <c r="N858" s="836"/>
      <c r="O858" s="837"/>
      <c r="P858" s="836"/>
      <c r="Q858" s="835"/>
      <c r="R858" s="837"/>
      <c r="S858" s="837"/>
      <c r="T858" s="838"/>
      <c r="U858" s="836"/>
      <c r="V858" s="836"/>
    </row>
    <row r="859" customHeight="1" spans="1:22">
      <c r="A859" s="835"/>
      <c r="B859" s="836"/>
      <c r="C859" s="836"/>
      <c r="D859" s="836"/>
      <c r="E859" s="836"/>
      <c r="F859" s="836"/>
      <c r="G859" s="836"/>
      <c r="H859" s="836"/>
      <c r="I859" s="835"/>
      <c r="J859" s="836"/>
      <c r="K859" s="835"/>
      <c r="L859" s="836"/>
      <c r="M859" s="837"/>
      <c r="N859" s="836"/>
      <c r="O859" s="837"/>
      <c r="P859" s="836"/>
      <c r="Q859" s="835"/>
      <c r="R859" s="837"/>
      <c r="S859" s="837"/>
      <c r="T859" s="838"/>
      <c r="U859" s="836"/>
      <c r="V859" s="836"/>
    </row>
    <row r="860" customHeight="1" spans="1:22">
      <c r="A860" s="835"/>
      <c r="B860" s="836"/>
      <c r="C860" s="836"/>
      <c r="D860" s="836"/>
      <c r="E860" s="836"/>
      <c r="F860" s="836"/>
      <c r="G860" s="836"/>
      <c r="H860" s="836"/>
      <c r="I860" s="835"/>
      <c r="J860" s="836"/>
      <c r="K860" s="835"/>
      <c r="L860" s="836"/>
      <c r="M860" s="837"/>
      <c r="N860" s="836"/>
      <c r="O860" s="837"/>
      <c r="P860" s="836"/>
      <c r="Q860" s="835"/>
      <c r="R860" s="837"/>
      <c r="S860" s="837"/>
      <c r="T860" s="838"/>
      <c r="U860" s="836"/>
      <c r="V860" s="836"/>
    </row>
    <row r="861" customHeight="1" spans="1:22">
      <c r="A861" s="835"/>
      <c r="B861" s="836"/>
      <c r="C861" s="836"/>
      <c r="D861" s="836"/>
      <c r="E861" s="836"/>
      <c r="F861" s="836"/>
      <c r="G861" s="836"/>
      <c r="H861" s="836"/>
      <c r="I861" s="835"/>
      <c r="J861" s="836"/>
      <c r="K861" s="835"/>
      <c r="L861" s="836"/>
      <c r="M861" s="837"/>
      <c r="N861" s="836"/>
      <c r="O861" s="837"/>
      <c r="P861" s="836"/>
      <c r="Q861" s="835"/>
      <c r="R861" s="837"/>
      <c r="S861" s="837"/>
      <c r="T861" s="838"/>
      <c r="U861" s="836"/>
      <c r="V861" s="836"/>
    </row>
    <row r="862" customHeight="1" spans="1:22">
      <c r="A862" s="835"/>
      <c r="B862" s="836"/>
      <c r="C862" s="836"/>
      <c r="D862" s="836"/>
      <c r="E862" s="836"/>
      <c r="F862" s="836"/>
      <c r="G862" s="836"/>
      <c r="H862" s="836"/>
      <c r="I862" s="835"/>
      <c r="J862" s="836"/>
      <c r="K862" s="835"/>
      <c r="L862" s="836"/>
      <c r="M862" s="837"/>
      <c r="N862" s="836"/>
      <c r="O862" s="837"/>
      <c r="P862" s="836"/>
      <c r="Q862" s="835"/>
      <c r="R862" s="837"/>
      <c r="S862" s="837"/>
      <c r="T862" s="838"/>
      <c r="U862" s="836"/>
      <c r="V862" s="836"/>
    </row>
    <row r="863" customHeight="1" spans="1:22">
      <c r="A863" s="835"/>
      <c r="B863" s="836"/>
      <c r="C863" s="836"/>
      <c r="D863" s="836"/>
      <c r="E863" s="836"/>
      <c r="F863" s="836"/>
      <c r="G863" s="836"/>
      <c r="H863" s="836"/>
      <c r="I863" s="835"/>
      <c r="J863" s="836"/>
      <c r="K863" s="835"/>
      <c r="L863" s="836"/>
      <c r="M863" s="837"/>
      <c r="N863" s="836"/>
      <c r="O863" s="837"/>
      <c r="P863" s="836"/>
      <c r="Q863" s="835"/>
      <c r="R863" s="837"/>
      <c r="S863" s="837"/>
      <c r="T863" s="838"/>
      <c r="U863" s="836"/>
      <c r="V863" s="836"/>
    </row>
    <row r="864" customHeight="1" spans="1:22">
      <c r="A864" s="835"/>
      <c r="B864" s="836"/>
      <c r="C864" s="836"/>
      <c r="D864" s="836"/>
      <c r="E864" s="836"/>
      <c r="F864" s="836"/>
      <c r="G864" s="836"/>
      <c r="H864" s="836"/>
      <c r="I864" s="835"/>
      <c r="J864" s="836"/>
      <c r="K864" s="835"/>
      <c r="L864" s="836"/>
      <c r="M864" s="837"/>
      <c r="N864" s="836"/>
      <c r="O864" s="837"/>
      <c r="P864" s="836"/>
      <c r="Q864" s="835"/>
      <c r="R864" s="837"/>
      <c r="S864" s="837"/>
      <c r="T864" s="838"/>
      <c r="U864" s="836"/>
      <c r="V864" s="836"/>
    </row>
    <row r="865" customHeight="1" spans="1:22">
      <c r="A865" s="835"/>
      <c r="B865" s="836"/>
      <c r="C865" s="836"/>
      <c r="D865" s="836"/>
      <c r="E865" s="836"/>
      <c r="F865" s="836"/>
      <c r="G865" s="836"/>
      <c r="H865" s="836"/>
      <c r="I865" s="835"/>
      <c r="J865" s="836"/>
      <c r="K865" s="835"/>
      <c r="L865" s="836"/>
      <c r="M865" s="837"/>
      <c r="N865" s="836"/>
      <c r="O865" s="837"/>
      <c r="P865" s="836"/>
      <c r="Q865" s="835"/>
      <c r="R865" s="837"/>
      <c r="S865" s="837"/>
      <c r="T865" s="838"/>
      <c r="U865" s="836"/>
      <c r="V865" s="836"/>
    </row>
    <row r="866" customHeight="1" spans="1:22">
      <c r="A866" s="835"/>
      <c r="B866" s="836"/>
      <c r="C866" s="836"/>
      <c r="D866" s="836"/>
      <c r="E866" s="836"/>
      <c r="F866" s="836"/>
      <c r="G866" s="836"/>
      <c r="H866" s="836"/>
      <c r="I866" s="835"/>
      <c r="J866" s="836"/>
      <c r="K866" s="835"/>
      <c r="L866" s="836"/>
      <c r="M866" s="837"/>
      <c r="N866" s="836"/>
      <c r="O866" s="837"/>
      <c r="P866" s="836"/>
      <c r="Q866" s="835"/>
      <c r="R866" s="837"/>
      <c r="S866" s="837"/>
      <c r="T866" s="838"/>
      <c r="U866" s="836"/>
      <c r="V866" s="836"/>
    </row>
    <row r="867" customHeight="1" spans="1:22">
      <c r="A867" s="835"/>
      <c r="B867" s="836"/>
      <c r="C867" s="836"/>
      <c r="D867" s="836"/>
      <c r="E867" s="836"/>
      <c r="F867" s="836"/>
      <c r="G867" s="836"/>
      <c r="H867" s="836"/>
      <c r="I867" s="835"/>
      <c r="J867" s="836"/>
      <c r="K867" s="835"/>
      <c r="L867" s="836"/>
      <c r="M867" s="837"/>
      <c r="N867" s="836"/>
      <c r="O867" s="837"/>
      <c r="P867" s="836"/>
      <c r="Q867" s="835"/>
      <c r="R867" s="837"/>
      <c r="S867" s="837"/>
      <c r="T867" s="838"/>
      <c r="U867" s="836"/>
      <c r="V867" s="836"/>
    </row>
    <row r="868" customHeight="1" spans="1:22">
      <c r="A868" s="835"/>
      <c r="B868" s="836"/>
      <c r="C868" s="836"/>
      <c r="D868" s="836"/>
      <c r="E868" s="836"/>
      <c r="F868" s="836"/>
      <c r="G868" s="836"/>
      <c r="H868" s="836"/>
      <c r="I868" s="835"/>
      <c r="J868" s="836"/>
      <c r="K868" s="835"/>
      <c r="L868" s="836"/>
      <c r="M868" s="837"/>
      <c r="N868" s="836"/>
      <c r="O868" s="837"/>
      <c r="P868" s="836"/>
      <c r="Q868" s="835"/>
      <c r="R868" s="837"/>
      <c r="S868" s="837"/>
      <c r="T868" s="838"/>
      <c r="U868" s="836"/>
      <c r="V868" s="836"/>
    </row>
    <row r="869" customHeight="1" spans="1:22">
      <c r="A869" s="835"/>
      <c r="B869" s="836"/>
      <c r="C869" s="836"/>
      <c r="D869" s="836"/>
      <c r="E869" s="836"/>
      <c r="F869" s="836"/>
      <c r="G869" s="836"/>
      <c r="H869" s="836"/>
      <c r="I869" s="835"/>
      <c r="J869" s="836"/>
      <c r="K869" s="835"/>
      <c r="L869" s="836"/>
      <c r="M869" s="837"/>
      <c r="N869" s="836"/>
      <c r="O869" s="837"/>
      <c r="P869" s="836"/>
      <c r="Q869" s="835"/>
      <c r="R869" s="837"/>
      <c r="S869" s="837"/>
      <c r="T869" s="838"/>
      <c r="U869" s="836"/>
      <c r="V869" s="836"/>
    </row>
    <row r="870" customHeight="1" spans="1:22">
      <c r="A870" s="835"/>
      <c r="B870" s="836"/>
      <c r="C870" s="836"/>
      <c r="D870" s="836"/>
      <c r="E870" s="836"/>
      <c r="F870" s="836"/>
      <c r="G870" s="836"/>
      <c r="H870" s="836"/>
      <c r="I870" s="835"/>
      <c r="J870" s="836"/>
      <c r="K870" s="835"/>
      <c r="L870" s="836"/>
      <c r="M870" s="837"/>
      <c r="N870" s="836"/>
      <c r="O870" s="837"/>
      <c r="P870" s="836"/>
      <c r="Q870" s="835"/>
      <c r="R870" s="837"/>
      <c r="S870" s="837"/>
      <c r="T870" s="838"/>
      <c r="U870" s="836"/>
      <c r="V870" s="836"/>
    </row>
    <row r="871" customHeight="1" spans="1:22">
      <c r="A871" s="835"/>
      <c r="B871" s="836"/>
      <c r="C871" s="836"/>
      <c r="D871" s="836"/>
      <c r="E871" s="836"/>
      <c r="F871" s="836"/>
      <c r="G871" s="836"/>
      <c r="H871" s="836"/>
      <c r="I871" s="835"/>
      <c r="J871" s="836"/>
      <c r="K871" s="835"/>
      <c r="L871" s="836"/>
      <c r="M871" s="837"/>
      <c r="N871" s="836"/>
      <c r="O871" s="837"/>
      <c r="P871" s="836"/>
      <c r="Q871" s="835"/>
      <c r="R871" s="837"/>
      <c r="S871" s="837"/>
      <c r="T871" s="838"/>
      <c r="U871" s="836"/>
      <c r="V871" s="836"/>
    </row>
    <row r="872" customHeight="1" spans="1:22">
      <c r="A872" s="835"/>
      <c r="B872" s="836"/>
      <c r="C872" s="836"/>
      <c r="D872" s="836"/>
      <c r="E872" s="836"/>
      <c r="F872" s="836"/>
      <c r="G872" s="836"/>
      <c r="H872" s="836"/>
      <c r="I872" s="835"/>
      <c r="J872" s="836"/>
      <c r="K872" s="835"/>
      <c r="L872" s="836"/>
      <c r="M872" s="837"/>
      <c r="N872" s="836"/>
      <c r="O872" s="837"/>
      <c r="P872" s="836"/>
      <c r="Q872" s="835"/>
      <c r="R872" s="837"/>
      <c r="S872" s="837"/>
      <c r="T872" s="838"/>
      <c r="U872" s="836"/>
      <c r="V872" s="836"/>
    </row>
    <row r="873" customHeight="1" spans="1:22">
      <c r="A873" s="835"/>
      <c r="B873" s="836"/>
      <c r="C873" s="836"/>
      <c r="D873" s="836"/>
      <c r="E873" s="836"/>
      <c r="F873" s="836"/>
      <c r="G873" s="836"/>
      <c r="H873" s="836"/>
      <c r="I873" s="835"/>
      <c r="J873" s="836"/>
      <c r="K873" s="835"/>
      <c r="L873" s="836"/>
      <c r="M873" s="837"/>
      <c r="N873" s="836"/>
      <c r="O873" s="837"/>
      <c r="P873" s="836"/>
      <c r="Q873" s="835"/>
      <c r="R873" s="837"/>
      <c r="S873" s="837"/>
      <c r="T873" s="838"/>
      <c r="U873" s="836"/>
      <c r="V873" s="836"/>
    </row>
    <row r="874" customHeight="1" spans="1:22">
      <c r="A874" s="835"/>
      <c r="B874" s="836"/>
      <c r="C874" s="836"/>
      <c r="D874" s="836"/>
      <c r="E874" s="836"/>
      <c r="F874" s="836"/>
      <c r="G874" s="836"/>
      <c r="H874" s="836"/>
      <c r="I874" s="835"/>
      <c r="J874" s="836"/>
      <c r="K874" s="835"/>
      <c r="L874" s="836"/>
      <c r="M874" s="837"/>
      <c r="N874" s="836"/>
      <c r="O874" s="837"/>
      <c r="P874" s="836"/>
      <c r="Q874" s="835"/>
      <c r="R874" s="837"/>
      <c r="S874" s="837"/>
      <c r="T874" s="838"/>
      <c r="U874" s="836"/>
      <c r="V874" s="836"/>
    </row>
    <row r="875" customHeight="1" spans="1:22">
      <c r="A875" s="835"/>
      <c r="B875" s="836"/>
      <c r="C875" s="836"/>
      <c r="D875" s="836"/>
      <c r="E875" s="836"/>
      <c r="F875" s="836"/>
      <c r="G875" s="836"/>
      <c r="H875" s="836"/>
      <c r="I875" s="835"/>
      <c r="J875" s="836"/>
      <c r="K875" s="835"/>
      <c r="L875" s="836"/>
      <c r="M875" s="837"/>
      <c r="N875" s="836"/>
      <c r="O875" s="837"/>
      <c r="P875" s="836"/>
      <c r="Q875" s="835"/>
      <c r="R875" s="837"/>
      <c r="S875" s="837"/>
      <c r="T875" s="838"/>
      <c r="U875" s="836"/>
      <c r="V875" s="836"/>
    </row>
    <row r="876" customHeight="1" spans="1:22">
      <c r="A876" s="835"/>
      <c r="B876" s="836"/>
      <c r="C876" s="836"/>
      <c r="D876" s="836"/>
      <c r="E876" s="836"/>
      <c r="F876" s="836"/>
      <c r="G876" s="836"/>
      <c r="H876" s="836"/>
      <c r="I876" s="835"/>
      <c r="J876" s="836"/>
      <c r="K876" s="835"/>
      <c r="L876" s="836"/>
      <c r="M876" s="837"/>
      <c r="N876" s="836"/>
      <c r="O876" s="837"/>
      <c r="P876" s="836"/>
      <c r="Q876" s="835"/>
      <c r="R876" s="837"/>
      <c r="S876" s="837"/>
      <c r="T876" s="838"/>
      <c r="U876" s="836"/>
      <c r="V876" s="836"/>
    </row>
    <row r="877" customHeight="1" spans="1:22">
      <c r="A877" s="835"/>
      <c r="B877" s="836"/>
      <c r="C877" s="836"/>
      <c r="D877" s="836"/>
      <c r="E877" s="836"/>
      <c r="F877" s="836"/>
      <c r="G877" s="836"/>
      <c r="H877" s="836"/>
      <c r="I877" s="835"/>
      <c r="J877" s="836"/>
      <c r="K877" s="835"/>
      <c r="L877" s="836"/>
      <c r="M877" s="837"/>
      <c r="N877" s="836"/>
      <c r="O877" s="837"/>
      <c r="P877" s="836"/>
      <c r="Q877" s="835"/>
      <c r="R877" s="837"/>
      <c r="S877" s="837"/>
      <c r="T877" s="838"/>
      <c r="U877" s="836"/>
      <c r="V877" s="836"/>
    </row>
    <row r="878" customHeight="1" spans="1:22">
      <c r="A878" s="835"/>
      <c r="B878" s="836"/>
      <c r="C878" s="836"/>
      <c r="D878" s="836"/>
      <c r="E878" s="836"/>
      <c r="F878" s="836"/>
      <c r="G878" s="836"/>
      <c r="H878" s="836"/>
      <c r="I878" s="835"/>
      <c r="J878" s="836"/>
      <c r="K878" s="835"/>
      <c r="L878" s="836"/>
      <c r="M878" s="837"/>
      <c r="N878" s="836"/>
      <c r="O878" s="837"/>
      <c r="P878" s="836"/>
      <c r="Q878" s="835"/>
      <c r="R878" s="837"/>
      <c r="S878" s="837"/>
      <c r="T878" s="838"/>
      <c r="U878" s="836"/>
      <c r="V878" s="836"/>
    </row>
    <row r="879" customHeight="1" spans="1:22">
      <c r="A879" s="835"/>
      <c r="B879" s="836"/>
      <c r="C879" s="836"/>
      <c r="D879" s="836"/>
      <c r="E879" s="836"/>
      <c r="F879" s="836"/>
      <c r="G879" s="836"/>
      <c r="H879" s="836"/>
      <c r="I879" s="835"/>
      <c r="J879" s="836"/>
      <c r="K879" s="835"/>
      <c r="L879" s="836"/>
      <c r="M879" s="837"/>
      <c r="N879" s="836"/>
      <c r="O879" s="837"/>
      <c r="P879" s="836"/>
      <c r="Q879" s="835"/>
      <c r="R879" s="837"/>
      <c r="S879" s="837"/>
      <c r="T879" s="838"/>
      <c r="U879" s="836"/>
      <c r="V879" s="836"/>
    </row>
    <row r="880" customHeight="1" spans="1:22">
      <c r="A880" s="835"/>
      <c r="B880" s="836"/>
      <c r="C880" s="836"/>
      <c r="D880" s="836"/>
      <c r="E880" s="836"/>
      <c r="F880" s="836"/>
      <c r="G880" s="836"/>
      <c r="H880" s="836"/>
      <c r="I880" s="835"/>
      <c r="J880" s="836"/>
      <c r="K880" s="835"/>
      <c r="L880" s="836"/>
      <c r="M880" s="837"/>
      <c r="N880" s="836"/>
      <c r="O880" s="837"/>
      <c r="P880" s="836"/>
      <c r="Q880" s="835"/>
      <c r="R880" s="837"/>
      <c r="S880" s="837"/>
      <c r="T880" s="838"/>
      <c r="U880" s="836"/>
      <c r="V880" s="836"/>
    </row>
    <row r="881" customHeight="1" spans="1:22">
      <c r="A881" s="835"/>
      <c r="B881" s="836"/>
      <c r="C881" s="836"/>
      <c r="D881" s="836"/>
      <c r="E881" s="836"/>
      <c r="F881" s="836"/>
      <c r="G881" s="836"/>
      <c r="H881" s="836"/>
      <c r="I881" s="835"/>
      <c r="J881" s="836"/>
      <c r="K881" s="835"/>
      <c r="L881" s="836"/>
      <c r="M881" s="837"/>
      <c r="N881" s="836"/>
      <c r="O881" s="837"/>
      <c r="P881" s="836"/>
      <c r="Q881" s="835"/>
      <c r="R881" s="837"/>
      <c r="S881" s="837"/>
      <c r="T881" s="838"/>
      <c r="U881" s="836"/>
      <c r="V881" s="836"/>
    </row>
    <row r="882" customHeight="1" spans="1:22">
      <c r="A882" s="835"/>
      <c r="B882" s="836"/>
      <c r="C882" s="836"/>
      <c r="D882" s="836"/>
      <c r="E882" s="836"/>
      <c r="F882" s="836"/>
      <c r="G882" s="836"/>
      <c r="H882" s="836"/>
      <c r="I882" s="835"/>
      <c r="J882" s="836"/>
      <c r="K882" s="835"/>
      <c r="L882" s="836"/>
      <c r="M882" s="837"/>
      <c r="N882" s="836"/>
      <c r="O882" s="837"/>
      <c r="P882" s="836"/>
      <c r="Q882" s="835"/>
      <c r="R882" s="837"/>
      <c r="S882" s="837"/>
      <c r="T882" s="838"/>
      <c r="U882" s="836"/>
      <c r="V882" s="836"/>
    </row>
    <row r="883" customHeight="1" spans="1:22">
      <c r="A883" s="835"/>
      <c r="B883" s="836"/>
      <c r="C883" s="836"/>
      <c r="D883" s="836"/>
      <c r="E883" s="836"/>
      <c r="F883" s="836"/>
      <c r="G883" s="836"/>
      <c r="H883" s="836"/>
      <c r="I883" s="835"/>
      <c r="J883" s="836"/>
      <c r="K883" s="835"/>
      <c r="L883" s="836"/>
      <c r="M883" s="837"/>
      <c r="N883" s="836"/>
      <c r="O883" s="837"/>
      <c r="P883" s="836"/>
      <c r="Q883" s="835"/>
      <c r="R883" s="837"/>
      <c r="S883" s="837"/>
      <c r="T883" s="838"/>
      <c r="U883" s="836"/>
      <c r="V883" s="836"/>
    </row>
    <row r="884" customHeight="1" spans="1:22">
      <c r="A884" s="835"/>
      <c r="B884" s="836"/>
      <c r="C884" s="836"/>
      <c r="D884" s="836"/>
      <c r="E884" s="836"/>
      <c r="F884" s="836"/>
      <c r="G884" s="836"/>
      <c r="H884" s="836"/>
      <c r="I884" s="835"/>
      <c r="J884" s="836"/>
      <c r="K884" s="835"/>
      <c r="L884" s="836"/>
      <c r="M884" s="837"/>
      <c r="N884" s="836"/>
      <c r="O884" s="837"/>
      <c r="P884" s="836"/>
      <c r="Q884" s="835"/>
      <c r="R884" s="837"/>
      <c r="S884" s="837"/>
      <c r="T884" s="838"/>
      <c r="U884" s="836"/>
      <c r="V884" s="836"/>
    </row>
    <row r="885" customHeight="1" spans="1:22">
      <c r="A885" s="835"/>
      <c r="B885" s="836"/>
      <c r="C885" s="836"/>
      <c r="D885" s="836"/>
      <c r="E885" s="836"/>
      <c r="F885" s="836"/>
      <c r="G885" s="836"/>
      <c r="H885" s="836"/>
      <c r="I885" s="835"/>
      <c r="J885" s="836"/>
      <c r="K885" s="835"/>
      <c r="L885" s="836"/>
      <c r="M885" s="837"/>
      <c r="N885" s="836"/>
      <c r="O885" s="837"/>
      <c r="P885" s="836"/>
      <c r="Q885" s="835"/>
      <c r="R885" s="837"/>
      <c r="S885" s="837"/>
      <c r="T885" s="838"/>
      <c r="U885" s="836"/>
      <c r="V885" s="836"/>
    </row>
    <row r="886" customHeight="1" spans="1:22">
      <c r="A886" s="835"/>
      <c r="B886" s="836"/>
      <c r="C886" s="836"/>
      <c r="D886" s="836"/>
      <c r="E886" s="836"/>
      <c r="F886" s="836"/>
      <c r="G886" s="836"/>
      <c r="H886" s="836"/>
      <c r="I886" s="835"/>
      <c r="J886" s="836"/>
      <c r="K886" s="835"/>
      <c r="L886" s="836"/>
      <c r="M886" s="837"/>
      <c r="N886" s="836"/>
      <c r="O886" s="837"/>
      <c r="P886" s="836"/>
      <c r="Q886" s="835"/>
      <c r="R886" s="837"/>
      <c r="S886" s="837"/>
      <c r="T886" s="838"/>
      <c r="U886" s="836"/>
      <c r="V886" s="836"/>
    </row>
    <row r="887" customHeight="1" spans="1:22">
      <c r="A887" s="835"/>
      <c r="B887" s="836"/>
      <c r="C887" s="836"/>
      <c r="D887" s="836"/>
      <c r="E887" s="836"/>
      <c r="F887" s="836"/>
      <c r="G887" s="836"/>
      <c r="H887" s="836"/>
      <c r="I887" s="835"/>
      <c r="J887" s="836"/>
      <c r="K887" s="835"/>
      <c r="L887" s="836"/>
      <c r="M887" s="837"/>
      <c r="N887" s="836"/>
      <c r="O887" s="837"/>
      <c r="P887" s="836"/>
      <c r="Q887" s="835"/>
      <c r="R887" s="837"/>
      <c r="S887" s="837"/>
      <c r="T887" s="838"/>
      <c r="U887" s="836"/>
      <c r="V887" s="836"/>
    </row>
    <row r="888" customHeight="1" spans="1:22">
      <c r="A888" s="835"/>
      <c r="B888" s="836"/>
      <c r="C888" s="836"/>
      <c r="D888" s="836"/>
      <c r="E888" s="836"/>
      <c r="F888" s="836"/>
      <c r="G888" s="836"/>
      <c r="H888" s="836"/>
      <c r="I888" s="835"/>
      <c r="J888" s="836"/>
      <c r="K888" s="835"/>
      <c r="L888" s="836"/>
      <c r="M888" s="837"/>
      <c r="N888" s="836"/>
      <c r="O888" s="837"/>
      <c r="P888" s="836"/>
      <c r="Q888" s="835"/>
      <c r="R888" s="837"/>
      <c r="S888" s="837"/>
      <c r="T888" s="838"/>
      <c r="U888" s="836"/>
      <c r="V888" s="836"/>
    </row>
    <row r="889" customHeight="1" spans="1:22">
      <c r="A889" s="835"/>
      <c r="B889" s="836"/>
      <c r="C889" s="836"/>
      <c r="D889" s="836"/>
      <c r="E889" s="836"/>
      <c r="F889" s="836"/>
      <c r="G889" s="836"/>
      <c r="H889" s="836"/>
      <c r="I889" s="835"/>
      <c r="J889" s="836"/>
      <c r="K889" s="835"/>
      <c r="L889" s="836"/>
      <c r="M889" s="837"/>
      <c r="N889" s="836"/>
      <c r="O889" s="837"/>
      <c r="P889" s="836"/>
      <c r="Q889" s="835"/>
      <c r="R889" s="837"/>
      <c r="S889" s="837"/>
      <c r="T889" s="838"/>
      <c r="U889" s="836"/>
      <c r="V889" s="836"/>
    </row>
    <row r="890" customHeight="1" spans="1:22">
      <c r="A890" s="835"/>
      <c r="B890" s="836"/>
      <c r="C890" s="836"/>
      <c r="D890" s="836"/>
      <c r="E890" s="836"/>
      <c r="F890" s="836"/>
      <c r="G890" s="836"/>
      <c r="H890" s="836"/>
      <c r="I890" s="835"/>
      <c r="J890" s="836"/>
      <c r="K890" s="835"/>
      <c r="L890" s="836"/>
      <c r="M890" s="837"/>
      <c r="N890" s="836"/>
      <c r="O890" s="837"/>
      <c r="P890" s="836"/>
      <c r="Q890" s="835"/>
      <c r="R890" s="837"/>
      <c r="S890" s="837"/>
      <c r="T890" s="838"/>
      <c r="U890" s="836"/>
      <c r="V890" s="836"/>
    </row>
    <row r="891" customHeight="1" spans="1:22">
      <c r="A891" s="835"/>
      <c r="B891" s="836"/>
      <c r="C891" s="836"/>
      <c r="D891" s="836"/>
      <c r="E891" s="836"/>
      <c r="F891" s="836"/>
      <c r="G891" s="836"/>
      <c r="H891" s="836"/>
      <c r="I891" s="835"/>
      <c r="J891" s="836"/>
      <c r="K891" s="835"/>
      <c r="L891" s="836"/>
      <c r="M891" s="837"/>
      <c r="N891" s="836"/>
      <c r="O891" s="837"/>
      <c r="P891" s="836"/>
      <c r="Q891" s="835"/>
      <c r="R891" s="837"/>
      <c r="S891" s="837"/>
      <c r="T891" s="838"/>
      <c r="U891" s="836"/>
      <c r="V891" s="836"/>
    </row>
    <row r="892" customHeight="1" spans="1:22">
      <c r="A892" s="835"/>
      <c r="B892" s="836"/>
      <c r="C892" s="836"/>
      <c r="D892" s="836"/>
      <c r="E892" s="836"/>
      <c r="F892" s="836"/>
      <c r="G892" s="836"/>
      <c r="H892" s="836"/>
      <c r="I892" s="835"/>
      <c r="J892" s="836"/>
      <c r="K892" s="835"/>
      <c r="L892" s="836"/>
      <c r="M892" s="837"/>
      <c r="N892" s="836"/>
      <c r="O892" s="837"/>
      <c r="P892" s="836"/>
      <c r="Q892" s="835"/>
      <c r="R892" s="837"/>
      <c r="S892" s="837"/>
      <c r="T892" s="838"/>
      <c r="U892" s="836"/>
      <c r="V892" s="836"/>
    </row>
    <row r="893" customHeight="1" spans="1:22">
      <c r="A893" s="835"/>
      <c r="B893" s="836"/>
      <c r="C893" s="836"/>
      <c r="D893" s="836"/>
      <c r="E893" s="836"/>
      <c r="F893" s="836"/>
      <c r="G893" s="836"/>
      <c r="H893" s="836"/>
      <c r="I893" s="835"/>
      <c r="J893" s="836"/>
      <c r="K893" s="835"/>
      <c r="L893" s="836"/>
      <c r="M893" s="837"/>
      <c r="N893" s="836"/>
      <c r="O893" s="837"/>
      <c r="P893" s="836"/>
      <c r="Q893" s="835"/>
      <c r="R893" s="837"/>
      <c r="S893" s="837"/>
      <c r="T893" s="838"/>
      <c r="U893" s="836"/>
      <c r="V893" s="836"/>
    </row>
    <row r="894" customHeight="1" spans="1:22">
      <c r="A894" s="835"/>
      <c r="B894" s="836"/>
      <c r="C894" s="836"/>
      <c r="D894" s="836"/>
      <c r="E894" s="836"/>
      <c r="F894" s="836"/>
      <c r="G894" s="836"/>
      <c r="H894" s="836"/>
      <c r="I894" s="835"/>
      <c r="J894" s="836"/>
      <c r="K894" s="835"/>
      <c r="L894" s="836"/>
      <c r="M894" s="837"/>
      <c r="N894" s="836"/>
      <c r="O894" s="837"/>
      <c r="P894" s="836"/>
      <c r="Q894" s="835"/>
      <c r="R894" s="837"/>
      <c r="S894" s="837"/>
      <c r="T894" s="838"/>
      <c r="U894" s="836"/>
      <c r="V894" s="836"/>
    </row>
    <row r="895" customHeight="1" spans="1:22">
      <c r="A895" s="835"/>
      <c r="B895" s="836"/>
      <c r="C895" s="836"/>
      <c r="D895" s="836"/>
      <c r="E895" s="836"/>
      <c r="F895" s="836"/>
      <c r="G895" s="836"/>
      <c r="H895" s="836"/>
      <c r="I895" s="835"/>
      <c r="J895" s="836"/>
      <c r="K895" s="835"/>
      <c r="L895" s="836"/>
      <c r="M895" s="837"/>
      <c r="N895" s="836"/>
      <c r="O895" s="837"/>
      <c r="P895" s="836"/>
      <c r="Q895" s="835"/>
      <c r="R895" s="837"/>
      <c r="S895" s="837"/>
      <c r="T895" s="838"/>
      <c r="U895" s="836"/>
      <c r="V895" s="836"/>
    </row>
    <row r="896" customHeight="1" spans="1:22">
      <c r="A896" s="835"/>
      <c r="B896" s="836"/>
      <c r="C896" s="836"/>
      <c r="D896" s="836"/>
      <c r="E896" s="836"/>
      <c r="F896" s="836"/>
      <c r="G896" s="836"/>
      <c r="H896" s="836"/>
      <c r="I896" s="835"/>
      <c r="J896" s="836"/>
      <c r="K896" s="835"/>
      <c r="L896" s="836"/>
      <c r="M896" s="837"/>
      <c r="N896" s="836"/>
      <c r="O896" s="837"/>
      <c r="P896" s="836"/>
      <c r="Q896" s="835"/>
      <c r="R896" s="837"/>
      <c r="S896" s="837"/>
      <c r="T896" s="838"/>
      <c r="U896" s="836"/>
      <c r="V896" s="836"/>
    </row>
    <row r="897" customHeight="1" spans="1:22">
      <c r="A897" s="835"/>
      <c r="B897" s="836"/>
      <c r="C897" s="836"/>
      <c r="D897" s="836"/>
      <c r="E897" s="836"/>
      <c r="F897" s="836"/>
      <c r="G897" s="836"/>
      <c r="H897" s="836"/>
      <c r="I897" s="835"/>
      <c r="J897" s="836"/>
      <c r="K897" s="835"/>
      <c r="L897" s="836"/>
      <c r="M897" s="837"/>
      <c r="N897" s="836"/>
      <c r="O897" s="837"/>
      <c r="P897" s="836"/>
      <c r="Q897" s="835"/>
      <c r="R897" s="837"/>
      <c r="S897" s="837"/>
      <c r="T897" s="838"/>
      <c r="U897" s="836"/>
      <c r="V897" s="836"/>
    </row>
    <row r="898" customHeight="1" spans="1:22">
      <c r="A898" s="835"/>
      <c r="B898" s="836"/>
      <c r="C898" s="836"/>
      <c r="D898" s="836"/>
      <c r="E898" s="836"/>
      <c r="F898" s="836"/>
      <c r="G898" s="836"/>
      <c r="H898" s="836"/>
      <c r="I898" s="835"/>
      <c r="J898" s="836"/>
      <c r="K898" s="835"/>
      <c r="L898" s="836"/>
      <c r="M898" s="837"/>
      <c r="N898" s="836"/>
      <c r="O898" s="837"/>
      <c r="P898" s="836"/>
      <c r="Q898" s="835"/>
      <c r="R898" s="837"/>
      <c r="S898" s="837"/>
      <c r="T898" s="838"/>
      <c r="U898" s="836"/>
      <c r="V898" s="836"/>
    </row>
    <row r="899" customHeight="1" spans="1:22">
      <c r="A899" s="835"/>
      <c r="B899" s="836"/>
      <c r="C899" s="836"/>
      <c r="D899" s="836"/>
      <c r="E899" s="836"/>
      <c r="F899" s="836"/>
      <c r="G899" s="836"/>
      <c r="H899" s="836"/>
      <c r="I899" s="835"/>
      <c r="J899" s="836"/>
      <c r="K899" s="835"/>
      <c r="L899" s="836"/>
      <c r="M899" s="837"/>
      <c r="N899" s="836"/>
      <c r="O899" s="837"/>
      <c r="P899" s="836"/>
      <c r="Q899" s="835"/>
      <c r="R899" s="837"/>
      <c r="S899" s="837"/>
      <c r="T899" s="838"/>
      <c r="U899" s="836"/>
      <c r="V899" s="836"/>
    </row>
    <row r="900" customHeight="1" spans="1:22">
      <c r="A900" s="835"/>
      <c r="B900" s="836"/>
      <c r="C900" s="836"/>
      <c r="D900" s="836"/>
      <c r="E900" s="836"/>
      <c r="F900" s="836"/>
      <c r="G900" s="836"/>
      <c r="H900" s="836"/>
      <c r="I900" s="835"/>
      <c r="J900" s="836"/>
      <c r="K900" s="835"/>
      <c r="L900" s="836"/>
      <c r="M900" s="837"/>
      <c r="N900" s="836"/>
      <c r="O900" s="837"/>
      <c r="P900" s="836"/>
      <c r="Q900" s="835"/>
      <c r="R900" s="837"/>
      <c r="S900" s="837"/>
      <c r="T900" s="838"/>
      <c r="U900" s="836"/>
      <c r="V900" s="836"/>
    </row>
    <row r="901" customHeight="1" spans="1:22">
      <c r="A901" s="835"/>
      <c r="B901" s="836"/>
      <c r="C901" s="836"/>
      <c r="D901" s="836"/>
      <c r="E901" s="836"/>
      <c r="F901" s="836"/>
      <c r="G901" s="836"/>
      <c r="H901" s="836"/>
      <c r="I901" s="835"/>
      <c r="J901" s="836"/>
      <c r="K901" s="835"/>
      <c r="L901" s="836"/>
      <c r="M901" s="837"/>
      <c r="N901" s="836"/>
      <c r="O901" s="837"/>
      <c r="P901" s="836"/>
      <c r="Q901" s="835"/>
      <c r="R901" s="837"/>
      <c r="S901" s="837"/>
      <c r="T901" s="838"/>
      <c r="U901" s="836"/>
      <c r="V901" s="836"/>
    </row>
    <row r="902" customHeight="1" spans="1:22">
      <c r="A902" s="835"/>
      <c r="B902" s="836"/>
      <c r="C902" s="836"/>
      <c r="D902" s="836"/>
      <c r="E902" s="836"/>
      <c r="F902" s="836"/>
      <c r="G902" s="836"/>
      <c r="H902" s="836"/>
      <c r="I902" s="835"/>
      <c r="J902" s="836"/>
      <c r="K902" s="835"/>
      <c r="L902" s="836"/>
      <c r="M902" s="837"/>
      <c r="N902" s="836"/>
      <c r="O902" s="837"/>
      <c r="P902" s="836"/>
      <c r="Q902" s="835"/>
      <c r="R902" s="837"/>
      <c r="S902" s="837"/>
      <c r="T902" s="838"/>
      <c r="U902" s="836"/>
      <c r="V902" s="836"/>
    </row>
    <row r="903" customHeight="1" spans="1:22">
      <c r="A903" s="835"/>
      <c r="B903" s="836"/>
      <c r="C903" s="836"/>
      <c r="D903" s="836"/>
      <c r="E903" s="836"/>
      <c r="F903" s="836"/>
      <c r="G903" s="836"/>
      <c r="H903" s="836"/>
      <c r="I903" s="835"/>
      <c r="J903" s="836"/>
      <c r="K903" s="835"/>
      <c r="L903" s="836"/>
      <c r="M903" s="837"/>
      <c r="N903" s="836"/>
      <c r="O903" s="837"/>
      <c r="P903" s="836"/>
      <c r="Q903" s="835"/>
      <c r="R903" s="837"/>
      <c r="S903" s="837"/>
      <c r="T903" s="838"/>
      <c r="U903" s="836"/>
      <c r="V903" s="836"/>
    </row>
    <row r="904" customHeight="1" spans="1:22">
      <c r="A904" s="835"/>
      <c r="B904" s="836"/>
      <c r="C904" s="836"/>
      <c r="D904" s="836"/>
      <c r="E904" s="836"/>
      <c r="F904" s="836"/>
      <c r="G904" s="836"/>
      <c r="H904" s="836"/>
      <c r="I904" s="835"/>
      <c r="J904" s="836"/>
      <c r="K904" s="835"/>
      <c r="L904" s="836"/>
      <c r="M904" s="837"/>
      <c r="N904" s="836"/>
      <c r="O904" s="837"/>
      <c r="P904" s="836"/>
      <c r="Q904" s="835"/>
      <c r="R904" s="837"/>
      <c r="S904" s="837"/>
      <c r="T904" s="838"/>
      <c r="U904" s="836"/>
      <c r="V904" s="836"/>
    </row>
    <row r="905" customHeight="1" spans="1:22">
      <c r="A905" s="835"/>
      <c r="B905" s="836"/>
      <c r="C905" s="836"/>
      <c r="D905" s="836"/>
      <c r="E905" s="836"/>
      <c r="F905" s="836"/>
      <c r="G905" s="836"/>
      <c r="H905" s="836"/>
      <c r="I905" s="835"/>
      <c r="J905" s="836"/>
      <c r="K905" s="835"/>
      <c r="L905" s="836"/>
      <c r="M905" s="837"/>
      <c r="N905" s="836"/>
      <c r="O905" s="837"/>
      <c r="P905" s="836"/>
      <c r="Q905" s="835"/>
      <c r="R905" s="837"/>
      <c r="S905" s="837"/>
      <c r="T905" s="838"/>
      <c r="U905" s="836"/>
      <c r="V905" s="836"/>
    </row>
    <row r="906" customHeight="1" spans="1:22">
      <c r="A906" s="835"/>
      <c r="B906" s="836"/>
      <c r="C906" s="836"/>
      <c r="D906" s="836"/>
      <c r="E906" s="836"/>
      <c r="F906" s="836"/>
      <c r="G906" s="836"/>
      <c r="H906" s="836"/>
      <c r="I906" s="835"/>
      <c r="J906" s="836"/>
      <c r="K906" s="835"/>
      <c r="L906" s="836"/>
      <c r="M906" s="837"/>
      <c r="N906" s="836"/>
      <c r="O906" s="837"/>
      <c r="P906" s="836"/>
      <c r="Q906" s="835"/>
      <c r="R906" s="837"/>
      <c r="S906" s="837"/>
      <c r="T906" s="838"/>
      <c r="U906" s="836"/>
      <c r="V906" s="836"/>
    </row>
    <row r="907" customHeight="1" spans="1:22">
      <c r="A907" s="835"/>
      <c r="B907" s="836"/>
      <c r="C907" s="836"/>
      <c r="D907" s="836"/>
      <c r="E907" s="836"/>
      <c r="F907" s="836"/>
      <c r="G907" s="836"/>
      <c r="H907" s="836"/>
      <c r="I907" s="835"/>
      <c r="J907" s="836"/>
      <c r="K907" s="835"/>
      <c r="L907" s="836"/>
      <c r="M907" s="837"/>
      <c r="N907" s="836"/>
      <c r="O907" s="837"/>
      <c r="P907" s="836"/>
      <c r="Q907" s="835"/>
      <c r="R907" s="837"/>
      <c r="S907" s="837"/>
      <c r="T907" s="838"/>
      <c r="U907" s="836"/>
      <c r="V907" s="836"/>
    </row>
    <row r="908" customHeight="1" spans="1:22">
      <c r="A908" s="835"/>
      <c r="B908" s="836"/>
      <c r="C908" s="836"/>
      <c r="D908" s="836"/>
      <c r="E908" s="836"/>
      <c r="F908" s="836"/>
      <c r="G908" s="836"/>
      <c r="H908" s="836"/>
      <c r="I908" s="835"/>
      <c r="J908" s="836"/>
      <c r="K908" s="835"/>
      <c r="L908" s="836"/>
      <c r="M908" s="837"/>
      <c r="N908" s="836"/>
      <c r="O908" s="837"/>
      <c r="P908" s="836"/>
      <c r="Q908" s="835"/>
      <c r="R908" s="837"/>
      <c r="S908" s="837"/>
      <c r="T908" s="838"/>
      <c r="U908" s="836"/>
      <c r="V908" s="836"/>
    </row>
    <row r="909" customHeight="1" spans="1:22">
      <c r="A909" s="835"/>
      <c r="B909" s="836"/>
      <c r="C909" s="836"/>
      <c r="D909" s="836"/>
      <c r="E909" s="836"/>
      <c r="F909" s="836"/>
      <c r="G909" s="836"/>
      <c r="H909" s="836"/>
      <c r="I909" s="835"/>
      <c r="J909" s="836"/>
      <c r="K909" s="835"/>
      <c r="L909" s="836"/>
      <c r="M909" s="837"/>
      <c r="N909" s="836"/>
      <c r="O909" s="837"/>
      <c r="P909" s="836"/>
      <c r="Q909" s="835"/>
      <c r="R909" s="837"/>
      <c r="S909" s="837"/>
      <c r="T909" s="838"/>
      <c r="U909" s="836"/>
      <c r="V909" s="836"/>
    </row>
    <row r="910" customHeight="1" spans="1:22">
      <c r="A910" s="835"/>
      <c r="B910" s="836"/>
      <c r="C910" s="836"/>
      <c r="D910" s="836"/>
      <c r="E910" s="836"/>
      <c r="F910" s="836"/>
      <c r="G910" s="836"/>
      <c r="H910" s="836"/>
      <c r="I910" s="835"/>
      <c r="J910" s="836"/>
      <c r="K910" s="835"/>
      <c r="L910" s="836"/>
      <c r="M910" s="837"/>
      <c r="N910" s="836"/>
      <c r="O910" s="837"/>
      <c r="P910" s="836"/>
      <c r="Q910" s="835"/>
      <c r="R910" s="837"/>
      <c r="S910" s="837"/>
      <c r="T910" s="838"/>
      <c r="U910" s="836"/>
      <c r="V910" s="836"/>
    </row>
    <row r="911" customHeight="1" spans="1:22">
      <c r="A911" s="835"/>
      <c r="B911" s="836"/>
      <c r="C911" s="836"/>
      <c r="D911" s="836"/>
      <c r="E911" s="836"/>
      <c r="F911" s="836"/>
      <c r="G911" s="836"/>
      <c r="H911" s="836"/>
      <c r="I911" s="835"/>
      <c r="J911" s="836"/>
      <c r="K911" s="835"/>
      <c r="L911" s="836"/>
      <c r="M911" s="837"/>
      <c r="N911" s="836"/>
      <c r="O911" s="837"/>
      <c r="P911" s="836"/>
      <c r="Q911" s="835"/>
      <c r="R911" s="837"/>
      <c r="S911" s="837"/>
      <c r="T911" s="838"/>
      <c r="U911" s="836"/>
      <c r="V911" s="836"/>
    </row>
    <row r="912" customHeight="1" spans="1:22">
      <c r="A912" s="835"/>
      <c r="B912" s="836"/>
      <c r="C912" s="836"/>
      <c r="D912" s="836"/>
      <c r="E912" s="836"/>
      <c r="F912" s="836"/>
      <c r="G912" s="836"/>
      <c r="H912" s="836"/>
      <c r="I912" s="835"/>
      <c r="J912" s="836"/>
      <c r="K912" s="835"/>
      <c r="L912" s="836"/>
      <c r="M912" s="837"/>
      <c r="N912" s="836"/>
      <c r="O912" s="837"/>
      <c r="P912" s="836"/>
      <c r="Q912" s="835"/>
      <c r="R912" s="837"/>
      <c r="S912" s="837"/>
      <c r="T912" s="838"/>
      <c r="U912" s="836"/>
      <c r="V912" s="836"/>
    </row>
    <row r="913" customHeight="1" spans="1:22">
      <c r="A913" s="835"/>
      <c r="B913" s="836"/>
      <c r="C913" s="836"/>
      <c r="D913" s="836"/>
      <c r="E913" s="836"/>
      <c r="F913" s="836"/>
      <c r="G913" s="836"/>
      <c r="H913" s="836"/>
      <c r="I913" s="835"/>
      <c r="J913" s="836"/>
      <c r="K913" s="835"/>
      <c r="L913" s="836"/>
      <c r="M913" s="837"/>
      <c r="N913" s="836"/>
      <c r="O913" s="837"/>
      <c r="P913" s="836"/>
      <c r="Q913" s="835"/>
      <c r="R913" s="837"/>
      <c r="S913" s="837"/>
      <c r="T913" s="838"/>
      <c r="U913" s="836"/>
      <c r="V913" s="836"/>
    </row>
    <row r="914" customHeight="1" spans="1:22">
      <c r="A914" s="835"/>
      <c r="B914" s="836"/>
      <c r="C914" s="836"/>
      <c r="D914" s="836"/>
      <c r="E914" s="836"/>
      <c r="F914" s="836"/>
      <c r="G914" s="836"/>
      <c r="H914" s="836"/>
      <c r="I914" s="835"/>
      <c r="J914" s="836"/>
      <c r="K914" s="835"/>
      <c r="L914" s="836"/>
      <c r="M914" s="837"/>
      <c r="N914" s="836"/>
      <c r="O914" s="837"/>
      <c r="P914" s="836"/>
      <c r="Q914" s="835"/>
      <c r="R914" s="837"/>
      <c r="S914" s="837"/>
      <c r="T914" s="838"/>
      <c r="U914" s="836"/>
      <c r="V914" s="836"/>
    </row>
    <row r="915" customHeight="1" spans="1:22">
      <c r="A915" s="835"/>
      <c r="B915" s="836"/>
      <c r="C915" s="836"/>
      <c r="D915" s="836"/>
      <c r="E915" s="836"/>
      <c r="F915" s="836"/>
      <c r="G915" s="836"/>
      <c r="H915" s="836"/>
      <c r="I915" s="835"/>
      <c r="J915" s="836"/>
      <c r="K915" s="835"/>
      <c r="L915" s="836"/>
      <c r="M915" s="837"/>
      <c r="N915" s="836"/>
      <c r="O915" s="837"/>
      <c r="P915" s="836"/>
      <c r="Q915" s="835"/>
      <c r="R915" s="837"/>
      <c r="S915" s="837"/>
      <c r="T915" s="838"/>
      <c r="U915" s="836"/>
      <c r="V915" s="836"/>
    </row>
    <row r="916" customHeight="1" spans="1:22">
      <c r="A916" s="835"/>
      <c r="B916" s="836"/>
      <c r="C916" s="836"/>
      <c r="D916" s="836"/>
      <c r="E916" s="836"/>
      <c r="F916" s="836"/>
      <c r="G916" s="836"/>
      <c r="H916" s="836"/>
      <c r="I916" s="835"/>
      <c r="J916" s="836"/>
      <c r="K916" s="835"/>
      <c r="L916" s="836"/>
      <c r="M916" s="837"/>
      <c r="N916" s="836"/>
      <c r="O916" s="837"/>
      <c r="P916" s="836"/>
      <c r="Q916" s="835"/>
      <c r="R916" s="837"/>
      <c r="S916" s="837"/>
      <c r="T916" s="838"/>
      <c r="U916" s="836"/>
      <c r="V916" s="836"/>
    </row>
    <row r="917" customHeight="1" spans="1:22">
      <c r="A917" s="835"/>
      <c r="B917" s="836"/>
      <c r="C917" s="836"/>
      <c r="D917" s="836"/>
      <c r="E917" s="836"/>
      <c r="F917" s="836"/>
      <c r="G917" s="836"/>
      <c r="H917" s="836"/>
      <c r="I917" s="835"/>
      <c r="J917" s="836"/>
      <c r="K917" s="835"/>
      <c r="L917" s="836"/>
      <c r="M917" s="837"/>
      <c r="N917" s="836"/>
      <c r="O917" s="837"/>
      <c r="P917" s="836"/>
      <c r="Q917" s="835"/>
      <c r="R917" s="837"/>
      <c r="S917" s="837"/>
      <c r="T917" s="838"/>
      <c r="U917" s="836"/>
      <c r="V917" s="836"/>
    </row>
    <row r="918" customHeight="1" spans="1:22">
      <c r="A918" s="835"/>
      <c r="B918" s="836"/>
      <c r="C918" s="836"/>
      <c r="D918" s="836"/>
      <c r="E918" s="836"/>
      <c r="F918" s="836"/>
      <c r="G918" s="836"/>
      <c r="H918" s="836"/>
      <c r="I918" s="835"/>
      <c r="J918" s="836"/>
      <c r="K918" s="835"/>
      <c r="L918" s="836"/>
      <c r="M918" s="837"/>
      <c r="N918" s="836"/>
      <c r="O918" s="837"/>
      <c r="P918" s="836"/>
      <c r="Q918" s="835"/>
      <c r="R918" s="837"/>
      <c r="S918" s="837"/>
      <c r="T918" s="838"/>
      <c r="U918" s="836"/>
      <c r="V918" s="836"/>
    </row>
    <row r="919" customHeight="1" spans="1:22">
      <c r="A919" s="835"/>
      <c r="B919" s="836"/>
      <c r="C919" s="836"/>
      <c r="D919" s="836"/>
      <c r="E919" s="836"/>
      <c r="F919" s="836"/>
      <c r="G919" s="836"/>
      <c r="H919" s="836"/>
      <c r="I919" s="835"/>
      <c r="J919" s="836"/>
      <c r="K919" s="835"/>
      <c r="L919" s="836"/>
      <c r="M919" s="837"/>
      <c r="N919" s="836"/>
      <c r="O919" s="837"/>
      <c r="P919" s="836"/>
      <c r="Q919" s="835"/>
      <c r="R919" s="837"/>
      <c r="S919" s="837"/>
      <c r="T919" s="838"/>
      <c r="U919" s="836"/>
      <c r="V919" s="836"/>
    </row>
    <row r="920" customHeight="1" spans="1:22">
      <c r="A920" s="835"/>
      <c r="B920" s="836"/>
      <c r="C920" s="836"/>
      <c r="D920" s="836"/>
      <c r="E920" s="836"/>
      <c r="F920" s="836"/>
      <c r="G920" s="836"/>
      <c r="H920" s="836"/>
      <c r="I920" s="835"/>
      <c r="J920" s="836"/>
      <c r="K920" s="835"/>
      <c r="L920" s="836"/>
      <c r="M920" s="837"/>
      <c r="N920" s="836"/>
      <c r="O920" s="837"/>
      <c r="P920" s="836"/>
      <c r="Q920" s="835"/>
      <c r="R920" s="837"/>
      <c r="S920" s="837"/>
      <c r="T920" s="838"/>
      <c r="U920" s="836"/>
      <c r="V920" s="836"/>
    </row>
    <row r="921" customHeight="1" spans="1:22">
      <c r="A921" s="835"/>
      <c r="B921" s="836"/>
      <c r="C921" s="836"/>
      <c r="D921" s="836"/>
      <c r="E921" s="836"/>
      <c r="F921" s="836"/>
      <c r="G921" s="836"/>
      <c r="H921" s="836"/>
      <c r="I921" s="835"/>
      <c r="J921" s="836"/>
      <c r="K921" s="835"/>
      <c r="L921" s="836"/>
      <c r="M921" s="837"/>
      <c r="N921" s="836"/>
      <c r="O921" s="837"/>
      <c r="P921" s="836"/>
      <c r="Q921" s="835"/>
      <c r="R921" s="837"/>
      <c r="S921" s="837"/>
      <c r="T921" s="838"/>
      <c r="U921" s="836"/>
      <c r="V921" s="836"/>
    </row>
    <row r="922" customHeight="1" spans="1:22">
      <c r="A922" s="835"/>
      <c r="B922" s="836"/>
      <c r="C922" s="836"/>
      <c r="D922" s="836"/>
      <c r="E922" s="836"/>
      <c r="F922" s="836"/>
      <c r="G922" s="836"/>
      <c r="H922" s="836"/>
      <c r="I922" s="835"/>
      <c r="J922" s="836"/>
      <c r="K922" s="835"/>
      <c r="L922" s="836"/>
      <c r="M922" s="837"/>
      <c r="N922" s="836"/>
      <c r="O922" s="837"/>
      <c r="P922" s="836"/>
      <c r="Q922" s="835"/>
      <c r="R922" s="837"/>
      <c r="S922" s="837"/>
      <c r="T922" s="838"/>
      <c r="U922" s="836"/>
      <c r="V922" s="836"/>
    </row>
    <row r="923" customHeight="1" spans="1:22">
      <c r="A923" s="835"/>
      <c r="B923" s="836"/>
      <c r="C923" s="836"/>
      <c r="D923" s="836"/>
      <c r="E923" s="836"/>
      <c r="F923" s="836"/>
      <c r="G923" s="836"/>
      <c r="H923" s="836"/>
      <c r="I923" s="835"/>
      <c r="J923" s="836"/>
      <c r="K923" s="835"/>
      <c r="L923" s="836"/>
      <c r="M923" s="837"/>
      <c r="N923" s="836"/>
      <c r="O923" s="837"/>
      <c r="P923" s="836"/>
      <c r="Q923" s="835"/>
      <c r="R923" s="837"/>
      <c r="S923" s="837"/>
      <c r="T923" s="838"/>
      <c r="U923" s="836"/>
      <c r="V923" s="836"/>
    </row>
    <row r="924" customHeight="1" spans="1:22">
      <c r="A924" s="835"/>
      <c r="B924" s="836"/>
      <c r="C924" s="836"/>
      <c r="D924" s="836"/>
      <c r="E924" s="836"/>
      <c r="F924" s="836"/>
      <c r="G924" s="836"/>
      <c r="H924" s="836"/>
      <c r="I924" s="835"/>
      <c r="J924" s="836"/>
      <c r="K924" s="835"/>
      <c r="L924" s="836"/>
      <c r="M924" s="837"/>
      <c r="N924" s="836"/>
      <c r="O924" s="837"/>
      <c r="P924" s="836"/>
      <c r="Q924" s="835"/>
      <c r="R924" s="837"/>
      <c r="S924" s="837"/>
      <c r="T924" s="838"/>
      <c r="U924" s="836"/>
      <c r="V924" s="836"/>
    </row>
    <row r="925" customHeight="1" spans="1:22">
      <c r="A925" s="835"/>
      <c r="B925" s="836"/>
      <c r="C925" s="836"/>
      <c r="D925" s="836"/>
      <c r="E925" s="836"/>
      <c r="F925" s="836"/>
      <c r="G925" s="836"/>
      <c r="H925" s="836"/>
      <c r="I925" s="835"/>
      <c r="J925" s="836"/>
      <c r="K925" s="835"/>
      <c r="L925" s="836"/>
      <c r="M925" s="837"/>
      <c r="N925" s="836"/>
      <c r="O925" s="837"/>
      <c r="P925" s="836"/>
      <c r="Q925" s="835"/>
      <c r="R925" s="837"/>
      <c r="S925" s="837"/>
      <c r="T925" s="838"/>
      <c r="U925" s="836"/>
      <c r="V925" s="836"/>
    </row>
    <row r="926" customHeight="1" spans="1:22">
      <c r="A926" s="835"/>
      <c r="B926" s="836"/>
      <c r="C926" s="836"/>
      <c r="D926" s="836"/>
      <c r="E926" s="836"/>
      <c r="F926" s="836"/>
      <c r="G926" s="836"/>
      <c r="H926" s="836"/>
      <c r="I926" s="835"/>
      <c r="J926" s="836"/>
      <c r="K926" s="835"/>
      <c r="L926" s="836"/>
      <c r="M926" s="837"/>
      <c r="N926" s="836"/>
      <c r="O926" s="837"/>
      <c r="P926" s="836"/>
      <c r="Q926" s="835"/>
      <c r="R926" s="837"/>
      <c r="S926" s="837"/>
      <c r="T926" s="838"/>
      <c r="U926" s="836"/>
      <c r="V926" s="836"/>
    </row>
    <row r="927" customHeight="1" spans="1:22">
      <c r="A927" s="835"/>
      <c r="B927" s="836"/>
      <c r="C927" s="836"/>
      <c r="D927" s="836"/>
      <c r="E927" s="836"/>
      <c r="F927" s="836"/>
      <c r="G927" s="836"/>
      <c r="H927" s="836"/>
      <c r="I927" s="835"/>
      <c r="J927" s="836"/>
      <c r="K927" s="835"/>
      <c r="L927" s="836"/>
      <c r="M927" s="837"/>
      <c r="N927" s="836"/>
      <c r="O927" s="837"/>
      <c r="P927" s="836"/>
      <c r="Q927" s="835"/>
      <c r="R927" s="837"/>
      <c r="S927" s="837"/>
      <c r="T927" s="838"/>
      <c r="U927" s="836"/>
      <c r="V927" s="836"/>
    </row>
    <row r="928" customHeight="1" spans="1:22">
      <c r="A928" s="835"/>
      <c r="B928" s="836"/>
      <c r="C928" s="836"/>
      <c r="D928" s="836"/>
      <c r="E928" s="836"/>
      <c r="F928" s="836"/>
      <c r="G928" s="836"/>
      <c r="H928" s="836"/>
      <c r="I928" s="835"/>
      <c r="J928" s="836"/>
      <c r="K928" s="835"/>
      <c r="L928" s="836"/>
      <c r="M928" s="837"/>
      <c r="N928" s="836"/>
      <c r="O928" s="837"/>
      <c r="P928" s="836"/>
      <c r="Q928" s="835"/>
      <c r="R928" s="837"/>
      <c r="S928" s="837"/>
      <c r="T928" s="838"/>
      <c r="U928" s="836"/>
      <c r="V928" s="836"/>
    </row>
    <row r="929" customHeight="1" spans="1:22">
      <c r="A929" s="835"/>
      <c r="B929" s="836"/>
      <c r="C929" s="836"/>
      <c r="D929" s="836"/>
      <c r="E929" s="836"/>
      <c r="F929" s="836"/>
      <c r="G929" s="836"/>
      <c r="H929" s="836"/>
      <c r="I929" s="835"/>
      <c r="J929" s="836"/>
      <c r="K929" s="835"/>
      <c r="L929" s="836"/>
      <c r="M929" s="837"/>
      <c r="N929" s="836"/>
      <c r="O929" s="837"/>
      <c r="P929" s="836"/>
      <c r="Q929" s="835"/>
      <c r="R929" s="837"/>
      <c r="S929" s="837"/>
      <c r="T929" s="838"/>
      <c r="U929" s="836"/>
      <c r="V929" s="836"/>
    </row>
    <row r="930" customHeight="1" spans="1:22">
      <c r="A930" s="835"/>
      <c r="B930" s="836"/>
      <c r="C930" s="836"/>
      <c r="D930" s="836"/>
      <c r="E930" s="836"/>
      <c r="F930" s="836"/>
      <c r="G930" s="836"/>
      <c r="H930" s="836"/>
      <c r="I930" s="835"/>
      <c r="J930" s="836"/>
      <c r="K930" s="835"/>
      <c r="L930" s="836"/>
      <c r="M930" s="837"/>
      <c r="N930" s="836"/>
      <c r="O930" s="837"/>
      <c r="P930" s="836"/>
      <c r="Q930" s="835"/>
      <c r="R930" s="837"/>
      <c r="S930" s="837"/>
      <c r="T930" s="838"/>
      <c r="U930" s="836"/>
      <c r="V930" s="836"/>
    </row>
    <row r="931" customHeight="1" spans="1:22">
      <c r="A931" s="835"/>
      <c r="B931" s="836"/>
      <c r="C931" s="836"/>
      <c r="D931" s="836"/>
      <c r="E931" s="836"/>
      <c r="F931" s="836"/>
      <c r="G931" s="836"/>
      <c r="H931" s="836"/>
      <c r="I931" s="835"/>
      <c r="J931" s="836"/>
      <c r="K931" s="835"/>
      <c r="L931" s="836"/>
      <c r="M931" s="837"/>
      <c r="N931" s="836"/>
      <c r="O931" s="837"/>
      <c r="P931" s="836"/>
      <c r="Q931" s="835"/>
      <c r="R931" s="837"/>
      <c r="S931" s="837"/>
      <c r="T931" s="838"/>
      <c r="U931" s="836"/>
      <c r="V931" s="836"/>
    </row>
    <row r="932" customHeight="1" spans="1:22">
      <c r="A932" s="835"/>
      <c r="B932" s="836"/>
      <c r="C932" s="836"/>
      <c r="D932" s="836"/>
      <c r="E932" s="836"/>
      <c r="F932" s="836"/>
      <c r="G932" s="836"/>
      <c r="H932" s="836"/>
      <c r="I932" s="835"/>
      <c r="J932" s="836"/>
      <c r="K932" s="835"/>
      <c r="L932" s="836"/>
      <c r="M932" s="837"/>
      <c r="N932" s="836"/>
      <c r="O932" s="837"/>
      <c r="P932" s="836"/>
      <c r="Q932" s="835"/>
      <c r="R932" s="837"/>
      <c r="S932" s="837"/>
      <c r="T932" s="838"/>
      <c r="U932" s="836"/>
      <c r="V932" s="836"/>
    </row>
    <row r="933" customHeight="1" spans="1:22">
      <c r="A933" s="835"/>
      <c r="B933" s="836"/>
      <c r="C933" s="836"/>
      <c r="D933" s="836"/>
      <c r="E933" s="836"/>
      <c r="F933" s="836"/>
      <c r="G933" s="836"/>
      <c r="H933" s="836"/>
      <c r="I933" s="835"/>
      <c r="J933" s="836"/>
      <c r="K933" s="835"/>
      <c r="L933" s="836"/>
      <c r="M933" s="837"/>
      <c r="N933" s="836"/>
      <c r="O933" s="837"/>
      <c r="P933" s="836"/>
      <c r="Q933" s="835"/>
      <c r="R933" s="837"/>
      <c r="S933" s="837"/>
      <c r="T933" s="838"/>
      <c r="U933" s="836"/>
      <c r="V933" s="836"/>
    </row>
    <row r="934" customHeight="1" spans="1:22">
      <c r="A934" s="835"/>
      <c r="B934" s="836"/>
      <c r="C934" s="836"/>
      <c r="D934" s="836"/>
      <c r="E934" s="836"/>
      <c r="F934" s="836"/>
      <c r="G934" s="836"/>
      <c r="H934" s="836"/>
      <c r="I934" s="835"/>
      <c r="J934" s="836"/>
      <c r="K934" s="835"/>
      <c r="L934" s="836"/>
      <c r="M934" s="837"/>
      <c r="N934" s="836"/>
      <c r="O934" s="837"/>
      <c r="P934" s="836"/>
      <c r="Q934" s="835"/>
      <c r="R934" s="837"/>
      <c r="S934" s="837"/>
      <c r="T934" s="838"/>
      <c r="U934" s="836"/>
      <c r="V934" s="836"/>
    </row>
    <row r="935" customHeight="1" spans="1:22">
      <c r="A935" s="835"/>
      <c r="B935" s="836"/>
      <c r="C935" s="836"/>
      <c r="D935" s="836"/>
      <c r="E935" s="836"/>
      <c r="F935" s="836"/>
      <c r="G935" s="836"/>
      <c r="H935" s="836"/>
      <c r="I935" s="835"/>
      <c r="J935" s="836"/>
      <c r="K935" s="835"/>
      <c r="L935" s="836"/>
      <c r="M935" s="837"/>
      <c r="N935" s="836"/>
      <c r="O935" s="837"/>
      <c r="P935" s="836"/>
      <c r="Q935" s="835"/>
      <c r="R935" s="837"/>
      <c r="S935" s="837"/>
      <c r="T935" s="838"/>
      <c r="U935" s="836"/>
      <c r="V935" s="836"/>
    </row>
    <row r="936" customHeight="1" spans="1:22">
      <c r="A936" s="835"/>
      <c r="B936" s="836"/>
      <c r="C936" s="836"/>
      <c r="D936" s="836"/>
      <c r="E936" s="836"/>
      <c r="F936" s="836"/>
      <c r="G936" s="836"/>
      <c r="H936" s="836"/>
      <c r="I936" s="835"/>
      <c r="J936" s="836"/>
      <c r="K936" s="835"/>
      <c r="L936" s="836"/>
      <c r="M936" s="837"/>
      <c r="N936" s="836"/>
      <c r="O936" s="837"/>
      <c r="P936" s="836"/>
      <c r="Q936" s="835"/>
      <c r="R936" s="837"/>
      <c r="S936" s="837"/>
      <c r="T936" s="838"/>
      <c r="U936" s="836"/>
      <c r="V936" s="836"/>
    </row>
    <row r="937" customHeight="1" spans="1:22">
      <c r="A937" s="835"/>
      <c r="B937" s="836"/>
      <c r="C937" s="836"/>
      <c r="D937" s="836"/>
      <c r="E937" s="836"/>
      <c r="F937" s="836"/>
      <c r="G937" s="836"/>
      <c r="H937" s="836"/>
      <c r="I937" s="835"/>
      <c r="J937" s="836"/>
      <c r="K937" s="835"/>
      <c r="L937" s="836"/>
      <c r="M937" s="837"/>
      <c r="N937" s="836"/>
      <c r="O937" s="837"/>
      <c r="P937" s="836"/>
      <c r="Q937" s="835"/>
      <c r="R937" s="837"/>
      <c r="S937" s="837"/>
      <c r="T937" s="838"/>
      <c r="U937" s="836"/>
      <c r="V937" s="836"/>
    </row>
    <row r="938" customHeight="1" spans="1:22">
      <c r="A938" s="835"/>
      <c r="B938" s="836"/>
      <c r="C938" s="836"/>
      <c r="D938" s="836"/>
      <c r="E938" s="836"/>
      <c r="F938" s="836"/>
      <c r="G938" s="836"/>
      <c r="H938" s="836"/>
      <c r="I938" s="835"/>
      <c r="J938" s="836"/>
      <c r="K938" s="835"/>
      <c r="L938" s="836"/>
      <c r="M938" s="837"/>
      <c r="N938" s="836"/>
      <c r="O938" s="837"/>
      <c r="P938" s="836"/>
      <c r="Q938" s="835"/>
      <c r="R938" s="837"/>
      <c r="S938" s="837"/>
      <c r="T938" s="838"/>
      <c r="U938" s="836"/>
      <c r="V938" s="836"/>
    </row>
    <row r="939" customHeight="1" spans="1:22">
      <c r="A939" s="835"/>
      <c r="B939" s="836"/>
      <c r="C939" s="836"/>
      <c r="D939" s="836"/>
      <c r="E939" s="836"/>
      <c r="F939" s="836"/>
      <c r="G939" s="836"/>
      <c r="H939" s="836"/>
      <c r="I939" s="835"/>
      <c r="J939" s="836"/>
      <c r="K939" s="835"/>
      <c r="L939" s="836"/>
      <c r="M939" s="837"/>
      <c r="N939" s="836"/>
      <c r="O939" s="837"/>
      <c r="P939" s="836"/>
      <c r="Q939" s="835"/>
      <c r="R939" s="837"/>
      <c r="S939" s="837"/>
      <c r="T939" s="838"/>
      <c r="U939" s="836"/>
      <c r="V939" s="836"/>
    </row>
    <row r="940" customHeight="1" spans="1:22">
      <c r="A940" s="835"/>
      <c r="B940" s="836"/>
      <c r="C940" s="836"/>
      <c r="D940" s="836"/>
      <c r="E940" s="836"/>
      <c r="F940" s="836"/>
      <c r="G940" s="836"/>
      <c r="H940" s="836"/>
      <c r="I940" s="835"/>
      <c r="J940" s="836"/>
      <c r="K940" s="835"/>
      <c r="L940" s="836"/>
      <c r="M940" s="837"/>
      <c r="N940" s="836"/>
      <c r="O940" s="837"/>
      <c r="P940" s="836"/>
      <c r="Q940" s="835"/>
      <c r="R940" s="837"/>
      <c r="S940" s="837"/>
      <c r="T940" s="838"/>
      <c r="U940" s="836"/>
      <c r="V940" s="836"/>
    </row>
    <row r="941" customHeight="1" spans="1:22">
      <c r="A941" s="835"/>
      <c r="B941" s="836"/>
      <c r="C941" s="836"/>
      <c r="D941" s="836"/>
      <c r="E941" s="836"/>
      <c r="F941" s="836"/>
      <c r="G941" s="836"/>
      <c r="H941" s="836"/>
      <c r="I941" s="835"/>
      <c r="J941" s="836"/>
      <c r="K941" s="835"/>
      <c r="L941" s="836"/>
      <c r="M941" s="837"/>
      <c r="N941" s="836"/>
      <c r="O941" s="837"/>
      <c r="P941" s="836"/>
      <c r="Q941" s="835"/>
      <c r="R941" s="837"/>
      <c r="S941" s="837"/>
      <c r="T941" s="838"/>
      <c r="U941" s="836"/>
      <c r="V941" s="836"/>
    </row>
    <row r="942" customHeight="1" spans="1:22">
      <c r="A942" s="835"/>
      <c r="B942" s="836"/>
      <c r="C942" s="836"/>
      <c r="D942" s="836"/>
      <c r="E942" s="836"/>
      <c r="F942" s="836"/>
      <c r="G942" s="836"/>
      <c r="H942" s="836"/>
      <c r="I942" s="835"/>
      <c r="J942" s="836"/>
      <c r="K942" s="835"/>
      <c r="L942" s="836"/>
      <c r="M942" s="837"/>
      <c r="N942" s="836"/>
      <c r="O942" s="837"/>
      <c r="P942" s="836"/>
      <c r="Q942" s="835"/>
      <c r="R942" s="837"/>
      <c r="S942" s="837"/>
      <c r="T942" s="838"/>
      <c r="U942" s="836"/>
      <c r="V942" s="836"/>
    </row>
    <row r="943" customHeight="1" spans="1:22">
      <c r="A943" s="835"/>
      <c r="B943" s="836"/>
      <c r="C943" s="836"/>
      <c r="D943" s="836"/>
      <c r="E943" s="836"/>
      <c r="F943" s="836"/>
      <c r="G943" s="836"/>
      <c r="H943" s="836"/>
      <c r="I943" s="835"/>
      <c r="J943" s="836"/>
      <c r="K943" s="835"/>
      <c r="L943" s="836"/>
      <c r="M943" s="837"/>
      <c r="N943" s="836"/>
      <c r="O943" s="837"/>
      <c r="P943" s="836"/>
      <c r="Q943" s="835"/>
      <c r="R943" s="837"/>
      <c r="S943" s="837"/>
      <c r="T943" s="838"/>
      <c r="U943" s="836"/>
      <c r="V943" s="836"/>
    </row>
    <row r="944" customHeight="1" spans="1:22">
      <c r="A944" s="835"/>
      <c r="B944" s="836"/>
      <c r="C944" s="836"/>
      <c r="D944" s="836"/>
      <c r="E944" s="836"/>
      <c r="F944" s="836"/>
      <c r="G944" s="836"/>
      <c r="H944" s="836"/>
      <c r="I944" s="835"/>
      <c r="J944" s="836"/>
      <c r="K944" s="835"/>
      <c r="L944" s="836"/>
      <c r="M944" s="837"/>
      <c r="N944" s="836"/>
      <c r="O944" s="837"/>
      <c r="P944" s="836"/>
      <c r="Q944" s="835"/>
      <c r="R944" s="837"/>
      <c r="S944" s="837"/>
      <c r="T944" s="838"/>
      <c r="U944" s="836"/>
      <c r="V944" s="836"/>
    </row>
    <row r="945" customHeight="1" spans="1:22">
      <c r="A945" s="835"/>
      <c r="B945" s="836"/>
      <c r="C945" s="836"/>
      <c r="D945" s="836"/>
      <c r="E945" s="836"/>
      <c r="F945" s="836"/>
      <c r="G945" s="836"/>
      <c r="H945" s="836"/>
      <c r="I945" s="835"/>
      <c r="J945" s="836"/>
      <c r="K945" s="835"/>
      <c r="L945" s="836"/>
      <c r="M945" s="837"/>
      <c r="N945" s="836"/>
      <c r="O945" s="837"/>
      <c r="P945" s="836"/>
      <c r="Q945" s="835"/>
      <c r="R945" s="837"/>
      <c r="S945" s="837"/>
      <c r="T945" s="838"/>
      <c r="U945" s="836"/>
      <c r="V945" s="836"/>
    </row>
    <row r="946" customHeight="1" spans="1:22">
      <c r="A946" s="835"/>
      <c r="B946" s="836"/>
      <c r="C946" s="836"/>
      <c r="D946" s="836"/>
      <c r="E946" s="836"/>
      <c r="F946" s="836"/>
      <c r="G946" s="836"/>
      <c r="H946" s="836"/>
      <c r="I946" s="835"/>
      <c r="J946" s="836"/>
      <c r="K946" s="835"/>
      <c r="L946" s="836"/>
      <c r="M946" s="837"/>
      <c r="N946" s="836"/>
      <c r="O946" s="837"/>
      <c r="P946" s="836"/>
      <c r="Q946" s="835"/>
      <c r="R946" s="837"/>
      <c r="S946" s="837"/>
      <c r="T946" s="838"/>
      <c r="U946" s="836"/>
      <c r="V946" s="836"/>
    </row>
    <row r="947" customHeight="1" spans="1:22">
      <c r="A947" s="835"/>
      <c r="B947" s="836"/>
      <c r="C947" s="836"/>
      <c r="D947" s="836"/>
      <c r="E947" s="836"/>
      <c r="F947" s="836"/>
      <c r="G947" s="836"/>
      <c r="H947" s="836"/>
      <c r="I947" s="835"/>
      <c r="J947" s="836"/>
      <c r="K947" s="835"/>
      <c r="L947" s="836"/>
      <c r="M947" s="837"/>
      <c r="N947" s="836"/>
      <c r="O947" s="837"/>
      <c r="P947" s="836"/>
      <c r="Q947" s="835"/>
      <c r="R947" s="837"/>
      <c r="S947" s="837"/>
      <c r="T947" s="838"/>
      <c r="U947" s="836"/>
      <c r="V947" s="836"/>
    </row>
    <row r="948" customHeight="1" spans="1:22">
      <c r="A948" s="835"/>
      <c r="B948" s="836"/>
      <c r="C948" s="836"/>
      <c r="D948" s="836"/>
      <c r="E948" s="836"/>
      <c r="F948" s="836"/>
      <c r="G948" s="836"/>
      <c r="H948" s="836"/>
      <c r="I948" s="835"/>
      <c r="J948" s="836"/>
      <c r="K948" s="835"/>
      <c r="L948" s="836"/>
      <c r="M948" s="837"/>
      <c r="N948" s="836"/>
      <c r="O948" s="837"/>
      <c r="P948" s="836"/>
      <c r="Q948" s="835"/>
      <c r="R948" s="837"/>
      <c r="S948" s="837"/>
      <c r="T948" s="838"/>
      <c r="U948" s="836"/>
      <c r="V948" s="836"/>
    </row>
    <row r="949" customHeight="1" spans="1:22">
      <c r="A949" s="835"/>
      <c r="B949" s="836"/>
      <c r="C949" s="836"/>
      <c r="D949" s="836"/>
      <c r="E949" s="836"/>
      <c r="F949" s="836"/>
      <c r="G949" s="836"/>
      <c r="H949" s="836"/>
      <c r="I949" s="835"/>
      <c r="J949" s="836"/>
      <c r="K949" s="835"/>
      <c r="L949" s="836"/>
      <c r="M949" s="837"/>
      <c r="N949" s="836"/>
      <c r="O949" s="837"/>
      <c r="P949" s="836"/>
      <c r="Q949" s="835"/>
      <c r="R949" s="837"/>
      <c r="S949" s="837"/>
      <c r="T949" s="838"/>
      <c r="U949" s="836"/>
      <c r="V949" s="836"/>
    </row>
    <row r="950" customHeight="1" spans="1:22">
      <c r="A950" s="835"/>
      <c r="B950" s="836"/>
      <c r="C950" s="836"/>
      <c r="D950" s="836"/>
      <c r="E950" s="836"/>
      <c r="F950" s="836"/>
      <c r="G950" s="836"/>
      <c r="H950" s="836"/>
      <c r="I950" s="835"/>
      <c r="J950" s="836"/>
      <c r="K950" s="835"/>
      <c r="L950" s="836"/>
      <c r="M950" s="837"/>
      <c r="N950" s="836"/>
      <c r="O950" s="837"/>
      <c r="P950" s="836"/>
      <c r="Q950" s="835"/>
      <c r="R950" s="837"/>
      <c r="S950" s="837"/>
      <c r="T950" s="838"/>
      <c r="U950" s="836"/>
      <c r="V950" s="836"/>
    </row>
    <row r="951" customHeight="1" spans="1:22">
      <c r="A951" s="835"/>
      <c r="B951" s="836"/>
      <c r="C951" s="836"/>
      <c r="D951" s="836"/>
      <c r="E951" s="836"/>
      <c r="F951" s="836"/>
      <c r="G951" s="836"/>
      <c r="H951" s="836"/>
      <c r="I951" s="835"/>
      <c r="J951" s="836"/>
      <c r="K951" s="835"/>
      <c r="L951" s="836"/>
      <c r="M951" s="837"/>
      <c r="N951" s="836"/>
      <c r="O951" s="837"/>
      <c r="P951" s="836"/>
      <c r="Q951" s="835"/>
      <c r="R951" s="837"/>
      <c r="S951" s="837"/>
      <c r="T951" s="838"/>
      <c r="U951" s="836"/>
      <c r="V951" s="836"/>
    </row>
    <row r="952" customHeight="1" spans="1:22">
      <c r="A952" s="835"/>
      <c r="B952" s="836"/>
      <c r="C952" s="836"/>
      <c r="D952" s="836"/>
      <c r="E952" s="836"/>
      <c r="F952" s="836"/>
      <c r="G952" s="836"/>
      <c r="H952" s="836"/>
      <c r="I952" s="835"/>
      <c r="J952" s="836"/>
      <c r="K952" s="835"/>
      <c r="L952" s="836"/>
      <c r="M952" s="837"/>
      <c r="N952" s="836"/>
      <c r="O952" s="837"/>
      <c r="P952" s="836"/>
      <c r="Q952" s="835"/>
      <c r="R952" s="837"/>
      <c r="S952" s="837"/>
      <c r="T952" s="838"/>
      <c r="U952" s="836"/>
      <c r="V952" s="836"/>
    </row>
    <row r="953" customHeight="1" spans="1:22">
      <c r="A953" s="835"/>
      <c r="B953" s="836"/>
      <c r="C953" s="836"/>
      <c r="D953" s="836"/>
      <c r="E953" s="836"/>
      <c r="F953" s="836"/>
      <c r="G953" s="836"/>
      <c r="H953" s="836"/>
      <c r="I953" s="835"/>
      <c r="J953" s="836"/>
      <c r="K953" s="835"/>
      <c r="L953" s="836"/>
      <c r="M953" s="837"/>
      <c r="N953" s="836"/>
      <c r="O953" s="837"/>
      <c r="P953" s="836"/>
      <c r="Q953" s="835"/>
      <c r="R953" s="837"/>
      <c r="S953" s="837"/>
      <c r="T953" s="838"/>
      <c r="U953" s="836"/>
      <c r="V953" s="836"/>
    </row>
    <row r="954" customHeight="1" spans="1:22">
      <c r="A954" s="835"/>
      <c r="B954" s="836"/>
      <c r="C954" s="836"/>
      <c r="D954" s="836"/>
      <c r="E954" s="836"/>
      <c r="F954" s="836"/>
      <c r="G954" s="836"/>
      <c r="H954" s="836"/>
      <c r="I954" s="835"/>
      <c r="J954" s="836"/>
      <c r="K954" s="835"/>
      <c r="L954" s="836"/>
      <c r="M954" s="837"/>
      <c r="N954" s="836"/>
      <c r="O954" s="837"/>
      <c r="P954" s="836"/>
      <c r="Q954" s="835"/>
      <c r="R954" s="837"/>
      <c r="S954" s="837"/>
      <c r="T954" s="838"/>
      <c r="U954" s="836"/>
      <c r="V954" s="836"/>
    </row>
    <row r="955" customHeight="1" spans="1:22">
      <c r="A955" s="835"/>
      <c r="B955" s="836"/>
      <c r="C955" s="836"/>
      <c r="D955" s="836"/>
      <c r="E955" s="836"/>
      <c r="F955" s="836"/>
      <c r="G955" s="836"/>
      <c r="H955" s="836"/>
      <c r="I955" s="835"/>
      <c r="J955" s="836"/>
      <c r="K955" s="835"/>
      <c r="L955" s="836"/>
      <c r="M955" s="837"/>
      <c r="N955" s="836"/>
      <c r="O955" s="837"/>
      <c r="P955" s="836"/>
      <c r="Q955" s="835"/>
      <c r="R955" s="837"/>
      <c r="S955" s="837"/>
      <c r="T955" s="838"/>
      <c r="U955" s="836"/>
      <c r="V955" s="836"/>
    </row>
    <row r="956" customHeight="1" spans="1:22">
      <c r="A956" s="835"/>
      <c r="B956" s="836"/>
      <c r="C956" s="836"/>
      <c r="D956" s="836"/>
      <c r="E956" s="836"/>
      <c r="F956" s="836"/>
      <c r="G956" s="836"/>
      <c r="H956" s="836"/>
      <c r="I956" s="835"/>
      <c r="J956" s="836"/>
      <c r="K956" s="835"/>
      <c r="L956" s="836"/>
      <c r="M956" s="837"/>
      <c r="N956" s="836"/>
      <c r="O956" s="837"/>
      <c r="P956" s="836"/>
      <c r="Q956" s="835"/>
      <c r="R956" s="837"/>
      <c r="S956" s="837"/>
      <c r="T956" s="838"/>
      <c r="U956" s="836"/>
      <c r="V956" s="836"/>
    </row>
    <row r="957" customHeight="1" spans="1:22">
      <c r="A957" s="835"/>
      <c r="B957" s="836"/>
      <c r="C957" s="836"/>
      <c r="D957" s="836"/>
      <c r="E957" s="836"/>
      <c r="F957" s="836"/>
      <c r="G957" s="836"/>
      <c r="H957" s="836"/>
      <c r="I957" s="835"/>
      <c r="J957" s="836"/>
      <c r="K957" s="835"/>
      <c r="L957" s="836"/>
      <c r="M957" s="837"/>
      <c r="N957" s="836"/>
      <c r="O957" s="837"/>
      <c r="P957" s="836"/>
      <c r="Q957" s="835"/>
      <c r="R957" s="837"/>
      <c r="S957" s="837"/>
      <c r="T957" s="838"/>
      <c r="U957" s="836"/>
      <c r="V957" s="836"/>
    </row>
    <row r="958" customHeight="1" spans="1:22">
      <c r="A958" s="835"/>
      <c r="B958" s="836"/>
      <c r="C958" s="836"/>
      <c r="D958" s="836"/>
      <c r="E958" s="836"/>
      <c r="F958" s="836"/>
      <c r="G958" s="836"/>
      <c r="H958" s="836"/>
      <c r="I958" s="835"/>
      <c r="J958" s="836"/>
      <c r="K958" s="835"/>
      <c r="L958" s="836"/>
      <c r="M958" s="837"/>
      <c r="N958" s="836"/>
      <c r="O958" s="837"/>
      <c r="P958" s="836"/>
      <c r="Q958" s="835"/>
      <c r="R958" s="837"/>
      <c r="S958" s="837"/>
      <c r="T958" s="838"/>
      <c r="U958" s="836"/>
      <c r="V958" s="836"/>
    </row>
    <row r="959" customHeight="1" spans="1:22">
      <c r="A959" s="835"/>
      <c r="B959" s="836"/>
      <c r="C959" s="836"/>
      <c r="D959" s="836"/>
      <c r="E959" s="836"/>
      <c r="F959" s="836"/>
      <c r="G959" s="836"/>
      <c r="H959" s="836"/>
      <c r="I959" s="835"/>
      <c r="J959" s="836"/>
      <c r="K959" s="835"/>
      <c r="L959" s="836"/>
      <c r="M959" s="837"/>
      <c r="N959" s="836"/>
      <c r="O959" s="837"/>
      <c r="P959" s="836"/>
      <c r="Q959" s="835"/>
      <c r="R959" s="837"/>
      <c r="S959" s="837"/>
      <c r="T959" s="838"/>
      <c r="U959" s="836"/>
      <c r="V959" s="836"/>
    </row>
    <row r="960" customHeight="1" spans="1:22">
      <c r="A960" s="835"/>
      <c r="B960" s="836"/>
      <c r="C960" s="836"/>
      <c r="D960" s="836"/>
      <c r="E960" s="836"/>
      <c r="F960" s="836"/>
      <c r="G960" s="836"/>
      <c r="H960" s="836"/>
      <c r="I960" s="835"/>
      <c r="J960" s="836"/>
      <c r="K960" s="835"/>
      <c r="L960" s="836"/>
      <c r="M960" s="837"/>
      <c r="N960" s="836"/>
      <c r="O960" s="837"/>
      <c r="P960" s="836"/>
      <c r="Q960" s="835"/>
      <c r="R960" s="837"/>
      <c r="S960" s="837"/>
      <c r="T960" s="838"/>
      <c r="U960" s="836"/>
      <c r="V960" s="836"/>
    </row>
    <row r="961" customHeight="1" spans="1:22">
      <c r="A961" s="835"/>
      <c r="B961" s="836"/>
      <c r="C961" s="836"/>
      <c r="D961" s="836"/>
      <c r="E961" s="836"/>
      <c r="F961" s="836"/>
      <c r="G961" s="836"/>
      <c r="H961" s="836"/>
      <c r="I961" s="835"/>
      <c r="J961" s="836"/>
      <c r="K961" s="835"/>
      <c r="L961" s="836"/>
      <c r="M961" s="837"/>
      <c r="N961" s="836"/>
      <c r="O961" s="837"/>
      <c r="P961" s="836"/>
      <c r="Q961" s="835"/>
      <c r="R961" s="837"/>
      <c r="S961" s="837"/>
      <c r="T961" s="838"/>
      <c r="U961" s="836"/>
      <c r="V961" s="836"/>
    </row>
    <row r="962" customHeight="1" spans="1:22">
      <c r="A962" s="835"/>
      <c r="B962" s="836"/>
      <c r="C962" s="836"/>
      <c r="D962" s="836"/>
      <c r="E962" s="836"/>
      <c r="F962" s="836"/>
      <c r="G962" s="836"/>
      <c r="H962" s="836"/>
      <c r="I962" s="835"/>
      <c r="J962" s="836"/>
      <c r="K962" s="835"/>
      <c r="L962" s="836"/>
      <c r="M962" s="837"/>
      <c r="N962" s="836"/>
      <c r="O962" s="837"/>
      <c r="P962" s="836"/>
      <c r="Q962" s="835"/>
      <c r="R962" s="837"/>
      <c r="S962" s="837"/>
      <c r="T962" s="838"/>
      <c r="U962" s="836"/>
      <c r="V962" s="836"/>
    </row>
    <row r="963" customHeight="1" spans="1:22">
      <c r="A963" s="835"/>
      <c r="B963" s="836"/>
      <c r="C963" s="836"/>
      <c r="D963" s="836"/>
      <c r="E963" s="836"/>
      <c r="F963" s="836"/>
      <c r="G963" s="836"/>
      <c r="H963" s="836"/>
      <c r="I963" s="835"/>
      <c r="J963" s="836"/>
      <c r="K963" s="835"/>
      <c r="L963" s="836"/>
      <c r="M963" s="837"/>
      <c r="N963" s="836"/>
      <c r="O963" s="837"/>
      <c r="P963" s="836"/>
      <c r="Q963" s="835"/>
      <c r="R963" s="837"/>
      <c r="S963" s="837"/>
      <c r="T963" s="838"/>
      <c r="U963" s="836"/>
      <c r="V963" s="836"/>
    </row>
    <row r="964" customHeight="1" spans="1:22">
      <c r="A964" s="835"/>
      <c r="B964" s="836"/>
      <c r="C964" s="836"/>
      <c r="D964" s="836"/>
      <c r="E964" s="836"/>
      <c r="F964" s="836"/>
      <c r="G964" s="836"/>
      <c r="H964" s="836"/>
      <c r="I964" s="835"/>
      <c r="J964" s="836"/>
      <c r="K964" s="835"/>
      <c r="L964" s="836"/>
      <c r="M964" s="837"/>
      <c r="N964" s="836"/>
      <c r="O964" s="837"/>
      <c r="P964" s="836"/>
      <c r="Q964" s="835"/>
      <c r="R964" s="837"/>
      <c r="S964" s="837"/>
      <c r="T964" s="838"/>
      <c r="U964" s="836"/>
      <c r="V964" s="836"/>
    </row>
    <row r="965" customHeight="1" spans="1:22">
      <c r="A965" s="835"/>
      <c r="B965" s="836"/>
      <c r="C965" s="836"/>
      <c r="D965" s="836"/>
      <c r="E965" s="836"/>
      <c r="F965" s="836"/>
      <c r="G965" s="836"/>
      <c r="H965" s="836"/>
      <c r="I965" s="835"/>
      <c r="J965" s="836"/>
      <c r="K965" s="835"/>
      <c r="L965" s="836"/>
      <c r="M965" s="837"/>
      <c r="N965" s="836"/>
      <c r="O965" s="837"/>
      <c r="P965" s="836"/>
      <c r="Q965" s="835"/>
      <c r="R965" s="837"/>
      <c r="S965" s="837"/>
      <c r="T965" s="838"/>
      <c r="U965" s="836"/>
      <c r="V965" s="836"/>
    </row>
    <row r="966" customHeight="1" spans="1:22">
      <c r="A966" s="835"/>
      <c r="B966" s="836"/>
      <c r="C966" s="836"/>
      <c r="D966" s="836"/>
      <c r="E966" s="836"/>
      <c r="F966" s="836"/>
      <c r="G966" s="836"/>
      <c r="H966" s="836"/>
      <c r="I966" s="835"/>
      <c r="J966" s="836"/>
      <c r="K966" s="835"/>
      <c r="L966" s="836"/>
      <c r="M966" s="837"/>
      <c r="N966" s="836"/>
      <c r="O966" s="837"/>
      <c r="P966" s="836"/>
      <c r="Q966" s="835"/>
      <c r="R966" s="837"/>
      <c r="S966" s="837"/>
      <c r="T966" s="838"/>
      <c r="U966" s="836"/>
      <c r="V966" s="836"/>
    </row>
    <row r="967" customHeight="1" spans="1:22">
      <c r="A967" s="835"/>
      <c r="B967" s="836"/>
      <c r="C967" s="836"/>
      <c r="D967" s="836"/>
      <c r="E967" s="836"/>
      <c r="F967" s="836"/>
      <c r="G967" s="836"/>
      <c r="H967" s="836"/>
      <c r="I967" s="835"/>
      <c r="J967" s="836"/>
      <c r="K967" s="835"/>
      <c r="L967" s="836"/>
      <c r="M967" s="837"/>
      <c r="N967" s="836"/>
      <c r="O967" s="837"/>
      <c r="P967" s="836"/>
      <c r="Q967" s="835"/>
      <c r="R967" s="837"/>
      <c r="S967" s="837"/>
      <c r="T967" s="838"/>
      <c r="U967" s="836"/>
      <c r="V967" s="836"/>
    </row>
    <row r="968" customHeight="1" spans="1:22">
      <c r="A968" s="835"/>
      <c r="B968" s="836"/>
      <c r="C968" s="836"/>
      <c r="D968" s="836"/>
      <c r="E968" s="836"/>
      <c r="F968" s="836"/>
      <c r="G968" s="836"/>
      <c r="H968" s="836"/>
      <c r="I968" s="835"/>
      <c r="J968" s="836"/>
      <c r="K968" s="835"/>
      <c r="L968" s="836"/>
      <c r="M968" s="837"/>
      <c r="N968" s="836"/>
      <c r="O968" s="837"/>
      <c r="P968" s="836"/>
      <c r="Q968" s="835"/>
      <c r="R968" s="837"/>
      <c r="S968" s="837"/>
      <c r="T968" s="838"/>
      <c r="U968" s="836"/>
      <c r="V968" s="836"/>
    </row>
    <row r="969" customHeight="1" spans="1:22">
      <c r="A969" s="835"/>
      <c r="B969" s="836"/>
      <c r="C969" s="836"/>
      <c r="D969" s="836"/>
      <c r="E969" s="836"/>
      <c r="F969" s="836"/>
      <c r="G969" s="836"/>
      <c r="H969" s="836"/>
      <c r="I969" s="835"/>
      <c r="J969" s="836"/>
      <c r="K969" s="835"/>
      <c r="L969" s="836"/>
      <c r="M969" s="837"/>
      <c r="N969" s="836"/>
      <c r="O969" s="837"/>
      <c r="P969" s="836"/>
      <c r="Q969" s="835"/>
      <c r="R969" s="837"/>
      <c r="S969" s="837"/>
      <c r="T969" s="838"/>
      <c r="U969" s="836"/>
      <c r="V969" s="836"/>
    </row>
    <row r="970" customHeight="1" spans="1:22">
      <c r="A970" s="835"/>
      <c r="B970" s="836"/>
      <c r="C970" s="836"/>
      <c r="D970" s="836"/>
      <c r="E970" s="836"/>
      <c r="F970" s="836"/>
      <c r="G970" s="836"/>
      <c r="H970" s="836"/>
      <c r="I970" s="835"/>
      <c r="J970" s="836"/>
      <c r="K970" s="835"/>
      <c r="L970" s="836"/>
      <c r="M970" s="837"/>
      <c r="N970" s="836"/>
      <c r="O970" s="837"/>
      <c r="P970" s="836"/>
      <c r="Q970" s="835"/>
      <c r="R970" s="837"/>
      <c r="S970" s="837"/>
      <c r="T970" s="838"/>
      <c r="U970" s="836"/>
      <c r="V970" s="836"/>
    </row>
    <row r="971" customHeight="1" spans="1:22">
      <c r="A971" s="835"/>
      <c r="B971" s="836"/>
      <c r="C971" s="836"/>
      <c r="D971" s="836"/>
      <c r="E971" s="836"/>
      <c r="F971" s="836"/>
      <c r="G971" s="836"/>
      <c r="H971" s="836"/>
      <c r="I971" s="835"/>
      <c r="J971" s="836"/>
      <c r="K971" s="835"/>
      <c r="L971" s="836"/>
      <c r="M971" s="837"/>
      <c r="N971" s="836"/>
      <c r="O971" s="837"/>
      <c r="P971" s="836"/>
      <c r="Q971" s="835"/>
      <c r="R971" s="837"/>
      <c r="S971" s="837"/>
      <c r="T971" s="838"/>
      <c r="U971" s="836"/>
      <c r="V971" s="836"/>
    </row>
    <row r="972" customHeight="1" spans="1:22">
      <c r="A972" s="835"/>
      <c r="B972" s="836"/>
      <c r="C972" s="836"/>
      <c r="D972" s="836"/>
      <c r="E972" s="836"/>
      <c r="F972" s="836"/>
      <c r="G972" s="836"/>
      <c r="H972" s="836"/>
      <c r="I972" s="835"/>
      <c r="J972" s="836"/>
      <c r="K972" s="835"/>
      <c r="L972" s="836"/>
      <c r="M972" s="837"/>
      <c r="N972" s="836"/>
      <c r="O972" s="837"/>
      <c r="P972" s="836"/>
      <c r="Q972" s="835"/>
      <c r="R972" s="837"/>
      <c r="S972" s="837"/>
      <c r="T972" s="838"/>
      <c r="U972" s="836"/>
      <c r="V972" s="836"/>
    </row>
    <row r="973" customHeight="1" spans="1:22">
      <c r="A973" s="835"/>
      <c r="B973" s="836"/>
      <c r="C973" s="836"/>
      <c r="D973" s="836"/>
      <c r="E973" s="836"/>
      <c r="F973" s="836"/>
      <c r="G973" s="836"/>
      <c r="H973" s="836"/>
      <c r="I973" s="835"/>
      <c r="J973" s="836"/>
      <c r="K973" s="835"/>
      <c r="L973" s="836"/>
      <c r="M973" s="837"/>
      <c r="N973" s="836"/>
      <c r="O973" s="837"/>
      <c r="P973" s="836"/>
      <c r="Q973" s="835"/>
      <c r="R973" s="837"/>
      <c r="S973" s="837"/>
      <c r="T973" s="838"/>
      <c r="U973" s="836"/>
      <c r="V973" s="836"/>
    </row>
    <row r="974" customHeight="1" spans="1:22">
      <c r="A974" s="835"/>
      <c r="B974" s="836"/>
      <c r="C974" s="836"/>
      <c r="D974" s="836"/>
      <c r="E974" s="836"/>
      <c r="F974" s="836"/>
      <c r="G974" s="836"/>
      <c r="H974" s="836"/>
      <c r="I974" s="835"/>
      <c r="J974" s="836"/>
      <c r="K974" s="835"/>
      <c r="L974" s="836"/>
      <c r="M974" s="837"/>
      <c r="N974" s="836"/>
      <c r="O974" s="837"/>
      <c r="P974" s="836"/>
      <c r="Q974" s="835"/>
      <c r="R974" s="837"/>
      <c r="S974" s="837"/>
      <c r="T974" s="838"/>
      <c r="U974" s="836"/>
      <c r="V974" s="836"/>
    </row>
    <row r="975" customHeight="1" spans="1:22">
      <c r="A975" s="835"/>
      <c r="B975" s="836"/>
      <c r="C975" s="836"/>
      <c r="D975" s="836"/>
      <c r="E975" s="836"/>
      <c r="F975" s="836"/>
      <c r="G975" s="836"/>
      <c r="H975" s="836"/>
      <c r="I975" s="835"/>
      <c r="J975" s="836"/>
      <c r="K975" s="835"/>
      <c r="L975" s="836"/>
      <c r="M975" s="837"/>
      <c r="N975" s="836"/>
      <c r="O975" s="837"/>
      <c r="P975" s="836"/>
      <c r="Q975" s="835"/>
      <c r="R975" s="837"/>
      <c r="S975" s="837"/>
      <c r="T975" s="838"/>
      <c r="U975" s="836"/>
      <c r="V975" s="836"/>
    </row>
    <row r="976" customHeight="1" spans="1:22">
      <c r="A976" s="835"/>
      <c r="B976" s="836"/>
      <c r="C976" s="836"/>
      <c r="D976" s="836"/>
      <c r="E976" s="836"/>
      <c r="F976" s="836"/>
      <c r="G976" s="836"/>
      <c r="H976" s="836"/>
      <c r="I976" s="835"/>
      <c r="J976" s="836"/>
      <c r="K976" s="835"/>
      <c r="L976" s="836"/>
      <c r="M976" s="837"/>
      <c r="N976" s="836"/>
      <c r="O976" s="837"/>
      <c r="P976" s="836"/>
      <c r="Q976" s="835"/>
      <c r="R976" s="837"/>
      <c r="S976" s="837"/>
      <c r="T976" s="838"/>
      <c r="U976" s="836"/>
      <c r="V976" s="836"/>
    </row>
    <row r="977" customHeight="1" spans="1:22">
      <c r="A977" s="835"/>
      <c r="B977" s="836"/>
      <c r="C977" s="836"/>
      <c r="D977" s="836"/>
      <c r="E977" s="836"/>
      <c r="F977" s="836"/>
      <c r="G977" s="836"/>
      <c r="H977" s="836"/>
      <c r="I977" s="835"/>
      <c r="J977" s="836"/>
      <c r="K977" s="835"/>
      <c r="L977" s="836"/>
      <c r="M977" s="837"/>
      <c r="N977" s="836"/>
      <c r="O977" s="837"/>
      <c r="P977" s="836"/>
      <c r="Q977" s="835"/>
      <c r="R977" s="837"/>
      <c r="S977" s="837"/>
      <c r="T977" s="838"/>
      <c r="U977" s="836"/>
      <c r="V977" s="836"/>
    </row>
    <row r="978" customHeight="1" spans="1:22">
      <c r="A978" s="835"/>
      <c r="B978" s="836"/>
      <c r="C978" s="836"/>
      <c r="D978" s="836"/>
      <c r="E978" s="836"/>
      <c r="F978" s="836"/>
      <c r="G978" s="836"/>
      <c r="H978" s="836"/>
      <c r="I978" s="835"/>
      <c r="J978" s="836"/>
      <c r="K978" s="835"/>
      <c r="L978" s="836"/>
      <c r="M978" s="837"/>
      <c r="N978" s="836"/>
      <c r="O978" s="837"/>
      <c r="P978" s="836"/>
      <c r="Q978" s="835"/>
      <c r="R978" s="837"/>
      <c r="S978" s="837"/>
      <c r="T978" s="838"/>
      <c r="U978" s="836"/>
      <c r="V978" s="836"/>
    </row>
    <row r="979" customHeight="1" spans="1:22">
      <c r="A979" s="835"/>
      <c r="B979" s="836"/>
      <c r="C979" s="836"/>
      <c r="D979" s="836"/>
      <c r="E979" s="836"/>
      <c r="F979" s="836"/>
      <c r="G979" s="836"/>
      <c r="H979" s="836"/>
      <c r="I979" s="835"/>
      <c r="J979" s="836"/>
      <c r="K979" s="835"/>
      <c r="L979" s="836"/>
      <c r="M979" s="837"/>
      <c r="N979" s="836"/>
      <c r="O979" s="837"/>
      <c r="P979" s="836"/>
      <c r="Q979" s="835"/>
      <c r="R979" s="837"/>
      <c r="S979" s="837"/>
      <c r="T979" s="838"/>
      <c r="U979" s="836"/>
      <c r="V979" s="836"/>
    </row>
    <row r="980" customHeight="1" spans="1:22">
      <c r="A980" s="835"/>
      <c r="B980" s="836"/>
      <c r="C980" s="836"/>
      <c r="D980" s="836"/>
      <c r="E980" s="836"/>
      <c r="F980" s="836"/>
      <c r="G980" s="836"/>
      <c r="H980" s="836"/>
      <c r="I980" s="835"/>
      <c r="J980" s="836"/>
      <c r="K980" s="835"/>
      <c r="L980" s="836"/>
      <c r="M980" s="837"/>
      <c r="N980" s="836"/>
      <c r="O980" s="837"/>
      <c r="P980" s="836"/>
      <c r="Q980" s="835"/>
      <c r="R980" s="837"/>
      <c r="S980" s="837"/>
      <c r="T980" s="838"/>
      <c r="U980" s="836"/>
      <c r="V980" s="836"/>
    </row>
    <row r="981" customHeight="1" spans="1:22">
      <c r="A981" s="835"/>
      <c r="B981" s="836"/>
      <c r="C981" s="836"/>
      <c r="D981" s="836"/>
      <c r="E981" s="836"/>
      <c r="F981" s="836"/>
      <c r="G981" s="836"/>
      <c r="H981" s="836"/>
      <c r="I981" s="835"/>
      <c r="J981" s="836"/>
      <c r="K981" s="835"/>
      <c r="L981" s="836"/>
      <c r="M981" s="837"/>
      <c r="N981" s="836"/>
      <c r="O981" s="837"/>
      <c r="P981" s="836"/>
      <c r="Q981" s="835"/>
      <c r="R981" s="837"/>
      <c r="S981" s="837"/>
      <c r="T981" s="838"/>
      <c r="U981" s="836"/>
      <c r="V981" s="836"/>
    </row>
    <row r="982" customHeight="1" spans="1:22">
      <c r="A982" s="835"/>
      <c r="B982" s="836"/>
      <c r="C982" s="836"/>
      <c r="D982" s="836"/>
      <c r="E982" s="836"/>
      <c r="F982" s="836"/>
      <c r="G982" s="836"/>
      <c r="H982" s="836"/>
      <c r="I982" s="835"/>
      <c r="J982" s="836"/>
      <c r="K982" s="835"/>
      <c r="L982" s="836"/>
      <c r="M982" s="837"/>
      <c r="N982" s="836"/>
      <c r="O982" s="837"/>
      <c r="P982" s="836"/>
      <c r="Q982" s="835"/>
      <c r="R982" s="837"/>
      <c r="S982" s="837"/>
      <c r="T982" s="838"/>
      <c r="U982" s="836"/>
      <c r="V982" s="836"/>
    </row>
    <row r="983" customHeight="1" spans="1:22">
      <c r="A983" s="835"/>
      <c r="B983" s="836"/>
      <c r="C983" s="836"/>
      <c r="D983" s="836"/>
      <c r="E983" s="836"/>
      <c r="F983" s="836"/>
      <c r="G983" s="836"/>
      <c r="H983" s="836"/>
      <c r="I983" s="835"/>
      <c r="J983" s="836"/>
      <c r="K983" s="835"/>
      <c r="L983" s="836"/>
      <c r="M983" s="837"/>
      <c r="N983" s="836"/>
      <c r="O983" s="837"/>
      <c r="P983" s="836"/>
      <c r="Q983" s="835"/>
      <c r="R983" s="837"/>
      <c r="S983" s="837"/>
      <c r="T983" s="838"/>
      <c r="U983" s="836"/>
      <c r="V983" s="836"/>
    </row>
    <row r="984" customHeight="1" spans="1:22">
      <c r="A984" s="835"/>
      <c r="B984" s="836"/>
      <c r="C984" s="836"/>
      <c r="D984" s="836"/>
      <c r="E984" s="836"/>
      <c r="F984" s="836"/>
      <c r="G984" s="836"/>
      <c r="H984" s="836"/>
      <c r="I984" s="835"/>
      <c r="J984" s="836"/>
      <c r="K984" s="835"/>
      <c r="L984" s="836"/>
      <c r="M984" s="837"/>
      <c r="N984" s="836"/>
      <c r="O984" s="837"/>
      <c r="P984" s="836"/>
      <c r="Q984" s="835"/>
      <c r="R984" s="837"/>
      <c r="S984" s="837"/>
      <c r="T984" s="838"/>
      <c r="U984" s="836"/>
      <c r="V984" s="836"/>
    </row>
    <row r="985" customHeight="1" spans="1:22">
      <c r="A985" s="835"/>
      <c r="B985" s="836"/>
      <c r="C985" s="836"/>
      <c r="D985" s="836"/>
      <c r="E985" s="836"/>
      <c r="F985" s="836"/>
      <c r="G985" s="836"/>
      <c r="H985" s="836"/>
      <c r="I985" s="835"/>
      <c r="J985" s="836"/>
      <c r="K985" s="835"/>
      <c r="L985" s="836"/>
      <c r="M985" s="837"/>
      <c r="N985" s="836"/>
      <c r="O985" s="837"/>
      <c r="P985" s="836"/>
      <c r="Q985" s="835"/>
      <c r="R985" s="837"/>
      <c r="S985" s="837"/>
      <c r="T985" s="838"/>
      <c r="U985" s="836"/>
      <c r="V985" s="836"/>
    </row>
    <row r="986" customHeight="1" spans="1:22">
      <c r="A986" s="835"/>
      <c r="B986" s="836"/>
      <c r="C986" s="836"/>
      <c r="D986" s="836"/>
      <c r="E986" s="836"/>
      <c r="F986" s="836"/>
      <c r="G986" s="836"/>
      <c r="H986" s="836"/>
      <c r="I986" s="835"/>
      <c r="J986" s="836"/>
      <c r="K986" s="835"/>
      <c r="L986" s="836"/>
      <c r="M986" s="837"/>
      <c r="N986" s="836"/>
      <c r="O986" s="837"/>
      <c r="P986" s="836"/>
      <c r="Q986" s="835"/>
      <c r="R986" s="837"/>
      <c r="S986" s="837"/>
      <c r="T986" s="838"/>
      <c r="U986" s="836"/>
      <c r="V986" s="836"/>
    </row>
    <row r="987" customHeight="1" spans="1:22">
      <c r="A987" s="835"/>
      <c r="B987" s="836"/>
      <c r="C987" s="836"/>
      <c r="D987" s="836"/>
      <c r="E987" s="836"/>
      <c r="F987" s="836"/>
      <c r="G987" s="836"/>
      <c r="H987" s="836"/>
      <c r="I987" s="835"/>
      <c r="J987" s="836"/>
      <c r="K987" s="835"/>
      <c r="L987" s="836"/>
      <c r="M987" s="837"/>
      <c r="N987" s="836"/>
      <c r="O987" s="837"/>
      <c r="P987" s="836"/>
      <c r="Q987" s="835"/>
      <c r="R987" s="837"/>
      <c r="S987" s="837"/>
      <c r="T987" s="838"/>
      <c r="U987" s="836"/>
      <c r="V987" s="836"/>
    </row>
    <row r="988" customHeight="1" spans="1:22">
      <c r="A988" s="835"/>
      <c r="B988" s="836"/>
      <c r="C988" s="836"/>
      <c r="D988" s="836"/>
      <c r="E988" s="836"/>
      <c r="F988" s="836"/>
      <c r="G988" s="836"/>
      <c r="H988" s="836"/>
      <c r="I988" s="835"/>
      <c r="J988" s="836"/>
      <c r="K988" s="835"/>
      <c r="L988" s="836"/>
      <c r="M988" s="837"/>
      <c r="N988" s="836"/>
      <c r="O988" s="837"/>
      <c r="P988" s="836"/>
      <c r="Q988" s="835"/>
      <c r="R988" s="837"/>
      <c r="S988" s="837"/>
      <c r="T988" s="838"/>
      <c r="U988" s="836"/>
      <c r="V988" s="836"/>
    </row>
    <row r="989" customHeight="1" spans="1:22">
      <c r="A989" s="835"/>
      <c r="B989" s="836"/>
      <c r="C989" s="836"/>
      <c r="D989" s="836"/>
      <c r="E989" s="836"/>
      <c r="F989" s="836"/>
      <c r="G989" s="836"/>
      <c r="H989" s="836"/>
      <c r="I989" s="835"/>
      <c r="J989" s="836"/>
      <c r="K989" s="835"/>
      <c r="L989" s="836"/>
      <c r="M989" s="837"/>
      <c r="N989" s="836"/>
      <c r="O989" s="837"/>
      <c r="P989" s="836"/>
      <c r="Q989" s="835"/>
      <c r="R989" s="837"/>
      <c r="S989" s="837"/>
      <c r="T989" s="838"/>
      <c r="U989" s="836"/>
      <c r="V989" s="836"/>
    </row>
    <row r="990" customHeight="1" spans="1:22">
      <c r="A990" s="835"/>
      <c r="B990" s="836"/>
      <c r="C990" s="836"/>
      <c r="D990" s="836"/>
      <c r="E990" s="836"/>
      <c r="F990" s="836"/>
      <c r="G990" s="836"/>
      <c r="H990" s="836"/>
      <c r="I990" s="835"/>
      <c r="J990" s="836"/>
      <c r="K990" s="835"/>
      <c r="L990" s="836"/>
      <c r="M990" s="837"/>
      <c r="N990" s="836"/>
      <c r="O990" s="837"/>
      <c r="P990" s="836"/>
      <c r="Q990" s="835"/>
      <c r="R990" s="837"/>
      <c r="S990" s="837"/>
      <c r="T990" s="838"/>
      <c r="U990" s="836"/>
      <c r="V990" s="836"/>
    </row>
    <row r="991" customHeight="1" spans="1:22">
      <c r="A991" s="835"/>
      <c r="B991" s="836"/>
      <c r="C991" s="836"/>
      <c r="D991" s="836"/>
      <c r="E991" s="836"/>
      <c r="F991" s="836"/>
      <c r="G991" s="836"/>
      <c r="H991" s="836"/>
      <c r="I991" s="835"/>
      <c r="J991" s="836"/>
      <c r="K991" s="835"/>
      <c r="L991" s="836"/>
      <c r="M991" s="837"/>
      <c r="N991" s="836"/>
      <c r="O991" s="837"/>
      <c r="P991" s="836"/>
      <c r="Q991" s="835"/>
      <c r="R991" s="837"/>
      <c r="S991" s="837"/>
      <c r="T991" s="838"/>
      <c r="U991" s="836"/>
      <c r="V991" s="836"/>
    </row>
    <row r="992" customHeight="1" spans="1:22">
      <c r="A992" s="835"/>
      <c r="B992" s="836"/>
      <c r="C992" s="836"/>
      <c r="D992" s="836"/>
      <c r="E992" s="836"/>
      <c r="F992" s="836"/>
      <c r="G992" s="836"/>
      <c r="H992" s="836"/>
      <c r="I992" s="835"/>
      <c r="J992" s="836"/>
      <c r="K992" s="835"/>
      <c r="L992" s="836"/>
      <c r="M992" s="837"/>
      <c r="N992" s="836"/>
      <c r="O992" s="837"/>
      <c r="P992" s="836"/>
      <c r="Q992" s="835"/>
      <c r="R992" s="837"/>
      <c r="S992" s="837"/>
      <c r="T992" s="838"/>
      <c r="U992" s="836"/>
      <c r="V992" s="836"/>
    </row>
    <row r="993" customHeight="1" spans="1:22">
      <c r="A993" s="835"/>
      <c r="B993" s="836"/>
      <c r="C993" s="836"/>
      <c r="D993" s="836"/>
      <c r="E993" s="836"/>
      <c r="F993" s="836"/>
      <c r="G993" s="836"/>
      <c r="H993" s="836"/>
      <c r="I993" s="835"/>
      <c r="J993" s="836"/>
      <c r="K993" s="835"/>
      <c r="L993" s="836"/>
      <c r="M993" s="837"/>
      <c r="N993" s="836"/>
      <c r="O993" s="837"/>
      <c r="P993" s="836"/>
      <c r="Q993" s="835"/>
      <c r="R993" s="837"/>
      <c r="S993" s="837"/>
      <c r="T993" s="838"/>
      <c r="U993" s="836"/>
      <c r="V993" s="836"/>
    </row>
    <row r="994" customHeight="1" spans="1:22">
      <c r="A994" s="835"/>
      <c r="B994" s="836"/>
      <c r="C994" s="836"/>
      <c r="D994" s="836"/>
      <c r="E994" s="836"/>
      <c r="F994" s="836"/>
      <c r="G994" s="836"/>
      <c r="H994" s="836"/>
      <c r="I994" s="835"/>
      <c r="J994" s="836"/>
      <c r="K994" s="835"/>
      <c r="L994" s="836"/>
      <c r="M994" s="837"/>
      <c r="N994" s="836"/>
      <c r="O994" s="837"/>
      <c r="P994" s="836"/>
      <c r="Q994" s="835"/>
      <c r="R994" s="837"/>
      <c r="S994" s="837"/>
      <c r="T994" s="838"/>
      <c r="U994" s="836"/>
      <c r="V994" s="836"/>
    </row>
    <row r="995" customHeight="1" spans="1:22">
      <c r="A995" s="835"/>
      <c r="B995" s="836"/>
      <c r="C995" s="836"/>
      <c r="D995" s="836"/>
      <c r="E995" s="836"/>
      <c r="F995" s="836"/>
      <c r="G995" s="836"/>
      <c r="H995" s="836"/>
      <c r="I995" s="835"/>
      <c r="J995" s="836"/>
      <c r="K995" s="835"/>
      <c r="L995" s="836"/>
      <c r="M995" s="837"/>
      <c r="N995" s="836"/>
      <c r="O995" s="837"/>
      <c r="P995" s="836"/>
      <c r="Q995" s="835"/>
      <c r="R995" s="837"/>
      <c r="S995" s="837"/>
      <c r="T995" s="838"/>
      <c r="U995" s="836"/>
      <c r="V995" s="836"/>
    </row>
    <row r="996" customHeight="1" spans="1:22">
      <c r="A996" s="835"/>
      <c r="B996" s="836"/>
      <c r="C996" s="836"/>
      <c r="D996" s="836"/>
      <c r="E996" s="836"/>
      <c r="F996" s="836"/>
      <c r="G996" s="836"/>
      <c r="H996" s="836"/>
      <c r="I996" s="835"/>
      <c r="J996" s="836"/>
      <c r="K996" s="835"/>
      <c r="L996" s="836"/>
      <c r="M996" s="837"/>
      <c r="N996" s="836"/>
      <c r="O996" s="837"/>
      <c r="P996" s="836"/>
      <c r="Q996" s="835"/>
      <c r="R996" s="837"/>
      <c r="S996" s="837"/>
      <c r="T996" s="838"/>
      <c r="U996" s="836"/>
      <c r="V996" s="836"/>
    </row>
    <row r="997" customHeight="1" spans="1:22">
      <c r="A997" s="835"/>
      <c r="B997" s="836"/>
      <c r="C997" s="836"/>
      <c r="D997" s="836"/>
      <c r="E997" s="836"/>
      <c r="F997" s="836"/>
      <c r="G997" s="836"/>
      <c r="H997" s="836"/>
      <c r="I997" s="835"/>
      <c r="J997" s="836"/>
      <c r="K997" s="835"/>
      <c r="L997" s="836"/>
      <c r="M997" s="837"/>
      <c r="N997" s="836"/>
      <c r="O997" s="837"/>
      <c r="P997" s="836"/>
      <c r="Q997" s="835"/>
      <c r="R997" s="837"/>
      <c r="S997" s="837"/>
      <c r="T997" s="838"/>
      <c r="U997" s="836"/>
      <c r="V997" s="836"/>
    </row>
    <row r="998" customHeight="1" spans="1:22">
      <c r="A998" s="835"/>
      <c r="B998" s="836"/>
      <c r="C998" s="836"/>
      <c r="D998" s="836"/>
      <c r="E998" s="836"/>
      <c r="F998" s="836"/>
      <c r="G998" s="836"/>
      <c r="H998" s="836"/>
      <c r="I998" s="835"/>
      <c r="J998" s="836"/>
      <c r="K998" s="835"/>
      <c r="L998" s="836"/>
      <c r="M998" s="837"/>
      <c r="N998" s="836"/>
      <c r="O998" s="837"/>
      <c r="P998" s="836"/>
      <c r="Q998" s="835"/>
      <c r="R998" s="837"/>
      <c r="S998" s="837"/>
      <c r="T998" s="838"/>
      <c r="U998" s="836"/>
      <c r="V998" s="836"/>
    </row>
    <row r="999" customHeight="1" spans="1:22">
      <c r="A999" s="835"/>
      <c r="B999" s="836"/>
      <c r="C999" s="836"/>
      <c r="D999" s="836"/>
      <c r="E999" s="836"/>
      <c r="F999" s="836"/>
      <c r="G999" s="836"/>
      <c r="H999" s="836"/>
      <c r="I999" s="835"/>
      <c r="J999" s="836"/>
      <c r="K999" s="835"/>
      <c r="L999" s="836"/>
      <c r="M999" s="837"/>
      <c r="N999" s="836"/>
      <c r="O999" s="837"/>
      <c r="P999" s="836"/>
      <c r="Q999" s="835"/>
      <c r="R999" s="837"/>
      <c r="S999" s="837"/>
      <c r="T999" s="838"/>
      <c r="U999" s="836"/>
      <c r="V999" s="836"/>
    </row>
    <row r="1000" customHeight="1" spans="1:22">
      <c r="A1000" s="835"/>
      <c r="B1000" s="836"/>
      <c r="C1000" s="836"/>
      <c r="D1000" s="836"/>
      <c r="E1000" s="836"/>
      <c r="F1000" s="836"/>
      <c r="G1000" s="836"/>
      <c r="H1000" s="836"/>
      <c r="I1000" s="835"/>
      <c r="J1000" s="836"/>
      <c r="K1000" s="835"/>
      <c r="L1000" s="836"/>
      <c r="M1000" s="837"/>
      <c r="N1000" s="836"/>
      <c r="O1000" s="837"/>
      <c r="P1000" s="836"/>
      <c r="Q1000" s="835"/>
      <c r="R1000" s="837"/>
      <c r="S1000" s="837"/>
      <c r="T1000" s="838"/>
      <c r="U1000" s="836"/>
      <c r="V1000" s="836"/>
    </row>
    <row r="1001" customHeight="1" spans="1:22">
      <c r="A1001" s="835"/>
      <c r="B1001" s="836"/>
      <c r="C1001" s="836"/>
      <c r="D1001" s="836"/>
      <c r="E1001" s="836"/>
      <c r="F1001" s="836"/>
      <c r="G1001" s="836"/>
      <c r="H1001" s="836"/>
      <c r="I1001" s="835"/>
      <c r="J1001" s="836"/>
      <c r="K1001" s="835"/>
      <c r="L1001" s="836"/>
      <c r="M1001" s="837"/>
      <c r="N1001" s="836"/>
      <c r="O1001" s="837"/>
      <c r="P1001" s="836"/>
      <c r="Q1001" s="835"/>
      <c r="R1001" s="837"/>
      <c r="S1001" s="837"/>
      <c r="T1001" s="838"/>
      <c r="U1001" s="836"/>
      <c r="V1001" s="836"/>
    </row>
    <row r="1002" customHeight="1" spans="1:22">
      <c r="A1002" s="835"/>
      <c r="B1002" s="836"/>
      <c r="C1002" s="836"/>
      <c r="D1002" s="836"/>
      <c r="E1002" s="836"/>
      <c r="F1002" s="836"/>
      <c r="G1002" s="836"/>
      <c r="H1002" s="836"/>
      <c r="I1002" s="835"/>
      <c r="J1002" s="836"/>
      <c r="K1002" s="835"/>
      <c r="L1002" s="836"/>
      <c r="M1002" s="837"/>
      <c r="N1002" s="836"/>
      <c r="O1002" s="837"/>
      <c r="P1002" s="836"/>
      <c r="Q1002" s="835"/>
      <c r="R1002" s="837"/>
      <c r="S1002" s="837"/>
      <c r="T1002" s="838"/>
      <c r="U1002" s="836"/>
      <c r="V1002" s="836"/>
    </row>
    <row r="1003" customHeight="1" spans="1:22">
      <c r="A1003" s="835"/>
      <c r="B1003" s="836"/>
      <c r="C1003" s="836"/>
      <c r="D1003" s="836"/>
      <c r="E1003" s="836"/>
      <c r="F1003" s="836"/>
      <c r="G1003" s="836"/>
      <c r="H1003" s="836"/>
      <c r="I1003" s="835"/>
      <c r="J1003" s="836"/>
      <c r="K1003" s="835"/>
      <c r="L1003" s="836"/>
      <c r="M1003" s="837"/>
      <c r="N1003" s="836"/>
      <c r="O1003" s="837"/>
      <c r="P1003" s="836"/>
      <c r="Q1003" s="835"/>
      <c r="R1003" s="837"/>
      <c r="S1003" s="837"/>
      <c r="T1003" s="838"/>
      <c r="U1003" s="836"/>
      <c r="V1003" s="836"/>
    </row>
    <row r="1004" customHeight="1" spans="1:22">
      <c r="A1004" s="835"/>
      <c r="B1004" s="836"/>
      <c r="C1004" s="836"/>
      <c r="D1004" s="836"/>
      <c r="E1004" s="836"/>
      <c r="F1004" s="836"/>
      <c r="G1004" s="836"/>
      <c r="H1004" s="836"/>
      <c r="I1004" s="835"/>
      <c r="J1004" s="836"/>
      <c r="K1004" s="835"/>
      <c r="L1004" s="836"/>
      <c r="M1004" s="837"/>
      <c r="N1004" s="836"/>
      <c r="O1004" s="837"/>
      <c r="P1004" s="836"/>
      <c r="Q1004" s="835"/>
      <c r="R1004" s="837"/>
      <c r="S1004" s="837"/>
      <c r="T1004" s="838"/>
      <c r="U1004" s="836"/>
      <c r="V1004" s="836"/>
    </row>
    <row r="1005" customHeight="1" spans="1:22">
      <c r="A1005" s="835"/>
      <c r="B1005" s="836"/>
      <c r="C1005" s="836"/>
      <c r="D1005" s="836"/>
      <c r="E1005" s="836"/>
      <c r="F1005" s="836"/>
      <c r="G1005" s="836"/>
      <c r="H1005" s="836"/>
      <c r="I1005" s="835"/>
      <c r="J1005" s="836"/>
      <c r="K1005" s="835"/>
      <c r="L1005" s="836"/>
      <c r="M1005" s="837"/>
      <c r="N1005" s="836"/>
      <c r="O1005" s="837"/>
      <c r="P1005" s="836"/>
      <c r="Q1005" s="835"/>
      <c r="R1005" s="837"/>
      <c r="S1005" s="837"/>
      <c r="T1005" s="838"/>
      <c r="U1005" s="836"/>
      <c r="V1005" s="836"/>
    </row>
    <row r="1006" customHeight="1" spans="1:22">
      <c r="A1006" s="835"/>
      <c r="B1006" s="836"/>
      <c r="C1006" s="836"/>
      <c r="D1006" s="836"/>
      <c r="E1006" s="836"/>
      <c r="F1006" s="836"/>
      <c r="G1006" s="836"/>
      <c r="H1006" s="836"/>
      <c r="I1006" s="835"/>
      <c r="J1006" s="836"/>
      <c r="K1006" s="835"/>
      <c r="L1006" s="836"/>
      <c r="M1006" s="837"/>
      <c r="N1006" s="836"/>
      <c r="O1006" s="837"/>
      <c r="P1006" s="836"/>
      <c r="Q1006" s="835"/>
      <c r="R1006" s="837"/>
      <c r="S1006" s="837"/>
      <c r="T1006" s="838"/>
      <c r="U1006" s="836"/>
      <c r="V1006" s="836"/>
    </row>
    <row r="1007" customHeight="1" spans="1:22">
      <c r="A1007" s="835"/>
      <c r="B1007" s="836"/>
      <c r="C1007" s="836"/>
      <c r="D1007" s="836"/>
      <c r="E1007" s="836"/>
      <c r="F1007" s="836"/>
      <c r="G1007" s="836"/>
      <c r="H1007" s="836"/>
      <c r="I1007" s="835"/>
      <c r="J1007" s="836"/>
      <c r="K1007" s="835"/>
      <c r="L1007" s="836"/>
      <c r="M1007" s="837"/>
      <c r="N1007" s="836"/>
      <c r="O1007" s="837"/>
      <c r="P1007" s="836"/>
      <c r="Q1007" s="835"/>
      <c r="R1007" s="837"/>
      <c r="S1007" s="837"/>
      <c r="T1007" s="838"/>
      <c r="U1007" s="836"/>
      <c r="V1007" s="836"/>
    </row>
    <row r="1008" customHeight="1" spans="1:22">
      <c r="A1008" s="835"/>
      <c r="B1008" s="836"/>
      <c r="C1008" s="836"/>
      <c r="D1008" s="836"/>
      <c r="E1008" s="836"/>
      <c r="F1008" s="836"/>
      <c r="G1008" s="836"/>
      <c r="H1008" s="836"/>
      <c r="I1008" s="835"/>
      <c r="J1008" s="836"/>
      <c r="K1008" s="835"/>
      <c r="L1008" s="836"/>
      <c r="M1008" s="837"/>
      <c r="N1008" s="836"/>
      <c r="O1008" s="837"/>
      <c r="P1008" s="836"/>
      <c r="Q1008" s="835"/>
      <c r="R1008" s="837"/>
      <c r="S1008" s="837"/>
      <c r="T1008" s="838"/>
      <c r="U1008" s="836"/>
      <c r="V1008" s="836"/>
    </row>
    <row r="1009" customHeight="1" spans="1:22">
      <c r="A1009" s="835"/>
      <c r="B1009" s="836"/>
      <c r="C1009" s="836"/>
      <c r="D1009" s="836"/>
      <c r="E1009" s="836"/>
      <c r="F1009" s="836"/>
      <c r="G1009" s="836"/>
      <c r="H1009" s="836"/>
      <c r="I1009" s="835"/>
      <c r="J1009" s="836"/>
      <c r="K1009" s="835"/>
      <c r="L1009" s="836"/>
      <c r="M1009" s="837"/>
      <c r="N1009" s="836"/>
      <c r="O1009" s="837"/>
      <c r="P1009" s="836"/>
      <c r="Q1009" s="835"/>
      <c r="R1009" s="837"/>
      <c r="S1009" s="837"/>
      <c r="T1009" s="838"/>
      <c r="U1009" s="836"/>
      <c r="V1009" s="836"/>
    </row>
    <row r="1010" customHeight="1" spans="1:22">
      <c r="A1010" s="835"/>
      <c r="B1010" s="836"/>
      <c r="C1010" s="836"/>
      <c r="D1010" s="836"/>
      <c r="E1010" s="836"/>
      <c r="F1010" s="836"/>
      <c r="G1010" s="836"/>
      <c r="H1010" s="836"/>
      <c r="I1010" s="835"/>
      <c r="J1010" s="836"/>
      <c r="K1010" s="835"/>
      <c r="L1010" s="836"/>
      <c r="M1010" s="837"/>
      <c r="N1010" s="836"/>
      <c r="O1010" s="837"/>
      <c r="P1010" s="836"/>
      <c r="Q1010" s="835"/>
      <c r="R1010" s="837"/>
      <c r="S1010" s="837"/>
      <c r="T1010" s="838"/>
      <c r="U1010" s="836"/>
      <c r="V1010" s="836"/>
    </row>
    <row r="1011" customHeight="1" spans="1:22">
      <c r="A1011" s="835"/>
      <c r="B1011" s="836"/>
      <c r="C1011" s="836"/>
      <c r="D1011" s="836"/>
      <c r="E1011" s="836"/>
      <c r="F1011" s="836"/>
      <c r="G1011" s="836"/>
      <c r="H1011" s="836"/>
      <c r="I1011" s="835"/>
      <c r="J1011" s="836"/>
      <c r="K1011" s="835"/>
      <c r="L1011" s="836"/>
      <c r="M1011" s="837"/>
      <c r="N1011" s="836"/>
      <c r="O1011" s="837"/>
      <c r="P1011" s="836"/>
      <c r="Q1011" s="835"/>
      <c r="R1011" s="837"/>
      <c r="S1011" s="837"/>
      <c r="T1011" s="838"/>
      <c r="U1011" s="836"/>
      <c r="V1011" s="836"/>
    </row>
    <row r="1012" customHeight="1" spans="1:22">
      <c r="A1012" s="835"/>
      <c r="B1012" s="836"/>
      <c r="C1012" s="836"/>
      <c r="D1012" s="836"/>
      <c r="E1012" s="836"/>
      <c r="F1012" s="836"/>
      <c r="G1012" s="836"/>
      <c r="H1012" s="836"/>
      <c r="I1012" s="835"/>
      <c r="J1012" s="836"/>
      <c r="K1012" s="835"/>
      <c r="L1012" s="836"/>
      <c r="M1012" s="837"/>
      <c r="N1012" s="836"/>
      <c r="O1012" s="837"/>
      <c r="P1012" s="836"/>
      <c r="Q1012" s="835"/>
      <c r="R1012" s="837"/>
      <c r="S1012" s="837"/>
      <c r="T1012" s="838"/>
      <c r="U1012" s="836"/>
      <c r="V1012" s="836"/>
    </row>
    <row r="1013" customHeight="1" spans="1:22">
      <c r="A1013" s="835"/>
      <c r="B1013" s="836"/>
      <c r="C1013" s="836"/>
      <c r="D1013" s="836"/>
      <c r="E1013" s="836"/>
      <c r="F1013" s="836"/>
      <c r="G1013" s="836"/>
      <c r="H1013" s="836"/>
      <c r="I1013" s="835"/>
      <c r="J1013" s="836"/>
      <c r="K1013" s="835"/>
      <c r="L1013" s="836"/>
      <c r="M1013" s="837"/>
      <c r="N1013" s="836"/>
      <c r="O1013" s="837"/>
      <c r="P1013" s="836"/>
      <c r="Q1013" s="835"/>
      <c r="R1013" s="837"/>
      <c r="S1013" s="837"/>
      <c r="T1013" s="838"/>
      <c r="U1013" s="836"/>
      <c r="V1013" s="836"/>
    </row>
    <row r="1014" customHeight="1" spans="1:22">
      <c r="A1014" s="835"/>
      <c r="B1014" s="836"/>
      <c r="C1014" s="836"/>
      <c r="D1014" s="836"/>
      <c r="E1014" s="836"/>
      <c r="F1014" s="836"/>
      <c r="G1014" s="836"/>
      <c r="H1014" s="836"/>
      <c r="I1014" s="835"/>
      <c r="J1014" s="836"/>
      <c r="K1014" s="835"/>
      <c r="L1014" s="836"/>
      <c r="M1014" s="837"/>
      <c r="N1014" s="836"/>
      <c r="O1014" s="837"/>
      <c r="P1014" s="836"/>
      <c r="Q1014" s="835"/>
      <c r="R1014" s="837"/>
      <c r="S1014" s="837"/>
      <c r="T1014" s="838"/>
      <c r="U1014" s="836"/>
      <c r="V1014" s="836"/>
    </row>
    <row r="1015" customHeight="1" spans="1:22">
      <c r="A1015" s="835"/>
      <c r="B1015" s="836"/>
      <c r="C1015" s="836"/>
      <c r="D1015" s="836"/>
      <c r="E1015" s="836"/>
      <c r="F1015" s="836"/>
      <c r="G1015" s="836"/>
      <c r="H1015" s="836"/>
      <c r="I1015" s="835"/>
      <c r="J1015" s="836"/>
      <c r="K1015" s="835"/>
      <c r="L1015" s="836"/>
      <c r="M1015" s="837"/>
      <c r="N1015" s="836"/>
      <c r="O1015" s="837"/>
      <c r="P1015" s="836"/>
      <c r="Q1015" s="835"/>
      <c r="R1015" s="837"/>
      <c r="S1015" s="837"/>
      <c r="T1015" s="838"/>
      <c r="U1015" s="836"/>
      <c r="V1015" s="836"/>
    </row>
    <row r="1016" customHeight="1" spans="1:22">
      <c r="A1016" s="835"/>
      <c r="B1016" s="836"/>
      <c r="C1016" s="836"/>
      <c r="D1016" s="836"/>
      <c r="E1016" s="836"/>
      <c r="F1016" s="836"/>
      <c r="G1016" s="836"/>
      <c r="H1016" s="836"/>
      <c r="I1016" s="835"/>
      <c r="J1016" s="836"/>
      <c r="K1016" s="835"/>
      <c r="L1016" s="836"/>
      <c r="M1016" s="837"/>
      <c r="N1016" s="836"/>
      <c r="O1016" s="837"/>
      <c r="P1016" s="836"/>
      <c r="Q1016" s="835"/>
      <c r="R1016" s="837"/>
      <c r="S1016" s="837"/>
      <c r="T1016" s="838"/>
      <c r="U1016" s="836"/>
      <c r="V1016" s="836"/>
    </row>
    <row r="1017" customHeight="1" spans="1:22">
      <c r="A1017" s="835"/>
      <c r="B1017" s="836"/>
      <c r="C1017" s="836"/>
      <c r="D1017" s="836"/>
      <c r="E1017" s="836"/>
      <c r="F1017" s="836"/>
      <c r="G1017" s="836"/>
      <c r="H1017" s="836"/>
      <c r="I1017" s="835"/>
      <c r="J1017" s="836"/>
      <c r="K1017" s="835"/>
      <c r="L1017" s="836"/>
      <c r="M1017" s="837"/>
      <c r="N1017" s="836"/>
      <c r="O1017" s="837"/>
      <c r="P1017" s="836"/>
      <c r="Q1017" s="835"/>
      <c r="R1017" s="837"/>
      <c r="S1017" s="837"/>
      <c r="T1017" s="838"/>
      <c r="U1017" s="836"/>
      <c r="V1017" s="836"/>
    </row>
    <row r="1018" customHeight="1" spans="1:22">
      <c r="A1018" s="835"/>
      <c r="B1018" s="836"/>
      <c r="C1018" s="836"/>
      <c r="D1018" s="836"/>
      <c r="E1018" s="836"/>
      <c r="F1018" s="836"/>
      <c r="G1018" s="836"/>
      <c r="H1018" s="836"/>
      <c r="I1018" s="835"/>
      <c r="J1018" s="836"/>
      <c r="K1018" s="835"/>
      <c r="L1018" s="836"/>
      <c r="M1018" s="837"/>
      <c r="N1018" s="836"/>
      <c r="O1018" s="837"/>
      <c r="P1018" s="836"/>
      <c r="Q1018" s="835"/>
      <c r="R1018" s="837"/>
      <c r="S1018" s="837"/>
      <c r="T1018" s="838"/>
      <c r="U1018" s="836"/>
      <c r="V1018" s="836"/>
    </row>
    <row r="1019" customHeight="1" spans="1:22">
      <c r="A1019" s="835"/>
      <c r="B1019" s="836"/>
      <c r="C1019" s="836"/>
      <c r="D1019" s="836"/>
      <c r="E1019" s="836"/>
      <c r="F1019" s="836"/>
      <c r="G1019" s="836"/>
      <c r="H1019" s="836"/>
      <c r="I1019" s="835"/>
      <c r="J1019" s="836"/>
      <c r="K1019" s="835"/>
      <c r="L1019" s="836"/>
      <c r="M1019" s="837"/>
      <c r="N1019" s="836"/>
      <c r="O1019" s="837"/>
      <c r="P1019" s="836"/>
      <c r="Q1019" s="835"/>
      <c r="R1019" s="837"/>
      <c r="S1019" s="837"/>
      <c r="T1019" s="838"/>
      <c r="U1019" s="836"/>
      <c r="V1019" s="836"/>
    </row>
    <row r="1020" customHeight="1" spans="1:22">
      <c r="A1020" s="835"/>
      <c r="B1020" s="836"/>
      <c r="C1020" s="836"/>
      <c r="D1020" s="836"/>
      <c r="E1020" s="836"/>
      <c r="F1020" s="836"/>
      <c r="G1020" s="836"/>
      <c r="H1020" s="836"/>
      <c r="I1020" s="835"/>
      <c r="J1020" s="836"/>
      <c r="K1020" s="835"/>
      <c r="L1020" s="836"/>
      <c r="M1020" s="837"/>
      <c r="N1020" s="836"/>
      <c r="O1020" s="837"/>
      <c r="P1020" s="836"/>
      <c r="Q1020" s="835"/>
      <c r="R1020" s="837"/>
      <c r="S1020" s="837"/>
      <c r="T1020" s="838"/>
      <c r="U1020" s="836"/>
      <c r="V1020" s="836"/>
    </row>
    <row r="1021" customHeight="1" spans="1:22">
      <c r="A1021" s="835"/>
      <c r="B1021" s="836"/>
      <c r="C1021" s="836"/>
      <c r="D1021" s="836"/>
      <c r="E1021" s="836"/>
      <c r="F1021" s="836"/>
      <c r="G1021" s="836"/>
      <c r="H1021" s="836"/>
      <c r="I1021" s="835"/>
      <c r="J1021" s="836"/>
      <c r="K1021" s="835"/>
      <c r="L1021" s="836"/>
      <c r="M1021" s="837"/>
      <c r="N1021" s="836"/>
      <c r="O1021" s="837"/>
      <c r="P1021" s="836"/>
      <c r="Q1021" s="835"/>
      <c r="R1021" s="837"/>
      <c r="S1021" s="837"/>
      <c r="T1021" s="838"/>
      <c r="U1021" s="836"/>
      <c r="V1021" s="836"/>
    </row>
    <row r="1022" customHeight="1" spans="1:22">
      <c r="A1022" s="835"/>
      <c r="B1022" s="836"/>
      <c r="C1022" s="836"/>
      <c r="D1022" s="836"/>
      <c r="E1022" s="836"/>
      <c r="F1022" s="836"/>
      <c r="G1022" s="836"/>
      <c r="H1022" s="836"/>
      <c r="I1022" s="835"/>
      <c r="J1022" s="836"/>
      <c r="K1022" s="835"/>
      <c r="L1022" s="836"/>
      <c r="M1022" s="837"/>
      <c r="N1022" s="836"/>
      <c r="O1022" s="837"/>
      <c r="P1022" s="836"/>
      <c r="Q1022" s="835"/>
      <c r="R1022" s="837"/>
      <c r="S1022" s="837"/>
      <c r="T1022" s="838"/>
      <c r="U1022" s="836"/>
      <c r="V1022" s="836"/>
    </row>
    <row r="1023" customHeight="1" spans="1:22">
      <c r="A1023" s="835"/>
      <c r="B1023" s="836"/>
      <c r="C1023" s="836"/>
      <c r="D1023" s="836"/>
      <c r="E1023" s="836"/>
      <c r="F1023" s="836"/>
      <c r="G1023" s="836"/>
      <c r="H1023" s="836"/>
      <c r="I1023" s="835"/>
      <c r="J1023" s="836"/>
      <c r="K1023" s="835"/>
      <c r="L1023" s="836"/>
      <c r="M1023" s="837"/>
      <c r="N1023" s="836"/>
      <c r="O1023" s="837"/>
      <c r="P1023" s="836"/>
      <c r="Q1023" s="835"/>
      <c r="R1023" s="837"/>
      <c r="S1023" s="837"/>
      <c r="T1023" s="838"/>
      <c r="U1023" s="836"/>
      <c r="V1023" s="836"/>
    </row>
    <row r="1024" customHeight="1" spans="1:22">
      <c r="A1024" s="835"/>
      <c r="B1024" s="836"/>
      <c r="C1024" s="836"/>
      <c r="D1024" s="836"/>
      <c r="E1024" s="836"/>
      <c r="F1024" s="836"/>
      <c r="G1024" s="836"/>
      <c r="H1024" s="836"/>
      <c r="I1024" s="835"/>
      <c r="J1024" s="836"/>
      <c r="K1024" s="835"/>
      <c r="L1024" s="836"/>
      <c r="M1024" s="837"/>
      <c r="N1024" s="836"/>
      <c r="O1024" s="837"/>
      <c r="P1024" s="836"/>
      <c r="Q1024" s="835"/>
      <c r="R1024" s="837"/>
      <c r="S1024" s="837"/>
      <c r="T1024" s="838"/>
      <c r="U1024" s="836"/>
      <c r="V1024" s="836"/>
    </row>
    <row r="1025" customHeight="1" spans="1:22">
      <c r="A1025" s="835"/>
      <c r="B1025" s="836"/>
      <c r="C1025" s="836"/>
      <c r="D1025" s="836"/>
      <c r="E1025" s="836"/>
      <c r="F1025" s="836"/>
      <c r="G1025" s="836"/>
      <c r="H1025" s="836"/>
      <c r="I1025" s="835"/>
      <c r="J1025" s="836"/>
      <c r="K1025" s="835"/>
      <c r="L1025" s="836"/>
      <c r="M1025" s="837"/>
      <c r="N1025" s="836"/>
      <c r="O1025" s="837"/>
      <c r="P1025" s="836"/>
      <c r="Q1025" s="835"/>
      <c r="R1025" s="837"/>
      <c r="S1025" s="837"/>
      <c r="T1025" s="838"/>
      <c r="U1025" s="836"/>
      <c r="V1025" s="836"/>
    </row>
    <row r="1026" customHeight="1" spans="1:22">
      <c r="A1026" s="835"/>
      <c r="B1026" s="836"/>
      <c r="C1026" s="836"/>
      <c r="D1026" s="836"/>
      <c r="E1026" s="836"/>
      <c r="F1026" s="836"/>
      <c r="G1026" s="836"/>
      <c r="H1026" s="836"/>
      <c r="I1026" s="835"/>
      <c r="J1026" s="836"/>
      <c r="K1026" s="835"/>
      <c r="L1026" s="836"/>
      <c r="M1026" s="837"/>
      <c r="N1026" s="836"/>
      <c r="O1026" s="837"/>
      <c r="P1026" s="836"/>
      <c r="Q1026" s="835"/>
      <c r="R1026" s="837"/>
      <c r="S1026" s="837"/>
      <c r="T1026" s="838"/>
      <c r="U1026" s="836"/>
      <c r="V1026" s="836"/>
    </row>
    <row r="1027" customHeight="1" spans="1:22">
      <c r="A1027" s="835"/>
      <c r="B1027" s="836"/>
      <c r="C1027" s="836"/>
      <c r="D1027" s="836"/>
      <c r="E1027" s="836"/>
      <c r="F1027" s="836"/>
      <c r="G1027" s="836"/>
      <c r="H1027" s="836"/>
      <c r="I1027" s="835"/>
      <c r="J1027" s="836"/>
      <c r="K1027" s="835"/>
      <c r="L1027" s="836"/>
      <c r="M1027" s="837"/>
      <c r="N1027" s="836"/>
      <c r="O1027" s="837"/>
      <c r="P1027" s="836"/>
      <c r="Q1027" s="835"/>
      <c r="R1027" s="837"/>
      <c r="S1027" s="837"/>
      <c r="T1027" s="838"/>
      <c r="U1027" s="836"/>
      <c r="V1027" s="836"/>
    </row>
    <row r="1028" customHeight="1" spans="1:22">
      <c r="A1028" s="835"/>
      <c r="B1028" s="836"/>
      <c r="C1028" s="836"/>
      <c r="D1028" s="836"/>
      <c r="E1028" s="836"/>
      <c r="F1028" s="836"/>
      <c r="G1028" s="836"/>
      <c r="H1028" s="836"/>
      <c r="I1028" s="835"/>
      <c r="J1028" s="836"/>
      <c r="K1028" s="835"/>
      <c r="L1028" s="836"/>
      <c r="M1028" s="837"/>
      <c r="N1028" s="836"/>
      <c r="O1028" s="837"/>
      <c r="P1028" s="836"/>
      <c r="Q1028" s="835"/>
      <c r="R1028" s="837"/>
      <c r="S1028" s="837"/>
      <c r="T1028" s="838"/>
      <c r="U1028" s="836"/>
      <c r="V1028" s="836"/>
    </row>
    <row r="1029" customHeight="1" spans="1:22">
      <c r="A1029" s="835"/>
      <c r="B1029" s="836"/>
      <c r="C1029" s="836"/>
      <c r="D1029" s="836"/>
      <c r="E1029" s="836"/>
      <c r="F1029" s="836"/>
      <c r="G1029" s="836"/>
      <c r="H1029" s="836"/>
      <c r="I1029" s="835"/>
      <c r="J1029" s="836"/>
      <c r="K1029" s="835"/>
      <c r="L1029" s="836"/>
      <c r="M1029" s="837"/>
      <c r="N1029" s="836"/>
      <c r="O1029" s="837"/>
      <c r="P1029" s="836"/>
      <c r="Q1029" s="835"/>
      <c r="R1029" s="837"/>
      <c r="S1029" s="837"/>
      <c r="T1029" s="838"/>
      <c r="U1029" s="836"/>
      <c r="V1029" s="836"/>
    </row>
    <row r="1030" customHeight="1" spans="1:22">
      <c r="A1030" s="835"/>
      <c r="B1030" s="836"/>
      <c r="C1030" s="836"/>
      <c r="D1030" s="836"/>
      <c r="E1030" s="836"/>
      <c r="F1030" s="836"/>
      <c r="G1030" s="836"/>
      <c r="H1030" s="836"/>
      <c r="I1030" s="835"/>
      <c r="J1030" s="836"/>
      <c r="K1030" s="835"/>
      <c r="L1030" s="836"/>
      <c r="M1030" s="837"/>
      <c r="N1030" s="836"/>
      <c r="O1030" s="837"/>
      <c r="P1030" s="836"/>
      <c r="Q1030" s="835"/>
      <c r="R1030" s="837"/>
      <c r="S1030" s="837"/>
      <c r="T1030" s="838"/>
      <c r="U1030" s="836"/>
      <c r="V1030" s="836"/>
    </row>
    <row r="1031" customHeight="1" spans="1:22">
      <c r="A1031" s="835"/>
      <c r="B1031" s="836"/>
      <c r="C1031" s="836"/>
      <c r="D1031" s="836"/>
      <c r="E1031" s="836"/>
      <c r="F1031" s="836"/>
      <c r="G1031" s="836"/>
      <c r="H1031" s="836"/>
      <c r="I1031" s="835"/>
      <c r="J1031" s="836"/>
      <c r="K1031" s="835"/>
      <c r="L1031" s="836"/>
      <c r="M1031" s="837"/>
      <c r="N1031" s="836"/>
      <c r="O1031" s="837"/>
      <c r="P1031" s="836"/>
      <c r="Q1031" s="835"/>
      <c r="R1031" s="837"/>
      <c r="S1031" s="837"/>
      <c r="T1031" s="838"/>
      <c r="U1031" s="836"/>
      <c r="V1031" s="836"/>
    </row>
    <row r="1032" customHeight="1" spans="1:22">
      <c r="A1032" s="835"/>
      <c r="B1032" s="836"/>
      <c r="C1032" s="836"/>
      <c r="D1032" s="836"/>
      <c r="E1032" s="836"/>
      <c r="F1032" s="836"/>
      <c r="G1032" s="836"/>
      <c r="H1032" s="836"/>
      <c r="I1032" s="835"/>
      <c r="J1032" s="836"/>
      <c r="K1032" s="835"/>
      <c r="L1032" s="836"/>
      <c r="M1032" s="837"/>
      <c r="N1032" s="836"/>
      <c r="O1032" s="837"/>
      <c r="P1032" s="836"/>
      <c r="Q1032" s="835"/>
      <c r="R1032" s="837"/>
      <c r="S1032" s="837"/>
      <c r="T1032" s="838"/>
      <c r="U1032" s="836"/>
      <c r="V1032" s="836"/>
    </row>
    <row r="1033" customHeight="1" spans="1:22">
      <c r="A1033" s="835"/>
      <c r="B1033" s="836"/>
      <c r="C1033" s="836"/>
      <c r="D1033" s="836"/>
      <c r="E1033" s="836"/>
      <c r="F1033" s="836"/>
      <c r="G1033" s="836"/>
      <c r="H1033" s="836"/>
      <c r="I1033" s="835"/>
      <c r="J1033" s="836"/>
      <c r="K1033" s="835"/>
      <c r="L1033" s="836"/>
      <c r="M1033" s="837"/>
      <c r="N1033" s="836"/>
      <c r="O1033" s="837"/>
      <c r="P1033" s="836"/>
      <c r="Q1033" s="835"/>
      <c r="R1033" s="837"/>
      <c r="S1033" s="837"/>
      <c r="T1033" s="838"/>
      <c r="U1033" s="836"/>
      <c r="V1033" s="836"/>
    </row>
    <row r="1034" customHeight="1" spans="1:22">
      <c r="A1034" s="835"/>
      <c r="B1034" s="836"/>
      <c r="C1034" s="836"/>
      <c r="D1034" s="836"/>
      <c r="E1034" s="836"/>
      <c r="F1034" s="836"/>
      <c r="G1034" s="836"/>
      <c r="H1034" s="836"/>
      <c r="I1034" s="835"/>
      <c r="J1034" s="836"/>
      <c r="K1034" s="835"/>
      <c r="L1034" s="836"/>
      <c r="M1034" s="837"/>
      <c r="N1034" s="836"/>
      <c r="O1034" s="837"/>
      <c r="P1034" s="836"/>
      <c r="Q1034" s="835"/>
      <c r="R1034" s="837"/>
      <c r="S1034" s="837"/>
      <c r="T1034" s="838"/>
      <c r="U1034" s="836"/>
      <c r="V1034" s="836"/>
    </row>
    <row r="1035" customHeight="1" spans="1:22">
      <c r="A1035" s="835"/>
      <c r="B1035" s="836"/>
      <c r="C1035" s="836"/>
      <c r="D1035" s="836"/>
      <c r="E1035" s="836"/>
      <c r="F1035" s="836"/>
      <c r="G1035" s="836"/>
      <c r="H1035" s="836"/>
      <c r="I1035" s="835"/>
      <c r="J1035" s="836"/>
      <c r="K1035" s="835"/>
      <c r="L1035" s="836"/>
      <c r="M1035" s="837"/>
      <c r="N1035" s="836"/>
      <c r="O1035" s="837"/>
      <c r="P1035" s="836"/>
      <c r="Q1035" s="835"/>
      <c r="R1035" s="837"/>
      <c r="S1035" s="837"/>
      <c r="T1035" s="838"/>
      <c r="U1035" s="836"/>
      <c r="V1035" s="836"/>
    </row>
    <row r="1036" customHeight="1" spans="1:22">
      <c r="A1036" s="835"/>
      <c r="B1036" s="836"/>
      <c r="C1036" s="836"/>
      <c r="D1036" s="836"/>
      <c r="E1036" s="836"/>
      <c r="F1036" s="836"/>
      <c r="G1036" s="836"/>
      <c r="H1036" s="836"/>
      <c r="I1036" s="835"/>
      <c r="J1036" s="836"/>
      <c r="K1036" s="835"/>
      <c r="L1036" s="836"/>
      <c r="M1036" s="837"/>
      <c r="N1036" s="836"/>
      <c r="O1036" s="837"/>
      <c r="P1036" s="836"/>
      <c r="Q1036" s="835"/>
      <c r="R1036" s="837"/>
      <c r="S1036" s="837"/>
      <c r="T1036" s="838"/>
      <c r="U1036" s="836"/>
      <c r="V1036" s="836"/>
    </row>
    <row r="1037" customHeight="1" spans="1:22">
      <c r="A1037" s="835"/>
      <c r="B1037" s="836"/>
      <c r="C1037" s="836"/>
      <c r="D1037" s="836"/>
      <c r="E1037" s="836"/>
      <c r="F1037" s="836"/>
      <c r="G1037" s="836"/>
      <c r="H1037" s="836"/>
      <c r="I1037" s="835"/>
      <c r="J1037" s="836"/>
      <c r="K1037" s="835"/>
      <c r="L1037" s="836"/>
      <c r="M1037" s="837"/>
      <c r="N1037" s="836"/>
      <c r="O1037" s="837"/>
      <c r="P1037" s="836"/>
      <c r="Q1037" s="835"/>
      <c r="R1037" s="837"/>
      <c r="S1037" s="837"/>
      <c r="T1037" s="838"/>
      <c r="U1037" s="836"/>
      <c r="V1037" s="836"/>
    </row>
    <row r="1038" customHeight="1" spans="1:22">
      <c r="A1038" s="835"/>
      <c r="B1038" s="836"/>
      <c r="C1038" s="836"/>
      <c r="D1038" s="836"/>
      <c r="E1038" s="836"/>
      <c r="F1038" s="836"/>
      <c r="G1038" s="836"/>
      <c r="H1038" s="836"/>
      <c r="I1038" s="835"/>
      <c r="J1038" s="836"/>
      <c r="K1038" s="835"/>
      <c r="L1038" s="836"/>
      <c r="M1038" s="837"/>
      <c r="N1038" s="836"/>
      <c r="O1038" s="837"/>
      <c r="P1038" s="836"/>
      <c r="Q1038" s="835"/>
      <c r="R1038" s="837"/>
      <c r="S1038" s="837"/>
      <c r="T1038" s="838"/>
      <c r="U1038" s="836"/>
      <c r="V1038" s="836"/>
    </row>
    <row r="1039" customHeight="1" spans="1:22">
      <c r="A1039" s="835"/>
      <c r="B1039" s="836"/>
      <c r="C1039" s="836"/>
      <c r="D1039" s="836"/>
      <c r="E1039" s="836"/>
      <c r="F1039" s="836"/>
      <c r="G1039" s="836"/>
      <c r="H1039" s="836"/>
      <c r="I1039" s="835"/>
      <c r="J1039" s="836"/>
      <c r="K1039" s="835"/>
      <c r="L1039" s="836"/>
      <c r="M1039" s="837"/>
      <c r="N1039" s="836"/>
      <c r="O1039" s="837"/>
      <c r="P1039" s="836"/>
      <c r="Q1039" s="835"/>
      <c r="R1039" s="837"/>
      <c r="S1039" s="837"/>
      <c r="T1039" s="838"/>
      <c r="U1039" s="836"/>
      <c r="V1039" s="836"/>
    </row>
    <row r="1040" customHeight="1" spans="1:22">
      <c r="A1040" s="835"/>
      <c r="B1040" s="836"/>
      <c r="C1040" s="836"/>
      <c r="D1040" s="836"/>
      <c r="E1040" s="836"/>
      <c r="F1040" s="836"/>
      <c r="G1040" s="836"/>
      <c r="H1040" s="836"/>
      <c r="I1040" s="835"/>
      <c r="J1040" s="836"/>
      <c r="K1040" s="835"/>
      <c r="L1040" s="836"/>
      <c r="M1040" s="837"/>
      <c r="N1040" s="836"/>
      <c r="O1040" s="837"/>
      <c r="P1040" s="836"/>
      <c r="Q1040" s="835"/>
      <c r="R1040" s="837"/>
      <c r="S1040" s="837"/>
      <c r="T1040" s="838"/>
      <c r="U1040" s="836"/>
      <c r="V1040" s="836"/>
    </row>
    <row r="1041" customHeight="1" spans="1:22">
      <c r="A1041" s="835"/>
      <c r="B1041" s="836"/>
      <c r="C1041" s="836"/>
      <c r="D1041" s="836"/>
      <c r="E1041" s="836"/>
      <c r="F1041" s="836"/>
      <c r="G1041" s="836"/>
      <c r="H1041" s="836"/>
      <c r="I1041" s="835"/>
      <c r="J1041" s="836"/>
      <c r="K1041" s="835"/>
      <c r="L1041" s="836"/>
      <c r="M1041" s="837"/>
      <c r="N1041" s="836"/>
      <c r="O1041" s="837"/>
      <c r="P1041" s="836"/>
      <c r="Q1041" s="835"/>
      <c r="R1041" s="837"/>
      <c r="S1041" s="837"/>
      <c r="T1041" s="838"/>
      <c r="U1041" s="836"/>
      <c r="V1041" s="836"/>
    </row>
    <row r="1042" customHeight="1" spans="1:22">
      <c r="A1042" s="835"/>
      <c r="B1042" s="836"/>
      <c r="C1042" s="836"/>
      <c r="D1042" s="836"/>
      <c r="E1042" s="836"/>
      <c r="F1042" s="836"/>
      <c r="G1042" s="836"/>
      <c r="H1042" s="836"/>
      <c r="I1042" s="835"/>
      <c r="J1042" s="836"/>
      <c r="K1042" s="835"/>
      <c r="L1042" s="836"/>
      <c r="M1042" s="837"/>
      <c r="N1042" s="836"/>
      <c r="O1042" s="837"/>
      <c r="P1042" s="836"/>
      <c r="Q1042" s="835"/>
      <c r="R1042" s="837"/>
      <c r="S1042" s="837"/>
      <c r="T1042" s="838"/>
      <c r="U1042" s="836"/>
      <c r="V1042" s="836"/>
    </row>
    <row r="1043" customHeight="1" spans="1:22">
      <c r="A1043" s="835"/>
      <c r="B1043" s="836"/>
      <c r="C1043" s="836"/>
      <c r="D1043" s="836"/>
      <c r="E1043" s="836"/>
      <c r="F1043" s="836"/>
      <c r="G1043" s="836"/>
      <c r="H1043" s="836"/>
      <c r="I1043" s="835"/>
      <c r="J1043" s="836"/>
      <c r="K1043" s="835"/>
      <c r="L1043" s="836"/>
      <c r="M1043" s="837"/>
      <c r="N1043" s="836"/>
      <c r="O1043" s="837"/>
      <c r="P1043" s="836"/>
      <c r="Q1043" s="835"/>
      <c r="R1043" s="837"/>
      <c r="S1043" s="837"/>
      <c r="T1043" s="838"/>
      <c r="U1043" s="836"/>
      <c r="V1043" s="836"/>
    </row>
    <row r="1044" customHeight="1" spans="1:22">
      <c r="A1044" s="835"/>
      <c r="B1044" s="836"/>
      <c r="C1044" s="836"/>
      <c r="D1044" s="836"/>
      <c r="E1044" s="836"/>
      <c r="F1044" s="836"/>
      <c r="G1044" s="836"/>
      <c r="H1044" s="836"/>
      <c r="I1044" s="835"/>
      <c r="J1044" s="836"/>
      <c r="K1044" s="835"/>
      <c r="L1044" s="836"/>
      <c r="M1044" s="837"/>
      <c r="N1044" s="836"/>
      <c r="O1044" s="837"/>
      <c r="P1044" s="836"/>
      <c r="Q1044" s="835"/>
      <c r="R1044" s="837"/>
      <c r="S1044" s="837"/>
      <c r="T1044" s="838"/>
      <c r="U1044" s="836"/>
      <c r="V1044" s="836"/>
    </row>
    <row r="1045" customHeight="1" spans="1:22">
      <c r="A1045" s="835"/>
      <c r="B1045" s="836"/>
      <c r="C1045" s="836"/>
      <c r="D1045" s="836"/>
      <c r="E1045" s="836"/>
      <c r="F1045" s="836"/>
      <c r="G1045" s="836"/>
      <c r="H1045" s="836"/>
      <c r="I1045" s="835"/>
      <c r="J1045" s="836"/>
      <c r="K1045" s="835"/>
      <c r="L1045" s="836"/>
      <c r="M1045" s="837"/>
      <c r="N1045" s="836"/>
      <c r="O1045" s="837"/>
      <c r="P1045" s="836"/>
      <c r="Q1045" s="835"/>
      <c r="R1045" s="837"/>
      <c r="S1045" s="837"/>
      <c r="T1045" s="838"/>
      <c r="U1045" s="836"/>
      <c r="V1045" s="836"/>
    </row>
    <row r="1046" customHeight="1" spans="1:22">
      <c r="A1046" s="835"/>
      <c r="B1046" s="836"/>
      <c r="C1046" s="836"/>
      <c r="D1046" s="836"/>
      <c r="E1046" s="836"/>
      <c r="F1046" s="836"/>
      <c r="G1046" s="836"/>
      <c r="H1046" s="836"/>
      <c r="I1046" s="835"/>
      <c r="J1046" s="836"/>
      <c r="K1046" s="835"/>
      <c r="L1046" s="836"/>
      <c r="M1046" s="837"/>
      <c r="N1046" s="836"/>
      <c r="O1046" s="837"/>
      <c r="P1046" s="836"/>
      <c r="Q1046" s="835"/>
      <c r="R1046" s="837"/>
      <c r="S1046" s="837"/>
      <c r="T1046" s="838"/>
      <c r="U1046" s="836"/>
      <c r="V1046" s="836"/>
    </row>
    <row r="1047" customHeight="1" spans="1:22">
      <c r="A1047" s="835"/>
      <c r="B1047" s="836"/>
      <c r="C1047" s="836"/>
      <c r="D1047" s="836"/>
      <c r="E1047" s="836"/>
      <c r="F1047" s="836"/>
      <c r="G1047" s="836"/>
      <c r="H1047" s="836"/>
      <c r="I1047" s="835"/>
      <c r="J1047" s="836"/>
      <c r="K1047" s="835"/>
      <c r="L1047" s="836"/>
      <c r="M1047" s="837"/>
      <c r="N1047" s="836"/>
      <c r="O1047" s="837"/>
      <c r="P1047" s="836"/>
      <c r="Q1047" s="835"/>
      <c r="R1047" s="837"/>
      <c r="S1047" s="837"/>
      <c r="T1047" s="838"/>
      <c r="U1047" s="836"/>
      <c r="V1047" s="836"/>
    </row>
    <row r="1048" customHeight="1" spans="1:22">
      <c r="A1048" s="835"/>
      <c r="B1048" s="836"/>
      <c r="C1048" s="836"/>
      <c r="D1048" s="836"/>
      <c r="E1048" s="836"/>
      <c r="F1048" s="836"/>
      <c r="G1048" s="836"/>
      <c r="H1048" s="836"/>
      <c r="I1048" s="835"/>
      <c r="J1048" s="836"/>
      <c r="K1048" s="835"/>
      <c r="L1048" s="836"/>
      <c r="M1048" s="837"/>
      <c r="N1048" s="836"/>
      <c r="O1048" s="837"/>
      <c r="P1048" s="836"/>
      <c r="Q1048" s="835"/>
      <c r="R1048" s="837"/>
      <c r="S1048" s="837"/>
      <c r="T1048" s="838"/>
      <c r="U1048" s="836"/>
      <c r="V1048" s="836"/>
    </row>
    <row r="1049" customHeight="1" spans="1:22">
      <c r="A1049" s="835"/>
      <c r="B1049" s="836"/>
      <c r="C1049" s="836"/>
      <c r="D1049" s="836"/>
      <c r="E1049" s="836"/>
      <c r="F1049" s="836"/>
      <c r="G1049" s="836"/>
      <c r="H1049" s="836"/>
      <c r="I1049" s="835"/>
      <c r="J1049" s="836"/>
      <c r="K1049" s="835"/>
      <c r="L1049" s="836"/>
      <c r="M1049" s="837"/>
      <c r="N1049" s="836"/>
      <c r="O1049" s="837"/>
      <c r="P1049" s="836"/>
      <c r="Q1049" s="835"/>
      <c r="R1049" s="837"/>
      <c r="S1049" s="837"/>
      <c r="T1049" s="838"/>
      <c r="U1049" s="836"/>
      <c r="V1049" s="836"/>
    </row>
    <row r="1050" customHeight="1" spans="1:22">
      <c r="A1050" s="835"/>
      <c r="B1050" s="836"/>
      <c r="C1050" s="836"/>
      <c r="D1050" s="836"/>
      <c r="E1050" s="836"/>
      <c r="F1050" s="836"/>
      <c r="G1050" s="836"/>
      <c r="H1050" s="836"/>
      <c r="I1050" s="835"/>
      <c r="J1050" s="836"/>
      <c r="K1050" s="835"/>
      <c r="L1050" s="836"/>
      <c r="M1050" s="837"/>
      <c r="N1050" s="836"/>
      <c r="O1050" s="837"/>
      <c r="P1050" s="836"/>
      <c r="Q1050" s="835"/>
      <c r="R1050" s="837"/>
      <c r="S1050" s="837"/>
      <c r="T1050" s="838"/>
      <c r="U1050" s="836"/>
      <c r="V1050" s="836"/>
    </row>
    <row r="1051" customHeight="1" spans="1:22">
      <c r="A1051" s="835"/>
      <c r="B1051" s="836"/>
      <c r="C1051" s="836"/>
      <c r="D1051" s="836"/>
      <c r="E1051" s="836"/>
      <c r="F1051" s="836"/>
      <c r="G1051" s="836"/>
      <c r="H1051" s="836"/>
      <c r="I1051" s="835"/>
      <c r="J1051" s="836"/>
      <c r="K1051" s="835"/>
      <c r="L1051" s="836"/>
      <c r="M1051" s="837"/>
      <c r="N1051" s="836"/>
      <c r="O1051" s="837"/>
      <c r="P1051" s="836"/>
      <c r="Q1051" s="835"/>
      <c r="R1051" s="837"/>
      <c r="S1051" s="837"/>
      <c r="T1051" s="838"/>
      <c r="U1051" s="836"/>
      <c r="V1051" s="836"/>
    </row>
    <row r="1052" customHeight="1" spans="1:22">
      <c r="A1052" s="835"/>
      <c r="B1052" s="836"/>
      <c r="C1052" s="836"/>
      <c r="D1052" s="836"/>
      <c r="E1052" s="836"/>
      <c r="F1052" s="836"/>
      <c r="G1052" s="836"/>
      <c r="H1052" s="836"/>
      <c r="I1052" s="835"/>
      <c r="J1052" s="836"/>
      <c r="K1052" s="835"/>
      <c r="L1052" s="836"/>
      <c r="M1052" s="837"/>
      <c r="N1052" s="836"/>
      <c r="O1052" s="837"/>
      <c r="P1052" s="836"/>
      <c r="Q1052" s="835"/>
      <c r="R1052" s="837"/>
      <c r="S1052" s="837"/>
      <c r="T1052" s="838"/>
      <c r="U1052" s="836"/>
      <c r="V1052" s="836"/>
    </row>
    <row r="1053" customHeight="1" spans="1:22">
      <c r="A1053" s="835"/>
      <c r="B1053" s="836"/>
      <c r="C1053" s="836"/>
      <c r="D1053" s="836"/>
      <c r="E1053" s="836"/>
      <c r="F1053" s="836"/>
      <c r="G1053" s="836"/>
      <c r="H1053" s="836"/>
      <c r="I1053" s="835"/>
      <c r="J1053" s="836"/>
      <c r="K1053" s="835"/>
      <c r="L1053" s="836"/>
      <c r="M1053" s="837"/>
      <c r="N1053" s="836"/>
      <c r="O1053" s="837"/>
      <c r="P1053" s="836"/>
      <c r="Q1053" s="835"/>
      <c r="R1053" s="837"/>
      <c r="S1053" s="837"/>
      <c r="T1053" s="838"/>
      <c r="U1053" s="836"/>
      <c r="V1053" s="836"/>
    </row>
    <row r="1054" customHeight="1" spans="1:22">
      <c r="A1054" s="835"/>
      <c r="B1054" s="836"/>
      <c r="C1054" s="836"/>
      <c r="D1054" s="836"/>
      <c r="E1054" s="836"/>
      <c r="F1054" s="836"/>
      <c r="G1054" s="836"/>
      <c r="H1054" s="836"/>
      <c r="I1054" s="835"/>
      <c r="J1054" s="836"/>
      <c r="K1054" s="835"/>
      <c r="L1054" s="836"/>
      <c r="M1054" s="837"/>
      <c r="N1054" s="836"/>
      <c r="O1054" s="837"/>
      <c r="P1054" s="836"/>
      <c r="Q1054" s="835"/>
      <c r="R1054" s="837"/>
      <c r="S1054" s="837"/>
      <c r="T1054" s="838"/>
      <c r="U1054" s="836"/>
      <c r="V1054" s="836"/>
    </row>
    <row r="1055" customHeight="1" spans="1:22">
      <c r="A1055" s="835"/>
      <c r="B1055" s="836"/>
      <c r="C1055" s="836"/>
      <c r="D1055" s="836"/>
      <c r="E1055" s="836"/>
      <c r="F1055" s="836"/>
      <c r="G1055" s="836"/>
      <c r="H1055" s="836"/>
      <c r="I1055" s="835"/>
      <c r="J1055" s="836"/>
      <c r="K1055" s="835"/>
      <c r="L1055" s="836"/>
      <c r="M1055" s="837"/>
      <c r="N1055" s="836"/>
      <c r="O1055" s="837"/>
      <c r="P1055" s="836"/>
      <c r="Q1055" s="835"/>
      <c r="R1055" s="837"/>
      <c r="S1055" s="837"/>
      <c r="T1055" s="838"/>
      <c r="U1055" s="836"/>
      <c r="V1055" s="836"/>
    </row>
    <row r="1056" customHeight="1" spans="1:22">
      <c r="A1056" s="835"/>
      <c r="B1056" s="836"/>
      <c r="C1056" s="836"/>
      <c r="D1056" s="836"/>
      <c r="E1056" s="836"/>
      <c r="F1056" s="836"/>
      <c r="G1056" s="836"/>
      <c r="H1056" s="836"/>
      <c r="I1056" s="835"/>
      <c r="J1056" s="836"/>
      <c r="K1056" s="835"/>
      <c r="L1056" s="836"/>
      <c r="M1056" s="837"/>
      <c r="N1056" s="836"/>
      <c r="O1056" s="837"/>
      <c r="P1056" s="836"/>
      <c r="Q1056" s="835"/>
      <c r="R1056" s="837"/>
      <c r="S1056" s="837"/>
      <c r="T1056" s="838"/>
      <c r="U1056" s="836"/>
      <c r="V1056" s="836"/>
    </row>
    <row r="1057" customHeight="1" spans="1:22">
      <c r="A1057" s="835"/>
      <c r="B1057" s="836"/>
      <c r="C1057" s="836"/>
      <c r="D1057" s="836"/>
      <c r="E1057" s="836"/>
      <c r="F1057" s="836"/>
      <c r="G1057" s="836"/>
      <c r="H1057" s="836"/>
      <c r="I1057" s="835"/>
      <c r="J1057" s="836"/>
      <c r="K1057" s="835"/>
      <c r="L1057" s="836"/>
      <c r="M1057" s="837"/>
      <c r="N1057" s="836"/>
      <c r="O1057" s="837"/>
      <c r="P1057" s="836"/>
      <c r="Q1057" s="835"/>
      <c r="R1057" s="837"/>
      <c r="S1057" s="837"/>
      <c r="T1057" s="838"/>
      <c r="U1057" s="836"/>
      <c r="V1057" s="836"/>
    </row>
    <row r="1058" customHeight="1" spans="1:22">
      <c r="A1058" s="835"/>
      <c r="B1058" s="836"/>
      <c r="C1058" s="836"/>
      <c r="D1058" s="836"/>
      <c r="E1058" s="836"/>
      <c r="F1058" s="836"/>
      <c r="G1058" s="836"/>
      <c r="H1058" s="836"/>
      <c r="I1058" s="835"/>
      <c r="J1058" s="836"/>
      <c r="K1058" s="835"/>
      <c r="L1058" s="836"/>
      <c r="M1058" s="837"/>
      <c r="N1058" s="836"/>
      <c r="O1058" s="837"/>
      <c r="P1058" s="836"/>
      <c r="Q1058" s="835"/>
      <c r="R1058" s="837"/>
      <c r="S1058" s="837"/>
      <c r="T1058" s="838"/>
      <c r="U1058" s="836"/>
      <c r="V1058" s="836"/>
    </row>
    <row r="1059" customHeight="1" spans="1:22">
      <c r="A1059" s="835"/>
      <c r="B1059" s="836"/>
      <c r="C1059" s="836"/>
      <c r="D1059" s="836"/>
      <c r="E1059" s="836"/>
      <c r="F1059" s="836"/>
      <c r="G1059" s="836"/>
      <c r="H1059" s="836"/>
      <c r="I1059" s="835"/>
      <c r="J1059" s="836"/>
      <c r="K1059" s="835"/>
      <c r="L1059" s="836"/>
      <c r="M1059" s="837"/>
      <c r="N1059" s="836"/>
      <c r="O1059" s="837"/>
      <c r="P1059" s="836"/>
      <c r="Q1059" s="835"/>
      <c r="R1059" s="837"/>
      <c r="S1059" s="837"/>
      <c r="T1059" s="838"/>
      <c r="U1059" s="836"/>
      <c r="V1059" s="836"/>
    </row>
    <row r="1060" customHeight="1" spans="1:22">
      <c r="A1060" s="835"/>
      <c r="B1060" s="836"/>
      <c r="C1060" s="836"/>
      <c r="D1060" s="836"/>
      <c r="E1060" s="836"/>
      <c r="F1060" s="836"/>
      <c r="G1060" s="836"/>
      <c r="H1060" s="836"/>
      <c r="I1060" s="835"/>
      <c r="J1060" s="836"/>
      <c r="K1060" s="835"/>
      <c r="L1060" s="836"/>
      <c r="M1060" s="837"/>
      <c r="N1060" s="836"/>
      <c r="O1060" s="837"/>
      <c r="P1060" s="836"/>
      <c r="Q1060" s="835"/>
      <c r="R1060" s="837"/>
      <c r="S1060" s="837"/>
      <c r="T1060" s="838"/>
      <c r="U1060" s="836"/>
      <c r="V1060" s="836"/>
    </row>
    <row r="1061" customHeight="1" spans="1:22">
      <c r="A1061" s="835"/>
      <c r="B1061" s="836"/>
      <c r="C1061" s="836"/>
      <c r="D1061" s="836"/>
      <c r="E1061" s="836"/>
      <c r="F1061" s="836"/>
      <c r="G1061" s="836"/>
      <c r="H1061" s="836"/>
      <c r="I1061" s="835"/>
      <c r="J1061" s="836"/>
      <c r="K1061" s="835"/>
      <c r="L1061" s="836"/>
      <c r="M1061" s="837"/>
      <c r="N1061" s="836"/>
      <c r="O1061" s="837"/>
      <c r="P1061" s="836"/>
      <c r="Q1061" s="835"/>
      <c r="R1061" s="837"/>
      <c r="S1061" s="837"/>
      <c r="T1061" s="838"/>
      <c r="U1061" s="836"/>
      <c r="V1061" s="836"/>
    </row>
    <row r="1062" customHeight="1" spans="1:22">
      <c r="A1062" s="835"/>
      <c r="B1062" s="836"/>
      <c r="C1062" s="836"/>
      <c r="D1062" s="836"/>
      <c r="E1062" s="836"/>
      <c r="F1062" s="836"/>
      <c r="G1062" s="836"/>
      <c r="H1062" s="836"/>
      <c r="I1062" s="835"/>
      <c r="J1062" s="836"/>
      <c r="K1062" s="835"/>
      <c r="L1062" s="836"/>
      <c r="M1062" s="837"/>
      <c r="N1062" s="836"/>
      <c r="O1062" s="837"/>
      <c r="P1062" s="836"/>
      <c r="Q1062" s="835"/>
      <c r="R1062" s="837"/>
      <c r="S1062" s="837"/>
      <c r="T1062" s="838"/>
      <c r="U1062" s="836"/>
      <c r="V1062" s="836"/>
    </row>
    <row r="1063" customHeight="1" spans="1:22">
      <c r="A1063" s="835"/>
      <c r="B1063" s="836"/>
      <c r="C1063" s="836"/>
      <c r="D1063" s="836"/>
      <c r="E1063" s="836"/>
      <c r="F1063" s="836"/>
      <c r="G1063" s="836"/>
      <c r="H1063" s="836"/>
      <c r="I1063" s="835"/>
      <c r="J1063" s="836"/>
      <c r="K1063" s="835"/>
      <c r="L1063" s="836"/>
      <c r="M1063" s="837"/>
      <c r="N1063" s="836"/>
      <c r="O1063" s="837"/>
      <c r="P1063" s="836"/>
      <c r="Q1063" s="835"/>
      <c r="R1063" s="837"/>
      <c r="S1063" s="837"/>
      <c r="T1063" s="838"/>
      <c r="U1063" s="836"/>
      <c r="V1063" s="836"/>
    </row>
    <row r="1064" customHeight="1" spans="1:22">
      <c r="A1064" s="835"/>
      <c r="B1064" s="836"/>
      <c r="C1064" s="836"/>
      <c r="D1064" s="836"/>
      <c r="E1064" s="836"/>
      <c r="F1064" s="836"/>
      <c r="G1064" s="836"/>
      <c r="H1064" s="836"/>
      <c r="I1064" s="835"/>
      <c r="J1064" s="836"/>
      <c r="K1064" s="835"/>
      <c r="L1064" s="836"/>
      <c r="M1064" s="837"/>
      <c r="N1064" s="836"/>
      <c r="O1064" s="837"/>
      <c r="P1064" s="836"/>
      <c r="Q1064" s="835"/>
      <c r="R1064" s="837"/>
      <c r="S1064" s="837"/>
      <c r="T1064" s="838"/>
      <c r="U1064" s="836"/>
      <c r="V1064" s="836"/>
    </row>
    <row r="1065" customHeight="1" spans="1:22">
      <c r="A1065" s="835"/>
      <c r="B1065" s="836"/>
      <c r="C1065" s="836"/>
      <c r="D1065" s="836"/>
      <c r="E1065" s="836"/>
      <c r="F1065" s="836"/>
      <c r="G1065" s="836"/>
      <c r="H1065" s="836"/>
      <c r="I1065" s="835"/>
      <c r="J1065" s="836"/>
      <c r="K1065" s="835"/>
      <c r="L1065" s="836"/>
      <c r="M1065" s="837"/>
      <c r="N1065" s="836"/>
      <c r="O1065" s="837"/>
      <c r="P1065" s="836"/>
      <c r="Q1065" s="835"/>
      <c r="R1065" s="837"/>
      <c r="S1065" s="837"/>
      <c r="T1065" s="838"/>
      <c r="U1065" s="836"/>
      <c r="V1065" s="836"/>
    </row>
    <row r="1066" customHeight="1" spans="1:22">
      <c r="A1066" s="835"/>
      <c r="B1066" s="836"/>
      <c r="C1066" s="836"/>
      <c r="D1066" s="836"/>
      <c r="E1066" s="836"/>
      <c r="F1066" s="836"/>
      <c r="G1066" s="836"/>
      <c r="H1066" s="836"/>
      <c r="I1066" s="835"/>
      <c r="J1066" s="836"/>
      <c r="K1066" s="835"/>
      <c r="L1066" s="836"/>
      <c r="M1066" s="837"/>
      <c r="N1066" s="836"/>
      <c r="O1066" s="837"/>
      <c r="P1066" s="836"/>
      <c r="Q1066" s="835"/>
      <c r="R1066" s="837"/>
      <c r="S1066" s="837"/>
      <c r="T1066" s="838"/>
      <c r="U1066" s="836"/>
      <c r="V1066" s="836"/>
    </row>
    <row r="1067" customHeight="1" spans="1:22">
      <c r="A1067" s="835"/>
      <c r="B1067" s="836"/>
      <c r="C1067" s="836"/>
      <c r="D1067" s="836"/>
      <c r="E1067" s="836"/>
      <c r="F1067" s="836"/>
      <c r="G1067" s="836"/>
      <c r="H1067" s="836"/>
      <c r="I1067" s="835"/>
      <c r="J1067" s="836"/>
      <c r="K1067" s="835"/>
      <c r="L1067" s="836"/>
      <c r="M1067" s="837"/>
      <c r="N1067" s="836"/>
      <c r="O1067" s="837"/>
      <c r="P1067" s="836"/>
      <c r="Q1067" s="835"/>
      <c r="R1067" s="837"/>
      <c r="S1067" s="837"/>
      <c r="T1067" s="838"/>
      <c r="U1067" s="836"/>
      <c r="V1067" s="836"/>
    </row>
    <row r="1068" customHeight="1" spans="1:22">
      <c r="A1068" s="835"/>
      <c r="B1068" s="836"/>
      <c r="C1068" s="836"/>
      <c r="D1068" s="836"/>
      <c r="E1068" s="836"/>
      <c r="F1068" s="836"/>
      <c r="G1068" s="836"/>
      <c r="H1068" s="836"/>
      <c r="I1068" s="835"/>
      <c r="J1068" s="836"/>
      <c r="K1068" s="835"/>
      <c r="L1068" s="836"/>
      <c r="M1068" s="837"/>
      <c r="N1068" s="836"/>
      <c r="O1068" s="837"/>
      <c r="P1068" s="836"/>
      <c r="Q1068" s="835"/>
      <c r="R1068" s="837"/>
      <c r="S1068" s="837"/>
      <c r="T1068" s="838"/>
      <c r="U1068" s="836"/>
      <c r="V1068" s="836"/>
    </row>
    <row r="1069" customHeight="1" spans="1:22">
      <c r="A1069" s="835"/>
      <c r="B1069" s="836"/>
      <c r="C1069" s="836"/>
      <c r="D1069" s="836"/>
      <c r="E1069" s="836"/>
      <c r="F1069" s="836"/>
      <c r="G1069" s="836"/>
      <c r="H1069" s="836"/>
      <c r="I1069" s="835"/>
      <c r="J1069" s="836"/>
      <c r="K1069" s="835"/>
      <c r="L1069" s="836"/>
      <c r="M1069" s="837"/>
      <c r="N1069" s="836"/>
      <c r="O1069" s="837"/>
      <c r="P1069" s="836"/>
      <c r="Q1069" s="835"/>
      <c r="R1069" s="837"/>
      <c r="S1069" s="837"/>
      <c r="T1069" s="838"/>
      <c r="U1069" s="836"/>
      <c r="V1069" s="836"/>
    </row>
    <row r="1070" customHeight="1" spans="1:22">
      <c r="A1070" s="835"/>
      <c r="B1070" s="836"/>
      <c r="C1070" s="836"/>
      <c r="D1070" s="836"/>
      <c r="E1070" s="836"/>
      <c r="F1070" s="836"/>
      <c r="G1070" s="836"/>
      <c r="H1070" s="836"/>
      <c r="I1070" s="835"/>
      <c r="J1070" s="836"/>
      <c r="K1070" s="835"/>
      <c r="L1070" s="836"/>
      <c r="M1070" s="837"/>
      <c r="N1070" s="836"/>
      <c r="O1070" s="837"/>
      <c r="P1070" s="836"/>
      <c r="Q1070" s="835"/>
      <c r="R1070" s="837"/>
      <c r="S1070" s="837"/>
      <c r="T1070" s="838"/>
      <c r="U1070" s="836"/>
      <c r="V1070" s="836"/>
    </row>
    <row r="1071" customHeight="1" spans="1:22">
      <c r="A1071" s="835"/>
      <c r="B1071" s="836"/>
      <c r="C1071" s="836"/>
      <c r="D1071" s="836"/>
      <c r="E1071" s="836"/>
      <c r="F1071" s="836"/>
      <c r="G1071" s="836"/>
      <c r="H1071" s="836"/>
      <c r="I1071" s="835"/>
      <c r="J1071" s="836"/>
      <c r="K1071" s="835"/>
      <c r="L1071" s="836"/>
      <c r="M1071" s="837"/>
      <c r="N1071" s="836"/>
      <c r="O1071" s="837"/>
      <c r="P1071" s="836"/>
      <c r="Q1071" s="835"/>
      <c r="R1071" s="837"/>
      <c r="S1071" s="837"/>
      <c r="T1071" s="838"/>
      <c r="U1071" s="836"/>
      <c r="V1071" s="836"/>
    </row>
    <row r="1072" customHeight="1" spans="1:22">
      <c r="A1072" s="835"/>
      <c r="B1072" s="836"/>
      <c r="C1072" s="836"/>
      <c r="D1072" s="836"/>
      <c r="E1072" s="836"/>
      <c r="F1072" s="836"/>
      <c r="G1072" s="836"/>
      <c r="H1072" s="836"/>
      <c r="I1072" s="835"/>
      <c r="J1072" s="836"/>
      <c r="K1072" s="835"/>
      <c r="L1072" s="836"/>
      <c r="M1072" s="837"/>
      <c r="N1072" s="836"/>
      <c r="O1072" s="837"/>
      <c r="P1072" s="836"/>
      <c r="Q1072" s="835"/>
      <c r="R1072" s="837"/>
      <c r="S1072" s="837"/>
      <c r="T1072" s="838"/>
      <c r="U1072" s="836"/>
      <c r="V1072" s="836"/>
    </row>
    <row r="1073" customHeight="1" spans="1:22">
      <c r="A1073" s="835"/>
      <c r="B1073" s="836"/>
      <c r="C1073" s="836"/>
      <c r="D1073" s="836"/>
      <c r="E1073" s="836"/>
      <c r="F1073" s="836"/>
      <c r="G1073" s="836"/>
      <c r="H1073" s="836"/>
      <c r="I1073" s="835"/>
      <c r="J1073" s="836"/>
      <c r="K1073" s="835"/>
      <c r="L1073" s="836"/>
      <c r="M1073" s="837"/>
      <c r="N1073" s="836"/>
      <c r="O1073" s="837"/>
      <c r="P1073" s="836"/>
      <c r="Q1073" s="835"/>
      <c r="R1073" s="837"/>
      <c r="S1073" s="837"/>
      <c r="T1073" s="838"/>
      <c r="U1073" s="836"/>
      <c r="V1073" s="836"/>
    </row>
    <row r="1074" customHeight="1" spans="1:22">
      <c r="A1074" s="835"/>
      <c r="B1074" s="836"/>
      <c r="C1074" s="836"/>
      <c r="D1074" s="836"/>
      <c r="E1074" s="836"/>
      <c r="F1074" s="836"/>
      <c r="G1074" s="836"/>
      <c r="H1074" s="836"/>
      <c r="I1074" s="835"/>
      <c r="J1074" s="836"/>
      <c r="K1074" s="835"/>
      <c r="L1074" s="836"/>
      <c r="M1074" s="837"/>
      <c r="N1074" s="836"/>
      <c r="O1074" s="837"/>
      <c r="P1074" s="836"/>
      <c r="Q1074" s="835"/>
      <c r="R1074" s="837"/>
      <c r="S1074" s="837"/>
      <c r="T1074" s="838"/>
      <c r="U1074" s="836"/>
      <c r="V1074" s="836"/>
    </row>
    <row r="1075" customHeight="1" spans="1:22">
      <c r="A1075" s="835"/>
      <c r="B1075" s="836"/>
      <c r="C1075" s="836"/>
      <c r="D1075" s="836"/>
      <c r="E1075" s="836"/>
      <c r="F1075" s="836"/>
      <c r="G1075" s="836"/>
      <c r="H1075" s="836"/>
      <c r="I1075" s="835"/>
      <c r="J1075" s="836"/>
      <c r="K1075" s="835"/>
      <c r="L1075" s="836"/>
      <c r="M1075" s="837"/>
      <c r="N1075" s="836"/>
      <c r="O1075" s="837"/>
      <c r="P1075" s="836"/>
      <c r="Q1075" s="835"/>
      <c r="R1075" s="837"/>
      <c r="S1075" s="837"/>
      <c r="T1075" s="838"/>
      <c r="U1075" s="836"/>
      <c r="V1075" s="836"/>
    </row>
    <row r="1076" customHeight="1" spans="1:22">
      <c r="A1076" s="835"/>
      <c r="B1076" s="836"/>
      <c r="C1076" s="836"/>
      <c r="D1076" s="836"/>
      <c r="E1076" s="836"/>
      <c r="F1076" s="836"/>
      <c r="G1076" s="836"/>
      <c r="H1076" s="836"/>
      <c r="I1076" s="835"/>
      <c r="J1076" s="836"/>
      <c r="K1076" s="835"/>
      <c r="L1076" s="836"/>
      <c r="M1076" s="837"/>
      <c r="N1076" s="836"/>
      <c r="O1076" s="837"/>
      <c r="P1076" s="836"/>
      <c r="Q1076" s="835"/>
      <c r="R1076" s="837"/>
      <c r="S1076" s="837"/>
      <c r="T1076" s="838"/>
      <c r="U1076" s="836"/>
      <c r="V1076" s="836"/>
    </row>
    <row r="1077" customHeight="1" spans="1:22">
      <c r="A1077" s="835"/>
      <c r="B1077" s="836"/>
      <c r="C1077" s="836"/>
      <c r="D1077" s="836"/>
      <c r="E1077" s="836"/>
      <c r="F1077" s="836"/>
      <c r="G1077" s="836"/>
      <c r="H1077" s="836"/>
      <c r="I1077" s="835"/>
      <c r="J1077" s="836"/>
      <c r="K1077" s="835"/>
      <c r="L1077" s="836"/>
      <c r="M1077" s="837"/>
      <c r="N1077" s="836"/>
      <c r="O1077" s="837"/>
      <c r="P1077" s="836"/>
      <c r="Q1077" s="835"/>
      <c r="R1077" s="837"/>
      <c r="S1077" s="837"/>
      <c r="T1077" s="838"/>
      <c r="U1077" s="836"/>
      <c r="V1077" s="836"/>
    </row>
    <row r="1078" customHeight="1" spans="1:22">
      <c r="A1078" s="835"/>
      <c r="B1078" s="836"/>
      <c r="C1078" s="836"/>
      <c r="D1078" s="836"/>
      <c r="E1078" s="836"/>
      <c r="F1078" s="836"/>
      <c r="G1078" s="836"/>
      <c r="H1078" s="836"/>
      <c r="I1078" s="835"/>
      <c r="J1078" s="836"/>
      <c r="K1078" s="835"/>
      <c r="L1078" s="836"/>
      <c r="M1078" s="837"/>
      <c r="N1078" s="836"/>
      <c r="O1078" s="837"/>
      <c r="P1078" s="836"/>
      <c r="Q1078" s="835"/>
      <c r="R1078" s="837"/>
      <c r="S1078" s="837"/>
      <c r="T1078" s="838"/>
      <c r="U1078" s="836"/>
      <c r="V1078" s="836"/>
    </row>
    <row r="1079" customHeight="1" spans="1:22">
      <c r="A1079" s="835"/>
      <c r="B1079" s="836"/>
      <c r="C1079" s="836"/>
      <c r="D1079" s="836"/>
      <c r="E1079" s="836"/>
      <c r="F1079" s="836"/>
      <c r="G1079" s="836"/>
      <c r="H1079" s="836"/>
      <c r="I1079" s="835"/>
      <c r="J1079" s="836"/>
      <c r="K1079" s="835"/>
      <c r="L1079" s="836"/>
      <c r="M1079" s="837"/>
      <c r="N1079" s="836"/>
      <c r="O1079" s="837"/>
      <c r="P1079" s="836"/>
      <c r="Q1079" s="835"/>
      <c r="R1079" s="837"/>
      <c r="S1079" s="837"/>
      <c r="T1079" s="838"/>
      <c r="U1079" s="836"/>
      <c r="V1079" s="836"/>
    </row>
    <row r="1080" customHeight="1" spans="1:22">
      <c r="A1080" s="835"/>
      <c r="B1080" s="836"/>
      <c r="C1080" s="836"/>
      <c r="D1080" s="836"/>
      <c r="E1080" s="836"/>
      <c r="F1080" s="836"/>
      <c r="G1080" s="836"/>
      <c r="H1080" s="836"/>
      <c r="I1080" s="835"/>
      <c r="J1080" s="836"/>
      <c r="K1080" s="835"/>
      <c r="L1080" s="836"/>
      <c r="M1080" s="837"/>
      <c r="N1080" s="836"/>
      <c r="O1080" s="837"/>
      <c r="P1080" s="836"/>
      <c r="Q1080" s="835"/>
      <c r="R1080" s="837"/>
      <c r="S1080" s="837"/>
      <c r="T1080" s="838"/>
      <c r="U1080" s="836"/>
      <c r="V1080" s="836"/>
    </row>
    <row r="1081" customHeight="1" spans="1:22">
      <c r="A1081" s="835"/>
      <c r="B1081" s="836"/>
      <c r="C1081" s="836"/>
      <c r="D1081" s="836"/>
      <c r="E1081" s="836"/>
      <c r="F1081" s="836"/>
      <c r="G1081" s="836"/>
      <c r="H1081" s="836"/>
      <c r="I1081" s="835"/>
      <c r="J1081" s="836"/>
      <c r="K1081" s="835"/>
      <c r="L1081" s="836"/>
      <c r="M1081" s="837"/>
      <c r="N1081" s="836"/>
      <c r="O1081" s="837"/>
      <c r="P1081" s="836"/>
      <c r="Q1081" s="835"/>
      <c r="R1081" s="837"/>
      <c r="S1081" s="837"/>
      <c r="T1081" s="838"/>
      <c r="U1081" s="836"/>
      <c r="V1081" s="836"/>
    </row>
    <row r="1082" customHeight="1" spans="1:22">
      <c r="A1082" s="835"/>
      <c r="B1082" s="836"/>
      <c r="C1082" s="836"/>
      <c r="D1082" s="836"/>
      <c r="E1082" s="836"/>
      <c r="F1082" s="836"/>
      <c r="G1082" s="836"/>
      <c r="H1082" s="836"/>
      <c r="I1082" s="835"/>
      <c r="J1082" s="836"/>
      <c r="K1082" s="835"/>
      <c r="L1082" s="836"/>
      <c r="M1082" s="837"/>
      <c r="N1082" s="836"/>
      <c r="O1082" s="837"/>
      <c r="P1082" s="836"/>
      <c r="Q1082" s="835"/>
      <c r="R1082" s="837"/>
      <c r="S1082" s="837"/>
      <c r="T1082" s="838"/>
      <c r="U1082" s="836"/>
      <c r="V1082" s="836"/>
    </row>
    <row r="1083" customHeight="1" spans="1:22">
      <c r="A1083" s="835"/>
      <c r="B1083" s="836"/>
      <c r="C1083" s="836"/>
      <c r="D1083" s="836"/>
      <c r="E1083" s="836"/>
      <c r="F1083" s="836"/>
      <c r="G1083" s="836"/>
      <c r="H1083" s="836"/>
      <c r="I1083" s="835"/>
      <c r="J1083" s="836"/>
      <c r="K1083" s="835"/>
      <c r="L1083" s="836"/>
      <c r="M1083" s="837"/>
      <c r="N1083" s="836"/>
      <c r="O1083" s="837"/>
      <c r="P1083" s="836"/>
      <c r="Q1083" s="835"/>
      <c r="R1083" s="837"/>
      <c r="S1083" s="837"/>
      <c r="T1083" s="838"/>
      <c r="U1083" s="836"/>
      <c r="V1083" s="836"/>
    </row>
    <row r="1084" customHeight="1" spans="1:22">
      <c r="A1084" s="835"/>
      <c r="B1084" s="836"/>
      <c r="C1084" s="836"/>
      <c r="D1084" s="836"/>
      <c r="E1084" s="836"/>
      <c r="F1084" s="836"/>
      <c r="G1084" s="836"/>
      <c r="H1084" s="836"/>
      <c r="I1084" s="835"/>
      <c r="J1084" s="836"/>
      <c r="K1084" s="835"/>
      <c r="L1084" s="836"/>
      <c r="M1084" s="837"/>
      <c r="N1084" s="836"/>
      <c r="O1084" s="837"/>
      <c r="P1084" s="836"/>
      <c r="Q1084" s="835"/>
      <c r="R1084" s="837"/>
      <c r="S1084" s="837"/>
      <c r="T1084" s="838"/>
      <c r="U1084" s="836"/>
      <c r="V1084" s="836"/>
    </row>
    <row r="1085" customHeight="1" spans="1:22">
      <c r="A1085" s="835"/>
      <c r="B1085" s="836"/>
      <c r="C1085" s="836"/>
      <c r="D1085" s="836"/>
      <c r="E1085" s="836"/>
      <c r="F1085" s="836"/>
      <c r="G1085" s="836"/>
      <c r="H1085" s="836"/>
      <c r="I1085" s="835"/>
      <c r="J1085" s="836"/>
      <c r="K1085" s="835"/>
      <c r="L1085" s="836"/>
      <c r="M1085" s="837"/>
      <c r="N1085" s="836"/>
      <c r="O1085" s="837"/>
      <c r="P1085" s="836"/>
      <c r="Q1085" s="835"/>
      <c r="R1085" s="837"/>
      <c r="S1085" s="837"/>
      <c r="T1085" s="838"/>
      <c r="U1085" s="836"/>
      <c r="V1085" s="836"/>
    </row>
    <row r="1086" customHeight="1" spans="1:22">
      <c r="A1086" s="835"/>
      <c r="B1086" s="836"/>
      <c r="C1086" s="836"/>
      <c r="D1086" s="836"/>
      <c r="E1086" s="836"/>
      <c r="F1086" s="836"/>
      <c r="G1086" s="836"/>
      <c r="H1086" s="836"/>
      <c r="I1086" s="835"/>
      <c r="J1086" s="836"/>
      <c r="K1086" s="835"/>
      <c r="L1086" s="836"/>
      <c r="M1086" s="837"/>
      <c r="N1086" s="836"/>
      <c r="O1086" s="837"/>
      <c r="P1086" s="836"/>
      <c r="Q1086" s="835"/>
      <c r="R1086" s="837"/>
      <c r="S1086" s="837"/>
      <c r="T1086" s="838"/>
      <c r="U1086" s="836"/>
      <c r="V1086" s="836"/>
    </row>
    <row r="1087" customHeight="1" spans="1:22">
      <c r="A1087" s="835"/>
      <c r="B1087" s="836"/>
      <c r="C1087" s="836"/>
      <c r="D1087" s="836"/>
      <c r="E1087" s="836"/>
      <c r="F1087" s="836"/>
      <c r="G1087" s="836"/>
      <c r="H1087" s="836"/>
      <c r="I1087" s="835"/>
      <c r="J1087" s="836"/>
      <c r="K1087" s="835"/>
      <c r="L1087" s="836"/>
      <c r="M1087" s="837"/>
      <c r="N1087" s="836"/>
      <c r="O1087" s="837"/>
      <c r="P1087" s="836"/>
      <c r="Q1087" s="835"/>
      <c r="R1087" s="837"/>
      <c r="S1087" s="837"/>
      <c r="T1087" s="838"/>
      <c r="U1087" s="836"/>
      <c r="V1087" s="836"/>
    </row>
    <row r="1088" customHeight="1" spans="1:22">
      <c r="A1088" s="835"/>
      <c r="B1088" s="836"/>
      <c r="C1088" s="836"/>
      <c r="D1088" s="836"/>
      <c r="E1088" s="836"/>
      <c r="F1088" s="836"/>
      <c r="G1088" s="836"/>
      <c r="H1088" s="836"/>
      <c r="I1088" s="835"/>
      <c r="J1088" s="836"/>
      <c r="K1088" s="835"/>
      <c r="L1088" s="836"/>
      <c r="M1088" s="837"/>
      <c r="N1088" s="836"/>
      <c r="O1088" s="837"/>
      <c r="P1088" s="836"/>
      <c r="Q1088" s="835"/>
      <c r="R1088" s="837"/>
      <c r="S1088" s="837"/>
      <c r="T1088" s="838"/>
      <c r="U1088" s="836"/>
      <c r="V1088" s="836"/>
    </row>
    <row r="1089" customHeight="1" spans="1:22">
      <c r="A1089" s="835"/>
      <c r="B1089" s="836"/>
      <c r="C1089" s="836"/>
      <c r="D1089" s="836"/>
      <c r="E1089" s="836"/>
      <c r="F1089" s="836"/>
      <c r="G1089" s="836"/>
      <c r="H1089" s="836"/>
      <c r="I1089" s="835"/>
      <c r="J1089" s="836"/>
      <c r="K1089" s="835"/>
      <c r="L1089" s="836"/>
      <c r="M1089" s="837"/>
      <c r="N1089" s="836"/>
      <c r="O1089" s="837"/>
      <c r="P1089" s="836"/>
      <c r="Q1089" s="835"/>
      <c r="R1089" s="837"/>
      <c r="S1089" s="837"/>
      <c r="T1089" s="838"/>
      <c r="U1089" s="836"/>
      <c r="V1089" s="836"/>
    </row>
    <row r="1090" customHeight="1" spans="1:22">
      <c r="A1090" s="835"/>
      <c r="B1090" s="836"/>
      <c r="C1090" s="836"/>
      <c r="D1090" s="836"/>
      <c r="E1090" s="836"/>
      <c r="F1090" s="836"/>
      <c r="G1090" s="836"/>
      <c r="H1090" s="836"/>
      <c r="I1090" s="835"/>
      <c r="J1090" s="836"/>
      <c r="K1090" s="835"/>
      <c r="L1090" s="836"/>
      <c r="M1090" s="837"/>
      <c r="N1090" s="836"/>
      <c r="O1090" s="837"/>
      <c r="P1090" s="836"/>
      <c r="Q1090" s="835"/>
      <c r="R1090" s="837"/>
      <c r="S1090" s="837"/>
      <c r="T1090" s="838"/>
      <c r="U1090" s="836"/>
      <c r="V1090" s="836"/>
    </row>
    <row r="1091" customHeight="1" spans="1:22">
      <c r="A1091" s="835"/>
      <c r="B1091" s="836"/>
      <c r="C1091" s="836"/>
      <c r="D1091" s="836"/>
      <c r="E1091" s="836"/>
      <c r="F1091" s="836"/>
      <c r="G1091" s="836"/>
      <c r="H1091" s="836"/>
      <c r="I1091" s="835"/>
      <c r="J1091" s="836"/>
      <c r="K1091" s="835"/>
      <c r="L1091" s="836"/>
      <c r="M1091" s="837"/>
      <c r="N1091" s="836"/>
      <c r="O1091" s="837"/>
      <c r="P1091" s="836"/>
      <c r="Q1091" s="835"/>
      <c r="R1091" s="837"/>
      <c r="S1091" s="837"/>
      <c r="T1091" s="838"/>
      <c r="U1091" s="836"/>
      <c r="V1091" s="836"/>
    </row>
    <row r="1092" customHeight="1" spans="1:22">
      <c r="A1092" s="835"/>
      <c r="B1092" s="836"/>
      <c r="C1092" s="836"/>
      <c r="D1092" s="836"/>
      <c r="E1092" s="836"/>
      <c r="F1092" s="836"/>
      <c r="G1092" s="836"/>
      <c r="H1092" s="836"/>
      <c r="I1092" s="835"/>
      <c r="J1092" s="836"/>
      <c r="K1092" s="835"/>
      <c r="L1092" s="836"/>
      <c r="M1092" s="837"/>
      <c r="N1092" s="836"/>
      <c r="O1092" s="837"/>
      <c r="P1092" s="836"/>
      <c r="Q1092" s="835"/>
      <c r="R1092" s="837"/>
      <c r="S1092" s="837"/>
      <c r="T1092" s="838"/>
      <c r="U1092" s="836"/>
      <c r="V1092" s="836"/>
    </row>
    <row r="1093" customHeight="1" spans="1:22">
      <c r="A1093" s="835"/>
      <c r="B1093" s="836"/>
      <c r="C1093" s="836"/>
      <c r="D1093" s="836"/>
      <c r="E1093" s="836"/>
      <c r="F1093" s="836"/>
      <c r="G1093" s="836"/>
      <c r="H1093" s="836"/>
      <c r="I1093" s="835"/>
      <c r="J1093" s="836"/>
      <c r="K1093" s="835"/>
      <c r="L1093" s="836"/>
      <c r="M1093" s="837"/>
      <c r="N1093" s="836"/>
      <c r="O1093" s="837"/>
      <c r="P1093" s="836"/>
      <c r="Q1093" s="835"/>
      <c r="R1093" s="837"/>
      <c r="S1093" s="837"/>
      <c r="T1093" s="838"/>
      <c r="U1093" s="836"/>
      <c r="V1093" s="836"/>
    </row>
    <row r="1094" customHeight="1" spans="1:22">
      <c r="A1094" s="835"/>
      <c r="B1094" s="836"/>
      <c r="C1094" s="836"/>
      <c r="D1094" s="836"/>
      <c r="E1094" s="836"/>
      <c r="F1094" s="836"/>
      <c r="G1094" s="836"/>
      <c r="H1094" s="836"/>
      <c r="I1094" s="835"/>
      <c r="J1094" s="836"/>
      <c r="K1094" s="835"/>
      <c r="L1094" s="836"/>
      <c r="M1094" s="837"/>
      <c r="N1094" s="836"/>
      <c r="O1094" s="837"/>
      <c r="P1094" s="836"/>
      <c r="Q1094" s="835"/>
      <c r="R1094" s="837"/>
      <c r="S1094" s="837"/>
      <c r="T1094" s="838"/>
      <c r="U1094" s="836"/>
      <c r="V1094" s="836"/>
    </row>
    <row r="1095" customHeight="1" spans="1:22">
      <c r="A1095" s="835"/>
      <c r="B1095" s="836"/>
      <c r="C1095" s="836"/>
      <c r="D1095" s="836"/>
      <c r="E1095" s="836"/>
      <c r="F1095" s="836"/>
      <c r="G1095" s="836"/>
      <c r="H1095" s="836"/>
      <c r="I1095" s="835"/>
      <c r="J1095" s="836"/>
      <c r="K1095" s="835"/>
      <c r="L1095" s="836"/>
      <c r="M1095" s="837"/>
      <c r="N1095" s="836"/>
      <c r="O1095" s="837"/>
      <c r="P1095" s="836"/>
      <c r="Q1095" s="835"/>
      <c r="R1095" s="837"/>
      <c r="S1095" s="837"/>
      <c r="T1095" s="838"/>
      <c r="U1095" s="836"/>
      <c r="V1095" s="836"/>
    </row>
    <row r="1096" customHeight="1" spans="1:22">
      <c r="A1096" s="835"/>
      <c r="B1096" s="836"/>
      <c r="C1096" s="836"/>
      <c r="D1096" s="836"/>
      <c r="E1096" s="836"/>
      <c r="F1096" s="836"/>
      <c r="G1096" s="836"/>
      <c r="H1096" s="836"/>
      <c r="I1096" s="835"/>
      <c r="J1096" s="836"/>
      <c r="K1096" s="835"/>
      <c r="L1096" s="836"/>
      <c r="M1096" s="837"/>
      <c r="N1096" s="836"/>
      <c r="O1096" s="837"/>
      <c r="P1096" s="836"/>
      <c r="Q1096" s="835"/>
      <c r="R1096" s="837"/>
      <c r="S1096" s="837"/>
      <c r="T1096" s="838"/>
      <c r="U1096" s="836"/>
      <c r="V1096" s="836"/>
    </row>
    <row r="1097" customHeight="1" spans="1:22">
      <c r="A1097" s="835"/>
      <c r="B1097" s="836"/>
      <c r="C1097" s="836"/>
      <c r="D1097" s="836"/>
      <c r="E1097" s="836"/>
      <c r="F1097" s="836"/>
      <c r="G1097" s="836"/>
      <c r="H1097" s="836"/>
      <c r="I1097" s="835"/>
      <c r="J1097" s="836"/>
      <c r="K1097" s="835"/>
      <c r="L1097" s="836"/>
      <c r="M1097" s="837"/>
      <c r="N1097" s="836"/>
      <c r="O1097" s="837"/>
      <c r="P1097" s="836"/>
      <c r="Q1097" s="835"/>
      <c r="R1097" s="837"/>
      <c r="S1097" s="837"/>
      <c r="T1097" s="838"/>
      <c r="U1097" s="836"/>
      <c r="V1097" s="836"/>
    </row>
    <row r="1098" customHeight="1" spans="1:22">
      <c r="A1098" s="835"/>
      <c r="B1098" s="836"/>
      <c r="C1098" s="836"/>
      <c r="D1098" s="836"/>
      <c r="E1098" s="836"/>
      <c r="F1098" s="836"/>
      <c r="G1098" s="836"/>
      <c r="H1098" s="836"/>
      <c r="I1098" s="835"/>
      <c r="J1098" s="836"/>
      <c r="K1098" s="835"/>
      <c r="L1098" s="836"/>
      <c r="M1098" s="837"/>
      <c r="N1098" s="836"/>
      <c r="O1098" s="837"/>
      <c r="P1098" s="836"/>
      <c r="Q1098" s="835"/>
      <c r="R1098" s="837"/>
      <c r="S1098" s="837"/>
      <c r="T1098" s="838"/>
      <c r="U1098" s="836"/>
      <c r="V1098" s="836"/>
    </row>
    <row r="1099" customHeight="1" spans="1:22">
      <c r="A1099" s="835"/>
      <c r="B1099" s="836"/>
      <c r="C1099" s="836"/>
      <c r="D1099" s="836"/>
      <c r="E1099" s="836"/>
      <c r="F1099" s="836"/>
      <c r="G1099" s="836"/>
      <c r="H1099" s="836"/>
      <c r="I1099" s="835"/>
      <c r="J1099" s="836"/>
      <c r="K1099" s="835"/>
      <c r="L1099" s="836"/>
      <c r="M1099" s="837"/>
      <c r="N1099" s="836"/>
      <c r="O1099" s="837"/>
      <c r="P1099" s="836"/>
      <c r="Q1099" s="835"/>
      <c r="R1099" s="837"/>
      <c r="S1099" s="837"/>
      <c r="T1099" s="838"/>
      <c r="U1099" s="836"/>
      <c r="V1099" s="836"/>
    </row>
    <row r="1100" customHeight="1" spans="1:22">
      <c r="A1100" s="835"/>
      <c r="B1100" s="836"/>
      <c r="C1100" s="836"/>
      <c r="D1100" s="836"/>
      <c r="E1100" s="836"/>
      <c r="F1100" s="836"/>
      <c r="G1100" s="836"/>
      <c r="H1100" s="836"/>
      <c r="I1100" s="835"/>
      <c r="J1100" s="836"/>
      <c r="K1100" s="835"/>
      <c r="L1100" s="836"/>
      <c r="M1100" s="837"/>
      <c r="N1100" s="836"/>
      <c r="O1100" s="837"/>
      <c r="P1100" s="836"/>
      <c r="Q1100" s="835"/>
      <c r="R1100" s="837"/>
      <c r="S1100" s="837"/>
      <c r="T1100" s="838"/>
      <c r="U1100" s="836"/>
      <c r="V1100" s="836"/>
    </row>
    <row r="1101" customHeight="1" spans="1:22">
      <c r="A1101" s="835"/>
      <c r="B1101" s="836"/>
      <c r="C1101" s="836"/>
      <c r="D1101" s="836"/>
      <c r="E1101" s="836"/>
      <c r="F1101" s="836"/>
      <c r="G1101" s="836"/>
      <c r="H1101" s="836"/>
      <c r="I1101" s="835"/>
      <c r="J1101" s="836"/>
      <c r="K1101" s="835"/>
      <c r="L1101" s="836"/>
      <c r="M1101" s="837"/>
      <c r="N1101" s="836"/>
      <c r="O1101" s="837"/>
      <c r="P1101" s="836"/>
      <c r="Q1101" s="835"/>
      <c r="R1101" s="837"/>
      <c r="S1101" s="837"/>
      <c r="T1101" s="838"/>
      <c r="U1101" s="836"/>
      <c r="V1101" s="836"/>
    </row>
    <row r="1102" customHeight="1" spans="1:22">
      <c r="A1102" s="835"/>
      <c r="B1102" s="836"/>
      <c r="C1102" s="836"/>
      <c r="D1102" s="836"/>
      <c r="E1102" s="836"/>
      <c r="F1102" s="836"/>
      <c r="G1102" s="836"/>
      <c r="H1102" s="836"/>
      <c r="I1102" s="835"/>
      <c r="J1102" s="836"/>
      <c r="K1102" s="835"/>
      <c r="L1102" s="836"/>
      <c r="M1102" s="837"/>
      <c r="N1102" s="836"/>
      <c r="O1102" s="837"/>
      <c r="P1102" s="836"/>
      <c r="Q1102" s="835"/>
      <c r="R1102" s="837"/>
      <c r="S1102" s="837"/>
      <c r="T1102" s="838"/>
      <c r="U1102" s="836"/>
      <c r="V1102" s="836"/>
    </row>
    <row r="1103" customHeight="1" spans="1:22">
      <c r="A1103" s="835"/>
      <c r="B1103" s="836"/>
      <c r="C1103" s="836"/>
      <c r="D1103" s="836"/>
      <c r="E1103" s="836"/>
      <c r="F1103" s="836"/>
      <c r="G1103" s="836"/>
      <c r="H1103" s="836"/>
      <c r="I1103" s="835"/>
      <c r="J1103" s="836"/>
      <c r="K1103" s="835"/>
      <c r="L1103" s="836"/>
      <c r="M1103" s="837"/>
      <c r="N1103" s="836"/>
      <c r="O1103" s="837"/>
      <c r="P1103" s="836"/>
      <c r="Q1103" s="835"/>
      <c r="R1103" s="837"/>
      <c r="S1103" s="837"/>
      <c r="T1103" s="838"/>
      <c r="U1103" s="836"/>
      <c r="V1103" s="836"/>
    </row>
    <row r="1104" customHeight="1" spans="1:22">
      <c r="A1104" s="835"/>
      <c r="B1104" s="836"/>
      <c r="C1104" s="836"/>
      <c r="D1104" s="836"/>
      <c r="E1104" s="836"/>
      <c r="F1104" s="836"/>
      <c r="G1104" s="836"/>
      <c r="H1104" s="836"/>
      <c r="I1104" s="835"/>
      <c r="J1104" s="836"/>
      <c r="K1104" s="835"/>
      <c r="L1104" s="836"/>
      <c r="M1104" s="837"/>
      <c r="N1104" s="836"/>
      <c r="O1104" s="837"/>
      <c r="P1104" s="836"/>
      <c r="Q1104" s="835"/>
      <c r="R1104" s="837"/>
      <c r="S1104" s="837"/>
      <c r="T1104" s="838"/>
      <c r="U1104" s="836"/>
      <c r="V1104" s="836"/>
    </row>
    <row r="1105" customHeight="1" spans="1:22">
      <c r="A1105" s="835"/>
      <c r="B1105" s="836"/>
      <c r="C1105" s="836"/>
      <c r="D1105" s="836"/>
      <c r="E1105" s="836"/>
      <c r="F1105" s="836"/>
      <c r="G1105" s="836"/>
      <c r="H1105" s="836"/>
      <c r="I1105" s="835"/>
      <c r="J1105" s="836"/>
      <c r="K1105" s="835"/>
      <c r="L1105" s="836"/>
      <c r="M1105" s="837"/>
      <c r="N1105" s="836"/>
      <c r="O1105" s="837"/>
      <c r="P1105" s="836"/>
      <c r="Q1105" s="835"/>
      <c r="R1105" s="837"/>
      <c r="S1105" s="837"/>
      <c r="T1105" s="838"/>
      <c r="U1105" s="836"/>
      <c r="V1105" s="836"/>
    </row>
    <row r="1106" customHeight="1" spans="1:22">
      <c r="A1106" s="835"/>
      <c r="B1106" s="836"/>
      <c r="C1106" s="836"/>
      <c r="D1106" s="836"/>
      <c r="E1106" s="836"/>
      <c r="F1106" s="836"/>
      <c r="G1106" s="836"/>
      <c r="H1106" s="836"/>
      <c r="I1106" s="835"/>
      <c r="J1106" s="836"/>
      <c r="K1106" s="835"/>
      <c r="L1106" s="836"/>
      <c r="M1106" s="837"/>
      <c r="N1106" s="836"/>
      <c r="O1106" s="837"/>
      <c r="P1106" s="836"/>
      <c r="Q1106" s="835"/>
      <c r="R1106" s="837"/>
      <c r="S1106" s="837"/>
      <c r="T1106" s="838"/>
      <c r="U1106" s="836"/>
      <c r="V1106" s="836"/>
    </row>
    <row r="1107" customHeight="1" spans="1:22">
      <c r="A1107" s="835"/>
      <c r="B1107" s="836"/>
      <c r="C1107" s="836"/>
      <c r="D1107" s="836"/>
      <c r="E1107" s="836"/>
      <c r="F1107" s="836"/>
      <c r="G1107" s="836"/>
      <c r="H1107" s="836"/>
      <c r="I1107" s="835"/>
      <c r="J1107" s="836"/>
      <c r="K1107" s="835"/>
      <c r="L1107" s="836"/>
      <c r="M1107" s="837"/>
      <c r="N1107" s="836"/>
      <c r="O1107" s="837"/>
      <c r="P1107" s="836"/>
      <c r="Q1107" s="835"/>
      <c r="R1107" s="837"/>
      <c r="S1107" s="837"/>
      <c r="T1107" s="838"/>
      <c r="U1107" s="836"/>
      <c r="V1107" s="836"/>
    </row>
    <row r="1108" customHeight="1" spans="1:22">
      <c r="A1108" s="835"/>
      <c r="B1108" s="836"/>
      <c r="C1108" s="836"/>
      <c r="D1108" s="836"/>
      <c r="E1108" s="836"/>
      <c r="F1108" s="836"/>
      <c r="G1108" s="836"/>
      <c r="H1108" s="836"/>
      <c r="I1108" s="835"/>
      <c r="J1108" s="836"/>
      <c r="K1108" s="835"/>
      <c r="L1108" s="836"/>
      <c r="M1108" s="837"/>
      <c r="N1108" s="836"/>
      <c r="O1108" s="837"/>
      <c r="P1108" s="836"/>
      <c r="Q1108" s="835"/>
      <c r="R1108" s="837"/>
      <c r="S1108" s="837"/>
      <c r="T1108" s="838"/>
      <c r="U1108" s="836"/>
      <c r="V1108" s="836"/>
    </row>
    <row r="1109" customHeight="1" spans="1:22">
      <c r="A1109" s="835"/>
      <c r="B1109" s="836"/>
      <c r="C1109" s="836"/>
      <c r="D1109" s="836"/>
      <c r="E1109" s="836"/>
      <c r="F1109" s="836"/>
      <c r="G1109" s="836"/>
      <c r="H1109" s="836"/>
      <c r="I1109" s="835"/>
      <c r="J1109" s="836"/>
      <c r="K1109" s="835"/>
      <c r="L1109" s="836"/>
      <c r="M1109" s="837"/>
      <c r="N1109" s="836"/>
      <c r="O1109" s="837"/>
      <c r="P1109" s="836"/>
      <c r="Q1109" s="835"/>
      <c r="R1109" s="837"/>
      <c r="S1109" s="837"/>
      <c r="T1109" s="838"/>
      <c r="U1109" s="836"/>
      <c r="V1109" s="836"/>
    </row>
    <row r="1110" customHeight="1" spans="1:22">
      <c r="A1110" s="835"/>
      <c r="B1110" s="836"/>
      <c r="C1110" s="836"/>
      <c r="D1110" s="836"/>
      <c r="E1110" s="836"/>
      <c r="F1110" s="836"/>
      <c r="G1110" s="836"/>
      <c r="H1110" s="836"/>
      <c r="I1110" s="835"/>
      <c r="J1110" s="836"/>
      <c r="K1110" s="835"/>
      <c r="L1110" s="836"/>
      <c r="M1110" s="837"/>
      <c r="N1110" s="836"/>
      <c r="O1110" s="837"/>
      <c r="P1110" s="836"/>
      <c r="Q1110" s="835"/>
      <c r="R1110" s="837"/>
      <c r="S1110" s="837"/>
      <c r="T1110" s="838"/>
      <c r="U1110" s="836"/>
      <c r="V1110" s="836"/>
    </row>
    <row r="1111" customHeight="1" spans="1:22">
      <c r="A1111" s="835"/>
      <c r="B1111" s="836"/>
      <c r="C1111" s="836"/>
      <c r="D1111" s="836"/>
      <c r="E1111" s="836"/>
      <c r="F1111" s="836"/>
      <c r="G1111" s="836"/>
      <c r="H1111" s="836"/>
      <c r="I1111" s="835"/>
      <c r="J1111" s="836"/>
      <c r="K1111" s="835"/>
      <c r="L1111" s="836"/>
      <c r="M1111" s="837"/>
      <c r="N1111" s="836"/>
      <c r="O1111" s="837"/>
      <c r="P1111" s="836"/>
      <c r="Q1111" s="835"/>
      <c r="R1111" s="837"/>
      <c r="S1111" s="837"/>
      <c r="T1111" s="838"/>
      <c r="U1111" s="836"/>
      <c r="V1111" s="836"/>
    </row>
    <row r="1112" customHeight="1" spans="1:22">
      <c r="A1112" s="835"/>
      <c r="B1112" s="836"/>
      <c r="C1112" s="836"/>
      <c r="D1112" s="836"/>
      <c r="E1112" s="836"/>
      <c r="F1112" s="836"/>
      <c r="G1112" s="836"/>
      <c r="H1112" s="836"/>
      <c r="I1112" s="835"/>
      <c r="J1112" s="836"/>
      <c r="K1112" s="835"/>
      <c r="L1112" s="836"/>
      <c r="M1112" s="837"/>
      <c r="N1112" s="836"/>
      <c r="O1112" s="837"/>
      <c r="P1112" s="836"/>
      <c r="Q1112" s="835"/>
      <c r="R1112" s="837"/>
      <c r="S1112" s="837"/>
      <c r="T1112" s="838"/>
      <c r="U1112" s="836"/>
      <c r="V1112" s="836"/>
    </row>
    <row r="1113" customHeight="1" spans="1:22">
      <c r="A1113" s="835"/>
      <c r="B1113" s="836"/>
      <c r="C1113" s="836"/>
      <c r="D1113" s="836"/>
      <c r="E1113" s="836"/>
      <c r="F1113" s="836"/>
      <c r="G1113" s="836"/>
      <c r="H1113" s="836"/>
      <c r="I1113" s="835"/>
      <c r="J1113" s="836"/>
      <c r="K1113" s="835"/>
      <c r="L1113" s="836"/>
      <c r="M1113" s="837"/>
      <c r="N1113" s="836"/>
      <c r="O1113" s="837"/>
      <c r="P1113" s="836"/>
      <c r="Q1113" s="835"/>
      <c r="R1113" s="837"/>
      <c r="S1113" s="837"/>
      <c r="T1113" s="838"/>
      <c r="U1113" s="836"/>
      <c r="V1113" s="836"/>
    </row>
    <row r="1114" customHeight="1" spans="1:22">
      <c r="A1114" s="835"/>
      <c r="B1114" s="836"/>
      <c r="C1114" s="836"/>
      <c r="D1114" s="836"/>
      <c r="E1114" s="836"/>
      <c r="F1114" s="836"/>
      <c r="G1114" s="836"/>
      <c r="H1114" s="836"/>
      <c r="I1114" s="835"/>
      <c r="J1114" s="836"/>
      <c r="K1114" s="835"/>
      <c r="L1114" s="836"/>
      <c r="M1114" s="837"/>
      <c r="N1114" s="836"/>
      <c r="O1114" s="837"/>
      <c r="P1114" s="836"/>
      <c r="Q1114" s="835"/>
      <c r="R1114" s="837"/>
      <c r="S1114" s="837"/>
      <c r="T1114" s="838"/>
      <c r="U1114" s="836"/>
      <c r="V1114" s="836"/>
    </row>
    <row r="1115" customHeight="1" spans="1:22">
      <c r="A1115" s="835"/>
      <c r="B1115" s="836"/>
      <c r="C1115" s="836"/>
      <c r="D1115" s="836"/>
      <c r="E1115" s="836"/>
      <c r="F1115" s="836"/>
      <c r="G1115" s="836"/>
      <c r="H1115" s="836"/>
      <c r="I1115" s="835"/>
      <c r="J1115" s="836"/>
      <c r="K1115" s="835"/>
      <c r="L1115" s="836"/>
      <c r="M1115" s="837"/>
      <c r="N1115" s="836"/>
      <c r="O1115" s="837"/>
      <c r="P1115" s="836"/>
      <c r="Q1115" s="835"/>
      <c r="R1115" s="837"/>
      <c r="S1115" s="837"/>
      <c r="T1115" s="838"/>
      <c r="U1115" s="836"/>
      <c r="V1115" s="836"/>
    </row>
    <row r="1116" customHeight="1" spans="1:22">
      <c r="A1116" s="835"/>
      <c r="B1116" s="836"/>
      <c r="C1116" s="836"/>
      <c r="D1116" s="836"/>
      <c r="E1116" s="836"/>
      <c r="F1116" s="836"/>
      <c r="G1116" s="836"/>
      <c r="H1116" s="836"/>
      <c r="I1116" s="835"/>
      <c r="J1116" s="836"/>
      <c r="K1116" s="835"/>
      <c r="L1116" s="836"/>
      <c r="M1116" s="837"/>
      <c r="N1116" s="836"/>
      <c r="O1116" s="837"/>
      <c r="P1116" s="836"/>
      <c r="Q1116" s="835"/>
      <c r="R1116" s="837"/>
      <c r="S1116" s="837"/>
      <c r="T1116" s="838"/>
      <c r="U1116" s="836"/>
      <c r="V1116" s="836"/>
    </row>
    <row r="1117" customHeight="1" spans="1:22">
      <c r="A1117" s="835"/>
      <c r="B1117" s="836"/>
      <c r="C1117" s="836"/>
      <c r="D1117" s="836"/>
      <c r="E1117" s="836"/>
      <c r="F1117" s="836"/>
      <c r="G1117" s="836"/>
      <c r="H1117" s="836"/>
      <c r="I1117" s="835"/>
      <c r="J1117" s="836"/>
      <c r="K1117" s="835"/>
      <c r="L1117" s="836"/>
      <c r="M1117" s="837"/>
      <c r="N1117" s="836"/>
      <c r="O1117" s="837"/>
      <c r="P1117" s="836"/>
      <c r="Q1117" s="835"/>
      <c r="R1117" s="837"/>
      <c r="S1117" s="837"/>
      <c r="T1117" s="838"/>
      <c r="U1117" s="836"/>
      <c r="V1117" s="836"/>
    </row>
    <row r="1118" customHeight="1" spans="1:22">
      <c r="A1118" s="835"/>
      <c r="B1118" s="836"/>
      <c r="C1118" s="836"/>
      <c r="D1118" s="836"/>
      <c r="E1118" s="836"/>
      <c r="F1118" s="836"/>
      <c r="G1118" s="836"/>
      <c r="H1118" s="836"/>
      <c r="I1118" s="835"/>
      <c r="J1118" s="836"/>
      <c r="K1118" s="835"/>
      <c r="L1118" s="836"/>
      <c r="M1118" s="837"/>
      <c r="N1118" s="836"/>
      <c r="O1118" s="837"/>
      <c r="P1118" s="836"/>
      <c r="Q1118" s="835"/>
      <c r="R1118" s="837"/>
      <c r="S1118" s="837"/>
      <c r="T1118" s="838"/>
      <c r="U1118" s="836"/>
      <c r="V1118" s="836"/>
    </row>
    <row r="1119" customHeight="1" spans="1:22">
      <c r="A1119" s="835"/>
      <c r="B1119" s="836"/>
      <c r="C1119" s="836"/>
      <c r="D1119" s="836"/>
      <c r="E1119" s="836"/>
      <c r="F1119" s="836"/>
      <c r="G1119" s="836"/>
      <c r="H1119" s="836"/>
      <c r="I1119" s="835"/>
      <c r="J1119" s="836"/>
      <c r="K1119" s="835"/>
      <c r="L1119" s="836"/>
      <c r="M1119" s="837"/>
      <c r="N1119" s="836"/>
      <c r="O1119" s="837"/>
      <c r="P1119" s="836"/>
      <c r="Q1119" s="835"/>
      <c r="R1119" s="837"/>
      <c r="S1119" s="837"/>
      <c r="T1119" s="838"/>
      <c r="U1119" s="836"/>
      <c r="V1119" s="836"/>
    </row>
    <row r="1120" customHeight="1" spans="1:22">
      <c r="A1120" s="835"/>
      <c r="B1120" s="836"/>
      <c r="C1120" s="836"/>
      <c r="D1120" s="836"/>
      <c r="E1120" s="836"/>
      <c r="F1120" s="836"/>
      <c r="G1120" s="836"/>
      <c r="H1120" s="836"/>
      <c r="I1120" s="835"/>
      <c r="J1120" s="836"/>
      <c r="K1120" s="835"/>
      <c r="L1120" s="836"/>
      <c r="M1120" s="837"/>
      <c r="N1120" s="836"/>
      <c r="O1120" s="837"/>
      <c r="P1120" s="836"/>
      <c r="Q1120" s="835"/>
      <c r="R1120" s="837"/>
      <c r="S1120" s="837"/>
      <c r="T1120" s="838"/>
      <c r="U1120" s="836"/>
      <c r="V1120" s="836"/>
    </row>
    <row r="1121" customHeight="1" spans="1:22">
      <c r="A1121" s="835"/>
      <c r="B1121" s="836"/>
      <c r="C1121" s="836"/>
      <c r="D1121" s="836"/>
      <c r="E1121" s="836"/>
      <c r="F1121" s="836"/>
      <c r="G1121" s="836"/>
      <c r="H1121" s="836"/>
      <c r="I1121" s="835"/>
      <c r="J1121" s="836"/>
      <c r="K1121" s="835"/>
      <c r="L1121" s="836"/>
      <c r="M1121" s="837"/>
      <c r="N1121" s="836"/>
      <c r="O1121" s="837"/>
      <c r="P1121" s="836"/>
      <c r="Q1121" s="835"/>
      <c r="R1121" s="837"/>
      <c r="S1121" s="837"/>
      <c r="T1121" s="838"/>
      <c r="U1121" s="836"/>
      <c r="V1121" s="836"/>
    </row>
    <row r="1122" customHeight="1" spans="1:22">
      <c r="A1122" s="835"/>
      <c r="B1122" s="836"/>
      <c r="C1122" s="836"/>
      <c r="D1122" s="836"/>
      <c r="E1122" s="836"/>
      <c r="F1122" s="836"/>
      <c r="G1122" s="836"/>
      <c r="H1122" s="836"/>
      <c r="I1122" s="835"/>
      <c r="J1122" s="836"/>
      <c r="K1122" s="835"/>
      <c r="L1122" s="836"/>
      <c r="M1122" s="837"/>
      <c r="N1122" s="836"/>
      <c r="O1122" s="837"/>
      <c r="P1122" s="836"/>
      <c r="Q1122" s="835"/>
      <c r="R1122" s="837"/>
      <c r="S1122" s="837"/>
      <c r="T1122" s="838"/>
      <c r="U1122" s="836"/>
      <c r="V1122" s="836"/>
    </row>
    <row r="1123" customHeight="1" spans="1:22">
      <c r="A1123" s="835"/>
      <c r="B1123" s="836"/>
      <c r="C1123" s="836"/>
      <c r="D1123" s="836"/>
      <c r="E1123" s="836"/>
      <c r="F1123" s="836"/>
      <c r="G1123" s="836"/>
      <c r="H1123" s="836"/>
      <c r="I1123" s="835"/>
      <c r="J1123" s="836"/>
      <c r="K1123" s="835"/>
      <c r="L1123" s="836"/>
      <c r="M1123" s="837"/>
      <c r="N1123" s="836"/>
      <c r="O1123" s="837"/>
      <c r="P1123" s="836"/>
      <c r="Q1123" s="835"/>
      <c r="R1123" s="837"/>
      <c r="S1123" s="837"/>
      <c r="T1123" s="838"/>
      <c r="U1123" s="836"/>
      <c r="V1123" s="836"/>
    </row>
    <row r="1124" customHeight="1" spans="1:22">
      <c r="A1124" s="835"/>
      <c r="B1124" s="836"/>
      <c r="C1124" s="836"/>
      <c r="D1124" s="836"/>
      <c r="E1124" s="836"/>
      <c r="F1124" s="836"/>
      <c r="G1124" s="836"/>
      <c r="H1124" s="836"/>
      <c r="I1124" s="835"/>
      <c r="J1124" s="836"/>
      <c r="K1124" s="835"/>
      <c r="L1124" s="836"/>
      <c r="M1124" s="837"/>
      <c r="N1124" s="836"/>
      <c r="O1124" s="837"/>
      <c r="P1124" s="836"/>
      <c r="Q1124" s="835"/>
      <c r="R1124" s="837"/>
      <c r="S1124" s="837"/>
      <c r="T1124" s="838"/>
      <c r="U1124" s="836"/>
      <c r="V1124" s="836"/>
    </row>
    <row r="1125" customHeight="1" spans="1:22">
      <c r="A1125" s="835"/>
      <c r="B1125" s="836"/>
      <c r="C1125" s="836"/>
      <c r="D1125" s="836"/>
      <c r="E1125" s="836"/>
      <c r="F1125" s="836"/>
      <c r="G1125" s="836"/>
      <c r="H1125" s="836"/>
      <c r="I1125" s="835"/>
      <c r="J1125" s="836"/>
      <c r="K1125" s="835"/>
      <c r="L1125" s="836"/>
      <c r="M1125" s="837"/>
      <c r="N1125" s="836"/>
      <c r="O1125" s="837"/>
      <c r="P1125" s="836"/>
      <c r="Q1125" s="835"/>
      <c r="R1125" s="837"/>
      <c r="S1125" s="837"/>
      <c r="T1125" s="838"/>
      <c r="U1125" s="836"/>
      <c r="V1125" s="836"/>
    </row>
    <row r="1126" customHeight="1" spans="1:22">
      <c r="A1126" s="835"/>
      <c r="B1126" s="836"/>
      <c r="C1126" s="836"/>
      <c r="D1126" s="836"/>
      <c r="E1126" s="836"/>
      <c r="F1126" s="836"/>
      <c r="G1126" s="836"/>
      <c r="H1126" s="836"/>
      <c r="I1126" s="835"/>
      <c r="J1126" s="836"/>
      <c r="K1126" s="835"/>
      <c r="L1126" s="836"/>
      <c r="M1126" s="837"/>
      <c r="N1126" s="836"/>
      <c r="O1126" s="837"/>
      <c r="P1126" s="836"/>
      <c r="Q1126" s="835"/>
      <c r="R1126" s="837"/>
      <c r="S1126" s="837"/>
      <c r="T1126" s="838"/>
      <c r="U1126" s="836"/>
      <c r="V1126" s="836"/>
    </row>
    <row r="1127" customHeight="1" spans="1:22">
      <c r="A1127" s="835"/>
      <c r="B1127" s="836"/>
      <c r="C1127" s="836"/>
      <c r="D1127" s="836"/>
      <c r="E1127" s="836"/>
      <c r="F1127" s="836"/>
      <c r="G1127" s="836"/>
      <c r="H1127" s="836"/>
      <c r="I1127" s="835"/>
      <c r="J1127" s="836"/>
      <c r="K1127" s="835"/>
      <c r="L1127" s="836"/>
      <c r="M1127" s="837"/>
      <c r="N1127" s="836"/>
      <c r="O1127" s="837"/>
      <c r="P1127" s="836"/>
      <c r="Q1127" s="835"/>
      <c r="R1127" s="837"/>
      <c r="S1127" s="837"/>
      <c r="T1127" s="838"/>
      <c r="U1127" s="836"/>
      <c r="V1127" s="836"/>
    </row>
    <row r="1128" customHeight="1" spans="1:22">
      <c r="A1128" s="835"/>
      <c r="B1128" s="836"/>
      <c r="C1128" s="836"/>
      <c r="D1128" s="836"/>
      <c r="E1128" s="836"/>
      <c r="F1128" s="836"/>
      <c r="G1128" s="836"/>
      <c r="H1128" s="836"/>
      <c r="I1128" s="835"/>
      <c r="J1128" s="836"/>
      <c r="K1128" s="835"/>
      <c r="L1128" s="836"/>
      <c r="M1128" s="837"/>
      <c r="N1128" s="836"/>
      <c r="O1128" s="837"/>
      <c r="P1128" s="836"/>
      <c r="Q1128" s="835"/>
      <c r="R1128" s="837"/>
      <c r="S1128" s="837"/>
      <c r="T1128" s="838"/>
      <c r="U1128" s="836"/>
      <c r="V1128" s="836"/>
    </row>
    <row r="1129" customHeight="1" spans="1:22">
      <c r="A1129" s="835"/>
      <c r="B1129" s="836"/>
      <c r="C1129" s="836"/>
      <c r="D1129" s="836"/>
      <c r="E1129" s="836"/>
      <c r="F1129" s="836"/>
      <c r="G1129" s="836"/>
      <c r="H1129" s="836"/>
      <c r="I1129" s="835"/>
      <c r="J1129" s="836"/>
      <c r="K1129" s="835"/>
      <c r="L1129" s="836"/>
      <c r="M1129" s="837"/>
      <c r="N1129" s="836"/>
      <c r="O1129" s="837"/>
      <c r="P1129" s="836"/>
      <c r="Q1129" s="835"/>
      <c r="R1129" s="837"/>
      <c r="S1129" s="837"/>
      <c r="T1129" s="838"/>
      <c r="U1129" s="836"/>
      <c r="V1129" s="836"/>
    </row>
    <row r="1130" customHeight="1" spans="1:22">
      <c r="A1130" s="835"/>
      <c r="B1130" s="836"/>
      <c r="C1130" s="836"/>
      <c r="D1130" s="836"/>
      <c r="E1130" s="836"/>
      <c r="F1130" s="836"/>
      <c r="G1130" s="836"/>
      <c r="H1130" s="836"/>
      <c r="I1130" s="835"/>
      <c r="J1130" s="836"/>
      <c r="K1130" s="835"/>
      <c r="L1130" s="836"/>
      <c r="M1130" s="837"/>
      <c r="N1130" s="836"/>
      <c r="O1130" s="837"/>
      <c r="P1130" s="836"/>
      <c r="Q1130" s="835"/>
      <c r="R1130" s="837"/>
      <c r="S1130" s="837"/>
      <c r="T1130" s="838"/>
      <c r="U1130" s="836"/>
      <c r="V1130" s="836"/>
    </row>
    <row r="1131" customHeight="1" spans="1:22">
      <c r="A1131" s="835"/>
      <c r="B1131" s="836"/>
      <c r="C1131" s="836"/>
      <c r="D1131" s="836"/>
      <c r="E1131" s="836"/>
      <c r="F1131" s="836"/>
      <c r="G1131" s="836"/>
      <c r="H1131" s="836"/>
      <c r="I1131" s="835"/>
      <c r="J1131" s="836"/>
      <c r="K1131" s="835"/>
      <c r="L1131" s="836"/>
      <c r="M1131" s="837"/>
      <c r="N1131" s="836"/>
      <c r="O1131" s="837"/>
      <c r="P1131" s="836"/>
      <c r="Q1131" s="835"/>
      <c r="R1131" s="837"/>
      <c r="S1131" s="837"/>
      <c r="T1131" s="838"/>
      <c r="U1131" s="836"/>
      <c r="V1131" s="836"/>
    </row>
    <row r="1132" customHeight="1" spans="1:22">
      <c r="A1132" s="835"/>
      <c r="B1132" s="836"/>
      <c r="C1132" s="836"/>
      <c r="D1132" s="836"/>
      <c r="E1132" s="836"/>
      <c r="F1132" s="836"/>
      <c r="G1132" s="836"/>
      <c r="H1132" s="836"/>
      <c r="I1132" s="835"/>
      <c r="J1132" s="836"/>
      <c r="K1132" s="835"/>
      <c r="L1132" s="836"/>
      <c r="M1132" s="837"/>
      <c r="N1132" s="836"/>
      <c r="O1132" s="837"/>
      <c r="P1132" s="836"/>
      <c r="Q1132" s="835"/>
      <c r="R1132" s="837"/>
      <c r="S1132" s="837"/>
      <c r="T1132" s="838"/>
      <c r="U1132" s="836"/>
      <c r="V1132" s="836"/>
    </row>
    <row r="1133" customHeight="1" spans="1:22">
      <c r="A1133" s="835"/>
      <c r="B1133" s="836"/>
      <c r="C1133" s="836"/>
      <c r="D1133" s="836"/>
      <c r="E1133" s="836"/>
      <c r="F1133" s="836"/>
      <c r="G1133" s="836"/>
      <c r="H1133" s="836"/>
      <c r="I1133" s="835"/>
      <c r="J1133" s="836"/>
      <c r="K1133" s="835"/>
      <c r="L1133" s="836"/>
      <c r="M1133" s="837"/>
      <c r="N1133" s="836"/>
      <c r="O1133" s="837"/>
      <c r="P1133" s="836"/>
      <c r="Q1133" s="835"/>
      <c r="R1133" s="837"/>
      <c r="S1133" s="837"/>
      <c r="T1133" s="838"/>
      <c r="U1133" s="836"/>
      <c r="V1133" s="836"/>
    </row>
    <row r="1134" customHeight="1" spans="1:22">
      <c r="A1134" s="835"/>
      <c r="B1134" s="836"/>
      <c r="C1134" s="836"/>
      <c r="D1134" s="836"/>
      <c r="E1134" s="836"/>
      <c r="F1134" s="836"/>
      <c r="G1134" s="836"/>
      <c r="H1134" s="836"/>
      <c r="I1134" s="835"/>
      <c r="J1134" s="836"/>
      <c r="K1134" s="835"/>
      <c r="L1134" s="836"/>
      <c r="M1134" s="837"/>
      <c r="N1134" s="836"/>
      <c r="O1134" s="837"/>
      <c r="P1134" s="836"/>
      <c r="Q1134" s="835"/>
      <c r="R1134" s="837"/>
      <c r="S1134" s="837"/>
      <c r="T1134" s="838"/>
      <c r="U1134" s="836"/>
      <c r="V1134" s="836"/>
    </row>
    <row r="1135" customHeight="1" spans="1:22">
      <c r="A1135" s="835"/>
      <c r="B1135" s="836"/>
      <c r="C1135" s="836"/>
      <c r="D1135" s="836"/>
      <c r="E1135" s="836"/>
      <c r="F1135" s="836"/>
      <c r="G1135" s="836"/>
      <c r="H1135" s="836"/>
      <c r="I1135" s="835"/>
      <c r="J1135" s="836"/>
      <c r="K1135" s="835"/>
      <c r="L1135" s="836"/>
      <c r="M1135" s="837"/>
      <c r="N1135" s="836"/>
      <c r="O1135" s="837"/>
      <c r="P1135" s="836"/>
      <c r="Q1135" s="835"/>
      <c r="R1135" s="837"/>
      <c r="S1135" s="837"/>
      <c r="T1135" s="838"/>
      <c r="U1135" s="836"/>
      <c r="V1135" s="836"/>
    </row>
    <row r="1136" customHeight="1" spans="1:22">
      <c r="A1136" s="835"/>
      <c r="B1136" s="836"/>
      <c r="C1136" s="836"/>
      <c r="D1136" s="836"/>
      <c r="E1136" s="836"/>
      <c r="F1136" s="836"/>
      <c r="G1136" s="836"/>
      <c r="H1136" s="836"/>
      <c r="I1136" s="835"/>
      <c r="J1136" s="836"/>
      <c r="K1136" s="835"/>
      <c r="L1136" s="836"/>
      <c r="M1136" s="837"/>
      <c r="N1136" s="836"/>
      <c r="O1136" s="837"/>
      <c r="P1136" s="836"/>
      <c r="Q1136" s="835"/>
      <c r="R1136" s="837"/>
      <c r="S1136" s="837"/>
      <c r="T1136" s="838"/>
      <c r="U1136" s="836"/>
      <c r="V1136" s="836"/>
    </row>
    <row r="1137" customHeight="1" spans="1:22">
      <c r="A1137" s="835"/>
      <c r="B1137" s="836"/>
      <c r="C1137" s="836"/>
      <c r="D1137" s="836"/>
      <c r="E1137" s="836"/>
      <c r="F1137" s="836"/>
      <c r="G1137" s="836"/>
      <c r="H1137" s="836"/>
      <c r="I1137" s="835"/>
      <c r="J1137" s="836"/>
      <c r="K1137" s="835"/>
      <c r="L1137" s="836"/>
      <c r="M1137" s="837"/>
      <c r="N1137" s="836"/>
      <c r="O1137" s="837"/>
      <c r="P1137" s="836"/>
      <c r="Q1137" s="835"/>
      <c r="R1137" s="837"/>
      <c r="S1137" s="837"/>
      <c r="T1137" s="838"/>
      <c r="U1137" s="836"/>
      <c r="V1137" s="836"/>
    </row>
    <row r="1138" customHeight="1" spans="1:22">
      <c r="A1138" s="835"/>
      <c r="B1138" s="836"/>
      <c r="C1138" s="836"/>
      <c r="D1138" s="836"/>
      <c r="E1138" s="836"/>
      <c r="F1138" s="836"/>
      <c r="G1138" s="836"/>
      <c r="H1138" s="836"/>
      <c r="I1138" s="835"/>
      <c r="J1138" s="836"/>
      <c r="K1138" s="835"/>
      <c r="L1138" s="836"/>
      <c r="M1138" s="837"/>
      <c r="N1138" s="836"/>
      <c r="O1138" s="837"/>
      <c r="P1138" s="836"/>
      <c r="Q1138" s="835"/>
      <c r="R1138" s="837"/>
      <c r="S1138" s="837"/>
      <c r="T1138" s="838"/>
      <c r="U1138" s="836"/>
      <c r="V1138" s="836"/>
    </row>
    <row r="1139" customHeight="1" spans="1:22">
      <c r="A1139" s="835"/>
      <c r="B1139" s="836"/>
      <c r="C1139" s="836"/>
      <c r="D1139" s="836"/>
      <c r="E1139" s="836"/>
      <c r="F1139" s="836"/>
      <c r="G1139" s="836"/>
      <c r="H1139" s="836"/>
      <c r="I1139" s="835"/>
      <c r="J1139" s="836"/>
      <c r="K1139" s="835"/>
      <c r="L1139" s="836"/>
      <c r="M1139" s="837"/>
      <c r="N1139" s="836"/>
      <c r="O1139" s="837"/>
      <c r="P1139" s="836"/>
      <c r="Q1139" s="835"/>
      <c r="R1139" s="837"/>
      <c r="S1139" s="837"/>
      <c r="T1139" s="838"/>
      <c r="U1139" s="836"/>
      <c r="V1139" s="836"/>
    </row>
    <row r="1140" customHeight="1" spans="1:22">
      <c r="A1140" s="835"/>
      <c r="B1140" s="836"/>
      <c r="C1140" s="836"/>
      <c r="D1140" s="836"/>
      <c r="E1140" s="836"/>
      <c r="F1140" s="836"/>
      <c r="G1140" s="836"/>
      <c r="H1140" s="836"/>
      <c r="I1140" s="835"/>
      <c r="J1140" s="836"/>
      <c r="K1140" s="835"/>
      <c r="L1140" s="836"/>
      <c r="M1140" s="837"/>
      <c r="N1140" s="836"/>
      <c r="O1140" s="837"/>
      <c r="P1140" s="836"/>
      <c r="Q1140" s="835"/>
      <c r="R1140" s="837"/>
      <c r="S1140" s="837"/>
      <c r="T1140" s="838"/>
      <c r="U1140" s="836"/>
      <c r="V1140" s="836"/>
    </row>
    <row r="1141" customHeight="1" spans="1:22">
      <c r="A1141" s="835"/>
      <c r="B1141" s="836"/>
      <c r="C1141" s="836"/>
      <c r="D1141" s="836"/>
      <c r="E1141" s="836"/>
      <c r="F1141" s="836"/>
      <c r="G1141" s="836"/>
      <c r="H1141" s="836"/>
      <c r="I1141" s="835"/>
      <c r="J1141" s="836"/>
      <c r="K1141" s="835"/>
      <c r="L1141" s="836"/>
      <c r="M1141" s="837"/>
      <c r="N1141" s="836"/>
      <c r="O1141" s="837"/>
      <c r="P1141" s="836"/>
      <c r="Q1141" s="835"/>
      <c r="R1141" s="837"/>
      <c r="S1141" s="837"/>
      <c r="T1141" s="838"/>
      <c r="U1141" s="836"/>
      <c r="V1141" s="836"/>
    </row>
    <row r="1142" customHeight="1" spans="1:22">
      <c r="A1142" s="835"/>
      <c r="B1142" s="836"/>
      <c r="C1142" s="836"/>
      <c r="D1142" s="836"/>
      <c r="E1142" s="836"/>
      <c r="F1142" s="836"/>
      <c r="G1142" s="836"/>
      <c r="H1142" s="836"/>
      <c r="I1142" s="835"/>
      <c r="J1142" s="836"/>
      <c r="K1142" s="835"/>
      <c r="L1142" s="836"/>
      <c r="M1142" s="837"/>
      <c r="N1142" s="836"/>
      <c r="O1142" s="837"/>
      <c r="P1142" s="836"/>
      <c r="Q1142" s="835"/>
      <c r="R1142" s="837"/>
      <c r="S1142" s="837"/>
      <c r="T1142" s="838"/>
      <c r="U1142" s="836"/>
      <c r="V1142" s="836"/>
    </row>
    <row r="1143" customHeight="1" spans="1:22">
      <c r="A1143" s="835"/>
      <c r="B1143" s="836"/>
      <c r="C1143" s="836"/>
      <c r="D1143" s="836"/>
      <c r="E1143" s="836"/>
      <c r="F1143" s="836"/>
      <c r="G1143" s="836"/>
      <c r="H1143" s="836"/>
      <c r="I1143" s="835"/>
      <c r="J1143" s="836"/>
      <c r="K1143" s="835"/>
      <c r="L1143" s="836"/>
      <c r="M1143" s="837"/>
      <c r="N1143" s="836"/>
      <c r="O1143" s="837"/>
      <c r="P1143" s="836"/>
      <c r="Q1143" s="835"/>
      <c r="R1143" s="837"/>
      <c r="S1143" s="837"/>
      <c r="T1143" s="838"/>
      <c r="U1143" s="836"/>
      <c r="V1143" s="836"/>
    </row>
    <row r="1144" customHeight="1" spans="1:22">
      <c r="A1144" s="835"/>
      <c r="B1144" s="836"/>
      <c r="C1144" s="836"/>
      <c r="D1144" s="836"/>
      <c r="E1144" s="836"/>
      <c r="F1144" s="836"/>
      <c r="G1144" s="836"/>
      <c r="H1144" s="836"/>
      <c r="I1144" s="835"/>
      <c r="J1144" s="836"/>
      <c r="K1144" s="835"/>
      <c r="L1144" s="836"/>
      <c r="M1144" s="837"/>
      <c r="N1144" s="836"/>
      <c r="O1144" s="837"/>
      <c r="P1144" s="836"/>
      <c r="Q1144" s="835"/>
      <c r="R1144" s="837"/>
      <c r="S1144" s="837"/>
      <c r="T1144" s="838"/>
      <c r="U1144" s="836"/>
      <c r="V1144" s="836"/>
    </row>
    <row r="1145" customHeight="1" spans="1:22">
      <c r="A1145" s="835"/>
      <c r="B1145" s="836"/>
      <c r="C1145" s="836"/>
      <c r="D1145" s="836"/>
      <c r="E1145" s="836"/>
      <c r="F1145" s="836"/>
      <c r="G1145" s="836"/>
      <c r="H1145" s="836"/>
      <c r="I1145" s="835"/>
      <c r="J1145" s="836"/>
      <c r="K1145" s="835"/>
      <c r="L1145" s="836"/>
      <c r="M1145" s="837"/>
      <c r="N1145" s="836"/>
      <c r="O1145" s="837"/>
      <c r="P1145" s="836"/>
      <c r="Q1145" s="835"/>
      <c r="R1145" s="837"/>
      <c r="S1145" s="837"/>
      <c r="T1145" s="838"/>
      <c r="U1145" s="836"/>
      <c r="V1145" s="836"/>
    </row>
    <row r="1146" customHeight="1" spans="1:22">
      <c r="A1146" s="835"/>
      <c r="B1146" s="836"/>
      <c r="C1146" s="836"/>
      <c r="D1146" s="836"/>
      <c r="E1146" s="836"/>
      <c r="F1146" s="836"/>
      <c r="G1146" s="836"/>
      <c r="H1146" s="836"/>
      <c r="I1146" s="835"/>
      <c r="J1146" s="836"/>
      <c r="K1146" s="835"/>
      <c r="L1146" s="836"/>
      <c r="M1146" s="837"/>
      <c r="N1146" s="836"/>
      <c r="O1146" s="837"/>
      <c r="P1146" s="836"/>
      <c r="Q1146" s="835"/>
      <c r="R1146" s="837"/>
      <c r="S1146" s="837"/>
      <c r="T1146" s="838"/>
      <c r="U1146" s="836"/>
      <c r="V1146" s="836"/>
    </row>
    <row r="1147" customHeight="1" spans="1:22">
      <c r="A1147" s="835"/>
      <c r="B1147" s="836"/>
      <c r="C1147" s="836"/>
      <c r="D1147" s="836"/>
      <c r="E1147" s="836"/>
      <c r="F1147" s="836"/>
      <c r="G1147" s="836"/>
      <c r="H1147" s="836"/>
      <c r="I1147" s="835"/>
      <c r="J1147" s="836"/>
      <c r="K1147" s="835"/>
      <c r="L1147" s="836"/>
      <c r="M1147" s="837"/>
      <c r="N1147" s="836"/>
      <c r="O1147" s="837"/>
      <c r="P1147" s="836"/>
      <c r="Q1147" s="835"/>
      <c r="R1147" s="837"/>
      <c r="S1147" s="837"/>
      <c r="T1147" s="838"/>
      <c r="U1147" s="836"/>
      <c r="V1147" s="836"/>
    </row>
    <row r="1148" customHeight="1" spans="1:22">
      <c r="A1148" s="835"/>
      <c r="B1148" s="836"/>
      <c r="C1148" s="836"/>
      <c r="D1148" s="836"/>
      <c r="E1148" s="836"/>
      <c r="F1148" s="836"/>
      <c r="G1148" s="836"/>
      <c r="H1148" s="836"/>
      <c r="I1148" s="835"/>
      <c r="J1148" s="836"/>
      <c r="K1148" s="835"/>
      <c r="L1148" s="836"/>
      <c r="M1148" s="837"/>
      <c r="N1148" s="836"/>
      <c r="O1148" s="837"/>
      <c r="P1148" s="836"/>
      <c r="Q1148" s="835"/>
      <c r="R1148" s="837"/>
      <c r="S1148" s="837"/>
      <c r="T1148" s="838"/>
      <c r="U1148" s="836"/>
      <c r="V1148" s="836"/>
    </row>
    <row r="1149" customHeight="1" spans="1:22">
      <c r="A1149" s="835"/>
      <c r="B1149" s="836"/>
      <c r="C1149" s="836"/>
      <c r="D1149" s="836"/>
      <c r="E1149" s="836"/>
      <c r="F1149" s="836"/>
      <c r="G1149" s="836"/>
      <c r="H1149" s="836"/>
      <c r="I1149" s="835"/>
      <c r="J1149" s="836"/>
      <c r="K1149" s="835"/>
      <c r="L1149" s="836"/>
      <c r="M1149" s="837"/>
      <c r="N1149" s="836"/>
      <c r="O1149" s="837"/>
      <c r="P1149" s="836"/>
      <c r="Q1149" s="835"/>
      <c r="R1149" s="837"/>
      <c r="S1149" s="837"/>
      <c r="T1149" s="838"/>
      <c r="U1149" s="836"/>
      <c r="V1149" s="836"/>
    </row>
    <row r="1150" customHeight="1" spans="1:22">
      <c r="A1150" s="835"/>
      <c r="B1150" s="836"/>
      <c r="C1150" s="836"/>
      <c r="D1150" s="836"/>
      <c r="E1150" s="836"/>
      <c r="F1150" s="836"/>
      <c r="G1150" s="836"/>
      <c r="H1150" s="836"/>
      <c r="I1150" s="835"/>
      <c r="J1150" s="836"/>
      <c r="K1150" s="835"/>
      <c r="L1150" s="836"/>
      <c r="M1150" s="837"/>
      <c r="N1150" s="836"/>
      <c r="O1150" s="837"/>
      <c r="P1150" s="836"/>
      <c r="Q1150" s="835"/>
      <c r="R1150" s="837"/>
      <c r="S1150" s="837"/>
      <c r="T1150" s="838"/>
      <c r="U1150" s="836"/>
      <c r="V1150" s="836"/>
    </row>
    <row r="1151" customHeight="1" spans="1:22">
      <c r="A1151" s="835"/>
      <c r="B1151" s="836"/>
      <c r="C1151" s="836"/>
      <c r="D1151" s="836"/>
      <c r="E1151" s="836"/>
      <c r="F1151" s="836"/>
      <c r="G1151" s="836"/>
      <c r="H1151" s="836"/>
      <c r="I1151" s="835"/>
      <c r="J1151" s="836"/>
      <c r="K1151" s="835"/>
      <c r="L1151" s="836"/>
      <c r="M1151" s="837"/>
      <c r="N1151" s="836"/>
      <c r="O1151" s="837"/>
      <c r="P1151" s="836"/>
      <c r="Q1151" s="835"/>
      <c r="R1151" s="837"/>
      <c r="S1151" s="837"/>
      <c r="T1151" s="838"/>
      <c r="U1151" s="836"/>
      <c r="V1151" s="836"/>
    </row>
    <row r="1152" customHeight="1" spans="1:22">
      <c r="A1152" s="835"/>
      <c r="B1152" s="836"/>
      <c r="C1152" s="836"/>
      <c r="D1152" s="836"/>
      <c r="E1152" s="836"/>
      <c r="F1152" s="836"/>
      <c r="G1152" s="836"/>
      <c r="H1152" s="836"/>
      <c r="I1152" s="835"/>
      <c r="J1152" s="836"/>
      <c r="K1152" s="835"/>
      <c r="L1152" s="836"/>
      <c r="M1152" s="837"/>
      <c r="N1152" s="836"/>
      <c r="O1152" s="837"/>
      <c r="P1152" s="836"/>
      <c r="Q1152" s="835"/>
      <c r="R1152" s="837"/>
      <c r="S1152" s="837"/>
      <c r="T1152" s="838"/>
      <c r="U1152" s="836"/>
      <c r="V1152" s="836"/>
    </row>
    <row r="1153" customHeight="1" spans="1:22">
      <c r="A1153" s="835"/>
      <c r="B1153" s="836"/>
      <c r="C1153" s="836"/>
      <c r="D1153" s="836"/>
      <c r="E1153" s="836"/>
      <c r="F1153" s="836"/>
      <c r="G1153" s="836"/>
      <c r="H1153" s="836"/>
      <c r="I1153" s="835"/>
      <c r="J1153" s="836"/>
      <c r="K1153" s="835"/>
      <c r="L1153" s="836"/>
      <c r="M1153" s="837"/>
      <c r="N1153" s="836"/>
      <c r="O1153" s="837"/>
      <c r="P1153" s="836"/>
      <c r="Q1153" s="835"/>
      <c r="R1153" s="837"/>
      <c r="S1153" s="837"/>
      <c r="T1153" s="838"/>
      <c r="U1153" s="836"/>
      <c r="V1153" s="836"/>
    </row>
    <row r="1154" customHeight="1" spans="1:22">
      <c r="A1154" s="835"/>
      <c r="B1154" s="836"/>
      <c r="C1154" s="836"/>
      <c r="D1154" s="836"/>
      <c r="E1154" s="836"/>
      <c r="F1154" s="836"/>
      <c r="G1154" s="836"/>
      <c r="H1154" s="836"/>
      <c r="I1154" s="835"/>
      <c r="J1154" s="836"/>
      <c r="K1154" s="835"/>
      <c r="L1154" s="836"/>
      <c r="M1154" s="837"/>
      <c r="N1154" s="836"/>
      <c r="O1154" s="837"/>
      <c r="P1154" s="836"/>
      <c r="Q1154" s="835"/>
      <c r="R1154" s="837"/>
      <c r="S1154" s="837"/>
      <c r="T1154" s="838"/>
      <c r="U1154" s="836"/>
      <c r="V1154" s="836"/>
    </row>
    <row r="1155" customHeight="1" spans="1:22">
      <c r="A1155" s="835"/>
      <c r="B1155" s="836"/>
      <c r="C1155" s="836"/>
      <c r="D1155" s="836"/>
      <c r="E1155" s="836"/>
      <c r="F1155" s="836"/>
      <c r="G1155" s="836"/>
      <c r="H1155" s="836"/>
      <c r="I1155" s="835"/>
      <c r="J1155" s="836"/>
      <c r="K1155" s="835"/>
      <c r="L1155" s="836"/>
      <c r="M1155" s="837"/>
      <c r="N1155" s="836"/>
      <c r="O1155" s="837"/>
      <c r="P1155" s="836"/>
      <c r="Q1155" s="835"/>
      <c r="R1155" s="837"/>
      <c r="S1155" s="837"/>
      <c r="T1155" s="838"/>
      <c r="U1155" s="836"/>
      <c r="V1155" s="836"/>
    </row>
    <row r="1156" customHeight="1" spans="1:22">
      <c r="A1156" s="835"/>
      <c r="B1156" s="836"/>
      <c r="C1156" s="836"/>
      <c r="D1156" s="836"/>
      <c r="E1156" s="836"/>
      <c r="F1156" s="836"/>
      <c r="G1156" s="836"/>
      <c r="H1156" s="836"/>
      <c r="I1156" s="835"/>
      <c r="J1156" s="836"/>
      <c r="K1156" s="835"/>
      <c r="L1156" s="836"/>
      <c r="M1156" s="837"/>
      <c r="N1156" s="836"/>
      <c r="O1156" s="837"/>
      <c r="P1156" s="836"/>
      <c r="Q1156" s="835"/>
      <c r="R1156" s="837"/>
      <c r="S1156" s="837"/>
      <c r="T1156" s="838"/>
      <c r="U1156" s="836"/>
      <c r="V1156" s="836"/>
    </row>
    <row r="1157" customHeight="1" spans="1:22">
      <c r="A1157" s="835"/>
      <c r="B1157" s="836"/>
      <c r="C1157" s="836"/>
      <c r="D1157" s="836"/>
      <c r="E1157" s="836"/>
      <c r="F1157" s="836"/>
      <c r="G1157" s="836"/>
      <c r="H1157" s="836"/>
      <c r="I1157" s="835"/>
      <c r="J1157" s="836"/>
      <c r="K1157" s="835"/>
      <c r="L1157" s="836"/>
      <c r="M1157" s="837"/>
      <c r="N1157" s="836"/>
      <c r="O1157" s="837"/>
      <c r="P1157" s="836"/>
      <c r="Q1157" s="835"/>
      <c r="R1157" s="837"/>
      <c r="S1157" s="837"/>
      <c r="T1157" s="838"/>
      <c r="U1157" s="836"/>
      <c r="V1157" s="836"/>
    </row>
    <row r="1158" customHeight="1" spans="1:22">
      <c r="A1158" s="835"/>
      <c r="B1158" s="836"/>
      <c r="C1158" s="836"/>
      <c r="D1158" s="836"/>
      <c r="E1158" s="836"/>
      <c r="F1158" s="836"/>
      <c r="G1158" s="836"/>
      <c r="H1158" s="836"/>
      <c r="I1158" s="835"/>
      <c r="J1158" s="836"/>
      <c r="K1158" s="835"/>
      <c r="L1158" s="836"/>
      <c r="M1158" s="837"/>
      <c r="N1158" s="836"/>
      <c r="O1158" s="837"/>
      <c r="P1158" s="836"/>
      <c r="Q1158" s="835"/>
      <c r="R1158" s="837"/>
      <c r="S1158" s="837"/>
      <c r="T1158" s="838"/>
      <c r="U1158" s="836"/>
      <c r="V1158" s="836"/>
    </row>
    <row r="1159" customHeight="1" spans="1:22">
      <c r="A1159" s="835"/>
      <c r="B1159" s="836"/>
      <c r="C1159" s="836"/>
      <c r="D1159" s="836"/>
      <c r="E1159" s="836"/>
      <c r="F1159" s="836"/>
      <c r="G1159" s="836"/>
      <c r="H1159" s="836"/>
      <c r="I1159" s="835"/>
      <c r="J1159" s="836"/>
      <c r="K1159" s="835"/>
      <c r="L1159" s="836"/>
      <c r="M1159" s="837"/>
      <c r="N1159" s="836"/>
      <c r="O1159" s="837"/>
      <c r="P1159" s="836"/>
      <c r="Q1159" s="835"/>
      <c r="R1159" s="837"/>
      <c r="S1159" s="837"/>
      <c r="T1159" s="838"/>
      <c r="U1159" s="836"/>
      <c r="V1159" s="836"/>
    </row>
    <row r="1160" customHeight="1" spans="1:22">
      <c r="A1160" s="835"/>
      <c r="B1160" s="836"/>
      <c r="C1160" s="836"/>
      <c r="D1160" s="836"/>
      <c r="E1160" s="836"/>
      <c r="F1160" s="836"/>
      <c r="G1160" s="836"/>
      <c r="H1160" s="836"/>
      <c r="I1160" s="835"/>
      <c r="J1160" s="836"/>
      <c r="K1160" s="835"/>
      <c r="L1160" s="836"/>
      <c r="M1160" s="837"/>
      <c r="N1160" s="836"/>
      <c r="O1160" s="837"/>
      <c r="P1160" s="836"/>
      <c r="Q1160" s="835"/>
      <c r="R1160" s="837"/>
      <c r="S1160" s="837"/>
      <c r="T1160" s="838"/>
      <c r="U1160" s="836"/>
      <c r="V1160" s="836"/>
    </row>
    <row r="1161" customHeight="1" spans="1:22">
      <c r="A1161" s="835"/>
      <c r="B1161" s="836"/>
      <c r="C1161" s="836"/>
      <c r="D1161" s="836"/>
      <c r="E1161" s="836"/>
      <c r="F1161" s="836"/>
      <c r="G1161" s="836"/>
      <c r="H1161" s="836"/>
      <c r="I1161" s="835"/>
      <c r="J1161" s="836"/>
      <c r="K1161" s="835"/>
      <c r="L1161" s="836"/>
      <c r="M1161" s="837"/>
      <c r="N1161" s="836"/>
      <c r="O1161" s="837"/>
      <c r="P1161" s="836"/>
      <c r="Q1161" s="835"/>
      <c r="R1161" s="837"/>
      <c r="S1161" s="837"/>
      <c r="T1161" s="838"/>
      <c r="U1161" s="836"/>
      <c r="V1161" s="836"/>
    </row>
    <row r="1162" customHeight="1" spans="1:22">
      <c r="A1162" s="835"/>
      <c r="B1162" s="836"/>
      <c r="C1162" s="836"/>
      <c r="D1162" s="836"/>
      <c r="E1162" s="836"/>
      <c r="F1162" s="836"/>
      <c r="G1162" s="836"/>
      <c r="H1162" s="836"/>
      <c r="I1162" s="835"/>
      <c r="J1162" s="836"/>
      <c r="K1162" s="835"/>
      <c r="L1162" s="836"/>
      <c r="M1162" s="837"/>
      <c r="N1162" s="836"/>
      <c r="O1162" s="837"/>
      <c r="P1162" s="836"/>
      <c r="Q1162" s="835"/>
      <c r="R1162" s="837"/>
      <c r="S1162" s="837"/>
      <c r="T1162" s="838"/>
      <c r="U1162" s="836"/>
      <c r="V1162" s="836"/>
    </row>
    <row r="1163" customHeight="1" spans="1:22">
      <c r="A1163" s="835"/>
      <c r="B1163" s="836"/>
      <c r="C1163" s="836"/>
      <c r="D1163" s="836"/>
      <c r="E1163" s="836"/>
      <c r="F1163" s="836"/>
      <c r="G1163" s="836"/>
      <c r="H1163" s="836"/>
      <c r="I1163" s="835"/>
      <c r="J1163" s="836"/>
      <c r="K1163" s="835"/>
      <c r="L1163" s="836"/>
      <c r="M1163" s="837"/>
      <c r="N1163" s="836"/>
      <c r="O1163" s="837"/>
      <c r="P1163" s="836"/>
      <c r="Q1163" s="835"/>
      <c r="R1163" s="837"/>
      <c r="S1163" s="837"/>
      <c r="T1163" s="838"/>
      <c r="U1163" s="836"/>
      <c r="V1163" s="836"/>
    </row>
    <row r="1164" customHeight="1" spans="1:22">
      <c r="A1164" s="835"/>
      <c r="B1164" s="836"/>
      <c r="C1164" s="836"/>
      <c r="D1164" s="836"/>
      <c r="E1164" s="836"/>
      <c r="F1164" s="836"/>
      <c r="G1164" s="836"/>
      <c r="H1164" s="836"/>
      <c r="I1164" s="835"/>
      <c r="J1164" s="836"/>
      <c r="K1164" s="835"/>
      <c r="L1164" s="836"/>
      <c r="M1164" s="837"/>
      <c r="N1164" s="836"/>
      <c r="O1164" s="837"/>
      <c r="P1164" s="836"/>
      <c r="Q1164" s="835"/>
      <c r="R1164" s="837"/>
      <c r="S1164" s="837"/>
      <c r="T1164" s="838"/>
      <c r="U1164" s="836"/>
      <c r="V1164" s="836"/>
    </row>
    <row r="1165" customHeight="1" spans="1:22">
      <c r="A1165" s="835"/>
      <c r="B1165" s="836"/>
      <c r="C1165" s="836"/>
      <c r="D1165" s="836"/>
      <c r="E1165" s="836"/>
      <c r="F1165" s="836"/>
      <c r="G1165" s="836"/>
      <c r="H1165" s="836"/>
      <c r="I1165" s="835"/>
      <c r="J1165" s="836"/>
      <c r="K1165" s="835"/>
      <c r="L1165" s="836"/>
      <c r="M1165" s="837"/>
      <c r="N1165" s="836"/>
      <c r="O1165" s="837"/>
      <c r="P1165" s="836"/>
      <c r="Q1165" s="835"/>
      <c r="R1165" s="837"/>
      <c r="S1165" s="837"/>
      <c r="T1165" s="838"/>
      <c r="U1165" s="836"/>
      <c r="V1165" s="836"/>
    </row>
    <row r="1166" customHeight="1" spans="1:22">
      <c r="A1166" s="835"/>
      <c r="B1166" s="836"/>
      <c r="C1166" s="836"/>
      <c r="D1166" s="836"/>
      <c r="E1166" s="836"/>
      <c r="F1166" s="836"/>
      <c r="G1166" s="836"/>
      <c r="H1166" s="836"/>
      <c r="I1166" s="835"/>
      <c r="J1166" s="836"/>
      <c r="K1166" s="835"/>
      <c r="L1166" s="836"/>
      <c r="M1166" s="837"/>
      <c r="N1166" s="836"/>
      <c r="O1166" s="837"/>
      <c r="P1166" s="836"/>
      <c r="Q1166" s="835"/>
      <c r="R1166" s="837"/>
      <c r="S1166" s="837"/>
      <c r="T1166" s="838"/>
      <c r="U1166" s="836"/>
      <c r="V1166" s="836"/>
    </row>
    <row r="1167" customHeight="1" spans="1:22">
      <c r="A1167" s="835"/>
      <c r="B1167" s="836"/>
      <c r="C1167" s="836"/>
      <c r="D1167" s="836"/>
      <c r="E1167" s="836"/>
      <c r="F1167" s="836"/>
      <c r="G1167" s="836"/>
      <c r="H1167" s="836"/>
      <c r="I1167" s="835"/>
      <c r="J1167" s="836"/>
      <c r="K1167" s="835"/>
      <c r="L1167" s="836"/>
      <c r="M1167" s="837"/>
      <c r="N1167" s="836"/>
      <c r="O1167" s="837"/>
      <c r="P1167" s="836"/>
      <c r="Q1167" s="835"/>
      <c r="R1167" s="837"/>
      <c r="S1167" s="837"/>
      <c r="T1167" s="838"/>
      <c r="U1167" s="836"/>
      <c r="V1167" s="836"/>
    </row>
    <row r="1168" customHeight="1" spans="1:22">
      <c r="A1168" s="835"/>
      <c r="B1168" s="836"/>
      <c r="C1168" s="836"/>
      <c r="D1168" s="836"/>
      <c r="E1168" s="836"/>
      <c r="F1168" s="836"/>
      <c r="G1168" s="836"/>
      <c r="H1168" s="836"/>
      <c r="I1168" s="835"/>
      <c r="J1168" s="836"/>
      <c r="K1168" s="835"/>
      <c r="L1168" s="836"/>
      <c r="M1168" s="837"/>
      <c r="N1168" s="836"/>
      <c r="O1168" s="837"/>
      <c r="P1168" s="836"/>
      <c r="Q1168" s="835"/>
      <c r="R1168" s="837"/>
      <c r="S1168" s="837"/>
      <c r="T1168" s="838"/>
      <c r="U1168" s="836"/>
      <c r="V1168" s="836"/>
    </row>
    <row r="1169" customHeight="1" spans="1:22">
      <c r="A1169" s="835"/>
      <c r="B1169" s="836"/>
      <c r="C1169" s="836"/>
      <c r="D1169" s="836"/>
      <c r="E1169" s="836"/>
      <c r="F1169" s="836"/>
      <c r="G1169" s="836"/>
      <c r="H1169" s="836"/>
      <c r="I1169" s="835"/>
      <c r="J1169" s="836"/>
      <c r="K1169" s="835"/>
      <c r="L1169" s="836"/>
      <c r="M1169" s="837"/>
      <c r="N1169" s="836"/>
      <c r="O1169" s="837"/>
      <c r="P1169" s="836"/>
      <c r="Q1169" s="835"/>
      <c r="R1169" s="837"/>
      <c r="S1169" s="837"/>
      <c r="T1169" s="838"/>
      <c r="U1169" s="836"/>
      <c r="V1169" s="836"/>
    </row>
    <row r="1170" customHeight="1" spans="1:22">
      <c r="A1170" s="835"/>
      <c r="B1170" s="836"/>
      <c r="C1170" s="836"/>
      <c r="D1170" s="836"/>
      <c r="E1170" s="836"/>
      <c r="F1170" s="836"/>
      <c r="G1170" s="836"/>
      <c r="H1170" s="836"/>
      <c r="I1170" s="835"/>
      <c r="J1170" s="836"/>
      <c r="K1170" s="835"/>
      <c r="L1170" s="836"/>
      <c r="M1170" s="837"/>
      <c r="N1170" s="836"/>
      <c r="O1170" s="837"/>
      <c r="P1170" s="836"/>
      <c r="Q1170" s="835"/>
      <c r="R1170" s="837"/>
      <c r="S1170" s="837"/>
      <c r="T1170" s="838"/>
      <c r="U1170" s="836"/>
      <c r="V1170" s="836"/>
    </row>
    <row r="1171" customHeight="1" spans="1:22">
      <c r="A1171" s="835"/>
      <c r="B1171" s="836"/>
      <c r="C1171" s="836"/>
      <c r="D1171" s="836"/>
      <c r="E1171" s="836"/>
      <c r="F1171" s="836"/>
      <c r="G1171" s="836"/>
      <c r="H1171" s="836"/>
      <c r="I1171" s="835"/>
      <c r="J1171" s="836"/>
      <c r="K1171" s="835"/>
      <c r="L1171" s="836"/>
      <c r="M1171" s="837"/>
      <c r="N1171" s="836"/>
      <c r="O1171" s="837"/>
      <c r="P1171" s="836"/>
      <c r="Q1171" s="835"/>
      <c r="R1171" s="837"/>
      <c r="S1171" s="837"/>
      <c r="T1171" s="838"/>
      <c r="U1171" s="836"/>
      <c r="V1171" s="836"/>
    </row>
    <row r="1172" customHeight="1" spans="1:22">
      <c r="A1172" s="835"/>
      <c r="B1172" s="836"/>
      <c r="C1172" s="836"/>
      <c r="D1172" s="836"/>
      <c r="E1172" s="836"/>
      <c r="F1172" s="836"/>
      <c r="G1172" s="836"/>
      <c r="H1172" s="836"/>
      <c r="I1172" s="835"/>
      <c r="J1172" s="836"/>
      <c r="K1172" s="835"/>
      <c r="L1172" s="836"/>
      <c r="M1172" s="837"/>
      <c r="N1172" s="836"/>
      <c r="O1172" s="837"/>
      <c r="P1172" s="836"/>
      <c r="Q1172" s="835"/>
      <c r="R1172" s="837"/>
      <c r="S1172" s="837"/>
      <c r="T1172" s="838"/>
      <c r="U1172" s="836"/>
      <c r="V1172" s="836"/>
    </row>
    <row r="1173" customHeight="1" spans="1:22">
      <c r="A1173" s="835"/>
      <c r="B1173" s="836"/>
      <c r="C1173" s="836"/>
      <c r="D1173" s="836"/>
      <c r="E1173" s="836"/>
      <c r="F1173" s="836"/>
      <c r="G1173" s="836"/>
      <c r="H1173" s="836"/>
      <c r="I1173" s="835"/>
      <c r="J1173" s="836"/>
      <c r="K1173" s="835"/>
      <c r="L1173" s="836"/>
      <c r="M1173" s="837"/>
      <c r="N1173" s="836"/>
      <c r="O1173" s="837"/>
      <c r="P1173" s="836"/>
      <c r="Q1173" s="835"/>
      <c r="R1173" s="837"/>
      <c r="S1173" s="837"/>
      <c r="T1173" s="838"/>
      <c r="U1173" s="836"/>
      <c r="V1173" s="836"/>
    </row>
    <row r="1174" customHeight="1" spans="1:22">
      <c r="A1174" s="835"/>
      <c r="B1174" s="836"/>
      <c r="C1174" s="836"/>
      <c r="D1174" s="836"/>
      <c r="E1174" s="836"/>
      <c r="F1174" s="836"/>
      <c r="G1174" s="836"/>
      <c r="H1174" s="836"/>
      <c r="I1174" s="835"/>
      <c r="J1174" s="836"/>
      <c r="K1174" s="835"/>
      <c r="L1174" s="836"/>
      <c r="M1174" s="837"/>
      <c r="N1174" s="836"/>
      <c r="O1174" s="837"/>
      <c r="P1174" s="836"/>
      <c r="Q1174" s="835"/>
      <c r="R1174" s="837"/>
      <c r="S1174" s="837"/>
      <c r="T1174" s="838"/>
      <c r="U1174" s="836"/>
      <c r="V1174" s="836"/>
    </row>
    <row r="1175" customHeight="1" spans="1:22">
      <c r="A1175" s="835"/>
      <c r="B1175" s="836"/>
      <c r="C1175" s="836"/>
      <c r="D1175" s="836"/>
      <c r="E1175" s="836"/>
      <c r="F1175" s="836"/>
      <c r="G1175" s="836"/>
      <c r="H1175" s="836"/>
      <c r="I1175" s="835"/>
      <c r="J1175" s="836"/>
      <c r="K1175" s="835"/>
      <c r="L1175" s="836"/>
      <c r="M1175" s="837"/>
      <c r="N1175" s="836"/>
      <c r="O1175" s="837"/>
      <c r="P1175" s="836"/>
      <c r="Q1175" s="835"/>
      <c r="R1175" s="837"/>
      <c r="S1175" s="837"/>
      <c r="T1175" s="838"/>
      <c r="U1175" s="836"/>
      <c r="V1175" s="836"/>
    </row>
    <row r="1176" customHeight="1" spans="1:22">
      <c r="A1176" s="835"/>
      <c r="B1176" s="836"/>
      <c r="C1176" s="836"/>
      <c r="D1176" s="836"/>
      <c r="E1176" s="836"/>
      <c r="F1176" s="836"/>
      <c r="G1176" s="836"/>
      <c r="H1176" s="836"/>
      <c r="I1176" s="835"/>
      <c r="J1176" s="836"/>
      <c r="K1176" s="835"/>
      <c r="L1176" s="836"/>
      <c r="M1176" s="837"/>
      <c r="N1176" s="836"/>
      <c r="O1176" s="837"/>
      <c r="P1176" s="836"/>
      <c r="Q1176" s="835"/>
      <c r="R1176" s="837"/>
      <c r="S1176" s="837"/>
      <c r="T1176" s="838"/>
      <c r="U1176" s="836"/>
      <c r="V1176" s="836"/>
    </row>
    <row r="1177" customHeight="1" spans="1:22">
      <c r="A1177" s="835"/>
      <c r="B1177" s="836"/>
      <c r="C1177" s="836"/>
      <c r="D1177" s="836"/>
      <c r="E1177" s="836"/>
      <c r="F1177" s="836"/>
      <c r="G1177" s="836"/>
      <c r="H1177" s="836"/>
      <c r="I1177" s="835"/>
      <c r="J1177" s="836"/>
      <c r="K1177" s="835"/>
      <c r="L1177" s="836"/>
      <c r="M1177" s="837"/>
      <c r="N1177" s="836"/>
      <c r="O1177" s="837"/>
      <c r="P1177" s="836"/>
      <c r="Q1177" s="835"/>
      <c r="R1177" s="837"/>
      <c r="S1177" s="837"/>
      <c r="T1177" s="838"/>
      <c r="U1177" s="836"/>
      <c r="V1177" s="836"/>
    </row>
    <row r="1178" customHeight="1" spans="1:22">
      <c r="A1178" s="835"/>
      <c r="B1178" s="836"/>
      <c r="C1178" s="836"/>
      <c r="D1178" s="836"/>
      <c r="E1178" s="836"/>
      <c r="F1178" s="836"/>
      <c r="G1178" s="836"/>
      <c r="H1178" s="836"/>
      <c r="I1178" s="835"/>
      <c r="J1178" s="836"/>
      <c r="K1178" s="835"/>
      <c r="L1178" s="836"/>
      <c r="M1178" s="837"/>
      <c r="N1178" s="836"/>
      <c r="O1178" s="837"/>
      <c r="P1178" s="836"/>
      <c r="Q1178" s="835"/>
      <c r="R1178" s="837"/>
      <c r="S1178" s="837"/>
      <c r="T1178" s="838"/>
      <c r="U1178" s="836"/>
      <c r="V1178" s="836"/>
    </row>
    <row r="1179" customHeight="1" spans="1:22">
      <c r="A1179" s="835"/>
      <c r="B1179" s="836"/>
      <c r="C1179" s="836"/>
      <c r="D1179" s="836"/>
      <c r="E1179" s="836"/>
      <c r="F1179" s="836"/>
      <c r="G1179" s="836"/>
      <c r="H1179" s="836"/>
      <c r="I1179" s="835"/>
      <c r="J1179" s="836"/>
      <c r="K1179" s="835"/>
      <c r="L1179" s="836"/>
      <c r="M1179" s="837"/>
      <c r="N1179" s="836"/>
      <c r="O1179" s="837"/>
      <c r="P1179" s="836"/>
      <c r="Q1179" s="835"/>
      <c r="R1179" s="837"/>
      <c r="S1179" s="837"/>
      <c r="T1179" s="838"/>
      <c r="U1179" s="836"/>
      <c r="V1179" s="836"/>
    </row>
    <row r="1180" customHeight="1" spans="1:22">
      <c r="A1180" s="835"/>
      <c r="B1180" s="836"/>
      <c r="C1180" s="836"/>
      <c r="D1180" s="836"/>
      <c r="E1180" s="836"/>
      <c r="F1180" s="836"/>
      <c r="G1180" s="836"/>
      <c r="H1180" s="836"/>
      <c r="I1180" s="835"/>
      <c r="J1180" s="836"/>
      <c r="K1180" s="835"/>
      <c r="L1180" s="836"/>
      <c r="M1180" s="837"/>
      <c r="N1180" s="836"/>
      <c r="O1180" s="837"/>
      <c r="P1180" s="836"/>
      <c r="Q1180" s="835"/>
      <c r="R1180" s="837"/>
      <c r="S1180" s="837"/>
      <c r="T1180" s="838"/>
      <c r="U1180" s="836"/>
      <c r="V1180" s="836"/>
    </row>
    <row r="1181" customHeight="1" spans="1:22">
      <c r="A1181" s="835"/>
      <c r="B1181" s="836"/>
      <c r="C1181" s="836"/>
      <c r="D1181" s="836"/>
      <c r="E1181" s="836"/>
      <c r="F1181" s="836"/>
      <c r="G1181" s="836"/>
      <c r="H1181" s="836"/>
      <c r="I1181" s="835"/>
      <c r="J1181" s="836"/>
      <c r="K1181" s="835"/>
      <c r="L1181" s="836"/>
      <c r="M1181" s="837"/>
      <c r="N1181" s="836"/>
      <c r="O1181" s="837"/>
      <c r="P1181" s="836"/>
      <c r="Q1181" s="835"/>
      <c r="R1181" s="837"/>
      <c r="S1181" s="837"/>
      <c r="T1181" s="838"/>
      <c r="U1181" s="836"/>
      <c r="V1181" s="836"/>
    </row>
    <row r="1182" customHeight="1" spans="1:22">
      <c r="A1182" s="835"/>
      <c r="B1182" s="836"/>
      <c r="C1182" s="836"/>
      <c r="D1182" s="836"/>
      <c r="E1182" s="836"/>
      <c r="F1182" s="836"/>
      <c r="G1182" s="836"/>
      <c r="H1182" s="836"/>
      <c r="I1182" s="835"/>
      <c r="J1182" s="836"/>
      <c r="K1182" s="835"/>
      <c r="L1182" s="836"/>
      <c r="M1182" s="837"/>
      <c r="N1182" s="836"/>
      <c r="O1182" s="837"/>
      <c r="P1182" s="836"/>
      <c r="Q1182" s="835"/>
      <c r="R1182" s="837"/>
      <c r="S1182" s="837"/>
      <c r="T1182" s="838"/>
      <c r="U1182" s="836"/>
      <c r="V1182" s="836"/>
    </row>
    <row r="1183" customHeight="1" spans="1:22">
      <c r="A1183" s="835"/>
      <c r="B1183" s="836"/>
      <c r="C1183" s="836"/>
      <c r="D1183" s="836"/>
      <c r="E1183" s="836"/>
      <c r="F1183" s="836"/>
      <c r="G1183" s="836"/>
      <c r="H1183" s="836"/>
      <c r="I1183" s="835"/>
      <c r="J1183" s="836"/>
      <c r="K1183" s="835"/>
      <c r="L1183" s="836"/>
      <c r="M1183" s="837"/>
      <c r="N1183" s="836"/>
      <c r="O1183" s="837"/>
      <c r="P1183" s="836"/>
      <c r="Q1183" s="835"/>
      <c r="R1183" s="837"/>
      <c r="S1183" s="837"/>
      <c r="T1183" s="838"/>
      <c r="U1183" s="836"/>
      <c r="V1183" s="836"/>
    </row>
    <row r="1184" customHeight="1" spans="1:22">
      <c r="A1184" s="835"/>
      <c r="B1184" s="836"/>
      <c r="C1184" s="836"/>
      <c r="D1184" s="836"/>
      <c r="E1184" s="836"/>
      <c r="F1184" s="836"/>
      <c r="G1184" s="836"/>
      <c r="H1184" s="836"/>
      <c r="I1184" s="835"/>
      <c r="J1184" s="836"/>
      <c r="K1184" s="835"/>
      <c r="L1184" s="836"/>
      <c r="M1184" s="837"/>
      <c r="N1184" s="836"/>
      <c r="O1184" s="837"/>
      <c r="P1184" s="836"/>
      <c r="Q1184" s="835"/>
      <c r="R1184" s="837"/>
      <c r="S1184" s="837"/>
      <c r="T1184" s="838"/>
      <c r="U1184" s="836"/>
      <c r="V1184" s="836"/>
    </row>
    <row r="1185" customHeight="1" spans="1:22">
      <c r="A1185" s="835"/>
      <c r="B1185" s="836"/>
      <c r="C1185" s="836"/>
      <c r="D1185" s="836"/>
      <c r="E1185" s="836"/>
      <c r="F1185" s="836"/>
      <c r="G1185" s="836"/>
      <c r="H1185" s="836"/>
      <c r="I1185" s="835"/>
      <c r="J1185" s="836"/>
      <c r="K1185" s="835"/>
      <c r="L1185" s="836"/>
      <c r="M1185" s="837"/>
      <c r="N1185" s="836"/>
      <c r="O1185" s="837"/>
      <c r="P1185" s="836"/>
      <c r="Q1185" s="835"/>
      <c r="R1185" s="837"/>
      <c r="S1185" s="837"/>
      <c r="T1185" s="838"/>
      <c r="U1185" s="836"/>
      <c r="V1185" s="836"/>
    </row>
    <row r="1186" customHeight="1" spans="1:22">
      <c r="A1186" s="835"/>
      <c r="B1186" s="836"/>
      <c r="C1186" s="836"/>
      <c r="D1186" s="836"/>
      <c r="E1186" s="836"/>
      <c r="F1186" s="836"/>
      <c r="G1186" s="836"/>
      <c r="H1186" s="836"/>
      <c r="I1186" s="835"/>
      <c r="J1186" s="836"/>
      <c r="K1186" s="835"/>
      <c r="L1186" s="836"/>
      <c r="M1186" s="837"/>
      <c r="N1186" s="836"/>
      <c r="O1186" s="837"/>
      <c r="P1186" s="836"/>
      <c r="Q1186" s="835"/>
      <c r="R1186" s="837"/>
      <c r="S1186" s="837"/>
      <c r="T1186" s="838"/>
      <c r="U1186" s="836"/>
      <c r="V1186" s="836"/>
    </row>
    <row r="1187" customHeight="1" spans="1:22">
      <c r="A1187" s="835"/>
      <c r="B1187" s="836"/>
      <c r="C1187" s="836"/>
      <c r="D1187" s="836"/>
      <c r="E1187" s="836"/>
      <c r="F1187" s="836"/>
      <c r="G1187" s="836"/>
      <c r="H1187" s="836"/>
      <c r="I1187" s="835"/>
      <c r="J1187" s="836"/>
      <c r="K1187" s="835"/>
      <c r="L1187" s="836"/>
      <c r="M1187" s="837"/>
      <c r="N1187" s="836"/>
      <c r="O1187" s="837"/>
      <c r="P1187" s="836"/>
      <c r="Q1187" s="835"/>
      <c r="R1187" s="837"/>
      <c r="S1187" s="837"/>
      <c r="T1187" s="838"/>
      <c r="U1187" s="836"/>
      <c r="V1187" s="836"/>
    </row>
    <row r="1188" customHeight="1" spans="1:22">
      <c r="A1188" s="835"/>
      <c r="B1188" s="836"/>
      <c r="C1188" s="836"/>
      <c r="D1188" s="836"/>
      <c r="E1188" s="836"/>
      <c r="F1188" s="836"/>
      <c r="G1188" s="836"/>
      <c r="H1188" s="836"/>
      <c r="I1188" s="835"/>
      <c r="J1188" s="836"/>
      <c r="K1188" s="835"/>
      <c r="L1188" s="836"/>
      <c r="M1188" s="837"/>
      <c r="N1188" s="836"/>
      <c r="O1188" s="837"/>
      <c r="P1188" s="836"/>
      <c r="Q1188" s="835"/>
      <c r="R1188" s="837"/>
      <c r="S1188" s="837"/>
      <c r="T1188" s="838"/>
      <c r="U1188" s="836"/>
      <c r="V1188" s="836"/>
    </row>
    <row r="1189" customHeight="1" spans="1:22">
      <c r="A1189" s="835"/>
      <c r="B1189" s="836"/>
      <c r="C1189" s="836"/>
      <c r="D1189" s="836"/>
      <c r="E1189" s="836"/>
      <c r="F1189" s="836"/>
      <c r="G1189" s="836"/>
      <c r="H1189" s="836"/>
      <c r="I1189" s="835"/>
      <c r="J1189" s="836"/>
      <c r="K1189" s="835"/>
      <c r="L1189" s="836"/>
      <c r="M1189" s="837"/>
      <c r="N1189" s="836"/>
      <c r="O1189" s="837"/>
      <c r="P1189" s="836"/>
      <c r="Q1189" s="835"/>
      <c r="R1189" s="837"/>
      <c r="S1189" s="837"/>
      <c r="T1189" s="838"/>
      <c r="U1189" s="836"/>
      <c r="V1189" s="836"/>
    </row>
    <row r="1190" customHeight="1" spans="1:22">
      <c r="A1190" s="835"/>
      <c r="B1190" s="836"/>
      <c r="C1190" s="836"/>
      <c r="D1190" s="836"/>
      <c r="E1190" s="836"/>
      <c r="F1190" s="836"/>
      <c r="G1190" s="836"/>
      <c r="H1190" s="836"/>
      <c r="I1190" s="835"/>
      <c r="J1190" s="836"/>
      <c r="K1190" s="835"/>
      <c r="L1190" s="836"/>
      <c r="M1190" s="837"/>
      <c r="N1190" s="836"/>
      <c r="O1190" s="837"/>
      <c r="P1190" s="836"/>
      <c r="Q1190" s="835"/>
      <c r="R1190" s="837"/>
      <c r="S1190" s="837"/>
      <c r="T1190" s="838"/>
      <c r="U1190" s="836"/>
      <c r="V1190" s="836"/>
    </row>
    <row r="1191" customHeight="1" spans="1:22">
      <c r="A1191" s="835"/>
      <c r="B1191" s="836"/>
      <c r="C1191" s="836"/>
      <c r="D1191" s="836"/>
      <c r="E1191" s="836"/>
      <c r="F1191" s="836"/>
      <c r="G1191" s="836"/>
      <c r="H1191" s="836"/>
      <c r="I1191" s="835"/>
      <c r="J1191" s="836"/>
      <c r="K1191" s="835"/>
      <c r="L1191" s="836"/>
      <c r="M1191" s="837"/>
      <c r="N1191" s="836"/>
      <c r="O1191" s="837"/>
      <c r="P1191" s="836"/>
      <c r="Q1191" s="835"/>
      <c r="R1191" s="837"/>
      <c r="S1191" s="837"/>
      <c r="T1191" s="838"/>
      <c r="U1191" s="836"/>
      <c r="V1191" s="836"/>
    </row>
    <row r="1192" customHeight="1" spans="1:22">
      <c r="A1192" s="835"/>
      <c r="B1192" s="836"/>
      <c r="C1192" s="836"/>
      <c r="D1192" s="836"/>
      <c r="E1192" s="836"/>
      <c r="F1192" s="836"/>
      <c r="G1192" s="836"/>
      <c r="H1192" s="836"/>
      <c r="I1192" s="835"/>
      <c r="J1192" s="836"/>
      <c r="K1192" s="835"/>
      <c r="L1192" s="836"/>
      <c r="M1192" s="837"/>
      <c r="N1192" s="836"/>
      <c r="O1192" s="837"/>
      <c r="P1192" s="836"/>
      <c r="Q1192" s="835"/>
      <c r="R1192" s="837"/>
      <c r="S1192" s="837"/>
      <c r="T1192" s="838"/>
      <c r="U1192" s="836"/>
      <c r="V1192" s="836"/>
    </row>
    <row r="1193" customHeight="1" spans="1:22">
      <c r="A1193" s="835"/>
      <c r="B1193" s="836"/>
      <c r="C1193" s="836"/>
      <c r="D1193" s="836"/>
      <c r="E1193" s="836"/>
      <c r="F1193" s="836"/>
      <c r="G1193" s="836"/>
      <c r="H1193" s="836"/>
      <c r="I1193" s="835"/>
      <c r="J1193" s="836"/>
      <c r="K1193" s="835"/>
      <c r="L1193" s="836"/>
      <c r="M1193" s="837"/>
      <c r="N1193" s="836"/>
      <c r="O1193" s="837"/>
      <c r="P1193" s="836"/>
      <c r="Q1193" s="835"/>
      <c r="R1193" s="837"/>
      <c r="S1193" s="837"/>
      <c r="T1193" s="838"/>
      <c r="U1193" s="836"/>
      <c r="V1193" s="836"/>
    </row>
    <row r="1194" customHeight="1" spans="1:22">
      <c r="A1194" s="835"/>
      <c r="B1194" s="836"/>
      <c r="C1194" s="836"/>
      <c r="D1194" s="836"/>
      <c r="E1194" s="836"/>
      <c r="F1194" s="836"/>
      <c r="G1194" s="836"/>
      <c r="H1194" s="836"/>
      <c r="I1194" s="835"/>
      <c r="J1194" s="836"/>
      <c r="K1194" s="835"/>
      <c r="L1194" s="836"/>
      <c r="M1194" s="837"/>
      <c r="N1194" s="836"/>
      <c r="O1194" s="837"/>
      <c r="P1194" s="836"/>
      <c r="Q1194" s="835"/>
      <c r="R1194" s="837"/>
      <c r="S1194" s="837"/>
      <c r="T1194" s="838"/>
      <c r="U1194" s="836"/>
      <c r="V1194" s="836"/>
    </row>
    <row r="1195" customHeight="1" spans="1:22">
      <c r="A1195" s="835"/>
      <c r="B1195" s="836"/>
      <c r="C1195" s="836"/>
      <c r="D1195" s="836"/>
      <c r="E1195" s="836"/>
      <c r="F1195" s="836"/>
      <c r="G1195" s="836"/>
      <c r="H1195" s="836"/>
      <c r="I1195" s="835"/>
      <c r="J1195" s="836"/>
      <c r="K1195" s="835"/>
      <c r="L1195" s="836"/>
      <c r="M1195" s="837"/>
      <c r="N1195" s="836"/>
      <c r="O1195" s="837"/>
      <c r="P1195" s="836"/>
      <c r="Q1195" s="835"/>
      <c r="R1195" s="837"/>
      <c r="S1195" s="837"/>
      <c r="T1195" s="838"/>
      <c r="U1195" s="836"/>
      <c r="V1195" s="836"/>
    </row>
    <row r="1196" customHeight="1" spans="1:22">
      <c r="A1196" s="835"/>
      <c r="B1196" s="836"/>
      <c r="C1196" s="836"/>
      <c r="D1196" s="836"/>
      <c r="E1196" s="836"/>
      <c r="F1196" s="836"/>
      <c r="G1196" s="836"/>
      <c r="H1196" s="836"/>
      <c r="I1196" s="835"/>
      <c r="J1196" s="836"/>
      <c r="K1196" s="835"/>
      <c r="L1196" s="836"/>
      <c r="M1196" s="837"/>
      <c r="N1196" s="836"/>
      <c r="O1196" s="837"/>
      <c r="P1196" s="836"/>
      <c r="Q1196" s="835"/>
      <c r="R1196" s="837"/>
      <c r="S1196" s="837"/>
      <c r="T1196" s="838"/>
      <c r="U1196" s="836"/>
      <c r="V1196" s="836"/>
    </row>
    <row r="1197" customHeight="1" spans="1:22">
      <c r="A1197" s="835"/>
      <c r="B1197" s="836"/>
      <c r="C1197" s="836"/>
      <c r="D1197" s="836"/>
      <c r="E1197" s="836"/>
      <c r="F1197" s="836"/>
      <c r="G1197" s="836"/>
      <c r="H1197" s="836"/>
      <c r="I1197" s="835"/>
      <c r="J1197" s="836"/>
      <c r="K1197" s="835"/>
      <c r="L1197" s="836"/>
      <c r="M1197" s="837"/>
      <c r="N1197" s="836"/>
      <c r="O1197" s="837"/>
      <c r="P1197" s="836"/>
      <c r="Q1197" s="835"/>
      <c r="R1197" s="837"/>
      <c r="S1197" s="837"/>
      <c r="T1197" s="838"/>
      <c r="U1197" s="836"/>
      <c r="V1197" s="836"/>
    </row>
    <row r="1198" customHeight="1" spans="1:22">
      <c r="A1198" s="835"/>
      <c r="B1198" s="836"/>
      <c r="C1198" s="836"/>
      <c r="D1198" s="836"/>
      <c r="E1198" s="836"/>
      <c r="F1198" s="836"/>
      <c r="G1198" s="836"/>
      <c r="H1198" s="836"/>
      <c r="I1198" s="835"/>
      <c r="J1198" s="836"/>
      <c r="K1198" s="835"/>
      <c r="L1198" s="836"/>
      <c r="M1198" s="837"/>
      <c r="N1198" s="836"/>
      <c r="O1198" s="837"/>
      <c r="P1198" s="836"/>
      <c r="Q1198" s="835"/>
      <c r="R1198" s="837"/>
      <c r="S1198" s="837"/>
      <c r="T1198" s="838"/>
      <c r="U1198" s="836"/>
      <c r="V1198" s="836"/>
    </row>
    <row r="1199" customHeight="1" spans="1:22">
      <c r="A1199" s="835"/>
      <c r="B1199" s="836"/>
      <c r="C1199" s="836"/>
      <c r="D1199" s="836"/>
      <c r="E1199" s="836"/>
      <c r="F1199" s="836"/>
      <c r="G1199" s="836"/>
      <c r="H1199" s="836"/>
      <c r="I1199" s="835"/>
      <c r="J1199" s="836"/>
      <c r="K1199" s="835"/>
      <c r="L1199" s="836"/>
      <c r="M1199" s="837"/>
      <c r="N1199" s="836"/>
      <c r="O1199" s="837"/>
      <c r="P1199" s="836"/>
      <c r="Q1199" s="835"/>
      <c r="R1199" s="837"/>
      <c r="S1199" s="837"/>
      <c r="T1199" s="838"/>
      <c r="U1199" s="836"/>
      <c r="V1199" s="836"/>
    </row>
    <row r="1200" customHeight="1" spans="1:22">
      <c r="A1200" s="835"/>
      <c r="B1200" s="836"/>
      <c r="C1200" s="836"/>
      <c r="D1200" s="836"/>
      <c r="E1200" s="836"/>
      <c r="F1200" s="836"/>
      <c r="G1200" s="836"/>
      <c r="H1200" s="836"/>
      <c r="I1200" s="835"/>
      <c r="J1200" s="836"/>
      <c r="K1200" s="835"/>
      <c r="L1200" s="836"/>
      <c r="M1200" s="837"/>
      <c r="N1200" s="836"/>
      <c r="O1200" s="837"/>
      <c r="P1200" s="836"/>
      <c r="Q1200" s="835"/>
      <c r="R1200" s="837"/>
      <c r="S1200" s="837"/>
      <c r="T1200" s="838"/>
      <c r="U1200" s="836"/>
      <c r="V1200" s="836"/>
    </row>
    <row r="1201" customHeight="1" spans="1:22">
      <c r="A1201" s="835"/>
      <c r="B1201" s="836"/>
      <c r="C1201" s="836"/>
      <c r="D1201" s="836"/>
      <c r="E1201" s="836"/>
      <c r="F1201" s="836"/>
      <c r="G1201" s="836"/>
      <c r="H1201" s="836"/>
      <c r="I1201" s="835"/>
      <c r="J1201" s="836"/>
      <c r="K1201" s="835"/>
      <c r="L1201" s="836"/>
      <c r="M1201" s="837"/>
      <c r="N1201" s="836"/>
      <c r="O1201" s="837"/>
      <c r="P1201" s="836"/>
      <c r="Q1201" s="835"/>
      <c r="R1201" s="837"/>
      <c r="S1201" s="837"/>
      <c r="T1201" s="838"/>
      <c r="U1201" s="836"/>
      <c r="V1201" s="836"/>
    </row>
    <row r="1202" customHeight="1" spans="1:22">
      <c r="A1202" s="835"/>
      <c r="B1202" s="836"/>
      <c r="C1202" s="836"/>
      <c r="D1202" s="836"/>
      <c r="E1202" s="836"/>
      <c r="F1202" s="836"/>
      <c r="G1202" s="836"/>
      <c r="H1202" s="836"/>
      <c r="I1202" s="835"/>
      <c r="J1202" s="836"/>
      <c r="K1202" s="835"/>
      <c r="L1202" s="836"/>
      <c r="M1202" s="837"/>
      <c r="N1202" s="836"/>
      <c r="O1202" s="837"/>
      <c r="P1202" s="836"/>
      <c r="Q1202" s="835"/>
      <c r="R1202" s="837"/>
      <c r="S1202" s="837"/>
      <c r="T1202" s="838"/>
      <c r="U1202" s="836"/>
      <c r="V1202" s="836"/>
    </row>
    <row r="1203" customHeight="1" spans="1:22">
      <c r="A1203" s="835"/>
      <c r="B1203" s="836"/>
      <c r="C1203" s="836"/>
      <c r="D1203" s="836"/>
      <c r="E1203" s="836"/>
      <c r="F1203" s="836"/>
      <c r="G1203" s="836"/>
      <c r="H1203" s="836"/>
      <c r="I1203" s="835"/>
      <c r="J1203" s="836"/>
      <c r="K1203" s="835"/>
      <c r="L1203" s="836"/>
      <c r="M1203" s="837"/>
      <c r="N1203" s="836"/>
      <c r="O1203" s="837"/>
      <c r="P1203" s="836"/>
      <c r="Q1203" s="835"/>
      <c r="R1203" s="837"/>
      <c r="S1203" s="837"/>
      <c r="T1203" s="838"/>
      <c r="U1203" s="836"/>
      <c r="V1203" s="836"/>
    </row>
    <row r="1204" customHeight="1" spans="1:22">
      <c r="A1204" s="835"/>
      <c r="B1204" s="836"/>
      <c r="C1204" s="836"/>
      <c r="D1204" s="836"/>
      <c r="E1204" s="836"/>
      <c r="F1204" s="836"/>
      <c r="G1204" s="836"/>
      <c r="H1204" s="836"/>
      <c r="I1204" s="835"/>
      <c r="J1204" s="836"/>
      <c r="K1204" s="835"/>
      <c r="L1204" s="836"/>
      <c r="M1204" s="837"/>
      <c r="N1204" s="836"/>
      <c r="O1204" s="837"/>
      <c r="P1204" s="836"/>
      <c r="Q1204" s="835"/>
      <c r="R1204" s="837"/>
      <c r="S1204" s="837"/>
      <c r="T1204" s="838"/>
      <c r="U1204" s="836"/>
      <c r="V1204" s="836"/>
    </row>
    <row r="1205" customHeight="1" spans="1:22">
      <c r="A1205" s="835"/>
      <c r="B1205" s="836"/>
      <c r="C1205" s="836"/>
      <c r="D1205" s="836"/>
      <c r="E1205" s="836"/>
      <c r="F1205" s="836"/>
      <c r="G1205" s="836"/>
      <c r="H1205" s="836"/>
      <c r="I1205" s="835"/>
      <c r="J1205" s="836"/>
      <c r="K1205" s="835"/>
      <c r="L1205" s="836"/>
      <c r="M1205" s="837"/>
      <c r="N1205" s="836"/>
      <c r="O1205" s="837"/>
      <c r="P1205" s="836"/>
      <c r="Q1205" s="835"/>
      <c r="R1205" s="837"/>
      <c r="S1205" s="837"/>
      <c r="T1205" s="838"/>
      <c r="U1205" s="836"/>
      <c r="V1205" s="836"/>
    </row>
    <row r="1206" customHeight="1" spans="1:22">
      <c r="A1206" s="835"/>
      <c r="B1206" s="836"/>
      <c r="C1206" s="836"/>
      <c r="D1206" s="836"/>
      <c r="E1206" s="836"/>
      <c r="F1206" s="836"/>
      <c r="G1206" s="836"/>
      <c r="H1206" s="836"/>
      <c r="I1206" s="835"/>
      <c r="J1206" s="836"/>
      <c r="K1206" s="835"/>
      <c r="L1206" s="836"/>
      <c r="M1206" s="837"/>
      <c r="N1206" s="836"/>
      <c r="O1206" s="837"/>
      <c r="P1206" s="836"/>
      <c r="Q1206" s="835"/>
      <c r="R1206" s="837"/>
      <c r="S1206" s="837"/>
      <c r="T1206" s="838"/>
      <c r="U1206" s="836"/>
      <c r="V1206" s="836"/>
    </row>
    <row r="1207" customHeight="1" spans="1:22">
      <c r="A1207" s="835"/>
      <c r="B1207" s="836"/>
      <c r="C1207" s="836"/>
      <c r="D1207" s="836"/>
      <c r="E1207" s="836"/>
      <c r="F1207" s="836"/>
      <c r="G1207" s="836"/>
      <c r="H1207" s="836"/>
      <c r="I1207" s="835"/>
      <c r="J1207" s="836"/>
      <c r="K1207" s="835"/>
      <c r="L1207" s="836"/>
      <c r="M1207" s="837"/>
      <c r="N1207" s="836"/>
      <c r="O1207" s="837"/>
      <c r="P1207" s="836"/>
      <c r="Q1207" s="835"/>
      <c r="R1207" s="837"/>
      <c r="S1207" s="837"/>
      <c r="T1207" s="838"/>
      <c r="U1207" s="836"/>
      <c r="V1207" s="836"/>
    </row>
    <row r="1208" customHeight="1" spans="1:22">
      <c r="A1208" s="835"/>
      <c r="B1208" s="836"/>
      <c r="C1208" s="836"/>
      <c r="D1208" s="836"/>
      <c r="E1208" s="836"/>
      <c r="F1208" s="836"/>
      <c r="G1208" s="836"/>
      <c r="H1208" s="836"/>
      <c r="I1208" s="835"/>
      <c r="J1208" s="836"/>
      <c r="K1208" s="835"/>
      <c r="L1208" s="836"/>
      <c r="M1208" s="837"/>
      <c r="N1208" s="836"/>
      <c r="O1208" s="837"/>
      <c r="P1208" s="836"/>
      <c r="Q1208" s="835"/>
      <c r="R1208" s="837"/>
      <c r="S1208" s="837"/>
      <c r="T1208" s="838"/>
      <c r="U1208" s="836"/>
      <c r="V1208" s="836"/>
    </row>
    <row r="1209" customHeight="1" spans="1:22">
      <c r="A1209" s="835"/>
      <c r="B1209" s="836"/>
      <c r="C1209" s="836"/>
      <c r="D1209" s="836"/>
      <c r="E1209" s="836"/>
      <c r="F1209" s="836"/>
      <c r="G1209" s="836"/>
      <c r="H1209" s="836"/>
      <c r="I1209" s="835"/>
      <c r="J1209" s="836"/>
      <c r="K1209" s="835"/>
      <c r="L1209" s="836"/>
      <c r="M1209" s="837"/>
      <c r="N1209" s="836"/>
      <c r="O1209" s="837"/>
      <c r="P1209" s="836"/>
      <c r="Q1209" s="835"/>
      <c r="R1209" s="837"/>
      <c r="S1209" s="837"/>
      <c r="T1209" s="838"/>
      <c r="U1209" s="836"/>
      <c r="V1209" s="836"/>
    </row>
    <row r="1210" customHeight="1" spans="1:22">
      <c r="A1210" s="835"/>
      <c r="B1210" s="836"/>
      <c r="C1210" s="836"/>
      <c r="D1210" s="836"/>
      <c r="E1210" s="836"/>
      <c r="F1210" s="836"/>
      <c r="G1210" s="836"/>
      <c r="H1210" s="836"/>
      <c r="I1210" s="835"/>
      <c r="J1210" s="836"/>
      <c r="K1210" s="835"/>
      <c r="L1210" s="836"/>
      <c r="M1210" s="837"/>
      <c r="N1210" s="836"/>
      <c r="O1210" s="837"/>
      <c r="P1210" s="836"/>
      <c r="Q1210" s="835"/>
      <c r="R1210" s="837"/>
      <c r="S1210" s="837"/>
      <c r="T1210" s="838"/>
      <c r="U1210" s="836"/>
      <c r="V1210" s="836"/>
    </row>
    <row r="1211" customHeight="1" spans="1:22">
      <c r="A1211" s="835"/>
      <c r="B1211" s="836"/>
      <c r="C1211" s="836"/>
      <c r="D1211" s="836"/>
      <c r="E1211" s="836"/>
      <c r="F1211" s="836"/>
      <c r="G1211" s="836"/>
      <c r="H1211" s="836"/>
      <c r="I1211" s="835"/>
      <c r="J1211" s="836"/>
      <c r="K1211" s="835"/>
      <c r="L1211" s="836"/>
      <c r="M1211" s="837"/>
      <c r="N1211" s="836"/>
      <c r="O1211" s="837"/>
      <c r="P1211" s="836"/>
      <c r="Q1211" s="835"/>
      <c r="R1211" s="837"/>
      <c r="S1211" s="837"/>
      <c r="T1211" s="838"/>
      <c r="U1211" s="836"/>
      <c r="V1211" s="836"/>
    </row>
    <row r="1212" customHeight="1" spans="1:22">
      <c r="A1212" s="835"/>
      <c r="B1212" s="836"/>
      <c r="C1212" s="836"/>
      <c r="D1212" s="836"/>
      <c r="E1212" s="836"/>
      <c r="F1212" s="836"/>
      <c r="G1212" s="836"/>
      <c r="H1212" s="836"/>
      <c r="I1212" s="835"/>
      <c r="J1212" s="836"/>
      <c r="K1212" s="835"/>
      <c r="L1212" s="836"/>
      <c r="M1212" s="837"/>
      <c r="N1212" s="836"/>
      <c r="O1212" s="837"/>
      <c r="P1212" s="836"/>
      <c r="Q1212" s="835"/>
      <c r="R1212" s="837"/>
      <c r="S1212" s="837"/>
      <c r="T1212" s="838"/>
      <c r="U1212" s="836"/>
      <c r="V1212" s="836"/>
    </row>
    <row r="1213" customHeight="1" spans="1:22">
      <c r="A1213" s="835"/>
      <c r="B1213" s="836"/>
      <c r="C1213" s="836"/>
      <c r="D1213" s="836"/>
      <c r="E1213" s="836"/>
      <c r="F1213" s="836"/>
      <c r="G1213" s="836"/>
      <c r="H1213" s="836"/>
      <c r="I1213" s="835"/>
      <c r="J1213" s="836"/>
      <c r="K1213" s="835"/>
      <c r="L1213" s="836"/>
      <c r="M1213" s="837"/>
      <c r="N1213" s="836"/>
      <c r="O1213" s="837"/>
      <c r="P1213" s="836"/>
      <c r="Q1213" s="835"/>
      <c r="R1213" s="837"/>
      <c r="S1213" s="837"/>
      <c r="T1213" s="838"/>
      <c r="U1213" s="836"/>
      <c r="V1213" s="836"/>
    </row>
    <row r="1214" customHeight="1" spans="1:22">
      <c r="A1214" s="835"/>
      <c r="B1214" s="836"/>
      <c r="C1214" s="836"/>
      <c r="D1214" s="836"/>
      <c r="E1214" s="836"/>
      <c r="F1214" s="836"/>
      <c r="G1214" s="836"/>
      <c r="H1214" s="836"/>
      <c r="I1214" s="835"/>
      <c r="J1214" s="836"/>
      <c r="K1214" s="835"/>
      <c r="L1214" s="836"/>
      <c r="M1214" s="837"/>
      <c r="N1214" s="836"/>
      <c r="O1214" s="837"/>
      <c r="P1214" s="836"/>
      <c r="Q1214" s="835"/>
      <c r="R1214" s="837"/>
      <c r="S1214" s="837"/>
      <c r="T1214" s="838"/>
      <c r="U1214" s="836"/>
      <c r="V1214" s="836"/>
    </row>
    <row r="1215" customHeight="1" spans="1:22">
      <c r="A1215" s="835"/>
      <c r="B1215" s="836"/>
      <c r="C1215" s="836"/>
      <c r="D1215" s="836"/>
      <c r="E1215" s="836"/>
      <c r="F1215" s="836"/>
      <c r="G1215" s="836"/>
      <c r="H1215" s="836"/>
      <c r="I1215" s="835"/>
      <c r="J1215" s="836"/>
      <c r="K1215" s="835"/>
      <c r="L1215" s="836"/>
      <c r="M1215" s="837"/>
      <c r="N1215" s="836"/>
      <c r="O1215" s="837"/>
      <c r="P1215" s="836"/>
      <c r="Q1215" s="835"/>
      <c r="R1215" s="837"/>
      <c r="S1215" s="837"/>
      <c r="T1215" s="838"/>
      <c r="U1215" s="836"/>
      <c r="V1215" s="836"/>
    </row>
    <row r="1216" customHeight="1" spans="1:22">
      <c r="A1216" s="835"/>
      <c r="B1216" s="836"/>
      <c r="C1216" s="836"/>
      <c r="D1216" s="836"/>
      <c r="E1216" s="836"/>
      <c r="F1216" s="836"/>
      <c r="G1216" s="836"/>
      <c r="H1216" s="836"/>
      <c r="I1216" s="835"/>
      <c r="J1216" s="836"/>
      <c r="K1216" s="835"/>
      <c r="L1216" s="836"/>
      <c r="M1216" s="837"/>
      <c r="N1216" s="836"/>
      <c r="O1216" s="837"/>
      <c r="P1216" s="836"/>
      <c r="Q1216" s="835"/>
      <c r="R1216" s="837"/>
      <c r="S1216" s="837"/>
      <c r="T1216" s="838"/>
      <c r="U1216" s="836"/>
      <c r="V1216" s="836"/>
    </row>
    <row r="1217" customHeight="1" spans="1:22">
      <c r="A1217" s="835"/>
      <c r="B1217" s="836"/>
      <c r="C1217" s="836"/>
      <c r="D1217" s="836"/>
      <c r="E1217" s="836"/>
      <c r="F1217" s="836"/>
      <c r="G1217" s="836"/>
      <c r="H1217" s="836"/>
      <c r="I1217" s="835"/>
      <c r="J1217" s="836"/>
      <c r="K1217" s="835"/>
      <c r="L1217" s="836"/>
      <c r="M1217" s="837"/>
      <c r="N1217" s="836"/>
      <c r="O1217" s="837"/>
      <c r="P1217" s="836"/>
      <c r="Q1217" s="835"/>
      <c r="R1217" s="837"/>
      <c r="S1217" s="837"/>
      <c r="T1217" s="838"/>
      <c r="U1217" s="836"/>
      <c r="V1217" s="836"/>
    </row>
    <row r="1218" customHeight="1" spans="1:22">
      <c r="A1218" s="835"/>
      <c r="B1218" s="836"/>
      <c r="C1218" s="836"/>
      <c r="D1218" s="836"/>
      <c r="E1218" s="836"/>
      <c r="F1218" s="836"/>
      <c r="G1218" s="836"/>
      <c r="H1218" s="836"/>
      <c r="I1218" s="835"/>
      <c r="J1218" s="836"/>
      <c r="K1218" s="835"/>
      <c r="L1218" s="836"/>
      <c r="M1218" s="837"/>
      <c r="N1218" s="836"/>
      <c r="O1218" s="837"/>
      <c r="P1218" s="836"/>
      <c r="Q1218" s="835"/>
      <c r="R1218" s="837"/>
      <c r="S1218" s="837"/>
      <c r="T1218" s="838"/>
      <c r="U1218" s="836"/>
      <c r="V1218" s="836"/>
    </row>
    <row r="1219" customHeight="1" spans="1:22">
      <c r="A1219" s="835"/>
      <c r="B1219" s="836"/>
      <c r="C1219" s="836"/>
      <c r="D1219" s="836"/>
      <c r="E1219" s="836"/>
      <c r="F1219" s="836"/>
      <c r="G1219" s="836"/>
      <c r="H1219" s="836"/>
      <c r="I1219" s="835"/>
      <c r="J1219" s="836"/>
      <c r="K1219" s="835"/>
      <c r="L1219" s="836"/>
      <c r="M1219" s="837"/>
      <c r="N1219" s="836"/>
      <c r="O1219" s="837"/>
      <c r="P1219" s="836"/>
      <c r="Q1219" s="835"/>
      <c r="R1219" s="837"/>
      <c r="S1219" s="837"/>
      <c r="T1219" s="838"/>
      <c r="U1219" s="836"/>
      <c r="V1219" s="836"/>
    </row>
    <row r="1220" customHeight="1" spans="1:22">
      <c r="A1220" s="835"/>
      <c r="B1220" s="836"/>
      <c r="C1220" s="836"/>
      <c r="D1220" s="836"/>
      <c r="E1220" s="836"/>
      <c r="F1220" s="836"/>
      <c r="G1220" s="836"/>
      <c r="H1220" s="836"/>
      <c r="I1220" s="835"/>
      <c r="J1220" s="836"/>
      <c r="K1220" s="835"/>
      <c r="L1220" s="836"/>
      <c r="M1220" s="837"/>
      <c r="N1220" s="836"/>
      <c r="O1220" s="837"/>
      <c r="P1220" s="836"/>
      <c r="Q1220" s="835"/>
      <c r="R1220" s="837"/>
      <c r="S1220" s="837"/>
      <c r="T1220" s="838"/>
      <c r="U1220" s="836"/>
      <c r="V1220" s="836"/>
    </row>
    <row r="1221" customHeight="1" spans="1:22">
      <c r="A1221" s="835"/>
      <c r="B1221" s="836"/>
      <c r="C1221" s="836"/>
      <c r="D1221" s="836"/>
      <c r="E1221" s="836"/>
      <c r="F1221" s="836"/>
      <c r="G1221" s="836"/>
      <c r="H1221" s="836"/>
      <c r="I1221" s="835"/>
      <c r="J1221" s="836"/>
      <c r="K1221" s="835"/>
      <c r="L1221" s="836"/>
      <c r="M1221" s="837"/>
      <c r="N1221" s="836"/>
      <c r="O1221" s="837"/>
      <c r="P1221" s="836"/>
      <c r="Q1221" s="835"/>
      <c r="R1221" s="837"/>
      <c r="S1221" s="837"/>
      <c r="T1221" s="838"/>
      <c r="U1221" s="836"/>
      <c r="V1221" s="836"/>
    </row>
    <row r="1222" customHeight="1" spans="1:22">
      <c r="A1222" s="835"/>
      <c r="B1222" s="836"/>
      <c r="C1222" s="836"/>
      <c r="D1222" s="836"/>
      <c r="E1222" s="836"/>
      <c r="F1222" s="836"/>
      <c r="G1222" s="836"/>
      <c r="H1222" s="836"/>
      <c r="I1222" s="835"/>
      <c r="J1222" s="836"/>
      <c r="K1222" s="835"/>
      <c r="L1222" s="836"/>
      <c r="M1222" s="837"/>
      <c r="N1222" s="836"/>
      <c r="O1222" s="837"/>
      <c r="P1222" s="836"/>
      <c r="Q1222" s="835"/>
      <c r="R1222" s="837"/>
      <c r="S1222" s="837"/>
      <c r="T1222" s="838"/>
      <c r="U1222" s="836"/>
      <c r="V1222" s="836"/>
    </row>
    <row r="1223" customHeight="1" spans="1:22">
      <c r="A1223" s="835"/>
      <c r="B1223" s="836"/>
      <c r="C1223" s="836"/>
      <c r="D1223" s="836"/>
      <c r="E1223" s="836"/>
      <c r="F1223" s="836"/>
      <c r="G1223" s="836"/>
      <c r="H1223" s="836"/>
      <c r="I1223" s="835"/>
      <c r="J1223" s="836"/>
      <c r="K1223" s="835"/>
      <c r="L1223" s="836"/>
      <c r="M1223" s="837"/>
      <c r="N1223" s="836"/>
      <c r="O1223" s="837"/>
      <c r="P1223" s="836"/>
      <c r="Q1223" s="835"/>
      <c r="R1223" s="837"/>
      <c r="S1223" s="837"/>
      <c r="T1223" s="838"/>
      <c r="U1223" s="836"/>
      <c r="V1223" s="836"/>
    </row>
    <row r="1224" customHeight="1" spans="1:22">
      <c r="A1224" s="835"/>
      <c r="B1224" s="836"/>
      <c r="C1224" s="836"/>
      <c r="D1224" s="836"/>
      <c r="E1224" s="836"/>
      <c r="F1224" s="836"/>
      <c r="G1224" s="836"/>
      <c r="H1224" s="836"/>
      <c r="I1224" s="835"/>
      <c r="J1224" s="836"/>
      <c r="K1224" s="835"/>
      <c r="L1224" s="836"/>
      <c r="M1224" s="837"/>
      <c r="N1224" s="836"/>
      <c r="O1224" s="837"/>
      <c r="P1224" s="836"/>
      <c r="Q1224" s="835"/>
      <c r="R1224" s="837"/>
      <c r="S1224" s="837"/>
      <c r="T1224" s="838"/>
      <c r="U1224" s="836"/>
      <c r="V1224" s="836"/>
    </row>
    <row r="1225" customHeight="1" spans="1:22">
      <c r="A1225" s="835"/>
      <c r="B1225" s="836"/>
      <c r="C1225" s="836"/>
      <c r="D1225" s="836"/>
      <c r="E1225" s="836"/>
      <c r="F1225" s="836"/>
      <c r="G1225" s="836"/>
      <c r="H1225" s="836"/>
      <c r="I1225" s="835"/>
      <c r="J1225" s="836"/>
      <c r="K1225" s="835"/>
      <c r="L1225" s="836"/>
      <c r="M1225" s="837"/>
      <c r="N1225" s="836"/>
      <c r="O1225" s="837"/>
      <c r="P1225" s="836"/>
      <c r="Q1225" s="835"/>
      <c r="R1225" s="837"/>
      <c r="S1225" s="837"/>
      <c r="T1225" s="838"/>
      <c r="U1225" s="836"/>
      <c r="V1225" s="836"/>
    </row>
    <row r="1226" customHeight="1" spans="1:22">
      <c r="A1226" s="835"/>
      <c r="B1226" s="836"/>
      <c r="C1226" s="836"/>
      <c r="D1226" s="836"/>
      <c r="E1226" s="836"/>
      <c r="F1226" s="836"/>
      <c r="G1226" s="836"/>
      <c r="H1226" s="836"/>
      <c r="I1226" s="835"/>
      <c r="J1226" s="836"/>
      <c r="K1226" s="835"/>
      <c r="L1226" s="836"/>
      <c r="M1226" s="837"/>
      <c r="N1226" s="836"/>
      <c r="O1226" s="837"/>
      <c r="P1226" s="836"/>
      <c r="Q1226" s="835"/>
      <c r="R1226" s="837"/>
      <c r="S1226" s="837"/>
      <c r="T1226" s="838"/>
      <c r="U1226" s="836"/>
      <c r="V1226" s="836"/>
    </row>
    <row r="1227" customHeight="1" spans="1:22">
      <c r="A1227" s="835"/>
      <c r="B1227" s="836"/>
      <c r="C1227" s="836"/>
      <c r="D1227" s="836"/>
      <c r="E1227" s="836"/>
      <c r="F1227" s="836"/>
      <c r="G1227" s="836"/>
      <c r="H1227" s="836"/>
      <c r="I1227" s="835"/>
      <c r="J1227" s="836"/>
      <c r="K1227" s="835"/>
      <c r="L1227" s="836"/>
      <c r="M1227" s="837"/>
      <c r="N1227" s="836"/>
      <c r="O1227" s="837"/>
      <c r="P1227" s="836"/>
      <c r="Q1227" s="835"/>
      <c r="R1227" s="837"/>
      <c r="S1227" s="837"/>
      <c r="T1227" s="838"/>
      <c r="U1227" s="836"/>
      <c r="V1227" s="836"/>
    </row>
    <row r="1228" customHeight="1" spans="1:22">
      <c r="A1228" s="835"/>
      <c r="B1228" s="836"/>
      <c r="C1228" s="836"/>
      <c r="D1228" s="836"/>
      <c r="E1228" s="836"/>
      <c r="F1228" s="836"/>
      <c r="G1228" s="836"/>
      <c r="H1228" s="836"/>
      <c r="I1228" s="835"/>
      <c r="J1228" s="836"/>
      <c r="K1228" s="835"/>
      <c r="L1228" s="836"/>
      <c r="M1228" s="837"/>
      <c r="N1228" s="836"/>
      <c r="O1228" s="837"/>
      <c r="P1228" s="836"/>
      <c r="Q1228" s="835"/>
      <c r="R1228" s="837"/>
      <c r="S1228" s="837"/>
      <c r="T1228" s="838"/>
      <c r="U1228" s="836"/>
      <c r="V1228" s="836"/>
    </row>
    <row r="1229" customHeight="1" spans="1:22">
      <c r="A1229" s="835"/>
      <c r="B1229" s="836"/>
      <c r="C1229" s="836"/>
      <c r="D1229" s="836"/>
      <c r="E1229" s="836"/>
      <c r="F1229" s="836"/>
      <c r="G1229" s="836"/>
      <c r="H1229" s="836"/>
      <c r="I1229" s="835"/>
      <c r="J1229" s="836"/>
      <c r="K1229" s="835"/>
      <c r="L1229" s="836"/>
      <c r="M1229" s="837"/>
      <c r="N1229" s="836"/>
      <c r="O1229" s="837"/>
      <c r="P1229" s="836"/>
      <c r="Q1229" s="835"/>
      <c r="R1229" s="837"/>
      <c r="S1229" s="837"/>
      <c r="T1229" s="838"/>
      <c r="U1229" s="836"/>
      <c r="V1229" s="836"/>
    </row>
    <row r="1230" customHeight="1" spans="1:22">
      <c r="A1230" s="835"/>
      <c r="B1230" s="836"/>
      <c r="C1230" s="836"/>
      <c r="D1230" s="836"/>
      <c r="E1230" s="836"/>
      <c r="F1230" s="836"/>
      <c r="G1230" s="836"/>
      <c r="H1230" s="836"/>
      <c r="I1230" s="835"/>
      <c r="J1230" s="836"/>
      <c r="K1230" s="835"/>
      <c r="L1230" s="836"/>
      <c r="M1230" s="837"/>
      <c r="N1230" s="836"/>
      <c r="O1230" s="837"/>
      <c r="P1230" s="836"/>
      <c r="Q1230" s="835"/>
      <c r="R1230" s="837"/>
      <c r="S1230" s="837"/>
      <c r="T1230" s="838"/>
      <c r="U1230" s="836"/>
      <c r="V1230" s="836"/>
    </row>
    <row r="1231" customHeight="1" spans="1:22">
      <c r="A1231" s="835"/>
      <c r="B1231" s="836"/>
      <c r="C1231" s="836"/>
      <c r="D1231" s="836"/>
      <c r="E1231" s="836"/>
      <c r="F1231" s="836"/>
      <c r="G1231" s="836"/>
      <c r="H1231" s="836"/>
      <c r="I1231" s="835"/>
      <c r="J1231" s="836"/>
      <c r="K1231" s="835"/>
      <c r="L1231" s="836"/>
      <c r="M1231" s="837"/>
      <c r="N1231" s="836"/>
      <c r="O1231" s="837"/>
      <c r="P1231" s="836"/>
      <c r="Q1231" s="835"/>
      <c r="R1231" s="837"/>
      <c r="S1231" s="837"/>
      <c r="T1231" s="838"/>
      <c r="U1231" s="836"/>
      <c r="V1231" s="836"/>
    </row>
    <row r="1232" customHeight="1" spans="1:22">
      <c r="A1232" s="835"/>
      <c r="B1232" s="836"/>
      <c r="C1232" s="836"/>
      <c r="D1232" s="836"/>
      <c r="E1232" s="836"/>
      <c r="F1232" s="836"/>
      <c r="G1232" s="836"/>
      <c r="H1232" s="836"/>
      <c r="I1232" s="835"/>
      <c r="J1232" s="836"/>
      <c r="K1232" s="835"/>
      <c r="L1232" s="836"/>
      <c r="M1232" s="837"/>
      <c r="N1232" s="836"/>
      <c r="O1232" s="837"/>
      <c r="P1232" s="836"/>
      <c r="Q1232" s="835"/>
      <c r="R1232" s="837"/>
      <c r="S1232" s="837"/>
      <c r="T1232" s="838"/>
      <c r="U1232" s="836"/>
      <c r="V1232" s="836"/>
    </row>
    <row r="1233" customHeight="1" spans="1:22">
      <c r="A1233" s="835"/>
      <c r="B1233" s="836"/>
      <c r="C1233" s="836"/>
      <c r="D1233" s="836"/>
      <c r="E1233" s="836"/>
      <c r="F1233" s="836"/>
      <c r="G1233" s="836"/>
      <c r="H1233" s="836"/>
      <c r="I1233" s="835"/>
      <c r="J1233" s="836"/>
      <c r="K1233" s="835"/>
      <c r="L1233" s="836"/>
      <c r="M1233" s="837"/>
      <c r="N1233" s="836"/>
      <c r="O1233" s="837"/>
      <c r="P1233" s="836"/>
      <c r="Q1233" s="835"/>
      <c r="R1233" s="837"/>
      <c r="S1233" s="837"/>
      <c r="T1233" s="838"/>
      <c r="U1233" s="836"/>
      <c r="V1233" s="836"/>
    </row>
    <row r="1234" customHeight="1" spans="1:22">
      <c r="A1234" s="835"/>
      <c r="B1234" s="836"/>
      <c r="C1234" s="836"/>
      <c r="D1234" s="836"/>
      <c r="E1234" s="836"/>
      <c r="F1234" s="836"/>
      <c r="G1234" s="836"/>
      <c r="H1234" s="836"/>
      <c r="I1234" s="835"/>
      <c r="J1234" s="836"/>
      <c r="K1234" s="835"/>
      <c r="L1234" s="836"/>
      <c r="M1234" s="837"/>
      <c r="N1234" s="836"/>
      <c r="O1234" s="837"/>
      <c r="P1234" s="836"/>
      <c r="Q1234" s="835"/>
      <c r="R1234" s="837"/>
      <c r="S1234" s="837"/>
      <c r="T1234" s="838"/>
      <c r="U1234" s="836"/>
      <c r="V1234" s="836"/>
    </row>
    <row r="1235" customHeight="1" spans="1:22">
      <c r="A1235" s="835"/>
      <c r="B1235" s="836"/>
      <c r="C1235" s="836"/>
      <c r="D1235" s="836"/>
      <c r="E1235" s="836"/>
      <c r="F1235" s="836"/>
      <c r="G1235" s="836"/>
      <c r="H1235" s="836"/>
      <c r="I1235" s="835"/>
      <c r="J1235" s="836"/>
      <c r="K1235" s="835"/>
      <c r="L1235" s="836"/>
      <c r="M1235" s="837"/>
      <c r="N1235" s="836"/>
      <c r="O1235" s="837"/>
      <c r="P1235" s="836"/>
      <c r="Q1235" s="835"/>
      <c r="R1235" s="837"/>
      <c r="S1235" s="837"/>
      <c r="T1235" s="838"/>
      <c r="U1235" s="836"/>
      <c r="V1235" s="836"/>
    </row>
    <row r="1236" customHeight="1" spans="1:22">
      <c r="A1236" s="835"/>
      <c r="B1236" s="836"/>
      <c r="C1236" s="836"/>
      <c r="D1236" s="836"/>
      <c r="E1236" s="836"/>
      <c r="F1236" s="836"/>
      <c r="G1236" s="836"/>
      <c r="H1236" s="836"/>
      <c r="I1236" s="835"/>
      <c r="J1236" s="836"/>
      <c r="K1236" s="835"/>
      <c r="L1236" s="836"/>
      <c r="M1236" s="837"/>
      <c r="N1236" s="836"/>
      <c r="O1236" s="837"/>
      <c r="P1236" s="836"/>
      <c r="Q1236" s="835"/>
      <c r="R1236" s="837"/>
      <c r="S1236" s="837"/>
      <c r="T1236" s="838"/>
      <c r="U1236" s="836"/>
      <c r="V1236" s="836"/>
    </row>
    <row r="1237" customHeight="1" spans="1:22">
      <c r="A1237" s="835"/>
      <c r="B1237" s="836"/>
      <c r="C1237" s="836"/>
      <c r="D1237" s="836"/>
      <c r="E1237" s="836"/>
      <c r="F1237" s="836"/>
      <c r="G1237" s="836"/>
      <c r="H1237" s="836"/>
      <c r="I1237" s="835"/>
      <c r="J1237" s="836"/>
      <c r="K1237" s="835"/>
      <c r="L1237" s="836"/>
      <c r="M1237" s="837"/>
      <c r="N1237" s="836"/>
      <c r="O1237" s="837"/>
      <c r="P1237" s="836"/>
      <c r="Q1237" s="835"/>
      <c r="R1237" s="837"/>
      <c r="S1237" s="837"/>
      <c r="T1237" s="838"/>
      <c r="U1237" s="836"/>
      <c r="V1237" s="836"/>
    </row>
    <row r="1238" customHeight="1" spans="1:22">
      <c r="A1238" s="835"/>
      <c r="B1238" s="836"/>
      <c r="C1238" s="836"/>
      <c r="D1238" s="836"/>
      <c r="E1238" s="836"/>
      <c r="F1238" s="836"/>
      <c r="G1238" s="836"/>
      <c r="H1238" s="836"/>
      <c r="I1238" s="835"/>
      <c r="J1238" s="836"/>
      <c r="K1238" s="835"/>
      <c r="L1238" s="836"/>
      <c r="M1238" s="837"/>
      <c r="N1238" s="836"/>
      <c r="O1238" s="837"/>
      <c r="P1238" s="836"/>
      <c r="Q1238" s="835"/>
      <c r="R1238" s="837"/>
      <c r="S1238" s="837"/>
      <c r="T1238" s="838"/>
      <c r="U1238" s="836"/>
      <c r="V1238" s="836"/>
    </row>
    <row r="1239" customHeight="1" spans="1:22">
      <c r="A1239" s="835"/>
      <c r="B1239" s="836"/>
      <c r="C1239" s="836"/>
      <c r="D1239" s="836"/>
      <c r="E1239" s="836"/>
      <c r="F1239" s="836"/>
      <c r="G1239" s="836"/>
      <c r="H1239" s="836"/>
      <c r="I1239" s="835"/>
      <c r="J1239" s="836"/>
      <c r="K1239" s="835"/>
      <c r="L1239" s="836"/>
      <c r="M1239" s="837"/>
      <c r="N1239" s="836"/>
      <c r="O1239" s="837"/>
      <c r="P1239" s="836"/>
      <c r="Q1239" s="835"/>
      <c r="R1239" s="837"/>
      <c r="S1239" s="837"/>
      <c r="T1239" s="838"/>
      <c r="U1239" s="836"/>
      <c r="V1239" s="836"/>
    </row>
    <row r="1240" customHeight="1" spans="1:22">
      <c r="A1240" s="835"/>
      <c r="B1240" s="836"/>
      <c r="C1240" s="836"/>
      <c r="D1240" s="836"/>
      <c r="E1240" s="836"/>
      <c r="F1240" s="836"/>
      <c r="G1240" s="836"/>
      <c r="H1240" s="836"/>
      <c r="I1240" s="835"/>
      <c r="J1240" s="836"/>
      <c r="K1240" s="835"/>
      <c r="L1240" s="836"/>
      <c r="M1240" s="837"/>
      <c r="N1240" s="836"/>
      <c r="O1240" s="837"/>
      <c r="P1240" s="836"/>
      <c r="Q1240" s="835"/>
      <c r="R1240" s="837"/>
      <c r="S1240" s="837"/>
      <c r="T1240" s="838"/>
      <c r="U1240" s="836"/>
      <c r="V1240" s="836"/>
    </row>
    <row r="1241" customHeight="1" spans="1:22">
      <c r="A1241" s="835"/>
      <c r="B1241" s="836"/>
      <c r="C1241" s="836"/>
      <c r="D1241" s="836"/>
      <c r="E1241" s="836"/>
      <c r="F1241" s="836"/>
      <c r="G1241" s="836"/>
      <c r="H1241" s="836"/>
      <c r="I1241" s="835"/>
      <c r="J1241" s="836"/>
      <c r="K1241" s="835"/>
      <c r="L1241" s="836"/>
      <c r="M1241" s="837"/>
      <c r="N1241" s="836"/>
      <c r="O1241" s="837"/>
      <c r="P1241" s="836"/>
      <c r="Q1241" s="835"/>
      <c r="R1241" s="837"/>
      <c r="S1241" s="837"/>
      <c r="T1241" s="838"/>
      <c r="U1241" s="836"/>
      <c r="V1241" s="836"/>
    </row>
    <row r="1242" customHeight="1" spans="1:22">
      <c r="A1242" s="835"/>
      <c r="B1242" s="836"/>
      <c r="C1242" s="836"/>
      <c r="D1242" s="836"/>
      <c r="E1242" s="836"/>
      <c r="F1242" s="836"/>
      <c r="G1242" s="836"/>
      <c r="H1242" s="836"/>
      <c r="I1242" s="835"/>
      <c r="J1242" s="836"/>
      <c r="K1242" s="835"/>
      <c r="L1242" s="836"/>
      <c r="M1242" s="837"/>
      <c r="N1242" s="836"/>
      <c r="O1242" s="837"/>
      <c r="P1242" s="836"/>
      <c r="Q1242" s="835"/>
      <c r="R1242" s="837"/>
      <c r="S1242" s="837"/>
      <c r="T1242" s="838"/>
      <c r="U1242" s="836"/>
      <c r="V1242" s="836"/>
    </row>
    <row r="1243" customHeight="1" spans="1:22">
      <c r="A1243" s="835"/>
      <c r="B1243" s="836"/>
      <c r="C1243" s="836"/>
      <c r="D1243" s="836"/>
      <c r="E1243" s="836"/>
      <c r="F1243" s="836"/>
      <c r="G1243" s="836"/>
      <c r="H1243" s="836"/>
      <c r="I1243" s="835"/>
      <c r="J1243" s="836"/>
      <c r="K1243" s="835"/>
      <c r="L1243" s="836"/>
      <c r="M1243" s="837"/>
      <c r="N1243" s="836"/>
      <c r="O1243" s="837"/>
      <c r="P1243" s="836"/>
      <c r="Q1243" s="835"/>
      <c r="R1243" s="837"/>
      <c r="S1243" s="837"/>
      <c r="T1243" s="838"/>
      <c r="U1243" s="836"/>
      <c r="V1243" s="836"/>
    </row>
    <row r="1244" customHeight="1" spans="1:22">
      <c r="A1244" s="835"/>
      <c r="B1244" s="836"/>
      <c r="C1244" s="836"/>
      <c r="D1244" s="836"/>
      <c r="E1244" s="836"/>
      <c r="F1244" s="836"/>
      <c r="G1244" s="836"/>
      <c r="H1244" s="836"/>
      <c r="I1244" s="835"/>
      <c r="J1244" s="836"/>
      <c r="K1244" s="835"/>
      <c r="L1244" s="836"/>
      <c r="M1244" s="837"/>
      <c r="N1244" s="836"/>
      <c r="O1244" s="837"/>
      <c r="P1244" s="836"/>
      <c r="Q1244" s="835"/>
      <c r="R1244" s="837"/>
      <c r="S1244" s="837"/>
      <c r="T1244" s="838"/>
      <c r="U1244" s="836"/>
      <c r="V1244" s="836"/>
    </row>
    <row r="1245" customHeight="1" spans="1:22">
      <c r="A1245" s="835"/>
      <c r="B1245" s="836"/>
      <c r="C1245" s="836"/>
      <c r="D1245" s="836"/>
      <c r="E1245" s="836"/>
      <c r="F1245" s="836"/>
      <c r="G1245" s="836"/>
      <c r="H1245" s="836"/>
      <c r="I1245" s="835"/>
      <c r="J1245" s="836"/>
      <c r="K1245" s="835"/>
      <c r="L1245" s="836"/>
      <c r="M1245" s="837"/>
      <c r="N1245" s="836"/>
      <c r="O1245" s="837"/>
      <c r="P1245" s="836"/>
      <c r="Q1245" s="835"/>
      <c r="R1245" s="837"/>
      <c r="S1245" s="837"/>
      <c r="T1245" s="838"/>
      <c r="U1245" s="836"/>
      <c r="V1245" s="836"/>
    </row>
    <row r="1246" customHeight="1" spans="1:22">
      <c r="A1246" s="835"/>
      <c r="B1246" s="836"/>
      <c r="C1246" s="836"/>
      <c r="D1246" s="836"/>
      <c r="E1246" s="836"/>
      <c r="F1246" s="836"/>
      <c r="G1246" s="836"/>
      <c r="H1246" s="836"/>
      <c r="I1246" s="835"/>
      <c r="J1246" s="836"/>
      <c r="K1246" s="835"/>
      <c r="L1246" s="836"/>
      <c r="M1246" s="837"/>
      <c r="N1246" s="836"/>
      <c r="O1246" s="837"/>
      <c r="P1246" s="836"/>
      <c r="Q1246" s="835"/>
      <c r="R1246" s="837"/>
      <c r="S1246" s="837"/>
      <c r="T1246" s="838"/>
      <c r="U1246" s="836"/>
      <c r="V1246" s="836"/>
    </row>
    <row r="1247" customHeight="1" spans="1:22">
      <c r="A1247" s="835"/>
      <c r="B1247" s="836"/>
      <c r="C1247" s="836"/>
      <c r="D1247" s="836"/>
      <c r="E1247" s="836"/>
      <c r="F1247" s="836"/>
      <c r="G1247" s="836"/>
      <c r="H1247" s="836"/>
      <c r="I1247" s="835"/>
      <c r="J1247" s="836"/>
      <c r="K1247" s="835"/>
      <c r="L1247" s="836"/>
      <c r="M1247" s="837"/>
      <c r="N1247" s="836"/>
      <c r="O1247" s="837"/>
      <c r="P1247" s="836"/>
      <c r="Q1247" s="835"/>
      <c r="R1247" s="837"/>
      <c r="S1247" s="837"/>
      <c r="T1247" s="838"/>
      <c r="U1247" s="836"/>
      <c r="V1247" s="836"/>
    </row>
    <row r="1248" customHeight="1" spans="1:22">
      <c r="A1248" s="835"/>
      <c r="B1248" s="836"/>
      <c r="C1248" s="836"/>
      <c r="D1248" s="836"/>
      <c r="E1248" s="836"/>
      <c r="F1248" s="836"/>
      <c r="G1248" s="836"/>
      <c r="H1248" s="836"/>
      <c r="I1248" s="835"/>
      <c r="J1248" s="836"/>
      <c r="K1248" s="835"/>
      <c r="L1248" s="836"/>
      <c r="M1248" s="837"/>
      <c r="N1248" s="836"/>
      <c r="O1248" s="837"/>
      <c r="P1248" s="836"/>
      <c r="Q1248" s="835"/>
      <c r="R1248" s="837"/>
      <c r="S1248" s="837"/>
      <c r="T1248" s="838"/>
      <c r="U1248" s="836"/>
      <c r="V1248" s="836"/>
    </row>
    <row r="1249" customHeight="1" spans="1:22">
      <c r="A1249" s="835"/>
      <c r="B1249" s="836"/>
      <c r="C1249" s="836"/>
      <c r="D1249" s="836"/>
      <c r="E1249" s="836"/>
      <c r="F1249" s="836"/>
      <c r="G1249" s="836"/>
      <c r="H1249" s="836"/>
      <c r="I1249" s="835"/>
      <c r="J1249" s="836"/>
      <c r="K1249" s="835"/>
      <c r="L1249" s="836"/>
      <c r="M1249" s="837"/>
      <c r="N1249" s="836"/>
      <c r="O1249" s="837"/>
      <c r="P1249" s="836"/>
      <c r="Q1249" s="835"/>
      <c r="R1249" s="837"/>
      <c r="S1249" s="837"/>
      <c r="T1249" s="838"/>
      <c r="U1249" s="836"/>
      <c r="V1249" s="836"/>
    </row>
    <row r="1250" customHeight="1" spans="1:22">
      <c r="A1250" s="835"/>
      <c r="B1250" s="836"/>
      <c r="C1250" s="836"/>
      <c r="D1250" s="836"/>
      <c r="E1250" s="836"/>
      <c r="F1250" s="836"/>
      <c r="G1250" s="836"/>
      <c r="H1250" s="836"/>
      <c r="I1250" s="835"/>
      <c r="J1250" s="836"/>
      <c r="K1250" s="835"/>
      <c r="L1250" s="836"/>
      <c r="M1250" s="837"/>
      <c r="N1250" s="836"/>
      <c r="O1250" s="837"/>
      <c r="P1250" s="836"/>
      <c r="Q1250" s="835"/>
      <c r="R1250" s="837"/>
      <c r="S1250" s="837"/>
      <c r="T1250" s="838"/>
      <c r="U1250" s="836"/>
      <c r="V1250" s="836"/>
    </row>
    <row r="1251" customHeight="1" spans="1:22">
      <c r="A1251" s="835"/>
      <c r="B1251" s="836"/>
      <c r="C1251" s="836"/>
      <c r="D1251" s="836"/>
      <c r="E1251" s="836"/>
      <c r="F1251" s="836"/>
      <c r="G1251" s="836"/>
      <c r="H1251" s="836"/>
      <c r="I1251" s="835"/>
      <c r="J1251" s="836"/>
      <c r="K1251" s="835"/>
      <c r="L1251" s="836"/>
      <c r="M1251" s="837"/>
      <c r="N1251" s="836"/>
      <c r="O1251" s="837"/>
      <c r="P1251" s="836"/>
      <c r="Q1251" s="835"/>
      <c r="R1251" s="837"/>
      <c r="S1251" s="837"/>
      <c r="T1251" s="838"/>
      <c r="U1251" s="836"/>
      <c r="V1251" s="836"/>
    </row>
    <row r="1252" customHeight="1" spans="1:22">
      <c r="A1252" s="835"/>
      <c r="B1252" s="836"/>
      <c r="C1252" s="836"/>
      <c r="D1252" s="836"/>
      <c r="E1252" s="836"/>
      <c r="F1252" s="836"/>
      <c r="G1252" s="836"/>
      <c r="H1252" s="836"/>
      <c r="I1252" s="835"/>
      <c r="J1252" s="836"/>
      <c r="K1252" s="835"/>
      <c r="L1252" s="836"/>
      <c r="M1252" s="837"/>
      <c r="N1252" s="836"/>
      <c r="O1252" s="837"/>
      <c r="P1252" s="836"/>
      <c r="Q1252" s="835"/>
      <c r="R1252" s="837"/>
      <c r="S1252" s="837"/>
      <c r="T1252" s="838"/>
      <c r="U1252" s="836"/>
      <c r="V1252" s="836"/>
    </row>
    <row r="1253" customHeight="1" spans="1:22">
      <c r="A1253" s="835"/>
      <c r="B1253" s="836"/>
      <c r="C1253" s="836"/>
      <c r="D1253" s="836"/>
      <c r="E1253" s="836"/>
      <c r="F1253" s="836"/>
      <c r="G1253" s="836"/>
      <c r="H1253" s="836"/>
      <c r="I1253" s="835"/>
      <c r="J1253" s="836"/>
      <c r="K1253" s="835"/>
      <c r="L1253" s="836"/>
      <c r="M1253" s="837"/>
      <c r="N1253" s="836"/>
      <c r="O1253" s="837"/>
      <c r="P1253" s="836"/>
      <c r="Q1253" s="835"/>
      <c r="R1253" s="837"/>
      <c r="S1253" s="837"/>
      <c r="T1253" s="838"/>
      <c r="U1253" s="836"/>
      <c r="V1253" s="836"/>
    </row>
    <row r="1254" customHeight="1" spans="1:22">
      <c r="A1254" s="835"/>
      <c r="B1254" s="836"/>
      <c r="C1254" s="836"/>
      <c r="D1254" s="836"/>
      <c r="E1254" s="836"/>
      <c r="F1254" s="836"/>
      <c r="G1254" s="836"/>
      <c r="H1254" s="836"/>
      <c r="I1254" s="835"/>
      <c r="J1254" s="836"/>
      <c r="K1254" s="835"/>
      <c r="L1254" s="836"/>
      <c r="M1254" s="837"/>
      <c r="N1254" s="836"/>
      <c r="O1254" s="837"/>
      <c r="P1254" s="836"/>
      <c r="Q1254" s="835"/>
      <c r="R1254" s="837"/>
      <c r="S1254" s="837"/>
      <c r="T1254" s="838"/>
      <c r="U1254" s="836"/>
      <c r="V1254" s="836"/>
    </row>
    <row r="1255" customHeight="1" spans="1:22">
      <c r="A1255" s="835"/>
      <c r="B1255" s="836"/>
      <c r="C1255" s="836"/>
      <c r="D1255" s="836"/>
      <c r="E1255" s="836"/>
      <c r="F1255" s="836"/>
      <c r="G1255" s="836"/>
      <c r="H1255" s="836"/>
      <c r="I1255" s="835"/>
      <c r="J1255" s="836"/>
      <c r="K1255" s="835"/>
      <c r="L1255" s="836"/>
      <c r="M1255" s="837"/>
      <c r="N1255" s="836"/>
      <c r="O1255" s="837"/>
      <c r="P1255" s="836"/>
      <c r="Q1255" s="835"/>
      <c r="R1255" s="837"/>
      <c r="S1255" s="837"/>
      <c r="T1255" s="838"/>
      <c r="U1255" s="836"/>
      <c r="V1255" s="836"/>
    </row>
    <row r="1256" customHeight="1" spans="1:22">
      <c r="A1256" s="835"/>
      <c r="B1256" s="836"/>
      <c r="C1256" s="836"/>
      <c r="D1256" s="836"/>
      <c r="E1256" s="836"/>
      <c r="F1256" s="836"/>
      <c r="G1256" s="836"/>
      <c r="H1256" s="836"/>
      <c r="I1256" s="835"/>
      <c r="J1256" s="836"/>
      <c r="K1256" s="835"/>
      <c r="L1256" s="836"/>
      <c r="M1256" s="837"/>
      <c r="N1256" s="836"/>
      <c r="O1256" s="837"/>
      <c r="P1256" s="836"/>
      <c r="Q1256" s="835"/>
      <c r="R1256" s="837"/>
      <c r="S1256" s="837"/>
      <c r="T1256" s="838"/>
      <c r="U1256" s="836"/>
      <c r="V1256" s="836"/>
    </row>
    <row r="1257" customHeight="1" spans="1:22">
      <c r="A1257" s="835"/>
      <c r="B1257" s="836"/>
      <c r="C1257" s="836"/>
      <c r="D1257" s="836"/>
      <c r="E1257" s="836"/>
      <c r="F1257" s="836"/>
      <c r="G1257" s="836"/>
      <c r="H1257" s="836"/>
      <c r="I1257" s="835"/>
      <c r="J1257" s="836"/>
      <c r="K1257" s="835"/>
      <c r="L1257" s="836"/>
      <c r="M1257" s="837"/>
      <c r="N1257" s="836"/>
      <c r="O1257" s="837"/>
      <c r="P1257" s="836"/>
      <c r="Q1257" s="835"/>
      <c r="R1257" s="837"/>
      <c r="S1257" s="837"/>
      <c r="T1257" s="838"/>
      <c r="U1257" s="836"/>
      <c r="V1257" s="836"/>
    </row>
    <row r="1258" customHeight="1" spans="1:22">
      <c r="A1258" s="835"/>
      <c r="B1258" s="836"/>
      <c r="C1258" s="836"/>
      <c r="D1258" s="836"/>
      <c r="E1258" s="836"/>
      <c r="F1258" s="836"/>
      <c r="G1258" s="836"/>
      <c r="H1258" s="836"/>
      <c r="I1258" s="835"/>
      <c r="J1258" s="836"/>
      <c r="K1258" s="835"/>
      <c r="L1258" s="836"/>
      <c r="M1258" s="837"/>
      <c r="N1258" s="836"/>
      <c r="O1258" s="837"/>
      <c r="P1258" s="836"/>
      <c r="Q1258" s="835"/>
      <c r="R1258" s="837"/>
      <c r="S1258" s="837"/>
      <c r="T1258" s="838"/>
      <c r="U1258" s="836"/>
      <c r="V1258" s="836"/>
    </row>
    <row r="1259" customHeight="1" spans="1:22">
      <c r="A1259" s="835"/>
      <c r="B1259" s="836"/>
      <c r="C1259" s="836"/>
      <c r="D1259" s="836"/>
      <c r="E1259" s="836"/>
      <c r="F1259" s="836"/>
      <c r="G1259" s="836"/>
      <c r="H1259" s="836"/>
      <c r="I1259" s="835"/>
      <c r="J1259" s="836"/>
      <c r="K1259" s="835"/>
      <c r="L1259" s="836"/>
      <c r="M1259" s="837"/>
      <c r="N1259" s="836"/>
      <c r="O1259" s="837"/>
      <c r="P1259" s="836"/>
      <c r="Q1259" s="835"/>
      <c r="R1259" s="837"/>
      <c r="S1259" s="837"/>
      <c r="T1259" s="838"/>
      <c r="U1259" s="836"/>
      <c r="V1259" s="836"/>
    </row>
    <row r="1260" customHeight="1" spans="1:22">
      <c r="A1260" s="835"/>
      <c r="B1260" s="836"/>
      <c r="C1260" s="836"/>
      <c r="D1260" s="836"/>
      <c r="E1260" s="836"/>
      <c r="F1260" s="836"/>
      <c r="G1260" s="836"/>
      <c r="H1260" s="836"/>
      <c r="I1260" s="835"/>
      <c r="J1260" s="836"/>
      <c r="K1260" s="835"/>
      <c r="L1260" s="836"/>
      <c r="M1260" s="837"/>
      <c r="N1260" s="836"/>
      <c r="O1260" s="837"/>
      <c r="P1260" s="836"/>
      <c r="Q1260" s="835"/>
      <c r="R1260" s="837"/>
      <c r="S1260" s="837"/>
      <c r="T1260" s="838"/>
      <c r="U1260" s="836"/>
      <c r="V1260" s="836"/>
    </row>
    <row r="1261" customHeight="1" spans="1:22">
      <c r="A1261" s="835"/>
      <c r="B1261" s="836"/>
      <c r="C1261" s="836"/>
      <c r="D1261" s="836"/>
      <c r="E1261" s="836"/>
      <c r="F1261" s="836"/>
      <c r="G1261" s="836"/>
      <c r="H1261" s="836"/>
      <c r="I1261" s="835"/>
      <c r="J1261" s="836"/>
      <c r="K1261" s="835"/>
      <c r="L1261" s="836"/>
      <c r="M1261" s="837"/>
      <c r="N1261" s="836"/>
      <c r="O1261" s="837"/>
      <c r="P1261" s="836"/>
      <c r="Q1261" s="835"/>
      <c r="R1261" s="837"/>
      <c r="S1261" s="837"/>
      <c r="T1261" s="838"/>
      <c r="U1261" s="836"/>
      <c r="V1261" s="836"/>
    </row>
    <row r="1262" customHeight="1" spans="1:22">
      <c r="A1262" s="835"/>
      <c r="B1262" s="836"/>
      <c r="C1262" s="836"/>
      <c r="D1262" s="836"/>
      <c r="E1262" s="836"/>
      <c r="F1262" s="836"/>
      <c r="G1262" s="836"/>
      <c r="H1262" s="836"/>
      <c r="I1262" s="835"/>
      <c r="J1262" s="836"/>
      <c r="K1262" s="835"/>
      <c r="L1262" s="836"/>
      <c r="M1262" s="837"/>
      <c r="N1262" s="836"/>
      <c r="O1262" s="837"/>
      <c r="P1262" s="836"/>
      <c r="Q1262" s="835"/>
      <c r="R1262" s="837"/>
      <c r="S1262" s="837"/>
      <c r="T1262" s="838"/>
      <c r="U1262" s="836"/>
      <c r="V1262" s="836"/>
    </row>
    <row r="1263" customHeight="1" spans="1:22">
      <c r="A1263" s="835"/>
      <c r="B1263" s="836"/>
      <c r="C1263" s="836"/>
      <c r="D1263" s="836"/>
      <c r="E1263" s="836"/>
      <c r="F1263" s="836"/>
      <c r="G1263" s="836"/>
      <c r="H1263" s="836"/>
      <c r="I1263" s="835"/>
      <c r="J1263" s="836"/>
      <c r="K1263" s="835"/>
      <c r="L1263" s="836"/>
      <c r="M1263" s="837"/>
      <c r="N1263" s="836"/>
      <c r="O1263" s="837"/>
      <c r="P1263" s="836"/>
      <c r="Q1263" s="835"/>
      <c r="R1263" s="837"/>
      <c r="S1263" s="837"/>
      <c r="T1263" s="838"/>
      <c r="U1263" s="836"/>
      <c r="V1263" s="836"/>
    </row>
    <row r="1264" customHeight="1" spans="1:22">
      <c r="A1264" s="835"/>
      <c r="B1264" s="836"/>
      <c r="C1264" s="836"/>
      <c r="D1264" s="836"/>
      <c r="E1264" s="836"/>
      <c r="F1264" s="836"/>
      <c r="G1264" s="836"/>
      <c r="H1264" s="836"/>
      <c r="I1264" s="835"/>
      <c r="J1264" s="836"/>
      <c r="K1264" s="835"/>
      <c r="L1264" s="836"/>
      <c r="M1264" s="837"/>
      <c r="N1264" s="836"/>
      <c r="O1264" s="837"/>
      <c r="P1264" s="836"/>
      <c r="Q1264" s="835"/>
      <c r="R1264" s="837"/>
      <c r="S1264" s="837"/>
      <c r="T1264" s="838"/>
      <c r="U1264" s="836"/>
      <c r="V1264" s="836"/>
    </row>
    <row r="1265" customHeight="1" spans="1:22">
      <c r="A1265" s="835"/>
      <c r="B1265" s="836"/>
      <c r="C1265" s="836"/>
      <c r="D1265" s="836"/>
      <c r="E1265" s="836"/>
      <c r="F1265" s="836"/>
      <c r="G1265" s="836"/>
      <c r="H1265" s="836"/>
      <c r="I1265" s="835"/>
      <c r="J1265" s="836"/>
      <c r="K1265" s="835"/>
      <c r="L1265" s="836"/>
      <c r="M1265" s="837"/>
      <c r="N1265" s="836"/>
      <c r="O1265" s="837"/>
      <c r="P1265" s="836"/>
      <c r="Q1265" s="835"/>
      <c r="R1265" s="837"/>
      <c r="S1265" s="837"/>
      <c r="T1265" s="838"/>
      <c r="U1265" s="836"/>
      <c r="V1265" s="836"/>
    </row>
    <row r="1266" customHeight="1" spans="1:22">
      <c r="A1266" s="835"/>
      <c r="B1266" s="836"/>
      <c r="C1266" s="836"/>
      <c r="D1266" s="836"/>
      <c r="E1266" s="836"/>
      <c r="F1266" s="836"/>
      <c r="G1266" s="836"/>
      <c r="H1266" s="836"/>
      <c r="I1266" s="835"/>
      <c r="J1266" s="836"/>
      <c r="K1266" s="835"/>
      <c r="L1266" s="836"/>
      <c r="M1266" s="837"/>
      <c r="N1266" s="836"/>
      <c r="O1266" s="837"/>
      <c r="P1266" s="836"/>
      <c r="Q1266" s="835"/>
      <c r="R1266" s="837"/>
      <c r="S1266" s="837"/>
      <c r="T1266" s="838"/>
      <c r="U1266" s="836"/>
      <c r="V1266" s="836"/>
    </row>
    <row r="1267" customHeight="1" spans="1:22">
      <c r="A1267" s="835"/>
      <c r="B1267" s="836"/>
      <c r="C1267" s="836"/>
      <c r="D1267" s="836"/>
      <c r="E1267" s="836"/>
      <c r="F1267" s="836"/>
      <c r="G1267" s="836"/>
      <c r="H1267" s="836"/>
      <c r="I1267" s="835"/>
      <c r="J1267" s="836"/>
      <c r="K1267" s="835"/>
      <c r="L1267" s="836"/>
      <c r="M1267" s="837"/>
      <c r="N1267" s="836"/>
      <c r="O1267" s="837"/>
      <c r="P1267" s="836"/>
      <c r="Q1267" s="835"/>
      <c r="R1267" s="837"/>
      <c r="S1267" s="837"/>
      <c r="T1267" s="838"/>
      <c r="U1267" s="836"/>
      <c r="V1267" s="836"/>
    </row>
    <row r="1268" customHeight="1" spans="1:22">
      <c r="A1268" s="835"/>
      <c r="B1268" s="836"/>
      <c r="C1268" s="836"/>
      <c r="D1268" s="836"/>
      <c r="E1268" s="836"/>
      <c r="F1268" s="836"/>
      <c r="G1268" s="836"/>
      <c r="H1268" s="836"/>
      <c r="I1268" s="835"/>
      <c r="J1268" s="836"/>
      <c r="K1268" s="835"/>
      <c r="L1268" s="836"/>
      <c r="M1268" s="837"/>
      <c r="N1268" s="836"/>
      <c r="O1268" s="837"/>
      <c r="P1268" s="836"/>
      <c r="Q1268" s="835"/>
      <c r="R1268" s="837"/>
      <c r="S1268" s="837"/>
      <c r="T1268" s="838"/>
      <c r="U1268" s="836"/>
      <c r="V1268" s="836"/>
    </row>
    <row r="1269" customHeight="1" spans="1:22">
      <c r="A1269" s="835"/>
      <c r="B1269" s="836"/>
      <c r="C1269" s="836"/>
      <c r="D1269" s="836"/>
      <c r="E1269" s="836"/>
      <c r="F1269" s="836"/>
      <c r="G1269" s="836"/>
      <c r="H1269" s="836"/>
      <c r="I1269" s="835"/>
      <c r="J1269" s="836"/>
      <c r="K1269" s="835"/>
      <c r="L1269" s="836"/>
      <c r="M1269" s="837"/>
      <c r="N1269" s="836"/>
      <c r="O1269" s="837"/>
      <c r="P1269" s="836"/>
      <c r="Q1269" s="835"/>
      <c r="R1269" s="837"/>
      <c r="S1269" s="837"/>
      <c r="T1269" s="838"/>
      <c r="U1269" s="836"/>
      <c r="V1269" s="836"/>
    </row>
    <row r="1270" customHeight="1" spans="1:22">
      <c r="A1270" s="835"/>
      <c r="B1270" s="836"/>
      <c r="C1270" s="836"/>
      <c r="D1270" s="836"/>
      <c r="E1270" s="836"/>
      <c r="F1270" s="836"/>
      <c r="G1270" s="836"/>
      <c r="H1270" s="836"/>
      <c r="I1270" s="835"/>
      <c r="J1270" s="836"/>
      <c r="K1270" s="835"/>
      <c r="L1270" s="836"/>
      <c r="M1270" s="837"/>
      <c r="N1270" s="836"/>
      <c r="O1270" s="837"/>
      <c r="P1270" s="836"/>
      <c r="Q1270" s="835"/>
      <c r="R1270" s="837"/>
      <c r="S1270" s="837"/>
      <c r="T1270" s="838"/>
      <c r="U1270" s="836"/>
      <c r="V1270" s="836"/>
    </row>
    <row r="1271" customHeight="1" spans="1:22">
      <c r="A1271" s="835"/>
      <c r="B1271" s="836"/>
      <c r="C1271" s="836"/>
      <c r="D1271" s="836"/>
      <c r="E1271" s="836"/>
      <c r="F1271" s="836"/>
      <c r="G1271" s="836"/>
      <c r="H1271" s="836"/>
      <c r="I1271" s="835"/>
      <c r="J1271" s="836"/>
      <c r="K1271" s="835"/>
      <c r="L1271" s="836"/>
      <c r="M1271" s="837"/>
      <c r="N1271" s="836"/>
      <c r="O1271" s="837"/>
      <c r="P1271" s="836"/>
      <c r="Q1271" s="835"/>
      <c r="R1271" s="837"/>
      <c r="S1271" s="837"/>
      <c r="T1271" s="838"/>
      <c r="U1271" s="836"/>
      <c r="V1271" s="836"/>
    </row>
    <row r="1272" customHeight="1" spans="1:22">
      <c r="A1272" s="835"/>
      <c r="B1272" s="836"/>
      <c r="C1272" s="836"/>
      <c r="D1272" s="836"/>
      <c r="E1272" s="836"/>
      <c r="F1272" s="836"/>
      <c r="G1272" s="836"/>
      <c r="H1272" s="836"/>
      <c r="I1272" s="835"/>
      <c r="J1272" s="836"/>
      <c r="K1272" s="835"/>
      <c r="L1272" s="836"/>
      <c r="M1272" s="837"/>
      <c r="N1272" s="836"/>
      <c r="O1272" s="837"/>
      <c r="P1272" s="836"/>
      <c r="Q1272" s="835"/>
      <c r="R1272" s="837"/>
      <c r="S1272" s="837"/>
      <c r="T1272" s="838"/>
      <c r="U1272" s="836"/>
      <c r="V1272" s="836"/>
    </row>
    <row r="1273" customHeight="1" spans="1:22">
      <c r="A1273" s="835"/>
      <c r="B1273" s="836"/>
      <c r="C1273" s="836"/>
      <c r="D1273" s="836"/>
      <c r="E1273" s="836"/>
      <c r="F1273" s="836"/>
      <c r="G1273" s="836"/>
      <c r="H1273" s="836"/>
      <c r="I1273" s="835"/>
      <c r="J1273" s="836"/>
      <c r="K1273" s="835"/>
      <c r="L1273" s="836"/>
      <c r="M1273" s="837"/>
      <c r="N1273" s="836"/>
      <c r="O1273" s="837"/>
      <c r="P1273" s="836"/>
      <c r="Q1273" s="835"/>
      <c r="R1273" s="837"/>
      <c r="S1273" s="837"/>
      <c r="T1273" s="838"/>
      <c r="U1273" s="836"/>
      <c r="V1273" s="836"/>
    </row>
    <row r="1274" customHeight="1" spans="1:22">
      <c r="A1274" s="835"/>
      <c r="B1274" s="836"/>
      <c r="C1274" s="836"/>
      <c r="D1274" s="836"/>
      <c r="E1274" s="836"/>
      <c r="F1274" s="836"/>
      <c r="G1274" s="836"/>
      <c r="H1274" s="836"/>
      <c r="I1274" s="835"/>
      <c r="J1274" s="836"/>
      <c r="K1274" s="835"/>
      <c r="L1274" s="836"/>
      <c r="M1274" s="837"/>
      <c r="N1274" s="836"/>
      <c r="O1274" s="837"/>
      <c r="P1274" s="836"/>
      <c r="Q1274" s="835"/>
      <c r="R1274" s="837"/>
      <c r="S1274" s="837"/>
      <c r="T1274" s="838"/>
      <c r="U1274" s="836"/>
      <c r="V1274" s="836"/>
    </row>
    <row r="1275" customHeight="1" spans="1:22">
      <c r="A1275" s="835"/>
      <c r="B1275" s="836"/>
      <c r="C1275" s="836"/>
      <c r="D1275" s="836"/>
      <c r="E1275" s="836"/>
      <c r="F1275" s="836"/>
      <c r="G1275" s="836"/>
      <c r="H1275" s="836"/>
      <c r="I1275" s="835"/>
      <c r="J1275" s="836"/>
      <c r="K1275" s="835"/>
      <c r="L1275" s="836"/>
      <c r="M1275" s="837"/>
      <c r="N1275" s="836"/>
      <c r="O1275" s="837"/>
      <c r="P1275" s="836"/>
      <c r="Q1275" s="835"/>
      <c r="R1275" s="837"/>
      <c r="S1275" s="837"/>
      <c r="T1275" s="838"/>
      <c r="U1275" s="836"/>
      <c r="V1275" s="836"/>
    </row>
    <row r="1276" customHeight="1" spans="1:22">
      <c r="A1276" s="835"/>
      <c r="B1276" s="836"/>
      <c r="C1276" s="836"/>
      <c r="D1276" s="836"/>
      <c r="E1276" s="836"/>
      <c r="F1276" s="836"/>
      <c r="G1276" s="836"/>
      <c r="H1276" s="836"/>
      <c r="I1276" s="835"/>
      <c r="J1276" s="836"/>
      <c r="K1276" s="835"/>
      <c r="L1276" s="836"/>
      <c r="M1276" s="837"/>
      <c r="N1276" s="836"/>
      <c r="O1276" s="837"/>
      <c r="P1276" s="836"/>
      <c r="Q1276" s="835"/>
      <c r="R1276" s="837"/>
      <c r="S1276" s="837"/>
      <c r="T1276" s="838"/>
      <c r="U1276" s="836"/>
      <c r="V1276" s="836"/>
    </row>
    <row r="1277" customHeight="1" spans="1:22">
      <c r="A1277" s="835"/>
      <c r="B1277" s="836"/>
      <c r="C1277" s="836"/>
      <c r="D1277" s="836"/>
      <c r="E1277" s="836"/>
      <c r="F1277" s="836"/>
      <c r="G1277" s="836"/>
      <c r="H1277" s="836"/>
      <c r="I1277" s="835"/>
      <c r="J1277" s="836"/>
      <c r="K1277" s="835"/>
      <c r="L1277" s="836"/>
      <c r="M1277" s="837"/>
      <c r="N1277" s="836"/>
      <c r="O1277" s="837"/>
      <c r="P1277" s="836"/>
      <c r="Q1277" s="835"/>
      <c r="R1277" s="837"/>
      <c r="S1277" s="837"/>
      <c r="T1277" s="838"/>
      <c r="U1277" s="836"/>
      <c r="V1277" s="836"/>
    </row>
    <row r="1278" customHeight="1" spans="1:22">
      <c r="A1278" s="835"/>
      <c r="B1278" s="836"/>
      <c r="C1278" s="836"/>
      <c r="D1278" s="836"/>
      <c r="E1278" s="836"/>
      <c r="F1278" s="836"/>
      <c r="G1278" s="836"/>
      <c r="H1278" s="836"/>
      <c r="I1278" s="835"/>
      <c r="J1278" s="836"/>
      <c r="K1278" s="835"/>
      <c r="L1278" s="836"/>
      <c r="M1278" s="837"/>
      <c r="N1278" s="836"/>
      <c r="O1278" s="837"/>
      <c r="P1278" s="836"/>
      <c r="Q1278" s="835"/>
      <c r="R1278" s="837"/>
      <c r="S1278" s="837"/>
      <c r="T1278" s="838"/>
      <c r="U1278" s="836"/>
      <c r="V1278" s="836"/>
    </row>
    <row r="1279" customHeight="1" spans="1:22">
      <c r="A1279" s="835"/>
      <c r="B1279" s="836"/>
      <c r="C1279" s="836"/>
      <c r="D1279" s="836"/>
      <c r="E1279" s="836"/>
      <c r="F1279" s="836"/>
      <c r="G1279" s="836"/>
      <c r="H1279" s="836"/>
      <c r="I1279" s="835"/>
      <c r="J1279" s="836"/>
      <c r="K1279" s="835"/>
      <c r="L1279" s="836"/>
      <c r="M1279" s="837"/>
      <c r="N1279" s="836"/>
      <c r="O1279" s="837"/>
      <c r="P1279" s="836"/>
      <c r="Q1279" s="835"/>
      <c r="R1279" s="837"/>
      <c r="S1279" s="837"/>
      <c r="T1279" s="838"/>
      <c r="U1279" s="836"/>
      <c r="V1279" s="836"/>
    </row>
    <row r="1280" customHeight="1" spans="1:22">
      <c r="A1280" s="835"/>
      <c r="B1280" s="836"/>
      <c r="C1280" s="836"/>
      <c r="D1280" s="836"/>
      <c r="E1280" s="836"/>
      <c r="F1280" s="836"/>
      <c r="G1280" s="836"/>
      <c r="H1280" s="836"/>
      <c r="I1280" s="835"/>
      <c r="J1280" s="836"/>
      <c r="K1280" s="835"/>
      <c r="L1280" s="836"/>
      <c r="M1280" s="837"/>
      <c r="N1280" s="836"/>
      <c r="O1280" s="837"/>
      <c r="P1280" s="836"/>
      <c r="Q1280" s="835"/>
      <c r="R1280" s="837"/>
      <c r="S1280" s="837"/>
      <c r="T1280" s="838"/>
      <c r="U1280" s="836"/>
      <c r="V1280" s="836"/>
    </row>
    <row r="1281" customHeight="1" spans="1:22">
      <c r="A1281" s="835"/>
      <c r="B1281" s="836"/>
      <c r="C1281" s="836"/>
      <c r="D1281" s="836"/>
      <c r="E1281" s="836"/>
      <c r="F1281" s="836"/>
      <c r="G1281" s="836"/>
      <c r="H1281" s="836"/>
      <c r="I1281" s="835"/>
      <c r="J1281" s="836"/>
      <c r="K1281" s="835"/>
      <c r="L1281" s="836"/>
      <c r="M1281" s="837"/>
      <c r="N1281" s="836"/>
      <c r="O1281" s="837"/>
      <c r="P1281" s="836"/>
      <c r="Q1281" s="835"/>
      <c r="R1281" s="837"/>
      <c r="S1281" s="837"/>
      <c r="T1281" s="838"/>
      <c r="U1281" s="836"/>
      <c r="V1281" s="836"/>
    </row>
    <row r="1282" customHeight="1" spans="1:22">
      <c r="A1282" s="835"/>
      <c r="B1282" s="836"/>
      <c r="C1282" s="836"/>
      <c r="D1282" s="836"/>
      <c r="E1282" s="836"/>
      <c r="F1282" s="836"/>
      <c r="G1282" s="836"/>
      <c r="H1282" s="836"/>
      <c r="I1282" s="835"/>
      <c r="J1282" s="836"/>
      <c r="K1282" s="835"/>
      <c r="L1282" s="836"/>
      <c r="M1282" s="837"/>
      <c r="N1282" s="836"/>
      <c r="O1282" s="837"/>
      <c r="P1282" s="836"/>
      <c r="Q1282" s="835"/>
      <c r="R1282" s="837"/>
      <c r="S1282" s="837"/>
      <c r="T1282" s="838"/>
      <c r="U1282" s="836"/>
      <c r="V1282" s="836"/>
    </row>
    <row r="1283" customHeight="1" spans="1:22">
      <c r="A1283" s="835"/>
      <c r="B1283" s="836"/>
      <c r="C1283" s="836"/>
      <c r="D1283" s="836"/>
      <c r="E1283" s="836"/>
      <c r="F1283" s="836"/>
      <c r="G1283" s="836"/>
      <c r="H1283" s="836"/>
      <c r="I1283" s="835"/>
      <c r="J1283" s="836"/>
      <c r="K1283" s="835"/>
      <c r="L1283" s="836"/>
      <c r="M1283" s="837"/>
      <c r="N1283" s="836"/>
      <c r="O1283" s="837"/>
      <c r="P1283" s="836"/>
      <c r="Q1283" s="835"/>
      <c r="R1283" s="837"/>
      <c r="S1283" s="837"/>
      <c r="T1283" s="838"/>
      <c r="U1283" s="836"/>
      <c r="V1283" s="836"/>
    </row>
    <row r="1284" customHeight="1" spans="1:22">
      <c r="A1284" s="835"/>
      <c r="B1284" s="836"/>
      <c r="C1284" s="836"/>
      <c r="D1284" s="836"/>
      <c r="E1284" s="836"/>
      <c r="F1284" s="836"/>
      <c r="G1284" s="836"/>
      <c r="H1284" s="836"/>
      <c r="I1284" s="835"/>
      <c r="J1284" s="836"/>
      <c r="K1284" s="835"/>
      <c r="L1284" s="836"/>
      <c r="M1284" s="837"/>
      <c r="N1284" s="836"/>
      <c r="O1284" s="837"/>
      <c r="P1284" s="836"/>
      <c r="Q1284" s="835"/>
      <c r="R1284" s="837"/>
      <c r="S1284" s="837"/>
      <c r="T1284" s="838"/>
      <c r="U1284" s="836"/>
      <c r="V1284" s="836"/>
    </row>
    <row r="1285" customHeight="1" spans="1:22">
      <c r="A1285" s="835"/>
      <c r="B1285" s="836"/>
      <c r="C1285" s="836"/>
      <c r="D1285" s="836"/>
      <c r="E1285" s="836"/>
      <c r="F1285" s="836"/>
      <c r="G1285" s="836"/>
      <c r="H1285" s="836"/>
      <c r="I1285" s="835"/>
      <c r="J1285" s="836"/>
      <c r="K1285" s="835"/>
      <c r="L1285" s="836"/>
      <c r="M1285" s="837"/>
      <c r="N1285" s="836"/>
      <c r="O1285" s="837"/>
      <c r="P1285" s="836"/>
      <c r="Q1285" s="835"/>
      <c r="R1285" s="837"/>
      <c r="S1285" s="837"/>
      <c r="T1285" s="838"/>
      <c r="U1285" s="836"/>
      <c r="V1285" s="836"/>
    </row>
    <row r="1286" customHeight="1" spans="1:22">
      <c r="A1286" s="835"/>
      <c r="B1286" s="836"/>
      <c r="C1286" s="836"/>
      <c r="D1286" s="836"/>
      <c r="E1286" s="836"/>
      <c r="F1286" s="836"/>
      <c r="G1286" s="836"/>
      <c r="H1286" s="836"/>
      <c r="I1286" s="835"/>
      <c r="J1286" s="836"/>
      <c r="K1286" s="835"/>
      <c r="L1286" s="836"/>
      <c r="M1286" s="837"/>
      <c r="N1286" s="836"/>
      <c r="O1286" s="837"/>
      <c r="P1286" s="836"/>
      <c r="Q1286" s="835"/>
      <c r="R1286" s="837"/>
      <c r="S1286" s="837"/>
      <c r="T1286" s="838"/>
      <c r="U1286" s="836"/>
      <c r="V1286" s="836"/>
    </row>
    <row r="1287" customHeight="1" spans="1:22">
      <c r="A1287" s="835"/>
      <c r="B1287" s="836"/>
      <c r="C1287" s="836"/>
      <c r="D1287" s="836"/>
      <c r="E1287" s="836"/>
      <c r="F1287" s="836"/>
      <c r="G1287" s="836"/>
      <c r="H1287" s="836"/>
      <c r="I1287" s="835"/>
      <c r="J1287" s="836"/>
      <c r="K1287" s="835"/>
      <c r="L1287" s="836"/>
      <c r="M1287" s="837"/>
      <c r="N1287" s="836"/>
      <c r="O1287" s="837"/>
      <c r="P1287" s="836"/>
      <c r="Q1287" s="835"/>
      <c r="R1287" s="837"/>
      <c r="S1287" s="837"/>
      <c r="T1287" s="838"/>
      <c r="U1287" s="836"/>
      <c r="V1287" s="836"/>
    </row>
    <row r="1288" customHeight="1" spans="1:22">
      <c r="A1288" s="835"/>
      <c r="B1288" s="836"/>
      <c r="C1288" s="836"/>
      <c r="D1288" s="836"/>
      <c r="E1288" s="836"/>
      <c r="F1288" s="836"/>
      <c r="G1288" s="836"/>
      <c r="H1288" s="836"/>
      <c r="I1288" s="835"/>
      <c r="J1288" s="836"/>
      <c r="K1288" s="835"/>
      <c r="L1288" s="836"/>
      <c r="M1288" s="837"/>
      <c r="N1288" s="836"/>
      <c r="O1288" s="837"/>
      <c r="P1288" s="836"/>
      <c r="Q1288" s="835"/>
      <c r="R1288" s="837"/>
      <c r="S1288" s="837"/>
      <c r="T1288" s="838"/>
      <c r="U1288" s="836"/>
      <c r="V1288" s="836"/>
    </row>
    <row r="1289" customHeight="1" spans="1:22">
      <c r="A1289" s="835"/>
      <c r="B1289" s="836"/>
      <c r="C1289" s="836"/>
      <c r="D1289" s="836"/>
      <c r="E1289" s="836"/>
      <c r="F1289" s="836"/>
      <c r="G1289" s="836"/>
      <c r="H1289" s="836"/>
      <c r="I1289" s="835"/>
      <c r="J1289" s="836"/>
      <c r="K1289" s="835"/>
      <c r="L1289" s="836"/>
      <c r="M1289" s="837"/>
      <c r="N1289" s="836"/>
      <c r="O1289" s="837"/>
      <c r="P1289" s="836"/>
      <c r="Q1289" s="835"/>
      <c r="R1289" s="837"/>
      <c r="S1289" s="837"/>
      <c r="T1289" s="838"/>
      <c r="U1289" s="836"/>
      <c r="V1289" s="836"/>
    </row>
    <row r="1290" customHeight="1" spans="1:22">
      <c r="A1290" s="835"/>
      <c r="B1290" s="836"/>
      <c r="C1290" s="836"/>
      <c r="D1290" s="836"/>
      <c r="E1290" s="836"/>
      <c r="F1290" s="836"/>
      <c r="G1290" s="836"/>
      <c r="H1290" s="836"/>
      <c r="I1290" s="835"/>
      <c r="J1290" s="836"/>
      <c r="K1290" s="835"/>
      <c r="L1290" s="836"/>
      <c r="M1290" s="837"/>
      <c r="N1290" s="836"/>
      <c r="O1290" s="837"/>
      <c r="P1290" s="836"/>
      <c r="Q1290" s="835"/>
      <c r="R1290" s="837"/>
      <c r="S1290" s="837"/>
      <c r="T1290" s="838"/>
      <c r="U1290" s="836"/>
      <c r="V1290" s="836"/>
    </row>
    <row r="1291" customHeight="1" spans="1:22">
      <c r="A1291" s="835"/>
      <c r="B1291" s="836"/>
      <c r="C1291" s="836"/>
      <c r="D1291" s="836"/>
      <c r="E1291" s="836"/>
      <c r="F1291" s="836"/>
      <c r="G1291" s="836"/>
      <c r="H1291" s="836"/>
      <c r="I1291" s="835"/>
      <c r="J1291" s="836"/>
      <c r="K1291" s="835"/>
      <c r="L1291" s="836"/>
      <c r="M1291" s="837"/>
      <c r="N1291" s="836"/>
      <c r="O1291" s="837"/>
      <c r="P1291" s="836"/>
      <c r="Q1291" s="835"/>
      <c r="R1291" s="837"/>
      <c r="S1291" s="837"/>
      <c r="T1291" s="838"/>
      <c r="U1291" s="836"/>
      <c r="V1291" s="836"/>
    </row>
    <row r="1292" customHeight="1" spans="1:22">
      <c r="A1292" s="835"/>
      <c r="B1292" s="836"/>
      <c r="C1292" s="836"/>
      <c r="D1292" s="836"/>
      <c r="E1292" s="836"/>
      <c r="F1292" s="836"/>
      <c r="G1292" s="836"/>
      <c r="H1292" s="836"/>
      <c r="I1292" s="835"/>
      <c r="J1292" s="836"/>
      <c r="K1292" s="835"/>
      <c r="L1292" s="836"/>
      <c r="M1292" s="837"/>
      <c r="N1292" s="836"/>
      <c r="O1292" s="837"/>
      <c r="P1292" s="836"/>
      <c r="Q1292" s="835"/>
      <c r="R1292" s="837"/>
      <c r="S1292" s="837"/>
      <c r="T1292" s="838"/>
      <c r="U1292" s="836"/>
      <c r="V1292" s="836"/>
    </row>
    <row r="1293" customHeight="1" spans="1:22">
      <c r="A1293" s="835"/>
      <c r="B1293" s="836"/>
      <c r="C1293" s="836"/>
      <c r="D1293" s="836"/>
      <c r="E1293" s="836"/>
      <c r="F1293" s="836"/>
      <c r="G1293" s="836"/>
      <c r="H1293" s="836"/>
      <c r="I1293" s="835"/>
      <c r="J1293" s="836"/>
      <c r="K1293" s="835"/>
      <c r="L1293" s="836"/>
      <c r="M1293" s="837"/>
      <c r="N1293" s="836"/>
      <c r="O1293" s="837"/>
      <c r="P1293" s="836"/>
      <c r="Q1293" s="835"/>
      <c r="R1293" s="837"/>
      <c r="S1293" s="837"/>
      <c r="T1293" s="838"/>
      <c r="U1293" s="836"/>
      <c r="V1293" s="836"/>
    </row>
    <row r="1294" customHeight="1" spans="1:22">
      <c r="A1294" s="835"/>
      <c r="B1294" s="836"/>
      <c r="C1294" s="836"/>
      <c r="D1294" s="836"/>
      <c r="E1294" s="836"/>
      <c r="F1294" s="836"/>
      <c r="G1294" s="836"/>
      <c r="H1294" s="836"/>
      <c r="I1294" s="835"/>
      <c r="J1294" s="836"/>
      <c r="K1294" s="835"/>
      <c r="L1294" s="836"/>
      <c r="M1294" s="837"/>
      <c r="N1294" s="836"/>
      <c r="O1294" s="837"/>
      <c r="P1294" s="836"/>
      <c r="Q1294" s="835"/>
      <c r="R1294" s="837"/>
      <c r="S1294" s="837"/>
      <c r="T1294" s="838"/>
      <c r="U1294" s="836"/>
      <c r="V1294" s="836"/>
    </row>
    <row r="1295" customHeight="1" spans="1:22">
      <c r="A1295" s="835"/>
      <c r="B1295" s="836"/>
      <c r="C1295" s="836"/>
      <c r="D1295" s="836"/>
      <c r="E1295" s="836"/>
      <c r="F1295" s="836"/>
      <c r="G1295" s="836"/>
      <c r="H1295" s="836"/>
      <c r="I1295" s="835"/>
      <c r="J1295" s="836"/>
      <c r="K1295" s="835"/>
      <c r="L1295" s="836"/>
      <c r="M1295" s="837"/>
      <c r="N1295" s="836"/>
      <c r="O1295" s="837"/>
      <c r="P1295" s="836"/>
      <c r="Q1295" s="835"/>
      <c r="R1295" s="837"/>
      <c r="S1295" s="837"/>
      <c r="T1295" s="838"/>
      <c r="U1295" s="836"/>
      <c r="V1295" s="836"/>
    </row>
    <row r="1296" customHeight="1" spans="1:22">
      <c r="A1296" s="835"/>
      <c r="B1296" s="836"/>
      <c r="C1296" s="836"/>
      <c r="D1296" s="836"/>
      <c r="E1296" s="836"/>
      <c r="F1296" s="836"/>
      <c r="G1296" s="836"/>
      <c r="H1296" s="836"/>
      <c r="I1296" s="835"/>
      <c r="J1296" s="836"/>
      <c r="K1296" s="835"/>
      <c r="L1296" s="836"/>
      <c r="M1296" s="837"/>
      <c r="N1296" s="836"/>
      <c r="O1296" s="837"/>
      <c r="P1296" s="836"/>
      <c r="Q1296" s="835"/>
      <c r="R1296" s="837"/>
      <c r="S1296" s="837"/>
      <c r="T1296" s="838"/>
      <c r="U1296" s="836"/>
      <c r="V1296" s="836"/>
    </row>
    <row r="1297" customHeight="1" spans="1:22">
      <c r="A1297" s="835"/>
      <c r="B1297" s="836"/>
      <c r="C1297" s="836"/>
      <c r="D1297" s="836"/>
      <c r="E1297" s="836"/>
      <c r="F1297" s="836"/>
      <c r="G1297" s="836"/>
      <c r="H1297" s="836"/>
      <c r="I1297" s="835"/>
      <c r="J1297" s="836"/>
      <c r="K1297" s="835"/>
      <c r="L1297" s="836"/>
      <c r="M1297" s="837"/>
      <c r="N1297" s="836"/>
      <c r="O1297" s="837"/>
      <c r="P1297" s="836"/>
      <c r="Q1297" s="835"/>
      <c r="R1297" s="837"/>
      <c r="S1297" s="837"/>
      <c r="T1297" s="838"/>
      <c r="U1297" s="836"/>
      <c r="V1297" s="836"/>
    </row>
    <row r="1298" customHeight="1" spans="1:22">
      <c r="A1298" s="835"/>
      <c r="B1298" s="836"/>
      <c r="C1298" s="836"/>
      <c r="D1298" s="836"/>
      <c r="E1298" s="836"/>
      <c r="F1298" s="836"/>
      <c r="G1298" s="836"/>
      <c r="H1298" s="836"/>
      <c r="I1298" s="835"/>
      <c r="J1298" s="836"/>
      <c r="K1298" s="835"/>
      <c r="L1298" s="836"/>
      <c r="M1298" s="837"/>
      <c r="N1298" s="836"/>
      <c r="O1298" s="837"/>
      <c r="P1298" s="836"/>
      <c r="Q1298" s="835"/>
      <c r="R1298" s="837"/>
      <c r="S1298" s="837"/>
      <c r="T1298" s="838"/>
      <c r="U1298" s="836"/>
      <c r="V1298" s="836"/>
    </row>
    <row r="1299" customHeight="1" spans="1:22">
      <c r="A1299" s="835"/>
      <c r="B1299" s="836"/>
      <c r="C1299" s="836"/>
      <c r="D1299" s="836"/>
      <c r="E1299" s="836"/>
      <c r="F1299" s="836"/>
      <c r="G1299" s="836"/>
      <c r="H1299" s="836"/>
      <c r="I1299" s="835"/>
      <c r="J1299" s="836"/>
      <c r="K1299" s="835"/>
      <c r="L1299" s="836"/>
      <c r="M1299" s="837"/>
      <c r="N1299" s="836"/>
      <c r="O1299" s="837"/>
      <c r="P1299" s="836"/>
      <c r="Q1299" s="835"/>
      <c r="R1299" s="837"/>
      <c r="S1299" s="837"/>
      <c r="T1299" s="838"/>
      <c r="U1299" s="836"/>
      <c r="V1299" s="836"/>
    </row>
    <row r="1300" customHeight="1" spans="1:22">
      <c r="A1300" s="835"/>
      <c r="B1300" s="836"/>
      <c r="C1300" s="836"/>
      <c r="D1300" s="836"/>
      <c r="E1300" s="836"/>
      <c r="F1300" s="836"/>
      <c r="G1300" s="836"/>
      <c r="H1300" s="836"/>
      <c r="I1300" s="835"/>
      <c r="J1300" s="836"/>
      <c r="K1300" s="835"/>
      <c r="L1300" s="836"/>
      <c r="M1300" s="837"/>
      <c r="N1300" s="836"/>
      <c r="O1300" s="837"/>
      <c r="P1300" s="836"/>
      <c r="Q1300" s="835"/>
      <c r="R1300" s="837"/>
      <c r="S1300" s="837"/>
      <c r="T1300" s="838"/>
      <c r="U1300" s="836"/>
      <c r="V1300" s="836"/>
    </row>
    <row r="1301" customHeight="1" spans="1:22">
      <c r="A1301" s="835"/>
      <c r="B1301" s="836"/>
      <c r="C1301" s="836"/>
      <c r="D1301" s="836"/>
      <c r="E1301" s="836"/>
      <c r="F1301" s="836"/>
      <c r="G1301" s="836"/>
      <c r="H1301" s="836"/>
      <c r="I1301" s="835"/>
      <c r="J1301" s="836"/>
      <c r="K1301" s="835"/>
      <c r="L1301" s="836"/>
      <c r="M1301" s="837"/>
      <c r="N1301" s="836"/>
      <c r="O1301" s="837"/>
      <c r="P1301" s="836"/>
      <c r="Q1301" s="835"/>
      <c r="R1301" s="837"/>
      <c r="S1301" s="837"/>
      <c r="T1301" s="838"/>
      <c r="U1301" s="836"/>
      <c r="V1301" s="836"/>
    </row>
    <row r="1302" customHeight="1" spans="1:22">
      <c r="A1302" s="835"/>
      <c r="B1302" s="836"/>
      <c r="C1302" s="836"/>
      <c r="D1302" s="836"/>
      <c r="E1302" s="836"/>
      <c r="F1302" s="836"/>
      <c r="G1302" s="836"/>
      <c r="H1302" s="836"/>
      <c r="I1302" s="835"/>
      <c r="J1302" s="836"/>
      <c r="K1302" s="835"/>
      <c r="L1302" s="836"/>
      <c r="M1302" s="837"/>
      <c r="N1302" s="836"/>
      <c r="O1302" s="837"/>
      <c r="P1302" s="836"/>
      <c r="Q1302" s="835"/>
      <c r="R1302" s="837"/>
      <c r="S1302" s="837"/>
      <c r="T1302" s="838"/>
      <c r="U1302" s="836"/>
      <c r="V1302" s="836"/>
    </row>
    <row r="1303" customHeight="1" spans="1:22">
      <c r="A1303" s="835"/>
      <c r="B1303" s="836"/>
      <c r="C1303" s="836"/>
      <c r="D1303" s="836"/>
      <c r="E1303" s="836"/>
      <c r="F1303" s="836"/>
      <c r="G1303" s="836"/>
      <c r="H1303" s="836"/>
      <c r="I1303" s="835"/>
      <c r="J1303" s="836"/>
      <c r="K1303" s="835"/>
      <c r="L1303" s="836"/>
      <c r="M1303" s="837"/>
      <c r="N1303" s="836"/>
      <c r="O1303" s="837"/>
      <c r="P1303" s="836"/>
      <c r="Q1303" s="835"/>
      <c r="R1303" s="837"/>
      <c r="S1303" s="837"/>
      <c r="T1303" s="838"/>
      <c r="U1303" s="836"/>
      <c r="V1303" s="836"/>
    </row>
    <row r="1304" customHeight="1" spans="1:22">
      <c r="A1304" s="835"/>
      <c r="B1304" s="836"/>
      <c r="C1304" s="836"/>
      <c r="D1304" s="836"/>
      <c r="E1304" s="836"/>
      <c r="F1304" s="836"/>
      <c r="G1304" s="836"/>
      <c r="H1304" s="836"/>
      <c r="I1304" s="835"/>
      <c r="J1304" s="836"/>
      <c r="K1304" s="835"/>
      <c r="L1304" s="836"/>
      <c r="M1304" s="837"/>
      <c r="N1304" s="836"/>
      <c r="O1304" s="837"/>
      <c r="P1304" s="836"/>
      <c r="Q1304" s="835"/>
      <c r="R1304" s="837"/>
      <c r="S1304" s="837"/>
      <c r="T1304" s="838"/>
      <c r="U1304" s="836"/>
      <c r="V1304" s="836"/>
    </row>
    <row r="1305" customHeight="1" spans="1:22">
      <c r="A1305" s="835"/>
      <c r="B1305" s="836"/>
      <c r="C1305" s="836"/>
      <c r="D1305" s="836"/>
      <c r="E1305" s="836"/>
      <c r="F1305" s="836"/>
      <c r="G1305" s="836"/>
      <c r="H1305" s="836"/>
      <c r="I1305" s="835"/>
      <c r="J1305" s="836"/>
      <c r="K1305" s="835"/>
      <c r="L1305" s="836"/>
      <c r="M1305" s="837"/>
      <c r="N1305" s="836"/>
      <c r="O1305" s="837"/>
      <c r="P1305" s="836"/>
      <c r="Q1305" s="835"/>
      <c r="R1305" s="837"/>
      <c r="S1305" s="837"/>
      <c r="T1305" s="838"/>
      <c r="U1305" s="836"/>
      <c r="V1305" s="836"/>
    </row>
    <row r="1306" customHeight="1" spans="1:22">
      <c r="A1306" s="835"/>
      <c r="B1306" s="836"/>
      <c r="C1306" s="836"/>
      <c r="D1306" s="836"/>
      <c r="E1306" s="836"/>
      <c r="F1306" s="836"/>
      <c r="G1306" s="836"/>
      <c r="H1306" s="836"/>
      <c r="I1306" s="835"/>
      <c r="J1306" s="836"/>
      <c r="K1306" s="835"/>
      <c r="L1306" s="836"/>
      <c r="M1306" s="837"/>
      <c r="N1306" s="836"/>
      <c r="O1306" s="837"/>
      <c r="P1306" s="836"/>
      <c r="Q1306" s="835"/>
      <c r="R1306" s="837"/>
      <c r="S1306" s="837"/>
      <c r="T1306" s="838"/>
      <c r="U1306" s="836"/>
      <c r="V1306" s="836"/>
    </row>
    <row r="1307" customHeight="1" spans="1:22">
      <c r="A1307" s="835"/>
      <c r="B1307" s="836"/>
      <c r="C1307" s="836"/>
      <c r="D1307" s="836"/>
      <c r="E1307" s="836"/>
      <c r="F1307" s="836"/>
      <c r="G1307" s="836"/>
      <c r="H1307" s="836"/>
      <c r="I1307" s="835"/>
      <c r="J1307" s="836"/>
      <c r="K1307" s="835"/>
      <c r="L1307" s="836"/>
      <c r="M1307" s="837"/>
      <c r="N1307" s="836"/>
      <c r="O1307" s="837"/>
      <c r="P1307" s="836"/>
      <c r="Q1307" s="835"/>
      <c r="R1307" s="837"/>
      <c r="S1307" s="837"/>
      <c r="T1307" s="838"/>
      <c r="U1307" s="836"/>
      <c r="V1307" s="836"/>
    </row>
    <row r="1308" customHeight="1" spans="1:22">
      <c r="A1308" s="835"/>
      <c r="B1308" s="836"/>
      <c r="C1308" s="836"/>
      <c r="D1308" s="836"/>
      <c r="E1308" s="836"/>
      <c r="F1308" s="836"/>
      <c r="G1308" s="836"/>
      <c r="H1308" s="836"/>
      <c r="I1308" s="835"/>
      <c r="J1308" s="836"/>
      <c r="K1308" s="835"/>
      <c r="L1308" s="836"/>
      <c r="M1308" s="837"/>
      <c r="N1308" s="836"/>
      <c r="O1308" s="837"/>
      <c r="P1308" s="836"/>
      <c r="Q1308" s="835"/>
      <c r="R1308" s="837"/>
      <c r="S1308" s="837"/>
      <c r="T1308" s="838"/>
      <c r="U1308" s="836"/>
      <c r="V1308" s="836"/>
    </row>
    <row r="1309" customHeight="1" spans="1:22">
      <c r="A1309" s="835"/>
      <c r="B1309" s="836"/>
      <c r="C1309" s="836"/>
      <c r="D1309" s="836"/>
      <c r="E1309" s="836"/>
      <c r="F1309" s="836"/>
      <c r="G1309" s="836"/>
      <c r="H1309" s="836"/>
      <c r="I1309" s="835"/>
      <c r="J1309" s="836"/>
      <c r="K1309" s="835"/>
      <c r="L1309" s="836"/>
      <c r="M1309" s="837"/>
      <c r="N1309" s="836"/>
      <c r="O1309" s="837"/>
      <c r="P1309" s="836"/>
      <c r="Q1309" s="835"/>
      <c r="R1309" s="837"/>
      <c r="S1309" s="837"/>
      <c r="T1309" s="838"/>
      <c r="U1309" s="836"/>
      <c r="V1309" s="836"/>
    </row>
    <row r="1310" customHeight="1" spans="1:22">
      <c r="A1310" s="835"/>
      <c r="B1310" s="836"/>
      <c r="C1310" s="836"/>
      <c r="D1310" s="836"/>
      <c r="E1310" s="836"/>
      <c r="F1310" s="836"/>
      <c r="G1310" s="836"/>
      <c r="H1310" s="836"/>
      <c r="I1310" s="835"/>
      <c r="J1310" s="836"/>
      <c r="K1310" s="835"/>
      <c r="L1310" s="836"/>
      <c r="M1310" s="837"/>
      <c r="N1310" s="836"/>
      <c r="O1310" s="837"/>
      <c r="P1310" s="836"/>
      <c r="Q1310" s="835"/>
      <c r="R1310" s="837"/>
      <c r="S1310" s="837"/>
      <c r="T1310" s="838"/>
      <c r="U1310" s="836"/>
      <c r="V1310" s="836"/>
    </row>
    <row r="1311" customHeight="1" spans="1:22">
      <c r="A1311" s="835"/>
      <c r="B1311" s="836"/>
      <c r="C1311" s="836"/>
      <c r="D1311" s="836"/>
      <c r="E1311" s="836"/>
      <c r="F1311" s="836"/>
      <c r="G1311" s="836"/>
      <c r="H1311" s="836"/>
      <c r="I1311" s="835"/>
      <c r="J1311" s="836"/>
      <c r="K1311" s="835"/>
      <c r="L1311" s="836"/>
      <c r="M1311" s="837"/>
      <c r="N1311" s="836"/>
      <c r="O1311" s="837"/>
      <c r="P1311" s="836"/>
      <c r="Q1311" s="835"/>
      <c r="R1311" s="837"/>
      <c r="S1311" s="837"/>
      <c r="T1311" s="838"/>
      <c r="U1311" s="836"/>
      <c r="V1311" s="836"/>
    </row>
    <row r="1312" customHeight="1" spans="1:22">
      <c r="A1312" s="835"/>
      <c r="B1312" s="836"/>
      <c r="C1312" s="836"/>
      <c r="D1312" s="836"/>
      <c r="E1312" s="836"/>
      <c r="F1312" s="836"/>
      <c r="G1312" s="836"/>
      <c r="H1312" s="836"/>
      <c r="I1312" s="835"/>
      <c r="J1312" s="836"/>
      <c r="K1312" s="835"/>
      <c r="L1312" s="836"/>
      <c r="M1312" s="837"/>
      <c r="N1312" s="836"/>
      <c r="O1312" s="837"/>
      <c r="P1312" s="836"/>
      <c r="Q1312" s="835"/>
      <c r="R1312" s="837"/>
      <c r="S1312" s="837"/>
      <c r="T1312" s="838"/>
      <c r="U1312" s="836"/>
      <c r="V1312" s="836"/>
    </row>
    <row r="1313" customHeight="1" spans="1:22">
      <c r="A1313" s="835"/>
      <c r="B1313" s="836"/>
      <c r="C1313" s="836"/>
      <c r="D1313" s="836"/>
      <c r="E1313" s="836"/>
      <c r="F1313" s="836"/>
      <c r="G1313" s="836"/>
      <c r="H1313" s="836"/>
      <c r="I1313" s="835"/>
      <c r="J1313" s="836"/>
      <c r="K1313" s="835"/>
      <c r="L1313" s="836"/>
      <c r="M1313" s="837"/>
      <c r="N1313" s="836"/>
      <c r="O1313" s="837"/>
      <c r="P1313" s="836"/>
      <c r="Q1313" s="835"/>
      <c r="R1313" s="837"/>
      <c r="S1313" s="837"/>
      <c r="T1313" s="838"/>
      <c r="U1313" s="836"/>
      <c r="V1313" s="836"/>
    </row>
    <row r="1314" customHeight="1" spans="1:22">
      <c r="A1314" s="835"/>
      <c r="B1314" s="836"/>
      <c r="C1314" s="836"/>
      <c r="D1314" s="836"/>
      <c r="E1314" s="836"/>
      <c r="F1314" s="836"/>
      <c r="G1314" s="836"/>
      <c r="H1314" s="836"/>
      <c r="I1314" s="835"/>
      <c r="J1314" s="836"/>
      <c r="K1314" s="835"/>
      <c r="L1314" s="836"/>
      <c r="M1314" s="837"/>
      <c r="N1314" s="836"/>
      <c r="O1314" s="837"/>
      <c r="P1314" s="836"/>
      <c r="Q1314" s="835"/>
      <c r="R1314" s="837"/>
      <c r="S1314" s="837"/>
      <c r="T1314" s="838"/>
      <c r="U1314" s="836"/>
      <c r="V1314" s="836"/>
    </row>
    <row r="1315" customHeight="1" spans="1:22">
      <c r="A1315" s="835"/>
      <c r="B1315" s="836"/>
      <c r="C1315" s="836"/>
      <c r="D1315" s="836"/>
      <c r="E1315" s="836"/>
      <c r="F1315" s="836"/>
      <c r="G1315" s="836"/>
      <c r="H1315" s="836"/>
      <c r="I1315" s="835"/>
      <c r="J1315" s="836"/>
      <c r="K1315" s="835"/>
      <c r="L1315" s="836"/>
      <c r="M1315" s="837"/>
      <c r="N1315" s="836"/>
      <c r="O1315" s="837"/>
      <c r="P1315" s="836"/>
      <c r="Q1315" s="835"/>
      <c r="R1315" s="837"/>
      <c r="S1315" s="837"/>
      <c r="T1315" s="838"/>
      <c r="U1315" s="836"/>
      <c r="V1315" s="836"/>
    </row>
    <row r="1316" customHeight="1" spans="1:22">
      <c r="A1316" s="835"/>
      <c r="B1316" s="836"/>
      <c r="C1316" s="836"/>
      <c r="D1316" s="836"/>
      <c r="E1316" s="836"/>
      <c r="F1316" s="836"/>
      <c r="G1316" s="836"/>
      <c r="H1316" s="836"/>
      <c r="I1316" s="835"/>
      <c r="J1316" s="836"/>
      <c r="K1316" s="835"/>
      <c r="L1316" s="836"/>
      <c r="M1316" s="837"/>
      <c r="N1316" s="836"/>
      <c r="O1316" s="837"/>
      <c r="P1316" s="836"/>
      <c r="Q1316" s="835"/>
      <c r="R1316" s="837"/>
      <c r="S1316" s="837"/>
      <c r="T1316" s="838"/>
      <c r="U1316" s="836"/>
      <c r="V1316" s="836"/>
    </row>
    <row r="1317" customHeight="1" spans="1:22">
      <c r="A1317" s="835"/>
      <c r="B1317" s="836"/>
      <c r="C1317" s="836"/>
      <c r="D1317" s="836"/>
      <c r="E1317" s="836"/>
      <c r="F1317" s="836"/>
      <c r="G1317" s="836"/>
      <c r="H1317" s="836"/>
      <c r="I1317" s="835"/>
      <c r="J1317" s="836"/>
      <c r="K1317" s="835"/>
      <c r="L1317" s="836"/>
      <c r="M1317" s="837"/>
      <c r="N1317" s="836"/>
      <c r="O1317" s="837"/>
      <c r="P1317" s="836"/>
      <c r="Q1317" s="835"/>
      <c r="R1317" s="837"/>
      <c r="S1317" s="837"/>
      <c r="T1317" s="838"/>
      <c r="U1317" s="836"/>
      <c r="V1317" s="836"/>
    </row>
    <row r="1318" customHeight="1" spans="1:22">
      <c r="A1318" s="835"/>
      <c r="B1318" s="836"/>
      <c r="C1318" s="836"/>
      <c r="D1318" s="836"/>
      <c r="E1318" s="836"/>
      <c r="F1318" s="836"/>
      <c r="G1318" s="836"/>
      <c r="H1318" s="836"/>
      <c r="I1318" s="835"/>
      <c r="J1318" s="836"/>
      <c r="K1318" s="835"/>
      <c r="L1318" s="836"/>
      <c r="M1318" s="837"/>
      <c r="N1318" s="836"/>
      <c r="O1318" s="837"/>
      <c r="P1318" s="836"/>
      <c r="Q1318" s="835"/>
      <c r="R1318" s="837"/>
      <c r="S1318" s="837"/>
      <c r="T1318" s="838"/>
      <c r="U1318" s="836"/>
      <c r="V1318" s="836"/>
    </row>
    <row r="1319" customHeight="1" spans="1:22">
      <c r="A1319" s="835"/>
      <c r="B1319" s="836"/>
      <c r="C1319" s="836"/>
      <c r="D1319" s="836"/>
      <c r="E1319" s="836"/>
      <c r="F1319" s="836"/>
      <c r="G1319" s="836"/>
      <c r="H1319" s="836"/>
      <c r="I1319" s="835"/>
      <c r="J1319" s="836"/>
      <c r="K1319" s="835"/>
      <c r="L1319" s="836"/>
      <c r="M1319" s="837"/>
      <c r="N1319" s="836"/>
      <c r="O1319" s="837"/>
      <c r="P1319" s="836"/>
      <c r="Q1319" s="835"/>
      <c r="R1319" s="837"/>
      <c r="S1319" s="837"/>
      <c r="T1319" s="838"/>
      <c r="U1319" s="836"/>
      <c r="V1319" s="836"/>
    </row>
    <row r="1320" customHeight="1" spans="1:22">
      <c r="A1320" s="835"/>
      <c r="B1320" s="836"/>
      <c r="C1320" s="836"/>
      <c r="D1320" s="836"/>
      <c r="E1320" s="836"/>
      <c r="F1320" s="836"/>
      <c r="G1320" s="836"/>
      <c r="H1320" s="836"/>
      <c r="I1320" s="835"/>
      <c r="J1320" s="836"/>
      <c r="K1320" s="835"/>
      <c r="L1320" s="836"/>
      <c r="M1320" s="837"/>
      <c r="N1320" s="836"/>
      <c r="O1320" s="837"/>
      <c r="P1320" s="836"/>
      <c r="Q1320" s="835"/>
      <c r="R1320" s="837"/>
      <c r="S1320" s="837"/>
      <c r="T1320" s="838"/>
      <c r="U1320" s="836"/>
      <c r="V1320" s="836"/>
    </row>
    <row r="1321" customHeight="1" spans="1:22">
      <c r="A1321" s="835"/>
      <c r="B1321" s="836"/>
      <c r="C1321" s="836"/>
      <c r="D1321" s="836"/>
      <c r="E1321" s="836"/>
      <c r="F1321" s="836"/>
      <c r="G1321" s="836"/>
      <c r="H1321" s="836"/>
      <c r="I1321" s="835"/>
      <c r="J1321" s="836"/>
      <c r="K1321" s="835"/>
      <c r="L1321" s="836"/>
      <c r="M1321" s="837"/>
      <c r="N1321" s="836"/>
      <c r="O1321" s="837"/>
      <c r="P1321" s="836"/>
      <c r="Q1321" s="835"/>
      <c r="R1321" s="837"/>
      <c r="S1321" s="837"/>
      <c r="T1321" s="838"/>
      <c r="U1321" s="836"/>
      <c r="V1321" s="836"/>
    </row>
    <row r="1322" customHeight="1" spans="1:22">
      <c r="A1322" s="835"/>
      <c r="B1322" s="836"/>
      <c r="C1322" s="836"/>
      <c r="D1322" s="836"/>
      <c r="E1322" s="836"/>
      <c r="F1322" s="836"/>
      <c r="G1322" s="836"/>
      <c r="H1322" s="836"/>
      <c r="I1322" s="835"/>
      <c r="J1322" s="836"/>
      <c r="K1322" s="835"/>
      <c r="L1322" s="836"/>
      <c r="M1322" s="837"/>
      <c r="N1322" s="836"/>
      <c r="O1322" s="837"/>
      <c r="P1322" s="836"/>
      <c r="Q1322" s="835"/>
      <c r="R1322" s="837"/>
      <c r="S1322" s="837"/>
      <c r="T1322" s="838"/>
      <c r="U1322" s="836"/>
      <c r="V1322" s="836"/>
    </row>
    <row r="1323" customHeight="1" spans="1:22">
      <c r="A1323" s="835"/>
      <c r="B1323" s="836"/>
      <c r="C1323" s="836"/>
      <c r="D1323" s="836"/>
      <c r="E1323" s="836"/>
      <c r="F1323" s="836"/>
      <c r="G1323" s="836"/>
      <c r="H1323" s="836"/>
      <c r="I1323" s="835"/>
      <c r="J1323" s="836"/>
      <c r="K1323" s="835"/>
      <c r="L1323" s="836"/>
      <c r="M1323" s="837"/>
      <c r="N1323" s="836"/>
      <c r="O1323" s="837"/>
      <c r="P1323" s="836"/>
      <c r="Q1323" s="835"/>
      <c r="R1323" s="837"/>
      <c r="S1323" s="837"/>
      <c r="T1323" s="838"/>
      <c r="U1323" s="836"/>
      <c r="V1323" s="836"/>
    </row>
    <row r="1324" customHeight="1" spans="1:22">
      <c r="A1324" s="835"/>
      <c r="B1324" s="836"/>
      <c r="C1324" s="836"/>
      <c r="D1324" s="836"/>
      <c r="E1324" s="836"/>
      <c r="F1324" s="836"/>
      <c r="G1324" s="836"/>
      <c r="H1324" s="836"/>
      <c r="I1324" s="835"/>
      <c r="J1324" s="836"/>
      <c r="K1324" s="835"/>
      <c r="L1324" s="836"/>
      <c r="M1324" s="837"/>
      <c r="N1324" s="836"/>
      <c r="O1324" s="837"/>
      <c r="P1324" s="836"/>
      <c r="Q1324" s="835"/>
      <c r="R1324" s="837"/>
      <c r="S1324" s="837"/>
      <c r="T1324" s="838"/>
      <c r="U1324" s="836"/>
      <c r="V1324" s="836"/>
    </row>
    <row r="1325" customHeight="1" spans="1:22">
      <c r="A1325" s="835"/>
      <c r="B1325" s="836"/>
      <c r="C1325" s="836"/>
      <c r="D1325" s="836"/>
      <c r="E1325" s="836"/>
      <c r="F1325" s="836"/>
      <c r="G1325" s="836"/>
      <c r="H1325" s="836"/>
      <c r="I1325" s="835"/>
      <c r="J1325" s="836"/>
      <c r="K1325" s="835"/>
      <c r="L1325" s="836"/>
      <c r="M1325" s="837"/>
      <c r="N1325" s="836"/>
      <c r="O1325" s="837"/>
      <c r="P1325" s="836"/>
      <c r="Q1325" s="835"/>
      <c r="R1325" s="837"/>
      <c r="S1325" s="837"/>
      <c r="T1325" s="838"/>
      <c r="U1325" s="836"/>
      <c r="V1325" s="836"/>
    </row>
    <row r="1326" customHeight="1" spans="1:22">
      <c r="A1326" s="835"/>
      <c r="B1326" s="836"/>
      <c r="C1326" s="836"/>
      <c r="D1326" s="836"/>
      <c r="E1326" s="836"/>
      <c r="F1326" s="836"/>
      <c r="G1326" s="836"/>
      <c r="H1326" s="836"/>
      <c r="I1326" s="835"/>
      <c r="J1326" s="836"/>
      <c r="K1326" s="835"/>
      <c r="L1326" s="836"/>
      <c r="M1326" s="837"/>
      <c r="N1326" s="836"/>
      <c r="O1326" s="837"/>
      <c r="P1326" s="836"/>
      <c r="Q1326" s="835"/>
      <c r="R1326" s="837"/>
      <c r="S1326" s="837"/>
      <c r="T1326" s="838"/>
      <c r="U1326" s="836"/>
      <c r="V1326" s="836"/>
    </row>
    <row r="1327" customHeight="1" spans="1:22">
      <c r="A1327" s="835"/>
      <c r="B1327" s="836"/>
      <c r="C1327" s="836"/>
      <c r="D1327" s="836"/>
      <c r="E1327" s="836"/>
      <c r="F1327" s="836"/>
      <c r="G1327" s="836"/>
      <c r="H1327" s="836"/>
      <c r="I1327" s="835"/>
      <c r="J1327" s="836"/>
      <c r="K1327" s="835"/>
      <c r="L1327" s="836"/>
      <c r="M1327" s="837"/>
      <c r="N1327" s="836"/>
      <c r="O1327" s="837"/>
      <c r="P1327" s="836"/>
      <c r="Q1327" s="835"/>
      <c r="R1327" s="837"/>
      <c r="S1327" s="837"/>
      <c r="T1327" s="838"/>
      <c r="U1327" s="836"/>
      <c r="V1327" s="836"/>
    </row>
    <row r="1328" customHeight="1" spans="1:22">
      <c r="A1328" s="835"/>
      <c r="B1328" s="836"/>
      <c r="C1328" s="836"/>
      <c r="D1328" s="836"/>
      <c r="E1328" s="836"/>
      <c r="F1328" s="836"/>
      <c r="G1328" s="836"/>
      <c r="H1328" s="836"/>
      <c r="I1328" s="835"/>
      <c r="J1328" s="836"/>
      <c r="K1328" s="835"/>
      <c r="L1328" s="836"/>
      <c r="M1328" s="837"/>
      <c r="N1328" s="836"/>
      <c r="O1328" s="837"/>
      <c r="P1328" s="836"/>
      <c r="Q1328" s="835"/>
      <c r="R1328" s="837"/>
      <c r="S1328" s="837"/>
      <c r="T1328" s="838"/>
      <c r="U1328" s="836"/>
      <c r="V1328" s="836"/>
    </row>
    <row r="1329" customHeight="1" spans="1:22">
      <c r="A1329" s="835"/>
      <c r="B1329" s="836"/>
      <c r="C1329" s="836"/>
      <c r="D1329" s="836"/>
      <c r="E1329" s="836"/>
      <c r="F1329" s="836"/>
      <c r="G1329" s="836"/>
      <c r="H1329" s="836"/>
      <c r="I1329" s="835"/>
      <c r="J1329" s="836"/>
      <c r="K1329" s="835"/>
      <c r="L1329" s="836"/>
      <c r="M1329" s="837"/>
      <c r="N1329" s="836"/>
      <c r="O1329" s="837"/>
      <c r="P1329" s="836"/>
      <c r="Q1329" s="835"/>
      <c r="R1329" s="837"/>
      <c r="S1329" s="837"/>
      <c r="T1329" s="838"/>
      <c r="U1329" s="836"/>
      <c r="V1329" s="836"/>
    </row>
    <row r="1330" customHeight="1" spans="1:22">
      <c r="A1330" s="835"/>
      <c r="B1330" s="836"/>
      <c r="C1330" s="836"/>
      <c r="D1330" s="836"/>
      <c r="E1330" s="836"/>
      <c r="F1330" s="836"/>
      <c r="G1330" s="836"/>
      <c r="H1330" s="836"/>
      <c r="I1330" s="835"/>
      <c r="J1330" s="836"/>
      <c r="K1330" s="835"/>
      <c r="L1330" s="836"/>
      <c r="M1330" s="837"/>
      <c r="N1330" s="836"/>
      <c r="O1330" s="837"/>
      <c r="P1330" s="836"/>
      <c r="Q1330" s="835"/>
      <c r="R1330" s="837"/>
      <c r="S1330" s="837"/>
      <c r="T1330" s="838"/>
      <c r="U1330" s="836"/>
      <c r="V1330" s="836"/>
    </row>
    <row r="1331" customHeight="1" spans="1:22">
      <c r="A1331" s="835"/>
      <c r="B1331" s="836"/>
      <c r="C1331" s="836"/>
      <c r="D1331" s="836"/>
      <c r="E1331" s="836"/>
      <c r="F1331" s="836"/>
      <c r="G1331" s="836"/>
      <c r="H1331" s="836"/>
      <c r="I1331" s="835"/>
      <c r="J1331" s="836"/>
      <c r="K1331" s="835"/>
      <c r="L1331" s="836"/>
      <c r="M1331" s="837"/>
      <c r="N1331" s="836"/>
      <c r="O1331" s="837"/>
      <c r="P1331" s="836"/>
      <c r="Q1331" s="835"/>
      <c r="R1331" s="837"/>
      <c r="S1331" s="837"/>
      <c r="T1331" s="838"/>
      <c r="U1331" s="836"/>
      <c r="V1331" s="836"/>
    </row>
    <row r="1332" customHeight="1" spans="1:22">
      <c r="A1332" s="835"/>
      <c r="B1332" s="836"/>
      <c r="C1332" s="836"/>
      <c r="D1332" s="836"/>
      <c r="E1332" s="836"/>
      <c r="F1332" s="836"/>
      <c r="G1332" s="836"/>
      <c r="H1332" s="836"/>
      <c r="I1332" s="835"/>
      <c r="J1332" s="836"/>
      <c r="K1332" s="835"/>
      <c r="L1332" s="836"/>
      <c r="M1332" s="837"/>
      <c r="N1332" s="836"/>
      <c r="O1332" s="837"/>
      <c r="P1332" s="836"/>
      <c r="Q1332" s="835"/>
      <c r="R1332" s="837"/>
      <c r="S1332" s="837"/>
      <c r="T1332" s="838"/>
      <c r="U1332" s="836"/>
      <c r="V1332" s="836"/>
    </row>
    <row r="1333" customHeight="1" spans="1:22">
      <c r="A1333" s="835"/>
      <c r="B1333" s="836"/>
      <c r="C1333" s="836"/>
      <c r="D1333" s="836"/>
      <c r="E1333" s="836"/>
      <c r="F1333" s="836"/>
      <c r="G1333" s="836"/>
      <c r="H1333" s="836"/>
      <c r="I1333" s="835"/>
      <c r="J1333" s="836"/>
      <c r="K1333" s="835"/>
      <c r="L1333" s="836"/>
      <c r="M1333" s="837"/>
      <c r="N1333" s="836"/>
      <c r="O1333" s="837"/>
      <c r="P1333" s="836"/>
      <c r="Q1333" s="835"/>
      <c r="R1333" s="837"/>
      <c r="S1333" s="837"/>
      <c r="T1333" s="838"/>
      <c r="U1333" s="836"/>
      <c r="V1333" s="836"/>
    </row>
    <row r="1334" customHeight="1" spans="1:22">
      <c r="A1334" s="835"/>
      <c r="B1334" s="836"/>
      <c r="C1334" s="836"/>
      <c r="D1334" s="836"/>
      <c r="E1334" s="836"/>
      <c r="F1334" s="836"/>
      <c r="G1334" s="836"/>
      <c r="H1334" s="836"/>
      <c r="I1334" s="835"/>
      <c r="J1334" s="836"/>
      <c r="K1334" s="835"/>
      <c r="L1334" s="836"/>
      <c r="M1334" s="837"/>
      <c r="N1334" s="836"/>
      <c r="O1334" s="837"/>
      <c r="P1334" s="836"/>
      <c r="Q1334" s="835"/>
      <c r="R1334" s="837"/>
      <c r="S1334" s="837"/>
      <c r="T1334" s="838"/>
      <c r="U1334" s="836"/>
      <c r="V1334" s="836"/>
    </row>
    <row r="1335" customHeight="1" spans="1:22">
      <c r="A1335" s="835"/>
      <c r="B1335" s="836"/>
      <c r="C1335" s="836"/>
      <c r="D1335" s="836"/>
      <c r="E1335" s="836"/>
      <c r="F1335" s="836"/>
      <c r="G1335" s="836"/>
      <c r="H1335" s="836"/>
      <c r="I1335" s="835"/>
      <c r="J1335" s="836"/>
      <c r="K1335" s="835"/>
      <c r="L1335" s="836"/>
      <c r="M1335" s="837"/>
      <c r="N1335" s="836"/>
      <c r="O1335" s="837"/>
      <c r="P1335" s="836"/>
      <c r="Q1335" s="835"/>
      <c r="R1335" s="837"/>
      <c r="S1335" s="837"/>
      <c r="T1335" s="838"/>
      <c r="U1335" s="836"/>
      <c r="V1335" s="836"/>
    </row>
    <row r="1336" customHeight="1" spans="1:22">
      <c r="A1336" s="835"/>
      <c r="B1336" s="836"/>
      <c r="C1336" s="836"/>
      <c r="D1336" s="836"/>
      <c r="E1336" s="836"/>
      <c r="F1336" s="836"/>
      <c r="G1336" s="836"/>
      <c r="H1336" s="836"/>
      <c r="I1336" s="835"/>
      <c r="J1336" s="836"/>
      <c r="K1336" s="835"/>
      <c r="L1336" s="836"/>
      <c r="M1336" s="837"/>
      <c r="N1336" s="836"/>
      <c r="O1336" s="837"/>
      <c r="P1336" s="836"/>
      <c r="Q1336" s="835"/>
      <c r="R1336" s="837"/>
      <c r="S1336" s="837"/>
      <c r="T1336" s="838"/>
      <c r="U1336" s="836"/>
      <c r="V1336" s="836"/>
    </row>
    <row r="1337" customHeight="1" spans="1:22">
      <c r="A1337" s="835"/>
      <c r="B1337" s="836"/>
      <c r="C1337" s="836"/>
      <c r="D1337" s="836"/>
      <c r="E1337" s="836"/>
      <c r="F1337" s="836"/>
      <c r="G1337" s="836"/>
      <c r="H1337" s="836"/>
      <c r="I1337" s="835"/>
      <c r="J1337" s="836"/>
      <c r="K1337" s="835"/>
      <c r="L1337" s="836"/>
      <c r="M1337" s="837"/>
      <c r="N1337" s="836"/>
      <c r="O1337" s="837"/>
      <c r="P1337" s="836"/>
      <c r="Q1337" s="835"/>
      <c r="R1337" s="837"/>
      <c r="S1337" s="837"/>
      <c r="T1337" s="838"/>
      <c r="U1337" s="836"/>
      <c r="V1337" s="836"/>
    </row>
    <row r="1338" customHeight="1" spans="1:22">
      <c r="A1338" s="835"/>
      <c r="B1338" s="836"/>
      <c r="C1338" s="836"/>
      <c r="D1338" s="836"/>
      <c r="E1338" s="836"/>
      <c r="F1338" s="836"/>
      <c r="G1338" s="836"/>
      <c r="H1338" s="836"/>
      <c r="I1338" s="835"/>
      <c r="J1338" s="836"/>
      <c r="K1338" s="835"/>
      <c r="L1338" s="836"/>
      <c r="M1338" s="837"/>
      <c r="N1338" s="836"/>
      <c r="O1338" s="837"/>
      <c r="P1338" s="836"/>
      <c r="Q1338" s="835"/>
      <c r="R1338" s="837"/>
      <c r="S1338" s="837"/>
      <c r="T1338" s="838"/>
      <c r="U1338" s="836"/>
      <c r="V1338" s="836"/>
    </row>
    <row r="1339" customHeight="1" spans="1:22">
      <c r="A1339" s="835"/>
      <c r="B1339" s="836"/>
      <c r="C1339" s="836"/>
      <c r="D1339" s="836"/>
      <c r="E1339" s="836"/>
      <c r="F1339" s="836"/>
      <c r="G1339" s="836"/>
      <c r="H1339" s="836"/>
      <c r="I1339" s="835"/>
      <c r="J1339" s="836"/>
      <c r="K1339" s="835"/>
      <c r="L1339" s="836"/>
      <c r="M1339" s="837"/>
      <c r="N1339" s="836"/>
      <c r="O1339" s="837"/>
      <c r="P1339" s="836"/>
      <c r="Q1339" s="835"/>
      <c r="R1339" s="837"/>
      <c r="S1339" s="837"/>
      <c r="T1339" s="838"/>
      <c r="U1339" s="836"/>
      <c r="V1339" s="836"/>
    </row>
    <row r="1340" customHeight="1" spans="1:22">
      <c r="A1340" s="835"/>
      <c r="B1340" s="836"/>
      <c r="C1340" s="836"/>
      <c r="D1340" s="836"/>
      <c r="E1340" s="836"/>
      <c r="F1340" s="836"/>
      <c r="G1340" s="836"/>
      <c r="H1340" s="836"/>
      <c r="I1340" s="835"/>
      <c r="J1340" s="836"/>
      <c r="K1340" s="835"/>
      <c r="L1340" s="836"/>
      <c r="M1340" s="837"/>
      <c r="N1340" s="836"/>
      <c r="O1340" s="837"/>
      <c r="P1340" s="836"/>
      <c r="Q1340" s="835"/>
      <c r="R1340" s="837"/>
      <c r="S1340" s="837"/>
      <c r="T1340" s="838"/>
      <c r="U1340" s="836"/>
      <c r="V1340" s="836"/>
    </row>
    <row r="1341" customHeight="1" spans="1:22">
      <c r="A1341" s="835"/>
      <c r="B1341" s="836"/>
      <c r="C1341" s="836"/>
      <c r="D1341" s="836"/>
      <c r="E1341" s="836"/>
      <c r="F1341" s="836"/>
      <c r="G1341" s="836"/>
      <c r="H1341" s="836"/>
      <c r="I1341" s="835"/>
      <c r="J1341" s="836"/>
      <c r="K1341" s="835"/>
      <c r="L1341" s="836"/>
      <c r="M1341" s="837"/>
      <c r="N1341" s="836"/>
      <c r="O1341" s="837"/>
      <c r="P1341" s="836"/>
      <c r="Q1341" s="835"/>
      <c r="R1341" s="837"/>
      <c r="S1341" s="837"/>
      <c r="T1341" s="838"/>
      <c r="U1341" s="836"/>
      <c r="V1341" s="836"/>
    </row>
    <row r="1342" customHeight="1" spans="1:22">
      <c r="A1342" s="835"/>
      <c r="B1342" s="836"/>
      <c r="C1342" s="836"/>
      <c r="D1342" s="836"/>
      <c r="E1342" s="836"/>
      <c r="F1342" s="836"/>
      <c r="G1342" s="836"/>
      <c r="H1342" s="836"/>
      <c r="I1342" s="835"/>
      <c r="J1342" s="836"/>
      <c r="K1342" s="835"/>
      <c r="L1342" s="836"/>
      <c r="M1342" s="837"/>
      <c r="N1342" s="836"/>
      <c r="O1342" s="837"/>
      <c r="P1342" s="836"/>
      <c r="Q1342" s="835"/>
      <c r="R1342" s="837"/>
      <c r="S1342" s="837"/>
      <c r="T1342" s="838"/>
      <c r="U1342" s="836"/>
      <c r="V1342" s="836"/>
    </row>
    <row r="1343" customHeight="1" spans="1:22">
      <c r="A1343" s="835"/>
      <c r="B1343" s="836"/>
      <c r="C1343" s="836"/>
      <c r="D1343" s="836"/>
      <c r="E1343" s="836"/>
      <c r="F1343" s="836"/>
      <c r="G1343" s="836"/>
      <c r="H1343" s="836"/>
      <c r="I1343" s="835"/>
      <c r="J1343" s="836"/>
      <c r="K1343" s="835"/>
      <c r="L1343" s="836"/>
      <c r="M1343" s="837"/>
      <c r="N1343" s="836"/>
      <c r="O1343" s="837"/>
      <c r="P1343" s="836"/>
      <c r="Q1343" s="835"/>
      <c r="R1343" s="837"/>
      <c r="S1343" s="837"/>
      <c r="T1343" s="838"/>
      <c r="U1343" s="836"/>
      <c r="V1343" s="836"/>
    </row>
    <row r="1344" customHeight="1" spans="1:22">
      <c r="A1344" s="835"/>
      <c r="B1344" s="836"/>
      <c r="C1344" s="836"/>
      <c r="D1344" s="836"/>
      <c r="E1344" s="836"/>
      <c r="F1344" s="836"/>
      <c r="G1344" s="836"/>
      <c r="H1344" s="836"/>
      <c r="I1344" s="835"/>
      <c r="J1344" s="836"/>
      <c r="K1344" s="835"/>
      <c r="L1344" s="836"/>
      <c r="M1344" s="837"/>
      <c r="N1344" s="836"/>
      <c r="O1344" s="837"/>
      <c r="P1344" s="836"/>
      <c r="Q1344" s="835"/>
      <c r="R1344" s="837"/>
      <c r="S1344" s="837"/>
      <c r="T1344" s="838"/>
      <c r="U1344" s="836"/>
      <c r="V1344" s="836"/>
    </row>
    <row r="1345" customHeight="1" spans="1:22">
      <c r="A1345" s="835"/>
      <c r="B1345" s="836"/>
      <c r="C1345" s="836"/>
      <c r="D1345" s="836"/>
      <c r="E1345" s="836"/>
      <c r="F1345" s="836"/>
      <c r="G1345" s="836"/>
      <c r="H1345" s="836"/>
      <c r="I1345" s="835"/>
      <c r="J1345" s="836"/>
      <c r="K1345" s="835"/>
      <c r="L1345" s="836"/>
      <c r="M1345" s="837"/>
      <c r="N1345" s="836"/>
      <c r="O1345" s="837"/>
      <c r="P1345" s="836"/>
      <c r="Q1345" s="835"/>
      <c r="R1345" s="837"/>
      <c r="S1345" s="837"/>
      <c r="T1345" s="838"/>
      <c r="U1345" s="836"/>
      <c r="V1345" s="836"/>
    </row>
    <row r="1346" customHeight="1" spans="1:22">
      <c r="A1346" s="835"/>
      <c r="B1346" s="836"/>
      <c r="C1346" s="836"/>
      <c r="D1346" s="836"/>
      <c r="E1346" s="836"/>
      <c r="F1346" s="836"/>
      <c r="G1346" s="836"/>
      <c r="H1346" s="836"/>
      <c r="I1346" s="835"/>
      <c r="J1346" s="836"/>
      <c r="K1346" s="835"/>
      <c r="L1346" s="836"/>
      <c r="M1346" s="837"/>
      <c r="N1346" s="836"/>
      <c r="O1346" s="837"/>
      <c r="P1346" s="836"/>
      <c r="Q1346" s="835"/>
      <c r="R1346" s="837"/>
      <c r="S1346" s="837"/>
      <c r="T1346" s="838"/>
      <c r="U1346" s="836"/>
      <c r="V1346" s="836"/>
    </row>
    <row r="1347" customHeight="1" spans="1:22">
      <c r="A1347" s="835"/>
      <c r="B1347" s="836"/>
      <c r="C1347" s="836"/>
      <c r="D1347" s="836"/>
      <c r="E1347" s="836"/>
      <c r="F1347" s="836"/>
      <c r="G1347" s="836"/>
      <c r="H1347" s="836"/>
      <c r="I1347" s="835"/>
      <c r="J1347" s="836"/>
      <c r="K1347" s="835"/>
      <c r="L1347" s="836"/>
      <c r="M1347" s="837"/>
      <c r="N1347" s="836"/>
      <c r="O1347" s="837"/>
      <c r="P1347" s="836"/>
      <c r="Q1347" s="835"/>
      <c r="R1347" s="837"/>
      <c r="S1347" s="837"/>
      <c r="T1347" s="838"/>
      <c r="U1347" s="836"/>
      <c r="V1347" s="836"/>
    </row>
    <row r="1348" customHeight="1" spans="1:22">
      <c r="A1348" s="835"/>
      <c r="B1348" s="836"/>
      <c r="C1348" s="836"/>
      <c r="D1348" s="836"/>
      <c r="E1348" s="836"/>
      <c r="F1348" s="836"/>
      <c r="G1348" s="836"/>
      <c r="H1348" s="836"/>
      <c r="I1348" s="835"/>
      <c r="J1348" s="836"/>
      <c r="K1348" s="835"/>
      <c r="L1348" s="836"/>
      <c r="M1348" s="837"/>
      <c r="N1348" s="836"/>
      <c r="O1348" s="837"/>
      <c r="P1348" s="836"/>
      <c r="Q1348" s="835"/>
      <c r="R1348" s="837"/>
      <c r="S1348" s="837"/>
      <c r="T1348" s="838"/>
      <c r="U1348" s="836"/>
      <c r="V1348" s="836"/>
    </row>
    <row r="1349" customHeight="1" spans="1:22">
      <c r="A1349" s="835"/>
      <c r="B1349" s="836"/>
      <c r="C1349" s="836"/>
      <c r="D1349" s="836"/>
      <c r="E1349" s="836"/>
      <c r="F1349" s="836"/>
      <c r="G1349" s="836"/>
      <c r="H1349" s="836"/>
      <c r="I1349" s="835"/>
      <c r="J1349" s="836"/>
      <c r="K1349" s="835"/>
      <c r="L1349" s="836"/>
      <c r="M1349" s="837"/>
      <c r="N1349" s="836"/>
      <c r="O1349" s="837"/>
      <c r="P1349" s="836"/>
      <c r="Q1349" s="835"/>
      <c r="R1349" s="837"/>
      <c r="S1349" s="837"/>
      <c r="T1349" s="838"/>
      <c r="U1349" s="836"/>
      <c r="V1349" s="836"/>
    </row>
    <row r="1350" customHeight="1" spans="1:22">
      <c r="A1350" s="835"/>
      <c r="B1350" s="836"/>
      <c r="C1350" s="836"/>
      <c r="D1350" s="836"/>
      <c r="E1350" s="836"/>
      <c r="F1350" s="836"/>
      <c r="G1350" s="836"/>
      <c r="H1350" s="836"/>
      <c r="I1350" s="835"/>
      <c r="J1350" s="836"/>
      <c r="K1350" s="835"/>
      <c r="L1350" s="836"/>
      <c r="M1350" s="837"/>
      <c r="N1350" s="836"/>
      <c r="O1350" s="837"/>
      <c r="P1350" s="836"/>
      <c r="Q1350" s="835"/>
      <c r="R1350" s="837"/>
      <c r="S1350" s="837"/>
      <c r="T1350" s="838"/>
      <c r="U1350" s="836"/>
      <c r="V1350" s="836"/>
    </row>
    <row r="1351" customHeight="1" spans="1:22">
      <c r="A1351" s="835"/>
      <c r="B1351" s="836"/>
      <c r="C1351" s="836"/>
      <c r="D1351" s="836"/>
      <c r="E1351" s="836"/>
      <c r="F1351" s="836"/>
      <c r="G1351" s="836"/>
      <c r="H1351" s="836"/>
      <c r="I1351" s="835"/>
      <c r="J1351" s="836"/>
      <c r="K1351" s="835"/>
      <c r="L1351" s="836"/>
      <c r="M1351" s="837"/>
      <c r="N1351" s="836"/>
      <c r="O1351" s="837"/>
      <c r="P1351" s="836"/>
      <c r="Q1351" s="835"/>
      <c r="R1351" s="837"/>
      <c r="S1351" s="837"/>
      <c r="T1351" s="838"/>
      <c r="U1351" s="836"/>
      <c r="V1351" s="836"/>
    </row>
    <row r="1352" customHeight="1" spans="1:22">
      <c r="A1352" s="835"/>
      <c r="B1352" s="836"/>
      <c r="C1352" s="836"/>
      <c r="D1352" s="836"/>
      <c r="E1352" s="836"/>
      <c r="F1352" s="836"/>
      <c r="G1352" s="836"/>
      <c r="H1352" s="836"/>
      <c r="I1352" s="835"/>
      <c r="J1352" s="836"/>
      <c r="K1352" s="835"/>
      <c r="L1352" s="836"/>
      <c r="M1352" s="837"/>
      <c r="N1352" s="836"/>
      <c r="O1352" s="837"/>
      <c r="P1352" s="836"/>
      <c r="Q1352" s="835"/>
      <c r="R1352" s="837"/>
      <c r="S1352" s="837"/>
      <c r="T1352" s="838"/>
      <c r="U1352" s="836"/>
      <c r="V1352" s="836"/>
    </row>
    <row r="1353" customHeight="1" spans="1:22">
      <c r="A1353" s="835"/>
      <c r="B1353" s="836"/>
      <c r="C1353" s="836"/>
      <c r="D1353" s="836"/>
      <c r="E1353" s="836"/>
      <c r="F1353" s="836"/>
      <c r="G1353" s="836"/>
      <c r="H1353" s="836"/>
      <c r="I1353" s="835"/>
      <c r="J1353" s="836"/>
      <c r="K1353" s="835"/>
      <c r="L1353" s="836"/>
      <c r="M1353" s="837"/>
      <c r="N1353" s="836"/>
      <c r="O1353" s="837"/>
      <c r="P1353" s="836"/>
      <c r="Q1353" s="835"/>
      <c r="R1353" s="837"/>
      <c r="S1353" s="837"/>
      <c r="T1353" s="838"/>
      <c r="U1353" s="836"/>
      <c r="V1353" s="836"/>
    </row>
    <row r="1354" customHeight="1" spans="1:22">
      <c r="A1354" s="835"/>
      <c r="B1354" s="836"/>
      <c r="C1354" s="836"/>
      <c r="D1354" s="836"/>
      <c r="E1354" s="836"/>
      <c r="F1354" s="836"/>
      <c r="G1354" s="836"/>
      <c r="H1354" s="836"/>
      <c r="I1354" s="835"/>
      <c r="J1354" s="836"/>
      <c r="K1354" s="835"/>
      <c r="L1354" s="836"/>
      <c r="M1354" s="837"/>
      <c r="N1354" s="836"/>
      <c r="O1354" s="837"/>
      <c r="P1354" s="836"/>
      <c r="Q1354" s="835"/>
      <c r="R1354" s="837"/>
      <c r="S1354" s="837"/>
      <c r="T1354" s="838"/>
      <c r="U1354" s="836"/>
      <c r="V1354" s="836"/>
    </row>
    <row r="1355" customHeight="1" spans="1:22">
      <c r="A1355" s="835"/>
      <c r="B1355" s="836"/>
      <c r="C1355" s="836"/>
      <c r="D1355" s="836"/>
      <c r="E1355" s="836"/>
      <c r="F1355" s="836"/>
      <c r="G1355" s="836"/>
      <c r="H1355" s="836"/>
      <c r="I1355" s="835"/>
      <c r="J1355" s="836"/>
      <c r="K1355" s="835"/>
      <c r="L1355" s="836"/>
      <c r="M1355" s="837"/>
      <c r="N1355" s="836"/>
      <c r="O1355" s="837"/>
      <c r="P1355" s="836"/>
      <c r="Q1355" s="835"/>
      <c r="R1355" s="837"/>
      <c r="S1355" s="837"/>
      <c r="T1355" s="838"/>
      <c r="U1355" s="836"/>
      <c r="V1355" s="836"/>
    </row>
    <row r="1356" customHeight="1" spans="1:22">
      <c r="A1356" s="835"/>
      <c r="B1356" s="836"/>
      <c r="C1356" s="836"/>
      <c r="D1356" s="836"/>
      <c r="E1356" s="836"/>
      <c r="F1356" s="836"/>
      <c r="G1356" s="836"/>
      <c r="H1356" s="836"/>
      <c r="I1356" s="835"/>
      <c r="J1356" s="836"/>
      <c r="K1356" s="835"/>
      <c r="L1356" s="836"/>
      <c r="M1356" s="837"/>
      <c r="N1356" s="836"/>
      <c r="O1356" s="837"/>
      <c r="P1356" s="836"/>
      <c r="Q1356" s="835"/>
      <c r="R1356" s="837"/>
      <c r="S1356" s="837"/>
      <c r="T1356" s="838"/>
      <c r="U1356" s="836"/>
      <c r="V1356" s="836"/>
    </row>
    <row r="1357" customHeight="1" spans="1:22">
      <c r="A1357" s="835"/>
      <c r="B1357" s="836"/>
      <c r="C1357" s="836"/>
      <c r="D1357" s="836"/>
      <c r="E1357" s="836"/>
      <c r="F1357" s="836"/>
      <c r="G1357" s="836"/>
      <c r="H1357" s="836"/>
      <c r="I1357" s="835"/>
      <c r="J1357" s="836"/>
      <c r="K1357" s="835"/>
      <c r="L1357" s="836"/>
      <c r="M1357" s="837"/>
      <c r="N1357" s="836"/>
      <c r="O1357" s="837"/>
      <c r="P1357" s="836"/>
      <c r="Q1357" s="835"/>
      <c r="R1357" s="837"/>
      <c r="S1357" s="837"/>
      <c r="T1357" s="838"/>
      <c r="U1357" s="836"/>
      <c r="V1357" s="836"/>
    </row>
    <row r="1358" customHeight="1" spans="1:22">
      <c r="A1358" s="835"/>
      <c r="B1358" s="836"/>
      <c r="C1358" s="836"/>
      <c r="D1358" s="836"/>
      <c r="E1358" s="836"/>
      <c r="F1358" s="836"/>
      <c r="G1358" s="836"/>
      <c r="H1358" s="836"/>
      <c r="I1358" s="835"/>
      <c r="J1358" s="836"/>
      <c r="K1358" s="835"/>
      <c r="L1358" s="836"/>
      <c r="M1358" s="837"/>
      <c r="N1358" s="836"/>
      <c r="O1358" s="837"/>
      <c r="P1358" s="836"/>
      <c r="Q1358" s="835"/>
      <c r="R1358" s="837"/>
      <c r="S1358" s="837"/>
      <c r="T1358" s="838"/>
      <c r="U1358" s="836"/>
      <c r="V1358" s="836"/>
    </row>
    <row r="1359" customHeight="1" spans="1:22">
      <c r="A1359" s="835"/>
      <c r="B1359" s="836"/>
      <c r="C1359" s="836"/>
      <c r="D1359" s="836"/>
      <c r="E1359" s="836"/>
      <c r="F1359" s="836"/>
      <c r="G1359" s="836"/>
      <c r="H1359" s="836"/>
      <c r="I1359" s="835"/>
      <c r="J1359" s="836"/>
      <c r="K1359" s="835"/>
      <c r="L1359" s="836"/>
      <c r="M1359" s="837"/>
      <c r="N1359" s="836"/>
      <c r="O1359" s="837"/>
      <c r="P1359" s="836"/>
      <c r="Q1359" s="835"/>
      <c r="R1359" s="837"/>
      <c r="S1359" s="837"/>
      <c r="T1359" s="838"/>
      <c r="U1359" s="836"/>
      <c r="V1359" s="836"/>
    </row>
    <row r="1360" customHeight="1" spans="1:22">
      <c r="A1360" s="835"/>
      <c r="B1360" s="836"/>
      <c r="C1360" s="836"/>
      <c r="D1360" s="836"/>
      <c r="E1360" s="836"/>
      <c r="F1360" s="836"/>
      <c r="G1360" s="836"/>
      <c r="H1360" s="836"/>
      <c r="I1360" s="835"/>
      <c r="J1360" s="836"/>
      <c r="K1360" s="835"/>
      <c r="L1360" s="836"/>
      <c r="M1360" s="837"/>
      <c r="N1360" s="836"/>
      <c r="O1360" s="837"/>
      <c r="P1360" s="836"/>
      <c r="Q1360" s="835"/>
      <c r="R1360" s="837"/>
      <c r="S1360" s="837"/>
      <c r="T1360" s="838"/>
      <c r="U1360" s="836"/>
      <c r="V1360" s="836"/>
    </row>
    <row r="1361" customHeight="1" spans="1:22">
      <c r="A1361" s="835"/>
      <c r="B1361" s="836"/>
      <c r="C1361" s="836"/>
      <c r="D1361" s="836"/>
      <c r="E1361" s="836"/>
      <c r="F1361" s="836"/>
      <c r="G1361" s="836"/>
      <c r="H1361" s="836"/>
      <c r="I1361" s="835"/>
      <c r="J1361" s="836"/>
      <c r="K1361" s="835"/>
      <c r="L1361" s="836"/>
      <c r="M1361" s="837"/>
      <c r="N1361" s="836"/>
      <c r="O1361" s="837"/>
      <c r="P1361" s="836"/>
      <c r="Q1361" s="835"/>
      <c r="R1361" s="837"/>
      <c r="S1361" s="837"/>
      <c r="T1361" s="838"/>
      <c r="U1361" s="836"/>
      <c r="V1361" s="836"/>
    </row>
    <row r="1362" customHeight="1" spans="1:22">
      <c r="A1362" s="835"/>
      <c r="B1362" s="836"/>
      <c r="C1362" s="836"/>
      <c r="D1362" s="836"/>
      <c r="E1362" s="836"/>
      <c r="F1362" s="836"/>
      <c r="G1362" s="836"/>
      <c r="H1362" s="836"/>
      <c r="I1362" s="835"/>
      <c r="J1362" s="836"/>
      <c r="K1362" s="835"/>
      <c r="L1362" s="836"/>
      <c r="M1362" s="837"/>
      <c r="N1362" s="836"/>
      <c r="O1362" s="837"/>
      <c r="P1362" s="836"/>
      <c r="Q1362" s="835"/>
      <c r="R1362" s="837"/>
      <c r="S1362" s="837"/>
      <c r="T1362" s="838"/>
      <c r="U1362" s="836"/>
      <c r="V1362" s="836"/>
    </row>
    <row r="1363" customHeight="1" spans="1:22">
      <c r="A1363" s="835"/>
      <c r="B1363" s="836"/>
      <c r="C1363" s="836"/>
      <c r="D1363" s="836"/>
      <c r="E1363" s="836"/>
      <c r="F1363" s="836"/>
      <c r="G1363" s="836"/>
      <c r="H1363" s="836"/>
      <c r="I1363" s="835"/>
      <c r="J1363" s="836"/>
      <c r="K1363" s="835"/>
      <c r="L1363" s="836"/>
      <c r="M1363" s="837"/>
      <c r="N1363" s="836"/>
      <c r="O1363" s="837"/>
      <c r="P1363" s="836"/>
      <c r="Q1363" s="835"/>
      <c r="R1363" s="837"/>
      <c r="S1363" s="837"/>
      <c r="T1363" s="838"/>
      <c r="U1363" s="836"/>
      <c r="V1363" s="836"/>
    </row>
    <row r="1364" customHeight="1" spans="1:22">
      <c r="A1364" s="835"/>
      <c r="B1364" s="836"/>
      <c r="C1364" s="836"/>
      <c r="D1364" s="836"/>
      <c r="E1364" s="836"/>
      <c r="F1364" s="836"/>
      <c r="G1364" s="836"/>
      <c r="H1364" s="836"/>
      <c r="I1364" s="835"/>
      <c r="J1364" s="836"/>
      <c r="K1364" s="835"/>
      <c r="L1364" s="836"/>
      <c r="M1364" s="837"/>
      <c r="N1364" s="836"/>
      <c r="O1364" s="837"/>
      <c r="P1364" s="836"/>
      <c r="Q1364" s="835"/>
      <c r="R1364" s="837"/>
      <c r="S1364" s="837"/>
      <c r="T1364" s="838"/>
      <c r="U1364" s="836"/>
      <c r="V1364" s="836"/>
    </row>
    <row r="1365" customHeight="1" spans="1:22">
      <c r="A1365" s="835"/>
      <c r="B1365" s="836"/>
      <c r="C1365" s="836"/>
      <c r="D1365" s="836"/>
      <c r="E1365" s="836"/>
      <c r="F1365" s="836"/>
      <c r="G1365" s="836"/>
      <c r="H1365" s="836"/>
      <c r="I1365" s="835"/>
      <c r="J1365" s="836"/>
      <c r="K1365" s="835"/>
      <c r="L1365" s="836"/>
      <c r="M1365" s="837"/>
      <c r="N1365" s="836"/>
      <c r="O1365" s="837"/>
      <c r="P1365" s="836"/>
      <c r="Q1365" s="835"/>
      <c r="R1365" s="837"/>
      <c r="S1365" s="837"/>
      <c r="T1365" s="838"/>
      <c r="U1365" s="836"/>
      <c r="V1365" s="836"/>
    </row>
    <row r="1366" customHeight="1" spans="1:22">
      <c r="A1366" s="835"/>
      <c r="B1366" s="836"/>
      <c r="C1366" s="836"/>
      <c r="D1366" s="836"/>
      <c r="E1366" s="836"/>
      <c r="F1366" s="836"/>
      <c r="G1366" s="836"/>
      <c r="H1366" s="836"/>
      <c r="I1366" s="835"/>
      <c r="J1366" s="836"/>
      <c r="K1366" s="835"/>
      <c r="L1366" s="836"/>
      <c r="M1366" s="837"/>
      <c r="N1366" s="836"/>
      <c r="O1366" s="837"/>
      <c r="P1366" s="836"/>
      <c r="Q1366" s="835"/>
      <c r="R1366" s="837"/>
      <c r="S1366" s="837"/>
      <c r="T1366" s="838"/>
      <c r="U1366" s="836"/>
      <c r="V1366" s="836"/>
    </row>
    <row r="1367" customHeight="1" spans="1:22">
      <c r="A1367" s="835"/>
      <c r="B1367" s="836"/>
      <c r="C1367" s="836"/>
      <c r="D1367" s="836"/>
      <c r="E1367" s="836"/>
      <c r="F1367" s="836"/>
      <c r="G1367" s="836"/>
      <c r="H1367" s="836"/>
      <c r="I1367" s="835"/>
      <c r="J1367" s="836"/>
      <c r="K1367" s="835"/>
      <c r="L1367" s="836"/>
      <c r="M1367" s="837"/>
      <c r="N1367" s="836"/>
      <c r="O1367" s="837"/>
      <c r="P1367" s="836"/>
      <c r="Q1367" s="835"/>
      <c r="R1367" s="837"/>
      <c r="S1367" s="837"/>
      <c r="T1367" s="838"/>
      <c r="U1367" s="836"/>
      <c r="V1367" s="836"/>
    </row>
    <row r="1368" customHeight="1" spans="1:22">
      <c r="A1368" s="835"/>
      <c r="B1368" s="836"/>
      <c r="C1368" s="836"/>
      <c r="D1368" s="836"/>
      <c r="E1368" s="836"/>
      <c r="F1368" s="836"/>
      <c r="G1368" s="836"/>
      <c r="H1368" s="836"/>
      <c r="I1368" s="835"/>
      <c r="J1368" s="836"/>
      <c r="K1368" s="835"/>
      <c r="L1368" s="836"/>
      <c r="M1368" s="837"/>
      <c r="N1368" s="836"/>
      <c r="O1368" s="837"/>
      <c r="P1368" s="836"/>
      <c r="Q1368" s="835"/>
      <c r="R1368" s="837"/>
      <c r="S1368" s="837"/>
      <c r="T1368" s="838"/>
      <c r="U1368" s="836"/>
      <c r="V1368" s="836"/>
    </row>
    <row r="1369" customHeight="1" spans="1:22">
      <c r="A1369" s="835"/>
      <c r="B1369" s="836"/>
      <c r="C1369" s="836"/>
      <c r="D1369" s="836"/>
      <c r="E1369" s="836"/>
      <c r="F1369" s="836"/>
      <c r="G1369" s="836"/>
      <c r="H1369" s="836"/>
      <c r="I1369" s="835"/>
      <c r="J1369" s="836"/>
      <c r="K1369" s="835"/>
      <c r="L1369" s="836"/>
      <c r="M1369" s="837"/>
      <c r="N1369" s="836"/>
      <c r="O1369" s="837"/>
      <c r="P1369" s="836"/>
      <c r="Q1369" s="835"/>
      <c r="R1369" s="837"/>
      <c r="S1369" s="837"/>
      <c r="T1369" s="838"/>
      <c r="U1369" s="836"/>
      <c r="V1369" s="836"/>
    </row>
    <row r="1370" customHeight="1" spans="1:22">
      <c r="A1370" s="835"/>
      <c r="B1370" s="836"/>
      <c r="C1370" s="836"/>
      <c r="D1370" s="836"/>
      <c r="E1370" s="836"/>
      <c r="F1370" s="836"/>
      <c r="G1370" s="836"/>
      <c r="H1370" s="836"/>
      <c r="I1370" s="835"/>
      <c r="J1370" s="836"/>
      <c r="K1370" s="835"/>
      <c r="L1370" s="836"/>
      <c r="M1370" s="837"/>
      <c r="N1370" s="836"/>
      <c r="O1370" s="837"/>
      <c r="P1370" s="836"/>
      <c r="Q1370" s="835"/>
      <c r="R1370" s="837"/>
      <c r="S1370" s="837"/>
      <c r="T1370" s="838"/>
      <c r="U1370" s="836"/>
      <c r="V1370" s="836"/>
    </row>
    <row r="1371" customHeight="1" spans="1:22">
      <c r="A1371" s="835"/>
      <c r="B1371" s="836"/>
      <c r="C1371" s="836"/>
      <c r="D1371" s="836"/>
      <c r="E1371" s="836"/>
      <c r="F1371" s="836"/>
      <c r="G1371" s="836"/>
      <c r="H1371" s="836"/>
      <c r="I1371" s="835"/>
      <c r="J1371" s="836"/>
      <c r="K1371" s="835"/>
      <c r="L1371" s="836"/>
      <c r="M1371" s="837"/>
      <c r="N1371" s="836"/>
      <c r="O1371" s="837"/>
      <c r="P1371" s="836"/>
      <c r="Q1371" s="835"/>
      <c r="R1371" s="837"/>
      <c r="S1371" s="837"/>
      <c r="T1371" s="838"/>
      <c r="U1371" s="836"/>
      <c r="V1371" s="836"/>
    </row>
    <row r="1372" customHeight="1" spans="1:22">
      <c r="A1372" s="835"/>
      <c r="B1372" s="836"/>
      <c r="C1372" s="836"/>
      <c r="D1372" s="836"/>
      <c r="E1372" s="836"/>
      <c r="F1372" s="836"/>
      <c r="G1372" s="836"/>
      <c r="H1372" s="836"/>
      <c r="I1372" s="835"/>
      <c r="J1372" s="836"/>
      <c r="K1372" s="835"/>
      <c r="L1372" s="836"/>
      <c r="M1372" s="837"/>
      <c r="N1372" s="836"/>
      <c r="O1372" s="837"/>
      <c r="P1372" s="836"/>
      <c r="Q1372" s="835"/>
      <c r="R1372" s="837"/>
      <c r="S1372" s="837"/>
      <c r="T1372" s="838"/>
      <c r="U1372" s="836"/>
      <c r="V1372" s="836"/>
    </row>
    <row r="1373" customHeight="1" spans="1:22">
      <c r="A1373" s="835"/>
      <c r="B1373" s="836"/>
      <c r="C1373" s="836"/>
      <c r="D1373" s="836"/>
      <c r="E1373" s="836"/>
      <c r="F1373" s="836"/>
      <c r="G1373" s="836"/>
      <c r="H1373" s="836"/>
      <c r="I1373" s="835"/>
      <c r="J1373" s="836"/>
      <c r="K1373" s="835"/>
      <c r="L1373" s="836"/>
      <c r="M1373" s="837"/>
      <c r="N1373" s="836"/>
      <c r="O1373" s="837"/>
      <c r="P1373" s="836"/>
      <c r="Q1373" s="835"/>
      <c r="R1373" s="837"/>
      <c r="S1373" s="837"/>
      <c r="T1373" s="838"/>
      <c r="U1373" s="836"/>
      <c r="V1373" s="836"/>
    </row>
    <row r="1374" customHeight="1" spans="1:22">
      <c r="A1374" s="835"/>
      <c r="B1374" s="836"/>
      <c r="C1374" s="836"/>
      <c r="D1374" s="836"/>
      <c r="E1374" s="836"/>
      <c r="F1374" s="836"/>
      <c r="G1374" s="836"/>
      <c r="H1374" s="836"/>
      <c r="I1374" s="835"/>
      <c r="J1374" s="836"/>
      <c r="K1374" s="835"/>
      <c r="L1374" s="836"/>
      <c r="M1374" s="837"/>
      <c r="N1374" s="836"/>
      <c r="O1374" s="837"/>
      <c r="P1374" s="836"/>
      <c r="Q1374" s="835"/>
      <c r="R1374" s="837"/>
      <c r="S1374" s="837"/>
      <c r="T1374" s="838"/>
      <c r="U1374" s="836"/>
      <c r="V1374" s="836"/>
    </row>
    <row r="1375" customHeight="1" spans="1:22">
      <c r="A1375" s="835"/>
      <c r="B1375" s="836"/>
      <c r="C1375" s="836"/>
      <c r="D1375" s="836"/>
      <c r="E1375" s="836"/>
      <c r="F1375" s="836"/>
      <c r="G1375" s="836"/>
      <c r="H1375" s="836"/>
      <c r="I1375" s="835"/>
      <c r="J1375" s="836"/>
      <c r="K1375" s="835"/>
      <c r="L1375" s="836"/>
      <c r="M1375" s="837"/>
      <c r="N1375" s="836"/>
      <c r="O1375" s="837"/>
      <c r="P1375" s="836"/>
      <c r="Q1375" s="835"/>
      <c r="R1375" s="837"/>
      <c r="S1375" s="837"/>
      <c r="T1375" s="838"/>
      <c r="U1375" s="836"/>
      <c r="V1375" s="836"/>
    </row>
    <row r="1376" customHeight="1" spans="1:22">
      <c r="A1376" s="835"/>
      <c r="B1376" s="836"/>
      <c r="C1376" s="836"/>
      <c r="D1376" s="836"/>
      <c r="E1376" s="836"/>
      <c r="F1376" s="836"/>
      <c r="G1376" s="836"/>
      <c r="H1376" s="836"/>
      <c r="I1376" s="835"/>
      <c r="J1376" s="836"/>
      <c r="K1376" s="835"/>
      <c r="L1376" s="836"/>
      <c r="M1376" s="837"/>
      <c r="N1376" s="836"/>
      <c r="O1376" s="837"/>
      <c r="P1376" s="836"/>
      <c r="Q1376" s="835"/>
      <c r="R1376" s="837"/>
      <c r="S1376" s="837"/>
      <c r="T1376" s="838"/>
      <c r="U1376" s="836"/>
      <c r="V1376" s="836"/>
    </row>
    <row r="1377" customHeight="1" spans="1:22">
      <c r="A1377" s="835"/>
      <c r="B1377" s="836"/>
      <c r="C1377" s="836"/>
      <c r="D1377" s="836"/>
      <c r="E1377" s="836"/>
      <c r="F1377" s="836"/>
      <c r="G1377" s="836"/>
      <c r="H1377" s="836"/>
      <c r="I1377" s="835"/>
      <c r="J1377" s="836"/>
      <c r="K1377" s="835"/>
      <c r="L1377" s="836"/>
      <c r="M1377" s="837"/>
      <c r="N1377" s="836"/>
      <c r="O1377" s="837"/>
      <c r="P1377" s="836"/>
      <c r="Q1377" s="835"/>
      <c r="R1377" s="837"/>
      <c r="S1377" s="837"/>
      <c r="T1377" s="838"/>
      <c r="U1377" s="836"/>
      <c r="V1377" s="836"/>
    </row>
    <row r="1378" customHeight="1" spans="1:22">
      <c r="A1378" s="835"/>
      <c r="B1378" s="836"/>
      <c r="C1378" s="836"/>
      <c r="D1378" s="836"/>
      <c r="E1378" s="836"/>
      <c r="F1378" s="836"/>
      <c r="G1378" s="836"/>
      <c r="H1378" s="836"/>
      <c r="I1378" s="835"/>
      <c r="J1378" s="836"/>
      <c r="K1378" s="835"/>
      <c r="L1378" s="836"/>
      <c r="M1378" s="837"/>
      <c r="N1378" s="836"/>
      <c r="O1378" s="837"/>
      <c r="P1378" s="836"/>
      <c r="Q1378" s="835"/>
      <c r="R1378" s="837"/>
      <c r="S1378" s="837"/>
      <c r="T1378" s="838"/>
      <c r="U1378" s="836"/>
      <c r="V1378" s="836"/>
    </row>
    <row r="1379" customHeight="1" spans="1:22">
      <c r="A1379" s="835"/>
      <c r="B1379" s="836"/>
      <c r="C1379" s="836"/>
      <c r="D1379" s="836"/>
      <c r="E1379" s="836"/>
      <c r="F1379" s="836"/>
      <c r="G1379" s="836"/>
      <c r="H1379" s="836"/>
      <c r="I1379" s="835"/>
      <c r="J1379" s="836"/>
      <c r="K1379" s="835"/>
      <c r="L1379" s="836"/>
      <c r="M1379" s="837"/>
      <c r="N1379" s="836"/>
      <c r="O1379" s="837"/>
      <c r="P1379" s="836"/>
      <c r="Q1379" s="835"/>
      <c r="R1379" s="837"/>
      <c r="S1379" s="837"/>
      <c r="T1379" s="838"/>
      <c r="U1379" s="836"/>
      <c r="V1379" s="836"/>
    </row>
    <row r="1380" customHeight="1" spans="1:22">
      <c r="A1380" s="835"/>
      <c r="B1380" s="836"/>
      <c r="C1380" s="836"/>
      <c r="D1380" s="836"/>
      <c r="E1380" s="836"/>
      <c r="F1380" s="836"/>
      <c r="G1380" s="836"/>
      <c r="H1380" s="836"/>
      <c r="I1380" s="835"/>
      <c r="J1380" s="836"/>
      <c r="K1380" s="835"/>
      <c r="L1380" s="836"/>
      <c r="M1380" s="837"/>
      <c r="N1380" s="836"/>
      <c r="O1380" s="837"/>
      <c r="P1380" s="836"/>
      <c r="Q1380" s="835"/>
      <c r="R1380" s="837"/>
      <c r="S1380" s="837"/>
      <c r="T1380" s="838"/>
      <c r="U1380" s="836"/>
      <c r="V1380" s="836"/>
    </row>
    <row r="1381" customHeight="1" spans="1:22">
      <c r="A1381" s="835"/>
      <c r="B1381" s="836"/>
      <c r="C1381" s="836"/>
      <c r="D1381" s="836"/>
      <c r="E1381" s="836"/>
      <c r="F1381" s="836"/>
      <c r="G1381" s="836"/>
      <c r="H1381" s="836"/>
      <c r="I1381" s="835"/>
      <c r="J1381" s="836"/>
      <c r="K1381" s="835"/>
      <c r="L1381" s="836"/>
      <c r="M1381" s="837"/>
      <c r="N1381" s="836"/>
      <c r="O1381" s="837"/>
      <c r="P1381" s="836"/>
      <c r="Q1381" s="835"/>
      <c r="R1381" s="837"/>
      <c r="S1381" s="837"/>
      <c r="T1381" s="838"/>
      <c r="U1381" s="836"/>
      <c r="V1381" s="836"/>
    </row>
    <row r="1382" customHeight="1" spans="1:22">
      <c r="A1382" s="835"/>
      <c r="B1382" s="836"/>
      <c r="C1382" s="836"/>
      <c r="D1382" s="836"/>
      <c r="E1382" s="836"/>
      <c r="F1382" s="836"/>
      <c r="G1382" s="836"/>
      <c r="H1382" s="836"/>
      <c r="I1382" s="835"/>
      <c r="J1382" s="836"/>
      <c r="K1382" s="835"/>
      <c r="L1382" s="836"/>
      <c r="M1382" s="837"/>
      <c r="N1382" s="836"/>
      <c r="O1382" s="837"/>
      <c r="P1382" s="836"/>
      <c r="Q1382" s="835"/>
      <c r="R1382" s="837"/>
      <c r="S1382" s="837"/>
      <c r="T1382" s="838"/>
      <c r="U1382" s="836"/>
      <c r="V1382" s="836"/>
    </row>
    <row r="1383" customHeight="1" spans="1:22">
      <c r="A1383" s="835"/>
      <c r="B1383" s="836"/>
      <c r="C1383" s="836"/>
      <c r="D1383" s="836"/>
      <c r="E1383" s="836"/>
      <c r="F1383" s="836"/>
      <c r="G1383" s="836"/>
      <c r="H1383" s="836"/>
      <c r="I1383" s="835"/>
      <c r="J1383" s="836"/>
      <c r="K1383" s="835"/>
      <c r="L1383" s="836"/>
      <c r="M1383" s="837"/>
      <c r="N1383" s="836"/>
      <c r="O1383" s="837"/>
      <c r="P1383" s="836"/>
      <c r="Q1383" s="835"/>
      <c r="R1383" s="837"/>
      <c r="S1383" s="837"/>
      <c r="T1383" s="838"/>
      <c r="U1383" s="836"/>
      <c r="V1383" s="836"/>
    </row>
    <row r="1384" customHeight="1" spans="1:22">
      <c r="A1384" s="835"/>
      <c r="B1384" s="836"/>
      <c r="C1384" s="836"/>
      <c r="D1384" s="836"/>
      <c r="E1384" s="836"/>
      <c r="F1384" s="836"/>
      <c r="G1384" s="836"/>
      <c r="H1384" s="836"/>
      <c r="I1384" s="835"/>
      <c r="J1384" s="836"/>
      <c r="K1384" s="835"/>
      <c r="L1384" s="836"/>
      <c r="M1384" s="837"/>
      <c r="N1384" s="836"/>
      <c r="O1384" s="837"/>
      <c r="P1384" s="836"/>
      <c r="Q1384" s="835"/>
      <c r="R1384" s="837"/>
      <c r="S1384" s="837"/>
      <c r="T1384" s="838"/>
      <c r="U1384" s="836"/>
      <c r="V1384" s="836"/>
    </row>
    <row r="1385" customHeight="1" spans="1:22">
      <c r="A1385" s="835"/>
      <c r="B1385" s="836"/>
      <c r="C1385" s="836"/>
      <c r="D1385" s="836"/>
      <c r="E1385" s="836"/>
      <c r="F1385" s="836"/>
      <c r="G1385" s="836"/>
      <c r="H1385" s="836"/>
      <c r="I1385" s="835"/>
      <c r="J1385" s="836"/>
      <c r="K1385" s="835"/>
      <c r="L1385" s="836"/>
      <c r="M1385" s="837"/>
      <c r="N1385" s="836"/>
      <c r="O1385" s="837"/>
      <c r="P1385" s="836"/>
      <c r="Q1385" s="835"/>
      <c r="R1385" s="837"/>
      <c r="S1385" s="837"/>
      <c r="T1385" s="838"/>
      <c r="U1385" s="836"/>
      <c r="V1385" s="836"/>
    </row>
    <row r="1386" customHeight="1" spans="1:22">
      <c r="A1386" s="835"/>
      <c r="B1386" s="836"/>
      <c r="C1386" s="836"/>
      <c r="D1386" s="836"/>
      <c r="E1386" s="836"/>
      <c r="F1386" s="836"/>
      <c r="G1386" s="836"/>
      <c r="H1386" s="836"/>
      <c r="I1386" s="835"/>
      <c r="J1386" s="836"/>
      <c r="K1386" s="835"/>
      <c r="L1386" s="836"/>
      <c r="M1386" s="837"/>
      <c r="N1386" s="836"/>
      <c r="O1386" s="837"/>
      <c r="P1386" s="836"/>
      <c r="Q1386" s="835"/>
      <c r="R1386" s="837"/>
      <c r="S1386" s="837"/>
      <c r="T1386" s="838"/>
      <c r="U1386" s="836"/>
      <c r="V1386" s="836"/>
    </row>
    <row r="1387" customHeight="1" spans="1:22">
      <c r="A1387" s="835"/>
      <c r="B1387" s="836"/>
      <c r="C1387" s="836"/>
      <c r="D1387" s="836"/>
      <c r="E1387" s="836"/>
      <c r="F1387" s="836"/>
      <c r="G1387" s="836"/>
      <c r="H1387" s="836"/>
      <c r="I1387" s="835"/>
      <c r="J1387" s="836"/>
      <c r="K1387" s="835"/>
      <c r="L1387" s="836"/>
      <c r="M1387" s="837"/>
      <c r="N1387" s="836"/>
      <c r="O1387" s="837"/>
      <c r="P1387" s="836"/>
      <c r="Q1387" s="835"/>
      <c r="R1387" s="837"/>
      <c r="S1387" s="837"/>
      <c r="T1387" s="838"/>
      <c r="U1387" s="836"/>
      <c r="V1387" s="836"/>
    </row>
    <row r="1388" customHeight="1" spans="1:22">
      <c r="A1388" s="835"/>
      <c r="B1388" s="836"/>
      <c r="C1388" s="836"/>
      <c r="D1388" s="836"/>
      <c r="E1388" s="836"/>
      <c r="F1388" s="836"/>
      <c r="G1388" s="836"/>
      <c r="H1388" s="836"/>
      <c r="I1388" s="835"/>
      <c r="J1388" s="836"/>
      <c r="K1388" s="835"/>
      <c r="L1388" s="836"/>
      <c r="M1388" s="837"/>
      <c r="N1388" s="836"/>
      <c r="O1388" s="837"/>
      <c r="P1388" s="836"/>
      <c r="Q1388" s="835"/>
      <c r="R1388" s="837"/>
      <c r="S1388" s="837"/>
      <c r="T1388" s="838"/>
      <c r="U1388" s="836"/>
      <c r="V1388" s="836"/>
    </row>
    <row r="1389" customHeight="1" spans="1:22">
      <c r="A1389" s="835"/>
      <c r="B1389" s="836"/>
      <c r="C1389" s="836"/>
      <c r="D1389" s="836"/>
      <c r="E1389" s="836"/>
      <c r="F1389" s="836"/>
      <c r="G1389" s="836"/>
      <c r="H1389" s="836"/>
      <c r="I1389" s="835"/>
      <c r="J1389" s="836"/>
      <c r="K1389" s="835"/>
      <c r="L1389" s="836"/>
      <c r="M1389" s="837"/>
      <c r="N1389" s="836"/>
      <c r="O1389" s="837"/>
      <c r="P1389" s="836"/>
      <c r="Q1389" s="835"/>
      <c r="R1389" s="837"/>
      <c r="S1389" s="837"/>
      <c r="T1389" s="838"/>
      <c r="U1389" s="836"/>
      <c r="V1389" s="836"/>
    </row>
    <row r="1390" customHeight="1" spans="1:22">
      <c r="A1390" s="835"/>
      <c r="B1390" s="836"/>
      <c r="C1390" s="836"/>
      <c r="D1390" s="836"/>
      <c r="E1390" s="836"/>
      <c r="F1390" s="836"/>
      <c r="G1390" s="836"/>
      <c r="H1390" s="836"/>
      <c r="I1390" s="835"/>
      <c r="J1390" s="836"/>
      <c r="K1390" s="835"/>
      <c r="L1390" s="836"/>
      <c r="M1390" s="837"/>
      <c r="N1390" s="836"/>
      <c r="O1390" s="837"/>
      <c r="P1390" s="836"/>
      <c r="Q1390" s="835"/>
      <c r="R1390" s="837"/>
      <c r="S1390" s="837"/>
      <c r="T1390" s="838"/>
      <c r="U1390" s="836"/>
      <c r="V1390" s="836"/>
    </row>
    <row r="1391" customHeight="1" spans="1:22">
      <c r="A1391" s="835"/>
      <c r="B1391" s="836"/>
      <c r="C1391" s="836"/>
      <c r="D1391" s="836"/>
      <c r="E1391" s="836"/>
      <c r="F1391" s="836"/>
      <c r="G1391" s="836"/>
      <c r="H1391" s="836"/>
      <c r="I1391" s="835"/>
      <c r="J1391" s="836"/>
      <c r="K1391" s="835"/>
      <c r="L1391" s="836"/>
      <c r="M1391" s="837"/>
      <c r="N1391" s="836"/>
      <c r="O1391" s="837"/>
      <c r="P1391" s="836"/>
      <c r="Q1391" s="835"/>
      <c r="R1391" s="837"/>
      <c r="S1391" s="837"/>
      <c r="T1391" s="838"/>
      <c r="U1391" s="836"/>
      <c r="V1391" s="836"/>
    </row>
    <row r="1392" customHeight="1" spans="1:22">
      <c r="A1392" s="835"/>
      <c r="B1392" s="836"/>
      <c r="C1392" s="836"/>
      <c r="D1392" s="836"/>
      <c r="E1392" s="836"/>
      <c r="F1392" s="836"/>
      <c r="G1392" s="836"/>
      <c r="H1392" s="836"/>
      <c r="I1392" s="835"/>
      <c r="J1392" s="836"/>
      <c r="K1392" s="835"/>
      <c r="L1392" s="836"/>
      <c r="M1392" s="837"/>
      <c r="N1392" s="836"/>
      <c r="O1392" s="837"/>
      <c r="P1392" s="836"/>
      <c r="Q1392" s="835"/>
      <c r="R1392" s="837"/>
      <c r="S1392" s="837"/>
      <c r="T1392" s="838"/>
      <c r="U1392" s="836"/>
      <c r="V1392" s="836"/>
    </row>
    <row r="1393" customHeight="1" spans="1:22">
      <c r="A1393" s="835"/>
      <c r="B1393" s="836"/>
      <c r="C1393" s="836"/>
      <c r="D1393" s="836"/>
      <c r="E1393" s="836"/>
      <c r="F1393" s="836"/>
      <c r="G1393" s="836"/>
      <c r="H1393" s="836"/>
      <c r="I1393" s="835"/>
      <c r="J1393" s="836"/>
      <c r="K1393" s="835"/>
      <c r="L1393" s="836"/>
      <c r="M1393" s="837"/>
      <c r="N1393" s="836"/>
      <c r="O1393" s="837"/>
      <c r="P1393" s="836"/>
      <c r="Q1393" s="835"/>
      <c r="R1393" s="837"/>
      <c r="S1393" s="837"/>
      <c r="T1393" s="838"/>
      <c r="U1393" s="836"/>
      <c r="V1393" s="836"/>
    </row>
    <row r="1394" customHeight="1" spans="1:22">
      <c r="A1394" s="835"/>
      <c r="B1394" s="836"/>
      <c r="C1394" s="836"/>
      <c r="D1394" s="836"/>
      <c r="E1394" s="836"/>
      <c r="F1394" s="836"/>
      <c r="G1394" s="836"/>
      <c r="H1394" s="836"/>
      <c r="I1394" s="835"/>
      <c r="J1394" s="836"/>
      <c r="K1394" s="835"/>
      <c r="L1394" s="836"/>
      <c r="M1394" s="837"/>
      <c r="N1394" s="836"/>
      <c r="O1394" s="837"/>
      <c r="P1394" s="836"/>
      <c r="Q1394" s="835"/>
      <c r="R1394" s="837"/>
      <c r="S1394" s="837"/>
      <c r="T1394" s="838"/>
      <c r="U1394" s="836"/>
      <c r="V1394" s="836"/>
    </row>
    <row r="1395" customHeight="1" spans="1:22">
      <c r="A1395" s="835"/>
      <c r="B1395" s="836"/>
      <c r="C1395" s="836"/>
      <c r="D1395" s="836"/>
      <c r="E1395" s="836"/>
      <c r="F1395" s="836"/>
      <c r="G1395" s="836"/>
      <c r="H1395" s="836"/>
      <c r="I1395" s="835"/>
      <c r="J1395" s="836"/>
      <c r="K1395" s="835"/>
      <c r="L1395" s="836"/>
      <c r="M1395" s="837"/>
      <c r="N1395" s="836"/>
      <c r="O1395" s="837"/>
      <c r="P1395" s="836"/>
      <c r="Q1395" s="835"/>
      <c r="R1395" s="837"/>
      <c r="S1395" s="837"/>
      <c r="T1395" s="838"/>
      <c r="U1395" s="836"/>
      <c r="V1395" s="836"/>
    </row>
    <row r="1396" customHeight="1" spans="1:22">
      <c r="A1396" s="835"/>
      <c r="B1396" s="836"/>
      <c r="C1396" s="836"/>
      <c r="D1396" s="836"/>
      <c r="E1396" s="836"/>
      <c r="F1396" s="836"/>
      <c r="G1396" s="836"/>
      <c r="H1396" s="836"/>
      <c r="I1396" s="835"/>
      <c r="J1396" s="836"/>
      <c r="K1396" s="835"/>
      <c r="L1396" s="836"/>
      <c r="M1396" s="837"/>
      <c r="N1396" s="836"/>
      <c r="O1396" s="837"/>
      <c r="P1396" s="836"/>
      <c r="Q1396" s="835"/>
      <c r="R1396" s="837"/>
      <c r="S1396" s="837"/>
      <c r="T1396" s="838"/>
      <c r="U1396" s="836"/>
      <c r="V1396" s="836"/>
    </row>
    <row r="1397" customHeight="1" spans="1:22">
      <c r="A1397" s="835"/>
      <c r="B1397" s="836"/>
      <c r="C1397" s="836"/>
      <c r="D1397" s="836"/>
      <c r="E1397" s="836"/>
      <c r="F1397" s="836"/>
      <c r="G1397" s="836"/>
      <c r="H1397" s="836"/>
      <c r="I1397" s="835"/>
      <c r="J1397" s="836"/>
      <c r="K1397" s="835"/>
      <c r="L1397" s="836"/>
      <c r="M1397" s="837"/>
      <c r="N1397" s="836"/>
      <c r="O1397" s="837"/>
      <c r="P1397" s="836"/>
      <c r="Q1397" s="835"/>
      <c r="R1397" s="837"/>
      <c r="S1397" s="837"/>
      <c r="T1397" s="838"/>
      <c r="U1397" s="836"/>
      <c r="V1397" s="836"/>
    </row>
    <row r="1398" customHeight="1" spans="1:22">
      <c r="A1398" s="835"/>
      <c r="B1398" s="836"/>
      <c r="C1398" s="836"/>
      <c r="D1398" s="836"/>
      <c r="E1398" s="836"/>
      <c r="F1398" s="836"/>
      <c r="G1398" s="836"/>
      <c r="H1398" s="836"/>
      <c r="I1398" s="835"/>
      <c r="J1398" s="836"/>
      <c r="K1398" s="835"/>
      <c r="L1398" s="836"/>
      <c r="M1398" s="837"/>
      <c r="N1398" s="836"/>
      <c r="O1398" s="837"/>
      <c r="P1398" s="836"/>
      <c r="Q1398" s="835"/>
      <c r="R1398" s="837"/>
      <c r="S1398" s="837"/>
      <c r="T1398" s="838"/>
      <c r="U1398" s="836"/>
      <c r="V1398" s="836"/>
    </row>
    <row r="1399" customHeight="1" spans="1:22">
      <c r="A1399" s="835"/>
      <c r="B1399" s="836"/>
      <c r="C1399" s="836"/>
      <c r="D1399" s="836"/>
      <c r="E1399" s="836"/>
      <c r="F1399" s="836"/>
      <c r="G1399" s="836"/>
      <c r="H1399" s="836"/>
      <c r="I1399" s="835"/>
      <c r="J1399" s="836"/>
      <c r="K1399" s="835"/>
      <c r="L1399" s="836"/>
      <c r="M1399" s="837"/>
      <c r="N1399" s="836"/>
      <c r="O1399" s="837"/>
      <c r="P1399" s="836"/>
      <c r="Q1399" s="835"/>
      <c r="R1399" s="837"/>
      <c r="S1399" s="837"/>
      <c r="T1399" s="838"/>
      <c r="U1399" s="836"/>
      <c r="V1399" s="836"/>
    </row>
    <row r="1400" customHeight="1" spans="1:22">
      <c r="A1400" s="835"/>
      <c r="B1400" s="836"/>
      <c r="C1400" s="836"/>
      <c r="D1400" s="836"/>
      <c r="E1400" s="836"/>
      <c r="F1400" s="836"/>
      <c r="G1400" s="836"/>
      <c r="H1400" s="836"/>
      <c r="I1400" s="835"/>
      <c r="J1400" s="836"/>
      <c r="K1400" s="835"/>
      <c r="L1400" s="836"/>
      <c r="M1400" s="837"/>
      <c r="N1400" s="836"/>
      <c r="O1400" s="837"/>
      <c r="P1400" s="836"/>
      <c r="Q1400" s="835"/>
      <c r="R1400" s="837"/>
      <c r="S1400" s="837"/>
      <c r="T1400" s="838"/>
      <c r="U1400" s="836"/>
      <c r="V1400" s="836"/>
    </row>
    <row r="1401" customHeight="1" spans="1:22">
      <c r="A1401" s="835"/>
      <c r="B1401" s="836"/>
      <c r="C1401" s="836"/>
      <c r="D1401" s="836"/>
      <c r="E1401" s="836"/>
      <c r="F1401" s="836"/>
      <c r="G1401" s="836"/>
      <c r="H1401" s="836"/>
      <c r="I1401" s="835"/>
      <c r="J1401" s="836"/>
      <c r="K1401" s="835"/>
      <c r="L1401" s="836"/>
      <c r="M1401" s="837"/>
      <c r="N1401" s="836"/>
      <c r="O1401" s="837"/>
      <c r="P1401" s="836"/>
      <c r="Q1401" s="835"/>
      <c r="R1401" s="837"/>
      <c r="S1401" s="837"/>
      <c r="T1401" s="838"/>
      <c r="U1401" s="836"/>
      <c r="V1401" s="836"/>
    </row>
    <row r="1402" customHeight="1" spans="1:22">
      <c r="A1402" s="835"/>
      <c r="B1402" s="836"/>
      <c r="C1402" s="836"/>
      <c r="D1402" s="836"/>
      <c r="E1402" s="836"/>
      <c r="F1402" s="836"/>
      <c r="G1402" s="836"/>
      <c r="H1402" s="836"/>
      <c r="I1402" s="835"/>
      <c r="J1402" s="836"/>
      <c r="K1402" s="835"/>
      <c r="L1402" s="836"/>
      <c r="M1402" s="837"/>
      <c r="N1402" s="836"/>
      <c r="O1402" s="837"/>
      <c r="P1402" s="836"/>
      <c r="Q1402" s="835"/>
      <c r="R1402" s="837"/>
      <c r="S1402" s="837"/>
      <c r="T1402" s="838"/>
      <c r="U1402" s="836"/>
      <c r="V1402" s="836"/>
    </row>
    <row r="1403" customHeight="1" spans="1:22">
      <c r="A1403" s="835"/>
      <c r="B1403" s="836"/>
      <c r="C1403" s="836"/>
      <c r="D1403" s="836"/>
      <c r="E1403" s="836"/>
      <c r="F1403" s="836"/>
      <c r="G1403" s="836"/>
      <c r="H1403" s="836"/>
      <c r="I1403" s="835"/>
      <c r="J1403" s="836"/>
      <c r="K1403" s="835"/>
      <c r="L1403" s="836"/>
      <c r="M1403" s="837"/>
      <c r="N1403" s="836"/>
      <c r="O1403" s="837"/>
      <c r="P1403" s="836"/>
      <c r="Q1403" s="835"/>
      <c r="R1403" s="837"/>
      <c r="S1403" s="837"/>
      <c r="T1403" s="838"/>
      <c r="U1403" s="836"/>
      <c r="V1403" s="836"/>
    </row>
    <row r="1404" customHeight="1" spans="1:22">
      <c r="A1404" s="835"/>
      <c r="B1404" s="836"/>
      <c r="C1404" s="836"/>
      <c r="D1404" s="836"/>
      <c r="E1404" s="836"/>
      <c r="F1404" s="836"/>
      <c r="G1404" s="836"/>
      <c r="H1404" s="836"/>
      <c r="I1404" s="835"/>
      <c r="J1404" s="836"/>
      <c r="K1404" s="835"/>
      <c r="L1404" s="836"/>
      <c r="M1404" s="837"/>
      <c r="N1404" s="836"/>
      <c r="O1404" s="837"/>
      <c r="P1404" s="836"/>
      <c r="Q1404" s="835"/>
      <c r="R1404" s="837"/>
      <c r="S1404" s="837"/>
      <c r="T1404" s="838"/>
      <c r="U1404" s="836"/>
      <c r="V1404" s="836"/>
    </row>
    <row r="1405" customHeight="1" spans="1:22">
      <c r="A1405" s="835"/>
      <c r="B1405" s="836"/>
      <c r="C1405" s="836"/>
      <c r="D1405" s="836"/>
      <c r="E1405" s="836"/>
      <c r="F1405" s="836"/>
      <c r="G1405" s="836"/>
      <c r="H1405" s="836"/>
      <c r="I1405" s="835"/>
      <c r="J1405" s="836"/>
      <c r="K1405" s="835"/>
      <c r="L1405" s="836"/>
      <c r="M1405" s="837"/>
      <c r="N1405" s="836"/>
      <c r="O1405" s="837"/>
      <c r="P1405" s="836"/>
      <c r="Q1405" s="835"/>
      <c r="R1405" s="837"/>
      <c r="S1405" s="837"/>
      <c r="T1405" s="838"/>
      <c r="U1405" s="836"/>
      <c r="V1405" s="836"/>
    </row>
    <row r="1406" customHeight="1" spans="1:22">
      <c r="A1406" s="835"/>
      <c r="B1406" s="836"/>
      <c r="C1406" s="836"/>
      <c r="D1406" s="836"/>
      <c r="E1406" s="836"/>
      <c r="F1406" s="836"/>
      <c r="G1406" s="836"/>
      <c r="H1406" s="836"/>
      <c r="I1406" s="835"/>
      <c r="J1406" s="836"/>
      <c r="K1406" s="835"/>
      <c r="L1406" s="836"/>
      <c r="M1406" s="837"/>
      <c r="N1406" s="836"/>
      <c r="O1406" s="837"/>
      <c r="P1406" s="836"/>
      <c r="Q1406" s="835"/>
      <c r="R1406" s="837"/>
      <c r="S1406" s="837"/>
      <c r="T1406" s="838"/>
      <c r="U1406" s="836"/>
      <c r="V1406" s="836"/>
    </row>
    <row r="1407" customHeight="1" spans="1:22">
      <c r="A1407" s="835"/>
      <c r="B1407" s="836"/>
      <c r="C1407" s="836"/>
      <c r="D1407" s="836"/>
      <c r="E1407" s="836"/>
      <c r="F1407" s="836"/>
      <c r="G1407" s="836"/>
      <c r="H1407" s="836"/>
      <c r="I1407" s="835"/>
      <c r="J1407" s="836"/>
      <c r="K1407" s="835"/>
      <c r="L1407" s="836"/>
      <c r="M1407" s="837"/>
      <c r="N1407" s="836"/>
      <c r="O1407" s="837"/>
      <c r="P1407" s="836"/>
      <c r="Q1407" s="835"/>
      <c r="R1407" s="837"/>
      <c r="S1407" s="837"/>
      <c r="T1407" s="838"/>
      <c r="U1407" s="836"/>
      <c r="V1407" s="836"/>
    </row>
    <row r="1408" customHeight="1" spans="1:22">
      <c r="A1408" s="835"/>
      <c r="B1408" s="836"/>
      <c r="C1408" s="836"/>
      <c r="D1408" s="836"/>
      <c r="E1408" s="836"/>
      <c r="F1408" s="836"/>
      <c r="G1408" s="836"/>
      <c r="H1408" s="836"/>
      <c r="I1408" s="835"/>
      <c r="J1408" s="836"/>
      <c r="K1408" s="835"/>
      <c r="L1408" s="836"/>
      <c r="M1408" s="837"/>
      <c r="N1408" s="836"/>
      <c r="O1408" s="837"/>
      <c r="P1408" s="836"/>
      <c r="Q1408" s="835"/>
      <c r="R1408" s="837"/>
      <c r="S1408" s="837"/>
      <c r="T1408" s="838"/>
      <c r="U1408" s="836"/>
      <c r="V1408" s="836"/>
    </row>
    <row r="1409" customHeight="1" spans="1:22">
      <c r="A1409" s="835"/>
      <c r="B1409" s="836"/>
      <c r="C1409" s="836"/>
      <c r="D1409" s="836"/>
      <c r="E1409" s="836"/>
      <c r="F1409" s="836"/>
      <c r="G1409" s="836"/>
      <c r="H1409" s="836"/>
      <c r="I1409" s="835"/>
      <c r="J1409" s="836"/>
      <c r="K1409" s="835"/>
      <c r="L1409" s="836"/>
      <c r="M1409" s="837"/>
      <c r="N1409" s="836"/>
      <c r="O1409" s="837"/>
      <c r="P1409" s="836"/>
      <c r="Q1409" s="835"/>
      <c r="R1409" s="837"/>
      <c r="S1409" s="837"/>
      <c r="T1409" s="838"/>
      <c r="U1409" s="836"/>
      <c r="V1409" s="836"/>
    </row>
    <row r="1410" customHeight="1" spans="1:22">
      <c r="A1410" s="835"/>
      <c r="B1410" s="836"/>
      <c r="C1410" s="836"/>
      <c r="D1410" s="836"/>
      <c r="E1410" s="836"/>
      <c r="F1410" s="836"/>
      <c r="G1410" s="836"/>
      <c r="H1410" s="836"/>
      <c r="I1410" s="835"/>
      <c r="J1410" s="836"/>
      <c r="K1410" s="835"/>
      <c r="L1410" s="836"/>
      <c r="M1410" s="837"/>
      <c r="N1410" s="836"/>
      <c r="O1410" s="837"/>
      <c r="P1410" s="836"/>
      <c r="Q1410" s="835"/>
      <c r="R1410" s="837"/>
      <c r="S1410" s="837"/>
      <c r="T1410" s="838"/>
      <c r="U1410" s="836"/>
      <c r="V1410" s="836"/>
    </row>
    <row r="1411" customHeight="1" spans="1:22">
      <c r="A1411" s="835"/>
      <c r="B1411" s="836"/>
      <c r="C1411" s="836"/>
      <c r="D1411" s="836"/>
      <c r="E1411" s="836"/>
      <c r="F1411" s="836"/>
      <c r="G1411" s="836"/>
      <c r="H1411" s="836"/>
      <c r="I1411" s="835"/>
      <c r="J1411" s="836"/>
      <c r="K1411" s="835"/>
      <c r="L1411" s="836"/>
      <c r="M1411" s="837"/>
      <c r="N1411" s="836"/>
      <c r="O1411" s="837"/>
      <c r="P1411" s="836"/>
      <c r="Q1411" s="835"/>
      <c r="R1411" s="837"/>
      <c r="S1411" s="837"/>
      <c r="T1411" s="838"/>
      <c r="U1411" s="836"/>
      <c r="V1411" s="836"/>
    </row>
    <row r="1412" customHeight="1" spans="1:22">
      <c r="A1412" s="835"/>
      <c r="B1412" s="836"/>
      <c r="C1412" s="836"/>
      <c r="D1412" s="836"/>
      <c r="E1412" s="836"/>
      <c r="F1412" s="836"/>
      <c r="G1412" s="836"/>
      <c r="H1412" s="836"/>
      <c r="I1412" s="835"/>
      <c r="J1412" s="836"/>
      <c r="K1412" s="835"/>
      <c r="L1412" s="836"/>
      <c r="M1412" s="837"/>
      <c r="N1412" s="836"/>
      <c r="O1412" s="837"/>
      <c r="P1412" s="836"/>
      <c r="Q1412" s="835"/>
      <c r="R1412" s="837"/>
      <c r="S1412" s="837"/>
      <c r="T1412" s="838"/>
      <c r="U1412" s="836"/>
      <c r="V1412" s="836"/>
    </row>
    <row r="1413" customHeight="1" spans="1:22">
      <c r="A1413" s="835"/>
      <c r="B1413" s="836"/>
      <c r="C1413" s="836"/>
      <c r="D1413" s="836"/>
      <c r="E1413" s="836"/>
      <c r="F1413" s="836"/>
      <c r="G1413" s="836"/>
      <c r="H1413" s="836"/>
      <c r="I1413" s="835"/>
      <c r="J1413" s="836"/>
      <c r="K1413" s="835"/>
      <c r="L1413" s="836"/>
      <c r="M1413" s="837"/>
      <c r="N1413" s="836"/>
      <c r="O1413" s="837"/>
      <c r="P1413" s="836"/>
      <c r="Q1413" s="835"/>
      <c r="R1413" s="837"/>
      <c r="S1413" s="837"/>
      <c r="T1413" s="838"/>
      <c r="U1413" s="836"/>
      <c r="V1413" s="836"/>
    </row>
    <row r="1414" customHeight="1" spans="1:22">
      <c r="A1414" s="835"/>
      <c r="B1414" s="836"/>
      <c r="C1414" s="836"/>
      <c r="D1414" s="836"/>
      <c r="E1414" s="836"/>
      <c r="F1414" s="836"/>
      <c r="G1414" s="836"/>
      <c r="H1414" s="836"/>
      <c r="I1414" s="835"/>
      <c r="J1414" s="836"/>
      <c r="K1414" s="835"/>
      <c r="L1414" s="836"/>
      <c r="M1414" s="837"/>
      <c r="N1414" s="836"/>
      <c r="O1414" s="837"/>
      <c r="P1414" s="836"/>
      <c r="Q1414" s="835"/>
      <c r="R1414" s="837"/>
      <c r="S1414" s="837"/>
      <c r="T1414" s="838"/>
      <c r="U1414" s="836"/>
      <c r="V1414" s="836"/>
    </row>
    <row r="1415" customHeight="1" spans="1:22">
      <c r="A1415" s="835"/>
      <c r="B1415" s="836"/>
      <c r="C1415" s="836"/>
      <c r="D1415" s="836"/>
      <c r="E1415" s="836"/>
      <c r="F1415" s="836"/>
      <c r="G1415" s="836"/>
      <c r="H1415" s="836"/>
      <c r="I1415" s="835"/>
      <c r="J1415" s="836"/>
      <c r="K1415" s="835"/>
      <c r="L1415" s="836"/>
      <c r="M1415" s="837"/>
      <c r="N1415" s="836"/>
      <c r="O1415" s="837"/>
      <c r="P1415" s="836"/>
      <c r="Q1415" s="835"/>
      <c r="R1415" s="837"/>
      <c r="S1415" s="837"/>
      <c r="T1415" s="838"/>
      <c r="U1415" s="836"/>
      <c r="V1415" s="836"/>
    </row>
    <row r="1416" customHeight="1" spans="1:22">
      <c r="A1416" s="835"/>
      <c r="B1416" s="836"/>
      <c r="C1416" s="836"/>
      <c r="D1416" s="836"/>
      <c r="E1416" s="836"/>
      <c r="F1416" s="836"/>
      <c r="G1416" s="836"/>
      <c r="H1416" s="836"/>
      <c r="I1416" s="835"/>
      <c r="J1416" s="836"/>
      <c r="K1416" s="835"/>
      <c r="L1416" s="836"/>
      <c r="M1416" s="837"/>
      <c r="N1416" s="836"/>
      <c r="O1416" s="837"/>
      <c r="P1416" s="836"/>
      <c r="Q1416" s="835"/>
      <c r="R1416" s="837"/>
      <c r="S1416" s="837"/>
      <c r="T1416" s="838"/>
      <c r="U1416" s="836"/>
      <c r="V1416" s="836"/>
    </row>
    <row r="1417" customHeight="1" spans="1:22">
      <c r="A1417" s="835"/>
      <c r="B1417" s="836"/>
      <c r="C1417" s="836"/>
      <c r="D1417" s="836"/>
      <c r="E1417" s="836"/>
      <c r="F1417" s="836"/>
      <c r="G1417" s="836"/>
      <c r="H1417" s="836"/>
      <c r="I1417" s="835"/>
      <c r="J1417" s="836"/>
      <c r="K1417" s="835"/>
      <c r="L1417" s="836"/>
      <c r="M1417" s="837"/>
      <c r="N1417" s="836"/>
      <c r="O1417" s="837"/>
      <c r="P1417" s="836"/>
      <c r="Q1417" s="835"/>
      <c r="R1417" s="837"/>
      <c r="S1417" s="837"/>
      <c r="T1417" s="838"/>
      <c r="U1417" s="836"/>
      <c r="V1417" s="836"/>
    </row>
    <row r="1418" customHeight="1" spans="1:22">
      <c r="A1418" s="835"/>
      <c r="B1418" s="836"/>
      <c r="C1418" s="836"/>
      <c r="D1418" s="836"/>
      <c r="E1418" s="836"/>
      <c r="F1418" s="836"/>
      <c r="G1418" s="836"/>
      <c r="H1418" s="836"/>
      <c r="I1418" s="835"/>
      <c r="J1418" s="836"/>
      <c r="K1418" s="835"/>
      <c r="L1418" s="836"/>
      <c r="M1418" s="837"/>
      <c r="N1418" s="836"/>
      <c r="O1418" s="837"/>
      <c r="P1418" s="836"/>
      <c r="Q1418" s="835"/>
      <c r="R1418" s="837"/>
      <c r="S1418" s="837"/>
      <c r="T1418" s="838"/>
      <c r="U1418" s="836"/>
      <c r="V1418" s="836"/>
    </row>
    <row r="1419" customHeight="1" spans="1:22">
      <c r="A1419" s="835"/>
      <c r="B1419" s="836"/>
      <c r="C1419" s="836"/>
      <c r="D1419" s="836"/>
      <c r="E1419" s="836"/>
      <c r="F1419" s="836"/>
      <c r="G1419" s="836"/>
      <c r="H1419" s="836"/>
      <c r="I1419" s="835"/>
      <c r="J1419" s="836"/>
      <c r="K1419" s="835"/>
      <c r="L1419" s="836"/>
      <c r="M1419" s="837"/>
      <c r="N1419" s="836"/>
      <c r="O1419" s="837"/>
      <c r="P1419" s="836"/>
      <c r="Q1419" s="835"/>
      <c r="R1419" s="837"/>
      <c r="S1419" s="837"/>
      <c r="T1419" s="838"/>
      <c r="U1419" s="836"/>
      <c r="V1419" s="836"/>
    </row>
    <row r="1420" customHeight="1" spans="1:22">
      <c r="A1420" s="835"/>
      <c r="B1420" s="836"/>
      <c r="C1420" s="836"/>
      <c r="D1420" s="836"/>
      <c r="E1420" s="836"/>
      <c r="F1420" s="836"/>
      <c r="G1420" s="836"/>
      <c r="H1420" s="836"/>
      <c r="I1420" s="835"/>
      <c r="J1420" s="836"/>
      <c r="K1420" s="835"/>
      <c r="L1420" s="836"/>
      <c r="M1420" s="837"/>
      <c r="N1420" s="836"/>
      <c r="O1420" s="837"/>
      <c r="P1420" s="836"/>
      <c r="Q1420" s="835"/>
      <c r="R1420" s="837"/>
      <c r="S1420" s="837"/>
      <c r="T1420" s="838"/>
      <c r="U1420" s="836"/>
      <c r="V1420" s="836"/>
    </row>
    <row r="1421" customHeight="1" spans="1:22">
      <c r="A1421" s="835"/>
      <c r="B1421" s="836"/>
      <c r="C1421" s="836"/>
      <c r="D1421" s="836"/>
      <c r="E1421" s="836"/>
      <c r="F1421" s="836"/>
      <c r="G1421" s="836"/>
      <c r="H1421" s="836"/>
      <c r="I1421" s="835"/>
      <c r="J1421" s="836"/>
      <c r="K1421" s="835"/>
      <c r="L1421" s="836"/>
      <c r="M1421" s="837"/>
      <c r="N1421" s="836"/>
      <c r="O1421" s="837"/>
      <c r="P1421" s="836"/>
      <c r="Q1421" s="835"/>
      <c r="R1421" s="837"/>
      <c r="S1421" s="837"/>
      <c r="T1421" s="838"/>
      <c r="U1421" s="836"/>
      <c r="V1421" s="836"/>
    </row>
    <row r="1422" customHeight="1" spans="1:22">
      <c r="A1422" s="835"/>
      <c r="B1422" s="836"/>
      <c r="C1422" s="836"/>
      <c r="D1422" s="836"/>
      <c r="E1422" s="836"/>
      <c r="F1422" s="836"/>
      <c r="G1422" s="836"/>
      <c r="H1422" s="836"/>
      <c r="I1422" s="835"/>
      <c r="J1422" s="836"/>
      <c r="K1422" s="835"/>
      <c r="L1422" s="836"/>
      <c r="M1422" s="837"/>
      <c r="N1422" s="836"/>
      <c r="O1422" s="837"/>
      <c r="P1422" s="836"/>
      <c r="Q1422" s="835"/>
      <c r="R1422" s="837"/>
      <c r="S1422" s="837"/>
      <c r="T1422" s="838"/>
      <c r="U1422" s="836"/>
      <c r="V1422" s="836"/>
    </row>
    <row r="1423" customHeight="1" spans="1:22">
      <c r="A1423" s="835"/>
      <c r="B1423" s="836"/>
      <c r="C1423" s="836"/>
      <c r="D1423" s="836"/>
      <c r="E1423" s="836"/>
      <c r="F1423" s="836"/>
      <c r="G1423" s="836"/>
      <c r="H1423" s="836"/>
      <c r="I1423" s="835"/>
      <c r="J1423" s="836"/>
      <c r="K1423" s="835"/>
      <c r="L1423" s="836"/>
      <c r="M1423" s="837"/>
      <c r="N1423" s="836"/>
      <c r="O1423" s="837"/>
      <c r="P1423" s="836"/>
      <c r="Q1423" s="835"/>
      <c r="R1423" s="837"/>
      <c r="S1423" s="837"/>
      <c r="T1423" s="838"/>
      <c r="U1423" s="836"/>
      <c r="V1423" s="836"/>
    </row>
    <row r="1424" customHeight="1" spans="1:22">
      <c r="A1424" s="835"/>
      <c r="B1424" s="836"/>
      <c r="C1424" s="836"/>
      <c r="D1424" s="836"/>
      <c r="E1424" s="836"/>
      <c r="F1424" s="836"/>
      <c r="G1424" s="836"/>
      <c r="H1424" s="836"/>
      <c r="I1424" s="835"/>
      <c r="J1424" s="836"/>
      <c r="K1424" s="835"/>
      <c r="L1424" s="836"/>
      <c r="M1424" s="837"/>
      <c r="N1424" s="836"/>
      <c r="O1424" s="837"/>
      <c r="P1424" s="836"/>
      <c r="Q1424" s="835"/>
      <c r="R1424" s="837"/>
      <c r="S1424" s="837"/>
      <c r="T1424" s="838"/>
      <c r="U1424" s="836"/>
      <c r="V1424" s="836"/>
    </row>
    <row r="1425" customHeight="1" spans="1:22">
      <c r="A1425" s="835"/>
      <c r="B1425" s="836"/>
      <c r="C1425" s="836"/>
      <c r="D1425" s="836"/>
      <c r="E1425" s="836"/>
      <c r="F1425" s="836"/>
      <c r="G1425" s="836"/>
      <c r="H1425" s="836"/>
      <c r="I1425" s="835"/>
      <c r="J1425" s="836"/>
      <c r="K1425" s="835"/>
      <c r="L1425" s="836"/>
      <c r="M1425" s="837"/>
      <c r="N1425" s="836"/>
      <c r="O1425" s="837"/>
      <c r="P1425" s="836"/>
      <c r="Q1425" s="835"/>
      <c r="R1425" s="837"/>
      <c r="S1425" s="837"/>
      <c r="T1425" s="838"/>
      <c r="U1425" s="836"/>
      <c r="V1425" s="836"/>
    </row>
    <row r="1426" customHeight="1" spans="1:22">
      <c r="A1426" s="835"/>
      <c r="B1426" s="836"/>
      <c r="C1426" s="836"/>
      <c r="D1426" s="836"/>
      <c r="E1426" s="836"/>
      <c r="F1426" s="836"/>
      <c r="G1426" s="836"/>
      <c r="H1426" s="836"/>
      <c r="I1426" s="835"/>
      <c r="J1426" s="836"/>
      <c r="K1426" s="835"/>
      <c r="L1426" s="836"/>
      <c r="M1426" s="837"/>
      <c r="N1426" s="836"/>
      <c r="O1426" s="837"/>
      <c r="P1426" s="836"/>
      <c r="Q1426" s="835"/>
      <c r="R1426" s="837"/>
      <c r="S1426" s="837"/>
      <c r="T1426" s="838"/>
      <c r="U1426" s="836"/>
      <c r="V1426" s="836"/>
    </row>
    <row r="1427" customHeight="1" spans="1:22">
      <c r="A1427" s="835"/>
      <c r="B1427" s="836"/>
      <c r="C1427" s="836"/>
      <c r="D1427" s="836"/>
      <c r="E1427" s="836"/>
      <c r="F1427" s="836"/>
      <c r="G1427" s="836"/>
      <c r="H1427" s="836"/>
      <c r="I1427" s="835"/>
      <c r="J1427" s="836"/>
      <c r="K1427" s="835"/>
      <c r="L1427" s="836"/>
      <c r="M1427" s="837"/>
      <c r="N1427" s="836"/>
      <c r="O1427" s="837"/>
      <c r="P1427" s="836"/>
      <c r="Q1427" s="835"/>
      <c r="R1427" s="837"/>
      <c r="S1427" s="837"/>
      <c r="T1427" s="838"/>
      <c r="U1427" s="836"/>
      <c r="V1427" s="836"/>
    </row>
    <row r="1428" customHeight="1" spans="1:22">
      <c r="A1428" s="835"/>
      <c r="B1428" s="836"/>
      <c r="C1428" s="836"/>
      <c r="D1428" s="836"/>
      <c r="E1428" s="836"/>
      <c r="F1428" s="836"/>
      <c r="G1428" s="836"/>
      <c r="H1428" s="836"/>
      <c r="I1428" s="835"/>
      <c r="J1428" s="836"/>
      <c r="K1428" s="835"/>
      <c r="L1428" s="836"/>
      <c r="M1428" s="837"/>
      <c r="N1428" s="836"/>
      <c r="O1428" s="837"/>
      <c r="P1428" s="836"/>
      <c r="Q1428" s="835"/>
      <c r="R1428" s="837"/>
      <c r="S1428" s="837"/>
      <c r="T1428" s="838"/>
      <c r="U1428" s="836"/>
      <c r="V1428" s="836"/>
    </row>
    <row r="1429" customHeight="1" spans="1:22">
      <c r="A1429" s="835"/>
      <c r="B1429" s="836"/>
      <c r="C1429" s="836"/>
      <c r="D1429" s="836"/>
      <c r="E1429" s="836"/>
      <c r="F1429" s="836"/>
      <c r="G1429" s="836"/>
      <c r="H1429" s="836"/>
      <c r="I1429" s="835"/>
      <c r="J1429" s="836"/>
      <c r="K1429" s="835"/>
      <c r="L1429" s="836"/>
      <c r="M1429" s="837"/>
      <c r="N1429" s="836"/>
      <c r="O1429" s="837"/>
      <c r="P1429" s="836"/>
      <c r="Q1429" s="835"/>
      <c r="R1429" s="837"/>
      <c r="S1429" s="837"/>
      <c r="T1429" s="838"/>
      <c r="U1429" s="836"/>
      <c r="V1429" s="836"/>
    </row>
    <row r="1430" customHeight="1" spans="1:22">
      <c r="A1430" s="835"/>
      <c r="B1430" s="836"/>
      <c r="C1430" s="836"/>
      <c r="D1430" s="836"/>
      <c r="E1430" s="836"/>
      <c r="F1430" s="836"/>
      <c r="G1430" s="836"/>
      <c r="H1430" s="836"/>
      <c r="I1430" s="835"/>
      <c r="J1430" s="836"/>
      <c r="K1430" s="835"/>
      <c r="L1430" s="836"/>
      <c r="M1430" s="837"/>
      <c r="N1430" s="836"/>
      <c r="O1430" s="837"/>
      <c r="P1430" s="836"/>
      <c r="Q1430" s="835"/>
      <c r="R1430" s="837"/>
      <c r="S1430" s="837"/>
      <c r="T1430" s="838"/>
      <c r="U1430" s="836"/>
      <c r="V1430" s="836"/>
    </row>
    <row r="1431" customHeight="1" spans="1:22">
      <c r="A1431" s="835"/>
      <c r="B1431" s="836"/>
      <c r="C1431" s="836"/>
      <c r="D1431" s="836"/>
      <c r="E1431" s="836"/>
      <c r="F1431" s="836"/>
      <c r="G1431" s="836"/>
      <c r="H1431" s="836"/>
      <c r="I1431" s="835"/>
      <c r="J1431" s="836"/>
      <c r="K1431" s="835"/>
      <c r="L1431" s="836"/>
      <c r="M1431" s="837"/>
      <c r="N1431" s="836"/>
      <c r="O1431" s="837"/>
      <c r="P1431" s="836"/>
      <c r="Q1431" s="835"/>
      <c r="R1431" s="837"/>
      <c r="S1431" s="837"/>
      <c r="T1431" s="838"/>
      <c r="U1431" s="836"/>
      <c r="V1431" s="836"/>
    </row>
    <row r="1432" customHeight="1" spans="1:22">
      <c r="A1432" s="835"/>
      <c r="B1432" s="836"/>
      <c r="C1432" s="836"/>
      <c r="D1432" s="836"/>
      <c r="E1432" s="836"/>
      <c r="F1432" s="836"/>
      <c r="G1432" s="836"/>
      <c r="H1432" s="836"/>
      <c r="I1432" s="835"/>
      <c r="J1432" s="836"/>
      <c r="K1432" s="835"/>
      <c r="L1432" s="836"/>
      <c r="M1432" s="837"/>
      <c r="N1432" s="836"/>
      <c r="O1432" s="837"/>
      <c r="P1432" s="836"/>
      <c r="Q1432" s="835"/>
      <c r="R1432" s="837"/>
      <c r="S1432" s="837"/>
      <c r="T1432" s="838"/>
      <c r="U1432" s="836"/>
      <c r="V1432" s="836"/>
    </row>
    <row r="1433" customHeight="1" spans="1:22">
      <c r="A1433" s="835"/>
      <c r="B1433" s="836"/>
      <c r="C1433" s="836"/>
      <c r="D1433" s="836"/>
      <c r="E1433" s="836"/>
      <c r="F1433" s="836"/>
      <c r="G1433" s="836"/>
      <c r="H1433" s="836"/>
      <c r="I1433" s="835"/>
      <c r="J1433" s="836"/>
      <c r="K1433" s="835"/>
      <c r="L1433" s="836"/>
      <c r="M1433" s="837"/>
      <c r="N1433" s="836"/>
      <c r="O1433" s="837"/>
      <c r="P1433" s="836"/>
      <c r="Q1433" s="835"/>
      <c r="R1433" s="837"/>
      <c r="S1433" s="837"/>
      <c r="T1433" s="838"/>
      <c r="U1433" s="836"/>
      <c r="V1433" s="836"/>
    </row>
    <row r="1434" customHeight="1" spans="1:22">
      <c r="A1434" s="835"/>
      <c r="B1434" s="836"/>
      <c r="C1434" s="836"/>
      <c r="D1434" s="836"/>
      <c r="E1434" s="836"/>
      <c r="F1434" s="836"/>
      <c r="G1434" s="836"/>
      <c r="H1434" s="836"/>
      <c r="I1434" s="835"/>
      <c r="J1434" s="836"/>
      <c r="K1434" s="835"/>
      <c r="L1434" s="836"/>
      <c r="M1434" s="837"/>
      <c r="N1434" s="836"/>
      <c r="O1434" s="837"/>
      <c r="P1434" s="836"/>
      <c r="Q1434" s="835"/>
      <c r="R1434" s="837"/>
      <c r="S1434" s="837"/>
      <c r="T1434" s="838"/>
      <c r="U1434" s="836"/>
      <c r="V1434" s="836"/>
    </row>
    <row r="1435" customHeight="1" spans="1:22">
      <c r="A1435" s="835"/>
      <c r="B1435" s="836"/>
      <c r="C1435" s="836"/>
      <c r="D1435" s="836"/>
      <c r="E1435" s="836"/>
      <c r="F1435" s="836"/>
      <c r="G1435" s="836"/>
      <c r="H1435" s="836"/>
      <c r="I1435" s="835"/>
      <c r="J1435" s="836"/>
      <c r="K1435" s="835"/>
      <c r="L1435" s="836"/>
      <c r="M1435" s="837"/>
      <c r="N1435" s="836"/>
      <c r="O1435" s="837"/>
      <c r="P1435" s="836"/>
      <c r="Q1435" s="835"/>
      <c r="R1435" s="837"/>
      <c r="S1435" s="837"/>
      <c r="T1435" s="838"/>
      <c r="U1435" s="836"/>
      <c r="V1435" s="836"/>
    </row>
    <row r="1436" customHeight="1" spans="1:22">
      <c r="A1436" s="835"/>
      <c r="B1436" s="836"/>
      <c r="C1436" s="836"/>
      <c r="D1436" s="836"/>
      <c r="E1436" s="836"/>
      <c r="F1436" s="836"/>
      <c r="G1436" s="836"/>
      <c r="H1436" s="836"/>
      <c r="I1436" s="835"/>
      <c r="J1436" s="836"/>
      <c r="K1436" s="835"/>
      <c r="L1436" s="836"/>
      <c r="M1436" s="837"/>
      <c r="N1436" s="836"/>
      <c r="O1436" s="837"/>
      <c r="P1436" s="836"/>
      <c r="Q1436" s="835"/>
      <c r="R1436" s="837"/>
      <c r="S1436" s="837"/>
      <c r="T1436" s="838"/>
      <c r="U1436" s="836"/>
      <c r="V1436" s="836"/>
    </row>
    <row r="1437" customHeight="1" spans="1:22">
      <c r="A1437" s="835"/>
      <c r="B1437" s="836"/>
      <c r="C1437" s="836"/>
      <c r="D1437" s="836"/>
      <c r="E1437" s="836"/>
      <c r="F1437" s="836"/>
      <c r="G1437" s="836"/>
      <c r="H1437" s="836"/>
      <c r="I1437" s="835"/>
      <c r="J1437" s="836"/>
      <c r="K1437" s="835"/>
      <c r="L1437" s="836"/>
      <c r="M1437" s="837"/>
      <c r="N1437" s="836"/>
      <c r="O1437" s="837"/>
      <c r="P1437" s="836"/>
      <c r="Q1437" s="835"/>
      <c r="R1437" s="837"/>
      <c r="S1437" s="837"/>
      <c r="T1437" s="838"/>
      <c r="U1437" s="836"/>
      <c r="V1437" s="836"/>
    </row>
    <row r="1438" customHeight="1" spans="1:22">
      <c r="A1438" s="835"/>
      <c r="B1438" s="836"/>
      <c r="C1438" s="836"/>
      <c r="D1438" s="836"/>
      <c r="E1438" s="836"/>
      <c r="F1438" s="836"/>
      <c r="G1438" s="836"/>
      <c r="H1438" s="836"/>
      <c r="I1438" s="835"/>
      <c r="J1438" s="836"/>
      <c r="K1438" s="835"/>
      <c r="L1438" s="836"/>
      <c r="M1438" s="837"/>
      <c r="N1438" s="836"/>
      <c r="O1438" s="837"/>
      <c r="P1438" s="836"/>
      <c r="Q1438" s="835"/>
      <c r="R1438" s="837"/>
      <c r="S1438" s="837"/>
      <c r="T1438" s="838"/>
      <c r="U1438" s="836"/>
      <c r="V1438" s="836"/>
    </row>
    <row r="1439" customHeight="1" spans="1:22">
      <c r="A1439" s="835"/>
      <c r="B1439" s="836"/>
      <c r="C1439" s="836"/>
      <c r="D1439" s="836"/>
      <c r="E1439" s="836"/>
      <c r="F1439" s="836"/>
      <c r="G1439" s="836"/>
      <c r="H1439" s="836"/>
      <c r="I1439" s="835"/>
      <c r="J1439" s="836"/>
      <c r="K1439" s="835"/>
      <c r="L1439" s="836"/>
      <c r="M1439" s="837"/>
      <c r="N1439" s="836"/>
      <c r="O1439" s="837"/>
      <c r="P1439" s="836"/>
      <c r="Q1439" s="835"/>
      <c r="R1439" s="837"/>
      <c r="S1439" s="837"/>
      <c r="T1439" s="838"/>
      <c r="U1439" s="836"/>
      <c r="V1439" s="836"/>
    </row>
    <row r="1440" customHeight="1" spans="1:22">
      <c r="A1440" s="835"/>
      <c r="B1440" s="836"/>
      <c r="C1440" s="836"/>
      <c r="D1440" s="836"/>
      <c r="E1440" s="836"/>
      <c r="F1440" s="836"/>
      <c r="G1440" s="836"/>
      <c r="H1440" s="836"/>
      <c r="I1440" s="835"/>
      <c r="J1440" s="836"/>
      <c r="K1440" s="835"/>
      <c r="L1440" s="836"/>
      <c r="M1440" s="837"/>
      <c r="N1440" s="836"/>
      <c r="O1440" s="837"/>
      <c r="P1440" s="836"/>
      <c r="Q1440" s="835"/>
      <c r="R1440" s="837"/>
      <c r="S1440" s="837"/>
      <c r="T1440" s="838"/>
      <c r="U1440" s="836"/>
      <c r="V1440" s="836"/>
    </row>
    <row r="1441" customHeight="1" spans="1:22">
      <c r="A1441" s="835"/>
      <c r="B1441" s="836"/>
      <c r="C1441" s="836"/>
      <c r="D1441" s="836"/>
      <c r="E1441" s="836"/>
      <c r="F1441" s="836"/>
      <c r="G1441" s="836"/>
      <c r="H1441" s="836"/>
      <c r="I1441" s="835"/>
      <c r="J1441" s="836"/>
      <c r="K1441" s="835"/>
      <c r="L1441" s="836"/>
      <c r="M1441" s="837"/>
      <c r="N1441" s="836"/>
      <c r="O1441" s="837"/>
      <c r="P1441" s="836"/>
      <c r="Q1441" s="835"/>
      <c r="R1441" s="837"/>
      <c r="S1441" s="837"/>
      <c r="T1441" s="838"/>
      <c r="U1441" s="836"/>
      <c r="V1441" s="836"/>
    </row>
    <row r="1442" customHeight="1" spans="1:22">
      <c r="A1442" s="835"/>
      <c r="B1442" s="836"/>
      <c r="C1442" s="836"/>
      <c r="D1442" s="836"/>
      <c r="E1442" s="836"/>
      <c r="F1442" s="836"/>
      <c r="G1442" s="836"/>
      <c r="H1442" s="836"/>
      <c r="I1442" s="835"/>
      <c r="J1442" s="836"/>
      <c r="K1442" s="835"/>
      <c r="L1442" s="836"/>
      <c r="M1442" s="837"/>
      <c r="N1442" s="836"/>
      <c r="O1442" s="837"/>
      <c r="P1442" s="836"/>
      <c r="Q1442" s="835"/>
      <c r="R1442" s="837"/>
      <c r="S1442" s="837"/>
      <c r="T1442" s="838"/>
      <c r="U1442" s="836"/>
      <c r="V1442" s="836"/>
    </row>
    <row r="1443" customHeight="1" spans="1:22">
      <c r="A1443" s="835"/>
      <c r="B1443" s="836"/>
      <c r="C1443" s="836"/>
      <c r="D1443" s="836"/>
      <c r="E1443" s="836"/>
      <c r="F1443" s="836"/>
      <c r="G1443" s="836"/>
      <c r="H1443" s="836"/>
      <c r="I1443" s="835"/>
      <c r="J1443" s="836"/>
      <c r="K1443" s="835"/>
      <c r="L1443" s="836"/>
      <c r="M1443" s="837"/>
      <c r="N1443" s="836"/>
      <c r="O1443" s="837"/>
      <c r="P1443" s="836"/>
      <c r="Q1443" s="835"/>
      <c r="R1443" s="837"/>
      <c r="S1443" s="837"/>
      <c r="T1443" s="838"/>
      <c r="U1443" s="836"/>
      <c r="V1443" s="836"/>
    </row>
    <row r="1444" customHeight="1" spans="1:22">
      <c r="A1444" s="835"/>
      <c r="B1444" s="836"/>
      <c r="C1444" s="836"/>
      <c r="D1444" s="836"/>
      <c r="E1444" s="836"/>
      <c r="F1444" s="836"/>
      <c r="G1444" s="836"/>
      <c r="H1444" s="836"/>
      <c r="I1444" s="835"/>
      <c r="J1444" s="836"/>
      <c r="K1444" s="835"/>
      <c r="L1444" s="836"/>
      <c r="M1444" s="837"/>
      <c r="N1444" s="836"/>
      <c r="O1444" s="837"/>
      <c r="P1444" s="836"/>
      <c r="Q1444" s="835"/>
      <c r="R1444" s="837"/>
      <c r="S1444" s="837"/>
      <c r="T1444" s="838"/>
      <c r="U1444" s="836"/>
      <c r="V1444" s="836"/>
    </row>
    <row r="1445" customHeight="1" spans="1:22">
      <c r="A1445" s="835"/>
      <c r="B1445" s="836"/>
      <c r="C1445" s="836"/>
      <c r="D1445" s="836"/>
      <c r="E1445" s="836"/>
      <c r="F1445" s="836"/>
      <c r="G1445" s="836"/>
      <c r="H1445" s="836"/>
      <c r="I1445" s="835"/>
      <c r="J1445" s="836"/>
      <c r="K1445" s="835"/>
      <c r="L1445" s="836"/>
      <c r="M1445" s="837"/>
      <c r="N1445" s="836"/>
      <c r="O1445" s="837"/>
      <c r="P1445" s="836"/>
      <c r="Q1445" s="835"/>
      <c r="R1445" s="837"/>
      <c r="S1445" s="837"/>
      <c r="T1445" s="838"/>
      <c r="U1445" s="836"/>
      <c r="V1445" s="836"/>
    </row>
    <row r="1446" customHeight="1" spans="1:22">
      <c r="A1446" s="835"/>
      <c r="B1446" s="836"/>
      <c r="C1446" s="836"/>
      <c r="D1446" s="836"/>
      <c r="E1446" s="836"/>
      <c r="F1446" s="836"/>
      <c r="G1446" s="836"/>
      <c r="H1446" s="836"/>
      <c r="I1446" s="835"/>
      <c r="J1446" s="836"/>
      <c r="K1446" s="835"/>
      <c r="L1446" s="836"/>
      <c r="M1446" s="837"/>
      <c r="N1446" s="836"/>
      <c r="O1446" s="837"/>
      <c r="P1446" s="836"/>
      <c r="Q1446" s="835"/>
      <c r="R1446" s="837"/>
      <c r="S1446" s="837"/>
      <c r="T1446" s="838"/>
      <c r="U1446" s="836"/>
      <c r="V1446" s="836"/>
    </row>
    <row r="1447" customHeight="1" spans="1:22">
      <c r="A1447" s="835"/>
      <c r="B1447" s="836"/>
      <c r="C1447" s="836"/>
      <c r="D1447" s="836"/>
      <c r="E1447" s="836"/>
      <c r="F1447" s="836"/>
      <c r="G1447" s="836"/>
      <c r="H1447" s="836"/>
      <c r="I1447" s="835"/>
      <c r="J1447" s="836"/>
      <c r="K1447" s="835"/>
      <c r="L1447" s="836"/>
      <c r="M1447" s="837"/>
      <c r="N1447" s="836"/>
      <c r="O1447" s="837"/>
      <c r="P1447" s="836"/>
      <c r="Q1447" s="835"/>
      <c r="R1447" s="837"/>
      <c r="S1447" s="837"/>
      <c r="T1447" s="838"/>
      <c r="U1447" s="836"/>
      <c r="V1447" s="836"/>
    </row>
    <row r="1448" customHeight="1" spans="1:22">
      <c r="A1448" s="835"/>
      <c r="B1448" s="836"/>
      <c r="C1448" s="836"/>
      <c r="D1448" s="836"/>
      <c r="E1448" s="836"/>
      <c r="F1448" s="836"/>
      <c r="G1448" s="836"/>
      <c r="H1448" s="836"/>
      <c r="I1448" s="835"/>
      <c r="J1448" s="836"/>
      <c r="K1448" s="835"/>
      <c r="L1448" s="836"/>
      <c r="M1448" s="837"/>
      <c r="N1448" s="836"/>
      <c r="O1448" s="837"/>
      <c r="P1448" s="836"/>
      <c r="Q1448" s="835"/>
      <c r="R1448" s="837"/>
      <c r="S1448" s="837"/>
      <c r="T1448" s="838"/>
      <c r="U1448" s="836"/>
      <c r="V1448" s="836"/>
    </row>
    <row r="1449" customHeight="1" spans="1:22">
      <c r="A1449" s="835"/>
      <c r="B1449" s="836"/>
      <c r="C1449" s="836"/>
      <c r="D1449" s="836"/>
      <c r="E1449" s="836"/>
      <c r="F1449" s="836"/>
      <c r="G1449" s="836"/>
      <c r="H1449" s="836"/>
      <c r="I1449" s="835"/>
      <c r="J1449" s="836"/>
      <c r="K1449" s="835"/>
      <c r="L1449" s="836"/>
      <c r="M1449" s="837"/>
      <c r="N1449" s="836"/>
      <c r="O1449" s="837"/>
      <c r="P1449" s="836"/>
      <c r="Q1449" s="835"/>
      <c r="R1449" s="837"/>
      <c r="S1449" s="837"/>
      <c r="T1449" s="838"/>
      <c r="U1449" s="836"/>
      <c r="V1449" s="836"/>
    </row>
    <row r="1450" customHeight="1" spans="1:22">
      <c r="A1450" s="835"/>
      <c r="B1450" s="836"/>
      <c r="C1450" s="836"/>
      <c r="D1450" s="836"/>
      <c r="E1450" s="836"/>
      <c r="F1450" s="836"/>
      <c r="G1450" s="836"/>
      <c r="H1450" s="836"/>
      <c r="I1450" s="835"/>
      <c r="J1450" s="836"/>
      <c r="K1450" s="835"/>
      <c r="L1450" s="836"/>
      <c r="M1450" s="837"/>
      <c r="N1450" s="836"/>
      <c r="O1450" s="837"/>
      <c r="P1450" s="836"/>
      <c r="Q1450" s="835"/>
      <c r="R1450" s="837"/>
      <c r="S1450" s="837"/>
      <c r="T1450" s="838"/>
      <c r="U1450" s="836"/>
      <c r="V1450" s="836"/>
    </row>
    <row r="1451" customHeight="1" spans="1:22">
      <c r="A1451" s="835"/>
      <c r="B1451" s="836"/>
      <c r="C1451" s="836"/>
      <c r="D1451" s="836"/>
      <c r="E1451" s="836"/>
      <c r="F1451" s="836"/>
      <c r="G1451" s="836"/>
      <c r="H1451" s="836"/>
      <c r="I1451" s="835"/>
      <c r="J1451" s="836"/>
      <c r="K1451" s="835"/>
      <c r="L1451" s="836"/>
      <c r="M1451" s="837"/>
      <c r="N1451" s="836"/>
      <c r="O1451" s="837"/>
      <c r="P1451" s="836"/>
      <c r="Q1451" s="835"/>
      <c r="R1451" s="837"/>
      <c r="S1451" s="837"/>
      <c r="T1451" s="838"/>
      <c r="U1451" s="836"/>
      <c r="V1451" s="836"/>
    </row>
    <row r="1452" customHeight="1" spans="1:22">
      <c r="A1452" s="835"/>
      <c r="B1452" s="836"/>
      <c r="C1452" s="836"/>
      <c r="D1452" s="836"/>
      <c r="E1452" s="836"/>
      <c r="F1452" s="836"/>
      <c r="G1452" s="836"/>
      <c r="H1452" s="836"/>
      <c r="I1452" s="835"/>
      <c r="J1452" s="836"/>
      <c r="K1452" s="835"/>
      <c r="L1452" s="836"/>
      <c r="M1452" s="837"/>
      <c r="N1452" s="836"/>
      <c r="O1452" s="837"/>
      <c r="P1452" s="836"/>
      <c r="Q1452" s="835"/>
      <c r="R1452" s="837"/>
      <c r="S1452" s="837"/>
      <c r="T1452" s="838"/>
      <c r="U1452" s="836"/>
      <c r="V1452" s="836"/>
    </row>
    <row r="1453" customHeight="1" spans="1:22">
      <c r="A1453" s="835"/>
      <c r="B1453" s="836"/>
      <c r="C1453" s="836"/>
      <c r="D1453" s="836"/>
      <c r="E1453" s="836"/>
      <c r="F1453" s="836"/>
      <c r="G1453" s="836"/>
      <c r="H1453" s="836"/>
      <c r="I1453" s="835"/>
      <c r="J1453" s="836"/>
      <c r="K1453" s="835"/>
      <c r="L1453" s="836"/>
      <c r="M1453" s="837"/>
      <c r="N1453" s="836"/>
      <c r="O1453" s="837"/>
      <c r="P1453" s="836"/>
      <c r="Q1453" s="835"/>
      <c r="R1453" s="837"/>
      <c r="S1453" s="837"/>
      <c r="T1453" s="838"/>
      <c r="U1453" s="836"/>
      <c r="V1453" s="836"/>
    </row>
    <row r="1454" customHeight="1" spans="1:22">
      <c r="A1454" s="835"/>
      <c r="B1454" s="836"/>
      <c r="C1454" s="836"/>
      <c r="D1454" s="836"/>
      <c r="E1454" s="836"/>
      <c r="F1454" s="836"/>
      <c r="G1454" s="836"/>
      <c r="H1454" s="836"/>
      <c r="I1454" s="835"/>
      <c r="J1454" s="836"/>
      <c r="K1454" s="835"/>
      <c r="L1454" s="836"/>
      <c r="M1454" s="837"/>
      <c r="N1454" s="836"/>
      <c r="O1454" s="837"/>
      <c r="P1454" s="836"/>
      <c r="Q1454" s="835"/>
      <c r="R1454" s="837"/>
      <c r="S1454" s="837"/>
      <c r="T1454" s="838"/>
      <c r="U1454" s="836"/>
      <c r="V1454" s="836"/>
    </row>
    <row r="1455" customHeight="1" spans="1:22">
      <c r="A1455" s="835"/>
      <c r="B1455" s="836"/>
      <c r="C1455" s="836"/>
      <c r="D1455" s="836"/>
      <c r="E1455" s="836"/>
      <c r="F1455" s="836"/>
      <c r="G1455" s="836"/>
      <c r="H1455" s="836"/>
      <c r="I1455" s="835"/>
      <c r="J1455" s="836"/>
      <c r="K1455" s="835"/>
      <c r="L1455" s="836"/>
      <c r="M1455" s="837"/>
      <c r="N1455" s="836"/>
      <c r="O1455" s="837"/>
      <c r="P1455" s="836"/>
      <c r="Q1455" s="835"/>
      <c r="R1455" s="837"/>
      <c r="S1455" s="837"/>
      <c r="T1455" s="838"/>
      <c r="U1455" s="836"/>
      <c r="V1455" s="836"/>
    </row>
    <row r="1456" customHeight="1" spans="1:22">
      <c r="A1456" s="835"/>
      <c r="B1456" s="836"/>
      <c r="C1456" s="836"/>
      <c r="D1456" s="836"/>
      <c r="E1456" s="836"/>
      <c r="F1456" s="836"/>
      <c r="G1456" s="836"/>
      <c r="H1456" s="836"/>
      <c r="I1456" s="835"/>
      <c r="J1456" s="836"/>
      <c r="K1456" s="835"/>
      <c r="L1456" s="836"/>
      <c r="M1456" s="837"/>
      <c r="N1456" s="836"/>
      <c r="O1456" s="837"/>
      <c r="P1456" s="836"/>
      <c r="Q1456" s="835"/>
      <c r="R1456" s="837"/>
      <c r="S1456" s="837"/>
      <c r="T1456" s="838"/>
      <c r="U1456" s="836"/>
      <c r="V1456" s="836"/>
    </row>
    <row r="1457" customHeight="1" spans="1:22">
      <c r="A1457" s="835"/>
      <c r="B1457" s="836"/>
      <c r="C1457" s="836"/>
      <c r="D1457" s="836"/>
      <c r="E1457" s="836"/>
      <c r="F1457" s="836"/>
      <c r="G1457" s="836"/>
      <c r="H1457" s="836"/>
      <c r="I1457" s="835"/>
      <c r="J1457" s="836"/>
      <c r="K1457" s="835"/>
      <c r="L1457" s="836"/>
      <c r="M1457" s="837"/>
      <c r="N1457" s="836"/>
      <c r="O1457" s="837"/>
      <c r="P1457" s="836"/>
      <c r="Q1457" s="835"/>
      <c r="R1457" s="837"/>
      <c r="S1457" s="837"/>
      <c r="T1457" s="838"/>
      <c r="U1457" s="836"/>
      <c r="V1457" s="836"/>
    </row>
    <row r="1458" customHeight="1" spans="1:22">
      <c r="A1458" s="835"/>
      <c r="B1458" s="836"/>
      <c r="C1458" s="836"/>
      <c r="D1458" s="836"/>
      <c r="E1458" s="836"/>
      <c r="F1458" s="836"/>
      <c r="G1458" s="836"/>
      <c r="H1458" s="836"/>
      <c r="I1458" s="835"/>
      <c r="J1458" s="836"/>
      <c r="K1458" s="835"/>
      <c r="L1458" s="836"/>
      <c r="M1458" s="837"/>
      <c r="N1458" s="836"/>
      <c r="O1458" s="837"/>
      <c r="P1458" s="836"/>
      <c r="Q1458" s="835"/>
      <c r="R1458" s="837"/>
      <c r="S1458" s="837"/>
      <c r="T1458" s="838"/>
      <c r="U1458" s="836"/>
      <c r="V1458" s="836"/>
    </row>
    <row r="1459" customHeight="1" spans="1:22">
      <c r="A1459" s="835"/>
      <c r="B1459" s="836"/>
      <c r="C1459" s="836"/>
      <c r="D1459" s="836"/>
      <c r="E1459" s="836"/>
      <c r="F1459" s="836"/>
      <c r="G1459" s="836"/>
      <c r="H1459" s="836"/>
      <c r="I1459" s="835"/>
      <c r="J1459" s="836"/>
      <c r="K1459" s="835"/>
      <c r="L1459" s="836"/>
      <c r="M1459" s="837"/>
      <c r="N1459" s="836"/>
      <c r="O1459" s="837"/>
      <c r="P1459" s="836"/>
      <c r="Q1459" s="835"/>
      <c r="R1459" s="837"/>
      <c r="S1459" s="837"/>
      <c r="T1459" s="838"/>
      <c r="U1459" s="836"/>
      <c r="V1459" s="836"/>
    </row>
    <row r="1460" customHeight="1" spans="1:22">
      <c r="A1460" s="835"/>
      <c r="B1460" s="836"/>
      <c r="C1460" s="836"/>
      <c r="D1460" s="836"/>
      <c r="E1460" s="836"/>
      <c r="F1460" s="836"/>
      <c r="G1460" s="836"/>
      <c r="H1460" s="836"/>
      <c r="I1460" s="835"/>
      <c r="J1460" s="836"/>
      <c r="K1460" s="835"/>
      <c r="L1460" s="836"/>
      <c r="M1460" s="837"/>
      <c r="N1460" s="836"/>
      <c r="O1460" s="837"/>
      <c r="P1460" s="836"/>
      <c r="Q1460" s="835"/>
      <c r="R1460" s="837"/>
      <c r="S1460" s="837"/>
      <c r="T1460" s="838"/>
      <c r="U1460" s="836"/>
      <c r="V1460" s="836"/>
    </row>
    <row r="1461" customHeight="1" spans="1:22">
      <c r="A1461" s="835"/>
      <c r="B1461" s="836"/>
      <c r="C1461" s="836"/>
      <c r="D1461" s="836"/>
      <c r="E1461" s="836"/>
      <c r="F1461" s="836"/>
      <c r="G1461" s="836"/>
      <c r="H1461" s="836"/>
      <c r="I1461" s="835"/>
      <c r="J1461" s="836"/>
      <c r="K1461" s="835"/>
      <c r="L1461" s="836"/>
      <c r="M1461" s="837"/>
      <c r="N1461" s="836"/>
      <c r="O1461" s="837"/>
      <c r="P1461" s="836"/>
      <c r="Q1461" s="835"/>
      <c r="R1461" s="837"/>
      <c r="S1461" s="837"/>
      <c r="T1461" s="838"/>
      <c r="U1461" s="836"/>
      <c r="V1461" s="836"/>
    </row>
    <row r="1462" customHeight="1" spans="1:22">
      <c r="A1462" s="835"/>
      <c r="B1462" s="836"/>
      <c r="C1462" s="836"/>
      <c r="D1462" s="836"/>
      <c r="E1462" s="836"/>
      <c r="F1462" s="836"/>
      <c r="G1462" s="836"/>
      <c r="H1462" s="836"/>
      <c r="I1462" s="835"/>
      <c r="J1462" s="836"/>
      <c r="K1462" s="835"/>
      <c r="L1462" s="836"/>
      <c r="M1462" s="837"/>
      <c r="N1462" s="836"/>
      <c r="O1462" s="837"/>
      <c r="P1462" s="836"/>
      <c r="Q1462" s="835"/>
      <c r="R1462" s="837"/>
      <c r="S1462" s="837"/>
      <c r="T1462" s="838"/>
      <c r="U1462" s="836"/>
      <c r="V1462" s="836"/>
    </row>
    <row r="1463" customHeight="1" spans="1:22">
      <c r="A1463" s="835"/>
      <c r="B1463" s="836"/>
      <c r="C1463" s="836"/>
      <c r="D1463" s="836"/>
      <c r="E1463" s="836"/>
      <c r="F1463" s="836"/>
      <c r="G1463" s="836"/>
      <c r="H1463" s="836"/>
      <c r="I1463" s="835"/>
      <c r="J1463" s="836"/>
      <c r="K1463" s="835"/>
      <c r="L1463" s="836"/>
      <c r="M1463" s="837"/>
      <c r="N1463" s="836"/>
      <c r="O1463" s="837"/>
      <c r="P1463" s="836"/>
      <c r="Q1463" s="835"/>
      <c r="R1463" s="837"/>
      <c r="S1463" s="837"/>
      <c r="T1463" s="838"/>
      <c r="U1463" s="836"/>
      <c r="V1463" s="836"/>
    </row>
    <row r="1464" customHeight="1" spans="1:22">
      <c r="A1464" s="835"/>
      <c r="B1464" s="836"/>
      <c r="C1464" s="836"/>
      <c r="D1464" s="836"/>
      <c r="E1464" s="836"/>
      <c r="F1464" s="836"/>
      <c r="G1464" s="836"/>
      <c r="H1464" s="836"/>
      <c r="I1464" s="835"/>
      <c r="J1464" s="836"/>
      <c r="K1464" s="835"/>
      <c r="L1464" s="836"/>
      <c r="M1464" s="837"/>
      <c r="N1464" s="836"/>
      <c r="O1464" s="837"/>
      <c r="P1464" s="836"/>
      <c r="Q1464" s="835"/>
      <c r="R1464" s="837"/>
      <c r="S1464" s="837"/>
      <c r="T1464" s="838"/>
      <c r="U1464" s="836"/>
      <c r="V1464" s="836"/>
    </row>
    <row r="1465" customHeight="1" spans="1:22">
      <c r="A1465" s="835"/>
      <c r="B1465" s="836"/>
      <c r="C1465" s="836"/>
      <c r="D1465" s="836"/>
      <c r="E1465" s="836"/>
      <c r="F1465" s="836"/>
      <c r="G1465" s="836"/>
      <c r="H1465" s="836"/>
      <c r="I1465" s="835"/>
      <c r="J1465" s="836"/>
      <c r="K1465" s="835"/>
      <c r="L1465" s="836"/>
      <c r="M1465" s="837"/>
      <c r="N1465" s="836"/>
      <c r="O1465" s="837"/>
      <c r="P1465" s="836"/>
      <c r="Q1465" s="835"/>
      <c r="R1465" s="837"/>
      <c r="S1465" s="837"/>
      <c r="T1465" s="838"/>
      <c r="U1465" s="836"/>
      <c r="V1465" s="836"/>
    </row>
    <row r="1466" customHeight="1" spans="1:22">
      <c r="A1466" s="835"/>
      <c r="B1466" s="836"/>
      <c r="C1466" s="836"/>
      <c r="D1466" s="836"/>
      <c r="E1466" s="836"/>
      <c r="F1466" s="836"/>
      <c r="G1466" s="836"/>
      <c r="H1466" s="836"/>
      <c r="I1466" s="835"/>
      <c r="J1466" s="836"/>
      <c r="K1466" s="835"/>
      <c r="L1466" s="836"/>
      <c r="M1466" s="837"/>
      <c r="N1466" s="836"/>
      <c r="O1466" s="837"/>
      <c r="P1466" s="836"/>
      <c r="Q1466" s="835"/>
      <c r="R1466" s="837"/>
      <c r="S1466" s="837"/>
      <c r="T1466" s="838"/>
      <c r="U1466" s="836"/>
      <c r="V1466" s="836"/>
    </row>
    <row r="1467" customHeight="1" spans="1:22">
      <c r="A1467" s="835"/>
      <c r="B1467" s="836"/>
      <c r="C1467" s="836"/>
      <c r="D1467" s="836"/>
      <c r="E1467" s="836"/>
      <c r="F1467" s="836"/>
      <c r="G1467" s="836"/>
      <c r="H1467" s="836"/>
      <c r="I1467" s="835"/>
      <c r="J1467" s="836"/>
      <c r="K1467" s="835"/>
      <c r="L1467" s="836"/>
      <c r="M1467" s="837"/>
      <c r="N1467" s="836"/>
      <c r="O1467" s="837"/>
      <c r="P1467" s="836"/>
      <c r="Q1467" s="835"/>
      <c r="R1467" s="837"/>
      <c r="S1467" s="837"/>
      <c r="T1467" s="838"/>
      <c r="U1467" s="836"/>
      <c r="V1467" s="836"/>
    </row>
    <row r="1468" customHeight="1" spans="1:22">
      <c r="A1468" s="835"/>
      <c r="B1468" s="836"/>
      <c r="C1468" s="836"/>
      <c r="D1468" s="836"/>
      <c r="E1468" s="836"/>
      <c r="F1468" s="836"/>
      <c r="G1468" s="836"/>
      <c r="H1468" s="836"/>
      <c r="I1468" s="835"/>
      <c r="J1468" s="836"/>
      <c r="K1468" s="835"/>
      <c r="L1468" s="836"/>
      <c r="M1468" s="837"/>
      <c r="N1468" s="836"/>
      <c r="O1468" s="837"/>
      <c r="P1468" s="836"/>
      <c r="Q1468" s="835"/>
      <c r="R1468" s="837"/>
      <c r="S1468" s="837"/>
      <c r="T1468" s="838"/>
      <c r="U1468" s="836"/>
      <c r="V1468" s="836"/>
    </row>
    <row r="1469" customHeight="1" spans="1:22">
      <c r="A1469" s="835"/>
      <c r="B1469" s="836"/>
      <c r="C1469" s="836"/>
      <c r="D1469" s="836"/>
      <c r="E1469" s="836"/>
      <c r="F1469" s="836"/>
      <c r="G1469" s="836"/>
      <c r="H1469" s="836"/>
      <c r="I1469" s="835"/>
      <c r="J1469" s="836"/>
      <c r="K1469" s="835"/>
      <c r="L1469" s="836"/>
      <c r="M1469" s="837"/>
      <c r="N1469" s="836"/>
      <c r="O1469" s="837"/>
      <c r="P1469" s="836"/>
      <c r="Q1469" s="835"/>
      <c r="R1469" s="837"/>
      <c r="S1469" s="837"/>
      <c r="T1469" s="838"/>
      <c r="U1469" s="836"/>
      <c r="V1469" s="836"/>
    </row>
    <row r="1470" customHeight="1" spans="1:22">
      <c r="A1470" s="835"/>
      <c r="B1470" s="836"/>
      <c r="C1470" s="836"/>
      <c r="D1470" s="836"/>
      <c r="E1470" s="836"/>
      <c r="F1470" s="836"/>
      <c r="G1470" s="836"/>
      <c r="H1470" s="836"/>
      <c r="I1470" s="835"/>
      <c r="J1470" s="836"/>
      <c r="K1470" s="835"/>
      <c r="L1470" s="836"/>
      <c r="M1470" s="837"/>
      <c r="N1470" s="836"/>
      <c r="O1470" s="837"/>
      <c r="P1470" s="836"/>
      <c r="Q1470" s="835"/>
      <c r="R1470" s="837"/>
      <c r="S1470" s="837"/>
      <c r="T1470" s="838"/>
      <c r="U1470" s="836"/>
      <c r="V1470" s="836"/>
    </row>
    <row r="1471" customHeight="1" spans="1:22">
      <c r="A1471" s="835"/>
      <c r="B1471" s="836"/>
      <c r="C1471" s="836"/>
      <c r="D1471" s="836"/>
      <c r="E1471" s="836"/>
      <c r="F1471" s="836"/>
      <c r="G1471" s="836"/>
      <c r="H1471" s="836"/>
      <c r="I1471" s="835"/>
      <c r="J1471" s="836"/>
      <c r="K1471" s="835"/>
      <c r="L1471" s="836"/>
      <c r="M1471" s="837"/>
      <c r="N1471" s="836"/>
      <c r="O1471" s="837"/>
      <c r="P1471" s="836"/>
      <c r="Q1471" s="835"/>
      <c r="R1471" s="837"/>
      <c r="S1471" s="837"/>
      <c r="T1471" s="838"/>
      <c r="U1471" s="836"/>
      <c r="V1471" s="836"/>
    </row>
    <row r="1472" customHeight="1" spans="1:22">
      <c r="A1472" s="835"/>
      <c r="B1472" s="836"/>
      <c r="C1472" s="836"/>
      <c r="D1472" s="836"/>
      <c r="E1472" s="836"/>
      <c r="F1472" s="836"/>
      <c r="G1472" s="836"/>
      <c r="H1472" s="836"/>
      <c r="I1472" s="835"/>
      <c r="J1472" s="836"/>
      <c r="K1472" s="835"/>
      <c r="L1472" s="836"/>
      <c r="M1472" s="837"/>
      <c r="N1472" s="836"/>
      <c r="O1472" s="837"/>
      <c r="P1472" s="836"/>
      <c r="Q1472" s="835"/>
      <c r="R1472" s="837"/>
      <c r="S1472" s="837"/>
      <c r="T1472" s="838"/>
      <c r="U1472" s="836"/>
      <c r="V1472" s="836"/>
    </row>
    <row r="1473" customHeight="1" spans="1:22">
      <c r="A1473" s="835"/>
      <c r="B1473" s="836"/>
      <c r="C1473" s="836"/>
      <c r="D1473" s="836"/>
      <c r="E1473" s="836"/>
      <c r="F1473" s="836"/>
      <c r="G1473" s="836"/>
      <c r="H1473" s="836"/>
      <c r="I1473" s="835"/>
      <c r="J1473" s="836"/>
      <c r="K1473" s="835"/>
      <c r="L1473" s="836"/>
      <c r="M1473" s="837"/>
      <c r="N1473" s="836"/>
      <c r="O1473" s="837"/>
      <c r="P1473" s="836"/>
      <c r="Q1473" s="835"/>
      <c r="R1473" s="837"/>
      <c r="S1473" s="837"/>
      <c r="T1473" s="838"/>
      <c r="U1473" s="836"/>
      <c r="V1473" s="836"/>
    </row>
    <row r="1474" customHeight="1" spans="1:22">
      <c r="A1474" s="835"/>
      <c r="B1474" s="836"/>
      <c r="C1474" s="836"/>
      <c r="D1474" s="836"/>
      <c r="E1474" s="836"/>
      <c r="F1474" s="836"/>
      <c r="G1474" s="836"/>
      <c r="H1474" s="836"/>
      <c r="I1474" s="835"/>
      <c r="J1474" s="836"/>
      <c r="K1474" s="835"/>
      <c r="L1474" s="836"/>
      <c r="M1474" s="837"/>
      <c r="N1474" s="836"/>
      <c r="O1474" s="837"/>
      <c r="P1474" s="836"/>
      <c r="Q1474" s="835"/>
      <c r="R1474" s="837"/>
      <c r="S1474" s="837"/>
      <c r="T1474" s="838"/>
      <c r="U1474" s="836"/>
      <c r="V1474" s="836"/>
    </row>
    <row r="1475" customHeight="1" spans="1:22">
      <c r="A1475" s="835"/>
      <c r="B1475" s="836"/>
      <c r="C1475" s="836"/>
      <c r="D1475" s="836"/>
      <c r="E1475" s="836"/>
      <c r="F1475" s="836"/>
      <c r="G1475" s="836"/>
      <c r="H1475" s="836"/>
      <c r="I1475" s="835"/>
      <c r="J1475" s="836"/>
      <c r="K1475" s="835"/>
      <c r="L1475" s="836"/>
      <c r="M1475" s="837"/>
      <c r="N1475" s="836"/>
      <c r="O1475" s="837"/>
      <c r="P1475" s="836"/>
      <c r="Q1475" s="835"/>
      <c r="R1475" s="837"/>
      <c r="S1475" s="837"/>
      <c r="T1475" s="838"/>
      <c r="U1475" s="836"/>
      <c r="V1475" s="836"/>
    </row>
    <row r="1476" customHeight="1" spans="1:22">
      <c r="A1476" s="835"/>
      <c r="B1476" s="836"/>
      <c r="C1476" s="836"/>
      <c r="D1476" s="836"/>
      <c r="E1476" s="836"/>
      <c r="F1476" s="836"/>
      <c r="G1476" s="836"/>
      <c r="H1476" s="836"/>
      <c r="I1476" s="835"/>
      <c r="J1476" s="836"/>
      <c r="K1476" s="835"/>
      <c r="L1476" s="836"/>
      <c r="M1476" s="837"/>
      <c r="N1476" s="836"/>
      <c r="O1476" s="837"/>
      <c r="P1476" s="836"/>
      <c r="Q1476" s="835"/>
      <c r="R1476" s="837"/>
      <c r="S1476" s="837"/>
      <c r="T1476" s="838"/>
      <c r="U1476" s="836"/>
      <c r="V1476" s="836"/>
    </row>
    <row r="1477" customHeight="1" spans="1:22">
      <c r="A1477" s="835"/>
      <c r="B1477" s="836"/>
      <c r="C1477" s="836"/>
      <c r="D1477" s="836"/>
      <c r="E1477" s="836"/>
      <c r="F1477" s="836"/>
      <c r="G1477" s="836"/>
      <c r="H1477" s="836"/>
      <c r="I1477" s="835"/>
      <c r="J1477" s="836"/>
      <c r="K1477" s="835"/>
      <c r="L1477" s="836"/>
      <c r="M1477" s="837"/>
      <c r="N1477" s="836"/>
      <c r="O1477" s="837"/>
      <c r="P1477" s="836"/>
      <c r="Q1477" s="835"/>
      <c r="R1477" s="837"/>
      <c r="S1477" s="837"/>
      <c r="T1477" s="838"/>
      <c r="U1477" s="836"/>
      <c r="V1477" s="836"/>
    </row>
    <row r="1478" customHeight="1" spans="1:22">
      <c r="A1478" s="835"/>
      <c r="B1478" s="836"/>
      <c r="C1478" s="836"/>
      <c r="D1478" s="836"/>
      <c r="E1478" s="836"/>
      <c r="F1478" s="836"/>
      <c r="G1478" s="836"/>
      <c r="H1478" s="836"/>
      <c r="I1478" s="835"/>
      <c r="J1478" s="836"/>
      <c r="K1478" s="835"/>
      <c r="L1478" s="836"/>
      <c r="M1478" s="837"/>
      <c r="N1478" s="836"/>
      <c r="O1478" s="837"/>
      <c r="P1478" s="836"/>
      <c r="Q1478" s="835"/>
      <c r="R1478" s="837"/>
      <c r="S1478" s="837"/>
      <c r="T1478" s="838"/>
      <c r="U1478" s="836"/>
      <c r="V1478" s="836"/>
    </row>
    <row r="1479" customHeight="1" spans="1:22">
      <c r="A1479" s="835"/>
      <c r="B1479" s="836"/>
      <c r="C1479" s="836"/>
      <c r="D1479" s="836"/>
      <c r="E1479" s="836"/>
      <c r="F1479" s="836"/>
      <c r="G1479" s="836"/>
      <c r="H1479" s="836"/>
      <c r="I1479" s="835"/>
      <c r="J1479" s="836"/>
      <c r="K1479" s="835"/>
      <c r="L1479" s="836"/>
      <c r="M1479" s="837"/>
      <c r="N1479" s="836"/>
      <c r="O1479" s="837"/>
      <c r="P1479" s="836"/>
      <c r="Q1479" s="835"/>
      <c r="R1479" s="837"/>
      <c r="S1479" s="837"/>
      <c r="T1479" s="838"/>
      <c r="U1479" s="836"/>
      <c r="V1479" s="836"/>
    </row>
    <row r="1480" customHeight="1" spans="1:22">
      <c r="A1480" s="835"/>
      <c r="B1480" s="836"/>
      <c r="C1480" s="836"/>
      <c r="D1480" s="836"/>
      <c r="E1480" s="836"/>
      <c r="F1480" s="836"/>
      <c r="G1480" s="836"/>
      <c r="H1480" s="836"/>
      <c r="I1480" s="835"/>
      <c r="J1480" s="836"/>
      <c r="K1480" s="835"/>
      <c r="L1480" s="836"/>
      <c r="M1480" s="837"/>
      <c r="N1480" s="836"/>
      <c r="O1480" s="837"/>
      <c r="P1480" s="836"/>
      <c r="Q1480" s="835"/>
      <c r="R1480" s="837"/>
      <c r="S1480" s="837"/>
      <c r="T1480" s="838"/>
      <c r="U1480" s="836"/>
      <c r="V1480" s="836"/>
    </row>
    <row r="1481" customHeight="1" spans="1:22">
      <c r="A1481" s="835"/>
      <c r="B1481" s="836"/>
      <c r="C1481" s="836"/>
      <c r="D1481" s="836"/>
      <c r="E1481" s="836"/>
      <c r="F1481" s="836"/>
      <c r="G1481" s="836"/>
      <c r="H1481" s="836"/>
      <c r="I1481" s="835"/>
      <c r="J1481" s="836"/>
      <c r="K1481" s="835"/>
      <c r="L1481" s="836"/>
      <c r="M1481" s="837"/>
      <c r="N1481" s="836"/>
      <c r="O1481" s="837"/>
      <c r="P1481" s="836"/>
      <c r="Q1481" s="835"/>
      <c r="R1481" s="837"/>
      <c r="S1481" s="837"/>
      <c r="T1481" s="838"/>
      <c r="U1481" s="836"/>
      <c r="V1481" s="836"/>
    </row>
    <row r="1482" customHeight="1" spans="1:22">
      <c r="A1482" s="835"/>
      <c r="B1482" s="836"/>
      <c r="C1482" s="836"/>
      <c r="D1482" s="836"/>
      <c r="E1482" s="836"/>
      <c r="F1482" s="836"/>
      <c r="G1482" s="836"/>
      <c r="H1482" s="836"/>
      <c r="I1482" s="835"/>
      <c r="J1482" s="836"/>
      <c r="K1482" s="835"/>
      <c r="L1482" s="836"/>
      <c r="M1482" s="837"/>
      <c r="N1482" s="836"/>
      <c r="O1482" s="837"/>
      <c r="P1482" s="836"/>
      <c r="Q1482" s="835"/>
      <c r="R1482" s="837"/>
      <c r="S1482" s="837"/>
      <c r="T1482" s="838"/>
      <c r="U1482" s="836"/>
      <c r="V1482" s="836"/>
    </row>
    <row r="1483" customHeight="1" spans="1:22">
      <c r="A1483" s="835"/>
      <c r="B1483" s="836"/>
      <c r="C1483" s="836"/>
      <c r="D1483" s="836"/>
      <c r="E1483" s="836"/>
      <c r="F1483" s="836"/>
      <c r="G1483" s="836"/>
      <c r="H1483" s="836"/>
      <c r="I1483" s="835"/>
      <c r="J1483" s="836"/>
      <c r="K1483" s="835"/>
      <c r="L1483" s="836"/>
      <c r="M1483" s="837"/>
      <c r="N1483" s="836"/>
      <c r="O1483" s="837"/>
      <c r="P1483" s="836"/>
      <c r="Q1483" s="835"/>
      <c r="R1483" s="837"/>
      <c r="S1483" s="837"/>
      <c r="T1483" s="838"/>
      <c r="U1483" s="836"/>
      <c r="V1483" s="836"/>
    </row>
    <row r="1484" customHeight="1" spans="1:22">
      <c r="A1484" s="835"/>
      <c r="B1484" s="836"/>
      <c r="C1484" s="836"/>
      <c r="D1484" s="836"/>
      <c r="E1484" s="836"/>
      <c r="F1484" s="836"/>
      <c r="G1484" s="836"/>
      <c r="H1484" s="836"/>
      <c r="I1484" s="835"/>
      <c r="J1484" s="836"/>
      <c r="K1484" s="835"/>
      <c r="L1484" s="836"/>
      <c r="M1484" s="837"/>
      <c r="N1484" s="836"/>
      <c r="O1484" s="837"/>
      <c r="P1484" s="836"/>
      <c r="Q1484" s="835"/>
      <c r="R1484" s="837"/>
      <c r="S1484" s="837"/>
      <c r="T1484" s="838"/>
      <c r="U1484" s="836"/>
      <c r="V1484" s="836"/>
    </row>
    <row r="1485" customHeight="1" spans="1:22">
      <c r="A1485" s="835"/>
      <c r="B1485" s="836"/>
      <c r="C1485" s="836"/>
      <c r="D1485" s="836"/>
      <c r="E1485" s="836"/>
      <c r="F1485" s="836"/>
      <c r="G1485" s="836"/>
      <c r="H1485" s="836"/>
      <c r="I1485" s="835"/>
      <c r="J1485" s="836"/>
      <c r="K1485" s="835"/>
      <c r="L1485" s="836"/>
      <c r="M1485" s="837"/>
      <c r="N1485" s="836"/>
      <c r="O1485" s="837"/>
      <c r="P1485" s="836"/>
      <c r="Q1485" s="835"/>
      <c r="R1485" s="837"/>
      <c r="S1485" s="837"/>
      <c r="T1485" s="838"/>
      <c r="U1485" s="836"/>
      <c r="V1485" s="836"/>
    </row>
    <row r="1486" customHeight="1" spans="1:22">
      <c r="A1486" s="835"/>
      <c r="B1486" s="836"/>
      <c r="C1486" s="836"/>
      <c r="D1486" s="836"/>
      <c r="E1486" s="836"/>
      <c r="F1486" s="836"/>
      <c r="G1486" s="836"/>
      <c r="H1486" s="836"/>
      <c r="I1486" s="835"/>
      <c r="J1486" s="836"/>
      <c r="K1486" s="835"/>
      <c r="L1486" s="836"/>
      <c r="M1486" s="837"/>
      <c r="N1486" s="836"/>
      <c r="O1486" s="837"/>
      <c r="P1486" s="836"/>
      <c r="Q1486" s="835"/>
      <c r="R1486" s="837"/>
      <c r="S1486" s="837"/>
      <c r="T1486" s="838"/>
      <c r="U1486" s="836"/>
      <c r="V1486" s="836"/>
    </row>
    <row r="1487" customHeight="1" spans="1:22">
      <c r="A1487" s="835"/>
      <c r="B1487" s="836"/>
      <c r="C1487" s="836"/>
      <c r="D1487" s="836"/>
      <c r="E1487" s="836"/>
      <c r="F1487" s="836"/>
      <c r="G1487" s="836"/>
      <c r="H1487" s="836"/>
      <c r="I1487" s="835"/>
      <c r="J1487" s="836"/>
      <c r="K1487" s="835"/>
      <c r="L1487" s="836"/>
      <c r="M1487" s="837"/>
      <c r="N1487" s="836"/>
      <c r="O1487" s="837"/>
      <c r="P1487" s="836"/>
      <c r="Q1487" s="835"/>
      <c r="R1487" s="837"/>
      <c r="S1487" s="837"/>
      <c r="T1487" s="838"/>
      <c r="U1487" s="836"/>
      <c r="V1487" s="836"/>
    </row>
    <row r="1488" customHeight="1" spans="1:22">
      <c r="A1488" s="835"/>
      <c r="B1488" s="836"/>
      <c r="C1488" s="836"/>
      <c r="D1488" s="836"/>
      <c r="E1488" s="836"/>
      <c r="F1488" s="836"/>
      <c r="G1488" s="836"/>
      <c r="H1488" s="836"/>
      <c r="I1488" s="835"/>
      <c r="J1488" s="836"/>
      <c r="K1488" s="835"/>
      <c r="L1488" s="836"/>
      <c r="M1488" s="837"/>
      <c r="N1488" s="836"/>
      <c r="O1488" s="837"/>
      <c r="P1488" s="836"/>
      <c r="Q1488" s="835"/>
      <c r="R1488" s="837"/>
      <c r="S1488" s="837"/>
      <c r="T1488" s="838"/>
      <c r="U1488" s="836"/>
      <c r="V1488" s="836"/>
    </row>
    <row r="1489" customHeight="1" spans="1:22">
      <c r="A1489" s="835"/>
      <c r="B1489" s="836"/>
      <c r="C1489" s="836"/>
      <c r="D1489" s="836"/>
      <c r="E1489" s="836"/>
      <c r="F1489" s="836"/>
      <c r="G1489" s="836"/>
      <c r="H1489" s="836"/>
      <c r="I1489" s="835"/>
      <c r="J1489" s="836"/>
      <c r="K1489" s="835"/>
      <c r="L1489" s="836"/>
      <c r="M1489" s="837"/>
      <c r="N1489" s="836"/>
      <c r="O1489" s="837"/>
      <c r="P1489" s="836"/>
      <c r="Q1489" s="835"/>
      <c r="R1489" s="837"/>
      <c r="S1489" s="837"/>
      <c r="T1489" s="838"/>
      <c r="U1489" s="836"/>
      <c r="V1489" s="836"/>
    </row>
    <row r="1490" customHeight="1" spans="1:22">
      <c r="A1490" s="835"/>
      <c r="B1490" s="836"/>
      <c r="C1490" s="836"/>
      <c r="D1490" s="836"/>
      <c r="E1490" s="836"/>
      <c r="F1490" s="836"/>
      <c r="G1490" s="836"/>
      <c r="H1490" s="836"/>
      <c r="I1490" s="835"/>
      <c r="J1490" s="836"/>
      <c r="K1490" s="835"/>
      <c r="L1490" s="836"/>
      <c r="M1490" s="837"/>
      <c r="N1490" s="836"/>
      <c r="O1490" s="837"/>
      <c r="P1490" s="836"/>
      <c r="Q1490" s="835"/>
      <c r="R1490" s="837"/>
      <c r="S1490" s="837"/>
      <c r="T1490" s="838"/>
      <c r="U1490" s="836"/>
      <c r="V1490" s="836"/>
    </row>
    <row r="1491" customHeight="1" spans="1:22">
      <c r="A1491" s="835"/>
      <c r="B1491" s="836"/>
      <c r="C1491" s="836"/>
      <c r="D1491" s="836"/>
      <c r="E1491" s="836"/>
      <c r="F1491" s="836"/>
      <c r="G1491" s="836"/>
      <c r="H1491" s="836"/>
      <c r="I1491" s="835"/>
      <c r="J1491" s="836"/>
      <c r="K1491" s="835"/>
      <c r="L1491" s="836"/>
      <c r="M1491" s="837"/>
      <c r="N1491" s="836"/>
      <c r="O1491" s="837"/>
      <c r="P1491" s="836"/>
      <c r="Q1491" s="835"/>
      <c r="R1491" s="837"/>
      <c r="S1491" s="837"/>
      <c r="T1491" s="838"/>
      <c r="U1491" s="836"/>
      <c r="V1491" s="836"/>
    </row>
    <row r="1492" customHeight="1" spans="1:22">
      <c r="A1492" s="835"/>
      <c r="B1492" s="836"/>
      <c r="C1492" s="836"/>
      <c r="D1492" s="836"/>
      <c r="E1492" s="836"/>
      <c r="F1492" s="836"/>
      <c r="G1492" s="836"/>
      <c r="H1492" s="836"/>
      <c r="I1492" s="835"/>
      <c r="J1492" s="836"/>
      <c r="K1492" s="835"/>
      <c r="L1492" s="836"/>
      <c r="M1492" s="837"/>
      <c r="N1492" s="836"/>
      <c r="O1492" s="837"/>
      <c r="P1492" s="836"/>
      <c r="Q1492" s="835"/>
      <c r="R1492" s="837"/>
      <c r="S1492" s="837"/>
      <c r="T1492" s="838"/>
      <c r="U1492" s="836"/>
      <c r="V1492" s="836"/>
    </row>
    <row r="1493" customHeight="1" spans="1:22">
      <c r="A1493" s="835"/>
      <c r="B1493" s="836"/>
      <c r="C1493" s="836"/>
      <c r="D1493" s="836"/>
      <c r="E1493" s="836"/>
      <c r="F1493" s="836"/>
      <c r="G1493" s="836"/>
      <c r="H1493" s="836"/>
      <c r="I1493" s="835"/>
      <c r="J1493" s="836"/>
      <c r="K1493" s="835"/>
      <c r="L1493" s="836"/>
      <c r="M1493" s="837"/>
      <c r="N1493" s="836"/>
      <c r="O1493" s="837"/>
      <c r="P1493" s="836"/>
      <c r="Q1493" s="835"/>
      <c r="R1493" s="837"/>
      <c r="S1493" s="837"/>
      <c r="T1493" s="838"/>
      <c r="U1493" s="836"/>
      <c r="V1493" s="836"/>
    </row>
    <row r="1494" customHeight="1" spans="1:22">
      <c r="A1494" s="835"/>
      <c r="B1494" s="836"/>
      <c r="C1494" s="836"/>
      <c r="D1494" s="836"/>
      <c r="E1494" s="836"/>
      <c r="F1494" s="836"/>
      <c r="G1494" s="836"/>
      <c r="H1494" s="836"/>
      <c r="I1494" s="835"/>
      <c r="J1494" s="836"/>
      <c r="K1494" s="835"/>
      <c r="L1494" s="836"/>
      <c r="M1494" s="837"/>
      <c r="N1494" s="836"/>
      <c r="O1494" s="837"/>
      <c r="P1494" s="836"/>
      <c r="Q1494" s="835"/>
      <c r="R1494" s="837"/>
      <c r="S1494" s="837"/>
      <c r="T1494" s="838"/>
      <c r="U1494" s="836"/>
      <c r="V1494" s="836"/>
    </row>
    <row r="1495" customHeight="1" spans="1:22">
      <c r="A1495" s="835"/>
      <c r="B1495" s="836"/>
      <c r="C1495" s="836"/>
      <c r="D1495" s="836"/>
      <c r="E1495" s="836"/>
      <c r="F1495" s="836"/>
      <c r="G1495" s="836"/>
      <c r="H1495" s="836"/>
      <c r="I1495" s="835"/>
      <c r="J1495" s="836"/>
      <c r="K1495" s="835"/>
      <c r="L1495" s="836"/>
      <c r="M1495" s="837"/>
      <c r="N1495" s="836"/>
      <c r="O1495" s="837"/>
      <c r="P1495" s="836"/>
      <c r="Q1495" s="835"/>
      <c r="R1495" s="837"/>
      <c r="S1495" s="837"/>
      <c r="T1495" s="838"/>
      <c r="U1495" s="836"/>
      <c r="V1495" s="836"/>
    </row>
    <row r="1496" customHeight="1" spans="1:22">
      <c r="A1496" s="835"/>
      <c r="B1496" s="836"/>
      <c r="C1496" s="836"/>
      <c r="D1496" s="836"/>
      <c r="E1496" s="836"/>
      <c r="F1496" s="836"/>
      <c r="G1496" s="836"/>
      <c r="H1496" s="836"/>
      <c r="I1496" s="835"/>
      <c r="J1496" s="836"/>
      <c r="K1496" s="835"/>
      <c r="L1496" s="836"/>
      <c r="M1496" s="837"/>
      <c r="N1496" s="836"/>
      <c r="O1496" s="837"/>
      <c r="P1496" s="836"/>
      <c r="Q1496" s="835"/>
      <c r="R1496" s="837"/>
      <c r="S1496" s="837"/>
      <c r="T1496" s="838"/>
      <c r="U1496" s="836"/>
      <c r="V1496" s="836"/>
    </row>
    <row r="1497" customHeight="1" spans="1:22">
      <c r="A1497" s="835"/>
      <c r="B1497" s="836"/>
      <c r="C1497" s="836"/>
      <c r="D1497" s="836"/>
      <c r="E1497" s="836"/>
      <c r="F1497" s="836"/>
      <c r="G1497" s="836"/>
      <c r="H1497" s="836"/>
      <c r="I1497" s="835"/>
      <c r="J1497" s="836"/>
      <c r="K1497" s="835"/>
      <c r="L1497" s="836"/>
      <c r="M1497" s="837"/>
      <c r="N1497" s="836"/>
      <c r="O1497" s="837"/>
      <c r="P1497" s="836"/>
      <c r="Q1497" s="835"/>
      <c r="R1497" s="837"/>
      <c r="S1497" s="837"/>
      <c r="T1497" s="838"/>
      <c r="U1497" s="836"/>
      <c r="V1497" s="836"/>
    </row>
    <row r="1498" customHeight="1" spans="1:22">
      <c r="A1498" s="835"/>
      <c r="B1498" s="836"/>
      <c r="C1498" s="836"/>
      <c r="D1498" s="836"/>
      <c r="E1498" s="836"/>
      <c r="F1498" s="836"/>
      <c r="G1498" s="836"/>
      <c r="H1498" s="836"/>
      <c r="I1498" s="835"/>
      <c r="J1498" s="836"/>
      <c r="K1498" s="835"/>
      <c r="L1498" s="836"/>
      <c r="M1498" s="837"/>
      <c r="N1498" s="836"/>
      <c r="O1498" s="837"/>
      <c r="P1498" s="836"/>
      <c r="Q1498" s="835"/>
      <c r="R1498" s="837"/>
      <c r="S1498" s="837"/>
      <c r="T1498" s="838"/>
      <c r="U1498" s="836"/>
      <c r="V1498" s="836"/>
    </row>
    <row r="1499" customHeight="1" spans="1:22">
      <c r="A1499" s="835"/>
      <c r="B1499" s="836"/>
      <c r="C1499" s="836"/>
      <c r="D1499" s="836"/>
      <c r="E1499" s="836"/>
      <c r="F1499" s="836"/>
      <c r="G1499" s="836"/>
      <c r="H1499" s="836"/>
      <c r="I1499" s="835"/>
      <c r="J1499" s="836"/>
      <c r="K1499" s="835"/>
      <c r="L1499" s="836"/>
      <c r="M1499" s="837"/>
      <c r="N1499" s="836"/>
      <c r="O1499" s="837"/>
      <c r="P1499" s="836"/>
      <c r="Q1499" s="835"/>
      <c r="R1499" s="837"/>
      <c r="S1499" s="837"/>
      <c r="T1499" s="838"/>
      <c r="U1499" s="836"/>
      <c r="V1499" s="836"/>
    </row>
    <row r="1500" customHeight="1" spans="1:22">
      <c r="A1500" s="835"/>
      <c r="B1500" s="836"/>
      <c r="C1500" s="836"/>
      <c r="D1500" s="836"/>
      <c r="E1500" s="836"/>
      <c r="F1500" s="836"/>
      <c r="G1500" s="836"/>
      <c r="H1500" s="836"/>
      <c r="I1500" s="835"/>
      <c r="J1500" s="836"/>
      <c r="K1500" s="835"/>
      <c r="L1500" s="836"/>
      <c r="M1500" s="837"/>
      <c r="N1500" s="836"/>
      <c r="O1500" s="837"/>
      <c r="P1500" s="836"/>
      <c r="Q1500" s="835"/>
      <c r="R1500" s="837"/>
      <c r="S1500" s="837"/>
      <c r="T1500" s="838"/>
      <c r="U1500" s="836"/>
      <c r="V1500" s="836"/>
    </row>
    <row r="1501" customHeight="1" spans="1:22">
      <c r="A1501" s="835"/>
      <c r="B1501" s="836"/>
      <c r="C1501" s="836"/>
      <c r="D1501" s="836"/>
      <c r="E1501" s="836"/>
      <c r="F1501" s="836"/>
      <c r="G1501" s="836"/>
      <c r="H1501" s="836"/>
      <c r="I1501" s="835"/>
      <c r="J1501" s="836"/>
      <c r="K1501" s="835"/>
      <c r="L1501" s="836"/>
      <c r="M1501" s="837"/>
      <c r="N1501" s="836"/>
      <c r="O1501" s="837"/>
      <c r="P1501" s="836"/>
      <c r="Q1501" s="835"/>
      <c r="R1501" s="837"/>
      <c r="S1501" s="837"/>
      <c r="T1501" s="838"/>
      <c r="U1501" s="836"/>
      <c r="V1501" s="836"/>
    </row>
    <row r="1502" customHeight="1" spans="1:22">
      <c r="A1502" s="835"/>
      <c r="B1502" s="836"/>
      <c r="C1502" s="836"/>
      <c r="D1502" s="836"/>
      <c r="E1502" s="836"/>
      <c r="F1502" s="836"/>
      <c r="G1502" s="836"/>
      <c r="H1502" s="836"/>
      <c r="I1502" s="835"/>
      <c r="J1502" s="836"/>
      <c r="K1502" s="835"/>
      <c r="L1502" s="836"/>
      <c r="M1502" s="837"/>
      <c r="N1502" s="836"/>
      <c r="O1502" s="837"/>
      <c r="P1502" s="836"/>
      <c r="Q1502" s="835"/>
      <c r="R1502" s="837"/>
      <c r="S1502" s="837"/>
      <c r="T1502" s="838"/>
      <c r="U1502" s="836"/>
      <c r="V1502" s="836"/>
    </row>
    <row r="1503" customHeight="1" spans="1:22">
      <c r="A1503" s="835"/>
      <c r="B1503" s="836"/>
      <c r="C1503" s="836"/>
      <c r="D1503" s="836"/>
      <c r="E1503" s="836"/>
      <c r="F1503" s="836"/>
      <c r="G1503" s="836"/>
      <c r="H1503" s="836"/>
      <c r="I1503" s="835"/>
      <c r="J1503" s="836"/>
      <c r="K1503" s="835"/>
      <c r="L1503" s="836"/>
      <c r="M1503" s="837"/>
      <c r="N1503" s="836"/>
      <c r="O1503" s="837"/>
      <c r="P1503" s="836"/>
      <c r="Q1503" s="835"/>
      <c r="R1503" s="837"/>
      <c r="S1503" s="837"/>
      <c r="T1503" s="838"/>
      <c r="U1503" s="836"/>
      <c r="V1503" s="836"/>
    </row>
    <row r="1504" customHeight="1" spans="1:22">
      <c r="A1504" s="835"/>
      <c r="B1504" s="836"/>
      <c r="C1504" s="836"/>
      <c r="D1504" s="836"/>
      <c r="E1504" s="836"/>
      <c r="F1504" s="836"/>
      <c r="G1504" s="836"/>
      <c r="H1504" s="836"/>
      <c r="I1504" s="835"/>
      <c r="J1504" s="836"/>
      <c r="K1504" s="835"/>
      <c r="L1504" s="836"/>
      <c r="M1504" s="837"/>
      <c r="N1504" s="836"/>
      <c r="O1504" s="837"/>
      <c r="P1504" s="836"/>
      <c r="Q1504" s="835"/>
      <c r="R1504" s="837"/>
      <c r="S1504" s="837"/>
      <c r="T1504" s="838"/>
      <c r="U1504" s="836"/>
      <c r="V1504" s="836"/>
    </row>
    <row r="1505" customHeight="1" spans="1:22">
      <c r="A1505" s="835"/>
      <c r="B1505" s="836"/>
      <c r="C1505" s="836"/>
      <c r="D1505" s="836"/>
      <c r="E1505" s="836"/>
      <c r="F1505" s="836"/>
      <c r="G1505" s="836"/>
      <c r="H1505" s="836"/>
      <c r="I1505" s="835"/>
      <c r="J1505" s="836"/>
      <c r="K1505" s="835"/>
      <c r="L1505" s="836"/>
      <c r="M1505" s="837"/>
      <c r="N1505" s="836"/>
      <c r="O1505" s="837"/>
      <c r="P1505" s="836"/>
      <c r="Q1505" s="835"/>
      <c r="R1505" s="837"/>
      <c r="S1505" s="837"/>
      <c r="T1505" s="838"/>
      <c r="U1505" s="836"/>
      <c r="V1505" s="836"/>
    </row>
    <row r="1506" customHeight="1" spans="1:22">
      <c r="A1506" s="835"/>
      <c r="B1506" s="836"/>
      <c r="C1506" s="836"/>
      <c r="D1506" s="836"/>
      <c r="E1506" s="836"/>
      <c r="F1506" s="836"/>
      <c r="G1506" s="836"/>
      <c r="H1506" s="836"/>
      <c r="I1506" s="835"/>
      <c r="J1506" s="836"/>
      <c r="K1506" s="835"/>
      <c r="L1506" s="836"/>
      <c r="M1506" s="837"/>
      <c r="N1506" s="836"/>
      <c r="O1506" s="837"/>
      <c r="P1506" s="836"/>
      <c r="Q1506" s="835"/>
      <c r="R1506" s="837"/>
      <c r="S1506" s="837"/>
      <c r="T1506" s="838"/>
      <c r="U1506" s="836"/>
      <c r="V1506" s="836"/>
    </row>
    <row r="1507" customHeight="1" spans="1:22">
      <c r="A1507" s="835"/>
      <c r="B1507" s="836"/>
      <c r="C1507" s="836"/>
      <c r="D1507" s="836"/>
      <c r="E1507" s="836"/>
      <c r="F1507" s="836"/>
      <c r="G1507" s="836"/>
      <c r="H1507" s="836"/>
      <c r="I1507" s="835"/>
      <c r="J1507" s="836"/>
      <c r="K1507" s="835"/>
      <c r="L1507" s="836"/>
      <c r="M1507" s="837"/>
      <c r="N1507" s="836"/>
      <c r="O1507" s="837"/>
      <c r="P1507" s="836"/>
      <c r="Q1507" s="835"/>
      <c r="R1507" s="837"/>
      <c r="S1507" s="837"/>
      <c r="T1507" s="838"/>
      <c r="U1507" s="836"/>
      <c r="V1507" s="836"/>
    </row>
    <row r="1508" customHeight="1" spans="1:22">
      <c r="A1508" s="835"/>
      <c r="B1508" s="836"/>
      <c r="C1508" s="836"/>
      <c r="D1508" s="836"/>
      <c r="E1508" s="836"/>
      <c r="F1508" s="836"/>
      <c r="G1508" s="836"/>
      <c r="H1508" s="836"/>
      <c r="I1508" s="835"/>
      <c r="J1508" s="836"/>
      <c r="K1508" s="835"/>
      <c r="L1508" s="836"/>
      <c r="M1508" s="837"/>
      <c r="N1508" s="836"/>
      <c r="O1508" s="837"/>
      <c r="P1508" s="836"/>
      <c r="Q1508" s="835"/>
      <c r="R1508" s="837"/>
      <c r="S1508" s="837"/>
      <c r="T1508" s="838"/>
      <c r="U1508" s="836"/>
      <c r="V1508" s="836"/>
    </row>
    <row r="1509" customHeight="1" spans="1:22">
      <c r="A1509" s="835"/>
      <c r="B1509" s="836"/>
      <c r="C1509" s="836"/>
      <c r="D1509" s="836"/>
      <c r="E1509" s="836"/>
      <c r="F1509" s="836"/>
      <c r="G1509" s="836"/>
      <c r="H1509" s="836"/>
      <c r="I1509" s="835"/>
      <c r="J1509" s="836"/>
      <c r="K1509" s="835"/>
      <c r="L1509" s="836"/>
      <c r="M1509" s="837"/>
      <c r="N1509" s="836"/>
      <c r="O1509" s="837"/>
      <c r="P1509" s="836"/>
      <c r="Q1509" s="835"/>
      <c r="R1509" s="837"/>
      <c r="S1509" s="837"/>
      <c r="T1509" s="838"/>
      <c r="U1509" s="836"/>
      <c r="V1509" s="836"/>
    </row>
    <row r="1510" customHeight="1" spans="1:22">
      <c r="A1510" s="835"/>
      <c r="B1510" s="836"/>
      <c r="C1510" s="836"/>
      <c r="D1510" s="836"/>
      <c r="E1510" s="836"/>
      <c r="F1510" s="836"/>
      <c r="G1510" s="836"/>
      <c r="H1510" s="836"/>
      <c r="I1510" s="835"/>
      <c r="J1510" s="836"/>
      <c r="K1510" s="835"/>
      <c r="L1510" s="836"/>
      <c r="M1510" s="837"/>
      <c r="N1510" s="836"/>
      <c r="O1510" s="837"/>
      <c r="P1510" s="836"/>
      <c r="Q1510" s="835"/>
      <c r="R1510" s="837"/>
      <c r="S1510" s="837"/>
      <c r="T1510" s="838"/>
      <c r="U1510" s="836"/>
      <c r="V1510" s="836"/>
    </row>
    <row r="1511" customHeight="1" spans="1:22">
      <c r="A1511" s="835"/>
      <c r="B1511" s="836"/>
      <c r="C1511" s="836"/>
      <c r="D1511" s="836"/>
      <c r="E1511" s="836"/>
      <c r="F1511" s="836"/>
      <c r="G1511" s="836"/>
      <c r="H1511" s="836"/>
      <c r="I1511" s="835"/>
      <c r="J1511" s="836"/>
      <c r="K1511" s="835"/>
      <c r="L1511" s="836"/>
      <c r="M1511" s="837"/>
      <c r="N1511" s="836"/>
      <c r="O1511" s="837"/>
      <c r="P1511" s="836"/>
      <c r="Q1511" s="835"/>
      <c r="R1511" s="837"/>
      <c r="S1511" s="837"/>
      <c r="T1511" s="838"/>
      <c r="U1511" s="836"/>
      <c r="V1511" s="836"/>
    </row>
    <row r="1512" customHeight="1" spans="1:22">
      <c r="A1512" s="835"/>
      <c r="B1512" s="836"/>
      <c r="C1512" s="836"/>
      <c r="D1512" s="836"/>
      <c r="E1512" s="836"/>
      <c r="F1512" s="836"/>
      <c r="G1512" s="836"/>
      <c r="H1512" s="836"/>
      <c r="I1512" s="835"/>
      <c r="J1512" s="836"/>
      <c r="K1512" s="835"/>
      <c r="L1512" s="836"/>
      <c r="M1512" s="837"/>
      <c r="N1512" s="836"/>
      <c r="O1512" s="837"/>
      <c r="P1512" s="836"/>
      <c r="Q1512" s="835"/>
      <c r="R1512" s="837"/>
      <c r="S1512" s="837"/>
      <c r="T1512" s="838"/>
      <c r="U1512" s="836"/>
      <c r="V1512" s="836"/>
    </row>
    <row r="1513" customHeight="1" spans="1:22">
      <c r="A1513" s="835"/>
      <c r="B1513" s="836"/>
      <c r="C1513" s="836"/>
      <c r="D1513" s="836"/>
      <c r="E1513" s="836"/>
      <c r="F1513" s="836"/>
      <c r="G1513" s="836"/>
      <c r="H1513" s="836"/>
      <c r="I1513" s="835"/>
      <c r="J1513" s="836"/>
      <c r="K1513" s="835"/>
      <c r="L1513" s="836"/>
      <c r="M1513" s="837"/>
      <c r="N1513" s="836"/>
      <c r="O1513" s="837"/>
      <c r="P1513" s="836"/>
      <c r="Q1513" s="835"/>
      <c r="R1513" s="837"/>
      <c r="S1513" s="837"/>
      <c r="T1513" s="838"/>
      <c r="U1513" s="836"/>
      <c r="V1513" s="836"/>
    </row>
    <row r="1514" customHeight="1" spans="1:22">
      <c r="A1514" s="835"/>
      <c r="B1514" s="836"/>
      <c r="C1514" s="836"/>
      <c r="D1514" s="836"/>
      <c r="E1514" s="836"/>
      <c r="F1514" s="836"/>
      <c r="G1514" s="836"/>
      <c r="H1514" s="836"/>
      <c r="I1514" s="835"/>
      <c r="J1514" s="836"/>
      <c r="K1514" s="835"/>
      <c r="L1514" s="836"/>
      <c r="M1514" s="837"/>
      <c r="N1514" s="836"/>
      <c r="O1514" s="837"/>
      <c r="P1514" s="836"/>
      <c r="Q1514" s="835"/>
      <c r="R1514" s="837"/>
      <c r="S1514" s="837"/>
      <c r="T1514" s="838"/>
      <c r="U1514" s="836"/>
      <c r="V1514" s="836"/>
    </row>
    <row r="1515" customHeight="1" spans="1:22">
      <c r="A1515" s="835"/>
      <c r="B1515" s="836"/>
      <c r="C1515" s="836"/>
      <c r="D1515" s="836"/>
      <c r="E1515" s="836"/>
      <c r="F1515" s="836"/>
      <c r="G1515" s="836"/>
      <c r="H1515" s="836"/>
      <c r="I1515" s="835"/>
      <c r="J1515" s="836"/>
      <c r="K1515" s="835"/>
      <c r="L1515" s="836"/>
      <c r="M1515" s="837"/>
      <c r="N1515" s="836"/>
      <c r="O1515" s="837"/>
      <c r="P1515" s="836"/>
      <c r="Q1515" s="835"/>
      <c r="R1515" s="837"/>
      <c r="S1515" s="837"/>
      <c r="T1515" s="838"/>
      <c r="U1515" s="836"/>
      <c r="V1515" s="836"/>
    </row>
    <row r="1516" customHeight="1" spans="1:22">
      <c r="A1516" s="835"/>
      <c r="B1516" s="836"/>
      <c r="C1516" s="836"/>
      <c r="D1516" s="836"/>
      <c r="E1516" s="836"/>
      <c r="F1516" s="836"/>
      <c r="G1516" s="836"/>
      <c r="H1516" s="836"/>
      <c r="I1516" s="835"/>
      <c r="J1516" s="836"/>
      <c r="K1516" s="835"/>
      <c r="L1516" s="836"/>
      <c r="M1516" s="837"/>
      <c r="N1516" s="836"/>
      <c r="O1516" s="837"/>
      <c r="P1516" s="836"/>
      <c r="Q1516" s="835"/>
      <c r="R1516" s="837"/>
      <c r="S1516" s="837"/>
      <c r="T1516" s="838"/>
      <c r="U1516" s="836"/>
      <c r="V1516" s="836"/>
    </row>
    <row r="1517" customHeight="1" spans="1:22">
      <c r="A1517" s="835"/>
      <c r="B1517" s="836"/>
      <c r="C1517" s="836"/>
      <c r="D1517" s="836"/>
      <c r="E1517" s="836"/>
      <c r="F1517" s="836"/>
      <c r="G1517" s="836"/>
      <c r="H1517" s="836"/>
      <c r="I1517" s="835"/>
      <c r="J1517" s="836"/>
      <c r="K1517" s="835"/>
      <c r="L1517" s="836"/>
      <c r="M1517" s="837"/>
      <c r="N1517" s="836"/>
      <c r="O1517" s="837"/>
      <c r="P1517" s="836"/>
      <c r="Q1517" s="835"/>
      <c r="R1517" s="837"/>
      <c r="S1517" s="837"/>
      <c r="T1517" s="838"/>
      <c r="U1517" s="836"/>
      <c r="V1517" s="836"/>
    </row>
    <row r="1518" customHeight="1" spans="1:22">
      <c r="A1518" s="835"/>
      <c r="B1518" s="836"/>
      <c r="C1518" s="836"/>
      <c r="D1518" s="836"/>
      <c r="E1518" s="836"/>
      <c r="F1518" s="836"/>
      <c r="G1518" s="836"/>
      <c r="H1518" s="836"/>
      <c r="I1518" s="835"/>
      <c r="J1518" s="836"/>
      <c r="K1518" s="835"/>
      <c r="L1518" s="836"/>
      <c r="M1518" s="837"/>
      <c r="N1518" s="836"/>
      <c r="O1518" s="837"/>
      <c r="P1518" s="836"/>
      <c r="Q1518" s="835"/>
      <c r="R1518" s="837"/>
      <c r="S1518" s="837"/>
      <c r="T1518" s="838"/>
      <c r="U1518" s="836"/>
      <c r="V1518" s="836"/>
    </row>
    <row r="1519" customHeight="1" spans="1:22">
      <c r="A1519" s="835"/>
      <c r="B1519" s="836"/>
      <c r="C1519" s="836"/>
      <c r="D1519" s="836"/>
      <c r="E1519" s="836"/>
      <c r="F1519" s="836"/>
      <c r="G1519" s="836"/>
      <c r="H1519" s="836"/>
      <c r="I1519" s="835"/>
      <c r="J1519" s="836"/>
      <c r="K1519" s="835"/>
      <c r="L1519" s="836"/>
      <c r="M1519" s="837"/>
      <c r="N1519" s="836"/>
      <c r="O1519" s="837"/>
      <c r="P1519" s="836"/>
      <c r="Q1519" s="835"/>
      <c r="R1519" s="837"/>
      <c r="S1519" s="837"/>
      <c r="T1519" s="838"/>
      <c r="U1519" s="836"/>
      <c r="V1519" s="836"/>
    </row>
    <row r="1520" customHeight="1" spans="1:22">
      <c r="A1520" s="835"/>
      <c r="B1520" s="836"/>
      <c r="C1520" s="836"/>
      <c r="D1520" s="836"/>
      <c r="E1520" s="836"/>
      <c r="F1520" s="836"/>
      <c r="G1520" s="836"/>
      <c r="H1520" s="836"/>
      <c r="I1520" s="835"/>
      <c r="J1520" s="836"/>
      <c r="K1520" s="835"/>
      <c r="L1520" s="836"/>
      <c r="M1520" s="837"/>
      <c r="N1520" s="836"/>
      <c r="O1520" s="837"/>
      <c r="P1520" s="836"/>
      <c r="Q1520" s="835"/>
      <c r="R1520" s="837"/>
      <c r="S1520" s="837"/>
      <c r="T1520" s="838"/>
      <c r="U1520" s="836"/>
      <c r="V1520" s="836"/>
    </row>
    <row r="1521" customHeight="1" spans="1:22">
      <c r="A1521" s="835"/>
      <c r="B1521" s="836"/>
      <c r="C1521" s="836"/>
      <c r="D1521" s="836"/>
      <c r="E1521" s="836"/>
      <c r="F1521" s="836"/>
      <c r="G1521" s="836"/>
      <c r="H1521" s="836"/>
      <c r="I1521" s="835"/>
      <c r="J1521" s="836"/>
      <c r="K1521" s="835"/>
      <c r="L1521" s="836"/>
      <c r="M1521" s="837"/>
      <c r="N1521" s="836"/>
      <c r="O1521" s="837"/>
      <c r="P1521" s="836"/>
      <c r="Q1521" s="835"/>
      <c r="R1521" s="837"/>
      <c r="S1521" s="837"/>
      <c r="T1521" s="838"/>
      <c r="U1521" s="836"/>
      <c r="V1521" s="836"/>
    </row>
    <row r="1522" customHeight="1" spans="1:22">
      <c r="A1522" s="835"/>
      <c r="B1522" s="836"/>
      <c r="C1522" s="836"/>
      <c r="D1522" s="836"/>
      <c r="E1522" s="836"/>
      <c r="F1522" s="836"/>
      <c r="G1522" s="836"/>
      <c r="H1522" s="836"/>
      <c r="I1522" s="835"/>
      <c r="J1522" s="836"/>
      <c r="K1522" s="835"/>
      <c r="L1522" s="836"/>
      <c r="M1522" s="837"/>
      <c r="N1522" s="836"/>
      <c r="O1522" s="837"/>
      <c r="P1522" s="836"/>
      <c r="Q1522" s="835"/>
      <c r="R1522" s="837"/>
      <c r="S1522" s="837"/>
      <c r="T1522" s="838"/>
      <c r="U1522" s="836"/>
      <c r="V1522" s="836"/>
    </row>
    <row r="1523" customHeight="1" spans="1:22">
      <c r="A1523" s="835"/>
      <c r="B1523" s="836"/>
      <c r="C1523" s="836"/>
      <c r="D1523" s="836"/>
      <c r="E1523" s="836"/>
      <c r="F1523" s="836"/>
      <c r="G1523" s="836"/>
      <c r="H1523" s="836"/>
      <c r="I1523" s="835"/>
      <c r="J1523" s="836"/>
      <c r="K1523" s="835"/>
      <c r="L1523" s="836"/>
      <c r="M1523" s="837"/>
      <c r="N1523" s="836"/>
      <c r="O1523" s="837"/>
      <c r="P1523" s="836"/>
      <c r="Q1523" s="835"/>
      <c r="R1523" s="837"/>
      <c r="S1523" s="837"/>
      <c r="T1523" s="838"/>
      <c r="U1523" s="836"/>
      <c r="V1523" s="836"/>
    </row>
    <row r="1524" customHeight="1" spans="1:22">
      <c r="A1524" s="835"/>
      <c r="B1524" s="836"/>
      <c r="C1524" s="836"/>
      <c r="D1524" s="836"/>
      <c r="E1524" s="836"/>
      <c r="F1524" s="836"/>
      <c r="G1524" s="836"/>
      <c r="H1524" s="836"/>
      <c r="I1524" s="835"/>
      <c r="J1524" s="836"/>
      <c r="K1524" s="835"/>
      <c r="L1524" s="836"/>
      <c r="M1524" s="837"/>
      <c r="N1524" s="836"/>
      <c r="O1524" s="837"/>
      <c r="P1524" s="836"/>
      <c r="Q1524" s="835"/>
      <c r="R1524" s="837"/>
      <c r="S1524" s="837"/>
      <c r="T1524" s="838"/>
      <c r="U1524" s="836"/>
      <c r="V1524" s="836"/>
    </row>
    <row r="1525" customHeight="1" spans="1:22">
      <c r="A1525" s="835"/>
      <c r="B1525" s="836"/>
      <c r="C1525" s="836"/>
      <c r="D1525" s="836"/>
      <c r="E1525" s="836"/>
      <c r="F1525" s="836"/>
      <c r="G1525" s="836"/>
      <c r="H1525" s="836"/>
      <c r="I1525" s="835"/>
      <c r="J1525" s="836"/>
      <c r="K1525" s="835"/>
      <c r="L1525" s="836"/>
      <c r="M1525" s="837"/>
      <c r="N1525" s="836"/>
      <c r="O1525" s="837"/>
      <c r="P1525" s="836"/>
      <c r="Q1525" s="835"/>
      <c r="R1525" s="837"/>
      <c r="S1525" s="837"/>
      <c r="T1525" s="838"/>
      <c r="U1525" s="836"/>
      <c r="V1525" s="836"/>
    </row>
    <row r="1526" customHeight="1" spans="1:22">
      <c r="A1526" s="835"/>
      <c r="B1526" s="836"/>
      <c r="C1526" s="836"/>
      <c r="D1526" s="836"/>
      <c r="E1526" s="836"/>
      <c r="F1526" s="836"/>
      <c r="G1526" s="836"/>
      <c r="H1526" s="836"/>
      <c r="I1526" s="835"/>
      <c r="J1526" s="836"/>
      <c r="K1526" s="835"/>
      <c r="L1526" s="836"/>
      <c r="M1526" s="837"/>
      <c r="N1526" s="836"/>
      <c r="O1526" s="837"/>
      <c r="P1526" s="836"/>
      <c r="Q1526" s="835"/>
      <c r="R1526" s="837"/>
      <c r="S1526" s="837"/>
      <c r="T1526" s="838"/>
      <c r="U1526" s="836"/>
      <c r="V1526" s="836"/>
    </row>
    <row r="1527" customHeight="1" spans="1:22">
      <c r="A1527" s="835"/>
      <c r="B1527" s="836"/>
      <c r="C1527" s="836"/>
      <c r="D1527" s="836"/>
      <c r="E1527" s="836"/>
      <c r="F1527" s="836"/>
      <c r="G1527" s="836"/>
      <c r="H1527" s="836"/>
      <c r="I1527" s="835"/>
      <c r="J1527" s="836"/>
      <c r="K1527" s="835"/>
      <c r="L1527" s="836"/>
      <c r="M1527" s="837"/>
      <c r="N1527" s="836"/>
      <c r="O1527" s="837"/>
      <c r="P1527" s="836"/>
      <c r="Q1527" s="835"/>
      <c r="R1527" s="837"/>
      <c r="S1527" s="837"/>
      <c r="T1527" s="838"/>
      <c r="U1527" s="836"/>
      <c r="V1527" s="836"/>
    </row>
    <row r="1528" customHeight="1" spans="1:22">
      <c r="A1528" s="835"/>
      <c r="B1528" s="836"/>
      <c r="C1528" s="836"/>
      <c r="D1528" s="836"/>
      <c r="E1528" s="836"/>
      <c r="F1528" s="836"/>
      <c r="G1528" s="836"/>
      <c r="H1528" s="836"/>
      <c r="I1528" s="835"/>
      <c r="J1528" s="836"/>
      <c r="K1528" s="835"/>
      <c r="L1528" s="836"/>
      <c r="M1528" s="837"/>
      <c r="N1528" s="836"/>
      <c r="O1528" s="837"/>
      <c r="P1528" s="836"/>
      <c r="Q1528" s="835"/>
      <c r="R1528" s="837"/>
      <c r="S1528" s="837"/>
      <c r="T1528" s="838"/>
      <c r="U1528" s="836"/>
      <c r="V1528" s="836"/>
    </row>
    <row r="1529" customHeight="1" spans="1:22">
      <c r="A1529" s="835"/>
      <c r="B1529" s="836"/>
      <c r="C1529" s="836"/>
      <c r="D1529" s="836"/>
      <c r="E1529" s="836"/>
      <c r="F1529" s="836"/>
      <c r="G1529" s="836"/>
      <c r="H1529" s="836"/>
      <c r="I1529" s="835"/>
      <c r="J1529" s="836"/>
      <c r="K1529" s="835"/>
      <c r="L1529" s="836"/>
      <c r="M1529" s="837"/>
      <c r="N1529" s="836"/>
      <c r="O1529" s="837"/>
      <c r="P1529" s="836"/>
      <c r="Q1529" s="835"/>
      <c r="R1529" s="837"/>
      <c r="S1529" s="837"/>
      <c r="T1529" s="838"/>
      <c r="U1529" s="836"/>
      <c r="V1529" s="836"/>
    </row>
    <row r="1530" customHeight="1" spans="1:22">
      <c r="A1530" s="835"/>
      <c r="B1530" s="836"/>
      <c r="C1530" s="836"/>
      <c r="D1530" s="836"/>
      <c r="E1530" s="836"/>
      <c r="F1530" s="836"/>
      <c r="G1530" s="836"/>
      <c r="H1530" s="836"/>
      <c r="I1530" s="835"/>
      <c r="J1530" s="836"/>
      <c r="K1530" s="835"/>
      <c r="L1530" s="836"/>
      <c r="M1530" s="837"/>
      <c r="N1530" s="836"/>
      <c r="O1530" s="837"/>
      <c r="P1530" s="836"/>
      <c r="Q1530" s="835"/>
      <c r="R1530" s="837"/>
      <c r="S1530" s="837"/>
      <c r="T1530" s="838"/>
      <c r="U1530" s="836"/>
      <c r="V1530" s="836"/>
    </row>
    <row r="1531" customHeight="1" spans="1:22">
      <c r="A1531" s="835"/>
      <c r="B1531" s="836"/>
      <c r="C1531" s="836"/>
      <c r="D1531" s="836"/>
      <c r="E1531" s="836"/>
      <c r="F1531" s="836"/>
      <c r="G1531" s="836"/>
      <c r="H1531" s="836"/>
      <c r="I1531" s="835"/>
      <c r="J1531" s="836"/>
      <c r="K1531" s="835"/>
      <c r="L1531" s="836"/>
      <c r="M1531" s="837"/>
      <c r="N1531" s="836"/>
      <c r="O1531" s="837"/>
      <c r="P1531" s="836"/>
      <c r="Q1531" s="835"/>
      <c r="R1531" s="837"/>
      <c r="S1531" s="837"/>
      <c r="T1531" s="838"/>
      <c r="U1531" s="836"/>
      <c r="V1531" s="836"/>
    </row>
    <row r="1532" customHeight="1" spans="1:22">
      <c r="A1532" s="835"/>
      <c r="B1532" s="836"/>
      <c r="C1532" s="836"/>
      <c r="D1532" s="836"/>
      <c r="E1532" s="836"/>
      <c r="F1532" s="836"/>
      <c r="G1532" s="836"/>
      <c r="H1532" s="836"/>
      <c r="I1532" s="835"/>
      <c r="J1532" s="836"/>
      <c r="K1532" s="835"/>
      <c r="L1532" s="836"/>
      <c r="M1532" s="837"/>
      <c r="N1532" s="836"/>
      <c r="O1532" s="837"/>
      <c r="P1532" s="836"/>
      <c r="Q1532" s="835"/>
      <c r="R1532" s="837"/>
      <c r="S1532" s="837"/>
      <c r="T1532" s="838"/>
      <c r="U1532" s="836"/>
      <c r="V1532" s="836"/>
    </row>
    <row r="1533" customHeight="1" spans="1:22">
      <c r="A1533" s="835"/>
      <c r="B1533" s="836"/>
      <c r="C1533" s="836"/>
      <c r="D1533" s="836"/>
      <c r="E1533" s="836"/>
      <c r="F1533" s="836"/>
      <c r="G1533" s="836"/>
      <c r="H1533" s="836"/>
      <c r="I1533" s="835"/>
      <c r="J1533" s="836"/>
      <c r="K1533" s="835"/>
      <c r="L1533" s="836"/>
      <c r="M1533" s="837"/>
      <c r="N1533" s="836"/>
      <c r="O1533" s="837"/>
      <c r="P1533" s="836"/>
      <c r="Q1533" s="835"/>
      <c r="R1533" s="837"/>
      <c r="S1533" s="837"/>
      <c r="T1533" s="838"/>
      <c r="U1533" s="836"/>
      <c r="V1533" s="836"/>
    </row>
    <row r="1534" customHeight="1" spans="1:22">
      <c r="A1534" s="835"/>
      <c r="B1534" s="836"/>
      <c r="C1534" s="836"/>
      <c r="D1534" s="836"/>
      <c r="E1534" s="836"/>
      <c r="F1534" s="836"/>
      <c r="G1534" s="836"/>
      <c r="H1534" s="836"/>
      <c r="I1534" s="835"/>
      <c r="J1534" s="836"/>
      <c r="K1534" s="835"/>
      <c r="L1534" s="836"/>
      <c r="M1534" s="837"/>
      <c r="N1534" s="836"/>
      <c r="O1534" s="837"/>
      <c r="P1534" s="836"/>
      <c r="Q1534" s="835"/>
      <c r="R1534" s="837"/>
      <c r="S1534" s="837"/>
      <c r="T1534" s="838"/>
      <c r="U1534" s="836"/>
      <c r="V1534" s="836"/>
    </row>
    <row r="1535" customHeight="1" spans="1:22">
      <c r="A1535" s="835"/>
      <c r="B1535" s="836"/>
      <c r="C1535" s="836"/>
      <c r="D1535" s="836"/>
      <c r="E1535" s="836"/>
      <c r="F1535" s="836"/>
      <c r="G1535" s="836"/>
      <c r="H1535" s="836"/>
      <c r="I1535" s="835"/>
      <c r="J1535" s="836"/>
      <c r="K1535" s="835"/>
      <c r="L1535" s="836"/>
      <c r="M1535" s="837"/>
      <c r="N1535" s="836"/>
      <c r="O1535" s="837"/>
      <c r="P1535" s="836"/>
      <c r="Q1535" s="835"/>
      <c r="R1535" s="837"/>
      <c r="S1535" s="837"/>
      <c r="T1535" s="838"/>
      <c r="U1535" s="836"/>
      <c r="V1535" s="836"/>
    </row>
    <row r="1536" customHeight="1" spans="1:22">
      <c r="A1536" s="835"/>
      <c r="B1536" s="836"/>
      <c r="C1536" s="836"/>
      <c r="D1536" s="836"/>
      <c r="E1536" s="836"/>
      <c r="F1536" s="836"/>
      <c r="G1536" s="836"/>
      <c r="H1536" s="836"/>
      <c r="I1536" s="835"/>
      <c r="J1536" s="836"/>
      <c r="K1536" s="835"/>
      <c r="L1536" s="836"/>
      <c r="M1536" s="837"/>
      <c r="N1536" s="836"/>
      <c r="O1536" s="837"/>
      <c r="P1536" s="836"/>
      <c r="Q1536" s="835"/>
      <c r="R1536" s="837"/>
      <c r="S1536" s="837"/>
      <c r="T1536" s="838"/>
      <c r="U1536" s="836"/>
      <c r="V1536" s="836"/>
    </row>
    <row r="1537" customHeight="1" spans="1:22">
      <c r="A1537" s="835"/>
      <c r="B1537" s="836"/>
      <c r="C1537" s="836"/>
      <c r="D1537" s="836"/>
      <c r="E1537" s="836"/>
      <c r="F1537" s="836"/>
      <c r="G1537" s="836"/>
      <c r="H1537" s="836"/>
      <c r="I1537" s="835"/>
      <c r="J1537" s="836"/>
      <c r="K1537" s="835"/>
      <c r="L1537" s="836"/>
      <c r="M1537" s="837"/>
      <c r="N1537" s="836"/>
      <c r="O1537" s="837"/>
      <c r="P1537" s="836"/>
      <c r="Q1537" s="835"/>
      <c r="R1537" s="837"/>
      <c r="S1537" s="837"/>
      <c r="T1537" s="838"/>
      <c r="U1537" s="836"/>
      <c r="V1537" s="836"/>
    </row>
    <row r="1538" customHeight="1" spans="1:22">
      <c r="A1538" s="835"/>
      <c r="B1538" s="836"/>
      <c r="C1538" s="836"/>
      <c r="D1538" s="836"/>
      <c r="E1538" s="836"/>
      <c r="F1538" s="836"/>
      <c r="G1538" s="836"/>
      <c r="H1538" s="836"/>
      <c r="I1538" s="835"/>
      <c r="J1538" s="836"/>
      <c r="K1538" s="835"/>
      <c r="L1538" s="836"/>
      <c r="M1538" s="837"/>
      <c r="N1538" s="836"/>
      <c r="O1538" s="837"/>
      <c r="P1538" s="836"/>
      <c r="Q1538" s="835"/>
      <c r="R1538" s="837"/>
      <c r="S1538" s="837"/>
      <c r="T1538" s="838"/>
      <c r="U1538" s="836"/>
      <c r="V1538" s="836"/>
    </row>
    <row r="1539" customHeight="1" spans="1:22">
      <c r="A1539" s="835"/>
      <c r="B1539" s="836"/>
      <c r="C1539" s="836"/>
      <c r="D1539" s="836"/>
      <c r="E1539" s="836"/>
      <c r="F1539" s="836"/>
      <c r="G1539" s="836"/>
      <c r="H1539" s="836"/>
      <c r="I1539" s="835"/>
      <c r="J1539" s="836"/>
      <c r="K1539" s="835"/>
      <c r="L1539" s="836"/>
      <c r="M1539" s="837"/>
      <c r="N1539" s="836"/>
      <c r="O1539" s="837"/>
      <c r="P1539" s="836"/>
      <c r="Q1539" s="835"/>
      <c r="R1539" s="837"/>
      <c r="S1539" s="837"/>
      <c r="T1539" s="838"/>
      <c r="U1539" s="836"/>
      <c r="V1539" s="836"/>
    </row>
    <row r="1540" customHeight="1" spans="1:22">
      <c r="A1540" s="835"/>
      <c r="B1540" s="836"/>
      <c r="C1540" s="836"/>
      <c r="D1540" s="836"/>
      <c r="E1540" s="836"/>
      <c r="F1540" s="836"/>
      <c r="G1540" s="836"/>
      <c r="H1540" s="836"/>
      <c r="I1540" s="835"/>
      <c r="J1540" s="836"/>
      <c r="K1540" s="835"/>
      <c r="L1540" s="836"/>
      <c r="M1540" s="837"/>
      <c r="N1540" s="836"/>
      <c r="O1540" s="837"/>
      <c r="P1540" s="836"/>
      <c r="Q1540" s="835"/>
      <c r="R1540" s="837"/>
      <c r="S1540" s="837"/>
      <c r="T1540" s="838"/>
      <c r="U1540" s="836"/>
      <c r="V1540" s="836"/>
    </row>
    <row r="1541" customHeight="1" spans="1:22">
      <c r="A1541" s="835"/>
      <c r="B1541" s="836"/>
      <c r="C1541" s="836"/>
      <c r="D1541" s="836"/>
      <c r="E1541" s="836"/>
      <c r="F1541" s="836"/>
      <c r="G1541" s="836"/>
      <c r="H1541" s="836"/>
      <c r="I1541" s="835"/>
      <c r="J1541" s="836"/>
      <c r="K1541" s="835"/>
      <c r="L1541" s="836"/>
      <c r="M1541" s="837"/>
      <c r="N1541" s="836"/>
      <c r="O1541" s="837"/>
      <c r="P1541" s="836"/>
      <c r="Q1541" s="835"/>
      <c r="R1541" s="837"/>
      <c r="S1541" s="837"/>
      <c r="T1541" s="838"/>
      <c r="U1541" s="836"/>
      <c r="V1541" s="836"/>
    </row>
    <row r="1542" customHeight="1" spans="1:22">
      <c r="A1542" s="835"/>
      <c r="B1542" s="836"/>
      <c r="C1542" s="836"/>
      <c r="D1542" s="836"/>
      <c r="E1542" s="836"/>
      <c r="F1542" s="836"/>
      <c r="G1542" s="836"/>
      <c r="H1542" s="836"/>
      <c r="I1542" s="835"/>
      <c r="J1542" s="836"/>
      <c r="K1542" s="835"/>
      <c r="L1542" s="836"/>
      <c r="M1542" s="837"/>
      <c r="N1542" s="836"/>
      <c r="O1542" s="837"/>
      <c r="P1542" s="836"/>
      <c r="Q1542" s="835"/>
      <c r="R1542" s="837"/>
      <c r="S1542" s="837"/>
      <c r="T1542" s="838"/>
      <c r="U1542" s="836"/>
      <c r="V1542" s="836"/>
    </row>
    <row r="1543" customHeight="1" spans="1:22">
      <c r="A1543" s="835"/>
      <c r="B1543" s="836"/>
      <c r="C1543" s="836"/>
      <c r="D1543" s="836"/>
      <c r="E1543" s="836"/>
      <c r="F1543" s="836"/>
      <c r="G1543" s="836"/>
      <c r="H1543" s="836"/>
      <c r="I1543" s="835"/>
      <c r="J1543" s="836"/>
      <c r="K1543" s="835"/>
      <c r="L1543" s="836"/>
      <c r="M1543" s="837"/>
      <c r="N1543" s="836"/>
      <c r="O1543" s="837"/>
      <c r="P1543" s="836"/>
      <c r="Q1543" s="835"/>
      <c r="R1543" s="837"/>
      <c r="S1543" s="837"/>
      <c r="T1543" s="838"/>
      <c r="U1543" s="836"/>
      <c r="V1543" s="836"/>
    </row>
    <row r="1544" customHeight="1" spans="1:22">
      <c r="A1544" s="835"/>
      <c r="B1544" s="836"/>
      <c r="C1544" s="836"/>
      <c r="D1544" s="836"/>
      <c r="E1544" s="836"/>
      <c r="F1544" s="836"/>
      <c r="G1544" s="836"/>
      <c r="H1544" s="836"/>
      <c r="I1544" s="835"/>
      <c r="J1544" s="836"/>
      <c r="K1544" s="835"/>
      <c r="L1544" s="836"/>
      <c r="M1544" s="837"/>
      <c r="N1544" s="836"/>
      <c r="O1544" s="837"/>
      <c r="P1544" s="836"/>
      <c r="Q1544" s="835"/>
      <c r="R1544" s="837"/>
      <c r="S1544" s="837"/>
      <c r="T1544" s="838"/>
      <c r="U1544" s="836"/>
      <c r="V1544" s="836"/>
    </row>
    <row r="1545" customHeight="1" spans="1:22">
      <c r="A1545" s="835"/>
      <c r="B1545" s="836"/>
      <c r="C1545" s="836"/>
      <c r="D1545" s="836"/>
      <c r="E1545" s="836"/>
      <c r="F1545" s="836"/>
      <c r="G1545" s="836"/>
      <c r="H1545" s="836"/>
      <c r="I1545" s="835"/>
      <c r="J1545" s="836"/>
      <c r="K1545" s="835"/>
      <c r="L1545" s="836"/>
      <c r="M1545" s="837"/>
      <c r="N1545" s="836"/>
      <c r="O1545" s="837"/>
      <c r="P1545" s="836"/>
      <c r="Q1545" s="835"/>
      <c r="R1545" s="837"/>
      <c r="S1545" s="837"/>
      <c r="T1545" s="838"/>
      <c r="U1545" s="836"/>
      <c r="V1545" s="836"/>
    </row>
    <row r="1546" customHeight="1" spans="1:22">
      <c r="A1546" s="835"/>
      <c r="B1546" s="836"/>
      <c r="C1546" s="836"/>
      <c r="D1546" s="836"/>
      <c r="E1546" s="836"/>
      <c r="F1546" s="836"/>
      <c r="G1546" s="836"/>
      <c r="H1546" s="836"/>
      <c r="I1546" s="835"/>
      <c r="J1546" s="836"/>
      <c r="K1546" s="835"/>
      <c r="L1546" s="836"/>
      <c r="M1546" s="837"/>
      <c r="N1546" s="836"/>
      <c r="O1546" s="837"/>
      <c r="P1546" s="836"/>
      <c r="Q1546" s="835"/>
      <c r="R1546" s="837"/>
      <c r="S1546" s="837"/>
      <c r="T1546" s="838"/>
      <c r="U1546" s="836"/>
      <c r="V1546" s="836"/>
    </row>
    <row r="1547" customHeight="1" spans="1:22">
      <c r="A1547" s="835"/>
      <c r="B1547" s="836"/>
      <c r="C1547" s="836"/>
      <c r="D1547" s="836"/>
      <c r="E1547" s="836"/>
      <c r="F1547" s="836"/>
      <c r="G1547" s="836"/>
      <c r="H1547" s="836"/>
      <c r="I1547" s="835"/>
      <c r="J1547" s="836"/>
      <c r="K1547" s="835"/>
      <c r="L1547" s="836"/>
      <c r="M1547" s="837"/>
      <c r="N1547" s="836"/>
      <c r="O1547" s="837"/>
      <c r="P1547" s="836"/>
      <c r="Q1547" s="835"/>
      <c r="R1547" s="837"/>
      <c r="S1547" s="837"/>
      <c r="T1547" s="838"/>
      <c r="U1547" s="836"/>
      <c r="V1547" s="836"/>
    </row>
    <row r="1548" customHeight="1" spans="1:22">
      <c r="A1548" s="835"/>
      <c r="B1548" s="836"/>
      <c r="C1548" s="836"/>
      <c r="D1548" s="836"/>
      <c r="E1548" s="836"/>
      <c r="F1548" s="836"/>
      <c r="G1548" s="836"/>
      <c r="H1548" s="836"/>
      <c r="I1548" s="835"/>
      <c r="J1548" s="836"/>
      <c r="K1548" s="835"/>
      <c r="L1548" s="836"/>
      <c r="M1548" s="837"/>
      <c r="N1548" s="836"/>
      <c r="O1548" s="837"/>
      <c r="P1548" s="836"/>
      <c r="Q1548" s="835"/>
      <c r="R1548" s="837"/>
      <c r="S1548" s="837"/>
      <c r="T1548" s="838"/>
      <c r="U1548" s="836"/>
      <c r="V1548" s="836"/>
    </row>
    <row r="1549" customHeight="1" spans="1:22">
      <c r="A1549" s="835"/>
      <c r="B1549" s="836"/>
      <c r="C1549" s="836"/>
      <c r="D1549" s="836"/>
      <c r="E1549" s="836"/>
      <c r="F1549" s="836"/>
      <c r="G1549" s="836"/>
      <c r="H1549" s="836"/>
      <c r="I1549" s="835"/>
      <c r="J1549" s="836"/>
      <c r="K1549" s="835"/>
      <c r="L1549" s="836"/>
      <c r="M1549" s="837"/>
      <c r="N1549" s="836"/>
      <c r="O1549" s="837"/>
      <c r="P1549" s="836"/>
      <c r="Q1549" s="835"/>
      <c r="R1549" s="837"/>
      <c r="S1549" s="837"/>
      <c r="T1549" s="838"/>
      <c r="U1549" s="836"/>
      <c r="V1549" s="836"/>
    </row>
    <row r="1550" customHeight="1" spans="1:22">
      <c r="A1550" s="835"/>
      <c r="B1550" s="836"/>
      <c r="C1550" s="836"/>
      <c r="D1550" s="836"/>
      <c r="E1550" s="836"/>
      <c r="F1550" s="836"/>
      <c r="G1550" s="836"/>
      <c r="H1550" s="836"/>
      <c r="I1550" s="835"/>
      <c r="J1550" s="836"/>
      <c r="K1550" s="835"/>
      <c r="L1550" s="836"/>
      <c r="M1550" s="837"/>
      <c r="N1550" s="836"/>
      <c r="O1550" s="837"/>
      <c r="P1550" s="836"/>
      <c r="Q1550" s="835"/>
      <c r="R1550" s="837"/>
      <c r="S1550" s="837"/>
      <c r="T1550" s="838"/>
      <c r="U1550" s="836"/>
      <c r="V1550" s="836"/>
    </row>
    <row r="1551" customHeight="1" spans="1:22">
      <c r="A1551" s="835"/>
      <c r="B1551" s="836"/>
      <c r="C1551" s="836"/>
      <c r="D1551" s="836"/>
      <c r="E1551" s="836"/>
      <c r="F1551" s="836"/>
      <c r="G1551" s="836"/>
      <c r="H1551" s="836"/>
      <c r="I1551" s="835"/>
      <c r="J1551" s="836"/>
      <c r="K1551" s="835"/>
      <c r="L1551" s="836"/>
      <c r="M1551" s="837"/>
      <c r="N1551" s="836"/>
      <c r="O1551" s="837"/>
      <c r="P1551" s="836"/>
      <c r="Q1551" s="835"/>
      <c r="R1551" s="837"/>
      <c r="S1551" s="837"/>
      <c r="T1551" s="838"/>
      <c r="U1551" s="836"/>
      <c r="V1551" s="836"/>
    </row>
    <row r="1552" customHeight="1" spans="1:22">
      <c r="A1552" s="835"/>
      <c r="B1552" s="836"/>
      <c r="C1552" s="836"/>
      <c r="D1552" s="836"/>
      <c r="E1552" s="836"/>
      <c r="F1552" s="836"/>
      <c r="G1552" s="836"/>
      <c r="H1552" s="836"/>
      <c r="I1552" s="835"/>
      <c r="J1552" s="836"/>
      <c r="K1552" s="835"/>
      <c r="L1552" s="836"/>
      <c r="M1552" s="837"/>
      <c r="N1552" s="836"/>
      <c r="O1552" s="837"/>
      <c r="P1552" s="836"/>
      <c r="Q1552" s="835"/>
      <c r="R1552" s="837"/>
      <c r="S1552" s="837"/>
      <c r="T1552" s="838"/>
      <c r="U1552" s="836"/>
      <c r="V1552" s="836"/>
    </row>
    <row r="1553" customHeight="1" spans="1:22">
      <c r="A1553" s="835"/>
      <c r="B1553" s="836"/>
      <c r="C1553" s="836"/>
      <c r="D1553" s="836"/>
      <c r="E1553" s="836"/>
      <c r="F1553" s="836"/>
      <c r="G1553" s="836"/>
      <c r="H1553" s="836"/>
      <c r="I1553" s="835"/>
      <c r="J1553" s="836"/>
      <c r="K1553" s="835"/>
      <c r="L1553" s="836"/>
      <c r="M1553" s="837"/>
      <c r="N1553" s="836"/>
      <c r="O1553" s="837"/>
      <c r="P1553" s="836"/>
      <c r="Q1553" s="835"/>
      <c r="R1553" s="837"/>
      <c r="S1553" s="837"/>
      <c r="T1553" s="838"/>
      <c r="U1553" s="836"/>
      <c r="V1553" s="836"/>
    </row>
    <row r="1554" customHeight="1" spans="1:22">
      <c r="A1554" s="835"/>
      <c r="B1554" s="836"/>
      <c r="C1554" s="836"/>
      <c r="D1554" s="836"/>
      <c r="E1554" s="836"/>
      <c r="F1554" s="836"/>
      <c r="G1554" s="836"/>
      <c r="H1554" s="836"/>
      <c r="I1554" s="835"/>
      <c r="J1554" s="836"/>
      <c r="K1554" s="835"/>
      <c r="L1554" s="836"/>
      <c r="M1554" s="837"/>
      <c r="N1554" s="836"/>
      <c r="O1554" s="837"/>
      <c r="P1554" s="836"/>
      <c r="Q1554" s="835"/>
      <c r="R1554" s="837"/>
      <c r="S1554" s="837"/>
      <c r="T1554" s="838"/>
      <c r="U1554" s="836"/>
      <c r="V1554" s="836"/>
    </row>
    <row r="1555" customHeight="1" spans="1:22">
      <c r="A1555" s="835"/>
      <c r="B1555" s="836"/>
      <c r="C1555" s="836"/>
      <c r="D1555" s="836"/>
      <c r="E1555" s="836"/>
      <c r="F1555" s="836"/>
      <c r="G1555" s="836"/>
      <c r="H1555" s="836"/>
      <c r="I1555" s="835"/>
      <c r="J1555" s="836"/>
      <c r="K1555" s="835"/>
      <c r="L1555" s="836"/>
      <c r="M1555" s="837"/>
      <c r="N1555" s="836"/>
      <c r="O1555" s="837"/>
      <c r="P1555" s="836"/>
      <c r="Q1555" s="835"/>
      <c r="R1555" s="837"/>
      <c r="S1555" s="837"/>
      <c r="T1555" s="838"/>
      <c r="U1555" s="836"/>
      <c r="V1555" s="836"/>
    </row>
    <row r="1556" customHeight="1" spans="1:22">
      <c r="A1556" s="835"/>
      <c r="B1556" s="836"/>
      <c r="C1556" s="836"/>
      <c r="D1556" s="836"/>
      <c r="E1556" s="836"/>
      <c r="F1556" s="836"/>
      <c r="G1556" s="836"/>
      <c r="H1556" s="836"/>
      <c r="I1556" s="835"/>
      <c r="J1556" s="836"/>
      <c r="K1556" s="835"/>
      <c r="L1556" s="836"/>
      <c r="M1556" s="837"/>
      <c r="N1556" s="836"/>
      <c r="O1556" s="837"/>
      <c r="P1556" s="836"/>
      <c r="Q1556" s="835"/>
      <c r="R1556" s="837"/>
      <c r="S1556" s="837"/>
      <c r="T1556" s="838"/>
      <c r="U1556" s="836"/>
      <c r="V1556" s="836"/>
    </row>
    <row r="1557" customHeight="1" spans="1:22">
      <c r="A1557" s="835"/>
      <c r="B1557" s="836"/>
      <c r="C1557" s="836"/>
      <c r="D1557" s="836"/>
      <c r="E1557" s="836"/>
      <c r="F1557" s="836"/>
      <c r="G1557" s="836"/>
      <c r="H1557" s="836"/>
      <c r="I1557" s="835"/>
      <c r="J1557" s="836"/>
      <c r="K1557" s="835"/>
      <c r="L1557" s="836"/>
      <c r="M1557" s="837"/>
      <c r="N1557" s="836"/>
      <c r="O1557" s="837"/>
      <c r="P1557" s="836"/>
      <c r="Q1557" s="835"/>
      <c r="R1557" s="837"/>
      <c r="S1557" s="837"/>
      <c r="T1557" s="838"/>
      <c r="U1557" s="836"/>
      <c r="V1557" s="836"/>
    </row>
    <row r="1558" customHeight="1" spans="1:22">
      <c r="A1558" s="835"/>
      <c r="B1558" s="836"/>
      <c r="C1558" s="836"/>
      <c r="D1558" s="836"/>
      <c r="E1558" s="836"/>
      <c r="F1558" s="836"/>
      <c r="G1558" s="836"/>
      <c r="H1558" s="836"/>
      <c r="I1558" s="835"/>
      <c r="J1558" s="836"/>
      <c r="K1558" s="835"/>
      <c r="L1558" s="836"/>
      <c r="M1558" s="837"/>
      <c r="N1558" s="836"/>
      <c r="O1558" s="837"/>
      <c r="P1558" s="836"/>
      <c r="Q1558" s="835"/>
      <c r="R1558" s="837"/>
      <c r="S1558" s="837"/>
      <c r="T1558" s="838"/>
      <c r="U1558" s="836"/>
      <c r="V1558" s="836"/>
    </row>
    <row r="1559" customHeight="1" spans="1:22">
      <c r="A1559" s="835"/>
      <c r="B1559" s="836"/>
      <c r="C1559" s="836"/>
      <c r="D1559" s="836"/>
      <c r="E1559" s="836"/>
      <c r="F1559" s="836"/>
      <c r="G1559" s="836"/>
      <c r="H1559" s="836"/>
      <c r="I1559" s="835"/>
      <c r="J1559" s="836"/>
      <c r="K1559" s="835"/>
      <c r="L1559" s="836"/>
      <c r="M1559" s="837"/>
      <c r="N1559" s="836"/>
      <c r="O1559" s="837"/>
      <c r="P1559" s="836"/>
      <c r="Q1559" s="835"/>
      <c r="R1559" s="837"/>
      <c r="S1559" s="837"/>
      <c r="T1559" s="838"/>
      <c r="U1559" s="836"/>
      <c r="V1559" s="836"/>
    </row>
    <row r="1560" customHeight="1" spans="1:22">
      <c r="A1560" s="835"/>
      <c r="B1560" s="836"/>
      <c r="C1560" s="836"/>
      <c r="D1560" s="836"/>
      <c r="E1560" s="836"/>
      <c r="F1560" s="836"/>
      <c r="G1560" s="836"/>
      <c r="H1560" s="836"/>
      <c r="I1560" s="835"/>
      <c r="J1560" s="836"/>
      <c r="K1560" s="835"/>
      <c r="L1560" s="836"/>
      <c r="M1560" s="837"/>
      <c r="N1560" s="836"/>
      <c r="O1560" s="837"/>
      <c r="P1560" s="836"/>
      <c r="Q1560" s="835"/>
      <c r="R1560" s="837"/>
      <c r="S1560" s="837"/>
      <c r="T1560" s="838"/>
      <c r="U1560" s="836"/>
      <c r="V1560" s="836"/>
    </row>
    <row r="1561" customHeight="1" spans="1:22">
      <c r="A1561" s="835"/>
      <c r="B1561" s="836"/>
      <c r="C1561" s="836"/>
      <c r="D1561" s="836"/>
      <c r="E1561" s="836"/>
      <c r="F1561" s="836"/>
      <c r="G1561" s="836"/>
      <c r="H1561" s="836"/>
      <c r="I1561" s="835"/>
      <c r="J1561" s="836"/>
      <c r="K1561" s="835"/>
      <c r="L1561" s="836"/>
      <c r="M1561" s="837"/>
      <c r="N1561" s="836"/>
      <c r="O1561" s="837"/>
      <c r="P1561" s="836"/>
      <c r="Q1561" s="835"/>
      <c r="R1561" s="837"/>
      <c r="S1561" s="837"/>
      <c r="T1561" s="838"/>
      <c r="U1561" s="836"/>
      <c r="V1561" s="836"/>
    </row>
    <row r="1562" customHeight="1" spans="1:22">
      <c r="A1562" s="835"/>
      <c r="B1562" s="836"/>
      <c r="C1562" s="836"/>
      <c r="D1562" s="836"/>
      <c r="E1562" s="836"/>
      <c r="F1562" s="836"/>
      <c r="G1562" s="836"/>
      <c r="H1562" s="836"/>
      <c r="I1562" s="835"/>
      <c r="J1562" s="836"/>
      <c r="K1562" s="835"/>
      <c r="L1562" s="836"/>
      <c r="M1562" s="837"/>
      <c r="N1562" s="836"/>
      <c r="O1562" s="837"/>
      <c r="P1562" s="836"/>
      <c r="Q1562" s="835"/>
      <c r="R1562" s="837"/>
      <c r="S1562" s="837"/>
      <c r="T1562" s="838"/>
      <c r="U1562" s="836"/>
      <c r="V1562" s="836"/>
    </row>
    <row r="1563" customHeight="1" spans="1:22">
      <c r="A1563" s="835"/>
      <c r="B1563" s="836"/>
      <c r="C1563" s="836"/>
      <c r="D1563" s="836"/>
      <c r="E1563" s="836"/>
      <c r="F1563" s="836"/>
      <c r="G1563" s="836"/>
      <c r="H1563" s="836"/>
      <c r="I1563" s="835"/>
      <c r="J1563" s="836"/>
      <c r="K1563" s="835"/>
      <c r="L1563" s="836"/>
      <c r="M1563" s="837"/>
      <c r="N1563" s="836"/>
      <c r="O1563" s="837"/>
      <c r="P1563" s="836"/>
      <c r="Q1563" s="835"/>
      <c r="R1563" s="837"/>
      <c r="S1563" s="837"/>
      <c r="T1563" s="838"/>
      <c r="U1563" s="836"/>
      <c r="V1563" s="836"/>
    </row>
    <row r="1564" customHeight="1" spans="1:22">
      <c r="A1564" s="835"/>
      <c r="B1564" s="836"/>
      <c r="C1564" s="836"/>
      <c r="D1564" s="836"/>
      <c r="E1564" s="836"/>
      <c r="F1564" s="836"/>
      <c r="G1564" s="836"/>
      <c r="H1564" s="836"/>
      <c r="I1564" s="835"/>
      <c r="J1564" s="836"/>
      <c r="K1564" s="835"/>
      <c r="L1564" s="836"/>
      <c r="M1564" s="837"/>
      <c r="N1564" s="836"/>
      <c r="O1564" s="837"/>
      <c r="P1564" s="836"/>
      <c r="Q1564" s="835"/>
      <c r="R1564" s="837"/>
      <c r="S1564" s="837"/>
      <c r="T1564" s="838"/>
      <c r="U1564" s="836"/>
      <c r="V1564" s="836"/>
    </row>
    <row r="1565" customHeight="1" spans="1:22">
      <c r="A1565" s="835"/>
      <c r="B1565" s="836"/>
      <c r="C1565" s="836"/>
      <c r="D1565" s="836"/>
      <c r="E1565" s="836"/>
      <c r="F1565" s="836"/>
      <c r="G1565" s="836"/>
      <c r="H1565" s="836"/>
      <c r="I1565" s="835"/>
      <c r="J1565" s="836"/>
      <c r="K1565" s="835"/>
      <c r="L1565" s="836"/>
      <c r="M1565" s="837"/>
      <c r="N1565" s="836"/>
      <c r="O1565" s="837"/>
      <c r="P1565" s="836"/>
      <c r="Q1565" s="835"/>
      <c r="R1565" s="837"/>
      <c r="S1565" s="837"/>
      <c r="T1565" s="838"/>
      <c r="U1565" s="836"/>
      <c r="V1565" s="836"/>
    </row>
    <row r="1566" customHeight="1" spans="1:22">
      <c r="A1566" s="835"/>
      <c r="B1566" s="836"/>
      <c r="C1566" s="836"/>
      <c r="D1566" s="836"/>
      <c r="E1566" s="836"/>
      <c r="F1566" s="836"/>
      <c r="G1566" s="836"/>
      <c r="H1566" s="836"/>
      <c r="I1566" s="835"/>
      <c r="J1566" s="836"/>
      <c r="K1566" s="835"/>
      <c r="L1566" s="836"/>
      <c r="M1566" s="837"/>
      <c r="N1566" s="836"/>
      <c r="O1566" s="837"/>
      <c r="P1566" s="836"/>
      <c r="Q1566" s="835"/>
      <c r="R1566" s="837"/>
      <c r="S1566" s="837"/>
      <c r="T1566" s="838"/>
      <c r="U1566" s="836"/>
      <c r="V1566" s="836"/>
    </row>
    <row r="1567" customHeight="1" spans="1:22">
      <c r="A1567" s="835"/>
      <c r="B1567" s="836"/>
      <c r="C1567" s="836"/>
      <c r="D1567" s="836"/>
      <c r="E1567" s="836"/>
      <c r="F1567" s="836"/>
      <c r="G1567" s="836"/>
      <c r="H1567" s="836"/>
      <c r="I1567" s="835"/>
      <c r="J1567" s="836"/>
      <c r="K1567" s="835"/>
      <c r="L1567" s="836"/>
      <c r="M1567" s="837"/>
      <c r="N1567" s="836"/>
      <c r="O1567" s="837"/>
      <c r="P1567" s="836"/>
      <c r="Q1567" s="835"/>
      <c r="R1567" s="837"/>
      <c r="S1567" s="837"/>
      <c r="T1567" s="838"/>
      <c r="U1567" s="836"/>
      <c r="V1567" s="836"/>
    </row>
    <row r="1568" customHeight="1" spans="1:22">
      <c r="A1568" s="835"/>
      <c r="B1568" s="836"/>
      <c r="C1568" s="836"/>
      <c r="D1568" s="836"/>
      <c r="E1568" s="836"/>
      <c r="F1568" s="836"/>
      <c r="G1568" s="836"/>
      <c r="H1568" s="836"/>
      <c r="I1568" s="835"/>
      <c r="J1568" s="836"/>
      <c r="K1568" s="835"/>
      <c r="L1568" s="836"/>
      <c r="M1568" s="837"/>
      <c r="N1568" s="836"/>
      <c r="O1568" s="837"/>
      <c r="P1568" s="836"/>
      <c r="Q1568" s="835"/>
      <c r="R1568" s="837"/>
      <c r="S1568" s="837"/>
      <c r="T1568" s="838"/>
      <c r="U1568" s="836"/>
      <c r="V1568" s="836"/>
    </row>
    <row r="1569" customHeight="1" spans="1:22">
      <c r="A1569" s="835"/>
      <c r="B1569" s="836"/>
      <c r="C1569" s="836"/>
      <c r="D1569" s="836"/>
      <c r="E1569" s="836"/>
      <c r="F1569" s="836"/>
      <c r="G1569" s="836"/>
      <c r="H1569" s="836"/>
      <c r="I1569" s="835"/>
      <c r="J1569" s="836"/>
      <c r="K1569" s="835"/>
      <c r="L1569" s="836"/>
      <c r="M1569" s="837"/>
      <c r="N1569" s="836"/>
      <c r="O1569" s="837"/>
      <c r="P1569" s="836"/>
      <c r="Q1569" s="835"/>
      <c r="R1569" s="837"/>
      <c r="S1569" s="837"/>
      <c r="T1569" s="838"/>
      <c r="U1569" s="836"/>
      <c r="V1569" s="836"/>
    </row>
    <row r="1570" customHeight="1" spans="1:22">
      <c r="A1570" s="835"/>
      <c r="B1570" s="836"/>
      <c r="C1570" s="836"/>
      <c r="D1570" s="836"/>
      <c r="E1570" s="836"/>
      <c r="F1570" s="836"/>
      <c r="G1570" s="836"/>
      <c r="H1570" s="836"/>
      <c r="I1570" s="835"/>
      <c r="J1570" s="836"/>
      <c r="K1570" s="835"/>
      <c r="L1570" s="836"/>
      <c r="M1570" s="837"/>
      <c r="N1570" s="836"/>
      <c r="O1570" s="837"/>
      <c r="P1570" s="836"/>
      <c r="Q1570" s="835"/>
      <c r="R1570" s="837"/>
      <c r="S1570" s="837"/>
      <c r="T1570" s="838"/>
      <c r="U1570" s="836"/>
      <c r="V1570" s="836"/>
    </row>
    <row r="1571" customHeight="1" spans="1:22">
      <c r="A1571" s="835"/>
      <c r="B1571" s="836"/>
      <c r="C1571" s="836"/>
      <c r="D1571" s="836"/>
      <c r="E1571" s="836"/>
      <c r="F1571" s="836"/>
      <c r="G1571" s="836"/>
      <c r="H1571" s="836"/>
      <c r="I1571" s="835"/>
      <c r="J1571" s="836"/>
      <c r="K1571" s="835"/>
      <c r="L1571" s="836"/>
      <c r="M1571" s="837"/>
      <c r="N1571" s="836"/>
      <c r="O1571" s="837"/>
      <c r="P1571" s="836"/>
      <c r="Q1571" s="835"/>
      <c r="R1571" s="837"/>
      <c r="S1571" s="837"/>
      <c r="T1571" s="838"/>
      <c r="U1571" s="836"/>
      <c r="V1571" s="836"/>
    </row>
    <row r="1572" customHeight="1" spans="1:22">
      <c r="A1572" s="835"/>
      <c r="B1572" s="836"/>
      <c r="C1572" s="836"/>
      <c r="D1572" s="836"/>
      <c r="E1572" s="836"/>
      <c r="F1572" s="836"/>
      <c r="G1572" s="836"/>
      <c r="H1572" s="836"/>
      <c r="I1572" s="835"/>
      <c r="J1572" s="836"/>
      <c r="K1572" s="835"/>
      <c r="L1572" s="836"/>
      <c r="M1572" s="837"/>
      <c r="N1572" s="836"/>
      <c r="O1572" s="837"/>
      <c r="P1572" s="836"/>
      <c r="Q1572" s="835"/>
      <c r="R1572" s="837"/>
      <c r="S1572" s="837"/>
      <c r="T1572" s="838"/>
      <c r="U1572" s="836"/>
      <c r="V1572" s="836"/>
    </row>
    <row r="1573" customHeight="1" spans="1:22">
      <c r="A1573" s="835"/>
      <c r="B1573" s="836"/>
      <c r="C1573" s="836"/>
      <c r="D1573" s="836"/>
      <c r="E1573" s="836"/>
      <c r="F1573" s="836"/>
      <c r="G1573" s="836"/>
      <c r="H1573" s="836"/>
      <c r="I1573" s="835"/>
      <c r="J1573" s="836"/>
      <c r="K1573" s="835"/>
      <c r="L1573" s="836"/>
      <c r="M1573" s="837"/>
      <c r="N1573" s="836"/>
      <c r="O1573" s="837"/>
      <c r="P1573" s="836"/>
      <c r="Q1573" s="835"/>
      <c r="R1573" s="837"/>
      <c r="S1573" s="837"/>
      <c r="T1573" s="838"/>
      <c r="U1573" s="836"/>
      <c r="V1573" s="836"/>
    </row>
    <row r="1574" customHeight="1" spans="1:22">
      <c r="A1574" s="835"/>
      <c r="B1574" s="836"/>
      <c r="C1574" s="836"/>
      <c r="D1574" s="836"/>
      <c r="E1574" s="836"/>
      <c r="F1574" s="836"/>
      <c r="G1574" s="836"/>
      <c r="H1574" s="836"/>
      <c r="I1574" s="835"/>
      <c r="J1574" s="836"/>
      <c r="K1574" s="835"/>
      <c r="L1574" s="836"/>
      <c r="M1574" s="837"/>
      <c r="N1574" s="836"/>
      <c r="O1574" s="837"/>
      <c r="P1574" s="836"/>
      <c r="Q1574" s="835"/>
      <c r="R1574" s="837"/>
      <c r="S1574" s="837"/>
      <c r="T1574" s="838"/>
      <c r="U1574" s="836"/>
      <c r="V1574" s="836"/>
    </row>
    <row r="1575" customHeight="1" spans="1:22">
      <c r="A1575" s="835"/>
      <c r="B1575" s="836"/>
      <c r="C1575" s="836"/>
      <c r="D1575" s="836"/>
      <c r="E1575" s="836"/>
      <c r="F1575" s="836"/>
      <c r="G1575" s="836"/>
      <c r="H1575" s="836"/>
      <c r="I1575" s="835"/>
      <c r="J1575" s="836"/>
      <c r="K1575" s="835"/>
      <c r="L1575" s="836"/>
      <c r="M1575" s="837"/>
      <c r="N1575" s="836"/>
      <c r="O1575" s="837"/>
      <c r="P1575" s="836"/>
      <c r="Q1575" s="835"/>
      <c r="R1575" s="837"/>
      <c r="S1575" s="837"/>
      <c r="T1575" s="838"/>
      <c r="U1575" s="836"/>
      <c r="V1575" s="836"/>
    </row>
    <row r="1576" customHeight="1" spans="1:22">
      <c r="A1576" s="835"/>
      <c r="B1576" s="836"/>
      <c r="C1576" s="836"/>
      <c r="D1576" s="836"/>
      <c r="E1576" s="836"/>
      <c r="F1576" s="836"/>
      <c r="G1576" s="836"/>
      <c r="H1576" s="836"/>
      <c r="I1576" s="835"/>
      <c r="J1576" s="836"/>
      <c r="K1576" s="835"/>
      <c r="L1576" s="836"/>
      <c r="M1576" s="837"/>
      <c r="N1576" s="836"/>
      <c r="O1576" s="837"/>
      <c r="P1576" s="836"/>
      <c r="Q1576" s="835"/>
      <c r="R1576" s="837"/>
      <c r="S1576" s="837"/>
      <c r="T1576" s="838"/>
      <c r="U1576" s="836"/>
      <c r="V1576" s="836"/>
    </row>
    <row r="1577" customHeight="1" spans="1:22">
      <c r="A1577" s="835"/>
      <c r="B1577" s="836"/>
      <c r="C1577" s="836"/>
      <c r="D1577" s="836"/>
      <c r="E1577" s="836"/>
      <c r="F1577" s="836"/>
      <c r="G1577" s="836"/>
      <c r="H1577" s="836"/>
      <c r="I1577" s="835"/>
      <c r="J1577" s="836"/>
      <c r="K1577" s="835"/>
      <c r="L1577" s="836"/>
      <c r="M1577" s="837"/>
      <c r="N1577" s="836"/>
      <c r="O1577" s="837"/>
      <c r="P1577" s="836"/>
      <c r="Q1577" s="835"/>
      <c r="R1577" s="837"/>
      <c r="S1577" s="837"/>
      <c r="T1577" s="838"/>
      <c r="U1577" s="836"/>
      <c r="V1577" s="836"/>
    </row>
    <row r="1578" customHeight="1" spans="1:22">
      <c r="A1578" s="835"/>
      <c r="B1578" s="836"/>
      <c r="C1578" s="836"/>
      <c r="D1578" s="836"/>
      <c r="E1578" s="836"/>
      <c r="F1578" s="836"/>
      <c r="G1578" s="836"/>
      <c r="H1578" s="836"/>
      <c r="I1578" s="835"/>
      <c r="J1578" s="836"/>
      <c r="K1578" s="835"/>
      <c r="L1578" s="836"/>
      <c r="M1578" s="837"/>
      <c r="N1578" s="836"/>
      <c r="O1578" s="837"/>
      <c r="P1578" s="836"/>
      <c r="Q1578" s="835"/>
      <c r="R1578" s="837"/>
      <c r="S1578" s="837"/>
      <c r="T1578" s="838"/>
      <c r="U1578" s="836"/>
      <c r="V1578" s="836"/>
    </row>
    <row r="1579" customHeight="1" spans="1:22">
      <c r="A1579" s="835"/>
      <c r="B1579" s="836"/>
      <c r="C1579" s="836"/>
      <c r="D1579" s="836"/>
      <c r="E1579" s="836"/>
      <c r="F1579" s="836"/>
      <c r="G1579" s="836"/>
      <c r="H1579" s="836"/>
      <c r="I1579" s="835"/>
      <c r="J1579" s="836"/>
      <c r="K1579" s="835"/>
      <c r="L1579" s="836"/>
      <c r="M1579" s="837"/>
      <c r="N1579" s="836"/>
      <c r="O1579" s="837"/>
      <c r="P1579" s="836"/>
      <c r="Q1579" s="835"/>
      <c r="R1579" s="837"/>
      <c r="S1579" s="837"/>
      <c r="T1579" s="838"/>
      <c r="U1579" s="836"/>
      <c r="V1579" s="836"/>
    </row>
    <row r="1580" customHeight="1" spans="1:22">
      <c r="A1580" s="835"/>
      <c r="B1580" s="836"/>
      <c r="C1580" s="836"/>
      <c r="D1580" s="836"/>
      <c r="E1580" s="836"/>
      <c r="F1580" s="836"/>
      <c r="G1580" s="836"/>
      <c r="H1580" s="836"/>
      <c r="I1580" s="835"/>
      <c r="J1580" s="836"/>
      <c r="K1580" s="835"/>
      <c r="L1580" s="836"/>
      <c r="M1580" s="837"/>
      <c r="N1580" s="836"/>
      <c r="O1580" s="837"/>
      <c r="P1580" s="836"/>
      <c r="Q1580" s="835"/>
      <c r="R1580" s="837"/>
      <c r="S1580" s="837"/>
      <c r="T1580" s="838"/>
      <c r="U1580" s="836"/>
      <c r="V1580" s="836"/>
    </row>
    <row r="1581" customHeight="1" spans="1:22">
      <c r="A1581" s="835"/>
      <c r="B1581" s="836"/>
      <c r="C1581" s="836"/>
      <c r="D1581" s="836"/>
      <c r="E1581" s="836"/>
      <c r="F1581" s="836"/>
      <c r="G1581" s="836"/>
      <c r="H1581" s="836"/>
      <c r="I1581" s="835"/>
      <c r="J1581" s="836"/>
      <c r="K1581" s="835"/>
      <c r="L1581" s="836"/>
      <c r="M1581" s="837"/>
      <c r="N1581" s="836"/>
      <c r="O1581" s="837"/>
      <c r="P1581" s="836"/>
      <c r="Q1581" s="835"/>
      <c r="R1581" s="837"/>
      <c r="S1581" s="837"/>
      <c r="T1581" s="838"/>
      <c r="U1581" s="836"/>
      <c r="V1581" s="836"/>
    </row>
    <row r="1582" customHeight="1" spans="1:22">
      <c r="A1582" s="835"/>
      <c r="B1582" s="836"/>
      <c r="C1582" s="836"/>
      <c r="D1582" s="836"/>
      <c r="E1582" s="836"/>
      <c r="F1582" s="836"/>
      <c r="G1582" s="836"/>
      <c r="H1582" s="836"/>
      <c r="I1582" s="835"/>
      <c r="J1582" s="836"/>
      <c r="K1582" s="835"/>
      <c r="L1582" s="836"/>
      <c r="M1582" s="837"/>
      <c r="N1582" s="836"/>
      <c r="O1582" s="837"/>
      <c r="P1582" s="836"/>
      <c r="Q1582" s="835"/>
      <c r="R1582" s="837"/>
      <c r="S1582" s="837"/>
      <c r="T1582" s="838"/>
      <c r="U1582" s="836"/>
      <c r="V1582" s="836"/>
    </row>
    <row r="1583" customHeight="1" spans="1:22">
      <c r="A1583" s="835"/>
      <c r="B1583" s="836"/>
      <c r="C1583" s="836"/>
      <c r="D1583" s="836"/>
      <c r="E1583" s="836"/>
      <c r="F1583" s="836"/>
      <c r="G1583" s="836"/>
      <c r="H1583" s="836"/>
      <c r="I1583" s="835"/>
      <c r="J1583" s="836"/>
      <c r="K1583" s="835"/>
      <c r="L1583" s="836"/>
      <c r="M1583" s="837"/>
      <c r="N1583" s="836"/>
      <c r="O1583" s="837"/>
      <c r="P1583" s="836"/>
      <c r="Q1583" s="835"/>
      <c r="R1583" s="837"/>
      <c r="S1583" s="837"/>
      <c r="T1583" s="838"/>
      <c r="U1583" s="836"/>
      <c r="V1583" s="836"/>
    </row>
    <row r="1584" customHeight="1" spans="1:22">
      <c r="A1584" s="835"/>
      <c r="B1584" s="836"/>
      <c r="C1584" s="836"/>
      <c r="D1584" s="836"/>
      <c r="E1584" s="836"/>
      <c r="F1584" s="836"/>
      <c r="G1584" s="836"/>
      <c r="H1584" s="836"/>
      <c r="I1584" s="835"/>
      <c r="J1584" s="836"/>
      <c r="K1584" s="835"/>
      <c r="L1584" s="836"/>
      <c r="M1584" s="837"/>
      <c r="N1584" s="836"/>
      <c r="O1584" s="837"/>
      <c r="P1584" s="836"/>
      <c r="Q1584" s="835"/>
      <c r="R1584" s="837"/>
      <c r="S1584" s="837"/>
      <c r="T1584" s="838"/>
      <c r="U1584" s="836"/>
      <c r="V1584" s="836"/>
    </row>
    <row r="1585" customHeight="1" spans="1:22">
      <c r="A1585" s="835"/>
      <c r="B1585" s="836"/>
      <c r="C1585" s="836"/>
      <c r="D1585" s="836"/>
      <c r="E1585" s="836"/>
      <c r="F1585" s="836"/>
      <c r="G1585" s="836"/>
      <c r="H1585" s="836"/>
      <c r="I1585" s="835"/>
      <c r="J1585" s="836"/>
      <c r="K1585" s="835"/>
      <c r="L1585" s="836"/>
      <c r="M1585" s="837"/>
      <c r="N1585" s="836"/>
      <c r="O1585" s="837"/>
      <c r="P1585" s="836"/>
      <c r="Q1585" s="835"/>
      <c r="R1585" s="837"/>
      <c r="S1585" s="837"/>
      <c r="T1585" s="838"/>
      <c r="U1585" s="836"/>
      <c r="V1585" s="836"/>
    </row>
    <row r="1586" customHeight="1" spans="1:22">
      <c r="A1586" s="835"/>
      <c r="B1586" s="836"/>
      <c r="C1586" s="836"/>
      <c r="D1586" s="836"/>
      <c r="E1586" s="836"/>
      <c r="F1586" s="836"/>
      <c r="G1586" s="836"/>
      <c r="H1586" s="836"/>
      <c r="I1586" s="835"/>
      <c r="J1586" s="836"/>
      <c r="K1586" s="835"/>
      <c r="L1586" s="836"/>
      <c r="M1586" s="837"/>
      <c r="N1586" s="836"/>
      <c r="O1586" s="837"/>
      <c r="P1586" s="836"/>
      <c r="Q1586" s="835"/>
      <c r="R1586" s="837"/>
      <c r="S1586" s="837"/>
      <c r="T1586" s="838"/>
      <c r="U1586" s="836"/>
      <c r="V1586" s="836"/>
    </row>
    <row r="1587" customHeight="1" spans="1:22">
      <c r="A1587" s="835"/>
      <c r="B1587" s="836"/>
      <c r="C1587" s="836"/>
      <c r="D1587" s="836"/>
      <c r="E1587" s="836"/>
      <c r="F1587" s="836"/>
      <c r="G1587" s="836"/>
      <c r="H1587" s="836"/>
      <c r="I1587" s="835"/>
      <c r="J1587" s="836"/>
      <c r="K1587" s="835"/>
      <c r="L1587" s="836"/>
      <c r="M1587" s="837"/>
      <c r="N1587" s="836"/>
      <c r="O1587" s="837"/>
      <c r="P1587" s="836"/>
      <c r="Q1587" s="835"/>
      <c r="R1587" s="837"/>
      <c r="S1587" s="837"/>
      <c r="T1587" s="838"/>
      <c r="U1587" s="836"/>
      <c r="V1587" s="836"/>
    </row>
    <row r="1588" customHeight="1" spans="1:22">
      <c r="A1588" s="835"/>
      <c r="B1588" s="836"/>
      <c r="C1588" s="836"/>
      <c r="D1588" s="836"/>
      <c r="E1588" s="836"/>
      <c r="F1588" s="836"/>
      <c r="G1588" s="836"/>
      <c r="H1588" s="836"/>
      <c r="I1588" s="835"/>
      <c r="J1588" s="836"/>
      <c r="K1588" s="835"/>
      <c r="L1588" s="836"/>
      <c r="M1588" s="837"/>
      <c r="N1588" s="836"/>
      <c r="O1588" s="837"/>
      <c r="P1588" s="836"/>
      <c r="Q1588" s="835"/>
      <c r="R1588" s="837"/>
      <c r="S1588" s="837"/>
      <c r="T1588" s="838"/>
      <c r="U1588" s="836"/>
      <c r="V1588" s="836"/>
    </row>
    <row r="1589" customHeight="1" spans="1:22">
      <c r="A1589" s="835"/>
      <c r="B1589" s="836"/>
      <c r="C1589" s="836"/>
      <c r="D1589" s="836"/>
      <c r="E1589" s="836"/>
      <c r="F1589" s="836"/>
      <c r="G1589" s="836"/>
      <c r="H1589" s="836"/>
      <c r="I1589" s="835"/>
      <c r="J1589" s="836"/>
      <c r="K1589" s="835"/>
      <c r="L1589" s="836"/>
      <c r="M1589" s="837"/>
      <c r="N1589" s="836"/>
      <c r="O1589" s="837"/>
      <c r="P1589" s="836"/>
      <c r="Q1589" s="835"/>
      <c r="R1589" s="837"/>
      <c r="S1589" s="837"/>
      <c r="T1589" s="838"/>
      <c r="U1589" s="836"/>
      <c r="V1589" s="836"/>
    </row>
    <row r="1590" customHeight="1" spans="1:22">
      <c r="A1590" s="835"/>
      <c r="B1590" s="836"/>
      <c r="C1590" s="836"/>
      <c r="D1590" s="836"/>
      <c r="E1590" s="836"/>
      <c r="F1590" s="836"/>
      <c r="G1590" s="836"/>
      <c r="H1590" s="836"/>
      <c r="I1590" s="835"/>
      <c r="J1590" s="836"/>
      <c r="K1590" s="835"/>
      <c r="L1590" s="836"/>
      <c r="M1590" s="837"/>
      <c r="N1590" s="836"/>
      <c r="O1590" s="837"/>
      <c r="P1590" s="836"/>
      <c r="Q1590" s="835"/>
      <c r="R1590" s="837"/>
      <c r="S1590" s="837"/>
      <c r="T1590" s="838"/>
      <c r="U1590" s="836"/>
      <c r="V1590" s="836"/>
    </row>
    <row r="1591" customHeight="1" spans="1:22">
      <c r="A1591" s="835"/>
      <c r="B1591" s="836"/>
      <c r="C1591" s="836"/>
      <c r="D1591" s="836"/>
      <c r="E1591" s="836"/>
      <c r="F1591" s="836"/>
      <c r="G1591" s="836"/>
      <c r="H1591" s="836"/>
      <c r="I1591" s="835"/>
      <c r="J1591" s="836"/>
      <c r="K1591" s="835"/>
      <c r="L1591" s="836"/>
      <c r="M1591" s="837"/>
      <c r="N1591" s="836"/>
      <c r="O1591" s="837"/>
      <c r="P1591" s="836"/>
      <c r="Q1591" s="835"/>
      <c r="R1591" s="837"/>
      <c r="S1591" s="837"/>
      <c r="T1591" s="838"/>
      <c r="U1591" s="836"/>
      <c r="V1591" s="836"/>
    </row>
    <row r="1592" customHeight="1" spans="1:22">
      <c r="A1592" s="835"/>
      <c r="B1592" s="836"/>
      <c r="C1592" s="836"/>
      <c r="D1592" s="836"/>
      <c r="E1592" s="836"/>
      <c r="F1592" s="836"/>
      <c r="G1592" s="836"/>
      <c r="H1592" s="836"/>
      <c r="I1592" s="835"/>
      <c r="J1592" s="836"/>
      <c r="K1592" s="835"/>
      <c r="L1592" s="836"/>
      <c r="M1592" s="837"/>
      <c r="N1592" s="836"/>
      <c r="O1592" s="837"/>
      <c r="P1592" s="836"/>
      <c r="Q1592" s="835"/>
      <c r="R1592" s="837"/>
      <c r="S1592" s="837"/>
      <c r="T1592" s="838"/>
      <c r="U1592" s="836"/>
      <c r="V1592" s="836"/>
    </row>
    <row r="1593" customHeight="1" spans="1:22">
      <c r="A1593" s="835"/>
      <c r="B1593" s="836"/>
      <c r="C1593" s="836"/>
      <c r="D1593" s="836"/>
      <c r="E1593" s="836"/>
      <c r="F1593" s="836"/>
      <c r="G1593" s="836"/>
      <c r="H1593" s="836"/>
      <c r="I1593" s="835"/>
      <c r="J1593" s="836"/>
      <c r="K1593" s="835"/>
      <c r="L1593" s="836"/>
      <c r="M1593" s="837"/>
      <c r="N1593" s="836"/>
      <c r="O1593" s="837"/>
      <c r="P1593" s="836"/>
      <c r="Q1593" s="835"/>
      <c r="R1593" s="837"/>
      <c r="S1593" s="837"/>
      <c r="T1593" s="838"/>
      <c r="U1593" s="836"/>
      <c r="V1593" s="836"/>
    </row>
    <row r="1594" customHeight="1" spans="1:22">
      <c r="A1594" s="835"/>
      <c r="B1594" s="836"/>
      <c r="C1594" s="836"/>
      <c r="D1594" s="836"/>
      <c r="E1594" s="836"/>
      <c r="F1594" s="836"/>
      <c r="G1594" s="836"/>
      <c r="H1594" s="836"/>
      <c r="I1594" s="835"/>
      <c r="J1594" s="836"/>
      <c r="K1594" s="835"/>
      <c r="L1594" s="836"/>
      <c r="M1594" s="837"/>
      <c r="N1594" s="836"/>
      <c r="O1594" s="837"/>
      <c r="P1594" s="836"/>
      <c r="Q1594" s="835"/>
      <c r="R1594" s="837"/>
      <c r="S1594" s="837"/>
      <c r="T1594" s="838"/>
      <c r="U1594" s="836"/>
      <c r="V1594" s="836"/>
    </row>
    <row r="1595" customHeight="1" spans="1:22">
      <c r="A1595" s="835"/>
      <c r="B1595" s="836"/>
      <c r="C1595" s="836"/>
      <c r="D1595" s="836"/>
      <c r="E1595" s="836"/>
      <c r="F1595" s="836"/>
      <c r="G1595" s="836"/>
      <c r="H1595" s="836"/>
      <c r="I1595" s="835"/>
      <c r="J1595" s="836"/>
      <c r="K1595" s="835"/>
      <c r="L1595" s="836"/>
      <c r="M1595" s="837"/>
      <c r="N1595" s="836"/>
      <c r="O1595" s="837"/>
      <c r="P1595" s="836"/>
      <c r="Q1595" s="835"/>
      <c r="R1595" s="837"/>
      <c r="S1595" s="837"/>
      <c r="T1595" s="838"/>
      <c r="U1595" s="836"/>
      <c r="V1595" s="836"/>
    </row>
    <row r="1596" customHeight="1" spans="1:22">
      <c r="A1596" s="835"/>
      <c r="B1596" s="836"/>
      <c r="C1596" s="836"/>
      <c r="D1596" s="836"/>
      <c r="E1596" s="836"/>
      <c r="F1596" s="836"/>
      <c r="G1596" s="836"/>
      <c r="H1596" s="836"/>
      <c r="I1596" s="835"/>
      <c r="J1596" s="836"/>
      <c r="K1596" s="835"/>
      <c r="L1596" s="836"/>
      <c r="M1596" s="837"/>
      <c r="N1596" s="836"/>
      <c r="O1596" s="837"/>
      <c r="P1596" s="836"/>
      <c r="Q1596" s="835"/>
      <c r="R1596" s="837"/>
      <c r="S1596" s="837"/>
      <c r="T1596" s="838"/>
      <c r="U1596" s="836"/>
      <c r="V1596" s="836"/>
    </row>
    <row r="1597" customHeight="1" spans="1:22">
      <c r="A1597" s="835"/>
      <c r="B1597" s="836"/>
      <c r="C1597" s="836"/>
      <c r="D1597" s="836"/>
      <c r="E1597" s="836"/>
      <c r="F1597" s="836"/>
      <c r="G1597" s="836"/>
      <c r="H1597" s="836"/>
      <c r="I1597" s="835"/>
      <c r="J1597" s="836"/>
      <c r="K1597" s="835"/>
      <c r="L1597" s="836"/>
      <c r="M1597" s="837"/>
      <c r="N1597" s="836"/>
      <c r="O1597" s="837"/>
      <c r="P1597" s="836"/>
      <c r="Q1597" s="835"/>
      <c r="R1597" s="837"/>
      <c r="S1597" s="837"/>
      <c r="T1597" s="838"/>
      <c r="U1597" s="836"/>
      <c r="V1597" s="836"/>
    </row>
    <row r="1598" customHeight="1" spans="1:22">
      <c r="A1598" s="835"/>
      <c r="B1598" s="836"/>
      <c r="C1598" s="836"/>
      <c r="D1598" s="836"/>
      <c r="E1598" s="836"/>
      <c r="F1598" s="836"/>
      <c r="G1598" s="836"/>
      <c r="H1598" s="836"/>
      <c r="I1598" s="835"/>
      <c r="J1598" s="836"/>
      <c r="K1598" s="835"/>
      <c r="L1598" s="836"/>
      <c r="M1598" s="837"/>
      <c r="N1598" s="836"/>
      <c r="O1598" s="837"/>
      <c r="P1598" s="836"/>
      <c r="Q1598" s="835"/>
      <c r="R1598" s="837"/>
      <c r="S1598" s="837"/>
      <c r="T1598" s="838"/>
      <c r="U1598" s="836"/>
      <c r="V1598" s="836"/>
    </row>
    <row r="1599" customHeight="1" spans="1:22">
      <c r="A1599" s="835"/>
      <c r="B1599" s="836"/>
      <c r="C1599" s="836"/>
      <c r="D1599" s="836"/>
      <c r="E1599" s="836"/>
      <c r="F1599" s="836"/>
      <c r="G1599" s="836"/>
      <c r="H1599" s="836"/>
      <c r="I1599" s="835"/>
      <c r="J1599" s="836"/>
      <c r="K1599" s="835"/>
      <c r="L1599" s="836"/>
      <c r="M1599" s="837"/>
      <c r="N1599" s="836"/>
      <c r="O1599" s="837"/>
      <c r="P1599" s="836"/>
      <c r="Q1599" s="835"/>
      <c r="R1599" s="837"/>
      <c r="S1599" s="837"/>
      <c r="T1599" s="838"/>
      <c r="U1599" s="836"/>
      <c r="V1599" s="836"/>
    </row>
    <row r="1600" customHeight="1" spans="1:22">
      <c r="A1600" s="835"/>
      <c r="B1600" s="836"/>
      <c r="C1600" s="836"/>
      <c r="D1600" s="836"/>
      <c r="E1600" s="836"/>
      <c r="F1600" s="836"/>
      <c r="G1600" s="836"/>
      <c r="H1600" s="836"/>
      <c r="I1600" s="835"/>
      <c r="J1600" s="836"/>
      <c r="K1600" s="835"/>
      <c r="L1600" s="836"/>
      <c r="M1600" s="837"/>
      <c r="N1600" s="836"/>
      <c r="O1600" s="837"/>
      <c r="P1600" s="836"/>
      <c r="Q1600" s="835"/>
      <c r="R1600" s="837"/>
      <c r="S1600" s="837"/>
      <c r="T1600" s="838"/>
      <c r="U1600" s="836"/>
      <c r="V1600" s="836"/>
    </row>
    <row r="1601" customHeight="1" spans="1:22">
      <c r="A1601" s="835"/>
      <c r="B1601" s="836"/>
      <c r="C1601" s="836"/>
      <c r="D1601" s="836"/>
      <c r="E1601" s="836"/>
      <c r="F1601" s="836"/>
      <c r="G1601" s="836"/>
      <c r="H1601" s="836"/>
      <c r="I1601" s="835"/>
      <c r="J1601" s="836"/>
      <c r="K1601" s="835"/>
      <c r="L1601" s="836"/>
      <c r="M1601" s="837"/>
      <c r="N1601" s="836"/>
      <c r="O1601" s="837"/>
      <c r="P1601" s="836"/>
      <c r="Q1601" s="835"/>
      <c r="R1601" s="837"/>
      <c r="S1601" s="837"/>
      <c r="T1601" s="838"/>
      <c r="U1601" s="836"/>
      <c r="V1601" s="836"/>
    </row>
    <row r="1602" customHeight="1" spans="1:22">
      <c r="A1602" s="835"/>
      <c r="B1602" s="836"/>
      <c r="C1602" s="836"/>
      <c r="D1602" s="836"/>
      <c r="E1602" s="836"/>
      <c r="F1602" s="836"/>
      <c r="G1602" s="836"/>
      <c r="H1602" s="836"/>
      <c r="I1602" s="835"/>
      <c r="J1602" s="836"/>
      <c r="K1602" s="835"/>
      <c r="L1602" s="836"/>
      <c r="M1602" s="837"/>
      <c r="N1602" s="836"/>
      <c r="O1602" s="837"/>
      <c r="P1602" s="836"/>
      <c r="Q1602" s="835"/>
      <c r="R1602" s="837"/>
      <c r="S1602" s="837"/>
      <c r="T1602" s="838"/>
      <c r="U1602" s="836"/>
      <c r="V1602" s="836"/>
    </row>
    <row r="1603" customHeight="1" spans="1:22">
      <c r="A1603" s="835"/>
      <c r="B1603" s="836"/>
      <c r="C1603" s="836"/>
      <c r="D1603" s="836"/>
      <c r="E1603" s="836"/>
      <c r="F1603" s="836"/>
      <c r="G1603" s="836"/>
      <c r="H1603" s="836"/>
      <c r="I1603" s="835"/>
      <c r="J1603" s="836"/>
      <c r="K1603" s="835"/>
      <c r="L1603" s="836"/>
      <c r="M1603" s="837"/>
      <c r="N1603" s="836"/>
      <c r="O1603" s="837"/>
      <c r="P1603" s="836"/>
      <c r="Q1603" s="835"/>
      <c r="R1603" s="837"/>
      <c r="S1603" s="837"/>
      <c r="T1603" s="838"/>
      <c r="U1603" s="836"/>
      <c r="V1603" s="836"/>
    </row>
    <row r="1604" customHeight="1" spans="1:22">
      <c r="A1604" s="835"/>
      <c r="B1604" s="836"/>
      <c r="C1604" s="836"/>
      <c r="D1604" s="836"/>
      <c r="E1604" s="836"/>
      <c r="F1604" s="836"/>
      <c r="G1604" s="836"/>
      <c r="H1604" s="836"/>
      <c r="I1604" s="835"/>
      <c r="J1604" s="836"/>
      <c r="K1604" s="835"/>
      <c r="L1604" s="836"/>
      <c r="M1604" s="837"/>
      <c r="N1604" s="836"/>
      <c r="O1604" s="837"/>
      <c r="P1604" s="836"/>
      <c r="Q1604" s="835"/>
      <c r="R1604" s="837"/>
      <c r="S1604" s="837"/>
      <c r="T1604" s="838"/>
      <c r="U1604" s="836"/>
      <c r="V1604" s="836"/>
    </row>
    <row r="1605" customHeight="1" spans="1:22">
      <c r="A1605" s="835"/>
      <c r="B1605" s="836"/>
      <c r="C1605" s="836"/>
      <c r="D1605" s="836"/>
      <c r="E1605" s="836"/>
      <c r="F1605" s="836"/>
      <c r="G1605" s="836"/>
      <c r="H1605" s="836"/>
      <c r="I1605" s="835"/>
      <c r="J1605" s="836"/>
      <c r="K1605" s="835"/>
      <c r="L1605" s="836"/>
      <c r="M1605" s="837"/>
      <c r="N1605" s="836"/>
      <c r="O1605" s="837"/>
      <c r="P1605" s="836"/>
      <c r="Q1605" s="835"/>
      <c r="R1605" s="837"/>
      <c r="S1605" s="837"/>
      <c r="T1605" s="838"/>
      <c r="U1605" s="836"/>
      <c r="V1605" s="836"/>
    </row>
  </sheetData>
  <autoFilter xmlns:etc="http://www.wps.cn/officeDocument/2017/etCustomData" ref="A2:S882" etc:filterBottomFollowUsedRange="0">
    <extLst/>
  </autoFilter>
  <conditionalFormatting sqref="B803:C803">
    <cfRule type="expression" dxfId="2" priority="1">
      <formula>COUNTIF(A:A,B803)&gt;1</formula>
    </cfRule>
  </conditionalFormatting>
  <conditionalFormatting sqref="T2 U2:V4 G6:G539 A468:D468 F468 H468:V468 A529:D529 F529 H529:V529 G541:G583 G585:G785 G787:G803 A803:F803 H803:V803 G805:G836 A819:F819 I819:V819">
    <cfRule type="expression" dxfId="1" priority="3">
      <formula>$K2="Hư hỏng"</formula>
    </cfRule>
  </conditionalFormatting>
  <conditionalFormatting sqref="B468 B529 B803 B819">
    <cfRule type="expression" dxfId="2" priority="2">
      <formula>COUNTIF(B:B,B468)&gt;1</formula>
    </cfRule>
  </conditionalFormatting>
  <conditionalFormatting sqref="B805 B835 B839">
    <cfRule type="expression" dxfId="6" priority="7">
      <formula>COUNTIF(B:B,B805)&gt;1</formula>
    </cfRule>
  </conditionalFormatting>
  <conditionalFormatting sqref="J805:K805 J835:K835 J839:K839">
    <cfRule type="containsText" dxfId="3" priority="4" operator="between" text="Hư hỏng">
      <formula>NOT(ISERROR(SEARCH("Hư hỏng",J805)))</formula>
    </cfRule>
    <cfRule type="containsText" dxfId="4" priority="5" operator="between" text="Thu hồi">
      <formula>NOT(ISERROR(SEARCH("Thu hồi",J805)))</formula>
    </cfRule>
    <cfRule type="containsText" dxfId="5" priority="6" operator="between" text="bình thường">
      <formula>NOT(ISERROR(SEARCH("bình thường",J805)))</formula>
    </cfRule>
  </conditionalFormatting>
  <hyperlinks>
    <hyperlink ref="V4" r:id="rId1" display="Thư mục Hình ảnh"/>
  </hyperlinks>
  <pageMargins left="0.7" right="0.7" top="0.75" bottom="0.75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outlinePr summaryBelow="0" summaryRight="0"/>
  </sheetPr>
  <dimension ref="A1:AC1571"/>
  <sheetViews>
    <sheetView workbookViewId="0">
      <pane xSplit="4" ySplit="3" topLeftCell="E4" activePane="bottomRight" state="frozen"/>
      <selection/>
      <selection pane="topRight"/>
      <selection pane="bottomLeft"/>
      <selection pane="bottomRight" activeCell="E4" sqref="E4"/>
    </sheetView>
  </sheetViews>
  <sheetFormatPr defaultColWidth="12.6333333333333" defaultRowHeight="15" customHeight="1"/>
  <cols>
    <col min="1" max="1" width="6.75" customWidth="1"/>
    <col min="2" max="2" width="34.6333333333333" customWidth="1"/>
    <col min="4" max="4" width="21.75" customWidth="1"/>
    <col min="10" max="11" width="25" customWidth="1"/>
    <col min="12" max="12" width="16.6333333333333" customWidth="1"/>
    <col min="13" max="13" width="20.3833333333333" customWidth="1"/>
    <col min="15" max="15" width="22.5" customWidth="1"/>
    <col min="21" max="21" width="18" customWidth="1"/>
    <col min="22" max="22" width="16" customWidth="1"/>
    <col min="23" max="25" width="19.8833333333333" customWidth="1"/>
  </cols>
  <sheetData>
    <row r="1" ht="19.2" spans="1:29">
      <c r="A1" s="725" t="s">
        <v>5947</v>
      </c>
      <c r="B1" s="271"/>
      <c r="C1" s="271"/>
      <c r="D1" s="272"/>
      <c r="E1" s="726">
        <f>SUM(C4,C177,C354,C541,C720,C744)</f>
        <v>682</v>
      </c>
      <c r="F1" s="727"/>
      <c r="G1" s="727"/>
      <c r="H1" s="727"/>
      <c r="I1" s="728"/>
      <c r="J1" s="729"/>
      <c r="K1" s="729"/>
      <c r="L1" s="727"/>
      <c r="M1" s="727"/>
      <c r="N1" s="727"/>
      <c r="O1" s="730"/>
      <c r="P1" s="727"/>
      <c r="Q1" s="727"/>
      <c r="R1" s="727"/>
      <c r="S1" s="727"/>
      <c r="T1" s="727"/>
      <c r="U1" s="727"/>
      <c r="V1" s="728"/>
      <c r="W1" s="727"/>
      <c r="X1" s="727"/>
      <c r="Y1" s="727"/>
      <c r="Z1" s="728"/>
      <c r="AA1" s="727"/>
      <c r="AB1" s="728"/>
      <c r="AC1" s="731"/>
    </row>
    <row r="2" spans="1:29">
      <c r="A2" s="732" t="s">
        <v>2</v>
      </c>
      <c r="B2" s="732" t="s">
        <v>5948</v>
      </c>
      <c r="C2" s="732" t="s">
        <v>5949</v>
      </c>
      <c r="D2" s="732" t="s">
        <v>3578</v>
      </c>
      <c r="E2" s="733" t="s">
        <v>5950</v>
      </c>
      <c r="F2" s="271"/>
      <c r="G2" s="271"/>
      <c r="H2" s="271"/>
      <c r="I2" s="271"/>
      <c r="J2" s="272"/>
      <c r="K2" s="732" t="s">
        <v>5951</v>
      </c>
      <c r="L2" s="732" t="s">
        <v>5952</v>
      </c>
      <c r="M2" s="734" t="s">
        <v>5953</v>
      </c>
      <c r="N2" s="732" t="s">
        <v>5954</v>
      </c>
      <c r="O2" s="735" t="s">
        <v>5955</v>
      </c>
      <c r="P2" s="736" t="s">
        <v>5956</v>
      </c>
      <c r="Q2" s="736" t="s">
        <v>5957</v>
      </c>
      <c r="R2" s="733" t="s">
        <v>5958</v>
      </c>
      <c r="S2" s="271"/>
      <c r="T2" s="272"/>
      <c r="U2" s="737" t="s">
        <v>5959</v>
      </c>
      <c r="V2" s="738" t="s">
        <v>5960</v>
      </c>
      <c r="W2" s="271"/>
      <c r="X2" s="271"/>
      <c r="Y2" s="272"/>
      <c r="Z2" s="737" t="s">
        <v>5961</v>
      </c>
      <c r="AA2" s="737" t="s">
        <v>5962</v>
      </c>
      <c r="AB2" s="737" t="s">
        <v>5963</v>
      </c>
      <c r="AC2" s="20"/>
    </row>
    <row r="3" ht="30" spans="1:29">
      <c r="A3" s="278"/>
      <c r="B3" s="278"/>
      <c r="C3" s="278"/>
      <c r="D3" s="278"/>
      <c r="E3" s="739" t="s">
        <v>5964</v>
      </c>
      <c r="F3" s="739" t="s">
        <v>5965</v>
      </c>
      <c r="G3" s="739" t="s">
        <v>5966</v>
      </c>
      <c r="H3" s="739" t="s">
        <v>5967</v>
      </c>
      <c r="I3" s="739" t="s">
        <v>5968</v>
      </c>
      <c r="J3" s="739" t="s">
        <v>5969</v>
      </c>
      <c r="K3" s="278"/>
      <c r="L3" s="278"/>
      <c r="M3" s="278"/>
      <c r="N3" s="278"/>
      <c r="O3" s="278"/>
      <c r="P3" s="278"/>
      <c r="Q3" s="278"/>
      <c r="R3" s="739" t="s">
        <v>5970</v>
      </c>
      <c r="S3" s="739" t="s">
        <v>5971</v>
      </c>
      <c r="T3" s="739" t="s">
        <v>5972</v>
      </c>
      <c r="U3" s="278"/>
      <c r="V3" s="740" t="s">
        <v>5960</v>
      </c>
      <c r="W3" s="740" t="s">
        <v>5973</v>
      </c>
      <c r="X3" s="740" t="s">
        <v>5974</v>
      </c>
      <c r="Y3" s="740" t="s">
        <v>5975</v>
      </c>
      <c r="Z3" s="278"/>
      <c r="AA3" s="278"/>
      <c r="AB3" s="278"/>
      <c r="AC3" s="20"/>
    </row>
    <row r="4" spans="1:29">
      <c r="A4" s="741" t="s">
        <v>5976</v>
      </c>
      <c r="B4" s="272"/>
      <c r="C4" s="742">
        <f>SUM(C5,C83,C103,C122,C132)</f>
        <v>138</v>
      </c>
      <c r="D4" s="743"/>
      <c r="E4" s="743"/>
      <c r="F4" s="743"/>
      <c r="G4" s="743"/>
      <c r="H4" s="743"/>
      <c r="I4" s="744"/>
      <c r="J4" s="745"/>
      <c r="K4" s="745"/>
      <c r="L4" s="743"/>
      <c r="M4" s="743"/>
      <c r="N4" s="743"/>
      <c r="O4" s="746"/>
      <c r="P4" s="743"/>
      <c r="Q4" s="743"/>
      <c r="R4" s="743"/>
      <c r="S4" s="743"/>
      <c r="T4" s="743"/>
      <c r="U4" s="743"/>
      <c r="V4" s="744"/>
      <c r="W4" s="743"/>
      <c r="X4" s="743"/>
      <c r="Y4" s="743"/>
      <c r="Z4" s="744"/>
      <c r="AA4" s="743"/>
      <c r="AB4" s="744"/>
      <c r="AC4" s="731"/>
    </row>
    <row r="5" spans="1:29">
      <c r="A5" s="747" t="s">
        <v>3007</v>
      </c>
      <c r="B5" s="748" t="s">
        <v>5977</v>
      </c>
      <c r="C5" s="747">
        <f>SUM(C6,C41,C45,C56,C66,C74,C79)</f>
        <v>63</v>
      </c>
      <c r="D5" s="749"/>
      <c r="E5" s="749"/>
      <c r="F5" s="749"/>
      <c r="G5" s="749"/>
      <c r="H5" s="749"/>
      <c r="I5" s="750"/>
      <c r="J5" s="751"/>
      <c r="K5" s="751"/>
      <c r="L5" s="749"/>
      <c r="M5" s="749"/>
      <c r="N5" s="749"/>
      <c r="O5" s="752"/>
      <c r="P5" s="749"/>
      <c r="Q5" s="749"/>
      <c r="R5" s="749"/>
      <c r="S5" s="749"/>
      <c r="T5" s="749"/>
      <c r="U5" s="749"/>
      <c r="V5" s="750"/>
      <c r="W5" s="749"/>
      <c r="X5" s="749"/>
      <c r="Y5" s="749"/>
      <c r="Z5" s="750"/>
      <c r="AA5" s="749"/>
      <c r="AB5" s="750"/>
      <c r="AC5" s="753"/>
    </row>
    <row r="6" ht="13.8" spans="1:29">
      <c r="A6" s="754">
        <v>1</v>
      </c>
      <c r="B6" s="755" t="s">
        <v>480</v>
      </c>
      <c r="C6" s="754">
        <f>COUNTA(B7:B40)</f>
        <v>34</v>
      </c>
      <c r="D6" s="756"/>
      <c r="E6" s="756"/>
      <c r="F6" s="756"/>
      <c r="G6" s="756"/>
      <c r="H6" s="756"/>
      <c r="I6" s="757"/>
      <c r="J6" s="758"/>
      <c r="K6" s="758"/>
      <c r="L6" s="756"/>
      <c r="M6" s="759"/>
      <c r="N6" s="756"/>
      <c r="O6" s="760"/>
      <c r="P6" s="756"/>
      <c r="Q6" s="756"/>
      <c r="R6" s="756"/>
      <c r="S6" s="756"/>
      <c r="T6" s="756"/>
      <c r="U6" s="756"/>
      <c r="V6" s="761"/>
      <c r="W6" s="756"/>
      <c r="X6" s="756"/>
      <c r="Y6" s="756"/>
      <c r="Z6" s="761"/>
      <c r="AA6" s="756"/>
      <c r="AB6" s="761"/>
      <c r="AC6" s="762"/>
    </row>
    <row r="7" spans="1:29">
      <c r="A7" s="353"/>
      <c r="B7" s="613" t="str">
        <f>IFERROR(VLOOKUP(M7,'02. MM-KLH'!$B$6:$T$823,6,0),"")</f>
        <v>Máy đào KOMATSU bánh xích gàu 0.3m3</v>
      </c>
      <c r="C7" s="353">
        <v>1</v>
      </c>
      <c r="D7" s="353" t="str">
        <f>IFERROR(VLOOKUP(M7,'02. MM-KLH'!$B$6:$T$823,16,0),"")</f>
        <v>PC40MR-3</v>
      </c>
      <c r="E7" s="353" t="s">
        <v>5978</v>
      </c>
      <c r="F7" s="353"/>
      <c r="G7" s="353"/>
      <c r="H7" s="353" t="str">
        <f>IFERROR(VLOOKUP(M7,'02. MM-KLH'!$B$6:$T$823,17,0),"")</f>
        <v>40HP</v>
      </c>
      <c r="I7" s="763">
        <f>IFERROR(VLOOKUP(M7,'02. MM-KLH'!$B$6:$U$823,20,0),"")</f>
        <v>4</v>
      </c>
      <c r="J7" s="613">
        <f>IFERROR(VLOOKUP(M7,'02. MM-KLH'!$B$6:$T$823,19,0),"")</f>
        <v>38204</v>
      </c>
      <c r="K7" s="613" t="str">
        <f>IFERROR(VLOOKUP(M7,'02. MM-KLH'!$B$6:$T$823,18,0),"")</f>
        <v>KMTPC212VFE019356</v>
      </c>
      <c r="L7" s="353">
        <f>IFERROR(VLOOKUP(M7,'02. MM-KLH'!$B$6:$T$823,4,0),"")</f>
        <v>0</v>
      </c>
      <c r="M7" s="410" t="s">
        <v>552</v>
      </c>
      <c r="N7" s="356">
        <f>IFERROR(VLOOKUP(M7,'02. MM-KLH'!$B$6:$T$823,15,0),"")</f>
        <v>2015</v>
      </c>
      <c r="O7" s="764" t="str">
        <f>IFERROR(VLOOKUP(M7,'02. MM-KLH'!$B$6:$T$823,9,0),"")</f>
        <v>29/07/2024</v>
      </c>
      <c r="P7" s="353"/>
      <c r="Q7" s="765">
        <v>6367</v>
      </c>
      <c r="R7" s="353" t="s">
        <v>5978</v>
      </c>
      <c r="S7" s="353"/>
      <c r="T7" s="353"/>
      <c r="U7" s="353" t="str">
        <f>IFERROR(VLOOKUP(M7,'02. MM-KLH'!$B$6:$T$823,5,0),"")</f>
        <v>MỚI (ĐQSD)</v>
      </c>
      <c r="V7" s="766" t="str">
        <f>IFERROR(VLOOKUP(M7,'02. MM-KLH'!$B$6:$T$823,8,0),"")</f>
        <v>CGTC DP</v>
      </c>
      <c r="W7" s="353" t="str">
        <f>IFERROR(VLOOKUP(V7,'NS QUẢN LÝ CG'!$A$4:$D$36,2,0),"")</f>
        <v>Phạm Ngọc Hải</v>
      </c>
      <c r="X7" s="353" t="str">
        <f>IFERROR(VLOOKUP(V7,'NS QUẢN LÝ CG'!$A$4:$D$36,4,0),"")</f>
        <v>Lô 85 DP4</v>
      </c>
      <c r="Y7" s="1104" t="str">
        <f>IFERROR(VLOOKUP(V7,'NS QUẢN LÝ CG'!$A$4:$C$36,3,0),"")</f>
        <v>0825456565</v>
      </c>
      <c r="Z7" s="766" t="str">
        <f>IFERROR(VLOOKUP(M7,'02. MM-KLH'!$B$6:$T$823,3,0),"")</f>
        <v>A23-MĐA-013</v>
      </c>
      <c r="AA7" s="353" t="str">
        <f t="shared" ref="AA7:AA14" si="0">_xlfn.SWITCH(LEFT(Z7,3),"A22","ADM","A23","DP","A24","LP","")</f>
        <v>DP</v>
      </c>
      <c r="AB7" s="766"/>
      <c r="AC7" s="731"/>
    </row>
    <row r="8" ht="13.8" spans="1:29">
      <c r="A8" s="353"/>
      <c r="B8" s="613" t="str">
        <f>IFERROR(VLOOKUP(M8,'02. MM-KLH'!$B$6:$T$823,6,0),"")</f>
        <v>Máy đào KOMATSU bánh xích gàu 0.3m3</v>
      </c>
      <c r="C8" s="353">
        <v>1</v>
      </c>
      <c r="D8" s="353" t="str">
        <f>IFERROR(VLOOKUP(M8,'02. MM-KLH'!$B$6:$T$823,16,0),"")</f>
        <v>PC40MR-3</v>
      </c>
      <c r="E8" s="353" t="s">
        <v>5978</v>
      </c>
      <c r="F8" s="353"/>
      <c r="G8" s="353"/>
      <c r="H8" s="353" t="str">
        <f>IFERROR(VLOOKUP(M8,'02. MM-KLH'!$B$6:$T$823,17,0),"")</f>
        <v>40HP</v>
      </c>
      <c r="I8" s="763">
        <f>IFERROR(VLOOKUP(M8,'02. MM-KLH'!$B$6:$U$823,20,0),"")</f>
        <v>4</v>
      </c>
      <c r="J8" s="613">
        <f>IFERROR(VLOOKUP(M8,'02. MM-KLH'!$B$6:$T$823,19,0),"")</f>
        <v>25866</v>
      </c>
      <c r="K8" s="613" t="str">
        <f>IFERROR(VLOOKUP(M8,'02. MM-KLH'!$B$6:$T$823,18,0),"")</f>
        <v>KMTPC203L04019805</v>
      </c>
      <c r="L8" s="353">
        <f>IFERROR(VLOOKUP(M8,'02. MM-KLH'!$B$6:$T$823,4,0),"")</f>
        <v>0</v>
      </c>
      <c r="M8" s="410" t="s">
        <v>559</v>
      </c>
      <c r="N8" s="356">
        <f>IFERROR(VLOOKUP(M8,'02. MM-KLH'!$B$6:$T$823,15,0),"")</f>
        <v>2012</v>
      </c>
      <c r="O8" s="764" t="str">
        <f>IFERROR(VLOOKUP(M8,'02. MM-KLH'!$B$6:$T$823,9,0),"")</f>
        <v>26/07/2024</v>
      </c>
      <c r="P8" s="353"/>
      <c r="Q8" s="353" t="s">
        <v>1755</v>
      </c>
      <c r="R8" s="353" t="s">
        <v>5978</v>
      </c>
      <c r="S8" s="353"/>
      <c r="T8" s="353"/>
      <c r="U8" s="353" t="str">
        <f>IFERROR(VLOOKUP(M8,'02. MM-KLH'!$B$6:$T$823,5,0),"")</f>
        <v>MỚI (ĐQSD)</v>
      </c>
      <c r="V8" s="766" t="str">
        <f>IFERROR(VLOOKUP(M8,'02. MM-KLH'!$B$6:$T$823,8,0),"")</f>
        <v>CGTC DP</v>
      </c>
      <c r="W8" s="353" t="str">
        <f>IFERROR(VLOOKUP(V8,'NS QUẢN LÝ CG'!$A$4:$D$36,2,0),"")</f>
        <v>Phạm Ngọc Hải</v>
      </c>
      <c r="X8" s="353" t="str">
        <f>IFERROR(VLOOKUP(V8,'NS QUẢN LÝ CG'!$A$4:$D$36,4,0),"")</f>
        <v>Lô 85 DP4</v>
      </c>
      <c r="Y8" s="1104" t="str">
        <f>IFERROR(VLOOKUP(V8,'NS QUẢN LÝ CG'!$A$4:$C$36,3,0),"")</f>
        <v>0825456565</v>
      </c>
      <c r="Z8" s="766" t="str">
        <f>IFERROR(VLOOKUP(M8,'02. MM-KLH'!$B$6:$T$823,3,0),"")</f>
        <v>A23-MĐA-014</v>
      </c>
      <c r="AA8" s="353" t="str">
        <f t="shared" si="0"/>
        <v>DP</v>
      </c>
      <c r="AB8" s="766"/>
      <c r="AC8" s="731"/>
    </row>
    <row r="9" ht="13.8" spans="1:29">
      <c r="A9" s="353"/>
      <c r="B9" s="613" t="str">
        <f>IFERROR(VLOOKUP(M9,'02. MM-KLH'!$B$6:$T$823,6,0),"")</f>
        <v>Máy đào KOMATSU bánh xích gàu 0.3m3</v>
      </c>
      <c r="C9" s="353">
        <v>1</v>
      </c>
      <c r="D9" s="353" t="str">
        <f>IFERROR(VLOOKUP(M9,'02. MM-KLH'!$B$6:$T$823,16,0),"")</f>
        <v>PC40MR-3</v>
      </c>
      <c r="E9" s="353" t="s">
        <v>5978</v>
      </c>
      <c r="F9" s="353"/>
      <c r="G9" s="353"/>
      <c r="H9" s="353" t="str">
        <f>IFERROR(VLOOKUP(M9,'02. MM-KLH'!$B$6:$T$823,17,0),"")</f>
        <v>40HP</v>
      </c>
      <c r="I9" s="763">
        <f>IFERROR(VLOOKUP(M9,'02. MM-KLH'!$B$6:$U$823,20,0),"")</f>
        <v>4</v>
      </c>
      <c r="J9" s="613">
        <f>IFERROR(VLOOKUP(M9,'02. MM-KLH'!$B$6:$T$823,19,0),"")</f>
        <v>36975</v>
      </c>
      <c r="K9" s="613" t="str">
        <f>IFERROR(VLOOKUP(M9,'02. MM-KLH'!$B$6:$T$823,18,0),"")</f>
        <v>KMTPC203AFE023466</v>
      </c>
      <c r="L9" s="353">
        <f>IFERROR(VLOOKUP(M9,'02. MM-KLH'!$B$6:$T$823,4,0),"")</f>
        <v>0</v>
      </c>
      <c r="M9" s="410" t="s">
        <v>563</v>
      </c>
      <c r="N9" s="356">
        <f>IFERROR(VLOOKUP(M9,'02. MM-KLH'!$B$6:$T$823,15,0),"")</f>
        <v>2015</v>
      </c>
      <c r="O9" s="764" t="str">
        <f>IFERROR(VLOOKUP(M9,'02. MM-KLH'!$B$6:$T$823,9,0),"")</f>
        <v>29/07/2024</v>
      </c>
      <c r="P9" s="353"/>
      <c r="Q9" s="353" t="s">
        <v>1755</v>
      </c>
      <c r="R9" s="353" t="s">
        <v>5978</v>
      </c>
      <c r="S9" s="353"/>
      <c r="T9" s="353"/>
      <c r="U9" s="353" t="str">
        <f>IFERROR(VLOOKUP(M9,'02. MM-KLH'!$B$6:$T$823,5,0),"")</f>
        <v>MỚI (ĐQSD)</v>
      </c>
      <c r="V9" s="766" t="str">
        <f>IFERROR(VLOOKUP(M9,'02. MM-KLH'!$B$6:$T$823,8,0),"")</f>
        <v>CGTC DP</v>
      </c>
      <c r="W9" s="353" t="str">
        <f>IFERROR(VLOOKUP(V9,'NS QUẢN LÝ CG'!$A$4:$D$36,2,0),"")</f>
        <v>Phạm Ngọc Hải</v>
      </c>
      <c r="X9" s="353" t="str">
        <f>IFERROR(VLOOKUP(V9,'NS QUẢN LÝ CG'!$A$4:$D$36,4,0),"")</f>
        <v>Lô 85 DP4</v>
      </c>
      <c r="Y9" s="1104" t="str">
        <f>IFERROR(VLOOKUP(V9,'NS QUẢN LÝ CG'!$A$4:$C$36,3,0),"")</f>
        <v>0825456565</v>
      </c>
      <c r="Z9" s="766" t="str">
        <f>IFERROR(VLOOKUP(M9,'02. MM-KLH'!$B$6:$T$823,3,0),"")</f>
        <v>A23-MĐA-015</v>
      </c>
      <c r="AA9" s="353" t="str">
        <f t="shared" si="0"/>
        <v>DP</v>
      </c>
      <c r="AB9" s="766"/>
      <c r="AC9" s="731"/>
    </row>
    <row r="10" ht="13.8" spans="1:29">
      <c r="A10" s="353"/>
      <c r="B10" s="613" t="str">
        <f>IFERROR(VLOOKUP(M10,'02. MM-KLH'!$B$6:$T$823,6,0),"")</f>
        <v>Máy đào KOMATSU bánh xích gàu 0.3m3</v>
      </c>
      <c r="C10" s="353">
        <v>1</v>
      </c>
      <c r="D10" s="353" t="str">
        <f>IFERROR(VLOOKUP(M10,'02. MM-KLH'!$B$6:$T$823,16,0),"")</f>
        <v>PC55MR-3</v>
      </c>
      <c r="E10" s="353" t="s">
        <v>5978</v>
      </c>
      <c r="F10" s="353"/>
      <c r="G10" s="353"/>
      <c r="H10" s="353" t="str">
        <f>IFERROR(VLOOKUP(M10,'02. MM-KLH'!$B$6:$T$823,17,0),"")</f>
        <v>40HP</v>
      </c>
      <c r="I10" s="763">
        <f>IFERROR(VLOOKUP(M10,'02. MM-KLH'!$B$6:$U$823,20,0),"")</f>
        <v>4</v>
      </c>
      <c r="J10" s="613">
        <f>IFERROR(VLOOKUP(M10,'02. MM-KLH'!$B$6:$T$823,19,0),"")</f>
        <v>10671</v>
      </c>
      <c r="K10" s="1105" t="str">
        <f>IFERROR(VLOOKUP(M10,'02. MM-KLH'!$B$6:$T$823,18,0),"")</f>
        <v>020242</v>
      </c>
      <c r="L10" s="353">
        <f>IFERROR(VLOOKUP(M10,'02. MM-KLH'!$B$6:$T$823,4,0),"")</f>
        <v>0</v>
      </c>
      <c r="M10" s="410" t="s">
        <v>566</v>
      </c>
      <c r="N10" s="356">
        <f>IFERROR(VLOOKUP(M10,'02. MM-KLH'!$B$6:$T$823,15,0),"")</f>
        <v>2017</v>
      </c>
      <c r="O10" s="764">
        <f>IFERROR(VLOOKUP(M10,'02. MM-KLH'!$B$6:$T$823,9,0),"")</f>
        <v>45302</v>
      </c>
      <c r="P10" s="353"/>
      <c r="Q10" s="353">
        <v>6484</v>
      </c>
      <c r="R10" s="353" t="s">
        <v>5978</v>
      </c>
      <c r="S10" s="353"/>
      <c r="T10" s="353"/>
      <c r="U10" s="353" t="str">
        <f>IFERROR(VLOOKUP(M10,'02. MM-KLH'!$B$6:$T$823,5,0),"")</f>
        <v>MỚI (ĐQSD)</v>
      </c>
      <c r="V10" s="766" t="str">
        <f>IFERROR(VLOOKUP(M10,'02. MM-KLH'!$B$6:$T$823,8,0),"")</f>
        <v>CGTC DP</v>
      </c>
      <c r="W10" s="353" t="str">
        <f>IFERROR(VLOOKUP(V10,'NS QUẢN LÝ CG'!$A$4:$D$36,2,0),"")</f>
        <v>Phạm Ngọc Hải</v>
      </c>
      <c r="X10" s="353" t="str">
        <f>IFERROR(VLOOKUP(V10,'NS QUẢN LÝ CG'!$A$4:$D$36,4,0),"")</f>
        <v>Lô 85 DP4</v>
      </c>
      <c r="Y10" s="1104" t="str">
        <f>IFERROR(VLOOKUP(V10,'NS QUẢN LÝ CG'!$A$4:$C$36,3,0),"")</f>
        <v>0825456565</v>
      </c>
      <c r="Z10" s="766" t="str">
        <f>IFERROR(VLOOKUP(M10,'02. MM-KLH'!$B$6:$T$823,3,0),"")</f>
        <v>A23-MĐA-062</v>
      </c>
      <c r="AA10" s="353" t="str">
        <f t="shared" si="0"/>
        <v>DP</v>
      </c>
      <c r="AB10" s="766"/>
      <c r="AC10" s="731"/>
    </row>
    <row r="11" ht="13.8" spans="1:29">
      <c r="A11" s="353"/>
      <c r="B11" s="613" t="str">
        <f>IFERROR(VLOOKUP(M11,'02. MM-KLH'!$B$6:$T$823,6,0),"")</f>
        <v>Máy đào KOMATSU bánh xích gàu 0.3m3</v>
      </c>
      <c r="C11" s="353">
        <v>1</v>
      </c>
      <c r="D11" s="353" t="str">
        <f>IFERROR(VLOOKUP(M11,'02. MM-KLH'!$B$6:$T$823,16,0),"")</f>
        <v>PC55MR-3</v>
      </c>
      <c r="E11" s="353" t="s">
        <v>5978</v>
      </c>
      <c r="F11" s="353"/>
      <c r="G11" s="353"/>
      <c r="H11" s="353" t="str">
        <f>IFERROR(VLOOKUP(M11,'02. MM-KLH'!$B$6:$T$823,17,0),"")</f>
        <v>40HP</v>
      </c>
      <c r="I11" s="763">
        <f>IFERROR(VLOOKUP(M11,'02. MM-KLH'!$B$6:$U$823,20,0),"")</f>
        <v>4</v>
      </c>
      <c r="J11" s="613">
        <f>IFERROR(VLOOKUP(M11,'02. MM-KLH'!$B$6:$T$823,19,0),"")</f>
        <v>36094</v>
      </c>
      <c r="K11" s="1105" t="str">
        <f>IFERROR(VLOOKUP(M11,'02. MM-KLH'!$B$6:$T$823,18,0),"")</f>
        <v>019139</v>
      </c>
      <c r="L11" s="353">
        <f>IFERROR(VLOOKUP(M11,'02. MM-KLH'!$B$6:$T$823,4,0),"")</f>
        <v>0</v>
      </c>
      <c r="M11" s="410" t="s">
        <v>571</v>
      </c>
      <c r="N11" s="356">
        <f>IFERROR(VLOOKUP(M11,'02. MM-KLH'!$B$6:$T$823,15,0),"")</f>
        <v>2015</v>
      </c>
      <c r="O11" s="764">
        <f>IFERROR(VLOOKUP(M11,'02. MM-KLH'!$B$6:$T$823,9,0),"")</f>
        <v>45302</v>
      </c>
      <c r="P11" s="353"/>
      <c r="Q11" s="353" t="s">
        <v>1755</v>
      </c>
      <c r="R11" s="353"/>
      <c r="S11" s="353" t="s">
        <v>5978</v>
      </c>
      <c r="T11" s="353"/>
      <c r="U11" s="353" t="str">
        <f>IFERROR(VLOOKUP(M11,'02. MM-KLH'!$B$6:$T$823,5,0),"")</f>
        <v>MỚI (ĐQSD)</v>
      </c>
      <c r="V11" s="766" t="str">
        <f>IFERROR(VLOOKUP(M11,'02. MM-KLH'!$B$6:$T$823,8,0),"")</f>
        <v>CGTC DP</v>
      </c>
      <c r="W11" s="353" t="str">
        <f>IFERROR(VLOOKUP(V11,'NS QUẢN LÝ CG'!$A$4:$D$36,2,0),"")</f>
        <v>Phạm Ngọc Hải</v>
      </c>
      <c r="X11" s="353" t="str">
        <f>IFERROR(VLOOKUP(V11,'NS QUẢN LÝ CG'!$A$4:$D$36,4,0),"")</f>
        <v>Lô 85 DP4</v>
      </c>
      <c r="Y11" s="1104" t="str">
        <f>IFERROR(VLOOKUP(V11,'NS QUẢN LÝ CG'!$A$4:$C$36,3,0),"")</f>
        <v>0825456565</v>
      </c>
      <c r="Z11" s="766" t="str">
        <f>IFERROR(VLOOKUP(M11,'02. MM-KLH'!$B$6:$T$823,3,0),"")</f>
        <v>A23-MĐA-063</v>
      </c>
      <c r="AA11" s="353" t="str">
        <f t="shared" si="0"/>
        <v>DP</v>
      </c>
      <c r="AB11" s="766"/>
      <c r="AC11" s="731"/>
    </row>
    <row r="12" ht="13.8" spans="1:29">
      <c r="A12" s="353"/>
      <c r="B12" s="613" t="str">
        <f>IFERROR(VLOOKUP(M12,'02. MM-KLH'!$B$6:$T$823,6,0),"")</f>
        <v>Máy đào KOMATSU bánh xích gàu 0.3m3</v>
      </c>
      <c r="C12" s="353">
        <v>1</v>
      </c>
      <c r="D12" s="353" t="str">
        <f>IFERROR(VLOOKUP(M12,'02. MM-KLH'!$B$6:$T$823,16,0),"")</f>
        <v>PC40MR-3</v>
      </c>
      <c r="E12" s="353" t="s">
        <v>5978</v>
      </c>
      <c r="F12" s="353"/>
      <c r="G12" s="353"/>
      <c r="H12" s="353" t="str">
        <f>IFERROR(VLOOKUP(M12,'02. MM-KLH'!$B$6:$T$823,17,0),"")</f>
        <v>40HP</v>
      </c>
      <c r="I12" s="763">
        <f>IFERROR(VLOOKUP(M12,'02. MM-KLH'!$B$6:$U$823,20,0),"")</f>
        <v>4</v>
      </c>
      <c r="J12" s="613">
        <f>IFERROR(VLOOKUP(M12,'02. MM-KLH'!$B$6:$T$823,19,0),"")</f>
        <v>25275</v>
      </c>
      <c r="K12" s="613" t="str">
        <f>IFERROR(VLOOKUP(M12,'02. MM-KLH'!$B$6:$T$823,18,0),"")</f>
        <v>KMTPC203V04021194</v>
      </c>
      <c r="L12" s="353">
        <f>IFERROR(VLOOKUP(M12,'02. MM-KLH'!$B$6:$T$823,4,0),"")</f>
        <v>0</v>
      </c>
      <c r="M12" s="410" t="s">
        <v>574</v>
      </c>
      <c r="N12" s="356">
        <f>IFERROR(VLOOKUP(M12,'02. MM-KLH'!$B$6:$T$823,15,0),"")</f>
        <v>2013</v>
      </c>
      <c r="O12" s="764">
        <f>IFERROR(VLOOKUP(M12,'02. MM-KLH'!$B$6:$T$823,9,0),"")</f>
        <v>45298</v>
      </c>
      <c r="P12" s="353"/>
      <c r="Q12" s="353">
        <v>7102</v>
      </c>
      <c r="R12" s="353" t="s">
        <v>5978</v>
      </c>
      <c r="S12" s="353"/>
      <c r="T12" s="353"/>
      <c r="U12" s="353" t="str">
        <f>IFERROR(VLOOKUP(M12,'02. MM-KLH'!$B$6:$T$823,5,0),"")</f>
        <v>MỚI (ĐQSD)</v>
      </c>
      <c r="V12" s="766" t="str">
        <f>IFERROR(VLOOKUP(M12,'02. MM-KLH'!$B$6:$T$823,8,0),"")</f>
        <v>CGTC DP</v>
      </c>
      <c r="W12" s="353" t="str">
        <f>IFERROR(VLOOKUP(V12,'NS QUẢN LÝ CG'!$A$4:$D$36,2,0),"")</f>
        <v>Phạm Ngọc Hải</v>
      </c>
      <c r="X12" s="353" t="str">
        <f>IFERROR(VLOOKUP(V12,'NS QUẢN LÝ CG'!$A$4:$D$36,4,0),"")</f>
        <v>Lô 85 DP4</v>
      </c>
      <c r="Y12" s="1104" t="str">
        <f>IFERROR(VLOOKUP(V12,'NS QUẢN LÝ CG'!$A$4:$C$36,3,0),"")</f>
        <v>0825456565</v>
      </c>
      <c r="Z12" s="766" t="str">
        <f>IFERROR(VLOOKUP(M12,'02. MM-KLH'!$B$6:$T$823,3,0),"")</f>
        <v>A23-MĐA-047</v>
      </c>
      <c r="AA12" s="353" t="str">
        <f t="shared" si="0"/>
        <v>DP</v>
      </c>
      <c r="AB12" s="766"/>
      <c r="AC12" s="731"/>
    </row>
    <row r="13" ht="13.8" spans="1:29">
      <c r="A13" s="353"/>
      <c r="B13" s="613" t="str">
        <f>IFERROR(VLOOKUP(M13,'02. MM-KLH'!$B$6:$T$823,6,0),"")</f>
        <v>Máy đào KOMATSU bánh xích gàu 0.3m3</v>
      </c>
      <c r="C13" s="353">
        <v>1</v>
      </c>
      <c r="D13" s="353" t="str">
        <f>IFERROR(VLOOKUP(M13,'02. MM-KLH'!$B$6:$T$823,16,0),"")</f>
        <v>PC40MR-3</v>
      </c>
      <c r="E13" s="353" t="s">
        <v>5978</v>
      </c>
      <c r="F13" s="353"/>
      <c r="G13" s="353"/>
      <c r="H13" s="353" t="str">
        <f>IFERROR(VLOOKUP(M13,'02. MM-KLH'!$B$6:$T$823,17,0),"")</f>
        <v>40HP</v>
      </c>
      <c r="I13" s="763">
        <f>IFERROR(VLOOKUP(M13,'02. MM-KLH'!$B$6:$U$823,20,0),"")</f>
        <v>4</v>
      </c>
      <c r="J13" s="613">
        <f>IFERROR(VLOOKUP(M13,'02. MM-KLH'!$B$6:$T$823,19,0),"")</f>
        <v>27440</v>
      </c>
      <c r="K13" s="613" t="str">
        <f>IFERROR(VLOOKUP(M13,'02. MM-KLH'!$B$6:$T$823,18,0),"")</f>
        <v>KMTPC203K04021031</v>
      </c>
      <c r="L13" s="353">
        <f>IFERROR(VLOOKUP(M13,'02. MM-KLH'!$B$6:$T$823,4,0),"")</f>
        <v>0</v>
      </c>
      <c r="M13" s="410" t="s">
        <v>577</v>
      </c>
      <c r="N13" s="356">
        <f>IFERROR(VLOOKUP(M13,'02. MM-KLH'!$B$6:$T$823,15,0),"")</f>
        <v>2013</v>
      </c>
      <c r="O13" s="764">
        <f>IFERROR(VLOOKUP(M13,'02. MM-KLH'!$B$6:$T$823,9,0),"")</f>
        <v>45298</v>
      </c>
      <c r="P13" s="353"/>
      <c r="Q13" s="353" t="s">
        <v>1755</v>
      </c>
      <c r="R13" s="353" t="s">
        <v>5978</v>
      </c>
      <c r="S13" s="353"/>
      <c r="T13" s="353"/>
      <c r="U13" s="353" t="str">
        <f>IFERROR(VLOOKUP(M13,'02. MM-KLH'!$B$6:$T$823,5,0),"")</f>
        <v>MỚI (ĐQSD)</v>
      </c>
      <c r="V13" s="766" t="str">
        <f>IFERROR(VLOOKUP(M13,'02. MM-KLH'!$B$6:$T$823,8,0),"")</f>
        <v>CGTC DP</v>
      </c>
      <c r="W13" s="353" t="str">
        <f>IFERROR(VLOOKUP(V13,'NS QUẢN LÝ CG'!$A$4:$D$36,2,0),"")</f>
        <v>Phạm Ngọc Hải</v>
      </c>
      <c r="X13" s="353" t="str">
        <f>IFERROR(VLOOKUP(V13,'NS QUẢN LÝ CG'!$A$4:$D$36,4,0),"")</f>
        <v>Lô 85 DP4</v>
      </c>
      <c r="Y13" s="1104" t="str">
        <f>IFERROR(VLOOKUP(V13,'NS QUẢN LÝ CG'!$A$4:$C$36,3,0),"")</f>
        <v>0825456565</v>
      </c>
      <c r="Z13" s="766" t="str">
        <f>IFERROR(VLOOKUP(M13,'02. MM-KLH'!$B$6:$T$823,3,0),"")</f>
        <v>A23-MĐA-048</v>
      </c>
      <c r="AA13" s="353" t="str">
        <f t="shared" si="0"/>
        <v>DP</v>
      </c>
      <c r="AB13" s="766"/>
      <c r="AC13" s="731"/>
    </row>
    <row r="14" ht="13.8" spans="1:29">
      <c r="A14" s="353"/>
      <c r="B14" s="613" t="str">
        <f>IFERROR(VLOOKUP(M14,'02. MM-KLH'!$B$6:$T$823,6,0),"")</f>
        <v>Máy đào KOMATSU bánh xích gàu 0.3m3</v>
      </c>
      <c r="C14" s="353">
        <v>1</v>
      </c>
      <c r="D14" s="353" t="str">
        <f>IFERROR(VLOOKUP(M14,'02. MM-KLH'!$B$6:$T$823,16,0),"")</f>
        <v>PC40MR-3-AC</v>
      </c>
      <c r="E14" s="353" t="s">
        <v>5978</v>
      </c>
      <c r="F14" s="353"/>
      <c r="G14" s="353"/>
      <c r="H14" s="353" t="str">
        <f>IFERROR(VLOOKUP(M14,'02. MM-KLH'!$B$6:$T$823,17,0),"")</f>
        <v>40HP</v>
      </c>
      <c r="I14" s="763">
        <f>IFERROR(VLOOKUP(M14,'02. MM-KLH'!$B$6:$U$823,20,0),"")</f>
        <v>4</v>
      </c>
      <c r="J14" s="613" t="str">
        <f>IFERROR(VLOOKUP(M14,'02. MM-KLH'!$B$6:$T$823,19,0),"")</f>
        <v>KACJ4722</v>
      </c>
      <c r="K14" s="613" t="str">
        <f>IFERROR(VLOOKUP(M14,'02. MM-KLH'!$B$6:$T$823,18,0),"")</f>
        <v>KMTPC203KFE023963</v>
      </c>
      <c r="L14" s="353">
        <f>IFERROR(VLOOKUP(M14,'02. MM-KLH'!$B$6:$T$823,4,0),"")</f>
        <v>0</v>
      </c>
      <c r="M14" s="410" t="s">
        <v>580</v>
      </c>
      <c r="N14" s="356">
        <f>IFERROR(VLOOKUP(M14,'02. MM-KLH'!$B$6:$T$823,15,0),"")</f>
        <v>2015</v>
      </c>
      <c r="O14" s="764">
        <f>IFERROR(VLOOKUP(M14,'02. MM-KLH'!$B$6:$T$823,9,0),"")</f>
        <v>46002</v>
      </c>
      <c r="P14" s="353"/>
      <c r="Q14" s="353">
        <v>4412</v>
      </c>
      <c r="R14" s="353" t="s">
        <v>5978</v>
      </c>
      <c r="S14" s="353"/>
      <c r="T14" s="353"/>
      <c r="U14" s="353" t="str">
        <f>IFERROR(VLOOKUP(M14,'02. MM-KLH'!$B$6:$T$823,5,0),"")</f>
        <v>MỚI (ĐQSD)</v>
      </c>
      <c r="V14" s="766" t="str">
        <f>IFERROR(VLOOKUP(M14,'02. MM-KLH'!$B$6:$T$823,8,0),"")</f>
        <v>CGTC DP</v>
      </c>
      <c r="W14" s="353" t="str">
        <f>IFERROR(VLOOKUP(V14,'NS QUẢN LÝ CG'!$A$4:$D$36,2,0),"")</f>
        <v>Phạm Ngọc Hải</v>
      </c>
      <c r="X14" s="353" t="str">
        <f>IFERROR(VLOOKUP(V14,'NS QUẢN LÝ CG'!$A$4:$D$36,4,0),"")</f>
        <v>Lô 85 DP4</v>
      </c>
      <c r="Y14" s="1104" t="str">
        <f>IFERROR(VLOOKUP(V14,'NS QUẢN LÝ CG'!$A$4:$C$36,3,0),"")</f>
        <v>0825456565</v>
      </c>
      <c r="Z14" s="766" t="str">
        <f>IFERROR(VLOOKUP(M14,'02. MM-KLH'!$B$6:$T$823,3,0),"")</f>
        <v>A23-MĐA-078</v>
      </c>
      <c r="AA14" s="353" t="str">
        <f t="shared" si="0"/>
        <v>DP</v>
      </c>
      <c r="AB14" s="766"/>
      <c r="AC14" s="731"/>
    </row>
    <row r="15" ht="13.8" spans="1:29">
      <c r="A15" s="353"/>
      <c r="B15" s="613" t="str">
        <f>IFERROR(VLOOKUP(M15,'02. MM-KLH'!$B$6:$T$823,6,0),"")</f>
        <v>Máy đào KOMATSU bánh xích gàu 0.3m3</v>
      </c>
      <c r="C15" s="353">
        <v>1</v>
      </c>
      <c r="D15" s="353" t="str">
        <f>IFERROR(VLOOKUP(M15,'02. MM-KLH'!$B$6:$T$823,16,0),"")</f>
        <v>PC40MR-3</v>
      </c>
      <c r="E15" s="353" t="s">
        <v>5978</v>
      </c>
      <c r="F15" s="353"/>
      <c r="G15" s="353"/>
      <c r="H15" s="353" t="str">
        <f>IFERROR(VLOOKUP(M15,'02. MM-KLH'!$B$6:$T$823,17,0),"")</f>
        <v>39HP</v>
      </c>
      <c r="I15" s="763">
        <f>IFERROR(VLOOKUP(M15,'02. MM-KLH'!$B$6:$U$823,20,0),"")</f>
        <v>4</v>
      </c>
      <c r="J15" s="613" t="str">
        <f>IFERROR(VLOOKUP(M15,'02. MM-KLH'!$B$6:$T$823,19,0),"")</f>
        <v>CCN</v>
      </c>
      <c r="K15" s="613">
        <f>IFERROR(VLOOKUP(M15,'02. MM-KLH'!$B$6:$T$823,18,0),"")</f>
        <v>5288</v>
      </c>
      <c r="L15" s="353">
        <f>IFERROR(VLOOKUP(M15,'02. MM-KLH'!$B$6:$T$823,4,0),"")</f>
        <v>0</v>
      </c>
      <c r="M15" s="410" t="s">
        <v>1191</v>
      </c>
      <c r="N15" s="356">
        <f>IFERROR(VLOOKUP(M15,'02. MM-KLH'!$B$6:$T$823,15,0),"")</f>
        <v>2006</v>
      </c>
      <c r="O15" s="764">
        <f>IFERROR(VLOOKUP(M15,'02. MM-KLH'!$B$6:$T$823,9,0),"")</f>
        <v>45419</v>
      </c>
      <c r="P15" s="353"/>
      <c r="Q15" s="353" t="s">
        <v>1755</v>
      </c>
      <c r="R15" s="353" t="s">
        <v>5978</v>
      </c>
      <c r="S15" s="353"/>
      <c r="T15" s="353"/>
      <c r="U15" s="353" t="str">
        <f>IFERROR(VLOOKUP(M15,'02. MM-KLH'!$B$6:$T$823,5,0),"")</f>
        <v>ĐQSD</v>
      </c>
      <c r="V15" s="766" t="str">
        <f>IFERROR(VLOOKUP(M15,'02. MM-KLH'!$B$6:$T$823,8,0),"")</f>
        <v>XN Chuối DP1</v>
      </c>
      <c r="W15" s="353" t="str">
        <f>IFERROR(VLOOKUP(V15,'NS QUẢN LÝ CG'!$A$4:$D$36,2,0),"")</f>
        <v/>
      </c>
      <c r="X15" s="353" t="str">
        <f>IFERROR(VLOOKUP(V15,'NS QUẢN LÝ CG'!$A$4:$D$36,4,0),"")</f>
        <v/>
      </c>
      <c r="Y15" s="353" t="str">
        <f>IFERROR(VLOOKUP(V15,'NS QUẢN LÝ CG'!$A$4:$C$36,3,0),"")</f>
        <v/>
      </c>
      <c r="Z15" s="766" t="str">
        <f>IFERROR(VLOOKUP(M15,'02. MM-KLH'!$B$6:$T$823,3,0),"")</f>
        <v>ATT-A23-0041</v>
      </c>
      <c r="AA15" s="353" t="s">
        <v>5979</v>
      </c>
      <c r="AB15" s="766"/>
      <c r="AC15" s="731"/>
    </row>
    <row r="16" ht="13.8" spans="1:29">
      <c r="A16" s="353"/>
      <c r="B16" s="613" t="str">
        <f>IFERROR(VLOOKUP(M16,'02. MM-KLH'!$B$6:$T$823,6,0),"")</f>
        <v>Máy đào KOMATSU bánh xích gàu 0.3m3</v>
      </c>
      <c r="C16" s="353">
        <v>1</v>
      </c>
      <c r="D16" s="353" t="str">
        <f>IFERROR(VLOOKUP(M16,'02. MM-KLH'!$B$6:$T$823,16,0),"")</f>
        <v>PC40MR-3</v>
      </c>
      <c r="E16" s="353" t="s">
        <v>5978</v>
      </c>
      <c r="F16" s="353"/>
      <c r="G16" s="353"/>
      <c r="H16" s="353" t="str">
        <f>IFERROR(VLOOKUP(M16,'02. MM-KLH'!$B$6:$T$823,17,0),"")</f>
        <v>39HP</v>
      </c>
      <c r="I16" s="763">
        <f>IFERROR(VLOOKUP(M16,'02. MM-KLH'!$B$6:$U$823,20,0),"")</f>
        <v>4</v>
      </c>
      <c r="J16" s="613" t="str">
        <f>IFERROR(VLOOKUP(M16,'02. MM-KLH'!$B$6:$T$823,19,0),"")</f>
        <v>CCN</v>
      </c>
      <c r="K16" s="613">
        <f>IFERROR(VLOOKUP(M16,'02. MM-KLH'!$B$6:$T$823,18,0),"")</f>
        <v>8332</v>
      </c>
      <c r="L16" s="353">
        <f>IFERROR(VLOOKUP(M16,'02. MM-KLH'!$B$6:$T$823,4,0),"")</f>
        <v>0</v>
      </c>
      <c r="M16" s="19" t="s">
        <v>1271</v>
      </c>
      <c r="N16" s="356">
        <f>IFERROR(VLOOKUP(M16,'02. MM-KLH'!$B$6:$T$823,15,0),"")</f>
        <v>2006</v>
      </c>
      <c r="O16" s="764">
        <f>IFERROR(VLOOKUP(M16,'02. MM-KLH'!$B$6:$T$823,9,0),"")</f>
        <v>0</v>
      </c>
      <c r="P16" s="353"/>
      <c r="Q16" s="353" t="s">
        <v>1755</v>
      </c>
      <c r="R16" s="353" t="s">
        <v>5978</v>
      </c>
      <c r="S16" s="353"/>
      <c r="T16" s="353"/>
      <c r="U16" s="353" t="str">
        <f>IFERROR(VLOOKUP(M16,'02. MM-KLH'!$B$6:$T$823,5,0),"")</f>
        <v>ĐQSD</v>
      </c>
      <c r="V16" s="766" t="str">
        <f>IFERROR(VLOOKUP(M16,'02. MM-KLH'!$B$6:$T$823,8,0),"")</f>
        <v>XN Chuối DP2</v>
      </c>
      <c r="W16" s="353" t="str">
        <f>IFERROR(VLOOKUP(V16,'NS QUẢN LÝ CG'!$A$4:$D$36,2,0),"")</f>
        <v/>
      </c>
      <c r="X16" s="353" t="str">
        <f>IFERROR(VLOOKUP(V16,'NS QUẢN LÝ CG'!$A$4:$D$36,4,0),"")</f>
        <v/>
      </c>
      <c r="Y16" s="353" t="str">
        <f>IFERROR(VLOOKUP(V16,'NS QUẢN LÝ CG'!$A$4:$C$36,3,0),"")</f>
        <v/>
      </c>
      <c r="Z16" s="766" t="str">
        <f>IFERROR(VLOOKUP(M16,'02. MM-KLH'!$B$6:$T$823,3,0),"")</f>
        <v>ATT-A23-0035</v>
      </c>
      <c r="AA16" s="353" t="s">
        <v>5979</v>
      </c>
      <c r="AB16" s="766"/>
      <c r="AC16" s="731"/>
    </row>
    <row r="17" ht="13.8" spans="1:29">
      <c r="A17" s="353"/>
      <c r="B17" s="613" t="str">
        <f>IFERROR(VLOOKUP(M17,'02. MM-KLH'!$B$6:$T$823,6,0),"")</f>
        <v>Máy đào KOMATSU bánh xích gàu 0.3m3</v>
      </c>
      <c r="C17" s="353">
        <v>1</v>
      </c>
      <c r="D17" s="353" t="str">
        <f>IFERROR(VLOOKUP(M17,'02. MM-KLH'!$B$6:$T$823,16,0),"")</f>
        <v>PC40MR-3</v>
      </c>
      <c r="E17" s="353" t="s">
        <v>5978</v>
      </c>
      <c r="F17" s="353"/>
      <c r="G17" s="353"/>
      <c r="H17" s="353" t="str">
        <f>IFERROR(VLOOKUP(M17,'02. MM-KLH'!$B$6:$T$823,17,0),"")</f>
        <v>39HP</v>
      </c>
      <c r="I17" s="763">
        <f>IFERROR(VLOOKUP(M17,'02. MM-KLH'!$B$6:$U$823,20,0),"")</f>
        <v>4</v>
      </c>
      <c r="J17" s="613" t="str">
        <f>IFERROR(VLOOKUP(M17,'02. MM-KLH'!$B$6:$T$823,19,0),"")</f>
        <v>CCN</v>
      </c>
      <c r="K17" s="613">
        <f>IFERROR(VLOOKUP(M17,'02. MM-KLH'!$B$6:$T$823,18,0),"")</f>
        <v>8608</v>
      </c>
      <c r="L17" s="353">
        <f>IFERROR(VLOOKUP(M17,'02. MM-KLH'!$B$6:$T$823,4,0),"")</f>
        <v>0</v>
      </c>
      <c r="M17" s="19" t="s">
        <v>1361</v>
      </c>
      <c r="N17" s="356">
        <f>IFERROR(VLOOKUP(M17,'02. MM-KLH'!$B$6:$T$823,15,0),"")</f>
        <v>2006</v>
      </c>
      <c r="O17" s="764">
        <f>IFERROR(VLOOKUP(M17,'02. MM-KLH'!$B$6:$T$823,9,0),"")</f>
        <v>0</v>
      </c>
      <c r="P17" s="353"/>
      <c r="Q17" s="353" t="s">
        <v>1755</v>
      </c>
      <c r="R17" s="353" t="s">
        <v>5978</v>
      </c>
      <c r="S17" s="353"/>
      <c r="T17" s="353"/>
      <c r="U17" s="353" t="str">
        <f>IFERROR(VLOOKUP(M17,'02. MM-KLH'!$B$6:$T$823,5,0),"")</f>
        <v>ĐQSD</v>
      </c>
      <c r="V17" s="766" t="str">
        <f>IFERROR(VLOOKUP(M17,'02. MM-KLH'!$B$6:$T$823,8,0),"")</f>
        <v>XN Chuối DP3</v>
      </c>
      <c r="W17" s="353" t="str">
        <f>IFERROR(VLOOKUP(V17,'NS QUẢN LÝ CG'!$A$4:$D$36,2,0),"")</f>
        <v/>
      </c>
      <c r="X17" s="353" t="str">
        <f>IFERROR(VLOOKUP(V17,'NS QUẢN LÝ CG'!$A$4:$D$36,4,0),"")</f>
        <v/>
      </c>
      <c r="Y17" s="353" t="str">
        <f>IFERROR(VLOOKUP(V17,'NS QUẢN LÝ CG'!$A$4:$C$36,3,0),"")</f>
        <v/>
      </c>
      <c r="Z17" s="766" t="str">
        <f>IFERROR(VLOOKUP(M17,'02. MM-KLH'!$B$6:$T$823,3,0),"")</f>
        <v>ATT-A23-0036</v>
      </c>
      <c r="AA17" s="353" t="s">
        <v>5979</v>
      </c>
      <c r="AB17" s="766"/>
      <c r="AC17" s="731"/>
    </row>
    <row r="18" ht="13.8" spans="1:29">
      <c r="A18" s="353"/>
      <c r="B18" s="613" t="str">
        <f>IFERROR(VLOOKUP(M18,'02. MM-KLH'!$B$6:$T$823,6,0),"")</f>
        <v>Máy đào KOMATSU bánh xích gàu 0.3m3</v>
      </c>
      <c r="C18" s="353">
        <v>1</v>
      </c>
      <c r="D18" s="353" t="str">
        <f>IFERROR(VLOOKUP(M18,'02. MM-KLH'!$B$6:$T$823,16,0),"")</f>
        <v>PC40MR-3</v>
      </c>
      <c r="E18" s="353" t="s">
        <v>5978</v>
      </c>
      <c r="F18" s="353"/>
      <c r="G18" s="353"/>
      <c r="H18" s="353" t="str">
        <f>IFERROR(VLOOKUP(M18,'02. MM-KLH'!$B$6:$T$823,17,0),"")</f>
        <v>39HP</v>
      </c>
      <c r="I18" s="763">
        <f>IFERROR(VLOOKUP(M18,'02. MM-KLH'!$B$6:$U$823,20,0),"")</f>
        <v>4</v>
      </c>
      <c r="J18" s="613">
        <f>IFERROR(VLOOKUP(M18,'02. MM-KLH'!$B$6:$T$823,19,0),"")</f>
        <v>27539</v>
      </c>
      <c r="K18" s="613" t="str">
        <f>IFERROR(VLOOKUP(M18,'02. MM-KLH'!$B$6:$T$823,18,0),"")</f>
        <v>KMTPC203C04021039</v>
      </c>
      <c r="L18" s="353">
        <f>IFERROR(VLOOKUP(M18,'02. MM-KLH'!$B$6:$T$823,4,0),"")</f>
        <v>0</v>
      </c>
      <c r="M18" s="19" t="s">
        <v>1497</v>
      </c>
      <c r="N18" s="356">
        <f>IFERROR(VLOOKUP(M18,'02. MM-KLH'!$B$6:$T$823,15,0),"")</f>
        <v>2013</v>
      </c>
      <c r="O18" s="764" t="str">
        <f>IFERROR(VLOOKUP(M18,'02. MM-KLH'!$B$6:$T$823,9,0),"")</f>
        <v>27/07/2025</v>
      </c>
      <c r="P18" s="353"/>
      <c r="Q18" s="353" t="s">
        <v>1755</v>
      </c>
      <c r="R18" s="353" t="s">
        <v>5978</v>
      </c>
      <c r="S18" s="353"/>
      <c r="T18" s="353"/>
      <c r="U18" s="353" t="str">
        <f>IFERROR(VLOOKUP(M18,'02. MM-KLH'!$B$6:$T$823,5,0),"")</f>
        <v>ĐQSD</v>
      </c>
      <c r="V18" s="766" t="str">
        <f>IFERROR(VLOOKUP(M18,'02. MM-KLH'!$B$6:$T$823,8,0),"")</f>
        <v>XN Chuối LP1</v>
      </c>
      <c r="W18" s="353" t="str">
        <f>IFERROR(VLOOKUP(V18,'NS QUẢN LÝ CG'!$A$4:$D$36,2,0),"")</f>
        <v/>
      </c>
      <c r="X18" s="353" t="str">
        <f>IFERROR(VLOOKUP(V18,'NS QUẢN LÝ CG'!$A$4:$D$36,4,0),"")</f>
        <v/>
      </c>
      <c r="Y18" s="353" t="str">
        <f>IFERROR(VLOOKUP(V18,'NS QUẢN LÝ CG'!$A$4:$C$36,3,0),"")</f>
        <v/>
      </c>
      <c r="Z18" s="766" t="str">
        <f>IFERROR(VLOOKUP(M18,'02. MM-KLH'!$B$6:$T$823,3,0),"")</f>
        <v>A24-MĐA-066</v>
      </c>
      <c r="AA18" s="353" t="str">
        <f t="shared" ref="AA18:AA20" si="1">_xlfn.SWITCH(LEFT(Z18,3),"A22","ADM","A23","DP","A24","LP","")</f>
        <v>LP</v>
      </c>
      <c r="AB18" s="766"/>
      <c r="AC18" s="731"/>
    </row>
    <row r="19" ht="13.8" spans="1:29">
      <c r="A19" s="353"/>
      <c r="B19" s="613" t="str">
        <f>IFERROR(VLOOKUP(M19,'02. MM-KLH'!$B$6:$T$823,6,0),"")</f>
        <v>Máy đào KOMATSU bánh xích gàu 0.3m3</v>
      </c>
      <c r="C19" s="353">
        <v>1</v>
      </c>
      <c r="D19" s="353" t="str">
        <f>IFERROR(VLOOKUP(M19,'02. MM-KLH'!$B$6:$T$823,16,0),"")</f>
        <v>PC40MR-3</v>
      </c>
      <c r="E19" s="353" t="s">
        <v>5978</v>
      </c>
      <c r="F19" s="353"/>
      <c r="G19" s="353"/>
      <c r="H19" s="353" t="str">
        <f>IFERROR(VLOOKUP(M19,'02. MM-KLH'!$B$6:$T$823,17,0),"")</f>
        <v>39HP</v>
      </c>
      <c r="I19" s="763">
        <f>IFERROR(VLOOKUP(M19,'02. MM-KLH'!$B$6:$U$823,20,0),"")</f>
        <v>4</v>
      </c>
      <c r="J19" s="613">
        <f>IFERROR(VLOOKUP(M19,'02. MM-KLH'!$B$6:$T$823,19,0),"")</f>
        <v>29346</v>
      </c>
      <c r="K19" s="613" t="str">
        <f>IFERROR(VLOOKUP(M19,'02. MM-KLH'!$B$6:$T$823,18,0),"")</f>
        <v>KMTPC203E04021413</v>
      </c>
      <c r="L19" s="353">
        <f>IFERROR(VLOOKUP(M19,'02. MM-KLH'!$B$6:$T$823,4,0),"")</f>
        <v>0</v>
      </c>
      <c r="M19" s="19" t="s">
        <v>1502</v>
      </c>
      <c r="N19" s="356">
        <f>IFERROR(VLOOKUP(M19,'02. MM-KLH'!$B$6:$T$823,15,0),"")</f>
        <v>2013</v>
      </c>
      <c r="O19" s="764" t="str">
        <f>IFERROR(VLOOKUP(M19,'02. MM-KLH'!$B$6:$T$823,9,0),"")</f>
        <v>27/07/2025</v>
      </c>
      <c r="P19" s="353"/>
      <c r="Q19" s="353" t="s">
        <v>1755</v>
      </c>
      <c r="R19" s="353" t="s">
        <v>5978</v>
      </c>
      <c r="S19" s="353"/>
      <c r="T19" s="353"/>
      <c r="U19" s="353" t="str">
        <f>IFERROR(VLOOKUP(M19,'02. MM-KLH'!$B$6:$T$823,5,0),"")</f>
        <v>ĐQSD</v>
      </c>
      <c r="V19" s="766" t="str">
        <f>IFERROR(VLOOKUP(M19,'02. MM-KLH'!$B$6:$T$823,8,0),"")</f>
        <v>XN Chuối LP1</v>
      </c>
      <c r="W19" s="353" t="str">
        <f>IFERROR(VLOOKUP(V19,'NS QUẢN LÝ CG'!$A$4:$D$36,2,0),"")</f>
        <v/>
      </c>
      <c r="X19" s="353" t="str">
        <f>IFERROR(VLOOKUP(V19,'NS QUẢN LÝ CG'!$A$4:$D$36,4,0),"")</f>
        <v/>
      </c>
      <c r="Y19" s="353" t="str">
        <f>IFERROR(VLOOKUP(V19,'NS QUẢN LÝ CG'!$A$4:$C$36,3,0),"")</f>
        <v/>
      </c>
      <c r="Z19" s="766" t="str">
        <f>IFERROR(VLOOKUP(M19,'02. MM-KLH'!$B$6:$T$823,3,0),"")</f>
        <v>A24-MĐA-067</v>
      </c>
      <c r="AA19" s="353" t="str">
        <f t="shared" si="1"/>
        <v>LP</v>
      </c>
      <c r="AB19" s="766"/>
      <c r="AC19" s="731"/>
    </row>
    <row r="20" ht="13.8" spans="1:29">
      <c r="A20" s="353"/>
      <c r="B20" s="613" t="str">
        <f>IFERROR(VLOOKUP(M20,'02. MM-KLH'!$B$6:$T$823,6,0),"")</f>
        <v>Máy đào KOMATSU bánh xích gàu 0.3m3</v>
      </c>
      <c r="C20" s="353">
        <v>1</v>
      </c>
      <c r="D20" s="353" t="str">
        <f>IFERROR(VLOOKUP(M20,'02. MM-KLH'!$B$6:$T$823,16,0),"")</f>
        <v>PC40MR-3</v>
      </c>
      <c r="E20" s="353" t="s">
        <v>5978</v>
      </c>
      <c r="F20" s="353"/>
      <c r="G20" s="353"/>
      <c r="H20" s="353" t="str">
        <f>IFERROR(VLOOKUP(M20,'02. MM-KLH'!$B$6:$T$823,17,0),"")</f>
        <v>40HP</v>
      </c>
      <c r="I20" s="763">
        <f>IFERROR(VLOOKUP(M20,'02. MM-KLH'!$B$6:$U$823,20,0),"")</f>
        <v>4</v>
      </c>
      <c r="J20" s="613">
        <f>IFERROR(VLOOKUP(M20,'02. MM-KLH'!$B$6:$T$823,19,0),"")</f>
        <v>35099</v>
      </c>
      <c r="K20" s="613" t="str">
        <f>IFERROR(VLOOKUP(M20,'02. MM-KLH'!$B$6:$T$823,18,0),"")</f>
        <v>KMTPC203VFE022946</v>
      </c>
      <c r="L20" s="353">
        <f>IFERROR(VLOOKUP(M20,'02. MM-KLH'!$B$6:$T$823,4,0),"")</f>
        <v>0</v>
      </c>
      <c r="M20" s="410" t="s">
        <v>1505</v>
      </c>
      <c r="N20" s="356">
        <f>IFERROR(VLOOKUP(M20,'02. MM-KLH'!$B$6:$T$823,15,0),"")</f>
        <v>2015</v>
      </c>
      <c r="O20" s="764" t="str">
        <f>IFERROR(VLOOKUP(M20,'02. MM-KLH'!$B$6:$T$823,9,0),"")</f>
        <v>29/07/2024</v>
      </c>
      <c r="P20" s="353"/>
      <c r="Q20" s="353" t="s">
        <v>1755</v>
      </c>
      <c r="R20" s="353" t="s">
        <v>5978</v>
      </c>
      <c r="S20" s="353"/>
      <c r="T20" s="353"/>
      <c r="U20" s="353" t="str">
        <f>IFERROR(VLOOKUP(M20,'02. MM-KLH'!$B$6:$T$823,5,0),"")</f>
        <v>ĐQSD</v>
      </c>
      <c r="V20" s="766" t="str">
        <f>IFERROR(VLOOKUP(M20,'02. MM-KLH'!$B$6:$T$823,8,0),"")</f>
        <v>XN Chuối LP1</v>
      </c>
      <c r="W20" s="353" t="str">
        <f>IFERROR(VLOOKUP(V20,'NS QUẢN LÝ CG'!$A$4:$D$36,2,0),"")</f>
        <v/>
      </c>
      <c r="X20" s="353" t="str">
        <f>IFERROR(VLOOKUP(V20,'NS QUẢN LÝ CG'!$A$4:$D$36,4,0),"")</f>
        <v/>
      </c>
      <c r="Y20" s="353" t="str">
        <f>IFERROR(VLOOKUP(V20,'NS QUẢN LÝ CG'!$A$4:$C$36,3,0),"")</f>
        <v/>
      </c>
      <c r="Z20" s="766" t="str">
        <f>IFERROR(VLOOKUP(M20,'02. MM-KLH'!$B$6:$T$823,3,0),"")</f>
        <v>A24-MĐA-013</v>
      </c>
      <c r="AA20" s="353" t="str">
        <f t="shared" si="1"/>
        <v>LP</v>
      </c>
      <c r="AB20" s="766"/>
      <c r="AC20" s="731"/>
    </row>
    <row r="21" ht="13.8" spans="1:29">
      <c r="A21" s="353"/>
      <c r="B21" s="613" t="str">
        <f>IFERROR(VLOOKUP(M21,'02. MM-KLH'!$B$6:$T$823,6,0),"")</f>
        <v>Máy đào KOMATSU bánh xích gàu 0.3m3</v>
      </c>
      <c r="C21" s="353">
        <v>1</v>
      </c>
      <c r="D21" s="353" t="str">
        <f>IFERROR(VLOOKUP(M21,'02. MM-KLH'!$B$6:$T$823,16,0),"")</f>
        <v>PC50MR-2</v>
      </c>
      <c r="E21" s="353" t="s">
        <v>5978</v>
      </c>
      <c r="F21" s="353"/>
      <c r="G21" s="353"/>
      <c r="H21" s="353" t="str">
        <f>IFERROR(VLOOKUP(M21,'02. MM-KLH'!$B$6:$T$823,17,0),"")</f>
        <v>39HP</v>
      </c>
      <c r="I21" s="763">
        <f>IFERROR(VLOOKUP(M21,'02. MM-KLH'!$B$6:$U$823,20,0),"")</f>
        <v>4</v>
      </c>
      <c r="J21" s="613">
        <f>IFERROR(VLOOKUP(M21,'02. MM-KLH'!$B$6:$T$823,19,0),"")</f>
        <v>11014</v>
      </c>
      <c r="K21" s="613" t="str">
        <f>IFERROR(VLOOKUP(M21,'02. MM-KLH'!$B$6:$T$823,18,0),"")</f>
        <v>KMTPC094E05008137</v>
      </c>
      <c r="L21" s="353">
        <f>IFERROR(VLOOKUP(M21,'02. MM-KLH'!$B$6:$T$823,4,0),"")</f>
        <v>0</v>
      </c>
      <c r="M21" s="49" t="s">
        <v>1626</v>
      </c>
      <c r="N21" s="356">
        <f>IFERROR(VLOOKUP(M21,'02. MM-KLH'!$B$6:$T$823,15,0),"")</f>
        <v>2006</v>
      </c>
      <c r="O21" s="764" t="str">
        <f>IFERROR(VLOOKUP(M21,'02. MM-KLH'!$B$6:$T$823,9,0),"")</f>
        <v>21/02/2024</v>
      </c>
      <c r="P21" s="353"/>
      <c r="Q21" s="353" t="s">
        <v>1755</v>
      </c>
      <c r="R21" s="353" t="s">
        <v>5978</v>
      </c>
      <c r="S21" s="353"/>
      <c r="T21" s="353"/>
      <c r="U21" s="353" t="str">
        <f>IFERROR(VLOOKUP(M21,'02. MM-KLH'!$B$6:$T$823,5,0),"")</f>
        <v>ĐQSD</v>
      </c>
      <c r="V21" s="766" t="str">
        <f>IFERROR(VLOOKUP(M21,'02. MM-KLH'!$B$6:$T$823,8,0),"")</f>
        <v>XN Chuối LP3</v>
      </c>
      <c r="W21" s="353" t="str">
        <f>IFERROR(VLOOKUP(V21,'NS QUẢN LÝ CG'!$A$4:$D$36,2,0),"")</f>
        <v/>
      </c>
      <c r="X21" s="353" t="str">
        <f>IFERROR(VLOOKUP(V21,'NS QUẢN LÝ CG'!$A$4:$D$36,4,0),"")</f>
        <v/>
      </c>
      <c r="Y21" s="353" t="str">
        <f>IFERROR(VLOOKUP(V21,'NS QUẢN LÝ CG'!$A$4:$C$36,3,0),"")</f>
        <v/>
      </c>
      <c r="Z21" s="766" t="str">
        <f>IFERROR(VLOOKUP(M21,'02. MM-KLH'!$B$6:$T$823,3,0),"")</f>
        <v>ATT-A22-0233</v>
      </c>
      <c r="AA21" s="353" t="s">
        <v>5980</v>
      </c>
      <c r="AB21" s="766"/>
      <c r="AC21" s="731"/>
    </row>
    <row r="22" ht="13.8" spans="1:29">
      <c r="A22" s="353"/>
      <c r="B22" s="613" t="str">
        <f>IFERROR(VLOOKUP(M22,'02. MM-KLH'!$B$6:$T$823,6,0),"")</f>
        <v>Máy đào KOMATSU bánh xích gàu 0.3m3</v>
      </c>
      <c r="C22" s="353">
        <v>1</v>
      </c>
      <c r="D22" s="353" t="str">
        <f>IFERROR(VLOOKUP(M22,'02. MM-KLH'!$B$6:$T$823,16,0),"")</f>
        <v>PC55MR-3</v>
      </c>
      <c r="E22" s="353" t="s">
        <v>5978</v>
      </c>
      <c r="F22" s="353"/>
      <c r="G22" s="353"/>
      <c r="H22" s="353" t="str">
        <f>IFERROR(VLOOKUP(M22,'02. MM-KLH'!$B$6:$T$823,17,0),"")</f>
        <v>38HP</v>
      </c>
      <c r="I22" s="763">
        <f>IFERROR(VLOOKUP(M22,'02. MM-KLH'!$B$6:$U$823,20,0),"")</f>
        <v>4</v>
      </c>
      <c r="J22" s="613">
        <f>IFERROR(VLOOKUP(M22,'02. MM-KLH'!$B$6:$T$823,19,0),"")</f>
        <v>27150</v>
      </c>
      <c r="K22" s="613" t="str">
        <f>IFERROR(VLOOKUP(M22,'02. MM-KLH'!$B$6:$T$823,18,0),"")</f>
        <v>KMTPC212T40417418</v>
      </c>
      <c r="L22" s="353">
        <f>IFERROR(VLOOKUP(M22,'02. MM-KLH'!$B$6:$T$823,4,0),"")</f>
        <v>0</v>
      </c>
      <c r="M22" s="19" t="s">
        <v>1631</v>
      </c>
      <c r="N22" s="356">
        <f>IFERROR(VLOOKUP(M22,'02. MM-KLH'!$B$6:$T$823,15,0),"")</f>
        <v>2005</v>
      </c>
      <c r="O22" s="764" t="str">
        <f>IFERROR(VLOOKUP(M22,'02. MM-KLH'!$B$6:$T$823,9,0),"")</f>
        <v>30/06/2024</v>
      </c>
      <c r="P22" s="353"/>
      <c r="Q22" s="353" t="s">
        <v>1755</v>
      </c>
      <c r="R22" s="353" t="s">
        <v>5978</v>
      </c>
      <c r="S22" s="353"/>
      <c r="T22" s="353"/>
      <c r="U22" s="353" t="str">
        <f>IFERROR(VLOOKUP(M22,'02. MM-KLH'!$B$6:$T$823,5,0),"")</f>
        <v>ĐQSD</v>
      </c>
      <c r="V22" s="766" t="str">
        <f>IFERROR(VLOOKUP(M22,'02. MM-KLH'!$B$6:$T$823,8,0),"")</f>
        <v>XN Chuối LP3</v>
      </c>
      <c r="W22" s="353" t="str">
        <f>IFERROR(VLOOKUP(V22,'NS QUẢN LÝ CG'!$A$4:$D$36,2,0),"")</f>
        <v/>
      </c>
      <c r="X22" s="353" t="str">
        <f>IFERROR(VLOOKUP(V22,'NS QUẢN LÝ CG'!$A$4:$D$36,4,0),"")</f>
        <v/>
      </c>
      <c r="Y22" s="353" t="str">
        <f>IFERROR(VLOOKUP(V22,'NS QUẢN LÝ CG'!$A$4:$C$36,3,0),"")</f>
        <v/>
      </c>
      <c r="Z22" s="766" t="str">
        <f>IFERROR(VLOOKUP(M22,'02. MM-KLH'!$B$6:$T$823,3,0),"")</f>
        <v>A24-MĐA-049</v>
      </c>
      <c r="AA22" s="353" t="str">
        <f t="shared" ref="AA22:AA23" si="2">_xlfn.SWITCH(LEFT(Z22,3),"A22","ADM","A23","DP","A24","LP","")</f>
        <v>LP</v>
      </c>
      <c r="AB22" s="766"/>
      <c r="AC22" s="731"/>
    </row>
    <row r="23" ht="13.8" spans="1:29">
      <c r="A23" s="353"/>
      <c r="B23" s="613" t="str">
        <f>IFERROR(VLOOKUP(M23,'02. MM-KLH'!$B$6:$T$823,6,0),"")</f>
        <v>Máy đào KOMATSU bánh xích gàu 0.3m3</v>
      </c>
      <c r="C23" s="353">
        <v>1</v>
      </c>
      <c r="D23" s="353" t="str">
        <f>IFERROR(VLOOKUP(M23,'02. MM-KLH'!$B$6:$T$823,16,0),"")</f>
        <v>PC40MR-3</v>
      </c>
      <c r="E23" s="353" t="s">
        <v>5978</v>
      </c>
      <c r="F23" s="353"/>
      <c r="G23" s="353"/>
      <c r="H23" s="353" t="str">
        <f>IFERROR(VLOOKUP(M23,'02. MM-KLH'!$B$6:$T$823,17,0),"")</f>
        <v>40HP</v>
      </c>
      <c r="I23" s="763">
        <f>IFERROR(VLOOKUP(M23,'02. MM-KLH'!$B$6:$U$823,20,0),"")</f>
        <v>4</v>
      </c>
      <c r="J23" s="613">
        <f>IFERROR(VLOOKUP(M23,'02. MM-KLH'!$B$6:$T$823,19,0),"")</f>
        <v>20536</v>
      </c>
      <c r="K23" s="613" t="str">
        <f>IFERROR(VLOOKUP(M23,'02. MM-KLH'!$B$6:$T$823,18,0),"")</f>
        <v>KMTPC203A04018037</v>
      </c>
      <c r="L23" s="353">
        <f>IFERROR(VLOOKUP(M23,'02. MM-KLH'!$B$6:$T$823,4,0),"")</f>
        <v>0</v>
      </c>
      <c r="M23" s="19" t="s">
        <v>1636</v>
      </c>
      <c r="N23" s="356">
        <f>IFERROR(VLOOKUP(M23,'02. MM-KLH'!$B$6:$T$823,15,0),"")</f>
        <v>2015</v>
      </c>
      <c r="O23" s="764" t="str">
        <f>IFERROR(VLOOKUP(M23,'02. MM-KLH'!$B$6:$T$823,9,0),"")</f>
        <v>29/07/2024</v>
      </c>
      <c r="P23" s="353"/>
      <c r="Q23" s="353" t="s">
        <v>1755</v>
      </c>
      <c r="R23" s="353" t="s">
        <v>5978</v>
      </c>
      <c r="S23" s="353"/>
      <c r="T23" s="353"/>
      <c r="U23" s="353" t="str">
        <f>IFERROR(VLOOKUP(M23,'02. MM-KLH'!$B$6:$T$823,5,0),"")</f>
        <v>ĐQSD</v>
      </c>
      <c r="V23" s="766" t="str">
        <f>IFERROR(VLOOKUP(M23,'02. MM-KLH'!$B$6:$T$823,8,0),"")</f>
        <v>XN Chuối LP3</v>
      </c>
      <c r="W23" s="353" t="str">
        <f>IFERROR(VLOOKUP(V23,'NS QUẢN LÝ CG'!$A$4:$D$36,2,0),"")</f>
        <v/>
      </c>
      <c r="X23" s="353" t="str">
        <f>IFERROR(VLOOKUP(V23,'NS QUẢN LÝ CG'!$A$4:$D$36,4,0),"")</f>
        <v/>
      </c>
      <c r="Y23" s="353" t="str">
        <f>IFERROR(VLOOKUP(V23,'NS QUẢN LÝ CG'!$A$4:$C$36,3,0),"")</f>
        <v/>
      </c>
      <c r="Z23" s="766" t="str">
        <f>IFERROR(VLOOKUP(M23,'02. MM-KLH'!$B$6:$T$823,3,0),"")</f>
        <v>A24-MĐA-014</v>
      </c>
      <c r="AA23" s="353" t="str">
        <f t="shared" si="2"/>
        <v>LP</v>
      </c>
      <c r="AB23" s="766"/>
      <c r="AC23" s="731"/>
    </row>
    <row r="24" ht="13.8" spans="1:29">
      <c r="A24" s="353"/>
      <c r="B24" s="613" t="str">
        <f>IFERROR(VLOOKUP(M24,'02. MM-KLH'!$B$6:$T$823,6,0),"")</f>
        <v>Máy đào KOMATSU bánh xích gàu 0.3m3</v>
      </c>
      <c r="C24" s="353">
        <v>1</v>
      </c>
      <c r="D24" s="353" t="str">
        <f>IFERROR(VLOOKUP(M24,'02. MM-KLH'!$B$6:$T$823,16,0),"")</f>
        <v>PC55MR-3</v>
      </c>
      <c r="E24" s="353" t="s">
        <v>5978</v>
      </c>
      <c r="F24" s="353"/>
      <c r="G24" s="353"/>
      <c r="H24" s="353" t="str">
        <f>IFERROR(VLOOKUP(M24,'02. MM-KLH'!$B$6:$T$823,17,0),"")</f>
        <v>39HP</v>
      </c>
      <c r="I24" s="763">
        <f>IFERROR(VLOOKUP(M24,'02. MM-KLH'!$B$6:$U$823,20,0),"")</f>
        <v>4</v>
      </c>
      <c r="J24" s="613">
        <f>IFERROR(VLOOKUP(M24,'02. MM-KLH'!$B$6:$T$823,19,0),"")</f>
        <v>21629</v>
      </c>
      <c r="K24" s="613" t="str">
        <f>IFERROR(VLOOKUP(M24,'02. MM-KLH'!$B$6:$T$823,18,0),"")</f>
        <v>KMTPC212P040416271</v>
      </c>
      <c r="L24" s="353">
        <f>IFERROR(VLOOKUP(M24,'02. MM-KLH'!$B$6:$T$823,4,0),"")</f>
        <v>0</v>
      </c>
      <c r="M24" s="49" t="s">
        <v>1639</v>
      </c>
      <c r="N24" s="356">
        <f>IFERROR(VLOOKUP(M24,'02. MM-KLH'!$B$6:$T$823,15,0),"")</f>
        <v>2010</v>
      </c>
      <c r="O24" s="764">
        <f>IFERROR(VLOOKUP(M24,'02. MM-KLH'!$B$6:$T$823,9,0),"")</f>
        <v>0</v>
      </c>
      <c r="P24" s="353"/>
      <c r="Q24" s="353" t="s">
        <v>1755</v>
      </c>
      <c r="R24" s="353"/>
      <c r="S24" s="353"/>
      <c r="T24" s="353" t="s">
        <v>5978</v>
      </c>
      <c r="U24" s="353" t="str">
        <f>IFERROR(VLOOKUP(M24,'02. MM-KLH'!$B$6:$T$823,5,0),"")</f>
        <v>ĐQSD</v>
      </c>
      <c r="V24" s="766" t="str">
        <f>IFERROR(VLOOKUP(M24,'02. MM-KLH'!$B$6:$T$823,8,0),"")</f>
        <v>XN Chuối LP3</v>
      </c>
      <c r="W24" s="353" t="str">
        <f>IFERROR(VLOOKUP(V24,'NS QUẢN LÝ CG'!$A$4:$D$36,2,0),"")</f>
        <v/>
      </c>
      <c r="X24" s="353" t="str">
        <f>IFERROR(VLOOKUP(V24,'NS QUẢN LÝ CG'!$A$4:$D$36,4,0),"")</f>
        <v/>
      </c>
      <c r="Y24" s="353" t="str">
        <f>IFERROR(VLOOKUP(V24,'NS QUẢN LÝ CG'!$A$4:$C$36,3,0),"")</f>
        <v/>
      </c>
      <c r="Z24" s="766" t="str">
        <f>IFERROR(VLOOKUP(M24,'02. MM-KLH'!$B$6:$T$823,3,0),"")</f>
        <v>ATT-A22-0236</v>
      </c>
      <c r="AA24" s="353" t="s">
        <v>5980</v>
      </c>
      <c r="AB24" s="766"/>
      <c r="AC24" s="731"/>
    </row>
    <row r="25" ht="13.8" spans="1:29">
      <c r="A25" s="353"/>
      <c r="B25" s="613" t="str">
        <f>IFERROR(VLOOKUP(M25,'02. MM-KLH'!$B$6:$T$823,6,0),"")</f>
        <v>Máy đào KOMATSU bánh xích gàu 0.3m3</v>
      </c>
      <c r="C25" s="353">
        <v>1</v>
      </c>
      <c r="D25" s="353" t="str">
        <f>IFERROR(VLOOKUP(M25,'02. MM-KLH'!$B$6:$T$823,16,0),"")</f>
        <v>PC50MR-2</v>
      </c>
      <c r="E25" s="353" t="s">
        <v>5978</v>
      </c>
      <c r="F25" s="353"/>
      <c r="G25" s="353"/>
      <c r="H25" s="353" t="str">
        <f>IFERROR(VLOOKUP(M25,'02. MM-KLH'!$B$6:$T$823,17,0),"")</f>
        <v>39HP</v>
      </c>
      <c r="I25" s="763">
        <f>IFERROR(VLOOKUP(M25,'02. MM-KLH'!$B$6:$U$823,20,0),"")</f>
        <v>4</v>
      </c>
      <c r="J25" s="613" t="str">
        <f>IFERROR(VLOOKUP(M25,'02. MM-KLH'!$B$6:$T$823,19,0),"")</f>
        <v>CCN</v>
      </c>
      <c r="K25" s="613" t="str">
        <f>IFERROR(VLOOKUP(M25,'02. MM-KLH'!$B$6:$T$823,18,0),"")</f>
        <v>KMTPC094K05007351</v>
      </c>
      <c r="L25" s="353">
        <f>IFERROR(VLOOKUP(M25,'02. MM-KLH'!$B$6:$T$823,4,0),"")</f>
        <v>0</v>
      </c>
      <c r="M25" s="49" t="s">
        <v>2166</v>
      </c>
      <c r="N25" s="356">
        <f>IFERROR(VLOOKUP(M25,'02. MM-KLH'!$B$6:$T$823,15,0),"")</f>
        <v>2006</v>
      </c>
      <c r="O25" s="764">
        <f>IFERROR(VLOOKUP(M25,'02. MM-KLH'!$B$6:$T$823,9,0),"")</f>
        <v>0</v>
      </c>
      <c r="P25" s="353"/>
      <c r="Q25" s="353" t="s">
        <v>1755</v>
      </c>
      <c r="R25" s="353"/>
      <c r="S25" s="353" t="s">
        <v>5978</v>
      </c>
      <c r="T25" s="353"/>
      <c r="U25" s="353" t="str">
        <f>IFERROR(VLOOKUP(M25,'02. MM-KLH'!$B$6:$T$823,5,0),"")</f>
        <v>ĐQSD</v>
      </c>
      <c r="V25" s="766" t="str">
        <f>IFERROR(VLOOKUP(M25,'02. MM-KLH'!$B$6:$T$823,8,0),"")</f>
        <v>XN Bò AD</v>
      </c>
      <c r="W25" s="353" t="str">
        <f>IFERROR(VLOOKUP(V25,'NS QUẢN LÝ CG'!$A$4:$D$36,2,0),"")</f>
        <v/>
      </c>
      <c r="X25" s="353" t="str">
        <f>IFERROR(VLOOKUP(V25,'NS QUẢN LÝ CG'!$A$4:$D$36,4,0),"")</f>
        <v/>
      </c>
      <c r="Y25" s="353" t="str">
        <f>IFERROR(VLOOKUP(V25,'NS QUẢN LÝ CG'!$A$4:$C$36,3,0),"")</f>
        <v/>
      </c>
      <c r="Z25" s="766" t="str">
        <f>IFERROR(VLOOKUP(M25,'02. MM-KLH'!$B$6:$T$823,3,0),"")</f>
        <v>ATT-A23-0042</v>
      </c>
      <c r="AA25" s="353" t="s">
        <v>5979</v>
      </c>
      <c r="AB25" s="766"/>
      <c r="AC25" s="731"/>
    </row>
    <row r="26" ht="13.8" spans="1:29">
      <c r="A26" s="353"/>
      <c r="B26" s="613" t="str">
        <f>IFERROR(VLOOKUP(M26,'02. MM-KLH'!$B$6:$T$823,6,0),"")</f>
        <v>Máy đào KOMATSU bánh xích gàu 0.3m3</v>
      </c>
      <c r="C26" s="353">
        <v>1</v>
      </c>
      <c r="D26" s="353" t="str">
        <f>IFERROR(VLOOKUP(M26,'02. MM-KLH'!$B$6:$T$823,16,0),"")</f>
        <v>PC40MR-3</v>
      </c>
      <c r="E26" s="353" t="s">
        <v>5978</v>
      </c>
      <c r="F26" s="353"/>
      <c r="G26" s="353"/>
      <c r="H26" s="353" t="str">
        <f>IFERROR(VLOOKUP(M26,'02. MM-KLH'!$B$6:$T$823,17,0),"")</f>
        <v>39HP</v>
      </c>
      <c r="I26" s="763">
        <f>IFERROR(VLOOKUP(M26,'02. MM-KLH'!$B$6:$U$823,20,0),"")</f>
        <v>4</v>
      </c>
      <c r="J26" s="613">
        <f>IFERROR(VLOOKUP(M26,'02. MM-KLH'!$B$6:$T$823,19,0),"")</f>
        <v>32816</v>
      </c>
      <c r="K26" s="613" t="str">
        <f>IFERROR(VLOOKUP(M26,'02. MM-KLH'!$B$6:$T$823,18,0),"")</f>
        <v>KMTPC023LEE022317</v>
      </c>
      <c r="L26" s="353">
        <f>IFERROR(VLOOKUP(M26,'02. MM-KLH'!$B$6:$T$823,4,0),"")</f>
        <v>0</v>
      </c>
      <c r="M26" s="19" t="s">
        <v>885</v>
      </c>
      <c r="N26" s="356">
        <f>IFERROR(VLOOKUP(M26,'02. MM-KLH'!$B$6:$T$823,15,0),"")</f>
        <v>2014</v>
      </c>
      <c r="O26" s="764">
        <f>IFERROR(VLOOKUP(M26,'02. MM-KLH'!$B$6:$T$823,9,0),"")</f>
        <v>44199</v>
      </c>
      <c r="P26" s="353"/>
      <c r="Q26" s="353" t="s">
        <v>1755</v>
      </c>
      <c r="R26" s="353" t="s">
        <v>5978</v>
      </c>
      <c r="S26" s="353"/>
      <c r="T26" s="353"/>
      <c r="U26" s="353" t="str">
        <f>IFERROR(VLOOKUP(M26,'02. MM-KLH'!$B$6:$T$823,5,0),"")</f>
        <v>ĐQSD</v>
      </c>
      <c r="V26" s="766" t="str">
        <f>IFERROR(VLOOKUP(M26,'02. MM-KLH'!$B$6:$T$823,8,0),"")</f>
        <v>CGTC AD</v>
      </c>
      <c r="W26" s="353" t="str">
        <f>IFERROR(VLOOKUP(V26,'NS QUẢN LÝ CG'!$A$4:$D$36,2,0),"")</f>
        <v>Vũ Trung Kiên</v>
      </c>
      <c r="X26" s="353" t="str">
        <f>IFERROR(VLOOKUP(V26,'NS QUẢN LÝ CG'!$A$4:$D$36,4,0),"")</f>
        <v>Lô 73 ADM</v>
      </c>
      <c r="Y26" s="1104" t="str">
        <f>IFERROR(VLOOKUP(V26,'NS QUẢN LÝ CG'!$A$4:$C$36,3,0),"")</f>
        <v>0981761677</v>
      </c>
      <c r="Z26" s="766" t="str">
        <f>IFERROR(VLOOKUP(M26,'02. MM-KLH'!$B$6:$T$823,3,0),"")</f>
        <v>ATT-A22-0231</v>
      </c>
      <c r="AA26" s="353" t="s">
        <v>5980</v>
      </c>
      <c r="AB26" s="766"/>
      <c r="AC26" s="731"/>
    </row>
    <row r="27" spans="1:29">
      <c r="A27" s="353"/>
      <c r="B27" s="613" t="str">
        <f>IFERROR(VLOOKUP(M27,'02. MM-KLH'!$B$6:$T$823,6,0),"")</f>
        <v>Máy đào KOMATSU bánh xích gàu 0.3m3</v>
      </c>
      <c r="C27" s="353">
        <v>1</v>
      </c>
      <c r="D27" s="353" t="str">
        <f>IFERROR(VLOOKUP(M27,'02. MM-KLH'!$B$6:$T$823,16,0),"")</f>
        <v>PC55MR-3</v>
      </c>
      <c r="E27" s="353" t="s">
        <v>5978</v>
      </c>
      <c r="F27" s="353"/>
      <c r="G27" s="353"/>
      <c r="H27" s="353" t="str">
        <f>IFERROR(VLOOKUP(M27,'02. MM-KLH'!$B$6:$T$823,17,0),"")</f>
        <v>40HP</v>
      </c>
      <c r="I27" s="763">
        <f>IFERROR(VLOOKUP(M27,'02. MM-KLH'!$B$6:$U$823,20,0),"")</f>
        <v>4</v>
      </c>
      <c r="J27" s="613">
        <f>IFERROR(VLOOKUP(M27,'02. MM-KLH'!$B$6:$T$823,19,0),"")</f>
        <v>26018</v>
      </c>
      <c r="K27" s="613" t="str">
        <f>IFERROR(VLOOKUP(M27,'02. MM-KLH'!$B$6:$T$823,18,0),"")</f>
        <v>KMTPC212J04017231</v>
      </c>
      <c r="L27" s="353">
        <f>IFERROR(VLOOKUP(M27,'02. MM-KLH'!$B$6:$T$823,4,0),"")</f>
        <v>0</v>
      </c>
      <c r="M27" s="410" t="s">
        <v>903</v>
      </c>
      <c r="N27" s="356">
        <f>IFERROR(VLOOKUP(M27,'02. MM-KLH'!$B$6:$T$823,15,0),"")</f>
        <v>2012</v>
      </c>
      <c r="O27" s="764">
        <f>IFERROR(VLOOKUP(M27,'02. MM-KLH'!$B$6:$T$823,9,0),"")</f>
        <v>45963</v>
      </c>
      <c r="P27" s="218"/>
      <c r="Q27" s="765">
        <v>5474</v>
      </c>
      <c r="R27" s="353" t="s">
        <v>5978</v>
      </c>
      <c r="S27" s="353"/>
      <c r="T27" s="353"/>
      <c r="U27" s="353" t="str">
        <f>IFERROR(VLOOKUP(M27,'02. MM-KLH'!$B$6:$T$823,5,0),"")</f>
        <v>MỚI (ĐQSD)</v>
      </c>
      <c r="V27" s="766" t="str">
        <f>IFERROR(VLOOKUP(M27,'02. MM-KLH'!$B$6:$T$823,8,0),"")</f>
        <v>CGTC AD</v>
      </c>
      <c r="W27" s="353" t="str">
        <f>IFERROR(VLOOKUP(V27,'NS QUẢN LÝ CG'!$A$4:$D$36,2,0),"")</f>
        <v>Vũ Trung Kiên</v>
      </c>
      <c r="X27" s="353" t="str">
        <f>IFERROR(VLOOKUP(V27,'NS QUẢN LÝ CG'!$A$4:$D$36,4,0),"")</f>
        <v>Lô 73 ADM</v>
      </c>
      <c r="Y27" s="1104" t="str">
        <f>IFERROR(VLOOKUP(V27,'NS QUẢN LÝ CG'!$A$4:$C$36,3,0),"")</f>
        <v>0981761677</v>
      </c>
      <c r="Z27" s="766" t="str">
        <f>IFERROR(VLOOKUP(M27,'02. MM-KLH'!$B$6:$T$823,3,0),"")</f>
        <v>A23-MĐA-065</v>
      </c>
      <c r="AA27" s="353" t="str">
        <f t="shared" ref="AA27:AA37" si="3">_xlfn.SWITCH(LEFT(Z27,3),"A22","ADM","A23","DP","A24","LP","")</f>
        <v>DP</v>
      </c>
      <c r="AB27" s="766"/>
      <c r="AC27" s="731"/>
    </row>
    <row r="28" spans="1:29">
      <c r="A28" s="353"/>
      <c r="B28" s="613" t="str">
        <f>IFERROR(VLOOKUP(M28,'02. MM-KLH'!$B$6:$T$823,6,0),"")</f>
        <v>Máy đào KOMATSU bánh xích gàu 0.3m3</v>
      </c>
      <c r="C28" s="353">
        <v>1</v>
      </c>
      <c r="D28" s="353" t="str">
        <f>IFERROR(VLOOKUP(M28,'02. MM-KLH'!$B$6:$T$823,16,0),"")</f>
        <v>PC55MR-3</v>
      </c>
      <c r="E28" s="353" t="s">
        <v>5978</v>
      </c>
      <c r="F28" s="353"/>
      <c r="G28" s="353"/>
      <c r="H28" s="353" t="str">
        <f>IFERROR(VLOOKUP(M28,'02. MM-KLH'!$B$6:$T$823,17,0),"")</f>
        <v>40HP</v>
      </c>
      <c r="I28" s="763">
        <f>IFERROR(VLOOKUP(M28,'02. MM-KLH'!$B$6:$U$823,20,0),"")</f>
        <v>4</v>
      </c>
      <c r="J28" s="613">
        <f>IFERROR(VLOOKUP(M28,'02. MM-KLH'!$B$6:$T$823,19,0),"")</f>
        <v>25186</v>
      </c>
      <c r="K28" s="613" t="str">
        <f>IFERROR(VLOOKUP(M28,'02. MM-KLH'!$B$6:$T$823,18,0),"")</f>
        <v>KMTPC212K04017065</v>
      </c>
      <c r="L28" s="353">
        <f>IFERROR(VLOOKUP(M28,'02. MM-KLH'!$B$6:$T$823,4,0),"")</f>
        <v>0</v>
      </c>
      <c r="M28" s="49" t="s">
        <v>906</v>
      </c>
      <c r="N28" s="356">
        <f>IFERROR(VLOOKUP(M28,'02. MM-KLH'!$B$6:$T$823,15,0),"")</f>
        <v>2012</v>
      </c>
      <c r="O28" s="764">
        <f>IFERROR(VLOOKUP(M28,'02. MM-KLH'!$B$6:$T$823,9,0),"")</f>
        <v>45660</v>
      </c>
      <c r="P28" s="218"/>
      <c r="Q28" s="765">
        <v>5614</v>
      </c>
      <c r="R28" s="353" t="s">
        <v>5978</v>
      </c>
      <c r="S28" s="353"/>
      <c r="T28" s="353"/>
      <c r="U28" s="353" t="str">
        <f>IFERROR(VLOOKUP(M28,'02. MM-KLH'!$B$6:$T$823,5,0),"")</f>
        <v>MỚI (ĐQSD)</v>
      </c>
      <c r="V28" s="766" t="str">
        <f>IFERROR(VLOOKUP(M28,'02. MM-KLH'!$B$6:$T$823,8,0),"")</f>
        <v>CGTC AD</v>
      </c>
      <c r="W28" s="353" t="str">
        <f>IFERROR(VLOOKUP(V28,'NS QUẢN LÝ CG'!$A$4:$D$36,2,0),"")</f>
        <v>Vũ Trung Kiên</v>
      </c>
      <c r="X28" s="353" t="str">
        <f>IFERROR(VLOOKUP(V28,'NS QUẢN LÝ CG'!$A$4:$D$36,4,0),"")</f>
        <v>Lô 73 ADM</v>
      </c>
      <c r="Y28" s="1104" t="str">
        <f>IFERROR(VLOOKUP(V28,'NS QUẢN LÝ CG'!$A$4:$C$36,3,0),"")</f>
        <v>0981761677</v>
      </c>
      <c r="Z28" s="766" t="str">
        <f>IFERROR(VLOOKUP(M28,'02. MM-KLH'!$B$6:$T$823,3,0),"")</f>
        <v>A22-MĐA-069</v>
      </c>
      <c r="AA28" s="353" t="str">
        <f t="shared" si="3"/>
        <v>ADM</v>
      </c>
      <c r="AB28" s="766"/>
      <c r="AC28" s="731"/>
    </row>
    <row r="29" ht="13.8" spans="1:29">
      <c r="A29" s="353"/>
      <c r="B29" s="613" t="str">
        <f>IFERROR(VLOOKUP(M29,'02. MM-KLH'!$B$6:$T$823,6,0),"")</f>
        <v>Máy đào KOMATSU bánh xích gàu 0.3m3</v>
      </c>
      <c r="C29" s="353">
        <v>1</v>
      </c>
      <c r="D29" s="353" t="str">
        <f>IFERROR(VLOOKUP(M29,'02. MM-KLH'!$B$6:$T$823,16,0),"")</f>
        <v>PC40-MR</v>
      </c>
      <c r="E29" s="353" t="s">
        <v>5978</v>
      </c>
      <c r="F29" s="353"/>
      <c r="G29" s="353"/>
      <c r="H29" s="353" t="str">
        <f>IFERROR(VLOOKUP(M29,'02. MM-KLH'!$B$6:$T$823,17,0),"")</f>
        <v>39HP</v>
      </c>
      <c r="I29" s="763">
        <f>IFERROR(VLOOKUP(M29,'02. MM-KLH'!$B$6:$U$823,20,0),"")</f>
        <v>4</v>
      </c>
      <c r="J29" s="613" t="str">
        <f>IFERROR(VLOOKUP(M29,'02. MM-KLH'!$B$6:$T$823,19,0),"")</f>
        <v>CCN</v>
      </c>
      <c r="K29" s="613">
        <f>IFERROR(VLOOKUP(M29,'02. MM-KLH'!$B$6:$T$823,18,0),"")</f>
        <v>9101</v>
      </c>
      <c r="L29" s="353">
        <f>IFERROR(VLOOKUP(M29,'02. MM-KLH'!$B$6:$T$823,4,0),"")</f>
        <v>0</v>
      </c>
      <c r="M29" s="19" t="s">
        <v>762</v>
      </c>
      <c r="N29" s="356">
        <f>IFERROR(VLOOKUP(M29,'02. MM-KLH'!$B$6:$T$823,15,0),"")</f>
        <v>2006</v>
      </c>
      <c r="O29" s="764" t="str">
        <f>IFERROR(VLOOKUP(M29,'02. MM-KLH'!$B$6:$T$823,9,0),"")</f>
        <v>16/07/2024</v>
      </c>
      <c r="P29" s="353"/>
      <c r="Q29" s="353" t="s">
        <v>1755</v>
      </c>
      <c r="R29" s="353" t="s">
        <v>5978</v>
      </c>
      <c r="S29" s="353"/>
      <c r="T29" s="353"/>
      <c r="U29" s="353" t="str">
        <f>IFERROR(VLOOKUP(M29,'02. MM-KLH'!$B$6:$T$823,5,0),"")</f>
        <v>ĐQSD</v>
      </c>
      <c r="V29" s="766" t="str">
        <f>IFERROR(VLOOKUP(M29,'02. MM-KLH'!$B$6:$T$823,8,0),"")</f>
        <v>CGTC LP</v>
      </c>
      <c r="W29" s="353" t="str">
        <f>IFERROR(VLOOKUP(V29,'NS QUẢN LÝ CG'!$A$4:$D$36,2,0),"")</f>
        <v>Đỗ Đức Nghĩa</v>
      </c>
      <c r="X29" s="353" t="str">
        <f>IFERROR(VLOOKUP(V29,'NS QUẢN LÝ CG'!$A$4:$D$36,4,0),"")</f>
        <v>NOCN L.4-LP3</v>
      </c>
      <c r="Y29" s="1104" t="str">
        <f>IFERROR(VLOOKUP(V29,'NS QUẢN LÝ CG'!$A$4:$C$36,3,0),"")</f>
        <v>0971462780</v>
      </c>
      <c r="Z29" s="766" t="str">
        <f>IFERROR(VLOOKUP(M29,'02. MM-KLH'!$B$6:$T$823,3,0),"")</f>
        <v>A24-MĐA-012</v>
      </c>
      <c r="AA29" s="353" t="str">
        <f t="shared" si="3"/>
        <v>LP</v>
      </c>
      <c r="AB29" s="766"/>
      <c r="AC29" s="731"/>
    </row>
    <row r="30" ht="13.8" spans="1:29">
      <c r="A30" s="353"/>
      <c r="B30" s="613" t="str">
        <f>IFERROR(VLOOKUP(M30,'02. MM-KLH'!$B$6:$T$823,6,0),"")</f>
        <v>Máy đào KOMATSU bánh lốp gàu 0.7m3</v>
      </c>
      <c r="C30" s="353">
        <v>1</v>
      </c>
      <c r="D30" s="353" t="str">
        <f>IFERROR(VLOOKUP(M30,'02. MM-KLH'!$B$6:$T$823,16,0),"")</f>
        <v>PW160-7</v>
      </c>
      <c r="E30" s="353" t="s">
        <v>5978</v>
      </c>
      <c r="F30" s="353"/>
      <c r="G30" s="353"/>
      <c r="H30" s="353" t="str">
        <f>IFERROR(VLOOKUP(M30,'02. MM-KLH'!$B$6:$T$823,17,0),"")</f>
        <v>120HP</v>
      </c>
      <c r="I30" s="763">
        <f>IFERROR(VLOOKUP(M30,'02. MM-KLH'!$B$6:$U$823,20,0),"")</f>
        <v>10</v>
      </c>
      <c r="J30" s="613">
        <f>IFERROR(VLOOKUP(M30,'02. MM-KLH'!$B$6:$T$823,19,0),"")</f>
        <v>21721047</v>
      </c>
      <c r="K30" s="613" t="str">
        <f>IFERROR(VLOOKUP(M30,'02. MM-KLH'!$B$6:$T$823,18,0),"")</f>
        <v>KMTPW013T79H50346</v>
      </c>
      <c r="L30" s="353">
        <f>IFERROR(VLOOKUP(M30,'02. MM-KLH'!$B$6:$T$823,4,0),"")</f>
        <v>0</v>
      </c>
      <c r="M30" s="410" t="s">
        <v>594</v>
      </c>
      <c r="N30" s="356">
        <f>IFERROR(VLOOKUP(M30,'02. MM-KLH'!$B$6:$T$823,15,0),"")</f>
        <v>2006</v>
      </c>
      <c r="O30" s="764">
        <f>IFERROR(VLOOKUP(M30,'02. MM-KLH'!$B$6:$T$823,9,0),"")</f>
        <v>45963</v>
      </c>
      <c r="P30" s="353"/>
      <c r="Q30" s="353">
        <v>6345</v>
      </c>
      <c r="R30" s="353" t="s">
        <v>5978</v>
      </c>
      <c r="S30" s="353"/>
      <c r="T30" s="353"/>
      <c r="U30" s="353" t="str">
        <f>IFERROR(VLOOKUP(M30,'02. MM-KLH'!$B$6:$T$823,5,0),"")</f>
        <v>MỚI (ĐQSD)</v>
      </c>
      <c r="V30" s="766" t="str">
        <f>IFERROR(VLOOKUP(M30,'02. MM-KLH'!$B$6:$T$823,8,0),"")</f>
        <v>CGTC DP</v>
      </c>
      <c r="W30" s="353" t="str">
        <f>IFERROR(VLOOKUP(V30,'NS QUẢN LÝ CG'!$A$4:$D$36,2,0),"")</f>
        <v>Phạm Ngọc Hải</v>
      </c>
      <c r="X30" s="353" t="str">
        <f>IFERROR(VLOOKUP(V30,'NS QUẢN LÝ CG'!$A$4:$D$36,4,0),"")</f>
        <v>Lô 85 DP4</v>
      </c>
      <c r="Y30" s="1104" t="str">
        <f>IFERROR(VLOOKUP(V30,'NS QUẢN LÝ CG'!$A$4:$C$36,3,0),"")</f>
        <v>0825456565</v>
      </c>
      <c r="Z30" s="766" t="str">
        <f>IFERROR(VLOOKUP(M30,'02. MM-KLH'!$B$6:$T$823,3,0),"")</f>
        <v>A23-MĐA-066</v>
      </c>
      <c r="AA30" s="353" t="str">
        <f t="shared" si="3"/>
        <v>DP</v>
      </c>
      <c r="AB30" s="766"/>
      <c r="AC30" s="731"/>
    </row>
    <row r="31" ht="13.8" spans="1:29">
      <c r="A31" s="353"/>
      <c r="B31" s="613" t="str">
        <f>IFERROR(VLOOKUP(M31,'02. MM-KLH'!$B$6:$T$823,6,0),"")</f>
        <v>Máy đào KOMATSU bánh lốp gàu 0.7m3</v>
      </c>
      <c r="C31" s="353">
        <v>1</v>
      </c>
      <c r="D31" s="353" t="str">
        <f>IFERROR(VLOOKUP(M31,'02. MM-KLH'!$B$6:$T$823,16,0),"")</f>
        <v>PW200-1</v>
      </c>
      <c r="E31" s="353" t="s">
        <v>5978</v>
      </c>
      <c r="F31" s="353"/>
      <c r="G31" s="353"/>
      <c r="H31" s="353" t="str">
        <f>IFERROR(VLOOKUP(M31,'02. MM-KLH'!$B$6:$T$823,17,0),"")</f>
        <v>115HP</v>
      </c>
      <c r="I31" s="763">
        <f>IFERROR(VLOOKUP(M31,'02. MM-KLH'!$B$6:$U$823,20,0),"")</f>
        <v>10</v>
      </c>
      <c r="J31" s="613" t="str">
        <f>IFERROR(VLOOKUP(M31,'02. MM-KLH'!$B$6:$T$823,19,0),"")</f>
        <v>6D105121806</v>
      </c>
      <c r="K31" s="613" t="str">
        <f>IFERROR(VLOOKUP(M31,'02. MM-KLH'!$B$6:$T$823,18,0),"")</f>
        <v>PW200110186</v>
      </c>
      <c r="L31" s="353">
        <f>IFERROR(VLOOKUP(M31,'02. MM-KLH'!$B$6:$T$823,4,0),"")</f>
        <v>0</v>
      </c>
      <c r="M31" s="19" t="s">
        <v>802</v>
      </c>
      <c r="N31" s="356">
        <f>IFERROR(VLOOKUP(M31,'02. MM-KLH'!$B$6:$T$823,15,0),"")</f>
        <v>1990</v>
      </c>
      <c r="O31" s="764" t="str">
        <f>IFERROR(VLOOKUP(M31,'02. MM-KLH'!$B$6:$T$823,9,0),"")</f>
        <v>27/07/2025</v>
      </c>
      <c r="P31" s="353"/>
      <c r="Q31" s="353" t="s">
        <v>1755</v>
      </c>
      <c r="R31" s="353" t="s">
        <v>5978</v>
      </c>
      <c r="S31" s="353"/>
      <c r="T31" s="353"/>
      <c r="U31" s="353" t="str">
        <f>IFERROR(VLOOKUP(M31,'02. MM-KLH'!$B$6:$T$823,5,0),"")</f>
        <v>MỚI (ĐQSD)</v>
      </c>
      <c r="V31" s="766" t="str">
        <f>IFERROR(VLOOKUP(M31,'02. MM-KLH'!$B$6:$T$823,8,0),"")</f>
        <v>CGTC LP</v>
      </c>
      <c r="W31" s="353" t="str">
        <f>IFERROR(VLOOKUP(V31,'NS QUẢN LÝ CG'!$A$4:$D$36,2,0),"")</f>
        <v>Đỗ Đức Nghĩa</v>
      </c>
      <c r="X31" s="353" t="str">
        <f>IFERROR(VLOOKUP(V31,'NS QUẢN LÝ CG'!$A$4:$D$36,4,0),"")</f>
        <v>NOCN L.4-LP3</v>
      </c>
      <c r="Y31" s="1104" t="str">
        <f>IFERROR(VLOOKUP(V31,'NS QUẢN LÝ CG'!$A$4:$C$36,3,0),"")</f>
        <v>0971462780</v>
      </c>
      <c r="Z31" s="766" t="str">
        <f>IFERROR(VLOOKUP(M31,'02. MM-KLH'!$B$6:$T$823,3,0),"")</f>
        <v>A24-MĐA-068</v>
      </c>
      <c r="AA31" s="353" t="str">
        <f t="shared" si="3"/>
        <v>LP</v>
      </c>
      <c r="AB31" s="766"/>
      <c r="AC31" s="731"/>
    </row>
    <row r="32" ht="13.8" spans="1:29">
      <c r="A32" s="353"/>
      <c r="B32" s="613" t="str">
        <f>IFERROR(VLOOKUP(M32,'02. MM-KLH'!$B$6:$T$823,6,0),"")</f>
        <v>Máy đào KOMATSU bánh lốp gàu 0.7m3</v>
      </c>
      <c r="C32" s="353">
        <v>1</v>
      </c>
      <c r="D32" s="353" t="str">
        <f>IFERROR(VLOOKUP(M32,'02. MM-KLH'!$B$6:$T$823,16,0),"")</f>
        <v>PW160-7</v>
      </c>
      <c r="E32" s="353" t="s">
        <v>5978</v>
      </c>
      <c r="F32" s="353"/>
      <c r="G32" s="353"/>
      <c r="H32" s="353" t="str">
        <f>IFERROR(VLOOKUP(M32,'02. MM-KLH'!$B$6:$T$823,17,0),"")</f>
        <v>120HP</v>
      </c>
      <c r="I32" s="763">
        <f>IFERROR(VLOOKUP(M32,'02. MM-KLH'!$B$6:$U$823,20,0),"")</f>
        <v>10</v>
      </c>
      <c r="J32" s="613">
        <f>IFERROR(VLOOKUP(M32,'02. MM-KLH'!$B$6:$T$823,19,0),"")</f>
        <v>21711747</v>
      </c>
      <c r="K32" s="613" t="str">
        <f>IFERROR(VLOOKUP(M32,'02. MM-KLH'!$B$6:$T$823,18,0),"")</f>
        <v>KMTPW013K79H50270</v>
      </c>
      <c r="L32" s="353">
        <f>IFERROR(VLOOKUP(M32,'02. MM-KLH'!$B$6:$T$823,4,0),"")</f>
        <v>0</v>
      </c>
      <c r="M32" s="49" t="s">
        <v>2176</v>
      </c>
      <c r="N32" s="356">
        <f>IFERROR(VLOOKUP(M32,'02. MM-KLH'!$B$6:$T$823,15,0),"")</f>
        <v>2006</v>
      </c>
      <c r="O32" s="764">
        <f>IFERROR(VLOOKUP(M32,'02. MM-KLH'!$B$6:$T$823,9,0),"")</f>
        <v>45660</v>
      </c>
      <c r="P32" s="353"/>
      <c r="Q32" s="353" t="s">
        <v>1755</v>
      </c>
      <c r="R32" s="353" t="s">
        <v>5978</v>
      </c>
      <c r="S32" s="353"/>
      <c r="T32" s="353"/>
      <c r="U32" s="353" t="str">
        <f>IFERROR(VLOOKUP(M32,'02. MM-KLH'!$B$6:$T$823,5,0),"")</f>
        <v>MỚI (ĐQSD)</v>
      </c>
      <c r="V32" s="766" t="str">
        <f>IFERROR(VLOOKUP(M32,'02. MM-KLH'!$B$6:$T$823,8,0),"")</f>
        <v>XN Bò AD</v>
      </c>
      <c r="W32" s="353" t="str">
        <f>IFERROR(VLOOKUP(V32,'NS QUẢN LÝ CG'!$A$4:$D$36,2,0),"")</f>
        <v/>
      </c>
      <c r="X32" s="353" t="str">
        <f>IFERROR(VLOOKUP(V32,'NS QUẢN LÝ CG'!$A$4:$D$36,4,0),"")</f>
        <v/>
      </c>
      <c r="Y32" s="353" t="str">
        <f>IFERROR(VLOOKUP(V32,'NS QUẢN LÝ CG'!$A$4:$C$36,3,0),"")</f>
        <v/>
      </c>
      <c r="Z32" s="766" t="str">
        <f>IFERROR(VLOOKUP(M32,'02. MM-KLH'!$B$6:$T$823,3,0),"")</f>
        <v>A22-MĐA-070</v>
      </c>
      <c r="AA32" s="353" t="str">
        <f t="shared" si="3"/>
        <v>ADM</v>
      </c>
      <c r="AB32" s="766"/>
      <c r="AC32" s="731"/>
    </row>
    <row r="33" ht="13.8" spans="1:29">
      <c r="A33" s="353"/>
      <c r="B33" s="613" t="str">
        <f>IFERROR(VLOOKUP(M33,'02. MM-KLH'!$B$6:$T$823,6,0),"")</f>
        <v>Máy đào KOMATSU bánh lốp gàu 0.8m3</v>
      </c>
      <c r="C33" s="353">
        <v>1</v>
      </c>
      <c r="D33" s="353" t="str">
        <f>IFERROR(VLOOKUP(M33,'02. MM-KLH'!$B$6:$T$823,16,0),"")</f>
        <v>PW200-7</v>
      </c>
      <c r="E33" s="353" t="s">
        <v>5978</v>
      </c>
      <c r="F33" s="353"/>
      <c r="G33" s="353"/>
      <c r="H33" s="353" t="str">
        <f>IFERROR(VLOOKUP(M33,'02. MM-KLH'!$B$6:$T$823,17,0),"")</f>
        <v>150HP</v>
      </c>
      <c r="I33" s="763">
        <f>IFERROR(VLOOKUP(M33,'02. MM-KLH'!$B$6:$U$823,20,0),"")</f>
        <v>12.5</v>
      </c>
      <c r="J33" s="613">
        <f>IFERROR(VLOOKUP(M33,'02. MM-KLH'!$B$6:$T$823,19,0),"")</f>
        <v>21719691</v>
      </c>
      <c r="K33" s="613" t="str">
        <f>IFERROR(VLOOKUP(M33,'02. MM-KLH'!$B$6:$T$823,18,0),"")</f>
        <v>KMTPW015K79H50237</v>
      </c>
      <c r="L33" s="353">
        <f>IFERROR(VLOOKUP(M33,'02. MM-KLH'!$B$6:$T$823,4,0),"")</f>
        <v>0</v>
      </c>
      <c r="M33" s="410" t="s">
        <v>600</v>
      </c>
      <c r="N33" s="356">
        <f>IFERROR(VLOOKUP(M33,'02. MM-KLH'!$B$6:$T$823,15,0),"")</f>
        <v>2012</v>
      </c>
      <c r="O33" s="764">
        <f>IFERROR(VLOOKUP(M33,'02. MM-KLH'!$B$6:$T$823,9,0),"")</f>
        <v>45963</v>
      </c>
      <c r="P33" s="353"/>
      <c r="Q33" s="353" t="s">
        <v>1755</v>
      </c>
      <c r="R33" s="353"/>
      <c r="S33" s="353" t="s">
        <v>5978</v>
      </c>
      <c r="T33" s="353"/>
      <c r="U33" s="353" t="str">
        <f>IFERROR(VLOOKUP(M33,'02. MM-KLH'!$B$6:$T$823,5,0),"")</f>
        <v>MỚI (ĐQSD)</v>
      </c>
      <c r="V33" s="766" t="str">
        <f>IFERROR(VLOOKUP(M33,'02. MM-KLH'!$B$6:$T$823,8,0),"")</f>
        <v>CGTC DP</v>
      </c>
      <c r="W33" s="353" t="str">
        <f>IFERROR(VLOOKUP(V33,'NS QUẢN LÝ CG'!$A$4:$D$36,2,0),"")</f>
        <v>Phạm Ngọc Hải</v>
      </c>
      <c r="X33" s="353" t="str">
        <f>IFERROR(VLOOKUP(V33,'NS QUẢN LÝ CG'!$A$4:$D$36,4,0),"")</f>
        <v>Lô 85 DP4</v>
      </c>
      <c r="Y33" s="1104" t="str">
        <f>IFERROR(VLOOKUP(V33,'NS QUẢN LÝ CG'!$A$4:$C$36,3,0),"")</f>
        <v>0825456565</v>
      </c>
      <c r="Z33" s="766" t="str">
        <f>IFERROR(VLOOKUP(M33,'02. MM-KLH'!$B$6:$T$823,3,0),"")</f>
        <v>A23-MĐA-067</v>
      </c>
      <c r="AA33" s="353" t="str">
        <f t="shared" si="3"/>
        <v>DP</v>
      </c>
      <c r="AB33" s="766"/>
      <c r="AC33" s="731"/>
    </row>
    <row r="34" ht="13.8" spans="1:29">
      <c r="A34" s="353"/>
      <c r="B34" s="613" t="str">
        <f>IFERROR(VLOOKUP(M34,'02. MM-KLH'!$B$6:$T$823,6,0),"")</f>
        <v>Máy đào KOMATSU bánh xích gàu 0.8m3</v>
      </c>
      <c r="C34" s="353">
        <v>1</v>
      </c>
      <c r="D34" s="353" t="str">
        <f>IFERROR(VLOOKUP(M34,'02. MM-KLH'!$B$6:$T$823,16,0),"")</f>
        <v>PC228US-3N0</v>
      </c>
      <c r="E34" s="353" t="s">
        <v>5978</v>
      </c>
      <c r="F34" s="353"/>
      <c r="G34" s="353"/>
      <c r="H34" s="353" t="str">
        <f>IFERROR(VLOOKUP(M34,'02. MM-KLH'!$B$6:$T$823,17,0),"")</f>
        <v>145HP</v>
      </c>
      <c r="I34" s="763">
        <f>IFERROR(VLOOKUP(M34,'02. MM-KLH'!$B$6:$U$823,20,0),"")</f>
        <v>14</v>
      </c>
      <c r="J34" s="613" t="str">
        <f>IFERROR(VLOOKUP(M34,'02. MM-KLH'!$B$6:$T$823,19,0),"")</f>
        <v>6D1022638264</v>
      </c>
      <c r="K34" s="613" t="str">
        <f>IFERROR(VLOOKUP(M34,'02. MM-KLH'!$B$6:$T$823,18,0),"")</f>
        <v>KMTPC057E02032035</v>
      </c>
      <c r="L34" s="353">
        <f>IFERROR(VLOOKUP(M34,'02. MM-KLH'!$B$6:$T$823,4,0),"")</f>
        <v>0</v>
      </c>
      <c r="M34" s="410" t="s">
        <v>605</v>
      </c>
      <c r="N34" s="356">
        <f>IFERROR(VLOOKUP(M34,'02. MM-KLH'!$B$6:$T$823,15,0),"")</f>
        <v>2005</v>
      </c>
      <c r="O34" s="764" t="str">
        <f>IFERROR(VLOOKUP(M34,'02. MM-KLH'!$B$6:$T$823,9,0),"")</f>
        <v>28/05/2025</v>
      </c>
      <c r="P34" s="353"/>
      <c r="Q34" s="353">
        <v>11178</v>
      </c>
      <c r="R34" s="353"/>
      <c r="S34" s="353" t="s">
        <v>5978</v>
      </c>
      <c r="T34" s="353"/>
      <c r="U34" s="353" t="str">
        <f>IFERROR(VLOOKUP(M34,'02. MM-KLH'!$B$6:$T$823,5,0),"")</f>
        <v>MỚI (ĐQSD)</v>
      </c>
      <c r="V34" s="766" t="str">
        <f>IFERROR(VLOOKUP(M34,'02. MM-KLH'!$B$6:$T$823,8,0),"")</f>
        <v>CGTC DP</v>
      </c>
      <c r="W34" s="353" t="str">
        <f>IFERROR(VLOOKUP(V34,'NS QUẢN LÝ CG'!$A$4:$D$36,2,0),"")</f>
        <v>Phạm Ngọc Hải</v>
      </c>
      <c r="X34" s="353" t="str">
        <f>IFERROR(VLOOKUP(V34,'NS QUẢN LÝ CG'!$A$4:$D$36,4,0),"")</f>
        <v>Lô 85 DP4</v>
      </c>
      <c r="Y34" s="1104" t="str">
        <f>IFERROR(VLOOKUP(V34,'NS QUẢN LÝ CG'!$A$4:$C$36,3,0),"")</f>
        <v>0825456565</v>
      </c>
      <c r="Z34" s="766" t="str">
        <f>IFERROR(VLOOKUP(M34,'02. MM-KLH'!$B$6:$T$823,3,0),"")</f>
        <v>A23-MĐA-072</v>
      </c>
      <c r="AA34" s="353" t="str">
        <f t="shared" si="3"/>
        <v>DP</v>
      </c>
      <c r="AB34" s="766"/>
      <c r="AC34" s="731"/>
    </row>
    <row r="35" ht="13.8" spans="1:29">
      <c r="A35" s="353"/>
      <c r="B35" s="613" t="str">
        <f>IFERROR(VLOOKUP(M35,'02. MM-KLH'!$B$6:$T$823,6,0),"")</f>
        <v>Máy đào KOMATSU bánh xích gàu 0.8m3</v>
      </c>
      <c r="C35" s="353">
        <v>1</v>
      </c>
      <c r="D35" s="353" t="str">
        <f>IFERROR(VLOOKUP(M35,'02. MM-KLH'!$B$6:$T$823,16,0),"")</f>
        <v>PC200-8N1</v>
      </c>
      <c r="E35" s="353" t="s">
        <v>5978</v>
      </c>
      <c r="F35" s="353"/>
      <c r="G35" s="353"/>
      <c r="H35" s="353" t="str">
        <f>IFERROR(VLOOKUP(M35,'02. MM-KLH'!$B$6:$T$823,17,0),"")</f>
        <v>145HP</v>
      </c>
      <c r="I35" s="763">
        <f>IFERROR(VLOOKUP(M35,'02. MM-KLH'!$B$6:$U$823,20,0),"")</f>
        <v>14</v>
      </c>
      <c r="J35" s="613" t="str">
        <f>IFERROR(VLOOKUP(M35,'02. MM-KLH'!$B$6:$T$823,19,0),"")</f>
        <v>6D10726567400</v>
      </c>
      <c r="K35" s="613" t="str">
        <f>IFERROR(VLOOKUP(M35,'02. MM-KLH'!$B$6:$T$823,18,0),"")</f>
        <v>KMTPC197A02351172</v>
      </c>
      <c r="L35" s="353">
        <f>IFERROR(VLOOKUP(M35,'02. MM-KLH'!$B$6:$T$823,4,0),"")</f>
        <v>0</v>
      </c>
      <c r="M35" s="19" t="s">
        <v>791</v>
      </c>
      <c r="N35" s="356">
        <f>IFERROR(VLOOKUP(M35,'02. MM-KLH'!$B$6:$T$823,15,0),"")</f>
        <v>2010</v>
      </c>
      <c r="O35" s="764">
        <f>IFERROR(VLOOKUP(M35,'02. MM-KLH'!$B$6:$T$823,9,0),"")</f>
        <v>45722</v>
      </c>
      <c r="P35" s="353"/>
      <c r="Q35" s="353" t="s">
        <v>1755</v>
      </c>
      <c r="R35" s="353" t="s">
        <v>5978</v>
      </c>
      <c r="S35" s="353"/>
      <c r="T35" s="353"/>
      <c r="U35" s="353" t="str">
        <f>IFERROR(VLOOKUP(M35,'02. MM-KLH'!$B$6:$T$823,5,0),"")</f>
        <v>MỚI (ĐQSD)</v>
      </c>
      <c r="V35" s="766" t="str">
        <f>IFERROR(VLOOKUP(M35,'02. MM-KLH'!$B$6:$T$823,8,0),"")</f>
        <v>CGTC LP</v>
      </c>
      <c r="W35" s="353" t="str">
        <f>IFERROR(VLOOKUP(V35,'NS QUẢN LÝ CG'!$A$4:$D$36,2,0),"")</f>
        <v>Đỗ Đức Nghĩa</v>
      </c>
      <c r="X35" s="353" t="str">
        <f>IFERROR(VLOOKUP(V35,'NS QUẢN LÝ CG'!$A$4:$D$36,4,0),"")</f>
        <v>NOCN L.4-LP3</v>
      </c>
      <c r="Y35" s="1104" t="str">
        <f>IFERROR(VLOOKUP(V35,'NS QUẢN LÝ CG'!$A$4:$C$36,3,0),"")</f>
        <v>0971462780</v>
      </c>
      <c r="Z35" s="766" t="str">
        <f>IFERROR(VLOOKUP(M35,'02. MM-KLH'!$B$6:$T$823,3,0),"")</f>
        <v>A24-MĐA-065</v>
      </c>
      <c r="AA35" s="353" t="str">
        <f t="shared" si="3"/>
        <v>LP</v>
      </c>
      <c r="AB35" s="766"/>
      <c r="AC35" s="731"/>
    </row>
    <row r="36" spans="1:29">
      <c r="A36" s="353"/>
      <c r="B36" s="613" t="str">
        <f>IFERROR(VLOOKUP(M36,'02. MM-KLH'!$B$6:$T$823,6,0),"")</f>
        <v>Máy đào KOMATSU bánh xích gàu 0.8m3</v>
      </c>
      <c r="C36" s="353">
        <v>1</v>
      </c>
      <c r="D36" s="353" t="str">
        <f>IFERROR(VLOOKUP(M36,'02. MM-KLH'!$B$6:$T$823,16,0),"")</f>
        <v>PC200-8N1</v>
      </c>
      <c r="E36" s="353" t="s">
        <v>5978</v>
      </c>
      <c r="F36" s="353"/>
      <c r="G36" s="353"/>
      <c r="H36" s="353" t="str">
        <f>IFERROR(VLOOKUP(M36,'02. MM-KLH'!$B$6:$T$823,17,0),"")</f>
        <v>150HP</v>
      </c>
      <c r="I36" s="763">
        <f>IFERROR(VLOOKUP(M36,'02. MM-KLH'!$B$6:$U$823,20,0),"")</f>
        <v>14</v>
      </c>
      <c r="J36" s="613" t="str">
        <f>IFERROR(VLOOKUP(M36,'02. MM-KLH'!$B$6:$T$823,19,0),"")</f>
        <v>6D10726100136</v>
      </c>
      <c r="K36" s="613" t="str">
        <f>IFERROR(VLOOKUP(M36,'02. MM-KLH'!$B$6:$T$823,18,0),"")</f>
        <v>KMTPC197L02354297</v>
      </c>
      <c r="L36" s="353">
        <f>IFERROR(VLOOKUP(M36,'02. MM-KLH'!$B$6:$T$823,4,0),"")</f>
        <v>0</v>
      </c>
      <c r="M36" s="49" t="s">
        <v>910</v>
      </c>
      <c r="N36" s="356">
        <f>IFERROR(VLOOKUP(M36,'02. MM-KLH'!$B$6:$T$823,15,0),"")</f>
        <v>2012</v>
      </c>
      <c r="O36" s="764">
        <f>IFERROR(VLOOKUP(M36,'02. MM-KLH'!$B$6:$T$823,9,0),"")</f>
        <v>45660</v>
      </c>
      <c r="P36" s="218"/>
      <c r="Q36" s="765">
        <v>8174</v>
      </c>
      <c r="R36" s="353" t="s">
        <v>5978</v>
      </c>
      <c r="S36" s="353"/>
      <c r="T36" s="353"/>
      <c r="U36" s="353" t="str">
        <f>IFERROR(VLOOKUP(M36,'02. MM-KLH'!$B$6:$T$823,5,0),"")</f>
        <v>MỚI (ĐQSD)</v>
      </c>
      <c r="V36" s="766" t="str">
        <f>IFERROR(VLOOKUP(M36,'02. MM-KLH'!$B$6:$T$823,8,0),"")</f>
        <v>CGTC AD</v>
      </c>
      <c r="W36" s="353" t="str">
        <f>IFERROR(VLOOKUP(V36,'NS QUẢN LÝ CG'!$A$4:$D$36,2,0),"")</f>
        <v>Vũ Trung Kiên</v>
      </c>
      <c r="X36" s="353" t="str">
        <f>IFERROR(VLOOKUP(V36,'NS QUẢN LÝ CG'!$A$4:$D$36,4,0),"")</f>
        <v>Lô 73 ADM</v>
      </c>
      <c r="Y36" s="1104" t="str">
        <f>IFERROR(VLOOKUP(V36,'NS QUẢN LÝ CG'!$A$4:$C$36,3,0),"")</f>
        <v>0981761677</v>
      </c>
      <c r="Z36" s="766" t="str">
        <f>IFERROR(VLOOKUP(M36,'02. MM-KLH'!$B$6:$T$823,3,0),"")</f>
        <v>A22-MĐA-071</v>
      </c>
      <c r="AA36" s="353" t="str">
        <f t="shared" si="3"/>
        <v>ADM</v>
      </c>
      <c r="AB36" s="766"/>
      <c r="AC36" s="731"/>
    </row>
    <row r="37" spans="1:29">
      <c r="A37" s="353"/>
      <c r="B37" s="613" t="str">
        <f>IFERROR(VLOOKUP(M37,'02. MM-KLH'!$B$6:$T$823,6,0),"")</f>
        <v>Máy đào KOMATSU bánh xích gàu 0.8m3</v>
      </c>
      <c r="C37" s="353">
        <v>1</v>
      </c>
      <c r="D37" s="353" t="str">
        <f>IFERROR(VLOOKUP(M37,'02. MM-KLH'!$B$6:$T$823,16,0),"")</f>
        <v>PC228US-3N0</v>
      </c>
      <c r="E37" s="353" t="s">
        <v>5978</v>
      </c>
      <c r="F37" s="353"/>
      <c r="G37" s="353"/>
      <c r="H37" s="353" t="str">
        <f>IFERROR(VLOOKUP(M37,'02. MM-KLH'!$B$6:$T$823,17,0),"")</f>
        <v>145HP</v>
      </c>
      <c r="I37" s="763">
        <f>IFERROR(VLOOKUP(M37,'02. MM-KLH'!$B$6:$U$823,20,0),"")</f>
        <v>14</v>
      </c>
      <c r="J37" s="613" t="str">
        <f>IFERROR(VLOOKUP(M37,'02. MM-KLH'!$B$6:$T$823,19,0),"")</f>
        <v>6D10226327476</v>
      </c>
      <c r="K37" s="613" t="str">
        <f>IFERROR(VLOOKUP(M37,'02. MM-KLH'!$B$6:$T$823,18,0),"")</f>
        <v>KMTPC057C02030553</v>
      </c>
      <c r="L37" s="353">
        <f>IFERROR(VLOOKUP(M37,'02. MM-KLH'!$B$6:$T$823,4,0),"")</f>
        <v>0</v>
      </c>
      <c r="M37" s="49" t="s">
        <v>936</v>
      </c>
      <c r="N37" s="356">
        <f>IFERROR(VLOOKUP(M37,'02. MM-KLH'!$B$6:$T$823,15,0),"")</f>
        <v>2003</v>
      </c>
      <c r="O37" s="764" t="str">
        <f>IFERROR(VLOOKUP(M37,'02. MM-KLH'!$B$6:$T$823,9,0),"")</f>
        <v>28/05/2025</v>
      </c>
      <c r="P37" s="218"/>
      <c r="Q37" s="765">
        <v>4203</v>
      </c>
      <c r="R37" s="353"/>
      <c r="S37" s="353" t="s">
        <v>5978</v>
      </c>
      <c r="T37" s="353"/>
      <c r="U37" s="353" t="str">
        <f>IFERROR(VLOOKUP(M37,'02. MM-KLH'!$B$6:$T$823,5,0),"")</f>
        <v>MỚI (ĐQSD)</v>
      </c>
      <c r="V37" s="766" t="str">
        <f>IFERROR(VLOOKUP(M37,'02. MM-KLH'!$B$6:$T$823,8,0),"")</f>
        <v>CGTC AD</v>
      </c>
      <c r="W37" s="353" t="str">
        <f>IFERROR(VLOOKUP(V37,'NS QUẢN LÝ CG'!$A$4:$D$36,2,0),"")</f>
        <v>Vũ Trung Kiên</v>
      </c>
      <c r="X37" s="353" t="str">
        <f>IFERROR(VLOOKUP(V37,'NS QUẢN LÝ CG'!$A$4:$D$36,4,0),"")</f>
        <v>Lô 73 ADM</v>
      </c>
      <c r="Y37" s="1104" t="str">
        <f>IFERROR(VLOOKUP(V37,'NS QUẢN LÝ CG'!$A$4:$C$36,3,0),"")</f>
        <v>0981761677</v>
      </c>
      <c r="Z37" s="766" t="str">
        <f>IFERROR(VLOOKUP(M37,'02. MM-KLH'!$B$6:$T$823,3,0),"")</f>
        <v>A23-MDA-073</v>
      </c>
      <c r="AA37" s="353" t="str">
        <f t="shared" si="3"/>
        <v>DP</v>
      </c>
      <c r="AB37" s="766"/>
      <c r="AC37" s="731"/>
    </row>
    <row r="38" ht="13.8" spans="1:29">
      <c r="A38" s="353"/>
      <c r="B38" s="613" t="str">
        <f>IFERROR(VLOOKUP(M38,'02. MM-KLH'!$B$6:$T$823,6,0),"")</f>
        <v/>
      </c>
      <c r="C38" s="353"/>
      <c r="D38" s="353" t="str">
        <f>IFERROR(VLOOKUP(M38,'02. MM-KLH'!$B$6:$T$823,16,0),"")</f>
        <v/>
      </c>
      <c r="E38" s="353"/>
      <c r="F38" s="353"/>
      <c r="G38" s="353"/>
      <c r="H38" s="353" t="str">
        <f>IFERROR(VLOOKUP(M38,'02. MM-KLH'!$B$6:$T$823,17,0),"")</f>
        <v/>
      </c>
      <c r="I38" s="763" t="str">
        <f>IFERROR(VLOOKUP(M38,'02. MM-KLH'!$B$6:$U$823,20,0),"")</f>
        <v/>
      </c>
      <c r="J38" s="613" t="str">
        <f>IFERROR(VLOOKUP(M38,'02. MM-KLH'!$B$6:$T$823,19,0),"")</f>
        <v/>
      </c>
      <c r="K38" s="613" t="str">
        <f>IFERROR(VLOOKUP(M38,'02. MM-KLH'!$B$6:$T$823,18,0),"")</f>
        <v/>
      </c>
      <c r="L38" s="353" t="str">
        <f>IFERROR(VLOOKUP(M38,'02. MM-KLH'!$B$6:$T$823,4,0),"")</f>
        <v/>
      </c>
      <c r="M38" s="49"/>
      <c r="N38" s="356" t="str">
        <f>IFERROR(VLOOKUP(M38,'02. MM-KLH'!$B$6:$T$823,15,0),"")</f>
        <v/>
      </c>
      <c r="O38" s="764" t="str">
        <f>IFERROR(VLOOKUP(M38,'02. MM-KLH'!$B$6:$T$823,9,0),"")</f>
        <v/>
      </c>
      <c r="P38" s="353"/>
      <c r="Q38" s="353"/>
      <c r="R38" s="353"/>
      <c r="S38" s="353"/>
      <c r="T38" s="353"/>
      <c r="U38" s="353" t="str">
        <f>IFERROR(VLOOKUP(M38,'02. MM-KLH'!$B$6:$T$823,5,0),"")</f>
        <v/>
      </c>
      <c r="V38" s="766" t="str">
        <f>IFERROR(VLOOKUP(M38,'02. MM-KLH'!$B$6:$T$823,8,0),"")</f>
        <v/>
      </c>
      <c r="W38" s="353" t="str">
        <f>IFERROR(VLOOKUP(V38,'NS QUẢN LÝ CG'!$A$4:$D$36,2,0),"")</f>
        <v/>
      </c>
      <c r="X38" s="353" t="str">
        <f>IFERROR(VLOOKUP(V38,'NS QUẢN LÝ CG'!$A$4:$D$36,4,0),"")</f>
        <v/>
      </c>
      <c r="Y38" s="353"/>
      <c r="Z38" s="766" t="str">
        <f>IFERROR(VLOOKUP(M38,'02. MM-KLH'!$B$6:$T$823,3,0),"")</f>
        <v/>
      </c>
      <c r="AA38" s="353"/>
      <c r="AB38" s="766"/>
      <c r="AC38" s="731"/>
    </row>
    <row r="39" ht="13.8" hidden="1" spans="1:29">
      <c r="A39" s="353"/>
      <c r="B39" s="613" t="str">
        <f>IFERROR(VLOOKUP(M39,'02. MM-KLH'!$B$6:$T$823,6,0),"")</f>
        <v/>
      </c>
      <c r="C39" s="353"/>
      <c r="D39" s="353" t="str">
        <f>IFERROR(VLOOKUP(M39,'02. MM-KLH'!$B$6:$T$823,16,0),"")</f>
        <v/>
      </c>
      <c r="E39" s="353"/>
      <c r="F39" s="353"/>
      <c r="G39" s="353"/>
      <c r="H39" s="353" t="str">
        <f>IFERROR(VLOOKUP(M39,'02. MM-KLH'!$B$6:$T$823,17,0),"")</f>
        <v/>
      </c>
      <c r="I39" s="763" t="str">
        <f>IFERROR(VLOOKUP(M39,'02. MM-KLH'!$B$6:$U$823,20,0),"")</f>
        <v/>
      </c>
      <c r="J39" s="613" t="str">
        <f>IFERROR(VLOOKUP(M39,'02. MM-KLH'!$B$6:$T$823,19,0),"")</f>
        <v/>
      </c>
      <c r="K39" s="613" t="str">
        <f>IFERROR(VLOOKUP(M39,'02. MM-KLH'!$B$6:$T$823,18,0),"")</f>
        <v/>
      </c>
      <c r="L39" s="353" t="str">
        <f>IFERROR(VLOOKUP(M39,'02. MM-KLH'!$B$6:$T$823,4,0),"")</f>
        <v/>
      </c>
      <c r="M39" s="49"/>
      <c r="N39" s="356" t="str">
        <f>IFERROR(VLOOKUP(M39,'02. MM-KLH'!$B$6:$T$823,15,0),"")</f>
        <v/>
      </c>
      <c r="O39" s="764" t="str">
        <f>IFERROR(VLOOKUP(M39,'02. MM-KLH'!$B$6:$T$823,9,0),"")</f>
        <v/>
      </c>
      <c r="P39" s="353"/>
      <c r="Q39" s="353"/>
      <c r="R39" s="353"/>
      <c r="S39" s="353"/>
      <c r="T39" s="353"/>
      <c r="U39" s="353" t="str">
        <f>IFERROR(VLOOKUP(M39,'02. MM-KLH'!$B$6:$T$823,2,0),"")</f>
        <v/>
      </c>
      <c r="V39" s="766" t="str">
        <f>IFERROR(VLOOKUP(M39,'02. MM-KLH'!$B$6:$T$823,8,0),"")</f>
        <v/>
      </c>
      <c r="W39" s="353"/>
      <c r="X39" s="353"/>
      <c r="Y39" s="353"/>
      <c r="Z39" s="766" t="str">
        <f>IFERROR(VLOOKUP(M39,'02. MM-KLH'!$B$6:$T$823,3,0),"")</f>
        <v/>
      </c>
      <c r="AA39" s="353"/>
      <c r="AB39" s="766"/>
      <c r="AC39" s="731"/>
    </row>
    <row r="40" ht="13.8" hidden="1" spans="1:29">
      <c r="A40" s="353"/>
      <c r="B40" s="613" t="str">
        <f>IFERROR(VLOOKUP(M40,'02. MM-KLH'!$B$6:$T$823,6,0),"")</f>
        <v/>
      </c>
      <c r="C40" s="353"/>
      <c r="D40" s="353" t="str">
        <f>IFERROR(VLOOKUP(M40,'02. MM-KLH'!$B$6:$T$823,16,0),"")</f>
        <v/>
      </c>
      <c r="E40" s="353"/>
      <c r="F40" s="353"/>
      <c r="G40" s="353"/>
      <c r="H40" s="353" t="str">
        <f>IFERROR(VLOOKUP(M40,'02. MM-KLH'!$B$6:$T$823,17,0),"")</f>
        <v/>
      </c>
      <c r="I40" s="763" t="str">
        <f>IFERROR(VLOOKUP(M40,'02. MM-KLH'!$B$6:$U$823,20,0),"")</f>
        <v/>
      </c>
      <c r="J40" s="613" t="str">
        <f>IFERROR(VLOOKUP(M40,'02. MM-KLH'!$B$6:$T$823,19,0),"")</f>
        <v/>
      </c>
      <c r="K40" s="613" t="str">
        <f>IFERROR(VLOOKUP(M40,'02. MM-KLH'!$B$6:$T$823,18,0),"")</f>
        <v/>
      </c>
      <c r="L40" s="353" t="str">
        <f>IFERROR(VLOOKUP(M40,'02. MM-KLH'!$B$6:$T$823,4,0),"")</f>
        <v/>
      </c>
      <c r="M40" s="49"/>
      <c r="N40" s="356" t="str">
        <f>IFERROR(VLOOKUP(M40,'02. MM-KLH'!$B$6:$T$823,15,0),"")</f>
        <v/>
      </c>
      <c r="O40" s="764" t="str">
        <f>IFERROR(VLOOKUP(M40,'02. MM-KLH'!$B$6:$T$823,9,0),"")</f>
        <v/>
      </c>
      <c r="P40" s="353"/>
      <c r="Q40" s="353"/>
      <c r="R40" s="353"/>
      <c r="S40" s="353"/>
      <c r="T40" s="353"/>
      <c r="U40" s="353" t="str">
        <f>IFERROR(VLOOKUP(M40,'02. MM-KLH'!$B$6:$T$823,2,0),"")</f>
        <v/>
      </c>
      <c r="V40" s="766" t="str">
        <f>IFERROR(VLOOKUP(M40,'02. MM-KLH'!$B$6:$T$823,8,0),"")</f>
        <v/>
      </c>
      <c r="W40" s="353"/>
      <c r="X40" s="353"/>
      <c r="Y40" s="353"/>
      <c r="Z40" s="766" t="str">
        <f>IFERROR(VLOOKUP(M40,'02. MM-KLH'!$B$6:$T$823,3,0),"")</f>
        <v/>
      </c>
      <c r="AA40" s="353"/>
      <c r="AB40" s="766"/>
      <c r="AC40" s="731"/>
    </row>
    <row r="41" ht="13.8" spans="1:29">
      <c r="A41" s="754">
        <v>2</v>
      </c>
      <c r="B41" s="755" t="s">
        <v>452</v>
      </c>
      <c r="C41" s="754">
        <f>COUNTA(B42:B44)</f>
        <v>3</v>
      </c>
      <c r="D41" s="756"/>
      <c r="E41" s="756"/>
      <c r="F41" s="756"/>
      <c r="G41" s="756"/>
      <c r="H41" s="756"/>
      <c r="I41" s="757"/>
      <c r="J41" s="758"/>
      <c r="K41" s="758"/>
      <c r="L41" s="756"/>
      <c r="M41" s="759"/>
      <c r="N41" s="756"/>
      <c r="O41" s="760"/>
      <c r="P41" s="756"/>
      <c r="Q41" s="756"/>
      <c r="R41" s="756"/>
      <c r="S41" s="756"/>
      <c r="T41" s="756"/>
      <c r="U41" s="756"/>
      <c r="V41" s="761"/>
      <c r="W41" s="756"/>
      <c r="X41" s="756"/>
      <c r="Y41" s="756"/>
      <c r="Z41" s="761"/>
      <c r="AA41" s="756"/>
      <c r="AB41" s="761"/>
      <c r="AC41" s="762"/>
    </row>
    <row r="42" spans="1:29">
      <c r="A42" s="353"/>
      <c r="B42" s="613" t="str">
        <f>IFERROR(VLOOKUP(M42,'02. MM-KLH'!$B$6:$T$823,6,0),"")</f>
        <v>Máy đào KOBELCO bánh xích gàu 1.2m3</v>
      </c>
      <c r="C42" s="353">
        <v>1</v>
      </c>
      <c r="D42" s="353" t="str">
        <f>IFERROR(VLOOKUP(M42,'02. MM-KLH'!$B$6:$T$823,16,0),"")</f>
        <v>SK200-08</v>
      </c>
      <c r="E42" s="353" t="s">
        <v>5978</v>
      </c>
      <c r="F42" s="353"/>
      <c r="G42" s="353"/>
      <c r="H42" s="353" t="str">
        <f>IFERROR(VLOOKUP(M42,'02. MM-KLH'!$B$6:$T$823,17,0),"")</f>
        <v>170HP</v>
      </c>
      <c r="I42" s="763">
        <f>IFERROR(VLOOKUP(M42,'02. MM-KLH'!$B$6:$U$823,20,0),"")</f>
        <v>17</v>
      </c>
      <c r="J42" s="613" t="str">
        <f>IFERROR(VLOOKUP(M42,'02. MM-KLH'!$B$6:$T$823,19,0),"")</f>
        <v>R0033333</v>
      </c>
      <c r="K42" s="613" t="str">
        <f>IFERROR(VLOOKUP(M42,'02. MM-KLH'!$B$6:$T$823,18,0),"")</f>
        <v>LQ16-10073 </v>
      </c>
      <c r="L42" s="353">
        <f>IFERROR(VLOOKUP(M42,'02. MM-KLH'!$B$6:$T$823,4,0),"")</f>
        <v>0</v>
      </c>
      <c r="M42" s="19" t="s">
        <v>450</v>
      </c>
      <c r="N42" s="356">
        <f>IFERROR(VLOOKUP(M42,'02. MM-KLH'!$B$6:$T$823,15,0),"")</f>
        <v>2019</v>
      </c>
      <c r="O42" s="764">
        <f>IFERROR(VLOOKUP(M42,'02. MM-KLH'!$B$6:$T$823,9,0),"")</f>
        <v>43835</v>
      </c>
      <c r="P42" s="353"/>
      <c r="Q42" s="767">
        <v>14970</v>
      </c>
      <c r="R42" s="353"/>
      <c r="S42" s="353" t="s">
        <v>5978</v>
      </c>
      <c r="T42" s="353"/>
      <c r="U42" s="353" t="str">
        <f>IFERROR(VLOOKUP(M42,'02. MM-KLH'!$B$6:$T$823,5,0),"")</f>
        <v>ĐQSD</v>
      </c>
      <c r="V42" s="766" t="str">
        <f>IFERROR(VLOOKUP(M42,'02. MM-KLH'!$B$6:$T$823,8,0),"")</f>
        <v>CGTC DP</v>
      </c>
      <c r="W42" s="353" t="str">
        <f>IFERROR(VLOOKUP(V42,'NS QUẢN LÝ CG'!$A$4:$D$36,2,0),"")</f>
        <v>Phạm Ngọc Hải</v>
      </c>
      <c r="X42" s="353" t="str">
        <f>IFERROR(VLOOKUP(V42,'NS QUẢN LÝ CG'!$A$4:$D$36,4,0),"")</f>
        <v>Lô 85 DP4</v>
      </c>
      <c r="Y42" s="1104" t="str">
        <f>IFERROR(VLOOKUP(V42,'NS QUẢN LÝ CG'!$A$4:$C$36,3,0),"")</f>
        <v>0825456565</v>
      </c>
      <c r="Z42" s="766" t="str">
        <f>IFERROR(VLOOKUP(M42,'02. MM-KLH'!$B$6:$T$823,3,0),"")</f>
        <v>ATT-A23-0025</v>
      </c>
      <c r="AA42" s="353" t="s">
        <v>5979</v>
      </c>
      <c r="AB42" s="766"/>
      <c r="AC42" s="731"/>
    </row>
    <row r="43" ht="13.8" spans="1:29">
      <c r="A43" s="353"/>
      <c r="B43" s="613" t="str">
        <f>IFERROR(VLOOKUP(M43,'02. MM-KLH'!$B$6:$T$823,6,0),"")</f>
        <v/>
      </c>
      <c r="C43" s="353"/>
      <c r="D43" s="353" t="str">
        <f>IFERROR(VLOOKUP(M43,'02. MM-KLH'!$B$6:$T$823,16,0),"")</f>
        <v/>
      </c>
      <c r="E43" s="353"/>
      <c r="F43" s="353"/>
      <c r="G43" s="353"/>
      <c r="H43" s="353" t="str">
        <f>IFERROR(VLOOKUP(M43,'02. MM-KLH'!$B$6:$T$823,17,0),"")</f>
        <v/>
      </c>
      <c r="I43" s="763" t="str">
        <f>IFERROR(VLOOKUP(M43,'02. MM-KLH'!$B$6:$U$823,20,0),"")</f>
        <v/>
      </c>
      <c r="J43" s="613" t="str">
        <f>IFERROR(VLOOKUP(M43,'02. MM-KLH'!$B$6:$T$823,19,0),"")</f>
        <v/>
      </c>
      <c r="K43" s="613" t="str">
        <f>IFERROR(VLOOKUP(M43,'02. MM-KLH'!$B$6:$T$823,18,0),"")</f>
        <v/>
      </c>
      <c r="L43" s="353" t="str">
        <f>IFERROR(VLOOKUP(M43,'02. MM-KLH'!$B$6:$T$823,4,0),"")</f>
        <v/>
      </c>
      <c r="M43" s="19"/>
      <c r="N43" s="356" t="str">
        <f>IFERROR(VLOOKUP(M43,'02. MM-KLH'!$B$6:$T$823,15,0),"")</f>
        <v/>
      </c>
      <c r="O43" s="764" t="str">
        <f>IFERROR(VLOOKUP(M43,'02. MM-KLH'!$B$6:$T$823,9,0),"")</f>
        <v/>
      </c>
      <c r="P43" s="353"/>
      <c r="Q43" s="353"/>
      <c r="R43" s="353"/>
      <c r="S43" s="353"/>
      <c r="T43" s="353"/>
      <c r="U43" s="353" t="str">
        <f>IFERROR(VLOOKUP(M43,'02. MM-KLH'!$B$6:$T$823,2,0),"")</f>
        <v/>
      </c>
      <c r="V43" s="766" t="str">
        <f>IFERROR(VLOOKUP(M43,'02. MM-KLH'!$B$6:$T$823,8,0),"")</f>
        <v/>
      </c>
      <c r="W43" s="353" t="str">
        <f>IFERROR(VLOOKUP(V43,'NS QUẢN LÝ CG'!$A$4:$D$36,2,0),"")</f>
        <v/>
      </c>
      <c r="X43" s="353" t="str">
        <f>IFERROR(VLOOKUP(V43,'NS QUẢN LÝ CG'!$A$4:$D$36,4,0),"")</f>
        <v/>
      </c>
      <c r="Y43" s="353"/>
      <c r="Z43" s="766" t="str">
        <f>IFERROR(VLOOKUP(M43,'02. MM-KLH'!$B$6:$T$823,3,0),"")</f>
        <v/>
      </c>
      <c r="AA43" s="353"/>
      <c r="AB43" s="766"/>
      <c r="AC43" s="731"/>
    </row>
    <row r="44" ht="13.8" hidden="1" spans="1:29">
      <c r="A44" s="353"/>
      <c r="B44" s="613" t="str">
        <f>IFERROR(VLOOKUP(M44,'02. MM-KLH'!$B$6:$T$823,6,0),"")</f>
        <v/>
      </c>
      <c r="C44" s="353"/>
      <c r="D44" s="353" t="str">
        <f>IFERROR(VLOOKUP(M44,'02. MM-KLH'!$B$6:$T$823,16,0),"")</f>
        <v/>
      </c>
      <c r="E44" s="353"/>
      <c r="F44" s="353"/>
      <c r="G44" s="353"/>
      <c r="H44" s="353" t="str">
        <f>IFERROR(VLOOKUP(M44,'02. MM-KLH'!$B$6:$T$823,17,0),"")</f>
        <v/>
      </c>
      <c r="I44" s="763" t="str">
        <f>IFERROR(VLOOKUP(M44,'02. MM-KLH'!$B$6:$U$823,20,0),"")</f>
        <v/>
      </c>
      <c r="J44" s="613" t="str">
        <f>IFERROR(VLOOKUP(M44,'02. MM-KLH'!$B$6:$T$823,19,0),"")</f>
        <v/>
      </c>
      <c r="K44" s="613" t="str">
        <f>IFERROR(VLOOKUP(M44,'02. MM-KLH'!$B$6:$T$823,18,0),"")</f>
        <v/>
      </c>
      <c r="L44" s="353" t="str">
        <f>IFERROR(VLOOKUP(M44,'02. MM-KLH'!$B$6:$T$823,4,0),"")</f>
        <v/>
      </c>
      <c r="M44" s="19"/>
      <c r="N44" s="356" t="str">
        <f>IFERROR(VLOOKUP(M44,'02. MM-KLH'!$B$6:$T$823,15,0),"")</f>
        <v/>
      </c>
      <c r="O44" s="764" t="str">
        <f>IFERROR(VLOOKUP(M44,'02. MM-KLH'!$B$6:$T$823,9,0),"")</f>
        <v/>
      </c>
      <c r="P44" s="353"/>
      <c r="Q44" s="353"/>
      <c r="R44" s="353"/>
      <c r="S44" s="353"/>
      <c r="T44" s="353"/>
      <c r="U44" s="353" t="str">
        <f>IFERROR(VLOOKUP(M44,'02. MM-KLH'!$B$6:$T$823,2,0),"")</f>
        <v/>
      </c>
      <c r="V44" s="766" t="str">
        <f>IFERROR(VLOOKUP(M44,'02. MM-KLH'!$B$6:$T$823,8,0),"")</f>
        <v/>
      </c>
      <c r="W44" s="353"/>
      <c r="X44" s="353"/>
      <c r="Y44" s="353"/>
      <c r="Z44" s="766" t="str">
        <f>IFERROR(VLOOKUP(M44,'02. MM-KLH'!$B$6:$T$823,3,0),"")</f>
        <v/>
      </c>
      <c r="AA44" s="353"/>
      <c r="AB44" s="766"/>
      <c r="AC44" s="731"/>
    </row>
    <row r="45" ht="13.8" spans="1:29">
      <c r="A45" s="754">
        <v>3</v>
      </c>
      <c r="B45" s="755" t="s">
        <v>458</v>
      </c>
      <c r="C45" s="754">
        <f>COUNTA(B46:B55)</f>
        <v>10</v>
      </c>
      <c r="D45" s="756"/>
      <c r="E45" s="756"/>
      <c r="F45" s="756"/>
      <c r="G45" s="756"/>
      <c r="H45" s="756"/>
      <c r="I45" s="757"/>
      <c r="J45" s="758"/>
      <c r="K45" s="758"/>
      <c r="L45" s="756"/>
      <c r="M45" s="759"/>
      <c r="N45" s="756"/>
      <c r="O45" s="760"/>
      <c r="P45" s="756"/>
      <c r="Q45" s="756"/>
      <c r="R45" s="756"/>
      <c r="S45" s="756"/>
      <c r="T45" s="756"/>
      <c r="U45" s="756"/>
      <c r="V45" s="761"/>
      <c r="W45" s="756"/>
      <c r="X45" s="756"/>
      <c r="Y45" s="756"/>
      <c r="Z45" s="761"/>
      <c r="AA45" s="756"/>
      <c r="AB45" s="761"/>
      <c r="AC45" s="762"/>
    </row>
    <row r="46" spans="1:29">
      <c r="A46" s="353"/>
      <c r="B46" s="613" t="str">
        <f>IFERROR(VLOOKUP(M46,'02. MM-KLH'!$B$6:$T$823,6,0),"")</f>
        <v>Máy đào SH210 bánh xích gàu 0.9m3</v>
      </c>
      <c r="C46" s="353">
        <v>1</v>
      </c>
      <c r="D46" s="353" t="str">
        <f>IFERROR(VLOOKUP(M46,'02. MM-KLH'!$B$6:$T$823,16,0),"")</f>
        <v>SH210</v>
      </c>
      <c r="E46" s="353" t="s">
        <v>5978</v>
      </c>
      <c r="F46" s="353"/>
      <c r="G46" s="353"/>
      <c r="H46" s="353" t="str">
        <f>IFERROR(VLOOKUP(M46,'02. MM-KLH'!$B$6:$T$823,17,0),"")</f>
        <v>156HP</v>
      </c>
      <c r="I46" s="763">
        <f>IFERROR(VLOOKUP(M46,'02. MM-KLH'!$B$6:$U$823,20,0),"")</f>
        <v>13</v>
      </c>
      <c r="J46" s="613" t="str">
        <f>IFERROR(VLOOKUP(M46,'02. MM-KLH'!$B$6:$T$823,19,0),"")</f>
        <v>CCN</v>
      </c>
      <c r="K46" s="613" t="str">
        <f>IFERROR(VLOOKUP(M46,'02. MM-KLH'!$B$6:$T$823,18,0),"")</f>
        <v>STN210T6P00BH2390</v>
      </c>
      <c r="L46" s="353">
        <f>IFERROR(VLOOKUP(M46,'02. MM-KLH'!$B$6:$T$823,4,0),"")</f>
        <v>0</v>
      </c>
      <c r="M46" s="49" t="s">
        <v>457</v>
      </c>
      <c r="N46" s="356">
        <f>IFERROR(VLOOKUP(M46,'02. MM-KLH'!$B$6:$T$823,15,0),"")</f>
        <v>1993</v>
      </c>
      <c r="O46" s="764">
        <f>IFERROR(VLOOKUP(M46,'02. MM-KLH'!$B$6:$T$823,9,0),"")</f>
        <v>43801</v>
      </c>
      <c r="P46" s="353"/>
      <c r="Q46" s="317">
        <v>14025</v>
      </c>
      <c r="R46" s="353" t="s">
        <v>5978</v>
      </c>
      <c r="S46" s="353"/>
      <c r="T46" s="353"/>
      <c r="U46" s="353" t="str">
        <f>IFERROR(VLOOKUP(M46,'02. MM-KLH'!$B$6:$T$823,5,0),"")</f>
        <v>ĐQSD</v>
      </c>
      <c r="V46" s="766" t="str">
        <f>IFERROR(VLOOKUP(M46,'02. MM-KLH'!$B$6:$T$823,8,0),"")</f>
        <v>CGTC DP</v>
      </c>
      <c r="W46" s="353" t="str">
        <f>IFERROR(VLOOKUP(V46,'NS QUẢN LÝ CG'!$A$4:$D$36,2,0),"")</f>
        <v>Phạm Ngọc Hải</v>
      </c>
      <c r="X46" s="353" t="str">
        <f>IFERROR(VLOOKUP(V46,'NS QUẢN LÝ CG'!$A$4:$D$36,4,0),"")</f>
        <v>Lô 85 DP4</v>
      </c>
      <c r="Y46" s="1104" t="str">
        <f>IFERROR(VLOOKUP(V46,'NS QUẢN LÝ CG'!$A$4:$C$36,3,0),"")</f>
        <v>0825456565</v>
      </c>
      <c r="Z46" s="766" t="str">
        <f>IFERROR(VLOOKUP(M46,'02. MM-KLH'!$B$6:$T$823,3,0),"")</f>
        <v>ATT-A23-0011</v>
      </c>
      <c r="AA46" s="353" t="s">
        <v>5979</v>
      </c>
      <c r="AB46" s="766"/>
      <c r="AC46" s="731"/>
    </row>
    <row r="47" spans="1:29">
      <c r="A47" s="353"/>
      <c r="B47" s="613" t="str">
        <f>IFERROR(VLOOKUP(M47,'02. MM-KLH'!$B$6:$T$823,6,0),"")</f>
        <v>Máy đào SH210 bánh xích gàu 0.9m3</v>
      </c>
      <c r="C47" s="353">
        <v>1</v>
      </c>
      <c r="D47" s="353" t="str">
        <f>IFERROR(VLOOKUP(M47,'02. MM-KLH'!$B$6:$T$823,16,0),"")</f>
        <v>SH210-6</v>
      </c>
      <c r="E47" s="353" t="s">
        <v>5978</v>
      </c>
      <c r="F47" s="353"/>
      <c r="G47" s="353"/>
      <c r="H47" s="353" t="str">
        <f>IFERROR(VLOOKUP(M47,'02. MM-KLH'!$B$6:$T$823,17,0),"")</f>
        <v>160HP</v>
      </c>
      <c r="I47" s="763">
        <f>IFERROR(VLOOKUP(M47,'02. MM-KLH'!$B$6:$U$823,20,0),"")</f>
        <v>13</v>
      </c>
      <c r="J47" s="613">
        <f>IFERROR(VLOOKUP(M47,'02. MM-KLH'!$B$6:$T$823,19,0),"")</f>
        <v>801502</v>
      </c>
      <c r="K47" s="613" t="str">
        <f>IFERROR(VLOOKUP(M47,'02. MM-KLH'!$B$6:$T$823,18,0),"")</f>
        <v>STN210T6P00BH2695</v>
      </c>
      <c r="L47" s="353">
        <f>IFERROR(VLOOKUP(M47,'02. MM-KLH'!$B$6:$T$823,4,0),"")</f>
        <v>0</v>
      </c>
      <c r="M47" s="19" t="s">
        <v>471</v>
      </c>
      <c r="N47" s="356">
        <f>IFERROR(VLOOKUP(M47,'02. MM-KLH'!$B$6:$T$823,15,0),"")</f>
        <v>2020</v>
      </c>
      <c r="O47" s="764">
        <f>IFERROR(VLOOKUP(M47,'02. MM-KLH'!$B$6:$T$823,9,0),"")</f>
        <v>44200</v>
      </c>
      <c r="P47" s="353"/>
      <c r="Q47" s="317">
        <v>11659</v>
      </c>
      <c r="R47" s="353" t="s">
        <v>5978</v>
      </c>
      <c r="S47" s="353"/>
      <c r="T47" s="353"/>
      <c r="U47" s="353" t="str">
        <f>IFERROR(VLOOKUP(M47,'02. MM-KLH'!$B$6:$T$823,5,0),"")</f>
        <v>ĐQSD</v>
      </c>
      <c r="V47" s="766" t="str">
        <f>IFERROR(VLOOKUP(M47,'02. MM-KLH'!$B$6:$T$823,8,0),"")</f>
        <v>CGTC DP</v>
      </c>
      <c r="W47" s="353" t="str">
        <f>IFERROR(VLOOKUP(V47,'NS QUẢN LÝ CG'!$A$4:$D$36,2,0),"")</f>
        <v>Phạm Ngọc Hải</v>
      </c>
      <c r="X47" s="353" t="str">
        <f>IFERROR(VLOOKUP(V47,'NS QUẢN LÝ CG'!$A$4:$D$36,4,0),"")</f>
        <v>Lô 85 DP4</v>
      </c>
      <c r="Y47" s="1104" t="str">
        <f>IFERROR(VLOOKUP(V47,'NS QUẢN LÝ CG'!$A$4:$C$36,3,0),"")</f>
        <v>0825456565</v>
      </c>
      <c r="Z47" s="766" t="str">
        <f>IFERROR(VLOOKUP(M47,'02. MM-KLH'!$B$6:$T$823,3,0),"")</f>
        <v>ATM-A22-0087</v>
      </c>
      <c r="AA47" s="353" t="s">
        <v>5980</v>
      </c>
      <c r="AB47" s="766"/>
      <c r="AC47" s="731"/>
    </row>
    <row r="48" spans="1:29">
      <c r="A48" s="353"/>
      <c r="B48" s="613" t="str">
        <f>IFERROR(VLOOKUP(M48,'02. MM-KLH'!$B$6:$T$823,6,0),"")</f>
        <v>Máy đào SH130 bánh xích gàu 0.5m3</v>
      </c>
      <c r="C48" s="353">
        <v>1</v>
      </c>
      <c r="D48" s="353" t="str">
        <f>IFERROR(VLOOKUP(M48,'02. MM-KLH'!$B$6:$T$823,16,0),"")</f>
        <v>SH130-6</v>
      </c>
      <c r="E48" s="353" t="s">
        <v>5978</v>
      </c>
      <c r="F48" s="353"/>
      <c r="G48" s="353"/>
      <c r="H48" s="353" t="str">
        <f>IFERROR(VLOOKUP(M48,'02. MM-KLH'!$B$6:$T$823,17,0),"")</f>
        <v>96HP</v>
      </c>
      <c r="I48" s="763">
        <f>IFERROR(VLOOKUP(M48,'02. MM-KLH'!$B$6:$U$823,20,0),"")</f>
        <v>12</v>
      </c>
      <c r="J48" s="613" t="str">
        <f>IFERROR(VLOOKUP(M48,'02. MM-KLH'!$B$6:$T$823,19,0),"")</f>
        <v>6041164JJ1</v>
      </c>
      <c r="K48" s="613" t="str">
        <f>IFERROR(VLOOKUP(M48,'02. MM-KLH'!$B$6:$T$823,18,0),"")</f>
        <v>STN130T6A00BH1835</v>
      </c>
      <c r="L48" s="353">
        <f>IFERROR(VLOOKUP(M48,'02. MM-KLH'!$B$6:$T$823,4,0),"")</f>
        <v>0</v>
      </c>
      <c r="M48" s="19" t="s">
        <v>474</v>
      </c>
      <c r="N48" s="356">
        <f>IFERROR(VLOOKUP(M48,'02. MM-KLH'!$B$6:$T$823,15,0),"")</f>
        <v>2021</v>
      </c>
      <c r="O48" s="764">
        <f>IFERROR(VLOOKUP(M48,'02. MM-KLH'!$B$6:$T$823,9,0),"")</f>
        <v>44200</v>
      </c>
      <c r="P48" s="353"/>
      <c r="Q48" s="317">
        <v>12118</v>
      </c>
      <c r="R48" s="353" t="s">
        <v>5978</v>
      </c>
      <c r="S48" s="353"/>
      <c r="T48" s="353"/>
      <c r="U48" s="353" t="str">
        <f>IFERROR(VLOOKUP(M48,'02. MM-KLH'!$B$6:$T$823,5,0),"")</f>
        <v>ĐQSD</v>
      </c>
      <c r="V48" s="766" t="str">
        <f>IFERROR(VLOOKUP(M48,'02. MM-KLH'!$B$6:$T$823,8,0),"")</f>
        <v>CGTC DP</v>
      </c>
      <c r="W48" s="353" t="str">
        <f>IFERROR(VLOOKUP(V48,'NS QUẢN LÝ CG'!$A$4:$D$36,2,0),"")</f>
        <v>Phạm Ngọc Hải</v>
      </c>
      <c r="X48" s="353" t="str">
        <f>IFERROR(VLOOKUP(V48,'NS QUẢN LÝ CG'!$A$4:$D$36,4,0),"")</f>
        <v>Lô 85 DP4</v>
      </c>
      <c r="Y48" s="1104" t="str">
        <f>IFERROR(VLOOKUP(V48,'NS QUẢN LÝ CG'!$A$4:$C$36,3,0),"")</f>
        <v>0825456565</v>
      </c>
      <c r="Z48" s="766" t="str">
        <f>IFERROR(VLOOKUP(M48,'02. MM-KLH'!$B$6:$T$823,3,0),"")</f>
        <v>ATM-A22-0088</v>
      </c>
      <c r="AA48" s="353" t="s">
        <v>5980</v>
      </c>
      <c r="AB48" s="766"/>
      <c r="AC48" s="731"/>
    </row>
    <row r="49" ht="13.8" spans="1:29">
      <c r="A49" s="353"/>
      <c r="B49" s="613" t="str">
        <f>IFERROR(VLOOKUP(M49,'02. MM-KLH'!$B$6:$T$823,6,0),"")</f>
        <v>Máy đào SH210 bánh xích gàu 0.9m3</v>
      </c>
      <c r="C49" s="353">
        <v>1</v>
      </c>
      <c r="D49" s="353" t="str">
        <f>IFERROR(VLOOKUP(M49,'02. MM-KLH'!$B$6:$T$823,16,0),"")</f>
        <v>SH210-6</v>
      </c>
      <c r="E49" s="353" t="s">
        <v>5978</v>
      </c>
      <c r="F49" s="353"/>
      <c r="G49" s="353"/>
      <c r="H49" s="353" t="str">
        <f>IFERROR(VLOOKUP(M49,'02. MM-KLH'!$B$6:$T$823,17,0),"")</f>
        <v>156HP</v>
      </c>
      <c r="I49" s="763">
        <f>IFERROR(VLOOKUP(M49,'02. MM-KLH'!$B$6:$U$823,20,0),"")</f>
        <v>15</v>
      </c>
      <c r="J49" s="613">
        <f>IFERROR(VLOOKUP(M49,'02. MM-KLH'!$B$6:$T$823,19,0),"")</f>
        <v>800391</v>
      </c>
      <c r="K49" s="613" t="str">
        <f>IFERROR(VLOOKUP(M49,'02. MM-KLH'!$B$6:$T$823,18,0),"")</f>
        <v>STN210T6V00BH2623</v>
      </c>
      <c r="L49" s="353">
        <f>IFERROR(VLOOKUP(M49,'02. MM-KLH'!$B$6:$T$823,4,0),"")</f>
        <v>0</v>
      </c>
      <c r="M49" s="19" t="s">
        <v>741</v>
      </c>
      <c r="N49" s="356">
        <f>IFERROR(VLOOKUP(M49,'02. MM-KLH'!$B$6:$T$823,15,0),"")</f>
        <v>2020</v>
      </c>
      <c r="O49" s="764">
        <f>IFERROR(VLOOKUP(M49,'02. MM-KLH'!$B$6:$T$823,9,0),"")</f>
        <v>44197</v>
      </c>
      <c r="P49" s="353"/>
      <c r="Q49" s="722">
        <v>12940</v>
      </c>
      <c r="R49" s="353" t="s">
        <v>5978</v>
      </c>
      <c r="S49" s="353"/>
      <c r="T49" s="353"/>
      <c r="U49" s="353" t="str">
        <f>IFERROR(VLOOKUP(M49,'02. MM-KLH'!$B$6:$T$823,5,0),"")</f>
        <v>ĐQSD</v>
      </c>
      <c r="V49" s="766" t="str">
        <f>IFERROR(VLOOKUP(M49,'02. MM-KLH'!$B$6:$T$823,8,0),"")</f>
        <v>CGTC LP</v>
      </c>
      <c r="W49" s="353" t="str">
        <f>IFERROR(VLOOKUP(V49,'NS QUẢN LÝ CG'!$A$4:$D$36,2,0),"")</f>
        <v>Đỗ Đức Nghĩa</v>
      </c>
      <c r="X49" s="353" t="str">
        <f>IFERROR(VLOOKUP(V49,'NS QUẢN LÝ CG'!$A$4:$D$36,4,0),"")</f>
        <v>NOCN L.4-LP3</v>
      </c>
      <c r="Y49" s="1104" t="str">
        <f>IFERROR(VLOOKUP(V49,'NS QUẢN LÝ CG'!$A$4:$C$36,3,0),"")</f>
        <v>0971462780</v>
      </c>
      <c r="Z49" s="766" t="str">
        <f>IFERROR(VLOOKUP(M49,'02. MM-KLH'!$B$6:$T$823,3,0),"")</f>
        <v>ATT-A24-0053</v>
      </c>
      <c r="AA49" s="353" t="s">
        <v>5981</v>
      </c>
      <c r="AB49" s="766"/>
      <c r="AC49" s="731"/>
    </row>
    <row r="50" ht="13.8" spans="1:29">
      <c r="A50" s="353"/>
      <c r="B50" s="613" t="str">
        <f>IFERROR(VLOOKUP(M50,'02. MM-KLH'!$B$6:$T$823,6,0),"")</f>
        <v>Máy đào SH130 bánh xích gàu 0.5m3</v>
      </c>
      <c r="C50" s="353">
        <v>1</v>
      </c>
      <c r="D50" s="353" t="str">
        <f>IFERROR(VLOOKUP(M50,'02. MM-KLH'!$B$6:$T$823,16,0),"")</f>
        <v>SH130-6</v>
      </c>
      <c r="E50" s="353" t="s">
        <v>5978</v>
      </c>
      <c r="F50" s="353"/>
      <c r="G50" s="353"/>
      <c r="H50" s="353" t="str">
        <f>IFERROR(VLOOKUP(M50,'02. MM-KLH'!$B$6:$T$823,17,0),"")</f>
        <v>96HP</v>
      </c>
      <c r="I50" s="763">
        <f>IFERROR(VLOOKUP(M50,'02. MM-KLH'!$B$6:$U$823,20,0),"")</f>
        <v>12</v>
      </c>
      <c r="J50" s="613" t="str">
        <f>IFERROR(VLOOKUP(M50,'02. MM-KLH'!$B$6:$T$823,19,0),"")</f>
        <v>2757064JJ1</v>
      </c>
      <c r="K50" s="613" t="str">
        <f>IFERROR(VLOOKUP(M50,'02. MM-KLH'!$B$6:$T$823,18,0),"")</f>
        <v>STN130T6V00BH1607</v>
      </c>
      <c r="L50" s="353">
        <f>IFERROR(VLOOKUP(M50,'02. MM-KLH'!$B$6:$T$823,4,0),"")</f>
        <v>0</v>
      </c>
      <c r="M50" s="19" t="s">
        <v>744</v>
      </c>
      <c r="N50" s="356">
        <f>IFERROR(VLOOKUP(M50,'02. MM-KLH'!$B$6:$T$823,15,0),"")</f>
        <v>2019</v>
      </c>
      <c r="O50" s="764">
        <f>IFERROR(VLOOKUP(M50,'02. MM-KLH'!$B$6:$T$823,9,0),"")</f>
        <v>44197</v>
      </c>
      <c r="P50" s="353"/>
      <c r="Q50" s="722">
        <v>14224</v>
      </c>
      <c r="R50" s="353" t="s">
        <v>5978</v>
      </c>
      <c r="S50" s="353"/>
      <c r="T50" s="353"/>
      <c r="U50" s="353" t="str">
        <f>IFERROR(VLOOKUP(M50,'02. MM-KLH'!$B$6:$T$823,5,0),"")</f>
        <v>ĐQSD</v>
      </c>
      <c r="V50" s="766" t="str">
        <f>IFERROR(VLOOKUP(M50,'02. MM-KLH'!$B$6:$T$823,8,0),"")</f>
        <v>CGTC LP</v>
      </c>
      <c r="W50" s="353" t="str">
        <f>IFERROR(VLOOKUP(V50,'NS QUẢN LÝ CG'!$A$4:$D$36,2,0),"")</f>
        <v>Đỗ Đức Nghĩa</v>
      </c>
      <c r="X50" s="353" t="str">
        <f>IFERROR(VLOOKUP(V50,'NS QUẢN LÝ CG'!$A$4:$D$36,4,0),"")</f>
        <v>NOCN L.4-LP3</v>
      </c>
      <c r="Y50" s="1104" t="str">
        <f>IFERROR(VLOOKUP(V50,'NS QUẢN LÝ CG'!$A$4:$C$36,3,0),"")</f>
        <v>0971462780</v>
      </c>
      <c r="Z50" s="766" t="str">
        <f>IFERROR(VLOOKUP(M50,'02. MM-KLH'!$B$6:$T$823,3,0),"")</f>
        <v>ATT-A24-0052</v>
      </c>
      <c r="AA50" s="353" t="s">
        <v>5981</v>
      </c>
      <c r="AB50" s="766"/>
      <c r="AC50" s="731"/>
    </row>
    <row r="51" spans="1:29">
      <c r="A51" s="353"/>
      <c r="B51" s="613" t="str">
        <f>IFERROR(VLOOKUP(M51,'02. MM-KLH'!$B$6:$T$823,6,0),"")</f>
        <v>Máy đào SH210 bánh xích gàu 0.9m3</v>
      </c>
      <c r="C51" s="353">
        <v>1</v>
      </c>
      <c r="D51" s="353" t="str">
        <f>IFERROR(VLOOKUP(M51,'02. MM-KLH'!$B$6:$T$823,16,0),"")</f>
        <v>SH210-6</v>
      </c>
      <c r="E51" s="353" t="s">
        <v>5978</v>
      </c>
      <c r="F51" s="353"/>
      <c r="G51" s="353"/>
      <c r="H51" s="353" t="str">
        <f>IFERROR(VLOOKUP(M51,'02. MM-KLH'!$B$6:$T$823,17,0),"")</f>
        <v>160HP</v>
      </c>
      <c r="I51" s="763">
        <f>IFERROR(VLOOKUP(M51,'02. MM-KLH'!$B$6:$U$823,20,0),"")</f>
        <v>13</v>
      </c>
      <c r="J51" s="613">
        <f>IFERROR(VLOOKUP(M51,'02. MM-KLH'!$B$6:$T$823,19,0),"")</f>
        <v>816364</v>
      </c>
      <c r="K51" s="613" t="str">
        <f>IFERROR(VLOOKUP(M51,'02. MM-KLH'!$B$6:$T$823,18,0),"")</f>
        <v>STN210T6C00BH3091</v>
      </c>
      <c r="L51" s="353">
        <f>IFERROR(VLOOKUP(M51,'02. MM-KLH'!$B$6:$T$823,4,0),"")</f>
        <v>0</v>
      </c>
      <c r="M51" s="19" t="s">
        <v>867</v>
      </c>
      <c r="N51" s="356">
        <f>IFERROR(VLOOKUP(M51,'02. MM-KLH'!$B$6:$T$823,15,0),"")</f>
        <v>2021</v>
      </c>
      <c r="O51" s="764">
        <f>IFERROR(VLOOKUP(M51,'02. MM-KLH'!$B$6:$T$823,9,0),"")</f>
        <v>44287</v>
      </c>
      <c r="P51" s="353"/>
      <c r="Q51" s="768">
        <v>13650</v>
      </c>
      <c r="R51" s="353"/>
      <c r="S51" s="353" t="s">
        <v>5978</v>
      </c>
      <c r="T51" s="353"/>
      <c r="U51" s="353" t="str">
        <f>IFERROR(VLOOKUP(M51,'02. MM-KLH'!$B$6:$T$823,5,0),"")</f>
        <v>ĐQSD</v>
      </c>
      <c r="V51" s="766" t="str">
        <f>IFERROR(VLOOKUP(M51,'02. MM-KLH'!$B$6:$T$823,8,0),"")</f>
        <v>CGTC AD</v>
      </c>
      <c r="W51" s="353" t="str">
        <f>IFERROR(VLOOKUP(V51,'NS QUẢN LÝ CG'!$A$4:$D$36,2,0),"")</f>
        <v>Vũ Trung Kiên</v>
      </c>
      <c r="X51" s="353" t="str">
        <f>IFERROR(VLOOKUP(V51,'NS QUẢN LÝ CG'!$A$4:$D$36,4,0),"")</f>
        <v>Lô 73 ADM</v>
      </c>
      <c r="Y51" s="1104" t="str">
        <f>IFERROR(VLOOKUP(V51,'NS QUẢN LÝ CG'!$A$4:$C$36,3,0),"")</f>
        <v>0981761677</v>
      </c>
      <c r="Z51" s="766" t="str">
        <f>IFERROR(VLOOKUP(M51,'02. MM-KLH'!$B$6:$T$823,3,0),"")</f>
        <v>ATM-A22-0086</v>
      </c>
      <c r="AA51" s="353" t="s">
        <v>5980</v>
      </c>
      <c r="AB51" s="766"/>
      <c r="AC51" s="731"/>
    </row>
    <row r="52" spans="1:29">
      <c r="A52" s="353"/>
      <c r="B52" s="613" t="str">
        <f>IFERROR(VLOOKUP(M52,'02. MM-KLH'!$B$6:$T$823,6,0),"")</f>
        <v>Máy đào SH210 bánh xích gàu 0.9m3</v>
      </c>
      <c r="C52" s="353">
        <v>1</v>
      </c>
      <c r="D52" s="353" t="str">
        <f>IFERROR(VLOOKUP(M52,'02. MM-KLH'!$B$6:$T$823,16,0),"")</f>
        <v>SH210-6</v>
      </c>
      <c r="E52" s="353" t="s">
        <v>5978</v>
      </c>
      <c r="F52" s="353"/>
      <c r="G52" s="353"/>
      <c r="H52" s="353" t="str">
        <f>IFERROR(VLOOKUP(M52,'02. MM-KLH'!$B$6:$T$823,17,0),"")</f>
        <v>156HP</v>
      </c>
      <c r="I52" s="763">
        <f>IFERROR(VLOOKUP(M52,'02. MM-KLH'!$B$6:$U$823,20,0),"")</f>
        <v>15</v>
      </c>
      <c r="J52" s="613">
        <f>IFERROR(VLOOKUP(M52,'02. MM-KLH'!$B$6:$T$823,19,0),"")</f>
        <v>800456</v>
      </c>
      <c r="K52" s="613" t="str">
        <f>IFERROR(VLOOKUP(M52,'02. MM-KLH'!$B$6:$T$823,18,0),"")</f>
        <v>STN210T6V00BH2671</v>
      </c>
      <c r="L52" s="353">
        <f>IFERROR(VLOOKUP(M52,'02. MM-KLH'!$B$6:$T$823,4,0),"")</f>
        <v>0</v>
      </c>
      <c r="M52" s="19" t="s">
        <v>869</v>
      </c>
      <c r="N52" s="356">
        <f>IFERROR(VLOOKUP(M52,'02. MM-KLH'!$B$6:$T$823,15,0),"")</f>
        <v>2020</v>
      </c>
      <c r="O52" s="764">
        <f>IFERROR(VLOOKUP(M52,'02. MM-KLH'!$B$6:$T$823,9,0),"")</f>
        <v>0</v>
      </c>
      <c r="P52" s="353"/>
      <c r="Q52" s="768">
        <v>13174</v>
      </c>
      <c r="R52" s="353"/>
      <c r="S52" s="353" t="s">
        <v>5978</v>
      </c>
      <c r="T52" s="353"/>
      <c r="U52" s="353" t="str">
        <f>IFERROR(VLOOKUP(M52,'02. MM-KLH'!$B$6:$T$823,5,0),"")</f>
        <v>ĐQSD</v>
      </c>
      <c r="V52" s="766" t="str">
        <f>IFERROR(VLOOKUP(M52,'02. MM-KLH'!$B$6:$T$823,8,0),"")</f>
        <v>CGTC AD</v>
      </c>
      <c r="W52" s="353" t="str">
        <f>IFERROR(VLOOKUP(V52,'NS QUẢN LÝ CG'!$A$4:$D$36,2,0),"")</f>
        <v>Vũ Trung Kiên</v>
      </c>
      <c r="X52" s="353" t="str">
        <f>IFERROR(VLOOKUP(V52,'NS QUẢN LÝ CG'!$A$4:$D$36,4,0),"")</f>
        <v>Lô 73 ADM</v>
      </c>
      <c r="Y52" s="1104" t="str">
        <f>IFERROR(VLOOKUP(V52,'NS QUẢN LÝ CG'!$A$4:$C$36,3,0),"")</f>
        <v>0981761677</v>
      </c>
      <c r="Z52" s="766" t="str">
        <f>IFERROR(VLOOKUP(M52,'02. MM-KLH'!$B$6:$T$823,3,0),"")</f>
        <v>ATT-A22-0143</v>
      </c>
      <c r="AA52" s="353" t="s">
        <v>5980</v>
      </c>
      <c r="AB52" s="766"/>
      <c r="AC52" s="731"/>
    </row>
    <row r="53" ht="13.8" spans="1:29">
      <c r="A53" s="353"/>
      <c r="B53" s="613" t="str">
        <f>IFERROR(VLOOKUP(M53,'02. MM-KLH'!$B$6:$T$823,6,0),"")</f>
        <v/>
      </c>
      <c r="C53" s="353"/>
      <c r="D53" s="353" t="str">
        <f>IFERROR(VLOOKUP(M53,'02. MM-KLH'!$B$6:$T$823,16,0),"")</f>
        <v/>
      </c>
      <c r="E53" s="353"/>
      <c r="F53" s="353"/>
      <c r="G53" s="353"/>
      <c r="H53" s="353" t="str">
        <f>IFERROR(VLOOKUP(M53,'02. MM-KLH'!$B$6:$T$823,17,0),"")</f>
        <v/>
      </c>
      <c r="I53" s="763" t="str">
        <f>IFERROR(VLOOKUP(M53,'02. MM-KLH'!$B$6:$U$823,20,0),"")</f>
        <v/>
      </c>
      <c r="J53" s="613" t="str">
        <f>IFERROR(VLOOKUP(M53,'02. MM-KLH'!$B$6:$T$823,19,0),"")</f>
        <v/>
      </c>
      <c r="K53" s="613" t="str">
        <f>IFERROR(VLOOKUP(M53,'02. MM-KLH'!$B$6:$T$823,18,0),"")</f>
        <v/>
      </c>
      <c r="L53" s="353" t="str">
        <f>IFERROR(VLOOKUP(M53,'02. MM-KLH'!$B$6:$T$823,4,0),"")</f>
        <v/>
      </c>
      <c r="M53" s="19"/>
      <c r="N53" s="356" t="str">
        <f>IFERROR(VLOOKUP(M53,'02. MM-KLH'!$B$6:$T$823,15,0),"")</f>
        <v/>
      </c>
      <c r="O53" s="764" t="str">
        <f>IFERROR(VLOOKUP(M53,'02. MM-KLH'!$B$6:$T$823,9,0),"")</f>
        <v/>
      </c>
      <c r="P53" s="353"/>
      <c r="Q53" s="353"/>
      <c r="R53" s="353"/>
      <c r="S53" s="353"/>
      <c r="T53" s="353"/>
      <c r="U53" s="353" t="str">
        <f>IFERROR(VLOOKUP(M53,'02. MM-KLH'!$B$6:$T$823,2,0),"")</f>
        <v/>
      </c>
      <c r="V53" s="766" t="str">
        <f>IFERROR(VLOOKUP(M53,'02. MM-KLH'!$B$6:$T$823,8,0),"")</f>
        <v/>
      </c>
      <c r="W53" s="353" t="str">
        <f>IFERROR(VLOOKUP(V53,'NS QUẢN LÝ CG'!$A$4:$D$36,2,0),"")</f>
        <v/>
      </c>
      <c r="X53" s="353" t="str">
        <f>IFERROR(VLOOKUP(V53,'NS QUẢN LÝ CG'!$A$4:$D$36,4,0),"")</f>
        <v/>
      </c>
      <c r="Y53" s="353"/>
      <c r="Z53" s="766" t="str">
        <f>IFERROR(VLOOKUP(M53,'02. MM-KLH'!$B$6:$T$823,3,0),"")</f>
        <v/>
      </c>
      <c r="AA53" s="353"/>
      <c r="AB53" s="766"/>
      <c r="AC53" s="731"/>
    </row>
    <row r="54" ht="13.8" hidden="1" spans="1:29">
      <c r="A54" s="353"/>
      <c r="B54" s="613" t="str">
        <f>IFERROR(VLOOKUP(M54,'02. MM-KLH'!$B$6:$T$823,6,0),"")</f>
        <v/>
      </c>
      <c r="C54" s="353"/>
      <c r="D54" s="353" t="str">
        <f>IFERROR(VLOOKUP(M54,'02. MM-KLH'!$B$6:$T$823,16,0),"")</f>
        <v/>
      </c>
      <c r="E54" s="353"/>
      <c r="F54" s="353"/>
      <c r="G54" s="353"/>
      <c r="H54" s="353" t="str">
        <f>IFERROR(VLOOKUP(M54,'02. MM-KLH'!$B$6:$T$823,17,0),"")</f>
        <v/>
      </c>
      <c r="I54" s="763" t="str">
        <f>IFERROR(VLOOKUP(M54,'02. MM-KLH'!$B$6:$U$823,20,0),"")</f>
        <v/>
      </c>
      <c r="J54" s="613" t="str">
        <f>IFERROR(VLOOKUP(M54,'02. MM-KLH'!$B$6:$T$823,19,0),"")</f>
        <v/>
      </c>
      <c r="K54" s="613" t="str">
        <f>IFERROR(VLOOKUP(M54,'02. MM-KLH'!$B$6:$T$823,18,0),"")</f>
        <v/>
      </c>
      <c r="L54" s="353" t="str">
        <f>IFERROR(VLOOKUP(M54,'02. MM-KLH'!$B$6:$T$823,4,0),"")</f>
        <v/>
      </c>
      <c r="M54" s="19"/>
      <c r="N54" s="356" t="str">
        <f>IFERROR(VLOOKUP(M54,'02. MM-KLH'!$B$6:$T$823,15,0),"")</f>
        <v/>
      </c>
      <c r="O54" s="764" t="str">
        <f>IFERROR(VLOOKUP(M54,'02. MM-KLH'!$B$6:$T$823,9,0),"")</f>
        <v/>
      </c>
      <c r="P54" s="353"/>
      <c r="Q54" s="353"/>
      <c r="R54" s="353"/>
      <c r="S54" s="353"/>
      <c r="T54" s="353"/>
      <c r="U54" s="353" t="str">
        <f>IFERROR(VLOOKUP(M54,'02. MM-KLH'!$B$6:$T$823,2,0),"")</f>
        <v/>
      </c>
      <c r="V54" s="766" t="str">
        <f>IFERROR(VLOOKUP(M54,'02. MM-KLH'!$B$6:$T$823,8,0),"")</f>
        <v/>
      </c>
      <c r="W54" s="353"/>
      <c r="X54" s="353"/>
      <c r="Y54" s="353"/>
      <c r="Z54" s="766" t="str">
        <f>IFERROR(VLOOKUP(M54,'02. MM-KLH'!$B$6:$T$823,3,0),"")</f>
        <v/>
      </c>
      <c r="AA54" s="353"/>
      <c r="AB54" s="766"/>
      <c r="AC54" s="731"/>
    </row>
    <row r="55" ht="13.8" hidden="1" spans="1:29">
      <c r="A55" s="353"/>
      <c r="B55" s="613" t="str">
        <f>IFERROR(VLOOKUP(M55,'02. MM-KLH'!$B$6:$T$823,6,0),"")</f>
        <v/>
      </c>
      <c r="C55" s="353"/>
      <c r="D55" s="353" t="str">
        <f>IFERROR(VLOOKUP(M55,'02. MM-KLH'!$B$6:$T$823,16,0),"")</f>
        <v/>
      </c>
      <c r="E55" s="353"/>
      <c r="F55" s="353"/>
      <c r="G55" s="353"/>
      <c r="H55" s="353" t="str">
        <f>IFERROR(VLOOKUP(M55,'02. MM-KLH'!$B$6:$T$823,17,0),"")</f>
        <v/>
      </c>
      <c r="I55" s="763" t="str">
        <f>IFERROR(VLOOKUP(M55,'02. MM-KLH'!$B$6:$U$823,20,0),"")</f>
        <v/>
      </c>
      <c r="J55" s="613" t="str">
        <f>IFERROR(VLOOKUP(M55,'02. MM-KLH'!$B$6:$T$823,19,0),"")</f>
        <v/>
      </c>
      <c r="K55" s="613" t="str">
        <f>IFERROR(VLOOKUP(M55,'02. MM-KLH'!$B$6:$T$823,18,0),"")</f>
        <v/>
      </c>
      <c r="L55" s="353" t="str">
        <f>IFERROR(VLOOKUP(M55,'02. MM-KLH'!$B$6:$T$823,4,0),"")</f>
        <v/>
      </c>
      <c r="M55" s="19"/>
      <c r="N55" s="356" t="str">
        <f>IFERROR(VLOOKUP(M55,'02. MM-KLH'!$B$6:$T$823,15,0),"")</f>
        <v/>
      </c>
      <c r="O55" s="764" t="str">
        <f>IFERROR(VLOOKUP(M55,'02. MM-KLH'!$B$6:$T$823,9,0),"")</f>
        <v/>
      </c>
      <c r="P55" s="353"/>
      <c r="Q55" s="353"/>
      <c r="R55" s="353"/>
      <c r="S55" s="353"/>
      <c r="T55" s="353"/>
      <c r="U55" s="353" t="str">
        <f>IFERROR(VLOOKUP(M55,'02. MM-KLH'!$B$6:$T$823,2,0),"")</f>
        <v/>
      </c>
      <c r="V55" s="766" t="str">
        <f>IFERROR(VLOOKUP(M55,'02. MM-KLH'!$B$6:$T$823,8,0),"")</f>
        <v/>
      </c>
      <c r="W55" s="353"/>
      <c r="X55" s="353"/>
      <c r="Y55" s="353"/>
      <c r="Z55" s="766" t="str">
        <f>IFERROR(VLOOKUP(M55,'02. MM-KLH'!$B$6:$T$823,3,0),"")</f>
        <v/>
      </c>
      <c r="AA55" s="353"/>
      <c r="AB55" s="766"/>
      <c r="AC55" s="731"/>
    </row>
    <row r="56" ht="13.8" spans="1:29">
      <c r="A56" s="754">
        <v>4</v>
      </c>
      <c r="B56" s="755" t="s">
        <v>464</v>
      </c>
      <c r="C56" s="754">
        <f>COUNTA(B57:B65)</f>
        <v>9</v>
      </c>
      <c r="D56" s="756"/>
      <c r="E56" s="756"/>
      <c r="F56" s="756"/>
      <c r="G56" s="756"/>
      <c r="H56" s="756"/>
      <c r="I56" s="757"/>
      <c r="J56" s="758"/>
      <c r="K56" s="758"/>
      <c r="L56" s="756"/>
      <c r="M56" s="759"/>
      <c r="N56" s="756"/>
      <c r="O56" s="760"/>
      <c r="P56" s="756"/>
      <c r="Q56" s="756"/>
      <c r="R56" s="756"/>
      <c r="S56" s="756"/>
      <c r="T56" s="756"/>
      <c r="U56" s="756"/>
      <c r="V56" s="761"/>
      <c r="W56" s="756"/>
      <c r="X56" s="756"/>
      <c r="Y56" s="756"/>
      <c r="Z56" s="761"/>
      <c r="AA56" s="756"/>
      <c r="AB56" s="761"/>
      <c r="AC56" s="762"/>
    </row>
    <row r="57" spans="1:29">
      <c r="A57" s="353"/>
      <c r="B57" s="613" t="str">
        <f>IFERROR(VLOOKUP(M57,'02. MM-KLH'!$B$6:$T$823,6,0),"")</f>
        <v>Máy đào DX140W bánh lốp gàu 0.7m3</v>
      </c>
      <c r="C57" s="353">
        <v>1</v>
      </c>
      <c r="D57" s="353" t="str">
        <f>IFERROR(VLOOKUP(M57,'02. MM-KLH'!$B$6:$T$823,16,0),"")</f>
        <v>DX140W</v>
      </c>
      <c r="E57" s="353" t="s">
        <v>5978</v>
      </c>
      <c r="F57" s="353"/>
      <c r="G57" s="353"/>
      <c r="H57" s="353" t="str">
        <f>IFERROR(VLOOKUP(M57,'02. MM-KLH'!$B$6:$T$823,17,0),"")</f>
        <v>133HP</v>
      </c>
      <c r="I57" s="763">
        <f>IFERROR(VLOOKUP(M57,'02. MM-KLH'!$B$6:$U$823,20,0),"")</f>
        <v>10</v>
      </c>
      <c r="J57" s="613" t="str">
        <f>IFERROR(VLOOKUP(M57,'02. MM-KLH'!$B$6:$T$823,19,0),"")</f>
        <v>CCN</v>
      </c>
      <c r="K57" s="613" t="str">
        <f>IFERROR(VLOOKUP(M57,'02. MM-KLH'!$B$6:$T$823,18,0),"")</f>
        <v>DHKCEWAAVK5008713</v>
      </c>
      <c r="L57" s="353">
        <f>IFERROR(VLOOKUP(M57,'02. MM-KLH'!$B$6:$T$823,4,0),"")</f>
        <v>0</v>
      </c>
      <c r="M57" s="19" t="s">
        <v>463</v>
      </c>
      <c r="N57" s="356">
        <f>IFERROR(VLOOKUP(M57,'02. MM-KLH'!$B$6:$T$823,15,0),"")</f>
        <v>2019</v>
      </c>
      <c r="O57" s="764">
        <f>IFERROR(VLOOKUP(M57,'02. MM-KLH'!$B$6:$T$823,9,0),"")</f>
        <v>44110</v>
      </c>
      <c r="P57" s="353"/>
      <c r="Q57" s="317">
        <v>16627</v>
      </c>
      <c r="R57" s="353" t="s">
        <v>5978</v>
      </c>
      <c r="S57" s="353"/>
      <c r="T57" s="353"/>
      <c r="U57" s="353" t="str">
        <f>IFERROR(VLOOKUP(M57,'02. MM-KLH'!$B$6:$T$823,5,0),"")</f>
        <v>ĐQSD</v>
      </c>
      <c r="V57" s="766" t="str">
        <f>IFERROR(VLOOKUP(M57,'02. MM-KLH'!$B$6:$T$823,8,0),"")</f>
        <v>CGTC DP</v>
      </c>
      <c r="W57" s="353" t="str">
        <f>IFERROR(VLOOKUP(V57,'NS QUẢN LÝ CG'!$A$4:$D$36,2,0),"")</f>
        <v>Phạm Ngọc Hải</v>
      </c>
      <c r="X57" s="353" t="str">
        <f>IFERROR(VLOOKUP(V57,'NS QUẢN LÝ CG'!$A$4:$D$36,4,0),"")</f>
        <v>Lô 85 DP4</v>
      </c>
      <c r="Y57" s="1104" t="str">
        <f>IFERROR(VLOOKUP(V57,'NS QUẢN LÝ CG'!$A$4:$C$36,3,0),"")</f>
        <v>0825456565</v>
      </c>
      <c r="Z57" s="766" t="str">
        <f>IFERROR(VLOOKUP(M57,'02. MM-KLH'!$B$6:$T$823,3,0),"")</f>
        <v>ATT-A23-0034</v>
      </c>
      <c r="AA57" s="353" t="s">
        <v>5979</v>
      </c>
      <c r="AB57" s="766"/>
      <c r="AC57" s="731"/>
    </row>
    <row r="58" spans="1:29">
      <c r="A58" s="353"/>
      <c r="B58" s="613" t="str">
        <f>IFERROR(VLOOKUP(M58,'02. MM-KLH'!$B$6:$T$823,6,0),"")</f>
        <v>Máy đào DX140W bánh lốp gàu 0.7m3</v>
      </c>
      <c r="C58" s="353">
        <v>1</v>
      </c>
      <c r="D58" s="353" t="str">
        <f>IFERROR(VLOOKUP(M58,'02. MM-KLH'!$B$6:$T$823,16,0),"")</f>
        <v>DX140W</v>
      </c>
      <c r="E58" s="353" t="s">
        <v>5978</v>
      </c>
      <c r="F58" s="353"/>
      <c r="G58" s="353"/>
      <c r="H58" s="353" t="str">
        <f>IFERROR(VLOOKUP(M58,'02. MM-KLH'!$B$6:$T$823,17,0),"")</f>
        <v>133HP</v>
      </c>
      <c r="I58" s="763">
        <f>IFERROR(VLOOKUP(M58,'02. MM-KLH'!$B$6:$U$823,20,0),"")</f>
        <v>10</v>
      </c>
      <c r="J58" s="613" t="str">
        <f>IFERROR(VLOOKUP(M58,'02. MM-KLH'!$B$6:$T$823,19,0),"")</f>
        <v>CCN</v>
      </c>
      <c r="K58" s="613" t="str">
        <f>IFERROR(VLOOKUP(M58,'02. MM-KLH'!$B$6:$T$823,18,0),"")</f>
        <v>DHKCEWAAEK5008652</v>
      </c>
      <c r="L58" s="353">
        <f>IFERROR(VLOOKUP(M58,'02. MM-KLH'!$B$6:$T$823,4,0),"")</f>
        <v>0</v>
      </c>
      <c r="M58" s="49" t="s">
        <v>469</v>
      </c>
      <c r="N58" s="356">
        <f>IFERROR(VLOOKUP(M58,'02. MM-KLH'!$B$6:$T$823,15,0),"")</f>
        <v>2018</v>
      </c>
      <c r="O58" s="764">
        <f>IFERROR(VLOOKUP(M58,'02. MM-KLH'!$B$6:$T$823,9,0),"")</f>
        <v>43801</v>
      </c>
      <c r="P58" s="353"/>
      <c r="Q58" s="317">
        <v>18949</v>
      </c>
      <c r="R58" s="353" t="s">
        <v>5978</v>
      </c>
      <c r="S58" s="353"/>
      <c r="T58" s="353"/>
      <c r="U58" s="353" t="str">
        <f>IFERROR(VLOOKUP(M58,'02. MM-KLH'!$B$6:$T$823,5,0),"")</f>
        <v>ĐQSD</v>
      </c>
      <c r="V58" s="766" t="str">
        <f>IFERROR(VLOOKUP(M58,'02. MM-KLH'!$B$6:$T$823,8,0),"")</f>
        <v>CGTC DP</v>
      </c>
      <c r="W58" s="353" t="str">
        <f>IFERROR(VLOOKUP(V58,'NS QUẢN LÝ CG'!$A$4:$D$36,2,0),"")</f>
        <v>Phạm Ngọc Hải</v>
      </c>
      <c r="X58" s="353" t="str">
        <f>IFERROR(VLOOKUP(V58,'NS QUẢN LÝ CG'!$A$4:$D$36,4,0),"")</f>
        <v>Lô 85 DP4</v>
      </c>
      <c r="Y58" s="1104" t="str">
        <f>IFERROR(VLOOKUP(V58,'NS QUẢN LÝ CG'!$A$4:$C$36,3,0),"")</f>
        <v>0825456565</v>
      </c>
      <c r="Z58" s="766" t="str">
        <f>IFERROR(VLOOKUP(M58,'02. MM-KLH'!$B$6:$T$823,3,0),"")</f>
        <v>ATT-A23-0012</v>
      </c>
      <c r="AA58" s="353" t="s">
        <v>5979</v>
      </c>
      <c r="AB58" s="766"/>
      <c r="AC58" s="731"/>
    </row>
    <row r="59" ht="13.8" spans="1:29">
      <c r="A59" s="353"/>
      <c r="B59" s="613" t="str">
        <f>IFERROR(VLOOKUP(M59,'02. MM-KLH'!$B$6:$T$823,6,0),"")</f>
        <v>Máy đào DX140W bánh lốp gàu 0.7m3</v>
      </c>
      <c r="C59" s="353">
        <v>1</v>
      </c>
      <c r="D59" s="353" t="str">
        <f>IFERROR(VLOOKUP(M59,'02. MM-KLH'!$B$6:$T$823,16,0),"")</f>
        <v>DX140W</v>
      </c>
      <c r="E59" s="353" t="s">
        <v>5978</v>
      </c>
      <c r="F59" s="353"/>
      <c r="G59" s="353"/>
      <c r="H59" s="353" t="str">
        <f>IFERROR(VLOOKUP(M59,'02. MM-KLH'!$B$6:$T$823,17,0),"")</f>
        <v>133HP</v>
      </c>
      <c r="I59" s="763">
        <f>IFERROR(VLOOKUP(M59,'02. MM-KLH'!$B$6:$U$823,20,0),"")</f>
        <v>10</v>
      </c>
      <c r="J59" s="613" t="str">
        <f>IFERROR(VLOOKUP(M59,'02. MM-KLH'!$B$6:$T$823,19,0),"")</f>
        <v>DB58TIS039588EJ</v>
      </c>
      <c r="K59" s="613" t="str">
        <f>IFERROR(VLOOKUP(M59,'02. MM-KLH'!$B$6:$T$823,18,0),"")</f>
        <v>DHKCEWAAHL5008817</v>
      </c>
      <c r="L59" s="353">
        <f>IFERROR(VLOOKUP(M59,'02. MM-KLH'!$B$6:$T$823,4,0),"")</f>
        <v>0</v>
      </c>
      <c r="M59" s="19" t="s">
        <v>748</v>
      </c>
      <c r="N59" s="356">
        <f>IFERROR(VLOOKUP(M59,'02. MM-KLH'!$B$6:$T$823,15,0),"")</f>
        <v>2020</v>
      </c>
      <c r="O59" s="764">
        <f>IFERROR(VLOOKUP(M59,'02. MM-KLH'!$B$6:$T$823,9,0),"")</f>
        <v>44197</v>
      </c>
      <c r="P59" s="353"/>
      <c r="Q59" s="769">
        <v>15387</v>
      </c>
      <c r="R59" s="353" t="s">
        <v>5978</v>
      </c>
      <c r="S59" s="353"/>
      <c r="T59" s="353"/>
      <c r="U59" s="353" t="str">
        <f>IFERROR(VLOOKUP(M59,'02. MM-KLH'!$B$6:$T$823,5,0),"")</f>
        <v>ĐQSD</v>
      </c>
      <c r="V59" s="766" t="str">
        <f>IFERROR(VLOOKUP(M59,'02. MM-KLH'!$B$6:$T$823,8,0),"")</f>
        <v>CGTC LP</v>
      </c>
      <c r="W59" s="353" t="str">
        <f>IFERROR(VLOOKUP(V59,'NS QUẢN LÝ CG'!$A$4:$D$36,2,0),"")</f>
        <v>Đỗ Đức Nghĩa</v>
      </c>
      <c r="X59" s="353" t="str">
        <f>IFERROR(VLOOKUP(V59,'NS QUẢN LÝ CG'!$A$4:$D$36,4,0),"")</f>
        <v>NOCN L.4-LP3</v>
      </c>
      <c r="Y59" s="1104" t="str">
        <f>IFERROR(VLOOKUP(V59,'NS QUẢN LÝ CG'!$A$4:$C$36,3,0),"")</f>
        <v>0971462780</v>
      </c>
      <c r="Z59" s="766" t="str">
        <f>IFERROR(VLOOKUP(M59,'02. MM-KLH'!$B$6:$T$823,3,0),"")</f>
        <v>ATT-A24-0049</v>
      </c>
      <c r="AA59" s="353" t="s">
        <v>5981</v>
      </c>
      <c r="AB59" s="766"/>
      <c r="AC59" s="731"/>
    </row>
    <row r="60" ht="13.8" spans="1:29">
      <c r="A60" s="353"/>
      <c r="B60" s="613" t="str">
        <f>IFERROR(VLOOKUP(M60,'02. MM-KLH'!$B$6:$T$823,6,0),"")</f>
        <v>Máy đào DX140W bánh lốp gàu 0.7m3</v>
      </c>
      <c r="C60" s="353">
        <v>1</v>
      </c>
      <c r="D60" s="353" t="str">
        <f>IFERROR(VLOOKUP(M60,'02. MM-KLH'!$B$6:$T$823,16,0),"")</f>
        <v>DX140W</v>
      </c>
      <c r="E60" s="353" t="s">
        <v>5978</v>
      </c>
      <c r="F60" s="353"/>
      <c r="G60" s="353"/>
      <c r="H60" s="353" t="str">
        <f>IFERROR(VLOOKUP(M60,'02. MM-KLH'!$B$6:$T$823,17,0),"")</f>
        <v>133HP</v>
      </c>
      <c r="I60" s="763">
        <f>IFERROR(VLOOKUP(M60,'02. MM-KLH'!$B$6:$U$823,20,0),"")</f>
        <v>10</v>
      </c>
      <c r="J60" s="613" t="str">
        <f>IFERROR(VLOOKUP(M60,'02. MM-KLH'!$B$6:$T$823,19,0),"")</f>
        <v>DB58TIS039734EJ</v>
      </c>
      <c r="K60" s="613" t="str">
        <f>IFERROR(VLOOKUP(M60,'02. MM-KLH'!$B$6:$T$823,18,0),"")</f>
        <v>DHKCEWAAHL5008818</v>
      </c>
      <c r="L60" s="353">
        <f>IFERROR(VLOOKUP(M60,'02. MM-KLH'!$B$6:$T$823,4,0),"")</f>
        <v>0</v>
      </c>
      <c r="M60" s="19" t="s">
        <v>752</v>
      </c>
      <c r="N60" s="356">
        <f>IFERROR(VLOOKUP(M60,'02. MM-KLH'!$B$6:$T$823,15,0),"")</f>
        <v>2020</v>
      </c>
      <c r="O60" s="764">
        <f>IFERROR(VLOOKUP(M60,'02. MM-KLH'!$B$6:$T$823,9,0),"")</f>
        <v>44197</v>
      </c>
      <c r="P60" s="353"/>
      <c r="Q60" s="353" t="s">
        <v>1755</v>
      </c>
      <c r="R60" s="353"/>
      <c r="S60" s="353" t="s">
        <v>5978</v>
      </c>
      <c r="T60" s="353"/>
      <c r="U60" s="353" t="str">
        <f>IFERROR(VLOOKUP(M60,'02. MM-KLH'!$B$6:$T$823,5,0),"")</f>
        <v>ĐQSD</v>
      </c>
      <c r="V60" s="766" t="str">
        <f>IFERROR(VLOOKUP(M60,'02. MM-KLH'!$B$6:$T$823,8,0),"")</f>
        <v>CGTC LP</v>
      </c>
      <c r="W60" s="353" t="str">
        <f>IFERROR(VLOOKUP(V60,'NS QUẢN LÝ CG'!$A$4:$D$36,2,0),"")</f>
        <v>Đỗ Đức Nghĩa</v>
      </c>
      <c r="X60" s="353" t="str">
        <f>IFERROR(VLOOKUP(V60,'NS QUẢN LÝ CG'!$A$4:$D$36,4,0),"")</f>
        <v>NOCN L.4-LP3</v>
      </c>
      <c r="Y60" s="1104" t="str">
        <f>IFERROR(VLOOKUP(V60,'NS QUẢN LÝ CG'!$A$4:$C$36,3,0),"")</f>
        <v>0971462780</v>
      </c>
      <c r="Z60" s="766" t="str">
        <f>IFERROR(VLOOKUP(M60,'02. MM-KLH'!$B$6:$T$823,3,0),"")</f>
        <v>ATT-A24-0050</v>
      </c>
      <c r="AA60" s="353" t="s">
        <v>5981</v>
      </c>
      <c r="AB60" s="766"/>
      <c r="AC60" s="731"/>
    </row>
    <row r="61" spans="1:29">
      <c r="A61" s="353"/>
      <c r="B61" s="613" t="str">
        <f>IFERROR(VLOOKUP(M61,'02. MM-KLH'!$B$6:$T$823,6,0),"")</f>
        <v>Máy đào DX140W bánh lốp gàu 0.7m3</v>
      </c>
      <c r="C61" s="353">
        <v>1</v>
      </c>
      <c r="D61" s="353" t="str">
        <f>IFERROR(VLOOKUP(M61,'02. MM-KLH'!$B$6:$T$823,16,0),"")</f>
        <v>DX140W</v>
      </c>
      <c r="E61" s="353" t="s">
        <v>5978</v>
      </c>
      <c r="F61" s="353"/>
      <c r="G61" s="353"/>
      <c r="H61" s="353" t="str">
        <f>IFERROR(VLOOKUP(M61,'02. MM-KLH'!$B$6:$T$823,17,0),"")</f>
        <v>133HP</v>
      </c>
      <c r="I61" s="763">
        <f>IFERROR(VLOOKUP(M61,'02. MM-KLH'!$B$6:$U$823,20,0),"")</f>
        <v>10</v>
      </c>
      <c r="J61" s="613" t="str">
        <f>IFERROR(VLOOKUP(M61,'02. MM-KLH'!$B$6:$T$823,19,0),"")</f>
        <v>DB58TIS039733EJ</v>
      </c>
      <c r="K61" s="613" t="str">
        <f>IFERROR(VLOOKUP(M61,'02. MM-KLH'!$B$6:$T$823,18,0),"")</f>
        <v>DHKCEWAAHL5008819</v>
      </c>
      <c r="L61" s="353">
        <f>IFERROR(VLOOKUP(M61,'02. MM-KLH'!$B$6:$T$823,4,0),"")</f>
        <v>0</v>
      </c>
      <c r="M61" s="19" t="s">
        <v>871</v>
      </c>
      <c r="N61" s="356">
        <f>IFERROR(VLOOKUP(M61,'02. MM-KLH'!$B$6:$T$823,15,0),"")</f>
        <v>2020</v>
      </c>
      <c r="O61" s="764" t="str">
        <f>IFERROR(VLOOKUP(M61,'02. MM-KLH'!$B$6:$T$823,9,0),"")</f>
        <v>14/09/2020</v>
      </c>
      <c r="P61" s="218"/>
      <c r="Q61" s="768">
        <v>16967</v>
      </c>
      <c r="R61" s="353" t="s">
        <v>5978</v>
      </c>
      <c r="S61" s="353"/>
      <c r="T61" s="353"/>
      <c r="U61" s="353" t="str">
        <f>IFERROR(VLOOKUP(M61,'02. MM-KLH'!$B$6:$T$823,5,0),"")</f>
        <v>ĐQSD</v>
      </c>
      <c r="V61" s="766" t="str">
        <f>IFERROR(VLOOKUP(M61,'02. MM-KLH'!$B$6:$T$823,8,0),"")</f>
        <v>CGTC AD</v>
      </c>
      <c r="W61" s="353" t="str">
        <f>IFERROR(VLOOKUP(V61,'NS QUẢN LÝ CG'!$A$4:$D$36,2,0),"")</f>
        <v>Vũ Trung Kiên</v>
      </c>
      <c r="X61" s="353" t="str">
        <f>IFERROR(VLOOKUP(V61,'NS QUẢN LÝ CG'!$A$4:$D$36,4,0),"")</f>
        <v>Lô 73 ADM</v>
      </c>
      <c r="Y61" s="1104" t="str">
        <f>IFERROR(VLOOKUP(V61,'NS QUẢN LÝ CG'!$A$4:$C$36,3,0),"")</f>
        <v>0981761677</v>
      </c>
      <c r="Z61" s="766" t="str">
        <f>IFERROR(VLOOKUP(M61,'02. MM-KLH'!$B$6:$T$823,3,0),"")</f>
        <v>ATT-A22-0120</v>
      </c>
      <c r="AA61" s="353" t="s">
        <v>5980</v>
      </c>
      <c r="AB61" s="766"/>
      <c r="AC61" s="731"/>
    </row>
    <row r="62" spans="1:29">
      <c r="A62" s="353"/>
      <c r="B62" s="613" t="str">
        <f>IFERROR(VLOOKUP(M62,'02. MM-KLH'!$B$6:$T$823,6,0),"")</f>
        <v>Máy đào DX140W bánh lốp gàu 0.7m3</v>
      </c>
      <c r="C62" s="353">
        <v>1</v>
      </c>
      <c r="D62" s="353" t="str">
        <f>IFERROR(VLOOKUP(M62,'02. MM-KLH'!$B$6:$T$823,16,0),"")</f>
        <v>DX140W</v>
      </c>
      <c r="E62" s="353" t="s">
        <v>5978</v>
      </c>
      <c r="F62" s="353"/>
      <c r="G62" s="353"/>
      <c r="H62" s="353" t="str">
        <f>IFERROR(VLOOKUP(M62,'02. MM-KLH'!$B$6:$T$823,17,0),"")</f>
        <v>133HP</v>
      </c>
      <c r="I62" s="763">
        <f>IFERROR(VLOOKUP(M62,'02. MM-KLH'!$B$6:$U$823,20,0),"")</f>
        <v>10</v>
      </c>
      <c r="J62" s="613" t="str">
        <f>IFERROR(VLOOKUP(M62,'02. MM-KLH'!$B$6:$T$823,19,0),"")</f>
        <v>DB58TIS039729EJ</v>
      </c>
      <c r="K62" s="613" t="str">
        <f>IFERROR(VLOOKUP(M62,'02. MM-KLH'!$B$6:$T$823,18,0),"")</f>
        <v>DHKCEWAASL5008820</v>
      </c>
      <c r="L62" s="353">
        <f>IFERROR(VLOOKUP(M62,'02. MM-KLH'!$B$6:$T$823,4,0),"")</f>
        <v>0</v>
      </c>
      <c r="M62" s="19" t="s">
        <v>875</v>
      </c>
      <c r="N62" s="356">
        <f>IFERROR(VLOOKUP(M62,'02. MM-KLH'!$B$6:$T$823,15,0),"")</f>
        <v>2020</v>
      </c>
      <c r="O62" s="764" t="str">
        <f>IFERROR(VLOOKUP(M62,'02. MM-KLH'!$B$6:$T$823,9,0),"")</f>
        <v>14/09/2020</v>
      </c>
      <c r="P62" s="218"/>
      <c r="Q62" s="768">
        <v>16775</v>
      </c>
      <c r="R62" s="353"/>
      <c r="S62" s="353" t="s">
        <v>5978</v>
      </c>
      <c r="T62" s="353"/>
      <c r="U62" s="353" t="str">
        <f>IFERROR(VLOOKUP(M62,'02. MM-KLH'!$B$6:$T$823,5,0),"")</f>
        <v>ĐQSD</v>
      </c>
      <c r="V62" s="766" t="str">
        <f>IFERROR(VLOOKUP(M62,'02. MM-KLH'!$B$6:$T$823,8,0),"")</f>
        <v>CGTC AD</v>
      </c>
      <c r="W62" s="353" t="str">
        <f>IFERROR(VLOOKUP(V62,'NS QUẢN LÝ CG'!$A$4:$D$36,2,0),"")</f>
        <v>Vũ Trung Kiên</v>
      </c>
      <c r="X62" s="353" t="str">
        <f>IFERROR(VLOOKUP(V62,'NS QUẢN LÝ CG'!$A$4:$D$36,4,0),"")</f>
        <v>Lô 73 ADM</v>
      </c>
      <c r="Y62" s="1104" t="str">
        <f>IFERROR(VLOOKUP(V62,'NS QUẢN LÝ CG'!$A$4:$C$36,3,0),"")</f>
        <v>0981761677</v>
      </c>
      <c r="Z62" s="766" t="str">
        <f>IFERROR(VLOOKUP(M62,'02. MM-KLH'!$B$6:$T$823,3,0),"")</f>
        <v>ATT-A22-0120</v>
      </c>
      <c r="AA62" s="353" t="s">
        <v>5980</v>
      </c>
      <c r="AB62" s="766"/>
      <c r="AC62" s="731"/>
    </row>
    <row r="63" ht="13.8" spans="1:29">
      <c r="A63" s="353"/>
      <c r="B63" s="613" t="str">
        <f>IFERROR(VLOOKUP(M63,'02. MM-KLH'!$B$6:$T$823,6,0),"")</f>
        <v/>
      </c>
      <c r="C63" s="353"/>
      <c r="D63" s="353" t="str">
        <f>IFERROR(VLOOKUP(M63,'02. MM-KLH'!$B$6:$T$823,16,0),"")</f>
        <v/>
      </c>
      <c r="E63" s="353"/>
      <c r="F63" s="353"/>
      <c r="G63" s="353"/>
      <c r="H63" s="353" t="str">
        <f>IFERROR(VLOOKUP(M63,'02. MM-KLH'!$B$6:$T$823,17,0),"")</f>
        <v/>
      </c>
      <c r="I63" s="763" t="str">
        <f>IFERROR(VLOOKUP(M63,'02. MM-KLH'!$B$6:$U$823,20,0),"")</f>
        <v/>
      </c>
      <c r="J63" s="613" t="str">
        <f>IFERROR(VLOOKUP(M63,'02. MM-KLH'!$B$6:$T$823,19,0),"")</f>
        <v/>
      </c>
      <c r="K63" s="613" t="str">
        <f>IFERROR(VLOOKUP(M63,'02. MM-KLH'!$B$6:$T$823,18,0),"")</f>
        <v/>
      </c>
      <c r="L63" s="353" t="str">
        <f>IFERROR(VLOOKUP(M63,'02. MM-KLH'!$B$6:$T$823,4,0),"")</f>
        <v/>
      </c>
      <c r="M63" s="19"/>
      <c r="N63" s="356" t="str">
        <f>IFERROR(VLOOKUP(M63,'02. MM-KLH'!$B$6:$T$823,15,0),"")</f>
        <v/>
      </c>
      <c r="O63" s="764" t="str">
        <f>IFERROR(VLOOKUP(M63,'02. MM-KLH'!$B$6:$T$823,9,0),"")</f>
        <v/>
      </c>
      <c r="P63" s="353"/>
      <c r="Q63" s="353"/>
      <c r="R63" s="353"/>
      <c r="S63" s="353"/>
      <c r="T63" s="353"/>
      <c r="U63" s="353" t="str">
        <f>IFERROR(VLOOKUP(M63,'02. MM-KLH'!$B$6:$T$823,2,0),"")</f>
        <v/>
      </c>
      <c r="V63" s="766" t="str">
        <f>IFERROR(VLOOKUP(M63,'02. MM-KLH'!$B$6:$T$823,8,0),"")</f>
        <v/>
      </c>
      <c r="W63" s="353" t="str">
        <f>IFERROR(VLOOKUP(V63,'NS QUẢN LÝ CG'!$A$4:$D$36,2,0),"")</f>
        <v/>
      </c>
      <c r="X63" s="353" t="str">
        <f>IFERROR(VLOOKUP(V63,'NS QUẢN LÝ CG'!$A$4:$D$36,4,0),"")</f>
        <v/>
      </c>
      <c r="Y63" s="353"/>
      <c r="Z63" s="766" t="str">
        <f>IFERROR(VLOOKUP(M63,'02. MM-KLH'!$B$6:$T$823,3,0),"")</f>
        <v/>
      </c>
      <c r="AA63" s="353"/>
      <c r="AB63" s="766"/>
      <c r="AC63" s="731"/>
    </row>
    <row r="64" ht="13.8" hidden="1" spans="1:29">
      <c r="A64" s="353"/>
      <c r="B64" s="613" t="str">
        <f>IFERROR(VLOOKUP(M64,'02. MM-KLH'!$B$6:$T$823,6,0),"")</f>
        <v/>
      </c>
      <c r="C64" s="353"/>
      <c r="D64" s="353" t="str">
        <f>IFERROR(VLOOKUP(M64,'02. MM-KLH'!$B$6:$T$823,16,0),"")</f>
        <v/>
      </c>
      <c r="E64" s="353"/>
      <c r="F64" s="353"/>
      <c r="G64" s="353"/>
      <c r="H64" s="353" t="str">
        <f>IFERROR(VLOOKUP(M64,'02. MM-KLH'!$B$6:$T$823,17,0),"")</f>
        <v/>
      </c>
      <c r="I64" s="763" t="str">
        <f>IFERROR(VLOOKUP(M64,'02. MM-KLH'!$B$6:$U$823,20,0),"")</f>
        <v/>
      </c>
      <c r="J64" s="613" t="str">
        <f>IFERROR(VLOOKUP(M64,'02. MM-KLH'!$B$6:$T$823,19,0),"")</f>
        <v/>
      </c>
      <c r="K64" s="613" t="str">
        <f>IFERROR(VLOOKUP(M64,'02. MM-KLH'!$B$6:$T$823,18,0),"")</f>
        <v/>
      </c>
      <c r="L64" s="353" t="str">
        <f>IFERROR(VLOOKUP(M64,'02. MM-KLH'!$B$6:$T$823,4,0),"")</f>
        <v/>
      </c>
      <c r="M64" s="19"/>
      <c r="N64" s="356" t="str">
        <f>IFERROR(VLOOKUP(M64,'02. MM-KLH'!$B$6:$T$823,15,0),"")</f>
        <v/>
      </c>
      <c r="O64" s="764" t="str">
        <f>IFERROR(VLOOKUP(M64,'02. MM-KLH'!$B$6:$T$823,9,0),"")</f>
        <v/>
      </c>
      <c r="P64" s="353"/>
      <c r="Q64" s="353"/>
      <c r="R64" s="353"/>
      <c r="S64" s="353"/>
      <c r="T64" s="353"/>
      <c r="U64" s="353" t="str">
        <f>IFERROR(VLOOKUP(M64,'02. MM-KLH'!$B$6:$T$823,2,0),"")</f>
        <v/>
      </c>
      <c r="V64" s="766" t="str">
        <f>IFERROR(VLOOKUP(M64,'02. MM-KLH'!$B$6:$T$823,8,0),"")</f>
        <v/>
      </c>
      <c r="W64" s="353"/>
      <c r="X64" s="353"/>
      <c r="Y64" s="353"/>
      <c r="Z64" s="766" t="str">
        <f>IFERROR(VLOOKUP(M64,'02. MM-KLH'!$B$6:$T$823,3,0),"")</f>
        <v/>
      </c>
      <c r="AA64" s="353"/>
      <c r="AB64" s="766"/>
      <c r="AC64" s="731"/>
    </row>
    <row r="65" ht="13.8" hidden="1" spans="1:29">
      <c r="A65" s="353"/>
      <c r="B65" s="613" t="str">
        <f>IFERROR(VLOOKUP(M65,'02. MM-KLH'!$B$6:$T$823,6,0),"")</f>
        <v/>
      </c>
      <c r="C65" s="353"/>
      <c r="D65" s="353" t="str">
        <f>IFERROR(VLOOKUP(M65,'02. MM-KLH'!$B$6:$T$823,16,0),"")</f>
        <v/>
      </c>
      <c r="E65" s="353"/>
      <c r="F65" s="353"/>
      <c r="G65" s="353"/>
      <c r="H65" s="353" t="str">
        <f>IFERROR(VLOOKUP(M65,'02. MM-KLH'!$B$6:$T$823,17,0),"")</f>
        <v/>
      </c>
      <c r="I65" s="763" t="str">
        <f>IFERROR(VLOOKUP(M65,'02. MM-KLH'!$B$6:$U$823,20,0),"")</f>
        <v/>
      </c>
      <c r="J65" s="613" t="str">
        <f>IFERROR(VLOOKUP(M65,'02. MM-KLH'!$B$6:$T$823,19,0),"")</f>
        <v/>
      </c>
      <c r="K65" s="613" t="str">
        <f>IFERROR(VLOOKUP(M65,'02. MM-KLH'!$B$6:$T$823,18,0),"")</f>
        <v/>
      </c>
      <c r="L65" s="353" t="str">
        <f>IFERROR(VLOOKUP(M65,'02. MM-KLH'!$B$6:$T$823,4,0),"")</f>
        <v/>
      </c>
      <c r="M65" s="19"/>
      <c r="N65" s="356" t="str">
        <f>IFERROR(VLOOKUP(M65,'02. MM-KLH'!$B$6:$T$823,15,0),"")</f>
        <v/>
      </c>
      <c r="O65" s="764" t="str">
        <f>IFERROR(VLOOKUP(M65,'02. MM-KLH'!$B$6:$T$823,9,0),"")</f>
        <v/>
      </c>
      <c r="P65" s="353"/>
      <c r="Q65" s="353"/>
      <c r="R65" s="353"/>
      <c r="S65" s="353"/>
      <c r="T65" s="353"/>
      <c r="U65" s="353" t="str">
        <f>IFERROR(VLOOKUP(M65,'02. MM-KLH'!$B$6:$T$823,2,0),"")</f>
        <v/>
      </c>
      <c r="V65" s="766" t="str">
        <f>IFERROR(VLOOKUP(M65,'02. MM-KLH'!$B$6:$T$823,8,0),"")</f>
        <v/>
      </c>
      <c r="W65" s="353"/>
      <c r="X65" s="353"/>
      <c r="Y65" s="353"/>
      <c r="Z65" s="766" t="str">
        <f>IFERROR(VLOOKUP(M65,'02. MM-KLH'!$B$6:$T$823,3,0),"")</f>
        <v/>
      </c>
      <c r="AA65" s="353"/>
      <c r="AB65" s="766"/>
      <c r="AC65" s="731"/>
    </row>
    <row r="66" ht="13.8" spans="1:29">
      <c r="A66" s="754">
        <v>5</v>
      </c>
      <c r="B66" s="755" t="s">
        <v>759</v>
      </c>
      <c r="C66" s="754">
        <f>COUNTA(B67:B73)</f>
        <v>4</v>
      </c>
      <c r="D66" s="756"/>
      <c r="E66" s="756"/>
      <c r="F66" s="756"/>
      <c r="G66" s="756"/>
      <c r="H66" s="756"/>
      <c r="I66" s="757"/>
      <c r="J66" s="758"/>
      <c r="K66" s="758"/>
      <c r="L66" s="756"/>
      <c r="M66" s="759"/>
      <c r="N66" s="756"/>
      <c r="O66" s="760"/>
      <c r="P66" s="756"/>
      <c r="Q66" s="756"/>
      <c r="R66" s="756"/>
      <c r="S66" s="756"/>
      <c r="T66" s="756"/>
      <c r="U66" s="756"/>
      <c r="V66" s="761"/>
      <c r="W66" s="756"/>
      <c r="X66" s="756"/>
      <c r="Y66" s="756"/>
      <c r="Z66" s="761"/>
      <c r="AA66" s="756"/>
      <c r="AB66" s="761"/>
      <c r="AC66" s="762"/>
    </row>
    <row r="67" ht="13.8" spans="1:29">
      <c r="A67" s="353"/>
      <c r="B67" s="613" t="str">
        <f>IFERROR(VLOOKUP(M67,'02. MM-KLH'!$B$6:$T$823,6,0),"")</f>
        <v>Máy đào U35 bánh xích gàu 0.3m3</v>
      </c>
      <c r="C67" s="353">
        <v>1</v>
      </c>
      <c r="D67" s="353" t="str">
        <f>IFERROR(VLOOKUP(M67,'02. MM-KLH'!$B$6:$T$823,16,0),"")</f>
        <v>U35-6</v>
      </c>
      <c r="E67" s="353" t="s">
        <v>5978</v>
      </c>
      <c r="F67" s="353"/>
      <c r="G67" s="353"/>
      <c r="H67" s="353" t="str">
        <f>IFERROR(VLOOKUP(M67,'02. MM-KLH'!$B$6:$T$823,17,0),"")</f>
        <v>32HP</v>
      </c>
      <c r="I67" s="763">
        <f>IFERROR(VLOOKUP(M67,'02. MM-KLH'!$B$6:$U$823,20,0),"")</f>
        <v>4</v>
      </c>
      <c r="J67" s="613" t="str">
        <f>IFERROR(VLOOKUP(M67,'02. MM-KLH'!$B$6:$T$823,19,0),"")</f>
        <v>CCN</v>
      </c>
      <c r="K67" s="613">
        <f>IFERROR(VLOOKUP(M67,'02. MM-KLH'!$B$6:$T$823,18,0),"")</f>
        <v>60432</v>
      </c>
      <c r="L67" s="353">
        <f>IFERROR(VLOOKUP(M67,'02. MM-KLH'!$B$6:$T$823,4,0),"")</f>
        <v>0</v>
      </c>
      <c r="M67" s="49" t="s">
        <v>756</v>
      </c>
      <c r="N67" s="356">
        <f>IFERROR(VLOOKUP(M67,'02. MM-KLH'!$B$6:$T$823,15,0),"")</f>
        <v>2015</v>
      </c>
      <c r="O67" s="764">
        <f>IFERROR(VLOOKUP(M67,'02. MM-KLH'!$B$6:$T$823,9,0),"")</f>
        <v>0</v>
      </c>
      <c r="P67" s="353"/>
      <c r="Q67" s="353" t="s">
        <v>1755</v>
      </c>
      <c r="R67" s="353"/>
      <c r="S67" s="353"/>
      <c r="T67" s="353"/>
      <c r="U67" s="353" t="str">
        <f>IFERROR(VLOOKUP(M67,'02. MM-KLH'!$B$6:$T$823,5,0),"")</f>
        <v>ĐQSD</v>
      </c>
      <c r="V67" s="766" t="str">
        <f>IFERROR(VLOOKUP(M67,'02. MM-KLH'!$B$6:$T$823,8,0),"")</f>
        <v>CGTC LP</v>
      </c>
      <c r="W67" s="353" t="str">
        <f>IFERROR(VLOOKUP(V67,'NS QUẢN LÝ CG'!$A$4:$D$36,2,0),"")</f>
        <v>Đỗ Đức Nghĩa</v>
      </c>
      <c r="X67" s="353" t="str">
        <f>IFERROR(VLOOKUP(V67,'NS QUẢN LÝ CG'!$A$4:$D$36,4,0),"")</f>
        <v>NOCN L.4-LP3</v>
      </c>
      <c r="Y67" s="1104" t="str">
        <f>IFERROR(VLOOKUP(V67,'NS QUẢN LÝ CG'!$A$4:$C$36,3,0),"")</f>
        <v>0971462780</v>
      </c>
      <c r="Z67" s="766" t="str">
        <f>IFERROR(VLOOKUP(M67,'02. MM-KLH'!$B$6:$T$823,3,0),"")</f>
        <v/>
      </c>
      <c r="AA67" s="353" t="str">
        <f>_xlfn.SWITCH(LEFT(Z67,3),"A22","ADM","A23","DP","A24","LP","")</f>
        <v/>
      </c>
      <c r="AB67" s="766"/>
      <c r="AC67" s="731"/>
    </row>
    <row r="68" ht="13.8" spans="1:29">
      <c r="A68" s="353"/>
      <c r="B68" s="613" t="str">
        <f>IFERROR(VLOOKUP(M68,'02. MM-KLH'!$B$6:$T$823,6,0),"")</f>
        <v>Máy đào U35 bánh xích gàu 0.3m3</v>
      </c>
      <c r="C68" s="353">
        <v>1</v>
      </c>
      <c r="D68" s="353" t="str">
        <f>IFERROR(VLOOKUP(M68,'02. MM-KLH'!$B$6:$T$823,16,0),"")</f>
        <v>U35-6</v>
      </c>
      <c r="E68" s="353" t="s">
        <v>5978</v>
      </c>
      <c r="F68" s="353"/>
      <c r="G68" s="353"/>
      <c r="H68" s="353" t="str">
        <f>IFERROR(VLOOKUP(M68,'02. MM-KLH'!$B$6:$T$823,17,0),"")</f>
        <v>32HP</v>
      </c>
      <c r="I68" s="763">
        <f>IFERROR(VLOOKUP(M68,'02. MM-KLH'!$B$6:$U$823,20,0),"")</f>
        <v>4</v>
      </c>
      <c r="J68" s="613" t="str">
        <f>IFERROR(VLOOKUP(M68,'02. MM-KLH'!$B$6:$T$823,19,0),"")</f>
        <v>7HN2997</v>
      </c>
      <c r="K68" s="613" t="str">
        <f>IFERROR(VLOOKUP(M68,'02. MM-KLH'!$B$6:$T$823,18,0),"")</f>
        <v>JKUU0356H01H60283</v>
      </c>
      <c r="L68" s="353">
        <f>IFERROR(VLOOKUP(M68,'02. MM-KLH'!$B$6:$T$823,4,0),"")</f>
        <v>0</v>
      </c>
      <c r="M68" s="19" t="s">
        <v>889</v>
      </c>
      <c r="N68" s="356">
        <f>IFERROR(VLOOKUP(M68,'02. MM-KLH'!$B$6:$T$823,15,0),"")</f>
        <v>2015</v>
      </c>
      <c r="O68" s="764">
        <f>IFERROR(VLOOKUP(M68,'02. MM-KLH'!$B$6:$T$823,9,0),"")</f>
        <v>0</v>
      </c>
      <c r="P68" s="353"/>
      <c r="Q68" s="353" t="s">
        <v>1755</v>
      </c>
      <c r="R68" s="353"/>
      <c r="S68" s="353"/>
      <c r="T68" s="353" t="s">
        <v>5978</v>
      </c>
      <c r="U68" s="353" t="str">
        <f>IFERROR(VLOOKUP(M68,'02. MM-KLH'!$B$6:$T$823,5,0),"")</f>
        <v>ĐQSD</v>
      </c>
      <c r="V68" s="766" t="str">
        <f>IFERROR(VLOOKUP(M68,'02. MM-KLH'!$B$6:$T$823,8,0),"")</f>
        <v>CGTC AD</v>
      </c>
      <c r="W68" s="353" t="str">
        <f>IFERROR(VLOOKUP(V68,'NS QUẢN LÝ CG'!$A$4:$D$36,2,0),"")</f>
        <v>Vũ Trung Kiên</v>
      </c>
      <c r="X68" s="353" t="str">
        <f>IFERROR(VLOOKUP(V68,'NS QUẢN LÝ CG'!$A$4:$D$36,4,0),"")</f>
        <v>Lô 73 ADM</v>
      </c>
      <c r="Y68" s="1104" t="str">
        <f>IFERROR(VLOOKUP(V68,'NS QUẢN LÝ CG'!$A$4:$C$36,3,0),"")</f>
        <v>0981761677</v>
      </c>
      <c r="Z68" s="766" t="str">
        <f>IFERROR(VLOOKUP(M68,'02. MM-KLH'!$B$6:$T$823,3,0),"")</f>
        <v>ATM-A22-0018</v>
      </c>
      <c r="AA68" s="353" t="s">
        <v>5980</v>
      </c>
      <c r="AB68" s="766"/>
      <c r="AC68" s="731"/>
    </row>
    <row r="69" ht="13.8" spans="1:29">
      <c r="A69" s="353"/>
      <c r="B69" s="613" t="str">
        <f>IFERROR(VLOOKUP(M69,'02. MM-KLH'!$B$6:$T$823,6,0),"")</f>
        <v>Máy đào U35 bánh xích gàu 0.3m3</v>
      </c>
      <c r="C69" s="353">
        <v>1</v>
      </c>
      <c r="D69" s="353" t="str">
        <f>IFERROR(VLOOKUP(M69,'02. MM-KLH'!$B$6:$T$823,16,0),"")</f>
        <v>U35-6</v>
      </c>
      <c r="E69" s="353" t="s">
        <v>5978</v>
      </c>
      <c r="F69" s="353"/>
      <c r="G69" s="353"/>
      <c r="H69" s="353" t="str">
        <f>IFERROR(VLOOKUP(M69,'02. MM-KLH'!$B$6:$T$823,17,0),"")</f>
        <v>32HP</v>
      </c>
      <c r="I69" s="763">
        <f>IFERROR(VLOOKUP(M69,'02. MM-KLH'!$B$6:$U$823,20,0),"")</f>
        <v>4</v>
      </c>
      <c r="J69" s="613" t="str">
        <f>IFERROR(VLOOKUP(M69,'02. MM-KLH'!$B$6:$T$823,19,0),"")</f>
        <v>7HR1204</v>
      </c>
      <c r="K69" s="613" t="str">
        <f>IFERROR(VLOOKUP(M69,'02. MM-KLH'!$B$6:$T$823,18,0),"")</f>
        <v>JKUU0356H01H60431</v>
      </c>
      <c r="L69" s="353">
        <f>IFERROR(VLOOKUP(M69,'02. MM-KLH'!$B$6:$T$823,4,0),"")</f>
        <v>0</v>
      </c>
      <c r="M69" s="19" t="s">
        <v>894</v>
      </c>
      <c r="N69" s="356">
        <f>IFERROR(VLOOKUP(M69,'02. MM-KLH'!$B$6:$T$823,15,0),"")</f>
        <v>2015</v>
      </c>
      <c r="O69" s="764">
        <f>IFERROR(VLOOKUP(M69,'02. MM-KLH'!$B$6:$T$823,9,0),"")</f>
        <v>0</v>
      </c>
      <c r="P69" s="353"/>
      <c r="Q69" s="353" t="s">
        <v>1755</v>
      </c>
      <c r="R69" s="353"/>
      <c r="S69" s="353"/>
      <c r="T69" s="353" t="s">
        <v>5978</v>
      </c>
      <c r="U69" s="353" t="str">
        <f>IFERROR(VLOOKUP(M69,'02. MM-KLH'!$B$6:$T$823,5,0),"")</f>
        <v>ĐQSD</v>
      </c>
      <c r="V69" s="766" t="str">
        <f>IFERROR(VLOOKUP(M69,'02. MM-KLH'!$B$6:$T$823,8,0),"")</f>
        <v>CGTC AD</v>
      </c>
      <c r="W69" s="353" t="str">
        <f>IFERROR(VLOOKUP(V69,'NS QUẢN LÝ CG'!$A$4:$D$36,2,0),"")</f>
        <v>Vũ Trung Kiên</v>
      </c>
      <c r="X69" s="353" t="str">
        <f>IFERROR(VLOOKUP(V69,'NS QUẢN LÝ CG'!$A$4:$D$36,4,0),"")</f>
        <v>Lô 73 ADM</v>
      </c>
      <c r="Y69" s="1104" t="str">
        <f>IFERROR(VLOOKUP(V69,'NS QUẢN LÝ CG'!$A$4:$C$36,3,0),"")</f>
        <v>0981761677</v>
      </c>
      <c r="Z69" s="766" t="str">
        <f>IFERROR(VLOOKUP(M69,'02. MM-KLH'!$B$6:$T$823,3,0),"")</f>
        <v>ATM-A22-0018</v>
      </c>
      <c r="AA69" s="353" t="s">
        <v>5980</v>
      </c>
      <c r="AB69" s="766"/>
      <c r="AC69" s="731"/>
    </row>
    <row r="70" ht="13.8" spans="1:29">
      <c r="A70" s="353"/>
      <c r="B70" s="613" t="str">
        <f>IFERROR(VLOOKUP(M70,'02. MM-KLH'!$B$6:$T$823,6,0),"")</f>
        <v>Máy đào U35 bánh xích gàu 0.3m3</v>
      </c>
      <c r="C70" s="353">
        <v>1</v>
      </c>
      <c r="D70" s="353" t="str">
        <f>IFERROR(VLOOKUP(M70,'02. MM-KLH'!$B$6:$T$823,16,0),"")</f>
        <v>U35-6</v>
      </c>
      <c r="E70" s="353" t="s">
        <v>5978</v>
      </c>
      <c r="F70" s="353"/>
      <c r="G70" s="353"/>
      <c r="H70" s="353" t="str">
        <f>IFERROR(VLOOKUP(M70,'02. MM-KLH'!$B$6:$T$823,17,0),"")</f>
        <v>32HP</v>
      </c>
      <c r="I70" s="763">
        <f>IFERROR(VLOOKUP(M70,'02. MM-KLH'!$B$6:$U$823,20,0),"")</f>
        <v>4</v>
      </c>
      <c r="J70" s="613" t="str">
        <f>IFERROR(VLOOKUP(M70,'02. MM-KLH'!$B$6:$T$823,19,0),"")</f>
        <v>7HL9269</v>
      </c>
      <c r="K70" s="613" t="str">
        <f>IFERROR(VLOOKUP(M70,'02. MM-KLH'!$B$6:$T$823,18,0),"")</f>
        <v>JKUU0356V01H60277</v>
      </c>
      <c r="L70" s="353">
        <f>IFERROR(VLOOKUP(M70,'02. MM-KLH'!$B$6:$T$823,4,0),"")</f>
        <v>0</v>
      </c>
      <c r="M70" s="49" t="s">
        <v>898</v>
      </c>
      <c r="N70" s="356">
        <f>IFERROR(VLOOKUP(M70,'02. MM-KLH'!$B$6:$T$823,15,0),"")</f>
        <v>2015</v>
      </c>
      <c r="O70" s="764">
        <f>IFERROR(VLOOKUP(M70,'02. MM-KLH'!$B$6:$T$823,9,0),"")</f>
        <v>45512</v>
      </c>
      <c r="P70" s="353"/>
      <c r="Q70" s="353" t="s">
        <v>1755</v>
      </c>
      <c r="R70" s="353"/>
      <c r="S70" s="353"/>
      <c r="T70" s="353" t="s">
        <v>5978</v>
      </c>
      <c r="U70" s="353" t="str">
        <f>IFERROR(VLOOKUP(M70,'02. MM-KLH'!$B$6:$T$823,5,0),"")</f>
        <v>ĐQSD</v>
      </c>
      <c r="V70" s="766" t="str">
        <f>IFERROR(VLOOKUP(M70,'02. MM-KLH'!$B$6:$T$823,8,0),"")</f>
        <v>CGTC AD</v>
      </c>
      <c r="W70" s="353" t="str">
        <f>IFERROR(VLOOKUP(V70,'NS QUẢN LÝ CG'!$A$4:$D$36,2,0),"")</f>
        <v>Vũ Trung Kiên</v>
      </c>
      <c r="X70" s="353" t="str">
        <f>IFERROR(VLOOKUP(V70,'NS QUẢN LÝ CG'!$A$4:$D$36,4,0),"")</f>
        <v>Lô 73 ADM</v>
      </c>
      <c r="Y70" s="1104" t="str">
        <f>IFERROR(VLOOKUP(V70,'NS QUẢN LÝ CG'!$A$4:$C$36,3,0),"")</f>
        <v>0981761677</v>
      </c>
      <c r="Z70" s="766" t="str">
        <f>IFERROR(VLOOKUP(M70,'02. MM-KLH'!$B$6:$T$823,3,0),"")</f>
        <v>A22-MĐA-061</v>
      </c>
      <c r="AA70" s="353" t="str">
        <f>_xlfn.SWITCH(LEFT(Z70,3),"A22","ADM","A23","DP","A24","LP","")</f>
        <v>ADM</v>
      </c>
      <c r="AB70" s="766"/>
      <c r="AC70" s="731"/>
    </row>
    <row r="71" ht="13.8" spans="1:29">
      <c r="A71" s="353"/>
      <c r="B71" s="613"/>
      <c r="C71" s="353"/>
      <c r="D71" s="353"/>
      <c r="E71" s="353"/>
      <c r="F71" s="353"/>
      <c r="G71" s="353"/>
      <c r="H71" s="353"/>
      <c r="I71" s="763"/>
      <c r="J71" s="613"/>
      <c r="K71" s="613"/>
      <c r="L71" s="353"/>
      <c r="M71" s="49"/>
      <c r="N71" s="356"/>
      <c r="O71" s="764"/>
      <c r="P71" s="353"/>
      <c r="Q71" s="353"/>
      <c r="R71" s="353"/>
      <c r="S71" s="353"/>
      <c r="T71" s="353"/>
      <c r="U71" s="353"/>
      <c r="V71" s="766"/>
      <c r="W71" s="353" t="str">
        <f>IFERROR(VLOOKUP(V71,'NS QUẢN LÝ CG'!$A$4:$D$36,2,0),"")</f>
        <v/>
      </c>
      <c r="X71" s="353" t="str">
        <f>IFERROR(VLOOKUP(V71,'NS QUẢN LÝ CG'!$A$4:$D$36,4,0),"")</f>
        <v/>
      </c>
      <c r="Y71" s="353"/>
      <c r="Z71" s="766"/>
      <c r="AA71" s="353"/>
      <c r="AB71" s="766"/>
      <c r="AC71" s="731"/>
    </row>
    <row r="72" ht="13.8" hidden="1" spans="1:29">
      <c r="A72" s="353"/>
      <c r="B72" s="613"/>
      <c r="C72" s="353"/>
      <c r="D72" s="353"/>
      <c r="E72" s="353"/>
      <c r="F72" s="353"/>
      <c r="G72" s="353"/>
      <c r="H72" s="353"/>
      <c r="I72" s="763"/>
      <c r="J72" s="613"/>
      <c r="K72" s="613"/>
      <c r="L72" s="353"/>
      <c r="M72" s="49"/>
      <c r="N72" s="356"/>
      <c r="O72" s="764"/>
      <c r="P72" s="353"/>
      <c r="Q72" s="353"/>
      <c r="R72" s="353"/>
      <c r="S72" s="353"/>
      <c r="T72" s="353"/>
      <c r="U72" s="353"/>
      <c r="V72" s="766"/>
      <c r="W72" s="353"/>
      <c r="X72" s="353"/>
      <c r="Y72" s="353"/>
      <c r="Z72" s="766"/>
      <c r="AA72" s="353"/>
      <c r="AB72" s="766"/>
      <c r="AC72" s="731"/>
    </row>
    <row r="73" ht="13.8" hidden="1" spans="1:29">
      <c r="A73" s="353"/>
      <c r="B73" s="613"/>
      <c r="C73" s="353"/>
      <c r="D73" s="353"/>
      <c r="E73" s="353"/>
      <c r="F73" s="353"/>
      <c r="G73" s="353"/>
      <c r="H73" s="353"/>
      <c r="I73" s="763"/>
      <c r="J73" s="613"/>
      <c r="K73" s="613"/>
      <c r="L73" s="353"/>
      <c r="M73" s="49"/>
      <c r="N73" s="356"/>
      <c r="O73" s="764"/>
      <c r="P73" s="353"/>
      <c r="Q73" s="353"/>
      <c r="R73" s="353"/>
      <c r="S73" s="353"/>
      <c r="T73" s="353"/>
      <c r="U73" s="353"/>
      <c r="V73" s="766"/>
      <c r="W73" s="353"/>
      <c r="X73" s="353"/>
      <c r="Y73" s="353"/>
      <c r="Z73" s="766"/>
      <c r="AA73" s="353"/>
      <c r="AB73" s="766"/>
      <c r="AC73" s="731"/>
    </row>
    <row r="74" ht="13.8" spans="1:29">
      <c r="A74" s="754">
        <v>5</v>
      </c>
      <c r="B74" s="755" t="s">
        <v>5982</v>
      </c>
      <c r="C74" s="754">
        <f>COUNTA(B75:B78)</f>
        <v>2</v>
      </c>
      <c r="D74" s="756"/>
      <c r="E74" s="756"/>
      <c r="F74" s="756"/>
      <c r="G74" s="756"/>
      <c r="H74" s="756"/>
      <c r="I74" s="757"/>
      <c r="J74" s="758"/>
      <c r="K74" s="758"/>
      <c r="L74" s="756"/>
      <c r="M74" s="759"/>
      <c r="N74" s="756"/>
      <c r="O74" s="760"/>
      <c r="P74" s="756"/>
      <c r="Q74" s="756"/>
      <c r="R74" s="756"/>
      <c r="S74" s="756"/>
      <c r="T74" s="756"/>
      <c r="U74" s="756"/>
      <c r="V74" s="761"/>
      <c r="W74" s="756"/>
      <c r="X74" s="756"/>
      <c r="Y74" s="756"/>
      <c r="Z74" s="761"/>
      <c r="AA74" s="756"/>
      <c r="AB74" s="761"/>
      <c r="AC74" s="762"/>
    </row>
    <row r="75" ht="13.8" spans="1:29">
      <c r="A75" s="353"/>
      <c r="B75" s="613" t="str">
        <f>IFERROR(VLOOKUP(M75,'02. MM-KLH'!$B$6:$T$823,6,0),"")</f>
        <v>Máy đào CAT 305 bánh xích gàu 0.3m3</v>
      </c>
      <c r="C75" s="353">
        <v>1</v>
      </c>
      <c r="D75" s="353">
        <f>IFERROR(VLOOKUP(M75,'02. MM-KLH'!$B$6:$T$823,16,0),"")</f>
        <v>305</v>
      </c>
      <c r="E75" s="353" t="s">
        <v>5978</v>
      </c>
      <c r="F75" s="353"/>
      <c r="G75" s="353"/>
      <c r="H75" s="353" t="str">
        <f>IFERROR(VLOOKUP(M75,'02. MM-KLH'!$B$6:$T$823,17,0),"")</f>
        <v>40HP</v>
      </c>
      <c r="I75" s="763">
        <f>IFERROR(VLOOKUP(M75,'02. MM-KLH'!$B$6:$U$823,20,0),"")</f>
        <v>4</v>
      </c>
      <c r="J75" s="613" t="str">
        <f>IFERROR(VLOOKUP(M75,'02. MM-KLH'!$B$6:$T$823,19,0),"")</f>
        <v>CCN</v>
      </c>
      <c r="K75" s="613">
        <f>IFERROR(VLOOKUP(M75,'02. MM-KLH'!$B$6:$T$823,18,0),"")</f>
        <v>2208498</v>
      </c>
      <c r="L75" s="353">
        <f>IFERROR(VLOOKUP(M75,'02. MM-KLH'!$B$6:$T$823,4,0),"")</f>
        <v>0</v>
      </c>
      <c r="M75" s="410" t="s">
        <v>1642</v>
      </c>
      <c r="N75" s="356">
        <f>IFERROR(VLOOKUP(M75,'02. MM-KLH'!$B$6:$T$823,15,0),"")</f>
        <v>2006</v>
      </c>
      <c r="O75" s="764">
        <f>IFERROR(VLOOKUP(M75,'02. MM-KLH'!$B$6:$T$823,9,0),"")</f>
        <v>45139</v>
      </c>
      <c r="P75" s="353"/>
      <c r="Q75" s="353" t="s">
        <v>1755</v>
      </c>
      <c r="R75" s="353"/>
      <c r="S75" s="353"/>
      <c r="T75" s="353" t="s">
        <v>5978</v>
      </c>
      <c r="U75" s="353" t="str">
        <f>IFERROR(VLOOKUP(M75,'02. MM-KLH'!$B$6:$T$823,5,0),"")</f>
        <v>ĐQSD</v>
      </c>
      <c r="V75" s="766" t="str">
        <f>IFERROR(VLOOKUP(M75,'02. MM-KLH'!$B$6:$T$823,8,0),"")</f>
        <v>XN Chuối LP3</v>
      </c>
      <c r="W75" s="353" t="str">
        <f>IFERROR(VLOOKUP(V75,'NS QUẢN LÝ CG'!$A$4:$D$36,2,0),"")</f>
        <v/>
      </c>
      <c r="X75" s="353" t="str">
        <f>IFERROR(VLOOKUP(V75,'NS QUẢN LÝ CG'!$A$4:$D$36,4,0),"")</f>
        <v/>
      </c>
      <c r="Y75" s="353" t="str">
        <f>IFERROR(VLOOKUP(V75,'NS QUẢN LÝ CG'!$A$4:$C$36,3,0),"")</f>
        <v/>
      </c>
      <c r="Z75" s="766" t="str">
        <f>IFERROR(VLOOKUP(M75,'02. MM-KLH'!$B$6:$T$823,3,0),"")</f>
        <v>ATM-A24-0099</v>
      </c>
      <c r="AA75" s="353" t="s">
        <v>5981</v>
      </c>
      <c r="AB75" s="766"/>
      <c r="AC75" s="731"/>
    </row>
    <row r="76" ht="13.8" spans="1:29">
      <c r="A76" s="353"/>
      <c r="B76" s="613" t="str">
        <f>IFERROR(VLOOKUP(M76,'02. MM-KLH'!$B$6:$T$823,6,0),"")</f>
        <v>Máy đào CAT 305 bánh xích gàu 0.3m3</v>
      </c>
      <c r="C76" s="353">
        <v>1</v>
      </c>
      <c r="D76" s="353">
        <f>IFERROR(VLOOKUP(M76,'02. MM-KLH'!$B$6:$T$823,16,0),"")</f>
        <v>305</v>
      </c>
      <c r="E76" s="353" t="s">
        <v>5978</v>
      </c>
      <c r="F76" s="353"/>
      <c r="G76" s="353"/>
      <c r="H76" s="353" t="str">
        <f>IFERROR(VLOOKUP(M76,'02. MM-KLH'!$B$6:$T$823,17,0),"")</f>
        <v>42HP</v>
      </c>
      <c r="I76" s="763">
        <f>IFERROR(VLOOKUP(M76,'02. MM-KLH'!$B$6:$U$823,20,0),"")</f>
        <v>4</v>
      </c>
      <c r="J76" s="613" t="str">
        <f>IFERROR(VLOOKUP(M76,'02. MM-KLH'!$B$6:$T$823,19,0),"")</f>
        <v>20269B4</v>
      </c>
      <c r="K76" s="613" t="str">
        <f>IFERROR(VLOOKUP(M76,'02. MM-KLH'!$B$6:$T$823,18,0),"")</f>
        <v>CAT00305HDCR00990</v>
      </c>
      <c r="L76" s="353">
        <f>IFERROR(VLOOKUP(M76,'02. MM-KLH'!$B$6:$T$823,4,0),"")</f>
        <v>0</v>
      </c>
      <c r="M76" s="19" t="s">
        <v>2181</v>
      </c>
      <c r="N76" s="356">
        <f>IFERROR(VLOOKUP(M76,'02. MM-KLH'!$B$6:$T$823,15,0),"")</f>
        <v>0</v>
      </c>
      <c r="O76" s="764">
        <f>IFERROR(VLOOKUP(M76,'02. MM-KLH'!$B$6:$T$823,9,0),"")</f>
        <v>45446</v>
      </c>
      <c r="P76" s="353"/>
      <c r="Q76" s="353" t="s">
        <v>1755</v>
      </c>
      <c r="R76" s="353" t="s">
        <v>5978</v>
      </c>
      <c r="S76" s="353"/>
      <c r="T76" s="353"/>
      <c r="U76" s="353" t="str">
        <f>IFERROR(VLOOKUP(M76,'02. MM-KLH'!$B$6:$T$823,5,0),"")</f>
        <v>ĐQSD</v>
      </c>
      <c r="V76" s="766" t="str">
        <f>IFERROR(VLOOKUP(M76,'02. MM-KLH'!$B$6:$T$823,8,0),"")</f>
        <v>CGTC AD</v>
      </c>
      <c r="W76" s="353" t="str">
        <f>IFERROR(VLOOKUP(V76,'NS QUẢN LÝ CG'!$A$4:$D$36,2,0),"")</f>
        <v>Vũ Trung Kiên</v>
      </c>
      <c r="X76" s="353" t="str">
        <f>IFERROR(VLOOKUP(V76,'NS QUẢN LÝ CG'!$A$4:$D$36,4,0),"")</f>
        <v>Lô 73 ADM</v>
      </c>
      <c r="Y76" s="1104" t="str">
        <f>IFERROR(VLOOKUP(V76,'NS QUẢN LÝ CG'!$A$4:$C$36,3,0),"")</f>
        <v>0981761677</v>
      </c>
      <c r="Z76" s="766" t="str">
        <f>IFERROR(VLOOKUP(M76,'02. MM-KLH'!$B$6:$T$823,3,0),"")</f>
        <v/>
      </c>
      <c r="AA76" s="353"/>
      <c r="AB76" s="766"/>
      <c r="AC76" s="731"/>
    </row>
    <row r="77" ht="13.8" spans="1:29">
      <c r="A77" s="353"/>
      <c r="B77" s="613"/>
      <c r="C77" s="353"/>
      <c r="D77" s="353"/>
      <c r="E77" s="353"/>
      <c r="F77" s="353"/>
      <c r="G77" s="353"/>
      <c r="H77" s="353"/>
      <c r="I77" s="763"/>
      <c r="J77" s="613"/>
      <c r="K77" s="613"/>
      <c r="L77" s="353"/>
      <c r="M77" s="19"/>
      <c r="N77" s="356"/>
      <c r="O77" s="764"/>
      <c r="P77" s="353"/>
      <c r="Q77" s="353"/>
      <c r="R77" s="353"/>
      <c r="S77" s="353"/>
      <c r="T77" s="353"/>
      <c r="U77" s="353"/>
      <c r="V77" s="766"/>
      <c r="W77" s="353" t="str">
        <f>IFERROR(VLOOKUP(V77,'NS QUẢN LÝ CG'!$A$4:$D$36,2,0),"")</f>
        <v/>
      </c>
      <c r="X77" s="353" t="str">
        <f>IFERROR(VLOOKUP(V77,'NS QUẢN LÝ CG'!$A$4:$D$36,4,0),"")</f>
        <v/>
      </c>
      <c r="Y77" s="353"/>
      <c r="Z77" s="766"/>
      <c r="AA77" s="353"/>
      <c r="AB77" s="766"/>
      <c r="AC77" s="731"/>
    </row>
    <row r="78" ht="13.8" hidden="1" spans="1:29">
      <c r="A78" s="353"/>
      <c r="B78" s="613"/>
      <c r="C78" s="353"/>
      <c r="D78" s="353"/>
      <c r="E78" s="353"/>
      <c r="F78" s="353"/>
      <c r="G78" s="353"/>
      <c r="H78" s="353"/>
      <c r="I78" s="763"/>
      <c r="J78" s="613"/>
      <c r="K78" s="613"/>
      <c r="L78" s="353"/>
      <c r="M78" s="19"/>
      <c r="N78" s="356"/>
      <c r="O78" s="764"/>
      <c r="P78" s="353"/>
      <c r="Q78" s="353"/>
      <c r="R78" s="353"/>
      <c r="S78" s="353"/>
      <c r="T78" s="353"/>
      <c r="U78" s="353"/>
      <c r="V78" s="766"/>
      <c r="W78" s="353"/>
      <c r="X78" s="353"/>
      <c r="Y78" s="353"/>
      <c r="Z78" s="766"/>
      <c r="AA78" s="353"/>
      <c r="AB78" s="766"/>
      <c r="AC78" s="731"/>
    </row>
    <row r="79" ht="13.8" spans="1:29">
      <c r="A79" s="754">
        <v>6</v>
      </c>
      <c r="B79" s="755" t="s">
        <v>1267</v>
      </c>
      <c r="C79" s="754">
        <f>COUNTA(B80:B82)</f>
        <v>1</v>
      </c>
      <c r="D79" s="756"/>
      <c r="E79" s="756"/>
      <c r="F79" s="756"/>
      <c r="G79" s="756"/>
      <c r="H79" s="756"/>
      <c r="I79" s="757"/>
      <c r="J79" s="758"/>
      <c r="K79" s="758"/>
      <c r="L79" s="756"/>
      <c r="M79" s="759"/>
      <c r="N79" s="756"/>
      <c r="O79" s="760"/>
      <c r="P79" s="756"/>
      <c r="Q79" s="756"/>
      <c r="R79" s="756"/>
      <c r="S79" s="756"/>
      <c r="T79" s="756"/>
      <c r="U79" s="756"/>
      <c r="V79" s="761"/>
      <c r="W79" s="756"/>
      <c r="X79" s="756"/>
      <c r="Y79" s="756"/>
      <c r="Z79" s="761"/>
      <c r="AA79" s="756"/>
      <c r="AB79" s="761"/>
      <c r="AC79" s="762"/>
    </row>
    <row r="80" ht="13.8" spans="1:29">
      <c r="A80" s="353"/>
      <c r="B80" s="613" t="str">
        <f>IFERROR(VLOOKUP(M80,'02. MM-KLH'!$B$6:$T$823,6,0),"")</f>
        <v>Máy đào ROBEX 140W bánh lốp gàu 0.5m3</v>
      </c>
      <c r="C80" s="353">
        <v>1</v>
      </c>
      <c r="D80" s="353" t="str">
        <f>IFERROR(VLOOKUP(M80,'02. MM-KLH'!$B$6:$T$823,16,0),"")</f>
        <v>ROBEX 140W</v>
      </c>
      <c r="E80" s="353" t="s">
        <v>5978</v>
      </c>
      <c r="F80" s="353"/>
      <c r="G80" s="353"/>
      <c r="H80" s="353" t="str">
        <f>IFERROR(VLOOKUP(M80,'02. MM-KLH'!$B$6:$T$823,17,0),"")</f>
        <v>133HP</v>
      </c>
      <c r="I80" s="763">
        <f>IFERROR(VLOOKUP(M80,'02. MM-KLH'!$B$6:$U$823,20,0),"")</f>
        <v>12</v>
      </c>
      <c r="J80" s="613">
        <f>IFERROR(VLOOKUP(M80,'02. MM-KLH'!$B$6:$T$823,19,0),"")</f>
        <v>73390872</v>
      </c>
      <c r="K80" s="613" t="str">
        <f>IFERROR(VLOOKUP(M80,'02. MM-KLH'!$B$6:$T$823,18,0),"")</f>
        <v>4LC0001417</v>
      </c>
      <c r="L80" s="353">
        <f>IFERROR(VLOOKUP(M80,'02. MM-KLH'!$B$6:$T$823,4,0),"")</f>
        <v>0</v>
      </c>
      <c r="M80" s="49" t="s">
        <v>2170</v>
      </c>
      <c r="N80" s="356">
        <f>IFERROR(VLOOKUP(M80,'02. MM-KLH'!$B$6:$T$823,15,0),"")</f>
        <v>2012</v>
      </c>
      <c r="O80" s="764">
        <f>IFERROR(VLOOKUP(M80,'02. MM-KLH'!$B$6:$T$823,9,0),"")</f>
        <v>46026</v>
      </c>
      <c r="P80" s="353"/>
      <c r="Q80" s="353" t="s">
        <v>1755</v>
      </c>
      <c r="R80" s="353" t="s">
        <v>5978</v>
      </c>
      <c r="S80" s="353"/>
      <c r="T80" s="353"/>
      <c r="U80" s="353" t="str">
        <f>IFERROR(VLOOKUP(M80,'02. MM-KLH'!$B$6:$T$823,5,0),"")</f>
        <v>MỚI (ĐQSD)</v>
      </c>
      <c r="V80" s="766" t="str">
        <f>IFERROR(VLOOKUP(M80,'02. MM-KLH'!$B$6:$T$823,8,0),"")</f>
        <v>XN Bò AD</v>
      </c>
      <c r="W80" s="353" t="str">
        <f>IFERROR(VLOOKUP(V80,'NS QUẢN LÝ CG'!$A$4:$D$36,2,0),"")</f>
        <v/>
      </c>
      <c r="X80" s="353" t="str">
        <f>IFERROR(VLOOKUP(V80,'NS QUẢN LÝ CG'!$A$4:$D$36,4,0),"")</f>
        <v/>
      </c>
      <c r="Y80" s="353" t="str">
        <f>IFERROR(VLOOKUP(V80,'NS QUẢN LÝ CG'!$A$4:$C$36,3,0),"")</f>
        <v/>
      </c>
      <c r="Z80" s="766" t="str">
        <f>IFERROR(VLOOKUP(M80,'02. MM-KLH'!$B$6:$T$823,3,0),"")</f>
        <v>A24-MĐA-064</v>
      </c>
      <c r="AA80" s="353" t="str">
        <f>_xlfn.SWITCH(LEFT(Z80,3),"A22","ADM","A23","DP","A24","LP","")</f>
        <v>LP</v>
      </c>
      <c r="AB80" s="766"/>
      <c r="AC80" s="731"/>
    </row>
    <row r="81" ht="13.8" spans="1:29">
      <c r="A81" s="353"/>
      <c r="B81" s="613"/>
      <c r="C81" s="353"/>
      <c r="D81" s="353"/>
      <c r="E81" s="353"/>
      <c r="F81" s="353"/>
      <c r="G81" s="353"/>
      <c r="H81" s="353"/>
      <c r="I81" s="763"/>
      <c r="J81" s="613"/>
      <c r="K81" s="613"/>
      <c r="L81" s="353"/>
      <c r="M81" s="49"/>
      <c r="N81" s="356"/>
      <c r="O81" s="764"/>
      <c r="P81" s="353"/>
      <c r="Q81" s="353"/>
      <c r="R81" s="353"/>
      <c r="S81" s="353"/>
      <c r="T81" s="353"/>
      <c r="U81" s="353"/>
      <c r="V81" s="766"/>
      <c r="W81" s="353" t="str">
        <f>IFERROR(VLOOKUP(V81,'NS QUẢN LÝ CG'!$A$4:$D$36,2,0),"")</f>
        <v/>
      </c>
      <c r="X81" s="353" t="str">
        <f>IFERROR(VLOOKUP(V81,'NS QUẢN LÝ CG'!$A$4:$D$36,4,0),"")</f>
        <v/>
      </c>
      <c r="Y81" s="353"/>
      <c r="Z81" s="766"/>
      <c r="AA81" s="353"/>
      <c r="AB81" s="766"/>
      <c r="AC81" s="731"/>
    </row>
    <row r="82" ht="13.8" hidden="1" spans="1:29">
      <c r="A82" s="353"/>
      <c r="B82" s="613"/>
      <c r="C82" s="353"/>
      <c r="D82" s="353"/>
      <c r="E82" s="353"/>
      <c r="F82" s="353"/>
      <c r="G82" s="353"/>
      <c r="H82" s="353"/>
      <c r="I82" s="763"/>
      <c r="J82" s="613"/>
      <c r="K82" s="613"/>
      <c r="L82" s="353"/>
      <c r="M82" s="49"/>
      <c r="N82" s="356"/>
      <c r="O82" s="764"/>
      <c r="P82" s="353"/>
      <c r="Q82" s="353"/>
      <c r="R82" s="353"/>
      <c r="S82" s="353"/>
      <c r="T82" s="353"/>
      <c r="U82" s="353"/>
      <c r="V82" s="766"/>
      <c r="W82" s="353"/>
      <c r="X82" s="353"/>
      <c r="Y82" s="353"/>
      <c r="Z82" s="766"/>
      <c r="AA82" s="353"/>
      <c r="AB82" s="766"/>
      <c r="AC82" s="731"/>
    </row>
    <row r="83" spans="1:29">
      <c r="A83" s="747" t="s">
        <v>3335</v>
      </c>
      <c r="B83" s="748" t="s">
        <v>3301</v>
      </c>
      <c r="C83" s="747">
        <f>SUM(C84)</f>
        <v>18</v>
      </c>
      <c r="D83" s="749"/>
      <c r="E83" s="749"/>
      <c r="F83" s="749"/>
      <c r="G83" s="749"/>
      <c r="H83" s="749"/>
      <c r="I83" s="750"/>
      <c r="J83" s="751"/>
      <c r="K83" s="751"/>
      <c r="L83" s="749"/>
      <c r="M83" s="749"/>
      <c r="N83" s="749"/>
      <c r="O83" s="752"/>
      <c r="P83" s="749"/>
      <c r="Q83" s="749"/>
      <c r="R83" s="749"/>
      <c r="S83" s="749"/>
      <c r="T83" s="749"/>
      <c r="U83" s="749"/>
      <c r="V83" s="750"/>
      <c r="W83" s="749"/>
      <c r="X83" s="749"/>
      <c r="Y83" s="749"/>
      <c r="Z83" s="750"/>
      <c r="AA83" s="749"/>
      <c r="AB83" s="750"/>
      <c r="AC83" s="753"/>
    </row>
    <row r="84" ht="13.8" spans="1:29">
      <c r="A84" s="754">
        <v>1</v>
      </c>
      <c r="B84" s="755" t="s">
        <v>480</v>
      </c>
      <c r="C84" s="754">
        <f>COUNTA(B85:B102)</f>
        <v>18</v>
      </c>
      <c r="D84" s="756"/>
      <c r="E84" s="756"/>
      <c r="F84" s="756"/>
      <c r="G84" s="756"/>
      <c r="H84" s="756"/>
      <c r="I84" s="757"/>
      <c r="J84" s="758"/>
      <c r="K84" s="758"/>
      <c r="L84" s="756"/>
      <c r="M84" s="759"/>
      <c r="N84" s="756"/>
      <c r="O84" s="760"/>
      <c r="P84" s="756"/>
      <c r="Q84" s="756"/>
      <c r="R84" s="756"/>
      <c r="S84" s="756"/>
      <c r="T84" s="756"/>
      <c r="U84" s="756"/>
      <c r="V84" s="761"/>
      <c r="W84" s="756"/>
      <c r="X84" s="756"/>
      <c r="Y84" s="756"/>
      <c r="Z84" s="761"/>
      <c r="AA84" s="756"/>
      <c r="AB84" s="761"/>
      <c r="AC84" s="762"/>
    </row>
    <row r="85" ht="13.8" spans="1:29">
      <c r="A85" s="731"/>
      <c r="B85" s="613" t="str">
        <f>IFERROR(VLOOKUP(M85,'02. MM-KLH'!$B$6:$T$823,6,0),"")</f>
        <v>Máy ủi KOMATSU D31PX</v>
      </c>
      <c r="C85" s="353">
        <v>1</v>
      </c>
      <c r="D85" s="353" t="str">
        <f>IFERROR(VLOOKUP(M85,'02. MM-KLH'!$B$6:$T$823,16,0),"")</f>
        <v>D31PX</v>
      </c>
      <c r="E85" s="353" t="s">
        <v>5978</v>
      </c>
      <c r="F85" s="353"/>
      <c r="G85" s="353"/>
      <c r="H85" s="353" t="str">
        <f>IFERROR(VLOOKUP(M85,'02. MM-KLH'!$B$6:$T$823,17,0),"")</f>
        <v>80HP</v>
      </c>
      <c r="I85" s="763">
        <f>IFERROR(VLOOKUP(M85,'02. MM-KLH'!$B$6:$U$823,20,0),"")</f>
        <v>8</v>
      </c>
      <c r="J85" s="613" t="str">
        <f>IFERROR(VLOOKUP(M85,'02. MM-KLH'!$B$6:$T$823,19,0),"")</f>
        <v>CCN</v>
      </c>
      <c r="K85" s="613" t="str">
        <f>IFERROR(VLOOKUP(M85,'02. MM-KLH'!$B$6:$T$823,18,0),"")</f>
        <v>KMT0D007V0151352</v>
      </c>
      <c r="L85" s="353">
        <f>IFERROR(VLOOKUP(M85,'02. MM-KLH'!$B$6:$T$823,4,0),"")</f>
        <v>0</v>
      </c>
      <c r="M85" s="49" t="s">
        <v>479</v>
      </c>
      <c r="N85" s="356">
        <f>IFERROR(VLOOKUP(M85,'02. MM-KLH'!$B$6:$T$823,15,0),"")</f>
        <v>1997</v>
      </c>
      <c r="O85" s="764">
        <f>IFERROR(VLOOKUP(M85,'02. MM-KLH'!$B$6:$T$823,9,0),"")</f>
        <v>43952</v>
      </c>
      <c r="P85" s="353"/>
      <c r="Q85" s="353" t="s">
        <v>1755</v>
      </c>
      <c r="R85" s="353" t="s">
        <v>5978</v>
      </c>
      <c r="S85" s="353"/>
      <c r="T85" s="353"/>
      <c r="U85" s="353" t="str">
        <f>IFERROR(VLOOKUP(M85,'02. MM-KLH'!$B$6:$T$823,5,0),"")</f>
        <v>ĐQSD</v>
      </c>
      <c r="V85" s="731" t="str">
        <f>IFERROR(VLOOKUP(M85,'02. MM-KLH'!$B$6:$T$823,8,0),"")</f>
        <v>CGTC DP</v>
      </c>
      <c r="W85" s="353" t="str">
        <f>IFERROR(VLOOKUP(V85,'NS QUẢN LÝ CG'!$A$4:$D$36,2,0),"")</f>
        <v>Phạm Ngọc Hải</v>
      </c>
      <c r="X85" s="353" t="str">
        <f>IFERROR(VLOOKUP(V85,'NS QUẢN LÝ CG'!$A$4:$D$36,4,0),"")</f>
        <v>Lô 85 DP4</v>
      </c>
      <c r="Y85" s="1104" t="str">
        <f>IFERROR(VLOOKUP(V85,'NS QUẢN LÝ CG'!$A$4:$C$36,3,0),"")</f>
        <v>0825456565</v>
      </c>
      <c r="Z85" s="731" t="str">
        <f>IFERROR(VLOOKUP(M85,'02. MM-KLH'!$B$6:$T$823,3,0),"")</f>
        <v>ATT-A23-0027</v>
      </c>
      <c r="AA85" s="353" t="s">
        <v>5979</v>
      </c>
      <c r="AB85" s="731"/>
      <c r="AC85" s="731"/>
    </row>
    <row r="86" ht="13.8" spans="1:29">
      <c r="A86" s="731"/>
      <c r="B86" s="613" t="str">
        <f>IFERROR(VLOOKUP(M86,'02. MM-KLH'!$B$6:$T$823,6,0),"")</f>
        <v>Máy ủi KOMATSU D31PX</v>
      </c>
      <c r="C86" s="353">
        <v>1</v>
      </c>
      <c r="D86" s="353" t="str">
        <f>IFERROR(VLOOKUP(M86,'02. MM-KLH'!$B$6:$T$823,16,0),"")</f>
        <v>D31PX-21</v>
      </c>
      <c r="E86" s="353" t="s">
        <v>5978</v>
      </c>
      <c r="F86" s="353"/>
      <c r="G86" s="353"/>
      <c r="H86" s="353" t="str">
        <f>IFERROR(VLOOKUP(M86,'02. MM-KLH'!$B$6:$T$823,17,0),"")</f>
        <v>76HP</v>
      </c>
      <c r="I86" s="763">
        <f>IFERROR(VLOOKUP(M86,'02. MM-KLH'!$B$6:$U$823,20,0),"")</f>
        <v>8</v>
      </c>
      <c r="J86" s="613" t="str">
        <f>IFERROR(VLOOKUP(M86,'02. MM-KLH'!$B$6:$T$823,19,0),"")</f>
        <v>4D10226319872</v>
      </c>
      <c r="K86" s="613" t="str">
        <f>IFERROR(VLOOKUP(M86,'02. MM-KLH'!$B$6:$T$823,18,0),"")</f>
        <v>D31PX2150296</v>
      </c>
      <c r="L86" s="353">
        <f>IFERROR(VLOOKUP(M86,'02. MM-KLH'!$B$6:$T$823,4,0),"")</f>
        <v>0</v>
      </c>
      <c r="M86" s="410" t="s">
        <v>611</v>
      </c>
      <c r="N86" s="356">
        <f>IFERROR(VLOOKUP(M86,'02. MM-KLH'!$B$6:$T$823,15,0),"")</f>
        <v>2003</v>
      </c>
      <c r="O86" s="764">
        <f>IFERROR(VLOOKUP(M86,'02. MM-KLH'!$B$6:$T$823,9,0),"")</f>
        <v>45963</v>
      </c>
      <c r="P86" s="353"/>
      <c r="Q86" s="353">
        <v>50506</v>
      </c>
      <c r="R86" s="353" t="s">
        <v>5978</v>
      </c>
      <c r="S86" s="353"/>
      <c r="T86" s="353"/>
      <c r="U86" s="353" t="str">
        <f>IFERROR(VLOOKUP(M86,'02. MM-KLH'!$B$6:$T$823,5,0),"")</f>
        <v>MỚI (ĐQSD)</v>
      </c>
      <c r="V86" s="731" t="str">
        <f>IFERROR(VLOOKUP(M86,'02. MM-KLH'!$B$6:$T$823,8,0),"")</f>
        <v>CGTC DP</v>
      </c>
      <c r="W86" s="353" t="str">
        <f>IFERROR(VLOOKUP(V86,'NS QUẢN LÝ CG'!$A$4:$D$36,2,0),"")</f>
        <v>Phạm Ngọc Hải</v>
      </c>
      <c r="X86" s="353" t="str">
        <f>IFERROR(VLOOKUP(V86,'NS QUẢN LÝ CG'!$A$4:$D$36,4,0),"")</f>
        <v>Lô 85 DP4</v>
      </c>
      <c r="Y86" s="1104" t="str">
        <f>IFERROR(VLOOKUP(V86,'NS QUẢN LÝ CG'!$A$4:$C$36,3,0),"")</f>
        <v>0825456565</v>
      </c>
      <c r="Z86" s="731" t="str">
        <f>IFERROR(VLOOKUP(M86,'02. MM-KLH'!$B$6:$T$823,3,0),"")</f>
        <v>A23-MUI-011</v>
      </c>
      <c r="AA86" s="353" t="str">
        <f>_xlfn.SWITCH(LEFT(Z86,3),"A22","ADM","A23","DP","A24","LP","")</f>
        <v>DP</v>
      </c>
      <c r="AB86" s="731"/>
      <c r="AC86" s="731"/>
    </row>
    <row r="87" ht="13.8" spans="1:29">
      <c r="A87" s="731"/>
      <c r="B87" s="613" t="str">
        <f>IFERROR(VLOOKUP(M87,'02. MM-KLH'!$B$6:$T$823,6,0),"")</f>
        <v>Máy ủi KOMATSU D31PX</v>
      </c>
      <c r="C87" s="353">
        <v>1</v>
      </c>
      <c r="D87" s="353" t="str">
        <f>IFERROR(VLOOKUP(M87,'02. MM-KLH'!$B$6:$T$823,16,0),"")</f>
        <v>D31PX-21</v>
      </c>
      <c r="E87" s="353" t="s">
        <v>5978</v>
      </c>
      <c r="F87" s="353"/>
      <c r="G87" s="353"/>
      <c r="H87" s="353" t="str">
        <f>IFERROR(VLOOKUP(M87,'02. MM-KLH'!$B$6:$T$823,17,0),"")</f>
        <v>80HP</v>
      </c>
      <c r="I87" s="763">
        <f>IFERROR(VLOOKUP(M87,'02. MM-KLH'!$B$6:$U$823,20,0),"")</f>
        <v>8</v>
      </c>
      <c r="J87" s="613" t="str">
        <f>IFERROR(VLOOKUP(M87,'02. MM-KLH'!$B$6:$T$823,19,0),"")</f>
        <v>4D10226384955</v>
      </c>
      <c r="K87" s="613" t="str">
        <f>IFERROR(VLOOKUP(M87,'02. MM-KLH'!$B$6:$T$823,18,0),"")</f>
        <v>KMT0D007T01051120</v>
      </c>
      <c r="L87" s="353">
        <f>IFERROR(VLOOKUP(M87,'02. MM-KLH'!$B$6:$T$823,4,0),"")</f>
        <v>0</v>
      </c>
      <c r="M87" s="49" t="s">
        <v>696</v>
      </c>
      <c r="N87" s="356">
        <f>IFERROR(VLOOKUP(M87,'02. MM-KLH'!$B$6:$T$823,15,0),"")</f>
        <v>2006</v>
      </c>
      <c r="O87" s="764">
        <f>IFERROR(VLOOKUP(M87,'02. MM-KLH'!$B$6:$T$823,9,0),"")</f>
        <v>44197</v>
      </c>
      <c r="P87" s="353"/>
      <c r="Q87" s="353" t="s">
        <v>1755</v>
      </c>
      <c r="R87" s="353"/>
      <c r="S87" s="353"/>
      <c r="T87" s="353" t="s">
        <v>5978</v>
      </c>
      <c r="U87" s="353" t="str">
        <f>IFERROR(VLOOKUP(M87,'02. MM-KLH'!$B$6:$T$823,5,0),"")</f>
        <v>ĐQSD</v>
      </c>
      <c r="V87" s="731" t="str">
        <f>IFERROR(VLOOKUP(M87,'02. MM-KLH'!$B$6:$T$823,8,0),"")</f>
        <v>CGTC LP</v>
      </c>
      <c r="W87" s="353" t="str">
        <f>IFERROR(VLOOKUP(V87,'NS QUẢN LÝ CG'!$A$4:$D$36,2,0),"")</f>
        <v>Đỗ Đức Nghĩa</v>
      </c>
      <c r="X87" s="353" t="str">
        <f>IFERROR(VLOOKUP(V87,'NS QUẢN LÝ CG'!$A$4:$D$36,4,0),"")</f>
        <v>NOCN L.4-LP3</v>
      </c>
      <c r="Y87" s="1104" t="str">
        <f>IFERROR(VLOOKUP(V87,'NS QUẢN LÝ CG'!$A$4:$C$36,3,0),"")</f>
        <v>0971462780</v>
      </c>
      <c r="Z87" s="731" t="str">
        <f>IFERROR(VLOOKUP(M87,'02. MM-KLH'!$B$6:$T$823,3,0),"")</f>
        <v>ATT-A24-0056</v>
      </c>
      <c r="AA87" s="353" t="s">
        <v>5981</v>
      </c>
      <c r="AB87" s="731"/>
      <c r="AC87" s="731"/>
    </row>
    <row r="88" ht="13.8" spans="1:29">
      <c r="A88" s="731"/>
      <c r="B88" s="613" t="str">
        <f>IFERROR(VLOOKUP(M88,'02. MM-KLH'!$B$6:$T$823,6,0),"")</f>
        <v>Máy ủi KOMATSU D31PX</v>
      </c>
      <c r="C88" s="353">
        <v>1</v>
      </c>
      <c r="D88" s="353" t="str">
        <f>IFERROR(VLOOKUP(M88,'02. MM-KLH'!$B$6:$T$823,16,0),"")</f>
        <v>D31PX-21</v>
      </c>
      <c r="E88" s="353" t="s">
        <v>5978</v>
      </c>
      <c r="F88" s="353"/>
      <c r="G88" s="353"/>
      <c r="H88" s="353" t="str">
        <f>IFERROR(VLOOKUP(M88,'02. MM-KLH'!$B$6:$T$823,17,0),"")</f>
        <v>80HP</v>
      </c>
      <c r="I88" s="763">
        <f>IFERROR(VLOOKUP(M88,'02. MM-KLH'!$B$6:$U$823,20,0),"")</f>
        <v>8</v>
      </c>
      <c r="J88" s="613" t="str">
        <f>IFERROR(VLOOKUP(M88,'02. MM-KLH'!$B$6:$T$823,19,0),"")</f>
        <v>4D10226427091</v>
      </c>
      <c r="K88" s="613" t="str">
        <f>IFERROR(VLOOKUP(M88,'02. MM-KLH'!$B$6:$T$823,18,0),"")</f>
        <v>KMT0D007C01051611</v>
      </c>
      <c r="L88" s="353">
        <f>IFERROR(VLOOKUP(M88,'02. MM-KLH'!$B$6:$T$823,4,0),"")</f>
        <v>0</v>
      </c>
      <c r="M88" s="49" t="s">
        <v>700</v>
      </c>
      <c r="N88" s="356">
        <f>IFERROR(VLOOKUP(M88,'02. MM-KLH'!$B$6:$T$823,15,0),"")</f>
        <v>2008</v>
      </c>
      <c r="O88" s="764">
        <f>IFERROR(VLOOKUP(M88,'02. MM-KLH'!$B$6:$T$823,9,0),"")</f>
        <v>44197</v>
      </c>
      <c r="P88" s="353"/>
      <c r="Q88" s="353" t="s">
        <v>1755</v>
      </c>
      <c r="R88" s="353"/>
      <c r="S88" s="353"/>
      <c r="T88" s="353" t="s">
        <v>5978</v>
      </c>
      <c r="U88" s="353" t="str">
        <f>IFERROR(VLOOKUP(M88,'02. MM-KLH'!$B$6:$T$823,5,0),"")</f>
        <v>ĐQSD</v>
      </c>
      <c r="V88" s="731" t="str">
        <f>IFERROR(VLOOKUP(M88,'02. MM-KLH'!$B$6:$T$823,8,0),"")</f>
        <v>CGTC LP</v>
      </c>
      <c r="W88" s="353" t="str">
        <f>IFERROR(VLOOKUP(V88,'NS QUẢN LÝ CG'!$A$4:$D$36,2,0),"")</f>
        <v>Đỗ Đức Nghĩa</v>
      </c>
      <c r="X88" s="353" t="str">
        <f>IFERROR(VLOOKUP(V88,'NS QUẢN LÝ CG'!$A$4:$D$36,4,0),"")</f>
        <v>NOCN L.4-LP3</v>
      </c>
      <c r="Y88" s="1104" t="str">
        <f>IFERROR(VLOOKUP(V88,'NS QUẢN LÝ CG'!$A$4:$C$36,3,0),"")</f>
        <v>0971462780</v>
      </c>
      <c r="Z88" s="731" t="str">
        <f>IFERROR(VLOOKUP(M88,'02. MM-KLH'!$B$6:$T$823,3,0),"")</f>
        <v>ATT-A24-0048</v>
      </c>
      <c r="AA88" s="353" t="s">
        <v>5981</v>
      </c>
      <c r="AB88" s="731"/>
      <c r="AC88" s="731"/>
    </row>
    <row r="89" ht="13.8" spans="1:29">
      <c r="A89" s="731"/>
      <c r="B89" s="613" t="str">
        <f>IFERROR(VLOOKUP(M89,'02. MM-KLH'!$B$6:$T$823,6,0),"")</f>
        <v>Máy ủi KOMATSU D31PX</v>
      </c>
      <c r="C89" s="353">
        <v>1</v>
      </c>
      <c r="D89" s="353" t="str">
        <f>IFERROR(VLOOKUP(M89,'02. MM-KLH'!$B$6:$T$823,16,0),"")</f>
        <v>D31PX</v>
      </c>
      <c r="E89" s="353" t="s">
        <v>5978</v>
      </c>
      <c r="F89" s="353"/>
      <c r="G89" s="353"/>
      <c r="H89" s="353" t="str">
        <f>IFERROR(VLOOKUP(M89,'02. MM-KLH'!$B$6:$T$823,17,0),"")</f>
        <v>80HP</v>
      </c>
      <c r="I89" s="763">
        <f>IFERROR(VLOOKUP(M89,'02. MM-KLH'!$B$6:$U$823,20,0),"")</f>
        <v>8</v>
      </c>
      <c r="J89" s="613" t="str">
        <f>IFERROR(VLOOKUP(M89,'02. MM-KLH'!$B$6:$T$823,19,0),"")</f>
        <v>4D10226357443</v>
      </c>
      <c r="K89" s="613" t="str">
        <f>IFERROR(VLOOKUP(M89,'02. MM-KLH'!$B$6:$T$823,18,0),"")</f>
        <v>KMT0D0070E01050840</v>
      </c>
      <c r="L89" s="353">
        <f>IFERROR(VLOOKUP(M89,'02. MM-KLH'!$B$6:$T$823,4,0),"")</f>
        <v>0</v>
      </c>
      <c r="M89" s="49" t="s">
        <v>820</v>
      </c>
      <c r="N89" s="356">
        <f>IFERROR(VLOOKUP(M89,'02. MM-KLH'!$B$6:$T$823,15,0),"")</f>
        <v>2005</v>
      </c>
      <c r="O89" s="764">
        <f>IFERROR(VLOOKUP(M89,'02. MM-KLH'!$B$6:$T$823,9,0),"")</f>
        <v>43841</v>
      </c>
      <c r="P89" s="353"/>
      <c r="Q89" s="353" t="s">
        <v>1755</v>
      </c>
      <c r="R89" s="353"/>
      <c r="S89" s="353"/>
      <c r="T89" s="353" t="s">
        <v>5978</v>
      </c>
      <c r="U89" s="353" t="str">
        <f>IFERROR(VLOOKUP(M89,'02. MM-KLH'!$B$6:$T$823,5,0),"")</f>
        <v>ĐQSD</v>
      </c>
      <c r="V89" s="731" t="str">
        <f>IFERROR(VLOOKUP(M89,'02. MM-KLH'!$B$6:$T$823,8,0),"")</f>
        <v>CGTC AD</v>
      </c>
      <c r="W89" s="353" t="str">
        <f>IFERROR(VLOOKUP(V89,'NS QUẢN LÝ CG'!$A$4:$D$36,2,0),"")</f>
        <v>Vũ Trung Kiên</v>
      </c>
      <c r="X89" s="353" t="str">
        <f>IFERROR(VLOOKUP(V89,'NS QUẢN LÝ CG'!$A$4:$D$36,4,0),"")</f>
        <v>Lô 73 ADM</v>
      </c>
      <c r="Y89" s="1104" t="str">
        <f>IFERROR(VLOOKUP(V89,'NS QUẢN LÝ CG'!$A$4:$C$36,3,0),"")</f>
        <v>0981761677</v>
      </c>
      <c r="Z89" s="731" t="str">
        <f>IFERROR(VLOOKUP(M89,'02. MM-KLH'!$B$6:$T$823,3,0),"")</f>
        <v>ATT-A22-0128</v>
      </c>
      <c r="AA89" s="353" t="s">
        <v>5980</v>
      </c>
      <c r="AB89" s="731"/>
      <c r="AC89" s="731"/>
    </row>
    <row r="90" ht="13.8" spans="1:29">
      <c r="A90" s="731"/>
      <c r="B90" s="613" t="str">
        <f>IFERROR(VLOOKUP(M90,'02. MM-KLH'!$B$6:$T$823,6,0),"")</f>
        <v>Máy ủi KOMATSU D31PX</v>
      </c>
      <c r="C90" s="353">
        <v>1</v>
      </c>
      <c r="D90" s="353" t="str">
        <f>IFERROR(VLOOKUP(M90,'02. MM-KLH'!$B$6:$T$823,16,0),"")</f>
        <v>D31PX</v>
      </c>
      <c r="E90" s="353" t="s">
        <v>5978</v>
      </c>
      <c r="F90" s="353"/>
      <c r="G90" s="353"/>
      <c r="H90" s="353" t="str">
        <f>IFERROR(VLOOKUP(M90,'02. MM-KLH'!$B$6:$T$823,17,0),"")</f>
        <v>80HP</v>
      </c>
      <c r="I90" s="763">
        <f>IFERROR(VLOOKUP(M90,'02. MM-KLH'!$B$6:$U$823,20,0),"")</f>
        <v>8</v>
      </c>
      <c r="J90" s="613" t="str">
        <f>IFERROR(VLOOKUP(M90,'02. MM-KLH'!$B$6:$T$823,19,0),"")</f>
        <v>4D10226340664</v>
      </c>
      <c r="K90" s="613" t="str">
        <f>IFERROR(VLOOKUP(M90,'02. MM-KLH'!$B$6:$T$823,18,0),"")</f>
        <v>KMT0D007L01050625</v>
      </c>
      <c r="L90" s="353">
        <f>IFERROR(VLOOKUP(M90,'02. MM-KLH'!$B$6:$T$823,4,0),"")</f>
        <v>0</v>
      </c>
      <c r="M90" s="49" t="s">
        <v>824</v>
      </c>
      <c r="N90" s="356">
        <f>IFERROR(VLOOKUP(M90,'02. MM-KLH'!$B$6:$T$823,15,0),"")</f>
        <v>2004</v>
      </c>
      <c r="O90" s="764">
        <f>IFERROR(VLOOKUP(M90,'02. MM-KLH'!$B$6:$T$823,9,0),"")</f>
        <v>43841</v>
      </c>
      <c r="P90" s="353"/>
      <c r="Q90" s="353" t="s">
        <v>1755</v>
      </c>
      <c r="R90" s="353"/>
      <c r="S90" s="353"/>
      <c r="T90" s="353" t="s">
        <v>5978</v>
      </c>
      <c r="U90" s="353" t="str">
        <f>IFERROR(VLOOKUP(M90,'02. MM-KLH'!$B$6:$T$823,5,0),"")</f>
        <v>ĐQSD</v>
      </c>
      <c r="V90" s="731" t="str">
        <f>IFERROR(VLOOKUP(M90,'02. MM-KLH'!$B$6:$T$823,8,0),"")</f>
        <v>CGTC AD</v>
      </c>
      <c r="W90" s="353" t="str">
        <f>IFERROR(VLOOKUP(V90,'NS QUẢN LÝ CG'!$A$4:$D$36,2,0),"")</f>
        <v>Vũ Trung Kiên</v>
      </c>
      <c r="X90" s="353" t="str">
        <f>IFERROR(VLOOKUP(V90,'NS QUẢN LÝ CG'!$A$4:$D$36,4,0),"")</f>
        <v>Lô 73 ADM</v>
      </c>
      <c r="Y90" s="1104" t="str">
        <f>IFERROR(VLOOKUP(V90,'NS QUẢN LÝ CG'!$A$4:$C$36,3,0),"")</f>
        <v>0981761677</v>
      </c>
      <c r="Z90" s="731" t="str">
        <f>IFERROR(VLOOKUP(M90,'02. MM-KLH'!$B$6:$T$823,3,0),"")</f>
        <v>ATT-A22-0148</v>
      </c>
      <c r="AA90" s="353" t="s">
        <v>5980</v>
      </c>
      <c r="AB90" s="731"/>
      <c r="AC90" s="731"/>
    </row>
    <row r="91" ht="13.8" spans="1:29">
      <c r="A91" s="731"/>
      <c r="B91" s="613" t="str">
        <f>IFERROR(VLOOKUP(M91,'02. MM-KLH'!$B$6:$T$823,6,0),"")</f>
        <v>Máy ủi KOMATSU D31PX-21</v>
      </c>
      <c r="C91" s="353">
        <v>1</v>
      </c>
      <c r="D91" s="353" t="str">
        <f>IFERROR(VLOOKUP(M91,'02. MM-KLH'!$B$6:$T$823,16,0),"")</f>
        <v>D31PX-21</v>
      </c>
      <c r="E91" s="353" t="s">
        <v>5978</v>
      </c>
      <c r="F91" s="353"/>
      <c r="G91" s="353"/>
      <c r="H91" s="353" t="str">
        <f>IFERROR(VLOOKUP(M91,'02. MM-KLH'!$B$6:$T$823,17,0),"")</f>
        <v>78HP</v>
      </c>
      <c r="I91" s="763">
        <f>IFERROR(VLOOKUP(M91,'02. MM-KLH'!$B$6:$U$823,20,0),"")</f>
        <v>8</v>
      </c>
      <c r="J91" s="613" t="str">
        <f>IFERROR(VLOOKUP(M91,'02. MM-KLH'!$B$6:$T$823,19,0),"")</f>
        <v>4D10226430130</v>
      </c>
      <c r="K91" s="613" t="str">
        <f>IFERROR(VLOOKUP(M91,'02. MM-KLH'!$B$6:$T$823,18,0),"")</f>
        <v>KMT0D007J01051638</v>
      </c>
      <c r="L91" s="353">
        <f>IFERROR(VLOOKUP(M91,'02. MM-KLH'!$B$6:$T$823,4,0),"")</f>
        <v>0</v>
      </c>
      <c r="M91" s="19" t="s">
        <v>809</v>
      </c>
      <c r="N91" s="356">
        <f>IFERROR(VLOOKUP(M91,'02. MM-KLH'!$B$6:$T$823,15,0),"")</f>
        <v>2006</v>
      </c>
      <c r="O91" s="764" t="str">
        <f>IFERROR(VLOOKUP(M91,'02. MM-KLH'!$B$6:$T$823,9,0),"")</f>
        <v>26/07/2025</v>
      </c>
      <c r="P91" s="353"/>
      <c r="Q91" s="353" t="s">
        <v>1755</v>
      </c>
      <c r="R91" s="353" t="s">
        <v>5978</v>
      </c>
      <c r="S91" s="353"/>
      <c r="T91" s="353"/>
      <c r="U91" s="353" t="str">
        <f>IFERROR(VLOOKUP(M91,'02. MM-KLH'!$B$6:$T$823,5,0),"")</f>
        <v>MỚI (ĐQSD)</v>
      </c>
      <c r="V91" s="731" t="str">
        <f>IFERROR(VLOOKUP(M91,'02. MM-KLH'!$B$6:$T$823,8,0),"")</f>
        <v>CGTC LP</v>
      </c>
      <c r="W91" s="353" t="str">
        <f>IFERROR(VLOOKUP(V91,'NS QUẢN LÝ CG'!$A$4:$D$36,2,0),"")</f>
        <v>Đỗ Đức Nghĩa</v>
      </c>
      <c r="X91" s="353" t="str">
        <f>IFERROR(VLOOKUP(V91,'NS QUẢN LÝ CG'!$A$4:$D$36,4,0),"")</f>
        <v>NOCN L.4-LP3</v>
      </c>
      <c r="Y91" s="1104" t="str">
        <f>IFERROR(VLOOKUP(V91,'NS QUẢN LÝ CG'!$A$4:$C$36,3,0),"")</f>
        <v>0971462780</v>
      </c>
      <c r="Z91" s="731" t="str">
        <f>IFERROR(VLOOKUP(M91,'02. MM-KLH'!$B$6:$T$823,3,0),"")</f>
        <v>A24-MUI-014</v>
      </c>
      <c r="AA91" s="353" t="str">
        <f>_xlfn.SWITCH(LEFT(Z91,3),"A22","ADM","A23","DP","A24","LP","")</f>
        <v>LP</v>
      </c>
      <c r="AB91" s="731"/>
      <c r="AC91" s="731"/>
    </row>
    <row r="92" ht="13.8" spans="1:29">
      <c r="A92" s="731"/>
      <c r="B92" s="613" t="str">
        <f>IFERROR(VLOOKUP(M92,'02. MM-KLH'!$B$6:$T$823,6,0),"")</f>
        <v>Máy ủi KOMATSU D31PX</v>
      </c>
      <c r="C92" s="353">
        <v>1</v>
      </c>
      <c r="D92" s="353" t="str">
        <f>IFERROR(VLOOKUP(M92,'02. MM-KLH'!$B$6:$T$823,16,0),"")</f>
        <v>D31PX-21</v>
      </c>
      <c r="E92" s="353" t="s">
        <v>5978</v>
      </c>
      <c r="F92" s="353"/>
      <c r="G92" s="353"/>
      <c r="H92" s="353" t="str">
        <f>IFERROR(VLOOKUP(M92,'02. MM-KLH'!$B$6:$T$823,17,0),"")</f>
        <v>75HP</v>
      </c>
      <c r="I92" s="763">
        <f>IFERROR(VLOOKUP(M92,'02. MM-KLH'!$B$6:$U$823,20,0),"")</f>
        <v>8</v>
      </c>
      <c r="J92" s="613" t="str">
        <f>IFERROR(VLOOKUP(M92,'02. MM-KLH'!$B$6:$T$823,19,0),"")</f>
        <v>4D10226392645</v>
      </c>
      <c r="K92" s="613" t="str">
        <f>IFERROR(VLOOKUP(M92,'02. MM-KLH'!$B$6:$T$823,18,0),"")</f>
        <v>KMT0D007P01051250</v>
      </c>
      <c r="L92" s="353">
        <f>IFERROR(VLOOKUP(M92,'02. MM-KLH'!$B$6:$T$823,4,0),"")</f>
        <v>0</v>
      </c>
      <c r="M92" s="49" t="s">
        <v>832</v>
      </c>
      <c r="N92" s="356">
        <f>IFERROR(VLOOKUP(M92,'02. MM-KLH'!$B$6:$T$823,15,0),"")</f>
        <v>2006</v>
      </c>
      <c r="O92" s="764">
        <f>IFERROR(VLOOKUP(M92,'02. MM-KLH'!$B$6:$T$823,9,0),"")</f>
        <v>44198</v>
      </c>
      <c r="P92" s="353"/>
      <c r="Q92" s="353" t="s">
        <v>1755</v>
      </c>
      <c r="R92" s="353"/>
      <c r="S92" s="353"/>
      <c r="T92" s="353" t="s">
        <v>5978</v>
      </c>
      <c r="U92" s="353" t="str">
        <f>IFERROR(VLOOKUP(M92,'02. MM-KLH'!$B$6:$T$823,5,0),"")</f>
        <v>ĐQSD</v>
      </c>
      <c r="V92" s="731" t="str">
        <f>IFERROR(VLOOKUP(M92,'02. MM-KLH'!$B$6:$T$823,8,0),"")</f>
        <v>CGTC AD</v>
      </c>
      <c r="W92" s="353" t="str">
        <f>IFERROR(VLOOKUP(V92,'NS QUẢN LÝ CG'!$A$4:$D$36,2,0),"")</f>
        <v>Vũ Trung Kiên</v>
      </c>
      <c r="X92" s="353" t="str">
        <f>IFERROR(VLOOKUP(V92,'NS QUẢN LÝ CG'!$A$4:$D$36,4,0),"")</f>
        <v>Lô 73 ADM</v>
      </c>
      <c r="Y92" s="1104" t="str">
        <f>IFERROR(VLOOKUP(V92,'NS QUẢN LÝ CG'!$A$4:$C$36,3,0),"")</f>
        <v>0981761677</v>
      </c>
      <c r="Z92" s="731" t="str">
        <f>IFERROR(VLOOKUP(M92,'02. MM-KLH'!$B$6:$T$823,3,0),"")</f>
        <v>ATT-A22-0169</v>
      </c>
      <c r="AA92" s="353" t="s">
        <v>5980</v>
      </c>
      <c r="AB92" s="731"/>
      <c r="AC92" s="731"/>
    </row>
    <row r="93" ht="13.8" spans="1:29">
      <c r="A93" s="731"/>
      <c r="B93" s="613" t="str">
        <f>IFERROR(VLOOKUP(M93,'02. MM-KLH'!$B$6:$T$823,6,0),"")</f>
        <v>Máy ủi KOMATSU D31PX</v>
      </c>
      <c r="C93" s="353">
        <v>1</v>
      </c>
      <c r="D93" s="353" t="str">
        <f>IFERROR(VLOOKUP(M93,'02. MM-KLH'!$B$6:$T$823,16,0),"")</f>
        <v>D31PX-21</v>
      </c>
      <c r="E93" s="353" t="s">
        <v>5978</v>
      </c>
      <c r="F93" s="353"/>
      <c r="G93" s="353"/>
      <c r="H93" s="353" t="str">
        <f>IFERROR(VLOOKUP(M93,'02. MM-KLH'!$B$6:$T$823,17,0),"")</f>
        <v>76HP</v>
      </c>
      <c r="I93" s="763">
        <f>IFERROR(VLOOKUP(M93,'02. MM-KLH'!$B$6:$U$823,20,0),"")</f>
        <v>8</v>
      </c>
      <c r="J93" s="613" t="str">
        <f>IFERROR(VLOOKUP(M93,'02. MM-KLH'!$B$6:$T$823,19,0),"")</f>
        <v>4D10226397126</v>
      </c>
      <c r="K93" s="613" t="str">
        <f>IFERROR(VLOOKUP(M93,'02. MM-KLH'!$B$6:$T$823,18,0),"")</f>
        <v>KMT0D007T01051313</v>
      </c>
      <c r="L93" s="353">
        <f>IFERROR(VLOOKUP(M93,'02. MM-KLH'!$B$6:$T$823,4,0),"")</f>
        <v>0</v>
      </c>
      <c r="M93" s="410" t="s">
        <v>835</v>
      </c>
      <c r="N93" s="356">
        <f>IFERROR(VLOOKUP(M93,'02. MM-KLH'!$B$6:$T$823,15,0),"")</f>
        <v>2006</v>
      </c>
      <c r="O93" s="764">
        <f>IFERROR(VLOOKUP(M93,'02. MM-KLH'!$B$6:$T$823,9,0),"")</f>
        <v>45963</v>
      </c>
      <c r="P93" s="353"/>
      <c r="Q93" s="353" t="s">
        <v>1755</v>
      </c>
      <c r="R93" s="353"/>
      <c r="S93" s="353" t="s">
        <v>5978</v>
      </c>
      <c r="T93" s="353"/>
      <c r="U93" s="353" t="str">
        <f>IFERROR(VLOOKUP(M93,'02. MM-KLH'!$B$6:$T$823,5,0),"")</f>
        <v>MỚI (ĐQSD)</v>
      </c>
      <c r="V93" s="731" t="str">
        <f>IFERROR(VLOOKUP(M93,'02. MM-KLH'!$B$6:$T$823,8,0),"")</f>
        <v>CGTC AD</v>
      </c>
      <c r="W93" s="353" t="str">
        <f>IFERROR(VLOOKUP(V93,'NS QUẢN LÝ CG'!$A$4:$D$36,2,0),"")</f>
        <v>Vũ Trung Kiên</v>
      </c>
      <c r="X93" s="353" t="str">
        <f>IFERROR(VLOOKUP(V93,'NS QUẢN LÝ CG'!$A$4:$D$36,4,0),"")</f>
        <v>Lô 73 ADM</v>
      </c>
      <c r="Y93" s="1104" t="str">
        <f>IFERROR(VLOOKUP(V93,'NS QUẢN LÝ CG'!$A$4:$C$36,3,0),"")</f>
        <v>0981761677</v>
      </c>
      <c r="Z93" s="731" t="str">
        <f>IFERROR(VLOOKUP(M93,'02. MM-KLH'!$B$6:$T$823,3,0),"")</f>
        <v>A23-MUI-012</v>
      </c>
      <c r="AA93" s="353" t="str">
        <f>_xlfn.SWITCH(LEFT(Z93,3),"A22","ADM","A23","DP","A24","LP","")</f>
        <v>DP</v>
      </c>
      <c r="AB93" s="731"/>
      <c r="AC93" s="731"/>
    </row>
    <row r="94" ht="13.8" spans="1:29">
      <c r="A94" s="731"/>
      <c r="B94" s="613" t="str">
        <f>IFERROR(VLOOKUP(M94,'02. MM-KLH'!$B$6:$T$823,6,0),"")</f>
        <v>Máy ủi KOMATSU D60P-12E</v>
      </c>
      <c r="C94" s="353">
        <v>1</v>
      </c>
      <c r="D94" s="353" t="str">
        <f>IFERROR(VLOOKUP(M94,'02. MM-KLH'!$B$6:$T$823,16,0),"")</f>
        <v>D60P-12E</v>
      </c>
      <c r="E94" s="353" t="s">
        <v>5978</v>
      </c>
      <c r="F94" s="353"/>
      <c r="G94" s="353"/>
      <c r="H94" s="353" t="str">
        <f>IFERROR(VLOOKUP(M94,'02. MM-KLH'!$B$6:$T$823,17,0),"")</f>
        <v>190HP</v>
      </c>
      <c r="I94" s="763">
        <f>IFERROR(VLOOKUP(M94,'02. MM-KLH'!$B$6:$U$823,20,0),"")</f>
        <v>14</v>
      </c>
      <c r="J94" s="613" t="str">
        <f>IFERROR(VLOOKUP(M94,'02. MM-KLH'!$B$6:$T$823,19,0),"")</f>
        <v>CCN</v>
      </c>
      <c r="K94" s="613" t="str">
        <f>IFERROR(VLOOKUP(M94,'02. MM-KLH'!$B$6:$T$823,18,0),"")</f>
        <v>D60P1260763</v>
      </c>
      <c r="L94" s="353">
        <f>IFERROR(VLOOKUP(M94,'02. MM-KLH'!$B$6:$T$823,4,0),"")</f>
        <v>0</v>
      </c>
      <c r="M94" s="49" t="s">
        <v>484</v>
      </c>
      <c r="N94" s="356">
        <f>IFERROR(VLOOKUP(M94,'02. MM-KLH'!$B$6:$T$823,15,0),"")</f>
        <v>2002</v>
      </c>
      <c r="O94" s="764">
        <f>IFERROR(VLOOKUP(M94,'02. MM-KLH'!$B$6:$T$823,9,0),"")</f>
        <v>43837</v>
      </c>
      <c r="P94" s="353"/>
      <c r="Q94" s="353" t="s">
        <v>1755</v>
      </c>
      <c r="R94" s="353"/>
      <c r="S94" s="353" t="s">
        <v>5978</v>
      </c>
      <c r="T94" s="353"/>
      <c r="U94" s="353" t="str">
        <f>IFERROR(VLOOKUP(M94,'02. MM-KLH'!$B$6:$T$823,5,0),"")</f>
        <v>ĐQSD</v>
      </c>
      <c r="V94" s="731" t="str">
        <f>IFERROR(VLOOKUP(M94,'02. MM-KLH'!$B$6:$T$823,8,0),"")</f>
        <v>CGTC DP</v>
      </c>
      <c r="W94" s="353" t="str">
        <f>IFERROR(VLOOKUP(V94,'NS QUẢN LÝ CG'!$A$4:$D$36,2,0),"")</f>
        <v>Phạm Ngọc Hải</v>
      </c>
      <c r="X94" s="353" t="str">
        <f>IFERROR(VLOOKUP(V94,'NS QUẢN LÝ CG'!$A$4:$D$36,4,0),"")</f>
        <v>Lô 85 DP4</v>
      </c>
      <c r="Y94" s="1104" t="str">
        <f>IFERROR(VLOOKUP(V94,'NS QUẢN LÝ CG'!$A$4:$C$36,3,0),"")</f>
        <v>0825456565</v>
      </c>
      <c r="Z94" s="731" t="str">
        <f>IFERROR(VLOOKUP(M94,'02. MM-KLH'!$B$6:$T$823,3,0),"")</f>
        <v>ATT-A23-0031</v>
      </c>
      <c r="AA94" s="353" t="s">
        <v>5979</v>
      </c>
      <c r="AB94" s="731"/>
      <c r="AC94" s="731"/>
    </row>
    <row r="95" ht="13.8" spans="1:29">
      <c r="A95" s="731"/>
      <c r="B95" s="613" t="str">
        <f>IFERROR(VLOOKUP(M95,'02. MM-KLH'!$B$6:$T$823,6,0),"")</f>
        <v>Máy ủi KOMATSU D60P-12E</v>
      </c>
      <c r="C95" s="353">
        <v>1</v>
      </c>
      <c r="D95" s="353" t="str">
        <f>IFERROR(VLOOKUP(M95,'02. MM-KLH'!$B$6:$T$823,16,0),"")</f>
        <v>D60P-12E</v>
      </c>
      <c r="E95" s="353" t="s">
        <v>5978</v>
      </c>
      <c r="F95" s="353"/>
      <c r="G95" s="353"/>
      <c r="H95" s="353" t="str">
        <f>IFERROR(VLOOKUP(M95,'02. MM-KLH'!$B$6:$T$823,17,0),"")</f>
        <v>190HP</v>
      </c>
      <c r="I95" s="763">
        <f>IFERROR(VLOOKUP(M95,'02. MM-KLH'!$B$6:$U$823,20,0),"")</f>
        <v>14</v>
      </c>
      <c r="J95" s="613" t="str">
        <f>IFERROR(VLOOKUP(M95,'02. MM-KLH'!$B$6:$T$823,19,0),"")</f>
        <v>6D12562174</v>
      </c>
      <c r="K95" s="613" t="str">
        <f>IFERROR(VLOOKUP(M95,'02. MM-KLH'!$B$6:$T$823,18,0),"")</f>
        <v>D60P1260928</v>
      </c>
      <c r="L95" s="353">
        <f>IFERROR(VLOOKUP(M95,'02. MM-KLH'!$B$6:$T$823,4,0),"")</f>
        <v>0</v>
      </c>
      <c r="M95" s="49" t="s">
        <v>491</v>
      </c>
      <c r="N95" s="356">
        <f>IFERROR(VLOOKUP(M95,'02. MM-KLH'!$B$6:$T$823,15,0),"")</f>
        <v>1994</v>
      </c>
      <c r="O95" s="764" t="str">
        <f>IFERROR(VLOOKUP(M95,'02. MM-KLH'!$B$6:$T$823,9,0),"")</f>
        <v>28/05/2025</v>
      </c>
      <c r="P95" s="353"/>
      <c r="Q95" s="353" t="s">
        <v>1755</v>
      </c>
      <c r="R95" s="353" t="s">
        <v>5978</v>
      </c>
      <c r="S95" s="353"/>
      <c r="T95" s="353"/>
      <c r="U95" s="353" t="str">
        <f>IFERROR(VLOOKUP(M95,'02. MM-KLH'!$B$6:$T$823,5,0),"")</f>
        <v>MỚI (ĐQSD)</v>
      </c>
      <c r="V95" s="731" t="str">
        <f>IFERROR(VLOOKUP(M95,'02. MM-KLH'!$B$6:$T$823,8,0),"")</f>
        <v>CGTC DP</v>
      </c>
      <c r="W95" s="353" t="str">
        <f>IFERROR(VLOOKUP(V95,'NS QUẢN LÝ CG'!$A$4:$D$36,2,0),"")</f>
        <v>Phạm Ngọc Hải</v>
      </c>
      <c r="X95" s="353" t="str">
        <f>IFERROR(VLOOKUP(V95,'NS QUẢN LÝ CG'!$A$4:$D$36,4,0),"")</f>
        <v>Lô 85 DP4</v>
      </c>
      <c r="Y95" s="1104" t="str">
        <f>IFERROR(VLOOKUP(V95,'NS QUẢN LÝ CG'!$A$4:$C$36,3,0),"")</f>
        <v>0825456565</v>
      </c>
      <c r="Z95" s="731" t="str">
        <f>IFERROR(VLOOKUP(M95,'02. MM-KLH'!$B$6:$T$823,3,0),"")</f>
        <v>A23-MUI-013</v>
      </c>
      <c r="AA95" s="353" t="str">
        <f>_xlfn.SWITCH(LEFT(Z95,3),"A22","ADM","A23","DP","A24","LP","")</f>
        <v>DP</v>
      </c>
      <c r="AB95" s="731"/>
      <c r="AC95" s="731"/>
    </row>
    <row r="96" ht="13.8" spans="1:29">
      <c r="A96" s="731"/>
      <c r="B96" s="613" t="str">
        <f>IFERROR(VLOOKUP(M96,'02. MM-KLH'!$B$6:$T$823,6,0),"")</f>
        <v>Máy ủi KOMATSU D60P</v>
      </c>
      <c r="C96" s="353">
        <v>1</v>
      </c>
      <c r="D96" s="353" t="str">
        <f>IFERROR(VLOOKUP(M96,'02. MM-KLH'!$B$6:$T$823,16,0),"")</f>
        <v>D60P</v>
      </c>
      <c r="E96" s="353" t="s">
        <v>5978</v>
      </c>
      <c r="F96" s="353"/>
      <c r="G96" s="353"/>
      <c r="H96" s="353" t="str">
        <f>IFERROR(VLOOKUP(M96,'02. MM-KLH'!$B$6:$T$823,17,0),"")</f>
        <v>190HP</v>
      </c>
      <c r="I96" s="763">
        <f>IFERROR(VLOOKUP(M96,'02. MM-KLH'!$B$6:$U$823,20,0),"")</f>
        <v>14</v>
      </c>
      <c r="J96" s="613" t="str">
        <f>IFERROR(VLOOKUP(M96,'02. MM-KLH'!$B$6:$T$823,19,0),"")</f>
        <v>6D125-30638</v>
      </c>
      <c r="K96" s="613" t="str">
        <f>IFERROR(VLOOKUP(M96,'02. MM-KLH'!$B$6:$T$823,18,0),"")</f>
        <v>D60P1261254</v>
      </c>
      <c r="L96" s="353">
        <f>IFERROR(VLOOKUP(M96,'02. MM-KLH'!$B$6:$T$823,4,0),"")</f>
        <v>0</v>
      </c>
      <c r="M96" s="19" t="s">
        <v>704</v>
      </c>
      <c r="N96" s="356">
        <f>IFERROR(VLOOKUP(M96,'02. MM-KLH'!$B$6:$T$823,15,0),"")</f>
        <v>1995</v>
      </c>
      <c r="O96" s="764">
        <f>IFERROR(VLOOKUP(M96,'02. MM-KLH'!$B$6:$T$823,9,0),"")</f>
        <v>44228</v>
      </c>
      <c r="P96" s="353"/>
      <c r="Q96" s="353" t="s">
        <v>1755</v>
      </c>
      <c r="R96" s="353" t="s">
        <v>5978</v>
      </c>
      <c r="S96" s="353"/>
      <c r="T96" s="353"/>
      <c r="U96" s="353" t="str">
        <f>IFERROR(VLOOKUP(M96,'02. MM-KLH'!$B$6:$T$823,5,0),"")</f>
        <v>ĐQSD</v>
      </c>
      <c r="V96" s="731" t="str">
        <f>IFERROR(VLOOKUP(M96,'02. MM-KLH'!$B$6:$T$823,8,0),"")</f>
        <v>CGTC LP</v>
      </c>
      <c r="W96" s="353" t="str">
        <f>IFERROR(VLOOKUP(V96,'NS QUẢN LÝ CG'!$A$4:$D$36,2,0),"")</f>
        <v>Đỗ Đức Nghĩa</v>
      </c>
      <c r="X96" s="353" t="str">
        <f>IFERROR(VLOOKUP(V96,'NS QUẢN LÝ CG'!$A$4:$D$36,4,0),"")</f>
        <v>NOCN L.4-LP3</v>
      </c>
      <c r="Y96" s="1104" t="str">
        <f>IFERROR(VLOOKUP(V96,'NS QUẢN LÝ CG'!$A$4:$C$36,3,0),"")</f>
        <v>0971462780</v>
      </c>
      <c r="Z96" s="731" t="str">
        <f>IFERROR(VLOOKUP(M96,'02. MM-KLH'!$B$6:$T$823,3,0),"")</f>
        <v>ATT-A22-0170</v>
      </c>
      <c r="AA96" s="353" t="s">
        <v>5980</v>
      </c>
      <c r="AB96" s="731"/>
      <c r="AC96" s="731"/>
    </row>
    <row r="97" spans="1:29">
      <c r="A97" s="731"/>
      <c r="B97" s="613" t="str">
        <f>IFERROR(VLOOKUP(M97,'02. MM-KLH'!$B$6:$T$823,6,0),"")</f>
        <v>Máy ủi KOMATSU D61</v>
      </c>
      <c r="C97" s="353">
        <v>1</v>
      </c>
      <c r="D97" s="353" t="str">
        <f>IFERROR(VLOOKUP(M97,'02. MM-KLH'!$B$6:$T$823,16,0),"")</f>
        <v>D61PX-15</v>
      </c>
      <c r="E97" s="353" t="s">
        <v>5978</v>
      </c>
      <c r="F97" s="353"/>
      <c r="G97" s="353"/>
      <c r="H97" s="353" t="str">
        <f>IFERROR(VLOOKUP(M97,'02. MM-KLH'!$B$6:$T$823,17,0),"")</f>
        <v>155HP</v>
      </c>
      <c r="I97" s="763">
        <f>IFERROR(VLOOKUP(M97,'02. MM-KLH'!$B$6:$U$823,20,0),"")</f>
        <v>14</v>
      </c>
      <c r="J97" s="613">
        <f>IFERROR(VLOOKUP(M97,'02. MM-KLH'!$B$6:$T$823,19,0),"")</f>
        <v>30559211</v>
      </c>
      <c r="K97" s="613" t="str">
        <f>IFERROR(VLOOKUP(M97,'02. MM-KLH'!$B$6:$T$823,18,0),"")</f>
        <v>KMT0D063H51B40955</v>
      </c>
      <c r="L97" s="353">
        <f>IFERROR(VLOOKUP(M97,'02. MM-KLH'!$B$6:$T$823,4,0),"")</f>
        <v>0</v>
      </c>
      <c r="M97" s="410" t="s">
        <v>840</v>
      </c>
      <c r="N97" s="356">
        <f>IFERROR(VLOOKUP(M97,'02. MM-KLH'!$B$6:$T$823,15,0),"")</f>
        <v>2006</v>
      </c>
      <c r="O97" s="764" t="str">
        <f>IFERROR(VLOOKUP(M97,'02. MM-KLH'!$B$6:$T$823,9,0),"")</f>
        <v>20/07/2026</v>
      </c>
      <c r="P97" s="218"/>
      <c r="Q97" s="765">
        <v>6297</v>
      </c>
      <c r="R97" s="353" t="s">
        <v>5978</v>
      </c>
      <c r="S97" s="353"/>
      <c r="T97" s="353"/>
      <c r="U97" s="353" t="str">
        <f>IFERROR(VLOOKUP(M97,'02. MM-KLH'!$B$6:$T$823,5,0),"")</f>
        <v>MỚI (ĐQSD)</v>
      </c>
      <c r="V97" s="731" t="str">
        <f>IFERROR(VLOOKUP(M97,'02. MM-KLH'!$B$6:$T$823,8,0),"")</f>
        <v>CGTC AD</v>
      </c>
      <c r="W97" s="353" t="str">
        <f>IFERROR(VLOOKUP(V97,'NS QUẢN LÝ CG'!$A$4:$D$36,2,0),"")</f>
        <v>Vũ Trung Kiên</v>
      </c>
      <c r="X97" s="353" t="str">
        <f>IFERROR(VLOOKUP(V97,'NS QUẢN LÝ CG'!$A$4:$D$36,4,0),"")</f>
        <v>Lô 73 ADM</v>
      </c>
      <c r="Y97" s="1104" t="str">
        <f>IFERROR(VLOOKUP(V97,'NS QUẢN LÝ CG'!$A$4:$C$36,3,0),"")</f>
        <v>0981761677</v>
      </c>
      <c r="Z97" s="731" t="str">
        <f>IFERROR(VLOOKUP(M97,'02. MM-KLH'!$B$6:$T$823,3,0),"")</f>
        <v>A23-MUI-014</v>
      </c>
      <c r="AA97" s="353" t="str">
        <f>_xlfn.SWITCH(LEFT(Z97,3),"A22","ADM","A23","DP","A24","LP","")</f>
        <v>DP</v>
      </c>
      <c r="AB97" s="731"/>
      <c r="AC97" s="731"/>
    </row>
    <row r="98" ht="13.8" spans="1:29">
      <c r="A98" s="731"/>
      <c r="B98" s="613" t="str">
        <f>IFERROR(VLOOKUP(M98,'02. MM-KLH'!$B$6:$T$823,6,0),"")</f>
        <v>Máy ủi KOMATSU D65P-12</v>
      </c>
      <c r="C98" s="353">
        <v>1</v>
      </c>
      <c r="D98" s="353" t="str">
        <f>IFERROR(VLOOKUP(M98,'02. MM-KLH'!$B$6:$T$823,16,0),"")</f>
        <v>D65P-12</v>
      </c>
      <c r="E98" s="353" t="s">
        <v>5978</v>
      </c>
      <c r="F98" s="353"/>
      <c r="G98" s="353"/>
      <c r="H98" s="353" t="str">
        <f>IFERROR(VLOOKUP(M98,'02. MM-KLH'!$B$6:$T$823,17,0),"")</f>
        <v>190HP</v>
      </c>
      <c r="I98" s="763">
        <f>IFERROR(VLOOKUP(M98,'02. MM-KLH'!$B$6:$U$823,20,0),"")</f>
        <v>14</v>
      </c>
      <c r="J98" s="613" t="str">
        <f>IFERROR(VLOOKUP(M98,'02. MM-KLH'!$B$6:$T$823,19,0),"")</f>
        <v>6D12554976</v>
      </c>
      <c r="K98" s="613" t="str">
        <f>IFERROR(VLOOKUP(M98,'02. MM-KLH'!$B$6:$T$823,18,0),"")</f>
        <v>D65P1260304</v>
      </c>
      <c r="L98" s="353">
        <f>IFERROR(VLOOKUP(M98,'02. MM-KLH'!$B$6:$T$823,4,0),"")</f>
        <v>0</v>
      </c>
      <c r="M98" s="49" t="s">
        <v>487</v>
      </c>
      <c r="N98" s="356">
        <f>IFERROR(VLOOKUP(M98,'02. MM-KLH'!$B$6:$T$823,15,0),"")</f>
        <v>1992</v>
      </c>
      <c r="O98" s="764">
        <f>IFERROR(VLOOKUP(M98,'02. MM-KLH'!$B$6:$T$823,9,0),"")</f>
        <v>44287</v>
      </c>
      <c r="P98" s="218"/>
      <c r="Q98" s="353" t="s">
        <v>1755</v>
      </c>
      <c r="R98" s="353"/>
      <c r="S98" s="353" t="s">
        <v>5978</v>
      </c>
      <c r="T98" s="353"/>
      <c r="U98" s="353" t="str">
        <f>IFERROR(VLOOKUP(M98,'02. MM-KLH'!$B$6:$T$823,5,0),"")</f>
        <v>ĐQSD</v>
      </c>
      <c r="V98" s="731" t="str">
        <f>IFERROR(VLOOKUP(M98,'02. MM-KLH'!$B$6:$T$823,8,0),"")</f>
        <v>CGTC DP</v>
      </c>
      <c r="W98" s="353" t="str">
        <f>IFERROR(VLOOKUP(V98,'NS QUẢN LÝ CG'!$A$4:$D$36,2,0),"")</f>
        <v>Phạm Ngọc Hải</v>
      </c>
      <c r="X98" s="353" t="str">
        <f>IFERROR(VLOOKUP(V98,'NS QUẢN LÝ CG'!$A$4:$D$36,4,0),"")</f>
        <v>Lô 85 DP4</v>
      </c>
      <c r="Y98" s="1104" t="str">
        <f>IFERROR(VLOOKUP(V98,'NS QUẢN LÝ CG'!$A$4:$C$36,3,0),"")</f>
        <v>0825456565</v>
      </c>
      <c r="Z98" s="731" t="str">
        <f>IFERROR(VLOOKUP(M98,'02. MM-KLH'!$B$6:$T$823,3,0),"")</f>
        <v>ATM-A22-0089</v>
      </c>
      <c r="AA98" s="353" t="s">
        <v>5980</v>
      </c>
      <c r="AB98" s="731"/>
      <c r="AC98" s="731"/>
    </row>
    <row r="99" spans="1:29">
      <c r="A99" s="731"/>
      <c r="B99" s="613" t="str">
        <f>IFERROR(VLOOKUP(M99,'02. MM-KLH'!$B$6:$T$823,6,0),"")</f>
        <v>Máy ủi KOMATSU D65PX-12</v>
      </c>
      <c r="C99" s="353">
        <v>1</v>
      </c>
      <c r="D99" s="353" t="str">
        <f>IFERROR(VLOOKUP(M99,'02. MM-KLH'!$B$6:$T$823,16,0),"")</f>
        <v>D65PX-12E</v>
      </c>
      <c r="E99" s="353" t="s">
        <v>5978</v>
      </c>
      <c r="F99" s="353"/>
      <c r="G99" s="353"/>
      <c r="H99" s="353" t="str">
        <f>IFERROR(VLOOKUP(M99,'02. MM-KLH'!$B$6:$T$823,17,0),"")</f>
        <v>205HP</v>
      </c>
      <c r="I99" s="763">
        <f>IFERROR(VLOOKUP(M99,'02. MM-KLH'!$B$6:$U$823,20,0),"")</f>
        <v>14</v>
      </c>
      <c r="J99" s="613" t="str">
        <f>IFERROR(VLOOKUP(M99,'02. MM-KLH'!$B$6:$T$823,19,0),"")</f>
        <v>6D12564712</v>
      </c>
      <c r="K99" s="613" t="str">
        <f>IFERROR(VLOOKUP(M99,'02. MM-KLH'!$B$6:$T$823,18,0),"")</f>
        <v>D60P1261177</v>
      </c>
      <c r="L99" s="353">
        <f>IFERROR(VLOOKUP(M99,'02. MM-KLH'!$B$6:$T$823,4,0),"")</f>
        <v>0</v>
      </c>
      <c r="M99" s="49" t="s">
        <v>827</v>
      </c>
      <c r="N99" s="356">
        <f>IFERROR(VLOOKUP(M99,'02. MM-KLH'!$B$6:$T$823,15,0),"")</f>
        <v>1996</v>
      </c>
      <c r="O99" s="764">
        <f>IFERROR(VLOOKUP(M99,'02. MM-KLH'!$B$6:$T$823,9,0),"")</f>
        <v>43841</v>
      </c>
      <c r="P99" s="218"/>
      <c r="Q99" s="765">
        <v>2871</v>
      </c>
      <c r="R99" s="353"/>
      <c r="S99" s="353" t="s">
        <v>5978</v>
      </c>
      <c r="T99" s="353"/>
      <c r="U99" s="353" t="str">
        <f>IFERROR(VLOOKUP(M99,'02. MM-KLH'!$B$6:$T$823,5,0),"")</f>
        <v>ĐQSD</v>
      </c>
      <c r="V99" s="731" t="str">
        <f>IFERROR(VLOOKUP(M99,'02. MM-KLH'!$B$6:$T$823,8,0),"")</f>
        <v>CGTC AD</v>
      </c>
      <c r="W99" s="353" t="str">
        <f>IFERROR(VLOOKUP(V99,'NS QUẢN LÝ CG'!$A$4:$D$36,2,0),"")</f>
        <v>Vũ Trung Kiên</v>
      </c>
      <c r="X99" s="353" t="str">
        <f>IFERROR(VLOOKUP(V99,'NS QUẢN LÝ CG'!$A$4:$D$36,4,0),"")</f>
        <v>Lô 73 ADM</v>
      </c>
      <c r="Y99" s="1104" t="str">
        <f>IFERROR(VLOOKUP(V99,'NS QUẢN LÝ CG'!$A$4:$C$36,3,0),"")</f>
        <v>0981761677</v>
      </c>
      <c r="Z99" s="731" t="str">
        <f>IFERROR(VLOOKUP(M99,'02. MM-KLH'!$B$6:$T$823,3,0),"")</f>
        <v>ATT-A22-0136</v>
      </c>
      <c r="AA99" s="353" t="s">
        <v>5980</v>
      </c>
      <c r="AB99" s="731"/>
      <c r="AC99" s="731"/>
    </row>
    <row r="100" ht="13.8" spans="1:29">
      <c r="A100" s="731"/>
      <c r="B100" s="613" t="str">
        <f>IFERROR(VLOOKUP(M100,'02. MM-KLH'!$B$6:$T$823,6,0),"")</f>
        <v/>
      </c>
      <c r="C100" s="353"/>
      <c r="D100" s="353" t="str">
        <f>IFERROR(VLOOKUP(M100,'02. MM-KLH'!$B$6:$T$823,16,0),"")</f>
        <v/>
      </c>
      <c r="E100" s="353"/>
      <c r="F100" s="353"/>
      <c r="G100" s="353"/>
      <c r="H100" s="353" t="str">
        <f>IFERROR(VLOOKUP(M100,'02. MM-KLH'!$B$6:$T$823,17,0),"")</f>
        <v/>
      </c>
      <c r="I100" s="763" t="str">
        <f>IFERROR(VLOOKUP(M100,'02. MM-KLH'!$B$6:$U$823,20,0),"")</f>
        <v/>
      </c>
      <c r="J100" s="613" t="str">
        <f>IFERROR(VLOOKUP(M100,'02. MM-KLH'!$B$6:$T$823,19,0),"")</f>
        <v/>
      </c>
      <c r="K100" s="613" t="str">
        <f>IFERROR(VLOOKUP(M100,'02. MM-KLH'!$B$6:$T$823,18,0),"")</f>
        <v/>
      </c>
      <c r="L100" s="353" t="str">
        <f>IFERROR(VLOOKUP(M100,'02. MM-KLH'!$B$6:$T$823,4,0),"")</f>
        <v/>
      </c>
      <c r="M100" s="353"/>
      <c r="N100" s="356" t="str">
        <f>IFERROR(VLOOKUP(M100,'02. MM-KLH'!$B$6:$T$823,15,0),"")</f>
        <v/>
      </c>
      <c r="O100" s="764" t="str">
        <f>IFERROR(VLOOKUP(M100,'02. MM-KLH'!$B$6:$T$823,9,0),"")</f>
        <v/>
      </c>
      <c r="P100" s="353"/>
      <c r="Q100" s="353"/>
      <c r="R100" s="353"/>
      <c r="S100" s="353"/>
      <c r="T100" s="353"/>
      <c r="U100" s="353" t="str">
        <f>IFERROR(VLOOKUP(M100,'02. MM-KLH'!$B$6:$T$823,2,0),"")</f>
        <v/>
      </c>
      <c r="V100" s="731" t="str">
        <f>IFERROR(VLOOKUP(M100,'02. MM-KLH'!$B$6:$T$823,8,0),"")</f>
        <v/>
      </c>
      <c r="W100" s="353" t="str">
        <f>IFERROR(VLOOKUP(V100,'NS QUẢN LÝ CG'!$A$4:$D$36,2,0),"")</f>
        <v/>
      </c>
      <c r="X100" s="353" t="str">
        <f>IFERROR(VLOOKUP(V100,'NS QUẢN LÝ CG'!$A$4:$D$36,4,0),"")</f>
        <v/>
      </c>
      <c r="Y100" s="353"/>
      <c r="Z100" s="731" t="str">
        <f>IFERROR(VLOOKUP(M100,'02. MM-KLH'!$B$6:$T$823,3,0),"")</f>
        <v/>
      </c>
      <c r="AA100" s="353"/>
      <c r="AB100" s="731"/>
      <c r="AC100" s="731"/>
    </row>
    <row r="101" ht="13.8" hidden="1" spans="1:29">
      <c r="A101" s="731"/>
      <c r="B101" s="613" t="str">
        <f>IFERROR(VLOOKUP(M101,'02. MM-KLH'!$B$6:$T$823,6,0),"")</f>
        <v/>
      </c>
      <c r="C101" s="353"/>
      <c r="D101" s="353" t="str">
        <f>IFERROR(VLOOKUP(M101,'02. MM-KLH'!$B$6:$T$823,16,0),"")</f>
        <v/>
      </c>
      <c r="E101" s="353"/>
      <c r="F101" s="353"/>
      <c r="G101" s="353"/>
      <c r="H101" s="353" t="str">
        <f>IFERROR(VLOOKUP(M101,'02. MM-KLH'!$B$6:$T$823,17,0),"")</f>
        <v/>
      </c>
      <c r="I101" s="763" t="str">
        <f>IFERROR(VLOOKUP(M101,'02. MM-KLH'!$B$6:$U$823,20,0),"")</f>
        <v/>
      </c>
      <c r="J101" s="613" t="str">
        <f>IFERROR(VLOOKUP(M101,'02. MM-KLH'!$B$6:$T$823,19,0),"")</f>
        <v/>
      </c>
      <c r="K101" s="613" t="str">
        <f>IFERROR(VLOOKUP(M101,'02. MM-KLH'!$B$6:$T$823,18,0),"")</f>
        <v/>
      </c>
      <c r="L101" s="353" t="str">
        <f>IFERROR(VLOOKUP(M101,'02. MM-KLH'!$B$6:$T$823,4,0),"")</f>
        <v/>
      </c>
      <c r="M101" s="353"/>
      <c r="N101" s="356" t="str">
        <f>IFERROR(VLOOKUP(M101,'02. MM-KLH'!$B$6:$T$823,15,0),"")</f>
        <v/>
      </c>
      <c r="O101" s="764" t="str">
        <f>IFERROR(VLOOKUP(M101,'02. MM-KLH'!$B$6:$T$823,9,0),"")</f>
        <v/>
      </c>
      <c r="P101" s="353"/>
      <c r="Q101" s="353"/>
      <c r="R101" s="353"/>
      <c r="S101" s="353"/>
      <c r="T101" s="353"/>
      <c r="U101" s="353" t="str">
        <f>IFERROR(VLOOKUP(M101,'02. MM-KLH'!$B$6:$T$823,2,0),"")</f>
        <v/>
      </c>
      <c r="V101" s="731" t="str">
        <f>IFERROR(VLOOKUP(M101,'02. MM-KLH'!$B$6:$T$823,8,0),"")</f>
        <v/>
      </c>
      <c r="W101" s="353"/>
      <c r="X101" s="353"/>
      <c r="Y101" s="353"/>
      <c r="Z101" s="731" t="str">
        <f>IFERROR(VLOOKUP(M101,'02. MM-KLH'!$B$6:$T$823,3,0),"")</f>
        <v/>
      </c>
      <c r="AA101" s="353"/>
      <c r="AB101" s="731"/>
      <c r="AC101" s="731"/>
    </row>
    <row r="102" ht="13.8" hidden="1" spans="1:29">
      <c r="A102" s="731"/>
      <c r="B102" s="613" t="str">
        <f>IFERROR(VLOOKUP(M102,'02. MM-KLH'!$B$6:$T$823,6,0),"")</f>
        <v/>
      </c>
      <c r="C102" s="353"/>
      <c r="D102" s="353" t="str">
        <f>IFERROR(VLOOKUP(M102,'02. MM-KLH'!$B$6:$T$823,16,0),"")</f>
        <v/>
      </c>
      <c r="E102" s="353"/>
      <c r="F102" s="353"/>
      <c r="G102" s="353"/>
      <c r="H102" s="353" t="str">
        <f>IFERROR(VLOOKUP(M102,'02. MM-KLH'!$B$6:$T$823,17,0),"")</f>
        <v/>
      </c>
      <c r="I102" s="763" t="str">
        <f>IFERROR(VLOOKUP(M102,'02. MM-KLH'!$B$6:$U$823,20,0),"")</f>
        <v/>
      </c>
      <c r="J102" s="613" t="str">
        <f>IFERROR(VLOOKUP(M102,'02. MM-KLH'!$B$6:$T$823,19,0),"")</f>
        <v/>
      </c>
      <c r="K102" s="613" t="str">
        <f>IFERROR(VLOOKUP(M102,'02. MM-KLH'!$B$6:$T$823,18,0),"")</f>
        <v/>
      </c>
      <c r="L102" s="353" t="str">
        <f>IFERROR(VLOOKUP(M102,'02. MM-KLH'!$B$6:$T$823,4,0),"")</f>
        <v/>
      </c>
      <c r="M102" s="353"/>
      <c r="N102" s="356" t="str">
        <f>IFERROR(VLOOKUP(M102,'02. MM-KLH'!$B$6:$T$823,15,0),"")</f>
        <v/>
      </c>
      <c r="O102" s="764" t="str">
        <f>IFERROR(VLOOKUP(M102,'02. MM-KLH'!$B$6:$T$823,9,0),"")</f>
        <v/>
      </c>
      <c r="P102" s="353"/>
      <c r="Q102" s="353"/>
      <c r="R102" s="353"/>
      <c r="S102" s="353"/>
      <c r="T102" s="353"/>
      <c r="U102" s="353" t="str">
        <f>IFERROR(VLOOKUP(M102,'02. MM-KLH'!$B$6:$T$823,2,0),"")</f>
        <v/>
      </c>
      <c r="V102" s="731" t="str">
        <f>IFERROR(VLOOKUP(M102,'02. MM-KLH'!$B$6:$T$823,8,0),"")</f>
        <v/>
      </c>
      <c r="W102" s="353"/>
      <c r="X102" s="353"/>
      <c r="Y102" s="353"/>
      <c r="Z102" s="731" t="str">
        <f>IFERROR(VLOOKUP(M102,'02. MM-KLH'!$B$6:$T$823,3,0),"")</f>
        <v/>
      </c>
      <c r="AA102" s="353"/>
      <c r="AB102" s="731"/>
      <c r="AC102" s="731"/>
    </row>
    <row r="103" spans="1:29">
      <c r="A103" s="747" t="s">
        <v>3335</v>
      </c>
      <c r="B103" s="748" t="s">
        <v>3319</v>
      </c>
      <c r="C103" s="747">
        <f>SUM(C104,C117)</f>
        <v>13</v>
      </c>
      <c r="D103" s="749"/>
      <c r="E103" s="749"/>
      <c r="F103" s="749"/>
      <c r="G103" s="749"/>
      <c r="H103" s="749"/>
      <c r="I103" s="750"/>
      <c r="J103" s="751"/>
      <c r="K103" s="751"/>
      <c r="L103" s="749"/>
      <c r="M103" s="749"/>
      <c r="N103" s="749"/>
      <c r="O103" s="752"/>
      <c r="P103" s="749"/>
      <c r="Q103" s="749"/>
      <c r="R103" s="749"/>
      <c r="S103" s="749"/>
      <c r="T103" s="749"/>
      <c r="U103" s="749"/>
      <c r="V103" s="750"/>
      <c r="W103" s="749"/>
      <c r="X103" s="749"/>
      <c r="Y103" s="749"/>
      <c r="Z103" s="750"/>
      <c r="AA103" s="749"/>
      <c r="AB103" s="750"/>
      <c r="AC103" s="753"/>
    </row>
    <row r="104" ht="13.8" spans="1:29">
      <c r="A104" s="754">
        <v>1</v>
      </c>
      <c r="B104" s="755" t="s">
        <v>530</v>
      </c>
      <c r="C104" s="754">
        <f>COUNTA(B105:B116)</f>
        <v>9</v>
      </c>
      <c r="D104" s="756"/>
      <c r="E104" s="756"/>
      <c r="F104" s="756"/>
      <c r="G104" s="756"/>
      <c r="H104" s="756"/>
      <c r="I104" s="757"/>
      <c r="J104" s="758"/>
      <c r="K104" s="758"/>
      <c r="L104" s="756"/>
      <c r="M104" s="759"/>
      <c r="N104" s="756"/>
      <c r="O104" s="760"/>
      <c r="P104" s="756"/>
      <c r="Q104" s="756"/>
      <c r="R104" s="756"/>
      <c r="S104" s="756"/>
      <c r="T104" s="756"/>
      <c r="U104" s="756"/>
      <c r="V104" s="761"/>
      <c r="W104" s="756"/>
      <c r="X104" s="756"/>
      <c r="Y104" s="756"/>
      <c r="Z104" s="761"/>
      <c r="AA104" s="756"/>
      <c r="AB104" s="761"/>
      <c r="AC104" s="762"/>
    </row>
    <row r="105" ht="13.8" spans="1:29">
      <c r="A105" s="731"/>
      <c r="B105" s="613" t="str">
        <f>IFERROR(VLOOKUP(M105,'02. MM-KLH'!$B$6:$T$823,6,0),"")</f>
        <v>Xe lu rung SV521DH 11 tấn</v>
      </c>
      <c r="C105" s="353">
        <v>1</v>
      </c>
      <c r="D105" s="353" t="str">
        <f>IFERROR(VLOOKUP(M105,'02. MM-KLH'!$B$6:$T$823,16,0),"")</f>
        <v>SV521DH</v>
      </c>
      <c r="E105" s="353" t="s">
        <v>5978</v>
      </c>
      <c r="F105" s="353"/>
      <c r="G105" s="353"/>
      <c r="H105" s="353" t="str">
        <f>IFERROR(VLOOKUP(M105,'02. MM-KLH'!$B$6:$T$823,17,0),"")</f>
        <v>112HP</v>
      </c>
      <c r="I105" s="763">
        <f>IFERROR(VLOOKUP(M105,'02. MM-KLH'!$B$6:$U$823,20,0),"")</f>
        <v>7</v>
      </c>
      <c r="J105" s="613" t="str">
        <f>IFERROR(VLOOKUP(M105,'02. MM-KLH'!$B$6:$T$823,19,0),"")</f>
        <v>CCN</v>
      </c>
      <c r="K105" s="613" t="str">
        <f>IFERROR(VLOOKUP(M105,'02. MM-KLH'!$B$6:$T$823,18,0),"")</f>
        <v>2SV6610202</v>
      </c>
      <c r="L105" s="353">
        <f>IFERROR(VLOOKUP(M105,'02. MM-KLH'!$B$6:$T$823,4,0),"")</f>
        <v>0</v>
      </c>
      <c r="M105" s="19" t="s">
        <v>529</v>
      </c>
      <c r="N105" s="356">
        <f>IFERROR(VLOOKUP(M105,'02. MM-KLH'!$B$6:$T$823,15,0),"")</f>
        <v>2006</v>
      </c>
      <c r="O105" s="764">
        <f>IFERROR(VLOOKUP(M105,'02. MM-KLH'!$B$6:$T$823,9,0),"")</f>
        <v>43835</v>
      </c>
      <c r="P105" s="353"/>
      <c r="Q105" s="353">
        <v>12094</v>
      </c>
      <c r="R105" s="353" t="s">
        <v>5978</v>
      </c>
      <c r="S105" s="353"/>
      <c r="T105" s="353"/>
      <c r="U105" s="353" t="str">
        <f>IFERROR(VLOOKUP(M105,'02. MM-KLH'!$B$6:$T$823,5,0),"")</f>
        <v>ĐQSD</v>
      </c>
      <c r="V105" s="731" t="str">
        <f>IFERROR(VLOOKUP(M105,'02. MM-KLH'!$B$6:$T$823,8,0),"")</f>
        <v>CGTC DP</v>
      </c>
      <c r="W105" s="353" t="str">
        <f>IFERROR(VLOOKUP(V105,'NS QUẢN LÝ CG'!$A$4:$D$36,2,0),"")</f>
        <v>Phạm Ngọc Hải</v>
      </c>
      <c r="X105" s="353" t="str">
        <f>IFERROR(VLOOKUP(V105,'NS QUẢN LÝ CG'!$A$4:$D$36,4,0),"")</f>
        <v>Lô 85 DP4</v>
      </c>
      <c r="Y105" s="1104" t="str">
        <f>IFERROR(VLOOKUP(V105,'NS QUẢN LÝ CG'!$A$4:$C$36,3,0),"")</f>
        <v>0825456565</v>
      </c>
      <c r="Z105" s="731" t="str">
        <f>IFERROR(VLOOKUP(M105,'02. MM-KLH'!$B$6:$T$823,3,0),"")</f>
        <v>ATT-A23-0026</v>
      </c>
      <c r="AA105" s="353" t="s">
        <v>5979</v>
      </c>
      <c r="AB105" s="731"/>
      <c r="AC105" s="731"/>
    </row>
    <row r="106" ht="13.8" spans="1:29">
      <c r="A106" s="731"/>
      <c r="B106" s="613" t="str">
        <f>IFERROR(VLOOKUP(M106,'02. MM-KLH'!$B$6:$T$823,6,0),"")</f>
        <v>Xe lu tĩnh R2 10 tấn</v>
      </c>
      <c r="C106" s="353">
        <v>1</v>
      </c>
      <c r="D106" s="353" t="str">
        <f>IFERROR(VLOOKUP(M106,'02. MM-KLH'!$B$6:$T$823,16,0),"")</f>
        <v>R2S</v>
      </c>
      <c r="E106" s="353" t="s">
        <v>5978</v>
      </c>
      <c r="F106" s="353"/>
      <c r="G106" s="353"/>
      <c r="H106" s="353" t="str">
        <f>IFERROR(VLOOKUP(M106,'02. MM-KLH'!$B$6:$T$823,17,0),"")</f>
        <v>74HP</v>
      </c>
      <c r="I106" s="763">
        <f>IFERROR(VLOOKUP(M106,'02. MM-KLH'!$B$6:$U$823,20,0),"")</f>
        <v>4</v>
      </c>
      <c r="J106" s="613" t="str">
        <f>IFERROR(VLOOKUP(M106,'02. MM-KLH'!$B$6:$T$823,19,0),"")</f>
        <v>W04DA26254</v>
      </c>
      <c r="K106" s="613" t="str">
        <f>IFERROR(VLOOKUP(M106,'02. MM-KLH'!$B$6:$T$823,18,0),"")</f>
        <v>RR211446</v>
      </c>
      <c r="L106" s="353">
        <f>IFERROR(VLOOKUP(M106,'02. MM-KLH'!$B$6:$T$823,4,0),"")</f>
        <v>0</v>
      </c>
      <c r="M106" s="19" t="s">
        <v>533</v>
      </c>
      <c r="N106" s="356">
        <f>IFERROR(VLOOKUP(M106,'02. MM-KLH'!$B$6:$T$823,15,0),"")</f>
        <v>1990</v>
      </c>
      <c r="O106" s="764">
        <f>IFERROR(VLOOKUP(M106,'02. MM-KLH'!$B$6:$T$823,9,0),"")</f>
        <v>44136</v>
      </c>
      <c r="P106" s="353"/>
      <c r="Q106" s="353" t="s">
        <v>1755</v>
      </c>
      <c r="R106" s="353" t="s">
        <v>5978</v>
      </c>
      <c r="S106" s="353"/>
      <c r="T106" s="353"/>
      <c r="U106" s="353" t="str">
        <f>IFERROR(VLOOKUP(M106,'02. MM-KLH'!$B$6:$T$823,5,0),"")</f>
        <v>ĐQSD</v>
      </c>
      <c r="V106" s="731" t="str">
        <f>IFERROR(VLOOKUP(M106,'02. MM-KLH'!$B$6:$T$823,8,0),"")</f>
        <v>CGTC DP</v>
      </c>
      <c r="W106" s="353" t="str">
        <f>IFERROR(VLOOKUP(V106,'NS QUẢN LÝ CG'!$A$4:$D$36,2,0),"")</f>
        <v>Phạm Ngọc Hải</v>
      </c>
      <c r="X106" s="353" t="str">
        <f>IFERROR(VLOOKUP(V106,'NS QUẢN LÝ CG'!$A$4:$D$36,4,0),"")</f>
        <v>Lô 85 DP4</v>
      </c>
      <c r="Y106" s="1104" t="str">
        <f>IFERROR(VLOOKUP(V106,'NS QUẢN LÝ CG'!$A$4:$C$36,3,0),"")</f>
        <v>0825456565</v>
      </c>
      <c r="Z106" s="731" t="str">
        <f>IFERROR(VLOOKUP(M106,'02. MM-KLH'!$B$6:$T$823,3,0),"")</f>
        <v>ATT-A22-0153</v>
      </c>
      <c r="AA106" s="353" t="s">
        <v>5980</v>
      </c>
      <c r="AB106" s="731"/>
      <c r="AC106" s="731"/>
    </row>
    <row r="107" ht="13.8" spans="1:29">
      <c r="A107" s="731"/>
      <c r="B107" s="613" t="str">
        <f>IFERROR(VLOOKUP(M107,'02. MM-KLH'!$B$6:$T$823,6,0),"")</f>
        <v>Xe lu rung SV521DH 11 tấn</v>
      </c>
      <c r="C107" s="353">
        <v>1</v>
      </c>
      <c r="D107" s="353" t="str">
        <f>IFERROR(VLOOKUP(M107,'02. MM-KLH'!$B$6:$T$823,16,0),"")</f>
        <v>SV521DH</v>
      </c>
      <c r="E107" s="353" t="s">
        <v>5978</v>
      </c>
      <c r="F107" s="353"/>
      <c r="G107" s="353"/>
      <c r="H107" s="353" t="str">
        <f>IFERROR(VLOOKUP(M107,'02. MM-KLH'!$B$6:$T$823,17,0),"")</f>
        <v>112HP</v>
      </c>
      <c r="I107" s="763">
        <f>IFERROR(VLOOKUP(M107,'02. MM-KLH'!$B$6:$U$823,20,0),"")</f>
        <v>7</v>
      </c>
      <c r="J107" s="613">
        <f>IFERROR(VLOOKUP(M107,'02. MM-KLH'!$B$6:$T$823,19,0),"")</f>
        <v>133243</v>
      </c>
      <c r="K107" s="613" t="str">
        <f>IFERROR(VLOOKUP(M107,'02. MM-KLH'!$B$6:$T$823,18,0),"")</f>
        <v>2SV6610477</v>
      </c>
      <c r="L107" s="353">
        <f>IFERROR(VLOOKUP(M107,'02. MM-KLH'!$B$6:$T$823,4,0),"")</f>
        <v>0</v>
      </c>
      <c r="M107" s="19" t="s">
        <v>709</v>
      </c>
      <c r="N107" s="356">
        <f>IFERROR(VLOOKUP(M107,'02. MM-KLH'!$B$6:$T$823,15,0),"")</f>
        <v>2020</v>
      </c>
      <c r="O107" s="764">
        <f>IFERROR(VLOOKUP(M107,'02. MM-KLH'!$B$6:$T$823,9,0),"")</f>
        <v>44197</v>
      </c>
      <c r="P107" s="353"/>
      <c r="Q107" s="353" t="s">
        <v>1755</v>
      </c>
      <c r="R107" s="353" t="s">
        <v>5978</v>
      </c>
      <c r="S107" s="353"/>
      <c r="T107" s="353"/>
      <c r="U107" s="353" t="str">
        <f>IFERROR(VLOOKUP(M107,'02. MM-KLH'!$B$6:$T$823,5,0),"")</f>
        <v>ĐQSD</v>
      </c>
      <c r="V107" s="731" t="str">
        <f>IFERROR(VLOOKUP(M107,'02. MM-KLH'!$B$6:$T$823,8,0),"")</f>
        <v>CGTC LP</v>
      </c>
      <c r="W107" s="353" t="str">
        <f>IFERROR(VLOOKUP(V107,'NS QUẢN LÝ CG'!$A$4:$D$36,2,0),"")</f>
        <v>Đỗ Đức Nghĩa</v>
      </c>
      <c r="X107" s="353" t="str">
        <f>IFERROR(VLOOKUP(V107,'NS QUẢN LÝ CG'!$A$4:$D$36,4,0),"")</f>
        <v>NOCN L.4-LP3</v>
      </c>
      <c r="Y107" s="1104" t="str">
        <f>IFERROR(VLOOKUP(V107,'NS QUẢN LÝ CG'!$A$4:$C$36,3,0),"")</f>
        <v>0971462780</v>
      </c>
      <c r="Z107" s="731" t="str">
        <f>IFERROR(VLOOKUP(M107,'02. MM-KLH'!$B$6:$T$823,3,0),"")</f>
        <v>ATT-A24-0057</v>
      </c>
      <c r="AA107" s="353" t="s">
        <v>5981</v>
      </c>
      <c r="AB107" s="731"/>
      <c r="AC107" s="731"/>
    </row>
    <row r="108" ht="13.8" spans="1:29">
      <c r="A108" s="731"/>
      <c r="B108" s="613" t="str">
        <f>IFERROR(VLOOKUP(M108,'02. MM-KLH'!$B$6:$T$823,6,0),"")</f>
        <v>Xe lu tĩnh R2 10 tấn</v>
      </c>
      <c r="C108" s="353">
        <v>1</v>
      </c>
      <c r="D108" s="353" t="str">
        <f>IFERROR(VLOOKUP(M108,'02. MM-KLH'!$B$6:$T$823,16,0),"")</f>
        <v>R2</v>
      </c>
      <c r="E108" s="353" t="s">
        <v>5978</v>
      </c>
      <c r="F108" s="353"/>
      <c r="G108" s="353"/>
      <c r="H108" s="353" t="str">
        <f>IFERROR(VLOOKUP(M108,'02. MM-KLH'!$B$6:$T$823,17,0),"")</f>
        <v>74HP</v>
      </c>
      <c r="I108" s="763">
        <f>IFERROR(VLOOKUP(M108,'02. MM-KLH'!$B$6:$U$823,20,0),"")</f>
        <v>4</v>
      </c>
      <c r="J108" s="613" t="str">
        <f>IFERROR(VLOOKUP(M108,'02. MM-KLH'!$B$6:$T$823,19,0),"")</f>
        <v>W04DF15218</v>
      </c>
      <c r="K108" s="613" t="str">
        <f>IFERROR(VLOOKUP(M108,'02. MM-KLH'!$B$6:$T$823,18,0),"")</f>
        <v>RR321551</v>
      </c>
      <c r="L108" s="353">
        <f>IFERROR(VLOOKUP(M108,'02. MM-KLH'!$B$6:$T$823,4,0),"")</f>
        <v>0</v>
      </c>
      <c r="M108" s="19" t="s">
        <v>712</v>
      </c>
      <c r="N108" s="356">
        <f>IFERROR(VLOOKUP(M108,'02. MM-KLH'!$B$6:$T$823,15,0),"")</f>
        <v>2000</v>
      </c>
      <c r="O108" s="764">
        <f>IFERROR(VLOOKUP(M108,'02. MM-KLH'!$B$6:$T$823,9,0),"")</f>
        <v>44197</v>
      </c>
      <c r="P108" s="353"/>
      <c r="Q108" s="353" t="s">
        <v>1755</v>
      </c>
      <c r="R108" s="353"/>
      <c r="S108" s="353"/>
      <c r="T108" s="353" t="s">
        <v>5978</v>
      </c>
      <c r="U108" s="353" t="str">
        <f>IFERROR(VLOOKUP(M108,'02. MM-KLH'!$B$6:$T$823,5,0),"")</f>
        <v>ĐQSD</v>
      </c>
      <c r="V108" s="731" t="str">
        <f>IFERROR(VLOOKUP(M108,'02. MM-KLH'!$B$6:$T$823,8,0),"")</f>
        <v>CGTC LP</v>
      </c>
      <c r="W108" s="353" t="str">
        <f>IFERROR(VLOOKUP(V108,'NS QUẢN LÝ CG'!$A$4:$D$36,2,0),"")</f>
        <v>Đỗ Đức Nghĩa</v>
      </c>
      <c r="X108" s="353" t="str">
        <f>IFERROR(VLOOKUP(V108,'NS QUẢN LÝ CG'!$A$4:$D$36,4,0),"")</f>
        <v>NOCN L.4-LP3</v>
      </c>
      <c r="Y108" s="1104" t="str">
        <f>IFERROR(VLOOKUP(V108,'NS QUẢN LÝ CG'!$A$4:$C$36,3,0),"")</f>
        <v>0971462780</v>
      </c>
      <c r="Z108" s="731" t="str">
        <f>IFERROR(VLOOKUP(M108,'02. MM-KLH'!$B$6:$T$823,3,0),"")</f>
        <v>ATT-A24-0058</v>
      </c>
      <c r="AA108" s="353" t="s">
        <v>5981</v>
      </c>
      <c r="AB108" s="731"/>
      <c r="AC108" s="731"/>
    </row>
    <row r="109" ht="13.8" spans="1:29">
      <c r="A109" s="731"/>
      <c r="B109" s="613" t="str">
        <f>IFERROR(VLOOKUP(M109,'02. MM-KLH'!$B$6:$T$823,6,0),"")</f>
        <v>Xe lu rung Sakai 3.5 tấn</v>
      </c>
      <c r="C109" s="353">
        <v>1</v>
      </c>
      <c r="D109" s="353" t="str">
        <f>IFERROR(VLOOKUP(M109,'02. MM-KLH'!$B$6:$T$823,16,0),"")</f>
        <v>TW500W‑1</v>
      </c>
      <c r="E109" s="353" t="s">
        <v>5978</v>
      </c>
      <c r="F109" s="353"/>
      <c r="G109" s="353"/>
      <c r="H109" s="353" t="str">
        <f>IFERROR(VLOOKUP(M109,'02. MM-KLH'!$B$6:$T$823,17,0),"")</f>
        <v>39HP</v>
      </c>
      <c r="I109" s="763">
        <f>IFERROR(VLOOKUP(M109,'02. MM-KLH'!$B$6:$U$823,20,0),"")</f>
        <v>2.5</v>
      </c>
      <c r="J109" s="613">
        <f>IFERROR(VLOOKUP(M109,'02. MM-KLH'!$B$6:$T$823,19,0),"")</f>
        <v>166376</v>
      </c>
      <c r="K109" s="613" t="str">
        <f>IFERROR(VLOOKUP(M109,'02. MM-KLH'!$B$6:$T$823,18,0),"")</f>
        <v>VTW1521818</v>
      </c>
      <c r="L109" s="353">
        <f>IFERROR(VLOOKUP(M109,'02. MM-KLH'!$B$6:$T$823,4,0),"")</f>
        <v>0</v>
      </c>
      <c r="M109" s="19" t="s">
        <v>797</v>
      </c>
      <c r="N109" s="356">
        <f>IFERROR(VLOOKUP(M109,'02. MM-KLH'!$B$6:$T$823,15,0),"")</f>
        <v>2004</v>
      </c>
      <c r="O109" s="764" t="str">
        <f>IFERROR(VLOOKUP(M109,'02. MM-KLH'!$B$6:$T$823,9,0),"")</f>
        <v>26/07/2025</v>
      </c>
      <c r="P109" s="353"/>
      <c r="Q109" s="353" t="s">
        <v>1755</v>
      </c>
      <c r="R109" s="353"/>
      <c r="S109" s="353"/>
      <c r="T109" s="353"/>
      <c r="U109" s="353" t="str">
        <f>IFERROR(VLOOKUP(M109,'02. MM-KLH'!$B$6:$T$823,5,0),"")</f>
        <v>MỚI (ĐQSD)</v>
      </c>
      <c r="V109" s="731" t="str">
        <f>IFERROR(VLOOKUP(M109,'02. MM-KLH'!$B$6:$T$823,8,0),"")</f>
        <v>CGTC LP</v>
      </c>
      <c r="W109" s="353" t="str">
        <f>IFERROR(VLOOKUP(V109,'NS QUẢN LÝ CG'!$A$4:$D$36,2,0),"")</f>
        <v>Đỗ Đức Nghĩa</v>
      </c>
      <c r="X109" s="353" t="str">
        <f>IFERROR(VLOOKUP(V109,'NS QUẢN LÝ CG'!$A$4:$D$36,4,0),"")</f>
        <v>NOCN L.4-LP3</v>
      </c>
      <c r="Y109" s="1104" t="str">
        <f>IFERROR(VLOOKUP(V109,'NS QUẢN LÝ CG'!$A$4:$C$36,3,0),"")</f>
        <v>0971462780</v>
      </c>
      <c r="Z109" s="731" t="str">
        <f>IFERROR(VLOOKUP(M109,'02. MM-KLH'!$B$6:$T$823,3,0),"")</f>
        <v>A24-XLU-008</v>
      </c>
      <c r="AA109" s="353" t="str">
        <f>_xlfn.SWITCH(LEFT(Z109,3),"A22","ADM","A23","DP","A24","LP","")</f>
        <v>LP</v>
      </c>
      <c r="AB109" s="731"/>
      <c r="AC109" s="731"/>
    </row>
    <row r="110" ht="13.8" spans="1:29">
      <c r="A110" s="731"/>
      <c r="B110" s="613" t="str">
        <f>IFERROR(VLOOKUP(M110,'02. MM-KLH'!$B$6:$T$823,6,0),"")</f>
        <v>Xe lu tĩnh R2 10 tấn</v>
      </c>
      <c r="C110" s="353">
        <v>1</v>
      </c>
      <c r="D110" s="353" t="str">
        <f>IFERROR(VLOOKUP(M110,'02. MM-KLH'!$B$6:$T$823,16,0),"")</f>
        <v>R2H</v>
      </c>
      <c r="E110" s="353" t="s">
        <v>5978</v>
      </c>
      <c r="F110" s="353"/>
      <c r="G110" s="353"/>
      <c r="H110" s="353" t="str">
        <f>IFERROR(VLOOKUP(M110,'02. MM-KLH'!$B$6:$T$823,17,0),"")</f>
        <v>74HP</v>
      </c>
      <c r="I110" s="763">
        <f>IFERROR(VLOOKUP(M110,'02. MM-KLH'!$B$6:$U$823,20,0),"")</f>
        <v>4</v>
      </c>
      <c r="J110" s="613" t="str">
        <f>IFERROR(VLOOKUP(M110,'02. MM-KLH'!$B$6:$T$823,19,0),"")</f>
        <v>W04DF11156</v>
      </c>
      <c r="K110" s="613" t="str">
        <f>IFERROR(VLOOKUP(M110,'02. MM-KLH'!$B$6:$T$823,18,0),"")</f>
        <v>RR321002</v>
      </c>
      <c r="L110" s="353">
        <f>IFERROR(VLOOKUP(M110,'02. MM-KLH'!$B$6:$T$823,4,0),"")</f>
        <v>0</v>
      </c>
      <c r="M110" s="19" t="s">
        <v>847</v>
      </c>
      <c r="N110" s="356">
        <f>IFERROR(VLOOKUP(M110,'02. MM-KLH'!$B$6:$T$823,15,0),"")</f>
        <v>1997</v>
      </c>
      <c r="O110" s="764">
        <f>IFERROR(VLOOKUP(M110,'02. MM-KLH'!$B$6:$T$823,9,0),"")</f>
        <v>44136</v>
      </c>
      <c r="P110" s="353"/>
      <c r="Q110" s="353" t="s">
        <v>1755</v>
      </c>
      <c r="R110" s="353"/>
      <c r="S110" s="353"/>
      <c r="T110" s="353" t="s">
        <v>5978</v>
      </c>
      <c r="U110" s="353" t="str">
        <f>IFERROR(VLOOKUP(M110,'02. MM-KLH'!$B$6:$T$823,5,0),"")</f>
        <v>ĐQSD</v>
      </c>
      <c r="V110" s="731" t="str">
        <f>IFERROR(VLOOKUP(M110,'02. MM-KLH'!$B$6:$T$823,8,0),"")</f>
        <v>CGTC AD</v>
      </c>
      <c r="W110" s="353" t="str">
        <f>IFERROR(VLOOKUP(V110,'NS QUẢN LÝ CG'!$A$4:$D$36,2,0),"")</f>
        <v>Vũ Trung Kiên</v>
      </c>
      <c r="X110" s="353" t="str">
        <f>IFERROR(VLOOKUP(V110,'NS QUẢN LÝ CG'!$A$4:$D$36,4,0),"")</f>
        <v>Lô 73 ADM</v>
      </c>
      <c r="Y110" s="1104" t="str">
        <f>IFERROR(VLOOKUP(V110,'NS QUẢN LÝ CG'!$A$4:$C$36,3,0),"")</f>
        <v>0981761677</v>
      </c>
      <c r="Z110" s="731" t="str">
        <f>IFERROR(VLOOKUP(M110,'02. MM-KLH'!$B$6:$T$823,3,0),"")</f>
        <v>ATT-A22-0152</v>
      </c>
      <c r="AA110" s="353" t="s">
        <v>5980</v>
      </c>
      <c r="AB110" s="731"/>
      <c r="AC110" s="731"/>
    </row>
    <row r="111" spans="1:29">
      <c r="A111" s="731"/>
      <c r="B111" s="613" t="str">
        <f>IFERROR(VLOOKUP(M111,'02. MM-KLH'!$B$6:$T$823,6,0),"")</f>
        <v>Xe lu rung SV521DH 11 tấn</v>
      </c>
      <c r="C111" s="353">
        <v>1</v>
      </c>
      <c r="D111" s="353" t="str">
        <f>IFERROR(VLOOKUP(M111,'02. MM-KLH'!$B$6:$T$823,16,0),"")</f>
        <v>SV521DH</v>
      </c>
      <c r="E111" s="353" t="s">
        <v>5978</v>
      </c>
      <c r="F111" s="353"/>
      <c r="G111" s="353"/>
      <c r="H111" s="353" t="str">
        <f>IFERROR(VLOOKUP(M111,'02. MM-KLH'!$B$6:$T$823,17,0),"")</f>
        <v>113HP</v>
      </c>
      <c r="I111" s="763">
        <f>IFERROR(VLOOKUP(M111,'02. MM-KLH'!$B$6:$U$823,20,0),"")</f>
        <v>7</v>
      </c>
      <c r="J111" s="613">
        <f>IFERROR(VLOOKUP(M111,'02. MM-KLH'!$B$6:$T$823,19,0),"")</f>
        <v>133945</v>
      </c>
      <c r="K111" s="613" t="str">
        <f>IFERROR(VLOOKUP(M111,'02. MM-KLH'!$B$6:$T$823,18,0),"")</f>
        <v>2SV6610527</v>
      </c>
      <c r="L111" s="353">
        <f>IFERROR(VLOOKUP(M111,'02. MM-KLH'!$B$6:$T$823,4,0),"")</f>
        <v>0</v>
      </c>
      <c r="M111" s="19" t="s">
        <v>851</v>
      </c>
      <c r="N111" s="356">
        <f>IFERROR(VLOOKUP(M111,'02. MM-KLH'!$B$6:$T$823,15,0),"")</f>
        <v>2020</v>
      </c>
      <c r="O111" s="764">
        <f>IFERROR(VLOOKUP(M111,'02. MM-KLH'!$B$6:$T$823,9,0),"")</f>
        <v>44287</v>
      </c>
      <c r="Q111" s="765">
        <v>10865</v>
      </c>
      <c r="R111" s="353" t="s">
        <v>5978</v>
      </c>
      <c r="S111" s="353"/>
      <c r="T111" s="353"/>
      <c r="U111" s="353" t="str">
        <f>IFERROR(VLOOKUP(M111,'02. MM-KLH'!$B$6:$T$823,5,0),"")</f>
        <v>ĐQSD</v>
      </c>
      <c r="V111" s="731" t="str">
        <f>IFERROR(VLOOKUP(M111,'02. MM-KLH'!$B$6:$T$823,8,0),"")</f>
        <v>CGTC AD</v>
      </c>
      <c r="W111" s="353" t="str">
        <f>IFERROR(VLOOKUP(V111,'NS QUẢN LÝ CG'!$A$4:$D$36,2,0),"")</f>
        <v>Vũ Trung Kiên</v>
      </c>
      <c r="X111" s="353" t="str">
        <f>IFERROR(VLOOKUP(V111,'NS QUẢN LÝ CG'!$A$4:$D$36,4,0),"")</f>
        <v>Lô 73 ADM</v>
      </c>
      <c r="Y111" s="1104" t="str">
        <f>IFERROR(VLOOKUP(V111,'NS QUẢN LÝ CG'!$A$4:$C$36,3,0),"")</f>
        <v>0981761677</v>
      </c>
      <c r="Z111" s="731" t="str">
        <f>IFERROR(VLOOKUP(M111,'02. MM-KLH'!$B$6:$T$823,3,0),"")</f>
        <v>ATM-A22-0090</v>
      </c>
      <c r="AA111" s="353" t="s">
        <v>5980</v>
      </c>
      <c r="AB111" s="731"/>
      <c r="AC111" s="731"/>
    </row>
    <row r="112" ht="13.8" spans="1:29">
      <c r="A112" s="731"/>
      <c r="B112" s="613" t="str">
        <f>IFERROR(VLOOKUP(M112,'02. MM-KLH'!$B$6:$T$823,6,0),"")</f>
        <v>Xe lu rung Sakai 3.5 tấn</v>
      </c>
      <c r="C112" s="353">
        <v>1</v>
      </c>
      <c r="D112" s="353" t="str">
        <f>IFERROR(VLOOKUP(M112,'02. MM-KLH'!$B$6:$T$823,16,0),"")</f>
        <v>SW350-1</v>
      </c>
      <c r="E112" s="353" t="s">
        <v>5978</v>
      </c>
      <c r="F112" s="353"/>
      <c r="G112" s="353"/>
      <c r="H112" s="353" t="str">
        <f>IFERROR(VLOOKUP(M112,'02. MM-KLH'!$B$6:$T$823,17,0),"")</f>
        <v>28HP</v>
      </c>
      <c r="I112" s="763">
        <f>IFERROR(VLOOKUP(M112,'02. MM-KLH'!$B$6:$U$823,20,0),"")</f>
        <v>2.5</v>
      </c>
      <c r="J112" s="613">
        <f>IFERROR(VLOOKUP(M112,'02. MM-KLH'!$B$6:$T$823,19,0),"")</f>
        <v>256182</v>
      </c>
      <c r="K112" s="613" t="str">
        <f>IFERROR(VLOOKUP(M112,'02. MM-KLH'!$B$6:$T$823,18,0),"")</f>
        <v>VSW1410104</v>
      </c>
      <c r="L112" s="353">
        <f>IFERROR(VLOOKUP(M112,'02. MM-KLH'!$B$6:$T$823,4,0),"")</f>
        <v>0</v>
      </c>
      <c r="M112" s="19" t="s">
        <v>1508</v>
      </c>
      <c r="N112" s="356">
        <f>IFERROR(VLOOKUP(M112,'02. MM-KLH'!$B$6:$T$823,15,0),"")</f>
        <v>1998</v>
      </c>
      <c r="O112" s="764">
        <f>IFERROR(VLOOKUP(M112,'02. MM-KLH'!$B$6:$T$823,9,0),"")</f>
        <v>45722</v>
      </c>
      <c r="P112" s="353"/>
      <c r="Q112" s="353" t="s">
        <v>1755</v>
      </c>
      <c r="R112" s="353"/>
      <c r="S112" s="353"/>
      <c r="T112" s="353"/>
      <c r="U112" s="353" t="str">
        <f>IFERROR(VLOOKUP(M112,'02. MM-KLH'!$B$6:$T$823,5,0),"")</f>
        <v>MỚI (ĐQSD)</v>
      </c>
      <c r="V112" s="731" t="str">
        <f>IFERROR(VLOOKUP(M112,'02. MM-KLH'!$B$6:$T$823,8,0),"")</f>
        <v>XN Chuối LP1</v>
      </c>
      <c r="W112" s="353" t="str">
        <f>IFERROR(VLOOKUP(V112,'NS QUẢN LÝ CG'!$A$4:$D$36,2,0),"")</f>
        <v/>
      </c>
      <c r="X112" s="353" t="str">
        <f>IFERROR(VLOOKUP(V112,'NS QUẢN LÝ CG'!$A$4:$D$36,4,0),"")</f>
        <v/>
      </c>
      <c r="Y112" s="353" t="str">
        <f>IFERROR(VLOOKUP(V112,'NS QUẢN LÝ CG'!$A$4:$C$36,3,0),"")</f>
        <v/>
      </c>
      <c r="Z112" s="731" t="str">
        <f>IFERROR(VLOOKUP(M112,'02. MM-KLH'!$B$6:$T$823,3,0),"")</f>
        <v>A24-XLU-006</v>
      </c>
      <c r="AA112" s="353" t="str">
        <f t="shared" ref="AA112:AA113" si="4">_xlfn.SWITCH(LEFT(Z112,3),"A22","ADM","A23","DP","A24","LP","")</f>
        <v>LP</v>
      </c>
      <c r="AB112" s="731"/>
      <c r="AC112" s="731"/>
    </row>
    <row r="113" ht="13.8" spans="1:29">
      <c r="A113" s="731"/>
      <c r="B113" s="613" t="str">
        <f>IFERROR(VLOOKUP(M113,'02. MM-KLH'!$B$6:$T$823,6,0),"")</f>
        <v>Xe lu rung Sakai 3.5 tấn</v>
      </c>
      <c r="C113" s="353">
        <v>1</v>
      </c>
      <c r="D113" s="353" t="str">
        <f>IFERROR(VLOOKUP(M113,'02. MM-KLH'!$B$6:$T$823,16,0),"")</f>
        <v>TW500W‑1</v>
      </c>
      <c r="E113" s="353" t="s">
        <v>5978</v>
      </c>
      <c r="F113" s="353"/>
      <c r="G113" s="353"/>
      <c r="H113" s="353" t="str">
        <f>IFERROR(VLOOKUP(M113,'02. MM-KLH'!$B$6:$T$823,17,0),"")</f>
        <v>39HP</v>
      </c>
      <c r="I113" s="763">
        <f>IFERROR(VLOOKUP(M113,'02. MM-KLH'!$B$6:$U$823,20,0),"")</f>
        <v>2.5</v>
      </c>
      <c r="J113" s="613">
        <f>IFERROR(VLOOKUP(M113,'02. MM-KLH'!$B$6:$T$823,19,0),"")</f>
        <v>161031</v>
      </c>
      <c r="K113" s="613" t="str">
        <f>IFERROR(VLOOKUP(M113,'02. MM-KLH'!$B$6:$T$823,18,0),"")</f>
        <v>VTW1521664</v>
      </c>
      <c r="L113" s="353">
        <f>IFERROR(VLOOKUP(M113,'02. MM-KLH'!$B$6:$T$823,4,0),"")</f>
        <v>0</v>
      </c>
      <c r="M113" s="19" t="s">
        <v>2435</v>
      </c>
      <c r="N113" s="356">
        <f>IFERROR(VLOOKUP(M113,'02. MM-KLH'!$B$6:$T$823,15,0),"")</f>
        <v>2004</v>
      </c>
      <c r="O113" s="764">
        <f>IFERROR(VLOOKUP(M113,'02. MM-KLH'!$B$6:$T$823,9,0),"")</f>
        <v>45999</v>
      </c>
      <c r="P113" s="353"/>
      <c r="Q113" s="353" t="s">
        <v>1755</v>
      </c>
      <c r="R113" s="353" t="s">
        <v>5978</v>
      </c>
      <c r="S113" s="353"/>
      <c r="T113" s="353"/>
      <c r="U113" s="353" t="str">
        <f>IFERROR(VLOOKUP(M113,'02. MM-KLH'!$B$6:$T$823,5,0),"")</f>
        <v>MỚI (ĐQSD)</v>
      </c>
      <c r="V113" s="731" t="str">
        <f>IFERROR(VLOOKUP(M113,'02. MM-KLH'!$B$6:$T$823,8,0),"")</f>
        <v>XN Bò AD</v>
      </c>
      <c r="W113" s="353" t="str">
        <f>IFERROR(VLOOKUP(V113,'NS QUẢN LÝ CG'!$A$4:$D$36,2,0),"")</f>
        <v/>
      </c>
      <c r="X113" s="353" t="str">
        <f>IFERROR(VLOOKUP(V113,'NS QUẢN LÝ CG'!$A$4:$D$36,4,0),"")</f>
        <v/>
      </c>
      <c r="Y113" s="353" t="str">
        <f>IFERROR(VLOOKUP(V113,'NS QUẢN LÝ CG'!$A$4:$C$36,3,0),"")</f>
        <v/>
      </c>
      <c r="Z113" s="731" t="str">
        <f>IFERROR(VLOOKUP(M113,'02. MM-KLH'!$B$6:$T$823,3,0),"")</f>
        <v>A24-XLU-007</v>
      </c>
      <c r="AA113" s="353" t="str">
        <f t="shared" si="4"/>
        <v>LP</v>
      </c>
      <c r="AB113" s="731"/>
      <c r="AC113" s="731"/>
    </row>
    <row r="114" ht="13.8" spans="1:29">
      <c r="A114" s="731"/>
      <c r="B114" s="613"/>
      <c r="C114" s="353"/>
      <c r="D114" s="353"/>
      <c r="E114" s="353"/>
      <c r="F114" s="353"/>
      <c r="G114" s="353"/>
      <c r="H114" s="353"/>
      <c r="I114" s="763"/>
      <c r="J114" s="613"/>
      <c r="K114" s="613"/>
      <c r="L114" s="353"/>
      <c r="M114" s="19"/>
      <c r="N114" s="356"/>
      <c r="O114" s="764"/>
      <c r="P114" s="353"/>
      <c r="Q114" s="353"/>
      <c r="R114" s="353"/>
      <c r="S114" s="353"/>
      <c r="T114" s="353"/>
      <c r="U114" s="353"/>
      <c r="V114" s="731"/>
      <c r="W114" s="353" t="str">
        <f>IFERROR(VLOOKUP(V114,'NS QUẢN LÝ CG'!$A$4:$D$36,2,0),"")</f>
        <v/>
      </c>
      <c r="X114" s="353" t="str">
        <f>IFERROR(VLOOKUP(V114,'NS QUẢN LÝ CG'!$A$4:$D$36,4,0),"")</f>
        <v/>
      </c>
      <c r="Y114" s="353"/>
      <c r="Z114" s="731"/>
      <c r="AA114" s="353"/>
      <c r="AB114" s="731"/>
      <c r="AC114" s="731"/>
    </row>
    <row r="115" ht="13.8" hidden="1" spans="1:29">
      <c r="A115" s="731"/>
      <c r="B115" s="613"/>
      <c r="C115" s="353"/>
      <c r="D115" s="353"/>
      <c r="E115" s="353"/>
      <c r="F115" s="353"/>
      <c r="G115" s="353"/>
      <c r="H115" s="353"/>
      <c r="I115" s="763"/>
      <c r="J115" s="613"/>
      <c r="K115" s="613"/>
      <c r="L115" s="353"/>
      <c r="M115" s="19"/>
      <c r="N115" s="356"/>
      <c r="O115" s="764"/>
      <c r="P115" s="353"/>
      <c r="Q115" s="353"/>
      <c r="R115" s="353"/>
      <c r="S115" s="353"/>
      <c r="T115" s="353"/>
      <c r="U115" s="353"/>
      <c r="V115" s="731"/>
      <c r="W115" s="353"/>
      <c r="X115" s="353"/>
      <c r="Y115" s="353"/>
      <c r="Z115" s="731"/>
      <c r="AA115" s="353"/>
      <c r="AB115" s="731"/>
      <c r="AC115" s="731"/>
    </row>
    <row r="116" ht="13.8" hidden="1" spans="1:29">
      <c r="A116" s="731"/>
      <c r="B116" s="613"/>
      <c r="C116" s="353"/>
      <c r="D116" s="353"/>
      <c r="E116" s="353"/>
      <c r="F116" s="353"/>
      <c r="G116" s="353"/>
      <c r="H116" s="353"/>
      <c r="I116" s="763"/>
      <c r="J116" s="613"/>
      <c r="K116" s="613"/>
      <c r="L116" s="353"/>
      <c r="M116" s="19"/>
      <c r="N116" s="356"/>
      <c r="O116" s="764"/>
      <c r="P116" s="353"/>
      <c r="Q116" s="353"/>
      <c r="R116" s="353"/>
      <c r="S116" s="353"/>
      <c r="T116" s="353"/>
      <c r="U116" s="353"/>
      <c r="V116" s="731"/>
      <c r="W116" s="353"/>
      <c r="X116" s="353"/>
      <c r="Y116" s="353"/>
      <c r="Z116" s="731"/>
      <c r="AA116" s="353"/>
      <c r="AB116" s="731"/>
      <c r="AC116" s="731"/>
    </row>
    <row r="117" ht="13.8" spans="1:29">
      <c r="A117" s="754">
        <v>2</v>
      </c>
      <c r="B117" s="755" t="s">
        <v>589</v>
      </c>
      <c r="C117" s="754">
        <f>COUNTA(B118:B121)</f>
        <v>4</v>
      </c>
      <c r="D117" s="756"/>
      <c r="E117" s="756"/>
      <c r="F117" s="756"/>
      <c r="G117" s="756"/>
      <c r="H117" s="756"/>
      <c r="I117" s="757"/>
      <c r="J117" s="758"/>
      <c r="K117" s="758"/>
      <c r="L117" s="756"/>
      <c r="M117" s="759"/>
      <c r="N117" s="756"/>
      <c r="O117" s="760"/>
      <c r="P117" s="756"/>
      <c r="Q117" s="756"/>
      <c r="R117" s="756"/>
      <c r="S117" s="756"/>
      <c r="T117" s="756"/>
      <c r="U117" s="756"/>
      <c r="V117" s="761"/>
      <c r="W117" s="756"/>
      <c r="X117" s="756"/>
      <c r="Y117" s="756"/>
      <c r="Z117" s="761"/>
      <c r="AA117" s="756"/>
      <c r="AB117" s="761"/>
      <c r="AC117" s="762"/>
    </row>
    <row r="118" ht="13.8" spans="1:29">
      <c r="A118" s="731"/>
      <c r="B118" s="613" t="str">
        <f>IFERROR(VLOOKUP(M118,'02. MM-KLH'!$B$6:$T$823,6,0),"")</f>
        <v>Xe lu rung DYNAPAC 5 tấn</v>
      </c>
      <c r="C118" s="353">
        <v>1</v>
      </c>
      <c r="D118" s="353" t="str">
        <f>IFERROR(VLOOKUP(M118,'02. MM-KLH'!$B$6:$T$823,16,0),"")</f>
        <v>CCC150C-2</v>
      </c>
      <c r="E118" s="353" t="s">
        <v>5978</v>
      </c>
      <c r="F118" s="353"/>
      <c r="G118" s="353"/>
      <c r="H118" s="353" t="str">
        <f>IFERROR(VLOOKUP(M118,'02. MM-KLH'!$B$6:$T$823,17,0),"")</f>
        <v>16HP</v>
      </c>
      <c r="I118" s="763">
        <f>IFERROR(VLOOKUP(M118,'02. MM-KLH'!$B$6:$U$823,20,0),"")</f>
        <v>2.6</v>
      </c>
      <c r="J118" s="613" t="str">
        <f>IFERROR(VLOOKUP(M118,'02. MM-KLH'!$B$6:$T$823,19,0),"")</f>
        <v>3LD2 - 453951</v>
      </c>
      <c r="K118" s="613" t="str">
        <f>IFERROR(VLOOKUP(M118,'02. MM-KLH'!$B$6:$T$823,18,0),"")</f>
        <v>HCM8U600A00010287</v>
      </c>
      <c r="L118" s="353">
        <f>IFERROR(VLOOKUP(M118,'02. MM-KLH'!$B$6:$T$823,4,0),"")</f>
        <v>0</v>
      </c>
      <c r="M118" s="19" t="s">
        <v>1734</v>
      </c>
      <c r="N118" s="356">
        <f>IFERROR(VLOOKUP(M118,'02. MM-KLH'!$B$6:$T$823,15,0),"")</f>
        <v>2005</v>
      </c>
      <c r="O118" s="764" t="str">
        <f>IFERROR(VLOOKUP(M118,'02. MM-KLH'!$B$6:$T$823,9,0),"")</f>
        <v>30/06/2024</v>
      </c>
      <c r="P118" s="353"/>
      <c r="Q118" s="353" t="s">
        <v>1755</v>
      </c>
      <c r="R118" s="353"/>
      <c r="S118" s="353" t="s">
        <v>5978</v>
      </c>
      <c r="T118" s="353"/>
      <c r="U118" s="353" t="str">
        <f>IFERROR(VLOOKUP(M118,'02. MM-KLH'!$B$6:$T$823,5,0),"")</f>
        <v>MỚI (ĐQSD)</v>
      </c>
      <c r="V118" s="731" t="str">
        <f>IFERROR(VLOOKUP(M118,'02. MM-KLH'!$B$6:$T$823,8,0),"")</f>
        <v>XN Chuối LP3</v>
      </c>
      <c r="W118" s="353" t="str">
        <f>IFERROR(VLOOKUP(V118,'NS QUẢN LÝ CG'!$A$4:$D$36,2,0),"")</f>
        <v/>
      </c>
      <c r="X118" s="353" t="str">
        <f>IFERROR(VLOOKUP(V118,'NS QUẢN LÝ CG'!$A$4:$D$36,4,0),"")</f>
        <v/>
      </c>
      <c r="Y118" s="353" t="str">
        <f>IFERROR(VLOOKUP(V118,'NS QUẢN LÝ CG'!$A$4:$C$36,3,0),"")</f>
        <v/>
      </c>
      <c r="Z118" s="731" t="str">
        <f>IFERROR(VLOOKUP(M118,'02. MM-KLH'!$B$6:$T$823,3,0),"")</f>
        <v>A24-XLU-005</v>
      </c>
      <c r="AA118" s="353" t="str">
        <f t="shared" ref="AA118:AA119" si="5">_xlfn.SWITCH(LEFT(Z118,3),"A22","ADM","A23","DP","A24","LP","")</f>
        <v>LP</v>
      </c>
      <c r="AB118" s="731"/>
      <c r="AC118" s="731"/>
    </row>
    <row r="119" ht="13.8" spans="1:29">
      <c r="A119" s="731"/>
      <c r="B119" s="613" t="str">
        <f>IFERROR(VLOOKUP(M119,'02. MM-KLH'!$B$6:$T$823,6,0),"")</f>
        <v>Xe lu rung DYNAPAC 5 tấn</v>
      </c>
      <c r="C119" s="353">
        <v>1</v>
      </c>
      <c r="D119" s="353" t="str">
        <f>IFERROR(VLOOKUP(M119,'02. MM-KLH'!$B$6:$T$823,16,0),"")</f>
        <v>CC150C-2</v>
      </c>
      <c r="E119" s="353" t="s">
        <v>5978</v>
      </c>
      <c r="F119" s="353"/>
      <c r="G119" s="353"/>
      <c r="H119" s="353" t="str">
        <f>IFERROR(VLOOKUP(M119,'02. MM-KLH'!$B$6:$T$823,17,0),"")</f>
        <v>75HP</v>
      </c>
      <c r="I119" s="763">
        <f>IFERROR(VLOOKUP(M119,'02. MM-KLH'!$B$6:$U$823,20,0),"")</f>
        <v>2.6</v>
      </c>
      <c r="J119" s="613" t="str">
        <f>IFERROR(VLOOKUP(M119,'02. MM-KLH'!$B$6:$T$823,19,0),"")</f>
        <v>3LD2-453954</v>
      </c>
      <c r="K119" s="613" t="str">
        <f>IFERROR(VLOOKUP(M119,'02. MM-KLH'!$B$6:$T$823,18,0),"")</f>
        <v>HCM8U600L00010288</v>
      </c>
      <c r="L119" s="353">
        <f>IFERROR(VLOOKUP(M119,'02. MM-KLH'!$B$6:$T$823,4,0),"")</f>
        <v>0</v>
      </c>
      <c r="M119" s="410" t="s">
        <v>587</v>
      </c>
      <c r="N119" s="356">
        <f>IFERROR(VLOOKUP(M119,'02. MM-KLH'!$B$6:$T$823,15,0),"")</f>
        <v>2005</v>
      </c>
      <c r="O119" s="764">
        <f>IFERROR(VLOOKUP(M119,'02. MM-KLH'!$B$6:$T$823,9,0),"")</f>
        <v>45330</v>
      </c>
      <c r="P119" s="353"/>
      <c r="Q119" s="353" t="s">
        <v>1755</v>
      </c>
      <c r="R119" s="353" t="s">
        <v>5978</v>
      </c>
      <c r="S119" s="353"/>
      <c r="T119" s="353"/>
      <c r="U119" s="353" t="str">
        <f>IFERROR(VLOOKUP(M119,'02. MM-KLH'!$B$6:$T$823,5,0),"")</f>
        <v>MỚI (ĐQSD)</v>
      </c>
      <c r="V119" s="731" t="str">
        <f>IFERROR(VLOOKUP(M119,'02. MM-KLH'!$B$6:$T$823,8,0),"")</f>
        <v>CGTC DP</v>
      </c>
      <c r="W119" s="353" t="str">
        <f>IFERROR(VLOOKUP(V119,'NS QUẢN LÝ CG'!$A$4:$D$36,2,0),"")</f>
        <v>Phạm Ngọc Hải</v>
      </c>
      <c r="X119" s="353" t="str">
        <f>IFERROR(VLOOKUP(V119,'NS QUẢN LÝ CG'!$A$4:$D$36,4,0),"")</f>
        <v>Lô 85 DP4</v>
      </c>
      <c r="Y119" s="1104" t="str">
        <f>IFERROR(VLOOKUP(V119,'NS QUẢN LÝ CG'!$A$4:$C$36,3,0),"")</f>
        <v>0825456565</v>
      </c>
      <c r="Z119" s="731" t="str">
        <f>IFERROR(VLOOKUP(M119,'02. MM-KLH'!$B$6:$T$823,3,0),"")</f>
        <v>A23-XLU-008</v>
      </c>
      <c r="AA119" s="353" t="str">
        <f t="shared" si="5"/>
        <v>DP</v>
      </c>
      <c r="AB119" s="731"/>
      <c r="AC119" s="731"/>
    </row>
    <row r="120" ht="13.8" spans="1:29">
      <c r="A120" s="731"/>
      <c r="B120" s="613" t="str">
        <f>IFERROR(VLOOKUP(M120,'02. MM-KLH'!$B$6:$T$823,6,0),"")</f>
        <v/>
      </c>
      <c r="C120" s="353"/>
      <c r="D120" s="353" t="str">
        <f>IFERROR(VLOOKUP(M120,'02. MM-KLH'!$B$6:$T$823,16,0),"")</f>
        <v/>
      </c>
      <c r="E120" s="353"/>
      <c r="F120" s="353"/>
      <c r="G120" s="353"/>
      <c r="H120" s="353" t="str">
        <f>IFERROR(VLOOKUP(M120,'02. MM-KLH'!$B$6:$T$823,17,0),"")</f>
        <v/>
      </c>
      <c r="I120" s="763" t="str">
        <f>IFERROR(VLOOKUP(M120,'02. MM-KLH'!$B$6:$U$823,20,0),"")</f>
        <v/>
      </c>
      <c r="J120" s="613" t="str">
        <f>IFERROR(VLOOKUP(M120,'02. MM-KLH'!$B$6:$T$823,19,0),"")</f>
        <v/>
      </c>
      <c r="K120" s="613" t="str">
        <f>IFERROR(VLOOKUP(M120,'02. MM-KLH'!$B$6:$T$823,18,0),"")</f>
        <v/>
      </c>
      <c r="L120" s="353" t="str">
        <f>IFERROR(VLOOKUP(M120,'02. MM-KLH'!$B$6:$T$823,4,0),"")</f>
        <v/>
      </c>
      <c r="M120" s="49"/>
      <c r="N120" s="356" t="str">
        <f>IFERROR(VLOOKUP(M120,'02. MM-KLH'!$B$6:$T$823,15,0),"")</f>
        <v/>
      </c>
      <c r="O120" s="764" t="str">
        <f>IFERROR(VLOOKUP(M120,'02. MM-KLH'!$B$6:$T$823,9,0),"")</f>
        <v/>
      </c>
      <c r="P120" s="353"/>
      <c r="Q120" s="353"/>
      <c r="R120" s="353"/>
      <c r="S120" s="353"/>
      <c r="T120" s="353"/>
      <c r="U120" s="353" t="str">
        <f>IFERROR(VLOOKUP(M120,'02. MM-KLH'!$B$6:$T$823,2,0),"")</f>
        <v/>
      </c>
      <c r="V120" s="731" t="str">
        <f>IFERROR(VLOOKUP(M120,'02. MM-KLH'!$B$6:$T$823,8,0),"")</f>
        <v/>
      </c>
      <c r="W120" s="353" t="str">
        <f>IFERROR(VLOOKUP(V120,'NS QUẢN LÝ CG'!$A$4:$D$36,2,0),"")</f>
        <v/>
      </c>
      <c r="X120" s="353" t="str">
        <f>IFERROR(VLOOKUP(V120,'NS QUẢN LÝ CG'!$A$4:$D$36,4,0),"")</f>
        <v/>
      </c>
      <c r="Y120" s="353"/>
      <c r="Z120" s="731" t="str">
        <f>IFERROR(VLOOKUP(M120,'02. MM-KLH'!$B$6:$T$823,3,0),"")</f>
        <v/>
      </c>
      <c r="AA120" s="353"/>
      <c r="AB120" s="731"/>
      <c r="AC120" s="731"/>
    </row>
    <row r="121" ht="13.8" hidden="1" spans="1:29">
      <c r="A121" s="731"/>
      <c r="B121" s="613" t="str">
        <f>IFERROR(VLOOKUP(M121,'02. MM-KLH'!$B$6:$T$823,6,0),"")</f>
        <v/>
      </c>
      <c r="C121" s="353"/>
      <c r="D121" s="353" t="str">
        <f>IFERROR(VLOOKUP(M121,'02. MM-KLH'!$B$6:$T$823,16,0),"")</f>
        <v/>
      </c>
      <c r="E121" s="353"/>
      <c r="F121" s="353"/>
      <c r="G121" s="353"/>
      <c r="H121" s="353" t="str">
        <f>IFERROR(VLOOKUP(M121,'02. MM-KLH'!$B$6:$T$823,17,0),"")</f>
        <v/>
      </c>
      <c r="I121" s="763" t="str">
        <f>IFERROR(VLOOKUP(M121,'02. MM-KLH'!$B$6:$U$823,20,0),"")</f>
        <v/>
      </c>
      <c r="J121" s="613" t="str">
        <f>IFERROR(VLOOKUP(M121,'02. MM-KLH'!$B$6:$T$823,19,0),"")</f>
        <v/>
      </c>
      <c r="K121" s="613" t="str">
        <f>IFERROR(VLOOKUP(M121,'02. MM-KLH'!$B$6:$T$823,18,0),"")</f>
        <v/>
      </c>
      <c r="L121" s="353" t="str">
        <f>IFERROR(VLOOKUP(M121,'02. MM-KLH'!$B$6:$T$823,4,0),"")</f>
        <v/>
      </c>
      <c r="M121" s="49"/>
      <c r="N121" s="356" t="str">
        <f>IFERROR(VLOOKUP(M121,'02. MM-KLH'!$B$6:$T$823,15,0),"")</f>
        <v/>
      </c>
      <c r="O121" s="764" t="str">
        <f>IFERROR(VLOOKUP(M121,'02. MM-KLH'!$B$6:$T$823,9,0),"")</f>
        <v/>
      </c>
      <c r="P121" s="353"/>
      <c r="Q121" s="353"/>
      <c r="R121" s="353"/>
      <c r="S121" s="353"/>
      <c r="T121" s="353"/>
      <c r="U121" s="353" t="str">
        <f>IFERROR(VLOOKUP(M121,'02. MM-KLH'!$B$6:$T$823,2,0),"")</f>
        <v/>
      </c>
      <c r="V121" s="731" t="str">
        <f>IFERROR(VLOOKUP(M121,'02. MM-KLH'!$B$6:$T$823,8,0),"")</f>
        <v/>
      </c>
      <c r="W121" s="353"/>
      <c r="X121" s="353"/>
      <c r="Y121" s="353"/>
      <c r="Z121" s="731" t="str">
        <f>IFERROR(VLOOKUP(M121,'02. MM-KLH'!$B$6:$T$823,3,0),"")</f>
        <v/>
      </c>
      <c r="AA121" s="353"/>
      <c r="AB121" s="731"/>
      <c r="AC121" s="731"/>
    </row>
    <row r="122" spans="1:29">
      <c r="A122" s="747" t="s">
        <v>3335</v>
      </c>
      <c r="B122" s="748" t="s">
        <v>3329</v>
      </c>
      <c r="C122" s="747">
        <f>SUM(C123)</f>
        <v>8</v>
      </c>
      <c r="D122" s="749"/>
      <c r="E122" s="749"/>
      <c r="F122" s="749"/>
      <c r="G122" s="749"/>
      <c r="H122" s="749"/>
      <c r="I122" s="750"/>
      <c r="J122" s="751"/>
      <c r="K122" s="751"/>
      <c r="L122" s="749"/>
      <c r="M122" s="749"/>
      <c r="N122" s="749"/>
      <c r="O122" s="752"/>
      <c r="P122" s="749"/>
      <c r="Q122" s="749"/>
      <c r="R122" s="749"/>
      <c r="S122" s="749"/>
      <c r="T122" s="749"/>
      <c r="U122" s="749"/>
      <c r="V122" s="750"/>
      <c r="W122" s="749"/>
      <c r="X122" s="749"/>
      <c r="Y122" s="749"/>
      <c r="Z122" s="750"/>
      <c r="AA122" s="749"/>
      <c r="AB122" s="750"/>
      <c r="AC122" s="753"/>
    </row>
    <row r="123" ht="13.8" spans="1:29">
      <c r="A123" s="754">
        <v>1</v>
      </c>
      <c r="B123" s="755" t="s">
        <v>480</v>
      </c>
      <c r="C123" s="754">
        <f>COUNTA(B124:B131)</f>
        <v>8</v>
      </c>
      <c r="D123" s="756"/>
      <c r="E123" s="756"/>
      <c r="F123" s="756"/>
      <c r="G123" s="756"/>
      <c r="H123" s="756"/>
      <c r="I123" s="757"/>
      <c r="J123" s="758"/>
      <c r="K123" s="758"/>
      <c r="L123" s="756"/>
      <c r="M123" s="759"/>
      <c r="N123" s="756"/>
      <c r="O123" s="760"/>
      <c r="P123" s="756"/>
      <c r="Q123" s="756"/>
      <c r="R123" s="756"/>
      <c r="S123" s="756"/>
      <c r="T123" s="756"/>
      <c r="U123" s="756"/>
      <c r="V123" s="761"/>
      <c r="W123" s="756"/>
      <c r="X123" s="756"/>
      <c r="Y123" s="756"/>
      <c r="Z123" s="761"/>
      <c r="AA123" s="756"/>
      <c r="AB123" s="761"/>
      <c r="AC123" s="762"/>
    </row>
    <row r="124" ht="13.8" spans="1:29">
      <c r="A124" s="731"/>
      <c r="B124" s="613" t="str">
        <f>IFERROR(VLOOKUP(M124,'02. MM-KLH'!$B$6:$T$823,6,0),"")</f>
        <v>Xe ban KOMATSU GD605A</v>
      </c>
      <c r="C124" s="353">
        <v>1</v>
      </c>
      <c r="D124" s="353" t="str">
        <f>IFERROR(VLOOKUP(M124,'02. MM-KLH'!$B$6:$T$823,16,0),"")</f>
        <v>GD605A-5</v>
      </c>
      <c r="E124" s="353" t="s">
        <v>5978</v>
      </c>
      <c r="F124" s="353"/>
      <c r="G124" s="353"/>
      <c r="H124" s="353" t="str">
        <f>IFERROR(VLOOKUP(M124,'02. MM-KLH'!$B$6:$T$823,17,0),"")</f>
        <v>145HP</v>
      </c>
      <c r="I124" s="763">
        <f>IFERROR(VLOOKUP(M124,'02. MM-KLH'!$B$6:$U$823,20,0),"")</f>
        <v>9.3</v>
      </c>
      <c r="J124" s="613" t="str">
        <f>IFERROR(VLOOKUP(M124,'02. MM-KLH'!$B$6:$T$823,19,0),"")</f>
        <v>6D12561378</v>
      </c>
      <c r="K124" s="613" t="str">
        <f>IFERROR(VLOOKUP(M124,'02. MM-KLH'!$B$6:$T$823,18,0),"")</f>
        <v>G605A54617</v>
      </c>
      <c r="L124" s="353">
        <f>IFERROR(VLOOKUP(M124,'02. MM-KLH'!$B$6:$T$823,4,0),"")</f>
        <v>0</v>
      </c>
      <c r="M124" s="49" t="s">
        <v>544</v>
      </c>
      <c r="N124" s="356">
        <f>IFERROR(VLOOKUP(M124,'02. MM-KLH'!$B$6:$T$823,15,0),"")</f>
        <v>1994</v>
      </c>
      <c r="O124" s="764">
        <f>IFERROR(VLOOKUP(M124,'02. MM-KLH'!$B$6:$T$823,9,0),"")</f>
        <v>44166</v>
      </c>
      <c r="P124" s="353"/>
      <c r="Q124" s="353">
        <v>2418</v>
      </c>
      <c r="R124" s="353" t="s">
        <v>5978</v>
      </c>
      <c r="S124" s="353"/>
      <c r="T124" s="353"/>
      <c r="U124" s="353" t="str">
        <f>IFERROR(VLOOKUP(M124,'02. MM-KLH'!$B$6:$T$823,5,0),"")</f>
        <v>ĐQSD</v>
      </c>
      <c r="V124" s="731" t="str">
        <f>IFERROR(VLOOKUP(M124,'02. MM-KLH'!$B$6:$T$823,8,0),"")</f>
        <v>CGTC DP</v>
      </c>
      <c r="W124" s="353" t="str">
        <f>IFERROR(VLOOKUP(V124,'NS QUẢN LÝ CG'!$A$4:$D$36,2,0),"")</f>
        <v>Phạm Ngọc Hải</v>
      </c>
      <c r="X124" s="353" t="str">
        <f>IFERROR(VLOOKUP(V124,'NS QUẢN LÝ CG'!$A$4:$D$36,4,0),"")</f>
        <v>Lô 85 DP4</v>
      </c>
      <c r="Y124" s="1104" t="str">
        <f>IFERROR(VLOOKUP(V124,'NS QUẢN LÝ CG'!$A$4:$C$36,3,0),"")</f>
        <v>0825456565</v>
      </c>
      <c r="Z124" s="731" t="str">
        <f>IFERROR(VLOOKUP(M124,'02. MM-KLH'!$B$6:$T$823,3,0),"")</f>
        <v>ATT-A22-0156</v>
      </c>
      <c r="AA124" s="353" t="s">
        <v>5980</v>
      </c>
      <c r="AB124" s="731"/>
      <c r="AC124" s="731"/>
    </row>
    <row r="125" ht="13.8" spans="1:29">
      <c r="A125" s="731"/>
      <c r="B125" s="613" t="str">
        <f>IFERROR(VLOOKUP(M125,'02. MM-KLH'!$B$6:$T$823,6,0),"")</f>
        <v>Xe ban Komatsu 705A</v>
      </c>
      <c r="C125" s="353">
        <v>1</v>
      </c>
      <c r="D125" s="353" t="str">
        <f>IFERROR(VLOOKUP(M125,'02. MM-KLH'!$B$6:$T$823,16,0),"")</f>
        <v>705A</v>
      </c>
      <c r="E125" s="353" t="s">
        <v>5978</v>
      </c>
      <c r="F125" s="353"/>
      <c r="G125" s="353"/>
      <c r="H125" s="353" t="str">
        <f>IFERROR(VLOOKUP(M125,'02. MM-KLH'!$B$6:$T$823,17,0),"")</f>
        <v>200HP</v>
      </c>
      <c r="I125" s="763">
        <f>IFERROR(VLOOKUP(M125,'02. MM-KLH'!$B$6:$U$823,20,0),"")</f>
        <v>14.8</v>
      </c>
      <c r="J125" s="613" t="str">
        <f>IFERROR(VLOOKUP(M125,'02. MM-KLH'!$B$6:$T$823,19,0),"")</f>
        <v>CCN</v>
      </c>
      <c r="K125" s="613" t="str">
        <f>IFERROR(VLOOKUP(M125,'02. MM-KLH'!$B$6:$T$823,18,0),"")</f>
        <v>G70A4A11006</v>
      </c>
      <c r="L125" s="353">
        <f>IFERROR(VLOOKUP(M125,'02. MM-KLH'!$B$6:$T$823,4,0),"")</f>
        <v>0</v>
      </c>
      <c r="M125" s="19" t="s">
        <v>549</v>
      </c>
      <c r="N125" s="356">
        <f>IFERROR(VLOOKUP(M125,'02. MM-KLH'!$B$6:$T$823,15,0),"")</f>
        <v>2018</v>
      </c>
      <c r="O125" s="764">
        <f>IFERROR(VLOOKUP(M125,'02. MM-KLH'!$B$6:$T$823,9,0),"")</f>
        <v>43837</v>
      </c>
      <c r="P125" s="353"/>
      <c r="Q125" s="353" t="s">
        <v>1755</v>
      </c>
      <c r="R125" s="353"/>
      <c r="S125" s="353" t="s">
        <v>5978</v>
      </c>
      <c r="T125" s="353"/>
      <c r="U125" s="353" t="str">
        <f>IFERROR(VLOOKUP(M125,'02. MM-KLH'!$B$6:$T$823,5,0),"")</f>
        <v>ĐQSD</v>
      </c>
      <c r="V125" s="731" t="str">
        <f>IFERROR(VLOOKUP(M125,'02. MM-KLH'!$B$6:$T$823,8,0),"")</f>
        <v>CGTC DP</v>
      </c>
      <c r="W125" s="353" t="str">
        <f>IFERROR(VLOOKUP(V125,'NS QUẢN LÝ CG'!$A$4:$D$36,2,0),"")</f>
        <v>Phạm Ngọc Hải</v>
      </c>
      <c r="X125" s="353" t="str">
        <f>IFERROR(VLOOKUP(V125,'NS QUẢN LÝ CG'!$A$4:$D$36,4,0),"")</f>
        <v>Lô 85 DP4</v>
      </c>
      <c r="Y125" s="1104" t="str">
        <f>IFERROR(VLOOKUP(V125,'NS QUẢN LÝ CG'!$A$4:$C$36,3,0),"")</f>
        <v>0825456565</v>
      </c>
      <c r="Z125" s="731" t="str">
        <f>IFERROR(VLOOKUP(M125,'02. MM-KLH'!$B$6:$T$823,3,0),"")</f>
        <v>ATT-A23-0033</v>
      </c>
      <c r="AA125" s="353" t="s">
        <v>5979</v>
      </c>
      <c r="AB125" s="731"/>
      <c r="AC125" s="731"/>
    </row>
    <row r="126" ht="13.8" spans="1:29">
      <c r="A126" s="731"/>
      <c r="B126" s="613" t="str">
        <f>IFERROR(VLOOKUP(M126,'02. MM-KLH'!$B$6:$T$823,6,0),"")</f>
        <v>Xe ban KOMATSU GD605A</v>
      </c>
      <c r="C126" s="353">
        <v>1</v>
      </c>
      <c r="D126" s="353" t="str">
        <f>IFERROR(VLOOKUP(M126,'02. MM-KLH'!$B$6:$T$823,16,0),"")</f>
        <v>GD605A-5</v>
      </c>
      <c r="E126" s="353" t="s">
        <v>5978</v>
      </c>
      <c r="F126" s="353"/>
      <c r="G126" s="353"/>
      <c r="H126" s="353" t="str">
        <f>IFERROR(VLOOKUP(M126,'02. MM-KLH'!$B$6:$T$823,17,0),"")</f>
        <v>145HP</v>
      </c>
      <c r="I126" s="763">
        <f>IFERROR(VLOOKUP(M126,'02. MM-KLH'!$B$6:$U$823,20,0),"")</f>
        <v>9.3</v>
      </c>
      <c r="J126" s="613" t="str">
        <f>IFERROR(VLOOKUP(M126,'02. MM-KLH'!$B$6:$T$823,19,0),"")</f>
        <v>6D12562969</v>
      </c>
      <c r="K126" s="613" t="str">
        <f>IFERROR(VLOOKUP(M126,'02. MM-KLH'!$B$6:$T$823,18,0),"")</f>
        <v>G60A51575</v>
      </c>
      <c r="L126" s="353">
        <f>IFERROR(VLOOKUP(M126,'02. MM-KLH'!$B$6:$T$823,4,0),"")</f>
        <v>0</v>
      </c>
      <c r="M126" s="49" t="s">
        <v>692</v>
      </c>
      <c r="N126" s="356">
        <f>IFERROR(VLOOKUP(M126,'02. MM-KLH'!$B$6:$T$823,15,0),"")</f>
        <v>1995</v>
      </c>
      <c r="O126" s="764">
        <f>IFERROR(VLOOKUP(M126,'02. MM-KLH'!$B$6:$T$823,9,0),"")</f>
        <v>44197</v>
      </c>
      <c r="P126" s="353"/>
      <c r="Q126" s="353" t="s">
        <v>1755</v>
      </c>
      <c r="R126" s="353"/>
      <c r="S126" s="353" t="s">
        <v>5978</v>
      </c>
      <c r="T126" s="353"/>
      <c r="U126" s="353" t="str">
        <f>IFERROR(VLOOKUP(M126,'02. MM-KLH'!$B$6:$T$823,5,0),"")</f>
        <v>ĐQSD</v>
      </c>
      <c r="V126" s="731" t="str">
        <f>IFERROR(VLOOKUP(M126,'02. MM-KLH'!$B$6:$T$823,8,0),"")</f>
        <v>CGTC LP</v>
      </c>
      <c r="W126" s="353" t="str">
        <f>IFERROR(VLOOKUP(V126,'NS QUẢN LÝ CG'!$A$4:$D$36,2,0),"")</f>
        <v>Đỗ Đức Nghĩa</v>
      </c>
      <c r="X126" s="353" t="str">
        <f>IFERROR(VLOOKUP(V126,'NS QUẢN LÝ CG'!$A$4:$D$36,4,0),"")</f>
        <v>NOCN L.4-LP3</v>
      </c>
      <c r="Y126" s="1104" t="str">
        <f>IFERROR(VLOOKUP(V126,'NS QUẢN LÝ CG'!$A$4:$C$36,3,0),"")</f>
        <v>0971462780</v>
      </c>
      <c r="Z126" s="731" t="str">
        <f>IFERROR(VLOOKUP(M126,'02. MM-KLH'!$B$6:$T$823,3,0),"")</f>
        <v>ATT-A24-0059</v>
      </c>
      <c r="AA126" s="353" t="s">
        <v>5981</v>
      </c>
      <c r="AB126" s="731"/>
      <c r="AC126" s="731"/>
    </row>
    <row r="127" ht="13.8" spans="1:29">
      <c r="A127" s="731"/>
      <c r="B127" s="613" t="str">
        <f>IFERROR(VLOOKUP(M127,'02. MM-KLH'!$B$6:$T$823,6,0),"")</f>
        <v>Xe ban KOMATSU GD605A</v>
      </c>
      <c r="C127" s="353">
        <v>1</v>
      </c>
      <c r="D127" s="353" t="str">
        <f>IFERROR(VLOOKUP(M127,'02. MM-KLH'!$B$6:$T$823,16,0),"")</f>
        <v>GD605A-5</v>
      </c>
      <c r="E127" s="353" t="s">
        <v>5978</v>
      </c>
      <c r="F127" s="353"/>
      <c r="G127" s="353"/>
      <c r="H127" s="353" t="str">
        <f>IFERROR(VLOOKUP(M127,'02. MM-KLH'!$B$6:$T$823,17,0),"")</f>
        <v>145HP</v>
      </c>
      <c r="I127" s="763">
        <f>IFERROR(VLOOKUP(M127,'02. MM-KLH'!$B$6:$U$823,20,0),"")</f>
        <v>9.3</v>
      </c>
      <c r="J127" s="613" t="str">
        <f>IFERROR(VLOOKUP(M127,'02. MM-KLH'!$B$6:$T$823,19,0),"")</f>
        <v>6D12532782</v>
      </c>
      <c r="K127" s="613" t="str">
        <f>IFERROR(VLOOKUP(M127,'02. MM-KLH'!$B$6:$T$823,18,0),"")</f>
        <v>G60A54058</v>
      </c>
      <c r="L127" s="353">
        <f>IFERROR(VLOOKUP(M127,'02. MM-KLH'!$B$6:$T$823,4,0),"")</f>
        <v>0</v>
      </c>
      <c r="M127" s="19" t="s">
        <v>817</v>
      </c>
      <c r="N127" s="356">
        <f>IFERROR(VLOOKUP(M127,'02. MM-KLH'!$B$6:$T$823,15,0),"")</f>
        <v>1995</v>
      </c>
      <c r="O127" s="764">
        <f>IFERROR(VLOOKUP(M127,'02. MM-KLH'!$B$6:$T$823,9,0),"")</f>
        <v>44136</v>
      </c>
      <c r="P127" s="353"/>
      <c r="Q127" s="353" t="s">
        <v>1755</v>
      </c>
      <c r="R127" s="353" t="s">
        <v>5978</v>
      </c>
      <c r="S127" s="353"/>
      <c r="T127" s="353"/>
      <c r="U127" s="353" t="str">
        <f>IFERROR(VLOOKUP(M127,'02. MM-KLH'!$B$6:$T$823,5,0),"")</f>
        <v>ĐQSD</v>
      </c>
      <c r="V127" s="731" t="str">
        <f>IFERROR(VLOOKUP(M127,'02. MM-KLH'!$B$6:$T$823,8,0),"")</f>
        <v>CGTC AD</v>
      </c>
      <c r="W127" s="353" t="str">
        <f>IFERROR(VLOOKUP(V127,'NS QUẢN LÝ CG'!$A$4:$D$36,2,0),"")</f>
        <v>Vũ Trung Kiên</v>
      </c>
      <c r="X127" s="353" t="str">
        <f>IFERROR(VLOOKUP(V127,'NS QUẢN LÝ CG'!$A$4:$D$36,4,0),"")</f>
        <v>Lô 73 ADM</v>
      </c>
      <c r="Y127" s="1104" t="str">
        <f>IFERROR(VLOOKUP(V127,'NS QUẢN LÝ CG'!$A$4:$C$36,3,0),"")</f>
        <v>0981761677</v>
      </c>
      <c r="Z127" s="731" t="str">
        <f>IFERROR(VLOOKUP(M127,'02. MM-KLH'!$B$6:$T$823,3,0),"")</f>
        <v>ATT-A22-0135</v>
      </c>
      <c r="AA127" s="353" t="s">
        <v>5980</v>
      </c>
      <c r="AB127" s="731"/>
      <c r="AC127" s="731"/>
    </row>
    <row r="128" spans="1:29">
      <c r="A128" s="731"/>
      <c r="B128" s="613" t="str">
        <f>IFERROR(VLOOKUP(M128,'02. MM-KLH'!$B$6:$T$823,6,0),"")</f>
        <v>Xe ban KOMATSU GD605A</v>
      </c>
      <c r="C128" s="353">
        <v>1</v>
      </c>
      <c r="D128" s="353" t="str">
        <f>IFERROR(VLOOKUP(M128,'02. MM-KLH'!$B$6:$T$823,16,0),"")</f>
        <v>GD605A-5</v>
      </c>
      <c r="E128" s="353" t="s">
        <v>5978</v>
      </c>
      <c r="F128" s="353"/>
      <c r="G128" s="353"/>
      <c r="H128" s="353" t="str">
        <f>IFERROR(VLOOKUP(M128,'02. MM-KLH'!$B$6:$T$823,17,0),"")</f>
        <v>155HP</v>
      </c>
      <c r="I128" s="763">
        <f>IFERROR(VLOOKUP(M128,'02. MM-KLH'!$B$6:$U$823,20,0),"")</f>
        <v>9.3</v>
      </c>
      <c r="J128" s="613" t="str">
        <f>IFERROR(VLOOKUP(M128,'02. MM-KLH'!$B$6:$T$823,19,0),"")</f>
        <v>6D12561725</v>
      </c>
      <c r="K128" s="613" t="str">
        <f>IFERROR(VLOOKUP(M128,'02. MM-KLH'!$B$6:$T$823,18,0),"")</f>
        <v>G60A54622</v>
      </c>
      <c r="L128" s="353">
        <f>IFERROR(VLOOKUP(M128,'02. MM-KLH'!$B$6:$T$823,4,0),"")</f>
        <v>0</v>
      </c>
      <c r="M128" s="49" t="s">
        <v>931</v>
      </c>
      <c r="N128" s="356">
        <f>IFERROR(VLOOKUP(M128,'02. MM-KLH'!$B$6:$T$823,15,0),"")</f>
        <v>1994</v>
      </c>
      <c r="O128" s="764" t="str">
        <f>IFERROR(VLOOKUP(M128,'02. MM-KLH'!$B$6:$T$823,9,0),"")</f>
        <v>28/05/2025</v>
      </c>
      <c r="Q128" s="765">
        <v>4810</v>
      </c>
      <c r="R128" s="353" t="s">
        <v>5978</v>
      </c>
      <c r="S128" s="353"/>
      <c r="T128" s="353"/>
      <c r="U128" s="353" t="str">
        <f>IFERROR(VLOOKUP(M128,'02. MM-KLH'!$B$6:$T$823,5,0),"")</f>
        <v>MỚI (ĐQSD)</v>
      </c>
      <c r="V128" s="731" t="str">
        <f>IFERROR(VLOOKUP(M128,'02. MM-KLH'!$B$6:$T$823,8,0),"")</f>
        <v>CGTC AD</v>
      </c>
      <c r="W128" s="353" t="str">
        <f>IFERROR(VLOOKUP(V128,'NS QUẢN LÝ CG'!$A$4:$D$36,2,0),"")</f>
        <v>Vũ Trung Kiên</v>
      </c>
      <c r="X128" s="353" t="str">
        <f>IFERROR(VLOOKUP(V128,'NS QUẢN LÝ CG'!$A$4:$D$36,4,0),"")</f>
        <v>Lô 73 ADM</v>
      </c>
      <c r="Y128" s="1104" t="str">
        <f>IFERROR(VLOOKUP(V128,'NS QUẢN LÝ CG'!$A$4:$C$36,3,0),"")</f>
        <v>0981761677</v>
      </c>
      <c r="Z128" s="731" t="str">
        <f>IFERROR(VLOOKUP(M128,'02. MM-KLH'!$B$6:$T$823,3,0),"")</f>
        <v>A23-BAN-005</v>
      </c>
      <c r="AA128" s="353" t="str">
        <f>_xlfn.SWITCH(LEFT(Z128,3),"A22","ADM","A23","DP","A24","LP","")</f>
        <v>DP</v>
      </c>
      <c r="AB128" s="731"/>
      <c r="AC128" s="731"/>
    </row>
    <row r="129" ht="13.8" spans="1:29">
      <c r="A129" s="731"/>
      <c r="B129" s="613" t="str">
        <f>IFERROR(VLOOKUP(M129,'02. MM-KLH'!$B$6:$T$823,6,0),"")</f>
        <v/>
      </c>
      <c r="C129" s="353"/>
      <c r="D129" s="353" t="str">
        <f>IFERROR(VLOOKUP(M129,'02. MM-KLH'!$B$6:$T$823,16,0),"")</f>
        <v/>
      </c>
      <c r="E129" s="353"/>
      <c r="F129" s="353"/>
      <c r="G129" s="353"/>
      <c r="H129" s="353" t="str">
        <f>IFERROR(VLOOKUP(M129,'02. MM-KLH'!$B$6:$T$823,17,0),"")</f>
        <v/>
      </c>
      <c r="I129" s="763" t="str">
        <f>IFERROR(VLOOKUP(M129,'02. MM-KLH'!$B$6:$U$823,20,0),"")</f>
        <v/>
      </c>
      <c r="J129" s="613" t="str">
        <f>IFERROR(VLOOKUP(M129,'02. MM-KLH'!$B$6:$T$823,19,0),"")</f>
        <v/>
      </c>
      <c r="K129" s="613" t="str">
        <f>IFERROR(VLOOKUP(M129,'02. MM-KLH'!$B$6:$T$823,18,0),"")</f>
        <v/>
      </c>
      <c r="L129" s="353" t="str">
        <f>IFERROR(VLOOKUP(M129,'02. MM-KLH'!$B$6:$T$823,4,0),"")</f>
        <v/>
      </c>
      <c r="M129" s="49"/>
      <c r="N129" s="356" t="str">
        <f>IFERROR(VLOOKUP(M129,'02. MM-KLH'!$B$6:$T$823,15,0),"")</f>
        <v/>
      </c>
      <c r="O129" s="764" t="str">
        <f>IFERROR(VLOOKUP(M129,'02. MM-KLH'!$B$6:$T$823,9,0),"")</f>
        <v/>
      </c>
      <c r="P129" s="353"/>
      <c r="Q129" s="353"/>
      <c r="R129" s="353"/>
      <c r="S129" s="353"/>
      <c r="T129" s="353"/>
      <c r="U129" s="353" t="str">
        <f>IFERROR(VLOOKUP(M129,'02. MM-KLH'!$B$6:$T$823,2,0),"")</f>
        <v/>
      </c>
      <c r="V129" s="731" t="str">
        <f>IFERROR(VLOOKUP(M129,'02. MM-KLH'!$B$6:$T$823,8,0),"")</f>
        <v/>
      </c>
      <c r="W129" s="353" t="str">
        <f>IFERROR(VLOOKUP(V129,'NS QUẢN LÝ CG'!$A$4:$D$36,2,0),"")</f>
        <v/>
      </c>
      <c r="X129" s="353" t="str">
        <f>IFERROR(VLOOKUP(V129,'NS QUẢN LÝ CG'!$A$4:$D$36,4,0),"")</f>
        <v/>
      </c>
      <c r="Y129" s="353"/>
      <c r="Z129" s="731" t="str">
        <f>IFERROR(VLOOKUP(M129,'02. MM-KLH'!$B$6:$T$823,3,0),"")</f>
        <v/>
      </c>
      <c r="AA129" s="353"/>
      <c r="AB129" s="731"/>
      <c r="AC129" s="731"/>
    </row>
    <row r="130" ht="13.8" hidden="1" spans="1:29">
      <c r="A130" s="731"/>
      <c r="B130" s="613" t="str">
        <f>IFERROR(VLOOKUP(M130,'02. MM-KLH'!$B$6:$T$823,6,0),"")</f>
        <v/>
      </c>
      <c r="C130" s="353"/>
      <c r="D130" s="353" t="str">
        <f>IFERROR(VLOOKUP(M130,'02. MM-KLH'!$B$6:$T$823,16,0),"")</f>
        <v/>
      </c>
      <c r="E130" s="353"/>
      <c r="F130" s="353"/>
      <c r="G130" s="353"/>
      <c r="H130" s="353" t="str">
        <f>IFERROR(VLOOKUP(M130,'02. MM-KLH'!$B$6:$T$823,17,0),"")</f>
        <v/>
      </c>
      <c r="I130" s="763" t="str">
        <f>IFERROR(VLOOKUP(M130,'02. MM-KLH'!$B$6:$U$823,20,0),"")</f>
        <v/>
      </c>
      <c r="J130" s="613" t="str">
        <f>IFERROR(VLOOKUP(M130,'02. MM-KLH'!$B$6:$T$823,19,0),"")</f>
        <v/>
      </c>
      <c r="K130" s="613" t="str">
        <f>IFERROR(VLOOKUP(M130,'02. MM-KLH'!$B$6:$T$823,18,0),"")</f>
        <v/>
      </c>
      <c r="L130" s="353" t="str">
        <f>IFERROR(VLOOKUP(M130,'02. MM-KLH'!$B$6:$T$823,4,0),"")</f>
        <v/>
      </c>
      <c r="M130" s="49"/>
      <c r="N130" s="356" t="str">
        <f>IFERROR(VLOOKUP(M130,'02. MM-KLH'!$B$6:$T$823,15,0),"")</f>
        <v/>
      </c>
      <c r="O130" s="764" t="str">
        <f>IFERROR(VLOOKUP(M130,'02. MM-KLH'!$B$6:$T$823,9,0),"")</f>
        <v/>
      </c>
      <c r="P130" s="353"/>
      <c r="Q130" s="353"/>
      <c r="R130" s="353"/>
      <c r="S130" s="353"/>
      <c r="T130" s="353"/>
      <c r="U130" s="353" t="str">
        <f>IFERROR(VLOOKUP(M130,'02. MM-KLH'!$B$6:$T$823,2,0),"")</f>
        <v/>
      </c>
      <c r="V130" s="731" t="str">
        <f>IFERROR(VLOOKUP(M130,'02. MM-KLH'!$B$6:$T$823,8,0),"")</f>
        <v/>
      </c>
      <c r="W130" s="353"/>
      <c r="X130" s="353"/>
      <c r="Y130" s="353"/>
      <c r="Z130" s="731" t="str">
        <f>IFERROR(VLOOKUP(M130,'02. MM-KLH'!$B$6:$T$823,3,0),"")</f>
        <v/>
      </c>
      <c r="AA130" s="353"/>
      <c r="AB130" s="731"/>
      <c r="AC130" s="731"/>
    </row>
    <row r="131" ht="13.8" hidden="1" spans="1:29">
      <c r="A131" s="731"/>
      <c r="B131" s="613" t="str">
        <f>IFERROR(VLOOKUP(M131,'02. MM-KLH'!$B$6:$T$823,6,0),"")</f>
        <v/>
      </c>
      <c r="C131" s="353"/>
      <c r="D131" s="353" t="str">
        <f>IFERROR(VLOOKUP(M131,'02. MM-KLH'!$B$6:$T$823,16,0),"")</f>
        <v/>
      </c>
      <c r="E131" s="353"/>
      <c r="F131" s="353"/>
      <c r="G131" s="353"/>
      <c r="H131" s="353" t="str">
        <f>IFERROR(VLOOKUP(M131,'02. MM-KLH'!$B$6:$T$823,17,0),"")</f>
        <v/>
      </c>
      <c r="I131" s="763" t="str">
        <f>IFERROR(VLOOKUP(M131,'02. MM-KLH'!$B$6:$U$823,20,0),"")</f>
        <v/>
      </c>
      <c r="J131" s="613" t="str">
        <f>IFERROR(VLOOKUP(M131,'02. MM-KLH'!$B$6:$T$823,19,0),"")</f>
        <v/>
      </c>
      <c r="K131" s="613" t="str">
        <f>IFERROR(VLOOKUP(M131,'02. MM-KLH'!$B$6:$T$823,18,0),"")</f>
        <v/>
      </c>
      <c r="L131" s="353" t="str">
        <f>IFERROR(VLOOKUP(M131,'02. MM-KLH'!$B$6:$T$823,4,0),"")</f>
        <v/>
      </c>
      <c r="M131" s="49"/>
      <c r="N131" s="356" t="str">
        <f>IFERROR(VLOOKUP(M131,'02. MM-KLH'!$B$6:$T$823,15,0),"")</f>
        <v/>
      </c>
      <c r="O131" s="764" t="str">
        <f>IFERROR(VLOOKUP(M131,'02. MM-KLH'!$B$6:$T$823,9,0),"")</f>
        <v/>
      </c>
      <c r="P131" s="353"/>
      <c r="Q131" s="353"/>
      <c r="R131" s="353"/>
      <c r="S131" s="353"/>
      <c r="T131" s="353"/>
      <c r="U131" s="353" t="str">
        <f>IFERROR(VLOOKUP(M131,'02. MM-KLH'!$B$6:$T$823,2,0),"")</f>
        <v/>
      </c>
      <c r="V131" s="731" t="str">
        <f>IFERROR(VLOOKUP(M131,'02. MM-KLH'!$B$6:$T$823,8,0),"")</f>
        <v/>
      </c>
      <c r="W131" s="353"/>
      <c r="X131" s="353"/>
      <c r="Y131" s="353"/>
      <c r="Z131" s="731" t="str">
        <f>IFERROR(VLOOKUP(M131,'02. MM-KLH'!$B$6:$T$823,3,0),"")</f>
        <v/>
      </c>
      <c r="AA131" s="353"/>
      <c r="AB131" s="731"/>
      <c r="AC131" s="731"/>
    </row>
    <row r="132" spans="1:29">
      <c r="A132" s="747" t="s">
        <v>3335</v>
      </c>
      <c r="B132" s="748" t="s">
        <v>3483</v>
      </c>
      <c r="C132" s="747">
        <f>SUM(C133,C141,C147,C151,C160,C164,C172)</f>
        <v>36</v>
      </c>
      <c r="D132" s="749"/>
      <c r="E132" s="749"/>
      <c r="F132" s="749"/>
      <c r="G132" s="749"/>
      <c r="H132" s="749"/>
      <c r="I132" s="750"/>
      <c r="J132" s="751"/>
      <c r="K132" s="751"/>
      <c r="L132" s="749"/>
      <c r="M132" s="749"/>
      <c r="N132" s="749"/>
      <c r="O132" s="752"/>
      <c r="P132" s="749"/>
      <c r="Q132" s="749"/>
      <c r="R132" s="749"/>
      <c r="S132" s="749"/>
      <c r="T132" s="749"/>
      <c r="U132" s="749"/>
      <c r="V132" s="750"/>
      <c r="W132" s="749"/>
      <c r="X132" s="749"/>
      <c r="Y132" s="749"/>
      <c r="Z132" s="750"/>
      <c r="AA132" s="749"/>
      <c r="AB132" s="750"/>
      <c r="AC132" s="753"/>
    </row>
    <row r="133" ht="13.8" spans="1:29">
      <c r="A133" s="754">
        <v>1</v>
      </c>
      <c r="B133" s="755" t="s">
        <v>480</v>
      </c>
      <c r="C133" s="754">
        <f>COUNTA(B134:B140)</f>
        <v>7</v>
      </c>
      <c r="D133" s="756"/>
      <c r="E133" s="756"/>
      <c r="F133" s="756"/>
      <c r="G133" s="756"/>
      <c r="H133" s="756"/>
      <c r="I133" s="757"/>
      <c r="J133" s="758"/>
      <c r="K133" s="758"/>
      <c r="L133" s="756"/>
      <c r="M133" s="759"/>
      <c r="N133" s="756"/>
      <c r="O133" s="760"/>
      <c r="P133" s="756"/>
      <c r="Q133" s="756"/>
      <c r="R133" s="756"/>
      <c r="S133" s="756"/>
      <c r="T133" s="756"/>
      <c r="U133" s="756"/>
      <c r="V133" s="761"/>
      <c r="W133" s="756"/>
      <c r="X133" s="756"/>
      <c r="Y133" s="756"/>
      <c r="Z133" s="761"/>
      <c r="AA133" s="756"/>
      <c r="AB133" s="761"/>
      <c r="AC133" s="762"/>
    </row>
    <row r="134" ht="13.8" spans="1:29">
      <c r="A134" s="731"/>
      <c r="B134" s="613" t="str">
        <f>IFERROR(VLOOKUP(M134,'02. MM-KLH'!$B$6:$T$823,6,0),"")</f>
        <v>Xe xúc lật WA400</v>
      </c>
      <c r="C134" s="353">
        <v>1</v>
      </c>
      <c r="D134" s="353" t="str">
        <f>IFERROR(VLOOKUP(M134,'02. MM-KLH'!$B$6:$T$823,16,0),"")</f>
        <v>WA400-3E</v>
      </c>
      <c r="E134" s="353" t="s">
        <v>5978</v>
      </c>
      <c r="F134" s="353"/>
      <c r="G134" s="353"/>
      <c r="H134" s="353" t="str">
        <f>IFERROR(VLOOKUP(M134,'02. MM-KLH'!$B$6:$T$823,17,0),"")</f>
        <v>208HP</v>
      </c>
      <c r="I134" s="763">
        <f>IFERROR(VLOOKUP(M134,'02. MM-KLH'!$B$6:$U$823,20,0),"")</f>
        <v>11</v>
      </c>
      <c r="J134" s="613" t="str">
        <f>IFERROR(VLOOKUP(M134,'02. MM-KLH'!$B$6:$T$823,19,0),"")</f>
        <v>CCN</v>
      </c>
      <c r="K134" s="613">
        <f>IFERROR(VLOOKUP(M134,'02. MM-KLH'!$B$6:$T$823,18,0),"")</f>
        <v>50183</v>
      </c>
      <c r="L134" s="353">
        <f>IFERROR(VLOOKUP(M134,'02. MM-KLH'!$B$6:$T$823,4,0),"")</f>
        <v>0</v>
      </c>
      <c r="M134" s="19" t="s">
        <v>2063</v>
      </c>
      <c r="N134" s="356">
        <f>IFERROR(VLOOKUP(M134,'02. MM-KLH'!$B$6:$T$823,15,0),"")</f>
        <v>2020</v>
      </c>
      <c r="O134" s="764">
        <f>IFERROR(VLOOKUP(M134,'02. MM-KLH'!$B$6:$T$823,9,0),"")</f>
        <v>0</v>
      </c>
      <c r="P134" s="21"/>
      <c r="Q134" s="353" t="s">
        <v>1755</v>
      </c>
      <c r="R134" s="353"/>
      <c r="S134" s="353" t="s">
        <v>5978</v>
      </c>
      <c r="T134" s="353"/>
      <c r="U134" s="353" t="str">
        <f>IFERROR(VLOOKUP(M134,'02. MM-KLH'!$B$6:$T$823,5,0),"")</f>
        <v>ĐQSD</v>
      </c>
      <c r="V134" s="731" t="str">
        <f>IFERROR(VLOOKUP(M134,'02. MM-KLH'!$B$6:$T$823,8,0),"")</f>
        <v>XN Bò AD</v>
      </c>
      <c r="W134" s="353" t="str">
        <f>IFERROR(VLOOKUP(V134,'NS QUẢN LÝ CG'!$A$4:$D$36,2,0),"")</f>
        <v/>
      </c>
      <c r="X134" s="353" t="str">
        <f>IFERROR(VLOOKUP(V134,'NS QUẢN LÝ CG'!$A$4:$D$36,4,0),"")</f>
        <v/>
      </c>
      <c r="Y134" s="353" t="str">
        <f>IFERROR(VLOOKUP(V134,'NS QUẢN LÝ CG'!$A$4:$C$36,3,0),"")</f>
        <v/>
      </c>
      <c r="Z134" s="731" t="str">
        <f>IFERROR(VLOOKUP(M134,'02. MM-KLH'!$B$6:$T$823,3,0),"")</f>
        <v>A22-XXL-002</v>
      </c>
      <c r="AA134" s="353" t="str">
        <f t="shared" ref="AA134:AA135" si="6">_xlfn.SWITCH(LEFT(Z134,3),"A22","ADM","A23","DP","A24","LP","")</f>
        <v>ADM</v>
      </c>
      <c r="AB134" s="731"/>
      <c r="AC134" s="731"/>
    </row>
    <row r="135" ht="13.8" spans="1:29">
      <c r="A135" s="731"/>
      <c r="B135" s="613" t="str">
        <f>IFERROR(VLOOKUP(M135,'02. MM-KLH'!$B$6:$T$823,6,0),"")</f>
        <v>Xe xúc lật WA350</v>
      </c>
      <c r="C135" s="353">
        <v>1</v>
      </c>
      <c r="D135" s="353" t="str">
        <f>IFERROR(VLOOKUP(M135,'02. MM-KLH'!$B$6:$T$823,16,0),"")</f>
        <v>WA350-3</v>
      </c>
      <c r="E135" s="353" t="s">
        <v>5978</v>
      </c>
      <c r="F135" s="353"/>
      <c r="G135" s="353"/>
      <c r="H135" s="353" t="str">
        <f>IFERROR(VLOOKUP(M135,'02. MM-KLH'!$B$6:$T$823,17,0),"")</f>
        <v>162HP</v>
      </c>
      <c r="I135" s="763">
        <f>IFERROR(VLOOKUP(M135,'02. MM-KLH'!$B$6:$U$823,20,0),"")</f>
        <v>14.25</v>
      </c>
      <c r="J135" s="613">
        <f>IFERROR(VLOOKUP(M135,'02. MM-KLH'!$B$6:$T$823,19,0),"")</f>
        <v>18033</v>
      </c>
      <c r="K135" s="613">
        <f>IFERROR(VLOOKUP(M135,'02. MM-KLH'!$B$6:$T$823,18,0),"")</f>
        <v>50100</v>
      </c>
      <c r="L135" s="353">
        <f>IFERROR(VLOOKUP(M135,'02. MM-KLH'!$B$6:$T$823,4,0),"")</f>
        <v>0</v>
      </c>
      <c r="M135" s="49" t="s">
        <v>2066</v>
      </c>
      <c r="N135" s="356">
        <f>IFERROR(VLOOKUP(M135,'02. MM-KLH'!$B$6:$T$823,15,0),"")</f>
        <v>2020</v>
      </c>
      <c r="O135" s="764">
        <f>IFERROR(VLOOKUP(M135,'02. MM-KLH'!$B$6:$T$823,9,0),"")</f>
        <v>44208</v>
      </c>
      <c r="P135" s="21"/>
      <c r="Q135" s="353" t="s">
        <v>1755</v>
      </c>
      <c r="R135" s="353" t="s">
        <v>5978</v>
      </c>
      <c r="S135" s="353"/>
      <c r="T135" s="353"/>
      <c r="U135" s="353" t="str">
        <f>IFERROR(VLOOKUP(M135,'02. MM-KLH'!$B$6:$T$823,5,0),"")</f>
        <v>ĐQSD</v>
      </c>
      <c r="V135" s="731" t="str">
        <f>IFERROR(VLOOKUP(M135,'02. MM-KLH'!$B$6:$T$823,8,0),"")</f>
        <v>XN Bò AD</v>
      </c>
      <c r="W135" s="353" t="str">
        <f>IFERROR(VLOOKUP(V135,'NS QUẢN LÝ CG'!$A$4:$D$36,2,0),"")</f>
        <v/>
      </c>
      <c r="X135" s="353" t="str">
        <f>IFERROR(VLOOKUP(V135,'NS QUẢN LÝ CG'!$A$4:$D$36,4,0),"")</f>
        <v/>
      </c>
      <c r="Y135" s="353" t="str">
        <f>IFERROR(VLOOKUP(V135,'NS QUẢN LÝ CG'!$A$4:$C$36,3,0),"")</f>
        <v/>
      </c>
      <c r="Z135" s="731" t="str">
        <f>IFERROR(VLOOKUP(M135,'02. MM-KLH'!$B$6:$T$823,3,0),"")</f>
        <v>A22-XXL-004</v>
      </c>
      <c r="AA135" s="353" t="str">
        <f t="shared" si="6"/>
        <v>ADM</v>
      </c>
      <c r="AB135" s="731"/>
      <c r="AC135" s="731"/>
    </row>
    <row r="136" ht="13.8" spans="1:29">
      <c r="A136" s="731"/>
      <c r="B136" s="613" t="str">
        <f>IFERROR(VLOOKUP(M136,'02. MM-KLH'!$B$6:$T$823,6,0),"")</f>
        <v>Xe xúc lật WA200-3</v>
      </c>
      <c r="C136" s="353">
        <v>1</v>
      </c>
      <c r="D136" s="353" t="str">
        <f>IFERROR(VLOOKUP(M136,'02. MM-KLH'!$B$6:$T$823,16,0),"")</f>
        <v>WA200-3</v>
      </c>
      <c r="E136" s="353" t="s">
        <v>5978</v>
      </c>
      <c r="F136" s="353"/>
      <c r="G136" s="353"/>
      <c r="H136" s="353" t="str">
        <f>IFERROR(VLOOKUP(M136,'02. MM-KLH'!$B$6:$T$823,17,0),"")</f>
        <v>123HP</v>
      </c>
      <c r="I136" s="763">
        <f>IFERROR(VLOOKUP(M136,'02. MM-KLH'!$B$6:$U$823,20,0),"")</f>
        <v>8.31</v>
      </c>
      <c r="J136" s="613" t="str">
        <f>IFERROR(VLOOKUP(M136,'02. MM-KLH'!$B$6:$T$823,19,0),"")</f>
        <v>6D95L-140544</v>
      </c>
      <c r="K136" s="613" t="str">
        <f>IFERROR(VLOOKUP(M136,'02. MM-KLH'!$B$6:$T$823,18,0),"")</f>
        <v>W038-60400</v>
      </c>
      <c r="L136" s="353">
        <f>IFERROR(VLOOKUP(M136,'02. MM-KLH'!$B$6:$T$823,4,0),"")</f>
        <v>0</v>
      </c>
      <c r="M136" s="19" t="s">
        <v>2581</v>
      </c>
      <c r="N136" s="356">
        <f>IFERROR(VLOOKUP(M136,'02. MM-KLH'!$B$6:$T$823,15,0),"")</f>
        <v>1994</v>
      </c>
      <c r="O136" s="764">
        <f>IFERROR(VLOOKUP(M136,'02. MM-KLH'!$B$6:$T$823,9,0),"")</f>
        <v>44197</v>
      </c>
      <c r="P136" s="21"/>
      <c r="Q136" s="353" t="s">
        <v>1755</v>
      </c>
      <c r="R136" s="353"/>
      <c r="S136" s="353"/>
      <c r="T136" s="353"/>
      <c r="U136" s="353" t="str">
        <f>IFERROR(VLOOKUP(M136,'02. MM-KLH'!$B$6:$T$823,5,0),"")</f>
        <v>ĐQSD</v>
      </c>
      <c r="V136" s="731" t="str">
        <f>IFERROR(VLOOKUP(M136,'02. MM-KLH'!$B$6:$T$823,8,0),"")</f>
        <v>Trạm trộn bê tông</v>
      </c>
      <c r="W136" s="353" t="str">
        <f>IFERROR(VLOOKUP(V136,'NS QUẢN LÝ CG'!$A$4:$D$36,2,0),"")</f>
        <v/>
      </c>
      <c r="X136" s="353" t="str">
        <f>IFERROR(VLOOKUP(V136,'NS QUẢN LÝ CG'!$A$4:$D$36,4,0),"")</f>
        <v/>
      </c>
      <c r="Y136" s="353" t="str">
        <f>IFERROR(VLOOKUP(V136,'NS QUẢN LÝ CG'!$A$4:$C$36,3,0),"")</f>
        <v/>
      </c>
      <c r="Z136" s="731" t="str">
        <f>IFERROR(VLOOKUP(M136,'02. MM-KLH'!$B$6:$T$823,3,0),"")</f>
        <v>ATT-A22-0158</v>
      </c>
      <c r="AA136" s="353" t="s">
        <v>5980</v>
      </c>
      <c r="AB136" s="731"/>
      <c r="AC136" s="731"/>
    </row>
    <row r="137" ht="13.8" spans="1:29">
      <c r="A137" s="731"/>
      <c r="B137" s="613" t="str">
        <f>IFERROR(VLOOKUP(M137,'02. MM-KLH'!$B$6:$T$823,6,0),"")</f>
        <v>Xe xúc lật WA200-3</v>
      </c>
      <c r="C137" s="353">
        <v>1</v>
      </c>
      <c r="D137" s="353" t="str">
        <f>IFERROR(VLOOKUP(M137,'02. MM-KLH'!$B$6:$T$823,16,0),"")</f>
        <v>WA200-3</v>
      </c>
      <c r="E137" s="353" t="s">
        <v>5978</v>
      </c>
      <c r="F137" s="353"/>
      <c r="G137" s="353"/>
      <c r="H137" s="353" t="str">
        <f>IFERROR(VLOOKUP(M137,'02. MM-KLH'!$B$6:$T$823,17,0),"")</f>
        <v>125HP</v>
      </c>
      <c r="I137" s="763">
        <f>IFERROR(VLOOKUP(M137,'02. MM-KLH'!$B$6:$U$823,20,0),"")</f>
        <v>9</v>
      </c>
      <c r="J137" s="613" t="str">
        <f>IFERROR(VLOOKUP(M137,'02. MM-KLH'!$B$6:$T$823,19,0),"")</f>
        <v>6D95L-153498</v>
      </c>
      <c r="K137" s="613" t="str">
        <f>IFERROR(VLOOKUP(M137,'02. MM-KLH'!$B$6:$T$823,18,0),"")</f>
        <v>W038-60624</v>
      </c>
      <c r="L137" s="353">
        <f>IFERROR(VLOOKUP(M137,'02. MM-KLH'!$B$6:$T$823,4,0),"")</f>
        <v>0</v>
      </c>
      <c r="M137" s="19" t="s">
        <v>2585</v>
      </c>
      <c r="N137" s="356">
        <f>IFERROR(VLOOKUP(M137,'02. MM-KLH'!$B$6:$T$823,15,0),"")</f>
        <v>2021</v>
      </c>
      <c r="O137" s="764" t="str">
        <f>IFERROR(VLOOKUP(M137,'02. MM-KLH'!$B$6:$T$823,9,0),"")</f>
        <v>24/01/2024</v>
      </c>
      <c r="P137" s="21"/>
      <c r="Q137" s="353" t="s">
        <v>1755</v>
      </c>
      <c r="R137" s="353"/>
      <c r="S137" s="353"/>
      <c r="T137" s="353"/>
      <c r="U137" s="353" t="str">
        <f>IFERROR(VLOOKUP(M137,'02. MM-KLH'!$B$6:$T$823,5,0),"")</f>
        <v>ĐQSD</v>
      </c>
      <c r="V137" s="731" t="str">
        <f>IFERROR(VLOOKUP(M137,'02. MM-KLH'!$B$6:$T$823,8,0),"")</f>
        <v>Trạm trộn bê tông</v>
      </c>
      <c r="W137" s="353" t="str">
        <f>IFERROR(VLOOKUP(V137,'NS QUẢN LÝ CG'!$A$4:$D$36,2,0),"")</f>
        <v/>
      </c>
      <c r="X137" s="353" t="str">
        <f>IFERROR(VLOOKUP(V137,'NS QUẢN LÝ CG'!$A$4:$D$36,4,0),"")</f>
        <v/>
      </c>
      <c r="Y137" s="353" t="str">
        <f>IFERROR(VLOOKUP(V137,'NS QUẢN LÝ CG'!$A$4:$C$36,3,0),"")</f>
        <v/>
      </c>
      <c r="Z137" s="731" t="str">
        <f>IFERROR(VLOOKUP(M137,'02. MM-KLH'!$B$6:$T$823,3,0),"")</f>
        <v>ATT-A22-0323</v>
      </c>
      <c r="AA137" s="353" t="s">
        <v>5980</v>
      </c>
      <c r="AB137" s="731"/>
      <c r="AC137" s="731"/>
    </row>
    <row r="138" ht="13.8" spans="1:29">
      <c r="A138" s="731"/>
      <c r="B138" s="613" t="str">
        <f>IFERROR(VLOOKUP(M138,'02. MM-KLH'!$B$6:$T$823,6,0),"")</f>
        <v/>
      </c>
      <c r="C138" s="353"/>
      <c r="D138" s="353" t="str">
        <f>IFERROR(VLOOKUP(M138,'02. MM-KLH'!$B$6:$T$823,16,0),"")</f>
        <v/>
      </c>
      <c r="E138" s="353"/>
      <c r="F138" s="353"/>
      <c r="G138" s="353"/>
      <c r="H138" s="353" t="str">
        <f>IFERROR(VLOOKUP(M138,'02. MM-KLH'!$B$6:$T$823,17,0),"")</f>
        <v/>
      </c>
      <c r="I138" s="763" t="str">
        <f>IFERROR(VLOOKUP(M138,'02. MM-KLH'!$B$6:$U$823,20,0),"")</f>
        <v/>
      </c>
      <c r="J138" s="613" t="str">
        <f>IFERROR(VLOOKUP(M138,'02. MM-KLH'!$B$6:$T$823,19,0),"")</f>
        <v/>
      </c>
      <c r="K138" s="613" t="str">
        <f>IFERROR(VLOOKUP(M138,'02. MM-KLH'!$B$6:$T$823,18,0),"")</f>
        <v/>
      </c>
      <c r="L138" s="353" t="str">
        <f>IFERROR(VLOOKUP(M138,'02. MM-KLH'!$B$6:$T$823,4,0),"")</f>
        <v/>
      </c>
      <c r="M138" s="19"/>
      <c r="N138" s="356" t="str">
        <f>IFERROR(VLOOKUP(M138,'02. MM-KLH'!$B$6:$T$823,15,0),"")</f>
        <v/>
      </c>
      <c r="O138" s="764" t="str">
        <f>IFERROR(VLOOKUP(M138,'02. MM-KLH'!$B$6:$T$823,9,0),"")</f>
        <v/>
      </c>
      <c r="P138" s="353"/>
      <c r="Q138" s="353"/>
      <c r="R138" s="353"/>
      <c r="S138" s="353"/>
      <c r="T138" s="353"/>
      <c r="U138" s="353" t="str">
        <f>IFERROR(VLOOKUP(M138,'02. MM-KLH'!$B$6:$T$823,2,0),"")</f>
        <v/>
      </c>
      <c r="V138" s="731" t="str">
        <f>IFERROR(VLOOKUP(M138,'02. MM-KLH'!$B$6:$T$823,8,0),"")</f>
        <v/>
      </c>
      <c r="W138" s="353" t="str">
        <f>IFERROR(VLOOKUP(V138,'NS QUẢN LÝ CG'!$A$4:$D$36,2,0),"")</f>
        <v/>
      </c>
      <c r="X138" s="353" t="str">
        <f>IFERROR(VLOOKUP(V138,'NS QUẢN LÝ CG'!$A$4:$D$36,4,0),"")</f>
        <v/>
      </c>
      <c r="Y138" s="353"/>
      <c r="Z138" s="731" t="str">
        <f>IFERROR(VLOOKUP(M138,'02. MM-KLH'!$B$6:$T$823,3,0),"")</f>
        <v/>
      </c>
      <c r="AA138" s="353"/>
      <c r="AB138" s="731"/>
      <c r="AC138" s="731"/>
    </row>
    <row r="139" ht="13.8" hidden="1" spans="1:29">
      <c r="A139" s="731"/>
      <c r="B139" s="613" t="str">
        <f>IFERROR(VLOOKUP(M139,'02. MM-KLH'!$B$6:$T$823,6,0),"")</f>
        <v/>
      </c>
      <c r="C139" s="353"/>
      <c r="D139" s="353" t="str">
        <f>IFERROR(VLOOKUP(M139,'02. MM-KLH'!$B$6:$T$823,16,0),"")</f>
        <v/>
      </c>
      <c r="E139" s="353"/>
      <c r="F139" s="353"/>
      <c r="G139" s="353"/>
      <c r="H139" s="353" t="str">
        <f>IFERROR(VLOOKUP(M139,'02. MM-KLH'!$B$6:$T$823,17,0),"")</f>
        <v/>
      </c>
      <c r="I139" s="763" t="str">
        <f>IFERROR(VLOOKUP(M139,'02. MM-KLH'!$B$6:$U$823,20,0),"")</f>
        <v/>
      </c>
      <c r="J139" s="613" t="str">
        <f>IFERROR(VLOOKUP(M139,'02. MM-KLH'!$B$6:$T$823,19,0),"")</f>
        <v/>
      </c>
      <c r="K139" s="613" t="str">
        <f>IFERROR(VLOOKUP(M139,'02. MM-KLH'!$B$6:$T$823,18,0),"")</f>
        <v/>
      </c>
      <c r="L139" s="353" t="str">
        <f>IFERROR(VLOOKUP(M139,'02. MM-KLH'!$B$6:$T$823,4,0),"")</f>
        <v/>
      </c>
      <c r="M139" s="19"/>
      <c r="N139" s="356" t="str">
        <f>IFERROR(VLOOKUP(M139,'02. MM-KLH'!$B$6:$T$823,15,0),"")</f>
        <v/>
      </c>
      <c r="O139" s="764" t="str">
        <f>IFERROR(VLOOKUP(M139,'02. MM-KLH'!$B$6:$T$823,9,0),"")</f>
        <v/>
      </c>
      <c r="P139" s="353"/>
      <c r="Q139" s="353"/>
      <c r="R139" s="353"/>
      <c r="S139" s="353"/>
      <c r="T139" s="353"/>
      <c r="U139" s="353" t="str">
        <f>IFERROR(VLOOKUP(M139,'02. MM-KLH'!$B$6:$T$823,2,0),"")</f>
        <v/>
      </c>
      <c r="V139" s="731" t="str">
        <f>IFERROR(VLOOKUP(M139,'02. MM-KLH'!$B$6:$T$823,8,0),"")</f>
        <v/>
      </c>
      <c r="W139" s="353"/>
      <c r="X139" s="353"/>
      <c r="Y139" s="353"/>
      <c r="Z139" s="731" t="str">
        <f>IFERROR(VLOOKUP(M139,'02. MM-KLH'!$B$6:$T$823,3,0),"")</f>
        <v/>
      </c>
      <c r="AA139" s="353"/>
      <c r="AB139" s="731"/>
      <c r="AC139" s="731"/>
    </row>
    <row r="140" ht="13.8" hidden="1" spans="1:29">
      <c r="A140" s="731"/>
      <c r="B140" s="613" t="str">
        <f>IFERROR(VLOOKUP(M140,'02. MM-KLH'!$B$6:$T$823,6,0),"")</f>
        <v/>
      </c>
      <c r="C140" s="353"/>
      <c r="D140" s="353" t="str">
        <f>IFERROR(VLOOKUP(M140,'02. MM-KLH'!$B$6:$T$823,16,0),"")</f>
        <v/>
      </c>
      <c r="E140" s="353"/>
      <c r="F140" s="353"/>
      <c r="G140" s="353"/>
      <c r="H140" s="353" t="str">
        <f>IFERROR(VLOOKUP(M140,'02. MM-KLH'!$B$6:$T$823,17,0),"")</f>
        <v/>
      </c>
      <c r="I140" s="763" t="str">
        <f>IFERROR(VLOOKUP(M140,'02. MM-KLH'!$B$6:$U$823,20,0),"")</f>
        <v/>
      </c>
      <c r="J140" s="613" t="str">
        <f>IFERROR(VLOOKUP(M140,'02. MM-KLH'!$B$6:$T$823,19,0),"")</f>
        <v/>
      </c>
      <c r="K140" s="613" t="str">
        <f>IFERROR(VLOOKUP(M140,'02. MM-KLH'!$B$6:$T$823,18,0),"")</f>
        <v/>
      </c>
      <c r="L140" s="353" t="str">
        <f>IFERROR(VLOOKUP(M140,'02. MM-KLH'!$B$6:$T$823,4,0),"")</f>
        <v/>
      </c>
      <c r="M140" s="19"/>
      <c r="N140" s="356" t="str">
        <f>IFERROR(VLOOKUP(M140,'02. MM-KLH'!$B$6:$T$823,15,0),"")</f>
        <v/>
      </c>
      <c r="O140" s="764" t="str">
        <f>IFERROR(VLOOKUP(M140,'02. MM-KLH'!$B$6:$T$823,9,0),"")</f>
        <v/>
      </c>
      <c r="P140" s="353"/>
      <c r="Q140" s="353"/>
      <c r="R140" s="353"/>
      <c r="S140" s="353"/>
      <c r="T140" s="353"/>
      <c r="U140" s="353" t="str">
        <f>IFERROR(VLOOKUP(M140,'02. MM-KLH'!$B$6:$T$823,2,0),"")</f>
        <v/>
      </c>
      <c r="V140" s="731" t="str">
        <f>IFERROR(VLOOKUP(M140,'02. MM-KLH'!$B$6:$T$823,8,0),"")</f>
        <v/>
      </c>
      <c r="W140" s="353"/>
      <c r="X140" s="353"/>
      <c r="Y140" s="353"/>
      <c r="Z140" s="731" t="str">
        <f>IFERROR(VLOOKUP(M140,'02. MM-KLH'!$B$6:$T$823,3,0),"")</f>
        <v/>
      </c>
      <c r="AA140" s="353"/>
      <c r="AB140" s="731"/>
      <c r="AC140" s="731"/>
    </row>
    <row r="141" ht="13.8" spans="1:29">
      <c r="A141" s="754">
        <v>2</v>
      </c>
      <c r="B141" s="755" t="s">
        <v>2133</v>
      </c>
      <c r="C141" s="754">
        <f>COUNTA(B142:B146)</f>
        <v>5</v>
      </c>
      <c r="D141" s="756"/>
      <c r="E141" s="756"/>
      <c r="F141" s="756"/>
      <c r="G141" s="756"/>
      <c r="H141" s="756"/>
      <c r="I141" s="757"/>
      <c r="J141" s="758"/>
      <c r="K141" s="758"/>
      <c r="L141" s="756"/>
      <c r="M141" s="759"/>
      <c r="N141" s="756"/>
      <c r="O141" s="760"/>
      <c r="P141" s="756"/>
      <c r="Q141" s="756"/>
      <c r="R141" s="756"/>
      <c r="S141" s="756"/>
      <c r="T141" s="756"/>
      <c r="U141" s="756"/>
      <c r="V141" s="761"/>
      <c r="W141" s="756"/>
      <c r="X141" s="756"/>
      <c r="Y141" s="756"/>
      <c r="Z141" s="761"/>
      <c r="AA141" s="756"/>
      <c r="AB141" s="761"/>
      <c r="AC141" s="762"/>
    </row>
    <row r="142" ht="13.8" spans="1:29">
      <c r="A142" s="731"/>
      <c r="B142" s="613" t="str">
        <f>IFERROR(VLOOKUP(M142,'02. MM-KLH'!$B$6:$T$823,6,0),"")</f>
        <v>Xe xúc lật BOBCAT 753</v>
      </c>
      <c r="C142" s="353">
        <v>1</v>
      </c>
      <c r="D142" s="353">
        <f>IFERROR(VLOOKUP(M142,'02. MM-KLH'!$B$6:$T$823,16,0),"")</f>
        <v>753</v>
      </c>
      <c r="E142" s="353" t="s">
        <v>5978</v>
      </c>
      <c r="F142" s="353"/>
      <c r="G142" s="353"/>
      <c r="H142" s="353" t="str">
        <f>IFERROR(VLOOKUP(M142,'02. MM-KLH'!$B$6:$T$823,17,0),"")</f>
        <v>44Hp</v>
      </c>
      <c r="I142" s="763">
        <f>IFERROR(VLOOKUP(M142,'02. MM-KLH'!$B$6:$U$823,20,0),"")</f>
        <v>0</v>
      </c>
      <c r="J142" s="613" t="str">
        <f>IFERROR(VLOOKUP(M142,'02. MM-KLH'!$B$6:$T$823,19,0),"")</f>
        <v>V2203-389041</v>
      </c>
      <c r="K142" s="613">
        <f>IFERROR(VLOOKUP(M142,'02. MM-KLH'!$B$6:$T$823,18,0),"")</f>
        <v>511350401</v>
      </c>
      <c r="L142" s="353">
        <f>IFERROR(VLOOKUP(M142,'02. MM-KLH'!$B$6:$T$823,4,0),"")</f>
        <v>0</v>
      </c>
      <c r="M142" s="49" t="s">
        <v>2131</v>
      </c>
      <c r="N142" s="356">
        <f>IFERROR(VLOOKUP(M142,'02. MM-KLH'!$B$6:$T$823,15,0),"")</f>
        <v>0</v>
      </c>
      <c r="O142" s="764">
        <f>IFERROR(VLOOKUP(M142,'02. MM-KLH'!$B$6:$T$823,9,0),"")</f>
        <v>46082</v>
      </c>
      <c r="P142" s="21"/>
      <c r="Q142" s="353" t="s">
        <v>1755</v>
      </c>
      <c r="R142" s="353" t="s">
        <v>5978</v>
      </c>
      <c r="S142" s="353"/>
      <c r="T142" s="353"/>
      <c r="U142" s="353" t="str">
        <f>IFERROR(VLOOKUP(M142,'02. MM-KLH'!$B$6:$T$823,5,0),"")</f>
        <v>MỚI (ĐQSD)</v>
      </c>
      <c r="V142" s="731" t="str">
        <f>IFERROR(VLOOKUP(M142,'02. MM-KLH'!$B$6:$T$823,8,0),"")</f>
        <v>XN Bò AD</v>
      </c>
      <c r="W142" s="353" t="str">
        <f>IFERROR(VLOOKUP(V142,'NS QUẢN LÝ CG'!$A$4:$D$36,2,0),"")</f>
        <v/>
      </c>
      <c r="X142" s="353" t="str">
        <f>IFERROR(VLOOKUP(V142,'NS QUẢN LÝ CG'!$A$4:$D$36,4,0),"")</f>
        <v/>
      </c>
      <c r="Y142" s="353" t="str">
        <f>IFERROR(VLOOKUP(V142,'NS QUẢN LÝ CG'!$A$4:$C$36,3,0),"")</f>
        <v/>
      </c>
      <c r="Z142" s="731" t="str">
        <f>IFERROR(VLOOKUP(M142,'02. MM-KLH'!$B$6:$T$823,3,0),"")</f>
        <v>A22-XXL-016</v>
      </c>
      <c r="AA142" s="353" t="str">
        <f t="shared" ref="AA142:AA143" si="7">_xlfn.SWITCH(LEFT(Z142,3),"A22","ADM","A23","DP","A24","LP","")</f>
        <v>ADM</v>
      </c>
      <c r="AB142" s="731"/>
      <c r="AC142" s="731"/>
    </row>
    <row r="143" ht="13.8" spans="1:29">
      <c r="A143" s="731"/>
      <c r="B143" s="613" t="str">
        <f>IFERROR(VLOOKUP(M143,'02. MM-KLH'!$B$6:$T$823,6,0),"")</f>
        <v>Xe xúc lật BOBCAT 763</v>
      </c>
      <c r="C143" s="353">
        <v>1</v>
      </c>
      <c r="D143" s="353">
        <f>IFERROR(VLOOKUP(M143,'02. MM-KLH'!$B$6:$T$823,16,0),"")</f>
        <v>763</v>
      </c>
      <c r="E143" s="353" t="s">
        <v>5978</v>
      </c>
      <c r="F143" s="353"/>
      <c r="G143" s="353"/>
      <c r="H143" s="353" t="str">
        <f>IFERROR(VLOOKUP(M143,'02. MM-KLH'!$B$6:$T$823,17,0),"")</f>
        <v>46Hp</v>
      </c>
      <c r="I143" s="763">
        <f>IFERROR(VLOOKUP(M143,'02. MM-KLH'!$B$6:$U$823,20,0),"")</f>
        <v>0</v>
      </c>
      <c r="J143" s="613" t="str">
        <f>IFERROR(VLOOKUP(M143,'02. MM-KLH'!$B$6:$T$823,19,0),"")</f>
        <v>V2203-111961</v>
      </c>
      <c r="K143" s="613">
        <f>IFERROR(VLOOKUP(M143,'02. MM-KLH'!$B$6:$T$823,18,0),"")</f>
        <v>512215700</v>
      </c>
      <c r="L143" s="353">
        <f>IFERROR(VLOOKUP(M143,'02. MM-KLH'!$B$6:$T$823,4,0),"")</f>
        <v>0</v>
      </c>
      <c r="M143" s="49" t="s">
        <v>2137</v>
      </c>
      <c r="N143" s="356">
        <f>IFERROR(VLOOKUP(M143,'02. MM-KLH'!$B$6:$T$823,15,0),"")</f>
        <v>0</v>
      </c>
      <c r="O143" s="764">
        <f>IFERROR(VLOOKUP(M143,'02. MM-KLH'!$B$6:$T$823,9,0),"")</f>
        <v>46082</v>
      </c>
      <c r="P143" s="21"/>
      <c r="Q143" s="353" t="s">
        <v>1755</v>
      </c>
      <c r="R143" s="353"/>
      <c r="S143" s="353" t="s">
        <v>5978</v>
      </c>
      <c r="T143" s="353"/>
      <c r="U143" s="353" t="str">
        <f>IFERROR(VLOOKUP(M143,'02. MM-KLH'!$B$6:$T$823,5,0),"")</f>
        <v>MỚI (ĐQSD)</v>
      </c>
      <c r="V143" s="731" t="str">
        <f>IFERROR(VLOOKUP(M143,'02. MM-KLH'!$B$6:$T$823,8,0),"")</f>
        <v>XN Bò AD</v>
      </c>
      <c r="W143" s="353" t="str">
        <f>IFERROR(VLOOKUP(V143,'NS QUẢN LÝ CG'!$A$4:$D$36,2,0),"")</f>
        <v/>
      </c>
      <c r="X143" s="353" t="str">
        <f>IFERROR(VLOOKUP(V143,'NS QUẢN LÝ CG'!$A$4:$D$36,4,0),"")</f>
        <v/>
      </c>
      <c r="Y143" s="353" t="str">
        <f>IFERROR(VLOOKUP(V143,'NS QUẢN LÝ CG'!$A$4:$C$36,3,0),"")</f>
        <v/>
      </c>
      <c r="Z143" s="731" t="str">
        <f>IFERROR(VLOOKUP(M143,'02. MM-KLH'!$B$6:$T$823,3,0),"")</f>
        <v>A22-XXL-017</v>
      </c>
      <c r="AA143" s="353" t="str">
        <f t="shared" si="7"/>
        <v>ADM</v>
      </c>
      <c r="AB143" s="731"/>
      <c r="AC143" s="731"/>
    </row>
    <row r="144" ht="13.8" spans="1:29">
      <c r="A144" s="731"/>
      <c r="B144" s="613" t="str">
        <f>IFERROR(VLOOKUP(M144,'02. MM-KLH'!$B$6:$T$823,6,0),"")</f>
        <v/>
      </c>
      <c r="C144" s="353"/>
      <c r="D144" s="353" t="str">
        <f>IFERROR(VLOOKUP(M144,'02. MM-KLH'!$B$6:$T$823,16,0),"")</f>
        <v/>
      </c>
      <c r="E144" s="353"/>
      <c r="F144" s="353"/>
      <c r="G144" s="353"/>
      <c r="H144" s="353" t="str">
        <f>IFERROR(VLOOKUP(M144,'02. MM-KLH'!$B$6:$T$823,17,0),"")</f>
        <v/>
      </c>
      <c r="I144" s="763" t="str">
        <f>IFERROR(VLOOKUP(M144,'02. MM-KLH'!$B$6:$U$823,20,0),"")</f>
        <v/>
      </c>
      <c r="J144" s="613" t="str">
        <f>IFERROR(VLOOKUP(M144,'02. MM-KLH'!$B$6:$T$823,19,0),"")</f>
        <v/>
      </c>
      <c r="K144" s="613" t="str">
        <f>IFERROR(VLOOKUP(M144,'02. MM-KLH'!$B$6:$T$823,18,0),"")</f>
        <v/>
      </c>
      <c r="L144" s="353" t="str">
        <f>IFERROR(VLOOKUP(M144,'02. MM-KLH'!$B$6:$T$823,4,0),"")</f>
        <v/>
      </c>
      <c r="M144" s="49"/>
      <c r="N144" s="356" t="str">
        <f>IFERROR(VLOOKUP(M144,'02. MM-KLH'!$B$6:$T$823,15,0),"")</f>
        <v/>
      </c>
      <c r="O144" s="764" t="str">
        <f>IFERROR(VLOOKUP(M144,'02. MM-KLH'!$B$6:$T$823,9,0),"")</f>
        <v/>
      </c>
      <c r="P144" s="353"/>
      <c r="Q144" s="353"/>
      <c r="R144" s="353"/>
      <c r="S144" s="353"/>
      <c r="T144" s="353"/>
      <c r="U144" s="353" t="str">
        <f>IFERROR(VLOOKUP(M144,'02. MM-KLH'!$B$6:$T$823,2,0),"")</f>
        <v/>
      </c>
      <c r="V144" s="731" t="str">
        <f>IFERROR(VLOOKUP(M144,'02. MM-KLH'!$B$6:$T$823,8,0),"")</f>
        <v/>
      </c>
      <c r="W144" s="353" t="str">
        <f>IFERROR(VLOOKUP(V144,'NS QUẢN LÝ CG'!$A$4:$D$36,2,0),"")</f>
        <v/>
      </c>
      <c r="X144" s="353" t="str">
        <f>IFERROR(VLOOKUP(V144,'NS QUẢN LÝ CG'!$A$4:$D$36,4,0),"")</f>
        <v/>
      </c>
      <c r="Y144" s="353"/>
      <c r="Z144" s="731" t="str">
        <f>IFERROR(VLOOKUP(M144,'02. MM-KLH'!$B$6:$T$823,3,0),"")</f>
        <v/>
      </c>
      <c r="AA144" s="353"/>
      <c r="AB144" s="731"/>
      <c r="AC144" s="731"/>
    </row>
    <row r="145" ht="13.8" hidden="1" spans="1:29">
      <c r="A145" s="731"/>
      <c r="B145" s="613" t="str">
        <f>IFERROR(VLOOKUP(M145,'02. MM-KLH'!$B$6:$T$823,6,0),"")</f>
        <v/>
      </c>
      <c r="C145" s="353"/>
      <c r="D145" s="353" t="str">
        <f>IFERROR(VLOOKUP(M145,'02. MM-KLH'!$B$6:$T$823,16,0),"")</f>
        <v/>
      </c>
      <c r="E145" s="353"/>
      <c r="F145" s="353"/>
      <c r="G145" s="353"/>
      <c r="H145" s="353" t="str">
        <f>IFERROR(VLOOKUP(M145,'02. MM-KLH'!$B$6:$T$823,17,0),"")</f>
        <v/>
      </c>
      <c r="I145" s="763" t="str">
        <f>IFERROR(VLOOKUP(M145,'02. MM-KLH'!$B$6:$U$823,20,0),"")</f>
        <v/>
      </c>
      <c r="J145" s="613" t="str">
        <f>IFERROR(VLOOKUP(M145,'02. MM-KLH'!$B$6:$T$823,19,0),"")</f>
        <v/>
      </c>
      <c r="K145" s="613" t="str">
        <f>IFERROR(VLOOKUP(M145,'02. MM-KLH'!$B$6:$T$823,18,0),"")</f>
        <v/>
      </c>
      <c r="L145" s="353" t="str">
        <f>IFERROR(VLOOKUP(M145,'02. MM-KLH'!$B$6:$T$823,4,0),"")</f>
        <v/>
      </c>
      <c r="M145" s="49"/>
      <c r="N145" s="356" t="str">
        <f>IFERROR(VLOOKUP(M145,'02. MM-KLH'!$B$6:$T$823,15,0),"")</f>
        <v/>
      </c>
      <c r="O145" s="764" t="str">
        <f>IFERROR(VLOOKUP(M145,'02. MM-KLH'!$B$6:$T$823,9,0),"")</f>
        <v/>
      </c>
      <c r="P145" s="353"/>
      <c r="Q145" s="353"/>
      <c r="R145" s="353"/>
      <c r="S145" s="353"/>
      <c r="T145" s="353"/>
      <c r="U145" s="353" t="str">
        <f>IFERROR(VLOOKUP(M145,'02. MM-KLH'!$B$6:$T$823,2,0),"")</f>
        <v/>
      </c>
      <c r="V145" s="731" t="str">
        <f>IFERROR(VLOOKUP(M145,'02. MM-KLH'!$B$6:$T$823,8,0),"")</f>
        <v/>
      </c>
      <c r="W145" s="353"/>
      <c r="X145" s="353"/>
      <c r="Y145" s="353"/>
      <c r="Z145" s="731" t="str">
        <f>IFERROR(VLOOKUP(M145,'02. MM-KLH'!$B$6:$T$823,3,0),"")</f>
        <v/>
      </c>
      <c r="AA145" s="353"/>
      <c r="AB145" s="731"/>
      <c r="AC145" s="731"/>
    </row>
    <row r="146" ht="13.8" hidden="1" spans="1:29">
      <c r="A146" s="731"/>
      <c r="B146" s="613" t="str">
        <f>IFERROR(VLOOKUP(M146,'02. MM-KLH'!$B$6:$T$823,6,0),"")</f>
        <v/>
      </c>
      <c r="C146" s="353"/>
      <c r="D146" s="353" t="str">
        <f>IFERROR(VLOOKUP(M146,'02. MM-KLH'!$B$6:$T$823,16,0),"")</f>
        <v/>
      </c>
      <c r="E146" s="353"/>
      <c r="F146" s="353"/>
      <c r="G146" s="353"/>
      <c r="H146" s="353" t="str">
        <f>IFERROR(VLOOKUP(M146,'02. MM-KLH'!$B$6:$T$823,17,0),"")</f>
        <v/>
      </c>
      <c r="I146" s="763" t="str">
        <f>IFERROR(VLOOKUP(M146,'02. MM-KLH'!$B$6:$U$823,20,0),"")</f>
        <v/>
      </c>
      <c r="J146" s="613" t="str">
        <f>IFERROR(VLOOKUP(M146,'02. MM-KLH'!$B$6:$T$823,19,0),"")</f>
        <v/>
      </c>
      <c r="K146" s="613" t="str">
        <f>IFERROR(VLOOKUP(M146,'02. MM-KLH'!$B$6:$T$823,18,0),"")</f>
        <v/>
      </c>
      <c r="L146" s="353" t="str">
        <f>IFERROR(VLOOKUP(M146,'02. MM-KLH'!$B$6:$T$823,4,0),"")</f>
        <v/>
      </c>
      <c r="M146" s="49"/>
      <c r="N146" s="356" t="str">
        <f>IFERROR(VLOOKUP(M146,'02. MM-KLH'!$B$6:$T$823,15,0),"")</f>
        <v/>
      </c>
      <c r="O146" s="764" t="str">
        <f>IFERROR(VLOOKUP(M146,'02. MM-KLH'!$B$6:$T$823,9,0),"")</f>
        <v/>
      </c>
      <c r="P146" s="353"/>
      <c r="Q146" s="353"/>
      <c r="R146" s="353"/>
      <c r="S146" s="353"/>
      <c r="T146" s="353"/>
      <c r="U146" s="353" t="str">
        <f>IFERROR(VLOOKUP(M146,'02. MM-KLH'!$B$6:$T$823,2,0),"")</f>
        <v/>
      </c>
      <c r="V146" s="731" t="str">
        <f>IFERROR(VLOOKUP(M146,'02. MM-KLH'!$B$6:$T$823,8,0),"")</f>
        <v/>
      </c>
      <c r="W146" s="353"/>
      <c r="X146" s="353"/>
      <c r="Y146" s="353"/>
      <c r="Z146" s="731" t="str">
        <f>IFERROR(VLOOKUP(M146,'02. MM-KLH'!$B$6:$T$823,3,0),"")</f>
        <v/>
      </c>
      <c r="AA146" s="353"/>
      <c r="AB146" s="731"/>
      <c r="AC146" s="731"/>
    </row>
    <row r="147" ht="13.8" spans="1:29">
      <c r="A147" s="754">
        <v>3</v>
      </c>
      <c r="B147" s="755" t="s">
        <v>2060</v>
      </c>
      <c r="C147" s="754">
        <f>COUNTA(B148:B150)</f>
        <v>3</v>
      </c>
      <c r="D147" s="756"/>
      <c r="E147" s="756"/>
      <c r="F147" s="756"/>
      <c r="G147" s="756"/>
      <c r="H147" s="756"/>
      <c r="I147" s="757"/>
      <c r="J147" s="758"/>
      <c r="K147" s="758"/>
      <c r="L147" s="756"/>
      <c r="M147" s="759"/>
      <c r="N147" s="756"/>
      <c r="O147" s="760"/>
      <c r="P147" s="756"/>
      <c r="Q147" s="756"/>
      <c r="R147" s="756"/>
      <c r="S147" s="756"/>
      <c r="T147" s="756"/>
      <c r="U147" s="756"/>
      <c r="V147" s="761"/>
      <c r="W147" s="756"/>
      <c r="X147" s="756"/>
      <c r="Y147" s="756"/>
      <c r="Z147" s="761"/>
      <c r="AA147" s="756"/>
      <c r="AB147" s="761"/>
      <c r="AC147" s="762"/>
    </row>
    <row r="148" ht="13.8" spans="1:29">
      <c r="A148" s="731"/>
      <c r="B148" s="613" t="str">
        <f>IFERROR(VLOOKUP(M148,'02. MM-KLH'!$B$6:$T$823,6,0),"")</f>
        <v>Xe xúc lật WSM953</v>
      </c>
      <c r="C148" s="353">
        <v>1</v>
      </c>
      <c r="D148" s="353" t="str">
        <f>IFERROR(VLOOKUP(M148,'02. MM-KLH'!$B$6:$T$823,16,0),"")</f>
        <v>WSM953 2m3</v>
      </c>
      <c r="E148" s="353" t="s">
        <v>5978</v>
      </c>
      <c r="F148" s="353"/>
      <c r="G148" s="353"/>
      <c r="H148" s="353" t="str">
        <f>IFERROR(VLOOKUP(M148,'02. MM-KLH'!$B$6:$T$823,17,0),"")</f>
        <v>123HP</v>
      </c>
      <c r="I148" s="763">
        <f>IFERROR(VLOOKUP(M148,'02. MM-KLH'!$B$6:$U$823,20,0),"")</f>
        <v>11</v>
      </c>
      <c r="J148" s="613" t="str">
        <f>IFERROR(VLOOKUP(M148,'02. MM-KLH'!$B$6:$T$823,19,0),"")</f>
        <v>CCN</v>
      </c>
      <c r="K148" s="613">
        <f>IFERROR(VLOOKUP(M148,'02. MM-KLH'!$B$6:$T$823,18,0),"")</f>
        <v>90516</v>
      </c>
      <c r="L148" s="353">
        <f>IFERROR(VLOOKUP(M148,'02. MM-KLH'!$B$6:$T$823,4,0),"")</f>
        <v>0</v>
      </c>
      <c r="M148" s="49" t="s">
        <v>2058</v>
      </c>
      <c r="N148" s="356">
        <f>IFERROR(VLOOKUP(M148,'02. MM-KLH'!$B$6:$T$823,15,0),"")</f>
        <v>0</v>
      </c>
      <c r="O148" s="764">
        <f>IFERROR(VLOOKUP(M148,'02. MM-KLH'!$B$6:$T$823,9,0),"")</f>
        <v>0</v>
      </c>
      <c r="P148" s="353"/>
      <c r="Q148" s="353"/>
      <c r="R148" s="353"/>
      <c r="S148" s="353" t="s">
        <v>5978</v>
      </c>
      <c r="T148" s="353"/>
      <c r="U148" s="353" t="str">
        <f>IFERROR(VLOOKUP(M148,'02. MM-KLH'!$B$6:$T$823,5,0),"")</f>
        <v>ĐQSD</v>
      </c>
      <c r="V148" s="731" t="str">
        <f>IFERROR(VLOOKUP(M148,'02. MM-KLH'!$B$6:$T$823,8,0),"")</f>
        <v>XN Bò AD</v>
      </c>
      <c r="W148" s="353" t="str">
        <f>IFERROR(VLOOKUP(V148,'NS QUẢN LÝ CG'!$A$4:$D$36,2,0),"")</f>
        <v/>
      </c>
      <c r="X148" s="353" t="str">
        <f>IFERROR(VLOOKUP(V148,'NS QUẢN LÝ CG'!$A$4:$D$36,4,0),"")</f>
        <v/>
      </c>
      <c r="Y148" s="353" t="str">
        <f>IFERROR(VLOOKUP(V148,'NS QUẢN LÝ CG'!$A$4:$C$36,3,0),"")</f>
        <v/>
      </c>
      <c r="Z148" s="731" t="str">
        <f>IFERROR(VLOOKUP(M148,'02. MM-KLH'!$B$6:$T$823,3,0),"")</f>
        <v>ATT-A22-0194</v>
      </c>
      <c r="AA148" s="353" t="s">
        <v>5980</v>
      </c>
      <c r="AB148" s="731"/>
      <c r="AC148" s="731"/>
    </row>
    <row r="149" ht="13.8" spans="1:29">
      <c r="A149" s="731"/>
      <c r="B149" s="613" t="str">
        <f>IFERROR(VLOOKUP(M149,'02. MM-KLH'!$B$6:$T$823,6,0),"")</f>
        <v/>
      </c>
      <c r="C149" s="353"/>
      <c r="D149" s="353" t="str">
        <f>IFERROR(VLOOKUP(M149,'02. MM-KLH'!$B$6:$T$823,16,0),"")</f>
        <v/>
      </c>
      <c r="E149" s="353"/>
      <c r="F149" s="353"/>
      <c r="G149" s="353"/>
      <c r="H149" s="353" t="str">
        <f>IFERROR(VLOOKUP(M149,'02. MM-KLH'!$B$6:$T$823,17,0),"")</f>
        <v/>
      </c>
      <c r="I149" s="763" t="str">
        <f>IFERROR(VLOOKUP(M149,'02. MM-KLH'!$B$6:$U$823,20,0),"")</f>
        <v/>
      </c>
      <c r="J149" s="613" t="str">
        <f>IFERROR(VLOOKUP(M149,'02. MM-KLH'!$B$6:$T$823,19,0),"")</f>
        <v/>
      </c>
      <c r="K149" s="613" t="str">
        <f>IFERROR(VLOOKUP(M149,'02. MM-KLH'!$B$6:$T$823,18,0),"")</f>
        <v/>
      </c>
      <c r="L149" s="353" t="str">
        <f>IFERROR(VLOOKUP(M149,'02. MM-KLH'!$B$6:$T$823,4,0),"")</f>
        <v/>
      </c>
      <c r="M149" s="49"/>
      <c r="N149" s="356" t="str">
        <f>IFERROR(VLOOKUP(M149,'02. MM-KLH'!$B$6:$T$823,15,0),"")</f>
        <v/>
      </c>
      <c r="O149" s="764" t="str">
        <f>IFERROR(VLOOKUP(M149,'02. MM-KLH'!$B$6:$T$823,9,0),"")</f>
        <v/>
      </c>
      <c r="P149" s="353"/>
      <c r="Q149" s="353"/>
      <c r="R149" s="353"/>
      <c r="S149" s="353"/>
      <c r="T149" s="353"/>
      <c r="U149" s="353" t="str">
        <f>IFERROR(VLOOKUP(M149,'02. MM-KLH'!$B$6:$T$823,2,0),"")</f>
        <v/>
      </c>
      <c r="V149" s="731" t="str">
        <f>IFERROR(VLOOKUP(M149,'02. MM-KLH'!$B$6:$T$823,8,0),"")</f>
        <v/>
      </c>
      <c r="W149" s="353" t="str">
        <f>IFERROR(VLOOKUP(V149,'NS QUẢN LÝ CG'!$A$4:$D$36,2,0),"")</f>
        <v/>
      </c>
      <c r="X149" s="353" t="str">
        <f>IFERROR(VLOOKUP(V149,'NS QUẢN LÝ CG'!$A$4:$D$36,4,0),"")</f>
        <v/>
      </c>
      <c r="Y149" s="353"/>
      <c r="Z149" s="731" t="str">
        <f>IFERROR(VLOOKUP(M149,'02. MM-KLH'!$B$6:$T$823,3,0),"")</f>
        <v/>
      </c>
      <c r="AA149" s="353"/>
      <c r="AB149" s="731"/>
      <c r="AC149" s="731"/>
    </row>
    <row r="150" ht="13.8" hidden="1" spans="1:29">
      <c r="A150" s="731"/>
      <c r="B150" s="613" t="str">
        <f>IFERROR(VLOOKUP(M150,'02. MM-KLH'!$B$6:$T$823,6,0),"")</f>
        <v/>
      </c>
      <c r="C150" s="353"/>
      <c r="D150" s="353" t="str">
        <f>IFERROR(VLOOKUP(M150,'02. MM-KLH'!$B$6:$T$823,16,0),"")</f>
        <v/>
      </c>
      <c r="E150" s="353"/>
      <c r="F150" s="353"/>
      <c r="G150" s="353"/>
      <c r="H150" s="353" t="str">
        <f>IFERROR(VLOOKUP(M150,'02. MM-KLH'!$B$6:$T$823,17,0),"")</f>
        <v/>
      </c>
      <c r="I150" s="763" t="str">
        <f>IFERROR(VLOOKUP(M150,'02. MM-KLH'!$B$6:$U$823,20,0),"")</f>
        <v/>
      </c>
      <c r="J150" s="613" t="str">
        <f>IFERROR(VLOOKUP(M150,'02. MM-KLH'!$B$6:$T$823,19,0),"")</f>
        <v/>
      </c>
      <c r="K150" s="613" t="str">
        <f>IFERROR(VLOOKUP(M150,'02. MM-KLH'!$B$6:$T$823,18,0),"")</f>
        <v/>
      </c>
      <c r="L150" s="353" t="str">
        <f>IFERROR(VLOOKUP(M150,'02. MM-KLH'!$B$6:$T$823,4,0),"")</f>
        <v/>
      </c>
      <c r="M150" s="19"/>
      <c r="N150" s="356" t="str">
        <f>IFERROR(VLOOKUP(M150,'02. MM-KLH'!$B$6:$T$823,15,0),"")</f>
        <v/>
      </c>
      <c r="O150" s="764" t="str">
        <f>IFERROR(VLOOKUP(M150,'02. MM-KLH'!$B$6:$T$823,9,0),"")</f>
        <v/>
      </c>
      <c r="P150" s="353"/>
      <c r="Q150" s="353"/>
      <c r="R150" s="353"/>
      <c r="S150" s="353"/>
      <c r="T150" s="353"/>
      <c r="U150" s="353" t="str">
        <f>IFERROR(VLOOKUP(M150,'02. MM-KLH'!$B$6:$T$823,2,0),"")</f>
        <v/>
      </c>
      <c r="V150" s="731" t="str">
        <f>IFERROR(VLOOKUP(M150,'02. MM-KLH'!$B$6:$T$823,8,0),"")</f>
        <v/>
      </c>
      <c r="W150" s="353"/>
      <c r="X150" s="353"/>
      <c r="Y150" s="353"/>
      <c r="Z150" s="731" t="str">
        <f>IFERROR(VLOOKUP(M150,'02. MM-KLH'!$B$6:$T$823,3,0),"")</f>
        <v/>
      </c>
      <c r="AA150" s="353"/>
      <c r="AB150" s="731"/>
      <c r="AC150" s="731"/>
    </row>
    <row r="151" ht="13.8" spans="1:29">
      <c r="A151" s="754">
        <v>4</v>
      </c>
      <c r="B151" s="755" t="s">
        <v>2078</v>
      </c>
      <c r="C151" s="754">
        <f>COUNTA(B152:B159)</f>
        <v>8</v>
      </c>
      <c r="D151" s="756"/>
      <c r="E151" s="756"/>
      <c r="F151" s="756"/>
      <c r="G151" s="756"/>
      <c r="H151" s="756"/>
      <c r="I151" s="757"/>
      <c r="J151" s="758"/>
      <c r="K151" s="758"/>
      <c r="L151" s="756"/>
      <c r="M151" s="759"/>
      <c r="N151" s="756"/>
      <c r="O151" s="760"/>
      <c r="P151" s="756"/>
      <c r="Q151" s="756"/>
      <c r="R151" s="756"/>
      <c r="S151" s="756"/>
      <c r="T151" s="756"/>
      <c r="U151" s="756"/>
      <c r="V151" s="761"/>
      <c r="W151" s="756"/>
      <c r="X151" s="756"/>
      <c r="Y151" s="756"/>
      <c r="Z151" s="761"/>
      <c r="AA151" s="756"/>
      <c r="AB151" s="761"/>
      <c r="AC151" s="762"/>
    </row>
    <row r="152" ht="13.8" spans="1:29">
      <c r="A152" s="731"/>
      <c r="B152" s="613" t="str">
        <f>IFERROR(VLOOKUP(M152,'02. MM-KLH'!$B$6:$T$823,6,0),"")</f>
        <v>Xe xúc lật LEHMAN ZL940G</v>
      </c>
      <c r="C152" s="353">
        <v>1</v>
      </c>
      <c r="D152" s="353" t="str">
        <f>IFERROR(VLOOKUP(M152,'02. MM-KLH'!$B$6:$T$823,16,0),"")</f>
        <v>ZL940G</v>
      </c>
      <c r="E152" s="353" t="s">
        <v>5978</v>
      </c>
      <c r="F152" s="353"/>
      <c r="G152" s="353"/>
      <c r="H152" s="353" t="str">
        <f>IFERROR(VLOOKUP(M152,'02. MM-KLH'!$B$6:$T$823,17,0),"")</f>
        <v>115HP</v>
      </c>
      <c r="I152" s="763">
        <f>IFERROR(VLOOKUP(M152,'02. MM-KLH'!$B$6:$U$823,20,0),"")</f>
        <v>7</v>
      </c>
      <c r="J152" s="613" t="str">
        <f>IFERROR(VLOOKUP(M152,'02. MM-KLH'!$B$6:$T$823,19,0),"")</f>
        <v>YCD4J22T-1151JG410P03213</v>
      </c>
      <c r="K152" s="613" t="str">
        <f>IFERROR(VLOOKUP(M152,'02. MM-KLH'!$B$6:$T$823,18,0),"")</f>
        <v>SY23090078</v>
      </c>
      <c r="L152" s="353">
        <f>IFERROR(VLOOKUP(M152,'02. MM-KLH'!$B$6:$T$823,4,0),"")</f>
        <v>0</v>
      </c>
      <c r="M152" s="49" t="s">
        <v>2076</v>
      </c>
      <c r="N152" s="356">
        <f>IFERROR(VLOOKUP(M152,'02. MM-KLH'!$B$6:$T$823,15,0),"")</f>
        <v>2023</v>
      </c>
      <c r="O152" s="764" t="str">
        <f>IFERROR(VLOOKUP(M152,'02. MM-KLH'!$B$6:$T$823,9,0),"")</f>
        <v>15/12/2023</v>
      </c>
      <c r="P152" s="21"/>
      <c r="Q152" s="353" t="s">
        <v>1755</v>
      </c>
      <c r="R152" s="353" t="s">
        <v>5978</v>
      </c>
      <c r="S152" s="353"/>
      <c r="T152" s="353"/>
      <c r="U152" s="353" t="str">
        <f>IFERROR(VLOOKUP(M152,'02. MM-KLH'!$B$6:$T$823,5,0),"")</f>
        <v>MỚI</v>
      </c>
      <c r="V152" s="731" t="str">
        <f>IFERROR(VLOOKUP(M152,'02. MM-KLH'!$B$6:$T$823,8,0),"")</f>
        <v>XN Bò AD</v>
      </c>
      <c r="W152" s="353" t="str">
        <f>IFERROR(VLOOKUP(V152,'NS QUẢN LÝ CG'!$A$4:$D$36,2,0),"")</f>
        <v/>
      </c>
      <c r="X152" s="353" t="str">
        <f>IFERROR(VLOOKUP(V152,'NS QUẢN LÝ CG'!$A$4:$D$36,4,0),"")</f>
        <v/>
      </c>
      <c r="Y152" s="353" t="str">
        <f>IFERROR(VLOOKUP(V152,'NS QUẢN LÝ CG'!$A$4:$C$36,3,0),"")</f>
        <v/>
      </c>
      <c r="Z152" s="731" t="str">
        <f>IFERROR(VLOOKUP(M152,'02. MM-KLH'!$B$6:$T$823,3,0),"")</f>
        <v>ATM-A22-0120</v>
      </c>
      <c r="AA152" s="353" t="s">
        <v>5980</v>
      </c>
      <c r="AB152" s="731"/>
      <c r="AC152" s="731"/>
    </row>
    <row r="153" ht="13.8" spans="1:29">
      <c r="A153" s="731"/>
      <c r="B153" s="613" t="str">
        <f>IFERROR(VLOOKUP(M153,'02. MM-KLH'!$B$6:$T$823,6,0),"")</f>
        <v>Xe xúc lật LEHMAN ZL946E</v>
      </c>
      <c r="C153" s="353">
        <v>1</v>
      </c>
      <c r="D153" s="353" t="str">
        <f>IFERROR(VLOOKUP(M153,'02. MM-KLH'!$B$6:$T$823,16,0),"")</f>
        <v>ZL946E</v>
      </c>
      <c r="E153" s="353" t="s">
        <v>5978</v>
      </c>
      <c r="F153" s="353"/>
      <c r="G153" s="353"/>
      <c r="H153" s="353" t="str">
        <f>IFERROR(VLOOKUP(M153,'02. MM-KLH'!$B$6:$T$823,17,0),"")</f>
        <v>114HP</v>
      </c>
      <c r="I153" s="763">
        <f>IFERROR(VLOOKUP(M153,'02. MM-KLH'!$B$6:$U$823,20,0),"")</f>
        <v>7</v>
      </c>
      <c r="J153" s="613" t="str">
        <f>IFERROR(VLOOKUP(M153,'02. MM-KLH'!$B$6:$T$823,19,0),"")</f>
        <v>1JG410P06207</v>
      </c>
      <c r="K153" s="613" t="str">
        <f>IFERROR(VLOOKUP(M153,'02. MM-KLH'!$B$6:$T$823,18,0),"")</f>
        <v>SY24020177</v>
      </c>
      <c r="L153" s="353">
        <f>IFERROR(VLOOKUP(M153,'02. MM-KLH'!$B$6:$T$823,4,0),"")</f>
        <v>0</v>
      </c>
      <c r="M153" s="49" t="s">
        <v>2089</v>
      </c>
      <c r="N153" s="356">
        <f>IFERROR(VLOOKUP(M153,'02. MM-KLH'!$B$6:$T$823,15,0),"")</f>
        <v>2024</v>
      </c>
      <c r="O153" s="764">
        <f>IFERROR(VLOOKUP(M153,'02. MM-KLH'!$B$6:$T$823,9,0),"")</f>
        <v>45633</v>
      </c>
      <c r="P153" s="21"/>
      <c r="Q153" s="353" t="s">
        <v>1755</v>
      </c>
      <c r="R153" s="353" t="s">
        <v>5978</v>
      </c>
      <c r="S153" s="353"/>
      <c r="T153" s="353"/>
      <c r="U153" s="353" t="str">
        <f>IFERROR(VLOOKUP(M153,'02. MM-KLH'!$B$6:$T$823,5,0),"")</f>
        <v>MỚI</v>
      </c>
      <c r="V153" s="731" t="str">
        <f>IFERROR(VLOOKUP(M153,'02. MM-KLH'!$B$6:$T$823,8,0),"")</f>
        <v>XN Bò AD</v>
      </c>
      <c r="W153" s="353" t="str">
        <f>IFERROR(VLOOKUP(V153,'NS QUẢN LÝ CG'!$A$4:$D$36,2,0),"")</f>
        <v/>
      </c>
      <c r="X153" s="353" t="str">
        <f>IFERROR(VLOOKUP(V153,'NS QUẢN LÝ CG'!$A$4:$D$36,4,0),"")</f>
        <v/>
      </c>
      <c r="Y153" s="353" t="str">
        <f>IFERROR(VLOOKUP(V153,'NS QUẢN LÝ CG'!$A$4:$C$36,3,0),"")</f>
        <v/>
      </c>
      <c r="Z153" s="731" t="str">
        <f>IFERROR(VLOOKUP(M153,'02. MM-KLH'!$B$6:$T$823,3,0),"")</f>
        <v>A22-XXL-008</v>
      </c>
      <c r="AA153" s="353" t="str">
        <f t="shared" ref="AA153:AA156" si="8">_xlfn.SWITCH(LEFT(Z153,3),"A22","ADM","A23","DP","A24","LP","")</f>
        <v>ADM</v>
      </c>
      <c r="AB153" s="731"/>
      <c r="AC153" s="731"/>
    </row>
    <row r="154" ht="13.8" spans="1:29">
      <c r="A154" s="731"/>
      <c r="B154" s="613" t="str">
        <f>IFERROR(VLOOKUP(M154,'02. MM-KLH'!$B$6:$T$823,6,0),"")</f>
        <v>Xe xúc lật LEHMAN ZL946PR</v>
      </c>
      <c r="C154" s="353">
        <v>1</v>
      </c>
      <c r="D154" s="353" t="str">
        <f>IFERROR(VLOOKUP(M154,'02. MM-KLH'!$B$6:$T$823,16,0),"")</f>
        <v>ZL946PR</v>
      </c>
      <c r="E154" s="353" t="s">
        <v>5978</v>
      </c>
      <c r="F154" s="353"/>
      <c r="G154" s="353"/>
      <c r="H154" s="353" t="str">
        <f>IFERROR(VLOOKUP(M154,'02. MM-KLH'!$B$6:$T$823,17,0),"")</f>
        <v>114HP</v>
      </c>
      <c r="I154" s="763">
        <f>IFERROR(VLOOKUP(M154,'02. MM-KLH'!$B$6:$U$823,20,0),"")</f>
        <v>7</v>
      </c>
      <c r="J154" s="613" t="str">
        <f>IFERROR(VLOOKUP(M154,'02. MM-KLH'!$B$6:$T$823,19,0),"")</f>
        <v>1JG410R01725</v>
      </c>
      <c r="K154" s="613" t="str">
        <f>IFERROR(VLOOKUP(M154,'02. MM-KLH'!$B$6:$T$823,18,0),"")</f>
        <v>SY24050287</v>
      </c>
      <c r="L154" s="353">
        <f>IFERROR(VLOOKUP(M154,'02. MM-KLH'!$B$6:$T$823,4,0),"")</f>
        <v>0</v>
      </c>
      <c r="M154" s="49" t="s">
        <v>2093</v>
      </c>
      <c r="N154" s="356">
        <f>IFERROR(VLOOKUP(M154,'02. MM-KLH'!$B$6:$T$823,15,0),"")</f>
        <v>2024</v>
      </c>
      <c r="O154" s="764" t="str">
        <f>IFERROR(VLOOKUP(M154,'02. MM-KLH'!$B$6:$T$823,9,0),"")</f>
        <v>16/08/2024</v>
      </c>
      <c r="P154" s="21"/>
      <c r="Q154" s="353" t="s">
        <v>1755</v>
      </c>
      <c r="R154" s="353"/>
      <c r="S154" s="353" t="s">
        <v>5978</v>
      </c>
      <c r="T154" s="353"/>
      <c r="U154" s="353" t="str">
        <f>IFERROR(VLOOKUP(M154,'02. MM-KLH'!$B$6:$T$823,5,0),"")</f>
        <v>MỚI</v>
      </c>
      <c r="V154" s="731" t="str">
        <f>IFERROR(VLOOKUP(M154,'02. MM-KLH'!$B$6:$T$823,8,0),"")</f>
        <v>XN Bò AD</v>
      </c>
      <c r="W154" s="353" t="str">
        <f>IFERROR(VLOOKUP(V154,'NS QUẢN LÝ CG'!$A$4:$D$36,2,0),"")</f>
        <v/>
      </c>
      <c r="X154" s="353" t="str">
        <f>IFERROR(VLOOKUP(V154,'NS QUẢN LÝ CG'!$A$4:$D$36,4,0),"")</f>
        <v/>
      </c>
      <c r="Y154" s="353" t="str">
        <f>IFERROR(VLOOKUP(V154,'NS QUẢN LÝ CG'!$A$4:$C$36,3,0),"")</f>
        <v/>
      </c>
      <c r="Z154" s="731" t="str">
        <f>IFERROR(VLOOKUP(M154,'02. MM-KLH'!$B$6:$T$823,3,0),"")</f>
        <v>A22-XXL-009</v>
      </c>
      <c r="AA154" s="353" t="str">
        <f t="shared" si="8"/>
        <v>ADM</v>
      </c>
      <c r="AB154" s="731"/>
      <c r="AC154" s="731"/>
    </row>
    <row r="155" ht="13.8" spans="1:29">
      <c r="A155" s="731"/>
      <c r="B155" s="613" t="str">
        <f>IFERROR(VLOOKUP(M155,'02. MM-KLH'!$B$6:$T$823,6,0),"")</f>
        <v>Xe xúc lật LEHMAN ZL946GP</v>
      </c>
      <c r="C155" s="353">
        <v>1</v>
      </c>
      <c r="D155" s="353" t="str">
        <f>IFERROR(VLOOKUP(M155,'02. MM-KLH'!$B$6:$T$823,16,0),"")</f>
        <v>ZL946GP</v>
      </c>
      <c r="E155" s="353" t="s">
        <v>5978</v>
      </c>
      <c r="F155" s="353"/>
      <c r="G155" s="353"/>
      <c r="H155" s="353" t="str">
        <f>IFERROR(VLOOKUP(M155,'02. MM-KLH'!$B$6:$T$823,17,0),"")</f>
        <v>114HP</v>
      </c>
      <c r="I155" s="763">
        <f>IFERROR(VLOOKUP(M155,'02. MM-KLH'!$B$6:$U$823,20,0),"")</f>
        <v>7</v>
      </c>
      <c r="J155" s="613" t="str">
        <f>IFERROR(VLOOKUP(M155,'02. MM-KLH'!$B$6:$T$823,19,0),"")</f>
        <v>1JG410R02694</v>
      </c>
      <c r="K155" s="613" t="str">
        <f>IFERROR(VLOOKUP(M155,'02. MM-KLH'!$B$6:$T$823,18,0),"")</f>
        <v>SY24070162</v>
      </c>
      <c r="L155" s="353">
        <f>IFERROR(VLOOKUP(M155,'02. MM-KLH'!$B$6:$T$823,4,0),"")</f>
        <v>0</v>
      </c>
      <c r="M155" s="49" t="s">
        <v>2099</v>
      </c>
      <c r="N155" s="356">
        <f>IFERROR(VLOOKUP(M155,'02. MM-KLH'!$B$6:$T$823,15,0),"")</f>
        <v>2024</v>
      </c>
      <c r="O155" s="764">
        <f>IFERROR(VLOOKUP(M155,'02. MM-KLH'!$B$6:$T$823,9,0),"")</f>
        <v>45717</v>
      </c>
      <c r="P155" s="21"/>
      <c r="Q155" s="353" t="s">
        <v>1755</v>
      </c>
      <c r="R155" s="353" t="s">
        <v>5978</v>
      </c>
      <c r="S155" s="353"/>
      <c r="T155" s="353"/>
      <c r="U155" s="353" t="str">
        <f>IFERROR(VLOOKUP(M155,'02. MM-KLH'!$B$6:$T$823,5,0),"")</f>
        <v>MỚI</v>
      </c>
      <c r="V155" s="731" t="str">
        <f>IFERROR(VLOOKUP(M155,'02. MM-KLH'!$B$6:$T$823,8,0),"")</f>
        <v>XN Bò AD</v>
      </c>
      <c r="W155" s="353" t="str">
        <f>IFERROR(VLOOKUP(V155,'NS QUẢN LÝ CG'!$A$4:$D$36,2,0),"")</f>
        <v/>
      </c>
      <c r="X155" s="353" t="str">
        <f>IFERROR(VLOOKUP(V155,'NS QUẢN LÝ CG'!$A$4:$D$36,4,0),"")</f>
        <v/>
      </c>
      <c r="Y155" s="353" t="str">
        <f>IFERROR(VLOOKUP(V155,'NS QUẢN LÝ CG'!$A$4:$C$36,3,0),"")</f>
        <v/>
      </c>
      <c r="Z155" s="731" t="str">
        <f>IFERROR(VLOOKUP(M155,'02. MM-KLH'!$B$6:$T$823,3,0),"")</f>
        <v>A22-XXL-010</v>
      </c>
      <c r="AA155" s="353" t="str">
        <f t="shared" si="8"/>
        <v>ADM</v>
      </c>
      <c r="AB155" s="731"/>
      <c r="AC155" s="731"/>
    </row>
    <row r="156" ht="13.8" spans="1:29">
      <c r="A156" s="731"/>
      <c r="B156" s="613" t="str">
        <f>IFERROR(VLOOKUP(M156,'02. MM-KLH'!$B$6:$T$823,6,0),"")</f>
        <v>Xe xúc lật LEHMAN ZL946GP</v>
      </c>
      <c r="C156" s="353">
        <v>1</v>
      </c>
      <c r="D156" s="353" t="str">
        <f>IFERROR(VLOOKUP(M156,'02. MM-KLH'!$B$6:$T$823,16,0),"")</f>
        <v>ZL946GP</v>
      </c>
      <c r="E156" s="353" t="s">
        <v>5978</v>
      </c>
      <c r="F156" s="353"/>
      <c r="G156" s="353"/>
      <c r="H156" s="353" t="str">
        <f>IFERROR(VLOOKUP(M156,'02. MM-KLH'!$B$6:$T$823,17,0),"")</f>
        <v>114HP</v>
      </c>
      <c r="I156" s="763">
        <f>IFERROR(VLOOKUP(M156,'02. MM-KLH'!$B$6:$U$823,20,0),"")</f>
        <v>7</v>
      </c>
      <c r="J156" s="613" t="str">
        <f>IFERROR(VLOOKUP(M156,'02. MM-KLH'!$B$6:$T$823,19,0),"")</f>
        <v>1JG410R02705</v>
      </c>
      <c r="K156" s="613" t="str">
        <f>IFERROR(VLOOKUP(M156,'02. MM-KLH'!$B$6:$T$823,18,0),"")</f>
        <v>SY35080163</v>
      </c>
      <c r="L156" s="353">
        <f>IFERROR(VLOOKUP(M156,'02. MM-KLH'!$B$6:$T$823,4,0),"")</f>
        <v>0</v>
      </c>
      <c r="M156" s="49" t="s">
        <v>2104</v>
      </c>
      <c r="N156" s="356">
        <f>IFERROR(VLOOKUP(M156,'02. MM-KLH'!$B$6:$T$823,15,0),"")</f>
        <v>2024</v>
      </c>
      <c r="O156" s="764">
        <f>IFERROR(VLOOKUP(M156,'02. MM-KLH'!$B$6:$T$823,9,0),"")</f>
        <v>45717</v>
      </c>
      <c r="P156" s="21"/>
      <c r="Q156" s="353" t="s">
        <v>1755</v>
      </c>
      <c r="R156" s="353"/>
      <c r="S156" s="353" t="s">
        <v>5978</v>
      </c>
      <c r="T156" s="353"/>
      <c r="U156" s="353" t="str">
        <f>IFERROR(VLOOKUP(M156,'02. MM-KLH'!$B$6:$T$823,5,0),"")</f>
        <v>MỚI</v>
      </c>
      <c r="V156" s="731" t="str">
        <f>IFERROR(VLOOKUP(M156,'02. MM-KLH'!$B$6:$T$823,8,0),"")</f>
        <v>XN Bò AD</v>
      </c>
      <c r="W156" s="353" t="str">
        <f>IFERROR(VLOOKUP(V156,'NS QUẢN LÝ CG'!$A$4:$D$36,2,0),"")</f>
        <v/>
      </c>
      <c r="X156" s="353" t="str">
        <f>IFERROR(VLOOKUP(V156,'NS QUẢN LÝ CG'!$A$4:$D$36,4,0),"")</f>
        <v/>
      </c>
      <c r="Y156" s="353" t="str">
        <f>IFERROR(VLOOKUP(V156,'NS QUẢN LÝ CG'!$A$4:$C$36,3,0),"")</f>
        <v/>
      </c>
      <c r="Z156" s="731" t="str">
        <f>IFERROR(VLOOKUP(M156,'02. MM-KLH'!$B$6:$T$823,3,0),"")</f>
        <v>A22-XXL-011</v>
      </c>
      <c r="AA156" s="353" t="str">
        <f t="shared" si="8"/>
        <v>ADM</v>
      </c>
      <c r="AB156" s="731"/>
      <c r="AC156" s="731"/>
    </row>
    <row r="157" ht="13.8" spans="1:29">
      <c r="A157" s="731"/>
      <c r="B157" s="613" t="str">
        <f>IFERROR(VLOOKUP(M157,'02. MM-KLH'!$B$6:$T$823,6,0),"")</f>
        <v/>
      </c>
      <c r="C157" s="353"/>
      <c r="D157" s="353" t="str">
        <f>IFERROR(VLOOKUP(M157,'02. MM-KLH'!$B$6:$T$823,16,0),"")</f>
        <v/>
      </c>
      <c r="E157" s="353"/>
      <c r="F157" s="353"/>
      <c r="G157" s="353"/>
      <c r="H157" s="353" t="str">
        <f>IFERROR(VLOOKUP(M157,'02. MM-KLH'!$B$6:$T$823,17,0),"")</f>
        <v/>
      </c>
      <c r="I157" s="763" t="str">
        <f>IFERROR(VLOOKUP(M157,'02. MM-KLH'!$B$6:$U$823,20,0),"")</f>
        <v/>
      </c>
      <c r="J157" s="613" t="str">
        <f>IFERROR(VLOOKUP(M157,'02. MM-KLH'!$B$6:$T$823,19,0),"")</f>
        <v/>
      </c>
      <c r="K157" s="613" t="str">
        <f>IFERROR(VLOOKUP(M157,'02. MM-KLH'!$B$6:$T$823,18,0),"")</f>
        <v/>
      </c>
      <c r="L157" s="353" t="str">
        <f>IFERROR(VLOOKUP(M157,'02. MM-KLH'!$B$6:$T$823,4,0),"")</f>
        <v/>
      </c>
      <c r="M157" s="49"/>
      <c r="N157" s="356" t="str">
        <f>IFERROR(VLOOKUP(M157,'02. MM-KLH'!$B$6:$T$823,15,0),"")</f>
        <v/>
      </c>
      <c r="O157" s="764" t="str">
        <f>IFERROR(VLOOKUP(M157,'02. MM-KLH'!$B$6:$T$823,9,0),"")</f>
        <v/>
      </c>
      <c r="P157" s="353"/>
      <c r="Q157" s="353"/>
      <c r="R157" s="353"/>
      <c r="S157" s="353"/>
      <c r="T157" s="353"/>
      <c r="U157" s="353" t="str">
        <f>IFERROR(VLOOKUP(M157,'02. MM-KLH'!$B$6:$T$823,2,0),"")</f>
        <v/>
      </c>
      <c r="V157" s="731" t="str">
        <f>IFERROR(VLOOKUP(M157,'02. MM-KLH'!$B$6:$T$823,8,0),"")</f>
        <v/>
      </c>
      <c r="W157" s="353" t="str">
        <f>IFERROR(VLOOKUP(V157,'NS QUẢN LÝ CG'!$A$4:$D$36,2,0),"")</f>
        <v/>
      </c>
      <c r="X157" s="353" t="str">
        <f>IFERROR(VLOOKUP(V157,'NS QUẢN LÝ CG'!$A$4:$D$36,4,0),"")</f>
        <v/>
      </c>
      <c r="Y157" s="353"/>
      <c r="Z157" s="731" t="str">
        <f>IFERROR(VLOOKUP(M157,'02. MM-KLH'!$B$6:$T$823,3,0),"")</f>
        <v/>
      </c>
      <c r="AA157" s="353"/>
      <c r="AB157" s="731"/>
      <c r="AC157" s="731"/>
    </row>
    <row r="158" ht="13.8" hidden="1" spans="1:29">
      <c r="A158" s="731"/>
      <c r="B158" s="613" t="str">
        <f>IFERROR(VLOOKUP(M158,'02. MM-KLH'!$B$6:$T$823,6,0),"")</f>
        <v/>
      </c>
      <c r="C158" s="353"/>
      <c r="D158" s="353" t="str">
        <f>IFERROR(VLOOKUP(M158,'02. MM-KLH'!$B$6:$T$823,16,0),"")</f>
        <v/>
      </c>
      <c r="E158" s="353"/>
      <c r="F158" s="353"/>
      <c r="G158" s="353"/>
      <c r="H158" s="353" t="str">
        <f>IFERROR(VLOOKUP(M158,'02. MM-KLH'!$B$6:$T$823,17,0),"")</f>
        <v/>
      </c>
      <c r="I158" s="763" t="str">
        <f>IFERROR(VLOOKUP(M158,'02. MM-KLH'!$B$6:$U$823,20,0),"")</f>
        <v/>
      </c>
      <c r="J158" s="613" t="str">
        <f>IFERROR(VLOOKUP(M158,'02. MM-KLH'!$B$6:$T$823,19,0),"")</f>
        <v/>
      </c>
      <c r="K158" s="613" t="str">
        <f>IFERROR(VLOOKUP(M158,'02. MM-KLH'!$B$6:$T$823,18,0),"")</f>
        <v/>
      </c>
      <c r="L158" s="353" t="str">
        <f>IFERROR(VLOOKUP(M158,'02. MM-KLH'!$B$6:$T$823,4,0),"")</f>
        <v/>
      </c>
      <c r="M158" s="49"/>
      <c r="N158" s="356" t="str">
        <f>IFERROR(VLOOKUP(M158,'02. MM-KLH'!$B$6:$T$823,15,0),"")</f>
        <v/>
      </c>
      <c r="O158" s="764" t="str">
        <f>IFERROR(VLOOKUP(M158,'02. MM-KLH'!$B$6:$T$823,9,0),"")</f>
        <v/>
      </c>
      <c r="P158" s="353"/>
      <c r="Q158" s="353"/>
      <c r="R158" s="353"/>
      <c r="S158" s="353"/>
      <c r="T158" s="353"/>
      <c r="U158" s="353" t="str">
        <f>IFERROR(VLOOKUP(M158,'02. MM-KLH'!$B$6:$T$823,2,0),"")</f>
        <v/>
      </c>
      <c r="V158" s="731" t="str">
        <f>IFERROR(VLOOKUP(M158,'02. MM-KLH'!$B$6:$T$823,8,0),"")</f>
        <v/>
      </c>
      <c r="W158" s="353"/>
      <c r="X158" s="353"/>
      <c r="Y158" s="353"/>
      <c r="Z158" s="731" t="str">
        <f>IFERROR(VLOOKUP(M158,'02. MM-KLH'!$B$6:$T$823,3,0),"")</f>
        <v/>
      </c>
      <c r="AA158" s="353"/>
      <c r="AB158" s="731"/>
      <c r="AC158" s="731"/>
    </row>
    <row r="159" ht="13.8" hidden="1" spans="1:29">
      <c r="A159" s="731"/>
      <c r="B159" s="613" t="str">
        <f>IFERROR(VLOOKUP(M159,'02. MM-KLH'!$B$6:$T$823,6,0),"")</f>
        <v/>
      </c>
      <c r="C159" s="353"/>
      <c r="D159" s="353" t="str">
        <f>IFERROR(VLOOKUP(M159,'02. MM-KLH'!$B$6:$T$823,16,0),"")</f>
        <v/>
      </c>
      <c r="E159" s="353"/>
      <c r="F159" s="353"/>
      <c r="G159" s="353"/>
      <c r="H159" s="353" t="str">
        <f>IFERROR(VLOOKUP(M159,'02. MM-KLH'!$B$6:$T$823,17,0),"")</f>
        <v/>
      </c>
      <c r="I159" s="763" t="str">
        <f>IFERROR(VLOOKUP(M159,'02. MM-KLH'!$B$6:$U$823,20,0),"")</f>
        <v/>
      </c>
      <c r="J159" s="613" t="str">
        <f>IFERROR(VLOOKUP(M159,'02. MM-KLH'!$B$6:$T$823,19,0),"")</f>
        <v/>
      </c>
      <c r="K159" s="613" t="str">
        <f>IFERROR(VLOOKUP(M159,'02. MM-KLH'!$B$6:$T$823,18,0),"")</f>
        <v/>
      </c>
      <c r="L159" s="353" t="str">
        <f>IFERROR(VLOOKUP(M159,'02. MM-KLH'!$B$6:$T$823,4,0),"")</f>
        <v/>
      </c>
      <c r="M159" s="49"/>
      <c r="N159" s="356" t="str">
        <f>IFERROR(VLOOKUP(M159,'02. MM-KLH'!$B$6:$T$823,15,0),"")</f>
        <v/>
      </c>
      <c r="O159" s="764" t="str">
        <f>IFERROR(VLOOKUP(M159,'02. MM-KLH'!$B$6:$T$823,9,0),"")</f>
        <v/>
      </c>
      <c r="P159" s="353"/>
      <c r="Q159" s="353"/>
      <c r="R159" s="353"/>
      <c r="S159" s="353"/>
      <c r="T159" s="353"/>
      <c r="U159" s="353" t="str">
        <f>IFERROR(VLOOKUP(M159,'02. MM-KLH'!$B$6:$T$823,2,0),"")</f>
        <v/>
      </c>
      <c r="V159" s="731" t="str">
        <f>IFERROR(VLOOKUP(M159,'02. MM-KLH'!$B$6:$T$823,8,0),"")</f>
        <v/>
      </c>
      <c r="W159" s="353"/>
      <c r="X159" s="353"/>
      <c r="Y159" s="353"/>
      <c r="Z159" s="731" t="str">
        <f>IFERROR(VLOOKUP(M159,'02. MM-KLH'!$B$6:$T$823,3,0),"")</f>
        <v/>
      </c>
      <c r="AA159" s="353"/>
      <c r="AB159" s="731"/>
      <c r="AC159" s="731"/>
    </row>
    <row r="160" ht="13.8" spans="1:29">
      <c r="A160" s="754">
        <v>5</v>
      </c>
      <c r="B160" s="755" t="s">
        <v>2071</v>
      </c>
      <c r="C160" s="754">
        <f>COUNTA(B161:B163)</f>
        <v>3</v>
      </c>
      <c r="D160" s="756"/>
      <c r="E160" s="756"/>
      <c r="F160" s="756"/>
      <c r="G160" s="756"/>
      <c r="H160" s="756"/>
      <c r="I160" s="757"/>
      <c r="J160" s="758"/>
      <c r="K160" s="758"/>
      <c r="L160" s="756"/>
      <c r="M160" s="759"/>
      <c r="N160" s="756"/>
      <c r="O160" s="760"/>
      <c r="P160" s="756"/>
      <c r="Q160" s="756"/>
      <c r="R160" s="756"/>
      <c r="S160" s="756"/>
      <c r="T160" s="756"/>
      <c r="U160" s="756"/>
      <c r="V160" s="761"/>
      <c r="W160" s="756"/>
      <c r="X160" s="756"/>
      <c r="Y160" s="756"/>
      <c r="Z160" s="761"/>
      <c r="AA160" s="756"/>
      <c r="AB160" s="761"/>
      <c r="AC160" s="762"/>
    </row>
    <row r="161" ht="13.8" spans="1:29">
      <c r="A161" s="731"/>
      <c r="B161" s="613" t="str">
        <f>IFERROR(VLOOKUP(M161,'02. MM-KLH'!$B$6:$T$823,6,0),"")</f>
        <v>Xe xúc lật MT625H</v>
      </c>
      <c r="C161" s="353">
        <v>1</v>
      </c>
      <c r="D161" s="353" t="str">
        <f>IFERROR(VLOOKUP(M161,'02. MM-KLH'!$B$6:$T$823,16,0),"")</f>
        <v>MT625H</v>
      </c>
      <c r="E161" s="353" t="s">
        <v>5978</v>
      </c>
      <c r="F161" s="353"/>
      <c r="G161" s="353"/>
      <c r="H161" s="353" t="str">
        <f>IFERROR(VLOOKUP(M161,'02. MM-KLH'!$B$6:$T$823,17,0),"")</f>
        <v>75HP</v>
      </c>
      <c r="I161" s="763">
        <f>IFERROR(VLOOKUP(M161,'02. MM-KLH'!$B$6:$U$823,20,0),"")</f>
        <v>0</v>
      </c>
      <c r="J161" s="613" t="str">
        <f>IFERROR(VLOOKUP(M161,'02. MM-KLH'!$B$6:$T$823,19,0),"")</f>
        <v> V3307T8JL1568</v>
      </c>
      <c r="K161" s="613" t="str">
        <f>IFERROR(VLOOKUP(M161,'02. MM-KLH'!$B$6:$T$823,18,0),"")</f>
        <v>MAN00000T01005580</v>
      </c>
      <c r="L161" s="353">
        <f>IFERROR(VLOOKUP(M161,'02. MM-KLH'!$B$6:$T$823,4,0),"")</f>
        <v>0</v>
      </c>
      <c r="M161" s="49" t="s">
        <v>2070</v>
      </c>
      <c r="N161" s="356">
        <f>IFERROR(VLOOKUP(M161,'02. MM-KLH'!$B$6:$T$823,15,0),"")</f>
        <v>2018</v>
      </c>
      <c r="O161" s="764">
        <f>IFERROR(VLOOKUP(M161,'02. MM-KLH'!$B$6:$T$823,9,0),"")</f>
        <v>45292</v>
      </c>
      <c r="Q161" s="353" t="s">
        <v>1755</v>
      </c>
      <c r="R161" s="353"/>
      <c r="S161" s="353" t="s">
        <v>5978</v>
      </c>
      <c r="T161" s="353"/>
      <c r="U161" s="353" t="str">
        <f>IFERROR(VLOOKUP(M161,'02. MM-KLH'!$B$6:$T$823,5,0),"")</f>
        <v>ĐQSD</v>
      </c>
      <c r="V161" s="731" t="str">
        <f>IFERROR(VLOOKUP(M161,'02. MM-KLH'!$B$6:$T$823,8,0),"")</f>
        <v>XN Bò AD</v>
      </c>
      <c r="W161" s="353" t="str">
        <f>IFERROR(VLOOKUP(V161,'NS QUẢN LÝ CG'!$A$4:$D$36,2,0),"")</f>
        <v/>
      </c>
      <c r="X161" s="353" t="str">
        <f>IFERROR(VLOOKUP(V161,'NS QUẢN LÝ CG'!$A$4:$D$36,4,0),"")</f>
        <v/>
      </c>
      <c r="Y161" s="353" t="str">
        <f>IFERROR(VLOOKUP(V161,'NS QUẢN LÝ CG'!$A$4:$C$36,3,0),"")</f>
        <v/>
      </c>
      <c r="Z161" s="731" t="str">
        <f>IFERROR(VLOOKUP(M161,'02. MM-KLH'!$B$6:$T$823,3,0),"")</f>
        <v>ATM-A22-0127</v>
      </c>
      <c r="AA161" s="353" t="s">
        <v>5980</v>
      </c>
      <c r="AB161" s="731"/>
      <c r="AC161" s="731"/>
    </row>
    <row r="162" ht="13.8" spans="1:29">
      <c r="A162" s="731"/>
      <c r="B162" s="613" t="str">
        <f>IFERROR(VLOOKUP(M162,'02. MM-KLH'!$B$6:$T$823,6,0),"")</f>
        <v/>
      </c>
      <c r="C162" s="353"/>
      <c r="D162" s="353" t="str">
        <f>IFERROR(VLOOKUP(M162,'02. MM-KLH'!$B$6:$T$823,16,0),"")</f>
        <v/>
      </c>
      <c r="E162" s="353"/>
      <c r="F162" s="353"/>
      <c r="G162" s="353"/>
      <c r="H162" s="353" t="str">
        <f>IFERROR(VLOOKUP(M162,'02. MM-KLH'!$B$6:$T$823,17,0),"")</f>
        <v/>
      </c>
      <c r="I162" s="763" t="str">
        <f>IFERROR(VLOOKUP(M162,'02. MM-KLH'!$B$6:$U$823,20,0),"")</f>
        <v/>
      </c>
      <c r="J162" s="613" t="str">
        <f>IFERROR(VLOOKUP(M162,'02. MM-KLH'!$B$6:$T$823,19,0),"")</f>
        <v/>
      </c>
      <c r="K162" s="613" t="str">
        <f>IFERROR(VLOOKUP(M162,'02. MM-KLH'!$B$6:$T$823,18,0),"")</f>
        <v/>
      </c>
      <c r="L162" s="353" t="str">
        <f>IFERROR(VLOOKUP(M162,'02. MM-KLH'!$B$6:$T$823,4,0),"")</f>
        <v/>
      </c>
      <c r="M162" s="49"/>
      <c r="N162" s="356" t="str">
        <f>IFERROR(VLOOKUP(M162,'02. MM-KLH'!$B$6:$T$823,15,0),"")</f>
        <v/>
      </c>
      <c r="O162" s="764" t="str">
        <f>IFERROR(VLOOKUP(M162,'02. MM-KLH'!$B$6:$T$823,9,0),"")</f>
        <v/>
      </c>
      <c r="P162" s="353"/>
      <c r="Q162" s="353"/>
      <c r="R162" s="353"/>
      <c r="S162" s="353"/>
      <c r="T162" s="353"/>
      <c r="U162" s="353" t="str">
        <f>IFERROR(VLOOKUP(M162,'02. MM-KLH'!$B$6:$T$823,2,0),"")</f>
        <v/>
      </c>
      <c r="V162" s="731" t="str">
        <f>IFERROR(VLOOKUP(M162,'02. MM-KLH'!$B$6:$T$823,8,0),"")</f>
        <v/>
      </c>
      <c r="W162" s="353" t="str">
        <f>IFERROR(VLOOKUP(V162,'NS QUẢN LÝ CG'!$A$4:$D$36,2,0),"")</f>
        <v/>
      </c>
      <c r="X162" s="353" t="str">
        <f>IFERROR(VLOOKUP(V162,'NS QUẢN LÝ CG'!$A$4:$D$36,4,0),"")</f>
        <v/>
      </c>
      <c r="Y162" s="353"/>
      <c r="Z162" s="731" t="str">
        <f>IFERROR(VLOOKUP(M162,'02. MM-KLH'!$B$6:$T$823,3,0),"")</f>
        <v/>
      </c>
      <c r="AA162" s="353"/>
      <c r="AB162" s="731"/>
      <c r="AC162" s="731"/>
    </row>
    <row r="163" ht="13.8" hidden="1" spans="1:29">
      <c r="A163" s="731"/>
      <c r="B163" s="613" t="str">
        <f>IFERROR(VLOOKUP(M163,'02. MM-KLH'!$B$6:$T$823,6,0),"")</f>
        <v/>
      </c>
      <c r="C163" s="353"/>
      <c r="D163" s="353" t="str">
        <f>IFERROR(VLOOKUP(M163,'02. MM-KLH'!$B$6:$T$823,16,0),"")</f>
        <v/>
      </c>
      <c r="E163" s="353"/>
      <c r="F163" s="353"/>
      <c r="G163" s="353"/>
      <c r="H163" s="353" t="str">
        <f>IFERROR(VLOOKUP(M163,'02. MM-KLH'!$B$6:$T$823,17,0),"")</f>
        <v/>
      </c>
      <c r="I163" s="763" t="str">
        <f>IFERROR(VLOOKUP(M163,'02. MM-KLH'!$B$6:$U$823,20,0),"")</f>
        <v/>
      </c>
      <c r="J163" s="613" t="str">
        <f>IFERROR(VLOOKUP(M163,'02. MM-KLH'!$B$6:$T$823,19,0),"")</f>
        <v/>
      </c>
      <c r="K163" s="613" t="str">
        <f>IFERROR(VLOOKUP(M163,'02. MM-KLH'!$B$6:$T$823,18,0),"")</f>
        <v/>
      </c>
      <c r="L163" s="353" t="str">
        <f>IFERROR(VLOOKUP(M163,'02. MM-KLH'!$B$6:$T$823,4,0),"")</f>
        <v/>
      </c>
      <c r="M163" s="49"/>
      <c r="N163" s="356" t="str">
        <f>IFERROR(VLOOKUP(M163,'02. MM-KLH'!$B$6:$T$823,15,0),"")</f>
        <v/>
      </c>
      <c r="O163" s="764" t="str">
        <f>IFERROR(VLOOKUP(M163,'02. MM-KLH'!$B$6:$T$823,9,0),"")</f>
        <v/>
      </c>
      <c r="P163" s="353"/>
      <c r="Q163" s="353"/>
      <c r="R163" s="353"/>
      <c r="S163" s="353"/>
      <c r="T163" s="353"/>
      <c r="U163" s="353" t="str">
        <f>IFERROR(VLOOKUP(M163,'02. MM-KLH'!$B$6:$T$823,2,0),"")</f>
        <v/>
      </c>
      <c r="V163" s="731" t="str">
        <f>IFERROR(VLOOKUP(M163,'02. MM-KLH'!$B$6:$T$823,8,0),"")</f>
        <v/>
      </c>
      <c r="W163" s="353"/>
      <c r="X163" s="353"/>
      <c r="Y163" s="353"/>
      <c r="Z163" s="731" t="str">
        <f>IFERROR(VLOOKUP(M163,'02. MM-KLH'!$B$6:$T$823,3,0),"")</f>
        <v/>
      </c>
      <c r="AA163" s="353"/>
      <c r="AB163" s="731"/>
      <c r="AC163" s="731"/>
    </row>
    <row r="164" ht="13.8" spans="1:29">
      <c r="A164" s="754">
        <v>6</v>
      </c>
      <c r="B164" s="755" t="s">
        <v>2085</v>
      </c>
      <c r="C164" s="754">
        <f>COUNTA(B165:B171)</f>
        <v>7</v>
      </c>
      <c r="D164" s="756"/>
      <c r="E164" s="756"/>
      <c r="F164" s="756"/>
      <c r="G164" s="756"/>
      <c r="H164" s="756"/>
      <c r="I164" s="757"/>
      <c r="J164" s="758"/>
      <c r="K164" s="758"/>
      <c r="L164" s="756"/>
      <c r="M164" s="759"/>
      <c r="N164" s="756"/>
      <c r="O164" s="760"/>
      <c r="P164" s="756"/>
      <c r="Q164" s="756"/>
      <c r="R164" s="756"/>
      <c r="S164" s="756"/>
      <c r="T164" s="756"/>
      <c r="U164" s="756"/>
      <c r="V164" s="761"/>
      <c r="W164" s="756"/>
      <c r="X164" s="756"/>
      <c r="Y164" s="756"/>
      <c r="Z164" s="761"/>
      <c r="AA164" s="756"/>
      <c r="AB164" s="761"/>
      <c r="AC164" s="762"/>
    </row>
    <row r="165" ht="13.8" spans="1:29">
      <c r="A165" s="731"/>
      <c r="B165" s="613" t="str">
        <f>IFERROR(VLOOKUP(M165,'02. MM-KLH'!$B$6:$T$823,6,0),"")</f>
        <v>Xe xúc lật L935H</v>
      </c>
      <c r="C165" s="353">
        <v>1</v>
      </c>
      <c r="D165" s="353" t="str">
        <f>IFERROR(VLOOKUP(M165,'02. MM-KLH'!$B$6:$T$823,16,0),"")</f>
        <v>L935H</v>
      </c>
      <c r="E165" s="353" t="s">
        <v>5978</v>
      </c>
      <c r="F165" s="353"/>
      <c r="G165" s="353"/>
      <c r="H165" s="353" t="str">
        <f>IFERROR(VLOOKUP(M165,'02. MM-KLH'!$B$6:$T$823,17,0),"")</f>
        <v>140HP</v>
      </c>
      <c r="I165" s="763">
        <f>IFERROR(VLOOKUP(M165,'02. MM-KLH'!$B$6:$U$823,20,0),"")</f>
        <v>12</v>
      </c>
      <c r="J165" s="613" t="str">
        <f>IFERROR(VLOOKUP(M165,'02. MM-KLH'!$B$6:$T$823,19,0),"")</f>
        <v>WP6G140E226P22D023010</v>
      </c>
      <c r="K165" s="613" t="str">
        <f>IFERROR(VLOOKUP(M165,'02. MM-KLH'!$B$6:$T$823,18,0),"")</f>
        <v>VLGL935HAN0620050</v>
      </c>
      <c r="L165" s="353">
        <f>IFERROR(VLOOKUP(M165,'02. MM-KLH'!$B$6:$T$823,4,0),"")</f>
        <v>0</v>
      </c>
      <c r="M165" s="49" t="s">
        <v>2082</v>
      </c>
      <c r="N165" s="356">
        <f>IFERROR(VLOOKUP(M165,'02. MM-KLH'!$B$6:$T$823,15,0),"")</f>
        <v>2022</v>
      </c>
      <c r="O165" s="764" t="str">
        <f>IFERROR(VLOOKUP(M165,'02. MM-KLH'!$B$6:$T$823,9,0),"")</f>
        <v>30/01/2024</v>
      </c>
      <c r="P165" s="21"/>
      <c r="Q165" s="353">
        <v>7429</v>
      </c>
      <c r="R165" s="353" t="s">
        <v>5978</v>
      </c>
      <c r="S165" s="353"/>
      <c r="T165" s="353"/>
      <c r="U165" s="353" t="str">
        <f>IFERROR(VLOOKUP(M165,'02. MM-KLH'!$B$6:$T$823,5,0),"")</f>
        <v>MỚI</v>
      </c>
      <c r="V165" s="731" t="str">
        <f>IFERROR(VLOOKUP(M165,'02. MM-KLH'!$B$6:$T$823,8,0),"")</f>
        <v>XN Bò AD</v>
      </c>
      <c r="W165" s="353" t="str">
        <f>IFERROR(VLOOKUP(V165,'NS QUẢN LÝ CG'!$A$4:$D$36,2,0),"")</f>
        <v/>
      </c>
      <c r="X165" s="353" t="str">
        <f>IFERROR(VLOOKUP(V165,'NS QUẢN LÝ CG'!$A$4:$D$36,4,0),"")</f>
        <v/>
      </c>
      <c r="Y165" s="353" t="str">
        <f>IFERROR(VLOOKUP(V165,'NS QUẢN LÝ CG'!$A$4:$C$36,3,0),"")</f>
        <v/>
      </c>
      <c r="Z165" s="731" t="str">
        <f>IFERROR(VLOOKUP(M165,'02. MM-KLH'!$B$6:$T$823,3,0),"")</f>
        <v>ATT-A22-0324</v>
      </c>
      <c r="AA165" s="353" t="s">
        <v>5980</v>
      </c>
      <c r="AB165" s="731"/>
      <c r="AC165" s="731"/>
    </row>
    <row r="166" ht="13.8" spans="1:29">
      <c r="A166" s="731"/>
      <c r="B166" s="613" t="str">
        <f>IFERROR(VLOOKUP(M166,'02. MM-KLH'!$B$6:$T$823,6,0),"")</f>
        <v>Xe xúc lật SDLG L936H</v>
      </c>
      <c r="C166" s="353">
        <v>1</v>
      </c>
      <c r="D166" s="353" t="str">
        <f>IFERROR(VLOOKUP(M166,'02. MM-KLH'!$B$6:$T$823,16,0),"")</f>
        <v>L936H</v>
      </c>
      <c r="E166" s="353" t="s">
        <v>5978</v>
      </c>
      <c r="F166" s="353"/>
      <c r="G166" s="353"/>
      <c r="H166" s="353" t="str">
        <f>IFERROR(VLOOKUP(M166,'02. MM-KLH'!$B$6:$T$823,17,0),"")</f>
        <v>143HP</v>
      </c>
      <c r="I166" s="763">
        <f>IFERROR(VLOOKUP(M166,'02. MM-KLH'!$B$6:$U$823,20,0),"")</f>
        <v>12</v>
      </c>
      <c r="J166" s="613" t="str">
        <f>IFERROR(VLOOKUP(M166,'02. MM-KLH'!$B$6:$T$823,19,0),"")</f>
        <v>WP6G140E226P24S022431</v>
      </c>
      <c r="K166" s="613" t="str">
        <f>IFERROR(VLOOKUP(M166,'02. MM-KLH'!$B$6:$T$823,18,0),"")</f>
        <v>VLGL936HLR0620877</v>
      </c>
      <c r="L166" s="353">
        <f>IFERROR(VLOOKUP(M166,'02. MM-KLH'!$B$6:$T$823,4,0),"")</f>
        <v>0</v>
      </c>
      <c r="M166" s="49" t="s">
        <v>2108</v>
      </c>
      <c r="N166" s="356">
        <f>IFERROR(VLOOKUP(M166,'02. MM-KLH'!$B$6:$T$823,15,0),"")</f>
        <v>2025</v>
      </c>
      <c r="O166" s="764">
        <f>IFERROR(VLOOKUP(M166,'02. MM-KLH'!$B$6:$T$823,9,0),"")</f>
        <v>45939</v>
      </c>
      <c r="P166" s="21"/>
      <c r="Q166" s="353">
        <v>3579</v>
      </c>
      <c r="R166" s="353" t="s">
        <v>5978</v>
      </c>
      <c r="S166" s="353"/>
      <c r="T166" s="353"/>
      <c r="U166" s="353" t="str">
        <f>IFERROR(VLOOKUP(M166,'02. MM-KLH'!$B$6:$T$823,5,0),"")</f>
        <v>MỚI</v>
      </c>
      <c r="V166" s="731" t="str">
        <f>IFERROR(VLOOKUP(M166,'02. MM-KLH'!$B$6:$T$823,8,0),"")</f>
        <v>XN Bò AD</v>
      </c>
      <c r="W166" s="353" t="str">
        <f>IFERROR(VLOOKUP(V166,'NS QUẢN LÝ CG'!$A$4:$D$36,2,0),"")</f>
        <v/>
      </c>
      <c r="X166" s="353" t="str">
        <f>IFERROR(VLOOKUP(V166,'NS QUẢN LÝ CG'!$A$4:$D$36,4,0),"")</f>
        <v/>
      </c>
      <c r="Y166" s="353" t="str">
        <f>IFERROR(VLOOKUP(V166,'NS QUẢN LÝ CG'!$A$4:$C$36,3,0),"")</f>
        <v/>
      </c>
      <c r="Z166" s="731" t="str">
        <f>IFERROR(VLOOKUP(M166,'02. MM-KLH'!$B$6:$T$823,3,0),"")</f>
        <v>A22-XXL-012</v>
      </c>
      <c r="AA166" s="353" t="str">
        <f t="shared" ref="AA166:AA168" si="9">_xlfn.SWITCH(LEFT(Z166,3),"A22","ADM","A23","DP","A24","LP","")</f>
        <v>ADM</v>
      </c>
      <c r="AB166" s="731"/>
      <c r="AC166" s="731"/>
    </row>
    <row r="167" ht="13.8" spans="1:29">
      <c r="A167" s="731"/>
      <c r="B167" s="613" t="str">
        <f>IFERROR(VLOOKUP(M167,'02. MM-KLH'!$B$6:$T$823,6,0),"")</f>
        <v>Xe xúc lật SDLG L936H</v>
      </c>
      <c r="C167" s="353">
        <v>1</v>
      </c>
      <c r="D167" s="353" t="str">
        <f>IFERROR(VLOOKUP(M167,'02. MM-KLH'!$B$6:$T$823,16,0),"")</f>
        <v>L936H</v>
      </c>
      <c r="E167" s="353" t="s">
        <v>5978</v>
      </c>
      <c r="F167" s="353"/>
      <c r="G167" s="353"/>
      <c r="H167" s="353" t="str">
        <f>IFERROR(VLOOKUP(M167,'02. MM-KLH'!$B$6:$T$823,17,0),"")</f>
        <v>143HP</v>
      </c>
      <c r="I167" s="763">
        <f>IFERROR(VLOOKUP(M167,'02. MM-KLH'!$B$6:$U$823,20,0),"")</f>
        <v>12</v>
      </c>
      <c r="J167" s="613" t="str">
        <f>IFERROR(VLOOKUP(M167,'02. MM-KLH'!$B$6:$T$823,19,0),"")</f>
        <v>WP6G140E226P24K026707</v>
      </c>
      <c r="K167" s="613" t="str">
        <f>IFERROR(VLOOKUP(M167,'02. MM-KLH'!$B$6:$T$823,18,0),"")</f>
        <v>VLGL936HVS0620901</v>
      </c>
      <c r="L167" s="353">
        <f>IFERROR(VLOOKUP(M167,'02. MM-KLH'!$B$6:$T$823,4,0),"")</f>
        <v>0</v>
      </c>
      <c r="M167" s="49" t="s">
        <v>2113</v>
      </c>
      <c r="N167" s="356">
        <f>IFERROR(VLOOKUP(M167,'02. MM-KLH'!$B$6:$T$823,15,0),"")</f>
        <v>2025</v>
      </c>
      <c r="O167" s="764">
        <f>IFERROR(VLOOKUP(M167,'02. MM-KLH'!$B$6:$T$823,9,0),"")</f>
        <v>45939</v>
      </c>
      <c r="P167" s="21"/>
      <c r="Q167" s="353">
        <v>3475</v>
      </c>
      <c r="R167" s="353" t="s">
        <v>5978</v>
      </c>
      <c r="S167" s="353"/>
      <c r="T167" s="353"/>
      <c r="U167" s="353" t="str">
        <f>IFERROR(VLOOKUP(M167,'02. MM-KLH'!$B$6:$T$823,5,0),"")</f>
        <v>MỚI</v>
      </c>
      <c r="V167" s="731" t="str">
        <f>IFERROR(VLOOKUP(M167,'02. MM-KLH'!$B$6:$T$823,8,0),"")</f>
        <v>XN Bò AD</v>
      </c>
      <c r="W167" s="353" t="str">
        <f>IFERROR(VLOOKUP(V167,'NS QUẢN LÝ CG'!$A$4:$D$36,2,0),"")</f>
        <v/>
      </c>
      <c r="X167" s="353" t="str">
        <f>IFERROR(VLOOKUP(V167,'NS QUẢN LÝ CG'!$A$4:$D$36,4,0),"")</f>
        <v/>
      </c>
      <c r="Y167" s="353" t="str">
        <f>IFERROR(VLOOKUP(V167,'NS QUẢN LÝ CG'!$A$4:$C$36,3,0),"")</f>
        <v/>
      </c>
      <c r="Z167" s="731" t="str">
        <f>IFERROR(VLOOKUP(M167,'02. MM-KLH'!$B$6:$T$823,3,0),"")</f>
        <v>A22-XXL-013</v>
      </c>
      <c r="AA167" s="353" t="str">
        <f t="shared" si="9"/>
        <v>ADM</v>
      </c>
      <c r="AB167" s="731"/>
      <c r="AC167" s="731"/>
    </row>
    <row r="168" ht="13.8" spans="1:29">
      <c r="A168" s="731"/>
      <c r="B168" s="613" t="str">
        <f>IFERROR(VLOOKUP(M168,'02. MM-KLH'!$B$6:$T$823,6,0),"")</f>
        <v>Xe xúc lật SDLG L936H</v>
      </c>
      <c r="C168" s="353">
        <v>1</v>
      </c>
      <c r="D168" s="353" t="str">
        <f>IFERROR(VLOOKUP(M168,'02. MM-KLH'!$B$6:$T$823,16,0),"")</f>
        <v>L936H</v>
      </c>
      <c r="E168" s="353" t="s">
        <v>5978</v>
      </c>
      <c r="F168" s="353"/>
      <c r="G168" s="353"/>
      <c r="H168" s="353" t="str">
        <f>IFERROR(VLOOKUP(M168,'02. MM-KLH'!$B$6:$T$823,17,0),"")</f>
        <v>142.7HP</v>
      </c>
      <c r="I168" s="763">
        <f>IFERROR(VLOOKUP(M168,'02. MM-KLH'!$B$6:$U$823,20,0),"")</f>
        <v>0</v>
      </c>
      <c r="J168" s="613" t="str">
        <f>IFERROR(VLOOKUP(M168,'02. MM-KLH'!$B$6:$T$823,19,0),"")</f>
        <v>WP6G140E226P25G016629</v>
      </c>
      <c r="K168" s="613" t="str">
        <f>IFERROR(VLOOKUP(M168,'02. MM-KLH'!$B$6:$T$823,18,0),"")</f>
        <v>VLGL936HCS0621335</v>
      </c>
      <c r="L168" s="353">
        <f>IFERROR(VLOOKUP(M168,'02. MM-KLH'!$B$6:$T$823,4,0),"")</f>
        <v>0</v>
      </c>
      <c r="M168" s="49" t="s">
        <v>2125</v>
      </c>
      <c r="N168" s="356">
        <f>IFERROR(VLOOKUP(M168,'02. MM-KLH'!$B$6:$T$823,15,0),"")</f>
        <v>2025</v>
      </c>
      <c r="O168" s="764">
        <f>IFERROR(VLOOKUP(M168,'02. MM-KLH'!$B$6:$T$823,9,0),"")</f>
        <v>46002</v>
      </c>
      <c r="P168" s="21"/>
      <c r="Q168" s="353" t="s">
        <v>5983</v>
      </c>
      <c r="R168" s="353" t="s">
        <v>5978</v>
      </c>
      <c r="S168" s="353"/>
      <c r="T168" s="353"/>
      <c r="U168" s="353" t="str">
        <f>IFERROR(VLOOKUP(M168,'02. MM-KLH'!$B$6:$T$823,5,0),"")</f>
        <v>MỚI (ĐQSD)</v>
      </c>
      <c r="V168" s="731" t="str">
        <f>IFERROR(VLOOKUP(M168,'02. MM-KLH'!$B$6:$T$823,8,0),"")</f>
        <v>XN Bò AD</v>
      </c>
      <c r="W168" s="353" t="str">
        <f>IFERROR(VLOOKUP(V168,'NS QUẢN LÝ CG'!$A$4:$D$36,2,0),"")</f>
        <v/>
      </c>
      <c r="X168" s="353" t="str">
        <f>IFERROR(VLOOKUP(V168,'NS QUẢN LÝ CG'!$A$4:$D$36,4,0),"")</f>
        <v/>
      </c>
      <c r="Y168" s="353" t="str">
        <f>IFERROR(VLOOKUP(V168,'NS QUẢN LÝ CG'!$A$4:$C$36,3,0),"")</f>
        <v/>
      </c>
      <c r="Z168" s="731" t="str">
        <f>IFERROR(VLOOKUP(M168,'02. MM-KLH'!$B$6:$T$823,3,0),"")</f>
        <v>A22-XXL-015</v>
      </c>
      <c r="AA168" s="353" t="str">
        <f t="shared" si="9"/>
        <v>ADM</v>
      </c>
      <c r="AB168" s="731"/>
      <c r="AC168" s="731"/>
    </row>
    <row r="169" ht="13.8" spans="1:29">
      <c r="A169" s="731"/>
      <c r="B169" s="613" t="str">
        <f>IFERROR(VLOOKUP(M169,'02. MM-KLH'!$B$6:$T$823,6,0),"")</f>
        <v/>
      </c>
      <c r="C169" s="353"/>
      <c r="D169" s="353" t="str">
        <f>IFERROR(VLOOKUP(M169,'02. MM-KLH'!$B$6:$T$823,16,0),"")</f>
        <v/>
      </c>
      <c r="E169" s="353"/>
      <c r="F169" s="353"/>
      <c r="G169" s="353"/>
      <c r="H169" s="353" t="str">
        <f>IFERROR(VLOOKUP(M169,'02. MM-KLH'!$B$6:$T$823,17,0),"")</f>
        <v/>
      </c>
      <c r="I169" s="763" t="str">
        <f>IFERROR(VLOOKUP(M169,'02. MM-KLH'!$B$6:$U$823,20,0),"")</f>
        <v/>
      </c>
      <c r="J169" s="613" t="str">
        <f>IFERROR(VLOOKUP(M169,'02. MM-KLH'!$B$6:$T$823,19,0),"")</f>
        <v/>
      </c>
      <c r="K169" s="613" t="str">
        <f>IFERROR(VLOOKUP(M169,'02. MM-KLH'!$B$6:$T$823,18,0),"")</f>
        <v/>
      </c>
      <c r="L169" s="353" t="str">
        <f>IFERROR(VLOOKUP(M169,'02. MM-KLH'!$B$6:$T$823,4,0),"")</f>
        <v/>
      </c>
      <c r="M169" s="49"/>
      <c r="N169" s="356" t="str">
        <f>IFERROR(VLOOKUP(M169,'02. MM-KLH'!$B$6:$T$823,15,0),"")</f>
        <v/>
      </c>
      <c r="O169" s="764" t="str">
        <f>IFERROR(VLOOKUP(M169,'02. MM-KLH'!$B$6:$T$823,9,0),"")</f>
        <v/>
      </c>
      <c r="P169" s="353"/>
      <c r="Q169" s="353"/>
      <c r="R169" s="353"/>
      <c r="S169" s="353"/>
      <c r="T169" s="353"/>
      <c r="U169" s="353" t="str">
        <f>IFERROR(VLOOKUP(M169,'02. MM-KLH'!$B$6:$T$823,2,0),"")</f>
        <v/>
      </c>
      <c r="V169" s="731" t="str">
        <f>IFERROR(VLOOKUP(M169,'02. MM-KLH'!$B$6:$T$823,8,0),"")</f>
        <v/>
      </c>
      <c r="W169" s="353" t="str">
        <f>IFERROR(VLOOKUP(V169,'NS QUẢN LÝ CG'!$A$4:$D$36,2,0),"")</f>
        <v/>
      </c>
      <c r="X169" s="353" t="str">
        <f>IFERROR(VLOOKUP(V169,'NS QUẢN LÝ CG'!$A$4:$D$36,4,0),"")</f>
        <v/>
      </c>
      <c r="Y169" s="353"/>
      <c r="Z169" s="731" t="str">
        <f>IFERROR(VLOOKUP(M169,'02. MM-KLH'!$B$6:$T$823,3,0),"")</f>
        <v/>
      </c>
      <c r="AA169" s="353"/>
      <c r="AB169" s="731"/>
      <c r="AC169" s="731"/>
    </row>
    <row r="170" ht="13.8" hidden="1" spans="1:29">
      <c r="A170" s="731"/>
      <c r="B170" s="613" t="str">
        <f>IFERROR(VLOOKUP(M170,'02. MM-KLH'!$B$6:$T$823,6,0),"")</f>
        <v/>
      </c>
      <c r="C170" s="353"/>
      <c r="D170" s="353" t="str">
        <f>IFERROR(VLOOKUP(M170,'02. MM-KLH'!$B$6:$T$823,16,0),"")</f>
        <v/>
      </c>
      <c r="E170" s="353"/>
      <c r="F170" s="353"/>
      <c r="G170" s="353"/>
      <c r="H170" s="353" t="str">
        <f>IFERROR(VLOOKUP(M170,'02. MM-KLH'!$B$6:$T$823,17,0),"")</f>
        <v/>
      </c>
      <c r="I170" s="763" t="str">
        <f>IFERROR(VLOOKUP(M170,'02. MM-KLH'!$B$6:$U$823,20,0),"")</f>
        <v/>
      </c>
      <c r="J170" s="613" t="str">
        <f>IFERROR(VLOOKUP(M170,'02. MM-KLH'!$B$6:$T$823,19,0),"")</f>
        <v/>
      </c>
      <c r="K170" s="613" t="str">
        <f>IFERROR(VLOOKUP(M170,'02. MM-KLH'!$B$6:$T$823,18,0),"")</f>
        <v/>
      </c>
      <c r="L170" s="353" t="str">
        <f>IFERROR(VLOOKUP(M170,'02. MM-KLH'!$B$6:$T$823,4,0),"")</f>
        <v/>
      </c>
      <c r="M170" s="49"/>
      <c r="N170" s="356" t="str">
        <f>IFERROR(VLOOKUP(M170,'02. MM-KLH'!$B$6:$T$823,15,0),"")</f>
        <v/>
      </c>
      <c r="O170" s="764" t="str">
        <f>IFERROR(VLOOKUP(M170,'02. MM-KLH'!$B$6:$T$823,9,0),"")</f>
        <v/>
      </c>
      <c r="P170" s="353"/>
      <c r="Q170" s="353"/>
      <c r="R170" s="353"/>
      <c r="S170" s="353"/>
      <c r="T170" s="353"/>
      <c r="U170" s="353" t="str">
        <f>IFERROR(VLOOKUP(M170,'02. MM-KLH'!$B$6:$T$823,2,0),"")</f>
        <v/>
      </c>
      <c r="V170" s="731" t="str">
        <f>IFERROR(VLOOKUP(M170,'02. MM-KLH'!$B$6:$T$823,8,0),"")</f>
        <v/>
      </c>
      <c r="W170" s="353"/>
      <c r="X170" s="353"/>
      <c r="Y170" s="353"/>
      <c r="Z170" s="731" t="str">
        <f>IFERROR(VLOOKUP(M170,'02. MM-KLH'!$B$6:$T$823,3,0),"")</f>
        <v/>
      </c>
      <c r="AA170" s="353"/>
      <c r="AB170" s="731"/>
      <c r="AC170" s="731"/>
    </row>
    <row r="171" ht="13.8" hidden="1" spans="1:29">
      <c r="A171" s="731"/>
      <c r="B171" s="613" t="str">
        <f>IFERROR(VLOOKUP(M171,'02. MM-KLH'!$B$6:$T$823,6,0),"")</f>
        <v/>
      </c>
      <c r="C171" s="353"/>
      <c r="D171" s="353" t="str">
        <f>IFERROR(VLOOKUP(M171,'02. MM-KLH'!$B$6:$T$823,16,0),"")</f>
        <v/>
      </c>
      <c r="E171" s="353"/>
      <c r="F171" s="353"/>
      <c r="G171" s="353"/>
      <c r="H171" s="353" t="str">
        <f>IFERROR(VLOOKUP(M171,'02. MM-KLH'!$B$6:$T$823,17,0),"")</f>
        <v/>
      </c>
      <c r="I171" s="763" t="str">
        <f>IFERROR(VLOOKUP(M171,'02. MM-KLH'!$B$6:$U$823,20,0),"")</f>
        <v/>
      </c>
      <c r="J171" s="613" t="str">
        <f>IFERROR(VLOOKUP(M171,'02. MM-KLH'!$B$6:$T$823,19,0),"")</f>
        <v/>
      </c>
      <c r="K171" s="613" t="str">
        <f>IFERROR(VLOOKUP(M171,'02. MM-KLH'!$B$6:$T$823,18,0),"")</f>
        <v/>
      </c>
      <c r="L171" s="353" t="str">
        <f>IFERROR(VLOOKUP(M171,'02. MM-KLH'!$B$6:$T$823,4,0),"")</f>
        <v/>
      </c>
      <c r="M171" s="49"/>
      <c r="N171" s="356" t="str">
        <f>IFERROR(VLOOKUP(M171,'02. MM-KLH'!$B$6:$T$823,15,0),"")</f>
        <v/>
      </c>
      <c r="O171" s="764" t="str">
        <f>IFERROR(VLOOKUP(M171,'02. MM-KLH'!$B$6:$T$823,9,0),"")</f>
        <v/>
      </c>
      <c r="P171" s="353"/>
      <c r="Q171" s="353"/>
      <c r="R171" s="353"/>
      <c r="S171" s="353"/>
      <c r="T171" s="353"/>
      <c r="U171" s="353" t="str">
        <f>IFERROR(VLOOKUP(M171,'02. MM-KLH'!$B$6:$T$823,2,0),"")</f>
        <v/>
      </c>
      <c r="V171" s="731" t="str">
        <f>IFERROR(VLOOKUP(M171,'02. MM-KLH'!$B$6:$T$823,8,0),"")</f>
        <v/>
      </c>
      <c r="W171" s="353"/>
      <c r="X171" s="353"/>
      <c r="Y171" s="353"/>
      <c r="Z171" s="731" t="str">
        <f>IFERROR(VLOOKUP(M171,'02. MM-KLH'!$B$6:$T$823,3,0),"")</f>
        <v/>
      </c>
      <c r="AA171" s="353"/>
      <c r="AB171" s="731"/>
      <c r="AC171" s="731"/>
    </row>
    <row r="172" ht="13.8" spans="1:29">
      <c r="A172" s="754">
        <v>7</v>
      </c>
      <c r="B172" s="755" t="s">
        <v>2121</v>
      </c>
      <c r="C172" s="754">
        <f>COUNTA(B173:B175)</f>
        <v>3</v>
      </c>
      <c r="D172" s="756"/>
      <c r="E172" s="756"/>
      <c r="F172" s="756"/>
      <c r="G172" s="756"/>
      <c r="H172" s="762"/>
      <c r="I172" s="762"/>
      <c r="J172" s="758"/>
      <c r="K172" s="758"/>
      <c r="L172" s="756"/>
      <c r="M172" s="756"/>
      <c r="N172" s="756"/>
      <c r="O172" s="760"/>
      <c r="P172" s="756"/>
      <c r="Q172" s="756"/>
      <c r="R172" s="756"/>
      <c r="S172" s="756"/>
      <c r="T172" s="756"/>
      <c r="U172" s="756"/>
      <c r="V172" s="762"/>
      <c r="W172" s="756"/>
      <c r="X172" s="756"/>
      <c r="Y172" s="756"/>
      <c r="Z172" s="762"/>
      <c r="AA172" s="756"/>
      <c r="AB172" s="762"/>
      <c r="AC172" s="762"/>
    </row>
    <row r="173" ht="13.8" spans="1:29">
      <c r="A173" s="731"/>
      <c r="B173" s="613" t="str">
        <f>IFERROR(VLOOKUP(M173,'02. MM-KLH'!$B$6:$T$823,6,0),"")</f>
        <v>Xe xúc lật TCM 709</v>
      </c>
      <c r="C173" s="353"/>
      <c r="D173" s="353" t="str">
        <f>IFERROR(VLOOKUP(M173,'02. MM-KLH'!$B$6:$T$823,16,0),"")</f>
        <v>V2403-M</v>
      </c>
      <c r="E173" s="353" t="s">
        <v>5978</v>
      </c>
      <c r="F173" s="353"/>
      <c r="G173" s="353"/>
      <c r="H173" s="353" t="str">
        <f>IFERROR(VLOOKUP(M173,'02. MM-KLH'!$B$6:$T$823,17,0),"")</f>
        <v>45HP</v>
      </c>
      <c r="I173" s="763">
        <f>IFERROR(VLOOKUP(M173,'02. MM-KLH'!$B$6:$U$823,20,0),"")</f>
        <v>0</v>
      </c>
      <c r="J173" s="613" t="str">
        <f>IFERROR(VLOOKUP(M173,'02. MM-KLH'!$B$6:$T$823,19,0),"")</f>
        <v>V2403-08-3116</v>
      </c>
      <c r="K173" s="613" t="str">
        <f>IFERROR(VLOOKUP(M173,'02. MM-KLH'!$B$6:$T$823,18,0),"")</f>
        <v>56T01045</v>
      </c>
      <c r="L173" s="353">
        <f>IFERROR(VLOOKUP(M173,'02. MM-KLH'!$B$6:$T$823,4,0),"")</f>
        <v>0</v>
      </c>
      <c r="M173" s="49" t="s">
        <v>2117</v>
      </c>
      <c r="N173" s="356">
        <f>IFERROR(VLOOKUP(M173,'02. MM-KLH'!$B$6:$T$823,15,0),"")</f>
        <v>2007</v>
      </c>
      <c r="O173" s="764" t="str">
        <f>IFERROR(VLOOKUP(M173,'02. MM-KLH'!$B$6:$T$823,9,0),"")</f>
        <v>24/09/2025</v>
      </c>
      <c r="Q173" s="353" t="s">
        <v>1755</v>
      </c>
      <c r="R173" s="353"/>
      <c r="S173" s="353" t="s">
        <v>5978</v>
      </c>
      <c r="T173" s="353"/>
      <c r="U173" s="353" t="str">
        <f>IFERROR(VLOOKUP(M173,'02. MM-KLH'!$B$6:$T$823,5,0),"")</f>
        <v>MỚI (ĐQSD)</v>
      </c>
      <c r="V173" s="731" t="str">
        <f>IFERROR(VLOOKUP(M173,'02. MM-KLH'!$B$6:$T$823,8,0),"")</f>
        <v>XN Bò AD</v>
      </c>
      <c r="W173" s="353" t="str">
        <f>IFERROR(VLOOKUP(V173,'NS QUẢN LÝ CG'!$A$4:$D$36,2,0),"")</f>
        <v/>
      </c>
      <c r="X173" s="353" t="str">
        <f>IFERROR(VLOOKUP(V173,'NS QUẢN LÝ CG'!$A$4:$D$36,4,0),"")</f>
        <v/>
      </c>
      <c r="Y173" s="353" t="str">
        <f>IFERROR(VLOOKUP(V173,'NS QUẢN LÝ CG'!$A$4:$C$36,3,0),"")</f>
        <v/>
      </c>
      <c r="Z173" s="731" t="str">
        <f>IFERROR(VLOOKUP(M173,'02. MM-KLH'!$B$6:$T$823,3,0),"")</f>
        <v>A22-XXL-014</v>
      </c>
      <c r="AA173" s="353" t="str">
        <f>_xlfn.SWITCH(LEFT(Z173,3),"A22","ADM","A23","DP","A24","LP","")</f>
        <v>ADM</v>
      </c>
      <c r="AB173" s="731"/>
      <c r="AC173" s="731"/>
    </row>
    <row r="174" ht="13.8" spans="1:29">
      <c r="A174" s="731"/>
      <c r="B174" s="613" t="str">
        <f>IFERROR(VLOOKUP(M174,'02. MM-KLH'!$B$6:$T$823,6,0),"")</f>
        <v/>
      </c>
      <c r="C174" s="353"/>
      <c r="D174" s="353" t="str">
        <f>IFERROR(VLOOKUP(M174,'02. MM-KLH'!$B$6:$T$823,16,0),"")</f>
        <v/>
      </c>
      <c r="E174" s="353"/>
      <c r="F174" s="353"/>
      <c r="G174" s="353"/>
      <c r="H174" s="353" t="str">
        <f>IFERROR(VLOOKUP(M174,'02. MM-KLH'!$B$6:$T$823,17,0),"")</f>
        <v/>
      </c>
      <c r="I174" s="763" t="str">
        <f>IFERROR(VLOOKUP(M174,'02. MM-KLH'!$B$6:$U$823,20,0),"")</f>
        <v/>
      </c>
      <c r="J174" s="613" t="str">
        <f>IFERROR(VLOOKUP(M174,'02. MM-KLH'!$B$6:$T$823,19,0),"")</f>
        <v/>
      </c>
      <c r="K174" s="613" t="str">
        <f>IFERROR(VLOOKUP(M174,'02. MM-KLH'!$B$6:$T$823,18,0),"")</f>
        <v/>
      </c>
      <c r="L174" s="353" t="str">
        <f>IFERROR(VLOOKUP(M174,'02. MM-KLH'!$B$6:$T$823,4,0),"")</f>
        <v/>
      </c>
      <c r="M174" s="49"/>
      <c r="N174" s="356" t="str">
        <f>IFERROR(VLOOKUP(M174,'02. MM-KLH'!$B$6:$T$823,15,0),"")</f>
        <v/>
      </c>
      <c r="O174" s="764" t="str">
        <f>IFERROR(VLOOKUP(M174,'02. MM-KLH'!$B$6:$T$823,9,0),"")</f>
        <v/>
      </c>
      <c r="P174" s="353"/>
      <c r="Q174" s="353"/>
      <c r="R174" s="353"/>
      <c r="S174" s="353"/>
      <c r="T174" s="353"/>
      <c r="U174" s="353" t="str">
        <f>IFERROR(VLOOKUP(M174,'02. MM-KLH'!$B$6:$T$823,2,0),"")</f>
        <v/>
      </c>
      <c r="V174" s="731" t="str">
        <f>IFERROR(VLOOKUP(M174,'02. MM-KLH'!$B$6:$T$823,8,0),"")</f>
        <v/>
      </c>
      <c r="W174" s="353" t="str">
        <f>IFERROR(VLOOKUP(V174,'NS QUẢN LÝ CG'!$A$4:$D$36,2,0),"")</f>
        <v/>
      </c>
      <c r="X174" s="353" t="str">
        <f>IFERROR(VLOOKUP(V174,'NS QUẢN LÝ CG'!$A$4:$D$36,4,0),"")</f>
        <v/>
      </c>
      <c r="Y174" s="353"/>
      <c r="Z174" s="731" t="str">
        <f>IFERROR(VLOOKUP(M174,'02. MM-KLH'!$B$6:$T$823,3,0),"")</f>
        <v/>
      </c>
      <c r="AA174" s="353"/>
      <c r="AB174" s="731"/>
      <c r="AC174" s="731"/>
    </row>
    <row r="175" ht="13.8" hidden="1" spans="1:29">
      <c r="A175" s="731"/>
      <c r="B175" s="613" t="str">
        <f>IFERROR(VLOOKUP(M175,'02. MM-KLH'!$B$6:$T$823,6,0),"")</f>
        <v/>
      </c>
      <c r="C175" s="353"/>
      <c r="D175" s="353" t="str">
        <f>IFERROR(VLOOKUP(M175,'02. MM-KLH'!$B$6:$T$823,16,0),"")</f>
        <v/>
      </c>
      <c r="E175" s="353"/>
      <c r="F175" s="353"/>
      <c r="G175" s="353"/>
      <c r="H175" s="353" t="str">
        <f>IFERROR(VLOOKUP(M175,'02. MM-KLH'!$B$6:$T$823,17,0),"")</f>
        <v/>
      </c>
      <c r="I175" s="763" t="str">
        <f>IFERROR(VLOOKUP(M175,'02. MM-KLH'!$B$6:$U$823,20,0),"")</f>
        <v/>
      </c>
      <c r="J175" s="613" t="str">
        <f>IFERROR(VLOOKUP(M175,'02. MM-KLH'!$B$6:$T$823,19,0),"")</f>
        <v/>
      </c>
      <c r="K175" s="613" t="str">
        <f>IFERROR(VLOOKUP(M175,'02. MM-KLH'!$B$6:$T$823,18,0),"")</f>
        <v/>
      </c>
      <c r="L175" s="353" t="str">
        <f>IFERROR(VLOOKUP(M175,'02. MM-KLH'!$B$6:$T$823,4,0),"")</f>
        <v/>
      </c>
      <c r="M175" s="49"/>
      <c r="N175" s="356" t="str">
        <f>IFERROR(VLOOKUP(M175,'02. MM-KLH'!$B$6:$T$823,15,0),"")</f>
        <v/>
      </c>
      <c r="O175" s="764" t="str">
        <f>IFERROR(VLOOKUP(M175,'02. MM-KLH'!$B$6:$T$823,9,0),"")</f>
        <v/>
      </c>
      <c r="P175" s="353"/>
      <c r="Q175" s="353"/>
      <c r="R175" s="353"/>
      <c r="S175" s="353"/>
      <c r="T175" s="353"/>
      <c r="U175" s="353" t="str">
        <f>IFERROR(VLOOKUP(M175,'02. MM-KLH'!$B$6:$T$823,2,0),"")</f>
        <v/>
      </c>
      <c r="V175" s="731" t="str">
        <f>IFERROR(VLOOKUP(M175,'02. MM-KLH'!$B$6:$T$823,8,0),"")</f>
        <v/>
      </c>
      <c r="W175" s="353"/>
      <c r="X175" s="353"/>
      <c r="Y175" s="353"/>
      <c r="Z175" s="731" t="str">
        <f>IFERROR(VLOOKUP(M175,'02. MM-KLH'!$B$6:$T$823,3,0),"")</f>
        <v/>
      </c>
      <c r="AA175" s="353"/>
      <c r="AB175" s="731"/>
      <c r="AC175" s="731"/>
    </row>
    <row r="176" ht="13.8" hidden="1" spans="1:29">
      <c r="A176" s="731"/>
      <c r="B176" s="613" t="str">
        <f>IFERROR(VLOOKUP(M176,'02. MM-KLH'!$B$6:$T$823,6,0),"")</f>
        <v/>
      </c>
      <c r="C176" s="353"/>
      <c r="D176" s="353" t="str">
        <f>IFERROR(VLOOKUP(M176,'02. MM-KLH'!$B$6:$T$823,16,0),"")</f>
        <v/>
      </c>
      <c r="E176" s="353"/>
      <c r="F176" s="353"/>
      <c r="G176" s="353"/>
      <c r="H176" s="353" t="str">
        <f>IFERROR(VLOOKUP(M176,'02. MM-KLH'!$B$6:$T$823,17,0),"")</f>
        <v/>
      </c>
      <c r="I176" s="763" t="str">
        <f>IFERROR(VLOOKUP(M176,'02. MM-KLH'!$B$6:$U$823,20,0),"")</f>
        <v/>
      </c>
      <c r="J176" s="613" t="str">
        <f>IFERROR(VLOOKUP(M176,'02. MM-KLH'!$B$6:$T$823,19,0),"")</f>
        <v/>
      </c>
      <c r="K176" s="613" t="str">
        <f>IFERROR(VLOOKUP(M176,'02. MM-KLH'!$B$6:$T$823,18,0),"")</f>
        <v/>
      </c>
      <c r="L176" s="353" t="str">
        <f>IFERROR(VLOOKUP(M176,'02. MM-KLH'!$B$6:$T$823,4,0),"")</f>
        <v/>
      </c>
      <c r="M176" s="49"/>
      <c r="N176" s="356" t="str">
        <f>IFERROR(VLOOKUP(M176,'02. MM-KLH'!$B$6:$T$823,15,0),"")</f>
        <v/>
      </c>
      <c r="O176" s="764" t="str">
        <f>IFERROR(VLOOKUP(M176,'02. MM-KLH'!$B$6:$T$823,9,0),"")</f>
        <v/>
      </c>
      <c r="P176" s="353"/>
      <c r="Q176" s="353"/>
      <c r="R176" s="353"/>
      <c r="S176" s="353"/>
      <c r="T176" s="353"/>
      <c r="U176" s="353" t="str">
        <f>IFERROR(VLOOKUP(M176,'02. MM-KLH'!$B$6:$T$823,2,0),"")</f>
        <v/>
      </c>
      <c r="V176" s="731" t="str">
        <f>IFERROR(VLOOKUP(M176,'02. MM-KLH'!$B$6:$T$823,8,0),"")</f>
        <v/>
      </c>
      <c r="W176" s="353"/>
      <c r="X176" s="353"/>
      <c r="Y176" s="353"/>
      <c r="Z176" s="731" t="str">
        <f>IFERROR(VLOOKUP(M176,'02. MM-KLH'!$B$6:$T$823,3,0),"")</f>
        <v/>
      </c>
      <c r="AA176" s="353"/>
      <c r="AB176" s="731"/>
      <c r="AC176" s="731"/>
    </row>
    <row r="177" spans="1:29">
      <c r="A177" s="741" t="s">
        <v>5984</v>
      </c>
      <c r="B177" s="272"/>
      <c r="C177" s="742">
        <f>SUM(C178,C328)</f>
        <v>159</v>
      </c>
      <c r="D177" s="743"/>
      <c r="E177" s="743"/>
      <c r="F177" s="743"/>
      <c r="G177" s="743"/>
      <c r="H177" s="743"/>
      <c r="I177" s="744"/>
      <c r="J177" s="745"/>
      <c r="K177" s="745"/>
      <c r="L177" s="743"/>
      <c r="M177" s="743"/>
      <c r="N177" s="743"/>
      <c r="O177" s="746"/>
      <c r="P177" s="743"/>
      <c r="Q177" s="743"/>
      <c r="R177" s="743"/>
      <c r="S177" s="743"/>
      <c r="T177" s="743"/>
      <c r="U177" s="743"/>
      <c r="V177" s="744"/>
      <c r="W177" s="743"/>
      <c r="X177" s="743"/>
      <c r="Y177" s="743"/>
      <c r="Z177" s="744"/>
      <c r="AA177" s="743"/>
      <c r="AB177" s="744"/>
      <c r="AC177" s="731"/>
    </row>
    <row r="178" spans="1:29">
      <c r="A178" s="747" t="s">
        <v>3007</v>
      </c>
      <c r="B178" s="748" t="s">
        <v>5985</v>
      </c>
      <c r="C178" s="747">
        <f>SUM(C179,C228,C251,C283,C320,C324)</f>
        <v>140</v>
      </c>
      <c r="D178" s="749"/>
      <c r="E178" s="749"/>
      <c r="F178" s="749"/>
      <c r="G178" s="749"/>
      <c r="H178" s="749"/>
      <c r="I178" s="750"/>
      <c r="J178" s="751"/>
      <c r="K178" s="751"/>
      <c r="L178" s="749"/>
      <c r="M178" s="749"/>
      <c r="N178" s="749"/>
      <c r="O178" s="752"/>
      <c r="P178" s="749"/>
      <c r="Q178" s="749"/>
      <c r="R178" s="749"/>
      <c r="S178" s="749"/>
      <c r="T178" s="749"/>
      <c r="U178" s="749"/>
      <c r="V178" s="750"/>
      <c r="W178" s="749"/>
      <c r="X178" s="749"/>
      <c r="Y178" s="749"/>
      <c r="Z178" s="750"/>
      <c r="AA178" s="749"/>
      <c r="AB178" s="750"/>
      <c r="AC178" s="753"/>
    </row>
    <row r="179" ht="13.8" spans="1:29">
      <c r="A179" s="754">
        <v>1</v>
      </c>
      <c r="B179" s="755" t="s">
        <v>976</v>
      </c>
      <c r="C179" s="754">
        <f>COUNTA(B180:B227)</f>
        <v>45</v>
      </c>
      <c r="D179" s="756"/>
      <c r="E179" s="756"/>
      <c r="F179" s="756"/>
      <c r="G179" s="756"/>
      <c r="H179" s="762"/>
      <c r="I179" s="762"/>
      <c r="J179" s="758"/>
      <c r="K179" s="758"/>
      <c r="L179" s="756"/>
      <c r="M179" s="756"/>
      <c r="N179" s="756"/>
      <c r="O179" s="760"/>
      <c r="P179" s="756"/>
      <c r="Q179" s="756"/>
      <c r="R179" s="756"/>
      <c r="S179" s="756"/>
      <c r="T179" s="756"/>
      <c r="U179" s="756"/>
      <c r="V179" s="762"/>
      <c r="W179" s="756"/>
      <c r="X179" s="756"/>
      <c r="Y179" s="756"/>
      <c r="Z179" s="762"/>
      <c r="AA179" s="756"/>
      <c r="AB179" s="762"/>
      <c r="AC179" s="762"/>
    </row>
    <row r="180" ht="13.8" spans="1:29">
      <c r="A180" s="731"/>
      <c r="B180" s="613" t="str">
        <f>IFERROR(VLOOKUP(M180,'02. MM-KLH'!$B$6:$T$823,6,0),"")</f>
        <v>Máy cày JD 6603</v>
      </c>
      <c r="C180" s="353">
        <v>1</v>
      </c>
      <c r="D180" s="353">
        <f>IFERROR(VLOOKUP(M180,'02. MM-KLH'!$B$6:$T$823,16,0),"")</f>
        <v>6603</v>
      </c>
      <c r="E180" s="353" t="s">
        <v>5978</v>
      </c>
      <c r="F180" s="353"/>
      <c r="G180" s="353"/>
      <c r="H180" s="353" t="str">
        <f>IFERROR(VLOOKUP(M180,'02. MM-KLH'!$B$6:$T$823,17,0),"")</f>
        <v>120HP</v>
      </c>
      <c r="I180" s="763">
        <f>IFERROR(VLOOKUP(M180,'02. MM-KLH'!$B$6:$U$823,20,0),"")</f>
        <v>9</v>
      </c>
      <c r="J180" s="613" t="str">
        <f>IFERROR(VLOOKUP(M180,'02. MM-KLH'!$B$6:$T$823,19,0),"")</f>
        <v>CCN</v>
      </c>
      <c r="K180" s="613">
        <f>IFERROR(VLOOKUP(M180,'02. MM-KLH'!$B$6:$T$823,18,0),"")</f>
        <v>33028</v>
      </c>
      <c r="L180" s="353">
        <f>IFERROR(VLOOKUP(M180,'02. MM-KLH'!$B$6:$T$823,4,0),"")</f>
        <v>0</v>
      </c>
      <c r="M180" s="49" t="s">
        <v>973</v>
      </c>
      <c r="N180" s="356">
        <f>IFERROR(VLOOKUP(M180,'02. MM-KLH'!$B$6:$T$823,15,0),"")</f>
        <v>2018</v>
      </c>
      <c r="O180" s="764">
        <f>IFERROR(VLOOKUP(M180,'02. MM-KLH'!$B$6:$T$823,9,0),"")</f>
        <v>0</v>
      </c>
      <c r="P180" s="353"/>
      <c r="Q180" s="353" t="s">
        <v>1755</v>
      </c>
      <c r="R180" s="353" t="s">
        <v>5978</v>
      </c>
      <c r="S180" s="353"/>
      <c r="T180" s="353"/>
      <c r="U180" s="353" t="str">
        <f>IFERROR(VLOOKUP(M180,'02. MM-KLH'!$B$6:$T$823,5,0),"")</f>
        <v>ĐQSD</v>
      </c>
      <c r="V180" s="731" t="str">
        <f>IFERROR(VLOOKUP(M180,'02. MM-KLH'!$B$6:$T$823,8,0),"")</f>
        <v>CGLĐ DP</v>
      </c>
      <c r="W180" s="353" t="str">
        <f>IFERROR(VLOOKUP(V180,'NS QUẢN LÝ CG'!$A$4:$D$36,2,0),"")</f>
        <v>Nguyễn Tấn Triều</v>
      </c>
      <c r="X180" s="353" t="str">
        <f>IFERROR(VLOOKUP(V180,'NS QUẢN LÝ CG'!$A$4:$D$36,4,0),"")</f>
        <v>Lô 85 DP4</v>
      </c>
      <c r="Y180" s="1104" t="str">
        <f>IFERROR(VLOOKUP(V180,'NS QUẢN LÝ CG'!$A$4:$C$36,3,0),"")</f>
        <v>05974160290</v>
      </c>
      <c r="Z180" s="731" t="str">
        <f>IFERROR(VLOOKUP(M180,'02. MM-KLH'!$B$6:$T$823,3,0),"")</f>
        <v>A23-MKE-005</v>
      </c>
      <c r="AA180" s="353" t="str">
        <f t="shared" ref="AA180:AA181" si="10">_xlfn.SWITCH(LEFT(Z180,3),"A22","ADM","A23","DP","A24","LP","")</f>
        <v>DP</v>
      </c>
      <c r="AB180" s="731"/>
      <c r="AC180" s="731"/>
    </row>
    <row r="181" ht="13.8" spans="1:29">
      <c r="A181" s="731"/>
      <c r="B181" s="613" t="str">
        <f>IFERROR(VLOOKUP(M181,'02. MM-KLH'!$B$6:$T$823,6,0),"")</f>
        <v>Máy cày JD 6603</v>
      </c>
      <c r="C181" s="353">
        <v>1</v>
      </c>
      <c r="D181" s="353">
        <f>IFERROR(VLOOKUP(M181,'02. MM-KLH'!$B$6:$T$823,16,0),"")</f>
        <v>6603</v>
      </c>
      <c r="E181" s="353" t="s">
        <v>5978</v>
      </c>
      <c r="F181" s="353"/>
      <c r="G181" s="353"/>
      <c r="H181" s="353" t="str">
        <f>IFERROR(VLOOKUP(M181,'02. MM-KLH'!$B$6:$T$823,17,0),"")</f>
        <v>120HP</v>
      </c>
      <c r="I181" s="763">
        <f>IFERROR(VLOOKUP(M181,'02. MM-KLH'!$B$6:$U$823,20,0),"")</f>
        <v>9</v>
      </c>
      <c r="J181" s="613" t="str">
        <f>IFERROR(VLOOKUP(M181,'02. MM-KLH'!$B$6:$T$823,19,0),"")</f>
        <v>CCN</v>
      </c>
      <c r="K181" s="613">
        <f>IFERROR(VLOOKUP(M181,'02. MM-KLH'!$B$6:$T$823,18,0),"")</f>
        <v>33178</v>
      </c>
      <c r="L181" s="353">
        <f>IFERROR(VLOOKUP(M181,'02. MM-KLH'!$B$6:$T$823,4,0),"")</f>
        <v>0</v>
      </c>
      <c r="M181" s="49" t="s">
        <v>978</v>
      </c>
      <c r="N181" s="356">
        <f>IFERROR(VLOOKUP(M181,'02. MM-KLH'!$B$6:$T$823,15,0),"")</f>
        <v>2018</v>
      </c>
      <c r="O181" s="764">
        <f>IFERROR(VLOOKUP(M181,'02. MM-KLH'!$B$6:$T$823,9,0),"")</f>
        <v>43862</v>
      </c>
      <c r="P181" s="353"/>
      <c r="Q181" s="353" t="s">
        <v>1755</v>
      </c>
      <c r="R181" s="353" t="s">
        <v>5978</v>
      </c>
      <c r="S181" s="353"/>
      <c r="T181" s="353"/>
      <c r="U181" s="353" t="str">
        <f>IFERROR(VLOOKUP(M181,'02. MM-KLH'!$B$6:$T$823,5,0),"")</f>
        <v>ĐQSD</v>
      </c>
      <c r="V181" s="731" t="str">
        <f>IFERROR(VLOOKUP(M181,'02. MM-KLH'!$B$6:$T$823,8,0),"")</f>
        <v>CGLĐ DP</v>
      </c>
      <c r="W181" s="353" t="str">
        <f>IFERROR(VLOOKUP(V181,'NS QUẢN LÝ CG'!$A$4:$D$36,2,0),"")</f>
        <v>Nguyễn Tấn Triều</v>
      </c>
      <c r="X181" s="353" t="str">
        <f>IFERROR(VLOOKUP(V181,'NS QUẢN LÝ CG'!$A$4:$D$36,4,0),"")</f>
        <v>Lô 85 DP4</v>
      </c>
      <c r="Y181" s="1104" t="str">
        <f>IFERROR(VLOOKUP(V181,'NS QUẢN LÝ CG'!$A$4:$C$36,3,0),"")</f>
        <v>05974160290</v>
      </c>
      <c r="Z181" s="731" t="str">
        <f>IFERROR(VLOOKUP(M181,'02. MM-KLH'!$B$6:$T$823,3,0),"")</f>
        <v>A23-MKE-006</v>
      </c>
      <c r="AA181" s="353" t="str">
        <f t="shared" si="10"/>
        <v>DP</v>
      </c>
      <c r="AB181" s="731"/>
      <c r="AC181" s="731"/>
    </row>
    <row r="182" ht="13.8" spans="1:29">
      <c r="A182" s="731"/>
      <c r="B182" s="613" t="str">
        <f>IFERROR(VLOOKUP(M182,'02. MM-KLH'!$B$6:$T$823,6,0),"")</f>
        <v>Máy cày JD 6603</v>
      </c>
      <c r="C182" s="353">
        <v>1</v>
      </c>
      <c r="D182" s="353">
        <f>IFERROR(VLOOKUP(M182,'02. MM-KLH'!$B$6:$T$823,16,0),"")</f>
        <v>6603</v>
      </c>
      <c r="E182" s="353" t="s">
        <v>5978</v>
      </c>
      <c r="F182" s="353"/>
      <c r="G182" s="353"/>
      <c r="H182" s="353" t="str">
        <f>IFERROR(VLOOKUP(M182,'02. MM-KLH'!$B$6:$T$823,17,0),"")</f>
        <v>120HP</v>
      </c>
      <c r="I182" s="763">
        <f>IFERROR(VLOOKUP(M182,'02. MM-KLH'!$B$6:$U$823,20,0),"")</f>
        <v>9</v>
      </c>
      <c r="J182" s="613" t="str">
        <f>IFERROR(VLOOKUP(M182,'02. MM-KLH'!$B$6:$T$823,19,0),"")</f>
        <v>CCN</v>
      </c>
      <c r="K182" s="613">
        <f>IFERROR(VLOOKUP(M182,'02. MM-KLH'!$B$6:$T$823,18,0),"")</f>
        <v>32607</v>
      </c>
      <c r="L182" s="353">
        <f>IFERROR(VLOOKUP(M182,'02. MM-KLH'!$B$6:$T$823,4,0),"")</f>
        <v>0</v>
      </c>
      <c r="M182" s="49" t="s">
        <v>1037</v>
      </c>
      <c r="N182" s="356">
        <f>IFERROR(VLOOKUP(M182,'02. MM-KLH'!$B$6:$T$823,15,0),"")</f>
        <v>2018</v>
      </c>
      <c r="O182" s="764">
        <f>IFERROR(VLOOKUP(M182,'02. MM-KLH'!$B$6:$T$823,9,0),"")</f>
        <v>0</v>
      </c>
      <c r="P182" s="353"/>
      <c r="Q182" s="353" t="s">
        <v>1755</v>
      </c>
      <c r="R182" s="353" t="s">
        <v>5978</v>
      </c>
      <c r="S182" s="353"/>
      <c r="T182" s="353"/>
      <c r="U182" s="353" t="str">
        <f>IFERROR(VLOOKUP(M182,'02. MM-KLH'!$B$6:$T$823,5,0),"")</f>
        <v>ĐQSD</v>
      </c>
      <c r="V182" s="731" t="str">
        <f>IFERROR(VLOOKUP(M182,'02. MM-KLH'!$B$6:$T$823,8,0),"")</f>
        <v>CGLĐ LP</v>
      </c>
      <c r="W182" s="353" t="str">
        <f>IFERROR(VLOOKUP(V182,'NS QUẢN LÝ CG'!$A$4:$D$36,2,0),"")</f>
        <v>Nguyễn Tấn Triều</v>
      </c>
      <c r="X182" s="353" t="str">
        <f>IFERROR(VLOOKUP(V182,'NS QUẢN LÝ CG'!$A$4:$D$36,4,0),"")</f>
        <v>LP3.5-LP3</v>
      </c>
      <c r="Y182" s="1104" t="str">
        <f>IFERROR(VLOOKUP(V182,'NS QUẢN LÝ CG'!$A$4:$C$36,3,0),"")</f>
        <v>05974160290</v>
      </c>
      <c r="Z182" s="731" t="str">
        <f>IFERROR(VLOOKUP(M182,'02. MM-KLH'!$B$6:$T$823,3,0),"")</f>
        <v>ATT-A23-0016</v>
      </c>
      <c r="AA182" s="353" t="s">
        <v>5979</v>
      </c>
      <c r="AB182" s="731"/>
      <c r="AC182" s="731"/>
    </row>
    <row r="183" ht="13.8" spans="1:29">
      <c r="A183" s="731"/>
      <c r="B183" s="613" t="str">
        <f>IFERROR(VLOOKUP(M183,'02. MM-KLH'!$B$6:$T$823,6,0),"")</f>
        <v>Máy cày JD 6603</v>
      </c>
      <c r="C183" s="353">
        <v>1</v>
      </c>
      <c r="D183" s="353">
        <f>IFERROR(VLOOKUP(M183,'02. MM-KLH'!$B$6:$T$823,16,0),"")</f>
        <v>6603</v>
      </c>
      <c r="E183" s="353" t="s">
        <v>5978</v>
      </c>
      <c r="F183" s="353"/>
      <c r="G183" s="353"/>
      <c r="H183" s="353" t="str">
        <f>IFERROR(VLOOKUP(M183,'02. MM-KLH'!$B$6:$T$823,17,0),"")</f>
        <v>120HP</v>
      </c>
      <c r="I183" s="763">
        <f>IFERROR(VLOOKUP(M183,'02. MM-KLH'!$B$6:$U$823,20,0),"")</f>
        <v>9</v>
      </c>
      <c r="J183" s="1105" t="str">
        <f>IFERROR(VLOOKUP(M183,'02. MM-KLH'!$B$6:$T$823,19,0),"")</f>
        <v>05958</v>
      </c>
      <c r="K183" s="613" t="str">
        <f>IFERROR(VLOOKUP(M183,'02. MM-KLH'!$B$6:$T$823,18,0),"")</f>
        <v>J0033179</v>
      </c>
      <c r="L183" s="353">
        <f>IFERROR(VLOOKUP(M183,'02. MM-KLH'!$B$6:$T$823,4,0),"")</f>
        <v>0</v>
      </c>
      <c r="M183" s="49" t="s">
        <v>1039</v>
      </c>
      <c r="N183" s="356">
        <f>IFERROR(VLOOKUP(M183,'02. MM-KLH'!$B$6:$T$823,15,0),"")</f>
        <v>2018</v>
      </c>
      <c r="O183" s="764">
        <f>IFERROR(VLOOKUP(M183,'02. MM-KLH'!$B$6:$T$823,9,0),"")</f>
        <v>0</v>
      </c>
      <c r="P183" s="353"/>
      <c r="Q183" s="353" t="s">
        <v>1755</v>
      </c>
      <c r="R183" s="353" t="s">
        <v>5978</v>
      </c>
      <c r="S183" s="353"/>
      <c r="T183" s="353"/>
      <c r="U183" s="353" t="str">
        <f>IFERROR(VLOOKUP(M183,'02. MM-KLH'!$B$6:$T$823,5,0),"")</f>
        <v>ĐQSD</v>
      </c>
      <c r="V183" s="731" t="str">
        <f>IFERROR(VLOOKUP(M183,'02. MM-KLH'!$B$6:$T$823,8,0),"")</f>
        <v>CGLĐ LP</v>
      </c>
      <c r="W183" s="353" t="str">
        <f>IFERROR(VLOOKUP(V183,'NS QUẢN LÝ CG'!$A$4:$D$36,2,0),"")</f>
        <v>Nguyễn Tấn Triều</v>
      </c>
      <c r="X183" s="353" t="str">
        <f>IFERROR(VLOOKUP(V183,'NS QUẢN LÝ CG'!$A$4:$D$36,4,0),"")</f>
        <v>LP3.5-LP3</v>
      </c>
      <c r="Y183" s="1104" t="str">
        <f>IFERROR(VLOOKUP(V183,'NS QUẢN LÝ CG'!$A$4:$C$36,3,0),"")</f>
        <v>05974160290</v>
      </c>
      <c r="Z183" s="731" t="str">
        <f>IFERROR(VLOOKUP(M183,'02. MM-KLH'!$B$6:$T$823,3,0),"")</f>
        <v>ATT-A23-0016</v>
      </c>
      <c r="AA183" s="353" t="s">
        <v>5979</v>
      </c>
      <c r="AB183" s="731"/>
      <c r="AC183" s="731"/>
    </row>
    <row r="184" ht="13.8" spans="1:29">
      <c r="A184" s="731"/>
      <c r="B184" s="613" t="str">
        <f>IFERROR(VLOOKUP(M184,'02. MM-KLH'!$B$6:$T$823,6,0),"")</f>
        <v>Máy cày JD 6603</v>
      </c>
      <c r="C184" s="353">
        <v>1</v>
      </c>
      <c r="D184" s="353">
        <f>IFERROR(VLOOKUP(M184,'02. MM-KLH'!$B$6:$T$823,16,0),"")</f>
        <v>6603</v>
      </c>
      <c r="E184" s="353" t="s">
        <v>5978</v>
      </c>
      <c r="F184" s="353"/>
      <c r="G184" s="353"/>
      <c r="H184" s="353" t="str">
        <f>IFERROR(VLOOKUP(M184,'02. MM-KLH'!$B$6:$T$823,17,0),"")</f>
        <v>120HP</v>
      </c>
      <c r="I184" s="763">
        <f>IFERROR(VLOOKUP(M184,'02. MM-KLH'!$B$6:$U$823,20,0),"")</f>
        <v>9</v>
      </c>
      <c r="J184" s="613" t="str">
        <f>IFERROR(VLOOKUP(M184,'02. MM-KLH'!$B$6:$T$823,19,0),"")</f>
        <v>PE6068E003752</v>
      </c>
      <c r="K184" s="613" t="str">
        <f>IFERROR(VLOOKUP(M184,'02. MM-KLH'!$B$6:$T$823,18,0),"")</f>
        <v>1P06603XLJ0032211</v>
      </c>
      <c r="L184" s="353">
        <f>IFERROR(VLOOKUP(M184,'02. MM-KLH'!$B$6:$T$823,4,0),"")</f>
        <v>0</v>
      </c>
      <c r="M184" s="49" t="s">
        <v>1043</v>
      </c>
      <c r="N184" s="356">
        <f>IFERROR(VLOOKUP(M184,'02. MM-KLH'!$B$6:$T$823,15,0),"")</f>
        <v>2018</v>
      </c>
      <c r="O184" s="764">
        <f>IFERROR(VLOOKUP(M184,'02. MM-KLH'!$B$6:$T$823,9,0),"")</f>
        <v>0</v>
      </c>
      <c r="P184" s="353"/>
      <c r="Q184" s="353" t="s">
        <v>1755</v>
      </c>
      <c r="R184" s="353" t="s">
        <v>5978</v>
      </c>
      <c r="S184" s="353"/>
      <c r="T184" s="353"/>
      <c r="U184" s="353" t="str">
        <f>IFERROR(VLOOKUP(M184,'02. MM-KLH'!$B$6:$T$823,5,0),"")</f>
        <v>ĐQSD</v>
      </c>
      <c r="V184" s="731" t="str">
        <f>IFERROR(VLOOKUP(M184,'02. MM-KLH'!$B$6:$T$823,8,0),"")</f>
        <v>CGLĐ LP</v>
      </c>
      <c r="W184" s="353" t="str">
        <f>IFERROR(VLOOKUP(V184,'NS QUẢN LÝ CG'!$A$4:$D$36,2,0),"")</f>
        <v>Nguyễn Tấn Triều</v>
      </c>
      <c r="X184" s="353" t="str">
        <f>IFERROR(VLOOKUP(V184,'NS QUẢN LÝ CG'!$A$4:$D$36,4,0),"")</f>
        <v>LP3.5-LP3</v>
      </c>
      <c r="Y184" s="1104" t="str">
        <f>IFERROR(VLOOKUP(V184,'NS QUẢN LÝ CG'!$A$4:$C$36,3,0),"")</f>
        <v>05974160290</v>
      </c>
      <c r="Z184" s="731" t="str">
        <f>IFERROR(VLOOKUP(M184,'02. MM-KLH'!$B$6:$T$823,3,0),"")</f>
        <v>ATT-A23-0016</v>
      </c>
      <c r="AA184" s="353" t="s">
        <v>5979</v>
      </c>
      <c r="AB184" s="731"/>
      <c r="AC184" s="731"/>
    </row>
    <row r="185" ht="13.8" spans="1:29">
      <c r="A185" s="731"/>
      <c r="B185" s="613" t="str">
        <f>IFERROR(VLOOKUP(M185,'02. MM-KLH'!$B$6:$T$823,6,0),"")</f>
        <v>Máy cày JD 6603</v>
      </c>
      <c r="C185" s="353">
        <v>1</v>
      </c>
      <c r="D185" s="353">
        <f>IFERROR(VLOOKUP(M185,'02. MM-KLH'!$B$6:$T$823,16,0),"")</f>
        <v>6603</v>
      </c>
      <c r="E185" s="353" t="s">
        <v>5978</v>
      </c>
      <c r="F185" s="353"/>
      <c r="G185" s="353"/>
      <c r="H185" s="353" t="str">
        <f>IFERROR(VLOOKUP(M185,'02. MM-KLH'!$B$6:$T$823,17,0),"")</f>
        <v>120HP</v>
      </c>
      <c r="I185" s="763">
        <f>IFERROR(VLOOKUP(M185,'02. MM-KLH'!$B$6:$U$823,20,0),"")</f>
        <v>9</v>
      </c>
      <c r="J185" s="613" t="str">
        <f>IFERROR(VLOOKUP(M185,'02. MM-KLH'!$B$6:$T$823,19,0),"")</f>
        <v>CCN</v>
      </c>
      <c r="K185" s="613">
        <f>IFERROR(VLOOKUP(M185,'02. MM-KLH'!$B$6:$T$823,18,0),"")</f>
        <v>33027</v>
      </c>
      <c r="L185" s="353">
        <f>IFERROR(VLOOKUP(M185,'02. MM-KLH'!$B$6:$T$823,4,0),"")</f>
        <v>0</v>
      </c>
      <c r="M185" s="49" t="s">
        <v>1107</v>
      </c>
      <c r="N185" s="356">
        <f>IFERROR(VLOOKUP(M185,'02. MM-KLH'!$B$6:$T$823,15,0),"")</f>
        <v>2018</v>
      </c>
      <c r="O185" s="764">
        <f>IFERROR(VLOOKUP(M185,'02. MM-KLH'!$B$6:$T$823,9,0),"")</f>
        <v>43862</v>
      </c>
      <c r="P185" s="353"/>
      <c r="Q185" s="353" t="s">
        <v>1755</v>
      </c>
      <c r="R185" s="353"/>
      <c r="S185" s="353" t="s">
        <v>5978</v>
      </c>
      <c r="T185" s="353"/>
      <c r="U185" s="353" t="str">
        <f>IFERROR(VLOOKUP(M185,'02. MM-KLH'!$B$6:$T$823,5,0),"")</f>
        <v>ĐQSD</v>
      </c>
      <c r="V185" s="731" t="str">
        <f>IFERROR(VLOOKUP(M185,'02. MM-KLH'!$B$6:$T$823,8,0),"")</f>
        <v>XN Bò AD</v>
      </c>
      <c r="W185" s="353" t="str">
        <f>IFERROR(VLOOKUP(V185,'NS QUẢN LÝ CG'!$A$4:$D$36,2,0),"")</f>
        <v/>
      </c>
      <c r="X185" s="353" t="str">
        <f>IFERROR(VLOOKUP(V185,'NS QUẢN LÝ CG'!$A$4:$D$36,4,0),"")</f>
        <v/>
      </c>
      <c r="Y185" s="353" t="str">
        <f>IFERROR(VLOOKUP(V185,'NS QUẢN LÝ CG'!$A$4:$C$36,3,0),"")</f>
        <v/>
      </c>
      <c r="Z185" s="731" t="str">
        <f>IFERROR(VLOOKUP(M185,'02. MM-KLH'!$B$6:$T$823,3,0),"")</f>
        <v>ATT-A23-0016</v>
      </c>
      <c r="AA185" s="353" t="s">
        <v>5979</v>
      </c>
      <c r="AB185" s="731"/>
      <c r="AC185" s="731"/>
    </row>
    <row r="186" ht="13.8" spans="1:29">
      <c r="A186" s="731"/>
      <c r="B186" s="613" t="str">
        <f>IFERROR(VLOOKUP(M186,'02. MM-KLH'!$B$6:$T$823,6,0),"")</f>
        <v>Máy cày JD 6603</v>
      </c>
      <c r="C186" s="353">
        <v>1</v>
      </c>
      <c r="D186" s="353">
        <f>IFERROR(VLOOKUP(M186,'02. MM-KLH'!$B$6:$T$823,16,0),"")</f>
        <v>6603</v>
      </c>
      <c r="E186" s="353" t="s">
        <v>5978</v>
      </c>
      <c r="F186" s="353"/>
      <c r="G186" s="353"/>
      <c r="H186" s="353" t="str">
        <f>IFERROR(VLOOKUP(M186,'02. MM-KLH'!$B$6:$T$823,17,0),"")</f>
        <v>120HP</v>
      </c>
      <c r="I186" s="763">
        <f>IFERROR(VLOOKUP(M186,'02. MM-KLH'!$B$6:$U$823,20,0),"")</f>
        <v>9</v>
      </c>
      <c r="J186" s="613" t="str">
        <f>IFERROR(VLOOKUP(M186,'02. MM-KLH'!$B$6:$T$823,19,0),"")</f>
        <v>CCN</v>
      </c>
      <c r="K186" s="613">
        <f>IFERROR(VLOOKUP(M186,'02. MM-KLH'!$B$6:$T$823,18,0),"")</f>
        <v>5956</v>
      </c>
      <c r="L186" s="353">
        <f>IFERROR(VLOOKUP(M186,'02. MM-KLH'!$B$6:$T$823,4,0),"")</f>
        <v>0</v>
      </c>
      <c r="M186" s="49" t="s">
        <v>1835</v>
      </c>
      <c r="N186" s="356">
        <f>IFERROR(VLOOKUP(M186,'02. MM-KLH'!$B$6:$T$823,15,0),"")</f>
        <v>2008</v>
      </c>
      <c r="O186" s="764">
        <f>IFERROR(VLOOKUP(M186,'02. MM-KLH'!$B$6:$T$823,9,0),"")</f>
        <v>0</v>
      </c>
      <c r="P186" s="353"/>
      <c r="Q186" s="353" t="s">
        <v>1755</v>
      </c>
      <c r="R186" s="353" t="s">
        <v>5978</v>
      </c>
      <c r="S186" s="353"/>
      <c r="T186" s="353"/>
      <c r="U186" s="353" t="str">
        <f>IFERROR(VLOOKUP(M186,'02. MM-KLH'!$B$6:$T$823,5,0),"")</f>
        <v>ĐQSD</v>
      </c>
      <c r="V186" s="731" t="str">
        <f>IFERROR(VLOOKUP(M186,'02. MM-KLH'!$B$6:$T$823,8,0),"")</f>
        <v>XN Bò AD</v>
      </c>
      <c r="W186" s="353" t="str">
        <f>IFERROR(VLOOKUP(V186,'NS QUẢN LÝ CG'!$A$4:$D$36,2,0),"")</f>
        <v/>
      </c>
      <c r="X186" s="353" t="str">
        <f>IFERROR(VLOOKUP(V186,'NS QUẢN LÝ CG'!$A$4:$D$36,4,0),"")</f>
        <v/>
      </c>
      <c r="Y186" s="353" t="str">
        <f>IFERROR(VLOOKUP(V186,'NS QUẢN LÝ CG'!$A$4:$C$36,3,0),"")</f>
        <v/>
      </c>
      <c r="Z186" s="731" t="str">
        <f>IFERROR(VLOOKUP(M186,'02. MM-KLH'!$B$6:$T$823,3,0),"")</f>
        <v>A22-MKE-009</v>
      </c>
      <c r="AA186" s="353" t="str">
        <f t="shared" ref="AA186:AA187" si="11">_xlfn.SWITCH(LEFT(Z186,3),"A22","ADM","A23","DP","A24","LP","")</f>
        <v>ADM</v>
      </c>
      <c r="AB186" s="731"/>
      <c r="AC186" s="731"/>
    </row>
    <row r="187" ht="13.8" spans="1:29">
      <c r="A187" s="731"/>
      <c r="B187" s="613" t="str">
        <f>IFERROR(VLOOKUP(M187,'02. MM-KLH'!$B$6:$T$823,6,0),"")</f>
        <v>Máy cày JD 6603</v>
      </c>
      <c r="C187" s="353">
        <v>1</v>
      </c>
      <c r="D187" s="353">
        <f>IFERROR(VLOOKUP(M187,'02. MM-KLH'!$B$6:$T$823,16,0),"")</f>
        <v>6603</v>
      </c>
      <c r="E187" s="353" t="s">
        <v>5978</v>
      </c>
      <c r="F187" s="353"/>
      <c r="G187" s="353"/>
      <c r="H187" s="353" t="str">
        <f>IFERROR(VLOOKUP(M187,'02. MM-KLH'!$B$6:$T$823,17,0),"")</f>
        <v>120HP</v>
      </c>
      <c r="I187" s="763">
        <f>IFERROR(VLOOKUP(M187,'02. MM-KLH'!$B$6:$U$823,20,0),"")</f>
        <v>7</v>
      </c>
      <c r="J187" s="613" t="str">
        <f>IFERROR(VLOOKUP(M187,'02. MM-KLH'!$B$6:$T$823,19,0),"")</f>
        <v>CCN</v>
      </c>
      <c r="K187" s="613">
        <f>IFERROR(VLOOKUP(M187,'02. MM-KLH'!$B$6:$T$823,18,0),"")</f>
        <v>32551</v>
      </c>
      <c r="L187" s="353">
        <f>IFERROR(VLOOKUP(M187,'02. MM-KLH'!$B$6:$T$823,4,0),"")</f>
        <v>0</v>
      </c>
      <c r="M187" s="49" t="s">
        <v>1837</v>
      </c>
      <c r="N187" s="356">
        <f>IFERROR(VLOOKUP(M187,'02. MM-KLH'!$B$6:$T$823,15,0),"")</f>
        <v>2008</v>
      </c>
      <c r="O187" s="764">
        <f>IFERROR(VLOOKUP(M187,'02. MM-KLH'!$B$6:$T$823,9,0),"")</f>
        <v>0</v>
      </c>
      <c r="P187" s="353"/>
      <c r="Q187" s="353" t="s">
        <v>1755</v>
      </c>
      <c r="R187" s="353"/>
      <c r="S187" s="353"/>
      <c r="T187" s="353"/>
      <c r="U187" s="353" t="str">
        <f>IFERROR(VLOOKUP(M187,'02. MM-KLH'!$B$6:$T$823,5,0),"")</f>
        <v>ĐQSD</v>
      </c>
      <c r="V187" s="731" t="str">
        <f>IFERROR(VLOOKUP(M187,'02. MM-KLH'!$B$6:$T$823,8,0),"")</f>
        <v>XN Bò AD</v>
      </c>
      <c r="W187" s="353" t="str">
        <f>IFERROR(VLOOKUP(V187,'NS QUẢN LÝ CG'!$A$4:$D$36,2,0),"")</f>
        <v/>
      </c>
      <c r="X187" s="353" t="str">
        <f>IFERROR(VLOOKUP(V187,'NS QUẢN LÝ CG'!$A$4:$D$36,4,0),"")</f>
        <v/>
      </c>
      <c r="Y187" s="353" t="str">
        <f>IFERROR(VLOOKUP(V187,'NS QUẢN LÝ CG'!$A$4:$C$36,3,0),"")</f>
        <v/>
      </c>
      <c r="Z187" s="731" t="str">
        <f>IFERROR(VLOOKUP(M187,'02. MM-KLH'!$B$6:$T$823,3,0),"")</f>
        <v>A22-MKE-010</v>
      </c>
      <c r="AA187" s="353" t="str">
        <f t="shared" si="11"/>
        <v>ADM</v>
      </c>
      <c r="AB187" s="731"/>
      <c r="AC187" s="731"/>
    </row>
    <row r="188" ht="13.8" spans="1:29">
      <c r="A188" s="731"/>
      <c r="B188" s="613" t="str">
        <f>IFERROR(VLOOKUP(M188,'02. MM-KLH'!$B$6:$T$823,6,0),"")</f>
        <v>Máy cày JD 6603</v>
      </c>
      <c r="C188" s="353">
        <v>1</v>
      </c>
      <c r="D188" s="353">
        <f>IFERROR(VLOOKUP(M188,'02. MM-KLH'!$B$6:$T$823,16,0),"")</f>
        <v>6603</v>
      </c>
      <c r="E188" s="353" t="s">
        <v>5978</v>
      </c>
      <c r="F188" s="353"/>
      <c r="G188" s="353"/>
      <c r="H188" s="353" t="str">
        <f>IFERROR(VLOOKUP(M188,'02. MM-KLH'!$B$6:$T$823,17,0),"")</f>
        <v>120HP</v>
      </c>
      <c r="I188" s="763">
        <f>IFERROR(VLOOKUP(M188,'02. MM-KLH'!$B$6:$U$823,20,0),"")</f>
        <v>9</v>
      </c>
      <c r="J188" s="613" t="str">
        <f>IFERROR(VLOOKUP(M188,'02. MM-KLH'!$B$6:$T$823,19,0),"")</f>
        <v>CCN</v>
      </c>
      <c r="K188" s="613">
        <f>IFERROR(VLOOKUP(M188,'02. MM-KLH'!$B$6:$T$823,18,0),"")</f>
        <v>32550</v>
      </c>
      <c r="L188" s="353">
        <f>IFERROR(VLOOKUP(M188,'02. MM-KLH'!$B$6:$T$823,4,0),"")</f>
        <v>0</v>
      </c>
      <c r="M188" s="49" t="s">
        <v>1907</v>
      </c>
      <c r="N188" s="356">
        <f>IFERROR(VLOOKUP(M188,'02. MM-KLH'!$B$6:$T$823,15,0),"")</f>
        <v>2018</v>
      </c>
      <c r="O188" s="764">
        <f>IFERROR(VLOOKUP(M188,'02. MM-KLH'!$B$6:$T$823,9,0),"")</f>
        <v>0</v>
      </c>
      <c r="P188" s="353"/>
      <c r="Q188" s="353" t="s">
        <v>1755</v>
      </c>
      <c r="R188" s="353"/>
      <c r="S188" s="353" t="s">
        <v>5978</v>
      </c>
      <c r="T188" s="353"/>
      <c r="U188" s="353" t="str">
        <f>IFERROR(VLOOKUP(M188,'02. MM-KLH'!$B$6:$T$823,5,0),"")</f>
        <v>ĐQSD</v>
      </c>
      <c r="V188" s="731" t="str">
        <f>IFERROR(VLOOKUP(M188,'02. MM-KLH'!$B$6:$T$823,8,0),"")</f>
        <v>XN Bò AD</v>
      </c>
      <c r="W188" s="353" t="str">
        <f>IFERROR(VLOOKUP(V188,'NS QUẢN LÝ CG'!$A$4:$D$36,2,0),"")</f>
        <v/>
      </c>
      <c r="X188" s="353" t="str">
        <f>IFERROR(VLOOKUP(V188,'NS QUẢN LÝ CG'!$A$4:$D$36,4,0),"")</f>
        <v/>
      </c>
      <c r="Y188" s="353" t="str">
        <f>IFERROR(VLOOKUP(V188,'NS QUẢN LÝ CG'!$A$4:$C$36,3,0),"")</f>
        <v/>
      </c>
      <c r="Z188" s="731" t="str">
        <f>IFERROR(VLOOKUP(M188,'02. MM-KLH'!$B$6:$T$823,3,0),"")</f>
        <v>ATT-A23-0016</v>
      </c>
      <c r="AA188" s="353" t="s">
        <v>5979</v>
      </c>
      <c r="AB188" s="731"/>
      <c r="AC188" s="731"/>
    </row>
    <row r="189" ht="13.8" spans="1:29">
      <c r="A189" s="731"/>
      <c r="B189" s="613" t="str">
        <f>IFERROR(VLOOKUP(M189,'02. MM-KLH'!$B$6:$T$823,6,0),"")</f>
        <v>Máy cày JD 6120B</v>
      </c>
      <c r="C189" s="353">
        <v>1</v>
      </c>
      <c r="D189" s="353" t="str">
        <f>IFERROR(VLOOKUP(M189,'02. MM-KLH'!$B$6:$T$823,16,0),"")</f>
        <v>6120B</v>
      </c>
      <c r="E189" s="353" t="s">
        <v>5978</v>
      </c>
      <c r="F189" s="353"/>
      <c r="G189" s="353"/>
      <c r="H189" s="353" t="str">
        <f>IFERROR(VLOOKUP(M189,'02. MM-KLH'!$B$6:$T$823,17,0),"")</f>
        <v>120HP</v>
      </c>
      <c r="I189" s="763">
        <f>IFERROR(VLOOKUP(M189,'02. MM-KLH'!$B$6:$U$823,20,0),"")</f>
        <v>9.5</v>
      </c>
      <c r="J189" s="613" t="str">
        <f>IFERROR(VLOOKUP(M189,'02. MM-KLH'!$B$6:$T$823,19,0),"")</f>
        <v>PE4045N035815</v>
      </c>
      <c r="K189" s="613" t="str">
        <f>IFERROR(VLOOKUP(M189,'02. MM-KLH'!$B$6:$T$823,18,0),"")</f>
        <v>1YR6120BARD210216</v>
      </c>
      <c r="L189" s="353">
        <f>IFERROR(VLOOKUP(M189,'02. MM-KLH'!$B$6:$T$823,4,0),"")</f>
        <v>0</v>
      </c>
      <c r="M189" s="49" t="s">
        <v>980</v>
      </c>
      <c r="N189" s="356">
        <f>IFERROR(VLOOKUP(M189,'02. MM-KLH'!$B$6:$T$823,15,0),"")</f>
        <v>2022</v>
      </c>
      <c r="O189" s="764" t="str">
        <f>IFERROR(VLOOKUP(M189,'02. MM-KLH'!$B$6:$T$823,9,0),"")</f>
        <v>15/03/2024</v>
      </c>
      <c r="P189" s="21"/>
      <c r="Q189" s="353">
        <v>4077</v>
      </c>
      <c r="R189" s="353" t="s">
        <v>5978</v>
      </c>
      <c r="S189" s="353"/>
      <c r="T189" s="353"/>
      <c r="U189" s="353" t="str">
        <f>IFERROR(VLOOKUP(M189,'02. MM-KLH'!$B$6:$T$823,5,0),"")</f>
        <v>MỚI</v>
      </c>
      <c r="V189" s="731" t="str">
        <f>IFERROR(VLOOKUP(M189,'02. MM-KLH'!$B$6:$T$823,8,0),"")</f>
        <v>CGLĐ DP</v>
      </c>
      <c r="W189" s="353" t="str">
        <f>IFERROR(VLOOKUP(V189,'NS QUẢN LÝ CG'!$A$4:$D$36,2,0),"")</f>
        <v>Nguyễn Tấn Triều</v>
      </c>
      <c r="X189" s="353" t="str">
        <f>IFERROR(VLOOKUP(V189,'NS QUẢN LÝ CG'!$A$4:$D$36,4,0),"")</f>
        <v>Lô 85 DP4</v>
      </c>
      <c r="Y189" s="1104" t="str">
        <f>IFERROR(VLOOKUP(V189,'NS QUẢN LÝ CG'!$A$4:$C$36,3,0),"")</f>
        <v>05974160290</v>
      </c>
      <c r="Z189" s="731" t="str">
        <f>IFERROR(VLOOKUP(M189,'02. MM-KLH'!$B$6:$T$823,3,0),"")</f>
        <v>A23-MKE-007</v>
      </c>
      <c r="AA189" s="353" t="str">
        <f>_xlfn.SWITCH(LEFT(Z189,3),"A22","ADM","A23","DP","A24","LP","")</f>
        <v>DP</v>
      </c>
      <c r="AB189" s="731"/>
      <c r="AC189" s="731"/>
    </row>
    <row r="190" ht="13.8" spans="1:29">
      <c r="A190" s="731"/>
      <c r="B190" s="613" t="str">
        <f>IFERROR(VLOOKUP(M190,'02. MM-KLH'!$B$6:$T$823,6,0),"")</f>
        <v>Máy cày JD 6120B</v>
      </c>
      <c r="C190" s="353">
        <v>1</v>
      </c>
      <c r="D190" s="353" t="str">
        <f>IFERROR(VLOOKUP(M190,'02. MM-KLH'!$B$6:$T$823,16,0),"")</f>
        <v>6120B</v>
      </c>
      <c r="E190" s="353" t="s">
        <v>5978</v>
      </c>
      <c r="F190" s="353"/>
      <c r="G190" s="353"/>
      <c r="H190" s="353" t="str">
        <f>IFERROR(VLOOKUP(M190,'02. MM-KLH'!$B$6:$T$823,17,0),"")</f>
        <v>120HP</v>
      </c>
      <c r="I190" s="763">
        <f>IFERROR(VLOOKUP(M190,'02. MM-KLH'!$B$6:$U$823,20,0),"")</f>
        <v>9.5</v>
      </c>
      <c r="J190" s="613" t="str">
        <f>IFERROR(VLOOKUP(M190,'02. MM-KLH'!$B$6:$T$823,19,0),"")</f>
        <v>PE4045N035800</v>
      </c>
      <c r="K190" s="613" t="str">
        <f>IFERROR(VLOOKUP(M190,'02. MM-KLH'!$B$6:$T$823,18,0),"")</f>
        <v>1YR6120BERD210219</v>
      </c>
      <c r="L190" s="353">
        <f>IFERROR(VLOOKUP(M190,'02. MM-KLH'!$B$6:$T$823,4,0),"")</f>
        <v>0</v>
      </c>
      <c r="M190" s="49" t="s">
        <v>1047</v>
      </c>
      <c r="N190" s="356">
        <f>IFERROR(VLOOKUP(M190,'02. MM-KLH'!$B$6:$T$823,15,0),"")</f>
        <v>2022</v>
      </c>
      <c r="O190" s="764" t="str">
        <f>IFERROR(VLOOKUP(M190,'02. MM-KLH'!$B$6:$T$823,9,0),"")</f>
        <v>15/03/2024</v>
      </c>
      <c r="P190" s="21"/>
      <c r="Q190" s="353">
        <v>3863</v>
      </c>
      <c r="R190" s="353" t="s">
        <v>5978</v>
      </c>
      <c r="S190" s="353"/>
      <c r="T190" s="353"/>
      <c r="U190" s="353" t="str">
        <f>IFERROR(VLOOKUP(M190,'02. MM-KLH'!$B$6:$T$823,5,0),"")</f>
        <v>MỚI</v>
      </c>
      <c r="V190" s="731" t="str">
        <f>IFERROR(VLOOKUP(M190,'02. MM-KLH'!$B$6:$T$823,8,0),"")</f>
        <v>CGLĐ LP</v>
      </c>
      <c r="W190" s="353" t="str">
        <f>IFERROR(VLOOKUP(V190,'NS QUẢN LÝ CG'!$A$4:$D$36,2,0),"")</f>
        <v>Nguyễn Tấn Triều</v>
      </c>
      <c r="X190" s="353" t="str">
        <f>IFERROR(VLOOKUP(V190,'NS QUẢN LÝ CG'!$A$4:$D$36,4,0),"")</f>
        <v>LP3.5-LP3</v>
      </c>
      <c r="Y190" s="1104" t="str">
        <f>IFERROR(VLOOKUP(V190,'NS QUẢN LÝ CG'!$A$4:$C$36,3,0),"")</f>
        <v>05974160290</v>
      </c>
      <c r="Z190" s="731" t="str">
        <f>IFERROR(VLOOKUP(M190,'02. MM-KLH'!$B$6:$T$823,3,0),"")</f>
        <v>ATM-A24-0101</v>
      </c>
      <c r="AA190" s="353" t="s">
        <v>5981</v>
      </c>
      <c r="AB190" s="731"/>
      <c r="AC190" s="731"/>
    </row>
    <row r="191" ht="13.8" spans="1:29">
      <c r="A191" s="731"/>
      <c r="B191" s="613" t="str">
        <f>IFERROR(VLOOKUP(M191,'02. MM-KLH'!$B$6:$T$823,6,0),"")</f>
        <v>Máy cày JD 6120B</v>
      </c>
      <c r="C191" s="353">
        <v>1</v>
      </c>
      <c r="D191" s="353" t="str">
        <f>IFERROR(VLOOKUP(M191,'02. MM-KLH'!$B$6:$T$823,16,0),"")</f>
        <v>6120B</v>
      </c>
      <c r="E191" s="353" t="s">
        <v>5978</v>
      </c>
      <c r="F191" s="353"/>
      <c r="G191" s="353"/>
      <c r="H191" s="353" t="str">
        <f>IFERROR(VLOOKUP(M191,'02. MM-KLH'!$B$6:$T$823,17,0),"")</f>
        <v>120HP</v>
      </c>
      <c r="I191" s="763">
        <f>IFERROR(VLOOKUP(M191,'02. MM-KLH'!$B$6:$U$823,20,0),"")</f>
        <v>9.5</v>
      </c>
      <c r="J191" s="613" t="str">
        <f>IFERROR(VLOOKUP(M191,'02. MM-KLH'!$B$6:$T$823,19,0),"")</f>
        <v>PE4045N035792</v>
      </c>
      <c r="K191" s="613" t="str">
        <f>IFERROR(VLOOKUP(M191,'02. MM-KLH'!$B$6:$T$823,18,0),"")</f>
        <v>1YR6120BLRD210217</v>
      </c>
      <c r="L191" s="353">
        <f>IFERROR(VLOOKUP(M191,'02. MM-KLH'!$B$6:$T$823,4,0),"")</f>
        <v>0</v>
      </c>
      <c r="M191" s="49" t="s">
        <v>1855</v>
      </c>
      <c r="N191" s="356">
        <f>IFERROR(VLOOKUP(M191,'02. MM-KLH'!$B$6:$T$823,15,0),"")</f>
        <v>2022</v>
      </c>
      <c r="O191" s="764" t="str">
        <f>IFERROR(VLOOKUP(M191,'02. MM-KLH'!$B$6:$T$823,9,0),"")</f>
        <v>15/03/2024</v>
      </c>
      <c r="P191" s="353"/>
      <c r="Q191" s="353" t="s">
        <v>5986</v>
      </c>
      <c r="R191" s="353" t="s">
        <v>5978</v>
      </c>
      <c r="S191" s="353"/>
      <c r="T191" s="353"/>
      <c r="U191" s="353" t="str">
        <f>IFERROR(VLOOKUP(M191,'02. MM-KLH'!$B$6:$T$823,5,0),"")</f>
        <v>MỚI</v>
      </c>
      <c r="V191" s="731" t="str">
        <f>IFERROR(VLOOKUP(M191,'02. MM-KLH'!$B$6:$T$823,8,0),"")</f>
        <v>XN Bò AD</v>
      </c>
      <c r="W191" s="353" t="str">
        <f>IFERROR(VLOOKUP(V191,'NS QUẢN LÝ CG'!$A$4:$D$36,2,0),"")</f>
        <v/>
      </c>
      <c r="X191" s="353" t="str">
        <f>IFERROR(VLOOKUP(V191,'NS QUẢN LÝ CG'!$A$4:$D$36,4,0),"")</f>
        <v/>
      </c>
      <c r="Y191" s="353" t="str">
        <f>IFERROR(VLOOKUP(V191,'NS QUẢN LÝ CG'!$A$4:$C$36,3,0),"")</f>
        <v/>
      </c>
      <c r="Z191" s="731" t="str">
        <f>IFERROR(VLOOKUP(M191,'02. MM-KLH'!$B$6:$T$823,3,0),"")</f>
        <v>ATT-A22-0329</v>
      </c>
      <c r="AA191" s="353" t="s">
        <v>5980</v>
      </c>
      <c r="AB191" s="731"/>
      <c r="AC191" s="731"/>
    </row>
    <row r="192" ht="13.8" spans="1:29">
      <c r="A192" s="731"/>
      <c r="B192" s="613" t="str">
        <f>IFERROR(VLOOKUP(M192,'02. MM-KLH'!$B$6:$T$823,6,0),"")</f>
        <v>Máy cày JD 6120B</v>
      </c>
      <c r="C192" s="353">
        <v>1</v>
      </c>
      <c r="D192" s="353" t="str">
        <f>IFERROR(VLOOKUP(M192,'02. MM-KLH'!$B$6:$T$823,16,0),"")</f>
        <v>6120B</v>
      </c>
      <c r="E192" s="353" t="s">
        <v>5978</v>
      </c>
      <c r="F192" s="353"/>
      <c r="G192" s="353"/>
      <c r="H192" s="353" t="str">
        <f>IFERROR(VLOOKUP(M192,'02. MM-KLH'!$B$6:$T$823,17,0),"")</f>
        <v>120HP</v>
      </c>
      <c r="I192" s="763">
        <f>IFERROR(VLOOKUP(M192,'02. MM-KLH'!$B$6:$U$823,20,0),"")</f>
        <v>9.5</v>
      </c>
      <c r="J192" s="613" t="str">
        <f>IFERROR(VLOOKUP(M192,'02. MM-KLH'!$B$6:$T$823,19,0),"")</f>
        <v>PE4045N035812</v>
      </c>
      <c r="K192" s="613" t="str">
        <f>IFERROR(VLOOKUP(M192,'02. MM-KLH'!$B$6:$T$823,18,0),"")</f>
        <v>1YR6120BJRD210227</v>
      </c>
      <c r="L192" s="353">
        <f>IFERROR(VLOOKUP(M192,'02. MM-KLH'!$B$6:$T$823,4,0),"")</f>
        <v>0</v>
      </c>
      <c r="M192" s="49" t="s">
        <v>1869</v>
      </c>
      <c r="N192" s="356">
        <f>IFERROR(VLOOKUP(M192,'02. MM-KLH'!$B$6:$T$823,15,0),"")</f>
        <v>2024</v>
      </c>
      <c r="O192" s="764" t="str">
        <f>IFERROR(VLOOKUP(M192,'02. MM-KLH'!$B$6:$T$823,9,0),"")</f>
        <v>30/07/2024</v>
      </c>
      <c r="P192" s="353"/>
      <c r="Q192" s="353" t="s">
        <v>1755</v>
      </c>
      <c r="R192" s="353" t="s">
        <v>5978</v>
      </c>
      <c r="S192" s="353"/>
      <c r="T192" s="353"/>
      <c r="U192" s="353" t="str">
        <f>IFERROR(VLOOKUP(M192,'02. MM-KLH'!$B$6:$T$823,5,0),"")</f>
        <v>MỚI</v>
      </c>
      <c r="V192" s="731" t="str">
        <f>IFERROR(VLOOKUP(M192,'02. MM-KLH'!$B$6:$T$823,8,0),"")</f>
        <v>XN Bò AD</v>
      </c>
      <c r="W192" s="353" t="str">
        <f>IFERROR(VLOOKUP(V192,'NS QUẢN LÝ CG'!$A$4:$D$36,2,0),"")</f>
        <v/>
      </c>
      <c r="X192" s="353" t="str">
        <f>IFERROR(VLOOKUP(V192,'NS QUẢN LÝ CG'!$A$4:$D$36,4,0),"")</f>
        <v/>
      </c>
      <c r="Y192" s="353" t="str">
        <f>IFERROR(VLOOKUP(V192,'NS QUẢN LÝ CG'!$A$4:$C$36,3,0),"")</f>
        <v/>
      </c>
      <c r="Z192" s="731" t="str">
        <f>IFERROR(VLOOKUP(M192,'02. MM-KLH'!$B$6:$T$823,3,0),"")</f>
        <v>A22-MKE-051</v>
      </c>
      <c r="AA192" s="353" t="str">
        <f t="shared" ref="AA192:AA195" si="12">_xlfn.SWITCH(LEFT(Z192,3),"A22","ADM","A23","DP","A24","LP","")</f>
        <v>ADM</v>
      </c>
      <c r="AB192" s="731"/>
      <c r="AC192" s="731"/>
    </row>
    <row r="193" ht="13.8" spans="1:29">
      <c r="A193" s="731"/>
      <c r="B193" s="613" t="str">
        <f>IFERROR(VLOOKUP(M193,'02. MM-KLH'!$B$6:$T$823,6,0),"")</f>
        <v>Máy cày JD 6120B</v>
      </c>
      <c r="C193" s="353">
        <v>1</v>
      </c>
      <c r="D193" s="353" t="str">
        <f>IFERROR(VLOOKUP(M193,'02. MM-KLH'!$B$6:$T$823,16,0),"")</f>
        <v>6120B</v>
      </c>
      <c r="E193" s="353" t="s">
        <v>5978</v>
      </c>
      <c r="F193" s="353"/>
      <c r="G193" s="353"/>
      <c r="H193" s="353" t="str">
        <f>IFERROR(VLOOKUP(M193,'02. MM-KLH'!$B$6:$T$823,17,0),"")</f>
        <v>120HP</v>
      </c>
      <c r="I193" s="763">
        <f>IFERROR(VLOOKUP(M193,'02. MM-KLH'!$B$6:$U$823,20,0),"")</f>
        <v>9.5</v>
      </c>
      <c r="J193" s="613" t="str">
        <f>IFERROR(VLOOKUP(M193,'02. MM-KLH'!$B$6:$T$823,19,0),"")</f>
        <v>PE4045N035868</v>
      </c>
      <c r="K193" s="613" t="str">
        <f>IFERROR(VLOOKUP(M193,'02. MM-KLH'!$B$6:$T$823,18,0),"")</f>
        <v>1YR6120BKRD210226</v>
      </c>
      <c r="L193" s="353">
        <f>IFERROR(VLOOKUP(M193,'02. MM-KLH'!$B$6:$T$823,4,0),"")</f>
        <v>0</v>
      </c>
      <c r="M193" s="49" t="s">
        <v>1872</v>
      </c>
      <c r="N193" s="356">
        <f>IFERROR(VLOOKUP(M193,'02. MM-KLH'!$B$6:$T$823,15,0),"")</f>
        <v>2024</v>
      </c>
      <c r="O193" s="764" t="str">
        <f>IFERROR(VLOOKUP(M193,'02. MM-KLH'!$B$6:$T$823,9,0),"")</f>
        <v>30/07/2024</v>
      </c>
      <c r="P193" s="353"/>
      <c r="Q193" s="353">
        <v>4537</v>
      </c>
      <c r="R193" s="353" t="s">
        <v>5978</v>
      </c>
      <c r="S193" s="353"/>
      <c r="T193" s="353"/>
      <c r="U193" s="353" t="str">
        <f>IFERROR(VLOOKUP(M193,'02. MM-KLH'!$B$6:$T$823,5,0),"")</f>
        <v>MỚI</v>
      </c>
      <c r="V193" s="731" t="str">
        <f>IFERROR(VLOOKUP(M193,'02. MM-KLH'!$B$6:$T$823,8,0),"")</f>
        <v>XN Bò AD</v>
      </c>
      <c r="W193" s="353" t="str">
        <f>IFERROR(VLOOKUP(V193,'NS QUẢN LÝ CG'!$A$4:$D$36,2,0),"")</f>
        <v/>
      </c>
      <c r="X193" s="353" t="str">
        <f>IFERROR(VLOOKUP(V193,'NS QUẢN LÝ CG'!$A$4:$D$36,4,0),"")</f>
        <v/>
      </c>
      <c r="Y193" s="353" t="str">
        <f>IFERROR(VLOOKUP(V193,'NS QUẢN LÝ CG'!$A$4:$C$36,3,0),"")</f>
        <v/>
      </c>
      <c r="Z193" s="731" t="str">
        <f>IFERROR(VLOOKUP(M193,'02. MM-KLH'!$B$6:$T$823,3,0),"")</f>
        <v>A22-MKE-052</v>
      </c>
      <c r="AA193" s="353" t="str">
        <f t="shared" si="12"/>
        <v>ADM</v>
      </c>
      <c r="AB193" s="731"/>
      <c r="AC193" s="731"/>
    </row>
    <row r="194" ht="13.8" spans="1:29">
      <c r="A194" s="731"/>
      <c r="B194" s="613" t="str">
        <f>IFERROR(VLOOKUP(M194,'02. MM-KLH'!$B$6:$T$823,6,0),"")</f>
        <v>Máy cày JD 6120B</v>
      </c>
      <c r="C194" s="353">
        <v>1</v>
      </c>
      <c r="D194" s="353" t="str">
        <f>IFERROR(VLOOKUP(M194,'02. MM-KLH'!$B$6:$T$823,16,0),"")</f>
        <v>6120B</v>
      </c>
      <c r="E194" s="353" t="s">
        <v>5978</v>
      </c>
      <c r="F194" s="353"/>
      <c r="G194" s="353"/>
      <c r="H194" s="353" t="str">
        <f>IFERROR(VLOOKUP(M194,'02. MM-KLH'!$B$6:$T$823,17,0),"")</f>
        <v>120HP</v>
      </c>
      <c r="I194" s="763">
        <f>IFERROR(VLOOKUP(M194,'02. MM-KLH'!$B$6:$U$823,20,0),"")</f>
        <v>9.5</v>
      </c>
      <c r="J194" s="613" t="str">
        <f>IFERROR(VLOOKUP(M194,'02. MM-KLH'!$B$6:$T$823,19,0),"")</f>
        <v>PE4045N051252</v>
      </c>
      <c r="K194" s="613" t="str">
        <f>IFERROR(VLOOKUP(M194,'02. MM-KLH'!$B$6:$T$823,18,0),"")</f>
        <v>1YR6120BLSV220083</v>
      </c>
      <c r="L194" s="353">
        <f>IFERROR(VLOOKUP(M194,'02. MM-KLH'!$B$6:$T$823,4,0),"")</f>
        <v>0</v>
      </c>
      <c r="M194" s="49" t="s">
        <v>1915</v>
      </c>
      <c r="N194" s="356">
        <f>IFERROR(VLOOKUP(M194,'02. MM-KLH'!$B$6:$T$823,15,0),"")</f>
        <v>2025</v>
      </c>
      <c r="O194" s="764" t="str">
        <f>IFERROR(VLOOKUP(M194,'02. MM-KLH'!$B$6:$T$823,9,0),"")</f>
        <v>19/09/2025</v>
      </c>
      <c r="P194" s="353"/>
      <c r="Q194" s="353">
        <v>1294</v>
      </c>
      <c r="R194" s="353" t="s">
        <v>5978</v>
      </c>
      <c r="S194" s="353"/>
      <c r="T194" s="353"/>
      <c r="U194" s="353" t="str">
        <f>IFERROR(VLOOKUP(M194,'02. MM-KLH'!$B$6:$T$823,5,0),"")</f>
        <v>MỚI</v>
      </c>
      <c r="V194" s="731" t="str">
        <f>IFERROR(VLOOKUP(M194,'02. MM-KLH'!$B$6:$T$823,8,0),"")</f>
        <v>XN Bò AD</v>
      </c>
      <c r="W194" s="353" t="str">
        <f>IFERROR(VLOOKUP(V194,'NS QUẢN LÝ CG'!$A$4:$D$36,2,0),"")</f>
        <v/>
      </c>
      <c r="X194" s="353" t="str">
        <f>IFERROR(VLOOKUP(V194,'NS QUẢN LÝ CG'!$A$4:$D$36,4,0),"")</f>
        <v/>
      </c>
      <c r="Y194" s="353" t="str">
        <f>IFERROR(VLOOKUP(V194,'NS QUẢN LÝ CG'!$A$4:$C$36,3,0),"")</f>
        <v/>
      </c>
      <c r="Z194" s="731" t="str">
        <f>IFERROR(VLOOKUP(M194,'02. MM-KLH'!$B$6:$T$823,3,0),"")</f>
        <v>A22-MKE-047</v>
      </c>
      <c r="AA194" s="353" t="str">
        <f t="shared" si="12"/>
        <v>ADM</v>
      </c>
      <c r="AB194" s="731"/>
      <c r="AC194" s="731"/>
    </row>
    <row r="195" ht="13.8" spans="1:29">
      <c r="A195" s="731"/>
      <c r="B195" s="613" t="str">
        <f>IFERROR(VLOOKUP(M195,'02. MM-KLH'!$B$6:$T$823,6,0),"")</f>
        <v>Máy cày JD 6120B</v>
      </c>
      <c r="C195" s="353">
        <v>1</v>
      </c>
      <c r="D195" s="353" t="str">
        <f>IFERROR(VLOOKUP(M195,'02. MM-KLH'!$B$6:$T$823,16,0),"")</f>
        <v>6120B</v>
      </c>
      <c r="E195" s="353" t="s">
        <v>5978</v>
      </c>
      <c r="F195" s="353"/>
      <c r="G195" s="353"/>
      <c r="H195" s="353" t="str">
        <f>IFERROR(VLOOKUP(M195,'02. MM-KLH'!$B$6:$T$823,17,0),"")</f>
        <v>120HP</v>
      </c>
      <c r="I195" s="763">
        <f>IFERROR(VLOOKUP(M195,'02. MM-KLH'!$B$6:$U$823,20,0),"")</f>
        <v>9.5</v>
      </c>
      <c r="J195" s="613" t="str">
        <f>IFERROR(VLOOKUP(M195,'02. MM-KLH'!$B$6:$T$823,19,0),"")</f>
        <v>PE4045N051256</v>
      </c>
      <c r="K195" s="613" t="str">
        <f>IFERROR(VLOOKUP(M195,'02. MM-KLH'!$B$6:$T$823,18,0),"")</f>
        <v>1YR6120BHSV220084</v>
      </c>
      <c r="L195" s="353">
        <f>IFERROR(VLOOKUP(M195,'02. MM-KLH'!$B$6:$T$823,4,0),"")</f>
        <v>0</v>
      </c>
      <c r="M195" s="49" t="s">
        <v>1921</v>
      </c>
      <c r="N195" s="356">
        <f>IFERROR(VLOOKUP(M195,'02. MM-KLH'!$B$6:$T$823,15,0),"")</f>
        <v>2025</v>
      </c>
      <c r="O195" s="764" t="str">
        <f>IFERROR(VLOOKUP(M195,'02. MM-KLH'!$B$6:$T$823,9,0),"")</f>
        <v>19/09/2025</v>
      </c>
      <c r="P195" s="353"/>
      <c r="Q195" s="353" t="s">
        <v>5987</v>
      </c>
      <c r="R195" s="353" t="s">
        <v>5978</v>
      </c>
      <c r="S195" s="353"/>
      <c r="T195" s="353"/>
      <c r="U195" s="353" t="str">
        <f>IFERROR(VLOOKUP(M195,'02. MM-KLH'!$B$6:$T$823,5,0),"")</f>
        <v>MỚI</v>
      </c>
      <c r="V195" s="731" t="str">
        <f>IFERROR(VLOOKUP(M195,'02. MM-KLH'!$B$6:$T$823,8,0),"")</f>
        <v>XN Bò AD</v>
      </c>
      <c r="W195" s="353" t="str">
        <f>IFERROR(VLOOKUP(V195,'NS QUẢN LÝ CG'!$A$4:$D$36,2,0),"")</f>
        <v/>
      </c>
      <c r="X195" s="353" t="str">
        <f>IFERROR(VLOOKUP(V195,'NS QUẢN LÝ CG'!$A$4:$D$36,4,0),"")</f>
        <v/>
      </c>
      <c r="Y195" s="353" t="str">
        <f>IFERROR(VLOOKUP(V195,'NS QUẢN LÝ CG'!$A$4:$C$36,3,0),"")</f>
        <v/>
      </c>
      <c r="Z195" s="731" t="str">
        <f>IFERROR(VLOOKUP(M195,'02. MM-KLH'!$B$6:$T$823,3,0),"")</f>
        <v>A22-MKE-048</v>
      </c>
      <c r="AA195" s="353" t="str">
        <f t="shared" si="12"/>
        <v>ADM</v>
      </c>
      <c r="AB195" s="731"/>
      <c r="AC195" s="731"/>
    </row>
    <row r="196" ht="13.8" spans="1:29">
      <c r="A196" s="731"/>
      <c r="B196" s="613" t="str">
        <f>IFERROR(VLOOKUP(M196,'02. MM-KLH'!$B$6:$T$823,6,0),"")</f>
        <v>Máy cày JD 5090E</v>
      </c>
      <c r="C196" s="353">
        <v>1</v>
      </c>
      <c r="D196" s="353" t="str">
        <f>IFERROR(VLOOKUP(M196,'02. MM-KLH'!$B$6:$T$823,16,0),"")</f>
        <v>5090E</v>
      </c>
      <c r="E196" s="353" t="s">
        <v>5978</v>
      </c>
      <c r="F196" s="353"/>
      <c r="G196" s="353"/>
      <c r="H196" s="353" t="str">
        <f>IFERROR(VLOOKUP(M196,'02. MM-KLH'!$B$6:$T$823,17,0),"")</f>
        <v>90HP</v>
      </c>
      <c r="I196" s="763">
        <f>IFERROR(VLOOKUP(M196,'02. MM-KLH'!$B$6:$U$823,20,0),"")</f>
        <v>6</v>
      </c>
      <c r="J196" s="613" t="str">
        <f>IFERROR(VLOOKUP(M196,'02. MM-KLH'!$B$6:$T$823,19,0),"")</f>
        <v>PE4045E027602</v>
      </c>
      <c r="K196" s="613" t="str">
        <f>IFERROR(VLOOKUP(M196,'02. MM-KLH'!$B$6:$T$823,18,0),"")</f>
        <v>1P05090EVN4073521</v>
      </c>
      <c r="L196" s="353">
        <f>IFERROR(VLOOKUP(M196,'02. MM-KLH'!$B$6:$T$823,4,0),"")</f>
        <v>0</v>
      </c>
      <c r="M196" s="49" t="s">
        <v>1112</v>
      </c>
      <c r="N196" s="356">
        <f>IFERROR(VLOOKUP(M196,'02. MM-KLH'!$B$6:$T$823,15,0),"")</f>
        <v>2022</v>
      </c>
      <c r="O196" s="764" t="str">
        <f>IFERROR(VLOOKUP(M196,'02. MM-KLH'!$B$6:$T$823,9,0),"")</f>
        <v>15/03/2024</v>
      </c>
      <c r="P196" s="353"/>
      <c r="Q196" s="353" t="s">
        <v>1755</v>
      </c>
      <c r="R196" s="353"/>
      <c r="S196" s="353"/>
      <c r="T196" s="353"/>
      <c r="U196" s="353" t="str">
        <f>IFERROR(VLOOKUP(M196,'02. MM-KLH'!$B$6:$T$823,5,0),"")</f>
        <v>ĐQSD</v>
      </c>
      <c r="V196" s="731" t="str">
        <f>IFERROR(VLOOKUP(M196,'02. MM-KLH'!$B$6:$T$823,8,0),"")</f>
        <v>XN Bò AD</v>
      </c>
      <c r="W196" s="353" t="str">
        <f>IFERROR(VLOOKUP(V196,'NS QUẢN LÝ CG'!$A$4:$D$36,2,0),"")</f>
        <v/>
      </c>
      <c r="X196" s="353" t="str">
        <f>IFERROR(VLOOKUP(V196,'NS QUẢN LÝ CG'!$A$4:$D$36,4,0),"")</f>
        <v/>
      </c>
      <c r="Y196" s="353" t="str">
        <f>IFERROR(VLOOKUP(V196,'NS QUẢN LÝ CG'!$A$4:$C$36,3,0),"")</f>
        <v/>
      </c>
      <c r="Z196" s="731" t="str">
        <f>IFERROR(VLOOKUP(M196,'02. MM-KLH'!$B$6:$T$823,3,0),"")</f>
        <v>ATM-A24-0102</v>
      </c>
      <c r="AA196" s="353" t="s">
        <v>5981</v>
      </c>
      <c r="AB196" s="731"/>
      <c r="AC196" s="731"/>
    </row>
    <row r="197" ht="13.8" spans="1:29">
      <c r="A197" s="731"/>
      <c r="B197" s="613" t="str">
        <f>IFERROR(VLOOKUP(M197,'02. MM-KLH'!$B$6:$T$823,6,0),"")</f>
        <v>Máy cày JD 5090E</v>
      </c>
      <c r="C197" s="353">
        <v>1</v>
      </c>
      <c r="D197" s="353" t="str">
        <f>IFERROR(VLOOKUP(M197,'02. MM-KLH'!$B$6:$T$823,16,0),"")</f>
        <v>5090E</v>
      </c>
      <c r="E197" s="353" t="s">
        <v>5978</v>
      </c>
      <c r="F197" s="353"/>
      <c r="G197" s="353"/>
      <c r="H197" s="353" t="str">
        <f>IFERROR(VLOOKUP(M197,'02. MM-KLH'!$B$6:$T$823,17,0),"")</f>
        <v>90HP</v>
      </c>
      <c r="I197" s="763">
        <f>IFERROR(VLOOKUP(M197,'02. MM-KLH'!$B$6:$U$823,20,0),"")</f>
        <v>6</v>
      </c>
      <c r="J197" s="613" t="str">
        <f>IFERROR(VLOOKUP(M197,'02. MM-KLH'!$B$6:$T$823,19,0),"")</f>
        <v>PE4045E028102</v>
      </c>
      <c r="K197" s="613" t="str">
        <f>IFERROR(VLOOKUP(M197,'02. MM-KLH'!$B$6:$T$823,18,0),"")</f>
        <v>1P05090ELN4073859</v>
      </c>
      <c r="L197" s="353">
        <f>IFERROR(VLOOKUP(M197,'02. MM-KLH'!$B$6:$T$823,4,0),"")</f>
        <v>0</v>
      </c>
      <c r="M197" s="49" t="s">
        <v>986</v>
      </c>
      <c r="N197" s="356">
        <f>IFERROR(VLOOKUP(M197,'02. MM-KLH'!$B$6:$T$823,15,0),"")</f>
        <v>2022</v>
      </c>
      <c r="O197" s="764" t="str">
        <f>IFERROR(VLOOKUP(M197,'02. MM-KLH'!$B$6:$T$823,9,0),"")</f>
        <v>15/03/2024</v>
      </c>
      <c r="P197" s="353"/>
      <c r="Q197" s="353" t="s">
        <v>1755</v>
      </c>
      <c r="R197" s="353"/>
      <c r="S197" s="353" t="s">
        <v>5978</v>
      </c>
      <c r="T197" s="353"/>
      <c r="U197" s="353" t="str">
        <f>IFERROR(VLOOKUP(M197,'02. MM-KLH'!$B$6:$T$823,5,0),"")</f>
        <v>MỚI</v>
      </c>
      <c r="V197" s="731" t="str">
        <f>IFERROR(VLOOKUP(M197,'02. MM-KLH'!$B$6:$T$823,8,0),"")</f>
        <v>CGLĐ DP</v>
      </c>
      <c r="W197" s="353" t="str">
        <f>IFERROR(VLOOKUP(V197,'NS QUẢN LÝ CG'!$A$4:$D$36,2,0),"")</f>
        <v>Nguyễn Tấn Triều</v>
      </c>
      <c r="X197" s="353" t="str">
        <f>IFERROR(VLOOKUP(V197,'NS QUẢN LÝ CG'!$A$4:$D$36,4,0),"")</f>
        <v>Lô 85 DP4</v>
      </c>
      <c r="Y197" s="1104" t="str">
        <f>IFERROR(VLOOKUP(V197,'NS QUẢN LÝ CG'!$A$4:$C$36,3,0),"")</f>
        <v>05974160290</v>
      </c>
      <c r="Z197" s="731" t="str">
        <f>IFERROR(VLOOKUP(M197,'02. MM-KLH'!$B$6:$T$823,3,0),"")</f>
        <v>A23-MKE-008</v>
      </c>
      <c r="AA197" s="353" t="str">
        <f>_xlfn.SWITCH(LEFT(Z197,3),"A22","ADM","A23","DP","A24","LP","")</f>
        <v>DP</v>
      </c>
      <c r="AB197" s="731"/>
      <c r="AC197" s="731"/>
    </row>
    <row r="198" ht="13.8" spans="1:29">
      <c r="A198" s="731"/>
      <c r="B198" s="613" t="str">
        <f>IFERROR(VLOOKUP(M198,'02. MM-KLH'!$B$6:$T$823,6,0),"")</f>
        <v>Máy cày JD 5090E</v>
      </c>
      <c r="C198" s="353">
        <v>1</v>
      </c>
      <c r="D198" s="353">
        <f>IFERROR(VLOOKUP(M198,'02. MM-KLH'!$B$6:$T$823,16,0),"")</f>
        <v>5090</v>
      </c>
      <c r="E198" s="353" t="s">
        <v>5978</v>
      </c>
      <c r="F198" s="353"/>
      <c r="G198" s="353"/>
      <c r="H198" s="353" t="str">
        <f>IFERROR(VLOOKUP(M198,'02. MM-KLH'!$B$6:$T$823,17,0),"")</f>
        <v>90HP</v>
      </c>
      <c r="I198" s="763">
        <f>IFERROR(VLOOKUP(M198,'02. MM-KLH'!$B$6:$U$823,20,0),"")</f>
        <v>6</v>
      </c>
      <c r="J198" s="613" t="str">
        <f>IFERROR(VLOOKUP(M198,'02. MM-KLH'!$B$6:$T$823,19,0),"")</f>
        <v>PE4045E027590</v>
      </c>
      <c r="K198" s="613" t="str">
        <f>IFERROR(VLOOKUP(M198,'02. MM-KLH'!$B$6:$T$823,18,0),"")</f>
        <v>1P05090EHN4073538</v>
      </c>
      <c r="L198" s="353">
        <f>IFERROR(VLOOKUP(M198,'02. MM-KLH'!$B$6:$T$823,4,0),"")</f>
        <v>0</v>
      </c>
      <c r="M198" s="49" t="s">
        <v>1051</v>
      </c>
      <c r="N198" s="356">
        <f>IFERROR(VLOOKUP(M198,'02. MM-KLH'!$B$6:$T$823,15,0),"")</f>
        <v>2022</v>
      </c>
      <c r="O198" s="764">
        <f>IFERROR(VLOOKUP(M198,'02. MM-KLH'!$B$6:$T$823,9,0),"")</f>
        <v>45634</v>
      </c>
      <c r="P198" s="353"/>
      <c r="Q198" s="353" t="s">
        <v>1755</v>
      </c>
      <c r="R198" s="353"/>
      <c r="S198" s="353" t="s">
        <v>5978</v>
      </c>
      <c r="T198" s="353"/>
      <c r="U198" s="353" t="str">
        <f>IFERROR(VLOOKUP(M198,'02. MM-KLH'!$B$6:$T$823,5,0),"")</f>
        <v>ĐQSD</v>
      </c>
      <c r="V198" s="731" t="str">
        <f>IFERROR(VLOOKUP(M198,'02. MM-KLH'!$B$6:$T$823,8,0),"")</f>
        <v>CGLĐ LP</v>
      </c>
      <c r="W198" s="353" t="str">
        <f>IFERROR(VLOOKUP(V198,'NS QUẢN LÝ CG'!$A$4:$D$36,2,0),"")</f>
        <v>Nguyễn Tấn Triều</v>
      </c>
      <c r="X198" s="353" t="str">
        <f>IFERROR(VLOOKUP(V198,'NS QUẢN LÝ CG'!$A$4:$D$36,4,0),"")</f>
        <v>LP3.5-LP3</v>
      </c>
      <c r="Y198" s="1104" t="str">
        <f>IFERROR(VLOOKUP(V198,'NS QUẢN LÝ CG'!$A$4:$C$36,3,0),"")</f>
        <v>05974160290</v>
      </c>
      <c r="Z198" s="731" t="str">
        <f>IFERROR(VLOOKUP(M198,'02. MM-KLH'!$B$6:$T$823,3,0),"")</f>
        <v>ATT-A22-0312</v>
      </c>
      <c r="AA198" s="353" t="s">
        <v>5980</v>
      </c>
      <c r="AB198" s="731"/>
      <c r="AC198" s="731"/>
    </row>
    <row r="199" ht="13.8" spans="1:29">
      <c r="A199" s="731"/>
      <c r="B199" s="613" t="str">
        <f>IFERROR(VLOOKUP(M199,'02. MM-KLH'!$B$6:$T$823,6,0),"")</f>
        <v>Máy cày JD 5090E</v>
      </c>
      <c r="C199" s="353">
        <v>1</v>
      </c>
      <c r="D199" s="353">
        <f>IFERROR(VLOOKUP(M199,'02. MM-KLH'!$B$6:$T$823,16,0),"")</f>
        <v>5090</v>
      </c>
      <c r="E199" s="353" t="s">
        <v>5978</v>
      </c>
      <c r="F199" s="353"/>
      <c r="G199" s="353"/>
      <c r="H199" s="353" t="str">
        <f>IFERROR(VLOOKUP(M199,'02. MM-KLH'!$B$6:$T$823,17,0),"")</f>
        <v>90HP</v>
      </c>
      <c r="I199" s="763">
        <f>IFERROR(VLOOKUP(M199,'02. MM-KLH'!$B$6:$U$823,20,0),"")</f>
        <v>6</v>
      </c>
      <c r="J199" s="613">
        <f>IFERROR(VLOOKUP(M199,'02. MM-KLH'!$B$6:$T$823,19,0),"")</f>
        <v>26911</v>
      </c>
      <c r="K199" s="613">
        <f>IFERROR(VLOOKUP(M199,'02. MM-KLH'!$B$6:$T$823,18,0),"")</f>
        <v>4073059</v>
      </c>
      <c r="L199" s="353">
        <f>IFERROR(VLOOKUP(M199,'02. MM-KLH'!$B$6:$T$823,4,0),"")</f>
        <v>0</v>
      </c>
      <c r="M199" s="49" t="s">
        <v>1849</v>
      </c>
      <c r="N199" s="356">
        <f>IFERROR(VLOOKUP(M199,'02. MM-KLH'!$B$6:$T$823,15,0),"")</f>
        <v>2022</v>
      </c>
      <c r="O199" s="764">
        <f>IFERROR(VLOOKUP(M199,'02. MM-KLH'!$B$6:$T$823,9,0),"")</f>
        <v>45292</v>
      </c>
      <c r="P199" s="353"/>
      <c r="Q199" s="353">
        <v>4779</v>
      </c>
      <c r="R199" s="353" t="s">
        <v>5978</v>
      </c>
      <c r="S199" s="353"/>
      <c r="T199" s="353"/>
      <c r="U199" s="353" t="str">
        <f>IFERROR(VLOOKUP(M199,'02. MM-KLH'!$B$6:$T$823,5,0),"")</f>
        <v>MỚI</v>
      </c>
      <c r="V199" s="731" t="str">
        <f>IFERROR(VLOOKUP(M199,'02. MM-KLH'!$B$6:$T$823,8,0),"")</f>
        <v>XN Bò AD</v>
      </c>
      <c r="W199" s="353" t="str">
        <f>IFERROR(VLOOKUP(V199,'NS QUẢN LÝ CG'!$A$4:$D$36,2,0),"")</f>
        <v/>
      </c>
      <c r="X199" s="353" t="str">
        <f>IFERROR(VLOOKUP(V199,'NS QUẢN LÝ CG'!$A$4:$D$36,4,0),"")</f>
        <v/>
      </c>
      <c r="Y199" s="353" t="str">
        <f>IFERROR(VLOOKUP(V199,'NS QUẢN LÝ CG'!$A$4:$C$36,3,0),"")</f>
        <v/>
      </c>
      <c r="Z199" s="731" t="str">
        <f>IFERROR(VLOOKUP(M199,'02. MM-KLH'!$B$6:$T$823,3,0),"")</f>
        <v>ATT-A22-0321</v>
      </c>
      <c r="AA199" s="353" t="s">
        <v>5980</v>
      </c>
      <c r="AB199" s="731"/>
      <c r="AC199" s="731"/>
    </row>
    <row r="200" ht="13.8" spans="1:29">
      <c r="A200" s="731"/>
      <c r="B200" s="613" t="str">
        <f>IFERROR(VLOOKUP(M200,'02. MM-KLH'!$B$6:$T$823,6,0),"")</f>
        <v>Máy cày JD 5090E</v>
      </c>
      <c r="C200" s="353">
        <v>1</v>
      </c>
      <c r="D200" s="353">
        <f>IFERROR(VLOOKUP(M200,'02. MM-KLH'!$B$6:$T$823,16,0),"")</f>
        <v>5090</v>
      </c>
      <c r="E200" s="353" t="s">
        <v>5978</v>
      </c>
      <c r="F200" s="353"/>
      <c r="G200" s="353"/>
      <c r="H200" s="353" t="str">
        <f>IFERROR(VLOOKUP(M200,'02. MM-KLH'!$B$6:$T$823,17,0),"")</f>
        <v>90HP</v>
      </c>
      <c r="I200" s="763">
        <f>IFERROR(VLOOKUP(M200,'02. MM-KLH'!$B$6:$U$823,20,0),"")</f>
        <v>6</v>
      </c>
      <c r="J200" s="613">
        <f>IFERROR(VLOOKUP(M200,'02. MM-KLH'!$B$6:$T$823,19,0),"")</f>
        <v>27085</v>
      </c>
      <c r="K200" s="613">
        <f>IFERROR(VLOOKUP(M200,'02. MM-KLH'!$B$6:$T$823,18,0),"")</f>
        <v>4073056</v>
      </c>
      <c r="L200" s="353">
        <f>IFERROR(VLOOKUP(M200,'02. MM-KLH'!$B$6:$T$823,4,0),"")</f>
        <v>0</v>
      </c>
      <c r="M200" s="49" t="s">
        <v>1851</v>
      </c>
      <c r="N200" s="356">
        <f>IFERROR(VLOOKUP(M200,'02. MM-KLH'!$B$6:$T$823,15,0),"")</f>
        <v>2022</v>
      </c>
      <c r="O200" s="764">
        <f>IFERROR(VLOOKUP(M200,'02. MM-KLH'!$B$6:$T$823,9,0),"")</f>
        <v>45292</v>
      </c>
      <c r="P200" s="353"/>
      <c r="Q200" s="353">
        <v>4962</v>
      </c>
      <c r="R200" s="353" t="s">
        <v>5978</v>
      </c>
      <c r="S200" s="353"/>
      <c r="T200" s="353"/>
      <c r="U200" s="353" t="str">
        <f>IFERROR(VLOOKUP(M200,'02. MM-KLH'!$B$6:$T$823,5,0),"")</f>
        <v>MỚI</v>
      </c>
      <c r="V200" s="731" t="str">
        <f>IFERROR(VLOOKUP(M200,'02. MM-KLH'!$B$6:$T$823,8,0),"")</f>
        <v>XN Bò AD</v>
      </c>
      <c r="W200" s="353" t="str">
        <f>IFERROR(VLOOKUP(V200,'NS QUẢN LÝ CG'!$A$4:$D$36,2,0),"")</f>
        <v/>
      </c>
      <c r="X200" s="353" t="str">
        <f>IFERROR(VLOOKUP(V200,'NS QUẢN LÝ CG'!$A$4:$D$36,4,0),"")</f>
        <v/>
      </c>
      <c r="Y200" s="353" t="str">
        <f>IFERROR(VLOOKUP(V200,'NS QUẢN LÝ CG'!$A$4:$C$36,3,0),"")</f>
        <v/>
      </c>
      <c r="Z200" s="731" t="str">
        <f>IFERROR(VLOOKUP(M200,'02. MM-KLH'!$B$6:$T$823,3,0),"")</f>
        <v>ATT-A22-0322</v>
      </c>
      <c r="AA200" s="353" t="s">
        <v>5980</v>
      </c>
      <c r="AB200" s="731"/>
      <c r="AC200" s="731"/>
    </row>
    <row r="201" ht="13.8" spans="1:29">
      <c r="A201" s="731"/>
      <c r="B201" s="613" t="str">
        <f>IFERROR(VLOOKUP(M201,'02. MM-KLH'!$B$6:$T$823,6,0),"")</f>
        <v>Máy cày JD 6155J</v>
      </c>
      <c r="C201" s="353">
        <v>1</v>
      </c>
      <c r="D201" s="353" t="str">
        <f>IFERROR(VLOOKUP(M201,'02. MM-KLH'!$B$6:$T$823,16,0),"")</f>
        <v>6155J</v>
      </c>
      <c r="E201" s="353" t="s">
        <v>5978</v>
      </c>
      <c r="F201" s="353"/>
      <c r="G201" s="353"/>
      <c r="H201" s="353" t="str">
        <f>IFERROR(VLOOKUP(M201,'02. MM-KLH'!$B$6:$T$823,17,0),"")</f>
        <v>155HP</v>
      </c>
      <c r="I201" s="763">
        <f>IFERROR(VLOOKUP(M201,'02. MM-KLH'!$B$6:$U$823,20,0),"")</f>
        <v>14</v>
      </c>
      <c r="J201" s="613" t="str">
        <f>IFERROR(VLOOKUP(M201,'02. MM-KLH'!$B$6:$T$823,19,0),"")</f>
        <v>PE6068J008148</v>
      </c>
      <c r="K201" s="613" t="str">
        <f>IFERROR(VLOOKUP(M201,'02. MM-KLH'!$B$6:$T$823,18,0),"")</f>
        <v>1P06155JJP8010850</v>
      </c>
      <c r="L201" s="353">
        <f>IFERROR(VLOOKUP(M201,'02. MM-KLH'!$B$6:$T$823,4,0),"")</f>
        <v>0</v>
      </c>
      <c r="M201" s="49" t="s">
        <v>1056</v>
      </c>
      <c r="N201" s="356">
        <f>IFERROR(VLOOKUP(M201,'02. MM-KLH'!$B$6:$T$823,15,0),"")</f>
        <v>2022</v>
      </c>
      <c r="O201" s="764">
        <f>IFERROR(VLOOKUP(M201,'02. MM-KLH'!$B$6:$T$823,9,0),"")</f>
        <v>45540</v>
      </c>
      <c r="Q201" s="353">
        <v>4004</v>
      </c>
      <c r="R201" s="353" t="s">
        <v>5978</v>
      </c>
      <c r="S201" s="353"/>
      <c r="T201" s="353"/>
      <c r="U201" s="353" t="str">
        <f>IFERROR(VLOOKUP(M201,'02. MM-KLH'!$B$6:$T$823,5,0),"")</f>
        <v>MỚI</v>
      </c>
      <c r="V201" s="731" t="str">
        <f>IFERROR(VLOOKUP(M201,'02. MM-KLH'!$B$6:$T$823,8,0),"")</f>
        <v>CGLĐ LP</v>
      </c>
      <c r="W201" s="353" t="str">
        <f>IFERROR(VLOOKUP(V201,'NS QUẢN LÝ CG'!$A$4:$D$36,2,0),"")</f>
        <v>Nguyễn Tấn Triều</v>
      </c>
      <c r="X201" s="353" t="str">
        <f>IFERROR(VLOOKUP(V201,'NS QUẢN LÝ CG'!$A$4:$D$36,4,0),"")</f>
        <v>LP3.5-LP3</v>
      </c>
      <c r="Y201" s="1104" t="str">
        <f>IFERROR(VLOOKUP(V201,'NS QUẢN LÝ CG'!$A$4:$C$36,3,0),"")</f>
        <v>05974160290</v>
      </c>
      <c r="Z201" s="731" t="str">
        <f>IFERROR(VLOOKUP(M201,'02. MM-KLH'!$B$6:$T$823,3,0),"")</f>
        <v>ATM-A24-0103</v>
      </c>
      <c r="AA201" s="353" t="s">
        <v>5981</v>
      </c>
      <c r="AB201" s="731"/>
      <c r="AC201" s="731"/>
    </row>
    <row r="202" ht="13.8" spans="1:29">
      <c r="A202" s="731"/>
      <c r="B202" s="613" t="str">
        <f>IFERROR(VLOOKUP(M202,'02. MM-KLH'!$B$6:$T$823,6,0),"")</f>
        <v>Máy cày JD 6155J</v>
      </c>
      <c r="C202" s="353">
        <v>1</v>
      </c>
      <c r="D202" s="353" t="str">
        <f>IFERROR(VLOOKUP(M202,'02. MM-KLH'!$B$6:$T$823,16,0),"")</f>
        <v>6155J</v>
      </c>
      <c r="E202" s="353" t="s">
        <v>5978</v>
      </c>
      <c r="F202" s="353"/>
      <c r="G202" s="353"/>
      <c r="H202" s="353" t="str">
        <f>IFERROR(VLOOKUP(M202,'02. MM-KLH'!$B$6:$T$823,17,0),"")</f>
        <v>155HP</v>
      </c>
      <c r="I202" s="763">
        <f>IFERROR(VLOOKUP(M202,'02. MM-KLH'!$B$6:$U$823,20,0),"")</f>
        <v>14</v>
      </c>
      <c r="J202" s="613" t="str">
        <f>IFERROR(VLOOKUP(M202,'02. MM-KLH'!$B$6:$T$823,19,0),"")</f>
        <v>PE6068J008216</v>
      </c>
      <c r="K202" s="613" t="str">
        <f>IFERROR(VLOOKUP(M202,'02. MM-KLH'!$B$6:$T$823,18,0),"")</f>
        <v>1P06155JPR8010864</v>
      </c>
      <c r="L202" s="353">
        <f>IFERROR(VLOOKUP(M202,'02. MM-KLH'!$B$6:$T$823,4,0),"")</f>
        <v>0</v>
      </c>
      <c r="M202" s="49" t="s">
        <v>1911</v>
      </c>
      <c r="N202" s="356">
        <f>IFERROR(VLOOKUP(M202,'02. MM-KLH'!$B$6:$T$823,15,0),"")</f>
        <v>2024</v>
      </c>
      <c r="O202" s="764">
        <f>IFERROR(VLOOKUP(M202,'02. MM-KLH'!$B$6:$T$823,9,0),"")</f>
        <v>45756</v>
      </c>
      <c r="P202" s="353"/>
      <c r="Q202" s="353">
        <v>3573</v>
      </c>
      <c r="R202" s="353" t="s">
        <v>5978</v>
      </c>
      <c r="S202" s="353"/>
      <c r="T202" s="353"/>
      <c r="U202" s="353" t="str">
        <f>IFERROR(VLOOKUP(M202,'02. MM-KLH'!$B$6:$T$823,5,0),"")</f>
        <v>MỚI</v>
      </c>
      <c r="V202" s="731" t="str">
        <f>IFERROR(VLOOKUP(M202,'02. MM-KLH'!$B$6:$T$823,8,0),"")</f>
        <v>XN Bò AD</v>
      </c>
      <c r="W202" s="353" t="str">
        <f>IFERROR(VLOOKUP(V202,'NS QUẢN LÝ CG'!$A$4:$D$36,2,0),"")</f>
        <v/>
      </c>
      <c r="X202" s="353" t="str">
        <f>IFERROR(VLOOKUP(V202,'NS QUẢN LÝ CG'!$A$4:$D$36,4,0),"")</f>
        <v/>
      </c>
      <c r="Y202" s="353" t="str">
        <f>IFERROR(VLOOKUP(V202,'NS QUẢN LÝ CG'!$A$4:$C$36,3,0),"")</f>
        <v/>
      </c>
      <c r="Z202" s="731">
        <f>IFERROR(VLOOKUP(M202,'02. MM-KLH'!$B$6:$T$823,3,0),"")</f>
        <v>0</v>
      </c>
      <c r="AA202" s="353" t="str">
        <f t="shared" ref="AA202:AA224" si="13">_xlfn.SWITCH(LEFT(Z202,3),"A22","ADM","A23","DP","A24","LP","")</f>
        <v/>
      </c>
      <c r="AB202" s="731"/>
      <c r="AC202" s="731"/>
    </row>
    <row r="203" ht="13.8" spans="1:29">
      <c r="A203" s="731"/>
      <c r="B203" s="613" t="str">
        <f>IFERROR(VLOOKUP(M203,'02. MM-KLH'!$B$6:$T$823,6,0),"")</f>
        <v>Máy cày JD 6155J</v>
      </c>
      <c r="C203" s="353">
        <v>1</v>
      </c>
      <c r="D203" s="353" t="str">
        <f>IFERROR(VLOOKUP(M203,'02. MM-KLH'!$B$6:$T$823,16,0),"")</f>
        <v>6155J</v>
      </c>
      <c r="E203" s="353" t="s">
        <v>5978</v>
      </c>
      <c r="F203" s="353"/>
      <c r="G203" s="353"/>
      <c r="H203" s="353" t="str">
        <f>IFERROR(VLOOKUP(M203,'02. MM-KLH'!$B$6:$T$823,17,0),"")</f>
        <v>155HP</v>
      </c>
      <c r="I203" s="763">
        <f>IFERROR(VLOOKUP(M203,'02. MM-KLH'!$B$6:$U$823,20,0),"")</f>
        <v>14</v>
      </c>
      <c r="J203" s="613" t="str">
        <f>IFERROR(VLOOKUP(M203,'02. MM-KLH'!$B$6:$T$823,19,0),"")</f>
        <v>PE6068J008136</v>
      </c>
      <c r="K203" s="613" t="str">
        <f>IFERROR(VLOOKUP(M203,'02. MM-KLH'!$B$6:$T$823,18,0),"")</f>
        <v>1P06155JCP8010851</v>
      </c>
      <c r="L203" s="353">
        <f>IFERROR(VLOOKUP(M203,'02. MM-KLH'!$B$6:$T$823,4,0),"")</f>
        <v>0</v>
      </c>
      <c r="M203" s="49" t="s">
        <v>1987</v>
      </c>
      <c r="N203" s="356">
        <f>IFERROR(VLOOKUP(M203,'02. MM-KLH'!$B$6:$T$823,15,0),"")</f>
        <v>2022</v>
      </c>
      <c r="O203" s="764">
        <f>IFERROR(VLOOKUP(M203,'02. MM-KLH'!$B$6:$T$823,9,0),"")</f>
        <v>45540</v>
      </c>
      <c r="P203" s="353"/>
      <c r="Q203" s="353" t="s">
        <v>1755</v>
      </c>
      <c r="R203" s="353"/>
      <c r="S203" s="353" t="s">
        <v>5978</v>
      </c>
      <c r="T203" s="353"/>
      <c r="U203" s="353" t="str">
        <f>IFERROR(VLOOKUP(M203,'02. MM-KLH'!$B$6:$T$823,5,0),"")</f>
        <v>MỚI</v>
      </c>
      <c r="V203" s="731" t="str">
        <f>IFERROR(VLOOKUP(M203,'02. MM-KLH'!$B$6:$T$823,8,0),"")</f>
        <v>XN Bò AD</v>
      </c>
      <c r="W203" s="353" t="str">
        <f>IFERROR(VLOOKUP(V203,'NS QUẢN LÝ CG'!$A$4:$D$36,2,0),"")</f>
        <v/>
      </c>
      <c r="X203" s="353" t="str">
        <f>IFERROR(VLOOKUP(V203,'NS QUẢN LÝ CG'!$A$4:$D$36,4,0),"")</f>
        <v/>
      </c>
      <c r="Y203" s="353" t="str">
        <f>IFERROR(VLOOKUP(V203,'NS QUẢN LÝ CG'!$A$4:$C$36,3,0),"")</f>
        <v/>
      </c>
      <c r="Z203" s="731" t="str">
        <f>IFERROR(VLOOKUP(M203,'02. MM-KLH'!$B$6:$T$823,3,0),"")</f>
        <v>A23-MKE-009</v>
      </c>
      <c r="AA203" s="353" t="str">
        <f t="shared" si="13"/>
        <v>DP</v>
      </c>
      <c r="AB203" s="731"/>
      <c r="AC203" s="731"/>
    </row>
    <row r="204" ht="13.8" spans="1:29">
      <c r="A204" s="731"/>
      <c r="B204" s="613" t="str">
        <f>IFERROR(VLOOKUP(M204,'02. MM-KLH'!$B$6:$T$823,6,0),"")</f>
        <v>Máy cày JD 6400</v>
      </c>
      <c r="C204" s="353">
        <v>1</v>
      </c>
      <c r="D204" s="353">
        <f>IFERROR(VLOOKUP(M204,'02. MM-KLH'!$B$6:$T$823,16,0),"")</f>
        <v>6400</v>
      </c>
      <c r="E204" s="353" t="s">
        <v>5978</v>
      </c>
      <c r="F204" s="353"/>
      <c r="G204" s="353"/>
      <c r="H204" s="353" t="str">
        <f>IFERROR(VLOOKUP(M204,'02. MM-KLH'!$B$6:$T$823,17,0),"")</f>
        <v>100HP</v>
      </c>
      <c r="I204" s="763">
        <f>IFERROR(VLOOKUP(M204,'02. MM-KLH'!$B$6:$U$823,20,0),"")</f>
        <v>6</v>
      </c>
      <c r="J204" s="613" t="str">
        <f>IFERROR(VLOOKUP(M204,'02. MM-KLH'!$B$6:$T$823,19,0),"")</f>
        <v>T149522</v>
      </c>
      <c r="K204" s="613" t="str">
        <f>IFERROR(VLOOKUP(M204,'02. MM-KLH'!$B$6:$T$823,18,0),"")</f>
        <v>V120937</v>
      </c>
      <c r="L204" s="353">
        <f>IFERROR(VLOOKUP(M204,'02. MM-KLH'!$B$6:$T$823,4,0),"")</f>
        <v>0</v>
      </c>
      <c r="M204" s="49" t="s">
        <v>990</v>
      </c>
      <c r="N204" s="356">
        <f>IFERROR(VLOOKUP(M204,'02. MM-KLH'!$B$6:$T$823,15,0),"")</f>
        <v>1998</v>
      </c>
      <c r="O204" s="764" t="str">
        <f>IFERROR(VLOOKUP(M204,'02. MM-KLH'!$B$6:$T$823,9,0),"")</f>
        <v>18/01/2025</v>
      </c>
      <c r="P204" s="353"/>
      <c r="Q204" s="353" t="s">
        <v>1755</v>
      </c>
      <c r="R204" s="353"/>
      <c r="S204" s="353" t="s">
        <v>5978</v>
      </c>
      <c r="T204" s="353"/>
      <c r="U204" s="353" t="str">
        <f>IFERROR(VLOOKUP(M204,'02. MM-KLH'!$B$6:$T$823,5,0),"")</f>
        <v>MỚI (ĐQSD)</v>
      </c>
      <c r="V204" s="731" t="str">
        <f>IFERROR(VLOOKUP(M204,'02. MM-KLH'!$B$6:$T$823,8,0),"")</f>
        <v>CGLĐ DP</v>
      </c>
      <c r="W204" s="353" t="str">
        <f>IFERROR(VLOOKUP(V204,'NS QUẢN LÝ CG'!$A$4:$D$36,2,0),"")</f>
        <v>Nguyễn Tấn Triều</v>
      </c>
      <c r="X204" s="353" t="str">
        <f>IFERROR(VLOOKUP(V204,'NS QUẢN LÝ CG'!$A$4:$D$36,4,0),"")</f>
        <v>Lô 85 DP4</v>
      </c>
      <c r="Y204" s="1104" t="str">
        <f>IFERROR(VLOOKUP(V204,'NS QUẢN LÝ CG'!$A$4:$C$36,3,0),"")</f>
        <v>05974160290</v>
      </c>
      <c r="Z204" s="731" t="str">
        <f>IFERROR(VLOOKUP(M204,'02. MM-KLH'!$B$6:$T$823,3,0),"")</f>
        <v>A23-MKE-034</v>
      </c>
      <c r="AA204" s="353" t="str">
        <f t="shared" si="13"/>
        <v>DP</v>
      </c>
      <c r="AB204" s="731"/>
      <c r="AC204" s="731"/>
    </row>
    <row r="205" ht="13.8" spans="1:29">
      <c r="A205" s="731"/>
      <c r="B205" s="613" t="str">
        <f>IFERROR(VLOOKUP(M205,'02. MM-KLH'!$B$6:$T$823,6,0),"")</f>
        <v>Máy cày JD 6400</v>
      </c>
      <c r="C205" s="353">
        <v>1</v>
      </c>
      <c r="D205" s="353">
        <f>IFERROR(VLOOKUP(M205,'02. MM-KLH'!$B$6:$T$823,16,0),"")</f>
        <v>6400</v>
      </c>
      <c r="E205" s="353" t="s">
        <v>5978</v>
      </c>
      <c r="F205" s="353"/>
      <c r="G205" s="353"/>
      <c r="H205" s="353" t="str">
        <f>IFERROR(VLOOKUP(M205,'02. MM-KLH'!$B$6:$T$823,17,0),"")</f>
        <v>100HP</v>
      </c>
      <c r="I205" s="763">
        <f>IFERROR(VLOOKUP(M205,'02. MM-KLH'!$B$6:$U$823,20,0),"")</f>
        <v>6.5</v>
      </c>
      <c r="J205" s="613" t="str">
        <f>IFERROR(VLOOKUP(M205,'02. MM-KLH'!$B$6:$T$823,19,0),"")</f>
        <v>T318857</v>
      </c>
      <c r="K205" s="613" t="str">
        <f>IFERROR(VLOOKUP(M205,'02. MM-KLH'!$B$6:$T$823,18,0),"")</f>
        <v>V190731</v>
      </c>
      <c r="L205" s="353">
        <f>IFERROR(VLOOKUP(M205,'02. MM-KLH'!$B$6:$T$823,4,0),"")</f>
        <v>0</v>
      </c>
      <c r="M205" s="49" t="s">
        <v>995</v>
      </c>
      <c r="N205" s="356">
        <f>IFERROR(VLOOKUP(M205,'02. MM-KLH'!$B$6:$T$823,15,0),"")</f>
        <v>1998</v>
      </c>
      <c r="O205" s="764" t="str">
        <f>IFERROR(VLOOKUP(M205,'02. MM-KLH'!$B$6:$T$823,9,0),"")</f>
        <v>18/01/2025</v>
      </c>
      <c r="Q205" s="353">
        <v>7929</v>
      </c>
      <c r="R205" s="353" t="s">
        <v>5978</v>
      </c>
      <c r="S205" s="353"/>
      <c r="T205" s="353"/>
      <c r="U205" s="353" t="str">
        <f>IFERROR(VLOOKUP(M205,'02. MM-KLH'!$B$6:$T$823,5,0),"")</f>
        <v>MỚI (ĐQSD)</v>
      </c>
      <c r="V205" s="731" t="str">
        <f>IFERROR(VLOOKUP(M205,'02. MM-KLH'!$B$6:$T$823,8,0),"")</f>
        <v>CGLĐ DP</v>
      </c>
      <c r="W205" s="353" t="str">
        <f>IFERROR(VLOOKUP(V205,'NS QUẢN LÝ CG'!$A$4:$D$36,2,0),"")</f>
        <v>Nguyễn Tấn Triều</v>
      </c>
      <c r="X205" s="353" t="str">
        <f>IFERROR(VLOOKUP(V205,'NS QUẢN LÝ CG'!$A$4:$D$36,4,0),"")</f>
        <v>Lô 85 DP4</v>
      </c>
      <c r="Y205" s="1104" t="str">
        <f>IFERROR(VLOOKUP(V205,'NS QUẢN LÝ CG'!$A$4:$C$36,3,0),"")</f>
        <v>05974160290</v>
      </c>
      <c r="Z205" s="731" t="str">
        <f>IFERROR(VLOOKUP(M205,'02. MM-KLH'!$B$6:$T$823,3,0),"")</f>
        <v>A23-MKE-035</v>
      </c>
      <c r="AA205" s="353" t="str">
        <f t="shared" si="13"/>
        <v>DP</v>
      </c>
      <c r="AB205" s="731"/>
      <c r="AC205" s="731"/>
    </row>
    <row r="206" ht="13.8" spans="1:29">
      <c r="A206" s="731"/>
      <c r="B206" s="613" t="str">
        <f>IFERROR(VLOOKUP(M206,'02. MM-KLH'!$B$6:$T$823,6,0),"")</f>
        <v>Máy cày JD 6400</v>
      </c>
      <c r="C206" s="353">
        <v>1</v>
      </c>
      <c r="D206" s="353">
        <f>IFERROR(VLOOKUP(M206,'02. MM-KLH'!$B$6:$T$823,16,0),"")</f>
        <v>6400</v>
      </c>
      <c r="E206" s="353" t="s">
        <v>5978</v>
      </c>
      <c r="F206" s="353"/>
      <c r="G206" s="353"/>
      <c r="H206" s="353" t="str">
        <f>IFERROR(VLOOKUP(M206,'02. MM-KLH'!$B$6:$T$823,17,0),"")</f>
        <v>100HP</v>
      </c>
      <c r="I206" s="763">
        <f>IFERROR(VLOOKUP(M206,'02. MM-KLH'!$B$6:$U$823,20,0),"")</f>
        <v>6</v>
      </c>
      <c r="J206" s="613" t="str">
        <f>IFERROR(VLOOKUP(M206,'02. MM-KLH'!$B$6:$T$823,19,0),"")</f>
        <v>CD4045T744536</v>
      </c>
      <c r="K206" s="613" t="str">
        <f>IFERROR(VLOOKUP(M206,'02. MM-KLH'!$B$6:$T$823,18,0),"")</f>
        <v>L06400V127612</v>
      </c>
      <c r="L206" s="353">
        <f>IFERROR(VLOOKUP(M206,'02. MM-KLH'!$B$6:$T$823,4,0),"")</f>
        <v>0</v>
      </c>
      <c r="M206" s="49" t="s">
        <v>1065</v>
      </c>
      <c r="N206" s="356">
        <f>IFERROR(VLOOKUP(M206,'02. MM-KLH'!$B$6:$T$823,15,0),"")</f>
        <v>1998</v>
      </c>
      <c r="O206" s="764">
        <f>IFERROR(VLOOKUP(M206,'02. MM-KLH'!$B$6:$T$823,9,0),"")</f>
        <v>45360</v>
      </c>
      <c r="P206" s="353"/>
      <c r="Q206" s="353" t="s">
        <v>1755</v>
      </c>
      <c r="R206" s="353"/>
      <c r="S206" s="353" t="s">
        <v>5978</v>
      </c>
      <c r="T206" s="353"/>
      <c r="U206" s="353" t="str">
        <f>IFERROR(VLOOKUP(M206,'02. MM-KLH'!$B$6:$T$823,5,0),"")</f>
        <v>MỚI (ĐQSD)</v>
      </c>
      <c r="V206" s="731" t="str">
        <f>IFERROR(VLOOKUP(M206,'02. MM-KLH'!$B$6:$T$823,8,0),"")</f>
        <v>CGLĐ LP</v>
      </c>
      <c r="W206" s="353" t="str">
        <f>IFERROR(VLOOKUP(V206,'NS QUẢN LÝ CG'!$A$4:$D$36,2,0),"")</f>
        <v>Nguyễn Tấn Triều</v>
      </c>
      <c r="X206" s="353" t="str">
        <f>IFERROR(VLOOKUP(V206,'NS QUẢN LÝ CG'!$A$4:$D$36,4,0),"")</f>
        <v>LP3.5-LP3</v>
      </c>
      <c r="Y206" s="1104" t="str">
        <f>IFERROR(VLOOKUP(V206,'NS QUẢN LÝ CG'!$A$4:$C$36,3,0),"")</f>
        <v>05974160290</v>
      </c>
      <c r="Z206" s="731" t="str">
        <f>IFERROR(VLOOKUP(M206,'02. MM-KLH'!$B$6:$T$823,3,0),"")</f>
        <v>A24-MKE-021</v>
      </c>
      <c r="AA206" s="353" t="str">
        <f t="shared" si="13"/>
        <v>LP</v>
      </c>
      <c r="AB206" s="731"/>
      <c r="AC206" s="731"/>
    </row>
    <row r="207" ht="13.8" spans="1:29">
      <c r="A207" s="731"/>
      <c r="B207" s="613" t="str">
        <f>IFERROR(VLOOKUP(M207,'02. MM-KLH'!$B$6:$T$823,6,0),"")</f>
        <v>Máy cày JD 6300</v>
      </c>
      <c r="C207" s="353">
        <v>1</v>
      </c>
      <c r="D207" s="353">
        <f>IFERROR(VLOOKUP(M207,'02. MM-KLH'!$B$6:$T$823,16,0),"")</f>
        <v>6300</v>
      </c>
      <c r="E207" s="353" t="s">
        <v>5978</v>
      </c>
      <c r="F207" s="353"/>
      <c r="G207" s="353"/>
      <c r="H207" s="353" t="str">
        <f>IFERROR(VLOOKUP(M207,'02. MM-KLH'!$B$6:$T$823,17,0),"")</f>
        <v>110HP</v>
      </c>
      <c r="I207" s="763">
        <f>IFERROR(VLOOKUP(M207,'02. MM-KLH'!$B$6:$U$823,20,0),"")</f>
        <v>0</v>
      </c>
      <c r="J207" s="613" t="str">
        <f>IFERROR(VLOOKUP(M207,'02. MM-KLH'!$B$6:$T$823,19,0),"")</f>
        <v>CD4045D133056</v>
      </c>
      <c r="K207" s="613" t="str">
        <f>IFERROR(VLOOKUP(M207,'02. MM-KLH'!$B$6:$T$823,18,0),"")</f>
        <v>L06100X111345</v>
      </c>
      <c r="L207" s="353">
        <f>IFERROR(VLOOKUP(M207,'02. MM-KLH'!$B$6:$T$823,4,0),"")</f>
        <v>0</v>
      </c>
      <c r="M207" s="49" t="s">
        <v>1091</v>
      </c>
      <c r="N207" s="356">
        <f>IFERROR(VLOOKUP(M207,'02. MM-KLH'!$B$6:$T$823,15,0),"")</f>
        <v>1994</v>
      </c>
      <c r="O207" s="764" t="str">
        <f>IFERROR(VLOOKUP(M207,'02. MM-KLH'!$B$6:$T$823,9,0),"")</f>
        <v>29/04/2025</v>
      </c>
      <c r="P207" s="353"/>
      <c r="Q207" s="353" t="s">
        <v>1755</v>
      </c>
      <c r="R207" s="353"/>
      <c r="S207" s="353"/>
      <c r="T207" s="353"/>
      <c r="U207" s="353" t="str">
        <f>IFERROR(VLOOKUP(M207,'02. MM-KLH'!$B$6:$T$823,5,0),"")</f>
        <v>MỚI (ĐQSD)</v>
      </c>
      <c r="V207" s="731" t="str">
        <f>IFERROR(VLOOKUP(M207,'02. MM-KLH'!$B$6:$T$823,8,0),"")</f>
        <v>CGLĐ LP</v>
      </c>
      <c r="W207" s="353" t="str">
        <f>IFERROR(VLOOKUP(V207,'NS QUẢN LÝ CG'!$A$4:$D$36,2,0),"")</f>
        <v>Nguyễn Tấn Triều</v>
      </c>
      <c r="X207" s="353" t="str">
        <f>IFERROR(VLOOKUP(V207,'NS QUẢN LÝ CG'!$A$4:$D$36,4,0),"")</f>
        <v>LP3.5-LP3</v>
      </c>
      <c r="Y207" s="1104" t="str">
        <f>IFERROR(VLOOKUP(V207,'NS QUẢN LÝ CG'!$A$4:$C$36,3,0),"")</f>
        <v>05974160290</v>
      </c>
      <c r="Z207" s="731" t="str">
        <f>IFERROR(VLOOKUP(M207,'02. MM-KLH'!$B$6:$T$823,3,0),"")</f>
        <v>A24-MKE-037</v>
      </c>
      <c r="AA207" s="353" t="str">
        <f t="shared" si="13"/>
        <v>LP</v>
      </c>
      <c r="AB207" s="731"/>
      <c r="AC207" s="731"/>
    </row>
    <row r="208" ht="13.8" spans="1:29">
      <c r="A208" s="731"/>
      <c r="B208" s="613" t="str">
        <f>IFERROR(VLOOKUP(M208,'02. MM-KLH'!$B$6:$T$823,6,0),"")</f>
        <v>Máy cày JD 6200</v>
      </c>
      <c r="C208" s="353">
        <v>1</v>
      </c>
      <c r="D208" s="353">
        <f>IFERROR(VLOOKUP(M208,'02. MM-KLH'!$B$6:$T$823,16,0),"")</f>
        <v>6200</v>
      </c>
      <c r="E208" s="353" t="s">
        <v>5978</v>
      </c>
      <c r="F208" s="353"/>
      <c r="G208" s="353"/>
      <c r="H208" s="353" t="str">
        <f>IFERROR(VLOOKUP(M208,'02. MM-KLH'!$B$6:$T$823,17,0),"")</f>
        <v>90HP</v>
      </c>
      <c r="I208" s="763">
        <f>IFERROR(VLOOKUP(M208,'02. MM-KLH'!$B$6:$U$823,20,0),"")</f>
        <v>0</v>
      </c>
      <c r="J208" s="613" t="str">
        <f>IFERROR(VLOOKUP(M208,'02. MM-KLH'!$B$6:$T$823,19,0),"")</f>
        <v>CD4039T351816</v>
      </c>
      <c r="K208" s="613" t="str">
        <f>IFERROR(VLOOKUP(M208,'02. MM-KLH'!$B$6:$T$823,18,0),"")</f>
        <v>L06200V203044</v>
      </c>
      <c r="L208" s="353">
        <f>IFERROR(VLOOKUP(M208,'02. MM-KLH'!$B$6:$T$823,4,0),"")</f>
        <v>0</v>
      </c>
      <c r="M208" s="49" t="s">
        <v>1801</v>
      </c>
      <c r="N208" s="356">
        <f>IFERROR(VLOOKUP(M208,'02. MM-KLH'!$B$6:$T$823,15,0),"")</f>
        <v>1997</v>
      </c>
      <c r="O208" s="764" t="str">
        <f>IFERROR(VLOOKUP(M208,'02. MM-KLH'!$B$6:$T$823,9,0),"")</f>
        <v>25/12/2025</v>
      </c>
      <c r="P208" s="353"/>
      <c r="Q208" s="353" t="s">
        <v>1755</v>
      </c>
      <c r="R208" s="353"/>
      <c r="S208" s="353"/>
      <c r="T208" s="353"/>
      <c r="U208" s="353" t="str">
        <f>IFERROR(VLOOKUP(M208,'02. MM-KLH'!$B$6:$T$823,5,0),"")</f>
        <v>MỚI (ĐQSD)</v>
      </c>
      <c r="V208" s="731" t="str">
        <f>IFERROR(VLOOKUP(M208,'02. MM-KLH'!$B$6:$T$823,8,0),"")</f>
        <v>XN Bò AD</v>
      </c>
      <c r="W208" s="353" t="str">
        <f>IFERROR(VLOOKUP(V208,'NS QUẢN LÝ CG'!$A$4:$D$36,2,0),"")</f>
        <v/>
      </c>
      <c r="X208" s="353" t="str">
        <f>IFERROR(VLOOKUP(V208,'NS QUẢN LÝ CG'!$A$4:$D$36,4,0),"")</f>
        <v/>
      </c>
      <c r="Y208" s="353" t="str">
        <f>IFERROR(VLOOKUP(V208,'NS QUẢN LÝ CG'!$A$4:$C$36,3,0),"")</f>
        <v/>
      </c>
      <c r="Z208" s="731" t="str">
        <f>IFERROR(VLOOKUP(M208,'02. MM-KLH'!$B$6:$T$823,3,0),"")</f>
        <v>A22-MKE-062</v>
      </c>
      <c r="AA208" s="353" t="str">
        <f t="shared" si="13"/>
        <v>ADM</v>
      </c>
      <c r="AB208" s="731"/>
      <c r="AC208" s="731"/>
    </row>
    <row r="209" ht="13.8" spans="1:29">
      <c r="A209" s="731"/>
      <c r="B209" s="613" t="str">
        <f>IFERROR(VLOOKUP(M209,'02. MM-KLH'!$B$6:$T$823,6,0),"")</f>
        <v>Máy cày JD 6200</v>
      </c>
      <c r="C209" s="353">
        <v>1</v>
      </c>
      <c r="D209" s="353">
        <f>IFERROR(VLOOKUP(M209,'02. MM-KLH'!$B$6:$T$823,16,0),"")</f>
        <v>6200</v>
      </c>
      <c r="E209" s="353" t="s">
        <v>5978</v>
      </c>
      <c r="F209" s="353"/>
      <c r="G209" s="353"/>
      <c r="H209" s="353" t="str">
        <f>IFERROR(VLOOKUP(M209,'02. MM-KLH'!$B$6:$T$823,17,0),"")</f>
        <v>90HP</v>
      </c>
      <c r="I209" s="763">
        <f>IFERROR(VLOOKUP(M209,'02. MM-KLH'!$B$6:$U$823,20,0),"")</f>
        <v>6.5</v>
      </c>
      <c r="J209" s="613" t="str">
        <f>IFERROR(VLOOKUP(M209,'02. MM-KLH'!$B$6:$T$823,19,0),"")</f>
        <v>CD4039T142137</v>
      </c>
      <c r="K209" s="613" t="str">
        <f>IFERROR(VLOOKUP(M209,'02. MM-KLH'!$B$6:$T$823,18,0),"")</f>
        <v>L06200X115877</v>
      </c>
      <c r="L209" s="353">
        <f>IFERROR(VLOOKUP(M209,'02. MM-KLH'!$B$6:$T$823,4,0),"")</f>
        <v>0</v>
      </c>
      <c r="M209" s="49" t="s">
        <v>1884</v>
      </c>
      <c r="N209" s="356">
        <f>IFERROR(VLOOKUP(M209,'02. MM-KLH'!$B$6:$T$823,15,0),"")</f>
        <v>1998</v>
      </c>
      <c r="O209" s="764">
        <f>IFERROR(VLOOKUP(M209,'02. MM-KLH'!$B$6:$T$823,9,0),"")</f>
        <v>45360</v>
      </c>
      <c r="P209" s="353"/>
      <c r="Q209" s="353" t="s">
        <v>1755</v>
      </c>
      <c r="R209" s="353"/>
      <c r="S209" s="353" t="s">
        <v>5978</v>
      </c>
      <c r="T209" s="353"/>
      <c r="U209" s="353" t="str">
        <f>IFERROR(VLOOKUP(M209,'02. MM-KLH'!$B$6:$T$823,5,0),"")</f>
        <v>MỚI (ĐQSD)</v>
      </c>
      <c r="V209" s="731" t="str">
        <f>IFERROR(VLOOKUP(M209,'02. MM-KLH'!$B$6:$T$823,8,0),"")</f>
        <v>XN Bò AD</v>
      </c>
      <c r="W209" s="353" t="str">
        <f>IFERROR(VLOOKUP(V209,'NS QUẢN LÝ CG'!$A$4:$D$36,2,0),"")</f>
        <v/>
      </c>
      <c r="X209" s="353" t="str">
        <f>IFERROR(VLOOKUP(V209,'NS QUẢN LÝ CG'!$A$4:$D$36,4,0),"")</f>
        <v/>
      </c>
      <c r="Y209" s="353" t="str">
        <f>IFERROR(VLOOKUP(V209,'NS QUẢN LÝ CG'!$A$4:$C$36,3,0),"")</f>
        <v/>
      </c>
      <c r="Z209" s="731" t="str">
        <f>IFERROR(VLOOKUP(M209,'02. MM-KLH'!$B$6:$T$823,3,0),"")</f>
        <v>A22-MKE-055</v>
      </c>
      <c r="AA209" s="353" t="str">
        <f t="shared" si="13"/>
        <v>ADM</v>
      </c>
      <c r="AB209" s="731"/>
      <c r="AC209" s="731"/>
    </row>
    <row r="210" ht="13.8" spans="1:29">
      <c r="A210" s="731"/>
      <c r="B210" s="613" t="str">
        <f>IFERROR(VLOOKUP(M210,'02. MM-KLH'!$B$6:$T$823,6,0),"")</f>
        <v>Máy cày JD 6200</v>
      </c>
      <c r="C210" s="353">
        <v>1</v>
      </c>
      <c r="D210" s="353">
        <f>IFERROR(VLOOKUP(M210,'02. MM-KLH'!$B$6:$T$823,16,0),"")</f>
        <v>6200</v>
      </c>
      <c r="E210" s="353" t="s">
        <v>5978</v>
      </c>
      <c r="F210" s="353"/>
      <c r="G210" s="353"/>
      <c r="H210" s="353" t="str">
        <f>IFERROR(VLOOKUP(M210,'02. MM-KLH'!$B$6:$T$823,17,0),"")</f>
        <v>90HP</v>
      </c>
      <c r="I210" s="763">
        <f>IFERROR(VLOOKUP(M210,'02. MM-KLH'!$B$6:$U$823,20,0),"")</f>
        <v>0</v>
      </c>
      <c r="J210" s="613" t="str">
        <f>IFERROR(VLOOKUP(M210,'02. MM-KLH'!$B$6:$T$823,19,0),"")</f>
        <v>CD4039T232227</v>
      </c>
      <c r="K210" s="613" t="str">
        <f>IFERROR(VLOOKUP(M210,'02. MM-KLH'!$B$6:$T$823,18,0),"")</f>
        <v>L06200X154907</v>
      </c>
      <c r="L210" s="353">
        <f>IFERROR(VLOOKUP(M210,'02. MM-KLH'!$B$6:$T$823,4,0),"")</f>
        <v>0</v>
      </c>
      <c r="M210" s="49" t="s">
        <v>1925</v>
      </c>
      <c r="N210" s="356">
        <f>IFERROR(VLOOKUP(M210,'02. MM-KLH'!$B$6:$T$823,15,0),"")</f>
        <v>1998</v>
      </c>
      <c r="O210" s="764" t="str">
        <f>IFERROR(VLOOKUP(M210,'02. MM-KLH'!$B$6:$T$823,9,0),"")</f>
        <v>26/09/2025</v>
      </c>
      <c r="P210" s="353"/>
      <c r="Q210" s="353">
        <v>8951</v>
      </c>
      <c r="R210" s="353" t="s">
        <v>5978</v>
      </c>
      <c r="S210" s="353"/>
      <c r="T210" s="353"/>
      <c r="U210" s="353" t="str">
        <f>IFERROR(VLOOKUP(M210,'02. MM-KLH'!$B$6:$T$823,5,0),"")</f>
        <v>MỚI (ĐQSD)</v>
      </c>
      <c r="V210" s="731" t="str">
        <f>IFERROR(VLOOKUP(M210,'02. MM-KLH'!$B$6:$T$823,8,0),"")</f>
        <v>XN Bò AD</v>
      </c>
      <c r="W210" s="353" t="str">
        <f>IFERROR(VLOOKUP(V210,'NS QUẢN LÝ CG'!$A$4:$D$36,2,0),"")</f>
        <v/>
      </c>
      <c r="X210" s="353" t="str">
        <f>IFERROR(VLOOKUP(V210,'NS QUẢN LÝ CG'!$A$4:$D$36,4,0),"")</f>
        <v/>
      </c>
      <c r="Y210" s="353" t="str">
        <f>IFERROR(VLOOKUP(V210,'NS QUẢN LÝ CG'!$A$4:$C$36,3,0),"")</f>
        <v/>
      </c>
      <c r="Z210" s="731" t="str">
        <f>IFERROR(VLOOKUP(M210,'02. MM-KLH'!$B$6:$T$823,3,0),"")</f>
        <v>A22-MKE-049</v>
      </c>
      <c r="AA210" s="353" t="str">
        <f t="shared" si="13"/>
        <v>ADM</v>
      </c>
      <c r="AB210" s="731"/>
      <c r="AC210" s="731"/>
    </row>
    <row r="211" ht="13.8" spans="1:29">
      <c r="A211" s="731"/>
      <c r="B211" s="613" t="str">
        <f>IFERROR(VLOOKUP(M211,'02. MM-KLH'!$B$6:$T$823,6,0),"")</f>
        <v>Máy cày JD 6600</v>
      </c>
      <c r="C211" s="353">
        <v>1</v>
      </c>
      <c r="D211" s="353">
        <f>IFERROR(VLOOKUP(M211,'02. MM-KLH'!$B$6:$T$823,16,0),"")</f>
        <v>6600</v>
      </c>
      <c r="E211" s="353" t="s">
        <v>5978</v>
      </c>
      <c r="F211" s="353"/>
      <c r="G211" s="353"/>
      <c r="H211" s="353" t="str">
        <f>IFERROR(VLOOKUP(M211,'02. MM-KLH'!$B$6:$T$823,17,0),"")</f>
        <v>110HP</v>
      </c>
      <c r="I211" s="763">
        <f>IFERROR(VLOOKUP(M211,'02. MM-KLH'!$B$6:$U$823,20,0),"")</f>
        <v>0</v>
      </c>
      <c r="J211" s="613" t="str">
        <f>IFERROR(VLOOKUP(M211,'02. MM-KLH'!$B$6:$T$823,19,0),"")</f>
        <v>CD6059T276336</v>
      </c>
      <c r="K211" s="613" t="str">
        <f>IFERROR(VLOOKUP(M211,'02. MM-KLH'!$B$6:$T$823,18,0),"")</f>
        <v>L06600V172903</v>
      </c>
      <c r="L211" s="353">
        <f>IFERROR(VLOOKUP(M211,'02. MM-KLH'!$B$6:$T$823,4,0),"")</f>
        <v>0</v>
      </c>
      <c r="M211" s="49" t="s">
        <v>1957</v>
      </c>
      <c r="N211" s="356">
        <f>IFERROR(VLOOKUP(M211,'02. MM-KLH'!$B$6:$T$823,15,0),"")</f>
        <v>1995</v>
      </c>
      <c r="O211" s="764" t="str">
        <f>IFERROR(VLOOKUP(M211,'02. MM-KLH'!$B$6:$T$823,9,0),"")</f>
        <v>14/01/2026</v>
      </c>
      <c r="P211" s="353"/>
      <c r="Q211" s="353" t="s">
        <v>1755</v>
      </c>
      <c r="R211" s="353"/>
      <c r="S211" s="353" t="s">
        <v>5978</v>
      </c>
      <c r="T211" s="353"/>
      <c r="U211" s="353" t="str">
        <f>IFERROR(VLOOKUP(M211,'02. MM-KLH'!$B$6:$T$823,5,0),"")</f>
        <v>MỚI (ĐQSD)</v>
      </c>
      <c r="V211" s="731" t="str">
        <f>IFERROR(VLOOKUP(M211,'02. MM-KLH'!$B$6:$T$823,8,0),"")</f>
        <v>XN Bò AD</v>
      </c>
      <c r="W211" s="353" t="str">
        <f>IFERROR(VLOOKUP(V211,'NS QUẢN LÝ CG'!$A$4:$D$36,2,0),"")</f>
        <v/>
      </c>
      <c r="X211" s="353" t="str">
        <f>IFERROR(VLOOKUP(V211,'NS QUẢN LÝ CG'!$A$4:$D$36,4,0),"")</f>
        <v/>
      </c>
      <c r="Y211" s="353" t="str">
        <f>IFERROR(VLOOKUP(V211,'NS QUẢN LÝ CG'!$A$4:$C$36,3,0),"")</f>
        <v/>
      </c>
      <c r="Z211" s="731" t="str">
        <f>IFERROR(VLOOKUP(M211,'02. MM-KLH'!$B$6:$T$823,3,0),"")</f>
        <v>A22-MKE-063</v>
      </c>
      <c r="AA211" s="353" t="str">
        <f t="shared" si="13"/>
        <v>ADM</v>
      </c>
      <c r="AB211" s="731"/>
      <c r="AC211" s="731"/>
    </row>
    <row r="212" ht="13.8" spans="1:29">
      <c r="A212" s="731"/>
      <c r="B212" s="613" t="str">
        <f>IFERROR(VLOOKUP(M212,'02. MM-KLH'!$B$6:$T$823,6,0),"")</f>
        <v>Máy cày JD 6620</v>
      </c>
      <c r="C212" s="353">
        <v>1</v>
      </c>
      <c r="D212" s="353">
        <f>IFERROR(VLOOKUP(M212,'02. MM-KLH'!$B$6:$T$823,16,0),"")</f>
        <v>6620</v>
      </c>
      <c r="E212" s="353" t="s">
        <v>5978</v>
      </c>
      <c r="F212" s="353"/>
      <c r="G212" s="353"/>
      <c r="H212" s="353" t="str">
        <f>IFERROR(VLOOKUP(M212,'02. MM-KLH'!$B$6:$T$823,17,0),"")</f>
        <v>120HP</v>
      </c>
      <c r="I212" s="763">
        <f>IFERROR(VLOOKUP(M212,'02. MM-KLH'!$B$6:$U$823,20,0),"")</f>
        <v>0</v>
      </c>
      <c r="J212" s="613" t="str">
        <f>IFERROR(VLOOKUP(M212,'02. MM-KLH'!$B$6:$T$823,19,0),"")</f>
        <v>CD6068G073699</v>
      </c>
      <c r="K212" s="613" t="str">
        <f>IFERROR(VLOOKUP(M212,'02. MM-KLH'!$B$6:$T$823,18,0),"")</f>
        <v>L06620D501194</v>
      </c>
      <c r="L212" s="353">
        <f>IFERROR(VLOOKUP(M212,'02. MM-KLH'!$B$6:$T$823,4,0),"")</f>
        <v>0</v>
      </c>
      <c r="M212" s="49" t="s">
        <v>1934</v>
      </c>
      <c r="N212" s="356">
        <f>IFERROR(VLOOKUP(M212,'02. MM-KLH'!$B$6:$T$823,15,0),"")</f>
        <v>1999</v>
      </c>
      <c r="O212" s="764" t="str">
        <f>IFERROR(VLOOKUP(M212,'02. MM-KLH'!$B$6:$T$823,9,0),"")</f>
        <v>26/09/2025</v>
      </c>
      <c r="P212" s="353"/>
      <c r="Q212" s="353" t="s">
        <v>1755</v>
      </c>
      <c r="R212" s="353"/>
      <c r="S212" s="353" t="s">
        <v>5978</v>
      </c>
      <c r="T212" s="353"/>
      <c r="U212" s="353" t="str">
        <f>IFERROR(VLOOKUP(M212,'02. MM-KLH'!$B$6:$T$823,5,0),"")</f>
        <v>MỚI (ĐQSD)</v>
      </c>
      <c r="V212" s="731" t="str">
        <f>IFERROR(VLOOKUP(M212,'02. MM-KLH'!$B$6:$T$823,8,0),"")</f>
        <v>XN Bò AD</v>
      </c>
      <c r="W212" s="353" t="str">
        <f>IFERROR(VLOOKUP(V212,'NS QUẢN LÝ CG'!$A$4:$D$36,2,0),"")</f>
        <v/>
      </c>
      <c r="X212" s="353" t="str">
        <f>IFERROR(VLOOKUP(V212,'NS QUẢN LÝ CG'!$A$4:$D$36,4,0),"")</f>
        <v/>
      </c>
      <c r="Y212" s="353" t="str">
        <f>IFERROR(VLOOKUP(V212,'NS QUẢN LÝ CG'!$A$4:$C$36,3,0),"")</f>
        <v/>
      </c>
      <c r="Z212" s="731" t="str">
        <f>IFERROR(VLOOKUP(M212,'02. MM-KLH'!$B$6:$T$823,3,0),"")</f>
        <v>A22-MKE-057</v>
      </c>
      <c r="AA212" s="353" t="str">
        <f t="shared" si="13"/>
        <v>ADM</v>
      </c>
      <c r="AB212" s="731"/>
      <c r="AC212" s="731"/>
    </row>
    <row r="213" ht="13.8" spans="1:29">
      <c r="A213" s="731"/>
      <c r="B213" s="613" t="str">
        <f>IFERROR(VLOOKUP(M213,'02. MM-KLH'!$B$6:$T$823,6,0),"")</f>
        <v>Máy cày JD 6210</v>
      </c>
      <c r="C213" s="353">
        <v>1</v>
      </c>
      <c r="D213" s="353">
        <f>IFERROR(VLOOKUP(M213,'02. MM-KLH'!$B$6:$T$823,16,0),"")</f>
        <v>6210</v>
      </c>
      <c r="E213" s="353" t="s">
        <v>5978</v>
      </c>
      <c r="F213" s="353"/>
      <c r="G213" s="353"/>
      <c r="H213" s="353" t="str">
        <f>IFERROR(VLOOKUP(M213,'02. MM-KLH'!$B$6:$T$823,17,0),"")</f>
        <v>95HP</v>
      </c>
      <c r="I213" s="763">
        <f>IFERROR(VLOOKUP(M213,'02. MM-KLH'!$B$6:$U$823,20,0),"")</f>
        <v>0</v>
      </c>
      <c r="J213" s="613" t="str">
        <f>IFERROR(VLOOKUP(M213,'02. MM-KLH'!$B$6:$T$823,19,0),"")</f>
        <v>CD4045T534901</v>
      </c>
      <c r="K213" s="613" t="str">
        <f>IFERROR(VLOOKUP(M213,'02. MM-KLH'!$B$6:$T$823,18,0),"")</f>
        <v>322019L</v>
      </c>
      <c r="L213" s="353">
        <f>IFERROR(VLOOKUP(M213,'02. MM-KLH'!$B$6:$T$823,4,0),"")</f>
        <v>0</v>
      </c>
      <c r="M213" s="49" t="s">
        <v>1930</v>
      </c>
      <c r="N213" s="356">
        <f>IFERROR(VLOOKUP(M213,'02. MM-KLH'!$B$6:$T$823,15,0),"")</f>
        <v>1999</v>
      </c>
      <c r="O213" s="764" t="str">
        <f>IFERROR(VLOOKUP(M213,'02. MM-KLH'!$B$6:$T$823,9,0),"")</f>
        <v>26/09/2025</v>
      </c>
      <c r="P213" s="353"/>
      <c r="Q213" s="353" t="s">
        <v>1755</v>
      </c>
      <c r="R213" s="353"/>
      <c r="S213" s="353" t="s">
        <v>5978</v>
      </c>
      <c r="T213" s="353"/>
      <c r="U213" s="353" t="str">
        <f>IFERROR(VLOOKUP(M213,'02. MM-KLH'!$B$6:$T$823,5,0),"")</f>
        <v>MỚI (ĐQSD)</v>
      </c>
      <c r="V213" s="731" t="str">
        <f>IFERROR(VLOOKUP(M213,'02. MM-KLH'!$B$6:$T$823,8,0),"")</f>
        <v>XN Bò AD</v>
      </c>
      <c r="W213" s="353" t="str">
        <f>IFERROR(VLOOKUP(V213,'NS QUẢN LÝ CG'!$A$4:$D$36,2,0),"")</f>
        <v/>
      </c>
      <c r="X213" s="353" t="str">
        <f>IFERROR(VLOOKUP(V213,'NS QUẢN LÝ CG'!$A$4:$D$36,4,0),"")</f>
        <v/>
      </c>
      <c r="Y213" s="353" t="str">
        <f>IFERROR(VLOOKUP(V213,'NS QUẢN LÝ CG'!$A$4:$C$36,3,0),"")</f>
        <v/>
      </c>
      <c r="Z213" s="731" t="str">
        <f>IFERROR(VLOOKUP(M213,'02. MM-KLH'!$B$6:$T$823,3,0),"")</f>
        <v>A22-MKE-050</v>
      </c>
      <c r="AA213" s="353" t="str">
        <f t="shared" si="13"/>
        <v>ADM</v>
      </c>
      <c r="AB213" s="731"/>
      <c r="AC213" s="731"/>
    </row>
    <row r="214" ht="13.8" spans="1:29">
      <c r="A214" s="731"/>
      <c r="B214" s="613" t="str">
        <f>IFERROR(VLOOKUP(M214,'02. MM-KLH'!$B$6:$T$823,6,0),"")</f>
        <v>Máy cày JD 6210</v>
      </c>
      <c r="C214" s="353">
        <v>1</v>
      </c>
      <c r="D214" s="353">
        <f>IFERROR(VLOOKUP(M214,'02. MM-KLH'!$B$6:$T$823,16,0),"")</f>
        <v>6210</v>
      </c>
      <c r="E214" s="353" t="s">
        <v>5978</v>
      </c>
      <c r="F214" s="353"/>
      <c r="G214" s="353"/>
      <c r="H214" s="353" t="str">
        <f>IFERROR(VLOOKUP(M214,'02. MM-KLH'!$B$6:$T$823,17,0),"")</f>
        <v>95HP</v>
      </c>
      <c r="I214" s="763">
        <f>IFERROR(VLOOKUP(M214,'02. MM-KLH'!$B$6:$U$823,20,0),"")</f>
        <v>0</v>
      </c>
      <c r="J214" s="613" t="str">
        <f>IFERROR(VLOOKUP(M214,'02. MM-KLH'!$B$6:$T$823,19,0),"")</f>
        <v>CD4045T640751</v>
      </c>
      <c r="K214" s="613" t="str">
        <f>IFERROR(VLOOKUP(M214,'02. MM-KLH'!$B$6:$T$823,18,0),"")</f>
        <v>309429L</v>
      </c>
      <c r="L214" s="353">
        <f>IFERROR(VLOOKUP(M214,'02. MM-KLH'!$B$6:$T$823,4,0),"")</f>
        <v>0</v>
      </c>
      <c r="M214" s="49" t="s">
        <v>1963</v>
      </c>
      <c r="N214" s="356">
        <f>IFERROR(VLOOKUP(M214,'02. MM-KLH'!$B$6:$T$823,15,0),"")</f>
        <v>1999</v>
      </c>
      <c r="O214" s="764" t="str">
        <f>IFERROR(VLOOKUP(M214,'02. MM-KLH'!$B$6:$T$823,9,0),"")</f>
        <v>16/03/2026</v>
      </c>
      <c r="P214" s="353"/>
      <c r="Q214" s="353" t="s">
        <v>1755</v>
      </c>
      <c r="R214" s="353" t="s">
        <v>5978</v>
      </c>
      <c r="S214" s="353"/>
      <c r="T214" s="353"/>
      <c r="U214" s="353" t="str">
        <f>IFERROR(VLOOKUP(M214,'02. MM-KLH'!$B$6:$T$823,5,0),"")</f>
        <v>MỚI (ĐQSD)</v>
      </c>
      <c r="V214" s="731" t="str">
        <f>IFERROR(VLOOKUP(M214,'02. MM-KLH'!$B$6:$T$823,8,0),"")</f>
        <v>XN Bò AD</v>
      </c>
      <c r="W214" s="353" t="str">
        <f>IFERROR(VLOOKUP(V214,'NS QUẢN LÝ CG'!$A$4:$D$36,2,0),"")</f>
        <v/>
      </c>
      <c r="X214" s="353" t="str">
        <f>IFERROR(VLOOKUP(V214,'NS QUẢN LÝ CG'!$A$4:$D$36,4,0),"")</f>
        <v/>
      </c>
      <c r="Y214" s="353" t="str">
        <f>IFERROR(VLOOKUP(V214,'NS QUẢN LÝ CG'!$A$4:$C$36,3,0),"")</f>
        <v/>
      </c>
      <c r="Z214" s="731" t="str">
        <f>IFERROR(VLOOKUP(M214,'02. MM-KLH'!$B$6:$T$823,3,0),"")</f>
        <v>A22-MKE-040</v>
      </c>
      <c r="AA214" s="353" t="str">
        <f t="shared" si="13"/>
        <v>ADM</v>
      </c>
      <c r="AB214" s="731"/>
      <c r="AC214" s="731"/>
    </row>
    <row r="215" ht="13.8" spans="1:29">
      <c r="A215" s="731"/>
      <c r="B215" s="613" t="str">
        <f>IFERROR(VLOOKUP(M215,'02. MM-KLH'!$B$6:$T$823,6,0),"")</f>
        <v>Máy cày JD 2850</v>
      </c>
      <c r="C215" s="353">
        <v>1</v>
      </c>
      <c r="D215" s="353">
        <f>IFERROR(VLOOKUP(M215,'02. MM-KLH'!$B$6:$T$823,16,0),"")</f>
        <v>2850</v>
      </c>
      <c r="E215" s="353" t="s">
        <v>5978</v>
      </c>
      <c r="F215" s="353"/>
      <c r="G215" s="353"/>
      <c r="H215" s="353" t="str">
        <f>IFERROR(VLOOKUP(M215,'02. MM-KLH'!$B$6:$T$823,17,0),"")</f>
        <v>85HP</v>
      </c>
      <c r="I215" s="763">
        <f>IFERROR(VLOOKUP(M215,'02. MM-KLH'!$B$6:$U$823,20,0),"")</f>
        <v>0</v>
      </c>
      <c r="J215" s="613" t="str">
        <f>IFERROR(VLOOKUP(M215,'02. MM-KLH'!$B$6:$T$823,19,0),"")</f>
        <v>CD4239T907229</v>
      </c>
      <c r="K215" s="613" t="str">
        <f>IFERROR(VLOOKUP(M215,'02. MM-KLH'!$B$6:$T$823,18,0),"")</f>
        <v>717696L</v>
      </c>
      <c r="L215" s="353">
        <f>IFERROR(VLOOKUP(M215,'02. MM-KLH'!$B$6:$T$823,4,0),"")</f>
        <v>0</v>
      </c>
      <c r="M215" s="49" t="s">
        <v>999</v>
      </c>
      <c r="N215" s="356">
        <f>IFERROR(VLOOKUP(M215,'02. MM-KLH'!$B$6:$T$823,15,0),"")</f>
        <v>1994</v>
      </c>
      <c r="O215" s="764">
        <f>IFERROR(VLOOKUP(M215,'02. MM-KLH'!$B$6:$T$823,9,0),"")</f>
        <v>45811</v>
      </c>
      <c r="P215" s="353"/>
      <c r="Q215" s="353" t="s">
        <v>1755</v>
      </c>
      <c r="R215" s="353" t="s">
        <v>5978</v>
      </c>
      <c r="S215" s="353"/>
      <c r="T215" s="353"/>
      <c r="U215" s="353" t="str">
        <f>IFERROR(VLOOKUP(M215,'02. MM-KLH'!$B$6:$T$823,5,0),"")</f>
        <v>MỚI (ĐQSD)</v>
      </c>
      <c r="V215" s="731" t="str">
        <f>IFERROR(VLOOKUP(M215,'02. MM-KLH'!$B$6:$T$823,8,0),"")</f>
        <v>CGLĐ DP</v>
      </c>
      <c r="W215" s="353" t="str">
        <f>IFERROR(VLOOKUP(V215,'NS QUẢN LÝ CG'!$A$4:$D$36,2,0),"")</f>
        <v>Nguyễn Tấn Triều</v>
      </c>
      <c r="X215" s="353" t="str">
        <f>IFERROR(VLOOKUP(V215,'NS QUẢN LÝ CG'!$A$4:$D$36,4,0),"")</f>
        <v>Lô 85 DP4</v>
      </c>
      <c r="Y215" s="1104" t="str">
        <f>IFERROR(VLOOKUP(V215,'NS QUẢN LÝ CG'!$A$4:$C$36,3,0),"")</f>
        <v>05974160290</v>
      </c>
      <c r="Z215" s="731" t="str">
        <f>IFERROR(VLOOKUP(M215,'02. MM-KLH'!$B$6:$T$823,3,0),"")</f>
        <v>A23-MKE-036</v>
      </c>
      <c r="AA215" s="353" t="str">
        <f t="shared" si="13"/>
        <v>DP</v>
      </c>
      <c r="AB215" s="731"/>
      <c r="AC215" s="731"/>
    </row>
    <row r="216" ht="13.8" spans="1:29">
      <c r="A216" s="731"/>
      <c r="B216" s="613" t="str">
        <f>IFERROR(VLOOKUP(M216,'02. MM-KLH'!$B$6:$T$823,6,0),"")</f>
        <v>Máy cày JD 3350</v>
      </c>
      <c r="C216" s="353">
        <v>1</v>
      </c>
      <c r="D216" s="353">
        <f>IFERROR(VLOOKUP(M216,'02. MM-KLH'!$B$6:$T$823,16,0),"")</f>
        <v>3350</v>
      </c>
      <c r="E216" s="353" t="s">
        <v>5978</v>
      </c>
      <c r="F216" s="353"/>
      <c r="G216" s="353"/>
      <c r="H216" s="353" t="str">
        <f>IFERROR(VLOOKUP(M216,'02. MM-KLH'!$B$6:$T$823,17,0),"")</f>
        <v>100HP</v>
      </c>
      <c r="I216" s="763">
        <f>IFERROR(VLOOKUP(M216,'02. MM-KLH'!$B$6:$U$823,20,0),"")</f>
        <v>6.5</v>
      </c>
      <c r="J216" s="613" t="str">
        <f>IFERROR(VLOOKUP(M216,'02. MM-KLH'!$B$6:$T$823,19,0),"")</f>
        <v>CD6359D897588</v>
      </c>
      <c r="K216" s="613" t="str">
        <f>IFERROR(VLOOKUP(M216,'02. MM-KLH'!$B$6:$T$823,18,0),"")</f>
        <v>711050L</v>
      </c>
      <c r="L216" s="353">
        <f>IFERROR(VLOOKUP(M216,'02. MM-KLH'!$B$6:$T$823,4,0),"")</f>
        <v>0</v>
      </c>
      <c r="M216" s="49" t="s">
        <v>1003</v>
      </c>
      <c r="N216" s="356">
        <f>IFERROR(VLOOKUP(M216,'02. MM-KLH'!$B$6:$T$823,15,0),"")</f>
        <v>1993</v>
      </c>
      <c r="O216" s="764">
        <f>IFERROR(VLOOKUP(M216,'02. MM-KLH'!$B$6:$T$823,9,0),"")</f>
        <v>45811</v>
      </c>
      <c r="P216" s="353"/>
      <c r="Q216" s="353" t="s">
        <v>1755</v>
      </c>
      <c r="R216" s="353"/>
      <c r="S216" s="353" t="s">
        <v>5978</v>
      </c>
      <c r="T216" s="353"/>
      <c r="U216" s="353" t="str">
        <f>IFERROR(VLOOKUP(M216,'02. MM-KLH'!$B$6:$T$823,5,0),"")</f>
        <v>MỚI (ĐQSD)</v>
      </c>
      <c r="V216" s="731" t="str">
        <f>IFERROR(VLOOKUP(M216,'02. MM-KLH'!$B$6:$T$823,8,0),"")</f>
        <v>CGLĐ DP</v>
      </c>
      <c r="W216" s="353" t="str">
        <f>IFERROR(VLOOKUP(V216,'NS QUẢN LÝ CG'!$A$4:$D$36,2,0),"")</f>
        <v>Nguyễn Tấn Triều</v>
      </c>
      <c r="X216" s="353" t="str">
        <f>IFERROR(VLOOKUP(V216,'NS QUẢN LÝ CG'!$A$4:$D$36,4,0),"")</f>
        <v>Lô 85 DP4</v>
      </c>
      <c r="Y216" s="1104" t="str">
        <f>IFERROR(VLOOKUP(V216,'NS QUẢN LÝ CG'!$A$4:$C$36,3,0),"")</f>
        <v>05974160290</v>
      </c>
      <c r="Z216" s="731" t="str">
        <f>IFERROR(VLOOKUP(M216,'02. MM-KLH'!$B$6:$T$823,3,0),"")</f>
        <v>A23-MKE-037</v>
      </c>
      <c r="AA216" s="353" t="str">
        <f t="shared" si="13"/>
        <v>DP</v>
      </c>
      <c r="AB216" s="731"/>
      <c r="AC216" s="731"/>
    </row>
    <row r="217" ht="13.8" spans="1:29">
      <c r="A217" s="731"/>
      <c r="B217" s="613" t="str">
        <f>IFERROR(VLOOKUP(M217,'02. MM-KLH'!$B$6:$T$823,6,0),"")</f>
        <v>Máy cày JD 7800</v>
      </c>
      <c r="C217" s="353">
        <v>1</v>
      </c>
      <c r="D217" s="353">
        <f>IFERROR(VLOOKUP(M217,'02. MM-KLH'!$B$6:$T$823,16,0),"")</f>
        <v>7800</v>
      </c>
      <c r="E217" s="353" t="s">
        <v>5978</v>
      </c>
      <c r="F217" s="353"/>
      <c r="G217" s="353"/>
      <c r="H217" s="353" t="str">
        <f>IFERROR(VLOOKUP(M217,'02. MM-KLH'!$B$6:$T$823,17,0),"")</f>
        <v>170HP</v>
      </c>
      <c r="I217" s="763">
        <f>IFERROR(VLOOKUP(M217,'02. MM-KLH'!$B$6:$U$823,20,0),"")</f>
        <v>11</v>
      </c>
      <c r="J217" s="613" t="str">
        <f>IFERROR(VLOOKUP(M217,'02. MM-KLH'!$B$6:$T$823,19,0),"")</f>
        <v>RG6076T568036</v>
      </c>
      <c r="K217" s="613" t="str">
        <f>IFERROR(VLOOKUP(M217,'02. MM-KLH'!$B$6:$T$823,18,0),"")</f>
        <v>RW7800P015834</v>
      </c>
      <c r="L217" s="353">
        <f>IFERROR(VLOOKUP(M217,'02. MM-KLH'!$B$6:$T$823,4,0),"")</f>
        <v>0</v>
      </c>
      <c r="M217" s="49" t="s">
        <v>1007</v>
      </c>
      <c r="N217" s="356">
        <f>IFERROR(VLOOKUP(M217,'02. MM-KLH'!$B$6:$T$823,15,0),"")</f>
        <v>1997</v>
      </c>
      <c r="O217" s="764">
        <f>IFERROR(VLOOKUP(M217,'02. MM-KLH'!$B$6:$T$823,9,0),"")</f>
        <v>45811</v>
      </c>
      <c r="P217" s="353"/>
      <c r="Q217" s="353" t="s">
        <v>1755</v>
      </c>
      <c r="R217" s="353"/>
      <c r="S217" s="353" t="s">
        <v>5978</v>
      </c>
      <c r="T217" s="353"/>
      <c r="U217" s="353" t="str">
        <f>IFERROR(VLOOKUP(M217,'02. MM-KLH'!$B$6:$T$823,5,0),"")</f>
        <v>MỚI (ĐQSD)</v>
      </c>
      <c r="V217" s="731" t="str">
        <f>IFERROR(VLOOKUP(M217,'02. MM-KLH'!$B$6:$T$823,8,0),"")</f>
        <v>CGLĐ DP</v>
      </c>
      <c r="W217" s="353" t="str">
        <f>IFERROR(VLOOKUP(V217,'NS QUẢN LÝ CG'!$A$4:$D$36,2,0),"")</f>
        <v>Nguyễn Tấn Triều</v>
      </c>
      <c r="X217" s="353" t="str">
        <f>IFERROR(VLOOKUP(V217,'NS QUẢN LÝ CG'!$A$4:$D$36,4,0),"")</f>
        <v>Lô 85 DP4</v>
      </c>
      <c r="Y217" s="1104" t="str">
        <f>IFERROR(VLOOKUP(V217,'NS QUẢN LÝ CG'!$A$4:$C$36,3,0),"")</f>
        <v>05974160290</v>
      </c>
      <c r="Z217" s="731" t="str">
        <f>IFERROR(VLOOKUP(M217,'02. MM-KLH'!$B$6:$T$823,3,0),"")</f>
        <v>A23-MKE-038</v>
      </c>
      <c r="AA217" s="353" t="str">
        <f t="shared" si="13"/>
        <v>DP</v>
      </c>
      <c r="AB217" s="731"/>
      <c r="AC217" s="731"/>
    </row>
    <row r="218" ht="13.8" spans="1:29">
      <c r="A218" s="731"/>
      <c r="B218" s="613" t="str">
        <f>IFERROR(VLOOKUP(M218,'02. MM-KLH'!$B$6:$T$823,6,0),"")</f>
        <v>Máy cày JD 3350</v>
      </c>
      <c r="C218" s="353">
        <v>1</v>
      </c>
      <c r="D218" s="353">
        <f>IFERROR(VLOOKUP(M218,'02. MM-KLH'!$B$6:$T$823,16,0),"")</f>
        <v>3350</v>
      </c>
      <c r="E218" s="353" t="s">
        <v>5978</v>
      </c>
      <c r="F218" s="353"/>
      <c r="G218" s="353"/>
      <c r="H218" s="353" t="str">
        <f>IFERROR(VLOOKUP(M218,'02. MM-KLH'!$B$6:$T$823,17,0),"")</f>
        <v>100HP</v>
      </c>
      <c r="I218" s="763">
        <f>IFERROR(VLOOKUP(M218,'02. MM-KLH'!$B$6:$U$823,20,0),"")</f>
        <v>0</v>
      </c>
      <c r="J218" s="613" t="str">
        <f>IFERROR(VLOOKUP(M218,'02. MM-KLH'!$B$6:$T$823,19,0),"")</f>
        <v>CD6359D776913</v>
      </c>
      <c r="K218" s="613" t="str">
        <f>IFERROR(VLOOKUP(M218,'02. MM-KLH'!$B$6:$T$823,18,0),"")</f>
        <v>636964L</v>
      </c>
      <c r="L218" s="353">
        <f>IFERROR(VLOOKUP(M218,'02. MM-KLH'!$B$6:$T$823,4,0),"")</f>
        <v>0</v>
      </c>
      <c r="M218" s="49" t="s">
        <v>1020</v>
      </c>
      <c r="N218" s="356">
        <f>IFERROR(VLOOKUP(M218,'02. MM-KLH'!$B$6:$T$823,15,0),"")</f>
        <v>1993</v>
      </c>
      <c r="O218" s="764" t="str">
        <f>IFERROR(VLOOKUP(M218,'02. MM-KLH'!$B$6:$T$823,9,0),"")</f>
        <v>16/03/2026</v>
      </c>
      <c r="P218" s="353"/>
      <c r="Q218" s="353" t="s">
        <v>1755</v>
      </c>
      <c r="R218" s="353" t="s">
        <v>5978</v>
      </c>
      <c r="S218" s="353"/>
      <c r="T218" s="353"/>
      <c r="U218" s="353" t="str">
        <f>IFERROR(VLOOKUP(M218,'02. MM-KLH'!$B$6:$T$823,5,0),"")</f>
        <v>MỚI (ĐQSD)</v>
      </c>
      <c r="V218" s="731" t="str">
        <f>IFERROR(VLOOKUP(M218,'02. MM-KLH'!$B$6:$T$823,8,0),"")</f>
        <v>CGLĐ DP</v>
      </c>
      <c r="W218" s="353" t="str">
        <f>IFERROR(VLOOKUP(V218,'NS QUẢN LÝ CG'!$A$4:$D$36,2,0),"")</f>
        <v>Nguyễn Tấn Triều</v>
      </c>
      <c r="X218" s="353" t="str">
        <f>IFERROR(VLOOKUP(V218,'NS QUẢN LÝ CG'!$A$4:$D$36,4,0),"")</f>
        <v>Lô 85 DP4</v>
      </c>
      <c r="Y218" s="1104" t="str">
        <f>IFERROR(VLOOKUP(V218,'NS QUẢN LÝ CG'!$A$4:$C$36,3,0),"")</f>
        <v>05974160290</v>
      </c>
      <c r="Z218" s="731" t="str">
        <f>IFERROR(VLOOKUP(M218,'02. MM-KLH'!$B$6:$T$823,3,0),"")</f>
        <v>A22-MKE-039</v>
      </c>
      <c r="AA218" s="353" t="str">
        <f t="shared" si="13"/>
        <v>ADM</v>
      </c>
      <c r="AB218" s="731"/>
      <c r="AC218" s="731"/>
    </row>
    <row r="219" ht="13.8" spans="1:29">
      <c r="A219" s="731"/>
      <c r="B219" s="613" t="str">
        <f>IFERROR(VLOOKUP(M219,'02. MM-KLH'!$B$6:$T$823,6,0),"")</f>
        <v>Máy cày JD 3350</v>
      </c>
      <c r="C219" s="353">
        <v>1</v>
      </c>
      <c r="D219" s="353">
        <f>IFERROR(VLOOKUP(M219,'02. MM-KLH'!$B$6:$T$823,16,0),"")</f>
        <v>3350</v>
      </c>
      <c r="E219" s="353" t="s">
        <v>5978</v>
      </c>
      <c r="F219" s="353"/>
      <c r="G219" s="353"/>
      <c r="H219" s="353" t="str">
        <f>IFERROR(VLOOKUP(M219,'02. MM-KLH'!$B$6:$T$823,17,0),"")</f>
        <v>100HP</v>
      </c>
      <c r="I219" s="763">
        <f>IFERROR(VLOOKUP(M219,'02. MM-KLH'!$B$6:$U$823,20,0),"")</f>
        <v>6.5</v>
      </c>
      <c r="J219" s="613" t="str">
        <f>IFERROR(VLOOKUP(M219,'02. MM-KLH'!$B$6:$T$823,19,0),"")</f>
        <v>CD0635-90696675</v>
      </c>
      <c r="K219" s="613">
        <f>IFERROR(VLOOKUP(M219,'02. MM-KLH'!$B$6:$T$823,18,0),"")</f>
        <v>608107</v>
      </c>
      <c r="L219" s="353">
        <f>IFERROR(VLOOKUP(M219,'02. MM-KLH'!$B$6:$T$823,4,0),"")</f>
        <v>0</v>
      </c>
      <c r="M219" s="49" t="s">
        <v>1078</v>
      </c>
      <c r="N219" s="356">
        <f>IFERROR(VLOOKUP(M219,'02. MM-KLH'!$B$6:$T$823,15,0),"")</f>
        <v>1993</v>
      </c>
      <c r="O219" s="764">
        <f>IFERROR(VLOOKUP(M219,'02. MM-KLH'!$B$6:$T$823,9,0),"")</f>
        <v>45993</v>
      </c>
      <c r="P219" s="353"/>
      <c r="Q219" s="353" t="s">
        <v>1755</v>
      </c>
      <c r="R219" s="353"/>
      <c r="S219" s="353" t="s">
        <v>5978</v>
      </c>
      <c r="T219" s="353"/>
      <c r="U219" s="353" t="str">
        <f>IFERROR(VLOOKUP(M219,'02. MM-KLH'!$B$6:$T$823,5,0),"")</f>
        <v>MỚI (ĐQSD)</v>
      </c>
      <c r="V219" s="731" t="str">
        <f>IFERROR(VLOOKUP(M219,'02. MM-KLH'!$B$6:$T$823,8,0),"")</f>
        <v>CGLĐ LP</v>
      </c>
      <c r="W219" s="353" t="str">
        <f>IFERROR(VLOOKUP(V219,'NS QUẢN LÝ CG'!$A$4:$D$36,2,0),"")</f>
        <v>Nguyễn Tấn Triều</v>
      </c>
      <c r="X219" s="353" t="str">
        <f>IFERROR(VLOOKUP(V219,'NS QUẢN LÝ CG'!$A$4:$D$36,4,0),"")</f>
        <v>LP3.5-LP3</v>
      </c>
      <c r="Y219" s="1104" t="str">
        <f>IFERROR(VLOOKUP(V219,'NS QUẢN LÝ CG'!$A$4:$C$36,3,0),"")</f>
        <v>05974160290</v>
      </c>
      <c r="Z219" s="731" t="str">
        <f>IFERROR(VLOOKUP(M219,'02. MM-KLH'!$B$6:$T$823,3,0),"")</f>
        <v>A24-MKE-030</v>
      </c>
      <c r="AA219" s="353" t="str">
        <f t="shared" si="13"/>
        <v>LP</v>
      </c>
      <c r="AB219" s="731"/>
      <c r="AC219" s="731"/>
    </row>
    <row r="220" ht="13.8" spans="1:29">
      <c r="A220" s="731"/>
      <c r="B220" s="613" t="str">
        <f>IFERROR(VLOOKUP(M220,'02. MM-KLH'!$B$6:$T$823,6,0),"")</f>
        <v>Máy cày JD 3650</v>
      </c>
      <c r="C220" s="353">
        <v>1</v>
      </c>
      <c r="D220" s="353">
        <f>IFERROR(VLOOKUP(M220,'02. MM-KLH'!$B$6:$T$823,16,0),"")</f>
        <v>3650</v>
      </c>
      <c r="E220" s="353" t="s">
        <v>5978</v>
      </c>
      <c r="F220" s="353"/>
      <c r="G220" s="353"/>
      <c r="H220" s="353" t="str">
        <f>IFERROR(VLOOKUP(M220,'02. MM-KLH'!$B$6:$T$823,17,0),"")</f>
        <v>115HP</v>
      </c>
      <c r="I220" s="763">
        <f>IFERROR(VLOOKUP(M220,'02. MM-KLH'!$B$6:$U$823,20,0),"")</f>
        <v>9.4</v>
      </c>
      <c r="J220" s="613" t="str">
        <f>IFERROR(VLOOKUP(M220,'02. MM-KLH'!$B$6:$T$823,19,0),"")</f>
        <v>149701CD</v>
      </c>
      <c r="K220" s="613" t="str">
        <f>IFERROR(VLOOKUP(M220,'02. MM-KLH'!$B$6:$T$823,18,0),"")</f>
        <v>U573763</v>
      </c>
      <c r="L220" s="353">
        <f>IFERROR(VLOOKUP(M220,'02. MM-KLH'!$B$6:$T$823,4,0),"")</f>
        <v>0</v>
      </c>
      <c r="M220" s="49" t="s">
        <v>1081</v>
      </c>
      <c r="N220" s="356">
        <f>IFERROR(VLOOKUP(M220,'02. MM-KLH'!$B$6:$T$823,15,0),"")</f>
        <v>1993</v>
      </c>
      <c r="O220" s="764" t="str">
        <f>IFERROR(VLOOKUP(M220,'02. MM-KLH'!$B$6:$T$823,9,0),"")</f>
        <v>25/02/2025</v>
      </c>
      <c r="P220" s="353"/>
      <c r="Q220" s="353" t="s">
        <v>1755</v>
      </c>
      <c r="R220" s="353"/>
      <c r="S220" s="353" t="s">
        <v>5978</v>
      </c>
      <c r="T220" s="353"/>
      <c r="U220" s="353" t="str">
        <f>IFERROR(VLOOKUP(M220,'02. MM-KLH'!$B$6:$T$823,5,0),"")</f>
        <v>MỚI (ĐQSD)</v>
      </c>
      <c r="V220" s="731" t="str">
        <f>IFERROR(VLOOKUP(M220,'02. MM-KLH'!$B$6:$T$823,8,0),"")</f>
        <v>CGLĐ LP</v>
      </c>
      <c r="W220" s="353" t="str">
        <f>IFERROR(VLOOKUP(V220,'NS QUẢN LÝ CG'!$A$4:$D$36,2,0),"")</f>
        <v>Nguyễn Tấn Triều</v>
      </c>
      <c r="X220" s="353" t="str">
        <f>IFERROR(VLOOKUP(V220,'NS QUẢN LÝ CG'!$A$4:$D$36,4,0),"")</f>
        <v>LP3.5-LP3</v>
      </c>
      <c r="Y220" s="1104" t="str">
        <f>IFERROR(VLOOKUP(V220,'NS QUẢN LÝ CG'!$A$4:$C$36,3,0),"")</f>
        <v>05974160290</v>
      </c>
      <c r="Z220" s="731" t="str">
        <f>IFERROR(VLOOKUP(M220,'02. MM-KLH'!$B$6:$T$823,3,0),"")</f>
        <v>A24-MKE-031</v>
      </c>
      <c r="AA220" s="353" t="str">
        <f t="shared" si="13"/>
        <v>LP</v>
      </c>
      <c r="AB220" s="731"/>
      <c r="AC220" s="731"/>
    </row>
    <row r="221" ht="13.8" spans="1:29">
      <c r="A221" s="731"/>
      <c r="B221" s="613" t="str">
        <f>IFERROR(VLOOKUP(M221,'02. MM-KLH'!$B$6:$T$823,6,0),"")</f>
        <v>Máy cày JD 3640</v>
      </c>
      <c r="C221" s="353">
        <v>1</v>
      </c>
      <c r="D221" s="353">
        <f>IFERROR(VLOOKUP(M221,'02. MM-KLH'!$B$6:$T$823,16,0),"")</f>
        <v>3640</v>
      </c>
      <c r="E221" s="353" t="s">
        <v>5978</v>
      </c>
      <c r="F221" s="353"/>
      <c r="G221" s="353"/>
      <c r="H221" s="353" t="str">
        <f>IFERROR(VLOOKUP(M221,'02. MM-KLH'!$B$6:$T$823,17,0),"")</f>
        <v>115HP</v>
      </c>
      <c r="I221" s="763">
        <f>IFERROR(VLOOKUP(M221,'02. MM-KLH'!$B$6:$U$823,20,0),"")</f>
        <v>0</v>
      </c>
      <c r="J221" s="613" t="str">
        <f>IFERROR(VLOOKUP(M221,'02. MM-KLH'!$B$6:$T$823,19,0),"")</f>
        <v>CD6359D704281</v>
      </c>
      <c r="K221" s="613" t="str">
        <f>IFERROR(VLOOKUP(M221,'02. MM-KLH'!$B$6:$T$823,18,0),"")</f>
        <v>579925L</v>
      </c>
      <c r="L221" s="353">
        <f>IFERROR(VLOOKUP(M221,'02. MM-KLH'!$B$6:$T$823,4,0),"")</f>
        <v>0</v>
      </c>
      <c r="M221" s="49" t="s">
        <v>1086</v>
      </c>
      <c r="N221" s="356">
        <f>IFERROR(VLOOKUP(M221,'02. MM-KLH'!$B$6:$T$823,15,0),"")</f>
        <v>1987</v>
      </c>
      <c r="O221" s="764" t="str">
        <f>IFERROR(VLOOKUP(M221,'02. MM-KLH'!$B$6:$T$823,9,0),"")</f>
        <v>29/04/2025</v>
      </c>
      <c r="P221" s="353"/>
      <c r="Q221" s="353" t="s">
        <v>1755</v>
      </c>
      <c r="R221" s="353" t="s">
        <v>5978</v>
      </c>
      <c r="S221" s="353"/>
      <c r="T221" s="353"/>
      <c r="U221" s="353" t="str">
        <f>IFERROR(VLOOKUP(M221,'02. MM-KLH'!$B$6:$T$823,5,0),"")</f>
        <v>MỚI (ĐQSD)</v>
      </c>
      <c r="V221" s="731" t="str">
        <f>IFERROR(VLOOKUP(M221,'02. MM-KLH'!$B$6:$T$823,8,0),"")</f>
        <v>CGLĐ LP</v>
      </c>
      <c r="W221" s="353" t="str">
        <f>IFERROR(VLOOKUP(V221,'NS QUẢN LÝ CG'!$A$4:$D$36,2,0),"")</f>
        <v>Nguyễn Tấn Triều</v>
      </c>
      <c r="X221" s="353" t="str">
        <f>IFERROR(VLOOKUP(V221,'NS QUẢN LÝ CG'!$A$4:$D$36,4,0),"")</f>
        <v>LP3.5-LP3</v>
      </c>
      <c r="Y221" s="1104" t="str">
        <f>IFERROR(VLOOKUP(V221,'NS QUẢN LÝ CG'!$A$4:$C$36,3,0),"")</f>
        <v>05974160290</v>
      </c>
      <c r="Z221" s="731" t="str">
        <f>IFERROR(VLOOKUP(M221,'02. MM-KLH'!$B$6:$T$823,3,0),"")</f>
        <v>A24-MKE-036</v>
      </c>
      <c r="AA221" s="353" t="str">
        <f t="shared" si="13"/>
        <v>LP</v>
      </c>
      <c r="AB221" s="731"/>
      <c r="AC221" s="731"/>
    </row>
    <row r="222" ht="13.8" spans="1:29">
      <c r="A222" s="731"/>
      <c r="B222" s="613" t="str">
        <f>IFERROR(VLOOKUP(M222,'02. MM-KLH'!$B$6:$T$823,6,0),"")</f>
        <v>Máy cày JD 5520</v>
      </c>
      <c r="C222" s="353">
        <v>1</v>
      </c>
      <c r="D222" s="353">
        <f>IFERROR(VLOOKUP(M222,'02. MM-KLH'!$B$6:$T$823,16,0),"")</f>
        <v>5520</v>
      </c>
      <c r="E222" s="353" t="s">
        <v>5978</v>
      </c>
      <c r="F222" s="353"/>
      <c r="G222" s="353"/>
      <c r="H222" s="353" t="str">
        <f>IFERROR(VLOOKUP(M222,'02. MM-KLH'!$B$6:$T$823,17,0),"")</f>
        <v>89HP</v>
      </c>
      <c r="I222" s="763">
        <f>IFERROR(VLOOKUP(M222,'02. MM-KLH'!$B$6:$U$823,20,0),"")</f>
        <v>0</v>
      </c>
      <c r="J222" s="613" t="str">
        <f>IFERROR(VLOOKUP(M222,'02. MM-KLH'!$B$6:$T$823,19,0),"")</f>
        <v>PE4045D043015</v>
      </c>
      <c r="K222" s="613" t="str">
        <f>IFERROR(VLOOKUP(M222,'02. MM-KLH'!$B$6:$T$823,18,0),"")</f>
        <v>54110883Y</v>
      </c>
      <c r="L222" s="353">
        <f>IFERROR(VLOOKUP(M222,'02. MM-KLH'!$B$6:$T$823,4,0),"")</f>
        <v>0</v>
      </c>
      <c r="M222" s="49" t="s">
        <v>1876</v>
      </c>
      <c r="N222" s="356">
        <f>IFERROR(VLOOKUP(M222,'02. MM-KLH'!$B$6:$T$823,15,0),"")</f>
        <v>2004</v>
      </c>
      <c r="O222" s="764" t="str">
        <f>IFERROR(VLOOKUP(M222,'02. MM-KLH'!$B$6:$T$823,9,0),"")</f>
        <v>30/08/2024</v>
      </c>
      <c r="P222" s="353"/>
      <c r="Q222" s="353" t="s">
        <v>1755</v>
      </c>
      <c r="R222" s="353"/>
      <c r="S222" s="353" t="s">
        <v>5978</v>
      </c>
      <c r="T222" s="353"/>
      <c r="U222" s="353" t="str">
        <f>IFERROR(VLOOKUP(M222,'02. MM-KLH'!$B$6:$T$823,5,0),"")</f>
        <v>MỚI (ĐQSD)</v>
      </c>
      <c r="V222" s="731" t="str">
        <f>IFERROR(VLOOKUP(M222,'02. MM-KLH'!$B$6:$T$823,8,0),"")</f>
        <v>XN Bò AD</v>
      </c>
      <c r="W222" s="353" t="str">
        <f>IFERROR(VLOOKUP(V222,'NS QUẢN LÝ CG'!$A$4:$D$36,2,0),"")</f>
        <v/>
      </c>
      <c r="X222" s="353" t="str">
        <f>IFERROR(VLOOKUP(V222,'NS QUẢN LÝ CG'!$A$4:$D$36,4,0),"")</f>
        <v/>
      </c>
      <c r="Y222" s="353" t="str">
        <f>IFERROR(VLOOKUP(V222,'NS QUẢN LÝ CG'!$A$4:$C$36,3,0),"")</f>
        <v/>
      </c>
      <c r="Z222" s="731" t="str">
        <f>IFERROR(VLOOKUP(M222,'02. MM-KLH'!$B$6:$T$823,3,0),"")</f>
        <v>A22-MKE-053</v>
      </c>
      <c r="AA222" s="353" t="str">
        <f t="shared" si="13"/>
        <v>ADM</v>
      </c>
      <c r="AB222" s="731"/>
      <c r="AC222" s="731"/>
    </row>
    <row r="223" ht="13.8" spans="1:29">
      <c r="A223" s="731"/>
      <c r="B223" s="613" t="str">
        <f>IFERROR(VLOOKUP(M223,'02. MM-KLH'!$B$6:$T$823,6,0),"")</f>
        <v>Máy cày JD 5510</v>
      </c>
      <c r="C223" s="353">
        <v>1</v>
      </c>
      <c r="D223" s="353">
        <f>IFERROR(VLOOKUP(M223,'02. MM-KLH'!$B$6:$T$823,16,0),"")</f>
        <v>5510</v>
      </c>
      <c r="E223" s="353" t="s">
        <v>5978</v>
      </c>
      <c r="F223" s="353"/>
      <c r="G223" s="353"/>
      <c r="H223" s="353" t="str">
        <f>IFERROR(VLOOKUP(M223,'02. MM-KLH'!$B$6:$T$823,17,0),"")</f>
        <v>89HP</v>
      </c>
      <c r="I223" s="763">
        <f>IFERROR(VLOOKUP(M223,'02. MM-KLH'!$B$6:$U$823,20,0),"")</f>
        <v>0</v>
      </c>
      <c r="J223" s="613" t="str">
        <f>IFERROR(VLOOKUP(M223,'02. MM-KLH'!$B$6:$T$823,19,0),"")</f>
        <v>PE4045D043101</v>
      </c>
      <c r="K223" s="613" t="str">
        <f>IFERROR(VLOOKUP(M223,'02. MM-KLH'!$B$6:$T$823,18,0),"")</f>
        <v>54110015Y</v>
      </c>
      <c r="L223" s="353">
        <f>IFERROR(VLOOKUP(M223,'02. MM-KLH'!$B$6:$T$823,4,0),"")</f>
        <v>0</v>
      </c>
      <c r="M223" s="49" t="s">
        <v>1881</v>
      </c>
      <c r="N223" s="356">
        <f>IFERROR(VLOOKUP(M223,'02. MM-KLH'!$B$6:$T$823,15,0),"")</f>
        <v>2004</v>
      </c>
      <c r="O223" s="764" t="str">
        <f>IFERROR(VLOOKUP(M223,'02. MM-KLH'!$B$6:$T$823,9,0),"")</f>
        <v>30/08/2024</v>
      </c>
      <c r="P223" s="353"/>
      <c r="Q223" s="353" t="s">
        <v>1755</v>
      </c>
      <c r="R223" s="353"/>
      <c r="S223" s="353" t="s">
        <v>5978</v>
      </c>
      <c r="T223" s="353"/>
      <c r="U223" s="353" t="str">
        <f>IFERROR(VLOOKUP(M223,'02. MM-KLH'!$B$6:$T$823,5,0),"")</f>
        <v>MỚI (ĐQSD)</v>
      </c>
      <c r="V223" s="731" t="str">
        <f>IFERROR(VLOOKUP(M223,'02. MM-KLH'!$B$6:$T$823,8,0),"")</f>
        <v>XN Bò AD</v>
      </c>
      <c r="W223" s="353" t="str">
        <f>IFERROR(VLOOKUP(V223,'NS QUẢN LÝ CG'!$A$4:$D$36,2,0),"")</f>
        <v/>
      </c>
      <c r="X223" s="353" t="str">
        <f>IFERROR(VLOOKUP(V223,'NS QUẢN LÝ CG'!$A$4:$D$36,4,0),"")</f>
        <v/>
      </c>
      <c r="Y223" s="353" t="str">
        <f>IFERROR(VLOOKUP(V223,'NS QUẢN LÝ CG'!$A$4:$C$36,3,0),"")</f>
        <v/>
      </c>
      <c r="Z223" s="731" t="str">
        <f>IFERROR(VLOOKUP(M223,'02. MM-KLH'!$B$6:$T$823,3,0),"")</f>
        <v>A22-MKE-054</v>
      </c>
      <c r="AA223" s="353" t="str">
        <f t="shared" si="13"/>
        <v>ADM</v>
      </c>
      <c r="AB223" s="731"/>
      <c r="AC223" s="731"/>
    </row>
    <row r="224" ht="13.8" spans="1:29">
      <c r="A224" s="731"/>
      <c r="B224" s="613" t="str">
        <f>IFERROR(VLOOKUP(M224,'02. MM-KLH'!$B$6:$T$823,6,0),"")</f>
        <v>Máy cày JD 5425</v>
      </c>
      <c r="C224" s="353">
        <v>1</v>
      </c>
      <c r="D224" s="353">
        <f>IFERROR(VLOOKUP(M224,'02. MM-KLH'!$B$6:$T$823,16,0),"")</f>
        <v>5425</v>
      </c>
      <c r="E224" s="353" t="s">
        <v>5978</v>
      </c>
      <c r="F224" s="353"/>
      <c r="G224" s="353"/>
      <c r="H224" s="353" t="str">
        <f>IFERROR(VLOOKUP(M224,'02. MM-KLH'!$B$6:$T$823,17,0),"")</f>
        <v>81HP</v>
      </c>
      <c r="I224" s="763">
        <f>IFERROR(VLOOKUP(M224,'02. MM-KLH'!$B$6:$U$823,20,0),"")</f>
        <v>0</v>
      </c>
      <c r="J224" s="613" t="str">
        <f>IFERROR(VLOOKUP(M224,'02. MM-KLH'!$B$6:$T$823,19,0),"")</f>
        <v>PE4045T722734</v>
      </c>
      <c r="K224" s="613" t="str">
        <f>IFERROR(VLOOKUP(M224,'02. MM-KLH'!$B$6:$T$823,18,0),"")</f>
        <v>542510101Y</v>
      </c>
      <c r="L224" s="353">
        <f>IFERROR(VLOOKUP(M224,'02. MM-KLH'!$B$6:$T$823,4,0),"")</f>
        <v>0</v>
      </c>
      <c r="M224" s="49" t="s">
        <v>1887</v>
      </c>
      <c r="N224" s="356">
        <f>IFERROR(VLOOKUP(M224,'02. MM-KLH'!$B$6:$T$823,15,0),"")</f>
        <v>2006</v>
      </c>
      <c r="O224" s="764">
        <f>IFERROR(VLOOKUP(M224,'02. MM-KLH'!$B$6:$T$823,9,0),"")</f>
        <v>45360</v>
      </c>
      <c r="P224" s="353"/>
      <c r="Q224" s="353" t="s">
        <v>1755</v>
      </c>
      <c r="R224" s="353"/>
      <c r="S224" s="353" t="s">
        <v>5978</v>
      </c>
      <c r="T224" s="353"/>
      <c r="U224" s="353" t="str">
        <f>IFERROR(VLOOKUP(M224,'02. MM-KLH'!$B$6:$T$823,5,0),"")</f>
        <v>MỚI (ĐQSD)</v>
      </c>
      <c r="V224" s="731" t="str">
        <f>IFERROR(VLOOKUP(M224,'02. MM-KLH'!$B$6:$T$823,8,0),"")</f>
        <v>XN Bò AD</v>
      </c>
      <c r="W224" s="353" t="str">
        <f>IFERROR(VLOOKUP(V224,'NS QUẢN LÝ CG'!$A$4:$D$36,2,0),"")</f>
        <v/>
      </c>
      <c r="X224" s="353" t="str">
        <f>IFERROR(VLOOKUP(V224,'NS QUẢN LÝ CG'!$A$4:$D$36,4,0),"")</f>
        <v/>
      </c>
      <c r="Y224" s="353" t="str">
        <f>IFERROR(VLOOKUP(V224,'NS QUẢN LÝ CG'!$A$4:$C$36,3,0),"")</f>
        <v/>
      </c>
      <c r="Z224" s="731" t="str">
        <f>IFERROR(VLOOKUP(M224,'02. MM-KLH'!$B$6:$T$823,3,0),"")</f>
        <v>A22-MKE-056</v>
      </c>
      <c r="AA224" s="353" t="str">
        <f t="shared" si="13"/>
        <v>ADM</v>
      </c>
      <c r="AB224" s="731"/>
      <c r="AC224" s="731"/>
    </row>
    <row r="225" ht="13.8" spans="1:29">
      <c r="A225" s="731"/>
      <c r="B225" s="613"/>
      <c r="C225" s="353"/>
      <c r="D225" s="353"/>
      <c r="E225" s="353"/>
      <c r="F225" s="353"/>
      <c r="G225" s="353"/>
      <c r="H225" s="353"/>
      <c r="I225" s="763"/>
      <c r="J225" s="613"/>
      <c r="K225" s="613"/>
      <c r="L225" s="353"/>
      <c r="M225" s="49"/>
      <c r="N225" s="356"/>
      <c r="O225" s="764"/>
      <c r="P225" s="353"/>
      <c r="Q225" s="353"/>
      <c r="R225" s="353"/>
      <c r="S225" s="353"/>
      <c r="T225" s="353"/>
      <c r="U225" s="353"/>
      <c r="V225" s="731"/>
      <c r="W225" s="353" t="str">
        <f>IFERROR(VLOOKUP(V225,'NS QUẢN LÝ CG'!$A$4:$D$36,2,0),"")</f>
        <v/>
      </c>
      <c r="X225" s="353" t="str">
        <f>IFERROR(VLOOKUP(V225,'NS QUẢN LÝ CG'!$A$4:$D$36,4,0),"")</f>
        <v/>
      </c>
      <c r="Y225" s="353"/>
      <c r="Z225" s="731"/>
      <c r="AA225" s="353"/>
      <c r="AB225" s="731"/>
      <c r="AC225" s="731"/>
    </row>
    <row r="226" ht="13.8" hidden="1" spans="1:29">
      <c r="A226" s="731"/>
      <c r="B226" s="613"/>
      <c r="C226" s="353"/>
      <c r="D226" s="353"/>
      <c r="E226" s="353"/>
      <c r="F226" s="353"/>
      <c r="G226" s="353"/>
      <c r="H226" s="353"/>
      <c r="I226" s="763"/>
      <c r="J226" s="613"/>
      <c r="K226" s="613"/>
      <c r="L226" s="353"/>
      <c r="M226" s="49"/>
      <c r="N226" s="356"/>
      <c r="O226" s="764"/>
      <c r="P226" s="353"/>
      <c r="Q226" s="353"/>
      <c r="R226" s="353"/>
      <c r="S226" s="353"/>
      <c r="T226" s="353"/>
      <c r="U226" s="353"/>
      <c r="V226" s="731"/>
      <c r="W226" s="353"/>
      <c r="X226" s="353"/>
      <c r="Y226" s="353"/>
      <c r="Z226" s="731"/>
      <c r="AA226" s="353"/>
      <c r="AB226" s="731"/>
      <c r="AC226" s="731"/>
    </row>
    <row r="227" ht="13.8" hidden="1" spans="1:29">
      <c r="A227" s="731"/>
      <c r="B227" s="613"/>
      <c r="C227" s="353"/>
      <c r="D227" s="353"/>
      <c r="E227" s="353"/>
      <c r="F227" s="353"/>
      <c r="G227" s="353"/>
      <c r="H227" s="353"/>
      <c r="I227" s="763"/>
      <c r="J227" s="613"/>
      <c r="K227" s="613"/>
      <c r="L227" s="353"/>
      <c r="M227" s="49"/>
      <c r="N227" s="356"/>
      <c r="O227" s="764"/>
      <c r="P227" s="353"/>
      <c r="Q227" s="353"/>
      <c r="R227" s="353"/>
      <c r="S227" s="353"/>
      <c r="T227" s="353"/>
      <c r="U227" s="353"/>
      <c r="V227" s="731"/>
      <c r="W227" s="353"/>
      <c r="X227" s="353"/>
      <c r="Y227" s="353"/>
      <c r="Z227" s="731"/>
      <c r="AA227" s="353"/>
      <c r="AB227" s="731"/>
      <c r="AC227" s="731"/>
    </row>
    <row r="228" ht="13.8" spans="1:29">
      <c r="A228" s="754">
        <v>2</v>
      </c>
      <c r="B228" s="755" t="s">
        <v>1015</v>
      </c>
      <c r="C228" s="754">
        <f>COUNTA(B229:B250)</f>
        <v>22</v>
      </c>
      <c r="D228" s="756"/>
      <c r="E228" s="756"/>
      <c r="F228" s="756"/>
      <c r="G228" s="756"/>
      <c r="H228" s="762"/>
      <c r="I228" s="762"/>
      <c r="J228" s="758"/>
      <c r="K228" s="758"/>
      <c r="L228" s="756"/>
      <c r="M228" s="756"/>
      <c r="N228" s="756"/>
      <c r="O228" s="760"/>
      <c r="P228" s="756"/>
      <c r="Q228" s="756"/>
      <c r="R228" s="756"/>
      <c r="S228" s="756"/>
      <c r="T228" s="756"/>
      <c r="U228" s="756"/>
      <c r="V228" s="762"/>
      <c r="W228" s="756"/>
      <c r="X228" s="756"/>
      <c r="Y228" s="756"/>
      <c r="Z228" s="762"/>
      <c r="AA228" s="756"/>
      <c r="AB228" s="762"/>
      <c r="AC228" s="762"/>
    </row>
    <row r="229" ht="13.8" spans="1:29">
      <c r="A229" s="731"/>
      <c r="B229" s="613" t="str">
        <f>IFERROR(VLOOKUP(M229,'02. MM-KLH'!$B$6:$T$823,6,0),"")</f>
        <v>Máy cày LOVOL 1504</v>
      </c>
      <c r="C229" s="353">
        <v>1</v>
      </c>
      <c r="D229" s="353">
        <f>IFERROR(VLOOKUP(M229,'02. MM-KLH'!$B$6:$T$823,16,0),"")</f>
        <v>1504</v>
      </c>
      <c r="E229" s="353" t="s">
        <v>5978</v>
      </c>
      <c r="F229" s="353"/>
      <c r="G229" s="353"/>
      <c r="H229" s="353" t="str">
        <f>IFERROR(VLOOKUP(M229,'02. MM-KLH'!$B$6:$T$823,17,0),"")</f>
        <v>150HP</v>
      </c>
      <c r="I229" s="763">
        <f>IFERROR(VLOOKUP(M229,'02. MM-KLH'!$B$6:$U$823,20,0),"")</f>
        <v>13</v>
      </c>
      <c r="J229" s="613" t="str">
        <f>IFERROR(VLOOKUP(M229,'02. MM-KLH'!$B$6:$T$823,19,0),"")</f>
        <v>WP6G180E3306P25J023348</v>
      </c>
      <c r="K229" s="613" t="str">
        <f>IFERROR(VLOOKUP(M229,'02. MM-KLH'!$B$6:$T$823,18,0),"")</f>
        <v>M600279SX</v>
      </c>
      <c r="L229" s="353">
        <f>IFERROR(VLOOKUP(M229,'02. MM-KLH'!$B$6:$T$823,4,0),"")</f>
        <v>0</v>
      </c>
      <c r="M229" s="49" t="s">
        <v>1012</v>
      </c>
      <c r="N229" s="356">
        <f>IFERROR(VLOOKUP(M229,'02. MM-KLH'!$B$6:$T$823,15,0),"")</f>
        <v>2025</v>
      </c>
      <c r="O229" s="764" t="str">
        <f>IFERROR(VLOOKUP(M229,'02. MM-KLH'!$B$6:$T$823,9,0),"")</f>
        <v>18/12/2025</v>
      </c>
      <c r="P229" s="21"/>
      <c r="Q229" s="353">
        <v>1387</v>
      </c>
      <c r="R229" s="353" t="s">
        <v>5978</v>
      </c>
      <c r="S229" s="353"/>
      <c r="T229" s="353"/>
      <c r="U229" s="353" t="str">
        <f>IFERROR(VLOOKUP(M229,'02. MM-KLH'!$B$6:$T$823,5,0),"")</f>
        <v>MỚI</v>
      </c>
      <c r="V229" s="731" t="str">
        <f>IFERROR(VLOOKUP(M229,'02. MM-KLH'!$B$6:$T$823,8,0),"")</f>
        <v>CGLĐ DP</v>
      </c>
      <c r="W229" s="353" t="str">
        <f>IFERROR(VLOOKUP(V229,'NS QUẢN LÝ CG'!$A$4:$D$36,2,0),"")</f>
        <v>Nguyễn Tấn Triều</v>
      </c>
      <c r="X229" s="353" t="str">
        <f>IFERROR(VLOOKUP(V229,'NS QUẢN LÝ CG'!$A$4:$D$36,4,0),"")</f>
        <v>Lô 85 DP4</v>
      </c>
      <c r="Y229" s="1104" t="str">
        <f>IFERROR(VLOOKUP(V229,'NS QUẢN LÝ CG'!$A$4:$C$36,3,0),"")</f>
        <v>05974160290</v>
      </c>
      <c r="Z229" s="731" t="str">
        <f>IFERROR(VLOOKUP(M229,'02. MM-KLH'!$B$6:$T$823,3,0),"")</f>
        <v>A22-MKE-060</v>
      </c>
      <c r="AA229" s="353" t="str">
        <f t="shared" ref="AA229:AA247" si="14">_xlfn.SWITCH(LEFT(Z229,3),"A22","ADM","A23","DP","A24","LP","")</f>
        <v>ADM</v>
      </c>
      <c r="AB229" s="731"/>
      <c r="AC229" s="731"/>
    </row>
    <row r="230" ht="13.8" spans="1:29">
      <c r="A230" s="731"/>
      <c r="B230" s="613" t="str">
        <f>IFERROR(VLOOKUP(M230,'02. MM-KLH'!$B$6:$T$823,6,0),"")</f>
        <v>Máy cày LOVOL 1504</v>
      </c>
      <c r="C230" s="353">
        <v>1</v>
      </c>
      <c r="D230" s="353">
        <f>IFERROR(VLOOKUP(M230,'02. MM-KLH'!$B$6:$T$823,16,0),"")</f>
        <v>1504</v>
      </c>
      <c r="E230" s="353" t="s">
        <v>5978</v>
      </c>
      <c r="F230" s="353"/>
      <c r="G230" s="353"/>
      <c r="H230" s="353" t="str">
        <f>IFERROR(VLOOKUP(M230,'02. MM-KLH'!$B$6:$T$823,17,0),"")</f>
        <v>147HP</v>
      </c>
      <c r="I230" s="763">
        <f>IFERROR(VLOOKUP(M230,'02. MM-KLH'!$B$6:$U$823,20,0),"")</f>
        <v>13</v>
      </c>
      <c r="J230" s="613" t="str">
        <f>IFERROR(VLOOKUP(M230,'02. MM-KLH'!$B$6:$T$823,19,0),"")</f>
        <v>CCN</v>
      </c>
      <c r="K230" s="613" t="str">
        <f>IFERROR(VLOOKUP(M230,'02. MM-KLH'!$B$6:$T$823,18,0),"")</f>
        <v>6P23C005870</v>
      </c>
      <c r="L230" s="353">
        <f>IFERROR(VLOOKUP(M230,'02. MM-KLH'!$B$6:$T$823,4,0),"")</f>
        <v>0</v>
      </c>
      <c r="M230" s="49" t="s">
        <v>1070</v>
      </c>
      <c r="N230" s="356">
        <f>IFERROR(VLOOKUP(M230,'02. MM-KLH'!$B$6:$T$823,15,0),"")</f>
        <v>2024</v>
      </c>
      <c r="O230" s="764" t="str">
        <f>IFERROR(VLOOKUP(M230,'02. MM-KLH'!$B$6:$T$823,9,0),"")</f>
        <v>25/10/2024</v>
      </c>
      <c r="P230" s="21"/>
      <c r="Q230" s="353">
        <v>3224</v>
      </c>
      <c r="R230" s="353" t="s">
        <v>5978</v>
      </c>
      <c r="S230" s="353"/>
      <c r="T230" s="353"/>
      <c r="U230" s="353" t="str">
        <f>IFERROR(VLOOKUP(M230,'02. MM-KLH'!$B$6:$T$823,5,0),"")</f>
        <v>MỚI </v>
      </c>
      <c r="V230" s="731" t="str">
        <f>IFERROR(VLOOKUP(M230,'02. MM-KLH'!$B$6:$T$823,8,0),"")</f>
        <v>CGLĐ LP</v>
      </c>
      <c r="W230" s="353" t="str">
        <f>IFERROR(VLOOKUP(V230,'NS QUẢN LÝ CG'!$A$4:$D$36,2,0),"")</f>
        <v>Nguyễn Tấn Triều</v>
      </c>
      <c r="X230" s="353" t="str">
        <f>IFERROR(VLOOKUP(V230,'NS QUẢN LÝ CG'!$A$4:$D$36,4,0),"")</f>
        <v>LP3.5-LP3</v>
      </c>
      <c r="Y230" s="1104" t="str">
        <f>IFERROR(VLOOKUP(V230,'NS QUẢN LÝ CG'!$A$4:$C$36,3,0),"")</f>
        <v>05974160290</v>
      </c>
      <c r="Z230" s="731" t="str">
        <f>IFERROR(VLOOKUP(M230,'02. MM-KLH'!$B$6:$T$823,3,0),"")</f>
        <v>A22-MKE-042</v>
      </c>
      <c r="AA230" s="353" t="str">
        <f t="shared" si="14"/>
        <v>ADM</v>
      </c>
      <c r="AB230" s="731"/>
      <c r="AC230" s="731"/>
    </row>
    <row r="231" ht="13.8" spans="1:29">
      <c r="A231" s="731"/>
      <c r="B231" s="613" t="str">
        <f>IFERROR(VLOOKUP(M231,'02. MM-KLH'!$B$6:$T$823,6,0),"")</f>
        <v>Máy cày LOVOL 1504</v>
      </c>
      <c r="C231" s="353">
        <v>1</v>
      </c>
      <c r="D231" s="353">
        <f>IFERROR(VLOOKUP(M231,'02. MM-KLH'!$B$6:$T$823,16,0),"")</f>
        <v>1504</v>
      </c>
      <c r="E231" s="353" t="s">
        <v>5978</v>
      </c>
      <c r="F231" s="353"/>
      <c r="G231" s="353"/>
      <c r="H231" s="353" t="str">
        <f>IFERROR(VLOOKUP(M231,'02. MM-KLH'!$B$6:$T$823,17,0),"")</f>
        <v>150HP</v>
      </c>
      <c r="I231" s="763">
        <f>IFERROR(VLOOKUP(M231,'02. MM-KLH'!$B$6:$U$823,20,0),"")</f>
        <v>13</v>
      </c>
      <c r="J231" s="613" t="str">
        <f>IFERROR(VLOOKUP(M231,'02. MM-KLH'!$B$6:$T$823,19,0),"")</f>
        <v>WP6G180E3306P25J023351</v>
      </c>
      <c r="K231" s="613" t="str">
        <f>IFERROR(VLOOKUP(M231,'02. MM-KLH'!$B$6:$T$823,18,0),"")</f>
        <v>M600277SU</v>
      </c>
      <c r="L231" s="353">
        <f>IFERROR(VLOOKUP(M231,'02. MM-KLH'!$B$6:$T$823,4,0),"")</f>
        <v>0</v>
      </c>
      <c r="M231" s="49" t="s">
        <v>1095</v>
      </c>
      <c r="N231" s="356">
        <f>IFERROR(VLOOKUP(M231,'02. MM-KLH'!$B$6:$T$823,15,0),"")</f>
        <v>2025</v>
      </c>
      <c r="O231" s="764" t="str">
        <f>IFERROR(VLOOKUP(M231,'02. MM-KLH'!$B$6:$T$823,9,0),"")</f>
        <v>18/12/2025</v>
      </c>
      <c r="P231" s="21"/>
      <c r="Q231" s="353">
        <v>1272</v>
      </c>
      <c r="R231" s="353" t="s">
        <v>5978</v>
      </c>
      <c r="S231" s="353"/>
      <c r="T231" s="353"/>
      <c r="U231" s="353" t="str">
        <f>IFERROR(VLOOKUP(M231,'02. MM-KLH'!$B$6:$T$823,5,0),"")</f>
        <v>MỚI </v>
      </c>
      <c r="V231" s="731" t="str">
        <f>IFERROR(VLOOKUP(M231,'02. MM-KLH'!$B$6:$T$823,8,0),"")</f>
        <v>CGLĐ LP</v>
      </c>
      <c r="W231" s="353" t="str">
        <f>IFERROR(VLOOKUP(V231,'NS QUẢN LÝ CG'!$A$4:$D$36,2,0),"")</f>
        <v>Nguyễn Tấn Triều</v>
      </c>
      <c r="X231" s="353" t="str">
        <f>IFERROR(VLOOKUP(V231,'NS QUẢN LÝ CG'!$A$4:$D$36,4,0),"")</f>
        <v>LP3.5-LP3</v>
      </c>
      <c r="Y231" s="1104" t="str">
        <f>IFERROR(VLOOKUP(V231,'NS QUẢN LÝ CG'!$A$4:$C$36,3,0),"")</f>
        <v>05974160290</v>
      </c>
      <c r="Z231" s="731" t="str">
        <f>IFERROR(VLOOKUP(M231,'02. MM-KLH'!$B$6:$T$823,3,0),"")</f>
        <v>A22-MKE-058</v>
      </c>
      <c r="AA231" s="353" t="str">
        <f t="shared" si="14"/>
        <v>ADM</v>
      </c>
      <c r="AB231" s="731"/>
      <c r="AC231" s="731"/>
    </row>
    <row r="232" ht="13.8" spans="1:29">
      <c r="A232" s="731"/>
      <c r="B232" s="613" t="str">
        <f>IFERROR(VLOOKUP(M232,'02. MM-KLH'!$B$6:$T$823,6,0),"")</f>
        <v>Máy cày LOVOL 1504</v>
      </c>
      <c r="C232" s="353">
        <v>1</v>
      </c>
      <c r="D232" s="353">
        <f>IFERROR(VLOOKUP(M232,'02. MM-KLH'!$B$6:$T$823,16,0),"")</f>
        <v>1504</v>
      </c>
      <c r="E232" s="353" t="s">
        <v>5978</v>
      </c>
      <c r="F232" s="353"/>
      <c r="G232" s="353"/>
      <c r="H232" s="353" t="str">
        <f>IFERROR(VLOOKUP(M232,'02. MM-KLH'!$B$6:$T$823,17,0),"")</f>
        <v>150HP</v>
      </c>
      <c r="I232" s="763">
        <f>IFERROR(VLOOKUP(M232,'02. MM-KLH'!$B$6:$U$823,20,0),"")</f>
        <v>13</v>
      </c>
      <c r="J232" s="613" t="str">
        <f>IFERROR(VLOOKUP(M232,'02. MM-KLH'!$B$6:$T$823,19,0),"")</f>
        <v>WP6G180E3306P25J023349</v>
      </c>
      <c r="K232" s="613" t="str">
        <f>IFERROR(VLOOKUP(M232,'02. MM-KLH'!$B$6:$T$823,18,0),"")</f>
        <v>M600278SX</v>
      </c>
      <c r="L232" s="353">
        <f>IFERROR(VLOOKUP(M232,'02. MM-KLH'!$B$6:$T$823,4,0),"")</f>
        <v>0</v>
      </c>
      <c r="M232" s="49" t="s">
        <v>1945</v>
      </c>
      <c r="N232" s="356">
        <f>IFERROR(VLOOKUP(M232,'02. MM-KLH'!$B$6:$T$823,15,0),"")</f>
        <v>2025</v>
      </c>
      <c r="O232" s="764" t="str">
        <f>IFERROR(VLOOKUP(M232,'02. MM-KLH'!$B$6:$T$823,9,0),"")</f>
        <v>18/12/2025</v>
      </c>
      <c r="P232" s="353"/>
      <c r="Q232" s="353" t="s">
        <v>5988</v>
      </c>
      <c r="R232" s="353" t="s">
        <v>5978</v>
      </c>
      <c r="S232" s="353"/>
      <c r="T232" s="353"/>
      <c r="U232" s="353" t="str">
        <f>IFERROR(VLOOKUP(M232,'02. MM-KLH'!$B$6:$T$823,5,0),"")</f>
        <v>MỚI</v>
      </c>
      <c r="V232" s="731" t="str">
        <f>IFERROR(VLOOKUP(M232,'02. MM-KLH'!$B$6:$T$823,8,0),"")</f>
        <v>XN Bò AD</v>
      </c>
      <c r="W232" s="353" t="str">
        <f>IFERROR(VLOOKUP(V232,'NS QUẢN LÝ CG'!$A$4:$D$36,2,0),"")</f>
        <v/>
      </c>
      <c r="X232" s="353" t="str">
        <f>IFERROR(VLOOKUP(V232,'NS QUẢN LÝ CG'!$A$4:$D$36,4,0),"")</f>
        <v/>
      </c>
      <c r="Y232" s="353" t="str">
        <f>IFERROR(VLOOKUP(V232,'NS QUẢN LÝ CG'!$A$4:$C$36,3,0),"")</f>
        <v/>
      </c>
      <c r="Z232" s="731" t="str">
        <f>IFERROR(VLOOKUP(M232,'02. MM-KLH'!$B$6:$T$823,3,0),"")</f>
        <v>A22-MKE-059</v>
      </c>
      <c r="AA232" s="353" t="str">
        <f t="shared" si="14"/>
        <v>ADM</v>
      </c>
      <c r="AB232" s="731"/>
      <c r="AC232" s="731"/>
    </row>
    <row r="233" ht="13.8" spans="1:29">
      <c r="A233" s="731"/>
      <c r="B233" s="613" t="str">
        <f>IFERROR(VLOOKUP(M233,'02. MM-KLH'!$B$6:$T$823,6,0),"")</f>
        <v>Máy cày LOVOL 1504</v>
      </c>
      <c r="C233" s="353">
        <v>1</v>
      </c>
      <c r="D233" s="353">
        <f>IFERROR(VLOOKUP(M233,'02. MM-KLH'!$B$6:$T$823,16,0),"")</f>
        <v>1504</v>
      </c>
      <c r="E233" s="353" t="s">
        <v>5978</v>
      </c>
      <c r="F233" s="353"/>
      <c r="G233" s="353"/>
      <c r="H233" s="353" t="str">
        <f>IFERROR(VLOOKUP(M233,'02. MM-KLH'!$B$6:$T$823,17,0),"")</f>
        <v>150HP</v>
      </c>
      <c r="I233" s="763">
        <f>IFERROR(VLOOKUP(M233,'02. MM-KLH'!$B$6:$U$823,20,0),"")</f>
        <v>13</v>
      </c>
      <c r="J233" s="613" t="str">
        <f>IFERROR(VLOOKUP(M233,'02. MM-KLH'!$B$6:$T$823,19,0),"")</f>
        <v>WP6G180E3306P25J023350</v>
      </c>
      <c r="K233" s="613" t="str">
        <f>IFERROR(VLOOKUP(M233,'02. MM-KLH'!$B$6:$T$823,18,0),"")</f>
        <v>M600280SX</v>
      </c>
      <c r="L233" s="353">
        <f>IFERROR(VLOOKUP(M233,'02. MM-KLH'!$B$6:$T$823,4,0),"")</f>
        <v>0</v>
      </c>
      <c r="M233" s="49" t="s">
        <v>1953</v>
      </c>
      <c r="N233" s="356">
        <f>IFERROR(VLOOKUP(M233,'02. MM-KLH'!$B$6:$T$823,15,0),"")</f>
        <v>2025</v>
      </c>
      <c r="O233" s="764" t="str">
        <f>IFERROR(VLOOKUP(M233,'02. MM-KLH'!$B$6:$T$823,9,0),"")</f>
        <v>18/12/2025</v>
      </c>
      <c r="P233" s="353"/>
      <c r="Q233" s="353">
        <v>1224</v>
      </c>
      <c r="R233" s="353" t="s">
        <v>5978</v>
      </c>
      <c r="S233" s="353"/>
      <c r="T233" s="353"/>
      <c r="U233" s="353" t="str">
        <f>IFERROR(VLOOKUP(M233,'02. MM-KLH'!$B$6:$T$823,5,0),"")</f>
        <v>MỚI</v>
      </c>
      <c r="V233" s="731" t="str">
        <f>IFERROR(VLOOKUP(M233,'02. MM-KLH'!$B$6:$T$823,8,0),"")</f>
        <v>XN Bò AD</v>
      </c>
      <c r="W233" s="353" t="str">
        <f>IFERROR(VLOOKUP(V233,'NS QUẢN LÝ CG'!$A$4:$D$36,2,0),"")</f>
        <v/>
      </c>
      <c r="X233" s="353" t="str">
        <f>IFERROR(VLOOKUP(V233,'NS QUẢN LÝ CG'!$A$4:$D$36,4,0),"")</f>
        <v/>
      </c>
      <c r="Y233" s="353" t="str">
        <f>IFERROR(VLOOKUP(V233,'NS QUẢN LÝ CG'!$A$4:$C$36,3,0),"")</f>
        <v/>
      </c>
      <c r="Z233" s="731" t="str">
        <f>IFERROR(VLOOKUP(M233,'02. MM-KLH'!$B$6:$T$823,3,0),"")</f>
        <v>A22-MKE-061</v>
      </c>
      <c r="AA233" s="353" t="str">
        <f t="shared" si="14"/>
        <v>ADM</v>
      </c>
      <c r="AB233" s="731"/>
      <c r="AC233" s="731"/>
    </row>
    <row r="234" ht="13.8" spans="1:29">
      <c r="A234" s="731"/>
      <c r="B234" s="613" t="str">
        <f>IFERROR(VLOOKUP(M234,'02. MM-KLH'!$B$6:$T$823,6,0),"")</f>
        <v>Máy cày LOVOL TR1504</v>
      </c>
      <c r="C234" s="353">
        <v>1</v>
      </c>
      <c r="D234" s="353" t="str">
        <f>IFERROR(VLOOKUP(M234,'02. MM-KLH'!$B$6:$T$823,16,0),"")</f>
        <v>TR1504</v>
      </c>
      <c r="E234" s="353" t="s">
        <v>5978</v>
      </c>
      <c r="F234" s="353"/>
      <c r="G234" s="353"/>
      <c r="H234" s="353" t="str">
        <f>IFERROR(VLOOKUP(M234,'02. MM-KLH'!$B$6:$T$823,17,0),"")</f>
        <v>150 HP</v>
      </c>
      <c r="I234" s="763">
        <f>IFERROR(VLOOKUP(M234,'02. MM-KLH'!$B$6:$U$823,20,0),"")</f>
        <v>0</v>
      </c>
      <c r="J234" s="613" t="str">
        <f>IFERROR(VLOOKUP(M234,'02. MM-KLH'!$B$6:$T$823,19,0),"")</f>
        <v>6P26C009038</v>
      </c>
      <c r="K234" s="613" t="str">
        <f>IFERROR(VLOOKUP(M234,'02. MM-KLH'!$B$6:$T$823,18,0),"")</f>
        <v>M600086TY</v>
      </c>
      <c r="L234" s="353">
        <f>IFERROR(VLOOKUP(M234,'02. MM-KLH'!$B$6:$T$823,4,0),"")</f>
        <v>0</v>
      </c>
      <c r="M234" s="49" t="s">
        <v>2012</v>
      </c>
      <c r="N234" s="356">
        <f>IFERROR(VLOOKUP(M234,'02. MM-KLH'!$B$6:$T$823,15,0),"")</f>
        <v>2026</v>
      </c>
      <c r="O234" s="764" t="str">
        <f>IFERROR(VLOOKUP(M234,'02. MM-KLH'!$B$6:$T$823,9,0),"")</f>
        <v>28/05/2026</v>
      </c>
      <c r="P234" s="353"/>
      <c r="Q234" s="353">
        <v>375</v>
      </c>
      <c r="R234" s="353" t="s">
        <v>5978</v>
      </c>
      <c r="S234" s="353"/>
      <c r="T234" s="353"/>
      <c r="U234" s="353" t="str">
        <f>IFERROR(VLOOKUP(M234,'02. MM-KLH'!$B$6:$T$823,5,0),"")</f>
        <v>MỚI</v>
      </c>
      <c r="V234" s="731" t="str">
        <f>IFERROR(VLOOKUP(M234,'02. MM-KLH'!$B$6:$T$823,8,0),"")</f>
        <v>XN Bò AD</v>
      </c>
      <c r="W234" s="353" t="str">
        <f>IFERROR(VLOOKUP(V234,'NS QUẢN LÝ CG'!$A$4:$D$36,2,0),"")</f>
        <v/>
      </c>
      <c r="X234" s="353" t="str">
        <f>IFERROR(VLOOKUP(V234,'NS QUẢN LÝ CG'!$A$4:$D$36,4,0),"")</f>
        <v/>
      </c>
      <c r="Y234" s="353" t="str">
        <f>IFERROR(VLOOKUP(V234,'NS QUẢN LÝ CG'!$A$4:$C$36,3,0),"")</f>
        <v/>
      </c>
      <c r="Z234" s="731" t="str">
        <f>IFERROR(VLOOKUP(M234,'02. MM-KLH'!$B$6:$T$823,3,0),"")</f>
        <v>A23-MKE-039</v>
      </c>
      <c r="AA234" s="353" t="str">
        <f t="shared" si="14"/>
        <v>DP</v>
      </c>
      <c r="AB234" s="731"/>
      <c r="AC234" s="731"/>
    </row>
    <row r="235" ht="13.8" spans="1:29">
      <c r="A235" s="731"/>
      <c r="B235" s="613" t="str">
        <f>IFERROR(VLOOKUP(M235,'02. MM-KLH'!$B$6:$T$823,6,0),"")</f>
        <v>Máy cày LOVOL TR1504</v>
      </c>
      <c r="C235" s="353">
        <v>1</v>
      </c>
      <c r="D235" s="353" t="str">
        <f>IFERROR(VLOOKUP(M235,'02. MM-KLH'!$B$6:$T$823,16,0),"")</f>
        <v>TR1504</v>
      </c>
      <c r="E235" s="353" t="s">
        <v>5978</v>
      </c>
      <c r="F235" s="353"/>
      <c r="G235" s="353"/>
      <c r="H235" s="353" t="str">
        <f>IFERROR(VLOOKUP(M235,'02. MM-KLH'!$B$6:$T$823,17,0),"")</f>
        <v>150 HP</v>
      </c>
      <c r="I235" s="763">
        <f>IFERROR(VLOOKUP(M235,'02. MM-KLH'!$B$6:$U$823,20,0),"")</f>
        <v>0</v>
      </c>
      <c r="J235" s="613" t="str">
        <f>IFERROR(VLOOKUP(M235,'02. MM-KLH'!$B$6:$T$823,19,0),"")</f>
        <v>6P26C009039</v>
      </c>
      <c r="K235" s="613" t="str">
        <f>IFERROR(VLOOKUP(M235,'02. MM-KLH'!$B$6:$T$823,18,0),"")</f>
        <v>M600087TY</v>
      </c>
      <c r="L235" s="353">
        <f>IFERROR(VLOOKUP(M235,'02. MM-KLH'!$B$6:$T$823,4,0),"")</f>
        <v>0</v>
      </c>
      <c r="M235" s="49" t="s">
        <v>2019</v>
      </c>
      <c r="N235" s="356">
        <f>IFERROR(VLOOKUP(M235,'02. MM-KLH'!$B$6:$T$823,15,0),"")</f>
        <v>2026</v>
      </c>
      <c r="O235" s="764" t="str">
        <f>IFERROR(VLOOKUP(M235,'02. MM-KLH'!$B$6:$T$823,9,0),"")</f>
        <v>28/05/2026</v>
      </c>
      <c r="P235" s="353"/>
      <c r="Q235" s="353">
        <v>265</v>
      </c>
      <c r="R235" s="353" t="s">
        <v>5978</v>
      </c>
      <c r="S235" s="353"/>
      <c r="T235" s="353"/>
      <c r="U235" s="353" t="str">
        <f>IFERROR(VLOOKUP(M235,'02. MM-KLH'!$B$6:$T$823,5,0),"")</f>
        <v>MỚI</v>
      </c>
      <c r="V235" s="731" t="str">
        <f>IFERROR(VLOOKUP(M235,'02. MM-KLH'!$B$6:$T$823,8,0),"")</f>
        <v>XN Bò AD</v>
      </c>
      <c r="W235" s="353" t="str">
        <f>IFERROR(VLOOKUP(V235,'NS QUẢN LÝ CG'!$A$4:$D$36,2,0),"")</f>
        <v/>
      </c>
      <c r="X235" s="353" t="str">
        <f>IFERROR(VLOOKUP(V235,'NS QUẢN LÝ CG'!$A$4:$D$36,4,0),"")</f>
        <v/>
      </c>
      <c r="Y235" s="353" t="str">
        <f>IFERROR(VLOOKUP(V235,'NS QUẢN LÝ CG'!$A$4:$C$36,3,0),"")</f>
        <v/>
      </c>
      <c r="Z235" s="731" t="str">
        <f>IFERROR(VLOOKUP(M235,'02. MM-KLH'!$B$6:$T$823,3,0),"")</f>
        <v>A23-MKE-040</v>
      </c>
      <c r="AA235" s="353" t="str">
        <f t="shared" si="14"/>
        <v>DP</v>
      </c>
      <c r="AB235" s="731"/>
      <c r="AC235" s="731"/>
    </row>
    <row r="236" ht="13.8" spans="1:29">
      <c r="A236" s="731"/>
      <c r="B236" s="613" t="str">
        <f>IFERROR(VLOOKUP(M236,'02. MM-KLH'!$B$6:$T$823,6,0),"")</f>
        <v>Máy cày LOVOL TR1504</v>
      </c>
      <c r="C236" s="353">
        <v>1</v>
      </c>
      <c r="D236" s="353" t="str">
        <f>IFERROR(VLOOKUP(M236,'02. MM-KLH'!$B$6:$T$823,16,0),"")</f>
        <v>TR1504</v>
      </c>
      <c r="E236" s="353" t="s">
        <v>5978</v>
      </c>
      <c r="F236" s="353"/>
      <c r="G236" s="353"/>
      <c r="H236" s="353" t="str">
        <f>IFERROR(VLOOKUP(M236,'02. MM-KLH'!$B$6:$T$823,17,0),"")</f>
        <v>150 HP</v>
      </c>
      <c r="I236" s="763">
        <f>IFERROR(VLOOKUP(M236,'02. MM-KLH'!$B$6:$U$823,20,0),"")</f>
        <v>0</v>
      </c>
      <c r="J236" s="613" t="str">
        <f>IFERROR(VLOOKUP(M236,'02. MM-KLH'!$B$6:$T$823,19,0),"")</f>
        <v>6P26C009040</v>
      </c>
      <c r="K236" s="613" t="str">
        <f>IFERROR(VLOOKUP(M236,'02. MM-KLH'!$B$6:$T$823,18,0),"")</f>
        <v>M600088TY</v>
      </c>
      <c r="L236" s="353">
        <f>IFERROR(VLOOKUP(M236,'02. MM-KLH'!$B$6:$T$823,4,0),"")</f>
        <v>0</v>
      </c>
      <c r="M236" s="49" t="s">
        <v>2023</v>
      </c>
      <c r="N236" s="356">
        <f>IFERROR(VLOOKUP(M236,'02. MM-KLH'!$B$6:$T$823,15,0),"")</f>
        <v>2026</v>
      </c>
      <c r="O236" s="764" t="str">
        <f>IFERROR(VLOOKUP(M236,'02. MM-KLH'!$B$6:$T$823,9,0),"")</f>
        <v>28/05/2026</v>
      </c>
      <c r="P236" s="353"/>
      <c r="Q236" s="353">
        <v>495</v>
      </c>
      <c r="R236" s="353" t="s">
        <v>5978</v>
      </c>
      <c r="S236" s="353"/>
      <c r="T236" s="353"/>
      <c r="U236" s="353" t="str">
        <f>IFERROR(VLOOKUP(M236,'02. MM-KLH'!$B$6:$T$823,5,0),"")</f>
        <v>MỚI</v>
      </c>
      <c r="V236" s="731" t="str">
        <f>IFERROR(VLOOKUP(M236,'02. MM-KLH'!$B$6:$T$823,8,0),"")</f>
        <v>XN Bò AD</v>
      </c>
      <c r="W236" s="353" t="str">
        <f>IFERROR(VLOOKUP(V236,'NS QUẢN LÝ CG'!$A$4:$D$36,2,0),"")</f>
        <v/>
      </c>
      <c r="X236" s="353" t="str">
        <f>IFERROR(VLOOKUP(V236,'NS QUẢN LÝ CG'!$A$4:$D$36,4,0),"")</f>
        <v/>
      </c>
      <c r="Y236" s="353" t="str">
        <f>IFERROR(VLOOKUP(V236,'NS QUẢN LÝ CG'!$A$4:$C$36,3,0),"")</f>
        <v/>
      </c>
      <c r="Z236" s="731" t="str">
        <f>IFERROR(VLOOKUP(M236,'02. MM-KLH'!$B$6:$T$823,3,0),"")</f>
        <v>A23-MKE-041</v>
      </c>
      <c r="AA236" s="353" t="str">
        <f t="shared" si="14"/>
        <v>DP</v>
      </c>
      <c r="AB236" s="731"/>
      <c r="AC236" s="731"/>
    </row>
    <row r="237" ht="13.8" spans="1:29">
      <c r="A237" s="731"/>
      <c r="B237" s="613" t="str">
        <f>IFERROR(VLOOKUP(M237,'02. MM-KLH'!$B$6:$T$823,6,0),"")</f>
        <v>Máy cày LOVOL 2204</v>
      </c>
      <c r="C237" s="353">
        <v>1</v>
      </c>
      <c r="D237" s="353" t="str">
        <f>IFERROR(VLOOKUP(M237,'02. MM-KLH'!$B$6:$T$823,16,0),"")</f>
        <v>TR2204</v>
      </c>
      <c r="E237" s="353" t="s">
        <v>5978</v>
      </c>
      <c r="F237" s="353"/>
      <c r="G237" s="353"/>
      <c r="H237" s="353" t="str">
        <f>IFERROR(VLOOKUP(M237,'02. MM-KLH'!$B$6:$T$823,17,0),"")</f>
        <v>217HP</v>
      </c>
      <c r="I237" s="763">
        <f>IFERROR(VLOOKUP(M237,'02. MM-KLH'!$B$6:$U$823,20,0),"")</f>
        <v>17.5</v>
      </c>
      <c r="J237" s="613" t="str">
        <f>IFERROR(VLOOKUP(M237,'02. MM-KLH'!$B$6:$T$823,19,0),"")</f>
        <v>7324C004472</v>
      </c>
      <c r="K237" s="613" t="str">
        <f>IFERROR(VLOOKUP(M237,'02. MM-KLH'!$B$6:$T$823,18,0),"")</f>
        <v>M600085RM</v>
      </c>
      <c r="L237" s="353">
        <f>IFERROR(VLOOKUP(M237,'02. MM-KLH'!$B$6:$T$823,4,0),"")</f>
        <v>0</v>
      </c>
      <c r="M237" s="49" t="s">
        <v>1897</v>
      </c>
      <c r="N237" s="356">
        <f>IFERROR(VLOOKUP(M237,'02. MM-KLH'!$B$6:$T$823,15,0),"")</f>
        <v>2024</v>
      </c>
      <c r="O237" s="764" t="str">
        <f>IFERROR(VLOOKUP(M237,'02. MM-KLH'!$B$6:$T$823,9,0),"")</f>
        <v>26/10/2024</v>
      </c>
      <c r="P237" s="353"/>
      <c r="Q237" s="353" t="s">
        <v>1755</v>
      </c>
      <c r="R237" s="353"/>
      <c r="S237" s="353" t="s">
        <v>5978</v>
      </c>
      <c r="T237" s="353"/>
      <c r="U237" s="353" t="str">
        <f>IFERROR(VLOOKUP(M237,'02. MM-KLH'!$B$6:$T$823,5,0),"")</f>
        <v>MỚI</v>
      </c>
      <c r="V237" s="731" t="str">
        <f>IFERROR(VLOOKUP(M237,'02. MM-KLH'!$B$6:$T$823,8,0),"")</f>
        <v>XN Bò AD</v>
      </c>
      <c r="W237" s="353" t="str">
        <f>IFERROR(VLOOKUP(V237,'NS QUẢN LÝ CG'!$A$4:$D$36,2,0),"")</f>
        <v/>
      </c>
      <c r="X237" s="353" t="str">
        <f>IFERROR(VLOOKUP(V237,'NS QUẢN LÝ CG'!$A$4:$D$36,4,0),"")</f>
        <v/>
      </c>
      <c r="Y237" s="353" t="str">
        <f>IFERROR(VLOOKUP(V237,'NS QUẢN LÝ CG'!$A$4:$C$36,3,0),"")</f>
        <v/>
      </c>
      <c r="Z237" s="731" t="str">
        <f>IFERROR(VLOOKUP(M237,'02. MM-KLH'!$B$6:$T$823,3,0),"")</f>
        <v>A22-MKE-043</v>
      </c>
      <c r="AA237" s="353" t="str">
        <f t="shared" si="14"/>
        <v>ADM</v>
      </c>
      <c r="AB237" s="731"/>
      <c r="AC237" s="731"/>
    </row>
    <row r="238" ht="13.8" spans="1:29">
      <c r="A238" s="731"/>
      <c r="B238" s="613" t="str">
        <f>IFERROR(VLOOKUP(M238,'02. MM-KLH'!$B$6:$T$823,6,0),"")</f>
        <v>Máy cày LOVOL P3050</v>
      </c>
      <c r="C238" s="353">
        <v>1</v>
      </c>
      <c r="D238" s="353" t="str">
        <f>IFERROR(VLOOKUP(M238,'02. MM-KLH'!$B$6:$T$823,16,0),"")</f>
        <v>P3050</v>
      </c>
      <c r="E238" s="353" t="s">
        <v>5978</v>
      </c>
      <c r="F238" s="353"/>
      <c r="G238" s="353"/>
      <c r="H238" s="353" t="str">
        <f>IFERROR(VLOOKUP(M238,'02. MM-KLH'!$B$6:$T$823,17,0),"")</f>
        <v>47Hp</v>
      </c>
      <c r="I238" s="763">
        <f>IFERROR(VLOOKUP(M238,'02. MM-KLH'!$B$6:$U$823,20,0),"")</f>
        <v>3.3</v>
      </c>
      <c r="J238" s="613" t="str">
        <f>IFERROR(VLOOKUP(M238,'02. MM-KLH'!$B$6:$T$823,19,0),"")</f>
        <v>FTTP3A34VRS000231</v>
      </c>
      <c r="K238" s="613" t="str">
        <f>IFERROR(VLOOKUP(M238,'02. MM-KLH'!$B$6:$T$823,18,0),"")</f>
        <v>TY1S312020001K301198R03</v>
      </c>
      <c r="L238" s="353">
        <f>IFERROR(VLOOKUP(M238,'02. MM-KLH'!$B$6:$T$823,4,0),"")</f>
        <v>0</v>
      </c>
      <c r="M238" s="49" t="s">
        <v>1611</v>
      </c>
      <c r="N238" s="356">
        <f>IFERROR(VLOOKUP(M238,'02. MM-KLH'!$B$6:$T$823,15,0),"")</f>
        <v>2024</v>
      </c>
      <c r="O238" s="764" t="str">
        <f>IFERROR(VLOOKUP(M238,'02. MM-KLH'!$B$6:$T$823,9,0),"")</f>
        <v>18/05/2026</v>
      </c>
      <c r="P238" s="353"/>
      <c r="Q238" s="353">
        <v>25113</v>
      </c>
      <c r="R238" s="353" t="s">
        <v>5978</v>
      </c>
      <c r="S238" s="353"/>
      <c r="T238" s="353"/>
      <c r="U238" s="353" t="str">
        <f>IFERROR(VLOOKUP(M238,'02. MM-KLH'!$B$6:$T$823,5,0),"")</f>
        <v>MỚI</v>
      </c>
      <c r="V238" s="731" t="str">
        <f>IFERROR(VLOOKUP(M238,'02. MM-KLH'!$B$6:$T$823,8,0),"")</f>
        <v>XN Chuối LP3</v>
      </c>
      <c r="W238" s="353" t="str">
        <f>IFERROR(VLOOKUP(V238,'NS QUẢN LÝ CG'!$A$4:$D$36,2,0),"")</f>
        <v/>
      </c>
      <c r="X238" s="353" t="str">
        <f>IFERROR(VLOOKUP(V238,'NS QUẢN LÝ CG'!$A$4:$D$36,4,0),"")</f>
        <v/>
      </c>
      <c r="Y238" s="353" t="str">
        <f>IFERROR(VLOOKUP(V238,'NS QUẢN LÝ CG'!$A$4:$C$36,3,0),"")</f>
        <v/>
      </c>
      <c r="Z238" s="731" t="str">
        <f>IFERROR(VLOOKUP(M238,'02. MM-KLH'!$B$6:$T$823,3,0),"")</f>
        <v>A22-MKE-008</v>
      </c>
      <c r="AA238" s="353" t="str">
        <f t="shared" si="14"/>
        <v>ADM</v>
      </c>
      <c r="AB238" s="731"/>
      <c r="AC238" s="731"/>
    </row>
    <row r="239" ht="13.8" spans="1:29">
      <c r="A239" s="731"/>
      <c r="B239" s="613" t="str">
        <f>IFERROR(VLOOKUP(M239,'02. MM-KLH'!$B$6:$T$823,6,0),"")</f>
        <v>Máy cày LOVOL P4100</v>
      </c>
      <c r="C239" s="353">
        <v>1</v>
      </c>
      <c r="D239" s="353" t="str">
        <f>IFERROR(VLOOKUP(M239,'02. MM-KLH'!$B$6:$T$823,16,0),"")</f>
        <v>P4100</v>
      </c>
      <c r="E239" s="353" t="s">
        <v>5978</v>
      </c>
      <c r="F239" s="353"/>
      <c r="G239" s="353"/>
      <c r="H239" s="353" t="str">
        <f>IFERROR(VLOOKUP(M239,'02. MM-KLH'!$B$6:$T$823,17,0),"")</f>
        <v>98HP</v>
      </c>
      <c r="I239" s="763">
        <f>IFERROR(VLOOKUP(M239,'02. MM-KLH'!$B$6:$U$823,20,0),"")</f>
        <v>6</v>
      </c>
      <c r="J239" s="613" t="str">
        <f>IFERROR(VLOOKUP(M239,'02. MM-KLH'!$B$6:$T$823,19,0),"")</f>
        <v>P400120RV</v>
      </c>
      <c r="K239" s="613" t="str">
        <f>IFERROR(VLOOKUP(M239,'02. MM-KLH'!$B$6:$T$823,18,0),"")</f>
        <v>E424H012739</v>
      </c>
      <c r="L239" s="353">
        <f>IFERROR(VLOOKUP(M239,'02. MM-KLH'!$B$6:$T$823,4,0),"")</f>
        <v>0</v>
      </c>
      <c r="M239" s="49" t="s">
        <v>1891</v>
      </c>
      <c r="N239" s="356">
        <f>IFERROR(VLOOKUP(M239,'02. MM-KLH'!$B$6:$T$823,15,0),"")</f>
        <v>2024</v>
      </c>
      <c r="O239" s="764" t="str">
        <f>IFERROR(VLOOKUP(M239,'02. MM-KLH'!$B$6:$T$823,9,0),"")</f>
        <v>25/10/2024</v>
      </c>
      <c r="P239" s="353"/>
      <c r="Q239" s="353">
        <v>3269</v>
      </c>
      <c r="R239" s="353" t="s">
        <v>5978</v>
      </c>
      <c r="S239" s="353"/>
      <c r="T239" s="353"/>
      <c r="U239" s="353" t="str">
        <f>IFERROR(VLOOKUP(M239,'02. MM-KLH'!$B$6:$T$823,5,0),"")</f>
        <v>MỚI</v>
      </c>
      <c r="V239" s="731" t="str">
        <f>IFERROR(VLOOKUP(M239,'02. MM-KLH'!$B$6:$T$823,8,0),"")</f>
        <v>XN Bò AD</v>
      </c>
      <c r="W239" s="353" t="str">
        <f>IFERROR(VLOOKUP(V239,'NS QUẢN LÝ CG'!$A$4:$D$36,2,0),"")</f>
        <v/>
      </c>
      <c r="X239" s="353" t="str">
        <f>IFERROR(VLOOKUP(V239,'NS QUẢN LÝ CG'!$A$4:$D$36,4,0),"")</f>
        <v/>
      </c>
      <c r="Y239" s="353" t="str">
        <f>IFERROR(VLOOKUP(V239,'NS QUẢN LÝ CG'!$A$4:$C$36,3,0),"")</f>
        <v/>
      </c>
      <c r="Z239" s="731" t="str">
        <f>IFERROR(VLOOKUP(M239,'02. MM-KLH'!$B$6:$T$823,3,0),"")</f>
        <v>A22-MKE-041</v>
      </c>
      <c r="AA239" s="353" t="str">
        <f t="shared" si="14"/>
        <v>ADM</v>
      </c>
      <c r="AB239" s="731"/>
      <c r="AC239" s="731"/>
    </row>
    <row r="240" ht="13.8" spans="1:29">
      <c r="A240" s="731"/>
      <c r="B240" s="613" t="str">
        <f>IFERROR(VLOOKUP(M240,'02. MM-KLH'!$B$6:$T$823,6,0),"")</f>
        <v>Máy cày LOVOL P4100</v>
      </c>
      <c r="C240" s="353">
        <v>1</v>
      </c>
      <c r="D240" s="353" t="str">
        <f>IFERROR(VLOOKUP(M240,'02. MM-KLH'!$B$6:$T$823,16,0),"")</f>
        <v>P4100</v>
      </c>
      <c r="E240" s="353" t="s">
        <v>5978</v>
      </c>
      <c r="F240" s="353"/>
      <c r="G240" s="353"/>
      <c r="H240" s="353" t="str">
        <f>IFERROR(VLOOKUP(M240,'02. MM-KLH'!$B$6:$T$823,17,0),"")</f>
        <v>100 HP</v>
      </c>
      <c r="I240" s="763">
        <f>IFERROR(VLOOKUP(M240,'02. MM-KLH'!$B$6:$U$823,20,0),"")</f>
        <v>0</v>
      </c>
      <c r="J240" s="613" t="str">
        <f>IFERROR(VLOOKUP(M240,'02. MM-KLH'!$B$6:$T$823,19,0),"")</f>
        <v>E426C008054</v>
      </c>
      <c r="K240" s="613" t="str">
        <f>IFERROR(VLOOKUP(M240,'02. MM-KLH'!$B$6:$T$823,18,0),"")</f>
        <v>P400050TM</v>
      </c>
      <c r="L240" s="353">
        <f>IFERROR(VLOOKUP(M240,'02. MM-KLH'!$B$6:$T$823,4,0),"")</f>
        <v>0</v>
      </c>
      <c r="M240" s="49" t="s">
        <v>1938</v>
      </c>
      <c r="N240" s="356">
        <f>IFERROR(VLOOKUP(M240,'02. MM-KLH'!$B$6:$T$823,15,0),"")</f>
        <v>2026</v>
      </c>
      <c r="O240" s="764" t="str">
        <f>IFERROR(VLOOKUP(M240,'02. MM-KLH'!$B$6:$T$823,9,0),"")</f>
        <v>28/05/2026</v>
      </c>
      <c r="P240" s="353"/>
      <c r="Q240" s="353">
        <v>405</v>
      </c>
      <c r="R240" s="353" t="s">
        <v>5978</v>
      </c>
      <c r="S240" s="353"/>
      <c r="T240" s="353"/>
      <c r="U240" s="353" t="str">
        <f>IFERROR(VLOOKUP(M240,'02. MM-KLH'!$B$6:$T$823,5,0),"")</f>
        <v>MỚI</v>
      </c>
      <c r="V240" s="731" t="str">
        <f>IFERROR(VLOOKUP(M240,'02. MM-KLH'!$B$6:$T$823,8,0),"")</f>
        <v>XN Bò AD</v>
      </c>
      <c r="W240" s="353" t="str">
        <f>IFERROR(VLOOKUP(V240,'NS QUẢN LÝ CG'!$A$4:$D$36,2,0),"")</f>
        <v/>
      </c>
      <c r="X240" s="353" t="str">
        <f>IFERROR(VLOOKUP(V240,'NS QUẢN LÝ CG'!$A$4:$D$36,4,0),"")</f>
        <v/>
      </c>
      <c r="Y240" s="353" t="str">
        <f>IFERROR(VLOOKUP(V240,'NS QUẢN LÝ CG'!$A$4:$C$36,3,0),"")</f>
        <v/>
      </c>
      <c r="Z240" s="731" t="str">
        <f>IFERROR(VLOOKUP(M240,'02. MM-KLH'!$B$6:$T$823,3,0),"")</f>
        <v>A22-MKE-064</v>
      </c>
      <c r="AA240" s="353" t="str">
        <f t="shared" si="14"/>
        <v>ADM</v>
      </c>
      <c r="AB240" s="731"/>
      <c r="AC240" s="731"/>
    </row>
    <row r="241" ht="13.8" spans="1:29">
      <c r="A241" s="731"/>
      <c r="B241" s="613" t="str">
        <f>IFERROR(VLOOKUP(M241,'02. MM-KLH'!$B$6:$T$823,6,0),"")</f>
        <v>Máy cày LOVOL P4100</v>
      </c>
      <c r="C241" s="353">
        <v>1</v>
      </c>
      <c r="D241" s="353" t="str">
        <f>IFERROR(VLOOKUP(M241,'02. MM-KLH'!$B$6:$T$823,16,0),"")</f>
        <v>P4100</v>
      </c>
      <c r="E241" s="353" t="s">
        <v>5978</v>
      </c>
      <c r="F241" s="353"/>
      <c r="G241" s="353"/>
      <c r="H241" s="353" t="str">
        <f>IFERROR(VLOOKUP(M241,'02. MM-KLH'!$B$6:$T$823,17,0),"")</f>
        <v>100 HP</v>
      </c>
      <c r="I241" s="763">
        <f>IFERROR(VLOOKUP(M241,'02. MM-KLH'!$B$6:$U$823,20,0),"")</f>
        <v>0</v>
      </c>
      <c r="J241" s="613" t="str">
        <f>IFERROR(VLOOKUP(M241,'02. MM-KLH'!$B$6:$T$823,19,0),"")</f>
        <v>E426C008049</v>
      </c>
      <c r="K241" s="613" t="str">
        <f>IFERROR(VLOOKUP(M241,'02. MM-KLH'!$B$6:$T$823,18,0),"")</f>
        <v>P400051TM</v>
      </c>
      <c r="L241" s="353">
        <f>IFERROR(VLOOKUP(M241,'02. MM-KLH'!$B$6:$T$823,4,0),"")</f>
        <v>0</v>
      </c>
      <c r="M241" s="49" t="s">
        <v>1949</v>
      </c>
      <c r="N241" s="356">
        <f>IFERROR(VLOOKUP(M241,'02. MM-KLH'!$B$6:$T$823,15,0),"")</f>
        <v>2026</v>
      </c>
      <c r="O241" s="764" t="str">
        <f>IFERROR(VLOOKUP(M241,'02. MM-KLH'!$B$6:$T$823,9,0),"")</f>
        <v>28/05/2026</v>
      </c>
      <c r="P241" s="353"/>
      <c r="Q241" s="353">
        <v>364</v>
      </c>
      <c r="R241" s="353" t="s">
        <v>5978</v>
      </c>
      <c r="S241" s="353"/>
      <c r="T241" s="353"/>
      <c r="U241" s="353" t="str">
        <f>IFERROR(VLOOKUP(M241,'02. MM-KLH'!$B$6:$T$823,5,0),"")</f>
        <v>MỚI</v>
      </c>
      <c r="V241" s="731" t="str">
        <f>IFERROR(VLOOKUP(M241,'02. MM-KLH'!$B$6:$T$823,8,0),"")</f>
        <v>XN Bò AD</v>
      </c>
      <c r="W241" s="353" t="str">
        <f>IFERROR(VLOOKUP(V241,'NS QUẢN LÝ CG'!$A$4:$D$36,2,0),"")</f>
        <v/>
      </c>
      <c r="X241" s="353" t="str">
        <f>IFERROR(VLOOKUP(V241,'NS QUẢN LÝ CG'!$A$4:$D$36,4,0),"")</f>
        <v/>
      </c>
      <c r="Y241" s="353" t="str">
        <f>IFERROR(VLOOKUP(V241,'NS QUẢN LÝ CG'!$A$4:$C$36,3,0),"")</f>
        <v/>
      </c>
      <c r="Z241" s="731" t="str">
        <f>IFERROR(VLOOKUP(M241,'02. MM-KLH'!$B$6:$T$823,3,0),"")</f>
        <v>A22-MKE-065</v>
      </c>
      <c r="AA241" s="353" t="str">
        <f t="shared" si="14"/>
        <v>ADM</v>
      </c>
      <c r="AB241" s="731"/>
      <c r="AC241" s="731"/>
    </row>
    <row r="242" ht="13.8" spans="1:29">
      <c r="A242" s="731"/>
      <c r="B242" s="613" t="str">
        <f>IFERROR(VLOOKUP(M242,'02. MM-KLH'!$B$6:$T$823,6,0),"")</f>
        <v>Máy cày LOVOL P4100</v>
      </c>
      <c r="C242" s="353">
        <v>1</v>
      </c>
      <c r="D242" s="353" t="str">
        <f>IFERROR(VLOOKUP(M242,'02. MM-KLH'!$B$6:$T$823,16,0),"")</f>
        <v>P4100</v>
      </c>
      <c r="E242" s="353" t="s">
        <v>5978</v>
      </c>
      <c r="F242" s="353"/>
      <c r="G242" s="353"/>
      <c r="H242" s="353" t="str">
        <f>IFERROR(VLOOKUP(M242,'02. MM-KLH'!$B$6:$T$823,17,0),"")</f>
        <v>100 HP</v>
      </c>
      <c r="I242" s="763">
        <f>IFERROR(VLOOKUP(M242,'02. MM-KLH'!$B$6:$U$823,20,0),"")</f>
        <v>0</v>
      </c>
      <c r="J242" s="613" t="str">
        <f>IFERROR(VLOOKUP(M242,'02. MM-KLH'!$B$6:$T$823,19,0),"")</f>
        <v>E426C008042</v>
      </c>
      <c r="K242" s="613" t="str">
        <f>IFERROR(VLOOKUP(M242,'02. MM-KLH'!$B$6:$T$823,18,0),"")</f>
        <v>P400052TM</v>
      </c>
      <c r="L242" s="353">
        <f>IFERROR(VLOOKUP(M242,'02. MM-KLH'!$B$6:$T$823,4,0),"")</f>
        <v>0</v>
      </c>
      <c r="M242" s="49" t="s">
        <v>1992</v>
      </c>
      <c r="N242" s="356">
        <f>IFERROR(VLOOKUP(M242,'02. MM-KLH'!$B$6:$T$823,15,0),"")</f>
        <v>2026</v>
      </c>
      <c r="O242" s="764" t="str">
        <f>IFERROR(VLOOKUP(M242,'02. MM-KLH'!$B$6:$T$823,9,0),"")</f>
        <v>28/05/2026</v>
      </c>
      <c r="P242" s="353"/>
      <c r="Q242" s="353">
        <v>395</v>
      </c>
      <c r="R242" s="353" t="s">
        <v>5978</v>
      </c>
      <c r="S242" s="353"/>
      <c r="T242" s="353"/>
      <c r="U242" s="353" t="str">
        <f>IFERROR(VLOOKUP(M242,'02. MM-KLH'!$B$6:$T$823,5,0),"")</f>
        <v>MỚI</v>
      </c>
      <c r="V242" s="731" t="str">
        <f>IFERROR(VLOOKUP(M242,'02. MM-KLH'!$B$6:$T$823,8,0),"")</f>
        <v>XN Bò AD</v>
      </c>
      <c r="W242" s="353" t="str">
        <f>IFERROR(VLOOKUP(V242,'NS QUẢN LÝ CG'!$A$4:$D$36,2,0),"")</f>
        <v/>
      </c>
      <c r="X242" s="353" t="str">
        <f>IFERROR(VLOOKUP(V242,'NS QUẢN LÝ CG'!$A$4:$D$36,4,0),"")</f>
        <v/>
      </c>
      <c r="Y242" s="353" t="str">
        <f>IFERROR(VLOOKUP(V242,'NS QUẢN LÝ CG'!$A$4:$C$36,3,0),"")</f>
        <v/>
      </c>
      <c r="Z242" s="731" t="str">
        <f>IFERROR(VLOOKUP(M242,'02. MM-KLH'!$B$6:$T$823,3,0),"")</f>
        <v>A22-MKE-066</v>
      </c>
      <c r="AA242" s="353" t="str">
        <f t="shared" si="14"/>
        <v>ADM</v>
      </c>
      <c r="AB242" s="731"/>
      <c r="AC242" s="731"/>
    </row>
    <row r="243" ht="13.8" spans="1:29">
      <c r="A243" s="731"/>
      <c r="B243" s="613" t="str">
        <f>IFERROR(VLOOKUP(M243,'02. MM-KLH'!$B$6:$T$823,6,0),"")</f>
        <v>Máy cày LOVOL P4100</v>
      </c>
      <c r="C243" s="353">
        <v>1</v>
      </c>
      <c r="D243" s="353" t="str">
        <f>IFERROR(VLOOKUP(M243,'02. MM-KLH'!$B$6:$T$823,16,0),"")</f>
        <v>P4100</v>
      </c>
      <c r="E243" s="353" t="s">
        <v>5978</v>
      </c>
      <c r="F243" s="353"/>
      <c r="G243" s="353"/>
      <c r="H243" s="353" t="str">
        <f>IFERROR(VLOOKUP(M243,'02. MM-KLH'!$B$6:$T$823,17,0),"")</f>
        <v>100 HP</v>
      </c>
      <c r="I243" s="763">
        <f>IFERROR(VLOOKUP(M243,'02. MM-KLH'!$B$6:$U$823,20,0),"")</f>
        <v>0</v>
      </c>
      <c r="J243" s="613" t="str">
        <f>IFERROR(VLOOKUP(M243,'02. MM-KLH'!$B$6:$T$823,19,0),"")</f>
        <v>E426C008052</v>
      </c>
      <c r="K243" s="613" t="str">
        <f>IFERROR(VLOOKUP(M243,'02. MM-KLH'!$B$6:$T$823,18,0),"")</f>
        <v>P400053TM</v>
      </c>
      <c r="L243" s="353">
        <f>IFERROR(VLOOKUP(M243,'02. MM-KLH'!$B$6:$T$823,4,0),"")</f>
        <v>0</v>
      </c>
      <c r="M243" s="49" t="s">
        <v>1996</v>
      </c>
      <c r="N243" s="356">
        <f>IFERROR(VLOOKUP(M243,'02. MM-KLH'!$B$6:$T$823,15,0),"")</f>
        <v>2026</v>
      </c>
      <c r="O243" s="764" t="str">
        <f>IFERROR(VLOOKUP(M243,'02. MM-KLH'!$B$6:$T$823,9,0),"")</f>
        <v>28/05/2026</v>
      </c>
      <c r="P243" s="353"/>
      <c r="Q243" s="353">
        <v>456</v>
      </c>
      <c r="R243" s="353" t="s">
        <v>5978</v>
      </c>
      <c r="S243" s="353"/>
      <c r="T243" s="353"/>
      <c r="U243" s="353" t="str">
        <f>IFERROR(VLOOKUP(M243,'02. MM-KLH'!$B$6:$T$823,5,0),"")</f>
        <v>MỚI</v>
      </c>
      <c r="V243" s="731" t="str">
        <f>IFERROR(VLOOKUP(M243,'02. MM-KLH'!$B$6:$T$823,8,0),"")</f>
        <v>XN Bò AD</v>
      </c>
      <c r="W243" s="353" t="str">
        <f>IFERROR(VLOOKUP(V243,'NS QUẢN LÝ CG'!$A$4:$D$36,2,0),"")</f>
        <v/>
      </c>
      <c r="X243" s="353" t="str">
        <f>IFERROR(VLOOKUP(V243,'NS QUẢN LÝ CG'!$A$4:$D$36,4,0),"")</f>
        <v/>
      </c>
      <c r="Y243" s="353" t="str">
        <f>IFERROR(VLOOKUP(V243,'NS QUẢN LÝ CG'!$A$4:$C$36,3,0),"")</f>
        <v/>
      </c>
      <c r="Z243" s="731" t="str">
        <f>IFERROR(VLOOKUP(M243,'02. MM-KLH'!$B$6:$T$823,3,0),"")</f>
        <v>A22-MKE-067</v>
      </c>
      <c r="AA243" s="353" t="str">
        <f t="shared" si="14"/>
        <v>ADM</v>
      </c>
      <c r="AB243" s="731"/>
      <c r="AC243" s="731"/>
    </row>
    <row r="244" ht="13.8" spans="1:29">
      <c r="A244" s="731"/>
      <c r="B244" s="613" t="str">
        <f>IFERROR(VLOOKUP(M244,'02. MM-KLH'!$B$6:$T$823,6,0),"")</f>
        <v>Máy cày LOVOL P4110</v>
      </c>
      <c r="C244" s="353">
        <v>1</v>
      </c>
      <c r="D244" s="353" t="str">
        <f>IFERROR(VLOOKUP(M244,'02. MM-KLH'!$B$6:$T$823,16,0),"")</f>
        <v>P4110</v>
      </c>
      <c r="E244" s="353" t="s">
        <v>5978</v>
      </c>
      <c r="F244" s="353"/>
      <c r="G244" s="353"/>
      <c r="H244" s="353" t="str">
        <f>IFERROR(VLOOKUP(M244,'02. MM-KLH'!$B$6:$T$823,17,0),"")</f>
        <v>110 HP</v>
      </c>
      <c r="I244" s="763">
        <f>IFERROR(VLOOKUP(M244,'02. MM-KLH'!$B$6:$U$823,20,0),"")</f>
        <v>0</v>
      </c>
      <c r="J244" s="613" t="str">
        <f>IFERROR(VLOOKUP(M244,'02. MM-KLH'!$B$6:$T$823,19,0),"")</f>
        <v>E426C008079</v>
      </c>
      <c r="K244" s="613" t="str">
        <f>IFERROR(VLOOKUP(M244,'02. MM-KLH'!$B$6:$T$823,18,0),"")</f>
        <v>P400067TM</v>
      </c>
      <c r="L244" s="353">
        <f>IFERROR(VLOOKUP(M244,'02. MM-KLH'!$B$6:$T$823,4,0),"")</f>
        <v>0</v>
      </c>
      <c r="M244" s="49" t="s">
        <v>1969</v>
      </c>
      <c r="N244" s="356">
        <f>IFERROR(VLOOKUP(M244,'02. MM-KLH'!$B$6:$T$823,15,0),"")</f>
        <v>2026</v>
      </c>
      <c r="O244" s="764" t="str">
        <f>IFERROR(VLOOKUP(M244,'02. MM-KLH'!$B$6:$T$823,9,0),"")</f>
        <v>28/05/2026</v>
      </c>
      <c r="P244" s="353"/>
      <c r="Q244" s="353">
        <v>231</v>
      </c>
      <c r="R244" s="353" t="s">
        <v>5978</v>
      </c>
      <c r="S244" s="353"/>
      <c r="T244" s="353"/>
      <c r="U244" s="353" t="str">
        <f>IFERROR(VLOOKUP(M244,'02. MM-KLH'!$B$6:$T$823,5,0),"")</f>
        <v>MỚI</v>
      </c>
      <c r="V244" s="731" t="str">
        <f>IFERROR(VLOOKUP(M244,'02. MM-KLH'!$B$6:$T$823,8,0),"")</f>
        <v>XN Bò AD</v>
      </c>
      <c r="W244" s="353" t="str">
        <f>IFERROR(VLOOKUP(V244,'NS QUẢN LÝ CG'!$A$4:$D$36,2,0),"")</f>
        <v/>
      </c>
      <c r="X244" s="353" t="str">
        <f>IFERROR(VLOOKUP(V244,'NS QUẢN LÝ CG'!$A$4:$D$36,4,0),"")</f>
        <v/>
      </c>
      <c r="Y244" s="353" t="str">
        <f>IFERROR(VLOOKUP(V244,'NS QUẢN LÝ CG'!$A$4:$C$36,3,0),"")</f>
        <v/>
      </c>
      <c r="Z244" s="731" t="str">
        <f>IFERROR(VLOOKUP(M244,'02. MM-KLH'!$B$6:$T$823,3,0),"")</f>
        <v>A24-MKE-038</v>
      </c>
      <c r="AA244" s="353" t="str">
        <f t="shared" si="14"/>
        <v>LP</v>
      </c>
      <c r="AB244" s="731"/>
      <c r="AC244" s="731"/>
    </row>
    <row r="245" ht="13.8" spans="1:29">
      <c r="A245" s="731"/>
      <c r="B245" s="613" t="str">
        <f>IFERROR(VLOOKUP(M245,'02. MM-KLH'!$B$6:$T$823,6,0),"")</f>
        <v>Máy cày LOVOL P4110</v>
      </c>
      <c r="C245" s="353">
        <v>1</v>
      </c>
      <c r="D245" s="353" t="str">
        <f>IFERROR(VLOOKUP(M245,'02. MM-KLH'!$B$6:$T$823,16,0),"")</f>
        <v>P4110</v>
      </c>
      <c r="E245" s="353" t="s">
        <v>5978</v>
      </c>
      <c r="F245" s="353"/>
      <c r="G245" s="353"/>
      <c r="H245" s="353" t="str">
        <f>IFERROR(VLOOKUP(M245,'02. MM-KLH'!$B$6:$T$823,17,0),"")</f>
        <v>110 HP</v>
      </c>
      <c r="I245" s="763">
        <f>IFERROR(VLOOKUP(M245,'02. MM-KLH'!$B$6:$U$823,20,0),"")</f>
        <v>0</v>
      </c>
      <c r="J245" s="613" t="str">
        <f>IFERROR(VLOOKUP(M245,'02. MM-KLH'!$B$6:$T$823,19,0),"")</f>
        <v>E426C008939</v>
      </c>
      <c r="K245" s="613" t="str">
        <f>IFERROR(VLOOKUP(M245,'02. MM-KLH'!$B$6:$T$823,18,0),"")</f>
        <v>P400068TM</v>
      </c>
      <c r="L245" s="353">
        <f>IFERROR(VLOOKUP(M245,'02. MM-KLH'!$B$6:$T$823,4,0),"")</f>
        <v>0</v>
      </c>
      <c r="M245" s="49" t="s">
        <v>2000</v>
      </c>
      <c r="N245" s="356">
        <f>IFERROR(VLOOKUP(M245,'02. MM-KLH'!$B$6:$T$823,15,0),"")</f>
        <v>2026</v>
      </c>
      <c r="O245" s="764" t="str">
        <f>IFERROR(VLOOKUP(M245,'02. MM-KLH'!$B$6:$T$823,9,0),"")</f>
        <v>28/05/2026</v>
      </c>
      <c r="P245" s="353"/>
      <c r="Q245" s="353">
        <v>458</v>
      </c>
      <c r="R245" s="353" t="s">
        <v>5978</v>
      </c>
      <c r="S245" s="353"/>
      <c r="T245" s="353"/>
      <c r="U245" s="353" t="str">
        <f>IFERROR(VLOOKUP(M245,'02. MM-KLH'!$B$6:$T$823,5,0),"")</f>
        <v>MỚI</v>
      </c>
      <c r="V245" s="731" t="str">
        <f>IFERROR(VLOOKUP(M245,'02. MM-KLH'!$B$6:$T$823,8,0),"")</f>
        <v>XN Bò AD</v>
      </c>
      <c r="W245" s="353" t="str">
        <f>IFERROR(VLOOKUP(V245,'NS QUẢN LÝ CG'!$A$4:$D$36,2,0),"")</f>
        <v/>
      </c>
      <c r="X245" s="353" t="str">
        <f>IFERROR(VLOOKUP(V245,'NS QUẢN LÝ CG'!$A$4:$D$36,4,0),"")</f>
        <v/>
      </c>
      <c r="Y245" s="353" t="str">
        <f>IFERROR(VLOOKUP(V245,'NS QUẢN LÝ CG'!$A$4:$C$36,3,0),"")</f>
        <v/>
      </c>
      <c r="Z245" s="731" t="str">
        <f>IFERROR(VLOOKUP(M245,'02. MM-KLH'!$B$6:$T$823,3,0),"")</f>
        <v>A24-MKE-039</v>
      </c>
      <c r="AA245" s="353" t="str">
        <f t="shared" si="14"/>
        <v>LP</v>
      </c>
      <c r="AB245" s="731"/>
      <c r="AC245" s="731"/>
    </row>
    <row r="246" ht="13.8" spans="1:29">
      <c r="A246" s="731"/>
      <c r="B246" s="613" t="str">
        <f>IFERROR(VLOOKUP(M246,'02. MM-KLH'!$B$6:$T$823,6,0),"")</f>
        <v>Máy cày LOVOL P4110</v>
      </c>
      <c r="C246" s="353">
        <v>1</v>
      </c>
      <c r="D246" s="353" t="str">
        <f>IFERROR(VLOOKUP(M246,'02. MM-KLH'!$B$6:$T$823,16,0),"")</f>
        <v>P4110</v>
      </c>
      <c r="E246" s="353" t="s">
        <v>5978</v>
      </c>
      <c r="F246" s="353"/>
      <c r="G246" s="353"/>
      <c r="H246" s="353" t="str">
        <f>IFERROR(VLOOKUP(M246,'02. MM-KLH'!$B$6:$T$823,17,0),"")</f>
        <v>110 HP</v>
      </c>
      <c r="I246" s="763">
        <f>IFERROR(VLOOKUP(M246,'02. MM-KLH'!$B$6:$U$823,20,0),"")</f>
        <v>0</v>
      </c>
      <c r="J246" s="613" t="str">
        <f>IFERROR(VLOOKUP(M246,'02. MM-KLH'!$B$6:$T$823,19,0),"")</f>
        <v>E426C008097</v>
      </c>
      <c r="K246" s="613" t="str">
        <f>IFERROR(VLOOKUP(M246,'02. MM-KLH'!$B$6:$T$823,18,0),"")</f>
        <v>P400069TM</v>
      </c>
      <c r="L246" s="353">
        <f>IFERROR(VLOOKUP(M246,'02. MM-KLH'!$B$6:$T$823,4,0),"")</f>
        <v>0</v>
      </c>
      <c r="M246" s="49" t="s">
        <v>2004</v>
      </c>
      <c r="N246" s="356">
        <f>IFERROR(VLOOKUP(M246,'02. MM-KLH'!$B$6:$T$823,15,0),"")</f>
        <v>2026</v>
      </c>
      <c r="O246" s="764" t="str">
        <f>IFERROR(VLOOKUP(M246,'02. MM-KLH'!$B$6:$T$823,9,0),"")</f>
        <v>28/05/2026</v>
      </c>
      <c r="P246" s="353"/>
      <c r="Q246" s="353">
        <v>513</v>
      </c>
      <c r="R246" s="353" t="s">
        <v>5978</v>
      </c>
      <c r="S246" s="353"/>
      <c r="T246" s="353"/>
      <c r="U246" s="353" t="str">
        <f>IFERROR(VLOOKUP(M246,'02. MM-KLH'!$B$6:$T$823,5,0),"")</f>
        <v>MỚI</v>
      </c>
      <c r="V246" s="731" t="str">
        <f>IFERROR(VLOOKUP(M246,'02. MM-KLH'!$B$6:$T$823,8,0),"")</f>
        <v>XN Bò AD</v>
      </c>
      <c r="W246" s="353" t="str">
        <f>IFERROR(VLOOKUP(V246,'NS QUẢN LÝ CG'!$A$4:$D$36,2,0),"")</f>
        <v/>
      </c>
      <c r="X246" s="353" t="str">
        <f>IFERROR(VLOOKUP(V246,'NS QUẢN LÝ CG'!$A$4:$D$36,4,0),"")</f>
        <v/>
      </c>
      <c r="Y246" s="353" t="str">
        <f>IFERROR(VLOOKUP(V246,'NS QUẢN LÝ CG'!$A$4:$C$36,3,0),"")</f>
        <v/>
      </c>
      <c r="Z246" s="731" t="str">
        <f>IFERROR(VLOOKUP(M246,'02. MM-KLH'!$B$6:$T$823,3,0),"")</f>
        <v>A24-MKE-040</v>
      </c>
      <c r="AA246" s="353" t="str">
        <f t="shared" si="14"/>
        <v>LP</v>
      </c>
      <c r="AB246" s="731"/>
      <c r="AC246" s="731"/>
    </row>
    <row r="247" ht="13.8" spans="1:29">
      <c r="A247" s="731"/>
      <c r="B247" s="613" t="str">
        <f>IFERROR(VLOOKUP(M247,'02. MM-KLH'!$B$6:$T$823,6,0),"")</f>
        <v>Máy cày LOVOL P4110</v>
      </c>
      <c r="C247" s="353">
        <v>1</v>
      </c>
      <c r="D247" s="353" t="str">
        <f>IFERROR(VLOOKUP(M247,'02. MM-KLH'!$B$6:$T$823,16,0),"")</f>
        <v>P4110</v>
      </c>
      <c r="E247" s="353" t="s">
        <v>5978</v>
      </c>
      <c r="F247" s="353"/>
      <c r="G247" s="353"/>
      <c r="H247" s="353" t="str">
        <f>IFERROR(VLOOKUP(M247,'02. MM-KLH'!$B$6:$T$823,17,0),"")</f>
        <v>110 HP</v>
      </c>
      <c r="I247" s="763">
        <f>IFERROR(VLOOKUP(M247,'02. MM-KLH'!$B$6:$U$823,20,0),"")</f>
        <v>0</v>
      </c>
      <c r="J247" s="613" t="str">
        <f>IFERROR(VLOOKUP(M247,'02. MM-KLH'!$B$6:$T$823,19,0),"")</f>
        <v>E426C008092</v>
      </c>
      <c r="K247" s="613" t="str">
        <f>IFERROR(VLOOKUP(M247,'02. MM-KLH'!$B$6:$T$823,18,0),"")</f>
        <v>P400070TM</v>
      </c>
      <c r="L247" s="353">
        <f>IFERROR(VLOOKUP(M247,'02. MM-KLH'!$B$6:$T$823,4,0),"")</f>
        <v>0</v>
      </c>
      <c r="M247" s="49" t="s">
        <v>2008</v>
      </c>
      <c r="N247" s="356">
        <f>IFERROR(VLOOKUP(M247,'02. MM-KLH'!$B$6:$T$823,15,0),"")</f>
        <v>2026</v>
      </c>
      <c r="O247" s="764" t="str">
        <f>IFERROR(VLOOKUP(M247,'02. MM-KLH'!$B$6:$T$823,9,0),"")</f>
        <v>28/05/2026</v>
      </c>
      <c r="P247" s="353"/>
      <c r="Q247" s="353">
        <v>460</v>
      </c>
      <c r="R247" s="353" t="s">
        <v>5978</v>
      </c>
      <c r="S247" s="353"/>
      <c r="T247" s="353"/>
      <c r="U247" s="353" t="str">
        <f>IFERROR(VLOOKUP(M247,'02. MM-KLH'!$B$6:$T$823,5,0),"")</f>
        <v>MỚI</v>
      </c>
      <c r="V247" s="731" t="str">
        <f>IFERROR(VLOOKUP(M247,'02. MM-KLH'!$B$6:$T$823,8,0),"")</f>
        <v>XN Bò AD</v>
      </c>
      <c r="W247" s="353" t="str">
        <f>IFERROR(VLOOKUP(V247,'NS QUẢN LÝ CG'!$A$4:$D$36,2,0),"")</f>
        <v/>
      </c>
      <c r="X247" s="353" t="str">
        <f>IFERROR(VLOOKUP(V247,'NS QUẢN LÝ CG'!$A$4:$D$36,4,0),"")</f>
        <v/>
      </c>
      <c r="Y247" s="353" t="str">
        <f>IFERROR(VLOOKUP(V247,'NS QUẢN LÝ CG'!$A$4:$C$36,3,0),"")</f>
        <v/>
      </c>
      <c r="Z247" s="731" t="str">
        <f>IFERROR(VLOOKUP(M247,'02. MM-KLH'!$B$6:$T$823,3,0),"")</f>
        <v>A24-MKE-041</v>
      </c>
      <c r="AA247" s="353" t="str">
        <f t="shared" si="14"/>
        <v>LP</v>
      </c>
      <c r="AB247" s="731"/>
      <c r="AC247" s="731"/>
    </row>
    <row r="248" ht="13.8" spans="1:29">
      <c r="A248" s="731"/>
      <c r="B248" s="613" t="str">
        <f>IFERROR(VLOOKUP(M248,'02. MM-KLH'!$B$6:$T$823,6,0),"")</f>
        <v/>
      </c>
      <c r="C248" s="353"/>
      <c r="D248" s="353" t="str">
        <f>IFERROR(VLOOKUP(M248,'02. MM-KLH'!$B$6:$T$823,16,0),"")</f>
        <v/>
      </c>
      <c r="E248" s="353"/>
      <c r="F248" s="353"/>
      <c r="G248" s="353"/>
      <c r="H248" s="353" t="str">
        <f>IFERROR(VLOOKUP(M248,'02. MM-KLH'!$B$6:$T$823,17,0),"")</f>
        <v/>
      </c>
      <c r="I248" s="763" t="str">
        <f>IFERROR(VLOOKUP(M248,'02. MM-KLH'!$B$6:$U$823,20,0),"")</f>
        <v/>
      </c>
      <c r="J248" s="613" t="str">
        <f>IFERROR(VLOOKUP(M248,'02. MM-KLH'!$B$6:$T$823,19,0),"")</f>
        <v/>
      </c>
      <c r="K248" s="613" t="str">
        <f>IFERROR(VLOOKUP(M248,'02. MM-KLH'!$B$6:$T$823,18,0),"")</f>
        <v/>
      </c>
      <c r="L248" s="353" t="str">
        <f>IFERROR(VLOOKUP(M248,'02. MM-KLH'!$B$6:$T$823,4,0),"")</f>
        <v/>
      </c>
      <c r="M248" s="49"/>
      <c r="N248" s="356" t="str">
        <f>IFERROR(VLOOKUP(M248,'02. MM-KLH'!$B$6:$T$823,15,0),"")</f>
        <v/>
      </c>
      <c r="O248" s="764" t="str">
        <f>IFERROR(VLOOKUP(M248,'02. MM-KLH'!$B$6:$T$823,9,0),"")</f>
        <v/>
      </c>
      <c r="P248" s="353"/>
      <c r="Q248" s="353"/>
      <c r="R248" s="353"/>
      <c r="S248" s="353"/>
      <c r="T248" s="353"/>
      <c r="U248" s="353" t="str">
        <f>IFERROR(VLOOKUP(M248,'02. MM-KLH'!$B$6:$T$823,2,0),"")</f>
        <v/>
      </c>
      <c r="V248" s="731" t="str">
        <f>IFERROR(VLOOKUP(M248,'02. MM-KLH'!$B$6:$T$823,8,0),"")</f>
        <v/>
      </c>
      <c r="W248" s="353" t="str">
        <f>IFERROR(VLOOKUP(V248,'NS QUẢN LÝ CG'!$A$4:$D$36,2,0),"")</f>
        <v/>
      </c>
      <c r="X248" s="353" t="str">
        <f>IFERROR(VLOOKUP(V248,'NS QUẢN LÝ CG'!$A$4:$D$36,4,0),"")</f>
        <v/>
      </c>
      <c r="Y248" s="353"/>
      <c r="Z248" s="731" t="str">
        <f>IFERROR(VLOOKUP(M248,'02. MM-KLH'!$B$6:$T$823,3,0),"")</f>
        <v/>
      </c>
      <c r="AA248" s="353"/>
      <c r="AB248" s="731"/>
      <c r="AC248" s="731"/>
    </row>
    <row r="249" ht="13.8" hidden="1" spans="1:29">
      <c r="A249" s="731"/>
      <c r="B249" s="613" t="str">
        <f>IFERROR(VLOOKUP(M249,'02. MM-KLH'!$B$6:$T$823,6,0),"")</f>
        <v/>
      </c>
      <c r="C249" s="353"/>
      <c r="D249" s="353" t="str">
        <f>IFERROR(VLOOKUP(M249,'02. MM-KLH'!$B$6:$T$823,16,0),"")</f>
        <v/>
      </c>
      <c r="E249" s="353"/>
      <c r="F249" s="353"/>
      <c r="G249" s="353"/>
      <c r="H249" s="353" t="str">
        <f>IFERROR(VLOOKUP(M249,'02. MM-KLH'!$B$6:$T$823,17,0),"")</f>
        <v/>
      </c>
      <c r="I249" s="763" t="str">
        <f>IFERROR(VLOOKUP(M249,'02. MM-KLH'!$B$6:$U$823,20,0),"")</f>
        <v/>
      </c>
      <c r="J249" s="613" t="str">
        <f>IFERROR(VLOOKUP(M249,'02. MM-KLH'!$B$6:$T$823,19,0),"")</f>
        <v/>
      </c>
      <c r="K249" s="613" t="str">
        <f>IFERROR(VLOOKUP(M249,'02. MM-KLH'!$B$6:$T$823,18,0),"")</f>
        <v/>
      </c>
      <c r="L249" s="353" t="str">
        <f>IFERROR(VLOOKUP(M249,'02. MM-KLH'!$B$6:$T$823,4,0),"")</f>
        <v/>
      </c>
      <c r="M249" s="49"/>
      <c r="N249" s="356" t="str">
        <f>IFERROR(VLOOKUP(M249,'02. MM-KLH'!$B$6:$T$823,15,0),"")</f>
        <v/>
      </c>
      <c r="O249" s="764" t="str">
        <f>IFERROR(VLOOKUP(M249,'02. MM-KLH'!$B$6:$T$823,9,0),"")</f>
        <v/>
      </c>
      <c r="P249" s="353"/>
      <c r="Q249" s="353"/>
      <c r="R249" s="353"/>
      <c r="S249" s="353"/>
      <c r="T249" s="353"/>
      <c r="U249" s="353" t="str">
        <f>IFERROR(VLOOKUP(M249,'02. MM-KLH'!$B$6:$T$823,2,0),"")</f>
        <v/>
      </c>
      <c r="V249" s="731" t="str">
        <f>IFERROR(VLOOKUP(M249,'02. MM-KLH'!$B$6:$T$823,8,0),"")</f>
        <v/>
      </c>
      <c r="W249" s="353"/>
      <c r="X249" s="353"/>
      <c r="Y249" s="353"/>
      <c r="Z249" s="731" t="str">
        <f>IFERROR(VLOOKUP(M249,'02. MM-KLH'!$B$6:$T$823,3,0),"")</f>
        <v/>
      </c>
      <c r="AA249" s="353"/>
      <c r="AB249" s="731"/>
      <c r="AC249" s="731"/>
    </row>
    <row r="250" ht="13.8" hidden="1" spans="1:29">
      <c r="A250" s="731"/>
      <c r="B250" s="613" t="str">
        <f>IFERROR(VLOOKUP(M250,'02. MM-KLH'!$B$6:$T$823,6,0),"")</f>
        <v/>
      </c>
      <c r="C250" s="353"/>
      <c r="D250" s="353" t="str">
        <f>IFERROR(VLOOKUP(M250,'02. MM-KLH'!$B$6:$T$823,16,0),"")</f>
        <v/>
      </c>
      <c r="E250" s="353"/>
      <c r="F250" s="353"/>
      <c r="G250" s="353"/>
      <c r="H250" s="353" t="str">
        <f>IFERROR(VLOOKUP(M250,'02. MM-KLH'!$B$6:$T$823,17,0),"")</f>
        <v/>
      </c>
      <c r="I250" s="763" t="str">
        <f>IFERROR(VLOOKUP(M250,'02. MM-KLH'!$B$6:$U$823,20,0),"")</f>
        <v/>
      </c>
      <c r="J250" s="613" t="str">
        <f>IFERROR(VLOOKUP(M250,'02. MM-KLH'!$B$6:$T$823,19,0),"")</f>
        <v/>
      </c>
      <c r="K250" s="613" t="str">
        <f>IFERROR(VLOOKUP(M250,'02. MM-KLH'!$B$6:$T$823,18,0),"")</f>
        <v/>
      </c>
      <c r="L250" s="353" t="str">
        <f>IFERROR(VLOOKUP(M250,'02. MM-KLH'!$B$6:$T$823,4,0),"")</f>
        <v/>
      </c>
      <c r="M250" s="49"/>
      <c r="N250" s="356" t="str">
        <f>IFERROR(VLOOKUP(M250,'02. MM-KLH'!$B$6:$T$823,15,0),"")</f>
        <v/>
      </c>
      <c r="O250" s="764" t="str">
        <f>IFERROR(VLOOKUP(M250,'02. MM-KLH'!$B$6:$T$823,9,0),"")</f>
        <v/>
      </c>
      <c r="P250" s="353"/>
      <c r="Q250" s="353"/>
      <c r="R250" s="353"/>
      <c r="S250" s="353"/>
      <c r="T250" s="353"/>
      <c r="U250" s="353" t="str">
        <f>IFERROR(VLOOKUP(M250,'02. MM-KLH'!$B$6:$T$823,2,0),"")</f>
        <v/>
      </c>
      <c r="V250" s="731" t="str">
        <f>IFERROR(VLOOKUP(M250,'02. MM-KLH'!$B$6:$T$823,8,0),"")</f>
        <v/>
      </c>
      <c r="W250" s="353"/>
      <c r="X250" s="353"/>
      <c r="Y250" s="353"/>
      <c r="Z250" s="731" t="str">
        <f>IFERROR(VLOOKUP(M250,'02. MM-KLH'!$B$6:$T$823,3,0),"")</f>
        <v/>
      </c>
      <c r="AA250" s="353"/>
      <c r="AB250" s="731"/>
      <c r="AC250" s="731"/>
    </row>
    <row r="251" ht="13.8" spans="1:29">
      <c r="A251" s="754">
        <v>3</v>
      </c>
      <c r="B251" s="755" t="s">
        <v>759</v>
      </c>
      <c r="C251" s="754">
        <f>COUNTA(B252:B282)</f>
        <v>31</v>
      </c>
      <c r="D251" s="756"/>
      <c r="E251" s="756"/>
      <c r="F251" s="756"/>
      <c r="G251" s="756"/>
      <c r="H251" s="762"/>
      <c r="I251" s="762"/>
      <c r="J251" s="758"/>
      <c r="K251" s="758"/>
      <c r="L251" s="756"/>
      <c r="M251" s="756"/>
      <c r="N251" s="756"/>
      <c r="O251" s="760"/>
      <c r="P251" s="756"/>
      <c r="Q251" s="756"/>
      <c r="R251" s="756"/>
      <c r="S251" s="756"/>
      <c r="T251" s="756"/>
      <c r="U251" s="756"/>
      <c r="V251" s="762"/>
      <c r="W251" s="756"/>
      <c r="X251" s="756"/>
      <c r="Y251" s="756"/>
      <c r="Z251" s="762"/>
      <c r="AA251" s="756"/>
      <c r="AB251" s="762"/>
      <c r="AC251" s="762"/>
    </row>
    <row r="252" ht="13.8" spans="1:29">
      <c r="A252" s="731"/>
      <c r="B252" s="613" t="str">
        <f>IFERROR(VLOOKUP(M252,'02. MM-KLH'!$B$6:$T$823,6,0),"")</f>
        <v>Máy cày L4508</v>
      </c>
      <c r="C252" s="353">
        <v>1</v>
      </c>
      <c r="D252" s="353" t="str">
        <f>IFERROR(VLOOKUP(M252,'02. MM-KLH'!$B$6:$T$823,16,0),"")</f>
        <v>L4508</v>
      </c>
      <c r="E252" s="353" t="s">
        <v>5978</v>
      </c>
      <c r="F252" s="353"/>
      <c r="G252" s="353"/>
      <c r="H252" s="353" t="str">
        <f>IFERROR(VLOOKUP(M252,'02. MM-KLH'!$B$6:$T$823,17,0),"")</f>
        <v>45HP</v>
      </c>
      <c r="I252" s="763">
        <f>IFERROR(VLOOKUP(M252,'02. MM-KLH'!$B$6:$U$823,20,0),"")</f>
        <v>2</v>
      </c>
      <c r="J252" s="613" t="str">
        <f>IFERROR(VLOOKUP(M252,'02. MM-KLH'!$B$6:$T$823,19,0),"")</f>
        <v>CCN</v>
      </c>
      <c r="K252" s="613">
        <f>IFERROR(VLOOKUP(M252,'02. MM-KLH'!$B$6:$T$823,18,0),"")</f>
        <v>14793</v>
      </c>
      <c r="L252" s="353">
        <f>IFERROR(VLOOKUP(M252,'02. MM-KLH'!$B$6:$T$823,4,0),"")</f>
        <v>0</v>
      </c>
      <c r="M252" s="49" t="s">
        <v>1134</v>
      </c>
      <c r="N252" s="356">
        <f>IFERROR(VLOOKUP(M252,'02. MM-KLH'!$B$6:$T$823,15,0),"")</f>
        <v>2019</v>
      </c>
      <c r="O252" s="764">
        <f>IFERROR(VLOOKUP(M252,'02. MM-KLH'!$B$6:$T$823,9,0),"")</f>
        <v>0</v>
      </c>
      <c r="P252" s="353"/>
      <c r="Q252" s="353" t="s">
        <v>1755</v>
      </c>
      <c r="R252" s="353"/>
      <c r="S252" s="353"/>
      <c r="T252" s="353"/>
      <c r="U252" s="353" t="str">
        <f>IFERROR(VLOOKUP(M252,'02. MM-KLH'!$B$6:$T$823,5,0),"")</f>
        <v>ĐQSD</v>
      </c>
      <c r="V252" s="731" t="str">
        <f>IFERROR(VLOOKUP(M252,'02. MM-KLH'!$B$6:$T$823,8,0),"")</f>
        <v>XN Chuối DP1</v>
      </c>
      <c r="W252" s="353" t="str">
        <f>IFERROR(VLOOKUP(V252,'NS QUẢN LÝ CG'!$A$4:$D$36,2,0),"")</f>
        <v/>
      </c>
      <c r="X252" s="353" t="str">
        <f>IFERROR(VLOOKUP(V252,'NS QUẢN LÝ CG'!$A$4:$D$36,4,0),"")</f>
        <v/>
      </c>
      <c r="Y252" s="353" t="str">
        <f>IFERROR(VLOOKUP(V252,'NS QUẢN LÝ CG'!$A$4:$C$36,3,0),"")</f>
        <v/>
      </c>
      <c r="Z252" s="731" t="str">
        <f>IFERROR(VLOOKUP(M252,'02. MM-KLH'!$B$6:$T$823,3,0),"")</f>
        <v/>
      </c>
      <c r="AA252" s="353" t="str">
        <f t="shared" ref="AA252:AA259" si="15">_xlfn.SWITCH(LEFT(Z252,3),"A22","ADM","A23","DP","A24","LP","")</f>
        <v/>
      </c>
      <c r="AB252" s="731"/>
      <c r="AC252" s="731"/>
    </row>
    <row r="253" ht="13.8" spans="1:29">
      <c r="A253" s="731"/>
      <c r="B253" s="613" t="str">
        <f>IFERROR(VLOOKUP(M253,'02. MM-KLH'!$B$6:$T$823,6,0),"")</f>
        <v>Máy cày L4508</v>
      </c>
      <c r="C253" s="353">
        <v>1</v>
      </c>
      <c r="D253" s="353" t="str">
        <f>IFERROR(VLOOKUP(M253,'02. MM-KLH'!$B$6:$T$823,16,0),"")</f>
        <v>L4508</v>
      </c>
      <c r="E253" s="353" t="s">
        <v>5978</v>
      </c>
      <c r="F253" s="353"/>
      <c r="G253" s="353"/>
      <c r="H253" s="353" t="str">
        <f>IFERROR(VLOOKUP(M253,'02. MM-KLH'!$B$6:$T$823,17,0),"")</f>
        <v>45HP</v>
      </c>
      <c r="I253" s="763">
        <f>IFERROR(VLOOKUP(M253,'02. MM-KLH'!$B$6:$U$823,20,0),"")</f>
        <v>2</v>
      </c>
      <c r="J253" s="613" t="str">
        <f>IFERROR(VLOOKUP(M253,'02. MM-KLH'!$B$6:$T$823,19,0),"")</f>
        <v>CCN</v>
      </c>
      <c r="K253" s="613">
        <f>IFERROR(VLOOKUP(M253,'02. MM-KLH'!$B$6:$T$823,18,0),"")</f>
        <v>14720</v>
      </c>
      <c r="L253" s="353">
        <f>IFERROR(VLOOKUP(M253,'02. MM-KLH'!$B$6:$T$823,4,0),"")</f>
        <v>0</v>
      </c>
      <c r="M253" s="49" t="s">
        <v>1346</v>
      </c>
      <c r="N253" s="356">
        <f>IFERROR(VLOOKUP(M253,'02. MM-KLH'!$B$6:$T$823,15,0),"")</f>
        <v>2019</v>
      </c>
      <c r="O253" s="764">
        <f>IFERROR(VLOOKUP(M253,'02. MM-KLH'!$B$6:$T$823,9,0),"")</f>
        <v>0</v>
      </c>
      <c r="P253" s="353"/>
      <c r="Q253" s="353" t="s">
        <v>1755</v>
      </c>
      <c r="R253" s="353" t="s">
        <v>5978</v>
      </c>
      <c r="S253" s="353"/>
      <c r="T253" s="353"/>
      <c r="U253" s="353" t="str">
        <f>IFERROR(VLOOKUP(M253,'02. MM-KLH'!$B$6:$T$823,5,0),"")</f>
        <v>ĐQSD</v>
      </c>
      <c r="V253" s="731" t="str">
        <f>IFERROR(VLOOKUP(M253,'02. MM-KLH'!$B$6:$T$823,8,0),"")</f>
        <v>XN Chuối DP3</v>
      </c>
      <c r="W253" s="353" t="str">
        <f>IFERROR(VLOOKUP(V253,'NS QUẢN LÝ CG'!$A$4:$D$36,2,0),"")</f>
        <v/>
      </c>
      <c r="X253" s="353" t="str">
        <f>IFERROR(VLOOKUP(V253,'NS QUẢN LÝ CG'!$A$4:$D$36,4,0),"")</f>
        <v/>
      </c>
      <c r="Y253" s="353" t="str">
        <f>IFERROR(VLOOKUP(V253,'NS QUẢN LÝ CG'!$A$4:$C$36,3,0),"")</f>
        <v/>
      </c>
      <c r="Z253" s="731" t="str">
        <f>IFERROR(VLOOKUP(M253,'02. MM-KLH'!$B$6:$T$823,3,0),"")</f>
        <v>A23-MKE-023</v>
      </c>
      <c r="AA253" s="353" t="str">
        <f t="shared" si="15"/>
        <v>DP</v>
      </c>
      <c r="AB253" s="731"/>
      <c r="AC253" s="731"/>
    </row>
    <row r="254" ht="13.8" spans="1:29">
      <c r="A254" s="731"/>
      <c r="B254" s="613" t="str">
        <f>IFERROR(VLOOKUP(M254,'02. MM-KLH'!$B$6:$T$823,6,0),"")</f>
        <v>Máy cày L4508</v>
      </c>
      <c r="C254" s="353">
        <v>1</v>
      </c>
      <c r="D254" s="353" t="str">
        <f>IFERROR(VLOOKUP(M254,'02. MM-KLH'!$B$6:$T$823,16,0),"")</f>
        <v>L4508</v>
      </c>
      <c r="E254" s="353" t="s">
        <v>5978</v>
      </c>
      <c r="F254" s="353"/>
      <c r="G254" s="353"/>
      <c r="H254" s="353" t="str">
        <f>IFERROR(VLOOKUP(M254,'02. MM-KLH'!$B$6:$T$823,17,0),"")</f>
        <v>45HP</v>
      </c>
      <c r="I254" s="763">
        <f>IFERROR(VLOOKUP(M254,'02. MM-KLH'!$B$6:$U$823,20,0),"")</f>
        <v>2.5</v>
      </c>
      <c r="J254" s="613" t="str">
        <f>IFERROR(VLOOKUP(M254,'02. MM-KLH'!$B$6:$T$823,19,0),"")</f>
        <v>CCN</v>
      </c>
      <c r="K254" s="613">
        <f>IFERROR(VLOOKUP(M254,'02. MM-KLH'!$B$6:$T$823,18,0),"")</f>
        <v>14716</v>
      </c>
      <c r="L254" s="353">
        <f>IFERROR(VLOOKUP(M254,'02. MM-KLH'!$B$6:$T$823,4,0),"")</f>
        <v>0</v>
      </c>
      <c r="M254" s="49" t="s">
        <v>1366</v>
      </c>
      <c r="N254" s="356">
        <f>IFERROR(VLOOKUP(M254,'02. MM-KLH'!$B$6:$T$823,15,0),"")</f>
        <v>2019</v>
      </c>
      <c r="O254" s="764">
        <f>IFERROR(VLOOKUP(M254,'02. MM-KLH'!$B$6:$T$823,9,0),"")</f>
        <v>0</v>
      </c>
      <c r="P254" s="353"/>
      <c r="Q254" s="353" t="s">
        <v>1755</v>
      </c>
      <c r="R254" s="353" t="s">
        <v>5978</v>
      </c>
      <c r="S254" s="353"/>
      <c r="T254" s="353"/>
      <c r="U254" s="353" t="str">
        <f>IFERROR(VLOOKUP(M254,'02. MM-KLH'!$B$6:$T$823,5,0),"")</f>
        <v>ĐQSD</v>
      </c>
      <c r="V254" s="731" t="str">
        <f>IFERROR(VLOOKUP(M254,'02. MM-KLH'!$B$6:$T$823,8,0),"")</f>
        <v>XN Chuối DP3</v>
      </c>
      <c r="W254" s="353" t="str">
        <f>IFERROR(VLOOKUP(V254,'NS QUẢN LÝ CG'!$A$4:$D$36,2,0),"")</f>
        <v/>
      </c>
      <c r="X254" s="353" t="str">
        <f>IFERROR(VLOOKUP(V254,'NS QUẢN LÝ CG'!$A$4:$D$36,4,0),"")</f>
        <v/>
      </c>
      <c r="Y254" s="353" t="str">
        <f>IFERROR(VLOOKUP(V254,'NS QUẢN LÝ CG'!$A$4:$C$36,3,0),"")</f>
        <v/>
      </c>
      <c r="Z254" s="731" t="str">
        <f>IFERROR(VLOOKUP(M254,'02. MM-KLH'!$B$6:$T$823,3,0),"")</f>
        <v>A23-MKE-029</v>
      </c>
      <c r="AA254" s="353" t="str">
        <f t="shared" si="15"/>
        <v>DP</v>
      </c>
      <c r="AB254" s="731"/>
      <c r="AC254" s="731"/>
    </row>
    <row r="255" ht="13.8" spans="1:29">
      <c r="A255" s="731"/>
      <c r="B255" s="613" t="str">
        <f>IFERROR(VLOOKUP(M255,'02. MM-KLH'!$B$6:$T$823,6,0),"")</f>
        <v>Máy cày L4508</v>
      </c>
      <c r="C255" s="353">
        <v>1</v>
      </c>
      <c r="D255" s="353" t="str">
        <f>IFERROR(VLOOKUP(M255,'02. MM-KLH'!$B$6:$T$823,16,0),"")</f>
        <v>L4508</v>
      </c>
      <c r="E255" s="353" t="s">
        <v>5978</v>
      </c>
      <c r="F255" s="353"/>
      <c r="G255" s="353"/>
      <c r="H255" s="353" t="str">
        <f>IFERROR(VLOOKUP(M255,'02. MM-KLH'!$B$6:$T$823,17,0),"")</f>
        <v>45HP</v>
      </c>
      <c r="I255" s="763">
        <f>IFERROR(VLOOKUP(M255,'02. MM-KLH'!$B$6:$U$823,20,0),"")</f>
        <v>2</v>
      </c>
      <c r="J255" s="613" t="str">
        <f>IFERROR(VLOOKUP(M255,'02. MM-KLH'!$B$6:$T$823,19,0),"")</f>
        <v>CCN</v>
      </c>
      <c r="K255" s="613" t="str">
        <f>IFERROR(VLOOKUP(M255,'02. MM-KLH'!$B$6:$T$823,18,0),"")</f>
        <v>V2208-BC1659</v>
      </c>
      <c r="L255" s="353">
        <f>IFERROR(VLOOKUP(M255,'02. MM-KLH'!$B$6:$T$823,4,0),"")</f>
        <v>0</v>
      </c>
      <c r="M255" s="49" t="s">
        <v>1493</v>
      </c>
      <c r="N255" s="356">
        <f>IFERROR(VLOOKUP(M255,'02. MM-KLH'!$B$6:$T$823,15,0),"")</f>
        <v>2019</v>
      </c>
      <c r="O255" s="764">
        <f>IFERROR(VLOOKUP(M255,'02. MM-KLH'!$B$6:$T$823,9,0),"")</f>
        <v>0</v>
      </c>
      <c r="P255" s="353"/>
      <c r="Q255" s="353" t="s">
        <v>1755</v>
      </c>
      <c r="R255" s="353"/>
      <c r="S255" s="353"/>
      <c r="T255" s="353"/>
      <c r="U255" s="353" t="str">
        <f>IFERROR(VLOOKUP(M255,'02. MM-KLH'!$B$6:$T$823,5,0),"")</f>
        <v>ĐQSD</v>
      </c>
      <c r="V255" s="731" t="str">
        <f>IFERROR(VLOOKUP(M255,'02. MM-KLH'!$B$6:$T$823,8,0),"")</f>
        <v>XN Chuối LP1</v>
      </c>
      <c r="W255" s="353" t="str">
        <f>IFERROR(VLOOKUP(V255,'NS QUẢN LÝ CG'!$A$4:$D$36,2,0),"")</f>
        <v/>
      </c>
      <c r="X255" s="353" t="str">
        <f>IFERROR(VLOOKUP(V255,'NS QUẢN LÝ CG'!$A$4:$D$36,4,0),"")</f>
        <v/>
      </c>
      <c r="Y255" s="353" t="str">
        <f>IFERROR(VLOOKUP(V255,'NS QUẢN LÝ CG'!$A$4:$C$36,3,0),"")</f>
        <v/>
      </c>
      <c r="Z255" s="731" t="str">
        <f>IFERROR(VLOOKUP(M255,'02. MM-KLH'!$B$6:$T$823,3,0),"")</f>
        <v>A24-MKE-017</v>
      </c>
      <c r="AA255" s="353" t="str">
        <f t="shared" si="15"/>
        <v>LP</v>
      </c>
      <c r="AB255" s="731"/>
      <c r="AC255" s="731"/>
    </row>
    <row r="256" ht="13.8" spans="1:29">
      <c r="A256" s="731"/>
      <c r="B256" s="613" t="str">
        <f>IFERROR(VLOOKUP(M256,'02. MM-KLH'!$B$6:$T$823,6,0),"")</f>
        <v>Máy cày L4508</v>
      </c>
      <c r="C256" s="353">
        <v>1</v>
      </c>
      <c r="D256" s="353" t="str">
        <f>IFERROR(VLOOKUP(M256,'02. MM-KLH'!$B$6:$T$823,16,0),"")</f>
        <v>L4508</v>
      </c>
      <c r="E256" s="353" t="s">
        <v>5978</v>
      </c>
      <c r="F256" s="353"/>
      <c r="G256" s="353"/>
      <c r="H256" s="353" t="str">
        <f>IFERROR(VLOOKUP(M256,'02. MM-KLH'!$B$6:$T$823,17,0),"")</f>
        <v>45HP</v>
      </c>
      <c r="I256" s="763">
        <f>IFERROR(VLOOKUP(M256,'02. MM-KLH'!$B$6:$U$823,20,0),"")</f>
        <v>2.5</v>
      </c>
      <c r="J256" s="613" t="str">
        <f>IFERROR(VLOOKUP(M256,'02. MM-KLH'!$B$6:$T$823,19,0),"")</f>
        <v>CCN</v>
      </c>
      <c r="K256" s="613">
        <f>IFERROR(VLOOKUP(M256,'02. MM-KLH'!$B$6:$T$823,18,0),"")</f>
        <v>1665</v>
      </c>
      <c r="L256" s="353">
        <f>IFERROR(VLOOKUP(M256,'02. MM-KLH'!$B$6:$T$823,4,0),"")</f>
        <v>0</v>
      </c>
      <c r="M256" s="49" t="s">
        <v>1601</v>
      </c>
      <c r="N256" s="356">
        <f>IFERROR(VLOOKUP(M256,'02. MM-KLH'!$B$6:$T$823,15,0),"")</f>
        <v>2019</v>
      </c>
      <c r="O256" s="764">
        <f>IFERROR(VLOOKUP(M256,'02. MM-KLH'!$B$6:$T$823,9,0),"")</f>
        <v>0</v>
      </c>
      <c r="P256" s="353"/>
      <c r="Q256" s="353" t="s">
        <v>1755</v>
      </c>
      <c r="R256" s="353"/>
      <c r="S256" s="353"/>
      <c r="T256" s="353" t="s">
        <v>5978</v>
      </c>
      <c r="U256" s="353" t="str">
        <f>IFERROR(VLOOKUP(M256,'02. MM-KLH'!$B$6:$T$823,5,0),"")</f>
        <v>ĐQSD</v>
      </c>
      <c r="V256" s="731" t="str">
        <f>IFERROR(VLOOKUP(M256,'02. MM-KLH'!$B$6:$T$823,8,0),"")</f>
        <v>XN Chuối LP3</v>
      </c>
      <c r="W256" s="353" t="str">
        <f>IFERROR(VLOOKUP(V256,'NS QUẢN LÝ CG'!$A$4:$D$36,2,0),"")</f>
        <v/>
      </c>
      <c r="X256" s="353" t="str">
        <f>IFERROR(VLOOKUP(V256,'NS QUẢN LÝ CG'!$A$4:$D$36,4,0),"")</f>
        <v/>
      </c>
      <c r="Y256" s="353" t="str">
        <f>IFERROR(VLOOKUP(V256,'NS QUẢN LÝ CG'!$A$4:$C$36,3,0),"")</f>
        <v/>
      </c>
      <c r="Z256" s="731" t="str">
        <f>IFERROR(VLOOKUP(M256,'02. MM-KLH'!$B$6:$T$823,3,0),"")</f>
        <v>A24-MKE-014</v>
      </c>
      <c r="AA256" s="353" t="str">
        <f t="shared" si="15"/>
        <v>LP</v>
      </c>
      <c r="AB256" s="731"/>
      <c r="AC256" s="731"/>
    </row>
    <row r="257" ht="13.8" spans="1:29">
      <c r="A257" s="731"/>
      <c r="B257" s="613" t="str">
        <f>IFERROR(VLOOKUP(M257,'02. MM-KLH'!$B$6:$T$823,6,0),"")</f>
        <v>Máy cày L4508</v>
      </c>
      <c r="C257" s="353">
        <v>1</v>
      </c>
      <c r="D257" s="353" t="str">
        <f>IFERROR(VLOOKUP(M257,'02. MM-KLH'!$B$6:$T$823,16,0),"")</f>
        <v>L4508</v>
      </c>
      <c r="E257" s="353" t="s">
        <v>5978</v>
      </c>
      <c r="F257" s="353"/>
      <c r="G257" s="353"/>
      <c r="H257" s="353" t="str">
        <f>IFERROR(VLOOKUP(M257,'02. MM-KLH'!$B$6:$T$823,17,0),"")</f>
        <v>45HP</v>
      </c>
      <c r="I257" s="763">
        <f>IFERROR(VLOOKUP(M257,'02. MM-KLH'!$B$6:$U$823,20,0),"")</f>
        <v>2.5</v>
      </c>
      <c r="J257" s="613" t="str">
        <f>IFERROR(VLOOKUP(M257,'02. MM-KLH'!$B$6:$T$823,19,0),"")</f>
        <v>CCN</v>
      </c>
      <c r="K257" s="1105" t="str">
        <f>IFERROR(VLOOKUP(M257,'02. MM-KLH'!$B$6:$T$823,18,0),"")</f>
        <v>0950</v>
      </c>
      <c r="L257" s="353">
        <f>IFERROR(VLOOKUP(M257,'02. MM-KLH'!$B$6:$T$823,4,0),"")</f>
        <v>0</v>
      </c>
      <c r="M257" s="49" t="s">
        <v>2593</v>
      </c>
      <c r="N257" s="356">
        <f>IFERROR(VLOOKUP(M257,'02. MM-KLH'!$B$6:$T$823,15,0),"")</f>
        <v>2019</v>
      </c>
      <c r="O257" s="764">
        <f>IFERROR(VLOOKUP(M257,'02. MM-KLH'!$B$6:$T$823,9,0),"")</f>
        <v>0</v>
      </c>
      <c r="P257" s="353"/>
      <c r="Q257" s="353" t="s">
        <v>1755</v>
      </c>
      <c r="R257" s="353"/>
      <c r="S257" s="353"/>
      <c r="T257" s="353"/>
      <c r="U257" s="353" t="str">
        <f>IFERROR(VLOOKUP(M257,'02. MM-KLH'!$B$6:$T$823,5,0),"")</f>
        <v>ĐQSD</v>
      </c>
      <c r="V257" s="731" t="str">
        <f>IFERROR(VLOOKUP(M257,'02. MM-KLH'!$B$6:$T$823,8,0),"")</f>
        <v>Ban điện nước</v>
      </c>
      <c r="W257" s="353" t="str">
        <f>IFERROR(VLOOKUP(V257,'NS QUẢN LÝ CG'!$A$4:$D$36,2,0),"")</f>
        <v/>
      </c>
      <c r="X257" s="353" t="str">
        <f>IFERROR(VLOOKUP(V257,'NS QUẢN LÝ CG'!$A$4:$D$36,4,0),"")</f>
        <v/>
      </c>
      <c r="Y257" s="353" t="str">
        <f>IFERROR(VLOOKUP(V257,'NS QUẢN LÝ CG'!$A$4:$C$36,3,0),"")</f>
        <v/>
      </c>
      <c r="Z257" s="731" t="str">
        <f>IFERROR(VLOOKUP(M257,'02. MM-KLH'!$B$6:$T$823,3,0),"")</f>
        <v/>
      </c>
      <c r="AA257" s="353" t="str">
        <f t="shared" si="15"/>
        <v/>
      </c>
      <c r="AB257" s="731"/>
      <c r="AC257" s="731"/>
    </row>
    <row r="258" ht="13.8" spans="1:29">
      <c r="A258" s="731"/>
      <c r="B258" s="613" t="str">
        <f>IFERROR(VLOOKUP(M258,'02. MM-KLH'!$B$6:$T$823,6,0),"")</f>
        <v>Máy cày L4508</v>
      </c>
      <c r="C258" s="353">
        <v>1</v>
      </c>
      <c r="D258" s="353" t="str">
        <f>IFERROR(VLOOKUP(M258,'02. MM-KLH'!$B$6:$T$823,16,0),"")</f>
        <v>L4508</v>
      </c>
      <c r="E258" s="353" t="s">
        <v>5978</v>
      </c>
      <c r="F258" s="353"/>
      <c r="G258" s="353"/>
      <c r="H258" s="353" t="str">
        <f>IFERROR(VLOOKUP(M258,'02. MM-KLH'!$B$6:$T$823,17,0),"")</f>
        <v>45HP</v>
      </c>
      <c r="I258" s="763">
        <f>IFERROR(VLOOKUP(M258,'02. MM-KLH'!$B$6:$U$823,20,0),"")</f>
        <v>2.5</v>
      </c>
      <c r="J258" s="613" t="str">
        <f>IFERROR(VLOOKUP(M258,'02. MM-KLH'!$B$6:$T$823,19,0),"")</f>
        <v>CCN</v>
      </c>
      <c r="K258" s="613">
        <f>IFERROR(VLOOKUP(M258,'02. MM-KLH'!$B$6:$T$823,18,0),"")</f>
        <v>1659</v>
      </c>
      <c r="L258" s="353">
        <f>IFERROR(VLOOKUP(M258,'02. MM-KLH'!$B$6:$T$823,4,0),"")</f>
        <v>0</v>
      </c>
      <c r="M258" s="49" t="s">
        <v>2724</v>
      </c>
      <c r="N258" s="356">
        <f>IFERROR(VLOOKUP(M258,'02. MM-KLH'!$B$6:$T$823,15,0),"")</f>
        <v>2015</v>
      </c>
      <c r="O258" s="764">
        <f>IFERROR(VLOOKUP(M258,'02. MM-KLH'!$B$6:$T$823,9,0),"")</f>
        <v>42011</v>
      </c>
      <c r="P258" s="353"/>
      <c r="Q258" s="353" t="s">
        <v>1755</v>
      </c>
      <c r="R258" s="353"/>
      <c r="S258" s="353"/>
      <c r="T258" s="353"/>
      <c r="U258" s="353" t="str">
        <f>IFERROR(VLOOKUP(M258,'02. MM-KLH'!$B$6:$T$823,5,0),"")</f>
        <v>ĐQSD</v>
      </c>
      <c r="V258" s="731" t="str">
        <f>IFERROR(VLOOKUP(M258,'02. MM-KLH'!$B$6:$T$823,8,0),"")</f>
        <v>HÀNH CHÍNH KLH</v>
      </c>
      <c r="W258" s="353" t="str">
        <f>IFERROR(VLOOKUP(V258,'NS QUẢN LÝ CG'!$A$4:$D$36,2,0),"")</f>
        <v>Lê Trần Hoàng Minh</v>
      </c>
      <c r="X258" s="353" t="str">
        <f>IFERROR(VLOOKUP(V258,'NS QUẢN LÝ CG'!$A$4:$D$36,4,0),"")</f>
        <v>Văn Phòng 94</v>
      </c>
      <c r="Y258" s="1104" t="str">
        <f>IFERROR(VLOOKUP(V258,'NS QUẢN LÝ CG'!$A$4:$C$36,3,0),"")</f>
        <v>0965509539</v>
      </c>
      <c r="Z258" s="731" t="str">
        <f>IFERROR(VLOOKUP(M258,'02. MM-KLH'!$B$6:$T$823,3,0),"")</f>
        <v/>
      </c>
      <c r="AA258" s="353" t="str">
        <f t="shared" si="15"/>
        <v/>
      </c>
      <c r="AB258" s="731"/>
      <c r="AC258" s="731"/>
    </row>
    <row r="259" ht="13.8" spans="1:29">
      <c r="A259" s="731"/>
      <c r="B259" s="613" t="str">
        <f>IFERROR(VLOOKUP(M259,'02. MM-KLH'!$B$6:$T$823,6,0),"")</f>
        <v>Máy cày L4508</v>
      </c>
      <c r="C259" s="353">
        <v>1</v>
      </c>
      <c r="D259" s="353" t="str">
        <f>IFERROR(VLOOKUP(M259,'02. MM-KLH'!$B$6:$T$823,16,0),"")</f>
        <v>L4508</v>
      </c>
      <c r="E259" s="353" t="s">
        <v>5978</v>
      </c>
      <c r="F259" s="353"/>
      <c r="G259" s="353"/>
      <c r="H259" s="353" t="str">
        <f>IFERROR(VLOOKUP(M259,'02. MM-KLH'!$B$6:$T$823,17,0),"")</f>
        <v>45HP</v>
      </c>
      <c r="I259" s="763">
        <f>IFERROR(VLOOKUP(M259,'02. MM-KLH'!$B$6:$U$823,20,0),"")</f>
        <v>2.5</v>
      </c>
      <c r="J259" s="613" t="str">
        <f>IFERROR(VLOOKUP(M259,'02. MM-KLH'!$B$6:$T$823,19,0),"")</f>
        <v>CCN</v>
      </c>
      <c r="K259" s="1105" t="str">
        <f>IFERROR(VLOOKUP(M259,'02. MM-KLH'!$B$6:$T$823,18,0),"")</f>
        <v>01720</v>
      </c>
      <c r="L259" s="353">
        <f>IFERROR(VLOOKUP(M259,'02. MM-KLH'!$B$6:$T$823,4,0),"")</f>
        <v>0</v>
      </c>
      <c r="M259" s="49" t="s">
        <v>2736</v>
      </c>
      <c r="N259" s="356">
        <f>IFERROR(VLOOKUP(M259,'02. MM-KLH'!$B$6:$T$823,15,0),"")</f>
        <v>2015</v>
      </c>
      <c r="O259" s="764">
        <f>IFERROR(VLOOKUP(M259,'02. MM-KLH'!$B$6:$T$823,9,0),"")</f>
        <v>0</v>
      </c>
      <c r="P259" s="353"/>
      <c r="Q259" s="353" t="s">
        <v>1755</v>
      </c>
      <c r="R259" s="353"/>
      <c r="S259" s="353"/>
      <c r="T259" s="353"/>
      <c r="U259" s="353" t="str">
        <f>IFERROR(VLOOKUP(M259,'02. MM-KLH'!$B$6:$T$823,5,0),"")</f>
        <v>ĐQSD</v>
      </c>
      <c r="V259" s="731" t="str">
        <f>IFERROR(VLOOKUP(M259,'02. MM-KLH'!$B$6:$T$823,8,0),"")</f>
        <v>HÀNH CHÍNH KLH</v>
      </c>
      <c r="W259" s="353" t="str">
        <f>IFERROR(VLOOKUP(V259,'NS QUẢN LÝ CG'!$A$4:$D$36,2,0),"")</f>
        <v>Lê Trần Hoàng Minh</v>
      </c>
      <c r="X259" s="353" t="str">
        <f>IFERROR(VLOOKUP(V259,'NS QUẢN LÝ CG'!$A$4:$D$36,4,0),"")</f>
        <v>Văn Phòng 94</v>
      </c>
      <c r="Y259" s="1104" t="str">
        <f>IFERROR(VLOOKUP(V259,'NS QUẢN LÝ CG'!$A$4:$C$36,3,0),"")</f>
        <v>0965509539</v>
      </c>
      <c r="Z259" s="731">
        <f>IFERROR(VLOOKUP(M259,'02. MM-KLH'!$B$6:$T$823,3,0),"")</f>
        <v>0</v>
      </c>
      <c r="AA259" s="353" t="str">
        <f t="shared" si="15"/>
        <v/>
      </c>
      <c r="AB259" s="731"/>
      <c r="AC259" s="731"/>
    </row>
    <row r="260" ht="13.8" spans="1:29">
      <c r="A260" s="731"/>
      <c r="B260" s="613" t="str">
        <f>IFERROR(VLOOKUP(M260,'02. MM-KLH'!$B$6:$T$823,6,0),"")</f>
        <v>Máy cày M9540</v>
      </c>
      <c r="C260" s="353">
        <v>1</v>
      </c>
      <c r="D260" s="353">
        <f>IFERROR(VLOOKUP(M260,'02. MM-KLH'!$B$6:$T$823,16,0),"")</f>
        <v>9540</v>
      </c>
      <c r="E260" s="353" t="s">
        <v>5978</v>
      </c>
      <c r="F260" s="353"/>
      <c r="G260" s="353"/>
      <c r="H260" s="353" t="str">
        <f>IFERROR(VLOOKUP(M260,'02. MM-KLH'!$B$6:$T$823,17,0),"")</f>
        <v>95HP</v>
      </c>
      <c r="I260" s="763">
        <f>IFERROR(VLOOKUP(M260,'02. MM-KLH'!$B$6:$U$823,20,0),"")</f>
        <v>3.8</v>
      </c>
      <c r="J260" s="613" t="str">
        <f>IFERROR(VLOOKUP(M260,'02. MM-KLH'!$B$6:$T$823,19,0),"")</f>
        <v>CCN</v>
      </c>
      <c r="K260" s="613" t="str">
        <f>IFERROR(VLOOKUP(M260,'02. MM-KLH'!$B$6:$T$823,18,0),"")</f>
        <v>BY0896</v>
      </c>
      <c r="L260" s="353">
        <f>IFERROR(VLOOKUP(M260,'02. MM-KLH'!$B$6:$T$823,4,0),"")</f>
        <v>0</v>
      </c>
      <c r="M260" s="49" t="s">
        <v>1109</v>
      </c>
      <c r="N260" s="356">
        <f>IFERROR(VLOOKUP(M260,'02. MM-KLH'!$B$6:$T$823,15,0),"")</f>
        <v>2011</v>
      </c>
      <c r="O260" s="764">
        <f>IFERROR(VLOOKUP(M260,'02. MM-KLH'!$B$6:$T$823,9,0),"")</f>
        <v>0</v>
      </c>
      <c r="P260" s="353"/>
      <c r="Q260" s="353" t="s">
        <v>1755</v>
      </c>
      <c r="R260" s="353"/>
      <c r="S260" s="353"/>
      <c r="T260" s="353"/>
      <c r="U260" s="353" t="str">
        <f>IFERROR(VLOOKUP(M260,'02. MM-KLH'!$B$6:$T$823,5,0),"")</f>
        <v>ĐQSD</v>
      </c>
      <c r="V260" s="731" t="str">
        <f>IFERROR(VLOOKUP(M260,'02. MM-KLH'!$B$6:$T$823,8,0),"")</f>
        <v>XN Bò AD</v>
      </c>
      <c r="W260" s="353" t="str">
        <f>IFERROR(VLOOKUP(V260,'NS QUẢN LÝ CG'!$A$4:$D$36,2,0),"")</f>
        <v/>
      </c>
      <c r="X260" s="353" t="str">
        <f>IFERROR(VLOOKUP(V260,'NS QUẢN LÝ CG'!$A$4:$D$36,4,0),"")</f>
        <v/>
      </c>
      <c r="Y260" s="353" t="str">
        <f>IFERROR(VLOOKUP(V260,'NS QUẢN LÝ CG'!$A$4:$C$36,3,0),"")</f>
        <v/>
      </c>
      <c r="Z260" s="731" t="str">
        <f>IFERROR(VLOOKUP(M260,'02. MM-KLH'!$B$6:$T$823,3,0),"")</f>
        <v>ATT-A22-0182</v>
      </c>
      <c r="AA260" s="353" t="s">
        <v>5980</v>
      </c>
      <c r="AB260" s="731"/>
      <c r="AC260" s="731"/>
    </row>
    <row r="261" ht="13.8" spans="1:29">
      <c r="A261" s="731"/>
      <c r="B261" s="613" t="str">
        <f>IFERROR(VLOOKUP(M261,'02. MM-KLH'!$B$6:$T$823,6,0),"")</f>
        <v>Máy cày M9540</v>
      </c>
      <c r="C261" s="353">
        <v>1</v>
      </c>
      <c r="D261" s="353">
        <f>IFERROR(VLOOKUP(M261,'02. MM-KLH'!$B$6:$T$823,16,0),"")</f>
        <v>9540</v>
      </c>
      <c r="E261" s="353" t="s">
        <v>5978</v>
      </c>
      <c r="F261" s="353"/>
      <c r="G261" s="353"/>
      <c r="H261" s="353" t="str">
        <f>IFERROR(VLOOKUP(M261,'02. MM-KLH'!$B$6:$T$823,17,0),"")</f>
        <v>95HP</v>
      </c>
      <c r="I261" s="763">
        <f>IFERROR(VLOOKUP(M261,'02. MM-KLH'!$B$6:$U$823,20,0),"")</f>
        <v>2.5</v>
      </c>
      <c r="J261" s="613" t="str">
        <f>IFERROR(VLOOKUP(M261,'02. MM-KLH'!$B$6:$T$823,19,0),"")</f>
        <v>CCN</v>
      </c>
      <c r="K261" s="613">
        <f>IFERROR(VLOOKUP(M261,'02. MM-KLH'!$B$6:$T$823,18,0),"")</f>
        <v>2340</v>
      </c>
      <c r="L261" s="353">
        <f>IFERROR(VLOOKUP(M261,'02. MM-KLH'!$B$6:$T$823,4,0),"")</f>
        <v>0</v>
      </c>
      <c r="M261" s="49" t="s">
        <v>1827</v>
      </c>
      <c r="N261" s="356">
        <f>IFERROR(VLOOKUP(M261,'02. MM-KLH'!$B$6:$T$823,15,0),"")</f>
        <v>2011</v>
      </c>
      <c r="O261" s="764">
        <f>IFERROR(VLOOKUP(M261,'02. MM-KLH'!$B$6:$T$823,9,0),"")</f>
        <v>0</v>
      </c>
      <c r="P261" s="353"/>
      <c r="Q261" s="353" t="s">
        <v>1755</v>
      </c>
      <c r="R261" s="353" t="s">
        <v>5978</v>
      </c>
      <c r="S261" s="353"/>
      <c r="T261" s="353"/>
      <c r="U261" s="353" t="str">
        <f>IFERROR(VLOOKUP(M261,'02. MM-KLH'!$B$6:$T$823,5,0),"")</f>
        <v>ĐQSD</v>
      </c>
      <c r="V261" s="731" t="str">
        <f>IFERROR(VLOOKUP(M261,'02. MM-KLH'!$B$6:$T$823,8,0),"")</f>
        <v>XN Bò AD</v>
      </c>
      <c r="W261" s="353" t="str">
        <f>IFERROR(VLOOKUP(V261,'NS QUẢN LÝ CG'!$A$4:$D$36,2,0),"")</f>
        <v/>
      </c>
      <c r="X261" s="353" t="str">
        <f>IFERROR(VLOOKUP(V261,'NS QUẢN LÝ CG'!$A$4:$D$36,4,0),"")</f>
        <v/>
      </c>
      <c r="Y261" s="353" t="str">
        <f>IFERROR(VLOOKUP(V261,'NS QUẢN LÝ CG'!$A$4:$C$36,3,0),"")</f>
        <v/>
      </c>
      <c r="Z261" s="731" t="str">
        <f>IFERROR(VLOOKUP(M261,'02. MM-KLH'!$B$6:$T$823,3,0),"")</f>
        <v>ATT-A22-0182</v>
      </c>
      <c r="AA261" s="353" t="s">
        <v>5980</v>
      </c>
      <c r="AB261" s="731"/>
      <c r="AC261" s="731"/>
    </row>
    <row r="262" ht="13.8" spans="1:29">
      <c r="A262" s="731"/>
      <c r="B262" s="613" t="str">
        <f>IFERROR(VLOOKUP(M262,'02. MM-KLH'!$B$6:$T$823,6,0),"")</f>
        <v>Máy cày M9540</v>
      </c>
      <c r="C262" s="353">
        <v>1</v>
      </c>
      <c r="D262" s="353">
        <f>IFERROR(VLOOKUP(M262,'02. MM-KLH'!$B$6:$T$823,16,0),"")</f>
        <v>9540</v>
      </c>
      <c r="E262" s="353" t="s">
        <v>5978</v>
      </c>
      <c r="F262" s="353"/>
      <c r="G262" s="353"/>
      <c r="H262" s="353" t="str">
        <f>IFERROR(VLOOKUP(M262,'02. MM-KLH'!$B$6:$T$823,17,0),"")</f>
        <v>95HP</v>
      </c>
      <c r="I262" s="763">
        <f>IFERROR(VLOOKUP(M262,'02. MM-KLH'!$B$6:$U$823,20,0),"")</f>
        <v>3.8</v>
      </c>
      <c r="J262" s="613" t="str">
        <f>IFERROR(VLOOKUP(M262,'02. MM-KLH'!$B$6:$T$823,19,0),"")</f>
        <v>CCN</v>
      </c>
      <c r="K262" s="613">
        <f>IFERROR(VLOOKUP(M262,'02. MM-KLH'!$B$6:$T$823,18,0),"")</f>
        <v>2807</v>
      </c>
      <c r="L262" s="353">
        <f>IFERROR(VLOOKUP(M262,'02. MM-KLH'!$B$6:$T$823,4,0),"")</f>
        <v>0</v>
      </c>
      <c r="M262" s="49" t="s">
        <v>1829</v>
      </c>
      <c r="N262" s="356">
        <f>IFERROR(VLOOKUP(M262,'02. MM-KLH'!$B$6:$T$823,15,0),"")</f>
        <v>2011</v>
      </c>
      <c r="O262" s="764">
        <f>IFERROR(VLOOKUP(M262,'02. MM-KLH'!$B$6:$T$823,9,0),"")</f>
        <v>0</v>
      </c>
      <c r="P262" s="353"/>
      <c r="Q262" s="353" t="s">
        <v>1755</v>
      </c>
      <c r="R262" s="353"/>
      <c r="S262" s="353"/>
      <c r="T262" s="353" t="s">
        <v>5978</v>
      </c>
      <c r="U262" s="353" t="str">
        <f>IFERROR(VLOOKUP(M262,'02. MM-KLH'!$B$6:$T$823,5,0),"")</f>
        <v>ĐQSD</v>
      </c>
      <c r="V262" s="731" t="str">
        <f>IFERROR(VLOOKUP(M262,'02. MM-KLH'!$B$6:$T$823,8,0),"")</f>
        <v>XN Bò AD</v>
      </c>
      <c r="W262" s="353" t="str">
        <f>IFERROR(VLOOKUP(V262,'NS QUẢN LÝ CG'!$A$4:$D$36,2,0),"")</f>
        <v/>
      </c>
      <c r="X262" s="353" t="str">
        <f>IFERROR(VLOOKUP(V262,'NS QUẢN LÝ CG'!$A$4:$D$36,4,0),"")</f>
        <v/>
      </c>
      <c r="Y262" s="353" t="str">
        <f>IFERROR(VLOOKUP(V262,'NS QUẢN LÝ CG'!$A$4:$C$36,3,0),"")</f>
        <v/>
      </c>
      <c r="Z262" s="731" t="str">
        <f>IFERROR(VLOOKUP(M262,'02. MM-KLH'!$B$6:$T$823,3,0),"")</f>
        <v>ATT-A22-0182</v>
      </c>
      <c r="AA262" s="353" t="s">
        <v>5980</v>
      </c>
      <c r="AB262" s="731"/>
      <c r="AC262" s="731"/>
    </row>
    <row r="263" ht="13.8" spans="1:29">
      <c r="A263" s="731"/>
      <c r="B263" s="613" t="str">
        <f>IFERROR(VLOOKUP(M263,'02. MM-KLH'!$B$6:$T$823,6,0),"")</f>
        <v>Máy cày M9540</v>
      </c>
      <c r="C263" s="353">
        <v>1</v>
      </c>
      <c r="D263" s="353">
        <f>IFERROR(VLOOKUP(M263,'02. MM-KLH'!$B$6:$T$823,16,0),"")</f>
        <v>9540</v>
      </c>
      <c r="E263" s="353" t="s">
        <v>5978</v>
      </c>
      <c r="F263" s="353"/>
      <c r="G263" s="353"/>
      <c r="H263" s="353" t="str">
        <f>IFERROR(VLOOKUP(M263,'02. MM-KLH'!$B$6:$T$823,17,0),"")</f>
        <v>95HP</v>
      </c>
      <c r="I263" s="763">
        <f>IFERROR(VLOOKUP(M263,'02. MM-KLH'!$B$6:$U$823,20,0),"")</f>
        <v>3.8</v>
      </c>
      <c r="J263" s="613" t="str">
        <f>IFERROR(VLOOKUP(M263,'02. MM-KLH'!$B$6:$T$823,19,0),"")</f>
        <v>CCN</v>
      </c>
      <c r="K263" s="613">
        <f>IFERROR(VLOOKUP(M263,'02. MM-KLH'!$B$6:$T$823,18,0),"")</f>
        <v>2796</v>
      </c>
      <c r="L263" s="353">
        <f>IFERROR(VLOOKUP(M263,'02. MM-KLH'!$B$6:$T$823,4,0),"")</f>
        <v>0</v>
      </c>
      <c r="M263" s="49" t="s">
        <v>1831</v>
      </c>
      <c r="N263" s="356">
        <f>IFERROR(VLOOKUP(M263,'02. MM-KLH'!$B$6:$T$823,15,0),"")</f>
        <v>2011</v>
      </c>
      <c r="O263" s="764">
        <f>IFERROR(VLOOKUP(M263,'02. MM-KLH'!$B$6:$T$823,9,0),"")</f>
        <v>0</v>
      </c>
      <c r="P263" s="353"/>
      <c r="Q263" s="353" t="s">
        <v>1755</v>
      </c>
      <c r="R263" s="353"/>
      <c r="S263" s="353"/>
      <c r="T263" s="353" t="s">
        <v>5978</v>
      </c>
      <c r="U263" s="353" t="str">
        <f>IFERROR(VLOOKUP(M263,'02. MM-KLH'!$B$6:$T$823,5,0),"")</f>
        <v>ĐQSD</v>
      </c>
      <c r="V263" s="731" t="str">
        <f>IFERROR(VLOOKUP(M263,'02. MM-KLH'!$B$6:$T$823,8,0),"")</f>
        <v>XN Bò AD</v>
      </c>
      <c r="W263" s="353" t="str">
        <f>IFERROR(VLOOKUP(V263,'NS QUẢN LÝ CG'!$A$4:$D$36,2,0),"")</f>
        <v/>
      </c>
      <c r="X263" s="353" t="str">
        <f>IFERROR(VLOOKUP(V263,'NS QUẢN LÝ CG'!$A$4:$D$36,4,0),"")</f>
        <v/>
      </c>
      <c r="Y263" s="353" t="str">
        <f>IFERROR(VLOOKUP(V263,'NS QUẢN LÝ CG'!$A$4:$C$36,3,0),"")</f>
        <v/>
      </c>
      <c r="Z263" s="731" t="str">
        <f>IFERROR(VLOOKUP(M263,'02. MM-KLH'!$B$6:$T$823,3,0),"")</f>
        <v>ATT-A22-0182</v>
      </c>
      <c r="AA263" s="353" t="s">
        <v>5980</v>
      </c>
      <c r="AB263" s="731"/>
      <c r="AC263" s="731"/>
    </row>
    <row r="264" ht="13.8" spans="1:29">
      <c r="A264" s="731"/>
      <c r="B264" s="613" t="str">
        <f>IFERROR(VLOOKUP(M264,'02. MM-KLH'!$B$6:$T$823,6,0),"")</f>
        <v>Máy cày KUBOTA L2002DT</v>
      </c>
      <c r="C264" s="353">
        <v>1</v>
      </c>
      <c r="D264" s="353" t="str">
        <f>IFERROR(VLOOKUP(M264,'02. MM-KLH'!$B$6:$T$823,16,0),"")</f>
        <v>L2002DT</v>
      </c>
      <c r="E264" s="353" t="s">
        <v>5978</v>
      </c>
      <c r="F264" s="353"/>
      <c r="G264" s="353"/>
      <c r="H264" s="353" t="str">
        <f>IFERROR(VLOOKUP(M264,'02. MM-KLH'!$B$6:$T$823,17,0),"")</f>
        <v>20HP</v>
      </c>
      <c r="I264" s="763">
        <f>IFERROR(VLOOKUP(M264,'02. MM-KLH'!$B$6:$U$823,20,0),"")</f>
        <v>2.5</v>
      </c>
      <c r="J264" s="613">
        <f>IFERROR(VLOOKUP(M264,'02. MM-KLH'!$B$6:$T$823,19,0),"")</f>
        <v>11368</v>
      </c>
      <c r="K264" s="613" t="str">
        <f>IFERROR(VLOOKUP(M264,'02. MM-KLH'!$B$6:$T$823,18,0),"")</f>
        <v>CCN</v>
      </c>
      <c r="L264" s="353">
        <f>IFERROR(VLOOKUP(M264,'02. MM-KLH'!$B$6:$T$823,4,0),"")</f>
        <v>0</v>
      </c>
      <c r="M264" s="49" t="s">
        <v>1489</v>
      </c>
      <c r="N264" s="356">
        <f>IFERROR(VLOOKUP(M264,'02. MM-KLH'!$B$6:$T$823,15,0),"")</f>
        <v>0</v>
      </c>
      <c r="O264" s="764" t="str">
        <f>IFERROR(VLOOKUP(M264,'02. MM-KLH'!$B$6:$T$823,9,0),"")</f>
        <v>23/01/2024</v>
      </c>
      <c r="P264" s="353"/>
      <c r="Q264" s="353" t="s">
        <v>1755</v>
      </c>
      <c r="R264" s="353"/>
      <c r="S264" s="353"/>
      <c r="T264" s="353"/>
      <c r="U264" s="353" t="str">
        <f>IFERROR(VLOOKUP(M264,'02. MM-KLH'!$B$6:$T$823,5,0),"")</f>
        <v>ĐQSD</v>
      </c>
      <c r="V264" s="731" t="str">
        <f>IFERROR(VLOOKUP(M264,'02. MM-KLH'!$B$6:$T$823,8,0),"")</f>
        <v>XN Chuối LP1</v>
      </c>
      <c r="W264" s="353" t="str">
        <f>IFERROR(VLOOKUP(V264,'NS QUẢN LÝ CG'!$A$4:$D$36,2,0),"")</f>
        <v/>
      </c>
      <c r="X264" s="353" t="str">
        <f>IFERROR(VLOOKUP(V264,'NS QUẢN LÝ CG'!$A$4:$D$36,4,0),"")</f>
        <v/>
      </c>
      <c r="Y264" s="353" t="str">
        <f>IFERROR(VLOOKUP(V264,'NS QUẢN LÝ CG'!$A$4:$C$36,3,0),"")</f>
        <v/>
      </c>
      <c r="Z264" s="731" t="str">
        <f>IFERROR(VLOOKUP(M264,'02. MM-KLH'!$B$6:$T$823,3,0),"")</f>
        <v>A24-MKE-020</v>
      </c>
      <c r="AA264" s="353" t="str">
        <f t="shared" ref="AA264:AA267" si="16">_xlfn.SWITCH(LEFT(Z264,3),"A22","ADM","A23","DP","A24","LP","")</f>
        <v>LP</v>
      </c>
      <c r="AB264" s="731"/>
      <c r="AC264" s="731"/>
    </row>
    <row r="265" ht="13.8" spans="1:29">
      <c r="A265" s="731"/>
      <c r="B265" s="613" t="str">
        <f>IFERROR(VLOOKUP(M265,'02. MM-KLH'!$B$6:$T$823,6,0),"")</f>
        <v>Máy cày KUBOTA L2002DT</v>
      </c>
      <c r="C265" s="353">
        <v>1</v>
      </c>
      <c r="D265" s="353" t="str">
        <f>IFERROR(VLOOKUP(M265,'02. MM-KLH'!$B$6:$T$823,16,0),"")</f>
        <v>L2002DT</v>
      </c>
      <c r="E265" s="353" t="s">
        <v>5978</v>
      </c>
      <c r="F265" s="353"/>
      <c r="G265" s="353"/>
      <c r="H265" s="353" t="str">
        <f>IFERROR(VLOOKUP(M265,'02. MM-KLH'!$B$6:$T$823,17,0),"")</f>
        <v>20HP</v>
      </c>
      <c r="I265" s="763">
        <f>IFERROR(VLOOKUP(M265,'02. MM-KLH'!$B$6:$U$823,20,0),"")</f>
        <v>2</v>
      </c>
      <c r="J265" s="1105" t="str">
        <f>IFERROR(VLOOKUP(M265,'02. MM-KLH'!$B$6:$T$823,19,0),"")</f>
        <v>02250</v>
      </c>
      <c r="K265" s="613" t="str">
        <f>IFERROR(VLOOKUP(M265,'02. MM-KLH'!$B$6:$T$823,18,0),"")</f>
        <v>CCN</v>
      </c>
      <c r="L265" s="353">
        <f>IFERROR(VLOOKUP(M265,'02. MM-KLH'!$B$6:$T$823,4,0),"")</f>
        <v>0</v>
      </c>
      <c r="M265" s="49" t="s">
        <v>1758</v>
      </c>
      <c r="N265" s="356">
        <f>IFERROR(VLOOKUP(M265,'02. MM-KLH'!$B$6:$T$823,15,0),"")</f>
        <v>0</v>
      </c>
      <c r="O265" s="764">
        <f>IFERROR(VLOOKUP(M265,'02. MM-KLH'!$B$6:$T$823,9,0),"")</f>
        <v>0</v>
      </c>
      <c r="P265" s="353"/>
      <c r="Q265" s="353" t="s">
        <v>1755</v>
      </c>
      <c r="R265" s="353"/>
      <c r="S265" s="353"/>
      <c r="T265" s="353"/>
      <c r="U265" s="353" t="str">
        <f>IFERROR(VLOOKUP(M265,'02. MM-KLH'!$B$6:$T$823,5,0),"")</f>
        <v>ĐQSD</v>
      </c>
      <c r="V265" s="731" t="str">
        <f>IFERROR(VLOOKUP(M265,'02. MM-KLH'!$B$6:$T$823,8,0),"")</f>
        <v>Xoài DP</v>
      </c>
      <c r="W265" s="353" t="str">
        <f>IFERROR(VLOOKUP(V265,'NS QUẢN LÝ CG'!$A$4:$D$36,2,0),"")</f>
        <v/>
      </c>
      <c r="X265" s="353" t="str">
        <f>IFERROR(VLOOKUP(V265,'NS QUẢN LÝ CG'!$A$4:$D$36,4,0),"")</f>
        <v/>
      </c>
      <c r="Y265" s="353" t="str">
        <f>IFERROR(VLOOKUP(V265,'NS QUẢN LÝ CG'!$A$4:$C$36,3,0),"")</f>
        <v/>
      </c>
      <c r="Z265" s="731" t="str">
        <f>IFERROR(VLOOKUP(M265,'02. MM-KLH'!$B$6:$T$823,3,0),"")</f>
        <v>A23-MKE-030</v>
      </c>
      <c r="AA265" s="353" t="str">
        <f t="shared" si="16"/>
        <v>DP</v>
      </c>
      <c r="AB265" s="731"/>
      <c r="AC265" s="731"/>
    </row>
    <row r="266" ht="13.8" spans="1:29">
      <c r="A266" s="731"/>
      <c r="B266" s="613" t="str">
        <f>IFERROR(VLOOKUP(M266,'02. MM-KLH'!$B$6:$T$823,6,0),"")</f>
        <v>Máy cày KUBOTA L2002DT</v>
      </c>
      <c r="C266" s="353">
        <v>1</v>
      </c>
      <c r="D266" s="353" t="str">
        <f>IFERROR(VLOOKUP(M266,'02. MM-KLH'!$B$6:$T$823,16,0),"")</f>
        <v>L2002DT</v>
      </c>
      <c r="E266" s="353" t="s">
        <v>5978</v>
      </c>
      <c r="F266" s="353"/>
      <c r="G266" s="353"/>
      <c r="H266" s="353" t="str">
        <f>IFERROR(VLOOKUP(M266,'02. MM-KLH'!$B$6:$T$823,17,0),"")</f>
        <v>20HP</v>
      </c>
      <c r="I266" s="763">
        <f>IFERROR(VLOOKUP(M266,'02. MM-KLH'!$B$6:$U$823,20,0),"")</f>
        <v>2</v>
      </c>
      <c r="J266" s="1105" t="str">
        <f>IFERROR(VLOOKUP(M266,'02. MM-KLH'!$B$6:$T$823,19,0),"")</f>
        <v>03315</v>
      </c>
      <c r="K266" s="613" t="str">
        <f>IFERROR(VLOOKUP(M266,'02. MM-KLH'!$B$6:$T$823,18,0),"")</f>
        <v>CCN</v>
      </c>
      <c r="L266" s="353">
        <f>IFERROR(VLOOKUP(M266,'02. MM-KLH'!$B$6:$T$823,4,0),"")</f>
        <v>0</v>
      </c>
      <c r="M266" s="49" t="s">
        <v>1761</v>
      </c>
      <c r="N266" s="356">
        <f>IFERROR(VLOOKUP(M266,'02. MM-KLH'!$B$6:$T$823,15,0),"")</f>
        <v>0</v>
      </c>
      <c r="O266" s="764">
        <f>IFERROR(VLOOKUP(M266,'02. MM-KLH'!$B$6:$T$823,9,0),"")</f>
        <v>0</v>
      </c>
      <c r="P266" s="353"/>
      <c r="Q266" s="353" t="s">
        <v>1755</v>
      </c>
      <c r="R266" s="353"/>
      <c r="S266" s="353"/>
      <c r="T266" s="353"/>
      <c r="U266" s="353" t="str">
        <f>IFERROR(VLOOKUP(M266,'02. MM-KLH'!$B$6:$T$823,5,0),"")</f>
        <v>ĐQSD</v>
      </c>
      <c r="V266" s="731" t="str">
        <f>IFERROR(VLOOKUP(M266,'02. MM-KLH'!$B$6:$T$823,8,0),"")</f>
        <v>Xoài DP</v>
      </c>
      <c r="W266" s="353" t="str">
        <f>IFERROR(VLOOKUP(V266,'NS QUẢN LÝ CG'!$A$4:$D$36,2,0),"")</f>
        <v/>
      </c>
      <c r="X266" s="353" t="str">
        <f>IFERROR(VLOOKUP(V266,'NS QUẢN LÝ CG'!$A$4:$D$36,4,0),"")</f>
        <v/>
      </c>
      <c r="Y266" s="353" t="str">
        <f>IFERROR(VLOOKUP(V266,'NS QUẢN LÝ CG'!$A$4:$C$36,3,0),"")</f>
        <v/>
      </c>
      <c r="Z266" s="731" t="str">
        <f>IFERROR(VLOOKUP(M266,'02. MM-KLH'!$B$6:$T$823,3,0),"")</f>
        <v>A23-MKE-031</v>
      </c>
      <c r="AA266" s="353" t="str">
        <f t="shared" si="16"/>
        <v>DP</v>
      </c>
      <c r="AB266" s="731"/>
      <c r="AC266" s="731"/>
    </row>
    <row r="267" ht="13.8" spans="1:29">
      <c r="A267" s="731"/>
      <c r="B267" s="613" t="str">
        <f>IFERROR(VLOOKUP(M267,'02. MM-KLH'!$B$6:$T$823,6,0),"")</f>
        <v>Máy cày KUBOTA L2002DT</v>
      </c>
      <c r="C267" s="353">
        <v>1</v>
      </c>
      <c r="D267" s="353" t="str">
        <f>IFERROR(VLOOKUP(M267,'02. MM-KLH'!$B$6:$T$823,16,0),"")</f>
        <v>L2002DT</v>
      </c>
      <c r="E267" s="353" t="s">
        <v>5978</v>
      </c>
      <c r="F267" s="353"/>
      <c r="G267" s="353"/>
      <c r="H267" s="353" t="str">
        <f>IFERROR(VLOOKUP(M267,'02. MM-KLH'!$B$6:$T$823,17,0),"")</f>
        <v>20HP</v>
      </c>
      <c r="I267" s="763">
        <f>IFERROR(VLOOKUP(M267,'02. MM-KLH'!$B$6:$U$823,20,0),"")</f>
        <v>2.5</v>
      </c>
      <c r="J267" s="613">
        <f>IFERROR(VLOOKUP(M267,'02. MM-KLH'!$B$6:$T$823,19,0),"")</f>
        <v>2216</v>
      </c>
      <c r="K267" s="613" t="str">
        <f>IFERROR(VLOOKUP(M267,'02. MM-KLH'!$B$6:$T$823,18,0),"")</f>
        <v>CCN</v>
      </c>
      <c r="L267" s="353">
        <f>IFERROR(VLOOKUP(M267,'02. MM-KLH'!$B$6:$T$823,4,0),"")</f>
        <v>0</v>
      </c>
      <c r="M267" s="49" t="s">
        <v>1774</v>
      </c>
      <c r="N267" s="356">
        <f>IFERROR(VLOOKUP(M267,'02. MM-KLH'!$B$6:$T$823,15,0),"")</f>
        <v>0</v>
      </c>
      <c r="O267" s="764">
        <f>IFERROR(VLOOKUP(M267,'02. MM-KLH'!$B$6:$T$823,9,0),"")</f>
        <v>0</v>
      </c>
      <c r="P267" s="353"/>
      <c r="Q267" s="353" t="s">
        <v>1755</v>
      </c>
      <c r="R267" s="353"/>
      <c r="S267" s="353"/>
      <c r="T267" s="353"/>
      <c r="U267" s="353" t="str">
        <f>IFERROR(VLOOKUP(M267,'02. MM-KLH'!$B$6:$T$823,5,0),"")</f>
        <v>ĐQSD</v>
      </c>
      <c r="V267" s="731" t="str">
        <f>IFERROR(VLOOKUP(M267,'02. MM-KLH'!$B$6:$T$823,8,0),"")</f>
        <v>XOÀI AD</v>
      </c>
      <c r="W267" s="353" t="str">
        <f>IFERROR(VLOOKUP(V267,'NS QUẢN LÝ CG'!$A$4:$D$36,2,0),"")</f>
        <v/>
      </c>
      <c r="X267" s="353" t="str">
        <f>IFERROR(VLOOKUP(V267,'NS QUẢN LÝ CG'!$A$4:$D$36,4,0),"")</f>
        <v/>
      </c>
      <c r="Y267" s="353" t="str">
        <f>IFERROR(VLOOKUP(V267,'NS QUẢN LÝ CG'!$A$4:$C$36,3,0),"")</f>
        <v/>
      </c>
      <c r="Z267" s="731" t="str">
        <f>IFERROR(VLOOKUP(M267,'02. MM-KLH'!$B$6:$T$823,3,0),"")</f>
        <v>A22-MKE-003</v>
      </c>
      <c r="AA267" s="353" t="str">
        <f t="shared" si="16"/>
        <v>ADM</v>
      </c>
      <c r="AB267" s="731"/>
      <c r="AC267" s="731"/>
    </row>
    <row r="268" ht="13.8" spans="1:29">
      <c r="A268" s="731"/>
      <c r="B268" s="613" t="str">
        <f>IFERROR(VLOOKUP(M268,'02. MM-KLH'!$B$6:$T$823,6,0),"")</f>
        <v>Máy cày M6040</v>
      </c>
      <c r="C268" s="353">
        <v>1</v>
      </c>
      <c r="D268" s="353" t="str">
        <f>IFERROR(VLOOKUP(M268,'02. MM-KLH'!$B$6:$T$823,16,0),"")</f>
        <v>M6040</v>
      </c>
      <c r="E268" s="353" t="s">
        <v>5978</v>
      </c>
      <c r="F268" s="353"/>
      <c r="G268" s="353"/>
      <c r="H268" s="353" t="str">
        <f>IFERROR(VLOOKUP(M268,'02. MM-KLH'!$B$6:$T$823,17,0),"")</f>
        <v>60HP</v>
      </c>
      <c r="I268" s="763">
        <f>IFERROR(VLOOKUP(M268,'02. MM-KLH'!$B$6:$U$823,20,0),"")</f>
        <v>3.5</v>
      </c>
      <c r="J268" s="613" t="str">
        <f>IFERROR(VLOOKUP(M268,'02. MM-KLH'!$B$6:$T$823,19,0),"")</f>
        <v>CCN</v>
      </c>
      <c r="K268" s="613">
        <f>IFERROR(VLOOKUP(M268,'02. MM-KLH'!$B$6:$T$823,18,0),"")</f>
        <v>57548</v>
      </c>
      <c r="L268" s="353">
        <f>IFERROR(VLOOKUP(M268,'02. MM-KLH'!$B$6:$T$823,4,0),"")</f>
        <v>0</v>
      </c>
      <c r="M268" s="49" t="s">
        <v>1060</v>
      </c>
      <c r="N268" s="356">
        <f>IFERROR(VLOOKUP(M268,'02. MM-KLH'!$B$6:$T$823,15,0),"")</f>
        <v>2013</v>
      </c>
      <c r="O268" s="764" t="str">
        <f>IFERROR(VLOOKUP(M268,'02. MM-KLH'!$B$6:$T$823,9,0),"")</f>
        <v>30/03/2024</v>
      </c>
      <c r="P268" s="353"/>
      <c r="Q268" s="353" t="s">
        <v>1755</v>
      </c>
      <c r="R268" s="353" t="s">
        <v>5978</v>
      </c>
      <c r="S268" s="353"/>
      <c r="T268" s="353"/>
      <c r="U268" s="353" t="str">
        <f>IFERROR(VLOOKUP(M268,'02. MM-KLH'!$B$6:$T$823,5,0),"")</f>
        <v>ĐQSD</v>
      </c>
      <c r="V268" s="731" t="str">
        <f>IFERROR(VLOOKUP(M268,'02. MM-KLH'!$B$6:$T$823,8,0),"")</f>
        <v>CGLĐ LP</v>
      </c>
      <c r="W268" s="353" t="str">
        <f>IFERROR(VLOOKUP(V268,'NS QUẢN LÝ CG'!$A$4:$D$36,2,0),"")</f>
        <v>Nguyễn Tấn Triều</v>
      </c>
      <c r="X268" s="353" t="str">
        <f>IFERROR(VLOOKUP(V268,'NS QUẢN LÝ CG'!$A$4:$D$36,4,0),"")</f>
        <v>LP3.5-LP3</v>
      </c>
      <c r="Y268" s="1104" t="str">
        <f>IFERROR(VLOOKUP(V268,'NS QUẢN LÝ CG'!$A$4:$C$36,3,0),"")</f>
        <v>05974160290</v>
      </c>
      <c r="Z268" s="731" t="str">
        <f>IFERROR(VLOOKUP(M268,'02. MM-KLH'!$B$6:$T$823,3,0),"")</f>
        <v>ATT-A23-0019</v>
      </c>
      <c r="AA268" s="353" t="s">
        <v>5979</v>
      </c>
      <c r="AB268" s="731"/>
      <c r="AC268" s="731"/>
    </row>
    <row r="269" ht="13.8" spans="1:29">
      <c r="A269" s="731"/>
      <c r="B269" s="613" t="str">
        <f>IFERROR(VLOOKUP(M269,'02. MM-KLH'!$B$6:$T$823,6,0),"")</f>
        <v>Máy cày M6040</v>
      </c>
      <c r="C269" s="353">
        <v>1</v>
      </c>
      <c r="D269" s="353" t="str">
        <f>IFERROR(VLOOKUP(M269,'02. MM-KLH'!$B$6:$T$823,16,0),"")</f>
        <v>M6040</v>
      </c>
      <c r="E269" s="353" t="s">
        <v>5978</v>
      </c>
      <c r="F269" s="353"/>
      <c r="G269" s="353"/>
      <c r="H269" s="353" t="str">
        <f>IFERROR(VLOOKUP(M269,'02. MM-KLH'!$B$6:$T$823,17,0),"")</f>
        <v>60HP</v>
      </c>
      <c r="I269" s="763">
        <f>IFERROR(VLOOKUP(M269,'02. MM-KLH'!$B$6:$U$823,20,0),"")</f>
        <v>3.5</v>
      </c>
      <c r="J269" s="613" t="str">
        <f>IFERROR(VLOOKUP(M269,'02. MM-KLH'!$B$6:$T$823,19,0),"")</f>
        <v>CCN</v>
      </c>
      <c r="K269" s="613">
        <f>IFERROR(VLOOKUP(M269,'02. MM-KLH'!$B$6:$T$823,18,0),"")</f>
        <v>57646</v>
      </c>
      <c r="L269" s="353">
        <f>IFERROR(VLOOKUP(M269,'02. MM-KLH'!$B$6:$T$823,4,0),"")</f>
        <v>0</v>
      </c>
      <c r="M269" s="49" t="s">
        <v>1248</v>
      </c>
      <c r="N269" s="356">
        <f>IFERROR(VLOOKUP(M269,'02. MM-KLH'!$B$6:$T$823,15,0),"")</f>
        <v>2013</v>
      </c>
      <c r="O269" s="764">
        <f>IFERROR(VLOOKUP(M269,'02. MM-KLH'!$B$6:$T$823,9,0),"")</f>
        <v>0</v>
      </c>
      <c r="P269" s="353"/>
      <c r="Q269" s="353" t="s">
        <v>1755</v>
      </c>
      <c r="R269" s="353" t="s">
        <v>5978</v>
      </c>
      <c r="S269" s="353"/>
      <c r="T269" s="353"/>
      <c r="U269" s="353" t="str">
        <f>IFERROR(VLOOKUP(M269,'02. MM-KLH'!$B$6:$T$823,5,0),"")</f>
        <v>ĐQSD</v>
      </c>
      <c r="V269" s="731" t="str">
        <f>IFERROR(VLOOKUP(M269,'02. MM-KLH'!$B$6:$T$823,8,0),"")</f>
        <v>XN Chuối DP2</v>
      </c>
      <c r="W269" s="353" t="str">
        <f>IFERROR(VLOOKUP(V269,'NS QUẢN LÝ CG'!$A$4:$D$36,2,0),"")</f>
        <v/>
      </c>
      <c r="X269" s="353" t="str">
        <f>IFERROR(VLOOKUP(V269,'NS QUẢN LÝ CG'!$A$4:$D$36,4,0),"")</f>
        <v/>
      </c>
      <c r="Y269" s="353" t="str">
        <f>IFERROR(VLOOKUP(V269,'NS QUẢN LÝ CG'!$A$4:$C$36,3,0),"")</f>
        <v/>
      </c>
      <c r="Z269" s="731" t="str">
        <f>IFERROR(VLOOKUP(M269,'02. MM-KLH'!$B$6:$T$823,3,0),"")</f>
        <v>A23-MKE-016</v>
      </c>
      <c r="AA269" s="353" t="str">
        <f t="shared" ref="AA269:AA272" si="17">_xlfn.SWITCH(LEFT(Z269,3),"A22","ADM","A23","DP","A24","LP","")</f>
        <v>DP</v>
      </c>
      <c r="AB269" s="731"/>
      <c r="AC269" s="731"/>
    </row>
    <row r="270" ht="13.8" spans="1:29">
      <c r="A270" s="731"/>
      <c r="B270" s="613" t="str">
        <f>IFERROR(VLOOKUP(M270,'02. MM-KLH'!$B$6:$T$823,6,0),"")</f>
        <v>Máy cày M6040</v>
      </c>
      <c r="C270" s="353">
        <v>1</v>
      </c>
      <c r="D270" s="353" t="str">
        <f>IFERROR(VLOOKUP(M270,'02. MM-KLH'!$B$6:$T$823,16,0),"")</f>
        <v>M6040</v>
      </c>
      <c r="E270" s="353" t="s">
        <v>5978</v>
      </c>
      <c r="F270" s="353"/>
      <c r="G270" s="353"/>
      <c r="H270" s="353" t="str">
        <f>IFERROR(VLOOKUP(M270,'02. MM-KLH'!$B$6:$T$823,17,0),"")</f>
        <v>60HP</v>
      </c>
      <c r="I270" s="763">
        <f>IFERROR(VLOOKUP(M270,'02. MM-KLH'!$B$6:$U$823,20,0),"")</f>
        <v>3.5</v>
      </c>
      <c r="J270" s="613" t="str">
        <f>IFERROR(VLOOKUP(M270,'02. MM-KLH'!$B$6:$T$823,19,0),"")</f>
        <v>CCN</v>
      </c>
      <c r="K270" s="613">
        <f>IFERROR(VLOOKUP(M270,'02. MM-KLH'!$B$6:$T$823,18,0),"")</f>
        <v>56797</v>
      </c>
      <c r="L270" s="353">
        <f>IFERROR(VLOOKUP(M270,'02. MM-KLH'!$B$6:$T$823,4,0),"")</f>
        <v>0</v>
      </c>
      <c r="M270" s="49" t="s">
        <v>1251</v>
      </c>
      <c r="N270" s="356">
        <f>IFERROR(VLOOKUP(M270,'02. MM-KLH'!$B$6:$T$823,15,0),"")</f>
        <v>2013</v>
      </c>
      <c r="O270" s="764">
        <f>IFERROR(VLOOKUP(M270,'02. MM-KLH'!$B$6:$T$823,9,0),"")</f>
        <v>0</v>
      </c>
      <c r="P270" s="353"/>
      <c r="Q270" s="353" t="s">
        <v>1755</v>
      </c>
      <c r="R270" s="353" t="s">
        <v>5978</v>
      </c>
      <c r="S270" s="353"/>
      <c r="T270" s="353"/>
      <c r="U270" s="353" t="str">
        <f>IFERROR(VLOOKUP(M270,'02. MM-KLH'!$B$6:$T$823,5,0),"")</f>
        <v>ĐQSD</v>
      </c>
      <c r="V270" s="731" t="str">
        <f>IFERROR(VLOOKUP(M270,'02. MM-KLH'!$B$6:$T$823,8,0),"")</f>
        <v>XN Chuối DP2</v>
      </c>
      <c r="W270" s="353" t="str">
        <f>IFERROR(VLOOKUP(V270,'NS QUẢN LÝ CG'!$A$4:$D$36,2,0),"")</f>
        <v/>
      </c>
      <c r="X270" s="353" t="str">
        <f>IFERROR(VLOOKUP(V270,'NS QUẢN LÝ CG'!$A$4:$D$36,4,0),"")</f>
        <v/>
      </c>
      <c r="Y270" s="353" t="str">
        <f>IFERROR(VLOOKUP(V270,'NS QUẢN LÝ CG'!$A$4:$C$36,3,0),"")</f>
        <v/>
      </c>
      <c r="Z270" s="731" t="str">
        <f>IFERROR(VLOOKUP(M270,'02. MM-KLH'!$B$6:$T$823,3,0),"")</f>
        <v>A23-MKE-017</v>
      </c>
      <c r="AA270" s="353" t="str">
        <f t="shared" si="17"/>
        <v>DP</v>
      </c>
      <c r="AB270" s="731"/>
      <c r="AC270" s="731"/>
    </row>
    <row r="271" ht="13.8" spans="1:29">
      <c r="A271" s="731"/>
      <c r="B271" s="613" t="str">
        <f>IFERROR(VLOOKUP(M271,'02. MM-KLH'!$B$6:$T$823,6,0),"")</f>
        <v>Máy cày M6040</v>
      </c>
      <c r="C271" s="353">
        <v>1</v>
      </c>
      <c r="D271" s="353" t="str">
        <f>IFERROR(VLOOKUP(M271,'02. MM-KLH'!$B$6:$T$823,16,0),"")</f>
        <v>M6040</v>
      </c>
      <c r="E271" s="353" t="s">
        <v>5978</v>
      </c>
      <c r="F271" s="353"/>
      <c r="G271" s="353"/>
      <c r="H271" s="353" t="str">
        <f>IFERROR(VLOOKUP(M271,'02. MM-KLH'!$B$6:$T$823,17,0),"")</f>
        <v>60HP</v>
      </c>
      <c r="I271" s="763">
        <f>IFERROR(VLOOKUP(M271,'02. MM-KLH'!$B$6:$U$823,20,0),"")</f>
        <v>3.5</v>
      </c>
      <c r="J271" s="613" t="str">
        <f>IFERROR(VLOOKUP(M271,'02. MM-KLH'!$B$6:$T$823,19,0),"")</f>
        <v>CCN</v>
      </c>
      <c r="K271" s="613">
        <f>IFERROR(VLOOKUP(M271,'02. MM-KLH'!$B$6:$T$823,18,0),"")</f>
        <v>57273</v>
      </c>
      <c r="L271" s="353">
        <f>IFERROR(VLOOKUP(M271,'02. MM-KLH'!$B$6:$T$823,4,0),"")</f>
        <v>0</v>
      </c>
      <c r="M271" s="49" t="s">
        <v>1259</v>
      </c>
      <c r="N271" s="356">
        <f>IFERROR(VLOOKUP(M271,'02. MM-KLH'!$B$6:$T$823,15,0),"")</f>
        <v>2013</v>
      </c>
      <c r="O271" s="764" t="str">
        <f>IFERROR(VLOOKUP(M271,'02. MM-KLH'!$B$6:$T$823,9,0),"")</f>
        <v>28/01/2026</v>
      </c>
      <c r="P271" s="353"/>
      <c r="Q271" s="353" t="s">
        <v>1755</v>
      </c>
      <c r="R271" s="353" t="s">
        <v>5978</v>
      </c>
      <c r="S271" s="353"/>
      <c r="T271" s="353"/>
      <c r="U271" s="353" t="str">
        <f>IFERROR(VLOOKUP(M271,'02. MM-KLH'!$B$6:$T$823,5,0),"")</f>
        <v>ĐQSD</v>
      </c>
      <c r="V271" s="731" t="str">
        <f>IFERROR(VLOOKUP(M271,'02. MM-KLH'!$B$6:$T$823,8,0),"")</f>
        <v>XN Chuối DP2</v>
      </c>
      <c r="W271" s="353" t="str">
        <f>IFERROR(VLOOKUP(V271,'NS QUẢN LÝ CG'!$A$4:$D$36,2,0),"")</f>
        <v/>
      </c>
      <c r="X271" s="353" t="str">
        <f>IFERROR(VLOOKUP(V271,'NS QUẢN LÝ CG'!$A$4:$D$36,4,0),"")</f>
        <v/>
      </c>
      <c r="Y271" s="353" t="str">
        <f>IFERROR(VLOOKUP(V271,'NS QUẢN LÝ CG'!$A$4:$C$36,3,0),"")</f>
        <v/>
      </c>
      <c r="Z271" s="731" t="str">
        <f>IFERROR(VLOOKUP(M271,'02. MM-KLH'!$B$6:$T$823,3,0),"")</f>
        <v>A23-MKE-002</v>
      </c>
      <c r="AA271" s="353" t="str">
        <f t="shared" si="17"/>
        <v>DP</v>
      </c>
      <c r="AB271" s="731"/>
      <c r="AC271" s="731"/>
    </row>
    <row r="272" ht="13.8" spans="1:29">
      <c r="A272" s="731"/>
      <c r="B272" s="613" t="str">
        <f>IFERROR(VLOOKUP(M272,'02. MM-KLH'!$B$6:$T$823,6,0),"")</f>
        <v>Máy cày M6040</v>
      </c>
      <c r="C272" s="353">
        <v>1</v>
      </c>
      <c r="D272" s="353" t="str">
        <f>IFERROR(VLOOKUP(M272,'02. MM-KLH'!$B$6:$T$823,16,0),"")</f>
        <v>M6040</v>
      </c>
      <c r="E272" s="353" t="s">
        <v>5978</v>
      </c>
      <c r="F272" s="353"/>
      <c r="G272" s="353"/>
      <c r="H272" s="353" t="str">
        <f>IFERROR(VLOOKUP(M272,'02. MM-KLH'!$B$6:$T$823,17,0),"")</f>
        <v>60HP</v>
      </c>
      <c r="I272" s="763">
        <f>IFERROR(VLOOKUP(M272,'02. MM-KLH'!$B$6:$U$823,20,0),"")</f>
        <v>3.5</v>
      </c>
      <c r="J272" s="613" t="str">
        <f>IFERROR(VLOOKUP(M272,'02. MM-KLH'!$B$6:$T$823,19,0),"")</f>
        <v>CCN</v>
      </c>
      <c r="K272" s="613" t="str">
        <f>IFERROR(VLOOKUP(M272,'02. MM-KLH'!$B$6:$T$823,18,0),"")</f>
        <v>D57605</v>
      </c>
      <c r="L272" s="353">
        <f>IFERROR(VLOOKUP(M272,'02. MM-KLH'!$B$6:$T$823,4,0),"")</f>
        <v>0</v>
      </c>
      <c r="M272" s="49" t="s">
        <v>1603</v>
      </c>
      <c r="N272" s="356">
        <f>IFERROR(VLOOKUP(M272,'02. MM-KLH'!$B$6:$T$823,15,0),"")</f>
        <v>2013</v>
      </c>
      <c r="O272" s="764" t="str">
        <f>IFERROR(VLOOKUP(M272,'02. MM-KLH'!$B$6:$T$823,9,0),"")</f>
        <v>21/02/2024</v>
      </c>
      <c r="P272" s="353"/>
      <c r="Q272" s="353" t="s">
        <v>1755</v>
      </c>
      <c r="R272" s="353"/>
      <c r="S272" s="353" t="s">
        <v>5978</v>
      </c>
      <c r="T272" s="353"/>
      <c r="U272" s="353" t="str">
        <f>IFERROR(VLOOKUP(M272,'02. MM-KLH'!$B$6:$T$823,5,0),"")</f>
        <v>ĐQSD</v>
      </c>
      <c r="V272" s="731" t="str">
        <f>IFERROR(VLOOKUP(M272,'02. MM-KLH'!$B$6:$T$823,8,0),"")</f>
        <v>XN Chuối LP3</v>
      </c>
      <c r="W272" s="353" t="str">
        <f>IFERROR(VLOOKUP(V272,'NS QUẢN LÝ CG'!$A$4:$D$36,2,0),"")</f>
        <v/>
      </c>
      <c r="X272" s="353" t="str">
        <f>IFERROR(VLOOKUP(V272,'NS QUẢN LÝ CG'!$A$4:$D$36,4,0),"")</f>
        <v/>
      </c>
      <c r="Y272" s="353" t="str">
        <f>IFERROR(VLOOKUP(V272,'NS QUẢN LÝ CG'!$A$4:$C$36,3,0),"")</f>
        <v/>
      </c>
      <c r="Z272" s="731" t="str">
        <f>IFERROR(VLOOKUP(M272,'02. MM-KLH'!$B$6:$T$823,3,0),"")</f>
        <v>A24-MKE-015</v>
      </c>
      <c r="AA272" s="353" t="str">
        <f t="shared" si="17"/>
        <v>LP</v>
      </c>
      <c r="AB272" s="731"/>
      <c r="AC272" s="731"/>
    </row>
    <row r="273" ht="13.8" spans="1:29">
      <c r="A273" s="731"/>
      <c r="B273" s="613" t="str">
        <f>IFERROR(VLOOKUP(M273,'02. MM-KLH'!$B$6:$T$823,6,0),"")</f>
        <v>Máy cày M6040</v>
      </c>
      <c r="C273" s="353">
        <v>1</v>
      </c>
      <c r="D273" s="353" t="str">
        <f>IFERROR(VLOOKUP(M273,'02. MM-KLH'!$B$6:$T$823,16,0),"")</f>
        <v>M6040</v>
      </c>
      <c r="E273" s="353" t="s">
        <v>5978</v>
      </c>
      <c r="F273" s="353"/>
      <c r="G273" s="353"/>
      <c r="H273" s="353" t="str">
        <f>IFERROR(VLOOKUP(M273,'02. MM-KLH'!$B$6:$T$823,17,0),"")</f>
        <v>60HP</v>
      </c>
      <c r="I273" s="763">
        <f>IFERROR(VLOOKUP(M273,'02. MM-KLH'!$B$6:$U$823,20,0),"")</f>
        <v>6.6</v>
      </c>
      <c r="J273" s="613">
        <f>IFERROR(VLOOKUP(M273,'02. MM-KLH'!$B$6:$T$823,19,0),"")</f>
        <v>7542</v>
      </c>
      <c r="K273" s="613">
        <f>IFERROR(VLOOKUP(M273,'02. MM-KLH'!$B$6:$T$823,18,0),"")</f>
        <v>57121</v>
      </c>
      <c r="L273" s="353">
        <f>IFERROR(VLOOKUP(M273,'02. MM-KLH'!$B$6:$T$823,4,0),"")</f>
        <v>0</v>
      </c>
      <c r="M273" s="49" t="s">
        <v>1622</v>
      </c>
      <c r="N273" s="356">
        <f>IFERROR(VLOOKUP(M273,'02. MM-KLH'!$B$6:$T$823,15,0),"")</f>
        <v>2013</v>
      </c>
      <c r="O273" s="764">
        <f>IFERROR(VLOOKUP(M273,'02. MM-KLH'!$B$6:$T$823,9,0),"")</f>
        <v>0</v>
      </c>
      <c r="P273" s="353"/>
      <c r="Q273" s="353" t="s">
        <v>1755</v>
      </c>
      <c r="R273" s="353" t="s">
        <v>5978</v>
      </c>
      <c r="S273" s="353"/>
      <c r="T273" s="353"/>
      <c r="U273" s="353" t="str">
        <f>IFERROR(VLOOKUP(M273,'02. MM-KLH'!$B$6:$T$823,5,0),"")</f>
        <v>ĐQSD</v>
      </c>
      <c r="V273" s="731" t="str">
        <f>IFERROR(VLOOKUP(M273,'02. MM-KLH'!$B$6:$T$823,8,0),"")</f>
        <v>XN Chuối LP3</v>
      </c>
      <c r="W273" s="353" t="str">
        <f>IFERROR(VLOOKUP(V273,'NS QUẢN LÝ CG'!$A$4:$D$36,2,0),"")</f>
        <v/>
      </c>
      <c r="X273" s="353" t="str">
        <f>IFERROR(VLOOKUP(V273,'NS QUẢN LÝ CG'!$A$4:$D$36,4,0),"")</f>
        <v/>
      </c>
      <c r="Y273" s="353" t="str">
        <f>IFERROR(VLOOKUP(V273,'NS QUẢN LÝ CG'!$A$4:$C$36,3,0),"")</f>
        <v/>
      </c>
      <c r="Z273" s="731" t="str">
        <f>IFERROR(VLOOKUP(M273,'02. MM-KLH'!$B$6:$T$823,3,0),"")</f>
        <v>ATT-A22-0023</v>
      </c>
      <c r="AA273" s="353" t="s">
        <v>5980</v>
      </c>
      <c r="AB273" s="731"/>
      <c r="AC273" s="731"/>
    </row>
    <row r="274" ht="13.8" spans="1:29">
      <c r="A274" s="731"/>
      <c r="B274" s="613" t="str">
        <f>IFERROR(VLOOKUP(M274,'02. MM-KLH'!$B$6:$T$823,6,0),"")</f>
        <v>Máy cày M6040</v>
      </c>
      <c r="C274" s="353">
        <v>1</v>
      </c>
      <c r="D274" s="353" t="str">
        <f>IFERROR(VLOOKUP(M274,'02. MM-KLH'!$B$6:$T$823,16,0),"")</f>
        <v>M6040</v>
      </c>
      <c r="E274" s="353" t="s">
        <v>5978</v>
      </c>
      <c r="F274" s="353"/>
      <c r="G274" s="353"/>
      <c r="H274" s="353" t="str">
        <f>IFERROR(VLOOKUP(M274,'02. MM-KLH'!$B$6:$T$823,17,0),"")</f>
        <v>60HP</v>
      </c>
      <c r="I274" s="763">
        <f>IFERROR(VLOOKUP(M274,'02. MM-KLH'!$B$6:$U$823,20,0),"")</f>
        <v>4.8</v>
      </c>
      <c r="J274" s="613" t="str">
        <f>IFERROR(VLOOKUP(M274,'02. MM-KLH'!$B$6:$T$823,19,0),"")</f>
        <v>CCN</v>
      </c>
      <c r="K274" s="613">
        <f>IFERROR(VLOOKUP(M274,'02. MM-KLH'!$B$6:$T$823,18,0),"")</f>
        <v>57123</v>
      </c>
      <c r="L274" s="353">
        <f>IFERROR(VLOOKUP(M274,'02. MM-KLH'!$B$6:$T$823,4,0),"")</f>
        <v>0</v>
      </c>
      <c r="M274" s="49" t="s">
        <v>1781</v>
      </c>
      <c r="N274" s="356">
        <f>IFERROR(VLOOKUP(M274,'02. MM-KLH'!$B$6:$T$823,15,0),"")</f>
        <v>2013</v>
      </c>
      <c r="O274" s="764">
        <f>IFERROR(VLOOKUP(M274,'02. MM-KLH'!$B$6:$T$823,9,0),"")</f>
        <v>0</v>
      </c>
      <c r="P274" s="353"/>
      <c r="Q274" s="353" t="s">
        <v>1755</v>
      </c>
      <c r="R274" s="353"/>
      <c r="S274" s="353"/>
      <c r="T274" s="353"/>
      <c r="U274" s="353" t="str">
        <f>IFERROR(VLOOKUP(M274,'02. MM-KLH'!$B$6:$T$823,5,0),"")</f>
        <v>ĐQSD</v>
      </c>
      <c r="V274" s="731" t="str">
        <f>IFERROR(VLOOKUP(M274,'02. MM-KLH'!$B$6:$T$823,8,0),"")</f>
        <v>XOÀI AD</v>
      </c>
      <c r="W274" s="353" t="str">
        <f>IFERROR(VLOOKUP(V274,'NS QUẢN LÝ CG'!$A$4:$D$36,2,0),"")</f>
        <v/>
      </c>
      <c r="X274" s="353" t="str">
        <f>IFERROR(VLOOKUP(V274,'NS QUẢN LÝ CG'!$A$4:$D$36,4,0),"")</f>
        <v/>
      </c>
      <c r="Y274" s="353" t="str">
        <f>IFERROR(VLOOKUP(V274,'NS QUẢN LÝ CG'!$A$4:$C$36,3,0),"")</f>
        <v/>
      </c>
      <c r="Z274" s="731" t="str">
        <f>IFERROR(VLOOKUP(M274,'02. MM-KLH'!$B$6:$T$823,3,0),"")</f>
        <v>A22-MKE-001</v>
      </c>
      <c r="AA274" s="353" t="str">
        <f t="shared" ref="AA274:AA275" si="18">_xlfn.SWITCH(LEFT(Z274,3),"A22","ADM","A23","DP","A24","LP","")</f>
        <v>ADM</v>
      </c>
      <c r="AB274" s="731"/>
      <c r="AC274" s="731"/>
    </row>
    <row r="275" ht="13.8" spans="1:29">
      <c r="A275" s="731"/>
      <c r="B275" s="613" t="str">
        <f>IFERROR(VLOOKUP(M275,'02. MM-KLH'!$B$6:$T$823,6,0),"")</f>
        <v>Máy cày M6040</v>
      </c>
      <c r="C275" s="353">
        <v>1</v>
      </c>
      <c r="D275" s="353" t="str">
        <f>IFERROR(VLOOKUP(M275,'02. MM-KLH'!$B$6:$T$823,16,0),"")</f>
        <v>M6040</v>
      </c>
      <c r="E275" s="353" t="s">
        <v>5978</v>
      </c>
      <c r="F275" s="353"/>
      <c r="G275" s="353"/>
      <c r="H275" s="353" t="str">
        <f>IFERROR(VLOOKUP(M275,'02. MM-KLH'!$B$6:$T$823,17,0),"")</f>
        <v>60HP</v>
      </c>
      <c r="I275" s="763">
        <f>IFERROR(VLOOKUP(M275,'02. MM-KLH'!$B$6:$U$823,20,0),"")</f>
        <v>0</v>
      </c>
      <c r="J275" s="613" t="str">
        <f>IFERROR(VLOOKUP(M275,'02. MM-KLH'!$B$6:$T$823,19,0),"")</f>
        <v>CCN</v>
      </c>
      <c r="K275" s="613" t="str">
        <f>IFERROR(VLOOKUP(M275,'02. MM-KLH'!$B$6:$T$823,18,0),"")</f>
        <v>M6040SUD57124</v>
      </c>
      <c r="L275" s="353">
        <f>IFERROR(VLOOKUP(M275,'02. MM-KLH'!$B$6:$T$823,4,0),"")</f>
        <v>0</v>
      </c>
      <c r="M275" s="49" t="s">
        <v>1796</v>
      </c>
      <c r="N275" s="356">
        <f>IFERROR(VLOOKUP(M275,'02. MM-KLH'!$B$6:$T$823,15,0),"")</f>
        <v>2013</v>
      </c>
      <c r="O275" s="764" t="str">
        <f>IFERROR(VLOOKUP(M275,'02. MM-KLH'!$B$6:$T$823,9,0),"")</f>
        <v>20/05/2026</v>
      </c>
      <c r="P275" s="353"/>
      <c r="Q275" s="353" t="s">
        <v>1755</v>
      </c>
      <c r="R275" s="353"/>
      <c r="S275" s="353"/>
      <c r="T275" s="353"/>
      <c r="U275" s="353" t="str">
        <f>IFERROR(VLOOKUP(M275,'02. MM-KLH'!$B$6:$T$823,5,0),"")</f>
        <v>ĐQSD</v>
      </c>
      <c r="V275" s="731" t="str">
        <f>IFERROR(VLOOKUP(M275,'02. MM-KLH'!$B$6:$T$823,8,0),"")</f>
        <v>XOÀI AD</v>
      </c>
      <c r="W275" s="353" t="str">
        <f>IFERROR(VLOOKUP(V275,'NS QUẢN LÝ CG'!$A$4:$D$36,2,0),"")</f>
        <v/>
      </c>
      <c r="X275" s="353" t="str">
        <f>IFERROR(VLOOKUP(V275,'NS QUẢN LÝ CG'!$A$4:$D$36,4,0),"")</f>
        <v/>
      </c>
      <c r="Y275" s="353" t="str">
        <f>IFERROR(VLOOKUP(V275,'NS QUẢN LÝ CG'!$A$4:$C$36,3,0),"")</f>
        <v/>
      </c>
      <c r="Z275" s="731">
        <f>IFERROR(VLOOKUP(M275,'02. MM-KLH'!$B$6:$T$823,3,0),"")</f>
        <v>0</v>
      </c>
      <c r="AA275" s="353" t="str">
        <f t="shared" si="18"/>
        <v/>
      </c>
      <c r="AB275" s="731"/>
      <c r="AC275" s="731"/>
    </row>
    <row r="276" ht="13.8" spans="1:29">
      <c r="A276" s="731"/>
      <c r="B276" s="613" t="str">
        <f>IFERROR(VLOOKUP(M276,'02. MM-KLH'!$B$6:$T$823,6,0),"")</f>
        <v>Máy cày M6040</v>
      </c>
      <c r="C276" s="353">
        <v>1</v>
      </c>
      <c r="D276" s="353" t="str">
        <f>IFERROR(VLOOKUP(M276,'02. MM-KLH'!$B$6:$T$823,16,0),"")</f>
        <v>M6040</v>
      </c>
      <c r="E276" s="353" t="s">
        <v>5978</v>
      </c>
      <c r="F276" s="353"/>
      <c r="G276" s="353"/>
      <c r="H276" s="353" t="str">
        <f>IFERROR(VLOOKUP(M276,'02. MM-KLH'!$B$6:$T$823,17,0),"")</f>
        <v>60HP</v>
      </c>
      <c r="I276" s="763">
        <f>IFERROR(VLOOKUP(M276,'02. MM-KLH'!$B$6:$U$823,20,0),"")</f>
        <v>3.5</v>
      </c>
      <c r="J276" s="613">
        <f>IFERROR(VLOOKUP(M276,'02. MM-KLH'!$B$6:$T$823,19,0),"")</f>
        <v>9237</v>
      </c>
      <c r="K276" s="613">
        <f>IFERROR(VLOOKUP(M276,'02. MM-KLH'!$B$6:$T$823,18,0),"")</f>
        <v>57274</v>
      </c>
      <c r="L276" s="353">
        <f>IFERROR(VLOOKUP(M276,'02. MM-KLH'!$B$6:$T$823,4,0),"")</f>
        <v>0</v>
      </c>
      <c r="M276" s="49" t="s">
        <v>1833</v>
      </c>
      <c r="N276" s="356">
        <f>IFERROR(VLOOKUP(M276,'02. MM-KLH'!$B$6:$T$823,15,0),"")</f>
        <v>2013</v>
      </c>
      <c r="O276" s="764">
        <f>IFERROR(VLOOKUP(M276,'02. MM-KLH'!$B$6:$T$823,9,0),"")</f>
        <v>0</v>
      </c>
      <c r="P276" s="353"/>
      <c r="Q276" s="353" t="s">
        <v>1755</v>
      </c>
      <c r="R276" s="353"/>
      <c r="S276" s="353"/>
      <c r="T276" s="353" t="s">
        <v>5978</v>
      </c>
      <c r="U276" s="353" t="str">
        <f>IFERROR(VLOOKUP(M276,'02. MM-KLH'!$B$6:$T$823,5,0),"")</f>
        <v>ĐQSD</v>
      </c>
      <c r="V276" s="731" t="str">
        <f>IFERROR(VLOOKUP(M276,'02. MM-KLH'!$B$6:$T$823,8,0),"")</f>
        <v>XN Bò AD</v>
      </c>
      <c r="W276" s="353" t="str">
        <f>IFERROR(VLOOKUP(V276,'NS QUẢN LÝ CG'!$A$4:$D$36,2,0),"")</f>
        <v/>
      </c>
      <c r="X276" s="353" t="str">
        <f>IFERROR(VLOOKUP(V276,'NS QUẢN LÝ CG'!$A$4:$D$36,4,0),"")</f>
        <v/>
      </c>
      <c r="Y276" s="353" t="str">
        <f>IFERROR(VLOOKUP(V276,'NS QUẢN LÝ CG'!$A$4:$C$36,3,0),"")</f>
        <v/>
      </c>
      <c r="Z276" s="731" t="str">
        <f>IFERROR(VLOOKUP(M276,'02. MM-KLH'!$B$6:$T$823,3,0),"")</f>
        <v>ATT-A22-0023</v>
      </c>
      <c r="AA276" s="353" t="s">
        <v>5980</v>
      </c>
      <c r="AB276" s="731"/>
      <c r="AC276" s="731"/>
    </row>
    <row r="277" ht="13.8" spans="1:29">
      <c r="A277" s="731"/>
      <c r="B277" s="613" t="str">
        <f>IFERROR(VLOOKUP(M277,'02. MM-KLH'!$B$6:$T$823,6,0),"")</f>
        <v>Máy cày M6040</v>
      </c>
      <c r="C277" s="353">
        <v>1</v>
      </c>
      <c r="D277" s="353" t="str">
        <f>IFERROR(VLOOKUP(M277,'02. MM-KLH'!$B$6:$T$823,16,0),"")</f>
        <v>M6040</v>
      </c>
      <c r="E277" s="353" t="s">
        <v>5978</v>
      </c>
      <c r="F277" s="353"/>
      <c r="G277" s="353"/>
      <c r="H277" s="353" t="str">
        <f>IFERROR(VLOOKUP(M277,'02. MM-KLH'!$B$6:$T$823,17,0),"")</f>
        <v>60HP</v>
      </c>
      <c r="I277" s="763">
        <f>IFERROR(VLOOKUP(M277,'02. MM-KLH'!$B$6:$U$823,20,0),"")</f>
        <v>3.5</v>
      </c>
      <c r="J277" s="613" t="str">
        <f>IFERROR(VLOOKUP(M277,'02. MM-KLH'!$B$6:$T$823,19,0),"")</f>
        <v>CCN</v>
      </c>
      <c r="K277" s="613" t="str">
        <f>IFERROR(VLOOKUP(M277,'02. MM-KLH'!$B$6:$T$823,18,0),"")</f>
        <v>D57126</v>
      </c>
      <c r="L277" s="353">
        <f>IFERROR(VLOOKUP(M277,'02. MM-KLH'!$B$6:$T$823,4,0),"")</f>
        <v>0</v>
      </c>
      <c r="M277" s="49" t="s">
        <v>1843</v>
      </c>
      <c r="N277" s="356">
        <f>IFERROR(VLOOKUP(M277,'02. MM-KLH'!$B$6:$T$823,15,0),"")</f>
        <v>2013</v>
      </c>
      <c r="O277" s="764">
        <f>IFERROR(VLOOKUP(M277,'02. MM-KLH'!$B$6:$T$823,9,0),"")</f>
        <v>0</v>
      </c>
      <c r="P277" s="353"/>
      <c r="Q277" s="353" t="s">
        <v>1755</v>
      </c>
      <c r="R277" s="353" t="s">
        <v>5978</v>
      </c>
      <c r="S277" s="353"/>
      <c r="T277" s="353"/>
      <c r="U277" s="353" t="str">
        <f>IFERROR(VLOOKUP(M277,'02. MM-KLH'!$B$6:$T$823,5,0),"")</f>
        <v>ĐQSD</v>
      </c>
      <c r="V277" s="731" t="str">
        <f>IFERROR(VLOOKUP(M277,'02. MM-KLH'!$B$6:$T$823,8,0),"")</f>
        <v>XN Bò AD</v>
      </c>
      <c r="W277" s="353" t="str">
        <f>IFERROR(VLOOKUP(V277,'NS QUẢN LÝ CG'!$A$4:$D$36,2,0),"")</f>
        <v/>
      </c>
      <c r="X277" s="353" t="str">
        <f>IFERROR(VLOOKUP(V277,'NS QUẢN LÝ CG'!$A$4:$D$36,4,0),"")</f>
        <v/>
      </c>
      <c r="Y277" s="353" t="str">
        <f>IFERROR(VLOOKUP(V277,'NS QUẢN LÝ CG'!$A$4:$C$36,3,0),"")</f>
        <v/>
      </c>
      <c r="Z277" s="731" t="str">
        <f>IFERROR(VLOOKUP(M277,'02. MM-KLH'!$B$6:$T$823,3,0),"")</f>
        <v>A22-MKE-015</v>
      </c>
      <c r="AA277" s="353" t="str">
        <f t="shared" ref="AA277:AA279" si="19">_xlfn.SWITCH(LEFT(Z277,3),"A22","ADM","A23","DP","A24","LP","")</f>
        <v>ADM</v>
      </c>
      <c r="AB277" s="731"/>
      <c r="AC277" s="731"/>
    </row>
    <row r="278" ht="13.8" spans="1:29">
      <c r="A278" s="731"/>
      <c r="B278" s="613" t="str">
        <f>IFERROR(VLOOKUP(M278,'02. MM-KLH'!$B$6:$T$823,6,0),"")</f>
        <v>Máy cày M6040</v>
      </c>
      <c r="C278" s="353">
        <v>1</v>
      </c>
      <c r="D278" s="353" t="str">
        <f>IFERROR(VLOOKUP(M278,'02. MM-KLH'!$B$6:$T$823,16,0),"")</f>
        <v>M6040</v>
      </c>
      <c r="E278" s="353" t="s">
        <v>5978</v>
      </c>
      <c r="F278" s="353"/>
      <c r="G278" s="353"/>
      <c r="H278" s="353" t="str">
        <f>IFERROR(VLOOKUP(M278,'02. MM-KLH'!$B$6:$T$823,17,0),"")</f>
        <v>60HP</v>
      </c>
      <c r="I278" s="763">
        <f>IFERROR(VLOOKUP(M278,'02. MM-KLH'!$B$6:$U$823,20,0),"")</f>
        <v>0</v>
      </c>
      <c r="J278" s="613" t="str">
        <f>IFERROR(VLOOKUP(M278,'02. MM-KLH'!$B$6:$T$823,19,0),"")</f>
        <v>CCN</v>
      </c>
      <c r="K278" s="613">
        <f>IFERROR(VLOOKUP(M278,'02. MM-KLH'!$B$6:$T$823,18,0),"")</f>
        <v>57652</v>
      </c>
      <c r="L278" s="353">
        <f>IFERROR(VLOOKUP(M278,'02. MM-KLH'!$B$6:$T$823,4,0),"")</f>
        <v>0</v>
      </c>
      <c r="M278" s="49" t="s">
        <v>1983</v>
      </c>
      <c r="N278" s="356">
        <f>IFERROR(VLOOKUP(M278,'02. MM-KLH'!$B$6:$T$823,15,0),"")</f>
        <v>2013</v>
      </c>
      <c r="O278" s="764" t="str">
        <f>IFERROR(VLOOKUP(M278,'02. MM-KLH'!$B$6:$T$823,9,0),"")</f>
        <v>21/05/2026</v>
      </c>
      <c r="P278" s="353"/>
      <c r="Q278" s="353" t="s">
        <v>1755</v>
      </c>
      <c r="R278" s="353"/>
      <c r="S278" s="353" t="s">
        <v>5978</v>
      </c>
      <c r="T278" s="353"/>
      <c r="U278" s="353" t="str">
        <f>IFERROR(VLOOKUP(M278,'02. MM-KLH'!$B$6:$T$823,5,0),"")</f>
        <v>ĐQSD</v>
      </c>
      <c r="V278" s="731" t="str">
        <f>IFERROR(VLOOKUP(M278,'02. MM-KLH'!$B$6:$T$823,8,0),"")</f>
        <v>XN Bò AD</v>
      </c>
      <c r="W278" s="353" t="str">
        <f>IFERROR(VLOOKUP(V278,'NS QUẢN LÝ CG'!$A$4:$D$36,2,0),"")</f>
        <v/>
      </c>
      <c r="X278" s="353" t="str">
        <f>IFERROR(VLOOKUP(V278,'NS QUẢN LÝ CG'!$A$4:$D$36,4,0),"")</f>
        <v/>
      </c>
      <c r="Y278" s="353" t="str">
        <f>IFERROR(VLOOKUP(V278,'NS QUẢN LÝ CG'!$A$4:$C$36,3,0),"")</f>
        <v/>
      </c>
      <c r="Z278" s="731">
        <f>IFERROR(VLOOKUP(M278,'02. MM-KLH'!$B$6:$T$823,3,0),"")</f>
        <v>0</v>
      </c>
      <c r="AA278" s="353" t="str">
        <f t="shared" si="19"/>
        <v/>
      </c>
      <c r="AB278" s="731"/>
      <c r="AC278" s="731"/>
    </row>
    <row r="279" ht="13.8" spans="1:29">
      <c r="A279" s="731"/>
      <c r="B279" s="613" t="str">
        <f>IFERROR(VLOOKUP(M279,'02. MM-KLH'!$B$6:$T$823,6,0),"")</f>
        <v>Máy cày M6040</v>
      </c>
      <c r="C279" s="353">
        <v>1</v>
      </c>
      <c r="D279" s="353" t="str">
        <f>IFERROR(VLOOKUP(M279,'02. MM-KLH'!$B$6:$T$823,16,0),"")</f>
        <v>M6040</v>
      </c>
      <c r="E279" s="353" t="s">
        <v>5978</v>
      </c>
      <c r="F279" s="353"/>
      <c r="G279" s="353"/>
      <c r="H279" s="353" t="str">
        <f>IFERROR(VLOOKUP(M279,'02. MM-KLH'!$B$6:$T$823,17,0),"")</f>
        <v>60HP</v>
      </c>
      <c r="I279" s="763">
        <f>IFERROR(VLOOKUP(M279,'02. MM-KLH'!$B$6:$U$823,20,0),"")</f>
        <v>3.5</v>
      </c>
      <c r="J279" s="613" t="str">
        <f>IFERROR(VLOOKUP(M279,'02. MM-KLH'!$B$6:$T$823,19,0),"")</f>
        <v>CCN</v>
      </c>
      <c r="K279" s="613" t="str">
        <f>IFERROR(VLOOKUP(M279,'02. MM-KLH'!$B$6:$T$823,18,0),"")</f>
        <v>FD202H-16335</v>
      </c>
      <c r="L279" s="353">
        <f>IFERROR(VLOOKUP(M279,'02. MM-KLH'!$B$6:$T$823,4,0),"")</f>
        <v>0</v>
      </c>
      <c r="M279" s="49" t="s">
        <v>2689</v>
      </c>
      <c r="N279" s="356">
        <f>IFERROR(VLOOKUP(M279,'02. MM-KLH'!$B$6:$T$823,15,0),"")</f>
        <v>2013</v>
      </c>
      <c r="O279" s="764">
        <f>IFERROR(VLOOKUP(M279,'02. MM-KLH'!$B$6:$T$823,9,0),"")</f>
        <v>0</v>
      </c>
      <c r="P279" s="353"/>
      <c r="Q279" s="353" t="s">
        <v>1755</v>
      </c>
      <c r="R279" s="353"/>
      <c r="S279" s="353"/>
      <c r="T279" s="353"/>
      <c r="U279" s="353" t="str">
        <f>IFERROR(VLOOKUP(M279,'02. MM-KLH'!$B$6:$T$823,5,0),"")</f>
        <v>ĐQSD</v>
      </c>
      <c r="V279" s="731" t="str">
        <f>IFERROR(VLOOKUP(M279,'02. MM-KLH'!$B$6:$T$823,8,0),"")</f>
        <v>Thagricons</v>
      </c>
      <c r="W279" s="353">
        <f>IFERROR(VLOOKUP(V279,'NS QUẢN LÝ CG'!$A$4:$D$36,2,0),"")</f>
        <v>0</v>
      </c>
      <c r="X279" s="353">
        <f>IFERROR(VLOOKUP(V279,'NS QUẢN LÝ CG'!$A$4:$D$36,4,0),"")</f>
        <v>0</v>
      </c>
      <c r="Y279" s="353">
        <f>IFERROR(VLOOKUP(V279,'NS QUẢN LÝ CG'!$A$4:$C$36,3,0),"")</f>
        <v>0</v>
      </c>
      <c r="Z279" s="731" t="str">
        <f>IFERROR(VLOOKUP(M279,'02. MM-KLH'!$B$6:$T$823,3,0),"")</f>
        <v>A22-MKE-029</v>
      </c>
      <c r="AA279" s="353" t="str">
        <f t="shared" si="19"/>
        <v>ADM</v>
      </c>
      <c r="AB279" s="731"/>
      <c r="AC279" s="731"/>
    </row>
    <row r="280" ht="13.8" spans="1:29">
      <c r="A280" s="731"/>
      <c r="B280" s="613" t="str">
        <f>IFERROR(VLOOKUP(M280,'02. MM-KLH'!$B$6:$T$823,6,0),"")</f>
        <v/>
      </c>
      <c r="C280" s="353"/>
      <c r="D280" s="353" t="str">
        <f>IFERROR(VLOOKUP(M280,'02. MM-KLH'!$B$6:$T$823,16,0),"")</f>
        <v/>
      </c>
      <c r="E280" s="353"/>
      <c r="F280" s="353"/>
      <c r="G280" s="353"/>
      <c r="H280" s="353" t="str">
        <f>IFERROR(VLOOKUP(M280,'02. MM-KLH'!$B$6:$T$823,17,0),"")</f>
        <v/>
      </c>
      <c r="I280" s="763" t="str">
        <f>IFERROR(VLOOKUP(M280,'02. MM-KLH'!$B$6:$U$823,20,0),"")</f>
        <v/>
      </c>
      <c r="J280" s="613" t="str">
        <f>IFERROR(VLOOKUP(M280,'02. MM-KLH'!$B$6:$T$823,19,0),"")</f>
        <v/>
      </c>
      <c r="K280" s="613" t="str">
        <f>IFERROR(VLOOKUP(M280,'02. MM-KLH'!$B$6:$T$823,18,0),"")</f>
        <v/>
      </c>
      <c r="L280" s="353" t="str">
        <f>IFERROR(VLOOKUP(M280,'02. MM-KLH'!$B$6:$T$823,4,0),"")</f>
        <v/>
      </c>
      <c r="M280" s="49"/>
      <c r="N280" s="356" t="str">
        <f>IFERROR(VLOOKUP(M280,'02. MM-KLH'!$B$6:$T$823,15,0),"")</f>
        <v/>
      </c>
      <c r="O280" s="764" t="str">
        <f>IFERROR(VLOOKUP(M280,'02. MM-KLH'!$B$6:$T$823,9,0),"")</f>
        <v/>
      </c>
      <c r="P280" s="353"/>
      <c r="Q280" s="353"/>
      <c r="R280" s="353"/>
      <c r="S280" s="353"/>
      <c r="T280" s="353"/>
      <c r="U280" s="353" t="str">
        <f>IFERROR(VLOOKUP(M280,'02. MM-KLH'!$B$6:$T$823,2,0),"")</f>
        <v/>
      </c>
      <c r="V280" s="731" t="str">
        <f>IFERROR(VLOOKUP(M280,'02. MM-KLH'!$B$6:$T$823,8,0),"")</f>
        <v/>
      </c>
      <c r="W280" s="353" t="str">
        <f>IFERROR(VLOOKUP(V280,'NS QUẢN LÝ CG'!$A$4:$D$36,2,0),"")</f>
        <v/>
      </c>
      <c r="X280" s="353" t="str">
        <f>IFERROR(VLOOKUP(V280,'NS QUẢN LÝ CG'!$A$4:$D$36,4,0),"")</f>
        <v/>
      </c>
      <c r="Y280" s="353"/>
      <c r="Z280" s="731" t="str">
        <f>IFERROR(VLOOKUP(M280,'02. MM-KLH'!$B$6:$T$823,3,0),"")</f>
        <v/>
      </c>
      <c r="AA280" s="353"/>
      <c r="AB280" s="731"/>
      <c r="AC280" s="731"/>
    </row>
    <row r="281" ht="13.8" hidden="1" spans="1:29">
      <c r="A281" s="731"/>
      <c r="B281" s="613" t="str">
        <f>IFERROR(VLOOKUP(M281,'02. MM-KLH'!$B$6:$T$823,6,0),"")</f>
        <v/>
      </c>
      <c r="C281" s="353"/>
      <c r="D281" s="353" t="str">
        <f>IFERROR(VLOOKUP(M281,'02. MM-KLH'!$B$6:$T$823,16,0),"")</f>
        <v/>
      </c>
      <c r="E281" s="353"/>
      <c r="F281" s="353"/>
      <c r="G281" s="353"/>
      <c r="H281" s="353" t="str">
        <f>IFERROR(VLOOKUP(M281,'02. MM-KLH'!$B$6:$T$823,17,0),"")</f>
        <v/>
      </c>
      <c r="I281" s="763" t="str">
        <f>IFERROR(VLOOKUP(M281,'02. MM-KLH'!$B$6:$U$823,20,0),"")</f>
        <v/>
      </c>
      <c r="J281" s="613" t="str">
        <f>IFERROR(VLOOKUP(M281,'02. MM-KLH'!$B$6:$T$823,19,0),"")</f>
        <v/>
      </c>
      <c r="K281" s="613" t="str">
        <f>IFERROR(VLOOKUP(M281,'02. MM-KLH'!$B$6:$T$823,18,0),"")</f>
        <v/>
      </c>
      <c r="L281" s="353" t="str">
        <f>IFERROR(VLOOKUP(M281,'02. MM-KLH'!$B$6:$T$823,4,0),"")</f>
        <v/>
      </c>
      <c r="M281" s="49"/>
      <c r="N281" s="356" t="str">
        <f>IFERROR(VLOOKUP(M281,'02. MM-KLH'!$B$6:$T$823,15,0),"")</f>
        <v/>
      </c>
      <c r="O281" s="764" t="str">
        <f>IFERROR(VLOOKUP(M281,'02. MM-KLH'!$B$6:$T$823,9,0),"")</f>
        <v/>
      </c>
      <c r="P281" s="353"/>
      <c r="Q281" s="353"/>
      <c r="R281" s="353"/>
      <c r="S281" s="353"/>
      <c r="T281" s="353"/>
      <c r="U281" s="353" t="str">
        <f>IFERROR(VLOOKUP(M281,'02. MM-KLH'!$B$6:$T$823,2,0),"")</f>
        <v/>
      </c>
      <c r="V281" s="731" t="str">
        <f>IFERROR(VLOOKUP(M281,'02. MM-KLH'!$B$6:$T$823,8,0),"")</f>
        <v/>
      </c>
      <c r="W281" s="353"/>
      <c r="X281" s="353"/>
      <c r="Y281" s="353"/>
      <c r="Z281" s="731" t="str">
        <f>IFERROR(VLOOKUP(M281,'02. MM-KLH'!$B$6:$T$823,3,0),"")</f>
        <v/>
      </c>
      <c r="AA281" s="353"/>
      <c r="AB281" s="731"/>
      <c r="AC281" s="731"/>
    </row>
    <row r="282" ht="13.8" hidden="1" spans="1:29">
      <c r="A282" s="731"/>
      <c r="B282" s="613" t="str">
        <f>IFERROR(VLOOKUP(M282,'02. MM-KLH'!$B$6:$T$823,6,0),"")</f>
        <v/>
      </c>
      <c r="C282" s="353"/>
      <c r="D282" s="353" t="str">
        <f>IFERROR(VLOOKUP(M282,'02. MM-KLH'!$B$6:$T$823,16,0),"")</f>
        <v/>
      </c>
      <c r="E282" s="353"/>
      <c r="F282" s="353"/>
      <c r="G282" s="353"/>
      <c r="H282" s="353" t="str">
        <f>IFERROR(VLOOKUP(M282,'02. MM-KLH'!$B$6:$T$823,17,0),"")</f>
        <v/>
      </c>
      <c r="I282" s="763" t="str">
        <f>IFERROR(VLOOKUP(M282,'02. MM-KLH'!$B$6:$U$823,20,0),"")</f>
        <v/>
      </c>
      <c r="J282" s="613" t="str">
        <f>IFERROR(VLOOKUP(M282,'02. MM-KLH'!$B$6:$T$823,19,0),"")</f>
        <v/>
      </c>
      <c r="K282" s="613" t="str">
        <f>IFERROR(VLOOKUP(M282,'02. MM-KLH'!$B$6:$T$823,18,0),"")</f>
        <v/>
      </c>
      <c r="L282" s="353" t="str">
        <f>IFERROR(VLOOKUP(M282,'02. MM-KLH'!$B$6:$T$823,4,0),"")</f>
        <v/>
      </c>
      <c r="M282" s="49"/>
      <c r="N282" s="356" t="str">
        <f>IFERROR(VLOOKUP(M282,'02. MM-KLH'!$B$6:$T$823,15,0),"")</f>
        <v/>
      </c>
      <c r="O282" s="764" t="str">
        <f>IFERROR(VLOOKUP(M282,'02. MM-KLH'!$B$6:$T$823,9,0),"")</f>
        <v/>
      </c>
      <c r="P282" s="353"/>
      <c r="Q282" s="353"/>
      <c r="R282" s="353"/>
      <c r="S282" s="353"/>
      <c r="T282" s="353"/>
      <c r="U282" s="353" t="str">
        <f>IFERROR(VLOOKUP(M282,'02. MM-KLH'!$B$6:$T$823,2,0),"")</f>
        <v/>
      </c>
      <c r="V282" s="731" t="str">
        <f>IFERROR(VLOOKUP(M282,'02. MM-KLH'!$B$6:$T$823,8,0),"")</f>
        <v/>
      </c>
      <c r="W282" s="353"/>
      <c r="X282" s="353"/>
      <c r="Y282" s="353"/>
      <c r="Z282" s="731" t="str">
        <f>IFERROR(VLOOKUP(M282,'02. MM-KLH'!$B$6:$T$823,3,0),"")</f>
        <v/>
      </c>
      <c r="AA282" s="353"/>
      <c r="AB282" s="731"/>
      <c r="AC282" s="731"/>
    </row>
    <row r="283" ht="13.8" spans="1:29">
      <c r="A283" s="754">
        <v>4</v>
      </c>
      <c r="B283" s="755" t="s">
        <v>1122</v>
      </c>
      <c r="C283" s="754">
        <f>COUNTA(B284:B319)</f>
        <v>36</v>
      </c>
      <c r="D283" s="756"/>
      <c r="E283" s="756"/>
      <c r="F283" s="756"/>
      <c r="G283" s="756"/>
      <c r="H283" s="762"/>
      <c r="I283" s="762"/>
      <c r="J283" s="758"/>
      <c r="K283" s="758"/>
      <c r="L283" s="756"/>
      <c r="M283" s="756"/>
      <c r="N283" s="756"/>
      <c r="O283" s="760"/>
      <c r="P283" s="756"/>
      <c r="Q283" s="756"/>
      <c r="R283" s="756"/>
      <c r="S283" s="756"/>
      <c r="T283" s="756"/>
      <c r="U283" s="756"/>
      <c r="V283" s="762"/>
      <c r="W283" s="756"/>
      <c r="X283" s="756"/>
      <c r="Y283" s="756"/>
      <c r="Z283" s="762"/>
      <c r="AA283" s="756"/>
      <c r="AB283" s="762"/>
      <c r="AC283" s="762"/>
    </row>
    <row r="284" ht="13.8" spans="1:29">
      <c r="A284" s="731"/>
      <c r="B284" s="613" t="str">
        <f>IFERROR(VLOOKUP(M284,'02. MM-KLH'!$B$6:$T$823,6,0),"")</f>
        <v>Máy cày KAM50</v>
      </c>
      <c r="C284" s="353">
        <v>1</v>
      </c>
      <c r="D284" s="353" t="str">
        <f>IFERROR(VLOOKUP(M284,'02. MM-KLH'!$B$6:$T$823,16,0),"")</f>
        <v>KAM50</v>
      </c>
      <c r="E284" s="353" t="s">
        <v>5978</v>
      </c>
      <c r="F284" s="353"/>
      <c r="G284" s="353"/>
      <c r="H284" s="353" t="str">
        <f>IFERROR(VLOOKUP(M284,'02. MM-KLH'!$B$6:$T$823,17,0),"")</f>
        <v>50HP</v>
      </c>
      <c r="I284" s="763">
        <f>IFERROR(VLOOKUP(M284,'02. MM-KLH'!$B$6:$U$823,20,0),"")</f>
        <v>2.5</v>
      </c>
      <c r="J284" s="613" t="str">
        <f>IFERROR(VLOOKUP(M284,'02. MM-KLH'!$B$6:$T$823,19,0),"")</f>
        <v>CCN</v>
      </c>
      <c r="K284" s="613" t="str">
        <f>IFERROR(VLOOKUP(M284,'02. MM-KLH'!$B$6:$T$823,18,0),"")</f>
        <v>C000012</v>
      </c>
      <c r="L284" s="353">
        <f>IFERROR(VLOOKUP(M284,'02. MM-KLH'!$B$6:$T$823,4,0),"")</f>
        <v>0</v>
      </c>
      <c r="M284" s="49" t="s">
        <v>1119</v>
      </c>
      <c r="N284" s="356">
        <f>IFERROR(VLOOKUP(M284,'02. MM-KLH'!$B$6:$T$823,15,0),"")</f>
        <v>2018</v>
      </c>
      <c r="O284" s="764">
        <f>IFERROR(VLOOKUP(M284,'02. MM-KLH'!$B$6:$T$823,9,0),"")</f>
        <v>0</v>
      </c>
      <c r="P284" s="353"/>
      <c r="Q284" s="353" t="s">
        <v>1755</v>
      </c>
      <c r="R284" s="353" t="s">
        <v>5978</v>
      </c>
      <c r="S284" s="353"/>
      <c r="T284" s="353"/>
      <c r="U284" s="353" t="str">
        <f>IFERROR(VLOOKUP(M284,'02. MM-KLH'!$B$6:$T$823,5,0),"")</f>
        <v>ĐQSD</v>
      </c>
      <c r="V284" s="731" t="str">
        <f>IFERROR(VLOOKUP(M284,'02. MM-KLH'!$B$6:$T$823,8,0),"")</f>
        <v>XN Chuối DP1</v>
      </c>
      <c r="W284" s="353" t="str">
        <f>IFERROR(VLOOKUP(V284,'NS QUẢN LÝ CG'!$A$4:$D$36,2,0),"")</f>
        <v/>
      </c>
      <c r="X284" s="353" t="str">
        <f>IFERROR(VLOOKUP(V284,'NS QUẢN LÝ CG'!$A$4:$D$36,4,0),"")</f>
        <v/>
      </c>
      <c r="Y284" s="353" t="str">
        <f>IFERROR(VLOOKUP(V284,'NS QUẢN LÝ CG'!$A$4:$C$36,3,0),"")</f>
        <v/>
      </c>
      <c r="Z284" s="731" t="str">
        <f>IFERROR(VLOOKUP(M284,'02. MM-KLH'!$B$6:$T$823,3,0),"")</f>
        <v>A23-MKE-012</v>
      </c>
      <c r="AA284" s="353" t="str">
        <f t="shared" ref="AA284:AA310" si="20">_xlfn.SWITCH(LEFT(Z284,3),"A22","ADM","A23","DP","A24","LP","")</f>
        <v>DP</v>
      </c>
      <c r="AB284" s="731"/>
      <c r="AC284" s="731"/>
    </row>
    <row r="285" ht="13.8" spans="1:29">
      <c r="A285" s="731"/>
      <c r="B285" s="613" t="str">
        <f>IFERROR(VLOOKUP(M285,'02. MM-KLH'!$B$6:$T$823,6,0),"")</f>
        <v>Máy cày KAM50</v>
      </c>
      <c r="C285" s="353">
        <v>1</v>
      </c>
      <c r="D285" s="353" t="str">
        <f>IFERROR(VLOOKUP(M285,'02. MM-KLH'!$B$6:$T$823,16,0),"")</f>
        <v>KAM50</v>
      </c>
      <c r="E285" s="353" t="s">
        <v>5978</v>
      </c>
      <c r="F285" s="353"/>
      <c r="G285" s="353"/>
      <c r="H285" s="353" t="str">
        <f>IFERROR(VLOOKUP(M285,'02. MM-KLH'!$B$6:$T$823,17,0),"")</f>
        <v>50HP</v>
      </c>
      <c r="I285" s="763">
        <f>IFERROR(VLOOKUP(M285,'02. MM-KLH'!$B$6:$U$823,20,0),"")</f>
        <v>2.5</v>
      </c>
      <c r="J285" s="613" t="str">
        <f>IFERROR(VLOOKUP(M285,'02. MM-KLH'!$B$6:$T$823,19,0),"")</f>
        <v>CCN</v>
      </c>
      <c r="K285" s="613" t="str">
        <f>IFERROR(VLOOKUP(M285,'02. MM-KLH'!$B$6:$T$823,18,0),"")</f>
        <v>C000072</v>
      </c>
      <c r="L285" s="353">
        <f>IFERROR(VLOOKUP(M285,'02. MM-KLH'!$B$6:$T$823,4,0),"")</f>
        <v>0</v>
      </c>
      <c r="M285" s="49" t="s">
        <v>1124</v>
      </c>
      <c r="N285" s="356">
        <f>IFERROR(VLOOKUP(M285,'02. MM-KLH'!$B$6:$T$823,15,0),"")</f>
        <v>2018</v>
      </c>
      <c r="O285" s="764">
        <f>IFERROR(VLOOKUP(M285,'02. MM-KLH'!$B$6:$T$823,9,0),"")</f>
        <v>0</v>
      </c>
      <c r="P285" s="353"/>
      <c r="Q285" s="353" t="s">
        <v>1755</v>
      </c>
      <c r="R285" s="353" t="s">
        <v>5978</v>
      </c>
      <c r="S285" s="353"/>
      <c r="T285" s="353"/>
      <c r="U285" s="353" t="str">
        <f>IFERROR(VLOOKUP(M285,'02. MM-KLH'!$B$6:$T$823,5,0),"")</f>
        <v>ĐQSD</v>
      </c>
      <c r="V285" s="731" t="str">
        <f>IFERROR(VLOOKUP(M285,'02. MM-KLH'!$B$6:$T$823,8,0),"")</f>
        <v>XN Chuối DP1</v>
      </c>
      <c r="W285" s="353" t="str">
        <f>IFERROR(VLOOKUP(V285,'NS QUẢN LÝ CG'!$A$4:$D$36,2,0),"")</f>
        <v/>
      </c>
      <c r="X285" s="353" t="str">
        <f>IFERROR(VLOOKUP(V285,'NS QUẢN LÝ CG'!$A$4:$D$36,4,0),"")</f>
        <v/>
      </c>
      <c r="Y285" s="353" t="str">
        <f>IFERROR(VLOOKUP(V285,'NS QUẢN LÝ CG'!$A$4:$C$36,3,0),"")</f>
        <v/>
      </c>
      <c r="Z285" s="731" t="str">
        <f>IFERROR(VLOOKUP(M285,'02. MM-KLH'!$B$6:$T$823,3,0),"")</f>
        <v>A23-MKE-013</v>
      </c>
      <c r="AA285" s="353" t="str">
        <f t="shared" si="20"/>
        <v>DP</v>
      </c>
      <c r="AB285" s="731"/>
      <c r="AC285" s="731"/>
    </row>
    <row r="286" ht="13.8" spans="1:29">
      <c r="A286" s="731"/>
      <c r="B286" s="613" t="str">
        <f>IFERROR(VLOOKUP(M286,'02. MM-KLH'!$B$6:$T$823,6,0),"")</f>
        <v>Máy cày KAM50</v>
      </c>
      <c r="C286" s="353">
        <v>1</v>
      </c>
      <c r="D286" s="353" t="str">
        <f>IFERROR(VLOOKUP(M286,'02. MM-KLH'!$B$6:$T$823,16,0),"")</f>
        <v>KAM50</v>
      </c>
      <c r="E286" s="353" t="s">
        <v>5978</v>
      </c>
      <c r="F286" s="353"/>
      <c r="G286" s="353"/>
      <c r="H286" s="353" t="str">
        <f>IFERROR(VLOOKUP(M286,'02. MM-KLH'!$B$6:$T$823,17,0),"")</f>
        <v>50HP</v>
      </c>
      <c r="I286" s="763">
        <f>IFERROR(VLOOKUP(M286,'02. MM-KLH'!$B$6:$U$823,20,0),"")</f>
        <v>2.5</v>
      </c>
      <c r="J286" s="613" t="str">
        <f>IFERROR(VLOOKUP(M286,'02. MM-KLH'!$B$6:$T$823,19,0),"")</f>
        <v>CCN</v>
      </c>
      <c r="K286" s="613" t="str">
        <f>IFERROR(VLOOKUP(M286,'02. MM-KLH'!$B$6:$T$823,18,0),"")</f>
        <v>C000025</v>
      </c>
      <c r="L286" s="353">
        <f>IFERROR(VLOOKUP(M286,'02. MM-KLH'!$B$6:$T$823,4,0),"")</f>
        <v>0</v>
      </c>
      <c r="M286" s="49" t="s">
        <v>1129</v>
      </c>
      <c r="N286" s="356">
        <f>IFERROR(VLOOKUP(M286,'02. MM-KLH'!$B$6:$T$823,15,0),"")</f>
        <v>2018</v>
      </c>
      <c r="O286" s="764" t="str">
        <f>IFERROR(VLOOKUP(M286,'02. MM-KLH'!$B$6:$T$823,9,0),"")</f>
        <v>24/04/2024</v>
      </c>
      <c r="P286" s="353"/>
      <c r="Q286" s="353" t="s">
        <v>1755</v>
      </c>
      <c r="R286" s="353" t="s">
        <v>5978</v>
      </c>
      <c r="S286" s="353"/>
      <c r="T286" s="353"/>
      <c r="U286" s="353" t="str">
        <f>IFERROR(VLOOKUP(M286,'02. MM-KLH'!$B$6:$T$823,5,0),"")</f>
        <v>ĐQSD</v>
      </c>
      <c r="V286" s="731" t="str">
        <f>IFERROR(VLOOKUP(M286,'02. MM-KLH'!$B$6:$T$823,8,0),"")</f>
        <v>XN Chuối DP1</v>
      </c>
      <c r="W286" s="353" t="str">
        <f>IFERROR(VLOOKUP(V286,'NS QUẢN LÝ CG'!$A$4:$D$36,2,0),"")</f>
        <v/>
      </c>
      <c r="X286" s="353" t="str">
        <f>IFERROR(VLOOKUP(V286,'NS QUẢN LÝ CG'!$A$4:$D$36,4,0),"")</f>
        <v/>
      </c>
      <c r="Y286" s="353" t="str">
        <f>IFERROR(VLOOKUP(V286,'NS QUẢN LÝ CG'!$A$4:$C$36,3,0),"")</f>
        <v/>
      </c>
      <c r="Z286" s="731" t="str">
        <f>IFERROR(VLOOKUP(M286,'02. MM-KLH'!$B$6:$T$823,3,0),"")</f>
        <v>A23-MKE-014</v>
      </c>
      <c r="AA286" s="353" t="str">
        <f t="shared" si="20"/>
        <v>DP</v>
      </c>
      <c r="AB286" s="731"/>
      <c r="AC286" s="731"/>
    </row>
    <row r="287" ht="13.8" spans="1:29">
      <c r="A287" s="731"/>
      <c r="B287" s="613" t="str">
        <f>IFERROR(VLOOKUP(M287,'02. MM-KLH'!$B$6:$T$823,6,0),"")</f>
        <v>Máy cày KAM50</v>
      </c>
      <c r="C287" s="353">
        <v>1</v>
      </c>
      <c r="D287" s="353" t="str">
        <f>IFERROR(VLOOKUP(M287,'02. MM-KLH'!$B$6:$T$823,16,0),"")</f>
        <v>KAM50</v>
      </c>
      <c r="E287" s="353" t="s">
        <v>5978</v>
      </c>
      <c r="F287" s="353"/>
      <c r="G287" s="353"/>
      <c r="H287" s="353" t="str">
        <f>IFERROR(VLOOKUP(M287,'02. MM-KLH'!$B$6:$T$823,17,0),"")</f>
        <v>50HP</v>
      </c>
      <c r="I287" s="763">
        <f>IFERROR(VLOOKUP(M287,'02. MM-KLH'!$B$6:$U$823,20,0),"")</f>
        <v>2.5</v>
      </c>
      <c r="J287" s="613" t="str">
        <f>IFERROR(VLOOKUP(M287,'02. MM-KLH'!$B$6:$T$823,19,0),"")</f>
        <v>CCN</v>
      </c>
      <c r="K287" s="613" t="str">
        <f>IFERROR(VLOOKUP(M287,'02. MM-KLH'!$B$6:$T$823,18,0),"")</f>
        <v>C000011</v>
      </c>
      <c r="L287" s="353">
        <f>IFERROR(VLOOKUP(M287,'02. MM-KLH'!$B$6:$T$823,4,0),"")</f>
        <v>0</v>
      </c>
      <c r="M287" s="49" t="s">
        <v>1253</v>
      </c>
      <c r="N287" s="356">
        <f>IFERROR(VLOOKUP(M287,'02. MM-KLH'!$B$6:$T$823,15,0),"")</f>
        <v>2018</v>
      </c>
      <c r="O287" s="764">
        <f>IFERROR(VLOOKUP(M287,'02. MM-KLH'!$B$6:$T$823,9,0),"")</f>
        <v>0</v>
      </c>
      <c r="P287" s="353"/>
      <c r="Q287" s="353" t="s">
        <v>1755</v>
      </c>
      <c r="R287" s="353" t="s">
        <v>5978</v>
      </c>
      <c r="S287" s="353"/>
      <c r="T287" s="353"/>
      <c r="U287" s="353" t="str">
        <f>IFERROR(VLOOKUP(M287,'02. MM-KLH'!$B$6:$T$823,5,0),"")</f>
        <v>ĐQSD</v>
      </c>
      <c r="V287" s="731" t="str">
        <f>IFERROR(VLOOKUP(M287,'02. MM-KLH'!$B$6:$T$823,8,0),"")</f>
        <v>XN Chuối DP2</v>
      </c>
      <c r="W287" s="353" t="str">
        <f>IFERROR(VLOOKUP(V287,'NS QUẢN LÝ CG'!$A$4:$D$36,2,0),"")</f>
        <v/>
      </c>
      <c r="X287" s="353" t="str">
        <f>IFERROR(VLOOKUP(V287,'NS QUẢN LÝ CG'!$A$4:$D$36,4,0),"")</f>
        <v/>
      </c>
      <c r="Y287" s="353" t="str">
        <f>IFERROR(VLOOKUP(V287,'NS QUẢN LÝ CG'!$A$4:$C$36,3,0),"")</f>
        <v/>
      </c>
      <c r="Z287" s="731" t="str">
        <f>IFERROR(VLOOKUP(M287,'02. MM-KLH'!$B$6:$T$823,3,0),"")</f>
        <v>A23-MKE-019</v>
      </c>
      <c r="AA287" s="353" t="str">
        <f t="shared" si="20"/>
        <v>DP</v>
      </c>
      <c r="AB287" s="731"/>
      <c r="AC287" s="731"/>
    </row>
    <row r="288" ht="13.8" spans="1:29">
      <c r="A288" s="731"/>
      <c r="B288" s="613" t="str">
        <f>IFERROR(VLOOKUP(M288,'02. MM-KLH'!$B$6:$T$823,6,0),"")</f>
        <v>Máy cày KAM50</v>
      </c>
      <c r="C288" s="353">
        <v>1</v>
      </c>
      <c r="D288" s="353" t="str">
        <f>IFERROR(VLOOKUP(M288,'02. MM-KLH'!$B$6:$T$823,16,0),"")</f>
        <v>KAM50</v>
      </c>
      <c r="E288" s="353" t="s">
        <v>5978</v>
      </c>
      <c r="F288" s="353"/>
      <c r="G288" s="353"/>
      <c r="H288" s="353" t="str">
        <f>IFERROR(VLOOKUP(M288,'02. MM-KLH'!$B$6:$T$823,17,0),"")</f>
        <v>50HP</v>
      </c>
      <c r="I288" s="763">
        <f>IFERROR(VLOOKUP(M288,'02. MM-KLH'!$B$6:$U$823,20,0),"")</f>
        <v>2.5</v>
      </c>
      <c r="J288" s="613" t="str">
        <f>IFERROR(VLOOKUP(M288,'02. MM-KLH'!$B$6:$T$823,19,0),"")</f>
        <v>CCN</v>
      </c>
      <c r="K288" s="613" t="str">
        <f>IFERROR(VLOOKUP(M288,'02. MM-KLH'!$B$6:$T$823,18,0),"")</f>
        <v>C00007</v>
      </c>
      <c r="L288" s="353">
        <f>IFERROR(VLOOKUP(M288,'02. MM-KLH'!$B$6:$T$823,4,0),"")</f>
        <v>0</v>
      </c>
      <c r="M288" s="49" t="s">
        <v>1256</v>
      </c>
      <c r="N288" s="356">
        <f>IFERROR(VLOOKUP(M288,'02. MM-KLH'!$B$6:$T$823,15,0),"")</f>
        <v>2018</v>
      </c>
      <c r="O288" s="764">
        <f>IFERROR(VLOOKUP(M288,'02. MM-KLH'!$B$6:$T$823,9,0),"")</f>
        <v>0</v>
      </c>
      <c r="P288" s="353"/>
      <c r="Q288" s="353" t="s">
        <v>1755</v>
      </c>
      <c r="R288" s="353" t="s">
        <v>5978</v>
      </c>
      <c r="S288" s="353"/>
      <c r="T288" s="353"/>
      <c r="U288" s="353" t="str">
        <f>IFERROR(VLOOKUP(M288,'02. MM-KLH'!$B$6:$T$823,5,0),"")</f>
        <v>ĐQSD</v>
      </c>
      <c r="V288" s="731" t="str">
        <f>IFERROR(VLOOKUP(M288,'02. MM-KLH'!$B$6:$T$823,8,0),"")</f>
        <v>XN Chuối DP2</v>
      </c>
      <c r="W288" s="353" t="str">
        <f>IFERROR(VLOOKUP(V288,'NS QUẢN LÝ CG'!$A$4:$D$36,2,0),"")</f>
        <v/>
      </c>
      <c r="X288" s="353" t="str">
        <f>IFERROR(VLOOKUP(V288,'NS QUẢN LÝ CG'!$A$4:$D$36,4,0),"")</f>
        <v/>
      </c>
      <c r="Y288" s="353" t="str">
        <f>IFERROR(VLOOKUP(V288,'NS QUẢN LÝ CG'!$A$4:$C$36,3,0),"")</f>
        <v/>
      </c>
      <c r="Z288" s="731" t="str">
        <f>IFERROR(VLOOKUP(M288,'02. MM-KLH'!$B$6:$T$823,3,0),"")</f>
        <v>A23-MKE-020</v>
      </c>
      <c r="AA288" s="353" t="str">
        <f t="shared" si="20"/>
        <v>DP</v>
      </c>
      <c r="AB288" s="731"/>
      <c r="AC288" s="731"/>
    </row>
    <row r="289" ht="13.8" spans="1:29">
      <c r="A289" s="731"/>
      <c r="B289" s="613" t="str">
        <f>IFERROR(VLOOKUP(M289,'02. MM-KLH'!$B$6:$T$823,6,0),"")</f>
        <v>Máy cày KAM50</v>
      </c>
      <c r="C289" s="353">
        <v>1</v>
      </c>
      <c r="D289" s="353" t="str">
        <f>IFERROR(VLOOKUP(M289,'02. MM-KLH'!$B$6:$T$823,16,0),"")</f>
        <v>KAM50</v>
      </c>
      <c r="E289" s="353" t="s">
        <v>5978</v>
      </c>
      <c r="F289" s="353"/>
      <c r="G289" s="353"/>
      <c r="H289" s="353" t="str">
        <f>IFERROR(VLOOKUP(M289,'02. MM-KLH'!$B$6:$T$823,17,0),"")</f>
        <v>50HP</v>
      </c>
      <c r="I289" s="763">
        <f>IFERROR(VLOOKUP(M289,'02. MM-KLH'!$B$6:$U$823,20,0),"")</f>
        <v>2.5</v>
      </c>
      <c r="J289" s="613" t="str">
        <f>IFERROR(VLOOKUP(M289,'02. MM-KLH'!$B$6:$T$823,19,0),"")</f>
        <v>CCN</v>
      </c>
      <c r="K289" s="613" t="str">
        <f>IFERROR(VLOOKUP(M289,'02. MM-KLH'!$B$6:$T$823,18,0),"")</f>
        <v>C000083</v>
      </c>
      <c r="L289" s="353">
        <f>IFERROR(VLOOKUP(M289,'02. MM-KLH'!$B$6:$T$823,4,0),"")</f>
        <v>0</v>
      </c>
      <c r="M289" s="49" t="s">
        <v>1349</v>
      </c>
      <c r="N289" s="356">
        <f>IFERROR(VLOOKUP(M289,'02. MM-KLH'!$B$6:$T$823,15,0),"")</f>
        <v>2018</v>
      </c>
      <c r="O289" s="764">
        <f>IFERROR(VLOOKUP(M289,'02. MM-KLH'!$B$6:$T$823,9,0),"")</f>
        <v>43525</v>
      </c>
      <c r="P289" s="353"/>
      <c r="Q289" s="353" t="s">
        <v>1755</v>
      </c>
      <c r="R289" s="353" t="s">
        <v>5978</v>
      </c>
      <c r="S289" s="353"/>
      <c r="T289" s="353"/>
      <c r="U289" s="353" t="str">
        <f>IFERROR(VLOOKUP(M289,'02. MM-KLH'!$B$6:$T$823,5,0),"")</f>
        <v>ĐQSD</v>
      </c>
      <c r="V289" s="731" t="str">
        <f>IFERROR(VLOOKUP(M289,'02. MM-KLH'!$B$6:$T$823,8,0),"")</f>
        <v>XN Chuối DP3</v>
      </c>
      <c r="W289" s="353" t="str">
        <f>IFERROR(VLOOKUP(V289,'NS QUẢN LÝ CG'!$A$4:$D$36,2,0),"")</f>
        <v/>
      </c>
      <c r="X289" s="353" t="str">
        <f>IFERROR(VLOOKUP(V289,'NS QUẢN LÝ CG'!$A$4:$D$36,4,0),"")</f>
        <v/>
      </c>
      <c r="Y289" s="353" t="str">
        <f>IFERROR(VLOOKUP(V289,'NS QUẢN LÝ CG'!$A$4:$C$36,3,0),"")</f>
        <v/>
      </c>
      <c r="Z289" s="731" t="str">
        <f>IFERROR(VLOOKUP(M289,'02. MM-KLH'!$B$6:$T$823,3,0),"")</f>
        <v>A23-MKE-024</v>
      </c>
      <c r="AA289" s="353" t="str">
        <f t="shared" si="20"/>
        <v>DP</v>
      </c>
      <c r="AB289" s="731"/>
      <c r="AC289" s="731"/>
    </row>
    <row r="290" ht="13.8" spans="1:29">
      <c r="A290" s="731"/>
      <c r="B290" s="613" t="str">
        <f>IFERROR(VLOOKUP(M290,'02. MM-KLH'!$B$6:$T$823,6,0),"")</f>
        <v>Máy cày KAM50</v>
      </c>
      <c r="C290" s="353">
        <v>1</v>
      </c>
      <c r="D290" s="353" t="str">
        <f>IFERROR(VLOOKUP(M290,'02. MM-KLH'!$B$6:$T$823,16,0),"")</f>
        <v>KAM50</v>
      </c>
      <c r="E290" s="353" t="s">
        <v>5978</v>
      </c>
      <c r="F290" s="353"/>
      <c r="G290" s="353"/>
      <c r="H290" s="353" t="str">
        <f>IFERROR(VLOOKUP(M290,'02. MM-KLH'!$B$6:$T$823,17,0),"")</f>
        <v>50HP</v>
      </c>
      <c r="I290" s="763">
        <f>IFERROR(VLOOKUP(M290,'02. MM-KLH'!$B$6:$U$823,20,0),"")</f>
        <v>2.5</v>
      </c>
      <c r="J290" s="613" t="str">
        <f>IFERROR(VLOOKUP(M290,'02. MM-KLH'!$B$6:$T$823,19,0),"")</f>
        <v>CCN</v>
      </c>
      <c r="K290" s="613" t="str">
        <f>IFERROR(VLOOKUP(M290,'02. MM-KLH'!$B$6:$T$823,18,0),"")</f>
        <v>C000070</v>
      </c>
      <c r="L290" s="353">
        <f>IFERROR(VLOOKUP(M290,'02. MM-KLH'!$B$6:$T$823,4,0),"")</f>
        <v>0</v>
      </c>
      <c r="M290" s="49" t="s">
        <v>1352</v>
      </c>
      <c r="N290" s="356">
        <f>IFERROR(VLOOKUP(M290,'02. MM-KLH'!$B$6:$T$823,15,0),"")</f>
        <v>2018</v>
      </c>
      <c r="O290" s="764">
        <f>IFERROR(VLOOKUP(M290,'02. MM-KLH'!$B$6:$T$823,9,0),"")</f>
        <v>43525</v>
      </c>
      <c r="P290" s="353"/>
      <c r="Q290" s="353" t="s">
        <v>1755</v>
      </c>
      <c r="R290" s="353"/>
      <c r="S290" s="353" t="s">
        <v>5978</v>
      </c>
      <c r="T290" s="353"/>
      <c r="U290" s="353" t="str">
        <f>IFERROR(VLOOKUP(M290,'02. MM-KLH'!$B$6:$T$823,5,0),"")</f>
        <v>ĐQSD</v>
      </c>
      <c r="V290" s="731" t="str">
        <f>IFERROR(VLOOKUP(M290,'02. MM-KLH'!$B$6:$T$823,8,0),"")</f>
        <v>XN Chuối DP3</v>
      </c>
      <c r="W290" s="353" t="str">
        <f>IFERROR(VLOOKUP(V290,'NS QUẢN LÝ CG'!$A$4:$D$36,2,0),"")</f>
        <v/>
      </c>
      <c r="X290" s="353" t="str">
        <f>IFERROR(VLOOKUP(V290,'NS QUẢN LÝ CG'!$A$4:$D$36,4,0),"")</f>
        <v/>
      </c>
      <c r="Y290" s="353" t="str">
        <f>IFERROR(VLOOKUP(V290,'NS QUẢN LÝ CG'!$A$4:$C$36,3,0),"")</f>
        <v/>
      </c>
      <c r="Z290" s="731" t="str">
        <f>IFERROR(VLOOKUP(M290,'02. MM-KLH'!$B$6:$T$823,3,0),"")</f>
        <v>A23-MKE-025</v>
      </c>
      <c r="AA290" s="353" t="str">
        <f t="shared" si="20"/>
        <v>DP</v>
      </c>
      <c r="AB290" s="731"/>
      <c r="AC290" s="731"/>
    </row>
    <row r="291" ht="13.8" spans="1:29">
      <c r="A291" s="731"/>
      <c r="B291" s="613" t="str">
        <f>IFERROR(VLOOKUP(M291,'02. MM-KLH'!$B$6:$T$823,6,0),"")</f>
        <v>Máy cày KAM50</v>
      </c>
      <c r="C291" s="353">
        <v>1</v>
      </c>
      <c r="D291" s="353" t="str">
        <f>IFERROR(VLOOKUP(M291,'02. MM-KLH'!$B$6:$T$823,16,0),"")</f>
        <v>KAM50</v>
      </c>
      <c r="E291" s="353" t="s">
        <v>5978</v>
      </c>
      <c r="F291" s="353"/>
      <c r="G291" s="353"/>
      <c r="H291" s="353" t="str">
        <f>IFERROR(VLOOKUP(M291,'02. MM-KLH'!$B$6:$T$823,17,0),"")</f>
        <v>50HP</v>
      </c>
      <c r="I291" s="763">
        <f>IFERROR(VLOOKUP(M291,'02. MM-KLH'!$B$6:$U$823,20,0),"")</f>
        <v>2.5</v>
      </c>
      <c r="J291" s="613" t="str">
        <f>IFERROR(VLOOKUP(M291,'02. MM-KLH'!$B$6:$T$823,19,0),"")</f>
        <v>CCN</v>
      </c>
      <c r="K291" s="613" t="str">
        <f>IFERROR(VLOOKUP(M291,'02. MM-KLH'!$B$6:$T$823,18,0),"")</f>
        <v>C000036</v>
      </c>
      <c r="L291" s="353">
        <f>IFERROR(VLOOKUP(M291,'02. MM-KLH'!$B$6:$T$823,4,0),"")</f>
        <v>0</v>
      </c>
      <c r="M291" s="49" t="s">
        <v>1355</v>
      </c>
      <c r="N291" s="356">
        <f>IFERROR(VLOOKUP(M291,'02. MM-KLH'!$B$6:$T$823,15,0),"")</f>
        <v>2018</v>
      </c>
      <c r="O291" s="764">
        <f>IFERROR(VLOOKUP(M291,'02. MM-KLH'!$B$6:$T$823,9,0),"")</f>
        <v>43525</v>
      </c>
      <c r="P291" s="353"/>
      <c r="Q291" s="353" t="s">
        <v>1755</v>
      </c>
      <c r="R291" s="353" t="s">
        <v>5978</v>
      </c>
      <c r="S291" s="353"/>
      <c r="T291" s="353"/>
      <c r="U291" s="353" t="str">
        <f>IFERROR(VLOOKUP(M291,'02. MM-KLH'!$B$6:$T$823,5,0),"")</f>
        <v>ĐQSD</v>
      </c>
      <c r="V291" s="731" t="str">
        <f>IFERROR(VLOOKUP(M291,'02. MM-KLH'!$B$6:$T$823,8,0),"")</f>
        <v>XN Chuối DP3</v>
      </c>
      <c r="W291" s="353" t="str">
        <f>IFERROR(VLOOKUP(V291,'NS QUẢN LÝ CG'!$A$4:$D$36,2,0),"")</f>
        <v/>
      </c>
      <c r="X291" s="353" t="str">
        <f>IFERROR(VLOOKUP(V291,'NS QUẢN LÝ CG'!$A$4:$D$36,4,0),"")</f>
        <v/>
      </c>
      <c r="Y291" s="353" t="str">
        <f>IFERROR(VLOOKUP(V291,'NS QUẢN LÝ CG'!$A$4:$C$36,3,0),"")</f>
        <v/>
      </c>
      <c r="Z291" s="731" t="str">
        <f>IFERROR(VLOOKUP(M291,'02. MM-KLH'!$B$6:$T$823,3,0),"")</f>
        <v>A23-MKE-026</v>
      </c>
      <c r="AA291" s="353" t="str">
        <f t="shared" si="20"/>
        <v>DP</v>
      </c>
      <c r="AB291" s="731"/>
      <c r="AC291" s="731"/>
    </row>
    <row r="292" ht="13.8" spans="1:29">
      <c r="A292" s="731"/>
      <c r="B292" s="613" t="str">
        <f>IFERROR(VLOOKUP(M292,'02. MM-KLH'!$B$6:$T$823,6,0),"")</f>
        <v>Máy cày KAM50</v>
      </c>
      <c r="C292" s="353">
        <v>1</v>
      </c>
      <c r="D292" s="353" t="str">
        <f>IFERROR(VLOOKUP(M292,'02. MM-KLH'!$B$6:$T$823,16,0),"")</f>
        <v>KAM50</v>
      </c>
      <c r="E292" s="353" t="s">
        <v>5978</v>
      </c>
      <c r="F292" s="353"/>
      <c r="G292" s="353"/>
      <c r="H292" s="353" t="str">
        <f>IFERROR(VLOOKUP(M292,'02. MM-KLH'!$B$6:$T$823,17,0),"")</f>
        <v>50HP</v>
      </c>
      <c r="I292" s="763">
        <f>IFERROR(VLOOKUP(M292,'02. MM-KLH'!$B$6:$U$823,20,0),"")</f>
        <v>2.5</v>
      </c>
      <c r="J292" s="613" t="str">
        <f>IFERROR(VLOOKUP(M292,'02. MM-KLH'!$B$6:$T$823,19,0),"")</f>
        <v>CCN</v>
      </c>
      <c r="K292" s="613" t="str">
        <f>IFERROR(VLOOKUP(M292,'02. MM-KLH'!$B$6:$T$823,18,0),"")</f>
        <v>C000013</v>
      </c>
      <c r="L292" s="353">
        <f>IFERROR(VLOOKUP(M292,'02. MM-KLH'!$B$6:$T$823,4,0),"")</f>
        <v>0</v>
      </c>
      <c r="M292" s="49" t="s">
        <v>1358</v>
      </c>
      <c r="N292" s="356">
        <f>IFERROR(VLOOKUP(M292,'02. MM-KLH'!$B$6:$T$823,15,0),"")</f>
        <v>2018</v>
      </c>
      <c r="O292" s="764">
        <f>IFERROR(VLOOKUP(M292,'02. MM-KLH'!$B$6:$T$823,9,0),"")</f>
        <v>43525</v>
      </c>
      <c r="P292" s="353"/>
      <c r="Q292" s="353" t="s">
        <v>1755</v>
      </c>
      <c r="R292" s="353" t="s">
        <v>5978</v>
      </c>
      <c r="S292" s="353"/>
      <c r="T292" s="353"/>
      <c r="U292" s="353" t="str">
        <f>IFERROR(VLOOKUP(M292,'02. MM-KLH'!$B$6:$T$823,5,0),"")</f>
        <v>ĐQSD</v>
      </c>
      <c r="V292" s="731" t="str">
        <f>IFERROR(VLOOKUP(M292,'02. MM-KLH'!$B$6:$T$823,8,0),"")</f>
        <v>XN Chuối DP3</v>
      </c>
      <c r="W292" s="353" t="str">
        <f>IFERROR(VLOOKUP(V292,'NS QUẢN LÝ CG'!$A$4:$D$36,2,0),"")</f>
        <v/>
      </c>
      <c r="X292" s="353" t="str">
        <f>IFERROR(VLOOKUP(V292,'NS QUẢN LÝ CG'!$A$4:$D$36,4,0),"")</f>
        <v/>
      </c>
      <c r="Y292" s="353" t="str">
        <f>IFERROR(VLOOKUP(V292,'NS QUẢN LÝ CG'!$A$4:$C$36,3,0),"")</f>
        <v/>
      </c>
      <c r="Z292" s="731" t="str">
        <f>IFERROR(VLOOKUP(M292,'02. MM-KLH'!$B$6:$T$823,3,0),"")</f>
        <v>A23-MKE-027</v>
      </c>
      <c r="AA292" s="353" t="str">
        <f t="shared" si="20"/>
        <v>DP</v>
      </c>
      <c r="AB292" s="731"/>
      <c r="AC292" s="731"/>
    </row>
    <row r="293" ht="13.8" spans="1:29">
      <c r="A293" s="731"/>
      <c r="B293" s="613" t="str">
        <f>IFERROR(VLOOKUP(M293,'02. MM-KLH'!$B$6:$T$823,6,0),"")</f>
        <v>Máy cày KAM50</v>
      </c>
      <c r="C293" s="353">
        <v>1</v>
      </c>
      <c r="D293" s="353" t="str">
        <f>IFERROR(VLOOKUP(M293,'02. MM-KLH'!$B$6:$T$823,16,0),"")</f>
        <v>KAM50</v>
      </c>
      <c r="E293" s="353" t="s">
        <v>5978</v>
      </c>
      <c r="F293" s="353"/>
      <c r="G293" s="353"/>
      <c r="H293" s="353" t="str">
        <f>IFERROR(VLOOKUP(M293,'02. MM-KLH'!$B$6:$T$823,17,0),"")</f>
        <v>50HP</v>
      </c>
      <c r="I293" s="763">
        <f>IFERROR(VLOOKUP(M293,'02. MM-KLH'!$B$6:$U$823,20,0),"")</f>
        <v>2</v>
      </c>
      <c r="J293" s="613" t="str">
        <f>IFERROR(VLOOKUP(M293,'02. MM-KLH'!$B$6:$T$823,19,0),"")</f>
        <v>CCN</v>
      </c>
      <c r="K293" s="613" t="str">
        <f>IFERROR(VLOOKUP(M293,'02. MM-KLH'!$B$6:$T$823,18,0),"")</f>
        <v>C000084</v>
      </c>
      <c r="L293" s="353">
        <f>IFERROR(VLOOKUP(M293,'02. MM-KLH'!$B$6:$T$823,4,0),"")</f>
        <v>0</v>
      </c>
      <c r="M293" s="49" t="s">
        <v>1363</v>
      </c>
      <c r="N293" s="356">
        <f>IFERROR(VLOOKUP(M293,'02. MM-KLH'!$B$6:$T$823,15,0),"")</f>
        <v>2018</v>
      </c>
      <c r="O293" s="764">
        <f>IFERROR(VLOOKUP(M293,'02. MM-KLH'!$B$6:$T$823,9,0),"")</f>
        <v>0</v>
      </c>
      <c r="P293" s="353"/>
      <c r="Q293" s="353" t="s">
        <v>1755</v>
      </c>
      <c r="R293" s="353" t="s">
        <v>5978</v>
      </c>
      <c r="S293" s="353"/>
      <c r="T293" s="353"/>
      <c r="U293" s="353" t="str">
        <f>IFERROR(VLOOKUP(M293,'02. MM-KLH'!$B$6:$T$823,5,0),"")</f>
        <v>ĐQSD</v>
      </c>
      <c r="V293" s="731" t="str">
        <f>IFERROR(VLOOKUP(M293,'02. MM-KLH'!$B$6:$T$823,8,0),"")</f>
        <v>XN Chuối DP3</v>
      </c>
      <c r="W293" s="353" t="str">
        <f>IFERROR(VLOOKUP(V293,'NS QUẢN LÝ CG'!$A$4:$D$36,2,0),"")</f>
        <v/>
      </c>
      <c r="X293" s="353" t="str">
        <f>IFERROR(VLOOKUP(V293,'NS QUẢN LÝ CG'!$A$4:$D$36,4,0),"")</f>
        <v/>
      </c>
      <c r="Y293" s="353" t="str">
        <f>IFERROR(VLOOKUP(V293,'NS QUẢN LÝ CG'!$A$4:$C$36,3,0),"")</f>
        <v/>
      </c>
      <c r="Z293" s="731" t="str">
        <f>IFERROR(VLOOKUP(M293,'02. MM-KLH'!$B$6:$T$823,3,0),"")</f>
        <v>A23-MKE-028</v>
      </c>
      <c r="AA293" s="353" t="str">
        <f t="shared" si="20"/>
        <v>DP</v>
      </c>
      <c r="AB293" s="731"/>
      <c r="AC293" s="731"/>
    </row>
    <row r="294" ht="13.8" spans="1:29">
      <c r="A294" s="731"/>
      <c r="B294" s="613" t="str">
        <f>IFERROR(VLOOKUP(M294,'02. MM-KLH'!$B$6:$T$823,6,0),"")</f>
        <v>Máy cày KAM50</v>
      </c>
      <c r="C294" s="353">
        <v>1</v>
      </c>
      <c r="D294" s="353" t="str">
        <f>IFERROR(VLOOKUP(M294,'02. MM-KLH'!$B$6:$T$823,16,0),"")</f>
        <v>KAM50</v>
      </c>
      <c r="E294" s="353" t="s">
        <v>5978</v>
      </c>
      <c r="F294" s="353"/>
      <c r="G294" s="353"/>
      <c r="H294" s="353" t="str">
        <f>IFERROR(VLOOKUP(M294,'02. MM-KLH'!$B$6:$T$823,17,0),"")</f>
        <v>50HP</v>
      </c>
      <c r="I294" s="763">
        <f>IFERROR(VLOOKUP(M294,'02. MM-KLH'!$B$6:$U$823,20,0),"")</f>
        <v>2</v>
      </c>
      <c r="J294" s="613" t="str">
        <f>IFERROR(VLOOKUP(M294,'02. MM-KLH'!$B$6:$T$823,19,0),"")</f>
        <v>CCN</v>
      </c>
      <c r="K294" s="613" t="str">
        <f>IFERROR(VLOOKUP(M294,'02. MM-KLH'!$B$6:$T$823,18,0),"")</f>
        <v>C000052</v>
      </c>
      <c r="L294" s="353">
        <f>IFERROR(VLOOKUP(M294,'02. MM-KLH'!$B$6:$T$823,4,0),"")</f>
        <v>0</v>
      </c>
      <c r="M294" s="49" t="s">
        <v>1477</v>
      </c>
      <c r="N294" s="356">
        <f>IFERROR(VLOOKUP(M294,'02. MM-KLH'!$B$6:$T$823,15,0),"")</f>
        <v>2018</v>
      </c>
      <c r="O294" s="764" t="str">
        <f>IFERROR(VLOOKUP(M294,'02. MM-KLH'!$B$6:$T$823,9,0),"")</f>
        <v>28/06/2024</v>
      </c>
      <c r="P294" s="353"/>
      <c r="Q294" s="353" t="s">
        <v>1755</v>
      </c>
      <c r="R294" s="353"/>
      <c r="S294" s="353" t="s">
        <v>5978</v>
      </c>
      <c r="T294" s="353"/>
      <c r="U294" s="353" t="str">
        <f>IFERROR(VLOOKUP(M294,'02. MM-KLH'!$B$6:$T$823,5,0),"")</f>
        <v>ĐQSD</v>
      </c>
      <c r="V294" s="731" t="str">
        <f>IFERROR(VLOOKUP(M294,'02. MM-KLH'!$B$6:$T$823,8,0),"")</f>
        <v>XN Chuối LP1</v>
      </c>
      <c r="W294" s="353" t="str">
        <f>IFERROR(VLOOKUP(V294,'NS QUẢN LÝ CG'!$A$4:$D$36,2,0),"")</f>
        <v/>
      </c>
      <c r="X294" s="353" t="str">
        <f>IFERROR(VLOOKUP(V294,'NS QUẢN LÝ CG'!$A$4:$D$36,4,0),"")</f>
        <v/>
      </c>
      <c r="Y294" s="353" t="str">
        <f>IFERROR(VLOOKUP(V294,'NS QUẢN LÝ CG'!$A$4:$C$36,3,0),"")</f>
        <v/>
      </c>
      <c r="Z294" s="731" t="str">
        <f>IFERROR(VLOOKUP(M294,'02. MM-KLH'!$B$6:$T$823,3,0),"")</f>
        <v>A24-MKE-010</v>
      </c>
      <c r="AA294" s="353" t="str">
        <f t="shared" si="20"/>
        <v>LP</v>
      </c>
      <c r="AB294" s="731"/>
      <c r="AC294" s="731"/>
    </row>
    <row r="295" ht="13.8" spans="1:29">
      <c r="A295" s="731"/>
      <c r="B295" s="613" t="str">
        <f>IFERROR(VLOOKUP(M295,'02. MM-KLH'!$B$6:$T$823,6,0),"")</f>
        <v>Máy cày KAM50</v>
      </c>
      <c r="C295" s="353">
        <v>1</v>
      </c>
      <c r="D295" s="353" t="str">
        <f>IFERROR(VLOOKUP(M295,'02. MM-KLH'!$B$6:$T$823,16,0),"")</f>
        <v>KAM50</v>
      </c>
      <c r="E295" s="353" t="s">
        <v>5978</v>
      </c>
      <c r="F295" s="353"/>
      <c r="G295" s="353"/>
      <c r="H295" s="353" t="str">
        <f>IFERROR(VLOOKUP(M295,'02. MM-KLH'!$B$6:$T$823,17,0),"")</f>
        <v>50HP</v>
      </c>
      <c r="I295" s="763">
        <f>IFERROR(VLOOKUP(M295,'02. MM-KLH'!$B$6:$U$823,20,0),"")</f>
        <v>2.5</v>
      </c>
      <c r="J295" s="613" t="str">
        <f>IFERROR(VLOOKUP(M295,'02. MM-KLH'!$B$6:$T$823,19,0),"")</f>
        <v>CCN</v>
      </c>
      <c r="K295" s="613" t="str">
        <f>IFERROR(VLOOKUP(M295,'02. MM-KLH'!$B$6:$T$823,18,0),"")</f>
        <v>C000017</v>
      </c>
      <c r="L295" s="353">
        <f>IFERROR(VLOOKUP(M295,'02. MM-KLH'!$B$6:$T$823,4,0),"")</f>
        <v>0</v>
      </c>
      <c r="M295" s="49" t="s">
        <v>1482</v>
      </c>
      <c r="N295" s="356">
        <f>IFERROR(VLOOKUP(M295,'02. MM-KLH'!$B$6:$T$823,15,0),"")</f>
        <v>2018</v>
      </c>
      <c r="O295" s="764">
        <f>IFERROR(VLOOKUP(M295,'02. MM-KLH'!$B$6:$T$823,9,0),"")</f>
        <v>0</v>
      </c>
      <c r="P295" s="353"/>
      <c r="Q295" s="353" t="s">
        <v>1755</v>
      </c>
      <c r="R295" s="353"/>
      <c r="S295" s="353" t="s">
        <v>5978</v>
      </c>
      <c r="T295" s="353"/>
      <c r="U295" s="353" t="str">
        <f>IFERROR(VLOOKUP(M295,'02. MM-KLH'!$B$6:$T$823,5,0),"")</f>
        <v>ĐQSD</v>
      </c>
      <c r="V295" s="731" t="str">
        <f>IFERROR(VLOOKUP(M295,'02. MM-KLH'!$B$6:$T$823,8,0),"")</f>
        <v>XN Chuối LP1</v>
      </c>
      <c r="W295" s="353" t="str">
        <f>IFERROR(VLOOKUP(V295,'NS QUẢN LÝ CG'!$A$4:$D$36,2,0),"")</f>
        <v/>
      </c>
      <c r="X295" s="353" t="str">
        <f>IFERROR(VLOOKUP(V295,'NS QUẢN LÝ CG'!$A$4:$D$36,4,0),"")</f>
        <v/>
      </c>
      <c r="Y295" s="353" t="str">
        <f>IFERROR(VLOOKUP(V295,'NS QUẢN LÝ CG'!$A$4:$C$36,3,0),"")</f>
        <v/>
      </c>
      <c r="Z295" s="731" t="str">
        <f>IFERROR(VLOOKUP(M295,'02. MM-KLH'!$B$6:$T$823,3,0),"")</f>
        <v>A24-MKE-018</v>
      </c>
      <c r="AA295" s="353" t="str">
        <f t="shared" si="20"/>
        <v>LP</v>
      </c>
      <c r="AB295" s="731"/>
      <c r="AC295" s="731"/>
    </row>
    <row r="296" ht="13.8" spans="1:29">
      <c r="A296" s="731"/>
      <c r="B296" s="613" t="str">
        <f>IFERROR(VLOOKUP(M296,'02. MM-KLH'!$B$6:$T$823,6,0),"")</f>
        <v>Máy cày KAM50</v>
      </c>
      <c r="C296" s="353">
        <v>1</v>
      </c>
      <c r="D296" s="353" t="str">
        <f>IFERROR(VLOOKUP(M296,'02. MM-KLH'!$B$6:$T$823,16,0),"")</f>
        <v>KAM50</v>
      </c>
      <c r="E296" s="353" t="s">
        <v>5978</v>
      </c>
      <c r="F296" s="353"/>
      <c r="G296" s="353"/>
      <c r="H296" s="353" t="str">
        <f>IFERROR(VLOOKUP(M296,'02. MM-KLH'!$B$6:$T$823,17,0),"")</f>
        <v>50HP</v>
      </c>
      <c r="I296" s="763">
        <f>IFERROR(VLOOKUP(M296,'02. MM-KLH'!$B$6:$U$823,20,0),"")</f>
        <v>2.5</v>
      </c>
      <c r="J296" s="613" t="str">
        <f>IFERROR(VLOOKUP(M296,'02. MM-KLH'!$B$6:$T$823,19,0),"")</f>
        <v>CCN</v>
      </c>
      <c r="K296" s="613" t="str">
        <f>IFERROR(VLOOKUP(M296,'02. MM-KLH'!$B$6:$T$823,18,0),"")</f>
        <v>C000063</v>
      </c>
      <c r="L296" s="353">
        <f>IFERROR(VLOOKUP(M296,'02. MM-KLH'!$B$6:$T$823,4,0),"")</f>
        <v>0</v>
      </c>
      <c r="M296" s="49" t="s">
        <v>1486</v>
      </c>
      <c r="N296" s="356">
        <f>IFERROR(VLOOKUP(M296,'02. MM-KLH'!$B$6:$T$823,15,0),"")</f>
        <v>2018</v>
      </c>
      <c r="O296" s="764">
        <f>IFERROR(VLOOKUP(M296,'02. MM-KLH'!$B$6:$T$823,9,0),"")</f>
        <v>0</v>
      </c>
      <c r="P296" s="353"/>
      <c r="Q296" s="353" t="s">
        <v>1755</v>
      </c>
      <c r="R296" s="353"/>
      <c r="S296" s="353" t="s">
        <v>5978</v>
      </c>
      <c r="T296" s="353"/>
      <c r="U296" s="353" t="str">
        <f>IFERROR(VLOOKUP(M296,'02. MM-KLH'!$B$6:$T$823,5,0),"")</f>
        <v>ĐQSD</v>
      </c>
      <c r="V296" s="731" t="str">
        <f>IFERROR(VLOOKUP(M296,'02. MM-KLH'!$B$6:$T$823,8,0),"")</f>
        <v>XN Chuối LP1</v>
      </c>
      <c r="W296" s="353" t="str">
        <f>IFERROR(VLOOKUP(V296,'NS QUẢN LÝ CG'!$A$4:$D$36,2,0),"")</f>
        <v/>
      </c>
      <c r="X296" s="353" t="str">
        <f>IFERROR(VLOOKUP(V296,'NS QUẢN LÝ CG'!$A$4:$D$36,4,0),"")</f>
        <v/>
      </c>
      <c r="Y296" s="353" t="str">
        <f>IFERROR(VLOOKUP(V296,'NS QUẢN LÝ CG'!$A$4:$C$36,3,0),"")</f>
        <v/>
      </c>
      <c r="Z296" s="731" t="str">
        <f>IFERROR(VLOOKUP(M296,'02. MM-KLH'!$B$6:$T$823,3,0),"")</f>
        <v>A24-MKE-019</v>
      </c>
      <c r="AA296" s="353" t="str">
        <f t="shared" si="20"/>
        <v>LP</v>
      </c>
      <c r="AB296" s="731"/>
      <c r="AC296" s="731"/>
    </row>
    <row r="297" ht="13.8" spans="1:29">
      <c r="A297" s="731"/>
      <c r="B297" s="613" t="str">
        <f>IFERROR(VLOOKUP(M297,'02. MM-KLH'!$B$6:$T$823,6,0),"")</f>
        <v>Máy cày KAM50</v>
      </c>
      <c r="C297" s="353">
        <v>1</v>
      </c>
      <c r="D297" s="353" t="str">
        <f>IFERROR(VLOOKUP(M297,'02. MM-KLH'!$B$6:$T$823,16,0),"")</f>
        <v>KAM50</v>
      </c>
      <c r="E297" s="353" t="s">
        <v>5978</v>
      </c>
      <c r="F297" s="353"/>
      <c r="G297" s="353"/>
      <c r="H297" s="353" t="str">
        <f>IFERROR(VLOOKUP(M297,'02. MM-KLH'!$B$6:$T$823,17,0),"")</f>
        <v>50HP</v>
      </c>
      <c r="I297" s="763">
        <f>IFERROR(VLOOKUP(M297,'02. MM-KLH'!$B$6:$U$823,20,0),"")</f>
        <v>2.5</v>
      </c>
      <c r="J297" s="613" t="str">
        <f>IFERROR(VLOOKUP(M297,'02. MM-KLH'!$B$6:$T$823,19,0),"")</f>
        <v>CCN</v>
      </c>
      <c r="K297" s="613" t="str">
        <f>IFERROR(VLOOKUP(M297,'02. MM-KLH'!$B$6:$T$823,18,0),"")</f>
        <v>C000057</v>
      </c>
      <c r="L297" s="353">
        <f>IFERROR(VLOOKUP(M297,'02. MM-KLH'!$B$6:$T$823,4,0),"")</f>
        <v>0</v>
      </c>
      <c r="M297" s="49" t="s">
        <v>1591</v>
      </c>
      <c r="N297" s="356">
        <f>IFERROR(VLOOKUP(M297,'02. MM-KLH'!$B$6:$T$823,15,0),"")</f>
        <v>2018</v>
      </c>
      <c r="O297" s="764">
        <f>IFERROR(VLOOKUP(M297,'02. MM-KLH'!$B$6:$T$823,9,0),"")</f>
        <v>0</v>
      </c>
      <c r="P297" s="353"/>
      <c r="Q297" s="353" t="s">
        <v>1755</v>
      </c>
      <c r="R297" s="353"/>
      <c r="S297" s="353"/>
      <c r="T297" s="353" t="s">
        <v>5978</v>
      </c>
      <c r="U297" s="353" t="str">
        <f>IFERROR(VLOOKUP(M297,'02. MM-KLH'!$B$6:$T$823,5,0),"")</f>
        <v>ĐQSD</v>
      </c>
      <c r="V297" s="731" t="str">
        <f>IFERROR(VLOOKUP(M297,'02. MM-KLH'!$B$6:$T$823,8,0),"")</f>
        <v>XN Chuối LP3</v>
      </c>
      <c r="W297" s="353" t="str">
        <f>IFERROR(VLOOKUP(V297,'NS QUẢN LÝ CG'!$A$4:$D$36,2,0),"")</f>
        <v/>
      </c>
      <c r="X297" s="353" t="str">
        <f>IFERROR(VLOOKUP(V297,'NS QUẢN LÝ CG'!$A$4:$D$36,4,0),"")</f>
        <v/>
      </c>
      <c r="Y297" s="353" t="str">
        <f>IFERROR(VLOOKUP(V297,'NS QUẢN LÝ CG'!$A$4:$C$36,3,0),"")</f>
        <v/>
      </c>
      <c r="Z297" s="731" t="str">
        <f>IFERROR(VLOOKUP(M297,'02. MM-KLH'!$B$6:$T$823,3,0),"")</f>
        <v>A24-MKE-011</v>
      </c>
      <c r="AA297" s="353" t="str">
        <f t="shared" si="20"/>
        <v>LP</v>
      </c>
      <c r="AB297" s="731"/>
      <c r="AC297" s="731"/>
    </row>
    <row r="298" ht="13.8" spans="1:29">
      <c r="A298" s="731"/>
      <c r="B298" s="613" t="str">
        <f>IFERROR(VLOOKUP(M298,'02. MM-KLH'!$B$6:$T$823,6,0),"")</f>
        <v>Máy cày KAM50</v>
      </c>
      <c r="C298" s="353">
        <v>1</v>
      </c>
      <c r="D298" s="353" t="str">
        <f>IFERROR(VLOOKUP(M298,'02. MM-KLH'!$B$6:$T$823,16,0),"")</f>
        <v>KAM50</v>
      </c>
      <c r="E298" s="353" t="s">
        <v>5978</v>
      </c>
      <c r="F298" s="353"/>
      <c r="G298" s="353"/>
      <c r="H298" s="353" t="str">
        <f>IFERROR(VLOOKUP(M298,'02. MM-KLH'!$B$6:$T$823,17,0),"")</f>
        <v>50HP</v>
      </c>
      <c r="I298" s="763">
        <f>IFERROR(VLOOKUP(M298,'02. MM-KLH'!$B$6:$U$823,20,0),"")</f>
        <v>2</v>
      </c>
      <c r="J298" s="613" t="str">
        <f>IFERROR(VLOOKUP(M298,'02. MM-KLH'!$B$6:$T$823,19,0),"")</f>
        <v>CCN</v>
      </c>
      <c r="K298" s="613" t="str">
        <f>IFERROR(VLOOKUP(M298,'02. MM-KLH'!$B$6:$T$823,18,0),"")</f>
        <v>C000056</v>
      </c>
      <c r="L298" s="353">
        <f>IFERROR(VLOOKUP(M298,'02. MM-KLH'!$B$6:$T$823,4,0),"")</f>
        <v>0</v>
      </c>
      <c r="M298" s="49" t="s">
        <v>1595</v>
      </c>
      <c r="N298" s="356">
        <f>IFERROR(VLOOKUP(M298,'02. MM-KLH'!$B$6:$T$823,15,0),"")</f>
        <v>2018</v>
      </c>
      <c r="O298" s="764">
        <f>IFERROR(VLOOKUP(M298,'02. MM-KLH'!$B$6:$T$823,9,0),"")</f>
        <v>0</v>
      </c>
      <c r="P298" s="353"/>
      <c r="Q298" s="353" t="s">
        <v>1755</v>
      </c>
      <c r="R298" s="353"/>
      <c r="S298" s="353"/>
      <c r="T298" s="353" t="s">
        <v>5978</v>
      </c>
      <c r="U298" s="353" t="str">
        <f>IFERROR(VLOOKUP(M298,'02. MM-KLH'!$B$6:$T$823,5,0),"")</f>
        <v>ĐQSD</v>
      </c>
      <c r="V298" s="731" t="str">
        <f>IFERROR(VLOOKUP(M298,'02. MM-KLH'!$B$6:$T$823,8,0),"")</f>
        <v>XN Chuối LP3</v>
      </c>
      <c r="W298" s="353" t="str">
        <f>IFERROR(VLOOKUP(V298,'NS QUẢN LÝ CG'!$A$4:$D$36,2,0),"")</f>
        <v/>
      </c>
      <c r="X298" s="353" t="str">
        <f>IFERROR(VLOOKUP(V298,'NS QUẢN LÝ CG'!$A$4:$D$36,4,0),"")</f>
        <v/>
      </c>
      <c r="Y298" s="353" t="str">
        <f>IFERROR(VLOOKUP(V298,'NS QUẢN LÝ CG'!$A$4:$C$36,3,0),"")</f>
        <v/>
      </c>
      <c r="Z298" s="731" t="str">
        <f>IFERROR(VLOOKUP(M298,'02. MM-KLH'!$B$6:$T$823,3,0),"")</f>
        <v>A24-MKE-012</v>
      </c>
      <c r="AA298" s="353" t="str">
        <f t="shared" si="20"/>
        <v>LP</v>
      </c>
      <c r="AB298" s="731"/>
      <c r="AC298" s="731"/>
    </row>
    <row r="299" ht="13.8" spans="1:29">
      <c r="A299" s="731"/>
      <c r="B299" s="613" t="str">
        <f>IFERROR(VLOOKUP(M299,'02. MM-KLH'!$B$6:$T$823,6,0),"")</f>
        <v>Máy cày KAM50</v>
      </c>
      <c r="C299" s="353">
        <v>1</v>
      </c>
      <c r="D299" s="353" t="str">
        <f>IFERROR(VLOOKUP(M299,'02. MM-KLH'!$B$6:$T$823,16,0),"")</f>
        <v>KAM50</v>
      </c>
      <c r="E299" s="353" t="s">
        <v>5978</v>
      </c>
      <c r="F299" s="353"/>
      <c r="G299" s="353"/>
      <c r="H299" s="353" t="str">
        <f>IFERROR(VLOOKUP(M299,'02. MM-KLH'!$B$6:$T$823,17,0),"")</f>
        <v>50HP</v>
      </c>
      <c r="I299" s="763">
        <f>IFERROR(VLOOKUP(M299,'02. MM-KLH'!$B$6:$U$823,20,0),"")</f>
        <v>2</v>
      </c>
      <c r="J299" s="613" t="str">
        <f>IFERROR(VLOOKUP(M299,'02. MM-KLH'!$B$6:$T$823,19,0),"")</f>
        <v>CCN</v>
      </c>
      <c r="K299" s="613" t="str">
        <f>IFERROR(VLOOKUP(M299,'02. MM-KLH'!$B$6:$T$823,18,0),"")</f>
        <v>C000027</v>
      </c>
      <c r="L299" s="353">
        <f>IFERROR(VLOOKUP(M299,'02. MM-KLH'!$B$6:$T$823,4,0),"")</f>
        <v>0</v>
      </c>
      <c r="M299" s="49" t="s">
        <v>1598</v>
      </c>
      <c r="N299" s="356">
        <f>IFERROR(VLOOKUP(M299,'02. MM-KLH'!$B$6:$T$823,15,0),"")</f>
        <v>2018</v>
      </c>
      <c r="O299" s="764">
        <f>IFERROR(VLOOKUP(M299,'02. MM-KLH'!$B$6:$T$823,9,0),"")</f>
        <v>0</v>
      </c>
      <c r="P299" s="353"/>
      <c r="Q299" s="353" t="s">
        <v>1755</v>
      </c>
      <c r="R299" s="353" t="s">
        <v>5978</v>
      </c>
      <c r="S299" s="353"/>
      <c r="T299" s="353"/>
      <c r="U299" s="353" t="str">
        <f>IFERROR(VLOOKUP(M299,'02. MM-KLH'!$B$6:$T$823,5,0),"")</f>
        <v>ĐQSD</v>
      </c>
      <c r="V299" s="731" t="str">
        <f>IFERROR(VLOOKUP(M299,'02. MM-KLH'!$B$6:$T$823,8,0),"")</f>
        <v>XN Chuối LP3</v>
      </c>
      <c r="W299" s="353" t="str">
        <f>IFERROR(VLOOKUP(V299,'NS QUẢN LÝ CG'!$A$4:$D$36,2,0),"")</f>
        <v/>
      </c>
      <c r="X299" s="353" t="str">
        <f>IFERROR(VLOOKUP(V299,'NS QUẢN LÝ CG'!$A$4:$D$36,4,0),"")</f>
        <v/>
      </c>
      <c r="Y299" s="353" t="str">
        <f>IFERROR(VLOOKUP(V299,'NS QUẢN LÝ CG'!$A$4:$C$36,3,0),"")</f>
        <v/>
      </c>
      <c r="Z299" s="731" t="str">
        <f>IFERROR(VLOOKUP(M299,'02. MM-KLH'!$B$6:$T$823,3,0),"")</f>
        <v>A24-MKE-013</v>
      </c>
      <c r="AA299" s="353" t="str">
        <f t="shared" si="20"/>
        <v>LP</v>
      </c>
      <c r="AB299" s="731"/>
      <c r="AC299" s="731"/>
    </row>
    <row r="300" ht="13.8" spans="1:29">
      <c r="A300" s="731"/>
      <c r="B300" s="613" t="str">
        <f>IFERROR(VLOOKUP(M300,'02. MM-KLH'!$B$6:$T$823,6,0),"")</f>
        <v>Máy cày KAM50</v>
      </c>
      <c r="C300" s="353">
        <v>1</v>
      </c>
      <c r="D300" s="353" t="str">
        <f>IFERROR(VLOOKUP(M300,'02. MM-KLH'!$B$6:$T$823,16,0),"")</f>
        <v>KAM50</v>
      </c>
      <c r="E300" s="353" t="s">
        <v>5978</v>
      </c>
      <c r="F300" s="353"/>
      <c r="G300" s="353"/>
      <c r="H300" s="353" t="str">
        <f>IFERROR(VLOOKUP(M300,'02. MM-KLH'!$B$6:$T$823,17,0),"")</f>
        <v>50HP</v>
      </c>
      <c r="I300" s="763">
        <f>IFERROR(VLOOKUP(M300,'02. MM-KLH'!$B$6:$U$823,20,0),"")</f>
        <v>2.5</v>
      </c>
      <c r="J300" s="613" t="str">
        <f>IFERROR(VLOOKUP(M300,'02. MM-KLH'!$B$6:$T$823,19,0),"")</f>
        <v>CCN</v>
      </c>
      <c r="K300" s="613">
        <f>IFERROR(VLOOKUP(M300,'02. MM-KLH'!$B$6:$T$823,18,0),"")</f>
        <v>180046</v>
      </c>
      <c r="L300" s="353">
        <f>IFERROR(VLOOKUP(M300,'02. MM-KLH'!$B$6:$T$823,4,0),"")</f>
        <v>0</v>
      </c>
      <c r="M300" s="49" t="s">
        <v>1608</v>
      </c>
      <c r="N300" s="356">
        <f>IFERROR(VLOOKUP(M300,'02. MM-KLH'!$B$6:$T$823,15,0),"")</f>
        <v>2018</v>
      </c>
      <c r="O300" s="764">
        <f>IFERROR(VLOOKUP(M300,'02. MM-KLH'!$B$6:$T$823,9,0),"")</f>
        <v>45600</v>
      </c>
      <c r="P300" s="353"/>
      <c r="Q300" s="353" t="s">
        <v>1755</v>
      </c>
      <c r="R300" s="353"/>
      <c r="S300" s="353"/>
      <c r="T300" s="353" t="s">
        <v>5978</v>
      </c>
      <c r="U300" s="353" t="str">
        <f>IFERROR(VLOOKUP(M300,'02. MM-KLH'!$B$6:$T$823,5,0),"")</f>
        <v>ĐQSD</v>
      </c>
      <c r="V300" s="731" t="str">
        <f>IFERROR(VLOOKUP(M300,'02. MM-KLH'!$B$6:$T$823,8,0),"")</f>
        <v>XN Chuối LP3</v>
      </c>
      <c r="W300" s="353" t="str">
        <f>IFERROR(VLOOKUP(V300,'NS QUẢN LÝ CG'!$A$4:$D$36,2,0),"")</f>
        <v/>
      </c>
      <c r="X300" s="353" t="str">
        <f>IFERROR(VLOOKUP(V300,'NS QUẢN LÝ CG'!$A$4:$D$36,4,0),"")</f>
        <v/>
      </c>
      <c r="Y300" s="353" t="str">
        <f>IFERROR(VLOOKUP(V300,'NS QUẢN LÝ CG'!$A$4:$C$36,3,0),"")</f>
        <v/>
      </c>
      <c r="Z300" s="731" t="str">
        <f>IFERROR(VLOOKUP(M300,'02. MM-KLH'!$B$6:$T$823,3,0),"")</f>
        <v>A24-MKE-016</v>
      </c>
      <c r="AA300" s="353" t="str">
        <f t="shared" si="20"/>
        <v>LP</v>
      </c>
      <c r="AB300" s="731"/>
      <c r="AC300" s="731"/>
    </row>
    <row r="301" ht="13.8" spans="1:29">
      <c r="A301" s="731"/>
      <c r="B301" s="613" t="str">
        <f>IFERROR(VLOOKUP(M301,'02. MM-KLH'!$B$6:$T$823,6,0),"")</f>
        <v>Máy cày KAM50</v>
      </c>
      <c r="C301" s="353">
        <v>1</v>
      </c>
      <c r="D301" s="353" t="str">
        <f>IFERROR(VLOOKUP(M301,'02. MM-KLH'!$B$6:$T$823,16,0),"")</f>
        <v>KAM50</v>
      </c>
      <c r="E301" s="353" t="s">
        <v>5978</v>
      </c>
      <c r="F301" s="353"/>
      <c r="G301" s="353"/>
      <c r="H301" s="353" t="str">
        <f>IFERROR(VLOOKUP(M301,'02. MM-KLH'!$B$6:$T$823,17,0),"")</f>
        <v>50HP</v>
      </c>
      <c r="I301" s="763">
        <f>IFERROR(VLOOKUP(M301,'02. MM-KLH'!$B$6:$U$823,20,0),"")</f>
        <v>2.5</v>
      </c>
      <c r="J301" s="613">
        <f>IFERROR(VLOOKUP(M301,'02. MM-KLH'!$B$6:$T$823,19,0),"")</f>
        <v>180001</v>
      </c>
      <c r="K301" s="613" t="str">
        <f>IFERROR(VLOOKUP(M301,'02. MM-KLH'!$B$6:$T$823,18,0),"")</f>
        <v>C000074</v>
      </c>
      <c r="L301" s="353">
        <f>IFERROR(VLOOKUP(M301,'02. MM-KLH'!$B$6:$T$823,4,0),"")</f>
        <v>0</v>
      </c>
      <c r="M301" s="49" t="s">
        <v>1770</v>
      </c>
      <c r="N301" s="356">
        <f>IFERROR(VLOOKUP(M301,'02. MM-KLH'!$B$6:$T$823,15,0),"")</f>
        <v>2018</v>
      </c>
      <c r="O301" s="764">
        <f>IFERROR(VLOOKUP(M301,'02. MM-KLH'!$B$6:$T$823,9,0),"")</f>
        <v>0</v>
      </c>
      <c r="P301" s="353"/>
      <c r="Q301" s="353" t="s">
        <v>1755</v>
      </c>
      <c r="R301" s="353"/>
      <c r="S301" s="353" t="s">
        <v>5978</v>
      </c>
      <c r="T301" s="353"/>
      <c r="U301" s="353" t="str">
        <f>IFERROR(VLOOKUP(M301,'02. MM-KLH'!$B$6:$T$823,5,0),"")</f>
        <v>ĐQSD</v>
      </c>
      <c r="V301" s="731" t="str">
        <f>IFERROR(VLOOKUP(M301,'02. MM-KLH'!$B$6:$T$823,8,0),"")</f>
        <v>BƯỞI AD</v>
      </c>
      <c r="W301" s="353" t="str">
        <f>IFERROR(VLOOKUP(V301,'NS QUẢN LÝ CG'!$A$4:$D$36,2,0),"")</f>
        <v/>
      </c>
      <c r="X301" s="353" t="str">
        <f>IFERROR(VLOOKUP(V301,'NS QUẢN LÝ CG'!$A$4:$D$36,4,0),"")</f>
        <v/>
      </c>
      <c r="Y301" s="353" t="str">
        <f>IFERROR(VLOOKUP(V301,'NS QUẢN LÝ CG'!$A$4:$C$36,3,0),"")</f>
        <v/>
      </c>
      <c r="Z301" s="731" t="str">
        <f>IFERROR(VLOOKUP(M301,'02. MM-KLH'!$B$6:$T$823,3,0),"")</f>
        <v/>
      </c>
      <c r="AA301" s="353" t="str">
        <f t="shared" si="20"/>
        <v/>
      </c>
      <c r="AB301" s="731"/>
      <c r="AC301" s="731"/>
    </row>
    <row r="302" ht="13.8" spans="1:29">
      <c r="A302" s="731"/>
      <c r="B302" s="613" t="str">
        <f>IFERROR(VLOOKUP(M302,'02. MM-KLH'!$B$6:$T$823,6,0),"")</f>
        <v>Máy cày KAM50</v>
      </c>
      <c r="C302" s="353">
        <v>1</v>
      </c>
      <c r="D302" s="353" t="str">
        <f>IFERROR(VLOOKUP(M302,'02. MM-KLH'!$B$6:$T$823,16,0),"")</f>
        <v>KAM50</v>
      </c>
      <c r="E302" s="353" t="s">
        <v>5978</v>
      </c>
      <c r="F302" s="353"/>
      <c r="G302" s="353"/>
      <c r="H302" s="353" t="str">
        <f>IFERROR(VLOOKUP(M302,'02. MM-KLH'!$B$6:$T$823,17,0),"")</f>
        <v>50HP</v>
      </c>
      <c r="I302" s="763">
        <f>IFERROR(VLOOKUP(M302,'02. MM-KLH'!$B$6:$U$823,20,0),"")</f>
        <v>3.3</v>
      </c>
      <c r="J302" s="613" t="str">
        <f>IFERROR(VLOOKUP(M302,'02. MM-KLH'!$B$6:$T$823,19,0),"")</f>
        <v>CCN</v>
      </c>
      <c r="K302" s="613" t="str">
        <f>IFERROR(VLOOKUP(M302,'02. MM-KLH'!$B$6:$T$823,18,0),"")</f>
        <v>C000082</v>
      </c>
      <c r="L302" s="353">
        <f>IFERROR(VLOOKUP(M302,'02. MM-KLH'!$B$6:$T$823,4,0),"")</f>
        <v>0</v>
      </c>
      <c r="M302" s="49" t="s">
        <v>1777</v>
      </c>
      <c r="N302" s="356">
        <f>IFERROR(VLOOKUP(M302,'02. MM-KLH'!$B$6:$T$823,15,0),"")</f>
        <v>2012</v>
      </c>
      <c r="O302" s="764">
        <f>IFERROR(VLOOKUP(M302,'02. MM-KLH'!$B$6:$T$823,9,0),"")</f>
        <v>0</v>
      </c>
      <c r="P302" s="353"/>
      <c r="Q302" s="353" t="s">
        <v>1755</v>
      </c>
      <c r="R302" s="353"/>
      <c r="S302" s="353" t="s">
        <v>5978</v>
      </c>
      <c r="T302" s="353"/>
      <c r="U302" s="353" t="str">
        <f>IFERROR(VLOOKUP(M302,'02. MM-KLH'!$B$6:$T$823,5,0),"")</f>
        <v>ĐQSD</v>
      </c>
      <c r="V302" s="731" t="str">
        <f>IFERROR(VLOOKUP(M302,'02. MM-KLH'!$B$6:$T$823,8,0),"")</f>
        <v>XOÀI AD</v>
      </c>
      <c r="W302" s="353" t="str">
        <f>IFERROR(VLOOKUP(V302,'NS QUẢN LÝ CG'!$A$4:$D$36,2,0),"")</f>
        <v/>
      </c>
      <c r="X302" s="353" t="str">
        <f>IFERROR(VLOOKUP(V302,'NS QUẢN LÝ CG'!$A$4:$D$36,4,0),"")</f>
        <v/>
      </c>
      <c r="Y302" s="353" t="str">
        <f>IFERROR(VLOOKUP(V302,'NS QUẢN LÝ CG'!$A$4:$C$36,3,0),"")</f>
        <v/>
      </c>
      <c r="Z302" s="731" t="str">
        <f>IFERROR(VLOOKUP(M302,'02. MM-KLH'!$B$6:$T$823,3,0),"")</f>
        <v>A22-MKE-002</v>
      </c>
      <c r="AA302" s="353" t="str">
        <f t="shared" si="20"/>
        <v>ADM</v>
      </c>
      <c r="AB302" s="731"/>
      <c r="AC302" s="731"/>
    </row>
    <row r="303" ht="13.8" spans="1:29">
      <c r="A303" s="731"/>
      <c r="B303" s="613" t="str">
        <f>IFERROR(VLOOKUP(M303,'02. MM-KLH'!$B$6:$T$823,6,0),"")</f>
        <v>Máy cày KAM50</v>
      </c>
      <c r="C303" s="353">
        <v>1</v>
      </c>
      <c r="D303" s="353" t="str">
        <f>IFERROR(VLOOKUP(M303,'02. MM-KLH'!$B$6:$T$823,16,0),"")</f>
        <v>KAM50</v>
      </c>
      <c r="E303" s="353" t="s">
        <v>5978</v>
      </c>
      <c r="F303" s="353"/>
      <c r="G303" s="353"/>
      <c r="H303" s="353" t="str">
        <f>IFERROR(VLOOKUP(M303,'02. MM-KLH'!$B$6:$T$823,17,0),"")</f>
        <v>50HP</v>
      </c>
      <c r="I303" s="763">
        <f>IFERROR(VLOOKUP(M303,'02. MM-KLH'!$B$6:$U$823,20,0),"")</f>
        <v>2.5</v>
      </c>
      <c r="J303" s="613" t="str">
        <f>IFERROR(VLOOKUP(M303,'02. MM-KLH'!$B$6:$T$823,19,0),"")</f>
        <v>C000079</v>
      </c>
      <c r="K303" s="613" t="str">
        <f>IFERROR(VLOOKUP(M303,'02. MM-KLH'!$B$6:$T$823,18,0),"")</f>
        <v>CCN</v>
      </c>
      <c r="L303" s="353">
        <f>IFERROR(VLOOKUP(M303,'02. MM-KLH'!$B$6:$T$823,4,0),"")</f>
        <v>0</v>
      </c>
      <c r="M303" s="49" t="s">
        <v>1783</v>
      </c>
      <c r="N303" s="356">
        <f>IFERROR(VLOOKUP(M303,'02. MM-KLH'!$B$6:$T$823,15,0),"")</f>
        <v>0</v>
      </c>
      <c r="O303" s="764" t="str">
        <f>IFERROR(VLOOKUP(M303,'02. MM-KLH'!$B$6:$T$823,9,0),"")</f>
        <v>27/02/2024</v>
      </c>
      <c r="P303" s="353"/>
      <c r="Q303" s="353" t="s">
        <v>1755</v>
      </c>
      <c r="R303" s="353"/>
      <c r="S303" s="353" t="s">
        <v>5978</v>
      </c>
      <c r="T303" s="353"/>
      <c r="U303" s="353" t="str">
        <f>IFERROR(VLOOKUP(M303,'02. MM-KLH'!$B$6:$T$823,5,0),"")</f>
        <v>ĐQSD</v>
      </c>
      <c r="V303" s="731" t="str">
        <f>IFERROR(VLOOKUP(M303,'02. MM-KLH'!$B$6:$T$823,8,0),"")</f>
        <v>XOÀI AD</v>
      </c>
      <c r="W303" s="353" t="str">
        <f>IFERROR(VLOOKUP(V303,'NS QUẢN LÝ CG'!$A$4:$D$36,2,0),"")</f>
        <v/>
      </c>
      <c r="X303" s="353" t="str">
        <f>IFERROR(VLOOKUP(V303,'NS QUẢN LÝ CG'!$A$4:$D$36,4,0),"")</f>
        <v/>
      </c>
      <c r="Y303" s="353" t="str">
        <f>IFERROR(VLOOKUP(V303,'NS QUẢN LÝ CG'!$A$4:$C$36,3,0),"")</f>
        <v/>
      </c>
      <c r="Z303" s="731" t="str">
        <f>IFERROR(VLOOKUP(M303,'02. MM-KLH'!$B$6:$T$823,3,0),"")</f>
        <v>A22-MKE-005</v>
      </c>
      <c r="AA303" s="353" t="str">
        <f t="shared" si="20"/>
        <v>ADM</v>
      </c>
      <c r="AB303" s="731"/>
      <c r="AC303" s="731"/>
    </row>
    <row r="304" ht="13.8" spans="1:29">
      <c r="A304" s="731"/>
      <c r="B304" s="613" t="str">
        <f>IFERROR(VLOOKUP(M304,'02. MM-KLH'!$B$6:$T$823,6,0),"")</f>
        <v>Máy cày KAM50</v>
      </c>
      <c r="C304" s="353">
        <v>1</v>
      </c>
      <c r="D304" s="353" t="str">
        <f>IFERROR(VLOOKUP(M304,'02. MM-KLH'!$B$6:$T$823,16,0),"")</f>
        <v>KAM50</v>
      </c>
      <c r="E304" s="353" t="s">
        <v>5978</v>
      </c>
      <c r="F304" s="353"/>
      <c r="G304" s="353"/>
      <c r="H304" s="353" t="str">
        <f>IFERROR(VLOOKUP(M304,'02. MM-KLH'!$B$6:$T$823,17,0),"")</f>
        <v>50HP</v>
      </c>
      <c r="I304" s="763">
        <f>IFERROR(VLOOKUP(M304,'02. MM-KLH'!$B$6:$U$823,20,0),"")</f>
        <v>2.5</v>
      </c>
      <c r="J304" s="613" t="str">
        <f>IFERROR(VLOOKUP(M304,'02. MM-KLH'!$B$6:$T$823,19,0),"")</f>
        <v>CCN</v>
      </c>
      <c r="K304" s="613" t="str">
        <f>IFERROR(VLOOKUP(M304,'02. MM-KLH'!$B$6:$T$823,18,0),"")</f>
        <v>C000075</v>
      </c>
      <c r="L304" s="353">
        <f>IFERROR(VLOOKUP(M304,'02. MM-KLH'!$B$6:$T$823,4,0),"")</f>
        <v>0</v>
      </c>
      <c r="M304" s="49" t="s">
        <v>1788</v>
      </c>
      <c r="N304" s="356">
        <f>IFERROR(VLOOKUP(M304,'02. MM-KLH'!$B$6:$T$823,15,0),"")</f>
        <v>2018</v>
      </c>
      <c r="O304" s="764">
        <f>IFERROR(VLOOKUP(M304,'02. MM-KLH'!$B$6:$T$823,9,0),"")</f>
        <v>0</v>
      </c>
      <c r="P304" s="353"/>
      <c r="Q304" s="353" t="s">
        <v>1755</v>
      </c>
      <c r="R304" s="353" t="s">
        <v>5978</v>
      </c>
      <c r="S304" s="353"/>
      <c r="T304" s="353"/>
      <c r="U304" s="353" t="str">
        <f>IFERROR(VLOOKUP(M304,'02. MM-KLH'!$B$6:$T$823,5,0),"")</f>
        <v>ĐQSD</v>
      </c>
      <c r="V304" s="731" t="str">
        <f>IFERROR(VLOOKUP(M304,'02. MM-KLH'!$B$6:$T$823,8,0),"")</f>
        <v>XOÀI AD</v>
      </c>
      <c r="W304" s="353" t="str">
        <f>IFERROR(VLOOKUP(V304,'NS QUẢN LÝ CG'!$A$4:$D$36,2,0),"")</f>
        <v/>
      </c>
      <c r="X304" s="353" t="str">
        <f>IFERROR(VLOOKUP(V304,'NS QUẢN LÝ CG'!$A$4:$D$36,4,0),"")</f>
        <v/>
      </c>
      <c r="Y304" s="353" t="str">
        <f>IFERROR(VLOOKUP(V304,'NS QUẢN LÝ CG'!$A$4:$C$36,3,0),"")</f>
        <v/>
      </c>
      <c r="Z304" s="731" t="str">
        <f>IFERROR(VLOOKUP(M304,'02. MM-KLH'!$B$6:$T$823,3,0),"")</f>
        <v/>
      </c>
      <c r="AA304" s="353" t="str">
        <f t="shared" si="20"/>
        <v/>
      </c>
      <c r="AB304" s="731"/>
      <c r="AC304" s="731"/>
    </row>
    <row r="305" ht="13.8" spans="1:29">
      <c r="A305" s="731"/>
      <c r="B305" s="613" t="str">
        <f>IFERROR(VLOOKUP(M305,'02. MM-KLH'!$B$6:$T$823,6,0),"")</f>
        <v>Máy cày KAM50</v>
      </c>
      <c r="C305" s="353">
        <v>1</v>
      </c>
      <c r="D305" s="353" t="str">
        <f>IFERROR(VLOOKUP(M305,'02. MM-KLH'!$B$6:$T$823,16,0),"")</f>
        <v>KAM50</v>
      </c>
      <c r="E305" s="353" t="s">
        <v>5978</v>
      </c>
      <c r="F305" s="353"/>
      <c r="G305" s="353"/>
      <c r="H305" s="353" t="str">
        <f>IFERROR(VLOOKUP(M305,'02. MM-KLH'!$B$6:$T$823,17,0),"")</f>
        <v>50HP</v>
      </c>
      <c r="I305" s="763">
        <f>IFERROR(VLOOKUP(M305,'02. MM-KLH'!$B$6:$U$823,20,0),"")</f>
        <v>2.5</v>
      </c>
      <c r="J305" s="613" t="str">
        <f>IFERROR(VLOOKUP(M305,'02. MM-KLH'!$B$6:$T$823,19,0),"")</f>
        <v>CCN</v>
      </c>
      <c r="K305" s="613" t="str">
        <f>IFERROR(VLOOKUP(M305,'02. MM-KLH'!$B$6:$T$823,18,0),"")</f>
        <v>C000010</v>
      </c>
      <c r="L305" s="353">
        <f>IFERROR(VLOOKUP(M305,'02. MM-KLH'!$B$6:$T$823,4,0),"")</f>
        <v>0</v>
      </c>
      <c r="M305" s="49" t="s">
        <v>1792</v>
      </c>
      <c r="N305" s="356">
        <f>IFERROR(VLOOKUP(M305,'02. MM-KLH'!$B$6:$T$823,15,0),"")</f>
        <v>2018</v>
      </c>
      <c r="O305" s="764">
        <f>IFERROR(VLOOKUP(M305,'02. MM-KLH'!$B$6:$T$823,9,0),"")</f>
        <v>0</v>
      </c>
      <c r="P305" s="353"/>
      <c r="Q305" s="353" t="s">
        <v>1755</v>
      </c>
      <c r="R305" s="353" t="s">
        <v>5978</v>
      </c>
      <c r="S305" s="353"/>
      <c r="T305" s="353"/>
      <c r="U305" s="353" t="str">
        <f>IFERROR(VLOOKUP(M305,'02. MM-KLH'!$B$6:$T$823,5,0),"")</f>
        <v>ĐQSD</v>
      </c>
      <c r="V305" s="731" t="str">
        <f>IFERROR(VLOOKUP(M305,'02. MM-KLH'!$B$6:$T$823,8,0),"")</f>
        <v>XOÀI AD</v>
      </c>
      <c r="W305" s="353" t="str">
        <f>IFERROR(VLOOKUP(V305,'NS QUẢN LÝ CG'!$A$4:$D$36,2,0),"")</f>
        <v/>
      </c>
      <c r="X305" s="353" t="str">
        <f>IFERROR(VLOOKUP(V305,'NS QUẢN LÝ CG'!$A$4:$D$36,4,0),"")</f>
        <v/>
      </c>
      <c r="Y305" s="353" t="str">
        <f>IFERROR(VLOOKUP(V305,'NS QUẢN LÝ CG'!$A$4:$C$36,3,0),"")</f>
        <v/>
      </c>
      <c r="Z305" s="731">
        <f>IFERROR(VLOOKUP(M305,'02. MM-KLH'!$B$6:$T$823,3,0),"")</f>
        <v>0</v>
      </c>
      <c r="AA305" s="353" t="str">
        <f t="shared" si="20"/>
        <v/>
      </c>
      <c r="AB305" s="731"/>
      <c r="AC305" s="731"/>
    </row>
    <row r="306" ht="13.8" spans="1:29">
      <c r="A306" s="731"/>
      <c r="B306" s="613" t="str">
        <f>IFERROR(VLOOKUP(M306,'02. MM-KLH'!$B$6:$T$823,6,0),"")</f>
        <v>Máy cày KAM50</v>
      </c>
      <c r="C306" s="353">
        <v>1</v>
      </c>
      <c r="D306" s="353" t="str">
        <f>IFERROR(VLOOKUP(M306,'02. MM-KLH'!$B$6:$T$823,16,0),"")</f>
        <v>KAM50</v>
      </c>
      <c r="E306" s="353" t="s">
        <v>5978</v>
      </c>
      <c r="F306" s="353"/>
      <c r="G306" s="353"/>
      <c r="H306" s="353" t="str">
        <f>IFERROR(VLOOKUP(M306,'02. MM-KLH'!$B$6:$T$823,17,0),"")</f>
        <v>50HP</v>
      </c>
      <c r="I306" s="763">
        <f>IFERROR(VLOOKUP(M306,'02. MM-KLH'!$B$6:$U$823,20,0),"")</f>
        <v>2.5</v>
      </c>
      <c r="J306" s="613">
        <f>IFERROR(VLOOKUP(M306,'02. MM-KLH'!$B$6:$T$823,19,0),"")</f>
        <v>80</v>
      </c>
      <c r="K306" s="1105" t="str">
        <f>IFERROR(VLOOKUP(M306,'02. MM-KLH'!$B$6:$T$823,18,0),"")</f>
        <v>0000087</v>
      </c>
      <c r="L306" s="353">
        <f>IFERROR(VLOOKUP(M306,'02. MM-KLH'!$B$6:$T$823,4,0),"")</f>
        <v>0</v>
      </c>
      <c r="M306" s="49" t="s">
        <v>1840</v>
      </c>
      <c r="N306" s="356">
        <f>IFERROR(VLOOKUP(M306,'02. MM-KLH'!$B$6:$T$823,15,0),"")</f>
        <v>2018</v>
      </c>
      <c r="O306" s="764">
        <f>IFERROR(VLOOKUP(M306,'02. MM-KLH'!$B$6:$T$823,9,0),"")</f>
        <v>0</v>
      </c>
      <c r="P306" s="353"/>
      <c r="Q306" s="353" t="s">
        <v>1755</v>
      </c>
      <c r="R306" s="353"/>
      <c r="S306" s="353" t="s">
        <v>5978</v>
      </c>
      <c r="T306" s="353"/>
      <c r="U306" s="353" t="str">
        <f>IFERROR(VLOOKUP(M306,'02. MM-KLH'!$B$6:$T$823,5,0),"")</f>
        <v>ĐQSD</v>
      </c>
      <c r="V306" s="731" t="str">
        <f>IFERROR(VLOOKUP(M306,'02. MM-KLH'!$B$6:$T$823,8,0),"")</f>
        <v>XN Bò AD</v>
      </c>
      <c r="W306" s="353" t="str">
        <f>IFERROR(VLOOKUP(V306,'NS QUẢN LÝ CG'!$A$4:$D$36,2,0),"")</f>
        <v/>
      </c>
      <c r="X306" s="353" t="str">
        <f>IFERROR(VLOOKUP(V306,'NS QUẢN LÝ CG'!$A$4:$D$36,4,0),"")</f>
        <v/>
      </c>
      <c r="Y306" s="353" t="str">
        <f>IFERROR(VLOOKUP(V306,'NS QUẢN LÝ CG'!$A$4:$C$36,3,0),"")</f>
        <v/>
      </c>
      <c r="Z306" s="731" t="str">
        <f>IFERROR(VLOOKUP(M306,'02. MM-KLH'!$B$6:$T$823,3,0),"")</f>
        <v>A22-MKE-011</v>
      </c>
      <c r="AA306" s="353" t="str">
        <f t="shared" si="20"/>
        <v>ADM</v>
      </c>
      <c r="AB306" s="731"/>
      <c r="AC306" s="731"/>
    </row>
    <row r="307" ht="13.8" spans="1:29">
      <c r="A307" s="731"/>
      <c r="B307" s="613" t="str">
        <f>IFERROR(VLOOKUP(M307,'02. MM-KLH'!$B$6:$T$823,6,0),"")</f>
        <v>Máy cày KAM50</v>
      </c>
      <c r="C307" s="353">
        <v>1</v>
      </c>
      <c r="D307" s="353" t="str">
        <f>IFERROR(VLOOKUP(M307,'02. MM-KLH'!$B$6:$T$823,16,0),"")</f>
        <v>KAM50</v>
      </c>
      <c r="E307" s="353" t="s">
        <v>5978</v>
      </c>
      <c r="F307" s="353"/>
      <c r="G307" s="353"/>
      <c r="H307" s="353" t="str">
        <f>IFERROR(VLOOKUP(M307,'02. MM-KLH'!$B$6:$T$823,17,0),"")</f>
        <v>50HP</v>
      </c>
      <c r="I307" s="763">
        <f>IFERROR(VLOOKUP(M307,'02. MM-KLH'!$B$6:$U$823,20,0),"")</f>
        <v>2</v>
      </c>
      <c r="J307" s="613">
        <f>IFERROR(VLOOKUP(M307,'02. MM-KLH'!$B$6:$T$823,19,0),"")</f>
        <v>180012</v>
      </c>
      <c r="K307" s="613" t="str">
        <f>IFERROR(VLOOKUP(M307,'02. MM-KLH'!$B$6:$T$823,18,0),"")</f>
        <v>C000077</v>
      </c>
      <c r="L307" s="353">
        <f>IFERROR(VLOOKUP(M307,'02. MM-KLH'!$B$6:$T$823,4,0),"")</f>
        <v>0</v>
      </c>
      <c r="M307" s="49" t="s">
        <v>1846</v>
      </c>
      <c r="N307" s="356">
        <f>IFERROR(VLOOKUP(M307,'02. MM-KLH'!$B$6:$T$823,15,0),"")</f>
        <v>2018</v>
      </c>
      <c r="O307" s="764">
        <f>IFERROR(VLOOKUP(M307,'02. MM-KLH'!$B$6:$T$823,9,0),"")</f>
        <v>0</v>
      </c>
      <c r="P307" s="353"/>
      <c r="Q307" s="353" t="s">
        <v>1755</v>
      </c>
      <c r="R307" s="353" t="s">
        <v>5978</v>
      </c>
      <c r="S307" s="353"/>
      <c r="T307" s="353"/>
      <c r="U307" s="353" t="str">
        <f>IFERROR(VLOOKUP(M307,'02. MM-KLH'!$B$6:$T$823,5,0),"")</f>
        <v>ĐQSD</v>
      </c>
      <c r="V307" s="731" t="str">
        <f>IFERROR(VLOOKUP(M307,'02. MM-KLH'!$B$6:$T$823,8,0),"")</f>
        <v>XN Bò AD</v>
      </c>
      <c r="W307" s="353" t="str">
        <f>IFERROR(VLOOKUP(V307,'NS QUẢN LÝ CG'!$A$4:$D$36,2,0),"")</f>
        <v/>
      </c>
      <c r="X307" s="353" t="str">
        <f>IFERROR(VLOOKUP(V307,'NS QUẢN LÝ CG'!$A$4:$D$36,4,0),"")</f>
        <v/>
      </c>
      <c r="Y307" s="353" t="str">
        <f>IFERROR(VLOOKUP(V307,'NS QUẢN LÝ CG'!$A$4:$C$36,3,0),"")</f>
        <v/>
      </c>
      <c r="Z307" s="731" t="str">
        <f>IFERROR(VLOOKUP(M307,'02. MM-KLH'!$B$6:$T$823,3,0),"")</f>
        <v>A22-MKE-016</v>
      </c>
      <c r="AA307" s="353" t="str">
        <f t="shared" si="20"/>
        <v>ADM</v>
      </c>
      <c r="AB307" s="731"/>
      <c r="AC307" s="731"/>
    </row>
    <row r="308" ht="13.8" spans="1:29">
      <c r="A308" s="731"/>
      <c r="B308" s="613" t="str">
        <f>IFERROR(VLOOKUP(M308,'02. MM-KLH'!$B$6:$T$823,6,0),"")</f>
        <v>Máy cày KAM50</v>
      </c>
      <c r="C308" s="353">
        <v>1</v>
      </c>
      <c r="D308" s="353" t="str">
        <f>IFERROR(VLOOKUP(M308,'02. MM-KLH'!$B$6:$T$823,16,0),"")</f>
        <v>KAM50</v>
      </c>
      <c r="E308" s="353" t="s">
        <v>5978</v>
      </c>
      <c r="F308" s="353"/>
      <c r="G308" s="353"/>
      <c r="H308" s="353" t="str">
        <f>IFERROR(VLOOKUP(M308,'02. MM-KLH'!$B$6:$T$823,17,0),"")</f>
        <v>50HP</v>
      </c>
      <c r="I308" s="763">
        <f>IFERROR(VLOOKUP(M308,'02. MM-KLH'!$B$6:$U$823,20,0),"")</f>
        <v>2.5</v>
      </c>
      <c r="J308" s="613" t="str">
        <f>IFERROR(VLOOKUP(M308,'02. MM-KLH'!$B$6:$T$823,19,0),"")</f>
        <v>CCN</v>
      </c>
      <c r="K308" s="613">
        <f>IFERROR(VLOOKUP(M308,'02. MM-KLH'!$B$6:$T$823,18,0),"")</f>
        <v>180090</v>
      </c>
      <c r="L308" s="353">
        <f>IFERROR(VLOOKUP(M308,'02. MM-KLH'!$B$6:$T$823,4,0),"")</f>
        <v>0</v>
      </c>
      <c r="M308" s="49" t="s">
        <v>1852</v>
      </c>
      <c r="N308" s="356">
        <f>IFERROR(VLOOKUP(M308,'02. MM-KLH'!$B$6:$T$823,15,0),"")</f>
        <v>2018</v>
      </c>
      <c r="O308" s="764" t="str">
        <f>IFERROR(VLOOKUP(M308,'02. MM-KLH'!$B$6:$T$823,9,0),"")</f>
        <v>28/11/2023</v>
      </c>
      <c r="P308" s="353"/>
      <c r="Q308" s="353" t="s">
        <v>1755</v>
      </c>
      <c r="R308" s="353" t="s">
        <v>5978</v>
      </c>
      <c r="S308" s="353"/>
      <c r="T308" s="353" t="s">
        <v>5978</v>
      </c>
      <c r="U308" s="353" t="str">
        <f>IFERROR(VLOOKUP(M308,'02. MM-KLH'!$B$6:$T$823,5,0),"")</f>
        <v>ĐQSD</v>
      </c>
      <c r="V308" s="731" t="str">
        <f>IFERROR(VLOOKUP(M308,'02. MM-KLH'!$B$6:$T$823,8,0),"")</f>
        <v>XN Bò AD</v>
      </c>
      <c r="W308" s="353" t="str">
        <f>IFERROR(VLOOKUP(V308,'NS QUẢN LÝ CG'!$A$4:$D$36,2,0),"")</f>
        <v/>
      </c>
      <c r="X308" s="353" t="str">
        <f>IFERROR(VLOOKUP(V308,'NS QUẢN LÝ CG'!$A$4:$D$36,4,0),"")</f>
        <v/>
      </c>
      <c r="Y308" s="353" t="str">
        <f>IFERROR(VLOOKUP(V308,'NS QUẢN LÝ CG'!$A$4:$C$36,3,0),"")</f>
        <v/>
      </c>
      <c r="Z308" s="731" t="str">
        <f>IFERROR(VLOOKUP(M308,'02. MM-KLH'!$B$6:$T$823,3,0),"")</f>
        <v>A22-MKE-020</v>
      </c>
      <c r="AA308" s="353" t="str">
        <f t="shared" si="20"/>
        <v>ADM</v>
      </c>
      <c r="AB308" s="731"/>
      <c r="AC308" s="731"/>
    </row>
    <row r="309" ht="13.8" spans="1:29">
      <c r="A309" s="731"/>
      <c r="B309" s="613" t="str">
        <f>IFERROR(VLOOKUP(M309,'02. MM-KLH'!$B$6:$T$823,6,0),"")</f>
        <v>Máy cày KAM50</v>
      </c>
      <c r="C309" s="353">
        <v>1</v>
      </c>
      <c r="D309" s="353" t="str">
        <f>IFERROR(VLOOKUP(M309,'02. MM-KLH'!$B$6:$T$823,16,0),"")</f>
        <v>KAM50</v>
      </c>
      <c r="E309" s="353" t="s">
        <v>5978</v>
      </c>
      <c r="F309" s="353"/>
      <c r="G309" s="353"/>
      <c r="H309" s="353" t="str">
        <f>IFERROR(VLOOKUP(M309,'02. MM-KLH'!$B$6:$T$823,17,0),"")</f>
        <v>50HP</v>
      </c>
      <c r="I309" s="763">
        <f>IFERROR(VLOOKUP(M309,'02. MM-KLH'!$B$6:$U$823,20,0),"")</f>
        <v>2.5</v>
      </c>
      <c r="J309" s="613" t="str">
        <f>IFERROR(VLOOKUP(M309,'02. MM-KLH'!$B$6:$T$823,19,0),"")</f>
        <v>CCN</v>
      </c>
      <c r="K309" s="613" t="str">
        <f>IFERROR(VLOOKUP(M309,'02. MM-KLH'!$B$6:$T$823,18,0),"")</f>
        <v>C000046</v>
      </c>
      <c r="L309" s="353">
        <f>IFERROR(VLOOKUP(M309,'02. MM-KLH'!$B$6:$T$823,4,0),"")</f>
        <v>0</v>
      </c>
      <c r="M309" s="49" t="s">
        <v>1862</v>
      </c>
      <c r="N309" s="356">
        <f>IFERROR(VLOOKUP(M309,'02. MM-KLH'!$B$6:$T$823,15,0),"")</f>
        <v>2018</v>
      </c>
      <c r="O309" s="764" t="str">
        <f>IFERROR(VLOOKUP(M309,'02. MM-KLH'!$B$6:$T$823,9,0),"")</f>
        <v>16/07/2024</v>
      </c>
      <c r="P309" s="353"/>
      <c r="Q309" s="353" t="s">
        <v>1755</v>
      </c>
      <c r="R309" s="353" t="s">
        <v>5978</v>
      </c>
      <c r="S309" s="353"/>
      <c r="T309" s="353" t="s">
        <v>5978</v>
      </c>
      <c r="U309" s="353" t="str">
        <f>IFERROR(VLOOKUP(M309,'02. MM-KLH'!$B$6:$T$823,5,0),"")</f>
        <v>ĐQSD</v>
      </c>
      <c r="V309" s="731" t="str">
        <f>IFERROR(VLOOKUP(M309,'02. MM-KLH'!$B$6:$T$823,8,0),"")</f>
        <v>XN Bò AD</v>
      </c>
      <c r="W309" s="353" t="str">
        <f>IFERROR(VLOOKUP(V309,'NS QUẢN LÝ CG'!$A$4:$D$36,2,0),"")</f>
        <v/>
      </c>
      <c r="X309" s="353" t="str">
        <f>IFERROR(VLOOKUP(V309,'NS QUẢN LÝ CG'!$A$4:$D$36,4,0),"")</f>
        <v/>
      </c>
      <c r="Y309" s="353" t="str">
        <f>IFERROR(VLOOKUP(V309,'NS QUẢN LÝ CG'!$A$4:$C$36,3,0),"")</f>
        <v/>
      </c>
      <c r="Z309" s="731" t="str">
        <f>IFERROR(VLOOKUP(M309,'02. MM-KLH'!$B$6:$T$823,3,0),"")</f>
        <v>A22-MKE-022</v>
      </c>
      <c r="AA309" s="353" t="str">
        <f t="shared" si="20"/>
        <v>ADM</v>
      </c>
      <c r="AB309" s="731"/>
      <c r="AC309" s="731"/>
    </row>
    <row r="310" ht="13.8" spans="1:29">
      <c r="A310" s="731"/>
      <c r="B310" s="613" t="str">
        <f>IFERROR(VLOOKUP(M310,'02. MM-KLH'!$B$6:$T$823,6,0),"")</f>
        <v>Máy cày KAM50</v>
      </c>
      <c r="C310" s="353">
        <v>1</v>
      </c>
      <c r="D310" s="353" t="str">
        <f>IFERROR(VLOOKUP(M310,'02. MM-KLH'!$B$6:$T$823,16,0),"")</f>
        <v>KAM50</v>
      </c>
      <c r="E310" s="353" t="s">
        <v>5978</v>
      </c>
      <c r="F310" s="353"/>
      <c r="G310" s="353"/>
      <c r="H310" s="353" t="str">
        <f>IFERROR(VLOOKUP(M310,'02. MM-KLH'!$B$6:$T$823,17,0),"")</f>
        <v>50HP</v>
      </c>
      <c r="I310" s="763">
        <f>IFERROR(VLOOKUP(M310,'02. MM-KLH'!$B$6:$U$823,20,0),"")</f>
        <v>2.5</v>
      </c>
      <c r="J310" s="613" t="str">
        <f>IFERROR(VLOOKUP(M310,'02. MM-KLH'!$B$6:$T$823,19,0),"")</f>
        <v>CCN</v>
      </c>
      <c r="K310" s="613" t="str">
        <f>IFERROR(VLOOKUP(M310,'02. MM-KLH'!$B$6:$T$823,18,0),"")</f>
        <v>C000015</v>
      </c>
      <c r="L310" s="353">
        <f>IFERROR(VLOOKUP(M310,'02. MM-KLH'!$B$6:$T$823,4,0),"")</f>
        <v>0</v>
      </c>
      <c r="M310" s="49" t="s">
        <v>1903</v>
      </c>
      <c r="N310" s="356">
        <f>IFERROR(VLOOKUP(M310,'02. MM-KLH'!$B$6:$T$823,15,0),"")</f>
        <v>2018</v>
      </c>
      <c r="O310" s="764">
        <f>IFERROR(VLOOKUP(M310,'02. MM-KLH'!$B$6:$T$823,9,0),"")</f>
        <v>45689</v>
      </c>
      <c r="P310" s="353"/>
      <c r="Q310" s="353" t="s">
        <v>1755</v>
      </c>
      <c r="R310" s="353" t="s">
        <v>5978</v>
      </c>
      <c r="S310" s="353"/>
      <c r="T310" s="353"/>
      <c r="U310" s="353" t="str">
        <f>IFERROR(VLOOKUP(M310,'02. MM-KLH'!$B$6:$T$823,5,0),"")</f>
        <v>ĐQSD</v>
      </c>
      <c r="V310" s="731" t="str">
        <f>IFERROR(VLOOKUP(M310,'02. MM-KLH'!$B$6:$T$823,8,0),"")</f>
        <v>XN Bò AD</v>
      </c>
      <c r="W310" s="353" t="str">
        <f>IFERROR(VLOOKUP(V310,'NS QUẢN LÝ CG'!$A$4:$D$36,2,0),"")</f>
        <v/>
      </c>
      <c r="X310" s="353" t="str">
        <f>IFERROR(VLOOKUP(V310,'NS QUẢN LÝ CG'!$A$4:$D$36,4,0),"")</f>
        <v/>
      </c>
      <c r="Y310" s="353" t="str">
        <f>IFERROR(VLOOKUP(V310,'NS QUẢN LÝ CG'!$A$4:$C$36,3,0),"")</f>
        <v/>
      </c>
      <c r="Z310" s="731" t="str">
        <f>IFERROR(VLOOKUP(M310,'02. MM-KLH'!$B$6:$T$823,3,0),"")</f>
        <v/>
      </c>
      <c r="AA310" s="353" t="str">
        <f t="shared" si="20"/>
        <v/>
      </c>
      <c r="AB310" s="731"/>
      <c r="AC310" s="731"/>
    </row>
    <row r="311" ht="13.8" spans="1:29">
      <c r="A311" s="731"/>
      <c r="B311" s="613" t="str">
        <f>IFERROR(VLOOKUP(M311,'02. MM-KLH'!$B$6:$T$823,6,0),"")</f>
        <v>Máy cày KAM50</v>
      </c>
      <c r="C311" s="353">
        <v>1</v>
      </c>
      <c r="D311" s="353" t="str">
        <f>IFERROR(VLOOKUP(M311,'02. MM-KLH'!$B$6:$T$823,16,0),"")</f>
        <v>KAM50</v>
      </c>
      <c r="E311" s="353" t="s">
        <v>5978</v>
      </c>
      <c r="F311" s="353"/>
      <c r="G311" s="353"/>
      <c r="H311" s="353" t="str">
        <f>IFERROR(VLOOKUP(M311,'02. MM-KLH'!$B$6:$T$823,17,0),"")</f>
        <v>50HP</v>
      </c>
      <c r="I311" s="763">
        <f>IFERROR(VLOOKUP(M311,'02. MM-KLH'!$B$6:$U$823,20,0),"")</f>
        <v>2.5</v>
      </c>
      <c r="J311" s="613" t="str">
        <f>IFERROR(VLOOKUP(M311,'02. MM-KLH'!$B$6:$T$823,19,0),"")</f>
        <v>CCN</v>
      </c>
      <c r="K311" s="613" t="str">
        <f>IFERROR(VLOOKUP(M311,'02. MM-KLH'!$B$6:$T$823,18,0),"")</f>
        <v>C000053</v>
      </c>
      <c r="L311" s="353">
        <f>IFERROR(VLOOKUP(M311,'02. MM-KLH'!$B$6:$T$823,4,0),"")</f>
        <v>0</v>
      </c>
      <c r="M311" s="49" t="s">
        <v>1978</v>
      </c>
      <c r="N311" s="356">
        <f>IFERROR(VLOOKUP(M311,'02. MM-KLH'!$B$6:$T$823,15,0),"")</f>
        <v>2018</v>
      </c>
      <c r="O311" s="764">
        <f>IFERROR(VLOOKUP(M311,'02. MM-KLH'!$B$6:$T$823,9,0),"")</f>
        <v>0</v>
      </c>
      <c r="P311" s="353"/>
      <c r="Q311" s="353" t="s">
        <v>1755</v>
      </c>
      <c r="R311" s="353"/>
      <c r="S311" s="353" t="s">
        <v>5978</v>
      </c>
      <c r="T311" s="353"/>
      <c r="U311" s="353" t="str">
        <f>IFERROR(VLOOKUP(M311,'02. MM-KLH'!$B$6:$T$823,5,0),"")</f>
        <v>ĐQSD</v>
      </c>
      <c r="V311" s="731" t="str">
        <f>IFERROR(VLOOKUP(M311,'02. MM-KLH'!$B$6:$T$823,8,0),"")</f>
        <v>XN Bò AD</v>
      </c>
      <c r="W311" s="353" t="str">
        <f>IFERROR(VLOOKUP(V311,'NS QUẢN LÝ CG'!$A$4:$D$36,2,0),"")</f>
        <v/>
      </c>
      <c r="X311" s="353" t="str">
        <f>IFERROR(VLOOKUP(V311,'NS QUẢN LÝ CG'!$A$4:$D$36,4,0),"")</f>
        <v/>
      </c>
      <c r="Y311" s="353" t="str">
        <f>IFERROR(VLOOKUP(V311,'NS QUẢN LÝ CG'!$A$4:$C$36,3,0),"")</f>
        <v/>
      </c>
      <c r="Z311" s="731" t="str">
        <f>IFERROR(VLOOKUP(M311,'02. MM-KLH'!$B$6:$T$823,3,0),"")</f>
        <v>ATT-A23-0002</v>
      </c>
      <c r="AA311" s="353" t="s">
        <v>5979</v>
      </c>
      <c r="AB311" s="731"/>
      <c r="AC311" s="731"/>
    </row>
    <row r="312" ht="13.8" spans="1:29">
      <c r="A312" s="731"/>
      <c r="B312" s="613" t="str">
        <f>IFERROR(VLOOKUP(M312,'02. MM-KLH'!$B$6:$T$823,6,0),"")</f>
        <v>Máy cày KAM50</v>
      </c>
      <c r="C312" s="353">
        <v>1</v>
      </c>
      <c r="D312" s="353" t="str">
        <f>IFERROR(VLOOKUP(M312,'02. MM-KLH'!$B$6:$T$823,16,0),"")</f>
        <v>KAM50</v>
      </c>
      <c r="E312" s="353" t="s">
        <v>5978</v>
      </c>
      <c r="F312" s="353"/>
      <c r="G312" s="353"/>
      <c r="H312" s="353" t="str">
        <f>IFERROR(VLOOKUP(M312,'02. MM-KLH'!$B$6:$T$823,17,0),"")</f>
        <v>50HP</v>
      </c>
      <c r="I312" s="763">
        <f>IFERROR(VLOOKUP(M312,'02. MM-KLH'!$B$6:$U$823,20,0),"")</f>
        <v>2.5</v>
      </c>
      <c r="J312" s="613" t="str">
        <f>IFERROR(VLOOKUP(M312,'02. MM-KLH'!$B$6:$T$823,19,0),"")</f>
        <v>CCN</v>
      </c>
      <c r="K312" s="613">
        <f>IFERROR(VLOOKUP(M312,'02. MM-KLH'!$B$6:$T$823,18,0),"")</f>
        <v>180069</v>
      </c>
      <c r="L312" s="353">
        <f>IFERROR(VLOOKUP(M312,'02. MM-KLH'!$B$6:$T$823,4,0),"")</f>
        <v>0</v>
      </c>
      <c r="M312" s="49" t="s">
        <v>2592</v>
      </c>
      <c r="N312" s="356">
        <f>IFERROR(VLOOKUP(M312,'02. MM-KLH'!$B$6:$T$823,15,0),"")</f>
        <v>2018</v>
      </c>
      <c r="O312" s="764">
        <f>IFERROR(VLOOKUP(M312,'02. MM-KLH'!$B$6:$T$823,9,0),"")</f>
        <v>0</v>
      </c>
      <c r="P312" s="353"/>
      <c r="Q312" s="353" t="s">
        <v>1755</v>
      </c>
      <c r="R312" s="353"/>
      <c r="S312" s="353" t="s">
        <v>5978</v>
      </c>
      <c r="T312" s="353"/>
      <c r="U312" s="353" t="str">
        <f>IFERROR(VLOOKUP(M312,'02. MM-KLH'!$B$6:$T$823,5,0),"")</f>
        <v>ĐQSD</v>
      </c>
      <c r="V312" s="731" t="str">
        <f>IFERROR(VLOOKUP(M312,'02. MM-KLH'!$B$6:$T$823,8,0),"")</f>
        <v>Ban điện nước</v>
      </c>
      <c r="W312" s="353" t="str">
        <f>IFERROR(VLOOKUP(V312,'NS QUẢN LÝ CG'!$A$4:$D$36,2,0),"")</f>
        <v/>
      </c>
      <c r="X312" s="353" t="str">
        <f>IFERROR(VLOOKUP(V312,'NS QUẢN LÝ CG'!$A$4:$D$36,4,0),"")</f>
        <v/>
      </c>
      <c r="Y312" s="353" t="str">
        <f>IFERROR(VLOOKUP(V312,'NS QUẢN LÝ CG'!$A$4:$C$36,3,0),"")</f>
        <v/>
      </c>
      <c r="Z312" s="731" t="str">
        <f>IFERROR(VLOOKUP(M312,'02. MM-KLH'!$B$6:$T$823,3,0),"")</f>
        <v>A22-MKE-028</v>
      </c>
      <c r="AA312" s="353" t="str">
        <f t="shared" ref="AA312:AA316" si="21">_xlfn.SWITCH(LEFT(Z312,3),"A22","ADM","A23","DP","A24","LP","")</f>
        <v>ADM</v>
      </c>
      <c r="AB312" s="731"/>
      <c r="AC312" s="731"/>
    </row>
    <row r="313" ht="13.8" spans="1:29">
      <c r="A313" s="731"/>
      <c r="B313" s="613" t="str">
        <f>IFERROR(VLOOKUP(M313,'02. MM-KLH'!$B$6:$T$823,6,0),"")</f>
        <v>Máy cày KAM50</v>
      </c>
      <c r="C313" s="353">
        <v>1</v>
      </c>
      <c r="D313" s="353" t="str">
        <f>IFERROR(VLOOKUP(M313,'02. MM-KLH'!$B$6:$T$823,16,0),"")</f>
        <v>KAM50</v>
      </c>
      <c r="E313" s="353" t="s">
        <v>5978</v>
      </c>
      <c r="F313" s="353"/>
      <c r="G313" s="353"/>
      <c r="H313" s="353" t="str">
        <f>IFERROR(VLOOKUP(M313,'02. MM-KLH'!$B$6:$T$823,17,0),"")</f>
        <v>50HP</v>
      </c>
      <c r="I313" s="763">
        <f>IFERROR(VLOOKUP(M313,'02. MM-KLH'!$B$6:$U$823,20,0),"")</f>
        <v>2.5</v>
      </c>
      <c r="J313" s="613">
        <f>IFERROR(VLOOKUP(M313,'02. MM-KLH'!$B$6:$T$823,19,0),"")</f>
        <v>0</v>
      </c>
      <c r="K313" s="613" t="str">
        <f>IFERROR(VLOOKUP(M313,'02. MM-KLH'!$B$6:$T$823,18,0),"")</f>
        <v>C000080</v>
      </c>
      <c r="L313" s="353">
        <f>IFERROR(VLOOKUP(M313,'02. MM-KLH'!$B$6:$T$823,4,0),"")</f>
        <v>0</v>
      </c>
      <c r="M313" s="49" t="s">
        <v>2637</v>
      </c>
      <c r="N313" s="356">
        <f>IFERROR(VLOOKUP(M313,'02. MM-KLH'!$B$6:$T$823,15,0),"")</f>
        <v>0</v>
      </c>
      <c r="O313" s="764">
        <f>IFERROR(VLOOKUP(M313,'02. MM-KLH'!$B$6:$T$823,9,0),"")</f>
        <v>0</v>
      </c>
      <c r="P313" s="353"/>
      <c r="Q313" s="353" t="s">
        <v>1755</v>
      </c>
      <c r="R313" s="353"/>
      <c r="S313" s="353" t="s">
        <v>5978</v>
      </c>
      <c r="T313" s="353"/>
      <c r="U313" s="353" t="str">
        <f>IFERROR(VLOOKUP(M313,'02. MM-KLH'!$B$6:$T$823,5,0),"")</f>
        <v>ĐQSD</v>
      </c>
      <c r="V313" s="731" t="str">
        <f>IFERROR(VLOOKUP(M313,'02. MM-KLH'!$B$6:$T$823,8,0),"")</f>
        <v>Xưởng Cơ khí DP</v>
      </c>
      <c r="W313" s="353">
        <f>IFERROR(VLOOKUP(V313,'NS QUẢN LÝ CG'!$A$4:$D$36,2,0),"")</f>
        <v>0</v>
      </c>
      <c r="X313" s="353">
        <f>IFERROR(VLOOKUP(V313,'NS QUẢN LÝ CG'!$A$4:$D$36,4,0),"")</f>
        <v>0</v>
      </c>
      <c r="Y313" s="353">
        <f>IFERROR(VLOOKUP(V313,'NS QUẢN LÝ CG'!$A$4:$C$36,3,0),"")</f>
        <v>0</v>
      </c>
      <c r="Z313" s="731" t="str">
        <f>IFERROR(VLOOKUP(M313,'02. MM-KLH'!$B$6:$T$823,3,0),"")</f>
        <v>A23-MKE-032</v>
      </c>
      <c r="AA313" s="353" t="str">
        <f t="shared" si="21"/>
        <v>DP</v>
      </c>
      <c r="AB313" s="731"/>
      <c r="AC313" s="731"/>
    </row>
    <row r="314" ht="13.8" spans="1:29">
      <c r="A314" s="731"/>
      <c r="B314" s="613" t="str">
        <f>IFERROR(VLOOKUP(M314,'02. MM-KLH'!$B$6:$T$823,6,0),"")</f>
        <v>Máy cày KAM50</v>
      </c>
      <c r="C314" s="353">
        <v>1</v>
      </c>
      <c r="D314" s="353" t="str">
        <f>IFERROR(VLOOKUP(M314,'02. MM-KLH'!$B$6:$T$823,16,0),"")</f>
        <v>KAM50</v>
      </c>
      <c r="E314" s="353" t="s">
        <v>5978</v>
      </c>
      <c r="F314" s="353"/>
      <c r="G314" s="353"/>
      <c r="H314" s="353" t="str">
        <f>IFERROR(VLOOKUP(M314,'02. MM-KLH'!$B$6:$T$823,17,0),"")</f>
        <v>50HP</v>
      </c>
      <c r="I314" s="763">
        <f>IFERROR(VLOOKUP(M314,'02. MM-KLH'!$B$6:$U$823,20,0),"")</f>
        <v>2.5</v>
      </c>
      <c r="J314" s="613">
        <f>IFERROR(VLOOKUP(M314,'02. MM-KLH'!$B$6:$T$823,19,0),"")</f>
        <v>0</v>
      </c>
      <c r="K314" s="613" t="str">
        <f>IFERROR(VLOOKUP(M314,'02. MM-KLH'!$B$6:$T$823,18,0),"")</f>
        <v>C000016</v>
      </c>
      <c r="L314" s="353">
        <f>IFERROR(VLOOKUP(M314,'02. MM-KLH'!$B$6:$T$823,4,0),"")</f>
        <v>0</v>
      </c>
      <c r="M314" s="49" t="s">
        <v>2640</v>
      </c>
      <c r="N314" s="356">
        <f>IFERROR(VLOOKUP(M314,'02. MM-KLH'!$B$6:$T$823,15,0),"")</f>
        <v>0</v>
      </c>
      <c r="O314" s="764">
        <f>IFERROR(VLOOKUP(M314,'02. MM-KLH'!$B$6:$T$823,9,0),"")</f>
        <v>0</v>
      </c>
      <c r="P314" s="353"/>
      <c r="Q314" s="353" t="s">
        <v>1755</v>
      </c>
      <c r="R314" s="353" t="s">
        <v>5978</v>
      </c>
      <c r="S314" s="353"/>
      <c r="T314" s="353"/>
      <c r="U314" s="353" t="str">
        <f>IFERROR(VLOOKUP(M314,'02. MM-KLH'!$B$6:$T$823,5,0),"")</f>
        <v>ĐQSD</v>
      </c>
      <c r="V314" s="731" t="str">
        <f>IFERROR(VLOOKUP(M314,'02. MM-KLH'!$B$6:$T$823,8,0),"")</f>
        <v>Xưởng Cơ khí DP</v>
      </c>
      <c r="W314" s="353">
        <f>IFERROR(VLOOKUP(V314,'NS QUẢN LÝ CG'!$A$4:$D$36,2,0),"")</f>
        <v>0</v>
      </c>
      <c r="X314" s="353">
        <f>IFERROR(VLOOKUP(V314,'NS QUẢN LÝ CG'!$A$4:$D$36,4,0),"")</f>
        <v>0</v>
      </c>
      <c r="Y314" s="353">
        <f>IFERROR(VLOOKUP(V314,'NS QUẢN LÝ CG'!$A$4:$C$36,3,0),"")</f>
        <v>0</v>
      </c>
      <c r="Z314" s="731" t="str">
        <f>IFERROR(VLOOKUP(M314,'02. MM-KLH'!$B$6:$T$823,3,0),"")</f>
        <v>A23-MKE-033</v>
      </c>
      <c r="AA314" s="353" t="str">
        <f t="shared" si="21"/>
        <v>DP</v>
      </c>
      <c r="AB314" s="731"/>
      <c r="AC314" s="731"/>
    </row>
    <row r="315" ht="13.8" spans="1:29">
      <c r="A315" s="731"/>
      <c r="B315" s="613" t="str">
        <f>IFERROR(VLOOKUP(M315,'02. MM-KLH'!$B$6:$T$823,6,0),"")</f>
        <v>Máy cày KAM50</v>
      </c>
      <c r="C315" s="353">
        <v>1</v>
      </c>
      <c r="D315" s="353" t="str">
        <f>IFERROR(VLOOKUP(M315,'02. MM-KLH'!$B$6:$T$823,16,0),"")</f>
        <v>KAM50</v>
      </c>
      <c r="E315" s="353" t="s">
        <v>5978</v>
      </c>
      <c r="F315" s="353"/>
      <c r="G315" s="353"/>
      <c r="H315" s="353" t="str">
        <f>IFERROR(VLOOKUP(M315,'02. MM-KLH'!$B$6:$T$823,17,0),"")</f>
        <v>50HP</v>
      </c>
      <c r="I315" s="763">
        <f>IFERROR(VLOOKUP(M315,'02. MM-KLH'!$B$6:$U$823,20,0),"")</f>
        <v>2.5</v>
      </c>
      <c r="J315" s="613" t="str">
        <f>IFERROR(VLOOKUP(M315,'02. MM-KLH'!$B$6:$T$823,19,0),"")</f>
        <v>CCN</v>
      </c>
      <c r="K315" s="613" t="str">
        <f>IFERROR(VLOOKUP(M315,'02. MM-KLH'!$B$6:$T$823,18,0),"")</f>
        <v>TAMMT05AJC000044</v>
      </c>
      <c r="L315" s="353">
        <f>IFERROR(VLOOKUP(M315,'02. MM-KLH'!$B$6:$T$823,4,0),"")</f>
        <v>0</v>
      </c>
      <c r="M315" s="49" t="s">
        <v>2643</v>
      </c>
      <c r="N315" s="356">
        <f>IFERROR(VLOOKUP(M315,'02. MM-KLH'!$B$6:$T$823,15,0),"")</f>
        <v>2012</v>
      </c>
      <c r="O315" s="764">
        <f>IFERROR(VLOOKUP(M315,'02. MM-KLH'!$B$6:$T$823,9,0),"")</f>
        <v>0</v>
      </c>
      <c r="P315" s="353"/>
      <c r="Q315" s="353" t="s">
        <v>1755</v>
      </c>
      <c r="R315" s="353" t="s">
        <v>5978</v>
      </c>
      <c r="S315" s="353"/>
      <c r="T315" s="353"/>
      <c r="U315" s="353" t="str">
        <f>IFERROR(VLOOKUP(M315,'02. MM-KLH'!$B$6:$T$823,5,0),"")</f>
        <v>ĐQSD</v>
      </c>
      <c r="V315" s="731" t="str">
        <f>IFERROR(VLOOKUP(M315,'02. MM-KLH'!$B$6:$T$823,8,0),"")</f>
        <v>Xưởng Cơ khí DP</v>
      </c>
      <c r="W315" s="353">
        <f>IFERROR(VLOOKUP(V315,'NS QUẢN LÝ CG'!$A$4:$D$36,2,0),"")</f>
        <v>0</v>
      </c>
      <c r="X315" s="353">
        <f>IFERROR(VLOOKUP(V315,'NS QUẢN LÝ CG'!$A$4:$D$36,4,0),"")</f>
        <v>0</v>
      </c>
      <c r="Y315" s="353">
        <f>IFERROR(VLOOKUP(V315,'NS QUẢN LÝ CG'!$A$4:$C$36,3,0),"")</f>
        <v>0</v>
      </c>
      <c r="Z315" s="731" t="str">
        <f>IFERROR(VLOOKUP(M315,'02. MM-KLH'!$B$6:$T$823,3,0),"")</f>
        <v>A22-MKE-031</v>
      </c>
      <c r="AA315" s="353" t="str">
        <f t="shared" si="21"/>
        <v>ADM</v>
      </c>
      <c r="AB315" s="731"/>
      <c r="AC315" s="731"/>
    </row>
    <row r="316" ht="13.8" spans="1:29">
      <c r="A316" s="731"/>
      <c r="B316" s="613" t="str">
        <f>IFERROR(VLOOKUP(M316,'02. MM-KLH'!$B$6:$T$823,6,0),"")</f>
        <v>Máy cày KAM50</v>
      </c>
      <c r="C316" s="353">
        <v>1</v>
      </c>
      <c r="D316" s="353" t="str">
        <f>IFERROR(VLOOKUP(M316,'02. MM-KLH'!$B$6:$T$823,16,0),"")</f>
        <v>KAM50</v>
      </c>
      <c r="E316" s="353" t="s">
        <v>5978</v>
      </c>
      <c r="F316" s="353"/>
      <c r="G316" s="353"/>
      <c r="H316" s="353" t="str">
        <f>IFERROR(VLOOKUP(M316,'02. MM-KLH'!$B$6:$T$823,17,0),"")</f>
        <v>50HP</v>
      </c>
      <c r="I316" s="763">
        <f>IFERROR(VLOOKUP(M316,'02. MM-KLH'!$B$6:$U$823,20,0),"")</f>
        <v>2.5</v>
      </c>
      <c r="J316" s="613" t="str">
        <f>IFERROR(VLOOKUP(M316,'02. MM-KLH'!$B$6:$T$823,19,0),"")</f>
        <v>CCN</v>
      </c>
      <c r="K316" s="613" t="str">
        <f>IFERROR(VLOOKUP(M316,'02. MM-KLH'!$B$6:$T$823,18,0),"")</f>
        <v>TAMMT05AJC000089</v>
      </c>
      <c r="L316" s="353">
        <f>IFERROR(VLOOKUP(M316,'02. MM-KLH'!$B$6:$T$823,4,0),"")</f>
        <v>0</v>
      </c>
      <c r="M316" s="49" t="s">
        <v>2695</v>
      </c>
      <c r="N316" s="356">
        <f>IFERROR(VLOOKUP(M316,'02. MM-KLH'!$B$6:$T$823,15,0),"")</f>
        <v>2012</v>
      </c>
      <c r="O316" s="764">
        <f>IFERROR(VLOOKUP(M316,'02. MM-KLH'!$B$6:$T$823,9,0),"")</f>
        <v>0</v>
      </c>
      <c r="P316" s="353"/>
      <c r="Q316" s="353" t="s">
        <v>1755</v>
      </c>
      <c r="R316" s="353" t="s">
        <v>5978</v>
      </c>
      <c r="S316" s="353"/>
      <c r="T316" s="353"/>
      <c r="U316" s="353" t="str">
        <f>IFERROR(VLOOKUP(M316,'02. MM-KLH'!$B$6:$T$823,5,0),"")</f>
        <v>ĐQSD</v>
      </c>
      <c r="V316" s="731" t="str">
        <f>IFERROR(VLOOKUP(M316,'02. MM-KLH'!$B$6:$T$823,8,0),"")</f>
        <v>Thagricons</v>
      </c>
      <c r="W316" s="353">
        <f>IFERROR(VLOOKUP(V316,'NS QUẢN LÝ CG'!$A$4:$D$36,2,0),"")</f>
        <v>0</v>
      </c>
      <c r="X316" s="353">
        <f>IFERROR(VLOOKUP(V316,'NS QUẢN LÝ CG'!$A$4:$D$36,4,0),"")</f>
        <v>0</v>
      </c>
      <c r="Y316" s="353">
        <f>IFERROR(VLOOKUP(V316,'NS QUẢN LÝ CG'!$A$4:$C$36,3,0),"")</f>
        <v>0</v>
      </c>
      <c r="Z316" s="731" t="str">
        <f>IFERROR(VLOOKUP(M316,'02. MM-KLH'!$B$6:$T$823,3,0),"")</f>
        <v>A22-MKE-032</v>
      </c>
      <c r="AA316" s="353" t="str">
        <f t="shared" si="21"/>
        <v>ADM</v>
      </c>
      <c r="AB316" s="731"/>
      <c r="AC316" s="731"/>
    </row>
    <row r="317" ht="13.8" spans="1:29">
      <c r="A317" s="731"/>
      <c r="B317" s="613" t="str">
        <f>IFERROR(VLOOKUP(M317,'02. MM-KLH'!$B$6:$T$823,6,0),"")</f>
        <v/>
      </c>
      <c r="C317" s="353"/>
      <c r="D317" s="353" t="str">
        <f>IFERROR(VLOOKUP(M317,'02. MM-KLH'!$B$6:$T$823,16,0),"")</f>
        <v/>
      </c>
      <c r="E317" s="353"/>
      <c r="F317" s="353"/>
      <c r="G317" s="353"/>
      <c r="H317" s="353" t="str">
        <f>IFERROR(VLOOKUP(M317,'02. MM-KLH'!$B$6:$T$823,17,0),"")</f>
        <v/>
      </c>
      <c r="I317" s="763" t="str">
        <f>IFERROR(VLOOKUP(M317,'02. MM-KLH'!$B$6:$U$823,20,0),"")</f>
        <v/>
      </c>
      <c r="J317" s="613" t="str">
        <f>IFERROR(VLOOKUP(M317,'02. MM-KLH'!$B$6:$T$823,19,0),"")</f>
        <v/>
      </c>
      <c r="K317" s="613" t="str">
        <f>IFERROR(VLOOKUP(M317,'02. MM-KLH'!$B$6:$T$823,18,0),"")</f>
        <v/>
      </c>
      <c r="L317" s="353" t="str">
        <f>IFERROR(VLOOKUP(M317,'02. MM-KLH'!$B$6:$T$823,4,0),"")</f>
        <v/>
      </c>
      <c r="M317" s="49"/>
      <c r="N317" s="356" t="str">
        <f>IFERROR(VLOOKUP(M317,'02. MM-KLH'!$B$6:$T$823,15,0),"")</f>
        <v/>
      </c>
      <c r="O317" s="764" t="str">
        <f>IFERROR(VLOOKUP(M317,'02. MM-KLH'!$B$6:$T$823,9,0),"")</f>
        <v/>
      </c>
      <c r="P317" s="353"/>
      <c r="Q317" s="353"/>
      <c r="R317" s="353"/>
      <c r="S317" s="353"/>
      <c r="T317" s="353"/>
      <c r="U317" s="353" t="str">
        <f>IFERROR(VLOOKUP(M317,'02. MM-KLH'!$B$6:$T$823,2,0),"")</f>
        <v/>
      </c>
      <c r="V317" s="731" t="str">
        <f>IFERROR(VLOOKUP(M317,'02. MM-KLH'!$B$6:$T$823,8,0),"")</f>
        <v/>
      </c>
      <c r="W317" s="353" t="str">
        <f>IFERROR(VLOOKUP(V317,'NS QUẢN LÝ CG'!$A$4:$D$36,2,0),"")</f>
        <v/>
      </c>
      <c r="X317" s="353" t="str">
        <f>IFERROR(VLOOKUP(V317,'NS QUẢN LÝ CG'!$A$4:$D$36,4,0),"")</f>
        <v/>
      </c>
      <c r="Y317" s="353"/>
      <c r="Z317" s="731" t="str">
        <f>IFERROR(VLOOKUP(M317,'02. MM-KLH'!$B$6:$T$823,3,0),"")</f>
        <v/>
      </c>
      <c r="AA317" s="353"/>
      <c r="AB317" s="731"/>
      <c r="AC317" s="731"/>
    </row>
    <row r="318" ht="13.8" hidden="1" spans="1:29">
      <c r="A318" s="731"/>
      <c r="B318" s="613" t="str">
        <f>IFERROR(VLOOKUP(M318,'02. MM-KLH'!$B$6:$T$823,6,0),"")</f>
        <v/>
      </c>
      <c r="C318" s="353"/>
      <c r="D318" s="353" t="str">
        <f>IFERROR(VLOOKUP(M318,'02. MM-KLH'!$B$6:$T$823,16,0),"")</f>
        <v/>
      </c>
      <c r="E318" s="353"/>
      <c r="F318" s="353"/>
      <c r="G318" s="353"/>
      <c r="H318" s="353" t="str">
        <f>IFERROR(VLOOKUP(M318,'02. MM-KLH'!$B$6:$T$823,17,0),"")</f>
        <v/>
      </c>
      <c r="I318" s="763" t="str">
        <f>IFERROR(VLOOKUP(M318,'02. MM-KLH'!$B$6:$U$823,20,0),"")</f>
        <v/>
      </c>
      <c r="J318" s="613" t="str">
        <f>IFERROR(VLOOKUP(M318,'02. MM-KLH'!$B$6:$T$823,19,0),"")</f>
        <v/>
      </c>
      <c r="K318" s="613" t="str">
        <f>IFERROR(VLOOKUP(M318,'02. MM-KLH'!$B$6:$T$823,18,0),"")</f>
        <v/>
      </c>
      <c r="L318" s="353" t="str">
        <f>IFERROR(VLOOKUP(M318,'02. MM-KLH'!$B$6:$T$823,4,0),"")</f>
        <v/>
      </c>
      <c r="M318" s="49"/>
      <c r="N318" s="356" t="str">
        <f>IFERROR(VLOOKUP(M318,'02. MM-KLH'!$B$6:$T$823,15,0),"")</f>
        <v/>
      </c>
      <c r="O318" s="764" t="str">
        <f>IFERROR(VLOOKUP(M318,'02. MM-KLH'!$B$6:$T$823,9,0),"")</f>
        <v/>
      </c>
      <c r="P318" s="353"/>
      <c r="Q318" s="353"/>
      <c r="R318" s="353"/>
      <c r="S318" s="353"/>
      <c r="T318" s="353"/>
      <c r="U318" s="353" t="str">
        <f>IFERROR(VLOOKUP(M318,'02. MM-KLH'!$B$6:$T$823,2,0),"")</f>
        <v/>
      </c>
      <c r="V318" s="731" t="str">
        <f>IFERROR(VLOOKUP(M318,'02. MM-KLH'!$B$6:$T$823,8,0),"")</f>
        <v/>
      </c>
      <c r="W318" s="353"/>
      <c r="X318" s="353"/>
      <c r="Y318" s="353"/>
      <c r="Z318" s="731" t="str">
        <f>IFERROR(VLOOKUP(M318,'02. MM-KLH'!$B$6:$T$823,3,0),"")</f>
        <v/>
      </c>
      <c r="AA318" s="353"/>
      <c r="AB318" s="731"/>
      <c r="AC318" s="731"/>
    </row>
    <row r="319" ht="13.8" hidden="1" spans="1:29">
      <c r="A319" s="731"/>
      <c r="B319" s="613" t="str">
        <f>IFERROR(VLOOKUP(M319,'02. MM-KLH'!$B$6:$T$823,6,0),"")</f>
        <v/>
      </c>
      <c r="C319" s="353"/>
      <c r="D319" s="353" t="str">
        <f>IFERROR(VLOOKUP(M319,'02. MM-KLH'!$B$6:$T$823,16,0),"")</f>
        <v/>
      </c>
      <c r="E319" s="353"/>
      <c r="F319" s="353"/>
      <c r="G319" s="353"/>
      <c r="H319" s="353" t="str">
        <f>IFERROR(VLOOKUP(M319,'02. MM-KLH'!$B$6:$T$823,17,0),"")</f>
        <v/>
      </c>
      <c r="I319" s="763" t="str">
        <f>IFERROR(VLOOKUP(M319,'02. MM-KLH'!$B$6:$U$823,20,0),"")</f>
        <v/>
      </c>
      <c r="J319" s="613" t="str">
        <f>IFERROR(VLOOKUP(M319,'02. MM-KLH'!$B$6:$T$823,19,0),"")</f>
        <v/>
      </c>
      <c r="K319" s="613" t="str">
        <f>IFERROR(VLOOKUP(M319,'02. MM-KLH'!$B$6:$T$823,18,0),"")</f>
        <v/>
      </c>
      <c r="L319" s="353" t="str">
        <f>IFERROR(VLOOKUP(M319,'02. MM-KLH'!$B$6:$T$823,4,0),"")</f>
        <v/>
      </c>
      <c r="M319" s="49"/>
      <c r="N319" s="356" t="str">
        <f>IFERROR(VLOOKUP(M319,'02. MM-KLH'!$B$6:$T$823,15,0),"")</f>
        <v/>
      </c>
      <c r="O319" s="764" t="str">
        <f>IFERROR(VLOOKUP(M319,'02. MM-KLH'!$B$6:$T$823,9,0),"")</f>
        <v/>
      </c>
      <c r="P319" s="353"/>
      <c r="Q319" s="353"/>
      <c r="R319" s="353"/>
      <c r="S319" s="353"/>
      <c r="T319" s="353"/>
      <c r="U319" s="353" t="str">
        <f>IFERROR(VLOOKUP(M319,'02. MM-KLH'!$B$6:$T$823,2,0),"")</f>
        <v/>
      </c>
      <c r="V319" s="731" t="str">
        <f>IFERROR(VLOOKUP(M319,'02. MM-KLH'!$B$6:$T$823,8,0),"")</f>
        <v/>
      </c>
      <c r="W319" s="353"/>
      <c r="X319" s="353"/>
      <c r="Y319" s="353"/>
      <c r="Z319" s="731" t="str">
        <f>IFERROR(VLOOKUP(M319,'02. MM-KLH'!$B$6:$T$823,3,0),"")</f>
        <v/>
      </c>
      <c r="AA319" s="353"/>
      <c r="AB319" s="731"/>
      <c r="AC319" s="731"/>
    </row>
    <row r="320" ht="13.8" spans="1:29">
      <c r="A320" s="754">
        <v>4</v>
      </c>
      <c r="B320" s="755" t="s">
        <v>1104</v>
      </c>
      <c r="C320" s="754">
        <f>COUNTA(B321:B323)</f>
        <v>3</v>
      </c>
      <c r="D320" s="756"/>
      <c r="E320" s="756"/>
      <c r="F320" s="756"/>
      <c r="G320" s="756"/>
      <c r="H320" s="762"/>
      <c r="I320" s="762"/>
      <c r="J320" s="758"/>
      <c r="K320" s="758"/>
      <c r="L320" s="756"/>
      <c r="M320" s="756"/>
      <c r="N320" s="756"/>
      <c r="O320" s="760"/>
      <c r="P320" s="756"/>
      <c r="Q320" s="756"/>
      <c r="R320" s="756"/>
      <c r="S320" s="756"/>
      <c r="T320" s="756"/>
      <c r="U320" s="756"/>
      <c r="V320" s="762"/>
      <c r="W320" s="756"/>
      <c r="X320" s="756"/>
      <c r="Y320" s="756"/>
      <c r="Z320" s="762"/>
      <c r="AA320" s="756"/>
      <c r="AB320" s="762"/>
      <c r="AC320" s="762"/>
    </row>
    <row r="321" ht="13.8" spans="1:29">
      <c r="A321" s="731"/>
      <c r="B321" s="613" t="str">
        <f>IFERROR(VLOOKUP(M321,'02. MM-KLH'!$B$6:$T$823,6,0),"")</f>
        <v>Máy cày NH TD157</v>
      </c>
      <c r="C321" s="353">
        <v>1</v>
      </c>
      <c r="D321" s="353" t="str">
        <f>IFERROR(VLOOKUP(M321,'02. MM-KLH'!$B$6:$T$823,16,0),"")</f>
        <v>TD157</v>
      </c>
      <c r="E321" s="353" t="s">
        <v>5978</v>
      </c>
      <c r="F321" s="353"/>
      <c r="G321" s="353"/>
      <c r="H321" s="353" t="str">
        <f>IFERROR(VLOOKUP(M321,'02. MM-KLH'!$B$6:$T$823,17,0),"")</f>
        <v>150HP</v>
      </c>
      <c r="I321" s="763">
        <f>IFERROR(VLOOKUP(M321,'02. MM-KLH'!$B$6:$U$823,20,0),"")</f>
        <v>11</v>
      </c>
      <c r="J321" s="613" t="str">
        <f>IFERROR(VLOOKUP(M321,'02. MM-KLH'!$B$6:$T$823,19,0),"")</f>
        <v>CCN</v>
      </c>
      <c r="K321" s="613">
        <f>IFERROR(VLOOKUP(M321,'02. MM-KLH'!$B$6:$T$823,18,0),"")</f>
        <v>73737</v>
      </c>
      <c r="L321" s="353">
        <f>IFERROR(VLOOKUP(M321,'02. MM-KLH'!$B$6:$T$823,4,0),"")</f>
        <v>0</v>
      </c>
      <c r="M321" s="49" t="s">
        <v>1101</v>
      </c>
      <c r="N321" s="356">
        <f>IFERROR(VLOOKUP(M321,'02. MM-KLH'!$B$6:$T$823,15,0),"")</f>
        <v>2018</v>
      </c>
      <c r="O321" s="764">
        <f>IFERROR(VLOOKUP(M321,'02. MM-KLH'!$B$6:$T$823,9,0),"")</f>
        <v>0</v>
      </c>
      <c r="P321" s="353"/>
      <c r="Q321" s="353" t="s">
        <v>1755</v>
      </c>
      <c r="R321" s="353"/>
      <c r="S321" s="353"/>
      <c r="T321" s="353" t="s">
        <v>5978</v>
      </c>
      <c r="U321" s="353" t="str">
        <f>IFERROR(VLOOKUP(M321,'02. MM-KLH'!$B$6:$T$823,5,0),"")</f>
        <v>ĐQSD</v>
      </c>
      <c r="V321" s="731" t="str">
        <f>IFERROR(VLOOKUP(M321,'02. MM-KLH'!$B$6:$T$823,8,0),"")</f>
        <v>XN Bò AD</v>
      </c>
      <c r="W321" s="353" t="str">
        <f>IFERROR(VLOOKUP(V321,'NS QUẢN LÝ CG'!$A$4:$D$36,2,0),"")</f>
        <v/>
      </c>
      <c r="X321" s="353" t="str">
        <f>IFERROR(VLOOKUP(V321,'NS QUẢN LÝ CG'!$A$4:$D$36,4,0),"")</f>
        <v/>
      </c>
      <c r="Y321" s="353" t="str">
        <f>IFERROR(VLOOKUP(V321,'NS QUẢN LÝ CG'!$A$4:$C$36,3,0),"")</f>
        <v/>
      </c>
      <c r="Z321" s="731" t="str">
        <f>IFERROR(VLOOKUP(M321,'02. MM-KLH'!$B$6:$T$823,3,0),"")</f>
        <v>ATT-A23-0017</v>
      </c>
      <c r="AA321" s="353" t="s">
        <v>5979</v>
      </c>
      <c r="AB321" s="731"/>
      <c r="AC321" s="731"/>
    </row>
    <row r="322" ht="13.8" spans="1:29">
      <c r="A322" s="731"/>
      <c r="B322" s="613" t="str">
        <f>IFERROR(VLOOKUP(M322,'02. MM-KLH'!$B$6:$T$823,6,0),"")</f>
        <v/>
      </c>
      <c r="C322" s="353"/>
      <c r="D322" s="353" t="str">
        <f>IFERROR(VLOOKUP(M322,'02. MM-KLH'!$B$6:$T$823,16,0),"")</f>
        <v/>
      </c>
      <c r="E322" s="353"/>
      <c r="F322" s="353"/>
      <c r="G322" s="353"/>
      <c r="H322" s="353" t="str">
        <f>IFERROR(VLOOKUP(M322,'02. MM-KLH'!$B$6:$T$823,17,0),"")</f>
        <v/>
      </c>
      <c r="I322" s="763" t="str">
        <f>IFERROR(VLOOKUP(M322,'02. MM-KLH'!$B$6:$U$823,20,0),"")</f>
        <v/>
      </c>
      <c r="J322" s="613" t="str">
        <f>IFERROR(VLOOKUP(M322,'02. MM-KLH'!$B$6:$T$823,19,0),"")</f>
        <v/>
      </c>
      <c r="K322" s="613" t="str">
        <f>IFERROR(VLOOKUP(M322,'02. MM-KLH'!$B$6:$T$823,18,0),"")</f>
        <v/>
      </c>
      <c r="L322" s="353" t="str">
        <f>IFERROR(VLOOKUP(M322,'02. MM-KLH'!$B$6:$T$823,4,0),"")</f>
        <v/>
      </c>
      <c r="M322" s="49"/>
      <c r="N322" s="356" t="str">
        <f>IFERROR(VLOOKUP(M322,'02. MM-KLH'!$B$6:$T$823,15,0),"")</f>
        <v/>
      </c>
      <c r="O322" s="764" t="str">
        <f>IFERROR(VLOOKUP(M322,'02. MM-KLH'!$B$6:$T$823,9,0),"")</f>
        <v/>
      </c>
      <c r="P322" s="353"/>
      <c r="Q322" s="353"/>
      <c r="R322" s="353"/>
      <c r="S322" s="353"/>
      <c r="T322" s="353"/>
      <c r="U322" s="353" t="str">
        <f>IFERROR(VLOOKUP(M322,'02. MM-KLH'!$B$6:$T$823,2,0),"")</f>
        <v/>
      </c>
      <c r="V322" s="731" t="str">
        <f>IFERROR(VLOOKUP(M322,'02. MM-KLH'!$B$6:$T$823,8,0),"")</f>
        <v/>
      </c>
      <c r="W322" s="353" t="str">
        <f>IFERROR(VLOOKUP(V322,'NS QUẢN LÝ CG'!$A$4:$D$36,2,0),"")</f>
        <v/>
      </c>
      <c r="X322" s="353" t="str">
        <f>IFERROR(VLOOKUP(V322,'NS QUẢN LÝ CG'!$A$4:$D$36,4,0),"")</f>
        <v/>
      </c>
      <c r="Y322" s="353"/>
      <c r="Z322" s="731" t="str">
        <f>IFERROR(VLOOKUP(M322,'02. MM-KLH'!$B$6:$T$823,3,0),"")</f>
        <v/>
      </c>
      <c r="AA322" s="353"/>
      <c r="AB322" s="731"/>
      <c r="AC322" s="731"/>
    </row>
    <row r="323" ht="13.8" hidden="1" spans="1:29">
      <c r="A323" s="731"/>
      <c r="B323" s="613" t="str">
        <f>IFERROR(VLOOKUP(M323,'02. MM-KLH'!$B$6:$T$823,6,0),"")</f>
        <v/>
      </c>
      <c r="C323" s="353"/>
      <c r="D323" s="353" t="str">
        <f>IFERROR(VLOOKUP(M323,'02. MM-KLH'!$B$6:$T$823,16,0),"")</f>
        <v/>
      </c>
      <c r="E323" s="353"/>
      <c r="F323" s="353"/>
      <c r="G323" s="353"/>
      <c r="H323" s="353" t="str">
        <f>IFERROR(VLOOKUP(M323,'02. MM-KLH'!$B$6:$T$823,17,0),"")</f>
        <v/>
      </c>
      <c r="I323" s="763" t="str">
        <f>IFERROR(VLOOKUP(M323,'02. MM-KLH'!$B$6:$U$823,20,0),"")</f>
        <v/>
      </c>
      <c r="J323" s="613" t="str">
        <f>IFERROR(VLOOKUP(M323,'02. MM-KLH'!$B$6:$T$823,19,0),"")</f>
        <v/>
      </c>
      <c r="K323" s="613" t="str">
        <f>IFERROR(VLOOKUP(M323,'02. MM-KLH'!$B$6:$T$823,18,0),"")</f>
        <v/>
      </c>
      <c r="L323" s="353" t="str">
        <f>IFERROR(VLOOKUP(M323,'02. MM-KLH'!$B$6:$T$823,4,0),"")</f>
        <v/>
      </c>
      <c r="M323" s="49"/>
      <c r="N323" s="356" t="str">
        <f>IFERROR(VLOOKUP(M323,'02. MM-KLH'!$B$6:$T$823,15,0),"")</f>
        <v/>
      </c>
      <c r="O323" s="764" t="str">
        <f>IFERROR(VLOOKUP(M323,'02. MM-KLH'!$B$6:$T$823,9,0),"")</f>
        <v/>
      </c>
      <c r="P323" s="353"/>
      <c r="Q323" s="353"/>
      <c r="R323" s="353"/>
      <c r="S323" s="353"/>
      <c r="T323" s="353"/>
      <c r="U323" s="353" t="str">
        <f>IFERROR(VLOOKUP(M323,'02. MM-KLH'!$B$6:$T$823,2,0),"")</f>
        <v/>
      </c>
      <c r="V323" s="731" t="str">
        <f>IFERROR(VLOOKUP(M323,'02. MM-KLH'!$B$6:$T$823,8,0),"")</f>
        <v/>
      </c>
      <c r="W323" s="353"/>
      <c r="X323" s="353"/>
      <c r="Y323" s="353"/>
      <c r="Z323" s="731" t="str">
        <f>IFERROR(VLOOKUP(M323,'02. MM-KLH'!$B$6:$T$823,3,0),"")</f>
        <v/>
      </c>
      <c r="AA323" s="353"/>
      <c r="AB323" s="731"/>
      <c r="AC323" s="731"/>
    </row>
    <row r="324" ht="13.8" spans="1:29">
      <c r="A324" s="754">
        <v>5</v>
      </c>
      <c r="B324" s="755" t="s">
        <v>5989</v>
      </c>
      <c r="C324" s="754">
        <f>COUNTA(B325:B327)</f>
        <v>3</v>
      </c>
      <c r="D324" s="756"/>
      <c r="E324" s="756"/>
      <c r="F324" s="756"/>
      <c r="G324" s="756"/>
      <c r="H324" s="762"/>
      <c r="I324" s="762"/>
      <c r="J324" s="758"/>
      <c r="K324" s="758"/>
      <c r="L324" s="756"/>
      <c r="M324" s="756"/>
      <c r="N324" s="756"/>
      <c r="O324" s="760"/>
      <c r="P324" s="756"/>
      <c r="Q324" s="756"/>
      <c r="R324" s="756"/>
      <c r="S324" s="756"/>
      <c r="T324" s="756"/>
      <c r="U324" s="756"/>
      <c r="V324" s="762"/>
      <c r="W324" s="756"/>
      <c r="X324" s="756"/>
      <c r="Y324" s="756"/>
      <c r="Z324" s="762"/>
      <c r="AA324" s="756"/>
      <c r="AB324" s="762"/>
      <c r="AC324" s="762"/>
    </row>
    <row r="325" ht="13.8" spans="1:29">
      <c r="A325" s="731"/>
      <c r="B325" s="613" t="str">
        <f>IFERROR(VLOOKUP(M325,'02. MM-KLH'!$B$6:$T$823,6,0),"")</f>
        <v>Máy cày SHIBAURA</v>
      </c>
      <c r="C325" s="353">
        <v>1</v>
      </c>
      <c r="D325" s="353">
        <f>IFERROR(VLOOKUP(M325,'02. MM-KLH'!$B$6:$T$823,16,0),"")</f>
        <v>0</v>
      </c>
      <c r="E325" s="353" t="s">
        <v>5978</v>
      </c>
      <c r="F325" s="353"/>
      <c r="G325" s="353"/>
      <c r="H325" s="353" t="str">
        <f>IFERROR(VLOOKUP(M325,'02. MM-KLH'!$B$6:$T$823,17,0),"")</f>
        <v>20HP</v>
      </c>
      <c r="I325" s="763">
        <f>IFERROR(VLOOKUP(M325,'02. MM-KLH'!$B$6:$U$823,20,0),"")</f>
        <v>0</v>
      </c>
      <c r="J325" s="613" t="str">
        <f>IFERROR(VLOOKUP(M325,'02. MM-KLH'!$B$6:$T$823,19,0),"")</f>
        <v>CCN</v>
      </c>
      <c r="K325" s="613" t="str">
        <f>IFERROR(VLOOKUP(M325,'02. MM-KLH'!$B$6:$T$823,18,0),"")</f>
        <v>10434T</v>
      </c>
      <c r="L325" s="353">
        <f>IFERROR(VLOOKUP(M325,'02. MM-KLH'!$B$6:$T$823,4,0),"")</f>
        <v>0</v>
      </c>
      <c r="M325" s="49" t="s">
        <v>2691</v>
      </c>
      <c r="N325" s="356">
        <f>IFERROR(VLOOKUP(M325,'02. MM-KLH'!$B$6:$T$823,15,0),"")</f>
        <v>0</v>
      </c>
      <c r="O325" s="764">
        <f>IFERROR(VLOOKUP(M325,'02. MM-KLH'!$B$6:$T$823,9,0),"")</f>
        <v>0</v>
      </c>
      <c r="P325" s="353"/>
      <c r="Q325" s="353" t="s">
        <v>1755</v>
      </c>
      <c r="R325" s="353"/>
      <c r="S325" s="353"/>
      <c r="T325" s="353" t="s">
        <v>5978</v>
      </c>
      <c r="U325" s="353" t="str">
        <f>IFERROR(VLOOKUP(M325,'02. MM-KLH'!$B$6:$T$823,5,0),"")</f>
        <v>ĐQSD</v>
      </c>
      <c r="V325" s="731" t="str">
        <f>IFERROR(VLOOKUP(M325,'02. MM-KLH'!$B$6:$T$823,8,0),"")</f>
        <v>Thagricons</v>
      </c>
      <c r="W325" s="353">
        <f>IFERROR(VLOOKUP(V325,'NS QUẢN LÝ CG'!$A$4:$D$36,2,0),"")</f>
        <v>0</v>
      </c>
      <c r="X325" s="353">
        <f>IFERROR(VLOOKUP(V325,'NS QUẢN LÝ CG'!$A$4:$D$36,4,0),"")</f>
        <v>0</v>
      </c>
      <c r="Y325" s="353">
        <f>IFERROR(VLOOKUP(V325,'NS QUẢN LÝ CG'!$A$4:$C$36,3,0),"")</f>
        <v>0</v>
      </c>
      <c r="Z325" s="731" t="str">
        <f>IFERROR(VLOOKUP(M325,'02. MM-KLH'!$B$6:$T$823,3,0),"")</f>
        <v>A22-MKE-030</v>
      </c>
      <c r="AA325" s="353" t="str">
        <f>_xlfn.SWITCH(LEFT(Z325,3),"A22","ADM","A23","DP","A24","LP","")</f>
        <v>ADM</v>
      </c>
      <c r="AB325" s="731"/>
      <c r="AC325" s="731"/>
    </row>
    <row r="326" ht="13.8" spans="1:29">
      <c r="A326" s="731"/>
      <c r="B326" s="613" t="str">
        <f>IFERROR(VLOOKUP(M326,'02. MM-KLH'!$B$6:$T$823,6,0),"")</f>
        <v/>
      </c>
      <c r="C326" s="353"/>
      <c r="D326" s="353" t="str">
        <f>IFERROR(VLOOKUP(M326,'02. MM-KLH'!$B$6:$T$823,16,0),"")</f>
        <v/>
      </c>
      <c r="E326" s="353"/>
      <c r="F326" s="353"/>
      <c r="G326" s="353"/>
      <c r="H326" s="353" t="str">
        <f>IFERROR(VLOOKUP(M326,'02. MM-KLH'!$B$6:$T$823,17,0),"")</f>
        <v/>
      </c>
      <c r="I326" s="763" t="str">
        <f>IFERROR(VLOOKUP(M326,'02. MM-KLH'!$B$6:$U$823,20,0),"")</f>
        <v/>
      </c>
      <c r="J326" s="613" t="str">
        <f>IFERROR(VLOOKUP(M326,'02. MM-KLH'!$B$6:$T$823,19,0),"")</f>
        <v/>
      </c>
      <c r="K326" s="613" t="str">
        <f>IFERROR(VLOOKUP(M326,'02. MM-KLH'!$B$6:$T$823,18,0),"")</f>
        <v/>
      </c>
      <c r="L326" s="353" t="str">
        <f>IFERROR(VLOOKUP(M326,'02. MM-KLH'!$B$6:$T$823,4,0),"")</f>
        <v/>
      </c>
      <c r="M326" s="49"/>
      <c r="N326" s="356" t="str">
        <f>IFERROR(VLOOKUP(M326,'02. MM-KLH'!$B$6:$T$823,15,0),"")</f>
        <v/>
      </c>
      <c r="O326" s="764" t="str">
        <f>IFERROR(VLOOKUP(M326,'02. MM-KLH'!$B$6:$T$823,9,0),"")</f>
        <v/>
      </c>
      <c r="P326" s="353"/>
      <c r="Q326" s="353"/>
      <c r="R326" s="353"/>
      <c r="S326" s="353"/>
      <c r="T326" s="353"/>
      <c r="U326" s="353" t="str">
        <f>IFERROR(VLOOKUP(M326,'02. MM-KLH'!$B$6:$T$823,2,0),"")</f>
        <v/>
      </c>
      <c r="V326" s="731" t="str">
        <f>IFERROR(VLOOKUP(M326,'02. MM-KLH'!$B$6:$T$823,8,0),"")</f>
        <v/>
      </c>
      <c r="W326" s="353" t="str">
        <f>IFERROR(VLOOKUP(V326,'NS QUẢN LÝ CG'!$A$4:$D$36,2,0),"")</f>
        <v/>
      </c>
      <c r="X326" s="353" t="str">
        <f>IFERROR(VLOOKUP(V326,'NS QUẢN LÝ CG'!$A$4:$D$36,4,0),"")</f>
        <v/>
      </c>
      <c r="Y326" s="353"/>
      <c r="Z326" s="731" t="str">
        <f>IFERROR(VLOOKUP(M326,'02. MM-KLH'!$B$6:$T$823,3,0),"")</f>
        <v/>
      </c>
      <c r="AA326" s="353"/>
      <c r="AB326" s="731"/>
      <c r="AC326" s="731"/>
    </row>
    <row r="327" ht="13.8" hidden="1" spans="1:29">
      <c r="A327" s="731"/>
      <c r="B327" s="613" t="str">
        <f>IFERROR(VLOOKUP(M327,'02. MM-KLH'!$B$6:$T$823,6,0),"")</f>
        <v/>
      </c>
      <c r="C327" s="353"/>
      <c r="D327" s="353" t="str">
        <f>IFERROR(VLOOKUP(M327,'02. MM-KLH'!$B$6:$T$823,16,0),"")</f>
        <v/>
      </c>
      <c r="E327" s="353"/>
      <c r="F327" s="353"/>
      <c r="G327" s="353"/>
      <c r="H327" s="353" t="str">
        <f>IFERROR(VLOOKUP(M327,'02. MM-KLH'!$B$6:$T$823,17,0),"")</f>
        <v/>
      </c>
      <c r="I327" s="763" t="str">
        <f>IFERROR(VLOOKUP(M327,'02. MM-KLH'!$B$6:$U$823,20,0),"")</f>
        <v/>
      </c>
      <c r="J327" s="613" t="str">
        <f>IFERROR(VLOOKUP(M327,'02. MM-KLH'!$B$6:$T$823,19,0),"")</f>
        <v/>
      </c>
      <c r="K327" s="613" t="str">
        <f>IFERROR(VLOOKUP(M327,'02. MM-KLH'!$B$6:$T$823,18,0),"")</f>
        <v/>
      </c>
      <c r="L327" s="353" t="str">
        <f>IFERROR(VLOOKUP(M327,'02. MM-KLH'!$B$6:$T$823,4,0),"")</f>
        <v/>
      </c>
      <c r="M327" s="49"/>
      <c r="N327" s="356" t="str">
        <f>IFERROR(VLOOKUP(M327,'02. MM-KLH'!$B$6:$T$823,15,0),"")</f>
        <v/>
      </c>
      <c r="O327" s="764" t="str">
        <f>IFERROR(VLOOKUP(M327,'02. MM-KLH'!$B$6:$T$823,9,0),"")</f>
        <v/>
      </c>
      <c r="P327" s="353"/>
      <c r="Q327" s="353"/>
      <c r="R327" s="353"/>
      <c r="S327" s="353"/>
      <c r="T327" s="353"/>
      <c r="U327" s="353" t="str">
        <f>IFERROR(VLOOKUP(M327,'02. MM-KLH'!$B$6:$T$823,2,0),"")</f>
        <v/>
      </c>
      <c r="V327" s="731" t="str">
        <f>IFERROR(VLOOKUP(M327,'02. MM-KLH'!$B$6:$T$823,8,0),"")</f>
        <v/>
      </c>
      <c r="W327" s="353"/>
      <c r="X327" s="353"/>
      <c r="Y327" s="353"/>
      <c r="Z327" s="731" t="str">
        <f>IFERROR(VLOOKUP(M327,'02. MM-KLH'!$B$6:$T$823,3,0),"")</f>
        <v/>
      </c>
      <c r="AA327" s="353"/>
      <c r="AB327" s="731"/>
      <c r="AC327" s="731"/>
    </row>
    <row r="328" spans="1:29">
      <c r="A328" s="747" t="s">
        <v>3007</v>
      </c>
      <c r="B328" s="748" t="s">
        <v>5990</v>
      </c>
      <c r="C328" s="747">
        <f>SUM(C329,C335,C339,C343,C346,C350)</f>
        <v>19</v>
      </c>
      <c r="D328" s="749"/>
      <c r="E328" s="749"/>
      <c r="F328" s="749"/>
      <c r="G328" s="749"/>
      <c r="H328" s="749"/>
      <c r="I328" s="750"/>
      <c r="J328" s="751"/>
      <c r="K328" s="751"/>
      <c r="L328" s="749"/>
      <c r="M328" s="749"/>
      <c r="N328" s="749"/>
      <c r="O328" s="752"/>
      <c r="P328" s="749"/>
      <c r="Q328" s="749"/>
      <c r="R328" s="749"/>
      <c r="S328" s="749"/>
      <c r="T328" s="749"/>
      <c r="U328" s="749"/>
      <c r="V328" s="750"/>
      <c r="W328" s="749"/>
      <c r="X328" s="749"/>
      <c r="Y328" s="749"/>
      <c r="Z328" s="750"/>
      <c r="AA328" s="749"/>
      <c r="AB328" s="750"/>
      <c r="AC328" s="753"/>
    </row>
    <row r="329" ht="13.8" spans="1:29">
      <c r="A329" s="754">
        <v>1</v>
      </c>
      <c r="B329" s="755" t="s">
        <v>964</v>
      </c>
      <c r="C329" s="754">
        <f>COUNTA(B330:B334)</f>
        <v>5</v>
      </c>
      <c r="D329" s="756"/>
      <c r="E329" s="756"/>
      <c r="F329" s="756"/>
      <c r="G329" s="756"/>
      <c r="H329" s="762"/>
      <c r="I329" s="762"/>
      <c r="J329" s="758"/>
      <c r="K329" s="758"/>
      <c r="L329" s="756"/>
      <c r="M329" s="756"/>
      <c r="N329" s="756"/>
      <c r="O329" s="760"/>
      <c r="P329" s="756"/>
      <c r="Q329" s="756"/>
      <c r="R329" s="756"/>
      <c r="S329" s="756"/>
      <c r="T329" s="756"/>
      <c r="U329" s="756"/>
      <c r="V329" s="762"/>
      <c r="W329" s="756"/>
      <c r="X329" s="756"/>
      <c r="Y329" s="756"/>
      <c r="Z329" s="762"/>
      <c r="AA329" s="756"/>
      <c r="AB329" s="762"/>
      <c r="AC329" s="762"/>
    </row>
    <row r="330" ht="13.8" spans="1:29">
      <c r="A330" s="731"/>
      <c r="B330" s="613" t="str">
        <f>IFERROR(VLOOKUP(M330,'02. MM-KLH'!$B$6:$T$823,6,0),"")</f>
        <v>Máy cày bánh xích YANMAR</v>
      </c>
      <c r="C330" s="353">
        <v>1</v>
      </c>
      <c r="D330" s="353" t="str">
        <f>IFERROR(VLOOKUP(M330,'02. MM-KLH'!$B$6:$T$823,16,0),"")</f>
        <v>CT95</v>
      </c>
      <c r="E330" s="353" t="s">
        <v>5978</v>
      </c>
      <c r="F330" s="353"/>
      <c r="G330" s="353"/>
      <c r="H330" s="353" t="str">
        <f>IFERROR(VLOOKUP(M330,'02. MM-KLH'!$B$6:$T$823,17,0),"")</f>
        <v>95HP</v>
      </c>
      <c r="I330" s="763">
        <f>IFERROR(VLOOKUP(M330,'02. MM-KLH'!$B$6:$U$823,20,0),"")</f>
        <v>0</v>
      </c>
      <c r="J330" s="613" t="str">
        <f>IFERROR(VLOOKUP(M330,'02. MM-KLH'!$B$6:$T$823,19,0),"")</f>
        <v>CCN</v>
      </c>
      <c r="K330" s="613">
        <f>IFERROR(VLOOKUP(M330,'02. MM-KLH'!$B$6:$T$823,18,0),"")</f>
        <v>50478</v>
      </c>
      <c r="L330" s="353">
        <f>IFERROR(VLOOKUP(M330,'02. MM-KLH'!$B$6:$T$823,4,0),"")</f>
        <v>0</v>
      </c>
      <c r="M330" s="49" t="s">
        <v>1866</v>
      </c>
      <c r="N330" s="356">
        <f>IFERROR(VLOOKUP(M330,'02. MM-KLH'!$B$6:$T$823,15,0),"")</f>
        <v>0</v>
      </c>
      <c r="O330" s="764" t="str">
        <f>IFERROR(VLOOKUP(M330,'02. MM-KLH'!$B$6:$T$823,9,0),"")</f>
        <v>22/07/2024</v>
      </c>
      <c r="P330" s="353"/>
      <c r="Q330" s="353" t="s">
        <v>1755</v>
      </c>
      <c r="R330" s="353" t="s">
        <v>5978</v>
      </c>
      <c r="S330" s="353"/>
      <c r="T330" s="353"/>
      <c r="U330" s="353" t="str">
        <f>IFERROR(VLOOKUP(M330,'02. MM-KLH'!$B$6:$T$823,5,0),"")</f>
        <v>MỚI (ĐQSD)</v>
      </c>
      <c r="V330" s="731" t="str">
        <f>IFERROR(VLOOKUP(M330,'02. MM-KLH'!$B$6:$T$823,8,0),"")</f>
        <v>XN Bò AD</v>
      </c>
      <c r="W330" s="353" t="str">
        <f>IFERROR(VLOOKUP(V330,'NS QUẢN LÝ CG'!$A$4:$D$36,2,0),"")</f>
        <v/>
      </c>
      <c r="X330" s="353" t="str">
        <f>IFERROR(VLOOKUP(V330,'NS QUẢN LÝ CG'!$A$4:$D$36,4,0),"")</f>
        <v/>
      </c>
      <c r="Y330" s="353" t="str">
        <f>IFERROR(VLOOKUP(V330,'NS QUẢN LÝ CG'!$A$4:$C$36,3,0),"")</f>
        <v/>
      </c>
      <c r="Z330" s="731" t="str">
        <f>IFERROR(VLOOKUP(M330,'02. MM-KLH'!$B$6:$T$823,3,0),"")</f>
        <v>ATM-A22-0129</v>
      </c>
      <c r="AA330" s="353" t="s">
        <v>5980</v>
      </c>
      <c r="AB330" s="731"/>
      <c r="AC330" s="731"/>
    </row>
    <row r="331" ht="13.8" spans="1:29">
      <c r="A331" s="731"/>
      <c r="B331" s="613" t="str">
        <f>IFERROR(VLOOKUP(M331,'02. MM-KLH'!$B$6:$T$823,6,0),"")</f>
        <v>Máy kéo bánh xích CT652</v>
      </c>
      <c r="C331" s="353">
        <v>1</v>
      </c>
      <c r="D331" s="353" t="str">
        <f>IFERROR(VLOOKUP(M331,'02. MM-KLH'!$B$6:$T$823,16,0),"")</f>
        <v>CT652</v>
      </c>
      <c r="E331" s="353" t="s">
        <v>5978</v>
      </c>
      <c r="F331" s="353"/>
      <c r="G331" s="353"/>
      <c r="H331" s="353" t="str">
        <f>IFERROR(VLOOKUP(M331,'02. MM-KLH'!$B$6:$T$823,17,0),"")</f>
        <v>65HP</v>
      </c>
      <c r="I331" s="763">
        <f>IFERROR(VLOOKUP(M331,'02. MM-KLH'!$B$6:$U$823,20,0),"")</f>
        <v>0</v>
      </c>
      <c r="J331" s="613" t="str">
        <f>IFERROR(VLOOKUP(M331,'02. MM-KLH'!$B$6:$T$823,19,0),"")</f>
        <v>R2091</v>
      </c>
      <c r="K331" s="613">
        <f>IFERROR(VLOOKUP(M331,'02. MM-KLH'!$B$6:$T$823,18,0),"")</f>
        <v>50349</v>
      </c>
      <c r="L331" s="353">
        <f>IFERROR(VLOOKUP(M331,'02. MM-KLH'!$B$6:$T$823,4,0),"")</f>
        <v>0</v>
      </c>
      <c r="M331" s="49" t="s">
        <v>1817</v>
      </c>
      <c r="N331" s="356">
        <f>IFERROR(VLOOKUP(M331,'02. MM-KLH'!$B$6:$T$823,15,0),"")</f>
        <v>0</v>
      </c>
      <c r="O331" s="764" t="str">
        <f>IFERROR(VLOOKUP(M331,'02. MM-KLH'!$B$6:$T$823,9,0),"")</f>
        <v>29/05/2026</v>
      </c>
      <c r="P331" s="353"/>
      <c r="Q331" s="353" t="s">
        <v>1755</v>
      </c>
      <c r="R331" s="353" t="s">
        <v>5978</v>
      </c>
      <c r="S331" s="353"/>
      <c r="T331" s="353"/>
      <c r="U331" s="353" t="str">
        <f>IFERROR(VLOOKUP(M331,'02. MM-KLH'!$B$6:$T$823,5,0),"")</f>
        <v>MỚI (ĐQSD)</v>
      </c>
      <c r="V331" s="731" t="str">
        <f>IFERROR(VLOOKUP(M331,'02. MM-KLH'!$B$6:$T$823,8,0),"")</f>
        <v>XOÀI AD</v>
      </c>
      <c r="W331" s="353" t="str">
        <f>IFERROR(VLOOKUP(V331,'NS QUẢN LÝ CG'!$A$4:$D$36,2,0),"")</f>
        <v/>
      </c>
      <c r="X331" s="353" t="str">
        <f>IFERROR(VLOOKUP(V331,'NS QUẢN LÝ CG'!$A$4:$D$36,4,0),"")</f>
        <v/>
      </c>
      <c r="Y331" s="353" t="str">
        <f>IFERROR(VLOOKUP(V331,'NS QUẢN LÝ CG'!$A$4:$C$36,3,0),"")</f>
        <v/>
      </c>
      <c r="Z331" s="731" t="str">
        <f>IFERROR(VLOOKUP(M331,'02. MM-KLH'!$B$6:$T$823,3,0),"")</f>
        <v>A22-MKX-007</v>
      </c>
      <c r="AA331" s="353" t="str">
        <f t="shared" ref="AA331:AA333" si="22">_xlfn.SWITCH(LEFT(Z331,3),"A22","ADM","A23","DP","A24","LP","")</f>
        <v>ADM</v>
      </c>
      <c r="AB331" s="731"/>
      <c r="AC331" s="731"/>
    </row>
    <row r="332" ht="13.8" spans="1:29">
      <c r="A332" s="731"/>
      <c r="B332" s="613" t="str">
        <f>IFERROR(VLOOKUP(M332,'02. MM-KLH'!$B$6:$T$823,6,0),"")</f>
        <v>Máy cày bánh xích CT55</v>
      </c>
      <c r="C332" s="353">
        <v>1</v>
      </c>
      <c r="D332" s="353" t="str">
        <f>IFERROR(VLOOKUP(M332,'02. MM-KLH'!$B$6:$T$823,16,0),"")</f>
        <v>CT55</v>
      </c>
      <c r="E332" s="353" t="s">
        <v>5978</v>
      </c>
      <c r="F332" s="353"/>
      <c r="G332" s="353"/>
      <c r="H332" s="353" t="str">
        <f>IFERROR(VLOOKUP(M332,'02. MM-KLH'!$B$6:$T$823,17,0),"")</f>
        <v>55HP</v>
      </c>
      <c r="I332" s="763">
        <f>IFERROR(VLOOKUP(M332,'02. MM-KLH'!$B$6:$U$823,20,0),"")</f>
        <v>0</v>
      </c>
      <c r="J332" s="613">
        <f>IFERROR(VLOOKUP(M332,'02. MM-KLH'!$B$6:$T$823,19,0),"")</f>
        <v>8391</v>
      </c>
      <c r="K332" s="613">
        <f>IFERROR(VLOOKUP(M332,'02. MM-KLH'!$B$6:$T$823,18,0),"")</f>
        <v>1174</v>
      </c>
      <c r="L332" s="353">
        <f>IFERROR(VLOOKUP(M332,'02. MM-KLH'!$B$6:$T$823,4,0),"")</f>
        <v>0</v>
      </c>
      <c r="M332" s="49" t="s">
        <v>2054</v>
      </c>
      <c r="N332" s="356">
        <f>IFERROR(VLOOKUP(M332,'02. MM-KLH'!$B$6:$T$823,15,0),"")</f>
        <v>0</v>
      </c>
      <c r="O332" s="764" t="str">
        <f>IFERROR(VLOOKUP(M332,'02. MM-KLH'!$B$6:$T$823,9,0),"")</f>
        <v>23/01/2026</v>
      </c>
      <c r="P332" s="353"/>
      <c r="Q332" s="353" t="s">
        <v>1755</v>
      </c>
      <c r="R332" s="353"/>
      <c r="S332" s="353" t="s">
        <v>5978</v>
      </c>
      <c r="T332" s="353"/>
      <c r="U332" s="353" t="str">
        <f>IFERROR(VLOOKUP(M332,'02. MM-KLH'!$B$6:$T$823,5,0),"")</f>
        <v>MỚI (ĐQSD)</v>
      </c>
      <c r="V332" s="731" t="str">
        <f>IFERROR(VLOOKUP(M332,'02. MM-KLH'!$B$6:$T$823,8,0),"")</f>
        <v>XN Bò AD</v>
      </c>
      <c r="W332" s="353" t="str">
        <f>IFERROR(VLOOKUP(V332,'NS QUẢN LÝ CG'!$A$4:$D$36,2,0),"")</f>
        <v/>
      </c>
      <c r="X332" s="353" t="str">
        <f>IFERROR(VLOOKUP(V332,'NS QUẢN LÝ CG'!$A$4:$D$36,4,0),"")</f>
        <v/>
      </c>
      <c r="Y332" s="353" t="str">
        <f>IFERROR(VLOOKUP(V332,'NS QUẢN LÝ CG'!$A$4:$C$36,3,0),"")</f>
        <v/>
      </c>
      <c r="Z332" s="731" t="str">
        <f>IFERROR(VLOOKUP(M332,'02. MM-KLH'!$B$6:$T$823,3,0),"")</f>
        <v>A22-MKX-005</v>
      </c>
      <c r="AA332" s="353" t="str">
        <f t="shared" si="22"/>
        <v>ADM</v>
      </c>
      <c r="AB332" s="731"/>
      <c r="AC332" s="731"/>
    </row>
    <row r="333" ht="13.8" spans="1:29">
      <c r="A333" s="731"/>
      <c r="B333" s="613" t="str">
        <f>IFERROR(VLOOKUP(M333,'02. MM-KLH'!$B$6:$T$823,6,0),"")</f>
        <v>Máy cày bánh xích CT65</v>
      </c>
      <c r="C333" s="353">
        <v>1</v>
      </c>
      <c r="D333" s="353" t="str">
        <f>IFERROR(VLOOKUP(M333,'02. MM-KLH'!$B$6:$T$823,16,0),"")</f>
        <v>CT65</v>
      </c>
      <c r="E333" s="353" t="s">
        <v>5978</v>
      </c>
      <c r="F333" s="353"/>
      <c r="G333" s="353"/>
      <c r="H333" s="353" t="str">
        <f>IFERROR(VLOOKUP(M333,'02. MM-KLH'!$B$6:$T$823,17,0),"")</f>
        <v>65HP</v>
      </c>
      <c r="I333" s="763">
        <f>IFERROR(VLOOKUP(M333,'02. MM-KLH'!$B$6:$U$823,20,0),"")</f>
        <v>0</v>
      </c>
      <c r="J333" s="613">
        <f>IFERROR(VLOOKUP(M333,'02. MM-KLH'!$B$6:$T$823,19,0),"")</f>
        <v>2463</v>
      </c>
      <c r="K333" s="613">
        <f>IFERROR(VLOOKUP(M333,'02. MM-KLH'!$B$6:$T$823,18,0),"")</f>
        <v>10139</v>
      </c>
      <c r="L333" s="353">
        <f>IFERROR(VLOOKUP(M333,'02. MM-KLH'!$B$6:$T$823,4,0),"")</f>
        <v>0</v>
      </c>
      <c r="M333" s="49" t="s">
        <v>959</v>
      </c>
      <c r="N333" s="356">
        <f>IFERROR(VLOOKUP(M333,'02. MM-KLH'!$B$6:$T$823,15,0),"")</f>
        <v>0</v>
      </c>
      <c r="O333" s="764" t="str">
        <f>IFERROR(VLOOKUP(M333,'02. MM-KLH'!$B$6:$T$823,9,0),"")</f>
        <v>19/01/2026</v>
      </c>
      <c r="Q333" s="353">
        <v>8804</v>
      </c>
      <c r="R333" s="353" t="s">
        <v>5978</v>
      </c>
      <c r="S333" s="353"/>
      <c r="T333" s="353"/>
      <c r="U333" s="353" t="str">
        <f>IFERROR(VLOOKUP(M333,'02. MM-KLH'!$B$6:$T$823,5,0),"")</f>
        <v>MỚI (ĐQSD)</v>
      </c>
      <c r="V333" s="731" t="str">
        <f>IFERROR(VLOOKUP(M333,'02. MM-KLH'!$B$6:$T$823,8,0),"")</f>
        <v>CGLĐ DP</v>
      </c>
      <c r="W333" s="353" t="str">
        <f>IFERROR(VLOOKUP(V333,'NS QUẢN LÝ CG'!$A$4:$D$36,2,0),"")</f>
        <v>Nguyễn Tấn Triều</v>
      </c>
      <c r="X333" s="353" t="str">
        <f>IFERROR(VLOOKUP(V333,'NS QUẢN LÝ CG'!$A$4:$D$36,4,0),"")</f>
        <v>Lô 85 DP4</v>
      </c>
      <c r="Y333" s="1104" t="str">
        <f>IFERROR(VLOOKUP(V333,'NS QUẢN LÝ CG'!$A$4:$C$36,3,0),"")</f>
        <v>05974160290</v>
      </c>
      <c r="Z333" s="731" t="str">
        <f>IFERROR(VLOOKUP(M333,'02. MM-KLH'!$B$6:$T$823,3,0),"")</f>
        <v>A22-MKX-006</v>
      </c>
      <c r="AA333" s="353" t="str">
        <f t="shared" si="22"/>
        <v>ADM</v>
      </c>
      <c r="AB333" s="731"/>
      <c r="AC333" s="731"/>
    </row>
    <row r="334" ht="13.8" spans="1:29">
      <c r="A334" s="731"/>
      <c r="B334" s="613" t="str">
        <f>IFERROR(VLOOKUP(M334,'02. MM-KLH'!$B$6:$T$823,6,0),"")</f>
        <v/>
      </c>
      <c r="C334" s="353"/>
      <c r="D334" s="353" t="str">
        <f>IFERROR(VLOOKUP(M334,'02. MM-KLH'!$B$6:$T$823,16,0),"")</f>
        <v/>
      </c>
      <c r="E334" s="353"/>
      <c r="F334" s="353"/>
      <c r="G334" s="353"/>
      <c r="H334" s="353" t="str">
        <f>IFERROR(VLOOKUP(M334,'02. MM-KLH'!$B$6:$T$823,17,0),"")</f>
        <v/>
      </c>
      <c r="I334" s="763" t="str">
        <f>IFERROR(VLOOKUP(M334,'02. MM-KLH'!$B$6:$U$823,20,0),"")</f>
        <v/>
      </c>
      <c r="J334" s="613" t="str">
        <f>IFERROR(VLOOKUP(M334,'02. MM-KLH'!$B$6:$T$823,19,0),"")</f>
        <v/>
      </c>
      <c r="K334" s="613" t="str">
        <f>IFERROR(VLOOKUP(M334,'02. MM-KLH'!$B$6:$T$823,18,0),"")</f>
        <v/>
      </c>
      <c r="L334" s="353" t="str">
        <f>IFERROR(VLOOKUP(M334,'02. MM-KLH'!$B$6:$T$823,4,0),"")</f>
        <v/>
      </c>
      <c r="M334" s="49"/>
      <c r="N334" s="356" t="str">
        <f>IFERROR(VLOOKUP(M334,'02. MM-KLH'!$B$6:$T$823,15,0),"")</f>
        <v/>
      </c>
      <c r="O334" s="764" t="str">
        <f>IFERROR(VLOOKUP(M334,'02. MM-KLH'!$B$6:$T$823,9,0),"")</f>
        <v/>
      </c>
      <c r="P334" s="353"/>
      <c r="Q334" s="353"/>
      <c r="R334" s="353"/>
      <c r="S334" s="353"/>
      <c r="T334" s="353"/>
      <c r="U334" s="353" t="str">
        <f>IFERROR(VLOOKUP(M334,'02. MM-KLH'!$B$6:$T$823,2,0),"")</f>
        <v/>
      </c>
      <c r="V334" s="731" t="str">
        <f>IFERROR(VLOOKUP(M334,'02. MM-KLH'!$B$6:$T$823,8,0),"")</f>
        <v/>
      </c>
      <c r="W334" s="353" t="str">
        <f>IFERROR(VLOOKUP(V334,'NS QUẢN LÝ CG'!$A$4:$D$36,2,0),"")</f>
        <v/>
      </c>
      <c r="X334" s="353" t="str">
        <f>IFERROR(VLOOKUP(V334,'NS QUẢN LÝ CG'!$A$4:$D$36,4,0),"")</f>
        <v/>
      </c>
      <c r="Y334" s="353"/>
      <c r="Z334" s="731" t="str">
        <f>IFERROR(VLOOKUP(M334,'02. MM-KLH'!$B$6:$T$823,3,0),"")</f>
        <v/>
      </c>
      <c r="AA334" s="353"/>
      <c r="AB334" s="731"/>
      <c r="AC334" s="731"/>
    </row>
    <row r="335" ht="13.8" spans="1:29">
      <c r="A335" s="754">
        <v>2</v>
      </c>
      <c r="B335" s="755" t="s">
        <v>1222</v>
      </c>
      <c r="C335" s="754">
        <f>COUNTA(B336:B338)</f>
        <v>3</v>
      </c>
      <c r="D335" s="756"/>
      <c r="E335" s="756"/>
      <c r="F335" s="756"/>
      <c r="G335" s="756"/>
      <c r="H335" s="762"/>
      <c r="I335" s="762"/>
      <c r="J335" s="758"/>
      <c r="K335" s="758"/>
      <c r="L335" s="756"/>
      <c r="M335" s="756"/>
      <c r="N335" s="756"/>
      <c r="O335" s="760"/>
      <c r="P335" s="756"/>
      <c r="Q335" s="756"/>
      <c r="R335" s="756"/>
      <c r="S335" s="756"/>
      <c r="T335" s="756"/>
      <c r="U335" s="756"/>
      <c r="V335" s="762"/>
      <c r="W335" s="756"/>
      <c r="X335" s="756"/>
      <c r="Y335" s="756"/>
      <c r="Z335" s="762"/>
      <c r="AA335" s="756"/>
      <c r="AB335" s="762"/>
      <c r="AC335" s="762"/>
    </row>
    <row r="336" ht="13.8" spans="1:29">
      <c r="A336" s="731"/>
      <c r="B336" s="613" t="str">
        <f>IFERROR(VLOOKUP(M336,'02. MM-KLH'!$B$6:$T$823,6,0),"")</f>
        <v>Máy cày bánh xích ISEKI</v>
      </c>
      <c r="C336" s="353">
        <v>1</v>
      </c>
      <c r="D336" s="353" t="str">
        <f>IFERROR(VLOOKUP(M336,'02. MM-KLH'!$B$6:$T$823,16,0),"")</f>
        <v>TA-C120</v>
      </c>
      <c r="E336" s="353" t="s">
        <v>5978</v>
      </c>
      <c r="F336" s="353"/>
      <c r="G336" s="353"/>
      <c r="H336" s="353" t="str">
        <f>IFERROR(VLOOKUP(M336,'02. MM-KLH'!$B$6:$T$823,17,0),"")</f>
        <v>120HP</v>
      </c>
      <c r="I336" s="763">
        <f>IFERROR(VLOOKUP(M336,'02. MM-KLH'!$B$6:$U$823,20,0),"")</f>
        <v>0</v>
      </c>
      <c r="J336" s="613" t="str">
        <f>IFERROR(VLOOKUP(M336,'02. MM-KLH'!$B$6:$T$823,19,0),"")</f>
        <v>S6S025912</v>
      </c>
      <c r="K336" s="613" t="str">
        <f>IFERROR(VLOOKUP(M336,'02. MM-KLH'!$B$6:$T$823,18,0),"")</f>
        <v>K12A/10050</v>
      </c>
      <c r="L336" s="353">
        <f>IFERROR(VLOOKUP(M336,'02. MM-KLH'!$B$6:$T$823,4,0),"")</f>
        <v>0</v>
      </c>
      <c r="M336" s="49" t="s">
        <v>1858</v>
      </c>
      <c r="N336" s="356">
        <f>IFERROR(VLOOKUP(M336,'02. MM-KLH'!$B$6:$T$823,15,0),"")</f>
        <v>0</v>
      </c>
      <c r="O336" s="764">
        <f>IFERROR(VLOOKUP(M336,'02. MM-KLH'!$B$6:$T$823,9,0),"")</f>
        <v>45385</v>
      </c>
      <c r="P336" s="353"/>
      <c r="Q336" s="353" t="s">
        <v>1755</v>
      </c>
      <c r="R336" s="353"/>
      <c r="S336" s="353" t="s">
        <v>5978</v>
      </c>
      <c r="T336" s="353"/>
      <c r="U336" s="353" t="str">
        <f>IFERROR(VLOOKUP(M336,'02. MM-KLH'!$B$6:$T$823,5,0),"")</f>
        <v>MỚI (ĐQSD)</v>
      </c>
      <c r="V336" s="731" t="str">
        <f>IFERROR(VLOOKUP(M336,'02. MM-KLH'!$B$6:$T$823,8,0),"")</f>
        <v>XN Bò AD</v>
      </c>
      <c r="W336" s="353" t="str">
        <f>IFERROR(VLOOKUP(V336,'NS QUẢN LÝ CG'!$A$4:$D$36,2,0),"")</f>
        <v/>
      </c>
      <c r="X336" s="353" t="str">
        <f>IFERROR(VLOOKUP(V336,'NS QUẢN LÝ CG'!$A$4:$D$36,4,0),"")</f>
        <v/>
      </c>
      <c r="Y336" s="353" t="str">
        <f>IFERROR(VLOOKUP(V336,'NS QUẢN LÝ CG'!$A$4:$C$36,3,0),"")</f>
        <v/>
      </c>
      <c r="Z336" s="731" t="str">
        <f>IFERROR(VLOOKUP(M336,'02. MM-KLH'!$B$6:$T$823,3,0),"")</f>
        <v>ATM-A22-0126</v>
      </c>
      <c r="AA336" s="353" t="s">
        <v>5980</v>
      </c>
      <c r="AB336" s="731"/>
      <c r="AC336" s="731"/>
    </row>
    <row r="337" ht="13.8" spans="1:29">
      <c r="A337" s="731"/>
      <c r="B337" s="613" t="str">
        <f>IFERROR(VLOOKUP(M337,'02. MM-KLH'!$B$6:$T$823,6,0),"")</f>
        <v/>
      </c>
      <c r="C337" s="353"/>
      <c r="D337" s="353" t="str">
        <f>IFERROR(VLOOKUP(M337,'02. MM-KLH'!$B$6:$T$823,16,0),"")</f>
        <v/>
      </c>
      <c r="E337" s="353"/>
      <c r="F337" s="353"/>
      <c r="G337" s="353"/>
      <c r="H337" s="353" t="str">
        <f>IFERROR(VLOOKUP(M337,'02. MM-KLH'!$B$6:$T$823,17,0),"")</f>
        <v/>
      </c>
      <c r="I337" s="763" t="str">
        <f>IFERROR(VLOOKUP(M337,'02. MM-KLH'!$B$6:$U$823,20,0),"")</f>
        <v/>
      </c>
      <c r="J337" s="613" t="str">
        <f>IFERROR(VLOOKUP(M337,'02. MM-KLH'!$B$6:$T$823,19,0),"")</f>
        <v/>
      </c>
      <c r="K337" s="613" t="str">
        <f>IFERROR(VLOOKUP(M337,'02. MM-KLH'!$B$6:$T$823,18,0),"")</f>
        <v/>
      </c>
      <c r="L337" s="353" t="str">
        <f>IFERROR(VLOOKUP(M337,'02. MM-KLH'!$B$6:$T$823,4,0),"")</f>
        <v/>
      </c>
      <c r="M337" s="49"/>
      <c r="N337" s="356" t="str">
        <f>IFERROR(VLOOKUP(M337,'02. MM-KLH'!$B$6:$T$823,15,0),"")</f>
        <v/>
      </c>
      <c r="O337" s="764" t="str">
        <f>IFERROR(VLOOKUP(M337,'02. MM-KLH'!$B$6:$T$823,9,0),"")</f>
        <v/>
      </c>
      <c r="P337" s="353"/>
      <c r="Q337" s="353"/>
      <c r="R337" s="353"/>
      <c r="S337" s="353"/>
      <c r="T337" s="353"/>
      <c r="U337" s="353" t="str">
        <f>IFERROR(VLOOKUP(M337,'02. MM-KLH'!$B$6:$T$823,2,0),"")</f>
        <v/>
      </c>
      <c r="V337" s="731" t="str">
        <f>IFERROR(VLOOKUP(M337,'02. MM-KLH'!$B$6:$T$823,8,0),"")</f>
        <v/>
      </c>
      <c r="W337" s="353" t="str">
        <f>IFERROR(VLOOKUP(V337,'NS QUẢN LÝ CG'!$A$4:$D$36,2,0),"")</f>
        <v/>
      </c>
      <c r="X337" s="353" t="str">
        <f>IFERROR(VLOOKUP(V337,'NS QUẢN LÝ CG'!$A$4:$D$36,4,0),"")</f>
        <v/>
      </c>
      <c r="Y337" s="353"/>
      <c r="Z337" s="731" t="str">
        <f>IFERROR(VLOOKUP(M337,'02. MM-KLH'!$B$6:$T$823,3,0),"")</f>
        <v/>
      </c>
      <c r="AA337" s="353"/>
      <c r="AB337" s="731"/>
      <c r="AC337" s="731"/>
    </row>
    <row r="338" ht="13.8" hidden="1" spans="1:29">
      <c r="A338" s="731"/>
      <c r="B338" s="613" t="str">
        <f>IFERROR(VLOOKUP(M338,'02. MM-KLH'!$B$6:$T$823,6,0),"")</f>
        <v/>
      </c>
      <c r="C338" s="353"/>
      <c r="D338" s="353" t="str">
        <f>IFERROR(VLOOKUP(M338,'02. MM-KLH'!$B$6:$T$823,16,0),"")</f>
        <v/>
      </c>
      <c r="E338" s="353"/>
      <c r="F338" s="353"/>
      <c r="G338" s="353"/>
      <c r="H338" s="353" t="str">
        <f>IFERROR(VLOOKUP(M338,'02. MM-KLH'!$B$6:$T$823,17,0),"")</f>
        <v/>
      </c>
      <c r="I338" s="763" t="str">
        <f>IFERROR(VLOOKUP(M338,'02. MM-KLH'!$B$6:$U$823,20,0),"")</f>
        <v/>
      </c>
      <c r="J338" s="613" t="str">
        <f>IFERROR(VLOOKUP(M338,'02. MM-KLH'!$B$6:$T$823,19,0),"")</f>
        <v/>
      </c>
      <c r="K338" s="613" t="str">
        <f>IFERROR(VLOOKUP(M338,'02. MM-KLH'!$B$6:$T$823,18,0),"")</f>
        <v/>
      </c>
      <c r="L338" s="353" t="str">
        <f>IFERROR(VLOOKUP(M338,'02. MM-KLH'!$B$6:$T$823,4,0),"")</f>
        <v/>
      </c>
      <c r="M338" s="49"/>
      <c r="N338" s="356" t="str">
        <f>IFERROR(VLOOKUP(M338,'02. MM-KLH'!$B$6:$T$823,15,0),"")</f>
        <v/>
      </c>
      <c r="O338" s="764" t="str">
        <f>IFERROR(VLOOKUP(M338,'02. MM-KLH'!$B$6:$T$823,9,0),"")</f>
        <v/>
      </c>
      <c r="P338" s="353"/>
      <c r="Q338" s="353"/>
      <c r="R338" s="353"/>
      <c r="S338" s="353"/>
      <c r="T338" s="353"/>
      <c r="U338" s="353" t="str">
        <f>IFERROR(VLOOKUP(M338,'02. MM-KLH'!$B$6:$T$823,2,0),"")</f>
        <v/>
      </c>
      <c r="V338" s="731" t="str">
        <f>IFERROR(VLOOKUP(M338,'02. MM-KLH'!$B$6:$T$823,8,0),"")</f>
        <v/>
      </c>
      <c r="W338" s="353"/>
      <c r="X338" s="353"/>
      <c r="Y338" s="353"/>
      <c r="Z338" s="731" t="str">
        <f>IFERROR(VLOOKUP(M338,'02. MM-KLH'!$B$6:$T$823,3,0),"")</f>
        <v/>
      </c>
      <c r="AA338" s="353"/>
      <c r="AB338" s="731"/>
      <c r="AC338" s="731"/>
    </row>
    <row r="339" ht="13.8" spans="1:29">
      <c r="A339" s="754">
        <v>3</v>
      </c>
      <c r="B339" s="755" t="s">
        <v>1015</v>
      </c>
      <c r="C339" s="754">
        <f>COUNTA(B340:B342)</f>
        <v>3</v>
      </c>
      <c r="D339" s="756"/>
      <c r="E339" s="756"/>
      <c r="F339" s="756"/>
      <c r="G339" s="756"/>
      <c r="H339" s="762"/>
      <c r="I339" s="762"/>
      <c r="J339" s="758"/>
      <c r="K339" s="758"/>
      <c r="L339" s="756"/>
      <c r="M339" s="756"/>
      <c r="N339" s="756"/>
      <c r="O339" s="760"/>
      <c r="P339" s="756"/>
      <c r="Q339" s="756"/>
      <c r="R339" s="756"/>
      <c r="S339" s="756"/>
      <c r="T339" s="756"/>
      <c r="U339" s="756"/>
      <c r="V339" s="762"/>
      <c r="W339" s="756"/>
      <c r="X339" s="756"/>
      <c r="Y339" s="756"/>
      <c r="Z339" s="762"/>
      <c r="AA339" s="756"/>
      <c r="AB339" s="762"/>
      <c r="AC339" s="762"/>
    </row>
    <row r="340" ht="13.8" spans="1:29">
      <c r="A340" s="731"/>
      <c r="B340" s="613" t="str">
        <f>IFERROR(VLOOKUP(M340,'02. MM-KLH'!$B$6:$T$823,6,0),"")</f>
        <v>Máy cày bánh xích LOVOL</v>
      </c>
      <c r="C340" s="353">
        <v>1</v>
      </c>
      <c r="D340" s="353" t="str">
        <f>IFERROR(VLOOKUP(M340,'02. MM-KLH'!$B$6:$T$823,16,0),"")</f>
        <v>1GZL-230X</v>
      </c>
      <c r="E340" s="353" t="s">
        <v>5978</v>
      </c>
      <c r="F340" s="353"/>
      <c r="G340" s="353"/>
      <c r="H340" s="353" t="str">
        <f>IFERROR(VLOOKUP(M340,'02. MM-KLH'!$B$6:$T$823,17,0),"")</f>
        <v>102HP</v>
      </c>
      <c r="I340" s="763">
        <f>IFERROR(VLOOKUP(M340,'02. MM-KLH'!$B$6:$U$823,20,0),"")</f>
        <v>0</v>
      </c>
      <c r="J340" s="613" t="str">
        <f>IFERROR(VLOOKUP(M340,'02. MM-KLH'!$B$6:$T$823,19,0),"")</f>
        <v>Q250577684G</v>
      </c>
      <c r="K340" s="613" t="str">
        <f>IFERROR(VLOOKUP(M340,'02. MM-KLH'!$B$6:$T$823,18,0),"")</f>
        <v>FTHRXX23CSN000034</v>
      </c>
      <c r="L340" s="353">
        <f>IFERROR(VLOOKUP(M340,'02. MM-KLH'!$B$6:$T$823,4,0),"")</f>
        <v>0</v>
      </c>
      <c r="M340" s="49" t="s">
        <v>2027</v>
      </c>
      <c r="N340" s="356">
        <f>IFERROR(VLOOKUP(M340,'02. MM-KLH'!$B$6:$T$823,15,0),"")</f>
        <v>2025</v>
      </c>
      <c r="O340" s="764" t="str">
        <f>IFERROR(VLOOKUP(M340,'02. MM-KLH'!$B$6:$T$823,9,0),"")</f>
        <v>25/08/2025</v>
      </c>
      <c r="P340" s="353"/>
      <c r="Q340" s="353" t="s">
        <v>1755</v>
      </c>
      <c r="R340" s="353"/>
      <c r="S340" s="353" t="s">
        <v>5978</v>
      </c>
      <c r="T340" s="353"/>
      <c r="U340" s="353" t="str">
        <f>IFERROR(VLOOKUP(M340,'02. MM-KLH'!$B$6:$T$823,5,0),"")</f>
        <v>MỚI</v>
      </c>
      <c r="V340" s="731" t="str">
        <f>IFERROR(VLOOKUP(M340,'02. MM-KLH'!$B$6:$T$823,8,0),"")</f>
        <v>XN Bò AD</v>
      </c>
      <c r="W340" s="353" t="str">
        <f>IFERROR(VLOOKUP(V340,'NS QUẢN LÝ CG'!$A$4:$D$36,2,0),"")</f>
        <v/>
      </c>
      <c r="X340" s="353" t="str">
        <f>IFERROR(VLOOKUP(V340,'NS QUẢN LÝ CG'!$A$4:$D$36,4,0),"")</f>
        <v/>
      </c>
      <c r="Y340" s="353" t="str">
        <f>IFERROR(VLOOKUP(V340,'NS QUẢN LÝ CG'!$A$4:$C$36,3,0),"")</f>
        <v/>
      </c>
      <c r="Z340" s="731" t="str">
        <f>IFERROR(VLOOKUP(M340,'02. MM-KLH'!$B$6:$T$823,3,0),"")</f>
        <v>A23-MKX-001</v>
      </c>
      <c r="AA340" s="353" t="str">
        <f t="shared" ref="AA340:AA341" si="23">_xlfn.SWITCH(LEFT(Z340,3),"A22","ADM","A23","DP","A24","LP","")</f>
        <v>DP</v>
      </c>
      <c r="AB340" s="731"/>
      <c r="AC340" s="731"/>
    </row>
    <row r="341" ht="13.8" spans="1:29">
      <c r="A341" s="731"/>
      <c r="B341" s="613" t="str">
        <f>IFERROR(VLOOKUP(M341,'02. MM-KLH'!$B$6:$T$823,6,0),"")</f>
        <v>Máy cày bánh xích LOVOL TB1002C</v>
      </c>
      <c r="C341" s="353">
        <v>1</v>
      </c>
      <c r="D341" s="353" t="str">
        <f>IFERROR(VLOOKUP(M341,'02. MM-KLH'!$B$6:$T$823,16,0),"")</f>
        <v>TB1002-C</v>
      </c>
      <c r="E341" s="353" t="s">
        <v>5978</v>
      </c>
      <c r="F341" s="353"/>
      <c r="G341" s="353"/>
      <c r="H341" s="353" t="str">
        <f>IFERROR(VLOOKUP(M341,'02. MM-KLH'!$B$6:$T$823,17,0),"")</f>
        <v>100HP</v>
      </c>
      <c r="I341" s="763">
        <f>IFERROR(VLOOKUP(M341,'02. MM-KLH'!$B$6:$U$823,20,0),"")</f>
        <v>0</v>
      </c>
      <c r="J341" s="613" t="str">
        <f>IFERROR(VLOOKUP(M341,'02. MM-KLH'!$B$6:$T$823,19,0),"")</f>
        <v>Q250194560G</v>
      </c>
      <c r="K341" s="613" t="str">
        <f>IFERROR(VLOOKUP(M341,'02. MM-KLH'!$B$6:$T$823,18,0),"")</f>
        <v>FTTM3AD2CSC000020</v>
      </c>
      <c r="L341" s="353">
        <f>IFERROR(VLOOKUP(M341,'02. MM-KLH'!$B$6:$T$823,4,0),"")</f>
        <v>0</v>
      </c>
      <c r="M341" s="49" t="s">
        <v>2041</v>
      </c>
      <c r="N341" s="356">
        <f>IFERROR(VLOOKUP(M341,'02. MM-KLH'!$B$6:$T$823,15,0),"")</f>
        <v>2025</v>
      </c>
      <c r="O341" s="764" t="str">
        <f>IFERROR(VLOOKUP(M341,'02. MM-KLH'!$B$6:$T$823,9,0),"")</f>
        <v>15/12/2025</v>
      </c>
      <c r="P341" s="353"/>
      <c r="Q341" s="353" t="s">
        <v>1755</v>
      </c>
      <c r="R341" s="353" t="s">
        <v>5978</v>
      </c>
      <c r="S341" s="353"/>
      <c r="T341" s="353"/>
      <c r="U341" s="353" t="str">
        <f>IFERROR(VLOOKUP(M341,'02. MM-KLH'!$B$6:$T$823,5,0),"")</f>
        <v>MỚI</v>
      </c>
      <c r="V341" s="731" t="str">
        <f>IFERROR(VLOOKUP(M341,'02. MM-KLH'!$B$6:$T$823,8,0),"")</f>
        <v>XN Bò AD</v>
      </c>
      <c r="W341" s="353" t="str">
        <f>IFERROR(VLOOKUP(V341,'NS QUẢN LÝ CG'!$A$4:$D$36,2,0),"")</f>
        <v/>
      </c>
      <c r="X341" s="353" t="str">
        <f>IFERROR(VLOOKUP(V341,'NS QUẢN LÝ CG'!$A$4:$D$36,4,0),"")</f>
        <v/>
      </c>
      <c r="Y341" s="353" t="str">
        <f>IFERROR(VLOOKUP(V341,'NS QUẢN LÝ CG'!$A$4:$C$36,3,0),"")</f>
        <v/>
      </c>
      <c r="Z341" s="731" t="str">
        <f>IFERROR(VLOOKUP(M341,'02. MM-KLH'!$B$6:$T$823,3,0),"")</f>
        <v>A22-MKX-003</v>
      </c>
      <c r="AA341" s="353" t="str">
        <f t="shared" si="23"/>
        <v>ADM</v>
      </c>
      <c r="AB341" s="731"/>
      <c r="AC341" s="731"/>
    </row>
    <row r="342" ht="13.8" spans="1:29">
      <c r="A342" s="731"/>
      <c r="B342" s="613" t="str">
        <f>IFERROR(VLOOKUP(M342,'02. MM-KLH'!$B$6:$T$823,6,0),"")</f>
        <v/>
      </c>
      <c r="C342" s="353"/>
      <c r="D342" s="353" t="str">
        <f>IFERROR(VLOOKUP(M342,'02. MM-KLH'!$B$6:$T$823,16,0),"")</f>
        <v/>
      </c>
      <c r="E342" s="353"/>
      <c r="F342" s="353"/>
      <c r="G342" s="353"/>
      <c r="H342" s="353" t="str">
        <f>IFERROR(VLOOKUP(M342,'02. MM-KLH'!$B$6:$T$823,17,0),"")</f>
        <v/>
      </c>
      <c r="I342" s="763" t="str">
        <f>IFERROR(VLOOKUP(M342,'02. MM-KLH'!$B$6:$U$823,20,0),"")</f>
        <v/>
      </c>
      <c r="J342" s="613" t="str">
        <f>IFERROR(VLOOKUP(M342,'02. MM-KLH'!$B$6:$T$823,19,0),"")</f>
        <v/>
      </c>
      <c r="K342" s="613" t="str">
        <f>IFERROR(VLOOKUP(M342,'02. MM-KLH'!$B$6:$T$823,18,0),"")</f>
        <v/>
      </c>
      <c r="L342" s="353" t="str">
        <f>IFERROR(VLOOKUP(M342,'02. MM-KLH'!$B$6:$T$823,4,0),"")</f>
        <v/>
      </c>
      <c r="M342" s="49"/>
      <c r="N342" s="356" t="str">
        <f>IFERROR(VLOOKUP(M342,'02. MM-KLH'!$B$6:$T$823,15,0),"")</f>
        <v/>
      </c>
      <c r="O342" s="764" t="str">
        <f>IFERROR(VLOOKUP(M342,'02. MM-KLH'!$B$6:$T$823,9,0),"")</f>
        <v/>
      </c>
      <c r="P342" s="353"/>
      <c r="Q342" s="353"/>
      <c r="R342" s="353"/>
      <c r="S342" s="353"/>
      <c r="T342" s="353"/>
      <c r="U342" s="353" t="str">
        <f>IFERROR(VLOOKUP(M342,'02. MM-KLH'!$B$6:$T$823,2,0),"")</f>
        <v/>
      </c>
      <c r="V342" s="731" t="str">
        <f>IFERROR(VLOOKUP(M342,'02. MM-KLH'!$B$6:$T$823,8,0),"")</f>
        <v/>
      </c>
      <c r="W342" s="353" t="str">
        <f>IFERROR(VLOOKUP(V342,'NS QUẢN LÝ CG'!$A$4:$D$36,2,0),"")</f>
        <v/>
      </c>
      <c r="X342" s="353" t="str">
        <f>IFERROR(VLOOKUP(V342,'NS QUẢN LÝ CG'!$A$4:$D$36,4,0),"")</f>
        <v/>
      </c>
      <c r="Y342" s="353"/>
      <c r="Z342" s="731" t="str">
        <f>IFERROR(VLOOKUP(M342,'02. MM-KLH'!$B$6:$T$823,3,0),"")</f>
        <v/>
      </c>
      <c r="AA342" s="353"/>
      <c r="AB342" s="731"/>
      <c r="AC342" s="731"/>
    </row>
    <row r="343" ht="13.8" spans="1:29">
      <c r="A343" s="754">
        <v>4</v>
      </c>
      <c r="B343" s="755" t="s">
        <v>969</v>
      </c>
      <c r="C343" s="754">
        <f>COUNTA(B344:B345)</f>
        <v>2</v>
      </c>
      <c r="D343" s="756"/>
      <c r="E343" s="756"/>
      <c r="F343" s="756"/>
      <c r="G343" s="756"/>
      <c r="H343" s="762"/>
      <c r="I343" s="762"/>
      <c r="J343" s="758"/>
      <c r="K343" s="758"/>
      <c r="L343" s="756"/>
      <c r="M343" s="756"/>
      <c r="N343" s="756"/>
      <c r="O343" s="760"/>
      <c r="P343" s="756"/>
      <c r="Q343" s="756"/>
      <c r="R343" s="756"/>
      <c r="S343" s="756"/>
      <c r="T343" s="756"/>
      <c r="U343" s="756"/>
      <c r="V343" s="762"/>
      <c r="W343" s="756"/>
      <c r="X343" s="756"/>
      <c r="Y343" s="756"/>
      <c r="Z343" s="762"/>
      <c r="AA343" s="756"/>
      <c r="AB343" s="762"/>
      <c r="AC343" s="762"/>
    </row>
    <row r="344" ht="13.8" spans="1:29">
      <c r="A344" s="731"/>
      <c r="B344" s="613" t="str">
        <f>IFERROR(VLOOKUP(M344,'02. MM-KLH'!$B$6:$T$823,6,0),"")</f>
        <v>Máy cày bánh xích Mitsubishi</v>
      </c>
      <c r="C344" s="353">
        <v>1</v>
      </c>
      <c r="D344" s="353" t="str">
        <f>IFERROR(VLOOKUP(M344,'02. MM-KLH'!$B$6:$T$823,16,0),"")</f>
        <v>MKM100</v>
      </c>
      <c r="E344" s="353" t="s">
        <v>5978</v>
      </c>
      <c r="F344" s="353"/>
      <c r="G344" s="353"/>
      <c r="H344" s="353" t="str">
        <f>IFERROR(VLOOKUP(M344,'02. MM-KLH'!$B$6:$T$823,17,0),"")</f>
        <v>100HP</v>
      </c>
      <c r="I344" s="763">
        <f>IFERROR(VLOOKUP(M344,'02. MM-KLH'!$B$6:$U$823,20,0),"")</f>
        <v>0</v>
      </c>
      <c r="J344" s="613" t="str">
        <f>IFERROR(VLOOKUP(M344,'02. MM-KLH'!$B$6:$T$823,19,0),"")</f>
        <v>6S6-019410</v>
      </c>
      <c r="K344" s="613" t="str">
        <f>IFERROR(VLOOKUP(M344,'02. MM-KLH'!$B$6:$T$823,18,0),"")</f>
        <v>K10A-10011</v>
      </c>
      <c r="L344" s="353">
        <f>IFERROR(VLOOKUP(M344,'02. MM-KLH'!$B$6:$T$823,4,0),"")</f>
        <v>0</v>
      </c>
      <c r="M344" s="49" t="s">
        <v>966</v>
      </c>
      <c r="N344" s="356">
        <f>IFERROR(VLOOKUP(M344,'02. MM-KLH'!$B$6:$T$823,15,0),"")</f>
        <v>2016</v>
      </c>
      <c r="O344" s="764">
        <f>IFERROR(VLOOKUP(M344,'02. MM-KLH'!$B$6:$T$823,9,0),"")</f>
        <v>46088</v>
      </c>
      <c r="Q344" s="353">
        <v>9670</v>
      </c>
      <c r="R344" s="353" t="s">
        <v>5978</v>
      </c>
      <c r="S344" s="353"/>
      <c r="T344" s="353"/>
      <c r="U344" s="353" t="str">
        <f>IFERROR(VLOOKUP(M344,'02. MM-KLH'!$B$6:$T$823,5,0),"")</f>
        <v>MỚI (ĐQSD)</v>
      </c>
      <c r="V344" s="731" t="str">
        <f>IFERROR(VLOOKUP(M344,'02. MM-KLH'!$B$6:$T$823,8,0),"")</f>
        <v>CGLĐ DP</v>
      </c>
      <c r="W344" s="353" t="str">
        <f>IFERROR(VLOOKUP(V344,'NS QUẢN LÝ CG'!$A$4:$D$36,2,0),"")</f>
        <v>Nguyễn Tấn Triều</v>
      </c>
      <c r="X344" s="353" t="str">
        <f>IFERROR(VLOOKUP(V344,'NS QUẢN LÝ CG'!$A$4:$D$36,4,0),"")</f>
        <v>Lô 85 DP4</v>
      </c>
      <c r="Y344" s="1104" t="str">
        <f>IFERROR(VLOOKUP(V344,'NS QUẢN LÝ CG'!$A$4:$C$36,3,0),"")</f>
        <v>05974160290</v>
      </c>
      <c r="Z344" s="731" t="str">
        <f>IFERROR(VLOOKUP(M344,'02. MM-KLH'!$B$6:$T$823,3,0),"")</f>
        <v>A24-MKX-001</v>
      </c>
      <c r="AA344" s="353" t="str">
        <f>_xlfn.SWITCH(LEFT(Z344,3),"A22","ADM","A23","DP","A24","LP","")</f>
        <v>LP</v>
      </c>
      <c r="AB344" s="731"/>
      <c r="AC344" s="731"/>
    </row>
    <row r="345" ht="13.8" spans="1:29">
      <c r="A345" s="731"/>
      <c r="B345" s="613" t="str">
        <f>IFERROR(VLOOKUP(M345,'02. MM-KLH'!$B$6:$T$823,6,0),"")</f>
        <v/>
      </c>
      <c r="C345" s="353"/>
      <c r="D345" s="353" t="str">
        <f>IFERROR(VLOOKUP(M345,'02. MM-KLH'!$B$6:$T$823,16,0),"")</f>
        <v/>
      </c>
      <c r="E345" s="353"/>
      <c r="F345" s="353"/>
      <c r="G345" s="353"/>
      <c r="H345" s="353" t="str">
        <f>IFERROR(VLOOKUP(M345,'02. MM-KLH'!$B$6:$T$823,17,0),"")</f>
        <v/>
      </c>
      <c r="I345" s="763" t="str">
        <f>IFERROR(VLOOKUP(M345,'02. MM-KLH'!$B$6:$U$823,20,0),"")</f>
        <v/>
      </c>
      <c r="J345" s="613" t="str">
        <f>IFERROR(VLOOKUP(M345,'02. MM-KLH'!$B$6:$T$823,19,0),"")</f>
        <v/>
      </c>
      <c r="K345" s="613" t="str">
        <f>IFERROR(VLOOKUP(M345,'02. MM-KLH'!$B$6:$T$823,18,0),"")</f>
        <v/>
      </c>
      <c r="L345" s="353" t="str">
        <f>IFERROR(VLOOKUP(M345,'02. MM-KLH'!$B$6:$T$823,4,0),"")</f>
        <v/>
      </c>
      <c r="M345" s="49"/>
      <c r="N345" s="356" t="str">
        <f>IFERROR(VLOOKUP(M345,'02. MM-KLH'!$B$6:$T$823,15,0),"")</f>
        <v/>
      </c>
      <c r="O345" s="764" t="str">
        <f>IFERROR(VLOOKUP(M345,'02. MM-KLH'!$B$6:$T$823,9,0),"")</f>
        <v/>
      </c>
      <c r="P345" s="353"/>
      <c r="Q345" s="353"/>
      <c r="R345" s="353"/>
      <c r="S345" s="353"/>
      <c r="T345" s="353"/>
      <c r="U345" s="353" t="str">
        <f>IFERROR(VLOOKUP(M345,'02. MM-KLH'!$B$6:$T$823,2,0),"")</f>
        <v/>
      </c>
      <c r="V345" s="731" t="str">
        <f>IFERROR(VLOOKUP(M345,'02. MM-KLH'!$B$6:$T$823,8,0),"")</f>
        <v/>
      </c>
      <c r="W345" s="353" t="str">
        <f>IFERROR(VLOOKUP(V345,'NS QUẢN LÝ CG'!$A$4:$D$36,2,0),"")</f>
        <v/>
      </c>
      <c r="X345" s="353" t="str">
        <f>IFERROR(VLOOKUP(V345,'NS QUẢN LÝ CG'!$A$4:$D$36,4,0),"")</f>
        <v/>
      </c>
      <c r="Y345" s="353"/>
      <c r="Z345" s="731" t="str">
        <f>IFERROR(VLOOKUP(M345,'02. MM-KLH'!$B$6:$T$823,3,0),"")</f>
        <v/>
      </c>
      <c r="AA345" s="353"/>
      <c r="AB345" s="731"/>
      <c r="AC345" s="731"/>
    </row>
    <row r="346" ht="13.8" spans="1:29">
      <c r="A346" s="754">
        <v>5</v>
      </c>
      <c r="B346" s="755" t="s">
        <v>2037</v>
      </c>
      <c r="C346" s="754">
        <f>COUNTA(B347:B349)</f>
        <v>3</v>
      </c>
      <c r="D346" s="756"/>
      <c r="E346" s="756"/>
      <c r="F346" s="756"/>
      <c r="G346" s="756"/>
      <c r="H346" s="762"/>
      <c r="I346" s="762"/>
      <c r="J346" s="758"/>
      <c r="K346" s="758"/>
      <c r="L346" s="756"/>
      <c r="M346" s="756"/>
      <c r="N346" s="756"/>
      <c r="O346" s="760"/>
      <c r="P346" s="756"/>
      <c r="Q346" s="756"/>
      <c r="R346" s="756"/>
      <c r="S346" s="756"/>
      <c r="T346" s="756"/>
      <c r="U346" s="756"/>
      <c r="V346" s="762"/>
      <c r="W346" s="756"/>
      <c r="X346" s="756"/>
      <c r="Y346" s="756"/>
      <c r="Z346" s="762"/>
      <c r="AA346" s="756"/>
      <c r="AB346" s="762"/>
      <c r="AC346" s="762"/>
    </row>
    <row r="347" ht="13.8" spans="1:29">
      <c r="A347" s="731"/>
      <c r="B347" s="613" t="str">
        <f>IFERROR(VLOOKUP(M347,'02. MM-KLH'!$B$6:$T$823,6,0),"")</f>
        <v>Máy cày bánh xích MOROOKA</v>
      </c>
      <c r="C347" s="353">
        <v>1</v>
      </c>
      <c r="D347" s="353" t="str">
        <f>IFERROR(VLOOKUP(M347,'02. MM-KLH'!$B$6:$T$823,16,0),"")</f>
        <v>MK-200</v>
      </c>
      <c r="E347" s="353" t="s">
        <v>5978</v>
      </c>
      <c r="F347" s="353"/>
      <c r="G347" s="353"/>
      <c r="H347" s="353" t="str">
        <f>IFERROR(VLOOKUP(M347,'02. MM-KLH'!$B$6:$T$823,17,0),"")</f>
        <v>200HP</v>
      </c>
      <c r="I347" s="763">
        <f>IFERROR(VLOOKUP(M347,'02. MM-KLH'!$B$6:$U$823,20,0),"")</f>
        <v>0</v>
      </c>
      <c r="J347" s="613" t="str">
        <f>IFERROR(VLOOKUP(M347,'02. MM-KLH'!$B$6:$T$823,19,0),"")</f>
        <v>H06C TF11820</v>
      </c>
      <c r="K347" s="613" t="str">
        <f>IFERROR(VLOOKUP(M347,'02. MM-KLH'!$B$6:$T$823,18,0),"")</f>
        <v>T20022</v>
      </c>
      <c r="L347" s="353">
        <f>IFERROR(VLOOKUP(M347,'02. MM-KLH'!$B$6:$T$823,4,0),"")</f>
        <v>0</v>
      </c>
      <c r="M347" s="49" t="s">
        <v>2034</v>
      </c>
      <c r="N347" s="356">
        <f>IFERROR(VLOOKUP(M347,'02. MM-KLH'!$B$6:$T$823,15,0),"")</f>
        <v>0</v>
      </c>
      <c r="O347" s="764" t="str">
        <f>IFERROR(VLOOKUP(M347,'02. MM-KLH'!$B$6:$T$823,9,0),"")</f>
        <v>19/09/2025</v>
      </c>
      <c r="P347" s="353"/>
      <c r="Q347" s="353" t="s">
        <v>1755</v>
      </c>
      <c r="R347" s="353"/>
      <c r="S347" s="353" t="s">
        <v>5978</v>
      </c>
      <c r="T347" s="353"/>
      <c r="U347" s="353" t="str">
        <f>IFERROR(VLOOKUP(M347,'02. MM-KLH'!$B$6:$T$823,5,0),"")</f>
        <v>MỚI (ĐQSD)</v>
      </c>
      <c r="V347" s="731" t="str">
        <f>IFERROR(VLOOKUP(M347,'02. MM-KLH'!$B$6:$T$823,8,0),"")</f>
        <v>XN Bò AD</v>
      </c>
      <c r="W347" s="353" t="str">
        <f>IFERROR(VLOOKUP(V347,'NS QUẢN LÝ CG'!$A$4:$D$36,2,0),"")</f>
        <v/>
      </c>
      <c r="X347" s="353" t="str">
        <f>IFERROR(VLOOKUP(V347,'NS QUẢN LÝ CG'!$A$4:$D$36,4,0),"")</f>
        <v/>
      </c>
      <c r="Y347" s="353" t="str">
        <f>IFERROR(VLOOKUP(V347,'NS QUẢN LÝ CG'!$A$4:$C$36,3,0),"")</f>
        <v/>
      </c>
      <c r="Z347" s="731" t="str">
        <f>IFERROR(VLOOKUP(M347,'02. MM-KLH'!$B$6:$T$823,3,0),"")</f>
        <v>A22-MKX-002</v>
      </c>
      <c r="AA347" s="353" t="str">
        <f t="shared" ref="AA347:AA348" si="24">_xlfn.SWITCH(LEFT(Z347,3),"A22","ADM","A23","DP","A24","LP","")</f>
        <v>ADM</v>
      </c>
      <c r="AB347" s="731"/>
      <c r="AC347" s="731"/>
    </row>
    <row r="348" ht="13.8" spans="1:29">
      <c r="A348" s="731"/>
      <c r="B348" s="613" t="str">
        <f>IFERROR(VLOOKUP(M348,'02. MM-KLH'!$B$6:$T$823,6,0),"")</f>
        <v>Máy cày bánh xích MK 250</v>
      </c>
      <c r="C348" s="353">
        <v>1</v>
      </c>
      <c r="D348" s="353" t="str">
        <f>IFERROR(VLOOKUP(M348,'02. MM-KLH'!$B$6:$T$823,16,0),"")</f>
        <v>MK 250</v>
      </c>
      <c r="E348" s="353" t="s">
        <v>5978</v>
      </c>
      <c r="F348" s="353"/>
      <c r="G348" s="353"/>
      <c r="H348" s="353" t="str">
        <f>IFERROR(VLOOKUP(M348,'02. MM-KLH'!$B$6:$T$823,17,0),"")</f>
        <v>250HP</v>
      </c>
      <c r="I348" s="763">
        <f>IFERROR(VLOOKUP(M348,'02. MM-KLH'!$B$6:$U$823,20,0),"")</f>
        <v>0</v>
      </c>
      <c r="J348" s="613" t="str">
        <f>IFERROR(VLOOKUP(M348,'02. MM-KLH'!$B$6:$T$823,19,0),"")</f>
        <v>6D108-19718</v>
      </c>
      <c r="K348" s="613" t="str">
        <f>IFERROR(VLOOKUP(M348,'02. MM-KLH'!$B$6:$T$823,18,0),"")</f>
        <v>T22032</v>
      </c>
      <c r="L348" s="353">
        <f>IFERROR(VLOOKUP(M348,'02. MM-KLH'!$B$6:$T$823,4,0),"")</f>
        <v>0</v>
      </c>
      <c r="M348" s="49" t="s">
        <v>2047</v>
      </c>
      <c r="N348" s="356">
        <f>IFERROR(VLOOKUP(M348,'02. MM-KLH'!$B$6:$T$823,15,0),"")</f>
        <v>0</v>
      </c>
      <c r="O348" s="764" t="str">
        <f>IFERROR(VLOOKUP(M348,'02. MM-KLH'!$B$6:$T$823,9,0),"")</f>
        <v>19/01/2026</v>
      </c>
      <c r="P348" s="353"/>
      <c r="Q348" s="353" t="s">
        <v>1755</v>
      </c>
      <c r="R348" s="353" t="s">
        <v>5978</v>
      </c>
      <c r="S348" s="353"/>
      <c r="T348" s="353"/>
      <c r="U348" s="353" t="str">
        <f>IFERROR(VLOOKUP(M348,'02. MM-KLH'!$B$6:$T$823,5,0),"")</f>
        <v>MỚI (ĐQSD)</v>
      </c>
      <c r="V348" s="731" t="str">
        <f>IFERROR(VLOOKUP(M348,'02. MM-KLH'!$B$6:$T$823,8,0),"")</f>
        <v>XN Bò AD</v>
      </c>
      <c r="W348" s="353" t="str">
        <f>IFERROR(VLOOKUP(V348,'NS QUẢN LÝ CG'!$A$4:$D$36,2,0),"")</f>
        <v/>
      </c>
      <c r="X348" s="353" t="str">
        <f>IFERROR(VLOOKUP(V348,'NS QUẢN LÝ CG'!$A$4:$D$36,4,0),"")</f>
        <v/>
      </c>
      <c r="Y348" s="353" t="str">
        <f>IFERROR(VLOOKUP(V348,'NS QUẢN LÝ CG'!$A$4:$C$36,3,0),"")</f>
        <v/>
      </c>
      <c r="Z348" s="731" t="str">
        <f>IFERROR(VLOOKUP(M348,'02. MM-KLH'!$B$6:$T$823,3,0),"")</f>
        <v>A22-MKX-004</v>
      </c>
      <c r="AA348" s="353" t="str">
        <f t="shared" si="24"/>
        <v>ADM</v>
      </c>
      <c r="AB348" s="731"/>
      <c r="AC348" s="731"/>
    </row>
    <row r="349" ht="13.8" spans="1:29">
      <c r="A349" s="731"/>
      <c r="B349" s="613" t="str">
        <f>IFERROR(VLOOKUP(M349,'02. MM-KLH'!$B$6:$T$823,6,0),"")</f>
        <v/>
      </c>
      <c r="C349" s="353"/>
      <c r="D349" s="353" t="str">
        <f>IFERROR(VLOOKUP(M349,'02. MM-KLH'!$B$6:$T$823,16,0),"")</f>
        <v/>
      </c>
      <c r="E349" s="353"/>
      <c r="F349" s="353"/>
      <c r="G349" s="353"/>
      <c r="H349" s="353" t="str">
        <f>IFERROR(VLOOKUP(M349,'02. MM-KLH'!$B$6:$T$823,17,0),"")</f>
        <v/>
      </c>
      <c r="I349" s="763" t="str">
        <f>IFERROR(VLOOKUP(M349,'02. MM-KLH'!$B$6:$U$823,20,0),"")</f>
        <v/>
      </c>
      <c r="J349" s="613" t="str">
        <f>IFERROR(VLOOKUP(M349,'02. MM-KLH'!$B$6:$T$823,19,0),"")</f>
        <v/>
      </c>
      <c r="K349" s="613" t="str">
        <f>IFERROR(VLOOKUP(M349,'02. MM-KLH'!$B$6:$T$823,18,0),"")</f>
        <v/>
      </c>
      <c r="L349" s="353" t="str">
        <f>IFERROR(VLOOKUP(M349,'02. MM-KLH'!$B$6:$T$823,4,0),"")</f>
        <v/>
      </c>
      <c r="M349" s="49"/>
      <c r="N349" s="356" t="str">
        <f>IFERROR(VLOOKUP(M349,'02. MM-KLH'!$B$6:$T$823,15,0),"")</f>
        <v/>
      </c>
      <c r="O349" s="764" t="str">
        <f>IFERROR(VLOOKUP(M349,'02. MM-KLH'!$B$6:$T$823,9,0),"")</f>
        <v/>
      </c>
      <c r="P349" s="353"/>
      <c r="Q349" s="353"/>
      <c r="R349" s="353"/>
      <c r="S349" s="353"/>
      <c r="T349" s="353"/>
      <c r="U349" s="353" t="str">
        <f>IFERROR(VLOOKUP(M349,'02. MM-KLH'!$B$6:$T$823,2,0),"")</f>
        <v/>
      </c>
      <c r="V349" s="731" t="str">
        <f>IFERROR(VLOOKUP(M349,'02. MM-KLH'!$B$6:$T$823,8,0),"")</f>
        <v/>
      </c>
      <c r="W349" s="353" t="str">
        <f>IFERROR(VLOOKUP(V349,'NS QUẢN LÝ CG'!$A$4:$D$36,2,0),"")</f>
        <v/>
      </c>
      <c r="X349" s="353" t="str">
        <f>IFERROR(VLOOKUP(V349,'NS QUẢN LÝ CG'!$A$4:$D$36,4,0),"")</f>
        <v/>
      </c>
      <c r="Y349" s="353"/>
      <c r="Z349" s="731" t="str">
        <f>IFERROR(VLOOKUP(M349,'02. MM-KLH'!$B$6:$T$823,3,0),"")</f>
        <v/>
      </c>
      <c r="AA349" s="353"/>
      <c r="AB349" s="731"/>
      <c r="AC349" s="731"/>
    </row>
    <row r="350" ht="13.8" spans="1:29">
      <c r="A350" s="754">
        <v>6</v>
      </c>
      <c r="B350" s="755" t="s">
        <v>2460</v>
      </c>
      <c r="C350" s="754">
        <f>COUNTA(B351:B353)</f>
        <v>3</v>
      </c>
      <c r="D350" s="756"/>
      <c r="E350" s="756"/>
      <c r="F350" s="756"/>
      <c r="G350" s="756"/>
      <c r="H350" s="762"/>
      <c r="I350" s="762"/>
      <c r="J350" s="758"/>
      <c r="K350" s="758"/>
      <c r="L350" s="756"/>
      <c r="M350" s="756"/>
      <c r="N350" s="756"/>
      <c r="O350" s="760"/>
      <c r="P350" s="756"/>
      <c r="Q350" s="756"/>
      <c r="R350" s="756"/>
      <c r="S350" s="756"/>
      <c r="T350" s="756"/>
      <c r="U350" s="756"/>
      <c r="V350" s="762"/>
      <c r="W350" s="756"/>
      <c r="X350" s="756"/>
      <c r="Y350" s="756"/>
      <c r="Z350" s="762"/>
      <c r="AA350" s="756"/>
      <c r="AB350" s="762"/>
      <c r="AC350" s="762"/>
    </row>
    <row r="351" ht="13.8" spans="1:29">
      <c r="A351" s="731"/>
      <c r="B351" s="613" t="str">
        <f>IFERROR(VLOOKUP(M351,'02. MM-KLH'!$B$6:$T$823,6,0),"")</f>
        <v>Xe bánh xích gom phân chuồng </v>
      </c>
      <c r="C351" s="353"/>
      <c r="D351" s="353" t="str">
        <f>IFERROR(VLOOKUP(M351,'02. MM-KLH'!$B$6:$T$823,16,0),"")</f>
        <v>MINGKO</v>
      </c>
      <c r="E351" s="353" t="s">
        <v>5978</v>
      </c>
      <c r="F351" s="353"/>
      <c r="G351" s="353"/>
      <c r="H351" s="353" t="str">
        <f>IFERROR(VLOOKUP(M351,'02. MM-KLH'!$B$6:$T$823,17,0),"")</f>
        <v>38.3HP</v>
      </c>
      <c r="I351" s="763">
        <f>IFERROR(VLOOKUP(M351,'02. MM-KLH'!$B$6:$U$823,20,0),"")</f>
        <v>0</v>
      </c>
      <c r="J351" s="613" t="str">
        <f>IFERROR(VLOOKUP(M351,'02. MM-KLH'!$B$6:$T$823,19,0),"")</f>
        <v>31101A</v>
      </c>
      <c r="K351" s="613" t="str">
        <f>IFERROR(VLOOKUP(M351,'02. MM-KLH'!$B$6:$T$823,18,0),"")</f>
        <v>CCN</v>
      </c>
      <c r="L351" s="353">
        <f>IFERROR(VLOOKUP(M351,'02. MM-KLH'!$B$6:$T$823,4,0),"")</f>
        <v>0</v>
      </c>
      <c r="M351" s="49" t="s">
        <v>2457</v>
      </c>
      <c r="N351" s="356">
        <f>IFERROR(VLOOKUP(M351,'02. MM-KLH'!$B$6:$T$823,15,0),"")</f>
        <v>2025</v>
      </c>
      <c r="O351" s="764" t="str">
        <f>IFERROR(VLOOKUP(M351,'02. MM-KLH'!$B$6:$T$823,9,0),"")</f>
        <v>16/01/2026</v>
      </c>
      <c r="P351" s="353"/>
      <c r="Q351" s="353" t="s">
        <v>1755</v>
      </c>
      <c r="R351" s="353" t="s">
        <v>5978</v>
      </c>
      <c r="S351" s="353"/>
      <c r="T351" s="353"/>
      <c r="U351" s="353" t="str">
        <f>IFERROR(VLOOKUP(M351,'02. MM-KLH'!$B$6:$T$823,5,0),"")</f>
        <v>MỚI</v>
      </c>
      <c r="V351" s="731" t="str">
        <f>IFERROR(VLOOKUP(M351,'02. MM-KLH'!$B$6:$T$823,8,0),"")</f>
        <v>XN Bò AD</v>
      </c>
      <c r="W351" s="353" t="str">
        <f>IFERROR(VLOOKUP(V351,'NS QUẢN LÝ CG'!$A$4:$D$36,2,0),"")</f>
        <v/>
      </c>
      <c r="X351" s="353" t="str">
        <f>IFERROR(VLOOKUP(V351,'NS QUẢN LÝ CG'!$A$4:$D$36,4,0),"")</f>
        <v/>
      </c>
      <c r="Y351" s="353" t="str">
        <f>IFERROR(VLOOKUP(V351,'NS QUẢN LÝ CG'!$A$4:$C$36,3,0),"")</f>
        <v/>
      </c>
      <c r="Z351" s="731" t="str">
        <f>IFERROR(VLOOKUP(M351,'02. MM-KLH'!$B$6:$T$823,3,0),"")</f>
        <v>A22-XBX-001</v>
      </c>
      <c r="AA351" s="353" t="str">
        <f>_xlfn.SWITCH(LEFT(Z351,3),"A22","ADM","A23","DP","A24","LP","")</f>
        <v>ADM</v>
      </c>
      <c r="AB351" s="731"/>
      <c r="AC351" s="731"/>
    </row>
    <row r="352" ht="13.8" spans="1:29">
      <c r="A352" s="731"/>
      <c r="B352" s="613" t="str">
        <f>IFERROR(VLOOKUP(M352,'02. MM-KLH'!$B$6:$T$823,6,0),"")</f>
        <v/>
      </c>
      <c r="C352" s="353"/>
      <c r="D352" s="353" t="str">
        <f>IFERROR(VLOOKUP(M352,'02. MM-KLH'!$B$6:$T$823,16,0),"")</f>
        <v/>
      </c>
      <c r="E352" s="353"/>
      <c r="F352" s="353"/>
      <c r="G352" s="353"/>
      <c r="H352" s="353" t="str">
        <f>IFERROR(VLOOKUP(M352,'02. MM-KLH'!$B$6:$T$823,17,0),"")</f>
        <v/>
      </c>
      <c r="I352" s="763" t="str">
        <f>IFERROR(VLOOKUP(M352,'02. MM-KLH'!$B$6:$U$823,20,0),"")</f>
        <v/>
      </c>
      <c r="J352" s="613" t="str">
        <f>IFERROR(VLOOKUP(M352,'02. MM-KLH'!$B$6:$T$823,19,0),"")</f>
        <v/>
      </c>
      <c r="K352" s="613" t="str">
        <f>IFERROR(VLOOKUP(M352,'02. MM-KLH'!$B$6:$T$823,18,0),"")</f>
        <v/>
      </c>
      <c r="L352" s="353" t="str">
        <f>IFERROR(VLOOKUP(M352,'02. MM-KLH'!$B$6:$T$823,4,0),"")</f>
        <v/>
      </c>
      <c r="M352" s="49"/>
      <c r="N352" s="356" t="str">
        <f>IFERROR(VLOOKUP(M352,'02. MM-KLH'!$B$6:$T$823,15,0),"")</f>
        <v/>
      </c>
      <c r="O352" s="764" t="str">
        <f>IFERROR(VLOOKUP(M352,'02. MM-KLH'!$B$6:$T$823,9,0),"")</f>
        <v/>
      </c>
      <c r="P352" s="353"/>
      <c r="Q352" s="353"/>
      <c r="R352" s="353"/>
      <c r="S352" s="353"/>
      <c r="T352" s="353"/>
      <c r="U352" s="353" t="str">
        <f>IFERROR(VLOOKUP(M352,'02. MM-KLH'!$B$6:$T$823,2,0),"")</f>
        <v/>
      </c>
      <c r="V352" s="731" t="str">
        <f>IFERROR(VLOOKUP(M352,'02. MM-KLH'!$B$6:$T$823,8,0),"")</f>
        <v/>
      </c>
      <c r="W352" s="353" t="str">
        <f>IFERROR(VLOOKUP(V352,'NS QUẢN LÝ CG'!$A$4:$D$36,2,0),"")</f>
        <v/>
      </c>
      <c r="X352" s="353" t="str">
        <f>IFERROR(VLOOKUP(V352,'NS QUẢN LÝ CG'!$A$4:$D$36,4,0),"")</f>
        <v/>
      </c>
      <c r="Y352" s="353"/>
      <c r="Z352" s="731" t="str">
        <f>IFERROR(VLOOKUP(M352,'02. MM-KLH'!$B$6:$T$823,3,0),"")</f>
        <v/>
      </c>
      <c r="AA352" s="353"/>
      <c r="AB352" s="731"/>
      <c r="AC352" s="731"/>
    </row>
    <row r="353" ht="13.8" hidden="1" spans="1:29">
      <c r="A353" s="731"/>
      <c r="B353" s="613" t="str">
        <f>IFERROR(VLOOKUP(M353,'02. MM-KLH'!$B$6:$T$823,6,0),"")</f>
        <v/>
      </c>
      <c r="C353" s="353"/>
      <c r="D353" s="353" t="str">
        <f>IFERROR(VLOOKUP(M353,'02. MM-KLH'!$B$6:$T$823,16,0),"")</f>
        <v/>
      </c>
      <c r="E353" s="353"/>
      <c r="F353" s="353"/>
      <c r="G353" s="353"/>
      <c r="H353" s="353" t="str">
        <f>IFERROR(VLOOKUP(M353,'02. MM-KLH'!$B$6:$T$823,17,0),"")</f>
        <v/>
      </c>
      <c r="I353" s="763" t="str">
        <f>IFERROR(VLOOKUP(M353,'02. MM-KLH'!$B$6:$U$823,20,0),"")</f>
        <v/>
      </c>
      <c r="J353" s="613" t="str">
        <f>IFERROR(VLOOKUP(M353,'02. MM-KLH'!$B$6:$T$823,19,0),"")</f>
        <v/>
      </c>
      <c r="K353" s="613" t="str">
        <f>IFERROR(VLOOKUP(M353,'02. MM-KLH'!$B$6:$T$823,18,0),"")</f>
        <v/>
      </c>
      <c r="L353" s="353" t="str">
        <f>IFERROR(VLOOKUP(M353,'02. MM-KLH'!$B$6:$T$823,4,0),"")</f>
        <v/>
      </c>
      <c r="M353" s="49"/>
      <c r="N353" s="356" t="str">
        <f>IFERROR(VLOOKUP(M353,'02. MM-KLH'!$B$6:$T$823,15,0),"")</f>
        <v/>
      </c>
      <c r="O353" s="764" t="str">
        <f>IFERROR(VLOOKUP(M353,'02. MM-KLH'!$B$6:$T$823,9,0),"")</f>
        <v/>
      </c>
      <c r="P353" s="353"/>
      <c r="Q353" s="353"/>
      <c r="R353" s="353"/>
      <c r="S353" s="353"/>
      <c r="T353" s="353"/>
      <c r="U353" s="353" t="str">
        <f>IFERROR(VLOOKUP(M353,'02. MM-KLH'!$B$6:$T$823,2,0),"")</f>
        <v/>
      </c>
      <c r="V353" s="731" t="str">
        <f>IFERROR(VLOOKUP(M353,'02. MM-KLH'!$B$6:$T$823,8,0),"")</f>
        <v/>
      </c>
      <c r="W353" s="353"/>
      <c r="X353" s="353"/>
      <c r="Y353" s="353"/>
      <c r="Z353" s="731" t="str">
        <f>IFERROR(VLOOKUP(M353,'02. MM-KLH'!$B$6:$T$823,3,0),"")</f>
        <v/>
      </c>
      <c r="AA353" s="353"/>
      <c r="AB353" s="731"/>
      <c r="AC353" s="731"/>
    </row>
    <row r="354" spans="1:29">
      <c r="A354" s="770" t="s">
        <v>5991</v>
      </c>
      <c r="B354" s="272"/>
      <c r="C354" s="742">
        <f>SUM(C355,C437,C472,C515,C498)</f>
        <v>165</v>
      </c>
      <c r="D354" s="743"/>
      <c r="E354" s="743"/>
      <c r="F354" s="743"/>
      <c r="G354" s="743"/>
      <c r="H354" s="744"/>
      <c r="I354" s="744"/>
      <c r="J354" s="745"/>
      <c r="K354" s="745"/>
      <c r="L354" s="743"/>
      <c r="M354" s="743"/>
      <c r="N354" s="743"/>
      <c r="O354" s="746"/>
      <c r="P354" s="743"/>
      <c r="Q354" s="743"/>
      <c r="R354" s="743"/>
      <c r="S354" s="743"/>
      <c r="T354" s="743"/>
      <c r="U354" s="743"/>
      <c r="V354" s="744"/>
      <c r="W354" s="743"/>
      <c r="X354" s="743"/>
      <c r="Y354" s="743"/>
      <c r="Z354" s="744"/>
      <c r="AA354" s="743"/>
      <c r="AB354" s="744"/>
      <c r="AC354" s="771"/>
    </row>
    <row r="355" spans="1:29">
      <c r="A355" s="747" t="s">
        <v>3007</v>
      </c>
      <c r="B355" s="748" t="s">
        <v>5992</v>
      </c>
      <c r="C355" s="747">
        <f>SUM(C356,C412,C420)</f>
        <v>78</v>
      </c>
      <c r="D355" s="749"/>
      <c r="E355" s="749"/>
      <c r="F355" s="749"/>
      <c r="G355" s="749"/>
      <c r="H355" s="749"/>
      <c r="I355" s="750"/>
      <c r="J355" s="751"/>
      <c r="K355" s="751"/>
      <c r="L355" s="749"/>
      <c r="M355" s="749"/>
      <c r="N355" s="749"/>
      <c r="O355" s="752"/>
      <c r="P355" s="749"/>
      <c r="Q355" s="749"/>
      <c r="R355" s="749"/>
      <c r="S355" s="749"/>
      <c r="T355" s="749"/>
      <c r="U355" s="749"/>
      <c r="V355" s="750"/>
      <c r="W355" s="749"/>
      <c r="X355" s="749"/>
      <c r="Y355" s="749"/>
      <c r="Z355" s="750"/>
      <c r="AA355" s="749"/>
      <c r="AB355" s="750"/>
      <c r="AC355" s="753"/>
    </row>
    <row r="356" ht="13.8" spans="1:29">
      <c r="A356" s="754">
        <v>1</v>
      </c>
      <c r="B356" s="755" t="s">
        <v>5993</v>
      </c>
      <c r="C356" s="754">
        <f>COUNTA(B357:B411)</f>
        <v>55</v>
      </c>
      <c r="D356" s="756" t="str">
        <f>IFERROR(VLOOKUP(M356,'02. MM-KLH'!$B$6:$T$823,16,0),"")</f>
        <v/>
      </c>
      <c r="E356" s="756"/>
      <c r="F356" s="756"/>
      <c r="G356" s="756"/>
      <c r="H356" s="762" t="str">
        <f>IFERROR(VLOOKUP(M356,'02. MM-KLH'!$B$6:$T$823,17,0),"")</f>
        <v/>
      </c>
      <c r="I356" s="762" t="str">
        <f>IFERROR(VLOOKUP(M356,'02. MM-KLH'!$B$6:$U$823,20,0),"")</f>
        <v/>
      </c>
      <c r="J356" s="758" t="str">
        <f>IFERROR(VLOOKUP(M356,'02. MM-KLH'!$B$6:$T$823,19,0),"")</f>
        <v/>
      </c>
      <c r="K356" s="758" t="str">
        <f>IFERROR(VLOOKUP(M356,'02. MM-KLH'!$B$6:$T$823,18,0),"")</f>
        <v/>
      </c>
      <c r="L356" s="756" t="str">
        <f>IFERROR(VLOOKUP(M356,'02. MM-KLH'!$B$6:$T$823,4,0),"")</f>
        <v/>
      </c>
      <c r="M356" s="756"/>
      <c r="N356" s="756" t="str">
        <f>IFERROR(VLOOKUP(M356,'02. MM-KLH'!$B$6:$T$823,15,0),"")</f>
        <v/>
      </c>
      <c r="O356" s="760" t="str">
        <f>IFERROR(VLOOKUP(M356,'02. MM-KLH'!$B$6:$T$823,9,0),"")</f>
        <v/>
      </c>
      <c r="P356" s="756"/>
      <c r="Q356" s="756"/>
      <c r="R356" s="756"/>
      <c r="S356" s="756"/>
      <c r="T356" s="756"/>
      <c r="U356" s="756" t="str">
        <f>IFERROR(VLOOKUP(M356,'02. MM-KLH'!$B$6:$T$823,2,0),"")</f>
        <v/>
      </c>
      <c r="V356" s="762" t="str">
        <f>IFERROR(VLOOKUP(M356,'02. MM-KLH'!$B$6:$T$823,8,0),"")</f>
        <v/>
      </c>
      <c r="W356" s="756"/>
      <c r="X356" s="756"/>
      <c r="Y356" s="756"/>
      <c r="Z356" s="762" t="str">
        <f>IFERROR(VLOOKUP(M356,'02. MM-KLH'!$B$6:$T$823,3,0),"")</f>
        <v/>
      </c>
      <c r="AA356" s="756"/>
      <c r="AB356" s="762"/>
      <c r="AC356" s="762"/>
    </row>
    <row r="357" spans="1:29">
      <c r="A357" s="731"/>
      <c r="B357" s="613" t="str">
        <f>IFERROR(VLOOKUP(M357,'02. MM-KLH'!$B$6:$T$823,6,0),"")</f>
        <v>Xe ben FD150</v>
      </c>
      <c r="C357" s="353">
        <v>1</v>
      </c>
      <c r="D357" s="353" t="str">
        <f>IFERROR(VLOOKUP(M357,'02. MM-KLH'!$B$6:$T$823,16,0),"")</f>
        <v>FD150-4WD </v>
      </c>
      <c r="E357" s="353" t="s">
        <v>5978</v>
      </c>
      <c r="F357" s="353"/>
      <c r="G357" s="353"/>
      <c r="H357" s="353" t="str">
        <f>IFERROR(VLOOKUP(M357,'02. MM-KLH'!$B$6:$T$823,17,0),"")</f>
        <v>150HP</v>
      </c>
      <c r="I357" s="763">
        <f>IFERROR(VLOOKUP(M357,'02. MM-KLH'!$B$6:$U$823,20,0),"")</f>
        <v>0.63</v>
      </c>
      <c r="J357" s="613" t="str">
        <f>IFERROR(VLOOKUP(M357,'02. MM-KLH'!$B$6:$T$823,19,0),"")</f>
        <v>D59M1N01254</v>
      </c>
      <c r="K357" s="613" t="str">
        <f>IFERROR(VLOOKUP(M357,'02. MM-KLH'!$B$6:$T$823,18,0),"")</f>
        <v>RNHF16FYART000834</v>
      </c>
      <c r="L357" s="353" t="str">
        <f>IFERROR(VLOOKUP(M357,'02. MM-KLH'!$B$6:$T$823,4,0),"")</f>
        <v>3A-6816</v>
      </c>
      <c r="M357" s="49" t="s">
        <v>617</v>
      </c>
      <c r="N357" s="356">
        <f>IFERROR(VLOOKUP(M357,'02. MM-KLH'!$B$6:$T$823,15,0),"")</f>
        <v>2024</v>
      </c>
      <c r="O357" s="764">
        <f>IFERROR(VLOOKUP(M357,'02. MM-KLH'!$B$6:$T$823,9,0),"")</f>
        <v>45841</v>
      </c>
      <c r="P357" s="767">
        <v>29767</v>
      </c>
      <c r="Q357" s="353"/>
      <c r="R357" s="353" t="s">
        <v>5978</v>
      </c>
      <c r="S357" s="353"/>
      <c r="T357" s="353"/>
      <c r="U357" s="353" t="str">
        <f>IFERROR(VLOOKUP(M357,'02. MM-KLH'!$B$6:$T$823,5,0),"")</f>
        <v>MỚI</v>
      </c>
      <c r="V357" s="731" t="str">
        <f>IFERROR(VLOOKUP(M357,'02. MM-KLH'!$B$6:$T$823,8,0),"")</f>
        <v>CGTC DP</v>
      </c>
      <c r="W357" s="353" t="str">
        <f>IFERROR(VLOOKUP(V357,'NS QUẢN LÝ CG'!$A$4:$D$36,2,0),"")</f>
        <v>Phạm Ngọc Hải</v>
      </c>
      <c r="X357" s="353" t="str">
        <f>IFERROR(VLOOKUP(V357,'NS QUẢN LÝ CG'!$A$4:$D$36,4,0),"")</f>
        <v>Lô 85 DP4</v>
      </c>
      <c r="Y357" s="1104" t="str">
        <f>IFERROR(VLOOKUP(V357,'NS QUẢN LÝ CG'!$A$4:$C$36,3,0),"")</f>
        <v>0825456565</v>
      </c>
      <c r="Z357" s="731" t="str">
        <f>IFERROR(VLOOKUP(M357,'02. MM-KLH'!$B$6:$T$823,3,0),"")</f>
        <v>A23-XTA-030</v>
      </c>
      <c r="AA357" s="353" t="str">
        <f t="shared" ref="AA357:AA372" si="25">_xlfn.SWITCH(LEFT(Z357,3),"A22","ADM","A23","DP","A24","LP","")</f>
        <v>DP</v>
      </c>
      <c r="AB357" s="731"/>
      <c r="AC357" s="731"/>
    </row>
    <row r="358" ht="13.8" spans="1:29">
      <c r="A358" s="731"/>
      <c r="B358" s="613" t="str">
        <f>IFERROR(VLOOKUP(M358,'02. MM-KLH'!$B$6:$T$823,6,0),"")</f>
        <v>Xe ben FD150</v>
      </c>
      <c r="C358" s="353">
        <v>1</v>
      </c>
      <c r="D358" s="353" t="str">
        <f>IFERROR(VLOOKUP(M358,'02. MM-KLH'!$B$6:$T$823,16,0),"")</f>
        <v>FD150-4WD</v>
      </c>
      <c r="E358" s="353" t="s">
        <v>5978</v>
      </c>
      <c r="F358" s="353"/>
      <c r="G358" s="353"/>
      <c r="H358" s="353" t="str">
        <f>IFERROR(VLOOKUP(M358,'02. MM-KLH'!$B$6:$T$823,17,0),"")</f>
        <v>150HP</v>
      </c>
      <c r="I358" s="763">
        <f>IFERROR(VLOOKUP(M358,'02. MM-KLH'!$B$6:$U$823,20,0),"")</f>
        <v>0.63</v>
      </c>
      <c r="J358" s="613" t="str">
        <f>IFERROR(VLOOKUP(M358,'02. MM-KLH'!$B$6:$T$823,19,0),"")</f>
        <v>D59M1N01360</v>
      </c>
      <c r="K358" s="613" t="str">
        <f>IFERROR(VLOOKUP(M358,'02. MM-KLH'!$B$6:$T$823,18,0),"")</f>
        <v>RNHF16FYART000835</v>
      </c>
      <c r="L358" s="353" t="str">
        <f>IFERROR(VLOOKUP(M358,'02. MM-KLH'!$B$6:$T$823,4,0),"")</f>
        <v>3A-6817</v>
      </c>
      <c r="M358" s="49" t="s">
        <v>625</v>
      </c>
      <c r="N358" s="356">
        <f>IFERROR(VLOOKUP(M358,'02. MM-KLH'!$B$6:$T$823,15,0),"")</f>
        <v>2024</v>
      </c>
      <c r="O358" s="764">
        <f>IFERROR(VLOOKUP(M358,'02. MM-KLH'!$B$6:$T$823,9,0),"")</f>
        <v>45841</v>
      </c>
      <c r="P358" s="353">
        <v>31469</v>
      </c>
      <c r="Q358" s="353"/>
      <c r="R358" s="353" t="s">
        <v>5978</v>
      </c>
      <c r="S358" s="353"/>
      <c r="T358" s="353"/>
      <c r="U358" s="353" t="str">
        <f>IFERROR(VLOOKUP(M358,'02. MM-KLH'!$B$6:$T$823,5,0),"")</f>
        <v>MỚI</v>
      </c>
      <c r="V358" s="731" t="str">
        <f>IFERROR(VLOOKUP(M358,'02. MM-KLH'!$B$6:$T$823,8,0),"")</f>
        <v>CGTC DP</v>
      </c>
      <c r="W358" s="353" t="str">
        <f>IFERROR(VLOOKUP(V358,'NS QUẢN LÝ CG'!$A$4:$D$36,2,0),"")</f>
        <v>Phạm Ngọc Hải</v>
      </c>
      <c r="X358" s="353" t="str">
        <f>IFERROR(VLOOKUP(V358,'NS QUẢN LÝ CG'!$A$4:$D$36,4,0),"")</f>
        <v>Lô 85 DP4</v>
      </c>
      <c r="Y358" s="1104" t="str">
        <f>IFERROR(VLOOKUP(V358,'NS QUẢN LÝ CG'!$A$4:$C$36,3,0),"")</f>
        <v>0825456565</v>
      </c>
      <c r="Z358" s="731" t="str">
        <f>IFERROR(VLOOKUP(M358,'02. MM-KLH'!$B$6:$T$823,3,0),"")</f>
        <v>A23-XTA-031</v>
      </c>
      <c r="AA358" s="353" t="str">
        <f t="shared" si="25"/>
        <v>DP</v>
      </c>
      <c r="AB358" s="731"/>
      <c r="AC358" s="731"/>
    </row>
    <row r="359" ht="13.8" spans="1:29">
      <c r="A359" s="731"/>
      <c r="B359" s="613" t="str">
        <f>IFERROR(VLOOKUP(M359,'02. MM-KLH'!$B$6:$T$823,6,0),"")</f>
        <v>Xe ben FD150</v>
      </c>
      <c r="C359" s="353">
        <v>1</v>
      </c>
      <c r="D359" s="353" t="str">
        <f>IFERROR(VLOOKUP(M359,'02. MM-KLH'!$B$6:$T$823,16,0),"")</f>
        <v>FD150-4WD</v>
      </c>
      <c r="E359" s="353" t="s">
        <v>5978</v>
      </c>
      <c r="F359" s="353"/>
      <c r="G359" s="353"/>
      <c r="H359" s="353" t="str">
        <f>IFERROR(VLOOKUP(M359,'02. MM-KLH'!$B$6:$T$823,17,0),"")</f>
        <v>150HP</v>
      </c>
      <c r="I359" s="763">
        <f>IFERROR(VLOOKUP(M359,'02. MM-KLH'!$B$6:$U$823,20,0),"")</f>
        <v>1</v>
      </c>
      <c r="J359" s="613" t="str">
        <f>IFERROR(VLOOKUP(M359,'02. MM-KLH'!$B$6:$T$823,19,0),"")</f>
        <v>D59M1N01292</v>
      </c>
      <c r="K359" s="613" t="str">
        <f>IFERROR(VLOOKUP(M359,'02. MM-KLH'!$B$6:$T$823,18,0),"")</f>
        <v>RNHF16FYART000830</v>
      </c>
      <c r="L359" s="353" t="str">
        <f>IFERROR(VLOOKUP(M359,'02. MM-KLH'!$B$6:$T$823,4,0),"")</f>
        <v>3A-6813</v>
      </c>
      <c r="M359" s="49" t="s">
        <v>768</v>
      </c>
      <c r="N359" s="356">
        <f>IFERROR(VLOOKUP(M359,'02. MM-KLH'!$B$6:$T$823,15,0),"")</f>
        <v>2024</v>
      </c>
      <c r="O359" s="764">
        <f>IFERROR(VLOOKUP(M359,'02. MM-KLH'!$B$6:$T$823,9,0),"")</f>
        <v>45841</v>
      </c>
      <c r="P359" s="353" t="s">
        <v>1755</v>
      </c>
      <c r="Q359" s="353"/>
      <c r="R359" s="353"/>
      <c r="S359" s="353" t="s">
        <v>5978</v>
      </c>
      <c r="T359" s="353"/>
      <c r="U359" s="353" t="str">
        <f>IFERROR(VLOOKUP(M359,'02. MM-KLH'!$B$6:$T$823,5,0),"")</f>
        <v>MỚI</v>
      </c>
      <c r="V359" s="731" t="str">
        <f>IFERROR(VLOOKUP(M359,'02. MM-KLH'!$B$6:$T$823,8,0),"")</f>
        <v>CGTC LP</v>
      </c>
      <c r="W359" s="353" t="str">
        <f>IFERROR(VLOOKUP(V359,'NS QUẢN LÝ CG'!$A$4:$D$36,2,0),"")</f>
        <v>Đỗ Đức Nghĩa</v>
      </c>
      <c r="X359" s="353" t="str">
        <f>IFERROR(VLOOKUP(V359,'NS QUẢN LÝ CG'!$A$4:$D$36,4,0),"")</f>
        <v>NOCN L.4-LP3</v>
      </c>
      <c r="Y359" s="1104" t="str">
        <f>IFERROR(VLOOKUP(V359,'NS QUẢN LÝ CG'!$A$4:$C$36,3,0),"")</f>
        <v>0971462780</v>
      </c>
      <c r="Z359" s="731" t="str">
        <f>IFERROR(VLOOKUP(M359,'02. MM-KLH'!$B$6:$T$823,3,0),"")</f>
        <v>A24-XTA-032</v>
      </c>
      <c r="AA359" s="353" t="str">
        <f t="shared" si="25"/>
        <v>LP</v>
      </c>
      <c r="AB359" s="731"/>
      <c r="AC359" s="731"/>
    </row>
    <row r="360" ht="13.8" spans="1:29">
      <c r="A360" s="731"/>
      <c r="B360" s="613" t="str">
        <f>IFERROR(VLOOKUP(M360,'02. MM-KLH'!$B$6:$T$823,6,0),"")</f>
        <v>Xe ben FD150</v>
      </c>
      <c r="C360" s="353">
        <v>1</v>
      </c>
      <c r="D360" s="353" t="str">
        <f>IFERROR(VLOOKUP(M360,'02. MM-KLH'!$B$6:$T$823,16,0),"")</f>
        <v>FD150-4WD</v>
      </c>
      <c r="E360" s="353" t="s">
        <v>5978</v>
      </c>
      <c r="F360" s="353"/>
      <c r="G360" s="353"/>
      <c r="H360" s="353" t="str">
        <f>IFERROR(VLOOKUP(M360,'02. MM-KLH'!$B$6:$T$823,17,0),"")</f>
        <v>150HP</v>
      </c>
      <c r="I360" s="763">
        <f>IFERROR(VLOOKUP(M360,'02. MM-KLH'!$B$6:$U$823,20,0),"")</f>
        <v>1</v>
      </c>
      <c r="J360" s="613" t="str">
        <f>IFERROR(VLOOKUP(M360,'02. MM-KLH'!$B$6:$T$823,19,0),"")</f>
        <v>D59M1N01308</v>
      </c>
      <c r="K360" s="613" t="str">
        <f>IFERROR(VLOOKUP(M360,'02. MM-KLH'!$B$6:$T$823,18,0),"")</f>
        <v>RNHF16FYART000831</v>
      </c>
      <c r="L360" s="353" t="str">
        <f>IFERROR(VLOOKUP(M360,'02. MM-KLH'!$B$6:$T$823,4,0),"")</f>
        <v>3A-6804</v>
      </c>
      <c r="M360" s="49" t="s">
        <v>774</v>
      </c>
      <c r="N360" s="356">
        <f>IFERROR(VLOOKUP(M360,'02. MM-KLH'!$B$6:$T$823,15,0),"")</f>
        <v>2024</v>
      </c>
      <c r="O360" s="764">
        <f>IFERROR(VLOOKUP(M360,'02. MM-KLH'!$B$6:$T$823,9,0),"")</f>
        <v>45841</v>
      </c>
      <c r="P360" s="722">
        <v>26488</v>
      </c>
      <c r="Q360" s="353"/>
      <c r="R360" s="353" t="s">
        <v>5978</v>
      </c>
      <c r="S360" s="353"/>
      <c r="T360" s="353"/>
      <c r="U360" s="353" t="str">
        <f>IFERROR(VLOOKUP(M360,'02. MM-KLH'!$B$6:$T$823,5,0),"")</f>
        <v>MỚI</v>
      </c>
      <c r="V360" s="731" t="str">
        <f>IFERROR(VLOOKUP(M360,'02. MM-KLH'!$B$6:$T$823,8,0),"")</f>
        <v>CGTC LP</v>
      </c>
      <c r="W360" s="353" t="str">
        <f>IFERROR(VLOOKUP(V360,'NS QUẢN LÝ CG'!$A$4:$D$36,2,0),"")</f>
        <v>Đỗ Đức Nghĩa</v>
      </c>
      <c r="X360" s="353" t="str">
        <f>IFERROR(VLOOKUP(V360,'NS QUẢN LÝ CG'!$A$4:$D$36,4,0),"")</f>
        <v>NOCN L.4-LP3</v>
      </c>
      <c r="Y360" s="1104" t="str">
        <f>IFERROR(VLOOKUP(V360,'NS QUẢN LÝ CG'!$A$4:$C$36,3,0),"")</f>
        <v>0971462780</v>
      </c>
      <c r="Z360" s="731" t="str">
        <f>IFERROR(VLOOKUP(M360,'02. MM-KLH'!$B$6:$T$823,3,0),"")</f>
        <v>A24-XTA-033</v>
      </c>
      <c r="AA360" s="353" t="str">
        <f t="shared" si="25"/>
        <v>LP</v>
      </c>
      <c r="AB360" s="731"/>
      <c r="AC360" s="731"/>
    </row>
    <row r="361" ht="13.8" spans="1:29">
      <c r="A361" s="731"/>
      <c r="B361" s="613" t="str">
        <f>IFERROR(VLOOKUP(M361,'02. MM-KLH'!$B$6:$T$823,6,0),"")</f>
        <v>Xe ben FC150</v>
      </c>
      <c r="C361" s="353">
        <v>1</v>
      </c>
      <c r="D361" s="353" t="str">
        <f>IFERROR(VLOOKUP(M361,'02. MM-KLH'!$B$6:$T$823,16,0),"")</f>
        <v>FC150-4WD</v>
      </c>
      <c r="E361" s="353" t="s">
        <v>5978</v>
      </c>
      <c r="F361" s="353"/>
      <c r="G361" s="353"/>
      <c r="H361" s="353" t="str">
        <f>IFERROR(VLOOKUP(M361,'02. MM-KLH'!$B$6:$T$823,17,0),"")</f>
        <v>150HP</v>
      </c>
      <c r="I361" s="763">
        <f>IFERROR(VLOOKUP(M361,'02. MM-KLH'!$B$6:$U$823,20,0),"")</f>
        <v>4.5</v>
      </c>
      <c r="J361" s="613" t="str">
        <f>IFERROR(VLOOKUP(M361,'02. MM-KLH'!$B$6:$T$823,19,0),"")</f>
        <v>D59M1N01088</v>
      </c>
      <c r="K361" s="613" t="str">
        <f>IFERROR(VLOOKUP(M361,'02. MM-KLH'!$B$6:$T$823,18,0),"")</f>
        <v>RNHF16FYBRT000132</v>
      </c>
      <c r="L361" s="353">
        <f>IFERROR(VLOOKUP(M361,'02. MM-KLH'!$B$6:$T$823,4,0),"")</f>
        <v>0</v>
      </c>
      <c r="M361" s="49" t="s">
        <v>631</v>
      </c>
      <c r="N361" s="356">
        <f>IFERROR(VLOOKUP(M361,'02. MM-KLH'!$B$6:$T$823,15,0),"")</f>
        <v>2024</v>
      </c>
      <c r="O361" s="764" t="str">
        <f>IFERROR(VLOOKUP(M361,'02. MM-KLH'!$B$6:$T$823,9,0),"")</f>
        <v>29/05/2025</v>
      </c>
      <c r="P361" s="353" t="s">
        <v>1755</v>
      </c>
      <c r="Q361" s="353"/>
      <c r="R361" s="353" t="s">
        <v>5978</v>
      </c>
      <c r="S361" s="353"/>
      <c r="T361" s="353"/>
      <c r="U361" s="353" t="str">
        <f>IFERROR(VLOOKUP(M361,'02. MM-KLH'!$B$6:$T$823,5,0),"")</f>
        <v>MỚI</v>
      </c>
      <c r="V361" s="731" t="str">
        <f>IFERROR(VLOOKUP(M361,'02. MM-KLH'!$B$6:$T$823,8,0),"")</f>
        <v>CGTC DP</v>
      </c>
      <c r="W361" s="353" t="str">
        <f>IFERROR(VLOOKUP(V361,'NS QUẢN LÝ CG'!$A$4:$D$36,2,0),"")</f>
        <v>Phạm Ngọc Hải</v>
      </c>
      <c r="X361" s="353" t="str">
        <f>IFERROR(VLOOKUP(V361,'NS QUẢN LÝ CG'!$A$4:$D$36,4,0),"")</f>
        <v>Lô 85 DP4</v>
      </c>
      <c r="Y361" s="1104" t="str">
        <f>IFERROR(VLOOKUP(V361,'NS QUẢN LÝ CG'!$A$4:$C$36,3,0),"")</f>
        <v>0825456565</v>
      </c>
      <c r="Z361" s="731" t="str">
        <f>IFERROR(VLOOKUP(M361,'02. MM-KLH'!$B$6:$T$823,3,0),"")</f>
        <v>A23-XTA-037</v>
      </c>
      <c r="AA361" s="353" t="str">
        <f t="shared" si="25"/>
        <v>DP</v>
      </c>
      <c r="AB361" s="731"/>
      <c r="AC361" s="731"/>
    </row>
    <row r="362" ht="13.8" spans="1:29">
      <c r="A362" s="731"/>
      <c r="B362" s="613" t="str">
        <f>IFERROR(VLOOKUP(M362,'02. MM-KLH'!$B$6:$T$823,6,0),"")</f>
        <v>Xe ben FC150</v>
      </c>
      <c r="C362" s="353">
        <v>1</v>
      </c>
      <c r="D362" s="353" t="str">
        <f>IFERROR(VLOOKUP(M362,'02. MM-KLH'!$B$6:$T$823,16,0),"")</f>
        <v>FC150-4WD</v>
      </c>
      <c r="E362" s="353" t="s">
        <v>5978</v>
      </c>
      <c r="F362" s="353"/>
      <c r="G362" s="353"/>
      <c r="H362" s="353" t="str">
        <f>IFERROR(VLOOKUP(M362,'02. MM-KLH'!$B$6:$T$823,17,0),"")</f>
        <v>150HP</v>
      </c>
      <c r="I362" s="763">
        <f>IFERROR(VLOOKUP(M362,'02. MM-KLH'!$B$6:$U$823,20,0),"")</f>
        <v>0.63</v>
      </c>
      <c r="J362" s="613" t="str">
        <f>IFERROR(VLOOKUP(M362,'02. MM-KLH'!$B$6:$T$823,19,0),"")</f>
        <v>D59M1N01089</v>
      </c>
      <c r="K362" s="613" t="str">
        <f>IFERROR(VLOOKUP(M362,'02. MM-KLH'!$B$6:$T$823,18,0),"")</f>
        <v>RNHF16FYBRT000133</v>
      </c>
      <c r="L362" s="353">
        <f>IFERROR(VLOOKUP(M362,'02. MM-KLH'!$B$6:$T$823,4,0),"")</f>
        <v>0</v>
      </c>
      <c r="M362" s="49" t="s">
        <v>638</v>
      </c>
      <c r="N362" s="356">
        <f>IFERROR(VLOOKUP(M362,'02. MM-KLH'!$B$6:$T$823,15,0),"")</f>
        <v>2024</v>
      </c>
      <c r="O362" s="764" t="str">
        <f>IFERROR(VLOOKUP(M362,'02. MM-KLH'!$B$6:$T$823,9,0),"")</f>
        <v>29/05/2025</v>
      </c>
      <c r="P362" s="353" t="s">
        <v>1755</v>
      </c>
      <c r="Q362" s="353"/>
      <c r="R362" s="353" t="s">
        <v>5978</v>
      </c>
      <c r="S362" s="353"/>
      <c r="T362" s="353"/>
      <c r="U362" s="353" t="str">
        <f>IFERROR(VLOOKUP(M362,'02. MM-KLH'!$B$6:$T$823,5,0),"")</f>
        <v>MỚI</v>
      </c>
      <c r="V362" s="731" t="str">
        <f>IFERROR(VLOOKUP(M362,'02. MM-KLH'!$B$6:$T$823,8,0),"")</f>
        <v>CGTC DP</v>
      </c>
      <c r="W362" s="353" t="str">
        <f>IFERROR(VLOOKUP(V362,'NS QUẢN LÝ CG'!$A$4:$D$36,2,0),"")</f>
        <v>Phạm Ngọc Hải</v>
      </c>
      <c r="X362" s="353" t="str">
        <f>IFERROR(VLOOKUP(V362,'NS QUẢN LÝ CG'!$A$4:$D$36,4,0),"")</f>
        <v>Lô 85 DP4</v>
      </c>
      <c r="Y362" s="1104" t="str">
        <f>IFERROR(VLOOKUP(V362,'NS QUẢN LÝ CG'!$A$4:$C$36,3,0),"")</f>
        <v>0825456565</v>
      </c>
      <c r="Z362" s="731" t="str">
        <f>IFERROR(VLOOKUP(M362,'02. MM-KLH'!$B$6:$T$823,3,0),"")</f>
        <v>A23-XTA-038</v>
      </c>
      <c r="AA362" s="353" t="str">
        <f t="shared" si="25"/>
        <v>DP</v>
      </c>
      <c r="AB362" s="731"/>
      <c r="AC362" s="731"/>
    </row>
    <row r="363" ht="13.8" spans="1:29">
      <c r="A363" s="731"/>
      <c r="B363" s="613" t="str">
        <f>IFERROR(VLOOKUP(M363,'02. MM-KLH'!$B$6:$T$823,6,0),"")</f>
        <v>Xe ben FC150</v>
      </c>
      <c r="C363" s="353">
        <v>1</v>
      </c>
      <c r="D363" s="353" t="str">
        <f>IFERROR(VLOOKUP(M363,'02. MM-KLH'!$B$6:$T$823,16,0),"")</f>
        <v>FC150-4WD</v>
      </c>
      <c r="E363" s="353" t="s">
        <v>5978</v>
      </c>
      <c r="F363" s="353"/>
      <c r="G363" s="353"/>
      <c r="H363" s="353" t="str">
        <f>IFERROR(VLOOKUP(M363,'02. MM-KLH'!$B$6:$T$823,17,0),"")</f>
        <v>150HP</v>
      </c>
      <c r="I363" s="763">
        <f>IFERROR(VLOOKUP(M363,'02. MM-KLH'!$B$6:$U$823,20,0),"")</f>
        <v>0.63</v>
      </c>
      <c r="J363" s="613" t="str">
        <f>IFERROR(VLOOKUP(M363,'02. MM-KLH'!$B$6:$T$823,19,0),"")</f>
        <v>D59M1N01091</v>
      </c>
      <c r="K363" s="613" t="str">
        <f>IFERROR(VLOOKUP(M363,'02. MM-KLH'!$B$6:$T$823,18,0),"")</f>
        <v>RNHF16FYBRT000134</v>
      </c>
      <c r="L363" s="353">
        <f>IFERROR(VLOOKUP(M363,'02. MM-KLH'!$B$6:$T$823,4,0),"")</f>
        <v>0</v>
      </c>
      <c r="M363" s="49" t="s">
        <v>642</v>
      </c>
      <c r="N363" s="356">
        <f>IFERROR(VLOOKUP(M363,'02. MM-KLH'!$B$6:$T$823,15,0),"")</f>
        <v>2024</v>
      </c>
      <c r="O363" s="764" t="str">
        <f>IFERROR(VLOOKUP(M363,'02. MM-KLH'!$B$6:$T$823,9,0),"")</f>
        <v>29/05/2025</v>
      </c>
      <c r="P363" s="353">
        <v>23132</v>
      </c>
      <c r="Q363" s="353"/>
      <c r="R363" s="353" t="s">
        <v>5978</v>
      </c>
      <c r="S363" s="353"/>
      <c r="T363" s="353"/>
      <c r="U363" s="353" t="str">
        <f>IFERROR(VLOOKUP(M363,'02. MM-KLH'!$B$6:$T$823,5,0),"")</f>
        <v>MỚI</v>
      </c>
      <c r="V363" s="731" t="str">
        <f>IFERROR(VLOOKUP(M363,'02. MM-KLH'!$B$6:$T$823,8,0),"")</f>
        <v>CGTC DP</v>
      </c>
      <c r="W363" s="353" t="str">
        <f>IFERROR(VLOOKUP(V363,'NS QUẢN LÝ CG'!$A$4:$D$36,2,0),"")</f>
        <v>Phạm Ngọc Hải</v>
      </c>
      <c r="X363" s="353" t="str">
        <f>IFERROR(VLOOKUP(V363,'NS QUẢN LÝ CG'!$A$4:$D$36,4,0),"")</f>
        <v>Lô 85 DP4</v>
      </c>
      <c r="Y363" s="1104" t="str">
        <f>IFERROR(VLOOKUP(V363,'NS QUẢN LÝ CG'!$A$4:$C$36,3,0),"")</f>
        <v>0825456565</v>
      </c>
      <c r="Z363" s="731" t="str">
        <f>IFERROR(VLOOKUP(M363,'02. MM-KLH'!$B$6:$T$823,3,0),"")</f>
        <v>A23-XTA-039</v>
      </c>
      <c r="AA363" s="353" t="str">
        <f t="shared" si="25"/>
        <v>DP</v>
      </c>
      <c r="AB363" s="731"/>
      <c r="AC363" s="731"/>
    </row>
    <row r="364" ht="13.8" spans="1:29">
      <c r="A364" s="731"/>
      <c r="B364" s="613" t="str">
        <f>IFERROR(VLOOKUP(M364,'02. MM-KLH'!$B$6:$T$823,6,0),"")</f>
        <v>Xe ben FC150</v>
      </c>
      <c r="C364" s="353">
        <v>1</v>
      </c>
      <c r="D364" s="353" t="str">
        <f>IFERROR(VLOOKUP(M364,'02. MM-KLH'!$B$6:$T$823,16,0),"")</f>
        <v>FC150-4WD</v>
      </c>
      <c r="E364" s="353" t="s">
        <v>5978</v>
      </c>
      <c r="F364" s="353"/>
      <c r="G364" s="353"/>
      <c r="H364" s="353" t="str">
        <f>IFERROR(VLOOKUP(M364,'02. MM-KLH'!$B$6:$T$823,17,0),"")</f>
        <v>150HP</v>
      </c>
      <c r="I364" s="763">
        <f>IFERROR(VLOOKUP(M364,'02. MM-KLH'!$B$6:$U$823,20,0),"")</f>
        <v>0.63</v>
      </c>
      <c r="J364" s="613" t="str">
        <f>IFERROR(VLOOKUP(M364,'02. MM-KLH'!$B$6:$T$823,19,0),"")</f>
        <v>D59M1N01092</v>
      </c>
      <c r="K364" s="613" t="str">
        <f>IFERROR(VLOOKUP(M364,'02. MM-KLH'!$B$6:$T$823,18,0),"")</f>
        <v>RNHF16FYBRT000135</v>
      </c>
      <c r="L364" s="353">
        <f>IFERROR(VLOOKUP(M364,'02. MM-KLH'!$B$6:$T$823,4,0),"")</f>
        <v>0</v>
      </c>
      <c r="M364" s="49" t="s">
        <v>646</v>
      </c>
      <c r="N364" s="356">
        <f>IFERROR(VLOOKUP(M364,'02. MM-KLH'!$B$6:$T$823,15,0),"")</f>
        <v>2024</v>
      </c>
      <c r="O364" s="764" t="str">
        <f>IFERROR(VLOOKUP(M364,'02. MM-KLH'!$B$6:$T$823,9,0),"")</f>
        <v>29/05/2025</v>
      </c>
      <c r="P364" s="353">
        <v>23847</v>
      </c>
      <c r="Q364" s="353"/>
      <c r="R364" s="353" t="s">
        <v>5978</v>
      </c>
      <c r="S364" s="353"/>
      <c r="T364" s="353"/>
      <c r="U364" s="353" t="str">
        <f>IFERROR(VLOOKUP(M364,'02. MM-KLH'!$B$6:$T$823,5,0),"")</f>
        <v>MỚI</v>
      </c>
      <c r="V364" s="731" t="str">
        <f>IFERROR(VLOOKUP(M364,'02. MM-KLH'!$B$6:$T$823,8,0),"")</f>
        <v>CGTC DP</v>
      </c>
      <c r="W364" s="353" t="str">
        <f>IFERROR(VLOOKUP(V364,'NS QUẢN LÝ CG'!$A$4:$D$36,2,0),"")</f>
        <v>Phạm Ngọc Hải</v>
      </c>
      <c r="X364" s="353" t="str">
        <f>IFERROR(VLOOKUP(V364,'NS QUẢN LÝ CG'!$A$4:$D$36,4,0),"")</f>
        <v>Lô 85 DP4</v>
      </c>
      <c r="Y364" s="1104" t="str">
        <f>IFERROR(VLOOKUP(V364,'NS QUẢN LÝ CG'!$A$4:$C$36,3,0),"")</f>
        <v>0825456565</v>
      </c>
      <c r="Z364" s="731" t="str">
        <f>IFERROR(VLOOKUP(M364,'02. MM-KLH'!$B$6:$T$823,3,0),"")</f>
        <v>A23-XTA-040</v>
      </c>
      <c r="AA364" s="353" t="str">
        <f t="shared" si="25"/>
        <v>DP</v>
      </c>
      <c r="AB364" s="731"/>
      <c r="AC364" s="731"/>
    </row>
    <row r="365" ht="13.8" spans="1:29">
      <c r="A365" s="731"/>
      <c r="B365" s="613" t="str">
        <f>IFERROR(VLOOKUP(M365,'02. MM-KLH'!$B$6:$T$823,6,0),"")</f>
        <v>Xe ben FC150</v>
      </c>
      <c r="C365" s="353">
        <v>1</v>
      </c>
      <c r="D365" s="353" t="str">
        <f>IFERROR(VLOOKUP(M365,'02. MM-KLH'!$B$6:$T$823,16,0),"")</f>
        <v>FC150-4WD</v>
      </c>
      <c r="E365" s="353" t="s">
        <v>5978</v>
      </c>
      <c r="F365" s="353"/>
      <c r="G365" s="353"/>
      <c r="H365" s="353" t="str">
        <f>IFERROR(VLOOKUP(M365,'02. MM-KLH'!$B$6:$T$823,17,0),"")</f>
        <v>150HP</v>
      </c>
      <c r="I365" s="763">
        <f>IFERROR(VLOOKUP(M365,'02. MM-KLH'!$B$6:$U$823,20,0),"")</f>
        <v>1</v>
      </c>
      <c r="J365" s="613" t="str">
        <f>IFERROR(VLOOKUP(M365,'02. MM-KLH'!$B$6:$T$823,19,0),"")</f>
        <v>D59M1N01094</v>
      </c>
      <c r="K365" s="613" t="str">
        <f>IFERROR(VLOOKUP(M365,'02. MM-KLH'!$B$6:$T$823,18,0),"")</f>
        <v>RNHF16FYBRT000136</v>
      </c>
      <c r="L365" s="353">
        <f>IFERROR(VLOOKUP(M365,'02. MM-KLH'!$B$6:$T$823,4,0),"")</f>
        <v>0</v>
      </c>
      <c r="M365" s="49" t="s">
        <v>779</v>
      </c>
      <c r="N365" s="356">
        <f>IFERROR(VLOOKUP(M365,'02. MM-KLH'!$B$6:$T$823,15,0),"")</f>
        <v>2024</v>
      </c>
      <c r="O365" s="764" t="str">
        <f>IFERROR(VLOOKUP(M365,'02. MM-KLH'!$B$6:$T$823,9,0),"")</f>
        <v>29/05/2025</v>
      </c>
      <c r="P365" s="722">
        <v>22529</v>
      </c>
      <c r="Q365" s="353"/>
      <c r="R365" s="353" t="s">
        <v>5978</v>
      </c>
      <c r="S365" s="353"/>
      <c r="T365" s="353"/>
      <c r="U365" s="353" t="str">
        <f>IFERROR(VLOOKUP(M365,'02. MM-KLH'!$B$6:$T$823,5,0),"")</f>
        <v>MỚI</v>
      </c>
      <c r="V365" s="731" t="str">
        <f>IFERROR(VLOOKUP(M365,'02. MM-KLH'!$B$6:$T$823,8,0),"")</f>
        <v>CGTC LP</v>
      </c>
      <c r="W365" s="353" t="str">
        <f>IFERROR(VLOOKUP(V365,'NS QUẢN LÝ CG'!$A$4:$D$36,2,0),"")</f>
        <v>Đỗ Đức Nghĩa</v>
      </c>
      <c r="X365" s="353" t="str">
        <f>IFERROR(VLOOKUP(V365,'NS QUẢN LÝ CG'!$A$4:$D$36,4,0),"")</f>
        <v>NOCN L.4-LP3</v>
      </c>
      <c r="Y365" s="1104" t="str">
        <f>IFERROR(VLOOKUP(V365,'NS QUẢN LÝ CG'!$A$4:$C$36,3,0),"")</f>
        <v>0971462780</v>
      </c>
      <c r="Z365" s="731" t="str">
        <f>IFERROR(VLOOKUP(M365,'02. MM-KLH'!$B$6:$T$823,3,0),"")</f>
        <v>A24-XTA-034</v>
      </c>
      <c r="AA365" s="353" t="str">
        <f t="shared" si="25"/>
        <v>LP</v>
      </c>
      <c r="AB365" s="731"/>
      <c r="AC365" s="731"/>
    </row>
    <row r="366" ht="13.8" spans="1:29">
      <c r="A366" s="731"/>
      <c r="B366" s="613" t="str">
        <f>IFERROR(VLOOKUP(M366,'02. MM-KLH'!$B$6:$T$823,6,0),"")</f>
        <v>Xe ben FC150</v>
      </c>
      <c r="C366" s="353">
        <v>1</v>
      </c>
      <c r="D366" s="353" t="str">
        <f>IFERROR(VLOOKUP(M366,'02. MM-KLH'!$B$6:$T$823,16,0),"")</f>
        <v>FC150-4WD</v>
      </c>
      <c r="E366" s="353" t="s">
        <v>5978</v>
      </c>
      <c r="F366" s="353"/>
      <c r="G366" s="353"/>
      <c r="H366" s="353" t="str">
        <f>IFERROR(VLOOKUP(M366,'02. MM-KLH'!$B$6:$T$823,17,0),"")</f>
        <v>150HP</v>
      </c>
      <c r="I366" s="763">
        <f>IFERROR(VLOOKUP(M366,'02. MM-KLH'!$B$6:$U$823,20,0),"")</f>
        <v>1</v>
      </c>
      <c r="J366" s="613" t="str">
        <f>IFERROR(VLOOKUP(M366,'02. MM-KLH'!$B$6:$T$823,19,0),"")</f>
        <v>D59M1N01095</v>
      </c>
      <c r="K366" s="613" t="str">
        <f>IFERROR(VLOOKUP(M366,'02. MM-KLH'!$B$6:$T$823,18,0),"")</f>
        <v>RNHF16FYBRT000137</v>
      </c>
      <c r="L366" s="353">
        <f>IFERROR(VLOOKUP(M366,'02. MM-KLH'!$B$6:$T$823,4,0),"")</f>
        <v>0</v>
      </c>
      <c r="M366" s="49" t="s">
        <v>783</v>
      </c>
      <c r="N366" s="356">
        <f>IFERROR(VLOOKUP(M366,'02. MM-KLH'!$B$6:$T$823,15,0),"")</f>
        <v>2024</v>
      </c>
      <c r="O366" s="764" t="str">
        <f>IFERROR(VLOOKUP(M366,'02. MM-KLH'!$B$6:$T$823,9,0),"")</f>
        <v>29/05/2025</v>
      </c>
      <c r="P366" s="722">
        <v>23550</v>
      </c>
      <c r="Q366" s="353"/>
      <c r="R366" s="353" t="s">
        <v>5978</v>
      </c>
      <c r="S366" s="353"/>
      <c r="T366" s="353"/>
      <c r="U366" s="353" t="str">
        <f>IFERROR(VLOOKUP(M366,'02. MM-KLH'!$B$6:$T$823,5,0),"")</f>
        <v>MỚI</v>
      </c>
      <c r="V366" s="731" t="str">
        <f>IFERROR(VLOOKUP(M366,'02. MM-KLH'!$B$6:$T$823,8,0),"")</f>
        <v>CGTC LP</v>
      </c>
      <c r="W366" s="353" t="str">
        <f>IFERROR(VLOOKUP(V366,'NS QUẢN LÝ CG'!$A$4:$D$36,2,0),"")</f>
        <v>Đỗ Đức Nghĩa</v>
      </c>
      <c r="X366" s="353" t="str">
        <f>IFERROR(VLOOKUP(V366,'NS QUẢN LÝ CG'!$A$4:$D$36,4,0),"")</f>
        <v>NOCN L.4-LP3</v>
      </c>
      <c r="Y366" s="1104" t="str">
        <f>IFERROR(VLOOKUP(V366,'NS QUẢN LÝ CG'!$A$4:$C$36,3,0),"")</f>
        <v>0971462780</v>
      </c>
      <c r="Z366" s="731" t="str">
        <f>IFERROR(VLOOKUP(M366,'02. MM-KLH'!$B$6:$T$823,3,0),"")</f>
        <v>A24-XTA-035</v>
      </c>
      <c r="AA366" s="353" t="str">
        <f t="shared" si="25"/>
        <v>LP</v>
      </c>
      <c r="AB366" s="731"/>
      <c r="AC366" s="731"/>
    </row>
    <row r="367" ht="13.8" spans="1:29">
      <c r="A367" s="731"/>
      <c r="B367" s="613" t="str">
        <f>IFERROR(VLOOKUP(M367,'02. MM-KLH'!$B$6:$T$823,6,0),"")</f>
        <v>Xe ben FC150</v>
      </c>
      <c r="C367" s="353">
        <v>1</v>
      </c>
      <c r="D367" s="353" t="str">
        <f>IFERROR(VLOOKUP(M367,'02. MM-KLH'!$B$6:$T$823,16,0),"")</f>
        <v>FC150-4WD</v>
      </c>
      <c r="E367" s="353" t="s">
        <v>5978</v>
      </c>
      <c r="F367" s="353"/>
      <c r="G367" s="353"/>
      <c r="H367" s="353" t="str">
        <f>IFERROR(VLOOKUP(M367,'02. MM-KLH'!$B$6:$T$823,17,0),"")</f>
        <v>150HP</v>
      </c>
      <c r="I367" s="763">
        <f>IFERROR(VLOOKUP(M367,'02. MM-KLH'!$B$6:$U$823,20,0),"")</f>
        <v>1</v>
      </c>
      <c r="J367" s="613" t="str">
        <f>IFERROR(VLOOKUP(M367,'02. MM-KLH'!$B$6:$T$823,19,0),"")</f>
        <v>D59M1N01096</v>
      </c>
      <c r="K367" s="613" t="str">
        <f>IFERROR(VLOOKUP(M367,'02. MM-KLH'!$B$6:$T$823,18,0),"")</f>
        <v>RNHF16FYBRT000138</v>
      </c>
      <c r="L367" s="353">
        <f>IFERROR(VLOOKUP(M367,'02. MM-KLH'!$B$6:$T$823,4,0),"")</f>
        <v>0</v>
      </c>
      <c r="M367" s="49" t="s">
        <v>787</v>
      </c>
      <c r="N367" s="356">
        <f>IFERROR(VLOOKUP(M367,'02. MM-KLH'!$B$6:$T$823,15,0),"")</f>
        <v>2024</v>
      </c>
      <c r="O367" s="764" t="str">
        <f>IFERROR(VLOOKUP(M367,'02. MM-KLH'!$B$6:$T$823,9,0),"")</f>
        <v>29/05/2025</v>
      </c>
      <c r="P367" s="722">
        <v>21743</v>
      </c>
      <c r="Q367" s="353"/>
      <c r="R367" s="353" t="s">
        <v>5978</v>
      </c>
      <c r="S367" s="353"/>
      <c r="T367" s="353"/>
      <c r="U367" s="353" t="str">
        <f>IFERROR(VLOOKUP(M367,'02. MM-KLH'!$B$6:$T$823,5,0),"")</f>
        <v>MỚI</v>
      </c>
      <c r="V367" s="731" t="str">
        <f>IFERROR(VLOOKUP(M367,'02. MM-KLH'!$B$6:$T$823,8,0),"")</f>
        <v>CGTC LP</v>
      </c>
      <c r="W367" s="353" t="str">
        <f>IFERROR(VLOOKUP(V367,'NS QUẢN LÝ CG'!$A$4:$D$36,2,0),"")</f>
        <v>Đỗ Đức Nghĩa</v>
      </c>
      <c r="X367" s="353" t="str">
        <f>IFERROR(VLOOKUP(V367,'NS QUẢN LÝ CG'!$A$4:$D$36,4,0),"")</f>
        <v>NOCN L.4-LP3</v>
      </c>
      <c r="Y367" s="1104" t="str">
        <f>IFERROR(VLOOKUP(V367,'NS QUẢN LÝ CG'!$A$4:$C$36,3,0),"")</f>
        <v>0971462780</v>
      </c>
      <c r="Z367" s="731" t="str">
        <f>IFERROR(VLOOKUP(M367,'02. MM-KLH'!$B$6:$T$823,3,0),"")</f>
        <v>A24-XTA-036</v>
      </c>
      <c r="AA367" s="353" t="str">
        <f t="shared" si="25"/>
        <v>LP</v>
      </c>
      <c r="AB367" s="731"/>
      <c r="AC367" s="731"/>
    </row>
    <row r="368" ht="13.8" spans="1:29">
      <c r="A368" s="731"/>
      <c r="B368" s="613" t="str">
        <f>IFERROR(VLOOKUP(M368,'02. MM-KLH'!$B$6:$T$823,6,0),"")</f>
        <v>Xe ben FD120</v>
      </c>
      <c r="C368" s="353">
        <v>1</v>
      </c>
      <c r="D368" s="353" t="str">
        <f>IFERROR(VLOOKUP(M368,'02. MM-KLH'!$B$6:$T$823,16,0),"")</f>
        <v>FD120-4WD</v>
      </c>
      <c r="E368" s="353" t="s">
        <v>5978</v>
      </c>
      <c r="F368" s="353"/>
      <c r="G368" s="353"/>
      <c r="H368" s="353" t="str">
        <f>IFERROR(VLOOKUP(M368,'02. MM-KLH'!$B$6:$T$823,17,0),"")</f>
        <v>129HP</v>
      </c>
      <c r="I368" s="763">
        <f>IFERROR(VLOOKUP(M368,'02. MM-KLH'!$B$6:$U$823,20,0),"")</f>
        <v>0.61</v>
      </c>
      <c r="J368" s="613" t="str">
        <f>IFERROR(VLOOKUP(M368,'02. MM-KLH'!$B$6:$T$823,19,0),"")</f>
        <v>YN38CRD1*AGN22000242*</v>
      </c>
      <c r="K368" s="613" t="str">
        <f>IFERROR(VLOOKUP(M368,'02. MM-KLH'!$B$6:$T$823,18,0),"")</f>
        <v>RNHF12FNBRT002062</v>
      </c>
      <c r="L368" s="353" t="str">
        <f>IFERROR(VLOOKUP(M368,'02. MM-KLH'!$B$6:$T$823,4,0),"")</f>
        <v>3A-6828</v>
      </c>
      <c r="M368" s="49" t="s">
        <v>650</v>
      </c>
      <c r="N368" s="356">
        <f>IFERROR(VLOOKUP(M368,'02. MM-KLH'!$B$6:$T$823,15,0),"")</f>
        <v>2024</v>
      </c>
      <c r="O368" s="764">
        <f>IFERROR(VLOOKUP(M368,'02. MM-KLH'!$B$6:$T$823,9,0),"")</f>
        <v>45936</v>
      </c>
      <c r="P368" s="353">
        <v>16900</v>
      </c>
      <c r="Q368" s="353"/>
      <c r="R368" s="353" t="s">
        <v>5978</v>
      </c>
      <c r="S368" s="353"/>
      <c r="T368" s="353"/>
      <c r="U368" s="353" t="str">
        <f>IFERROR(VLOOKUP(M368,'02. MM-KLH'!$B$6:$T$823,5,0),"")</f>
        <v>MỚI</v>
      </c>
      <c r="V368" s="731" t="str">
        <f>IFERROR(VLOOKUP(M368,'02. MM-KLH'!$B$6:$T$823,8,0),"")</f>
        <v>CGTC DP</v>
      </c>
      <c r="W368" s="353" t="str">
        <f>IFERROR(VLOOKUP(V368,'NS QUẢN LÝ CG'!$A$4:$D$36,2,0),"")</f>
        <v>Phạm Ngọc Hải</v>
      </c>
      <c r="X368" s="353" t="str">
        <f>IFERROR(VLOOKUP(V368,'NS QUẢN LÝ CG'!$A$4:$D$36,4,0),"")</f>
        <v>Lô 85 DP4</v>
      </c>
      <c r="Y368" s="1104" t="str">
        <f>IFERROR(VLOOKUP(V368,'NS QUẢN LÝ CG'!$A$4:$C$36,3,0),"")</f>
        <v>0825456565</v>
      </c>
      <c r="Z368" s="731" t="str">
        <f>IFERROR(VLOOKUP(M368,'02. MM-KLH'!$B$6:$T$823,3,0),"")</f>
        <v>A23-XTA-041</v>
      </c>
      <c r="AA368" s="353" t="str">
        <f t="shared" si="25"/>
        <v>DP</v>
      </c>
      <c r="AB368" s="731"/>
      <c r="AC368" s="731"/>
    </row>
    <row r="369" ht="13.8" spans="1:29">
      <c r="A369" s="731"/>
      <c r="B369" s="613" t="str">
        <f>IFERROR(VLOOKUP(M369,'02. MM-KLH'!$B$6:$T$823,6,0),"")</f>
        <v>Xe ben FD120</v>
      </c>
      <c r="C369" s="353">
        <v>1</v>
      </c>
      <c r="D369" s="353" t="str">
        <f>IFERROR(VLOOKUP(M369,'02. MM-KLH'!$B$6:$T$823,16,0),"")</f>
        <v>FD120-4WD</v>
      </c>
      <c r="E369" s="353" t="s">
        <v>5978</v>
      </c>
      <c r="F369" s="353"/>
      <c r="G369" s="353"/>
      <c r="H369" s="353" t="str">
        <f>IFERROR(VLOOKUP(M369,'02. MM-KLH'!$B$6:$T$823,17,0),"")</f>
        <v>129HP</v>
      </c>
      <c r="I369" s="763">
        <f>IFERROR(VLOOKUP(M369,'02. MM-KLH'!$B$6:$U$823,20,0),"")</f>
        <v>0.61</v>
      </c>
      <c r="J369" s="613" t="str">
        <f>IFERROR(VLOOKUP(M369,'02. MM-KLH'!$B$6:$T$823,19,0),"")</f>
        <v>YN38CRD1*AGN22000243*</v>
      </c>
      <c r="K369" s="613" t="str">
        <f>IFERROR(VLOOKUP(M369,'02. MM-KLH'!$B$6:$T$823,18,0),"")</f>
        <v>RNHF12FNBRT002063</v>
      </c>
      <c r="L369" s="353" t="str">
        <f>IFERROR(VLOOKUP(M369,'02. MM-KLH'!$B$6:$T$823,4,0),"")</f>
        <v>3A-6827</v>
      </c>
      <c r="M369" s="49" t="s">
        <v>658</v>
      </c>
      <c r="N369" s="356">
        <f>IFERROR(VLOOKUP(M369,'02. MM-KLH'!$B$6:$T$823,15,0),"")</f>
        <v>2024</v>
      </c>
      <c r="O369" s="764">
        <f>IFERROR(VLOOKUP(M369,'02. MM-KLH'!$B$6:$T$823,9,0),"")</f>
        <v>45936</v>
      </c>
      <c r="P369" s="353">
        <v>18316</v>
      </c>
      <c r="Q369" s="353"/>
      <c r="R369" s="353" t="s">
        <v>5978</v>
      </c>
      <c r="S369" s="353"/>
      <c r="T369" s="353"/>
      <c r="U369" s="353" t="str">
        <f>IFERROR(VLOOKUP(M369,'02. MM-KLH'!$B$6:$T$823,5,0),"")</f>
        <v>MỚI</v>
      </c>
      <c r="V369" s="731" t="str">
        <f>IFERROR(VLOOKUP(M369,'02. MM-KLH'!$B$6:$T$823,8,0),"")</f>
        <v>CGTC DP</v>
      </c>
      <c r="W369" s="353" t="str">
        <f>IFERROR(VLOOKUP(V369,'NS QUẢN LÝ CG'!$A$4:$D$36,2,0),"")</f>
        <v>Phạm Ngọc Hải</v>
      </c>
      <c r="X369" s="353" t="str">
        <f>IFERROR(VLOOKUP(V369,'NS QUẢN LÝ CG'!$A$4:$D$36,4,0),"")</f>
        <v>Lô 85 DP4</v>
      </c>
      <c r="Y369" s="1104" t="str">
        <f>IFERROR(VLOOKUP(V369,'NS QUẢN LÝ CG'!$A$4:$C$36,3,0),"")</f>
        <v>0825456565</v>
      </c>
      <c r="Z369" s="731" t="str">
        <f>IFERROR(VLOOKUP(M369,'02. MM-KLH'!$B$6:$T$823,3,0),"")</f>
        <v>A23-XTA-042</v>
      </c>
      <c r="AA369" s="353" t="str">
        <f t="shared" si="25"/>
        <v>DP</v>
      </c>
      <c r="AB369" s="731"/>
      <c r="AC369" s="731"/>
    </row>
    <row r="370" ht="13.8" spans="1:29">
      <c r="A370" s="731"/>
      <c r="B370" s="613" t="str">
        <f>IFERROR(VLOOKUP(M370,'02. MM-KLH'!$B$6:$T$823,6,0),"")</f>
        <v>Xe ben FD120</v>
      </c>
      <c r="C370" s="353">
        <v>1</v>
      </c>
      <c r="D370" s="353" t="str">
        <f>IFERROR(VLOOKUP(M370,'02. MM-KLH'!$B$6:$T$823,16,0),"")</f>
        <v>FD120-4WD</v>
      </c>
      <c r="E370" s="353" t="s">
        <v>5978</v>
      </c>
      <c r="F370" s="353"/>
      <c r="G370" s="353"/>
      <c r="H370" s="353" t="str">
        <f>IFERROR(VLOOKUP(M370,'02. MM-KLH'!$B$6:$T$823,17,0),"")</f>
        <v>129HP</v>
      </c>
      <c r="I370" s="763">
        <f>IFERROR(VLOOKUP(M370,'02. MM-KLH'!$B$6:$U$823,20,0),"")</f>
        <v>0.61</v>
      </c>
      <c r="J370" s="613" t="str">
        <f>IFERROR(VLOOKUP(M370,'02. MM-KLH'!$B$6:$T$823,19,0),"")</f>
        <v>YN38CRD1*AGN22000244*</v>
      </c>
      <c r="K370" s="613" t="str">
        <f>IFERROR(VLOOKUP(M370,'02. MM-KLH'!$B$6:$T$823,18,0),"")</f>
        <v>RNHF12FNBRT002064</v>
      </c>
      <c r="L370" s="353" t="str">
        <f>IFERROR(VLOOKUP(M370,'02. MM-KLH'!$B$6:$T$823,4,0),"")</f>
        <v>3A-6826</v>
      </c>
      <c r="M370" s="49" t="s">
        <v>663</v>
      </c>
      <c r="N370" s="356">
        <f>IFERROR(VLOOKUP(M370,'02. MM-KLH'!$B$6:$T$823,15,0),"")</f>
        <v>2024</v>
      </c>
      <c r="O370" s="764">
        <f>IFERROR(VLOOKUP(M370,'02. MM-KLH'!$B$6:$T$823,9,0),"")</f>
        <v>45936</v>
      </c>
      <c r="P370" s="353">
        <v>12234</v>
      </c>
      <c r="Q370" s="353"/>
      <c r="R370" s="353" t="s">
        <v>5978</v>
      </c>
      <c r="S370" s="353"/>
      <c r="T370" s="353"/>
      <c r="U370" s="353" t="str">
        <f>IFERROR(VLOOKUP(M370,'02. MM-KLH'!$B$6:$T$823,5,0),"")</f>
        <v>MỚI</v>
      </c>
      <c r="V370" s="731" t="str">
        <f>IFERROR(VLOOKUP(M370,'02. MM-KLH'!$B$6:$T$823,8,0),"")</f>
        <v>CGTC DP</v>
      </c>
      <c r="W370" s="353" t="str">
        <f>IFERROR(VLOOKUP(V370,'NS QUẢN LÝ CG'!$A$4:$D$36,2,0),"")</f>
        <v>Phạm Ngọc Hải</v>
      </c>
      <c r="X370" s="353" t="str">
        <f>IFERROR(VLOOKUP(V370,'NS QUẢN LÝ CG'!$A$4:$D$36,4,0),"")</f>
        <v>Lô 85 DP4</v>
      </c>
      <c r="Y370" s="1104" t="str">
        <f>IFERROR(VLOOKUP(V370,'NS QUẢN LÝ CG'!$A$4:$C$36,3,0),"")</f>
        <v>0825456565</v>
      </c>
      <c r="Z370" s="731" t="str">
        <f>IFERROR(VLOOKUP(M370,'02. MM-KLH'!$B$6:$T$823,3,0),"")</f>
        <v>A23-XTA-043</v>
      </c>
      <c r="AA370" s="353" t="str">
        <f t="shared" si="25"/>
        <v>DP</v>
      </c>
      <c r="AB370" s="731"/>
      <c r="AC370" s="731"/>
    </row>
    <row r="371" ht="13.8" spans="1:29">
      <c r="A371" s="731"/>
      <c r="B371" s="613" t="str">
        <f>IFERROR(VLOOKUP(M371,'02. MM-KLH'!$B$6:$T$823,6,0),"")</f>
        <v>Xe ben FD120</v>
      </c>
      <c r="C371" s="353">
        <v>1</v>
      </c>
      <c r="D371" s="353" t="str">
        <f>IFERROR(VLOOKUP(M371,'02. MM-KLH'!$B$6:$T$823,16,0),"")</f>
        <v>FD120-4WD</v>
      </c>
      <c r="E371" s="353" t="s">
        <v>5978</v>
      </c>
      <c r="F371" s="353"/>
      <c r="G371" s="353"/>
      <c r="H371" s="353" t="str">
        <f>IFERROR(VLOOKUP(M371,'02. MM-KLH'!$B$6:$T$823,17,0),"")</f>
        <v>129HP</v>
      </c>
      <c r="I371" s="763">
        <f>IFERROR(VLOOKUP(M371,'02. MM-KLH'!$B$6:$U$823,20,0),"")</f>
        <v>0.61</v>
      </c>
      <c r="J371" s="613" t="str">
        <f>IFERROR(VLOOKUP(M371,'02. MM-KLH'!$B$6:$T$823,19,0),"")</f>
        <v>YN38CRD1*AGN22000245*</v>
      </c>
      <c r="K371" s="613" t="str">
        <f>IFERROR(VLOOKUP(M371,'02. MM-KLH'!$B$6:$T$823,18,0),"")</f>
        <v>RNHF12FNBRT002065</v>
      </c>
      <c r="L371" s="353" t="str">
        <f>IFERROR(VLOOKUP(M371,'02. MM-KLH'!$B$6:$T$823,4,0),"")</f>
        <v>3A-6825</v>
      </c>
      <c r="M371" s="49" t="s">
        <v>668</v>
      </c>
      <c r="N371" s="356">
        <f>IFERROR(VLOOKUP(M371,'02. MM-KLH'!$B$6:$T$823,15,0),"")</f>
        <v>2024</v>
      </c>
      <c r="O371" s="764">
        <f>IFERROR(VLOOKUP(M371,'02. MM-KLH'!$B$6:$T$823,9,0),"")</f>
        <v>45936</v>
      </c>
      <c r="P371" s="353">
        <v>23257</v>
      </c>
      <c r="Q371" s="353"/>
      <c r="R371" s="353" t="s">
        <v>5978</v>
      </c>
      <c r="S371" s="353"/>
      <c r="T371" s="353"/>
      <c r="U371" s="353" t="str">
        <f>IFERROR(VLOOKUP(M371,'02. MM-KLH'!$B$6:$T$823,5,0),"")</f>
        <v>MỚI</v>
      </c>
      <c r="V371" s="731" t="str">
        <f>IFERROR(VLOOKUP(M371,'02. MM-KLH'!$B$6:$T$823,8,0),"")</f>
        <v>CGTC DP</v>
      </c>
      <c r="W371" s="353" t="str">
        <f>IFERROR(VLOOKUP(V371,'NS QUẢN LÝ CG'!$A$4:$D$36,2,0),"")</f>
        <v>Phạm Ngọc Hải</v>
      </c>
      <c r="X371" s="353" t="str">
        <f>IFERROR(VLOOKUP(V371,'NS QUẢN LÝ CG'!$A$4:$D$36,4,0),"")</f>
        <v>Lô 85 DP4</v>
      </c>
      <c r="Y371" s="1104" t="str">
        <f>IFERROR(VLOOKUP(V371,'NS QUẢN LÝ CG'!$A$4:$C$36,3,0),"")</f>
        <v>0825456565</v>
      </c>
      <c r="Z371" s="731" t="str">
        <f>IFERROR(VLOOKUP(M371,'02. MM-KLH'!$B$6:$T$823,3,0),"")</f>
        <v>A23-XTA-044</v>
      </c>
      <c r="AA371" s="353" t="str">
        <f t="shared" si="25"/>
        <v>DP</v>
      </c>
      <c r="AB371" s="731"/>
      <c r="AC371" s="731"/>
    </row>
    <row r="372" spans="1:29">
      <c r="A372" s="731"/>
      <c r="B372" s="613" t="str">
        <f>IFERROR(VLOOKUP(M372,'02. MM-KLH'!$B$6:$T$823,6,0),"")</f>
        <v>Xe ben FD120</v>
      </c>
      <c r="C372" s="353">
        <v>1</v>
      </c>
      <c r="D372" s="353" t="str">
        <f>IFERROR(VLOOKUP(M372,'02. MM-KLH'!$B$6:$T$823,16,0),"")</f>
        <v>FD120-4WD</v>
      </c>
      <c r="E372" s="353" t="s">
        <v>5978</v>
      </c>
      <c r="F372" s="353"/>
      <c r="G372" s="353"/>
      <c r="H372" s="353" t="str">
        <f>IFERROR(VLOOKUP(M372,'02. MM-KLH'!$B$6:$T$823,17,0),"")</f>
        <v>129HP</v>
      </c>
      <c r="I372" s="763">
        <f>IFERROR(VLOOKUP(M372,'02. MM-KLH'!$B$6:$U$823,20,0),"")</f>
        <v>0.61</v>
      </c>
      <c r="J372" s="613" t="str">
        <f>IFERROR(VLOOKUP(M372,'02. MM-KLH'!$B$6:$T$823,19,0),"")</f>
        <v>YN38CRD1*AGN22000246*</v>
      </c>
      <c r="K372" s="613" t="str">
        <f>IFERROR(VLOOKUP(M372,'02. MM-KLH'!$B$6:$T$823,18,0),"")</f>
        <v>RNHF12FNBRT002066</v>
      </c>
      <c r="L372" s="353" t="str">
        <f>IFERROR(VLOOKUP(M372,'02. MM-KLH'!$B$6:$T$823,4,0),"")</f>
        <v>3A-6800</v>
      </c>
      <c r="M372" s="49" t="s">
        <v>940</v>
      </c>
      <c r="N372" s="356">
        <f>IFERROR(VLOOKUP(M372,'02. MM-KLH'!$B$6:$T$823,15,0),"")</f>
        <v>2024</v>
      </c>
      <c r="O372" s="764">
        <f>IFERROR(VLOOKUP(M372,'02. MM-KLH'!$B$6:$T$823,9,0),"")</f>
        <v>45936</v>
      </c>
      <c r="P372" s="765">
        <v>32616</v>
      </c>
      <c r="Q372" s="353"/>
      <c r="R372" s="353"/>
      <c r="S372" s="353"/>
      <c r="T372" s="353"/>
      <c r="U372" s="353" t="str">
        <f>IFERROR(VLOOKUP(M372,'02. MM-KLH'!$B$6:$T$823,5,0),"")</f>
        <v>MỚI</v>
      </c>
      <c r="V372" s="731" t="str">
        <f>IFERROR(VLOOKUP(M372,'02. MM-KLH'!$B$6:$T$823,8,0),"")</f>
        <v>CGTC AD</v>
      </c>
      <c r="W372" s="353" t="str">
        <f>IFERROR(VLOOKUP(V372,'NS QUẢN LÝ CG'!$A$4:$D$36,2,0),"")</f>
        <v>Vũ Trung Kiên</v>
      </c>
      <c r="X372" s="353" t="str">
        <f>IFERROR(VLOOKUP(V372,'NS QUẢN LÝ CG'!$A$4:$D$36,4,0),"")</f>
        <v>Lô 73 ADM</v>
      </c>
      <c r="Y372" s="1104" t="str">
        <f>IFERROR(VLOOKUP(V372,'NS QUẢN LÝ CG'!$A$4:$C$36,3,0),"")</f>
        <v>0981761677</v>
      </c>
      <c r="Z372" s="731" t="str">
        <f>IFERROR(VLOOKUP(M372,'02. MM-KLH'!$B$6:$T$823,3,0),"")</f>
        <v>A22-XTA-048</v>
      </c>
      <c r="AA372" s="353" t="str">
        <f t="shared" si="25"/>
        <v>ADM</v>
      </c>
      <c r="AB372" s="731"/>
      <c r="AC372" s="731"/>
    </row>
    <row r="373" ht="13.8" spans="1:29">
      <c r="A373" s="731"/>
      <c r="B373" s="613" t="str">
        <f>IFERROR(VLOOKUP(M373,'02. MM-KLH'!$B$6:$T$823,6,0),"")</f>
        <v>Xe ben FD140</v>
      </c>
      <c r="C373" s="353">
        <v>1</v>
      </c>
      <c r="D373" s="353" t="str">
        <f>IFERROR(VLOOKUP(M373,'02. MM-KLH'!$B$6:$T$823,16,0),"")</f>
        <v>FD140-8T</v>
      </c>
      <c r="E373" s="353" t="s">
        <v>5978</v>
      </c>
      <c r="F373" s="353"/>
      <c r="G373" s="353"/>
      <c r="H373" s="353" t="str">
        <f>IFERROR(VLOOKUP(M373,'02. MM-KLH'!$B$6:$T$823,17,0),"")</f>
        <v>140HP</v>
      </c>
      <c r="I373" s="763">
        <f>IFERROR(VLOOKUP(M373,'02. MM-KLH'!$B$6:$U$823,20,0),"")</f>
        <v>5.7</v>
      </c>
      <c r="J373" s="613" t="str">
        <f>IFERROR(VLOOKUP(M373,'02. MM-KLH'!$B$6:$T$823,19,0),"")</f>
        <v>YC4D140-48D59M1J20731</v>
      </c>
      <c r="K373" s="613" t="str">
        <f>IFERROR(VLOOKUP(M373,'02. MM-KLH'!$B$6:$T$823,18,0),"")</f>
        <v>RNHF14FYALT024045</v>
      </c>
      <c r="L373" s="353">
        <f>IFERROR(VLOOKUP(M373,'02. MM-KLH'!$B$6:$T$823,4,0),"")</f>
        <v>0</v>
      </c>
      <c r="M373" s="49" t="s">
        <v>717</v>
      </c>
      <c r="N373" s="356">
        <f>IFERROR(VLOOKUP(M373,'02. MM-KLH'!$B$6:$T$823,15,0),"")</f>
        <v>2020</v>
      </c>
      <c r="O373" s="764">
        <f>IFERROR(VLOOKUP(M373,'02. MM-KLH'!$B$6:$T$823,9,0),"")</f>
        <v>44197</v>
      </c>
      <c r="P373" s="353" t="s">
        <v>1755</v>
      </c>
      <c r="Q373" s="353"/>
      <c r="R373" s="353"/>
      <c r="S373" s="353" t="s">
        <v>5978</v>
      </c>
      <c r="T373" s="353"/>
      <c r="U373" s="353" t="str">
        <f>IFERROR(VLOOKUP(M373,'02. MM-KLH'!$B$6:$T$823,5,0),"")</f>
        <v>ĐQSD</v>
      </c>
      <c r="V373" s="731" t="str">
        <f>IFERROR(VLOOKUP(M373,'02. MM-KLH'!$B$6:$T$823,8,0),"")</f>
        <v>CGTC LP</v>
      </c>
      <c r="W373" s="353" t="str">
        <f>IFERROR(VLOOKUP(V373,'NS QUẢN LÝ CG'!$A$4:$D$36,2,0),"")</f>
        <v>Đỗ Đức Nghĩa</v>
      </c>
      <c r="X373" s="353" t="str">
        <f>IFERROR(VLOOKUP(V373,'NS QUẢN LÝ CG'!$A$4:$D$36,4,0),"")</f>
        <v>NOCN L.4-LP3</v>
      </c>
      <c r="Y373" s="1104" t="str">
        <f>IFERROR(VLOOKUP(V373,'NS QUẢN LÝ CG'!$A$4:$C$36,3,0),"")</f>
        <v>0971462780</v>
      </c>
      <c r="Z373" s="731" t="str">
        <f>IFERROR(VLOOKUP(M373,'02. MM-KLH'!$B$6:$T$823,3,0),"")</f>
        <v>ATT-A24-0061</v>
      </c>
      <c r="AA373" s="353" t="s">
        <v>5981</v>
      </c>
      <c r="AB373" s="731"/>
      <c r="AC373" s="731"/>
    </row>
    <row r="374" spans="1:29">
      <c r="A374" s="731"/>
      <c r="B374" s="613" t="str">
        <f>IFERROR(VLOOKUP(M374,'02. MM-KLH'!$B$6:$T$823,6,0),"")</f>
        <v>Xe ben FD140</v>
      </c>
      <c r="C374" s="353">
        <v>1</v>
      </c>
      <c r="D374" s="353" t="str">
        <f>IFERROR(VLOOKUP(M374,'02. MM-KLH'!$B$6:$T$823,16,0),"")</f>
        <v>FD140-8T</v>
      </c>
      <c r="E374" s="353" t="s">
        <v>5978</v>
      </c>
      <c r="F374" s="353"/>
      <c r="G374" s="353"/>
      <c r="H374" s="353" t="str">
        <f>IFERROR(VLOOKUP(M374,'02. MM-KLH'!$B$6:$T$823,17,0),"")</f>
        <v>140HP</v>
      </c>
      <c r="I374" s="763">
        <f>IFERROR(VLOOKUP(M374,'02. MM-KLH'!$B$6:$U$823,20,0),"")</f>
        <v>0.4</v>
      </c>
      <c r="J374" s="613" t="str">
        <f>IFERROR(VLOOKUP(M374,'02. MM-KLH'!$B$6:$T$823,19,0),"")</f>
        <v>YC4D140-48D59M1J20797</v>
      </c>
      <c r="K374" s="613" t="str">
        <f>IFERROR(VLOOKUP(M374,'02. MM-KLH'!$B$6:$T$823,18,0),"")</f>
        <v>RNHF14FYALT024043</v>
      </c>
      <c r="L374" s="353">
        <f>IFERROR(VLOOKUP(M374,'02. MM-KLH'!$B$6:$T$823,4,0),"")</f>
        <v>0</v>
      </c>
      <c r="M374" s="49" t="s">
        <v>854</v>
      </c>
      <c r="N374" s="356">
        <f>IFERROR(VLOOKUP(M374,'02. MM-KLH'!$B$6:$T$823,15,0),"")</f>
        <v>2020</v>
      </c>
      <c r="O374" s="764">
        <f>IFERROR(VLOOKUP(M374,'02. MM-KLH'!$B$6:$T$823,9,0),"")</f>
        <v>0</v>
      </c>
      <c r="P374" s="765">
        <v>111451</v>
      </c>
      <c r="Q374" s="353"/>
      <c r="R374" s="353" t="s">
        <v>5978</v>
      </c>
      <c r="S374" s="353"/>
      <c r="T374" s="353"/>
      <c r="U374" s="353" t="str">
        <f>IFERROR(VLOOKUP(M374,'02. MM-KLH'!$B$6:$T$823,5,0),"")</f>
        <v>ĐQSD</v>
      </c>
      <c r="V374" s="731" t="str">
        <f>IFERROR(VLOOKUP(M374,'02. MM-KLH'!$B$6:$T$823,8,0),"")</f>
        <v>CGTC AD</v>
      </c>
      <c r="W374" s="353" t="str">
        <f>IFERROR(VLOOKUP(V374,'NS QUẢN LÝ CG'!$A$4:$D$36,2,0),"")</f>
        <v>Vũ Trung Kiên</v>
      </c>
      <c r="X374" s="353" t="str">
        <f>IFERROR(VLOOKUP(V374,'NS QUẢN LÝ CG'!$A$4:$D$36,4,0),"")</f>
        <v>Lô 73 ADM</v>
      </c>
      <c r="Y374" s="1104" t="str">
        <f>IFERROR(VLOOKUP(V374,'NS QUẢN LÝ CG'!$A$4:$C$36,3,0),"")</f>
        <v>0981761677</v>
      </c>
      <c r="Z374" s="731" t="str">
        <f>IFERROR(VLOOKUP(M374,'02. MM-KLH'!$B$6:$T$823,3,0),"")</f>
        <v>ATT-A24-0062</v>
      </c>
      <c r="AA374" s="353" t="s">
        <v>5981</v>
      </c>
      <c r="AB374" s="731"/>
      <c r="AC374" s="731"/>
    </row>
    <row r="375" ht="13.8" spans="1:29">
      <c r="A375" s="731"/>
      <c r="B375" s="613" t="str">
        <f>IFERROR(VLOOKUP(M375,'02. MM-KLH'!$B$6:$T$823,6,0),"")</f>
        <v>Xe ben FD850</v>
      </c>
      <c r="C375" s="353">
        <v>1</v>
      </c>
      <c r="D375" s="353" t="str">
        <f>IFERROR(VLOOKUP(M375,'02. MM-KLH'!$B$6:$T$823,16,0),"")</f>
        <v>FD850-5T</v>
      </c>
      <c r="E375" s="353" t="s">
        <v>5978</v>
      </c>
      <c r="F375" s="353"/>
      <c r="G375" s="353"/>
      <c r="H375" s="353" t="str">
        <f>IFERROR(VLOOKUP(M375,'02. MM-KLH'!$B$6:$T$823,17,0),"")</f>
        <v>140HP</v>
      </c>
      <c r="I375" s="763">
        <f>IFERROR(VLOOKUP(M375,'02. MM-KLH'!$B$6:$U$823,20,0),"")</f>
        <v>6</v>
      </c>
      <c r="J375" s="613" t="str">
        <f>IFERROR(VLOOKUP(M375,'02. MM-KLH'!$B$6:$T$823,19,0),"")</f>
        <v>D59M1J20132</v>
      </c>
      <c r="K375" s="613" t="str">
        <f>IFERROR(VLOOKUP(M375,'02. MM-KLH'!$B$6:$T$823,18,0),"")</f>
        <v>RNHF14FYALC008840</v>
      </c>
      <c r="L375" s="353">
        <f>IFERROR(VLOOKUP(M375,'02. MM-KLH'!$B$6:$T$823,4,0),"")</f>
        <v>0</v>
      </c>
      <c r="M375" s="49" t="s">
        <v>722</v>
      </c>
      <c r="N375" s="356">
        <f>IFERROR(VLOOKUP(M375,'02. MM-KLH'!$B$6:$T$823,15,0),"")</f>
        <v>2020</v>
      </c>
      <c r="O375" s="764">
        <f>IFERROR(VLOOKUP(M375,'02. MM-KLH'!$B$6:$T$823,9,0),"")</f>
        <v>0</v>
      </c>
      <c r="P375" s="353" t="s">
        <v>1755</v>
      </c>
      <c r="Q375" s="353"/>
      <c r="R375" s="353" t="s">
        <v>5978</v>
      </c>
      <c r="S375" s="353"/>
      <c r="T375" s="353"/>
      <c r="U375" s="353" t="str">
        <f>IFERROR(VLOOKUP(M375,'02. MM-KLH'!$B$6:$T$823,5,0),"")</f>
        <v>ĐQSD</v>
      </c>
      <c r="V375" s="731" t="str">
        <f>IFERROR(VLOOKUP(M375,'02. MM-KLH'!$B$6:$T$823,8,0),"")</f>
        <v>CGTC LP</v>
      </c>
      <c r="W375" s="353" t="str">
        <f>IFERROR(VLOOKUP(V375,'NS QUẢN LÝ CG'!$A$4:$D$36,2,0),"")</f>
        <v>Đỗ Đức Nghĩa</v>
      </c>
      <c r="X375" s="353" t="str">
        <f>IFERROR(VLOOKUP(V375,'NS QUẢN LÝ CG'!$A$4:$D$36,4,0),"")</f>
        <v>NOCN L.4-LP3</v>
      </c>
      <c r="Y375" s="1104" t="str">
        <f>IFERROR(VLOOKUP(V375,'NS QUẢN LÝ CG'!$A$4:$C$36,3,0),"")</f>
        <v>0971462780</v>
      </c>
      <c r="Z375" s="731" t="str">
        <f>IFERROR(VLOOKUP(M375,'02. MM-KLH'!$B$6:$T$823,3,0),"")</f>
        <v>A24-XTA-010</v>
      </c>
      <c r="AA375" s="353" t="str">
        <f>_xlfn.SWITCH(LEFT(Z375,3),"A22","ADM","A23","DP","A24","LP","")</f>
        <v>LP</v>
      </c>
      <c r="AB375" s="731"/>
      <c r="AC375" s="731"/>
    </row>
    <row r="376" ht="13.8" spans="1:29">
      <c r="A376" s="731"/>
      <c r="B376" s="613" t="str">
        <f>IFERROR(VLOOKUP(M376,'02. MM-KLH'!$B$6:$T$823,6,0),"")</f>
        <v>Xe ben FD150 (8.7m3)</v>
      </c>
      <c r="C376" s="353">
        <v>1</v>
      </c>
      <c r="D376" s="353" t="str">
        <f>IFERROR(VLOOKUP(M376,'02. MM-KLH'!$B$6:$T$823,16,0),"")</f>
        <v>FD150-4WD</v>
      </c>
      <c r="E376" s="353" t="s">
        <v>5978</v>
      </c>
      <c r="F376" s="353"/>
      <c r="G376" s="353"/>
      <c r="H376" s="353" t="str">
        <f>IFERROR(VLOOKUP(M376,'02. MM-KLH'!$B$6:$T$823,17,0),"")</f>
        <v>150HP</v>
      </c>
      <c r="I376" s="763">
        <f>IFERROR(VLOOKUP(M376,'02. MM-KLH'!$B$6:$U$823,20,0),"")</f>
        <v>0.45</v>
      </c>
      <c r="J376" s="613" t="str">
        <f>IFERROR(VLOOKUP(M376,'02. MM-KLH'!$B$6:$T$823,19,0),"")</f>
        <v>YC4D150-48D59M1N00931</v>
      </c>
      <c r="K376" s="613" t="str">
        <f>IFERROR(VLOOKUP(M376,'02. MM-KLH'!$B$6:$T$823,18,0),"")</f>
        <v>RNHF16FYAPTO77537</v>
      </c>
      <c r="L376" s="353">
        <f>IFERROR(VLOOKUP(M376,'02. MM-KLH'!$B$6:$T$823,4,0),"")</f>
        <v>0</v>
      </c>
      <c r="M376" s="49" t="s">
        <v>2996</v>
      </c>
      <c r="N376" s="356">
        <f>IFERROR(VLOOKUP(M376,'02. MM-KLH'!$B$6:$T$823,15,0),"")</f>
        <v>2023</v>
      </c>
      <c r="O376" s="764">
        <f>IFERROR(VLOOKUP(M376,'02. MM-KLH'!$B$6:$T$823,9,0),"")</f>
        <v>46089</v>
      </c>
      <c r="P376" s="353" t="s">
        <v>1755</v>
      </c>
      <c r="Q376" s="353"/>
      <c r="R376" s="353"/>
      <c r="S376" s="353"/>
      <c r="T376" s="353"/>
      <c r="U376" s="353" t="str">
        <f>IFERROR(VLOOKUP(M376,'02. MM-KLH'!$B$6:$T$823,5,0),"")</f>
        <v>ĐQSD</v>
      </c>
      <c r="V376" s="731" t="str">
        <f>IFERROR(VLOOKUP(M376,'02. MM-KLH'!$B$6:$T$823,8,0),"")</f>
        <v>Vườn tăng gia</v>
      </c>
      <c r="W376" s="353" t="str">
        <f>IFERROR(VLOOKUP(V376,'NS QUẢN LÝ CG'!$A$4:$D$36,2,0),"")</f>
        <v/>
      </c>
      <c r="X376" s="353" t="str">
        <f>IFERROR(VLOOKUP(V376,'NS QUẢN LÝ CG'!$A$4:$D$36,4,0),"")</f>
        <v/>
      </c>
      <c r="Y376" s="353" t="str">
        <f>IFERROR(VLOOKUP(V376,'NS QUẢN LÝ CG'!$A$4:$C$36,3,0),"")</f>
        <v/>
      </c>
      <c r="Z376" s="731" t="str">
        <f>IFERROR(VLOOKUP(M376,'02. MM-KLH'!$B$6:$T$823,3,0),"")</f>
        <v>ATT-A22-0298</v>
      </c>
      <c r="AA376" s="353" t="s">
        <v>5980</v>
      </c>
      <c r="AB376" s="731"/>
      <c r="AC376" s="731"/>
    </row>
    <row r="377" ht="13.8" spans="1:29">
      <c r="A377" s="731"/>
      <c r="B377" s="613" t="str">
        <f>IFERROR(VLOOKUP(M377,'02. MM-KLH'!$B$6:$T$823,6,0),"")</f>
        <v>Xe ben FD850</v>
      </c>
      <c r="C377" s="353">
        <v>1</v>
      </c>
      <c r="D377" s="353" t="str">
        <f>IFERROR(VLOOKUP(M377,'02. MM-KLH'!$B$6:$T$823,16,0),"")</f>
        <v>FD850-8T</v>
      </c>
      <c r="E377" s="353" t="s">
        <v>5978</v>
      </c>
      <c r="F377" s="353"/>
      <c r="G377" s="353"/>
      <c r="H377" s="353" t="str">
        <f>IFERROR(VLOOKUP(M377,'02. MM-KLH'!$B$6:$T$823,17,0),"")</f>
        <v>140HP</v>
      </c>
      <c r="I377" s="763">
        <f>IFERROR(VLOOKUP(M377,'02. MM-KLH'!$B$6:$U$823,20,0),"")</f>
        <v>0</v>
      </c>
      <c r="J377" s="613" t="str">
        <f>IFERROR(VLOOKUP(M377,'02. MM-KLH'!$B$6:$T$823,19,0),"")</f>
        <v>CCN</v>
      </c>
      <c r="K377" s="613" t="str">
        <f>IFERROR(VLOOKUP(M377,'02. MM-KLH'!$B$6:$T$823,18,0),"")</f>
        <v>RNHF14FYAL0008847</v>
      </c>
      <c r="L377" s="353">
        <f>IFERROR(VLOOKUP(M377,'02. MM-KLH'!$B$6:$T$823,4,0),"")</f>
        <v>0</v>
      </c>
      <c r="M377" s="49" t="s">
        <v>1413</v>
      </c>
      <c r="N377" s="356">
        <f>IFERROR(VLOOKUP(M377,'02. MM-KLH'!$B$6:$T$823,15,0),"")</f>
        <v>2010</v>
      </c>
      <c r="O377" s="764" t="str">
        <f>IFERROR(VLOOKUP(M377,'02. MM-KLH'!$B$6:$T$823,9,0),"")</f>
        <v>31/01/2024</v>
      </c>
      <c r="P377" s="353" t="s">
        <v>1755</v>
      </c>
      <c r="Q377" s="353"/>
      <c r="R377" s="353" t="s">
        <v>5978</v>
      </c>
      <c r="S377" s="353"/>
      <c r="T377" s="353"/>
      <c r="U377" s="353" t="str">
        <f>IFERROR(VLOOKUP(M377,'02. MM-KLH'!$B$6:$T$823,5,0),"")</f>
        <v>ĐQSD</v>
      </c>
      <c r="V377" s="731" t="str">
        <f>IFERROR(VLOOKUP(M377,'02. MM-KLH'!$B$6:$T$823,8,0),"")</f>
        <v>XN Chuối DP3</v>
      </c>
      <c r="W377" s="353" t="str">
        <f>IFERROR(VLOOKUP(V377,'NS QUẢN LÝ CG'!$A$4:$D$36,2,0),"")</f>
        <v/>
      </c>
      <c r="X377" s="353" t="str">
        <f>IFERROR(VLOOKUP(V377,'NS QUẢN LÝ CG'!$A$4:$D$36,4,0),"")</f>
        <v/>
      </c>
      <c r="Y377" s="353" t="str">
        <f>IFERROR(VLOOKUP(V377,'NS QUẢN LÝ CG'!$A$4:$C$36,3,0),"")</f>
        <v/>
      </c>
      <c r="Z377" s="731" t="str">
        <f>IFERROR(VLOOKUP(M377,'02. MM-KLH'!$B$6:$T$823,3,0),"")</f>
        <v>A23-XTA-007</v>
      </c>
      <c r="AA377" s="353" t="str">
        <f t="shared" ref="AA377:AA395" si="26">_xlfn.SWITCH(LEFT(Z377,3),"A22","ADM","A23","DP","A24","LP","")</f>
        <v>DP</v>
      </c>
      <c r="AB377" s="731"/>
      <c r="AC377" s="731"/>
    </row>
    <row r="378" ht="13.8" spans="1:29">
      <c r="A378" s="731"/>
      <c r="B378" s="613" t="str">
        <f>IFERROR(VLOOKUP(M378,'02. MM-KLH'!$B$6:$T$823,6,0),"")</f>
        <v>Xe ben Forland FD990-4WDXTH4-5T</v>
      </c>
      <c r="C378" s="353">
        <v>1</v>
      </c>
      <c r="D378" s="353" t="str">
        <f>IFERROR(VLOOKUP(M378,'02. MM-KLH'!$B$6:$T$823,16,0),"")</f>
        <v> FD990-4WD</v>
      </c>
      <c r="E378" s="353" t="s">
        <v>5978</v>
      </c>
      <c r="F378" s="353"/>
      <c r="G378" s="353"/>
      <c r="H378" s="353" t="str">
        <f>IFERROR(VLOOKUP(M378,'02. MM-KLH'!$B$6:$T$823,17,0),"")</f>
        <v>94HP</v>
      </c>
      <c r="I378" s="763">
        <f>IFERROR(VLOOKUP(M378,'02. MM-KLH'!$B$6:$U$823,20,0),"")</f>
        <v>0.33</v>
      </c>
      <c r="J378" s="613" t="str">
        <f>IFERROR(VLOOKUP(M378,'02. MM-KLH'!$B$6:$T$823,19,0),"")</f>
        <v>4DW93-95E4*B0576949*</v>
      </c>
      <c r="K378" s="613" t="str">
        <f>IFERROR(VLOOKUP(M378,'02. MM-KLH'!$B$6:$T$823,18,0),"")</f>
        <v>RNHF99FACRT090613</v>
      </c>
      <c r="L378" s="353">
        <f>IFERROR(VLOOKUP(M378,'02. MM-KLH'!$B$6:$T$823,4,0),"")</f>
        <v>0</v>
      </c>
      <c r="M378" s="49" t="s">
        <v>1169</v>
      </c>
      <c r="N378" s="356">
        <f>IFERROR(VLOOKUP(M378,'02. MM-KLH'!$B$6:$T$823,15,0),"")</f>
        <v>2024</v>
      </c>
      <c r="O378" s="764">
        <f>IFERROR(VLOOKUP(M378,'02. MM-KLH'!$B$6:$T$823,9,0),"")</f>
        <v>45632</v>
      </c>
      <c r="P378" s="353" t="s">
        <v>1755</v>
      </c>
      <c r="Q378" s="353"/>
      <c r="R378" s="353"/>
      <c r="S378" s="353"/>
      <c r="T378" s="353"/>
      <c r="U378" s="353" t="str">
        <f>IFERROR(VLOOKUP(M378,'02. MM-KLH'!$B$6:$T$823,5,0),"")</f>
        <v>MỚI</v>
      </c>
      <c r="V378" s="731" t="str">
        <f>IFERROR(VLOOKUP(M378,'02. MM-KLH'!$B$6:$T$823,8,0),"")</f>
        <v>XN Chuối DP1</v>
      </c>
      <c r="W378" s="353" t="str">
        <f>IFERROR(VLOOKUP(V378,'NS QUẢN LÝ CG'!$A$4:$D$36,2,0),"")</f>
        <v/>
      </c>
      <c r="X378" s="353" t="str">
        <f>IFERROR(VLOOKUP(V378,'NS QUẢN LÝ CG'!$A$4:$D$36,4,0),"")</f>
        <v/>
      </c>
      <c r="Y378" s="353" t="str">
        <f>IFERROR(VLOOKUP(V378,'NS QUẢN LÝ CG'!$A$4:$C$36,3,0),"")</f>
        <v/>
      </c>
      <c r="Z378" s="731" t="str">
        <f>IFERROR(VLOOKUP(M378,'02. MM-KLH'!$B$6:$T$823,3,0),"")</f>
        <v>A23-XTA-003</v>
      </c>
      <c r="AA378" s="353" t="str">
        <f t="shared" si="26"/>
        <v>DP</v>
      </c>
      <c r="AB378" s="731"/>
      <c r="AC378" s="731"/>
    </row>
    <row r="379" ht="13.8" spans="1:29">
      <c r="A379" s="731"/>
      <c r="B379" s="613" t="str">
        <f>IFERROR(VLOOKUP(M379,'02. MM-KLH'!$B$6:$T$823,6,0),"")</f>
        <v>Xe ben Forland FD990-4WDXTH4-5T</v>
      </c>
      <c r="C379" s="353">
        <v>1</v>
      </c>
      <c r="D379" s="353" t="str">
        <f>IFERROR(VLOOKUP(M379,'02. MM-KLH'!$B$6:$T$823,16,0),"")</f>
        <v> FD990-4WD</v>
      </c>
      <c r="E379" s="353" t="s">
        <v>5978</v>
      </c>
      <c r="F379" s="353"/>
      <c r="G379" s="353"/>
      <c r="H379" s="353" t="str">
        <f>IFERROR(VLOOKUP(M379,'02. MM-KLH'!$B$6:$T$823,17,0),"")</f>
        <v>94HP</v>
      </c>
      <c r="I379" s="763">
        <f>IFERROR(VLOOKUP(M379,'02. MM-KLH'!$B$6:$U$823,20,0),"")</f>
        <v>0.33</v>
      </c>
      <c r="J379" s="613" t="str">
        <f>IFERROR(VLOOKUP(M379,'02. MM-KLH'!$B$6:$T$823,19,0),"")</f>
        <v>4DW93-95E4*B0576971*</v>
      </c>
      <c r="K379" s="613" t="str">
        <f>IFERROR(VLOOKUP(M379,'02. MM-KLH'!$B$6:$T$823,18,0),"")</f>
        <v>RNHF99FACRT090609</v>
      </c>
      <c r="L379" s="353">
        <f>IFERROR(VLOOKUP(M379,'02. MM-KLH'!$B$6:$T$823,4,0),"")</f>
        <v>0</v>
      </c>
      <c r="M379" s="49" t="s">
        <v>1176</v>
      </c>
      <c r="N379" s="356">
        <f>IFERROR(VLOOKUP(M379,'02. MM-KLH'!$B$6:$T$823,15,0),"")</f>
        <v>2024</v>
      </c>
      <c r="O379" s="764">
        <f>IFERROR(VLOOKUP(M379,'02. MM-KLH'!$B$6:$T$823,9,0),"")</f>
        <v>45632</v>
      </c>
      <c r="P379" s="353" t="s">
        <v>1755</v>
      </c>
      <c r="Q379" s="353"/>
      <c r="R379" s="353"/>
      <c r="S379" s="353"/>
      <c r="T379" s="353"/>
      <c r="U379" s="353" t="str">
        <f>IFERROR(VLOOKUP(M379,'02. MM-KLH'!$B$6:$T$823,5,0),"")</f>
        <v>MỚI</v>
      </c>
      <c r="V379" s="731" t="str">
        <f>IFERROR(VLOOKUP(M379,'02. MM-KLH'!$B$6:$T$823,8,0),"")</f>
        <v>XN Chuối DP1</v>
      </c>
      <c r="W379" s="353" t="str">
        <f>IFERROR(VLOOKUP(V379,'NS QUẢN LÝ CG'!$A$4:$D$36,2,0),"")</f>
        <v/>
      </c>
      <c r="X379" s="353" t="str">
        <f>IFERROR(VLOOKUP(V379,'NS QUẢN LÝ CG'!$A$4:$D$36,4,0),"")</f>
        <v/>
      </c>
      <c r="Y379" s="353" t="str">
        <f>IFERROR(VLOOKUP(V379,'NS QUẢN LÝ CG'!$A$4:$C$36,3,0),"")</f>
        <v/>
      </c>
      <c r="Z379" s="731" t="str">
        <f>IFERROR(VLOOKUP(M379,'02. MM-KLH'!$B$6:$T$823,3,0),"")</f>
        <v>A23-XTA-004</v>
      </c>
      <c r="AA379" s="353" t="str">
        <f t="shared" si="26"/>
        <v>DP</v>
      </c>
      <c r="AB379" s="731"/>
      <c r="AC379" s="731"/>
    </row>
    <row r="380" ht="13.8" spans="1:29">
      <c r="A380" s="731"/>
      <c r="B380" s="613" t="str">
        <f>IFERROR(VLOOKUP(M380,'02. MM-KLH'!$B$6:$T$823,6,0),"")</f>
        <v>Xe ben Forland FD990-4WDXTH4-5T</v>
      </c>
      <c r="C380" s="353">
        <v>1</v>
      </c>
      <c r="D380" s="353" t="str">
        <f>IFERROR(VLOOKUP(M380,'02. MM-KLH'!$B$6:$T$823,16,0),"")</f>
        <v> FD990-4WD</v>
      </c>
      <c r="E380" s="353" t="s">
        <v>5978</v>
      </c>
      <c r="F380" s="353"/>
      <c r="G380" s="353"/>
      <c r="H380" s="353" t="str">
        <f>IFERROR(VLOOKUP(M380,'02. MM-KLH'!$B$6:$T$823,17,0),"")</f>
        <v>94HP</v>
      </c>
      <c r="I380" s="763">
        <f>IFERROR(VLOOKUP(M380,'02. MM-KLH'!$B$6:$U$823,20,0),"")</f>
        <v>3</v>
      </c>
      <c r="J380" s="613" t="str">
        <f>IFERROR(VLOOKUP(M380,'02. MM-KLH'!$B$6:$T$823,19,0),"")</f>
        <v>4DW93-95E4*B0576946*</v>
      </c>
      <c r="K380" s="613" t="str">
        <f>IFERROR(VLOOKUP(M380,'02. MM-KLH'!$B$6:$T$823,18,0),"")</f>
        <v>RNHF99FACRT087868</v>
      </c>
      <c r="L380" s="353">
        <f>IFERROR(VLOOKUP(M380,'02. MM-KLH'!$B$6:$T$823,4,0),"")</f>
        <v>0</v>
      </c>
      <c r="M380" s="49" t="s">
        <v>1181</v>
      </c>
      <c r="N380" s="356">
        <f>IFERROR(VLOOKUP(M380,'02. MM-KLH'!$B$6:$T$823,15,0),"")</f>
        <v>2024</v>
      </c>
      <c r="O380" s="764">
        <f>IFERROR(VLOOKUP(M380,'02. MM-KLH'!$B$6:$T$823,9,0),"")</f>
        <v>45632</v>
      </c>
      <c r="P380" s="353" t="s">
        <v>1755</v>
      </c>
      <c r="Q380" s="353"/>
      <c r="R380" s="353"/>
      <c r="S380" s="353"/>
      <c r="T380" s="353"/>
      <c r="U380" s="353" t="str">
        <f>IFERROR(VLOOKUP(M380,'02. MM-KLH'!$B$6:$T$823,5,0),"")</f>
        <v>MỚI</v>
      </c>
      <c r="V380" s="731" t="str">
        <f>IFERROR(VLOOKUP(M380,'02. MM-KLH'!$B$6:$T$823,8,0),"")</f>
        <v>XN Chuối DP1</v>
      </c>
      <c r="W380" s="353" t="str">
        <f>IFERROR(VLOOKUP(V380,'NS QUẢN LÝ CG'!$A$4:$D$36,2,0),"")</f>
        <v/>
      </c>
      <c r="X380" s="353" t="str">
        <f>IFERROR(VLOOKUP(V380,'NS QUẢN LÝ CG'!$A$4:$D$36,4,0),"")</f>
        <v/>
      </c>
      <c r="Y380" s="353" t="str">
        <f>IFERROR(VLOOKUP(V380,'NS QUẢN LÝ CG'!$A$4:$C$36,3,0),"")</f>
        <v/>
      </c>
      <c r="Z380" s="731" t="str">
        <f>IFERROR(VLOOKUP(M380,'02. MM-KLH'!$B$6:$T$823,3,0),"")</f>
        <v>A23-XTA-005</v>
      </c>
      <c r="AA380" s="353" t="str">
        <f t="shared" si="26"/>
        <v>DP</v>
      </c>
      <c r="AB380" s="731"/>
      <c r="AC380" s="731"/>
    </row>
    <row r="381" ht="13.8" spans="1:29">
      <c r="A381" s="731"/>
      <c r="B381" s="613" t="str">
        <f>IFERROR(VLOOKUP(M381,'02. MM-KLH'!$B$6:$T$823,6,0),"")</f>
        <v>Xe ben Forland FD990-4WDXTH4-5T</v>
      </c>
      <c r="C381" s="353">
        <v>1</v>
      </c>
      <c r="D381" s="353" t="str">
        <f>IFERROR(VLOOKUP(M381,'02. MM-KLH'!$B$6:$T$823,16,0),"")</f>
        <v> FD990-4WD</v>
      </c>
      <c r="E381" s="353" t="s">
        <v>5978</v>
      </c>
      <c r="F381" s="353"/>
      <c r="G381" s="353"/>
      <c r="H381" s="353" t="str">
        <f>IFERROR(VLOOKUP(M381,'02. MM-KLH'!$B$6:$T$823,17,0),"")</f>
        <v>94HP</v>
      </c>
      <c r="I381" s="763">
        <f>IFERROR(VLOOKUP(M381,'02. MM-KLH'!$B$6:$U$823,20,0),"")</f>
        <v>0.33</v>
      </c>
      <c r="J381" s="613" t="str">
        <f>IFERROR(VLOOKUP(M381,'02. MM-KLH'!$B$6:$T$823,19,0),"")</f>
        <v>4DW93-95E4*B0576959*</v>
      </c>
      <c r="K381" s="613" t="str">
        <f>IFERROR(VLOOKUP(M381,'02. MM-KLH'!$B$6:$T$823,18,0),"")</f>
        <v>RNHF99FACRT090610</v>
      </c>
      <c r="L381" s="353">
        <f>IFERROR(VLOOKUP(M381,'02. MM-KLH'!$B$6:$T$823,4,0),"")</f>
        <v>0</v>
      </c>
      <c r="M381" s="49" t="s">
        <v>1186</v>
      </c>
      <c r="N381" s="356">
        <f>IFERROR(VLOOKUP(M381,'02. MM-KLH'!$B$6:$T$823,15,0),"")</f>
        <v>2024</v>
      </c>
      <c r="O381" s="764">
        <f>IFERROR(VLOOKUP(M381,'02. MM-KLH'!$B$6:$T$823,9,0),"")</f>
        <v>45632</v>
      </c>
      <c r="P381" s="353" t="s">
        <v>1755</v>
      </c>
      <c r="Q381" s="353"/>
      <c r="R381" s="353"/>
      <c r="S381" s="353"/>
      <c r="T381" s="353"/>
      <c r="U381" s="353" t="str">
        <f>IFERROR(VLOOKUP(M381,'02. MM-KLH'!$B$6:$T$823,5,0),"")</f>
        <v>MỚI</v>
      </c>
      <c r="V381" s="731" t="str">
        <f>IFERROR(VLOOKUP(M381,'02. MM-KLH'!$B$6:$T$823,8,0),"")</f>
        <v>XN Chuối DP1</v>
      </c>
      <c r="W381" s="353" t="str">
        <f>IFERROR(VLOOKUP(V381,'NS QUẢN LÝ CG'!$A$4:$D$36,2,0),"")</f>
        <v/>
      </c>
      <c r="X381" s="353" t="str">
        <f>IFERROR(VLOOKUP(V381,'NS QUẢN LÝ CG'!$A$4:$D$36,4,0),"")</f>
        <v/>
      </c>
      <c r="Y381" s="353" t="str">
        <f>IFERROR(VLOOKUP(V381,'NS QUẢN LÝ CG'!$A$4:$C$36,3,0),"")</f>
        <v/>
      </c>
      <c r="Z381" s="731" t="str">
        <f>IFERROR(VLOOKUP(M381,'02. MM-KLH'!$B$6:$T$823,3,0),"")</f>
        <v>A23-XTA-006</v>
      </c>
      <c r="AA381" s="353" t="str">
        <f t="shared" si="26"/>
        <v>DP</v>
      </c>
      <c r="AB381" s="731"/>
      <c r="AC381" s="731"/>
    </row>
    <row r="382" ht="13.8" spans="1:29">
      <c r="A382" s="731"/>
      <c r="B382" s="613" t="str">
        <f>IFERROR(VLOOKUP(M382,'02. MM-KLH'!$B$6:$T$823,6,0),"")</f>
        <v>Xe ben Forland FD990-4WDXTH4-5T</v>
      </c>
      <c r="C382" s="353">
        <v>1</v>
      </c>
      <c r="D382" s="353" t="str">
        <f>IFERROR(VLOOKUP(M382,'02. MM-KLH'!$B$6:$T$823,16,0),"")</f>
        <v> FD990-4WD</v>
      </c>
      <c r="E382" s="353" t="s">
        <v>5978</v>
      </c>
      <c r="F382" s="353"/>
      <c r="G382" s="353"/>
      <c r="H382" s="353" t="str">
        <f>IFERROR(VLOOKUP(M382,'02. MM-KLH'!$B$6:$T$823,17,0),"")</f>
        <v>94HP</v>
      </c>
      <c r="I382" s="763">
        <f>IFERROR(VLOOKUP(M382,'02. MM-KLH'!$B$6:$U$823,20,0),"")</f>
        <v>0.33</v>
      </c>
      <c r="J382" s="613" t="str">
        <f>IFERROR(VLOOKUP(M382,'02. MM-KLH'!$B$6:$T$823,19,0),"")</f>
        <v>B0576976</v>
      </c>
      <c r="K382" s="613" t="str">
        <f>IFERROR(VLOOKUP(M382,'02. MM-KLH'!$B$6:$T$823,18,0),"")</f>
        <v>RNHF99FACRT092728</v>
      </c>
      <c r="L382" s="353">
        <f>IFERROR(VLOOKUP(M382,'02. MM-KLH'!$B$6:$T$823,4,0),"")</f>
        <v>0</v>
      </c>
      <c r="M382" s="49" t="s">
        <v>1278</v>
      </c>
      <c r="N382" s="356">
        <f>IFERROR(VLOOKUP(M382,'02. MM-KLH'!$B$6:$T$823,15,0),"")</f>
        <v>2024</v>
      </c>
      <c r="O382" s="764" t="str">
        <f>IFERROR(VLOOKUP(M382,'02. MM-KLH'!$B$6:$T$823,9,0),"")</f>
        <v>30/07/2024</v>
      </c>
      <c r="P382" s="353">
        <v>34677</v>
      </c>
      <c r="Q382" s="353"/>
      <c r="R382" s="353" t="s">
        <v>5978</v>
      </c>
      <c r="S382" s="353"/>
      <c r="T382" s="353"/>
      <c r="U382" s="353" t="str">
        <f>IFERROR(VLOOKUP(M382,'02. MM-KLH'!$B$6:$T$823,5,0),"")</f>
        <v> MỚI</v>
      </c>
      <c r="V382" s="731" t="str">
        <f>IFERROR(VLOOKUP(M382,'02. MM-KLH'!$B$6:$T$823,8,0),"")</f>
        <v>XN Chuối DP2</v>
      </c>
      <c r="W382" s="353" t="str">
        <f>IFERROR(VLOOKUP(V382,'NS QUẢN LÝ CG'!$A$4:$D$36,2,0),"")</f>
        <v/>
      </c>
      <c r="X382" s="353" t="str">
        <f>IFERROR(VLOOKUP(V382,'NS QUẢN LÝ CG'!$A$4:$D$36,4,0),"")</f>
        <v/>
      </c>
      <c r="Y382" s="353" t="str">
        <f>IFERROR(VLOOKUP(V382,'NS QUẢN LÝ CG'!$A$4:$C$36,3,0),"")</f>
        <v/>
      </c>
      <c r="Z382" s="731" t="str">
        <f>IFERROR(VLOOKUP(M382,'02. MM-KLH'!$B$6:$T$823,3,0),"")</f>
        <v>A23-XTA-019</v>
      </c>
      <c r="AA382" s="353" t="str">
        <f t="shared" si="26"/>
        <v>DP</v>
      </c>
      <c r="AB382" s="731"/>
      <c r="AC382" s="731"/>
    </row>
    <row r="383" ht="13.8" spans="1:29">
      <c r="A383" s="731"/>
      <c r="B383" s="613" t="str">
        <f>IFERROR(VLOOKUP(M383,'02. MM-KLH'!$B$6:$T$823,6,0),"")</f>
        <v>Xe ben Forland FD990-4WDXTH4-5T</v>
      </c>
      <c r="C383" s="353">
        <v>1</v>
      </c>
      <c r="D383" s="353" t="str">
        <f>IFERROR(VLOOKUP(M383,'02. MM-KLH'!$B$6:$T$823,16,0),"")</f>
        <v> FD990-4WD</v>
      </c>
      <c r="E383" s="353" t="s">
        <v>5978</v>
      </c>
      <c r="F383" s="353"/>
      <c r="G383" s="353"/>
      <c r="H383" s="353" t="str">
        <f>IFERROR(VLOOKUP(M383,'02. MM-KLH'!$B$6:$T$823,17,0),"")</f>
        <v>94HP</v>
      </c>
      <c r="I383" s="763">
        <f>IFERROR(VLOOKUP(M383,'02. MM-KLH'!$B$6:$U$823,20,0),"")</f>
        <v>3</v>
      </c>
      <c r="J383" s="613" t="str">
        <f>IFERROR(VLOOKUP(M383,'02. MM-KLH'!$B$6:$T$823,19,0),"")</f>
        <v>B0577298</v>
      </c>
      <c r="K383" s="613" t="str">
        <f>IFERROR(VLOOKUP(M383,'02. MM-KLH'!$B$6:$T$823,18,0),"")</f>
        <v>RNHF99FACRT092729</v>
      </c>
      <c r="L383" s="353">
        <f>IFERROR(VLOOKUP(M383,'02. MM-KLH'!$B$6:$T$823,4,0),"")</f>
        <v>0</v>
      </c>
      <c r="M383" s="49" t="s">
        <v>1282</v>
      </c>
      <c r="N383" s="356">
        <f>IFERROR(VLOOKUP(M383,'02. MM-KLH'!$B$6:$T$823,15,0),"")</f>
        <v>2024</v>
      </c>
      <c r="O383" s="764" t="str">
        <f>IFERROR(VLOOKUP(M383,'02. MM-KLH'!$B$6:$T$823,9,0),"")</f>
        <v>30/07/2024</v>
      </c>
      <c r="P383" s="353" t="s">
        <v>1755</v>
      </c>
      <c r="Q383" s="353"/>
      <c r="R383" s="353" t="s">
        <v>5978</v>
      </c>
      <c r="S383" s="353"/>
      <c r="T383" s="353"/>
      <c r="U383" s="353" t="str">
        <f>IFERROR(VLOOKUP(M383,'02. MM-KLH'!$B$6:$T$823,5,0),"")</f>
        <v> MỚI</v>
      </c>
      <c r="V383" s="731" t="str">
        <f>IFERROR(VLOOKUP(M383,'02. MM-KLH'!$B$6:$T$823,8,0),"")</f>
        <v>XN Chuối DP2</v>
      </c>
      <c r="W383" s="353" t="str">
        <f>IFERROR(VLOOKUP(V383,'NS QUẢN LÝ CG'!$A$4:$D$36,2,0),"")</f>
        <v/>
      </c>
      <c r="X383" s="353" t="str">
        <f>IFERROR(VLOOKUP(V383,'NS QUẢN LÝ CG'!$A$4:$D$36,4,0),"")</f>
        <v/>
      </c>
      <c r="Y383" s="353" t="str">
        <f>IFERROR(VLOOKUP(V383,'NS QUẢN LÝ CG'!$A$4:$C$36,3,0),"")</f>
        <v/>
      </c>
      <c r="Z383" s="731" t="str">
        <f>IFERROR(VLOOKUP(M383,'02. MM-KLH'!$B$6:$T$823,3,0),"")</f>
        <v>A23-XTA-020</v>
      </c>
      <c r="AA383" s="353" t="str">
        <f t="shared" si="26"/>
        <v>DP</v>
      </c>
      <c r="AB383" s="731"/>
      <c r="AC383" s="731"/>
    </row>
    <row r="384" ht="13.8" spans="1:29">
      <c r="A384" s="731"/>
      <c r="B384" s="613" t="str">
        <f>IFERROR(VLOOKUP(M384,'02. MM-KLH'!$B$6:$T$823,6,0),"")</f>
        <v>Xe ben Forland FD990-4WDXTH4-5T</v>
      </c>
      <c r="C384" s="353">
        <v>1</v>
      </c>
      <c r="D384" s="353" t="str">
        <f>IFERROR(VLOOKUP(M384,'02. MM-KLH'!$B$6:$T$823,16,0),"")</f>
        <v> FD990-4WD</v>
      </c>
      <c r="E384" s="353" t="s">
        <v>5978</v>
      </c>
      <c r="F384" s="353"/>
      <c r="G384" s="353"/>
      <c r="H384" s="353" t="str">
        <f>IFERROR(VLOOKUP(M384,'02. MM-KLH'!$B$6:$T$823,17,0),"")</f>
        <v>100HP</v>
      </c>
      <c r="I384" s="763">
        <f>IFERROR(VLOOKUP(M384,'02. MM-KLH'!$B$6:$U$823,20,0),"")</f>
        <v>0.33</v>
      </c>
      <c r="J384" s="613" t="str">
        <f>IFERROR(VLOOKUP(M384,'02. MM-KLH'!$B$6:$T$823,19,0),"")</f>
        <v>4DW9395E4B0576690</v>
      </c>
      <c r="K384" s="613" t="str">
        <f>IFERROR(VLOOKUP(M384,'02. MM-KLH'!$B$6:$T$823,18,0),"")</f>
        <v>RNHF99FACPT075129</v>
      </c>
      <c r="L384" s="353">
        <f>IFERROR(VLOOKUP(M384,'02. MM-KLH'!$B$6:$T$823,4,0),"")</f>
        <v>0</v>
      </c>
      <c r="M384" s="49" t="s">
        <v>1286</v>
      </c>
      <c r="N384" s="356">
        <f>IFERROR(VLOOKUP(M384,'02. MM-KLH'!$B$6:$T$823,15,0),"")</f>
        <v>2023</v>
      </c>
      <c r="O384" s="764">
        <f>IFERROR(VLOOKUP(M384,'02. MM-KLH'!$B$6:$T$823,9,0),"")</f>
        <v>45569</v>
      </c>
      <c r="P384" s="353" t="s">
        <v>1755</v>
      </c>
      <c r="Q384" s="353"/>
      <c r="R384" s="353" t="s">
        <v>5978</v>
      </c>
      <c r="S384" s="353"/>
      <c r="T384" s="353"/>
      <c r="U384" s="353" t="str">
        <f>IFERROR(VLOOKUP(M384,'02. MM-KLH'!$B$6:$T$823,5,0),"")</f>
        <v> MỚI</v>
      </c>
      <c r="V384" s="731" t="str">
        <f>IFERROR(VLOOKUP(M384,'02. MM-KLH'!$B$6:$T$823,8,0),"")</f>
        <v>XN Chuối DP2</v>
      </c>
      <c r="W384" s="353" t="str">
        <f>IFERROR(VLOOKUP(V384,'NS QUẢN LÝ CG'!$A$4:$D$36,2,0),"")</f>
        <v/>
      </c>
      <c r="X384" s="353" t="str">
        <f>IFERROR(VLOOKUP(V384,'NS QUẢN LÝ CG'!$A$4:$D$36,4,0),"")</f>
        <v/>
      </c>
      <c r="Y384" s="353" t="str">
        <f>IFERROR(VLOOKUP(V384,'NS QUẢN LÝ CG'!$A$4:$C$36,3,0),"")</f>
        <v/>
      </c>
      <c r="Z384" s="731" t="str">
        <f>IFERROR(VLOOKUP(M384,'02. MM-KLH'!$B$6:$T$823,3,0),"")</f>
        <v>A24-XTA-003</v>
      </c>
      <c r="AA384" s="353" t="str">
        <f t="shared" si="26"/>
        <v>LP</v>
      </c>
      <c r="AB384" s="731"/>
      <c r="AC384" s="731"/>
    </row>
    <row r="385" ht="13.8" spans="1:29">
      <c r="A385" s="731"/>
      <c r="B385" s="613" t="str">
        <f>IFERROR(VLOOKUP(M385,'02. MM-KLH'!$B$6:$T$823,6,0),"")</f>
        <v>Xe ben Forland FD990-4WDXTH4-5T</v>
      </c>
      <c r="C385" s="353">
        <v>1</v>
      </c>
      <c r="D385" s="353" t="str">
        <f>IFERROR(VLOOKUP(M385,'02. MM-KLH'!$B$6:$T$823,16,0),"")</f>
        <v> FD990-4WD</v>
      </c>
      <c r="E385" s="353" t="s">
        <v>5978</v>
      </c>
      <c r="F385" s="353"/>
      <c r="G385" s="353"/>
      <c r="H385" s="353" t="str">
        <f>IFERROR(VLOOKUP(M385,'02. MM-KLH'!$B$6:$T$823,17,0),"")</f>
        <v>94HP</v>
      </c>
      <c r="I385" s="763">
        <f>IFERROR(VLOOKUP(M385,'02. MM-KLH'!$B$6:$U$823,20,0),"")</f>
        <v>0.33</v>
      </c>
      <c r="J385" s="613" t="str">
        <f>IFERROR(VLOOKUP(M385,'02. MM-KLH'!$B$6:$T$823,19,0),"")</f>
        <v>B0576973</v>
      </c>
      <c r="K385" s="613" t="str">
        <f>IFERROR(VLOOKUP(M385,'02. MM-KLH'!$B$6:$T$823,18,0),"")</f>
        <v>RNHF99FACRT092725</v>
      </c>
      <c r="L385" s="353" t="str">
        <f>IFERROR(VLOOKUP(M385,'02. MM-KLH'!$B$6:$T$823,4,0),"")</f>
        <v>3A-6810</v>
      </c>
      <c r="M385" s="49" t="s">
        <v>1394</v>
      </c>
      <c r="N385" s="356">
        <f>IFERROR(VLOOKUP(M385,'02. MM-KLH'!$B$6:$T$823,15,0),"")</f>
        <v>2024</v>
      </c>
      <c r="O385" s="764" t="str">
        <f>IFERROR(VLOOKUP(M385,'02. MM-KLH'!$B$6:$T$823,9,0),"")</f>
        <v>30/07/2024</v>
      </c>
      <c r="P385" s="353">
        <v>39166</v>
      </c>
      <c r="Q385" s="353"/>
      <c r="R385" s="353" t="s">
        <v>5978</v>
      </c>
      <c r="S385" s="353"/>
      <c r="T385" s="353"/>
      <c r="U385" s="353" t="str">
        <f>IFERROR(VLOOKUP(M385,'02. MM-KLH'!$B$6:$T$823,5,0),"")</f>
        <v>MỚI</v>
      </c>
      <c r="V385" s="731" t="str">
        <f>IFERROR(VLOOKUP(M385,'02. MM-KLH'!$B$6:$T$823,8,0),"")</f>
        <v>XN Chuối DP3</v>
      </c>
      <c r="W385" s="353" t="str">
        <f>IFERROR(VLOOKUP(V385,'NS QUẢN LÝ CG'!$A$4:$D$36,2,0),"")</f>
        <v/>
      </c>
      <c r="X385" s="353" t="str">
        <f>IFERROR(VLOOKUP(V385,'NS QUẢN LÝ CG'!$A$4:$D$36,4,0),"")</f>
        <v/>
      </c>
      <c r="Y385" s="353" t="str">
        <f>IFERROR(VLOOKUP(V385,'NS QUẢN LÝ CG'!$A$4:$C$36,3,0),"")</f>
        <v/>
      </c>
      <c r="Z385" s="731" t="str">
        <f>IFERROR(VLOOKUP(M385,'02. MM-KLH'!$B$6:$T$823,3,0),"")</f>
        <v>A23-XTA-021</v>
      </c>
      <c r="AA385" s="353" t="str">
        <f t="shared" si="26"/>
        <v>DP</v>
      </c>
      <c r="AB385" s="731"/>
      <c r="AC385" s="731"/>
    </row>
    <row r="386" ht="13.8" spans="1:29">
      <c r="A386" s="731"/>
      <c r="B386" s="613" t="str">
        <f>IFERROR(VLOOKUP(M386,'02. MM-KLH'!$B$6:$T$823,6,0),"")</f>
        <v>Xe ben Forland FD990-4WDXTH4-5T</v>
      </c>
      <c r="C386" s="353">
        <v>1</v>
      </c>
      <c r="D386" s="353" t="str">
        <f>IFERROR(VLOOKUP(M386,'02. MM-KLH'!$B$6:$T$823,16,0),"")</f>
        <v> FD990-4WD</v>
      </c>
      <c r="E386" s="353" t="s">
        <v>5978</v>
      </c>
      <c r="F386" s="353"/>
      <c r="G386" s="353"/>
      <c r="H386" s="353" t="str">
        <f>IFERROR(VLOOKUP(M386,'02. MM-KLH'!$B$6:$T$823,17,0),"")</f>
        <v>94HP</v>
      </c>
      <c r="I386" s="763">
        <f>IFERROR(VLOOKUP(M386,'02. MM-KLH'!$B$6:$U$823,20,0),"")</f>
        <v>0.33</v>
      </c>
      <c r="J386" s="613" t="str">
        <f>IFERROR(VLOOKUP(M386,'02. MM-KLH'!$B$6:$T$823,19,0),"")</f>
        <v>B0576944</v>
      </c>
      <c r="K386" s="613" t="str">
        <f>IFERROR(VLOOKUP(M386,'02. MM-KLH'!$B$6:$T$823,18,0),"")</f>
        <v>RNHF99FACRT090615</v>
      </c>
      <c r="L386" s="353" t="str">
        <f>IFERROR(VLOOKUP(M386,'02. MM-KLH'!$B$6:$T$823,4,0),"")</f>
        <v>3A-6811</v>
      </c>
      <c r="M386" s="49" t="s">
        <v>1399</v>
      </c>
      <c r="N386" s="356">
        <f>IFERROR(VLOOKUP(M386,'02. MM-KLH'!$B$6:$T$823,15,0),"")</f>
        <v>2024</v>
      </c>
      <c r="O386" s="764" t="str">
        <f>IFERROR(VLOOKUP(M386,'02. MM-KLH'!$B$6:$T$823,9,0),"")</f>
        <v>30/07/2024</v>
      </c>
      <c r="P386" s="353">
        <v>42148</v>
      </c>
      <c r="Q386" s="353"/>
      <c r="R386" s="353" t="s">
        <v>5978</v>
      </c>
      <c r="S386" s="353"/>
      <c r="T386" s="353"/>
      <c r="U386" s="353" t="str">
        <f>IFERROR(VLOOKUP(M386,'02. MM-KLH'!$B$6:$T$823,5,0),"")</f>
        <v>MỚI</v>
      </c>
      <c r="V386" s="731" t="str">
        <f>IFERROR(VLOOKUP(M386,'02. MM-KLH'!$B$6:$T$823,8,0),"")</f>
        <v>XN Chuối DP3</v>
      </c>
      <c r="W386" s="353" t="str">
        <f>IFERROR(VLOOKUP(V386,'NS QUẢN LÝ CG'!$A$4:$D$36,2,0),"")</f>
        <v/>
      </c>
      <c r="X386" s="353" t="str">
        <f>IFERROR(VLOOKUP(V386,'NS QUẢN LÝ CG'!$A$4:$D$36,4,0),"")</f>
        <v/>
      </c>
      <c r="Y386" s="353" t="str">
        <f>IFERROR(VLOOKUP(V386,'NS QUẢN LÝ CG'!$A$4:$C$36,3,0),"")</f>
        <v/>
      </c>
      <c r="Z386" s="731" t="str">
        <f>IFERROR(VLOOKUP(M386,'02. MM-KLH'!$B$6:$T$823,3,0),"")</f>
        <v>A23-XTA-022</v>
      </c>
      <c r="AA386" s="353" t="str">
        <f t="shared" si="26"/>
        <v>DP</v>
      </c>
      <c r="AB386" s="731"/>
      <c r="AC386" s="731"/>
    </row>
    <row r="387" ht="13.8" spans="1:29">
      <c r="A387" s="731"/>
      <c r="B387" s="613" t="str">
        <f>IFERROR(VLOOKUP(M387,'02. MM-KLH'!$B$6:$T$823,6,0),"")</f>
        <v>Xe ben Forland FD990-4WDXTH4-5T</v>
      </c>
      <c r="C387" s="353">
        <v>1</v>
      </c>
      <c r="D387" s="353" t="str">
        <f>IFERROR(VLOOKUP(M387,'02. MM-KLH'!$B$6:$T$823,16,0),"")</f>
        <v> FD990-4WD</v>
      </c>
      <c r="E387" s="353" t="s">
        <v>5978</v>
      </c>
      <c r="F387" s="353"/>
      <c r="G387" s="353"/>
      <c r="H387" s="353" t="str">
        <f>IFERROR(VLOOKUP(M387,'02. MM-KLH'!$B$6:$T$823,17,0),"")</f>
        <v>100HP</v>
      </c>
      <c r="I387" s="763">
        <f>IFERROR(VLOOKUP(M387,'02. MM-KLH'!$B$6:$U$823,20,0),"")</f>
        <v>0.33</v>
      </c>
      <c r="J387" s="613" t="str">
        <f>IFERROR(VLOOKUP(M387,'02. MM-KLH'!$B$6:$T$823,19,0),"")</f>
        <v>4DW9395E4B0577289</v>
      </c>
      <c r="K387" s="613" t="str">
        <f>IFERROR(VLOOKUP(M387,'02. MM-KLH'!$B$6:$T$823,18,0),"")</f>
        <v>RNHF99FACRT087863</v>
      </c>
      <c r="L387" s="353">
        <f>IFERROR(VLOOKUP(M387,'02. MM-KLH'!$B$6:$T$823,4,0),"")</f>
        <v>0</v>
      </c>
      <c r="M387" s="49" t="s">
        <v>1403</v>
      </c>
      <c r="N387" s="356">
        <f>IFERROR(VLOOKUP(M387,'02. MM-KLH'!$B$6:$T$823,15,0),"")</f>
        <v>2023</v>
      </c>
      <c r="O387" s="764">
        <f>IFERROR(VLOOKUP(M387,'02. MM-KLH'!$B$6:$T$823,9,0),"")</f>
        <v>45569</v>
      </c>
      <c r="P387" s="353">
        <v>45323</v>
      </c>
      <c r="Q387" s="353"/>
      <c r="R387" s="353" t="s">
        <v>5978</v>
      </c>
      <c r="S387" s="353"/>
      <c r="T387" s="353"/>
      <c r="U387" s="353" t="str">
        <f>IFERROR(VLOOKUP(M387,'02. MM-KLH'!$B$6:$T$823,5,0),"")</f>
        <v>MỚI</v>
      </c>
      <c r="V387" s="731" t="str">
        <f>IFERROR(VLOOKUP(M387,'02. MM-KLH'!$B$6:$T$823,8,0),"")</f>
        <v>XN Chuối DP3</v>
      </c>
      <c r="W387" s="353" t="str">
        <f>IFERROR(VLOOKUP(V387,'NS QUẢN LÝ CG'!$A$4:$D$36,2,0),"")</f>
        <v/>
      </c>
      <c r="X387" s="353" t="str">
        <f>IFERROR(VLOOKUP(V387,'NS QUẢN LÝ CG'!$A$4:$D$36,4,0),"")</f>
        <v/>
      </c>
      <c r="Y387" s="353" t="str">
        <f>IFERROR(VLOOKUP(V387,'NS QUẢN LÝ CG'!$A$4:$C$36,3,0),"")</f>
        <v/>
      </c>
      <c r="Z387" s="731" t="str">
        <f>IFERROR(VLOOKUP(M387,'02. MM-KLH'!$B$6:$T$823,3,0),"")</f>
        <v>A24-XTA-006</v>
      </c>
      <c r="AA387" s="353" t="str">
        <f t="shared" si="26"/>
        <v>LP</v>
      </c>
      <c r="AB387" s="731"/>
      <c r="AC387" s="731"/>
    </row>
    <row r="388" ht="13.8" spans="1:29">
      <c r="A388" s="731"/>
      <c r="B388" s="613" t="str">
        <f>IFERROR(VLOOKUP(M388,'02. MM-KLH'!$B$6:$T$823,6,0),"")</f>
        <v>Xe ben Forland FD990-4WDXTH4-5T</v>
      </c>
      <c r="C388" s="353">
        <v>1</v>
      </c>
      <c r="D388" s="353" t="str">
        <f>IFERROR(VLOOKUP(M388,'02. MM-KLH'!$B$6:$T$823,16,0),"")</f>
        <v> FD990-4WD</v>
      </c>
      <c r="E388" s="353" t="s">
        <v>5978</v>
      </c>
      <c r="F388" s="353"/>
      <c r="G388" s="353"/>
      <c r="H388" s="353" t="str">
        <f>IFERROR(VLOOKUP(M388,'02. MM-KLH'!$B$6:$T$823,17,0),"")</f>
        <v>100HP</v>
      </c>
      <c r="I388" s="763">
        <f>IFERROR(VLOOKUP(M388,'02. MM-KLH'!$B$6:$U$823,20,0),"")</f>
        <v>0.33</v>
      </c>
      <c r="J388" s="613" t="str">
        <f>IFERROR(VLOOKUP(M388,'02. MM-KLH'!$B$6:$T$823,19,0),"")</f>
        <v>4DW9395E4B0577291</v>
      </c>
      <c r="K388" s="613" t="str">
        <f>IFERROR(VLOOKUP(M388,'02. MM-KLH'!$B$6:$T$823,18,0),"")</f>
        <v>RNHF99FACRT087864</v>
      </c>
      <c r="L388" s="353">
        <f>IFERROR(VLOOKUP(M388,'02. MM-KLH'!$B$6:$T$823,4,0),"")</f>
        <v>0</v>
      </c>
      <c r="M388" s="49" t="s">
        <v>1408</v>
      </c>
      <c r="N388" s="356">
        <f>IFERROR(VLOOKUP(M388,'02. MM-KLH'!$B$6:$T$823,15,0),"")</f>
        <v>2023</v>
      </c>
      <c r="O388" s="764">
        <f>IFERROR(VLOOKUP(M388,'02. MM-KLH'!$B$6:$T$823,9,0),"")</f>
        <v>45569</v>
      </c>
      <c r="P388" s="353">
        <v>51986</v>
      </c>
      <c r="Q388" s="353"/>
      <c r="R388" s="353" t="s">
        <v>5978</v>
      </c>
      <c r="S388" s="353"/>
      <c r="T388" s="353"/>
      <c r="U388" s="353" t="str">
        <f>IFERROR(VLOOKUP(M388,'02. MM-KLH'!$B$6:$T$823,5,0),"")</f>
        <v>MỚI</v>
      </c>
      <c r="V388" s="731" t="str">
        <f>IFERROR(VLOOKUP(M388,'02. MM-KLH'!$B$6:$T$823,8,0),"")</f>
        <v>XN Chuối DP3</v>
      </c>
      <c r="W388" s="353" t="str">
        <f>IFERROR(VLOOKUP(V388,'NS QUẢN LÝ CG'!$A$4:$D$36,2,0),"")</f>
        <v/>
      </c>
      <c r="X388" s="353" t="str">
        <f>IFERROR(VLOOKUP(V388,'NS QUẢN LÝ CG'!$A$4:$D$36,4,0),"")</f>
        <v/>
      </c>
      <c r="Y388" s="353" t="str">
        <f>IFERROR(VLOOKUP(V388,'NS QUẢN LÝ CG'!$A$4:$C$36,3,0),"")</f>
        <v/>
      </c>
      <c r="Z388" s="731" t="str">
        <f>IFERROR(VLOOKUP(M388,'02. MM-KLH'!$B$6:$T$823,3,0),"")</f>
        <v>A24-XTA-007</v>
      </c>
      <c r="AA388" s="353" t="str">
        <f t="shared" si="26"/>
        <v>LP</v>
      </c>
      <c r="AB388" s="731"/>
      <c r="AC388" s="731"/>
    </row>
    <row r="389" ht="13.8" spans="1:29">
      <c r="A389" s="731"/>
      <c r="B389" s="613" t="str">
        <f>IFERROR(VLOOKUP(M389,'02. MM-KLH'!$B$6:$T$823,6,0),"")</f>
        <v>Xe ben Forland FD990-4WDXTH4-5T</v>
      </c>
      <c r="C389" s="353">
        <v>1</v>
      </c>
      <c r="D389" s="353" t="str">
        <f>IFERROR(VLOOKUP(M389,'02. MM-KLH'!$B$6:$T$823,16,0),"")</f>
        <v> FD990-4WD</v>
      </c>
      <c r="E389" s="353" t="s">
        <v>5978</v>
      </c>
      <c r="F389" s="353"/>
      <c r="G389" s="353"/>
      <c r="H389" s="353" t="str">
        <f>IFERROR(VLOOKUP(M389,'02. MM-KLH'!$B$6:$T$823,17,0),"")</f>
        <v>94HP</v>
      </c>
      <c r="I389" s="763">
        <f>IFERROR(VLOOKUP(M389,'02. MM-KLH'!$B$6:$U$823,20,0),"")</f>
        <v>0.33</v>
      </c>
      <c r="J389" s="613" t="str">
        <f>IFERROR(VLOOKUP(M389,'02. MM-KLH'!$B$6:$T$823,19,0),"")</f>
        <v>4DW93-95E4*B0577301*</v>
      </c>
      <c r="K389" s="613" t="str">
        <f>IFERROR(VLOOKUP(M389,'02. MM-KLH'!$B$6:$T$823,18,0),"")</f>
        <v>RNHF99FACRT087866</v>
      </c>
      <c r="L389" s="353">
        <f>IFERROR(VLOOKUP(M389,'02. MM-KLH'!$B$6:$T$823,4,0),"")</f>
        <v>0</v>
      </c>
      <c r="M389" s="49" t="s">
        <v>1520</v>
      </c>
      <c r="N389" s="356">
        <f>IFERROR(VLOOKUP(M389,'02. MM-KLH'!$B$6:$T$823,15,0),"")</f>
        <v>2024</v>
      </c>
      <c r="O389" s="764">
        <f>IFERROR(VLOOKUP(M389,'02. MM-KLH'!$B$6:$T$823,9,0),"")</f>
        <v>45632</v>
      </c>
      <c r="P389" s="353" t="s">
        <v>1755</v>
      </c>
      <c r="Q389" s="353"/>
      <c r="R389" s="353"/>
      <c r="S389" s="353"/>
      <c r="T389" s="353"/>
      <c r="U389" s="353" t="str">
        <f>IFERROR(VLOOKUP(M389,'02. MM-KLH'!$B$6:$T$823,5,0),"")</f>
        <v>MỚI</v>
      </c>
      <c r="V389" s="731" t="str">
        <f>IFERROR(VLOOKUP(M389,'02. MM-KLH'!$B$6:$T$823,8,0),"")</f>
        <v>XN Chuối LP1</v>
      </c>
      <c r="W389" s="353" t="str">
        <f>IFERROR(VLOOKUP(V389,'NS QUẢN LÝ CG'!$A$4:$D$36,2,0),"")</f>
        <v/>
      </c>
      <c r="X389" s="353" t="str">
        <f>IFERROR(VLOOKUP(V389,'NS QUẢN LÝ CG'!$A$4:$D$36,4,0),"")</f>
        <v/>
      </c>
      <c r="Y389" s="353" t="str">
        <f>IFERROR(VLOOKUP(V389,'NS QUẢN LÝ CG'!$A$4:$C$36,3,0),"")</f>
        <v/>
      </c>
      <c r="Z389" s="731" t="str">
        <f>IFERROR(VLOOKUP(M389,'02. MM-KLH'!$B$6:$T$823,3,0),"")</f>
        <v>A24-XTA-001</v>
      </c>
      <c r="AA389" s="353" t="str">
        <f t="shared" si="26"/>
        <v>LP</v>
      </c>
      <c r="AB389" s="731"/>
      <c r="AC389" s="731"/>
    </row>
    <row r="390" ht="13.8" spans="1:29">
      <c r="A390" s="731"/>
      <c r="B390" s="613" t="str">
        <f>IFERROR(VLOOKUP(M390,'02. MM-KLH'!$B$6:$T$823,6,0),"")</f>
        <v>Xe ben Forland FD990-4WDXTH4-5T</v>
      </c>
      <c r="C390" s="353">
        <v>1</v>
      </c>
      <c r="D390" s="353" t="str">
        <f>IFERROR(VLOOKUP(M390,'02. MM-KLH'!$B$6:$T$823,16,0),"")</f>
        <v> FD990-4WD</v>
      </c>
      <c r="E390" s="353" t="s">
        <v>5978</v>
      </c>
      <c r="F390" s="353"/>
      <c r="G390" s="353"/>
      <c r="H390" s="353" t="str">
        <f>IFERROR(VLOOKUP(M390,'02. MM-KLH'!$B$6:$T$823,17,0),"")</f>
        <v>94HP</v>
      </c>
      <c r="I390" s="763">
        <f>IFERROR(VLOOKUP(M390,'02. MM-KLH'!$B$6:$U$823,20,0),"")</f>
        <v>0.33</v>
      </c>
      <c r="J390" s="613" t="str">
        <f>IFERROR(VLOOKUP(M390,'02. MM-KLH'!$B$6:$T$823,19,0),"")</f>
        <v>4DW93-95E4*B0576952*</v>
      </c>
      <c r="K390" s="613" t="str">
        <f>IFERROR(VLOOKUP(M390,'02. MM-KLH'!$B$6:$T$823,18,0),"")</f>
        <v>RNHF99FACRT090611</v>
      </c>
      <c r="L390" s="353">
        <f>IFERROR(VLOOKUP(M390,'02. MM-KLH'!$B$6:$T$823,4,0),"")</f>
        <v>0</v>
      </c>
      <c r="M390" s="49" t="s">
        <v>1526</v>
      </c>
      <c r="N390" s="356">
        <f>IFERROR(VLOOKUP(M390,'02. MM-KLH'!$B$6:$T$823,15,0),"")</f>
        <v>2024</v>
      </c>
      <c r="O390" s="764">
        <f>IFERROR(VLOOKUP(M390,'02. MM-KLH'!$B$6:$T$823,9,0),"")</f>
        <v>45632</v>
      </c>
      <c r="P390" s="353" t="s">
        <v>1755</v>
      </c>
      <c r="Q390" s="353"/>
      <c r="R390" s="353"/>
      <c r="S390" s="353"/>
      <c r="T390" s="353"/>
      <c r="U390" s="353" t="str">
        <f>IFERROR(VLOOKUP(M390,'02. MM-KLH'!$B$6:$T$823,5,0),"")</f>
        <v>MỚI</v>
      </c>
      <c r="V390" s="731" t="str">
        <f>IFERROR(VLOOKUP(M390,'02. MM-KLH'!$B$6:$T$823,8,0),"")</f>
        <v>XN Chuối LP1</v>
      </c>
      <c r="W390" s="353" t="str">
        <f>IFERROR(VLOOKUP(V390,'NS QUẢN LÝ CG'!$A$4:$D$36,2,0),"")</f>
        <v/>
      </c>
      <c r="X390" s="353" t="str">
        <f>IFERROR(VLOOKUP(V390,'NS QUẢN LÝ CG'!$A$4:$D$36,4,0),"")</f>
        <v/>
      </c>
      <c r="Y390" s="353" t="str">
        <f>IFERROR(VLOOKUP(V390,'NS QUẢN LÝ CG'!$A$4:$C$36,3,0),"")</f>
        <v/>
      </c>
      <c r="Z390" s="731" t="str">
        <f>IFERROR(VLOOKUP(M390,'02. MM-KLH'!$B$6:$T$823,3,0),"")</f>
        <v>A24-XTA-002</v>
      </c>
      <c r="AA390" s="353" t="str">
        <f t="shared" si="26"/>
        <v>LP</v>
      </c>
      <c r="AB390" s="731"/>
      <c r="AC390" s="731"/>
    </row>
    <row r="391" ht="13.8" spans="1:29">
      <c r="A391" s="731"/>
      <c r="B391" s="613" t="str">
        <f>IFERROR(VLOOKUP(M391,'02. MM-KLH'!$B$6:$T$823,6,0),"")</f>
        <v>Xe ben Forland FD990-4WDXTH4-5T</v>
      </c>
      <c r="C391" s="353">
        <v>1</v>
      </c>
      <c r="D391" s="353" t="str">
        <f>IFERROR(VLOOKUP(M391,'02. MM-KLH'!$B$6:$T$823,16,0),"")</f>
        <v> FD990-4WD</v>
      </c>
      <c r="E391" s="353" t="s">
        <v>5978</v>
      </c>
      <c r="F391" s="353"/>
      <c r="G391" s="353"/>
      <c r="H391" s="353" t="str">
        <f>IFERROR(VLOOKUP(M391,'02. MM-KLH'!$B$6:$T$823,17,0),"")</f>
        <v>94HP</v>
      </c>
      <c r="I391" s="763">
        <f>IFERROR(VLOOKUP(M391,'02. MM-KLH'!$B$6:$U$823,20,0),"")</f>
        <v>3</v>
      </c>
      <c r="J391" s="613" t="str">
        <f>IFERROR(VLOOKUP(M391,'02. MM-KLH'!$B$6:$T$823,19,0),"")</f>
        <v>B0577292</v>
      </c>
      <c r="K391" s="613" t="str">
        <f>IFERROR(VLOOKUP(M391,'02. MM-KLH'!$B$6:$T$823,18,0),"")</f>
        <v>RNHF99FACRT090616</v>
      </c>
      <c r="L391" s="353" t="str">
        <f>IFERROR(VLOOKUP(M391,'02. MM-KLH'!$B$6:$T$823,4,0),"")</f>
        <v>3A-6812</v>
      </c>
      <c r="M391" s="49" t="s">
        <v>1531</v>
      </c>
      <c r="N391" s="356">
        <f>IFERROR(VLOOKUP(M391,'02. MM-KLH'!$B$6:$T$823,15,0),"")</f>
        <v>2024</v>
      </c>
      <c r="O391" s="764" t="str">
        <f>IFERROR(VLOOKUP(M391,'02. MM-KLH'!$B$6:$T$823,9,0),"")</f>
        <v>30/07/2024</v>
      </c>
      <c r="P391" s="353" t="s">
        <v>1755</v>
      </c>
      <c r="Q391" s="353"/>
      <c r="R391" s="353"/>
      <c r="S391" s="353"/>
      <c r="T391" s="353"/>
      <c r="U391" s="353" t="str">
        <f>IFERROR(VLOOKUP(M391,'02. MM-KLH'!$B$6:$T$823,5,0),"")</f>
        <v>MỚI</v>
      </c>
      <c r="V391" s="731" t="str">
        <f>IFERROR(VLOOKUP(M391,'02. MM-KLH'!$B$6:$T$823,8,0),"")</f>
        <v>XN Chuối LP1</v>
      </c>
      <c r="W391" s="353" t="str">
        <f>IFERROR(VLOOKUP(V391,'NS QUẢN LÝ CG'!$A$4:$D$36,2,0),"")</f>
        <v/>
      </c>
      <c r="X391" s="353" t="str">
        <f>IFERROR(VLOOKUP(V391,'NS QUẢN LÝ CG'!$A$4:$D$36,4,0),"")</f>
        <v/>
      </c>
      <c r="Y391" s="353" t="str">
        <f>IFERROR(VLOOKUP(V391,'NS QUẢN LÝ CG'!$A$4:$C$36,3,0),"")</f>
        <v/>
      </c>
      <c r="Z391" s="731" t="str">
        <f>IFERROR(VLOOKUP(M391,'02. MM-KLH'!$B$6:$T$823,3,0),"")</f>
        <v>A24-XTA-019</v>
      </c>
      <c r="AA391" s="353" t="str">
        <f t="shared" si="26"/>
        <v>LP</v>
      </c>
      <c r="AB391" s="731"/>
      <c r="AC391" s="731"/>
    </row>
    <row r="392" ht="13.8" spans="1:29">
      <c r="A392" s="731"/>
      <c r="B392" s="613" t="str">
        <f>IFERROR(VLOOKUP(M392,'02. MM-KLH'!$B$6:$T$823,6,0),"")</f>
        <v>Xe ben Forland FD990-4WDXTH4-5T</v>
      </c>
      <c r="C392" s="353">
        <v>1</v>
      </c>
      <c r="D392" s="353" t="str">
        <f>IFERROR(VLOOKUP(M392,'02. MM-KLH'!$B$6:$T$823,16,0),"")</f>
        <v> FD990-4WD</v>
      </c>
      <c r="E392" s="353" t="s">
        <v>5978</v>
      </c>
      <c r="F392" s="353"/>
      <c r="G392" s="353"/>
      <c r="H392" s="353" t="str">
        <f>IFERROR(VLOOKUP(M392,'02. MM-KLH'!$B$6:$T$823,17,0),"")</f>
        <v>100HP</v>
      </c>
      <c r="I392" s="763">
        <f>IFERROR(VLOOKUP(M392,'02. MM-KLH'!$B$6:$U$823,20,0),"")</f>
        <v>3</v>
      </c>
      <c r="J392" s="613" t="str">
        <f>IFERROR(VLOOKUP(M392,'02. MM-KLH'!$B$6:$T$823,19,0),"")</f>
        <v>4DW9395E4B0575115</v>
      </c>
      <c r="K392" s="613" t="str">
        <f>IFERROR(VLOOKUP(M392,'02. MM-KLH'!$B$6:$T$823,18,0),"")</f>
        <v>RNHF99FACPT075130</v>
      </c>
      <c r="L392" s="353">
        <f>IFERROR(VLOOKUP(M392,'02. MM-KLH'!$B$6:$T$823,4,0),"")</f>
        <v>0</v>
      </c>
      <c r="M392" s="49" t="s">
        <v>1659</v>
      </c>
      <c r="N392" s="356">
        <f>IFERROR(VLOOKUP(M392,'02. MM-KLH'!$B$6:$T$823,15,0),"")</f>
        <v>2023</v>
      </c>
      <c r="O392" s="764">
        <f>IFERROR(VLOOKUP(M392,'02. MM-KLH'!$B$6:$T$823,9,0),"")</f>
        <v>45569</v>
      </c>
      <c r="P392" s="353" t="s">
        <v>1755</v>
      </c>
      <c r="Q392" s="353"/>
      <c r="R392" s="353" t="s">
        <v>5978</v>
      </c>
      <c r="S392" s="353"/>
      <c r="T392" s="353"/>
      <c r="U392" s="353" t="str">
        <f>IFERROR(VLOOKUP(M392,'02. MM-KLH'!$B$6:$T$823,5,0),"")</f>
        <v>MỚI</v>
      </c>
      <c r="V392" s="731" t="str">
        <f>IFERROR(VLOOKUP(M392,'02. MM-KLH'!$B$6:$T$823,8,0),"")</f>
        <v>XN Chuối LP3</v>
      </c>
      <c r="W392" s="353" t="str">
        <f>IFERROR(VLOOKUP(V392,'NS QUẢN LÝ CG'!$A$4:$D$36,2,0),"")</f>
        <v/>
      </c>
      <c r="X392" s="353" t="str">
        <f>IFERROR(VLOOKUP(V392,'NS QUẢN LÝ CG'!$A$4:$D$36,4,0),"")</f>
        <v/>
      </c>
      <c r="Y392" s="353" t="str">
        <f>IFERROR(VLOOKUP(V392,'NS QUẢN LÝ CG'!$A$4:$C$36,3,0),"")</f>
        <v/>
      </c>
      <c r="Z392" s="731" t="str">
        <f>IFERROR(VLOOKUP(M392,'02. MM-KLH'!$B$6:$T$823,3,0),"")</f>
        <v>A24-XTA-004</v>
      </c>
      <c r="AA392" s="353" t="str">
        <f t="shared" si="26"/>
        <v>LP</v>
      </c>
      <c r="AB392" s="731"/>
      <c r="AC392" s="731"/>
    </row>
    <row r="393" spans="1:29">
      <c r="A393" s="731"/>
      <c r="B393" s="613" t="str">
        <f>IFERROR(VLOOKUP(M393,'02. MM-KLH'!$B$6:$T$823,6,0),"")</f>
        <v>Xe ben Forland FD990-4WDXTH4-5T</v>
      </c>
      <c r="C393" s="353">
        <v>1</v>
      </c>
      <c r="D393" s="353" t="str">
        <f>IFERROR(VLOOKUP(M393,'02. MM-KLH'!$B$6:$T$823,16,0),"")</f>
        <v> FD990-4WD</v>
      </c>
      <c r="E393" s="353" t="s">
        <v>5978</v>
      </c>
      <c r="F393" s="353"/>
      <c r="G393" s="353"/>
      <c r="H393" s="353" t="str">
        <f>IFERROR(VLOOKUP(M393,'02. MM-KLH'!$B$6:$T$823,17,0),"")</f>
        <v>100HP</v>
      </c>
      <c r="I393" s="763">
        <f>IFERROR(VLOOKUP(M393,'02. MM-KLH'!$B$6:$U$823,20,0),"")</f>
        <v>0.33</v>
      </c>
      <c r="J393" s="613" t="str">
        <f>IFERROR(VLOOKUP(M393,'02. MM-KLH'!$B$6:$T$823,19,0),"")</f>
        <v>4DW9395E4B0576687</v>
      </c>
      <c r="K393" s="613" t="str">
        <f>IFERROR(VLOOKUP(M393,'02. MM-KLH'!$B$6:$T$823,18,0),"")</f>
        <v>RNHF99FACPT076907</v>
      </c>
      <c r="L393" s="353">
        <f>IFERROR(VLOOKUP(M393,'02. MM-KLH'!$B$6:$T$823,4,0),"")</f>
        <v>0</v>
      </c>
      <c r="M393" s="49" t="s">
        <v>1662</v>
      </c>
      <c r="N393" s="356">
        <f>IFERROR(VLOOKUP(M393,'02. MM-KLH'!$B$6:$T$823,15,0),"")</f>
        <v>2023</v>
      </c>
      <c r="O393" s="764">
        <f>IFERROR(VLOOKUP(M393,'02. MM-KLH'!$B$6:$T$823,9,0),"")</f>
        <v>45569</v>
      </c>
      <c r="P393" s="765">
        <v>86779</v>
      </c>
      <c r="Q393" s="353"/>
      <c r="R393" s="353" t="s">
        <v>5978</v>
      </c>
      <c r="S393" s="353"/>
      <c r="T393" s="353"/>
      <c r="U393" s="353" t="str">
        <f>IFERROR(VLOOKUP(M393,'02. MM-KLH'!$B$6:$T$823,5,0),"")</f>
        <v>MỚI</v>
      </c>
      <c r="V393" s="731" t="str">
        <f>IFERROR(VLOOKUP(M393,'02. MM-KLH'!$B$6:$T$823,8,0),"")</f>
        <v>XN Chuối LP3</v>
      </c>
      <c r="W393" s="353" t="str">
        <f>IFERROR(VLOOKUP(V393,'NS QUẢN LÝ CG'!$A$4:$D$36,2,0),"")</f>
        <v/>
      </c>
      <c r="X393" s="353" t="str">
        <f>IFERROR(VLOOKUP(V393,'NS QUẢN LÝ CG'!$A$4:$D$36,4,0),"")</f>
        <v/>
      </c>
      <c r="Y393" s="353" t="str">
        <f>IFERROR(VLOOKUP(V393,'NS QUẢN LÝ CG'!$A$4:$C$36,3,0),"")</f>
        <v/>
      </c>
      <c r="Z393" s="731" t="str">
        <f>IFERROR(VLOOKUP(M393,'02. MM-KLH'!$B$6:$T$823,3,0),"")</f>
        <v>A24-XTA-005</v>
      </c>
      <c r="AA393" s="353" t="str">
        <f t="shared" si="26"/>
        <v>LP</v>
      </c>
      <c r="AB393" s="731"/>
      <c r="AC393" s="731"/>
    </row>
    <row r="394" spans="1:29">
      <c r="A394" s="731"/>
      <c r="B394" s="613" t="str">
        <f>IFERROR(VLOOKUP(M394,'02. MM-KLH'!$B$6:$T$823,6,0),"")</f>
        <v>Xe ben Forland FD990-4WDXTH4-5T</v>
      </c>
      <c r="C394" s="353">
        <v>1</v>
      </c>
      <c r="D394" s="353" t="str">
        <f>IFERROR(VLOOKUP(M394,'02. MM-KLH'!$B$6:$T$823,16,0),"")</f>
        <v> FD990-4WD</v>
      </c>
      <c r="E394" s="353" t="s">
        <v>5978</v>
      </c>
      <c r="F394" s="353"/>
      <c r="G394" s="353"/>
      <c r="H394" s="353" t="str">
        <f>IFERROR(VLOOKUP(M394,'02. MM-KLH'!$B$6:$T$823,17,0),"")</f>
        <v>100HP</v>
      </c>
      <c r="I394" s="763">
        <f>IFERROR(VLOOKUP(M394,'02. MM-KLH'!$B$6:$U$823,20,0),"")</f>
        <v>0.33</v>
      </c>
      <c r="J394" s="613" t="str">
        <f>IFERROR(VLOOKUP(M394,'02. MM-KLH'!$B$6:$T$823,19,0),"")</f>
        <v>4DW9395E4B0530476</v>
      </c>
      <c r="K394" s="613" t="str">
        <f>IFERROR(VLOOKUP(M394,'02. MM-KLH'!$B$6:$T$823,18,0),"")</f>
        <v>RNHF99FACNT055633</v>
      </c>
      <c r="L394" s="353">
        <f>IFERROR(VLOOKUP(M394,'02. MM-KLH'!$B$6:$T$823,4,0),"")</f>
        <v>0</v>
      </c>
      <c r="M394" s="49" t="s">
        <v>1665</v>
      </c>
      <c r="N394" s="356">
        <f>IFERROR(VLOOKUP(M394,'02. MM-KLH'!$B$6:$T$823,15,0),"")</f>
        <v>2023</v>
      </c>
      <c r="O394" s="764">
        <f>IFERROR(VLOOKUP(M394,'02. MM-KLH'!$B$6:$T$823,9,0),"")</f>
        <v>45569</v>
      </c>
      <c r="P394" s="765">
        <v>55722</v>
      </c>
      <c r="Q394" s="353"/>
      <c r="R394" s="353" t="s">
        <v>5978</v>
      </c>
      <c r="S394" s="353"/>
      <c r="T394" s="353"/>
      <c r="U394" s="353" t="str">
        <f>IFERROR(VLOOKUP(M394,'02. MM-KLH'!$B$6:$T$823,5,0),"")</f>
        <v>MỚI</v>
      </c>
      <c r="V394" s="731" t="str">
        <f>IFERROR(VLOOKUP(M394,'02. MM-KLH'!$B$6:$T$823,8,0),"")</f>
        <v>XN Chuối LP3</v>
      </c>
      <c r="W394" s="353" t="str">
        <f>IFERROR(VLOOKUP(V394,'NS QUẢN LÝ CG'!$A$4:$D$36,2,0),"")</f>
        <v/>
      </c>
      <c r="X394" s="353" t="str">
        <f>IFERROR(VLOOKUP(V394,'NS QUẢN LÝ CG'!$A$4:$D$36,4,0),"")</f>
        <v/>
      </c>
      <c r="Y394" s="353" t="str">
        <f>IFERROR(VLOOKUP(V394,'NS QUẢN LÝ CG'!$A$4:$C$36,3,0),"")</f>
        <v/>
      </c>
      <c r="Z394" s="731" t="str">
        <f>IFERROR(VLOOKUP(M394,'02. MM-KLH'!$B$6:$T$823,3,0),"")</f>
        <v>A24-XTA-008</v>
      </c>
      <c r="AA394" s="353" t="str">
        <f t="shared" si="26"/>
        <v>LP</v>
      </c>
      <c r="AB394" s="731"/>
      <c r="AC394" s="731"/>
    </row>
    <row r="395" spans="1:29">
      <c r="A395" s="731"/>
      <c r="B395" s="613" t="str">
        <f>IFERROR(VLOOKUP(M395,'02. MM-KLH'!$B$6:$T$823,6,0),"")</f>
        <v>Xe ben Forland FD990-4WDXTH4-5T</v>
      </c>
      <c r="C395" s="353">
        <v>1</v>
      </c>
      <c r="D395" s="353" t="str">
        <f>IFERROR(VLOOKUP(M395,'02. MM-KLH'!$B$6:$T$823,16,0),"")</f>
        <v> FD990-4WD</v>
      </c>
      <c r="E395" s="353" t="s">
        <v>5978</v>
      </c>
      <c r="F395" s="353"/>
      <c r="G395" s="353"/>
      <c r="H395" s="353" t="str">
        <f>IFERROR(VLOOKUP(M395,'02. MM-KLH'!$B$6:$T$823,17,0),"")</f>
        <v>94HP</v>
      </c>
      <c r="I395" s="763">
        <f>IFERROR(VLOOKUP(M395,'02. MM-KLH'!$B$6:$U$823,20,0),"")</f>
        <v>0.33</v>
      </c>
      <c r="J395" s="613" t="str">
        <f>IFERROR(VLOOKUP(M395,'02. MM-KLH'!$B$6:$T$823,19,0),"")</f>
        <v>B0577285</v>
      </c>
      <c r="K395" s="613" t="str">
        <f>IFERROR(VLOOKUP(M395,'02. MM-KLH'!$B$6:$T$823,18,0),"")</f>
        <v>RNHF99FACRT092726</v>
      </c>
      <c r="L395" s="353" t="str">
        <f>IFERROR(VLOOKUP(M395,'02. MM-KLH'!$B$6:$T$823,4,0),"")</f>
        <v>3A-6824</v>
      </c>
      <c r="M395" s="49" t="s">
        <v>1669</v>
      </c>
      <c r="N395" s="356">
        <f>IFERROR(VLOOKUP(M395,'02. MM-KLH'!$B$6:$T$823,15,0),"")</f>
        <v>2024</v>
      </c>
      <c r="O395" s="764" t="str">
        <f>IFERROR(VLOOKUP(M395,'02. MM-KLH'!$B$6:$T$823,9,0),"")</f>
        <v>30/07/2024</v>
      </c>
      <c r="P395" s="765">
        <v>12715</v>
      </c>
      <c r="Q395" s="353"/>
      <c r="R395" s="353" t="s">
        <v>5978</v>
      </c>
      <c r="S395" s="353"/>
      <c r="T395" s="353"/>
      <c r="U395" s="353" t="str">
        <f>IFERROR(VLOOKUP(M395,'02. MM-KLH'!$B$6:$T$823,5,0),"")</f>
        <v>MỚI</v>
      </c>
      <c r="V395" s="731" t="str">
        <f>IFERROR(VLOOKUP(M395,'02. MM-KLH'!$B$6:$T$823,8,0),"")</f>
        <v>XN Chuối LP3</v>
      </c>
      <c r="W395" s="353" t="str">
        <f>IFERROR(VLOOKUP(V395,'NS QUẢN LÝ CG'!$A$4:$D$36,2,0),"")</f>
        <v/>
      </c>
      <c r="X395" s="353" t="str">
        <f>IFERROR(VLOOKUP(V395,'NS QUẢN LÝ CG'!$A$4:$D$36,4,0),"")</f>
        <v/>
      </c>
      <c r="Y395" s="353" t="str">
        <f>IFERROR(VLOOKUP(V395,'NS QUẢN LÝ CG'!$A$4:$C$36,3,0),"")</f>
        <v/>
      </c>
      <c r="Z395" s="731" t="str">
        <f>IFERROR(VLOOKUP(M395,'02. MM-KLH'!$B$6:$T$823,3,0),"")</f>
        <v>A24-XTA-018</v>
      </c>
      <c r="AA395" s="353" t="str">
        <f t="shared" si="26"/>
        <v>LP</v>
      </c>
      <c r="AB395" s="731"/>
      <c r="AC395" s="731"/>
    </row>
    <row r="396" ht="13.8" spans="1:29">
      <c r="A396" s="731"/>
      <c r="B396" s="613" t="str">
        <f>IFERROR(VLOOKUP(M396,'02. MM-KLH'!$B$6:$T$823,6,0),"")</f>
        <v>Xe chở phân FD150 (11.8m3)</v>
      </c>
      <c r="C396" s="353">
        <v>1</v>
      </c>
      <c r="D396" s="353" t="str">
        <f>IFERROR(VLOOKUP(M396,'02. MM-KLH'!$B$6:$T$823,16,0),"")</f>
        <v>FD150-4WD</v>
      </c>
      <c r="E396" s="353" t="s">
        <v>5978</v>
      </c>
      <c r="F396" s="353"/>
      <c r="G396" s="353"/>
      <c r="H396" s="353" t="str">
        <f>IFERROR(VLOOKUP(M396,'02. MM-KLH'!$B$6:$T$823,17,0),"")</f>
        <v>150HP</v>
      </c>
      <c r="I396" s="763">
        <f>IFERROR(VLOOKUP(M396,'02. MM-KLH'!$B$6:$U$823,20,0),"")</f>
        <v>0.45</v>
      </c>
      <c r="J396" s="613" t="str">
        <f>IFERROR(VLOOKUP(M396,'02. MM-KLH'!$B$6:$T$823,19,0),"")</f>
        <v>YC4D150-48D59M1N00692</v>
      </c>
      <c r="K396" s="613" t="str">
        <f>IFERROR(VLOOKUP(M396,'02. MM-KLH'!$B$6:$T$823,18,0),"")</f>
        <v>RNHF16FYANT066262</v>
      </c>
      <c r="L396" s="353">
        <f>IFERROR(VLOOKUP(M396,'02. MM-KLH'!$B$6:$T$823,4,0),"")</f>
        <v>0</v>
      </c>
      <c r="M396" s="49" t="s">
        <v>2245</v>
      </c>
      <c r="N396" s="356">
        <f>IFERROR(VLOOKUP(M396,'02. MM-KLH'!$B$6:$T$823,15,0),"")</f>
        <v>2022</v>
      </c>
      <c r="O396" s="764">
        <f>IFERROR(VLOOKUP(M396,'02. MM-KLH'!$B$6:$T$823,9,0),"")</f>
        <v>45261</v>
      </c>
      <c r="P396" s="353" t="s">
        <v>1755</v>
      </c>
      <c r="Q396" s="353"/>
      <c r="R396" s="353" t="s">
        <v>5978</v>
      </c>
      <c r="S396" s="353"/>
      <c r="T396" s="353"/>
      <c r="U396" s="353" t="str">
        <f>IFERROR(VLOOKUP(M396,'02. MM-KLH'!$B$6:$T$823,5,0),"")</f>
        <v>MỚI</v>
      </c>
      <c r="V396" s="731" t="str">
        <f>IFERROR(VLOOKUP(M396,'02. MM-KLH'!$B$6:$T$823,8,0),"")</f>
        <v>XN Bò AD</v>
      </c>
      <c r="W396" s="353" t="str">
        <f>IFERROR(VLOOKUP(V396,'NS QUẢN LÝ CG'!$A$4:$D$36,2,0),"")</f>
        <v/>
      </c>
      <c r="X396" s="353" t="str">
        <f>IFERROR(VLOOKUP(V396,'NS QUẢN LÝ CG'!$A$4:$D$36,4,0),"")</f>
        <v/>
      </c>
      <c r="Y396" s="353" t="str">
        <f>IFERROR(VLOOKUP(V396,'NS QUẢN LÝ CG'!$A$4:$C$36,3,0),"")</f>
        <v/>
      </c>
      <c r="Z396" s="731" t="str">
        <f>IFERROR(VLOOKUP(M396,'02. MM-KLH'!$B$6:$T$823,3,0),"")</f>
        <v>ATT-A22-0286</v>
      </c>
      <c r="AA396" s="353" t="s">
        <v>5980</v>
      </c>
      <c r="AB396" s="731"/>
      <c r="AC396" s="731"/>
    </row>
    <row r="397" ht="13.8" spans="1:29">
      <c r="A397" s="731"/>
      <c r="B397" s="613" t="str">
        <f>IFERROR(VLOOKUP(M397,'02. MM-KLH'!$B$6:$T$823,6,0),"")</f>
        <v>Xe chở phân FD150 (11.8m3)</v>
      </c>
      <c r="C397" s="353">
        <v>1</v>
      </c>
      <c r="D397" s="353" t="str">
        <f>IFERROR(VLOOKUP(M397,'02. MM-KLH'!$B$6:$T$823,16,0),"")</f>
        <v>FD150-4WD</v>
      </c>
      <c r="E397" s="353" t="s">
        <v>5978</v>
      </c>
      <c r="F397" s="353"/>
      <c r="G397" s="353"/>
      <c r="H397" s="353" t="str">
        <f>IFERROR(VLOOKUP(M397,'02. MM-KLH'!$B$6:$T$823,17,0),"")</f>
        <v>150HP</v>
      </c>
      <c r="I397" s="763">
        <f>IFERROR(VLOOKUP(M397,'02. MM-KLH'!$B$6:$U$823,20,0),"")</f>
        <v>0.45</v>
      </c>
      <c r="J397" s="613" t="str">
        <f>IFERROR(VLOOKUP(M397,'02. MM-KLH'!$B$6:$T$823,19,0),"")</f>
        <v>YC4D150-48D59M1N00561</v>
      </c>
      <c r="K397" s="613" t="str">
        <f>IFERROR(VLOOKUP(M397,'02. MM-KLH'!$B$6:$T$823,18,0),"")</f>
        <v>RNHF16FYANT065187</v>
      </c>
      <c r="L397" s="353">
        <f>IFERROR(VLOOKUP(M397,'02. MM-KLH'!$B$6:$T$823,4,0),"")</f>
        <v>0</v>
      </c>
      <c r="M397" s="49" t="s">
        <v>2248</v>
      </c>
      <c r="N397" s="356">
        <f>IFERROR(VLOOKUP(M397,'02. MM-KLH'!$B$6:$T$823,15,0),"")</f>
        <v>2022</v>
      </c>
      <c r="O397" s="764">
        <f>IFERROR(VLOOKUP(M397,'02. MM-KLH'!$B$6:$T$823,9,0),"")</f>
        <v>45261</v>
      </c>
      <c r="P397" s="353">
        <v>66513</v>
      </c>
      <c r="Q397" s="353"/>
      <c r="R397" s="353" t="s">
        <v>5978</v>
      </c>
      <c r="S397" s="353"/>
      <c r="T397" s="353"/>
      <c r="U397" s="353" t="str">
        <f>IFERROR(VLOOKUP(M397,'02. MM-KLH'!$B$6:$T$823,5,0),"")</f>
        <v>MỚI</v>
      </c>
      <c r="V397" s="731" t="str">
        <f>IFERROR(VLOOKUP(M397,'02. MM-KLH'!$B$6:$T$823,8,0),"")</f>
        <v>XN Bò AD</v>
      </c>
      <c r="W397" s="353" t="str">
        <f>IFERROR(VLOOKUP(V397,'NS QUẢN LÝ CG'!$A$4:$D$36,2,0),"")</f>
        <v/>
      </c>
      <c r="X397" s="353" t="str">
        <f>IFERROR(VLOOKUP(V397,'NS QUẢN LÝ CG'!$A$4:$D$36,4,0),"")</f>
        <v/>
      </c>
      <c r="Y397" s="353" t="str">
        <f>IFERROR(VLOOKUP(V397,'NS QUẢN LÝ CG'!$A$4:$C$36,3,0),"")</f>
        <v/>
      </c>
      <c r="Z397" s="731" t="str">
        <f>IFERROR(VLOOKUP(M397,'02. MM-KLH'!$B$6:$T$823,3,0),"")</f>
        <v>ATT-A22-0292</v>
      </c>
      <c r="AA397" s="353" t="s">
        <v>5980</v>
      </c>
      <c r="AB397" s="731"/>
      <c r="AC397" s="731"/>
    </row>
    <row r="398" ht="13.8" spans="1:29">
      <c r="A398" s="731"/>
      <c r="B398" s="613" t="str">
        <f>IFERROR(VLOOKUP(M398,'02. MM-KLH'!$B$6:$T$823,6,0),"")</f>
        <v>Xe chở phân FD150 (11.8m3)</v>
      </c>
      <c r="C398" s="353">
        <v>1</v>
      </c>
      <c r="D398" s="353" t="str">
        <f>IFERROR(VLOOKUP(M398,'02. MM-KLH'!$B$6:$T$823,16,0),"")</f>
        <v>FD150-4WD</v>
      </c>
      <c r="E398" s="353" t="s">
        <v>5978</v>
      </c>
      <c r="F398" s="353"/>
      <c r="G398" s="353"/>
      <c r="H398" s="353" t="str">
        <f>IFERROR(VLOOKUP(M398,'02. MM-KLH'!$B$6:$T$823,17,0),"")</f>
        <v>150HP</v>
      </c>
      <c r="I398" s="763">
        <f>IFERROR(VLOOKUP(M398,'02. MM-KLH'!$B$6:$U$823,20,0),"")</f>
        <v>4</v>
      </c>
      <c r="J398" s="613" t="str">
        <f>IFERROR(VLOOKUP(M398,'02. MM-KLH'!$B$6:$T$823,19,0),"")</f>
        <v>YC4D150-48D59M1N00654</v>
      </c>
      <c r="K398" s="613" t="str">
        <f>IFERROR(VLOOKUP(M398,'02. MM-KLH'!$B$6:$T$823,18,0),"")</f>
        <v>RNHF16FYANT065161</v>
      </c>
      <c r="L398" s="353">
        <f>IFERROR(VLOOKUP(M398,'02. MM-KLH'!$B$6:$T$823,4,0),"")</f>
        <v>0</v>
      </c>
      <c r="M398" s="49" t="s">
        <v>2251</v>
      </c>
      <c r="N398" s="356">
        <f>IFERROR(VLOOKUP(M398,'02. MM-KLH'!$B$6:$T$823,15,0),"")</f>
        <v>2022</v>
      </c>
      <c r="O398" s="764">
        <f>IFERROR(VLOOKUP(M398,'02. MM-KLH'!$B$6:$T$823,9,0),"")</f>
        <v>45261</v>
      </c>
      <c r="P398" s="353">
        <v>23597</v>
      </c>
      <c r="Q398" s="353"/>
      <c r="R398" s="353" t="s">
        <v>5978</v>
      </c>
      <c r="S398" s="353"/>
      <c r="T398" s="353"/>
      <c r="U398" s="353" t="str">
        <f>IFERROR(VLOOKUP(M398,'02. MM-KLH'!$B$6:$T$823,5,0),"")</f>
        <v>MỚI</v>
      </c>
      <c r="V398" s="731" t="str">
        <f>IFERROR(VLOOKUP(M398,'02. MM-KLH'!$B$6:$T$823,8,0),"")</f>
        <v>XN Bò AD</v>
      </c>
      <c r="W398" s="353" t="str">
        <f>IFERROR(VLOOKUP(V398,'NS QUẢN LÝ CG'!$A$4:$D$36,2,0),"")</f>
        <v/>
      </c>
      <c r="X398" s="353" t="str">
        <f>IFERROR(VLOOKUP(V398,'NS QUẢN LÝ CG'!$A$4:$D$36,4,0),"")</f>
        <v/>
      </c>
      <c r="Y398" s="353" t="str">
        <f>IFERROR(VLOOKUP(V398,'NS QUẢN LÝ CG'!$A$4:$C$36,3,0),"")</f>
        <v/>
      </c>
      <c r="Z398" s="731" t="str">
        <f>IFERROR(VLOOKUP(M398,'02. MM-KLH'!$B$6:$T$823,3,0),"")</f>
        <v>ATT-A22-0290</v>
      </c>
      <c r="AA398" s="353" t="s">
        <v>5980</v>
      </c>
      <c r="AB398" s="731"/>
      <c r="AC398" s="731"/>
    </row>
    <row r="399" ht="13.8" spans="1:29">
      <c r="A399" s="731"/>
      <c r="B399" s="613" t="str">
        <f>IFERROR(VLOOKUP(M399,'02. MM-KLH'!$B$6:$T$823,6,0),"")</f>
        <v>Xe chở phân FD150 (11.8m3)</v>
      </c>
      <c r="C399" s="353">
        <v>1</v>
      </c>
      <c r="D399" s="353" t="str">
        <f>IFERROR(VLOOKUP(M399,'02. MM-KLH'!$B$6:$T$823,16,0),"")</f>
        <v>FD150-4WD</v>
      </c>
      <c r="E399" s="353" t="s">
        <v>5978</v>
      </c>
      <c r="F399" s="353"/>
      <c r="G399" s="353"/>
      <c r="H399" s="353" t="str">
        <f>IFERROR(VLOOKUP(M399,'02. MM-KLH'!$B$6:$T$823,17,0),"")</f>
        <v>150HP</v>
      </c>
      <c r="I399" s="763">
        <f>IFERROR(VLOOKUP(M399,'02. MM-KLH'!$B$6:$U$823,20,0),"")</f>
        <v>0.45</v>
      </c>
      <c r="J399" s="613" t="str">
        <f>IFERROR(VLOOKUP(M399,'02. MM-KLH'!$B$6:$T$823,19,0),"")</f>
        <v>YC4D150-48D59M1N00572</v>
      </c>
      <c r="K399" s="613" t="str">
        <f>IFERROR(VLOOKUP(M399,'02. MM-KLH'!$B$6:$T$823,18,0),"")</f>
        <v> RNHF16FYANT065198</v>
      </c>
      <c r="L399" s="353">
        <f>IFERROR(VLOOKUP(M399,'02. MM-KLH'!$B$6:$T$823,4,0),"")</f>
        <v>0</v>
      </c>
      <c r="M399" s="49" t="s">
        <v>2254</v>
      </c>
      <c r="N399" s="356">
        <f>IFERROR(VLOOKUP(M399,'02. MM-KLH'!$B$6:$T$823,15,0),"")</f>
        <v>2022</v>
      </c>
      <c r="O399" s="764">
        <f>IFERROR(VLOOKUP(M399,'02. MM-KLH'!$B$6:$T$823,9,0),"")</f>
        <v>45261</v>
      </c>
      <c r="P399" s="353" t="s">
        <v>1755</v>
      </c>
      <c r="Q399" s="353"/>
      <c r="R399" s="353" t="s">
        <v>5978</v>
      </c>
      <c r="S399" s="353"/>
      <c r="T399" s="353"/>
      <c r="U399" s="353" t="str">
        <f>IFERROR(VLOOKUP(M399,'02. MM-KLH'!$B$6:$T$823,5,0),"")</f>
        <v>MỚI</v>
      </c>
      <c r="V399" s="731" t="str">
        <f>IFERROR(VLOOKUP(M399,'02. MM-KLH'!$B$6:$T$823,8,0),"")</f>
        <v>XN Bò AD</v>
      </c>
      <c r="W399" s="353" t="str">
        <f>IFERROR(VLOOKUP(V399,'NS QUẢN LÝ CG'!$A$4:$D$36,2,0),"")</f>
        <v/>
      </c>
      <c r="X399" s="353" t="str">
        <f>IFERROR(VLOOKUP(V399,'NS QUẢN LÝ CG'!$A$4:$D$36,4,0),"")</f>
        <v/>
      </c>
      <c r="Y399" s="353" t="str">
        <f>IFERROR(VLOOKUP(V399,'NS QUẢN LÝ CG'!$A$4:$C$36,3,0),"")</f>
        <v/>
      </c>
      <c r="Z399" s="731" t="str">
        <f>IFERROR(VLOOKUP(M399,'02. MM-KLH'!$B$6:$T$823,3,0),"")</f>
        <v>ATT-A22-0291</v>
      </c>
      <c r="AA399" s="353" t="s">
        <v>5980</v>
      </c>
      <c r="AB399" s="731"/>
      <c r="AC399" s="731"/>
    </row>
    <row r="400" ht="13.8" spans="1:29">
      <c r="A400" s="731"/>
      <c r="B400" s="613" t="str">
        <f>IFERROR(VLOOKUP(M400,'02. MM-KLH'!$B$6:$T$823,6,0),"")</f>
        <v>Xe chở phân FD150 (8.7m3)</v>
      </c>
      <c r="C400" s="353">
        <v>1</v>
      </c>
      <c r="D400" s="353" t="str">
        <f>IFERROR(VLOOKUP(M400,'02. MM-KLH'!$B$6:$T$823,16,0),"")</f>
        <v>FD150-4WD</v>
      </c>
      <c r="E400" s="353" t="s">
        <v>5978</v>
      </c>
      <c r="F400" s="353"/>
      <c r="G400" s="353"/>
      <c r="H400" s="353" t="str">
        <f>IFERROR(VLOOKUP(M400,'02. MM-KLH'!$B$6:$T$823,17,0),"")</f>
        <v>150HP</v>
      </c>
      <c r="I400" s="763">
        <f>IFERROR(VLOOKUP(M400,'02. MM-KLH'!$B$6:$U$823,20,0),"")</f>
        <v>4</v>
      </c>
      <c r="J400" s="613" t="str">
        <f>IFERROR(VLOOKUP(M400,'02. MM-KLH'!$B$6:$T$823,19,0),"")</f>
        <v>YC4D150-48D59M1N00920</v>
      </c>
      <c r="K400" s="613" t="str">
        <f>IFERROR(VLOOKUP(M400,'02. MM-KLH'!$B$6:$T$823,18,0),"")</f>
        <v>RNHF16FYAPTO77540</v>
      </c>
      <c r="L400" s="353">
        <f>IFERROR(VLOOKUP(M400,'02. MM-KLH'!$B$6:$T$823,4,0),"")</f>
        <v>0</v>
      </c>
      <c r="M400" s="49" t="s">
        <v>2257</v>
      </c>
      <c r="N400" s="356">
        <f>IFERROR(VLOOKUP(M400,'02. MM-KLH'!$B$6:$T$823,15,0),"")</f>
        <v>2023</v>
      </c>
      <c r="O400" s="764" t="str">
        <f>IFERROR(VLOOKUP(M400,'02. MM-KLH'!$B$6:$T$823,9,0),"")</f>
        <v>25/11/2023</v>
      </c>
      <c r="P400" s="353" t="s">
        <v>1755</v>
      </c>
      <c r="Q400" s="353"/>
      <c r="R400" s="353" t="s">
        <v>5978</v>
      </c>
      <c r="S400" s="353"/>
      <c r="T400" s="353"/>
      <c r="U400" s="353" t="str">
        <f>IFERROR(VLOOKUP(M400,'02. MM-KLH'!$B$6:$T$823,5,0),"")</f>
        <v>MỚI</v>
      </c>
      <c r="V400" s="731" t="str">
        <f>IFERROR(VLOOKUP(M400,'02. MM-KLH'!$B$6:$T$823,8,0),"")</f>
        <v>XN Bò AD</v>
      </c>
      <c r="W400" s="353" t="str">
        <f>IFERROR(VLOOKUP(V400,'NS QUẢN LÝ CG'!$A$4:$D$36,2,0),"")</f>
        <v/>
      </c>
      <c r="X400" s="353" t="str">
        <f>IFERROR(VLOOKUP(V400,'NS QUẢN LÝ CG'!$A$4:$D$36,4,0),"")</f>
        <v/>
      </c>
      <c r="Y400" s="353" t="str">
        <f>IFERROR(VLOOKUP(V400,'NS QUẢN LÝ CG'!$A$4:$C$36,3,0),"")</f>
        <v/>
      </c>
      <c r="Z400" s="731" t="str">
        <f>IFERROR(VLOOKUP(M400,'02. MM-KLH'!$B$6:$T$823,3,0),"")</f>
        <v>ATT-A22-0303</v>
      </c>
      <c r="AA400" s="353" t="s">
        <v>5980</v>
      </c>
      <c r="AB400" s="731"/>
      <c r="AC400" s="731"/>
    </row>
    <row r="401" ht="13.8" spans="1:29">
      <c r="A401" s="731"/>
      <c r="B401" s="613" t="str">
        <f>IFERROR(VLOOKUP(M401,'02. MM-KLH'!$B$6:$T$823,6,0),"")</f>
        <v>Xe chở phân FD150 (8.7m3)</v>
      </c>
      <c r="C401" s="353">
        <v>1</v>
      </c>
      <c r="D401" s="353" t="str">
        <f>IFERROR(VLOOKUP(M401,'02. MM-KLH'!$B$6:$T$823,16,0),"")</f>
        <v>FD150-4WD</v>
      </c>
      <c r="E401" s="353" t="s">
        <v>5978</v>
      </c>
      <c r="F401" s="353"/>
      <c r="G401" s="353"/>
      <c r="H401" s="353" t="str">
        <f>IFERROR(VLOOKUP(M401,'02. MM-KLH'!$B$6:$T$823,17,0),"")</f>
        <v>150HP</v>
      </c>
      <c r="I401" s="763">
        <f>IFERROR(VLOOKUP(M401,'02. MM-KLH'!$B$6:$U$823,20,0),"")</f>
        <v>0.45</v>
      </c>
      <c r="J401" s="613" t="str">
        <f>IFERROR(VLOOKUP(M401,'02. MM-KLH'!$B$6:$T$823,19,0),"")</f>
        <v>YC4D150-48D59M1N00903</v>
      </c>
      <c r="K401" s="613" t="str">
        <f>IFERROR(VLOOKUP(M401,'02. MM-KLH'!$B$6:$T$823,18,0),"")</f>
        <v>RNHF16FYAPTO77538</v>
      </c>
      <c r="L401" s="353">
        <f>IFERROR(VLOOKUP(M401,'02. MM-KLH'!$B$6:$T$823,4,0),"")</f>
        <v>0</v>
      </c>
      <c r="M401" s="49" t="s">
        <v>2260</v>
      </c>
      <c r="N401" s="356">
        <f>IFERROR(VLOOKUP(M401,'02. MM-KLH'!$B$6:$T$823,15,0),"")</f>
        <v>2023</v>
      </c>
      <c r="O401" s="764" t="str">
        <f>IFERROR(VLOOKUP(M401,'02. MM-KLH'!$B$6:$T$823,9,0),"")</f>
        <v>25/11/2023</v>
      </c>
      <c r="P401" s="353">
        <v>70664</v>
      </c>
      <c r="Q401" s="353"/>
      <c r="R401" s="353" t="s">
        <v>5978</v>
      </c>
      <c r="S401" s="353"/>
      <c r="T401" s="353"/>
      <c r="U401" s="353" t="str">
        <f>IFERROR(VLOOKUP(M401,'02. MM-KLH'!$B$6:$T$823,5,0),"")</f>
        <v>MỚI</v>
      </c>
      <c r="V401" s="731" t="str">
        <f>IFERROR(VLOOKUP(M401,'02. MM-KLH'!$B$6:$T$823,8,0),"")</f>
        <v>XN Bò AD</v>
      </c>
      <c r="W401" s="353" t="str">
        <f>IFERROR(VLOOKUP(V401,'NS QUẢN LÝ CG'!$A$4:$D$36,2,0),"")</f>
        <v/>
      </c>
      <c r="X401" s="353" t="str">
        <f>IFERROR(VLOOKUP(V401,'NS QUẢN LÝ CG'!$A$4:$D$36,4,0),"")</f>
        <v/>
      </c>
      <c r="Y401" s="353" t="str">
        <f>IFERROR(VLOOKUP(V401,'NS QUẢN LÝ CG'!$A$4:$C$36,3,0),"")</f>
        <v/>
      </c>
      <c r="Z401" s="731" t="str">
        <f>IFERROR(VLOOKUP(M401,'02. MM-KLH'!$B$6:$T$823,3,0),"")</f>
        <v>ATT-A22-0299</v>
      </c>
      <c r="AA401" s="353" t="s">
        <v>5980</v>
      </c>
      <c r="AB401" s="731"/>
      <c r="AC401" s="731"/>
    </row>
    <row r="402" ht="13.8" spans="1:29">
      <c r="A402" s="731"/>
      <c r="B402" s="613" t="str">
        <f>IFERROR(VLOOKUP(M402,'02. MM-KLH'!$B$6:$T$823,6,0),"")</f>
        <v>Xe chở phân FD150 (8.7m3)</v>
      </c>
      <c r="C402" s="353">
        <v>1</v>
      </c>
      <c r="D402" s="353" t="str">
        <f>IFERROR(VLOOKUP(M402,'02. MM-KLH'!$B$6:$T$823,16,0),"")</f>
        <v>FD150-4WD</v>
      </c>
      <c r="E402" s="353" t="s">
        <v>5978</v>
      </c>
      <c r="F402" s="353"/>
      <c r="G402" s="353"/>
      <c r="H402" s="353" t="str">
        <f>IFERROR(VLOOKUP(M402,'02. MM-KLH'!$B$6:$T$823,17,0),"")</f>
        <v>150HP</v>
      </c>
      <c r="I402" s="763">
        <f>IFERROR(VLOOKUP(M402,'02. MM-KLH'!$B$6:$U$823,20,0),"")</f>
        <v>0.45</v>
      </c>
      <c r="J402" s="613" t="str">
        <f>IFERROR(VLOOKUP(M402,'02. MM-KLH'!$B$6:$T$823,19,0),"")</f>
        <v>D59M1N01406</v>
      </c>
      <c r="K402" s="613" t="str">
        <f>IFERROR(VLOOKUP(M402,'02. MM-KLH'!$B$6:$T$823,18,0),"")</f>
        <v>RNHF16FYART095004</v>
      </c>
      <c r="L402" s="353" t="str">
        <f>IFERROR(VLOOKUP(M402,'02. MM-KLH'!$B$6:$T$823,4,0),"")</f>
        <v>3A-6803</v>
      </c>
      <c r="M402" s="49" t="s">
        <v>2263</v>
      </c>
      <c r="N402" s="356">
        <f>IFERROR(VLOOKUP(M402,'02. MM-KLH'!$B$6:$T$823,15,0),"")</f>
        <v>2024</v>
      </c>
      <c r="O402" s="764">
        <f>IFERROR(VLOOKUP(M402,'02. MM-KLH'!$B$6:$T$823,9,0),"")</f>
        <v>45452</v>
      </c>
      <c r="P402" s="353">
        <v>50067</v>
      </c>
      <c r="Q402" s="353"/>
      <c r="R402" s="353" t="s">
        <v>5978</v>
      </c>
      <c r="S402" s="353"/>
      <c r="T402" s="353"/>
      <c r="U402" s="353" t="str">
        <f>IFERROR(VLOOKUP(M402,'02. MM-KLH'!$B$6:$T$823,5,0),"")</f>
        <v>MỚI</v>
      </c>
      <c r="V402" s="731" t="str">
        <f>IFERROR(VLOOKUP(M402,'02. MM-KLH'!$B$6:$T$823,8,0),"")</f>
        <v>XN Bò AD</v>
      </c>
      <c r="W402" s="353" t="str">
        <f>IFERROR(VLOOKUP(V402,'NS QUẢN LÝ CG'!$A$4:$D$36,2,0),"")</f>
        <v/>
      </c>
      <c r="X402" s="353" t="str">
        <f>IFERROR(VLOOKUP(V402,'NS QUẢN LÝ CG'!$A$4:$D$36,4,0),"")</f>
        <v/>
      </c>
      <c r="Y402" s="353" t="str">
        <f>IFERROR(VLOOKUP(V402,'NS QUẢN LÝ CG'!$A$4:$C$36,3,0),"")</f>
        <v/>
      </c>
      <c r="Z402" s="731" t="str">
        <f>IFERROR(VLOOKUP(M402,'02. MM-KLH'!$B$6:$T$823,3,0),"")</f>
        <v>A22-XCP-008</v>
      </c>
      <c r="AA402" s="353" t="str">
        <f t="shared" ref="AA402:AA408" si="27">_xlfn.SWITCH(LEFT(Z402,3),"A22","ADM","A23","DP","A24","LP","")</f>
        <v>ADM</v>
      </c>
      <c r="AB402" s="731"/>
      <c r="AC402" s="731"/>
    </row>
    <row r="403" ht="13.8" spans="1:29">
      <c r="A403" s="731"/>
      <c r="B403" s="613" t="str">
        <f>IFERROR(VLOOKUP(M403,'02. MM-KLH'!$B$6:$T$823,6,0),"")</f>
        <v>Xe chở phân FD150 (8.7m3)</v>
      </c>
      <c r="C403" s="353">
        <v>1</v>
      </c>
      <c r="D403" s="353" t="str">
        <f>IFERROR(VLOOKUP(M403,'02. MM-KLH'!$B$6:$T$823,16,0),"")</f>
        <v>FD150-4WD</v>
      </c>
      <c r="E403" s="353" t="s">
        <v>5978</v>
      </c>
      <c r="F403" s="353"/>
      <c r="G403" s="353"/>
      <c r="H403" s="353" t="str">
        <f>IFERROR(VLOOKUP(M403,'02. MM-KLH'!$B$6:$T$823,17,0),"")</f>
        <v>150HP</v>
      </c>
      <c r="I403" s="763">
        <f>IFERROR(VLOOKUP(M403,'02. MM-KLH'!$B$6:$U$823,20,0),"")</f>
        <v>0.45</v>
      </c>
      <c r="J403" s="613" t="str">
        <f>IFERROR(VLOOKUP(M403,'02. MM-KLH'!$B$6:$T$823,19,0),"")</f>
        <v>D59M1N01437</v>
      </c>
      <c r="K403" s="613" t="str">
        <f>IFERROR(VLOOKUP(M403,'02. MM-KLH'!$B$6:$T$823,18,0),"")</f>
        <v>RNHF16FYART095002</v>
      </c>
      <c r="L403" s="353" t="str">
        <f>IFERROR(VLOOKUP(M403,'02. MM-KLH'!$B$6:$T$823,4,0),"")</f>
        <v>3A-6801</v>
      </c>
      <c r="M403" s="49" t="s">
        <v>2268</v>
      </c>
      <c r="N403" s="356">
        <f>IFERROR(VLOOKUP(M403,'02. MM-KLH'!$B$6:$T$823,15,0),"")</f>
        <v>2024</v>
      </c>
      <c r="O403" s="764">
        <f>IFERROR(VLOOKUP(M403,'02. MM-KLH'!$B$6:$T$823,9,0),"")</f>
        <v>45452</v>
      </c>
      <c r="P403" s="353">
        <v>66672</v>
      </c>
      <c r="Q403" s="353"/>
      <c r="R403" s="353" t="s">
        <v>5978</v>
      </c>
      <c r="S403" s="353"/>
      <c r="T403" s="353"/>
      <c r="U403" s="353" t="str">
        <f>IFERROR(VLOOKUP(M403,'02. MM-KLH'!$B$6:$T$823,5,0),"")</f>
        <v>MỚI</v>
      </c>
      <c r="V403" s="731" t="str">
        <f>IFERROR(VLOOKUP(M403,'02. MM-KLH'!$B$6:$T$823,8,0),"")</f>
        <v>XN Bò AD</v>
      </c>
      <c r="W403" s="353" t="str">
        <f>IFERROR(VLOOKUP(V403,'NS QUẢN LÝ CG'!$A$4:$D$36,2,0),"")</f>
        <v/>
      </c>
      <c r="X403" s="353" t="str">
        <f>IFERROR(VLOOKUP(V403,'NS QUẢN LÝ CG'!$A$4:$D$36,4,0),"")</f>
        <v/>
      </c>
      <c r="Y403" s="353" t="str">
        <f>IFERROR(VLOOKUP(V403,'NS QUẢN LÝ CG'!$A$4:$C$36,3,0),"")</f>
        <v/>
      </c>
      <c r="Z403" s="731" t="str">
        <f>IFERROR(VLOOKUP(M403,'02. MM-KLH'!$B$6:$T$823,3,0),"")</f>
        <v>A22-XCP-009</v>
      </c>
      <c r="AA403" s="353" t="str">
        <f t="shared" si="27"/>
        <v>ADM</v>
      </c>
      <c r="AB403" s="731"/>
      <c r="AC403" s="731"/>
    </row>
    <row r="404" ht="13.8" spans="1:29">
      <c r="A404" s="731"/>
      <c r="B404" s="613" t="str">
        <f>IFERROR(VLOOKUP(M404,'02. MM-KLH'!$B$6:$T$823,6,0),"")</f>
        <v>Xe chở phân FD150 (8.7m3)</v>
      </c>
      <c r="C404" s="353">
        <v>1</v>
      </c>
      <c r="D404" s="353" t="str">
        <f>IFERROR(VLOOKUP(M404,'02. MM-KLH'!$B$6:$T$823,16,0),"")</f>
        <v>FD150-4WD</v>
      </c>
      <c r="E404" s="353" t="s">
        <v>5978</v>
      </c>
      <c r="F404" s="353"/>
      <c r="G404" s="353"/>
      <c r="H404" s="353" t="str">
        <f>IFERROR(VLOOKUP(M404,'02. MM-KLH'!$B$6:$T$823,17,0),"")</f>
        <v>150HP</v>
      </c>
      <c r="I404" s="763">
        <f>IFERROR(VLOOKUP(M404,'02. MM-KLH'!$B$6:$U$823,20,0),"")</f>
        <v>0.45</v>
      </c>
      <c r="J404" s="613" t="str">
        <f>IFERROR(VLOOKUP(M404,'02. MM-KLH'!$B$6:$T$823,19,0),"")</f>
        <v>D59M1N01416</v>
      </c>
      <c r="K404" s="613" t="str">
        <f>IFERROR(VLOOKUP(M404,'02. MM-KLH'!$B$6:$T$823,18,0),"")</f>
        <v>RNHF16FYART095001</v>
      </c>
      <c r="L404" s="353" t="str">
        <f>IFERROR(VLOOKUP(M404,'02. MM-KLH'!$B$6:$T$823,4,0),"")</f>
        <v>3A-6807</v>
      </c>
      <c r="M404" s="49" t="s">
        <v>2273</v>
      </c>
      <c r="N404" s="356">
        <f>IFERROR(VLOOKUP(M404,'02. MM-KLH'!$B$6:$T$823,15,0),"")</f>
        <v>2024</v>
      </c>
      <c r="O404" s="764">
        <f>IFERROR(VLOOKUP(M404,'02. MM-KLH'!$B$6:$T$823,9,0),"")</f>
        <v>45452</v>
      </c>
      <c r="P404" s="353">
        <v>59700</v>
      </c>
      <c r="Q404" s="353"/>
      <c r="R404" s="353" t="s">
        <v>5978</v>
      </c>
      <c r="S404" s="353"/>
      <c r="T404" s="353"/>
      <c r="U404" s="353" t="str">
        <f>IFERROR(VLOOKUP(M404,'02. MM-KLH'!$B$6:$T$823,5,0),"")</f>
        <v>MỚI</v>
      </c>
      <c r="V404" s="731" t="str">
        <f>IFERROR(VLOOKUP(M404,'02. MM-KLH'!$B$6:$T$823,8,0),"")</f>
        <v>XN Bò AD</v>
      </c>
      <c r="W404" s="353" t="str">
        <f>IFERROR(VLOOKUP(V404,'NS QUẢN LÝ CG'!$A$4:$D$36,2,0),"")</f>
        <v/>
      </c>
      <c r="X404" s="353" t="str">
        <f>IFERROR(VLOOKUP(V404,'NS QUẢN LÝ CG'!$A$4:$D$36,4,0),"")</f>
        <v/>
      </c>
      <c r="Y404" s="353" t="str">
        <f>IFERROR(VLOOKUP(V404,'NS QUẢN LÝ CG'!$A$4:$C$36,3,0),"")</f>
        <v/>
      </c>
      <c r="Z404" s="731" t="str">
        <f>IFERROR(VLOOKUP(M404,'02. MM-KLH'!$B$6:$T$823,3,0),"")</f>
        <v>A22-XCP-010</v>
      </c>
      <c r="AA404" s="353" t="str">
        <f t="shared" si="27"/>
        <v>ADM</v>
      </c>
      <c r="AB404" s="731"/>
      <c r="AC404" s="731"/>
    </row>
    <row r="405" ht="13.8" spans="1:29">
      <c r="A405" s="731"/>
      <c r="B405" s="613" t="str">
        <f>IFERROR(VLOOKUP(M405,'02. MM-KLH'!$B$6:$T$823,6,0),"")</f>
        <v>Xe chở phân FD150 (8.7m3)</v>
      </c>
      <c r="C405" s="353">
        <v>1</v>
      </c>
      <c r="D405" s="353" t="str">
        <f>IFERROR(VLOOKUP(M405,'02. MM-KLH'!$B$6:$T$823,16,0),"")</f>
        <v>FD150-4WD</v>
      </c>
      <c r="E405" s="353" t="s">
        <v>5978</v>
      </c>
      <c r="F405" s="353"/>
      <c r="G405" s="353"/>
      <c r="H405" s="353" t="str">
        <f>IFERROR(VLOOKUP(M405,'02. MM-KLH'!$B$6:$T$823,17,0),"")</f>
        <v>150HP</v>
      </c>
      <c r="I405" s="763">
        <f>IFERROR(VLOOKUP(M405,'02. MM-KLH'!$B$6:$U$823,20,0),"")</f>
        <v>0.45</v>
      </c>
      <c r="J405" s="613" t="str">
        <f>IFERROR(VLOOKUP(M405,'02. MM-KLH'!$B$6:$T$823,19,0),"")</f>
        <v>D59M1N01392</v>
      </c>
      <c r="K405" s="613" t="str">
        <f>IFERROR(VLOOKUP(M405,'02. MM-KLH'!$B$6:$T$823,18,0),"")</f>
        <v>RNHF16FYART094996</v>
      </c>
      <c r="L405" s="353" t="str">
        <f>IFERROR(VLOOKUP(M405,'02. MM-KLH'!$B$6:$T$823,4,0),"")</f>
        <v>3A-6802</v>
      </c>
      <c r="M405" s="49" t="s">
        <v>2278</v>
      </c>
      <c r="N405" s="356">
        <f>IFERROR(VLOOKUP(M405,'02. MM-KLH'!$B$6:$T$823,15,0),"")</f>
        <v>2024</v>
      </c>
      <c r="O405" s="764">
        <f>IFERROR(VLOOKUP(M405,'02. MM-KLH'!$B$6:$T$823,9,0),"")</f>
        <v>45452</v>
      </c>
      <c r="P405" s="353">
        <v>59563</v>
      </c>
      <c r="Q405" s="353"/>
      <c r="R405" s="353" t="s">
        <v>5978</v>
      </c>
      <c r="S405" s="353"/>
      <c r="T405" s="353"/>
      <c r="U405" s="353" t="str">
        <f>IFERROR(VLOOKUP(M405,'02. MM-KLH'!$B$6:$T$823,5,0),"")</f>
        <v>MỚI</v>
      </c>
      <c r="V405" s="731" t="str">
        <f>IFERROR(VLOOKUP(M405,'02. MM-KLH'!$B$6:$T$823,8,0),"")</f>
        <v>XN Bò AD</v>
      </c>
      <c r="W405" s="353" t="str">
        <f>IFERROR(VLOOKUP(V405,'NS QUẢN LÝ CG'!$A$4:$D$36,2,0),"")</f>
        <v/>
      </c>
      <c r="X405" s="353" t="str">
        <f>IFERROR(VLOOKUP(V405,'NS QUẢN LÝ CG'!$A$4:$D$36,4,0),"")</f>
        <v/>
      </c>
      <c r="Y405" s="353" t="str">
        <f>IFERROR(VLOOKUP(V405,'NS QUẢN LÝ CG'!$A$4:$C$36,3,0),"")</f>
        <v/>
      </c>
      <c r="Z405" s="731" t="str">
        <f>IFERROR(VLOOKUP(M405,'02. MM-KLH'!$B$6:$T$823,3,0),"")</f>
        <v>A22-XCP-011</v>
      </c>
      <c r="AA405" s="353" t="str">
        <f t="shared" si="27"/>
        <v>ADM</v>
      </c>
      <c r="AB405" s="731"/>
      <c r="AC405" s="731"/>
    </row>
    <row r="406" ht="13.8" spans="1:29">
      <c r="A406" s="731"/>
      <c r="B406" s="613" t="str">
        <f>IFERROR(VLOOKUP(M406,'02. MM-KLH'!$B$6:$T$823,6,0),"")</f>
        <v>Xe chở phân FD120 (5.41m3)</v>
      </c>
      <c r="C406" s="353">
        <v>1</v>
      </c>
      <c r="D406" s="353" t="str">
        <f>IFERROR(VLOOKUP(M406,'02. MM-KLH'!$B$6:$T$823,16,0),"")</f>
        <v> FD120-4WD</v>
      </c>
      <c r="E406" s="353" t="s">
        <v>5978</v>
      </c>
      <c r="F406" s="353"/>
      <c r="G406" s="353"/>
      <c r="H406" s="353" t="str">
        <f>IFERROR(VLOOKUP(M406,'02. MM-KLH'!$B$6:$T$823,17,0),"")</f>
        <v>129HP</v>
      </c>
      <c r="I406" s="763">
        <f>IFERROR(VLOOKUP(M406,'02. MM-KLH'!$B$6:$U$823,20,0),"")</f>
        <v>0.61</v>
      </c>
      <c r="J406" s="613" t="str">
        <f>IFERROR(VLOOKUP(M406,'02. MM-KLH'!$B$6:$T$823,19,0),"")</f>
        <v>YN38CRD1*AGN22000292*</v>
      </c>
      <c r="K406" s="613" t="str">
        <f>IFERROR(VLOOKUP(M406,'02. MM-KLH'!$B$6:$T$823,18,0),"")</f>
        <v>RNHF12FNBRT002112</v>
      </c>
      <c r="L406" s="353" t="str">
        <f>IFERROR(VLOOKUP(M406,'02. MM-KLH'!$B$6:$T$823,4,0),"")</f>
        <v>3A-6841</v>
      </c>
      <c r="M406" s="49" t="s">
        <v>2283</v>
      </c>
      <c r="N406" s="356">
        <f>IFERROR(VLOOKUP(M406,'02. MM-KLH'!$B$6:$T$823,15,0),"")</f>
        <v>2024</v>
      </c>
      <c r="O406" s="764" t="str">
        <f>IFERROR(VLOOKUP(M406,'02. MM-KLH'!$B$6:$T$823,9,0),"")</f>
        <v>13/09/2025</v>
      </c>
      <c r="P406" s="353" t="s">
        <v>1755</v>
      </c>
      <c r="Q406" s="353"/>
      <c r="R406" s="353" t="s">
        <v>5978</v>
      </c>
      <c r="S406" s="353"/>
      <c r="T406" s="353"/>
      <c r="U406" s="353" t="str">
        <f>IFERROR(VLOOKUP(M406,'02. MM-KLH'!$B$6:$T$823,5,0),"")</f>
        <v>MỚI</v>
      </c>
      <c r="V406" s="731" t="str">
        <f>IFERROR(VLOOKUP(M406,'02. MM-KLH'!$B$6:$T$823,8,0),"")</f>
        <v>XN Bò AD</v>
      </c>
      <c r="W406" s="353" t="str">
        <f>IFERROR(VLOOKUP(V406,'NS QUẢN LÝ CG'!$A$4:$D$36,2,0),"")</f>
        <v/>
      </c>
      <c r="X406" s="353" t="str">
        <f>IFERROR(VLOOKUP(V406,'NS QUẢN LÝ CG'!$A$4:$D$36,4,0),"")</f>
        <v/>
      </c>
      <c r="Y406" s="353" t="str">
        <f>IFERROR(VLOOKUP(V406,'NS QUẢN LÝ CG'!$A$4:$C$36,3,0),"")</f>
        <v/>
      </c>
      <c r="Z406" s="731" t="str">
        <f>IFERROR(VLOOKUP(M406,'02. MM-KLH'!$B$6:$T$823,3,0),"")</f>
        <v>A22-XCP-012</v>
      </c>
      <c r="AA406" s="353" t="str">
        <f t="shared" si="27"/>
        <v>ADM</v>
      </c>
      <c r="AB406" s="731"/>
      <c r="AC406" s="731"/>
    </row>
    <row r="407" ht="13.8" spans="1:29">
      <c r="A407" s="731"/>
      <c r="B407" s="613" t="str">
        <f>IFERROR(VLOOKUP(M407,'02. MM-KLH'!$B$6:$T$823,6,0),"")</f>
        <v>Xe chở phân FD120 (5.41m3)</v>
      </c>
      <c r="C407" s="353">
        <v>1</v>
      </c>
      <c r="D407" s="353" t="str">
        <f>IFERROR(VLOOKUP(M407,'02. MM-KLH'!$B$6:$T$823,16,0),"")</f>
        <v> FD120-4WD</v>
      </c>
      <c r="E407" s="353" t="s">
        <v>5978</v>
      </c>
      <c r="F407" s="353"/>
      <c r="G407" s="353"/>
      <c r="H407" s="353" t="str">
        <f>IFERROR(VLOOKUP(M407,'02. MM-KLH'!$B$6:$T$823,17,0),"")</f>
        <v>129HP</v>
      </c>
      <c r="I407" s="763">
        <f>IFERROR(VLOOKUP(M407,'02. MM-KLH'!$B$6:$U$823,20,0),"")</f>
        <v>4.3</v>
      </c>
      <c r="J407" s="613" t="str">
        <f>IFERROR(VLOOKUP(M407,'02. MM-KLH'!$B$6:$T$823,19,0),"")</f>
        <v>YN38CRD1*AGN22000293*</v>
      </c>
      <c r="K407" s="613" t="str">
        <f>IFERROR(VLOOKUP(M407,'02. MM-KLH'!$B$6:$T$823,18,0),"")</f>
        <v>RNHF12FNBRT002113</v>
      </c>
      <c r="L407" s="353">
        <f>IFERROR(VLOOKUP(M407,'02. MM-KLH'!$B$6:$T$823,4,0),"")</f>
        <v>0</v>
      </c>
      <c r="M407" s="49" t="s">
        <v>2290</v>
      </c>
      <c r="N407" s="356">
        <f>IFERROR(VLOOKUP(M407,'02. MM-KLH'!$B$6:$T$823,15,0),"")</f>
        <v>2024</v>
      </c>
      <c r="O407" s="764" t="str">
        <f>IFERROR(VLOOKUP(M407,'02. MM-KLH'!$B$6:$T$823,9,0),"")</f>
        <v>13/09/2025</v>
      </c>
      <c r="P407" s="353" t="s">
        <v>1755</v>
      </c>
      <c r="Q407" s="353"/>
      <c r="R407" s="353" t="s">
        <v>5978</v>
      </c>
      <c r="S407" s="353"/>
      <c r="T407" s="353"/>
      <c r="U407" s="353" t="str">
        <f>IFERROR(VLOOKUP(M407,'02. MM-KLH'!$B$6:$T$823,5,0),"")</f>
        <v>MỚI</v>
      </c>
      <c r="V407" s="731" t="str">
        <f>IFERROR(VLOOKUP(M407,'02. MM-KLH'!$B$6:$T$823,8,0),"")</f>
        <v>XN Bò AD</v>
      </c>
      <c r="W407" s="353" t="str">
        <f>IFERROR(VLOOKUP(V407,'NS QUẢN LÝ CG'!$A$4:$D$36,2,0),"")</f>
        <v/>
      </c>
      <c r="X407" s="353" t="str">
        <f>IFERROR(VLOOKUP(V407,'NS QUẢN LÝ CG'!$A$4:$D$36,4,0),"")</f>
        <v/>
      </c>
      <c r="Y407" s="353" t="str">
        <f>IFERROR(VLOOKUP(V407,'NS QUẢN LÝ CG'!$A$4:$C$36,3,0),"")</f>
        <v/>
      </c>
      <c r="Z407" s="731" t="str">
        <f>IFERROR(VLOOKUP(M407,'02. MM-KLH'!$B$6:$T$823,3,0),"")</f>
        <v>A22-XCP-013</v>
      </c>
      <c r="AA407" s="353" t="str">
        <f t="shared" si="27"/>
        <v>ADM</v>
      </c>
      <c r="AB407" s="731"/>
      <c r="AC407" s="731"/>
    </row>
    <row r="408" ht="13.8" spans="1:29">
      <c r="A408" s="731"/>
      <c r="B408" s="613" t="str">
        <f>IFERROR(VLOOKUP(M408,'02. MM-KLH'!$B$6:$T$823,6,0),"")</f>
        <v>Xe chở phân FD120 (5.41m3)</v>
      </c>
      <c r="C408" s="353">
        <v>1</v>
      </c>
      <c r="D408" s="353" t="str">
        <f>IFERROR(VLOOKUP(M408,'02. MM-KLH'!$B$6:$T$823,16,0),"")</f>
        <v> FD120-4WD</v>
      </c>
      <c r="E408" s="353" t="s">
        <v>5978</v>
      </c>
      <c r="F408" s="353"/>
      <c r="G408" s="353"/>
      <c r="H408" s="353" t="str">
        <f>IFERROR(VLOOKUP(M408,'02. MM-KLH'!$B$6:$T$823,17,0),"")</f>
        <v>129HP</v>
      </c>
      <c r="I408" s="763">
        <f>IFERROR(VLOOKUP(M408,'02. MM-KLH'!$B$6:$U$823,20,0),"")</f>
        <v>0.61</v>
      </c>
      <c r="J408" s="613" t="str">
        <f>IFERROR(VLOOKUP(M408,'02. MM-KLH'!$B$6:$T$823,19,0),"")</f>
        <v>YN38CRD1*AGN22000297*</v>
      </c>
      <c r="K408" s="613" t="str">
        <f>IFERROR(VLOOKUP(M408,'02. MM-KLH'!$B$6:$T$823,18,0),"")</f>
        <v>RNHF12FNBRT002117</v>
      </c>
      <c r="L408" s="353" t="str">
        <f>IFERROR(VLOOKUP(M408,'02. MM-KLH'!$B$6:$T$823,4,0),"")</f>
        <v>3A-6833</v>
      </c>
      <c r="M408" s="49" t="s">
        <v>2294</v>
      </c>
      <c r="N408" s="356">
        <f>IFERROR(VLOOKUP(M408,'02. MM-KLH'!$B$6:$T$823,15,0),"")</f>
        <v>2024</v>
      </c>
      <c r="O408" s="764" t="str">
        <f>IFERROR(VLOOKUP(M408,'02. MM-KLH'!$B$6:$T$823,9,0),"")</f>
        <v>13/09/2025</v>
      </c>
      <c r="P408" s="353">
        <v>23248</v>
      </c>
      <c r="Q408" s="353"/>
      <c r="R408" s="353" t="s">
        <v>5978</v>
      </c>
      <c r="S408" s="353"/>
      <c r="T408" s="353"/>
      <c r="U408" s="353" t="str">
        <f>IFERROR(VLOOKUP(M408,'02. MM-KLH'!$B$6:$T$823,5,0),"")</f>
        <v>MỚI</v>
      </c>
      <c r="V408" s="731" t="str">
        <f>IFERROR(VLOOKUP(M408,'02. MM-KLH'!$B$6:$T$823,8,0),"")</f>
        <v>XN Bò AD</v>
      </c>
      <c r="W408" s="353" t="str">
        <f>IFERROR(VLOOKUP(V408,'NS QUẢN LÝ CG'!$A$4:$D$36,2,0),"")</f>
        <v/>
      </c>
      <c r="X408" s="353" t="str">
        <f>IFERROR(VLOOKUP(V408,'NS QUẢN LÝ CG'!$A$4:$D$36,4,0),"")</f>
        <v/>
      </c>
      <c r="Y408" s="353" t="str">
        <f>IFERROR(VLOOKUP(V408,'NS QUẢN LÝ CG'!$A$4:$C$36,3,0),"")</f>
        <v/>
      </c>
      <c r="Z408" s="731" t="str">
        <f>IFERROR(VLOOKUP(M408,'02. MM-KLH'!$B$6:$T$823,3,0),"")</f>
        <v>A22-XCP-014</v>
      </c>
      <c r="AA408" s="353" t="str">
        <f t="shared" si="27"/>
        <v>ADM</v>
      </c>
      <c r="AB408" s="731"/>
      <c r="AC408" s="731"/>
    </row>
    <row r="409" ht="13.8" spans="1:29">
      <c r="A409" s="731"/>
      <c r="B409" s="613" t="str">
        <f>IFERROR(VLOOKUP(M409,'02. MM-KLH'!$B$6:$T$823,6,0),"")</f>
        <v/>
      </c>
      <c r="C409" s="353"/>
      <c r="D409" s="353" t="str">
        <f>IFERROR(VLOOKUP(M409,'02. MM-KLH'!$B$6:$T$823,16,0),"")</f>
        <v/>
      </c>
      <c r="E409" s="353"/>
      <c r="F409" s="353"/>
      <c r="G409" s="353"/>
      <c r="H409" s="353" t="str">
        <f>IFERROR(VLOOKUP(M409,'02. MM-KLH'!$B$6:$T$823,17,0),"")</f>
        <v/>
      </c>
      <c r="I409" s="763" t="str">
        <f>IFERROR(VLOOKUP(M409,'02. MM-KLH'!$B$6:$U$823,20,0),"")</f>
        <v/>
      </c>
      <c r="J409" s="613" t="str">
        <f>IFERROR(VLOOKUP(M409,'02. MM-KLH'!$B$6:$T$823,19,0),"")</f>
        <v/>
      </c>
      <c r="K409" s="613" t="str">
        <f>IFERROR(VLOOKUP(M409,'02. MM-KLH'!$B$6:$T$823,18,0),"")</f>
        <v/>
      </c>
      <c r="L409" s="353" t="str">
        <f>IFERROR(VLOOKUP(M409,'02. MM-KLH'!$B$6:$T$823,4,0),"")</f>
        <v/>
      </c>
      <c r="M409" s="49"/>
      <c r="N409" s="356" t="str">
        <f>IFERROR(VLOOKUP(M409,'02. MM-KLH'!$B$6:$T$823,15,0),"")</f>
        <v/>
      </c>
      <c r="O409" s="764" t="str">
        <f>IFERROR(VLOOKUP(M409,'02. MM-KLH'!$B$6:$T$823,9,0),"")</f>
        <v/>
      </c>
      <c r="P409" s="353"/>
      <c r="Q409" s="353"/>
      <c r="R409" s="353"/>
      <c r="S409" s="353"/>
      <c r="T409" s="353"/>
      <c r="U409" s="353" t="str">
        <f>IFERROR(VLOOKUP(M409,'02. MM-KLH'!$B$6:$T$823,2,0),"")</f>
        <v/>
      </c>
      <c r="V409" s="731" t="str">
        <f>IFERROR(VLOOKUP(M409,'02. MM-KLH'!$B$6:$T$823,8,0),"")</f>
        <v/>
      </c>
      <c r="W409" s="353" t="str">
        <f>IFERROR(VLOOKUP(V409,'NS QUẢN LÝ CG'!$A$4:$D$36,2,0),"")</f>
        <v/>
      </c>
      <c r="X409" s="353" t="str">
        <f>IFERROR(VLOOKUP(V409,'NS QUẢN LÝ CG'!$A$4:$D$36,4,0),"")</f>
        <v/>
      </c>
      <c r="Y409" s="353"/>
      <c r="Z409" s="731" t="str">
        <f>IFERROR(VLOOKUP(M409,'02. MM-KLH'!$B$6:$T$823,3,0),"")</f>
        <v/>
      </c>
      <c r="AA409" s="353"/>
      <c r="AB409" s="731"/>
      <c r="AC409" s="731"/>
    </row>
    <row r="410" ht="13.8" hidden="1" spans="1:29">
      <c r="A410" s="731"/>
      <c r="B410" s="613" t="str">
        <f>IFERROR(VLOOKUP(M410,'02. MM-KLH'!$B$6:$T$823,6,0),"")</f>
        <v/>
      </c>
      <c r="C410" s="353"/>
      <c r="D410" s="353" t="str">
        <f>IFERROR(VLOOKUP(M410,'02. MM-KLH'!$B$6:$T$823,16,0),"")</f>
        <v/>
      </c>
      <c r="E410" s="353"/>
      <c r="F410" s="353"/>
      <c r="G410" s="353"/>
      <c r="H410" s="353" t="str">
        <f>IFERROR(VLOOKUP(M410,'02. MM-KLH'!$B$6:$T$823,17,0),"")</f>
        <v/>
      </c>
      <c r="I410" s="763" t="str">
        <f>IFERROR(VLOOKUP(M410,'02. MM-KLH'!$B$6:$U$823,20,0),"")</f>
        <v/>
      </c>
      <c r="J410" s="613" t="str">
        <f>IFERROR(VLOOKUP(M410,'02. MM-KLH'!$B$6:$T$823,19,0),"")</f>
        <v/>
      </c>
      <c r="K410" s="613" t="str">
        <f>IFERROR(VLOOKUP(M410,'02. MM-KLH'!$B$6:$T$823,18,0),"")</f>
        <v/>
      </c>
      <c r="L410" s="353" t="str">
        <f>IFERROR(VLOOKUP(M410,'02. MM-KLH'!$B$6:$T$823,4,0),"")</f>
        <v/>
      </c>
      <c r="M410" s="49"/>
      <c r="N410" s="356" t="str">
        <f>IFERROR(VLOOKUP(M410,'02. MM-KLH'!$B$6:$T$823,15,0),"")</f>
        <v/>
      </c>
      <c r="O410" s="764" t="str">
        <f>IFERROR(VLOOKUP(M410,'02. MM-KLH'!$B$6:$T$823,9,0),"")</f>
        <v/>
      </c>
      <c r="P410" s="353"/>
      <c r="Q410" s="353"/>
      <c r="R410" s="353"/>
      <c r="S410" s="353"/>
      <c r="T410" s="353"/>
      <c r="U410" s="353" t="str">
        <f>IFERROR(VLOOKUP(M410,'02. MM-KLH'!$B$6:$T$823,2,0),"")</f>
        <v/>
      </c>
      <c r="V410" s="731" t="str">
        <f>IFERROR(VLOOKUP(M410,'02. MM-KLH'!$B$6:$T$823,8,0),"")</f>
        <v/>
      </c>
      <c r="W410" s="353"/>
      <c r="X410" s="353"/>
      <c r="Y410" s="353"/>
      <c r="Z410" s="731" t="str">
        <f>IFERROR(VLOOKUP(M410,'02. MM-KLH'!$B$6:$T$823,3,0),"")</f>
        <v/>
      </c>
      <c r="AA410" s="353"/>
      <c r="AB410" s="731"/>
      <c r="AC410" s="731"/>
    </row>
    <row r="411" ht="13.8" hidden="1" spans="1:29">
      <c r="A411" s="731"/>
      <c r="B411" s="613" t="str">
        <f>IFERROR(VLOOKUP(M411,'02. MM-KLH'!$B$6:$T$823,6,0),"")</f>
        <v/>
      </c>
      <c r="C411" s="353"/>
      <c r="D411" s="353" t="str">
        <f>IFERROR(VLOOKUP(M411,'02. MM-KLH'!$B$6:$T$823,16,0),"")</f>
        <v/>
      </c>
      <c r="E411" s="353"/>
      <c r="F411" s="353"/>
      <c r="G411" s="353"/>
      <c r="H411" s="353" t="str">
        <f>IFERROR(VLOOKUP(M411,'02. MM-KLH'!$B$6:$T$823,17,0),"")</f>
        <v/>
      </c>
      <c r="I411" s="763" t="str">
        <f>IFERROR(VLOOKUP(M411,'02. MM-KLH'!$B$6:$U$823,20,0),"")</f>
        <v/>
      </c>
      <c r="J411" s="613" t="str">
        <f>IFERROR(VLOOKUP(M411,'02. MM-KLH'!$B$6:$T$823,19,0),"")</f>
        <v/>
      </c>
      <c r="K411" s="613" t="str">
        <f>IFERROR(VLOOKUP(M411,'02. MM-KLH'!$B$6:$T$823,18,0),"")</f>
        <v/>
      </c>
      <c r="L411" s="353" t="str">
        <f>IFERROR(VLOOKUP(M411,'02. MM-KLH'!$B$6:$T$823,4,0),"")</f>
        <v/>
      </c>
      <c r="M411" s="49"/>
      <c r="N411" s="356" t="str">
        <f>IFERROR(VLOOKUP(M411,'02. MM-KLH'!$B$6:$T$823,15,0),"")</f>
        <v/>
      </c>
      <c r="O411" s="764" t="str">
        <f>IFERROR(VLOOKUP(M411,'02. MM-KLH'!$B$6:$T$823,9,0),"")</f>
        <v/>
      </c>
      <c r="P411" s="353"/>
      <c r="Q411" s="353"/>
      <c r="R411" s="353"/>
      <c r="S411" s="353"/>
      <c r="T411" s="353"/>
      <c r="U411" s="353" t="str">
        <f>IFERROR(VLOOKUP(M411,'02. MM-KLH'!$B$6:$T$823,2,0),"")</f>
        <v/>
      </c>
      <c r="V411" s="731" t="str">
        <f>IFERROR(VLOOKUP(M411,'02. MM-KLH'!$B$6:$T$823,8,0),"")</f>
        <v/>
      </c>
      <c r="W411" s="353"/>
      <c r="X411" s="353"/>
      <c r="Y411" s="353"/>
      <c r="Z411" s="731" t="str">
        <f>IFERROR(VLOOKUP(M411,'02. MM-KLH'!$B$6:$T$823,3,0),"")</f>
        <v/>
      </c>
      <c r="AA411" s="353"/>
      <c r="AB411" s="731"/>
      <c r="AC411" s="731"/>
    </row>
    <row r="412" ht="13.8" spans="1:29">
      <c r="A412" s="754">
        <v>2</v>
      </c>
      <c r="B412" s="755" t="s">
        <v>499</v>
      </c>
      <c r="C412" s="754">
        <f>COUNTA(B413:B419)</f>
        <v>7</v>
      </c>
      <c r="D412" s="756" t="str">
        <f>IFERROR(VLOOKUP(M412,'02. MM-KLH'!$B$6:$T$823,16,0),"")</f>
        <v/>
      </c>
      <c r="E412" s="756"/>
      <c r="F412" s="756"/>
      <c r="G412" s="756"/>
      <c r="H412" s="762" t="str">
        <f>IFERROR(VLOOKUP(M412,'02. MM-KLH'!$B$6:$T$823,17,0),"")</f>
        <v/>
      </c>
      <c r="I412" s="762" t="str">
        <f>IFERROR(VLOOKUP(M412,'02. MM-KLH'!$B$6:$U$823,20,0),"")</f>
        <v/>
      </c>
      <c r="J412" s="758" t="str">
        <f>IFERROR(VLOOKUP(M412,'02. MM-KLH'!$B$6:$T$823,19,0),"")</f>
        <v/>
      </c>
      <c r="K412" s="758" t="str">
        <f>IFERROR(VLOOKUP(M412,'02. MM-KLH'!$B$6:$T$823,18,0),"")</f>
        <v/>
      </c>
      <c r="L412" s="756" t="str">
        <f>IFERROR(VLOOKUP(M412,'02. MM-KLH'!$B$6:$T$823,4,0),"")</f>
        <v/>
      </c>
      <c r="M412" s="756"/>
      <c r="N412" s="756" t="str">
        <f>IFERROR(VLOOKUP(M412,'02. MM-KLH'!$B$6:$T$823,15,0),"")</f>
        <v/>
      </c>
      <c r="O412" s="760" t="str">
        <f>IFERROR(VLOOKUP(M412,'02. MM-KLH'!$B$6:$T$823,9,0),"")</f>
        <v/>
      </c>
      <c r="P412" s="756"/>
      <c r="Q412" s="756"/>
      <c r="R412" s="756"/>
      <c r="S412" s="756"/>
      <c r="T412" s="756"/>
      <c r="U412" s="756" t="str">
        <f>IFERROR(VLOOKUP(M412,'02. MM-KLH'!$B$6:$T$823,2,0),"")</f>
        <v/>
      </c>
      <c r="V412" s="762" t="str">
        <f>IFERROR(VLOOKUP(M412,'02. MM-KLH'!$B$6:$T$823,8,0),"")</f>
        <v/>
      </c>
      <c r="W412" s="756"/>
      <c r="X412" s="756"/>
      <c r="Y412" s="756"/>
      <c r="Z412" s="762" t="str">
        <f>IFERROR(VLOOKUP(M412,'02. MM-KLH'!$B$6:$T$823,3,0),"")</f>
        <v/>
      </c>
      <c r="AA412" s="756"/>
      <c r="AB412" s="762"/>
      <c r="AC412" s="762"/>
    </row>
    <row r="413" ht="13.8" spans="1:29">
      <c r="A413" s="731"/>
      <c r="B413" s="613" t="str">
        <f>IFERROR(VLOOKUP(M413,'02. MM-KLH'!$B$6:$T$823,6,0),"")</f>
        <v>Xe ben AUMAN GTL D300 E4</v>
      </c>
      <c r="C413" s="353">
        <v>1</v>
      </c>
      <c r="D413" s="353" t="str">
        <f>IFERROR(VLOOKUP(M413,'02. MM-KLH'!$B$6:$T$823,16,0),"")</f>
        <v>GTL D300E4</v>
      </c>
      <c r="E413" s="353" t="s">
        <v>5978</v>
      </c>
      <c r="F413" s="353"/>
      <c r="G413" s="353"/>
      <c r="H413" s="353" t="str">
        <f>IFERROR(VLOOKUP(M413,'02. MM-KLH'!$B$6:$T$823,17,0),"")</f>
        <v>375HP</v>
      </c>
      <c r="I413" s="763">
        <f>IFERROR(VLOOKUP(M413,'02. MM-KLH'!$B$6:$U$823,20,0),"")</f>
        <v>1.41</v>
      </c>
      <c r="J413" s="613" t="str">
        <f>IFERROR(VLOOKUP(M413,'02. MM-KLH'!$B$6:$T$823,19,0),"")</f>
        <v>CCN</v>
      </c>
      <c r="K413" s="613" t="str">
        <f>IFERROR(VLOOKUP(M413,'02. MM-KLH'!$B$6:$T$823,18,0),"")</f>
        <v>RNHD30FWAJC078089</v>
      </c>
      <c r="L413" s="353">
        <f>IFERROR(VLOOKUP(M413,'02. MM-KLH'!$B$6:$T$823,4,0),"")</f>
        <v>0</v>
      </c>
      <c r="M413" s="49" t="s">
        <v>498</v>
      </c>
      <c r="N413" s="356">
        <f>IFERROR(VLOOKUP(M413,'02. MM-KLH'!$B$6:$T$823,15,0),"")</f>
        <v>2018</v>
      </c>
      <c r="O413" s="764">
        <f>IFERROR(VLOOKUP(M413,'02. MM-KLH'!$B$6:$T$823,9,0),"")</f>
        <v>0</v>
      </c>
      <c r="P413" s="353">
        <v>100931</v>
      </c>
      <c r="Q413" s="353"/>
      <c r="R413" s="353" t="s">
        <v>5978</v>
      </c>
      <c r="S413" s="353"/>
      <c r="T413" s="353"/>
      <c r="U413" s="353" t="str">
        <f>IFERROR(VLOOKUP(M413,'02. MM-KLH'!$B$6:$T$823,5,0),"")</f>
        <v>ĐQSD</v>
      </c>
      <c r="V413" s="731" t="str">
        <f>IFERROR(VLOOKUP(M413,'02. MM-KLH'!$B$6:$T$823,8,0),"")</f>
        <v>CGTC DP</v>
      </c>
      <c r="W413" s="353" t="str">
        <f>IFERROR(VLOOKUP(V413,'NS QUẢN LÝ CG'!$A$4:$D$36,2,0),"")</f>
        <v>Phạm Ngọc Hải</v>
      </c>
      <c r="X413" s="353" t="str">
        <f>IFERROR(VLOOKUP(V413,'NS QUẢN LÝ CG'!$A$4:$D$36,4,0),"")</f>
        <v>Lô 85 DP4</v>
      </c>
      <c r="Y413" s="1104" t="str">
        <f>IFERROR(VLOOKUP(V413,'NS QUẢN LÝ CG'!$A$4:$C$36,3,0),"")</f>
        <v>0825456565</v>
      </c>
      <c r="Z413" s="731" t="str">
        <f>IFERROR(VLOOKUP(M413,'02. MM-KLH'!$B$6:$T$823,3,0),"")</f>
        <v>A23-XTA-002</v>
      </c>
      <c r="AA413" s="353" t="str">
        <f>_xlfn.SWITCH(LEFT(Z413,3),"A22","ADM","A23","DP","A24","LP","")</f>
        <v>DP</v>
      </c>
      <c r="AB413" s="731"/>
      <c r="AC413" s="731"/>
    </row>
    <row r="414" ht="13.8" spans="1:29">
      <c r="A414" s="731"/>
      <c r="B414" s="613" t="str">
        <f>IFERROR(VLOOKUP(M414,'02. MM-KLH'!$B$6:$T$823,6,0),"")</f>
        <v>Xe ben AUMAN GTL D300 E4</v>
      </c>
      <c r="C414" s="353">
        <v>1</v>
      </c>
      <c r="D414" s="353" t="str">
        <f>IFERROR(VLOOKUP(M414,'02. MM-KLH'!$B$6:$T$823,16,0),"")</f>
        <v>GTL D300E4</v>
      </c>
      <c r="E414" s="353" t="s">
        <v>5978</v>
      </c>
      <c r="F414" s="353"/>
      <c r="G414" s="353"/>
      <c r="H414" s="353" t="str">
        <f>IFERROR(VLOOKUP(M414,'02. MM-KLH'!$B$6:$T$823,17,0),"")</f>
        <v>375HP</v>
      </c>
      <c r="I414" s="763">
        <f>IFERROR(VLOOKUP(M414,'02. MM-KLH'!$B$6:$U$823,20,0),"")</f>
        <v>1.41</v>
      </c>
      <c r="J414" s="613" t="str">
        <f>IFERROR(VLOOKUP(M414,'02. MM-KLH'!$B$6:$T$823,19,0),"")</f>
        <v>WP10375E431618A009923</v>
      </c>
      <c r="K414" s="613" t="str">
        <f>IFERROR(VLOOKUP(M414,'02. MM-KLH'!$B$6:$T$823,18,0),"")</f>
        <v>RNHD30FWAJCO078095</v>
      </c>
      <c r="L414" s="353">
        <f>IFERROR(VLOOKUP(M414,'02. MM-KLH'!$B$6:$T$823,4,0),"")</f>
        <v>0</v>
      </c>
      <c r="M414" s="49" t="s">
        <v>727</v>
      </c>
      <c r="N414" s="356">
        <f>IFERROR(VLOOKUP(M414,'02. MM-KLH'!$B$6:$T$823,15,0),"")</f>
        <v>2018</v>
      </c>
      <c r="O414" s="764">
        <f>IFERROR(VLOOKUP(M414,'02. MM-KLH'!$B$6:$T$823,9,0),"")</f>
        <v>44205</v>
      </c>
      <c r="P414" s="722">
        <v>98059</v>
      </c>
      <c r="Q414" s="353"/>
      <c r="R414" s="353" t="s">
        <v>5978</v>
      </c>
      <c r="S414" s="353"/>
      <c r="T414" s="353"/>
      <c r="U414" s="353" t="str">
        <f>IFERROR(VLOOKUP(M414,'02. MM-KLH'!$B$6:$T$823,5,0),"")</f>
        <v>ĐQSD</v>
      </c>
      <c r="V414" s="731" t="str">
        <f>IFERROR(VLOOKUP(M414,'02. MM-KLH'!$B$6:$T$823,8,0),"")</f>
        <v>CGTC LP</v>
      </c>
      <c r="W414" s="353" t="str">
        <f>IFERROR(VLOOKUP(V414,'NS QUẢN LÝ CG'!$A$4:$D$36,2,0),"")</f>
        <v>Đỗ Đức Nghĩa</v>
      </c>
      <c r="X414" s="353" t="str">
        <f>IFERROR(VLOOKUP(V414,'NS QUẢN LÝ CG'!$A$4:$D$36,4,0),"")</f>
        <v>NOCN L.4-LP3</v>
      </c>
      <c r="Y414" s="1104" t="str">
        <f>IFERROR(VLOOKUP(V414,'NS QUẢN LÝ CG'!$A$4:$C$36,3,0),"")</f>
        <v>0971462780</v>
      </c>
      <c r="Z414" s="731" t="str">
        <f>IFERROR(VLOOKUP(M414,'02. MM-KLH'!$B$6:$T$823,3,0),"")</f>
        <v>ATT-A24-0080</v>
      </c>
      <c r="AA414" s="353" t="s">
        <v>5981</v>
      </c>
      <c r="AB414" s="731"/>
      <c r="AC414" s="731"/>
    </row>
    <row r="415" spans="1:29">
      <c r="A415" s="731"/>
      <c r="B415" s="613" t="str">
        <f>IFERROR(VLOOKUP(M415,'02. MM-KLH'!$B$6:$T$823,6,0),"")</f>
        <v>Xe ben AUMAN GTL D300 E4</v>
      </c>
      <c r="C415" s="353">
        <v>1</v>
      </c>
      <c r="D415" s="353" t="str">
        <f>IFERROR(VLOOKUP(M415,'02. MM-KLH'!$B$6:$T$823,16,0),"")</f>
        <v>GTL D300E4</v>
      </c>
      <c r="E415" s="353" t="s">
        <v>5978</v>
      </c>
      <c r="F415" s="353"/>
      <c r="G415" s="353"/>
      <c r="H415" s="353" t="str">
        <f>IFERROR(VLOOKUP(M415,'02. MM-KLH'!$B$6:$T$823,17,0),"")</f>
        <v>375HP</v>
      </c>
      <c r="I415" s="763">
        <f>IFERROR(VLOOKUP(M415,'02. MM-KLH'!$B$6:$U$823,20,0),"")</f>
        <v>1.41</v>
      </c>
      <c r="J415" s="613" t="str">
        <f>IFERROR(VLOOKUP(M415,'02. MM-KLH'!$B$6:$T$823,19,0),"")</f>
        <v>WP10375E431618A009907</v>
      </c>
      <c r="K415" s="613" t="str">
        <f>IFERROR(VLOOKUP(M415,'02. MM-KLH'!$B$6:$T$823,18,0),"")</f>
        <v>RNHD30FWAJC078104</v>
      </c>
      <c r="L415" s="353">
        <f>IFERROR(VLOOKUP(M415,'02. MM-KLH'!$B$6:$T$823,4,0),"")</f>
        <v>0</v>
      </c>
      <c r="M415" s="49" t="s">
        <v>857</v>
      </c>
      <c r="N415" s="356">
        <f>IFERROR(VLOOKUP(M415,'02. MM-KLH'!$B$6:$T$823,15,0),"")</f>
        <v>2018</v>
      </c>
      <c r="O415" s="764">
        <f>IFERROR(VLOOKUP(M415,'02. MM-KLH'!$B$6:$T$823,9,0),"")</f>
        <v>44198</v>
      </c>
      <c r="P415" s="765">
        <v>29698</v>
      </c>
      <c r="Q415" s="765"/>
      <c r="R415" s="353"/>
      <c r="S415" s="353" t="s">
        <v>5978</v>
      </c>
      <c r="T415" s="353"/>
      <c r="U415" s="353" t="str">
        <f>IFERROR(VLOOKUP(M415,'02. MM-KLH'!$B$6:$T$823,5,0),"")</f>
        <v>ĐQSD</v>
      </c>
      <c r="V415" s="731" t="str">
        <f>IFERROR(VLOOKUP(M415,'02. MM-KLH'!$B$6:$T$823,8,0),"")</f>
        <v>CGTC AD</v>
      </c>
      <c r="W415" s="353" t="str">
        <f>IFERROR(VLOOKUP(V415,'NS QUẢN LÝ CG'!$A$4:$D$36,2,0),"")</f>
        <v>Vũ Trung Kiên</v>
      </c>
      <c r="X415" s="353" t="str">
        <f>IFERROR(VLOOKUP(V415,'NS QUẢN LÝ CG'!$A$4:$D$36,4,0),"")</f>
        <v>Lô 73 ADM</v>
      </c>
      <c r="Y415" s="1104" t="str">
        <f>IFERROR(VLOOKUP(V415,'NS QUẢN LÝ CG'!$A$4:$C$36,3,0),"")</f>
        <v>0981761677</v>
      </c>
      <c r="Z415" s="731" t="str">
        <f>IFERROR(VLOOKUP(M415,'02. MM-KLH'!$B$6:$T$823,3,0),"")</f>
        <v>ATT-A22-0171</v>
      </c>
      <c r="AA415" s="353" t="s">
        <v>5980</v>
      </c>
      <c r="AB415" s="731"/>
      <c r="AC415" s="731"/>
    </row>
    <row r="416" spans="1:29">
      <c r="A416" s="731"/>
      <c r="B416" s="613" t="str">
        <f>IFERROR(VLOOKUP(M416,'02. MM-KLH'!$B$6:$T$823,6,0),"")</f>
        <v>Xe ben AUMAN GTL D300 E4</v>
      </c>
      <c r="C416" s="353">
        <v>1</v>
      </c>
      <c r="D416" s="353" t="str">
        <f>IFERROR(VLOOKUP(M416,'02. MM-KLH'!$B$6:$T$823,16,0),"")</f>
        <v>GTL D300E4</v>
      </c>
      <c r="E416" s="353" t="s">
        <v>5978</v>
      </c>
      <c r="F416" s="353"/>
      <c r="G416" s="353"/>
      <c r="H416" s="353" t="str">
        <f>IFERROR(VLOOKUP(M416,'02. MM-KLH'!$B$6:$T$823,17,0),"")</f>
        <v>375HP</v>
      </c>
      <c r="I416" s="763">
        <f>IFERROR(VLOOKUP(M416,'02. MM-KLH'!$B$6:$U$823,20,0),"")</f>
        <v>1.41</v>
      </c>
      <c r="J416" s="613" t="str">
        <f>IFERROR(VLOOKUP(M416,'02. MM-KLH'!$B$6:$T$823,19,0),"")</f>
        <v>WP10375E431617K140763</v>
      </c>
      <c r="K416" s="613" t="str">
        <f>IFERROR(VLOOKUP(M416,'02. MM-KLH'!$B$6:$T$823,18,0),"")</f>
        <v>RNHD30FWAJC75800</v>
      </c>
      <c r="L416" s="353">
        <f>IFERROR(VLOOKUP(M416,'02. MM-KLH'!$B$6:$T$823,4,0),"")</f>
        <v>0</v>
      </c>
      <c r="M416" s="49" t="s">
        <v>860</v>
      </c>
      <c r="N416" s="356">
        <f>IFERROR(VLOOKUP(M416,'02. MM-KLH'!$B$6:$T$823,15,0),"")</f>
        <v>2018</v>
      </c>
      <c r="O416" s="764">
        <f>IFERROR(VLOOKUP(M416,'02. MM-KLH'!$B$6:$T$823,9,0),"")</f>
        <v>44198</v>
      </c>
      <c r="P416" s="765">
        <v>107899</v>
      </c>
      <c r="Q416" s="765"/>
      <c r="R416" s="353" t="s">
        <v>5978</v>
      </c>
      <c r="S416" s="353"/>
      <c r="T416" s="353"/>
      <c r="U416" s="353" t="str">
        <f>IFERROR(VLOOKUP(M416,'02. MM-KLH'!$B$6:$T$823,5,0),"")</f>
        <v>ĐQSD</v>
      </c>
      <c r="V416" s="731" t="str">
        <f>IFERROR(VLOOKUP(M416,'02. MM-KLH'!$B$6:$T$823,8,0),"")</f>
        <v>CGTC AD</v>
      </c>
      <c r="W416" s="353" t="str">
        <f>IFERROR(VLOOKUP(V416,'NS QUẢN LÝ CG'!$A$4:$D$36,2,0),"")</f>
        <v>Vũ Trung Kiên</v>
      </c>
      <c r="X416" s="353" t="str">
        <f>IFERROR(VLOOKUP(V416,'NS QUẢN LÝ CG'!$A$4:$D$36,4,0),"")</f>
        <v>Lô 73 ADM</v>
      </c>
      <c r="Y416" s="1104" t="str">
        <f>IFERROR(VLOOKUP(V416,'NS QUẢN LÝ CG'!$A$4:$C$36,3,0),"")</f>
        <v>0981761677</v>
      </c>
      <c r="Z416" s="731" t="str">
        <f>IFERROR(VLOOKUP(M416,'02. MM-KLH'!$B$6:$T$823,3,0),"")</f>
        <v>ATT-A22-0171</v>
      </c>
      <c r="AA416" s="353" t="s">
        <v>5980</v>
      </c>
      <c r="AB416" s="731"/>
      <c r="AC416" s="731"/>
    </row>
    <row r="417" ht="13.8" spans="1:29">
      <c r="A417" s="731"/>
      <c r="B417" s="613" t="str">
        <f>IFERROR(VLOOKUP(M417,'02. MM-KLH'!$B$6:$T$823,6,0),"")</f>
        <v/>
      </c>
      <c r="C417" s="353"/>
      <c r="D417" s="353" t="str">
        <f>IFERROR(VLOOKUP(M417,'02. MM-KLH'!$B$6:$T$823,16,0),"")</f>
        <v/>
      </c>
      <c r="E417" s="353"/>
      <c r="F417" s="353"/>
      <c r="G417" s="353"/>
      <c r="H417" s="353" t="str">
        <f>IFERROR(VLOOKUP(M417,'02. MM-KLH'!$B$6:$T$823,17,0),"")</f>
        <v/>
      </c>
      <c r="I417" s="763" t="str">
        <f>IFERROR(VLOOKUP(M417,'02. MM-KLH'!$B$6:$U$823,20,0),"")</f>
        <v/>
      </c>
      <c r="J417" s="613" t="str">
        <f>IFERROR(VLOOKUP(M417,'02. MM-KLH'!$B$6:$T$823,19,0),"")</f>
        <v/>
      </c>
      <c r="K417" s="613" t="str">
        <f>IFERROR(VLOOKUP(M417,'02. MM-KLH'!$B$6:$T$823,18,0),"")</f>
        <v/>
      </c>
      <c r="L417" s="353" t="str">
        <f>IFERROR(VLOOKUP(M417,'02. MM-KLH'!$B$6:$T$823,4,0),"")</f>
        <v/>
      </c>
      <c r="M417" s="49"/>
      <c r="N417" s="356" t="str">
        <f>IFERROR(VLOOKUP(M417,'02. MM-KLH'!$B$6:$T$823,15,0),"")</f>
        <v/>
      </c>
      <c r="O417" s="764" t="str">
        <f>IFERROR(VLOOKUP(M417,'02. MM-KLH'!$B$6:$T$823,9,0),"")</f>
        <v/>
      </c>
      <c r="P417" s="353"/>
      <c r="Q417" s="353"/>
      <c r="R417" s="353"/>
      <c r="S417" s="353"/>
      <c r="T417" s="353"/>
      <c r="U417" s="353" t="str">
        <f>IFERROR(VLOOKUP(M417,'02. MM-KLH'!$B$6:$T$823,2,0),"")</f>
        <v/>
      </c>
      <c r="V417" s="731" t="str">
        <f>IFERROR(VLOOKUP(M417,'02. MM-KLH'!$B$6:$T$823,8,0),"")</f>
        <v/>
      </c>
      <c r="W417" s="353" t="str">
        <f>IFERROR(VLOOKUP(V417,'NS QUẢN LÝ CG'!$A$4:$D$36,2,0),"")</f>
        <v/>
      </c>
      <c r="X417" s="353" t="str">
        <f>IFERROR(VLOOKUP(V417,'NS QUẢN LÝ CG'!$A$4:$D$36,4,0),"")</f>
        <v/>
      </c>
      <c r="Y417" s="353"/>
      <c r="Z417" s="731" t="str">
        <f>IFERROR(VLOOKUP(M417,'02. MM-KLH'!$B$6:$T$823,3,0),"")</f>
        <v/>
      </c>
      <c r="AA417" s="353"/>
      <c r="AB417" s="731"/>
      <c r="AC417" s="731"/>
    </row>
    <row r="418" ht="13.8" hidden="1" spans="1:29">
      <c r="A418" s="731"/>
      <c r="B418" s="613" t="str">
        <f>IFERROR(VLOOKUP(M418,'02. MM-KLH'!$B$6:$T$823,6,0),"")</f>
        <v/>
      </c>
      <c r="C418" s="353"/>
      <c r="D418" s="353" t="str">
        <f>IFERROR(VLOOKUP(M418,'02. MM-KLH'!$B$6:$T$823,16,0),"")</f>
        <v/>
      </c>
      <c r="E418" s="353"/>
      <c r="F418" s="353"/>
      <c r="G418" s="353"/>
      <c r="H418" s="353" t="str">
        <f>IFERROR(VLOOKUP(M418,'02. MM-KLH'!$B$6:$T$823,17,0),"")</f>
        <v/>
      </c>
      <c r="I418" s="763" t="str">
        <f>IFERROR(VLOOKUP(M418,'02. MM-KLH'!$B$6:$U$823,20,0),"")</f>
        <v/>
      </c>
      <c r="J418" s="613" t="str">
        <f>IFERROR(VLOOKUP(M418,'02. MM-KLH'!$B$6:$T$823,19,0),"")</f>
        <v/>
      </c>
      <c r="K418" s="613" t="str">
        <f>IFERROR(VLOOKUP(M418,'02. MM-KLH'!$B$6:$T$823,18,0),"")</f>
        <v/>
      </c>
      <c r="L418" s="353" t="str">
        <f>IFERROR(VLOOKUP(M418,'02. MM-KLH'!$B$6:$T$823,4,0),"")</f>
        <v/>
      </c>
      <c r="M418" s="49"/>
      <c r="N418" s="356" t="str">
        <f>IFERROR(VLOOKUP(M418,'02. MM-KLH'!$B$6:$T$823,15,0),"")</f>
        <v/>
      </c>
      <c r="O418" s="764" t="str">
        <f>IFERROR(VLOOKUP(M418,'02. MM-KLH'!$B$6:$T$823,9,0),"")</f>
        <v/>
      </c>
      <c r="P418" s="353"/>
      <c r="Q418" s="353"/>
      <c r="R418" s="353"/>
      <c r="S418" s="353"/>
      <c r="T418" s="353"/>
      <c r="U418" s="353" t="str">
        <f>IFERROR(VLOOKUP(M418,'02. MM-KLH'!$B$6:$T$823,2,0),"")</f>
        <v/>
      </c>
      <c r="V418" s="731" t="str">
        <f>IFERROR(VLOOKUP(M418,'02. MM-KLH'!$B$6:$T$823,8,0),"")</f>
        <v/>
      </c>
      <c r="W418" s="353"/>
      <c r="X418" s="353"/>
      <c r="Y418" s="353"/>
      <c r="Z418" s="731" t="str">
        <f>IFERROR(VLOOKUP(M418,'02. MM-KLH'!$B$6:$T$823,3,0),"")</f>
        <v/>
      </c>
      <c r="AA418" s="353"/>
      <c r="AB418" s="731"/>
      <c r="AC418" s="731"/>
    </row>
    <row r="419" ht="13.8" hidden="1" spans="1:29">
      <c r="A419" s="731"/>
      <c r="B419" s="613" t="str">
        <f>IFERROR(VLOOKUP(M419,'02. MM-KLH'!$B$6:$T$823,6,0),"")</f>
        <v/>
      </c>
      <c r="C419" s="353"/>
      <c r="D419" s="353" t="str">
        <f>IFERROR(VLOOKUP(M419,'02. MM-KLH'!$B$6:$T$823,16,0),"")</f>
        <v/>
      </c>
      <c r="E419" s="353"/>
      <c r="F419" s="353"/>
      <c r="G419" s="353"/>
      <c r="H419" s="353" t="str">
        <f>IFERROR(VLOOKUP(M419,'02. MM-KLH'!$B$6:$T$823,17,0),"")</f>
        <v/>
      </c>
      <c r="I419" s="763" t="str">
        <f>IFERROR(VLOOKUP(M419,'02. MM-KLH'!$B$6:$U$823,20,0),"")</f>
        <v/>
      </c>
      <c r="J419" s="613" t="str">
        <f>IFERROR(VLOOKUP(M419,'02. MM-KLH'!$B$6:$T$823,19,0),"")</f>
        <v/>
      </c>
      <c r="K419" s="613" t="str">
        <f>IFERROR(VLOOKUP(M419,'02. MM-KLH'!$B$6:$T$823,18,0),"")</f>
        <v/>
      </c>
      <c r="L419" s="353" t="str">
        <f>IFERROR(VLOOKUP(M419,'02. MM-KLH'!$B$6:$T$823,4,0),"")</f>
        <v/>
      </c>
      <c r="M419" s="49"/>
      <c r="N419" s="356" t="str">
        <f>IFERROR(VLOOKUP(M419,'02. MM-KLH'!$B$6:$T$823,15,0),"")</f>
        <v/>
      </c>
      <c r="O419" s="764" t="str">
        <f>IFERROR(VLOOKUP(M419,'02. MM-KLH'!$B$6:$T$823,9,0),"")</f>
        <v/>
      </c>
      <c r="P419" s="353"/>
      <c r="Q419" s="353"/>
      <c r="R419" s="353"/>
      <c r="S419" s="353"/>
      <c r="T419" s="353"/>
      <c r="U419" s="353" t="str">
        <f>IFERROR(VLOOKUP(M419,'02. MM-KLH'!$B$6:$T$823,2,0),"")</f>
        <v/>
      </c>
      <c r="V419" s="731" t="str">
        <f>IFERROR(VLOOKUP(M419,'02. MM-KLH'!$B$6:$T$823,8,0),"")</f>
        <v/>
      </c>
      <c r="W419" s="353"/>
      <c r="X419" s="353"/>
      <c r="Y419" s="353"/>
      <c r="Z419" s="731" t="str">
        <f>IFERROR(VLOOKUP(M419,'02. MM-KLH'!$B$6:$T$823,3,0),"")</f>
        <v/>
      </c>
      <c r="AA419" s="353"/>
      <c r="AB419" s="731"/>
      <c r="AC419" s="731"/>
    </row>
    <row r="420" ht="13.8" spans="1:29">
      <c r="A420" s="754">
        <v>3</v>
      </c>
      <c r="B420" s="755" t="s">
        <v>508</v>
      </c>
      <c r="C420" s="754">
        <f>COUNTA(B421:B436)</f>
        <v>16</v>
      </c>
      <c r="D420" s="756" t="str">
        <f>IFERROR(VLOOKUP(M420,'02. MM-KLH'!$B$6:$T$823,16,0),"")</f>
        <v/>
      </c>
      <c r="E420" s="756"/>
      <c r="F420" s="756"/>
      <c r="G420" s="756"/>
      <c r="H420" s="762" t="str">
        <f>IFERROR(VLOOKUP(M420,'02. MM-KLH'!$B$6:$T$823,17,0),"")</f>
        <v/>
      </c>
      <c r="I420" s="762" t="str">
        <f>IFERROR(VLOOKUP(M420,'02. MM-KLH'!$B$6:$U$823,20,0),"")</f>
        <v/>
      </c>
      <c r="J420" s="758" t="str">
        <f>IFERROR(VLOOKUP(M420,'02. MM-KLH'!$B$6:$T$823,19,0),"")</f>
        <v/>
      </c>
      <c r="K420" s="758" t="str">
        <f>IFERROR(VLOOKUP(M420,'02. MM-KLH'!$B$6:$T$823,18,0),"")</f>
        <v/>
      </c>
      <c r="L420" s="756" t="str">
        <f>IFERROR(VLOOKUP(M420,'02. MM-KLH'!$B$6:$T$823,4,0),"")</f>
        <v/>
      </c>
      <c r="M420" s="756"/>
      <c r="N420" s="756" t="str">
        <f>IFERROR(VLOOKUP(M420,'02. MM-KLH'!$B$6:$T$823,15,0),"")</f>
        <v/>
      </c>
      <c r="O420" s="760" t="str">
        <f>IFERROR(VLOOKUP(M420,'02. MM-KLH'!$B$6:$T$823,9,0),"")</f>
        <v/>
      </c>
      <c r="P420" s="756"/>
      <c r="Q420" s="756"/>
      <c r="R420" s="756"/>
      <c r="S420" s="756"/>
      <c r="T420" s="756"/>
      <c r="U420" s="756" t="str">
        <f>IFERROR(VLOOKUP(M420,'02. MM-KLH'!$B$6:$T$823,2,0),"")</f>
        <v/>
      </c>
      <c r="V420" s="762" t="str">
        <f>IFERROR(VLOOKUP(M420,'02. MM-KLH'!$B$6:$T$823,8,0),"")</f>
        <v/>
      </c>
      <c r="W420" s="756"/>
      <c r="X420" s="756"/>
      <c r="Y420" s="756"/>
      <c r="Z420" s="762" t="str">
        <f>IFERROR(VLOOKUP(M420,'02. MM-KLH'!$B$6:$T$823,3,0),"")</f>
        <v/>
      </c>
      <c r="AA420" s="756"/>
      <c r="AB420" s="762"/>
      <c r="AC420" s="762"/>
    </row>
    <row r="421" ht="13.8" spans="1:29">
      <c r="A421" s="731"/>
      <c r="B421" s="613" t="str">
        <f>IFERROR(VLOOKUP(M421,'02. MM-KLH'!$B$6:$T$823,6,0),"")</f>
        <v>Xe ben HOWO TXD600</v>
      </c>
      <c r="C421" s="353">
        <v>1</v>
      </c>
      <c r="D421" s="353" t="str">
        <f>IFERROR(VLOOKUP(M421,'02. MM-KLH'!$B$6:$T$823,16,0),"")</f>
        <v>HOWO TX D600</v>
      </c>
      <c r="E421" s="353" t="s">
        <v>5978</v>
      </c>
      <c r="F421" s="353"/>
      <c r="G421" s="353"/>
      <c r="H421" s="353" t="str">
        <f>IFERROR(VLOOKUP(M421,'02. MM-KLH'!$B$6:$T$823,17,0),"")</f>
        <v>380HP</v>
      </c>
      <c r="I421" s="763">
        <f>IFERROR(VLOOKUP(M421,'02. MM-KLH'!$B$6:$U$823,20,0),"")</f>
        <v>1.34</v>
      </c>
      <c r="J421" s="613" t="str">
        <f>IFERROR(VLOOKUP(M421,'02. MM-KLH'!$B$6:$T$823,19,0),"")</f>
        <v>1622B008395</v>
      </c>
      <c r="K421" s="613" t="str">
        <f>IFERROR(VLOOKUP(M421,'02. MM-KLH'!$B$6:$T$823,18,0),"")</f>
        <v>RNHD24CWANT057806</v>
      </c>
      <c r="L421" s="353" t="str">
        <f>IFERROR(VLOOKUP(M421,'02. MM-KLH'!$B$6:$T$823,4,0),"")</f>
        <v>3A-6815</v>
      </c>
      <c r="M421" s="49" t="s">
        <v>503</v>
      </c>
      <c r="N421" s="356">
        <f>IFERROR(VLOOKUP(M421,'02. MM-KLH'!$B$6:$T$823,15,0),"")</f>
        <v>2022</v>
      </c>
      <c r="O421" s="764">
        <f>IFERROR(VLOOKUP(M421,'02. MM-KLH'!$B$6:$T$823,9,0),"")</f>
        <v>45749</v>
      </c>
      <c r="P421" s="353">
        <v>28769</v>
      </c>
      <c r="Q421" s="353"/>
      <c r="R421" s="353" t="s">
        <v>5978</v>
      </c>
      <c r="S421" s="353"/>
      <c r="T421" s="353"/>
      <c r="U421" s="353" t="str">
        <f>IFERROR(VLOOKUP(M421,'02. MM-KLH'!$B$6:$T$823,5,0),"")</f>
        <v>MỚI</v>
      </c>
      <c r="V421" s="731" t="str">
        <f>IFERROR(VLOOKUP(M421,'02. MM-KLH'!$B$6:$T$823,8,0),"")</f>
        <v>CGTC DP</v>
      </c>
      <c r="W421" s="353" t="str">
        <f>IFERROR(VLOOKUP(V421,'NS QUẢN LÝ CG'!$A$4:$D$36,2,0),"")</f>
        <v>Phạm Ngọc Hải</v>
      </c>
      <c r="X421" s="353" t="str">
        <f>IFERROR(VLOOKUP(V421,'NS QUẢN LÝ CG'!$A$4:$D$36,4,0),"")</f>
        <v>Lô 85 DP4</v>
      </c>
      <c r="Y421" s="1104" t="str">
        <f>IFERROR(VLOOKUP(V421,'NS QUẢN LÝ CG'!$A$4:$C$36,3,0),"")</f>
        <v>0825456565</v>
      </c>
      <c r="Z421" s="731" t="str">
        <f>IFERROR(VLOOKUP(M421,'02. MM-KLH'!$B$6:$T$823,3,0),"")</f>
        <v>A23-XTA-024</v>
      </c>
      <c r="AA421" s="353" t="str">
        <f t="shared" ref="AA421:AA433" si="28">_xlfn.SWITCH(LEFT(Z421,3),"A22","ADM","A23","DP","A24","LP","")</f>
        <v>DP</v>
      </c>
      <c r="AB421" s="731"/>
      <c r="AC421" s="731"/>
    </row>
    <row r="422" ht="13.8" spans="1:29">
      <c r="A422" s="731"/>
      <c r="B422" s="613" t="str">
        <f>IFERROR(VLOOKUP(M422,'02. MM-KLH'!$B$6:$T$823,6,0),"")</f>
        <v>Xe ben HOWO TXD600</v>
      </c>
      <c r="C422" s="353">
        <v>1</v>
      </c>
      <c r="D422" s="353" t="str">
        <f>IFERROR(VLOOKUP(M422,'02. MM-KLH'!$B$6:$T$823,16,0),"")</f>
        <v>HOWO TX D600</v>
      </c>
      <c r="E422" s="353" t="s">
        <v>5978</v>
      </c>
      <c r="F422" s="353"/>
      <c r="G422" s="353"/>
      <c r="H422" s="353" t="str">
        <f>IFERROR(VLOOKUP(M422,'02. MM-KLH'!$B$6:$T$823,17,0),"")</f>
        <v>380HP</v>
      </c>
      <c r="I422" s="763">
        <f>IFERROR(VLOOKUP(M422,'02. MM-KLH'!$B$6:$U$823,20,0),"")</f>
        <v>1.34</v>
      </c>
      <c r="J422" s="613" t="str">
        <f>IFERROR(VLOOKUP(M422,'02. MM-KLH'!$B$6:$T$823,19,0),"")</f>
        <v>1622B008391</v>
      </c>
      <c r="K422" s="613" t="str">
        <f>IFERROR(VLOOKUP(M422,'02. MM-KLH'!$B$6:$T$823,18,0),"")</f>
        <v>RNHD24CWANT057808</v>
      </c>
      <c r="L422" s="353" t="str">
        <f>IFERROR(VLOOKUP(M422,'02. MM-KLH'!$B$6:$T$823,4,0),"")</f>
        <v>3A-6820</v>
      </c>
      <c r="M422" s="49" t="s">
        <v>512</v>
      </c>
      <c r="N422" s="356">
        <f>IFERROR(VLOOKUP(M422,'02. MM-KLH'!$B$6:$T$823,15,0),"")</f>
        <v>2022</v>
      </c>
      <c r="O422" s="764">
        <f>IFERROR(VLOOKUP(M422,'02. MM-KLH'!$B$6:$T$823,9,0),"")</f>
        <v>45749</v>
      </c>
      <c r="P422" s="353" t="s">
        <v>1755</v>
      </c>
      <c r="Q422" s="353"/>
      <c r="R422" s="353"/>
      <c r="S422" s="353" t="s">
        <v>5978</v>
      </c>
      <c r="T422" s="353"/>
      <c r="U422" s="353" t="str">
        <f>IFERROR(VLOOKUP(M422,'02. MM-KLH'!$B$6:$T$823,5,0),"")</f>
        <v>MỚI</v>
      </c>
      <c r="V422" s="731" t="str">
        <f>IFERROR(VLOOKUP(M422,'02. MM-KLH'!$B$6:$T$823,8,0),"")</f>
        <v>CGTC DP</v>
      </c>
      <c r="W422" s="353" t="str">
        <f>IFERROR(VLOOKUP(V422,'NS QUẢN LÝ CG'!$A$4:$D$36,2,0),"")</f>
        <v>Phạm Ngọc Hải</v>
      </c>
      <c r="X422" s="353" t="str">
        <f>IFERROR(VLOOKUP(V422,'NS QUẢN LÝ CG'!$A$4:$D$36,4,0),"")</f>
        <v>Lô 85 DP4</v>
      </c>
      <c r="Y422" s="1104" t="str">
        <f>IFERROR(VLOOKUP(V422,'NS QUẢN LÝ CG'!$A$4:$C$36,3,0),"")</f>
        <v>0825456565</v>
      </c>
      <c r="Z422" s="731" t="str">
        <f>IFERROR(VLOOKUP(M422,'02. MM-KLH'!$B$6:$T$823,3,0),"")</f>
        <v>A23-XTA-025</v>
      </c>
      <c r="AA422" s="353" t="str">
        <f t="shared" si="28"/>
        <v>DP</v>
      </c>
      <c r="AB422" s="731"/>
      <c r="AC422" s="731"/>
    </row>
    <row r="423" spans="1:29">
      <c r="A423" s="731"/>
      <c r="B423" s="613" t="str">
        <f>IFERROR(VLOOKUP(M423,'02. MM-KLH'!$B$6:$T$823,6,0),"")</f>
        <v>Xe ben HOWO TXD600</v>
      </c>
      <c r="C423" s="353">
        <v>1</v>
      </c>
      <c r="D423" s="353" t="str">
        <f>IFERROR(VLOOKUP(M423,'02. MM-KLH'!$B$6:$T$823,16,0),"")</f>
        <v>HOWO TX D600</v>
      </c>
      <c r="E423" s="353" t="s">
        <v>5978</v>
      </c>
      <c r="F423" s="353"/>
      <c r="G423" s="353"/>
      <c r="H423" s="353" t="str">
        <f>IFERROR(VLOOKUP(M423,'02. MM-KLH'!$B$6:$T$823,17,0),"")</f>
        <v>380HP</v>
      </c>
      <c r="I423" s="763">
        <f>IFERROR(VLOOKUP(M423,'02. MM-KLH'!$B$6:$U$823,20,0),"")</f>
        <v>0.9</v>
      </c>
      <c r="J423" s="613" t="str">
        <f>IFERROR(VLOOKUP(M423,'02. MM-KLH'!$B$6:$T$823,19,0),"")</f>
        <v>1622B008389</v>
      </c>
      <c r="K423" s="613" t="str">
        <f>IFERROR(VLOOKUP(M423,'02. MM-KLH'!$B$6:$T$823,18,0),"")</f>
        <v>RNHD24CWANT057810</v>
      </c>
      <c r="L423" s="353" t="str">
        <f>IFERROR(VLOOKUP(M423,'02. MM-KLH'!$B$6:$T$823,4,0),"")</f>
        <v>3A-6821</v>
      </c>
      <c r="M423" s="49" t="s">
        <v>517</v>
      </c>
      <c r="N423" s="356">
        <f>IFERROR(VLOOKUP(M423,'02. MM-KLH'!$B$6:$T$823,15,0),"")</f>
        <v>2022</v>
      </c>
      <c r="O423" s="764">
        <f>IFERROR(VLOOKUP(M423,'02. MM-KLH'!$B$6:$T$823,9,0),"")</f>
        <v>45749</v>
      </c>
      <c r="P423" s="765">
        <v>36917</v>
      </c>
      <c r="Q423" s="353"/>
      <c r="R423" s="353"/>
      <c r="S423" s="353" t="s">
        <v>5978</v>
      </c>
      <c r="T423" s="353"/>
      <c r="U423" s="353" t="str">
        <f>IFERROR(VLOOKUP(M423,'02. MM-KLH'!$B$6:$T$823,5,0),"")</f>
        <v>MỚI</v>
      </c>
      <c r="V423" s="731" t="str">
        <f>IFERROR(VLOOKUP(M423,'02. MM-KLH'!$B$6:$T$823,8,0),"")</f>
        <v>CGTC DP</v>
      </c>
      <c r="W423" s="353" t="str">
        <f>IFERROR(VLOOKUP(V423,'NS QUẢN LÝ CG'!$A$4:$D$36,2,0),"")</f>
        <v>Phạm Ngọc Hải</v>
      </c>
      <c r="X423" s="353" t="str">
        <f>IFERROR(VLOOKUP(V423,'NS QUẢN LÝ CG'!$A$4:$D$36,4,0),"")</f>
        <v>Lô 85 DP4</v>
      </c>
      <c r="Y423" s="1104" t="str">
        <f>IFERROR(VLOOKUP(V423,'NS QUẢN LÝ CG'!$A$4:$C$36,3,0),"")</f>
        <v>0825456565</v>
      </c>
      <c r="Z423" s="731" t="str">
        <f>IFERROR(VLOOKUP(M423,'02. MM-KLH'!$B$6:$T$823,3,0),"")</f>
        <v>A23-XTA-026</v>
      </c>
      <c r="AA423" s="353" t="str">
        <f t="shared" si="28"/>
        <v>DP</v>
      </c>
      <c r="AB423" s="731"/>
      <c r="AC423" s="731"/>
    </row>
    <row r="424" ht="13.8" spans="1:29">
      <c r="A424" s="731"/>
      <c r="B424" s="613" t="str">
        <f>IFERROR(VLOOKUP(M424,'02. MM-KLH'!$B$6:$T$823,6,0),"")</f>
        <v>Xe ben HOWO TXD600</v>
      </c>
      <c r="C424" s="353">
        <v>1</v>
      </c>
      <c r="D424" s="353" t="str">
        <f>IFERROR(VLOOKUP(M424,'02. MM-KLH'!$B$6:$T$823,16,0),"")</f>
        <v>HOWO TX D600</v>
      </c>
      <c r="E424" s="353" t="s">
        <v>5978</v>
      </c>
      <c r="F424" s="353"/>
      <c r="G424" s="353"/>
      <c r="H424" s="353" t="str">
        <f>IFERROR(VLOOKUP(M424,'02. MM-KLH'!$B$6:$T$823,17,0),"")</f>
        <v>380HP</v>
      </c>
      <c r="I424" s="763">
        <f>IFERROR(VLOOKUP(M424,'02. MM-KLH'!$B$6:$U$823,20,0),"")</f>
        <v>1.34</v>
      </c>
      <c r="J424" s="613" t="str">
        <f>IFERROR(VLOOKUP(M424,'02. MM-KLH'!$B$6:$T$823,19,0),"")</f>
        <v>1622F024360</v>
      </c>
      <c r="K424" s="613" t="str">
        <f>IFERROR(VLOOKUP(M424,'02. MM-KLH'!$B$6:$T$823,18,0),"")</f>
        <v>RNHD24CWART000069</v>
      </c>
      <c r="L424" s="353" t="str">
        <f>IFERROR(VLOOKUP(M424,'02. MM-KLH'!$B$6:$T$823,4,0),"")</f>
        <v>3A-6818</v>
      </c>
      <c r="M424" s="49" t="s">
        <v>524</v>
      </c>
      <c r="N424" s="356">
        <f>IFERROR(VLOOKUP(M424,'02. MM-KLH'!$B$6:$T$823,15,0),"")</f>
        <v>2022</v>
      </c>
      <c r="O424" s="764">
        <f>IFERROR(VLOOKUP(M424,'02. MM-KLH'!$B$6:$T$823,9,0),"")</f>
        <v>45661</v>
      </c>
      <c r="P424" s="353">
        <v>31466</v>
      </c>
      <c r="Q424" s="353"/>
      <c r="R424" s="353" t="s">
        <v>5978</v>
      </c>
      <c r="S424" s="353"/>
      <c r="T424" s="353"/>
      <c r="U424" s="353" t="str">
        <f>IFERROR(VLOOKUP(M424,'02. MM-KLH'!$B$6:$T$823,5,0),"")</f>
        <v>MỚI</v>
      </c>
      <c r="V424" s="731" t="str">
        <f>IFERROR(VLOOKUP(M424,'02. MM-KLH'!$B$6:$T$823,8,0),"")</f>
        <v>CGTC DP</v>
      </c>
      <c r="W424" s="353" t="str">
        <f>IFERROR(VLOOKUP(V424,'NS QUẢN LÝ CG'!$A$4:$D$36,2,0),"")</f>
        <v>Phạm Ngọc Hải</v>
      </c>
      <c r="X424" s="353" t="str">
        <f>IFERROR(VLOOKUP(V424,'NS QUẢN LÝ CG'!$A$4:$D$36,4,0),"")</f>
        <v>Lô 85 DP4</v>
      </c>
      <c r="Y424" s="1104" t="str">
        <f>IFERROR(VLOOKUP(V424,'NS QUẢN LÝ CG'!$A$4:$C$36,3,0),"")</f>
        <v>0825456565</v>
      </c>
      <c r="Z424" s="731" t="str">
        <f>IFERROR(VLOOKUP(M424,'02. MM-KLH'!$B$6:$T$823,3,0),"")</f>
        <v>A23-XTA-036</v>
      </c>
      <c r="AA424" s="353" t="str">
        <f t="shared" si="28"/>
        <v>DP</v>
      </c>
      <c r="AB424" s="731"/>
      <c r="AC424" s="731"/>
    </row>
    <row r="425" ht="13.8" spans="1:29">
      <c r="A425" s="731"/>
      <c r="B425" s="613" t="str">
        <f>IFERROR(VLOOKUP(M425,'02. MM-KLH'!$B$6:$T$823,6,0),"")</f>
        <v>Xe ben HOWO TXD600</v>
      </c>
      <c r="C425" s="353">
        <v>1</v>
      </c>
      <c r="D425" s="353" t="str">
        <f>IFERROR(VLOOKUP(M425,'02. MM-KLH'!$B$6:$T$823,16,0),"")</f>
        <v>HOWO TX D600</v>
      </c>
      <c r="E425" s="353" t="s">
        <v>5978</v>
      </c>
      <c r="F425" s="353"/>
      <c r="G425" s="353"/>
      <c r="H425" s="353" t="str">
        <f>IFERROR(VLOOKUP(M425,'02. MM-KLH'!$B$6:$T$823,17,0),"")</f>
        <v>380HP</v>
      </c>
      <c r="I425" s="763">
        <f>IFERROR(VLOOKUP(M425,'02. MM-KLH'!$B$6:$U$823,20,0),"")</f>
        <v>1.34</v>
      </c>
      <c r="J425" s="613" t="str">
        <f>IFERROR(VLOOKUP(M425,'02. MM-KLH'!$B$6:$T$823,19,0),"")</f>
        <v>WP10380E53*1622F024366*</v>
      </c>
      <c r="K425" s="613" t="str">
        <f>IFERROR(VLOOKUP(M425,'02. MM-KLH'!$B$6:$T$823,18,0),"")</f>
        <v>RNHD24CWART00061</v>
      </c>
      <c r="L425" s="353" t="str">
        <f>IFERROR(VLOOKUP(M425,'02. MM-KLH'!$B$6:$T$823,4,0),"")</f>
        <v>3A-6829</v>
      </c>
      <c r="M425" s="49" t="s">
        <v>673</v>
      </c>
      <c r="N425" s="356">
        <f>IFERROR(VLOOKUP(M425,'02. MM-KLH'!$B$6:$T$823,15,0),"")</f>
        <v>2022</v>
      </c>
      <c r="O425" s="764">
        <f>IFERROR(VLOOKUP(M425,'02. MM-KLH'!$B$6:$T$823,9,0),"")</f>
        <v>45997</v>
      </c>
      <c r="P425" s="353">
        <v>18840</v>
      </c>
      <c r="Q425" s="353"/>
      <c r="R425" s="353" t="s">
        <v>5978</v>
      </c>
      <c r="S425" s="353"/>
      <c r="T425" s="353"/>
      <c r="U425" s="353" t="str">
        <f>IFERROR(VLOOKUP(M425,'02. MM-KLH'!$B$6:$T$823,5,0),"")</f>
        <v>MỚI</v>
      </c>
      <c r="V425" s="731" t="str">
        <f>IFERROR(VLOOKUP(M425,'02. MM-KLH'!$B$6:$T$823,8,0),"")</f>
        <v>CGTC DP</v>
      </c>
      <c r="W425" s="353" t="str">
        <f>IFERROR(VLOOKUP(V425,'NS QUẢN LÝ CG'!$A$4:$D$36,2,0),"")</f>
        <v>Phạm Ngọc Hải</v>
      </c>
      <c r="X425" s="353" t="str">
        <f>IFERROR(VLOOKUP(V425,'NS QUẢN LÝ CG'!$A$4:$D$36,4,0),"")</f>
        <v>Lô 85 DP4</v>
      </c>
      <c r="Y425" s="1104" t="str">
        <f>IFERROR(VLOOKUP(V425,'NS QUẢN LÝ CG'!$A$4:$C$36,3,0),"")</f>
        <v>0825456565</v>
      </c>
      <c r="Z425" s="731" t="str">
        <f>IFERROR(VLOOKUP(M425,'02. MM-KLH'!$B$6:$T$823,3,0),"")</f>
        <v>A23-XTA-045</v>
      </c>
      <c r="AA425" s="353" t="str">
        <f t="shared" si="28"/>
        <v>DP</v>
      </c>
      <c r="AB425" s="731"/>
      <c r="AC425" s="731"/>
    </row>
    <row r="426" ht="13.8" spans="1:29">
      <c r="A426" s="731"/>
      <c r="B426" s="613" t="str">
        <f>IFERROR(VLOOKUP(M426,'02. MM-KLH'!$B$6:$T$823,6,0),"")</f>
        <v>Xe ben HOWO TXD600</v>
      </c>
      <c r="C426" s="353">
        <v>1</v>
      </c>
      <c r="D426" s="353" t="str">
        <f>IFERROR(VLOOKUP(M426,'02. MM-KLH'!$B$6:$T$823,16,0),"")</f>
        <v>HOWO TX D600</v>
      </c>
      <c r="E426" s="353" t="s">
        <v>5978</v>
      </c>
      <c r="F426" s="353"/>
      <c r="G426" s="353"/>
      <c r="H426" s="353" t="str">
        <f>IFERROR(VLOOKUP(M426,'02. MM-KLH'!$B$6:$T$823,17,0),"")</f>
        <v>380HP</v>
      </c>
      <c r="I426" s="763">
        <f>IFERROR(VLOOKUP(M426,'02. MM-KLH'!$B$6:$U$823,20,0),"")</f>
        <v>1.34</v>
      </c>
      <c r="J426" s="613" t="str">
        <f>IFERROR(VLOOKUP(M426,'02. MM-KLH'!$B$6:$T$823,19,0),"")</f>
        <v>WP10380E53*1622F024350*</v>
      </c>
      <c r="K426" s="613" t="str">
        <f>IFERROR(VLOOKUP(M426,'02. MM-KLH'!$B$6:$T$823,18,0),"")</f>
        <v>RNHD24CWART00062</v>
      </c>
      <c r="L426" s="353" t="str">
        <f>IFERROR(VLOOKUP(M426,'02. MM-KLH'!$B$6:$T$823,4,0),"")</f>
        <v>3A-6819</v>
      </c>
      <c r="M426" s="49" t="s">
        <v>678</v>
      </c>
      <c r="N426" s="356">
        <f>IFERROR(VLOOKUP(M426,'02. MM-KLH'!$B$6:$T$823,15,0),"")</f>
        <v>2022</v>
      </c>
      <c r="O426" s="764">
        <f>IFERROR(VLOOKUP(M426,'02. MM-KLH'!$B$6:$T$823,9,0),"")</f>
        <v>45997</v>
      </c>
      <c r="P426" s="353">
        <v>19024</v>
      </c>
      <c r="Q426" s="353"/>
      <c r="R426" s="353" t="s">
        <v>5978</v>
      </c>
      <c r="S426" s="353"/>
      <c r="T426" s="353"/>
      <c r="U426" s="353" t="str">
        <f>IFERROR(VLOOKUP(M426,'02. MM-KLH'!$B$6:$T$823,5,0),"")</f>
        <v>MỚI</v>
      </c>
      <c r="V426" s="731" t="str">
        <f>IFERROR(VLOOKUP(M426,'02. MM-KLH'!$B$6:$T$823,8,0),"")</f>
        <v>CGTC DP</v>
      </c>
      <c r="W426" s="353" t="str">
        <f>IFERROR(VLOOKUP(V426,'NS QUẢN LÝ CG'!$A$4:$D$36,2,0),"")</f>
        <v>Phạm Ngọc Hải</v>
      </c>
      <c r="X426" s="353" t="str">
        <f>IFERROR(VLOOKUP(V426,'NS QUẢN LÝ CG'!$A$4:$D$36,4,0),"")</f>
        <v>Lô 85 DP4</v>
      </c>
      <c r="Y426" s="1104" t="str">
        <f>IFERROR(VLOOKUP(V426,'NS QUẢN LÝ CG'!$A$4:$C$36,3,0),"")</f>
        <v>0825456565</v>
      </c>
      <c r="Z426" s="731" t="str">
        <f>IFERROR(VLOOKUP(M426,'02. MM-KLH'!$B$6:$T$823,3,0),"")</f>
        <v>A23-XTA-046</v>
      </c>
      <c r="AA426" s="353" t="str">
        <f t="shared" si="28"/>
        <v>DP</v>
      </c>
      <c r="AB426" s="731"/>
      <c r="AC426" s="731"/>
    </row>
    <row r="427" ht="13.8" spans="1:29">
      <c r="A427" s="731"/>
      <c r="B427" s="613" t="str">
        <f>IFERROR(VLOOKUP(M427,'02. MM-KLH'!$B$6:$T$823,6,0),"")</f>
        <v>Xe ben HOWO TXD600</v>
      </c>
      <c r="C427" s="353">
        <v>1</v>
      </c>
      <c r="D427" s="353" t="str">
        <f>IFERROR(VLOOKUP(M427,'02. MM-KLH'!$B$6:$T$823,16,0),"")</f>
        <v>HOWO TX D600</v>
      </c>
      <c r="E427" s="353" t="s">
        <v>5978</v>
      </c>
      <c r="F427" s="353"/>
      <c r="G427" s="353"/>
      <c r="H427" s="353" t="str">
        <f>IFERROR(VLOOKUP(M427,'02. MM-KLH'!$B$6:$T$823,17,0),"")</f>
        <v>380HP</v>
      </c>
      <c r="I427" s="763">
        <f>IFERROR(VLOOKUP(M427,'02. MM-KLH'!$B$6:$U$823,20,0),"")</f>
        <v>1.34</v>
      </c>
      <c r="J427" s="613" t="str">
        <f>IFERROR(VLOOKUP(M427,'02. MM-KLH'!$B$6:$T$823,19,0),"")</f>
        <v>1622D017391</v>
      </c>
      <c r="K427" s="613" t="str">
        <f>IFERROR(VLOOKUP(M427,'02. MM-KLH'!$B$6:$T$823,18,0),"")</f>
        <v>RNHD24CWANT063483</v>
      </c>
      <c r="L427" s="353" t="str">
        <f>IFERROR(VLOOKUP(M427,'02. MM-KLH'!$B$6:$T$823,4,0),"")</f>
        <v>3A-6808</v>
      </c>
      <c r="M427" s="49" t="s">
        <v>731</v>
      </c>
      <c r="N427" s="356">
        <f>IFERROR(VLOOKUP(M427,'02. MM-KLH'!$B$6:$T$823,15,0),"")</f>
        <v>2022</v>
      </c>
      <c r="O427" s="764">
        <f>IFERROR(VLOOKUP(M427,'02. MM-KLH'!$B$6:$T$823,9,0),"")</f>
        <v>45749</v>
      </c>
      <c r="P427" s="722">
        <v>31048</v>
      </c>
      <c r="Q427" s="353"/>
      <c r="R427" s="353" t="s">
        <v>5978</v>
      </c>
      <c r="S427" s="353"/>
      <c r="T427" s="353"/>
      <c r="U427" s="353" t="str">
        <f>IFERROR(VLOOKUP(M427,'02. MM-KLH'!$B$6:$T$823,5,0),"")</f>
        <v>MỚI</v>
      </c>
      <c r="V427" s="731" t="str">
        <f>IFERROR(VLOOKUP(M427,'02. MM-KLH'!$B$6:$T$823,8,0),"")</f>
        <v>CGTC LP</v>
      </c>
      <c r="W427" s="353" t="str">
        <f>IFERROR(VLOOKUP(V427,'NS QUẢN LÝ CG'!$A$4:$D$36,2,0),"")</f>
        <v>Đỗ Đức Nghĩa</v>
      </c>
      <c r="X427" s="353" t="str">
        <f>IFERROR(VLOOKUP(V427,'NS QUẢN LÝ CG'!$A$4:$D$36,4,0),"")</f>
        <v>NOCN L.4-LP3</v>
      </c>
      <c r="Y427" s="1104" t="str">
        <f>IFERROR(VLOOKUP(V427,'NS QUẢN LÝ CG'!$A$4:$C$36,3,0),"")</f>
        <v>0971462780</v>
      </c>
      <c r="Z427" s="731" t="str">
        <f>IFERROR(VLOOKUP(M427,'02. MM-KLH'!$B$6:$T$823,3,0),"")</f>
        <v>A24-XTA-021</v>
      </c>
      <c r="AA427" s="353" t="str">
        <f t="shared" si="28"/>
        <v>LP</v>
      </c>
      <c r="AB427" s="731"/>
      <c r="AC427" s="731"/>
    </row>
    <row r="428" ht="13.8" spans="1:29">
      <c r="A428" s="731"/>
      <c r="B428" s="613" t="str">
        <f>IFERROR(VLOOKUP(M428,'02. MM-KLH'!$B$6:$T$823,6,0),"")</f>
        <v>Xe ben HOWO TXD600</v>
      </c>
      <c r="C428" s="353">
        <v>1</v>
      </c>
      <c r="D428" s="353" t="str">
        <f>IFERROR(VLOOKUP(M428,'02. MM-KLH'!$B$6:$T$823,16,0),"")</f>
        <v>HOWO TX D600</v>
      </c>
      <c r="E428" s="353" t="s">
        <v>5978</v>
      </c>
      <c r="F428" s="353"/>
      <c r="G428" s="353"/>
      <c r="H428" s="353" t="str">
        <f>IFERROR(VLOOKUP(M428,'02. MM-KLH'!$B$6:$T$823,17,0),"")</f>
        <v>380HP</v>
      </c>
      <c r="I428" s="763">
        <f>IFERROR(VLOOKUP(M428,'02. MM-KLH'!$B$6:$U$823,20,0),"")</f>
        <v>1.34</v>
      </c>
      <c r="J428" s="613" t="str">
        <f>IFERROR(VLOOKUP(M428,'02. MM-KLH'!$B$6:$T$823,19,0),"")</f>
        <v>1622D017399</v>
      </c>
      <c r="K428" s="613" t="str">
        <f>IFERROR(VLOOKUP(M428,'02. MM-KLH'!$B$6:$T$823,18,0),"")</f>
        <v>RNHD24CWANT063484</v>
      </c>
      <c r="L428" s="353" t="str">
        <f>IFERROR(VLOOKUP(M428,'02. MM-KLH'!$B$6:$T$823,4,0),"")</f>
        <v>3A-6809</v>
      </c>
      <c r="M428" s="49" t="s">
        <v>736</v>
      </c>
      <c r="N428" s="356">
        <f>IFERROR(VLOOKUP(M428,'02. MM-KLH'!$B$6:$T$823,15,0),"")</f>
        <v>2022</v>
      </c>
      <c r="O428" s="764">
        <f>IFERROR(VLOOKUP(M428,'02. MM-KLH'!$B$6:$T$823,9,0),"")</f>
        <v>45749</v>
      </c>
      <c r="P428" s="722">
        <v>26916</v>
      </c>
      <c r="Q428" s="353"/>
      <c r="R428" s="353" t="s">
        <v>5978</v>
      </c>
      <c r="S428" s="353"/>
      <c r="T428" s="353"/>
      <c r="U428" s="353" t="str">
        <f>IFERROR(VLOOKUP(M428,'02. MM-KLH'!$B$6:$T$823,5,0),"")</f>
        <v>MỚI</v>
      </c>
      <c r="V428" s="731" t="str">
        <f>IFERROR(VLOOKUP(M428,'02. MM-KLH'!$B$6:$T$823,8,0),"")</f>
        <v>CGTC LP</v>
      </c>
      <c r="W428" s="353" t="str">
        <f>IFERROR(VLOOKUP(V428,'NS QUẢN LÝ CG'!$A$4:$D$36,2,0),"")</f>
        <v>Đỗ Đức Nghĩa</v>
      </c>
      <c r="X428" s="353" t="str">
        <f>IFERROR(VLOOKUP(V428,'NS QUẢN LÝ CG'!$A$4:$D$36,4,0),"")</f>
        <v>NOCN L.4-LP3</v>
      </c>
      <c r="Y428" s="1104" t="str">
        <f>IFERROR(VLOOKUP(V428,'NS QUẢN LÝ CG'!$A$4:$C$36,3,0),"")</f>
        <v>0971462780</v>
      </c>
      <c r="Z428" s="731" t="str">
        <f>IFERROR(VLOOKUP(M428,'02. MM-KLH'!$B$6:$T$823,3,0),"")</f>
        <v>A24-XTA-022</v>
      </c>
      <c r="AA428" s="353" t="str">
        <f t="shared" si="28"/>
        <v>LP</v>
      </c>
      <c r="AB428" s="731"/>
      <c r="AC428" s="731"/>
    </row>
    <row r="429" spans="1:29">
      <c r="A429" s="731"/>
      <c r="B429" s="613" t="str">
        <f>IFERROR(VLOOKUP(M429,'02. MM-KLH'!$B$6:$T$823,6,0),"")</f>
        <v>Xe ben HOWO TXD600</v>
      </c>
      <c r="C429" s="353">
        <v>1</v>
      </c>
      <c r="D429" s="353" t="str">
        <f>IFERROR(VLOOKUP(M429,'02. MM-KLH'!$B$6:$T$823,16,0),"")</f>
        <v>HOWO TX D600</v>
      </c>
      <c r="E429" s="353" t="s">
        <v>5978</v>
      </c>
      <c r="F429" s="353"/>
      <c r="G429" s="353"/>
      <c r="H429" s="353" t="str">
        <f>IFERROR(VLOOKUP(M429,'02. MM-KLH'!$B$6:$T$823,17,0),"")</f>
        <v>380HP</v>
      </c>
      <c r="I429" s="763">
        <f>IFERROR(VLOOKUP(M429,'02. MM-KLH'!$B$6:$U$823,20,0),"")</f>
        <v>0.9</v>
      </c>
      <c r="J429" s="613" t="str">
        <f>IFERROR(VLOOKUP(M429,'02. MM-KLH'!$B$6:$T$823,19,0),"")</f>
        <v>1622F024356</v>
      </c>
      <c r="K429" s="613" t="str">
        <f>IFERROR(VLOOKUP(M429,'02. MM-KLH'!$B$6:$T$823,18,0),"")</f>
        <v>RNHD24CWART000063</v>
      </c>
      <c r="L429" s="353" t="str">
        <f>IFERROR(VLOOKUP(M429,'02. MM-KLH'!$B$6:$T$823,4,0),"")</f>
        <v>3A-6823</v>
      </c>
      <c r="M429" s="49" t="s">
        <v>914</v>
      </c>
      <c r="N429" s="356">
        <f>IFERROR(VLOOKUP(M429,'02. MM-KLH'!$B$6:$T$823,15,0),"")</f>
        <v>2022</v>
      </c>
      <c r="O429" s="764">
        <f>IFERROR(VLOOKUP(M429,'02. MM-KLH'!$B$6:$T$823,9,0),"")</f>
        <v>45661</v>
      </c>
      <c r="P429" s="765">
        <v>36619</v>
      </c>
      <c r="Q429" s="353"/>
      <c r="R429" s="353" t="s">
        <v>5978</v>
      </c>
      <c r="S429" s="353"/>
      <c r="T429" s="353"/>
      <c r="U429" s="353" t="str">
        <f>IFERROR(VLOOKUP(M429,'02. MM-KLH'!$B$6:$T$823,5,0),"")</f>
        <v>MỚI</v>
      </c>
      <c r="V429" s="731" t="str">
        <f>IFERROR(VLOOKUP(M429,'02. MM-KLH'!$B$6:$T$823,8,0),"")</f>
        <v>CGTC AD</v>
      </c>
      <c r="W429" s="353" t="str">
        <f>IFERROR(VLOOKUP(V429,'NS QUẢN LÝ CG'!$A$4:$D$36,2,0),"")</f>
        <v>Vũ Trung Kiên</v>
      </c>
      <c r="X429" s="353" t="str">
        <f>IFERROR(VLOOKUP(V429,'NS QUẢN LÝ CG'!$A$4:$D$36,4,0),"")</f>
        <v>Lô 73 ADM</v>
      </c>
      <c r="Y429" s="1104" t="str">
        <f>IFERROR(VLOOKUP(V429,'NS QUẢN LÝ CG'!$A$4:$C$36,3,0),"")</f>
        <v>0981761677</v>
      </c>
      <c r="Z429" s="731" t="str">
        <f>IFERROR(VLOOKUP(M429,'02. MM-KLH'!$B$6:$T$823,3,0),"")</f>
        <v>A23-XTA-034</v>
      </c>
      <c r="AA429" s="353" t="str">
        <f t="shared" si="28"/>
        <v>DP</v>
      </c>
      <c r="AB429" s="731"/>
      <c r="AC429" s="731"/>
    </row>
    <row r="430" spans="1:29">
      <c r="A430" s="731"/>
      <c r="B430" s="613" t="str">
        <f>IFERROR(VLOOKUP(M430,'02. MM-KLH'!$B$6:$T$823,6,0),"")</f>
        <v>Xe ben HOWO TXD600</v>
      </c>
      <c r="C430" s="353">
        <v>1</v>
      </c>
      <c r="D430" s="353" t="str">
        <f>IFERROR(VLOOKUP(M430,'02. MM-KLH'!$B$6:$T$823,16,0),"")</f>
        <v>HOWO TX D600</v>
      </c>
      <c r="E430" s="353" t="s">
        <v>5978</v>
      </c>
      <c r="F430" s="353"/>
      <c r="G430" s="353"/>
      <c r="H430" s="353" t="str">
        <f>IFERROR(VLOOKUP(M430,'02. MM-KLH'!$B$6:$T$823,17,0),"")</f>
        <v>380HP</v>
      </c>
      <c r="I430" s="763">
        <f>IFERROR(VLOOKUP(M430,'02. MM-KLH'!$B$6:$U$823,20,0),"")</f>
        <v>0.9</v>
      </c>
      <c r="J430" s="613" t="str">
        <f>IFERROR(VLOOKUP(M430,'02. MM-KLH'!$B$6:$T$823,19,0),"")</f>
        <v>1622F024357</v>
      </c>
      <c r="K430" s="613" t="str">
        <f>IFERROR(VLOOKUP(M430,'02. MM-KLH'!$B$6:$T$823,18,0),"")</f>
        <v>RNHD24CWART000064</v>
      </c>
      <c r="L430" s="353" t="str">
        <f>IFERROR(VLOOKUP(M430,'02. MM-KLH'!$B$6:$T$823,4,0),"")</f>
        <v>3A-6822</v>
      </c>
      <c r="M430" s="49" t="s">
        <v>920</v>
      </c>
      <c r="N430" s="356">
        <f>IFERROR(VLOOKUP(M430,'02. MM-KLH'!$B$6:$T$823,15,0),"")</f>
        <v>2022</v>
      </c>
      <c r="O430" s="764">
        <f>IFERROR(VLOOKUP(M430,'02. MM-KLH'!$B$6:$T$823,9,0),"")</f>
        <v>45661</v>
      </c>
      <c r="P430" s="765">
        <v>39931</v>
      </c>
      <c r="Q430" s="353"/>
      <c r="R430" s="353" t="s">
        <v>5978</v>
      </c>
      <c r="S430" s="353"/>
      <c r="T430" s="353"/>
      <c r="U430" s="353" t="str">
        <f>IFERROR(VLOOKUP(M430,'02. MM-KLH'!$B$6:$T$823,5,0),"")</f>
        <v>MỚI</v>
      </c>
      <c r="V430" s="731" t="str">
        <f>IFERROR(VLOOKUP(M430,'02. MM-KLH'!$B$6:$T$823,8,0),"")</f>
        <v>CGTC AD</v>
      </c>
      <c r="W430" s="353" t="str">
        <f>IFERROR(VLOOKUP(V430,'NS QUẢN LÝ CG'!$A$4:$D$36,2,0),"")</f>
        <v>Vũ Trung Kiên</v>
      </c>
      <c r="X430" s="353" t="str">
        <f>IFERROR(VLOOKUP(V430,'NS QUẢN LÝ CG'!$A$4:$D$36,4,0),"")</f>
        <v>Lô 73 ADM</v>
      </c>
      <c r="Y430" s="1104" t="str">
        <f>IFERROR(VLOOKUP(V430,'NS QUẢN LÝ CG'!$A$4:$C$36,3,0),"")</f>
        <v>0981761677</v>
      </c>
      <c r="Z430" s="731" t="str">
        <f>IFERROR(VLOOKUP(M430,'02. MM-KLH'!$B$6:$T$823,3,0),"")</f>
        <v>A23-XTA-035</v>
      </c>
      <c r="AA430" s="353" t="str">
        <f t="shared" si="28"/>
        <v>DP</v>
      </c>
      <c r="AB430" s="731"/>
      <c r="AC430" s="731"/>
    </row>
    <row r="431" spans="1:29">
      <c r="A431" s="731"/>
      <c r="B431" s="613" t="str">
        <f>IFERROR(VLOOKUP(M431,'02. MM-KLH'!$B$6:$T$823,6,0),"")</f>
        <v>Xe ben HOWO TXD600</v>
      </c>
      <c r="C431" s="353">
        <v>1</v>
      </c>
      <c r="D431" s="353" t="str">
        <f>IFERROR(VLOOKUP(M431,'02. MM-KLH'!$B$6:$T$823,16,0),"")</f>
        <v>HOWO TX D600</v>
      </c>
      <c r="E431" s="353" t="s">
        <v>5978</v>
      </c>
      <c r="F431" s="353"/>
      <c r="G431" s="353"/>
      <c r="H431" s="353" t="str">
        <f>IFERROR(VLOOKUP(M431,'02. MM-KLH'!$B$6:$T$823,17,0),"")</f>
        <v>380HP</v>
      </c>
      <c r="I431" s="763">
        <f>IFERROR(VLOOKUP(M431,'02. MM-KLH'!$B$6:$U$823,20,0),"")</f>
        <v>0.9</v>
      </c>
      <c r="J431" s="613" t="str">
        <f>IFERROR(VLOOKUP(M431,'02. MM-KLH'!$B$6:$T$823,19,0),"")</f>
        <v>1622D017402</v>
      </c>
      <c r="K431" s="613" t="str">
        <f>IFERROR(VLOOKUP(M431,'02. MM-KLH'!$B$6:$T$823,18,0),"")</f>
        <v>RNHD24CWANT063481</v>
      </c>
      <c r="L431" s="353" t="str">
        <f>IFERROR(VLOOKUP(M431,'02. MM-KLH'!$B$6:$T$823,4,0),"")</f>
        <v>3A-6814</v>
      </c>
      <c r="M431" s="49" t="s">
        <v>925</v>
      </c>
      <c r="N431" s="356">
        <f>IFERROR(VLOOKUP(M431,'02. MM-KLH'!$B$6:$T$823,15,0),"")</f>
        <v>2022</v>
      </c>
      <c r="O431" s="764">
        <f>IFERROR(VLOOKUP(M431,'02. MM-KLH'!$B$6:$T$823,9,0),"")</f>
        <v>45749</v>
      </c>
      <c r="P431" s="765">
        <v>42396</v>
      </c>
      <c r="Q431" s="353"/>
      <c r="R431" s="353" t="s">
        <v>5978</v>
      </c>
      <c r="S431" s="353"/>
      <c r="T431" s="353"/>
      <c r="U431" s="353" t="str">
        <f>IFERROR(VLOOKUP(M431,'02. MM-KLH'!$B$6:$T$823,5,0),"")</f>
        <v>MỚI</v>
      </c>
      <c r="V431" s="731" t="str">
        <f>IFERROR(VLOOKUP(M431,'02. MM-KLH'!$B$6:$T$823,8,0),"")</f>
        <v>CGTC AD</v>
      </c>
      <c r="W431" s="353" t="str">
        <f>IFERROR(VLOOKUP(V431,'NS QUẢN LÝ CG'!$A$4:$D$36,2,0),"")</f>
        <v>Vũ Trung Kiên</v>
      </c>
      <c r="X431" s="353" t="str">
        <f>IFERROR(VLOOKUP(V431,'NS QUẢN LÝ CG'!$A$4:$D$36,4,0),"")</f>
        <v>Lô 73 ADM</v>
      </c>
      <c r="Y431" s="1104" t="str">
        <f>IFERROR(VLOOKUP(V431,'NS QUẢN LÝ CG'!$A$4:$C$36,3,0),"")</f>
        <v>0981761677</v>
      </c>
      <c r="Z431" s="731" t="str">
        <f>IFERROR(VLOOKUP(M431,'02. MM-KLH'!$B$6:$T$823,3,0),"")</f>
        <v>A24-XTA-020</v>
      </c>
      <c r="AA431" s="353" t="str">
        <f t="shared" si="28"/>
        <v>LP</v>
      </c>
      <c r="AB431" s="731"/>
      <c r="AC431" s="731"/>
    </row>
    <row r="432" ht="13.8" spans="1:29">
      <c r="A432" s="731"/>
      <c r="B432" s="613" t="str">
        <f>IFERROR(VLOOKUP(M432,'02. MM-KLH'!$B$6:$T$823,6,0),"")</f>
        <v>Xe tải ben Howo 371</v>
      </c>
      <c r="C432" s="353">
        <v>1</v>
      </c>
      <c r="D432" s="353" t="str">
        <f>IFERROR(VLOOKUP(M432,'02. MM-KLH'!$B$6:$T$823,16,0),"")</f>
        <v>HOWO 371</v>
      </c>
      <c r="E432" s="353" t="s">
        <v>5978</v>
      </c>
      <c r="F432" s="353"/>
      <c r="G432" s="353"/>
      <c r="H432" s="353" t="str">
        <f>IFERROR(VLOOKUP(M432,'02. MM-KLH'!$B$6:$T$823,17,0),"")</f>
        <v>300HP</v>
      </c>
      <c r="I432" s="763">
        <f>IFERROR(VLOOKUP(M432,'02. MM-KLH'!$B$6:$U$823,20,0),"")</f>
        <v>0.36</v>
      </c>
      <c r="J432" s="613" t="str">
        <f>IFERROR(VLOOKUP(M432,'02. MM-KLH'!$B$6:$T$823,19,0),"")</f>
        <v>CCN</v>
      </c>
      <c r="K432" s="613">
        <f>IFERROR(VLOOKUP(M432,'02. MM-KLH'!$B$6:$T$823,18,0),"")</f>
        <v>63965</v>
      </c>
      <c r="L432" s="353">
        <f>IFERROR(VLOOKUP(M432,'02. MM-KLH'!$B$6:$T$823,4,0),"")</f>
        <v>0</v>
      </c>
      <c r="M432" s="49" t="s">
        <v>2488</v>
      </c>
      <c r="N432" s="356">
        <f>IFERROR(VLOOKUP(M432,'02. MM-KLH'!$B$6:$T$823,15,0),"")</f>
        <v>0</v>
      </c>
      <c r="O432" s="764">
        <f>IFERROR(VLOOKUP(M432,'02. MM-KLH'!$B$6:$T$823,9,0),"")</f>
        <v>0</v>
      </c>
      <c r="P432" s="353">
        <v>2088</v>
      </c>
      <c r="Q432" s="353"/>
      <c r="R432" s="353"/>
      <c r="S432" s="353" t="s">
        <v>5978</v>
      </c>
      <c r="T432" s="353"/>
      <c r="U432" s="353" t="str">
        <f>IFERROR(VLOOKUP(M432,'02. MM-KLH'!$B$6:$T$823,5,0),"")</f>
        <v>ĐQSD</v>
      </c>
      <c r="V432" s="731" t="str">
        <f>IFERROR(VLOOKUP(M432,'02. MM-KLH'!$B$6:$T$823,8,0),"")</f>
        <v>Phòng GNVC</v>
      </c>
      <c r="W432" s="353" t="str">
        <f>IFERROR(VLOOKUP(V432,'NS QUẢN LÝ CG'!$A$4:$D$36,2,0),"")</f>
        <v/>
      </c>
      <c r="X432" s="353" t="str">
        <f>IFERROR(VLOOKUP(V432,'NS QUẢN LÝ CG'!$A$4:$D$36,4,0),"")</f>
        <v/>
      </c>
      <c r="Y432" s="353" t="str">
        <f>IFERROR(VLOOKUP(V432,'NS QUẢN LÝ CG'!$A$4:$C$36,3,0),"")</f>
        <v/>
      </c>
      <c r="Z432" s="731" t="str">
        <f>IFERROR(VLOOKUP(M432,'02. MM-KLH'!$B$6:$T$823,3,0),"")</f>
        <v>A22-XTA-010</v>
      </c>
      <c r="AA432" s="353" t="str">
        <f t="shared" si="28"/>
        <v>ADM</v>
      </c>
      <c r="AB432" s="731"/>
      <c r="AC432" s="731"/>
    </row>
    <row r="433" ht="13.8" spans="1:29">
      <c r="A433" s="731"/>
      <c r="B433" s="613" t="str">
        <f>IFERROR(VLOOKUP(M433,'02. MM-KLH'!$B$6:$T$823,6,0),"")</f>
        <v>Xe tải ben Howo 371</v>
      </c>
      <c r="C433" s="353">
        <v>1</v>
      </c>
      <c r="D433" s="353" t="str">
        <f>IFERROR(VLOOKUP(M433,'02. MM-KLH'!$B$6:$T$823,16,0),"")</f>
        <v>HOWO 371</v>
      </c>
      <c r="E433" s="353" t="s">
        <v>5978</v>
      </c>
      <c r="F433" s="353"/>
      <c r="G433" s="353"/>
      <c r="H433" s="353" t="str">
        <f>IFERROR(VLOOKUP(M433,'02. MM-KLH'!$B$6:$T$823,17,0),"")</f>
        <v>300HP</v>
      </c>
      <c r="I433" s="763">
        <f>IFERROR(VLOOKUP(M433,'02. MM-KLH'!$B$6:$U$823,20,0),"")</f>
        <v>0.36</v>
      </c>
      <c r="J433" s="613" t="str">
        <f>IFERROR(VLOOKUP(M433,'02. MM-KLH'!$B$6:$T$823,19,0),"")</f>
        <v>CCN</v>
      </c>
      <c r="K433" s="613">
        <f>IFERROR(VLOOKUP(M433,'02. MM-KLH'!$B$6:$T$823,18,0),"")</f>
        <v>933513</v>
      </c>
      <c r="L433" s="353">
        <f>IFERROR(VLOOKUP(M433,'02. MM-KLH'!$B$6:$T$823,4,0),"")</f>
        <v>0</v>
      </c>
      <c r="M433" s="49" t="s">
        <v>2492</v>
      </c>
      <c r="N433" s="356">
        <f>IFERROR(VLOOKUP(M433,'02. MM-KLH'!$B$6:$T$823,15,0),"")</f>
        <v>0</v>
      </c>
      <c r="O433" s="764">
        <f>IFERROR(VLOOKUP(M433,'02. MM-KLH'!$B$6:$T$823,9,0),"")</f>
        <v>0</v>
      </c>
      <c r="P433" s="353">
        <v>171658</v>
      </c>
      <c r="Q433" s="353"/>
      <c r="R433" s="353"/>
      <c r="S433" s="353" t="s">
        <v>5978</v>
      </c>
      <c r="T433" s="353"/>
      <c r="U433" s="353" t="str">
        <f>IFERROR(VLOOKUP(M433,'02. MM-KLH'!$B$6:$T$823,5,0),"")</f>
        <v>ĐQSD</v>
      </c>
      <c r="V433" s="731" t="str">
        <f>IFERROR(VLOOKUP(M433,'02. MM-KLH'!$B$6:$T$823,8,0),"")</f>
        <v>Phòng GNVC</v>
      </c>
      <c r="W433" s="353" t="str">
        <f>IFERROR(VLOOKUP(V433,'NS QUẢN LÝ CG'!$A$4:$D$36,2,0),"")</f>
        <v/>
      </c>
      <c r="X433" s="353" t="str">
        <f>IFERROR(VLOOKUP(V433,'NS QUẢN LÝ CG'!$A$4:$D$36,4,0),"")</f>
        <v/>
      </c>
      <c r="Y433" s="353" t="str">
        <f>IFERROR(VLOOKUP(V433,'NS QUẢN LÝ CG'!$A$4:$C$36,3,0),"")</f>
        <v/>
      </c>
      <c r="Z433" s="731" t="str">
        <f>IFERROR(VLOOKUP(M433,'02. MM-KLH'!$B$6:$T$823,3,0),"")</f>
        <v>A22-XTA-011</v>
      </c>
      <c r="AA433" s="353" t="str">
        <f t="shared" si="28"/>
        <v>ADM</v>
      </c>
      <c r="AB433" s="731"/>
      <c r="AC433" s="731"/>
    </row>
    <row r="434" ht="13.8" spans="1:29">
      <c r="A434" s="731"/>
      <c r="B434" s="613" t="str">
        <f>IFERROR(VLOOKUP(M434,'02. MM-KLH'!$B$6:$T$823,6,0),"")</f>
        <v/>
      </c>
      <c r="C434" s="353"/>
      <c r="D434" s="353" t="str">
        <f>IFERROR(VLOOKUP(M434,'02. MM-KLH'!$B$6:$T$823,16,0),"")</f>
        <v/>
      </c>
      <c r="E434" s="353"/>
      <c r="F434" s="353"/>
      <c r="G434" s="353"/>
      <c r="H434" s="353" t="str">
        <f>IFERROR(VLOOKUP(M434,'02. MM-KLH'!$B$6:$T$823,17,0),"")</f>
        <v/>
      </c>
      <c r="I434" s="763" t="str">
        <f>IFERROR(VLOOKUP(M434,'02. MM-KLH'!$B$6:$U$823,20,0),"")</f>
        <v/>
      </c>
      <c r="J434" s="613" t="str">
        <f>IFERROR(VLOOKUP(M434,'02. MM-KLH'!$B$6:$T$823,19,0),"")</f>
        <v/>
      </c>
      <c r="K434" s="613" t="str">
        <f>IFERROR(VLOOKUP(M434,'02. MM-KLH'!$B$6:$T$823,18,0),"")</f>
        <v/>
      </c>
      <c r="L434" s="353" t="str">
        <f>IFERROR(VLOOKUP(M434,'02. MM-KLH'!$B$6:$T$823,4,0),"")</f>
        <v/>
      </c>
      <c r="M434" s="49"/>
      <c r="N434" s="356" t="str">
        <f>IFERROR(VLOOKUP(M434,'02. MM-KLH'!$B$6:$T$823,15,0),"")</f>
        <v/>
      </c>
      <c r="O434" s="764" t="str">
        <f>IFERROR(VLOOKUP(M434,'02. MM-KLH'!$B$6:$T$823,9,0),"")</f>
        <v/>
      </c>
      <c r="P434" s="353"/>
      <c r="Q434" s="353"/>
      <c r="R434" s="353"/>
      <c r="S434" s="353"/>
      <c r="T434" s="353"/>
      <c r="U434" s="353" t="str">
        <f>IFERROR(VLOOKUP(M434,'02. MM-KLH'!$B$6:$T$823,2,0),"")</f>
        <v/>
      </c>
      <c r="V434" s="731" t="str">
        <f>IFERROR(VLOOKUP(M434,'02. MM-KLH'!$B$6:$T$823,8,0),"")</f>
        <v/>
      </c>
      <c r="W434" s="353" t="str">
        <f>IFERROR(VLOOKUP(V434,'NS QUẢN LÝ CG'!$A$4:$D$36,2,0),"")</f>
        <v/>
      </c>
      <c r="X434" s="353" t="str">
        <f>IFERROR(VLOOKUP(V434,'NS QUẢN LÝ CG'!$A$4:$D$36,4,0),"")</f>
        <v/>
      </c>
      <c r="Y434" s="353"/>
      <c r="Z434" s="731" t="str">
        <f>IFERROR(VLOOKUP(M434,'02. MM-KLH'!$B$6:$T$823,3,0),"")</f>
        <v/>
      </c>
      <c r="AA434" s="353"/>
      <c r="AB434" s="731"/>
      <c r="AC434" s="731"/>
    </row>
    <row r="435" ht="13.8" hidden="1" spans="1:29">
      <c r="A435" s="731"/>
      <c r="B435" s="613" t="str">
        <f>IFERROR(VLOOKUP(M435,'02. MM-KLH'!$B$6:$T$823,6,0),"")</f>
        <v/>
      </c>
      <c r="C435" s="353"/>
      <c r="D435" s="353" t="str">
        <f>IFERROR(VLOOKUP(M435,'02. MM-KLH'!$B$6:$T$823,16,0),"")</f>
        <v/>
      </c>
      <c r="E435" s="353"/>
      <c r="F435" s="353"/>
      <c r="G435" s="353"/>
      <c r="H435" s="353" t="str">
        <f>IFERROR(VLOOKUP(M435,'02. MM-KLH'!$B$6:$T$823,17,0),"")</f>
        <v/>
      </c>
      <c r="I435" s="763" t="str">
        <f>IFERROR(VLOOKUP(M435,'02. MM-KLH'!$B$6:$U$823,20,0),"")</f>
        <v/>
      </c>
      <c r="J435" s="613" t="str">
        <f>IFERROR(VLOOKUP(M435,'02. MM-KLH'!$B$6:$T$823,19,0),"")</f>
        <v/>
      </c>
      <c r="K435" s="613" t="str">
        <f>IFERROR(VLOOKUP(M435,'02. MM-KLH'!$B$6:$T$823,18,0),"")</f>
        <v/>
      </c>
      <c r="L435" s="353" t="str">
        <f>IFERROR(VLOOKUP(M435,'02. MM-KLH'!$B$6:$T$823,4,0),"")</f>
        <v/>
      </c>
      <c r="M435" s="49"/>
      <c r="N435" s="356" t="str">
        <f>IFERROR(VLOOKUP(M435,'02. MM-KLH'!$B$6:$T$823,15,0),"")</f>
        <v/>
      </c>
      <c r="O435" s="764" t="str">
        <f>IFERROR(VLOOKUP(M435,'02. MM-KLH'!$B$6:$T$823,9,0),"")</f>
        <v/>
      </c>
      <c r="P435" s="353"/>
      <c r="Q435" s="353"/>
      <c r="R435" s="353"/>
      <c r="S435" s="353"/>
      <c r="T435" s="353"/>
      <c r="U435" s="353" t="str">
        <f>IFERROR(VLOOKUP(M435,'02. MM-KLH'!$B$6:$T$823,2,0),"")</f>
        <v/>
      </c>
      <c r="V435" s="731" t="str">
        <f>IFERROR(VLOOKUP(M435,'02. MM-KLH'!$B$6:$T$823,8,0),"")</f>
        <v/>
      </c>
      <c r="W435" s="353"/>
      <c r="X435" s="353"/>
      <c r="Y435" s="353"/>
      <c r="Z435" s="731" t="str">
        <f>IFERROR(VLOOKUP(M435,'02. MM-KLH'!$B$6:$T$823,3,0),"")</f>
        <v/>
      </c>
      <c r="AA435" s="353"/>
      <c r="AB435" s="731"/>
      <c r="AC435" s="731"/>
    </row>
    <row r="436" ht="13.8" hidden="1" spans="1:29">
      <c r="A436" s="731"/>
      <c r="B436" s="613" t="str">
        <f>IFERROR(VLOOKUP(M436,'02. MM-KLH'!$B$6:$T$823,6,0),"")</f>
        <v/>
      </c>
      <c r="C436" s="353"/>
      <c r="D436" s="353" t="str">
        <f>IFERROR(VLOOKUP(M436,'02. MM-KLH'!$B$6:$T$823,16,0),"")</f>
        <v/>
      </c>
      <c r="E436" s="353"/>
      <c r="F436" s="353"/>
      <c r="G436" s="353"/>
      <c r="H436" s="353" t="str">
        <f>IFERROR(VLOOKUP(M436,'02. MM-KLH'!$B$6:$T$823,17,0),"")</f>
        <v/>
      </c>
      <c r="I436" s="763" t="str">
        <f>IFERROR(VLOOKUP(M436,'02. MM-KLH'!$B$6:$U$823,20,0),"")</f>
        <v/>
      </c>
      <c r="J436" s="613" t="str">
        <f>IFERROR(VLOOKUP(M436,'02. MM-KLH'!$B$6:$T$823,19,0),"")</f>
        <v/>
      </c>
      <c r="K436" s="613" t="str">
        <f>IFERROR(VLOOKUP(M436,'02. MM-KLH'!$B$6:$T$823,18,0),"")</f>
        <v/>
      </c>
      <c r="L436" s="353" t="str">
        <f>IFERROR(VLOOKUP(M436,'02. MM-KLH'!$B$6:$T$823,4,0),"")</f>
        <v/>
      </c>
      <c r="M436" s="49"/>
      <c r="N436" s="356" t="str">
        <f>IFERROR(VLOOKUP(M436,'02. MM-KLH'!$B$6:$T$823,15,0),"")</f>
        <v/>
      </c>
      <c r="O436" s="764" t="str">
        <f>IFERROR(VLOOKUP(M436,'02. MM-KLH'!$B$6:$T$823,9,0),"")</f>
        <v/>
      </c>
      <c r="P436" s="353"/>
      <c r="Q436" s="353"/>
      <c r="R436" s="353"/>
      <c r="S436" s="353"/>
      <c r="T436" s="353"/>
      <c r="U436" s="353" t="str">
        <f>IFERROR(VLOOKUP(M436,'02. MM-KLH'!$B$6:$T$823,2,0),"")</f>
        <v/>
      </c>
      <c r="V436" s="731" t="str">
        <f>IFERROR(VLOOKUP(M436,'02. MM-KLH'!$B$6:$T$823,8,0),"")</f>
        <v/>
      </c>
      <c r="W436" s="353"/>
      <c r="X436" s="353"/>
      <c r="Y436" s="353"/>
      <c r="Z436" s="731" t="str">
        <f>IFERROR(VLOOKUP(M436,'02. MM-KLH'!$B$6:$T$823,3,0),"")</f>
        <v/>
      </c>
      <c r="AA436" s="353"/>
      <c r="AB436" s="731"/>
      <c r="AC436" s="731"/>
    </row>
    <row r="437" spans="1:29">
      <c r="A437" s="747" t="s">
        <v>3335</v>
      </c>
      <c r="B437" s="748" t="s">
        <v>5994</v>
      </c>
      <c r="C437" s="747">
        <f>SUM(C438,C447,C453,C464)</f>
        <v>25</v>
      </c>
      <c r="D437" s="749"/>
      <c r="E437" s="749"/>
      <c r="F437" s="749"/>
      <c r="G437" s="749"/>
      <c r="H437" s="749"/>
      <c r="I437" s="750"/>
      <c r="J437" s="751"/>
      <c r="K437" s="751"/>
      <c r="L437" s="749"/>
      <c r="M437" s="749"/>
      <c r="N437" s="749"/>
      <c r="O437" s="752"/>
      <c r="P437" s="749"/>
      <c r="Q437" s="749"/>
      <c r="R437" s="749"/>
      <c r="S437" s="749"/>
      <c r="T437" s="749"/>
      <c r="U437" s="749"/>
      <c r="V437" s="750"/>
      <c r="W437" s="749"/>
      <c r="X437" s="749"/>
      <c r="Y437" s="749"/>
      <c r="Z437" s="750"/>
      <c r="AA437" s="749"/>
      <c r="AB437" s="750"/>
      <c r="AC437" s="753"/>
    </row>
    <row r="438" ht="13.8" spans="1:29">
      <c r="A438" s="754">
        <v>1</v>
      </c>
      <c r="B438" s="755" t="s">
        <v>621</v>
      </c>
      <c r="C438" s="754">
        <f>COUNTA(B439:B446)</f>
        <v>7</v>
      </c>
      <c r="D438" s="756" t="str">
        <f>IFERROR(VLOOKUP(M438,'02. MM-KLH'!$B$6:$T$823,16,0),"")</f>
        <v/>
      </c>
      <c r="E438" s="756"/>
      <c r="F438" s="756"/>
      <c r="G438" s="756"/>
      <c r="H438" s="762" t="str">
        <f>IFERROR(VLOOKUP(M438,'02. MM-KLH'!$B$6:$T$823,17,0),"")</f>
        <v/>
      </c>
      <c r="I438" s="762" t="str">
        <f>IFERROR(VLOOKUP(M438,'02. MM-KLH'!$B$6:$U$823,20,0),"")</f>
        <v/>
      </c>
      <c r="J438" s="758" t="str">
        <f>IFERROR(VLOOKUP(M438,'02. MM-KLH'!$B$6:$T$823,19,0),"")</f>
        <v/>
      </c>
      <c r="K438" s="758" t="str">
        <f>IFERROR(VLOOKUP(M438,'02. MM-KLH'!$B$6:$T$823,18,0),"")</f>
        <v/>
      </c>
      <c r="L438" s="756" t="str">
        <f>IFERROR(VLOOKUP(M438,'02. MM-KLH'!$B$6:$T$823,4,0),"")</f>
        <v/>
      </c>
      <c r="M438" s="756"/>
      <c r="N438" s="756" t="str">
        <f>IFERROR(VLOOKUP(M438,'02. MM-KLH'!$B$6:$T$823,15,0),"")</f>
        <v/>
      </c>
      <c r="O438" s="760" t="str">
        <f>IFERROR(VLOOKUP(M438,'02. MM-KLH'!$B$6:$T$823,9,0),"")</f>
        <v/>
      </c>
      <c r="P438" s="756"/>
      <c r="Q438" s="756"/>
      <c r="R438" s="756"/>
      <c r="S438" s="756"/>
      <c r="T438" s="756"/>
      <c r="U438" s="756" t="str">
        <f>IFERROR(VLOOKUP(M438,'02. MM-KLH'!$B$6:$T$823,2,0),"")</f>
        <v/>
      </c>
      <c r="V438" s="762" t="str">
        <f>IFERROR(VLOOKUP(M438,'02. MM-KLH'!$B$6:$T$823,8,0),"")</f>
        <v/>
      </c>
      <c r="W438" s="756"/>
      <c r="X438" s="756"/>
      <c r="Y438" s="756"/>
      <c r="Z438" s="762" t="str">
        <f>IFERROR(VLOOKUP(M438,'02. MM-KLH'!$B$6:$T$823,3,0),"")</f>
        <v/>
      </c>
      <c r="AA438" s="756"/>
      <c r="AB438" s="762"/>
      <c r="AC438" s="762"/>
    </row>
    <row r="439" ht="13.8" spans="1:29">
      <c r="A439" s="731"/>
      <c r="B439" s="613" t="str">
        <f>IFERROR(VLOOKUP(M439,'02. MM-KLH'!$B$6:$T$823,6,0),"")</f>
        <v>Xe tải thùng FD140</v>
      </c>
      <c r="C439" s="353">
        <v>1</v>
      </c>
      <c r="D439" s="353" t="str">
        <f>IFERROR(VLOOKUP(M439,'02. MM-KLH'!$B$6:$T$823,16,0),"")</f>
        <v>FD140</v>
      </c>
      <c r="E439" s="353" t="s">
        <v>5978</v>
      </c>
      <c r="F439" s="353"/>
      <c r="G439" s="353"/>
      <c r="H439" s="353" t="str">
        <f>IFERROR(VLOOKUP(M439,'02. MM-KLH'!$B$6:$T$823,17,0),"")</f>
        <v>140HP</v>
      </c>
      <c r="I439" s="763">
        <f>IFERROR(VLOOKUP(M439,'02. MM-KLH'!$B$6:$U$823,20,0),"")</f>
        <v>0.3</v>
      </c>
      <c r="J439" s="613" t="str">
        <f>IFERROR(VLOOKUP(M439,'02. MM-KLH'!$B$6:$T$823,19,0),"")</f>
        <v>YC4D140-48D59M1M00594</v>
      </c>
      <c r="K439" s="613" t="str">
        <f>IFERROR(VLOOKUP(M439,'02. MM-KLH'!$B$6:$T$823,18,0),"")</f>
        <v>RNHF14FYAMT052028</v>
      </c>
      <c r="L439" s="353">
        <f>IFERROR(VLOOKUP(M439,'02. MM-KLH'!$B$6:$T$823,4,0),"")</f>
        <v>0</v>
      </c>
      <c r="M439" s="49" t="s">
        <v>2477</v>
      </c>
      <c r="N439" s="356">
        <f>IFERROR(VLOOKUP(M439,'02. MM-KLH'!$B$6:$T$823,15,0),"")</f>
        <v>2021</v>
      </c>
      <c r="O439" s="764">
        <f>IFERROR(VLOOKUP(M439,'02. MM-KLH'!$B$6:$T$823,9,0),"")</f>
        <v>44564</v>
      </c>
      <c r="P439" s="353">
        <v>100597</v>
      </c>
      <c r="Q439" s="353"/>
      <c r="R439" s="353" t="s">
        <v>5978</v>
      </c>
      <c r="S439" s="353"/>
      <c r="T439" s="353"/>
      <c r="U439" s="353" t="str">
        <f>IFERROR(VLOOKUP(M439,'02. MM-KLH'!$B$6:$T$823,5,0),"")</f>
        <v>ĐQSD</v>
      </c>
      <c r="V439" s="731" t="str">
        <f>IFERROR(VLOOKUP(M439,'02. MM-KLH'!$B$6:$T$823,8,0),"")</f>
        <v>Phòng GNVC</v>
      </c>
      <c r="W439" s="353" t="str">
        <f>IFERROR(VLOOKUP(V439,'NS QUẢN LÝ CG'!$A$4:$D$36,2,0),"")</f>
        <v/>
      </c>
      <c r="X439" s="353" t="str">
        <f>IFERROR(VLOOKUP(V439,'NS QUẢN LÝ CG'!$A$4:$D$36,4,0),"")</f>
        <v/>
      </c>
      <c r="Y439" s="353" t="str">
        <f>IFERROR(VLOOKUP(V439,'NS QUẢN LÝ CG'!$A$4:$C$36,3,0),"")</f>
        <v/>
      </c>
      <c r="Z439" s="731" t="str">
        <f>IFERROR(VLOOKUP(M439,'02. MM-KLH'!$B$6:$T$823,3,0),"")</f>
        <v>ATT-A22-0259</v>
      </c>
      <c r="AA439" s="353" t="s">
        <v>5980</v>
      </c>
      <c r="AB439" s="731"/>
      <c r="AC439" s="731"/>
    </row>
    <row r="440" ht="13.8" spans="1:29">
      <c r="A440" s="731"/>
      <c r="B440" s="613" t="str">
        <f>IFERROR(VLOOKUP(M440,'02. MM-KLH'!$B$6:$T$823,6,0),"")</f>
        <v>Xe tải thùng FD140</v>
      </c>
      <c r="C440" s="353">
        <v>1</v>
      </c>
      <c r="D440" s="353" t="str">
        <f>IFERROR(VLOOKUP(M440,'02. MM-KLH'!$B$6:$T$823,16,0),"")</f>
        <v>FD140</v>
      </c>
      <c r="E440" s="353" t="s">
        <v>5978</v>
      </c>
      <c r="F440" s="353"/>
      <c r="G440" s="353"/>
      <c r="H440" s="353" t="str">
        <f>IFERROR(VLOOKUP(M440,'02. MM-KLH'!$B$6:$T$823,17,0),"")</f>
        <v>140HP</v>
      </c>
      <c r="I440" s="763">
        <f>IFERROR(VLOOKUP(M440,'02. MM-KLH'!$B$6:$U$823,20,0),"")</f>
        <v>0.3</v>
      </c>
      <c r="J440" s="613" t="str">
        <f>IFERROR(VLOOKUP(M440,'02. MM-KLH'!$B$6:$T$823,19,0),"")</f>
        <v>YC4D140-48D59M1M00563</v>
      </c>
      <c r="K440" s="613" t="str">
        <f>IFERROR(VLOOKUP(M440,'02. MM-KLH'!$B$6:$T$823,18,0),"")</f>
        <v>RNHF14FYAMT052029</v>
      </c>
      <c r="L440" s="353">
        <f>IFERROR(VLOOKUP(M440,'02. MM-KLH'!$B$6:$T$823,4,0),"")</f>
        <v>0</v>
      </c>
      <c r="M440" s="49" t="s">
        <v>2481</v>
      </c>
      <c r="N440" s="356">
        <f>IFERROR(VLOOKUP(M440,'02. MM-KLH'!$B$6:$T$823,15,0),"")</f>
        <v>2021</v>
      </c>
      <c r="O440" s="764">
        <f>IFERROR(VLOOKUP(M440,'02. MM-KLH'!$B$6:$T$823,9,0),"")</f>
        <v>44564</v>
      </c>
      <c r="P440" s="353">
        <v>127132</v>
      </c>
      <c r="Q440" s="353"/>
      <c r="R440" s="353" t="s">
        <v>5978</v>
      </c>
      <c r="S440" s="353"/>
      <c r="T440" s="353"/>
      <c r="U440" s="353" t="str">
        <f>IFERROR(VLOOKUP(M440,'02. MM-KLH'!$B$6:$T$823,5,0),"")</f>
        <v>ĐQSD</v>
      </c>
      <c r="V440" s="731" t="str">
        <f>IFERROR(VLOOKUP(M440,'02. MM-KLH'!$B$6:$T$823,8,0),"")</f>
        <v>Phòng GNVC</v>
      </c>
      <c r="W440" s="353" t="str">
        <f>IFERROR(VLOOKUP(V440,'NS QUẢN LÝ CG'!$A$4:$D$36,2,0),"")</f>
        <v/>
      </c>
      <c r="X440" s="353" t="str">
        <f>IFERROR(VLOOKUP(V440,'NS QUẢN LÝ CG'!$A$4:$D$36,4,0),"")</f>
        <v/>
      </c>
      <c r="Y440" s="353" t="str">
        <f>IFERROR(VLOOKUP(V440,'NS QUẢN LÝ CG'!$A$4:$C$36,3,0),"")</f>
        <v/>
      </c>
      <c r="Z440" s="731" t="str">
        <f>IFERROR(VLOOKUP(M440,'02. MM-KLH'!$B$6:$T$823,3,0),"")</f>
        <v>ATT-A22-0260</v>
      </c>
      <c r="AA440" s="353" t="s">
        <v>5980</v>
      </c>
      <c r="AB440" s="731"/>
      <c r="AC440" s="731"/>
    </row>
    <row r="441" ht="13.8" spans="1:29">
      <c r="A441" s="731"/>
      <c r="B441" s="613" t="str">
        <f>IFERROR(VLOOKUP(M441,'02. MM-KLH'!$B$6:$T$823,6,0),"")</f>
        <v>Xe tải thùng FD140</v>
      </c>
      <c r="C441" s="353">
        <v>1</v>
      </c>
      <c r="D441" s="353" t="str">
        <f>IFERROR(VLOOKUP(M441,'02. MM-KLH'!$B$6:$T$823,16,0),"")</f>
        <v>FD140</v>
      </c>
      <c r="E441" s="353" t="s">
        <v>5978</v>
      </c>
      <c r="F441" s="353"/>
      <c r="G441" s="353"/>
      <c r="H441" s="353" t="str">
        <f>IFERROR(VLOOKUP(M441,'02. MM-KLH'!$B$6:$T$823,17,0),"")</f>
        <v>140HP</v>
      </c>
      <c r="I441" s="763">
        <f>IFERROR(VLOOKUP(M441,'02. MM-KLH'!$B$6:$U$823,20,0),"")</f>
        <v>0.3</v>
      </c>
      <c r="J441" s="613" t="str">
        <f>IFERROR(VLOOKUP(M441,'02. MM-KLH'!$B$6:$T$823,19,0),"")</f>
        <v>YC4D140-48D59M1M00527</v>
      </c>
      <c r="K441" s="613" t="str">
        <f>IFERROR(VLOOKUP(M441,'02. MM-KLH'!$B$6:$T$823,18,0),"")</f>
        <v>RNHF14FYAMT052030</v>
      </c>
      <c r="L441" s="353">
        <f>IFERROR(VLOOKUP(M441,'02. MM-KLH'!$B$6:$T$823,4,0),"")</f>
        <v>0</v>
      </c>
      <c r="M441" s="49" t="s">
        <v>2484</v>
      </c>
      <c r="N441" s="356">
        <f>IFERROR(VLOOKUP(M441,'02. MM-KLH'!$B$6:$T$823,15,0),"")</f>
        <v>2021</v>
      </c>
      <c r="O441" s="764">
        <f>IFERROR(VLOOKUP(M441,'02. MM-KLH'!$B$6:$T$823,9,0),"")</f>
        <v>44564</v>
      </c>
      <c r="P441" s="353">
        <v>114293</v>
      </c>
      <c r="Q441" s="353"/>
      <c r="R441" s="353" t="s">
        <v>5978</v>
      </c>
      <c r="S441" s="353"/>
      <c r="T441" s="353"/>
      <c r="U441" s="353" t="str">
        <f>IFERROR(VLOOKUP(M441,'02. MM-KLH'!$B$6:$T$823,5,0),"")</f>
        <v>ĐQSD</v>
      </c>
      <c r="V441" s="731" t="str">
        <f>IFERROR(VLOOKUP(M441,'02. MM-KLH'!$B$6:$T$823,8,0),"")</f>
        <v>Phòng GNVC</v>
      </c>
      <c r="W441" s="353" t="str">
        <f>IFERROR(VLOOKUP(V441,'NS QUẢN LÝ CG'!$A$4:$D$36,2,0),"")</f>
        <v/>
      </c>
      <c r="X441" s="353" t="str">
        <f>IFERROR(VLOOKUP(V441,'NS QUẢN LÝ CG'!$A$4:$D$36,4,0),"")</f>
        <v/>
      </c>
      <c r="Y441" s="353" t="str">
        <f>IFERROR(VLOOKUP(V441,'NS QUẢN LÝ CG'!$A$4:$C$36,3,0),"")</f>
        <v/>
      </c>
      <c r="Z441" s="731" t="str">
        <f>IFERROR(VLOOKUP(M441,'02. MM-KLH'!$B$6:$T$823,3,0),"")</f>
        <v>ATT-A22-0261</v>
      </c>
      <c r="AA441" s="353" t="s">
        <v>5980</v>
      </c>
      <c r="AB441" s="731"/>
      <c r="AC441" s="731"/>
    </row>
    <row r="442" ht="13.8" spans="1:29">
      <c r="A442" s="731"/>
      <c r="B442" s="613" t="str">
        <f>IFERROR(VLOOKUP(M442,'02. MM-KLH'!$B$6:$T$823,6,0),"")</f>
        <v>Xe tải thùng FD140</v>
      </c>
      <c r="C442" s="353">
        <v>1</v>
      </c>
      <c r="D442" s="353" t="str">
        <f>IFERROR(VLOOKUP(M442,'02. MM-KLH'!$B$6:$T$823,16,0),"")</f>
        <v>FD140</v>
      </c>
      <c r="E442" s="353" t="s">
        <v>5978</v>
      </c>
      <c r="F442" s="353"/>
      <c r="G442" s="353"/>
      <c r="H442" s="353" t="str">
        <f>IFERROR(VLOOKUP(M442,'02. MM-KLH'!$B$6:$T$823,17,0),"")</f>
        <v>140HP</v>
      </c>
      <c r="I442" s="763">
        <f>IFERROR(VLOOKUP(M442,'02. MM-KLH'!$B$6:$U$823,20,0),"")</f>
        <v>0.3</v>
      </c>
      <c r="J442" s="613" t="str">
        <f>IFERROR(VLOOKUP(M442,'02. MM-KLH'!$B$6:$T$823,19,0),"")</f>
        <v>CCN</v>
      </c>
      <c r="K442" s="613">
        <f>IFERROR(VLOOKUP(M442,'02. MM-KLH'!$B$6:$T$823,18,0),"")</f>
        <v>49595</v>
      </c>
      <c r="L442" s="353">
        <f>IFERROR(VLOOKUP(M442,'02. MM-KLH'!$B$6:$T$823,4,0),"")</f>
        <v>0</v>
      </c>
      <c r="M442" s="49" t="s">
        <v>2487</v>
      </c>
      <c r="N442" s="356">
        <f>IFERROR(VLOOKUP(M442,'02. MM-KLH'!$B$6:$T$823,15,0),"")</f>
        <v>2021</v>
      </c>
      <c r="O442" s="764">
        <f>IFERROR(VLOOKUP(M442,'02. MM-KLH'!$B$6:$T$823,9,0),"")</f>
        <v>44570</v>
      </c>
      <c r="P442" s="353">
        <v>99256</v>
      </c>
      <c r="Q442" s="353"/>
      <c r="R442" s="353" t="s">
        <v>5978</v>
      </c>
      <c r="S442" s="353"/>
      <c r="T442" s="353"/>
      <c r="U442" s="353" t="str">
        <f>IFERROR(VLOOKUP(M442,'02. MM-KLH'!$B$6:$T$823,5,0),"")</f>
        <v>ĐQSD</v>
      </c>
      <c r="V442" s="731" t="str">
        <f>IFERROR(VLOOKUP(M442,'02. MM-KLH'!$B$6:$T$823,8,0),"")</f>
        <v>Phòng GNVC</v>
      </c>
      <c r="W442" s="353" t="str">
        <f>IFERROR(VLOOKUP(V442,'NS QUẢN LÝ CG'!$A$4:$D$36,2,0),"")</f>
        <v/>
      </c>
      <c r="X442" s="353" t="str">
        <f>IFERROR(VLOOKUP(V442,'NS QUẢN LÝ CG'!$A$4:$D$36,4,0),"")</f>
        <v/>
      </c>
      <c r="Y442" s="353" t="str">
        <f>IFERROR(VLOOKUP(V442,'NS QUẢN LÝ CG'!$A$4:$C$36,3,0),"")</f>
        <v/>
      </c>
      <c r="Z442" s="731" t="str">
        <f>IFERROR(VLOOKUP(M442,'02. MM-KLH'!$B$6:$T$823,3,0),"")</f>
        <v>ATT-A23-0045</v>
      </c>
      <c r="AA442" s="353" t="s">
        <v>5979</v>
      </c>
      <c r="AB442" s="731"/>
      <c r="AC442" s="731"/>
    </row>
    <row r="443" spans="1:29">
      <c r="A443" s="731"/>
      <c r="B443" s="613" t="str">
        <f>IFERROR(VLOOKUP(M443,'02. MM-KLH'!$B$6:$T$823,6,0),"")</f>
        <v>Xe tải thùng FC150</v>
      </c>
      <c r="C443" s="353">
        <v>1</v>
      </c>
      <c r="D443" s="353" t="str">
        <f>IFERROR(VLOOKUP(M443,'02. MM-KLH'!$B$6:$T$823,16,0),"")</f>
        <v>FC150-4WD</v>
      </c>
      <c r="E443" s="353" t="s">
        <v>5978</v>
      </c>
      <c r="F443" s="353"/>
      <c r="G443" s="353"/>
      <c r="H443" s="353" t="str">
        <f>IFERROR(VLOOKUP(M443,'02. MM-KLH'!$B$6:$T$823,17,0),"")</f>
        <v>147HP</v>
      </c>
      <c r="I443" s="763">
        <f>IFERROR(VLOOKUP(M443,'02. MM-KLH'!$B$6:$U$823,20,0),"")</f>
        <v>0.5</v>
      </c>
      <c r="J443" s="613" t="str">
        <f>IFERROR(VLOOKUP(M443,'02. MM-KLH'!$B$6:$T$823,19,0),"")</f>
        <v>D59M1N01082</v>
      </c>
      <c r="K443" s="613" t="str">
        <f>IFERROR(VLOOKUP(M443,'02. MM-KLH'!$B$6:$T$823,18,0),"")</f>
        <v>RNHF16FYBRT077509</v>
      </c>
      <c r="L443" s="353" t="str">
        <f>IFERROR(VLOOKUP(M443,'02. MM-KLH'!$B$6:$T$823,4,0),"")</f>
        <v>3A-6805</v>
      </c>
      <c r="M443" s="49" t="s">
        <v>2305</v>
      </c>
      <c r="N443" s="356">
        <f>IFERROR(VLOOKUP(M443,'02. MM-KLH'!$B$6:$T$823,15,0),"")</f>
        <v>2024</v>
      </c>
      <c r="O443" s="764">
        <f>IFERROR(VLOOKUP(M443,'02. MM-KLH'!$B$6:$T$823,9,0),"")</f>
        <v>45636</v>
      </c>
      <c r="P443" s="765">
        <v>40685</v>
      </c>
      <c r="Q443" s="353"/>
      <c r="R443" s="353" t="s">
        <v>5978</v>
      </c>
      <c r="S443" s="353"/>
      <c r="T443" s="353"/>
      <c r="U443" s="353" t="str">
        <f>IFERROR(VLOOKUP(M443,'02. MM-KLH'!$B$6:$T$823,5,0),"")</f>
        <v>MỚI</v>
      </c>
      <c r="V443" s="731" t="str">
        <f>IFERROR(VLOOKUP(M443,'02. MM-KLH'!$B$6:$T$823,8,0),"")</f>
        <v>XN Bò AD</v>
      </c>
      <c r="W443" s="353" t="str">
        <f>IFERROR(VLOOKUP(V443,'NS QUẢN LÝ CG'!$A$4:$D$36,2,0),"")</f>
        <v/>
      </c>
      <c r="X443" s="353" t="str">
        <f>IFERROR(VLOOKUP(V443,'NS QUẢN LÝ CG'!$A$4:$D$36,4,0),"")</f>
        <v/>
      </c>
      <c r="Y443" s="353" t="str">
        <f>IFERROR(VLOOKUP(V443,'NS QUẢN LÝ CG'!$A$4:$C$36,3,0),"")</f>
        <v/>
      </c>
      <c r="Z443" s="731" t="str">
        <f>IFERROR(VLOOKUP(M443,'02. MM-KLH'!$B$6:$T$823,3,0),"")</f>
        <v>A22-XTA-006</v>
      </c>
      <c r="AA443" s="353" t="str">
        <f>_xlfn.SWITCH(LEFT(Z443,3),"A22","ADM","A23","DP","A24","LP","")</f>
        <v>ADM</v>
      </c>
      <c r="AB443" s="731"/>
      <c r="AC443" s="731"/>
    </row>
    <row r="444" spans="1:29">
      <c r="A444" s="731"/>
      <c r="B444" s="613" t="str">
        <f>IFERROR(VLOOKUP(M444,'02. MM-KLH'!$B$6:$T$823,6,0),"")</f>
        <v>Xe tải thùng FD140</v>
      </c>
      <c r="C444" s="353">
        <v>1</v>
      </c>
      <c r="D444" s="353" t="str">
        <f>IFERROR(VLOOKUP(M444,'02. MM-KLH'!$B$6:$T$823,16,0),"")</f>
        <v>FD140-4WD</v>
      </c>
      <c r="E444" s="353" t="s">
        <v>5978</v>
      </c>
      <c r="F444" s="353"/>
      <c r="G444" s="353"/>
      <c r="H444" s="353" t="str">
        <f>IFERROR(VLOOKUP(M444,'02. MM-KLH'!$B$6:$T$823,17,0),"")</f>
        <v>140HP</v>
      </c>
      <c r="I444" s="763">
        <f>IFERROR(VLOOKUP(M444,'02. MM-KLH'!$B$6:$U$823,20,0),"")</f>
        <v>0.3</v>
      </c>
      <c r="J444" s="613" t="str">
        <f>IFERROR(VLOOKUP(M444,'02. MM-KLH'!$B$6:$T$823,19,0),"")</f>
        <v>YC4D140-48D59M1M00546</v>
      </c>
      <c r="K444" s="613" t="str">
        <f>IFERROR(VLOOKUP(M444,'02. MM-KLH'!$B$6:$T$823,18,0),"")</f>
        <v>RNHF14FYAMT052027</v>
      </c>
      <c r="L444" s="353">
        <f>IFERROR(VLOOKUP(M444,'02. MM-KLH'!$B$6:$T$823,4,0),"")</f>
        <v>0</v>
      </c>
      <c r="M444" s="49" t="s">
        <v>2299</v>
      </c>
      <c r="N444" s="356">
        <f>IFERROR(VLOOKUP(M444,'02. MM-KLH'!$B$6:$T$823,15,0),"")</f>
        <v>2021</v>
      </c>
      <c r="O444" s="764">
        <f>IFERROR(VLOOKUP(M444,'02. MM-KLH'!$B$6:$T$823,9,0),"")</f>
        <v>44564</v>
      </c>
      <c r="P444" s="765">
        <v>90246</v>
      </c>
      <c r="Q444" s="353"/>
      <c r="R444" s="353" t="s">
        <v>5978</v>
      </c>
      <c r="S444" s="353"/>
      <c r="T444" s="353"/>
      <c r="U444" s="353" t="str">
        <f>IFERROR(VLOOKUP(M444,'02. MM-KLH'!$B$6:$T$823,5,0),"")</f>
        <v>ĐQSD</v>
      </c>
      <c r="V444" s="731" t="str">
        <f>IFERROR(VLOOKUP(M444,'02. MM-KLH'!$B$6:$T$823,8,0),"")</f>
        <v>XN Bò AD</v>
      </c>
      <c r="W444" s="353" t="str">
        <f>IFERROR(VLOOKUP(V444,'NS QUẢN LÝ CG'!$A$4:$D$36,2,0),"")</f>
        <v/>
      </c>
      <c r="X444" s="353" t="str">
        <f>IFERROR(VLOOKUP(V444,'NS QUẢN LÝ CG'!$A$4:$D$36,4,0),"")</f>
        <v/>
      </c>
      <c r="Y444" s="353" t="str">
        <f>IFERROR(VLOOKUP(V444,'NS QUẢN LÝ CG'!$A$4:$C$36,3,0),"")</f>
        <v/>
      </c>
      <c r="Z444" s="731" t="str">
        <f>IFERROR(VLOOKUP(M444,'02. MM-KLH'!$B$6:$T$823,3,0),"")</f>
        <v>ATT-A22-0258</v>
      </c>
      <c r="AA444" s="353" t="s">
        <v>5980</v>
      </c>
      <c r="AB444" s="731"/>
      <c r="AC444" s="731"/>
    </row>
    <row r="445" ht="13.8" spans="1:29">
      <c r="A445" s="731"/>
      <c r="B445" s="613" t="str">
        <f>IFERROR(VLOOKUP(M445,'02. MM-KLH'!$B$6:$T$823,6,0),"")</f>
        <v>Xe tải Forland FD140</v>
      </c>
      <c r="C445" s="353">
        <v>1</v>
      </c>
      <c r="D445" s="353" t="str">
        <f>IFERROR(VLOOKUP(M445,'02. MM-KLH'!$B$6:$T$823,16,0),"")</f>
        <v>FD140</v>
      </c>
      <c r="E445" s="353" t="s">
        <v>5978</v>
      </c>
      <c r="F445" s="353"/>
      <c r="G445" s="353"/>
      <c r="H445" s="353" t="str">
        <f>IFERROR(VLOOKUP(M445,'02. MM-KLH'!$B$6:$T$823,17,0),"")</f>
        <v>140HP</v>
      </c>
      <c r="I445" s="763">
        <f>IFERROR(VLOOKUP(M445,'02. MM-KLH'!$B$6:$U$823,20,0),"")</f>
        <v>0</v>
      </c>
      <c r="J445" s="613" t="str">
        <f>IFERROR(VLOOKUP(M445,'02. MM-KLH'!$B$6:$T$823,19,0),"")</f>
        <v>CCN</v>
      </c>
      <c r="K445" s="613" t="str">
        <f>IFERROR(VLOOKUP(M445,'02. MM-KLH'!$B$6:$T$823,18,0),"")</f>
        <v>RNHF14YALT022435</v>
      </c>
      <c r="L445" s="353">
        <f>IFERROR(VLOOKUP(M445,'02. MM-KLH'!$B$6:$T$823,4,0),"")</f>
        <v>0</v>
      </c>
      <c r="M445" s="49" t="s">
        <v>2858</v>
      </c>
      <c r="N445" s="356">
        <f>IFERROR(VLOOKUP(M445,'02. MM-KLH'!$B$6:$T$823,15,0),"")</f>
        <v>0</v>
      </c>
      <c r="O445" s="764" t="str">
        <f>IFERROR(VLOOKUP(M445,'02. MM-KLH'!$B$6:$T$823,9,0),"")</f>
        <v>Đã qua sử dụng</v>
      </c>
      <c r="P445" s="353"/>
      <c r="Q445" s="353"/>
      <c r="R445" s="353" t="s">
        <v>5978</v>
      </c>
      <c r="S445" s="353"/>
      <c r="T445" s="353"/>
      <c r="U445" s="353" t="str">
        <f>IFERROR(VLOOKUP(M445,'02. MM-KLH'!$B$6:$T$823,5,0),"")</f>
        <v>ĐQSD</v>
      </c>
      <c r="V445" s="731" t="str">
        <f>IFERROR(VLOOKUP(M445,'02. MM-KLH'!$B$6:$T$823,8,0),"")</f>
        <v>Thadicons A&amp;I</v>
      </c>
      <c r="W445" s="353">
        <f>IFERROR(VLOOKUP(V445,'NS QUẢN LÝ CG'!$A$4:$D$36,2,0),"")</f>
        <v>0</v>
      </c>
      <c r="X445" s="353">
        <f>IFERROR(VLOOKUP(V445,'NS QUẢN LÝ CG'!$A$4:$D$36,4,0),"")</f>
        <v>0</v>
      </c>
      <c r="Y445" s="353">
        <f>IFERROR(VLOOKUP(V445,'NS QUẢN LÝ CG'!$A$4:$C$36,3,0),"")</f>
        <v>0</v>
      </c>
      <c r="Z445" s="731" t="str">
        <f>IFERROR(VLOOKUP(M445,'02. MM-KLH'!$B$6:$T$823,3,0),"")</f>
        <v>-</v>
      </c>
      <c r="AA445" s="353"/>
      <c r="AB445" s="731"/>
      <c r="AC445" s="731"/>
    </row>
    <row r="446" ht="13.8" spans="1:29">
      <c r="A446" s="731"/>
      <c r="B446" s="613"/>
      <c r="C446" s="353"/>
      <c r="D446" s="353"/>
      <c r="E446" s="353"/>
      <c r="F446" s="353"/>
      <c r="G446" s="353"/>
      <c r="H446" s="353"/>
      <c r="I446" s="763"/>
      <c r="J446" s="613"/>
      <c r="K446" s="613"/>
      <c r="L446" s="353"/>
      <c r="M446" s="49"/>
      <c r="N446" s="356"/>
      <c r="O446" s="764"/>
      <c r="P446" s="353"/>
      <c r="Q446" s="353"/>
      <c r="R446" s="353"/>
      <c r="S446" s="353"/>
      <c r="T446" s="353"/>
      <c r="U446" s="353"/>
      <c r="V446" s="731"/>
      <c r="W446" s="353" t="str">
        <f>IFERROR(VLOOKUP(V446,'NS QUẢN LÝ CG'!$A$4:$D$36,2,0),"")</f>
        <v/>
      </c>
      <c r="X446" s="353" t="str">
        <f>IFERROR(VLOOKUP(V446,'NS QUẢN LÝ CG'!$A$4:$D$36,4,0),"")</f>
        <v/>
      </c>
      <c r="Y446" s="353"/>
      <c r="Z446" s="731"/>
      <c r="AA446" s="353"/>
      <c r="AB446" s="731"/>
      <c r="AC446" s="731"/>
    </row>
    <row r="447" ht="13.8" spans="1:29">
      <c r="A447" s="754">
        <v>2</v>
      </c>
      <c r="B447" s="755" t="s">
        <v>499</v>
      </c>
      <c r="C447" s="754">
        <f>COUNTA(B448:B452)</f>
        <v>3</v>
      </c>
      <c r="D447" s="756" t="str">
        <f>IFERROR(VLOOKUP(M447,'02. MM-KLH'!$B$6:$T$823,16,0),"")</f>
        <v/>
      </c>
      <c r="E447" s="756"/>
      <c r="F447" s="756"/>
      <c r="G447" s="756"/>
      <c r="H447" s="762" t="str">
        <f>IFERROR(VLOOKUP(M447,'02. MM-KLH'!$B$6:$T$823,17,0),"")</f>
        <v/>
      </c>
      <c r="I447" s="762" t="str">
        <f>IFERROR(VLOOKUP(M447,'02. MM-KLH'!$B$6:$U$823,20,0),"")</f>
        <v/>
      </c>
      <c r="J447" s="758" t="str">
        <f>IFERROR(VLOOKUP(M447,'02. MM-KLH'!$B$6:$T$823,19,0),"")</f>
        <v/>
      </c>
      <c r="K447" s="758" t="str">
        <f>IFERROR(VLOOKUP(M447,'02. MM-KLH'!$B$6:$T$823,18,0),"")</f>
        <v/>
      </c>
      <c r="L447" s="756" t="str">
        <f>IFERROR(VLOOKUP(M447,'02. MM-KLH'!$B$6:$T$823,4,0),"")</f>
        <v/>
      </c>
      <c r="M447" s="756"/>
      <c r="N447" s="756" t="str">
        <f>IFERROR(VLOOKUP(M447,'02. MM-KLH'!$B$6:$T$823,15,0),"")</f>
        <v/>
      </c>
      <c r="O447" s="760" t="str">
        <f>IFERROR(VLOOKUP(M447,'02. MM-KLH'!$B$6:$T$823,9,0),"")</f>
        <v/>
      </c>
      <c r="P447" s="756"/>
      <c r="Q447" s="756"/>
      <c r="R447" s="756"/>
      <c r="S447" s="756"/>
      <c r="T447" s="756"/>
      <c r="U447" s="756" t="str">
        <f>IFERROR(VLOOKUP(M447,'02. MM-KLH'!$B$6:$T$823,2,0),"")</f>
        <v/>
      </c>
      <c r="V447" s="762" t="str">
        <f>IFERROR(VLOOKUP(M447,'02. MM-KLH'!$B$6:$T$823,8,0),"")</f>
        <v/>
      </c>
      <c r="W447" s="756"/>
      <c r="X447" s="756"/>
      <c r="Y447" s="756"/>
      <c r="Z447" s="762" t="str">
        <f>IFERROR(VLOOKUP(M447,'02. MM-KLH'!$B$6:$T$823,3,0),"")</f>
        <v/>
      </c>
      <c r="AA447" s="756"/>
      <c r="AB447" s="762"/>
      <c r="AC447" s="762"/>
    </row>
    <row r="448" ht="13.8" spans="1:29">
      <c r="A448" s="731"/>
      <c r="B448" s="613" t="str">
        <f>IFERROR(VLOOKUP(M448,'02. MM-KLH'!$B$6:$T$823,6,0),"")</f>
        <v>Xe tải thùng Auman C160</v>
      </c>
      <c r="C448" s="353">
        <v>1</v>
      </c>
      <c r="D448" s="353" t="str">
        <f>IFERROR(VLOOKUP(M448,'02. MM-KLH'!$B$6:$T$823,16,0),"")</f>
        <v>C160</v>
      </c>
      <c r="E448" s="353" t="s">
        <v>5978</v>
      </c>
      <c r="F448" s="353"/>
      <c r="G448" s="353"/>
      <c r="H448" s="353" t="str">
        <f>IFERROR(VLOOKUP(M448,'02. MM-KLH'!$B$6:$T$823,17,0),"")</f>
        <v>96HP</v>
      </c>
      <c r="I448" s="763">
        <f>IFERROR(VLOOKUP(M448,'02. MM-KLH'!$B$6:$U$823,20,0),"")</f>
        <v>0.3</v>
      </c>
      <c r="J448" s="613">
        <f>IFERROR(VLOOKUP(M448,'02. MM-KLH'!$B$6:$T$823,19,0),"")</f>
        <v>495027</v>
      </c>
      <c r="K448" s="613">
        <f>IFERROR(VLOOKUP(M448,'02. MM-KLH'!$B$6:$T$823,18,0),"")</f>
        <v>6005</v>
      </c>
      <c r="L448" s="353" t="str">
        <f>IFERROR(VLOOKUP(M448,'02. MM-KLH'!$B$6:$T$823,4,0),"")</f>
        <v>3A-0813</v>
      </c>
      <c r="M448" s="49" t="s">
        <v>2465</v>
      </c>
      <c r="N448" s="356">
        <f>IFERROR(VLOOKUP(M448,'02. MM-KLH'!$B$6:$T$823,15,0),"")</f>
        <v>2012</v>
      </c>
      <c r="O448" s="764">
        <f>IFERROR(VLOOKUP(M448,'02. MM-KLH'!$B$6:$T$823,9,0),"")</f>
        <v>43835</v>
      </c>
      <c r="P448" s="353">
        <v>179078</v>
      </c>
      <c r="Q448" s="353"/>
      <c r="R448" s="353" t="s">
        <v>5978</v>
      </c>
      <c r="S448" s="353"/>
      <c r="T448" s="353"/>
      <c r="U448" s="353" t="str">
        <f>IFERROR(VLOOKUP(M448,'02. MM-KLH'!$B$6:$T$823,5,0),"")</f>
        <v>ĐQSD</v>
      </c>
      <c r="V448" s="731" t="str">
        <f>IFERROR(VLOOKUP(M448,'02. MM-KLH'!$B$6:$T$823,8,0),"")</f>
        <v>Phòng GNVC</v>
      </c>
      <c r="W448" s="353" t="str">
        <f>IFERROR(VLOOKUP(V448,'NS QUẢN LÝ CG'!$A$4:$D$36,2,0),"")</f>
        <v/>
      </c>
      <c r="X448" s="353" t="str">
        <f>IFERROR(VLOOKUP(V448,'NS QUẢN LÝ CG'!$A$4:$D$36,4,0),"")</f>
        <v/>
      </c>
      <c r="Y448" s="353" t="str">
        <f>IFERROR(VLOOKUP(V448,'NS QUẢN LÝ CG'!$A$4:$C$36,3,0),"")</f>
        <v/>
      </c>
      <c r="Z448" s="731" t="str">
        <f>IFERROR(VLOOKUP(M448,'02. MM-KLH'!$B$6:$T$823,3,0),"")</f>
        <v>ATT-A23-0023</v>
      </c>
      <c r="AA448" s="353" t="s">
        <v>5979</v>
      </c>
      <c r="AB448" s="731"/>
      <c r="AC448" s="731"/>
    </row>
    <row r="449" ht="13.8" spans="1:29">
      <c r="A449" s="731"/>
      <c r="B449" s="613" t="str">
        <f>IFERROR(VLOOKUP(M449,'02. MM-KLH'!$B$6:$T$823,6,0),"")</f>
        <v>Xe tải thùng Auman C160</v>
      </c>
      <c r="C449" s="353">
        <v>1</v>
      </c>
      <c r="D449" s="353" t="str">
        <f>IFERROR(VLOOKUP(M449,'02. MM-KLH'!$B$6:$T$823,16,0),"")</f>
        <v>C160</v>
      </c>
      <c r="E449" s="353" t="s">
        <v>5978</v>
      </c>
      <c r="F449" s="353"/>
      <c r="G449" s="353"/>
      <c r="H449" s="353" t="str">
        <f>IFERROR(VLOOKUP(M449,'02. MM-KLH'!$B$6:$T$823,17,0),"")</f>
        <v>96HP</v>
      </c>
      <c r="I449" s="763">
        <f>IFERROR(VLOOKUP(M449,'02. MM-KLH'!$B$6:$U$823,20,0),"")</f>
        <v>0.3</v>
      </c>
      <c r="J449" s="613" t="str">
        <f>IFERROR(VLOOKUP(M449,'02. MM-KLH'!$B$6:$T$823,19,0),"")</f>
        <v>CCN</v>
      </c>
      <c r="K449" s="613" t="str">
        <f>IFERROR(VLOOKUP(M449,'02. MM-KLH'!$B$6:$T$823,18,0),"")</f>
        <v>C006006</v>
      </c>
      <c r="L449" s="353" t="str">
        <f>IFERROR(VLOOKUP(M449,'02. MM-KLH'!$B$6:$T$823,4,0),"")</f>
        <v>3F-2956</v>
      </c>
      <c r="M449" s="49" t="s">
        <v>2469</v>
      </c>
      <c r="N449" s="356">
        <f>IFERROR(VLOOKUP(M449,'02. MM-KLH'!$B$6:$T$823,15,0),"")</f>
        <v>2012</v>
      </c>
      <c r="O449" s="764">
        <f>IFERROR(VLOOKUP(M449,'02. MM-KLH'!$B$6:$T$823,9,0),"")</f>
        <v>0</v>
      </c>
      <c r="P449" s="353">
        <v>5090</v>
      </c>
      <c r="Q449" s="353"/>
      <c r="R449" s="353" t="s">
        <v>5978</v>
      </c>
      <c r="S449" s="353"/>
      <c r="T449" s="353"/>
      <c r="U449" s="353" t="str">
        <f>IFERROR(VLOOKUP(M449,'02. MM-KLH'!$B$6:$T$823,5,0),"")</f>
        <v>ĐQSD</v>
      </c>
      <c r="V449" s="731" t="str">
        <f>IFERROR(VLOOKUP(M449,'02. MM-KLH'!$B$6:$T$823,8,0),"")</f>
        <v>Phòng GNVC</v>
      </c>
      <c r="W449" s="353" t="str">
        <f>IFERROR(VLOOKUP(V449,'NS QUẢN LÝ CG'!$A$4:$D$36,2,0),"")</f>
        <v/>
      </c>
      <c r="X449" s="353" t="str">
        <f>IFERROR(VLOOKUP(V449,'NS QUẢN LÝ CG'!$A$4:$D$36,4,0),"")</f>
        <v/>
      </c>
      <c r="Y449" s="353" t="str">
        <f>IFERROR(VLOOKUP(V449,'NS QUẢN LÝ CG'!$A$4:$C$36,3,0),"")</f>
        <v/>
      </c>
      <c r="Z449" s="731" t="str">
        <f>IFERROR(VLOOKUP(M449,'02. MM-KLH'!$B$6:$T$823,3,0),"")</f>
        <v>A23-XTA-013</v>
      </c>
      <c r="AA449" s="353" t="str">
        <f>_xlfn.SWITCH(LEFT(Z449,3),"A22","ADM","A23","DP","A24","LP","")</f>
        <v>DP</v>
      </c>
      <c r="AB449" s="731"/>
      <c r="AC449" s="731"/>
    </row>
    <row r="450" ht="13.8" spans="1:29">
      <c r="A450" s="731"/>
      <c r="B450" s="613" t="str">
        <f>IFERROR(VLOOKUP(M450,'02. MM-KLH'!$B$6:$T$823,6,0),"")</f>
        <v>Xe tải thùng Auman C160</v>
      </c>
      <c r="C450" s="353">
        <v>1</v>
      </c>
      <c r="D450" s="353" t="str">
        <f>IFERROR(VLOOKUP(M450,'02. MM-KLH'!$B$6:$T$823,16,0),"")</f>
        <v>C160</v>
      </c>
      <c r="E450" s="353" t="s">
        <v>5978</v>
      </c>
      <c r="F450" s="353"/>
      <c r="G450" s="353"/>
      <c r="H450" s="353" t="str">
        <f>IFERROR(VLOOKUP(M450,'02. MM-KLH'!$B$6:$T$823,17,0),"")</f>
        <v>96HP</v>
      </c>
      <c r="I450" s="763">
        <f>IFERROR(VLOOKUP(M450,'02. MM-KLH'!$B$6:$U$823,20,0),"")</f>
        <v>0.3</v>
      </c>
      <c r="J450" s="613" t="str">
        <f>IFERROR(VLOOKUP(M450,'02. MM-KLH'!$B$6:$T$823,19,0),"")</f>
        <v>CCN</v>
      </c>
      <c r="K450" s="613" t="str">
        <f>IFERROR(VLOOKUP(M450,'02. MM-KLH'!$B$6:$T$823,18,0),"")</f>
        <v>C006003</v>
      </c>
      <c r="L450" s="353" t="str">
        <f>IFERROR(VLOOKUP(M450,'02. MM-KLH'!$B$6:$T$823,4,0),"")</f>
        <v>3A-6603</v>
      </c>
      <c r="M450" s="49" t="s">
        <v>2473</v>
      </c>
      <c r="N450" s="356">
        <f>IFERROR(VLOOKUP(M450,'02. MM-KLH'!$B$6:$T$823,15,0),"")</f>
        <v>2012</v>
      </c>
      <c r="O450" s="764">
        <f>IFERROR(VLOOKUP(M450,'02. MM-KLH'!$B$6:$T$823,9,0),"")</f>
        <v>44114</v>
      </c>
      <c r="P450" s="353">
        <v>3999</v>
      </c>
      <c r="Q450" s="353"/>
      <c r="R450" s="353" t="s">
        <v>5978</v>
      </c>
      <c r="S450" s="353"/>
      <c r="T450" s="353"/>
      <c r="U450" s="353" t="str">
        <f>IFERROR(VLOOKUP(M450,'02. MM-KLH'!$B$6:$T$823,5,0),"")</f>
        <v>ĐQSD</v>
      </c>
      <c r="V450" s="731" t="str">
        <f>IFERROR(VLOOKUP(M450,'02. MM-KLH'!$B$6:$T$823,8,0),"")</f>
        <v>Phòng GNVC</v>
      </c>
      <c r="W450" s="353" t="str">
        <f>IFERROR(VLOOKUP(V450,'NS QUẢN LÝ CG'!$A$4:$D$36,2,0),"")</f>
        <v/>
      </c>
      <c r="X450" s="353" t="str">
        <f>IFERROR(VLOOKUP(V450,'NS QUẢN LÝ CG'!$A$4:$D$36,4,0),"")</f>
        <v/>
      </c>
      <c r="Y450" s="353" t="str">
        <f>IFERROR(VLOOKUP(V450,'NS QUẢN LÝ CG'!$A$4:$C$36,3,0),"")</f>
        <v/>
      </c>
      <c r="Z450" s="731" t="str">
        <f>IFERROR(VLOOKUP(M450,'02. MM-KLH'!$B$6:$T$823,3,0),"")</f>
        <v>ATT-A23-0040</v>
      </c>
      <c r="AA450" s="353" t="s">
        <v>5979</v>
      </c>
      <c r="AB450" s="731"/>
      <c r="AC450" s="731"/>
    </row>
    <row r="451" ht="13.8" spans="1:29">
      <c r="A451" s="731"/>
      <c r="B451" s="613"/>
      <c r="C451" s="353">
        <v>1</v>
      </c>
      <c r="D451" s="353"/>
      <c r="E451" s="353"/>
      <c r="F451" s="353"/>
      <c r="G451" s="353"/>
      <c r="H451" s="353"/>
      <c r="I451" s="763"/>
      <c r="J451" s="613"/>
      <c r="K451" s="613"/>
      <c r="L451" s="353"/>
      <c r="M451" s="49"/>
      <c r="N451" s="356"/>
      <c r="O451" s="764"/>
      <c r="P451" s="353"/>
      <c r="Q451" s="353"/>
      <c r="R451" s="353"/>
      <c r="S451" s="353"/>
      <c r="T451" s="353"/>
      <c r="U451" s="353"/>
      <c r="V451" s="731"/>
      <c r="W451" s="353" t="str">
        <f>IFERROR(VLOOKUP(V451,'NS QUẢN LÝ CG'!$A$4:$D$36,2,0),"")</f>
        <v/>
      </c>
      <c r="X451" s="353" t="str">
        <f>IFERROR(VLOOKUP(V451,'NS QUẢN LÝ CG'!$A$4:$D$36,4,0),"")</f>
        <v/>
      </c>
      <c r="Y451" s="353"/>
      <c r="Z451" s="731"/>
      <c r="AA451" s="353"/>
      <c r="AB451" s="731"/>
      <c r="AC451" s="731"/>
    </row>
    <row r="452" ht="13.8" spans="1:29">
      <c r="A452" s="731"/>
      <c r="B452" s="613"/>
      <c r="C452" s="353"/>
      <c r="D452" s="353"/>
      <c r="E452" s="353"/>
      <c r="F452" s="353"/>
      <c r="G452" s="353"/>
      <c r="H452" s="353"/>
      <c r="I452" s="763"/>
      <c r="J452" s="613"/>
      <c r="K452" s="613"/>
      <c r="L452" s="353"/>
      <c r="M452" s="49"/>
      <c r="N452" s="356"/>
      <c r="O452" s="764"/>
      <c r="P452" s="353"/>
      <c r="Q452" s="353"/>
      <c r="R452" s="353"/>
      <c r="S452" s="353"/>
      <c r="T452" s="353"/>
      <c r="U452" s="353"/>
      <c r="V452" s="731"/>
      <c r="W452" s="353" t="str">
        <f>IFERROR(VLOOKUP(V452,'NS QUẢN LÝ CG'!$A$4:$D$36,2,0),"")</f>
        <v/>
      </c>
      <c r="X452" s="353" t="str">
        <f>IFERROR(VLOOKUP(V452,'NS QUẢN LÝ CG'!$A$4:$D$36,4,0),"")</f>
        <v/>
      </c>
      <c r="Y452" s="353"/>
      <c r="Z452" s="731"/>
      <c r="AA452" s="353"/>
      <c r="AB452" s="731"/>
      <c r="AC452" s="731"/>
    </row>
    <row r="453" ht="13.8" spans="1:29">
      <c r="A453" s="754">
        <v>3</v>
      </c>
      <c r="B453" s="755" t="s">
        <v>954</v>
      </c>
      <c r="C453" s="754">
        <f>COUNTA(B454:B463)</f>
        <v>8</v>
      </c>
      <c r="D453" s="756" t="str">
        <f>IFERROR(VLOOKUP(M453,'02. MM-KLH'!$B$6:$T$823,16,0),"")</f>
        <v/>
      </c>
      <c r="E453" s="756"/>
      <c r="F453" s="756"/>
      <c r="G453" s="756"/>
      <c r="H453" s="762" t="str">
        <f>IFERROR(VLOOKUP(M453,'02. MM-KLH'!$B$6:$T$823,17,0),"")</f>
        <v/>
      </c>
      <c r="I453" s="762" t="str">
        <f>IFERROR(VLOOKUP(M453,'02. MM-KLH'!$B$6:$U$823,20,0),"")</f>
        <v/>
      </c>
      <c r="J453" s="758" t="str">
        <f>IFERROR(VLOOKUP(M453,'02. MM-KLH'!$B$6:$T$823,19,0),"")</f>
        <v/>
      </c>
      <c r="K453" s="758" t="str">
        <f>IFERROR(VLOOKUP(M453,'02. MM-KLH'!$B$6:$T$823,18,0),"")</f>
        <v/>
      </c>
      <c r="L453" s="756" t="str">
        <f>IFERROR(VLOOKUP(M453,'02. MM-KLH'!$B$6:$T$823,4,0),"")</f>
        <v/>
      </c>
      <c r="M453" s="756"/>
      <c r="N453" s="756" t="str">
        <f>IFERROR(VLOOKUP(M453,'02. MM-KLH'!$B$6:$T$823,15,0),"")</f>
        <v/>
      </c>
      <c r="O453" s="760" t="str">
        <f>IFERROR(VLOOKUP(M453,'02. MM-KLH'!$B$6:$T$823,9,0),"")</f>
        <v/>
      </c>
      <c r="P453" s="756"/>
      <c r="Q453" s="756"/>
      <c r="R453" s="756"/>
      <c r="S453" s="756"/>
      <c r="T453" s="756"/>
      <c r="U453" s="756" t="str">
        <f>IFERROR(VLOOKUP(M453,'02. MM-KLH'!$B$6:$T$823,2,0),"")</f>
        <v/>
      </c>
      <c r="V453" s="762" t="str">
        <f>IFERROR(VLOOKUP(M453,'02. MM-KLH'!$B$6:$T$823,8,0),"")</f>
        <v/>
      </c>
      <c r="W453" s="756"/>
      <c r="X453" s="756"/>
      <c r="Y453" s="756"/>
      <c r="Z453" s="762" t="str">
        <f>IFERROR(VLOOKUP(M453,'02. MM-KLH'!$B$6:$T$823,3,0),"")</f>
        <v/>
      </c>
      <c r="AA453" s="756"/>
      <c r="AB453" s="762"/>
      <c r="AC453" s="762"/>
    </row>
    <row r="454" ht="13.8" spans="1:29">
      <c r="A454" s="731"/>
      <c r="B454" s="613" t="str">
        <f>IFERROR(VLOOKUP(M454,'02. MM-KLH'!$B$6:$T$823,6,0),"")</f>
        <v>Xe tải THACO FRONTIER TF490</v>
      </c>
      <c r="C454" s="353">
        <v>1</v>
      </c>
      <c r="D454" s="353" t="str">
        <f>IFERROR(VLOOKUP(M454,'02. MM-KLH'!$B$6:$T$823,16,0),"")</f>
        <v>TF490</v>
      </c>
      <c r="E454" s="353" t="s">
        <v>5978</v>
      </c>
      <c r="F454" s="353"/>
      <c r="G454" s="353"/>
      <c r="H454" s="353" t="str">
        <f>IFERROR(VLOOKUP(M454,'02. MM-KLH'!$B$6:$T$823,17,0),"")</f>
        <v>107HP</v>
      </c>
      <c r="I454" s="763">
        <f>IFERROR(VLOOKUP(M454,'02. MM-KLH'!$B$6:$U$823,20,0),"")</f>
        <v>0.2</v>
      </c>
      <c r="J454" s="613" t="str">
        <f>IFERROR(VLOOKUP(M454,'02. MM-KLH'!$B$6:$T$823,19,0),"")</f>
        <v>JE493ZLQ4*37100377*</v>
      </c>
      <c r="K454" s="613" t="str">
        <f>IFERROR(VLOOKUP(M454,'02. MM-KLH'!$B$6:$T$823,18,0),"")</f>
        <v>RNHA49TZART082912</v>
      </c>
      <c r="L454" s="353">
        <f>IFERROR(VLOOKUP(M454,'02. MM-KLH'!$B$6:$T$823,4,0),"")</f>
        <v>0</v>
      </c>
      <c r="M454" s="49" t="s">
        <v>950</v>
      </c>
      <c r="N454" s="356">
        <f>IFERROR(VLOOKUP(M454,'02. MM-KLH'!$B$6:$T$823,15,0),"")</f>
        <v>2024</v>
      </c>
      <c r="O454" s="764">
        <f>IFERROR(VLOOKUP(M454,'02. MM-KLH'!$B$6:$T$823,9,0),"")</f>
        <v>46266</v>
      </c>
      <c r="P454" s="353">
        <v>20226</v>
      </c>
      <c r="Q454" s="353"/>
      <c r="R454" s="353" t="s">
        <v>5978</v>
      </c>
      <c r="S454" s="353"/>
      <c r="T454" s="353"/>
      <c r="U454" s="353" t="str">
        <f>IFERROR(VLOOKUP(M454,'02. MM-KLH'!$B$6:$T$823,5,0),"")</f>
        <v>MỚI</v>
      </c>
      <c r="V454" s="731" t="str">
        <f>IFERROR(VLOOKUP(M454,'02. MM-KLH'!$B$6:$T$823,8,0),"")</f>
        <v>CGLĐ DP</v>
      </c>
      <c r="W454" s="353" t="str">
        <f>IFERROR(VLOOKUP(V454,'NS QUẢN LÝ CG'!$A$4:$D$36,2,0),"")</f>
        <v>Nguyễn Tấn Triều</v>
      </c>
      <c r="X454" s="353" t="str">
        <f>IFERROR(VLOOKUP(V454,'NS QUẢN LÝ CG'!$A$4:$D$36,4,0),"")</f>
        <v>Lô 85 DP4</v>
      </c>
      <c r="Y454" s="1104" t="str">
        <f>IFERROR(VLOOKUP(V454,'NS QUẢN LÝ CG'!$A$4:$C$36,3,0),"")</f>
        <v>05974160290</v>
      </c>
      <c r="Z454" s="731" t="str">
        <f>IFERROR(VLOOKUP(M454,'02. MM-KLH'!$B$6:$T$823,3,0),"")</f>
        <v>A23-XTA-048</v>
      </c>
      <c r="AA454" s="353" t="str">
        <f t="shared" ref="AA454:AA458" si="29">_xlfn.SWITCH(LEFT(Z454,3),"A22","ADM","A23","DP","A24","LP","")</f>
        <v>DP</v>
      </c>
      <c r="AB454" s="731"/>
      <c r="AC454" s="731"/>
    </row>
    <row r="455" ht="13.8" spans="1:29">
      <c r="A455" s="731"/>
      <c r="B455" s="613" t="str">
        <f>IFERROR(VLOOKUP(M455,'02. MM-KLH'!$B$6:$T$823,6,0),"")</f>
        <v>Xe tải THACO FRONTIER TF490</v>
      </c>
      <c r="C455" s="353">
        <v>1</v>
      </c>
      <c r="D455" s="353" t="str">
        <f>IFERROR(VLOOKUP(M455,'02. MM-KLH'!$B$6:$T$823,16,0),"")</f>
        <v>TF490</v>
      </c>
      <c r="E455" s="353" t="s">
        <v>5978</v>
      </c>
      <c r="F455" s="353"/>
      <c r="G455" s="353"/>
      <c r="H455" s="353" t="str">
        <f>IFERROR(VLOOKUP(M455,'02. MM-KLH'!$B$6:$T$823,17,0),"")</f>
        <v>107HP</v>
      </c>
      <c r="I455" s="763">
        <f>IFERROR(VLOOKUP(M455,'02. MM-KLH'!$B$6:$U$823,20,0),"")</f>
        <v>0.2</v>
      </c>
      <c r="J455" s="613" t="str">
        <f>IFERROR(VLOOKUP(M455,'02. MM-KLH'!$B$6:$T$823,19,0),"")</f>
        <v>JE493ZLQ4*37100368*</v>
      </c>
      <c r="K455" s="613" t="str">
        <f>IFERROR(VLOOKUP(M455,'02. MM-KLH'!$B$6:$T$823,18,0),"")</f>
        <v>RNHA49TZART082919</v>
      </c>
      <c r="L455" s="353">
        <f>IFERROR(VLOOKUP(M455,'02. MM-KLH'!$B$6:$T$823,4,0),"")</f>
        <v>0</v>
      </c>
      <c r="M455" s="49" t="s">
        <v>1292</v>
      </c>
      <c r="N455" s="356">
        <f>IFERROR(VLOOKUP(M455,'02. MM-KLH'!$B$6:$T$823,15,0),"")</f>
        <v>2024</v>
      </c>
      <c r="O455" s="764">
        <f>IFERROR(VLOOKUP(M455,'02. MM-KLH'!$B$6:$T$823,9,0),"")</f>
        <v>46143</v>
      </c>
      <c r="P455" s="353">
        <v>13836</v>
      </c>
      <c r="Q455" s="353"/>
      <c r="R455" s="353" t="s">
        <v>5978</v>
      </c>
      <c r="S455" s="353"/>
      <c r="T455" s="353"/>
      <c r="U455" s="353" t="str">
        <f>IFERROR(VLOOKUP(M455,'02. MM-KLH'!$B$6:$T$823,5,0),"")</f>
        <v> MỚI</v>
      </c>
      <c r="V455" s="731" t="str">
        <f>IFERROR(VLOOKUP(M455,'02. MM-KLH'!$B$6:$T$823,8,0),"")</f>
        <v>XN Chuối DP2</v>
      </c>
      <c r="W455" s="353" t="str">
        <f>IFERROR(VLOOKUP(V455,'NS QUẢN LÝ CG'!$A$4:$D$36,2,0),"")</f>
        <v/>
      </c>
      <c r="X455" s="353" t="str">
        <f>IFERROR(VLOOKUP(V455,'NS QUẢN LÝ CG'!$A$4:$D$36,4,0),"")</f>
        <v/>
      </c>
      <c r="Y455" s="353" t="str">
        <f>IFERROR(VLOOKUP(V455,'NS QUẢN LÝ CG'!$A$4:$C$36,3,0),"")</f>
        <v/>
      </c>
      <c r="Z455" s="731" t="str">
        <f>IFERROR(VLOOKUP(M455,'02. MM-KLH'!$B$6:$T$823,3,0),"")</f>
        <v>A23-XTA-049</v>
      </c>
      <c r="AA455" s="353" t="str">
        <f t="shared" si="29"/>
        <v>DP</v>
      </c>
      <c r="AB455" s="731"/>
      <c r="AC455" s="731"/>
    </row>
    <row r="456" ht="13.8" spans="1:29">
      <c r="A456" s="731"/>
      <c r="B456" s="613" t="str">
        <f>IFERROR(VLOOKUP(M456,'02. MM-KLH'!$B$6:$T$823,6,0),"")</f>
        <v>Xe tải THACO FRONTIER TF700</v>
      </c>
      <c r="C456" s="353">
        <v>1</v>
      </c>
      <c r="D456" s="353" t="str">
        <f>IFERROR(VLOOKUP(M456,'02. MM-KLH'!$B$6:$T$823,16,0),"")</f>
        <v>TF700</v>
      </c>
      <c r="E456" s="353" t="s">
        <v>5978</v>
      </c>
      <c r="F456" s="353"/>
      <c r="G456" s="353"/>
      <c r="H456" s="353" t="str">
        <f>IFERROR(VLOOKUP(M456,'02. MM-KLH'!$B$6:$T$823,17,0),"")</f>
        <v>107HP</v>
      </c>
      <c r="I456" s="763">
        <f>IFERROR(VLOOKUP(M456,'02. MM-KLH'!$B$6:$U$823,20,0),"")</f>
        <v>0.2</v>
      </c>
      <c r="J456" s="613" t="str">
        <f>IFERROR(VLOOKUP(M456,'02. MM-KLH'!$B$6:$T$823,19,0),"")</f>
        <v>JE493ZLQ4*37100367*</v>
      </c>
      <c r="K456" s="613" t="str">
        <f>IFERROR(VLOOKUP(M456,'02. MM-KLH'!$B$6:$T$823,18,0),"")</f>
        <v>RNHA69TZAPT082910</v>
      </c>
      <c r="L456" s="353">
        <f>IFERROR(VLOOKUP(M456,'02. MM-KLH'!$B$6:$T$823,4,0),"")</f>
        <v>0</v>
      </c>
      <c r="M456" s="49" t="s">
        <v>1536</v>
      </c>
      <c r="N456" s="356">
        <f>IFERROR(VLOOKUP(M456,'02. MM-KLH'!$B$6:$T$823,15,0),"")</f>
        <v>2024</v>
      </c>
      <c r="O456" s="764" t="str">
        <f>IFERROR(VLOOKUP(M456,'02. MM-KLH'!$B$6:$T$823,9,0),"")</f>
        <v>26/01/2026</v>
      </c>
      <c r="P456" s="353">
        <v>45508</v>
      </c>
      <c r="Q456" s="353"/>
      <c r="R456" s="353" t="s">
        <v>5978</v>
      </c>
      <c r="S456" s="353"/>
      <c r="T456" s="353"/>
      <c r="U456" s="353" t="str">
        <f>IFERROR(VLOOKUP(M456,'02. MM-KLH'!$B$6:$T$823,5,0),"")</f>
        <v>MỚI</v>
      </c>
      <c r="V456" s="731" t="str">
        <f>IFERROR(VLOOKUP(M456,'02. MM-KLH'!$B$6:$T$823,8,0),"")</f>
        <v>XN Chuối LP1</v>
      </c>
      <c r="W456" s="353" t="str">
        <f>IFERROR(VLOOKUP(V456,'NS QUẢN LÝ CG'!$A$4:$D$36,2,0),"")</f>
        <v/>
      </c>
      <c r="X456" s="353" t="str">
        <f>IFERROR(VLOOKUP(V456,'NS QUẢN LÝ CG'!$A$4:$D$36,4,0),"")</f>
        <v/>
      </c>
      <c r="Y456" s="353" t="str">
        <f>IFERROR(VLOOKUP(V456,'NS QUẢN LÝ CG'!$A$4:$C$36,3,0),"")</f>
        <v/>
      </c>
      <c r="Z456" s="731" t="str">
        <f>IFERROR(VLOOKUP(M456,'02. MM-KLH'!$B$6:$T$823,3,0),"")</f>
        <v>A24-XTA-038</v>
      </c>
      <c r="AA456" s="353" t="str">
        <f t="shared" si="29"/>
        <v>LP</v>
      </c>
      <c r="AB456" s="731"/>
      <c r="AC456" s="731"/>
    </row>
    <row r="457" ht="13.8" spans="1:29">
      <c r="A457" s="731"/>
      <c r="B457" s="613" t="str">
        <f>IFERROR(VLOOKUP(M457,'02. MM-KLH'!$B$6:$T$823,6,0),"")</f>
        <v>Xe tải THACO FRONTIER TF490</v>
      </c>
      <c r="C457" s="353">
        <v>1</v>
      </c>
      <c r="D457" s="353" t="str">
        <f>IFERROR(VLOOKUP(M457,'02. MM-KLH'!$B$6:$T$823,16,0),"")</f>
        <v>TF490</v>
      </c>
      <c r="E457" s="353" t="s">
        <v>5978</v>
      </c>
      <c r="F457" s="353"/>
      <c r="G457" s="353"/>
      <c r="H457" s="353" t="str">
        <f>IFERROR(VLOOKUP(M457,'02. MM-KLH'!$B$6:$T$823,17,0),"")</f>
        <v>107HP</v>
      </c>
      <c r="I457" s="763">
        <f>IFERROR(VLOOKUP(M457,'02. MM-KLH'!$B$6:$U$823,20,0),"")</f>
        <v>0.2</v>
      </c>
      <c r="J457" s="613" t="str">
        <f>IFERROR(VLOOKUP(M457,'02. MM-KLH'!$B$6:$T$823,19,0),"")</f>
        <v>JE493ZLQ4*37100378*</v>
      </c>
      <c r="K457" s="613" t="str">
        <f>IFERROR(VLOOKUP(M457,'02. MM-KLH'!$B$6:$T$823,18,0),"")</f>
        <v>RNHA49TZART082920</v>
      </c>
      <c r="L457" s="353">
        <f>IFERROR(VLOOKUP(M457,'02. MM-KLH'!$B$6:$T$823,4,0),"")</f>
        <v>0</v>
      </c>
      <c r="M457" s="49" t="s">
        <v>1675</v>
      </c>
      <c r="N457" s="356">
        <f>IFERROR(VLOOKUP(M457,'02. MM-KLH'!$B$6:$T$823,15,0),"")</f>
        <v>2024</v>
      </c>
      <c r="O457" s="764">
        <f>IFERROR(VLOOKUP(M457,'02. MM-KLH'!$B$6:$T$823,9,0),"")</f>
        <v>46296</v>
      </c>
      <c r="P457" s="353" t="s">
        <v>1755</v>
      </c>
      <c r="Q457" s="353"/>
      <c r="R457" s="353" t="s">
        <v>5978</v>
      </c>
      <c r="S457" s="353"/>
      <c r="T457" s="353"/>
      <c r="U457" s="353" t="str">
        <f>IFERROR(VLOOKUP(M457,'02. MM-KLH'!$B$6:$T$823,5,0),"")</f>
        <v>MỚI</v>
      </c>
      <c r="V457" s="731" t="str">
        <f>IFERROR(VLOOKUP(M457,'02. MM-KLH'!$B$6:$T$823,8,0),"")</f>
        <v>XN Chuối LP3</v>
      </c>
      <c r="W457" s="353" t="str">
        <f>IFERROR(VLOOKUP(V457,'NS QUẢN LÝ CG'!$A$4:$D$36,2,0),"")</f>
        <v/>
      </c>
      <c r="X457" s="353" t="str">
        <f>IFERROR(VLOOKUP(V457,'NS QUẢN LÝ CG'!$A$4:$D$36,4,0),"")</f>
        <v/>
      </c>
      <c r="Y457" s="353" t="str">
        <f>IFERROR(VLOOKUP(V457,'NS QUẢN LÝ CG'!$A$4:$C$36,3,0),"")</f>
        <v/>
      </c>
      <c r="Z457" s="731" t="str">
        <f>IFERROR(VLOOKUP(M457,'02. MM-KLH'!$B$6:$T$823,3,0),"")</f>
        <v>A24-XTA-037</v>
      </c>
      <c r="AA457" s="353" t="str">
        <f t="shared" si="29"/>
        <v>LP</v>
      </c>
      <c r="AB457" s="731"/>
      <c r="AC457" s="731"/>
    </row>
    <row r="458" ht="13.8" spans="1:29">
      <c r="A458" s="731"/>
      <c r="B458" s="613" t="str">
        <f>IFERROR(VLOOKUP(M458,'02. MM-KLH'!$B$6:$T$823,6,0),"")</f>
        <v>Xe tải THACO FRONTIER TF490</v>
      </c>
      <c r="C458" s="353">
        <v>1</v>
      </c>
      <c r="D458" s="353" t="str">
        <f>IFERROR(VLOOKUP(M458,'02. MM-KLH'!$B$6:$T$823,16,0),"")</f>
        <v>TF490</v>
      </c>
      <c r="E458" s="353" t="s">
        <v>5978</v>
      </c>
      <c r="F458" s="353"/>
      <c r="G458" s="353"/>
      <c r="H458" s="353" t="str">
        <f>IFERROR(VLOOKUP(M458,'02. MM-KLH'!$B$6:$T$823,17,0),"")</f>
        <v>107HP</v>
      </c>
      <c r="I458" s="763">
        <f>IFERROR(VLOOKUP(M458,'02. MM-KLH'!$B$6:$U$823,20,0),"")</f>
        <v>0</v>
      </c>
      <c r="J458" s="613" t="str">
        <f>IFERROR(VLOOKUP(M458,'02. MM-KLH'!$B$6:$T$823,19,0),"")</f>
        <v>JE493ZLQ4*33102790*</v>
      </c>
      <c r="K458" s="613" t="str">
        <f>IFERROR(VLOOKUP(M458,'02. MM-KLH'!$B$6:$T$823,18,0),"")</f>
        <v>RNHA49TZART051060</v>
      </c>
      <c r="L458" s="353">
        <f>IFERROR(VLOOKUP(M458,'02. MM-KLH'!$B$6:$T$823,4,0),"")</f>
        <v>0</v>
      </c>
      <c r="M458" s="49" t="s">
        <v>2847</v>
      </c>
      <c r="N458" s="356">
        <f>IFERROR(VLOOKUP(M458,'02. MM-KLH'!$B$6:$T$823,15,0),"")</f>
        <v>2024</v>
      </c>
      <c r="O458" s="764">
        <f>IFERROR(VLOOKUP(M458,'02. MM-KLH'!$B$6:$T$823,9,0),"")</f>
        <v>46114</v>
      </c>
      <c r="P458" s="353">
        <v>3071</v>
      </c>
      <c r="Q458" s="353"/>
      <c r="R458" s="353" t="s">
        <v>5978</v>
      </c>
      <c r="S458" s="353"/>
      <c r="T458" s="353"/>
      <c r="U458" s="353" t="str">
        <f>IFERROR(VLOOKUP(M458,'02. MM-KLH'!$B$6:$T$823,5,0),"")</f>
        <v>MỚI</v>
      </c>
      <c r="V458" s="731" t="str">
        <f>IFERROR(VLOOKUP(M458,'02. MM-KLH'!$B$6:$T$823,8,0),"")</f>
        <v>HÀNH CHÍNH KLH</v>
      </c>
      <c r="W458" s="353" t="str">
        <f>IFERROR(VLOOKUP(V458,'NS QUẢN LÝ CG'!$A$4:$D$36,2,0),"")</f>
        <v>Lê Trần Hoàng Minh</v>
      </c>
      <c r="X458" s="353" t="str">
        <f>IFERROR(VLOOKUP(V458,'NS QUẢN LÝ CG'!$A$4:$D$36,4,0),"")</f>
        <v>Văn Phòng 94</v>
      </c>
      <c r="Y458" s="1104" t="str">
        <f>IFERROR(VLOOKUP(V458,'NS QUẢN LÝ CG'!$A$4:$C$36,3,0),"")</f>
        <v>0965509539</v>
      </c>
      <c r="Z458" s="731" t="str">
        <f>IFERROR(VLOOKUP(M458,'02. MM-KLH'!$B$6:$T$823,3,0),"")</f>
        <v>A23-XTA-047</v>
      </c>
      <c r="AA458" s="353" t="str">
        <f t="shared" si="29"/>
        <v>DP</v>
      </c>
      <c r="AB458" s="731"/>
      <c r="AC458" s="731"/>
    </row>
    <row r="459" ht="13.8" spans="1:29">
      <c r="A459" s="731"/>
      <c r="B459" s="613" t="str">
        <f>IFERROR(VLOOKUP(M459,'02. MM-KLH'!$B$6:$T$823,6,0),"")</f>
        <v>Xe tải Frontier TF2800</v>
      </c>
      <c r="C459" s="353">
        <v>1</v>
      </c>
      <c r="D459" s="353" t="str">
        <f>IFERROR(VLOOKUP(M459,'02. MM-KLH'!$B$6:$T$823,16,0),"")</f>
        <v>TF2800</v>
      </c>
      <c r="E459" s="353" t="s">
        <v>5978</v>
      </c>
      <c r="F459" s="353"/>
      <c r="G459" s="353"/>
      <c r="H459" s="353" t="str">
        <f>IFERROR(VLOOKUP(M459,'02. MM-KLH'!$B$6:$T$823,17,0),"")</f>
        <v>100HP</v>
      </c>
      <c r="I459" s="763">
        <f>IFERROR(VLOOKUP(M459,'02. MM-KLH'!$B$6:$U$823,20,0),"")</f>
        <v>0</v>
      </c>
      <c r="J459" s="613">
        <f>IFERROR(VLOOKUP(M459,'02. MM-KLH'!$B$6:$T$823,19,0),"")</f>
        <v>0</v>
      </c>
      <c r="K459" s="613">
        <f>IFERROR(VLOOKUP(M459,'02. MM-KLH'!$B$6:$T$823,18,0),"")</f>
        <v>0</v>
      </c>
      <c r="L459" s="353">
        <f>IFERROR(VLOOKUP(M459,'02. MM-KLH'!$B$6:$T$823,4,0),"")</f>
        <v>0</v>
      </c>
      <c r="M459" s="49" t="s">
        <v>2863</v>
      </c>
      <c r="N459" s="356">
        <f>IFERROR(VLOOKUP(M459,'02. MM-KLH'!$B$6:$T$823,15,0),"")</f>
        <v>0</v>
      </c>
      <c r="O459" s="764" t="str">
        <f>IFERROR(VLOOKUP(M459,'02. MM-KLH'!$B$6:$T$823,9,0),"")</f>
        <v>Mới </v>
      </c>
      <c r="P459" s="353" t="s">
        <v>1755</v>
      </c>
      <c r="Q459" s="353"/>
      <c r="R459" s="353" t="s">
        <v>5978</v>
      </c>
      <c r="S459" s="353"/>
      <c r="T459" s="353"/>
      <c r="U459" s="353" t="str">
        <f>IFERROR(VLOOKUP(M459,'02. MM-KLH'!$B$6:$T$823,5,0),"")</f>
        <v>ĐQSD</v>
      </c>
      <c r="V459" s="731" t="str">
        <f>IFERROR(VLOOKUP(M459,'02. MM-KLH'!$B$6:$T$823,8,0),"")</f>
        <v>Thadicons A&amp;I</v>
      </c>
      <c r="W459" s="353">
        <f>IFERROR(VLOOKUP(V459,'NS QUẢN LÝ CG'!$A$4:$D$36,2,0),"")</f>
        <v>0</v>
      </c>
      <c r="X459" s="353">
        <f>IFERROR(VLOOKUP(V459,'NS QUẢN LÝ CG'!$A$4:$D$36,4,0),"")</f>
        <v>0</v>
      </c>
      <c r="Y459" s="353">
        <f>IFERROR(VLOOKUP(V459,'NS QUẢN LÝ CG'!$A$4:$C$36,3,0),"")</f>
        <v>0</v>
      </c>
      <c r="Z459" s="731" t="str">
        <f>IFERROR(VLOOKUP(M459,'02. MM-KLH'!$B$6:$T$823,3,0),"")</f>
        <v>-</v>
      </c>
      <c r="AA459" s="353"/>
      <c r="AB459" s="731"/>
      <c r="AC459" s="731"/>
    </row>
    <row r="460" ht="13.8" spans="1:29">
      <c r="A460" s="731"/>
      <c r="B460" s="613" t="str">
        <f>IFERROR(VLOOKUP(M460,'02. MM-KLH'!$B$6:$T$823,6,0),"")</f>
        <v>Xe tải Van THACO FRONTIER TF420-5S</v>
      </c>
      <c r="C460" s="353">
        <v>1</v>
      </c>
      <c r="D460" s="353" t="str">
        <f>IFERROR(VLOOKUP(M460,'02. MM-KLH'!$B$6:$T$823,16,0),"")</f>
        <v>TF420</v>
      </c>
      <c r="E460" s="353" t="s">
        <v>5978</v>
      </c>
      <c r="F460" s="353"/>
      <c r="G460" s="353"/>
      <c r="H460" s="353" t="str">
        <f>IFERROR(VLOOKUP(M460,'02. MM-KLH'!$B$6:$T$823,17,0),"")</f>
        <v>100HP</v>
      </c>
      <c r="I460" s="763">
        <f>IFERROR(VLOOKUP(M460,'02. MM-KLH'!$B$6:$U$823,20,0),"")</f>
        <v>0</v>
      </c>
      <c r="J460" s="613">
        <f>IFERROR(VLOOKUP(M460,'02. MM-KLH'!$B$6:$T$823,19,0),"")</f>
        <v>0</v>
      </c>
      <c r="K460" s="613">
        <f>IFERROR(VLOOKUP(M460,'02. MM-KLH'!$B$6:$T$823,18,0),"")</f>
        <v>0</v>
      </c>
      <c r="L460" s="353">
        <f>IFERROR(VLOOKUP(M460,'02. MM-KLH'!$B$6:$T$823,4,0),"")</f>
        <v>0</v>
      </c>
      <c r="M460" s="49" t="s">
        <v>2866</v>
      </c>
      <c r="N460" s="356">
        <f>IFERROR(VLOOKUP(M460,'02. MM-KLH'!$B$6:$T$823,15,0),"")</f>
        <v>0</v>
      </c>
      <c r="O460" s="764" t="str">
        <f>IFERROR(VLOOKUP(M460,'02. MM-KLH'!$B$6:$T$823,9,0),"")</f>
        <v>Đã qua sử dụng</v>
      </c>
      <c r="P460" s="353" t="s">
        <v>1755</v>
      </c>
      <c r="Q460" s="353"/>
      <c r="R460" s="353" t="s">
        <v>5978</v>
      </c>
      <c r="S460" s="353"/>
      <c r="T460" s="353"/>
      <c r="U460" s="353" t="str">
        <f>IFERROR(VLOOKUP(M460,'02. MM-KLH'!$B$6:$T$823,5,0),"")</f>
        <v>ĐQSD</v>
      </c>
      <c r="V460" s="731" t="str">
        <f>IFERROR(VLOOKUP(M460,'02. MM-KLH'!$B$6:$T$823,8,0),"")</f>
        <v>Thadicons A&amp;I</v>
      </c>
      <c r="W460" s="353">
        <f>IFERROR(VLOOKUP(V460,'NS QUẢN LÝ CG'!$A$4:$D$36,2,0),"")</f>
        <v>0</v>
      </c>
      <c r="X460" s="353">
        <f>IFERROR(VLOOKUP(V460,'NS QUẢN LÝ CG'!$A$4:$D$36,4,0),"")</f>
        <v>0</v>
      </c>
      <c r="Y460" s="353">
        <f>IFERROR(VLOOKUP(V460,'NS QUẢN LÝ CG'!$A$4:$C$36,3,0),"")</f>
        <v>0</v>
      </c>
      <c r="Z460" s="731" t="str">
        <f>IFERROR(VLOOKUP(M460,'02. MM-KLH'!$B$6:$T$823,3,0),"")</f>
        <v>-</v>
      </c>
      <c r="AA460" s="353"/>
      <c r="AB460" s="731"/>
      <c r="AC460" s="731"/>
    </row>
    <row r="461" ht="13.8" spans="1:29">
      <c r="A461" s="731"/>
      <c r="B461" s="613"/>
      <c r="C461" s="353"/>
      <c r="D461" s="353"/>
      <c r="E461" s="353"/>
      <c r="F461" s="353"/>
      <c r="G461" s="353"/>
      <c r="H461" s="353"/>
      <c r="I461" s="763"/>
      <c r="J461" s="613"/>
      <c r="K461" s="613"/>
      <c r="L461" s="353"/>
      <c r="M461" s="49"/>
      <c r="N461" s="356"/>
      <c r="O461" s="764"/>
      <c r="P461" s="353"/>
      <c r="Q461" s="353"/>
      <c r="R461" s="353"/>
      <c r="S461" s="353"/>
      <c r="T461" s="353"/>
      <c r="U461" s="353"/>
      <c r="V461" s="731"/>
      <c r="W461" s="353" t="str">
        <f>IFERROR(VLOOKUP(V461,'NS QUẢN LÝ CG'!$A$4:$D$36,2,0),"")</f>
        <v/>
      </c>
      <c r="X461" s="353" t="str">
        <f>IFERROR(VLOOKUP(V461,'NS QUẢN LÝ CG'!$A$4:$D$36,4,0),"")</f>
        <v/>
      </c>
      <c r="Y461" s="353"/>
      <c r="Z461" s="731"/>
      <c r="AA461" s="353"/>
      <c r="AB461" s="731"/>
      <c r="AC461" s="731"/>
    </row>
    <row r="462" ht="13.8" hidden="1" spans="1:29">
      <c r="A462" s="731"/>
      <c r="B462" s="613"/>
      <c r="C462" s="353"/>
      <c r="D462" s="353"/>
      <c r="E462" s="353"/>
      <c r="F462" s="353"/>
      <c r="G462" s="353"/>
      <c r="H462" s="353"/>
      <c r="I462" s="763"/>
      <c r="J462" s="613"/>
      <c r="K462" s="613"/>
      <c r="L462" s="353"/>
      <c r="M462" s="49"/>
      <c r="N462" s="356"/>
      <c r="O462" s="764"/>
      <c r="P462" s="353"/>
      <c r="Q462" s="353"/>
      <c r="R462" s="353"/>
      <c r="S462" s="353"/>
      <c r="T462" s="353"/>
      <c r="U462" s="353"/>
      <c r="V462" s="731"/>
      <c r="W462" s="353"/>
      <c r="X462" s="353"/>
      <c r="Y462" s="353"/>
      <c r="Z462" s="731"/>
      <c r="AA462" s="353"/>
      <c r="AB462" s="731"/>
      <c r="AC462" s="731"/>
    </row>
    <row r="463" ht="13.8" hidden="1" spans="1:29">
      <c r="A463" s="731"/>
      <c r="B463" s="613" t="str">
        <f>IFERROR(VLOOKUP(M463,'02. MM-KLH'!$B$6:$T$823,6,0),"")</f>
        <v/>
      </c>
      <c r="C463" s="353"/>
      <c r="D463" s="353" t="str">
        <f>IFERROR(VLOOKUP(M463,'02. MM-KLH'!$B$6:$T$823,16,0),"")</f>
        <v/>
      </c>
      <c r="E463" s="353"/>
      <c r="F463" s="353"/>
      <c r="G463" s="353"/>
      <c r="H463" s="353" t="str">
        <f>IFERROR(VLOOKUP(M463,'02. MM-KLH'!$B$6:$T$823,17,0),"")</f>
        <v/>
      </c>
      <c r="I463" s="763" t="str">
        <f>IFERROR(VLOOKUP(M463,'02. MM-KLH'!$B$6:$U$823,20,0),"")</f>
        <v/>
      </c>
      <c r="J463" s="613" t="str">
        <f>IFERROR(VLOOKUP(M463,'02. MM-KLH'!$B$6:$T$823,19,0),"")</f>
        <v/>
      </c>
      <c r="K463" s="613" t="str">
        <f>IFERROR(VLOOKUP(M463,'02. MM-KLH'!$B$6:$T$823,18,0),"")</f>
        <v/>
      </c>
      <c r="L463" s="353" t="str">
        <f>IFERROR(VLOOKUP(M463,'02. MM-KLH'!$B$6:$T$823,4,0),"")</f>
        <v/>
      </c>
      <c r="M463" s="49"/>
      <c r="N463" s="356" t="str">
        <f>IFERROR(VLOOKUP(M463,'02. MM-KLH'!$B$6:$T$823,15,0),"")</f>
        <v/>
      </c>
      <c r="O463" s="764" t="str">
        <f>IFERROR(VLOOKUP(M463,'02. MM-KLH'!$B$6:$T$823,9,0),"")</f>
        <v/>
      </c>
      <c r="P463" s="353"/>
      <c r="Q463" s="353"/>
      <c r="R463" s="353"/>
      <c r="S463" s="353"/>
      <c r="T463" s="353"/>
      <c r="U463" s="353" t="str">
        <f>IFERROR(VLOOKUP(M463,'02. MM-KLH'!$B$6:$T$823,2,0),"")</f>
        <v/>
      </c>
      <c r="V463" s="731" t="str">
        <f>IFERROR(VLOOKUP(M463,'02. MM-KLH'!$B$6:$T$823,8,0),"")</f>
        <v/>
      </c>
      <c r="W463" s="353"/>
      <c r="X463" s="353"/>
      <c r="Y463" s="353"/>
      <c r="Z463" s="731" t="str">
        <f>IFERROR(VLOOKUP(M463,'02. MM-KLH'!$B$6:$T$823,3,0),"")</f>
        <v/>
      </c>
      <c r="AA463" s="353"/>
      <c r="AB463" s="731"/>
      <c r="AC463" s="731"/>
    </row>
    <row r="464" ht="13.8" spans="1:29">
      <c r="A464" s="754">
        <v>4</v>
      </c>
      <c r="B464" s="755" t="s">
        <v>1164</v>
      </c>
      <c r="C464" s="754">
        <f>COUNTA(B465:B471)</f>
        <v>7</v>
      </c>
      <c r="D464" s="756" t="str">
        <f>IFERROR(VLOOKUP(M464,'02. MM-KLH'!$B$6:$T$823,16,0),"")</f>
        <v/>
      </c>
      <c r="E464" s="756"/>
      <c r="F464" s="756"/>
      <c r="G464" s="756"/>
      <c r="H464" s="762" t="str">
        <f>IFERROR(VLOOKUP(M464,'02. MM-KLH'!$B$6:$T$823,17,0),"")</f>
        <v/>
      </c>
      <c r="I464" s="762" t="str">
        <f>IFERROR(VLOOKUP(M464,'02. MM-KLH'!$B$6:$U$823,20,0),"")</f>
        <v/>
      </c>
      <c r="J464" s="758" t="str">
        <f>IFERROR(VLOOKUP(M464,'02. MM-KLH'!$B$6:$T$823,19,0),"")</f>
        <v/>
      </c>
      <c r="K464" s="758" t="str">
        <f>IFERROR(VLOOKUP(M464,'02. MM-KLH'!$B$6:$T$823,18,0),"")</f>
        <v/>
      </c>
      <c r="L464" s="756" t="str">
        <f>IFERROR(VLOOKUP(M464,'02. MM-KLH'!$B$6:$T$823,4,0),"")</f>
        <v/>
      </c>
      <c r="M464" s="756"/>
      <c r="N464" s="756" t="str">
        <f>IFERROR(VLOOKUP(M464,'02. MM-KLH'!$B$6:$T$823,15,0),"")</f>
        <v/>
      </c>
      <c r="O464" s="760" t="str">
        <f>IFERROR(VLOOKUP(M464,'02. MM-KLH'!$B$6:$T$823,9,0),"")</f>
        <v/>
      </c>
      <c r="P464" s="756"/>
      <c r="Q464" s="756"/>
      <c r="R464" s="756"/>
      <c r="S464" s="756"/>
      <c r="T464" s="756"/>
      <c r="U464" s="756" t="str">
        <f>IFERROR(VLOOKUP(M464,'02. MM-KLH'!$B$6:$T$823,2,0),"")</f>
        <v/>
      </c>
      <c r="V464" s="762" t="str">
        <f>IFERROR(VLOOKUP(M464,'02. MM-KLH'!$B$6:$T$823,8,0),"")</f>
        <v/>
      </c>
      <c r="W464" s="756"/>
      <c r="X464" s="756"/>
      <c r="Y464" s="756"/>
      <c r="Z464" s="762" t="str">
        <f>IFERROR(VLOOKUP(M464,'02. MM-KLH'!$B$6:$T$823,3,0),"")</f>
        <v/>
      </c>
      <c r="AA464" s="756"/>
      <c r="AB464" s="762"/>
      <c r="AC464" s="762"/>
    </row>
    <row r="465" ht="13.8" spans="1:29">
      <c r="A465" s="731"/>
      <c r="B465" s="613" t="str">
        <f>IFERROR(VLOOKUP(M465,'02. MM-KLH'!$B$6:$T$823,6,0),"")</f>
        <v>Xe tải KOZUN</v>
      </c>
      <c r="C465" s="353">
        <v>1</v>
      </c>
      <c r="D465" s="353">
        <f>IFERROR(VLOOKUP(M465,'02. MM-KLH'!$B$6:$T$823,16,0),"")</f>
        <v>0</v>
      </c>
      <c r="E465" s="353" t="s">
        <v>5978</v>
      </c>
      <c r="F465" s="353"/>
      <c r="G465" s="353"/>
      <c r="H465" s="353" t="str">
        <f>IFERROR(VLOOKUP(M465,'02. MM-KLH'!$B$6:$T$823,17,0),"")</f>
        <v>60HP</v>
      </c>
      <c r="I465" s="763">
        <f>IFERROR(VLOOKUP(M465,'02. MM-KLH'!$B$6:$U$823,20,0),"")</f>
        <v>2</v>
      </c>
      <c r="J465" s="613" t="str">
        <f>IFERROR(VLOOKUP(M465,'02. MM-KLH'!$B$6:$T$823,19,0),"")</f>
        <v>CCN</v>
      </c>
      <c r="K465" s="613">
        <f>IFERROR(VLOOKUP(M465,'02. MM-KLH'!$B$6:$T$823,18,0),"")</f>
        <v>113819</v>
      </c>
      <c r="L465" s="353">
        <f>IFERROR(VLOOKUP(M465,'02. MM-KLH'!$B$6:$T$823,4,0),"")</f>
        <v>0</v>
      </c>
      <c r="M465" s="49" t="s">
        <v>1162</v>
      </c>
      <c r="N465" s="356">
        <f>IFERROR(VLOOKUP(M465,'02. MM-KLH'!$B$6:$T$823,15,0),"")</f>
        <v>0</v>
      </c>
      <c r="O465" s="764">
        <f>IFERROR(VLOOKUP(M465,'02. MM-KLH'!$B$6:$T$823,9,0),"")</f>
        <v>0</v>
      </c>
      <c r="P465" s="353" t="s">
        <v>1755</v>
      </c>
      <c r="Q465" s="353" t="s">
        <v>1755</v>
      </c>
      <c r="R465" s="353"/>
      <c r="S465" s="353" t="s">
        <v>5978</v>
      </c>
      <c r="T465" s="353"/>
      <c r="U465" s="353" t="str">
        <f>IFERROR(VLOOKUP(M465,'02. MM-KLH'!$B$6:$T$823,5,0),"")</f>
        <v>ĐQSD</v>
      </c>
      <c r="V465" s="731" t="str">
        <f>IFERROR(VLOOKUP(M465,'02. MM-KLH'!$B$6:$T$823,8,0),"")</f>
        <v>XN Chuối DP1</v>
      </c>
      <c r="W465" s="353" t="str">
        <f>IFERROR(VLOOKUP(V465,'NS QUẢN LÝ CG'!$A$4:$D$36,2,0),"")</f>
        <v/>
      </c>
      <c r="X465" s="353" t="str">
        <f>IFERROR(VLOOKUP(V465,'NS QUẢN LÝ CG'!$A$4:$D$36,4,0),"")</f>
        <v/>
      </c>
      <c r="Y465" s="353" t="str">
        <f>IFERROR(VLOOKUP(V465,'NS QUẢN LÝ CG'!$A$4:$C$36,3,0),"")</f>
        <v/>
      </c>
      <c r="Z465" s="731" t="str">
        <f>IFERROR(VLOOKUP(M465,'02. MM-KLH'!$B$6:$T$823,3,0),"")</f>
        <v>A23-XTA-008</v>
      </c>
      <c r="AA465" s="353" t="str">
        <f t="shared" ref="AA465:AA466" si="30">_xlfn.SWITCH(LEFT(Z465,3),"A22","ADM","A23","DP","A24","LP","")</f>
        <v>DP</v>
      </c>
      <c r="AB465" s="731"/>
      <c r="AC465" s="731"/>
    </row>
    <row r="466" ht="13.8" spans="1:29">
      <c r="A466" s="731"/>
      <c r="B466" s="613" t="str">
        <f>IFERROR(VLOOKUP(M466,'02. MM-KLH'!$B$6:$T$823,6,0),"")</f>
        <v>Xe tải KOZUN</v>
      </c>
      <c r="C466" s="353">
        <v>1</v>
      </c>
      <c r="D466" s="353">
        <f>IFERROR(VLOOKUP(M466,'02. MM-KLH'!$B$6:$T$823,16,0),"")</f>
        <v>0</v>
      </c>
      <c r="E466" s="353" t="s">
        <v>5978</v>
      </c>
      <c r="F466" s="353"/>
      <c r="G466" s="353"/>
      <c r="H466" s="353" t="str">
        <f>IFERROR(VLOOKUP(M466,'02. MM-KLH'!$B$6:$T$823,17,0),"")</f>
        <v>60HP</v>
      </c>
      <c r="I466" s="763">
        <f>IFERROR(VLOOKUP(M466,'02. MM-KLH'!$B$6:$U$823,20,0),"")</f>
        <v>2</v>
      </c>
      <c r="J466" s="613" t="str">
        <f>IFERROR(VLOOKUP(M466,'02. MM-KLH'!$B$6:$T$823,19,0),"")</f>
        <v>CCN</v>
      </c>
      <c r="K466" s="613">
        <f>IFERROR(VLOOKUP(M466,'02. MM-KLH'!$B$6:$T$823,18,0),"")</f>
        <v>78504</v>
      </c>
      <c r="L466" s="353">
        <f>IFERROR(VLOOKUP(M466,'02. MM-KLH'!$B$6:$T$823,4,0),"")</f>
        <v>0</v>
      </c>
      <c r="M466" s="49" t="s">
        <v>1166</v>
      </c>
      <c r="N466" s="356">
        <f>IFERROR(VLOOKUP(M466,'02. MM-KLH'!$B$6:$T$823,15,0),"")</f>
        <v>0</v>
      </c>
      <c r="O466" s="764" t="str">
        <f>IFERROR(VLOOKUP(M466,'02. MM-KLH'!$B$6:$T$823,9,0),"")</f>
        <v>13/05/2024</v>
      </c>
      <c r="P466" s="353" t="s">
        <v>1755</v>
      </c>
      <c r="Q466" s="353" t="s">
        <v>1755</v>
      </c>
      <c r="R466" s="353"/>
      <c r="S466" s="353" t="s">
        <v>5978</v>
      </c>
      <c r="T466" s="353"/>
      <c r="U466" s="353" t="str">
        <f>IFERROR(VLOOKUP(M466,'02. MM-KLH'!$B$6:$T$823,5,0),"")</f>
        <v>ĐQSD</v>
      </c>
      <c r="V466" s="731" t="str">
        <f>IFERROR(VLOOKUP(M466,'02. MM-KLH'!$B$6:$T$823,8,0),"")</f>
        <v>XN Chuối DP1</v>
      </c>
      <c r="W466" s="353" t="str">
        <f>IFERROR(VLOOKUP(V466,'NS QUẢN LÝ CG'!$A$4:$D$36,2,0),"")</f>
        <v/>
      </c>
      <c r="X466" s="353" t="str">
        <f>IFERROR(VLOOKUP(V466,'NS QUẢN LÝ CG'!$A$4:$D$36,4,0),"")</f>
        <v/>
      </c>
      <c r="Y466" s="353" t="str">
        <f>IFERROR(VLOOKUP(V466,'NS QUẢN LÝ CG'!$A$4:$C$36,3,0),"")</f>
        <v/>
      </c>
      <c r="Z466" s="731" t="str">
        <f>IFERROR(VLOOKUP(M466,'02. MM-KLH'!$B$6:$T$823,3,0),"")</f>
        <v>A23-XTA-009</v>
      </c>
      <c r="AA466" s="353" t="str">
        <f t="shared" si="30"/>
        <v>DP</v>
      </c>
      <c r="AB466" s="731"/>
      <c r="AC466" s="731"/>
    </row>
    <row r="467" ht="13.8" spans="1:29">
      <c r="A467" s="731"/>
      <c r="B467" s="613" t="str">
        <f>IFERROR(VLOOKUP(M467,'02. MM-KLH'!$B$6:$T$823,6,0),"")</f>
        <v>Xe tải KOZUN</v>
      </c>
      <c r="C467" s="353">
        <v>1</v>
      </c>
      <c r="D467" s="353">
        <f>IFERROR(VLOOKUP(M467,'02. MM-KLH'!$B$6:$T$823,16,0),"")</f>
        <v>0</v>
      </c>
      <c r="E467" s="353" t="s">
        <v>5978</v>
      </c>
      <c r="F467" s="353"/>
      <c r="G467" s="353"/>
      <c r="H467" s="353" t="str">
        <f>IFERROR(VLOOKUP(M467,'02. MM-KLH'!$B$6:$T$823,17,0),"")</f>
        <v>60HP</v>
      </c>
      <c r="I467" s="763">
        <f>IFERROR(VLOOKUP(M467,'02. MM-KLH'!$B$6:$U$823,20,0),"")</f>
        <v>2</v>
      </c>
      <c r="J467" s="613" t="str">
        <f>IFERROR(VLOOKUP(M467,'02. MM-KLH'!$B$6:$T$823,19,0),"")</f>
        <v>CCN</v>
      </c>
      <c r="K467" s="613">
        <f>IFERROR(VLOOKUP(M467,'02. MM-KLH'!$B$6:$T$823,18,0),"")</f>
        <v>29823</v>
      </c>
      <c r="L467" s="353">
        <f>IFERROR(VLOOKUP(M467,'02. MM-KLH'!$B$6:$T$823,4,0),"")</f>
        <v>0</v>
      </c>
      <c r="M467" s="49" t="s">
        <v>1543</v>
      </c>
      <c r="N467" s="356">
        <f>IFERROR(VLOOKUP(M467,'02. MM-KLH'!$B$6:$T$823,15,0),"")</f>
        <v>0</v>
      </c>
      <c r="O467" s="764">
        <f>IFERROR(VLOOKUP(M467,'02. MM-KLH'!$B$6:$T$823,9,0),"")</f>
        <v>41651</v>
      </c>
      <c r="P467" s="353" t="s">
        <v>1755</v>
      </c>
      <c r="Q467" s="353" t="s">
        <v>1755</v>
      </c>
      <c r="R467" s="353"/>
      <c r="S467" s="353" t="s">
        <v>5978</v>
      </c>
      <c r="T467" s="353"/>
      <c r="U467" s="353" t="str">
        <f>IFERROR(VLOOKUP(M467,'02. MM-KLH'!$B$6:$T$823,5,0),"")</f>
        <v>ĐQSD</v>
      </c>
      <c r="V467" s="731" t="str">
        <f>IFERROR(VLOOKUP(M467,'02. MM-KLH'!$B$6:$T$823,8,0),"")</f>
        <v>XN Chuối LP1</v>
      </c>
      <c r="W467" s="353" t="str">
        <f>IFERROR(VLOOKUP(V467,'NS QUẢN LÝ CG'!$A$4:$D$36,2,0),"")</f>
        <v/>
      </c>
      <c r="X467" s="353" t="str">
        <f>IFERROR(VLOOKUP(V467,'NS QUẢN LÝ CG'!$A$4:$D$36,4,0),"")</f>
        <v/>
      </c>
      <c r="Y467" s="353" t="str">
        <f>IFERROR(VLOOKUP(V467,'NS QUẢN LÝ CG'!$A$4:$C$36,3,0),"")</f>
        <v/>
      </c>
      <c r="Z467" s="731" t="str">
        <f>IFERROR(VLOOKUP(M467,'02. MM-KLH'!$B$6:$T$823,3,0),"")</f>
        <v>ATT-A22-0017</v>
      </c>
      <c r="AA467" s="353" t="s">
        <v>5980</v>
      </c>
      <c r="AB467" s="731"/>
      <c r="AC467" s="731"/>
    </row>
    <row r="468" ht="13.8" spans="1:29">
      <c r="A468" s="731"/>
      <c r="B468" s="613" t="str">
        <f>IFERROR(VLOOKUP(M468,'02. MM-KLH'!$B$6:$T$823,6,0),"")</f>
        <v>Xe tải KOZUN</v>
      </c>
      <c r="C468" s="353">
        <v>1</v>
      </c>
      <c r="D468" s="353">
        <f>IFERROR(VLOOKUP(M468,'02. MM-KLH'!$B$6:$T$823,16,0),"")</f>
        <v>0</v>
      </c>
      <c r="E468" s="353" t="s">
        <v>5978</v>
      </c>
      <c r="F468" s="353"/>
      <c r="G468" s="353"/>
      <c r="H468" s="353" t="str">
        <f>IFERROR(VLOOKUP(M468,'02. MM-KLH'!$B$6:$T$823,17,0),"")</f>
        <v>60HP</v>
      </c>
      <c r="I468" s="763">
        <f>IFERROR(VLOOKUP(M468,'02. MM-KLH'!$B$6:$U$823,20,0),"")</f>
        <v>2</v>
      </c>
      <c r="J468" s="613" t="str">
        <f>IFERROR(VLOOKUP(M468,'02. MM-KLH'!$B$6:$T$823,19,0),"")</f>
        <v>CCN</v>
      </c>
      <c r="K468" s="613">
        <f>IFERROR(VLOOKUP(M468,'02. MM-KLH'!$B$6:$T$823,18,0),"")</f>
        <v>101437</v>
      </c>
      <c r="L468" s="353">
        <f>IFERROR(VLOOKUP(M468,'02. MM-KLH'!$B$6:$T$823,4,0),"")</f>
        <v>0</v>
      </c>
      <c r="M468" s="49" t="s">
        <v>1547</v>
      </c>
      <c r="N468" s="356">
        <f>IFERROR(VLOOKUP(M468,'02. MM-KLH'!$B$6:$T$823,15,0),"")</f>
        <v>0</v>
      </c>
      <c r="O468" s="764">
        <f>IFERROR(VLOOKUP(M468,'02. MM-KLH'!$B$6:$T$823,9,0),"")</f>
        <v>41651</v>
      </c>
      <c r="P468" s="353" t="s">
        <v>1755</v>
      </c>
      <c r="Q468" s="353" t="s">
        <v>1755</v>
      </c>
      <c r="R468" s="353"/>
      <c r="S468" s="353" t="s">
        <v>5978</v>
      </c>
      <c r="T468" s="353"/>
      <c r="U468" s="353" t="str">
        <f>IFERROR(VLOOKUP(M468,'02. MM-KLH'!$B$6:$T$823,5,0),"")</f>
        <v>ĐQSD</v>
      </c>
      <c r="V468" s="731" t="str">
        <f>IFERROR(VLOOKUP(M468,'02. MM-KLH'!$B$6:$T$823,8,0),"")</f>
        <v>XN Chuối LP1</v>
      </c>
      <c r="W468" s="353" t="str">
        <f>IFERROR(VLOOKUP(V468,'NS QUẢN LÝ CG'!$A$4:$D$36,2,0),"")</f>
        <v/>
      </c>
      <c r="X468" s="353" t="str">
        <f>IFERROR(VLOOKUP(V468,'NS QUẢN LÝ CG'!$A$4:$D$36,4,0),"")</f>
        <v/>
      </c>
      <c r="Y468" s="353" t="str">
        <f>IFERROR(VLOOKUP(V468,'NS QUẢN LÝ CG'!$A$4:$C$36,3,0),"")</f>
        <v/>
      </c>
      <c r="Z468" s="731" t="str">
        <f>IFERROR(VLOOKUP(M468,'02. MM-KLH'!$B$6:$T$823,3,0),"")</f>
        <v>ATT-A22-0018</v>
      </c>
      <c r="AA468" s="353" t="s">
        <v>5980</v>
      </c>
      <c r="AB468" s="731"/>
      <c r="AC468" s="731"/>
    </row>
    <row r="469" ht="13.8" spans="1:29">
      <c r="A469" s="731"/>
      <c r="B469" s="613" t="str">
        <f>IFERROR(VLOOKUP(M469,'02. MM-KLH'!$B$6:$T$823,6,0),"")</f>
        <v>Xe tải KOZUN</v>
      </c>
      <c r="C469" s="353">
        <v>1</v>
      </c>
      <c r="D469" s="353">
        <f>IFERROR(VLOOKUP(M469,'02. MM-KLH'!$B$6:$T$823,16,0),"")</f>
        <v>0</v>
      </c>
      <c r="E469" s="353" t="s">
        <v>5978</v>
      </c>
      <c r="F469" s="353"/>
      <c r="G469" s="353"/>
      <c r="H469" s="353" t="str">
        <f>IFERROR(VLOOKUP(M469,'02. MM-KLH'!$B$6:$T$823,17,0),"")</f>
        <v>60HP</v>
      </c>
      <c r="I469" s="763">
        <f>IFERROR(VLOOKUP(M469,'02. MM-KLH'!$B$6:$U$823,20,0),"")</f>
        <v>2</v>
      </c>
      <c r="J469" s="613">
        <f>IFERROR(VLOOKUP(M469,'02. MM-KLH'!$B$6:$T$823,19,0),"")</f>
        <v>115002</v>
      </c>
      <c r="K469" s="613" t="str">
        <f>IFERROR(VLOOKUP(M469,'02. MM-KLH'!$B$6:$T$823,18,0),"")</f>
        <v>Mất số khung</v>
      </c>
      <c r="L469" s="353">
        <f>IFERROR(VLOOKUP(M469,'02. MM-KLH'!$B$6:$T$823,4,0),"")</f>
        <v>0</v>
      </c>
      <c r="M469" s="49" t="s">
        <v>1656</v>
      </c>
      <c r="N469" s="356">
        <f>IFERROR(VLOOKUP(M469,'02. MM-KLH'!$B$6:$T$823,15,0),"")</f>
        <v>0</v>
      </c>
      <c r="O469" s="764">
        <f>IFERROR(VLOOKUP(M469,'02. MM-KLH'!$B$6:$T$823,9,0),"")</f>
        <v>40914</v>
      </c>
      <c r="P469" s="353" t="s">
        <v>1755</v>
      </c>
      <c r="Q469" s="353" t="s">
        <v>1755</v>
      </c>
      <c r="R469" s="353"/>
      <c r="S469" s="353"/>
      <c r="T469" s="353" t="s">
        <v>5978</v>
      </c>
      <c r="U469" s="353" t="str">
        <f>IFERROR(VLOOKUP(M469,'02. MM-KLH'!$B$6:$T$823,5,0),"")</f>
        <v>ĐQSD</v>
      </c>
      <c r="V469" s="731" t="str">
        <f>IFERROR(VLOOKUP(M469,'02. MM-KLH'!$B$6:$T$823,8,0),"")</f>
        <v>XN Chuối LP3</v>
      </c>
      <c r="W469" s="353" t="str">
        <f>IFERROR(VLOOKUP(V469,'NS QUẢN LÝ CG'!$A$4:$D$36,2,0),"")</f>
        <v/>
      </c>
      <c r="X469" s="353" t="str">
        <f>IFERROR(VLOOKUP(V469,'NS QUẢN LÝ CG'!$A$4:$D$36,4,0),"")</f>
        <v/>
      </c>
      <c r="Y469" s="353" t="str">
        <f>IFERROR(VLOOKUP(V469,'NS QUẢN LÝ CG'!$A$4:$C$36,3,0),"")</f>
        <v/>
      </c>
      <c r="Z469" s="731" t="str">
        <f>IFERROR(VLOOKUP(M469,'02. MM-KLH'!$B$6:$T$823,3,0),"")</f>
        <v>ATT-A24-0015</v>
      </c>
      <c r="AA469" s="353" t="s">
        <v>5981</v>
      </c>
      <c r="AB469" s="731"/>
      <c r="AC469" s="731"/>
    </row>
    <row r="470" ht="13.8" spans="1:29">
      <c r="A470" s="731"/>
      <c r="B470" s="613" t="str">
        <f>IFERROR(VLOOKUP(M470,'02. MM-KLH'!$B$6:$T$823,6,0),"")</f>
        <v/>
      </c>
      <c r="C470" s="353">
        <v>1</v>
      </c>
      <c r="D470" s="353" t="str">
        <f>IFERROR(VLOOKUP(M470,'02. MM-KLH'!$B$6:$T$823,16,0),"")</f>
        <v/>
      </c>
      <c r="E470" s="353" t="s">
        <v>5978</v>
      </c>
      <c r="F470" s="353"/>
      <c r="G470" s="353"/>
      <c r="H470" s="353" t="str">
        <f>IFERROR(VLOOKUP(M470,'02. MM-KLH'!$B$6:$T$823,17,0),"")</f>
        <v/>
      </c>
      <c r="I470" s="763" t="str">
        <f>IFERROR(VLOOKUP(M470,'02. MM-KLH'!$B$6:$U$823,20,0),"")</f>
        <v/>
      </c>
      <c r="J470" s="613" t="str">
        <f>IFERROR(VLOOKUP(M470,'02. MM-KLH'!$B$6:$T$823,19,0),"")</f>
        <v/>
      </c>
      <c r="K470" s="613" t="str">
        <f>IFERROR(VLOOKUP(M470,'02. MM-KLH'!$B$6:$T$823,18,0),"")</f>
        <v/>
      </c>
      <c r="L470" s="353" t="str">
        <f>IFERROR(VLOOKUP(M470,'02. MM-KLH'!$B$6:$T$823,4,0),"")</f>
        <v/>
      </c>
      <c r="M470" s="49"/>
      <c r="N470" s="356" t="str">
        <f>IFERROR(VLOOKUP(M470,'02. MM-KLH'!$B$6:$T$823,15,0),"")</f>
        <v/>
      </c>
      <c r="O470" s="764" t="str">
        <f>IFERROR(VLOOKUP(M470,'02. MM-KLH'!$B$6:$T$823,9,0),"")</f>
        <v/>
      </c>
      <c r="P470" s="353"/>
      <c r="Q470" s="353"/>
      <c r="R470" s="353"/>
      <c r="S470" s="353"/>
      <c r="T470" s="353"/>
      <c r="U470" s="353" t="str">
        <f>IFERROR(VLOOKUP(M470,'02. MM-KLH'!$B$6:$T$823,2,0),"")</f>
        <v/>
      </c>
      <c r="V470" s="731" t="str">
        <f>IFERROR(VLOOKUP(M470,'02. MM-KLH'!$B$6:$T$823,8,0),"")</f>
        <v/>
      </c>
      <c r="W470" s="353" t="str">
        <f>IFERROR(VLOOKUP(V470,'NS QUẢN LÝ CG'!$A$4:$D$36,2,0),"")</f>
        <v/>
      </c>
      <c r="X470" s="353" t="str">
        <f>IFERROR(VLOOKUP(V470,'NS QUẢN LÝ CG'!$A$4:$D$36,4,0),"")</f>
        <v/>
      </c>
      <c r="Y470" s="353"/>
      <c r="Z470" s="731" t="str">
        <f>IFERROR(VLOOKUP(M470,'02. MM-KLH'!$B$6:$T$823,3,0),"")</f>
        <v/>
      </c>
      <c r="AA470" s="353"/>
      <c r="AB470" s="731"/>
      <c r="AC470" s="731"/>
    </row>
    <row r="471" ht="13.8" spans="1:29">
      <c r="A471" s="731"/>
      <c r="B471" s="613" t="str">
        <f>IFERROR(VLOOKUP(M471,'02. MM-KLH'!$B$6:$T$823,6,0),"")</f>
        <v/>
      </c>
      <c r="C471" s="353"/>
      <c r="D471" s="353" t="str">
        <f>IFERROR(VLOOKUP(M471,'02. MM-KLH'!$B$6:$T$823,16,0),"")</f>
        <v/>
      </c>
      <c r="E471" s="353"/>
      <c r="F471" s="353"/>
      <c r="G471" s="353"/>
      <c r="H471" s="353" t="str">
        <f>IFERROR(VLOOKUP(M471,'02. MM-KLH'!$B$6:$T$823,17,0),"")</f>
        <v/>
      </c>
      <c r="I471" s="763" t="str">
        <f>IFERROR(VLOOKUP(M471,'02. MM-KLH'!$B$6:$U$823,20,0),"")</f>
        <v/>
      </c>
      <c r="J471" s="613" t="str">
        <f>IFERROR(VLOOKUP(M471,'02. MM-KLH'!$B$6:$T$823,19,0),"")</f>
        <v/>
      </c>
      <c r="K471" s="613" t="str">
        <f>IFERROR(VLOOKUP(M471,'02. MM-KLH'!$B$6:$T$823,18,0),"")</f>
        <v/>
      </c>
      <c r="L471" s="353" t="str">
        <f>IFERROR(VLOOKUP(M471,'02. MM-KLH'!$B$6:$T$823,4,0),"")</f>
        <v/>
      </c>
      <c r="M471" s="49"/>
      <c r="N471" s="356" t="str">
        <f>IFERROR(VLOOKUP(M471,'02. MM-KLH'!$B$6:$T$823,15,0),"")</f>
        <v/>
      </c>
      <c r="O471" s="764" t="str">
        <f>IFERROR(VLOOKUP(M471,'02. MM-KLH'!$B$6:$T$823,9,0),"")</f>
        <v/>
      </c>
      <c r="P471" s="353"/>
      <c r="Q471" s="353"/>
      <c r="R471" s="353"/>
      <c r="S471" s="353"/>
      <c r="T471" s="353"/>
      <c r="U471" s="353" t="str">
        <f>IFERROR(VLOOKUP(M471,'02. MM-KLH'!$B$6:$T$823,2,0),"")</f>
        <v/>
      </c>
      <c r="V471" s="731" t="str">
        <f>IFERROR(VLOOKUP(M471,'02. MM-KLH'!$B$6:$T$823,8,0),"")</f>
        <v/>
      </c>
      <c r="W471" s="353" t="str">
        <f>IFERROR(VLOOKUP(V471,'NS QUẢN LÝ CG'!$A$4:$D$36,2,0),"")</f>
        <v/>
      </c>
      <c r="X471" s="353" t="str">
        <f>IFERROR(VLOOKUP(V471,'NS QUẢN LÝ CG'!$A$4:$D$36,4,0),"")</f>
        <v/>
      </c>
      <c r="Y471" s="353"/>
      <c r="Z471" s="731" t="str">
        <f>IFERROR(VLOOKUP(M471,'02. MM-KLH'!$B$6:$T$823,3,0),"")</f>
        <v/>
      </c>
      <c r="AA471" s="353"/>
      <c r="AB471" s="731"/>
      <c r="AC471" s="731"/>
    </row>
    <row r="472" spans="1:29">
      <c r="A472" s="747" t="s">
        <v>3352</v>
      </c>
      <c r="B472" s="748" t="s">
        <v>3403</v>
      </c>
      <c r="C472" s="747">
        <f>SUM(C473,C477,C490)</f>
        <v>22</v>
      </c>
      <c r="D472" s="749"/>
      <c r="E472" s="749"/>
      <c r="F472" s="749"/>
      <c r="G472" s="749"/>
      <c r="H472" s="749"/>
      <c r="I472" s="750"/>
      <c r="J472" s="751"/>
      <c r="K472" s="751"/>
      <c r="L472" s="749"/>
      <c r="M472" s="749"/>
      <c r="N472" s="749"/>
      <c r="O472" s="752"/>
      <c r="P472" s="749"/>
      <c r="Q472" s="749"/>
      <c r="R472" s="749"/>
      <c r="S472" s="749"/>
      <c r="T472" s="749"/>
      <c r="U472" s="749"/>
      <c r="V472" s="750"/>
      <c r="W472" s="749"/>
      <c r="X472" s="749"/>
      <c r="Y472" s="749"/>
      <c r="Z472" s="750"/>
      <c r="AA472" s="749"/>
      <c r="AB472" s="750"/>
      <c r="AC472" s="753"/>
    </row>
    <row r="473" ht="13.8" spans="1:29">
      <c r="A473" s="754">
        <v>1</v>
      </c>
      <c r="B473" s="755" t="s">
        <v>621</v>
      </c>
      <c r="C473" s="754">
        <f>COUNTA(B474:B476)</f>
        <v>3</v>
      </c>
      <c r="D473" s="756" t="str">
        <f>IFERROR(VLOOKUP(M473,'02. MM-KLH'!$B$6:$T$823,16,0),"")</f>
        <v/>
      </c>
      <c r="E473" s="756"/>
      <c r="F473" s="756"/>
      <c r="G473" s="756"/>
      <c r="H473" s="762" t="str">
        <f>IFERROR(VLOOKUP(M473,'02. MM-KLH'!$B$6:$T$823,17,0),"")</f>
        <v/>
      </c>
      <c r="I473" s="762" t="str">
        <f>IFERROR(VLOOKUP(M473,'02. MM-KLH'!$B$6:$U$823,20,0),"")</f>
        <v/>
      </c>
      <c r="J473" s="758" t="str">
        <f>IFERROR(VLOOKUP(M473,'02. MM-KLH'!$B$6:$T$823,19,0),"")</f>
        <v/>
      </c>
      <c r="K473" s="758" t="str">
        <f>IFERROR(VLOOKUP(M473,'02. MM-KLH'!$B$6:$T$823,18,0),"")</f>
        <v/>
      </c>
      <c r="L473" s="756" t="str">
        <f>IFERROR(VLOOKUP(M473,'02. MM-KLH'!$B$6:$T$823,4,0),"")</f>
        <v/>
      </c>
      <c r="M473" s="756"/>
      <c r="N473" s="756" t="str">
        <f>IFERROR(VLOOKUP(M473,'02. MM-KLH'!$B$6:$T$823,15,0),"")</f>
        <v/>
      </c>
      <c r="O473" s="760" t="str">
        <f>IFERROR(VLOOKUP(M473,'02. MM-KLH'!$B$6:$T$823,9,0),"")</f>
        <v/>
      </c>
      <c r="P473" s="756"/>
      <c r="Q473" s="756"/>
      <c r="R473" s="756"/>
      <c r="S473" s="756"/>
      <c r="T473" s="756"/>
      <c r="U473" s="756" t="str">
        <f>IFERROR(VLOOKUP(M473,'02. MM-KLH'!$B$6:$T$823,2,0),"")</f>
        <v/>
      </c>
      <c r="V473" s="762" t="str">
        <f>IFERROR(VLOOKUP(M473,'02. MM-KLH'!$B$6:$T$823,8,0),"")</f>
        <v/>
      </c>
      <c r="W473" s="756"/>
      <c r="X473" s="756"/>
      <c r="Y473" s="756"/>
      <c r="Z473" s="762" t="str">
        <f>IFERROR(VLOOKUP(M473,'02. MM-KLH'!$B$6:$T$823,3,0),"")</f>
        <v/>
      </c>
      <c r="AA473" s="756"/>
      <c r="AB473" s="762"/>
      <c r="AC473" s="762"/>
    </row>
    <row r="474" spans="1:29">
      <c r="A474" s="731"/>
      <c r="B474" s="613" t="str">
        <f>IFERROR(VLOOKUP(M474,'02. MM-KLH'!$B$6:$T$823,6,0),"")</f>
        <v>Xe đầu kéo FD1600B</v>
      </c>
      <c r="C474" s="353">
        <v>1</v>
      </c>
      <c r="D474" s="353" t="str">
        <f>IFERROR(VLOOKUP(M474,'02. MM-KLH'!$B$6:$T$823,16,0),"")</f>
        <v>FD1600B</v>
      </c>
      <c r="E474" s="353" t="s">
        <v>5978</v>
      </c>
      <c r="F474" s="353"/>
      <c r="G474" s="353"/>
      <c r="H474" s="353" t="str">
        <f>IFERROR(VLOOKUP(M474,'02. MM-KLH'!$B$6:$T$823,17,0),"")</f>
        <v>177HP</v>
      </c>
      <c r="I474" s="763">
        <f>IFERROR(VLOOKUP(M474,'02. MM-KLH'!$B$6:$U$823,20,0),"")</f>
        <v>7</v>
      </c>
      <c r="J474" s="613" t="str">
        <f>IFERROR(VLOOKUP(M474,'02. MM-KLH'!$B$6:$T$823,19,0),"")</f>
        <v>6P15D005384</v>
      </c>
      <c r="K474" s="613" t="str">
        <f>IFERROR(VLOOKUP(M474,'02. MM-KLH'!$B$6:$T$823,18,0),"")</f>
        <v>RNHD1600DHC070065</v>
      </c>
      <c r="L474" s="353">
        <f>IFERROR(VLOOKUP(M474,'02. MM-KLH'!$B$6:$T$823,4,0),"")</f>
        <v>0</v>
      </c>
      <c r="M474" s="49" t="s">
        <v>2310</v>
      </c>
      <c r="N474" s="356">
        <f>IFERROR(VLOOKUP(M474,'02. MM-KLH'!$B$6:$T$823,15,0),"")</f>
        <v>2022</v>
      </c>
      <c r="O474" s="764" t="str">
        <f>IFERROR(VLOOKUP(M474,'02. MM-KLH'!$B$6:$T$823,9,0),"")</f>
        <v>29/10/2024</v>
      </c>
      <c r="P474" s="353" t="s">
        <v>1755</v>
      </c>
      <c r="Q474" s="353"/>
      <c r="R474" s="765" t="s">
        <v>5978</v>
      </c>
      <c r="S474" s="353"/>
      <c r="T474" s="353"/>
      <c r="U474" s="353" t="str">
        <f>IFERROR(VLOOKUP(M474,'02. MM-KLH'!$B$6:$T$823,5,0),"")</f>
        <v>MỚI</v>
      </c>
      <c r="V474" s="731" t="str">
        <f>IFERROR(VLOOKUP(M474,'02. MM-KLH'!$B$6:$T$823,8,0),"")</f>
        <v>XN Bò AD</v>
      </c>
      <c r="W474" s="353" t="str">
        <f>IFERROR(VLOOKUP(V474,'NS QUẢN LÝ CG'!$A$4:$D$36,2,0),"")</f>
        <v/>
      </c>
      <c r="X474" s="353" t="str">
        <f>IFERROR(VLOOKUP(V474,'NS QUẢN LÝ CG'!$A$4:$D$36,4,0),"")</f>
        <v/>
      </c>
      <c r="Y474" s="353" t="str">
        <f>IFERROR(VLOOKUP(V474,'NS QUẢN LÝ CG'!$A$4:$C$36,3,0),"")</f>
        <v/>
      </c>
      <c r="Z474" s="731" t="str">
        <f>IFERROR(VLOOKUP(M474,'02. MM-KLH'!$B$6:$T$823,3,0),"")</f>
        <v>A22-XĐK-001</v>
      </c>
      <c r="AA474" s="353" t="str">
        <f t="shared" ref="AA474:AA475" si="31">_xlfn.SWITCH(LEFT(Z474,3),"A22","ADM","A23","DP","A24","LP","")</f>
        <v>ADM</v>
      </c>
      <c r="AB474" s="731"/>
      <c r="AC474" s="731"/>
    </row>
    <row r="475" spans="1:29">
      <c r="A475" s="731"/>
      <c r="B475" s="613" t="str">
        <f>IFERROR(VLOOKUP(M475,'02. MM-KLH'!$B$6:$T$823,6,0),"")</f>
        <v>Xe đầu kéo TT261J-MT</v>
      </c>
      <c r="C475" s="353">
        <v>1</v>
      </c>
      <c r="D475" s="353" t="str">
        <f>IFERROR(VLOOKUP(M475,'02. MM-KLH'!$B$6:$T$823,16,0),"")</f>
        <v>THACO TT261J-MT</v>
      </c>
      <c r="E475" s="353" t="s">
        <v>5978</v>
      </c>
      <c r="F475" s="353"/>
      <c r="G475" s="353"/>
      <c r="H475" s="353" t="str">
        <f>IFERROR(VLOOKUP(M475,'02. MM-KLH'!$B$6:$T$823,17,0),"")</f>
        <v>295HP</v>
      </c>
      <c r="I475" s="763">
        <f>IFERROR(VLOOKUP(M475,'02. MM-KLH'!$B$6:$U$823,20,0),"")</f>
        <v>0</v>
      </c>
      <c r="J475" s="613" t="str">
        <f>IFERROR(VLOOKUP(M475,'02. MM-KLH'!$B$6:$T$823,19,0),"")</f>
        <v>1024A000597</v>
      </c>
      <c r="K475" s="613" t="str">
        <f>IFERROR(VLOOKUP(M475,'02. MM-KLH'!$B$6:$T$823,18,0),"")</f>
        <v>RNHT16TWART098475</v>
      </c>
      <c r="L475" s="353" t="str">
        <f>IFERROR(VLOOKUP(M475,'02. MM-KLH'!$B$6:$T$823,4,0),"")</f>
        <v>3A-6806</v>
      </c>
      <c r="M475" s="49" t="s">
        <v>2316</v>
      </c>
      <c r="N475" s="356">
        <f>IFERROR(VLOOKUP(M475,'02. MM-KLH'!$B$6:$T$823,15,0),"")</f>
        <v>2024</v>
      </c>
      <c r="O475" s="764">
        <f>IFERROR(VLOOKUP(M475,'02. MM-KLH'!$B$6:$T$823,9,0),"")</f>
        <v>45692</v>
      </c>
      <c r="P475" s="765">
        <v>43169</v>
      </c>
      <c r="Q475" s="353"/>
      <c r="R475" s="765" t="s">
        <v>5978</v>
      </c>
      <c r="S475" s="353"/>
      <c r="T475" s="353"/>
      <c r="U475" s="353" t="str">
        <f>IFERROR(VLOOKUP(M475,'02. MM-KLH'!$B$6:$T$823,5,0),"")</f>
        <v>MỚI</v>
      </c>
      <c r="V475" s="731" t="str">
        <f>IFERROR(VLOOKUP(M475,'02. MM-KLH'!$B$6:$T$823,8,0),"")</f>
        <v>XN Bò AD</v>
      </c>
      <c r="W475" s="353" t="str">
        <f>IFERROR(VLOOKUP(V475,'NS QUẢN LÝ CG'!$A$4:$D$36,2,0),"")</f>
        <v/>
      </c>
      <c r="X475" s="353" t="str">
        <f>IFERROR(VLOOKUP(V475,'NS QUẢN LÝ CG'!$A$4:$D$36,4,0),"")</f>
        <v/>
      </c>
      <c r="Y475" s="353" t="str">
        <f>IFERROR(VLOOKUP(V475,'NS QUẢN LÝ CG'!$A$4:$C$36,3,0),"")</f>
        <v/>
      </c>
      <c r="Z475" s="731" t="str">
        <f>IFERROR(VLOOKUP(M475,'02. MM-KLH'!$B$6:$T$823,3,0),"")</f>
        <v>A22-XĐK-002</v>
      </c>
      <c r="AA475" s="353" t="str">
        <f t="shared" si="31"/>
        <v>ADM</v>
      </c>
      <c r="AB475" s="731"/>
      <c r="AC475" s="731"/>
    </row>
    <row r="476" ht="13.8" spans="1:29">
      <c r="A476" s="731"/>
      <c r="B476" s="613" t="str">
        <f>IFERROR(VLOOKUP(M476,'02. MM-KLH'!$B$6:$T$823,6,0),"")</f>
        <v/>
      </c>
      <c r="C476" s="353"/>
      <c r="D476" s="353" t="str">
        <f>IFERROR(VLOOKUP(M476,'02. MM-KLH'!$B$6:$T$823,16,0),"")</f>
        <v/>
      </c>
      <c r="E476" s="353"/>
      <c r="F476" s="353"/>
      <c r="G476" s="353"/>
      <c r="H476" s="353" t="str">
        <f>IFERROR(VLOOKUP(M476,'02. MM-KLH'!$B$6:$T$823,17,0),"")</f>
        <v/>
      </c>
      <c r="I476" s="763" t="str">
        <f>IFERROR(VLOOKUP(M476,'02. MM-KLH'!$B$6:$U$823,20,0),"")</f>
        <v/>
      </c>
      <c r="J476" s="613" t="str">
        <f>IFERROR(VLOOKUP(M476,'02. MM-KLH'!$B$6:$T$823,19,0),"")</f>
        <v/>
      </c>
      <c r="K476" s="613" t="str">
        <f>IFERROR(VLOOKUP(M476,'02. MM-KLH'!$B$6:$T$823,18,0),"")</f>
        <v/>
      </c>
      <c r="L476" s="353" t="str">
        <f>IFERROR(VLOOKUP(M476,'02. MM-KLH'!$B$6:$T$823,4,0),"")</f>
        <v/>
      </c>
      <c r="M476" s="49"/>
      <c r="N476" s="356" t="str">
        <f>IFERROR(VLOOKUP(M476,'02. MM-KLH'!$B$6:$T$823,15,0),"")</f>
        <v/>
      </c>
      <c r="O476" s="764" t="str">
        <f>IFERROR(VLOOKUP(M476,'02. MM-KLH'!$B$6:$T$823,9,0),"")</f>
        <v/>
      </c>
      <c r="P476" s="353"/>
      <c r="Q476" s="353"/>
      <c r="R476" s="353"/>
      <c r="S476" s="353"/>
      <c r="T476" s="353"/>
      <c r="U476" s="353" t="str">
        <f>IFERROR(VLOOKUP(M476,'02. MM-KLH'!$B$6:$T$823,2,0),"")</f>
        <v/>
      </c>
      <c r="V476" s="731" t="str">
        <f>IFERROR(VLOOKUP(M476,'02. MM-KLH'!$B$6:$T$823,8,0),"")</f>
        <v/>
      </c>
      <c r="W476" s="353" t="str">
        <f>IFERROR(VLOOKUP(V476,'NS QUẢN LÝ CG'!$A$4:$D$36,2,0),"")</f>
        <v/>
      </c>
      <c r="X476" s="353" t="str">
        <f>IFERROR(VLOOKUP(V476,'NS QUẢN LÝ CG'!$A$4:$D$36,4,0),"")</f>
        <v/>
      </c>
      <c r="Y476" s="353"/>
      <c r="Z476" s="731" t="str">
        <f>IFERROR(VLOOKUP(M476,'02. MM-KLH'!$B$6:$T$823,3,0),"")</f>
        <v/>
      </c>
      <c r="AA476" s="353"/>
      <c r="AB476" s="731"/>
      <c r="AC476" s="731"/>
    </row>
    <row r="477" ht="13.8" spans="1:29">
      <c r="A477" s="754">
        <v>2</v>
      </c>
      <c r="B477" s="755" t="s">
        <v>2327</v>
      </c>
      <c r="C477" s="754">
        <f>COUNTA(B478:B489)</f>
        <v>12</v>
      </c>
      <c r="D477" s="756" t="str">
        <f>IFERROR(VLOOKUP(M477,'02. MM-KLH'!$B$6:$T$823,16,0),"")</f>
        <v/>
      </c>
      <c r="E477" s="756"/>
      <c r="F477" s="756"/>
      <c r="G477" s="756"/>
      <c r="H477" s="762" t="str">
        <f>IFERROR(VLOOKUP(M477,'02. MM-KLH'!$B$6:$T$823,17,0),"")</f>
        <v/>
      </c>
      <c r="I477" s="762" t="str">
        <f>IFERROR(VLOOKUP(M477,'02. MM-KLH'!$B$6:$U$823,20,0),"")</f>
        <v/>
      </c>
      <c r="J477" s="758" t="str">
        <f>IFERROR(VLOOKUP(M477,'02. MM-KLH'!$B$6:$T$823,19,0),"")</f>
        <v/>
      </c>
      <c r="K477" s="758" t="str">
        <f>IFERROR(VLOOKUP(M477,'02. MM-KLH'!$B$6:$T$823,18,0),"")</f>
        <v/>
      </c>
      <c r="L477" s="756" t="str">
        <f>IFERROR(VLOOKUP(M477,'02. MM-KLH'!$B$6:$T$823,4,0),"")</f>
        <v/>
      </c>
      <c r="M477" s="756"/>
      <c r="N477" s="756" t="str">
        <f>IFERROR(VLOOKUP(M477,'02. MM-KLH'!$B$6:$T$823,15,0),"")</f>
        <v/>
      </c>
      <c r="O477" s="760" t="str">
        <f>IFERROR(VLOOKUP(M477,'02. MM-KLH'!$B$6:$T$823,9,0),"")</f>
        <v/>
      </c>
      <c r="P477" s="756"/>
      <c r="Q477" s="756"/>
      <c r="R477" s="756"/>
      <c r="S477" s="756"/>
      <c r="T477" s="756"/>
      <c r="U477" s="756" t="str">
        <f>IFERROR(VLOOKUP(M477,'02. MM-KLH'!$B$6:$T$823,2,0),"")</f>
        <v/>
      </c>
      <c r="V477" s="762" t="str">
        <f>IFERROR(VLOOKUP(M477,'02. MM-KLH'!$B$6:$T$823,8,0),"")</f>
        <v/>
      </c>
      <c r="W477" s="756"/>
      <c r="X477" s="756"/>
      <c r="Y477" s="756"/>
      <c r="Z477" s="762" t="str">
        <f>IFERROR(VLOOKUP(M477,'02. MM-KLH'!$B$6:$T$823,3,0),"")</f>
        <v/>
      </c>
      <c r="AA477" s="756"/>
      <c r="AB477" s="762"/>
      <c r="AC477" s="762"/>
    </row>
    <row r="478" spans="1:29">
      <c r="A478" s="731"/>
      <c r="B478" s="613" t="str">
        <f>IFERROR(VLOOKUP(M478,'02. MM-KLH'!$B$6:$T$823,6,0),"")</f>
        <v>Xe đầu kéo HOWO</v>
      </c>
      <c r="C478" s="353">
        <v>1</v>
      </c>
      <c r="D478" s="353" t="str">
        <f>IFERROR(VLOOKUP(M478,'02. MM-KLH'!$B$6:$T$823,16,0),"")</f>
        <v>ZZ4187N391JE1</v>
      </c>
      <c r="E478" s="353" t="s">
        <v>5978</v>
      </c>
      <c r="F478" s="353"/>
      <c r="G478" s="353"/>
      <c r="H478" s="353" t="str">
        <f>IFERROR(VLOOKUP(M478,'02. MM-KLH'!$B$6:$T$823,17,0),"")</f>
        <v>299HP</v>
      </c>
      <c r="I478" s="763">
        <f>IFERROR(VLOOKUP(M478,'02. MM-KLH'!$B$6:$U$823,20,0),"")</f>
        <v>0</v>
      </c>
      <c r="J478" s="613" t="str">
        <f>IFERROR(VLOOKUP(M478,'02. MM-KLH'!$B$6:$T$823,19,0),"")</f>
        <v>WP7.300E51*1025G007299*</v>
      </c>
      <c r="K478" s="613" t="str">
        <f>IFERROR(VLOOKUP(M478,'02. MM-KLH'!$B$6:$T$823,18,0),"")</f>
        <v>LZZ1CCMD2SJ416137</v>
      </c>
      <c r="L478" s="353" t="str">
        <f>IFERROR(VLOOKUP(M478,'02. MM-KLH'!$B$6:$T$823,4,0),"")</f>
        <v>3A-6837</v>
      </c>
      <c r="M478" s="49" t="s">
        <v>2323</v>
      </c>
      <c r="N478" s="356">
        <f>IFERROR(VLOOKUP(M478,'02. MM-KLH'!$B$6:$T$823,15,0),"")</f>
        <v>2025</v>
      </c>
      <c r="O478" s="764">
        <f>IFERROR(VLOOKUP(M478,'02. MM-KLH'!$B$6:$T$823,9,0),"")</f>
        <v>45909</v>
      </c>
      <c r="P478" s="765"/>
      <c r="Q478" s="353"/>
      <c r="R478" s="765" t="s">
        <v>5978</v>
      </c>
      <c r="S478" s="353"/>
      <c r="T478" s="353"/>
      <c r="U478" s="353" t="str">
        <f>IFERROR(VLOOKUP(M478,'02. MM-KLH'!$B$6:$T$823,5,0),"")</f>
        <v>MỚI</v>
      </c>
      <c r="V478" s="731" t="str">
        <f>IFERROR(VLOOKUP(M478,'02. MM-KLH'!$B$6:$T$823,8,0),"")</f>
        <v>XN Bò AD</v>
      </c>
      <c r="W478" s="353" t="str">
        <f>IFERROR(VLOOKUP(V478,'NS QUẢN LÝ CG'!$A$4:$D$36,2,0),"")</f>
        <v/>
      </c>
      <c r="X478" s="353" t="str">
        <f>IFERROR(VLOOKUP(V478,'NS QUẢN LÝ CG'!$A$4:$D$36,4,0),"")</f>
        <v/>
      </c>
      <c r="Y478" s="353" t="str">
        <f>IFERROR(VLOOKUP(V478,'NS QUẢN LÝ CG'!$A$4:$C$36,3,0),"")</f>
        <v/>
      </c>
      <c r="Z478" s="731" t="str">
        <f>IFERROR(VLOOKUP(M478,'02. MM-KLH'!$B$6:$T$823,3,0),"")</f>
        <v>A22-XĐK-003</v>
      </c>
      <c r="AA478" s="353" t="str">
        <f t="shared" ref="AA478:AA488" si="32">_xlfn.SWITCH(LEFT(Z478,3),"A22","ADM","A23","DP","A24","LP","")</f>
        <v>ADM</v>
      </c>
      <c r="AB478" s="731"/>
      <c r="AC478" s="731"/>
    </row>
    <row r="479" spans="1:29">
      <c r="A479" s="731"/>
      <c r="B479" s="613" t="str">
        <f>IFERROR(VLOOKUP(M479,'02. MM-KLH'!$B$6:$T$823,6,0),"")</f>
        <v>Xe đầu kéo HOWO</v>
      </c>
      <c r="C479" s="353">
        <v>1</v>
      </c>
      <c r="D479" s="353" t="str">
        <f>IFERROR(VLOOKUP(M479,'02. MM-KLH'!$B$6:$T$823,16,0),"")</f>
        <v>ZZ4187N391JE1</v>
      </c>
      <c r="E479" s="353" t="s">
        <v>5978</v>
      </c>
      <c r="F479" s="353"/>
      <c r="G479" s="353"/>
      <c r="H479" s="353" t="str">
        <f>IFERROR(VLOOKUP(M479,'02. MM-KLH'!$B$6:$T$823,17,0),"")</f>
        <v>299HP</v>
      </c>
      <c r="I479" s="763">
        <f>IFERROR(VLOOKUP(M479,'02. MM-KLH'!$B$6:$U$823,20,0),"")</f>
        <v>0</v>
      </c>
      <c r="J479" s="613" t="str">
        <f>IFERROR(VLOOKUP(M479,'02. MM-KLH'!$B$6:$T$823,19,0),"")</f>
        <v>WP7.300E51*1025G006835*</v>
      </c>
      <c r="K479" s="613" t="str">
        <f>IFERROR(VLOOKUP(M479,'02. MM-KLH'!$B$6:$T$823,18,0),"")</f>
        <v>LZZ1CCMD7SJ415209</v>
      </c>
      <c r="L479" s="353" t="str">
        <f>IFERROR(VLOOKUP(M479,'02. MM-KLH'!$B$6:$T$823,4,0),"")</f>
        <v>3A-6839</v>
      </c>
      <c r="M479" s="49" t="s">
        <v>2331</v>
      </c>
      <c r="N479" s="356">
        <f>IFERROR(VLOOKUP(M479,'02. MM-KLH'!$B$6:$T$823,15,0),"")</f>
        <v>2025</v>
      </c>
      <c r="O479" s="764">
        <f>IFERROR(VLOOKUP(M479,'02. MM-KLH'!$B$6:$T$823,9,0),"")</f>
        <v>45879</v>
      </c>
      <c r="P479" s="765">
        <v>15196</v>
      </c>
      <c r="Q479" s="353"/>
      <c r="R479" s="765" t="s">
        <v>5978</v>
      </c>
      <c r="S479" s="353"/>
      <c r="T479" s="353"/>
      <c r="U479" s="353" t="str">
        <f>IFERROR(VLOOKUP(M479,'02. MM-KLH'!$B$6:$T$823,5,0),"")</f>
        <v>MỚI</v>
      </c>
      <c r="V479" s="731" t="str">
        <f>IFERROR(VLOOKUP(M479,'02. MM-KLH'!$B$6:$T$823,8,0),"")</f>
        <v>XN Bò AD</v>
      </c>
      <c r="W479" s="353" t="str">
        <f>IFERROR(VLOOKUP(V479,'NS QUẢN LÝ CG'!$A$4:$D$36,2,0),"")</f>
        <v/>
      </c>
      <c r="X479" s="353" t="str">
        <f>IFERROR(VLOOKUP(V479,'NS QUẢN LÝ CG'!$A$4:$D$36,4,0),"")</f>
        <v/>
      </c>
      <c r="Y479" s="353" t="str">
        <f>IFERROR(VLOOKUP(V479,'NS QUẢN LÝ CG'!$A$4:$C$36,3,0),"")</f>
        <v/>
      </c>
      <c r="Z479" s="731" t="str">
        <f>IFERROR(VLOOKUP(M479,'02. MM-KLH'!$B$6:$T$823,3,0),"")</f>
        <v>A22-XĐK-004</v>
      </c>
      <c r="AA479" s="353" t="str">
        <f t="shared" si="32"/>
        <v>ADM</v>
      </c>
      <c r="AB479" s="731"/>
      <c r="AC479" s="731"/>
    </row>
    <row r="480" spans="1:29">
      <c r="A480" s="731"/>
      <c r="B480" s="613" t="str">
        <f>IFERROR(VLOOKUP(M480,'02. MM-KLH'!$B$6:$T$823,6,0),"")</f>
        <v>Xe đầu kéo HOWO</v>
      </c>
      <c r="C480" s="353">
        <v>1</v>
      </c>
      <c r="D480" s="353" t="str">
        <f>IFERROR(VLOOKUP(M480,'02. MM-KLH'!$B$6:$T$823,16,0),"")</f>
        <v>ZZ4187N391JE1</v>
      </c>
      <c r="E480" s="353" t="s">
        <v>5978</v>
      </c>
      <c r="F480" s="353"/>
      <c r="G480" s="353"/>
      <c r="H480" s="353" t="str">
        <f>IFERROR(VLOOKUP(M480,'02. MM-KLH'!$B$6:$T$823,17,0),"")</f>
        <v>299HP</v>
      </c>
      <c r="I480" s="763">
        <f>IFERROR(VLOOKUP(M480,'02. MM-KLH'!$B$6:$U$823,20,0),"")</f>
        <v>0</v>
      </c>
      <c r="J480" s="613" t="str">
        <f>IFERROR(VLOOKUP(M480,'02. MM-KLH'!$B$6:$T$823,19,0),"")</f>
        <v>WP7.300E51*1025G006838*</v>
      </c>
      <c r="K480" s="613" t="str">
        <f>IFERROR(VLOOKUP(M480,'02. MM-KLH'!$B$6:$T$823,18,0),"")</f>
        <v>LZZ1CCMD3SJ415210</v>
      </c>
      <c r="L480" s="353" t="str">
        <f>IFERROR(VLOOKUP(M480,'02. MM-KLH'!$B$6:$T$823,4,0),"")</f>
        <v>3A-6836</v>
      </c>
      <c r="M480" s="49" t="s">
        <v>2337</v>
      </c>
      <c r="N480" s="356">
        <f>IFERROR(VLOOKUP(M480,'02. MM-KLH'!$B$6:$T$823,15,0),"")</f>
        <v>2025</v>
      </c>
      <c r="O480" s="764">
        <f>IFERROR(VLOOKUP(M480,'02. MM-KLH'!$B$6:$T$823,9,0),"")</f>
        <v>45879</v>
      </c>
      <c r="P480" s="765">
        <v>18455</v>
      </c>
      <c r="Q480" s="353"/>
      <c r="R480" s="765" t="s">
        <v>5978</v>
      </c>
      <c r="S480" s="353"/>
      <c r="T480" s="353"/>
      <c r="U480" s="353" t="str">
        <f>IFERROR(VLOOKUP(M480,'02. MM-KLH'!$B$6:$T$823,5,0),"")</f>
        <v>MỚI</v>
      </c>
      <c r="V480" s="731" t="str">
        <f>IFERROR(VLOOKUP(M480,'02. MM-KLH'!$B$6:$T$823,8,0),"")</f>
        <v>XN Bò AD</v>
      </c>
      <c r="W480" s="353" t="str">
        <f>IFERROR(VLOOKUP(V480,'NS QUẢN LÝ CG'!$A$4:$D$36,2,0),"")</f>
        <v/>
      </c>
      <c r="X480" s="353" t="str">
        <f>IFERROR(VLOOKUP(V480,'NS QUẢN LÝ CG'!$A$4:$D$36,4,0),"")</f>
        <v/>
      </c>
      <c r="Y480" s="353" t="str">
        <f>IFERROR(VLOOKUP(V480,'NS QUẢN LÝ CG'!$A$4:$C$36,3,0),"")</f>
        <v/>
      </c>
      <c r="Z480" s="731" t="str">
        <f>IFERROR(VLOOKUP(M480,'02. MM-KLH'!$B$6:$T$823,3,0),"")</f>
        <v>A22-XĐK-005</v>
      </c>
      <c r="AA480" s="353" t="str">
        <f t="shared" si="32"/>
        <v>ADM</v>
      </c>
      <c r="AB480" s="731"/>
      <c r="AC480" s="731"/>
    </row>
    <row r="481" spans="1:29">
      <c r="A481" s="731"/>
      <c r="B481" s="613" t="str">
        <f>IFERROR(VLOOKUP(M481,'02. MM-KLH'!$B$6:$T$823,6,0),"")</f>
        <v>Xe đầu kéo HOWO</v>
      </c>
      <c r="C481" s="353">
        <v>1</v>
      </c>
      <c r="D481" s="353" t="str">
        <f>IFERROR(VLOOKUP(M481,'02. MM-KLH'!$B$6:$T$823,16,0),"")</f>
        <v>ZZ4187N391JE1</v>
      </c>
      <c r="E481" s="353" t="s">
        <v>5978</v>
      </c>
      <c r="F481" s="353"/>
      <c r="G481" s="353"/>
      <c r="H481" s="353" t="str">
        <f>IFERROR(VLOOKUP(M481,'02. MM-KLH'!$B$6:$T$823,17,0),"")</f>
        <v>299HP</v>
      </c>
      <c r="I481" s="763">
        <f>IFERROR(VLOOKUP(M481,'02. MM-KLH'!$B$6:$U$823,20,0),"")</f>
        <v>0</v>
      </c>
      <c r="J481" s="613" t="str">
        <f>IFERROR(VLOOKUP(M481,'02. MM-KLH'!$B$6:$T$823,19,0),"")</f>
        <v>WP7.300E51*1025G006833*</v>
      </c>
      <c r="K481" s="613" t="str">
        <f>IFERROR(VLOOKUP(M481,'02. MM-KLH'!$B$6:$T$823,18,0),"")</f>
        <v>LZZ1CCMD3SJ415207</v>
      </c>
      <c r="L481" s="353" t="str">
        <f>IFERROR(VLOOKUP(M481,'02. MM-KLH'!$B$6:$T$823,4,0),"")</f>
        <v>3A-6835</v>
      </c>
      <c r="M481" s="49" t="s">
        <v>2343</v>
      </c>
      <c r="N481" s="356">
        <f>IFERROR(VLOOKUP(M481,'02. MM-KLH'!$B$6:$T$823,15,0),"")</f>
        <v>2025</v>
      </c>
      <c r="O481" s="764" t="str">
        <f>IFERROR(VLOOKUP(M481,'02. MM-KLH'!$B$6:$T$823,9,0),"")</f>
        <v>31/10/2025</v>
      </c>
      <c r="P481" s="765">
        <v>16458</v>
      </c>
      <c r="Q481" s="353"/>
      <c r="R481" s="765" t="s">
        <v>5978</v>
      </c>
      <c r="S481" s="353"/>
      <c r="T481" s="353"/>
      <c r="U481" s="353" t="str">
        <f>IFERROR(VLOOKUP(M481,'02. MM-KLH'!$B$6:$T$823,5,0),"")</f>
        <v>MỚI</v>
      </c>
      <c r="V481" s="731" t="str">
        <f>IFERROR(VLOOKUP(M481,'02. MM-KLH'!$B$6:$T$823,8,0),"")</f>
        <v>XN Bò AD</v>
      </c>
      <c r="W481" s="353" t="str">
        <f>IFERROR(VLOOKUP(V481,'NS QUẢN LÝ CG'!$A$4:$D$36,2,0),"")</f>
        <v/>
      </c>
      <c r="X481" s="353" t="str">
        <f>IFERROR(VLOOKUP(V481,'NS QUẢN LÝ CG'!$A$4:$D$36,4,0),"")</f>
        <v/>
      </c>
      <c r="Y481" s="353" t="str">
        <f>IFERROR(VLOOKUP(V481,'NS QUẢN LÝ CG'!$A$4:$C$36,3,0),"")</f>
        <v/>
      </c>
      <c r="Z481" s="731" t="str">
        <f>IFERROR(VLOOKUP(M481,'02. MM-KLH'!$B$6:$T$823,3,0),"")</f>
        <v>A22-XĐK-006</v>
      </c>
      <c r="AA481" s="353" t="str">
        <f t="shared" si="32"/>
        <v>ADM</v>
      </c>
      <c r="AB481" s="731"/>
      <c r="AC481" s="731"/>
    </row>
    <row r="482" spans="1:29">
      <c r="A482" s="731"/>
      <c r="B482" s="613" t="str">
        <f>IFERROR(VLOOKUP(M482,'02. MM-KLH'!$B$6:$T$823,6,0),"")</f>
        <v>Xe đầu kéo HOWO</v>
      </c>
      <c r="C482" s="353">
        <v>1</v>
      </c>
      <c r="D482" s="353" t="str">
        <f>IFERROR(VLOOKUP(M482,'02. MM-KLH'!$B$6:$T$823,16,0),"")</f>
        <v>ZZ4187N391JE1</v>
      </c>
      <c r="E482" s="353" t="s">
        <v>5978</v>
      </c>
      <c r="F482" s="353"/>
      <c r="G482" s="353"/>
      <c r="H482" s="353" t="str">
        <f>IFERROR(VLOOKUP(M482,'02. MM-KLH'!$B$6:$T$823,17,0),"")</f>
        <v>299HP</v>
      </c>
      <c r="I482" s="763">
        <f>IFERROR(VLOOKUP(M482,'02. MM-KLH'!$B$6:$U$823,20,0),"")</f>
        <v>0</v>
      </c>
      <c r="J482" s="613" t="str">
        <f>IFERROR(VLOOKUP(M482,'02. MM-KLH'!$B$6:$T$823,19,0),"")</f>
        <v>WP7.300E51*1025G006834*</v>
      </c>
      <c r="K482" s="613" t="str">
        <f>IFERROR(VLOOKUP(M482,'02. MM-KLH'!$B$6:$T$823,18,0),"")</f>
        <v>LZZ1CCMD3SJ415208</v>
      </c>
      <c r="L482" s="353" t="str">
        <f>IFERROR(VLOOKUP(M482,'02. MM-KLH'!$B$6:$T$823,4,0),"")</f>
        <v>3A-6840</v>
      </c>
      <c r="M482" s="49" t="s">
        <v>2350</v>
      </c>
      <c r="N482" s="356">
        <f>IFERROR(VLOOKUP(M482,'02. MM-KLH'!$B$6:$T$823,15,0),"")</f>
        <v>2025</v>
      </c>
      <c r="O482" s="764" t="str">
        <f>IFERROR(VLOOKUP(M482,'02. MM-KLH'!$B$6:$T$823,9,0),"")</f>
        <v>24/10/2025</v>
      </c>
      <c r="P482" s="765"/>
      <c r="Q482" s="353"/>
      <c r="R482" s="765" t="s">
        <v>5978</v>
      </c>
      <c r="S482" s="353"/>
      <c r="T482" s="353"/>
      <c r="U482" s="353" t="str">
        <f>IFERROR(VLOOKUP(M482,'02. MM-KLH'!$B$6:$T$823,5,0),"")</f>
        <v>MỚI</v>
      </c>
      <c r="V482" s="731" t="str">
        <f>IFERROR(VLOOKUP(M482,'02. MM-KLH'!$B$6:$T$823,8,0),"")</f>
        <v>XN Bò AD</v>
      </c>
      <c r="W482" s="353" t="str">
        <f>IFERROR(VLOOKUP(V482,'NS QUẢN LÝ CG'!$A$4:$D$36,2,0),"")</f>
        <v/>
      </c>
      <c r="X482" s="353" t="str">
        <f>IFERROR(VLOOKUP(V482,'NS QUẢN LÝ CG'!$A$4:$D$36,4,0),"")</f>
        <v/>
      </c>
      <c r="Y482" s="353" t="str">
        <f>IFERROR(VLOOKUP(V482,'NS QUẢN LÝ CG'!$A$4:$C$36,3,0),"")</f>
        <v/>
      </c>
      <c r="Z482" s="731" t="str">
        <f>IFERROR(VLOOKUP(M482,'02. MM-KLH'!$B$6:$T$823,3,0),"")</f>
        <v>A22-XĐK-007</v>
      </c>
      <c r="AA482" s="353" t="str">
        <f t="shared" si="32"/>
        <v>ADM</v>
      </c>
      <c r="AB482" s="731"/>
      <c r="AC482" s="731"/>
    </row>
    <row r="483" spans="1:29">
      <c r="A483" s="731"/>
      <c r="B483" s="613" t="str">
        <f>IFERROR(VLOOKUP(M483,'02. MM-KLH'!$B$6:$T$823,6,0),"")</f>
        <v>Xe đầu kéo HOWO</v>
      </c>
      <c r="C483" s="353">
        <v>1</v>
      </c>
      <c r="D483" s="353" t="str">
        <f>IFERROR(VLOOKUP(M483,'02. MM-KLH'!$B$6:$T$823,16,0),"")</f>
        <v>ZZ4187N391JE1</v>
      </c>
      <c r="E483" s="353" t="s">
        <v>5978</v>
      </c>
      <c r="F483" s="353"/>
      <c r="G483" s="353"/>
      <c r="H483" s="353" t="str">
        <f>IFERROR(VLOOKUP(M483,'02. MM-KLH'!$B$6:$T$823,17,0),"")</f>
        <v>299HP</v>
      </c>
      <c r="I483" s="763">
        <f>IFERROR(VLOOKUP(M483,'02. MM-KLH'!$B$6:$U$823,20,0),"")</f>
        <v>0</v>
      </c>
      <c r="J483" s="613" t="str">
        <f>IFERROR(VLOOKUP(M483,'02. MM-KLH'!$B$6:$T$823,19,0),"")</f>
        <v>WP7.300E51*1025G007295*</v>
      </c>
      <c r="K483" s="613" t="str">
        <f>IFERROR(VLOOKUP(M483,'02. MM-KLH'!$B$6:$T$823,18,0),"")</f>
        <v>LZZ1CCMD4SJ416138</v>
      </c>
      <c r="L483" s="353" t="str">
        <f>IFERROR(VLOOKUP(M483,'02. MM-KLH'!$B$6:$T$823,4,0),"")</f>
        <v>3A-6832</v>
      </c>
      <c r="M483" s="49" t="s">
        <v>2357</v>
      </c>
      <c r="N483" s="356">
        <f>IFERROR(VLOOKUP(M483,'02. MM-KLH'!$B$6:$T$823,15,0),"")</f>
        <v>2025</v>
      </c>
      <c r="O483" s="764">
        <f>IFERROR(VLOOKUP(M483,'02. MM-KLH'!$B$6:$T$823,9,0),"")</f>
        <v>46082</v>
      </c>
      <c r="P483" s="765">
        <v>13002</v>
      </c>
      <c r="Q483" s="353"/>
      <c r="R483" s="765" t="s">
        <v>5978</v>
      </c>
      <c r="S483" s="353"/>
      <c r="T483" s="353"/>
      <c r="U483" s="353" t="str">
        <f>IFERROR(VLOOKUP(M483,'02. MM-KLH'!$B$6:$T$823,5,0),"")</f>
        <v>MỚI</v>
      </c>
      <c r="V483" s="731" t="str">
        <f>IFERROR(VLOOKUP(M483,'02. MM-KLH'!$B$6:$T$823,8,0),"")</f>
        <v>XN Bò AD</v>
      </c>
      <c r="W483" s="353" t="str">
        <f>IFERROR(VLOOKUP(V483,'NS QUẢN LÝ CG'!$A$4:$D$36,2,0),"")</f>
        <v/>
      </c>
      <c r="X483" s="353" t="str">
        <f>IFERROR(VLOOKUP(V483,'NS QUẢN LÝ CG'!$A$4:$D$36,4,0),"")</f>
        <v/>
      </c>
      <c r="Y483" s="353" t="str">
        <f>IFERROR(VLOOKUP(V483,'NS QUẢN LÝ CG'!$A$4:$C$36,3,0),"")</f>
        <v/>
      </c>
      <c r="Z483" s="731" t="str">
        <f>IFERROR(VLOOKUP(M483,'02. MM-KLH'!$B$6:$T$823,3,0),"")</f>
        <v>A22-XĐK-008</v>
      </c>
      <c r="AA483" s="353" t="str">
        <f t="shared" si="32"/>
        <v>ADM</v>
      </c>
      <c r="AB483" s="731"/>
      <c r="AC483" s="731"/>
    </row>
    <row r="484" spans="1:29">
      <c r="A484" s="731"/>
      <c r="B484" s="613" t="str">
        <f>IFERROR(VLOOKUP(M484,'02. MM-KLH'!$B$6:$T$823,6,0),"")</f>
        <v>Xe đầu kéo HOWO</v>
      </c>
      <c r="C484" s="353">
        <v>1</v>
      </c>
      <c r="D484" s="353" t="str">
        <f>IFERROR(VLOOKUP(M484,'02. MM-KLH'!$B$6:$T$823,16,0),"")</f>
        <v>ZZ4187N391JE1</v>
      </c>
      <c r="E484" s="353" t="s">
        <v>5978</v>
      </c>
      <c r="F484" s="353"/>
      <c r="G484" s="353"/>
      <c r="H484" s="353" t="str">
        <f>IFERROR(VLOOKUP(M484,'02. MM-KLH'!$B$6:$T$823,17,0),"")</f>
        <v>299HP</v>
      </c>
      <c r="I484" s="763">
        <f>IFERROR(VLOOKUP(M484,'02. MM-KLH'!$B$6:$U$823,20,0),"")</f>
        <v>0</v>
      </c>
      <c r="J484" s="613" t="str">
        <f>IFERROR(VLOOKUP(M484,'02. MM-KLH'!$B$6:$T$823,19,0),"")</f>
        <v>WP7.300E51*1025G007305*</v>
      </c>
      <c r="K484" s="613" t="str">
        <f>IFERROR(VLOOKUP(M484,'02. MM-KLH'!$B$6:$T$823,18,0),"")</f>
        <v>LZZ1CCMD5SJ416133</v>
      </c>
      <c r="L484" s="353" t="str">
        <f>IFERROR(VLOOKUP(M484,'02. MM-KLH'!$B$6:$T$823,4,0),"")</f>
        <v>3A-6831</v>
      </c>
      <c r="M484" s="49" t="s">
        <v>2362</v>
      </c>
      <c r="N484" s="356">
        <f>IFERROR(VLOOKUP(M484,'02. MM-KLH'!$B$6:$T$823,15,0),"")</f>
        <v>2025</v>
      </c>
      <c r="O484" s="764" t="str">
        <f>IFERROR(VLOOKUP(M484,'02. MM-KLH'!$B$6:$T$823,9,0),"")</f>
        <v>23/12/2025</v>
      </c>
      <c r="P484" s="765">
        <v>12511</v>
      </c>
      <c r="Q484" s="353"/>
      <c r="R484" s="765" t="s">
        <v>5978</v>
      </c>
      <c r="S484" s="353"/>
      <c r="T484" s="353"/>
      <c r="U484" s="353" t="str">
        <f>IFERROR(VLOOKUP(M484,'02. MM-KLH'!$B$6:$T$823,5,0),"")</f>
        <v>MỚI</v>
      </c>
      <c r="V484" s="731" t="str">
        <f>IFERROR(VLOOKUP(M484,'02. MM-KLH'!$B$6:$T$823,8,0),"")</f>
        <v>XN Bò AD</v>
      </c>
      <c r="W484" s="353" t="str">
        <f>IFERROR(VLOOKUP(V484,'NS QUẢN LÝ CG'!$A$4:$D$36,2,0),"")</f>
        <v/>
      </c>
      <c r="X484" s="353" t="str">
        <f>IFERROR(VLOOKUP(V484,'NS QUẢN LÝ CG'!$A$4:$D$36,4,0),"")</f>
        <v/>
      </c>
      <c r="Y484" s="353" t="str">
        <f>IFERROR(VLOOKUP(V484,'NS QUẢN LÝ CG'!$A$4:$C$36,3,0),"")</f>
        <v/>
      </c>
      <c r="Z484" s="731" t="str">
        <f>IFERROR(VLOOKUP(M484,'02. MM-KLH'!$B$6:$T$823,3,0),"")</f>
        <v>A22-XĐK-009</v>
      </c>
      <c r="AA484" s="353" t="str">
        <f t="shared" si="32"/>
        <v>ADM</v>
      </c>
      <c r="AB484" s="731"/>
      <c r="AC484" s="731"/>
    </row>
    <row r="485" spans="1:29">
      <c r="A485" s="731"/>
      <c r="B485" s="613" t="str">
        <f>IFERROR(VLOOKUP(M485,'02. MM-KLH'!$B$6:$T$823,6,0),"")</f>
        <v>Xe đầu kéo HOWO</v>
      </c>
      <c r="C485" s="353">
        <v>1</v>
      </c>
      <c r="D485" s="353" t="str">
        <f>IFERROR(VLOOKUP(M485,'02. MM-KLH'!$B$6:$T$823,16,0),"")</f>
        <v>ZZ4187N391JE1</v>
      </c>
      <c r="E485" s="353" t="s">
        <v>5978</v>
      </c>
      <c r="F485" s="353"/>
      <c r="G485" s="353"/>
      <c r="H485" s="353" t="str">
        <f>IFERROR(VLOOKUP(M485,'02. MM-KLH'!$B$6:$T$823,17,0),"")</f>
        <v>299 HP</v>
      </c>
      <c r="I485" s="763">
        <f>IFERROR(VLOOKUP(M485,'02. MM-KLH'!$B$6:$U$823,20,0),"")</f>
        <v>0</v>
      </c>
      <c r="J485" s="613" t="str">
        <f>IFERROR(VLOOKUP(M485,'02. MM-KLH'!$B$6:$T$823,19,0),"")</f>
        <v>WP7.300E51*1025G007298*</v>
      </c>
      <c r="K485" s="613" t="str">
        <f>IFERROR(VLOOKUP(M485,'02. MM-KLH'!$B$6:$T$823,18,0),"")</f>
        <v>LZZ1CCMD6SJ416125</v>
      </c>
      <c r="L485" s="353" t="str">
        <f>IFERROR(VLOOKUP(M485,'02. MM-KLH'!$B$6:$T$823,4,0),"")</f>
        <v>3A-6842</v>
      </c>
      <c r="M485" s="49" t="s">
        <v>2369</v>
      </c>
      <c r="N485" s="356">
        <f>IFERROR(VLOOKUP(M485,'02. MM-KLH'!$B$6:$T$823,15,0),"")</f>
        <v>2025</v>
      </c>
      <c r="O485" s="764">
        <f>IFERROR(VLOOKUP(M485,'02. MM-KLH'!$B$6:$T$823,9,0),"")</f>
        <v>46176</v>
      </c>
      <c r="P485" s="765">
        <v>10126</v>
      </c>
      <c r="Q485" s="353"/>
      <c r="R485" s="765" t="s">
        <v>5978</v>
      </c>
      <c r="S485" s="353"/>
      <c r="T485" s="353"/>
      <c r="U485" s="353" t="str">
        <f>IFERROR(VLOOKUP(M485,'02. MM-KLH'!$B$6:$T$823,5,0),"")</f>
        <v>MỚI</v>
      </c>
      <c r="V485" s="731" t="str">
        <f>IFERROR(VLOOKUP(M485,'02. MM-KLH'!$B$6:$T$823,8,0),"")</f>
        <v>XN Bò AD</v>
      </c>
      <c r="W485" s="353" t="str">
        <f>IFERROR(VLOOKUP(V485,'NS QUẢN LÝ CG'!$A$4:$D$36,2,0),"")</f>
        <v/>
      </c>
      <c r="X485" s="353" t="str">
        <f>IFERROR(VLOOKUP(V485,'NS QUẢN LÝ CG'!$A$4:$D$36,4,0),"")</f>
        <v/>
      </c>
      <c r="Y485" s="353" t="str">
        <f>IFERROR(VLOOKUP(V485,'NS QUẢN LÝ CG'!$A$4:$C$36,3,0),"")</f>
        <v/>
      </c>
      <c r="Z485" s="731" t="str">
        <f>IFERROR(VLOOKUP(M485,'02. MM-KLH'!$B$6:$T$823,3,0),"")</f>
        <v>A22-XĐK-010</v>
      </c>
      <c r="AA485" s="353" t="str">
        <f t="shared" si="32"/>
        <v>ADM</v>
      </c>
      <c r="AB485" s="731"/>
      <c r="AC485" s="731"/>
    </row>
    <row r="486" spans="1:29">
      <c r="A486" s="731"/>
      <c r="B486" s="613" t="str">
        <f>IFERROR(VLOOKUP(M486,'02. MM-KLH'!$B$6:$T$823,6,0),"")</f>
        <v>Xe đầu kéo HOWO</v>
      </c>
      <c r="C486" s="353">
        <v>1</v>
      </c>
      <c r="D486" s="353" t="str">
        <f>IFERROR(VLOOKUP(M486,'02. MM-KLH'!$B$6:$T$823,16,0),"")</f>
        <v>ZZ4187N391JE1</v>
      </c>
      <c r="E486" s="353" t="s">
        <v>5978</v>
      </c>
      <c r="F486" s="353"/>
      <c r="G486" s="353"/>
      <c r="H486" s="353" t="str">
        <f>IFERROR(VLOOKUP(M486,'02. MM-KLH'!$B$6:$T$823,17,0),"")</f>
        <v>299 HP</v>
      </c>
      <c r="I486" s="763">
        <f>IFERROR(VLOOKUP(M486,'02. MM-KLH'!$B$6:$U$823,20,0),"")</f>
        <v>0</v>
      </c>
      <c r="J486" s="613" t="str">
        <f>IFERROR(VLOOKUP(M486,'02. MM-KLH'!$B$6:$T$823,19,0),"")</f>
        <v>WP7.300E51*1025G007310*</v>
      </c>
      <c r="K486" s="613" t="str">
        <f>IFERROR(VLOOKUP(M486,'02. MM-KLH'!$B$6:$T$823,18,0),"")</f>
        <v>LZZ1CCMD9SJ416135</v>
      </c>
      <c r="L486" s="353" t="str">
        <f>IFERROR(VLOOKUP(M486,'02. MM-KLH'!$B$6:$T$823,4,0),"")</f>
        <v>3A-6838</v>
      </c>
      <c r="M486" s="49" t="s">
        <v>2376</v>
      </c>
      <c r="N486" s="356">
        <f>IFERROR(VLOOKUP(M486,'02. MM-KLH'!$B$6:$T$823,15,0),"")</f>
        <v>2025</v>
      </c>
      <c r="O486" s="764">
        <f>IFERROR(VLOOKUP(M486,'02. MM-KLH'!$B$6:$T$823,9,0),"")</f>
        <v>46176</v>
      </c>
      <c r="P486" s="765">
        <v>10833</v>
      </c>
      <c r="Q486" s="353"/>
      <c r="R486" s="765" t="s">
        <v>5978</v>
      </c>
      <c r="S486" s="353"/>
      <c r="T486" s="353"/>
      <c r="U486" s="353" t="str">
        <f>IFERROR(VLOOKUP(M486,'02. MM-KLH'!$B$6:$T$823,5,0),"")</f>
        <v>MỚI</v>
      </c>
      <c r="V486" s="731" t="str">
        <f>IFERROR(VLOOKUP(M486,'02. MM-KLH'!$B$6:$T$823,8,0),"")</f>
        <v>XN Bò AD</v>
      </c>
      <c r="W486" s="353" t="str">
        <f>IFERROR(VLOOKUP(V486,'NS QUẢN LÝ CG'!$A$4:$D$36,2,0),"")</f>
        <v/>
      </c>
      <c r="X486" s="353" t="str">
        <f>IFERROR(VLOOKUP(V486,'NS QUẢN LÝ CG'!$A$4:$D$36,4,0),"")</f>
        <v/>
      </c>
      <c r="Y486" s="353" t="str">
        <f>IFERROR(VLOOKUP(V486,'NS QUẢN LÝ CG'!$A$4:$C$36,3,0),"")</f>
        <v/>
      </c>
      <c r="Z486" s="731" t="str">
        <f>IFERROR(VLOOKUP(M486,'02. MM-KLH'!$B$6:$T$823,3,0),"")</f>
        <v>A22-XĐK-011</v>
      </c>
      <c r="AA486" s="353" t="str">
        <f t="shared" si="32"/>
        <v>ADM</v>
      </c>
      <c r="AB486" s="731"/>
      <c r="AC486" s="731"/>
    </row>
    <row r="487" spans="1:29">
      <c r="A487" s="731"/>
      <c r="B487" s="613" t="str">
        <f>IFERROR(VLOOKUP(M487,'02. MM-KLH'!$B$6:$T$823,6,0),"")</f>
        <v>Xe đầu kéo HOWO</v>
      </c>
      <c r="C487" s="353">
        <v>1</v>
      </c>
      <c r="D487" s="353" t="str">
        <f>IFERROR(VLOOKUP(M487,'02. MM-KLH'!$B$6:$T$823,16,0),"")</f>
        <v>ZZ4187N391JE1</v>
      </c>
      <c r="E487" s="353" t="s">
        <v>5978</v>
      </c>
      <c r="F487" s="353"/>
      <c r="G487" s="353"/>
      <c r="H487" s="353" t="str">
        <f>IFERROR(VLOOKUP(M487,'02. MM-KLH'!$B$6:$T$823,17,0),"")</f>
        <v>299 HP</v>
      </c>
      <c r="I487" s="763">
        <f>IFERROR(VLOOKUP(M487,'02. MM-KLH'!$B$6:$U$823,20,0),"")</f>
        <v>0</v>
      </c>
      <c r="J487" s="613" t="str">
        <f>IFERROR(VLOOKUP(M487,'02. MM-KLH'!$B$6:$T$823,19,0),"")</f>
        <v>WP7.300E51*1025G007303*</v>
      </c>
      <c r="K487" s="613" t="str">
        <f>IFERROR(VLOOKUP(M487,'02. MM-KLH'!$B$6:$T$823,18,0),"")</f>
        <v>LZZ1CCMD0SJ416136</v>
      </c>
      <c r="L487" s="353" t="str">
        <f>IFERROR(VLOOKUP(M487,'02. MM-KLH'!$B$6:$T$823,4,0),"")</f>
        <v>3A-6830</v>
      </c>
      <c r="M487" s="49" t="s">
        <v>2382</v>
      </c>
      <c r="N487" s="356">
        <f>IFERROR(VLOOKUP(M487,'02. MM-KLH'!$B$6:$T$823,15,0),"")</f>
        <v>2025</v>
      </c>
      <c r="O487" s="764">
        <f>IFERROR(VLOOKUP(M487,'02. MM-KLH'!$B$6:$T$823,9,0),"")</f>
        <v>46176</v>
      </c>
      <c r="P487" s="765">
        <v>12865</v>
      </c>
      <c r="Q487" s="353"/>
      <c r="R487" s="765" t="s">
        <v>5978</v>
      </c>
      <c r="S487" s="353"/>
      <c r="T487" s="353"/>
      <c r="U487" s="353" t="str">
        <f>IFERROR(VLOOKUP(M487,'02. MM-KLH'!$B$6:$T$823,5,0),"")</f>
        <v>MỚI</v>
      </c>
      <c r="V487" s="731" t="str">
        <f>IFERROR(VLOOKUP(M487,'02. MM-KLH'!$B$6:$T$823,8,0),"")</f>
        <v>XN Bò AD</v>
      </c>
      <c r="W487" s="353" t="str">
        <f>IFERROR(VLOOKUP(V487,'NS QUẢN LÝ CG'!$A$4:$D$36,2,0),"")</f>
        <v/>
      </c>
      <c r="X487" s="353" t="str">
        <f>IFERROR(VLOOKUP(V487,'NS QUẢN LÝ CG'!$A$4:$D$36,4,0),"")</f>
        <v/>
      </c>
      <c r="Y487" s="353" t="str">
        <f>IFERROR(VLOOKUP(V487,'NS QUẢN LÝ CG'!$A$4:$C$36,3,0),"")</f>
        <v/>
      </c>
      <c r="Z487" s="731" t="str">
        <f>IFERROR(VLOOKUP(M487,'02. MM-KLH'!$B$6:$T$823,3,0),"")</f>
        <v>A22-XĐK-012</v>
      </c>
      <c r="AA487" s="353" t="str">
        <f t="shared" si="32"/>
        <v>ADM</v>
      </c>
      <c r="AB487" s="731"/>
      <c r="AC487" s="731"/>
    </row>
    <row r="488" spans="1:29">
      <c r="A488" s="731"/>
      <c r="B488" s="613" t="str">
        <f>IFERROR(VLOOKUP(M488,'02. MM-KLH'!$B$6:$T$823,6,0),"")</f>
        <v>Xe đầu kéo HOWO</v>
      </c>
      <c r="C488" s="353">
        <v>1</v>
      </c>
      <c r="D488" s="353" t="str">
        <f>IFERROR(VLOOKUP(M488,'02. MM-KLH'!$B$6:$T$823,16,0),"")</f>
        <v>ZZ4187N391JE1</v>
      </c>
      <c r="E488" s="353" t="s">
        <v>5978</v>
      </c>
      <c r="F488" s="353"/>
      <c r="G488" s="353"/>
      <c r="H488" s="353" t="str">
        <f>IFERROR(VLOOKUP(M488,'02. MM-KLH'!$B$6:$T$823,17,0),"")</f>
        <v>299 HP</v>
      </c>
      <c r="I488" s="763">
        <f>IFERROR(VLOOKUP(M488,'02. MM-KLH'!$B$6:$U$823,20,0),"")</f>
        <v>0</v>
      </c>
      <c r="J488" s="613" t="str">
        <f>IFERROR(VLOOKUP(M488,'02. MM-KLH'!$B$6:$T$823,19,0),"")</f>
        <v>WP7.300E51*1025G007301*</v>
      </c>
      <c r="K488" s="613" t="str">
        <f>IFERROR(VLOOKUP(M488,'02. MM-KLH'!$B$6:$T$823,18,0),"")</f>
        <v>LZZ1CCMD6SJ416139</v>
      </c>
      <c r="L488" s="353" t="str">
        <f>IFERROR(VLOOKUP(M488,'02. MM-KLH'!$B$6:$T$823,4,0),"")</f>
        <v>3A-6834</v>
      </c>
      <c r="M488" s="49" t="s">
        <v>2388</v>
      </c>
      <c r="N488" s="356">
        <f>IFERROR(VLOOKUP(M488,'02. MM-KLH'!$B$6:$T$823,15,0),"")</f>
        <v>2025</v>
      </c>
      <c r="O488" s="764">
        <f>IFERROR(VLOOKUP(M488,'02. MM-KLH'!$B$6:$T$823,9,0),"")</f>
        <v>46176</v>
      </c>
      <c r="P488" s="765">
        <v>13814</v>
      </c>
      <c r="Q488" s="353"/>
      <c r="R488" s="765" t="s">
        <v>5978</v>
      </c>
      <c r="S488" s="353"/>
      <c r="T488" s="353"/>
      <c r="U488" s="353" t="str">
        <f>IFERROR(VLOOKUP(M488,'02. MM-KLH'!$B$6:$T$823,5,0),"")</f>
        <v>MỚI</v>
      </c>
      <c r="V488" s="731" t="str">
        <f>IFERROR(VLOOKUP(M488,'02. MM-KLH'!$B$6:$T$823,8,0),"")</f>
        <v>XN Bò AD</v>
      </c>
      <c r="W488" s="353" t="str">
        <f>IFERROR(VLOOKUP(V488,'NS QUẢN LÝ CG'!$A$4:$D$36,2,0),"")</f>
        <v/>
      </c>
      <c r="X488" s="353" t="str">
        <f>IFERROR(VLOOKUP(V488,'NS QUẢN LÝ CG'!$A$4:$D$36,4,0),"")</f>
        <v/>
      </c>
      <c r="Y488" s="353" t="str">
        <f>IFERROR(VLOOKUP(V488,'NS QUẢN LÝ CG'!$A$4:$C$36,3,0),"")</f>
        <v/>
      </c>
      <c r="Z488" s="731" t="str">
        <f>IFERROR(VLOOKUP(M488,'02. MM-KLH'!$B$6:$T$823,3,0),"")</f>
        <v>A22-XĐK-013</v>
      </c>
      <c r="AA488" s="353" t="str">
        <f t="shared" si="32"/>
        <v>ADM</v>
      </c>
      <c r="AB488" s="731"/>
      <c r="AC488" s="731"/>
    </row>
    <row r="489" ht="13.8" spans="1:29">
      <c r="A489" s="731"/>
      <c r="B489" s="613" t="str">
        <f>IFERROR(VLOOKUP(M489,'02. MM-KLH'!$B$6:$T$823,6,0),"")</f>
        <v/>
      </c>
      <c r="C489" s="353"/>
      <c r="D489" s="353" t="str">
        <f>IFERROR(VLOOKUP(M489,'02. MM-KLH'!$B$6:$T$823,16,0),"")</f>
        <v/>
      </c>
      <c r="E489" s="353"/>
      <c r="F489" s="353"/>
      <c r="G489" s="353"/>
      <c r="H489" s="353" t="str">
        <f>IFERROR(VLOOKUP(M489,'02. MM-KLH'!$B$6:$T$823,17,0),"")</f>
        <v/>
      </c>
      <c r="I489" s="763" t="str">
        <f>IFERROR(VLOOKUP(M489,'02. MM-KLH'!$B$6:$U$823,20,0),"")</f>
        <v/>
      </c>
      <c r="J489" s="613" t="str">
        <f>IFERROR(VLOOKUP(M489,'02. MM-KLH'!$B$6:$T$823,19,0),"")</f>
        <v/>
      </c>
      <c r="K489" s="613" t="str">
        <f>IFERROR(VLOOKUP(M489,'02. MM-KLH'!$B$6:$T$823,18,0),"")</f>
        <v/>
      </c>
      <c r="L489" s="353" t="str">
        <f>IFERROR(VLOOKUP(M489,'02. MM-KLH'!$B$6:$T$823,4,0),"")</f>
        <v/>
      </c>
      <c r="M489" s="49"/>
      <c r="N489" s="356" t="str">
        <f>IFERROR(VLOOKUP(M489,'02. MM-KLH'!$B$6:$T$823,15,0),"")</f>
        <v/>
      </c>
      <c r="O489" s="764" t="str">
        <f>IFERROR(VLOOKUP(M489,'02. MM-KLH'!$B$6:$T$823,9,0),"")</f>
        <v/>
      </c>
      <c r="P489" s="353"/>
      <c r="Q489" s="353"/>
      <c r="R489" s="353"/>
      <c r="S489" s="353"/>
      <c r="T489" s="353"/>
      <c r="U489" s="353" t="str">
        <f>IFERROR(VLOOKUP(M489,'02. MM-KLH'!$B$6:$T$823,2,0),"")</f>
        <v/>
      </c>
      <c r="V489" s="731" t="str">
        <f>IFERROR(VLOOKUP(M489,'02. MM-KLH'!$B$6:$T$823,8,0),"")</f>
        <v/>
      </c>
      <c r="W489" s="353" t="str">
        <f>IFERROR(VLOOKUP(V489,'NS QUẢN LÝ CG'!$A$4:$D$36,2,0),"")</f>
        <v/>
      </c>
      <c r="X489" s="353" t="str">
        <f>IFERROR(VLOOKUP(V489,'NS QUẢN LÝ CG'!$A$4:$D$36,4,0),"")</f>
        <v/>
      </c>
      <c r="Y489" s="353"/>
      <c r="Z489" s="731" t="str">
        <f>IFERROR(VLOOKUP(M489,'02. MM-KLH'!$B$6:$T$823,3,0),"")</f>
        <v/>
      </c>
      <c r="AA489" s="353"/>
      <c r="AB489" s="731"/>
      <c r="AC489" s="731"/>
    </row>
    <row r="490" ht="13.8" spans="1:29">
      <c r="A490" s="754">
        <v>3</v>
      </c>
      <c r="B490" s="755" t="s">
        <v>2517</v>
      </c>
      <c r="C490" s="754">
        <f>COUNTA(B491:B497)</f>
        <v>7</v>
      </c>
      <c r="D490" s="756" t="str">
        <f>IFERROR(VLOOKUP(M490,'02. MM-KLH'!$B$6:$T$823,16,0),"")</f>
        <v/>
      </c>
      <c r="E490" s="756"/>
      <c r="F490" s="756"/>
      <c r="G490" s="756"/>
      <c r="H490" s="762" t="str">
        <f>IFERROR(VLOOKUP(M490,'02. MM-KLH'!$B$6:$T$823,17,0),"")</f>
        <v/>
      </c>
      <c r="I490" s="762" t="str">
        <f>IFERROR(VLOOKUP(M490,'02. MM-KLH'!$B$6:$U$823,20,0),"")</f>
        <v/>
      </c>
      <c r="J490" s="758" t="str">
        <f>IFERROR(VLOOKUP(M490,'02. MM-KLH'!$B$6:$T$823,19,0),"")</f>
        <v/>
      </c>
      <c r="K490" s="758" t="str">
        <f>IFERROR(VLOOKUP(M490,'02. MM-KLH'!$B$6:$T$823,18,0),"")</f>
        <v/>
      </c>
      <c r="L490" s="756" t="str">
        <f>IFERROR(VLOOKUP(M490,'02. MM-KLH'!$B$6:$T$823,4,0),"")</f>
        <v/>
      </c>
      <c r="M490" s="756"/>
      <c r="N490" s="756" t="str">
        <f>IFERROR(VLOOKUP(M490,'02. MM-KLH'!$B$6:$T$823,15,0),"")</f>
        <v/>
      </c>
      <c r="O490" s="760" t="str">
        <f>IFERROR(VLOOKUP(M490,'02. MM-KLH'!$B$6:$T$823,9,0),"")</f>
        <v/>
      </c>
      <c r="P490" s="756"/>
      <c r="Q490" s="756"/>
      <c r="R490" s="756"/>
      <c r="S490" s="756"/>
      <c r="T490" s="756"/>
      <c r="U490" s="756" t="str">
        <f>IFERROR(VLOOKUP(M490,'02. MM-KLH'!$B$6:$T$823,2,0),"")</f>
        <v/>
      </c>
      <c r="V490" s="762" t="str">
        <f>IFERROR(VLOOKUP(M490,'02. MM-KLH'!$B$6:$T$823,8,0),"")</f>
        <v/>
      </c>
      <c r="W490" s="756"/>
      <c r="X490" s="756"/>
      <c r="Y490" s="756"/>
      <c r="Z490" s="762" t="str">
        <f>IFERROR(VLOOKUP(M490,'02. MM-KLH'!$B$6:$T$823,3,0),"")</f>
        <v/>
      </c>
      <c r="AA490" s="756"/>
      <c r="AB490" s="762"/>
      <c r="AC490" s="762"/>
    </row>
    <row r="491" ht="13.8" spans="1:29">
      <c r="A491" s="731"/>
      <c r="B491" s="613" t="str">
        <f>IFERROR(VLOOKUP(M491,'02. MM-KLH'!$B$6:$T$823,6,0),"")</f>
        <v>Xe container FUSO FZ49</v>
      </c>
      <c r="C491" s="353">
        <v>1</v>
      </c>
      <c r="D491" s="353" t="str">
        <f>IFERROR(VLOOKUP(M491,'02. MM-KLH'!$B$6:$T$823,16,0),"")</f>
        <v>FZ49</v>
      </c>
      <c r="E491" s="353" t="s">
        <v>5978</v>
      </c>
      <c r="F491" s="353"/>
      <c r="G491" s="353"/>
      <c r="H491" s="353" t="str">
        <f>IFERROR(VLOOKUP(M491,'02. MM-KLH'!$B$6:$T$823,17,0),"")</f>
        <v>280HP</v>
      </c>
      <c r="I491" s="763">
        <f>IFERROR(VLOOKUP(M491,'02. MM-KLH'!$B$6:$U$823,20,0),"")</f>
        <v>0.49</v>
      </c>
      <c r="J491" s="613">
        <f>IFERROR(VLOOKUP(M491,'02. MM-KLH'!$B$6:$T$823,19,0),"")</f>
        <v>0</v>
      </c>
      <c r="K491" s="613" t="str">
        <f>IFERROR(VLOOKUP(M491,'02. MM-KLH'!$B$6:$T$823,18,0),"")</f>
        <v>MEC2812SCGP028677</v>
      </c>
      <c r="L491" s="353">
        <f>IFERROR(VLOOKUP(M491,'02. MM-KLH'!$B$6:$T$823,4,0),"")</f>
        <v>0</v>
      </c>
      <c r="M491" s="49" t="s">
        <v>2514</v>
      </c>
      <c r="N491" s="356">
        <f>IFERROR(VLOOKUP(M491,'02. MM-KLH'!$B$6:$T$823,15,0),"")</f>
        <v>0</v>
      </c>
      <c r="O491" s="764">
        <f>IFERROR(VLOOKUP(M491,'02. MM-KLH'!$B$6:$T$823,9,0),"")</f>
        <v>0</v>
      </c>
      <c r="P491" s="353">
        <v>370.738</v>
      </c>
      <c r="Q491" s="353"/>
      <c r="R491" s="353" t="s">
        <v>5978</v>
      </c>
      <c r="S491" s="353"/>
      <c r="T491" s="353"/>
      <c r="U491" s="353" t="str">
        <f>IFERROR(VLOOKUP(M491,'02. MM-KLH'!$B$6:$T$823,5,0),"")</f>
        <v>THUÊ THILOGI</v>
      </c>
      <c r="V491" s="731" t="str">
        <f>IFERROR(VLOOKUP(M491,'02. MM-KLH'!$B$6:$T$823,8,0),"")</f>
        <v>Phòng GNVC</v>
      </c>
      <c r="W491" s="353" t="str">
        <f>IFERROR(VLOOKUP(V491,'NS QUẢN LÝ CG'!$A$4:$D$36,2,0),"")</f>
        <v/>
      </c>
      <c r="X491" s="353" t="str">
        <f>IFERROR(VLOOKUP(V491,'NS QUẢN LÝ CG'!$A$4:$D$36,4,0),"")</f>
        <v/>
      </c>
      <c r="Y491" s="353" t="str">
        <f>IFERROR(VLOOKUP(V491,'NS QUẢN LÝ CG'!$A$4:$C$36,3,0),"")</f>
        <v/>
      </c>
      <c r="Z491" s="731" t="str">
        <f>IFERROR(VLOOKUP(M491,'02. MM-KLH'!$B$6:$T$823,3,0),"")</f>
        <v>A23-COT-001</v>
      </c>
      <c r="AA491" s="353" t="str">
        <f t="shared" ref="AA491:AA496" si="33">_xlfn.SWITCH(LEFT(Z491,3),"A22","ADM","A23","DP","A24","LP","")</f>
        <v>DP</v>
      </c>
      <c r="AB491" s="731"/>
      <c r="AC491" s="731"/>
    </row>
    <row r="492" ht="13.8" spans="1:29">
      <c r="A492" s="731"/>
      <c r="B492" s="613" t="str">
        <f>IFERROR(VLOOKUP(M492,'02. MM-KLH'!$B$6:$T$823,6,0),"")</f>
        <v>Xe container FUSO FZ49</v>
      </c>
      <c r="C492" s="353">
        <v>1</v>
      </c>
      <c r="D492" s="353" t="str">
        <f>IFERROR(VLOOKUP(M492,'02. MM-KLH'!$B$6:$T$823,16,0),"")</f>
        <v>FZ49</v>
      </c>
      <c r="E492" s="353" t="s">
        <v>5978</v>
      </c>
      <c r="F492" s="353"/>
      <c r="G492" s="353"/>
      <c r="H492" s="353" t="str">
        <f>IFERROR(VLOOKUP(M492,'02. MM-KLH'!$B$6:$T$823,17,0),"")</f>
        <v>280HP</v>
      </c>
      <c r="I492" s="763">
        <f>IFERROR(VLOOKUP(M492,'02. MM-KLH'!$B$6:$U$823,20,0),"")</f>
        <v>0.49</v>
      </c>
      <c r="J492" s="613">
        <f>IFERROR(VLOOKUP(M492,'02. MM-KLH'!$B$6:$T$823,19,0),"")</f>
        <v>0</v>
      </c>
      <c r="K492" s="613" t="str">
        <f>IFERROR(VLOOKUP(M492,'02. MM-KLH'!$B$6:$T$823,18,0),"")</f>
        <v>MEC2812SCGP028311</v>
      </c>
      <c r="L492" s="353">
        <f>IFERROR(VLOOKUP(M492,'02. MM-KLH'!$B$6:$T$823,4,0),"")</f>
        <v>0</v>
      </c>
      <c r="M492" s="49" t="s">
        <v>2520</v>
      </c>
      <c r="N492" s="356">
        <f>IFERROR(VLOOKUP(M492,'02. MM-KLH'!$B$6:$T$823,15,0),"")</f>
        <v>0</v>
      </c>
      <c r="O492" s="764">
        <f>IFERROR(VLOOKUP(M492,'02. MM-KLH'!$B$6:$T$823,9,0),"")</f>
        <v>0</v>
      </c>
      <c r="P492" s="353">
        <v>356.396</v>
      </c>
      <c r="Q492" s="353"/>
      <c r="R492" s="353" t="s">
        <v>5978</v>
      </c>
      <c r="S492" s="353"/>
      <c r="T492" s="353"/>
      <c r="U492" s="353" t="str">
        <f>IFERROR(VLOOKUP(M492,'02. MM-KLH'!$B$6:$T$823,5,0),"")</f>
        <v>THUÊ THILOGI</v>
      </c>
      <c r="V492" s="731" t="str">
        <f>IFERROR(VLOOKUP(M492,'02. MM-KLH'!$B$6:$T$823,8,0),"")</f>
        <v>Phòng GNVC</v>
      </c>
      <c r="W492" s="353" t="str">
        <f>IFERROR(VLOOKUP(V492,'NS QUẢN LÝ CG'!$A$4:$D$36,2,0),"")</f>
        <v/>
      </c>
      <c r="X492" s="353" t="str">
        <f>IFERROR(VLOOKUP(V492,'NS QUẢN LÝ CG'!$A$4:$D$36,4,0),"")</f>
        <v/>
      </c>
      <c r="Y492" s="353" t="str">
        <f>IFERROR(VLOOKUP(V492,'NS QUẢN LÝ CG'!$A$4:$C$36,3,0),"")</f>
        <v/>
      </c>
      <c r="Z492" s="731" t="str">
        <f>IFERROR(VLOOKUP(M492,'02. MM-KLH'!$B$6:$T$823,3,0),"")</f>
        <v>A23-COT-002</v>
      </c>
      <c r="AA492" s="353" t="str">
        <f t="shared" si="33"/>
        <v>DP</v>
      </c>
      <c r="AB492" s="731"/>
      <c r="AC492" s="731"/>
    </row>
    <row r="493" ht="13.8" spans="1:29">
      <c r="A493" s="731"/>
      <c r="B493" s="613" t="str">
        <f>IFERROR(VLOOKUP(M493,'02. MM-KLH'!$B$6:$T$823,6,0),"")</f>
        <v>Xe container FUSO FZ49</v>
      </c>
      <c r="C493" s="353">
        <v>1</v>
      </c>
      <c r="D493" s="353" t="str">
        <f>IFERROR(VLOOKUP(M493,'02. MM-KLH'!$B$6:$T$823,16,0),"")</f>
        <v>FZ49</v>
      </c>
      <c r="E493" s="353" t="s">
        <v>5978</v>
      </c>
      <c r="F493" s="353"/>
      <c r="G493" s="353"/>
      <c r="H493" s="353" t="str">
        <f>IFERROR(VLOOKUP(M493,'02. MM-KLH'!$B$6:$T$823,17,0),"")</f>
        <v>280HP</v>
      </c>
      <c r="I493" s="763">
        <f>IFERROR(VLOOKUP(M493,'02. MM-KLH'!$B$6:$U$823,20,0),"")</f>
        <v>0.49</v>
      </c>
      <c r="J493" s="613">
        <f>IFERROR(VLOOKUP(M493,'02. MM-KLH'!$B$6:$T$823,19,0),"")</f>
        <v>0</v>
      </c>
      <c r="K493" s="613" t="str">
        <f>IFERROR(VLOOKUP(M493,'02. MM-KLH'!$B$6:$T$823,18,0),"")</f>
        <v>MEC2812SCGP029295</v>
      </c>
      <c r="L493" s="353">
        <f>IFERROR(VLOOKUP(M493,'02. MM-KLH'!$B$6:$T$823,4,0),"")</f>
        <v>0</v>
      </c>
      <c r="M493" s="49" t="s">
        <v>2523</v>
      </c>
      <c r="N493" s="356">
        <f>IFERROR(VLOOKUP(M493,'02. MM-KLH'!$B$6:$T$823,15,0),"")</f>
        <v>0</v>
      </c>
      <c r="O493" s="764">
        <f>IFERROR(VLOOKUP(M493,'02. MM-KLH'!$B$6:$T$823,9,0),"")</f>
        <v>0</v>
      </c>
      <c r="P493" s="353">
        <v>395.591</v>
      </c>
      <c r="Q493" s="353"/>
      <c r="R493" s="353" t="s">
        <v>5978</v>
      </c>
      <c r="S493" s="353"/>
      <c r="T493" s="353"/>
      <c r="U493" s="353" t="str">
        <f>IFERROR(VLOOKUP(M493,'02. MM-KLH'!$B$6:$T$823,5,0),"")</f>
        <v>THUÊ THILOGI</v>
      </c>
      <c r="V493" s="731" t="str">
        <f>IFERROR(VLOOKUP(M493,'02. MM-KLH'!$B$6:$T$823,8,0),"")</f>
        <v>Phòng GNVC</v>
      </c>
      <c r="W493" s="353" t="str">
        <f>IFERROR(VLOOKUP(V493,'NS QUẢN LÝ CG'!$A$4:$D$36,2,0),"")</f>
        <v/>
      </c>
      <c r="X493" s="353" t="str">
        <f>IFERROR(VLOOKUP(V493,'NS QUẢN LÝ CG'!$A$4:$D$36,4,0),"")</f>
        <v/>
      </c>
      <c r="Y493" s="353" t="str">
        <f>IFERROR(VLOOKUP(V493,'NS QUẢN LÝ CG'!$A$4:$C$36,3,0),"")</f>
        <v/>
      </c>
      <c r="Z493" s="731" t="str">
        <f>IFERROR(VLOOKUP(M493,'02. MM-KLH'!$B$6:$T$823,3,0),"")</f>
        <v>A23-COT-003</v>
      </c>
      <c r="AA493" s="353" t="str">
        <f t="shared" si="33"/>
        <v>DP</v>
      </c>
      <c r="AB493" s="731"/>
      <c r="AC493" s="731"/>
    </row>
    <row r="494" ht="13.8" spans="1:29">
      <c r="A494" s="731"/>
      <c r="B494" s="613" t="str">
        <f>IFERROR(VLOOKUP(M494,'02. MM-KLH'!$B$6:$T$823,6,0),"")</f>
        <v>Xe container FUSO FZ49</v>
      </c>
      <c r="C494" s="353">
        <v>1</v>
      </c>
      <c r="D494" s="353" t="str">
        <f>IFERROR(VLOOKUP(M494,'02. MM-KLH'!$B$6:$T$823,16,0),"")</f>
        <v>FZ49</v>
      </c>
      <c r="E494" s="353" t="s">
        <v>5978</v>
      </c>
      <c r="F494" s="353"/>
      <c r="G494" s="353"/>
      <c r="H494" s="353" t="str">
        <f>IFERROR(VLOOKUP(M494,'02. MM-KLH'!$B$6:$T$823,17,0),"")</f>
        <v>280HP</v>
      </c>
      <c r="I494" s="763">
        <f>IFERROR(VLOOKUP(M494,'02. MM-KLH'!$B$6:$U$823,20,0),"")</f>
        <v>0.49</v>
      </c>
      <c r="J494" s="613">
        <f>IFERROR(VLOOKUP(M494,'02. MM-KLH'!$B$6:$T$823,19,0),"")</f>
        <v>0</v>
      </c>
      <c r="K494" s="613" t="str">
        <f>IFERROR(VLOOKUP(M494,'02. MM-KLH'!$B$6:$T$823,18,0),"")</f>
        <v>MEC2812SCGP028625</v>
      </c>
      <c r="L494" s="353">
        <f>IFERROR(VLOOKUP(M494,'02. MM-KLH'!$B$6:$T$823,4,0),"")</f>
        <v>0</v>
      </c>
      <c r="M494" s="49" t="s">
        <v>2526</v>
      </c>
      <c r="N494" s="356">
        <f>IFERROR(VLOOKUP(M494,'02. MM-KLH'!$B$6:$T$823,15,0),"")</f>
        <v>0</v>
      </c>
      <c r="O494" s="764">
        <f>IFERROR(VLOOKUP(M494,'02. MM-KLH'!$B$6:$T$823,9,0),"")</f>
        <v>0</v>
      </c>
      <c r="P494" s="353">
        <v>298.101</v>
      </c>
      <c r="Q494" s="353"/>
      <c r="R494" s="353" t="s">
        <v>5978</v>
      </c>
      <c r="S494" s="353"/>
      <c r="T494" s="353"/>
      <c r="U494" s="353" t="str">
        <f>IFERROR(VLOOKUP(M494,'02. MM-KLH'!$B$6:$T$823,5,0),"")</f>
        <v>THUÊ THILOGI</v>
      </c>
      <c r="V494" s="731" t="str">
        <f>IFERROR(VLOOKUP(M494,'02. MM-KLH'!$B$6:$T$823,8,0),"")</f>
        <v>Phòng GNVC</v>
      </c>
      <c r="W494" s="353" t="str">
        <f>IFERROR(VLOOKUP(V494,'NS QUẢN LÝ CG'!$A$4:$D$36,2,0),"")</f>
        <v/>
      </c>
      <c r="X494" s="353" t="str">
        <f>IFERROR(VLOOKUP(V494,'NS QUẢN LÝ CG'!$A$4:$D$36,4,0),"")</f>
        <v/>
      </c>
      <c r="Y494" s="353" t="str">
        <f>IFERROR(VLOOKUP(V494,'NS QUẢN LÝ CG'!$A$4:$C$36,3,0),"")</f>
        <v/>
      </c>
      <c r="Z494" s="731" t="str">
        <f>IFERROR(VLOOKUP(M494,'02. MM-KLH'!$B$6:$T$823,3,0),"")</f>
        <v>A23-COT-004</v>
      </c>
      <c r="AA494" s="353" t="str">
        <f t="shared" si="33"/>
        <v>DP</v>
      </c>
      <c r="AB494" s="731"/>
      <c r="AC494" s="731"/>
    </row>
    <row r="495" ht="13.8" spans="1:29">
      <c r="A495" s="731"/>
      <c r="B495" s="613" t="str">
        <f>IFERROR(VLOOKUP(M495,'02. MM-KLH'!$B$6:$T$823,6,0),"")</f>
        <v>Xe container FUSO FZ49</v>
      </c>
      <c r="C495" s="353">
        <v>1</v>
      </c>
      <c r="D495" s="353" t="str">
        <f>IFERROR(VLOOKUP(M495,'02. MM-KLH'!$B$6:$T$823,16,0),"")</f>
        <v>FZ49</v>
      </c>
      <c r="E495" s="353" t="s">
        <v>5978</v>
      </c>
      <c r="F495" s="353"/>
      <c r="G495" s="353"/>
      <c r="H495" s="353" t="str">
        <f>IFERROR(VLOOKUP(M495,'02. MM-KLH'!$B$6:$T$823,17,0),"")</f>
        <v>280HP</v>
      </c>
      <c r="I495" s="763">
        <f>IFERROR(VLOOKUP(M495,'02. MM-KLH'!$B$6:$U$823,20,0),"")</f>
        <v>0.49</v>
      </c>
      <c r="J495" s="613">
        <f>IFERROR(VLOOKUP(M495,'02. MM-KLH'!$B$6:$T$823,19,0),"")</f>
        <v>0</v>
      </c>
      <c r="K495" s="613" t="str">
        <f>IFERROR(VLOOKUP(M495,'02. MM-KLH'!$B$6:$T$823,18,0),"")</f>
        <v>MEC2812SCGP028373</v>
      </c>
      <c r="L495" s="353">
        <f>IFERROR(VLOOKUP(M495,'02. MM-KLH'!$B$6:$T$823,4,0),"")</f>
        <v>0</v>
      </c>
      <c r="M495" s="49" t="s">
        <v>2529</v>
      </c>
      <c r="N495" s="356">
        <f>IFERROR(VLOOKUP(M495,'02. MM-KLH'!$B$6:$T$823,15,0),"")</f>
        <v>0</v>
      </c>
      <c r="O495" s="764">
        <f>IFERROR(VLOOKUP(M495,'02. MM-KLH'!$B$6:$T$823,9,0),"")</f>
        <v>0</v>
      </c>
      <c r="P495" s="353">
        <v>433.161</v>
      </c>
      <c r="Q495" s="353"/>
      <c r="R495" s="353" t="s">
        <v>5978</v>
      </c>
      <c r="S495" s="353"/>
      <c r="T495" s="353"/>
      <c r="U495" s="353" t="str">
        <f>IFERROR(VLOOKUP(M495,'02. MM-KLH'!$B$6:$T$823,5,0),"")</f>
        <v>THUÊ THILOGI</v>
      </c>
      <c r="V495" s="731" t="str">
        <f>IFERROR(VLOOKUP(M495,'02. MM-KLH'!$B$6:$T$823,8,0),"")</f>
        <v>Phòng GNVC</v>
      </c>
      <c r="W495" s="353" t="str">
        <f>IFERROR(VLOOKUP(V495,'NS QUẢN LÝ CG'!$A$4:$D$36,2,0),"")</f>
        <v/>
      </c>
      <c r="X495" s="353" t="str">
        <f>IFERROR(VLOOKUP(V495,'NS QUẢN LÝ CG'!$A$4:$D$36,4,0),"")</f>
        <v/>
      </c>
      <c r="Y495" s="353" t="str">
        <f>IFERROR(VLOOKUP(V495,'NS QUẢN LÝ CG'!$A$4:$C$36,3,0),"")</f>
        <v/>
      </c>
      <c r="Z495" s="731" t="str">
        <f>IFERROR(VLOOKUP(M495,'02. MM-KLH'!$B$6:$T$823,3,0),"")</f>
        <v>A23-COT-005</v>
      </c>
      <c r="AA495" s="353" t="str">
        <f t="shared" si="33"/>
        <v>DP</v>
      </c>
      <c r="AB495" s="731"/>
      <c r="AC495" s="731"/>
    </row>
    <row r="496" ht="13.8" spans="1:29">
      <c r="A496" s="731"/>
      <c r="B496" s="613" t="str">
        <f>IFERROR(VLOOKUP(M496,'02. MM-KLH'!$B$6:$T$823,6,0),"")</f>
        <v>Xe container FUSO FZ49</v>
      </c>
      <c r="C496" s="353">
        <v>1</v>
      </c>
      <c r="D496" s="353" t="str">
        <f>IFERROR(VLOOKUP(M496,'02. MM-KLH'!$B$6:$T$823,16,0),"")</f>
        <v>FZ49</v>
      </c>
      <c r="E496" s="353" t="s">
        <v>5978</v>
      </c>
      <c r="F496" s="353"/>
      <c r="G496" s="353"/>
      <c r="H496" s="353" t="str">
        <f>IFERROR(VLOOKUP(M496,'02. MM-KLH'!$B$6:$T$823,17,0),"")</f>
        <v>280HP</v>
      </c>
      <c r="I496" s="763">
        <f>IFERROR(VLOOKUP(M496,'02. MM-KLH'!$B$6:$U$823,20,0),"")</f>
        <v>0.49</v>
      </c>
      <c r="J496" s="613" t="str">
        <f>IFERROR(VLOOKUP(M496,'02. MM-KLH'!$B$6:$T$823,19,0),"")</f>
        <v>Thay cho TND-COT-006</v>
      </c>
      <c r="K496" s="613" t="str">
        <f>IFERROR(VLOOKUP(M496,'02. MM-KLH'!$B$6:$T$823,18,0),"")</f>
        <v>MEC2812SCGP028586</v>
      </c>
      <c r="L496" s="353">
        <f>IFERROR(VLOOKUP(M496,'02. MM-KLH'!$B$6:$T$823,4,0),"")</f>
        <v>0</v>
      </c>
      <c r="M496" s="49" t="s">
        <v>2532</v>
      </c>
      <c r="N496" s="356">
        <f>IFERROR(VLOOKUP(M496,'02. MM-KLH'!$B$6:$T$823,15,0),"")</f>
        <v>0</v>
      </c>
      <c r="O496" s="764">
        <f>IFERROR(VLOOKUP(M496,'02. MM-KLH'!$B$6:$T$823,9,0),"")</f>
        <v>0</v>
      </c>
      <c r="P496" s="353">
        <v>331.841</v>
      </c>
      <c r="Q496" s="353"/>
      <c r="R496" s="353" t="s">
        <v>5978</v>
      </c>
      <c r="S496" s="353"/>
      <c r="T496" s="353"/>
      <c r="U496" s="353" t="str">
        <f>IFERROR(VLOOKUP(M496,'02. MM-KLH'!$B$6:$T$823,5,0),"")</f>
        <v>THUÊ THILOGI</v>
      </c>
      <c r="V496" s="731" t="str">
        <f>IFERROR(VLOOKUP(M496,'02. MM-KLH'!$B$6:$T$823,8,0),"")</f>
        <v>Phòng GNVC</v>
      </c>
      <c r="W496" s="353" t="str">
        <f>IFERROR(VLOOKUP(V496,'NS QUẢN LÝ CG'!$A$4:$D$36,2,0),"")</f>
        <v/>
      </c>
      <c r="X496" s="353" t="str">
        <f>IFERROR(VLOOKUP(V496,'NS QUẢN LÝ CG'!$A$4:$D$36,4,0),"")</f>
        <v/>
      </c>
      <c r="Y496" s="353" t="str">
        <f>IFERROR(VLOOKUP(V496,'NS QUẢN LÝ CG'!$A$4:$C$36,3,0),"")</f>
        <v/>
      </c>
      <c r="Z496" s="731" t="str">
        <f>IFERROR(VLOOKUP(M496,'02. MM-KLH'!$B$6:$T$823,3,0),"")</f>
        <v>A23-COT-006</v>
      </c>
      <c r="AA496" s="353" t="str">
        <f t="shared" si="33"/>
        <v>DP</v>
      </c>
      <c r="AB496" s="731"/>
      <c r="AC496" s="731"/>
    </row>
    <row r="497" ht="13.8" spans="1:29">
      <c r="A497" s="731"/>
      <c r="B497" s="613" t="str">
        <f>IFERROR(VLOOKUP(M497,'02. MM-KLH'!$B$6:$T$823,6,0),"")</f>
        <v/>
      </c>
      <c r="C497" s="353"/>
      <c r="D497" s="353" t="str">
        <f>IFERROR(VLOOKUP(M497,'02. MM-KLH'!$B$6:$T$823,16,0),"")</f>
        <v/>
      </c>
      <c r="E497" s="353"/>
      <c r="F497" s="353"/>
      <c r="G497" s="353"/>
      <c r="H497" s="353" t="str">
        <f>IFERROR(VLOOKUP(M497,'02. MM-KLH'!$B$6:$T$823,17,0),"")</f>
        <v/>
      </c>
      <c r="I497" s="763" t="str">
        <f>IFERROR(VLOOKUP(M497,'02. MM-KLH'!$B$6:$U$823,20,0),"")</f>
        <v/>
      </c>
      <c r="J497" s="613" t="str">
        <f>IFERROR(VLOOKUP(M497,'02. MM-KLH'!$B$6:$T$823,19,0),"")</f>
        <v/>
      </c>
      <c r="K497" s="613" t="str">
        <f>IFERROR(VLOOKUP(M497,'02. MM-KLH'!$B$6:$T$823,18,0),"")</f>
        <v/>
      </c>
      <c r="L497" s="353" t="str">
        <f>IFERROR(VLOOKUP(M497,'02. MM-KLH'!$B$6:$T$823,4,0),"")</f>
        <v/>
      </c>
      <c r="M497" s="49"/>
      <c r="N497" s="356" t="str">
        <f>IFERROR(VLOOKUP(M497,'02. MM-KLH'!$B$6:$T$823,15,0),"")</f>
        <v/>
      </c>
      <c r="O497" s="764" t="str">
        <f>IFERROR(VLOOKUP(M497,'02. MM-KLH'!$B$6:$T$823,9,0),"")</f>
        <v/>
      </c>
      <c r="P497" s="353"/>
      <c r="Q497" s="353"/>
      <c r="R497" s="353"/>
      <c r="S497" s="353"/>
      <c r="T497" s="353"/>
      <c r="U497" s="353" t="str">
        <f>IFERROR(VLOOKUP(M497,'02. MM-KLH'!$B$6:$T$823,2,0),"")</f>
        <v/>
      </c>
      <c r="V497" s="731" t="str">
        <f>IFERROR(VLOOKUP(M497,'02. MM-KLH'!$B$6:$T$823,8,0),"")</f>
        <v/>
      </c>
      <c r="W497" s="353" t="str">
        <f>IFERROR(VLOOKUP(V497,'NS QUẢN LÝ CG'!$A$4:$D$36,2,0),"")</f>
        <v/>
      </c>
      <c r="X497" s="353" t="str">
        <f>IFERROR(VLOOKUP(V497,'NS QUẢN LÝ CG'!$A$4:$D$36,4,0),"")</f>
        <v/>
      </c>
      <c r="Y497" s="353"/>
      <c r="Z497" s="731" t="str">
        <f>IFERROR(VLOOKUP(M497,'02. MM-KLH'!$B$6:$T$823,3,0),"")</f>
        <v/>
      </c>
      <c r="AA497" s="353"/>
      <c r="AB497" s="731"/>
      <c r="AC497" s="731"/>
    </row>
    <row r="498" spans="1:29">
      <c r="A498" s="747" t="s">
        <v>3375</v>
      </c>
      <c r="B498" s="748" t="s">
        <v>5995</v>
      </c>
      <c r="C498" s="747">
        <f>COUNTA(B499:B514)</f>
        <v>16</v>
      </c>
      <c r="D498" s="749"/>
      <c r="E498" s="749"/>
      <c r="F498" s="749"/>
      <c r="G498" s="749"/>
      <c r="H498" s="749"/>
      <c r="I498" s="750"/>
      <c r="J498" s="751"/>
      <c r="K498" s="751"/>
      <c r="L498" s="749"/>
      <c r="M498" s="749"/>
      <c r="N498" s="749"/>
      <c r="O498" s="752"/>
      <c r="P498" s="749"/>
      <c r="Q498" s="749"/>
      <c r="R498" s="749"/>
      <c r="S498" s="749"/>
      <c r="T498" s="749"/>
      <c r="U498" s="749"/>
      <c r="V498" s="750"/>
      <c r="W498" s="749"/>
      <c r="X498" s="749"/>
      <c r="Y498" s="749"/>
      <c r="Z498" s="750"/>
      <c r="AA498" s="749"/>
      <c r="AB498" s="750"/>
      <c r="AC498" s="753"/>
    </row>
    <row r="499" ht="13.8" spans="1:29">
      <c r="A499" s="731"/>
      <c r="B499" s="613" t="str">
        <f>IFERROR(VLOOKUP(M499,'02. MM-KLH'!$B$6:$T$823,6,0),"")</f>
        <v>Xe tải chuyên dụng (cabin đôi)</v>
      </c>
      <c r="C499" s="353">
        <v>1</v>
      </c>
      <c r="D499" s="353" t="str">
        <f>IFERROR(VLOOKUP(M499,'02. MM-KLH'!$B$6:$T$823,16,0),"")</f>
        <v>FRONTIER K200SD</v>
      </c>
      <c r="E499" s="353" t="s">
        <v>5978</v>
      </c>
      <c r="F499" s="353"/>
      <c r="G499" s="353"/>
      <c r="H499" s="353" t="str">
        <f>IFERROR(VLOOKUP(M499,'02. MM-KLH'!$B$6:$T$823,17,0),"")</f>
        <v>130HP</v>
      </c>
      <c r="I499" s="763">
        <f>IFERROR(VLOOKUP(M499,'02. MM-KLH'!$B$6:$U$823,20,0),"")</f>
        <v>0</v>
      </c>
      <c r="J499" s="613" t="str">
        <f>IFERROR(VLOOKUP(M499,'02. MM-KLH'!$B$6:$T$823,19,0),"")</f>
        <v>MD534241D4CB</v>
      </c>
      <c r="K499" s="613" t="str">
        <f>IFERROR(VLOOKUP(M499,'02. MM-KLH'!$B$6:$T$823,18,0),"")</f>
        <v>RNHF39KHBMT045336</v>
      </c>
      <c r="L499" s="353" t="str">
        <f>IFERROR(VLOOKUP(M499,'02. MM-KLH'!$B$6:$T$823,4,0),"")</f>
        <v>2A-0490</v>
      </c>
      <c r="M499" s="49" t="s">
        <v>1150</v>
      </c>
      <c r="N499" s="356">
        <f>IFERROR(VLOOKUP(M499,'02. MM-KLH'!$B$6:$T$823,15,0),"")</f>
        <v>2021</v>
      </c>
      <c r="O499" s="764">
        <f>IFERROR(VLOOKUP(M499,'02. MM-KLH'!$B$6:$T$823,9,0),"")</f>
        <v>45566</v>
      </c>
      <c r="P499" s="353"/>
      <c r="Q499" s="353"/>
      <c r="R499" s="353" t="s">
        <v>5978</v>
      </c>
      <c r="S499" s="353"/>
      <c r="T499" s="353"/>
      <c r="U499" s="353" t="str">
        <f>IFERROR(VLOOKUP(M499,'02. MM-KLH'!$B$6:$T$823,5,0),"")</f>
        <v>ĐQSD</v>
      </c>
      <c r="V499" s="731" t="str">
        <f>IFERROR(VLOOKUP(M499,'02. MM-KLH'!$B$6:$T$823,8,0),"")</f>
        <v>XN Chuối DP1</v>
      </c>
      <c r="W499" s="353" t="str">
        <f>IFERROR(VLOOKUP(V499,'NS QUẢN LÝ CG'!$A$4:$D$36,2,0),"")</f>
        <v/>
      </c>
      <c r="X499" s="353" t="str">
        <f>IFERROR(VLOOKUP(V499,'NS QUẢN LÝ CG'!$A$4:$D$36,4,0),"")</f>
        <v/>
      </c>
      <c r="Y499" s="353" t="str">
        <f>IFERROR(VLOOKUP(V499,'NS QUẢN LÝ CG'!$A$4:$C$36,3,0),"")</f>
        <v/>
      </c>
      <c r="Z499" s="731" t="str">
        <f>IFERROR(VLOOKUP(M499,'02. MM-KLH'!$B$6:$T$823,3,0),"")</f>
        <v>ATT-A22-0314</v>
      </c>
      <c r="AA499" s="353" t="s">
        <v>5980</v>
      </c>
      <c r="AB499" s="731"/>
      <c r="AC499" s="731"/>
    </row>
    <row r="500" ht="13.8" spans="1:29">
      <c r="A500" s="731"/>
      <c r="B500" s="613" t="str">
        <f>IFERROR(VLOOKUP(M500,'02. MM-KLH'!$B$6:$T$823,6,0),"")</f>
        <v>Xe tải chuyên dụng (cabin đôi)</v>
      </c>
      <c r="C500" s="353">
        <v>1</v>
      </c>
      <c r="D500" s="353" t="str">
        <f>IFERROR(VLOOKUP(M500,'02. MM-KLH'!$B$6:$T$823,16,0),"")</f>
        <v>FRONTIER K200SD</v>
      </c>
      <c r="E500" s="353" t="s">
        <v>5978</v>
      </c>
      <c r="F500" s="353"/>
      <c r="G500" s="353"/>
      <c r="H500" s="353" t="str">
        <f>IFERROR(VLOOKUP(M500,'02. MM-KLH'!$B$6:$T$823,17,0),"")</f>
        <v>130HP</v>
      </c>
      <c r="I500" s="763">
        <f>IFERROR(VLOOKUP(M500,'02. MM-KLH'!$B$6:$U$823,20,0),"")</f>
        <v>0</v>
      </c>
      <c r="J500" s="613" t="str">
        <f>IFERROR(VLOOKUP(M500,'02. MM-KLH'!$B$6:$T$823,19,0),"")</f>
        <v>MD540079D4CB</v>
      </c>
      <c r="K500" s="613" t="str">
        <f>IFERROR(VLOOKUP(M500,'02. MM-KLH'!$B$6:$T$823,18,0),"")</f>
        <v>RNHF39KHBMT045667</v>
      </c>
      <c r="L500" s="353" t="str">
        <f>IFERROR(VLOOKUP(M500,'02. MM-KLH'!$B$6:$T$823,4,0),"")</f>
        <v>2A-0494</v>
      </c>
      <c r="M500" s="49" t="s">
        <v>1273</v>
      </c>
      <c r="N500" s="356">
        <f>IFERROR(VLOOKUP(M500,'02. MM-KLH'!$B$6:$T$823,15,0),"")</f>
        <v>2021</v>
      </c>
      <c r="O500" s="764">
        <f>IFERROR(VLOOKUP(M500,'02. MM-KLH'!$B$6:$T$823,9,0),"")</f>
        <v>45566</v>
      </c>
      <c r="P500" s="353"/>
      <c r="Q500" s="353"/>
      <c r="R500" s="353" t="s">
        <v>5978</v>
      </c>
      <c r="S500" s="353"/>
      <c r="T500" s="353"/>
      <c r="U500" s="353" t="str">
        <f>IFERROR(VLOOKUP(M500,'02. MM-KLH'!$B$6:$T$823,5,0),"")</f>
        <v> MỚI</v>
      </c>
      <c r="V500" s="731" t="str">
        <f>IFERROR(VLOOKUP(M500,'02. MM-KLH'!$B$6:$T$823,8,0),"")</f>
        <v>XN Chuối DP2</v>
      </c>
      <c r="W500" s="353" t="str">
        <f>IFERROR(VLOOKUP(V500,'NS QUẢN LÝ CG'!$A$4:$D$36,2,0),"")</f>
        <v/>
      </c>
      <c r="X500" s="353" t="str">
        <f>IFERROR(VLOOKUP(V500,'NS QUẢN LÝ CG'!$A$4:$D$36,4,0),"")</f>
        <v/>
      </c>
      <c r="Y500" s="353" t="str">
        <f>IFERROR(VLOOKUP(V500,'NS QUẢN LÝ CG'!$A$4:$C$36,3,0),"")</f>
        <v/>
      </c>
      <c r="Z500" s="731" t="str">
        <f>IFERROR(VLOOKUP(M500,'02. MM-KLH'!$B$6:$T$823,3,0),"")</f>
        <v>ATT-A22-0315</v>
      </c>
      <c r="AA500" s="353" t="s">
        <v>5980</v>
      </c>
      <c r="AB500" s="731"/>
      <c r="AC500" s="731"/>
    </row>
    <row r="501" spans="1:29">
      <c r="A501" s="731"/>
      <c r="B501" s="613" t="str">
        <f>IFERROR(VLOOKUP(M501,'02. MM-KLH'!$B$6:$T$823,6,0),"")</f>
        <v>Xe tải chuyên dụng (cabin đôi)</v>
      </c>
      <c r="C501" s="353">
        <v>1</v>
      </c>
      <c r="D501" s="353" t="str">
        <f>IFERROR(VLOOKUP(M501,'02. MM-KLH'!$B$6:$T$823,16,0),"")</f>
        <v>FRONTIER K200SD</v>
      </c>
      <c r="E501" s="353" t="s">
        <v>5978</v>
      </c>
      <c r="F501" s="353"/>
      <c r="G501" s="353"/>
      <c r="H501" s="353" t="str">
        <f>IFERROR(VLOOKUP(M501,'02. MM-KLH'!$B$6:$T$823,17,0),"")</f>
        <v>130HP</v>
      </c>
      <c r="I501" s="763">
        <f>IFERROR(VLOOKUP(M501,'02. MM-KLH'!$B$6:$U$823,20,0),"")</f>
        <v>0</v>
      </c>
      <c r="J501" s="613" t="str">
        <f>IFERROR(VLOOKUP(M501,'02. MM-KLH'!$B$6:$T$823,19,0),"")</f>
        <v>MD540070D4CB</v>
      </c>
      <c r="K501" s="613" t="str">
        <f>IFERROR(VLOOKUP(M501,'02. MM-KLH'!$B$6:$T$823,18,0),"")</f>
        <v>RNHF39KHBMT045629</v>
      </c>
      <c r="L501" s="353" t="str">
        <f>IFERROR(VLOOKUP(M501,'02. MM-KLH'!$B$6:$T$823,4,0),"")</f>
        <v>2A-0493</v>
      </c>
      <c r="M501" s="49" t="s">
        <v>1374</v>
      </c>
      <c r="N501" s="356">
        <f>IFERROR(VLOOKUP(M501,'02. MM-KLH'!$B$6:$T$823,15,0),"")</f>
        <v>2021</v>
      </c>
      <c r="O501" s="764">
        <f>IFERROR(VLOOKUP(M501,'02. MM-KLH'!$B$6:$T$823,9,0),"")</f>
        <v>45566</v>
      </c>
      <c r="P501" s="765">
        <v>63363</v>
      </c>
      <c r="Q501" s="353"/>
      <c r="R501" s="353" t="s">
        <v>5978</v>
      </c>
      <c r="S501" s="353"/>
      <c r="T501" s="353"/>
      <c r="U501" s="353" t="str">
        <f>IFERROR(VLOOKUP(M501,'02. MM-KLH'!$B$6:$T$823,5,0),"")</f>
        <v>MỚI</v>
      </c>
      <c r="V501" s="731" t="str">
        <f>IFERROR(VLOOKUP(M501,'02. MM-KLH'!$B$6:$T$823,8,0),"")</f>
        <v>XN Chuối DP3</v>
      </c>
      <c r="W501" s="353" t="str">
        <f>IFERROR(VLOOKUP(V501,'NS QUẢN LÝ CG'!$A$4:$D$36,2,0),"")</f>
        <v/>
      </c>
      <c r="X501" s="353" t="str">
        <f>IFERROR(VLOOKUP(V501,'NS QUẢN LÝ CG'!$A$4:$D$36,4,0),"")</f>
        <v/>
      </c>
      <c r="Y501" s="353" t="str">
        <f>IFERROR(VLOOKUP(V501,'NS QUẢN LÝ CG'!$A$4:$C$36,3,0),"")</f>
        <v/>
      </c>
      <c r="Z501" s="731" t="str">
        <f>IFERROR(VLOOKUP(M501,'02. MM-KLH'!$B$6:$T$823,3,0),"")</f>
        <v>ATT-A22-0316</v>
      </c>
      <c r="AA501" s="353" t="s">
        <v>5980</v>
      </c>
      <c r="AB501" s="731"/>
      <c r="AC501" s="731"/>
    </row>
    <row r="502" ht="13.8" spans="1:29">
      <c r="A502" s="731"/>
      <c r="B502" s="613" t="str">
        <f>IFERROR(VLOOKUP(M502,'02. MM-KLH'!$B$6:$T$823,6,0),"")</f>
        <v>Xe tải chuyên dụng (thùng lửng)</v>
      </c>
      <c r="C502" s="353">
        <v>1</v>
      </c>
      <c r="D502" s="353" t="str">
        <f>IFERROR(VLOOKUP(M502,'02. MM-KLH'!$B$6:$T$823,16,0),"")</f>
        <v>FRONTIER K200SD-4WD</v>
      </c>
      <c r="E502" s="353" t="s">
        <v>5978</v>
      </c>
      <c r="F502" s="353"/>
      <c r="G502" s="353"/>
      <c r="H502" s="353" t="str">
        <f>IFERROR(VLOOKUP(M502,'02. MM-KLH'!$B$6:$T$823,17,0),"")</f>
        <v>130HP</v>
      </c>
      <c r="I502" s="763">
        <f>IFERROR(VLOOKUP(M502,'02. MM-KLH'!$B$6:$U$823,20,0),"")</f>
        <v>0</v>
      </c>
      <c r="J502" s="613" t="str">
        <f>IFERROR(VLOOKUP(M502,'02. MM-KLH'!$B$6:$T$823,19,0),"")</f>
        <v>MD540096D4CB</v>
      </c>
      <c r="K502" s="613" t="str">
        <f>IFERROR(VLOOKUP(M502,'02. MM-KLH'!$B$6:$T$823,18,0),"")</f>
        <v>RNHF39KHBMT045642</v>
      </c>
      <c r="L502" s="353" t="str">
        <f>IFERROR(VLOOKUP(M502,'02. MM-KLH'!$B$6:$T$823,4,0),"")</f>
        <v>2A-6088</v>
      </c>
      <c r="M502" s="49" t="s">
        <v>1468</v>
      </c>
      <c r="N502" s="356">
        <f>IFERROR(VLOOKUP(M502,'02. MM-KLH'!$B$6:$T$823,15,0),"")</f>
        <v>2021</v>
      </c>
      <c r="O502" s="764">
        <f>IFERROR(VLOOKUP(M502,'02. MM-KLH'!$B$6:$T$823,9,0),"")</f>
        <v>45575</v>
      </c>
      <c r="P502" s="353"/>
      <c r="Q502" s="353"/>
      <c r="R502" s="353"/>
      <c r="S502" s="353"/>
      <c r="T502" s="353"/>
      <c r="U502" s="353" t="str">
        <f>IFERROR(VLOOKUP(M502,'02. MM-KLH'!$B$6:$T$823,5,0),"")</f>
        <v>MỚI</v>
      </c>
      <c r="V502" s="731" t="str">
        <f>IFERROR(VLOOKUP(M502,'02. MM-KLH'!$B$6:$T$823,8,0),"")</f>
        <v>XN Chuối LP1</v>
      </c>
      <c r="W502" s="353" t="str">
        <f>IFERROR(VLOOKUP(V502,'NS QUẢN LÝ CG'!$A$4:$D$36,2,0),"")</f>
        <v/>
      </c>
      <c r="X502" s="353" t="str">
        <f>IFERROR(VLOOKUP(V502,'NS QUẢN LÝ CG'!$A$4:$D$36,4,0),"")</f>
        <v/>
      </c>
      <c r="Y502" s="353" t="str">
        <f>IFERROR(VLOOKUP(V502,'NS QUẢN LÝ CG'!$A$4:$C$36,3,0),"")</f>
        <v/>
      </c>
      <c r="Z502" s="731" t="str">
        <f>IFERROR(VLOOKUP(M502,'02. MM-KLH'!$B$6:$T$823,3,0),"")</f>
        <v>A24-TCD-001</v>
      </c>
      <c r="AA502" s="353" t="str">
        <f>_xlfn.SWITCH(LEFT(Z502,3),"A22","ADM","A23","DP","A24","LP","")</f>
        <v>LP</v>
      </c>
      <c r="AB502" s="731"/>
      <c r="AC502" s="731"/>
    </row>
    <row r="503" ht="13.8" spans="1:29">
      <c r="A503" s="731"/>
      <c r="B503" s="613" t="str">
        <f>IFERROR(VLOOKUP(M503,'02. MM-KLH'!$B$6:$T$823,6,0),"")</f>
        <v>Xe tải chuyên dụng (cabin đôi)</v>
      </c>
      <c r="C503" s="353">
        <v>1</v>
      </c>
      <c r="D503" s="353" t="str">
        <f>IFERROR(VLOOKUP(M503,'02. MM-KLH'!$B$6:$T$823,16,0),"")</f>
        <v>FRONTIER K200SD</v>
      </c>
      <c r="E503" s="353" t="s">
        <v>5978</v>
      </c>
      <c r="F503" s="353"/>
      <c r="G503" s="353"/>
      <c r="H503" s="353" t="str">
        <f>IFERROR(VLOOKUP(M503,'02. MM-KLH'!$B$6:$T$823,17,0),"")</f>
        <v>130HP</v>
      </c>
      <c r="I503" s="763">
        <f>IFERROR(VLOOKUP(M503,'02. MM-KLH'!$B$6:$U$823,20,0),"")</f>
        <v>0</v>
      </c>
      <c r="J503" s="613" t="str">
        <f>IFERROR(VLOOKUP(M503,'02. MM-KLH'!$B$6:$T$823,19,0),"")</f>
        <v>MD540095D4CB</v>
      </c>
      <c r="K503" s="613" t="str">
        <f>IFERROR(VLOOKUP(M503,'02. MM-KLH'!$B$6:$T$823,18,0),"")</f>
        <v>RNHF39KHBMT045643</v>
      </c>
      <c r="L503" s="353" t="str">
        <f>IFERROR(VLOOKUP(M503,'02. MM-KLH'!$B$6:$T$823,4,0),"")</f>
        <v>2A-0492</v>
      </c>
      <c r="M503" s="49" t="s">
        <v>1645</v>
      </c>
      <c r="N503" s="356">
        <f>IFERROR(VLOOKUP(M503,'02. MM-KLH'!$B$6:$T$823,15,0),"")</f>
        <v>2021</v>
      </c>
      <c r="O503" s="764">
        <f>IFERROR(VLOOKUP(M503,'02. MM-KLH'!$B$6:$T$823,9,0),"")</f>
        <v>45566</v>
      </c>
      <c r="P503" s="353"/>
      <c r="Q503" s="353"/>
      <c r="R503" s="353"/>
      <c r="S503" s="353" t="s">
        <v>5978</v>
      </c>
      <c r="T503" s="353"/>
      <c r="U503" s="353" t="str">
        <f>IFERROR(VLOOKUP(M503,'02. MM-KLH'!$B$6:$T$823,5,0),"")</f>
        <v>MỚI</v>
      </c>
      <c r="V503" s="731" t="str">
        <f>IFERROR(VLOOKUP(M503,'02. MM-KLH'!$B$6:$T$823,8,0),"")</f>
        <v>XN Chuối LP3</v>
      </c>
      <c r="W503" s="353" t="str">
        <f>IFERROR(VLOOKUP(V503,'NS QUẢN LÝ CG'!$A$4:$D$36,2,0),"")</f>
        <v/>
      </c>
      <c r="X503" s="353" t="str">
        <f>IFERROR(VLOOKUP(V503,'NS QUẢN LÝ CG'!$A$4:$D$36,4,0),"")</f>
        <v/>
      </c>
      <c r="Y503" s="353" t="str">
        <f>IFERROR(VLOOKUP(V503,'NS QUẢN LÝ CG'!$A$4:$C$36,3,0),"")</f>
        <v/>
      </c>
      <c r="Z503" s="731" t="str">
        <f>IFERROR(VLOOKUP(M503,'02. MM-KLH'!$B$6:$T$823,3,0),"")</f>
        <v>ATT-A22-0320</v>
      </c>
      <c r="AA503" s="353" t="s">
        <v>5980</v>
      </c>
      <c r="AB503" s="731"/>
      <c r="AC503" s="731"/>
    </row>
    <row r="504" spans="1:29">
      <c r="A504" s="731"/>
      <c r="B504" s="613" t="str">
        <f>IFERROR(VLOOKUP(M504,'02. MM-KLH'!$B$6:$T$823,6,0),"")</f>
        <v>Xe tải chuyên dụng (thùng lửng)</v>
      </c>
      <c r="C504" s="353">
        <v>1</v>
      </c>
      <c r="D504" s="353" t="str">
        <f>IFERROR(VLOOKUP(M504,'02. MM-KLH'!$B$6:$T$823,16,0),"")</f>
        <v>FRONTIER K200SD-4WD</v>
      </c>
      <c r="E504" s="353" t="s">
        <v>5978</v>
      </c>
      <c r="F504" s="353"/>
      <c r="G504" s="353"/>
      <c r="H504" s="353" t="str">
        <f>IFERROR(VLOOKUP(M504,'02. MM-KLH'!$B$6:$T$823,17,0),"")</f>
        <v>129HP</v>
      </c>
      <c r="I504" s="763">
        <f>IFERROR(VLOOKUP(M504,'02. MM-KLH'!$B$6:$U$823,20,0),"")</f>
        <v>0</v>
      </c>
      <c r="J504" s="613" t="str">
        <f>IFERROR(VLOOKUP(M504,'02. MM-KLH'!$B$6:$T$823,19,0),"")</f>
        <v>MD540097D4CB</v>
      </c>
      <c r="K504" s="613" t="str">
        <f>IFERROR(VLOOKUP(M504,'02. MM-KLH'!$B$6:$T$823,18,0),"")</f>
        <v>RNHF39KHBMT045662</v>
      </c>
      <c r="L504" s="353" t="str">
        <f>IFERROR(VLOOKUP(M504,'02. MM-KLH'!$B$6:$T$823,4,0),"")</f>
        <v>2A-6090</v>
      </c>
      <c r="M504" s="49" t="s">
        <v>1650</v>
      </c>
      <c r="N504" s="356">
        <f>IFERROR(VLOOKUP(M504,'02. MM-KLH'!$B$6:$T$823,15,0),"")</f>
        <v>2021</v>
      </c>
      <c r="O504" s="764" t="str">
        <f>IFERROR(VLOOKUP(M504,'02. MM-KLH'!$B$6:$T$823,9,0),"")</f>
        <v>13/10/2024</v>
      </c>
      <c r="P504" s="765">
        <v>57788</v>
      </c>
      <c r="Q504" s="353"/>
      <c r="R504" s="353" t="s">
        <v>5978</v>
      </c>
      <c r="S504" s="353"/>
      <c r="T504" s="353"/>
      <c r="U504" s="353" t="str">
        <f>IFERROR(VLOOKUP(M504,'02. MM-KLH'!$B$6:$T$823,5,0),"")</f>
        <v>MỚI</v>
      </c>
      <c r="V504" s="731" t="str">
        <f>IFERROR(VLOOKUP(M504,'02. MM-KLH'!$B$6:$T$823,8,0),"")</f>
        <v>XN Chuối LP3</v>
      </c>
      <c r="W504" s="353" t="str">
        <f>IFERROR(VLOOKUP(V504,'NS QUẢN LÝ CG'!$A$4:$D$36,2,0),"")</f>
        <v/>
      </c>
      <c r="X504" s="353" t="str">
        <f>IFERROR(VLOOKUP(V504,'NS QUẢN LÝ CG'!$A$4:$D$36,4,0),"")</f>
        <v/>
      </c>
      <c r="Y504" s="353" t="str">
        <f>IFERROR(VLOOKUP(V504,'NS QUẢN LÝ CG'!$A$4:$C$36,3,0),"")</f>
        <v/>
      </c>
      <c r="Z504" s="731" t="str">
        <f>IFERROR(VLOOKUP(M504,'02. MM-KLH'!$B$6:$T$823,3,0),"")</f>
        <v>A24-TCD-002</v>
      </c>
      <c r="AA504" s="353" t="str">
        <f>_xlfn.SWITCH(LEFT(Z504,3),"A22","ADM","A23","DP","A24","LP","")</f>
        <v>LP</v>
      </c>
      <c r="AB504" s="731"/>
      <c r="AC504" s="731"/>
    </row>
    <row r="505" ht="13.8" spans="1:29">
      <c r="A505" s="731"/>
      <c r="B505" s="613" t="str">
        <f>IFERROR(VLOOKUP(M505,'02. MM-KLH'!$B$6:$T$823,6,0),"")</f>
        <v>Xe tải chuyên dụng (cabin đôi)</v>
      </c>
      <c r="C505" s="353">
        <v>1</v>
      </c>
      <c r="D505" s="353" t="str">
        <f>IFERROR(VLOOKUP(M505,'02. MM-KLH'!$B$6:$T$823,16,0),"")</f>
        <v>FRONTIER K200SD</v>
      </c>
      <c r="E505" s="353" t="s">
        <v>5978</v>
      </c>
      <c r="F505" s="353"/>
      <c r="G505" s="353"/>
      <c r="H505" s="353" t="str">
        <f>IFERROR(VLOOKUP(M505,'02. MM-KLH'!$B$6:$T$823,17,0),"")</f>
        <v>130HP</v>
      </c>
      <c r="I505" s="763">
        <f>IFERROR(VLOOKUP(M505,'02. MM-KLH'!$B$6:$U$823,20,0),"")</f>
        <v>0</v>
      </c>
      <c r="J505" s="613" t="str">
        <f>IFERROR(VLOOKUP(M505,'02. MM-KLH'!$B$6:$T$823,19,0),"")</f>
        <v>MD540089D4CB</v>
      </c>
      <c r="K505" s="613" t="str">
        <f>IFERROR(VLOOKUP(M505,'02. MM-KLH'!$B$6:$T$823,18,0),"")</f>
        <v>RNHF39KHBMT045661</v>
      </c>
      <c r="L505" s="353" t="str">
        <f>IFERROR(VLOOKUP(M505,'02. MM-KLH'!$B$6:$T$823,4,0),"")</f>
        <v>2A-0489</v>
      </c>
      <c r="M505" s="49" t="s">
        <v>2728</v>
      </c>
      <c r="N505" s="356">
        <f>IFERROR(VLOOKUP(M505,'02. MM-KLH'!$B$6:$T$823,15,0),"")</f>
        <v>2021</v>
      </c>
      <c r="O505" s="764">
        <f>IFERROR(VLOOKUP(M505,'02. MM-KLH'!$B$6:$T$823,9,0),"")</f>
        <v>45566</v>
      </c>
      <c r="P505" s="353"/>
      <c r="Q505" s="353"/>
      <c r="R505" s="353"/>
      <c r="S505" s="353"/>
      <c r="T505" s="353"/>
      <c r="U505" s="353" t="str">
        <f>IFERROR(VLOOKUP(M505,'02. MM-KLH'!$B$6:$T$823,5,0),"")</f>
        <v>ĐQSD</v>
      </c>
      <c r="V505" s="731" t="str">
        <f>IFERROR(VLOOKUP(M505,'02. MM-KLH'!$B$6:$T$823,8,0),"")</f>
        <v>HÀNH CHÍNH KLH</v>
      </c>
      <c r="W505" s="353" t="str">
        <f>IFERROR(VLOOKUP(V505,'NS QUẢN LÝ CG'!$A$4:$D$36,2,0),"")</f>
        <v>Lê Trần Hoàng Minh</v>
      </c>
      <c r="X505" s="353" t="str">
        <f>IFERROR(VLOOKUP(V505,'NS QUẢN LÝ CG'!$A$4:$D$36,4,0),"")</f>
        <v>Văn Phòng 94</v>
      </c>
      <c r="Y505" s="1104" t="str">
        <f>IFERROR(VLOOKUP(V505,'NS QUẢN LÝ CG'!$A$4:$C$36,3,0),"")</f>
        <v>0965509539</v>
      </c>
      <c r="Z505" s="731" t="str">
        <f>IFERROR(VLOOKUP(M505,'02. MM-KLH'!$B$6:$T$823,3,0),"")</f>
        <v>ATT-A22-0318</v>
      </c>
      <c r="AA505" s="353" t="s">
        <v>5980</v>
      </c>
      <c r="AB505" s="731"/>
      <c r="AC505" s="731"/>
    </row>
    <row r="506" ht="13.8" spans="1:29">
      <c r="A506" s="731"/>
      <c r="B506" s="613" t="str">
        <f>IFERROR(VLOOKUP(M506,'02. MM-KLH'!$B$6:$T$823,6,0),"")</f>
        <v>Xe tải chuyên dụng (cabin đôi)</v>
      </c>
      <c r="C506" s="353">
        <v>1</v>
      </c>
      <c r="D506" s="353" t="str">
        <f>IFERROR(VLOOKUP(M506,'02. MM-KLH'!$B$6:$T$823,16,0),"")</f>
        <v>FRONTIER K200SD</v>
      </c>
      <c r="E506" s="353" t="s">
        <v>5978</v>
      </c>
      <c r="F506" s="353"/>
      <c r="G506" s="353"/>
      <c r="H506" s="353" t="str">
        <f>IFERROR(VLOOKUP(M506,'02. MM-KLH'!$B$6:$T$823,17,0),"")</f>
        <v>130HP</v>
      </c>
      <c r="I506" s="763">
        <f>IFERROR(VLOOKUP(M506,'02. MM-KLH'!$B$6:$U$823,20,0),"")</f>
        <v>0</v>
      </c>
      <c r="J506" s="613" t="str">
        <f>IFERROR(VLOOKUP(M506,'02. MM-KLH'!$B$6:$T$823,19,0),"")</f>
        <v>MD540092D4CB</v>
      </c>
      <c r="K506" s="613" t="str">
        <f>IFERROR(VLOOKUP(M506,'02. MM-KLH'!$B$6:$T$823,18,0),"")</f>
        <v>RNHF39KHBMT045635</v>
      </c>
      <c r="L506" s="353" t="str">
        <f>IFERROR(VLOOKUP(M506,'02. MM-KLH'!$B$6:$T$823,4,0),"")</f>
        <v>2A-0491</v>
      </c>
      <c r="M506" s="49" t="s">
        <v>2410</v>
      </c>
      <c r="N506" s="356">
        <f>IFERROR(VLOOKUP(M506,'02. MM-KLH'!$B$6:$T$823,15,0),"")</f>
        <v>2021</v>
      </c>
      <c r="O506" s="764">
        <f>IFERROR(VLOOKUP(M506,'02. MM-KLH'!$B$6:$T$823,9,0),"")</f>
        <v>45566</v>
      </c>
      <c r="P506" s="353"/>
      <c r="Q506" s="353"/>
      <c r="R506" s="353" t="s">
        <v>5978</v>
      </c>
      <c r="S506" s="353"/>
      <c r="T506" s="353"/>
      <c r="U506" s="353" t="str">
        <f>IFERROR(VLOOKUP(M506,'02. MM-KLH'!$B$6:$T$823,5,0),"")</f>
        <v>MỚI</v>
      </c>
      <c r="V506" s="731" t="str">
        <f>IFERROR(VLOOKUP(M506,'02. MM-KLH'!$B$6:$T$823,8,0),"")</f>
        <v>XN Bò AD</v>
      </c>
      <c r="W506" s="353" t="str">
        <f>IFERROR(VLOOKUP(V506,'NS QUẢN LÝ CG'!$A$4:$D$36,2,0),"")</f>
        <v/>
      </c>
      <c r="X506" s="353" t="str">
        <f>IFERROR(VLOOKUP(V506,'NS QUẢN LÝ CG'!$A$4:$D$36,4,0),"")</f>
        <v/>
      </c>
      <c r="Y506" s="353" t="str">
        <f>IFERROR(VLOOKUP(V506,'NS QUẢN LÝ CG'!$A$4:$C$36,3,0),"")</f>
        <v/>
      </c>
      <c r="Z506" s="731" t="str">
        <f>IFERROR(VLOOKUP(M506,'02. MM-KLH'!$B$6:$T$823,3,0),"")</f>
        <v>ATT-A22-0317</v>
      </c>
      <c r="AA506" s="353" t="s">
        <v>5980</v>
      </c>
      <c r="AB506" s="731"/>
      <c r="AC506" s="731"/>
    </row>
    <row r="507" ht="13.8" spans="1:29">
      <c r="A507" s="731"/>
      <c r="B507" s="613" t="str">
        <f>IFERROR(VLOOKUP(M507,'02. MM-KLH'!$B$6:$T$823,6,0),"")</f>
        <v>Xe tải chuyên dụng (cabin đôi)</v>
      </c>
      <c r="C507" s="353">
        <v>1</v>
      </c>
      <c r="D507" s="353" t="str">
        <f>IFERROR(VLOOKUP(M507,'02. MM-KLH'!$B$6:$T$823,16,0),"")</f>
        <v>FRONTIER K200SD</v>
      </c>
      <c r="E507" s="353" t="s">
        <v>5978</v>
      </c>
      <c r="F507" s="353"/>
      <c r="G507" s="353"/>
      <c r="H507" s="353" t="str">
        <f>IFERROR(VLOOKUP(M507,'02. MM-KLH'!$B$6:$T$823,17,0),"")</f>
        <v>130HP</v>
      </c>
      <c r="I507" s="763">
        <f>IFERROR(VLOOKUP(M507,'02. MM-KLH'!$B$6:$U$823,20,0),"")</f>
        <v>0</v>
      </c>
      <c r="J507" s="613" t="str">
        <f>IFERROR(VLOOKUP(M507,'02. MM-KLH'!$B$6:$T$823,19,0),"")</f>
        <v>MD540107D4CB</v>
      </c>
      <c r="K507" s="613" t="str">
        <f>IFERROR(VLOOKUP(M507,'02. MM-KLH'!$B$6:$T$823,18,0),"")</f>
        <v>RNHF39KHBMT045640</v>
      </c>
      <c r="L507" s="353" t="str">
        <f>IFERROR(VLOOKUP(M507,'02. MM-KLH'!$B$6:$T$823,4,0),"")</f>
        <v>2A-0488</v>
      </c>
      <c r="M507" s="49" t="s">
        <v>2937</v>
      </c>
      <c r="N507" s="356">
        <f>IFERROR(VLOOKUP(M507,'02. MM-KLH'!$B$6:$T$823,15,0),"")</f>
        <v>2021</v>
      </c>
      <c r="O507" s="764" t="str">
        <f>IFERROR(VLOOKUP(M507,'02. MM-KLH'!$B$6:$T$823,9,0),"")</f>
        <v>15/10/2024</v>
      </c>
      <c r="P507" s="353"/>
      <c r="Q507" s="353"/>
      <c r="R507" s="353" t="s">
        <v>5978</v>
      </c>
      <c r="S507" s="353"/>
      <c r="T507" s="353"/>
      <c r="U507" s="353" t="str">
        <f>IFERROR(VLOOKUP(M507,'02. MM-KLH'!$B$6:$T$823,5,0),"")</f>
        <v>ĐQSD</v>
      </c>
      <c r="V507" s="731" t="str">
        <f>IFERROR(VLOOKUP(M507,'02. MM-KLH'!$B$6:$T$823,8,0),"")</f>
        <v>BAN KT CHUỐI</v>
      </c>
      <c r="W507" s="353" t="str">
        <f>IFERROR(VLOOKUP(V507,'NS QUẢN LÝ CG'!$A$4:$D$36,2,0),"")</f>
        <v/>
      </c>
      <c r="X507" s="353" t="str">
        <f>IFERROR(VLOOKUP(V507,'NS QUẢN LÝ CG'!$A$4:$D$36,4,0),"")</f>
        <v/>
      </c>
      <c r="Y507" s="353" t="str">
        <f>IFERROR(VLOOKUP(V507,'NS QUẢN LÝ CG'!$A$4:$C$36,3,0),"")</f>
        <v/>
      </c>
      <c r="Z507" s="731" t="str">
        <f>IFERROR(VLOOKUP(M507,'02. MM-KLH'!$B$6:$T$823,3,0),"")</f>
        <v>ATT-A22-0319</v>
      </c>
      <c r="AA507" s="353" t="str">
        <f t="shared" ref="AA507:AA512" si="34">_xlfn.SWITCH(LEFT(Z507,3),"A22","ADM","A23","DP","A24","LP","")</f>
        <v/>
      </c>
      <c r="AB507" s="731"/>
      <c r="AC507" s="731"/>
    </row>
    <row r="508" ht="13.8" spans="1:29">
      <c r="A508" s="731"/>
      <c r="B508" s="613" t="str">
        <f>IFERROR(VLOOKUP(M508,'02. MM-KLH'!$B$6:$T$823,6,0),"")</f>
        <v>Xe tải chuyên dụng (thùng lửng)</v>
      </c>
      <c r="C508" s="353">
        <v>1</v>
      </c>
      <c r="D508" s="353" t="str">
        <f>IFERROR(VLOOKUP(M508,'02. MM-KLH'!$B$6:$T$823,16,0),"")</f>
        <v>FRONTIER K200SD-4WD</v>
      </c>
      <c r="E508" s="353" t="s">
        <v>5978</v>
      </c>
      <c r="F508" s="353"/>
      <c r="G508" s="353"/>
      <c r="H508" s="353" t="str">
        <f>IFERROR(VLOOKUP(M508,'02. MM-KLH'!$B$6:$T$823,17,0),"")</f>
        <v>130HP</v>
      </c>
      <c r="I508" s="763">
        <f>IFERROR(VLOOKUP(M508,'02. MM-KLH'!$B$6:$U$823,20,0),"")</f>
        <v>0</v>
      </c>
      <c r="J508" s="613" t="str">
        <f>IFERROR(VLOOKUP(M508,'02. MM-KLH'!$B$6:$T$823,19,0),"")</f>
        <v>MD540071D4CB</v>
      </c>
      <c r="K508" s="613" t="str">
        <f>IFERROR(VLOOKUP(M508,'02. MM-KLH'!$B$6:$T$823,18,0),"")</f>
        <v>RNHF39KHBMT045631</v>
      </c>
      <c r="L508" s="353" t="str">
        <f>IFERROR(VLOOKUP(M508,'02. MM-KLH'!$B$6:$T$823,4,0),"")</f>
        <v>2A-6092</v>
      </c>
      <c r="M508" s="49" t="s">
        <v>2945</v>
      </c>
      <c r="N508" s="356">
        <f>IFERROR(VLOOKUP(M508,'02. MM-KLH'!$B$6:$T$823,15,0),"")</f>
        <v>2021</v>
      </c>
      <c r="O508" s="764" t="str">
        <f>IFERROR(VLOOKUP(M508,'02. MM-KLH'!$B$6:$T$823,9,0),"")</f>
        <v>15/10/2024</v>
      </c>
      <c r="P508" s="353"/>
      <c r="Q508" s="353"/>
      <c r="R508" s="353" t="s">
        <v>5978</v>
      </c>
      <c r="S508" s="353"/>
      <c r="T508" s="353"/>
      <c r="U508" s="353" t="str">
        <f>IFERROR(VLOOKUP(M508,'02. MM-KLH'!$B$6:$T$823,5,0),"")</f>
        <v>ĐQSD</v>
      </c>
      <c r="V508" s="731" t="str">
        <f>IFERROR(VLOOKUP(M508,'02. MM-KLH'!$B$6:$T$823,8,0),"")</f>
        <v>BAN KT CHUỐI</v>
      </c>
      <c r="W508" s="353" t="str">
        <f>IFERROR(VLOOKUP(V508,'NS QUẢN LÝ CG'!$A$4:$D$36,2,0),"")</f>
        <v/>
      </c>
      <c r="X508" s="353" t="str">
        <f>IFERROR(VLOOKUP(V508,'NS QUẢN LÝ CG'!$A$4:$D$36,4,0),"")</f>
        <v/>
      </c>
      <c r="Y508" s="353" t="str">
        <f>IFERROR(VLOOKUP(V508,'NS QUẢN LÝ CG'!$A$4:$C$36,3,0),"")</f>
        <v/>
      </c>
      <c r="Z508" s="731" t="str">
        <f>IFERROR(VLOOKUP(M508,'02. MM-KLH'!$B$6:$T$823,3,0),"")</f>
        <v>A23-TCD-001</v>
      </c>
      <c r="AA508" s="353" t="str">
        <f t="shared" si="34"/>
        <v>DP</v>
      </c>
      <c r="AB508" s="731"/>
      <c r="AC508" s="731"/>
    </row>
    <row r="509" ht="13.8" spans="1:29">
      <c r="A509" s="731"/>
      <c r="B509" s="613" t="str">
        <f>IFERROR(VLOOKUP(M509,'02. MM-KLH'!$B$6:$T$823,6,0),"")</f>
        <v>Xe tải chuyên dụng (thùng lửng)</v>
      </c>
      <c r="C509" s="353">
        <v>1</v>
      </c>
      <c r="D509" s="353" t="str">
        <f>IFERROR(VLOOKUP(M509,'02. MM-KLH'!$B$6:$T$823,16,0),"")</f>
        <v>FRONTIER K200SD-4WD</v>
      </c>
      <c r="E509" s="353" t="s">
        <v>5978</v>
      </c>
      <c r="F509" s="353"/>
      <c r="G509" s="353"/>
      <c r="H509" s="353" t="str">
        <f>IFERROR(VLOOKUP(M509,'02. MM-KLH'!$B$6:$T$823,17,0),"")</f>
        <v>130HP</v>
      </c>
      <c r="I509" s="763">
        <f>IFERROR(VLOOKUP(M509,'02. MM-KLH'!$B$6:$U$823,20,0),"")</f>
        <v>0</v>
      </c>
      <c r="J509" s="613" t="str">
        <f>IFERROR(VLOOKUP(M509,'02. MM-KLH'!$B$6:$T$823,19,0),"")</f>
        <v>MD534256D4CB</v>
      </c>
      <c r="K509" s="613" t="str">
        <f>IFERROR(VLOOKUP(M509,'02. MM-KLH'!$B$6:$T$823,18,0),"")</f>
        <v>RNHF39KHBMT045342</v>
      </c>
      <c r="L509" s="353" t="str">
        <f>IFERROR(VLOOKUP(M509,'02. MM-KLH'!$B$6:$T$823,4,0),"")</f>
        <v>2A-6093</v>
      </c>
      <c r="M509" s="49" t="s">
        <v>2951</v>
      </c>
      <c r="N509" s="356">
        <f>IFERROR(VLOOKUP(M509,'02. MM-KLH'!$B$6:$T$823,15,0),"")</f>
        <v>2021</v>
      </c>
      <c r="O509" s="764" t="str">
        <f>IFERROR(VLOOKUP(M509,'02. MM-KLH'!$B$6:$T$823,9,0),"")</f>
        <v>13/10/2024</v>
      </c>
      <c r="P509" s="353"/>
      <c r="Q509" s="353"/>
      <c r="R509" s="353" t="s">
        <v>5978</v>
      </c>
      <c r="S509" s="353"/>
      <c r="T509" s="353"/>
      <c r="U509" s="353" t="str">
        <f>IFERROR(VLOOKUP(M509,'02. MM-KLH'!$B$6:$T$823,5,0),"")</f>
        <v>ĐQSD</v>
      </c>
      <c r="V509" s="731" t="str">
        <f>IFERROR(VLOOKUP(M509,'02. MM-KLH'!$B$6:$T$823,8,0),"")</f>
        <v>BAN KT CHUỐI</v>
      </c>
      <c r="W509" s="353" t="str">
        <f>IFERROR(VLOOKUP(V509,'NS QUẢN LÝ CG'!$A$4:$D$36,2,0),"")</f>
        <v/>
      </c>
      <c r="X509" s="353" t="str">
        <f>IFERROR(VLOOKUP(V509,'NS QUẢN LÝ CG'!$A$4:$D$36,4,0),"")</f>
        <v/>
      </c>
      <c r="Y509" s="353" t="str">
        <f>IFERROR(VLOOKUP(V509,'NS QUẢN LÝ CG'!$A$4:$C$36,3,0),"")</f>
        <v/>
      </c>
      <c r="Z509" s="731" t="str">
        <f>IFERROR(VLOOKUP(M509,'02. MM-KLH'!$B$6:$T$823,3,0),"")</f>
        <v>A24-TCD-003</v>
      </c>
      <c r="AA509" s="353" t="str">
        <f t="shared" si="34"/>
        <v>LP</v>
      </c>
      <c r="AB509" s="731"/>
      <c r="AC509" s="731"/>
    </row>
    <row r="510" ht="13.8" spans="1:29">
      <c r="A510" s="731"/>
      <c r="B510" s="613" t="str">
        <f>IFERROR(VLOOKUP(M510,'02. MM-KLH'!$B$6:$T$823,6,0),"")</f>
        <v>Xe tải chuyên dụng (thùng lửng)</v>
      </c>
      <c r="C510" s="353">
        <v>1</v>
      </c>
      <c r="D510" s="353" t="str">
        <f>IFERROR(VLOOKUP(M510,'02. MM-KLH'!$B$6:$T$823,16,0),"")</f>
        <v>FRONTIER K200SD-4WD</v>
      </c>
      <c r="E510" s="353" t="s">
        <v>5978</v>
      </c>
      <c r="F510" s="353"/>
      <c r="G510" s="353"/>
      <c r="H510" s="353" t="str">
        <f>IFERROR(VLOOKUP(M510,'02. MM-KLH'!$B$6:$T$823,17,0),"")</f>
        <v>130HP</v>
      </c>
      <c r="I510" s="763">
        <f>IFERROR(VLOOKUP(M510,'02. MM-KLH'!$B$6:$U$823,20,0),"")</f>
        <v>0</v>
      </c>
      <c r="J510" s="613" t="str">
        <f>IFERROR(VLOOKUP(M510,'02. MM-KLH'!$B$6:$T$823,19,0),"")</f>
        <v>MD540068D4CB</v>
      </c>
      <c r="K510" s="613" t="str">
        <f>IFERROR(VLOOKUP(M510,'02. MM-KLH'!$B$6:$T$823,18,0),"")</f>
        <v>RNHF39KHBMT045656</v>
      </c>
      <c r="L510" s="353">
        <f>IFERROR(VLOOKUP(M510,'02. MM-KLH'!$B$6:$T$823,4,0),"")</f>
        <v>0</v>
      </c>
      <c r="M510" s="49" t="s">
        <v>2887</v>
      </c>
      <c r="N510" s="356">
        <f>IFERROR(VLOOKUP(M510,'02. MM-KLH'!$B$6:$T$823,15,0),"")</f>
        <v>2021</v>
      </c>
      <c r="O510" s="764">
        <f>IFERROR(VLOOKUP(M510,'02. MM-KLH'!$B$6:$T$823,9,0),"")</f>
        <v>45606</v>
      </c>
      <c r="P510" s="353"/>
      <c r="Q510" s="353"/>
      <c r="R510" s="353" t="s">
        <v>5978</v>
      </c>
      <c r="S510" s="353"/>
      <c r="T510" s="353"/>
      <c r="U510" s="353" t="str">
        <f>IFERROR(VLOOKUP(M510,'02. MM-KLH'!$B$6:$T$823,5,0),"")</f>
        <v>MỚI</v>
      </c>
      <c r="V510" s="731" t="str">
        <f>IFERROR(VLOOKUP(M510,'02. MM-KLH'!$B$6:$T$823,8,0),"")</f>
        <v>BAN CG-CK &amp; SXCN</v>
      </c>
      <c r="W510" s="353">
        <f>IFERROR(VLOOKUP(V510,'NS QUẢN LÝ CG'!$A$4:$D$36,2,0),"")</f>
        <v>0</v>
      </c>
      <c r="X510" s="353">
        <f>IFERROR(VLOOKUP(V510,'NS QUẢN LÝ CG'!$A$4:$D$36,4,0),"")</f>
        <v>0</v>
      </c>
      <c r="Y510" s="353">
        <f>IFERROR(VLOOKUP(V510,'NS QUẢN LÝ CG'!$A$4:$C$36,3,0),"")</f>
        <v>0</v>
      </c>
      <c r="Z510" s="731" t="str">
        <f>IFERROR(VLOOKUP(M510,'02. MM-KLH'!$B$6:$T$823,3,0),"")</f>
        <v>A22-TCD-002</v>
      </c>
      <c r="AA510" s="353" t="str">
        <f t="shared" si="34"/>
        <v>ADM</v>
      </c>
      <c r="AB510" s="731"/>
      <c r="AC510" s="731"/>
    </row>
    <row r="511" ht="13.8" spans="1:29">
      <c r="A511" s="731"/>
      <c r="B511" s="613" t="str">
        <f>IFERROR(VLOOKUP(M511,'02. MM-KLH'!$B$6:$T$823,6,0),"")</f>
        <v>Xe tải chuyên dụng (thùng lửng)</v>
      </c>
      <c r="C511" s="353">
        <v>1</v>
      </c>
      <c r="D511" s="353" t="str">
        <f>IFERROR(VLOOKUP(M511,'02. MM-KLH'!$B$6:$T$823,16,0),"")</f>
        <v>FRONTIER K200SD-4WD</v>
      </c>
      <c r="E511" s="353" t="s">
        <v>5978</v>
      </c>
      <c r="F511" s="353"/>
      <c r="G511" s="353"/>
      <c r="H511" s="353" t="str">
        <f>IFERROR(VLOOKUP(M511,'02. MM-KLH'!$B$6:$T$823,17,0),"")</f>
        <v>130HP</v>
      </c>
      <c r="I511" s="763">
        <f>IFERROR(VLOOKUP(M511,'02. MM-KLH'!$B$6:$U$823,20,0),"")</f>
        <v>0</v>
      </c>
      <c r="J511" s="613" t="str">
        <f>IFERROR(VLOOKUP(M511,'02. MM-KLH'!$B$6:$T$823,19,0),"")</f>
        <v>MD540108D4CB</v>
      </c>
      <c r="K511" s="613" t="str">
        <f>IFERROR(VLOOKUP(M511,'02. MM-KLH'!$B$6:$T$823,18,0),"")</f>
        <v>RNHF39KHBMT045639</v>
      </c>
      <c r="L511" s="353">
        <f>IFERROR(VLOOKUP(M511,'02. MM-KLH'!$B$6:$T$823,4,0),"")</f>
        <v>0</v>
      </c>
      <c r="M511" s="49" t="s">
        <v>2893</v>
      </c>
      <c r="N511" s="356">
        <f>IFERROR(VLOOKUP(M511,'02. MM-KLH'!$B$6:$T$823,15,0),"")</f>
        <v>2021</v>
      </c>
      <c r="O511" s="764">
        <f>IFERROR(VLOOKUP(M511,'02. MM-KLH'!$B$6:$T$823,9,0),"")</f>
        <v>45575</v>
      </c>
      <c r="P511" s="353"/>
      <c r="Q511" s="353"/>
      <c r="R511" s="353" t="s">
        <v>5978</v>
      </c>
      <c r="S511" s="353"/>
      <c r="T511" s="353"/>
      <c r="U511" s="353" t="str">
        <f>IFERROR(VLOOKUP(M511,'02. MM-KLH'!$B$6:$T$823,5,0),"")</f>
        <v>MỚI</v>
      </c>
      <c r="V511" s="731" t="str">
        <f>IFERROR(VLOOKUP(M511,'02. MM-KLH'!$B$6:$T$823,8,0),"")</f>
        <v>BAN CG-CK &amp; SXCN</v>
      </c>
      <c r="W511" s="353">
        <f>IFERROR(VLOOKUP(V511,'NS QUẢN LÝ CG'!$A$4:$D$36,2,0),"")</f>
        <v>0</v>
      </c>
      <c r="X511" s="353">
        <f>IFERROR(VLOOKUP(V511,'NS QUẢN LÝ CG'!$A$4:$D$36,4,0),"")</f>
        <v>0</v>
      </c>
      <c r="Y511" s="353">
        <f>IFERROR(VLOOKUP(V511,'NS QUẢN LÝ CG'!$A$4:$C$36,3,0),"")</f>
        <v>0</v>
      </c>
      <c r="Z511" s="731" t="str">
        <f>IFERROR(VLOOKUP(M511,'02. MM-KLH'!$B$6:$T$823,3,0),"")</f>
        <v>A22-TCD-003</v>
      </c>
      <c r="AA511" s="353" t="str">
        <f t="shared" si="34"/>
        <v>ADM</v>
      </c>
      <c r="AB511" s="731"/>
      <c r="AC511" s="731"/>
    </row>
    <row r="512" ht="13.8" spans="1:29">
      <c r="A512" s="731"/>
      <c r="B512" s="613" t="str">
        <f>IFERROR(VLOOKUP(M512,'02. MM-KLH'!$B$6:$T$823,6,0),"")</f>
        <v>Xe tải chuyên dụng (thùng SCLĐ)</v>
      </c>
      <c r="C512" s="353">
        <v>1</v>
      </c>
      <c r="D512" s="353" t="str">
        <f>IFERROR(VLOOKUP(M512,'02. MM-KLH'!$B$6:$T$823,16,0),"")</f>
        <v>KIA K200SD</v>
      </c>
      <c r="E512" s="353" t="s">
        <v>5978</v>
      </c>
      <c r="F512" s="353"/>
      <c r="G512" s="353"/>
      <c r="H512" s="353" t="str">
        <f>IFERROR(VLOOKUP(M512,'02. MM-KLH'!$B$6:$T$823,17,0),"")</f>
        <v>130HP</v>
      </c>
      <c r="I512" s="763">
        <f>IFERROR(VLOOKUP(M512,'02. MM-KLH'!$B$6:$U$823,20,0),"")</f>
        <v>0</v>
      </c>
      <c r="J512" s="613" t="str">
        <f>IFERROR(VLOOKUP(M512,'02. MM-KLH'!$B$6:$T$823,19,0),"")</f>
        <v>MD540074D4CB</v>
      </c>
      <c r="K512" s="613" t="str">
        <f>IFERROR(VLOOKUP(M512,'02. MM-KLH'!$B$6:$T$823,18,0),"")</f>
        <v>RNHF39KHBMT045676</v>
      </c>
      <c r="L512" s="353" t="str">
        <f>IFERROR(VLOOKUP(M512,'02. MM-KLH'!$B$6:$T$823,4,0),"")</f>
        <v>2A-0518</v>
      </c>
      <c r="M512" s="49" t="s">
        <v>2899</v>
      </c>
      <c r="N512" s="356">
        <f>IFERROR(VLOOKUP(M512,'02. MM-KLH'!$B$6:$T$823,15,0),"")</f>
        <v>2024</v>
      </c>
      <c r="O512" s="764" t="str">
        <f>IFERROR(VLOOKUP(M512,'02. MM-KLH'!$B$6:$T$823,9,0),"")</f>
        <v>27/01/2026</v>
      </c>
      <c r="P512" s="353"/>
      <c r="Q512" s="353"/>
      <c r="R512" s="353" t="s">
        <v>5978</v>
      </c>
      <c r="S512" s="353"/>
      <c r="T512" s="353"/>
      <c r="U512" s="353" t="str">
        <f>IFERROR(VLOOKUP(M512,'02. MM-KLH'!$B$6:$T$823,5,0),"")</f>
        <v>MỚI</v>
      </c>
      <c r="V512" s="731" t="str">
        <f>IFERROR(VLOOKUP(M512,'02. MM-KLH'!$B$6:$T$823,8,0),"")</f>
        <v>BAN CG-CK &amp; SXCN</v>
      </c>
      <c r="W512" s="353">
        <f>IFERROR(VLOOKUP(V512,'NS QUẢN LÝ CG'!$A$4:$D$36,2,0),"")</f>
        <v>0</v>
      </c>
      <c r="X512" s="353">
        <f>IFERROR(VLOOKUP(V512,'NS QUẢN LÝ CG'!$A$4:$D$36,4,0),"")</f>
        <v>0</v>
      </c>
      <c r="Y512" s="353">
        <f>IFERROR(VLOOKUP(V512,'NS QUẢN LÝ CG'!$A$4:$C$36,3,0),"")</f>
        <v>0</v>
      </c>
      <c r="Z512" s="731" t="str">
        <f>IFERROR(VLOOKUP(M512,'02. MM-KLH'!$B$6:$T$823,3,0),"")</f>
        <v>A22-TCD-004</v>
      </c>
      <c r="AA512" s="353" t="str">
        <f t="shared" si="34"/>
        <v>ADM</v>
      </c>
      <c r="AB512" s="731"/>
      <c r="AC512" s="731"/>
    </row>
    <row r="513" ht="13.8" spans="1:29">
      <c r="A513" s="731"/>
      <c r="B513" s="613" t="str">
        <f>IFERROR(VLOOKUP(M513,'02. MM-KLH'!$B$6:$T$823,6,0),"")</f>
        <v/>
      </c>
      <c r="C513" s="353"/>
      <c r="D513" s="353" t="str">
        <f>IFERROR(VLOOKUP(M513,'02. MM-KLH'!$B$6:$T$823,16,0),"")</f>
        <v/>
      </c>
      <c r="E513" s="353"/>
      <c r="F513" s="353"/>
      <c r="G513" s="353"/>
      <c r="H513" s="353" t="str">
        <f>IFERROR(VLOOKUP(M513,'02. MM-KLH'!$B$6:$T$823,17,0),"")</f>
        <v/>
      </c>
      <c r="I513" s="763" t="str">
        <f>IFERROR(VLOOKUP(M513,'02. MM-KLH'!$B$6:$U$823,20,0),"")</f>
        <v/>
      </c>
      <c r="J513" s="613" t="str">
        <f>IFERROR(VLOOKUP(M513,'02. MM-KLH'!$B$6:$T$823,19,0),"")</f>
        <v/>
      </c>
      <c r="K513" s="613" t="str">
        <f>IFERROR(VLOOKUP(M513,'02. MM-KLH'!$B$6:$T$823,18,0),"")</f>
        <v/>
      </c>
      <c r="L513" s="353" t="str">
        <f>IFERROR(VLOOKUP(M513,'02. MM-KLH'!$B$6:$T$823,4,0),"")</f>
        <v/>
      </c>
      <c r="M513" s="49"/>
      <c r="N513" s="356" t="str">
        <f>IFERROR(VLOOKUP(M513,'02. MM-KLH'!$B$6:$T$823,15,0),"")</f>
        <v/>
      </c>
      <c r="O513" s="764" t="str">
        <f>IFERROR(VLOOKUP(M513,'02. MM-KLH'!$B$6:$T$823,9,0),"")</f>
        <v/>
      </c>
      <c r="P513" s="353"/>
      <c r="Q513" s="353"/>
      <c r="R513" s="353"/>
      <c r="S513" s="353"/>
      <c r="T513" s="353"/>
      <c r="U513" s="353" t="str">
        <f>IFERROR(VLOOKUP(M513,'02. MM-KLH'!$B$6:$T$823,2,0),"")</f>
        <v/>
      </c>
      <c r="V513" s="731" t="str">
        <f>IFERROR(VLOOKUP(M513,'02. MM-KLH'!$B$6:$T$823,8,0),"")</f>
        <v/>
      </c>
      <c r="W513" s="353" t="str">
        <f>IFERROR(VLOOKUP(V513,'NS QUẢN LÝ CG'!$A$4:$D$36,2,0),"")</f>
        <v/>
      </c>
      <c r="X513" s="353" t="str">
        <f>IFERROR(VLOOKUP(V513,'NS QUẢN LÝ CG'!$A$4:$D$36,4,0),"")</f>
        <v/>
      </c>
      <c r="Y513" s="353"/>
      <c r="Z513" s="731" t="str">
        <f>IFERROR(VLOOKUP(M513,'02. MM-KLH'!$B$6:$T$823,3,0),"")</f>
        <v/>
      </c>
      <c r="AA513" s="353"/>
      <c r="AB513" s="731"/>
      <c r="AC513" s="731"/>
    </row>
    <row r="514" ht="13.8" spans="1:29">
      <c r="A514" s="731"/>
      <c r="B514" s="613" t="str">
        <f>IFERROR(VLOOKUP(M514,'02. MM-KLH'!$B$6:$T$823,6,0),"")</f>
        <v/>
      </c>
      <c r="C514" s="353"/>
      <c r="D514" s="353" t="str">
        <f>IFERROR(VLOOKUP(M514,'02. MM-KLH'!$B$6:$T$823,16,0),"")</f>
        <v/>
      </c>
      <c r="E514" s="353"/>
      <c r="F514" s="353"/>
      <c r="G514" s="353"/>
      <c r="H514" s="353" t="str">
        <f>IFERROR(VLOOKUP(M514,'02. MM-KLH'!$B$6:$T$823,17,0),"")</f>
        <v/>
      </c>
      <c r="I514" s="763" t="str">
        <f>IFERROR(VLOOKUP(M514,'02. MM-KLH'!$B$6:$U$823,20,0),"")</f>
        <v/>
      </c>
      <c r="J514" s="613" t="str">
        <f>IFERROR(VLOOKUP(M514,'02. MM-KLH'!$B$6:$T$823,19,0),"")</f>
        <v/>
      </c>
      <c r="K514" s="613" t="str">
        <f>IFERROR(VLOOKUP(M514,'02. MM-KLH'!$B$6:$T$823,18,0),"")</f>
        <v/>
      </c>
      <c r="L514" s="353" t="str">
        <f>IFERROR(VLOOKUP(M514,'02. MM-KLH'!$B$6:$T$823,4,0),"")</f>
        <v/>
      </c>
      <c r="M514" s="49"/>
      <c r="N514" s="356" t="str">
        <f>IFERROR(VLOOKUP(M514,'02. MM-KLH'!$B$6:$T$823,15,0),"")</f>
        <v/>
      </c>
      <c r="O514" s="764" t="str">
        <f>IFERROR(VLOOKUP(M514,'02. MM-KLH'!$B$6:$T$823,9,0),"")</f>
        <v/>
      </c>
      <c r="P514" s="353"/>
      <c r="Q514" s="353"/>
      <c r="R514" s="353"/>
      <c r="S514" s="353"/>
      <c r="T514" s="353"/>
      <c r="U514" s="353" t="str">
        <f>IFERROR(VLOOKUP(M514,'02. MM-KLH'!$B$6:$T$823,2,0),"")</f>
        <v/>
      </c>
      <c r="V514" s="731" t="str">
        <f>IFERROR(VLOOKUP(M514,'02. MM-KLH'!$B$6:$T$823,8,0),"")</f>
        <v/>
      </c>
      <c r="W514" s="353" t="str">
        <f>IFERROR(VLOOKUP(V514,'NS QUẢN LÝ CG'!$A$4:$D$36,2,0),"")</f>
        <v/>
      </c>
      <c r="X514" s="353" t="str">
        <f>IFERROR(VLOOKUP(V514,'NS QUẢN LÝ CG'!$A$4:$D$36,4,0),"")</f>
        <v/>
      </c>
      <c r="Y514" s="353"/>
      <c r="Z514" s="731" t="str">
        <f>IFERROR(VLOOKUP(M514,'02. MM-KLH'!$B$6:$T$823,3,0),"")</f>
        <v/>
      </c>
      <c r="AA514" s="353"/>
      <c r="AB514" s="731"/>
      <c r="AC514" s="731"/>
    </row>
    <row r="515" spans="1:29">
      <c r="A515" s="747" t="s">
        <v>3375</v>
      </c>
      <c r="B515" s="748" t="s">
        <v>5996</v>
      </c>
      <c r="C515" s="747">
        <f>COUNTA(B516:B539)</f>
        <v>24</v>
      </c>
      <c r="D515" s="749"/>
      <c r="E515" s="749"/>
      <c r="F515" s="749"/>
      <c r="G515" s="749"/>
      <c r="H515" s="749"/>
      <c r="I515" s="750"/>
      <c r="J515" s="751"/>
      <c r="K515" s="751"/>
      <c r="L515" s="749"/>
      <c r="M515" s="749"/>
      <c r="N515" s="749"/>
      <c r="O515" s="752"/>
      <c r="P515" s="749"/>
      <c r="Q515" s="749"/>
      <c r="R515" s="749"/>
      <c r="S515" s="749"/>
      <c r="T515" s="749"/>
      <c r="U515" s="749"/>
      <c r="V515" s="750"/>
      <c r="W515" s="749"/>
      <c r="X515" s="749"/>
      <c r="Y515" s="749"/>
      <c r="Z515" s="750"/>
      <c r="AA515" s="749"/>
      <c r="AB515" s="750"/>
      <c r="AC515" s="753"/>
    </row>
    <row r="516" ht="13.8" spans="1:29">
      <c r="A516" s="731"/>
      <c r="B516" s="613" t="str">
        <f>IFERROR(VLOOKUP(M516,'02. MM-KLH'!$B$6:$T$823,6,0),"")</f>
        <v>Xe lôi</v>
      </c>
      <c r="C516" s="353">
        <v>1</v>
      </c>
      <c r="D516" s="353" t="str">
        <f>IFERROR(VLOOKUP(M516,'02. MM-KLH'!$B$6:$T$823,16,0),"")</f>
        <v>TH150ZH</v>
      </c>
      <c r="E516" s="353"/>
      <c r="F516" s="353" t="s">
        <v>5978</v>
      </c>
      <c r="G516" s="353"/>
      <c r="H516" s="353" t="str">
        <f>IFERROR(VLOOKUP(M516,'02. MM-KLH'!$B$6:$T$823,17,0),"")</f>
        <v>15HP</v>
      </c>
      <c r="I516" s="763">
        <f>IFERROR(VLOOKUP(M516,'02. MM-KLH'!$B$6:$U$823,20,0),"")</f>
        <v>2.5</v>
      </c>
      <c r="J516" s="613" t="str">
        <f>IFERROR(VLOOKUP(M516,'02. MM-KLH'!$B$6:$T$823,19,0),"")</f>
        <v>CCN</v>
      </c>
      <c r="K516" s="613" t="str">
        <f>IFERROR(VLOOKUP(M516,'02. MM-KLH'!$B$6:$T$823,18,0),"")</f>
        <v>TH162FMJ-C22060509</v>
      </c>
      <c r="L516" s="353">
        <f>IFERROR(VLOOKUP(M516,'02. MM-KLH'!$B$6:$T$823,4,0),"")</f>
        <v>0</v>
      </c>
      <c r="M516" s="49" t="s">
        <v>2414</v>
      </c>
      <c r="N516" s="356">
        <f>IFERROR(VLOOKUP(M516,'02. MM-KLH'!$B$6:$T$823,15,0),"")</f>
        <v>2020</v>
      </c>
      <c r="O516" s="764">
        <f>IFERROR(VLOOKUP(M516,'02. MM-KLH'!$B$6:$T$823,9,0),"")</f>
        <v>44938</v>
      </c>
      <c r="P516" s="353"/>
      <c r="Q516" s="353" t="s">
        <v>1755</v>
      </c>
      <c r="R516" s="353" t="s">
        <v>5978</v>
      </c>
      <c r="S516" s="353"/>
      <c r="T516" s="353"/>
      <c r="U516" s="353" t="str">
        <f>IFERROR(VLOOKUP(M516,'02. MM-KLH'!$B$6:$T$823,5,0),"")</f>
        <v>MỚI</v>
      </c>
      <c r="V516" s="731" t="str">
        <f>IFERROR(VLOOKUP(M516,'02. MM-KLH'!$B$6:$T$823,8,0),"")</f>
        <v>XN Bò AD</v>
      </c>
      <c r="W516" s="353" t="str">
        <f>IFERROR(VLOOKUP(V516,'NS QUẢN LÝ CG'!$A$4:$D$36,2,0),"")</f>
        <v/>
      </c>
      <c r="X516" s="353" t="str">
        <f>IFERROR(VLOOKUP(V516,'NS QUẢN LÝ CG'!$A$4:$D$36,4,0),"")</f>
        <v/>
      </c>
      <c r="Y516" s="353" t="str">
        <f>IFERROR(VLOOKUP(V516,'NS QUẢN LÝ CG'!$A$4:$C$36,3,0),"")</f>
        <v/>
      </c>
      <c r="Z516" s="731" t="str">
        <f>IFERROR(VLOOKUP(M516,'02. MM-KLH'!$B$6:$T$823,3,0),"")</f>
        <v>ATT-A22-0313</v>
      </c>
      <c r="AA516" s="353" t="s">
        <v>5980</v>
      </c>
      <c r="AB516" s="731"/>
      <c r="AC516" s="731"/>
    </row>
    <row r="517" ht="13.8" spans="1:29">
      <c r="A517" s="731"/>
      <c r="B517" s="613" t="str">
        <f>IFERROR(VLOOKUP(M517,'02. MM-KLH'!$B$6:$T$823,6,0),"")</f>
        <v>Xe lôi</v>
      </c>
      <c r="C517" s="353">
        <v>1</v>
      </c>
      <c r="D517" s="353" t="str">
        <f>IFERROR(VLOOKUP(M517,'02. MM-KLH'!$B$6:$T$823,16,0),"")</f>
        <v>TH150ZH</v>
      </c>
      <c r="E517" s="353"/>
      <c r="F517" s="353" t="s">
        <v>5978</v>
      </c>
      <c r="G517" s="353"/>
      <c r="H517" s="353" t="str">
        <f>IFERROR(VLOOKUP(M517,'02. MM-KLH'!$B$6:$T$823,17,0),"")</f>
        <v>15HP</v>
      </c>
      <c r="I517" s="763">
        <f>IFERROR(VLOOKUP(M517,'02. MM-KLH'!$B$6:$U$823,20,0),"")</f>
        <v>2.5</v>
      </c>
      <c r="J517" s="613" t="str">
        <f>IFERROR(VLOOKUP(M517,'02. MM-KLH'!$B$6:$T$823,19,0),"")</f>
        <v>CCN</v>
      </c>
      <c r="K517" s="613" t="str">
        <f>IFERROR(VLOOKUP(M517,'02. MM-KLH'!$B$6:$T$823,18,0),"")</f>
        <v>TH162FMJ-C23004029</v>
      </c>
      <c r="L517" s="353">
        <f>IFERROR(VLOOKUP(M517,'02. MM-KLH'!$B$6:$T$823,4,0),"")</f>
        <v>0</v>
      </c>
      <c r="M517" s="49" t="s">
        <v>2418</v>
      </c>
      <c r="N517" s="356">
        <f>IFERROR(VLOOKUP(M517,'02. MM-KLH'!$B$6:$T$823,15,0),"")</f>
        <v>2020</v>
      </c>
      <c r="O517" s="764" t="str">
        <f>IFERROR(VLOOKUP(M517,'02. MM-KLH'!$B$6:$T$823,9,0),"")</f>
        <v>26/12/2023</v>
      </c>
      <c r="P517" s="353"/>
      <c r="Q517" s="353" t="s">
        <v>1755</v>
      </c>
      <c r="R517" s="353" t="s">
        <v>5978</v>
      </c>
      <c r="S517" s="353"/>
      <c r="T517" s="353"/>
      <c r="U517" s="353" t="str">
        <f>IFERROR(VLOOKUP(M517,'02. MM-KLH'!$B$6:$T$823,5,0),"")</f>
        <v>MỚI</v>
      </c>
      <c r="V517" s="731" t="str">
        <f>IFERROR(VLOOKUP(M517,'02. MM-KLH'!$B$6:$T$823,8,0),"")</f>
        <v>XN Bò AD</v>
      </c>
      <c r="W517" s="353" t="str">
        <f>IFERROR(VLOOKUP(V517,'NS QUẢN LÝ CG'!$A$4:$D$36,2,0),"")</f>
        <v/>
      </c>
      <c r="X517" s="353" t="str">
        <f>IFERROR(VLOOKUP(V517,'NS QUẢN LÝ CG'!$A$4:$D$36,4,0),"")</f>
        <v/>
      </c>
      <c r="Y517" s="353" t="str">
        <f>IFERROR(VLOOKUP(V517,'NS QUẢN LÝ CG'!$A$4:$C$36,3,0),"")</f>
        <v/>
      </c>
      <c r="Z517" s="731" t="str">
        <f>IFERROR(VLOOKUP(M517,'02. MM-KLH'!$B$6:$T$823,3,0),"")</f>
        <v>ATT-A22-0327</v>
      </c>
      <c r="AA517" s="353" t="s">
        <v>5980</v>
      </c>
      <c r="AB517" s="731"/>
      <c r="AC517" s="731"/>
    </row>
    <row r="518" ht="13.8" spans="1:29">
      <c r="A518" s="731"/>
      <c r="B518" s="613" t="str">
        <f>IFERROR(VLOOKUP(M518,'02. MM-KLH'!$B$6:$T$823,6,0),"")</f>
        <v>Xe lôi</v>
      </c>
      <c r="C518" s="353">
        <v>1</v>
      </c>
      <c r="D518" s="353" t="str">
        <f>IFERROR(VLOOKUP(M518,'02. MM-KLH'!$B$6:$T$823,16,0),"")</f>
        <v>150ZH-2DR</v>
      </c>
      <c r="E518" s="353"/>
      <c r="F518" s="353" t="s">
        <v>5978</v>
      </c>
      <c r="G518" s="353"/>
      <c r="H518" s="353" t="str">
        <f>IFERROR(VLOOKUP(M518,'02. MM-KLH'!$B$6:$T$823,17,0),"")</f>
        <v>11HP</v>
      </c>
      <c r="I518" s="763">
        <f>IFERROR(VLOOKUP(M518,'02. MM-KLH'!$B$6:$U$823,20,0),"")</f>
        <v>2.5</v>
      </c>
      <c r="J518" s="613" t="str">
        <f>IFERROR(VLOOKUP(M518,'02. MM-KLH'!$B$6:$T$823,19,0),"")</f>
        <v>170MM-B8R100075</v>
      </c>
      <c r="K518" s="613" t="str">
        <f>IFERROR(VLOOKUP(M518,'02. MM-KLH'!$B$6:$T$823,18,0),"")</f>
        <v>L6XHBN1B8R0000061</v>
      </c>
      <c r="L518" s="353">
        <f>IFERROR(VLOOKUP(M518,'02. MM-KLH'!$B$6:$T$823,4,0),"")</f>
        <v>0</v>
      </c>
      <c r="M518" s="49" t="s">
        <v>2606</v>
      </c>
      <c r="N518" s="356">
        <f>IFERROR(VLOOKUP(M518,'02. MM-KLH'!$B$6:$T$823,15,0),"")</f>
        <v>0</v>
      </c>
      <c r="O518" s="764">
        <f>IFERROR(VLOOKUP(M518,'02. MM-KLH'!$B$6:$T$823,9,0),"")</f>
        <v>45963</v>
      </c>
      <c r="P518" s="353"/>
      <c r="Q518" s="353" t="s">
        <v>1755</v>
      </c>
      <c r="R518" s="353" t="s">
        <v>5978</v>
      </c>
      <c r="S518" s="353"/>
      <c r="T518" s="353"/>
      <c r="U518" s="353" t="str">
        <f>IFERROR(VLOOKUP(M518,'02. MM-KLH'!$B$6:$T$823,5,0),"")</f>
        <v>ĐQSD</v>
      </c>
      <c r="V518" s="731" t="str">
        <f>IFERROR(VLOOKUP(M518,'02. MM-KLH'!$B$6:$T$823,8,0),"")</f>
        <v>Ban điện nước</v>
      </c>
      <c r="W518" s="353" t="str">
        <f>IFERROR(VLOOKUP(V518,'NS QUẢN LÝ CG'!$A$4:$D$36,2,0),"")</f>
        <v/>
      </c>
      <c r="X518" s="353" t="str">
        <f>IFERROR(VLOOKUP(V518,'NS QUẢN LÝ CG'!$A$4:$D$36,4,0),"")</f>
        <v/>
      </c>
      <c r="Y518" s="353" t="str">
        <f>IFERROR(VLOOKUP(V518,'NS QUẢN LÝ CG'!$A$4:$C$36,3,0),"")</f>
        <v/>
      </c>
      <c r="Z518" s="731">
        <f>IFERROR(VLOOKUP(M518,'02. MM-KLH'!$B$6:$T$823,3,0),"")</f>
        <v>0</v>
      </c>
      <c r="AA518" s="353" t="str">
        <f t="shared" ref="AA518:AA523" si="35">_xlfn.SWITCH(LEFT(Z518,3),"A22","ADM","A23","DP","A24","LP","")</f>
        <v/>
      </c>
      <c r="AB518" s="731"/>
      <c r="AC518" s="731"/>
    </row>
    <row r="519" ht="13.8" spans="1:29">
      <c r="A519" s="731"/>
      <c r="B519" s="613" t="str">
        <f>IFERROR(VLOOKUP(M519,'02. MM-KLH'!$B$6:$T$823,6,0),"")</f>
        <v>Xe lôi</v>
      </c>
      <c r="C519" s="353">
        <v>1</v>
      </c>
      <c r="D519" s="353" t="str">
        <f>IFERROR(VLOOKUP(M519,'02. MM-KLH'!$B$6:$T$823,16,0),"")</f>
        <v>150ZH-2DR</v>
      </c>
      <c r="E519" s="353"/>
      <c r="F519" s="353" t="s">
        <v>5978</v>
      </c>
      <c r="G519" s="353"/>
      <c r="H519" s="353" t="str">
        <f>IFERROR(VLOOKUP(M519,'02. MM-KLH'!$B$6:$T$823,17,0),"")</f>
        <v>11HP</v>
      </c>
      <c r="I519" s="763">
        <f>IFERROR(VLOOKUP(M519,'02. MM-KLH'!$B$6:$U$823,20,0),"")</f>
        <v>2.5</v>
      </c>
      <c r="J519" s="613" t="str">
        <f>IFERROR(VLOOKUP(M519,'02. MM-KLH'!$B$6:$T$823,19,0),"")</f>
        <v>170MM-B8R100072</v>
      </c>
      <c r="K519" s="613" t="str">
        <f>IFERROR(VLOOKUP(M519,'02. MM-KLH'!$B$6:$T$823,18,0),"")</f>
        <v>L6XHBN1B8R0000058</v>
      </c>
      <c r="L519" s="353">
        <f>IFERROR(VLOOKUP(M519,'02. MM-KLH'!$B$6:$T$823,4,0),"")</f>
        <v>0</v>
      </c>
      <c r="M519" s="49" t="s">
        <v>2611</v>
      </c>
      <c r="N519" s="356">
        <f>IFERROR(VLOOKUP(M519,'02. MM-KLH'!$B$6:$T$823,15,0),"")</f>
        <v>0</v>
      </c>
      <c r="O519" s="764">
        <f>IFERROR(VLOOKUP(M519,'02. MM-KLH'!$B$6:$T$823,9,0),"")</f>
        <v>45963</v>
      </c>
      <c r="P519" s="353"/>
      <c r="Q519" s="353" t="s">
        <v>1755</v>
      </c>
      <c r="R519" s="353" t="s">
        <v>5978</v>
      </c>
      <c r="S519" s="353"/>
      <c r="T519" s="353"/>
      <c r="U519" s="353" t="str">
        <f>IFERROR(VLOOKUP(M519,'02. MM-KLH'!$B$6:$T$823,5,0),"")</f>
        <v>ĐQSD</v>
      </c>
      <c r="V519" s="731" t="str">
        <f>IFERROR(VLOOKUP(M519,'02. MM-KLH'!$B$6:$T$823,8,0),"")</f>
        <v>Ban điện nước</v>
      </c>
      <c r="W519" s="353" t="str">
        <f>IFERROR(VLOOKUP(V519,'NS QUẢN LÝ CG'!$A$4:$D$36,2,0),"")</f>
        <v/>
      </c>
      <c r="X519" s="353" t="str">
        <f>IFERROR(VLOOKUP(V519,'NS QUẢN LÝ CG'!$A$4:$D$36,4,0),"")</f>
        <v/>
      </c>
      <c r="Y519" s="353" t="str">
        <f>IFERROR(VLOOKUP(V519,'NS QUẢN LÝ CG'!$A$4:$C$36,3,0),"")</f>
        <v/>
      </c>
      <c r="Z519" s="731">
        <f>IFERROR(VLOOKUP(M519,'02. MM-KLH'!$B$6:$T$823,3,0),"")</f>
        <v>0</v>
      </c>
      <c r="AA519" s="353" t="str">
        <f t="shared" si="35"/>
        <v/>
      </c>
      <c r="AB519" s="731"/>
      <c r="AC519" s="731"/>
    </row>
    <row r="520" ht="13.8" spans="1:29">
      <c r="A520" s="731"/>
      <c r="B520" s="613" t="str">
        <f>IFERROR(VLOOKUP(M520,'02. MM-KLH'!$B$6:$T$823,6,0),"")</f>
        <v>Xe lôi</v>
      </c>
      <c r="C520" s="353">
        <v>1</v>
      </c>
      <c r="D520" s="353" t="str">
        <f>IFERROR(VLOOKUP(M520,'02. MM-KLH'!$B$6:$T$823,16,0),"")</f>
        <v>150ZH-2DR</v>
      </c>
      <c r="E520" s="353"/>
      <c r="F520" s="353" t="s">
        <v>5978</v>
      </c>
      <c r="G520" s="353"/>
      <c r="H520" s="353" t="str">
        <f>IFERROR(VLOOKUP(M520,'02. MM-KLH'!$B$6:$T$823,17,0),"")</f>
        <v>11HP</v>
      </c>
      <c r="I520" s="763">
        <f>IFERROR(VLOOKUP(M520,'02. MM-KLH'!$B$6:$U$823,20,0),"")</f>
        <v>2.5</v>
      </c>
      <c r="J520" s="613" t="str">
        <f>IFERROR(VLOOKUP(M520,'02. MM-KLH'!$B$6:$T$823,19,0),"")</f>
        <v>170MM-B8R100073</v>
      </c>
      <c r="K520" s="613" t="str">
        <f>IFERROR(VLOOKUP(M520,'02. MM-KLH'!$B$6:$T$823,18,0),"")</f>
        <v>L6XHBN1B8R0000059</v>
      </c>
      <c r="L520" s="353">
        <f>IFERROR(VLOOKUP(M520,'02. MM-KLH'!$B$6:$T$823,4,0),"")</f>
        <v>0</v>
      </c>
      <c r="M520" s="49" t="s">
        <v>2614</v>
      </c>
      <c r="N520" s="356">
        <f>IFERROR(VLOOKUP(M520,'02. MM-KLH'!$B$6:$T$823,15,0),"")</f>
        <v>0</v>
      </c>
      <c r="O520" s="764">
        <f>IFERROR(VLOOKUP(M520,'02. MM-KLH'!$B$6:$T$823,9,0),"")</f>
        <v>45963</v>
      </c>
      <c r="P520" s="353"/>
      <c r="Q520" s="353" t="s">
        <v>1755</v>
      </c>
      <c r="R520" s="353" t="s">
        <v>5978</v>
      </c>
      <c r="S520" s="353"/>
      <c r="T520" s="353"/>
      <c r="U520" s="353" t="str">
        <f>IFERROR(VLOOKUP(M520,'02. MM-KLH'!$B$6:$T$823,5,0),"")</f>
        <v>ĐQSD</v>
      </c>
      <c r="V520" s="731" t="str">
        <f>IFERROR(VLOOKUP(M520,'02. MM-KLH'!$B$6:$T$823,8,0),"")</f>
        <v>Ban điện nước</v>
      </c>
      <c r="W520" s="353" t="str">
        <f>IFERROR(VLOOKUP(V520,'NS QUẢN LÝ CG'!$A$4:$D$36,2,0),"")</f>
        <v/>
      </c>
      <c r="X520" s="353" t="str">
        <f>IFERROR(VLOOKUP(V520,'NS QUẢN LÝ CG'!$A$4:$D$36,4,0),"")</f>
        <v/>
      </c>
      <c r="Y520" s="353" t="str">
        <f>IFERROR(VLOOKUP(V520,'NS QUẢN LÝ CG'!$A$4:$C$36,3,0),"")</f>
        <v/>
      </c>
      <c r="Z520" s="731">
        <f>IFERROR(VLOOKUP(M520,'02. MM-KLH'!$B$6:$T$823,3,0),"")</f>
        <v>0</v>
      </c>
      <c r="AA520" s="353" t="str">
        <f t="shared" si="35"/>
        <v/>
      </c>
      <c r="AB520" s="731"/>
      <c r="AC520" s="731"/>
    </row>
    <row r="521" ht="13.8" spans="1:29">
      <c r="A521" s="731"/>
      <c r="B521" s="613" t="str">
        <f>IFERROR(VLOOKUP(M521,'02. MM-KLH'!$B$6:$T$823,6,0),"")</f>
        <v>Xe lôi</v>
      </c>
      <c r="C521" s="353">
        <v>1</v>
      </c>
      <c r="D521" s="353">
        <f>IFERROR(VLOOKUP(M521,'02. MM-KLH'!$B$6:$T$823,16,0),"")</f>
        <v>0</v>
      </c>
      <c r="E521" s="353"/>
      <c r="F521" s="353" t="s">
        <v>5978</v>
      </c>
      <c r="G521" s="353"/>
      <c r="H521" s="353" t="str">
        <f>IFERROR(VLOOKUP(M521,'02. MM-KLH'!$B$6:$T$823,17,0),"")</f>
        <v>150CC</v>
      </c>
      <c r="I521" s="763">
        <f>IFERROR(VLOOKUP(M521,'02. MM-KLH'!$B$6:$U$823,20,0),"")</f>
        <v>2.5</v>
      </c>
      <c r="J521" s="613" t="str">
        <f>IFERROR(VLOOKUP(M521,'02. MM-KLH'!$B$6:$T$823,19,0),"")</f>
        <v>CCN</v>
      </c>
      <c r="K521" s="613" t="str">
        <f>IFERROR(VLOOKUP(M521,'02. MM-KLH'!$B$6:$T$823,18,0),"")</f>
        <v>1L000058</v>
      </c>
      <c r="L521" s="353">
        <f>IFERROR(VLOOKUP(M521,'02. MM-KLH'!$B$6:$T$823,4,0),"")</f>
        <v>0</v>
      </c>
      <c r="M521" s="49" t="s">
        <v>2618</v>
      </c>
      <c r="N521" s="356">
        <f>IFERROR(VLOOKUP(M521,'02. MM-KLH'!$B$6:$T$823,15,0),"")</f>
        <v>0</v>
      </c>
      <c r="O521" s="764">
        <f>IFERROR(VLOOKUP(M521,'02. MM-KLH'!$B$6:$T$823,9,0),"")</f>
        <v>0</v>
      </c>
      <c r="P521" s="353"/>
      <c r="Q521" s="353" t="s">
        <v>1755</v>
      </c>
      <c r="R521" s="353" t="s">
        <v>5978</v>
      </c>
      <c r="S521" s="353"/>
      <c r="T521" s="353"/>
      <c r="U521" s="353" t="str">
        <f>IFERROR(VLOOKUP(M521,'02. MM-KLH'!$B$6:$T$823,5,0),"")</f>
        <v>ĐQSD</v>
      </c>
      <c r="V521" s="731" t="str">
        <f>IFERROR(VLOOKUP(M521,'02. MM-KLH'!$B$6:$T$823,8,0),"")</f>
        <v>Xưởng Cơ khí ADM&amp;LP</v>
      </c>
      <c r="W521" s="353" t="str">
        <f>IFERROR(VLOOKUP(V521,'NS QUẢN LÝ CG'!$A$4:$D$36,2,0),"")</f>
        <v/>
      </c>
      <c r="X521" s="353" t="str">
        <f>IFERROR(VLOOKUP(V521,'NS QUẢN LÝ CG'!$A$4:$D$36,4,0),"")</f>
        <v/>
      </c>
      <c r="Y521" s="353" t="str">
        <f>IFERROR(VLOOKUP(V521,'NS QUẢN LÝ CG'!$A$4:$C$36,3,0),"")</f>
        <v/>
      </c>
      <c r="Z521" s="731" t="str">
        <f>IFERROR(VLOOKUP(M521,'02. MM-KLH'!$B$6:$T$823,3,0),"")</f>
        <v>A22-XLO-001</v>
      </c>
      <c r="AA521" s="353" t="str">
        <f t="shared" si="35"/>
        <v>ADM</v>
      </c>
      <c r="AB521" s="731"/>
      <c r="AC521" s="731"/>
    </row>
    <row r="522" ht="13.8" spans="1:29">
      <c r="A522" s="731"/>
      <c r="B522" s="613" t="str">
        <f>IFERROR(VLOOKUP(M522,'02. MM-KLH'!$B$6:$T$823,6,0),"")</f>
        <v>Xe lôi</v>
      </c>
      <c r="C522" s="353">
        <v>1</v>
      </c>
      <c r="D522" s="353">
        <f>IFERROR(VLOOKUP(M522,'02. MM-KLH'!$B$6:$T$823,16,0),"")</f>
        <v>0</v>
      </c>
      <c r="E522" s="353"/>
      <c r="F522" s="353" t="s">
        <v>5978</v>
      </c>
      <c r="G522" s="353"/>
      <c r="H522" s="353" t="str">
        <f>IFERROR(VLOOKUP(M522,'02. MM-KLH'!$B$6:$T$823,17,0),"")</f>
        <v>150CC</v>
      </c>
      <c r="I522" s="763">
        <f>IFERROR(VLOOKUP(M522,'02. MM-KLH'!$B$6:$U$823,20,0),"")</f>
        <v>2.5</v>
      </c>
      <c r="J522" s="613" t="str">
        <f>IFERROR(VLOOKUP(M522,'02. MM-KLH'!$B$6:$T$823,19,0),"")</f>
        <v>CCN</v>
      </c>
      <c r="K522" s="613" t="str">
        <f>IFERROR(VLOOKUP(M522,'02. MM-KLH'!$B$6:$T$823,18,0),"")</f>
        <v>21L001162</v>
      </c>
      <c r="L522" s="353">
        <f>IFERROR(VLOOKUP(M522,'02. MM-KLH'!$B$6:$T$823,4,0),"")</f>
        <v>0</v>
      </c>
      <c r="M522" s="49" t="s">
        <v>2619</v>
      </c>
      <c r="N522" s="356">
        <f>IFERROR(VLOOKUP(M522,'02. MM-KLH'!$B$6:$T$823,15,0),"")</f>
        <v>0</v>
      </c>
      <c r="O522" s="764">
        <f>IFERROR(VLOOKUP(M522,'02. MM-KLH'!$B$6:$T$823,9,0),"")</f>
        <v>0</v>
      </c>
      <c r="P522" s="353"/>
      <c r="Q522" s="353" t="s">
        <v>1755</v>
      </c>
      <c r="R522" s="353" t="s">
        <v>5978</v>
      </c>
      <c r="S522" s="353"/>
      <c r="T522" s="353"/>
      <c r="U522" s="353" t="str">
        <f>IFERROR(VLOOKUP(M522,'02. MM-KLH'!$B$6:$T$823,5,0),"")</f>
        <v>ĐQSD</v>
      </c>
      <c r="V522" s="731" t="str">
        <f>IFERROR(VLOOKUP(M522,'02. MM-KLH'!$B$6:$T$823,8,0),"")</f>
        <v>Xưởng Cơ khí ADM&amp;LP</v>
      </c>
      <c r="W522" s="353" t="str">
        <f>IFERROR(VLOOKUP(V522,'NS QUẢN LÝ CG'!$A$4:$D$36,2,0),"")</f>
        <v/>
      </c>
      <c r="X522" s="353" t="str">
        <f>IFERROR(VLOOKUP(V522,'NS QUẢN LÝ CG'!$A$4:$D$36,4,0),"")</f>
        <v/>
      </c>
      <c r="Y522" s="353" t="str">
        <f>IFERROR(VLOOKUP(V522,'NS QUẢN LÝ CG'!$A$4:$C$36,3,0),"")</f>
        <v/>
      </c>
      <c r="Z522" s="731" t="str">
        <f>IFERROR(VLOOKUP(M522,'02. MM-KLH'!$B$6:$T$823,3,0),"")</f>
        <v>A22-XLO-002</v>
      </c>
      <c r="AA522" s="353" t="str">
        <f t="shared" si="35"/>
        <v>ADM</v>
      </c>
      <c r="AB522" s="731"/>
      <c r="AC522" s="731"/>
    </row>
    <row r="523" ht="13.8" spans="1:29">
      <c r="A523" s="731"/>
      <c r="B523" s="613" t="str">
        <f>IFERROR(VLOOKUP(M523,'02. MM-KLH'!$B$6:$T$823,6,0),"")</f>
        <v>Xe lôi</v>
      </c>
      <c r="C523" s="353">
        <v>1</v>
      </c>
      <c r="D523" s="353">
        <f>IFERROR(VLOOKUP(M523,'02. MM-KLH'!$B$6:$T$823,16,0),"")</f>
        <v>0</v>
      </c>
      <c r="E523" s="353"/>
      <c r="F523" s="353" t="s">
        <v>5978</v>
      </c>
      <c r="G523" s="353"/>
      <c r="H523" s="353" t="str">
        <f>IFERROR(VLOOKUP(M523,'02. MM-KLH'!$B$6:$T$823,17,0),"")</f>
        <v>150CC</v>
      </c>
      <c r="I523" s="763">
        <f>IFERROR(VLOOKUP(M523,'02. MM-KLH'!$B$6:$U$823,20,0),"")</f>
        <v>2.5</v>
      </c>
      <c r="J523" s="613" t="str">
        <f>IFERROR(VLOOKUP(M523,'02. MM-KLH'!$B$6:$T$823,19,0),"")</f>
        <v>CCN</v>
      </c>
      <c r="K523" s="613" t="str">
        <f>IFERROR(VLOOKUP(M523,'02. MM-KLH'!$B$6:$T$823,18,0),"")</f>
        <v>21L000299</v>
      </c>
      <c r="L523" s="353">
        <f>IFERROR(VLOOKUP(M523,'02. MM-KLH'!$B$6:$T$823,4,0),"")</f>
        <v>0</v>
      </c>
      <c r="M523" s="49" t="s">
        <v>2622</v>
      </c>
      <c r="N523" s="356">
        <f>IFERROR(VLOOKUP(M523,'02. MM-KLH'!$B$6:$T$823,15,0),"")</f>
        <v>0</v>
      </c>
      <c r="O523" s="764">
        <f>IFERROR(VLOOKUP(M523,'02. MM-KLH'!$B$6:$T$823,9,0),"")</f>
        <v>0</v>
      </c>
      <c r="P523" s="353"/>
      <c r="Q523" s="353" t="s">
        <v>1755</v>
      </c>
      <c r="R523" s="353" t="s">
        <v>5978</v>
      </c>
      <c r="S523" s="353"/>
      <c r="T523" s="353"/>
      <c r="U523" s="353" t="str">
        <f>IFERROR(VLOOKUP(M523,'02. MM-KLH'!$B$6:$T$823,5,0),"")</f>
        <v>ĐQSD</v>
      </c>
      <c r="V523" s="731" t="str">
        <f>IFERROR(VLOOKUP(M523,'02. MM-KLH'!$B$6:$T$823,8,0),"")</f>
        <v>Xưởng Cơ khí ADM&amp;LP</v>
      </c>
      <c r="W523" s="353" t="str">
        <f>IFERROR(VLOOKUP(V523,'NS QUẢN LÝ CG'!$A$4:$D$36,2,0),"")</f>
        <v/>
      </c>
      <c r="X523" s="353" t="str">
        <f>IFERROR(VLOOKUP(V523,'NS QUẢN LÝ CG'!$A$4:$D$36,4,0),"")</f>
        <v/>
      </c>
      <c r="Y523" s="353" t="str">
        <f>IFERROR(VLOOKUP(V523,'NS QUẢN LÝ CG'!$A$4:$C$36,3,0),"")</f>
        <v/>
      </c>
      <c r="Z523" s="731" t="str">
        <f>IFERROR(VLOOKUP(M523,'02. MM-KLH'!$B$6:$T$823,3,0),"")</f>
        <v>A22-XLO-003</v>
      </c>
      <c r="AA523" s="353" t="str">
        <f t="shared" si="35"/>
        <v>ADM</v>
      </c>
      <c r="AB523" s="731"/>
      <c r="AC523" s="731"/>
    </row>
    <row r="524" ht="13.8" spans="1:29">
      <c r="A524" s="731"/>
      <c r="B524" s="613" t="str">
        <f>IFERROR(VLOOKUP(M524,'02. MM-KLH'!$B$6:$T$823,6,0),"")</f>
        <v>Xe lôi</v>
      </c>
      <c r="C524" s="353">
        <v>1</v>
      </c>
      <c r="D524" s="353" t="str">
        <f>IFERROR(VLOOKUP(M524,'02. MM-KLH'!$B$6:$T$823,16,0),"")</f>
        <v>150ZH</v>
      </c>
      <c r="E524" s="353"/>
      <c r="F524" s="353" t="s">
        <v>5978</v>
      </c>
      <c r="G524" s="353"/>
      <c r="H524" s="353" t="str">
        <f>IFERROR(VLOOKUP(M524,'02. MM-KLH'!$B$6:$T$823,17,0),"")</f>
        <v>150HP</v>
      </c>
      <c r="I524" s="763">
        <f>IFERROR(VLOOKUP(M524,'02. MM-KLH'!$B$6:$U$823,20,0),"")</f>
        <v>2.5</v>
      </c>
      <c r="J524" s="613" t="str">
        <f>IFERROR(VLOOKUP(M524,'02. MM-KLH'!$B$6:$T$823,19,0),"")</f>
        <v>CCN</v>
      </c>
      <c r="K524" s="613" t="str">
        <f>IFERROR(VLOOKUP(M524,'02. MM-KLH'!$B$6:$T$823,18,0),"")</f>
        <v>TH162FMJ-C22060455</v>
      </c>
      <c r="L524" s="353">
        <f>IFERROR(VLOOKUP(M524,'02. MM-KLH'!$B$6:$T$823,4,0),"")</f>
        <v>0</v>
      </c>
      <c r="M524" s="49" t="s">
        <v>2701</v>
      </c>
      <c r="N524" s="356">
        <f>IFERROR(VLOOKUP(M524,'02. MM-KLH'!$B$6:$T$823,15,0),"")</f>
        <v>0</v>
      </c>
      <c r="O524" s="764">
        <f>IFERROR(VLOOKUP(M524,'02. MM-KLH'!$B$6:$T$823,9,0),"")</f>
        <v>44936</v>
      </c>
      <c r="P524" s="353"/>
      <c r="Q524" s="353" t="s">
        <v>1755</v>
      </c>
      <c r="R524" s="353" t="s">
        <v>5978</v>
      </c>
      <c r="S524" s="353"/>
      <c r="T524" s="353"/>
      <c r="U524" s="353" t="str">
        <f>IFERROR(VLOOKUP(M524,'02. MM-KLH'!$B$6:$T$823,5,0),"")</f>
        <v>ĐQSD</v>
      </c>
      <c r="V524" s="731" t="str">
        <f>IFERROR(VLOOKUP(M524,'02. MM-KLH'!$B$6:$T$823,8,0),"")</f>
        <v>Thagricons</v>
      </c>
      <c r="W524" s="353">
        <f>IFERROR(VLOOKUP(V524,'NS QUẢN LÝ CG'!$A$4:$D$36,2,0),"")</f>
        <v>0</v>
      </c>
      <c r="X524" s="353">
        <f>IFERROR(VLOOKUP(V524,'NS QUẢN LÝ CG'!$A$4:$D$36,4,0),"")</f>
        <v>0</v>
      </c>
      <c r="Y524" s="353">
        <f>IFERROR(VLOOKUP(V524,'NS QUẢN LÝ CG'!$A$4:$C$36,3,0),"")</f>
        <v>0</v>
      </c>
      <c r="Z524" s="731" t="str">
        <f>IFERROR(VLOOKUP(M524,'02. MM-KLH'!$B$6:$T$823,3,0),"")</f>
        <v>ATT-A22-0275</v>
      </c>
      <c r="AA524" s="353" t="s">
        <v>5980</v>
      </c>
      <c r="AB524" s="731"/>
      <c r="AC524" s="731"/>
    </row>
    <row r="525" ht="13.8" spans="1:29">
      <c r="A525" s="731"/>
      <c r="B525" s="613" t="str">
        <f>IFERROR(VLOOKUP(M525,'02. MM-KLH'!$B$6:$T$823,6,0),"")</f>
        <v>Xe lôi</v>
      </c>
      <c r="C525" s="353">
        <v>1</v>
      </c>
      <c r="D525" s="353" t="str">
        <f>IFERROR(VLOOKUP(M525,'02. MM-KLH'!$B$6:$T$823,16,0),"")</f>
        <v>150ZH</v>
      </c>
      <c r="E525" s="353"/>
      <c r="F525" s="353" t="s">
        <v>5978</v>
      </c>
      <c r="G525" s="353"/>
      <c r="H525" s="353" t="str">
        <f>IFERROR(VLOOKUP(M525,'02. MM-KLH'!$B$6:$T$823,17,0),"")</f>
        <v>150HP</v>
      </c>
      <c r="I525" s="763">
        <f>IFERROR(VLOOKUP(M525,'02. MM-KLH'!$B$6:$U$823,20,0),"")</f>
        <v>2.5</v>
      </c>
      <c r="J525" s="613" t="str">
        <f>IFERROR(VLOOKUP(M525,'02. MM-KLH'!$B$6:$T$823,19,0),"")</f>
        <v>CCN</v>
      </c>
      <c r="K525" s="613" t="str">
        <f>IFERROR(VLOOKUP(M525,'02. MM-KLH'!$B$6:$T$823,18,0),"")</f>
        <v>TH162FMJ-C23004009</v>
      </c>
      <c r="L525" s="353">
        <f>IFERROR(VLOOKUP(M525,'02. MM-KLH'!$B$6:$T$823,4,0),"")</f>
        <v>0</v>
      </c>
      <c r="M525" s="49" t="s">
        <v>2705</v>
      </c>
      <c r="N525" s="356">
        <f>IFERROR(VLOOKUP(M525,'02. MM-KLH'!$B$6:$T$823,15,0),"")</f>
        <v>0</v>
      </c>
      <c r="O525" s="764" t="str">
        <f>IFERROR(VLOOKUP(M525,'02. MM-KLH'!$B$6:$T$823,9,0),"")</f>
        <v>14/11/2023</v>
      </c>
      <c r="P525" s="353"/>
      <c r="Q525" s="353" t="s">
        <v>1755</v>
      </c>
      <c r="R525" s="353" t="s">
        <v>5978</v>
      </c>
      <c r="S525" s="353"/>
      <c r="T525" s="353"/>
      <c r="U525" s="353" t="str">
        <f>IFERROR(VLOOKUP(M525,'02. MM-KLH'!$B$6:$T$823,5,0),"")</f>
        <v>ĐQSD</v>
      </c>
      <c r="V525" s="731" t="str">
        <f>IFERROR(VLOOKUP(M525,'02. MM-KLH'!$B$6:$T$823,8,0),"")</f>
        <v>Thagricons</v>
      </c>
      <c r="W525" s="353">
        <f>IFERROR(VLOOKUP(V525,'NS QUẢN LÝ CG'!$A$4:$D$36,2,0),"")</f>
        <v>0</v>
      </c>
      <c r="X525" s="353">
        <f>IFERROR(VLOOKUP(V525,'NS QUẢN LÝ CG'!$A$4:$D$36,4,0),"")</f>
        <v>0</v>
      </c>
      <c r="Y525" s="353">
        <f>IFERROR(VLOOKUP(V525,'NS QUẢN LÝ CG'!$A$4:$C$36,3,0),"")</f>
        <v>0</v>
      </c>
      <c r="Z525" s="731" t="str">
        <f>IFERROR(VLOOKUP(M525,'02. MM-KLH'!$B$6:$T$823,3,0),"")</f>
        <v>ATT-A22-0281</v>
      </c>
      <c r="AA525" s="353" t="s">
        <v>5980</v>
      </c>
      <c r="AB525" s="731"/>
      <c r="AC525" s="731"/>
    </row>
    <row r="526" ht="13.8" spans="1:29">
      <c r="A526" s="731"/>
      <c r="B526" s="613" t="str">
        <f>IFERROR(VLOOKUP(M526,'02. MM-KLH'!$B$6:$T$823,6,0),"")</f>
        <v>Xe lôi</v>
      </c>
      <c r="C526" s="353">
        <v>1</v>
      </c>
      <c r="D526" s="353" t="str">
        <f>IFERROR(VLOOKUP(M526,'02. MM-KLH'!$B$6:$T$823,16,0),"")</f>
        <v>150ZH</v>
      </c>
      <c r="E526" s="353"/>
      <c r="F526" s="353" t="s">
        <v>5978</v>
      </c>
      <c r="G526" s="353"/>
      <c r="H526" s="353" t="str">
        <f>IFERROR(VLOOKUP(M526,'02. MM-KLH'!$B$6:$T$823,17,0),"")</f>
        <v>150HP</v>
      </c>
      <c r="I526" s="763">
        <f>IFERROR(VLOOKUP(M526,'02. MM-KLH'!$B$6:$U$823,20,0),"")</f>
        <v>2.5</v>
      </c>
      <c r="J526" s="613" t="str">
        <f>IFERROR(VLOOKUP(M526,'02. MM-KLH'!$B$6:$T$823,19,0),"")</f>
        <v>CCN</v>
      </c>
      <c r="K526" s="613" t="str">
        <f>IFERROR(VLOOKUP(M526,'02. MM-KLH'!$B$6:$T$823,18,0),"")</f>
        <v>TH162FMJ-C23004035</v>
      </c>
      <c r="L526" s="353">
        <f>IFERROR(VLOOKUP(M526,'02. MM-KLH'!$B$6:$T$823,4,0),"")</f>
        <v>0</v>
      </c>
      <c r="M526" s="49" t="s">
        <v>2708</v>
      </c>
      <c r="N526" s="356">
        <f>IFERROR(VLOOKUP(M526,'02. MM-KLH'!$B$6:$T$823,15,0),"")</f>
        <v>0</v>
      </c>
      <c r="O526" s="764" t="str">
        <f>IFERROR(VLOOKUP(M526,'02. MM-KLH'!$B$6:$T$823,9,0),"")</f>
        <v>14/11/2023</v>
      </c>
      <c r="P526" s="353"/>
      <c r="Q526" s="353" t="s">
        <v>1755</v>
      </c>
      <c r="R526" s="353" t="s">
        <v>5978</v>
      </c>
      <c r="S526" s="353"/>
      <c r="T526" s="353"/>
      <c r="U526" s="353" t="str">
        <f>IFERROR(VLOOKUP(M526,'02. MM-KLH'!$B$6:$T$823,5,0),"")</f>
        <v>ĐQSD</v>
      </c>
      <c r="V526" s="731" t="str">
        <f>IFERROR(VLOOKUP(M526,'02. MM-KLH'!$B$6:$T$823,8,0),"")</f>
        <v>Thagricons</v>
      </c>
      <c r="W526" s="353">
        <f>IFERROR(VLOOKUP(V526,'NS QUẢN LÝ CG'!$A$4:$D$36,2,0),"")</f>
        <v>0</v>
      </c>
      <c r="X526" s="353">
        <f>IFERROR(VLOOKUP(V526,'NS QUẢN LÝ CG'!$A$4:$D$36,4,0),"")</f>
        <v>0</v>
      </c>
      <c r="Y526" s="353">
        <f>IFERROR(VLOOKUP(V526,'NS QUẢN LÝ CG'!$A$4:$C$36,3,0),"")</f>
        <v>0</v>
      </c>
      <c r="Z526" s="731" t="str">
        <f>IFERROR(VLOOKUP(M526,'02. MM-KLH'!$B$6:$T$823,3,0),"")</f>
        <v>ATT-A22-0282</v>
      </c>
      <c r="AA526" s="353" t="s">
        <v>5980</v>
      </c>
      <c r="AB526" s="731"/>
      <c r="AC526" s="731"/>
    </row>
    <row r="527" ht="13.8" spans="1:29">
      <c r="A527" s="731"/>
      <c r="B527" s="613" t="str">
        <f>IFERROR(VLOOKUP(M527,'02. MM-KLH'!$B$6:$T$823,6,0),"")</f>
        <v>Xe lôi</v>
      </c>
      <c r="C527" s="353">
        <v>1</v>
      </c>
      <c r="D527" s="353" t="str">
        <f>IFERROR(VLOOKUP(M527,'02. MM-KLH'!$B$6:$T$823,16,0),"")</f>
        <v>150ZH</v>
      </c>
      <c r="E527" s="353"/>
      <c r="F527" s="353" t="s">
        <v>5978</v>
      </c>
      <c r="G527" s="353"/>
      <c r="H527" s="353" t="str">
        <f>IFERROR(VLOOKUP(M527,'02. MM-KLH'!$B$6:$T$823,17,0),"")</f>
        <v>150HP</v>
      </c>
      <c r="I527" s="763">
        <f>IFERROR(VLOOKUP(M527,'02. MM-KLH'!$B$6:$U$823,20,0),"")</f>
        <v>2.5</v>
      </c>
      <c r="J527" s="613" t="str">
        <f>IFERROR(VLOOKUP(M527,'02. MM-KLH'!$B$6:$T$823,19,0),"")</f>
        <v>CCN</v>
      </c>
      <c r="K527" s="613" t="str">
        <f>IFERROR(VLOOKUP(M527,'02. MM-KLH'!$B$6:$T$823,18,0),"")</f>
        <v>TH162FMJ-C23004033</v>
      </c>
      <c r="L527" s="353">
        <f>IFERROR(VLOOKUP(M527,'02. MM-KLH'!$B$6:$T$823,4,0),"")</f>
        <v>0</v>
      </c>
      <c r="M527" s="49" t="s">
        <v>2710</v>
      </c>
      <c r="N527" s="356">
        <f>IFERROR(VLOOKUP(M527,'02. MM-KLH'!$B$6:$T$823,15,0),"")</f>
        <v>0</v>
      </c>
      <c r="O527" s="764">
        <f>IFERROR(VLOOKUP(M527,'02. MM-KLH'!$B$6:$T$823,9,0),"")</f>
        <v>45474</v>
      </c>
      <c r="P527" s="353"/>
      <c r="Q527" s="353" t="s">
        <v>1755</v>
      </c>
      <c r="R527" s="353" t="s">
        <v>5978</v>
      </c>
      <c r="S527" s="353"/>
      <c r="T527" s="353"/>
      <c r="U527" s="353" t="str">
        <f>IFERROR(VLOOKUP(M527,'02. MM-KLH'!$B$6:$T$823,5,0),"")</f>
        <v>ĐQSD</v>
      </c>
      <c r="V527" s="731" t="str">
        <f>IFERROR(VLOOKUP(M527,'02. MM-KLH'!$B$6:$T$823,8,0),"")</f>
        <v>Thagricons</v>
      </c>
      <c r="W527" s="353">
        <f>IFERROR(VLOOKUP(V527,'NS QUẢN LÝ CG'!$A$4:$D$36,2,0),"")</f>
        <v>0</v>
      </c>
      <c r="X527" s="353">
        <f>IFERROR(VLOOKUP(V527,'NS QUẢN LÝ CG'!$A$4:$D$36,4,0),"")</f>
        <v>0</v>
      </c>
      <c r="Y527" s="353">
        <f>IFERROR(VLOOKUP(V527,'NS QUẢN LÝ CG'!$A$4:$C$36,3,0),"")</f>
        <v>0</v>
      </c>
      <c r="Z527" s="731" t="str">
        <f>IFERROR(VLOOKUP(M527,'02. MM-KLH'!$B$6:$T$823,3,0),"")</f>
        <v>ATT-A22-0325</v>
      </c>
      <c r="AA527" s="353" t="s">
        <v>5980</v>
      </c>
      <c r="AB527" s="731"/>
      <c r="AC527" s="731"/>
    </row>
    <row r="528" ht="13.8" spans="1:29">
      <c r="A528" s="731"/>
      <c r="B528" s="613" t="str">
        <f>IFERROR(VLOOKUP(M528,'02. MM-KLH'!$B$6:$T$823,6,0),"")</f>
        <v>Xe lôi</v>
      </c>
      <c r="C528" s="353">
        <v>1</v>
      </c>
      <c r="D528" s="353" t="str">
        <f>IFERROR(VLOOKUP(M528,'02. MM-KLH'!$B$6:$T$823,16,0),"")</f>
        <v>150ZH</v>
      </c>
      <c r="E528" s="353"/>
      <c r="F528" s="353" t="s">
        <v>5978</v>
      </c>
      <c r="G528" s="353"/>
      <c r="H528" s="353" t="str">
        <f>IFERROR(VLOOKUP(M528,'02. MM-KLH'!$B$6:$T$823,17,0),"")</f>
        <v>150HP</v>
      </c>
      <c r="I528" s="763">
        <f>IFERROR(VLOOKUP(M528,'02. MM-KLH'!$B$6:$U$823,20,0),"")</f>
        <v>2.5</v>
      </c>
      <c r="J528" s="613" t="str">
        <f>IFERROR(VLOOKUP(M528,'02. MM-KLH'!$B$6:$T$823,19,0),"")</f>
        <v>CCN</v>
      </c>
      <c r="K528" s="613" t="str">
        <f>IFERROR(VLOOKUP(M528,'02. MM-KLH'!$B$6:$T$823,18,0),"")</f>
        <v>TH162FMJ-C23004039</v>
      </c>
      <c r="L528" s="353">
        <f>IFERROR(VLOOKUP(M528,'02. MM-KLH'!$B$6:$T$823,4,0),"")</f>
        <v>0</v>
      </c>
      <c r="M528" s="49" t="s">
        <v>2702</v>
      </c>
      <c r="N528" s="356">
        <f>IFERROR(VLOOKUP(M528,'02. MM-KLH'!$B$6:$T$823,15,0),"")</f>
        <v>0</v>
      </c>
      <c r="O528" s="764">
        <f>IFERROR(VLOOKUP(M528,'02. MM-KLH'!$B$6:$T$823,9,0),"")</f>
        <v>45352</v>
      </c>
      <c r="P528" s="353"/>
      <c r="Q528" s="353" t="s">
        <v>1755</v>
      </c>
      <c r="R528" s="353" t="s">
        <v>5978</v>
      </c>
      <c r="S528" s="353"/>
      <c r="T528" s="353"/>
      <c r="U528" s="353" t="str">
        <f>IFERROR(VLOOKUP(M528,'02. MM-KLH'!$B$6:$T$823,5,0),"")</f>
        <v>ĐQSD</v>
      </c>
      <c r="V528" s="731" t="str">
        <f>IFERROR(VLOOKUP(M528,'02. MM-KLH'!$B$6:$T$823,8,0),"")</f>
        <v>Thagricons</v>
      </c>
      <c r="W528" s="353">
        <f>IFERROR(VLOOKUP(V528,'NS QUẢN LÝ CG'!$A$4:$D$36,2,0),"")</f>
        <v>0</v>
      </c>
      <c r="X528" s="353">
        <f>IFERROR(VLOOKUP(V528,'NS QUẢN LÝ CG'!$A$4:$D$36,4,0),"")</f>
        <v>0</v>
      </c>
      <c r="Y528" s="353">
        <f>IFERROR(VLOOKUP(V528,'NS QUẢN LÝ CG'!$A$4:$C$36,3,0),"")</f>
        <v>0</v>
      </c>
      <c r="Z528" s="731" t="str">
        <f>IFERROR(VLOOKUP(M528,'02. MM-KLH'!$B$6:$T$823,3,0),"")</f>
        <v>ATT-A22-0326</v>
      </c>
      <c r="AA528" s="353" t="s">
        <v>5980</v>
      </c>
      <c r="AB528" s="731"/>
      <c r="AC528" s="731"/>
    </row>
    <row r="529" ht="13.8" spans="1:29">
      <c r="A529" s="731"/>
      <c r="B529" s="613" t="str">
        <f>IFERROR(VLOOKUP(M529,'02. MM-KLH'!$B$6:$T$823,6,0),"")</f>
        <v>Xe lôi</v>
      </c>
      <c r="C529" s="353">
        <v>1</v>
      </c>
      <c r="D529" s="353" t="str">
        <f>IFERROR(VLOOKUP(M529,'02. MM-KLH'!$B$6:$T$823,16,0),"")</f>
        <v>150ZH</v>
      </c>
      <c r="E529" s="353"/>
      <c r="F529" s="353" t="s">
        <v>5978</v>
      </c>
      <c r="G529" s="353"/>
      <c r="H529" s="353" t="str">
        <f>IFERROR(VLOOKUP(M529,'02. MM-KLH'!$B$6:$T$823,17,0),"")</f>
        <v>150HP</v>
      </c>
      <c r="I529" s="763">
        <f>IFERROR(VLOOKUP(M529,'02. MM-KLH'!$B$6:$U$823,20,0),"")</f>
        <v>2.5</v>
      </c>
      <c r="J529" s="613" t="str">
        <f>IFERROR(VLOOKUP(M529,'02. MM-KLH'!$B$6:$T$823,19,0),"")</f>
        <v>CCN</v>
      </c>
      <c r="K529" s="613" t="str">
        <f>IFERROR(VLOOKUP(M529,'02. MM-KLH'!$B$6:$T$823,18,0),"")</f>
        <v>TH162FMJ-C22060453</v>
      </c>
      <c r="L529" s="353">
        <f>IFERROR(VLOOKUP(M529,'02. MM-KLH'!$B$6:$T$823,4,0),"")</f>
        <v>0</v>
      </c>
      <c r="M529" s="49" t="s">
        <v>2713</v>
      </c>
      <c r="N529" s="356">
        <f>IFERROR(VLOOKUP(M529,'02. MM-KLH'!$B$6:$T$823,15,0),"")</f>
        <v>0</v>
      </c>
      <c r="O529" s="764">
        <f>IFERROR(VLOOKUP(M529,'02. MM-KLH'!$B$6:$T$823,9,0),"")</f>
        <v>44936</v>
      </c>
      <c r="P529" s="353"/>
      <c r="Q529" s="353" t="s">
        <v>1755</v>
      </c>
      <c r="R529" s="353" t="s">
        <v>5978</v>
      </c>
      <c r="S529" s="353"/>
      <c r="T529" s="353"/>
      <c r="U529" s="353" t="str">
        <f>IFERROR(VLOOKUP(M529,'02. MM-KLH'!$B$6:$T$823,5,0),"")</f>
        <v>ĐQSD</v>
      </c>
      <c r="V529" s="731" t="str">
        <f>IFERROR(VLOOKUP(M529,'02. MM-KLH'!$B$6:$T$823,8,0),"")</f>
        <v>Thagricons</v>
      </c>
      <c r="W529" s="353">
        <f>IFERROR(VLOOKUP(V529,'NS QUẢN LÝ CG'!$A$4:$D$36,2,0),"")</f>
        <v>0</v>
      </c>
      <c r="X529" s="353">
        <f>IFERROR(VLOOKUP(V529,'NS QUẢN LÝ CG'!$A$4:$D$36,4,0),"")</f>
        <v>0</v>
      </c>
      <c r="Y529" s="353">
        <f>IFERROR(VLOOKUP(V529,'NS QUẢN LÝ CG'!$A$4:$C$36,3,0),"")</f>
        <v>0</v>
      </c>
      <c r="Z529" s="731" t="str">
        <f>IFERROR(VLOOKUP(M529,'02. MM-KLH'!$B$6:$T$823,3,0),"")</f>
        <v>ATT-A22-0276</v>
      </c>
      <c r="AA529" s="353" t="s">
        <v>5980</v>
      </c>
      <c r="AB529" s="731"/>
      <c r="AC529" s="731"/>
    </row>
    <row r="530" ht="13.8" spans="1:29">
      <c r="A530" s="731"/>
      <c r="B530" s="613" t="str">
        <f>IFERROR(VLOOKUP(M530,'02. MM-KLH'!$B$6:$T$823,6,0),"")</f>
        <v>Xe lôi</v>
      </c>
      <c r="C530" s="353">
        <v>1</v>
      </c>
      <c r="D530" s="353" t="str">
        <f>IFERROR(VLOOKUP(M530,'02. MM-KLH'!$B$6:$T$823,16,0),"")</f>
        <v>150ZH</v>
      </c>
      <c r="E530" s="353"/>
      <c r="F530" s="353" t="s">
        <v>5978</v>
      </c>
      <c r="G530" s="353"/>
      <c r="H530" s="353" t="str">
        <f>IFERROR(VLOOKUP(M530,'02. MM-KLH'!$B$6:$T$823,17,0),"")</f>
        <v>150HP</v>
      </c>
      <c r="I530" s="763">
        <f>IFERROR(VLOOKUP(M530,'02. MM-KLH'!$B$6:$U$823,20,0),"")</f>
        <v>2.5</v>
      </c>
      <c r="J530" s="613" t="str">
        <f>IFERROR(VLOOKUP(M530,'02. MM-KLH'!$B$6:$T$823,19,0),"")</f>
        <v>CCN</v>
      </c>
      <c r="K530" s="613" t="str">
        <f>IFERROR(VLOOKUP(M530,'02. MM-KLH'!$B$6:$T$823,18,0),"")</f>
        <v>LC162FMJ-TM014863</v>
      </c>
      <c r="L530" s="353">
        <f>IFERROR(VLOOKUP(M530,'02. MM-KLH'!$B$6:$T$823,4,0),"")</f>
        <v>0</v>
      </c>
      <c r="M530" s="49" t="s">
        <v>2715</v>
      </c>
      <c r="N530" s="356">
        <f>IFERROR(VLOOKUP(M530,'02. MM-KLH'!$B$6:$T$823,15,0),"")</f>
        <v>0</v>
      </c>
      <c r="O530" s="764">
        <f>IFERROR(VLOOKUP(M530,'02. MM-KLH'!$B$6:$T$823,9,0),"")</f>
        <v>0</v>
      </c>
      <c r="P530" s="353"/>
      <c r="Q530" s="353" t="s">
        <v>1755</v>
      </c>
      <c r="R530" s="353" t="s">
        <v>5978</v>
      </c>
      <c r="S530" s="353"/>
      <c r="T530" s="353"/>
      <c r="U530" s="353" t="str">
        <f>IFERROR(VLOOKUP(M530,'02. MM-KLH'!$B$6:$T$823,5,0),"")</f>
        <v>ĐQSD</v>
      </c>
      <c r="V530" s="731" t="str">
        <f>IFERROR(VLOOKUP(M530,'02. MM-KLH'!$B$6:$T$823,8,0),"")</f>
        <v>Thagricons</v>
      </c>
      <c r="W530" s="353">
        <f>IFERROR(VLOOKUP(V530,'NS QUẢN LÝ CG'!$A$4:$D$36,2,0),"")</f>
        <v>0</v>
      </c>
      <c r="X530" s="353">
        <f>IFERROR(VLOOKUP(V530,'NS QUẢN LÝ CG'!$A$4:$D$36,4,0),"")</f>
        <v>0</v>
      </c>
      <c r="Y530" s="353">
        <f>IFERROR(VLOOKUP(V530,'NS QUẢN LÝ CG'!$A$4:$C$36,3,0),"")</f>
        <v>0</v>
      </c>
      <c r="Z530" s="731" t="str">
        <f>IFERROR(VLOOKUP(M530,'02. MM-KLH'!$B$6:$T$823,3,0),"")</f>
        <v>A22-XLO-007</v>
      </c>
      <c r="AA530" s="353" t="str">
        <f t="shared" ref="AA530:AA532" si="36">_xlfn.SWITCH(LEFT(Z530,3),"A22","ADM","A23","DP","A24","LP","")</f>
        <v>ADM</v>
      </c>
      <c r="AB530" s="731"/>
      <c r="AC530" s="731"/>
    </row>
    <row r="531" ht="13.8" spans="1:29">
      <c r="A531" s="731"/>
      <c r="B531" s="613" t="str">
        <f>IFERROR(VLOOKUP(M531,'02. MM-KLH'!$B$6:$T$823,6,0),"")</f>
        <v>Xe lôi</v>
      </c>
      <c r="C531" s="353">
        <v>1</v>
      </c>
      <c r="D531" s="353" t="str">
        <f>IFERROR(VLOOKUP(M531,'02. MM-KLH'!$B$6:$T$823,16,0),"")</f>
        <v>150ZH</v>
      </c>
      <c r="E531" s="353"/>
      <c r="F531" s="353" t="s">
        <v>5978</v>
      </c>
      <c r="G531" s="353"/>
      <c r="H531" s="353" t="str">
        <f>IFERROR(VLOOKUP(M531,'02. MM-KLH'!$B$6:$T$823,17,0),"")</f>
        <v>150HP</v>
      </c>
      <c r="I531" s="763">
        <f>IFERROR(VLOOKUP(M531,'02. MM-KLH'!$B$6:$U$823,20,0),"")</f>
        <v>2.5</v>
      </c>
      <c r="J531" s="613" t="str">
        <f>IFERROR(VLOOKUP(M531,'02. MM-KLH'!$B$6:$T$823,19,0),"")</f>
        <v>CCN</v>
      </c>
      <c r="K531" s="613" t="str">
        <f>IFERROR(VLOOKUP(M531,'02. MM-KLH'!$B$6:$T$823,18,0),"")</f>
        <v>ZS162MJ-L8L300020</v>
      </c>
      <c r="L531" s="353">
        <f>IFERROR(VLOOKUP(M531,'02. MM-KLH'!$B$6:$T$823,4,0),"")</f>
        <v>0</v>
      </c>
      <c r="M531" s="49" t="s">
        <v>2718</v>
      </c>
      <c r="N531" s="356">
        <f>IFERROR(VLOOKUP(M531,'02. MM-KLH'!$B$6:$T$823,15,0),"")</f>
        <v>0</v>
      </c>
      <c r="O531" s="764">
        <f>IFERROR(VLOOKUP(M531,'02. MM-KLH'!$B$6:$T$823,9,0),"")</f>
        <v>0</v>
      </c>
      <c r="P531" s="353"/>
      <c r="Q531" s="353" t="s">
        <v>1755</v>
      </c>
      <c r="R531" s="353" t="s">
        <v>5978</v>
      </c>
      <c r="S531" s="353"/>
      <c r="T531" s="353"/>
      <c r="U531" s="353" t="str">
        <f>IFERROR(VLOOKUP(M531,'02. MM-KLH'!$B$6:$T$823,5,0),"")</f>
        <v>ĐQSD</v>
      </c>
      <c r="V531" s="731" t="str">
        <f>IFERROR(VLOOKUP(M531,'02. MM-KLH'!$B$6:$T$823,8,0),"")</f>
        <v>Thagricons</v>
      </c>
      <c r="W531" s="353">
        <f>IFERROR(VLOOKUP(V531,'NS QUẢN LÝ CG'!$A$4:$D$36,2,0),"")</f>
        <v>0</v>
      </c>
      <c r="X531" s="353">
        <f>IFERROR(VLOOKUP(V531,'NS QUẢN LÝ CG'!$A$4:$D$36,4,0),"")</f>
        <v>0</v>
      </c>
      <c r="Y531" s="353">
        <f>IFERROR(VLOOKUP(V531,'NS QUẢN LÝ CG'!$A$4:$C$36,3,0),"")</f>
        <v>0</v>
      </c>
      <c r="Z531" s="731" t="str">
        <f>IFERROR(VLOOKUP(M531,'02. MM-KLH'!$B$6:$T$823,3,0),"")</f>
        <v>A22-XLO-008</v>
      </c>
      <c r="AA531" s="353" t="str">
        <f t="shared" si="36"/>
        <v>ADM</v>
      </c>
      <c r="AB531" s="731"/>
      <c r="AC531" s="731"/>
    </row>
    <row r="532" ht="13.8" spans="1:29">
      <c r="A532" s="731"/>
      <c r="B532" s="613" t="str">
        <f>IFERROR(VLOOKUP(M532,'02. MM-KLH'!$B$6:$T$823,6,0),"")</f>
        <v>Xe lôi</v>
      </c>
      <c r="C532" s="353">
        <v>1</v>
      </c>
      <c r="D532" s="353" t="str">
        <f>IFERROR(VLOOKUP(M532,'02. MM-KLH'!$B$6:$T$823,16,0),"")</f>
        <v>150ZH</v>
      </c>
      <c r="E532" s="353"/>
      <c r="F532" s="353" t="s">
        <v>5978</v>
      </c>
      <c r="G532" s="353"/>
      <c r="H532" s="353" t="str">
        <f>IFERROR(VLOOKUP(M532,'02. MM-KLH'!$B$6:$T$823,17,0),"")</f>
        <v>150HP</v>
      </c>
      <c r="I532" s="763">
        <f>IFERROR(VLOOKUP(M532,'02. MM-KLH'!$B$6:$U$823,20,0),"")</f>
        <v>2.5</v>
      </c>
      <c r="J532" s="613" t="str">
        <f>IFERROR(VLOOKUP(M532,'02. MM-KLH'!$B$6:$T$823,19,0),"")</f>
        <v>CCN</v>
      </c>
      <c r="K532" s="613" t="str">
        <f>IFERROR(VLOOKUP(M532,'02. MM-KLH'!$B$6:$T$823,18,0),"")</f>
        <v>ZS162MJ-LL012627</v>
      </c>
      <c r="L532" s="353">
        <f>IFERROR(VLOOKUP(M532,'02. MM-KLH'!$B$6:$T$823,4,0),"")</f>
        <v>0</v>
      </c>
      <c r="M532" s="49" t="s">
        <v>2721</v>
      </c>
      <c r="N532" s="356">
        <f>IFERROR(VLOOKUP(M532,'02. MM-KLH'!$B$6:$T$823,15,0),"")</f>
        <v>0</v>
      </c>
      <c r="O532" s="764">
        <f>IFERROR(VLOOKUP(M532,'02. MM-KLH'!$B$6:$T$823,9,0),"")</f>
        <v>0</v>
      </c>
      <c r="P532" s="353"/>
      <c r="Q532" s="353" t="s">
        <v>1755</v>
      </c>
      <c r="R532" s="353" t="s">
        <v>5978</v>
      </c>
      <c r="S532" s="353"/>
      <c r="T532" s="353"/>
      <c r="U532" s="353" t="str">
        <f>IFERROR(VLOOKUP(M532,'02. MM-KLH'!$B$6:$T$823,5,0),"")</f>
        <v>ĐQSD</v>
      </c>
      <c r="V532" s="731" t="str">
        <f>IFERROR(VLOOKUP(M532,'02. MM-KLH'!$B$6:$T$823,8,0),"")</f>
        <v>Thagricons</v>
      </c>
      <c r="W532" s="353">
        <f>IFERROR(VLOOKUP(V532,'NS QUẢN LÝ CG'!$A$4:$D$36,2,0),"")</f>
        <v>0</v>
      </c>
      <c r="X532" s="353">
        <f>IFERROR(VLOOKUP(V532,'NS QUẢN LÝ CG'!$A$4:$D$36,4,0),"")</f>
        <v>0</v>
      </c>
      <c r="Y532" s="353">
        <f>IFERROR(VLOOKUP(V532,'NS QUẢN LÝ CG'!$A$4:$C$36,3,0),"")</f>
        <v>0</v>
      </c>
      <c r="Z532" s="731" t="str">
        <f>IFERROR(VLOOKUP(M532,'02. MM-KLH'!$B$6:$T$823,3,0),"")</f>
        <v>A22-XLO-009</v>
      </c>
      <c r="AA532" s="353" t="str">
        <f t="shared" si="36"/>
        <v>ADM</v>
      </c>
      <c r="AB532" s="731"/>
      <c r="AC532" s="731"/>
    </row>
    <row r="533" ht="13.8" spans="1:29">
      <c r="A533" s="731"/>
      <c r="B533" s="613" t="str">
        <f>IFERROR(VLOOKUP(M533,'02. MM-KLH'!$B$6:$T$823,6,0),"")</f>
        <v>Xe lôi</v>
      </c>
      <c r="C533" s="353">
        <v>1</v>
      </c>
      <c r="D533" s="353" t="str">
        <f>IFERROR(VLOOKUP(M533,'02. MM-KLH'!$B$6:$T$823,16,0),"")</f>
        <v>150ZH</v>
      </c>
      <c r="E533" s="353"/>
      <c r="F533" s="353" t="s">
        <v>5978</v>
      </c>
      <c r="G533" s="353"/>
      <c r="H533" s="353" t="str">
        <f>IFERROR(VLOOKUP(M533,'02. MM-KLH'!$B$6:$T$823,17,0),"")</f>
        <v>150HP</v>
      </c>
      <c r="I533" s="763">
        <f>IFERROR(VLOOKUP(M533,'02. MM-KLH'!$B$6:$U$823,20,0),"")</f>
        <v>2.5</v>
      </c>
      <c r="J533" s="613" t="str">
        <f>IFERROR(VLOOKUP(M533,'02. MM-KLH'!$B$6:$T$823,19,0),"")</f>
        <v>LP7HCKZ91P0004045</v>
      </c>
      <c r="K533" s="613" t="str">
        <f>IFERROR(VLOOKUP(M533,'02. MM-KLH'!$B$6:$T$823,18,0),"")</f>
        <v>TH162FMJ-C23004045</v>
      </c>
      <c r="L533" s="353">
        <f>IFERROR(VLOOKUP(M533,'02. MM-KLH'!$B$6:$T$823,4,0),"")</f>
        <v>0</v>
      </c>
      <c r="M533" s="49" t="s">
        <v>2873</v>
      </c>
      <c r="N533" s="356">
        <f>IFERROR(VLOOKUP(M533,'02. MM-KLH'!$B$6:$T$823,15,0),"")</f>
        <v>2021</v>
      </c>
      <c r="O533" s="764" t="str">
        <f>IFERROR(VLOOKUP(M533,'02. MM-KLH'!$B$6:$T$823,9,0),"")</f>
        <v>14/11/2023</v>
      </c>
      <c r="P533" s="353"/>
      <c r="Q533" s="353" t="s">
        <v>1755</v>
      </c>
      <c r="R533" s="353" t="s">
        <v>5978</v>
      </c>
      <c r="S533" s="353"/>
      <c r="T533" s="353"/>
      <c r="U533" s="353" t="str">
        <f>IFERROR(VLOOKUP(M533,'02. MM-KLH'!$B$6:$T$823,5,0),"")</f>
        <v>ĐQSD</v>
      </c>
      <c r="V533" s="731" t="str">
        <f>IFERROR(VLOOKUP(M533,'02. MM-KLH'!$B$6:$T$823,8,0),"")</f>
        <v>Thadicons A&amp;I</v>
      </c>
      <c r="W533" s="353">
        <f>IFERROR(VLOOKUP(V533,'NS QUẢN LÝ CG'!$A$4:$D$36,2,0),"")</f>
        <v>0</v>
      </c>
      <c r="X533" s="353">
        <f>IFERROR(VLOOKUP(V533,'NS QUẢN LÝ CG'!$A$4:$D$36,4,0),"")</f>
        <v>0</v>
      </c>
      <c r="Y533" s="353">
        <f>IFERROR(VLOOKUP(V533,'NS QUẢN LÝ CG'!$A$4:$C$36,3,0),"")</f>
        <v>0</v>
      </c>
      <c r="Z533" s="731" t="str">
        <f>IFERROR(VLOOKUP(M533,'02. MM-KLH'!$B$6:$T$823,3,0),"")</f>
        <v>ATT-A22-0284</v>
      </c>
      <c r="AA533" s="353" t="s">
        <v>5980</v>
      </c>
      <c r="AB533" s="731"/>
      <c r="AC533" s="731"/>
    </row>
    <row r="534" ht="13.8" spans="1:29">
      <c r="A534" s="731"/>
      <c r="B534" s="613" t="str">
        <f>IFERROR(VLOOKUP(M534,'02. MM-KLH'!$B$6:$T$823,6,0),"")</f>
        <v>Xe lôi</v>
      </c>
      <c r="C534" s="353">
        <v>1</v>
      </c>
      <c r="D534" s="353" t="str">
        <f>IFERROR(VLOOKUP(M534,'02. MM-KLH'!$B$6:$T$823,16,0),"")</f>
        <v>150ZH</v>
      </c>
      <c r="E534" s="353"/>
      <c r="F534" s="353" t="s">
        <v>5978</v>
      </c>
      <c r="G534" s="353"/>
      <c r="H534" s="353" t="str">
        <f>IFERROR(VLOOKUP(M534,'02. MM-KLH'!$B$6:$T$823,17,0),"")</f>
        <v>150HP</v>
      </c>
      <c r="I534" s="763">
        <f>IFERROR(VLOOKUP(M534,'02. MM-KLH'!$B$6:$U$823,20,0),"")</f>
        <v>2.5</v>
      </c>
      <c r="J534" s="613" t="str">
        <f>IFERROR(VLOOKUP(M534,'02. MM-KLH'!$B$6:$T$823,19,0),"")</f>
        <v>LP7HCKZ9XP0004013</v>
      </c>
      <c r="K534" s="613" t="str">
        <f>IFERROR(VLOOKUP(M534,'02. MM-KLH'!$B$6:$T$823,18,0),"")</f>
        <v>TH162FMJ-C23004013</v>
      </c>
      <c r="L534" s="353">
        <f>IFERROR(VLOOKUP(M534,'02. MM-KLH'!$B$6:$T$823,4,0),"")</f>
        <v>0</v>
      </c>
      <c r="M534" s="49" t="s">
        <v>2876</v>
      </c>
      <c r="N534" s="356">
        <f>IFERROR(VLOOKUP(M534,'02. MM-KLH'!$B$6:$T$823,15,0),"")</f>
        <v>2021</v>
      </c>
      <c r="O534" s="764" t="str">
        <f>IFERROR(VLOOKUP(M534,'02. MM-KLH'!$B$6:$T$823,9,0),"")</f>
        <v>14/11/2023</v>
      </c>
      <c r="P534" s="353"/>
      <c r="Q534" s="353" t="s">
        <v>1755</v>
      </c>
      <c r="R534" s="353" t="s">
        <v>5978</v>
      </c>
      <c r="S534" s="353"/>
      <c r="T534" s="353"/>
      <c r="U534" s="353" t="str">
        <f>IFERROR(VLOOKUP(M534,'02. MM-KLH'!$B$6:$T$823,5,0),"")</f>
        <v>ĐQSD</v>
      </c>
      <c r="V534" s="731" t="str">
        <f>IFERROR(VLOOKUP(M534,'02. MM-KLH'!$B$6:$T$823,8,0),"")</f>
        <v>Thadicons A&amp;I</v>
      </c>
      <c r="W534" s="353">
        <f>IFERROR(VLOOKUP(V534,'NS QUẢN LÝ CG'!$A$4:$D$36,2,0),"")</f>
        <v>0</v>
      </c>
      <c r="X534" s="353">
        <f>IFERROR(VLOOKUP(V534,'NS QUẢN LÝ CG'!$A$4:$D$36,4,0),"")</f>
        <v>0</v>
      </c>
      <c r="Y534" s="353">
        <f>IFERROR(VLOOKUP(V534,'NS QUẢN LÝ CG'!$A$4:$C$36,3,0),"")</f>
        <v>0</v>
      </c>
      <c r="Z534" s="731" t="str">
        <f>IFERROR(VLOOKUP(M534,'02. MM-KLH'!$B$6:$T$823,3,0),"")</f>
        <v>ATT-A22-0283</v>
      </c>
      <c r="AA534" s="353" t="s">
        <v>5980</v>
      </c>
      <c r="AB534" s="731"/>
      <c r="AC534" s="731"/>
    </row>
    <row r="535" ht="13.8" spans="1:29">
      <c r="A535" s="731"/>
      <c r="B535" s="613" t="str">
        <f>IFERROR(VLOOKUP(M535,'02. MM-KLH'!$B$6:$T$823,6,0),"")</f>
        <v>Xe lôi</v>
      </c>
      <c r="C535" s="353">
        <v>1</v>
      </c>
      <c r="D535" s="353" t="str">
        <f>IFERROR(VLOOKUP(M535,'02. MM-KLH'!$B$6:$T$823,16,0),"")</f>
        <v>150ZH</v>
      </c>
      <c r="E535" s="353"/>
      <c r="F535" s="353" t="s">
        <v>5978</v>
      </c>
      <c r="G535" s="353"/>
      <c r="H535" s="353" t="str">
        <f>IFERROR(VLOOKUP(M535,'02. MM-KLH'!$B$6:$T$823,17,0),"")</f>
        <v>150HP</v>
      </c>
      <c r="I535" s="763">
        <f>IFERROR(VLOOKUP(M535,'02. MM-KLH'!$B$6:$U$823,20,0),"")</f>
        <v>2.5</v>
      </c>
      <c r="J535" s="613" t="str">
        <f>IFERROR(VLOOKUP(M535,'02. MM-KLH'!$B$6:$T$823,19,0),"")</f>
        <v>LP7HCKZ95N0000447</v>
      </c>
      <c r="K535" s="613">
        <f>IFERROR(VLOOKUP(M535,'02. MM-KLH'!$B$6:$T$823,18,0),"")</f>
        <v>22060447</v>
      </c>
      <c r="L535" s="353">
        <f>IFERROR(VLOOKUP(M535,'02. MM-KLH'!$B$6:$T$823,4,0),"")</f>
        <v>0</v>
      </c>
      <c r="M535" s="49" t="s">
        <v>2879</v>
      </c>
      <c r="N535" s="356">
        <f>IFERROR(VLOOKUP(M535,'02. MM-KLH'!$B$6:$T$823,15,0),"")</f>
        <v>2021</v>
      </c>
      <c r="O535" s="764" t="str">
        <f>IFERROR(VLOOKUP(M535,'02. MM-KLH'!$B$6:$T$823,9,0),"")</f>
        <v>14/11/2023</v>
      </c>
      <c r="P535" s="353"/>
      <c r="Q535" s="353" t="s">
        <v>1755</v>
      </c>
      <c r="R535" s="353" t="s">
        <v>5978</v>
      </c>
      <c r="S535" s="353"/>
      <c r="T535" s="353"/>
      <c r="U535" s="353" t="str">
        <f>IFERROR(VLOOKUP(M535,'02. MM-KLH'!$B$6:$T$823,5,0),"")</f>
        <v>ĐQSD</v>
      </c>
      <c r="V535" s="731" t="str">
        <f>IFERROR(VLOOKUP(M535,'02. MM-KLH'!$B$6:$T$823,8,0),"")</f>
        <v>Thadicons A&amp;I</v>
      </c>
      <c r="W535" s="353">
        <f>IFERROR(VLOOKUP(V535,'NS QUẢN LÝ CG'!$A$4:$D$36,2,0),"")</f>
        <v>0</v>
      </c>
      <c r="X535" s="353">
        <f>IFERROR(VLOOKUP(V535,'NS QUẢN LÝ CG'!$A$4:$D$36,4,0),"")</f>
        <v>0</v>
      </c>
      <c r="Y535" s="353">
        <f>IFERROR(VLOOKUP(V535,'NS QUẢN LÝ CG'!$A$4:$C$36,3,0),"")</f>
        <v>0</v>
      </c>
      <c r="Z535" s="731" t="str">
        <f>IFERROR(VLOOKUP(M535,'02. MM-KLH'!$B$6:$T$823,3,0),"")</f>
        <v>ATT-A22-0277</v>
      </c>
      <c r="AA535" s="353" t="s">
        <v>5980</v>
      </c>
      <c r="AB535" s="731"/>
      <c r="AC535" s="731"/>
    </row>
    <row r="536" ht="13.8" spans="1:29">
      <c r="A536" s="731"/>
      <c r="B536" s="613" t="str">
        <f>IFERROR(VLOOKUP(M536,'02. MM-KLH'!$B$6:$T$823,6,0),"")</f>
        <v>Xe lôi</v>
      </c>
      <c r="C536" s="353">
        <v>1</v>
      </c>
      <c r="D536" s="353" t="str">
        <f>IFERROR(VLOOKUP(M536,'02. MM-KLH'!$B$6:$T$823,16,0),"")</f>
        <v>150ZH</v>
      </c>
      <c r="E536" s="353"/>
      <c r="F536" s="353" t="s">
        <v>5978</v>
      </c>
      <c r="G536" s="353"/>
      <c r="H536" s="353" t="str">
        <f>IFERROR(VLOOKUP(M536,'02. MM-KLH'!$B$6:$T$823,17,0),"")</f>
        <v>150HP</v>
      </c>
      <c r="I536" s="763">
        <f>IFERROR(VLOOKUP(M536,'02. MM-KLH'!$B$6:$U$823,20,0),"")</f>
        <v>2.5</v>
      </c>
      <c r="J536" s="613" t="str">
        <f>IFERROR(VLOOKUP(M536,'02. MM-KLH'!$B$6:$T$823,19,0),"")</f>
        <v>LP7HCKZ98N0000460</v>
      </c>
      <c r="K536" s="613">
        <f>IFERROR(VLOOKUP(M536,'02. MM-KLH'!$B$6:$T$823,18,0),"")</f>
        <v>22060460</v>
      </c>
      <c r="L536" s="353">
        <f>IFERROR(VLOOKUP(M536,'02. MM-KLH'!$B$6:$T$823,4,0),"")</f>
        <v>0</v>
      </c>
      <c r="M536" s="49" t="s">
        <v>2881</v>
      </c>
      <c r="N536" s="356">
        <f>IFERROR(VLOOKUP(M536,'02. MM-KLH'!$B$6:$T$823,15,0),"")</f>
        <v>2021</v>
      </c>
      <c r="O536" s="764" t="str">
        <f>IFERROR(VLOOKUP(M536,'02. MM-KLH'!$B$6:$T$823,9,0),"")</f>
        <v>14/11/2023</v>
      </c>
      <c r="P536" s="353"/>
      <c r="Q536" s="353" t="s">
        <v>1755</v>
      </c>
      <c r="R536" s="353" t="s">
        <v>5978</v>
      </c>
      <c r="S536" s="353"/>
      <c r="T536" s="353"/>
      <c r="U536" s="353" t="str">
        <f>IFERROR(VLOOKUP(M536,'02. MM-KLH'!$B$6:$T$823,5,0),"")</f>
        <v>ĐQSD</v>
      </c>
      <c r="V536" s="731" t="str">
        <f>IFERROR(VLOOKUP(M536,'02. MM-KLH'!$B$6:$T$823,8,0),"")</f>
        <v>Thadicons A&amp;I</v>
      </c>
      <c r="W536" s="353">
        <f>IFERROR(VLOOKUP(V536,'NS QUẢN LÝ CG'!$A$4:$D$36,2,0),"")</f>
        <v>0</v>
      </c>
      <c r="X536" s="353">
        <f>IFERROR(VLOOKUP(V536,'NS QUẢN LÝ CG'!$A$4:$D$36,4,0),"")</f>
        <v>0</v>
      </c>
      <c r="Y536" s="353">
        <f>IFERROR(VLOOKUP(V536,'NS QUẢN LÝ CG'!$A$4:$C$36,3,0),"")</f>
        <v>0</v>
      </c>
      <c r="Z536" s="731" t="str">
        <f>IFERROR(VLOOKUP(M536,'02. MM-KLH'!$B$6:$T$823,3,0),"")</f>
        <v>A22-XLO-004</v>
      </c>
      <c r="AA536" s="353" t="str">
        <f t="shared" ref="AA536:AA537" si="37">_xlfn.SWITCH(LEFT(Z536,3),"A22","ADM","A23","DP","A24","LP","")</f>
        <v>ADM</v>
      </c>
      <c r="AB536" s="731"/>
      <c r="AC536" s="731"/>
    </row>
    <row r="537" ht="13.8" spans="1:29">
      <c r="A537" s="731"/>
      <c r="B537" s="613" t="str">
        <f>IFERROR(VLOOKUP(M537,'02. MM-KLH'!$B$6:$T$823,6,0),"")</f>
        <v>Xe lôi</v>
      </c>
      <c r="C537" s="353">
        <v>1</v>
      </c>
      <c r="D537" s="353" t="str">
        <f>IFERROR(VLOOKUP(M537,'02. MM-KLH'!$B$6:$T$823,16,0),"")</f>
        <v>150ZH</v>
      </c>
      <c r="E537" s="353"/>
      <c r="F537" s="353" t="s">
        <v>5978</v>
      </c>
      <c r="G537" s="353"/>
      <c r="H537" s="353" t="str">
        <f>IFERROR(VLOOKUP(M537,'02. MM-KLH'!$B$6:$T$823,17,0),"")</f>
        <v>150HP</v>
      </c>
      <c r="I537" s="763">
        <f>IFERROR(VLOOKUP(M537,'02. MM-KLH'!$B$6:$U$823,20,0),"")</f>
        <v>2.5</v>
      </c>
      <c r="J537" s="613" t="str">
        <f>IFERROR(VLOOKUP(M537,'02. MM-KLH'!$B$6:$T$823,19,0),"")</f>
        <v>L0011901053343</v>
      </c>
      <c r="K537" s="613" t="str">
        <f>IFERROR(VLOOKUP(M537,'02. MM-KLH'!$B$6:$T$823,18,0),"")</f>
        <v>K002901900089</v>
      </c>
      <c r="L537" s="353">
        <f>IFERROR(VLOOKUP(M537,'02. MM-KLH'!$B$6:$T$823,4,0),"")</f>
        <v>0</v>
      </c>
      <c r="M537" s="49" t="s">
        <v>2883</v>
      </c>
      <c r="N537" s="356">
        <f>IFERROR(VLOOKUP(M537,'02. MM-KLH'!$B$6:$T$823,15,0),"")</f>
        <v>2021</v>
      </c>
      <c r="O537" s="764" t="str">
        <f>IFERROR(VLOOKUP(M537,'02. MM-KLH'!$B$6:$T$823,9,0),"")</f>
        <v>Mới </v>
      </c>
      <c r="P537" s="353"/>
      <c r="Q537" s="353" t="s">
        <v>1755</v>
      </c>
      <c r="R537" s="353" t="s">
        <v>5978</v>
      </c>
      <c r="S537" s="353"/>
      <c r="T537" s="353"/>
      <c r="U537" s="353" t="str">
        <f>IFERROR(VLOOKUP(M537,'02. MM-KLH'!$B$6:$T$823,5,0),"")</f>
        <v>ĐQSD</v>
      </c>
      <c r="V537" s="731" t="str">
        <f>IFERROR(VLOOKUP(M537,'02. MM-KLH'!$B$6:$T$823,8,0),"")</f>
        <v>Thadicons A&amp;I</v>
      </c>
      <c r="W537" s="353">
        <f>IFERROR(VLOOKUP(V537,'NS QUẢN LÝ CG'!$A$4:$D$36,2,0),"")</f>
        <v>0</v>
      </c>
      <c r="X537" s="353">
        <f>IFERROR(VLOOKUP(V537,'NS QUẢN LÝ CG'!$A$4:$D$36,4,0),"")</f>
        <v>0</v>
      </c>
      <c r="Y537" s="353">
        <f>IFERROR(VLOOKUP(V537,'NS QUẢN LÝ CG'!$A$4:$C$36,3,0),"")</f>
        <v>0</v>
      </c>
      <c r="Z537" s="731" t="str">
        <f>IFERROR(VLOOKUP(M537,'02. MM-KLH'!$B$6:$T$823,3,0),"")</f>
        <v>A22-XLO-005</v>
      </c>
      <c r="AA537" s="353" t="str">
        <f t="shared" si="37"/>
        <v>ADM</v>
      </c>
      <c r="AB537" s="731"/>
      <c r="AC537" s="731"/>
    </row>
    <row r="538" ht="13.8" spans="1:29">
      <c r="A538" s="731"/>
      <c r="B538" s="613" t="str">
        <f>IFERROR(VLOOKUP(M538,'02. MM-KLH'!$B$6:$T$823,6,0),"")</f>
        <v/>
      </c>
      <c r="C538" s="353"/>
      <c r="D538" s="353" t="str">
        <f>IFERROR(VLOOKUP(M538,'02. MM-KLH'!$B$6:$T$823,16,0),"")</f>
        <v/>
      </c>
      <c r="E538" s="353"/>
      <c r="F538" s="353"/>
      <c r="G538" s="353"/>
      <c r="H538" s="353" t="str">
        <f>IFERROR(VLOOKUP(M538,'02. MM-KLH'!$B$6:$T$823,17,0),"")</f>
        <v/>
      </c>
      <c r="I538" s="763" t="str">
        <f>IFERROR(VLOOKUP(M538,'02. MM-KLH'!$B$6:$U$823,20,0),"")</f>
        <v/>
      </c>
      <c r="J538" s="613" t="str">
        <f>IFERROR(VLOOKUP(M538,'02. MM-KLH'!$B$6:$T$823,19,0),"")</f>
        <v/>
      </c>
      <c r="K538" s="613" t="str">
        <f>IFERROR(VLOOKUP(M538,'02. MM-KLH'!$B$6:$T$823,18,0),"")</f>
        <v/>
      </c>
      <c r="L538" s="353" t="str">
        <f>IFERROR(VLOOKUP(M538,'02. MM-KLH'!$B$6:$T$823,4,0),"")</f>
        <v/>
      </c>
      <c r="M538" s="49"/>
      <c r="N538" s="356" t="str">
        <f>IFERROR(VLOOKUP(M538,'02. MM-KLH'!$B$6:$T$823,15,0),"")</f>
        <v/>
      </c>
      <c r="O538" s="764" t="str">
        <f>IFERROR(VLOOKUP(M538,'02. MM-KLH'!$B$6:$T$823,9,0),"")</f>
        <v/>
      </c>
      <c r="P538" s="353"/>
      <c r="Q538" s="353"/>
      <c r="R538" s="353"/>
      <c r="S538" s="353"/>
      <c r="T538" s="353"/>
      <c r="U538" s="353" t="str">
        <f>IFERROR(VLOOKUP(M538,'02. MM-KLH'!$B$6:$T$823,2,0),"")</f>
        <v/>
      </c>
      <c r="V538" s="731" t="str">
        <f>IFERROR(VLOOKUP(M538,'02. MM-KLH'!$B$6:$T$823,8,0),"")</f>
        <v/>
      </c>
      <c r="W538" s="353" t="str">
        <f>IFERROR(VLOOKUP(V538,'NS QUẢN LÝ CG'!$A$4:$D$36,2,0),"")</f>
        <v/>
      </c>
      <c r="X538" s="353" t="str">
        <f>IFERROR(VLOOKUP(V538,'NS QUẢN LÝ CG'!$A$4:$D$36,4,0),"")</f>
        <v/>
      </c>
      <c r="Y538" s="353"/>
      <c r="Z538" s="731" t="str">
        <f>IFERROR(VLOOKUP(M538,'02. MM-KLH'!$B$6:$T$823,3,0),"")</f>
        <v/>
      </c>
      <c r="AA538" s="353"/>
      <c r="AB538" s="731"/>
      <c r="AC538" s="731"/>
    </row>
    <row r="539" ht="13.8" hidden="1" spans="1:29">
      <c r="A539" s="731"/>
      <c r="B539" s="613" t="str">
        <f>IFERROR(VLOOKUP(M539,'02. MM-KLH'!$B$6:$T$823,6,0),"")</f>
        <v/>
      </c>
      <c r="C539" s="353"/>
      <c r="D539" s="353" t="str">
        <f>IFERROR(VLOOKUP(M539,'02. MM-KLH'!$B$6:$T$823,16,0),"")</f>
        <v/>
      </c>
      <c r="E539" s="353"/>
      <c r="F539" s="353"/>
      <c r="G539" s="353"/>
      <c r="H539" s="353" t="str">
        <f>IFERROR(VLOOKUP(M539,'02. MM-KLH'!$B$6:$T$823,17,0),"")</f>
        <v/>
      </c>
      <c r="I539" s="763" t="str">
        <f>IFERROR(VLOOKUP(M539,'02. MM-KLH'!$B$6:$U$823,20,0),"")</f>
        <v/>
      </c>
      <c r="J539" s="613" t="str">
        <f>IFERROR(VLOOKUP(M539,'02. MM-KLH'!$B$6:$T$823,19,0),"")</f>
        <v/>
      </c>
      <c r="K539" s="613" t="str">
        <f>IFERROR(VLOOKUP(M539,'02. MM-KLH'!$B$6:$T$823,18,0),"")</f>
        <v/>
      </c>
      <c r="L539" s="353" t="str">
        <f>IFERROR(VLOOKUP(M539,'02. MM-KLH'!$B$6:$T$823,4,0),"")</f>
        <v/>
      </c>
      <c r="M539" s="49"/>
      <c r="N539" s="356" t="str">
        <f>IFERROR(VLOOKUP(M539,'02. MM-KLH'!$B$6:$T$823,15,0),"")</f>
        <v/>
      </c>
      <c r="O539" s="764" t="str">
        <f>IFERROR(VLOOKUP(M539,'02. MM-KLH'!$B$6:$T$823,9,0),"")</f>
        <v/>
      </c>
      <c r="P539" s="353"/>
      <c r="Q539" s="353"/>
      <c r="R539" s="353"/>
      <c r="S539" s="353"/>
      <c r="T539" s="353"/>
      <c r="U539" s="353" t="str">
        <f>IFERROR(VLOOKUP(M539,'02. MM-KLH'!$B$6:$T$823,2,0),"")</f>
        <v/>
      </c>
      <c r="V539" s="731" t="str">
        <f>IFERROR(VLOOKUP(M539,'02. MM-KLH'!$B$6:$T$823,8,0),"")</f>
        <v/>
      </c>
      <c r="W539" s="353"/>
      <c r="X539" s="353"/>
      <c r="Y539" s="353"/>
      <c r="Z539" s="731" t="str">
        <f>IFERROR(VLOOKUP(M539,'02. MM-KLH'!$B$6:$T$823,3,0),"")</f>
        <v/>
      </c>
      <c r="AA539" s="353"/>
      <c r="AB539" s="731"/>
      <c r="AC539" s="731"/>
    </row>
    <row r="540" ht="13.8" hidden="1" spans="1:29">
      <c r="A540" s="731"/>
      <c r="B540" s="613" t="str">
        <f>IFERROR(VLOOKUP(M540,'02. MM-KLH'!$B$6:$T$823,6,0),"")</f>
        <v/>
      </c>
      <c r="C540" s="353"/>
      <c r="D540" s="353" t="str">
        <f>IFERROR(VLOOKUP(M540,'02. MM-KLH'!$B$6:$T$823,16,0),"")</f>
        <v/>
      </c>
      <c r="E540" s="353"/>
      <c r="F540" s="353"/>
      <c r="G540" s="353"/>
      <c r="H540" s="353" t="str">
        <f>IFERROR(VLOOKUP(M540,'02. MM-KLH'!$B$6:$T$823,17,0),"")</f>
        <v/>
      </c>
      <c r="I540" s="763" t="str">
        <f>IFERROR(VLOOKUP(M540,'02. MM-KLH'!$B$6:$U$823,20,0),"")</f>
        <v/>
      </c>
      <c r="J540" s="613" t="str">
        <f>IFERROR(VLOOKUP(M540,'02. MM-KLH'!$B$6:$T$823,19,0),"")</f>
        <v/>
      </c>
      <c r="K540" s="613" t="str">
        <f>IFERROR(VLOOKUP(M540,'02. MM-KLH'!$B$6:$T$823,18,0),"")</f>
        <v/>
      </c>
      <c r="L540" s="353" t="str">
        <f>IFERROR(VLOOKUP(M540,'02. MM-KLH'!$B$6:$T$823,4,0),"")</f>
        <v/>
      </c>
      <c r="M540" s="49"/>
      <c r="N540" s="356" t="str">
        <f>IFERROR(VLOOKUP(M540,'02. MM-KLH'!$B$6:$T$823,15,0),"")</f>
        <v/>
      </c>
      <c r="O540" s="764" t="str">
        <f>IFERROR(VLOOKUP(M540,'02. MM-KLH'!$B$6:$T$823,9,0),"")</f>
        <v/>
      </c>
      <c r="P540" s="353"/>
      <c r="Q540" s="353"/>
      <c r="R540" s="353"/>
      <c r="S540" s="353"/>
      <c r="T540" s="353"/>
      <c r="U540" s="353" t="str">
        <f>IFERROR(VLOOKUP(M540,'02. MM-KLH'!$B$6:$T$823,2,0),"")</f>
        <v/>
      </c>
      <c r="V540" s="731" t="str">
        <f>IFERROR(VLOOKUP(M540,'02. MM-KLH'!$B$6:$T$823,8,0),"")</f>
        <v/>
      </c>
      <c r="W540" s="353"/>
      <c r="X540" s="353"/>
      <c r="Y540" s="353"/>
      <c r="Z540" s="731" t="str">
        <f>IFERROR(VLOOKUP(M540,'02. MM-KLH'!$B$6:$T$823,3,0),"")</f>
        <v/>
      </c>
      <c r="AA540" s="353"/>
      <c r="AB540" s="731"/>
      <c r="AC540" s="731"/>
    </row>
    <row r="541" spans="1:29">
      <c r="A541" s="770" t="s">
        <v>5997</v>
      </c>
      <c r="B541" s="272"/>
      <c r="C541" s="742">
        <f>SUM(C542,C594,C626,C642,C648,C671,C675,C688,C662)</f>
        <v>151</v>
      </c>
      <c r="D541" s="743"/>
      <c r="E541" s="743"/>
      <c r="F541" s="743"/>
      <c r="G541" s="743"/>
      <c r="H541" s="744"/>
      <c r="I541" s="744"/>
      <c r="J541" s="745"/>
      <c r="K541" s="745"/>
      <c r="L541" s="743"/>
      <c r="M541" s="743"/>
      <c r="N541" s="743"/>
      <c r="O541" s="746"/>
      <c r="P541" s="743"/>
      <c r="Q541" s="743"/>
      <c r="R541" s="743"/>
      <c r="S541" s="743"/>
      <c r="T541" s="743"/>
      <c r="U541" s="743"/>
      <c r="V541" s="744"/>
      <c r="W541" s="743"/>
      <c r="X541" s="743"/>
      <c r="Y541" s="743"/>
      <c r="Z541" s="744"/>
      <c r="AA541" s="743"/>
      <c r="AB541" s="744"/>
      <c r="AC541" s="771"/>
    </row>
    <row r="542" spans="1:29">
      <c r="A542" s="747" t="s">
        <v>3007</v>
      </c>
      <c r="B542" s="748" t="s">
        <v>3425</v>
      </c>
      <c r="C542" s="747">
        <f>SUM(C543,C552,C568,C579,C584)</f>
        <v>46</v>
      </c>
      <c r="D542" s="749"/>
      <c r="E542" s="749"/>
      <c r="F542" s="749"/>
      <c r="G542" s="749"/>
      <c r="H542" s="749"/>
      <c r="I542" s="750"/>
      <c r="J542" s="751"/>
      <c r="K542" s="751"/>
      <c r="L542" s="749"/>
      <c r="M542" s="749"/>
      <c r="N542" s="749"/>
      <c r="O542" s="752"/>
      <c r="P542" s="749"/>
      <c r="Q542" s="749"/>
      <c r="R542" s="749"/>
      <c r="S542" s="749"/>
      <c r="T542" s="749"/>
      <c r="U542" s="749"/>
      <c r="V542" s="750"/>
      <c r="W542" s="749"/>
      <c r="X542" s="749"/>
      <c r="Y542" s="749"/>
      <c r="Z542" s="750"/>
      <c r="AA542" s="749"/>
      <c r="AB542" s="750"/>
      <c r="AC542" s="753"/>
    </row>
    <row r="543" ht="13.8" spans="1:29">
      <c r="A543" s="754">
        <v>1</v>
      </c>
      <c r="B543" s="755" t="s">
        <v>1139</v>
      </c>
      <c r="C543" s="754">
        <f>COUNTA(B544:B551)</f>
        <v>8</v>
      </c>
      <c r="D543" s="756" t="str">
        <f>IFERROR(VLOOKUP(M543,'02. MM-KLH'!$B$6:$T$823,16,0),"")</f>
        <v/>
      </c>
      <c r="E543" s="756"/>
      <c r="F543" s="756"/>
      <c r="G543" s="756"/>
      <c r="H543" s="762" t="str">
        <f>IFERROR(VLOOKUP(M543,'02. MM-KLH'!$B$6:$T$823,17,0),"")</f>
        <v/>
      </c>
      <c r="I543" s="762" t="str">
        <f>IFERROR(VLOOKUP(M543,'02. MM-KLH'!$B$6:$U$823,20,0),"")</f>
        <v/>
      </c>
      <c r="J543" s="758" t="str">
        <f>IFERROR(VLOOKUP(M543,'02. MM-KLH'!$B$6:$T$823,19,0),"")</f>
        <v/>
      </c>
      <c r="K543" s="758" t="str">
        <f>IFERROR(VLOOKUP(M543,'02. MM-KLH'!$B$6:$T$823,18,0),"")</f>
        <v/>
      </c>
      <c r="L543" s="756" t="str">
        <f>IFERROR(VLOOKUP(M543,'02. MM-KLH'!$B$6:$T$823,4,0),"")</f>
        <v/>
      </c>
      <c r="M543" s="756"/>
      <c r="N543" s="756" t="str">
        <f>IFERROR(VLOOKUP(M543,'02. MM-KLH'!$B$6:$T$823,15,0),"")</f>
        <v/>
      </c>
      <c r="O543" s="760" t="str">
        <f>IFERROR(VLOOKUP(M543,'02. MM-KLH'!$B$6:$T$823,9,0),"")</f>
        <v/>
      </c>
      <c r="P543" s="756"/>
      <c r="Q543" s="756"/>
      <c r="R543" s="756"/>
      <c r="S543" s="756"/>
      <c r="T543" s="756"/>
      <c r="U543" s="756" t="str">
        <f>IFERROR(VLOOKUP(M543,'02. MM-KLH'!$B$6:$T$823,2,0),"")</f>
        <v/>
      </c>
      <c r="V543" s="762" t="str">
        <f>IFERROR(VLOOKUP(M543,'02. MM-KLH'!$B$6:$T$823,8,0),"")</f>
        <v/>
      </c>
      <c r="W543" s="756"/>
      <c r="X543" s="756"/>
      <c r="Y543" s="756"/>
      <c r="Z543" s="762" t="str">
        <f>IFERROR(VLOOKUP(M543,'02. MM-KLH'!$B$6:$T$823,3,0),"")</f>
        <v/>
      </c>
      <c r="AA543" s="756"/>
      <c r="AB543" s="762"/>
      <c r="AC543" s="762"/>
    </row>
    <row r="544" ht="13.8" spans="1:29">
      <c r="A544" s="731"/>
      <c r="B544" s="613" t="str">
        <f>IFERROR(VLOOKUP(M544,'02. MM-KLH'!$B$6:$T$823,6,0),"")</f>
        <v>Xe nâng điện 1.5 tấn</v>
      </c>
      <c r="C544" s="353">
        <v>1</v>
      </c>
      <c r="D544" s="353" t="str">
        <f>IFERROR(VLOOKUP(M544,'02. MM-KLH'!$B$6:$T$823,16,0),"")</f>
        <v>ECB16S-B</v>
      </c>
      <c r="E544" s="353"/>
      <c r="F544" s="353"/>
      <c r="G544" s="353" t="s">
        <v>5978</v>
      </c>
      <c r="H544" s="353" t="str">
        <f>IFERROR(VLOOKUP(M544,'02. MM-KLH'!$B$6:$T$823,17,0),"")</f>
        <v>29HP</v>
      </c>
      <c r="I544" s="763">
        <f>IFERROR(VLOOKUP(M544,'02. MM-KLH'!$B$6:$U$823,20,0),"")</f>
        <v>0</v>
      </c>
      <c r="J544" s="613" t="str">
        <f>IFERROR(VLOOKUP(M544,'02. MM-KLH'!$B$6:$T$823,19,0),"")</f>
        <v>TS0510598-2021</v>
      </c>
      <c r="K544" s="613">
        <f>IFERROR(VLOOKUP(M544,'02. MM-KLH'!$B$6:$T$823,18,0),"")</f>
        <v>1501190100</v>
      </c>
      <c r="L544" s="353">
        <f>IFERROR(VLOOKUP(M544,'02. MM-KLH'!$B$6:$T$823,4,0),"")</f>
        <v>0</v>
      </c>
      <c r="M544" s="49" t="s">
        <v>1138</v>
      </c>
      <c r="N544" s="356">
        <f>IFERROR(VLOOKUP(M544,'02. MM-KLH'!$B$6:$T$823,15,0),"")</f>
        <v>2019</v>
      </c>
      <c r="O544" s="764">
        <f>IFERROR(VLOOKUP(M544,'02. MM-KLH'!$B$6:$T$823,9,0),"")</f>
        <v>0</v>
      </c>
      <c r="P544" s="353"/>
      <c r="Q544" s="353" t="s">
        <v>1755</v>
      </c>
      <c r="R544" s="353" t="s">
        <v>5978</v>
      </c>
      <c r="S544" s="353"/>
      <c r="T544" s="353"/>
      <c r="U544" s="353" t="str">
        <f>IFERROR(VLOOKUP(M544,'02. MM-KLH'!$B$6:$T$823,5,0),"")</f>
        <v>ĐQSD</v>
      </c>
      <c r="V544" s="731" t="str">
        <f>IFERROR(VLOOKUP(M544,'02. MM-KLH'!$B$6:$T$823,8,0),"")</f>
        <v>XN Chuối DP1</v>
      </c>
      <c r="W544" s="353" t="str">
        <f>IFERROR(VLOOKUP(V544,'NS QUẢN LÝ CG'!$A$4:$D$36,2,0),"")</f>
        <v/>
      </c>
      <c r="X544" s="353" t="str">
        <f>IFERROR(VLOOKUP(V544,'NS QUẢN LÝ CG'!$A$4:$D$36,4,0),"")</f>
        <v/>
      </c>
      <c r="Y544" s="353" t="str">
        <f>IFERROR(VLOOKUP(V544,'NS QUẢN LÝ CG'!$A$4:$C$36,3,0),"")</f>
        <v/>
      </c>
      <c r="Z544" s="731" t="str">
        <f>IFERROR(VLOOKUP(M544,'02. MM-KLH'!$B$6:$T$823,3,0),"")</f>
        <v>ATT-A23-0044</v>
      </c>
      <c r="AA544" s="353" t="s">
        <v>5981</v>
      </c>
      <c r="AB544" s="731"/>
      <c r="AC544" s="731"/>
    </row>
    <row r="545" ht="13.8" spans="1:29">
      <c r="A545" s="731"/>
      <c r="B545" s="613" t="str">
        <f>IFERROR(VLOOKUP(M545,'02. MM-KLH'!$B$6:$T$823,6,0),"")</f>
        <v>Xe nâng điện 1.5 tấn</v>
      </c>
      <c r="C545" s="353">
        <v>1</v>
      </c>
      <c r="D545" s="353" t="str">
        <f>IFERROR(VLOOKUP(M545,'02. MM-KLH'!$B$6:$T$823,16,0),"")</f>
        <v>ECB16S-B</v>
      </c>
      <c r="E545" s="353"/>
      <c r="F545" s="353"/>
      <c r="G545" s="353" t="s">
        <v>5978</v>
      </c>
      <c r="H545" s="353" t="str">
        <f>IFERROR(VLOOKUP(M545,'02. MM-KLH'!$B$6:$T$823,17,0),"")</f>
        <v>1.5TẤN</v>
      </c>
      <c r="I545" s="763">
        <f>IFERROR(VLOOKUP(M545,'02. MM-KLH'!$B$6:$U$823,20,0),"")</f>
        <v>0</v>
      </c>
      <c r="J545" s="613" t="str">
        <f>IFERROR(VLOOKUP(M545,'02. MM-KLH'!$B$6:$T$823,19,0),"")</f>
        <v>CCN</v>
      </c>
      <c r="K545" s="613">
        <f>IFERROR(VLOOKUP(M545,'02. MM-KLH'!$B$6:$T$823,18,0),"")</f>
        <v>1501190010</v>
      </c>
      <c r="L545" s="353">
        <f>IFERROR(VLOOKUP(M545,'02. MM-KLH'!$B$6:$T$823,4,0),"")</f>
        <v>0</v>
      </c>
      <c r="M545" s="49" t="s">
        <v>1554</v>
      </c>
      <c r="N545" s="356">
        <f>IFERROR(VLOOKUP(M545,'02. MM-KLH'!$B$6:$T$823,15,0),"")</f>
        <v>2019</v>
      </c>
      <c r="O545" s="764">
        <f>IFERROR(VLOOKUP(M545,'02. MM-KLH'!$B$6:$T$823,9,0),"")</f>
        <v>0</v>
      </c>
      <c r="P545" s="353"/>
      <c r="Q545" s="353" t="s">
        <v>1755</v>
      </c>
      <c r="R545" s="353" t="s">
        <v>5978</v>
      </c>
      <c r="S545" s="353"/>
      <c r="T545" s="353"/>
      <c r="U545" s="353" t="str">
        <f>IFERROR(VLOOKUP(M545,'02. MM-KLH'!$B$6:$T$823,5,0),"")</f>
        <v>ĐQSD</v>
      </c>
      <c r="V545" s="731" t="str">
        <f>IFERROR(VLOOKUP(M545,'02. MM-KLH'!$B$6:$T$823,8,0),"")</f>
        <v>XN Chuối LP1</v>
      </c>
      <c r="W545" s="353" t="str">
        <f>IFERROR(VLOOKUP(V545,'NS QUẢN LÝ CG'!$A$4:$D$36,2,0),"")</f>
        <v/>
      </c>
      <c r="X545" s="353" t="str">
        <f>IFERROR(VLOOKUP(V545,'NS QUẢN LÝ CG'!$A$4:$D$36,4,0),"")</f>
        <v/>
      </c>
      <c r="Y545" s="353" t="str">
        <f>IFERROR(VLOOKUP(V545,'NS QUẢN LÝ CG'!$A$4:$C$36,3,0),"")</f>
        <v/>
      </c>
      <c r="Z545" s="731" t="str">
        <f>IFERROR(VLOOKUP(M545,'02. MM-KLH'!$B$6:$T$823,3,0),"")</f>
        <v/>
      </c>
      <c r="AA545" s="353" t="str">
        <f t="shared" ref="AA545:AA550" si="38">_xlfn.SWITCH(LEFT(Z545,3),"A22","ADM","A23","DP","A24","LP","")</f>
        <v/>
      </c>
      <c r="AB545" s="731"/>
      <c r="AC545" s="731"/>
    </row>
    <row r="546" ht="13.8" spans="1:29">
      <c r="A546" s="731"/>
      <c r="B546" s="613" t="str">
        <f>IFERROR(VLOOKUP(M546,'02. MM-KLH'!$B$6:$T$823,6,0),"")</f>
        <v>Xe nâng điện 1.5 tấn</v>
      </c>
      <c r="C546" s="353">
        <v>1</v>
      </c>
      <c r="D546" s="353" t="str">
        <f>IFERROR(VLOOKUP(M546,'02. MM-KLH'!$B$6:$T$823,16,0),"")</f>
        <v>ECB16S-B</v>
      </c>
      <c r="E546" s="353"/>
      <c r="F546" s="353"/>
      <c r="G546" s="353" t="s">
        <v>5978</v>
      </c>
      <c r="H546" s="353">
        <f>IFERROR(VLOOKUP(M546,'02. MM-KLH'!$B$6:$T$823,17,0),"")</f>
        <v>0</v>
      </c>
      <c r="I546" s="763">
        <f>IFERROR(VLOOKUP(M546,'02. MM-KLH'!$B$6:$U$823,20,0),"")</f>
        <v>0</v>
      </c>
      <c r="J546" s="613" t="str">
        <f>IFERROR(VLOOKUP(M546,'02. MM-KLH'!$B$6:$T$823,19,0),"")</f>
        <v>TS2510598-2021</v>
      </c>
      <c r="K546" s="613">
        <f>IFERROR(VLOOKUP(M546,'02. MM-KLH'!$B$6:$T$823,18,0),"")</f>
        <v>1501190005</v>
      </c>
      <c r="L546" s="353">
        <f>IFERROR(VLOOKUP(M546,'02. MM-KLH'!$B$6:$T$823,4,0),"")</f>
        <v>0</v>
      </c>
      <c r="M546" s="49" t="s">
        <v>1689</v>
      </c>
      <c r="N546" s="356">
        <f>IFERROR(VLOOKUP(M546,'02. MM-KLH'!$B$6:$T$823,15,0),"")</f>
        <v>2019</v>
      </c>
      <c r="O546" s="764">
        <f>IFERROR(VLOOKUP(M546,'02. MM-KLH'!$B$6:$T$823,9,0),"")</f>
        <v>0</v>
      </c>
      <c r="P546" s="353"/>
      <c r="Q546" s="353" t="s">
        <v>1755</v>
      </c>
      <c r="R546" s="353" t="s">
        <v>5978</v>
      </c>
      <c r="S546" s="353"/>
      <c r="T546" s="353"/>
      <c r="U546" s="353" t="str">
        <f>IFERROR(VLOOKUP(M546,'02. MM-KLH'!$B$6:$T$823,5,0),"")</f>
        <v>ĐQSD</v>
      </c>
      <c r="V546" s="731" t="str">
        <f>IFERROR(VLOOKUP(M546,'02. MM-KLH'!$B$6:$T$823,8,0),"")</f>
        <v>XN Chuối LP3</v>
      </c>
      <c r="W546" s="353" t="str">
        <f>IFERROR(VLOOKUP(V546,'NS QUẢN LÝ CG'!$A$4:$D$36,2,0),"")</f>
        <v/>
      </c>
      <c r="X546" s="353" t="str">
        <f>IFERROR(VLOOKUP(V546,'NS QUẢN LÝ CG'!$A$4:$D$36,4,0),"")</f>
        <v/>
      </c>
      <c r="Y546" s="353" t="str">
        <f>IFERROR(VLOOKUP(V546,'NS QUẢN LÝ CG'!$A$4:$C$36,3,0),"")</f>
        <v/>
      </c>
      <c r="Z546" s="731">
        <f>IFERROR(VLOOKUP(M546,'02. MM-KLH'!$B$6:$T$823,3,0),"")</f>
        <v>0</v>
      </c>
      <c r="AA546" s="353" t="str">
        <f t="shared" si="38"/>
        <v/>
      </c>
      <c r="AB546" s="731"/>
      <c r="AC546" s="731"/>
    </row>
    <row r="547" ht="13.8" spans="1:29">
      <c r="A547" s="731"/>
      <c r="B547" s="613" t="str">
        <f>IFERROR(VLOOKUP(M547,'02. MM-KLH'!$B$6:$T$823,6,0),"")</f>
        <v>Xe nâng điện 1.5 tấn</v>
      </c>
      <c r="C547" s="353">
        <v>1</v>
      </c>
      <c r="D547" s="353" t="str">
        <f>IFERROR(VLOOKUP(M547,'02. MM-KLH'!$B$6:$T$823,16,0),"")</f>
        <v>ECP16S</v>
      </c>
      <c r="E547" s="353"/>
      <c r="F547" s="353"/>
      <c r="G547" s="353" t="s">
        <v>5978</v>
      </c>
      <c r="H547" s="353">
        <f>IFERROR(VLOOKUP(M547,'02. MM-KLH'!$B$6:$T$823,17,0),"")</f>
        <v>0</v>
      </c>
      <c r="I547" s="763">
        <f>IFERROR(VLOOKUP(M547,'02. MM-KLH'!$B$6:$U$823,20,0),"")</f>
        <v>0</v>
      </c>
      <c r="J547" s="613">
        <f>IFERROR(VLOOKUP(M547,'02. MM-KLH'!$B$6:$T$823,19,0),"")</f>
        <v>0</v>
      </c>
      <c r="K547" s="613">
        <f>IFERROR(VLOOKUP(M547,'02. MM-KLH'!$B$6:$T$823,18,0),"")</f>
        <v>1501190033</v>
      </c>
      <c r="L547" s="353">
        <f>IFERROR(VLOOKUP(M547,'02. MM-KLH'!$B$6:$T$823,4,0),"")</f>
        <v>0</v>
      </c>
      <c r="M547" s="49" t="s">
        <v>2985</v>
      </c>
      <c r="N547" s="356">
        <f>IFERROR(VLOOKUP(M547,'02. MM-KLH'!$B$6:$T$823,15,0),"")</f>
        <v>2021</v>
      </c>
      <c r="O547" s="764">
        <f>IFERROR(VLOOKUP(M547,'02. MM-KLH'!$B$6:$T$823,9,0),"")</f>
        <v>0</v>
      </c>
      <c r="P547" s="353"/>
      <c r="Q547" s="353" t="s">
        <v>1755</v>
      </c>
      <c r="R547" s="353" t="s">
        <v>5978</v>
      </c>
      <c r="S547" s="353"/>
      <c r="T547" s="353"/>
      <c r="U547" s="353" t="str">
        <f>IFERROR(VLOOKUP(M547,'02. MM-KLH'!$B$6:$T$823,5,0),"")</f>
        <v>ĐQSD</v>
      </c>
      <c r="V547" s="731" t="str">
        <f>IFERROR(VLOOKUP(M547,'02. MM-KLH'!$B$6:$T$823,8,0),"")</f>
        <v>Tổng kho</v>
      </c>
      <c r="W547" s="353" t="str">
        <f>IFERROR(VLOOKUP(V547,'NS QUẢN LÝ CG'!$A$4:$D$36,2,0),"")</f>
        <v>Võ Thanh Hiếu</v>
      </c>
      <c r="X547" s="353" t="str">
        <f>IFERROR(VLOOKUP(V547,'NS QUẢN LÝ CG'!$A$4:$D$36,4,0),"")</f>
        <v>Tổng kho KLH</v>
      </c>
      <c r="Y547" s="1104" t="str">
        <f>IFERROR(VLOOKUP(V547,'NS QUẢN LÝ CG'!$A$4:$C$36,3,0),"")</f>
        <v>0884281479</v>
      </c>
      <c r="Z547" s="731">
        <f>IFERROR(VLOOKUP(M547,'02. MM-KLH'!$B$6:$T$823,3,0),"")</f>
        <v>0</v>
      </c>
      <c r="AA547" s="353" t="str">
        <f t="shared" si="38"/>
        <v/>
      </c>
      <c r="AB547" s="731"/>
      <c r="AC547" s="731"/>
    </row>
    <row r="548" ht="13.8" spans="1:29">
      <c r="A548" s="731"/>
      <c r="B548" s="613" t="str">
        <f>IFERROR(VLOOKUP(M548,'02. MM-KLH'!$B$6:$T$823,6,0),"")</f>
        <v>Xe nâng điện 1.5 tấn</v>
      </c>
      <c r="C548" s="353">
        <v>1</v>
      </c>
      <c r="D548" s="353" t="str">
        <f>IFERROR(VLOOKUP(M548,'02. MM-KLH'!$B$6:$T$823,16,0),"")</f>
        <v>ECP16S</v>
      </c>
      <c r="E548" s="353"/>
      <c r="F548" s="353"/>
      <c r="G548" s="353" t="s">
        <v>5978</v>
      </c>
      <c r="H548" s="353">
        <f>IFERROR(VLOOKUP(M548,'02. MM-KLH'!$B$6:$T$823,17,0),"")</f>
        <v>0</v>
      </c>
      <c r="I548" s="763">
        <f>IFERROR(VLOOKUP(M548,'02. MM-KLH'!$B$6:$U$823,20,0),"")</f>
        <v>0</v>
      </c>
      <c r="J548" s="613">
        <f>IFERROR(VLOOKUP(M548,'02. MM-KLH'!$B$6:$T$823,19,0),"")</f>
        <v>0</v>
      </c>
      <c r="K548" s="613">
        <f>IFERROR(VLOOKUP(M548,'02. MM-KLH'!$B$6:$T$823,18,0),"")</f>
        <v>1501190062</v>
      </c>
      <c r="L548" s="353">
        <f>IFERROR(VLOOKUP(M548,'02. MM-KLH'!$B$6:$T$823,4,0),"")</f>
        <v>0</v>
      </c>
      <c r="M548" s="49" t="s">
        <v>2988</v>
      </c>
      <c r="N548" s="356">
        <f>IFERROR(VLOOKUP(M548,'02. MM-KLH'!$B$6:$T$823,15,0),"")</f>
        <v>2021</v>
      </c>
      <c r="O548" s="764">
        <f>IFERROR(VLOOKUP(M548,'02. MM-KLH'!$B$6:$T$823,9,0),"")</f>
        <v>0</v>
      </c>
      <c r="P548" s="353"/>
      <c r="Q548" s="353" t="s">
        <v>1755</v>
      </c>
      <c r="R548" s="353" t="s">
        <v>5978</v>
      </c>
      <c r="S548" s="353"/>
      <c r="T548" s="353"/>
      <c r="U548" s="353" t="str">
        <f>IFERROR(VLOOKUP(M548,'02. MM-KLH'!$B$6:$T$823,5,0),"")</f>
        <v>ĐQSD</v>
      </c>
      <c r="V548" s="731" t="str">
        <f>IFERROR(VLOOKUP(M548,'02. MM-KLH'!$B$6:$T$823,8,0),"")</f>
        <v>Tổng kho</v>
      </c>
      <c r="W548" s="353" t="str">
        <f>IFERROR(VLOOKUP(V548,'NS QUẢN LÝ CG'!$A$4:$D$36,2,0),"")</f>
        <v>Võ Thanh Hiếu</v>
      </c>
      <c r="X548" s="353" t="str">
        <f>IFERROR(VLOOKUP(V548,'NS QUẢN LÝ CG'!$A$4:$D$36,4,0),"")</f>
        <v>Tổng kho KLH</v>
      </c>
      <c r="Y548" s="1104" t="str">
        <f>IFERROR(VLOOKUP(V548,'NS QUẢN LÝ CG'!$A$4:$C$36,3,0),"")</f>
        <v>0884281479</v>
      </c>
      <c r="Z548" s="731">
        <f>IFERROR(VLOOKUP(M548,'02. MM-KLH'!$B$6:$T$823,3,0),"")</f>
        <v>0</v>
      </c>
      <c r="AA548" s="353" t="str">
        <f t="shared" si="38"/>
        <v/>
      </c>
      <c r="AB548" s="731"/>
      <c r="AC548" s="731"/>
    </row>
    <row r="549" ht="13.8" spans="1:29">
      <c r="A549" s="731"/>
      <c r="B549" s="613" t="str">
        <f>IFERROR(VLOOKUP(M549,'02. MM-KLH'!$B$6:$T$823,6,0),"")</f>
        <v>Xe nâng điện 1.5 tấn</v>
      </c>
      <c r="C549" s="353">
        <v>1</v>
      </c>
      <c r="D549" s="353" t="str">
        <f>IFERROR(VLOOKUP(M549,'02. MM-KLH'!$B$6:$T$823,16,0),"")</f>
        <v>ECP16S</v>
      </c>
      <c r="E549" s="353"/>
      <c r="F549" s="353"/>
      <c r="G549" s="353" t="s">
        <v>5978</v>
      </c>
      <c r="H549" s="353">
        <f>IFERROR(VLOOKUP(M549,'02. MM-KLH'!$B$6:$T$823,17,0),"")</f>
        <v>0</v>
      </c>
      <c r="I549" s="763">
        <f>IFERROR(VLOOKUP(M549,'02. MM-KLH'!$B$6:$U$823,20,0),"")</f>
        <v>0</v>
      </c>
      <c r="J549" s="613">
        <f>IFERROR(VLOOKUP(M549,'02. MM-KLH'!$B$6:$T$823,19,0),"")</f>
        <v>0</v>
      </c>
      <c r="K549" s="613">
        <f>IFERROR(VLOOKUP(M549,'02. MM-KLH'!$B$6:$T$823,18,0),"")</f>
        <v>1501190058</v>
      </c>
      <c r="L549" s="353">
        <f>IFERROR(VLOOKUP(M549,'02. MM-KLH'!$B$6:$T$823,4,0),"")</f>
        <v>0</v>
      </c>
      <c r="M549" s="49" t="s">
        <v>2989</v>
      </c>
      <c r="N549" s="356">
        <f>IFERROR(VLOOKUP(M549,'02. MM-KLH'!$B$6:$T$823,15,0),"")</f>
        <v>2021</v>
      </c>
      <c r="O549" s="764">
        <f>IFERROR(VLOOKUP(M549,'02. MM-KLH'!$B$6:$T$823,9,0),"")</f>
        <v>0</v>
      </c>
      <c r="P549" s="353"/>
      <c r="Q549" s="353" t="s">
        <v>1755</v>
      </c>
      <c r="R549" s="353" t="s">
        <v>5978</v>
      </c>
      <c r="S549" s="353"/>
      <c r="T549" s="353"/>
      <c r="U549" s="353" t="str">
        <f>IFERROR(VLOOKUP(M549,'02. MM-KLH'!$B$6:$T$823,5,0),"")</f>
        <v>ĐQSD</v>
      </c>
      <c r="V549" s="731" t="str">
        <f>IFERROR(VLOOKUP(M549,'02. MM-KLH'!$B$6:$T$823,8,0),"")</f>
        <v>Tổng kho</v>
      </c>
      <c r="W549" s="353" t="str">
        <f>IFERROR(VLOOKUP(V549,'NS QUẢN LÝ CG'!$A$4:$D$36,2,0),"")</f>
        <v>Võ Thanh Hiếu</v>
      </c>
      <c r="X549" s="353" t="str">
        <f>IFERROR(VLOOKUP(V549,'NS QUẢN LÝ CG'!$A$4:$D$36,4,0),"")</f>
        <v>Tổng kho KLH</v>
      </c>
      <c r="Y549" s="1104" t="str">
        <f>IFERROR(VLOOKUP(V549,'NS QUẢN LÝ CG'!$A$4:$C$36,3,0),"")</f>
        <v>0884281479</v>
      </c>
      <c r="Z549" s="731">
        <f>IFERROR(VLOOKUP(M549,'02. MM-KLH'!$B$6:$T$823,3,0),"")</f>
        <v>0</v>
      </c>
      <c r="AA549" s="353" t="str">
        <f t="shared" si="38"/>
        <v/>
      </c>
      <c r="AB549" s="731"/>
      <c r="AC549" s="731"/>
    </row>
    <row r="550" ht="13.8" spans="1:29">
      <c r="A550" s="731"/>
      <c r="B550" s="613" t="str">
        <f>IFERROR(VLOOKUP(M550,'02. MM-KLH'!$B$6:$T$823,6,0),"")</f>
        <v>Xe nâng điện 1.5 tấn</v>
      </c>
      <c r="C550" s="353">
        <v>1</v>
      </c>
      <c r="D550" s="353" t="str">
        <f>IFERROR(VLOOKUP(M550,'02. MM-KLH'!$B$6:$T$823,16,0),"")</f>
        <v>ECP16S</v>
      </c>
      <c r="E550" s="353"/>
      <c r="F550" s="353"/>
      <c r="G550" s="353" t="s">
        <v>5978</v>
      </c>
      <c r="H550" s="353">
        <f>IFERROR(VLOOKUP(M550,'02. MM-KLH'!$B$6:$T$823,17,0),"")</f>
        <v>0</v>
      </c>
      <c r="I550" s="763">
        <f>IFERROR(VLOOKUP(M550,'02. MM-KLH'!$B$6:$U$823,20,0),"")</f>
        <v>0</v>
      </c>
      <c r="J550" s="613">
        <f>IFERROR(VLOOKUP(M550,'02. MM-KLH'!$B$6:$T$823,19,0),"")</f>
        <v>0</v>
      </c>
      <c r="K550" s="613">
        <f>IFERROR(VLOOKUP(M550,'02. MM-KLH'!$B$6:$T$823,18,0),"")</f>
        <v>1501190065</v>
      </c>
      <c r="L550" s="353">
        <f>IFERROR(VLOOKUP(M550,'02. MM-KLH'!$B$6:$T$823,4,0),"")</f>
        <v>0</v>
      </c>
      <c r="M550" s="49" t="s">
        <v>2990</v>
      </c>
      <c r="N550" s="356">
        <f>IFERROR(VLOOKUP(M550,'02. MM-KLH'!$B$6:$T$823,15,0),"")</f>
        <v>2021</v>
      </c>
      <c r="O550" s="764">
        <f>IFERROR(VLOOKUP(M550,'02. MM-KLH'!$B$6:$T$823,9,0),"")</f>
        <v>0</v>
      </c>
      <c r="P550" s="353"/>
      <c r="Q550" s="353" t="s">
        <v>1755</v>
      </c>
      <c r="R550" s="353" t="s">
        <v>5978</v>
      </c>
      <c r="S550" s="353"/>
      <c r="T550" s="353"/>
      <c r="U550" s="353" t="str">
        <f>IFERROR(VLOOKUP(M550,'02. MM-KLH'!$B$6:$T$823,5,0),"")</f>
        <v>ĐQSD</v>
      </c>
      <c r="V550" s="731" t="str">
        <f>IFERROR(VLOOKUP(M550,'02. MM-KLH'!$B$6:$T$823,8,0),"")</f>
        <v>Tổng kho</v>
      </c>
      <c r="W550" s="353" t="str">
        <f>IFERROR(VLOOKUP(V550,'NS QUẢN LÝ CG'!$A$4:$D$36,2,0),"")</f>
        <v>Võ Thanh Hiếu</v>
      </c>
      <c r="X550" s="353" t="str">
        <f>IFERROR(VLOOKUP(V550,'NS QUẢN LÝ CG'!$A$4:$D$36,4,0),"")</f>
        <v>Tổng kho KLH</v>
      </c>
      <c r="Y550" s="1104" t="str">
        <f>IFERROR(VLOOKUP(V550,'NS QUẢN LÝ CG'!$A$4:$C$36,3,0),"")</f>
        <v>0884281479</v>
      </c>
      <c r="Z550" s="731">
        <f>IFERROR(VLOOKUP(M550,'02. MM-KLH'!$B$6:$T$823,3,0),"")</f>
        <v>0</v>
      </c>
      <c r="AA550" s="353" t="str">
        <f t="shared" si="38"/>
        <v/>
      </c>
      <c r="AB550" s="731"/>
      <c r="AC550" s="731"/>
    </row>
    <row r="551" ht="13.8" spans="1:29">
      <c r="A551" s="731"/>
      <c r="B551" s="613" t="str">
        <f>IFERROR(VLOOKUP(M551,'02. MM-KLH'!$B$6:$T$823,6,0),"")</f>
        <v/>
      </c>
      <c r="C551" s="353"/>
      <c r="D551" s="353" t="str">
        <f>IFERROR(VLOOKUP(M551,'02. MM-KLH'!$B$6:$T$823,16,0),"")</f>
        <v/>
      </c>
      <c r="E551" s="353"/>
      <c r="F551" s="353"/>
      <c r="G551" s="353"/>
      <c r="H551" s="353" t="str">
        <f>IFERROR(VLOOKUP(M551,'02. MM-KLH'!$B$6:$T$823,17,0),"")</f>
        <v/>
      </c>
      <c r="I551" s="763" t="str">
        <f>IFERROR(VLOOKUP(M551,'02. MM-KLH'!$B$6:$U$823,20,0),"")</f>
        <v/>
      </c>
      <c r="J551" s="613" t="str">
        <f>IFERROR(VLOOKUP(M551,'02. MM-KLH'!$B$6:$T$823,19,0),"")</f>
        <v/>
      </c>
      <c r="K551" s="613" t="str">
        <f>IFERROR(VLOOKUP(M551,'02. MM-KLH'!$B$6:$T$823,18,0),"")</f>
        <v/>
      </c>
      <c r="L551" s="353" t="str">
        <f>IFERROR(VLOOKUP(M551,'02. MM-KLH'!$B$6:$T$823,4,0),"")</f>
        <v/>
      </c>
      <c r="M551" s="49"/>
      <c r="N551" s="356" t="str">
        <f>IFERROR(VLOOKUP(M551,'02. MM-KLH'!$B$6:$T$823,15,0),"")</f>
        <v/>
      </c>
      <c r="O551" s="764" t="str">
        <f>IFERROR(VLOOKUP(M551,'02. MM-KLH'!$B$6:$T$823,9,0),"")</f>
        <v/>
      </c>
      <c r="P551" s="353"/>
      <c r="Q551" s="353"/>
      <c r="R551" s="353"/>
      <c r="S551" s="353"/>
      <c r="T551" s="353"/>
      <c r="U551" s="353" t="str">
        <f>IFERROR(VLOOKUP(M551,'02. MM-KLH'!$B$6:$T$823,2,0),"")</f>
        <v/>
      </c>
      <c r="V551" s="731" t="str">
        <f>IFERROR(VLOOKUP(M551,'02. MM-KLH'!$B$6:$T$823,8,0),"")</f>
        <v/>
      </c>
      <c r="W551" s="353" t="str">
        <f>IFERROR(VLOOKUP(V551,'NS QUẢN LÝ CG'!$A$4:$D$36,2,0),"")</f>
        <v/>
      </c>
      <c r="X551" s="353" t="str">
        <f>IFERROR(VLOOKUP(V551,'NS QUẢN LÝ CG'!$A$4:$D$36,4,0),"")</f>
        <v/>
      </c>
      <c r="Y551" s="353"/>
      <c r="Z551" s="731" t="str">
        <f>IFERROR(VLOOKUP(M551,'02. MM-KLH'!$B$6:$T$823,3,0),"")</f>
        <v/>
      </c>
      <c r="AA551" s="353"/>
      <c r="AB551" s="731"/>
      <c r="AC551" s="731"/>
    </row>
    <row r="552" ht="13.8" spans="1:29">
      <c r="A552" s="754">
        <v>2</v>
      </c>
      <c r="B552" s="755" t="s">
        <v>1380</v>
      </c>
      <c r="C552" s="754">
        <f>COUNTA(B553:B567)</f>
        <v>15</v>
      </c>
      <c r="D552" s="756" t="str">
        <f>IFERROR(VLOOKUP(M552,'02. MM-KLH'!$B$6:$T$823,16,0),"")</f>
        <v/>
      </c>
      <c r="E552" s="756"/>
      <c r="F552" s="756"/>
      <c r="G552" s="756"/>
      <c r="H552" s="762" t="str">
        <f>IFERROR(VLOOKUP(M552,'02. MM-KLH'!$B$6:$T$823,17,0),"")</f>
        <v/>
      </c>
      <c r="I552" s="762" t="str">
        <f>IFERROR(VLOOKUP(M552,'02. MM-KLH'!$B$6:$U$823,20,0),"")</f>
        <v/>
      </c>
      <c r="J552" s="758" t="str">
        <f>IFERROR(VLOOKUP(M552,'02. MM-KLH'!$B$6:$T$823,19,0),"")</f>
        <v/>
      </c>
      <c r="K552" s="758" t="str">
        <f>IFERROR(VLOOKUP(M552,'02. MM-KLH'!$B$6:$T$823,18,0),"")</f>
        <v/>
      </c>
      <c r="L552" s="756" t="str">
        <f>IFERROR(VLOOKUP(M552,'02. MM-KLH'!$B$6:$T$823,4,0),"")</f>
        <v/>
      </c>
      <c r="M552" s="756"/>
      <c r="N552" s="756" t="str">
        <f>IFERROR(VLOOKUP(M552,'02. MM-KLH'!$B$6:$T$823,15,0),"")</f>
        <v/>
      </c>
      <c r="O552" s="760" t="str">
        <f>IFERROR(VLOOKUP(M552,'02. MM-KLH'!$B$6:$T$823,9,0),"")</f>
        <v/>
      </c>
      <c r="P552" s="756"/>
      <c r="Q552" s="756"/>
      <c r="R552" s="756"/>
      <c r="S552" s="756"/>
      <c r="T552" s="756"/>
      <c r="U552" s="756" t="str">
        <f>IFERROR(VLOOKUP(M552,'02. MM-KLH'!$B$6:$T$823,2,0),"")</f>
        <v/>
      </c>
      <c r="V552" s="762" t="str">
        <f>IFERROR(VLOOKUP(M552,'02. MM-KLH'!$B$6:$T$823,8,0),"")</f>
        <v/>
      </c>
      <c r="W552" s="756"/>
      <c r="X552" s="756"/>
      <c r="Y552" s="756"/>
      <c r="Z552" s="762" t="str">
        <f>IFERROR(VLOOKUP(M552,'02. MM-KLH'!$B$6:$T$823,3,0),"")</f>
        <v/>
      </c>
      <c r="AA552" s="756"/>
      <c r="AB552" s="762"/>
      <c r="AC552" s="762"/>
    </row>
    <row r="553" ht="13.8" spans="1:29">
      <c r="A553" s="731"/>
      <c r="B553" s="613" t="str">
        <f>IFERROR(VLOOKUP(M553,'02. MM-KLH'!$B$6:$T$823,6,0),"")</f>
        <v>Xe nâng tay điện 1.5 tấn</v>
      </c>
      <c r="C553" s="353">
        <v>1</v>
      </c>
      <c r="D553" s="353" t="str">
        <f>IFERROR(VLOOKUP(M553,'02. MM-KLH'!$B$6:$T$823,16,0),"")</f>
        <v>CDD15J</v>
      </c>
      <c r="E553" s="353"/>
      <c r="F553" s="353"/>
      <c r="G553" s="353" t="s">
        <v>5978</v>
      </c>
      <c r="H553" s="353" t="str">
        <f>IFERROR(VLOOKUP(M553,'02. MM-KLH'!$B$6:$T$823,17,0),"")</f>
        <v>24V-1.5T</v>
      </c>
      <c r="I553" s="763">
        <f>IFERROR(VLOOKUP(M553,'02. MM-KLH'!$B$6:$U$823,20,0),"")</f>
        <v>0</v>
      </c>
      <c r="J553" s="613" t="str">
        <f>IFERROR(VLOOKUP(M553,'02. MM-KLH'!$B$6:$T$823,19,0),"")</f>
        <v>NIL</v>
      </c>
      <c r="K553" s="613" t="str">
        <f>IFERROR(VLOOKUP(M553,'02. MM-KLH'!$B$6:$T$823,18,0),"")</f>
        <v>08015JM7921</v>
      </c>
      <c r="L553" s="353">
        <f>IFERROR(VLOOKUP(M553,'02. MM-KLH'!$B$6:$T$823,4,0),"")</f>
        <v>0</v>
      </c>
      <c r="M553" s="49" t="s">
        <v>1378</v>
      </c>
      <c r="N553" s="356">
        <f>IFERROR(VLOOKUP(M553,'02. MM-KLH'!$B$6:$T$823,15,0),"")</f>
        <v>2022</v>
      </c>
      <c r="O553" s="764">
        <f>IFERROR(VLOOKUP(M553,'02. MM-KLH'!$B$6:$T$823,9,0),"")</f>
        <v>0</v>
      </c>
      <c r="P553" s="353"/>
      <c r="Q553" s="353" t="s">
        <v>1755</v>
      </c>
      <c r="R553" s="353"/>
      <c r="S553" s="353"/>
      <c r="T553" s="353" t="s">
        <v>5978</v>
      </c>
      <c r="U553" s="353" t="str">
        <f>IFERROR(VLOOKUP(M553,'02. MM-KLH'!$B$6:$T$823,5,0),"")</f>
        <v>MỚI</v>
      </c>
      <c r="V553" s="731" t="str">
        <f>IFERROR(VLOOKUP(M553,'02. MM-KLH'!$B$6:$T$823,8,0),"")</f>
        <v>XN Chuối DP3</v>
      </c>
      <c r="W553" s="353" t="str">
        <f>IFERROR(VLOOKUP(V553,'NS QUẢN LÝ CG'!$A$4:$D$36,2,0),"")</f>
        <v/>
      </c>
      <c r="X553" s="353" t="str">
        <f>IFERROR(VLOOKUP(V553,'NS QUẢN LÝ CG'!$A$4:$D$36,4,0),"")</f>
        <v/>
      </c>
      <c r="Y553" s="353" t="str">
        <f>IFERROR(VLOOKUP(V553,'NS QUẢN LÝ CG'!$A$4:$C$36,3,0),"")</f>
        <v/>
      </c>
      <c r="Z553" s="731" t="str">
        <f>IFERROR(VLOOKUP(M553,'02. MM-KLH'!$B$6:$T$823,3,0),"")</f>
        <v>ATT-A23-0044</v>
      </c>
      <c r="AA553" s="353" t="s">
        <v>5979</v>
      </c>
      <c r="AB553" s="731"/>
      <c r="AC553" s="731"/>
    </row>
    <row r="554" ht="13.8" spans="1:29">
      <c r="A554" s="731"/>
      <c r="B554" s="613" t="str">
        <f>IFERROR(VLOOKUP(M554,'02. MM-KLH'!$B$6:$T$823,6,0),"")</f>
        <v>Xe nâng dầu HELI 3.5 tấn</v>
      </c>
      <c r="C554" s="353">
        <v>1</v>
      </c>
      <c r="D554" s="353" t="str">
        <f>IFERROR(VLOOKUP(M554,'02. MM-KLH'!$B$6:$T$823,16,0),"")</f>
        <v>CPCD35</v>
      </c>
      <c r="E554" s="353" t="s">
        <v>5978</v>
      </c>
      <c r="F554" s="353"/>
      <c r="G554" s="353"/>
      <c r="H554" s="353" t="str">
        <f>IFERROR(VLOOKUP(M554,'02. MM-KLH'!$B$6:$T$823,17,0),"")</f>
        <v>60HP</v>
      </c>
      <c r="I554" s="763">
        <f>IFERROR(VLOOKUP(M554,'02. MM-KLH'!$B$6:$U$823,20,0),"")</f>
        <v>4</v>
      </c>
      <c r="J554" s="613" t="str">
        <f>IFERROR(VLOOKUP(M554,'02. MM-KLH'!$B$6:$T$823,19,0),"")</f>
        <v>4JG2-650393</v>
      </c>
      <c r="K554" s="613" t="str">
        <f>IFERROR(VLOOKUP(M554,'02. MM-KLH'!$B$6:$T$823,18,0),"")</f>
        <v>010353K5641</v>
      </c>
      <c r="L554" s="353">
        <f>IFERROR(VLOOKUP(M554,'02. MM-KLH'!$B$6:$T$823,4,0),"")</f>
        <v>0</v>
      </c>
      <c r="M554" s="49" t="s">
        <v>2155</v>
      </c>
      <c r="N554" s="356">
        <f>IFERROR(VLOOKUP(M554,'02. MM-KLH'!$B$6:$T$823,15,0),"")</f>
        <v>2024</v>
      </c>
      <c r="O554" s="764">
        <f>IFERROR(VLOOKUP(M554,'02. MM-KLH'!$B$6:$T$823,9,0),"")</f>
        <v>45813</v>
      </c>
      <c r="P554" s="353"/>
      <c r="Q554" s="353" t="s">
        <v>1755</v>
      </c>
      <c r="R554" s="353" t="s">
        <v>5978</v>
      </c>
      <c r="S554" s="353"/>
      <c r="T554" s="353"/>
      <c r="U554" s="353" t="str">
        <f>IFERROR(VLOOKUP(M554,'02. MM-KLH'!$B$6:$T$823,5,0),"")</f>
        <v>MỚI</v>
      </c>
      <c r="V554" s="731" t="str">
        <f>IFERROR(VLOOKUP(M554,'02. MM-KLH'!$B$6:$T$823,8,0),"")</f>
        <v>XN Bò AD</v>
      </c>
      <c r="W554" s="353" t="str">
        <f>IFERROR(VLOOKUP(V554,'NS QUẢN LÝ CG'!$A$4:$D$36,2,0),"")</f>
        <v/>
      </c>
      <c r="X554" s="353" t="str">
        <f>IFERROR(VLOOKUP(V554,'NS QUẢN LÝ CG'!$A$4:$D$36,4,0),"")</f>
        <v/>
      </c>
      <c r="Y554" s="353" t="str">
        <f>IFERROR(VLOOKUP(V554,'NS QUẢN LÝ CG'!$A$4:$C$36,3,0),"")</f>
        <v/>
      </c>
      <c r="Z554" s="731" t="str">
        <f>IFERROR(VLOOKUP(M554,'02. MM-KLH'!$B$6:$T$823,3,0),"")</f>
        <v>A22-XNA-005</v>
      </c>
      <c r="AA554" s="353" t="str">
        <f t="shared" ref="AA554:AA566" si="39">_xlfn.SWITCH(LEFT(Z554,3),"A22","ADM","A23","DP","A24","LP","")</f>
        <v>ADM</v>
      </c>
      <c r="AB554" s="731"/>
      <c r="AC554" s="731"/>
    </row>
    <row r="555" ht="13.8" spans="1:29">
      <c r="A555" s="731"/>
      <c r="B555" s="613" t="str">
        <f>IFERROR(VLOOKUP(M555,'02. MM-KLH'!$B$6:$T$823,6,0),"")</f>
        <v>Xe nâng dầu HELI 3.5 tấn</v>
      </c>
      <c r="C555" s="353">
        <v>1</v>
      </c>
      <c r="D555" s="353" t="str">
        <f>IFERROR(VLOOKUP(M555,'02. MM-KLH'!$B$6:$T$823,16,0),"")</f>
        <v>CPCD35</v>
      </c>
      <c r="E555" s="353" t="s">
        <v>5978</v>
      </c>
      <c r="F555" s="353"/>
      <c r="G555" s="353"/>
      <c r="H555" s="353" t="str">
        <f>IFERROR(VLOOKUP(M555,'02. MM-KLH'!$B$6:$T$823,17,0),"")</f>
        <v>60HP</v>
      </c>
      <c r="I555" s="763">
        <f>IFERROR(VLOOKUP(M555,'02. MM-KLH'!$B$6:$U$823,20,0),"")</f>
        <v>4</v>
      </c>
      <c r="J555" s="613" t="str">
        <f>IFERROR(VLOOKUP(M555,'02. MM-KLH'!$B$6:$T$823,19,0),"")</f>
        <v>4JG2-649490</v>
      </c>
      <c r="K555" s="613" t="str">
        <f>IFERROR(VLOOKUP(M555,'02. MM-KLH'!$B$6:$T$823,18,0),"")</f>
        <v>010353H8176</v>
      </c>
      <c r="L555" s="353">
        <f>IFERROR(VLOOKUP(M555,'02. MM-KLH'!$B$6:$T$823,4,0),"")</f>
        <v>0</v>
      </c>
      <c r="M555" s="49" t="s">
        <v>2161</v>
      </c>
      <c r="N555" s="356">
        <f>IFERROR(VLOOKUP(M555,'02. MM-KLH'!$B$6:$T$823,15,0),"")</f>
        <v>2024</v>
      </c>
      <c r="O555" s="764">
        <f>IFERROR(VLOOKUP(M555,'02. MM-KLH'!$B$6:$T$823,9,0),"")</f>
        <v>45813</v>
      </c>
      <c r="P555" s="353"/>
      <c r="Q555" s="353" t="s">
        <v>1755</v>
      </c>
      <c r="R555" s="353" t="s">
        <v>5978</v>
      </c>
      <c r="S555" s="353"/>
      <c r="T555" s="353"/>
      <c r="U555" s="353" t="str">
        <f>IFERROR(VLOOKUP(M555,'02. MM-KLH'!$B$6:$T$823,5,0),"")</f>
        <v>MỚI</v>
      </c>
      <c r="V555" s="731" t="str">
        <f>IFERROR(VLOOKUP(M555,'02. MM-KLH'!$B$6:$T$823,8,0),"")</f>
        <v>XN Bò AD</v>
      </c>
      <c r="W555" s="353" t="str">
        <f>IFERROR(VLOOKUP(V555,'NS QUẢN LÝ CG'!$A$4:$D$36,2,0),"")</f>
        <v/>
      </c>
      <c r="X555" s="353" t="str">
        <f>IFERROR(VLOOKUP(V555,'NS QUẢN LÝ CG'!$A$4:$D$36,4,0),"")</f>
        <v/>
      </c>
      <c r="Y555" s="353" t="str">
        <f>IFERROR(VLOOKUP(V555,'NS QUẢN LÝ CG'!$A$4:$C$36,3,0),"")</f>
        <v/>
      </c>
      <c r="Z555" s="731" t="str">
        <f>IFERROR(VLOOKUP(M555,'02. MM-KLH'!$B$6:$T$823,3,0),"")</f>
        <v>A22-XNA-006</v>
      </c>
      <c r="AA555" s="353" t="str">
        <f t="shared" si="39"/>
        <v>ADM</v>
      </c>
      <c r="AB555" s="731"/>
      <c r="AC555" s="731"/>
    </row>
    <row r="556" ht="13.8" spans="1:29">
      <c r="A556" s="731"/>
      <c r="B556" s="613" t="str">
        <f>IFERROR(VLOOKUP(M556,'02. MM-KLH'!$B$6:$T$823,6,0),"")</f>
        <v>Xe nâng dầu HELI 3.5 tấn</v>
      </c>
      <c r="C556" s="353">
        <v>1</v>
      </c>
      <c r="D556" s="353" t="str">
        <f>IFERROR(VLOOKUP(M556,'02. MM-KLH'!$B$6:$T$823,16,0),"")</f>
        <v>CPCD35</v>
      </c>
      <c r="E556" s="353" t="s">
        <v>5978</v>
      </c>
      <c r="F556" s="353"/>
      <c r="G556" s="353"/>
      <c r="H556" s="353" t="str">
        <f>IFERROR(VLOOKUP(M556,'02. MM-KLH'!$B$6:$T$823,17,0),"")</f>
        <v>60HP</v>
      </c>
      <c r="I556" s="763">
        <f>IFERROR(VLOOKUP(M556,'02. MM-KLH'!$B$6:$U$823,20,0),"")</f>
        <v>2.5</v>
      </c>
      <c r="J556" s="613" t="str">
        <f>IFERROR(VLOOKUP(M556,'02. MM-KLH'!$B$6:$T$823,19,0),"")</f>
        <v>CCN</v>
      </c>
      <c r="K556" s="613" t="str">
        <f>IFERROR(VLOOKUP(M556,'02. MM-KLH'!$B$6:$T$823,18,0),"")</f>
        <v>010353K6773</v>
      </c>
      <c r="L556" s="353">
        <f>IFERROR(VLOOKUP(M556,'02. MM-KLH'!$B$6:$T$823,4,0),"")</f>
        <v>0</v>
      </c>
      <c r="M556" s="49" t="s">
        <v>2626</v>
      </c>
      <c r="N556" s="356">
        <f>IFERROR(VLOOKUP(M556,'02. MM-KLH'!$B$6:$T$823,15,0),"")</f>
        <v>2024</v>
      </c>
      <c r="O556" s="764" t="str">
        <f>IFERROR(VLOOKUP(M556,'02. MM-KLH'!$B$6:$T$823,9,0),"")</f>
        <v>18/03/2025</v>
      </c>
      <c r="P556" s="353"/>
      <c r="Q556" s="353" t="s">
        <v>1755</v>
      </c>
      <c r="R556" s="353" t="s">
        <v>5978</v>
      </c>
      <c r="S556" s="353"/>
      <c r="T556" s="353"/>
      <c r="U556" s="353" t="str">
        <f>IFERROR(VLOOKUP(M556,'02. MM-KLH'!$B$6:$T$823,5,0),"")</f>
        <v>ĐQSD</v>
      </c>
      <c r="V556" s="731" t="str">
        <f>IFERROR(VLOOKUP(M556,'02. MM-KLH'!$B$6:$T$823,8,0),"")</f>
        <v>Xưởng Cơ khí ADM&amp;LP</v>
      </c>
      <c r="W556" s="353" t="str">
        <f>IFERROR(VLOOKUP(V556,'NS QUẢN LÝ CG'!$A$4:$D$36,2,0),"")</f>
        <v/>
      </c>
      <c r="X556" s="353" t="str">
        <f>IFERROR(VLOOKUP(V556,'NS QUẢN LÝ CG'!$A$4:$D$36,4,0),"")</f>
        <v/>
      </c>
      <c r="Y556" s="353" t="str">
        <f>IFERROR(VLOOKUP(V556,'NS QUẢN LÝ CG'!$A$4:$C$36,3,0),"")</f>
        <v/>
      </c>
      <c r="Z556" s="731" t="str">
        <f>IFERROR(VLOOKUP(M556,'02. MM-KLH'!$B$6:$T$823,3,0),"")</f>
        <v>A23-XNA-001</v>
      </c>
      <c r="AA556" s="353" t="str">
        <f t="shared" si="39"/>
        <v>DP</v>
      </c>
      <c r="AB556" s="731"/>
      <c r="AC556" s="731"/>
    </row>
    <row r="557" ht="13.8" spans="1:29">
      <c r="A557" s="731"/>
      <c r="B557" s="613" t="str">
        <f>IFERROR(VLOOKUP(M557,'02. MM-KLH'!$B$6:$T$823,6,0),"")</f>
        <v>Xe nâng dầu HELI 5 tấn</v>
      </c>
      <c r="C557" s="353">
        <v>1</v>
      </c>
      <c r="D557" s="353" t="str">
        <f>IFERROR(VLOOKUP(M557,'02. MM-KLH'!$B$6:$T$823,16,0),"")</f>
        <v>CPCD50</v>
      </c>
      <c r="E557" s="353" t="s">
        <v>5978</v>
      </c>
      <c r="F557" s="353"/>
      <c r="G557" s="353"/>
      <c r="H557" s="353" t="str">
        <f>IFERROR(VLOOKUP(M557,'02. MM-KLH'!$B$6:$T$823,17,0),"")</f>
        <v>69HP</v>
      </c>
      <c r="I557" s="763">
        <f>IFERROR(VLOOKUP(M557,'02. MM-KLH'!$B$6:$U$823,20,0),"")</f>
        <v>2.5</v>
      </c>
      <c r="J557" s="613" t="str">
        <f>IFERROR(VLOOKUP(M557,'02. MM-KLH'!$B$6:$T$823,19,0),"")</f>
        <v>CCN</v>
      </c>
      <c r="K557" s="613" t="str">
        <f>IFERROR(VLOOKUP(M557,'02. MM-KLH'!$B$6:$T$823,18,0),"")</f>
        <v>010503S3572</v>
      </c>
      <c r="L557" s="353">
        <f>IFERROR(VLOOKUP(M557,'02. MM-KLH'!$B$6:$T$823,4,0),"")</f>
        <v>0</v>
      </c>
      <c r="M557" s="49" t="s">
        <v>2630</v>
      </c>
      <c r="N557" s="356">
        <f>IFERROR(VLOOKUP(M557,'02. MM-KLH'!$B$6:$T$823,15,0),"")</f>
        <v>2026</v>
      </c>
      <c r="O557" s="764" t="str">
        <f>IFERROR(VLOOKUP(M557,'02. MM-KLH'!$B$6:$T$823,9,0),"")</f>
        <v>28/04/2026</v>
      </c>
      <c r="P557" s="353"/>
      <c r="Q557" s="353" t="s">
        <v>1755</v>
      </c>
      <c r="R557" s="353" t="s">
        <v>5978</v>
      </c>
      <c r="S557" s="353"/>
      <c r="T557" s="353"/>
      <c r="U557" s="353" t="str">
        <f>IFERROR(VLOOKUP(M557,'02. MM-KLH'!$B$6:$T$823,5,0),"")</f>
        <v>MỚI</v>
      </c>
      <c r="V557" s="731" t="str">
        <f>IFERROR(VLOOKUP(M557,'02. MM-KLH'!$B$6:$T$823,8,0),"")</f>
        <v>Xưởng Cơ khí ADM&amp;LP</v>
      </c>
      <c r="W557" s="353" t="str">
        <f>IFERROR(VLOOKUP(V557,'NS QUẢN LÝ CG'!$A$4:$D$36,2,0),"")</f>
        <v/>
      </c>
      <c r="X557" s="353" t="str">
        <f>IFERROR(VLOOKUP(V557,'NS QUẢN LÝ CG'!$A$4:$D$36,4,0),"")</f>
        <v/>
      </c>
      <c r="Y557" s="353" t="str">
        <f>IFERROR(VLOOKUP(V557,'NS QUẢN LÝ CG'!$A$4:$C$36,3,0),"")</f>
        <v/>
      </c>
      <c r="Z557" s="731">
        <f>IFERROR(VLOOKUP(M557,'02. MM-KLH'!$B$6:$T$823,3,0),"")</f>
        <v>0</v>
      </c>
      <c r="AA557" s="353" t="str">
        <f t="shared" si="39"/>
        <v/>
      </c>
      <c r="AB557" s="731"/>
      <c r="AC557" s="731"/>
    </row>
    <row r="558" ht="13.8" spans="1:29">
      <c r="A558" s="731"/>
      <c r="B558" s="613" t="str">
        <f>IFERROR(VLOOKUP(M558,'02. MM-KLH'!$B$6:$T$823,6,0),"")</f>
        <v>Xe nâng điện 2.5 tấn</v>
      </c>
      <c r="C558" s="353">
        <v>1</v>
      </c>
      <c r="D558" s="353" t="str">
        <f>IFERROR(VLOOKUP(M558,'02. MM-KLH'!$B$6:$T$823,16,0),"")</f>
        <v>CPD25-GB2LI-H</v>
      </c>
      <c r="E558" s="353"/>
      <c r="F558" s="353"/>
      <c r="G558" s="353" t="s">
        <v>5978</v>
      </c>
      <c r="H558" s="353">
        <f>IFERROR(VLOOKUP(M558,'02. MM-KLH'!$B$6:$T$823,17,0),"")</f>
        <v>0</v>
      </c>
      <c r="I558" s="763">
        <f>IFERROR(VLOOKUP(M558,'02. MM-KLH'!$B$6:$U$823,20,0),"")</f>
        <v>0</v>
      </c>
      <c r="J558" s="613">
        <f>IFERROR(VLOOKUP(M558,'02. MM-KLH'!$B$6:$T$823,19,0),"")</f>
        <v>0</v>
      </c>
      <c r="K558" s="613" t="str">
        <f>IFERROR(VLOOKUP(M558,'02. MM-KLH'!$B$6:$T$823,18,0),"")</f>
        <v>05025DF7308</v>
      </c>
      <c r="L558" s="353">
        <f>IFERROR(VLOOKUP(M558,'02. MM-KLH'!$B$6:$T$823,4,0),"")</f>
        <v>0</v>
      </c>
      <c r="M558" s="49" t="s">
        <v>2962</v>
      </c>
      <c r="N558" s="356">
        <f>IFERROR(VLOOKUP(M558,'02. MM-KLH'!$B$6:$T$823,15,0),"")</f>
        <v>2021</v>
      </c>
      <c r="O558" s="764">
        <f>IFERROR(VLOOKUP(M558,'02. MM-KLH'!$B$6:$T$823,9,0),"")</f>
        <v>0</v>
      </c>
      <c r="P558" s="353"/>
      <c r="Q558" s="353" t="s">
        <v>1755</v>
      </c>
      <c r="R558" s="353" t="s">
        <v>5978</v>
      </c>
      <c r="S558" s="353"/>
      <c r="T558" s="353"/>
      <c r="U558" s="353" t="str">
        <f>IFERROR(VLOOKUP(M558,'02. MM-KLH'!$B$6:$T$823,5,0),"")</f>
        <v>ĐQSD</v>
      </c>
      <c r="V558" s="731" t="str">
        <f>IFERROR(VLOOKUP(M558,'02. MM-KLH'!$B$6:$T$823,8,0),"")</f>
        <v>NM NHỰA -XỐP DP</v>
      </c>
      <c r="W558" s="353" t="str">
        <f>IFERROR(VLOOKUP(V558,'NS QUẢN LÝ CG'!$A$4:$D$36,2,0),"")</f>
        <v>Nguyễn Xuân Liêm</v>
      </c>
      <c r="X558" s="353" t="str">
        <f>IFERROR(VLOOKUP(V558,'NS QUẢN LÝ CG'!$A$4:$D$36,4,0),"")</f>
        <v>NM Nhựa</v>
      </c>
      <c r="Y558" s="1104" t="str">
        <f>IFERROR(VLOOKUP(V558,'NS QUẢN LÝ CG'!$A$4:$C$36,3,0),"")</f>
        <v>0762578457</v>
      </c>
      <c r="Z558" s="731">
        <f>IFERROR(VLOOKUP(M558,'02. MM-KLH'!$B$6:$T$823,3,0),"")</f>
        <v>0</v>
      </c>
      <c r="AA558" s="353" t="str">
        <f t="shared" si="39"/>
        <v/>
      </c>
      <c r="AB558" s="731"/>
      <c r="AC558" s="731"/>
    </row>
    <row r="559" ht="13.8" spans="1:29">
      <c r="A559" s="731"/>
      <c r="B559" s="613" t="str">
        <f>IFERROR(VLOOKUP(M559,'02. MM-KLH'!$B$6:$T$823,6,0),"")</f>
        <v>Xe nâng điện 2.5 tấn</v>
      </c>
      <c r="C559" s="353">
        <v>1</v>
      </c>
      <c r="D559" s="353" t="str">
        <f>IFERROR(VLOOKUP(M559,'02. MM-KLH'!$B$6:$T$823,16,0),"")</f>
        <v>CPD25-GB2LI-H</v>
      </c>
      <c r="E559" s="353"/>
      <c r="F559" s="353"/>
      <c r="G559" s="353" t="s">
        <v>5978</v>
      </c>
      <c r="H559" s="353">
        <f>IFERROR(VLOOKUP(M559,'02. MM-KLH'!$B$6:$T$823,17,0),"")</f>
        <v>0</v>
      </c>
      <c r="I559" s="763">
        <f>IFERROR(VLOOKUP(M559,'02. MM-KLH'!$B$6:$U$823,20,0),"")</f>
        <v>0</v>
      </c>
      <c r="J559" s="613">
        <f>IFERROR(VLOOKUP(M559,'02. MM-KLH'!$B$6:$T$823,19,0),"")</f>
        <v>0</v>
      </c>
      <c r="K559" s="613" t="str">
        <f>IFERROR(VLOOKUP(M559,'02. MM-KLH'!$B$6:$T$823,18,0),"")</f>
        <v>05025DF945</v>
      </c>
      <c r="L559" s="353">
        <f>IFERROR(VLOOKUP(M559,'02. MM-KLH'!$B$6:$T$823,4,0),"")</f>
        <v>0</v>
      </c>
      <c r="M559" s="49" t="s">
        <v>2965</v>
      </c>
      <c r="N559" s="356">
        <f>IFERROR(VLOOKUP(M559,'02. MM-KLH'!$B$6:$T$823,15,0),"")</f>
        <v>2021</v>
      </c>
      <c r="O559" s="764">
        <f>IFERROR(VLOOKUP(M559,'02. MM-KLH'!$B$6:$T$823,9,0),"")</f>
        <v>0</v>
      </c>
      <c r="P559" s="353"/>
      <c r="Q559" s="353" t="s">
        <v>1755</v>
      </c>
      <c r="R559" s="353" t="s">
        <v>5978</v>
      </c>
      <c r="S559" s="353"/>
      <c r="T559" s="353"/>
      <c r="U559" s="353" t="str">
        <f>IFERROR(VLOOKUP(M559,'02. MM-KLH'!$B$6:$T$823,5,0),"")</f>
        <v>ĐQSD</v>
      </c>
      <c r="V559" s="731" t="str">
        <f>IFERROR(VLOOKUP(M559,'02. MM-KLH'!$B$6:$T$823,8,0),"")</f>
        <v>NM NHỰA -XỐP DP</v>
      </c>
      <c r="W559" s="353" t="str">
        <f>IFERROR(VLOOKUP(V559,'NS QUẢN LÝ CG'!$A$4:$D$36,2,0),"")</f>
        <v>Nguyễn Xuân Liêm</v>
      </c>
      <c r="X559" s="353" t="str">
        <f>IFERROR(VLOOKUP(V559,'NS QUẢN LÝ CG'!$A$4:$D$36,4,0),"")</f>
        <v>NM Nhựa</v>
      </c>
      <c r="Y559" s="1104" t="str">
        <f>IFERROR(VLOOKUP(V559,'NS QUẢN LÝ CG'!$A$4:$C$36,3,0),"")</f>
        <v>0762578457</v>
      </c>
      <c r="Z559" s="731">
        <f>IFERROR(VLOOKUP(M559,'02. MM-KLH'!$B$6:$T$823,3,0),"")</f>
        <v>0</v>
      </c>
      <c r="AA559" s="353" t="str">
        <f t="shared" si="39"/>
        <v/>
      </c>
      <c r="AB559" s="731"/>
      <c r="AC559" s="731"/>
    </row>
    <row r="560" ht="13.8" spans="1:29">
      <c r="A560" s="731"/>
      <c r="B560" s="613" t="str">
        <f>IFERROR(VLOOKUP(M560,'02. MM-KLH'!$B$6:$T$823,6,0),"")</f>
        <v>Xe nâng điện 2.5 tấn</v>
      </c>
      <c r="C560" s="353">
        <v>1</v>
      </c>
      <c r="D560" s="353" t="str">
        <f>IFERROR(VLOOKUP(M560,'02. MM-KLH'!$B$6:$T$823,16,0),"")</f>
        <v>CPD25-GB2LI-H</v>
      </c>
      <c r="E560" s="353"/>
      <c r="F560" s="353"/>
      <c r="G560" s="353" t="s">
        <v>5978</v>
      </c>
      <c r="H560" s="353">
        <f>IFERROR(VLOOKUP(M560,'02. MM-KLH'!$B$6:$T$823,17,0),"")</f>
        <v>0</v>
      </c>
      <c r="I560" s="763">
        <f>IFERROR(VLOOKUP(M560,'02. MM-KLH'!$B$6:$U$823,20,0),"")</f>
        <v>0</v>
      </c>
      <c r="J560" s="613">
        <f>IFERROR(VLOOKUP(M560,'02. MM-KLH'!$B$6:$T$823,19,0),"")</f>
        <v>0</v>
      </c>
      <c r="K560" s="613" t="str">
        <f>IFERROR(VLOOKUP(M560,'02. MM-KLH'!$B$6:$T$823,18,0),"")</f>
        <v>05025DF7946</v>
      </c>
      <c r="L560" s="353">
        <f>IFERROR(VLOOKUP(M560,'02. MM-KLH'!$B$6:$T$823,4,0),"")</f>
        <v>0</v>
      </c>
      <c r="M560" s="49" t="s">
        <v>2967</v>
      </c>
      <c r="N560" s="356">
        <f>IFERROR(VLOOKUP(M560,'02. MM-KLH'!$B$6:$T$823,15,0),"")</f>
        <v>2021</v>
      </c>
      <c r="O560" s="764">
        <f>IFERROR(VLOOKUP(M560,'02. MM-KLH'!$B$6:$T$823,9,0),"")</f>
        <v>0</v>
      </c>
      <c r="P560" s="353"/>
      <c r="Q560" s="353" t="s">
        <v>1755</v>
      </c>
      <c r="R560" s="353" t="s">
        <v>5978</v>
      </c>
      <c r="S560" s="353"/>
      <c r="T560" s="353"/>
      <c r="U560" s="353" t="str">
        <f>IFERROR(VLOOKUP(M560,'02. MM-KLH'!$B$6:$T$823,5,0),"")</f>
        <v>ĐQSD</v>
      </c>
      <c r="V560" s="731" t="str">
        <f>IFERROR(VLOOKUP(M560,'02. MM-KLH'!$B$6:$T$823,8,0),"")</f>
        <v>NM NHỰA -XỐP DP</v>
      </c>
      <c r="W560" s="353" t="str">
        <f>IFERROR(VLOOKUP(V560,'NS QUẢN LÝ CG'!$A$4:$D$36,2,0),"")</f>
        <v>Nguyễn Xuân Liêm</v>
      </c>
      <c r="X560" s="353" t="str">
        <f>IFERROR(VLOOKUP(V560,'NS QUẢN LÝ CG'!$A$4:$D$36,4,0),"")</f>
        <v>NM Nhựa</v>
      </c>
      <c r="Y560" s="1104" t="str">
        <f>IFERROR(VLOOKUP(V560,'NS QUẢN LÝ CG'!$A$4:$C$36,3,0),"")</f>
        <v>0762578457</v>
      </c>
      <c r="Z560" s="731">
        <f>IFERROR(VLOOKUP(M560,'02. MM-KLH'!$B$6:$T$823,3,0),"")</f>
        <v>0</v>
      </c>
      <c r="AA560" s="353" t="str">
        <f t="shared" si="39"/>
        <v/>
      </c>
      <c r="AB560" s="731"/>
      <c r="AC560" s="731"/>
    </row>
    <row r="561" ht="13.8" spans="1:29">
      <c r="A561" s="731"/>
      <c r="B561" s="613" t="str">
        <f>IFERROR(VLOOKUP(M561,'02. MM-KLH'!$B$6:$T$823,6,0),"")</f>
        <v>Xe nâng điện 3.5 tấn</v>
      </c>
      <c r="C561" s="353">
        <v>1</v>
      </c>
      <c r="D561" s="353" t="str">
        <f>IFERROR(VLOOKUP(M561,'02. MM-KLH'!$B$6:$T$823,16,0),"")</f>
        <v>CPD35-GB2LI-H</v>
      </c>
      <c r="E561" s="353"/>
      <c r="F561" s="353"/>
      <c r="G561" s="353" t="s">
        <v>5978</v>
      </c>
      <c r="H561" s="353">
        <f>IFERROR(VLOOKUP(M561,'02. MM-KLH'!$B$6:$T$823,17,0),"")</f>
        <v>0</v>
      </c>
      <c r="I561" s="763">
        <f>IFERROR(VLOOKUP(M561,'02. MM-KLH'!$B$6:$U$823,20,0),"")</f>
        <v>0</v>
      </c>
      <c r="J561" s="613">
        <f>IFERROR(VLOOKUP(M561,'02. MM-KLH'!$B$6:$T$823,19,0),"")</f>
        <v>0</v>
      </c>
      <c r="K561" s="613" t="str">
        <f>IFERROR(VLOOKUP(M561,'02. MM-KLH'!$B$6:$T$823,18,0),"")</f>
        <v>05035DF8691</v>
      </c>
      <c r="L561" s="353">
        <f>IFERROR(VLOOKUP(M561,'02. MM-KLH'!$B$6:$T$823,4,0),"")</f>
        <v>0</v>
      </c>
      <c r="M561" s="49" t="s">
        <v>2969</v>
      </c>
      <c r="N561" s="356">
        <f>IFERROR(VLOOKUP(M561,'02. MM-KLH'!$B$6:$T$823,15,0),"")</f>
        <v>2021</v>
      </c>
      <c r="O561" s="764">
        <f>IFERROR(VLOOKUP(M561,'02. MM-KLH'!$B$6:$T$823,9,0),"")</f>
        <v>0</v>
      </c>
      <c r="P561" s="353"/>
      <c r="Q561" s="353" t="s">
        <v>1755</v>
      </c>
      <c r="R561" s="353" t="s">
        <v>5978</v>
      </c>
      <c r="S561" s="353"/>
      <c r="T561" s="353"/>
      <c r="U561" s="353" t="str">
        <f>IFERROR(VLOOKUP(M561,'02. MM-KLH'!$B$6:$T$823,5,0),"")</f>
        <v>ĐQSD</v>
      </c>
      <c r="V561" s="731" t="str">
        <f>IFERROR(VLOOKUP(M561,'02. MM-KLH'!$B$6:$T$823,8,0),"")</f>
        <v>NM NHỰA -XỐP DP</v>
      </c>
      <c r="W561" s="353" t="str">
        <f>IFERROR(VLOOKUP(V561,'NS QUẢN LÝ CG'!$A$4:$D$36,2,0),"")</f>
        <v>Nguyễn Xuân Liêm</v>
      </c>
      <c r="X561" s="353" t="str">
        <f>IFERROR(VLOOKUP(V561,'NS QUẢN LÝ CG'!$A$4:$D$36,4,0),"")</f>
        <v>NM Nhựa</v>
      </c>
      <c r="Y561" s="1104" t="str">
        <f>IFERROR(VLOOKUP(V561,'NS QUẢN LÝ CG'!$A$4:$C$36,3,0),"")</f>
        <v>0762578457</v>
      </c>
      <c r="Z561" s="731">
        <f>IFERROR(VLOOKUP(M561,'02. MM-KLH'!$B$6:$T$823,3,0),"")</f>
        <v>0</v>
      </c>
      <c r="AA561" s="353" t="str">
        <f t="shared" si="39"/>
        <v/>
      </c>
      <c r="AB561" s="731"/>
      <c r="AC561" s="731"/>
    </row>
    <row r="562" ht="13.8" spans="1:29">
      <c r="A562" s="731"/>
      <c r="B562" s="613" t="str">
        <f>IFERROR(VLOOKUP(M562,'02. MM-KLH'!$B$6:$T$823,6,0),"")</f>
        <v>Xe nâng điện 5 tấn</v>
      </c>
      <c r="C562" s="353">
        <v>1</v>
      </c>
      <c r="D562" s="353" t="str">
        <f>IFERROR(VLOOKUP(M562,'02. MM-KLH'!$B$6:$T$823,16,0),"")</f>
        <v>CPD50-GB2LI</v>
      </c>
      <c r="E562" s="353"/>
      <c r="F562" s="353"/>
      <c r="G562" s="353" t="s">
        <v>5978</v>
      </c>
      <c r="H562" s="353">
        <f>IFERROR(VLOOKUP(M562,'02. MM-KLH'!$B$6:$T$823,17,0),"")</f>
        <v>0</v>
      </c>
      <c r="I562" s="763">
        <f>IFERROR(VLOOKUP(M562,'02. MM-KLH'!$B$6:$U$823,20,0),"")</f>
        <v>0</v>
      </c>
      <c r="J562" s="613">
        <f>IFERROR(VLOOKUP(M562,'02. MM-KLH'!$B$6:$T$823,19,0),"")</f>
        <v>0</v>
      </c>
      <c r="K562" s="613" t="str">
        <f>IFERROR(VLOOKUP(M562,'02. MM-KLH'!$B$6:$T$823,18,0),"")</f>
        <v>05050DF9070</v>
      </c>
      <c r="L562" s="353">
        <f>IFERROR(VLOOKUP(M562,'02. MM-KLH'!$B$6:$T$823,4,0),"")</f>
        <v>0</v>
      </c>
      <c r="M562" s="49" t="s">
        <v>2972</v>
      </c>
      <c r="N562" s="356">
        <f>IFERROR(VLOOKUP(M562,'02. MM-KLH'!$B$6:$T$823,15,0),"")</f>
        <v>2021</v>
      </c>
      <c r="O562" s="764">
        <f>IFERROR(VLOOKUP(M562,'02. MM-KLH'!$B$6:$T$823,9,0),"")</f>
        <v>0</v>
      </c>
      <c r="P562" s="353"/>
      <c r="Q562" s="353" t="s">
        <v>1755</v>
      </c>
      <c r="R562" s="353" t="s">
        <v>5978</v>
      </c>
      <c r="S562" s="353"/>
      <c r="T562" s="353"/>
      <c r="U562" s="353" t="str">
        <f>IFERROR(VLOOKUP(M562,'02. MM-KLH'!$B$6:$T$823,5,0),"")</f>
        <v>ĐQSD</v>
      </c>
      <c r="V562" s="731" t="str">
        <f>IFERROR(VLOOKUP(M562,'02. MM-KLH'!$B$6:$T$823,8,0),"")</f>
        <v>NM NHỰA -XỐP DP</v>
      </c>
      <c r="W562" s="353" t="str">
        <f>IFERROR(VLOOKUP(V562,'NS QUẢN LÝ CG'!$A$4:$D$36,2,0),"")</f>
        <v>Nguyễn Xuân Liêm</v>
      </c>
      <c r="X562" s="353" t="str">
        <f>IFERROR(VLOOKUP(V562,'NS QUẢN LÝ CG'!$A$4:$D$36,4,0),"")</f>
        <v>NM Nhựa</v>
      </c>
      <c r="Y562" s="1104" t="str">
        <f>IFERROR(VLOOKUP(V562,'NS QUẢN LÝ CG'!$A$4:$C$36,3,0),"")</f>
        <v>0762578457</v>
      </c>
      <c r="Z562" s="731">
        <f>IFERROR(VLOOKUP(M562,'02. MM-KLH'!$B$6:$T$823,3,0),"")</f>
        <v>0</v>
      </c>
      <c r="AA562" s="353" t="str">
        <f t="shared" si="39"/>
        <v/>
      </c>
      <c r="AB562" s="731"/>
      <c r="AC562" s="731"/>
    </row>
    <row r="563" ht="13.8" spans="1:29">
      <c r="A563" s="731"/>
      <c r="B563" s="613" t="str">
        <f>IFERROR(VLOOKUP(M563,'02. MM-KLH'!$B$6:$T$823,6,0),"")</f>
        <v>Xe nâng điện 5 tấn</v>
      </c>
      <c r="C563" s="353">
        <v>1</v>
      </c>
      <c r="D563" s="353" t="str">
        <f>IFERROR(VLOOKUP(M563,'02. MM-KLH'!$B$6:$T$823,16,0),"")</f>
        <v>CPD50-GB2LI</v>
      </c>
      <c r="E563" s="353"/>
      <c r="F563" s="353"/>
      <c r="G563" s="353" t="s">
        <v>5978</v>
      </c>
      <c r="H563" s="353">
        <f>IFERROR(VLOOKUP(M563,'02. MM-KLH'!$B$6:$T$823,17,0),"")</f>
        <v>0</v>
      </c>
      <c r="I563" s="763">
        <f>IFERROR(VLOOKUP(M563,'02. MM-KLH'!$B$6:$U$823,20,0),"")</f>
        <v>0</v>
      </c>
      <c r="J563" s="613">
        <f>IFERROR(VLOOKUP(M563,'02. MM-KLH'!$B$6:$T$823,19,0),"")</f>
        <v>0</v>
      </c>
      <c r="K563" s="613" t="str">
        <f>IFERROR(VLOOKUP(M563,'02. MM-KLH'!$B$6:$T$823,18,0),"")</f>
        <v>05050DF9069</v>
      </c>
      <c r="L563" s="353">
        <f>IFERROR(VLOOKUP(M563,'02. MM-KLH'!$B$6:$T$823,4,0),"")</f>
        <v>0</v>
      </c>
      <c r="M563" s="49" t="s">
        <v>2975</v>
      </c>
      <c r="N563" s="356">
        <f>IFERROR(VLOOKUP(M563,'02. MM-KLH'!$B$6:$T$823,15,0),"")</f>
        <v>2021</v>
      </c>
      <c r="O563" s="764">
        <f>IFERROR(VLOOKUP(M563,'02. MM-KLH'!$B$6:$T$823,9,0),"")</f>
        <v>0</v>
      </c>
      <c r="P563" s="353"/>
      <c r="Q563" s="353" t="s">
        <v>1755</v>
      </c>
      <c r="R563" s="353" t="s">
        <v>5978</v>
      </c>
      <c r="S563" s="353"/>
      <c r="T563" s="353"/>
      <c r="U563" s="353" t="str">
        <f>IFERROR(VLOOKUP(M563,'02. MM-KLH'!$B$6:$T$823,5,0),"")</f>
        <v>ĐQSD</v>
      </c>
      <c r="V563" s="731" t="str">
        <f>IFERROR(VLOOKUP(M563,'02. MM-KLH'!$B$6:$T$823,8,0),"")</f>
        <v>NM NHỰA -XỐP DP</v>
      </c>
      <c r="W563" s="353" t="str">
        <f>IFERROR(VLOOKUP(V563,'NS QUẢN LÝ CG'!$A$4:$D$36,2,0),"")</f>
        <v>Nguyễn Xuân Liêm</v>
      </c>
      <c r="X563" s="353" t="str">
        <f>IFERROR(VLOOKUP(V563,'NS QUẢN LÝ CG'!$A$4:$D$36,4,0),"")</f>
        <v>NM Nhựa</v>
      </c>
      <c r="Y563" s="1104" t="str">
        <f>IFERROR(VLOOKUP(V563,'NS QUẢN LÝ CG'!$A$4:$C$36,3,0),"")</f>
        <v>0762578457</v>
      </c>
      <c r="Z563" s="731">
        <f>IFERROR(VLOOKUP(M563,'02. MM-KLH'!$B$6:$T$823,3,0),"")</f>
        <v>0</v>
      </c>
      <c r="AA563" s="353" t="str">
        <f t="shared" si="39"/>
        <v/>
      </c>
      <c r="AB563" s="731"/>
      <c r="AC563" s="731"/>
    </row>
    <row r="564" ht="13.8" spans="1:29">
      <c r="A564" s="731"/>
      <c r="B564" s="613" t="str">
        <f>IFERROR(VLOOKUP(M564,'02. MM-KLH'!$B$6:$T$823,6,0),"")</f>
        <v>Xe nâng điện 1.5 tấn</v>
      </c>
      <c r="C564" s="353">
        <v>1</v>
      </c>
      <c r="D564" s="353" t="str">
        <f>IFERROR(VLOOKUP(M564,'02. MM-KLH'!$B$6:$T$823,16,0),"")</f>
        <v>CPD15</v>
      </c>
      <c r="E564" s="353"/>
      <c r="F564" s="353"/>
      <c r="G564" s="353" t="s">
        <v>5978</v>
      </c>
      <c r="H564" s="353">
        <f>IFERROR(VLOOKUP(M564,'02. MM-KLH'!$B$6:$T$823,17,0),"")</f>
        <v>0</v>
      </c>
      <c r="I564" s="763">
        <f>IFERROR(VLOOKUP(M564,'02. MM-KLH'!$B$6:$U$823,20,0),"")</f>
        <v>0</v>
      </c>
      <c r="J564" s="613">
        <f>IFERROR(VLOOKUP(M564,'02. MM-KLH'!$B$6:$T$823,19,0),"")</f>
        <v>0</v>
      </c>
      <c r="K564" s="613">
        <f>IFERROR(VLOOKUP(M564,'02. MM-KLH'!$B$6:$T$823,18,0),"")</f>
        <v>1501190032</v>
      </c>
      <c r="L564" s="353">
        <f>IFERROR(VLOOKUP(M564,'02. MM-KLH'!$B$6:$T$823,4,0),"")</f>
        <v>0</v>
      </c>
      <c r="M564" s="49" t="s">
        <v>2978</v>
      </c>
      <c r="N564" s="356">
        <f>IFERROR(VLOOKUP(M564,'02. MM-KLH'!$B$6:$T$823,15,0),"")</f>
        <v>2023</v>
      </c>
      <c r="O564" s="764">
        <f>IFERROR(VLOOKUP(M564,'02. MM-KLH'!$B$6:$T$823,9,0),"")</f>
        <v>0</v>
      </c>
      <c r="P564" s="353"/>
      <c r="Q564" s="353" t="s">
        <v>1755</v>
      </c>
      <c r="R564" s="353" t="s">
        <v>5978</v>
      </c>
      <c r="S564" s="353"/>
      <c r="T564" s="353"/>
      <c r="U564" s="353" t="str">
        <f>IFERROR(VLOOKUP(M564,'02. MM-KLH'!$B$6:$T$823,5,0),"")</f>
        <v>ĐQSD</v>
      </c>
      <c r="V564" s="731" t="str">
        <f>IFERROR(VLOOKUP(M564,'02. MM-KLH'!$B$6:$T$823,8,0),"")</f>
        <v>Tổng kho</v>
      </c>
      <c r="W564" s="353" t="str">
        <f>IFERROR(VLOOKUP(V564,'NS QUẢN LÝ CG'!$A$4:$D$36,2,0),"")</f>
        <v>Võ Thanh Hiếu</v>
      </c>
      <c r="X564" s="353" t="str">
        <f>IFERROR(VLOOKUP(V564,'NS QUẢN LÝ CG'!$A$4:$D$36,4,0),"")</f>
        <v>Tổng kho KLH</v>
      </c>
      <c r="Y564" s="1104" t="str">
        <f>IFERROR(VLOOKUP(V564,'NS QUẢN LÝ CG'!$A$4:$C$36,3,0),"")</f>
        <v>0884281479</v>
      </c>
      <c r="Z564" s="731">
        <f>IFERROR(VLOOKUP(M564,'02. MM-KLH'!$B$6:$T$823,3,0),"")</f>
        <v>0</v>
      </c>
      <c r="AA564" s="353" t="str">
        <f t="shared" si="39"/>
        <v/>
      </c>
      <c r="AB564" s="731"/>
      <c r="AC564" s="731"/>
    </row>
    <row r="565" ht="13.8" spans="1:29">
      <c r="A565" s="731"/>
      <c r="B565" s="613" t="str">
        <f>IFERROR(VLOOKUP(M565,'02. MM-KLH'!$B$6:$T$823,6,0),"")</f>
        <v>Xe nâng điện 2.5 tấn</v>
      </c>
      <c r="C565" s="353">
        <v>1</v>
      </c>
      <c r="D565" s="353" t="str">
        <f>IFERROR(VLOOKUP(M565,'02. MM-KLH'!$B$6:$T$823,16,0),"")</f>
        <v>CPD25</v>
      </c>
      <c r="E565" s="353"/>
      <c r="F565" s="353"/>
      <c r="G565" s="353" t="s">
        <v>5978</v>
      </c>
      <c r="H565" s="353">
        <f>IFERROR(VLOOKUP(M565,'02. MM-KLH'!$B$6:$T$823,17,0),"")</f>
        <v>0</v>
      </c>
      <c r="I565" s="763">
        <f>IFERROR(VLOOKUP(M565,'02. MM-KLH'!$B$6:$U$823,20,0),"")</f>
        <v>0</v>
      </c>
      <c r="J565" s="613">
        <f>IFERROR(VLOOKUP(M565,'02. MM-KLH'!$B$6:$T$823,19,0),"")</f>
        <v>0</v>
      </c>
      <c r="K565" s="613" t="str">
        <f>IFERROR(VLOOKUP(M565,'02. MM-KLH'!$B$6:$T$823,18,0),"")</f>
        <v>05025DH3158</v>
      </c>
      <c r="L565" s="353">
        <f>IFERROR(VLOOKUP(M565,'02. MM-KLH'!$B$6:$T$823,4,0),"")</f>
        <v>0</v>
      </c>
      <c r="M565" s="49" t="s">
        <v>2981</v>
      </c>
      <c r="N565" s="356">
        <f>IFERROR(VLOOKUP(M565,'02. MM-KLH'!$B$6:$T$823,15,0),"")</f>
        <v>2023</v>
      </c>
      <c r="O565" s="764">
        <f>IFERROR(VLOOKUP(M565,'02. MM-KLH'!$B$6:$T$823,9,0),"")</f>
        <v>0</v>
      </c>
      <c r="P565" s="353"/>
      <c r="Q565" s="353" t="s">
        <v>1755</v>
      </c>
      <c r="R565" s="353" t="s">
        <v>5978</v>
      </c>
      <c r="S565" s="353"/>
      <c r="T565" s="353"/>
      <c r="U565" s="353" t="str">
        <f>IFERROR(VLOOKUP(M565,'02. MM-KLH'!$B$6:$T$823,5,0),"")</f>
        <v>ĐQSD</v>
      </c>
      <c r="V565" s="731" t="str">
        <f>IFERROR(VLOOKUP(M565,'02. MM-KLH'!$B$6:$T$823,8,0),"")</f>
        <v>Tổng kho</v>
      </c>
      <c r="W565" s="353" t="str">
        <f>IFERROR(VLOOKUP(V565,'NS QUẢN LÝ CG'!$A$4:$D$36,2,0),"")</f>
        <v>Võ Thanh Hiếu</v>
      </c>
      <c r="X565" s="353" t="str">
        <f>IFERROR(VLOOKUP(V565,'NS QUẢN LÝ CG'!$A$4:$D$36,4,0),"")</f>
        <v>Tổng kho KLH</v>
      </c>
      <c r="Y565" s="1104" t="str">
        <f>IFERROR(VLOOKUP(V565,'NS QUẢN LÝ CG'!$A$4:$C$36,3,0),"")</f>
        <v>0884281479</v>
      </c>
      <c r="Z565" s="731">
        <f>IFERROR(VLOOKUP(M565,'02. MM-KLH'!$B$6:$T$823,3,0),"")</f>
        <v>0</v>
      </c>
      <c r="AA565" s="353" t="str">
        <f t="shared" si="39"/>
        <v/>
      </c>
      <c r="AB565" s="731"/>
      <c r="AC565" s="731"/>
    </row>
    <row r="566" ht="13.8" spans="1:29">
      <c r="A566" s="731"/>
      <c r="B566" s="613" t="str">
        <f>IFERROR(VLOOKUP(M566,'02. MM-KLH'!$B$6:$T$823,6,0),"")</f>
        <v>Xe nâng 2.5 tấn</v>
      </c>
      <c r="C566" s="353">
        <v>1</v>
      </c>
      <c r="D566" s="353">
        <f>IFERROR(VLOOKUP(M566,'02. MM-KLH'!$B$6:$T$823,16,0),"")</f>
        <v>0</v>
      </c>
      <c r="E566" s="353"/>
      <c r="F566" s="353"/>
      <c r="G566" s="353"/>
      <c r="H566" s="353">
        <f>IFERROR(VLOOKUP(M566,'02. MM-KLH'!$B$6:$T$823,17,0),"")</f>
        <v>0</v>
      </c>
      <c r="I566" s="763">
        <f>IFERROR(VLOOKUP(M566,'02. MM-KLH'!$B$6:$U$823,20,0),"")</f>
        <v>2</v>
      </c>
      <c r="J566" s="613" t="str">
        <f>IFERROR(VLOOKUP(M566,'02. MM-KLH'!$B$6:$T$823,19,0),"")</f>
        <v>CCN</v>
      </c>
      <c r="K566" s="613" t="str">
        <f>IFERROR(VLOOKUP(M566,'02. MM-KLH'!$B$6:$T$823,18,0),"")</f>
        <v>4TNE98</v>
      </c>
      <c r="L566" s="353">
        <f>IFERROR(VLOOKUP(M566,'02. MM-KLH'!$B$6:$T$823,4,0),"")</f>
        <v>0</v>
      </c>
      <c r="M566" s="49" t="s">
        <v>2686</v>
      </c>
      <c r="N566" s="356">
        <f>IFERROR(VLOOKUP(M566,'02. MM-KLH'!$B$6:$T$823,15,0),"")</f>
        <v>0</v>
      </c>
      <c r="O566" s="764">
        <f>IFERROR(VLOOKUP(M566,'02. MM-KLH'!$B$6:$T$823,9,0),"")</f>
        <v>0</v>
      </c>
      <c r="P566" s="353"/>
      <c r="Q566" s="353" t="s">
        <v>1755</v>
      </c>
      <c r="R566" s="353" t="s">
        <v>5978</v>
      </c>
      <c r="S566" s="353"/>
      <c r="T566" s="353"/>
      <c r="U566" s="353" t="str">
        <f>IFERROR(VLOOKUP(M566,'02. MM-KLH'!$B$6:$T$823,5,0),"")</f>
        <v>ĐQSD</v>
      </c>
      <c r="V566" s="731" t="str">
        <f>IFERROR(VLOOKUP(M566,'02. MM-KLH'!$B$6:$T$823,8,0),"")</f>
        <v>Thagricons</v>
      </c>
      <c r="W566" s="353">
        <f>IFERROR(VLOOKUP(V566,'NS QUẢN LÝ CG'!$A$4:$D$36,2,0),"")</f>
        <v>0</v>
      </c>
      <c r="X566" s="353">
        <f>IFERROR(VLOOKUP(V566,'NS QUẢN LÝ CG'!$A$4:$D$36,4,0),"")</f>
        <v>0</v>
      </c>
      <c r="Y566" s="353">
        <f>IFERROR(VLOOKUP(V566,'NS QUẢN LÝ CG'!$A$4:$C$36,3,0),"")</f>
        <v>0</v>
      </c>
      <c r="Z566" s="731" t="str">
        <f>IFERROR(VLOOKUP(M566,'02. MM-KLH'!$B$6:$T$823,3,0),"")</f>
        <v>A22-XNA-002</v>
      </c>
      <c r="AA566" s="353" t="str">
        <f t="shared" si="39"/>
        <v>ADM</v>
      </c>
      <c r="AB566" s="731"/>
      <c r="AC566" s="731"/>
    </row>
    <row r="567" ht="13.8" spans="1:29">
      <c r="A567" s="731"/>
      <c r="B567" s="613" t="str">
        <f>IFERROR(VLOOKUP(M567,'02. MM-KLH'!$B$6:$T$823,6,0),"")</f>
        <v/>
      </c>
      <c r="C567" s="353"/>
      <c r="D567" s="353" t="str">
        <f>IFERROR(VLOOKUP(M567,'02. MM-KLH'!$B$6:$T$823,16,0),"")</f>
        <v/>
      </c>
      <c r="E567" s="353"/>
      <c r="F567" s="353"/>
      <c r="G567" s="353"/>
      <c r="H567" s="353" t="str">
        <f>IFERROR(VLOOKUP(M567,'02. MM-KLH'!$B$6:$T$823,17,0),"")</f>
        <v/>
      </c>
      <c r="I567" s="763" t="str">
        <f>IFERROR(VLOOKUP(M567,'02. MM-KLH'!$B$6:$U$823,20,0),"")</f>
        <v/>
      </c>
      <c r="J567" s="613" t="str">
        <f>IFERROR(VLOOKUP(M567,'02. MM-KLH'!$B$6:$T$823,19,0),"")</f>
        <v/>
      </c>
      <c r="K567" s="613" t="str">
        <f>IFERROR(VLOOKUP(M567,'02. MM-KLH'!$B$6:$T$823,18,0),"")</f>
        <v/>
      </c>
      <c r="L567" s="353" t="str">
        <f>IFERROR(VLOOKUP(M567,'02. MM-KLH'!$B$6:$T$823,4,0),"")</f>
        <v/>
      </c>
      <c r="M567" s="49"/>
      <c r="N567" s="356" t="str">
        <f>IFERROR(VLOOKUP(M567,'02. MM-KLH'!$B$6:$T$823,15,0),"")</f>
        <v/>
      </c>
      <c r="O567" s="764" t="str">
        <f>IFERROR(VLOOKUP(M567,'02. MM-KLH'!$B$6:$T$823,9,0),"")</f>
        <v/>
      </c>
      <c r="P567" s="353"/>
      <c r="Q567" s="353"/>
      <c r="R567" s="353"/>
      <c r="S567" s="353"/>
      <c r="T567" s="353"/>
      <c r="U567" s="353" t="str">
        <f>IFERROR(VLOOKUP(M567,'02. MM-KLH'!$B$6:$T$823,2,0),"")</f>
        <v/>
      </c>
      <c r="V567" s="731" t="str">
        <f>IFERROR(VLOOKUP(M567,'02. MM-KLH'!$B$6:$T$823,8,0),"")</f>
        <v/>
      </c>
      <c r="W567" s="353" t="str">
        <f>IFERROR(VLOOKUP(V567,'NS QUẢN LÝ CG'!$A$4:$D$36,2,0),"")</f>
        <v/>
      </c>
      <c r="X567" s="353" t="str">
        <f>IFERROR(VLOOKUP(V567,'NS QUẢN LÝ CG'!$A$4:$D$36,4,0),"")</f>
        <v/>
      </c>
      <c r="Y567" s="353"/>
      <c r="Z567" s="731" t="str">
        <f>IFERROR(VLOOKUP(M567,'02. MM-KLH'!$B$6:$T$823,3,0),"")</f>
        <v/>
      </c>
      <c r="AA567" s="353"/>
      <c r="AB567" s="731"/>
      <c r="AC567" s="731"/>
    </row>
    <row r="568" ht="13.8" spans="1:29">
      <c r="A568" s="754">
        <v>3</v>
      </c>
      <c r="B568" s="755" t="s">
        <v>480</v>
      </c>
      <c r="C568" s="754">
        <f>COUNTA(B569:B578)</f>
        <v>10</v>
      </c>
      <c r="D568" s="756" t="str">
        <f>IFERROR(VLOOKUP(M568,'02. MM-KLH'!$B$6:$T$823,16,0),"")</f>
        <v/>
      </c>
      <c r="E568" s="756"/>
      <c r="F568" s="756"/>
      <c r="G568" s="756"/>
      <c r="H568" s="762" t="str">
        <f>IFERROR(VLOOKUP(M568,'02. MM-KLH'!$B$6:$T$823,17,0),"")</f>
        <v/>
      </c>
      <c r="I568" s="762" t="str">
        <f>IFERROR(VLOOKUP(M568,'02. MM-KLH'!$B$6:$U$823,20,0),"")</f>
        <v/>
      </c>
      <c r="J568" s="758" t="str">
        <f>IFERROR(VLOOKUP(M568,'02. MM-KLH'!$B$6:$T$823,19,0),"")</f>
        <v/>
      </c>
      <c r="K568" s="758" t="str">
        <f>IFERROR(VLOOKUP(M568,'02. MM-KLH'!$B$6:$T$823,18,0),"")</f>
        <v/>
      </c>
      <c r="L568" s="756" t="str">
        <f>IFERROR(VLOOKUP(M568,'02. MM-KLH'!$B$6:$T$823,4,0),"")</f>
        <v/>
      </c>
      <c r="M568" s="756"/>
      <c r="N568" s="756" t="str">
        <f>IFERROR(VLOOKUP(M568,'02. MM-KLH'!$B$6:$T$823,15,0),"")</f>
        <v/>
      </c>
      <c r="O568" s="760" t="str">
        <f>IFERROR(VLOOKUP(M568,'02. MM-KLH'!$B$6:$T$823,9,0),"")</f>
        <v/>
      </c>
      <c r="P568" s="756"/>
      <c r="Q568" s="756"/>
      <c r="R568" s="756"/>
      <c r="S568" s="756"/>
      <c r="T568" s="756"/>
      <c r="U568" s="756" t="str">
        <f>IFERROR(VLOOKUP(M568,'02. MM-KLH'!$B$6:$T$823,2,0),"")</f>
        <v/>
      </c>
      <c r="V568" s="762" t="str">
        <f>IFERROR(VLOOKUP(M568,'02. MM-KLH'!$B$6:$T$823,8,0),"")</f>
        <v/>
      </c>
      <c r="W568" s="756"/>
      <c r="X568" s="756"/>
      <c r="Y568" s="756"/>
      <c r="Z568" s="762" t="str">
        <f>IFERROR(VLOOKUP(M568,'02. MM-KLH'!$B$6:$T$823,3,0),"")</f>
        <v/>
      </c>
      <c r="AA568" s="756"/>
      <c r="AB568" s="762"/>
      <c r="AC568" s="762"/>
    </row>
    <row r="569" ht="13.8" spans="1:29">
      <c r="A569" s="731"/>
      <c r="B569" s="613" t="str">
        <f>IFERROR(VLOOKUP(M569,'02. MM-KLH'!$B$6:$T$823,6,0),"")</f>
        <v>Xe nâng điện 1.5 tấn</v>
      </c>
      <c r="C569" s="353">
        <v>1</v>
      </c>
      <c r="D569" s="353" t="str">
        <f>IFERROR(VLOOKUP(M569,'02. MM-KLH'!$B$6:$T$823,16,0),"")</f>
        <v>FB15EX-11</v>
      </c>
      <c r="E569" s="353"/>
      <c r="F569" s="353"/>
      <c r="G569" s="353" t="s">
        <v>5978</v>
      </c>
      <c r="H569" s="353">
        <f>IFERROR(VLOOKUP(M569,'02. MM-KLH'!$B$6:$T$823,17,0),"")</f>
        <v>0</v>
      </c>
      <c r="I569" s="763">
        <f>IFERROR(VLOOKUP(M569,'02. MM-KLH'!$B$6:$U$823,20,0),"")</f>
        <v>0</v>
      </c>
      <c r="J569" s="613">
        <f>IFERROR(VLOOKUP(M569,'02. MM-KLH'!$B$6:$T$823,19,0),"")</f>
        <v>39630</v>
      </c>
      <c r="K569" s="613">
        <f>IFERROR(VLOOKUP(M569,'02. MM-KLH'!$B$6:$T$823,18,0),"")</f>
        <v>809168</v>
      </c>
      <c r="L569" s="353">
        <f>IFERROR(VLOOKUP(M569,'02. MM-KLH'!$B$6:$T$823,4,0),"")</f>
        <v>0</v>
      </c>
      <c r="M569" s="49" t="s">
        <v>1385</v>
      </c>
      <c r="N569" s="356">
        <f>IFERROR(VLOOKUP(M569,'02. MM-KLH'!$B$6:$T$823,15,0),"")</f>
        <v>2008</v>
      </c>
      <c r="O569" s="764">
        <f>IFERROR(VLOOKUP(M569,'02. MM-KLH'!$B$6:$T$823,9,0),"")</f>
        <v>0</v>
      </c>
      <c r="P569" s="353"/>
      <c r="Q569" s="353" t="s">
        <v>1755</v>
      </c>
      <c r="R569" s="353"/>
      <c r="S569" s="353"/>
      <c r="T569" s="353" t="s">
        <v>5978</v>
      </c>
      <c r="U569" s="353" t="str">
        <f>IFERROR(VLOOKUP(M569,'02. MM-KLH'!$B$6:$T$823,5,0),"")</f>
        <v>MỚI</v>
      </c>
      <c r="V569" s="731" t="str">
        <f>IFERROR(VLOOKUP(M569,'02. MM-KLH'!$B$6:$T$823,8,0),"")</f>
        <v>XN Chuối DP3</v>
      </c>
      <c r="W569" s="353" t="str">
        <f>IFERROR(VLOOKUP(V569,'NS QUẢN LÝ CG'!$A$4:$D$36,2,0),"")</f>
        <v/>
      </c>
      <c r="X569" s="353" t="str">
        <f>IFERROR(VLOOKUP(V569,'NS QUẢN LÝ CG'!$A$4:$D$36,4,0),"")</f>
        <v/>
      </c>
      <c r="Y569" s="353" t="str">
        <f>IFERROR(VLOOKUP(V569,'NS QUẢN LÝ CG'!$A$4:$C$36,3,0),"")</f>
        <v/>
      </c>
      <c r="Z569" s="731" t="str">
        <f>IFERROR(VLOOKUP(M569,'02. MM-KLH'!$B$6:$T$823,3,0),"")</f>
        <v>ATT-A23-0044</v>
      </c>
      <c r="AA569" s="353" t="s">
        <v>5979</v>
      </c>
      <c r="AB569" s="731"/>
      <c r="AC569" s="731"/>
    </row>
    <row r="570" ht="13.8" spans="1:29">
      <c r="A570" s="731"/>
      <c r="B570" s="613" t="str">
        <f>IFERROR(VLOOKUP(M570,'02. MM-KLH'!$B$6:$T$823,6,0),"")</f>
        <v>Xe nâng điện 1.5 tấn</v>
      </c>
      <c r="C570" s="353">
        <v>1</v>
      </c>
      <c r="D570" s="353" t="str">
        <f>IFERROR(VLOOKUP(M570,'02. MM-KLH'!$B$6:$T$823,16,0),"")</f>
        <v>FB15-12</v>
      </c>
      <c r="E570" s="353"/>
      <c r="F570" s="353"/>
      <c r="G570" s="353" t="s">
        <v>5978</v>
      </c>
      <c r="H570" s="353">
        <f>IFERROR(VLOOKUP(M570,'02. MM-KLH'!$B$6:$T$823,17,0),"")</f>
        <v>0</v>
      </c>
      <c r="I570" s="763">
        <f>IFERROR(VLOOKUP(M570,'02. MM-KLH'!$B$6:$U$823,20,0),"")</f>
        <v>0</v>
      </c>
      <c r="J570" s="613">
        <f>IFERROR(VLOOKUP(M570,'02. MM-KLH'!$B$6:$T$823,19,0),"")</f>
        <v>39114</v>
      </c>
      <c r="K570" s="613">
        <f>IFERROR(VLOOKUP(M570,'02. MM-KLH'!$B$6:$T$823,18,0),"")</f>
        <v>830261</v>
      </c>
      <c r="L570" s="353">
        <f>IFERROR(VLOOKUP(M570,'02. MM-KLH'!$B$6:$T$823,4,0),"")</f>
        <v>0</v>
      </c>
      <c r="M570" s="49" t="s">
        <v>1686</v>
      </c>
      <c r="N570" s="356">
        <f>IFERROR(VLOOKUP(M570,'02. MM-KLH'!$B$6:$T$823,15,0),"")</f>
        <v>2007</v>
      </c>
      <c r="O570" s="764">
        <f>IFERROR(VLOOKUP(M570,'02. MM-KLH'!$B$6:$T$823,9,0),"")</f>
        <v>0</v>
      </c>
      <c r="P570" s="353"/>
      <c r="Q570" s="353" t="s">
        <v>1755</v>
      </c>
      <c r="R570" s="353" t="s">
        <v>5978</v>
      </c>
      <c r="S570" s="353"/>
      <c r="T570" s="353"/>
      <c r="U570" s="353" t="str">
        <f>IFERROR(VLOOKUP(M570,'02. MM-KLH'!$B$6:$T$823,5,0),"")</f>
        <v>ĐQSD</v>
      </c>
      <c r="V570" s="731" t="str">
        <f>IFERROR(VLOOKUP(M570,'02. MM-KLH'!$B$6:$T$823,8,0),"")</f>
        <v>XN Chuối LP3</v>
      </c>
      <c r="W570" s="353" t="str">
        <f>IFERROR(VLOOKUP(V570,'NS QUẢN LÝ CG'!$A$4:$D$36,2,0),"")</f>
        <v/>
      </c>
      <c r="X570" s="353" t="str">
        <f>IFERROR(VLOOKUP(V570,'NS QUẢN LÝ CG'!$A$4:$D$36,4,0),"")</f>
        <v/>
      </c>
      <c r="Y570" s="353" t="str">
        <f>IFERROR(VLOOKUP(V570,'NS QUẢN LÝ CG'!$A$4:$C$36,3,0),"")</f>
        <v/>
      </c>
      <c r="Z570" s="731" t="str">
        <f>IFERROR(VLOOKUP(M570,'02. MM-KLH'!$B$6:$T$823,3,0),"")</f>
        <v>A24-XNA-001</v>
      </c>
      <c r="AA570" s="353" t="str">
        <f>_xlfn.SWITCH(LEFT(Z570,3),"A22","ADM","A23","DP","A24","LP","")</f>
        <v>LP</v>
      </c>
      <c r="AB570" s="731"/>
      <c r="AC570" s="731"/>
    </row>
    <row r="571" ht="13.8" spans="1:29">
      <c r="A571" s="731"/>
      <c r="B571" s="613" t="str">
        <f>IFERROR(VLOOKUP(M571,'02. MM-KLH'!$B$6:$T$823,6,0),"")</f>
        <v>Xe nâng điện 1.5 tấn</v>
      </c>
      <c r="C571" s="353">
        <v>1</v>
      </c>
      <c r="D571" s="353" t="str">
        <f>IFERROR(VLOOKUP(M571,'02. MM-KLH'!$B$6:$T$823,16,0),"")</f>
        <v>FB15HB-12</v>
      </c>
      <c r="E571" s="353"/>
      <c r="F571" s="353"/>
      <c r="G571" s="353" t="s">
        <v>5978</v>
      </c>
      <c r="H571" s="353" t="str">
        <f>IFERROR(VLOOKUP(M571,'02. MM-KLH'!$B$6:$T$823,17,0),"")</f>
        <v>48V/280AH</v>
      </c>
      <c r="I571" s="763">
        <f>IFERROR(VLOOKUP(M571,'02. MM-KLH'!$B$6:$U$823,20,0),"")</f>
        <v>0</v>
      </c>
      <c r="J571" s="613" t="str">
        <f>IFERROR(VLOOKUP(M571,'02. MM-KLH'!$B$6:$T$823,19,0),"")</f>
        <v>2C09/11</v>
      </c>
      <c r="K571" s="613">
        <f>IFERROR(VLOOKUP(M571,'02. MM-KLH'!$B$6:$T$823,18,0),"")</f>
        <v>838092</v>
      </c>
      <c r="L571" s="353">
        <f>IFERROR(VLOOKUP(M571,'02. MM-KLH'!$B$6:$T$823,4,0),"")</f>
        <v>0</v>
      </c>
      <c r="M571" s="49" t="s">
        <v>2141</v>
      </c>
      <c r="N571" s="356">
        <f>IFERROR(VLOOKUP(M571,'02. MM-KLH'!$B$6:$T$823,15,0),"")</f>
        <v>2015</v>
      </c>
      <c r="O571" s="764">
        <f>IFERROR(VLOOKUP(M571,'02. MM-KLH'!$B$6:$T$823,9,0),"")</f>
        <v>0</v>
      </c>
      <c r="P571" s="353"/>
      <c r="Q571" s="353" t="s">
        <v>1755</v>
      </c>
      <c r="R571" s="353"/>
      <c r="S571" s="353" t="s">
        <v>5978</v>
      </c>
      <c r="T571" s="353"/>
      <c r="U571" s="353" t="str">
        <f>IFERROR(VLOOKUP(M571,'02. MM-KLH'!$B$6:$T$823,5,0),"")</f>
        <v>ĐQSD</v>
      </c>
      <c r="V571" s="731" t="str">
        <f>IFERROR(VLOOKUP(M571,'02. MM-KLH'!$B$6:$T$823,8,0),"")</f>
        <v>XN Bò AD</v>
      </c>
      <c r="W571" s="353" t="str">
        <f>IFERROR(VLOOKUP(V571,'NS QUẢN LÝ CG'!$A$4:$D$36,2,0),"")</f>
        <v/>
      </c>
      <c r="X571" s="353" t="str">
        <f>IFERROR(VLOOKUP(V571,'NS QUẢN LÝ CG'!$A$4:$D$36,4,0),"")</f>
        <v/>
      </c>
      <c r="Y571" s="353" t="str">
        <f>IFERROR(VLOOKUP(V571,'NS QUẢN LÝ CG'!$A$4:$C$36,3,0),"")</f>
        <v/>
      </c>
      <c r="Z571" s="731" t="str">
        <f>IFERROR(VLOOKUP(M571,'02. MM-KLH'!$B$6:$T$823,3,0),"")</f>
        <v>ATT-A22-0055</v>
      </c>
      <c r="AA571" s="353" t="s">
        <v>5980</v>
      </c>
      <c r="AB571" s="731"/>
      <c r="AC571" s="731"/>
    </row>
    <row r="572" ht="13.8" spans="1:29">
      <c r="A572" s="731"/>
      <c r="B572" s="613" t="str">
        <f>IFERROR(VLOOKUP(M572,'02. MM-KLH'!$B$6:$T$823,6,0),"")</f>
        <v>Xe nâng 3 tấn</v>
      </c>
      <c r="C572" s="353">
        <v>1</v>
      </c>
      <c r="D572" s="353" t="str">
        <f>IFERROR(VLOOKUP(M572,'02. MM-KLH'!$B$6:$T$823,16,0),"")</f>
        <v>FD30T-17</v>
      </c>
      <c r="E572" s="353"/>
      <c r="F572" s="353"/>
      <c r="G572" s="353" t="s">
        <v>5978</v>
      </c>
      <c r="H572" s="353" t="str">
        <f>IFERROR(VLOOKUP(M572,'02. MM-KLH'!$B$6:$T$823,17,0),"")</f>
        <v>30HP</v>
      </c>
      <c r="I572" s="763">
        <f>IFERROR(VLOOKUP(M572,'02. MM-KLH'!$B$6:$U$823,20,0),"")</f>
        <v>2</v>
      </c>
      <c r="J572" s="613" t="str">
        <f>IFERROR(VLOOKUP(M572,'02. MM-KLH'!$B$6:$T$823,19,0),"")</f>
        <v>CCN</v>
      </c>
      <c r="K572" s="613">
        <f>IFERROR(VLOOKUP(M572,'02. MM-KLH'!$B$6:$T$823,18,0),"")</f>
        <v>308754</v>
      </c>
      <c r="L572" s="353">
        <f>IFERROR(VLOOKUP(M572,'02. MM-KLH'!$B$6:$T$823,4,0),"")</f>
        <v>0</v>
      </c>
      <c r="M572" s="49" t="s">
        <v>2145</v>
      </c>
      <c r="N572" s="356">
        <f>IFERROR(VLOOKUP(M572,'02. MM-KLH'!$B$6:$T$823,15,0),"")</f>
        <v>2018</v>
      </c>
      <c r="O572" s="764" t="str">
        <f>IFERROR(VLOOKUP(M572,'02. MM-KLH'!$B$6:$T$823,9,0),"")</f>
        <v>15/12/2023</v>
      </c>
      <c r="P572" s="353"/>
      <c r="Q572" s="353" t="s">
        <v>1755</v>
      </c>
      <c r="R572" s="353" t="s">
        <v>5978</v>
      </c>
      <c r="S572" s="353"/>
      <c r="T572" s="353"/>
      <c r="U572" s="353" t="str">
        <f>IFERROR(VLOOKUP(M572,'02. MM-KLH'!$B$6:$T$823,5,0),"")</f>
        <v>ĐQSD</v>
      </c>
      <c r="V572" s="731" t="str">
        <f>IFERROR(VLOOKUP(M572,'02. MM-KLH'!$B$6:$T$823,8,0),"")</f>
        <v>XN Bò AD</v>
      </c>
      <c r="W572" s="353" t="str">
        <f>IFERROR(VLOOKUP(V572,'NS QUẢN LÝ CG'!$A$4:$D$36,2,0),"")</f>
        <v/>
      </c>
      <c r="X572" s="353" t="str">
        <f>IFERROR(VLOOKUP(V572,'NS QUẢN LÝ CG'!$A$4:$D$36,4,0),"")</f>
        <v/>
      </c>
      <c r="Y572" s="353" t="str">
        <f>IFERROR(VLOOKUP(V572,'NS QUẢN LÝ CG'!$A$4:$C$36,3,0),"")</f>
        <v/>
      </c>
      <c r="Z572" s="731" t="str">
        <f>IFERROR(VLOOKUP(M572,'02. MM-KLH'!$B$6:$T$823,3,0),"")</f>
        <v>ATT-A22-0305</v>
      </c>
      <c r="AA572" s="353" t="s">
        <v>5980</v>
      </c>
      <c r="AB572" s="731"/>
      <c r="AC572" s="731"/>
    </row>
    <row r="573" ht="13.8" spans="1:29">
      <c r="A573" s="731"/>
      <c r="B573" s="613" t="str">
        <f>IFERROR(VLOOKUP(M573,'02. MM-KLH'!$B$6:$T$823,6,0),"")</f>
        <v>Xe nâng điện 2.5 tấn</v>
      </c>
      <c r="C573" s="353">
        <v>1</v>
      </c>
      <c r="D573" s="353" t="str">
        <f>IFERROR(VLOOKUP(M573,'02. MM-KLH'!$B$6:$T$823,16,0),"")</f>
        <v>CP-CY25DC1B</v>
      </c>
      <c r="E573" s="353"/>
      <c r="F573" s="353"/>
      <c r="G573" s="353" t="s">
        <v>5978</v>
      </c>
      <c r="H573" s="353" t="str">
        <f>IFERROR(VLOOKUP(M573,'02. MM-KLH'!$B$6:$T$823,17,0),"")</f>
        <v>-</v>
      </c>
      <c r="I573" s="763">
        <f>IFERROR(VLOOKUP(M573,'02. MM-KLH'!$B$6:$U$823,20,0),"")</f>
        <v>0</v>
      </c>
      <c r="J573" s="613" t="str">
        <f>IFERROR(VLOOKUP(M573,'02. MM-KLH'!$B$6:$T$823,19,0),"")</f>
        <v>CCN</v>
      </c>
      <c r="K573" s="613">
        <f>IFERROR(VLOOKUP(M573,'02. MM-KLH'!$B$6:$T$823,18,0),"")</f>
        <v>806003</v>
      </c>
      <c r="L573" s="353">
        <f>IFERROR(VLOOKUP(M573,'02. MM-KLH'!$B$6:$T$823,4,0),"")</f>
        <v>0</v>
      </c>
      <c r="M573" s="49" t="s">
        <v>2148</v>
      </c>
      <c r="N573" s="356">
        <f>IFERROR(VLOOKUP(M573,'02. MM-KLH'!$B$6:$T$823,15,0),"")</f>
        <v>0</v>
      </c>
      <c r="O573" s="764">
        <f>IFERROR(VLOOKUP(M573,'02. MM-KLH'!$B$6:$T$823,9,0),"")</f>
        <v>0</v>
      </c>
      <c r="P573" s="353"/>
      <c r="Q573" s="353" t="s">
        <v>1755</v>
      </c>
      <c r="R573" s="353"/>
      <c r="S573" s="353" t="s">
        <v>5978</v>
      </c>
      <c r="T573" s="353"/>
      <c r="U573" s="353" t="str">
        <f>IFERROR(VLOOKUP(M573,'02. MM-KLH'!$B$6:$T$823,5,0),"")</f>
        <v>ĐQSD</v>
      </c>
      <c r="V573" s="731" t="str">
        <f>IFERROR(VLOOKUP(M573,'02. MM-KLH'!$B$6:$T$823,8,0),"")</f>
        <v>XN Bò AD</v>
      </c>
      <c r="W573" s="353" t="str">
        <f>IFERROR(VLOOKUP(V573,'NS QUẢN LÝ CG'!$A$4:$D$36,2,0),"")</f>
        <v/>
      </c>
      <c r="X573" s="353" t="str">
        <f>IFERROR(VLOOKUP(V573,'NS QUẢN LÝ CG'!$A$4:$D$36,4,0),"")</f>
        <v/>
      </c>
      <c r="Y573" s="353" t="str">
        <f>IFERROR(VLOOKUP(V573,'NS QUẢN LÝ CG'!$A$4:$C$36,3,0),"")</f>
        <v/>
      </c>
      <c r="Z573" s="731" t="str">
        <f>IFERROR(VLOOKUP(M573,'02. MM-KLH'!$B$6:$T$823,3,0),"")</f>
        <v>ATT-A22-0055</v>
      </c>
      <c r="AA573" s="353" t="s">
        <v>5980</v>
      </c>
      <c r="AB573" s="731"/>
      <c r="AC573" s="731"/>
    </row>
    <row r="574" ht="13.8" spans="1:29">
      <c r="A574" s="731"/>
      <c r="B574" s="613" t="str">
        <f>IFERROR(VLOOKUP(M574,'02. MM-KLH'!$B$6:$T$823,6,0),"")</f>
        <v>Xe nâng dầu KOMATSU 3.5 tấn</v>
      </c>
      <c r="C574" s="353">
        <v>1</v>
      </c>
      <c r="D574" s="353" t="str">
        <f>IFERROR(VLOOKUP(M574,'02. MM-KLH'!$B$6:$T$823,16,0),"")</f>
        <v>FH35-1</v>
      </c>
      <c r="E574" s="353"/>
      <c r="F574" s="353"/>
      <c r="G574" s="353" t="s">
        <v>5978</v>
      </c>
      <c r="H574" s="353" t="str">
        <f>IFERROR(VLOOKUP(M574,'02. MM-KLH'!$B$6:$T$823,17,0),"")</f>
        <v>70 HP</v>
      </c>
      <c r="I574" s="763">
        <f>IFERROR(VLOOKUP(M574,'02. MM-KLH'!$B$6:$U$823,20,0),"")</f>
        <v>4</v>
      </c>
      <c r="J574" s="613" t="str">
        <f>IFERROR(VLOOKUP(M574,'02. MM-KLH'!$B$6:$T$823,19,0),"")</f>
        <v>CCN</v>
      </c>
      <c r="K574" s="613">
        <f>IFERROR(VLOOKUP(M574,'02. MM-KLH'!$B$6:$T$823,18,0),"")</f>
        <v>38377</v>
      </c>
      <c r="L574" s="353">
        <f>IFERROR(VLOOKUP(M574,'02. MM-KLH'!$B$6:$T$823,4,0),"")</f>
        <v>0</v>
      </c>
      <c r="M574" s="49" t="s">
        <v>2150</v>
      </c>
      <c r="N574" s="356">
        <f>IFERROR(VLOOKUP(M574,'02. MM-KLH'!$B$6:$T$823,15,0),"")</f>
        <v>2013</v>
      </c>
      <c r="O574" s="764" t="str">
        <f>IFERROR(VLOOKUP(M574,'02. MM-KLH'!$B$6:$T$823,9,0),"")</f>
        <v>17/01/2025</v>
      </c>
      <c r="P574" s="353"/>
      <c r="Q574" s="353" t="s">
        <v>1755</v>
      </c>
      <c r="R574" s="353" t="s">
        <v>5978</v>
      </c>
      <c r="S574" s="353"/>
      <c r="T574" s="353"/>
      <c r="U574" s="353" t="str">
        <f>IFERROR(VLOOKUP(M574,'02. MM-KLH'!$B$6:$T$823,5,0),"")</f>
        <v>ĐQSD</v>
      </c>
      <c r="V574" s="731" t="str">
        <f>IFERROR(VLOOKUP(M574,'02. MM-KLH'!$B$6:$T$823,8,0),"")</f>
        <v>XN Bò AD</v>
      </c>
      <c r="W574" s="353" t="str">
        <f>IFERROR(VLOOKUP(V574,'NS QUẢN LÝ CG'!$A$4:$D$36,2,0),"")</f>
        <v/>
      </c>
      <c r="X574" s="353" t="str">
        <f>IFERROR(VLOOKUP(V574,'NS QUẢN LÝ CG'!$A$4:$D$36,4,0),"")</f>
        <v/>
      </c>
      <c r="Y574" s="353" t="str">
        <f>IFERROR(VLOOKUP(V574,'NS QUẢN LÝ CG'!$A$4:$C$36,3,0),"")</f>
        <v/>
      </c>
      <c r="Z574" s="731" t="str">
        <f>IFERROR(VLOOKUP(M574,'02. MM-KLH'!$B$6:$T$823,3,0),"")</f>
        <v>A22-XNA-004</v>
      </c>
      <c r="AA574" s="353" t="str">
        <f>_xlfn.SWITCH(LEFT(Z574,3),"A22","ADM","A23","DP","A24","LP","")</f>
        <v>ADM</v>
      </c>
      <c r="AB574" s="731"/>
      <c r="AC574" s="731"/>
    </row>
    <row r="575" ht="13.8" spans="1:29">
      <c r="A575" s="731"/>
      <c r="B575" s="613" t="str">
        <f>IFERROR(VLOOKUP(M575,'02. MM-KLH'!$B$6:$T$823,6,0),"")</f>
        <v>Xe nâng điện 1.5 tấn</v>
      </c>
      <c r="C575" s="353">
        <v>1</v>
      </c>
      <c r="D575" s="353" t="str">
        <f>IFERROR(VLOOKUP(M575,'02. MM-KLH'!$B$6:$T$823,16,0),"")</f>
        <v>FB15EX-11</v>
      </c>
      <c r="E575" s="353"/>
      <c r="F575" s="353"/>
      <c r="G575" s="353" t="s">
        <v>5978</v>
      </c>
      <c r="H575" s="353">
        <f>IFERROR(VLOOKUP(M575,'02. MM-KLH'!$B$6:$T$823,17,0),"")</f>
        <v>0</v>
      </c>
      <c r="I575" s="763">
        <f>IFERROR(VLOOKUP(M575,'02. MM-KLH'!$B$6:$U$823,20,0),"")</f>
        <v>0</v>
      </c>
      <c r="J575" s="613">
        <f>IFERROR(VLOOKUP(M575,'02. MM-KLH'!$B$6:$T$823,19,0),"")</f>
        <v>0</v>
      </c>
      <c r="K575" s="613">
        <f>IFERROR(VLOOKUP(M575,'02. MM-KLH'!$B$6:$T$823,18,0),"")</f>
        <v>809168</v>
      </c>
      <c r="L575" s="353">
        <f>IFERROR(VLOOKUP(M575,'02. MM-KLH'!$B$6:$T$823,4,0),"")</f>
        <v>0</v>
      </c>
      <c r="M575" s="49" t="s">
        <v>2992</v>
      </c>
      <c r="N575" s="356">
        <f>IFERROR(VLOOKUP(M575,'02. MM-KLH'!$B$6:$T$823,15,0),"")</f>
        <v>2007</v>
      </c>
      <c r="O575" s="764">
        <f>IFERROR(VLOOKUP(M575,'02. MM-KLH'!$B$6:$T$823,9,0),"")</f>
        <v>0</v>
      </c>
      <c r="P575" s="353"/>
      <c r="Q575" s="353" t="s">
        <v>1755</v>
      </c>
      <c r="R575" s="353" t="s">
        <v>5978</v>
      </c>
      <c r="S575" s="353"/>
      <c r="T575" s="353"/>
      <c r="U575" s="353" t="str">
        <f>IFERROR(VLOOKUP(M575,'02. MM-KLH'!$B$6:$T$823,5,0),"")</f>
        <v>ĐQSD</v>
      </c>
      <c r="V575" s="731" t="str">
        <f>IFERROR(VLOOKUP(M575,'02. MM-KLH'!$B$6:$T$823,8,0),"")</f>
        <v>Tổng kho</v>
      </c>
      <c r="W575" s="353" t="str">
        <f>IFERROR(VLOOKUP(V575,'NS QUẢN LÝ CG'!$A$4:$D$36,2,0),"")</f>
        <v>Võ Thanh Hiếu</v>
      </c>
      <c r="X575" s="353" t="str">
        <f>IFERROR(VLOOKUP(V575,'NS QUẢN LÝ CG'!$A$4:$D$36,4,0),"")</f>
        <v>Tổng kho KLH</v>
      </c>
      <c r="Y575" s="1104" t="str">
        <f>IFERROR(VLOOKUP(V575,'NS QUẢN LÝ CG'!$A$4:$C$36,3,0),"")</f>
        <v>0884281479</v>
      </c>
      <c r="Z575" s="731">
        <f>IFERROR(VLOOKUP(M575,'02. MM-KLH'!$B$6:$T$823,3,0),"")</f>
        <v>0</v>
      </c>
      <c r="AA575" s="353"/>
      <c r="AB575" s="731"/>
      <c r="AC575" s="731"/>
    </row>
    <row r="576" ht="13.8" spans="1:29">
      <c r="A576" s="731"/>
      <c r="B576" s="613" t="str">
        <f>IFERROR(VLOOKUP(M576,'02. MM-KLH'!$B$6:$T$823,6,0),"")</f>
        <v>Xe nâng điện 1.5 tấn</v>
      </c>
      <c r="C576" s="353">
        <v>1</v>
      </c>
      <c r="D576" s="353" t="str">
        <f>IFERROR(VLOOKUP(M576,'02. MM-KLH'!$B$6:$T$823,16,0),"")</f>
        <v>FB15HB-12</v>
      </c>
      <c r="E576" s="353"/>
      <c r="F576" s="353"/>
      <c r="G576" s="353" t="s">
        <v>5978</v>
      </c>
      <c r="H576" s="353">
        <f>IFERROR(VLOOKUP(M576,'02. MM-KLH'!$B$6:$T$823,17,0),"")</f>
        <v>0</v>
      </c>
      <c r="I576" s="763">
        <f>IFERROR(VLOOKUP(M576,'02. MM-KLH'!$B$6:$U$823,20,0),"")</f>
        <v>0</v>
      </c>
      <c r="J576" s="613">
        <f>IFERROR(VLOOKUP(M576,'02. MM-KLH'!$B$6:$T$823,19,0),"")</f>
        <v>0</v>
      </c>
      <c r="K576" s="613">
        <f>IFERROR(VLOOKUP(M576,'02. MM-KLH'!$B$6:$T$823,18,0),"")</f>
        <v>841392</v>
      </c>
      <c r="L576" s="353">
        <f>IFERROR(VLOOKUP(M576,'02. MM-KLH'!$B$6:$T$823,4,0),"")</f>
        <v>0</v>
      </c>
      <c r="M576" s="49" t="s">
        <v>2993</v>
      </c>
      <c r="N576" s="356">
        <f>IFERROR(VLOOKUP(M576,'02. MM-KLH'!$B$6:$T$823,15,0),"")</f>
        <v>2017</v>
      </c>
      <c r="O576" s="764">
        <f>IFERROR(VLOOKUP(M576,'02. MM-KLH'!$B$6:$T$823,9,0),"")</f>
        <v>0</v>
      </c>
      <c r="P576" s="353"/>
      <c r="Q576" s="353" t="s">
        <v>1755</v>
      </c>
      <c r="R576" s="353" t="s">
        <v>5978</v>
      </c>
      <c r="S576" s="353"/>
      <c r="T576" s="353"/>
      <c r="U576" s="353" t="str">
        <f>IFERROR(VLOOKUP(M576,'02. MM-KLH'!$B$6:$T$823,5,0),"")</f>
        <v>ĐQSD</v>
      </c>
      <c r="V576" s="731" t="str">
        <f>IFERROR(VLOOKUP(M576,'02. MM-KLH'!$B$6:$T$823,8,0),"")</f>
        <v>Tổng kho</v>
      </c>
      <c r="W576" s="353" t="str">
        <f>IFERROR(VLOOKUP(V576,'NS QUẢN LÝ CG'!$A$4:$D$36,2,0),"")</f>
        <v>Võ Thanh Hiếu</v>
      </c>
      <c r="X576" s="353" t="str">
        <f>IFERROR(VLOOKUP(V576,'NS QUẢN LÝ CG'!$A$4:$D$36,4,0),"")</f>
        <v>Tổng kho KLH</v>
      </c>
      <c r="Y576" s="1104" t="str">
        <f>IFERROR(VLOOKUP(V576,'NS QUẢN LÝ CG'!$A$4:$C$36,3,0),"")</f>
        <v>0884281479</v>
      </c>
      <c r="Z576" s="731">
        <f>IFERROR(VLOOKUP(M576,'02. MM-KLH'!$B$6:$T$823,3,0),"")</f>
        <v>0</v>
      </c>
      <c r="AA576" s="353"/>
      <c r="AB576" s="731"/>
      <c r="AC576" s="731"/>
    </row>
    <row r="577" ht="13.8" spans="1:29">
      <c r="A577" s="731"/>
      <c r="B577" s="613" t="str">
        <f>IFERROR(VLOOKUP(M577,'02. MM-KLH'!$B$6:$T$823,6,0),"")</f>
        <v/>
      </c>
      <c r="C577" s="353"/>
      <c r="D577" s="353" t="str">
        <f>IFERROR(VLOOKUP(M577,'02. MM-KLH'!$B$6:$T$823,16,0),"")</f>
        <v/>
      </c>
      <c r="E577" s="353"/>
      <c r="F577" s="353"/>
      <c r="G577" s="353"/>
      <c r="H577" s="353" t="str">
        <f>IFERROR(VLOOKUP(M577,'02. MM-KLH'!$B$6:$T$823,17,0),"")</f>
        <v/>
      </c>
      <c r="I577" s="763" t="str">
        <f>IFERROR(VLOOKUP(M577,'02. MM-KLH'!$B$6:$U$823,20,0),"")</f>
        <v/>
      </c>
      <c r="J577" s="613" t="str">
        <f>IFERROR(VLOOKUP(M577,'02. MM-KLH'!$B$6:$T$823,19,0),"")</f>
        <v/>
      </c>
      <c r="K577" s="613" t="str">
        <f>IFERROR(VLOOKUP(M577,'02. MM-KLH'!$B$6:$T$823,18,0),"")</f>
        <v/>
      </c>
      <c r="L577" s="353" t="str">
        <f>IFERROR(VLOOKUP(M577,'02. MM-KLH'!$B$6:$T$823,4,0),"")</f>
        <v/>
      </c>
      <c r="M577" s="49"/>
      <c r="N577" s="356" t="str">
        <f>IFERROR(VLOOKUP(M577,'02. MM-KLH'!$B$6:$T$823,15,0),"")</f>
        <v/>
      </c>
      <c r="O577" s="764" t="str">
        <f>IFERROR(VLOOKUP(M577,'02. MM-KLH'!$B$6:$T$823,9,0),"")</f>
        <v/>
      </c>
      <c r="P577" s="353"/>
      <c r="Q577" s="353"/>
      <c r="R577" s="353"/>
      <c r="S577" s="353"/>
      <c r="T577" s="353"/>
      <c r="U577" s="353" t="str">
        <f>IFERROR(VLOOKUP(M577,'02. MM-KLH'!$B$6:$T$823,2,0),"")</f>
        <v/>
      </c>
      <c r="V577" s="731" t="str">
        <f>IFERROR(VLOOKUP(M577,'02. MM-KLH'!$B$6:$T$823,8,0),"")</f>
        <v/>
      </c>
      <c r="W577" s="353" t="str">
        <f>IFERROR(VLOOKUP(V577,'NS QUẢN LÝ CG'!$A$4:$D$36,2,0),"")</f>
        <v/>
      </c>
      <c r="X577" s="353" t="str">
        <f>IFERROR(VLOOKUP(V577,'NS QUẢN LÝ CG'!$A$4:$D$36,4,0),"")</f>
        <v/>
      </c>
      <c r="Y577" s="353"/>
      <c r="Z577" s="731" t="str">
        <f>IFERROR(VLOOKUP(M577,'02. MM-KLH'!$B$6:$T$823,3,0),"")</f>
        <v/>
      </c>
      <c r="AA577" s="353"/>
      <c r="AB577" s="731"/>
      <c r="AC577" s="731"/>
    </row>
    <row r="578" ht="13.8" spans="1:29">
      <c r="A578" s="731"/>
      <c r="B578" s="613" t="str">
        <f>IFERROR(VLOOKUP(M578,'02. MM-KLH'!$B$6:$T$823,6,0),"")</f>
        <v/>
      </c>
      <c r="C578" s="353"/>
      <c r="D578" s="353" t="str">
        <f>IFERROR(VLOOKUP(M578,'02. MM-KLH'!$B$6:$T$823,16,0),"")</f>
        <v/>
      </c>
      <c r="E578" s="353"/>
      <c r="F578" s="353"/>
      <c r="G578" s="353"/>
      <c r="H578" s="353" t="str">
        <f>IFERROR(VLOOKUP(M578,'02. MM-KLH'!$B$6:$T$823,17,0),"")</f>
        <v/>
      </c>
      <c r="I578" s="763" t="str">
        <f>IFERROR(VLOOKUP(M578,'02. MM-KLH'!$B$6:$U$823,20,0),"")</f>
        <v/>
      </c>
      <c r="J578" s="613" t="str">
        <f>IFERROR(VLOOKUP(M578,'02. MM-KLH'!$B$6:$T$823,19,0),"")</f>
        <v/>
      </c>
      <c r="K578" s="613" t="str">
        <f>IFERROR(VLOOKUP(M578,'02. MM-KLH'!$B$6:$T$823,18,0),"")</f>
        <v/>
      </c>
      <c r="L578" s="353" t="str">
        <f>IFERROR(VLOOKUP(M578,'02. MM-KLH'!$B$6:$T$823,4,0),"")</f>
        <v/>
      </c>
      <c r="M578" s="49"/>
      <c r="N578" s="356" t="str">
        <f>IFERROR(VLOOKUP(M578,'02. MM-KLH'!$B$6:$T$823,15,0),"")</f>
        <v/>
      </c>
      <c r="O578" s="764" t="str">
        <f>IFERROR(VLOOKUP(M578,'02. MM-KLH'!$B$6:$T$823,9,0),"")</f>
        <v/>
      </c>
      <c r="P578" s="353"/>
      <c r="Q578" s="353"/>
      <c r="R578" s="353"/>
      <c r="S578" s="353"/>
      <c r="T578" s="353"/>
      <c r="U578" s="353" t="str">
        <f>IFERROR(VLOOKUP(M578,'02. MM-KLH'!$B$6:$T$823,2,0),"")</f>
        <v/>
      </c>
      <c r="V578" s="731" t="str">
        <f>IFERROR(VLOOKUP(M578,'02. MM-KLH'!$B$6:$T$823,8,0),"")</f>
        <v/>
      </c>
      <c r="W578" s="353" t="str">
        <f>IFERROR(VLOOKUP(V578,'NS QUẢN LÝ CG'!$A$4:$D$36,2,0),"")</f>
        <v/>
      </c>
      <c r="X578" s="353" t="str">
        <f>IFERROR(VLOOKUP(V578,'NS QUẢN LÝ CG'!$A$4:$D$36,4,0),"")</f>
        <v/>
      </c>
      <c r="Y578" s="353"/>
      <c r="Z578" s="731" t="str">
        <f>IFERROR(VLOOKUP(M578,'02. MM-KLH'!$B$6:$T$823,3,0),"")</f>
        <v/>
      </c>
      <c r="AA578" s="353"/>
      <c r="AB578" s="731"/>
      <c r="AC578" s="731"/>
    </row>
    <row r="579" ht="13.8" spans="1:29">
      <c r="A579" s="754">
        <v>4</v>
      </c>
      <c r="B579" s="755" t="s">
        <v>2699</v>
      </c>
      <c r="C579" s="754">
        <f>COUNTA(B580:B583)</f>
        <v>4</v>
      </c>
      <c r="D579" s="756" t="str">
        <f>IFERROR(VLOOKUP(M579,'02. MM-KLH'!$B$6:$T$823,16,0),"")</f>
        <v/>
      </c>
      <c r="E579" s="756"/>
      <c r="F579" s="756"/>
      <c r="G579" s="756"/>
      <c r="H579" s="762" t="str">
        <f>IFERROR(VLOOKUP(M579,'02. MM-KLH'!$B$6:$T$823,17,0),"")</f>
        <v/>
      </c>
      <c r="I579" s="762" t="str">
        <f>IFERROR(VLOOKUP(M579,'02. MM-KLH'!$B$6:$U$823,20,0),"")</f>
        <v/>
      </c>
      <c r="J579" s="758" t="str">
        <f>IFERROR(VLOOKUP(M579,'02. MM-KLH'!$B$6:$T$823,19,0),"")</f>
        <v/>
      </c>
      <c r="K579" s="758" t="str">
        <f>IFERROR(VLOOKUP(M579,'02. MM-KLH'!$B$6:$T$823,18,0),"")</f>
        <v/>
      </c>
      <c r="L579" s="756" t="str">
        <f>IFERROR(VLOOKUP(M579,'02. MM-KLH'!$B$6:$T$823,4,0),"")</f>
        <v/>
      </c>
      <c r="M579" s="756"/>
      <c r="N579" s="756" t="str">
        <f>IFERROR(VLOOKUP(M579,'02. MM-KLH'!$B$6:$T$823,15,0),"")</f>
        <v/>
      </c>
      <c r="O579" s="760" t="str">
        <f>IFERROR(VLOOKUP(M579,'02. MM-KLH'!$B$6:$T$823,9,0),"")</f>
        <v/>
      </c>
      <c r="P579" s="756"/>
      <c r="Q579" s="756"/>
      <c r="R579" s="756"/>
      <c r="S579" s="756"/>
      <c r="T579" s="756"/>
      <c r="U579" s="756" t="str">
        <f>IFERROR(VLOOKUP(M579,'02. MM-KLH'!$B$6:$T$823,2,0),"")</f>
        <v/>
      </c>
      <c r="V579" s="762" t="str">
        <f>IFERROR(VLOOKUP(M579,'02. MM-KLH'!$B$6:$T$823,8,0),"")</f>
        <v/>
      </c>
      <c r="W579" s="756"/>
      <c r="X579" s="756"/>
      <c r="Y579" s="756"/>
      <c r="Z579" s="762" t="str">
        <f>IFERROR(VLOOKUP(M579,'02. MM-KLH'!$B$6:$T$823,3,0),"")</f>
        <v/>
      </c>
      <c r="AA579" s="756"/>
      <c r="AB579" s="762"/>
      <c r="AC579" s="762"/>
    </row>
    <row r="580" ht="13.8" spans="1:29">
      <c r="A580" s="731"/>
      <c r="B580" s="613" t="str">
        <f>IFERROR(VLOOKUP(M580,'02. MM-KLH'!$B$6:$T$823,6,0),"")</f>
        <v>Xe nâng dầu YALE 3.5 tấn</v>
      </c>
      <c r="C580" s="353">
        <v>1</v>
      </c>
      <c r="D580" s="353">
        <f>IFERROR(VLOOKUP(M580,'02. MM-KLH'!$B$6:$T$823,16,0),"")</f>
        <v>0</v>
      </c>
      <c r="E580" s="353" t="s">
        <v>5978</v>
      </c>
      <c r="F580" s="353"/>
      <c r="G580" s="353"/>
      <c r="H580" s="353">
        <f>IFERROR(VLOOKUP(M580,'02. MM-KLH'!$B$6:$T$823,17,0),"")</f>
        <v>0</v>
      </c>
      <c r="I580" s="763">
        <f>IFERROR(VLOOKUP(M580,'02. MM-KLH'!$B$6:$U$823,20,0),"")</f>
        <v>2.5</v>
      </c>
      <c r="J580" s="613" t="str">
        <f>IFERROR(VLOOKUP(M580,'02. MM-KLH'!$B$6:$T$823,19,0),"")</f>
        <v>4TNE98-805NNF</v>
      </c>
      <c r="K580" s="613">
        <f>IFERROR(VLOOKUP(M580,'02. MM-KLH'!$B$6:$T$823,18,0),"")</f>
        <v>31059</v>
      </c>
      <c r="L580" s="353">
        <f>IFERROR(VLOOKUP(M580,'02. MM-KLH'!$B$6:$T$823,4,0),"")</f>
        <v>0</v>
      </c>
      <c r="M580" s="49" t="s">
        <v>2697</v>
      </c>
      <c r="N580" s="356">
        <f>IFERROR(VLOOKUP(M580,'02. MM-KLH'!$B$6:$T$823,15,0),"")</f>
        <v>0</v>
      </c>
      <c r="O580" s="764">
        <f>IFERROR(VLOOKUP(M580,'02. MM-KLH'!$B$6:$T$823,9,0),"")</f>
        <v>0</v>
      </c>
      <c r="P580" s="353"/>
      <c r="Q580" s="353" t="s">
        <v>1755</v>
      </c>
      <c r="R580" s="353" t="s">
        <v>5978</v>
      </c>
      <c r="S580" s="353"/>
      <c r="T580" s="353"/>
      <c r="U580" s="353" t="str">
        <f>IFERROR(VLOOKUP(M580,'02. MM-KLH'!$B$6:$T$823,5,0),"")</f>
        <v>ĐQSD</v>
      </c>
      <c r="V580" s="731" t="str">
        <f>IFERROR(VLOOKUP(M580,'02. MM-KLH'!$B$6:$T$823,8,0),"")</f>
        <v>Thagricons</v>
      </c>
      <c r="W580" s="353">
        <f>IFERROR(VLOOKUP(V580,'NS QUẢN LÝ CG'!$A$4:$C$36,2,0),"")</f>
        <v>0</v>
      </c>
      <c r="X580" s="353" t="s">
        <v>5998</v>
      </c>
      <c r="Y580" s="353">
        <f>IFERROR(VLOOKUP(V580,'NS QUẢN LÝ CG'!$A$4:$C$36,3,0),"")</f>
        <v>0</v>
      </c>
      <c r="Z580" s="731" t="str">
        <f>IFERROR(VLOOKUP(M580,'02. MM-KLH'!$B$6:$T$823,3,0),"")</f>
        <v>A22-XNA-001</v>
      </c>
      <c r="AA580" s="353" t="str">
        <f>_xlfn.SWITCH(LEFT(Z580,3),"A22","ADM","A23","DP","A24","LP","")</f>
        <v>ADM</v>
      </c>
      <c r="AB580" s="731"/>
      <c r="AC580" s="731"/>
    </row>
    <row r="581" ht="13.8" spans="1:29">
      <c r="A581" s="731"/>
      <c r="B581" s="613" t="str">
        <f>IFERROR(VLOOKUP(M581,'02. MM-KLH'!$B$6:$T$823,6,0),"")</f>
        <v>Xe nâng dầu YALE 3.5 tấn</v>
      </c>
      <c r="C581" s="353">
        <v>1</v>
      </c>
      <c r="D581" s="353" t="str">
        <f>IFERROR(VLOOKUP(M581,'02. MM-KLH'!$B$6:$T$823,16,0),"")</f>
        <v>GDP35MX</v>
      </c>
      <c r="E581" s="353" t="s">
        <v>5978</v>
      </c>
      <c r="F581" s="353"/>
      <c r="G581" s="353"/>
      <c r="H581" s="353" t="str">
        <f>IFERROR(VLOOKUP(M581,'02. MM-KLH'!$B$6:$T$823,17,0),"")</f>
        <v>58HP</v>
      </c>
      <c r="I581" s="763">
        <f>IFERROR(VLOOKUP(M581,'02. MM-KLH'!$B$6:$U$823,20,0),"")</f>
        <v>2.5</v>
      </c>
      <c r="J581" s="613" t="str">
        <f>IFERROR(VLOOKUP(M581,'02. MM-KLH'!$B$6:$T$823,19,0),"")</f>
        <v>CCN</v>
      </c>
      <c r="K581" s="613" t="str">
        <f>IFERROR(VLOOKUP(M581,'02. MM-KLH'!$B$6:$T$823,18,0),"")</f>
        <v>D871R15794W</v>
      </c>
      <c r="L581" s="353">
        <f>IFERROR(VLOOKUP(M581,'02. MM-KLH'!$B$6:$T$823,4,0),"")</f>
        <v>0</v>
      </c>
      <c r="M581" s="49" t="s">
        <v>2958</v>
      </c>
      <c r="N581" s="356">
        <f>IFERROR(VLOOKUP(M581,'02. MM-KLH'!$B$6:$T$823,15,0),"")</f>
        <v>2022</v>
      </c>
      <c r="O581" s="764">
        <f>IFERROR(VLOOKUP(M581,'02. MM-KLH'!$B$6:$T$823,9,0),"")</f>
        <v>45931</v>
      </c>
      <c r="P581" s="353"/>
      <c r="Q581" s="353" t="s">
        <v>1755</v>
      </c>
      <c r="R581" s="353" t="s">
        <v>5978</v>
      </c>
      <c r="S581" s="353"/>
      <c r="T581" s="353"/>
      <c r="U581" s="353" t="str">
        <f>IFERROR(VLOOKUP(M581,'02. MM-KLH'!$B$6:$T$823,5,0),"")</f>
        <v>ĐQSD</v>
      </c>
      <c r="V581" s="731" t="str">
        <f>IFERROR(VLOOKUP(M581,'02. MM-KLH'!$B$6:$T$823,8,0),"")</f>
        <v>NM NHỰA -XỐP DP</v>
      </c>
      <c r="W581" s="353" t="str">
        <f>IFERROR(VLOOKUP(V581,'NS QUẢN LÝ CG'!$A$4:$C$36,2,0),"")</f>
        <v>Nguyễn Xuân Liêm</v>
      </c>
      <c r="X581" s="353" t="s">
        <v>5999</v>
      </c>
      <c r="Y581" s="1104" t="str">
        <f>IFERROR(VLOOKUP(V581,'NS QUẢN LÝ CG'!$A$4:$C$36,3,0),"")</f>
        <v>0762578457</v>
      </c>
      <c r="Z581" s="731">
        <f>IFERROR(VLOOKUP(M581,'02. MM-KLH'!$B$6:$T$823,3,0),"")</f>
        <v>0</v>
      </c>
      <c r="AA581" s="353"/>
      <c r="AB581" s="731"/>
      <c r="AC581" s="731"/>
    </row>
    <row r="582" ht="13.8" spans="1:29">
      <c r="A582" s="731"/>
      <c r="B582" s="613" t="str">
        <f>IFERROR(VLOOKUP(M582,'02. MM-KLH'!$B$6:$T$823,6,0),"")</f>
        <v>Xe nâng 3.5T-CĐ18</v>
      </c>
      <c r="C582" s="353">
        <v>1</v>
      </c>
      <c r="D582" s="353">
        <f>IFERROR(VLOOKUP(M582,'02. MM-KLH'!$B$6:$T$823,16,0),"")</f>
        <v>0</v>
      </c>
      <c r="E582" s="353" t="s">
        <v>5978</v>
      </c>
      <c r="F582" s="353"/>
      <c r="G582" s="353"/>
      <c r="H582" s="353">
        <f>IFERROR(VLOOKUP(M582,'02. MM-KLH'!$B$6:$T$823,17,0),"")</f>
        <v>0</v>
      </c>
      <c r="I582" s="763">
        <f>IFERROR(VLOOKUP(M582,'02. MM-KLH'!$B$6:$U$823,20,0),"")</f>
        <v>2.5</v>
      </c>
      <c r="J582" s="613">
        <f>IFERROR(VLOOKUP(M582,'02. MM-KLH'!$B$6:$T$823,19,0),"")</f>
        <v>0</v>
      </c>
      <c r="K582" s="613">
        <f>IFERROR(VLOOKUP(M582,'02. MM-KLH'!$B$6:$T$823,18,0),"")</f>
        <v>0</v>
      </c>
      <c r="L582" s="353">
        <f>IFERROR(VLOOKUP(M582,'02. MM-KLH'!$B$6:$T$823,4,0),"")</f>
        <v>0</v>
      </c>
      <c r="M582" s="49" t="s">
        <v>2868</v>
      </c>
      <c r="N582" s="356">
        <f>IFERROR(VLOOKUP(M582,'02. MM-KLH'!$B$6:$T$823,15,0),"")</f>
        <v>0</v>
      </c>
      <c r="O582" s="764" t="str">
        <f>IFERROR(VLOOKUP(M582,'02. MM-KLH'!$B$6:$T$823,9,0),"")</f>
        <v>Đã qua sử dụng</v>
      </c>
      <c r="P582" s="353"/>
      <c r="Q582" s="353" t="s">
        <v>1755</v>
      </c>
      <c r="R582" s="353" t="s">
        <v>5978</v>
      </c>
      <c r="S582" s="353"/>
      <c r="T582" s="353"/>
      <c r="U582" s="353" t="str">
        <f>IFERROR(VLOOKUP(M582,'02. MM-KLH'!$B$6:$T$823,5,0),"")</f>
        <v>ĐQSD</v>
      </c>
      <c r="V582" s="731" t="str">
        <f>IFERROR(VLOOKUP(M582,'02. MM-KLH'!$B$6:$T$823,8,0),"")</f>
        <v>Thadicons A&amp;I</v>
      </c>
      <c r="W582" s="353">
        <f>IFERROR(VLOOKUP(V582,'NS QUẢN LÝ CG'!$A$4:$C$36,2,0),"")</f>
        <v>0</v>
      </c>
      <c r="X582" s="353" t="s">
        <v>5998</v>
      </c>
      <c r="Y582" s="353">
        <f>IFERROR(VLOOKUP(V582,'NS QUẢN LÝ CG'!$A$4:$C$36,3,0),"")</f>
        <v>0</v>
      </c>
      <c r="Z582" s="731" t="str">
        <f>IFERROR(VLOOKUP(M582,'02. MM-KLH'!$B$6:$T$823,3,0),"")</f>
        <v>-</v>
      </c>
      <c r="AA582" s="353"/>
      <c r="AB582" s="731"/>
      <c r="AC582" s="731"/>
    </row>
    <row r="583" ht="13.8" spans="1:29">
      <c r="A583" s="731"/>
      <c r="B583" s="613" t="str">
        <f>IFERROR(VLOOKUP(M583,'02. MM-KLH'!$B$6:$T$823,6,0),"")</f>
        <v/>
      </c>
      <c r="C583" s="353"/>
      <c r="D583" s="353" t="str">
        <f>IFERROR(VLOOKUP(M583,'02. MM-KLH'!$B$6:$T$823,16,0),"")</f>
        <v/>
      </c>
      <c r="E583" s="353"/>
      <c r="F583" s="353"/>
      <c r="G583" s="353"/>
      <c r="H583" s="353" t="str">
        <f>IFERROR(VLOOKUP(M583,'02. MM-KLH'!$B$6:$T$823,17,0),"")</f>
        <v/>
      </c>
      <c r="I583" s="763" t="str">
        <f>IFERROR(VLOOKUP(M583,'02. MM-KLH'!$B$6:$U$823,20,0),"")</f>
        <v/>
      </c>
      <c r="J583" s="613" t="str">
        <f>IFERROR(VLOOKUP(M583,'02. MM-KLH'!$B$6:$T$823,19,0),"")</f>
        <v/>
      </c>
      <c r="K583" s="613" t="str">
        <f>IFERROR(VLOOKUP(M583,'02. MM-KLH'!$B$6:$T$823,18,0),"")</f>
        <v/>
      </c>
      <c r="L583" s="353" t="str">
        <f>IFERROR(VLOOKUP(M583,'02. MM-KLH'!$B$6:$T$823,4,0),"")</f>
        <v/>
      </c>
      <c r="M583" s="49"/>
      <c r="N583" s="356" t="str">
        <f>IFERROR(VLOOKUP(M583,'02. MM-KLH'!$B$6:$T$823,15,0),"")</f>
        <v/>
      </c>
      <c r="O583" s="764" t="str">
        <f>IFERROR(VLOOKUP(M583,'02. MM-KLH'!$B$6:$T$823,9,0),"")</f>
        <v/>
      </c>
      <c r="P583" s="353"/>
      <c r="Q583" s="353"/>
      <c r="R583" s="353"/>
      <c r="S583" s="353"/>
      <c r="T583" s="353"/>
      <c r="U583" s="353" t="str">
        <f>IFERROR(VLOOKUP(M583,'02. MM-KLH'!$B$6:$T$823,2,0),"")</f>
        <v/>
      </c>
      <c r="V583" s="731" t="str">
        <f>IFERROR(VLOOKUP(M583,'02. MM-KLH'!$B$6:$T$823,8,0),"")</f>
        <v/>
      </c>
      <c r="W583" s="353"/>
      <c r="X583" s="353"/>
      <c r="Y583" s="353"/>
      <c r="Z583" s="731" t="str">
        <f>IFERROR(VLOOKUP(M583,'02. MM-KLH'!$B$6:$T$823,3,0),"")</f>
        <v/>
      </c>
      <c r="AA583" s="353"/>
      <c r="AB583" s="731"/>
      <c r="AC583" s="731"/>
    </row>
    <row r="584" ht="13.8" spans="1:29">
      <c r="A584" s="754">
        <v>5</v>
      </c>
      <c r="B584" s="755" t="s">
        <v>1015</v>
      </c>
      <c r="C584" s="754">
        <f>COUNTA(B585:B593)</f>
        <v>9</v>
      </c>
      <c r="D584" s="756" t="str">
        <f>IFERROR(VLOOKUP(M584,'02. MM-KLH'!$B$6:$T$823,16,0),"")</f>
        <v/>
      </c>
      <c r="E584" s="756"/>
      <c r="F584" s="756"/>
      <c r="G584" s="756"/>
      <c r="H584" s="762" t="str">
        <f>IFERROR(VLOOKUP(M584,'02. MM-KLH'!$B$6:$T$823,17,0),"")</f>
        <v/>
      </c>
      <c r="I584" s="762" t="str">
        <f>IFERROR(VLOOKUP(M584,'02. MM-KLH'!$B$6:$U$823,20,0),"")</f>
        <v/>
      </c>
      <c r="J584" s="758" t="str">
        <f>IFERROR(VLOOKUP(M584,'02. MM-KLH'!$B$6:$T$823,19,0),"")</f>
        <v/>
      </c>
      <c r="K584" s="758" t="str">
        <f>IFERROR(VLOOKUP(M584,'02. MM-KLH'!$B$6:$T$823,18,0),"")</f>
        <v/>
      </c>
      <c r="L584" s="756" t="str">
        <f>IFERROR(VLOOKUP(M584,'02. MM-KLH'!$B$6:$T$823,4,0),"")</f>
        <v/>
      </c>
      <c r="M584" s="756"/>
      <c r="N584" s="756" t="str">
        <f>IFERROR(VLOOKUP(M584,'02. MM-KLH'!$B$6:$T$823,15,0),"")</f>
        <v/>
      </c>
      <c r="O584" s="760" t="str">
        <f>IFERROR(VLOOKUP(M584,'02. MM-KLH'!$B$6:$T$823,9,0),"")</f>
        <v/>
      </c>
      <c r="P584" s="756"/>
      <c r="Q584" s="756"/>
      <c r="R584" s="756"/>
      <c r="S584" s="756"/>
      <c r="T584" s="756"/>
      <c r="U584" s="756" t="str">
        <f>IFERROR(VLOOKUP(M584,'02. MM-KLH'!$B$6:$T$823,2,0),"")</f>
        <v/>
      </c>
      <c r="V584" s="762" t="str">
        <f>IFERROR(VLOOKUP(M584,'02. MM-KLH'!$B$6:$T$823,8,0),"")</f>
        <v/>
      </c>
      <c r="W584" s="756"/>
      <c r="X584" s="756"/>
      <c r="Y584" s="756"/>
      <c r="Z584" s="762" t="str">
        <f>IFERROR(VLOOKUP(M584,'02. MM-KLH'!$B$6:$T$823,3,0),"")</f>
        <v/>
      </c>
      <c r="AA584" s="756"/>
      <c r="AB584" s="762"/>
      <c r="AC584" s="762"/>
    </row>
    <row r="585" ht="13.8" spans="1:29">
      <c r="A585" s="731"/>
      <c r="B585" s="613" t="str">
        <f>IFERROR(VLOOKUP(M585,'02. MM-KLH'!$B$6:$T$823,6,0),"")</f>
        <v>Xe nâng điện 2.5 tấn</v>
      </c>
      <c r="C585" s="353">
        <v>1</v>
      </c>
      <c r="D585" s="353" t="str">
        <f>IFERROR(VLOOKUP(M585,'02. MM-KLH'!$B$6:$T$823,16,0),"")</f>
        <v>FF25E</v>
      </c>
      <c r="E585" s="353"/>
      <c r="F585" s="353"/>
      <c r="G585" s="353" t="s">
        <v>5978</v>
      </c>
      <c r="H585" s="353" t="str">
        <f>IFERROR(VLOOKUP(M585,'02. MM-KLH'!$B$6:$T$823,17,0),"")</f>
        <v>13,68 HP</v>
      </c>
      <c r="I585" s="763">
        <f>IFERROR(VLOOKUP(M585,'02. MM-KLH'!$B$6:$U$823,20,0),"")</f>
        <v>0</v>
      </c>
      <c r="J585" s="613">
        <f>IFERROR(VLOOKUP(M585,'02. MM-KLH'!$B$6:$T$823,19,0),"")</f>
        <v>0</v>
      </c>
      <c r="K585" s="613" t="str">
        <f>IFERROR(VLOOKUP(M585,'02. MM-KLH'!$B$6:$T$823,18,0),"")</f>
        <v>C31293R50031</v>
      </c>
      <c r="L585" s="353">
        <f>IFERROR(VLOOKUP(M585,'02. MM-KLH'!$B$6:$T$823,4,0),"")</f>
        <v>0</v>
      </c>
      <c r="M585" s="49" t="s">
        <v>1144</v>
      </c>
      <c r="N585" s="356">
        <f>IFERROR(VLOOKUP(M585,'02. MM-KLH'!$B$6:$T$823,15,0),"")</f>
        <v>2026</v>
      </c>
      <c r="O585" s="764">
        <f>IFERROR(VLOOKUP(M585,'02. MM-KLH'!$B$6:$T$823,9,0),"")</f>
        <v>46361</v>
      </c>
      <c r="P585" s="353"/>
      <c r="Q585" s="353">
        <v>235</v>
      </c>
      <c r="R585" s="353" t="s">
        <v>5978</v>
      </c>
      <c r="S585" s="353"/>
      <c r="T585" s="353"/>
      <c r="U585" s="353" t="str">
        <f>IFERROR(VLOOKUP(M585,'02. MM-KLH'!$B$6:$T$823,5,0),"")</f>
        <v>MỚI</v>
      </c>
      <c r="V585" s="731" t="str">
        <f>IFERROR(VLOOKUP(M585,'02. MM-KLH'!$B$6:$T$823,8,0),"")</f>
        <v>XN Chuối DP1</v>
      </c>
      <c r="W585" s="353" t="str">
        <f>IFERROR(VLOOKUP(V585,'NS QUẢN LÝ CG'!$A$4:$C$36,2,0),"")</f>
        <v/>
      </c>
      <c r="X585" s="353" t="s">
        <v>4445</v>
      </c>
      <c r="Y585" s="353" t="str">
        <f>IFERROR(VLOOKUP(V585,'NS QUẢN LÝ CG'!$A$4:$C$36,3,0),"")</f>
        <v/>
      </c>
      <c r="Z585" s="731" t="str">
        <f>IFERROR(VLOOKUP(M585,'02. MM-KLH'!$B$6:$T$823,3,0),"")</f>
        <v>A23-XNA-007</v>
      </c>
      <c r="AA585" s="353" t="str">
        <f t="shared" ref="AA585:AA591" si="40">_xlfn.SWITCH(LEFT(Z585,3),"A22","ADM","A23","DP","A24","LP","")</f>
        <v>DP</v>
      </c>
      <c r="AB585" s="731"/>
      <c r="AC585" s="731"/>
    </row>
    <row r="586" ht="13.8" spans="1:29">
      <c r="A586" s="731"/>
      <c r="B586" s="613" t="str">
        <f>IFERROR(VLOOKUP(M586,'02. MM-KLH'!$B$6:$T$823,6,0),"")</f>
        <v>Xe nâng điện 2.5 tấn</v>
      </c>
      <c r="C586" s="353">
        <v>1</v>
      </c>
      <c r="D586" s="353" t="str">
        <f>IFERROR(VLOOKUP(M586,'02. MM-KLH'!$B$6:$T$823,16,0),"")</f>
        <v>FF25E</v>
      </c>
      <c r="E586" s="353"/>
      <c r="F586" s="353"/>
      <c r="G586" s="353" t="s">
        <v>5978</v>
      </c>
      <c r="H586" s="353" t="str">
        <f>IFERROR(VLOOKUP(M586,'02. MM-KLH'!$B$6:$T$823,17,0),"")</f>
        <v>14HP</v>
      </c>
      <c r="I586" s="763">
        <f>IFERROR(VLOOKUP(M586,'02. MM-KLH'!$B$6:$U$823,20,0),"")</f>
        <v>0</v>
      </c>
      <c r="J586" s="613" t="str">
        <f>IFERROR(VLOOKUP(M586,'02. MM-KLH'!$B$6:$T$823,19,0),"")</f>
        <v>JB253701317</v>
      </c>
      <c r="K586" s="613" t="str">
        <f>IFERROR(VLOOKUP(M586,'02. MM-KLH'!$B$6:$T$823,18,0),"")</f>
        <v>C31293P50544</v>
      </c>
      <c r="L586" s="353">
        <f>IFERROR(VLOOKUP(M586,'02. MM-KLH'!$B$6:$T$823,4,0),"")</f>
        <v>0</v>
      </c>
      <c r="M586" s="49" t="s">
        <v>1296</v>
      </c>
      <c r="N586" s="356">
        <f>IFERROR(VLOOKUP(M586,'02. MM-KLH'!$B$6:$T$823,15,0),"")</f>
        <v>2025</v>
      </c>
      <c r="O586" s="764">
        <f>IFERROR(VLOOKUP(M586,'02. MM-KLH'!$B$6:$T$823,9,0),"")</f>
        <v>45789</v>
      </c>
      <c r="P586" s="353"/>
      <c r="Q586" s="353">
        <v>366</v>
      </c>
      <c r="R586" s="353" t="s">
        <v>5978</v>
      </c>
      <c r="S586" s="353"/>
      <c r="T586" s="353"/>
      <c r="U586" s="353" t="str">
        <f>IFERROR(VLOOKUP(M586,'02. MM-KLH'!$B$6:$T$823,5,0),"")</f>
        <v> MỚI</v>
      </c>
      <c r="V586" s="731" t="str">
        <f>IFERROR(VLOOKUP(M586,'02. MM-KLH'!$B$6:$T$823,8,0),"")</f>
        <v>XN Chuối DP2</v>
      </c>
      <c r="W586" s="353" t="str">
        <f>IFERROR(VLOOKUP(V586,'NS QUẢN LÝ CG'!$A$4:$C$36,2,0),"")</f>
        <v/>
      </c>
      <c r="X586" s="353" t="s">
        <v>4445</v>
      </c>
      <c r="Y586" s="353" t="str">
        <f>IFERROR(VLOOKUP(V586,'NS QUẢN LÝ CG'!$A$4:$C$36,3,0),"")</f>
        <v/>
      </c>
      <c r="Z586" s="731" t="str">
        <f>IFERROR(VLOOKUP(M586,'02. MM-KLH'!$B$6:$T$823,3,0),"")</f>
        <v>A23-XNA-004</v>
      </c>
      <c r="AA586" s="353" t="str">
        <f t="shared" si="40"/>
        <v>DP</v>
      </c>
      <c r="AB586" s="731"/>
      <c r="AC586" s="731"/>
    </row>
    <row r="587" ht="13.8" spans="1:29">
      <c r="A587" s="731"/>
      <c r="B587" s="613" t="str">
        <f>IFERROR(VLOOKUP(M587,'02. MM-KLH'!$B$6:$T$823,6,0),"")</f>
        <v>Xe nâng điện 1.5 tấn</v>
      </c>
      <c r="C587" s="353">
        <v>1</v>
      </c>
      <c r="D587" s="353" t="str">
        <f>IFERROR(VLOOKUP(M587,'02. MM-KLH'!$B$6:$T$823,16,0),"")</f>
        <v>FF15E</v>
      </c>
      <c r="E587" s="353"/>
      <c r="F587" s="353"/>
      <c r="G587" s="353" t="s">
        <v>5978</v>
      </c>
      <c r="H587" s="353" t="str">
        <f>IFERROR(VLOOKUP(M587,'02. MM-KLH'!$B$6:$T$823,17,0),"")</f>
        <v>11,8 HP</v>
      </c>
      <c r="I587" s="763">
        <f>IFERROR(VLOOKUP(M587,'02. MM-KLH'!$B$6:$U$823,20,0),"")</f>
        <v>0</v>
      </c>
      <c r="J587" s="613">
        <f>IFERROR(VLOOKUP(M587,'02. MM-KLH'!$B$6:$T$823,19,0),"")</f>
        <v>0</v>
      </c>
      <c r="K587" s="613" t="str">
        <f>IFERROR(VLOOKUP(M587,'02. MM-KLH'!$B$6:$T$823,18,0),"")</f>
        <v>C31293R50030</v>
      </c>
      <c r="L587" s="353">
        <f>IFERROR(VLOOKUP(M587,'02. MM-KLH'!$B$6:$T$823,4,0),"")</f>
        <v>0</v>
      </c>
      <c r="M587" s="49" t="s">
        <v>1301</v>
      </c>
      <c r="N587" s="356">
        <f>IFERROR(VLOOKUP(M587,'02. MM-KLH'!$B$6:$T$823,15,0),"")</f>
        <v>2026</v>
      </c>
      <c r="O587" s="764">
        <f>IFERROR(VLOOKUP(M587,'02. MM-KLH'!$B$6:$T$823,9,0),"")</f>
        <v>46361</v>
      </c>
      <c r="P587" s="353"/>
      <c r="Q587" s="353">
        <v>546</v>
      </c>
      <c r="R587" s="353" t="s">
        <v>5978</v>
      </c>
      <c r="S587" s="353"/>
      <c r="T587" s="353"/>
      <c r="U587" s="353" t="str">
        <f>IFERROR(VLOOKUP(M587,'02. MM-KLH'!$B$6:$T$823,5,0),"")</f>
        <v> MỚI</v>
      </c>
      <c r="V587" s="731" t="str">
        <f>IFERROR(VLOOKUP(M587,'02. MM-KLH'!$B$6:$T$823,8,0),"")</f>
        <v>XN Chuối DP2</v>
      </c>
      <c r="W587" s="353" t="str">
        <f>IFERROR(VLOOKUP(V587,'NS QUẢN LÝ CG'!$A$4:$C$36,2,0),"")</f>
        <v/>
      </c>
      <c r="X587" s="353" t="s">
        <v>4445</v>
      </c>
      <c r="Y587" s="353" t="str">
        <f>IFERROR(VLOOKUP(V587,'NS QUẢN LÝ CG'!$A$4:$C$36,3,0),"")</f>
        <v/>
      </c>
      <c r="Z587" s="731" t="str">
        <f>IFERROR(VLOOKUP(M587,'02. MM-KLH'!$B$6:$T$823,3,0),"")</f>
        <v>A23-XNA-005</v>
      </c>
      <c r="AA587" s="353" t="str">
        <f t="shared" si="40"/>
        <v>DP</v>
      </c>
      <c r="AB587" s="731"/>
      <c r="AC587" s="731"/>
    </row>
    <row r="588" spans="1:29">
      <c r="A588" s="731"/>
      <c r="B588" s="613" t="str">
        <f>IFERROR(VLOOKUP(M588,'02. MM-KLH'!$B$6:$T$823,6,0),"")</f>
        <v>Xe nâng điện 1.5 tấn</v>
      </c>
      <c r="C588" s="353">
        <v>1</v>
      </c>
      <c r="D588" s="353" t="str">
        <f>IFERROR(VLOOKUP(M588,'02. MM-KLH'!$B$6:$T$823,16,0),"")</f>
        <v>FF15E</v>
      </c>
      <c r="E588" s="353"/>
      <c r="F588" s="353"/>
      <c r="G588" s="353" t="s">
        <v>5978</v>
      </c>
      <c r="H588" s="353" t="str">
        <f>IFERROR(VLOOKUP(M588,'02. MM-KLH'!$B$6:$T$823,17,0),"")</f>
        <v>12HP</v>
      </c>
      <c r="I588" s="763">
        <f>IFERROR(VLOOKUP(M588,'02. MM-KLH'!$B$6:$U$823,20,0),"")</f>
        <v>0</v>
      </c>
      <c r="J588" s="613" t="str">
        <f>IFERROR(VLOOKUP(M588,'02. MM-KLH'!$B$6:$T$823,19,0),"")</f>
        <v>JB253801347</v>
      </c>
      <c r="K588" s="613" t="str">
        <f>IFERROR(VLOOKUP(M588,'02. MM-KLH'!$B$6:$T$823,18,0),"")</f>
        <v>C11292P50328</v>
      </c>
      <c r="L588" s="353">
        <f>IFERROR(VLOOKUP(M588,'02. MM-KLH'!$B$6:$T$823,4,0),"")</f>
        <v>0</v>
      </c>
      <c r="M588" s="49" t="s">
        <v>1387</v>
      </c>
      <c r="N588" s="356">
        <f>IFERROR(VLOOKUP(M588,'02. MM-KLH'!$B$6:$T$823,15,0),"")</f>
        <v>2025</v>
      </c>
      <c r="O588" s="764">
        <f>IFERROR(VLOOKUP(M588,'02. MM-KLH'!$B$6:$T$823,9,0),"")</f>
        <v>45669</v>
      </c>
      <c r="P588" s="353"/>
      <c r="Q588" s="765">
        <v>1221</v>
      </c>
      <c r="R588" s="353" t="s">
        <v>5978</v>
      </c>
      <c r="S588" s="353"/>
      <c r="T588" s="353"/>
      <c r="U588" s="353" t="str">
        <f>IFERROR(VLOOKUP(M588,'02. MM-KLH'!$B$6:$T$823,5,0),"")</f>
        <v>MỚI</v>
      </c>
      <c r="V588" s="731" t="str">
        <f>IFERROR(VLOOKUP(M588,'02. MM-KLH'!$B$6:$T$823,8,0),"")</f>
        <v>XN Chuối DP3</v>
      </c>
      <c r="W588" s="353" t="str">
        <f>IFERROR(VLOOKUP(V588,'NS QUẢN LÝ CG'!$A$4:$C$36,2,0),"")</f>
        <v/>
      </c>
      <c r="X588" s="353" t="s">
        <v>4445</v>
      </c>
      <c r="Y588" s="353" t="str">
        <f>IFERROR(VLOOKUP(V588,'NS QUẢN LÝ CG'!$A$4:$C$36,3,0),"")</f>
        <v/>
      </c>
      <c r="Z588" s="731" t="str">
        <f>IFERROR(VLOOKUP(M588,'02. MM-KLH'!$B$6:$T$823,3,0),"")</f>
        <v>A23-XNA-003</v>
      </c>
      <c r="AA588" s="353" t="str">
        <f t="shared" si="40"/>
        <v>DP</v>
      </c>
      <c r="AB588" s="731"/>
      <c r="AC588" s="731"/>
    </row>
    <row r="589" spans="1:29">
      <c r="A589" s="731"/>
      <c r="B589" s="613" t="str">
        <f>IFERROR(VLOOKUP(M589,'02. MM-KLH'!$B$6:$T$823,6,0),"")</f>
        <v>Xe nâng điện 2.5 tấn</v>
      </c>
      <c r="C589" s="353">
        <v>1</v>
      </c>
      <c r="D589" s="353" t="str">
        <f>IFERROR(VLOOKUP(M589,'02. MM-KLH'!$B$6:$T$823,16,0),"")</f>
        <v>FF25E</v>
      </c>
      <c r="E589" s="353"/>
      <c r="F589" s="353"/>
      <c r="G589" s="353" t="s">
        <v>5978</v>
      </c>
      <c r="H589" s="353" t="str">
        <f>IFERROR(VLOOKUP(M589,'02. MM-KLH'!$B$6:$T$823,17,0),"")</f>
        <v>13,68 HP</v>
      </c>
      <c r="I589" s="763">
        <f>IFERROR(VLOOKUP(M589,'02. MM-KLH'!$B$6:$U$823,20,0),"")</f>
        <v>0</v>
      </c>
      <c r="J589" s="613">
        <f>IFERROR(VLOOKUP(M589,'02. MM-KLH'!$B$6:$T$823,19,0),"")</f>
        <v>0</v>
      </c>
      <c r="K589" s="613" t="str">
        <f>IFERROR(VLOOKUP(M589,'02. MM-KLH'!$B$6:$T$823,18,0),"")</f>
        <v>C31293R50033</v>
      </c>
      <c r="L589" s="353">
        <f>IFERROR(VLOOKUP(M589,'02. MM-KLH'!$B$6:$T$823,4,0),"")</f>
        <v>0</v>
      </c>
      <c r="M589" s="49" t="s">
        <v>1391</v>
      </c>
      <c r="N589" s="356">
        <f>IFERROR(VLOOKUP(M589,'02. MM-KLH'!$B$6:$T$823,15,0),"")</f>
        <v>2026</v>
      </c>
      <c r="O589" s="764">
        <f>IFERROR(VLOOKUP(M589,'02. MM-KLH'!$B$6:$T$823,9,0),"")</f>
        <v>46361</v>
      </c>
      <c r="P589" s="353"/>
      <c r="Q589" s="765">
        <v>382</v>
      </c>
      <c r="R589" s="353" t="s">
        <v>5978</v>
      </c>
      <c r="S589" s="353"/>
      <c r="T589" s="353"/>
      <c r="U589" s="353" t="str">
        <f>IFERROR(VLOOKUP(M589,'02. MM-KLH'!$B$6:$T$823,5,0),"")</f>
        <v>MỚI</v>
      </c>
      <c r="V589" s="731" t="str">
        <f>IFERROR(VLOOKUP(M589,'02. MM-KLH'!$B$6:$T$823,8,0),"")</f>
        <v>XN Chuối DP3</v>
      </c>
      <c r="W589" s="353" t="str">
        <f>IFERROR(VLOOKUP(V589,'NS QUẢN LÝ CG'!$A$4:$C$36,2,0),"")</f>
        <v/>
      </c>
      <c r="X589" s="353" t="s">
        <v>4445</v>
      </c>
      <c r="Y589" s="353" t="str">
        <f>IFERROR(VLOOKUP(V589,'NS QUẢN LÝ CG'!$A$4:$C$36,3,0),"")</f>
        <v/>
      </c>
      <c r="Z589" s="731" t="str">
        <f>IFERROR(VLOOKUP(M589,'02. MM-KLH'!$B$6:$T$823,3,0),"")</f>
        <v>A23-XNA-006</v>
      </c>
      <c r="AA589" s="353" t="str">
        <f t="shared" si="40"/>
        <v>DP</v>
      </c>
      <c r="AB589" s="731"/>
      <c r="AC589" s="731"/>
    </row>
    <row r="590" ht="13.8" spans="1:29">
      <c r="A590" s="731"/>
      <c r="B590" s="613" t="str">
        <f>IFERROR(VLOOKUP(M590,'02. MM-KLH'!$B$6:$T$823,6,0),"")</f>
        <v>Xe nâng điện 2.5 tấn</v>
      </c>
      <c r="C590" s="353">
        <v>1</v>
      </c>
      <c r="D590" s="353" t="str">
        <f>IFERROR(VLOOKUP(M590,'02. MM-KLH'!$B$6:$T$823,16,0),"")</f>
        <v>FF25E</v>
      </c>
      <c r="E590" s="353"/>
      <c r="F590" s="353"/>
      <c r="G590" s="353" t="s">
        <v>5978</v>
      </c>
      <c r="H590" s="353" t="str">
        <f>IFERROR(VLOOKUP(M590,'02. MM-KLH'!$B$6:$T$823,17,0),"")</f>
        <v>13,68 HP</v>
      </c>
      <c r="I590" s="763">
        <f>IFERROR(VLOOKUP(M590,'02. MM-KLH'!$B$6:$U$823,20,0),"")</f>
        <v>0</v>
      </c>
      <c r="J590" s="613">
        <f>IFERROR(VLOOKUP(M590,'02. MM-KLH'!$B$6:$T$823,19,0),"")</f>
        <v>0</v>
      </c>
      <c r="K590" s="613" t="str">
        <f>IFERROR(VLOOKUP(M590,'02. MM-KLH'!$B$6:$T$823,18,0),"")</f>
        <v>C31293R50032</v>
      </c>
      <c r="L590" s="353">
        <f>IFERROR(VLOOKUP(M590,'02. MM-KLH'!$B$6:$T$823,4,0),"")</f>
        <v>0</v>
      </c>
      <c r="M590" s="49" t="s">
        <v>1558</v>
      </c>
      <c r="N590" s="356">
        <f>IFERROR(VLOOKUP(M590,'02. MM-KLH'!$B$6:$T$823,15,0),"")</f>
        <v>2026</v>
      </c>
      <c r="O590" s="764">
        <f>IFERROR(VLOOKUP(M590,'02. MM-KLH'!$B$6:$T$823,9,0),"")</f>
        <v>46361</v>
      </c>
      <c r="P590" s="353"/>
      <c r="Q590" s="353">
        <v>314</v>
      </c>
      <c r="R590" s="353" t="s">
        <v>5978</v>
      </c>
      <c r="S590" s="353"/>
      <c r="T590" s="353"/>
      <c r="U590" s="353" t="str">
        <f>IFERROR(VLOOKUP(M590,'02. MM-KLH'!$B$6:$T$823,5,0),"")</f>
        <v>MỚI</v>
      </c>
      <c r="V590" s="731" t="str">
        <f>IFERROR(VLOOKUP(M590,'02. MM-KLH'!$B$6:$T$823,8,0),"")</f>
        <v>XN Chuối LP1</v>
      </c>
      <c r="W590" s="353" t="str">
        <f>IFERROR(VLOOKUP(V590,'NS QUẢN LÝ CG'!$A$4:$C$36,2,0),"")</f>
        <v/>
      </c>
      <c r="X590" s="353" t="s">
        <v>4445</v>
      </c>
      <c r="Y590" s="353" t="str">
        <f>IFERROR(VLOOKUP(V590,'NS QUẢN LÝ CG'!$A$4:$C$36,3,0),"")</f>
        <v/>
      </c>
      <c r="Z590" s="731" t="str">
        <f>IFERROR(VLOOKUP(M590,'02. MM-KLH'!$B$6:$T$823,3,0),"")</f>
        <v>A24-XNA-002</v>
      </c>
      <c r="AA590" s="353" t="str">
        <f t="shared" si="40"/>
        <v>LP</v>
      </c>
      <c r="AB590" s="731"/>
      <c r="AC590" s="731"/>
    </row>
    <row r="591" ht="13.8" spans="1:29">
      <c r="A591" s="731"/>
      <c r="B591" s="613" t="str">
        <f>IFERROR(VLOOKUP(M591,'02. MM-KLH'!$B$6:$T$823,6,0),"")</f>
        <v>Xe nâng điện 2.5 tấn</v>
      </c>
      <c r="C591" s="353">
        <v>1</v>
      </c>
      <c r="D591" s="353" t="str">
        <f>IFERROR(VLOOKUP(M591,'02. MM-KLH'!$B$6:$T$823,16,0),"")</f>
        <v>FF25E</v>
      </c>
      <c r="E591" s="353"/>
      <c r="F591" s="353"/>
      <c r="G591" s="353" t="s">
        <v>5978</v>
      </c>
      <c r="H591" s="353" t="str">
        <f>IFERROR(VLOOKUP(M591,'02. MM-KLH'!$B$6:$T$823,17,0),"")</f>
        <v>13,68 HP</v>
      </c>
      <c r="I591" s="763">
        <f>IFERROR(VLOOKUP(M591,'02. MM-KLH'!$B$6:$U$823,20,0),"")</f>
        <v>0</v>
      </c>
      <c r="J591" s="613">
        <f>IFERROR(VLOOKUP(M591,'02. MM-KLH'!$B$6:$T$823,19,0),"")</f>
        <v>0</v>
      </c>
      <c r="K591" s="613" t="str">
        <f>IFERROR(VLOOKUP(M591,'02. MM-KLH'!$B$6:$T$823,18,0),"")</f>
        <v>C31293R50030</v>
      </c>
      <c r="L591" s="353">
        <f>IFERROR(VLOOKUP(M591,'02. MM-KLH'!$B$6:$T$823,4,0),"")</f>
        <v>0</v>
      </c>
      <c r="M591" s="49" t="s">
        <v>1691</v>
      </c>
      <c r="N591" s="356">
        <f>IFERROR(VLOOKUP(M591,'02. MM-KLH'!$B$6:$T$823,15,0),"")</f>
        <v>2026</v>
      </c>
      <c r="O591" s="764">
        <f>IFERROR(VLOOKUP(M591,'02. MM-KLH'!$B$6:$T$823,9,0),"")</f>
        <v>46361</v>
      </c>
      <c r="P591" s="353"/>
      <c r="Q591" s="353">
        <v>216</v>
      </c>
      <c r="R591" s="353" t="s">
        <v>5978</v>
      </c>
      <c r="S591" s="353"/>
      <c r="T591" s="353"/>
      <c r="U591" s="353" t="str">
        <f>IFERROR(VLOOKUP(M591,'02. MM-KLH'!$B$6:$T$823,5,0),"")</f>
        <v>MỚI</v>
      </c>
      <c r="V591" s="731" t="str">
        <f>IFERROR(VLOOKUP(M591,'02. MM-KLH'!$B$6:$T$823,8,0),"")</f>
        <v>XN Chuối LP3</v>
      </c>
      <c r="W591" s="353" t="str">
        <f>IFERROR(VLOOKUP(V591,'NS QUẢN LÝ CG'!$A$4:$C$36,2,0),"")</f>
        <v/>
      </c>
      <c r="X591" s="353" t="s">
        <v>4445</v>
      </c>
      <c r="Y591" s="353" t="str">
        <f>IFERROR(VLOOKUP(V591,'NS QUẢN LÝ CG'!$A$4:$C$36,3,0),"")</f>
        <v/>
      </c>
      <c r="Z591" s="731" t="str">
        <f>IFERROR(VLOOKUP(M591,'02. MM-KLH'!$B$6:$T$823,3,0),"")</f>
        <v>A24-XNA-003</v>
      </c>
      <c r="AA591" s="353" t="str">
        <f t="shared" si="40"/>
        <v>LP</v>
      </c>
      <c r="AB591" s="731"/>
      <c r="AC591" s="731"/>
    </row>
    <row r="592" ht="13.8" spans="1:29">
      <c r="A592" s="731"/>
      <c r="B592" s="613" t="str">
        <f>IFERROR(VLOOKUP(M592,'02. MM-KLH'!$B$6:$T$823,6,0),"")</f>
        <v/>
      </c>
      <c r="C592" s="353"/>
      <c r="D592" s="353" t="str">
        <f>IFERROR(VLOOKUP(M592,'02. MM-KLH'!$B$6:$T$823,16,0),"")</f>
        <v/>
      </c>
      <c r="E592" s="353"/>
      <c r="F592" s="353"/>
      <c r="G592" s="353"/>
      <c r="H592" s="353" t="str">
        <f>IFERROR(VLOOKUP(M592,'02. MM-KLH'!$B$6:$T$823,17,0),"")</f>
        <v/>
      </c>
      <c r="I592" s="763" t="str">
        <f>IFERROR(VLOOKUP(M592,'02. MM-KLH'!$B$6:$U$823,20,0),"")</f>
        <v/>
      </c>
      <c r="J592" s="613" t="str">
        <f>IFERROR(VLOOKUP(M592,'02. MM-KLH'!$B$6:$T$823,19,0),"")</f>
        <v/>
      </c>
      <c r="K592" s="613" t="str">
        <f>IFERROR(VLOOKUP(M592,'02. MM-KLH'!$B$6:$T$823,18,0),"")</f>
        <v/>
      </c>
      <c r="L592" s="353" t="str">
        <f>IFERROR(VLOOKUP(M592,'02. MM-KLH'!$B$6:$T$823,4,0),"")</f>
        <v/>
      </c>
      <c r="M592" s="49"/>
      <c r="N592" s="356" t="str">
        <f>IFERROR(VLOOKUP(M592,'02. MM-KLH'!$B$6:$T$823,15,0),"")</f>
        <v/>
      </c>
      <c r="O592" s="764" t="str">
        <f>IFERROR(VLOOKUP(M592,'02. MM-KLH'!$B$6:$T$823,9,0),"")</f>
        <v/>
      </c>
      <c r="P592" s="353"/>
      <c r="Q592" s="353"/>
      <c r="R592" s="353"/>
      <c r="S592" s="353"/>
      <c r="T592" s="353"/>
      <c r="U592" s="353" t="str">
        <f>IFERROR(VLOOKUP(M592,'02. MM-KLH'!$B$6:$T$823,2,0),"")</f>
        <v/>
      </c>
      <c r="V592" s="731" t="str">
        <f>IFERROR(VLOOKUP(M592,'02. MM-KLH'!$B$6:$T$823,8,0),"")</f>
        <v/>
      </c>
      <c r="W592" s="353"/>
      <c r="X592" s="353"/>
      <c r="Y592" s="353"/>
      <c r="Z592" s="731" t="str">
        <f>IFERROR(VLOOKUP(M592,'02. MM-KLH'!$B$6:$T$823,3,0),"")</f>
        <v/>
      </c>
      <c r="AA592" s="353"/>
      <c r="AB592" s="731"/>
      <c r="AC592" s="731"/>
    </row>
    <row r="593" ht="13.8" spans="1:29">
      <c r="A593" s="731"/>
      <c r="B593" s="613" t="str">
        <f>IFERROR(VLOOKUP(M593,'02. MM-KLH'!$B$6:$T$823,6,0),"")</f>
        <v/>
      </c>
      <c r="C593" s="353"/>
      <c r="D593" s="353" t="str">
        <f>IFERROR(VLOOKUP(M593,'02. MM-KLH'!$B$6:$T$823,16,0),"")</f>
        <v/>
      </c>
      <c r="E593" s="353"/>
      <c r="F593" s="353"/>
      <c r="G593" s="353"/>
      <c r="H593" s="353" t="str">
        <f>IFERROR(VLOOKUP(M593,'02. MM-KLH'!$B$6:$T$823,17,0),"")</f>
        <v/>
      </c>
      <c r="I593" s="763" t="str">
        <f>IFERROR(VLOOKUP(M593,'02. MM-KLH'!$B$6:$U$823,20,0),"")</f>
        <v/>
      </c>
      <c r="J593" s="613" t="str">
        <f>IFERROR(VLOOKUP(M593,'02. MM-KLH'!$B$6:$T$823,19,0),"")</f>
        <v/>
      </c>
      <c r="K593" s="613" t="str">
        <f>IFERROR(VLOOKUP(M593,'02. MM-KLH'!$B$6:$T$823,18,0),"")</f>
        <v/>
      </c>
      <c r="L593" s="353" t="str">
        <f>IFERROR(VLOOKUP(M593,'02. MM-KLH'!$B$6:$T$823,4,0),"")</f>
        <v/>
      </c>
      <c r="M593" s="49"/>
      <c r="N593" s="356" t="str">
        <f>IFERROR(VLOOKUP(M593,'02. MM-KLH'!$B$6:$T$823,15,0),"")</f>
        <v/>
      </c>
      <c r="O593" s="764" t="str">
        <f>IFERROR(VLOOKUP(M593,'02. MM-KLH'!$B$6:$T$823,9,0),"")</f>
        <v/>
      </c>
      <c r="P593" s="353"/>
      <c r="Q593" s="353"/>
      <c r="R593" s="353"/>
      <c r="S593" s="353"/>
      <c r="T593" s="353"/>
      <c r="U593" s="353" t="str">
        <f>IFERROR(VLOOKUP(M593,'02. MM-KLH'!$B$6:$T$823,2,0),"")</f>
        <v/>
      </c>
      <c r="V593" s="731" t="str">
        <f>IFERROR(VLOOKUP(M593,'02. MM-KLH'!$B$6:$T$823,8,0),"")</f>
        <v/>
      </c>
      <c r="W593" s="353"/>
      <c r="X593" s="353"/>
      <c r="Y593" s="353"/>
      <c r="Z593" s="731" t="str">
        <f>IFERROR(VLOOKUP(M593,'02. MM-KLH'!$B$6:$T$823,3,0),"")</f>
        <v/>
      </c>
      <c r="AA593" s="353"/>
      <c r="AB593" s="731"/>
      <c r="AC593" s="731"/>
    </row>
    <row r="594" spans="1:29">
      <c r="A594" s="747" t="s">
        <v>3335</v>
      </c>
      <c r="B594" s="748" t="s">
        <v>3434</v>
      </c>
      <c r="C594" s="747">
        <f>SUM(C595,C605,C610,C613,C622)</f>
        <v>22</v>
      </c>
      <c r="D594" s="749"/>
      <c r="E594" s="749"/>
      <c r="F594" s="749"/>
      <c r="G594" s="749"/>
      <c r="H594" s="749"/>
      <c r="I594" s="750"/>
      <c r="J594" s="751"/>
      <c r="K594" s="751"/>
      <c r="L594" s="749"/>
      <c r="M594" s="749"/>
      <c r="N594" s="749"/>
      <c r="O594" s="752"/>
      <c r="P594" s="749"/>
      <c r="Q594" s="749"/>
      <c r="R594" s="749"/>
      <c r="S594" s="749"/>
      <c r="T594" s="749"/>
      <c r="U594" s="749"/>
      <c r="V594" s="750"/>
      <c r="W594" s="749"/>
      <c r="X594" s="749"/>
      <c r="Y594" s="749"/>
      <c r="Z594" s="750"/>
      <c r="AA594" s="749"/>
      <c r="AB594" s="750"/>
      <c r="AC594" s="753"/>
    </row>
    <row r="595" ht="13.8" spans="1:29">
      <c r="A595" s="754">
        <v>1</v>
      </c>
      <c r="B595" s="755" t="s">
        <v>540</v>
      </c>
      <c r="C595" s="754">
        <f>COUNTA(B596:B604)</f>
        <v>9</v>
      </c>
      <c r="D595" s="756" t="str">
        <f>IFERROR(VLOOKUP(M595,'02. MM-KLH'!$B$6:$T$823,16,0),"")</f>
        <v/>
      </c>
      <c r="E595" s="756"/>
      <c r="F595" s="756"/>
      <c r="G595" s="756"/>
      <c r="H595" s="762" t="str">
        <f>IFERROR(VLOOKUP(M595,'02. MM-KLH'!$B$6:$T$823,17,0),"")</f>
        <v/>
      </c>
      <c r="I595" s="762" t="str">
        <f>IFERROR(VLOOKUP(M595,'02. MM-KLH'!$B$6:$U$823,20,0),"")</f>
        <v/>
      </c>
      <c r="J595" s="758" t="str">
        <f>IFERROR(VLOOKUP(M595,'02. MM-KLH'!$B$6:$T$823,19,0),"")</f>
        <v/>
      </c>
      <c r="K595" s="758" t="str">
        <f>IFERROR(VLOOKUP(M595,'02. MM-KLH'!$B$6:$T$823,18,0),"")</f>
        <v/>
      </c>
      <c r="L595" s="756" t="str">
        <f>IFERROR(VLOOKUP(M595,'02. MM-KLH'!$B$6:$T$823,4,0),"")</f>
        <v/>
      </c>
      <c r="M595" s="756"/>
      <c r="N595" s="756" t="str">
        <f>IFERROR(VLOOKUP(M595,'02. MM-KLH'!$B$6:$T$823,15,0),"")</f>
        <v/>
      </c>
      <c r="O595" s="760" t="str">
        <f>IFERROR(VLOOKUP(M595,'02. MM-KLH'!$B$6:$T$823,9,0),"")</f>
        <v/>
      </c>
      <c r="P595" s="756"/>
      <c r="Q595" s="756"/>
      <c r="R595" s="756"/>
      <c r="S595" s="756"/>
      <c r="T595" s="756"/>
      <c r="U595" s="756" t="str">
        <f>IFERROR(VLOOKUP(M595,'02. MM-KLH'!$B$6:$T$823,2,0),"")</f>
        <v/>
      </c>
      <c r="V595" s="762" t="str">
        <f>IFERROR(VLOOKUP(M595,'02. MM-KLH'!$B$6:$T$823,8,0),"")</f>
        <v/>
      </c>
      <c r="W595" s="756"/>
      <c r="X595" s="756"/>
      <c r="Y595" s="756"/>
      <c r="Z595" s="762" t="str">
        <f>IFERROR(VLOOKUP(M595,'02. MM-KLH'!$B$6:$T$823,3,0),"")</f>
        <v/>
      </c>
      <c r="AA595" s="756"/>
      <c r="AB595" s="762"/>
      <c r="AC595" s="762"/>
    </row>
    <row r="596" ht="13.8" spans="1:29">
      <c r="A596" s="731"/>
      <c r="B596" s="613" t="str">
        <f>IFERROR(VLOOKUP(M596,'02. MM-KLH'!$B$6:$T$823,6,0),"")</f>
        <v>Xe bồn AUMAN ETX D300 (tưới đường)</v>
      </c>
      <c r="C596" s="353">
        <v>1</v>
      </c>
      <c r="D596" s="353" t="str">
        <f>IFERROR(VLOOKUP(M596,'02. MM-KLH'!$B$6:$T$823,16,0),"")</f>
        <v> ETX D300</v>
      </c>
      <c r="E596" s="353" t="s">
        <v>5978</v>
      </c>
      <c r="F596" s="353"/>
      <c r="G596" s="353"/>
      <c r="H596" s="353" t="str">
        <f>IFERROR(VLOOKUP(M596,'02. MM-KLH'!$B$6:$T$823,17,0),"")</f>
        <v>330HP</v>
      </c>
      <c r="I596" s="763">
        <f>IFERROR(VLOOKUP(M596,'02. MM-KLH'!$B$6:$U$823,20,0),"")</f>
        <v>0.6</v>
      </c>
      <c r="J596" s="613" t="str">
        <f>IFERROR(VLOOKUP(M596,'02. MM-KLH'!$B$6:$T$823,19,0),"")</f>
        <v>WP10336E431622D017084</v>
      </c>
      <c r="K596" s="613" t="str">
        <f>IFERROR(VLOOKUP(M596,'02. MM-KLH'!$B$6:$T$823,18,0),"")</f>
        <v>RNHD30FWANT067862</v>
      </c>
      <c r="L596" s="353">
        <f>IFERROR(VLOOKUP(M596,'02. MM-KLH'!$B$6:$T$823,4,0),"")</f>
        <v>0</v>
      </c>
      <c r="M596" s="49" t="s">
        <v>538</v>
      </c>
      <c r="N596" s="356">
        <f>IFERROR(VLOOKUP(M596,'02. MM-KLH'!$B$6:$T$823,15,0),"")</f>
        <v>2022</v>
      </c>
      <c r="O596" s="764" t="str">
        <f>IFERROR(VLOOKUP(M596,'02. MM-KLH'!$B$6:$T$823,9,0),"")</f>
        <v> </v>
      </c>
      <c r="P596" s="353">
        <v>63136</v>
      </c>
      <c r="Q596" s="353"/>
      <c r="R596" s="353" t="s">
        <v>5978</v>
      </c>
      <c r="S596" s="353"/>
      <c r="T596" s="353"/>
      <c r="U596" s="353" t="str">
        <f>IFERROR(VLOOKUP(M596,'02. MM-KLH'!$B$6:$T$823,5,0),"")</f>
        <v>ĐQSD</v>
      </c>
      <c r="V596" s="731" t="str">
        <f>IFERROR(VLOOKUP(M596,'02. MM-KLH'!$B$6:$T$823,8,0),"")</f>
        <v>CGTC DP</v>
      </c>
      <c r="W596" s="353" t="str">
        <f>IFERROR(VLOOKUP(V596,'NS QUẢN LÝ CG'!$A$4:$D$36,2,0),"")</f>
        <v>Phạm Ngọc Hải</v>
      </c>
      <c r="X596" s="353" t="str">
        <f>IFERROR(VLOOKUP(V596,'NS QUẢN LÝ CG'!$A$4:$D$36,4,0),"")</f>
        <v>Lô 85 DP4</v>
      </c>
      <c r="Y596" s="1104" t="str">
        <f>IFERROR(VLOOKUP(V596,'NS QUẢN LÝ CG'!$A$4:$C$36,3,0),"")</f>
        <v>0825456565</v>
      </c>
      <c r="Z596" s="731" t="str">
        <f>IFERROR(VLOOKUP(M596,'02. MM-KLH'!$B$6:$T$823,3,0),"")</f>
        <v>ATT-A22-0295</v>
      </c>
      <c r="AA596" s="353" t="s">
        <v>5980</v>
      </c>
      <c r="AB596" s="731"/>
      <c r="AC596" s="731"/>
    </row>
    <row r="597" spans="1:29">
      <c r="A597" s="731"/>
      <c r="B597" s="613" t="str">
        <f>IFERROR(VLOOKUP(M597,'02. MM-KLH'!$B$6:$T$823,6,0),"")</f>
        <v>Xe bồn AUMAN ETX D300 (Bồn tưới 18m3)</v>
      </c>
      <c r="C597" s="353">
        <v>1</v>
      </c>
      <c r="D597" s="353" t="str">
        <f>IFERROR(VLOOKUP(M597,'02. MM-KLH'!$B$6:$T$823,16,0),"")</f>
        <v>ETX D300E4</v>
      </c>
      <c r="E597" s="353" t="s">
        <v>5978</v>
      </c>
      <c r="F597" s="353"/>
      <c r="G597" s="353"/>
      <c r="H597" s="353" t="str">
        <f>IFERROR(VLOOKUP(M597,'02. MM-KLH'!$B$6:$T$823,17,0),"")</f>
        <v>336HP</v>
      </c>
      <c r="I597" s="763">
        <f>IFERROR(VLOOKUP(M597,'02. MM-KLH'!$B$6:$U$823,20,0),"")</f>
        <v>0.6</v>
      </c>
      <c r="J597" s="613" t="str">
        <f>IFERROR(VLOOKUP(M597,'02. MM-KLH'!$B$6:$T$823,19,0),"")</f>
        <v>WP10336E431618C035173</v>
      </c>
      <c r="K597" s="613" t="str">
        <f>IFERROR(VLOOKUP(M597,'02. MM-KLH'!$B$6:$T$823,18,0),"")</f>
        <v>RNHD30FWBKC005994</v>
      </c>
      <c r="L597" s="353">
        <f>IFERROR(VLOOKUP(M597,'02. MM-KLH'!$B$6:$T$823,4,0),"")</f>
        <v>0</v>
      </c>
      <c r="M597" s="49" t="s">
        <v>863</v>
      </c>
      <c r="N597" s="356">
        <f>IFERROR(VLOOKUP(M597,'02. MM-KLH'!$B$6:$T$823,15,0),"")</f>
        <v>2019</v>
      </c>
      <c r="O597" s="764">
        <f>IFERROR(VLOOKUP(M597,'02. MM-KLH'!$B$6:$T$823,9,0),"")</f>
        <v>44198</v>
      </c>
      <c r="P597" s="765">
        <v>63630</v>
      </c>
      <c r="Q597" s="353"/>
      <c r="R597" s="353" t="s">
        <v>5978</v>
      </c>
      <c r="S597" s="353"/>
      <c r="T597" s="353"/>
      <c r="U597" s="353" t="str">
        <f>IFERROR(VLOOKUP(M597,'02. MM-KLH'!$B$6:$T$823,5,0),"")</f>
        <v>ĐQSD</v>
      </c>
      <c r="V597" s="731" t="str">
        <f>IFERROR(VLOOKUP(M597,'02. MM-KLH'!$B$6:$T$823,8,0),"")</f>
        <v>CGTC AD</v>
      </c>
      <c r="W597" s="353" t="str">
        <f>IFERROR(VLOOKUP(V597,'NS QUẢN LÝ CG'!$A$4:$D$36,2,0),"")</f>
        <v>Vũ Trung Kiên</v>
      </c>
      <c r="X597" s="353" t="str">
        <f>IFERROR(VLOOKUP(V597,'NS QUẢN LÝ CG'!$A$4:$D$36,4,0),"")</f>
        <v>Lô 73 ADM</v>
      </c>
      <c r="Y597" s="1104" t="str">
        <f>IFERROR(VLOOKUP(V597,'NS QUẢN LÝ CG'!$A$4:$C$36,3,0),"")</f>
        <v>0981761677</v>
      </c>
      <c r="Z597" s="731" t="str">
        <f>IFERROR(VLOOKUP(M597,'02. MM-KLH'!$B$6:$T$823,3,0),"")</f>
        <v>ATT-A22-0230</v>
      </c>
      <c r="AA597" s="353" t="s">
        <v>5980</v>
      </c>
      <c r="AB597" s="731"/>
      <c r="AC597" s="731"/>
    </row>
    <row r="598" ht="13.8" spans="1:29">
      <c r="A598" s="731"/>
      <c r="B598" s="613" t="str">
        <f>IFERROR(VLOOKUP(M598,'02. MM-KLH'!$B$6:$T$823,6,0),"")</f>
        <v>Xe tải AUMAN GTL D300 E4 (Cấp dầu)</v>
      </c>
      <c r="C598" s="353">
        <v>1</v>
      </c>
      <c r="D598" s="353" t="str">
        <f>IFERROR(VLOOKUP(M598,'02. MM-KLH'!$B$6:$T$823,16,0),"")</f>
        <v>GTL D300E4</v>
      </c>
      <c r="E598" s="353" t="s">
        <v>5978</v>
      </c>
      <c r="F598" s="353"/>
      <c r="G598" s="353"/>
      <c r="H598" s="353">
        <f>IFERROR(VLOOKUP(M598,'02. MM-KLH'!$B$6:$T$823,17,0),"")</f>
        <v>0</v>
      </c>
      <c r="I598" s="763">
        <f>IFERROR(VLOOKUP(M598,'02. MM-KLH'!$B$6:$U$823,20,0),"")</f>
        <v>0.7</v>
      </c>
      <c r="J598" s="613" t="str">
        <f>IFERROR(VLOOKUP(M598,'02. MM-KLH'!$B$6:$T$823,19,0),"")</f>
        <v>CCN</v>
      </c>
      <c r="K598" s="613" t="str">
        <f>IFERROR(VLOOKUP(M598,'02. MM-KLH'!$B$6:$T$823,18,0),"")</f>
        <v>RNHD30FWAJC07892</v>
      </c>
      <c r="L598" s="353">
        <f>IFERROR(VLOOKUP(M598,'02. MM-KLH'!$B$6:$T$823,4,0),"")</f>
        <v>0</v>
      </c>
      <c r="M598" s="49" t="s">
        <v>2494</v>
      </c>
      <c r="N598" s="356">
        <f>IFERROR(VLOOKUP(M598,'02. MM-KLH'!$B$6:$T$823,15,0),"")</f>
        <v>2018</v>
      </c>
      <c r="O598" s="764">
        <f>IFERROR(VLOOKUP(M598,'02. MM-KLH'!$B$6:$T$823,9,0),"")</f>
        <v>0</v>
      </c>
      <c r="P598" s="353">
        <v>106195</v>
      </c>
      <c r="Q598" s="353"/>
      <c r="R598" s="353" t="s">
        <v>5978</v>
      </c>
      <c r="S598" s="353"/>
      <c r="T598" s="353"/>
      <c r="U598" s="353" t="str">
        <f>IFERROR(VLOOKUP(M598,'02. MM-KLH'!$B$6:$T$823,5,0),"")</f>
        <v>ĐQSD</v>
      </c>
      <c r="V598" s="731" t="str">
        <f>IFERROR(VLOOKUP(M598,'02. MM-KLH'!$B$6:$T$823,8,0),"")</f>
        <v>Phòng GNVC</v>
      </c>
      <c r="W598" s="353" t="str">
        <f>IFERROR(VLOOKUP(V598,'NS QUẢN LÝ CG'!$A$4:$D$36,2,0),"")</f>
        <v/>
      </c>
      <c r="X598" s="353" t="str">
        <f>IFERROR(VLOOKUP(V598,'NS QUẢN LÝ CG'!$A$4:$D$36,4,0),"")</f>
        <v/>
      </c>
      <c r="Y598" s="353" t="str">
        <f>IFERROR(VLOOKUP(V598,'NS QUẢN LÝ CG'!$A$4:$C$36,3,0),"")</f>
        <v/>
      </c>
      <c r="Z598" s="731" t="str">
        <f>IFERROR(VLOOKUP(M598,'02. MM-KLH'!$B$6:$T$823,3,0),"")</f>
        <v>ATT-A22-0176</v>
      </c>
      <c r="AA598" s="353" t="s">
        <v>5980</v>
      </c>
      <c r="AB598" s="731"/>
      <c r="AC598" s="731"/>
    </row>
    <row r="599" ht="13.8" spans="1:29">
      <c r="A599" s="731"/>
      <c r="B599" s="613" t="str">
        <f>IFERROR(VLOOKUP(M599,'02. MM-KLH'!$B$6:$T$823,6,0),"")</f>
        <v>Xe tải AUMAN GTL D300 E4 (Cấp dầu)</v>
      </c>
      <c r="C599" s="353">
        <v>1</v>
      </c>
      <c r="D599" s="353" t="str">
        <f>IFERROR(VLOOKUP(M599,'02. MM-KLH'!$B$6:$T$823,16,0),"")</f>
        <v>GTL D300E4</v>
      </c>
      <c r="E599" s="353" t="s">
        <v>5978</v>
      </c>
      <c r="F599" s="353"/>
      <c r="G599" s="353"/>
      <c r="H599" s="353" t="str">
        <f>IFERROR(VLOOKUP(M599,'02. MM-KLH'!$B$6:$T$823,17,0),"")</f>
        <v>375HP</v>
      </c>
      <c r="I599" s="763">
        <f>IFERROR(VLOOKUP(M599,'02. MM-KLH'!$B$6:$U$823,20,0),"")</f>
        <v>0.7</v>
      </c>
      <c r="J599" s="613" t="str">
        <f>IFERROR(VLOOKUP(M599,'02. MM-KLH'!$B$6:$T$823,19,0),"")</f>
        <v>WP10375E431618A009911</v>
      </c>
      <c r="K599" s="613" t="str">
        <f>IFERROR(VLOOKUP(M599,'02. MM-KLH'!$B$6:$T$823,18,0),"")</f>
        <v>RNHD30FWAJC078093</v>
      </c>
      <c r="L599" s="353">
        <f>IFERROR(VLOOKUP(M599,'02. MM-KLH'!$B$6:$T$823,4,0),"")</f>
        <v>0</v>
      </c>
      <c r="M599" s="49" t="s">
        <v>2496</v>
      </c>
      <c r="N599" s="356">
        <f>IFERROR(VLOOKUP(M599,'02. MM-KLH'!$B$6:$T$823,15,0),"")</f>
        <v>2018</v>
      </c>
      <c r="O599" s="764">
        <f>IFERROR(VLOOKUP(M599,'02. MM-KLH'!$B$6:$T$823,9,0),"")</f>
        <v>44198</v>
      </c>
      <c r="P599" s="353">
        <v>110450</v>
      </c>
      <c r="Q599" s="353"/>
      <c r="R599" s="353" t="s">
        <v>5978</v>
      </c>
      <c r="S599" s="353"/>
      <c r="T599" s="353"/>
      <c r="U599" s="353" t="str">
        <f>IFERROR(VLOOKUP(M599,'02. MM-KLH'!$B$6:$T$823,5,0),"")</f>
        <v>ĐQSD</v>
      </c>
      <c r="V599" s="731" t="str">
        <f>IFERROR(VLOOKUP(M599,'02. MM-KLH'!$B$6:$T$823,8,0),"")</f>
        <v>Phòng GNVC</v>
      </c>
      <c r="W599" s="353" t="str">
        <f>IFERROR(VLOOKUP(V599,'NS QUẢN LÝ CG'!$A$4:$D$36,2,0),"")</f>
        <v/>
      </c>
      <c r="X599" s="353" t="str">
        <f>IFERROR(VLOOKUP(V599,'NS QUẢN LÝ CG'!$A$4:$D$36,4,0),"")</f>
        <v/>
      </c>
      <c r="Y599" s="353" t="str">
        <f>IFERROR(VLOOKUP(V599,'NS QUẢN LÝ CG'!$A$4:$C$36,3,0),"")</f>
        <v/>
      </c>
      <c r="Z599" s="731" t="str">
        <f>IFERROR(VLOOKUP(M599,'02. MM-KLH'!$B$6:$T$823,3,0),"")</f>
        <v>ATT-A22-0176</v>
      </c>
      <c r="AA599" s="353" t="s">
        <v>5980</v>
      </c>
      <c r="AB599" s="731"/>
      <c r="AC599" s="731"/>
    </row>
    <row r="600" ht="13.8" spans="1:29">
      <c r="A600" s="731"/>
      <c r="B600" s="613" t="str">
        <f>IFERROR(VLOOKUP(M600,'02. MM-KLH'!$B$6:$T$823,6,0),"")</f>
        <v>Xe tải AUMAN GTL D300 E4 (Cấp dầu)</v>
      </c>
      <c r="C600" s="353">
        <v>1</v>
      </c>
      <c r="D600" s="353" t="str">
        <f>IFERROR(VLOOKUP(M600,'02. MM-KLH'!$B$6:$T$823,16,0),"")</f>
        <v>GTL D300E4</v>
      </c>
      <c r="E600" s="353" t="s">
        <v>5978</v>
      </c>
      <c r="F600" s="353"/>
      <c r="G600" s="353"/>
      <c r="H600" s="353" t="str">
        <f>IFERROR(VLOOKUP(M600,'02. MM-KLH'!$B$6:$T$823,17,0),"")</f>
        <v>375HP</v>
      </c>
      <c r="I600" s="763">
        <f>IFERROR(VLOOKUP(M600,'02. MM-KLH'!$B$6:$U$823,20,0),"")</f>
        <v>0.7</v>
      </c>
      <c r="J600" s="613" t="str">
        <f>IFERROR(VLOOKUP(M600,'02. MM-KLH'!$B$6:$T$823,19,0),"")</f>
        <v>CCN</v>
      </c>
      <c r="K600" s="613" t="str">
        <f>IFERROR(VLOOKUP(M600,'02. MM-KLH'!$B$6:$T$823,18,0),"")</f>
        <v>RNHD30FWAJC078086</v>
      </c>
      <c r="L600" s="353">
        <f>IFERROR(VLOOKUP(M600,'02. MM-KLH'!$B$6:$T$823,4,0),"")</f>
        <v>0</v>
      </c>
      <c r="M600" s="49" t="s">
        <v>2504</v>
      </c>
      <c r="N600" s="356">
        <f>IFERROR(VLOOKUP(M600,'02. MM-KLH'!$B$6:$T$823,15,0),"")</f>
        <v>2018</v>
      </c>
      <c r="O600" s="764">
        <f>IFERROR(VLOOKUP(M600,'02. MM-KLH'!$B$6:$T$823,9,0),"")</f>
        <v>44198</v>
      </c>
      <c r="P600" s="353">
        <v>74508</v>
      </c>
      <c r="Q600" s="353"/>
      <c r="R600" s="353" t="s">
        <v>5978</v>
      </c>
      <c r="S600" s="353"/>
      <c r="T600" s="353"/>
      <c r="U600" s="353" t="str">
        <f>IFERROR(VLOOKUP(M600,'02. MM-KLH'!$B$6:$T$823,5,0),"")</f>
        <v>ĐQSD</v>
      </c>
      <c r="V600" s="731" t="str">
        <f>IFERROR(VLOOKUP(M600,'02. MM-KLH'!$B$6:$T$823,8,0),"")</f>
        <v>Phòng GNVC</v>
      </c>
      <c r="W600" s="353" t="str">
        <f>IFERROR(VLOOKUP(V600,'NS QUẢN LÝ CG'!$A$4:$D$36,2,0),"")</f>
        <v/>
      </c>
      <c r="X600" s="353" t="str">
        <f>IFERROR(VLOOKUP(V600,'NS QUẢN LÝ CG'!$A$4:$D$36,4,0),"")</f>
        <v/>
      </c>
      <c r="Y600" s="353" t="str">
        <f>IFERROR(VLOOKUP(V600,'NS QUẢN LÝ CG'!$A$4:$C$36,3,0),"")</f>
        <v/>
      </c>
      <c r="Z600" s="731" t="str">
        <f>IFERROR(VLOOKUP(M600,'02. MM-KLH'!$B$6:$T$823,3,0),"")</f>
        <v>A23-XTA-001</v>
      </c>
      <c r="AA600" s="353" t="str">
        <f>_xlfn.SWITCH(LEFT(Z600,3),"A22","ADM","A23","DP","A24","LP","")</f>
        <v>DP</v>
      </c>
      <c r="AB600" s="731"/>
      <c r="AC600" s="731"/>
    </row>
    <row r="601" ht="13.8" spans="1:29">
      <c r="A601" s="731"/>
      <c r="B601" s="613" t="str">
        <f>IFERROR(VLOOKUP(M601,'02. MM-KLH'!$B$6:$T$823,6,0),"")</f>
        <v>Xe tải AUMAN GTL D300 E4 (Cấp dầu)</v>
      </c>
      <c r="C601" s="353">
        <v>1</v>
      </c>
      <c r="D601" s="353" t="str">
        <f>IFERROR(VLOOKUP(M601,'02. MM-KLH'!$B$6:$T$823,16,0),"")</f>
        <v>GTL D300E4</v>
      </c>
      <c r="E601" s="353" t="s">
        <v>5978</v>
      </c>
      <c r="F601" s="353"/>
      <c r="G601" s="353"/>
      <c r="H601" s="353" t="str">
        <f>IFERROR(VLOOKUP(M601,'02. MM-KLH'!$B$6:$T$823,17,0),"")</f>
        <v>375HP</v>
      </c>
      <c r="I601" s="763">
        <f>IFERROR(VLOOKUP(M601,'02. MM-KLH'!$B$6:$U$823,20,0),"")</f>
        <v>0.7</v>
      </c>
      <c r="J601" s="613" t="str">
        <f>IFERROR(VLOOKUP(M601,'02. MM-KLH'!$B$6:$T$823,19,0),"")</f>
        <v>WP10375E431618A008105</v>
      </c>
      <c r="K601" s="613" t="str">
        <f>IFERROR(VLOOKUP(M601,'02. MM-KLH'!$B$6:$T$823,18,0),"")</f>
        <v>RNHD30FWAJCO078101</v>
      </c>
      <c r="L601" s="353">
        <f>IFERROR(VLOOKUP(M601,'02. MM-KLH'!$B$6:$T$823,4,0),"")</f>
        <v>0</v>
      </c>
      <c r="M601" s="49" t="s">
        <v>2508</v>
      </c>
      <c r="N601" s="356">
        <f>IFERROR(VLOOKUP(M601,'02. MM-KLH'!$B$6:$T$823,15,0),"")</f>
        <v>2018</v>
      </c>
      <c r="O601" s="764">
        <f>IFERROR(VLOOKUP(M601,'02. MM-KLH'!$B$6:$T$823,9,0),"")</f>
        <v>44205</v>
      </c>
      <c r="P601" s="353">
        <v>109373</v>
      </c>
      <c r="Q601" s="353"/>
      <c r="R601" s="353" t="s">
        <v>5978</v>
      </c>
      <c r="S601" s="353"/>
      <c r="T601" s="353"/>
      <c r="U601" s="353" t="str">
        <f>IFERROR(VLOOKUP(M601,'02. MM-KLH'!$B$6:$T$823,5,0),"")</f>
        <v>ĐQSD</v>
      </c>
      <c r="V601" s="731" t="str">
        <f>IFERROR(VLOOKUP(M601,'02. MM-KLH'!$B$6:$T$823,8,0),"")</f>
        <v>Phòng GNVC</v>
      </c>
      <c r="W601" s="353" t="str">
        <f>IFERROR(VLOOKUP(V601,'NS QUẢN LÝ CG'!$A$4:$D$36,2,0),"")</f>
        <v/>
      </c>
      <c r="X601" s="353" t="str">
        <f>IFERROR(VLOOKUP(W601,'NS QUẢN LÝ CG'!$A$4:$D$36,2,0),"")</f>
        <v/>
      </c>
      <c r="Y601" s="353" t="str">
        <f>IFERROR(VLOOKUP(V601,'NS QUẢN LÝ CG'!$A$4:$C$36,3,0),"")</f>
        <v/>
      </c>
      <c r="Z601" s="731" t="str">
        <f>IFERROR(VLOOKUP(M601,'02. MM-KLH'!$B$6:$T$823,3,0),"")</f>
        <v>ATT-A24-0079</v>
      </c>
      <c r="AA601" s="353" t="s">
        <v>5981</v>
      </c>
      <c r="AB601" s="731"/>
      <c r="AC601" s="731"/>
    </row>
    <row r="602" ht="13.8" spans="1:29">
      <c r="A602" s="731"/>
      <c r="B602" s="613" t="str">
        <f>IFERROR(VLOOKUP(M602,'02. MM-KLH'!$B$6:$T$823,6,0),"")</f>
        <v/>
      </c>
      <c r="C602" s="353"/>
      <c r="D602" s="353" t="str">
        <f>IFERROR(VLOOKUP(M602,'02. MM-KLH'!$B$6:$T$823,16,0),"")</f>
        <v/>
      </c>
      <c r="E602" s="353"/>
      <c r="F602" s="353"/>
      <c r="G602" s="353"/>
      <c r="H602" s="353" t="str">
        <f>IFERROR(VLOOKUP(M602,'02. MM-KLH'!$B$6:$T$823,17,0),"")</f>
        <v/>
      </c>
      <c r="I602" s="763" t="str">
        <f>IFERROR(VLOOKUP(M602,'02. MM-KLH'!$B$6:$U$823,20,0),"")</f>
        <v/>
      </c>
      <c r="J602" s="613" t="str">
        <f>IFERROR(VLOOKUP(M602,'02. MM-KLH'!$B$6:$T$823,19,0),"")</f>
        <v/>
      </c>
      <c r="K602" s="613" t="str">
        <f>IFERROR(VLOOKUP(M602,'02. MM-KLH'!$B$6:$T$823,18,0),"")</f>
        <v/>
      </c>
      <c r="L602" s="353" t="str">
        <f>IFERROR(VLOOKUP(M602,'02. MM-KLH'!$B$6:$T$823,4,0),"")</f>
        <v/>
      </c>
      <c r="M602" s="49"/>
      <c r="N602" s="356" t="str">
        <f>IFERROR(VLOOKUP(M602,'02. MM-KLH'!$B$6:$T$823,15,0),"")</f>
        <v/>
      </c>
      <c r="O602" s="764" t="str">
        <f>IFERROR(VLOOKUP(M602,'02. MM-KLH'!$B$6:$T$823,9,0),"")</f>
        <v/>
      </c>
      <c r="P602" s="353"/>
      <c r="Q602" s="353"/>
      <c r="R602" s="353"/>
      <c r="S602" s="353"/>
      <c r="T602" s="353"/>
      <c r="U602" s="353" t="str">
        <f>IFERROR(VLOOKUP(M602,'02. MM-KLH'!$B$6:$T$823,2,0),"")</f>
        <v/>
      </c>
      <c r="V602" s="731" t="str">
        <f>IFERROR(VLOOKUP(M602,'02. MM-KLH'!$B$6:$T$823,8,0),"")</f>
        <v/>
      </c>
      <c r="W602" s="353" t="str">
        <f>IFERROR(VLOOKUP(V602,'NS QUẢN LÝ CG'!$A$4:$D$36,2,0),"")</f>
        <v/>
      </c>
      <c r="X602" s="353" t="str">
        <f>IFERROR(VLOOKUP(V602,'NS QUẢN LÝ CG'!$A$4:$D$36,4,0),"")</f>
        <v/>
      </c>
      <c r="Y602" s="353"/>
      <c r="Z602" s="731" t="str">
        <f>IFERROR(VLOOKUP(M602,'02. MM-KLH'!$B$6:$T$823,3,0),"")</f>
        <v/>
      </c>
      <c r="AA602" s="353"/>
      <c r="AB602" s="731"/>
      <c r="AC602" s="731"/>
    </row>
    <row r="603" ht="13.8" hidden="1" spans="1:29">
      <c r="A603" s="731"/>
      <c r="B603" s="613" t="str">
        <f>IFERROR(VLOOKUP(M603,'02. MM-KLH'!$B$6:$T$823,6,0),"")</f>
        <v/>
      </c>
      <c r="C603" s="353"/>
      <c r="D603" s="353" t="str">
        <f>IFERROR(VLOOKUP(M603,'02. MM-KLH'!$B$6:$T$823,16,0),"")</f>
        <v/>
      </c>
      <c r="E603" s="353"/>
      <c r="F603" s="353"/>
      <c r="G603" s="353"/>
      <c r="H603" s="353" t="str">
        <f>IFERROR(VLOOKUP(M603,'02. MM-KLH'!$B$6:$T$823,17,0),"")</f>
        <v/>
      </c>
      <c r="I603" s="763" t="str">
        <f>IFERROR(VLOOKUP(M603,'02. MM-KLH'!$B$6:$U$823,20,0),"")</f>
        <v/>
      </c>
      <c r="J603" s="613" t="str">
        <f>IFERROR(VLOOKUP(M603,'02. MM-KLH'!$B$6:$T$823,19,0),"")</f>
        <v/>
      </c>
      <c r="K603" s="613" t="str">
        <f>IFERROR(VLOOKUP(M603,'02. MM-KLH'!$B$6:$T$823,18,0),"")</f>
        <v/>
      </c>
      <c r="L603" s="353" t="str">
        <f>IFERROR(VLOOKUP(M603,'02. MM-KLH'!$B$6:$T$823,4,0),"")</f>
        <v/>
      </c>
      <c r="M603" s="49"/>
      <c r="N603" s="356" t="str">
        <f>IFERROR(VLOOKUP(M603,'02. MM-KLH'!$B$6:$T$823,15,0),"")</f>
        <v/>
      </c>
      <c r="O603" s="764" t="str">
        <f>IFERROR(VLOOKUP(M603,'02. MM-KLH'!$B$6:$T$823,9,0),"")</f>
        <v/>
      </c>
      <c r="P603" s="353"/>
      <c r="Q603" s="353"/>
      <c r="R603" s="353"/>
      <c r="S603" s="353"/>
      <c r="T603" s="353"/>
      <c r="U603" s="353" t="str">
        <f>IFERROR(VLOOKUP(M603,'02. MM-KLH'!$B$6:$T$823,2,0),"")</f>
        <v/>
      </c>
      <c r="V603" s="731" t="str">
        <f>IFERROR(VLOOKUP(M603,'02. MM-KLH'!$B$6:$T$823,8,0),"")</f>
        <v/>
      </c>
      <c r="W603" s="353"/>
      <c r="X603" s="353"/>
      <c r="Y603" s="353"/>
      <c r="Z603" s="731" t="str">
        <f>IFERROR(VLOOKUP(M603,'02. MM-KLH'!$B$6:$T$823,3,0),"")</f>
        <v/>
      </c>
      <c r="AA603" s="353"/>
      <c r="AB603" s="731"/>
      <c r="AC603" s="731"/>
    </row>
    <row r="604" ht="13.8" hidden="1" spans="1:29">
      <c r="A604" s="731"/>
      <c r="B604" s="613" t="str">
        <f>IFERROR(VLOOKUP(M604,'02. MM-KLH'!$B$6:$T$823,6,0),"")</f>
        <v/>
      </c>
      <c r="C604" s="353"/>
      <c r="D604" s="353" t="str">
        <f>IFERROR(VLOOKUP(M604,'02. MM-KLH'!$B$6:$T$823,16,0),"")</f>
        <v/>
      </c>
      <c r="E604" s="353"/>
      <c r="F604" s="353"/>
      <c r="G604" s="353"/>
      <c r="H604" s="353" t="str">
        <f>IFERROR(VLOOKUP(M604,'02. MM-KLH'!$B$6:$T$823,17,0),"")</f>
        <v/>
      </c>
      <c r="I604" s="763" t="str">
        <f>IFERROR(VLOOKUP(M604,'02. MM-KLH'!$B$6:$U$823,20,0),"")</f>
        <v/>
      </c>
      <c r="J604" s="613" t="str">
        <f>IFERROR(VLOOKUP(M604,'02. MM-KLH'!$B$6:$T$823,19,0),"")</f>
        <v/>
      </c>
      <c r="K604" s="613" t="str">
        <f>IFERROR(VLOOKUP(M604,'02. MM-KLH'!$B$6:$T$823,18,0),"")</f>
        <v/>
      </c>
      <c r="L604" s="353" t="str">
        <f>IFERROR(VLOOKUP(M604,'02. MM-KLH'!$B$6:$T$823,4,0),"")</f>
        <v/>
      </c>
      <c r="M604" s="49"/>
      <c r="N604" s="356" t="str">
        <f>IFERROR(VLOOKUP(M604,'02. MM-KLH'!$B$6:$T$823,15,0),"")</f>
        <v/>
      </c>
      <c r="O604" s="764" t="str">
        <f>IFERROR(VLOOKUP(M604,'02. MM-KLH'!$B$6:$T$823,9,0),"")</f>
        <v/>
      </c>
      <c r="P604" s="353"/>
      <c r="Q604" s="353"/>
      <c r="R604" s="353"/>
      <c r="S604" s="353"/>
      <c r="T604" s="353"/>
      <c r="U604" s="353" t="str">
        <f>IFERROR(VLOOKUP(M604,'02. MM-KLH'!$B$6:$T$823,2,0),"")</f>
        <v/>
      </c>
      <c r="V604" s="731" t="str">
        <f>IFERROR(VLOOKUP(M604,'02. MM-KLH'!$B$6:$T$823,8,0),"")</f>
        <v/>
      </c>
      <c r="W604" s="353"/>
      <c r="X604" s="353"/>
      <c r="Y604" s="353"/>
      <c r="Z604" s="731" t="str">
        <f>IFERROR(VLOOKUP(M604,'02. MM-KLH'!$B$6:$T$823,3,0),"")</f>
        <v/>
      </c>
      <c r="AA604" s="353"/>
      <c r="AB604" s="731"/>
      <c r="AC604" s="731"/>
    </row>
    <row r="605" ht="13.8" spans="1:29">
      <c r="A605" s="754">
        <v>2</v>
      </c>
      <c r="B605" s="755" t="s">
        <v>1267</v>
      </c>
      <c r="C605" s="754">
        <f>COUNTA(B606:B609)</f>
        <v>3</v>
      </c>
      <c r="D605" s="756" t="str">
        <f>IFERROR(VLOOKUP(M605,'02. MM-KLH'!$B$6:$T$823,16,0),"")</f>
        <v/>
      </c>
      <c r="E605" s="756"/>
      <c r="F605" s="756"/>
      <c r="G605" s="756"/>
      <c r="H605" s="762" t="str">
        <f>IFERROR(VLOOKUP(M605,'02. MM-KLH'!$B$6:$T$823,17,0),"")</f>
        <v/>
      </c>
      <c r="I605" s="762" t="str">
        <f>IFERROR(VLOOKUP(M605,'02. MM-KLH'!$B$6:$U$823,20,0),"")</f>
        <v/>
      </c>
      <c r="J605" s="758" t="str">
        <f>IFERROR(VLOOKUP(M605,'02. MM-KLH'!$B$6:$T$823,19,0),"")</f>
        <v/>
      </c>
      <c r="K605" s="758" t="str">
        <f>IFERROR(VLOOKUP(M605,'02. MM-KLH'!$B$6:$T$823,18,0),"")</f>
        <v/>
      </c>
      <c r="L605" s="756" t="str">
        <f>IFERROR(VLOOKUP(M605,'02. MM-KLH'!$B$6:$T$823,4,0),"")</f>
        <v/>
      </c>
      <c r="M605" s="756"/>
      <c r="N605" s="756" t="str">
        <f>IFERROR(VLOOKUP(M605,'02. MM-KLH'!$B$6:$T$823,15,0),"")</f>
        <v/>
      </c>
      <c r="O605" s="760" t="str">
        <f>IFERROR(VLOOKUP(M605,'02. MM-KLH'!$B$6:$T$823,9,0),"")</f>
        <v/>
      </c>
      <c r="P605" s="756"/>
      <c r="Q605" s="756"/>
      <c r="R605" s="756"/>
      <c r="S605" s="756"/>
      <c r="T605" s="756"/>
      <c r="U605" s="756" t="str">
        <f>IFERROR(VLOOKUP(M605,'02. MM-KLH'!$B$6:$T$823,2,0),"")</f>
        <v/>
      </c>
      <c r="V605" s="762" t="str">
        <f>IFERROR(VLOOKUP(M605,'02. MM-KLH'!$B$6:$T$823,8,0),"")</f>
        <v/>
      </c>
      <c r="W605" s="756"/>
      <c r="X605" s="756"/>
      <c r="Y605" s="756"/>
      <c r="Z605" s="762" t="str">
        <f>IFERROR(VLOOKUP(M605,'02. MM-KLH'!$B$6:$T$823,3,0),"")</f>
        <v/>
      </c>
      <c r="AA605" s="756"/>
      <c r="AB605" s="762"/>
      <c r="AC605" s="762"/>
    </row>
    <row r="606" ht="13.8" spans="1:29">
      <c r="A606" s="731"/>
      <c r="B606" s="613" t="str">
        <f>IFERROR(VLOOKUP(M606,'02. MM-KLH'!$B$6:$T$823,6,0),"")</f>
        <v>Xe tải bồn HYUNDAI HD 270</v>
      </c>
      <c r="C606" s="353">
        <v>1</v>
      </c>
      <c r="D606" s="353" t="str">
        <f>IFERROR(VLOOKUP(M606,'02. MM-KLH'!$B$6:$T$823,16,0),"")</f>
        <v>HD270</v>
      </c>
      <c r="E606" s="353" t="s">
        <v>5978</v>
      </c>
      <c r="F606" s="353"/>
      <c r="G606" s="353"/>
      <c r="H606" s="353" t="str">
        <f>IFERROR(VLOOKUP(M606,'02. MM-KLH'!$B$6:$T$823,17,0),"")</f>
        <v>280HP</v>
      </c>
      <c r="I606" s="763">
        <f>IFERROR(VLOOKUP(M606,'02. MM-KLH'!$B$6:$U$823,20,0),"")</f>
        <v>0.7</v>
      </c>
      <c r="J606" s="613" t="str">
        <f>IFERROR(VLOOKUP(M606,'02. MM-KLH'!$B$6:$T$823,19,0),"")</f>
        <v>D6CAGJ310250</v>
      </c>
      <c r="K606" s="613" t="str">
        <f>IFERROR(VLOOKUP(M606,'02. MM-KLH'!$B$6:$T$823,18,0),"")</f>
        <v>KMCDH18SPHC094971</v>
      </c>
      <c r="L606" s="353">
        <f>IFERROR(VLOOKUP(M606,'02. MM-KLH'!$B$6:$T$823,4,0),"")</f>
        <v>0</v>
      </c>
      <c r="M606" s="49" t="s">
        <v>2538</v>
      </c>
      <c r="N606" s="356">
        <f>IFERROR(VLOOKUP(M606,'02. MM-KLH'!$B$6:$T$823,15,0),"")</f>
        <v>2017</v>
      </c>
      <c r="O606" s="764">
        <f>IFERROR(VLOOKUP(M606,'02. MM-KLH'!$B$6:$T$823,9,0),"")</f>
        <v>44197</v>
      </c>
      <c r="P606" s="353" t="s">
        <v>1755</v>
      </c>
      <c r="Q606" s="353"/>
      <c r="R606" s="353" t="s">
        <v>5978</v>
      </c>
      <c r="S606" s="353"/>
      <c r="T606" s="353"/>
      <c r="U606" s="353" t="str">
        <f>IFERROR(VLOOKUP(M606,'02. MM-KLH'!$B$6:$T$823,5,0),"")</f>
        <v>ĐQSD</v>
      </c>
      <c r="V606" s="731" t="str">
        <f>IFERROR(VLOOKUP(M606,'02. MM-KLH'!$B$6:$T$823,8,0),"")</f>
        <v>Trạm trộn bê tông</v>
      </c>
      <c r="W606" s="353" t="str">
        <f>IFERROR(VLOOKUP(V606,'NS QUẢN LÝ CG'!$A$4:$D$36,2,0),"")</f>
        <v/>
      </c>
      <c r="X606" s="353" t="str">
        <f>IFERROR(VLOOKUP(V606,'NS QUẢN LÝ CG'!$A$4:$D$36,4,0),"")</f>
        <v/>
      </c>
      <c r="Y606" s="353" t="str">
        <f>IFERROR(VLOOKUP(V606,'NS QUẢN LÝ CG'!$A$4:$C$36,3,0),"")</f>
        <v/>
      </c>
      <c r="Z606" s="731" t="str">
        <f>IFERROR(VLOOKUP(M606,'02. MM-KLH'!$B$6:$T$823,3,0),"")</f>
        <v>ATT-A22-0159</v>
      </c>
      <c r="AA606" s="353" t="s">
        <v>5980</v>
      </c>
      <c r="AB606" s="731"/>
      <c r="AC606" s="731"/>
    </row>
    <row r="607" ht="13.8" spans="1:29">
      <c r="A607" s="731"/>
      <c r="B607" s="613" t="str">
        <f>IFERROR(VLOOKUP(M607,'02. MM-KLH'!$B$6:$T$823,6,0),"")</f>
        <v>Xe tải bồn HYUNDAI HD 270</v>
      </c>
      <c r="C607" s="353">
        <v>1</v>
      </c>
      <c r="D607" s="353" t="str">
        <f>IFERROR(VLOOKUP(M607,'02. MM-KLH'!$B$6:$T$823,16,0),"")</f>
        <v>HD270</v>
      </c>
      <c r="E607" s="353" t="s">
        <v>5978</v>
      </c>
      <c r="F607" s="353"/>
      <c r="G607" s="353"/>
      <c r="H607" s="353" t="str">
        <f>IFERROR(VLOOKUP(M607,'02. MM-KLH'!$B$6:$T$823,17,0),"")</f>
        <v>280HP</v>
      </c>
      <c r="I607" s="763">
        <f>IFERROR(VLOOKUP(M607,'02. MM-KLH'!$B$6:$U$823,20,0),"")</f>
        <v>0.7</v>
      </c>
      <c r="J607" s="613" t="str">
        <f>IFERROR(VLOOKUP(M607,'02. MM-KLH'!$B$6:$T$823,19,0),"")</f>
        <v>D6CAGJ309410</v>
      </c>
      <c r="K607" s="613" t="str">
        <f>IFERROR(VLOOKUP(M607,'02. MM-KLH'!$B$6:$T$823,18,0),"")</f>
        <v>KMCDH15SPHC094979</v>
      </c>
      <c r="L607" s="353">
        <f>IFERROR(VLOOKUP(M607,'02. MM-KLH'!$B$6:$T$823,4,0),"")</f>
        <v>0</v>
      </c>
      <c r="M607" s="49" t="s">
        <v>2542</v>
      </c>
      <c r="N607" s="356">
        <f>IFERROR(VLOOKUP(M607,'02. MM-KLH'!$B$6:$T$823,15,0),"")</f>
        <v>2017</v>
      </c>
      <c r="O607" s="764">
        <f>IFERROR(VLOOKUP(M607,'02. MM-KLH'!$B$6:$T$823,9,0),"")</f>
        <v>44197</v>
      </c>
      <c r="P607" s="353" t="s">
        <v>1755</v>
      </c>
      <c r="Q607" s="353"/>
      <c r="R607" s="353" t="s">
        <v>5978</v>
      </c>
      <c r="S607" s="353"/>
      <c r="T607" s="353"/>
      <c r="U607" s="353" t="str">
        <f>IFERROR(VLOOKUP(M607,'02. MM-KLH'!$B$6:$T$823,5,0),"")</f>
        <v>ĐQSD</v>
      </c>
      <c r="V607" s="731" t="str">
        <f>IFERROR(VLOOKUP(M607,'02. MM-KLH'!$B$6:$T$823,8,0),"")</f>
        <v>Trạm trộn bê tông</v>
      </c>
      <c r="W607" s="353" t="str">
        <f>IFERROR(VLOOKUP(V607,'NS QUẢN LÝ CG'!$A$4:$D$36,2,0),"")</f>
        <v/>
      </c>
      <c r="X607" s="353" t="str">
        <f>IFERROR(VLOOKUP(V607,'NS QUẢN LÝ CG'!$A$4:$D$36,4,0),"")</f>
        <v/>
      </c>
      <c r="Y607" s="353" t="str">
        <f>IFERROR(VLOOKUP(V607,'NS QUẢN LÝ CG'!$A$4:$C$36,3,0),"")</f>
        <v/>
      </c>
      <c r="Z607" s="731" t="str">
        <f>IFERROR(VLOOKUP(M607,'02. MM-KLH'!$B$6:$T$823,3,0),"")</f>
        <v>ATT-A22-0160</v>
      </c>
      <c r="AA607" s="353" t="s">
        <v>5980</v>
      </c>
      <c r="AB607" s="731"/>
      <c r="AC607" s="731"/>
    </row>
    <row r="608" ht="13.8" spans="1:29">
      <c r="A608" s="731"/>
      <c r="B608" s="613" t="str">
        <f>IFERROR(VLOOKUP(M608,'02. MM-KLH'!$B$6:$T$823,6,0),"")</f>
        <v>Xe tải bồn HYUNDAI HD 270</v>
      </c>
      <c r="C608" s="353">
        <v>1</v>
      </c>
      <c r="D608" s="353" t="str">
        <f>IFERROR(VLOOKUP(M608,'02. MM-KLH'!$B$6:$T$823,16,0),"")</f>
        <v>HD270</v>
      </c>
      <c r="E608" s="353" t="s">
        <v>5978</v>
      </c>
      <c r="F608" s="353"/>
      <c r="G608" s="353"/>
      <c r="H608" s="353" t="str">
        <f>IFERROR(VLOOKUP(M608,'02. MM-KLH'!$B$6:$T$823,17,0),"")</f>
        <v>280HP</v>
      </c>
      <c r="I608" s="763">
        <f>IFERROR(VLOOKUP(M608,'02. MM-KLH'!$B$6:$U$823,20,0),"")</f>
        <v>0.7</v>
      </c>
      <c r="J608" s="613" t="str">
        <f>IFERROR(VLOOKUP(M608,'02. MM-KLH'!$B$6:$T$823,19,0),"")</f>
        <v>D6CAGJ309414</v>
      </c>
      <c r="K608" s="613" t="str">
        <f>IFERROR(VLOOKUP(M608,'02. MM-KLH'!$B$6:$T$823,18,0),"")</f>
        <v>KMCDH18SPHC094980</v>
      </c>
      <c r="L608" s="353">
        <f>IFERROR(VLOOKUP(M608,'02. MM-KLH'!$B$6:$T$823,4,0),"")</f>
        <v>0</v>
      </c>
      <c r="M608" s="49" t="s">
        <v>2545</v>
      </c>
      <c r="N608" s="356">
        <f>IFERROR(VLOOKUP(M608,'02. MM-KLH'!$B$6:$T$823,15,0),"")</f>
        <v>2017</v>
      </c>
      <c r="O608" s="764">
        <f>IFERROR(VLOOKUP(M608,'02. MM-KLH'!$B$6:$T$823,9,0),"")</f>
        <v>44197</v>
      </c>
      <c r="P608" s="353" t="s">
        <v>1755</v>
      </c>
      <c r="Q608" s="353"/>
      <c r="R608" s="353" t="s">
        <v>5978</v>
      </c>
      <c r="S608" s="353"/>
      <c r="T608" s="353"/>
      <c r="U608" s="353" t="str">
        <f>IFERROR(VLOOKUP(M608,'02. MM-KLH'!$B$6:$T$823,5,0),"")</f>
        <v>ĐQSD</v>
      </c>
      <c r="V608" s="731" t="str">
        <f>IFERROR(VLOOKUP(M608,'02. MM-KLH'!$B$6:$T$823,8,0),"")</f>
        <v>Trạm trộn bê tông</v>
      </c>
      <c r="W608" s="353" t="str">
        <f>IFERROR(VLOOKUP(V608,'NS QUẢN LÝ CG'!$A$4:$D$36,2,0),"")</f>
        <v/>
      </c>
      <c r="X608" s="353" t="str">
        <f>IFERROR(VLOOKUP(V608,'NS QUẢN LÝ CG'!$A$4:$D$36,4,0),"")</f>
        <v/>
      </c>
      <c r="Y608" s="353" t="str">
        <f>IFERROR(VLOOKUP(V608,'NS QUẢN LÝ CG'!$A$4:$C$36,3,0),"")</f>
        <v/>
      </c>
      <c r="Z608" s="731" t="str">
        <f>IFERROR(VLOOKUP(M608,'02. MM-KLH'!$B$6:$T$823,3,0),"")</f>
        <v>ATT-A22-0161</v>
      </c>
      <c r="AA608" s="353" t="s">
        <v>5980</v>
      </c>
      <c r="AB608" s="731"/>
      <c r="AC608" s="731"/>
    </row>
    <row r="609" ht="13.8" spans="1:29">
      <c r="A609" s="731"/>
      <c r="B609" s="613"/>
      <c r="C609" s="353"/>
      <c r="D609" s="353"/>
      <c r="E609" s="353"/>
      <c r="F609" s="353"/>
      <c r="G609" s="353"/>
      <c r="H609" s="353"/>
      <c r="I609" s="763"/>
      <c r="J609" s="613"/>
      <c r="K609" s="613"/>
      <c r="L609" s="353"/>
      <c r="M609" s="49"/>
      <c r="N609" s="356"/>
      <c r="O609" s="764"/>
      <c r="P609" s="353"/>
      <c r="Q609" s="353"/>
      <c r="R609" s="353"/>
      <c r="S609" s="353"/>
      <c r="T609" s="353"/>
      <c r="U609" s="353"/>
      <c r="V609" s="731"/>
      <c r="W609" s="353"/>
      <c r="X609" s="353" t="str">
        <f>IFERROR(VLOOKUP(V609,'NS QUẢN LÝ CG'!$A$4:$D$36,4,0),"")</f>
        <v/>
      </c>
      <c r="Y609" s="353"/>
      <c r="Z609" s="731"/>
      <c r="AA609" s="353"/>
      <c r="AB609" s="731"/>
      <c r="AC609" s="731"/>
    </row>
    <row r="610" ht="13.8" spans="1:29">
      <c r="A610" s="754">
        <v>3</v>
      </c>
      <c r="B610" s="755" t="s">
        <v>2549</v>
      </c>
      <c r="C610" s="754">
        <f>COUNTA(B611:B612)</f>
        <v>1</v>
      </c>
      <c r="D610" s="756" t="str">
        <f>IFERROR(VLOOKUP(M610,'02. MM-KLH'!$B$6:$T$823,16,0),"")</f>
        <v/>
      </c>
      <c r="E610" s="756"/>
      <c r="F610" s="756"/>
      <c r="G610" s="756"/>
      <c r="H610" s="762" t="str">
        <f>IFERROR(VLOOKUP(M610,'02. MM-KLH'!$B$6:$T$823,17,0),"")</f>
        <v/>
      </c>
      <c r="I610" s="762" t="str">
        <f>IFERROR(VLOOKUP(M610,'02. MM-KLH'!$B$6:$U$823,20,0),"")</f>
        <v/>
      </c>
      <c r="J610" s="758" t="str">
        <f>IFERROR(VLOOKUP(M610,'02. MM-KLH'!$B$6:$T$823,19,0),"")</f>
        <v/>
      </c>
      <c r="K610" s="758" t="str">
        <f>IFERROR(VLOOKUP(M610,'02. MM-KLH'!$B$6:$T$823,18,0),"")</f>
        <v/>
      </c>
      <c r="L610" s="756" t="str">
        <f>IFERROR(VLOOKUP(M610,'02. MM-KLH'!$B$6:$T$823,4,0),"")</f>
        <v/>
      </c>
      <c r="M610" s="756"/>
      <c r="N610" s="756" t="str">
        <f>IFERROR(VLOOKUP(M610,'02. MM-KLH'!$B$6:$T$823,15,0),"")</f>
        <v/>
      </c>
      <c r="O610" s="760" t="str">
        <f>IFERROR(VLOOKUP(M610,'02. MM-KLH'!$B$6:$T$823,9,0),"")</f>
        <v/>
      </c>
      <c r="P610" s="756"/>
      <c r="Q610" s="756"/>
      <c r="R610" s="756"/>
      <c r="S610" s="756"/>
      <c r="T610" s="756"/>
      <c r="U610" s="756" t="str">
        <f>IFERROR(VLOOKUP(M610,'02. MM-KLH'!$B$6:$T$823,2,0),"")</f>
        <v/>
      </c>
      <c r="V610" s="762" t="str">
        <f>IFERROR(VLOOKUP(M610,'02. MM-KLH'!$B$6:$T$823,8,0),"")</f>
        <v/>
      </c>
      <c r="W610" s="756"/>
      <c r="X610" s="756"/>
      <c r="Y610" s="756"/>
      <c r="Z610" s="762" t="str">
        <f>IFERROR(VLOOKUP(M610,'02. MM-KLH'!$B$6:$T$823,3,0),"")</f>
        <v/>
      </c>
      <c r="AA610" s="756"/>
      <c r="AB610" s="762"/>
      <c r="AC610" s="762"/>
    </row>
    <row r="611" ht="13.8" spans="1:29">
      <c r="A611" s="731"/>
      <c r="B611" s="613" t="str">
        <f>IFERROR(VLOOKUP(M611,'02. MM-KLH'!$B$6:$T$823,6,0),"")</f>
        <v>Xe tải bồn FORTON</v>
      </c>
      <c r="C611" s="353">
        <v>1</v>
      </c>
      <c r="D611" s="353" t="str">
        <f>IFERROR(VLOOKUP(M611,'02. MM-KLH'!$B$6:$T$823,16,0),"")</f>
        <v>BJ5253GJB-AB</v>
      </c>
      <c r="E611" s="353" t="s">
        <v>5978</v>
      </c>
      <c r="F611" s="353"/>
      <c r="G611" s="353"/>
      <c r="H611" s="353" t="str">
        <f>IFERROR(VLOOKUP(M611,'02. MM-KLH'!$B$6:$T$823,17,0),"")</f>
        <v>335HP</v>
      </c>
      <c r="I611" s="763">
        <f>IFERROR(VLOOKUP(M611,'02. MM-KLH'!$B$6:$U$823,20,0),"")</f>
        <v>0.7</v>
      </c>
      <c r="J611" s="613" t="str">
        <f>IFERROR(VLOOKUP(M611,'02. MM-KLH'!$B$6:$T$823,19,0),"")</f>
        <v>ISGe534076226632</v>
      </c>
      <c r="K611" s="613" t="str">
        <f>IFERROR(VLOOKUP(M611,'02. MM-KLH'!$B$6:$T$823,18,0),"")</f>
        <v>LRDV6PEC7JH613967</v>
      </c>
      <c r="L611" s="353">
        <f>IFERROR(VLOOKUP(M611,'02. MM-KLH'!$B$6:$T$823,4,0),"")</f>
        <v>0</v>
      </c>
      <c r="M611" s="49" t="s">
        <v>2548</v>
      </c>
      <c r="N611" s="356">
        <f>IFERROR(VLOOKUP(M611,'02. MM-KLH'!$B$6:$T$823,15,0),"")</f>
        <v>2018</v>
      </c>
      <c r="O611" s="764">
        <f>IFERROR(VLOOKUP(M611,'02. MM-KLH'!$B$6:$T$823,9,0),"")</f>
        <v>44197</v>
      </c>
      <c r="P611" s="353" t="s">
        <v>1755</v>
      </c>
      <c r="Q611" s="353"/>
      <c r="R611" s="353" t="s">
        <v>5978</v>
      </c>
      <c r="S611" s="353"/>
      <c r="T611" s="353"/>
      <c r="U611" s="353" t="str">
        <f>IFERROR(VLOOKUP(M611,'02. MM-KLH'!$B$6:$T$823,5,0),"")</f>
        <v>ĐQSD</v>
      </c>
      <c r="V611" s="731" t="str">
        <f>IFERROR(VLOOKUP(M611,'02. MM-KLH'!$B$6:$T$823,8,0),"")</f>
        <v>Trạm trộn bê tông</v>
      </c>
      <c r="W611" s="353" t="str">
        <f>IFERROR(VLOOKUP(V611,'NS QUẢN LÝ CG'!$A$4:$D$36,2,0),"")</f>
        <v/>
      </c>
      <c r="X611" s="353" t="str">
        <f>IFERROR(VLOOKUP(V611,'NS QUẢN LÝ CG'!$A$4:$D$36,4,0),"")</f>
        <v/>
      </c>
      <c r="Y611" s="353" t="str">
        <f>IFERROR(VLOOKUP(V611,'NS QUẢN LÝ CG'!$A$4:$C$36,3,0),"")</f>
        <v/>
      </c>
      <c r="Z611" s="731" t="str">
        <f>IFERROR(VLOOKUP(M611,'02. MM-KLH'!$B$6:$T$823,3,0),"")</f>
        <v>ATT-A22-0162</v>
      </c>
      <c r="AA611" s="353" t="s">
        <v>5980</v>
      </c>
      <c r="AB611" s="731"/>
      <c r="AC611" s="731"/>
    </row>
    <row r="612" ht="13.8" spans="1:29">
      <c r="A612" s="731"/>
      <c r="B612" s="613"/>
      <c r="C612" s="353"/>
      <c r="D612" s="353"/>
      <c r="E612" s="353"/>
      <c r="F612" s="353"/>
      <c r="G612" s="353"/>
      <c r="H612" s="353"/>
      <c r="I612" s="763"/>
      <c r="J612" s="613"/>
      <c r="K612" s="613"/>
      <c r="L612" s="353"/>
      <c r="M612" s="49"/>
      <c r="N612" s="356"/>
      <c r="O612" s="764"/>
      <c r="P612" s="353"/>
      <c r="Q612" s="353"/>
      <c r="R612" s="353"/>
      <c r="S612" s="353"/>
      <c r="T612" s="353"/>
      <c r="U612" s="353"/>
      <c r="V612" s="731"/>
      <c r="W612" s="353" t="str">
        <f>IFERROR(VLOOKUP(V612,'NS QUẢN LÝ CG'!$A$4:$D$36,2,0),"")</f>
        <v/>
      </c>
      <c r="X612" s="353"/>
      <c r="Y612" s="353"/>
      <c r="Z612" s="731"/>
      <c r="AA612" s="353"/>
      <c r="AB612" s="731"/>
      <c r="AC612" s="731"/>
    </row>
    <row r="613" ht="13.8" spans="1:29">
      <c r="A613" s="754">
        <v>4</v>
      </c>
      <c r="B613" s="755" t="s">
        <v>2327</v>
      </c>
      <c r="C613" s="754">
        <f>COUNTA(B614:B621)</f>
        <v>6</v>
      </c>
      <c r="D613" s="756" t="str">
        <f>IFERROR(VLOOKUP(M613,'02. MM-KLH'!$B$6:$T$823,16,0),"")</f>
        <v/>
      </c>
      <c r="E613" s="756"/>
      <c r="F613" s="756"/>
      <c r="G613" s="756"/>
      <c r="H613" s="762" t="str">
        <f>IFERROR(VLOOKUP(M613,'02. MM-KLH'!$B$6:$T$823,17,0),"")</f>
        <v/>
      </c>
      <c r="I613" s="762" t="str">
        <f>IFERROR(VLOOKUP(M613,'02. MM-KLH'!$B$6:$U$823,20,0),"")</f>
        <v/>
      </c>
      <c r="J613" s="758" t="str">
        <f>IFERROR(VLOOKUP(M613,'02. MM-KLH'!$B$6:$T$823,19,0),"")</f>
        <v/>
      </c>
      <c r="K613" s="758" t="str">
        <f>IFERROR(VLOOKUP(M613,'02. MM-KLH'!$B$6:$T$823,18,0),"")</f>
        <v/>
      </c>
      <c r="L613" s="756" t="str">
        <f>IFERROR(VLOOKUP(M613,'02. MM-KLH'!$B$6:$T$823,4,0),"")</f>
        <v/>
      </c>
      <c r="M613" s="756"/>
      <c r="N613" s="756" t="str">
        <f>IFERROR(VLOOKUP(M613,'02. MM-KLH'!$B$6:$T$823,15,0),"")</f>
        <v/>
      </c>
      <c r="O613" s="760" t="str">
        <f>IFERROR(VLOOKUP(M613,'02. MM-KLH'!$B$6:$T$823,9,0),"")</f>
        <v/>
      </c>
      <c r="P613" s="756"/>
      <c r="Q613" s="756"/>
      <c r="R613" s="756"/>
      <c r="S613" s="756"/>
      <c r="T613" s="756"/>
      <c r="U613" s="756" t="str">
        <f>IFERROR(VLOOKUP(M613,'02. MM-KLH'!$B$6:$T$823,2,0),"")</f>
        <v/>
      </c>
      <c r="V613" s="762" t="str">
        <f>IFERROR(VLOOKUP(M613,'02. MM-KLH'!$B$6:$T$823,8,0),"")</f>
        <v/>
      </c>
      <c r="W613" s="756"/>
      <c r="X613" s="756"/>
      <c r="Y613" s="756"/>
      <c r="Z613" s="762" t="str">
        <f>IFERROR(VLOOKUP(M613,'02. MM-KLH'!$B$6:$T$823,3,0),"")</f>
        <v/>
      </c>
      <c r="AA613" s="756"/>
      <c r="AB613" s="762"/>
      <c r="AC613" s="762"/>
    </row>
    <row r="614" ht="13.8" spans="1:29">
      <c r="A614" s="731"/>
      <c r="B614" s="613" t="str">
        <f>IFERROR(VLOOKUP(M614,'02. MM-KLH'!$B$6:$T$823,6,0),"")</f>
        <v>Xe tải bồn CNHTC Sinotruk</v>
      </c>
      <c r="C614" s="353">
        <v>1</v>
      </c>
      <c r="D614" s="353" t="str">
        <f>IFERROR(VLOOKUP(M614,'02. MM-KLH'!$B$6:$T$823,16,0),"")</f>
        <v>ZZ5257GJBN3847E1</v>
      </c>
      <c r="E614" s="353" t="s">
        <v>5978</v>
      </c>
      <c r="F614" s="353"/>
      <c r="G614" s="353"/>
      <c r="H614" s="353" t="str">
        <f>IFERROR(VLOOKUP(M614,'02. MM-KLH'!$B$6:$T$823,17,0),"")</f>
        <v>338.5HP</v>
      </c>
      <c r="I614" s="763">
        <f>IFERROR(VLOOKUP(M614,'02. MM-KLH'!$B$6:$U$823,20,0),"")</f>
        <v>0.7</v>
      </c>
      <c r="J614" s="613" t="str">
        <f>IFERROR(VLOOKUP(M614,'02. MM-KLH'!$B$6:$T$823,19,0),"")</f>
        <v>D103450230507007387</v>
      </c>
      <c r="K614" s="613" t="str">
        <f>IFERROR(VLOOKUP(M614,'02. MM-KLH'!$B$6:$T$823,18,0),"")</f>
        <v>LZZ1BLND6PA126475</v>
      </c>
      <c r="L614" s="353" t="str">
        <f>IFERROR(VLOOKUP(M614,'02. MM-KLH'!$B$6:$T$823,4,0),"")</f>
        <v>5A-0004</v>
      </c>
      <c r="M614" s="49" t="s">
        <v>2553</v>
      </c>
      <c r="N614" s="356">
        <f>IFERROR(VLOOKUP(M614,'02. MM-KLH'!$B$6:$T$823,15,0),"")</f>
        <v>2023</v>
      </c>
      <c r="O614" s="764" t="str">
        <f>IFERROR(VLOOKUP(M614,'02. MM-KLH'!$B$6:$T$823,9,0),"")</f>
        <v>17/12/2023</v>
      </c>
      <c r="P614" s="353"/>
      <c r="Q614" s="353"/>
      <c r="R614" s="353" t="s">
        <v>5978</v>
      </c>
      <c r="S614" s="353"/>
      <c r="T614" s="353"/>
      <c r="U614" s="353" t="str">
        <f>IFERROR(VLOOKUP(M614,'02. MM-KLH'!$B$6:$T$823,5,0),"")</f>
        <v>MỚI</v>
      </c>
      <c r="V614" s="731" t="str">
        <f>IFERROR(VLOOKUP(M614,'02. MM-KLH'!$B$6:$T$823,8,0),"")</f>
        <v>Trạm trộn bê tông</v>
      </c>
      <c r="W614" s="353" t="str">
        <f>IFERROR(VLOOKUP(V614,'NS QUẢN LÝ CG'!$A$4:$D$36,2,0),"")</f>
        <v/>
      </c>
      <c r="X614" s="353" t="str">
        <f>IFERROR(VLOOKUP(V614,'NS QUẢN LÝ CG'!$A$4:$D$36,4,0),"")</f>
        <v/>
      </c>
      <c r="Y614" s="353" t="str">
        <f>IFERROR(VLOOKUP(V614,'NS QUẢN LÝ CG'!$A$4:$C$36,3,0),"")</f>
        <v/>
      </c>
      <c r="Z614" s="731" t="str">
        <f>IFERROR(VLOOKUP(M614,'02. MM-KLH'!$B$6:$T$823,3,0),"")</f>
        <v>ATT-A22-0311</v>
      </c>
      <c r="AA614" s="353" t="s">
        <v>5980</v>
      </c>
      <c r="AB614" s="731"/>
      <c r="AC614" s="731"/>
    </row>
    <row r="615" ht="13.8" spans="1:29">
      <c r="A615" s="731"/>
      <c r="B615" s="613" t="str">
        <f>IFERROR(VLOOKUP(M615,'02. MM-KLH'!$B$6:$T$823,6,0),"")</f>
        <v>Xe tải bồn CNHTC Sinotruk</v>
      </c>
      <c r="C615" s="353">
        <v>1</v>
      </c>
      <c r="D615" s="353" t="str">
        <f>IFERROR(VLOOKUP(M615,'02. MM-KLH'!$B$6:$T$823,16,0),"")</f>
        <v>ZZ5257GJBN3847E1</v>
      </c>
      <c r="E615" s="353" t="s">
        <v>5978</v>
      </c>
      <c r="F615" s="353"/>
      <c r="G615" s="353"/>
      <c r="H615" s="353" t="str">
        <f>IFERROR(VLOOKUP(M615,'02. MM-KLH'!$B$6:$T$823,17,0),"")</f>
        <v>338.5HP</v>
      </c>
      <c r="I615" s="763">
        <f>IFERROR(VLOOKUP(M615,'02. MM-KLH'!$B$6:$U$823,20,0),"")</f>
        <v>0.7</v>
      </c>
      <c r="J615" s="613" t="str">
        <f>IFERROR(VLOOKUP(M615,'02. MM-KLH'!$B$6:$T$823,19,0),"")</f>
        <v>D103450230507007397</v>
      </c>
      <c r="K615" s="613" t="str">
        <f>IFERROR(VLOOKUP(M615,'02. MM-KLH'!$B$6:$T$823,18,0),"")</f>
        <v>LZZ1BLND8PA126476</v>
      </c>
      <c r="L615" s="353" t="str">
        <f>IFERROR(VLOOKUP(M615,'02. MM-KLH'!$B$6:$T$823,4,0),"")</f>
        <v>5A-0006</v>
      </c>
      <c r="M615" s="49" t="s">
        <v>2561</v>
      </c>
      <c r="N615" s="356">
        <f>IFERROR(VLOOKUP(M615,'02. MM-KLH'!$B$6:$T$823,15,0),"")</f>
        <v>2023</v>
      </c>
      <c r="O615" s="764">
        <f>IFERROR(VLOOKUP(M615,'02. MM-KLH'!$B$6:$T$823,9,0),"")</f>
        <v>45150</v>
      </c>
      <c r="P615" s="353"/>
      <c r="Q615" s="353"/>
      <c r="R615" s="353" t="s">
        <v>5978</v>
      </c>
      <c r="S615" s="353"/>
      <c r="T615" s="353"/>
      <c r="U615" s="353" t="str">
        <f>IFERROR(VLOOKUP(M615,'02. MM-KLH'!$B$6:$T$823,5,0),"")</f>
        <v>MỚI</v>
      </c>
      <c r="V615" s="731" t="str">
        <f>IFERROR(VLOOKUP(M615,'02. MM-KLH'!$B$6:$T$823,8,0),"")</f>
        <v>Trạm trộn bê tông</v>
      </c>
      <c r="W615" s="353" t="str">
        <f>IFERROR(VLOOKUP(V615,'NS QUẢN LÝ CG'!$A$4:$D$36,2,0),"")</f>
        <v/>
      </c>
      <c r="X615" s="353" t="str">
        <f>IFERROR(VLOOKUP(V615,'NS QUẢN LÝ CG'!$A$4:$D$36,4,0),"")</f>
        <v/>
      </c>
      <c r="Y615" s="353" t="str">
        <f>IFERROR(VLOOKUP(V615,'NS QUẢN LÝ CG'!$A$4:$C$36,3,0),"")</f>
        <v/>
      </c>
      <c r="Z615" s="731" t="str">
        <f>IFERROR(VLOOKUP(M615,'02. MM-KLH'!$B$6:$T$823,3,0),"")</f>
        <v>ATT-A22-0306</v>
      </c>
      <c r="AA615" s="353" t="s">
        <v>5980</v>
      </c>
      <c r="AB615" s="731"/>
      <c r="AC615" s="731"/>
    </row>
    <row r="616" ht="13.8" spans="1:29">
      <c r="A616" s="731"/>
      <c r="B616" s="613" t="str">
        <f>IFERROR(VLOOKUP(M616,'02. MM-KLH'!$B$6:$T$823,6,0),"")</f>
        <v>Xe tải bồn CNHTC Sinotruk</v>
      </c>
      <c r="C616" s="353">
        <v>1</v>
      </c>
      <c r="D616" s="353" t="str">
        <f>IFERROR(VLOOKUP(M616,'02. MM-KLH'!$B$6:$T$823,16,0),"")</f>
        <v>ZZ5257GJBN3847E1</v>
      </c>
      <c r="E616" s="353" t="s">
        <v>5978</v>
      </c>
      <c r="F616" s="353"/>
      <c r="G616" s="353"/>
      <c r="H616" s="353" t="str">
        <f>IFERROR(VLOOKUP(M616,'02. MM-KLH'!$B$6:$T$823,17,0),"")</f>
        <v>338.5HP</v>
      </c>
      <c r="I616" s="763">
        <f>IFERROR(VLOOKUP(M616,'02. MM-KLH'!$B$6:$U$823,20,0),"")</f>
        <v>0.7</v>
      </c>
      <c r="J616" s="613" t="str">
        <f>IFERROR(VLOOKUP(M616,'02. MM-KLH'!$B$6:$T$823,19,0),"")</f>
        <v>D103450230507007367</v>
      </c>
      <c r="K616" s="613" t="str">
        <f>IFERROR(VLOOKUP(M616,'02. MM-KLH'!$B$6:$T$823,18,0),"")</f>
        <v>LZZ1BLNDXPA126477</v>
      </c>
      <c r="L616" s="353" t="str">
        <f>IFERROR(VLOOKUP(M616,'02. MM-KLH'!$B$6:$T$823,4,0),"")</f>
        <v>5A-0002</v>
      </c>
      <c r="M616" s="49" t="s">
        <v>2565</v>
      </c>
      <c r="N616" s="356">
        <f>IFERROR(VLOOKUP(M616,'02. MM-KLH'!$B$6:$T$823,15,0),"")</f>
        <v>2023</v>
      </c>
      <c r="O616" s="764">
        <f>IFERROR(VLOOKUP(M616,'02. MM-KLH'!$B$6:$T$823,9,0),"")</f>
        <v>45150</v>
      </c>
      <c r="P616" s="353"/>
      <c r="Q616" s="353"/>
      <c r="R616" s="353" t="s">
        <v>5978</v>
      </c>
      <c r="S616" s="353"/>
      <c r="T616" s="353"/>
      <c r="U616" s="353" t="str">
        <f>IFERROR(VLOOKUP(M616,'02. MM-KLH'!$B$6:$T$823,5,0),"")</f>
        <v>MỚI</v>
      </c>
      <c r="V616" s="731" t="str">
        <f>IFERROR(VLOOKUP(M616,'02. MM-KLH'!$B$6:$T$823,8,0),"")</f>
        <v>Trạm trộn bê tông</v>
      </c>
      <c r="W616" s="353" t="str">
        <f>IFERROR(VLOOKUP(V616,'NS QUẢN LÝ CG'!$A$4:$D$36,2,0),"")</f>
        <v/>
      </c>
      <c r="X616" s="353" t="str">
        <f>IFERROR(VLOOKUP(V616,'NS QUẢN LÝ CG'!$A$4:$D$36,4,0),"")</f>
        <v/>
      </c>
      <c r="Y616" s="353" t="str">
        <f>IFERROR(VLOOKUP(V616,'NS QUẢN LÝ CG'!$A$4:$C$36,3,0),"")</f>
        <v/>
      </c>
      <c r="Z616" s="731" t="str">
        <f>IFERROR(VLOOKUP(M616,'02. MM-KLH'!$B$6:$T$823,3,0),"")</f>
        <v>ATT-A22-0307</v>
      </c>
      <c r="AA616" s="353" t="s">
        <v>5980</v>
      </c>
      <c r="AB616" s="731"/>
      <c r="AC616" s="731"/>
    </row>
    <row r="617" ht="13.8" spans="1:29">
      <c r="A617" s="731"/>
      <c r="B617" s="613" t="str">
        <f>IFERROR(VLOOKUP(M617,'02. MM-KLH'!$B$6:$T$823,6,0),"")</f>
        <v>Xe tải bồn CNHTC Sinotruk</v>
      </c>
      <c r="C617" s="353">
        <v>1</v>
      </c>
      <c r="D617" s="353" t="str">
        <f>IFERROR(VLOOKUP(M617,'02. MM-KLH'!$B$6:$T$823,16,0),"")</f>
        <v>ZZ5257GJBN3847E1</v>
      </c>
      <c r="E617" s="353" t="s">
        <v>5978</v>
      </c>
      <c r="F617" s="353"/>
      <c r="G617" s="353"/>
      <c r="H617" s="353" t="str">
        <f>IFERROR(VLOOKUP(M617,'02. MM-KLH'!$B$6:$T$823,17,0),"")</f>
        <v>338.5HP</v>
      </c>
      <c r="I617" s="763">
        <f>IFERROR(VLOOKUP(M617,'02. MM-KLH'!$B$6:$U$823,20,0),"")</f>
        <v>0.7</v>
      </c>
      <c r="J617" s="613" t="str">
        <f>IFERROR(VLOOKUP(M617,'02. MM-KLH'!$B$6:$T$823,19,0),"")</f>
        <v>D103450230507007327</v>
      </c>
      <c r="K617" s="613" t="str">
        <f>IFERROR(VLOOKUP(M617,'02. MM-KLH'!$B$6:$T$823,18,0),"")</f>
        <v>LZZ1BLND1PA126478</v>
      </c>
      <c r="L617" s="353" t="str">
        <f>IFERROR(VLOOKUP(M617,'02. MM-KLH'!$B$6:$T$823,4,0),"")</f>
        <v>5A-0005</v>
      </c>
      <c r="M617" s="49" t="s">
        <v>2569</v>
      </c>
      <c r="N617" s="356">
        <f>IFERROR(VLOOKUP(M617,'02. MM-KLH'!$B$6:$T$823,15,0),"")</f>
        <v>2023</v>
      </c>
      <c r="O617" s="764">
        <f>IFERROR(VLOOKUP(M617,'02. MM-KLH'!$B$6:$T$823,9,0),"")</f>
        <v>45150</v>
      </c>
      <c r="P617" s="353"/>
      <c r="Q617" s="353"/>
      <c r="R617" s="353" t="s">
        <v>5978</v>
      </c>
      <c r="S617" s="353"/>
      <c r="T617" s="353"/>
      <c r="U617" s="353" t="str">
        <f>IFERROR(VLOOKUP(M617,'02. MM-KLH'!$B$6:$T$823,5,0),"")</f>
        <v>MỚI</v>
      </c>
      <c r="V617" s="731" t="str">
        <f>IFERROR(VLOOKUP(M617,'02. MM-KLH'!$B$6:$T$823,8,0),"")</f>
        <v>Trạm trộn bê tông</v>
      </c>
      <c r="W617" s="353" t="str">
        <f>IFERROR(VLOOKUP(V617,'NS QUẢN LÝ CG'!$A$4:$D$36,2,0),"")</f>
        <v/>
      </c>
      <c r="X617" s="353" t="str">
        <f>IFERROR(VLOOKUP(V617,'NS QUẢN LÝ CG'!$A$4:$D$36,4,0),"")</f>
        <v/>
      </c>
      <c r="Y617" s="353" t="str">
        <f>IFERROR(VLOOKUP(V617,'NS QUẢN LÝ CG'!$A$4:$C$36,3,0),"")</f>
        <v/>
      </c>
      <c r="Z617" s="731" t="str">
        <f>IFERROR(VLOOKUP(M617,'02. MM-KLH'!$B$6:$T$823,3,0),"")</f>
        <v>ATT-A22-0308</v>
      </c>
      <c r="AA617" s="353" t="s">
        <v>5980</v>
      </c>
      <c r="AB617" s="731"/>
      <c r="AC617" s="731"/>
    </row>
    <row r="618" ht="13.8" spans="1:29">
      <c r="A618" s="731"/>
      <c r="B618" s="613" t="str">
        <f>IFERROR(VLOOKUP(M618,'02. MM-KLH'!$B$6:$T$823,6,0),"")</f>
        <v>Xe tải bồn CNHTC Sinotruk</v>
      </c>
      <c r="C618" s="353">
        <v>1</v>
      </c>
      <c r="D618" s="353" t="str">
        <f>IFERROR(VLOOKUP(M618,'02. MM-KLH'!$B$6:$T$823,16,0),"")</f>
        <v>ZZ5257GJBN3847E1</v>
      </c>
      <c r="E618" s="353" t="s">
        <v>5978</v>
      </c>
      <c r="F618" s="353"/>
      <c r="G618" s="353"/>
      <c r="H618" s="353" t="str">
        <f>IFERROR(VLOOKUP(M618,'02. MM-KLH'!$B$6:$T$823,17,0),"")</f>
        <v>338.5HP</v>
      </c>
      <c r="I618" s="763">
        <f>IFERROR(VLOOKUP(M618,'02. MM-KLH'!$B$6:$U$823,20,0),"")</f>
        <v>0.7</v>
      </c>
      <c r="J618" s="613" t="str">
        <f>IFERROR(VLOOKUP(M618,'02. MM-KLH'!$B$6:$T$823,19,0),"")</f>
        <v>D103450230507007377</v>
      </c>
      <c r="K618" s="613" t="str">
        <f>IFERROR(VLOOKUP(M618,'02. MM-KLH'!$B$6:$T$823,18,0),"")</f>
        <v>LZZ1BLND3PA126479</v>
      </c>
      <c r="L618" s="353" t="str">
        <f>IFERROR(VLOOKUP(M618,'02. MM-KLH'!$B$6:$T$823,4,0),"")</f>
        <v>5A-0003</v>
      </c>
      <c r="M618" s="49" t="s">
        <v>2573</v>
      </c>
      <c r="N618" s="356">
        <f>IFERROR(VLOOKUP(M618,'02. MM-KLH'!$B$6:$T$823,15,0),"")</f>
        <v>2023</v>
      </c>
      <c r="O618" s="764">
        <f>IFERROR(VLOOKUP(M618,'02. MM-KLH'!$B$6:$T$823,9,0),"")</f>
        <v>45150</v>
      </c>
      <c r="P618" s="353"/>
      <c r="Q618" s="353"/>
      <c r="R618" s="353" t="s">
        <v>5978</v>
      </c>
      <c r="S618" s="353"/>
      <c r="T618" s="353"/>
      <c r="U618" s="353" t="str">
        <f>IFERROR(VLOOKUP(M618,'02. MM-KLH'!$B$6:$T$823,5,0),"")</f>
        <v>MỚI</v>
      </c>
      <c r="V618" s="731" t="str">
        <f>IFERROR(VLOOKUP(M618,'02. MM-KLH'!$B$6:$T$823,8,0),"")</f>
        <v>Trạm trộn bê tông</v>
      </c>
      <c r="W618" s="353" t="str">
        <f>IFERROR(VLOOKUP(V618,'NS QUẢN LÝ CG'!$A$4:$D$36,2,0),"")</f>
        <v/>
      </c>
      <c r="X618" s="353" t="str">
        <f>IFERROR(VLOOKUP(V618,'NS QUẢN LÝ CG'!$A$4:$D$36,4,0),"")</f>
        <v/>
      </c>
      <c r="Y618" s="353" t="str">
        <f>IFERROR(VLOOKUP(V618,'NS QUẢN LÝ CG'!$A$4:$C$36,3,0),"")</f>
        <v/>
      </c>
      <c r="Z618" s="731" t="str">
        <f>IFERROR(VLOOKUP(M618,'02. MM-KLH'!$B$6:$T$823,3,0),"")</f>
        <v>ATT-A22-0309</v>
      </c>
      <c r="AA618" s="353" t="s">
        <v>5980</v>
      </c>
      <c r="AB618" s="731"/>
      <c r="AC618" s="731"/>
    </row>
    <row r="619" ht="13.8" spans="1:29">
      <c r="A619" s="731"/>
      <c r="B619" s="613" t="str">
        <f>IFERROR(VLOOKUP(M619,'02. MM-KLH'!$B$6:$T$823,6,0),"")</f>
        <v>Xe tải bồn CNHTC Sinotruk</v>
      </c>
      <c r="C619" s="353">
        <v>1</v>
      </c>
      <c r="D619" s="353" t="str">
        <f>IFERROR(VLOOKUP(M619,'02. MM-KLH'!$B$6:$T$823,16,0),"")</f>
        <v>ZZ5257GJBN3847E1</v>
      </c>
      <c r="E619" s="353" t="s">
        <v>5978</v>
      </c>
      <c r="F619" s="353"/>
      <c r="G619" s="353"/>
      <c r="H619" s="353" t="str">
        <f>IFERROR(VLOOKUP(M619,'02. MM-KLH'!$B$6:$T$823,17,0),"")</f>
        <v>338.5HP</v>
      </c>
      <c r="I619" s="763">
        <f>IFERROR(VLOOKUP(M619,'02. MM-KLH'!$B$6:$U$823,20,0),"")</f>
        <v>0.7</v>
      </c>
      <c r="J619" s="613" t="str">
        <f>IFERROR(VLOOKUP(M619,'02. MM-KLH'!$B$6:$T$823,19,0),"")</f>
        <v>D103450230507007347</v>
      </c>
      <c r="K619" s="613" t="str">
        <f>IFERROR(VLOOKUP(M619,'02. MM-KLH'!$B$6:$T$823,18,0),"")</f>
        <v>LZZ1BLND3PA126482</v>
      </c>
      <c r="L619" s="353" t="str">
        <f>IFERROR(VLOOKUP(M619,'02. MM-KLH'!$B$6:$T$823,4,0),"")</f>
        <v>5A-0001</v>
      </c>
      <c r="M619" s="49" t="s">
        <v>2577</v>
      </c>
      <c r="N619" s="356">
        <f>IFERROR(VLOOKUP(M619,'02. MM-KLH'!$B$6:$T$823,15,0),"")</f>
        <v>2023</v>
      </c>
      <c r="O619" s="764">
        <f>IFERROR(VLOOKUP(M619,'02. MM-KLH'!$B$6:$T$823,9,0),"")</f>
        <v>45150</v>
      </c>
      <c r="P619" s="353"/>
      <c r="Q619" s="353"/>
      <c r="R619" s="353" t="s">
        <v>5978</v>
      </c>
      <c r="S619" s="353"/>
      <c r="T619" s="353"/>
      <c r="U619" s="353" t="str">
        <f>IFERROR(VLOOKUP(M619,'02. MM-KLH'!$B$6:$T$823,5,0),"")</f>
        <v>MỚI</v>
      </c>
      <c r="V619" s="731" t="str">
        <f>IFERROR(VLOOKUP(M619,'02. MM-KLH'!$B$6:$T$823,8,0),"")</f>
        <v>Trạm trộn bê tông</v>
      </c>
      <c r="W619" s="353" t="str">
        <f>IFERROR(VLOOKUP(V619,'NS QUẢN LÝ CG'!$A$4:$D$36,2,0),"")</f>
        <v/>
      </c>
      <c r="X619" s="353" t="str">
        <f>IFERROR(VLOOKUP(V619,'NS QUẢN LÝ CG'!$A$4:$D$36,4,0),"")</f>
        <v/>
      </c>
      <c r="Y619" s="353" t="str">
        <f>IFERROR(VLOOKUP(V619,'NS QUẢN LÝ CG'!$A$4:$C$36,3,0),"")</f>
        <v/>
      </c>
      <c r="Z619" s="731" t="str">
        <f>IFERROR(VLOOKUP(M619,'02. MM-KLH'!$B$6:$T$823,3,0),"")</f>
        <v>ATT-A22-0310</v>
      </c>
      <c r="AA619" s="353" t="s">
        <v>5980</v>
      </c>
      <c r="AB619" s="731"/>
      <c r="AC619" s="731"/>
    </row>
    <row r="620" ht="13.8" spans="1:29">
      <c r="A620" s="731"/>
      <c r="B620" s="613"/>
      <c r="C620" s="353"/>
      <c r="D620" s="353"/>
      <c r="E620" s="353"/>
      <c r="F620" s="353"/>
      <c r="G620" s="353"/>
      <c r="H620" s="353"/>
      <c r="I620" s="763"/>
      <c r="J620" s="613"/>
      <c r="K620" s="613"/>
      <c r="L620" s="353"/>
      <c r="M620" s="49"/>
      <c r="N620" s="356"/>
      <c r="O620" s="764"/>
      <c r="P620" s="353"/>
      <c r="Q620" s="353"/>
      <c r="R620" s="353"/>
      <c r="S620" s="353"/>
      <c r="T620" s="353"/>
      <c r="U620" s="353"/>
      <c r="V620" s="731"/>
      <c r="W620" s="353" t="str">
        <f>IFERROR(VLOOKUP(V620,'NS QUẢN LÝ CG'!$A$4:$D$36,2,0),"")</f>
        <v/>
      </c>
      <c r="X620" s="353"/>
      <c r="Y620" s="353"/>
      <c r="Z620" s="731"/>
      <c r="AA620" s="353"/>
      <c r="AB620" s="731"/>
      <c r="AC620" s="731"/>
    </row>
    <row r="621" ht="13.8" spans="1:29">
      <c r="A621" s="731"/>
      <c r="B621" s="613"/>
      <c r="C621" s="353"/>
      <c r="D621" s="353"/>
      <c r="E621" s="353"/>
      <c r="F621" s="353"/>
      <c r="G621" s="353"/>
      <c r="H621" s="353"/>
      <c r="I621" s="763"/>
      <c r="J621" s="613"/>
      <c r="K621" s="613"/>
      <c r="L621" s="353"/>
      <c r="M621" s="49"/>
      <c r="N621" s="356"/>
      <c r="O621" s="764"/>
      <c r="P621" s="353"/>
      <c r="Q621" s="353"/>
      <c r="R621" s="353"/>
      <c r="S621" s="353"/>
      <c r="T621" s="353"/>
      <c r="U621" s="353"/>
      <c r="V621" s="731"/>
      <c r="W621" s="353" t="str">
        <f>IFERROR(VLOOKUP(V621,'NS QUẢN LÝ CG'!$A$4:$D$36,2,0),"")</f>
        <v/>
      </c>
      <c r="X621" s="353"/>
      <c r="Y621" s="353"/>
      <c r="Z621" s="731"/>
      <c r="AA621" s="353"/>
      <c r="AB621" s="731"/>
      <c r="AC621" s="731"/>
    </row>
    <row r="622" ht="13.8" spans="1:29">
      <c r="A622" s="754">
        <v>5</v>
      </c>
      <c r="B622" s="755" t="s">
        <v>621</v>
      </c>
      <c r="C622" s="754">
        <f>COUNTA(B623:B625)</f>
        <v>3</v>
      </c>
      <c r="D622" s="756" t="str">
        <f>IFERROR(VLOOKUP(M622,'02. MM-KLH'!$B$6:$T$823,16,0),"")</f>
        <v/>
      </c>
      <c r="E622" s="756"/>
      <c r="F622" s="756"/>
      <c r="G622" s="756"/>
      <c r="H622" s="762" t="str">
        <f>IFERROR(VLOOKUP(M622,'02. MM-KLH'!$B$6:$T$823,17,0),"")</f>
        <v/>
      </c>
      <c r="I622" s="762" t="str">
        <f>IFERROR(VLOOKUP(M622,'02. MM-KLH'!$B$6:$U$823,20,0),"")</f>
        <v/>
      </c>
      <c r="J622" s="758" t="str">
        <f>IFERROR(VLOOKUP(M622,'02. MM-KLH'!$B$6:$T$823,19,0),"")</f>
        <v/>
      </c>
      <c r="K622" s="758" t="str">
        <f>IFERROR(VLOOKUP(M622,'02. MM-KLH'!$B$6:$T$823,18,0),"")</f>
        <v/>
      </c>
      <c r="L622" s="756" t="str">
        <f>IFERROR(VLOOKUP(M622,'02. MM-KLH'!$B$6:$T$823,4,0),"")</f>
        <v/>
      </c>
      <c r="M622" s="756"/>
      <c r="N622" s="756" t="str">
        <f>IFERROR(VLOOKUP(M622,'02. MM-KLH'!$B$6:$T$823,15,0),"")</f>
        <v/>
      </c>
      <c r="O622" s="760" t="str">
        <f>IFERROR(VLOOKUP(M622,'02. MM-KLH'!$B$6:$T$823,9,0),"")</f>
        <v/>
      </c>
      <c r="P622" s="756"/>
      <c r="Q622" s="756"/>
      <c r="R622" s="756"/>
      <c r="S622" s="756"/>
      <c r="T622" s="756"/>
      <c r="U622" s="756" t="str">
        <f>IFERROR(VLOOKUP(M622,'02. MM-KLH'!$B$6:$T$823,2,0),"")</f>
        <v/>
      </c>
      <c r="V622" s="762" t="str">
        <f>IFERROR(VLOOKUP(M622,'02. MM-KLH'!$B$6:$T$823,8,0),"")</f>
        <v/>
      </c>
      <c r="W622" s="756"/>
      <c r="X622" s="756"/>
      <c r="Y622" s="756"/>
      <c r="Z622" s="762" t="str">
        <f>IFERROR(VLOOKUP(M622,'02. MM-KLH'!$B$6:$T$823,3,0),"")</f>
        <v/>
      </c>
      <c r="AA622" s="756"/>
      <c r="AB622" s="762"/>
      <c r="AC622" s="762"/>
    </row>
    <row r="623" ht="13.8" spans="1:29">
      <c r="A623" s="731"/>
      <c r="B623" s="613" t="str">
        <f>IFERROR(VLOOKUP(M623,'02. MM-KLH'!$B$6:$T$823,6,0),"")</f>
        <v>Xe tải FD850 (Cấp dầu)</v>
      </c>
      <c r="C623" s="353">
        <v>1</v>
      </c>
      <c r="D623" s="353" t="str">
        <f>IFERROR(VLOOKUP(M623,'02. MM-KLH'!$B$6:$T$823,16,0),"")</f>
        <v>FD850</v>
      </c>
      <c r="E623" s="353" t="s">
        <v>5978</v>
      </c>
      <c r="F623" s="353"/>
      <c r="G623" s="353"/>
      <c r="H623" s="353" t="str">
        <f>IFERROR(VLOOKUP(M623,'02. MM-KLH'!$B$6:$T$823,17,0),"")</f>
        <v>140HP</v>
      </c>
      <c r="I623" s="763">
        <f>IFERROR(VLOOKUP(M623,'02. MM-KLH'!$B$6:$U$823,20,0),"")</f>
        <v>0.36</v>
      </c>
      <c r="J623" s="613" t="str">
        <f>IFERROR(VLOOKUP(M623,'02. MM-KLH'!$B$6:$T$823,19,0),"")</f>
        <v>CCN</v>
      </c>
      <c r="K623" s="613" t="str">
        <f>IFERROR(VLOOKUP(M623,'02. MM-KLH'!$B$6:$T$823,18,0),"")</f>
        <v>RNHF14FYALC012920</v>
      </c>
      <c r="L623" s="353" t="str">
        <f>IFERROR(VLOOKUP(M623,'02. MM-KLH'!$B$6:$T$823,4,0),"")</f>
        <v>92C-17302</v>
      </c>
      <c r="M623" s="49" t="s">
        <v>2499</v>
      </c>
      <c r="N623" s="356">
        <f>IFERROR(VLOOKUP(M623,'02. MM-KLH'!$B$6:$T$823,15,0),"")</f>
        <v>2020</v>
      </c>
      <c r="O623" s="764">
        <f>IFERROR(VLOOKUP(M623,'02. MM-KLH'!$B$6:$T$823,9,0),"")</f>
        <v>0</v>
      </c>
      <c r="P623" s="353">
        <v>112366</v>
      </c>
      <c r="Q623" s="353"/>
      <c r="R623" s="353" t="s">
        <v>5978</v>
      </c>
      <c r="S623" s="353"/>
      <c r="T623" s="353"/>
      <c r="U623" s="353" t="str">
        <f>IFERROR(VLOOKUP(M623,'02. MM-KLH'!$B$6:$T$823,5,0),"")</f>
        <v>ĐQSD</v>
      </c>
      <c r="V623" s="731" t="str">
        <f>IFERROR(VLOOKUP(M623,'02. MM-KLH'!$B$6:$T$823,8,0),"")</f>
        <v>Phòng GNVC</v>
      </c>
      <c r="W623" s="353" t="str">
        <f>IFERROR(VLOOKUP(V623,'NS QUẢN LÝ CG'!$A$4:$D$36,2,0),"")</f>
        <v/>
      </c>
      <c r="X623" s="353" t="str">
        <f>IFERROR(VLOOKUP(V623,'NS QUẢN LÝ CG'!$A$4:$D$36,4,0),"")</f>
        <v/>
      </c>
      <c r="Y623" s="353" t="str">
        <f>IFERROR(VLOOKUP(V623,'NS QUẢN LÝ CG'!$A$4:$C$36,3,0),"")</f>
        <v/>
      </c>
      <c r="Z623" s="731" t="str">
        <f>IFERROR(VLOOKUP(M623,'02. MM-KLH'!$B$6:$T$823,3,0),"")</f>
        <v>ATT-A23-0024</v>
      </c>
      <c r="AA623" s="353" t="s">
        <v>5979</v>
      </c>
      <c r="AB623" s="731"/>
      <c r="AC623" s="731"/>
    </row>
    <row r="624" ht="13.8" spans="1:29">
      <c r="A624" s="731"/>
      <c r="B624" s="613" t="str">
        <f>IFERROR(VLOOKUP(M624,'02. MM-KLH'!$B$6:$T$823,6,0),"")</f>
        <v/>
      </c>
      <c r="C624" s="353"/>
      <c r="D624" s="353" t="str">
        <f>IFERROR(VLOOKUP(M624,'02. MM-KLH'!$B$6:$T$823,16,0),"")</f>
        <v/>
      </c>
      <c r="E624" s="353"/>
      <c r="F624" s="353"/>
      <c r="G624" s="353"/>
      <c r="H624" s="353" t="str">
        <f>IFERROR(VLOOKUP(M624,'02. MM-KLH'!$B$6:$T$823,17,0),"")</f>
        <v/>
      </c>
      <c r="I624" s="763" t="str">
        <f>IFERROR(VLOOKUP(M624,'02. MM-KLH'!$B$6:$U$823,20,0),"")</f>
        <v/>
      </c>
      <c r="J624" s="613" t="str">
        <f>IFERROR(VLOOKUP(M624,'02. MM-KLH'!$B$6:$T$823,19,0),"")</f>
        <v/>
      </c>
      <c r="K624" s="613" t="str">
        <f>IFERROR(VLOOKUP(M624,'02. MM-KLH'!$B$6:$T$823,18,0),"")</f>
        <v/>
      </c>
      <c r="L624" s="353" t="str">
        <f>IFERROR(VLOOKUP(M624,'02. MM-KLH'!$B$6:$T$823,4,0),"")</f>
        <v/>
      </c>
      <c r="M624" s="49"/>
      <c r="N624" s="356" t="str">
        <f>IFERROR(VLOOKUP(M624,'02. MM-KLH'!$B$6:$T$823,15,0),"")</f>
        <v/>
      </c>
      <c r="O624" s="764" t="str">
        <f>IFERROR(VLOOKUP(M624,'02. MM-KLH'!$B$6:$T$823,9,0),"")</f>
        <v/>
      </c>
      <c r="P624" s="353"/>
      <c r="Q624" s="353"/>
      <c r="R624" s="353"/>
      <c r="S624" s="353"/>
      <c r="T624" s="353"/>
      <c r="U624" s="353" t="str">
        <f>IFERROR(VLOOKUP(M624,'02. MM-KLH'!$B$6:$T$823,2,0),"")</f>
        <v/>
      </c>
      <c r="V624" s="731" t="str">
        <f>IFERROR(VLOOKUP(M624,'02. MM-KLH'!$B$6:$T$823,8,0),"")</f>
        <v/>
      </c>
      <c r="W624" s="353" t="str">
        <f>IFERROR(VLOOKUP(V624,'NS QUẢN LÝ CG'!$A$4:$D$36,2,0),"")</f>
        <v/>
      </c>
      <c r="X624" s="353" t="str">
        <f>IFERROR(VLOOKUP(V624,'NS QUẢN LÝ CG'!$A$4:$D$36,4,0),"")</f>
        <v/>
      </c>
      <c r="Y624" s="353"/>
      <c r="Z624" s="731" t="str">
        <f>IFERROR(VLOOKUP(M624,'02. MM-KLH'!$B$6:$T$823,3,0),"")</f>
        <v/>
      </c>
      <c r="AA624" s="353"/>
      <c r="AB624" s="731"/>
      <c r="AC624" s="731"/>
    </row>
    <row r="625" ht="13.8" spans="1:29">
      <c r="A625" s="731"/>
      <c r="B625" s="613" t="str">
        <f>IFERROR(VLOOKUP(M625,'02. MM-KLH'!$B$6:$T$823,6,0),"")</f>
        <v/>
      </c>
      <c r="C625" s="353"/>
      <c r="D625" s="353" t="str">
        <f>IFERROR(VLOOKUP(M625,'02. MM-KLH'!$B$6:$T$823,16,0),"")</f>
        <v/>
      </c>
      <c r="E625" s="353"/>
      <c r="F625" s="353"/>
      <c r="G625" s="353"/>
      <c r="H625" s="353" t="str">
        <f>IFERROR(VLOOKUP(M625,'02. MM-KLH'!$B$6:$T$823,17,0),"")</f>
        <v/>
      </c>
      <c r="I625" s="763" t="str">
        <f>IFERROR(VLOOKUP(M625,'02. MM-KLH'!$B$6:$U$823,20,0),"")</f>
        <v/>
      </c>
      <c r="J625" s="613" t="str">
        <f>IFERROR(VLOOKUP(M625,'02. MM-KLH'!$B$6:$T$823,19,0),"")</f>
        <v/>
      </c>
      <c r="K625" s="613" t="str">
        <f>IFERROR(VLOOKUP(M625,'02. MM-KLH'!$B$6:$T$823,18,0),"")</f>
        <v/>
      </c>
      <c r="L625" s="353" t="str">
        <f>IFERROR(VLOOKUP(M625,'02. MM-KLH'!$B$6:$T$823,4,0),"")</f>
        <v/>
      </c>
      <c r="M625" s="49"/>
      <c r="N625" s="356" t="str">
        <f>IFERROR(VLOOKUP(M625,'02. MM-KLH'!$B$6:$T$823,15,0),"")</f>
        <v/>
      </c>
      <c r="O625" s="764" t="str">
        <f>IFERROR(VLOOKUP(M625,'02. MM-KLH'!$B$6:$T$823,9,0),"")</f>
        <v/>
      </c>
      <c r="P625" s="353"/>
      <c r="Q625" s="353"/>
      <c r="R625" s="353"/>
      <c r="S625" s="353"/>
      <c r="T625" s="353"/>
      <c r="U625" s="353" t="str">
        <f>IFERROR(VLOOKUP(M625,'02. MM-KLH'!$B$6:$T$823,2,0),"")</f>
        <v/>
      </c>
      <c r="V625" s="731" t="str">
        <f>IFERROR(VLOOKUP(M625,'02. MM-KLH'!$B$6:$T$823,8,0),"")</f>
        <v/>
      </c>
      <c r="W625" s="353" t="str">
        <f>IFERROR(VLOOKUP(V625,'NS QUẢN LÝ CG'!$A$4:$D$36,2,0),"")</f>
        <v/>
      </c>
      <c r="X625" s="353" t="str">
        <f>IFERROR(VLOOKUP(V625,'NS QUẢN LÝ CG'!$A$4:$D$36,4,0),"")</f>
        <v/>
      </c>
      <c r="Y625" s="353"/>
      <c r="Z625" s="731" t="str">
        <f>IFERROR(VLOOKUP(M625,'02. MM-KLH'!$B$6:$T$823,3,0),"")</f>
        <v/>
      </c>
      <c r="AA625" s="353"/>
      <c r="AB625" s="731"/>
      <c r="AC625" s="731"/>
    </row>
    <row r="626" spans="1:29">
      <c r="A626" s="747" t="s">
        <v>3352</v>
      </c>
      <c r="B626" s="748" t="s">
        <v>3453</v>
      </c>
      <c r="C626" s="747">
        <f>SUM(C627,C631,C636)</f>
        <v>11</v>
      </c>
      <c r="D626" s="749"/>
      <c r="E626" s="749"/>
      <c r="F626" s="749"/>
      <c r="G626" s="749"/>
      <c r="H626" s="749"/>
      <c r="I626" s="750"/>
      <c r="J626" s="751"/>
      <c r="K626" s="751"/>
      <c r="L626" s="749"/>
      <c r="M626" s="749"/>
      <c r="N626" s="749"/>
      <c r="O626" s="752"/>
      <c r="P626" s="749"/>
      <c r="Q626" s="749"/>
      <c r="R626" s="749"/>
      <c r="S626" s="749"/>
      <c r="T626" s="749"/>
      <c r="U626" s="749"/>
      <c r="V626" s="750"/>
      <c r="W626" s="749"/>
      <c r="X626" s="749"/>
      <c r="Y626" s="749"/>
      <c r="Z626" s="750"/>
      <c r="AA626" s="749"/>
      <c r="AB626" s="750"/>
      <c r="AC626" s="753"/>
    </row>
    <row r="627" ht="13.8" spans="1:29">
      <c r="A627" s="754">
        <v>1</v>
      </c>
      <c r="B627" s="755" t="s">
        <v>1160</v>
      </c>
      <c r="C627" s="754">
        <f>COUNTA(B628:B630)</f>
        <v>2</v>
      </c>
      <c r="D627" s="756" t="str">
        <f>IFERROR(VLOOKUP(M627,'02. MM-KLH'!$B$6:$T$823,16,0),"")</f>
        <v/>
      </c>
      <c r="E627" s="756"/>
      <c r="F627" s="756"/>
      <c r="G627" s="756"/>
      <c r="H627" s="762" t="str">
        <f>IFERROR(VLOOKUP(M627,'02. MM-KLH'!$B$6:$T$823,17,0),"")</f>
        <v/>
      </c>
      <c r="I627" s="762" t="str">
        <f>IFERROR(VLOOKUP(M627,'02. MM-KLH'!$B$6:$U$823,20,0),"")</f>
        <v/>
      </c>
      <c r="J627" s="758" t="str">
        <f>IFERROR(VLOOKUP(M627,'02. MM-KLH'!$B$6:$T$823,19,0),"")</f>
        <v/>
      </c>
      <c r="K627" s="758" t="str">
        <f>IFERROR(VLOOKUP(M627,'02. MM-KLH'!$B$6:$T$823,18,0),"")</f>
        <v/>
      </c>
      <c r="L627" s="756" t="str">
        <f>IFERROR(VLOOKUP(M627,'02. MM-KLH'!$B$6:$T$823,4,0),"")</f>
        <v/>
      </c>
      <c r="M627" s="756"/>
      <c r="N627" s="756" t="str">
        <f>IFERROR(VLOOKUP(M627,'02. MM-KLH'!$B$6:$T$823,15,0),"")</f>
        <v/>
      </c>
      <c r="O627" s="760" t="str">
        <f>IFERROR(VLOOKUP(M627,'02. MM-KLH'!$B$6:$T$823,9,0),"")</f>
        <v/>
      </c>
      <c r="P627" s="756"/>
      <c r="Q627" s="756"/>
      <c r="R627" s="756"/>
      <c r="S627" s="756"/>
      <c r="T627" s="756"/>
      <c r="U627" s="756" t="str">
        <f>IFERROR(VLOOKUP(M627,'02. MM-KLH'!$B$6:$T$823,2,0),"")</f>
        <v/>
      </c>
      <c r="V627" s="762" t="str">
        <f>IFERROR(VLOOKUP(M627,'02. MM-KLH'!$B$6:$T$823,8,0),"")</f>
        <v/>
      </c>
      <c r="W627" s="756"/>
      <c r="X627" s="756"/>
      <c r="Y627" s="756"/>
      <c r="Z627" s="762" t="str">
        <f>IFERROR(VLOOKUP(M627,'02. MM-KLH'!$B$6:$T$823,3,0),"")</f>
        <v/>
      </c>
      <c r="AA627" s="756"/>
      <c r="AB627" s="762"/>
      <c r="AC627" s="762"/>
    </row>
    <row r="628" ht="13.8" spans="1:29">
      <c r="A628" s="731"/>
      <c r="B628" s="613" t="str">
        <f>IFERROR(VLOOKUP(M628,'02. MM-KLH'!$B$6:$T$823,6,0),"")</f>
        <v>Xe phun thuốc Faw 15T</v>
      </c>
      <c r="C628" s="353">
        <v>1</v>
      </c>
      <c r="D628" s="353">
        <f>IFERROR(VLOOKUP(M628,'02. MM-KLH'!$B$6:$T$823,16,0),"")</f>
        <v>0</v>
      </c>
      <c r="E628" s="353" t="s">
        <v>5978</v>
      </c>
      <c r="F628" s="353"/>
      <c r="G628" s="353"/>
      <c r="H628" s="353">
        <f>IFERROR(VLOOKUP(M628,'02. MM-KLH'!$B$6:$T$823,17,0),"")</f>
        <v>0</v>
      </c>
      <c r="I628" s="763">
        <f>IFERROR(VLOOKUP(M628,'02. MM-KLH'!$B$6:$U$823,20,0),"")</f>
        <v>3.75</v>
      </c>
      <c r="J628" s="613" t="str">
        <f>IFERROR(VLOOKUP(M628,'02. MM-KLH'!$B$6:$T$823,19,0),"")</f>
        <v>CCN</v>
      </c>
      <c r="K628" s="613" t="str">
        <f>IFERROR(VLOOKUP(M628,'02. MM-KLH'!$B$6:$T$823,18,0),"")</f>
        <v>9AD16885</v>
      </c>
      <c r="L628" s="353">
        <f>IFERROR(VLOOKUP(M628,'02. MM-KLH'!$B$6:$T$823,4,0),"")</f>
        <v>0</v>
      </c>
      <c r="M628" s="49" t="s">
        <v>1156</v>
      </c>
      <c r="N628" s="356">
        <f>IFERROR(VLOOKUP(M628,'02. MM-KLH'!$B$6:$T$823,15,0),"")</f>
        <v>2010</v>
      </c>
      <c r="O628" s="764">
        <f>IFERROR(VLOOKUP(M628,'02. MM-KLH'!$B$6:$T$823,9,0),"")</f>
        <v>45446</v>
      </c>
      <c r="P628" s="353" t="s">
        <v>1755</v>
      </c>
      <c r="Q628" s="353"/>
      <c r="R628" s="353"/>
      <c r="S628" s="353"/>
      <c r="T628" s="353"/>
      <c r="U628" s="353" t="str">
        <f>IFERROR(VLOOKUP(M628,'02. MM-KLH'!$B$6:$T$823,5,0),"")</f>
        <v>ĐQSD</v>
      </c>
      <c r="V628" s="731" t="str">
        <f>IFERROR(VLOOKUP(M628,'02. MM-KLH'!$B$6:$T$823,8,0),"")</f>
        <v>XN Chuối DP1</v>
      </c>
      <c r="W628" s="353" t="str">
        <f>IFERROR(VLOOKUP(V628,'NS QUẢN LÝ CG'!$A$4:$D$36,2,0),"")</f>
        <v/>
      </c>
      <c r="X628" s="353" t="str">
        <f>IFERROR(VLOOKUP(V628,'NS QUẢN LÝ CG'!$A$4:$D$36,4,0),"")</f>
        <v/>
      </c>
      <c r="Y628" s="353" t="str">
        <f>IFERROR(VLOOKUP(V628,'NS QUẢN LÝ CG'!$A$4:$C$36,3,0),"")</f>
        <v/>
      </c>
      <c r="Z628" s="731" t="str">
        <f>IFERROR(VLOOKUP(M628,'02. MM-KLH'!$B$6:$T$823,3,0),"")</f>
        <v>A23-XPT-001</v>
      </c>
      <c r="AA628" s="353" t="str">
        <f t="shared" ref="AA628:AA629" si="41">_xlfn.SWITCH(LEFT(Z628,3),"A22","ADM","A23","DP","A24","LP","")</f>
        <v>DP</v>
      </c>
      <c r="AB628" s="731"/>
      <c r="AC628" s="731"/>
    </row>
    <row r="629" ht="13.8" spans="1:29">
      <c r="A629" s="731"/>
      <c r="B629" s="613" t="str">
        <f>IFERROR(VLOOKUP(M629,'02. MM-KLH'!$B$6:$T$823,6,0),"")</f>
        <v>Xe phun thuốc Faw 15T</v>
      </c>
      <c r="C629" s="353">
        <v>1</v>
      </c>
      <c r="D629" s="353">
        <f>IFERROR(VLOOKUP(M629,'02. MM-KLH'!$B$6:$T$823,16,0),"")</f>
        <v>0</v>
      </c>
      <c r="E629" s="353" t="s">
        <v>5978</v>
      </c>
      <c r="F629" s="353"/>
      <c r="G629" s="353"/>
      <c r="H629" s="353" t="str">
        <f>IFERROR(VLOOKUP(M629,'02. MM-KLH'!$B$6:$T$823,17,0),"")</f>
        <v>15 TẤN</v>
      </c>
      <c r="I629" s="763">
        <f>IFERROR(VLOOKUP(M629,'02. MM-KLH'!$B$6:$U$823,20,0),"")</f>
        <v>3.75</v>
      </c>
      <c r="J629" s="613" t="str">
        <f>IFERROR(VLOOKUP(M629,'02. MM-KLH'!$B$6:$T$823,19,0),"")</f>
        <v>CCN</v>
      </c>
      <c r="K629" s="613" t="str">
        <f>IFERROR(VLOOKUP(M629,'02. MM-KLH'!$B$6:$T$823,18,0),"")</f>
        <v>9AD16880</v>
      </c>
      <c r="L629" s="353">
        <f>IFERROR(VLOOKUP(M629,'02. MM-KLH'!$B$6:$T$823,4,0),"")</f>
        <v>0</v>
      </c>
      <c r="M629" s="49" t="s">
        <v>1679</v>
      </c>
      <c r="N629" s="356">
        <f>IFERROR(VLOOKUP(M629,'02. MM-KLH'!$B$6:$T$823,15,0),"")</f>
        <v>2010</v>
      </c>
      <c r="O629" s="764" t="str">
        <f>IFERROR(VLOOKUP(M629,'02. MM-KLH'!$B$6:$T$823,9,0),"")</f>
        <v>21/02/2024</v>
      </c>
      <c r="P629" s="353" t="s">
        <v>1755</v>
      </c>
      <c r="Q629" s="353"/>
      <c r="R629" s="353" t="s">
        <v>5978</v>
      </c>
      <c r="S629" s="353"/>
      <c r="T629" s="353"/>
      <c r="U629" s="353" t="str">
        <f>IFERROR(VLOOKUP(M629,'02. MM-KLH'!$B$6:$T$823,5,0),"")</f>
        <v>ĐQSD</v>
      </c>
      <c r="V629" s="731" t="str">
        <f>IFERROR(VLOOKUP(M629,'02. MM-KLH'!$B$6:$T$823,8,0),"")</f>
        <v>XN Chuối LP3</v>
      </c>
      <c r="W629" s="353" t="str">
        <f>IFERROR(VLOOKUP(V629,'NS QUẢN LÝ CG'!$A$4:$D$36,2,0),"")</f>
        <v/>
      </c>
      <c r="X629" s="353" t="str">
        <f>IFERROR(VLOOKUP(V629,'NS QUẢN LÝ CG'!$A$4:$D$36,4,0),"")</f>
        <v/>
      </c>
      <c r="Y629" s="353" t="str">
        <f>IFERROR(VLOOKUP(V629,'NS QUẢN LÝ CG'!$A$4:$C$36,3,0),"")</f>
        <v/>
      </c>
      <c r="Z629" s="731" t="str">
        <f>IFERROR(VLOOKUP(M629,'02. MM-KLH'!$B$6:$T$823,3,0),"")</f>
        <v>A24-XPT-001</v>
      </c>
      <c r="AA629" s="353" t="str">
        <f t="shared" si="41"/>
        <v>LP</v>
      </c>
      <c r="AB629" s="731"/>
      <c r="AC629" s="731"/>
    </row>
    <row r="630" ht="13.8" spans="1:29">
      <c r="A630" s="731"/>
      <c r="B630" s="613"/>
      <c r="C630" s="353"/>
      <c r="D630" s="353"/>
      <c r="E630" s="353"/>
      <c r="F630" s="353"/>
      <c r="G630" s="353"/>
      <c r="H630" s="353"/>
      <c r="I630" s="763"/>
      <c r="J630" s="613"/>
      <c r="K630" s="613"/>
      <c r="L630" s="353"/>
      <c r="M630" s="49"/>
      <c r="N630" s="356"/>
      <c r="O630" s="764"/>
      <c r="P630" s="353"/>
      <c r="Q630" s="353"/>
      <c r="R630" s="353"/>
      <c r="S630" s="353"/>
      <c r="T630" s="353"/>
      <c r="U630" s="353"/>
      <c r="V630" s="731"/>
      <c r="W630" s="353" t="str">
        <f>IFERROR(VLOOKUP(V630,'NS QUẢN LÝ CG'!$A$4:$D$36,2,0),"")</f>
        <v/>
      </c>
      <c r="X630" s="353" t="str">
        <f>IFERROR(VLOOKUP(V630,'NS QUẢN LÝ CG'!$A$4:$D$36,4,0),"")</f>
        <v/>
      </c>
      <c r="Y630" s="353"/>
      <c r="Z630" s="731"/>
      <c r="AA630" s="353"/>
      <c r="AB630" s="731"/>
      <c r="AC630" s="731"/>
    </row>
    <row r="631" ht="13.8" spans="1:29">
      <c r="A631" s="754">
        <v>2</v>
      </c>
      <c r="B631" s="755" t="s">
        <v>1267</v>
      </c>
      <c r="C631" s="754">
        <f>COUNTA(B632:B635)</f>
        <v>4</v>
      </c>
      <c r="D631" s="756" t="str">
        <f>IFERROR(VLOOKUP(M631,'02. MM-KLH'!$B$6:$T$823,16,0),"")</f>
        <v/>
      </c>
      <c r="E631" s="756"/>
      <c r="F631" s="756"/>
      <c r="G631" s="756"/>
      <c r="H631" s="762" t="str">
        <f>IFERROR(VLOOKUP(M631,'02. MM-KLH'!$B$6:$T$823,17,0),"")</f>
        <v/>
      </c>
      <c r="I631" s="762" t="str">
        <f>IFERROR(VLOOKUP(M631,'02. MM-KLH'!$B$6:$U$823,20,0),"")</f>
        <v/>
      </c>
      <c r="J631" s="758" t="str">
        <f>IFERROR(VLOOKUP(M631,'02. MM-KLH'!$B$6:$T$823,19,0),"")</f>
        <v/>
      </c>
      <c r="K631" s="758" t="str">
        <f>IFERROR(VLOOKUP(M631,'02. MM-KLH'!$B$6:$T$823,18,0),"")</f>
        <v/>
      </c>
      <c r="L631" s="756" t="str">
        <f>IFERROR(VLOOKUP(M631,'02. MM-KLH'!$B$6:$T$823,4,0),"")</f>
        <v/>
      </c>
      <c r="M631" s="756"/>
      <c r="N631" s="756" t="str">
        <f>IFERROR(VLOOKUP(M631,'02. MM-KLH'!$B$6:$T$823,15,0),"")</f>
        <v/>
      </c>
      <c r="O631" s="760" t="str">
        <f>IFERROR(VLOOKUP(M631,'02. MM-KLH'!$B$6:$T$823,9,0),"")</f>
        <v/>
      </c>
      <c r="P631" s="756"/>
      <c r="Q631" s="756"/>
      <c r="R631" s="756"/>
      <c r="S631" s="756"/>
      <c r="T631" s="756"/>
      <c r="U631" s="756" t="str">
        <f>IFERROR(VLOOKUP(M631,'02. MM-KLH'!$B$6:$T$823,2,0),"")</f>
        <v/>
      </c>
      <c r="V631" s="762" t="str">
        <f>IFERROR(VLOOKUP(M631,'02. MM-KLH'!$B$6:$T$823,8,0),"")</f>
        <v/>
      </c>
      <c r="W631" s="756"/>
      <c r="X631" s="756"/>
      <c r="Y631" s="756"/>
      <c r="Z631" s="762" t="str">
        <f>IFERROR(VLOOKUP(M631,'02. MM-KLH'!$B$6:$T$823,3,0),"")</f>
        <v/>
      </c>
      <c r="AA631" s="756"/>
      <c r="AB631" s="762"/>
      <c r="AC631" s="762"/>
    </row>
    <row r="632" ht="13.8" spans="1:29">
      <c r="A632" s="731"/>
      <c r="B632" s="613" t="str">
        <f>IFERROR(VLOOKUP(M632,'02. MM-KLH'!$B$6:$T$823,6,0),"")</f>
        <v>Xe phun thuốc HYUNDAI 15T</v>
      </c>
      <c r="C632" s="353">
        <v>1</v>
      </c>
      <c r="D632" s="353">
        <f>IFERROR(VLOOKUP(M632,'02. MM-KLH'!$B$6:$T$823,16,0),"")</f>
        <v>0</v>
      </c>
      <c r="E632" s="353" t="s">
        <v>5978</v>
      </c>
      <c r="F632" s="353"/>
      <c r="G632" s="353"/>
      <c r="H632" s="353">
        <f>IFERROR(VLOOKUP(M632,'02. MM-KLH'!$B$6:$T$823,17,0),"")</f>
        <v>0</v>
      </c>
      <c r="I632" s="763">
        <f>IFERROR(VLOOKUP(M632,'02. MM-KLH'!$B$6:$U$823,20,0),"")</f>
        <v>3.75</v>
      </c>
      <c r="J632" s="613" t="str">
        <f>IFERROR(VLOOKUP(M632,'02. MM-KLH'!$B$6:$T$823,19,0),"")</f>
        <v>CCN</v>
      </c>
      <c r="K632" s="613">
        <f>IFERROR(VLOOKUP(M632,'02. MM-KLH'!$B$6:$T$823,18,0),"")</f>
        <v>18446</v>
      </c>
      <c r="L632" s="353">
        <f>IFERROR(VLOOKUP(M632,'02. MM-KLH'!$B$6:$T$823,4,0),"")</f>
        <v>0</v>
      </c>
      <c r="M632" s="49" t="s">
        <v>1683</v>
      </c>
      <c r="N632" s="356">
        <f>IFERROR(VLOOKUP(M632,'02. MM-KLH'!$B$6:$T$823,15,0),"")</f>
        <v>0</v>
      </c>
      <c r="O632" s="764">
        <f>IFERROR(VLOOKUP(M632,'02. MM-KLH'!$B$6:$T$823,9,0),"")</f>
        <v>0</v>
      </c>
      <c r="P632" s="353" t="s">
        <v>1755</v>
      </c>
      <c r="Q632" s="353"/>
      <c r="R632" s="353" t="s">
        <v>5978</v>
      </c>
      <c r="S632" s="353"/>
      <c r="T632" s="353"/>
      <c r="U632" s="353" t="str">
        <f>IFERROR(VLOOKUP(M632,'02. MM-KLH'!$B$6:$T$823,5,0),"")</f>
        <v>ĐQSD</v>
      </c>
      <c r="V632" s="731" t="str">
        <f>IFERROR(VLOOKUP(M632,'02. MM-KLH'!$B$6:$T$823,8,0),"")</f>
        <v>XN Chuối LP3</v>
      </c>
      <c r="W632" s="353" t="str">
        <f>IFERROR(VLOOKUP(V632,'NS QUẢN LÝ CG'!$A$4:$D$36,2,0),"")</f>
        <v/>
      </c>
      <c r="X632" s="353" t="str">
        <f>IFERROR(VLOOKUP(V632,'NS QUẢN LÝ CG'!$A$4:$D$36,4,0),"")</f>
        <v/>
      </c>
      <c r="Y632" s="353" t="str">
        <f>IFERROR(VLOOKUP(V632,'NS QUẢN LÝ CG'!$A$4:$C$36,3,0),"")</f>
        <v/>
      </c>
      <c r="Z632" s="731" t="str">
        <f>IFERROR(VLOOKUP(M632,'02. MM-KLH'!$B$6:$T$823,3,0),"")</f>
        <v/>
      </c>
      <c r="AA632" s="353" t="str">
        <f t="shared" ref="AA632:AA634" si="42">_xlfn.SWITCH(LEFT(Z632,3),"A22","ADM","A23","DP","A24","LP","")</f>
        <v/>
      </c>
      <c r="AB632" s="731"/>
      <c r="AC632" s="731"/>
    </row>
    <row r="633" ht="13.8" spans="1:29">
      <c r="A633" s="731"/>
      <c r="B633" s="613" t="str">
        <f>IFERROR(VLOOKUP(M633,'02. MM-KLH'!$B$6:$T$823,6,0),"")</f>
        <v>Xe phun thuốc HYUNDAI 15T</v>
      </c>
      <c r="C633" s="353">
        <v>1</v>
      </c>
      <c r="D633" s="353">
        <f>IFERROR(VLOOKUP(M633,'02. MM-KLH'!$B$6:$T$823,16,0),"")</f>
        <v>0</v>
      </c>
      <c r="E633" s="353" t="s">
        <v>5978</v>
      </c>
      <c r="F633" s="353"/>
      <c r="G633" s="353"/>
      <c r="H633" s="353" t="str">
        <f>IFERROR(VLOOKUP(M633,'02. MM-KLH'!$B$6:$T$823,17,0),"")</f>
        <v>15TẤN</v>
      </c>
      <c r="I633" s="763">
        <f>IFERROR(VLOOKUP(M633,'02. MM-KLH'!$B$6:$U$823,20,0),"")</f>
        <v>3.75</v>
      </c>
      <c r="J633" s="613" t="str">
        <f>IFERROR(VLOOKUP(M633,'02. MM-KLH'!$B$6:$T$823,19,0),"")</f>
        <v>CCN</v>
      </c>
      <c r="K633" s="613">
        <f>IFERROR(VLOOKUP(M633,'02. MM-KLH'!$B$6:$T$823,18,0),"")</f>
        <v>6958</v>
      </c>
      <c r="L633" s="353">
        <f>IFERROR(VLOOKUP(M633,'02. MM-KLH'!$B$6:$T$823,4,0),"")</f>
        <v>0</v>
      </c>
      <c r="M633" s="49" t="s">
        <v>1550</v>
      </c>
      <c r="N633" s="356">
        <f>IFERROR(VLOOKUP(M633,'02. MM-KLH'!$B$6:$T$823,15,0),"")</f>
        <v>0</v>
      </c>
      <c r="O633" s="764">
        <f>IFERROR(VLOOKUP(M633,'02. MM-KLH'!$B$6:$T$823,9,0),"")</f>
        <v>0</v>
      </c>
      <c r="P633" s="353" t="s">
        <v>1755</v>
      </c>
      <c r="Q633" s="353"/>
      <c r="R633" s="353"/>
      <c r="S633" s="353"/>
      <c r="T633" s="353"/>
      <c r="U633" s="353" t="str">
        <f>IFERROR(VLOOKUP(M633,'02. MM-KLH'!$B$6:$T$823,5,0),"")</f>
        <v>ĐQSD</v>
      </c>
      <c r="V633" s="731" t="str">
        <f>IFERROR(VLOOKUP(M633,'02. MM-KLH'!$B$6:$T$823,8,0),"")</f>
        <v>XN Chuối LP1</v>
      </c>
      <c r="W633" s="353" t="str">
        <f>IFERROR(VLOOKUP(V633,'NS QUẢN LÝ CG'!$A$4:$D$36,2,0),"")</f>
        <v/>
      </c>
      <c r="X633" s="353" t="str">
        <f>IFERROR(VLOOKUP(V633,'NS QUẢN LÝ CG'!$A$4:$D$36,4,0),"")</f>
        <v/>
      </c>
      <c r="Y633" s="353" t="str">
        <f>IFERROR(VLOOKUP(V633,'NS QUẢN LÝ CG'!$A$4:$C$36,3,0),"")</f>
        <v/>
      </c>
      <c r="Z633" s="731" t="str">
        <f>IFERROR(VLOOKUP(M633,'02. MM-KLH'!$B$6:$T$823,3,0),"")</f>
        <v/>
      </c>
      <c r="AA633" s="353" t="str">
        <f t="shared" si="42"/>
        <v/>
      </c>
      <c r="AB633" s="731"/>
      <c r="AC633" s="731"/>
    </row>
    <row r="634" ht="13.8" spans="1:29">
      <c r="A634" s="731"/>
      <c r="B634" s="613" t="str">
        <f>IFERROR(VLOOKUP(M634,'02. MM-KLH'!$B$6:$T$823,6,0),"")</f>
        <v>Xe phun thuốc HYUNDAI 15T</v>
      </c>
      <c r="C634" s="353">
        <v>1</v>
      </c>
      <c r="D634" s="353" t="str">
        <f>IFERROR(VLOOKUP(M634,'02. MM-KLH'!$B$6:$T$823,16,0),"")</f>
        <v>15T</v>
      </c>
      <c r="E634" s="353" t="s">
        <v>5978</v>
      </c>
      <c r="F634" s="353"/>
      <c r="G634" s="353"/>
      <c r="H634" s="353">
        <f>IFERROR(VLOOKUP(M634,'02. MM-KLH'!$B$6:$T$823,17,0),"")</f>
        <v>0</v>
      </c>
      <c r="I634" s="763">
        <f>IFERROR(VLOOKUP(M634,'02. MM-KLH'!$B$6:$U$823,20,0),"")</f>
        <v>3.75</v>
      </c>
      <c r="J634" s="613" t="str">
        <f>IFERROR(VLOOKUP(M634,'02. MM-KLH'!$B$6:$T$823,19,0),"")</f>
        <v>D8AVP095627</v>
      </c>
      <c r="K634" s="613" t="str">
        <f>IFERROR(VLOOKUP(M634,'02. MM-KLH'!$B$6:$T$823,18,0),"")</f>
        <v>KMCDB19IPNU003775</v>
      </c>
      <c r="L634" s="353">
        <f>IFERROR(VLOOKUP(M634,'02. MM-KLH'!$B$6:$T$823,4,0),"")</f>
        <v>0</v>
      </c>
      <c r="M634" s="49" t="s">
        <v>1265</v>
      </c>
      <c r="N634" s="356">
        <f>IFERROR(VLOOKUP(M634,'02. MM-KLH'!$B$6:$T$823,15,0),"")</f>
        <v>1992</v>
      </c>
      <c r="O634" s="764">
        <f>IFERROR(VLOOKUP(M634,'02. MM-KLH'!$B$6:$T$823,9,0),"")</f>
        <v>0</v>
      </c>
      <c r="P634" s="353" t="s">
        <v>1755</v>
      </c>
      <c r="Q634" s="353"/>
      <c r="R634" s="353"/>
      <c r="S634" s="353" t="s">
        <v>5978</v>
      </c>
      <c r="T634" s="353"/>
      <c r="U634" s="353" t="str">
        <f>IFERROR(VLOOKUP(M634,'02. MM-KLH'!$B$6:$T$823,5,0),"")</f>
        <v>ĐQSD</v>
      </c>
      <c r="V634" s="731" t="str">
        <f>IFERROR(VLOOKUP(M634,'02. MM-KLH'!$B$6:$T$823,8,0),"")</f>
        <v>XN Chuối DP2</v>
      </c>
      <c r="W634" s="353" t="str">
        <f>IFERROR(VLOOKUP(V634,'NS QUẢN LÝ CG'!$A$4:$D$36,2,0),"")</f>
        <v/>
      </c>
      <c r="X634" s="353" t="str">
        <f>IFERROR(VLOOKUP(V634,'NS QUẢN LÝ CG'!$A$4:$D$36,4,0),"")</f>
        <v/>
      </c>
      <c r="Y634" s="353" t="str">
        <f>IFERROR(VLOOKUP(V634,'NS QUẢN LÝ CG'!$A$4:$C$36,3,0),"")</f>
        <v/>
      </c>
      <c r="Z634" s="731" t="str">
        <f>IFERROR(VLOOKUP(M634,'02. MM-KLH'!$B$6:$T$823,3,0),"")</f>
        <v>A23-XPT-002</v>
      </c>
      <c r="AA634" s="353" t="str">
        <f t="shared" si="42"/>
        <v>DP</v>
      </c>
      <c r="AB634" s="731"/>
      <c r="AC634" s="731"/>
    </row>
    <row r="635" ht="13.8" spans="1:29">
      <c r="A635" s="731"/>
      <c r="B635" s="613" t="str">
        <f>IFERROR(VLOOKUP(M635,'02. MM-KLH'!$B$6:$T$823,6,0),"")</f>
        <v/>
      </c>
      <c r="C635" s="353"/>
      <c r="D635" s="353" t="str">
        <f>IFERROR(VLOOKUP(M635,'02. MM-KLH'!$B$6:$T$823,16,0),"")</f>
        <v/>
      </c>
      <c r="E635" s="353"/>
      <c r="F635" s="353"/>
      <c r="G635" s="353"/>
      <c r="H635" s="353" t="str">
        <f>IFERROR(VLOOKUP(M635,'02. MM-KLH'!$B$6:$T$823,17,0),"")</f>
        <v/>
      </c>
      <c r="I635" s="763" t="str">
        <f>IFERROR(VLOOKUP(M635,'02. MM-KLH'!$B$6:$U$823,20,0),"")</f>
        <v/>
      </c>
      <c r="J635" s="613" t="str">
        <f>IFERROR(VLOOKUP(M635,'02. MM-KLH'!$B$6:$T$823,19,0),"")</f>
        <v/>
      </c>
      <c r="K635" s="613" t="str">
        <f>IFERROR(VLOOKUP(M635,'02. MM-KLH'!$B$6:$T$823,18,0),"")</f>
        <v/>
      </c>
      <c r="L635" s="353" t="str">
        <f>IFERROR(VLOOKUP(M635,'02. MM-KLH'!$B$6:$T$823,4,0),"")</f>
        <v/>
      </c>
      <c r="M635" s="49"/>
      <c r="N635" s="356" t="str">
        <f>IFERROR(VLOOKUP(M635,'02. MM-KLH'!$B$6:$T$823,15,0),"")</f>
        <v/>
      </c>
      <c r="O635" s="764" t="str">
        <f>IFERROR(VLOOKUP(M635,'02. MM-KLH'!$B$6:$T$823,9,0),"")</f>
        <v/>
      </c>
      <c r="P635" s="353"/>
      <c r="Q635" s="353"/>
      <c r="R635" s="353"/>
      <c r="S635" s="353"/>
      <c r="T635" s="353"/>
      <c r="U635" s="353" t="str">
        <f>IFERROR(VLOOKUP(M635,'02. MM-KLH'!$B$6:$T$823,2,0),"")</f>
        <v/>
      </c>
      <c r="V635" s="731" t="str">
        <f>IFERROR(VLOOKUP(M635,'02. MM-KLH'!$B$6:$T$823,8,0),"")</f>
        <v/>
      </c>
      <c r="W635" s="353" t="str">
        <f>IFERROR(VLOOKUP(V635,'NS QUẢN LÝ CG'!$A$4:$D$36,2,0),"")</f>
        <v/>
      </c>
      <c r="X635" s="353" t="str">
        <f>IFERROR(VLOOKUP(V635,'NS QUẢN LÝ CG'!$A$4:$D$36,4,0),"")</f>
        <v/>
      </c>
      <c r="Y635" s="353"/>
      <c r="Z635" s="731" t="str">
        <f>IFERROR(VLOOKUP(M635,'02. MM-KLH'!$B$6:$T$823,3,0),"")</f>
        <v/>
      </c>
      <c r="AA635" s="353"/>
      <c r="AB635" s="731"/>
      <c r="AC635" s="731"/>
    </row>
    <row r="636" ht="13.8" spans="1:29">
      <c r="A636" s="754">
        <v>3</v>
      </c>
      <c r="B636" s="755" t="s">
        <v>621</v>
      </c>
      <c r="C636" s="754">
        <f>COUNTA(B637:B641)</f>
        <v>5</v>
      </c>
      <c r="D636" s="756" t="str">
        <f>IFERROR(VLOOKUP(M636,'02. MM-KLH'!$B$6:$T$823,16,0),"")</f>
        <v/>
      </c>
      <c r="E636" s="756"/>
      <c r="F636" s="756"/>
      <c r="G636" s="756"/>
      <c r="H636" s="762" t="str">
        <f>IFERROR(VLOOKUP(M636,'02. MM-KLH'!$B$6:$T$823,17,0),"")</f>
        <v/>
      </c>
      <c r="I636" s="762" t="str">
        <f>IFERROR(VLOOKUP(M636,'02. MM-KLH'!$B$6:$U$823,20,0),"")</f>
        <v/>
      </c>
      <c r="J636" s="758" t="str">
        <f>IFERROR(VLOOKUP(M636,'02. MM-KLH'!$B$6:$T$823,19,0),"")</f>
        <v/>
      </c>
      <c r="K636" s="758" t="str">
        <f>IFERROR(VLOOKUP(M636,'02. MM-KLH'!$B$6:$T$823,18,0),"")</f>
        <v/>
      </c>
      <c r="L636" s="756" t="str">
        <f>IFERROR(VLOOKUP(M636,'02. MM-KLH'!$B$6:$T$823,4,0),"")</f>
        <v/>
      </c>
      <c r="M636" s="756"/>
      <c r="N636" s="756" t="str">
        <f>IFERROR(VLOOKUP(M636,'02. MM-KLH'!$B$6:$T$823,15,0),"")</f>
        <v/>
      </c>
      <c r="O636" s="760" t="str">
        <f>IFERROR(VLOOKUP(M636,'02. MM-KLH'!$B$6:$T$823,9,0),"")</f>
        <v/>
      </c>
      <c r="P636" s="756"/>
      <c r="Q636" s="756"/>
      <c r="R636" s="756"/>
      <c r="S636" s="756"/>
      <c r="T636" s="756"/>
      <c r="U636" s="756" t="str">
        <f>IFERROR(VLOOKUP(M636,'02. MM-KLH'!$B$6:$T$823,2,0),"")</f>
        <v/>
      </c>
      <c r="V636" s="762" t="str">
        <f>IFERROR(VLOOKUP(M636,'02. MM-KLH'!$B$6:$T$823,8,0),"")</f>
        <v/>
      </c>
      <c r="W636" s="756"/>
      <c r="X636" s="756"/>
      <c r="Y636" s="756"/>
      <c r="Z636" s="762" t="str">
        <f>IFERROR(VLOOKUP(M636,'02. MM-KLH'!$B$6:$T$823,3,0),"")</f>
        <v/>
      </c>
      <c r="AA636" s="756"/>
      <c r="AB636" s="762"/>
      <c r="AC636" s="762"/>
    </row>
    <row r="637" ht="13.8" spans="1:29">
      <c r="A637" s="731"/>
      <c r="B637" s="613" t="str">
        <f>IFERROR(VLOOKUP(M637,'02. MM-KLH'!$B$6:$T$823,6,0),"")</f>
        <v>Xe phun thuốc FC950</v>
      </c>
      <c r="C637" s="353">
        <v>1</v>
      </c>
      <c r="D637" s="353" t="str">
        <f>IFERROR(VLOOKUP(M637,'02. MM-KLH'!$B$6:$T$823,16,0),"")</f>
        <v>FC950</v>
      </c>
      <c r="E637" s="353" t="s">
        <v>5978</v>
      </c>
      <c r="F637" s="353"/>
      <c r="G637" s="353"/>
      <c r="H637" s="353" t="str">
        <f>IFERROR(VLOOKUP(M637,'02. MM-KLH'!$B$6:$T$823,17,0),"")</f>
        <v>160HP</v>
      </c>
      <c r="I637" s="763">
        <f>IFERROR(VLOOKUP(M637,'02. MM-KLH'!$B$6:$U$823,20,0),"")</f>
        <v>5</v>
      </c>
      <c r="J637" s="613" t="str">
        <f>IFERROR(VLOOKUP(M637,'02. MM-KLH'!$B$6:$T$823,19,0),"")</f>
        <v>J00043</v>
      </c>
      <c r="K637" s="613" t="str">
        <f>IFERROR(VLOOKUP(M637,'02. MM-KLH'!$B$6:$T$823,18,0),"")</f>
        <v>RNHA16FYAJC093491</v>
      </c>
      <c r="L637" s="353">
        <f>IFERROR(VLOOKUP(M637,'02. MM-KLH'!$B$6:$T$823,4,0),"")</f>
        <v>0</v>
      </c>
      <c r="M637" s="49" t="s">
        <v>1369</v>
      </c>
      <c r="N637" s="356">
        <f>IFERROR(VLOOKUP(M637,'02. MM-KLH'!$B$6:$T$823,15,0),"")</f>
        <v>2018</v>
      </c>
      <c r="O637" s="764">
        <f>IFERROR(VLOOKUP(M637,'02. MM-KLH'!$B$6:$T$823,9,0),"")</f>
        <v>0</v>
      </c>
      <c r="P637" s="353" t="s">
        <v>1755</v>
      </c>
      <c r="Q637" s="353"/>
      <c r="R637" s="353" t="s">
        <v>5978</v>
      </c>
      <c r="S637" s="353"/>
      <c r="T637" s="353"/>
      <c r="U637" s="353" t="str">
        <f>IFERROR(VLOOKUP(M637,'02. MM-KLH'!$B$6:$T$823,5,0),"")</f>
        <v>ĐQSD</v>
      </c>
      <c r="V637" s="731" t="str">
        <f>IFERROR(VLOOKUP(M637,'02. MM-KLH'!$B$6:$T$823,8,0),"")</f>
        <v>XN Chuối DP3</v>
      </c>
      <c r="W637" s="353" t="str">
        <f>IFERROR(VLOOKUP(V637,'NS QUẢN LÝ CG'!$A$4:$D$36,2,0),"")</f>
        <v/>
      </c>
      <c r="X637" s="353" t="str">
        <f>IFERROR(VLOOKUP(V637,'NS QUẢN LÝ CG'!$A$4:$D$36,4,0),"")</f>
        <v/>
      </c>
      <c r="Y637" s="353" t="str">
        <f>IFERROR(VLOOKUP(V637,'NS QUẢN LÝ CG'!$A$4:$C$36,3,0),"")</f>
        <v/>
      </c>
      <c r="Z637" s="731" t="str">
        <f>IFERROR(VLOOKUP(M637,'02. MM-KLH'!$B$6:$T$823,3,0),"")</f>
        <v>A23-XPT-003</v>
      </c>
      <c r="AA637" s="353" t="str">
        <f t="shared" ref="AA637:AA640" si="43">_xlfn.SWITCH(LEFT(Z637,3),"A22","ADM","A23","DP","A24","LP","")</f>
        <v>DP</v>
      </c>
      <c r="AB637" s="731"/>
      <c r="AC637" s="731"/>
    </row>
    <row r="638" ht="13.8" spans="1:29">
      <c r="A638" s="731"/>
      <c r="B638" s="613" t="str">
        <f>IFERROR(VLOOKUP(M638,'02. MM-KLH'!$B$6:$T$823,6,0),"")</f>
        <v>Xe phun thuốc FD 3.5T</v>
      </c>
      <c r="C638" s="353">
        <v>1</v>
      </c>
      <c r="D638" s="353" t="str">
        <f>IFERROR(VLOOKUP(M638,'02. MM-KLH'!$B$6:$T$823,16,0),"")</f>
        <v>FD350</v>
      </c>
      <c r="E638" s="353" t="s">
        <v>5978</v>
      </c>
      <c r="F638" s="353"/>
      <c r="G638" s="353"/>
      <c r="H638" s="353" t="str">
        <f>IFERROR(VLOOKUP(M638,'02. MM-KLH'!$B$6:$T$823,17,0),"")</f>
        <v>78HP</v>
      </c>
      <c r="I638" s="763">
        <f>IFERROR(VLOOKUP(M638,'02. MM-KLH'!$B$6:$U$823,20,0),"")</f>
        <v>3.75</v>
      </c>
      <c r="J638" s="613" t="str">
        <f>IFERROR(VLOOKUP(M638,'02. MM-KLH'!$B$6:$T$823,19,0),"")</f>
        <v>CCN</v>
      </c>
      <c r="K638" s="613">
        <f>IFERROR(VLOOKUP(M638,'02. MM-KLH'!$B$6:$T$823,18,0),"")</f>
        <v>380096</v>
      </c>
      <c r="L638" s="353">
        <f>IFERROR(VLOOKUP(M638,'02. MM-KLH'!$B$6:$T$823,4,0),"")</f>
        <v>0</v>
      </c>
      <c r="M638" s="49" t="s">
        <v>1584</v>
      </c>
      <c r="N638" s="356">
        <f>IFERROR(VLOOKUP(M638,'02. MM-KLH'!$B$6:$T$823,15,0),"")</f>
        <v>2018</v>
      </c>
      <c r="O638" s="764">
        <f>IFERROR(VLOOKUP(M638,'02. MM-KLH'!$B$6:$T$823,9,0),"")</f>
        <v>0</v>
      </c>
      <c r="P638" s="353" t="s">
        <v>1755</v>
      </c>
      <c r="Q638" s="353"/>
      <c r="R638" s="353"/>
      <c r="S638" s="353" t="s">
        <v>5978</v>
      </c>
      <c r="T638" s="353"/>
      <c r="U638" s="353" t="str">
        <f>IFERROR(VLOOKUP(M638,'02. MM-KLH'!$B$6:$T$823,5,0),"")</f>
        <v>ĐQSD</v>
      </c>
      <c r="V638" s="731" t="str">
        <f>IFERROR(VLOOKUP(M638,'02. MM-KLH'!$B$6:$T$823,8,0),"")</f>
        <v>XN Chuối LP1</v>
      </c>
      <c r="W638" s="353" t="str">
        <f>IFERROR(VLOOKUP(V638,'NS QUẢN LÝ CG'!$A$4:$D$36,2,0),"")</f>
        <v/>
      </c>
      <c r="X638" s="353" t="str">
        <f>IFERROR(VLOOKUP(V638,'NS QUẢN LÝ CG'!$A$4:$D$36,4,0),"")</f>
        <v/>
      </c>
      <c r="Y638" s="353" t="str">
        <f>IFERROR(VLOOKUP(V638,'NS QUẢN LÝ CG'!$A$4:$C$36,3,0),"")</f>
        <v/>
      </c>
      <c r="Z638" s="731" t="str">
        <f>IFERROR(VLOOKUP(M638,'02. MM-KLH'!$B$6:$T$823,3,0),"")</f>
        <v/>
      </c>
      <c r="AA638" s="353" t="str">
        <f t="shared" si="43"/>
        <v/>
      </c>
      <c r="AB638" s="731"/>
      <c r="AC638" s="731"/>
    </row>
    <row r="639" ht="13.8" spans="1:29">
      <c r="A639" s="731"/>
      <c r="B639" s="613" t="str">
        <f>IFERROR(VLOOKUP(M639,'02. MM-KLH'!$B$6:$T$823,6,0),"")</f>
        <v>Xe phun thuốc chuyên dụng</v>
      </c>
      <c r="C639" s="353">
        <v>1</v>
      </c>
      <c r="D639" s="353" t="str">
        <f>IFERROR(VLOOKUP(M639,'02. MM-KLH'!$B$6:$T$823,16,0),"")</f>
        <v>3TNV88-DSA</v>
      </c>
      <c r="E639" s="353" t="s">
        <v>5978</v>
      </c>
      <c r="F639" s="353"/>
      <c r="G639" s="353"/>
      <c r="H639" s="353" t="str">
        <f>IFERROR(VLOOKUP(M639,'02. MM-KLH'!$B$6:$T$823,17,0),"")</f>
        <v>36HP</v>
      </c>
      <c r="I639" s="763">
        <f>IFERROR(VLOOKUP(M639,'02. MM-KLH'!$B$6:$U$823,20,0),"")</f>
        <v>2.4</v>
      </c>
      <c r="J639" s="613" t="str">
        <f>IFERROR(VLOOKUP(M639,'02. MM-KLH'!$B$6:$T$823,19,0),"")</f>
        <v>J8134</v>
      </c>
      <c r="K639" s="613" t="str">
        <f>IFERROR(VLOOKUP(M639,'02. MM-KLH'!$B$6:$T$823,18,0),"")</f>
        <v>CCN</v>
      </c>
      <c r="L639" s="353">
        <f>IFERROR(VLOOKUP(M639,'02. MM-KLH'!$B$6:$T$823,4,0),"")</f>
        <v>0</v>
      </c>
      <c r="M639" s="49" t="s">
        <v>2421</v>
      </c>
      <c r="N639" s="356">
        <f>IFERROR(VLOOKUP(M639,'02. MM-KLH'!$B$6:$T$823,15,0),"")</f>
        <v>0</v>
      </c>
      <c r="O639" s="764">
        <f>IFERROR(VLOOKUP(M639,'02. MM-KLH'!$B$6:$T$823,9,0),"")</f>
        <v>0</v>
      </c>
      <c r="P639" s="353" t="s">
        <v>1755</v>
      </c>
      <c r="Q639" s="353"/>
      <c r="R639" s="353"/>
      <c r="S639" s="353" t="s">
        <v>5978</v>
      </c>
      <c r="T639" s="353"/>
      <c r="U639" s="353" t="str">
        <f>IFERROR(VLOOKUP(M639,'02. MM-KLH'!$B$6:$T$823,5,0),"")</f>
        <v>ĐQSD</v>
      </c>
      <c r="V639" s="731" t="str">
        <f>IFERROR(VLOOKUP(M639,'02. MM-KLH'!$B$6:$T$823,8,0),"")</f>
        <v>XN Bò AD</v>
      </c>
      <c r="W639" s="353" t="str">
        <f>IFERROR(VLOOKUP(V639,'NS QUẢN LÝ CG'!$A$4:$D$36,2,0),"")</f>
        <v/>
      </c>
      <c r="X639" s="353" t="str">
        <f>IFERROR(VLOOKUP(V639,'NS QUẢN LÝ CG'!$A$4:$D$36,4,0),"")</f>
        <v/>
      </c>
      <c r="Y639" s="353" t="str">
        <f>IFERROR(VLOOKUP(V639,'NS QUẢN LÝ CG'!$A$4:$C$36,3,0),"")</f>
        <v/>
      </c>
      <c r="Z639" s="731" t="str">
        <f>IFERROR(VLOOKUP(M639,'02. MM-KLH'!$B$6:$T$823,3,0),"")</f>
        <v>A22-XPT-004</v>
      </c>
      <c r="AA639" s="353" t="str">
        <f t="shared" si="43"/>
        <v>ADM</v>
      </c>
      <c r="AB639" s="731"/>
      <c r="AC639" s="731"/>
    </row>
    <row r="640" ht="13.8" spans="1:29">
      <c r="A640" s="731"/>
      <c r="B640" s="613" t="str">
        <f>IFERROR(VLOOKUP(M640,'02. MM-KLH'!$B$6:$T$823,6,0),"")</f>
        <v/>
      </c>
      <c r="C640" s="353"/>
      <c r="D640" s="353" t="str">
        <f>IFERROR(VLOOKUP(M640,'02. MM-KLH'!$B$6:$T$823,16,0),"")</f>
        <v/>
      </c>
      <c r="E640" s="353"/>
      <c r="F640" s="353"/>
      <c r="G640" s="353"/>
      <c r="H640" s="353" t="str">
        <f>IFERROR(VLOOKUP(M640,'02. MM-KLH'!$B$6:$T$823,17,0),"")</f>
        <v/>
      </c>
      <c r="I640" s="763" t="str">
        <f>IFERROR(VLOOKUP(M640,'02. MM-KLH'!$B$6:$U$823,20,0),"")</f>
        <v/>
      </c>
      <c r="J640" s="613" t="str">
        <f>IFERROR(VLOOKUP(M640,'02. MM-KLH'!$B$6:$T$823,19,0),"")</f>
        <v/>
      </c>
      <c r="K640" s="613" t="str">
        <f>IFERROR(VLOOKUP(M640,'02. MM-KLH'!$B$6:$T$823,18,0),"")</f>
        <v/>
      </c>
      <c r="L640" s="353" t="str">
        <f>IFERROR(VLOOKUP(M640,'02. MM-KLH'!$B$6:$T$823,4,0),"")</f>
        <v/>
      </c>
      <c r="M640" s="49"/>
      <c r="N640" s="356" t="str">
        <f>IFERROR(VLOOKUP(M640,'02. MM-KLH'!$B$6:$T$823,15,0),"")</f>
        <v/>
      </c>
      <c r="O640" s="764" t="str">
        <f>IFERROR(VLOOKUP(M640,'02. MM-KLH'!$B$6:$T$823,9,0),"")</f>
        <v/>
      </c>
      <c r="P640" s="353"/>
      <c r="Q640" s="353"/>
      <c r="R640" s="353"/>
      <c r="S640" s="353"/>
      <c r="T640" s="353"/>
      <c r="U640" s="353" t="str">
        <f>IFERROR(VLOOKUP(M640,'02. MM-KLH'!$B$6:$T$823,2,0),"")</f>
        <v/>
      </c>
      <c r="V640" s="731" t="str">
        <f>IFERROR(VLOOKUP(M640,'02. MM-KLH'!$B$6:$T$823,8,0),"")</f>
        <v/>
      </c>
      <c r="W640" s="353" t="str">
        <f>IFERROR(VLOOKUP(V640,'NS QUẢN LÝ CG'!$A$4:$D$36,2,0),"")</f>
        <v/>
      </c>
      <c r="X640" s="353" t="str">
        <f>IFERROR(VLOOKUP(V640,'NS QUẢN LÝ CG'!$A$4:$D$36,4,0),"")</f>
        <v/>
      </c>
      <c r="Y640" s="353"/>
      <c r="Z640" s="731" t="str">
        <f>IFERROR(VLOOKUP(M640,'02. MM-KLH'!$B$6:$T$823,3,0),"")</f>
        <v/>
      </c>
      <c r="AA640" s="353" t="str">
        <f t="shared" si="43"/>
        <v/>
      </c>
      <c r="AB640" s="731"/>
      <c r="AC640" s="731"/>
    </row>
    <row r="641" ht="13.8" spans="1:29">
      <c r="A641" s="731"/>
      <c r="B641" s="613" t="str">
        <f>IFERROR(VLOOKUP(M641,'02. MM-KLH'!$B$6:$T$823,6,0),"")</f>
        <v/>
      </c>
      <c r="C641" s="353"/>
      <c r="D641" s="353" t="str">
        <f>IFERROR(VLOOKUP(M641,'02. MM-KLH'!$B$6:$T$823,16,0),"")</f>
        <v/>
      </c>
      <c r="E641" s="353"/>
      <c r="F641" s="353"/>
      <c r="G641" s="353"/>
      <c r="H641" s="353" t="str">
        <f>IFERROR(VLOOKUP(M641,'02. MM-KLH'!$B$6:$T$823,17,0),"")</f>
        <v/>
      </c>
      <c r="I641" s="763" t="str">
        <f>IFERROR(VLOOKUP(M641,'02. MM-KLH'!$B$6:$U$823,20,0),"")</f>
        <v/>
      </c>
      <c r="J641" s="613" t="str">
        <f>IFERROR(VLOOKUP(M641,'02. MM-KLH'!$B$6:$T$823,19,0),"")</f>
        <v/>
      </c>
      <c r="K641" s="613" t="str">
        <f>IFERROR(VLOOKUP(M641,'02. MM-KLH'!$B$6:$T$823,18,0),"")</f>
        <v/>
      </c>
      <c r="L641" s="353" t="str">
        <f>IFERROR(VLOOKUP(M641,'02. MM-KLH'!$B$6:$T$823,4,0),"")</f>
        <v/>
      </c>
      <c r="M641" s="49"/>
      <c r="N641" s="356" t="str">
        <f>IFERROR(VLOOKUP(M641,'02. MM-KLH'!$B$6:$T$823,15,0),"")</f>
        <v/>
      </c>
      <c r="O641" s="764" t="str">
        <f>IFERROR(VLOOKUP(M641,'02. MM-KLH'!$B$6:$T$823,9,0),"")</f>
        <v/>
      </c>
      <c r="P641" s="353"/>
      <c r="Q641" s="353"/>
      <c r="R641" s="353"/>
      <c r="S641" s="353"/>
      <c r="T641" s="353"/>
      <c r="U641" s="353" t="str">
        <f>IFERROR(VLOOKUP(M641,'02. MM-KLH'!$B$6:$T$823,2,0),"")</f>
        <v/>
      </c>
      <c r="V641" s="731" t="str">
        <f>IFERROR(VLOOKUP(M641,'02. MM-KLH'!$B$6:$T$823,8,0),"")</f>
        <v/>
      </c>
      <c r="W641" s="353" t="str">
        <f>IFERROR(VLOOKUP(V641,'NS QUẢN LÝ CG'!$A$4:$D$36,2,0),"")</f>
        <v/>
      </c>
      <c r="X641" s="353" t="str">
        <f>IFERROR(VLOOKUP(V641,'NS QUẢN LÝ CG'!$A$4:$D$36,4,0),"")</f>
        <v/>
      </c>
      <c r="Y641" s="353"/>
      <c r="Z641" s="731" t="str">
        <f>IFERROR(VLOOKUP(M641,'02. MM-KLH'!$B$6:$T$823,3,0),"")</f>
        <v/>
      </c>
      <c r="AA641" s="353"/>
      <c r="AB641" s="731"/>
      <c r="AC641" s="731"/>
    </row>
    <row r="642" spans="1:29">
      <c r="A642" s="747" t="s">
        <v>3352</v>
      </c>
      <c r="B642" s="748" t="s">
        <v>3506</v>
      </c>
      <c r="C642" s="747">
        <f>COUNTA(B643:B647)</f>
        <v>5</v>
      </c>
      <c r="D642" s="749"/>
      <c r="E642" s="749"/>
      <c r="F642" s="749"/>
      <c r="G642" s="749"/>
      <c r="H642" s="749"/>
      <c r="I642" s="750"/>
      <c r="J642" s="751"/>
      <c r="K642" s="751"/>
      <c r="L642" s="749"/>
      <c r="M642" s="749"/>
      <c r="N642" s="749"/>
      <c r="O642" s="752"/>
      <c r="P642" s="749"/>
      <c r="Q642" s="749"/>
      <c r="R642" s="749"/>
      <c r="S642" s="749"/>
      <c r="T642" s="749"/>
      <c r="U642" s="749"/>
      <c r="V642" s="750"/>
      <c r="W642" s="749"/>
      <c r="X642" s="749"/>
      <c r="Y642" s="749"/>
      <c r="Z642" s="750"/>
      <c r="AA642" s="749"/>
      <c r="AB642" s="750"/>
      <c r="AC642" s="753"/>
    </row>
    <row r="643" spans="1:29">
      <c r="A643" s="731"/>
      <c r="B643" s="613" t="str">
        <f>IFERROR(VLOOKUP(M643,'02. MM-KLH'!$B$6:$T$823,6,0),"")</f>
        <v>Xe rải thức ăn FD1600B (23m3)</v>
      </c>
      <c r="C643" s="353">
        <v>1</v>
      </c>
      <c r="D643" s="353" t="str">
        <f>IFERROR(VLOOKUP(M643,'02. MM-KLH'!$B$6:$T$823,16,0),"")</f>
        <v>FD1600B</v>
      </c>
      <c r="E643" s="353" t="s">
        <v>5978</v>
      </c>
      <c r="F643" s="353"/>
      <c r="G643" s="353"/>
      <c r="H643" s="353" t="str">
        <f>IFERROR(VLOOKUP(M643,'02. MM-KLH'!$B$6:$T$823,17,0),"")</f>
        <v>180HP</v>
      </c>
      <c r="I643" s="763">
        <f>IFERROR(VLOOKUP(M643,'02. MM-KLH'!$B$6:$U$823,20,0),"")</f>
        <v>0.46</v>
      </c>
      <c r="J643" s="613" t="str">
        <f>IFERROR(VLOOKUP(M643,'02. MM-KLH'!$B$6:$T$823,19,0),"")</f>
        <v>WP6180E326P15D005529</v>
      </c>
      <c r="K643" s="613" t="str">
        <f>IFERROR(VLOOKUP(M643,'02. MM-KLH'!$B$6:$T$823,18,0),"")</f>
        <v>RNHD1600DHC070080</v>
      </c>
      <c r="L643" s="353">
        <f>IFERROR(VLOOKUP(M643,'02. MM-KLH'!$B$6:$T$823,4,0),"")</f>
        <v>0</v>
      </c>
      <c r="M643" s="49" t="s">
        <v>2191</v>
      </c>
      <c r="N643" s="356">
        <f>IFERROR(VLOOKUP(M643,'02. MM-KLH'!$B$6:$T$823,15,0),"")</f>
        <v>2017</v>
      </c>
      <c r="O643" s="764">
        <f>IFERROR(VLOOKUP(M643,'02. MM-KLH'!$B$6:$T$823,9,0),"")</f>
        <v>44927</v>
      </c>
      <c r="P643" s="765">
        <v>79996</v>
      </c>
      <c r="Q643" s="353"/>
      <c r="R643" s="353" t="s">
        <v>5978</v>
      </c>
      <c r="S643" s="353"/>
      <c r="T643" s="353"/>
      <c r="U643" s="353" t="str">
        <f>IFERROR(VLOOKUP(M643,'02. MM-KLH'!$B$6:$T$823,5,0),"")</f>
        <v>MỚI</v>
      </c>
      <c r="V643" s="731" t="str">
        <f>IFERROR(VLOOKUP(M643,'02. MM-KLH'!$B$6:$T$823,8,0),"")</f>
        <v>XN Bò AD</v>
      </c>
      <c r="W643" s="353" t="str">
        <f>IFERROR(VLOOKUP(V643,'NS QUẢN LÝ CG'!$A$4:$D$36,2,0),"")</f>
        <v/>
      </c>
      <c r="X643" s="353" t="str">
        <f>IFERROR(VLOOKUP(V643,'NS QUẢN LÝ CG'!$A$4:$D$36,4,0),"")</f>
        <v/>
      </c>
      <c r="Y643" s="353" t="str">
        <f>IFERROR(VLOOKUP(V643,'NS QUẢN LÝ CG'!$A$4:$C$36,3,0),"")</f>
        <v/>
      </c>
      <c r="Z643" s="731" t="str">
        <f>IFERROR(VLOOKUP(M643,'02. MM-KLH'!$B$6:$T$823,3,0),"")</f>
        <v>ATT-A22-0270</v>
      </c>
      <c r="AA643" s="353" t="s">
        <v>5980</v>
      </c>
      <c r="AB643" s="731"/>
      <c r="AC643" s="731"/>
    </row>
    <row r="644" ht="13.8" spans="1:29">
      <c r="A644" s="731"/>
      <c r="B644" s="613" t="str">
        <f>IFERROR(VLOOKUP(M644,'02. MM-KLH'!$B$6:$T$823,6,0),"")</f>
        <v>Xe rải thức ăn FD1600B (23m3)</v>
      </c>
      <c r="C644" s="353">
        <v>1</v>
      </c>
      <c r="D644" s="353" t="str">
        <f>IFERROR(VLOOKUP(M644,'02. MM-KLH'!$B$6:$T$823,16,0),"")</f>
        <v>FD1600B</v>
      </c>
      <c r="E644" s="353" t="s">
        <v>5978</v>
      </c>
      <c r="F644" s="353"/>
      <c r="G644" s="353"/>
      <c r="H644" s="353" t="str">
        <f>IFERROR(VLOOKUP(M644,'02. MM-KLH'!$B$6:$T$823,17,0),"")</f>
        <v>180HP</v>
      </c>
      <c r="I644" s="763">
        <f>IFERROR(VLOOKUP(M644,'02. MM-KLH'!$B$6:$U$823,20,0),"")</f>
        <v>0.46</v>
      </c>
      <c r="J644" s="613" t="str">
        <f>IFERROR(VLOOKUP(M644,'02. MM-KLH'!$B$6:$T$823,19,0),"")</f>
        <v>WP6180E326P15D005502</v>
      </c>
      <c r="K644" s="613" t="str">
        <f>IFERROR(VLOOKUP(M644,'02. MM-KLH'!$B$6:$T$823,18,0),"")</f>
        <v>RNHD1600DHC055025</v>
      </c>
      <c r="L644" s="353">
        <f>IFERROR(VLOOKUP(M644,'02. MM-KLH'!$B$6:$T$823,4,0),"")</f>
        <v>0</v>
      </c>
      <c r="M644" s="49" t="s">
        <v>2195</v>
      </c>
      <c r="N644" s="356">
        <f>IFERROR(VLOOKUP(M644,'02. MM-KLH'!$B$6:$T$823,15,0),"")</f>
        <v>2017</v>
      </c>
      <c r="O644" s="764">
        <f>IFERROR(VLOOKUP(M644,'02. MM-KLH'!$B$6:$T$823,9,0),"")</f>
        <v>45261</v>
      </c>
      <c r="P644" s="353" t="s">
        <v>1755</v>
      </c>
      <c r="Q644" s="353"/>
      <c r="R644" s="353"/>
      <c r="S644" s="353" t="s">
        <v>5978</v>
      </c>
      <c r="T644" s="353"/>
      <c r="U644" s="353" t="str">
        <f>IFERROR(VLOOKUP(M644,'02. MM-KLH'!$B$6:$T$823,5,0),"")</f>
        <v>MỚI</v>
      </c>
      <c r="V644" s="731" t="str">
        <f>IFERROR(VLOOKUP(M644,'02. MM-KLH'!$B$6:$T$823,8,0),"")</f>
        <v>XN Bò AD</v>
      </c>
      <c r="W644" s="353" t="str">
        <f>IFERROR(VLOOKUP(V644,'NS QUẢN LÝ CG'!$A$4:$D$36,2,0),"")</f>
        <v/>
      </c>
      <c r="X644" s="353" t="str">
        <f>IFERROR(VLOOKUP(V644,'NS QUẢN LÝ CG'!$A$4:$D$36,4,0),"")</f>
        <v/>
      </c>
      <c r="Y644" s="353" t="str">
        <f>IFERROR(VLOOKUP(V644,'NS QUẢN LÝ CG'!$A$4:$C$36,3,0),"")</f>
        <v/>
      </c>
      <c r="Z644" s="731" t="str">
        <f>IFERROR(VLOOKUP(M644,'02. MM-KLH'!$B$6:$T$823,3,0),"")</f>
        <v>ATT-A22-0287</v>
      </c>
      <c r="AA644" s="353" t="s">
        <v>5980</v>
      </c>
      <c r="AB644" s="731"/>
      <c r="AC644" s="731"/>
    </row>
    <row r="645" ht="13.8" spans="1:29">
      <c r="A645" s="731"/>
      <c r="B645" s="613" t="str">
        <f>IFERROR(VLOOKUP(M645,'02. MM-KLH'!$B$6:$T$823,6,0),"")</f>
        <v>Xe rải thức ăn FD1600B (23m3)</v>
      </c>
      <c r="C645" s="353">
        <v>1</v>
      </c>
      <c r="D645" s="353" t="str">
        <f>IFERROR(VLOOKUP(M645,'02. MM-KLH'!$B$6:$T$823,16,0),"")</f>
        <v>FD1600B</v>
      </c>
      <c r="E645" s="353" t="s">
        <v>5978</v>
      </c>
      <c r="F645" s="353"/>
      <c r="G645" s="353"/>
      <c r="H645" s="353" t="str">
        <f>IFERROR(VLOOKUP(M645,'02. MM-KLH'!$B$6:$T$823,17,0),"")</f>
        <v>180HP</v>
      </c>
      <c r="I645" s="763">
        <f>IFERROR(VLOOKUP(M645,'02. MM-KLH'!$B$6:$U$823,20,0),"")</f>
        <v>5</v>
      </c>
      <c r="J645" s="613" t="str">
        <f>IFERROR(VLOOKUP(M645,'02. MM-KLH'!$B$6:$T$823,19,0),"")</f>
        <v>WP6.180E326P15D005524</v>
      </c>
      <c r="K645" s="613" t="str">
        <f>IFERROR(VLOOKUP(M645,'02. MM-KLH'!$B$6:$T$823,18,0),"")</f>
        <v>RNHD1600DHC056126</v>
      </c>
      <c r="L645" s="353">
        <f>IFERROR(VLOOKUP(M645,'02. MM-KLH'!$B$6:$T$823,4,0),"")</f>
        <v>0</v>
      </c>
      <c r="M645" s="49" t="s">
        <v>2198</v>
      </c>
      <c r="N645" s="356">
        <f>IFERROR(VLOOKUP(M645,'02. MM-KLH'!$B$6:$T$823,15,0),"")</f>
        <v>2017</v>
      </c>
      <c r="O645" s="764">
        <f>IFERROR(VLOOKUP(M645,'02. MM-KLH'!$B$6:$T$823,9,0),"")</f>
        <v>45261</v>
      </c>
      <c r="P645" s="353" t="s">
        <v>1755</v>
      </c>
      <c r="Q645" s="353"/>
      <c r="R645" s="353" t="s">
        <v>5978</v>
      </c>
      <c r="S645" s="353"/>
      <c r="T645" s="353"/>
      <c r="U645" s="353" t="str">
        <f>IFERROR(VLOOKUP(M645,'02. MM-KLH'!$B$6:$T$823,5,0),"")</f>
        <v>MỚI</v>
      </c>
      <c r="V645" s="731" t="str">
        <f>IFERROR(VLOOKUP(M645,'02. MM-KLH'!$B$6:$T$823,8,0),"")</f>
        <v>XN Bò AD</v>
      </c>
      <c r="W645" s="353" t="str">
        <f>IFERROR(VLOOKUP(V645,'NS QUẢN LÝ CG'!$A$4:$D$36,2,0),"")</f>
        <v/>
      </c>
      <c r="X645" s="353" t="str">
        <f>IFERROR(VLOOKUP(V645,'NS QUẢN LÝ CG'!$A$4:$D$36,4,0),"")</f>
        <v/>
      </c>
      <c r="Y645" s="353" t="str">
        <f>IFERROR(VLOOKUP(V645,'NS QUẢN LÝ CG'!$A$4:$C$36,3,0),"")</f>
        <v/>
      </c>
      <c r="Z645" s="731" t="str">
        <f>IFERROR(VLOOKUP(M645,'02. MM-KLH'!$B$6:$T$823,3,0),"")</f>
        <v>ATT-A22-0288</v>
      </c>
      <c r="AA645" s="353" t="s">
        <v>5980</v>
      </c>
      <c r="AB645" s="731"/>
      <c r="AC645" s="731"/>
    </row>
    <row r="646" ht="13.8" spans="1:29">
      <c r="A646" s="731"/>
      <c r="B646" s="613" t="str">
        <f>IFERROR(VLOOKUP(M646,'02. MM-KLH'!$B$6:$T$823,6,0),"")</f>
        <v>Xe rải thức ăn FD1600B (23m3)</v>
      </c>
      <c r="C646" s="353">
        <v>1</v>
      </c>
      <c r="D646" s="353" t="str">
        <f>IFERROR(VLOOKUP(M646,'02. MM-KLH'!$B$6:$T$823,16,0),"")</f>
        <v>FD1600B</v>
      </c>
      <c r="E646" s="353" t="s">
        <v>5978</v>
      </c>
      <c r="F646" s="353"/>
      <c r="G646" s="353"/>
      <c r="H646" s="353" t="str">
        <f>IFERROR(VLOOKUP(M646,'02. MM-KLH'!$B$6:$T$823,17,0),"")</f>
        <v>180HP</v>
      </c>
      <c r="I646" s="763">
        <f>IFERROR(VLOOKUP(M646,'02. MM-KLH'!$B$6:$U$823,20,0),"")</f>
        <v>5</v>
      </c>
      <c r="J646" s="613" t="str">
        <f>IFERROR(VLOOKUP(M646,'02. MM-KLH'!$B$6:$T$823,19,0),"")</f>
        <v>WP6.180E32*6P15D005392</v>
      </c>
      <c r="K646" s="613" t="str">
        <f>IFERROR(VLOOKUP(M646,'02. MM-KLH'!$B$6:$T$823,18,0),"")</f>
        <v>RNHD1600DHC056121</v>
      </c>
      <c r="L646" s="353">
        <f>IFERROR(VLOOKUP(M646,'02. MM-KLH'!$B$6:$T$823,4,0),"")</f>
        <v>0</v>
      </c>
      <c r="M646" s="49" t="s">
        <v>2201</v>
      </c>
      <c r="N646" s="356">
        <f>IFERROR(VLOOKUP(M646,'02. MM-KLH'!$B$6:$T$823,15,0),"")</f>
        <v>2017</v>
      </c>
      <c r="O646" s="764">
        <f>IFERROR(VLOOKUP(M646,'02. MM-KLH'!$B$6:$T$823,9,0),"")</f>
        <v>45569</v>
      </c>
      <c r="P646" s="353" t="s">
        <v>1755</v>
      </c>
      <c r="Q646" s="353"/>
      <c r="R646" s="353" t="s">
        <v>5978</v>
      </c>
      <c r="S646" s="353"/>
      <c r="T646" s="353"/>
      <c r="U646" s="353" t="str">
        <f>IFERROR(VLOOKUP(M646,'02. MM-KLH'!$B$6:$T$823,5,0),"")</f>
        <v>MỚI</v>
      </c>
      <c r="V646" s="731" t="str">
        <f>IFERROR(VLOOKUP(M646,'02. MM-KLH'!$B$6:$T$823,8,0),"")</f>
        <v>XN Bò AD</v>
      </c>
      <c r="W646" s="353" t="str">
        <f>IFERROR(VLOOKUP(V646,'NS QUẢN LÝ CG'!$A$4:$D$36,2,0),"")</f>
        <v/>
      </c>
      <c r="X646" s="353" t="str">
        <f>IFERROR(VLOOKUP(V646,'NS QUẢN LÝ CG'!$A$4:$D$36,4,0),"")</f>
        <v/>
      </c>
      <c r="Y646" s="353" t="str">
        <f>IFERROR(VLOOKUP(V646,'NS QUẢN LÝ CG'!$A$4:$C$36,3,0),"")</f>
        <v/>
      </c>
      <c r="Z646" s="731" t="str">
        <f>IFERROR(VLOOKUP(M646,'02. MM-KLH'!$B$6:$T$823,3,0),"")</f>
        <v>A22-XRA-005</v>
      </c>
      <c r="AA646" s="353" t="str">
        <f>_xlfn.SWITCH(LEFT(Z646,3),"A22","ADM","A23","DP","A24","LP","")</f>
        <v>ADM</v>
      </c>
      <c r="AB646" s="731"/>
      <c r="AC646" s="731"/>
    </row>
    <row r="647" ht="13.8" spans="1:29">
      <c r="A647" s="731"/>
      <c r="B647" s="613" t="str">
        <f>IFERROR(VLOOKUP(M647,'02. MM-KLH'!$B$6:$T$823,6,0),"")</f>
        <v/>
      </c>
      <c r="C647" s="353"/>
      <c r="D647" s="353" t="str">
        <f>IFERROR(VLOOKUP(M647,'02. MM-KLH'!$B$6:$T$823,16,0),"")</f>
        <v/>
      </c>
      <c r="E647" s="353"/>
      <c r="F647" s="353"/>
      <c r="G647" s="353"/>
      <c r="H647" s="353" t="str">
        <f>IFERROR(VLOOKUP(M647,'02. MM-KLH'!$B$6:$T$823,17,0),"")</f>
        <v/>
      </c>
      <c r="I647" s="763" t="str">
        <f>IFERROR(VLOOKUP(M647,'02. MM-KLH'!$B$6:$U$823,20,0),"")</f>
        <v/>
      </c>
      <c r="J647" s="613" t="str">
        <f>IFERROR(VLOOKUP(M647,'02. MM-KLH'!$B$6:$T$823,19,0),"")</f>
        <v/>
      </c>
      <c r="K647" s="613" t="str">
        <f>IFERROR(VLOOKUP(M647,'02. MM-KLH'!$B$6:$T$823,18,0),"")</f>
        <v/>
      </c>
      <c r="L647" s="353" t="str">
        <f>IFERROR(VLOOKUP(M647,'02. MM-KLH'!$B$6:$T$823,4,0),"")</f>
        <v/>
      </c>
      <c r="M647" s="49"/>
      <c r="N647" s="356" t="str">
        <f>IFERROR(VLOOKUP(M647,'02. MM-KLH'!$B$6:$T$823,15,0),"")</f>
        <v/>
      </c>
      <c r="O647" s="764" t="str">
        <f>IFERROR(VLOOKUP(M647,'02. MM-KLH'!$B$6:$T$823,9,0),"")</f>
        <v/>
      </c>
      <c r="P647" s="353"/>
      <c r="Q647" s="353"/>
      <c r="R647" s="353"/>
      <c r="S647" s="353"/>
      <c r="T647" s="353"/>
      <c r="U647" s="353" t="str">
        <f>IFERROR(VLOOKUP(M647,'02. MM-KLH'!$B$6:$T$823,2,0),"")</f>
        <v/>
      </c>
      <c r="V647" s="731" t="str">
        <f>IFERROR(VLOOKUP(M647,'02. MM-KLH'!$B$6:$T$823,8,0),"")</f>
        <v/>
      </c>
      <c r="W647" s="353" t="str">
        <f>IFERROR(VLOOKUP(V647,'NS QUẢN LÝ CG'!$A$4:$D$36,2,0),"")</f>
        <v/>
      </c>
      <c r="X647" s="353" t="str">
        <f>IFERROR(VLOOKUP(V647,'NS QUẢN LÝ CG'!$A$4:$D$36,4,0),"")</f>
        <v/>
      </c>
      <c r="Y647" s="353"/>
      <c r="Z647" s="731" t="str">
        <f>IFERROR(VLOOKUP(M647,'02. MM-KLH'!$B$6:$T$823,3,0),"")</f>
        <v/>
      </c>
      <c r="AA647" s="353"/>
      <c r="AB647" s="731"/>
      <c r="AC647" s="731"/>
    </row>
    <row r="648" spans="1:29">
      <c r="A648" s="747" t="s">
        <v>3375</v>
      </c>
      <c r="B648" s="748" t="s">
        <v>3491</v>
      </c>
      <c r="C648" s="747">
        <f>COUNTA(B649:B661)</f>
        <v>13</v>
      </c>
      <c r="D648" s="749"/>
      <c r="E648" s="749"/>
      <c r="F648" s="749"/>
      <c r="G648" s="749"/>
      <c r="H648" s="749"/>
      <c r="I648" s="750"/>
      <c r="J648" s="751"/>
      <c r="K648" s="751"/>
      <c r="L648" s="749"/>
      <c r="M648" s="749"/>
      <c r="N648" s="749"/>
      <c r="O648" s="752"/>
      <c r="P648" s="749"/>
      <c r="Q648" s="749"/>
      <c r="R648" s="749"/>
      <c r="S648" s="749"/>
      <c r="T648" s="749"/>
      <c r="U648" s="749"/>
      <c r="V648" s="750"/>
      <c r="W648" s="749"/>
      <c r="X648" s="749"/>
      <c r="Y648" s="749"/>
      <c r="Z648" s="750"/>
      <c r="AA648" s="749"/>
      <c r="AB648" s="750"/>
      <c r="AC648" s="753"/>
    </row>
    <row r="649" ht="13.8" spans="1:29">
      <c r="A649" s="731"/>
      <c r="B649" s="613" t="str">
        <f>IFERROR(VLOOKUP(M649,'02. MM-KLH'!$B$6:$T$823,6,0),"")</f>
        <v>Xe hứng cỏ FC150 (30m3)</v>
      </c>
      <c r="C649" s="353">
        <v>1</v>
      </c>
      <c r="D649" s="353" t="str">
        <f>IFERROR(VLOOKUP(M649,'02. MM-KLH'!$B$6:$T$823,16,0),"")</f>
        <v>FC150-4WD</v>
      </c>
      <c r="E649" s="353" t="s">
        <v>5978</v>
      </c>
      <c r="F649" s="353"/>
      <c r="G649" s="353"/>
      <c r="H649" s="353" t="str">
        <f>IFERROR(VLOOKUP(M649,'02. MM-KLH'!$B$6:$T$823,17,0),"")</f>
        <v>150HP</v>
      </c>
      <c r="I649" s="763">
        <f>IFERROR(VLOOKUP(M649,'02. MM-KLH'!$B$6:$U$823,20,0),"")</f>
        <v>0.63</v>
      </c>
      <c r="J649" s="613" t="str">
        <f>IFERROR(VLOOKUP(M649,'02. MM-KLH'!$B$6:$T$823,19,0),"")</f>
        <v>YC4D150-48D59M1N00701</v>
      </c>
      <c r="K649" s="613" t="str">
        <f>IFERROR(VLOOKUP(M649,'02. MM-KLH'!$B$6:$T$823,18,0),"")</f>
        <v>RNHF16FYBNT070603</v>
      </c>
      <c r="L649" s="353">
        <f>IFERROR(VLOOKUP(M649,'02. MM-KLH'!$B$6:$T$823,4,0),"")</f>
        <v>0</v>
      </c>
      <c r="M649" s="49" t="s">
        <v>2204</v>
      </c>
      <c r="N649" s="356">
        <f>IFERROR(VLOOKUP(M649,'02. MM-KLH'!$B$6:$T$823,15,0),"")</f>
        <v>2022</v>
      </c>
      <c r="O649" s="764">
        <f>IFERROR(VLOOKUP(M649,'02. MM-KLH'!$B$6:$T$823,9,0),"")</f>
        <v>45261</v>
      </c>
      <c r="P649" s="353" t="s">
        <v>1755</v>
      </c>
      <c r="Q649" s="353"/>
      <c r="R649" s="353" t="s">
        <v>5978</v>
      </c>
      <c r="S649" s="353"/>
      <c r="T649" s="353"/>
      <c r="U649" s="353" t="str">
        <f>IFERROR(VLOOKUP(M649,'02. MM-KLH'!$B$6:$T$823,5,0),"")</f>
        <v>MỚI</v>
      </c>
      <c r="V649" s="731" t="str">
        <f>IFERROR(VLOOKUP(M649,'02. MM-KLH'!$B$6:$T$823,8,0),"")</f>
        <v>XN Bò AD</v>
      </c>
      <c r="W649" s="353" t="str">
        <f>IFERROR(VLOOKUP(V649,'NS QUẢN LÝ CG'!$A$4:$D$36,2,0),"")</f>
        <v/>
      </c>
      <c r="X649" s="353" t="str">
        <f>IFERROR(VLOOKUP(V649,'NS QUẢN LÝ CG'!$A$4:$D$36,4,0),"")</f>
        <v/>
      </c>
      <c r="Y649" s="353" t="str">
        <f>IFERROR(VLOOKUP(V649,'NS QUẢN LÝ CG'!$A$4:$C$36,3,0),"")</f>
        <v/>
      </c>
      <c r="Z649" s="731" t="str">
        <f>IFERROR(VLOOKUP(M649,'02. MM-KLH'!$B$6:$T$823,3,0),"")</f>
        <v>ATT-A22-0285</v>
      </c>
      <c r="AA649" s="353" t="s">
        <v>5980</v>
      </c>
      <c r="AB649" s="731"/>
      <c r="AC649" s="731"/>
    </row>
    <row r="650" ht="13.8" spans="1:29">
      <c r="A650" s="731"/>
      <c r="B650" s="613" t="str">
        <f>IFERROR(VLOOKUP(M650,'02. MM-KLH'!$B$6:$T$823,6,0),"")</f>
        <v>Xe hứng cỏ FC150 (30m3)</v>
      </c>
      <c r="C650" s="353">
        <v>1</v>
      </c>
      <c r="D650" s="353" t="str">
        <f>IFERROR(VLOOKUP(M650,'02. MM-KLH'!$B$6:$T$823,16,0),"")</f>
        <v>FC150-4WD</v>
      </c>
      <c r="E650" s="353" t="s">
        <v>5978</v>
      </c>
      <c r="F650" s="353"/>
      <c r="G650" s="353"/>
      <c r="H650" s="353" t="str">
        <f>IFERROR(VLOOKUP(M650,'02. MM-KLH'!$B$6:$T$823,17,0),"")</f>
        <v>150HP</v>
      </c>
      <c r="I650" s="763">
        <f>IFERROR(VLOOKUP(M650,'02. MM-KLH'!$B$6:$U$823,20,0),"")</f>
        <v>0.63</v>
      </c>
      <c r="J650" s="613" t="str">
        <f>IFERROR(VLOOKUP(M650,'02. MM-KLH'!$B$6:$T$823,19,0),"")</f>
        <v>YC4D150-48D59M1N00901</v>
      </c>
      <c r="K650" s="613" t="str">
        <f>IFERROR(VLOOKUP(M650,'02. MM-KLH'!$B$6:$T$823,18,0),"")</f>
        <v>RNHF16FYANT077508</v>
      </c>
      <c r="L650" s="353">
        <f>IFERROR(VLOOKUP(M650,'02. MM-KLH'!$B$6:$T$823,4,0),"")</f>
        <v>0</v>
      </c>
      <c r="M650" s="49" t="s">
        <v>2208</v>
      </c>
      <c r="N650" s="356">
        <f>IFERROR(VLOOKUP(M650,'02. MM-KLH'!$B$6:$T$823,15,0),"")</f>
        <v>2023</v>
      </c>
      <c r="O650" s="764">
        <f>IFERROR(VLOOKUP(M650,'02. MM-KLH'!$B$6:$T$823,9,0),"")</f>
        <v>45261</v>
      </c>
      <c r="P650" s="353" t="s">
        <v>1755</v>
      </c>
      <c r="Q650" s="353"/>
      <c r="R650" s="353"/>
      <c r="S650" s="353" t="s">
        <v>5978</v>
      </c>
      <c r="T650" s="353"/>
      <c r="U650" s="353" t="str">
        <f>IFERROR(VLOOKUP(M650,'02. MM-KLH'!$B$6:$T$823,5,0),"")</f>
        <v>MỚI</v>
      </c>
      <c r="V650" s="731" t="str">
        <f>IFERROR(VLOOKUP(M650,'02. MM-KLH'!$B$6:$T$823,8,0),"")</f>
        <v>XN Bò AD</v>
      </c>
      <c r="W650" s="353" t="str">
        <f>IFERROR(VLOOKUP(V650,'NS QUẢN LÝ CG'!$A$4:$D$36,2,0),"")</f>
        <v/>
      </c>
      <c r="X650" s="353" t="str">
        <f>IFERROR(VLOOKUP(V650,'NS QUẢN LÝ CG'!$A$4:$D$36,4,0),"")</f>
        <v/>
      </c>
      <c r="Y650" s="353" t="str">
        <f>IFERROR(VLOOKUP(V650,'NS QUẢN LÝ CG'!$A$4:$C$36,3,0),"")</f>
        <v/>
      </c>
      <c r="Z650" s="731" t="str">
        <f>IFERROR(VLOOKUP(M650,'02. MM-KLH'!$B$6:$T$823,3,0),"")</f>
        <v>ATT-A22-0289</v>
      </c>
      <c r="AA650" s="353" t="s">
        <v>5980</v>
      </c>
      <c r="AB650" s="731"/>
      <c r="AC650" s="731"/>
    </row>
    <row r="651" ht="13.8" spans="1:29">
      <c r="A651" s="731"/>
      <c r="B651" s="613" t="str">
        <f>IFERROR(VLOOKUP(M651,'02. MM-KLH'!$B$6:$T$823,6,0),"")</f>
        <v>Xe hứng cỏ FC150 (30m3)</v>
      </c>
      <c r="C651" s="353">
        <v>1</v>
      </c>
      <c r="D651" s="353" t="str">
        <f>IFERROR(VLOOKUP(M651,'02. MM-KLH'!$B$6:$T$823,16,0),"")</f>
        <v>FC150-4WD</v>
      </c>
      <c r="E651" s="353" t="s">
        <v>5978</v>
      </c>
      <c r="F651" s="353"/>
      <c r="G651" s="353"/>
      <c r="H651" s="353" t="str">
        <f>IFERROR(VLOOKUP(M651,'02. MM-KLH'!$B$6:$T$823,17,0),"")</f>
        <v>150HP</v>
      </c>
      <c r="I651" s="763">
        <f>IFERROR(VLOOKUP(M651,'02. MM-KLH'!$B$6:$U$823,20,0),"")</f>
        <v>0.63</v>
      </c>
      <c r="J651" s="613" t="str">
        <f>IFERROR(VLOOKUP(M651,'02. MM-KLH'!$B$6:$T$823,19,0),"")</f>
        <v>YC4D150-48D59M1N00964</v>
      </c>
      <c r="K651" s="1105" t="str">
        <f>IFERROR(VLOOKUP(M651,'02. MM-KLH'!$B$6:$T$823,18,0),"")</f>
        <v>RNHF16FYAPT077501</v>
      </c>
      <c r="L651" s="353">
        <f>IFERROR(VLOOKUP(M651,'02. MM-KLH'!$B$6:$T$823,4,0),"")</f>
        <v>0</v>
      </c>
      <c r="M651" s="49" t="s">
        <v>2211</v>
      </c>
      <c r="N651" s="356">
        <f>IFERROR(VLOOKUP(M651,'02. MM-KLH'!$B$6:$T$823,15,0),"")</f>
        <v>2023</v>
      </c>
      <c r="O651" s="764">
        <f>IFERROR(VLOOKUP(M651,'02. MM-KLH'!$B$6:$T$823,9,0),"")</f>
        <v>45261</v>
      </c>
      <c r="P651" s="353" t="s">
        <v>1755</v>
      </c>
      <c r="Q651" s="353"/>
      <c r="R651" s="353" t="s">
        <v>5978</v>
      </c>
      <c r="S651" s="353"/>
      <c r="T651" s="353"/>
      <c r="U651" s="353" t="str">
        <f>IFERROR(VLOOKUP(M651,'02. MM-KLH'!$B$6:$T$823,5,0),"")</f>
        <v>MỚI</v>
      </c>
      <c r="V651" s="731" t="str">
        <f>IFERROR(VLOOKUP(M651,'02. MM-KLH'!$B$6:$T$823,8,0),"")</f>
        <v>XN Bò AD</v>
      </c>
      <c r="W651" s="353" t="str">
        <f>IFERROR(VLOOKUP(V651,'NS QUẢN LÝ CG'!$A$4:$D$36,2,0),"")</f>
        <v/>
      </c>
      <c r="X651" s="353" t="str">
        <f>IFERROR(VLOOKUP(V651,'NS QUẢN LÝ CG'!$A$4:$D$36,4,0),"")</f>
        <v/>
      </c>
      <c r="Y651" s="353" t="str">
        <f>IFERROR(VLOOKUP(V651,'NS QUẢN LÝ CG'!$A$4:$C$36,3,0),"")</f>
        <v/>
      </c>
      <c r="Z651" s="731" t="str">
        <f>IFERROR(VLOOKUP(M651,'02. MM-KLH'!$B$6:$T$823,3,0),"")</f>
        <v>ATT-A22-0293</v>
      </c>
      <c r="AA651" s="353" t="s">
        <v>5980</v>
      </c>
      <c r="AB651" s="731"/>
      <c r="AC651" s="731"/>
    </row>
    <row r="652" ht="13.8" spans="1:29">
      <c r="A652" s="731"/>
      <c r="B652" s="613" t="str">
        <f>IFERROR(VLOOKUP(M652,'02. MM-KLH'!$B$6:$T$823,6,0),"")</f>
        <v>Xe hứng cỏ FC150 (30m3)</v>
      </c>
      <c r="C652" s="353">
        <v>1</v>
      </c>
      <c r="D652" s="353" t="str">
        <f>IFERROR(VLOOKUP(M652,'02. MM-KLH'!$B$6:$T$823,16,0),"")</f>
        <v>FC150-4WD</v>
      </c>
      <c r="E652" s="353" t="s">
        <v>5978</v>
      </c>
      <c r="F652" s="353"/>
      <c r="G652" s="353"/>
      <c r="H652" s="353" t="str">
        <f>IFERROR(VLOOKUP(M652,'02. MM-KLH'!$B$6:$T$823,17,0),"")</f>
        <v>150HP</v>
      </c>
      <c r="I652" s="763">
        <f>IFERROR(VLOOKUP(M652,'02. MM-KLH'!$B$6:$U$823,20,0),"")</f>
        <v>6.5</v>
      </c>
      <c r="J652" s="613" t="str">
        <f>IFERROR(VLOOKUP(M652,'02. MM-KLH'!$B$6:$T$823,19,0),"")</f>
        <v>YC4D150-48D59M1N00940</v>
      </c>
      <c r="K652" s="613" t="str">
        <f>IFERROR(VLOOKUP(M652,'02. MM-KLH'!$B$6:$T$823,18,0),"")</f>
        <v>RNHF16FYAPT077504</v>
      </c>
      <c r="L652" s="353">
        <f>IFERROR(VLOOKUP(M652,'02. MM-KLH'!$B$6:$T$823,4,0),"")</f>
        <v>0</v>
      </c>
      <c r="M652" s="49" t="s">
        <v>2215</v>
      </c>
      <c r="N652" s="356">
        <f>IFERROR(VLOOKUP(M652,'02. MM-KLH'!$B$6:$T$823,15,0),"")</f>
        <v>2023</v>
      </c>
      <c r="O652" s="764">
        <f>IFERROR(VLOOKUP(M652,'02. MM-KLH'!$B$6:$T$823,9,0),"")</f>
        <v>45261</v>
      </c>
      <c r="P652" s="353" t="s">
        <v>1755</v>
      </c>
      <c r="Q652" s="353"/>
      <c r="R652" s="353" t="s">
        <v>5978</v>
      </c>
      <c r="S652" s="353"/>
      <c r="T652" s="353"/>
      <c r="U652" s="353" t="str">
        <f>IFERROR(VLOOKUP(M652,'02. MM-KLH'!$B$6:$T$823,5,0),"")</f>
        <v>MỚI</v>
      </c>
      <c r="V652" s="731" t="str">
        <f>IFERROR(VLOOKUP(M652,'02. MM-KLH'!$B$6:$T$823,8,0),"")</f>
        <v>XN Bò AD</v>
      </c>
      <c r="W652" s="353" t="str">
        <f>IFERROR(VLOOKUP(V652,'NS QUẢN LÝ CG'!$A$4:$D$36,2,0),"")</f>
        <v/>
      </c>
      <c r="X652" s="353" t="str">
        <f>IFERROR(VLOOKUP(V652,'NS QUẢN LÝ CG'!$A$4:$D$36,4,0),"")</f>
        <v/>
      </c>
      <c r="Y652" s="353" t="str">
        <f>IFERROR(VLOOKUP(V652,'NS QUẢN LÝ CG'!$A$4:$C$36,3,0),"")</f>
        <v/>
      </c>
      <c r="Z652" s="731" t="str">
        <f>IFERROR(VLOOKUP(M652,'02. MM-KLH'!$B$6:$T$823,3,0),"")</f>
        <v>ATT-A22-0294</v>
      </c>
      <c r="AA652" s="353" t="s">
        <v>5980</v>
      </c>
      <c r="AB652" s="731"/>
      <c r="AC652" s="731"/>
    </row>
    <row r="653" ht="13.8" spans="1:29">
      <c r="A653" s="731"/>
      <c r="B653" s="613" t="str">
        <f>IFERROR(VLOOKUP(M653,'02. MM-KLH'!$B$6:$T$823,6,0),"")</f>
        <v>Xe hứng cỏ FC150 (30m3)</v>
      </c>
      <c r="C653" s="353">
        <v>1</v>
      </c>
      <c r="D653" s="353" t="str">
        <f>IFERROR(VLOOKUP(M653,'02. MM-KLH'!$B$6:$T$823,16,0),"")</f>
        <v>FC150-4WD</v>
      </c>
      <c r="E653" s="353" t="s">
        <v>5978</v>
      </c>
      <c r="F653" s="353"/>
      <c r="G653" s="353"/>
      <c r="H653" s="353" t="str">
        <f>IFERROR(VLOOKUP(M653,'02. MM-KLH'!$B$6:$T$823,17,0),"")</f>
        <v>150HP</v>
      </c>
      <c r="I653" s="763">
        <f>IFERROR(VLOOKUP(M653,'02. MM-KLH'!$B$6:$U$823,20,0),"")</f>
        <v>6.5</v>
      </c>
      <c r="J653" s="613" t="str">
        <f>IFERROR(VLOOKUP(M653,'02. MM-KLH'!$B$6:$T$823,19,0),"")</f>
        <v>YC4D150-48D59M1N00944</v>
      </c>
      <c r="K653" s="613" t="str">
        <f>IFERROR(VLOOKUP(M653,'02. MM-KLH'!$B$6:$T$823,18,0),"")</f>
        <v>RNHF16FYAPT077505</v>
      </c>
      <c r="L653" s="353">
        <f>IFERROR(VLOOKUP(M653,'02. MM-KLH'!$B$6:$T$823,4,0),"")</f>
        <v>0</v>
      </c>
      <c r="M653" s="49" t="s">
        <v>2218</v>
      </c>
      <c r="N653" s="356">
        <f>IFERROR(VLOOKUP(M653,'02. MM-KLH'!$B$6:$T$823,15,0),"")</f>
        <v>2023</v>
      </c>
      <c r="O653" s="764" t="str">
        <f>IFERROR(VLOOKUP(M653,'02. MM-KLH'!$B$6:$T$823,9,0),"")</f>
        <v>25/11/2023</v>
      </c>
      <c r="P653" s="353" t="s">
        <v>1755</v>
      </c>
      <c r="Q653" s="353"/>
      <c r="R653" s="353" t="s">
        <v>5978</v>
      </c>
      <c r="S653" s="353"/>
      <c r="T653" s="353"/>
      <c r="U653" s="353" t="str">
        <f>IFERROR(VLOOKUP(M653,'02. MM-KLH'!$B$6:$T$823,5,0),"")</f>
        <v>MỚI</v>
      </c>
      <c r="V653" s="731" t="str">
        <f>IFERROR(VLOOKUP(M653,'02. MM-KLH'!$B$6:$T$823,8,0),"")</f>
        <v>XN Bò AD</v>
      </c>
      <c r="W653" s="353" t="str">
        <f>IFERROR(VLOOKUP(V653,'NS QUẢN LÝ CG'!$A$4:$D$36,2,0),"")</f>
        <v/>
      </c>
      <c r="X653" s="353" t="str">
        <f>IFERROR(VLOOKUP(V653,'NS QUẢN LÝ CG'!$A$4:$D$36,4,0),"")</f>
        <v/>
      </c>
      <c r="Y653" s="353" t="str">
        <f>IFERROR(VLOOKUP(V653,'NS QUẢN LÝ CG'!$A$4:$C$36,3,0),"")</f>
        <v/>
      </c>
      <c r="Z653" s="731" t="str">
        <f>IFERROR(VLOOKUP(M653,'02. MM-KLH'!$B$6:$T$823,3,0),"")</f>
        <v>ATT-A22-0296</v>
      </c>
      <c r="AA653" s="353" t="s">
        <v>5980</v>
      </c>
      <c r="AB653" s="731"/>
      <c r="AC653" s="731"/>
    </row>
    <row r="654" ht="13.8" spans="1:29">
      <c r="A654" s="731"/>
      <c r="B654" s="613" t="str">
        <f>IFERROR(VLOOKUP(M654,'02. MM-KLH'!$B$6:$T$823,6,0),"")</f>
        <v>Xe hứng cỏ FC150 (30m3)</v>
      </c>
      <c r="C654" s="353">
        <v>1</v>
      </c>
      <c r="D654" s="353" t="str">
        <f>IFERROR(VLOOKUP(M654,'02. MM-KLH'!$B$6:$T$823,16,0),"")</f>
        <v>FC150-4WD</v>
      </c>
      <c r="E654" s="353" t="s">
        <v>5978</v>
      </c>
      <c r="F654" s="353"/>
      <c r="G654" s="353"/>
      <c r="H654" s="353" t="str">
        <f>IFERROR(VLOOKUP(M654,'02. MM-KLH'!$B$6:$T$823,17,0),"")</f>
        <v>150HP</v>
      </c>
      <c r="I654" s="763">
        <f>IFERROR(VLOOKUP(M654,'02. MM-KLH'!$B$6:$U$823,20,0),"")</f>
        <v>0.63</v>
      </c>
      <c r="J654" s="613" t="str">
        <f>IFERROR(VLOOKUP(M654,'02. MM-KLH'!$B$6:$T$823,19,0),"")</f>
        <v>YC4D150-48D59M1N00906</v>
      </c>
      <c r="K654" s="613" t="str">
        <f>IFERROR(VLOOKUP(M654,'02. MM-KLH'!$B$6:$T$823,18,0),"")</f>
        <v>RNHF16FYAPT077506</v>
      </c>
      <c r="L654" s="353">
        <f>IFERROR(VLOOKUP(M654,'02. MM-KLH'!$B$6:$T$823,4,0),"")</f>
        <v>0</v>
      </c>
      <c r="M654" s="49" t="s">
        <v>2222</v>
      </c>
      <c r="N654" s="356">
        <f>IFERROR(VLOOKUP(M654,'02. MM-KLH'!$B$6:$T$823,15,0),"")</f>
        <v>2023</v>
      </c>
      <c r="O654" s="764" t="str">
        <f>IFERROR(VLOOKUP(M654,'02. MM-KLH'!$B$6:$T$823,9,0),"")</f>
        <v>25/11/2023</v>
      </c>
      <c r="P654" s="353" t="s">
        <v>1755</v>
      </c>
      <c r="Q654" s="353"/>
      <c r="R654" s="353"/>
      <c r="S654" s="353" t="s">
        <v>5978</v>
      </c>
      <c r="T654" s="353"/>
      <c r="U654" s="353" t="str">
        <f>IFERROR(VLOOKUP(M654,'02. MM-KLH'!$B$6:$T$823,5,0),"")</f>
        <v>MỚI</v>
      </c>
      <c r="V654" s="731" t="str">
        <f>IFERROR(VLOOKUP(M654,'02. MM-KLH'!$B$6:$T$823,8,0),"")</f>
        <v>XN Bò AD</v>
      </c>
      <c r="W654" s="353" t="str">
        <f>IFERROR(VLOOKUP(V654,'NS QUẢN LÝ CG'!$A$4:$D$36,2,0),"")</f>
        <v/>
      </c>
      <c r="X654" s="353" t="str">
        <f>IFERROR(VLOOKUP(V654,'NS QUẢN LÝ CG'!$A$4:$D$36,4,0),"")</f>
        <v/>
      </c>
      <c r="Y654" s="353" t="str">
        <f>IFERROR(VLOOKUP(V654,'NS QUẢN LÝ CG'!$A$4:$C$36,3,0),"")</f>
        <v/>
      </c>
      <c r="Z654" s="731" t="str">
        <f>IFERROR(VLOOKUP(M654,'02. MM-KLH'!$B$6:$T$823,3,0),"")</f>
        <v>ATT-A22-0297</v>
      </c>
      <c r="AA654" s="353" t="s">
        <v>5980</v>
      </c>
      <c r="AB654" s="731"/>
      <c r="AC654" s="731"/>
    </row>
    <row r="655" ht="13.8" spans="1:29">
      <c r="A655" s="731"/>
      <c r="B655" s="613" t="str">
        <f>IFERROR(VLOOKUP(M655,'02. MM-KLH'!$B$6:$T$823,6,0),"")</f>
        <v>Xe hứng cỏ FC150 (30m3)</v>
      </c>
      <c r="C655" s="353">
        <v>1</v>
      </c>
      <c r="D655" s="353" t="str">
        <f>IFERROR(VLOOKUP(M655,'02. MM-KLH'!$B$6:$T$823,16,0),"")</f>
        <v>FC150-4WD</v>
      </c>
      <c r="E655" s="353" t="s">
        <v>5978</v>
      </c>
      <c r="F655" s="353"/>
      <c r="G655" s="353"/>
      <c r="H655" s="353" t="str">
        <f>IFERROR(VLOOKUP(M655,'02. MM-KLH'!$B$6:$T$823,17,0),"")</f>
        <v>150HP</v>
      </c>
      <c r="I655" s="763">
        <f>IFERROR(VLOOKUP(M655,'02. MM-KLH'!$B$6:$U$823,20,0),"")</f>
        <v>0.63</v>
      </c>
      <c r="J655" s="613" t="str">
        <f>IFERROR(VLOOKUP(M655,'02. MM-KLH'!$B$6:$T$823,19,0),"")</f>
        <v>D59M1N00683</v>
      </c>
      <c r="K655" s="613" t="str">
        <f>IFERROR(VLOOKUP(M655,'02. MM-KLH'!$B$6:$T$823,18,0),"")</f>
        <v>RNHF16FYBRT070602</v>
      </c>
      <c r="L655" s="353">
        <f>IFERROR(VLOOKUP(M655,'02. MM-KLH'!$B$6:$T$823,4,0),"")</f>
        <v>0</v>
      </c>
      <c r="M655" s="49" t="s">
        <v>2225</v>
      </c>
      <c r="N655" s="356">
        <f>IFERROR(VLOOKUP(M655,'02. MM-KLH'!$B$6:$T$823,15,0),"")</f>
        <v>2024</v>
      </c>
      <c r="O655" s="764">
        <f>IFERROR(VLOOKUP(M655,'02. MM-KLH'!$B$6:$T$823,9,0),"")</f>
        <v>45751</v>
      </c>
      <c r="P655" s="353" t="s">
        <v>1755</v>
      </c>
      <c r="Q655" s="353"/>
      <c r="R655" s="353" t="s">
        <v>5978</v>
      </c>
      <c r="S655" s="353"/>
      <c r="T655" s="353"/>
      <c r="U655" s="353" t="str">
        <f>IFERROR(VLOOKUP(M655,'02. MM-KLH'!$B$6:$T$823,5,0),"")</f>
        <v>MỚI</v>
      </c>
      <c r="V655" s="731" t="str">
        <f>IFERROR(VLOOKUP(M655,'02. MM-KLH'!$B$6:$T$823,8,0),"")</f>
        <v>XN Bò AD</v>
      </c>
      <c r="W655" s="353" t="str">
        <f>IFERROR(VLOOKUP(V655,'NS QUẢN LÝ CG'!$A$4:$D$36,2,0),"")</f>
        <v/>
      </c>
      <c r="X655" s="353" t="str">
        <f>IFERROR(VLOOKUP(V655,'NS QUẢN LÝ CG'!$A$4:$D$36,4,0),"")</f>
        <v/>
      </c>
      <c r="Y655" s="353" t="str">
        <f>IFERROR(VLOOKUP(V655,'NS QUẢN LÝ CG'!$A$4:$C$36,3,0),"")</f>
        <v/>
      </c>
      <c r="Z655" s="731" t="str">
        <f>IFERROR(VLOOKUP(M655,'02. MM-KLH'!$B$6:$T$823,3,0),"")</f>
        <v>A22-XHC-007</v>
      </c>
      <c r="AA655" s="353" t="str">
        <f t="shared" ref="AA655:AA659" si="44">_xlfn.SWITCH(LEFT(Z655,3),"A22","ADM","A23","DP","A24","LP","")</f>
        <v>ADM</v>
      </c>
      <c r="AB655" s="731"/>
      <c r="AC655" s="731"/>
    </row>
    <row r="656" ht="13.8" spans="1:29">
      <c r="A656" s="731"/>
      <c r="B656" s="613" t="str">
        <f>IFERROR(VLOOKUP(M656,'02. MM-KLH'!$B$6:$T$823,6,0),"")</f>
        <v>Xe hứng cỏ FC150 (30m3)</v>
      </c>
      <c r="C656" s="353">
        <v>1</v>
      </c>
      <c r="D656" s="353" t="str">
        <f>IFERROR(VLOOKUP(M656,'02. MM-KLH'!$B$6:$T$823,16,0),"")</f>
        <v>FC150-4WD</v>
      </c>
      <c r="E656" s="353" t="s">
        <v>5978</v>
      </c>
      <c r="F656" s="353"/>
      <c r="G656" s="353"/>
      <c r="H656" s="353" t="str">
        <f>IFERROR(VLOOKUP(M656,'02. MM-KLH'!$B$6:$T$823,17,0),"")</f>
        <v>150HP</v>
      </c>
      <c r="I656" s="763">
        <f>IFERROR(VLOOKUP(M656,'02. MM-KLH'!$B$6:$U$823,20,0),"")</f>
        <v>0.63</v>
      </c>
      <c r="J656" s="613" t="str">
        <f>IFERROR(VLOOKUP(M656,'02. MM-KLH'!$B$6:$T$823,19,0),"")</f>
        <v>D59M1N01090</v>
      </c>
      <c r="K656" s="613" t="str">
        <f>IFERROR(VLOOKUP(M656,'02. MM-KLH'!$B$6:$T$823,18,0),"")</f>
        <v>RNHF16FYBRT077511</v>
      </c>
      <c r="L656" s="353">
        <f>IFERROR(VLOOKUP(M656,'02. MM-KLH'!$B$6:$T$823,4,0),"")</f>
        <v>0</v>
      </c>
      <c r="M656" s="49" t="s">
        <v>2229</v>
      </c>
      <c r="N656" s="356">
        <f>IFERROR(VLOOKUP(M656,'02. MM-KLH'!$B$6:$T$823,15,0),"")</f>
        <v>2024</v>
      </c>
      <c r="O656" s="764">
        <f>IFERROR(VLOOKUP(M656,'02. MM-KLH'!$B$6:$T$823,9,0),"")</f>
        <v>45751</v>
      </c>
      <c r="P656" s="353" t="s">
        <v>1755</v>
      </c>
      <c r="Q656" s="353"/>
      <c r="R656" s="353" t="s">
        <v>5978</v>
      </c>
      <c r="S656" s="353"/>
      <c r="T656" s="353"/>
      <c r="U656" s="353" t="str">
        <f>IFERROR(VLOOKUP(M656,'02. MM-KLH'!$B$6:$T$823,5,0),"")</f>
        <v>MỚI</v>
      </c>
      <c r="V656" s="731" t="str">
        <f>IFERROR(VLOOKUP(M656,'02. MM-KLH'!$B$6:$T$823,8,0),"")</f>
        <v>XN Bò AD</v>
      </c>
      <c r="W656" s="353" t="str">
        <f>IFERROR(VLOOKUP(V656,'NS QUẢN LÝ CG'!$A$4:$D$36,2,0),"")</f>
        <v/>
      </c>
      <c r="X656" s="353" t="str">
        <f>IFERROR(VLOOKUP(V656,'NS QUẢN LÝ CG'!$A$4:$D$36,4,0),"")</f>
        <v/>
      </c>
      <c r="Y656" s="353" t="str">
        <f>IFERROR(VLOOKUP(V656,'NS QUẢN LÝ CG'!$A$4:$C$36,3,0),"")</f>
        <v/>
      </c>
      <c r="Z656" s="731" t="str">
        <f>IFERROR(VLOOKUP(M656,'02. MM-KLH'!$B$6:$T$823,3,0),"")</f>
        <v>A22-XHC-008</v>
      </c>
      <c r="AA656" s="353" t="str">
        <f t="shared" si="44"/>
        <v>ADM</v>
      </c>
      <c r="AB656" s="731"/>
      <c r="AC656" s="731"/>
    </row>
    <row r="657" spans="1:29">
      <c r="A657" s="731"/>
      <c r="B657" s="613" t="str">
        <f>IFERROR(VLOOKUP(M657,'02. MM-KLH'!$B$6:$T$823,6,0),"")</f>
        <v>Xe hứng cỏ FC150 (30m3)</v>
      </c>
      <c r="C657" s="353">
        <v>1</v>
      </c>
      <c r="D657" s="353" t="str">
        <f>IFERROR(VLOOKUP(M657,'02. MM-KLH'!$B$6:$T$823,16,0),"")</f>
        <v>FC150-4WD</v>
      </c>
      <c r="E657" s="353" t="s">
        <v>5978</v>
      </c>
      <c r="F657" s="353"/>
      <c r="G657" s="353"/>
      <c r="H657" s="353" t="str">
        <f>IFERROR(VLOOKUP(M657,'02. MM-KLH'!$B$6:$T$823,17,0),"")</f>
        <v>150HP</v>
      </c>
      <c r="I657" s="763">
        <f>IFERROR(VLOOKUP(M657,'02. MM-KLH'!$B$6:$U$823,20,0),"")</f>
        <v>0.63</v>
      </c>
      <c r="J657" s="613" t="str">
        <f>IFERROR(VLOOKUP(M657,'02. MM-KLH'!$B$6:$T$823,19,0),"")</f>
        <v>D59M1N01093</v>
      </c>
      <c r="K657" s="613" t="str">
        <f>IFERROR(VLOOKUP(M657,'02. MM-KLH'!$B$6:$T$823,18,0),"")</f>
        <v>RNHF16FYBRT077510</v>
      </c>
      <c r="L657" s="353">
        <f>IFERROR(VLOOKUP(M657,'02. MM-KLH'!$B$6:$T$823,4,0),"")</f>
        <v>0</v>
      </c>
      <c r="M657" s="49" t="s">
        <v>2233</v>
      </c>
      <c r="N657" s="356">
        <f>IFERROR(VLOOKUP(M657,'02. MM-KLH'!$B$6:$T$823,15,0),"")</f>
        <v>2024</v>
      </c>
      <c r="O657" s="764">
        <f>IFERROR(VLOOKUP(M657,'02. MM-KLH'!$B$6:$T$823,9,0),"")</f>
        <v>45751</v>
      </c>
      <c r="P657" s="765">
        <v>49940</v>
      </c>
      <c r="Q657" s="353"/>
      <c r="R657" s="353" t="s">
        <v>5978</v>
      </c>
      <c r="S657" s="353"/>
      <c r="T657" s="353"/>
      <c r="U657" s="353" t="str">
        <f>IFERROR(VLOOKUP(M657,'02. MM-KLH'!$B$6:$T$823,5,0),"")</f>
        <v>MỚI</v>
      </c>
      <c r="V657" s="731" t="str">
        <f>IFERROR(VLOOKUP(M657,'02. MM-KLH'!$B$6:$T$823,8,0),"")</f>
        <v>XN Bò AD</v>
      </c>
      <c r="W657" s="353" t="str">
        <f>IFERROR(VLOOKUP(V657,'NS QUẢN LÝ CG'!$A$4:$D$36,2,0),"")</f>
        <v/>
      </c>
      <c r="X657" s="353" t="str">
        <f>IFERROR(VLOOKUP(V657,'NS QUẢN LÝ CG'!$A$4:$D$36,4,0),"")</f>
        <v/>
      </c>
      <c r="Y657" s="353" t="str">
        <f>IFERROR(VLOOKUP(V657,'NS QUẢN LÝ CG'!$A$4:$C$36,3,0),"")</f>
        <v/>
      </c>
      <c r="Z657" s="731" t="str">
        <f>IFERROR(VLOOKUP(M657,'02. MM-KLH'!$B$6:$T$823,3,0),"")</f>
        <v>A22-XHC-009</v>
      </c>
      <c r="AA657" s="353" t="str">
        <f t="shared" si="44"/>
        <v>ADM</v>
      </c>
      <c r="AB657" s="731"/>
      <c r="AC657" s="731"/>
    </row>
    <row r="658" spans="1:29">
      <c r="A658" s="731"/>
      <c r="B658" s="613" t="str">
        <f>IFERROR(VLOOKUP(M658,'02. MM-KLH'!$B$6:$T$823,6,0),"")</f>
        <v>Xe hứng cỏ FC150 (30m3)</v>
      </c>
      <c r="C658" s="353">
        <v>1</v>
      </c>
      <c r="D658" s="353" t="str">
        <f>IFERROR(VLOOKUP(M658,'02. MM-KLH'!$B$6:$T$823,16,0),"")</f>
        <v>FC150-4WD</v>
      </c>
      <c r="E658" s="353" t="s">
        <v>5978</v>
      </c>
      <c r="F658" s="353"/>
      <c r="G658" s="353"/>
      <c r="H658" s="353" t="str">
        <f>IFERROR(VLOOKUP(M658,'02. MM-KLH'!$B$6:$T$823,17,0),"")</f>
        <v>150HP</v>
      </c>
      <c r="I658" s="763">
        <f>IFERROR(VLOOKUP(M658,'02. MM-KLH'!$B$6:$U$823,20,0),"")</f>
        <v>0.63</v>
      </c>
      <c r="J658" s="613" t="str">
        <f>IFERROR(VLOOKUP(M658,'02. MM-KLH'!$B$6:$T$823,19,0),"")</f>
        <v>D59M1N01099</v>
      </c>
      <c r="K658" s="613" t="str">
        <f>IFERROR(VLOOKUP(M658,'02. MM-KLH'!$B$6:$T$823,18,0),"")</f>
        <v>RNHF16FYBRT077512</v>
      </c>
      <c r="L658" s="353">
        <f>IFERROR(VLOOKUP(M658,'02. MM-KLH'!$B$6:$T$823,4,0),"")</f>
        <v>0</v>
      </c>
      <c r="M658" s="49" t="s">
        <v>2237</v>
      </c>
      <c r="N658" s="356">
        <f>IFERROR(VLOOKUP(M658,'02. MM-KLH'!$B$6:$T$823,15,0),"")</f>
        <v>2024</v>
      </c>
      <c r="O658" s="764">
        <f>IFERROR(VLOOKUP(M658,'02. MM-KLH'!$B$6:$T$823,9,0),"")</f>
        <v>45751</v>
      </c>
      <c r="P658" s="765">
        <v>57699</v>
      </c>
      <c r="Q658" s="353"/>
      <c r="R658" s="353" t="s">
        <v>5978</v>
      </c>
      <c r="S658" s="353"/>
      <c r="T658" s="353"/>
      <c r="U658" s="353" t="str">
        <f>IFERROR(VLOOKUP(M658,'02. MM-KLH'!$B$6:$T$823,5,0),"")</f>
        <v>MỚI</v>
      </c>
      <c r="V658" s="731" t="str">
        <f>IFERROR(VLOOKUP(M658,'02. MM-KLH'!$B$6:$T$823,8,0),"")</f>
        <v>XN Bò AD</v>
      </c>
      <c r="W658" s="353" t="str">
        <f>IFERROR(VLOOKUP(V658,'NS QUẢN LÝ CG'!$A$4:$D$36,2,0),"")</f>
        <v/>
      </c>
      <c r="X658" s="353" t="str">
        <f>IFERROR(VLOOKUP(V658,'NS QUẢN LÝ CG'!$A$4:$D$36,4,0),"")</f>
        <v/>
      </c>
      <c r="Y658" s="353" t="str">
        <f>IFERROR(VLOOKUP(V658,'NS QUẢN LÝ CG'!$A$4:$C$36,3,0),"")</f>
        <v/>
      </c>
      <c r="Z658" s="731" t="str">
        <f>IFERROR(VLOOKUP(M658,'02. MM-KLH'!$B$6:$T$823,3,0),"")</f>
        <v>A22-XHC-010</v>
      </c>
      <c r="AA658" s="353" t="str">
        <f t="shared" si="44"/>
        <v>ADM</v>
      </c>
      <c r="AB658" s="731"/>
      <c r="AC658" s="731"/>
    </row>
    <row r="659" spans="1:29">
      <c r="A659" s="731"/>
      <c r="B659" s="613" t="str">
        <f>IFERROR(VLOOKUP(M659,'02. MM-KLH'!$B$6:$T$823,6,0),"")</f>
        <v>Xe hứng cỏ FC150 (30m3)</v>
      </c>
      <c r="C659" s="353">
        <v>1</v>
      </c>
      <c r="D659" s="353" t="str">
        <f>IFERROR(VLOOKUP(M659,'02. MM-KLH'!$B$6:$T$823,16,0),"")</f>
        <v>FC150-4WD</v>
      </c>
      <c r="E659" s="353" t="s">
        <v>5978</v>
      </c>
      <c r="F659" s="353"/>
      <c r="G659" s="353"/>
      <c r="H659" s="353" t="str">
        <f>IFERROR(VLOOKUP(M659,'02. MM-KLH'!$B$6:$T$823,17,0),"")</f>
        <v>150HP</v>
      </c>
      <c r="I659" s="763">
        <f>IFERROR(VLOOKUP(M659,'02. MM-KLH'!$B$6:$U$823,20,0),"")</f>
        <v>0.63</v>
      </c>
      <c r="J659" s="613" t="str">
        <f>IFERROR(VLOOKUP(M659,'02. MM-KLH'!$B$6:$T$823,19,0),"")</f>
        <v>YC4D150-48*D59M1N01035*</v>
      </c>
      <c r="K659" s="613" t="str">
        <f>IFERROR(VLOOKUP(M659,'02. MM-KLH'!$B$6:$T$823,18,0),"")</f>
        <v>RNHF16FYBRT000129</v>
      </c>
      <c r="L659" s="353">
        <f>IFERROR(VLOOKUP(M659,'02. MM-KLH'!$B$6:$T$823,4,0),"")</f>
        <v>0</v>
      </c>
      <c r="M659" s="49" t="s">
        <v>2241</v>
      </c>
      <c r="N659" s="356">
        <f>IFERROR(VLOOKUP(M659,'02. MM-KLH'!$B$6:$T$823,15,0),"")</f>
        <v>2024</v>
      </c>
      <c r="O659" s="764">
        <f>IFERROR(VLOOKUP(M659,'02. MM-KLH'!$B$6:$T$823,9,0),"")</f>
        <v>45967</v>
      </c>
      <c r="P659" s="765">
        <v>46047</v>
      </c>
      <c r="Q659" s="353"/>
      <c r="R659" s="353" t="s">
        <v>5978</v>
      </c>
      <c r="S659" s="353"/>
      <c r="T659" s="353"/>
      <c r="U659" s="353" t="str">
        <f>IFERROR(VLOOKUP(M659,'02. MM-KLH'!$B$6:$T$823,5,0),"")</f>
        <v>MỚI</v>
      </c>
      <c r="V659" s="731" t="str">
        <f>IFERROR(VLOOKUP(M659,'02. MM-KLH'!$B$6:$T$823,8,0),"")</f>
        <v>XN Bò AD</v>
      </c>
      <c r="W659" s="353" t="str">
        <f>IFERROR(VLOOKUP(V659,'NS QUẢN LÝ CG'!$A$4:$D$36,2,0),"")</f>
        <v/>
      </c>
      <c r="X659" s="353" t="str">
        <f>IFERROR(VLOOKUP(V659,'NS QUẢN LÝ CG'!$A$4:$D$36,4,0),"")</f>
        <v/>
      </c>
      <c r="Y659" s="353" t="str">
        <f>IFERROR(VLOOKUP(V659,'NS QUẢN LÝ CG'!$A$4:$C$36,3,0),"")</f>
        <v/>
      </c>
      <c r="Z659" s="731" t="str">
        <f>IFERROR(VLOOKUP(M659,'02. MM-KLH'!$B$6:$T$823,3,0),"")</f>
        <v>A22-XHC-011</v>
      </c>
      <c r="AA659" s="353" t="str">
        <f t="shared" si="44"/>
        <v>ADM</v>
      </c>
      <c r="AB659" s="731"/>
      <c r="AC659" s="731"/>
    </row>
    <row r="660" ht="13.8" spans="1:29">
      <c r="A660" s="731"/>
      <c r="B660" s="613" t="str">
        <f>IFERROR(VLOOKUP(M660,'02. MM-KLH'!$B$6:$T$823,6,0),"")</f>
        <v/>
      </c>
      <c r="C660" s="353"/>
      <c r="D660" s="353" t="str">
        <f>IFERROR(VLOOKUP(M660,'02. MM-KLH'!$B$6:$T$823,16,0),"")</f>
        <v/>
      </c>
      <c r="E660" s="353"/>
      <c r="F660" s="353"/>
      <c r="G660" s="353"/>
      <c r="H660" s="353" t="str">
        <f>IFERROR(VLOOKUP(M660,'02. MM-KLH'!$B$6:$T$823,17,0),"")</f>
        <v/>
      </c>
      <c r="I660" s="763" t="str">
        <f>IFERROR(VLOOKUP(M660,'02. MM-KLH'!$B$6:$U$823,20,0),"")</f>
        <v/>
      </c>
      <c r="J660" s="613" t="str">
        <f>IFERROR(VLOOKUP(M660,'02. MM-KLH'!$B$6:$T$823,19,0),"")</f>
        <v/>
      </c>
      <c r="K660" s="613" t="str">
        <f>IFERROR(VLOOKUP(M660,'02. MM-KLH'!$B$6:$T$823,18,0),"")</f>
        <v/>
      </c>
      <c r="L660" s="353" t="str">
        <f>IFERROR(VLOOKUP(M660,'02. MM-KLH'!$B$6:$T$823,4,0),"")</f>
        <v/>
      </c>
      <c r="M660" s="49"/>
      <c r="N660" s="356" t="str">
        <f>IFERROR(VLOOKUP(M660,'02. MM-KLH'!$B$6:$T$823,15,0),"")</f>
        <v/>
      </c>
      <c r="O660" s="764" t="str">
        <f>IFERROR(VLOOKUP(M660,'02. MM-KLH'!$B$6:$T$823,9,0),"")</f>
        <v/>
      </c>
      <c r="P660" s="353"/>
      <c r="Q660" s="353"/>
      <c r="R660" s="353"/>
      <c r="S660" s="353"/>
      <c r="T660" s="353"/>
      <c r="U660" s="353" t="str">
        <f>IFERROR(VLOOKUP(M660,'02. MM-KLH'!$B$6:$T$823,2,0),"")</f>
        <v/>
      </c>
      <c r="V660" s="731" t="str">
        <f>IFERROR(VLOOKUP(M660,'02. MM-KLH'!$B$6:$T$823,8,0),"")</f>
        <v/>
      </c>
      <c r="W660" s="353" t="str">
        <f>IFERROR(VLOOKUP(V660,'NS QUẢN LÝ CG'!$A$4:$D$36,2,0),"")</f>
        <v/>
      </c>
      <c r="X660" s="353" t="str">
        <f>IFERROR(VLOOKUP(V660,'NS QUẢN LÝ CG'!$A$4:$D$36,4,0),"")</f>
        <v/>
      </c>
      <c r="Y660" s="353"/>
      <c r="Z660" s="731" t="str">
        <f>IFERROR(VLOOKUP(M660,'02. MM-KLH'!$B$6:$T$823,3,0),"")</f>
        <v/>
      </c>
      <c r="AA660" s="353"/>
      <c r="AB660" s="731"/>
      <c r="AC660" s="731"/>
    </row>
    <row r="661" ht="13.8" spans="1:29">
      <c r="A661" s="731"/>
      <c r="B661" s="613" t="str">
        <f>IFERROR(VLOOKUP(M661,'02. MM-KLH'!$B$6:$T$823,6,0),"")</f>
        <v/>
      </c>
      <c r="C661" s="353"/>
      <c r="D661" s="353" t="str">
        <f>IFERROR(VLOOKUP(M661,'02. MM-KLH'!$B$6:$T$823,16,0),"")</f>
        <v/>
      </c>
      <c r="E661" s="353"/>
      <c r="F661" s="353"/>
      <c r="G661" s="353"/>
      <c r="H661" s="353" t="str">
        <f>IFERROR(VLOOKUP(M661,'02. MM-KLH'!$B$6:$T$823,17,0),"")</f>
        <v/>
      </c>
      <c r="I661" s="763" t="str">
        <f>IFERROR(VLOOKUP(M661,'02. MM-KLH'!$B$6:$U$823,20,0),"")</f>
        <v/>
      </c>
      <c r="J661" s="613" t="str">
        <f>IFERROR(VLOOKUP(M661,'02. MM-KLH'!$B$6:$T$823,19,0),"")</f>
        <v/>
      </c>
      <c r="K661" s="613" t="str">
        <f>IFERROR(VLOOKUP(M661,'02. MM-KLH'!$B$6:$T$823,18,0),"")</f>
        <v/>
      </c>
      <c r="L661" s="353" t="str">
        <f>IFERROR(VLOOKUP(M661,'02. MM-KLH'!$B$6:$T$823,4,0),"")</f>
        <v/>
      </c>
      <c r="M661" s="49"/>
      <c r="N661" s="356" t="str">
        <f>IFERROR(VLOOKUP(M661,'02. MM-KLH'!$B$6:$T$823,15,0),"")</f>
        <v/>
      </c>
      <c r="O661" s="764" t="str">
        <f>IFERROR(VLOOKUP(M661,'02. MM-KLH'!$B$6:$T$823,9,0),"")</f>
        <v/>
      </c>
      <c r="P661" s="353"/>
      <c r="Q661" s="353"/>
      <c r="R661" s="353"/>
      <c r="S661" s="353"/>
      <c r="T661" s="353"/>
      <c r="U661" s="353" t="str">
        <f>IFERROR(VLOOKUP(M661,'02. MM-KLH'!$B$6:$T$823,2,0),"")</f>
        <v/>
      </c>
      <c r="V661" s="731" t="str">
        <f>IFERROR(VLOOKUP(M661,'02. MM-KLH'!$B$6:$T$823,8,0),"")</f>
        <v/>
      </c>
      <c r="W661" s="353" t="str">
        <f>IFERROR(VLOOKUP(V661,'NS QUẢN LÝ CG'!$A$4:$D$36,2,0),"")</f>
        <v/>
      </c>
      <c r="X661" s="353" t="str">
        <f>IFERROR(VLOOKUP(V661,'NS QUẢN LÝ CG'!$A$4:$D$36,4,0),"")</f>
        <v/>
      </c>
      <c r="Y661" s="353"/>
      <c r="Z661" s="731" t="str">
        <f>IFERROR(VLOOKUP(M661,'02. MM-KLH'!$B$6:$T$823,3,0),"")</f>
        <v/>
      </c>
      <c r="AA661" s="353"/>
      <c r="AB661" s="731"/>
      <c r="AC661" s="731"/>
    </row>
    <row r="662" spans="1:29">
      <c r="A662" s="747" t="s">
        <v>3375</v>
      </c>
      <c r="B662" s="748" t="s">
        <v>6000</v>
      </c>
      <c r="C662" s="747">
        <f>COUNTA(B663:B670)</f>
        <v>8</v>
      </c>
      <c r="D662" s="749"/>
      <c r="E662" s="749"/>
      <c r="F662" s="749"/>
      <c r="G662" s="749"/>
      <c r="H662" s="749"/>
      <c r="I662" s="750"/>
      <c r="J662" s="751"/>
      <c r="K662" s="751"/>
      <c r="L662" s="749"/>
      <c r="M662" s="749"/>
      <c r="N662" s="749"/>
      <c r="O662" s="752"/>
      <c r="P662" s="749"/>
      <c r="Q662" s="749"/>
      <c r="R662" s="749"/>
      <c r="S662" s="749"/>
      <c r="T662" s="749"/>
      <c r="U662" s="749"/>
      <c r="V662" s="750"/>
      <c r="W662" s="749"/>
      <c r="X662" s="749"/>
      <c r="Y662" s="749"/>
      <c r="Z662" s="750"/>
      <c r="AA662" s="749"/>
      <c r="AB662" s="750"/>
      <c r="AC662" s="753"/>
    </row>
    <row r="663" ht="13.8" spans="1:29">
      <c r="A663" s="731"/>
      <c r="B663" s="613" t="str">
        <f>IFERROR(VLOOKUP(M663,'02. MM-KLH'!$B$6:$T$823,6,0),"")</f>
        <v>Xe rùa bánh xích HỒNG HÀ</v>
      </c>
      <c r="C663" s="353">
        <v>1</v>
      </c>
      <c r="D663" s="353" t="str">
        <f>IFERROR(VLOOKUP(M663,'02. MM-KLH'!$B$6:$T$823,16,0),"")</f>
        <v>4L6819010</v>
      </c>
      <c r="E663" s="353" t="s">
        <v>5978</v>
      </c>
      <c r="F663" s="353"/>
      <c r="G663" s="353"/>
      <c r="H663" s="353" t="str">
        <f>IFERROR(VLOOKUP(M663,'02. MM-KLH'!$B$6:$T$823,17,0),"")</f>
        <v>87HP</v>
      </c>
      <c r="I663" s="763">
        <f>IFERROR(VLOOKUP(M663,'02. MM-KLH'!$B$6:$U$823,20,0),"")</f>
        <v>0</v>
      </c>
      <c r="J663" s="613">
        <f>IFERROR(VLOOKUP(M663,'02. MM-KLH'!$B$6:$T$823,19,0),"")</f>
        <v>410203</v>
      </c>
      <c r="K663" s="613" t="str">
        <f>IFERROR(VLOOKUP(M663,'02. MM-KLH'!$B$6:$T$823,18,0),"")</f>
        <v>RYTJU32C2NA178540</v>
      </c>
      <c r="L663" s="353">
        <f>IFERROR(VLOOKUP(M663,'02. MM-KLH'!$B$6:$T$823,4,0),"")</f>
        <v>0</v>
      </c>
      <c r="M663" s="49" t="s">
        <v>2426</v>
      </c>
      <c r="N663" s="356">
        <f>IFERROR(VLOOKUP(M663,'02. MM-KLH'!$B$6:$T$823,15,0),"")</f>
        <v>2024</v>
      </c>
      <c r="O663" s="764">
        <f>IFERROR(VLOOKUP(M663,'02. MM-KLH'!$B$6:$T$823,9,0),"")</f>
        <v>45454</v>
      </c>
      <c r="P663" s="353"/>
      <c r="Q663" s="353" t="s">
        <v>1755</v>
      </c>
      <c r="R663" s="353"/>
      <c r="S663" s="353"/>
      <c r="T663" s="353"/>
      <c r="U663" s="353" t="str">
        <f>IFERROR(VLOOKUP(M663,'02. MM-KLH'!$B$6:$T$823,5,0),"")</f>
        <v>MỚI (ĐQSD)</v>
      </c>
      <c r="V663" s="731" t="str">
        <f>IFERROR(VLOOKUP(M663,'02. MM-KLH'!$B$6:$T$823,8,0),"")</f>
        <v>XN Bò AD</v>
      </c>
      <c r="W663" s="353" t="str">
        <f>IFERROR(VLOOKUP(V663,'NS QUẢN LÝ CG'!$A$4:$D$36,2,0),"")</f>
        <v/>
      </c>
      <c r="X663" s="353" t="str">
        <f>IFERROR(VLOOKUP(V663,'NS QUẢN LÝ CG'!$A$4:$D$36,4,0),"")</f>
        <v/>
      </c>
      <c r="Y663" s="353" t="str">
        <f>IFERROR(VLOOKUP(V663,'NS QUẢN LÝ CG'!$A$4:$C$36,3,0),"")</f>
        <v/>
      </c>
      <c r="Z663" s="731" t="str">
        <f>IFERROR(VLOOKUP(M663,'02. MM-KLH'!$B$6:$T$823,3,0),"")</f>
        <v>A24-CT-0171</v>
      </c>
      <c r="AA663" s="353" t="str">
        <f>_xlfn.SWITCH(LEFT(Z663,3),"A22","ADM","A23","DP","A24","LP","")</f>
        <v>LP</v>
      </c>
      <c r="AB663" s="731"/>
      <c r="AC663" s="731"/>
    </row>
    <row r="664" ht="13.8" spans="1:29">
      <c r="A664" s="731"/>
      <c r="B664" s="613" t="str">
        <f>IFERROR(VLOOKUP(M664,'02. MM-KLH'!$B$6:$T$823,6,0),"")</f>
        <v>Xe rùa bánh xích HỒNG HÀ</v>
      </c>
      <c r="C664" s="353">
        <v>1</v>
      </c>
      <c r="D664" s="353" t="str">
        <f>IFERROR(VLOOKUP(M664,'02. MM-KLH'!$B$6:$T$823,16,0),"")</f>
        <v>4L6819010 (động cơ diesel)</v>
      </c>
      <c r="E664" s="353" t="s">
        <v>5978</v>
      </c>
      <c r="F664" s="353"/>
      <c r="G664" s="353"/>
      <c r="H664" s="353" t="str">
        <f>IFERROR(VLOOKUP(M664,'02. MM-KLH'!$B$6:$T$823,17,0),"")</f>
        <v>67HP</v>
      </c>
      <c r="I664" s="763">
        <f>IFERROR(VLOOKUP(M664,'02. MM-KLH'!$B$6:$U$823,20,0),"")</f>
        <v>0</v>
      </c>
      <c r="J664" s="613" t="str">
        <f>IFERROR(VLOOKUP(M664,'02. MM-KLH'!$B$6:$T$823,19,0),"")</f>
        <v>C43101509A</v>
      </c>
      <c r="K664" s="613" t="str">
        <f>IFERROR(VLOOKUP(M664,'02. MM-KLH'!$B$6:$T$823,18,0),"")</f>
        <v>TCYUN54A1JR278360</v>
      </c>
      <c r="L664" s="353">
        <f>IFERROR(VLOOKUP(M664,'02. MM-KLH'!$B$6:$T$823,4,0),"")</f>
        <v>0</v>
      </c>
      <c r="M664" s="49" t="s">
        <v>1711</v>
      </c>
      <c r="N664" s="356">
        <f>IFERROR(VLOOKUP(M664,'02. MM-KLH'!$B$6:$T$823,15,0),"")</f>
        <v>2024</v>
      </c>
      <c r="O664" s="764">
        <f>IFERROR(VLOOKUP(M664,'02. MM-KLH'!$B$6:$T$823,9,0),"")</f>
        <v>45577</v>
      </c>
      <c r="P664" s="353"/>
      <c r="Q664" s="353" t="s">
        <v>1755</v>
      </c>
      <c r="R664" s="353"/>
      <c r="S664" s="353" t="s">
        <v>5978</v>
      </c>
      <c r="T664" s="353"/>
      <c r="U664" s="353" t="str">
        <f>IFERROR(VLOOKUP(M664,'02. MM-KLH'!$B$6:$T$823,5,0),"")</f>
        <v>MỚI (ĐQSD)</v>
      </c>
      <c r="V664" s="731" t="str">
        <f>IFERROR(VLOOKUP(M664,'02. MM-KLH'!$B$6:$T$823,8,0),"")</f>
        <v>XN Chuối LP3</v>
      </c>
      <c r="W664" s="353" t="str">
        <f>IFERROR(VLOOKUP(V664,'NS QUẢN LÝ CG'!$A$4:$D$36,2,0),"")</f>
        <v/>
      </c>
      <c r="X664" s="353" t="str">
        <f>IFERROR(VLOOKUP(V664,'NS QUẢN LÝ CG'!$A$4:$D$36,4,0),"")</f>
        <v/>
      </c>
      <c r="Y664" s="353" t="str">
        <f>IFERROR(VLOOKUP(V664,'NS QUẢN LÝ CG'!$A$4:$C$36,3,0),"")</f>
        <v/>
      </c>
      <c r="Z664" s="731" t="str">
        <f>IFERROR(VLOOKUP(M664,'02. MM-KLH'!$B$6:$T$823,3,0),"")</f>
        <v>ATM-A23-0128</v>
      </c>
      <c r="AA664" s="353" t="s">
        <v>5979</v>
      </c>
      <c r="AB664" s="731"/>
      <c r="AC664" s="731"/>
    </row>
    <row r="665" ht="13.8" spans="1:29">
      <c r="A665" s="731"/>
      <c r="B665" s="613" t="str">
        <f>IFERROR(VLOOKUP(M665,'02. MM-KLH'!$B$6:$T$823,6,0),"")</f>
        <v>Xe rùa bánh xích HỒNG HÀ</v>
      </c>
      <c r="C665" s="353">
        <v>1</v>
      </c>
      <c r="D665" s="353" t="str">
        <f>IFERROR(VLOOKUP(M665,'02. MM-KLH'!$B$6:$T$823,16,0),"")</f>
        <v>4L6819010 (động cơ diesel)</v>
      </c>
      <c r="E665" s="353" t="s">
        <v>5978</v>
      </c>
      <c r="F665" s="353"/>
      <c r="G665" s="353"/>
      <c r="H665" s="353" t="str">
        <f>IFERROR(VLOOKUP(M665,'02. MM-KLH'!$B$6:$T$823,17,0),"")</f>
        <v>67HP</v>
      </c>
      <c r="I665" s="763">
        <f>IFERROR(VLOOKUP(M665,'02. MM-KLH'!$B$6:$U$823,20,0),"")</f>
        <v>0</v>
      </c>
      <c r="J665" s="613" t="str">
        <f>IFERROR(VLOOKUP(M665,'02. MM-KLH'!$B$6:$T$823,19,0),"")</f>
        <v>C43101511A</v>
      </c>
      <c r="K665" s="613" t="str">
        <f>IFERROR(VLOOKUP(M665,'02. MM-KLH'!$B$6:$T$823,18,0),"")</f>
        <v>Không có</v>
      </c>
      <c r="L665" s="353">
        <f>IFERROR(VLOOKUP(M665,'02. MM-KLH'!$B$6:$T$823,4,0),"")</f>
        <v>0</v>
      </c>
      <c r="M665" s="49" t="s">
        <v>2432</v>
      </c>
      <c r="N665" s="356">
        <f>IFERROR(VLOOKUP(M665,'02. MM-KLH'!$B$6:$T$823,15,0),"")</f>
        <v>2024</v>
      </c>
      <c r="O665" s="764">
        <f>IFERROR(VLOOKUP(M665,'02. MM-KLH'!$B$6:$T$823,9,0),"")</f>
        <v>0</v>
      </c>
      <c r="P665" s="353"/>
      <c r="Q665" s="353" t="s">
        <v>1755</v>
      </c>
      <c r="R665" s="353"/>
      <c r="S665" s="353"/>
      <c r="T665" s="353"/>
      <c r="U665" s="353" t="str">
        <f>IFERROR(VLOOKUP(M665,'02. MM-KLH'!$B$6:$T$823,5,0),"")</f>
        <v>MỚI (ĐQSD)</v>
      </c>
      <c r="V665" s="731" t="str">
        <f>IFERROR(VLOOKUP(M665,'02. MM-KLH'!$B$6:$T$823,8,0),"")</f>
        <v>XN Bò AD</v>
      </c>
      <c r="W665" s="353" t="str">
        <f>IFERROR(VLOOKUP(V665,'NS QUẢN LÝ CG'!$A$4:$D$36,2,0),"")</f>
        <v/>
      </c>
      <c r="X665" s="353" t="str">
        <f>IFERROR(VLOOKUP(V665,'NS QUẢN LÝ CG'!$A$4:$D$36,4,0),"")</f>
        <v/>
      </c>
      <c r="Y665" s="353" t="str">
        <f>IFERROR(VLOOKUP(V665,'NS QUẢN LÝ CG'!$A$4:$C$36,3,0),"")</f>
        <v/>
      </c>
      <c r="Z665" s="731">
        <f>IFERROR(VLOOKUP(M665,'02. MM-KLH'!$B$6:$T$823,3,0),"")</f>
        <v>0</v>
      </c>
      <c r="AA665" s="353" t="str">
        <f t="shared" ref="AA665:AA667" si="45">_xlfn.SWITCH(LEFT(Z665,3),"A22","ADM","A23","DP","A24","LP","")</f>
        <v/>
      </c>
      <c r="AB665" s="731"/>
      <c r="AC665" s="731"/>
    </row>
    <row r="666" ht="13.8" spans="1:29">
      <c r="A666" s="731"/>
      <c r="B666" s="613" t="str">
        <f>IFERROR(VLOOKUP(M666,'02. MM-KLH'!$B$6:$T$823,6,0),"")</f>
        <v>Xe rùa bánh xích MST2000</v>
      </c>
      <c r="C666" s="353">
        <v>1</v>
      </c>
      <c r="D666" s="353" t="str">
        <f>IFERROR(VLOOKUP(M666,'02. MM-KLH'!$B$6:$T$823,16,0),"")</f>
        <v>MST2000</v>
      </c>
      <c r="E666" s="353" t="s">
        <v>5978</v>
      </c>
      <c r="F666" s="353"/>
      <c r="G666" s="353"/>
      <c r="H666" s="353" t="str">
        <f>IFERROR(VLOOKUP(M666,'02. MM-KLH'!$B$6:$T$823,17,0),"")</f>
        <v>236HP</v>
      </c>
      <c r="I666" s="763">
        <f>IFERROR(VLOOKUP(M666,'02. MM-KLH'!$B$6:$U$823,20,0),"")</f>
        <v>0</v>
      </c>
      <c r="J666" s="613" t="str">
        <f>IFERROR(VLOOKUP(M666,'02. MM-KLH'!$B$6:$T$823,19,0),"")</f>
        <v>6D110160178</v>
      </c>
      <c r="K666" s="613">
        <f>IFERROR(VLOOKUP(M666,'02. MM-KLH'!$B$6:$T$823,18,0),"")</f>
        <v>20265</v>
      </c>
      <c r="L666" s="353">
        <f>IFERROR(VLOOKUP(M666,'02. MM-KLH'!$B$6:$T$823,4,0),"")</f>
        <v>0</v>
      </c>
      <c r="M666" s="49" t="s">
        <v>2440</v>
      </c>
      <c r="N666" s="356">
        <f>IFERROR(VLOOKUP(M666,'02. MM-KLH'!$B$6:$T$823,15,0),"")</f>
        <v>0</v>
      </c>
      <c r="O666" s="764">
        <f>IFERROR(VLOOKUP(M666,'02. MM-KLH'!$B$6:$T$823,9,0),"")</f>
        <v>45785</v>
      </c>
      <c r="P666" s="353"/>
      <c r="Q666" s="353" t="s">
        <v>1755</v>
      </c>
      <c r="R666" s="353" t="s">
        <v>5978</v>
      </c>
      <c r="S666" s="353"/>
      <c r="T666" s="353"/>
      <c r="U666" s="353" t="str">
        <f>IFERROR(VLOOKUP(M666,'02. MM-KLH'!$B$6:$T$823,5,0),"")</f>
        <v>MỚI (ĐQSD)</v>
      </c>
      <c r="V666" s="731" t="str">
        <f>IFERROR(VLOOKUP(M666,'02. MM-KLH'!$B$6:$T$823,8,0),"")</f>
        <v>XN Bò AD</v>
      </c>
      <c r="W666" s="353" t="str">
        <f>IFERROR(VLOOKUP(V666,'NS QUẢN LÝ CG'!$A$4:$D$36,2,0),"")</f>
        <v/>
      </c>
      <c r="X666" s="353" t="str">
        <f>IFERROR(VLOOKUP(V666,'NS QUẢN LÝ CG'!$A$4:$D$36,4,0),"")</f>
        <v/>
      </c>
      <c r="Y666" s="353" t="str">
        <f>IFERROR(VLOOKUP(V666,'NS QUẢN LÝ CG'!$A$4:$C$36,3,0),"")</f>
        <v/>
      </c>
      <c r="Z666" s="731" t="str">
        <f>IFERROR(VLOOKUP(M666,'02. MM-KLH'!$B$6:$T$823,3,0),"")</f>
        <v>A22-RBX-004</v>
      </c>
      <c r="AA666" s="353" t="str">
        <f t="shared" si="45"/>
        <v>ADM</v>
      </c>
      <c r="AB666" s="731"/>
      <c r="AC666" s="731"/>
    </row>
    <row r="667" ht="13.8" spans="1:29">
      <c r="A667" s="731"/>
      <c r="B667" s="613" t="str">
        <f>IFERROR(VLOOKUP(M667,'02. MM-KLH'!$B$6:$T$823,6,0),"")</f>
        <v>Xe rùa bánh xích MST700E</v>
      </c>
      <c r="C667" s="353">
        <v>1</v>
      </c>
      <c r="D667" s="353" t="str">
        <f>IFERROR(VLOOKUP(M667,'02. MM-KLH'!$B$6:$T$823,16,0),"")</f>
        <v>MST700E</v>
      </c>
      <c r="E667" s="353" t="s">
        <v>5978</v>
      </c>
      <c r="F667" s="353"/>
      <c r="G667" s="353"/>
      <c r="H667" s="353" t="str">
        <f>IFERROR(VLOOKUP(M667,'02. MM-KLH'!$B$6:$T$823,17,0),"")</f>
        <v>90HP</v>
      </c>
      <c r="I667" s="763">
        <f>IFERROR(VLOOKUP(M667,'02. MM-KLH'!$B$6:$U$823,20,0),"")</f>
        <v>8</v>
      </c>
      <c r="J667" s="613" t="str">
        <f>IFERROR(VLOOKUP(M667,'02. MM-KLH'!$B$6:$T$823,19,0),"")</f>
        <v>4D95L177865</v>
      </c>
      <c r="K667" s="613">
        <f>IFERROR(VLOOKUP(M667,'02. MM-KLH'!$B$6:$T$823,18,0),"")</f>
        <v>701114</v>
      </c>
      <c r="L667" s="353">
        <f>IFERROR(VLOOKUP(M667,'02. MM-KLH'!$B$6:$T$823,4,0),"")</f>
        <v>0</v>
      </c>
      <c r="M667" s="49" t="s">
        <v>2444</v>
      </c>
      <c r="N667" s="356">
        <f>IFERROR(VLOOKUP(M667,'02. MM-KLH'!$B$6:$T$823,15,0),"")</f>
        <v>1988</v>
      </c>
      <c r="O667" s="764">
        <f>IFERROR(VLOOKUP(M667,'02. MM-KLH'!$B$6:$T$823,9,0),"")</f>
        <v>45785</v>
      </c>
      <c r="P667" s="353"/>
      <c r="Q667" s="353" t="s">
        <v>1755</v>
      </c>
      <c r="R667" s="353" t="s">
        <v>5978</v>
      </c>
      <c r="S667" s="353"/>
      <c r="T667" s="353"/>
      <c r="U667" s="353" t="str">
        <f>IFERROR(VLOOKUP(M667,'02. MM-KLH'!$B$6:$T$823,5,0),"")</f>
        <v>MỚI (ĐQSD)</v>
      </c>
      <c r="V667" s="731" t="str">
        <f>IFERROR(VLOOKUP(M667,'02. MM-KLH'!$B$6:$T$823,8,0),"")</f>
        <v>XN Bò AD</v>
      </c>
      <c r="W667" s="353" t="str">
        <f>IFERROR(VLOOKUP(V667,'NS QUẢN LÝ CG'!$A$4:$D$36,2,0),"")</f>
        <v/>
      </c>
      <c r="X667" s="353" t="str">
        <f>IFERROR(VLOOKUP(V667,'NS QUẢN LÝ CG'!$A$4:$D$36,4,0),"")</f>
        <v/>
      </c>
      <c r="Y667" s="353" t="str">
        <f>IFERROR(VLOOKUP(V667,'NS QUẢN LÝ CG'!$A$4:$C$36,3,0),"")</f>
        <v/>
      </c>
      <c r="Z667" s="731" t="str">
        <f>IFERROR(VLOOKUP(M667,'02. MM-KLH'!$B$6:$T$823,3,0),"")</f>
        <v>A22-RBX-005</v>
      </c>
      <c r="AA667" s="353" t="str">
        <f t="shared" si="45"/>
        <v>ADM</v>
      </c>
      <c r="AB667" s="731"/>
      <c r="AC667" s="731"/>
    </row>
    <row r="668" ht="13.8" spans="1:29">
      <c r="A668" s="731"/>
      <c r="B668" s="613" t="str">
        <f>IFERROR(VLOOKUP(M668,'02. MM-KLH'!$B$6:$T$823,6,0),"")</f>
        <v/>
      </c>
      <c r="C668" s="353"/>
      <c r="D668" s="353" t="str">
        <f>IFERROR(VLOOKUP(M668,'02. MM-KLH'!$B$6:$T$823,16,0),"")</f>
        <v/>
      </c>
      <c r="E668" s="353"/>
      <c r="F668" s="353"/>
      <c r="G668" s="353"/>
      <c r="H668" s="353" t="str">
        <f>IFERROR(VLOOKUP(M668,'02. MM-KLH'!$B$6:$T$823,17,0),"")</f>
        <v/>
      </c>
      <c r="I668" s="763" t="str">
        <f>IFERROR(VLOOKUP(M668,'02. MM-KLH'!$B$6:$U$823,20,0),"")</f>
        <v/>
      </c>
      <c r="J668" s="613" t="str">
        <f>IFERROR(VLOOKUP(M668,'02. MM-KLH'!$B$6:$T$823,19,0),"")</f>
        <v/>
      </c>
      <c r="K668" s="613" t="str">
        <f>IFERROR(VLOOKUP(M668,'02. MM-KLH'!$B$6:$T$823,18,0),"")</f>
        <v/>
      </c>
      <c r="L668" s="353" t="str">
        <f>IFERROR(VLOOKUP(M668,'02. MM-KLH'!$B$6:$T$823,4,0),"")</f>
        <v/>
      </c>
      <c r="M668" s="49"/>
      <c r="N668" s="356" t="str">
        <f>IFERROR(VLOOKUP(M668,'02. MM-KLH'!$B$6:$T$823,15,0),"")</f>
        <v/>
      </c>
      <c r="O668" s="764" t="str">
        <f>IFERROR(VLOOKUP(M668,'02. MM-KLH'!$B$6:$T$823,9,0),"")</f>
        <v/>
      </c>
      <c r="P668" s="353"/>
      <c r="Q668" s="353"/>
      <c r="R668" s="353"/>
      <c r="S668" s="353"/>
      <c r="T668" s="353"/>
      <c r="U668" s="353" t="str">
        <f>IFERROR(VLOOKUP(M668,'02. MM-KLH'!$B$6:$T$823,2,0),"")</f>
        <v/>
      </c>
      <c r="V668" s="731" t="str">
        <f>IFERROR(VLOOKUP(M668,'02. MM-KLH'!$B$6:$T$823,8,0),"")</f>
        <v/>
      </c>
      <c r="W668" s="353" t="str">
        <f>IFERROR(VLOOKUP(V668,'NS QUẢN LÝ CG'!$A$4:$D$36,2,0),"")</f>
        <v/>
      </c>
      <c r="X668" s="353" t="str">
        <f>IFERROR(VLOOKUP(V668,'NS QUẢN LÝ CG'!$A$4:$D$36,4,0),"")</f>
        <v/>
      </c>
      <c r="Y668" s="353"/>
      <c r="Z668" s="731" t="str">
        <f>IFERROR(VLOOKUP(M668,'02. MM-KLH'!$B$6:$T$823,3,0),"")</f>
        <v/>
      </c>
      <c r="AA668" s="353"/>
      <c r="AB668" s="731"/>
      <c r="AC668" s="731"/>
    </row>
    <row r="669" ht="13.8" hidden="1" spans="1:29">
      <c r="A669" s="731"/>
      <c r="B669" s="613" t="str">
        <f>IFERROR(VLOOKUP(M669,'02. MM-KLH'!$B$6:$T$823,6,0),"")</f>
        <v/>
      </c>
      <c r="C669" s="353"/>
      <c r="D669" s="353" t="str">
        <f>IFERROR(VLOOKUP(M669,'02. MM-KLH'!$B$6:$T$823,16,0),"")</f>
        <v/>
      </c>
      <c r="E669" s="353"/>
      <c r="F669" s="353"/>
      <c r="G669" s="353"/>
      <c r="H669" s="353" t="str">
        <f>IFERROR(VLOOKUP(M669,'02. MM-KLH'!$B$6:$T$823,17,0),"")</f>
        <v/>
      </c>
      <c r="I669" s="763" t="str">
        <f>IFERROR(VLOOKUP(M669,'02. MM-KLH'!$B$6:$U$823,20,0),"")</f>
        <v/>
      </c>
      <c r="J669" s="613" t="str">
        <f>IFERROR(VLOOKUP(M669,'02. MM-KLH'!$B$6:$T$823,19,0),"")</f>
        <v/>
      </c>
      <c r="K669" s="613" t="str">
        <f>IFERROR(VLOOKUP(M669,'02. MM-KLH'!$B$6:$T$823,18,0),"")</f>
        <v/>
      </c>
      <c r="L669" s="353" t="str">
        <f>IFERROR(VLOOKUP(M669,'02. MM-KLH'!$B$6:$T$823,4,0),"")</f>
        <v/>
      </c>
      <c r="M669" s="49"/>
      <c r="N669" s="356" t="str">
        <f>IFERROR(VLOOKUP(M669,'02. MM-KLH'!$B$6:$T$823,15,0),"")</f>
        <v/>
      </c>
      <c r="O669" s="764" t="str">
        <f>IFERROR(VLOOKUP(M669,'02. MM-KLH'!$B$6:$T$823,9,0),"")</f>
        <v/>
      </c>
      <c r="P669" s="353"/>
      <c r="Q669" s="353"/>
      <c r="R669" s="353"/>
      <c r="S669" s="353"/>
      <c r="T669" s="353"/>
      <c r="U669" s="353" t="str">
        <f>IFERROR(VLOOKUP(M669,'02. MM-KLH'!$B$6:$T$823,2,0),"")</f>
        <v/>
      </c>
      <c r="V669" s="731" t="str">
        <f>IFERROR(VLOOKUP(M669,'02. MM-KLH'!$B$6:$T$823,8,0),"")</f>
        <v/>
      </c>
      <c r="W669" s="353"/>
      <c r="X669" s="353"/>
      <c r="Y669" s="353"/>
      <c r="Z669" s="731" t="str">
        <f>IFERROR(VLOOKUP(M669,'02. MM-KLH'!$B$6:$T$823,3,0),"")</f>
        <v/>
      </c>
      <c r="AA669" s="353"/>
      <c r="AB669" s="731"/>
      <c r="AC669" s="731"/>
    </row>
    <row r="670" ht="13.8" hidden="1" spans="1:29">
      <c r="A670" s="731"/>
      <c r="B670" s="613" t="str">
        <f>IFERROR(VLOOKUP(M670,'02. MM-KLH'!$B$6:$T$823,6,0),"")</f>
        <v/>
      </c>
      <c r="C670" s="353"/>
      <c r="D670" s="353" t="str">
        <f>IFERROR(VLOOKUP(M670,'02. MM-KLH'!$B$6:$T$823,16,0),"")</f>
        <v/>
      </c>
      <c r="E670" s="353"/>
      <c r="F670" s="353"/>
      <c r="G670" s="353"/>
      <c r="H670" s="353" t="str">
        <f>IFERROR(VLOOKUP(M670,'02. MM-KLH'!$B$6:$T$823,17,0),"")</f>
        <v/>
      </c>
      <c r="I670" s="763" t="str">
        <f>IFERROR(VLOOKUP(M670,'02. MM-KLH'!$B$6:$U$823,20,0),"")</f>
        <v/>
      </c>
      <c r="J670" s="613" t="str">
        <f>IFERROR(VLOOKUP(M670,'02. MM-KLH'!$B$6:$T$823,19,0),"")</f>
        <v/>
      </c>
      <c r="K670" s="613" t="str">
        <f>IFERROR(VLOOKUP(M670,'02. MM-KLH'!$B$6:$T$823,18,0),"")</f>
        <v/>
      </c>
      <c r="L670" s="353" t="str">
        <f>IFERROR(VLOOKUP(M670,'02. MM-KLH'!$B$6:$T$823,4,0),"")</f>
        <v/>
      </c>
      <c r="M670" s="49"/>
      <c r="N670" s="356" t="str">
        <f>IFERROR(VLOOKUP(M670,'02. MM-KLH'!$B$6:$T$823,15,0),"")</f>
        <v/>
      </c>
      <c r="O670" s="764" t="str">
        <f>IFERROR(VLOOKUP(M670,'02. MM-KLH'!$B$6:$T$823,9,0),"")</f>
        <v/>
      </c>
      <c r="P670" s="353"/>
      <c r="Q670" s="353"/>
      <c r="R670" s="353"/>
      <c r="S670" s="353"/>
      <c r="T670" s="353"/>
      <c r="U670" s="353" t="str">
        <f>IFERROR(VLOOKUP(M670,'02. MM-KLH'!$B$6:$T$823,2,0),"")</f>
        <v/>
      </c>
      <c r="V670" s="731" t="str">
        <f>IFERROR(VLOOKUP(M670,'02. MM-KLH'!$B$6:$T$823,8,0),"")</f>
        <v/>
      </c>
      <c r="W670" s="353"/>
      <c r="X670" s="353"/>
      <c r="Y670" s="353"/>
      <c r="Z670" s="731" t="str">
        <f>IFERROR(VLOOKUP(M670,'02. MM-KLH'!$B$6:$T$823,3,0),"")</f>
        <v/>
      </c>
      <c r="AA670" s="353"/>
      <c r="AB670" s="731"/>
      <c r="AC670" s="731"/>
    </row>
    <row r="671" spans="1:29">
      <c r="A671" s="747" t="s">
        <v>3375</v>
      </c>
      <c r="B671" s="748" t="s">
        <v>3511</v>
      </c>
      <c r="C671" s="747">
        <f>COUNTA(B672:B674)</f>
        <v>3</v>
      </c>
      <c r="D671" s="749"/>
      <c r="E671" s="749"/>
      <c r="F671" s="749"/>
      <c r="G671" s="749"/>
      <c r="H671" s="749"/>
      <c r="I671" s="750"/>
      <c r="J671" s="751"/>
      <c r="K671" s="751"/>
      <c r="L671" s="749"/>
      <c r="M671" s="749"/>
      <c r="N671" s="749"/>
      <c r="O671" s="752"/>
      <c r="P671" s="749"/>
      <c r="Q671" s="749"/>
      <c r="R671" s="749"/>
      <c r="S671" s="749"/>
      <c r="T671" s="749"/>
      <c r="U671" s="749"/>
      <c r="V671" s="750"/>
      <c r="W671" s="749"/>
      <c r="X671" s="749"/>
      <c r="Y671" s="749"/>
      <c r="Z671" s="750"/>
      <c r="AA671" s="749"/>
      <c r="AB671" s="750"/>
      <c r="AC671" s="753"/>
    </row>
    <row r="672" ht="13.8" spans="1:29">
      <c r="A672" s="731"/>
      <c r="B672" s="613" t="str">
        <f>IFERROR(VLOOKUP(M672,'02. MM-KLH'!$B$6:$T$823,6,0),"")</f>
        <v>Xe chở cám FC950</v>
      </c>
      <c r="C672" s="353">
        <v>1</v>
      </c>
      <c r="D672" s="353" t="str">
        <f>IFERROR(VLOOKUP(M672,'02. MM-KLH'!$B$6:$T$823,16,0),"")</f>
        <v>FC950</v>
      </c>
      <c r="E672" s="353" t="s">
        <v>5978</v>
      </c>
      <c r="F672" s="353"/>
      <c r="G672" s="353"/>
      <c r="H672" s="353" t="str">
        <f>IFERROR(VLOOKUP(M672,'02. MM-KLH'!$B$6:$T$823,17,0),"")</f>
        <v>160HP</v>
      </c>
      <c r="I672" s="763">
        <f>IFERROR(VLOOKUP(M672,'02. MM-KLH'!$B$6:$U$823,20,0),"")</f>
        <v>0</v>
      </c>
      <c r="J672" s="613" t="str">
        <f>IFERROR(VLOOKUP(M672,'02. MM-KLH'!$B$6:$T$823,19,0),"")</f>
        <v>J00052</v>
      </c>
      <c r="K672" s="613" t="str">
        <f>IFERROR(VLOOKUP(M672,'02. MM-KLH'!$B$6:$T$823,18,0),"")</f>
        <v>RNHA16FYAJC084020</v>
      </c>
      <c r="L672" s="353">
        <f>IFERROR(VLOOKUP(M672,'02. MM-KLH'!$B$6:$T$823,4,0),"")</f>
        <v>0</v>
      </c>
      <c r="M672" s="49" t="s">
        <v>2187</v>
      </c>
      <c r="N672" s="356">
        <f>IFERROR(VLOOKUP(M672,'02. MM-KLH'!$B$6:$T$823,15,0),"")</f>
        <v>2018</v>
      </c>
      <c r="O672" s="764">
        <f>IFERROR(VLOOKUP(M672,'02. MM-KLH'!$B$6:$T$823,9,0),"")</f>
        <v>0</v>
      </c>
      <c r="P672" s="353" t="s">
        <v>1755</v>
      </c>
      <c r="Q672" s="353"/>
      <c r="R672" s="353" t="s">
        <v>5978</v>
      </c>
      <c r="S672" s="353"/>
      <c r="T672" s="353"/>
      <c r="U672" s="353" t="str">
        <f>IFERROR(VLOOKUP(M672,'02. MM-KLH'!$B$6:$T$823,5,0),"")</f>
        <v>ĐQSD</v>
      </c>
      <c r="V672" s="731" t="str">
        <f>IFERROR(VLOOKUP(M672,'02. MM-KLH'!$B$6:$T$823,8,0),"")</f>
        <v>XN Bò AD</v>
      </c>
      <c r="W672" s="353" t="str">
        <f>IFERROR(VLOOKUP(V672,'NS QUẢN LÝ CG'!$A$4:$D$36,2,0),"")</f>
        <v/>
      </c>
      <c r="X672" s="353" t="str">
        <f>IFERROR(VLOOKUP(V672,'NS QUẢN LÝ CG'!$A$4:$D$36,4,0),"")</f>
        <v/>
      </c>
      <c r="Y672" s="353" t="str">
        <f>IFERROR(VLOOKUP(V672,'NS QUẢN LÝ CG'!$A$4:$C$36,3,0),"")</f>
        <v/>
      </c>
      <c r="Z672" s="731" t="str">
        <f>IFERROR(VLOOKUP(M672,'02. MM-KLH'!$B$6:$T$823,3,0),"")</f>
        <v>A22-XCC-001</v>
      </c>
      <c r="AA672" s="353" t="str">
        <f>_xlfn.SWITCH(LEFT(Z672,3),"A22","ADM","A23","DP","A24","LP","")</f>
        <v>ADM</v>
      </c>
      <c r="AB672" s="731"/>
      <c r="AC672" s="731"/>
    </row>
    <row r="673" ht="13.8" spans="1:29">
      <c r="A673" s="731"/>
      <c r="B673" s="613" t="str">
        <f>IFERROR(VLOOKUP(M673,'02. MM-KLH'!$B$6:$T$823,6,0),"")</f>
        <v/>
      </c>
      <c r="C673" s="353"/>
      <c r="D673" s="353" t="str">
        <f>IFERROR(VLOOKUP(M673,'02. MM-KLH'!$B$6:$T$823,16,0),"")</f>
        <v/>
      </c>
      <c r="E673" s="353"/>
      <c r="F673" s="353"/>
      <c r="G673" s="353"/>
      <c r="H673" s="353" t="str">
        <f>IFERROR(VLOOKUP(M673,'02. MM-KLH'!$B$6:$T$823,17,0),"")</f>
        <v/>
      </c>
      <c r="I673" s="763" t="str">
        <f>IFERROR(VLOOKUP(M673,'02. MM-KLH'!$B$6:$U$823,20,0),"")</f>
        <v/>
      </c>
      <c r="J673" s="613" t="str">
        <f>IFERROR(VLOOKUP(M673,'02. MM-KLH'!$B$6:$T$823,19,0),"")</f>
        <v/>
      </c>
      <c r="K673" s="613" t="str">
        <f>IFERROR(VLOOKUP(M673,'02. MM-KLH'!$B$6:$T$823,18,0),"")</f>
        <v/>
      </c>
      <c r="L673" s="353" t="str">
        <f>IFERROR(VLOOKUP(M673,'02. MM-KLH'!$B$6:$T$823,4,0),"")</f>
        <v/>
      </c>
      <c r="M673" s="49"/>
      <c r="N673" s="356" t="str">
        <f>IFERROR(VLOOKUP(M673,'02. MM-KLH'!$B$6:$T$823,15,0),"")</f>
        <v/>
      </c>
      <c r="O673" s="764" t="str">
        <f>IFERROR(VLOOKUP(M673,'02. MM-KLH'!$B$6:$T$823,9,0),"")</f>
        <v/>
      </c>
      <c r="P673" s="353"/>
      <c r="Q673" s="353"/>
      <c r="R673" s="353"/>
      <c r="S673" s="353"/>
      <c r="T673" s="353"/>
      <c r="U673" s="353" t="str">
        <f>IFERROR(VLOOKUP(M673,'02. MM-KLH'!$B$6:$T$823,5,0),"")</f>
        <v/>
      </c>
      <c r="V673" s="731" t="str">
        <f>IFERROR(VLOOKUP(M673,'02. MM-KLH'!$B$6:$T$823,8,0),"")</f>
        <v/>
      </c>
      <c r="W673" s="353" t="str">
        <f>IFERROR(VLOOKUP(V673,'NS QUẢN LÝ CG'!$A$4:$D$36,2,0),"")</f>
        <v/>
      </c>
      <c r="X673" s="353" t="str">
        <f>IFERROR(VLOOKUP(V673,'NS QUẢN LÝ CG'!$A$4:$D$36,4,0),"")</f>
        <v/>
      </c>
      <c r="Y673" s="353"/>
      <c r="Z673" s="731" t="str">
        <f>IFERROR(VLOOKUP(M673,'02. MM-KLH'!$B$6:$T$823,3,0),"")</f>
        <v/>
      </c>
      <c r="AA673" s="353"/>
      <c r="AB673" s="731"/>
      <c r="AC673" s="731"/>
    </row>
    <row r="674" ht="13.8" spans="1:29">
      <c r="A674" s="731"/>
      <c r="B674" s="613" t="str">
        <f>IFERROR(VLOOKUP(M674,'02. MM-KLH'!$B$6:$T$823,6,0),"")</f>
        <v/>
      </c>
      <c r="C674" s="353"/>
      <c r="D674" s="353" t="str">
        <f>IFERROR(VLOOKUP(M674,'02. MM-KLH'!$B$6:$T$823,16,0),"")</f>
        <v/>
      </c>
      <c r="E674" s="353"/>
      <c r="F674" s="353"/>
      <c r="G674" s="353"/>
      <c r="H674" s="353" t="str">
        <f>IFERROR(VLOOKUP(M674,'02. MM-KLH'!$B$6:$T$823,17,0),"")</f>
        <v/>
      </c>
      <c r="I674" s="763" t="str">
        <f>IFERROR(VLOOKUP(M674,'02. MM-KLH'!$B$6:$U$823,20,0),"")</f>
        <v/>
      </c>
      <c r="J674" s="613" t="str">
        <f>IFERROR(VLOOKUP(M674,'02. MM-KLH'!$B$6:$T$823,19,0),"")</f>
        <v/>
      </c>
      <c r="K674" s="613" t="str">
        <f>IFERROR(VLOOKUP(M674,'02. MM-KLH'!$B$6:$T$823,18,0),"")</f>
        <v/>
      </c>
      <c r="L674" s="353" t="str">
        <f>IFERROR(VLOOKUP(M674,'02. MM-KLH'!$B$6:$T$823,4,0),"")</f>
        <v/>
      </c>
      <c r="M674" s="49"/>
      <c r="N674" s="356" t="str">
        <f>IFERROR(VLOOKUP(M674,'02. MM-KLH'!$B$6:$T$823,15,0),"")</f>
        <v/>
      </c>
      <c r="O674" s="764" t="str">
        <f>IFERROR(VLOOKUP(M674,'02. MM-KLH'!$B$6:$T$823,9,0),"")</f>
        <v/>
      </c>
      <c r="P674" s="353"/>
      <c r="Q674" s="353"/>
      <c r="R674" s="353"/>
      <c r="S674" s="353"/>
      <c r="T674" s="353"/>
      <c r="U674" s="353" t="str">
        <f>IFERROR(VLOOKUP(M674,'02. MM-KLH'!$B$6:$T$823,2,0),"")</f>
        <v/>
      </c>
      <c r="V674" s="731" t="str">
        <f>IFERROR(VLOOKUP(M674,'02. MM-KLH'!$B$6:$T$823,8,0),"")</f>
        <v/>
      </c>
      <c r="W674" s="353" t="str">
        <f>IFERROR(VLOOKUP(V674,'NS QUẢN LÝ CG'!$A$4:$D$36,2,0),"")</f>
        <v/>
      </c>
      <c r="X674" s="353" t="str">
        <f>IFERROR(VLOOKUP(V674,'NS QUẢN LÝ CG'!$A$4:$D$36,4,0),"")</f>
        <v/>
      </c>
      <c r="Y674" s="353"/>
      <c r="Z674" s="731" t="str">
        <f>IFERROR(VLOOKUP(M674,'02. MM-KLH'!$B$6:$T$823,3,0),"")</f>
        <v/>
      </c>
      <c r="AA674" s="353"/>
      <c r="AB674" s="731"/>
      <c r="AC674" s="731"/>
    </row>
    <row r="675" spans="1:29">
      <c r="A675" s="747" t="s">
        <v>3423</v>
      </c>
      <c r="B675" s="748" t="s">
        <v>3513</v>
      </c>
      <c r="C675" s="747">
        <f>COUNTA(B676:B687)</f>
        <v>12</v>
      </c>
      <c r="D675" s="749"/>
      <c r="E675" s="749"/>
      <c r="F675" s="749"/>
      <c r="G675" s="749"/>
      <c r="H675" s="749"/>
      <c r="I675" s="750"/>
      <c r="J675" s="751"/>
      <c r="K675" s="751"/>
      <c r="L675" s="749"/>
      <c r="M675" s="749"/>
      <c r="N675" s="749"/>
      <c r="O675" s="752"/>
      <c r="P675" s="749"/>
      <c r="Q675" s="749"/>
      <c r="R675" s="749"/>
      <c r="S675" s="749"/>
      <c r="T675" s="749"/>
      <c r="U675" s="749"/>
      <c r="V675" s="750"/>
      <c r="W675" s="749"/>
      <c r="X675" s="749"/>
      <c r="Y675" s="749"/>
      <c r="Z675" s="750"/>
      <c r="AA675" s="749"/>
      <c r="AB675" s="750"/>
      <c r="AC675" s="753"/>
    </row>
    <row r="676" ht="18" customHeight="1" spans="1:29">
      <c r="A676" s="20"/>
      <c r="B676" s="22" t="str">
        <f>IFERROR(VLOOKUP(M676,'02. MM-KLH'!$B$6:$T$823,6,0),"")</f>
        <v>Xe cẩu bàn 5 tấn</v>
      </c>
      <c r="C676" s="353">
        <v>1</v>
      </c>
      <c r="D676" s="19" t="str">
        <f>IFERROR(VLOOKUP(M676,'02. MM-KLH'!$B$6:$T$823,16,0),"")</f>
        <v>ETX C240 ND2</v>
      </c>
      <c r="E676" s="353" t="s">
        <v>5978</v>
      </c>
      <c r="F676" s="19"/>
      <c r="G676" s="19"/>
      <c r="H676" s="19" t="str">
        <f>IFERROR(VLOOKUP(M676,'02. MM-KLH'!$B$6:$T$823,17,0),"")</f>
        <v>336HP</v>
      </c>
      <c r="I676" s="772">
        <f>IFERROR(VLOOKUP(M676,'02. MM-KLH'!$B$6:$U$823,20,0),"")</f>
        <v>0.65</v>
      </c>
      <c r="J676" s="22" t="str">
        <f>IFERROR(VLOOKUP(M676,'02. MM-KLH'!$B$6:$T$823,19,0),"")</f>
        <v>WP10.336E431619A000091</v>
      </c>
      <c r="K676" s="22" t="str">
        <f>IFERROR(VLOOKUP(M676,'02. MM-KLH'!$B$6:$T$823,18,0),"")</f>
        <v>RNHA24FWAKC099303</v>
      </c>
      <c r="L676" s="19">
        <f>IFERROR(VLOOKUP(M676,'02. MM-KLH'!$B$6:$T$823,4,0),"")</f>
        <v>0</v>
      </c>
      <c r="M676" s="49" t="s">
        <v>878</v>
      </c>
      <c r="N676" s="1106" t="str">
        <f>IFERROR(VLOOKUP(M676,'02. MM-KLH'!$B$6:$T$823,15,0),"")</f>
        <v>2019</v>
      </c>
      <c r="O676" s="773">
        <f>IFERROR(VLOOKUP(M676,'02. MM-KLH'!$B$6:$T$823,9,0),"")</f>
        <v>44317</v>
      </c>
      <c r="P676" s="765">
        <v>202257</v>
      </c>
      <c r="Q676" s="19"/>
      <c r="R676" s="19" t="s">
        <v>5978</v>
      </c>
      <c r="S676" s="19"/>
      <c r="T676" s="19"/>
      <c r="U676" s="353" t="str">
        <f>IFERROR(VLOOKUP(M676,'02. MM-KLH'!$B$6:$T$823,5,0),"")</f>
        <v>ĐQSD</v>
      </c>
      <c r="V676" s="20" t="str">
        <f>IFERROR(VLOOKUP(M676,'02. MM-KLH'!$B$6:$T$823,8,0),"")</f>
        <v>CGTC AD</v>
      </c>
      <c r="W676" s="353" t="str">
        <f>IFERROR(VLOOKUP(V676,'NS QUẢN LÝ CG'!$A$4:$D$36,2,0),"")</f>
        <v>Vũ Trung Kiên</v>
      </c>
      <c r="X676" s="353" t="str">
        <f>IFERROR(VLOOKUP(V676,'NS QUẢN LÝ CG'!$A$4:$D$36,4,0),"")</f>
        <v>Lô 73 ADM</v>
      </c>
      <c r="Y676" s="1104" t="str">
        <f>IFERROR(VLOOKUP(V676,'NS QUẢN LÝ CG'!$A$4:$C$36,3,0),"")</f>
        <v>0981761677</v>
      </c>
      <c r="Z676" s="20" t="str">
        <f>IFERROR(VLOOKUP(M676,'02. MM-KLH'!$B$6:$T$823,3,0),"")</f>
        <v>ATT-A22-0240</v>
      </c>
      <c r="AA676" s="353" t="s">
        <v>5980</v>
      </c>
      <c r="AB676" s="20"/>
      <c r="AC676" s="20"/>
    </row>
    <row r="677" ht="18" customHeight="1" spans="1:29">
      <c r="A677" s="20"/>
      <c r="B677" s="22" t="str">
        <f>IFERROR(VLOOKUP(M677,'02. MM-KLH'!$B$6:$T$823,6,0),"")</f>
        <v>Xe cẩu bàn 5 tấn</v>
      </c>
      <c r="C677" s="353">
        <v>1</v>
      </c>
      <c r="D677" s="19" t="str">
        <f>IFERROR(VLOOKUP(M677,'02. MM-KLH'!$B$6:$T$823,16,0),"")</f>
        <v>TXD800-ND2</v>
      </c>
      <c r="E677" s="353" t="s">
        <v>5978</v>
      </c>
      <c r="F677" s="19"/>
      <c r="G677" s="19"/>
      <c r="H677" s="19" t="str">
        <f>IFERROR(VLOOKUP(M677,'02. MM-KLH'!$B$6:$T$823,17,0),"")</f>
        <v>380HP</v>
      </c>
      <c r="I677" s="772">
        <f>IFERROR(VLOOKUP(M677,'02. MM-KLH'!$B$6:$U$823,20,0),"")</f>
        <v>0</v>
      </c>
      <c r="J677" s="22" t="str">
        <f>IFERROR(VLOOKUP(M677,'02. MM-KLH'!$B$6:$T$823,19,0),"")</f>
        <v>WP10380E53*1622B008536*</v>
      </c>
      <c r="K677" s="22" t="str">
        <f>IFERROR(VLOOKUP(M677,'02. MM-KLH'!$B$6:$T$823,18,0),"")</f>
        <v>RNHD30CWANT058649</v>
      </c>
      <c r="L677" s="19">
        <f>IFERROR(VLOOKUP(M677,'02. MM-KLH'!$B$6:$T$823,4,0),"")</f>
        <v>0</v>
      </c>
      <c r="M677" s="49" t="s">
        <v>683</v>
      </c>
      <c r="N677" s="23">
        <f>IFERROR(VLOOKUP(M677,'02. MM-KLH'!$B$6:$T$823,15,0),"")</f>
        <v>2022</v>
      </c>
      <c r="O677" s="773">
        <f>IFERROR(VLOOKUP(M677,'02. MM-KLH'!$B$6:$T$823,9,0),"")</f>
        <v>46056</v>
      </c>
      <c r="P677" s="353">
        <v>16183</v>
      </c>
      <c r="Q677" s="19"/>
      <c r="R677" s="19" t="s">
        <v>5978</v>
      </c>
      <c r="S677" s="19"/>
      <c r="T677" s="19"/>
      <c r="U677" s="353" t="str">
        <f>IFERROR(VLOOKUP(M677,'02. MM-KLH'!$B$6:$T$823,5,0),"")</f>
        <v>MỚI</v>
      </c>
      <c r="V677" s="20" t="str">
        <f>IFERROR(VLOOKUP(M677,'02. MM-KLH'!$B$6:$T$823,8,0),"")</f>
        <v>CGTC DP</v>
      </c>
      <c r="W677" s="353" t="str">
        <f>IFERROR(VLOOKUP(V677,'NS QUẢN LÝ CG'!$A$4:$D$36,2,0),"")</f>
        <v>Phạm Ngọc Hải</v>
      </c>
      <c r="X677" s="353" t="str">
        <f>IFERROR(VLOOKUP(V677,'NS QUẢN LÝ CG'!$A$4:$D$36,4,0),"")</f>
        <v>Lô 85 DP4</v>
      </c>
      <c r="Y677" s="1104" t="str">
        <f>IFERROR(VLOOKUP(V677,'NS QUẢN LÝ CG'!$A$4:$C$36,3,0),"")</f>
        <v>0825456565</v>
      </c>
      <c r="Z677" s="20" t="str">
        <f>IFERROR(VLOOKUP(M677,'02. MM-KLH'!$B$6:$T$823,3,0),"")</f>
        <v>A23-XCA-004</v>
      </c>
      <c r="AA677" s="353" t="str">
        <f t="shared" ref="AA677:AA686" si="46">_xlfn.SWITCH(LEFT(Z677,3),"A22","ADM","A23","DP","A24","LP","")</f>
        <v>DP</v>
      </c>
      <c r="AB677" s="20"/>
      <c r="AC677" s="20"/>
    </row>
    <row r="678" ht="18" customHeight="1" spans="1:29">
      <c r="A678" s="20"/>
      <c r="B678" s="22" t="str">
        <f>IFERROR(VLOOKUP(M678,'02. MM-KLH'!$B$6:$T$823,6,0),"")</f>
        <v>Xe cẩu thùng FOTON AUMAN 8 tấn</v>
      </c>
      <c r="C678" s="353">
        <v>1</v>
      </c>
      <c r="D678" s="19" t="str">
        <f>IFERROR(VLOOKUP(M678,'02. MM-KLH'!$B$6:$T$823,16,0),"")</f>
        <v>C240</v>
      </c>
      <c r="E678" s="353" t="s">
        <v>5978</v>
      </c>
      <c r="F678" s="19"/>
      <c r="G678" s="19"/>
      <c r="H678" s="19" t="str">
        <f>IFERROR(VLOOKUP(M678,'02. MM-KLH'!$B$6:$T$823,17,0),"")</f>
        <v>270HP</v>
      </c>
      <c r="I678" s="772">
        <f>IFERROR(VLOOKUP(M678,'02. MM-KLH'!$B$6:$U$823,20,0),"")</f>
        <v>6</v>
      </c>
      <c r="J678" s="22" t="str">
        <f>IFERROR(VLOOKUP(M678,'02. MM-KLH'!$B$6:$T$823,19,0),"")</f>
        <v>ISDE2704082442137</v>
      </c>
      <c r="K678" s="22" t="str">
        <f>IFERROR(VLOOKUP(M678,'02. MM-KLH'!$B$6:$T$823,18,0),"")</f>
        <v>RNHA24FCAPT080028</v>
      </c>
      <c r="L678" s="19">
        <f>IFERROR(VLOOKUP(M678,'02. MM-KLH'!$B$6:$T$823,4,0),"")</f>
        <v>0</v>
      </c>
      <c r="M678" s="49" t="s">
        <v>2674</v>
      </c>
      <c r="N678" s="23">
        <f>IFERROR(VLOOKUP(M678,'02. MM-KLH'!$B$6:$T$823,15,0),"")</f>
        <v>2023</v>
      </c>
      <c r="O678" s="773">
        <f>IFERROR(VLOOKUP(M678,'02. MM-KLH'!$B$6:$T$823,9,0),"")</f>
        <v>45757</v>
      </c>
      <c r="P678" s="19"/>
      <c r="Q678" s="19"/>
      <c r="R678" s="19" t="s">
        <v>5978</v>
      </c>
      <c r="S678" s="19"/>
      <c r="T678" s="19"/>
      <c r="U678" s="353" t="str">
        <f>IFERROR(VLOOKUP(M678,'02. MM-KLH'!$B$6:$T$823,5,0),"")</f>
        <v>MỚI</v>
      </c>
      <c r="V678" s="20" t="str">
        <f>IFERROR(VLOOKUP(M678,'02. MM-KLH'!$B$6:$T$823,8,0),"")</f>
        <v>Thagricons</v>
      </c>
      <c r="W678" s="353">
        <f>IFERROR(VLOOKUP(V678,'NS QUẢN LÝ CG'!$A$4:$D$36,2,0),"")</f>
        <v>0</v>
      </c>
      <c r="X678" s="353">
        <f>IFERROR(VLOOKUP(V678,'NS QUẢN LÝ CG'!$A$4:$D$36,4,0),"")</f>
        <v>0</v>
      </c>
      <c r="Y678" s="353">
        <f>IFERROR(VLOOKUP(V678,'NS QUẢN LÝ CG'!$A$4:$C$36,3,0),"")</f>
        <v>0</v>
      </c>
      <c r="Z678" s="20" t="str">
        <f>IFERROR(VLOOKUP(M678,'02. MM-KLH'!$B$6:$T$823,3,0),"")</f>
        <v>A23-XCA-003</v>
      </c>
      <c r="AA678" s="353" t="str">
        <f t="shared" si="46"/>
        <v>DP</v>
      </c>
      <c r="AB678" s="20"/>
      <c r="AC678" s="20"/>
    </row>
    <row r="679" ht="18" customHeight="1" spans="1:29">
      <c r="A679" s="20"/>
      <c r="B679" s="22" t="str">
        <f>IFERROR(VLOOKUP(M679,'02. MM-KLH'!$B$6:$T$823,6,0),"")</f>
        <v>Xe cẩu 5 tấn</v>
      </c>
      <c r="C679" s="353">
        <v>1</v>
      </c>
      <c r="D679" s="19">
        <f>IFERROR(VLOOKUP(M679,'02. MM-KLH'!$B$6:$T$823,16,0),"")</f>
        <v>0</v>
      </c>
      <c r="E679" s="353" t="s">
        <v>5978</v>
      </c>
      <c r="F679" s="19"/>
      <c r="G679" s="19"/>
      <c r="H679" s="19">
        <f>IFERROR(VLOOKUP(M679,'02. MM-KLH'!$B$6:$T$823,17,0),"")</f>
        <v>0</v>
      </c>
      <c r="I679" s="772">
        <f>IFERROR(VLOOKUP(M679,'02. MM-KLH'!$B$6:$U$823,20,0),"")</f>
        <v>6.5</v>
      </c>
      <c r="J679" s="1103" t="str">
        <f>IFERROR(VLOOKUP(M679,'02. MM-KLH'!$B$6:$T$823,19,0),"")</f>
        <v>00227</v>
      </c>
      <c r="K679" s="22" t="str">
        <f>IFERROR(VLOOKUP(M679,'02. MM-KLH'!$B$6:$T$823,18,0),"")</f>
        <v>19APC027557</v>
      </c>
      <c r="L679" s="19">
        <f>IFERROR(VLOOKUP(M679,'02. MM-KLH'!$B$6:$T$823,4,0),"")</f>
        <v>0</v>
      </c>
      <c r="M679" s="49" t="s">
        <v>2597</v>
      </c>
      <c r="N679" s="23">
        <f>IFERROR(VLOOKUP(M679,'02. MM-KLH'!$B$6:$T$823,15,0),"")</f>
        <v>2000</v>
      </c>
      <c r="O679" s="773">
        <f>IFERROR(VLOOKUP(M679,'02. MM-KLH'!$B$6:$T$823,9,0),"")</f>
        <v>43862</v>
      </c>
      <c r="P679" s="353" t="s">
        <v>1755</v>
      </c>
      <c r="Q679" s="19"/>
      <c r="R679" s="19"/>
      <c r="S679" s="19" t="s">
        <v>5978</v>
      </c>
      <c r="T679" s="19"/>
      <c r="U679" s="353" t="str">
        <f>IFERROR(VLOOKUP(M679,'02. MM-KLH'!$B$6:$T$823,5,0),"")</f>
        <v>ĐQSD</v>
      </c>
      <c r="V679" s="20" t="str">
        <f>IFERROR(VLOOKUP(M679,'02. MM-KLH'!$B$6:$T$823,8,0),"")</f>
        <v>Ban điện nước</v>
      </c>
      <c r="W679" s="353" t="str">
        <f>IFERROR(VLOOKUP(V679,'NS QUẢN LÝ CG'!$A$4:$D$36,2,0),"")</f>
        <v/>
      </c>
      <c r="X679" s="353" t="str">
        <f>IFERROR(VLOOKUP(V679,'NS QUẢN LÝ CG'!$A$4:$D$36,4,0),"")</f>
        <v/>
      </c>
      <c r="Y679" s="353" t="str">
        <f>IFERROR(VLOOKUP(V679,'NS QUẢN LÝ CG'!$A$4:$C$36,3,0),"")</f>
        <v/>
      </c>
      <c r="Z679" s="20" t="str">
        <f>IFERROR(VLOOKUP(M679,'02. MM-KLH'!$B$6:$T$823,3,0),"")</f>
        <v/>
      </c>
      <c r="AA679" s="353" t="str">
        <f t="shared" si="46"/>
        <v/>
      </c>
      <c r="AB679" s="20"/>
      <c r="AC679" s="20"/>
    </row>
    <row r="680" ht="18" customHeight="1" spans="1:29">
      <c r="A680" s="20"/>
      <c r="B680" s="22" t="str">
        <f>IFERROR(VLOOKUP(M680,'02. MM-KLH'!$B$6:$T$823,6,0),"")</f>
        <v>Xe cẩu 3.5 tấn</v>
      </c>
      <c r="C680" s="353">
        <v>1</v>
      </c>
      <c r="D680" s="19" t="str">
        <f>IFERROR(VLOOKUP(M680,'02. MM-KLH'!$B$6:$T$823,16,0),"")</f>
        <v>Ollin 900B</v>
      </c>
      <c r="E680" s="353" t="s">
        <v>5978</v>
      </c>
      <c r="F680" s="19"/>
      <c r="G680" s="19"/>
      <c r="H680" s="19" t="str">
        <f>IFERROR(VLOOKUP(M680,'02. MM-KLH'!$B$6:$T$823,17,0),"")</f>
        <v>160HP</v>
      </c>
      <c r="I680" s="772">
        <f>IFERROR(VLOOKUP(M680,'02. MM-KLH'!$B$6:$U$823,20,0),"")</f>
        <v>5</v>
      </c>
      <c r="J680" s="22" t="str">
        <f>IFERROR(VLOOKUP(M680,'02. MM-KLH'!$B$6:$T$823,19,0),"")</f>
        <v>CCN</v>
      </c>
      <c r="K680" s="22" t="str">
        <f>IFERROR(VLOOKUP(M680,'02. MM-KLH'!$B$6:$T$823,18,0),"")</f>
        <v>RNHA1550BHC072222</v>
      </c>
      <c r="L680" s="19">
        <f>IFERROR(VLOOKUP(M680,'02. MM-KLH'!$B$6:$T$823,4,0),"")</f>
        <v>0</v>
      </c>
      <c r="M680" s="49" t="s">
        <v>2602</v>
      </c>
      <c r="N680" s="23">
        <f>IFERROR(VLOOKUP(M680,'02. MM-KLH'!$B$6:$T$823,15,0),"")</f>
        <v>2017</v>
      </c>
      <c r="O680" s="773">
        <f>IFERROR(VLOOKUP(M680,'02. MM-KLH'!$B$6:$T$823,9,0),"")</f>
        <v>0</v>
      </c>
      <c r="P680" s="353" t="s">
        <v>1755</v>
      </c>
      <c r="Q680" s="19"/>
      <c r="R680" s="19"/>
      <c r="S680" s="19" t="s">
        <v>5978</v>
      </c>
      <c r="T680" s="19"/>
      <c r="U680" s="353" t="str">
        <f>IFERROR(VLOOKUP(M680,'02. MM-KLH'!$B$6:$T$823,5,0),"")</f>
        <v>ĐQSD</v>
      </c>
      <c r="V680" s="20" t="str">
        <f>IFERROR(VLOOKUP(M680,'02. MM-KLH'!$B$6:$T$823,8,0),"")</f>
        <v>Ban điện nước</v>
      </c>
      <c r="W680" s="353" t="str">
        <f>IFERROR(VLOOKUP(V680,'NS QUẢN LÝ CG'!$A$4:$D$36,2,0),"")</f>
        <v/>
      </c>
      <c r="X680" s="353" t="str">
        <f>IFERROR(VLOOKUP(V680,'NS QUẢN LÝ CG'!$A$4:$D$36,4,0),"")</f>
        <v/>
      </c>
      <c r="Y680" s="353" t="str">
        <f>IFERROR(VLOOKUP(V680,'NS QUẢN LÝ CG'!$A$4:$C$36,3,0),"")</f>
        <v/>
      </c>
      <c r="Z680" s="20">
        <f>IFERROR(VLOOKUP(M680,'02. MM-KLH'!$B$6:$T$823,3,0),"")</f>
        <v>0</v>
      </c>
      <c r="AA680" s="353" t="str">
        <f t="shared" si="46"/>
        <v/>
      </c>
      <c r="AB680" s="20"/>
      <c r="AC680" s="20"/>
    </row>
    <row r="681" ht="18" customHeight="1" spans="1:29">
      <c r="A681" s="20"/>
      <c r="B681" s="22" t="str">
        <f>IFERROR(VLOOKUP(M681,'02. MM-KLH'!$B$6:$T$823,6,0),"")</f>
        <v>Xe cẩu Hyundai 5 tấn</v>
      </c>
      <c r="C681" s="353">
        <v>1</v>
      </c>
      <c r="D681" s="19">
        <f>IFERROR(VLOOKUP(M681,'02. MM-KLH'!$B$6:$T$823,16,0),"")</f>
        <v>0</v>
      </c>
      <c r="E681" s="353" t="s">
        <v>5978</v>
      </c>
      <c r="F681" s="19"/>
      <c r="G681" s="19"/>
      <c r="H681" s="19">
        <f>IFERROR(VLOOKUP(M681,'02. MM-KLH'!$B$6:$T$823,17,0),"")</f>
        <v>0</v>
      </c>
      <c r="I681" s="772">
        <f>IFERROR(VLOOKUP(M681,'02. MM-KLH'!$B$6:$U$823,20,0),"")</f>
        <v>4.2</v>
      </c>
      <c r="J681" s="22">
        <f>IFERROR(VLOOKUP(M681,'02. MM-KLH'!$B$6:$T$823,19,0),"")</f>
        <v>107291</v>
      </c>
      <c r="K681" s="22" t="str">
        <f>IFERROR(VLOOKUP(M681,'02. MM-KLH'!$B$6:$T$823,18,0),"")</f>
        <v>CCN</v>
      </c>
      <c r="L681" s="19">
        <f>IFERROR(VLOOKUP(M681,'02. MM-KLH'!$B$6:$T$823,4,0),"")</f>
        <v>0</v>
      </c>
      <c r="M681" s="49" t="s">
        <v>2653</v>
      </c>
      <c r="N681" s="23">
        <f>IFERROR(VLOOKUP(M681,'02. MM-KLH'!$B$6:$T$823,15,0),"")</f>
        <v>0</v>
      </c>
      <c r="O681" s="773">
        <f>IFERROR(VLOOKUP(M681,'02. MM-KLH'!$B$6:$T$823,9,0),"")</f>
        <v>0</v>
      </c>
      <c r="P681" s="353" t="s">
        <v>1755</v>
      </c>
      <c r="Q681" s="19"/>
      <c r="R681" s="19" t="s">
        <v>5978</v>
      </c>
      <c r="S681" s="19"/>
      <c r="T681" s="19"/>
      <c r="U681" s="353" t="str">
        <f>IFERROR(VLOOKUP(M681,'02. MM-KLH'!$B$6:$T$823,5,0),"")</f>
        <v>ĐQSD</v>
      </c>
      <c r="V681" s="20" t="str">
        <f>IFERROR(VLOOKUP(M681,'02. MM-KLH'!$B$6:$T$823,8,0),"")</f>
        <v>Thagricons</v>
      </c>
      <c r="W681" s="353">
        <f>IFERROR(VLOOKUP(V681,'NS QUẢN LÝ CG'!$A$4:$D$36,2,0),"")</f>
        <v>0</v>
      </c>
      <c r="X681" s="353">
        <f>IFERROR(VLOOKUP(V681,'NS QUẢN LÝ CG'!$A$4:$D$36,4,0),"")</f>
        <v>0</v>
      </c>
      <c r="Y681" s="353">
        <f>IFERROR(VLOOKUP(V681,'NS QUẢN LÝ CG'!$A$4:$C$36,3,0),"")</f>
        <v>0</v>
      </c>
      <c r="Z681" s="20" t="str">
        <f>IFERROR(VLOOKUP(M681,'02. MM-KLH'!$B$6:$T$823,3,0),"")</f>
        <v>A22-XCA-004</v>
      </c>
      <c r="AA681" s="353" t="str">
        <f t="shared" si="46"/>
        <v>ADM</v>
      </c>
      <c r="AB681" s="20"/>
      <c r="AC681" s="20"/>
    </row>
    <row r="682" ht="18" customHeight="1" spans="1:29">
      <c r="A682" s="20"/>
      <c r="B682" s="22" t="str">
        <f>IFERROR(VLOOKUP(M682,'02. MM-KLH'!$B$6:$T$823,6,0),"")</f>
        <v>Xe cẩu ZOOMLION 55 tấn</v>
      </c>
      <c r="C682" s="353">
        <v>1</v>
      </c>
      <c r="D682" s="19" t="str">
        <f>IFERROR(VLOOKUP(M682,'02. MM-KLH'!$B$6:$T$823,16,0),"")</f>
        <v>ZTC550V532-1</v>
      </c>
      <c r="E682" s="353" t="s">
        <v>5978</v>
      </c>
      <c r="F682" s="19"/>
      <c r="G682" s="19"/>
      <c r="H682" s="19" t="str">
        <f>IFERROR(VLOOKUP(M682,'02. MM-KLH'!$B$6:$T$823,17,0),"")</f>
        <v>336HP</v>
      </c>
      <c r="I682" s="772">
        <f>IFERROR(VLOOKUP(M682,'02. MM-KLH'!$B$6:$U$823,20,0),"")</f>
        <v>7.5</v>
      </c>
      <c r="J682" s="22" t="str">
        <f>IFERROR(VLOOKUP(M682,'02. MM-KLH'!$B$6:$T$823,19,0),"")</f>
        <v>WP103361623G017019</v>
      </c>
      <c r="K682" s="22" t="str">
        <f>IFERROR(VLOOKUP(M682,'02. MM-KLH'!$B$6:$T$823,18,0),"")</f>
        <v>L5E6H4D33PA014676</v>
      </c>
      <c r="L682" s="19">
        <f>IFERROR(VLOOKUP(M682,'02. MM-KLH'!$B$6:$T$823,4,0),"")</f>
        <v>0</v>
      </c>
      <c r="M682" s="49" t="s">
        <v>2655</v>
      </c>
      <c r="N682" s="23">
        <f>IFERROR(VLOOKUP(M682,'02. MM-KLH'!$B$6:$T$823,15,0),"")</f>
        <v>2023</v>
      </c>
      <c r="O682" s="773">
        <f>IFERROR(VLOOKUP(M682,'02. MM-KLH'!$B$6:$T$823,9,0),"")</f>
        <v>45478</v>
      </c>
      <c r="P682" s="19"/>
      <c r="Q682" s="19"/>
      <c r="R682" s="19" t="s">
        <v>5978</v>
      </c>
      <c r="S682" s="19"/>
      <c r="T682" s="19"/>
      <c r="U682" s="353" t="str">
        <f>IFERROR(VLOOKUP(M682,'02. MM-KLH'!$B$6:$T$823,5,0),"")</f>
        <v>MỚI</v>
      </c>
      <c r="V682" s="20" t="str">
        <f>IFERROR(VLOOKUP(M682,'02. MM-KLH'!$B$6:$T$823,8,0),"")</f>
        <v>Thagricons</v>
      </c>
      <c r="W682" s="353">
        <f>IFERROR(VLOOKUP(V682,'NS QUẢN LÝ CG'!$A$4:$D$36,2,0),"")</f>
        <v>0</v>
      </c>
      <c r="X682" s="353">
        <f>IFERROR(VLOOKUP(V682,'NS QUẢN LÝ CG'!$A$4:$D$36,4,0),"")</f>
        <v>0</v>
      </c>
      <c r="Y682" s="353">
        <f>IFERROR(VLOOKUP(V682,'NS QUẢN LÝ CG'!$A$4:$C$36,3,0),"")</f>
        <v>0</v>
      </c>
      <c r="Z682" s="20" t="str">
        <f>IFERROR(VLOOKUP(M682,'02. MM-KLH'!$B$6:$T$823,3,0),"")</f>
        <v>A22-XCA-002</v>
      </c>
      <c r="AA682" s="353" t="str">
        <f t="shared" si="46"/>
        <v>ADM</v>
      </c>
      <c r="AB682" s="20"/>
      <c r="AC682" s="20"/>
    </row>
    <row r="683" ht="18" customHeight="1" spans="1:29">
      <c r="A683" s="20"/>
      <c r="B683" s="22" t="str">
        <f>IFERROR(VLOOKUP(M683,'02. MM-KLH'!$B$6:$T$823,6,0),"")</f>
        <v>Xe cẩu 3.5 tấn</v>
      </c>
      <c r="C683" s="353">
        <v>1</v>
      </c>
      <c r="D683" s="19" t="str">
        <f>IFERROR(VLOOKUP(M683,'02. MM-KLH'!$B$6:$T$823,16,0),"")</f>
        <v>Ollin 900B</v>
      </c>
      <c r="E683" s="353" t="s">
        <v>5978</v>
      </c>
      <c r="F683" s="19"/>
      <c r="G683" s="19"/>
      <c r="H683" s="19" t="str">
        <f>IFERROR(VLOOKUP(M683,'02. MM-KLH'!$B$6:$T$823,17,0),"")</f>
        <v>160HP</v>
      </c>
      <c r="I683" s="772">
        <f>IFERROR(VLOOKUP(M683,'02. MM-KLH'!$B$6:$U$823,20,0),"")</f>
        <v>5</v>
      </c>
      <c r="J683" s="22" t="str">
        <f>IFERROR(VLOOKUP(M683,'02. MM-KLH'!$B$6:$T$823,19,0),"")</f>
        <v>YC4E160-33E37F2H00227</v>
      </c>
      <c r="K683" s="22" t="str">
        <f>IFERROR(VLOOKUP(M683,'02. MM-KLH'!$B$6:$T$823,18,0),"")</f>
        <v>RNHA1550BHC063037</v>
      </c>
      <c r="L683" s="19">
        <f>IFERROR(VLOOKUP(M683,'02. MM-KLH'!$B$6:$T$823,4,0),"")</f>
        <v>0</v>
      </c>
      <c r="M683" s="49" t="s">
        <v>2646</v>
      </c>
      <c r="N683" s="23">
        <f>IFERROR(VLOOKUP(M683,'02. MM-KLH'!$B$6:$T$823,15,0),"")</f>
        <v>2018</v>
      </c>
      <c r="O683" s="773" t="str">
        <f>IFERROR(VLOOKUP(M683,'02. MM-KLH'!$B$6:$T$823,9,0),"")</f>
        <v>30/12/2024</v>
      </c>
      <c r="P683" s="353" t="s">
        <v>1755</v>
      </c>
      <c r="Q683" s="19"/>
      <c r="R683" s="19" t="s">
        <v>5978</v>
      </c>
      <c r="S683" s="19"/>
      <c r="T683" s="19"/>
      <c r="U683" s="353" t="str">
        <f>IFERROR(VLOOKUP(M683,'02. MM-KLH'!$B$6:$T$823,5,0),"")</f>
        <v>ĐQSD</v>
      </c>
      <c r="V683" s="20" t="str">
        <f>IFERROR(VLOOKUP(M683,'02. MM-KLH'!$B$6:$T$823,8,0),"")</f>
        <v>Xưởng Cơ khí DP</v>
      </c>
      <c r="W683" s="353">
        <f>IFERROR(VLOOKUP(V683,'NS QUẢN LÝ CG'!$A$4:$D$36,2,0),"")</f>
        <v>0</v>
      </c>
      <c r="X683" s="353">
        <f>IFERROR(VLOOKUP(V683,'NS QUẢN LÝ CG'!$A$4:$D$36,4,0),"")</f>
        <v>0</v>
      </c>
      <c r="Y683" s="353">
        <f>IFERROR(VLOOKUP(V683,'NS QUẢN LÝ CG'!$A$4:$C$36,3,0),"")</f>
        <v>0</v>
      </c>
      <c r="Z683" s="20" t="str">
        <f>IFERROR(VLOOKUP(M683,'02. MM-KLH'!$B$6:$T$823,3,0),"")</f>
        <v/>
      </c>
      <c r="AA683" s="353" t="str">
        <f t="shared" si="46"/>
        <v/>
      </c>
      <c r="AB683" s="20"/>
      <c r="AC683" s="20"/>
    </row>
    <row r="684" ht="18" customHeight="1" spans="1:29">
      <c r="A684" s="20"/>
      <c r="B684" s="22" t="str">
        <f>IFERROR(VLOOKUP(M684,'02. MM-KLH'!$B$6:$T$823,6,0),"")</f>
        <v>Xe cẩu 3.5 tấn</v>
      </c>
      <c r="C684" s="353">
        <v>1</v>
      </c>
      <c r="D684" s="19" t="str">
        <f>IFERROR(VLOOKUP(M684,'02. MM-KLH'!$B$6:$T$823,16,0),"")</f>
        <v>Ollin 900B</v>
      </c>
      <c r="E684" s="353" t="s">
        <v>5978</v>
      </c>
      <c r="F684" s="19"/>
      <c r="G684" s="19"/>
      <c r="H684" s="19" t="str">
        <f>IFERROR(VLOOKUP(M684,'02. MM-KLH'!$B$6:$T$823,17,0),"")</f>
        <v>160HP</v>
      </c>
      <c r="I684" s="772">
        <f>IFERROR(VLOOKUP(M684,'02. MM-KLH'!$B$6:$U$823,20,0),"")</f>
        <v>5</v>
      </c>
      <c r="J684" s="22" t="str">
        <f>IFERROR(VLOOKUP(M684,'02. MM-KLH'!$B$6:$T$823,19,0),"")</f>
        <v>YC4E160-33E37F2H00201</v>
      </c>
      <c r="K684" s="22" t="str">
        <f>IFERROR(VLOOKUP(M684,'02. MM-KLH'!$B$6:$T$823,18,0),"")</f>
        <v>RNHA1550BHC063042</v>
      </c>
      <c r="L684" s="19">
        <f>IFERROR(VLOOKUP(M684,'02. MM-KLH'!$B$6:$T$823,4,0),"")</f>
        <v>0</v>
      </c>
      <c r="M684" s="49" t="s">
        <v>2662</v>
      </c>
      <c r="N684" s="23">
        <f>IFERROR(VLOOKUP(M684,'02. MM-KLH'!$B$6:$T$823,15,0),"")</f>
        <v>2018</v>
      </c>
      <c r="O684" s="773">
        <f>IFERROR(VLOOKUP(M684,'02. MM-KLH'!$B$6:$T$823,9,0),"")</f>
        <v>45329</v>
      </c>
      <c r="P684" s="353" t="s">
        <v>1755</v>
      </c>
      <c r="Q684" s="19"/>
      <c r="R684" s="19" t="s">
        <v>5978</v>
      </c>
      <c r="S684" s="19"/>
      <c r="T684" s="19"/>
      <c r="U684" s="353" t="str">
        <f>IFERROR(VLOOKUP(M684,'02. MM-KLH'!$B$6:$T$823,5,0),"")</f>
        <v>ĐQSD</v>
      </c>
      <c r="V684" s="20" t="str">
        <f>IFERROR(VLOOKUP(M684,'02. MM-KLH'!$B$6:$T$823,8,0),"")</f>
        <v>Thagricons</v>
      </c>
      <c r="W684" s="353">
        <f>IFERROR(VLOOKUP(V684,'NS QUẢN LÝ CG'!$A$4:$D$36,2,0),"")</f>
        <v>0</v>
      </c>
      <c r="X684" s="353">
        <f>IFERROR(VLOOKUP(V684,'NS QUẢN LÝ CG'!$A$4:$D$36,4,0),"")</f>
        <v>0</v>
      </c>
      <c r="Y684" s="353">
        <f>IFERROR(VLOOKUP(V684,'NS QUẢN LÝ CG'!$A$4:$C$36,3,0),"")</f>
        <v>0</v>
      </c>
      <c r="Z684" s="20" t="str">
        <f>IFERROR(VLOOKUP(M684,'02. MM-KLH'!$B$6:$T$823,3,0),"")</f>
        <v>A22-XCA-006</v>
      </c>
      <c r="AA684" s="353" t="str">
        <f t="shared" si="46"/>
        <v>ADM</v>
      </c>
      <c r="AB684" s="20"/>
      <c r="AC684" s="20"/>
    </row>
    <row r="685" ht="18" customHeight="1" spans="1:29">
      <c r="A685" s="20"/>
      <c r="B685" s="22" t="str">
        <f>IFERROR(VLOOKUP(M685,'02. MM-KLH'!$B$6:$T$823,6,0),"")</f>
        <v>Xe cẩu thùng FOTON AUMAN 8 tấn</v>
      </c>
      <c r="C685" s="353">
        <v>1</v>
      </c>
      <c r="D685" s="19" t="str">
        <f>IFERROR(VLOOKUP(M685,'02. MM-KLH'!$B$6:$T$823,16,0),"")</f>
        <v> C240</v>
      </c>
      <c r="E685" s="353" t="s">
        <v>5978</v>
      </c>
      <c r="F685" s="19"/>
      <c r="G685" s="19"/>
      <c r="H685" s="19" t="str">
        <f>IFERROR(VLOOKUP(M685,'02. MM-KLH'!$B$6:$T$823,17,0),"")</f>
        <v>266HP</v>
      </c>
      <c r="I685" s="772">
        <f>IFERROR(VLOOKUP(M685,'02. MM-KLH'!$B$6:$U$823,20,0),"")</f>
        <v>6</v>
      </c>
      <c r="J685" s="22">
        <f>IFERROR(VLOOKUP(M685,'02. MM-KLH'!$B$6:$T$823,19,0),"")</f>
        <v>82162916</v>
      </c>
      <c r="K685" s="22" t="str">
        <f>IFERROR(VLOOKUP(M685,'02. MM-KLH'!$B$6:$T$823,18,0),"")</f>
        <v>RNHA24FCANT056597</v>
      </c>
      <c r="L685" s="19">
        <f>IFERROR(VLOOKUP(M685,'02. MM-KLH'!$B$6:$T$823,4,0),"")</f>
        <v>0</v>
      </c>
      <c r="M685" s="49" t="s">
        <v>2668</v>
      </c>
      <c r="N685" s="23">
        <f>IFERROR(VLOOKUP(M685,'02. MM-KLH'!$B$6:$T$823,15,0),"")</f>
        <v>2022</v>
      </c>
      <c r="O685" s="773" t="str">
        <f>IFERROR(VLOOKUP(M685,'02. MM-KLH'!$B$6:$T$823,9,0),"")</f>
        <v>21/10/2024</v>
      </c>
      <c r="P685" s="19"/>
      <c r="Q685" s="19"/>
      <c r="R685" s="19" t="s">
        <v>5978</v>
      </c>
      <c r="S685" s="19"/>
      <c r="T685" s="19"/>
      <c r="U685" s="353" t="str">
        <f>IFERROR(VLOOKUP(M685,'02. MM-KLH'!$B$6:$T$823,5,0),"")</f>
        <v>MỚI</v>
      </c>
      <c r="V685" s="20" t="str">
        <f>IFERROR(VLOOKUP(M685,'02. MM-KLH'!$B$6:$T$823,8,0),"")</f>
        <v>Thagricons</v>
      </c>
      <c r="W685" s="353">
        <f>IFERROR(VLOOKUP(V685,'NS QUẢN LÝ CG'!$A$4:$D$36,2,0),"")</f>
        <v>0</v>
      </c>
      <c r="X685" s="353">
        <f>IFERROR(VLOOKUP(V685,'NS QUẢN LÝ CG'!$A$4:$D$36,4,0),"")</f>
        <v>0</v>
      </c>
      <c r="Y685" s="353">
        <f>IFERROR(VLOOKUP(V685,'NS QUẢN LÝ CG'!$A$4:$C$36,3,0),"")</f>
        <v>0</v>
      </c>
      <c r="Z685" s="20" t="str">
        <f>IFERROR(VLOOKUP(M685,'02. MM-KLH'!$B$6:$T$823,3,0),"")</f>
        <v>A22-XCA-009</v>
      </c>
      <c r="AA685" s="353" t="str">
        <f t="shared" si="46"/>
        <v>ADM</v>
      </c>
      <c r="AB685" s="20"/>
      <c r="AC685" s="20"/>
    </row>
    <row r="686" ht="18" customHeight="1" spans="1:29">
      <c r="A686" s="20"/>
      <c r="B686" s="22" t="str">
        <f>IFERROR(VLOOKUP(M686,'02. MM-KLH'!$B$6:$T$823,6,0),"")</f>
        <v>Xe cẩu AUMAN 15 tấn</v>
      </c>
      <c r="C686" s="353">
        <v>1</v>
      </c>
      <c r="D686" s="19" t="str">
        <f>IFERROR(VLOOKUP(M686,'02. MM-KLH'!$B$6:$T$823,16,0),"")</f>
        <v>C34</v>
      </c>
      <c r="E686" s="353" t="s">
        <v>5978</v>
      </c>
      <c r="F686" s="19"/>
      <c r="G686" s="19"/>
      <c r="H686" s="19" t="str">
        <f>IFERROR(VLOOKUP(M686,'02. MM-KLH'!$B$6:$T$823,17,0),"")</f>
        <v>335HP</v>
      </c>
      <c r="I686" s="772">
        <f>IFERROR(VLOOKUP(M686,'02. MM-KLH'!$B$6:$U$823,20,0),"")</f>
        <v>7.1</v>
      </c>
      <c r="J686" s="22" t="str">
        <f>IFERROR(VLOOKUP(M686,'02. MM-KLH'!$B$6:$T$823,19,0),"")</f>
        <v>000AFC072313</v>
      </c>
      <c r="K686" s="22" t="str">
        <f>IFERROR(VLOOKUP(M686,'02. MM-KLH'!$B$6:$T$823,18,0),"")</f>
        <v>21615E037691 </v>
      </c>
      <c r="L686" s="19">
        <f>IFERROR(VLOOKUP(M686,'02. MM-KLH'!$B$6:$T$823,4,0),"")</f>
        <v>0</v>
      </c>
      <c r="M686" s="49" t="s">
        <v>2681</v>
      </c>
      <c r="N686" s="23">
        <f>IFERROR(VLOOKUP(M686,'02. MM-KLH'!$B$6:$T$823,15,0),"")</f>
        <v>0</v>
      </c>
      <c r="O686" s="773">
        <f>IFERROR(VLOOKUP(M686,'02. MM-KLH'!$B$6:$T$823,9,0),"")</f>
        <v>0</v>
      </c>
      <c r="P686" s="353" t="s">
        <v>1755</v>
      </c>
      <c r="Q686" s="19"/>
      <c r="R686" s="19" t="s">
        <v>5978</v>
      </c>
      <c r="S686" s="19"/>
      <c r="T686" s="19"/>
      <c r="U686" s="353" t="str">
        <f>IFERROR(VLOOKUP(M686,'02. MM-KLH'!$B$6:$T$823,5,0),"")</f>
        <v>ĐQSD</v>
      </c>
      <c r="V686" s="20" t="str">
        <f>IFERROR(VLOOKUP(M686,'02. MM-KLH'!$B$6:$T$823,8,0),"")</f>
        <v>Thagricons</v>
      </c>
      <c r="W686" s="353">
        <f>IFERROR(VLOOKUP(V686,'NS QUẢN LÝ CG'!$A$4:$D$36,2,0),"")</f>
        <v>0</v>
      </c>
      <c r="X686" s="353">
        <f>IFERROR(VLOOKUP(V686,'NS QUẢN LÝ CG'!$A$4:$D$36,4,0),"")</f>
        <v>0</v>
      </c>
      <c r="Y686" s="353">
        <f>IFERROR(VLOOKUP(V686,'NS QUẢN LÝ CG'!$A$4:$C$36,3,0),"")</f>
        <v>0</v>
      </c>
      <c r="Z686" s="20">
        <f>IFERROR(VLOOKUP(M686,'02. MM-KLH'!$B$6:$T$823,3,0),"")</f>
        <v>0</v>
      </c>
      <c r="AA686" s="353" t="str">
        <f t="shared" si="46"/>
        <v/>
      </c>
      <c r="AB686" s="20"/>
      <c r="AC686" s="20"/>
    </row>
    <row r="687" ht="13.8" spans="1:29">
      <c r="A687" s="731"/>
      <c r="B687" s="613" t="str">
        <f>IFERROR(VLOOKUP(M687,'02. MM-KLH'!$B$6:$T$823,6,0),"")</f>
        <v/>
      </c>
      <c r="C687" s="353"/>
      <c r="D687" s="353" t="str">
        <f>IFERROR(VLOOKUP(M687,'02. MM-KLH'!$B$6:$T$823,16,0),"")</f>
        <v/>
      </c>
      <c r="E687" s="353"/>
      <c r="F687" s="353"/>
      <c r="G687" s="353"/>
      <c r="H687" s="353" t="str">
        <f>IFERROR(VLOOKUP(M687,'02. MM-KLH'!$B$6:$T$823,17,0),"")</f>
        <v/>
      </c>
      <c r="I687" s="763" t="str">
        <f>IFERROR(VLOOKUP(M687,'02. MM-KLH'!$B$6:$U$823,20,0),"")</f>
        <v/>
      </c>
      <c r="J687" s="613" t="str">
        <f>IFERROR(VLOOKUP(M687,'02. MM-KLH'!$B$6:$T$823,19,0),"")</f>
        <v/>
      </c>
      <c r="K687" s="613" t="str">
        <f>IFERROR(VLOOKUP(M687,'02. MM-KLH'!$B$6:$T$823,18,0),"")</f>
        <v/>
      </c>
      <c r="L687" s="353" t="str">
        <f>IFERROR(VLOOKUP(M687,'02. MM-KLH'!$B$6:$T$823,4,0),"")</f>
        <v/>
      </c>
      <c r="M687" s="49"/>
      <c r="N687" s="356" t="str">
        <f>IFERROR(VLOOKUP(M687,'02. MM-KLH'!$B$6:$T$823,15,0),"")</f>
        <v/>
      </c>
      <c r="O687" s="764" t="str">
        <f>IFERROR(VLOOKUP(M687,'02. MM-KLH'!$B$6:$T$823,9,0),"")</f>
        <v/>
      </c>
      <c r="P687" s="353"/>
      <c r="Q687" s="353"/>
      <c r="R687" s="353"/>
      <c r="S687" s="353"/>
      <c r="T687" s="353"/>
      <c r="U687" s="353" t="str">
        <f>IFERROR(VLOOKUP(M687,'02. MM-KLH'!$B$6:$T$823,2,0),"")</f>
        <v/>
      </c>
      <c r="V687" s="731" t="str">
        <f>IFERROR(VLOOKUP(M687,'02. MM-KLH'!$B$6:$T$823,8,0),"")</f>
        <v/>
      </c>
      <c r="W687" s="353" t="str">
        <f>IFERROR(VLOOKUP(V687,'NS QUẢN LÝ CG'!$A$4:$D$36,2,0),"")</f>
        <v/>
      </c>
      <c r="X687" s="353" t="str">
        <f>IFERROR(VLOOKUP(V687,'NS QUẢN LÝ CG'!$A$4:$D$36,4,0),"")</f>
        <v/>
      </c>
      <c r="Y687" s="353"/>
      <c r="Z687" s="731" t="str">
        <f>IFERROR(VLOOKUP(M687,'02. MM-KLH'!$B$6:$T$823,3,0),"")</f>
        <v/>
      </c>
      <c r="AA687" s="353"/>
      <c r="AB687" s="731"/>
      <c r="AC687" s="731"/>
    </row>
    <row r="688" spans="1:29">
      <c r="A688" s="747" t="s">
        <v>3423</v>
      </c>
      <c r="B688" s="748" t="s">
        <v>6001</v>
      </c>
      <c r="C688" s="747">
        <f>COUNTA(B689:B719)</f>
        <v>31</v>
      </c>
      <c r="D688" s="749"/>
      <c r="E688" s="749"/>
      <c r="F688" s="749"/>
      <c r="G688" s="749"/>
      <c r="H688" s="749"/>
      <c r="I688" s="750"/>
      <c r="J688" s="751"/>
      <c r="K688" s="751"/>
      <c r="L688" s="749"/>
      <c r="M688" s="749"/>
      <c r="N688" s="749"/>
      <c r="O688" s="752"/>
      <c r="P688" s="749"/>
      <c r="Q688" s="749"/>
      <c r="R688" s="749"/>
      <c r="S688" s="749"/>
      <c r="T688" s="749"/>
      <c r="U688" s="749"/>
      <c r="V688" s="750"/>
      <c r="W688" s="749"/>
      <c r="X688" s="749"/>
      <c r="Y688" s="749"/>
      <c r="Z688" s="750"/>
      <c r="AA688" s="749"/>
      <c r="AB688" s="750"/>
      <c r="AC688" s="753"/>
    </row>
    <row r="689" ht="13.8" spans="1:29">
      <c r="A689" s="731"/>
      <c r="B689" s="613" t="str">
        <f>IFERROR(VLOOKUP(M689,'02. MM-KLH'!$B$6:$T$823,6,0),"")</f>
        <v>Xe clethon</v>
      </c>
      <c r="C689" s="353">
        <v>1</v>
      </c>
      <c r="D689" s="353" t="str">
        <f>IFERROR(VLOOKUP(M689,'02. MM-KLH'!$B$6:$T$823,16,0),"")</f>
        <v>TF150NL-PR2</v>
      </c>
      <c r="E689" s="353" t="s">
        <v>5978</v>
      </c>
      <c r="F689" s="353"/>
      <c r="G689" s="353"/>
      <c r="H689" s="353" t="str">
        <f>IFERROR(VLOOKUP(M689,'02. MM-KLH'!$B$6:$T$823,17,0),"")</f>
        <v>15HP</v>
      </c>
      <c r="I689" s="763">
        <f>IFERROR(VLOOKUP(M689,'02. MM-KLH'!$B$6:$U$823,20,0),"")</f>
        <v>0.68</v>
      </c>
      <c r="J689" s="613" t="str">
        <f>IFERROR(VLOOKUP(M689,'02. MM-KLH'!$B$6:$T$823,19,0),"")</f>
        <v>B2212L</v>
      </c>
      <c r="K689" s="613">
        <f>IFERROR(VLOOKUP(M689,'02. MM-KLH'!$B$6:$T$823,18,0),"")</f>
        <v>203084</v>
      </c>
      <c r="L689" s="353">
        <f>IFERROR(VLOOKUP(M689,'02. MM-KLH'!$B$6:$T$823,4,0),"")</f>
        <v>0</v>
      </c>
      <c r="M689" s="49" t="s">
        <v>1514</v>
      </c>
      <c r="N689" s="356">
        <f>IFERROR(VLOOKUP(M689,'02. MM-KLH'!$B$6:$T$823,15,0),"")</f>
        <v>2022</v>
      </c>
      <c r="O689" s="764" t="str">
        <f>IFERROR(VLOOKUP(M689,'02. MM-KLH'!$B$6:$T$823,9,0),"")</f>
        <v>29/07/2025</v>
      </c>
      <c r="P689" s="353"/>
      <c r="Q689" s="353"/>
      <c r="R689" s="353" t="s">
        <v>5978</v>
      </c>
      <c r="S689" s="353"/>
      <c r="T689" s="353"/>
      <c r="U689" s="353" t="str">
        <f>IFERROR(VLOOKUP(M689,'02. MM-KLH'!$B$6:$T$823,5,0),"")</f>
        <v>MỚI</v>
      </c>
      <c r="V689" s="731" t="str">
        <f>IFERROR(VLOOKUP(M689,'02. MM-KLH'!$B$6:$T$823,8,0),"")</f>
        <v>XN Chuối LP1</v>
      </c>
      <c r="W689" s="353" t="str">
        <f>IFERROR(VLOOKUP(V689,'NS QUẢN LÝ CG'!$A$4:$D$36,2,0),"")</f>
        <v/>
      </c>
      <c r="X689" s="353" t="str">
        <f>IFERROR(VLOOKUP(V689,'NS QUẢN LÝ CG'!$A$4:$D$36,4,0),"")</f>
        <v/>
      </c>
      <c r="Y689" s="353" t="str">
        <f>IFERROR(VLOOKUP(V689,'NS QUẢN LÝ CG'!$A$4:$C$36,3,0),"")</f>
        <v/>
      </c>
      <c r="Z689" s="731" t="str">
        <f>IFERROR(VLOOKUP(M689,'02. MM-KLH'!$B$6:$T$823,3,0),"")</f>
        <v>A23-CLT-015</v>
      </c>
      <c r="AA689" s="353" t="str">
        <f t="shared" ref="AA689:AA717" si="47">_xlfn.SWITCH(LEFT(Z689,3),"A22","ADM","A23","DP","A24","LP","")</f>
        <v>DP</v>
      </c>
      <c r="AB689" s="731"/>
      <c r="AC689" s="731"/>
    </row>
    <row r="690" ht="13.8" spans="1:29">
      <c r="A690" s="731"/>
      <c r="B690" s="613" t="str">
        <f>IFERROR(VLOOKUP(M690,'02. MM-KLH'!$B$6:$T$823,6,0),"")</f>
        <v>Xe clethon</v>
      </c>
      <c r="C690" s="353">
        <v>1</v>
      </c>
      <c r="D690" s="353" t="str">
        <f>IFERROR(VLOOKUP(M690,'02. MM-KLH'!$B$6:$T$823,16,0),"")</f>
        <v>TF150NL-PR2</v>
      </c>
      <c r="E690" s="353" t="s">
        <v>5978</v>
      </c>
      <c r="F690" s="353"/>
      <c r="G690" s="353"/>
      <c r="H690" s="353" t="str">
        <f>IFERROR(VLOOKUP(M690,'02. MM-KLH'!$B$6:$T$823,17,0),"")</f>
        <v>15HP</v>
      </c>
      <c r="I690" s="763">
        <f>IFERROR(VLOOKUP(M690,'02. MM-KLH'!$B$6:$U$823,20,0),"")</f>
        <v>0.5</v>
      </c>
      <c r="J690" s="613" t="str">
        <f>IFERROR(VLOOKUP(M690,'02. MM-KLH'!$B$6:$T$823,19,0),"")</f>
        <v>B1320M</v>
      </c>
      <c r="K690" s="613">
        <f>IFERROR(VLOOKUP(M690,'02. MM-KLH'!$B$6:$T$823,18,0),"")</f>
        <v>203065</v>
      </c>
      <c r="L690" s="353">
        <f>IFERROR(VLOOKUP(M690,'02. MM-KLH'!$B$6:$T$823,4,0),"")</f>
        <v>0</v>
      </c>
      <c r="M690" s="49" t="s">
        <v>1194</v>
      </c>
      <c r="N690" s="356">
        <f>IFERROR(VLOOKUP(M690,'02. MM-KLH'!$B$6:$T$823,15,0),"")</f>
        <v>2022</v>
      </c>
      <c r="O690" s="764" t="str">
        <f>IFERROR(VLOOKUP(M690,'02. MM-KLH'!$B$6:$T$823,9,0),"")</f>
        <v>24/07/2025</v>
      </c>
      <c r="P690" s="353"/>
      <c r="Q690" s="353"/>
      <c r="R690" s="353" t="s">
        <v>5978</v>
      </c>
      <c r="S690" s="353"/>
      <c r="T690" s="353"/>
      <c r="U690" s="353" t="str">
        <f>IFERROR(VLOOKUP(M690,'02. MM-KLH'!$B$6:$T$823,5,0),"")</f>
        <v>MỚI</v>
      </c>
      <c r="V690" s="731" t="str">
        <f>IFERROR(VLOOKUP(M690,'02. MM-KLH'!$B$6:$T$823,8,0),"")</f>
        <v>XN Chuối DP1</v>
      </c>
      <c r="W690" s="353" t="str">
        <f>IFERROR(VLOOKUP(V690,'NS QUẢN LÝ CG'!$A$4:$D$36,2,0),"")</f>
        <v/>
      </c>
      <c r="X690" s="353" t="str">
        <f>IFERROR(VLOOKUP(V690,'NS QUẢN LÝ CG'!$A$4:$D$36,4,0),"")</f>
        <v/>
      </c>
      <c r="Y690" s="353" t="str">
        <f>IFERROR(VLOOKUP(V690,'NS QUẢN LÝ CG'!$A$4:$C$36,3,0),"")</f>
        <v/>
      </c>
      <c r="Z690" s="731" t="str">
        <f>IFERROR(VLOOKUP(M690,'02. MM-KLH'!$B$6:$T$823,3,0),"")</f>
        <v>A23-CLT-001</v>
      </c>
      <c r="AA690" s="353" t="str">
        <f t="shared" si="47"/>
        <v>DP</v>
      </c>
      <c r="AB690" s="731"/>
      <c r="AC690" s="731"/>
    </row>
    <row r="691" ht="13.8" spans="1:29">
      <c r="A691" s="731"/>
      <c r="B691" s="613" t="str">
        <f>IFERROR(VLOOKUP(M691,'02. MM-KLH'!$B$6:$T$823,6,0),"")</f>
        <v>Xe clethon</v>
      </c>
      <c r="C691" s="353">
        <v>1</v>
      </c>
      <c r="D691" s="353" t="str">
        <f>IFERROR(VLOOKUP(M691,'02. MM-KLH'!$B$6:$T$823,16,0),"")</f>
        <v>TF150NL-PR2</v>
      </c>
      <c r="E691" s="353" t="s">
        <v>5978</v>
      </c>
      <c r="F691" s="353"/>
      <c r="G691" s="353"/>
      <c r="H691" s="353" t="str">
        <f>IFERROR(VLOOKUP(M691,'02. MM-KLH'!$B$6:$T$823,17,0),"")</f>
        <v>15HP</v>
      </c>
      <c r="I691" s="763">
        <f>IFERROR(VLOOKUP(M691,'02. MM-KLH'!$B$6:$U$823,20,0),"")</f>
        <v>0.5</v>
      </c>
      <c r="J691" s="613" t="str">
        <f>IFERROR(VLOOKUP(M691,'02. MM-KLH'!$B$6:$T$823,19,0),"")</f>
        <v>C0869C</v>
      </c>
      <c r="K691" s="613">
        <f>IFERROR(VLOOKUP(M691,'02. MM-KLH'!$B$6:$T$823,18,0),"")</f>
        <v>203175</v>
      </c>
      <c r="L691" s="353">
        <f>IFERROR(VLOOKUP(M691,'02. MM-KLH'!$B$6:$T$823,4,0),"")</f>
        <v>0</v>
      </c>
      <c r="M691" s="49" t="s">
        <v>1200</v>
      </c>
      <c r="N691" s="356">
        <f>IFERROR(VLOOKUP(M691,'02. MM-KLH'!$B$6:$T$823,15,0),"")</f>
        <v>2022</v>
      </c>
      <c r="O691" s="764" t="str">
        <f>IFERROR(VLOOKUP(M691,'02. MM-KLH'!$B$6:$T$823,9,0),"")</f>
        <v>24/07/2025</v>
      </c>
      <c r="P691" s="353"/>
      <c r="Q691" s="353"/>
      <c r="R691" s="353" t="s">
        <v>5978</v>
      </c>
      <c r="S691" s="353"/>
      <c r="T691" s="353"/>
      <c r="U691" s="353" t="str">
        <f>IFERROR(VLOOKUP(M691,'02. MM-KLH'!$B$6:$T$823,5,0),"")</f>
        <v>MỚI</v>
      </c>
      <c r="V691" s="731" t="str">
        <f>IFERROR(VLOOKUP(M691,'02. MM-KLH'!$B$6:$T$823,8,0),"")</f>
        <v>XN Chuối DP1</v>
      </c>
      <c r="W691" s="353" t="str">
        <f>IFERROR(VLOOKUP(V691,'NS QUẢN LÝ CG'!$A$4:$D$36,2,0),"")</f>
        <v/>
      </c>
      <c r="X691" s="353" t="str">
        <f>IFERROR(VLOOKUP(V691,'NS QUẢN LÝ CG'!$A$4:$D$36,4,0),"")</f>
        <v/>
      </c>
      <c r="Y691" s="353" t="str">
        <f>IFERROR(VLOOKUP(V691,'NS QUẢN LÝ CG'!$A$4:$C$36,3,0),"")</f>
        <v/>
      </c>
      <c r="Z691" s="731" t="str">
        <f>IFERROR(VLOOKUP(M691,'02. MM-KLH'!$B$6:$T$823,3,0),"")</f>
        <v>A23-CLT-002</v>
      </c>
      <c r="AA691" s="353" t="str">
        <f t="shared" si="47"/>
        <v>DP</v>
      </c>
      <c r="AB691" s="731"/>
      <c r="AC691" s="731"/>
    </row>
    <row r="692" ht="13.8" spans="1:29">
      <c r="A692" s="731"/>
      <c r="B692" s="613" t="str">
        <f>IFERROR(VLOOKUP(M692,'02. MM-KLH'!$B$6:$T$823,6,0),"")</f>
        <v>Xe clethon</v>
      </c>
      <c r="C692" s="353">
        <v>1</v>
      </c>
      <c r="D692" s="353" t="str">
        <f>IFERROR(VLOOKUP(M692,'02. MM-KLH'!$B$6:$T$823,16,0),"")</f>
        <v>TF150NL-PR2</v>
      </c>
      <c r="E692" s="353" t="s">
        <v>5978</v>
      </c>
      <c r="F692" s="353"/>
      <c r="G692" s="353"/>
      <c r="H692" s="353" t="str">
        <f>IFERROR(VLOOKUP(M692,'02. MM-KLH'!$B$6:$T$823,17,0),"")</f>
        <v>15HP</v>
      </c>
      <c r="I692" s="763">
        <f>IFERROR(VLOOKUP(M692,'02. MM-KLH'!$B$6:$U$823,20,0),"")</f>
        <v>0.5</v>
      </c>
      <c r="J692" s="613" t="str">
        <f>IFERROR(VLOOKUP(M692,'02. MM-KLH'!$B$6:$T$823,19,0),"")</f>
        <v>B2167L</v>
      </c>
      <c r="K692" s="613">
        <f>IFERROR(VLOOKUP(M692,'02. MM-KLH'!$B$6:$T$823,18,0),"")</f>
        <v>203079</v>
      </c>
      <c r="L692" s="353">
        <f>IFERROR(VLOOKUP(M692,'02. MM-KLH'!$B$6:$T$823,4,0),"")</f>
        <v>0</v>
      </c>
      <c r="M692" s="49" t="s">
        <v>1203</v>
      </c>
      <c r="N692" s="356">
        <f>IFERROR(VLOOKUP(M692,'02. MM-KLH'!$B$6:$T$823,15,0),"")</f>
        <v>2022</v>
      </c>
      <c r="O692" s="764" t="str">
        <f>IFERROR(VLOOKUP(M692,'02. MM-KLH'!$B$6:$T$823,9,0),"")</f>
        <v>24/07/2025</v>
      </c>
      <c r="P692" s="353"/>
      <c r="Q692" s="353"/>
      <c r="R692" s="353" t="s">
        <v>5978</v>
      </c>
      <c r="S692" s="353"/>
      <c r="T692" s="353"/>
      <c r="U692" s="353" t="str">
        <f>IFERROR(VLOOKUP(M692,'02. MM-KLH'!$B$6:$T$823,5,0),"")</f>
        <v>MỚI</v>
      </c>
      <c r="V692" s="731" t="str">
        <f>IFERROR(VLOOKUP(M692,'02. MM-KLH'!$B$6:$T$823,8,0),"")</f>
        <v>XN Chuối DP1</v>
      </c>
      <c r="W692" s="353" t="str">
        <f>IFERROR(VLOOKUP(V692,'NS QUẢN LÝ CG'!$A$4:$D$36,2,0),"")</f>
        <v/>
      </c>
      <c r="X692" s="353" t="str">
        <f>IFERROR(VLOOKUP(V692,'NS QUẢN LÝ CG'!$A$4:$D$36,4,0),"")</f>
        <v/>
      </c>
      <c r="Y692" s="353" t="str">
        <f>IFERROR(VLOOKUP(V692,'NS QUẢN LÝ CG'!$A$4:$C$36,3,0),"")</f>
        <v/>
      </c>
      <c r="Z692" s="731" t="str">
        <f>IFERROR(VLOOKUP(M692,'02. MM-KLH'!$B$6:$T$823,3,0),"")</f>
        <v>A23-CLT-003</v>
      </c>
      <c r="AA692" s="353" t="str">
        <f t="shared" si="47"/>
        <v>DP</v>
      </c>
      <c r="AB692" s="731"/>
      <c r="AC692" s="731"/>
    </row>
    <row r="693" ht="13.8" spans="1:29">
      <c r="A693" s="731"/>
      <c r="B693" s="613" t="str">
        <f>IFERROR(VLOOKUP(M693,'02. MM-KLH'!$B$6:$T$823,6,0),"")</f>
        <v>Xe clethon</v>
      </c>
      <c r="C693" s="353">
        <v>1</v>
      </c>
      <c r="D693" s="353" t="str">
        <f>IFERROR(VLOOKUP(M693,'02. MM-KLH'!$B$6:$T$823,16,0),"")</f>
        <v>TF150NL-PR2</v>
      </c>
      <c r="E693" s="353" t="s">
        <v>5978</v>
      </c>
      <c r="F693" s="353"/>
      <c r="G693" s="353"/>
      <c r="H693" s="353" t="str">
        <f>IFERROR(VLOOKUP(M693,'02. MM-KLH'!$B$6:$T$823,17,0),"")</f>
        <v>15HP</v>
      </c>
      <c r="I693" s="763">
        <f>IFERROR(VLOOKUP(M693,'02. MM-KLH'!$B$6:$U$823,20,0),"")</f>
        <v>0.5</v>
      </c>
      <c r="J693" s="613" t="str">
        <f>IFERROR(VLOOKUP(M693,'02. MM-KLH'!$B$6:$T$823,19,0),"")</f>
        <v>C0845C</v>
      </c>
      <c r="K693" s="613">
        <f>IFERROR(VLOOKUP(M693,'02. MM-KLH'!$B$6:$T$823,18,0),"")</f>
        <v>203080</v>
      </c>
      <c r="L693" s="353">
        <f>IFERROR(VLOOKUP(M693,'02. MM-KLH'!$B$6:$T$823,4,0),"")</f>
        <v>0</v>
      </c>
      <c r="M693" s="49" t="s">
        <v>1206</v>
      </c>
      <c r="N693" s="356">
        <f>IFERROR(VLOOKUP(M693,'02. MM-KLH'!$B$6:$T$823,15,0),"")</f>
        <v>2022</v>
      </c>
      <c r="O693" s="764" t="str">
        <f>IFERROR(VLOOKUP(M693,'02. MM-KLH'!$B$6:$T$823,9,0),"")</f>
        <v>24/07/2025</v>
      </c>
      <c r="P693" s="353"/>
      <c r="Q693" s="353"/>
      <c r="R693" s="353" t="s">
        <v>5978</v>
      </c>
      <c r="S693" s="353"/>
      <c r="T693" s="353"/>
      <c r="U693" s="353" t="str">
        <f>IFERROR(VLOOKUP(M693,'02. MM-KLH'!$B$6:$T$823,5,0),"")</f>
        <v>MỚI</v>
      </c>
      <c r="V693" s="731" t="str">
        <f>IFERROR(VLOOKUP(M693,'02. MM-KLH'!$B$6:$T$823,8,0),"")</f>
        <v>XN Chuối DP1</v>
      </c>
      <c r="W693" s="353" t="str">
        <f>IFERROR(VLOOKUP(V693,'NS QUẢN LÝ CG'!$A$4:$D$36,2,0),"")</f>
        <v/>
      </c>
      <c r="X693" s="353" t="str">
        <f>IFERROR(VLOOKUP(V693,'NS QUẢN LÝ CG'!$A$4:$D$36,4,0),"")</f>
        <v/>
      </c>
      <c r="Y693" s="353" t="str">
        <f>IFERROR(VLOOKUP(V693,'NS QUẢN LÝ CG'!$A$4:$C$36,3,0),"")</f>
        <v/>
      </c>
      <c r="Z693" s="731" t="str">
        <f>IFERROR(VLOOKUP(M693,'02. MM-KLH'!$B$6:$T$823,3,0),"")</f>
        <v>A23-CLT-004</v>
      </c>
      <c r="AA693" s="353" t="str">
        <f t="shared" si="47"/>
        <v>DP</v>
      </c>
      <c r="AB693" s="731"/>
      <c r="AC693" s="731"/>
    </row>
    <row r="694" ht="13.8" spans="1:29">
      <c r="A694" s="731"/>
      <c r="B694" s="613" t="str">
        <f>IFERROR(VLOOKUP(M694,'02. MM-KLH'!$B$6:$T$823,6,0),"")</f>
        <v>Xe clethon</v>
      </c>
      <c r="C694" s="353">
        <v>1</v>
      </c>
      <c r="D694" s="353" t="str">
        <f>IFERROR(VLOOKUP(M694,'02. MM-KLH'!$B$6:$T$823,16,0),"")</f>
        <v>TF150NL-PR2</v>
      </c>
      <c r="E694" s="353" t="s">
        <v>5978</v>
      </c>
      <c r="F694" s="353"/>
      <c r="G694" s="353"/>
      <c r="H694" s="353" t="str">
        <f>IFERROR(VLOOKUP(M694,'02. MM-KLH'!$B$6:$T$823,17,0),"")</f>
        <v>15HP</v>
      </c>
      <c r="I694" s="763">
        <f>IFERROR(VLOOKUP(M694,'02. MM-KLH'!$B$6:$U$823,20,0),"")</f>
        <v>0.5</v>
      </c>
      <c r="J694" s="613" t="str">
        <f>IFERROR(VLOOKUP(M694,'02. MM-KLH'!$B$6:$T$823,19,0),"")</f>
        <v>B0518M</v>
      </c>
      <c r="K694" s="613">
        <f>IFERROR(VLOOKUP(M694,'02. MM-KLH'!$B$6:$T$823,18,0),"")</f>
        <v>203082</v>
      </c>
      <c r="L694" s="353">
        <f>IFERROR(VLOOKUP(M694,'02. MM-KLH'!$B$6:$T$823,4,0),"")</f>
        <v>0</v>
      </c>
      <c r="M694" s="49" t="s">
        <v>1209</v>
      </c>
      <c r="N694" s="356">
        <f>IFERROR(VLOOKUP(M694,'02. MM-KLH'!$B$6:$T$823,15,0),"")</f>
        <v>2022</v>
      </c>
      <c r="O694" s="764" t="str">
        <f>IFERROR(VLOOKUP(M694,'02. MM-KLH'!$B$6:$T$823,9,0),"")</f>
        <v>24/07/2025</v>
      </c>
      <c r="P694" s="353"/>
      <c r="Q694" s="353"/>
      <c r="R694" s="353" t="s">
        <v>5978</v>
      </c>
      <c r="S694" s="353"/>
      <c r="T694" s="353"/>
      <c r="U694" s="353" t="str">
        <f>IFERROR(VLOOKUP(M694,'02. MM-KLH'!$B$6:$T$823,5,0),"")</f>
        <v>MỚI</v>
      </c>
      <c r="V694" s="731" t="str">
        <f>IFERROR(VLOOKUP(M694,'02. MM-KLH'!$B$6:$T$823,8,0),"")</f>
        <v>XN Chuối DP1</v>
      </c>
      <c r="W694" s="353" t="str">
        <f>IFERROR(VLOOKUP(V694,'NS QUẢN LÝ CG'!$A$4:$D$36,2,0),"")</f>
        <v/>
      </c>
      <c r="X694" s="353" t="str">
        <f>IFERROR(VLOOKUP(V694,'NS QUẢN LÝ CG'!$A$4:$D$36,4,0),"")</f>
        <v/>
      </c>
      <c r="Y694" s="353" t="str">
        <f>IFERROR(VLOOKUP(V694,'NS QUẢN LÝ CG'!$A$4:$C$36,3,0),"")</f>
        <v/>
      </c>
      <c r="Z694" s="731" t="str">
        <f>IFERROR(VLOOKUP(M694,'02. MM-KLH'!$B$6:$T$823,3,0),"")</f>
        <v>A23-CLT-005</v>
      </c>
      <c r="AA694" s="353" t="str">
        <f t="shared" si="47"/>
        <v>DP</v>
      </c>
      <c r="AB694" s="731"/>
      <c r="AC694" s="731"/>
    </row>
    <row r="695" ht="13.8" spans="1:29">
      <c r="A695" s="731"/>
      <c r="B695" s="613" t="str">
        <f>IFERROR(VLOOKUP(M695,'02. MM-KLH'!$B$6:$T$823,6,0),"")</f>
        <v>Xe clethon</v>
      </c>
      <c r="C695" s="353">
        <v>1</v>
      </c>
      <c r="D695" s="353" t="str">
        <f>IFERROR(VLOOKUP(M695,'02. MM-KLH'!$B$6:$T$823,16,0),"")</f>
        <v>TF150NL-PR2</v>
      </c>
      <c r="E695" s="353" t="s">
        <v>5978</v>
      </c>
      <c r="F695" s="353"/>
      <c r="G695" s="353"/>
      <c r="H695" s="353" t="str">
        <f>IFERROR(VLOOKUP(M695,'02. MM-KLH'!$B$6:$T$823,17,0),"")</f>
        <v>15HP</v>
      </c>
      <c r="I695" s="763">
        <f>IFERROR(VLOOKUP(M695,'02. MM-KLH'!$B$6:$U$823,20,0),"")</f>
        <v>0.5</v>
      </c>
      <c r="J695" s="613" t="str">
        <f>IFERROR(VLOOKUP(M695,'02. MM-KLH'!$B$6:$T$823,19,0),"")</f>
        <v>B2229L</v>
      </c>
      <c r="K695" s="613">
        <f>IFERROR(VLOOKUP(M695,'02. MM-KLH'!$B$6:$T$823,18,0),"")</f>
        <v>203050</v>
      </c>
      <c r="L695" s="353">
        <f>IFERROR(VLOOKUP(M695,'02. MM-KLH'!$B$6:$T$823,4,0),"")</f>
        <v>0</v>
      </c>
      <c r="M695" s="49" t="s">
        <v>1306</v>
      </c>
      <c r="N695" s="356">
        <f>IFERROR(VLOOKUP(M695,'02. MM-KLH'!$B$6:$T$823,15,0),"")</f>
        <v>2022</v>
      </c>
      <c r="O695" s="764" t="str">
        <f>IFERROR(VLOOKUP(M695,'02. MM-KLH'!$B$6:$T$823,9,0),"")</f>
        <v>24/07/2025</v>
      </c>
      <c r="P695" s="353"/>
      <c r="Q695" s="353"/>
      <c r="R695" s="353" t="s">
        <v>5978</v>
      </c>
      <c r="S695" s="353"/>
      <c r="T695" s="353"/>
      <c r="U695" s="353" t="str">
        <f>IFERROR(VLOOKUP(M695,'02. MM-KLH'!$B$6:$T$823,5,0),"")</f>
        <v> MỚI</v>
      </c>
      <c r="V695" s="731" t="str">
        <f>IFERROR(VLOOKUP(M695,'02. MM-KLH'!$B$6:$T$823,8,0),"")</f>
        <v>XN Chuối DP2</v>
      </c>
      <c r="W695" s="353" t="str">
        <f>IFERROR(VLOOKUP(V695,'NS QUẢN LÝ CG'!$A$4:$D$36,2,0),"")</f>
        <v/>
      </c>
      <c r="X695" s="353" t="str">
        <f>IFERROR(VLOOKUP(V695,'NS QUẢN LÝ CG'!$A$4:$D$36,4,0),"")</f>
        <v/>
      </c>
      <c r="Y695" s="353" t="str">
        <f>IFERROR(VLOOKUP(V695,'NS QUẢN LÝ CG'!$A$4:$C$36,3,0),"")</f>
        <v/>
      </c>
      <c r="Z695" s="731" t="str">
        <f>IFERROR(VLOOKUP(M695,'02. MM-KLH'!$B$6:$T$823,3,0),"")</f>
        <v>A23-CLT-006</v>
      </c>
      <c r="AA695" s="353" t="str">
        <f t="shared" si="47"/>
        <v>DP</v>
      </c>
      <c r="AB695" s="731"/>
      <c r="AC695" s="731"/>
    </row>
    <row r="696" ht="13.8" spans="1:29">
      <c r="A696" s="731"/>
      <c r="B696" s="613" t="str">
        <f>IFERROR(VLOOKUP(M696,'02. MM-KLH'!$B$6:$T$823,6,0),"")</f>
        <v>Xe clethon</v>
      </c>
      <c r="C696" s="353">
        <v>1</v>
      </c>
      <c r="D696" s="353" t="str">
        <f>IFERROR(VLOOKUP(M696,'02. MM-KLH'!$B$6:$T$823,16,0),"")</f>
        <v>TF150NL-PR2</v>
      </c>
      <c r="E696" s="353" t="s">
        <v>5978</v>
      </c>
      <c r="F696" s="353"/>
      <c r="G696" s="353"/>
      <c r="H696" s="353" t="str">
        <f>IFERROR(VLOOKUP(M696,'02. MM-KLH'!$B$6:$T$823,17,0),"")</f>
        <v>15HP</v>
      </c>
      <c r="I696" s="763">
        <f>IFERROR(VLOOKUP(M696,'02. MM-KLH'!$B$6:$U$823,20,0),"")</f>
        <v>0.5</v>
      </c>
      <c r="J696" s="613" t="str">
        <f>IFERROR(VLOOKUP(M696,'02. MM-KLH'!$B$6:$T$823,19,0),"")</f>
        <v>B1314M</v>
      </c>
      <c r="K696" s="613">
        <f>IFERROR(VLOOKUP(M696,'02. MM-KLH'!$B$6:$T$823,18,0),"")</f>
        <v>203054</v>
      </c>
      <c r="L696" s="353">
        <f>IFERROR(VLOOKUP(M696,'02. MM-KLH'!$B$6:$T$823,4,0),"")</f>
        <v>0</v>
      </c>
      <c r="M696" s="49" t="s">
        <v>1309</v>
      </c>
      <c r="N696" s="356">
        <f>IFERROR(VLOOKUP(M696,'02. MM-KLH'!$B$6:$T$823,15,0),"")</f>
        <v>2022</v>
      </c>
      <c r="O696" s="764" t="str">
        <f>IFERROR(VLOOKUP(M696,'02. MM-KLH'!$B$6:$T$823,9,0),"")</f>
        <v>24/07/2025</v>
      </c>
      <c r="P696" s="353"/>
      <c r="Q696" s="353"/>
      <c r="R696" s="353" t="s">
        <v>5978</v>
      </c>
      <c r="S696" s="353"/>
      <c r="T696" s="353"/>
      <c r="U696" s="353" t="str">
        <f>IFERROR(VLOOKUP(M696,'02. MM-KLH'!$B$6:$T$823,5,0),"")</f>
        <v> MỚI</v>
      </c>
      <c r="V696" s="731" t="str">
        <f>IFERROR(VLOOKUP(M696,'02. MM-KLH'!$B$6:$T$823,8,0),"")</f>
        <v>XN Chuối DP2</v>
      </c>
      <c r="W696" s="353" t="str">
        <f>IFERROR(VLOOKUP(V696,'NS QUẢN LÝ CG'!$A$4:$D$36,2,0),"")</f>
        <v/>
      </c>
      <c r="X696" s="353" t="str">
        <f>IFERROR(VLOOKUP(V696,'NS QUẢN LÝ CG'!$A$4:$D$36,4,0),"")</f>
        <v/>
      </c>
      <c r="Y696" s="353" t="str">
        <f>IFERROR(VLOOKUP(V696,'NS QUẢN LÝ CG'!$A$4:$C$36,3,0),"")</f>
        <v/>
      </c>
      <c r="Z696" s="731" t="str">
        <f>IFERROR(VLOOKUP(M696,'02. MM-KLH'!$B$6:$T$823,3,0),"")</f>
        <v>A23-CLT-007</v>
      </c>
      <c r="AA696" s="353" t="str">
        <f t="shared" si="47"/>
        <v>DP</v>
      </c>
      <c r="AB696" s="731"/>
      <c r="AC696" s="731"/>
    </row>
    <row r="697" ht="13.8" spans="1:29">
      <c r="A697" s="731"/>
      <c r="B697" s="613" t="str">
        <f>IFERROR(VLOOKUP(M697,'02. MM-KLH'!$B$6:$T$823,6,0),"")</f>
        <v>Xe clethon</v>
      </c>
      <c r="C697" s="353">
        <v>1</v>
      </c>
      <c r="D697" s="353" t="str">
        <f>IFERROR(VLOOKUP(M697,'02. MM-KLH'!$B$6:$T$823,16,0),"")</f>
        <v>TF150NL-PR2</v>
      </c>
      <c r="E697" s="353" t="s">
        <v>5978</v>
      </c>
      <c r="F697" s="353"/>
      <c r="G697" s="353"/>
      <c r="H697" s="353" t="str">
        <f>IFERROR(VLOOKUP(M697,'02. MM-KLH'!$B$6:$T$823,17,0),"")</f>
        <v>15HP</v>
      </c>
      <c r="I697" s="763">
        <f>IFERROR(VLOOKUP(M697,'02. MM-KLH'!$B$6:$U$823,20,0),"")</f>
        <v>0.5</v>
      </c>
      <c r="J697" s="613" t="str">
        <f>IFERROR(VLOOKUP(M697,'02. MM-KLH'!$B$6:$T$823,19,0),"")</f>
        <v>B2099L</v>
      </c>
      <c r="K697" s="613">
        <f>IFERROR(VLOOKUP(M697,'02. MM-KLH'!$B$6:$T$823,18,0),"")</f>
        <v>203068</v>
      </c>
      <c r="L697" s="353">
        <f>IFERROR(VLOOKUP(M697,'02. MM-KLH'!$B$6:$T$823,4,0),"")</f>
        <v>0</v>
      </c>
      <c r="M697" s="49" t="s">
        <v>1312</v>
      </c>
      <c r="N697" s="356">
        <f>IFERROR(VLOOKUP(M697,'02. MM-KLH'!$B$6:$T$823,15,0),"")</f>
        <v>2022</v>
      </c>
      <c r="O697" s="764" t="str">
        <f>IFERROR(VLOOKUP(M697,'02. MM-KLH'!$B$6:$T$823,9,0),"")</f>
        <v>24/07/2025</v>
      </c>
      <c r="P697" s="353"/>
      <c r="Q697" s="353"/>
      <c r="R697" s="353"/>
      <c r="S697" s="353" t="s">
        <v>5978</v>
      </c>
      <c r="T697" s="353"/>
      <c r="U697" s="353" t="str">
        <f>IFERROR(VLOOKUP(M697,'02. MM-KLH'!$B$6:$T$823,5,0),"")</f>
        <v> MỚI</v>
      </c>
      <c r="V697" s="731" t="str">
        <f>IFERROR(VLOOKUP(M697,'02. MM-KLH'!$B$6:$T$823,8,0),"")</f>
        <v>XN Chuối DP2</v>
      </c>
      <c r="W697" s="353" t="str">
        <f>IFERROR(VLOOKUP(V697,'NS QUẢN LÝ CG'!$A$4:$D$36,2,0),"")</f>
        <v/>
      </c>
      <c r="X697" s="353" t="str">
        <f>IFERROR(VLOOKUP(V697,'NS QUẢN LÝ CG'!$A$4:$D$36,4,0),"")</f>
        <v/>
      </c>
      <c r="Y697" s="353" t="str">
        <f>IFERROR(VLOOKUP(V697,'NS QUẢN LÝ CG'!$A$4:$C$36,3,0),"")</f>
        <v/>
      </c>
      <c r="Z697" s="731" t="str">
        <f>IFERROR(VLOOKUP(M697,'02. MM-KLH'!$B$6:$T$823,3,0),"")</f>
        <v>A23-CLT-008</v>
      </c>
      <c r="AA697" s="353" t="str">
        <f t="shared" si="47"/>
        <v>DP</v>
      </c>
      <c r="AB697" s="731"/>
      <c r="AC697" s="731"/>
    </row>
    <row r="698" ht="13.8" spans="1:29">
      <c r="A698" s="731"/>
      <c r="B698" s="613" t="str">
        <f>IFERROR(VLOOKUP(M698,'02. MM-KLH'!$B$6:$T$823,6,0),"")</f>
        <v>Xe clethon</v>
      </c>
      <c r="C698" s="353">
        <v>1</v>
      </c>
      <c r="D698" s="353" t="str">
        <f>IFERROR(VLOOKUP(M698,'02. MM-KLH'!$B$6:$T$823,16,0),"")</f>
        <v>TF150NL-PR2</v>
      </c>
      <c r="E698" s="353" t="s">
        <v>5978</v>
      </c>
      <c r="F698" s="353"/>
      <c r="G698" s="353"/>
      <c r="H698" s="353" t="str">
        <f>IFERROR(VLOOKUP(M698,'02. MM-KLH'!$B$6:$T$823,17,0),"")</f>
        <v>15HP</v>
      </c>
      <c r="I698" s="763">
        <f>IFERROR(VLOOKUP(M698,'02. MM-KLH'!$B$6:$U$823,20,0),"")</f>
        <v>0.5</v>
      </c>
      <c r="J698" s="613" t="str">
        <f>IFERROR(VLOOKUP(M698,'02. MM-KLH'!$B$6:$T$823,19,0),"")</f>
        <v>B2151L</v>
      </c>
      <c r="K698" s="613">
        <f>IFERROR(VLOOKUP(M698,'02. MM-KLH'!$B$6:$T$823,18,0),"")</f>
        <v>203075</v>
      </c>
      <c r="L698" s="353">
        <f>IFERROR(VLOOKUP(M698,'02. MM-KLH'!$B$6:$T$823,4,0),"")</f>
        <v>0</v>
      </c>
      <c r="M698" s="49" t="s">
        <v>1315</v>
      </c>
      <c r="N698" s="356">
        <f>IFERROR(VLOOKUP(M698,'02. MM-KLH'!$B$6:$T$823,15,0),"")</f>
        <v>2022</v>
      </c>
      <c r="O698" s="764" t="str">
        <f>IFERROR(VLOOKUP(M698,'02. MM-KLH'!$B$6:$T$823,9,0),"")</f>
        <v>24/07/2025</v>
      </c>
      <c r="P698" s="353"/>
      <c r="Q698" s="353"/>
      <c r="R698" s="353"/>
      <c r="S698" s="353" t="s">
        <v>5978</v>
      </c>
      <c r="T698" s="353"/>
      <c r="U698" s="353" t="str">
        <f>IFERROR(VLOOKUP(M698,'02. MM-KLH'!$B$6:$T$823,5,0),"")</f>
        <v> MỚI</v>
      </c>
      <c r="V698" s="731" t="str">
        <f>IFERROR(VLOOKUP(M698,'02. MM-KLH'!$B$6:$T$823,8,0),"")</f>
        <v>XN Chuối DP2</v>
      </c>
      <c r="W698" s="353" t="str">
        <f>IFERROR(VLOOKUP(V698,'NS QUẢN LÝ CG'!$A$4:$D$36,2,0),"")</f>
        <v/>
      </c>
      <c r="X698" s="353" t="str">
        <f>IFERROR(VLOOKUP(V698,'NS QUẢN LÝ CG'!$A$4:$D$36,4,0),"")</f>
        <v/>
      </c>
      <c r="Y698" s="353" t="str">
        <f>IFERROR(VLOOKUP(V698,'NS QUẢN LÝ CG'!$A$4:$C$36,3,0),"")</f>
        <v/>
      </c>
      <c r="Z698" s="731" t="str">
        <f>IFERROR(VLOOKUP(M698,'02. MM-KLH'!$B$6:$T$823,3,0),"")</f>
        <v>A23-CLT-009</v>
      </c>
      <c r="AA698" s="353" t="str">
        <f t="shared" si="47"/>
        <v>DP</v>
      </c>
      <c r="AB698" s="731"/>
      <c r="AC698" s="731"/>
    </row>
    <row r="699" ht="13.8" spans="1:29">
      <c r="A699" s="731"/>
      <c r="B699" s="613" t="str">
        <f>IFERROR(VLOOKUP(M699,'02. MM-KLH'!$B$6:$T$823,6,0),"")</f>
        <v>Xe clethon</v>
      </c>
      <c r="C699" s="353">
        <v>1</v>
      </c>
      <c r="D699" s="353" t="str">
        <f>IFERROR(VLOOKUP(M699,'02. MM-KLH'!$B$6:$T$823,16,0),"")</f>
        <v>TF150NL-PR2</v>
      </c>
      <c r="E699" s="353" t="s">
        <v>5978</v>
      </c>
      <c r="F699" s="353"/>
      <c r="G699" s="353"/>
      <c r="H699" s="353" t="str">
        <f>IFERROR(VLOOKUP(M699,'02. MM-KLH'!$B$6:$T$823,17,0),"")</f>
        <v>15HP</v>
      </c>
      <c r="I699" s="763">
        <f>IFERROR(VLOOKUP(M699,'02. MM-KLH'!$B$6:$U$823,20,0),"")</f>
        <v>0.5</v>
      </c>
      <c r="J699" s="613" t="str">
        <f>IFERROR(VLOOKUP(M699,'02. MM-KLH'!$B$6:$T$823,19,0),"")</f>
        <v>C0853C</v>
      </c>
      <c r="K699" s="613">
        <f>IFERROR(VLOOKUP(M699,'02. MM-KLH'!$B$6:$T$823,18,0),"")</f>
        <v>203086</v>
      </c>
      <c r="L699" s="353">
        <f>IFERROR(VLOOKUP(M699,'02. MM-KLH'!$B$6:$T$823,4,0),"")</f>
        <v>0</v>
      </c>
      <c r="M699" s="49" t="s">
        <v>1318</v>
      </c>
      <c r="N699" s="356">
        <f>IFERROR(VLOOKUP(M699,'02. MM-KLH'!$B$6:$T$823,15,0),"")</f>
        <v>2022</v>
      </c>
      <c r="O699" s="764" t="str">
        <f>IFERROR(VLOOKUP(M699,'02. MM-KLH'!$B$6:$T$823,9,0),"")</f>
        <v>24/07/2025</v>
      </c>
      <c r="P699" s="353"/>
      <c r="Q699" s="353"/>
      <c r="R699" s="353"/>
      <c r="S699" s="353" t="s">
        <v>5978</v>
      </c>
      <c r="T699" s="353"/>
      <c r="U699" s="353" t="str">
        <f>IFERROR(VLOOKUP(M699,'02. MM-KLH'!$B$6:$T$823,5,0),"")</f>
        <v> MỚI</v>
      </c>
      <c r="V699" s="731" t="str">
        <f>IFERROR(VLOOKUP(M699,'02. MM-KLH'!$B$6:$T$823,8,0),"")</f>
        <v>XN Chuối DP2</v>
      </c>
      <c r="W699" s="353" t="str">
        <f>IFERROR(VLOOKUP(V699,'NS QUẢN LÝ CG'!$A$4:$D$36,2,0),"")</f>
        <v/>
      </c>
      <c r="X699" s="353" t="str">
        <f>IFERROR(VLOOKUP(V699,'NS QUẢN LÝ CG'!$A$4:$D$36,4,0),"")</f>
        <v/>
      </c>
      <c r="Y699" s="353" t="str">
        <f>IFERROR(VLOOKUP(V699,'NS QUẢN LÝ CG'!$A$4:$C$36,3,0),"")</f>
        <v/>
      </c>
      <c r="Z699" s="731" t="str">
        <f>IFERROR(VLOOKUP(M699,'02. MM-KLH'!$B$6:$T$823,3,0),"")</f>
        <v>A23-CLT-010</v>
      </c>
      <c r="AA699" s="353" t="str">
        <f t="shared" si="47"/>
        <v>DP</v>
      </c>
      <c r="AB699" s="731"/>
      <c r="AC699" s="731"/>
    </row>
    <row r="700" ht="13.8" spans="1:29">
      <c r="A700" s="731"/>
      <c r="B700" s="613" t="str">
        <f>IFERROR(VLOOKUP(M700,'02. MM-KLH'!$B$6:$T$823,6,0),"")</f>
        <v>Xe clethon</v>
      </c>
      <c r="C700" s="353">
        <v>1</v>
      </c>
      <c r="D700" s="353" t="str">
        <f>IFERROR(VLOOKUP(M700,'02. MM-KLH'!$B$6:$T$823,16,0),"")</f>
        <v>TF150NL-PR2</v>
      </c>
      <c r="E700" s="353" t="s">
        <v>5978</v>
      </c>
      <c r="F700" s="353"/>
      <c r="G700" s="353"/>
      <c r="H700" s="353" t="str">
        <f>IFERROR(VLOOKUP(M700,'02. MM-KLH'!$B$6:$T$823,17,0),"")</f>
        <v>15HP</v>
      </c>
      <c r="I700" s="763">
        <f>IFERROR(VLOOKUP(M700,'02. MM-KLH'!$B$6:$U$823,20,0),"")</f>
        <v>0.5</v>
      </c>
      <c r="J700" s="613" t="str">
        <f>IFERROR(VLOOKUP(M700,'02. MM-KLH'!$B$6:$T$823,19,0),"")</f>
        <v>B1541L</v>
      </c>
      <c r="K700" s="613">
        <f>IFERROR(VLOOKUP(M700,'02. MM-KLH'!$B$6:$T$823,18,0),"")</f>
        <v>203055</v>
      </c>
      <c r="L700" s="353">
        <f>IFERROR(VLOOKUP(M700,'02. MM-KLH'!$B$6:$T$823,4,0),"")</f>
        <v>0</v>
      </c>
      <c r="M700" s="49" t="s">
        <v>1419</v>
      </c>
      <c r="N700" s="356">
        <f>IFERROR(VLOOKUP(M700,'02. MM-KLH'!$B$6:$T$823,15,0),"")</f>
        <v>2022</v>
      </c>
      <c r="O700" s="764" t="str">
        <f>IFERROR(VLOOKUP(M700,'02. MM-KLH'!$B$6:$T$823,9,0),"")</f>
        <v>24/07/2025</v>
      </c>
      <c r="P700" s="353"/>
      <c r="Q700" s="353"/>
      <c r="R700" s="353"/>
      <c r="S700" s="353" t="s">
        <v>5978</v>
      </c>
      <c r="T700" s="353"/>
      <c r="U700" s="353" t="str">
        <f>IFERROR(VLOOKUP(M700,'02. MM-KLH'!$B$6:$T$823,5,0),"")</f>
        <v>MỚI</v>
      </c>
      <c r="V700" s="731" t="str">
        <f>IFERROR(VLOOKUP(M700,'02. MM-KLH'!$B$6:$T$823,8,0),"")</f>
        <v>XN Chuối DP3</v>
      </c>
      <c r="W700" s="353" t="str">
        <f>IFERROR(VLOOKUP(V700,'NS QUẢN LÝ CG'!$A$4:$D$36,2,0),"")</f>
        <v/>
      </c>
      <c r="X700" s="353" t="str">
        <f>IFERROR(VLOOKUP(V700,'NS QUẢN LÝ CG'!$A$4:$D$36,4,0),"")</f>
        <v/>
      </c>
      <c r="Y700" s="353" t="str">
        <f>IFERROR(VLOOKUP(V700,'NS QUẢN LÝ CG'!$A$4:$C$36,3,0),"")</f>
        <v/>
      </c>
      <c r="Z700" s="731" t="str">
        <f>IFERROR(VLOOKUP(M700,'02. MM-KLH'!$B$6:$T$823,3,0),"")</f>
        <v>A23-CLT-011</v>
      </c>
      <c r="AA700" s="353" t="str">
        <f t="shared" si="47"/>
        <v>DP</v>
      </c>
      <c r="AB700" s="731"/>
      <c r="AC700" s="731"/>
    </row>
    <row r="701" ht="13.8" spans="1:29">
      <c r="A701" s="731"/>
      <c r="B701" s="613" t="str">
        <f>IFERROR(VLOOKUP(M701,'02. MM-KLH'!$B$6:$T$823,6,0),"")</f>
        <v>Xe clethon</v>
      </c>
      <c r="C701" s="353">
        <v>1</v>
      </c>
      <c r="D701" s="353" t="str">
        <f>IFERROR(VLOOKUP(M701,'02. MM-KLH'!$B$6:$T$823,16,0),"")</f>
        <v>TF150NL-PR2</v>
      </c>
      <c r="E701" s="353" t="s">
        <v>5978</v>
      </c>
      <c r="F701" s="353"/>
      <c r="G701" s="353"/>
      <c r="H701" s="353" t="str">
        <f>IFERROR(VLOOKUP(M701,'02. MM-KLH'!$B$6:$T$823,17,0),"")</f>
        <v>15HP</v>
      </c>
      <c r="I701" s="763">
        <f>IFERROR(VLOOKUP(M701,'02. MM-KLH'!$B$6:$U$823,20,0),"")</f>
        <v>0.5</v>
      </c>
      <c r="J701" s="613" t="str">
        <f>IFERROR(VLOOKUP(M701,'02. MM-KLH'!$B$6:$T$823,19,0),"")</f>
        <v>B2128L</v>
      </c>
      <c r="K701" s="613">
        <f>IFERROR(VLOOKUP(M701,'02. MM-KLH'!$B$6:$T$823,18,0),"")</f>
        <v>203059</v>
      </c>
      <c r="L701" s="353">
        <f>IFERROR(VLOOKUP(M701,'02. MM-KLH'!$B$6:$T$823,4,0),"")</f>
        <v>0</v>
      </c>
      <c r="M701" s="49" t="s">
        <v>1422</v>
      </c>
      <c r="N701" s="356">
        <f>IFERROR(VLOOKUP(M701,'02. MM-KLH'!$B$6:$T$823,15,0),"")</f>
        <v>2022</v>
      </c>
      <c r="O701" s="764" t="str">
        <f>IFERROR(VLOOKUP(M701,'02. MM-KLH'!$B$6:$T$823,9,0),"")</f>
        <v>24/07/2025</v>
      </c>
      <c r="P701" s="353"/>
      <c r="Q701" s="353"/>
      <c r="R701" s="353" t="s">
        <v>5978</v>
      </c>
      <c r="S701" s="353"/>
      <c r="T701" s="353"/>
      <c r="U701" s="353" t="str">
        <f>IFERROR(VLOOKUP(M701,'02. MM-KLH'!$B$6:$T$823,5,0),"")</f>
        <v>MỚI</v>
      </c>
      <c r="V701" s="731" t="str">
        <f>IFERROR(VLOOKUP(M701,'02. MM-KLH'!$B$6:$T$823,8,0),"")</f>
        <v>XN Chuối DP3</v>
      </c>
      <c r="W701" s="353" t="str">
        <f>IFERROR(VLOOKUP(V701,'NS QUẢN LÝ CG'!$A$4:$D$36,2,0),"")</f>
        <v/>
      </c>
      <c r="X701" s="353" t="str">
        <f>IFERROR(VLOOKUP(V701,'NS QUẢN LÝ CG'!$A$4:$D$36,4,0),"")</f>
        <v/>
      </c>
      <c r="Y701" s="353" t="str">
        <f>IFERROR(VLOOKUP(V701,'NS QUẢN LÝ CG'!$A$4:$C$36,3,0),"")</f>
        <v/>
      </c>
      <c r="Z701" s="731" t="str">
        <f>IFERROR(VLOOKUP(M701,'02. MM-KLH'!$B$6:$T$823,3,0),"")</f>
        <v>A23-CLT-012</v>
      </c>
      <c r="AA701" s="353" t="str">
        <f t="shared" si="47"/>
        <v>DP</v>
      </c>
      <c r="AB701" s="731"/>
      <c r="AC701" s="731"/>
    </row>
    <row r="702" ht="13.8" spans="1:29">
      <c r="A702" s="731"/>
      <c r="B702" s="613" t="str">
        <f>IFERROR(VLOOKUP(M702,'02. MM-KLH'!$B$6:$T$823,6,0),"")</f>
        <v>Xe clethon</v>
      </c>
      <c r="C702" s="353">
        <v>1</v>
      </c>
      <c r="D702" s="353" t="str">
        <f>IFERROR(VLOOKUP(M702,'02. MM-KLH'!$B$6:$T$823,16,0),"")</f>
        <v>TF150NL-PR2</v>
      </c>
      <c r="E702" s="353" t="s">
        <v>5978</v>
      </c>
      <c r="F702" s="353"/>
      <c r="G702" s="353"/>
      <c r="H702" s="353" t="str">
        <f>IFERROR(VLOOKUP(M702,'02. MM-KLH'!$B$6:$T$823,17,0),"")</f>
        <v>15HP</v>
      </c>
      <c r="I702" s="763">
        <f>IFERROR(VLOOKUP(M702,'02. MM-KLH'!$B$6:$U$823,20,0),"")</f>
        <v>0.5</v>
      </c>
      <c r="J702" s="613" t="str">
        <f>IFERROR(VLOOKUP(M702,'02. MM-KLH'!$B$6:$T$823,19,0),"")</f>
        <v>B1316M</v>
      </c>
      <c r="K702" s="613">
        <f>IFERROR(VLOOKUP(M702,'02. MM-KLH'!$B$6:$T$823,18,0),"")</f>
        <v>203061</v>
      </c>
      <c r="L702" s="353">
        <f>IFERROR(VLOOKUP(M702,'02. MM-KLH'!$B$6:$T$823,4,0),"")</f>
        <v>0</v>
      </c>
      <c r="M702" s="49" t="s">
        <v>1425</v>
      </c>
      <c r="N702" s="356">
        <f>IFERROR(VLOOKUP(M702,'02. MM-KLH'!$B$6:$T$823,15,0),"")</f>
        <v>2022</v>
      </c>
      <c r="O702" s="764" t="str">
        <f>IFERROR(VLOOKUP(M702,'02. MM-KLH'!$B$6:$T$823,9,0),"")</f>
        <v>24/07/2025</v>
      </c>
      <c r="P702" s="353"/>
      <c r="Q702" s="353"/>
      <c r="R702" s="353" t="s">
        <v>5978</v>
      </c>
      <c r="S702" s="353"/>
      <c r="T702" s="353"/>
      <c r="U702" s="353" t="str">
        <f>IFERROR(VLOOKUP(M702,'02. MM-KLH'!$B$6:$T$823,5,0),"")</f>
        <v>MỚI</v>
      </c>
      <c r="V702" s="731" t="str">
        <f>IFERROR(VLOOKUP(M702,'02. MM-KLH'!$B$6:$T$823,8,0),"")</f>
        <v>XN Chuối DP3</v>
      </c>
      <c r="W702" s="353" t="str">
        <f>IFERROR(VLOOKUP(V702,'NS QUẢN LÝ CG'!$A$4:$D$36,2,0),"")</f>
        <v/>
      </c>
      <c r="X702" s="353" t="str">
        <f>IFERROR(VLOOKUP(V702,'NS QUẢN LÝ CG'!$A$4:$D$36,4,0),"")</f>
        <v/>
      </c>
      <c r="Y702" s="353" t="str">
        <f>IFERROR(VLOOKUP(V702,'NS QUẢN LÝ CG'!$A$4:$C$36,3,0),"")</f>
        <v/>
      </c>
      <c r="Z702" s="731" t="str">
        <f>IFERROR(VLOOKUP(M702,'02. MM-KLH'!$B$6:$T$823,3,0),"")</f>
        <v>A23-CLT-013</v>
      </c>
      <c r="AA702" s="353" t="str">
        <f t="shared" si="47"/>
        <v>DP</v>
      </c>
      <c r="AB702" s="731"/>
      <c r="AC702" s="731"/>
    </row>
    <row r="703" ht="13.8" spans="1:29">
      <c r="A703" s="731"/>
      <c r="B703" s="613" t="str">
        <f>IFERROR(VLOOKUP(M703,'02. MM-KLH'!$B$6:$T$823,6,0),"")</f>
        <v>Xe clethon</v>
      </c>
      <c r="C703" s="353">
        <v>1</v>
      </c>
      <c r="D703" s="353" t="str">
        <f>IFERROR(VLOOKUP(M703,'02. MM-KLH'!$B$6:$T$823,16,0),"")</f>
        <v>TF150NL-PR2</v>
      </c>
      <c r="E703" s="353" t="s">
        <v>5978</v>
      </c>
      <c r="F703" s="353"/>
      <c r="G703" s="353"/>
      <c r="H703" s="353" t="str">
        <f>IFERROR(VLOOKUP(M703,'02. MM-KLH'!$B$6:$T$823,17,0),"")</f>
        <v>15HP</v>
      </c>
      <c r="I703" s="763">
        <f>IFERROR(VLOOKUP(M703,'02. MM-KLH'!$B$6:$U$823,20,0),"")</f>
        <v>0.5</v>
      </c>
      <c r="J703" s="613" t="str">
        <f>IFERROR(VLOOKUP(M703,'02. MM-KLH'!$B$6:$T$823,19,0),"")</f>
        <v>C0870C</v>
      </c>
      <c r="K703" s="613">
        <f>IFERROR(VLOOKUP(M703,'02. MM-KLH'!$B$6:$T$823,18,0),"")</f>
        <v>203176</v>
      </c>
      <c r="L703" s="353">
        <f>IFERROR(VLOOKUP(M703,'02. MM-KLH'!$B$6:$T$823,4,0),"")</f>
        <v>0</v>
      </c>
      <c r="M703" s="49" t="s">
        <v>1428</v>
      </c>
      <c r="N703" s="356">
        <f>IFERROR(VLOOKUP(M703,'02. MM-KLH'!$B$6:$T$823,15,0),"")</f>
        <v>2022</v>
      </c>
      <c r="O703" s="764" t="str">
        <f>IFERROR(VLOOKUP(M703,'02. MM-KLH'!$B$6:$T$823,9,0),"")</f>
        <v>24/07/2025</v>
      </c>
      <c r="P703" s="353"/>
      <c r="Q703" s="353"/>
      <c r="R703" s="353" t="s">
        <v>5978</v>
      </c>
      <c r="S703" s="353"/>
      <c r="T703" s="353"/>
      <c r="U703" s="353" t="str">
        <f>IFERROR(VLOOKUP(M703,'02. MM-KLH'!$B$6:$T$823,5,0),"")</f>
        <v>MỚI</v>
      </c>
      <c r="V703" s="731" t="str">
        <f>IFERROR(VLOOKUP(M703,'02. MM-KLH'!$B$6:$T$823,8,0),"")</f>
        <v>XN Chuối DP3</v>
      </c>
      <c r="W703" s="353" t="str">
        <f>IFERROR(VLOOKUP(V703,'NS QUẢN LÝ CG'!$A$4:$D$36,2,0),"")</f>
        <v/>
      </c>
      <c r="X703" s="353" t="str">
        <f>IFERROR(VLOOKUP(V703,'NS QUẢN LÝ CG'!$A$4:$D$36,4,0),"")</f>
        <v/>
      </c>
      <c r="Y703" s="353" t="str">
        <f>IFERROR(VLOOKUP(V703,'NS QUẢN LÝ CG'!$A$4:$C$36,3,0),"")</f>
        <v/>
      </c>
      <c r="Z703" s="731" t="str">
        <f>IFERROR(VLOOKUP(M703,'02. MM-KLH'!$B$6:$T$823,3,0),"")</f>
        <v>A23-CLT-014</v>
      </c>
      <c r="AA703" s="353" t="str">
        <f t="shared" si="47"/>
        <v>DP</v>
      </c>
      <c r="AB703" s="731"/>
      <c r="AC703" s="731"/>
    </row>
    <row r="704" ht="13.8" spans="1:29">
      <c r="A704" s="731"/>
      <c r="B704" s="613" t="str">
        <f>IFERROR(VLOOKUP(M704,'02. MM-KLH'!$B$6:$T$823,6,0),"")</f>
        <v>Xe clethon</v>
      </c>
      <c r="C704" s="353">
        <v>1</v>
      </c>
      <c r="D704" s="353" t="str">
        <f>IFERROR(VLOOKUP(M704,'02. MM-KLH'!$B$6:$T$823,16,0),"")</f>
        <v>TF150NL-PR2</v>
      </c>
      <c r="E704" s="353" t="s">
        <v>5978</v>
      </c>
      <c r="F704" s="353"/>
      <c r="G704" s="353"/>
      <c r="H704" s="353" t="str">
        <f>IFERROR(VLOOKUP(M704,'02. MM-KLH'!$B$6:$T$823,17,0),"")</f>
        <v>15HP</v>
      </c>
      <c r="I704" s="763">
        <f>IFERROR(VLOOKUP(M704,'02. MM-KLH'!$B$6:$U$823,20,0),"")</f>
        <v>0.5</v>
      </c>
      <c r="J704" s="613" t="str">
        <f>IFERROR(VLOOKUP(M704,'02. MM-KLH'!$B$6:$T$823,19,0),"")</f>
        <v>B2165L</v>
      </c>
      <c r="K704" s="613">
        <f>IFERROR(VLOOKUP(M704,'02. MM-KLH'!$B$6:$T$823,18,0),"")</f>
        <v>203063</v>
      </c>
      <c r="L704" s="353">
        <f>IFERROR(VLOOKUP(M704,'02. MM-KLH'!$B$6:$T$823,4,0),"")</f>
        <v>0</v>
      </c>
      <c r="M704" s="49" t="s">
        <v>1693</v>
      </c>
      <c r="N704" s="356">
        <f>IFERROR(VLOOKUP(M704,'02. MM-KLH'!$B$6:$T$823,15,0),"")</f>
        <v>2022</v>
      </c>
      <c r="O704" s="764" t="str">
        <f>IFERROR(VLOOKUP(M704,'02. MM-KLH'!$B$6:$T$823,9,0),"")</f>
        <v>24/07/2025</v>
      </c>
      <c r="P704" s="353"/>
      <c r="Q704" s="353"/>
      <c r="R704" s="353" t="s">
        <v>5978</v>
      </c>
      <c r="S704" s="353"/>
      <c r="T704" s="353"/>
      <c r="U704" s="353" t="str">
        <f>IFERROR(VLOOKUP(M704,'02. MM-KLH'!$B$6:$T$823,5,0),"")</f>
        <v>MỚI</v>
      </c>
      <c r="V704" s="731" t="str">
        <f>IFERROR(VLOOKUP(M704,'02. MM-KLH'!$B$6:$T$823,8,0),"")</f>
        <v>XN Chuối LP3</v>
      </c>
      <c r="W704" s="353" t="str">
        <f>IFERROR(VLOOKUP(V704,'NS QUẢN LÝ CG'!$A$4:$D$36,2,0),"")</f>
        <v/>
      </c>
      <c r="X704" s="353" t="str">
        <f>IFERROR(VLOOKUP(V704,'NS QUẢN LÝ CG'!$A$4:$D$36,4,0),"")</f>
        <v/>
      </c>
      <c r="Y704" s="353" t="str">
        <f>IFERROR(VLOOKUP(V704,'NS QUẢN LÝ CG'!$A$4:$C$36,3,0),"")</f>
        <v/>
      </c>
      <c r="Z704" s="731" t="str">
        <f>IFERROR(VLOOKUP(M704,'02. MM-KLH'!$B$6:$T$823,3,0),"")</f>
        <v>A24-CLT-001</v>
      </c>
      <c r="AA704" s="353" t="str">
        <f t="shared" si="47"/>
        <v>LP</v>
      </c>
      <c r="AB704" s="731"/>
      <c r="AC704" s="731"/>
    </row>
    <row r="705" ht="13.8" spans="1:29">
      <c r="A705" s="731"/>
      <c r="B705" s="613" t="str">
        <f>IFERROR(VLOOKUP(M705,'02. MM-KLH'!$B$6:$T$823,6,0),"")</f>
        <v>Xe clethon</v>
      </c>
      <c r="C705" s="353">
        <v>1</v>
      </c>
      <c r="D705" s="353" t="str">
        <f>IFERROR(VLOOKUP(M705,'02. MM-KLH'!$B$6:$T$823,16,0),"")</f>
        <v>TF150NL-PR2</v>
      </c>
      <c r="E705" s="353" t="s">
        <v>5978</v>
      </c>
      <c r="F705" s="353"/>
      <c r="G705" s="353"/>
      <c r="H705" s="353" t="str">
        <f>IFERROR(VLOOKUP(M705,'02. MM-KLH'!$B$6:$T$823,17,0),"")</f>
        <v>15HP</v>
      </c>
      <c r="I705" s="763">
        <f>IFERROR(VLOOKUP(M705,'02. MM-KLH'!$B$6:$U$823,20,0),"")</f>
        <v>0.5</v>
      </c>
      <c r="J705" s="613" t="str">
        <f>IFERROR(VLOOKUP(M705,'02. MM-KLH'!$B$6:$T$823,19,0),"")</f>
        <v>B0516M</v>
      </c>
      <c r="K705" s="613">
        <f>IFERROR(VLOOKUP(M705,'02. MM-KLH'!$B$6:$T$823,18,0),"")</f>
        <v>203064</v>
      </c>
      <c r="L705" s="353">
        <f>IFERROR(VLOOKUP(M705,'02. MM-KLH'!$B$6:$T$823,4,0),"")</f>
        <v>0</v>
      </c>
      <c r="M705" s="49" t="s">
        <v>1696</v>
      </c>
      <c r="N705" s="356">
        <f>IFERROR(VLOOKUP(M705,'02. MM-KLH'!$B$6:$T$823,15,0),"")</f>
        <v>2022</v>
      </c>
      <c r="O705" s="764" t="str">
        <f>IFERROR(VLOOKUP(M705,'02. MM-KLH'!$B$6:$T$823,9,0),"")</f>
        <v>24/07/2025</v>
      </c>
      <c r="P705" s="353"/>
      <c r="Q705" s="353"/>
      <c r="R705" s="353" t="s">
        <v>5978</v>
      </c>
      <c r="S705" s="353"/>
      <c r="T705" s="353"/>
      <c r="U705" s="353" t="str">
        <f>IFERROR(VLOOKUP(M705,'02. MM-KLH'!$B$6:$T$823,5,0),"")</f>
        <v>MỚI</v>
      </c>
      <c r="V705" s="731" t="str">
        <f>IFERROR(VLOOKUP(M705,'02. MM-KLH'!$B$6:$T$823,8,0),"")</f>
        <v>XN Chuối LP3</v>
      </c>
      <c r="W705" s="353" t="str">
        <f>IFERROR(VLOOKUP(V705,'NS QUẢN LÝ CG'!$A$4:$D$36,2,0),"")</f>
        <v/>
      </c>
      <c r="X705" s="353" t="str">
        <f>IFERROR(VLOOKUP(V705,'NS QUẢN LÝ CG'!$A$4:$D$36,4,0),"")</f>
        <v/>
      </c>
      <c r="Y705" s="353" t="str">
        <f>IFERROR(VLOOKUP(V705,'NS QUẢN LÝ CG'!$A$4:$C$36,3,0),"")</f>
        <v/>
      </c>
      <c r="Z705" s="731" t="str">
        <f>IFERROR(VLOOKUP(M705,'02. MM-KLH'!$B$6:$T$823,3,0),"")</f>
        <v>A24-CLT-002</v>
      </c>
      <c r="AA705" s="353" t="str">
        <f t="shared" si="47"/>
        <v>LP</v>
      </c>
      <c r="AB705" s="731"/>
      <c r="AC705" s="731"/>
    </row>
    <row r="706" ht="13.8" spans="1:29">
      <c r="A706" s="731"/>
      <c r="B706" s="613" t="str">
        <f>IFERROR(VLOOKUP(M706,'02. MM-KLH'!$B$6:$T$823,6,0),"")</f>
        <v>Xe clethon</v>
      </c>
      <c r="C706" s="353">
        <v>1</v>
      </c>
      <c r="D706" s="353" t="str">
        <f>IFERROR(VLOOKUP(M706,'02. MM-KLH'!$B$6:$T$823,16,0),"")</f>
        <v>TF150NL-PR2</v>
      </c>
      <c r="E706" s="353" t="s">
        <v>5978</v>
      </c>
      <c r="F706" s="353"/>
      <c r="G706" s="353"/>
      <c r="H706" s="353" t="str">
        <f>IFERROR(VLOOKUP(M706,'02. MM-KLH'!$B$6:$T$823,17,0),"")</f>
        <v>15HP</v>
      </c>
      <c r="I706" s="763">
        <f>IFERROR(VLOOKUP(M706,'02. MM-KLH'!$B$6:$U$823,20,0),"")</f>
        <v>0.5</v>
      </c>
      <c r="J706" s="613" t="str">
        <f>IFERROR(VLOOKUP(M706,'02. MM-KLH'!$B$6:$T$823,19,0),"")</f>
        <v>B0502M</v>
      </c>
      <c r="K706" s="613">
        <f>IFERROR(VLOOKUP(M706,'02. MM-KLH'!$B$6:$T$823,18,0),"")</f>
        <v>203067</v>
      </c>
      <c r="L706" s="353">
        <f>IFERROR(VLOOKUP(M706,'02. MM-KLH'!$B$6:$T$823,4,0),"")</f>
        <v>0</v>
      </c>
      <c r="M706" s="49" t="s">
        <v>1699</v>
      </c>
      <c r="N706" s="356">
        <f>IFERROR(VLOOKUP(M706,'02. MM-KLH'!$B$6:$T$823,15,0),"")</f>
        <v>2022</v>
      </c>
      <c r="O706" s="764" t="str">
        <f>IFERROR(VLOOKUP(M706,'02. MM-KLH'!$B$6:$T$823,9,0),"")</f>
        <v>24/07/2025</v>
      </c>
      <c r="P706" s="353"/>
      <c r="Q706" s="353"/>
      <c r="R706" s="353" t="s">
        <v>5978</v>
      </c>
      <c r="S706" s="353"/>
      <c r="T706" s="353"/>
      <c r="U706" s="353" t="str">
        <f>IFERROR(VLOOKUP(M706,'02. MM-KLH'!$B$6:$T$823,5,0),"")</f>
        <v>MỚI</v>
      </c>
      <c r="V706" s="731" t="str">
        <f>IFERROR(VLOOKUP(M706,'02. MM-KLH'!$B$6:$T$823,8,0),"")</f>
        <v>XN Chuối LP3</v>
      </c>
      <c r="W706" s="353" t="str">
        <f>IFERROR(VLOOKUP(V706,'NS QUẢN LÝ CG'!$A$4:$D$36,2,0),"")</f>
        <v/>
      </c>
      <c r="X706" s="353" t="str">
        <f>IFERROR(VLOOKUP(V706,'NS QUẢN LÝ CG'!$A$4:$D$36,4,0),"")</f>
        <v/>
      </c>
      <c r="Y706" s="353" t="str">
        <f>IFERROR(VLOOKUP(V706,'NS QUẢN LÝ CG'!$A$4:$C$36,3,0),"")</f>
        <v/>
      </c>
      <c r="Z706" s="731" t="str">
        <f>IFERROR(VLOOKUP(M706,'02. MM-KLH'!$B$6:$T$823,3,0),"")</f>
        <v>A24-CLT-003</v>
      </c>
      <c r="AA706" s="353" t="str">
        <f t="shared" si="47"/>
        <v>LP</v>
      </c>
      <c r="AB706" s="731"/>
      <c r="AC706" s="731"/>
    </row>
    <row r="707" ht="13.8" spans="1:29">
      <c r="A707" s="731"/>
      <c r="B707" s="613" t="str">
        <f>IFERROR(VLOOKUP(M707,'02. MM-KLH'!$B$6:$T$823,6,0),"")</f>
        <v>Xe clethon</v>
      </c>
      <c r="C707" s="353">
        <v>1</v>
      </c>
      <c r="D707" s="353" t="str">
        <f>IFERROR(VLOOKUP(M707,'02. MM-KLH'!$B$6:$T$823,16,0),"")</f>
        <v>TF150NL-PR2</v>
      </c>
      <c r="E707" s="353" t="s">
        <v>5978</v>
      </c>
      <c r="F707" s="353"/>
      <c r="G707" s="353"/>
      <c r="H707" s="353" t="str">
        <f>IFERROR(VLOOKUP(M707,'02. MM-KLH'!$B$6:$T$823,17,0),"")</f>
        <v>15HP</v>
      </c>
      <c r="I707" s="763">
        <f>IFERROR(VLOOKUP(M707,'02. MM-KLH'!$B$6:$U$823,20,0),"")</f>
        <v>0.5</v>
      </c>
      <c r="J707" s="613" t="str">
        <f>IFERROR(VLOOKUP(M707,'02. MM-KLH'!$B$6:$T$823,19,0),"")</f>
        <v>B2165L</v>
      </c>
      <c r="K707" s="613">
        <f>IFERROR(VLOOKUP(M707,'02. MM-KLH'!$B$6:$T$823,18,0),"")</f>
        <v>203073</v>
      </c>
      <c r="L707" s="353">
        <f>IFERROR(VLOOKUP(M707,'02. MM-KLH'!$B$6:$T$823,4,0),"")</f>
        <v>0</v>
      </c>
      <c r="M707" s="49" t="s">
        <v>1702</v>
      </c>
      <c r="N707" s="356">
        <f>IFERROR(VLOOKUP(M707,'02. MM-KLH'!$B$6:$T$823,15,0),"")</f>
        <v>2022</v>
      </c>
      <c r="O707" s="764" t="str">
        <f>IFERROR(VLOOKUP(M707,'02. MM-KLH'!$B$6:$T$823,9,0),"")</f>
        <v>24/07/2025</v>
      </c>
      <c r="P707" s="353"/>
      <c r="Q707" s="353"/>
      <c r="R707" s="353"/>
      <c r="S707" s="353" t="s">
        <v>5978</v>
      </c>
      <c r="T707" s="353"/>
      <c r="U707" s="353" t="str">
        <f>IFERROR(VLOOKUP(M707,'02. MM-KLH'!$B$6:$T$823,5,0),"")</f>
        <v>MỚI</v>
      </c>
      <c r="V707" s="731" t="str">
        <f>IFERROR(VLOOKUP(M707,'02. MM-KLH'!$B$6:$T$823,8,0),"")</f>
        <v>XN Chuối LP3</v>
      </c>
      <c r="W707" s="353" t="str">
        <f>IFERROR(VLOOKUP(V707,'NS QUẢN LÝ CG'!$A$4:$D$36,2,0),"")</f>
        <v/>
      </c>
      <c r="X707" s="353" t="str">
        <f>IFERROR(VLOOKUP(V707,'NS QUẢN LÝ CG'!$A$4:$D$36,4,0),"")</f>
        <v/>
      </c>
      <c r="Y707" s="353" t="str">
        <f>IFERROR(VLOOKUP(V707,'NS QUẢN LÝ CG'!$A$4:$C$36,3,0),"")</f>
        <v/>
      </c>
      <c r="Z707" s="731" t="str">
        <f>IFERROR(VLOOKUP(M707,'02. MM-KLH'!$B$6:$T$823,3,0),"")</f>
        <v>A24-CLT-004</v>
      </c>
      <c r="AA707" s="353" t="str">
        <f t="shared" si="47"/>
        <v>LP</v>
      </c>
      <c r="AB707" s="731"/>
      <c r="AC707" s="731"/>
    </row>
    <row r="708" ht="13.8" spans="1:29">
      <c r="A708" s="731"/>
      <c r="B708" s="613" t="str">
        <f>IFERROR(VLOOKUP(M708,'02. MM-KLH'!$B$6:$T$823,6,0),"")</f>
        <v>Xe clethon</v>
      </c>
      <c r="C708" s="353">
        <v>1</v>
      </c>
      <c r="D708" s="353" t="str">
        <f>IFERROR(VLOOKUP(M708,'02. MM-KLH'!$B$6:$T$823,16,0),"")</f>
        <v>TF150NL-PR2</v>
      </c>
      <c r="E708" s="353" t="s">
        <v>5978</v>
      </c>
      <c r="F708" s="353"/>
      <c r="G708" s="353"/>
      <c r="H708" s="353" t="str">
        <f>IFERROR(VLOOKUP(M708,'02. MM-KLH'!$B$6:$T$823,17,0),"")</f>
        <v>15HP</v>
      </c>
      <c r="I708" s="763">
        <f>IFERROR(VLOOKUP(M708,'02. MM-KLH'!$B$6:$U$823,20,0),"")</f>
        <v>0.5</v>
      </c>
      <c r="J708" s="613" t="str">
        <f>IFERROR(VLOOKUP(M708,'02. MM-KLH'!$B$6:$T$823,19,0),"")</f>
        <v>B2103L</v>
      </c>
      <c r="K708" s="613">
        <f>IFERROR(VLOOKUP(M708,'02. MM-KLH'!$B$6:$T$823,18,0),"")</f>
        <v>203077</v>
      </c>
      <c r="L708" s="353">
        <f>IFERROR(VLOOKUP(M708,'02. MM-KLH'!$B$6:$T$823,4,0),"")</f>
        <v>0</v>
      </c>
      <c r="M708" s="49" t="s">
        <v>1704</v>
      </c>
      <c r="N708" s="356">
        <f>IFERROR(VLOOKUP(M708,'02. MM-KLH'!$B$6:$T$823,15,0),"")</f>
        <v>2022</v>
      </c>
      <c r="O708" s="764" t="str">
        <f>IFERROR(VLOOKUP(M708,'02. MM-KLH'!$B$6:$T$823,9,0),"")</f>
        <v>24/07/2025</v>
      </c>
      <c r="P708" s="353"/>
      <c r="Q708" s="353"/>
      <c r="R708" s="353" t="s">
        <v>5978</v>
      </c>
      <c r="S708" s="353"/>
      <c r="T708" s="353"/>
      <c r="U708" s="353" t="str">
        <f>IFERROR(VLOOKUP(M708,'02. MM-KLH'!$B$6:$T$823,5,0),"")</f>
        <v>MỚI</v>
      </c>
      <c r="V708" s="731" t="str">
        <f>IFERROR(VLOOKUP(M708,'02. MM-KLH'!$B$6:$T$823,8,0),"")</f>
        <v>XN Chuối LP3</v>
      </c>
      <c r="W708" s="353" t="str">
        <f>IFERROR(VLOOKUP(V708,'NS QUẢN LÝ CG'!$A$4:$D$36,2,0),"")</f>
        <v/>
      </c>
      <c r="X708" s="353" t="str">
        <f>IFERROR(VLOOKUP(V708,'NS QUẢN LÝ CG'!$A$4:$D$36,4,0),"")</f>
        <v/>
      </c>
      <c r="Y708" s="353" t="str">
        <f>IFERROR(VLOOKUP(V708,'NS QUẢN LÝ CG'!$A$4:$C$36,3,0),"")</f>
        <v/>
      </c>
      <c r="Z708" s="731" t="str">
        <f>IFERROR(VLOOKUP(M708,'02. MM-KLH'!$B$6:$T$823,3,0),"")</f>
        <v>A24-CLT-005</v>
      </c>
      <c r="AA708" s="353" t="str">
        <f t="shared" si="47"/>
        <v>LP</v>
      </c>
      <c r="AB708" s="731"/>
      <c r="AC708" s="731"/>
    </row>
    <row r="709" ht="13.8" spans="1:29">
      <c r="A709" s="731"/>
      <c r="B709" s="613" t="str">
        <f>IFERROR(VLOOKUP(M709,'02. MM-KLH'!$B$6:$T$823,6,0),"")</f>
        <v>Xe clethon</v>
      </c>
      <c r="C709" s="353">
        <v>1</v>
      </c>
      <c r="D709" s="353">
        <f>IFERROR(VLOOKUP(M709,'02. MM-KLH'!$B$6:$T$823,16,0),"")</f>
        <v>0</v>
      </c>
      <c r="E709" s="353" t="s">
        <v>5978</v>
      </c>
      <c r="F709" s="353"/>
      <c r="G709" s="353"/>
      <c r="H709" s="353" t="str">
        <f>IFERROR(VLOOKUP(M709,'02. MM-KLH'!$B$6:$T$823,17,0),"")</f>
        <v>15HP</v>
      </c>
      <c r="I709" s="763">
        <f>IFERROR(VLOOKUP(M709,'02. MM-KLH'!$B$6:$U$823,20,0),"")</f>
        <v>1</v>
      </c>
      <c r="J709" s="613" t="str">
        <f>IFERROR(VLOOKUP(M709,'02. MM-KLH'!$B$6:$T$823,19,0),"")</f>
        <v>CCN</v>
      </c>
      <c r="K709" s="613" t="str">
        <f>IFERROR(VLOOKUP(M709,'02. MM-KLH'!$B$6:$T$823,18,0),"")</f>
        <v>RT140DI-19080197</v>
      </c>
      <c r="L709" s="353">
        <f>IFERROR(VLOOKUP(M709,'02. MM-KLH'!$B$6:$T$823,4,0),"")</f>
        <v>0</v>
      </c>
      <c r="M709" s="49" t="s">
        <v>1747</v>
      </c>
      <c r="N709" s="356">
        <f>IFERROR(VLOOKUP(M709,'02. MM-KLH'!$B$6:$T$823,15,0),"")</f>
        <v>0</v>
      </c>
      <c r="O709" s="764">
        <f>IFERROR(VLOOKUP(M709,'02. MM-KLH'!$B$6:$T$823,9,0),"")</f>
        <v>0</v>
      </c>
      <c r="P709" s="353"/>
      <c r="Q709" s="353"/>
      <c r="R709" s="353" t="s">
        <v>5978</v>
      </c>
      <c r="S709" s="353"/>
      <c r="T709" s="353"/>
      <c r="U709" s="353" t="str">
        <f>IFERROR(VLOOKUP(M709,'02. MM-KLH'!$B$6:$T$823,5,0),"")</f>
        <v>ĐQSD</v>
      </c>
      <c r="V709" s="731" t="str">
        <f>IFERROR(VLOOKUP(M709,'02. MM-KLH'!$B$6:$T$823,8,0),"")</f>
        <v>Xoài DP</v>
      </c>
      <c r="W709" s="353" t="str">
        <f>IFERROR(VLOOKUP(V709,'NS QUẢN LÝ CG'!$A$4:$D$36,2,0),"")</f>
        <v/>
      </c>
      <c r="X709" s="353" t="str">
        <f>IFERROR(VLOOKUP(V709,'NS QUẢN LÝ CG'!$A$4:$D$36,4,0),"")</f>
        <v/>
      </c>
      <c r="Y709" s="353" t="str">
        <f>IFERROR(VLOOKUP(V709,'NS QUẢN LÝ CG'!$A$4:$C$36,3,0),"")</f>
        <v/>
      </c>
      <c r="Z709" s="731" t="str">
        <f>IFERROR(VLOOKUP(M709,'02. MM-KLH'!$B$6:$T$823,3,0),"")</f>
        <v/>
      </c>
      <c r="AA709" s="353" t="str">
        <f t="shared" si="47"/>
        <v/>
      </c>
      <c r="AB709" s="731"/>
      <c r="AC709" s="731"/>
    </row>
    <row r="710" ht="13.8" spans="1:29">
      <c r="A710" s="731"/>
      <c r="B710" s="613" t="str">
        <f>IFERROR(VLOOKUP(M710,'02. MM-KLH'!$B$6:$T$823,6,0),"")</f>
        <v>Xe clethon</v>
      </c>
      <c r="C710" s="353">
        <v>1</v>
      </c>
      <c r="D710" s="353">
        <f>IFERROR(VLOOKUP(M710,'02. MM-KLH'!$B$6:$T$823,16,0),"")</f>
        <v>0</v>
      </c>
      <c r="E710" s="353" t="s">
        <v>5978</v>
      </c>
      <c r="F710" s="353"/>
      <c r="G710" s="353"/>
      <c r="H710" s="353" t="str">
        <f>IFERROR(VLOOKUP(M710,'02. MM-KLH'!$B$6:$T$823,17,0),"")</f>
        <v>15HP</v>
      </c>
      <c r="I710" s="763">
        <f>IFERROR(VLOOKUP(M710,'02. MM-KLH'!$B$6:$U$823,20,0),"")</f>
        <v>1</v>
      </c>
      <c r="J710" s="613" t="str">
        <f>IFERROR(VLOOKUP(M710,'02. MM-KLH'!$B$6:$T$823,19,0),"")</f>
        <v>CCN</v>
      </c>
      <c r="K710" s="613" t="str">
        <f>IFERROR(VLOOKUP(M710,'02. MM-KLH'!$B$6:$T$823,18,0),"")</f>
        <v>RT140DI-19011.978</v>
      </c>
      <c r="L710" s="353">
        <f>IFERROR(VLOOKUP(M710,'02. MM-KLH'!$B$6:$T$823,4,0),"")</f>
        <v>0</v>
      </c>
      <c r="M710" s="49" t="s">
        <v>1753</v>
      </c>
      <c r="N710" s="356">
        <f>IFERROR(VLOOKUP(M710,'02. MM-KLH'!$B$6:$T$823,15,0),"")</f>
        <v>0</v>
      </c>
      <c r="O710" s="764">
        <f>IFERROR(VLOOKUP(M710,'02. MM-KLH'!$B$6:$T$823,9,0),"")</f>
        <v>0</v>
      </c>
      <c r="P710" s="353"/>
      <c r="Q710" s="353"/>
      <c r="R710" s="353" t="s">
        <v>5978</v>
      </c>
      <c r="S710" s="353"/>
      <c r="T710" s="353"/>
      <c r="U710" s="353" t="str">
        <f>IFERROR(VLOOKUP(M710,'02. MM-KLH'!$B$6:$T$823,5,0),"")</f>
        <v>ĐQSD</v>
      </c>
      <c r="V710" s="731" t="str">
        <f>IFERROR(VLOOKUP(M710,'02. MM-KLH'!$B$6:$T$823,8,0),"")</f>
        <v>Xoài DP</v>
      </c>
      <c r="W710" s="353" t="str">
        <f>IFERROR(VLOOKUP(V710,'NS QUẢN LÝ CG'!$A$4:$D$36,2,0),"")</f>
        <v/>
      </c>
      <c r="X710" s="353" t="str">
        <f>IFERROR(VLOOKUP(V710,'NS QUẢN LÝ CG'!$A$4:$D$36,4,0),"")</f>
        <v/>
      </c>
      <c r="Y710" s="353" t="str">
        <f>IFERROR(VLOOKUP(V710,'NS QUẢN LÝ CG'!$A$4:$C$36,3,0),"")</f>
        <v/>
      </c>
      <c r="Z710" s="731" t="str">
        <f>IFERROR(VLOOKUP(M710,'02. MM-KLH'!$B$6:$T$823,3,0),"")</f>
        <v/>
      </c>
      <c r="AA710" s="353" t="str">
        <f t="shared" si="47"/>
        <v/>
      </c>
      <c r="AB710" s="731"/>
      <c r="AC710" s="731"/>
    </row>
    <row r="711" ht="13.8" spans="1:29">
      <c r="A711" s="731"/>
      <c r="B711" s="613" t="str">
        <f>IFERROR(VLOOKUP(M711,'02. MM-KLH'!$B$6:$T$823,6,0),"")</f>
        <v>Xe clethon</v>
      </c>
      <c r="C711" s="353">
        <v>1</v>
      </c>
      <c r="D711" s="353">
        <f>IFERROR(VLOOKUP(M711,'02. MM-KLH'!$B$6:$T$823,16,0),"")</f>
        <v>0</v>
      </c>
      <c r="E711" s="353" t="s">
        <v>5978</v>
      </c>
      <c r="F711" s="353"/>
      <c r="G711" s="353"/>
      <c r="H711" s="353" t="str">
        <f>IFERROR(VLOOKUP(M711,'02. MM-KLH'!$B$6:$T$823,17,0),"")</f>
        <v>15HP</v>
      </c>
      <c r="I711" s="763">
        <f>IFERROR(VLOOKUP(M711,'02. MM-KLH'!$B$6:$U$823,20,0),"")</f>
        <v>0.5</v>
      </c>
      <c r="J711" s="613" t="str">
        <f>IFERROR(VLOOKUP(M711,'02. MM-KLH'!$B$6:$T$823,19,0),"")</f>
        <v>CCN</v>
      </c>
      <c r="K711" s="613">
        <f>IFERROR(VLOOKUP(M711,'02. MM-KLH'!$B$6:$T$823,18,0),"")</f>
        <v>0</v>
      </c>
      <c r="L711" s="353">
        <f>IFERROR(VLOOKUP(M711,'02. MM-KLH'!$B$6:$T$823,4,0),"")</f>
        <v>0</v>
      </c>
      <c r="M711" s="49" t="s">
        <v>1767</v>
      </c>
      <c r="N711" s="356">
        <f>IFERROR(VLOOKUP(M711,'02. MM-KLH'!$B$6:$T$823,15,0),"")</f>
        <v>0</v>
      </c>
      <c r="O711" s="764">
        <f>IFERROR(VLOOKUP(M711,'02. MM-KLH'!$B$6:$T$823,9,0),"")</f>
        <v>0</v>
      </c>
      <c r="P711" s="353"/>
      <c r="Q711" s="353"/>
      <c r="R711" s="353" t="s">
        <v>5978</v>
      </c>
      <c r="S711" s="353"/>
      <c r="T711" s="353"/>
      <c r="U711" s="353" t="str">
        <f>IFERROR(VLOOKUP(M711,'02. MM-KLH'!$B$6:$T$823,5,0),"")</f>
        <v>ĐQSD</v>
      </c>
      <c r="V711" s="731" t="str">
        <f>IFERROR(VLOOKUP(M711,'02. MM-KLH'!$B$6:$T$823,8,0),"")</f>
        <v>BƯỞI AD</v>
      </c>
      <c r="W711" s="353" t="str">
        <f>IFERROR(VLOOKUP(V711,'NS QUẢN LÝ CG'!$A$4:$D$36,2,0),"")</f>
        <v/>
      </c>
      <c r="X711" s="353" t="str">
        <f>IFERROR(VLOOKUP(V711,'NS QUẢN LÝ CG'!$A$4:$D$36,4,0),"")</f>
        <v/>
      </c>
      <c r="Y711" s="353" t="str">
        <f>IFERROR(VLOOKUP(V711,'NS QUẢN LÝ CG'!$A$4:$C$36,3,0),"")</f>
        <v/>
      </c>
      <c r="Z711" s="731" t="str">
        <f>IFERROR(VLOOKUP(M711,'02. MM-KLH'!$B$6:$T$823,3,0),"")</f>
        <v>ATT-A22-0242</v>
      </c>
      <c r="AA711" s="353" t="str">
        <f t="shared" si="47"/>
        <v/>
      </c>
      <c r="AB711" s="731"/>
      <c r="AC711" s="731"/>
    </row>
    <row r="712" ht="13.8" spans="1:29">
      <c r="A712" s="731"/>
      <c r="B712" s="613" t="str">
        <f>IFERROR(VLOOKUP(M712,'02. MM-KLH'!$B$6:$T$823,6,0),"")</f>
        <v>Xe clethon</v>
      </c>
      <c r="C712" s="353">
        <v>1</v>
      </c>
      <c r="D712" s="353">
        <f>IFERROR(VLOOKUP(M712,'02. MM-KLH'!$B$6:$T$823,16,0),"")</f>
        <v>0</v>
      </c>
      <c r="E712" s="353" t="s">
        <v>5978</v>
      </c>
      <c r="F712" s="353"/>
      <c r="G712" s="353"/>
      <c r="H712" s="353">
        <f>IFERROR(VLOOKUP(M712,'02. MM-KLH'!$B$6:$T$823,17,0),"")</f>
        <v>0</v>
      </c>
      <c r="I712" s="763">
        <f>IFERROR(VLOOKUP(M712,'02. MM-KLH'!$B$6:$U$823,20,0),"")</f>
        <v>0.5</v>
      </c>
      <c r="J712" s="613" t="str">
        <f>IFERROR(VLOOKUP(M712,'02. MM-KLH'!$B$6:$T$823,19,0),"")</f>
        <v>CCN</v>
      </c>
      <c r="K712" s="613" t="str">
        <f>IFERROR(VLOOKUP(M712,'02. MM-KLH'!$B$6:$T$823,18,0),"")</f>
        <v>RT140DI-19011.483</v>
      </c>
      <c r="L712" s="353">
        <f>IFERROR(VLOOKUP(M712,'02. MM-KLH'!$B$6:$T$823,4,0),"")</f>
        <v>0</v>
      </c>
      <c r="M712" s="49" t="s">
        <v>1809</v>
      </c>
      <c r="N712" s="356">
        <f>IFERROR(VLOOKUP(M712,'02. MM-KLH'!$B$6:$T$823,15,0),"")</f>
        <v>0</v>
      </c>
      <c r="O712" s="764">
        <f>IFERROR(VLOOKUP(M712,'02. MM-KLH'!$B$6:$T$823,9,0),"")</f>
        <v>0</v>
      </c>
      <c r="P712" s="353"/>
      <c r="Q712" s="353"/>
      <c r="R712" s="353" t="s">
        <v>5978</v>
      </c>
      <c r="S712" s="353"/>
      <c r="T712" s="353"/>
      <c r="U712" s="353" t="str">
        <f>IFERROR(VLOOKUP(M712,'02. MM-KLH'!$B$6:$T$823,5,0),"")</f>
        <v>ĐQSD</v>
      </c>
      <c r="V712" s="731" t="str">
        <f>IFERROR(VLOOKUP(M712,'02. MM-KLH'!$B$6:$T$823,8,0),"")</f>
        <v>XOÀI AD</v>
      </c>
      <c r="W712" s="353" t="str">
        <f>IFERROR(VLOOKUP(V712,'NS QUẢN LÝ CG'!$A$4:$D$36,2,0),"")</f>
        <v/>
      </c>
      <c r="X712" s="353" t="str">
        <f>IFERROR(VLOOKUP(V712,'NS QUẢN LÝ CG'!$A$4:$D$36,4,0),"")</f>
        <v/>
      </c>
      <c r="Y712" s="353" t="str">
        <f>IFERROR(VLOOKUP(V712,'NS QUẢN LÝ CG'!$A$4:$C$36,3,0),"")</f>
        <v/>
      </c>
      <c r="Z712" s="731" t="str">
        <f>IFERROR(VLOOKUP(M712,'02. MM-KLH'!$B$6:$T$823,3,0),"")</f>
        <v>ATT-A22-0242</v>
      </c>
      <c r="AA712" s="353" t="str">
        <f t="shared" si="47"/>
        <v/>
      </c>
      <c r="AB712" s="731"/>
      <c r="AC712" s="731"/>
    </row>
    <row r="713" ht="13.8" spans="1:29">
      <c r="A713" s="731"/>
      <c r="B713" s="613" t="str">
        <f>IFERROR(VLOOKUP(M713,'02. MM-KLH'!$B$6:$T$823,6,0),"")</f>
        <v>Xe clethon</v>
      </c>
      <c r="C713" s="353">
        <v>1</v>
      </c>
      <c r="D713" s="353" t="str">
        <f>IFERROR(VLOOKUP(M713,'02. MM-KLH'!$B$6:$T$823,16,0),"")</f>
        <v>TF150N</v>
      </c>
      <c r="E713" s="353" t="s">
        <v>5978</v>
      </c>
      <c r="F713" s="353"/>
      <c r="G713" s="353"/>
      <c r="H713" s="353" t="str">
        <f>IFERROR(VLOOKUP(M713,'02. MM-KLH'!$B$6:$T$823,17,0),"")</f>
        <v>15HP</v>
      </c>
      <c r="I713" s="763">
        <f>IFERROR(VLOOKUP(M713,'02. MM-KLH'!$B$6:$U$823,20,0),"")</f>
        <v>0.5</v>
      </c>
      <c r="J713" s="613" t="str">
        <f>IFERROR(VLOOKUP(M713,'02. MM-KLH'!$B$6:$T$823,19,0),"")</f>
        <v>B2116J</v>
      </c>
      <c r="K713" s="613">
        <f>IFERROR(VLOOKUP(M713,'02. MM-KLH'!$B$6:$T$823,18,0),"")</f>
        <v>203373</v>
      </c>
      <c r="L713" s="353">
        <f>IFERROR(VLOOKUP(M713,'02. MM-KLH'!$B$6:$T$823,4,0),"")</f>
        <v>0</v>
      </c>
      <c r="M713" s="49" t="s">
        <v>2394</v>
      </c>
      <c r="N713" s="356">
        <f>IFERROR(VLOOKUP(M713,'02. MM-KLH'!$B$6:$T$823,15,0),"")</f>
        <v>2022</v>
      </c>
      <c r="O713" s="764">
        <f>IFERROR(VLOOKUP(M713,'02. MM-KLH'!$B$6:$T$823,9,0),"")</f>
        <v>45606</v>
      </c>
      <c r="P713" s="353"/>
      <c r="Q713" s="353"/>
      <c r="R713" s="353" t="s">
        <v>5978</v>
      </c>
      <c r="S713" s="353"/>
      <c r="T713" s="353" t="s">
        <v>5978</v>
      </c>
      <c r="U713" s="353" t="str">
        <f>IFERROR(VLOOKUP(M713,'02. MM-KLH'!$B$6:$T$823,5,0),"")</f>
        <v>MỚI</v>
      </c>
      <c r="V713" s="731" t="str">
        <f>IFERROR(VLOOKUP(M713,'02. MM-KLH'!$B$6:$T$823,8,0),"")</f>
        <v>XN Bò AD</v>
      </c>
      <c r="W713" s="353" t="str">
        <f>IFERROR(VLOOKUP(V713,'NS QUẢN LÝ CG'!$A$4:$D$36,2,0),"")</f>
        <v/>
      </c>
      <c r="X713" s="353" t="str">
        <f>IFERROR(VLOOKUP(V713,'NS QUẢN LÝ CG'!$A$4:$D$36,4,0),"")</f>
        <v/>
      </c>
      <c r="Y713" s="353" t="str">
        <f>IFERROR(VLOOKUP(V713,'NS QUẢN LÝ CG'!$A$4:$C$36,3,0),"")</f>
        <v/>
      </c>
      <c r="Z713" s="731" t="str">
        <f>IFERROR(VLOOKUP(M713,'02. MM-KLH'!$B$6:$T$823,3,0),"")</f>
        <v>A22-CLT-001</v>
      </c>
      <c r="AA713" s="353" t="str">
        <f t="shared" si="47"/>
        <v>ADM</v>
      </c>
      <c r="AB713" s="731"/>
      <c r="AC713" s="731"/>
    </row>
    <row r="714" ht="13.8" spans="1:29">
      <c r="A714" s="731"/>
      <c r="B714" s="613" t="str">
        <f>IFERROR(VLOOKUP(M714,'02. MM-KLH'!$B$6:$T$823,6,0),"")</f>
        <v>Xe clethon</v>
      </c>
      <c r="C714" s="353">
        <v>1</v>
      </c>
      <c r="D714" s="353" t="str">
        <f>IFERROR(VLOOKUP(M714,'02. MM-KLH'!$B$6:$T$823,16,0),"")</f>
        <v>TF150N</v>
      </c>
      <c r="E714" s="353" t="s">
        <v>5978</v>
      </c>
      <c r="F714" s="353"/>
      <c r="G714" s="353"/>
      <c r="H714" s="353" t="str">
        <f>IFERROR(VLOOKUP(M714,'02. MM-KLH'!$B$6:$T$823,17,0),"")</f>
        <v>15HP</v>
      </c>
      <c r="I714" s="763">
        <f>IFERROR(VLOOKUP(M714,'02. MM-KLH'!$B$6:$U$823,20,0),"")</f>
        <v>0.5</v>
      </c>
      <c r="J714" s="613" t="str">
        <f>IFERROR(VLOOKUP(M714,'02. MM-KLH'!$B$6:$T$823,19,0),"")</f>
        <v>B1779J</v>
      </c>
      <c r="K714" s="613">
        <f>IFERROR(VLOOKUP(M714,'02. MM-KLH'!$B$6:$T$823,18,0),"")</f>
        <v>203356</v>
      </c>
      <c r="L714" s="353">
        <f>IFERROR(VLOOKUP(M714,'02. MM-KLH'!$B$6:$T$823,4,0),"")</f>
        <v>0</v>
      </c>
      <c r="M714" s="49" t="s">
        <v>2398</v>
      </c>
      <c r="N714" s="356">
        <f>IFERROR(VLOOKUP(M714,'02. MM-KLH'!$B$6:$T$823,15,0),"")</f>
        <v>2022</v>
      </c>
      <c r="O714" s="764">
        <f>IFERROR(VLOOKUP(M714,'02. MM-KLH'!$B$6:$T$823,9,0),"")</f>
        <v>45606</v>
      </c>
      <c r="P714" s="353"/>
      <c r="Q714" s="353"/>
      <c r="R714" s="353" t="s">
        <v>5978</v>
      </c>
      <c r="S714" s="353"/>
      <c r="T714" s="353"/>
      <c r="U714" s="353" t="str">
        <f>IFERROR(VLOOKUP(M714,'02. MM-KLH'!$B$6:$T$823,5,0),"")</f>
        <v>MỚI</v>
      </c>
      <c r="V714" s="731" t="str">
        <f>IFERROR(VLOOKUP(M714,'02. MM-KLH'!$B$6:$T$823,8,0),"")</f>
        <v>XN Bò AD</v>
      </c>
      <c r="W714" s="353" t="str">
        <f>IFERROR(VLOOKUP(V714,'NS QUẢN LÝ CG'!$A$4:$D$36,2,0),"")</f>
        <v/>
      </c>
      <c r="X714" s="353" t="str">
        <f>IFERROR(VLOOKUP(V714,'NS QUẢN LÝ CG'!$A$4:$D$36,4,0),"")</f>
        <v/>
      </c>
      <c r="Y714" s="353" t="str">
        <f>IFERROR(VLOOKUP(V714,'NS QUẢN LÝ CG'!$A$4:$C$36,3,0),"")</f>
        <v/>
      </c>
      <c r="Z714" s="731" t="str">
        <f>IFERROR(VLOOKUP(M714,'02. MM-KLH'!$B$6:$T$823,3,0),"")</f>
        <v>A22-CLT-002</v>
      </c>
      <c r="AA714" s="353" t="str">
        <f t="shared" si="47"/>
        <v>ADM</v>
      </c>
      <c r="AB714" s="731"/>
      <c r="AC714" s="731"/>
    </row>
    <row r="715" ht="13.8" spans="1:29">
      <c r="A715" s="731"/>
      <c r="B715" s="613" t="str">
        <f>IFERROR(VLOOKUP(M715,'02. MM-KLH'!$B$6:$T$823,6,0),"")</f>
        <v>Xe clethon</v>
      </c>
      <c r="C715" s="353">
        <v>1</v>
      </c>
      <c r="D715" s="353" t="str">
        <f>IFERROR(VLOOKUP(M715,'02. MM-KLH'!$B$6:$T$823,16,0),"")</f>
        <v>TF150N</v>
      </c>
      <c r="E715" s="353" t="s">
        <v>5978</v>
      </c>
      <c r="F715" s="353"/>
      <c r="G715" s="353"/>
      <c r="H715" s="353" t="str">
        <f>IFERROR(VLOOKUP(M715,'02. MM-KLH'!$B$6:$T$823,17,0),"")</f>
        <v>15HP</v>
      </c>
      <c r="I715" s="763">
        <f>IFERROR(VLOOKUP(M715,'02. MM-KLH'!$B$6:$U$823,20,0),"")</f>
        <v>0.5</v>
      </c>
      <c r="J715" s="613" t="str">
        <f>IFERROR(VLOOKUP(M715,'02. MM-KLH'!$B$6:$T$823,19,0),"")</f>
        <v>C1205A</v>
      </c>
      <c r="K715" s="613">
        <f>IFERROR(VLOOKUP(M715,'02. MM-KLH'!$B$6:$T$823,18,0),"")</f>
        <v>202927</v>
      </c>
      <c r="L715" s="353">
        <f>IFERROR(VLOOKUP(M715,'02. MM-KLH'!$B$6:$T$823,4,0),"")</f>
        <v>0</v>
      </c>
      <c r="M715" s="49" t="s">
        <v>2401</v>
      </c>
      <c r="N715" s="356">
        <f>IFERROR(VLOOKUP(M715,'02. MM-KLH'!$B$6:$T$823,15,0),"")</f>
        <v>2022</v>
      </c>
      <c r="O715" s="764">
        <f>IFERROR(VLOOKUP(M715,'02. MM-KLH'!$B$6:$T$823,9,0),"")</f>
        <v>45393</v>
      </c>
      <c r="P715" s="353"/>
      <c r="Q715" s="353"/>
      <c r="R715" s="353"/>
      <c r="S715" s="353" t="s">
        <v>5978</v>
      </c>
      <c r="T715" s="353"/>
      <c r="U715" s="353" t="str">
        <f>IFERROR(VLOOKUP(M715,'02. MM-KLH'!$B$6:$T$823,5,0),"")</f>
        <v>MỚI</v>
      </c>
      <c r="V715" s="731" t="str">
        <f>IFERROR(VLOOKUP(M715,'02. MM-KLH'!$B$6:$T$823,8,0),"")</f>
        <v>XN Bò AD</v>
      </c>
      <c r="W715" s="353" t="str">
        <f>IFERROR(VLOOKUP(V715,'NS QUẢN LÝ CG'!$A$4:$D$36,2,0),"")</f>
        <v/>
      </c>
      <c r="X715" s="353" t="str">
        <f>IFERROR(VLOOKUP(V715,'NS QUẢN LÝ CG'!$A$4:$D$36,4,0),"")</f>
        <v/>
      </c>
      <c r="Y715" s="353" t="str">
        <f>IFERROR(VLOOKUP(V715,'NS QUẢN LÝ CG'!$A$4:$C$36,3,0),"")</f>
        <v/>
      </c>
      <c r="Z715" s="731" t="str">
        <f>IFERROR(VLOOKUP(M715,'02. MM-KLH'!$B$6:$T$823,3,0),"")</f>
        <v>A22-CLT-003</v>
      </c>
      <c r="AA715" s="353" t="str">
        <f t="shared" si="47"/>
        <v>ADM</v>
      </c>
      <c r="AB715" s="731"/>
      <c r="AC715" s="731"/>
    </row>
    <row r="716" ht="13.8" spans="1:29">
      <c r="A716" s="731"/>
      <c r="B716" s="613" t="str">
        <f>IFERROR(VLOOKUP(M716,'02. MM-KLH'!$B$6:$T$823,6,0),"")</f>
        <v>Xe clethon</v>
      </c>
      <c r="C716" s="353">
        <v>1</v>
      </c>
      <c r="D716" s="353" t="str">
        <f>IFERROR(VLOOKUP(M716,'02. MM-KLH'!$B$6:$T$823,16,0),"")</f>
        <v>TF150N</v>
      </c>
      <c r="E716" s="353" t="s">
        <v>5978</v>
      </c>
      <c r="F716" s="353"/>
      <c r="G716" s="353"/>
      <c r="H716" s="353" t="str">
        <f>IFERROR(VLOOKUP(M716,'02. MM-KLH'!$B$6:$T$823,17,0),"")</f>
        <v>15HP</v>
      </c>
      <c r="I716" s="763">
        <f>IFERROR(VLOOKUP(M716,'02. MM-KLH'!$B$6:$U$823,20,0),"")</f>
        <v>0.5</v>
      </c>
      <c r="J716" s="613" t="str">
        <f>IFERROR(VLOOKUP(M716,'02. MM-KLH'!$B$6:$T$823,19,0),"")</f>
        <v>C1498A</v>
      </c>
      <c r="K716" s="613">
        <f>IFERROR(VLOOKUP(M716,'02. MM-KLH'!$B$6:$T$823,18,0),"")</f>
        <v>202929</v>
      </c>
      <c r="L716" s="353">
        <f>IFERROR(VLOOKUP(M716,'02. MM-KLH'!$B$6:$T$823,4,0),"")</f>
        <v>0</v>
      </c>
      <c r="M716" s="49" t="s">
        <v>2404</v>
      </c>
      <c r="N716" s="356">
        <f>IFERROR(VLOOKUP(M716,'02. MM-KLH'!$B$6:$T$823,15,0),"")</f>
        <v>2022</v>
      </c>
      <c r="O716" s="764">
        <f>IFERROR(VLOOKUP(M716,'02. MM-KLH'!$B$6:$T$823,9,0),"")</f>
        <v>45393</v>
      </c>
      <c r="P716" s="353"/>
      <c r="Q716" s="353"/>
      <c r="R716" s="353"/>
      <c r="S716" s="353" t="s">
        <v>5978</v>
      </c>
      <c r="T716" s="353"/>
      <c r="U716" s="353" t="str">
        <f>IFERROR(VLOOKUP(M716,'02. MM-KLH'!$B$6:$T$823,5,0),"")</f>
        <v>MỚI</v>
      </c>
      <c r="V716" s="731" t="str">
        <f>IFERROR(VLOOKUP(M716,'02. MM-KLH'!$B$6:$T$823,8,0),"")</f>
        <v>XN Bò AD</v>
      </c>
      <c r="W716" s="353" t="str">
        <f>IFERROR(VLOOKUP(V716,'NS QUẢN LÝ CG'!$A$4:$D$36,2,0),"")</f>
        <v/>
      </c>
      <c r="X716" s="353" t="str">
        <f>IFERROR(VLOOKUP(V716,'NS QUẢN LÝ CG'!$A$4:$D$36,4,0),"")</f>
        <v/>
      </c>
      <c r="Y716" s="353" t="str">
        <f>IFERROR(VLOOKUP(V716,'NS QUẢN LÝ CG'!$A$4:$C$36,3,0),"")</f>
        <v/>
      </c>
      <c r="Z716" s="731" t="str">
        <f>IFERROR(VLOOKUP(M716,'02. MM-KLH'!$B$6:$T$823,3,0),"")</f>
        <v>A22-CLT-004</v>
      </c>
      <c r="AA716" s="353" t="str">
        <f t="shared" si="47"/>
        <v>ADM</v>
      </c>
      <c r="AB716" s="731"/>
      <c r="AC716" s="731"/>
    </row>
    <row r="717" ht="13.8" spans="1:29">
      <c r="A717" s="731"/>
      <c r="B717" s="613" t="str">
        <f>IFERROR(VLOOKUP(M717,'02. MM-KLH'!$B$6:$T$823,6,0),"")</f>
        <v>Xe clethon</v>
      </c>
      <c r="C717" s="353">
        <v>1</v>
      </c>
      <c r="D717" s="353" t="str">
        <f>IFERROR(VLOOKUP(M717,'02. MM-KLH'!$B$6:$T$823,16,0),"")</f>
        <v>TF150N</v>
      </c>
      <c r="E717" s="353" t="s">
        <v>5978</v>
      </c>
      <c r="F717" s="353"/>
      <c r="G717" s="353"/>
      <c r="H717" s="353" t="str">
        <f>IFERROR(VLOOKUP(M717,'02. MM-KLH'!$B$6:$T$823,17,0),"")</f>
        <v>15HP</v>
      </c>
      <c r="I717" s="763">
        <f>IFERROR(VLOOKUP(M717,'02. MM-KLH'!$B$6:$U$823,20,0),"")</f>
        <v>0.5</v>
      </c>
      <c r="J717" s="613" t="str">
        <f>IFERROR(VLOOKUP(M717,'02. MM-KLH'!$B$6:$T$823,19,0),"")</f>
        <v>C1503A</v>
      </c>
      <c r="K717" s="613">
        <f>IFERROR(VLOOKUP(M717,'02. MM-KLH'!$B$6:$T$823,18,0),"")</f>
        <v>203359</v>
      </c>
      <c r="L717" s="353">
        <f>IFERROR(VLOOKUP(M717,'02. MM-KLH'!$B$6:$T$823,4,0),"")</f>
        <v>0</v>
      </c>
      <c r="M717" s="49" t="s">
        <v>2407</v>
      </c>
      <c r="N717" s="356">
        <f>IFERROR(VLOOKUP(M717,'02. MM-KLH'!$B$6:$T$823,15,0),"")</f>
        <v>2022</v>
      </c>
      <c r="O717" s="764">
        <f>IFERROR(VLOOKUP(M717,'02. MM-KLH'!$B$6:$T$823,9,0),"")</f>
        <v>45393</v>
      </c>
      <c r="P717" s="353"/>
      <c r="Q717" s="353"/>
      <c r="R717" s="353"/>
      <c r="S717" s="353" t="s">
        <v>5978</v>
      </c>
      <c r="T717" s="353"/>
      <c r="U717" s="353" t="str">
        <f>IFERROR(VLOOKUP(M717,'02. MM-KLH'!$B$6:$T$823,5,0),"")</f>
        <v>MỚI</v>
      </c>
      <c r="V717" s="731" t="str">
        <f>IFERROR(VLOOKUP(M717,'02. MM-KLH'!$B$6:$T$823,8,0),"")</f>
        <v>XN Bò AD</v>
      </c>
      <c r="W717" s="353" t="str">
        <f>IFERROR(VLOOKUP(V717,'NS QUẢN LÝ CG'!$A$4:$D$36,2,0),"")</f>
        <v/>
      </c>
      <c r="X717" s="353" t="str">
        <f>IFERROR(VLOOKUP(V717,'NS QUẢN LÝ CG'!$A$4:$D$36,4,0),"")</f>
        <v/>
      </c>
      <c r="Y717" s="353" t="str">
        <f>IFERROR(VLOOKUP(V717,'NS QUẢN LÝ CG'!$A$4:$C$36,3,0),"")</f>
        <v/>
      </c>
      <c r="Z717" s="731" t="str">
        <f>IFERROR(VLOOKUP(M717,'02. MM-KLH'!$B$6:$T$823,3,0),"")</f>
        <v>A22-CLT-005</v>
      </c>
      <c r="AA717" s="353" t="str">
        <f t="shared" si="47"/>
        <v>ADM</v>
      </c>
      <c r="AB717" s="731"/>
      <c r="AC717" s="731"/>
    </row>
    <row r="718" ht="13.8" spans="1:29">
      <c r="A718" s="731"/>
      <c r="B718" s="613" t="str">
        <f>IFERROR(VLOOKUP(M718,'02. MM-KLH'!$B$6:$T$823,6,0),"")</f>
        <v/>
      </c>
      <c r="C718" s="353"/>
      <c r="D718" s="353" t="str">
        <f>IFERROR(VLOOKUP(M718,'02. MM-KLH'!$B$6:$T$823,16,0),"")</f>
        <v/>
      </c>
      <c r="E718" s="353"/>
      <c r="F718" s="353"/>
      <c r="G718" s="353"/>
      <c r="H718" s="353" t="str">
        <f>IFERROR(VLOOKUP(M718,'02. MM-KLH'!$B$6:$T$823,17,0),"")</f>
        <v/>
      </c>
      <c r="I718" s="763" t="str">
        <f>IFERROR(VLOOKUP(M718,'02. MM-KLH'!$B$6:$U$823,20,0),"")</f>
        <v/>
      </c>
      <c r="J718" s="613" t="str">
        <f>IFERROR(VLOOKUP(M718,'02. MM-KLH'!$B$6:$T$823,19,0),"")</f>
        <v/>
      </c>
      <c r="K718" s="613" t="str">
        <f>IFERROR(VLOOKUP(M718,'02. MM-KLH'!$B$6:$T$823,18,0),"")</f>
        <v/>
      </c>
      <c r="L718" s="353" t="str">
        <f>IFERROR(VLOOKUP(M718,'02. MM-KLH'!$B$6:$T$823,4,0),"")</f>
        <v/>
      </c>
      <c r="M718" s="49"/>
      <c r="N718" s="356" t="str">
        <f>IFERROR(VLOOKUP(M718,'02. MM-KLH'!$B$6:$T$823,15,0),"")</f>
        <v/>
      </c>
      <c r="O718" s="764" t="str">
        <f>IFERROR(VLOOKUP(M718,'02. MM-KLH'!$B$6:$T$823,9,0),"")</f>
        <v/>
      </c>
      <c r="P718" s="353"/>
      <c r="Q718" s="353"/>
      <c r="R718" s="353"/>
      <c r="S718" s="353"/>
      <c r="T718" s="353"/>
      <c r="U718" s="353" t="str">
        <f>IFERROR(VLOOKUP(M718,'02. MM-KLH'!$B$6:$T$823,5,0),"")</f>
        <v/>
      </c>
      <c r="V718" s="731" t="str">
        <f>IFERROR(VLOOKUP(M718,'02. MM-KLH'!$B$6:$T$823,8,0),"")</f>
        <v/>
      </c>
      <c r="W718" s="353" t="str">
        <f>IFERROR(VLOOKUP(V718,'NS QUẢN LÝ CG'!$A$4:$D$36,2,0),"")</f>
        <v/>
      </c>
      <c r="X718" s="353" t="str">
        <f>IFERROR(VLOOKUP(V718,'NS QUẢN LÝ CG'!$A$4:$D$36,4,0),"")</f>
        <v/>
      </c>
      <c r="Y718" s="353"/>
      <c r="Z718" s="731" t="str">
        <f>IFERROR(VLOOKUP(M718,'02. MM-KLH'!$B$6:$T$823,3,0),"")</f>
        <v/>
      </c>
      <c r="AA718" s="353"/>
      <c r="AB718" s="731"/>
      <c r="AC718" s="731"/>
    </row>
    <row r="719" ht="13.8" spans="1:29">
      <c r="A719" s="731"/>
      <c r="B719" s="613" t="str">
        <f>IFERROR(VLOOKUP(M719,'02. MM-KLH'!$B$6:$T$823,6,0),"")</f>
        <v/>
      </c>
      <c r="C719" s="353"/>
      <c r="D719" s="353" t="str">
        <f>IFERROR(VLOOKUP(M719,'02. MM-KLH'!$B$6:$T$823,16,0),"")</f>
        <v/>
      </c>
      <c r="E719" s="353"/>
      <c r="F719" s="353"/>
      <c r="G719" s="353"/>
      <c r="H719" s="353" t="str">
        <f>IFERROR(VLOOKUP(M719,'02. MM-KLH'!$B$6:$T$823,17,0),"")</f>
        <v/>
      </c>
      <c r="I719" s="763" t="str">
        <f>IFERROR(VLOOKUP(M719,'02. MM-KLH'!$B$6:$U$823,20,0),"")</f>
        <v/>
      </c>
      <c r="J719" s="613" t="str">
        <f>IFERROR(VLOOKUP(M719,'02. MM-KLH'!$B$6:$T$823,19,0),"")</f>
        <v/>
      </c>
      <c r="K719" s="613" t="str">
        <f>IFERROR(VLOOKUP(M719,'02. MM-KLH'!$B$6:$T$823,18,0),"")</f>
        <v/>
      </c>
      <c r="L719" s="353" t="str">
        <f>IFERROR(VLOOKUP(M719,'02. MM-KLH'!$B$6:$T$823,4,0),"")</f>
        <v/>
      </c>
      <c r="M719" s="49"/>
      <c r="N719" s="356" t="str">
        <f>IFERROR(VLOOKUP(M719,'02. MM-KLH'!$B$6:$T$823,15,0),"")</f>
        <v/>
      </c>
      <c r="O719" s="764" t="str">
        <f>IFERROR(VLOOKUP(M719,'02. MM-KLH'!$B$6:$T$823,9,0),"")</f>
        <v/>
      </c>
      <c r="P719" s="353"/>
      <c r="Q719" s="353"/>
      <c r="R719" s="353"/>
      <c r="S719" s="353"/>
      <c r="T719" s="353"/>
      <c r="U719" s="353" t="str">
        <f>IFERROR(VLOOKUP(M719,'02. MM-KLH'!$B$6:$T$823,2,0),"")</f>
        <v/>
      </c>
      <c r="V719" s="731" t="str">
        <f>IFERROR(VLOOKUP(M719,'02. MM-KLH'!$B$6:$T$823,8,0),"")</f>
        <v/>
      </c>
      <c r="W719" s="353" t="str">
        <f>IFERROR(VLOOKUP(V719,'NS QUẢN LÝ CG'!$A$4:$D$36,2,0),"")</f>
        <v/>
      </c>
      <c r="X719" s="353" t="str">
        <f>IFERROR(VLOOKUP(V719,'NS QUẢN LÝ CG'!$A$4:$D$36,4,0),"")</f>
        <v/>
      </c>
      <c r="Y719" s="353"/>
      <c r="Z719" s="731" t="str">
        <f>IFERROR(VLOOKUP(M719,'02. MM-KLH'!$B$6:$T$823,3,0),"")</f>
        <v/>
      </c>
      <c r="AA719" s="353"/>
      <c r="AB719" s="731"/>
      <c r="AC719" s="731"/>
    </row>
    <row r="720" spans="1:29">
      <c r="A720" s="770" t="s">
        <v>6002</v>
      </c>
      <c r="B720" s="272"/>
      <c r="C720" s="742">
        <f>COUNTA(B721:B743)</f>
        <v>23</v>
      </c>
      <c r="D720" s="743"/>
      <c r="E720" s="743"/>
      <c r="F720" s="743"/>
      <c r="G720" s="743"/>
      <c r="H720" s="744"/>
      <c r="I720" s="744"/>
      <c r="J720" s="745"/>
      <c r="K720" s="745"/>
      <c r="L720" s="743"/>
      <c r="M720" s="743"/>
      <c r="N720" s="743"/>
      <c r="O720" s="746"/>
      <c r="P720" s="743"/>
      <c r="Q720" s="743"/>
      <c r="R720" s="743"/>
      <c r="S720" s="743"/>
      <c r="T720" s="743"/>
      <c r="U720" s="743"/>
      <c r="V720" s="744"/>
      <c r="W720" s="743"/>
      <c r="X720" s="743"/>
      <c r="Y720" s="743"/>
      <c r="Z720" s="744"/>
      <c r="AA720" s="743"/>
      <c r="AB720" s="744"/>
      <c r="AC720" s="771"/>
    </row>
    <row r="721" ht="13.8" spans="1:29">
      <c r="A721" s="731"/>
      <c r="B721" s="613" t="str">
        <f>IFERROR(VLOOKUP(M721,'02. MM-KLH'!$B$6:$T$823,6,0),"")</f>
        <v>Xe công vụ Mazda BT50</v>
      </c>
      <c r="C721" s="353">
        <v>1</v>
      </c>
      <c r="D721" s="353" t="str">
        <f>IFERROR(VLOOKUP(M721,'02. MM-KLH'!$B$6:$T$823,16,0),"")</f>
        <v>BT50</v>
      </c>
      <c r="E721" s="353" t="s">
        <v>5978</v>
      </c>
      <c r="F721" s="353"/>
      <c r="G721" s="353"/>
      <c r="H721" s="353" t="str">
        <f>IFERROR(VLOOKUP(M721,'02. MM-KLH'!$B$6:$T$823,17,0),"")</f>
        <v>148HP</v>
      </c>
      <c r="I721" s="763">
        <f>IFERROR(VLOOKUP(M721,'02. MM-KLH'!$B$6:$U$823,20,0),"")</f>
        <v>0</v>
      </c>
      <c r="J721" s="613" t="str">
        <f>IFERROR(VLOOKUP(M721,'02. MM-KLH'!$B$6:$T$823,19,0),"")</f>
        <v>P5AT2644238</v>
      </c>
      <c r="K721" s="613" t="str">
        <f>IFERROR(VLOOKUP(M721,'02. MM-KLH'!$B$6:$T$823,18,0),"")</f>
        <v>MM7UR4DF4KW852868</v>
      </c>
      <c r="L721" s="353" t="str">
        <f>IFERROR(VLOOKUP(M721,'02. MM-KLH'!$B$6:$T$823,4,0),"")</f>
        <v>51D-480.22</v>
      </c>
      <c r="M721" s="49" t="s">
        <v>2738</v>
      </c>
      <c r="N721" s="356">
        <f>IFERROR(VLOOKUP(M721,'02. MM-KLH'!$B$6:$T$823,15,0),"")</f>
        <v>2018</v>
      </c>
      <c r="O721" s="764">
        <f>IFERROR(VLOOKUP(M721,'02. MM-KLH'!$B$6:$T$823,9,0),"")</f>
        <v>0</v>
      </c>
      <c r="P721" s="353"/>
      <c r="Q721" s="353"/>
      <c r="R721" s="353" t="s">
        <v>5978</v>
      </c>
      <c r="S721" s="353"/>
      <c r="T721" s="353"/>
      <c r="U721" s="353" t="str">
        <f>IFERROR(VLOOKUP(M721,'02. MM-KLH'!$B$6:$T$823,5,0),"")</f>
        <v>ĐQSD</v>
      </c>
      <c r="V721" s="731" t="str">
        <f>IFERROR(VLOOKUP(M721,'02. MM-KLH'!$B$6:$T$823,8,0),"")</f>
        <v>HÀNH CHÍNH KLH</v>
      </c>
      <c r="W721" s="353" t="str">
        <f>IFERROR(VLOOKUP(V721,'NS QUẢN LÝ CG'!$A$4:$D$36,2,0),"")</f>
        <v>Lê Trần Hoàng Minh</v>
      </c>
      <c r="X721" s="353" t="str">
        <f>IFERROR(VLOOKUP(V721,'NS QUẢN LÝ CG'!$A$4:$D$36,4,0),"")</f>
        <v>Văn Phòng 94</v>
      </c>
      <c r="Y721" s="1104" t="str">
        <f>IFERROR(VLOOKUP(V721,'NS QUẢN LÝ CG'!$A$4:$C$36,3,0),"")</f>
        <v>0965509539</v>
      </c>
      <c r="Z721" s="731">
        <f>IFERROR(VLOOKUP(M721,'02. MM-KLH'!$B$6:$T$823,3,0),"")</f>
        <v>0</v>
      </c>
      <c r="AA721" s="353" t="str">
        <f t="shared" ref="AA721:AA742" si="48">_xlfn.SWITCH(LEFT(Z721,3),"A22","ADM","A23","DP","A24","LP","")</f>
        <v/>
      </c>
      <c r="AB721" s="731"/>
      <c r="AC721" s="731"/>
    </row>
    <row r="722" ht="13.8" spans="1:29">
      <c r="A722" s="731"/>
      <c r="B722" s="613" t="str">
        <f>IFERROR(VLOOKUP(M722,'02. MM-KLH'!$B$6:$T$823,6,0),"")</f>
        <v>Xe công vụ Mazda BT50</v>
      </c>
      <c r="C722" s="353">
        <v>1</v>
      </c>
      <c r="D722" s="353" t="str">
        <f>IFERROR(VLOOKUP(M722,'02. MM-KLH'!$B$6:$T$823,16,0),"")</f>
        <v>BT50</v>
      </c>
      <c r="E722" s="353" t="s">
        <v>5978</v>
      </c>
      <c r="F722" s="353"/>
      <c r="G722" s="353"/>
      <c r="H722" s="353" t="str">
        <f>IFERROR(VLOOKUP(M722,'02. MM-KLH'!$B$6:$T$823,17,0),"")</f>
        <v>148HP</v>
      </c>
      <c r="I722" s="763">
        <f>IFERROR(VLOOKUP(M722,'02. MM-KLH'!$B$6:$U$823,20,0),"")</f>
        <v>0</v>
      </c>
      <c r="J722" s="613" t="str">
        <f>IFERROR(VLOOKUP(M722,'02. MM-KLH'!$B$6:$T$823,19,0),"")</f>
        <v>P5AT2656720</v>
      </c>
      <c r="K722" s="613" t="str">
        <f>IFERROR(VLOOKUP(M722,'02. MM-KLH'!$B$6:$T$823,18,0),"")</f>
        <v>MM7UR4DFXKW861641</v>
      </c>
      <c r="L722" s="353" t="str">
        <f>IFERROR(VLOOKUP(M722,'02. MM-KLH'!$B$6:$T$823,4,0),"")</f>
        <v>51D-482.19</v>
      </c>
      <c r="M722" s="49" t="s">
        <v>2748</v>
      </c>
      <c r="N722" s="356">
        <f>IFERROR(VLOOKUP(M722,'02. MM-KLH'!$B$6:$T$823,15,0),"")</f>
        <v>2018</v>
      </c>
      <c r="O722" s="764">
        <f>IFERROR(VLOOKUP(M722,'02. MM-KLH'!$B$6:$T$823,9,0),"")</f>
        <v>0</v>
      </c>
      <c r="P722" s="353"/>
      <c r="Q722" s="353"/>
      <c r="R722" s="353" t="s">
        <v>5978</v>
      </c>
      <c r="S722" s="353"/>
      <c r="T722" s="353"/>
      <c r="U722" s="353" t="str">
        <f>IFERROR(VLOOKUP(M722,'02. MM-KLH'!$B$6:$T$823,5,0),"")</f>
        <v>ĐQSD</v>
      </c>
      <c r="V722" s="731" t="str">
        <f>IFERROR(VLOOKUP(M722,'02. MM-KLH'!$B$6:$T$823,8,0),"")</f>
        <v>HÀNH CHÍNH KLH</v>
      </c>
      <c r="W722" s="353" t="str">
        <f>IFERROR(VLOOKUP(V722,'NS QUẢN LÝ CG'!$A$4:$D$36,2,0),"")</f>
        <v>Lê Trần Hoàng Minh</v>
      </c>
      <c r="X722" s="353" t="str">
        <f>IFERROR(VLOOKUP(V722,'NS QUẢN LÝ CG'!$A$4:$D$36,4,0),"")</f>
        <v>Văn Phòng 94</v>
      </c>
      <c r="Y722" s="1104" t="str">
        <f>IFERROR(VLOOKUP(V722,'NS QUẢN LÝ CG'!$A$4:$C$36,3,0),"")</f>
        <v>0965509539</v>
      </c>
      <c r="Z722" s="731">
        <f>IFERROR(VLOOKUP(M722,'02. MM-KLH'!$B$6:$T$823,3,0),"")</f>
        <v>0</v>
      </c>
      <c r="AA722" s="353" t="str">
        <f t="shared" si="48"/>
        <v/>
      </c>
      <c r="AB722" s="731"/>
      <c r="AC722" s="731"/>
    </row>
    <row r="723" ht="13.8" spans="1:29">
      <c r="A723" s="731"/>
      <c r="B723" s="613" t="str">
        <f>IFERROR(VLOOKUP(M723,'02. MM-KLH'!$B$6:$T$823,6,0),"")</f>
        <v>Xe công vụ Mazda BT50</v>
      </c>
      <c r="C723" s="353">
        <v>1</v>
      </c>
      <c r="D723" s="353" t="str">
        <f>IFERROR(VLOOKUP(M723,'02. MM-KLH'!$B$6:$T$823,16,0),"")</f>
        <v>BT50</v>
      </c>
      <c r="E723" s="353" t="s">
        <v>5978</v>
      </c>
      <c r="F723" s="353"/>
      <c r="G723" s="353"/>
      <c r="H723" s="353" t="str">
        <f>IFERROR(VLOOKUP(M723,'02. MM-KLH'!$B$6:$T$823,17,0),"")</f>
        <v>148HP</v>
      </c>
      <c r="I723" s="763">
        <f>IFERROR(VLOOKUP(M723,'02. MM-KLH'!$B$6:$U$823,20,0),"")</f>
        <v>0</v>
      </c>
      <c r="J723" s="613">
        <f>IFERROR(VLOOKUP(M723,'02. MM-KLH'!$B$6:$T$823,19,0),"")</f>
        <v>0</v>
      </c>
      <c r="K723" s="613">
        <f>IFERROR(VLOOKUP(M723,'02. MM-KLH'!$B$6:$T$823,18,0),"")</f>
        <v>0</v>
      </c>
      <c r="L723" s="353" t="str">
        <f>IFERROR(VLOOKUP(M723,'02. MM-KLH'!$B$6:$T$823,4,0),"")</f>
        <v>51D-617.64</v>
      </c>
      <c r="M723" s="49" t="s">
        <v>2753</v>
      </c>
      <c r="N723" s="356">
        <f>IFERROR(VLOOKUP(M723,'02. MM-KLH'!$B$6:$T$823,15,0),"")</f>
        <v>2018</v>
      </c>
      <c r="O723" s="764">
        <f>IFERROR(VLOOKUP(M723,'02. MM-KLH'!$B$6:$T$823,9,0),"")</f>
        <v>0</v>
      </c>
      <c r="P723" s="353"/>
      <c r="Q723" s="353"/>
      <c r="R723" s="353" t="s">
        <v>5978</v>
      </c>
      <c r="S723" s="353"/>
      <c r="T723" s="353"/>
      <c r="U723" s="353" t="str">
        <f>IFERROR(VLOOKUP(M723,'02. MM-KLH'!$B$6:$T$823,5,0),"")</f>
        <v>ĐQSD</v>
      </c>
      <c r="V723" s="731" t="str">
        <f>IFERROR(VLOOKUP(M723,'02. MM-KLH'!$B$6:$T$823,8,0),"")</f>
        <v>HÀNH CHÍNH KLH</v>
      </c>
      <c r="W723" s="353" t="str">
        <f>IFERROR(VLOOKUP(V723,'NS QUẢN LÝ CG'!$A$4:$D$36,2,0),"")</f>
        <v>Lê Trần Hoàng Minh</v>
      </c>
      <c r="X723" s="353" t="str">
        <f>IFERROR(VLOOKUP(V723,'NS QUẢN LÝ CG'!$A$4:$D$36,4,0),"")</f>
        <v>Văn Phòng 94</v>
      </c>
      <c r="Y723" s="1104" t="str">
        <f>IFERROR(VLOOKUP(V723,'NS QUẢN LÝ CG'!$A$4:$C$36,3,0),"")</f>
        <v>0965509539</v>
      </c>
      <c r="Z723" s="731">
        <f>IFERROR(VLOOKUP(M723,'02. MM-KLH'!$B$6:$T$823,3,0),"")</f>
        <v>0</v>
      </c>
      <c r="AA723" s="353" t="str">
        <f t="shared" si="48"/>
        <v/>
      </c>
      <c r="AB723" s="731"/>
      <c r="AC723" s="731"/>
    </row>
    <row r="724" ht="13.8" spans="1:29">
      <c r="A724" s="731"/>
      <c r="B724" s="613" t="str">
        <f>IFERROR(VLOOKUP(M724,'02. MM-KLH'!$B$6:$T$823,6,0),"")</f>
        <v>Xe công vụ Mazda BT50</v>
      </c>
      <c r="C724" s="353">
        <v>1</v>
      </c>
      <c r="D724" s="353" t="str">
        <f>IFERROR(VLOOKUP(M724,'02. MM-KLH'!$B$6:$T$823,16,0),"")</f>
        <v>BT50</v>
      </c>
      <c r="E724" s="353" t="s">
        <v>5978</v>
      </c>
      <c r="F724" s="353"/>
      <c r="G724" s="353"/>
      <c r="H724" s="353" t="str">
        <f>IFERROR(VLOOKUP(M724,'02. MM-KLH'!$B$6:$T$823,17,0),"")</f>
        <v>148HP</v>
      </c>
      <c r="I724" s="763">
        <f>IFERROR(VLOOKUP(M724,'02. MM-KLH'!$B$6:$U$823,20,0),"")</f>
        <v>0</v>
      </c>
      <c r="J724" s="613" t="str">
        <f>IFERROR(VLOOKUP(M724,'02. MM-KLH'!$B$6:$T$823,19,0),"")</f>
        <v>P5AT2648320</v>
      </c>
      <c r="K724" s="613" t="str">
        <f>IFERROR(VLOOKUP(M724,'02. MM-KLH'!$B$6:$T$823,18,0),"")</f>
        <v>MM7UR4DF1KW855663</v>
      </c>
      <c r="L724" s="353" t="str">
        <f>IFERROR(VLOOKUP(M724,'02. MM-KLH'!$B$6:$T$823,4,0),"")</f>
        <v>51D-607.44</v>
      </c>
      <c r="M724" s="49" t="s">
        <v>2757</v>
      </c>
      <c r="N724" s="356">
        <f>IFERROR(VLOOKUP(M724,'02. MM-KLH'!$B$6:$T$823,15,0),"")</f>
        <v>2018</v>
      </c>
      <c r="O724" s="764">
        <f>IFERROR(VLOOKUP(M724,'02. MM-KLH'!$B$6:$T$823,9,0),"")</f>
        <v>0</v>
      </c>
      <c r="P724" s="353"/>
      <c r="Q724" s="353"/>
      <c r="R724" s="353" t="s">
        <v>5978</v>
      </c>
      <c r="S724" s="353"/>
      <c r="T724" s="353"/>
      <c r="U724" s="353" t="str">
        <f>IFERROR(VLOOKUP(M724,'02. MM-KLH'!$B$6:$T$823,5,0),"")</f>
        <v>ĐQSD</v>
      </c>
      <c r="V724" s="731" t="str">
        <f>IFERROR(VLOOKUP(M724,'02. MM-KLH'!$B$6:$T$823,8,0),"")</f>
        <v>HÀNH CHÍNH KLH</v>
      </c>
      <c r="W724" s="353" t="str">
        <f>IFERROR(VLOOKUP(V724,'NS QUẢN LÝ CG'!$A$4:$D$36,2,0),"")</f>
        <v>Lê Trần Hoàng Minh</v>
      </c>
      <c r="X724" s="353" t="str">
        <f>IFERROR(VLOOKUP(V724,'NS QUẢN LÝ CG'!$A$4:$D$36,4,0),"")</f>
        <v>Văn Phòng 94</v>
      </c>
      <c r="Y724" s="1104" t="str">
        <f>IFERROR(VLOOKUP(V724,'NS QUẢN LÝ CG'!$A$4:$C$36,3,0),"")</f>
        <v>0965509539</v>
      </c>
      <c r="Z724" s="731">
        <f>IFERROR(VLOOKUP(M724,'02. MM-KLH'!$B$6:$T$823,3,0),"")</f>
        <v>0</v>
      </c>
      <c r="AA724" s="353" t="str">
        <f t="shared" si="48"/>
        <v/>
      </c>
      <c r="AB724" s="731"/>
      <c r="AC724" s="731"/>
    </row>
    <row r="725" ht="13.8" spans="1:29">
      <c r="A725" s="731"/>
      <c r="B725" s="613" t="str">
        <f>IFERROR(VLOOKUP(M725,'02. MM-KLH'!$B$6:$T$823,6,0),"")</f>
        <v>Xe công vụ Mazda BT50</v>
      </c>
      <c r="C725" s="353">
        <v>1</v>
      </c>
      <c r="D725" s="353" t="str">
        <f>IFERROR(VLOOKUP(M725,'02. MM-KLH'!$B$6:$T$823,16,0),"")</f>
        <v>BT50</v>
      </c>
      <c r="E725" s="353" t="s">
        <v>5978</v>
      </c>
      <c r="F725" s="353"/>
      <c r="G725" s="353"/>
      <c r="H725" s="353" t="str">
        <f>IFERROR(VLOOKUP(M725,'02. MM-KLH'!$B$6:$T$823,17,0),"")</f>
        <v>148HP</v>
      </c>
      <c r="I725" s="763">
        <f>IFERROR(VLOOKUP(M725,'02. MM-KLH'!$B$6:$U$823,20,0),"")</f>
        <v>0</v>
      </c>
      <c r="J725" s="613" t="str">
        <f>IFERROR(VLOOKUP(M725,'02. MM-KLH'!$B$6:$T$823,19,0),"")</f>
        <v>P5AT2523639</v>
      </c>
      <c r="K725" s="613" t="str">
        <f>IFERROR(VLOOKUP(M725,'02. MM-KLH'!$B$6:$T$823,18,0),"")</f>
        <v>MM7UR4DF5JW777547</v>
      </c>
      <c r="L725" s="353" t="str">
        <f>IFERROR(VLOOKUP(M725,'02. MM-KLH'!$B$6:$T$823,4,0),"")</f>
        <v>51D-609.04</v>
      </c>
      <c r="M725" s="49" t="s">
        <v>2762</v>
      </c>
      <c r="N725" s="356">
        <f>IFERROR(VLOOKUP(M725,'02. MM-KLH'!$B$6:$T$823,15,0),"")</f>
        <v>2017</v>
      </c>
      <c r="O725" s="764">
        <f>IFERROR(VLOOKUP(M725,'02. MM-KLH'!$B$6:$T$823,9,0),"")</f>
        <v>0</v>
      </c>
      <c r="P725" s="353"/>
      <c r="Q725" s="353"/>
      <c r="R725" s="353" t="s">
        <v>5978</v>
      </c>
      <c r="S725" s="353"/>
      <c r="T725" s="353"/>
      <c r="U725" s="353" t="str">
        <f>IFERROR(VLOOKUP(M725,'02. MM-KLH'!$B$6:$T$823,5,0),"")</f>
        <v>ĐQSD</v>
      </c>
      <c r="V725" s="731" t="str">
        <f>IFERROR(VLOOKUP(M725,'02. MM-KLH'!$B$6:$T$823,8,0),"")</f>
        <v>HÀNH CHÍNH KLH</v>
      </c>
      <c r="W725" s="353" t="str">
        <f>IFERROR(VLOOKUP(V725,'NS QUẢN LÝ CG'!$A$4:$D$36,2,0),"")</f>
        <v>Lê Trần Hoàng Minh</v>
      </c>
      <c r="X725" s="353" t="str">
        <f>IFERROR(VLOOKUP(V725,'NS QUẢN LÝ CG'!$A$4:$D$36,4,0),"")</f>
        <v>Văn Phòng 94</v>
      </c>
      <c r="Y725" s="1104" t="str">
        <f>IFERROR(VLOOKUP(V725,'NS QUẢN LÝ CG'!$A$4:$C$36,3,0),"")</f>
        <v>0965509539</v>
      </c>
      <c r="Z725" s="731">
        <f>IFERROR(VLOOKUP(M725,'02. MM-KLH'!$B$6:$T$823,3,0),"")</f>
        <v>0</v>
      </c>
      <c r="AA725" s="353" t="str">
        <f t="shared" si="48"/>
        <v/>
      </c>
      <c r="AB725" s="731"/>
      <c r="AC725" s="731"/>
    </row>
    <row r="726" ht="13.8" spans="1:29">
      <c r="A726" s="731"/>
      <c r="B726" s="613" t="str">
        <f>IFERROR(VLOOKUP(M726,'02. MM-KLH'!$B$6:$T$823,6,0),"")</f>
        <v>Xe công vụ Ford Everest</v>
      </c>
      <c r="C726" s="353">
        <v>1</v>
      </c>
      <c r="D726" s="353" t="str">
        <f>IFERROR(VLOOKUP(M726,'02. MM-KLH'!$B$6:$T$823,16,0),"")</f>
        <v>EVEREST</v>
      </c>
      <c r="E726" s="353" t="s">
        <v>5978</v>
      </c>
      <c r="F726" s="353"/>
      <c r="G726" s="353"/>
      <c r="H726" s="353" t="str">
        <f>IFERROR(VLOOKUP(M726,'02. MM-KLH'!$B$6:$T$823,17,0),"")</f>
        <v>141HP</v>
      </c>
      <c r="I726" s="763">
        <f>IFERROR(VLOOKUP(M726,'02. MM-KLH'!$B$6:$U$823,20,0),"")</f>
        <v>0</v>
      </c>
      <c r="J726" s="613">
        <f>IFERROR(VLOOKUP(M726,'02. MM-KLH'!$B$6:$T$823,19,0),"")</f>
        <v>0</v>
      </c>
      <c r="K726" s="613">
        <f>IFERROR(VLOOKUP(M726,'02. MM-KLH'!$B$6:$T$823,18,0),"")</f>
        <v>0</v>
      </c>
      <c r="L726" s="353" t="str">
        <f>IFERROR(VLOOKUP(M726,'02. MM-KLH'!$B$6:$T$823,4,0),"")</f>
        <v>51A-812.37</v>
      </c>
      <c r="M726" s="49" t="s">
        <v>2768</v>
      </c>
      <c r="N726" s="356">
        <f>IFERROR(VLOOKUP(M726,'02. MM-KLH'!$B$6:$T$823,15,0),"")</f>
        <v>2014</v>
      </c>
      <c r="O726" s="764">
        <f>IFERROR(VLOOKUP(M726,'02. MM-KLH'!$B$6:$T$823,9,0),"")</f>
        <v>0</v>
      </c>
      <c r="P726" s="353"/>
      <c r="Q726" s="353"/>
      <c r="R726" s="353" t="s">
        <v>5978</v>
      </c>
      <c r="S726" s="353"/>
      <c r="T726" s="353"/>
      <c r="U726" s="353" t="str">
        <f>IFERROR(VLOOKUP(M726,'02. MM-KLH'!$B$6:$T$823,5,0),"")</f>
        <v>ĐQSD</v>
      </c>
      <c r="V726" s="731" t="str">
        <f>IFERROR(VLOOKUP(M726,'02. MM-KLH'!$B$6:$T$823,8,0),"")</f>
        <v>HÀNH CHÍNH KLH</v>
      </c>
      <c r="W726" s="353" t="str">
        <f>IFERROR(VLOOKUP(V726,'NS QUẢN LÝ CG'!$A$4:$D$36,2,0),"")</f>
        <v>Lê Trần Hoàng Minh</v>
      </c>
      <c r="X726" s="353" t="str">
        <f>IFERROR(VLOOKUP(V726,'NS QUẢN LÝ CG'!$A$4:$D$36,4,0),"")</f>
        <v>Văn Phòng 94</v>
      </c>
      <c r="Y726" s="1104" t="str">
        <f>IFERROR(VLOOKUP(V726,'NS QUẢN LÝ CG'!$A$4:$C$36,3,0),"")</f>
        <v>0965509539</v>
      </c>
      <c r="Z726" s="731">
        <f>IFERROR(VLOOKUP(M726,'02. MM-KLH'!$B$6:$T$823,3,0),"")</f>
        <v>0</v>
      </c>
      <c r="AA726" s="353" t="str">
        <f t="shared" si="48"/>
        <v/>
      </c>
      <c r="AB726" s="731"/>
      <c r="AC726" s="731"/>
    </row>
    <row r="727" ht="13.8" spans="1:29">
      <c r="A727" s="731"/>
      <c r="B727" s="613" t="str">
        <f>IFERROR(VLOOKUP(M727,'02. MM-KLH'!$B$6:$T$823,6,0),"")</f>
        <v>Xe công vụ Mazda BT50</v>
      </c>
      <c r="C727" s="353">
        <v>1</v>
      </c>
      <c r="D727" s="353" t="str">
        <f>IFERROR(VLOOKUP(M727,'02. MM-KLH'!$B$6:$T$823,16,0),"")</f>
        <v>BT50</v>
      </c>
      <c r="E727" s="353" t="s">
        <v>5978</v>
      </c>
      <c r="F727" s="353"/>
      <c r="G727" s="353"/>
      <c r="H727" s="353" t="str">
        <f>IFERROR(VLOOKUP(M727,'02. MM-KLH'!$B$6:$T$823,17,0),"")</f>
        <v>148HP</v>
      </c>
      <c r="I727" s="763">
        <f>IFERROR(VLOOKUP(M727,'02. MM-KLH'!$B$6:$U$823,20,0),"")</f>
        <v>0</v>
      </c>
      <c r="J727" s="613" t="str">
        <f>IFERROR(VLOOKUP(M727,'02. MM-KLH'!$B$6:$T$823,19,0),"")</f>
        <v>P4AT2742432</v>
      </c>
      <c r="K727" s="613" t="str">
        <f>IFERROR(VLOOKUP(M727,'02. MM-KLH'!$B$6:$T$823,18,0),"")</f>
        <v>MM7UR4DD2K936329</v>
      </c>
      <c r="L727" s="353" t="str">
        <f>IFERROR(VLOOKUP(M727,'02. MM-KLH'!$B$6:$T$823,4,0),"")</f>
        <v>51D-634.18</v>
      </c>
      <c r="M727" s="49" t="s">
        <v>2775</v>
      </c>
      <c r="N727" s="356">
        <f>IFERROR(VLOOKUP(M727,'02. MM-KLH'!$B$6:$T$823,15,0),"")</f>
        <v>2018</v>
      </c>
      <c r="O727" s="764">
        <f>IFERROR(VLOOKUP(M727,'02. MM-KLH'!$B$6:$T$823,9,0),"")</f>
        <v>0</v>
      </c>
      <c r="P727" s="353"/>
      <c r="Q727" s="353"/>
      <c r="R727" s="353" t="s">
        <v>5978</v>
      </c>
      <c r="S727" s="353"/>
      <c r="T727" s="353"/>
      <c r="U727" s="353" t="str">
        <f>IFERROR(VLOOKUP(M727,'02. MM-KLH'!$B$6:$T$823,5,0),"")</f>
        <v>ĐQSD</v>
      </c>
      <c r="V727" s="731" t="str">
        <f>IFERROR(VLOOKUP(M727,'02. MM-KLH'!$B$6:$T$823,8,0),"")</f>
        <v>HÀNH CHÍNH KLH</v>
      </c>
      <c r="W727" s="353" t="str">
        <f>IFERROR(VLOOKUP(V727,'NS QUẢN LÝ CG'!$A$4:$D$36,2,0),"")</f>
        <v>Lê Trần Hoàng Minh</v>
      </c>
      <c r="X727" s="353" t="str">
        <f>IFERROR(VLOOKUP(V727,'NS QUẢN LÝ CG'!$A$4:$D$36,4,0),"")</f>
        <v>Văn Phòng 94</v>
      </c>
      <c r="Y727" s="1104" t="str">
        <f>IFERROR(VLOOKUP(V727,'NS QUẢN LÝ CG'!$A$4:$C$36,3,0),"")</f>
        <v>0965509539</v>
      </c>
      <c r="Z727" s="731">
        <f>IFERROR(VLOOKUP(M727,'02. MM-KLH'!$B$6:$T$823,3,0),"")</f>
        <v>0</v>
      </c>
      <c r="AA727" s="353" t="str">
        <f t="shared" si="48"/>
        <v/>
      </c>
      <c r="AB727" s="731"/>
      <c r="AC727" s="731"/>
    </row>
    <row r="728" ht="13.8" spans="1:29">
      <c r="A728" s="731"/>
      <c r="B728" s="613" t="str">
        <f>IFERROR(VLOOKUP(M728,'02. MM-KLH'!$B$6:$T$823,6,0),"")</f>
        <v>Xe công vụ Kia Sedona</v>
      </c>
      <c r="C728" s="353">
        <v>1</v>
      </c>
      <c r="D728" s="353" t="str">
        <f>IFERROR(VLOOKUP(M728,'02. MM-KLH'!$B$6:$T$823,16,0),"")</f>
        <v>SEDONA</v>
      </c>
      <c r="E728" s="353" t="s">
        <v>5978</v>
      </c>
      <c r="F728" s="353"/>
      <c r="G728" s="353"/>
      <c r="H728" s="353" t="str">
        <f>IFERROR(VLOOKUP(M728,'02. MM-KLH'!$B$6:$T$823,17,0),"")</f>
        <v>266HP</v>
      </c>
      <c r="I728" s="763">
        <f>IFERROR(VLOOKUP(M728,'02. MM-KLH'!$B$6:$U$823,20,0),"")</f>
        <v>0</v>
      </c>
      <c r="J728" s="613" t="str">
        <f>IFERROR(VLOOKUP(M728,'02. MM-KLH'!$B$6:$T$823,19,0),"")</f>
        <v>G6DFJS807887</v>
      </c>
      <c r="K728" s="613" t="str">
        <f>IFERROR(VLOOKUP(M728,'02. MM-KLH'!$B$6:$T$823,18,0),"")</f>
        <v>RNYYK51A6JC142077</v>
      </c>
      <c r="L728" s="353" t="str">
        <f>IFERROR(VLOOKUP(M728,'02. MM-KLH'!$B$6:$T$823,4,0),"")</f>
        <v>51H-257.33</v>
      </c>
      <c r="M728" s="49" t="s">
        <v>2780</v>
      </c>
      <c r="N728" s="356">
        <f>IFERROR(VLOOKUP(M728,'02. MM-KLH'!$B$6:$T$823,15,0),"")</f>
        <v>2019</v>
      </c>
      <c r="O728" s="764">
        <f>IFERROR(VLOOKUP(M728,'02. MM-KLH'!$B$6:$T$823,9,0),"")</f>
        <v>0</v>
      </c>
      <c r="P728" s="353"/>
      <c r="Q728" s="353"/>
      <c r="R728" s="353" t="s">
        <v>5978</v>
      </c>
      <c r="S728" s="353"/>
      <c r="T728" s="353"/>
      <c r="U728" s="353" t="str">
        <f>IFERROR(VLOOKUP(M728,'02. MM-KLH'!$B$6:$T$823,5,0),"")</f>
        <v>ĐQSD</v>
      </c>
      <c r="V728" s="731" t="str">
        <f>IFERROR(VLOOKUP(M728,'02. MM-KLH'!$B$6:$T$823,8,0),"")</f>
        <v>HÀNH CHÍNH KLH</v>
      </c>
      <c r="W728" s="353" t="str">
        <f>IFERROR(VLOOKUP(V728,'NS QUẢN LÝ CG'!$A$4:$D$36,2,0),"")</f>
        <v>Lê Trần Hoàng Minh</v>
      </c>
      <c r="X728" s="353" t="str">
        <f>IFERROR(VLOOKUP(V728,'NS QUẢN LÝ CG'!$A$4:$D$36,4,0),"")</f>
        <v>Văn Phòng 94</v>
      </c>
      <c r="Y728" s="1104" t="str">
        <f>IFERROR(VLOOKUP(V728,'NS QUẢN LÝ CG'!$A$4:$C$36,3,0),"")</f>
        <v>0965509539</v>
      </c>
      <c r="Z728" s="731">
        <f>IFERROR(VLOOKUP(M728,'02. MM-KLH'!$B$6:$T$823,3,0),"")</f>
        <v>0</v>
      </c>
      <c r="AA728" s="353" t="str">
        <f t="shared" si="48"/>
        <v/>
      </c>
      <c r="AB728" s="731"/>
      <c r="AC728" s="731"/>
    </row>
    <row r="729" ht="13.8" spans="1:29">
      <c r="A729" s="731"/>
      <c r="B729" s="613" t="str">
        <f>IFERROR(VLOOKUP(M729,'02. MM-KLH'!$B$6:$T$823,6,0),"")</f>
        <v>Xe công vụ Toyota Land Cruiser</v>
      </c>
      <c r="C729" s="353">
        <v>1</v>
      </c>
      <c r="D729" s="353" t="str">
        <f>IFERROR(VLOOKUP(M729,'02. MM-KLH'!$B$6:$T$823,16,0),"")</f>
        <v>CRUISER</v>
      </c>
      <c r="E729" s="353" t="s">
        <v>5978</v>
      </c>
      <c r="F729" s="353"/>
      <c r="G729" s="353"/>
      <c r="H729" s="353" t="str">
        <f>IFERROR(VLOOKUP(M729,'02. MM-KLH'!$B$6:$T$823,17,0),"")</f>
        <v>161HP</v>
      </c>
      <c r="I729" s="763">
        <f>IFERROR(VLOOKUP(M729,'02. MM-KLH'!$B$6:$U$823,20,0),"")</f>
        <v>0</v>
      </c>
      <c r="J729" s="613" t="str">
        <f>IFERROR(VLOOKUP(M729,'02. MM-KLH'!$B$6:$T$823,19,0),"")</f>
        <v>1GR8968561</v>
      </c>
      <c r="K729" s="613" t="str">
        <f>IFERROR(VLOOKUP(M729,'02. MM-KLH'!$B$6:$T$823,18,0),"")</f>
        <v>JTMHU09JX95018220</v>
      </c>
      <c r="L729" s="353" t="str">
        <f>IFERROR(VLOOKUP(M729,'02. MM-KLH'!$B$6:$T$823,4,0),"")</f>
        <v>2B-3789</v>
      </c>
      <c r="M729" s="49" t="s">
        <v>2785</v>
      </c>
      <c r="N729" s="356">
        <f>IFERROR(VLOOKUP(M729,'02. MM-KLH'!$B$6:$T$823,15,0),"")</f>
        <v>2009</v>
      </c>
      <c r="O729" s="764">
        <f>IFERROR(VLOOKUP(M729,'02. MM-KLH'!$B$6:$T$823,9,0),"")</f>
        <v>0</v>
      </c>
      <c r="P729" s="353"/>
      <c r="Q729" s="353"/>
      <c r="R729" s="353" t="s">
        <v>5978</v>
      </c>
      <c r="S729" s="353"/>
      <c r="T729" s="353"/>
      <c r="U729" s="353" t="str">
        <f>IFERROR(VLOOKUP(M729,'02. MM-KLH'!$B$6:$T$823,5,0),"")</f>
        <v>ĐQSD</v>
      </c>
      <c r="V729" s="731" t="str">
        <f>IFERROR(VLOOKUP(M729,'02. MM-KLH'!$B$6:$T$823,8,0),"")</f>
        <v>HÀNH CHÍNH KLH</v>
      </c>
      <c r="W729" s="353" t="str">
        <f>IFERROR(VLOOKUP(V729,'NS QUẢN LÝ CG'!$A$4:$D$36,2,0),"")</f>
        <v>Lê Trần Hoàng Minh</v>
      </c>
      <c r="X729" s="353" t="str">
        <f>IFERROR(VLOOKUP(V729,'NS QUẢN LÝ CG'!$A$4:$D$36,4,0),"")</f>
        <v>Văn Phòng 94</v>
      </c>
      <c r="Y729" s="1104" t="str">
        <f>IFERROR(VLOOKUP(V729,'NS QUẢN LÝ CG'!$A$4:$C$36,3,0),"")</f>
        <v>0965509539</v>
      </c>
      <c r="Z729" s="731">
        <f>IFERROR(VLOOKUP(M729,'02. MM-KLH'!$B$6:$T$823,3,0),"")</f>
        <v>0</v>
      </c>
      <c r="AA729" s="353" t="str">
        <f t="shared" si="48"/>
        <v/>
      </c>
      <c r="AB729" s="731"/>
      <c r="AC729" s="731"/>
    </row>
    <row r="730" ht="13.8" spans="1:29">
      <c r="A730" s="731"/>
      <c r="B730" s="613" t="str">
        <f>IFERROR(VLOOKUP(M730,'02. MM-KLH'!$B$6:$T$823,6,0),"")</f>
        <v>Xe công vụ Toyota Hilux</v>
      </c>
      <c r="C730" s="353">
        <v>1</v>
      </c>
      <c r="D730" s="353" t="str">
        <f>IFERROR(VLOOKUP(M730,'02. MM-KLH'!$B$6:$T$823,16,0),"")</f>
        <v>HILLUX</v>
      </c>
      <c r="E730" s="353" t="s">
        <v>5978</v>
      </c>
      <c r="F730" s="353"/>
      <c r="G730" s="353"/>
      <c r="H730" s="353" t="str">
        <f>IFERROR(VLOOKUP(M730,'02. MM-KLH'!$B$6:$T$823,17,0),"")</f>
        <v>148HP</v>
      </c>
      <c r="I730" s="763">
        <f>IFERROR(VLOOKUP(M730,'02. MM-KLH'!$B$6:$U$823,20,0),"")</f>
        <v>0</v>
      </c>
      <c r="J730" s="613" t="str">
        <f>IFERROR(VLOOKUP(M730,'02. MM-KLH'!$B$6:$T$823,19,0),"")</f>
        <v>1KDU299927</v>
      </c>
      <c r="K730" s="613" t="str">
        <f>IFERROR(VLOOKUP(M730,'02. MM-KLH'!$B$6:$T$823,18,0),"")</f>
        <v>MROFZ29G101692700</v>
      </c>
      <c r="L730" s="353" t="str">
        <f>IFERROR(VLOOKUP(M730,'02. MM-KLH'!$B$6:$T$823,4,0),"")</f>
        <v>81C-04260</v>
      </c>
      <c r="M730" s="49" t="s">
        <v>2794</v>
      </c>
      <c r="N730" s="356">
        <f>IFERROR(VLOOKUP(M730,'02. MM-KLH'!$B$6:$T$823,15,0),"")</f>
        <v>2013</v>
      </c>
      <c r="O730" s="764">
        <f>IFERROR(VLOOKUP(M730,'02. MM-KLH'!$B$6:$T$823,9,0),"")</f>
        <v>0</v>
      </c>
      <c r="P730" s="353"/>
      <c r="Q730" s="353"/>
      <c r="R730" s="353" t="s">
        <v>5978</v>
      </c>
      <c r="S730" s="353"/>
      <c r="T730" s="353"/>
      <c r="U730" s="353" t="str">
        <f>IFERROR(VLOOKUP(M730,'02. MM-KLH'!$B$6:$T$823,5,0),"")</f>
        <v>ĐQSD</v>
      </c>
      <c r="V730" s="731" t="str">
        <f>IFERROR(VLOOKUP(M730,'02. MM-KLH'!$B$6:$T$823,8,0),"")</f>
        <v>HÀNH CHÍNH KLH</v>
      </c>
      <c r="W730" s="353" t="str">
        <f>IFERROR(VLOOKUP(V730,'NS QUẢN LÝ CG'!$A$4:$D$36,2,0),"")</f>
        <v>Lê Trần Hoàng Minh</v>
      </c>
      <c r="X730" s="353" t="str">
        <f>IFERROR(VLOOKUP(V730,'NS QUẢN LÝ CG'!$A$4:$D$36,4,0),"")</f>
        <v>Văn Phòng 94</v>
      </c>
      <c r="Y730" s="1104" t="str">
        <f>IFERROR(VLOOKUP(V730,'NS QUẢN LÝ CG'!$A$4:$C$36,3,0),"")</f>
        <v>0965509539</v>
      </c>
      <c r="Z730" s="731">
        <f>IFERROR(VLOOKUP(M730,'02. MM-KLH'!$B$6:$T$823,3,0),"")</f>
        <v>0</v>
      </c>
      <c r="AA730" s="353" t="str">
        <f t="shared" si="48"/>
        <v/>
      </c>
      <c r="AB730" s="731"/>
      <c r="AC730" s="731"/>
    </row>
    <row r="731" ht="13.8" spans="1:29">
      <c r="A731" s="731"/>
      <c r="B731" s="613" t="str">
        <f>IFERROR(VLOOKUP(M731,'02. MM-KLH'!$B$6:$T$823,6,0),"")</f>
        <v>Xe công vụ Mazda CX8</v>
      </c>
      <c r="C731" s="353">
        <v>1</v>
      </c>
      <c r="D731" s="353" t="str">
        <f>IFERROR(VLOOKUP(M731,'02. MM-KLH'!$B$6:$T$823,16,0),"")</f>
        <v>CX8</v>
      </c>
      <c r="E731" s="353" t="s">
        <v>5978</v>
      </c>
      <c r="F731" s="353"/>
      <c r="G731" s="353"/>
      <c r="H731" s="353" t="str">
        <f>IFERROR(VLOOKUP(M731,'02. MM-KLH'!$B$6:$T$823,17,0),"")</f>
        <v>188HP</v>
      </c>
      <c r="I731" s="763">
        <f>IFERROR(VLOOKUP(M731,'02. MM-KLH'!$B$6:$U$823,20,0),"")</f>
        <v>0</v>
      </c>
      <c r="J731" s="613" t="str">
        <f>IFERROR(VLOOKUP(M731,'02. MM-KLH'!$B$6:$T$823,19,0),"")</f>
        <v>PY31030035</v>
      </c>
      <c r="K731" s="613" t="str">
        <f>IFERROR(VLOOKUP(M731,'02. MM-KLH'!$B$6:$T$823,18,0),"")</f>
        <v>RN2K35346KM018796</v>
      </c>
      <c r="L731" s="353" t="str">
        <f>IFERROR(VLOOKUP(M731,'02. MM-KLH'!$B$6:$T$823,4,0),"")</f>
        <v>92A -338.08</v>
      </c>
      <c r="M731" s="49" t="s">
        <v>2801</v>
      </c>
      <c r="N731" s="356">
        <f>IFERROR(VLOOKUP(M731,'02. MM-KLH'!$B$6:$T$823,15,0),"")</f>
        <v>2019</v>
      </c>
      <c r="O731" s="764">
        <f>IFERROR(VLOOKUP(M731,'02. MM-KLH'!$B$6:$T$823,9,0),"")</f>
        <v>0</v>
      </c>
      <c r="P731" s="353"/>
      <c r="Q731" s="353"/>
      <c r="R731" s="353" t="s">
        <v>5978</v>
      </c>
      <c r="S731" s="353"/>
      <c r="T731" s="353"/>
      <c r="U731" s="353" t="str">
        <f>IFERROR(VLOOKUP(M731,'02. MM-KLH'!$B$6:$T$823,5,0),"")</f>
        <v>ĐQSD</v>
      </c>
      <c r="V731" s="731" t="str">
        <f>IFERROR(VLOOKUP(M731,'02. MM-KLH'!$B$6:$T$823,8,0),"")</f>
        <v>HÀNH CHÍNH KLH</v>
      </c>
      <c r="W731" s="353" t="str">
        <f>IFERROR(VLOOKUP(V731,'NS QUẢN LÝ CG'!$A$4:$D$36,2,0),"")</f>
        <v>Lê Trần Hoàng Minh</v>
      </c>
      <c r="X731" s="353" t="str">
        <f>IFERROR(VLOOKUP(V731,'NS QUẢN LÝ CG'!$A$4:$D$36,4,0),"")</f>
        <v>Văn Phòng 94</v>
      </c>
      <c r="Y731" s="1104" t="str">
        <f>IFERROR(VLOOKUP(V731,'NS QUẢN LÝ CG'!$A$4:$C$36,3,0),"")</f>
        <v>0965509539</v>
      </c>
      <c r="Z731" s="731">
        <f>IFERROR(VLOOKUP(M731,'02. MM-KLH'!$B$6:$T$823,3,0),"")</f>
        <v>0</v>
      </c>
      <c r="AA731" s="353" t="str">
        <f t="shared" si="48"/>
        <v/>
      </c>
      <c r="AB731" s="731"/>
      <c r="AC731" s="731"/>
    </row>
    <row r="732" ht="13.8" spans="1:29">
      <c r="A732" s="731"/>
      <c r="B732" s="613" t="str">
        <f>IFERROR(VLOOKUP(M732,'02. MM-KLH'!$B$6:$T$823,6,0),"")</f>
        <v>Xe cấp cứu Hyundai Starex</v>
      </c>
      <c r="C732" s="353">
        <v>1</v>
      </c>
      <c r="D732" s="353" t="str">
        <f>IFERROR(VLOOKUP(M732,'02. MM-KLH'!$B$6:$T$823,16,0),"")</f>
        <v>STAREX</v>
      </c>
      <c r="E732" s="353" t="s">
        <v>5978</v>
      </c>
      <c r="F732" s="353"/>
      <c r="G732" s="353"/>
      <c r="H732" s="353" t="str">
        <f>IFERROR(VLOOKUP(M732,'02. MM-KLH'!$B$6:$T$823,17,0),"")</f>
        <v>100HP</v>
      </c>
      <c r="I732" s="763">
        <f>IFERROR(VLOOKUP(M732,'02. MM-KLH'!$B$6:$U$823,20,0),"")</f>
        <v>0</v>
      </c>
      <c r="J732" s="613">
        <f>IFERROR(VLOOKUP(M732,'02. MM-KLH'!$B$6:$T$823,19,0),"")</f>
        <v>0</v>
      </c>
      <c r="K732" s="613">
        <f>IFERROR(VLOOKUP(M732,'02. MM-KLH'!$B$6:$T$823,18,0),"")</f>
        <v>0</v>
      </c>
      <c r="L732" s="353" t="str">
        <f>IFERROR(VLOOKUP(M732,'02. MM-KLH'!$B$6:$T$823,4,0),"")</f>
        <v>2A-0522</v>
      </c>
      <c r="M732" s="49" t="s">
        <v>2808</v>
      </c>
      <c r="N732" s="356">
        <f>IFERROR(VLOOKUP(M732,'02. MM-KLH'!$B$6:$T$823,15,0),"")</f>
        <v>2016</v>
      </c>
      <c r="O732" s="764">
        <f>IFERROR(VLOOKUP(M732,'02. MM-KLH'!$B$6:$T$823,9,0),"")</f>
        <v>0</v>
      </c>
      <c r="P732" s="353"/>
      <c r="Q732" s="353"/>
      <c r="R732" s="353" t="s">
        <v>5978</v>
      </c>
      <c r="S732" s="353"/>
      <c r="T732" s="353"/>
      <c r="U732" s="353" t="str">
        <f>IFERROR(VLOOKUP(M732,'02. MM-KLH'!$B$6:$T$823,5,0),"")</f>
        <v>ĐQSD</v>
      </c>
      <c r="V732" s="731" t="str">
        <f>IFERROR(VLOOKUP(M732,'02. MM-KLH'!$B$6:$T$823,8,0),"")</f>
        <v>HÀNH CHÍNH KLH</v>
      </c>
      <c r="W732" s="353" t="str">
        <f>IFERROR(VLOOKUP(V732,'NS QUẢN LÝ CG'!$A$4:$D$36,2,0),"")</f>
        <v>Lê Trần Hoàng Minh</v>
      </c>
      <c r="X732" s="353" t="str">
        <f>IFERROR(VLOOKUP(V732,'NS QUẢN LÝ CG'!$A$4:$D$36,4,0),"")</f>
        <v>Văn Phòng 94</v>
      </c>
      <c r="Y732" s="1104" t="str">
        <f>IFERROR(VLOOKUP(V732,'NS QUẢN LÝ CG'!$A$4:$C$36,3,0),"")</f>
        <v>0965509539</v>
      </c>
      <c r="Z732" s="731">
        <f>IFERROR(VLOOKUP(M732,'02. MM-KLH'!$B$6:$T$823,3,0),"")</f>
        <v>0</v>
      </c>
      <c r="AA732" s="353" t="str">
        <f t="shared" si="48"/>
        <v/>
      </c>
      <c r="AB732" s="731"/>
      <c r="AC732" s="731"/>
    </row>
    <row r="733" ht="13.8" spans="1:29">
      <c r="A733" s="731"/>
      <c r="B733" s="613" t="str">
        <f>IFERROR(VLOOKUP(M733,'02. MM-KLH'!$B$6:$T$823,6,0),"")</f>
        <v>Xe công vụ Ford Everest</v>
      </c>
      <c r="C733" s="353">
        <v>1</v>
      </c>
      <c r="D733" s="353" t="str">
        <f>IFERROR(VLOOKUP(M733,'02. MM-KLH'!$B$6:$T$823,16,0),"")</f>
        <v>EVEREST</v>
      </c>
      <c r="E733" s="353" t="s">
        <v>5978</v>
      </c>
      <c r="F733" s="353"/>
      <c r="G733" s="353"/>
      <c r="H733" s="353" t="str">
        <f>IFERROR(VLOOKUP(M733,'02. MM-KLH'!$B$6:$T$823,17,0),"")</f>
        <v>141HP</v>
      </c>
      <c r="I733" s="763">
        <f>IFERROR(VLOOKUP(M733,'02. MM-KLH'!$B$6:$U$823,20,0),"")</f>
        <v>0</v>
      </c>
      <c r="J733" s="613" t="str">
        <f>IFERROR(VLOOKUP(M733,'02. MM-KLH'!$B$6:$T$823,19,0),"")</f>
        <v>YNWQRLY00046</v>
      </c>
      <c r="K733" s="613" t="str">
        <f>IFERROR(VLOOKUP(M733,'02. MM-KLH'!$B$6:$T$823,18,0),"")</f>
        <v>PV5XWER8RLY00766</v>
      </c>
      <c r="L733" s="353" t="str">
        <f>IFERROR(VLOOKUP(M733,'02. MM-KLH'!$B$6:$T$823,4,0),"")</f>
        <v>2B-6868</v>
      </c>
      <c r="M733" s="49" t="s">
        <v>2812</v>
      </c>
      <c r="N733" s="356">
        <f>IFERROR(VLOOKUP(M733,'02. MM-KLH'!$B$6:$T$823,15,0),"")</f>
        <v>2024</v>
      </c>
      <c r="O733" s="764">
        <f>IFERROR(VLOOKUP(M733,'02. MM-KLH'!$B$6:$T$823,9,0),"")</f>
        <v>0</v>
      </c>
      <c r="P733" s="353"/>
      <c r="Q733" s="353"/>
      <c r="R733" s="353" t="s">
        <v>5978</v>
      </c>
      <c r="S733" s="353"/>
      <c r="T733" s="353"/>
      <c r="U733" s="353" t="str">
        <f>IFERROR(VLOOKUP(M733,'02. MM-KLH'!$B$6:$T$823,5,0),"")</f>
        <v>ĐQSD</v>
      </c>
      <c r="V733" s="731" t="str">
        <f>IFERROR(VLOOKUP(M733,'02. MM-KLH'!$B$6:$T$823,8,0),"")</f>
        <v>HÀNH CHÍNH KLH</v>
      </c>
      <c r="W733" s="353" t="str">
        <f>IFERROR(VLOOKUP(V733,'NS QUẢN LÝ CG'!$A$4:$D$36,2,0),"")</f>
        <v>Lê Trần Hoàng Minh</v>
      </c>
      <c r="X733" s="353" t="str">
        <f>IFERROR(VLOOKUP(V733,'NS QUẢN LÝ CG'!$A$4:$D$36,4,0),"")</f>
        <v>Văn Phòng 94</v>
      </c>
      <c r="Y733" s="1104" t="str">
        <f>IFERROR(VLOOKUP(V733,'NS QUẢN LÝ CG'!$A$4:$C$36,3,0),"")</f>
        <v>0965509539</v>
      </c>
      <c r="Z733" s="731">
        <f>IFERROR(VLOOKUP(M733,'02. MM-KLH'!$B$6:$T$823,3,0),"")</f>
        <v>0</v>
      </c>
      <c r="AA733" s="353" t="str">
        <f t="shared" si="48"/>
        <v/>
      </c>
      <c r="AB733" s="731"/>
      <c r="AC733" s="731"/>
    </row>
    <row r="734" ht="13.8" spans="1:29">
      <c r="A734" s="731"/>
      <c r="B734" s="613" t="str">
        <f>IFERROR(VLOOKUP(M734,'02. MM-KLH'!$B$6:$T$823,6,0),"")</f>
        <v>Xe công vụ Mazda BT50</v>
      </c>
      <c r="C734" s="353">
        <v>1</v>
      </c>
      <c r="D734" s="353" t="str">
        <f>IFERROR(VLOOKUP(M734,'02. MM-KLH'!$B$6:$T$823,16,0),"")</f>
        <v>BT50</v>
      </c>
      <c r="E734" s="353" t="s">
        <v>5978</v>
      </c>
      <c r="F734" s="353"/>
      <c r="G734" s="353"/>
      <c r="H734" s="353" t="str">
        <f>IFERROR(VLOOKUP(M734,'02. MM-KLH'!$B$6:$T$823,17,0),"")</f>
        <v>148HP</v>
      </c>
      <c r="I734" s="763">
        <f>IFERROR(VLOOKUP(M734,'02. MM-KLH'!$B$6:$U$823,20,0),"")</f>
        <v>0</v>
      </c>
      <c r="J734" s="613" t="str">
        <f>IFERROR(VLOOKUP(M734,'02. MM-KLH'!$B$6:$T$823,19,0),"")</f>
        <v>P5AT2707088</v>
      </c>
      <c r="K734" s="613" t="str">
        <f>IFERROR(VLOOKUP(M734,'02. MM-KLH'!$B$6:$T$823,18,0),"")</f>
        <v>MM7UR4DF9KW903331</v>
      </c>
      <c r="L734" s="353" t="str">
        <f>IFERROR(VLOOKUP(M734,'02. MM-KLH'!$B$6:$T$823,4,0),"")</f>
        <v>51D-62994</v>
      </c>
      <c r="M734" s="49" t="s">
        <v>2818</v>
      </c>
      <c r="N734" s="356">
        <f>IFERROR(VLOOKUP(M734,'02. MM-KLH'!$B$6:$T$823,15,0),"")</f>
        <v>2018</v>
      </c>
      <c r="O734" s="764">
        <f>IFERROR(VLOOKUP(M734,'02. MM-KLH'!$B$6:$T$823,9,0),"")</f>
        <v>0</v>
      </c>
      <c r="P734" s="353"/>
      <c r="Q734" s="353"/>
      <c r="R734" s="353" t="s">
        <v>5978</v>
      </c>
      <c r="S734" s="353"/>
      <c r="T734" s="353"/>
      <c r="U734" s="353" t="str">
        <f>IFERROR(VLOOKUP(M734,'02. MM-KLH'!$B$6:$T$823,5,0),"")</f>
        <v>ĐQSD</v>
      </c>
      <c r="V734" s="731" t="str">
        <f>IFERROR(VLOOKUP(M734,'02. MM-KLH'!$B$6:$T$823,8,0),"")</f>
        <v>HÀNH CHÍNH KLH</v>
      </c>
      <c r="W734" s="353" t="str">
        <f>IFERROR(VLOOKUP(V734,'NS QUẢN LÝ CG'!$A$4:$D$36,2,0),"")</f>
        <v>Lê Trần Hoàng Minh</v>
      </c>
      <c r="X734" s="353" t="str">
        <f>IFERROR(VLOOKUP(V734,'NS QUẢN LÝ CG'!$A$4:$D$36,4,0),"")</f>
        <v>Văn Phòng 94</v>
      </c>
      <c r="Y734" s="1104" t="str">
        <f>IFERROR(VLOOKUP(V734,'NS QUẢN LÝ CG'!$A$4:$C$36,3,0),"")</f>
        <v>0965509539</v>
      </c>
      <c r="Z734" s="731">
        <f>IFERROR(VLOOKUP(M734,'02. MM-KLH'!$B$6:$T$823,3,0),"")</f>
        <v>0</v>
      </c>
      <c r="AA734" s="353" t="str">
        <f t="shared" si="48"/>
        <v/>
      </c>
      <c r="AB734" s="731"/>
      <c r="AC734" s="731"/>
    </row>
    <row r="735" ht="13.8" spans="1:29">
      <c r="A735" s="731"/>
      <c r="B735" s="613" t="str">
        <f>IFERROR(VLOOKUP(M735,'02. MM-KLH'!$B$6:$T$823,6,0),"")</f>
        <v>Xe bus</v>
      </c>
      <c r="C735" s="353">
        <v>1</v>
      </c>
      <c r="D735" s="353">
        <f>IFERROR(VLOOKUP(M735,'02. MM-KLH'!$B$6:$T$823,16,0),"")</f>
        <v>0</v>
      </c>
      <c r="E735" s="353" t="s">
        <v>5978</v>
      </c>
      <c r="F735" s="353"/>
      <c r="G735" s="353"/>
      <c r="H735" s="353">
        <f>IFERROR(VLOOKUP(M735,'02. MM-KLH'!$B$6:$T$823,17,0),"")</f>
        <v>0</v>
      </c>
      <c r="I735" s="763">
        <f>IFERROR(VLOOKUP(M735,'02. MM-KLH'!$B$6:$U$823,20,0),"")</f>
        <v>8</v>
      </c>
      <c r="J735" s="613">
        <f>IFERROR(VLOOKUP(M735,'02. MM-KLH'!$B$6:$T$823,19,0),"")</f>
        <v>0</v>
      </c>
      <c r="K735" s="613">
        <f>IFERROR(VLOOKUP(M735,'02. MM-KLH'!$B$6:$T$823,18,0),"")</f>
        <v>0</v>
      </c>
      <c r="L735" s="353" t="str">
        <f>IFERROR(VLOOKUP(M735,'02. MM-KLH'!$B$6:$T$823,4,0),"")</f>
        <v>92B-00858</v>
      </c>
      <c r="M735" s="49" t="s">
        <v>2823</v>
      </c>
      <c r="N735" s="356">
        <f>IFERROR(VLOOKUP(M735,'02. MM-KLH'!$B$6:$T$823,15,0),"")</f>
        <v>0</v>
      </c>
      <c r="O735" s="764">
        <f>IFERROR(VLOOKUP(M735,'02. MM-KLH'!$B$6:$T$823,9,0),"")</f>
        <v>0</v>
      </c>
      <c r="P735" s="353"/>
      <c r="Q735" s="353"/>
      <c r="R735" s="353" t="s">
        <v>5978</v>
      </c>
      <c r="S735" s="353"/>
      <c r="T735" s="353"/>
      <c r="U735" s="353" t="str">
        <f>IFERROR(VLOOKUP(M735,'02. MM-KLH'!$B$6:$T$823,5,0),"")</f>
        <v>ĐQSD</v>
      </c>
      <c r="V735" s="731" t="str">
        <f>IFERROR(VLOOKUP(M735,'02. MM-KLH'!$B$6:$T$823,8,0),"")</f>
        <v>HÀNH CHÍNH KLH</v>
      </c>
      <c r="W735" s="353" t="str">
        <f>IFERROR(VLOOKUP(V735,'NS QUẢN LÝ CG'!$A$4:$D$36,2,0),"")</f>
        <v>Lê Trần Hoàng Minh</v>
      </c>
      <c r="X735" s="353" t="str">
        <f>IFERROR(VLOOKUP(V735,'NS QUẢN LÝ CG'!$A$4:$D$36,4,0),"")</f>
        <v>Văn Phòng 94</v>
      </c>
      <c r="Y735" s="1104" t="str">
        <f>IFERROR(VLOOKUP(V735,'NS QUẢN LÝ CG'!$A$4:$C$36,3,0),"")</f>
        <v>0965509539</v>
      </c>
      <c r="Z735" s="731">
        <f>IFERROR(VLOOKUP(M735,'02. MM-KLH'!$B$6:$T$823,3,0),"")</f>
        <v>0</v>
      </c>
      <c r="AA735" s="353" t="str">
        <f t="shared" si="48"/>
        <v/>
      </c>
      <c r="AB735" s="731"/>
      <c r="AC735" s="731"/>
    </row>
    <row r="736" ht="13.8" spans="1:29">
      <c r="A736" s="731"/>
      <c r="B736" s="613" t="str">
        <f>IFERROR(VLOOKUP(M736,'02. MM-KLH'!$B$6:$T$823,6,0),"")</f>
        <v>Xe tải đông lạnh K200</v>
      </c>
      <c r="C736" s="353">
        <v>1</v>
      </c>
      <c r="D736" s="353" t="str">
        <f>IFERROR(VLOOKUP(M736,'02. MM-KLH'!$B$6:$T$823,16,0),"")</f>
        <v>K200</v>
      </c>
      <c r="E736" s="353" t="s">
        <v>5978</v>
      </c>
      <c r="F736" s="353"/>
      <c r="G736" s="353"/>
      <c r="H736" s="353" t="str">
        <f>IFERROR(VLOOKUP(M736,'02. MM-KLH'!$B$6:$T$823,17,0),"")</f>
        <v>130HP</v>
      </c>
      <c r="I736" s="763">
        <f>IFERROR(VLOOKUP(M736,'02. MM-KLH'!$B$6:$U$823,20,0),"")</f>
        <v>2.9</v>
      </c>
      <c r="J736" s="613" t="str">
        <f>IFERROR(VLOOKUP(M736,'02. MM-KLH'!$B$6:$T$823,19,0),"")</f>
        <v>RD577729D4CB</v>
      </c>
      <c r="K736" s="613" t="str">
        <f>IFERROR(VLOOKUP(M736,'02. MM-KLH'!$B$6:$T$823,18,0),"")</f>
        <v>RNHA39KHERT094672</v>
      </c>
      <c r="L736" s="353" t="str">
        <f>IFERROR(VLOOKUP(M736,'02. MM-KLH'!$B$6:$T$823,4,0),"")</f>
        <v>2A-0091</v>
      </c>
      <c r="M736" s="49" t="s">
        <v>2826</v>
      </c>
      <c r="N736" s="356">
        <f>IFERROR(VLOOKUP(M736,'02. MM-KLH'!$B$6:$T$823,15,0),"")</f>
        <v>2024</v>
      </c>
      <c r="O736" s="764">
        <f>IFERROR(VLOOKUP(M736,'02. MM-KLH'!$B$6:$T$823,9,0),"")</f>
        <v>45452</v>
      </c>
      <c r="P736" s="353"/>
      <c r="Q736" s="353"/>
      <c r="R736" s="353" t="s">
        <v>5978</v>
      </c>
      <c r="S736" s="353"/>
      <c r="T736" s="353"/>
      <c r="U736" s="353" t="str">
        <f>IFERROR(VLOOKUP(M736,'02. MM-KLH'!$B$6:$T$823,5,0),"")</f>
        <v>MỚI</v>
      </c>
      <c r="V736" s="731" t="str">
        <f>IFERROR(VLOOKUP(M736,'02. MM-KLH'!$B$6:$T$823,8,0),"")</f>
        <v>HÀNH CHÍNH KLH</v>
      </c>
      <c r="W736" s="353" t="str">
        <f>IFERROR(VLOOKUP(V736,'NS QUẢN LÝ CG'!$A$4:$D$36,2,0),"")</f>
        <v>Lê Trần Hoàng Minh</v>
      </c>
      <c r="X736" s="353" t="str">
        <f>IFERROR(VLOOKUP(V736,'NS QUẢN LÝ CG'!$A$4:$D$36,4,0),"")</f>
        <v>Văn Phòng 94</v>
      </c>
      <c r="Y736" s="1104" t="str">
        <f>IFERROR(VLOOKUP(V736,'NS QUẢN LÝ CG'!$A$4:$C$36,3,0),"")</f>
        <v>0965509539</v>
      </c>
      <c r="Z736" s="731" t="str">
        <f>IFERROR(VLOOKUP(M736,'02. MM-KLH'!$B$6:$T$823,3,0),"")</f>
        <v>A23-TĐL-001</v>
      </c>
      <c r="AA736" s="353" t="str">
        <f t="shared" si="48"/>
        <v>DP</v>
      </c>
      <c r="AB736" s="731"/>
      <c r="AC736" s="731"/>
    </row>
    <row r="737" ht="13.8" spans="1:29">
      <c r="A737" s="731"/>
      <c r="B737" s="613" t="str">
        <f>IFERROR(VLOOKUP(M737,'02. MM-KLH'!$B$6:$T$823,6,0),"")</f>
        <v>Xe tải đông lạnh K200</v>
      </c>
      <c r="C737" s="353">
        <v>1</v>
      </c>
      <c r="D737" s="353" t="str">
        <f>IFERROR(VLOOKUP(M737,'02. MM-KLH'!$B$6:$T$823,16,0),"")</f>
        <v>K200</v>
      </c>
      <c r="E737" s="353" t="s">
        <v>5978</v>
      </c>
      <c r="F737" s="353"/>
      <c r="G737" s="353"/>
      <c r="H737" s="353" t="str">
        <f>IFERROR(VLOOKUP(M737,'02. MM-KLH'!$B$6:$T$823,17,0),"")</f>
        <v>130HP</v>
      </c>
      <c r="I737" s="763">
        <f>IFERROR(VLOOKUP(M737,'02. MM-KLH'!$B$6:$U$823,20,0),"")</f>
        <v>2.9</v>
      </c>
      <c r="J737" s="613" t="str">
        <f>IFERROR(VLOOKUP(M737,'02. MM-KLH'!$B$6:$T$823,19,0),"")</f>
        <v>RD577733D4CB</v>
      </c>
      <c r="K737" s="613" t="str">
        <f>IFERROR(VLOOKUP(M737,'02. MM-KLH'!$B$6:$T$823,18,0),"")</f>
        <v>RNHA39KHERT094673</v>
      </c>
      <c r="L737" s="353" t="str">
        <f>IFERROR(VLOOKUP(M737,'02. MM-KLH'!$B$6:$T$823,4,0),"")</f>
        <v>2A-0046</v>
      </c>
      <c r="M737" s="49" t="s">
        <v>2832</v>
      </c>
      <c r="N737" s="356">
        <f>IFERROR(VLOOKUP(M737,'02. MM-KLH'!$B$6:$T$823,15,0),"")</f>
        <v>2024</v>
      </c>
      <c r="O737" s="764">
        <f>IFERROR(VLOOKUP(M737,'02. MM-KLH'!$B$6:$T$823,9,0),"")</f>
        <v>45452</v>
      </c>
      <c r="P737" s="353"/>
      <c r="Q737" s="353"/>
      <c r="R737" s="353" t="s">
        <v>5978</v>
      </c>
      <c r="S737" s="353"/>
      <c r="T737" s="353"/>
      <c r="U737" s="353" t="str">
        <f>IFERROR(VLOOKUP(M737,'02. MM-KLH'!$B$6:$T$823,5,0),"")</f>
        <v>MỚI</v>
      </c>
      <c r="V737" s="731" t="str">
        <f>IFERROR(VLOOKUP(M737,'02. MM-KLH'!$B$6:$T$823,8,0),"")</f>
        <v>HÀNH CHÍNH KLH</v>
      </c>
      <c r="W737" s="353" t="str">
        <f>IFERROR(VLOOKUP(V737,'NS QUẢN LÝ CG'!$A$4:$D$36,2,0),"")</f>
        <v>Lê Trần Hoàng Minh</v>
      </c>
      <c r="X737" s="353" t="str">
        <f>IFERROR(VLOOKUP(V737,'NS QUẢN LÝ CG'!$A$4:$D$36,4,0),"")</f>
        <v>Văn Phòng 94</v>
      </c>
      <c r="Y737" s="1104" t="str">
        <f>IFERROR(VLOOKUP(V737,'NS QUẢN LÝ CG'!$A$4:$C$36,3,0),"")</f>
        <v>0965509539</v>
      </c>
      <c r="Z737" s="731" t="str">
        <f>IFERROR(VLOOKUP(M737,'02. MM-KLH'!$B$6:$T$823,3,0),"")</f>
        <v>A23-TĐL-002</v>
      </c>
      <c r="AA737" s="353" t="str">
        <f t="shared" si="48"/>
        <v>DP</v>
      </c>
      <c r="AB737" s="731"/>
      <c r="AC737" s="731"/>
    </row>
    <row r="738" ht="13.8" spans="1:29">
      <c r="A738" s="731"/>
      <c r="B738" s="613" t="str">
        <f>IFERROR(VLOOKUP(M738,'02. MM-KLH'!$B$6:$T$823,6,0),"")</f>
        <v>Xe tải đông lạnh K200</v>
      </c>
      <c r="C738" s="353">
        <v>1</v>
      </c>
      <c r="D738" s="353" t="str">
        <f>IFERROR(VLOOKUP(M738,'02. MM-KLH'!$B$6:$T$823,16,0),"")</f>
        <v>K200</v>
      </c>
      <c r="E738" s="353" t="s">
        <v>5978</v>
      </c>
      <c r="F738" s="353"/>
      <c r="G738" s="353"/>
      <c r="H738" s="353" t="str">
        <f>IFERROR(VLOOKUP(M738,'02. MM-KLH'!$B$6:$T$823,17,0),"")</f>
        <v>130HP</v>
      </c>
      <c r="I738" s="763">
        <f>IFERROR(VLOOKUP(M738,'02. MM-KLH'!$B$6:$U$823,20,0),"")</f>
        <v>2.9</v>
      </c>
      <c r="J738" s="613" t="str">
        <f>IFERROR(VLOOKUP(M738,'02. MM-KLH'!$B$6:$T$823,19,0),"")</f>
        <v>RD577734D4CB</v>
      </c>
      <c r="K738" s="613" t="str">
        <f>IFERROR(VLOOKUP(M738,'02. MM-KLH'!$B$6:$T$823,18,0),"")</f>
        <v>RNHA39KHERT094674</v>
      </c>
      <c r="L738" s="353" t="str">
        <f>IFERROR(VLOOKUP(M738,'02. MM-KLH'!$B$6:$T$823,4,0),"")</f>
        <v>2A-0109</v>
      </c>
      <c r="M738" s="49" t="s">
        <v>2837</v>
      </c>
      <c r="N738" s="356">
        <f>IFERROR(VLOOKUP(M738,'02. MM-KLH'!$B$6:$T$823,15,0),"")</f>
        <v>2024</v>
      </c>
      <c r="O738" s="764">
        <f>IFERROR(VLOOKUP(M738,'02. MM-KLH'!$B$6:$T$823,9,0),"")</f>
        <v>45452</v>
      </c>
      <c r="P738" s="353"/>
      <c r="Q738" s="353"/>
      <c r="R738" s="353" t="s">
        <v>5978</v>
      </c>
      <c r="S738" s="353"/>
      <c r="T738" s="353"/>
      <c r="U738" s="353" t="str">
        <f>IFERROR(VLOOKUP(M738,'02. MM-KLH'!$B$6:$T$823,5,0),"")</f>
        <v>MỚI</v>
      </c>
      <c r="V738" s="731" t="str">
        <f>IFERROR(VLOOKUP(M738,'02. MM-KLH'!$B$6:$T$823,8,0),"")</f>
        <v>HÀNH CHÍNH KLH</v>
      </c>
      <c r="W738" s="353" t="str">
        <f>IFERROR(VLOOKUP(V738,'NS QUẢN LÝ CG'!$A$4:$D$36,2,0),"")</f>
        <v>Lê Trần Hoàng Minh</v>
      </c>
      <c r="X738" s="353" t="str">
        <f>IFERROR(VLOOKUP(V738,'NS QUẢN LÝ CG'!$A$4:$D$36,4,0),"")</f>
        <v>Văn Phòng 94</v>
      </c>
      <c r="Y738" s="1104" t="str">
        <f>IFERROR(VLOOKUP(V738,'NS QUẢN LÝ CG'!$A$4:$C$36,3,0),"")</f>
        <v>0965509539</v>
      </c>
      <c r="Z738" s="731" t="str">
        <f>IFERROR(VLOOKUP(M738,'02. MM-KLH'!$B$6:$T$823,3,0),"")</f>
        <v>A23-TĐL-003</v>
      </c>
      <c r="AA738" s="353" t="str">
        <f t="shared" si="48"/>
        <v>DP</v>
      </c>
      <c r="AB738" s="731"/>
      <c r="AC738" s="731"/>
    </row>
    <row r="739" ht="13.8" spans="1:29">
      <c r="A739" s="731"/>
      <c r="B739" s="613" t="str">
        <f>IFERROR(VLOOKUP(M739,'02. MM-KLH'!$B$6:$T$823,6,0),"")</f>
        <v>Xe chở rác K250B</v>
      </c>
      <c r="C739" s="353">
        <v>1</v>
      </c>
      <c r="D739" s="353" t="str">
        <f>IFERROR(VLOOKUP(M739,'02. MM-KLH'!$B$6:$T$823,16,0),"")</f>
        <v>K250B</v>
      </c>
      <c r="E739" s="353" t="s">
        <v>5978</v>
      </c>
      <c r="F739" s="353"/>
      <c r="G739" s="353"/>
      <c r="H739" s="353" t="str">
        <f>IFERROR(VLOOKUP(M739,'02. MM-KLH'!$B$6:$T$823,17,0),"")</f>
        <v>130HP</v>
      </c>
      <c r="I739" s="763">
        <f>IFERROR(VLOOKUP(M739,'02. MM-KLH'!$B$6:$U$823,20,0),"")</f>
        <v>0</v>
      </c>
      <c r="J739" s="613" t="str">
        <f>IFERROR(VLOOKUP(M739,'02. MM-KLH'!$B$6:$T$823,19,0),"")</f>
        <v>LD527221D4CB</v>
      </c>
      <c r="K739" s="613" t="str">
        <f>IFERROR(VLOOKUP(M739,'02. MM-KLH'!$B$6:$T$823,18,0),"")</f>
        <v>RNHA49KHEPT069328</v>
      </c>
      <c r="L739" s="353">
        <f>IFERROR(VLOOKUP(M739,'02. MM-KLH'!$B$6:$T$823,4,0),"")</f>
        <v>0</v>
      </c>
      <c r="M739" s="49" t="s">
        <v>2842</v>
      </c>
      <c r="N739" s="356">
        <f>IFERROR(VLOOKUP(M739,'02. MM-KLH'!$B$6:$T$823,15,0),"")</f>
        <v>2023</v>
      </c>
      <c r="O739" s="764">
        <f>IFERROR(VLOOKUP(M739,'02. MM-KLH'!$B$6:$T$823,9,0),"")</f>
        <v>45452</v>
      </c>
      <c r="P739" s="353"/>
      <c r="Q739" s="353"/>
      <c r="R739" s="353" t="s">
        <v>5978</v>
      </c>
      <c r="S739" s="353"/>
      <c r="T739" s="353"/>
      <c r="U739" s="353" t="str">
        <f>IFERROR(VLOOKUP(M739,'02. MM-KLH'!$B$6:$T$823,5,0),"")</f>
        <v>MỚI</v>
      </c>
      <c r="V739" s="731" t="str">
        <f>IFERROR(VLOOKUP(M739,'02. MM-KLH'!$B$6:$T$823,8,0),"")</f>
        <v>HÀNH CHÍNH KLH</v>
      </c>
      <c r="W739" s="353" t="str">
        <f>IFERROR(VLOOKUP(V739,'NS QUẢN LÝ CG'!$A$4:$D$36,2,0),"")</f>
        <v>Lê Trần Hoàng Minh</v>
      </c>
      <c r="X739" s="353" t="str">
        <f>IFERROR(VLOOKUP(V739,'NS QUẢN LÝ CG'!$A$4:$D$36,4,0),"")</f>
        <v>Văn Phòng 94</v>
      </c>
      <c r="Y739" s="1104" t="str">
        <f>IFERROR(VLOOKUP(V739,'NS QUẢN LÝ CG'!$A$4:$C$36,3,0),"")</f>
        <v>0965509539</v>
      </c>
      <c r="Z739" s="731" t="str">
        <f>IFERROR(VLOOKUP(M739,'02. MM-KLH'!$B$6:$T$823,3,0),"")</f>
        <v>A23-XCR-001</v>
      </c>
      <c r="AA739" s="353" t="str">
        <f t="shared" si="48"/>
        <v>DP</v>
      </c>
      <c r="AB739" s="731"/>
      <c r="AC739" s="731"/>
    </row>
    <row r="740" ht="13.8" spans="1:29">
      <c r="A740" s="731"/>
      <c r="B740" s="613" t="str">
        <f>IFERROR(VLOOKUP(M740,'02. MM-KLH'!$B$6:$T$823,6,0),"")</f>
        <v>Xe tải thùng FD140</v>
      </c>
      <c r="C740" s="353">
        <v>1</v>
      </c>
      <c r="D740" s="353" t="str">
        <f>IFERROR(VLOOKUP(M740,'02. MM-KLH'!$B$6:$T$823,16,0),"")</f>
        <v>FD140</v>
      </c>
      <c r="E740" s="353" t="s">
        <v>5978</v>
      </c>
      <c r="F740" s="353"/>
      <c r="G740" s="353"/>
      <c r="H740" s="353" t="str">
        <f>IFERROR(VLOOKUP(M740,'02. MM-KLH'!$B$6:$T$823,17,0),"")</f>
        <v>140HP</v>
      </c>
      <c r="I740" s="763">
        <f>IFERROR(VLOOKUP(M740,'02. MM-KLH'!$B$6:$U$823,20,0),"")</f>
        <v>0.3</v>
      </c>
      <c r="J740" s="613" t="str">
        <f>IFERROR(VLOOKUP(M740,'02. MM-KLH'!$B$6:$T$823,19,0),"")</f>
        <v>CCN</v>
      </c>
      <c r="K740" s="613">
        <f>IFERROR(VLOOKUP(M740,'02. MM-KLH'!$B$6:$T$823,18,0),"")</f>
        <v>49596</v>
      </c>
      <c r="L740" s="353">
        <f>IFERROR(VLOOKUP(M740,'02. MM-KLH'!$B$6:$T$823,4,0),"")</f>
        <v>0</v>
      </c>
      <c r="M740" s="49" t="s">
        <v>2853</v>
      </c>
      <c r="N740" s="356">
        <f>IFERROR(VLOOKUP(M740,'02. MM-KLH'!$B$6:$T$823,15,0),"")</f>
        <v>2021</v>
      </c>
      <c r="O740" s="764">
        <f>IFERROR(VLOOKUP(M740,'02. MM-KLH'!$B$6:$T$823,9,0),"")</f>
        <v>44570</v>
      </c>
      <c r="P740" s="353"/>
      <c r="Q740" s="353"/>
      <c r="R740" s="353" t="s">
        <v>5978</v>
      </c>
      <c r="S740" s="353"/>
      <c r="T740" s="353"/>
      <c r="U740" s="353" t="str">
        <f>IFERROR(VLOOKUP(M740,'02. MM-KLH'!$B$6:$T$823,5,0),"")</f>
        <v>ĐQSD</v>
      </c>
      <c r="V740" s="731" t="str">
        <f>IFERROR(VLOOKUP(M740,'02. MM-KLH'!$B$6:$T$823,8,0),"")</f>
        <v>HÀNH CHÍNH KLH</v>
      </c>
      <c r="W740" s="353" t="str">
        <f>IFERROR(VLOOKUP(V740,'NS QUẢN LÝ CG'!$A$4:$D$36,2,0),"")</f>
        <v>Lê Trần Hoàng Minh</v>
      </c>
      <c r="X740" s="353" t="str">
        <f>IFERROR(VLOOKUP(V740,'NS QUẢN LÝ CG'!$A$4:$D$36,4,0),"")</f>
        <v>Văn Phòng 94</v>
      </c>
      <c r="Y740" s="1104" t="str">
        <f>IFERROR(VLOOKUP(V740,'NS QUẢN LÝ CG'!$A$4:$C$36,3,0),"")</f>
        <v>0965509539</v>
      </c>
      <c r="Z740" s="731" t="str">
        <f>IFERROR(VLOOKUP(M740,'02. MM-KLH'!$B$6:$T$823,3,0),"")</f>
        <v>ATM-A23-0053</v>
      </c>
      <c r="AA740" s="353" t="str">
        <f t="shared" si="48"/>
        <v/>
      </c>
      <c r="AB740" s="731"/>
      <c r="AC740" s="731"/>
    </row>
    <row r="741" ht="13.8" spans="1:29">
      <c r="A741" s="731"/>
      <c r="B741" s="613" t="str">
        <f>IFERROR(VLOOKUP(M741,'02. MM-KLH'!$B$6:$T$823,6,0),"")</f>
        <v>Xe công vụ 81C-04285</v>
      </c>
      <c r="C741" s="353">
        <v>1</v>
      </c>
      <c r="D741" s="353">
        <f>IFERROR(VLOOKUP(M741,'02. MM-KLH'!$B$6:$T$823,16,0),"")</f>
        <v>0</v>
      </c>
      <c r="E741" s="353" t="s">
        <v>5978</v>
      </c>
      <c r="F741" s="353"/>
      <c r="G741" s="353"/>
      <c r="H741" s="353">
        <f>IFERROR(VLOOKUP(M741,'02. MM-KLH'!$B$6:$T$823,17,0),"")</f>
        <v>0</v>
      </c>
      <c r="I741" s="763">
        <f>IFERROR(VLOOKUP(M741,'02. MM-KLH'!$B$6:$U$823,20,0),"")</f>
        <v>0</v>
      </c>
      <c r="J741" s="613">
        <f>IFERROR(VLOOKUP(M741,'02. MM-KLH'!$B$6:$T$823,19,0),"")</f>
        <v>0</v>
      </c>
      <c r="K741" s="613">
        <f>IFERROR(VLOOKUP(M741,'02. MM-KLH'!$B$6:$T$823,18,0),"")</f>
        <v>0</v>
      </c>
      <c r="L741" s="353" t="str">
        <f>IFERROR(VLOOKUP(M741,'02. MM-KLH'!$B$6:$T$823,4,0),"")</f>
        <v>81C-04285</v>
      </c>
      <c r="M741" s="49" t="s">
        <v>2869</v>
      </c>
      <c r="N741" s="356">
        <f>IFERROR(VLOOKUP(M741,'02. MM-KLH'!$B$6:$T$823,15,0),"")</f>
        <v>0</v>
      </c>
      <c r="O741" s="764" t="str">
        <f>IFERROR(VLOOKUP(M741,'02. MM-KLH'!$B$6:$T$823,9,0),"")</f>
        <v>Đã qua sử dụng</v>
      </c>
      <c r="P741" s="353"/>
      <c r="Q741" s="353"/>
      <c r="R741" s="353" t="s">
        <v>5978</v>
      </c>
      <c r="S741" s="353"/>
      <c r="T741" s="353"/>
      <c r="U741" s="353" t="str">
        <f>IFERROR(VLOOKUP(M741,'02. MM-KLH'!$B$6:$T$823,5,0),"")</f>
        <v>ĐQSD</v>
      </c>
      <c r="V741" s="731" t="str">
        <f>IFERROR(VLOOKUP(M741,'02. MM-KLH'!$B$6:$T$823,8,0),"")</f>
        <v>Thadicons A&amp;I</v>
      </c>
      <c r="W741" s="353">
        <f>IFERROR(VLOOKUP(V741,'NS QUẢN LÝ CG'!$A$4:$D$36,2,0),"")</f>
        <v>0</v>
      </c>
      <c r="X741" s="353">
        <f>IFERROR(VLOOKUP(V741,'NS QUẢN LÝ CG'!$A$4:$D$36,4,0),"")</f>
        <v>0</v>
      </c>
      <c r="Y741" s="353">
        <f>IFERROR(VLOOKUP(V741,'NS QUẢN LÝ CG'!$A$4:$C$36,3,0),"")</f>
        <v>0</v>
      </c>
      <c r="Z741" s="731" t="str">
        <f>IFERROR(VLOOKUP(M741,'02. MM-KLH'!$B$6:$T$823,3,0),"")</f>
        <v>-</v>
      </c>
      <c r="AA741" s="353" t="str">
        <f t="shared" si="48"/>
        <v/>
      </c>
      <c r="AB741" s="731"/>
      <c r="AC741" s="731"/>
    </row>
    <row r="742" ht="13.8" spans="1:29">
      <c r="A742" s="731"/>
      <c r="B742" s="613" t="str">
        <f>IFERROR(VLOOKUP(M742,'02. MM-KLH'!$B$6:$T$823,6,0),"")</f>
        <v/>
      </c>
      <c r="C742" s="353"/>
      <c r="D742" s="353" t="str">
        <f>IFERROR(VLOOKUP(M742,'02. MM-KLH'!$B$6:$T$823,16,0),"")</f>
        <v/>
      </c>
      <c r="E742" s="353"/>
      <c r="F742" s="353"/>
      <c r="G742" s="353"/>
      <c r="H742" s="353" t="str">
        <f>IFERROR(VLOOKUP(M742,'02. MM-KLH'!$B$6:$T$823,17,0),"")</f>
        <v/>
      </c>
      <c r="I742" s="763" t="str">
        <f>IFERROR(VLOOKUP(M742,'02. MM-KLH'!$B$6:$U$823,20,0),"")</f>
        <v/>
      </c>
      <c r="J742" s="613" t="str">
        <f>IFERROR(VLOOKUP(M742,'02. MM-KLH'!$B$6:$T$823,19,0),"")</f>
        <v/>
      </c>
      <c r="K742" s="613" t="str">
        <f>IFERROR(VLOOKUP(M742,'02. MM-KLH'!$B$6:$T$823,18,0),"")</f>
        <v/>
      </c>
      <c r="L742" s="353" t="str">
        <f>IFERROR(VLOOKUP(M742,'02. MM-KLH'!$B$6:$T$823,4,0),"")</f>
        <v/>
      </c>
      <c r="M742" s="49"/>
      <c r="N742" s="356" t="str">
        <f>IFERROR(VLOOKUP(M742,'02. MM-KLH'!$B$6:$T$823,15,0),"")</f>
        <v/>
      </c>
      <c r="O742" s="764" t="str">
        <f>IFERROR(VLOOKUP(M742,'02. MM-KLH'!$B$6:$T$823,9,0),"")</f>
        <v/>
      </c>
      <c r="P742" s="353"/>
      <c r="Q742" s="353"/>
      <c r="R742" s="353"/>
      <c r="S742" s="353"/>
      <c r="T742" s="353"/>
      <c r="U742" s="353" t="str">
        <f>IFERROR(VLOOKUP(M742,'02. MM-KLH'!$B$6:$T$823,5,0),"")</f>
        <v/>
      </c>
      <c r="V742" s="731" t="str">
        <f>IFERROR(VLOOKUP(M742,'02. MM-KLH'!$B$6:$T$823,8,0),"")</f>
        <v/>
      </c>
      <c r="W742" s="353" t="str">
        <f>IFERROR(VLOOKUP(V742,'NS QUẢN LÝ CG'!$A$4:$D$36,2,0),"")</f>
        <v/>
      </c>
      <c r="X742" s="353" t="str">
        <f>IFERROR(VLOOKUP(V742,'NS QUẢN LÝ CG'!$A$4:$D$36,4,0),"")</f>
        <v/>
      </c>
      <c r="Y742" s="353"/>
      <c r="Z742" s="731" t="str">
        <f>IFERROR(VLOOKUP(M742,'02. MM-KLH'!$B$6:$T$823,3,0),"")</f>
        <v/>
      </c>
      <c r="AA742" s="353" t="str">
        <f t="shared" si="48"/>
        <v/>
      </c>
      <c r="AB742" s="731"/>
      <c r="AC742" s="731"/>
    </row>
    <row r="743" ht="13.8" spans="1:29">
      <c r="A743" s="731"/>
      <c r="B743" s="613" t="str">
        <f>IFERROR(VLOOKUP(M743,'02. MM-KLH'!$B$6:$T$823,6,0),"")</f>
        <v/>
      </c>
      <c r="C743" s="353"/>
      <c r="D743" s="353" t="str">
        <f>IFERROR(VLOOKUP(M743,'02. MM-KLH'!$B$6:$T$823,16,0),"")</f>
        <v/>
      </c>
      <c r="E743" s="353"/>
      <c r="F743" s="353"/>
      <c r="G743" s="353"/>
      <c r="H743" s="353" t="str">
        <f>IFERROR(VLOOKUP(M743,'02. MM-KLH'!$B$6:$T$823,17,0),"")</f>
        <v/>
      </c>
      <c r="I743" s="763" t="str">
        <f>IFERROR(VLOOKUP(M743,'02. MM-KLH'!$B$6:$U$823,20,0),"")</f>
        <v/>
      </c>
      <c r="J743" s="613" t="str">
        <f>IFERROR(VLOOKUP(M743,'02. MM-KLH'!$B$6:$T$823,19,0),"")</f>
        <v/>
      </c>
      <c r="K743" s="613" t="str">
        <f>IFERROR(VLOOKUP(M743,'02. MM-KLH'!$B$6:$T$823,18,0),"")</f>
        <v/>
      </c>
      <c r="L743" s="353" t="str">
        <f>IFERROR(VLOOKUP(M743,'02. MM-KLH'!$B$6:$T$823,4,0),"")</f>
        <v/>
      </c>
      <c r="M743" s="49"/>
      <c r="N743" s="356" t="str">
        <f>IFERROR(VLOOKUP(M743,'02. MM-KLH'!$B$6:$T$823,15,0),"")</f>
        <v/>
      </c>
      <c r="O743" s="764" t="str">
        <f>IFERROR(VLOOKUP(M743,'02. MM-KLH'!$B$6:$T$823,9,0),"")</f>
        <v/>
      </c>
      <c r="P743" s="353"/>
      <c r="Q743" s="353"/>
      <c r="R743" s="353"/>
      <c r="S743" s="353"/>
      <c r="T743" s="353"/>
      <c r="U743" s="353" t="str">
        <f>IFERROR(VLOOKUP(M743,'02. MM-KLH'!$B$6:$T$823,2,0),"")</f>
        <v/>
      </c>
      <c r="V743" s="731" t="str">
        <f>IFERROR(VLOOKUP(M743,'02. MM-KLH'!$B$6:$T$823,8,0),"")</f>
        <v/>
      </c>
      <c r="W743" s="353" t="str">
        <f>IFERROR(VLOOKUP(V743,'NS QUẢN LÝ CG'!$A$4:$D$36,2,0),"")</f>
        <v/>
      </c>
      <c r="X743" s="353" t="str">
        <f>IFERROR(VLOOKUP(V743,'NS QUẢN LÝ CG'!$A$4:$D$36,4,0),"")</f>
        <v/>
      </c>
      <c r="Y743" s="353"/>
      <c r="Z743" s="731" t="str">
        <f>IFERROR(VLOOKUP(M743,'02. MM-KLH'!$B$6:$T$823,3,0),"")</f>
        <v/>
      </c>
      <c r="AA743" s="353"/>
      <c r="AB743" s="731"/>
      <c r="AC743" s="731"/>
    </row>
    <row r="744" spans="1:29">
      <c r="A744" s="770" t="s">
        <v>6003</v>
      </c>
      <c r="B744" s="272"/>
      <c r="C744" s="742">
        <f>COUNTA(B745:B790)</f>
        <v>46</v>
      </c>
      <c r="D744" s="743"/>
      <c r="E744" s="743"/>
      <c r="F744" s="743"/>
      <c r="G744" s="743"/>
      <c r="H744" s="744"/>
      <c r="I744" s="744"/>
      <c r="J744" s="745"/>
      <c r="K744" s="745"/>
      <c r="L744" s="743"/>
      <c r="M744" s="743"/>
      <c r="N744" s="743"/>
      <c r="O744" s="746"/>
      <c r="P744" s="743"/>
      <c r="Q744" s="743"/>
      <c r="R744" s="743"/>
      <c r="S744" s="743"/>
      <c r="T744" s="743"/>
      <c r="U744" s="743"/>
      <c r="V744" s="744"/>
      <c r="W744" s="743"/>
      <c r="X744" s="743"/>
      <c r="Y744" s="743"/>
      <c r="Z744" s="744"/>
      <c r="AA744" s="743"/>
      <c r="AB744" s="744"/>
      <c r="AC744" s="771"/>
    </row>
    <row r="745" ht="15.75" customHeight="1" spans="1:29">
      <c r="A745" s="20"/>
      <c r="B745" s="22" t="str">
        <f>IFERROR(VLOOKUP(M745,'02. MM-KLH'!$B$6:$T$823,6,0),"")</f>
        <v>Máy thu hoạch cỏ Ruzi</v>
      </c>
      <c r="C745" s="353">
        <v>1</v>
      </c>
      <c r="D745" s="19" t="str">
        <f>IFERROR(VLOOKUP(M745,'02. MM-KLH'!$B$6:$T$823,16,0),"")</f>
        <v>GX35T</v>
      </c>
      <c r="E745" s="19"/>
      <c r="F745" s="353" t="s">
        <v>5978</v>
      </c>
      <c r="G745" s="19"/>
      <c r="H745" s="19" t="str">
        <f>IFERROR(VLOOKUP(M745,'02. MM-KLH'!$B$6:$T$823,17,0),"")</f>
        <v>1.34HP</v>
      </c>
      <c r="I745" s="772">
        <f>IFERROR(VLOOKUP(M745,'02. MM-KLH'!$B$6:$U$823,20,0),"")</f>
        <v>0</v>
      </c>
      <c r="J745" s="22" t="str">
        <f>IFERROR(VLOOKUP(M745,'02. MM-KLH'!$B$6:$T$823,19,0),"")</f>
        <v>CCN</v>
      </c>
      <c r="K745" s="22" t="str">
        <f>IFERROR(VLOOKUP(M745,'02. MM-KLH'!$B$6:$T$823,18,0),"")</f>
        <v>CCN</v>
      </c>
      <c r="L745" s="19">
        <f>IFERROR(VLOOKUP(M745,'02. MM-KLH'!$B$6:$T$823,4,0),"")</f>
        <v>0</v>
      </c>
      <c r="M745" s="49" t="s">
        <v>2448</v>
      </c>
      <c r="N745" s="23">
        <f>IFERROR(VLOOKUP(M745,'02. MM-KLH'!$B$6:$T$823,15,0),"")</f>
        <v>2025</v>
      </c>
      <c r="O745" s="773">
        <f>IFERROR(VLOOKUP(M745,'02. MM-KLH'!$B$6:$T$823,9,0),"")</f>
        <v>45669</v>
      </c>
      <c r="P745" s="19"/>
      <c r="Q745" s="19"/>
      <c r="R745" s="353" t="s">
        <v>5978</v>
      </c>
      <c r="S745" s="19"/>
      <c r="T745" s="19"/>
      <c r="U745" s="353" t="str">
        <f>IFERROR(VLOOKUP(M745,'02. MM-KLH'!$B$6:$T$823,5,0),"")</f>
        <v>MỚI</v>
      </c>
      <c r="V745" s="20" t="str">
        <f>IFERROR(VLOOKUP(M745,'02. MM-KLH'!$B$6:$T$823,8,0),"")</f>
        <v>XN Bò AD</v>
      </c>
      <c r="W745" s="353" t="str">
        <f>IFERROR(VLOOKUP(V745,'NS QUẢN LÝ CG'!$A$4:$D$36,2,0),"")</f>
        <v/>
      </c>
      <c r="X745" s="353" t="str">
        <f>IFERROR(VLOOKUP(V745,'NS QUẢN LÝ CG'!$A$4:$D$36,4,0),"")</f>
        <v/>
      </c>
      <c r="Y745" s="353" t="str">
        <f>IFERROR(VLOOKUP(V745,'NS QUẢN LÝ CG'!$A$4:$C$36,3,0),"")</f>
        <v/>
      </c>
      <c r="Z745" s="20" t="str">
        <f>IFERROR(VLOOKUP(M745,'02. MM-KLH'!$B$6:$T$823,3,0),"")</f>
        <v>A22-CRZ-001</v>
      </c>
      <c r="AA745" s="353" t="str">
        <f t="shared" ref="AA745:AA790" si="49">_xlfn.SWITCH(LEFT(Z745,3),"A22","ADM","A23","DP","A24","LP","")</f>
        <v>ADM</v>
      </c>
      <c r="AB745" s="20"/>
      <c r="AC745" s="20"/>
    </row>
    <row r="746" ht="15.75" customHeight="1" spans="1:29">
      <c r="A746" s="20"/>
      <c r="B746" s="22" t="str">
        <f>IFERROR(VLOOKUP(M746,'02. MM-KLH'!$B$6:$T$823,6,0),"")</f>
        <v>Máy thu hoạch cỏ Ruzi</v>
      </c>
      <c r="C746" s="353">
        <v>1</v>
      </c>
      <c r="D746" s="19" t="str">
        <f>IFERROR(VLOOKUP(M746,'02. MM-KLH'!$B$6:$T$823,16,0),"")</f>
        <v>GX35T</v>
      </c>
      <c r="E746" s="19"/>
      <c r="F746" s="353" t="s">
        <v>5978</v>
      </c>
      <c r="G746" s="19"/>
      <c r="H746" s="19" t="str">
        <f>IFERROR(VLOOKUP(M746,'02. MM-KLH'!$B$6:$T$823,17,0),"")</f>
        <v>1.34HP</v>
      </c>
      <c r="I746" s="772">
        <f>IFERROR(VLOOKUP(M746,'02. MM-KLH'!$B$6:$U$823,20,0),"")</f>
        <v>0</v>
      </c>
      <c r="J746" s="22" t="str">
        <f>IFERROR(VLOOKUP(M746,'02. MM-KLH'!$B$6:$T$823,19,0),"")</f>
        <v>CCN</v>
      </c>
      <c r="K746" s="22" t="str">
        <f>IFERROR(VLOOKUP(M746,'02. MM-KLH'!$B$6:$T$823,18,0),"")</f>
        <v>CCN</v>
      </c>
      <c r="L746" s="19">
        <f>IFERROR(VLOOKUP(M746,'02. MM-KLH'!$B$6:$T$823,4,0),"")</f>
        <v>0</v>
      </c>
      <c r="M746" s="49" t="s">
        <v>2453</v>
      </c>
      <c r="N746" s="23">
        <f>IFERROR(VLOOKUP(M746,'02. MM-KLH'!$B$6:$T$823,15,0),"")</f>
        <v>2025</v>
      </c>
      <c r="O746" s="773">
        <f>IFERROR(VLOOKUP(M746,'02. MM-KLH'!$B$6:$T$823,9,0),"")</f>
        <v>45669</v>
      </c>
      <c r="P746" s="19"/>
      <c r="Q746" s="19"/>
      <c r="R746" s="353" t="s">
        <v>5978</v>
      </c>
      <c r="S746" s="19"/>
      <c r="T746" s="19"/>
      <c r="U746" s="353" t="str">
        <f>IFERROR(VLOOKUP(M746,'02. MM-KLH'!$B$6:$T$823,5,0),"")</f>
        <v>MỚI</v>
      </c>
      <c r="V746" s="20" t="str">
        <f>IFERROR(VLOOKUP(M746,'02. MM-KLH'!$B$6:$T$823,8,0),"")</f>
        <v>XN Bò AD</v>
      </c>
      <c r="W746" s="353" t="str">
        <f>IFERROR(VLOOKUP(V746,'NS QUẢN LÝ CG'!$A$4:$D$36,2,0),"")</f>
        <v/>
      </c>
      <c r="X746" s="353" t="str">
        <f>IFERROR(VLOOKUP(V746,'NS QUẢN LÝ CG'!$A$4:$D$36,4,0),"")</f>
        <v/>
      </c>
      <c r="Y746" s="353" t="str">
        <f>IFERROR(VLOOKUP(V746,'NS QUẢN LÝ CG'!$A$4:$C$36,3,0),"")</f>
        <v/>
      </c>
      <c r="Z746" s="20" t="str">
        <f>IFERROR(VLOOKUP(M746,'02. MM-KLH'!$B$6:$T$823,3,0),"")</f>
        <v>A22-CRZ-001</v>
      </c>
      <c r="AA746" s="353" t="str">
        <f t="shared" si="49"/>
        <v>ADM</v>
      </c>
      <c r="AB746" s="20"/>
      <c r="AC746" s="20"/>
    </row>
    <row r="747" ht="15.75" customHeight="1" spans="1:29">
      <c r="A747" s="20"/>
      <c r="B747" s="22" t="str">
        <f>IFERROR(VLOOKUP(M747,'02. MM-KLH'!$B$6:$T$823,6,0),"")</f>
        <v>Máy thu hoạch cỏ Ruzi</v>
      </c>
      <c r="C747" s="353">
        <v>1</v>
      </c>
      <c r="D747" s="19" t="str">
        <f>IFERROR(VLOOKUP(M747,'02. MM-KLH'!$B$6:$T$823,16,0),"")</f>
        <v>GX35T</v>
      </c>
      <c r="E747" s="19"/>
      <c r="F747" s="353" t="s">
        <v>5978</v>
      </c>
      <c r="G747" s="19"/>
      <c r="H747" s="19" t="str">
        <f>IFERROR(VLOOKUP(M747,'02. MM-KLH'!$B$6:$T$823,17,0),"")</f>
        <v>1.34HP</v>
      </c>
      <c r="I747" s="772">
        <f>IFERROR(VLOOKUP(M747,'02. MM-KLH'!$B$6:$U$823,20,0),"")</f>
        <v>0</v>
      </c>
      <c r="J747" s="22" t="str">
        <f>IFERROR(VLOOKUP(M747,'02. MM-KLH'!$B$6:$T$823,19,0),"")</f>
        <v>CCN</v>
      </c>
      <c r="K747" s="22" t="str">
        <f>IFERROR(VLOOKUP(M747,'02. MM-KLH'!$B$6:$T$823,18,0),"")</f>
        <v>CCN</v>
      </c>
      <c r="L747" s="19">
        <f>IFERROR(VLOOKUP(M747,'02. MM-KLH'!$B$6:$T$823,4,0),"")</f>
        <v>0</v>
      </c>
      <c r="M747" s="49" t="s">
        <v>2454</v>
      </c>
      <c r="N747" s="23">
        <f>IFERROR(VLOOKUP(M747,'02. MM-KLH'!$B$6:$T$823,15,0),"")</f>
        <v>2025</v>
      </c>
      <c r="O747" s="773">
        <f>IFERROR(VLOOKUP(M747,'02. MM-KLH'!$B$6:$T$823,9,0),"")</f>
        <v>45669</v>
      </c>
      <c r="P747" s="19"/>
      <c r="Q747" s="19"/>
      <c r="R747" s="353" t="s">
        <v>5978</v>
      </c>
      <c r="S747" s="19"/>
      <c r="T747" s="19"/>
      <c r="U747" s="353" t="str">
        <f>IFERROR(VLOOKUP(M747,'02. MM-KLH'!$B$6:$T$823,5,0),"")</f>
        <v>MỚI</v>
      </c>
      <c r="V747" s="20" t="str">
        <f>IFERROR(VLOOKUP(M747,'02. MM-KLH'!$B$6:$T$823,8,0),"")</f>
        <v>XN Bò AD</v>
      </c>
      <c r="W747" s="353" t="str">
        <f>IFERROR(VLOOKUP(V747,'NS QUẢN LÝ CG'!$A$4:$D$36,2,0),"")</f>
        <v/>
      </c>
      <c r="X747" s="353" t="str">
        <f>IFERROR(VLOOKUP(V747,'NS QUẢN LÝ CG'!$A$4:$D$36,4,0),"")</f>
        <v/>
      </c>
      <c r="Y747" s="353" t="str">
        <f>IFERROR(VLOOKUP(V747,'NS QUẢN LÝ CG'!$A$4:$C$36,3,0),"")</f>
        <v/>
      </c>
      <c r="Z747" s="20" t="str">
        <f>IFERROR(VLOOKUP(M747,'02. MM-KLH'!$B$6:$T$823,3,0),"")</f>
        <v>A22-CRZ-001</v>
      </c>
      <c r="AA747" s="353" t="str">
        <f t="shared" si="49"/>
        <v>ADM</v>
      </c>
      <c r="AB747" s="20"/>
      <c r="AC747" s="20"/>
    </row>
    <row r="748" ht="15.75" customHeight="1" spans="1:29">
      <c r="A748" s="20"/>
      <c r="B748" s="22" t="str">
        <f>IFERROR(VLOOKUP(M748,'02. MM-KLH'!$B$6:$T$823,6,0),"")</f>
        <v>Máy thu hoạch cỏ Ruzi</v>
      </c>
      <c r="C748" s="353">
        <v>1</v>
      </c>
      <c r="D748" s="19" t="str">
        <f>IFERROR(VLOOKUP(M748,'02. MM-KLH'!$B$6:$T$823,16,0),"")</f>
        <v>GX35T</v>
      </c>
      <c r="E748" s="19"/>
      <c r="F748" s="353" t="s">
        <v>5978</v>
      </c>
      <c r="G748" s="19"/>
      <c r="H748" s="19" t="str">
        <f>IFERROR(VLOOKUP(M748,'02. MM-KLH'!$B$6:$T$823,17,0),"")</f>
        <v>1.34HP</v>
      </c>
      <c r="I748" s="772">
        <f>IFERROR(VLOOKUP(M748,'02. MM-KLH'!$B$6:$U$823,20,0),"")</f>
        <v>0</v>
      </c>
      <c r="J748" s="22" t="str">
        <f>IFERROR(VLOOKUP(M748,'02. MM-KLH'!$B$6:$T$823,19,0),"")</f>
        <v>CCN</v>
      </c>
      <c r="K748" s="22" t="str">
        <f>IFERROR(VLOOKUP(M748,'02. MM-KLH'!$B$6:$T$823,18,0),"")</f>
        <v>CCN</v>
      </c>
      <c r="L748" s="19">
        <f>IFERROR(VLOOKUP(M748,'02. MM-KLH'!$B$6:$T$823,4,0),"")</f>
        <v>0</v>
      </c>
      <c r="M748" s="49" t="s">
        <v>2455</v>
      </c>
      <c r="N748" s="23">
        <f>IFERROR(VLOOKUP(M748,'02. MM-KLH'!$B$6:$T$823,15,0),"")</f>
        <v>2025</v>
      </c>
      <c r="O748" s="773">
        <f>IFERROR(VLOOKUP(M748,'02. MM-KLH'!$B$6:$T$823,9,0),"")</f>
        <v>45669</v>
      </c>
      <c r="P748" s="19"/>
      <c r="Q748" s="19"/>
      <c r="R748" s="353" t="s">
        <v>5978</v>
      </c>
      <c r="S748" s="19"/>
      <c r="T748" s="19"/>
      <c r="U748" s="353" t="str">
        <f>IFERROR(VLOOKUP(M748,'02. MM-KLH'!$B$6:$T$823,5,0),"")</f>
        <v>MỚI</v>
      </c>
      <c r="V748" s="20" t="str">
        <f>IFERROR(VLOOKUP(M748,'02. MM-KLH'!$B$6:$T$823,8,0),"")</f>
        <v>XN Bò AD</v>
      </c>
      <c r="W748" s="353" t="str">
        <f>IFERROR(VLOOKUP(V748,'NS QUẢN LÝ CG'!$A$4:$D$36,2,0),"")</f>
        <v/>
      </c>
      <c r="X748" s="353" t="str">
        <f>IFERROR(VLOOKUP(V748,'NS QUẢN LÝ CG'!$A$4:$D$36,4,0),"")</f>
        <v/>
      </c>
      <c r="Y748" s="353" t="str">
        <f>IFERROR(VLOOKUP(V748,'NS QUẢN LÝ CG'!$A$4:$C$36,3,0),"")</f>
        <v/>
      </c>
      <c r="Z748" s="20" t="str">
        <f>IFERROR(VLOOKUP(M748,'02. MM-KLH'!$B$6:$T$823,3,0),"")</f>
        <v>A22-CRZ-001</v>
      </c>
      <c r="AA748" s="353" t="str">
        <f t="shared" si="49"/>
        <v>ADM</v>
      </c>
      <c r="AB748" s="20"/>
      <c r="AC748" s="20"/>
    </row>
    <row r="749" ht="15.75" customHeight="1" spans="1:29">
      <c r="A749" s="20"/>
      <c r="B749" s="22" t="str">
        <f>IFERROR(VLOOKUP(M749,'02. MM-KLH'!$B$6:$T$823,6,0),"")</f>
        <v>Máy thu hoạch cỏ Ruzi</v>
      </c>
      <c r="C749" s="353">
        <v>1</v>
      </c>
      <c r="D749" s="19" t="str">
        <f>IFERROR(VLOOKUP(M749,'02. MM-KLH'!$B$6:$T$823,16,0),"")</f>
        <v>GX35T</v>
      </c>
      <c r="E749" s="19"/>
      <c r="F749" s="353" t="s">
        <v>5978</v>
      </c>
      <c r="G749" s="19"/>
      <c r="H749" s="19" t="str">
        <f>IFERROR(VLOOKUP(M749,'02. MM-KLH'!$B$6:$T$823,17,0),"")</f>
        <v>1.34HP</v>
      </c>
      <c r="I749" s="772">
        <f>IFERROR(VLOOKUP(M749,'02. MM-KLH'!$B$6:$U$823,20,0),"")</f>
        <v>0</v>
      </c>
      <c r="J749" s="22" t="str">
        <f>IFERROR(VLOOKUP(M749,'02. MM-KLH'!$B$6:$T$823,19,0),"")</f>
        <v>CCN</v>
      </c>
      <c r="K749" s="22" t="str">
        <f>IFERROR(VLOOKUP(M749,'02. MM-KLH'!$B$6:$T$823,18,0),"")</f>
        <v>CCN</v>
      </c>
      <c r="L749" s="19">
        <f>IFERROR(VLOOKUP(M749,'02. MM-KLH'!$B$6:$T$823,4,0),"")</f>
        <v>0</v>
      </c>
      <c r="M749" s="49" t="s">
        <v>2456</v>
      </c>
      <c r="N749" s="23">
        <f>IFERROR(VLOOKUP(M749,'02. MM-KLH'!$B$6:$T$823,15,0),"")</f>
        <v>2025</v>
      </c>
      <c r="O749" s="773">
        <f>IFERROR(VLOOKUP(M749,'02. MM-KLH'!$B$6:$T$823,9,0),"")</f>
        <v>45669</v>
      </c>
      <c r="P749" s="19"/>
      <c r="Q749" s="19"/>
      <c r="R749" s="353" t="s">
        <v>5978</v>
      </c>
      <c r="S749" s="19"/>
      <c r="T749" s="19"/>
      <c r="U749" s="353" t="str">
        <f>IFERROR(VLOOKUP(M749,'02. MM-KLH'!$B$6:$T$823,5,0),"")</f>
        <v>MỚI</v>
      </c>
      <c r="V749" s="20" t="str">
        <f>IFERROR(VLOOKUP(M749,'02. MM-KLH'!$B$6:$T$823,8,0),"")</f>
        <v>XN Bò AD</v>
      </c>
      <c r="W749" s="353" t="str">
        <f>IFERROR(VLOOKUP(V749,'NS QUẢN LÝ CG'!$A$4:$D$36,2,0),"")</f>
        <v/>
      </c>
      <c r="X749" s="353" t="str">
        <f>IFERROR(VLOOKUP(V749,'NS QUẢN LÝ CG'!$A$4:$D$36,4,0),"")</f>
        <v/>
      </c>
      <c r="Y749" s="353" t="str">
        <f>IFERROR(VLOOKUP(V749,'NS QUẢN LÝ CG'!$A$4:$C$36,3,0),"")</f>
        <v/>
      </c>
      <c r="Z749" s="20" t="str">
        <f>IFERROR(VLOOKUP(M749,'02. MM-KLH'!$B$6:$T$823,3,0),"")</f>
        <v>A22-CRZ-001</v>
      </c>
      <c r="AA749" s="353" t="str">
        <f t="shared" si="49"/>
        <v>ADM</v>
      </c>
      <c r="AB749" s="20"/>
      <c r="AC749" s="20"/>
    </row>
    <row r="750" ht="15.75" customHeight="1" spans="1:29">
      <c r="A750" s="20"/>
      <c r="B750" s="22" t="str">
        <f>IFERROR(VLOOKUP(M750,'02. MM-KLH'!$B$6:$T$823,6,0),"")</f>
        <v>Máy cắt cỏ mini Yanmar</v>
      </c>
      <c r="C750" s="353">
        <v>1</v>
      </c>
      <c r="D750" s="19" t="str">
        <f>IFERROR(VLOOKUP(M750,'02. MM-KLH'!$B$6:$T$823,16,0),"")</f>
        <v>L100N6FJ1P1AAFT</v>
      </c>
      <c r="E750" s="353" t="s">
        <v>5978</v>
      </c>
      <c r="F750" s="19"/>
      <c r="G750" s="19"/>
      <c r="H750" s="19" t="str">
        <f>IFERROR(VLOOKUP(M750,'02. MM-KLH'!$B$6:$T$823,17,0),"")</f>
        <v>10HP</v>
      </c>
      <c r="I750" s="772">
        <f>IFERROR(VLOOKUP(M750,'02. MM-KLH'!$B$6:$U$823,20,0),"")</f>
        <v>0.5</v>
      </c>
      <c r="J750" s="22" t="str">
        <f>IFERROR(VLOOKUP(M750,'02. MM-KLH'!$B$6:$T$823,19,0),"")</f>
        <v>SF6637</v>
      </c>
      <c r="K750" s="22" t="str">
        <f>IFERROR(VLOOKUP(M750,'02. MM-KLH'!$B$6:$T$823,18,0),"")</f>
        <v>A001010284</v>
      </c>
      <c r="L750" s="19">
        <f>IFERROR(VLOOKUP(M750,'02. MM-KLH'!$B$6:$T$823,4,0),"")</f>
        <v>0</v>
      </c>
      <c r="M750" s="49" t="s">
        <v>1212</v>
      </c>
      <c r="N750" s="23">
        <f>IFERROR(VLOOKUP(M750,'02. MM-KLH'!$B$6:$T$823,15,0),"")</f>
        <v>0</v>
      </c>
      <c r="O750" s="773" t="str">
        <f>IFERROR(VLOOKUP(M750,'02. MM-KLH'!$B$6:$T$823,9,0),"")</f>
        <v>30/07/2024</v>
      </c>
      <c r="P750" s="19"/>
      <c r="Q750" s="19"/>
      <c r="R750" s="353" t="s">
        <v>5978</v>
      </c>
      <c r="S750" s="19"/>
      <c r="T750" s="19"/>
      <c r="U750" s="353" t="str">
        <f>IFERROR(VLOOKUP(M750,'02. MM-KLH'!$B$6:$T$823,5,0),"")</f>
        <v>MỚI (ĐQSD)</v>
      </c>
      <c r="V750" s="20" t="str">
        <f>IFERROR(VLOOKUP(M750,'02. MM-KLH'!$B$6:$T$823,8,0),"")</f>
        <v>XN Chuối DP1</v>
      </c>
      <c r="W750" s="353" t="str">
        <f>IFERROR(VLOOKUP(V750,'NS QUẢN LÝ CG'!$A$4:$D$36,2,0),"")</f>
        <v/>
      </c>
      <c r="X750" s="353" t="str">
        <f>IFERROR(VLOOKUP(V750,'NS QUẢN LÝ CG'!$A$4:$D$36,4,0),"")</f>
        <v/>
      </c>
      <c r="Y750" s="353" t="str">
        <f>IFERROR(VLOOKUP(V750,'NS QUẢN LÝ CG'!$A$4:$C$36,3,0),"")</f>
        <v/>
      </c>
      <c r="Z750" s="20" t="str">
        <f>IFERROR(VLOOKUP(M750,'02. MM-KLH'!$B$6:$T$823,3,0),"")</f>
        <v>A23-CCM-001</v>
      </c>
      <c r="AA750" s="353" t="str">
        <f t="shared" si="49"/>
        <v>DP</v>
      </c>
      <c r="AB750" s="20"/>
      <c r="AC750" s="20"/>
    </row>
    <row r="751" ht="15.75" customHeight="1" spans="1:29">
      <c r="A751" s="20"/>
      <c r="B751" s="22" t="str">
        <f>IFERROR(VLOOKUP(M751,'02. MM-KLH'!$B$6:$T$823,6,0),"")</f>
        <v>Máy cắt cỏ đĩa quay 7.5HP</v>
      </c>
      <c r="C751" s="353">
        <v>1</v>
      </c>
      <c r="D751" s="19" t="str">
        <f>IFERROR(VLOOKUP(M751,'02. MM-KLH'!$B$6:$T$823,16,0),"")</f>
        <v>YANMAR YC750</v>
      </c>
      <c r="E751" s="353" t="s">
        <v>5978</v>
      </c>
      <c r="F751" s="19"/>
      <c r="G751" s="19"/>
      <c r="H751" s="19" t="str">
        <f>IFERROR(VLOOKUP(M751,'02. MM-KLH'!$B$6:$T$823,17,0),"")</f>
        <v>7.5HP</v>
      </c>
      <c r="I751" s="772">
        <f>IFERROR(VLOOKUP(M751,'02. MM-KLH'!$B$6:$U$823,20,0),"")</f>
        <v>2.3</v>
      </c>
      <c r="J751" s="22">
        <f>IFERROR(VLOOKUP(M751,'02. MM-KLH'!$B$6:$T$823,19,0),"")</f>
        <v>13422</v>
      </c>
      <c r="K751" s="22">
        <f>IFERROR(VLOOKUP(M751,'02. MM-KLH'!$B$6:$T$823,18,0),"")</f>
        <v>31252</v>
      </c>
      <c r="L751" s="19">
        <f>IFERROR(VLOOKUP(M751,'02. MM-KLH'!$B$6:$T$823,4,0),"")</f>
        <v>0</v>
      </c>
      <c r="M751" s="49" t="s">
        <v>1707</v>
      </c>
      <c r="N751" s="23">
        <f>IFERROR(VLOOKUP(M751,'02. MM-KLH'!$B$6:$T$823,15,0),"")</f>
        <v>0</v>
      </c>
      <c r="O751" s="773" t="str">
        <f>IFERROR(VLOOKUP(M751,'02. MM-KLH'!$B$6:$T$823,9,0),"")</f>
        <v>15/11/2024</v>
      </c>
      <c r="P751" s="19"/>
      <c r="Q751" s="19"/>
      <c r="R751" s="353" t="s">
        <v>5978</v>
      </c>
      <c r="S751" s="19" t="s">
        <v>5978</v>
      </c>
      <c r="T751" s="19"/>
      <c r="U751" s="353" t="str">
        <f>IFERROR(VLOOKUP(M751,'02. MM-KLH'!$B$6:$T$823,5,0),"")</f>
        <v>MỚI (ĐQSD)</v>
      </c>
      <c r="V751" s="20" t="str">
        <f>IFERROR(VLOOKUP(M751,'02. MM-KLH'!$B$6:$T$823,8,0),"")</f>
        <v>XN Chuối LP3</v>
      </c>
      <c r="W751" s="353" t="str">
        <f>IFERROR(VLOOKUP(V751,'NS QUẢN LÝ CG'!$A$4:$D$36,2,0),"")</f>
        <v/>
      </c>
      <c r="X751" s="353" t="str">
        <f>IFERROR(VLOOKUP(V751,'NS QUẢN LÝ CG'!$A$4:$D$36,4,0),"")</f>
        <v/>
      </c>
      <c r="Y751" s="353" t="str">
        <f>IFERROR(VLOOKUP(V751,'NS QUẢN LÝ CG'!$A$4:$C$36,3,0),"")</f>
        <v/>
      </c>
      <c r="Z751" s="20" t="str">
        <f>IFERROR(VLOOKUP(M751,'02. MM-KLH'!$B$6:$T$823,3,0),"")</f>
        <v>A24-MĐQ-001</v>
      </c>
      <c r="AA751" s="353" t="str">
        <f t="shared" si="49"/>
        <v>LP</v>
      </c>
      <c r="AB751" s="20"/>
      <c r="AC751" s="20"/>
    </row>
    <row r="752" ht="15.75" customHeight="1" spans="1:29">
      <c r="A752" s="20"/>
      <c r="B752" s="22" t="str">
        <f>IFERROR(VLOOKUP(M752,'02. MM-KLH'!$B$6:$T$823,6,0),"")</f>
        <v>Máy cắt cỏ mini Yanmar</v>
      </c>
      <c r="C752" s="353">
        <v>1</v>
      </c>
      <c r="D752" s="19" t="str">
        <f>IFERROR(VLOOKUP(M752,'02. MM-KLH'!$B$6:$T$823,16,0),"")</f>
        <v>L100N6FJ1P1AAFT</v>
      </c>
      <c r="E752" s="353" t="s">
        <v>5978</v>
      </c>
      <c r="F752" s="19"/>
      <c r="G752" s="19"/>
      <c r="H752" s="19" t="str">
        <f>IFERROR(VLOOKUP(M752,'02. MM-KLH'!$B$6:$T$823,17,0),"")</f>
        <v>10HP</v>
      </c>
      <c r="I752" s="772">
        <f>IFERROR(VLOOKUP(M752,'02. MM-KLH'!$B$6:$U$823,20,0),"")</f>
        <v>0.5</v>
      </c>
      <c r="J752" s="22" t="str">
        <f>IFERROR(VLOOKUP(M752,'02. MM-KLH'!$B$6:$T$823,19,0),"")</f>
        <v>SF6665</v>
      </c>
      <c r="K752" s="22" t="str">
        <f>IFERROR(VLOOKUP(M752,'02. MM-KLH'!$B$6:$T$823,18,0),"")</f>
        <v>A001010279</v>
      </c>
      <c r="L752" s="19">
        <f>IFERROR(VLOOKUP(M752,'02. MM-KLH'!$B$6:$T$823,4,0),"")</f>
        <v>0</v>
      </c>
      <c r="M752" s="49" t="s">
        <v>1812</v>
      </c>
      <c r="N752" s="23">
        <f>IFERROR(VLOOKUP(M752,'02. MM-KLH'!$B$6:$T$823,15,0),"")</f>
        <v>0</v>
      </c>
      <c r="O752" s="773" t="str">
        <f>IFERROR(VLOOKUP(M752,'02. MM-KLH'!$B$6:$T$823,9,0),"")</f>
        <v>30/07/2024</v>
      </c>
      <c r="P752" s="19"/>
      <c r="Q752" s="19"/>
      <c r="R752" s="353" t="s">
        <v>5978</v>
      </c>
      <c r="S752" s="19"/>
      <c r="T752" s="19"/>
      <c r="U752" s="353" t="str">
        <f>IFERROR(VLOOKUP(M752,'02. MM-KLH'!$B$6:$T$823,5,0),"")</f>
        <v>ĐQSD</v>
      </c>
      <c r="V752" s="20" t="str">
        <f>IFERROR(VLOOKUP(M752,'02. MM-KLH'!$B$6:$T$823,8,0),"")</f>
        <v>XOÀI AD</v>
      </c>
      <c r="W752" s="353" t="str">
        <f>IFERROR(VLOOKUP(V752,'NS QUẢN LÝ CG'!$A$4:$D$36,2,0),"")</f>
        <v/>
      </c>
      <c r="X752" s="353" t="str">
        <f>IFERROR(VLOOKUP(V752,'NS QUẢN LÝ CG'!$A$4:$D$36,4,0),"")</f>
        <v/>
      </c>
      <c r="Y752" s="353" t="str">
        <f>IFERROR(VLOOKUP(V752,'NS QUẢN LÝ CG'!$A$4:$C$36,3,0),"")</f>
        <v/>
      </c>
      <c r="Z752" s="20" t="str">
        <f>IFERROR(VLOOKUP(M752,'02. MM-KLH'!$B$6:$T$823,3,0),"")</f>
        <v/>
      </c>
      <c r="AA752" s="353" t="str">
        <f t="shared" si="49"/>
        <v/>
      </c>
      <c r="AB752" s="20"/>
      <c r="AC752" s="20"/>
    </row>
    <row r="753" ht="15.75" customHeight="1" spans="1:29">
      <c r="A753" s="20"/>
      <c r="B753" s="22" t="str">
        <f>IFERROR(VLOOKUP(M753,'02. MM-KLH'!$B$6:$T$823,6,0),"")</f>
        <v>Máy cắt cỏ đĩa quay 8HP</v>
      </c>
      <c r="C753" s="353">
        <v>1</v>
      </c>
      <c r="D753" s="19" t="str">
        <f>IFERROR(VLOOKUP(M753,'02. MM-KLH'!$B$6:$T$823,16,0),"")</f>
        <v>GX240</v>
      </c>
      <c r="E753" s="353" t="s">
        <v>5978</v>
      </c>
      <c r="F753" s="19"/>
      <c r="G753" s="19"/>
      <c r="H753" s="19" t="str">
        <f>IFERROR(VLOOKUP(M753,'02. MM-KLH'!$B$6:$T$823,17,0),"")</f>
        <v>8HP</v>
      </c>
      <c r="I753" s="772">
        <f>IFERROR(VLOOKUP(M753,'02. MM-KLH'!$B$6:$U$823,20,0),"")</f>
        <v>2.3</v>
      </c>
      <c r="J753" s="22">
        <f>IFERROR(VLOOKUP(M753,'02. MM-KLH'!$B$6:$T$823,19,0),"")</f>
        <v>4418343</v>
      </c>
      <c r="K753" s="22" t="str">
        <f>IFERROR(VLOOKUP(M753,'02. MM-KLH'!$B$6:$T$823,18,0),"")</f>
        <v>CCN</v>
      </c>
      <c r="L753" s="19">
        <f>IFERROR(VLOOKUP(M753,'02. MM-KLH'!$B$6:$T$823,4,0),"")</f>
        <v>0</v>
      </c>
      <c r="M753" s="49" t="s">
        <v>1321</v>
      </c>
      <c r="N753" s="23">
        <f>IFERROR(VLOOKUP(M753,'02. MM-KLH'!$B$6:$T$823,15,0),"")</f>
        <v>0</v>
      </c>
      <c r="O753" s="773" t="str">
        <f>IFERROR(VLOOKUP(M753,'02. MM-KLH'!$B$6:$T$823,9,0),"")</f>
        <v>23/01/2025</v>
      </c>
      <c r="P753" s="19"/>
      <c r="Q753" s="19"/>
      <c r="R753" s="353" t="s">
        <v>5978</v>
      </c>
      <c r="S753" s="19"/>
      <c r="T753" s="19"/>
      <c r="U753" s="353" t="str">
        <f>IFERROR(VLOOKUP(M753,'02. MM-KLH'!$B$6:$T$823,5,0),"")</f>
        <v> MỚI</v>
      </c>
      <c r="V753" s="20" t="str">
        <f>IFERROR(VLOOKUP(M753,'02. MM-KLH'!$B$6:$T$823,8,0),"")</f>
        <v>XN Chuối DP2</v>
      </c>
      <c r="W753" s="353" t="str">
        <f>IFERROR(VLOOKUP(V753,'NS QUẢN LÝ CG'!$A$4:$D$36,2,0),"")</f>
        <v/>
      </c>
      <c r="X753" s="353" t="str">
        <f>IFERROR(VLOOKUP(V753,'NS QUẢN LÝ CG'!$A$4:$D$36,4,0),"")</f>
        <v/>
      </c>
      <c r="Y753" s="353" t="str">
        <f>IFERROR(VLOOKUP(V753,'NS QUẢN LÝ CG'!$A$4:$C$36,3,0),"")</f>
        <v/>
      </c>
      <c r="Z753" s="20" t="str">
        <f>IFERROR(VLOOKUP(M753,'02. MM-KLH'!$B$6:$T$823,3,0),"")</f>
        <v>A23-MĐQ-003</v>
      </c>
      <c r="AA753" s="353" t="str">
        <f t="shared" si="49"/>
        <v>DP</v>
      </c>
      <c r="AB753" s="20"/>
      <c r="AC753" s="20"/>
    </row>
    <row r="754" ht="15.75" customHeight="1" spans="1:29">
      <c r="A754" s="20"/>
      <c r="B754" s="22" t="str">
        <f>IFERROR(VLOOKUP(M754,'02. MM-KLH'!$B$6:$T$823,6,0),"")</f>
        <v>Máy cắt cỏ đĩa quay 8HP</v>
      </c>
      <c r="C754" s="353">
        <v>1</v>
      </c>
      <c r="D754" s="19" t="str">
        <f>IFERROR(VLOOKUP(M754,'02. MM-KLH'!$B$6:$T$823,16,0),"")</f>
        <v>YG8</v>
      </c>
      <c r="E754" s="353" t="s">
        <v>5978</v>
      </c>
      <c r="F754" s="19"/>
      <c r="G754" s="19"/>
      <c r="H754" s="19" t="str">
        <f>IFERROR(VLOOKUP(M754,'02. MM-KLH'!$B$6:$T$823,17,0),"")</f>
        <v>8HP</v>
      </c>
      <c r="I754" s="772">
        <f>IFERROR(VLOOKUP(M754,'02. MM-KLH'!$B$6:$U$823,20,0),"")</f>
        <v>2.3</v>
      </c>
      <c r="J754" s="22">
        <f>IFERROR(VLOOKUP(M754,'02. MM-KLH'!$B$6:$T$823,19,0),"")</f>
        <v>20189</v>
      </c>
      <c r="K754" s="22">
        <f>IFERROR(VLOOKUP(M754,'02. MM-KLH'!$B$6:$T$823,18,0),"")</f>
        <v>871668</v>
      </c>
      <c r="L754" s="19">
        <f>IFERROR(VLOOKUP(M754,'02. MM-KLH'!$B$6:$T$823,4,0),"")</f>
        <v>0</v>
      </c>
      <c r="M754" s="49" t="s">
        <v>1325</v>
      </c>
      <c r="N754" s="23">
        <f>IFERROR(VLOOKUP(M754,'02. MM-KLH'!$B$6:$T$823,15,0),"")</f>
        <v>0</v>
      </c>
      <c r="O754" s="773" t="str">
        <f>IFERROR(VLOOKUP(M754,'02. MM-KLH'!$B$6:$T$823,9,0),"")</f>
        <v>23/01/2025</v>
      </c>
      <c r="P754" s="19"/>
      <c r="Q754" s="19"/>
      <c r="R754" s="353" t="s">
        <v>5978</v>
      </c>
      <c r="S754" s="19"/>
      <c r="T754" s="19"/>
      <c r="U754" s="353" t="str">
        <f>IFERROR(VLOOKUP(M754,'02. MM-KLH'!$B$6:$T$823,5,0),"")</f>
        <v> MỚI</v>
      </c>
      <c r="V754" s="20" t="str">
        <f>IFERROR(VLOOKUP(M754,'02. MM-KLH'!$B$6:$T$823,8,0),"")</f>
        <v>XN Chuối DP2</v>
      </c>
      <c r="W754" s="353" t="str">
        <f>IFERROR(VLOOKUP(V754,'NS QUẢN LÝ CG'!$A$4:$D$36,2,0),"")</f>
        <v/>
      </c>
      <c r="X754" s="353" t="str">
        <f>IFERROR(VLOOKUP(V754,'NS QUẢN LÝ CG'!$A$4:$D$36,4,0),"")</f>
        <v/>
      </c>
      <c r="Y754" s="353" t="str">
        <f>IFERROR(VLOOKUP(V754,'NS QUẢN LÝ CG'!$A$4:$C$36,3,0),"")</f>
        <v/>
      </c>
      <c r="Z754" s="20" t="str">
        <f>IFERROR(VLOOKUP(M754,'02. MM-KLH'!$B$6:$T$823,3,0),"")</f>
        <v>A23-MĐQ-004</v>
      </c>
      <c r="AA754" s="353" t="str">
        <f t="shared" si="49"/>
        <v>DP</v>
      </c>
      <c r="AB754" s="20"/>
      <c r="AC754" s="20"/>
    </row>
    <row r="755" ht="15.75" customHeight="1" spans="1:29">
      <c r="A755" s="20"/>
      <c r="B755" s="22" t="str">
        <f>IFERROR(VLOOKUP(M755,'02. MM-KLH'!$B$6:$T$823,6,0),"")</f>
        <v>Máy cắt cỏ đĩa quay 8HP</v>
      </c>
      <c r="C755" s="353">
        <v>1</v>
      </c>
      <c r="D755" s="19" t="str">
        <f>IFERROR(VLOOKUP(M755,'02. MM-KLH'!$B$6:$T$823,16,0),"")</f>
        <v>MR910</v>
      </c>
      <c r="E755" s="353" t="s">
        <v>5978</v>
      </c>
      <c r="F755" s="19"/>
      <c r="G755" s="19"/>
      <c r="H755" s="19" t="str">
        <f>IFERROR(VLOOKUP(M755,'02. MM-KLH'!$B$6:$T$823,17,0),"")</f>
        <v>8HP</v>
      </c>
      <c r="I755" s="772">
        <f>IFERROR(VLOOKUP(M755,'02. MM-KLH'!$B$6:$U$823,20,0),"")</f>
        <v>2.3</v>
      </c>
      <c r="J755" s="22">
        <f>IFERROR(VLOOKUP(M755,'02. MM-KLH'!$B$6:$T$823,19,0),"")</f>
        <v>12168</v>
      </c>
      <c r="K755" s="22" t="str">
        <f>IFERROR(VLOOKUP(M755,'02. MM-KLH'!$B$6:$T$823,18,0),"")</f>
        <v>G910217678</v>
      </c>
      <c r="L755" s="19">
        <f>IFERROR(VLOOKUP(M755,'02. MM-KLH'!$B$6:$T$823,4,0),"")</f>
        <v>0</v>
      </c>
      <c r="M755" s="49" t="s">
        <v>1431</v>
      </c>
      <c r="N755" s="23">
        <f>IFERROR(VLOOKUP(M755,'02. MM-KLH'!$B$6:$T$823,15,0),"")</f>
        <v>0</v>
      </c>
      <c r="O755" s="773" t="str">
        <f>IFERROR(VLOOKUP(M755,'02. MM-KLH'!$B$6:$T$823,9,0),"")</f>
        <v>23/01/2025</v>
      </c>
      <c r="P755" s="19"/>
      <c r="Q755" s="19"/>
      <c r="R755" s="353" t="s">
        <v>5978</v>
      </c>
      <c r="S755" s="19"/>
      <c r="T755" s="19"/>
      <c r="U755" s="353" t="str">
        <f>IFERROR(VLOOKUP(M755,'02. MM-KLH'!$B$6:$T$823,5,0),"")</f>
        <v>MỚI</v>
      </c>
      <c r="V755" s="20" t="str">
        <f>IFERROR(VLOOKUP(M755,'02. MM-KLH'!$B$6:$T$823,8,0),"")</f>
        <v>XN Chuối DP3</v>
      </c>
      <c r="W755" s="353" t="str">
        <f>IFERROR(VLOOKUP(V755,'NS QUẢN LÝ CG'!$A$4:$D$36,2,0),"")</f>
        <v/>
      </c>
      <c r="X755" s="353" t="str">
        <f>IFERROR(VLOOKUP(V755,'NS QUẢN LÝ CG'!$A$4:$D$36,4,0),"")</f>
        <v/>
      </c>
      <c r="Y755" s="353" t="str">
        <f>IFERROR(VLOOKUP(V755,'NS QUẢN LÝ CG'!$A$4:$C$36,3,0),"")</f>
        <v/>
      </c>
      <c r="Z755" s="20" t="str">
        <f>IFERROR(VLOOKUP(M755,'02. MM-KLH'!$B$6:$T$823,3,0),"")</f>
        <v>A23-MĐQ-002</v>
      </c>
      <c r="AA755" s="353" t="str">
        <f t="shared" si="49"/>
        <v>DP</v>
      </c>
      <c r="AB755" s="20"/>
      <c r="AC755" s="20"/>
    </row>
    <row r="756" ht="15.75" customHeight="1" spans="1:29">
      <c r="A756" s="20"/>
      <c r="B756" s="22" t="str">
        <f>IFERROR(VLOOKUP(M756,'02. MM-KLH'!$B$6:$T$823,6,0),"")</f>
        <v>Máy cắt cỏ đĩa quay 8HP</v>
      </c>
      <c r="C756" s="353">
        <v>1</v>
      </c>
      <c r="D756" s="19" t="str">
        <f>IFERROR(VLOOKUP(M756,'02. MM-KLH'!$B$6:$T$823,16,0),"")</f>
        <v>KC80F</v>
      </c>
      <c r="E756" s="353" t="s">
        <v>5978</v>
      </c>
      <c r="F756" s="19"/>
      <c r="G756" s="19"/>
      <c r="H756" s="19" t="str">
        <f>IFERROR(VLOOKUP(M756,'02. MM-KLH'!$B$6:$T$823,17,0),"")</f>
        <v>8HP</v>
      </c>
      <c r="I756" s="772">
        <f>IFERROR(VLOOKUP(M756,'02. MM-KLH'!$B$6:$U$823,20,0),"")</f>
        <v>2.3</v>
      </c>
      <c r="J756" s="22" t="str">
        <f>IFERROR(VLOOKUP(M756,'02. MM-KLH'!$B$6:$T$823,19,0),"")</f>
        <v>FE250G003323</v>
      </c>
      <c r="K756" s="22">
        <f>IFERROR(VLOOKUP(M756,'02. MM-KLH'!$B$6:$T$823,18,0),"")</f>
        <v>341</v>
      </c>
      <c r="L756" s="19">
        <f>IFERROR(VLOOKUP(M756,'02. MM-KLH'!$B$6:$T$823,4,0),"")</f>
        <v>0</v>
      </c>
      <c r="M756" s="49" t="s">
        <v>1219</v>
      </c>
      <c r="N756" s="23">
        <f>IFERROR(VLOOKUP(M756,'02. MM-KLH'!$B$6:$T$823,15,0),"")</f>
        <v>0</v>
      </c>
      <c r="O756" s="773" t="str">
        <f>IFERROR(VLOOKUP(M756,'02. MM-KLH'!$B$6:$T$823,9,0),"")</f>
        <v>23/01/2025</v>
      </c>
      <c r="P756" s="19"/>
      <c r="Q756" s="19"/>
      <c r="R756" s="353" t="s">
        <v>5978</v>
      </c>
      <c r="S756" s="19"/>
      <c r="T756" s="19"/>
      <c r="U756" s="353" t="str">
        <f>IFERROR(VLOOKUP(M756,'02. MM-KLH'!$B$6:$T$823,5,0),"")</f>
        <v>MỚI (ĐQSD)</v>
      </c>
      <c r="V756" s="20" t="str">
        <f>IFERROR(VLOOKUP(M756,'02. MM-KLH'!$B$6:$T$823,8,0),"")</f>
        <v>XN Chuối DP1</v>
      </c>
      <c r="W756" s="353" t="str">
        <f>IFERROR(VLOOKUP(V756,'NS QUẢN LÝ CG'!$A$4:$D$36,2,0),"")</f>
        <v/>
      </c>
      <c r="X756" s="353" t="str">
        <f>IFERROR(VLOOKUP(V756,'NS QUẢN LÝ CG'!$A$4:$D$36,4,0),"")</f>
        <v/>
      </c>
      <c r="Y756" s="353" t="str">
        <f>IFERROR(VLOOKUP(V756,'NS QUẢN LÝ CG'!$A$4:$C$36,3,0),"")</f>
        <v/>
      </c>
      <c r="Z756" s="20" t="str">
        <f>IFERROR(VLOOKUP(M756,'02. MM-KLH'!$B$6:$T$823,3,0),"")</f>
        <v>A23-MĐQ-001</v>
      </c>
      <c r="AA756" s="353" t="str">
        <f t="shared" si="49"/>
        <v>DP</v>
      </c>
      <c r="AB756" s="20"/>
      <c r="AC756" s="20"/>
    </row>
    <row r="757" ht="15.75" customHeight="1" spans="1:29">
      <c r="A757" s="20"/>
      <c r="B757" s="22" t="str">
        <f>IFERROR(VLOOKUP(M757,'02. MM-KLH'!$B$6:$T$823,6,0),"")</f>
        <v>Máy cắt cỏ trục băm đa năng</v>
      </c>
      <c r="C757" s="353">
        <v>1</v>
      </c>
      <c r="D757" s="19" t="str">
        <f>IFERROR(VLOOKUP(M757,'02. MM-KLH'!$B$6:$T$823,16,0),"")</f>
        <v>TL662</v>
      </c>
      <c r="E757" s="19"/>
      <c r="F757" s="353" t="s">
        <v>5978</v>
      </c>
      <c r="G757" s="19"/>
      <c r="H757" s="19" t="str">
        <f>IFERROR(VLOOKUP(M757,'02. MM-KLH'!$B$6:$T$823,17,0),"")</f>
        <v>10HP</v>
      </c>
      <c r="I757" s="772">
        <f>IFERROR(VLOOKUP(M757,'02. MM-KLH'!$B$6:$U$823,20,0),"")</f>
        <v>1.8</v>
      </c>
      <c r="J757" s="22" t="str">
        <f>IFERROR(VLOOKUP(M757,'02. MM-KLH'!$B$6:$T$823,19,0),"")</f>
        <v>GT1000B0042104CD</v>
      </c>
      <c r="K757" s="22" t="str">
        <f>IFERROR(VLOOKUP(M757,'02. MM-KLH'!$B$6:$T$823,18,0),"")</f>
        <v>TL20250601409</v>
      </c>
      <c r="L757" s="19">
        <f>IFERROR(VLOOKUP(M757,'02. MM-KLH'!$B$6:$T$823,4,0),"")</f>
        <v>0</v>
      </c>
      <c r="M757" s="49" t="s">
        <v>1569</v>
      </c>
      <c r="N757" s="23">
        <f>IFERROR(VLOOKUP(M757,'02. MM-KLH'!$B$6:$T$823,15,0),"")</f>
        <v>2025</v>
      </c>
      <c r="O757" s="773" t="str">
        <f>IFERROR(VLOOKUP(M757,'02. MM-KLH'!$B$6:$T$823,9,0),"")</f>
        <v>25/06/2025</v>
      </c>
      <c r="P757" s="19"/>
      <c r="Q757" s="19"/>
      <c r="R757" s="353" t="s">
        <v>5978</v>
      </c>
      <c r="S757" s="19"/>
      <c r="T757" s="19"/>
      <c r="U757" s="353" t="str">
        <f>IFERROR(VLOOKUP(M757,'02. MM-KLH'!$B$6:$T$823,5,0),"")</f>
        <v>MỚI</v>
      </c>
      <c r="V757" s="20" t="str">
        <f>IFERROR(VLOOKUP(M757,'02. MM-KLH'!$B$6:$T$823,8,0),"")</f>
        <v>XN Chuối LP1</v>
      </c>
      <c r="W757" s="353" t="str">
        <f>IFERROR(VLOOKUP(V757,'NS QUẢN LÝ CG'!$A$4:$D$36,2,0),"")</f>
        <v/>
      </c>
      <c r="X757" s="353" t="str">
        <f>IFERROR(VLOOKUP(V757,'NS QUẢN LÝ CG'!$A$4:$D$36,4,0),"")</f>
        <v/>
      </c>
      <c r="Y757" s="353" t="str">
        <f>IFERROR(VLOOKUP(V757,'NS QUẢN LÝ CG'!$A$4:$C$36,3,0),"")</f>
        <v/>
      </c>
      <c r="Z757" s="20" t="str">
        <f>IFERROR(VLOOKUP(M757,'02. MM-KLH'!$B$6:$T$823,3,0),"")</f>
        <v>A24-CCD-001</v>
      </c>
      <c r="AA757" s="353" t="str">
        <f t="shared" si="49"/>
        <v>LP</v>
      </c>
      <c r="AB757" s="20"/>
      <c r="AC757" s="20"/>
    </row>
    <row r="758" ht="15.75" customHeight="1" spans="1:29">
      <c r="A758" s="20"/>
      <c r="B758" s="22" t="str">
        <f>IFERROR(VLOOKUP(M758,'02. MM-KLH'!$B$6:$T$823,6,0),"")</f>
        <v>Máy cắt cỏ trục băm đa năng</v>
      </c>
      <c r="C758" s="353">
        <v>1</v>
      </c>
      <c r="D758" s="19" t="str">
        <f>IFERROR(VLOOKUP(M758,'02. MM-KLH'!$B$6:$T$823,16,0),"")</f>
        <v>TL662</v>
      </c>
      <c r="E758" s="19"/>
      <c r="F758" s="353" t="s">
        <v>5978</v>
      </c>
      <c r="G758" s="19"/>
      <c r="H758" s="19" t="str">
        <f>IFERROR(VLOOKUP(M758,'02. MM-KLH'!$B$6:$T$823,17,0),"")</f>
        <v>10HP</v>
      </c>
      <c r="I758" s="772">
        <f>IFERROR(VLOOKUP(M758,'02. MM-KLH'!$B$6:$U$823,20,0),"")</f>
        <v>1.8</v>
      </c>
      <c r="J758" s="22" t="str">
        <f>IFERROR(VLOOKUP(M758,'02. MM-KLH'!$B$6:$T$823,19,0),"")</f>
        <v>GT1000B0042103CD</v>
      </c>
      <c r="K758" s="22" t="str">
        <f>IFERROR(VLOOKUP(M758,'02. MM-KLH'!$B$6:$T$823,18,0),"")</f>
        <v>TL202506014011</v>
      </c>
      <c r="L758" s="19">
        <f>IFERROR(VLOOKUP(M758,'02. MM-KLH'!$B$6:$T$823,4,0),"")</f>
        <v>0</v>
      </c>
      <c r="M758" s="49" t="s">
        <v>1573</v>
      </c>
      <c r="N758" s="23">
        <f>IFERROR(VLOOKUP(M758,'02. MM-KLH'!$B$6:$T$823,15,0),"")</f>
        <v>2025</v>
      </c>
      <c r="O758" s="773" t="str">
        <f>IFERROR(VLOOKUP(M758,'02. MM-KLH'!$B$6:$T$823,9,0),"")</f>
        <v>25/06/2025</v>
      </c>
      <c r="P758" s="19"/>
      <c r="Q758" s="19"/>
      <c r="R758" s="353" t="s">
        <v>5978</v>
      </c>
      <c r="S758" s="19"/>
      <c r="T758" s="19"/>
      <c r="U758" s="353" t="str">
        <f>IFERROR(VLOOKUP(M758,'02. MM-KLH'!$B$6:$T$823,5,0),"")</f>
        <v>MỚI</v>
      </c>
      <c r="V758" s="20" t="str">
        <f>IFERROR(VLOOKUP(M758,'02. MM-KLH'!$B$6:$T$823,8,0),"")</f>
        <v>XN Chuối LP1</v>
      </c>
      <c r="W758" s="353" t="str">
        <f>IFERROR(VLOOKUP(V758,'NS QUẢN LÝ CG'!$A$4:$D$36,2,0),"")</f>
        <v/>
      </c>
      <c r="X758" s="353" t="str">
        <f>IFERROR(VLOOKUP(V758,'NS QUẢN LÝ CG'!$A$4:$D$36,4,0),"")</f>
        <v/>
      </c>
      <c r="Y758" s="353" t="str">
        <f>IFERROR(VLOOKUP(V758,'NS QUẢN LÝ CG'!$A$4:$C$36,3,0),"")</f>
        <v/>
      </c>
      <c r="Z758" s="20" t="str">
        <f>IFERROR(VLOOKUP(M758,'02. MM-KLH'!$B$6:$T$823,3,0),"")</f>
        <v>A24-CCD-002</v>
      </c>
      <c r="AA758" s="353" t="str">
        <f t="shared" si="49"/>
        <v>LP</v>
      </c>
      <c r="AB758" s="20"/>
      <c r="AC758" s="20"/>
    </row>
    <row r="759" ht="15.75" customHeight="1" spans="1:29">
      <c r="A759" s="20"/>
      <c r="B759" s="22" t="str">
        <f>IFERROR(VLOOKUP(M759,'02. MM-KLH'!$B$6:$T$823,6,0),"")</f>
        <v>Máy cắt cỏ trục băm đa năng</v>
      </c>
      <c r="C759" s="353">
        <v>1</v>
      </c>
      <c r="D759" s="19" t="str">
        <f>IFERROR(VLOOKUP(M759,'02. MM-KLH'!$B$6:$T$823,16,0),"")</f>
        <v>TL662</v>
      </c>
      <c r="E759" s="19"/>
      <c r="F759" s="353" t="s">
        <v>5978</v>
      </c>
      <c r="G759" s="19"/>
      <c r="H759" s="19" t="str">
        <f>IFERROR(VLOOKUP(M759,'02. MM-KLH'!$B$6:$T$823,17,0),"")</f>
        <v>10HP</v>
      </c>
      <c r="I759" s="772">
        <f>IFERROR(VLOOKUP(M759,'02. MM-KLH'!$B$6:$U$823,20,0),"")</f>
        <v>1.8</v>
      </c>
      <c r="J759" s="22" t="str">
        <f>IFERROR(VLOOKUP(M759,'02. MM-KLH'!$B$6:$T$823,19,0),"")</f>
        <v>GT1000B0042104CD</v>
      </c>
      <c r="K759" s="22" t="str">
        <f>IFERROR(VLOOKUP(M759,'02. MM-KLH'!$B$6:$T$823,18,0),"")</f>
        <v>TL202506014013</v>
      </c>
      <c r="L759" s="19">
        <f>IFERROR(VLOOKUP(M759,'02. MM-KLH'!$B$6:$T$823,4,0),"")</f>
        <v>0</v>
      </c>
      <c r="M759" s="49" t="s">
        <v>1577</v>
      </c>
      <c r="N759" s="23">
        <f>IFERROR(VLOOKUP(M759,'02. MM-KLH'!$B$6:$T$823,15,0),"")</f>
        <v>2025</v>
      </c>
      <c r="O759" s="773" t="str">
        <f>IFERROR(VLOOKUP(M759,'02. MM-KLH'!$B$6:$T$823,9,0),"")</f>
        <v>25/06/2025</v>
      </c>
      <c r="P759" s="19"/>
      <c r="Q759" s="19"/>
      <c r="R759" s="353" t="s">
        <v>5978</v>
      </c>
      <c r="S759" s="19"/>
      <c r="T759" s="19"/>
      <c r="U759" s="353" t="str">
        <f>IFERROR(VLOOKUP(M759,'02. MM-KLH'!$B$6:$T$823,5,0),"")</f>
        <v>MỚI</v>
      </c>
      <c r="V759" s="20" t="str">
        <f>IFERROR(VLOOKUP(M759,'02. MM-KLH'!$B$6:$T$823,8,0),"")</f>
        <v>XN Chuối LP1</v>
      </c>
      <c r="W759" s="353" t="str">
        <f>IFERROR(VLOOKUP(V759,'NS QUẢN LÝ CG'!$A$4:$D$36,2,0),"")</f>
        <v/>
      </c>
      <c r="X759" s="353" t="str">
        <f>IFERROR(VLOOKUP(V759,'NS QUẢN LÝ CG'!$A$4:$D$36,4,0),"")</f>
        <v/>
      </c>
      <c r="Y759" s="353" t="str">
        <f>IFERROR(VLOOKUP(V759,'NS QUẢN LÝ CG'!$A$4:$C$36,3,0),"")</f>
        <v/>
      </c>
      <c r="Z759" s="20" t="str">
        <f>IFERROR(VLOOKUP(M759,'02. MM-KLH'!$B$6:$T$823,3,0),"")</f>
        <v>A24-CCD-003</v>
      </c>
      <c r="AA759" s="353" t="str">
        <f t="shared" si="49"/>
        <v>LP</v>
      </c>
      <c r="AB759" s="20"/>
      <c r="AC759" s="20"/>
    </row>
    <row r="760" ht="15.75" customHeight="1" spans="1:29">
      <c r="A760" s="20"/>
      <c r="B760" s="22" t="str">
        <f>IFERROR(VLOOKUP(M760,'02. MM-KLH'!$B$6:$T$823,6,0),"")</f>
        <v>Máy cắt cỏ trục băm đa năng</v>
      </c>
      <c r="C760" s="353">
        <v>1</v>
      </c>
      <c r="D760" s="19" t="str">
        <f>IFERROR(VLOOKUP(M760,'02. MM-KLH'!$B$6:$T$823,16,0),"")</f>
        <v>TL662</v>
      </c>
      <c r="E760" s="19"/>
      <c r="F760" s="353" t="s">
        <v>5978</v>
      </c>
      <c r="G760" s="19"/>
      <c r="H760" s="19" t="str">
        <f>IFERROR(VLOOKUP(M760,'02. MM-KLH'!$B$6:$T$823,17,0),"")</f>
        <v>10HP</v>
      </c>
      <c r="I760" s="772">
        <f>IFERROR(VLOOKUP(M760,'02. MM-KLH'!$B$6:$U$823,20,0),"")</f>
        <v>1.8</v>
      </c>
      <c r="J760" s="22" t="str">
        <f>IFERROR(VLOOKUP(M760,'02. MM-KLH'!$B$6:$T$823,19,0),"")</f>
        <v>GT1000B0042096CD</v>
      </c>
      <c r="K760" s="22" t="str">
        <f>IFERROR(VLOOKUP(M760,'02. MM-KLH'!$B$6:$T$823,18,0),"")</f>
        <v>TL202506014014</v>
      </c>
      <c r="L760" s="19">
        <f>IFERROR(VLOOKUP(M760,'02. MM-KLH'!$B$6:$T$823,4,0),"")</f>
        <v>0</v>
      </c>
      <c r="M760" s="49" t="s">
        <v>1580</v>
      </c>
      <c r="N760" s="23">
        <f>IFERROR(VLOOKUP(M760,'02. MM-KLH'!$B$6:$T$823,15,0),"")</f>
        <v>2025</v>
      </c>
      <c r="O760" s="773" t="str">
        <f>IFERROR(VLOOKUP(M760,'02. MM-KLH'!$B$6:$T$823,9,0),"")</f>
        <v>25/06/2025</v>
      </c>
      <c r="P760" s="19"/>
      <c r="Q760" s="19"/>
      <c r="R760" s="353" t="s">
        <v>5978</v>
      </c>
      <c r="S760" s="19"/>
      <c r="T760" s="19"/>
      <c r="U760" s="353" t="str">
        <f>IFERROR(VLOOKUP(M760,'02. MM-KLH'!$B$6:$T$823,5,0),"")</f>
        <v>MỚI</v>
      </c>
      <c r="V760" s="20" t="str">
        <f>IFERROR(VLOOKUP(M760,'02. MM-KLH'!$B$6:$T$823,8,0),"")</f>
        <v>XN Chuối LP1</v>
      </c>
      <c r="W760" s="353" t="str">
        <f>IFERROR(VLOOKUP(V760,'NS QUẢN LÝ CG'!$A$4:$D$36,2,0),"")</f>
        <v/>
      </c>
      <c r="X760" s="353" t="str">
        <f>IFERROR(VLOOKUP(V760,'NS QUẢN LÝ CG'!$A$4:$D$36,4,0),"")</f>
        <v/>
      </c>
      <c r="Y760" s="353" t="str">
        <f>IFERROR(VLOOKUP(V760,'NS QUẢN LÝ CG'!$A$4:$C$36,3,0),"")</f>
        <v/>
      </c>
      <c r="Z760" s="20" t="str">
        <f>IFERROR(VLOOKUP(M760,'02. MM-KLH'!$B$6:$T$823,3,0),"")</f>
        <v>A24-CCD-004</v>
      </c>
      <c r="AA760" s="353" t="str">
        <f t="shared" si="49"/>
        <v>LP</v>
      </c>
      <c r="AB760" s="20"/>
      <c r="AC760" s="20"/>
    </row>
    <row r="761" ht="15.75" customHeight="1" spans="1:29">
      <c r="A761" s="20"/>
      <c r="B761" s="22" t="str">
        <f>IFERROR(VLOOKUP(M761,'02. MM-KLH'!$B$6:$T$823,6,0),"")</f>
        <v>Máy cắt cỏ trục băm đa năng</v>
      </c>
      <c r="C761" s="353">
        <v>1</v>
      </c>
      <c r="D761" s="19" t="str">
        <f>IFERROR(VLOOKUP(M761,'02. MM-KLH'!$B$6:$T$823,16,0),"")</f>
        <v>TL662</v>
      </c>
      <c r="E761" s="19"/>
      <c r="F761" s="353" t="s">
        <v>5978</v>
      </c>
      <c r="G761" s="19"/>
      <c r="H761" s="19" t="str">
        <f>IFERROR(VLOOKUP(M761,'02. MM-KLH'!$B$6:$T$823,17,0),"")</f>
        <v>10HP</v>
      </c>
      <c r="I761" s="772">
        <f>IFERROR(VLOOKUP(M761,'02. MM-KLH'!$B$6:$U$823,20,0),"")</f>
        <v>1.8</v>
      </c>
      <c r="J761" s="22" t="str">
        <f>IFERROR(VLOOKUP(M761,'02. MM-KLH'!$B$6:$T$823,19,0),"")</f>
        <v>GT1000B0042100CD</v>
      </c>
      <c r="K761" s="22" t="str">
        <f>IFERROR(VLOOKUP(M761,'02. MM-KLH'!$B$6:$T$823,18,0),"")</f>
        <v>TL20250601406</v>
      </c>
      <c r="L761" s="19">
        <f>IFERROR(VLOOKUP(M761,'02. MM-KLH'!$B$6:$T$823,4,0),"")</f>
        <v>0</v>
      </c>
      <c r="M761" s="49" t="s">
        <v>1718</v>
      </c>
      <c r="N761" s="23">
        <f>IFERROR(VLOOKUP(M761,'02. MM-KLH'!$B$6:$T$823,15,0),"")</f>
        <v>2025</v>
      </c>
      <c r="O761" s="773" t="str">
        <f>IFERROR(VLOOKUP(M761,'02. MM-KLH'!$B$6:$T$823,9,0),"")</f>
        <v>25/06/2025</v>
      </c>
      <c r="P761" s="19"/>
      <c r="Q761" s="19"/>
      <c r="R761" s="19" t="s">
        <v>5978</v>
      </c>
      <c r="S761" s="19"/>
      <c r="T761" s="19"/>
      <c r="U761" s="353" t="str">
        <f>IFERROR(VLOOKUP(M761,'02. MM-KLH'!$B$6:$T$823,5,0),"")</f>
        <v>MỚI</v>
      </c>
      <c r="V761" s="20" t="str">
        <f>IFERROR(VLOOKUP(M761,'02. MM-KLH'!$B$6:$T$823,8,0),"")</f>
        <v>XN Chuối LP3</v>
      </c>
      <c r="W761" s="353" t="str">
        <f>IFERROR(VLOOKUP(V761,'NS QUẢN LÝ CG'!$A$4:$D$36,2,0),"")</f>
        <v/>
      </c>
      <c r="X761" s="353" t="str">
        <f>IFERROR(VLOOKUP(V761,'NS QUẢN LÝ CG'!$A$4:$D$36,4,0),"")</f>
        <v/>
      </c>
      <c r="Y761" s="353" t="str">
        <f>IFERROR(VLOOKUP(V761,'NS QUẢN LÝ CG'!$A$4:$C$36,3,0),"")</f>
        <v/>
      </c>
      <c r="Z761" s="20" t="str">
        <f>IFERROR(VLOOKUP(M761,'02. MM-KLH'!$B$6:$T$823,3,0),"")</f>
        <v>A24-CCD-005</v>
      </c>
      <c r="AA761" s="353" t="str">
        <f t="shared" si="49"/>
        <v>LP</v>
      </c>
      <c r="AB761" s="20"/>
      <c r="AC761" s="20"/>
    </row>
    <row r="762" ht="15.75" customHeight="1" spans="1:29">
      <c r="A762" s="20"/>
      <c r="B762" s="22" t="str">
        <f>IFERROR(VLOOKUP(M762,'02. MM-KLH'!$B$6:$T$823,6,0),"")</f>
        <v>Máy cắt cỏ trục băm đa năng</v>
      </c>
      <c r="C762" s="353">
        <v>1</v>
      </c>
      <c r="D762" s="19" t="str">
        <f>IFERROR(VLOOKUP(M762,'02. MM-KLH'!$B$6:$T$823,16,0),"")</f>
        <v>TL662</v>
      </c>
      <c r="E762" s="19"/>
      <c r="F762" s="353" t="s">
        <v>5978</v>
      </c>
      <c r="G762" s="19"/>
      <c r="H762" s="19" t="str">
        <f>IFERROR(VLOOKUP(M762,'02. MM-KLH'!$B$6:$T$823,17,0),"")</f>
        <v>10HP</v>
      </c>
      <c r="I762" s="772">
        <f>IFERROR(VLOOKUP(M762,'02. MM-KLH'!$B$6:$U$823,20,0),"")</f>
        <v>1.8</v>
      </c>
      <c r="J762" s="22" t="str">
        <f>IFERROR(VLOOKUP(M762,'02. MM-KLH'!$B$6:$T$823,19,0),"")</f>
        <v>GT1000B0037706CC</v>
      </c>
      <c r="K762" s="22" t="str">
        <f>IFERROR(VLOOKUP(M762,'02. MM-KLH'!$B$6:$T$823,18,0),"")</f>
        <v>TL202506014010</v>
      </c>
      <c r="L762" s="19">
        <f>IFERROR(VLOOKUP(M762,'02. MM-KLH'!$B$6:$T$823,4,0),"")</f>
        <v>0</v>
      </c>
      <c r="M762" s="49" t="s">
        <v>1722</v>
      </c>
      <c r="N762" s="23">
        <f>IFERROR(VLOOKUP(M762,'02. MM-KLH'!$B$6:$T$823,15,0),"")</f>
        <v>2025</v>
      </c>
      <c r="O762" s="773" t="str">
        <f>IFERROR(VLOOKUP(M762,'02. MM-KLH'!$B$6:$T$823,9,0),"")</f>
        <v>25/06/2025</v>
      </c>
      <c r="P762" s="19"/>
      <c r="Q762" s="19"/>
      <c r="R762" s="19" t="s">
        <v>5978</v>
      </c>
      <c r="S762" s="19"/>
      <c r="T762" s="19"/>
      <c r="U762" s="353" t="str">
        <f>IFERROR(VLOOKUP(M762,'02. MM-KLH'!$B$6:$T$823,5,0),"")</f>
        <v>MỚI</v>
      </c>
      <c r="V762" s="20" t="str">
        <f>IFERROR(VLOOKUP(M762,'02. MM-KLH'!$B$6:$T$823,8,0),"")</f>
        <v>XN Chuối LP3</v>
      </c>
      <c r="W762" s="353" t="str">
        <f>IFERROR(VLOOKUP(V762,'NS QUẢN LÝ CG'!$A$4:$D$36,2,0),"")</f>
        <v/>
      </c>
      <c r="X762" s="353" t="str">
        <f>IFERROR(VLOOKUP(V762,'NS QUẢN LÝ CG'!$A$4:$D$36,4,0),"")</f>
        <v/>
      </c>
      <c r="Y762" s="353" t="str">
        <f>IFERROR(VLOOKUP(V762,'NS QUẢN LÝ CG'!$A$4:$C$36,3,0),"")</f>
        <v/>
      </c>
      <c r="Z762" s="20" t="str">
        <f>IFERROR(VLOOKUP(M762,'02. MM-KLH'!$B$6:$T$823,3,0),"")</f>
        <v>A24-CCD-006</v>
      </c>
      <c r="AA762" s="353" t="str">
        <f t="shared" si="49"/>
        <v>LP</v>
      </c>
      <c r="AB762" s="20"/>
      <c r="AC762" s="20"/>
    </row>
    <row r="763" ht="15.75" customHeight="1" spans="1:29">
      <c r="A763" s="20"/>
      <c r="B763" s="22" t="str">
        <f>IFERROR(VLOOKUP(M763,'02. MM-KLH'!$B$6:$T$823,6,0),"")</f>
        <v>Máy cắt cỏ trục băm đa năng</v>
      </c>
      <c r="C763" s="353">
        <v>1</v>
      </c>
      <c r="D763" s="19" t="str">
        <f>IFERROR(VLOOKUP(M763,'02. MM-KLH'!$B$6:$T$823,16,0),"")</f>
        <v>TL662</v>
      </c>
      <c r="E763" s="19"/>
      <c r="F763" s="353" t="s">
        <v>5978</v>
      </c>
      <c r="G763" s="19"/>
      <c r="H763" s="19" t="str">
        <f>IFERROR(VLOOKUP(M763,'02. MM-KLH'!$B$6:$T$823,17,0),"")</f>
        <v>10HP</v>
      </c>
      <c r="I763" s="772">
        <f>IFERROR(VLOOKUP(M763,'02. MM-KLH'!$B$6:$U$823,20,0),"")</f>
        <v>1.8</v>
      </c>
      <c r="J763" s="22" t="str">
        <f>IFERROR(VLOOKUP(M763,'02. MM-KLH'!$B$6:$T$823,19,0),"")</f>
        <v>GT1000B0042101CD</v>
      </c>
      <c r="K763" s="22" t="str">
        <f>IFERROR(VLOOKUP(M763,'02. MM-KLH'!$B$6:$T$823,18,0),"")</f>
        <v>TL202506014012</v>
      </c>
      <c r="L763" s="19">
        <f>IFERROR(VLOOKUP(M763,'02. MM-KLH'!$B$6:$T$823,4,0),"")</f>
        <v>0</v>
      </c>
      <c r="M763" s="49" t="s">
        <v>1726</v>
      </c>
      <c r="N763" s="23">
        <f>IFERROR(VLOOKUP(M763,'02. MM-KLH'!$B$6:$T$823,15,0),"")</f>
        <v>2025</v>
      </c>
      <c r="O763" s="773" t="str">
        <f>IFERROR(VLOOKUP(M763,'02. MM-KLH'!$B$6:$T$823,9,0),"")</f>
        <v>25/06/2025</v>
      </c>
      <c r="P763" s="19"/>
      <c r="Q763" s="19"/>
      <c r="R763" s="19"/>
      <c r="S763" s="19" t="s">
        <v>5978</v>
      </c>
      <c r="T763" s="19"/>
      <c r="U763" s="353" t="str">
        <f>IFERROR(VLOOKUP(M763,'02. MM-KLH'!$B$6:$T$823,5,0),"")</f>
        <v>MỚI</v>
      </c>
      <c r="V763" s="20" t="str">
        <f>IFERROR(VLOOKUP(M763,'02. MM-KLH'!$B$6:$T$823,8,0),"")</f>
        <v>XN Chuối LP3</v>
      </c>
      <c r="W763" s="353" t="str">
        <f>IFERROR(VLOOKUP(V763,'NS QUẢN LÝ CG'!$A$4:$D$36,2,0),"")</f>
        <v/>
      </c>
      <c r="X763" s="353" t="str">
        <f>IFERROR(VLOOKUP(V763,'NS QUẢN LÝ CG'!$A$4:$D$36,4,0),"")</f>
        <v/>
      </c>
      <c r="Y763" s="353" t="str">
        <f>IFERROR(VLOOKUP(V763,'NS QUẢN LÝ CG'!$A$4:$C$36,3,0),"")</f>
        <v/>
      </c>
      <c r="Z763" s="20" t="str">
        <f>IFERROR(VLOOKUP(M763,'02. MM-KLH'!$B$6:$T$823,3,0),"")</f>
        <v>A24-CCD-007</v>
      </c>
      <c r="AA763" s="353" t="str">
        <f t="shared" si="49"/>
        <v>LP</v>
      </c>
      <c r="AB763" s="20"/>
      <c r="AC763" s="20"/>
    </row>
    <row r="764" ht="15.75" customHeight="1" spans="1:29">
      <c r="A764" s="20"/>
      <c r="B764" s="22" t="str">
        <f>IFERROR(VLOOKUP(M764,'02. MM-KLH'!$B$6:$T$823,6,0),"")</f>
        <v>Máy cắt cỏ trục băm đa năng</v>
      </c>
      <c r="C764" s="353">
        <v>1</v>
      </c>
      <c r="D764" s="19" t="str">
        <f>IFERROR(VLOOKUP(M764,'02. MM-KLH'!$B$6:$T$823,16,0),"")</f>
        <v>TL662</v>
      </c>
      <c r="E764" s="19"/>
      <c r="F764" s="353" t="s">
        <v>5978</v>
      </c>
      <c r="G764" s="19"/>
      <c r="H764" s="19" t="str">
        <f>IFERROR(VLOOKUP(M764,'02. MM-KLH'!$B$6:$T$823,17,0),"")</f>
        <v>10HP</v>
      </c>
      <c r="I764" s="772">
        <f>IFERROR(VLOOKUP(M764,'02. MM-KLH'!$B$6:$U$823,20,0),"")</f>
        <v>1.8</v>
      </c>
      <c r="J764" s="22" t="str">
        <f>IFERROR(VLOOKUP(M764,'02. MM-KLH'!$B$6:$T$823,19,0),"")</f>
        <v>GT1000B0042102CD</v>
      </c>
      <c r="K764" s="22" t="str">
        <f>IFERROR(VLOOKUP(M764,'02. MM-KLH'!$B$6:$T$823,18,0),"")</f>
        <v>TL202506014016</v>
      </c>
      <c r="L764" s="19">
        <f>IFERROR(VLOOKUP(M764,'02. MM-KLH'!$B$6:$T$823,4,0),"")</f>
        <v>0</v>
      </c>
      <c r="M764" s="49" t="s">
        <v>1730</v>
      </c>
      <c r="N764" s="23">
        <f>IFERROR(VLOOKUP(M764,'02. MM-KLH'!$B$6:$T$823,15,0),"")</f>
        <v>2025</v>
      </c>
      <c r="O764" s="773" t="str">
        <f>IFERROR(VLOOKUP(M764,'02. MM-KLH'!$B$6:$T$823,9,0),"")</f>
        <v>25/06/2025</v>
      </c>
      <c r="P764" s="19"/>
      <c r="Q764" s="19"/>
      <c r="R764" s="19"/>
      <c r="S764" s="19" t="s">
        <v>5978</v>
      </c>
      <c r="T764" s="19"/>
      <c r="U764" s="353" t="str">
        <f>IFERROR(VLOOKUP(M764,'02. MM-KLH'!$B$6:$T$823,5,0),"")</f>
        <v>MỚI</v>
      </c>
      <c r="V764" s="20" t="str">
        <f>IFERROR(VLOOKUP(M764,'02. MM-KLH'!$B$6:$T$823,8,0),"")</f>
        <v>XN Chuối LP3</v>
      </c>
      <c r="W764" s="353" t="str">
        <f>IFERROR(VLOOKUP(V764,'NS QUẢN LÝ CG'!$A$4:$D$36,2,0),"")</f>
        <v/>
      </c>
      <c r="X764" s="353" t="str">
        <f>IFERROR(VLOOKUP(V764,'NS QUẢN LÝ CG'!$A$4:$D$36,4,0),"")</f>
        <v/>
      </c>
      <c r="Y764" s="353" t="str">
        <f>IFERROR(VLOOKUP(V764,'NS QUẢN LÝ CG'!$A$4:$C$36,3,0),"")</f>
        <v/>
      </c>
      <c r="Z764" s="20" t="str">
        <f>IFERROR(VLOOKUP(M764,'02. MM-KLH'!$B$6:$T$823,3,0),"")</f>
        <v>A24-CCD-008</v>
      </c>
      <c r="AA764" s="353" t="str">
        <f t="shared" si="49"/>
        <v>LP</v>
      </c>
      <c r="AB764" s="20"/>
      <c r="AC764" s="20"/>
    </row>
    <row r="765" ht="15.75" customHeight="1" spans="1:29">
      <c r="A765" s="20"/>
      <c r="B765" s="22" t="str">
        <f>IFERROR(VLOOKUP(M765,'02. MM-KLH'!$B$6:$T$823,6,0),"")</f>
        <v>Máy cắt cỏ trục băm đa năng</v>
      </c>
      <c r="C765" s="353">
        <v>1</v>
      </c>
      <c r="D765" s="19" t="str">
        <f>IFERROR(VLOOKUP(M765,'02. MM-KLH'!$B$6:$T$823,16,0),"")</f>
        <v>TL662</v>
      </c>
      <c r="E765" s="19"/>
      <c r="F765" s="353" t="s">
        <v>5978</v>
      </c>
      <c r="G765" s="19"/>
      <c r="H765" s="19" t="str">
        <f>IFERROR(VLOOKUP(M765,'02. MM-KLH'!$B$6:$T$823,17,0),"")</f>
        <v>10HP</v>
      </c>
      <c r="I765" s="772">
        <f>IFERROR(VLOOKUP(M765,'02. MM-KLH'!$B$6:$U$823,20,0),"")</f>
        <v>1.8</v>
      </c>
      <c r="J765" s="22" t="str">
        <f>IFERROR(VLOOKUP(M765,'02. MM-KLH'!$B$6:$T$823,19,0),"")</f>
        <v>GT1000B0042098CD</v>
      </c>
      <c r="K765" s="22" t="str">
        <f>IFERROR(VLOOKUP(M765,'02. MM-KLH'!$B$6:$T$823,18,0),"")</f>
        <v>TL20250601401</v>
      </c>
      <c r="L765" s="19">
        <f>IFERROR(VLOOKUP(M765,'02. MM-KLH'!$B$6:$T$823,4,0),"")</f>
        <v>0</v>
      </c>
      <c r="M765" s="49" t="s">
        <v>1226</v>
      </c>
      <c r="N765" s="23">
        <f>IFERROR(VLOOKUP(M765,'02. MM-KLH'!$B$6:$T$823,15,0),"")</f>
        <v>2025</v>
      </c>
      <c r="O765" s="773" t="str">
        <f>IFERROR(VLOOKUP(M765,'02. MM-KLH'!$B$6:$T$823,9,0),"")</f>
        <v>25/06/2025</v>
      </c>
      <c r="P765" s="19"/>
      <c r="Q765" s="19"/>
      <c r="R765" s="19"/>
      <c r="S765" s="19" t="s">
        <v>5978</v>
      </c>
      <c r="T765" s="19"/>
      <c r="U765" s="353" t="str">
        <f>IFERROR(VLOOKUP(M765,'02. MM-KLH'!$B$6:$T$823,5,0),"")</f>
        <v>MỚI</v>
      </c>
      <c r="V765" s="20" t="str">
        <f>IFERROR(VLOOKUP(M765,'02. MM-KLH'!$B$6:$T$823,8,0),"")</f>
        <v>XN Chuối DP1</v>
      </c>
      <c r="W765" s="353" t="str">
        <f>IFERROR(VLOOKUP(V765,'NS QUẢN LÝ CG'!$A$4:$D$36,2,0),"")</f>
        <v/>
      </c>
      <c r="X765" s="353" t="str">
        <f>IFERROR(VLOOKUP(V765,'NS QUẢN LÝ CG'!$A$4:$D$36,4,0),"")</f>
        <v/>
      </c>
      <c r="Y765" s="353" t="str">
        <f>IFERROR(VLOOKUP(V765,'NS QUẢN LÝ CG'!$A$4:$C$36,3,0),"")</f>
        <v/>
      </c>
      <c r="Z765" s="20" t="str">
        <f>IFERROR(VLOOKUP(M765,'02. MM-KLH'!$B$6:$T$823,3,0),"")</f>
        <v>A23-CCD-001</v>
      </c>
      <c r="AA765" s="353" t="str">
        <f t="shared" si="49"/>
        <v>DP</v>
      </c>
      <c r="AB765" s="20"/>
      <c r="AC765" s="20"/>
    </row>
    <row r="766" ht="15.75" customHeight="1" spans="1:29">
      <c r="A766" s="20"/>
      <c r="B766" s="22" t="str">
        <f>IFERROR(VLOOKUP(M766,'02. MM-KLH'!$B$6:$T$823,6,0),"")</f>
        <v>Máy cắt cỏ trục băm đa năng</v>
      </c>
      <c r="C766" s="353">
        <v>1</v>
      </c>
      <c r="D766" s="19" t="str">
        <f>IFERROR(VLOOKUP(M766,'02. MM-KLH'!$B$6:$T$823,16,0),"")</f>
        <v>TL662</v>
      </c>
      <c r="E766" s="19"/>
      <c r="F766" s="353" t="s">
        <v>5978</v>
      </c>
      <c r="G766" s="19"/>
      <c r="H766" s="19" t="str">
        <f>IFERROR(VLOOKUP(M766,'02. MM-KLH'!$B$6:$T$823,17,0),"")</f>
        <v>10HP</v>
      </c>
      <c r="I766" s="772">
        <f>IFERROR(VLOOKUP(M766,'02. MM-KLH'!$B$6:$U$823,20,0),"")</f>
        <v>1.8</v>
      </c>
      <c r="J766" s="22" t="str">
        <f>IFERROR(VLOOKUP(M766,'02. MM-KLH'!$B$6:$T$823,19,0),"")</f>
        <v>GT1000B0042097CD</v>
      </c>
      <c r="K766" s="22" t="str">
        <f>IFERROR(VLOOKUP(M766,'02. MM-KLH'!$B$6:$T$823,18,0),"")</f>
        <v>TL20250601402</v>
      </c>
      <c r="L766" s="19">
        <f>IFERROR(VLOOKUP(M766,'02. MM-KLH'!$B$6:$T$823,4,0),"")</f>
        <v>0</v>
      </c>
      <c r="M766" s="49" t="s">
        <v>1233</v>
      </c>
      <c r="N766" s="23">
        <f>IFERROR(VLOOKUP(M766,'02. MM-KLH'!$B$6:$T$823,15,0),"")</f>
        <v>2025</v>
      </c>
      <c r="O766" s="773" t="str">
        <f>IFERROR(VLOOKUP(M766,'02. MM-KLH'!$B$6:$T$823,9,0),"")</f>
        <v>25/06/2025</v>
      </c>
      <c r="P766" s="19"/>
      <c r="Q766" s="19"/>
      <c r="R766" s="19"/>
      <c r="S766" s="19" t="s">
        <v>5978</v>
      </c>
      <c r="T766" s="19"/>
      <c r="U766" s="353" t="str">
        <f>IFERROR(VLOOKUP(M766,'02. MM-KLH'!$B$6:$T$823,5,0),"")</f>
        <v>MỚI</v>
      </c>
      <c r="V766" s="20" t="str">
        <f>IFERROR(VLOOKUP(M766,'02. MM-KLH'!$B$6:$T$823,8,0),"")</f>
        <v>XN Chuối DP1</v>
      </c>
      <c r="W766" s="353" t="str">
        <f>IFERROR(VLOOKUP(V766,'NS QUẢN LÝ CG'!$A$4:$D$36,2,0),"")</f>
        <v/>
      </c>
      <c r="X766" s="353" t="str">
        <f>IFERROR(VLOOKUP(V766,'NS QUẢN LÝ CG'!$A$4:$D$36,4,0),"")</f>
        <v/>
      </c>
      <c r="Y766" s="353" t="str">
        <f>IFERROR(VLOOKUP(V766,'NS QUẢN LÝ CG'!$A$4:$C$36,3,0),"")</f>
        <v/>
      </c>
      <c r="Z766" s="20" t="str">
        <f>IFERROR(VLOOKUP(M766,'02. MM-KLH'!$B$6:$T$823,3,0),"")</f>
        <v>A23-CCD-002</v>
      </c>
      <c r="AA766" s="353" t="str">
        <f t="shared" si="49"/>
        <v>DP</v>
      </c>
      <c r="AB766" s="20"/>
      <c r="AC766" s="20"/>
    </row>
    <row r="767" ht="15.75" customHeight="1" spans="1:29">
      <c r="A767" s="20"/>
      <c r="B767" s="22" t="str">
        <f>IFERROR(VLOOKUP(M767,'02. MM-KLH'!$B$6:$T$823,6,0),"")</f>
        <v>Máy cắt cỏ trục băm đa năng</v>
      </c>
      <c r="C767" s="353">
        <v>1</v>
      </c>
      <c r="D767" s="19" t="str">
        <f>IFERROR(VLOOKUP(M767,'02. MM-KLH'!$B$6:$T$823,16,0),"")</f>
        <v>TL662</v>
      </c>
      <c r="E767" s="19"/>
      <c r="F767" s="353" t="s">
        <v>5978</v>
      </c>
      <c r="G767" s="19"/>
      <c r="H767" s="19" t="str">
        <f>IFERROR(VLOOKUP(M767,'02. MM-KLH'!$B$6:$T$823,17,0),"")</f>
        <v>10HP</v>
      </c>
      <c r="I767" s="772">
        <f>IFERROR(VLOOKUP(M767,'02. MM-KLH'!$B$6:$U$823,20,0),"")</f>
        <v>1.8</v>
      </c>
      <c r="J767" s="22" t="str">
        <f>IFERROR(VLOOKUP(M767,'02. MM-KLH'!$B$6:$T$823,19,0),"")</f>
        <v>GT1000B0042095CD</v>
      </c>
      <c r="K767" s="22" t="str">
        <f>IFERROR(VLOOKUP(M767,'02. MM-KLH'!$B$6:$T$823,18,0),"")</f>
        <v>TL20250601407</v>
      </c>
      <c r="L767" s="19">
        <f>IFERROR(VLOOKUP(M767,'02. MM-KLH'!$B$6:$T$823,4,0),"")</f>
        <v>0</v>
      </c>
      <c r="M767" s="49" t="s">
        <v>1237</v>
      </c>
      <c r="N767" s="23">
        <f>IFERROR(VLOOKUP(M767,'02. MM-KLH'!$B$6:$T$823,15,0),"")</f>
        <v>2025</v>
      </c>
      <c r="O767" s="773" t="str">
        <f>IFERROR(VLOOKUP(M767,'02. MM-KLH'!$B$6:$T$823,9,0),"")</f>
        <v>25/06/2025</v>
      </c>
      <c r="P767" s="19"/>
      <c r="Q767" s="19"/>
      <c r="R767" s="19"/>
      <c r="S767" s="19" t="s">
        <v>5978</v>
      </c>
      <c r="T767" s="19"/>
      <c r="U767" s="353" t="str">
        <f>IFERROR(VLOOKUP(M767,'02. MM-KLH'!$B$6:$T$823,5,0),"")</f>
        <v>MỚI</v>
      </c>
      <c r="V767" s="20" t="str">
        <f>IFERROR(VLOOKUP(M767,'02. MM-KLH'!$B$6:$T$823,8,0),"")</f>
        <v>XN Chuối DP1</v>
      </c>
      <c r="W767" s="353" t="str">
        <f>IFERROR(VLOOKUP(V767,'NS QUẢN LÝ CG'!$A$4:$D$36,2,0),"")</f>
        <v/>
      </c>
      <c r="X767" s="353" t="str">
        <f>IFERROR(VLOOKUP(V767,'NS QUẢN LÝ CG'!$A$4:$D$36,4,0),"")</f>
        <v/>
      </c>
      <c r="Y767" s="353" t="str">
        <f>IFERROR(VLOOKUP(V767,'NS QUẢN LÝ CG'!$A$4:$C$36,3,0),"")</f>
        <v/>
      </c>
      <c r="Z767" s="20" t="str">
        <f>IFERROR(VLOOKUP(M767,'02. MM-KLH'!$B$6:$T$823,3,0),"")</f>
        <v>A23-CCD-003</v>
      </c>
      <c r="AA767" s="353" t="str">
        <f t="shared" si="49"/>
        <v>DP</v>
      </c>
      <c r="AB767" s="20"/>
      <c r="AC767" s="20"/>
    </row>
    <row r="768" ht="15.75" customHeight="1" spans="1:29">
      <c r="A768" s="20"/>
      <c r="B768" s="22" t="str">
        <f>IFERROR(VLOOKUP(M768,'02. MM-KLH'!$B$6:$T$823,6,0),"")</f>
        <v>Máy cắt cỏ trục băm đa năng</v>
      </c>
      <c r="C768" s="353">
        <v>1</v>
      </c>
      <c r="D768" s="19" t="str">
        <f>IFERROR(VLOOKUP(M768,'02. MM-KLH'!$B$6:$T$823,16,0),"")</f>
        <v>TL662</v>
      </c>
      <c r="E768" s="19"/>
      <c r="F768" s="353" t="s">
        <v>5978</v>
      </c>
      <c r="G768" s="19"/>
      <c r="H768" s="19" t="str">
        <f>IFERROR(VLOOKUP(M768,'02. MM-KLH'!$B$6:$T$823,17,0),"")</f>
        <v>10HP</v>
      </c>
      <c r="I768" s="772">
        <f>IFERROR(VLOOKUP(M768,'02. MM-KLH'!$B$6:$U$823,20,0),"")</f>
        <v>1.8</v>
      </c>
      <c r="J768" s="22" t="str">
        <f>IFERROR(VLOOKUP(M768,'02. MM-KLH'!$B$6:$T$823,19,0),"")</f>
        <v>GT1000B0042141CD</v>
      </c>
      <c r="K768" s="22" t="str">
        <f>IFERROR(VLOOKUP(M768,'02. MM-KLH'!$B$6:$T$823,18,0),"")</f>
        <v>TL20250601408</v>
      </c>
      <c r="L768" s="19">
        <f>IFERROR(VLOOKUP(M768,'02. MM-KLH'!$B$6:$T$823,4,0),"")</f>
        <v>0</v>
      </c>
      <c r="M768" s="49" t="s">
        <v>1241</v>
      </c>
      <c r="N768" s="23">
        <f>IFERROR(VLOOKUP(M768,'02. MM-KLH'!$B$6:$T$823,15,0),"")</f>
        <v>2025</v>
      </c>
      <c r="O768" s="773" t="str">
        <f>IFERROR(VLOOKUP(M768,'02. MM-KLH'!$B$6:$T$823,9,0),"")</f>
        <v>25/06/2025</v>
      </c>
      <c r="P768" s="19"/>
      <c r="Q768" s="19"/>
      <c r="R768" s="19"/>
      <c r="S768" s="19" t="s">
        <v>5978</v>
      </c>
      <c r="T768" s="19"/>
      <c r="U768" s="353" t="str">
        <f>IFERROR(VLOOKUP(M768,'02. MM-KLH'!$B$6:$T$823,5,0),"")</f>
        <v>MỚI</v>
      </c>
      <c r="V768" s="20" t="str">
        <f>IFERROR(VLOOKUP(M768,'02. MM-KLH'!$B$6:$T$823,8,0),"")</f>
        <v>XN Chuối DP1</v>
      </c>
      <c r="W768" s="353" t="str">
        <f>IFERROR(VLOOKUP(V768,'NS QUẢN LÝ CG'!$A$4:$D$36,2,0),"")</f>
        <v/>
      </c>
      <c r="X768" s="353" t="str">
        <f>IFERROR(VLOOKUP(V768,'NS QUẢN LÝ CG'!$A$4:$D$36,4,0),"")</f>
        <v/>
      </c>
      <c r="Y768" s="353" t="str">
        <f>IFERROR(VLOOKUP(V768,'NS QUẢN LÝ CG'!$A$4:$C$36,3,0),"")</f>
        <v/>
      </c>
      <c r="Z768" s="20" t="str">
        <f>IFERROR(VLOOKUP(M768,'02. MM-KLH'!$B$6:$T$823,3,0),"")</f>
        <v>A23-CCD-004</v>
      </c>
      <c r="AA768" s="353" t="str">
        <f t="shared" si="49"/>
        <v>DP</v>
      </c>
      <c r="AB768" s="20"/>
      <c r="AC768" s="20"/>
    </row>
    <row r="769" ht="15.75" customHeight="1" spans="1:29">
      <c r="A769" s="20"/>
      <c r="B769" s="22" t="str">
        <f>IFERROR(VLOOKUP(M769,'02. MM-KLH'!$B$6:$T$823,6,0),"")</f>
        <v>Máy cắt cỏ trục băm đa năng</v>
      </c>
      <c r="C769" s="353">
        <v>1</v>
      </c>
      <c r="D769" s="19" t="str">
        <f>IFERROR(VLOOKUP(M769,'02. MM-KLH'!$B$6:$T$823,16,0),"")</f>
        <v>TL662</v>
      </c>
      <c r="E769" s="19"/>
      <c r="F769" s="353" t="s">
        <v>5978</v>
      </c>
      <c r="G769" s="19"/>
      <c r="H769" s="19" t="str">
        <f>IFERROR(VLOOKUP(M769,'02. MM-KLH'!$B$6:$T$823,17,0),"")</f>
        <v>10HP</v>
      </c>
      <c r="I769" s="772">
        <f>IFERROR(VLOOKUP(M769,'02. MM-KLH'!$B$6:$U$823,20,0),"")</f>
        <v>1.8</v>
      </c>
      <c r="J769" s="22" t="str">
        <f>IFERROR(VLOOKUP(M769,'02. MM-KLH'!$B$6:$T$823,19,0),"")</f>
        <v>GT1000B0042094CD</v>
      </c>
      <c r="K769" s="22" t="str">
        <f>IFERROR(VLOOKUP(M769,'02. MM-KLH'!$B$6:$T$823,18,0),"")</f>
        <v>TL20250601404</v>
      </c>
      <c r="L769" s="19">
        <f>IFERROR(VLOOKUP(M769,'02. MM-KLH'!$B$6:$T$823,4,0),"")</f>
        <v>0</v>
      </c>
      <c r="M769" s="49" t="s">
        <v>1328</v>
      </c>
      <c r="N769" s="23">
        <f>IFERROR(VLOOKUP(M769,'02. MM-KLH'!$B$6:$T$823,15,0),"")</f>
        <v>2025</v>
      </c>
      <c r="O769" s="773" t="str">
        <f>IFERROR(VLOOKUP(M769,'02. MM-KLH'!$B$6:$T$823,9,0),"")</f>
        <v>25/06/2025</v>
      </c>
      <c r="P769" s="19"/>
      <c r="Q769" s="19"/>
      <c r="R769" s="19"/>
      <c r="S769" s="19" t="s">
        <v>5978</v>
      </c>
      <c r="T769" s="19"/>
      <c r="U769" s="353" t="str">
        <f>IFERROR(VLOOKUP(M769,'02. MM-KLH'!$B$6:$T$823,5,0),"")</f>
        <v> MỚI</v>
      </c>
      <c r="V769" s="20" t="str">
        <f>IFERROR(VLOOKUP(M769,'02. MM-KLH'!$B$6:$T$823,8,0),"")</f>
        <v>XN Chuối DP2</v>
      </c>
      <c r="W769" s="353" t="str">
        <f>IFERROR(VLOOKUP(V769,'NS QUẢN LÝ CG'!$A$4:$D$36,2,0),"")</f>
        <v/>
      </c>
      <c r="X769" s="353" t="str">
        <f>IFERROR(VLOOKUP(V769,'NS QUẢN LÝ CG'!$A$4:$D$36,4,0),"")</f>
        <v/>
      </c>
      <c r="Y769" s="353" t="str">
        <f>IFERROR(VLOOKUP(V769,'NS QUẢN LÝ CG'!$A$4:$C$36,3,0),"")</f>
        <v/>
      </c>
      <c r="Z769" s="20" t="str">
        <f>IFERROR(VLOOKUP(M769,'02. MM-KLH'!$B$6:$T$823,3,0),"")</f>
        <v>A23-CCD-005</v>
      </c>
      <c r="AA769" s="353" t="str">
        <f t="shared" si="49"/>
        <v>DP</v>
      </c>
      <c r="AB769" s="20"/>
      <c r="AC769" s="20"/>
    </row>
    <row r="770" ht="15.75" customHeight="1" spans="1:29">
      <c r="A770" s="20"/>
      <c r="B770" s="22" t="str">
        <f>IFERROR(VLOOKUP(M770,'02. MM-KLH'!$B$6:$T$823,6,0),"")</f>
        <v>Máy cắt cỏ trục băm đa năng</v>
      </c>
      <c r="C770" s="353">
        <v>1</v>
      </c>
      <c r="D770" s="19" t="str">
        <f>IFERROR(VLOOKUP(M770,'02. MM-KLH'!$B$6:$T$823,16,0),"")</f>
        <v>TL662</v>
      </c>
      <c r="E770" s="19"/>
      <c r="F770" s="353" t="s">
        <v>5978</v>
      </c>
      <c r="G770" s="19"/>
      <c r="H770" s="19" t="str">
        <f>IFERROR(VLOOKUP(M770,'02. MM-KLH'!$B$6:$T$823,17,0),"")</f>
        <v>10HP</v>
      </c>
      <c r="I770" s="772">
        <f>IFERROR(VLOOKUP(M770,'02. MM-KLH'!$B$6:$U$823,20,0),"")</f>
        <v>1.8</v>
      </c>
      <c r="J770" s="22" t="str">
        <f>IFERROR(VLOOKUP(M770,'02. MM-KLH'!$B$6:$T$823,19,0),"")</f>
        <v>GT1000B0042109CD</v>
      </c>
      <c r="K770" s="22" t="str">
        <f>IFERROR(VLOOKUP(M770,'02. MM-KLH'!$B$6:$T$823,18,0),"")</f>
        <v>TL202506014015</v>
      </c>
      <c r="L770" s="19">
        <f>IFERROR(VLOOKUP(M770,'02. MM-KLH'!$B$6:$T$823,4,0),"")</f>
        <v>0</v>
      </c>
      <c r="M770" s="49" t="s">
        <v>1332</v>
      </c>
      <c r="N770" s="23">
        <f>IFERROR(VLOOKUP(M770,'02. MM-KLH'!$B$6:$T$823,15,0),"")</f>
        <v>2025</v>
      </c>
      <c r="O770" s="773" t="str">
        <f>IFERROR(VLOOKUP(M770,'02. MM-KLH'!$B$6:$T$823,9,0),"")</f>
        <v>25/06/2025</v>
      </c>
      <c r="P770" s="19"/>
      <c r="Q770" s="19"/>
      <c r="R770" s="19"/>
      <c r="S770" s="19" t="s">
        <v>5978</v>
      </c>
      <c r="T770" s="19"/>
      <c r="U770" s="353" t="str">
        <f>IFERROR(VLOOKUP(M770,'02. MM-KLH'!$B$6:$T$823,5,0),"")</f>
        <v> MỚI</v>
      </c>
      <c r="V770" s="20" t="str">
        <f>IFERROR(VLOOKUP(M770,'02. MM-KLH'!$B$6:$T$823,8,0),"")</f>
        <v>XN Chuối DP2</v>
      </c>
      <c r="W770" s="353" t="str">
        <f>IFERROR(VLOOKUP(V770,'NS QUẢN LÝ CG'!$A$4:$D$36,2,0),"")</f>
        <v/>
      </c>
      <c r="X770" s="353" t="str">
        <f>IFERROR(VLOOKUP(V770,'NS QUẢN LÝ CG'!$A$4:$D$36,4,0),"")</f>
        <v/>
      </c>
      <c r="Y770" s="353" t="str">
        <f>IFERROR(VLOOKUP(V770,'NS QUẢN LÝ CG'!$A$4:$C$36,3,0),"")</f>
        <v/>
      </c>
      <c r="Z770" s="20" t="str">
        <f>IFERROR(VLOOKUP(M770,'02. MM-KLH'!$B$6:$T$823,3,0),"")</f>
        <v>A23-CCD-006</v>
      </c>
      <c r="AA770" s="353" t="str">
        <f t="shared" si="49"/>
        <v>DP</v>
      </c>
      <c r="AB770" s="20"/>
      <c r="AC770" s="20"/>
    </row>
    <row r="771" ht="15.75" customHeight="1" spans="1:29">
      <c r="A771" s="20"/>
      <c r="B771" s="22" t="str">
        <f>IFERROR(VLOOKUP(M771,'02. MM-KLH'!$B$6:$T$823,6,0),"")</f>
        <v>Máy cắt cỏ trục băm đa năng</v>
      </c>
      <c r="C771" s="353">
        <v>1</v>
      </c>
      <c r="D771" s="19" t="str">
        <f>IFERROR(VLOOKUP(M771,'02. MM-KLH'!$B$6:$T$823,16,0),"")</f>
        <v>TL662</v>
      </c>
      <c r="E771" s="19"/>
      <c r="F771" s="353" t="s">
        <v>5978</v>
      </c>
      <c r="G771" s="19"/>
      <c r="H771" s="19" t="str">
        <f>IFERROR(VLOOKUP(M771,'02. MM-KLH'!$B$6:$T$823,17,0),"")</f>
        <v>10HP</v>
      </c>
      <c r="I771" s="772">
        <f>IFERROR(VLOOKUP(M771,'02. MM-KLH'!$B$6:$U$823,20,0),"")</f>
        <v>1.8</v>
      </c>
      <c r="J771" s="22" t="str">
        <f>IFERROR(VLOOKUP(M771,'02. MM-KLH'!$B$6:$T$823,19,0),"")</f>
        <v>GT1000B0042099CD</v>
      </c>
      <c r="K771" s="22" t="str">
        <f>IFERROR(VLOOKUP(M771,'02. MM-KLH'!$B$6:$T$823,18,0),"")</f>
        <v>TL202506014017</v>
      </c>
      <c r="L771" s="19">
        <f>IFERROR(VLOOKUP(M771,'02. MM-KLH'!$B$6:$T$823,4,0),"")</f>
        <v>0</v>
      </c>
      <c r="M771" s="49" t="s">
        <v>1336</v>
      </c>
      <c r="N771" s="23">
        <f>IFERROR(VLOOKUP(M771,'02. MM-KLH'!$B$6:$T$823,15,0),"")</f>
        <v>2025</v>
      </c>
      <c r="O771" s="773" t="str">
        <f>IFERROR(VLOOKUP(M771,'02. MM-KLH'!$B$6:$T$823,9,0),"")</f>
        <v>25/06/2025</v>
      </c>
      <c r="P771" s="19"/>
      <c r="Q771" s="19"/>
      <c r="R771" s="19"/>
      <c r="S771" s="19" t="s">
        <v>5978</v>
      </c>
      <c r="T771" s="19"/>
      <c r="U771" s="353" t="str">
        <f>IFERROR(VLOOKUP(M771,'02. MM-KLH'!$B$6:$T$823,5,0),"")</f>
        <v> MỚI</v>
      </c>
      <c r="V771" s="20" t="str">
        <f>IFERROR(VLOOKUP(M771,'02. MM-KLH'!$B$6:$T$823,8,0),"")</f>
        <v>XN Chuối DP2</v>
      </c>
      <c r="W771" s="353" t="str">
        <f>IFERROR(VLOOKUP(V771,'NS QUẢN LÝ CG'!$A$4:$D$36,2,0),"")</f>
        <v/>
      </c>
      <c r="X771" s="353" t="str">
        <f>IFERROR(VLOOKUP(V771,'NS QUẢN LÝ CG'!$A$4:$D$36,4,0),"")</f>
        <v/>
      </c>
      <c r="Y771" s="353" t="str">
        <f>IFERROR(VLOOKUP(V771,'NS QUẢN LÝ CG'!$A$4:$C$36,3,0),"")</f>
        <v/>
      </c>
      <c r="Z771" s="20" t="str">
        <f>IFERROR(VLOOKUP(M771,'02. MM-KLH'!$B$6:$T$823,3,0),"")</f>
        <v>A23-CCD-007</v>
      </c>
      <c r="AA771" s="353" t="str">
        <f t="shared" si="49"/>
        <v>DP</v>
      </c>
      <c r="AB771" s="20"/>
      <c r="AC771" s="20"/>
    </row>
    <row r="772" ht="15.75" customHeight="1" spans="1:29">
      <c r="A772" s="20"/>
      <c r="B772" s="22" t="str">
        <f>IFERROR(VLOOKUP(M772,'02. MM-KLH'!$B$6:$T$823,6,0),"")</f>
        <v>Máy cắt cỏ trục băm đa năng</v>
      </c>
      <c r="C772" s="353">
        <v>1</v>
      </c>
      <c r="D772" s="19" t="str">
        <f>IFERROR(VLOOKUP(M772,'02. MM-KLH'!$B$6:$T$823,16,0),"")</f>
        <v>TL662</v>
      </c>
      <c r="E772" s="19"/>
      <c r="F772" s="353" t="s">
        <v>5978</v>
      </c>
      <c r="G772" s="19"/>
      <c r="H772" s="19" t="str">
        <f>IFERROR(VLOOKUP(M772,'02. MM-KLH'!$B$6:$T$823,17,0),"")</f>
        <v>10HP</v>
      </c>
      <c r="I772" s="772">
        <f>IFERROR(VLOOKUP(M772,'02. MM-KLH'!$B$6:$U$823,20,0),"")</f>
        <v>1.8</v>
      </c>
      <c r="J772" s="22" t="str">
        <f>IFERROR(VLOOKUP(M772,'02. MM-KLH'!$B$6:$T$823,19,0),"")</f>
        <v>GT1000B0042092CD</v>
      </c>
      <c r="K772" s="22" t="str">
        <f>IFERROR(VLOOKUP(M772,'02. MM-KLH'!$B$6:$T$823,18,0),"")</f>
        <v>TL202506014020</v>
      </c>
      <c r="L772" s="19">
        <f>IFERROR(VLOOKUP(M772,'02. MM-KLH'!$B$6:$T$823,4,0),"")</f>
        <v>0</v>
      </c>
      <c r="M772" s="49" t="s">
        <v>1340</v>
      </c>
      <c r="N772" s="23">
        <f>IFERROR(VLOOKUP(M772,'02. MM-KLH'!$B$6:$T$823,15,0),"")</f>
        <v>2025</v>
      </c>
      <c r="O772" s="773" t="str">
        <f>IFERROR(VLOOKUP(M772,'02. MM-KLH'!$B$6:$T$823,9,0),"")</f>
        <v>25/06/2025</v>
      </c>
      <c r="P772" s="19"/>
      <c r="Q772" s="19"/>
      <c r="R772" s="19"/>
      <c r="S772" s="19" t="s">
        <v>5978</v>
      </c>
      <c r="T772" s="19"/>
      <c r="U772" s="353" t="str">
        <f>IFERROR(VLOOKUP(M772,'02. MM-KLH'!$B$6:$T$823,5,0),"")</f>
        <v> MỚI</v>
      </c>
      <c r="V772" s="20" t="str">
        <f>IFERROR(VLOOKUP(M772,'02. MM-KLH'!$B$6:$T$823,8,0),"")</f>
        <v>XN Chuối DP2</v>
      </c>
      <c r="W772" s="353" t="str">
        <f>IFERROR(VLOOKUP(V772,'NS QUẢN LÝ CG'!$A$4:$D$36,2,0),"")</f>
        <v/>
      </c>
      <c r="X772" s="353" t="str">
        <f>IFERROR(VLOOKUP(V772,'NS QUẢN LÝ CG'!$A$4:$D$36,4,0),"")</f>
        <v/>
      </c>
      <c r="Y772" s="353" t="str">
        <f>IFERROR(VLOOKUP(V772,'NS QUẢN LÝ CG'!$A$4:$C$36,3,0),"")</f>
        <v/>
      </c>
      <c r="Z772" s="20" t="str">
        <f>IFERROR(VLOOKUP(M772,'02. MM-KLH'!$B$6:$T$823,3,0),"")</f>
        <v>A23-CCD-008</v>
      </c>
      <c r="AA772" s="353" t="str">
        <f t="shared" si="49"/>
        <v>DP</v>
      </c>
      <c r="AB772" s="20"/>
      <c r="AC772" s="20"/>
    </row>
    <row r="773" ht="15.75" customHeight="1" spans="1:29">
      <c r="A773" s="20"/>
      <c r="B773" s="22" t="str">
        <f>IFERROR(VLOOKUP(M773,'02. MM-KLH'!$B$6:$T$823,6,0),"")</f>
        <v>Máy cắt cỏ trục băm đa năng</v>
      </c>
      <c r="C773" s="353">
        <v>1</v>
      </c>
      <c r="D773" s="19" t="str">
        <f>IFERROR(VLOOKUP(M773,'02. MM-KLH'!$B$6:$T$823,16,0),"")</f>
        <v>TL662</v>
      </c>
      <c r="E773" s="19"/>
      <c r="F773" s="353" t="s">
        <v>5978</v>
      </c>
      <c r="G773" s="19"/>
      <c r="H773" s="19" t="str">
        <f>IFERROR(VLOOKUP(M773,'02. MM-KLH'!$B$6:$T$823,17,0),"")</f>
        <v>10HP</v>
      </c>
      <c r="I773" s="772">
        <f>IFERROR(VLOOKUP(M773,'02. MM-KLH'!$B$6:$U$823,20,0),"")</f>
        <v>1.8</v>
      </c>
      <c r="J773" s="22" t="str">
        <f>IFERROR(VLOOKUP(M773,'02. MM-KLH'!$B$6:$T$823,19,0),"")</f>
        <v>GT1000B0037703CC</v>
      </c>
      <c r="K773" s="22" t="str">
        <f>IFERROR(VLOOKUP(M773,'02. MM-KLH'!$B$6:$T$823,18,0),"")</f>
        <v>TL20250601403</v>
      </c>
      <c r="L773" s="19">
        <f>IFERROR(VLOOKUP(M773,'02. MM-KLH'!$B$6:$T$823,4,0),"")</f>
        <v>0</v>
      </c>
      <c r="M773" s="49" t="s">
        <v>1436</v>
      </c>
      <c r="N773" s="23">
        <f>IFERROR(VLOOKUP(M773,'02. MM-KLH'!$B$6:$T$823,15,0),"")</f>
        <v>2025</v>
      </c>
      <c r="O773" s="773" t="str">
        <f>IFERROR(VLOOKUP(M773,'02. MM-KLH'!$B$6:$T$823,9,0),"")</f>
        <v>25/06/2025</v>
      </c>
      <c r="P773" s="19"/>
      <c r="Q773" s="19"/>
      <c r="R773" s="19"/>
      <c r="S773" s="19" t="s">
        <v>5978</v>
      </c>
      <c r="T773" s="19"/>
      <c r="U773" s="353" t="str">
        <f>IFERROR(VLOOKUP(M773,'02. MM-KLH'!$B$6:$T$823,5,0),"")</f>
        <v>MỚI</v>
      </c>
      <c r="V773" s="20" t="str">
        <f>IFERROR(VLOOKUP(M773,'02. MM-KLH'!$B$6:$T$823,8,0),"")</f>
        <v>XN Chuối DP3</v>
      </c>
      <c r="W773" s="353" t="str">
        <f>IFERROR(VLOOKUP(V773,'NS QUẢN LÝ CG'!$A$4:$D$36,2,0),"")</f>
        <v/>
      </c>
      <c r="X773" s="353" t="str">
        <f>IFERROR(VLOOKUP(V773,'NS QUẢN LÝ CG'!$A$4:$D$36,4,0),"")</f>
        <v/>
      </c>
      <c r="Y773" s="353" t="str">
        <f>IFERROR(VLOOKUP(V773,'NS QUẢN LÝ CG'!$A$4:$C$36,3,0),"")</f>
        <v/>
      </c>
      <c r="Z773" s="20" t="str">
        <f>IFERROR(VLOOKUP(M773,'02. MM-KLH'!$B$6:$T$823,3,0),"")</f>
        <v>A23-CCD-009</v>
      </c>
      <c r="AA773" s="353" t="str">
        <f t="shared" si="49"/>
        <v>DP</v>
      </c>
      <c r="AB773" s="20"/>
      <c r="AC773" s="20"/>
    </row>
    <row r="774" ht="15.75" customHeight="1" spans="1:29">
      <c r="A774" s="20"/>
      <c r="B774" s="22" t="str">
        <f>IFERROR(VLOOKUP(M774,'02. MM-KLH'!$B$6:$T$823,6,0),"")</f>
        <v>Máy cắt cỏ trục băm đa năng</v>
      </c>
      <c r="C774" s="353">
        <v>1</v>
      </c>
      <c r="D774" s="19" t="str">
        <f>IFERROR(VLOOKUP(M774,'02. MM-KLH'!$B$6:$T$823,16,0),"")</f>
        <v>TL662</v>
      </c>
      <c r="E774" s="19"/>
      <c r="F774" s="353" t="s">
        <v>5978</v>
      </c>
      <c r="G774" s="19"/>
      <c r="H774" s="19" t="str">
        <f>IFERROR(VLOOKUP(M774,'02. MM-KLH'!$B$6:$T$823,17,0),"")</f>
        <v>10HP</v>
      </c>
      <c r="I774" s="772">
        <f>IFERROR(VLOOKUP(M774,'02. MM-KLH'!$B$6:$U$823,20,0),"")</f>
        <v>1.8</v>
      </c>
      <c r="J774" s="22" t="str">
        <f>IFERROR(VLOOKUP(M774,'02. MM-KLH'!$B$6:$T$823,19,0),"")</f>
        <v>GT1000B0042145CD</v>
      </c>
      <c r="K774" s="22" t="str">
        <f>IFERROR(VLOOKUP(M774,'02. MM-KLH'!$B$6:$T$823,18,0),"")</f>
        <v>TL20250601405</v>
      </c>
      <c r="L774" s="19">
        <f>IFERROR(VLOOKUP(M774,'02. MM-KLH'!$B$6:$T$823,4,0),"")</f>
        <v>0</v>
      </c>
      <c r="M774" s="49" t="s">
        <v>1440</v>
      </c>
      <c r="N774" s="23">
        <f>IFERROR(VLOOKUP(M774,'02. MM-KLH'!$B$6:$T$823,15,0),"")</f>
        <v>2025</v>
      </c>
      <c r="O774" s="773" t="str">
        <f>IFERROR(VLOOKUP(M774,'02. MM-KLH'!$B$6:$T$823,9,0),"")</f>
        <v>25/06/2025</v>
      </c>
      <c r="P774" s="19"/>
      <c r="Q774" s="19"/>
      <c r="R774" s="19" t="s">
        <v>5978</v>
      </c>
      <c r="S774" s="19"/>
      <c r="T774" s="19"/>
      <c r="U774" s="353" t="str">
        <f>IFERROR(VLOOKUP(M774,'02. MM-KLH'!$B$6:$T$823,5,0),"")</f>
        <v>MỚI</v>
      </c>
      <c r="V774" s="20" t="str">
        <f>IFERROR(VLOOKUP(M774,'02. MM-KLH'!$B$6:$T$823,8,0),"")</f>
        <v>XN Chuối DP3</v>
      </c>
      <c r="W774" s="353" t="str">
        <f>IFERROR(VLOOKUP(V774,'NS QUẢN LÝ CG'!$A$4:$D$36,2,0),"")</f>
        <v/>
      </c>
      <c r="X774" s="353" t="str">
        <f>IFERROR(VLOOKUP(V774,'NS QUẢN LÝ CG'!$A$4:$D$36,4,0),"")</f>
        <v/>
      </c>
      <c r="Y774" s="353" t="str">
        <f>IFERROR(VLOOKUP(V774,'NS QUẢN LÝ CG'!$A$4:$C$36,3,0),"")</f>
        <v/>
      </c>
      <c r="Z774" s="20" t="str">
        <f>IFERROR(VLOOKUP(M774,'02. MM-KLH'!$B$6:$T$823,3,0),"")</f>
        <v>A23-CCD-010</v>
      </c>
      <c r="AA774" s="353" t="str">
        <f t="shared" si="49"/>
        <v>DP</v>
      </c>
      <c r="AB774" s="20"/>
      <c r="AC774" s="20"/>
    </row>
    <row r="775" ht="15.75" customHeight="1" spans="1:29">
      <c r="A775" s="20"/>
      <c r="B775" s="22" t="str">
        <f>IFERROR(VLOOKUP(M775,'02. MM-KLH'!$B$6:$T$823,6,0),"")</f>
        <v>Máy cắt cỏ trục băm đa năng</v>
      </c>
      <c r="C775" s="353">
        <v>1</v>
      </c>
      <c r="D775" s="19" t="str">
        <f>IFERROR(VLOOKUP(M775,'02. MM-KLH'!$B$6:$T$823,16,0),"")</f>
        <v>TL662</v>
      </c>
      <c r="E775" s="19"/>
      <c r="F775" s="353" t="s">
        <v>5978</v>
      </c>
      <c r="G775" s="19"/>
      <c r="H775" s="19" t="str">
        <f>IFERROR(VLOOKUP(M775,'02. MM-KLH'!$B$6:$T$823,17,0),"")</f>
        <v>10HP</v>
      </c>
      <c r="I775" s="772">
        <f>IFERROR(VLOOKUP(M775,'02. MM-KLH'!$B$6:$U$823,20,0),"")</f>
        <v>1.8</v>
      </c>
      <c r="J775" s="22" t="str">
        <f>IFERROR(VLOOKUP(M775,'02. MM-KLH'!$B$6:$T$823,19,0),"")</f>
        <v>GT1000B0012093CD</v>
      </c>
      <c r="K775" s="22" t="str">
        <f>IFERROR(VLOOKUP(M775,'02. MM-KLH'!$B$6:$T$823,18,0),"")</f>
        <v>TL202506014018</v>
      </c>
      <c r="L775" s="19">
        <f>IFERROR(VLOOKUP(M775,'02. MM-KLH'!$B$6:$T$823,4,0),"")</f>
        <v>0</v>
      </c>
      <c r="M775" s="49" t="s">
        <v>1444</v>
      </c>
      <c r="N775" s="23">
        <f>IFERROR(VLOOKUP(M775,'02. MM-KLH'!$B$6:$T$823,15,0),"")</f>
        <v>2025</v>
      </c>
      <c r="O775" s="773" t="str">
        <f>IFERROR(VLOOKUP(M775,'02. MM-KLH'!$B$6:$T$823,9,0),"")</f>
        <v>25/06/2025</v>
      </c>
      <c r="P775" s="19"/>
      <c r="Q775" s="19"/>
      <c r="R775" s="19" t="s">
        <v>5978</v>
      </c>
      <c r="S775" s="19"/>
      <c r="T775" s="19"/>
      <c r="U775" s="353" t="str">
        <f>IFERROR(VLOOKUP(M775,'02. MM-KLH'!$B$6:$T$823,5,0),"")</f>
        <v>MỚI</v>
      </c>
      <c r="V775" s="20" t="str">
        <f>IFERROR(VLOOKUP(M775,'02. MM-KLH'!$B$6:$T$823,8,0),"")</f>
        <v>XN Chuối DP3</v>
      </c>
      <c r="W775" s="353" t="str">
        <f>IFERROR(VLOOKUP(V775,'NS QUẢN LÝ CG'!$A$4:$D$36,2,0),"")</f>
        <v/>
      </c>
      <c r="X775" s="353" t="str">
        <f>IFERROR(VLOOKUP(V775,'NS QUẢN LÝ CG'!$A$4:$D$36,4,0),"")</f>
        <v/>
      </c>
      <c r="Y775" s="353" t="str">
        <f>IFERROR(VLOOKUP(V775,'NS QUẢN LÝ CG'!$A$4:$C$36,3,0),"")</f>
        <v/>
      </c>
      <c r="Z775" s="20" t="str">
        <f>IFERROR(VLOOKUP(M775,'02. MM-KLH'!$B$6:$T$823,3,0),"")</f>
        <v>A23-CCD-011</v>
      </c>
      <c r="AA775" s="353" t="str">
        <f t="shared" si="49"/>
        <v>DP</v>
      </c>
      <c r="AB775" s="20"/>
      <c r="AC775" s="20"/>
    </row>
    <row r="776" ht="15.75" customHeight="1" spans="1:29">
      <c r="A776" s="20"/>
      <c r="B776" s="22" t="str">
        <f>IFERROR(VLOOKUP(M776,'02. MM-KLH'!$B$6:$T$823,6,0),"")</f>
        <v>Máy cắt cỏ trục băm đa năng</v>
      </c>
      <c r="C776" s="353">
        <v>1</v>
      </c>
      <c r="D776" s="19" t="str">
        <f>IFERROR(VLOOKUP(M776,'02. MM-KLH'!$B$6:$T$823,16,0),"")</f>
        <v>TL662</v>
      </c>
      <c r="E776" s="19"/>
      <c r="F776" s="353" t="s">
        <v>5978</v>
      </c>
      <c r="G776" s="19"/>
      <c r="H776" s="19" t="str">
        <f>IFERROR(VLOOKUP(M776,'02. MM-KLH'!$B$6:$T$823,17,0),"")</f>
        <v>10HP</v>
      </c>
      <c r="I776" s="772">
        <f>IFERROR(VLOOKUP(M776,'02. MM-KLH'!$B$6:$U$823,20,0),"")</f>
        <v>1.8</v>
      </c>
      <c r="J776" s="22" t="str">
        <f>IFERROR(VLOOKUP(M776,'02. MM-KLH'!$B$6:$T$823,19,0),"")</f>
        <v>GT1000B0042106CD</v>
      </c>
      <c r="K776" s="22" t="str">
        <f>IFERROR(VLOOKUP(M776,'02. MM-KLH'!$B$6:$T$823,18,0),"")</f>
        <v>TL202506014019</v>
      </c>
      <c r="L776" s="19">
        <f>IFERROR(VLOOKUP(M776,'02. MM-KLH'!$B$6:$T$823,4,0),"")</f>
        <v>0</v>
      </c>
      <c r="M776" s="49" t="s">
        <v>1448</v>
      </c>
      <c r="N776" s="23">
        <f>IFERROR(VLOOKUP(M776,'02. MM-KLH'!$B$6:$T$823,15,0),"")</f>
        <v>2025</v>
      </c>
      <c r="O776" s="773" t="str">
        <f>IFERROR(VLOOKUP(M776,'02. MM-KLH'!$B$6:$T$823,9,0),"")</f>
        <v>25/06/2025</v>
      </c>
      <c r="P776" s="19"/>
      <c r="Q776" s="19"/>
      <c r="R776" s="19" t="s">
        <v>5978</v>
      </c>
      <c r="S776" s="19"/>
      <c r="T776" s="19"/>
      <c r="U776" s="353" t="str">
        <f>IFERROR(VLOOKUP(M776,'02. MM-KLH'!$B$6:$T$823,5,0),"")</f>
        <v>MỚI</v>
      </c>
      <c r="V776" s="20" t="str">
        <f>IFERROR(VLOOKUP(M776,'02. MM-KLH'!$B$6:$T$823,8,0),"")</f>
        <v>XN Chuối DP3</v>
      </c>
      <c r="W776" s="353" t="str">
        <f>IFERROR(VLOOKUP(V776,'NS QUẢN LÝ CG'!$A$4:$D$36,2,0),"")</f>
        <v/>
      </c>
      <c r="X776" s="353" t="str">
        <f>IFERROR(VLOOKUP(V776,'NS QUẢN LÝ CG'!$A$4:$D$36,4,0),"")</f>
        <v/>
      </c>
      <c r="Y776" s="353" t="str">
        <f>IFERROR(VLOOKUP(V776,'NS QUẢN LÝ CG'!$A$4:$C$36,3,0),"")</f>
        <v/>
      </c>
      <c r="Z776" s="20" t="str">
        <f>IFERROR(VLOOKUP(M776,'02. MM-KLH'!$B$6:$T$823,3,0),"")</f>
        <v>A23-CCD-012</v>
      </c>
      <c r="AA776" s="353" t="str">
        <f t="shared" si="49"/>
        <v>DP</v>
      </c>
      <c r="AB776" s="20"/>
      <c r="AC776" s="20"/>
    </row>
    <row r="777" ht="15.75" customHeight="1" spans="1:29">
      <c r="A777" s="20"/>
      <c r="B777" s="22" t="str">
        <f>IFERROR(VLOOKUP(M777,'02. MM-KLH'!$B$6:$T$823,6,0),"")</f>
        <v>Máy cắt cỏ trục băm đa năng</v>
      </c>
      <c r="C777" s="353">
        <v>1</v>
      </c>
      <c r="D777" s="19" t="str">
        <f>IFERROR(VLOOKUP(M777,'02. MM-KLH'!$B$6:$T$823,16,0),"")</f>
        <v>TL663</v>
      </c>
      <c r="E777" s="19"/>
      <c r="F777" s="353" t="s">
        <v>5978</v>
      </c>
      <c r="G777" s="19"/>
      <c r="H777" s="19" t="str">
        <f>IFERROR(VLOOKUP(M777,'02. MM-KLH'!$B$6:$T$823,17,0),"")</f>
        <v>10HP</v>
      </c>
      <c r="I777" s="772">
        <f>IFERROR(VLOOKUP(M777,'02. MM-KLH'!$B$6:$U$823,20,0),"")</f>
        <v>1.8</v>
      </c>
      <c r="J777" s="22">
        <f>IFERROR(VLOOKUP(M777,'02. MM-KLH'!$B$6:$T$823,19,0),"")</f>
        <v>0</v>
      </c>
      <c r="K777" s="22" t="str">
        <f>IFERROR(VLOOKUP(M777,'02. MM-KLH'!$B$6:$T$823,18,0),"")</f>
        <v>TL20250901606
</v>
      </c>
      <c r="L777" s="19">
        <f>IFERROR(VLOOKUP(M777,'02. MM-KLH'!$B$6:$T$823,4,0),"")</f>
        <v>0</v>
      </c>
      <c r="M777" s="49" t="s">
        <v>1452</v>
      </c>
      <c r="N777" s="23">
        <f>IFERROR(VLOOKUP(M777,'02. MM-KLH'!$B$6:$T$823,15,0),"")</f>
        <v>2025</v>
      </c>
      <c r="O777" s="773" t="str">
        <f>IFERROR(VLOOKUP(M777,'02. MM-KLH'!$B$6:$T$823,9,0),"")</f>
        <v>13/03/2026</v>
      </c>
      <c r="P777" s="19"/>
      <c r="Q777" s="19"/>
      <c r="R777" s="19" t="s">
        <v>5978</v>
      </c>
      <c r="S777" s="19"/>
      <c r="T777" s="19"/>
      <c r="U777" s="353" t="str">
        <f>IFERROR(VLOOKUP(M777,'02. MM-KLH'!$B$6:$T$823,5,0),"")</f>
        <v>MỚI</v>
      </c>
      <c r="V777" s="20" t="str">
        <f>IFERROR(VLOOKUP(M777,'02. MM-KLH'!$B$6:$T$823,8,0),"")</f>
        <v>XN Chuối DP3</v>
      </c>
      <c r="W777" s="353" t="str">
        <f>IFERROR(VLOOKUP(V777,'NS QUẢN LÝ CG'!$A$4:$D$36,2,0),"")</f>
        <v/>
      </c>
      <c r="X777" s="353" t="str">
        <f>IFERROR(VLOOKUP(V777,'NS QUẢN LÝ CG'!$A$4:$D$36,4,0),"")</f>
        <v/>
      </c>
      <c r="Y777" s="353" t="str">
        <f>IFERROR(VLOOKUP(V777,'NS QUẢN LÝ CG'!$A$4:$C$36,3,0),"")</f>
        <v/>
      </c>
      <c r="Z777" s="20">
        <f>IFERROR(VLOOKUP(M777,'02. MM-KLH'!$B$6:$T$823,3,0),"")</f>
        <v>0</v>
      </c>
      <c r="AA777" s="353" t="str">
        <f t="shared" si="49"/>
        <v/>
      </c>
      <c r="AB777" s="20"/>
      <c r="AC777" s="20"/>
    </row>
    <row r="778" ht="15.75" customHeight="1" spans="1:29">
      <c r="A778" s="20"/>
      <c r="B778" s="22" t="str">
        <f>IFERROR(VLOOKUP(M778,'02. MM-KLH'!$B$6:$T$823,6,0),"")</f>
        <v>Máy cắt cỏ trục băm đa năng</v>
      </c>
      <c r="C778" s="353">
        <v>1</v>
      </c>
      <c r="D778" s="19" t="str">
        <f>IFERROR(VLOOKUP(M778,'02. MM-KLH'!$B$6:$T$823,16,0),"")</f>
        <v>TL663</v>
      </c>
      <c r="E778" s="19"/>
      <c r="F778" s="353" t="s">
        <v>5978</v>
      </c>
      <c r="G778" s="19"/>
      <c r="H778" s="19" t="str">
        <f>IFERROR(VLOOKUP(M778,'02. MM-KLH'!$B$6:$T$823,17,0),"")</f>
        <v>10HP</v>
      </c>
      <c r="I778" s="772">
        <f>IFERROR(VLOOKUP(M778,'02. MM-KLH'!$B$6:$U$823,20,0),"")</f>
        <v>1.8</v>
      </c>
      <c r="J778" s="22">
        <f>IFERROR(VLOOKUP(M778,'02. MM-KLH'!$B$6:$T$823,19,0),"")</f>
        <v>0</v>
      </c>
      <c r="K778" s="22" t="str">
        <f>IFERROR(VLOOKUP(M778,'02. MM-KLH'!$B$6:$T$823,18,0),"")</f>
        <v>TL202501201501</v>
      </c>
      <c r="L778" s="19">
        <f>IFERROR(VLOOKUP(M778,'02. MM-KLH'!$B$6:$T$823,4,0),"")</f>
        <v>0</v>
      </c>
      <c r="M778" s="49" t="s">
        <v>1457</v>
      </c>
      <c r="N778" s="23">
        <f>IFERROR(VLOOKUP(M778,'02. MM-KLH'!$B$6:$T$823,15,0),"")</f>
        <v>2025</v>
      </c>
      <c r="O778" s="773" t="str">
        <f>IFERROR(VLOOKUP(M778,'02. MM-KLH'!$B$6:$T$823,9,0),"")</f>
        <v>13/03/2026</v>
      </c>
      <c r="P778" s="19"/>
      <c r="Q778" s="19"/>
      <c r="R778" s="19" t="s">
        <v>5978</v>
      </c>
      <c r="S778" s="19"/>
      <c r="T778" s="19"/>
      <c r="U778" s="353" t="str">
        <f>IFERROR(VLOOKUP(M778,'02. MM-KLH'!$B$6:$T$823,5,0),"")</f>
        <v>MỚI</v>
      </c>
      <c r="V778" s="20" t="str">
        <f>IFERROR(VLOOKUP(M778,'02. MM-KLH'!$B$6:$T$823,8,0),"")</f>
        <v>XN Chuối DP3</v>
      </c>
      <c r="W778" s="353" t="str">
        <f>IFERROR(VLOOKUP(V778,'NS QUẢN LÝ CG'!$A$4:$D$36,2,0),"")</f>
        <v/>
      </c>
      <c r="X778" s="353" t="str">
        <f>IFERROR(VLOOKUP(V778,'NS QUẢN LÝ CG'!$A$4:$D$36,4,0),"")</f>
        <v/>
      </c>
      <c r="Y778" s="353" t="str">
        <f>IFERROR(VLOOKUP(V778,'NS QUẢN LÝ CG'!$A$4:$C$36,3,0),"")</f>
        <v/>
      </c>
      <c r="Z778" s="20">
        <f>IFERROR(VLOOKUP(M778,'02. MM-KLH'!$B$6:$T$823,3,0),"")</f>
        <v>0</v>
      </c>
      <c r="AA778" s="353" t="str">
        <f t="shared" si="49"/>
        <v/>
      </c>
      <c r="AB778" s="20"/>
      <c r="AC778" s="20"/>
    </row>
    <row r="779" ht="15.75" customHeight="1" spans="1:29">
      <c r="A779" s="20"/>
      <c r="B779" s="22" t="str">
        <f>IFERROR(VLOOKUP(M779,'02. MM-KLH'!$B$6:$T$823,6,0),"")</f>
        <v>Máy xới đất 7.5HP</v>
      </c>
      <c r="C779" s="353">
        <v>1</v>
      </c>
      <c r="D779" s="19" t="str">
        <f>IFERROR(VLOOKUP(M779,'02. MM-KLH'!$B$6:$T$823,16,0),"")</f>
        <v>SR1Z-75</v>
      </c>
      <c r="E779" s="353" t="s">
        <v>5978</v>
      </c>
      <c r="F779" s="19"/>
      <c r="G779" s="19"/>
      <c r="H779" s="19" t="str">
        <f>IFERROR(VLOOKUP(M779,'02. MM-KLH'!$B$6:$T$823,17,0),"")</f>
        <v>7.5HP</v>
      </c>
      <c r="I779" s="772">
        <f>IFERROR(VLOOKUP(M779,'02. MM-KLH'!$B$6:$U$823,20,0),"")</f>
        <v>0</v>
      </c>
      <c r="J779" s="22" t="str">
        <f>IFERROR(VLOOKUP(M779,'02. MM-KLH'!$B$6:$T$823,19,0),"")</f>
        <v>00E534AT0852</v>
      </c>
      <c r="K779" s="22">
        <f>IFERROR(VLOOKUP(M779,'02. MM-KLH'!$B$6:$T$823,18,0),"")</f>
        <v>2505401193</v>
      </c>
      <c r="L779" s="19">
        <f>IFERROR(VLOOKUP(M779,'02. MM-KLH'!$B$6:$T$823,4,0),"")</f>
        <v>0</v>
      </c>
      <c r="M779" s="49" t="s">
        <v>1459</v>
      </c>
      <c r="N779" s="23">
        <f>IFERROR(VLOOKUP(M779,'02. MM-KLH'!$B$6:$T$823,15,0),"")</f>
        <v>2025</v>
      </c>
      <c r="O779" s="773" t="str">
        <f>IFERROR(VLOOKUP(M779,'02. MM-KLH'!$B$6:$T$823,9,0),"")</f>
        <v>13/03/2026</v>
      </c>
      <c r="P779" s="19"/>
      <c r="Q779" s="19"/>
      <c r="R779" s="19" t="s">
        <v>5978</v>
      </c>
      <c r="S779" s="19"/>
      <c r="T779" s="19"/>
      <c r="U779" s="353" t="str">
        <f>IFERROR(VLOOKUP(M779,'02. MM-KLH'!$B$6:$T$823,5,0),"")</f>
        <v>MỚI</v>
      </c>
      <c r="V779" s="20" t="str">
        <f>IFERROR(VLOOKUP(M779,'02. MM-KLH'!$B$6:$T$823,8,0),"")</f>
        <v>XN Chuối DP3</v>
      </c>
      <c r="W779" s="353" t="str">
        <f>IFERROR(VLOOKUP(V779,'NS QUẢN LÝ CG'!$A$4:$D$36,2,0),"")</f>
        <v/>
      </c>
      <c r="X779" s="353" t="str">
        <f>IFERROR(VLOOKUP(V779,'NS QUẢN LÝ CG'!$A$4:$D$36,4,0),"")</f>
        <v/>
      </c>
      <c r="Y779" s="353" t="str">
        <f>IFERROR(VLOOKUP(V779,'NS QUẢN LÝ CG'!$A$4:$C$36,3,0),"")</f>
        <v/>
      </c>
      <c r="Z779" s="20">
        <f>IFERROR(VLOOKUP(M779,'02. MM-KLH'!$B$6:$T$823,3,0),"")</f>
        <v>0</v>
      </c>
      <c r="AA779" s="353" t="str">
        <f t="shared" si="49"/>
        <v/>
      </c>
      <c r="AB779" s="20"/>
      <c r="AC779" s="20"/>
    </row>
    <row r="780" ht="15.75" customHeight="1" spans="1:29">
      <c r="A780" s="20"/>
      <c r="B780" s="22" t="str">
        <f>IFERROR(VLOOKUP(M780,'02. MM-KLH'!$B$6:$T$823,6,0),"")</f>
        <v>Máy xới đất 7.5HP</v>
      </c>
      <c r="C780" s="353">
        <v>1</v>
      </c>
      <c r="D780" s="19" t="str">
        <f>IFERROR(VLOOKUP(M780,'02. MM-KLH'!$B$6:$T$823,16,0),"")</f>
        <v>SR1Z-75</v>
      </c>
      <c r="E780" s="353" t="s">
        <v>5978</v>
      </c>
      <c r="F780" s="19"/>
      <c r="G780" s="19"/>
      <c r="H780" s="19" t="str">
        <f>IFERROR(VLOOKUP(M780,'02. MM-KLH'!$B$6:$T$823,17,0),"")</f>
        <v>7.5HP</v>
      </c>
      <c r="I780" s="772">
        <f>IFERROR(VLOOKUP(M780,'02. MM-KLH'!$B$6:$U$823,20,0),"")</f>
        <v>0</v>
      </c>
      <c r="J780" s="22" t="str">
        <f>IFERROR(VLOOKUP(M780,'02. MM-KLH'!$B$6:$T$823,19,0),"")</f>
        <v>00E534AT0827</v>
      </c>
      <c r="K780" s="22">
        <f>IFERROR(VLOOKUP(M780,'02. MM-KLH'!$B$6:$T$823,18,0),"")</f>
        <v>2505401175</v>
      </c>
      <c r="L780" s="19">
        <f>IFERROR(VLOOKUP(M780,'02. MM-KLH'!$B$6:$T$823,4,0),"")</f>
        <v>0</v>
      </c>
      <c r="M780" s="49" t="s">
        <v>1464</v>
      </c>
      <c r="N780" s="23">
        <f>IFERROR(VLOOKUP(M780,'02. MM-KLH'!$B$6:$T$823,15,0),"")</f>
        <v>2025</v>
      </c>
      <c r="O780" s="773" t="str">
        <f>IFERROR(VLOOKUP(M780,'02. MM-KLH'!$B$6:$T$823,9,0),"")</f>
        <v>13/03/2026</v>
      </c>
      <c r="P780" s="19"/>
      <c r="Q780" s="19"/>
      <c r="R780" s="19"/>
      <c r="S780" s="19" t="s">
        <v>5978</v>
      </c>
      <c r="T780" s="19"/>
      <c r="U780" s="353" t="str">
        <f>IFERROR(VLOOKUP(M780,'02. MM-KLH'!$B$6:$T$823,5,0),"")</f>
        <v>MỚI</v>
      </c>
      <c r="V780" s="20" t="str">
        <f>IFERROR(VLOOKUP(M780,'02. MM-KLH'!$B$6:$T$823,8,0),"")</f>
        <v>XN Chuối DP3</v>
      </c>
      <c r="W780" s="353" t="str">
        <f>IFERROR(VLOOKUP(V780,'NS QUẢN LÝ CG'!$A$4:$D$36,2,0),"")</f>
        <v/>
      </c>
      <c r="X780" s="353" t="str">
        <f>IFERROR(VLOOKUP(V780,'NS QUẢN LÝ CG'!$A$4:$D$36,4,0),"")</f>
        <v/>
      </c>
      <c r="Y780" s="353" t="str">
        <f>IFERROR(VLOOKUP(V780,'NS QUẢN LÝ CG'!$A$4:$C$36,3,0),"")</f>
        <v/>
      </c>
      <c r="Z780" s="20">
        <f>IFERROR(VLOOKUP(M780,'02. MM-KLH'!$B$6:$T$823,3,0),"")</f>
        <v>0</v>
      </c>
      <c r="AA780" s="353" t="str">
        <f t="shared" si="49"/>
        <v/>
      </c>
      <c r="AB780" s="20"/>
      <c r="AC780" s="20"/>
    </row>
    <row r="781" ht="15.75" customHeight="1" spans="1:29">
      <c r="A781" s="20"/>
      <c r="B781" s="22" t="str">
        <f>IFERROR(VLOOKUP(M781,'02. MM-KLH'!$B$6:$T$823,6,0),"")</f>
        <v>Xe máy</v>
      </c>
      <c r="C781" s="353">
        <v>1</v>
      </c>
      <c r="D781" s="19" t="str">
        <f>IFERROR(VLOOKUP(M781,'02. MM-KLH'!$B$6:$T$823,16,0),"")</f>
        <v>WAVE A</v>
      </c>
      <c r="E781" s="19"/>
      <c r="F781" s="353" t="s">
        <v>5978</v>
      </c>
      <c r="G781" s="19"/>
      <c r="H781" s="19" t="str">
        <f>IFERROR(VLOOKUP(M781,'02. MM-KLH'!$B$6:$T$823,17,0),"")</f>
        <v>110CC</v>
      </c>
      <c r="I781" s="772">
        <f>IFERROR(VLOOKUP(M781,'02. MM-KLH'!$B$6:$U$823,20,0),"")</f>
        <v>0</v>
      </c>
      <c r="J781" s="22" t="str">
        <f>IFERROR(VLOOKUP(M781,'02. MM-KLH'!$B$6:$T$823,19,0),"")</f>
        <v>JA39E-1004932</v>
      </c>
      <c r="K781" s="22" t="str">
        <f>IFERROR(VLOOKUP(M781,'02. MM-KLH'!$B$6:$T$823,18,0),"")</f>
        <v>RLHJA3912KY147682</v>
      </c>
      <c r="L781" s="19">
        <f>IFERROR(VLOOKUP(M781,'02. MM-KLH'!$B$6:$T$823,4,0),"")</f>
        <v>0</v>
      </c>
      <c r="M781" s="49" t="s">
        <v>2907</v>
      </c>
      <c r="N781" s="23">
        <f>IFERROR(VLOOKUP(M781,'02. MM-KLH'!$B$6:$T$823,15,0),"")</f>
        <v>0</v>
      </c>
      <c r="O781" s="773">
        <f>IFERROR(VLOOKUP(M781,'02. MM-KLH'!$B$6:$T$823,9,0),"")</f>
        <v>45058</v>
      </c>
      <c r="P781" s="19"/>
      <c r="Q781" s="19"/>
      <c r="R781" s="19"/>
      <c r="S781" s="19" t="s">
        <v>5978</v>
      </c>
      <c r="T781" s="19"/>
      <c r="U781" s="353" t="str">
        <f>IFERROR(VLOOKUP(M781,'02. MM-KLH'!$B$6:$T$823,5,0),"")</f>
        <v>ĐQSD</v>
      </c>
      <c r="V781" s="20" t="str">
        <f>IFERROR(VLOOKUP(M781,'02. MM-KLH'!$B$6:$T$823,8,0),"")</f>
        <v>BAN CG-CK &amp; SXCN</v>
      </c>
      <c r="W781" s="353">
        <f>IFERROR(VLOOKUP(V781,'NS QUẢN LÝ CG'!$A$4:$D$36,2,0),"")</f>
        <v>0</v>
      </c>
      <c r="X781" s="353">
        <f>IFERROR(VLOOKUP(V781,'NS QUẢN LÝ CG'!$A$4:$D$36,4,0),"")</f>
        <v>0</v>
      </c>
      <c r="Y781" s="353">
        <f>IFERROR(VLOOKUP(V781,'NS QUẢN LÝ CG'!$A$4:$C$36,3,0),"")</f>
        <v>0</v>
      </c>
      <c r="Z781" s="20" t="str">
        <f>IFERROR(VLOOKUP(M781,'02. MM-KLH'!$B$6:$T$823,3,0),"")</f>
        <v>A22-XMA-001</v>
      </c>
      <c r="AA781" s="353" t="str">
        <f t="shared" si="49"/>
        <v>ADM</v>
      </c>
      <c r="AB781" s="20"/>
      <c r="AC781" s="20"/>
    </row>
    <row r="782" ht="15.75" customHeight="1" spans="1:29">
      <c r="A782" s="20"/>
      <c r="B782" s="22" t="str">
        <f>IFERROR(VLOOKUP(M782,'02. MM-KLH'!$B$6:$T$823,6,0),"")</f>
        <v>Xe máy</v>
      </c>
      <c r="C782" s="353">
        <v>1</v>
      </c>
      <c r="D782" s="19" t="str">
        <f>IFERROR(VLOOKUP(M782,'02. MM-KLH'!$B$6:$T$823,16,0),"")</f>
        <v>WAVE A</v>
      </c>
      <c r="E782" s="19"/>
      <c r="F782" s="353" t="s">
        <v>5978</v>
      </c>
      <c r="G782" s="19"/>
      <c r="H782" s="19" t="str">
        <f>IFERROR(VLOOKUP(M782,'02. MM-KLH'!$B$6:$T$823,17,0),"")</f>
        <v>110CC</v>
      </c>
      <c r="I782" s="772">
        <f>IFERROR(VLOOKUP(M782,'02. MM-KLH'!$B$6:$U$823,20,0),"")</f>
        <v>0</v>
      </c>
      <c r="J782" s="22" t="str">
        <f>IFERROR(VLOOKUP(M782,'02. MM-KLH'!$B$6:$T$823,19,0),"")</f>
        <v>JA39E-1038313</v>
      </c>
      <c r="K782" s="22" t="str">
        <f>IFERROR(VLOOKUP(M782,'02. MM-KLH'!$B$6:$T$823,18,0),"")</f>
        <v>RLHJAG912KY180667</v>
      </c>
      <c r="L782" s="19">
        <f>IFERROR(VLOOKUP(M782,'02. MM-KLH'!$B$6:$T$823,4,0),"")</f>
        <v>0</v>
      </c>
      <c r="M782" s="49" t="s">
        <v>2914</v>
      </c>
      <c r="N782" s="23">
        <f>IFERROR(VLOOKUP(M782,'02. MM-KLH'!$B$6:$T$823,15,0),"")</f>
        <v>0</v>
      </c>
      <c r="O782" s="773">
        <f>IFERROR(VLOOKUP(M782,'02. MM-KLH'!$B$6:$T$823,9,0),"")</f>
        <v>0</v>
      </c>
      <c r="P782" s="19"/>
      <c r="Q782" s="19"/>
      <c r="R782" s="19" t="s">
        <v>5978</v>
      </c>
      <c r="S782" s="19"/>
      <c r="T782" s="19"/>
      <c r="U782" s="353" t="str">
        <f>IFERROR(VLOOKUP(M782,'02. MM-KLH'!$B$6:$T$823,5,0),"")</f>
        <v>ĐQSD</v>
      </c>
      <c r="V782" s="20" t="str">
        <f>IFERROR(VLOOKUP(M782,'02. MM-KLH'!$B$6:$T$823,8,0),"")</f>
        <v>BAN CG-CK &amp; SXCN</v>
      </c>
      <c r="W782" s="353">
        <f>IFERROR(VLOOKUP(V782,'NS QUẢN LÝ CG'!$A$4:$D$36,2,0),"")</f>
        <v>0</v>
      </c>
      <c r="X782" s="353">
        <f>IFERROR(VLOOKUP(V782,'NS QUẢN LÝ CG'!$A$4:$D$36,4,0),"")</f>
        <v>0</v>
      </c>
      <c r="Y782" s="353">
        <f>IFERROR(VLOOKUP(V782,'NS QUẢN LÝ CG'!$A$4:$C$36,3,0),"")</f>
        <v>0</v>
      </c>
      <c r="Z782" s="20" t="str">
        <f>IFERROR(VLOOKUP(M782,'02. MM-KLH'!$B$6:$T$823,3,0),"")</f>
        <v>A22-XMA-002</v>
      </c>
      <c r="AA782" s="353" t="str">
        <f t="shared" si="49"/>
        <v>ADM</v>
      </c>
      <c r="AB782" s="20"/>
      <c r="AC782" s="20"/>
    </row>
    <row r="783" ht="15.75" customHeight="1" spans="1:29">
      <c r="A783" s="20"/>
      <c r="B783" s="22" t="str">
        <f>IFERROR(VLOOKUP(M783,'02. MM-KLH'!$B$6:$T$823,6,0),"")</f>
        <v>Xe máy</v>
      </c>
      <c r="C783" s="353">
        <v>1</v>
      </c>
      <c r="D783" s="19" t="str">
        <f>IFERROR(VLOOKUP(M783,'02. MM-KLH'!$B$6:$T$823,16,0),"")</f>
        <v>WAVE A</v>
      </c>
      <c r="E783" s="19"/>
      <c r="F783" s="353" t="s">
        <v>5978</v>
      </c>
      <c r="G783" s="19"/>
      <c r="H783" s="19" t="str">
        <f>IFERROR(VLOOKUP(M783,'02. MM-KLH'!$B$6:$T$823,17,0),"")</f>
        <v>110CC</v>
      </c>
      <c r="I783" s="772">
        <f>IFERROR(VLOOKUP(M783,'02. MM-KLH'!$B$6:$U$823,20,0),"")</f>
        <v>0</v>
      </c>
      <c r="J783" s="22" t="str">
        <f>IFERROR(VLOOKUP(M783,'02. MM-KLH'!$B$6:$T$823,19,0),"")</f>
        <v>JA39E-0414593</v>
      </c>
      <c r="K783" s="22" t="str">
        <f>IFERROR(VLOOKUP(M783,'02. MM-KLH'!$B$6:$T$823,18,0),"")</f>
        <v>CCN</v>
      </c>
      <c r="L783" s="19">
        <f>IFERROR(VLOOKUP(M783,'02. MM-KLH'!$B$6:$T$823,4,0),"")</f>
        <v>0</v>
      </c>
      <c r="M783" s="49" t="s">
        <v>2918</v>
      </c>
      <c r="N783" s="23">
        <f>IFERROR(VLOOKUP(M783,'02. MM-KLH'!$B$6:$T$823,15,0),"")</f>
        <v>0</v>
      </c>
      <c r="O783" s="773">
        <f>IFERROR(VLOOKUP(M783,'02. MM-KLH'!$B$6:$T$823,9,0),"")</f>
        <v>0</v>
      </c>
      <c r="P783" s="19"/>
      <c r="Q783" s="19"/>
      <c r="R783" s="19" t="s">
        <v>5978</v>
      </c>
      <c r="S783" s="19"/>
      <c r="T783" s="19"/>
      <c r="U783" s="353" t="str">
        <f>IFERROR(VLOOKUP(M783,'02. MM-KLH'!$B$6:$T$823,5,0),"")</f>
        <v>ĐQSD</v>
      </c>
      <c r="V783" s="20" t="str">
        <f>IFERROR(VLOOKUP(M783,'02. MM-KLH'!$B$6:$T$823,8,0),"")</f>
        <v>BAN CG-CK &amp; SXCN</v>
      </c>
      <c r="W783" s="353">
        <f>IFERROR(VLOOKUP(V783,'NS QUẢN LÝ CG'!$A$4:$D$36,2,0),"")</f>
        <v>0</v>
      </c>
      <c r="X783" s="353">
        <f>IFERROR(VLOOKUP(V783,'NS QUẢN LÝ CG'!$A$4:$D$36,4,0),"")</f>
        <v>0</v>
      </c>
      <c r="Y783" s="353">
        <f>IFERROR(VLOOKUP(V783,'NS QUẢN LÝ CG'!$A$4:$C$36,3,0),"")</f>
        <v>0</v>
      </c>
      <c r="Z783" s="20" t="str">
        <f>IFERROR(VLOOKUP(M783,'02. MM-KLH'!$B$6:$T$823,3,0),"")</f>
        <v>A22-XMA-003</v>
      </c>
      <c r="AA783" s="353" t="str">
        <f t="shared" si="49"/>
        <v>ADM</v>
      </c>
      <c r="AB783" s="20"/>
      <c r="AC783" s="20"/>
    </row>
    <row r="784" ht="15.75" customHeight="1" spans="1:29">
      <c r="A784" s="20"/>
      <c r="B784" s="22" t="str">
        <f>IFERROR(VLOOKUP(M784,'02. MM-KLH'!$B$6:$T$823,6,0),"")</f>
        <v>Xe máy</v>
      </c>
      <c r="C784" s="353">
        <v>1</v>
      </c>
      <c r="D784" s="19" t="str">
        <f>IFERROR(VLOOKUP(M784,'02. MM-KLH'!$B$6:$T$823,16,0),"")</f>
        <v>WAVE A</v>
      </c>
      <c r="E784" s="19"/>
      <c r="F784" s="353" t="s">
        <v>5978</v>
      </c>
      <c r="G784" s="19"/>
      <c r="H784" s="19" t="str">
        <f>IFERROR(VLOOKUP(M784,'02. MM-KLH'!$B$6:$T$823,17,0),"")</f>
        <v>110CC</v>
      </c>
      <c r="I784" s="772">
        <f>IFERROR(VLOOKUP(M784,'02. MM-KLH'!$B$6:$U$823,20,0),"")</f>
        <v>0</v>
      </c>
      <c r="J784" s="22" t="str">
        <f>IFERROR(VLOOKUP(M784,'02. MM-KLH'!$B$6:$T$823,19,0),"")</f>
        <v>JA39E-1190180</v>
      </c>
      <c r="K784" s="22" t="str">
        <f>IFERROR(VLOOKUP(M784,'02. MM-KLH'!$B$6:$T$823,18,0),"")</f>
        <v>RLHJA3914KY-216158</v>
      </c>
      <c r="L784" s="19">
        <f>IFERROR(VLOOKUP(M784,'02. MM-KLH'!$B$6:$T$823,4,0),"")</f>
        <v>0</v>
      </c>
      <c r="M784" s="49" t="s">
        <v>2921</v>
      </c>
      <c r="N784" s="23">
        <f>IFERROR(VLOOKUP(M784,'02. MM-KLH'!$B$6:$T$823,15,0),"")</f>
        <v>0</v>
      </c>
      <c r="O784" s="773">
        <f>IFERROR(VLOOKUP(M784,'02. MM-KLH'!$B$6:$T$823,9,0),"")</f>
        <v>45841</v>
      </c>
      <c r="P784" s="19"/>
      <c r="Q784" s="19"/>
      <c r="R784" s="19" t="s">
        <v>5978</v>
      </c>
      <c r="S784" s="19"/>
      <c r="T784" s="19"/>
      <c r="U784" s="353" t="str">
        <f>IFERROR(VLOOKUP(M784,'02. MM-KLH'!$B$6:$T$823,5,0),"")</f>
        <v>ĐQSD</v>
      </c>
      <c r="V784" s="20" t="str">
        <f>IFERROR(VLOOKUP(M784,'02. MM-KLH'!$B$6:$T$823,8,0),"")</f>
        <v>BAN CG-CK &amp; SXCN</v>
      </c>
      <c r="W784" s="353">
        <f>IFERROR(VLOOKUP(V784,'NS QUẢN LÝ CG'!$A$4:$D$36,2,0),"")</f>
        <v>0</v>
      </c>
      <c r="X784" s="353">
        <f>IFERROR(VLOOKUP(V784,'NS QUẢN LÝ CG'!$A$4:$D$36,4,0),"")</f>
        <v>0</v>
      </c>
      <c r="Y784" s="353">
        <f>IFERROR(VLOOKUP(V784,'NS QUẢN LÝ CG'!$A$4:$C$36,3,0),"")</f>
        <v>0</v>
      </c>
      <c r="Z784" s="20" t="str">
        <f>IFERROR(VLOOKUP(M784,'02. MM-KLH'!$B$6:$T$823,3,0),"")</f>
        <v>TOL-A22-0795</v>
      </c>
      <c r="AA784" s="353" t="str">
        <f t="shared" si="49"/>
        <v/>
      </c>
      <c r="AB784" s="20"/>
      <c r="AC784" s="20"/>
    </row>
    <row r="785" ht="15.75" customHeight="1" spans="1:29">
      <c r="A785" s="20"/>
      <c r="B785" s="22" t="str">
        <f>IFERROR(VLOOKUP(M785,'02. MM-KLH'!$B$6:$T$823,6,0),"")</f>
        <v>Xe tải Libero</v>
      </c>
      <c r="C785" s="353">
        <v>1</v>
      </c>
      <c r="D785" s="19">
        <f>IFERROR(VLOOKUP(M785,'02. MM-KLH'!$B$6:$T$823,16,0),"")</f>
        <v>0</v>
      </c>
      <c r="E785" s="353" t="s">
        <v>5978</v>
      </c>
      <c r="F785" s="19"/>
      <c r="G785" s="19"/>
      <c r="H785" s="19">
        <f>IFERROR(VLOOKUP(M785,'02. MM-KLH'!$B$6:$T$823,17,0),"")</f>
        <v>0</v>
      </c>
      <c r="I785" s="772">
        <f>IFERROR(VLOOKUP(M785,'02. MM-KLH'!$B$6:$U$823,20,0),"")</f>
        <v>0</v>
      </c>
      <c r="J785" s="22" t="str">
        <f>IFERROR(VLOOKUP(M785,'02. MM-KLH'!$B$6:$T$823,19,0),"")</f>
        <v>CCN</v>
      </c>
      <c r="K785" s="22" t="str">
        <f>IFERROR(VLOOKUP(M785,'02. MM-KLH'!$B$6:$T$823,18,0),"")</f>
        <v>KMFYKS7HP3U039257</v>
      </c>
      <c r="L785" s="19" t="str">
        <f>IFERROR(VLOOKUP(M785,'02. MM-KLH'!$B$6:$T$823,4,0),"")</f>
        <v>2A-4453</v>
      </c>
      <c r="M785" s="49" t="s">
        <v>2927</v>
      </c>
      <c r="N785" s="23">
        <f>IFERROR(VLOOKUP(M785,'02. MM-KLH'!$B$6:$T$823,15,0),"")</f>
        <v>0</v>
      </c>
      <c r="O785" s="773">
        <f>IFERROR(VLOOKUP(M785,'02. MM-KLH'!$B$6:$T$823,9,0),"")</f>
        <v>0</v>
      </c>
      <c r="P785" s="19"/>
      <c r="Q785" s="19"/>
      <c r="R785" s="19" t="s">
        <v>5978</v>
      </c>
      <c r="S785" s="19"/>
      <c r="T785" s="19"/>
      <c r="U785" s="353" t="str">
        <f>IFERROR(VLOOKUP(M785,'02. MM-KLH'!$B$6:$T$823,5,0),"")</f>
        <v>ĐQSD</v>
      </c>
      <c r="V785" s="20" t="str">
        <f>IFERROR(VLOOKUP(M785,'02. MM-KLH'!$B$6:$T$823,8,0),"")</f>
        <v>BAN CG-CK &amp; SXCN</v>
      </c>
      <c r="W785" s="353">
        <f>IFERROR(VLOOKUP(V785,'NS QUẢN LÝ CG'!$A$4:$D$36,2,0),"")</f>
        <v>0</v>
      </c>
      <c r="X785" s="353">
        <f>IFERROR(VLOOKUP(V785,'NS QUẢN LÝ CG'!$A$4:$D$36,4,0),"")</f>
        <v>0</v>
      </c>
      <c r="Y785" s="353">
        <f>IFERROR(VLOOKUP(V785,'NS QUẢN LÝ CG'!$A$4:$C$36,3,0),"")</f>
        <v>0</v>
      </c>
      <c r="Z785" s="20" t="str">
        <f>IFERROR(VLOOKUP(M785,'02. MM-KLH'!$B$6:$T$823,3,0),"")</f>
        <v>A22-LBR-001</v>
      </c>
      <c r="AA785" s="353" t="str">
        <f t="shared" si="49"/>
        <v>ADM</v>
      </c>
      <c r="AB785" s="20"/>
      <c r="AC785" s="20"/>
    </row>
    <row r="786" ht="15.75" customHeight="1" spans="1:29">
      <c r="A786" s="20"/>
      <c r="B786" s="22" t="str">
        <f>IFERROR(VLOOKUP(M786,'02. MM-KLH'!$B$6:$T$823,6,0),"")</f>
        <v>Xe tải Libero</v>
      </c>
      <c r="C786" s="353">
        <v>1</v>
      </c>
      <c r="D786" s="19">
        <f>IFERROR(VLOOKUP(M786,'02. MM-KLH'!$B$6:$T$823,16,0),"")</f>
        <v>0</v>
      </c>
      <c r="E786" s="353" t="s">
        <v>5978</v>
      </c>
      <c r="F786" s="19"/>
      <c r="G786" s="19"/>
      <c r="H786" s="19">
        <f>IFERROR(VLOOKUP(M786,'02. MM-KLH'!$B$6:$T$823,17,0),"")</f>
        <v>0</v>
      </c>
      <c r="I786" s="772">
        <f>IFERROR(VLOOKUP(M786,'02. MM-KLH'!$B$6:$U$823,20,0),"")</f>
        <v>0</v>
      </c>
      <c r="J786" s="22">
        <f>IFERROR(VLOOKUP(M786,'02. MM-KLH'!$B$6:$T$823,19,0),"")</f>
        <v>0</v>
      </c>
      <c r="K786" s="22">
        <f>IFERROR(VLOOKUP(M786,'02. MM-KLH'!$B$6:$T$823,18,0),"")</f>
        <v>0</v>
      </c>
      <c r="L786" s="19" t="str">
        <f>IFERROR(VLOOKUP(M786,'02. MM-KLH'!$B$6:$T$823,4,0),"")</f>
        <v>2A-0834</v>
      </c>
      <c r="M786" s="49" t="s">
        <v>2932</v>
      </c>
      <c r="N786" s="23">
        <f>IFERROR(VLOOKUP(M786,'02. MM-KLH'!$B$6:$T$823,15,0),"")</f>
        <v>0</v>
      </c>
      <c r="O786" s="773">
        <f>IFERROR(VLOOKUP(M786,'02. MM-KLH'!$B$6:$T$823,9,0),"")</f>
        <v>45636</v>
      </c>
      <c r="P786" s="19"/>
      <c r="Q786" s="19"/>
      <c r="R786" s="19" t="s">
        <v>5978</v>
      </c>
      <c r="S786" s="19"/>
      <c r="T786" s="19"/>
      <c r="U786" s="353" t="str">
        <f>IFERROR(VLOOKUP(M786,'02. MM-KLH'!$B$6:$T$823,5,0),"")</f>
        <v>ĐQSD</v>
      </c>
      <c r="V786" s="20" t="str">
        <f>IFERROR(VLOOKUP(M786,'02. MM-KLH'!$B$6:$T$823,8,0),"")</f>
        <v>BAN CG-CK &amp; SXCN</v>
      </c>
      <c r="W786" s="353">
        <f>IFERROR(VLOOKUP(V786,'NS QUẢN LÝ CG'!$A$4:$D$36,2,0),"")</f>
        <v>0</v>
      </c>
      <c r="X786" s="353">
        <f>IFERROR(VLOOKUP(V786,'NS QUẢN LÝ CG'!$A$4:$D$36,4,0),"")</f>
        <v>0</v>
      </c>
      <c r="Y786" s="353">
        <f>IFERROR(VLOOKUP(V786,'NS QUẢN LÝ CG'!$A$4:$C$36,3,0),"")</f>
        <v>0</v>
      </c>
      <c r="Z786" s="20" t="str">
        <f>IFERROR(VLOOKUP(M786,'02. MM-KLH'!$B$6:$T$823,3,0),"")</f>
        <v>A22-LBR-002</v>
      </c>
      <c r="AA786" s="353" t="str">
        <f t="shared" si="49"/>
        <v>ADM</v>
      </c>
      <c r="AB786" s="20"/>
      <c r="AC786" s="20"/>
    </row>
    <row r="787" ht="15.75" customHeight="1" spans="1:29">
      <c r="A787" s="20"/>
      <c r="B787" s="22" t="str">
        <f>IFERROR(VLOOKUP(M787,'02. MM-KLH'!$B$6:$T$823,6,0),"")</f>
        <v>Xe tải Libero</v>
      </c>
      <c r="C787" s="353">
        <v>1</v>
      </c>
      <c r="D787" s="19">
        <f>IFERROR(VLOOKUP(M787,'02. MM-KLH'!$B$6:$T$823,16,0),"")</f>
        <v>0</v>
      </c>
      <c r="E787" s="353" t="s">
        <v>5978</v>
      </c>
      <c r="F787" s="19"/>
      <c r="G787" s="19"/>
      <c r="H787" s="19">
        <f>IFERROR(VLOOKUP(M787,'02. MM-KLH'!$B$6:$T$823,17,0),"")</f>
        <v>0</v>
      </c>
      <c r="I787" s="772">
        <f>IFERROR(VLOOKUP(M787,'02. MM-KLH'!$B$6:$U$823,20,0),"")</f>
        <v>0</v>
      </c>
      <c r="J787" s="22" t="str">
        <f>IFERROR(VLOOKUP(M787,'02. MM-KLH'!$B$6:$T$823,19,0),"")</f>
        <v>D4BHY032368</v>
      </c>
      <c r="K787" s="22" t="str">
        <f>IFERROR(VLOOKUP(M787,'02. MM-KLH'!$B$6:$T$823,18,0),"")</f>
        <v>KMFYKS7HPYU0116</v>
      </c>
      <c r="L787" s="19" t="str">
        <f>IFERROR(VLOOKUP(M787,'02. MM-KLH'!$B$6:$T$823,4,0),"")</f>
        <v>2A-0239</v>
      </c>
      <c r="M787" s="49" t="s">
        <v>1027</v>
      </c>
      <c r="N787" s="23">
        <f>IFERROR(VLOOKUP(M787,'02. MM-KLH'!$B$6:$T$823,15,0),"")</f>
        <v>0</v>
      </c>
      <c r="O787" s="773">
        <f>IFERROR(VLOOKUP(M787,'02. MM-KLH'!$B$6:$T$823,9,0),"")</f>
        <v>0</v>
      </c>
      <c r="P787" s="19"/>
      <c r="Q787" s="19"/>
      <c r="R787" s="19"/>
      <c r="S787" s="19" t="s">
        <v>5978</v>
      </c>
      <c r="T787" s="19"/>
      <c r="U787" s="353" t="str">
        <f>IFERROR(VLOOKUP(M787,'02. MM-KLH'!$B$6:$T$823,5,0),"")</f>
        <v>ĐQSD</v>
      </c>
      <c r="V787" s="20" t="str">
        <f>IFERROR(VLOOKUP(M787,'02. MM-KLH'!$B$6:$T$823,8,0),"")</f>
        <v>CGLĐ DP</v>
      </c>
      <c r="W787" s="353" t="str">
        <f>IFERROR(VLOOKUP(V787,'NS QUẢN LÝ CG'!$A$4:$D$36,2,0),"")</f>
        <v>Nguyễn Tấn Triều</v>
      </c>
      <c r="X787" s="353" t="str">
        <f>IFERROR(VLOOKUP(V787,'NS QUẢN LÝ CG'!$A$4:$D$36,4,0),"")</f>
        <v>Lô 85 DP4</v>
      </c>
      <c r="Y787" s="1104" t="str">
        <f>IFERROR(VLOOKUP(V787,'NS QUẢN LÝ CG'!$A$4:$C$36,3,0),"")</f>
        <v>05974160290</v>
      </c>
      <c r="Z787" s="20" t="str">
        <f>IFERROR(VLOOKUP(M787,'02. MM-KLH'!$B$6:$T$823,3,0),"")</f>
        <v>ATT-A23-0020</v>
      </c>
      <c r="AA787" s="353" t="str">
        <f t="shared" si="49"/>
        <v/>
      </c>
      <c r="AB787" s="20"/>
      <c r="AC787" s="20"/>
    </row>
    <row r="788" ht="15.75" customHeight="1" spans="1:29">
      <c r="A788" s="20"/>
      <c r="B788" s="22" t="str">
        <f>IFERROR(VLOOKUP(M788,'02. MM-KLH'!$B$6:$T$823,6,0),"")</f>
        <v>Máy xới đất</v>
      </c>
      <c r="C788" s="353">
        <v>1</v>
      </c>
      <c r="D788" s="19" t="str">
        <f>IFERROR(VLOOKUP(M788,'02. MM-KLH'!$B$6:$T$823,16,0),"")</f>
        <v>RT165S</v>
      </c>
      <c r="E788" s="353" t="s">
        <v>5978</v>
      </c>
      <c r="F788" s="19"/>
      <c r="G788" s="19"/>
      <c r="H788" s="19" t="str">
        <f>IFERROR(VLOOKUP(M788,'02. MM-KLH'!$B$6:$T$823,17,0),"")</f>
        <v>16.5HP</v>
      </c>
      <c r="I788" s="772">
        <f>IFERROR(VLOOKUP(M788,'02. MM-KLH'!$B$6:$U$823,20,0),"")</f>
        <v>0</v>
      </c>
      <c r="J788" s="22" t="str">
        <f>IFERROR(VLOOKUP(M788,'02. MM-KLH'!$B$6:$T$823,19,0),"")</f>
        <v>RT165-23C01014</v>
      </c>
      <c r="K788" s="22" t="str">
        <f>IFERROR(VLOOKUP(M788,'02. MM-KLH'!$B$6:$T$823,18,0),"")</f>
        <v>CCN</v>
      </c>
      <c r="L788" s="19">
        <f>IFERROR(VLOOKUP(M788,'02. MM-KLH'!$B$6:$T$823,4,0),"")</f>
        <v>0</v>
      </c>
      <c r="M788" s="49" t="s">
        <v>1562</v>
      </c>
      <c r="N788" s="23">
        <f>IFERROR(VLOOKUP(M788,'02. MM-KLH'!$B$6:$T$823,15,0),"")</f>
        <v>2022</v>
      </c>
      <c r="O788" s="773">
        <f>IFERROR(VLOOKUP(M788,'02. MM-KLH'!$B$6:$T$823,9,0),"")</f>
        <v>45181</v>
      </c>
      <c r="P788" s="19"/>
      <c r="Q788" s="19"/>
      <c r="R788" s="19"/>
      <c r="S788" s="19"/>
      <c r="T788" s="19" t="s">
        <v>5978</v>
      </c>
      <c r="U788" s="353" t="str">
        <f>IFERROR(VLOOKUP(M788,'02. MM-KLH'!$B$6:$T$823,5,0),"")</f>
        <v>MỚI (ĐQSD)</v>
      </c>
      <c r="V788" s="20" t="str">
        <f>IFERROR(VLOOKUP(M788,'02. MM-KLH'!$B$6:$T$823,8,0),"")</f>
        <v>XN Chuối LP1</v>
      </c>
      <c r="W788" s="353" t="str">
        <f>IFERROR(VLOOKUP(V788,'NS QUẢN LÝ CG'!$A$4:$D$36,2,0),"")</f>
        <v/>
      </c>
      <c r="X788" s="353" t="str">
        <f>IFERROR(VLOOKUP(V788,'NS QUẢN LÝ CG'!$A$4:$D$36,4,0),"")</f>
        <v/>
      </c>
      <c r="Y788" s="353" t="str">
        <f>IFERROR(VLOOKUP(V788,'NS QUẢN LÝ CG'!$A$4:$C$36,3,0),"")</f>
        <v/>
      </c>
      <c r="Z788" s="20" t="str">
        <f>IFERROR(VLOOKUP(M788,'02. MM-KLH'!$B$6:$T$823,3,0),"")</f>
        <v/>
      </c>
      <c r="AA788" s="353" t="str">
        <f t="shared" si="49"/>
        <v/>
      </c>
      <c r="AB788" s="20"/>
      <c r="AC788" s="20"/>
    </row>
    <row r="789" ht="13.8" spans="1:29">
      <c r="A789" s="731"/>
      <c r="B789" s="613" t="str">
        <f>IFERROR(VLOOKUP(M789,'02. MM-KLH'!$B$6:$T$823,6,0),"")</f>
        <v/>
      </c>
      <c r="C789" s="353"/>
      <c r="D789" s="353" t="str">
        <f>IFERROR(VLOOKUP(M789,'02. MM-KLH'!$B$6:$T$823,16,0),"")</f>
        <v/>
      </c>
      <c r="E789" s="353"/>
      <c r="F789" s="353"/>
      <c r="G789" s="353"/>
      <c r="H789" s="353" t="str">
        <f>IFERROR(VLOOKUP(M789,'02. MM-KLH'!$B$6:$T$823,17,0),"")</f>
        <v/>
      </c>
      <c r="I789" s="763" t="str">
        <f>IFERROR(VLOOKUP(M789,'02. MM-KLH'!$B$6:$U$823,20,0),"")</f>
        <v/>
      </c>
      <c r="J789" s="613" t="str">
        <f>IFERROR(VLOOKUP(M789,'02. MM-KLH'!$B$6:$T$823,19,0),"")</f>
        <v/>
      </c>
      <c r="K789" s="613" t="str">
        <f>IFERROR(VLOOKUP(M789,'02. MM-KLH'!$B$6:$T$823,18,0),"")</f>
        <v/>
      </c>
      <c r="L789" s="353" t="str">
        <f>IFERROR(VLOOKUP(M789,'02. MM-KLH'!$B$6:$T$823,4,0),"")</f>
        <v/>
      </c>
      <c r="M789" s="49"/>
      <c r="N789" s="356" t="str">
        <f>IFERROR(VLOOKUP(M789,'02. MM-KLH'!$B$6:$T$823,15,0),"")</f>
        <v/>
      </c>
      <c r="O789" s="764" t="str">
        <f>IFERROR(VLOOKUP(M789,'02. MM-KLH'!$B$6:$T$823,9,0),"")</f>
        <v/>
      </c>
      <c r="P789" s="353"/>
      <c r="Q789" s="353"/>
      <c r="R789" s="353"/>
      <c r="S789" s="353"/>
      <c r="T789" s="353"/>
      <c r="U789" s="353" t="str">
        <f>IFERROR(VLOOKUP(M789,'02. MM-KLH'!$B$6:$T$823,5,0),"")</f>
        <v/>
      </c>
      <c r="V789" s="731" t="str">
        <f>IFERROR(VLOOKUP(M789,'02. MM-KLH'!$B$6:$T$823,8,0),"")</f>
        <v/>
      </c>
      <c r="W789" s="353" t="str">
        <f>IFERROR(VLOOKUP(V789,'NS QUẢN LÝ CG'!$A$4:$D$36,2,0),"")</f>
        <v/>
      </c>
      <c r="X789" s="353" t="str">
        <f>IFERROR(VLOOKUP(V789,'NS QUẢN LÝ CG'!$A$4:$D$36,4,0),"")</f>
        <v/>
      </c>
      <c r="Y789" s="353"/>
      <c r="Z789" s="731" t="str">
        <f>IFERROR(VLOOKUP(M789,'02. MM-KLH'!$B$6:$T$823,3,0),"")</f>
        <v/>
      </c>
      <c r="AA789" s="353" t="str">
        <f t="shared" si="49"/>
        <v/>
      </c>
      <c r="AB789" s="731"/>
      <c r="AC789" s="731"/>
    </row>
    <row r="790" ht="13.8" spans="1:29">
      <c r="A790" s="731"/>
      <c r="B790" s="613" t="str">
        <f>IFERROR(VLOOKUP(M790,'02. MM-KLH'!$B$6:$T$823,6,0),"")</f>
        <v/>
      </c>
      <c r="C790" s="353"/>
      <c r="D790" s="353" t="str">
        <f>IFERROR(VLOOKUP(M790,'02. MM-KLH'!$B$6:$T$823,16,0),"")</f>
        <v/>
      </c>
      <c r="E790" s="353"/>
      <c r="F790" s="353"/>
      <c r="G790" s="353"/>
      <c r="H790" s="353" t="str">
        <f>IFERROR(VLOOKUP(M790,'02. MM-KLH'!$B$6:$T$823,17,0),"")</f>
        <v/>
      </c>
      <c r="I790" s="763" t="str">
        <f>IFERROR(VLOOKUP(M790,'02. MM-KLH'!$B$6:$U$823,20,0),"")</f>
        <v/>
      </c>
      <c r="J790" s="613" t="str">
        <f>IFERROR(VLOOKUP(M790,'02. MM-KLH'!$B$6:$T$823,19,0),"")</f>
        <v/>
      </c>
      <c r="K790" s="613" t="str">
        <f>IFERROR(VLOOKUP(M790,'02. MM-KLH'!$B$6:$T$823,18,0),"")</f>
        <v/>
      </c>
      <c r="L790" s="353" t="str">
        <f>IFERROR(VLOOKUP(M790,'02. MM-KLH'!$B$6:$T$823,4,0),"")</f>
        <v/>
      </c>
      <c r="M790" s="49"/>
      <c r="N790" s="356" t="str">
        <f>IFERROR(VLOOKUP(M790,'02. MM-KLH'!$B$6:$T$823,15,0),"")</f>
        <v/>
      </c>
      <c r="O790" s="764" t="str">
        <f>IFERROR(VLOOKUP(M790,'02. MM-KLH'!$B$6:$T$823,9,0),"")</f>
        <v/>
      </c>
      <c r="P790" s="353"/>
      <c r="Q790" s="353"/>
      <c r="R790" s="353"/>
      <c r="S790" s="353"/>
      <c r="T790" s="353"/>
      <c r="U790" s="353" t="str">
        <f>IFERROR(VLOOKUP(M790,'02. MM-KLH'!$B$6:$T$823,5,0),"")</f>
        <v/>
      </c>
      <c r="V790" s="731" t="str">
        <f>IFERROR(VLOOKUP(M790,'02. MM-KLH'!$B$6:$T$823,8,0),"")</f>
        <v/>
      </c>
      <c r="W790" s="353" t="str">
        <f>IFERROR(VLOOKUP(V790,'NS QUẢN LÝ CG'!$A$4:$D$36,2,0),"")</f>
        <v/>
      </c>
      <c r="X790" s="353" t="str">
        <f>IFERROR(VLOOKUP(V790,'NS QUẢN LÝ CG'!$A$4:$D$36,4,0),"")</f>
        <v/>
      </c>
      <c r="Y790" s="353"/>
      <c r="Z790" s="731" t="str">
        <f>IFERROR(VLOOKUP(M790,'02. MM-KLH'!$B$6:$T$823,3,0),"")</f>
        <v/>
      </c>
      <c r="AA790" s="353" t="str">
        <f t="shared" si="49"/>
        <v/>
      </c>
      <c r="AB790" s="731"/>
      <c r="AC790" s="731"/>
    </row>
    <row r="791" ht="13.8" spans="1:29">
      <c r="A791" s="731"/>
      <c r="B791" s="613" t="str">
        <f>IFERROR(VLOOKUP(M791,'02. MM-KLH'!$B$6:$T$823,6,0),"")</f>
        <v/>
      </c>
      <c r="C791" s="353"/>
      <c r="D791" s="353" t="str">
        <f>IFERROR(VLOOKUP(M791,'02. MM-KLH'!$B$6:$T$823,16,0),"")</f>
        <v/>
      </c>
      <c r="E791" s="353"/>
      <c r="F791" s="353"/>
      <c r="G791" s="353"/>
      <c r="H791" s="353" t="str">
        <f>IFERROR(VLOOKUP(M791,'02. MM-KLH'!$B$6:$T$823,17,0),"")</f>
        <v/>
      </c>
      <c r="I791" s="763" t="str">
        <f>IFERROR(VLOOKUP(M791,'02. MM-KLH'!$B$6:$U$823,20,0),"")</f>
        <v/>
      </c>
      <c r="J791" s="613" t="str">
        <f>IFERROR(VLOOKUP(M791,'02. MM-KLH'!$B$6:$T$823,19,0),"")</f>
        <v/>
      </c>
      <c r="K791" s="613" t="str">
        <f>IFERROR(VLOOKUP(M791,'02. MM-KLH'!$B$6:$T$823,18,0),"")</f>
        <v/>
      </c>
      <c r="L791" s="353" t="str">
        <f>IFERROR(VLOOKUP(M791,'02. MM-KLH'!$B$6:$T$823,4,0),"")</f>
        <v/>
      </c>
      <c r="M791" s="49"/>
      <c r="N791" s="356" t="str">
        <f>IFERROR(VLOOKUP(M791,'02. MM-KLH'!$B$6:$T$823,15,0),"")</f>
        <v/>
      </c>
      <c r="O791" s="764" t="str">
        <f>IFERROR(VLOOKUP(M791,'02. MM-KLH'!$B$6:$T$823,9,0),"")</f>
        <v/>
      </c>
      <c r="P791" s="353"/>
      <c r="Q791" s="353"/>
      <c r="R791" s="353"/>
      <c r="S791" s="353"/>
      <c r="T791" s="353"/>
      <c r="U791" s="353" t="str">
        <f>IFERROR(VLOOKUP(M791,'02. MM-KLH'!$B$6:$T$823,2,0),"")</f>
        <v/>
      </c>
      <c r="V791" s="731" t="str">
        <f>IFERROR(VLOOKUP(M791,'02. MM-KLH'!$B$6:$T$823,8,0),"")</f>
        <v/>
      </c>
      <c r="W791" s="353" t="str">
        <f>IFERROR(VLOOKUP(V791,'NS QUẢN LÝ CG'!$A$4:$D$36,2,0),"")</f>
        <v/>
      </c>
      <c r="X791" s="353" t="str">
        <f>IFERROR(VLOOKUP(V791,'NS QUẢN LÝ CG'!$A$4:$D$36,4,0),"")</f>
        <v/>
      </c>
      <c r="Y791" s="353"/>
      <c r="Z791" s="731" t="str">
        <f>IFERROR(VLOOKUP(M791,'02. MM-KLH'!$B$6:$T$823,3,0),"")</f>
        <v/>
      </c>
      <c r="AA791" s="353"/>
      <c r="AB791" s="731"/>
      <c r="AC791" s="731"/>
    </row>
    <row r="792" ht="13.8" spans="1:29">
      <c r="A792" s="731"/>
      <c r="B792" s="613" t="str">
        <f>IFERROR(VLOOKUP(M792,'02. MM-KLH'!$B$6:$T$823,6,0),"")</f>
        <v/>
      </c>
      <c r="C792" s="353"/>
      <c r="D792" s="353" t="str">
        <f>IFERROR(VLOOKUP(M792,'02. MM-KLH'!$B$6:$T$823,16,0),"")</f>
        <v/>
      </c>
      <c r="E792" s="353"/>
      <c r="F792" s="353"/>
      <c r="G792" s="353"/>
      <c r="H792" s="353" t="str">
        <f>IFERROR(VLOOKUP(M792,'02. MM-KLH'!$B$6:$T$823,17,0),"")</f>
        <v/>
      </c>
      <c r="I792" s="763" t="str">
        <f>IFERROR(VLOOKUP(M792,'02. MM-KLH'!$B$6:$U$823,20,0),"")</f>
        <v/>
      </c>
      <c r="J792" s="613" t="str">
        <f>IFERROR(VLOOKUP(M792,'02. MM-KLH'!$B$6:$T$823,19,0),"")</f>
        <v/>
      </c>
      <c r="K792" s="613" t="str">
        <f>IFERROR(VLOOKUP(M792,'02. MM-KLH'!$B$6:$T$823,18,0),"")</f>
        <v/>
      </c>
      <c r="L792" s="353" t="str">
        <f>IFERROR(VLOOKUP(M792,'02. MM-KLH'!$B$6:$T$823,4,0),"")</f>
        <v/>
      </c>
      <c r="M792" s="49"/>
      <c r="N792" s="356" t="str">
        <f>IFERROR(VLOOKUP(M792,'02. MM-KLH'!$B$6:$T$823,15,0),"")</f>
        <v/>
      </c>
      <c r="O792" s="764" t="str">
        <f>IFERROR(VLOOKUP(M792,'02. MM-KLH'!$B$6:$T$823,9,0),"")</f>
        <v/>
      </c>
      <c r="P792" s="353"/>
      <c r="Q792" s="353"/>
      <c r="R792" s="353"/>
      <c r="S792" s="353"/>
      <c r="T792" s="353"/>
      <c r="U792" s="353" t="str">
        <f>IFERROR(VLOOKUP(M792,'02. MM-KLH'!$B$6:$T$823,2,0),"")</f>
        <v/>
      </c>
      <c r="V792" s="731" t="str">
        <f>IFERROR(VLOOKUP(M792,'02. MM-KLH'!$B$6:$T$823,8,0),"")</f>
        <v/>
      </c>
      <c r="W792" s="353" t="str">
        <f>IFERROR(VLOOKUP(V792,'NS QUẢN LÝ CG'!$A$4:$D$36,2,0),"")</f>
        <v/>
      </c>
      <c r="X792" s="353" t="str">
        <f>IFERROR(VLOOKUP(V792,'NS QUẢN LÝ CG'!$A$4:$D$36,4,0),"")</f>
        <v/>
      </c>
      <c r="Y792" s="353"/>
      <c r="Z792" s="731" t="str">
        <f>IFERROR(VLOOKUP(M792,'02. MM-KLH'!$B$6:$T$823,3,0),"")</f>
        <v/>
      </c>
      <c r="AA792" s="353"/>
      <c r="AB792" s="731"/>
      <c r="AC792" s="731"/>
    </row>
    <row r="793" ht="13.8" spans="1:29">
      <c r="A793" s="731"/>
      <c r="B793" s="613" t="str">
        <f>IFERROR(VLOOKUP(M793,'02. MM-KLH'!$B$6:$T$823,6,0),"")</f>
        <v/>
      </c>
      <c r="C793" s="353"/>
      <c r="D793" s="353" t="str">
        <f>IFERROR(VLOOKUP(M793,'02. MM-KLH'!$B$6:$T$823,16,0),"")</f>
        <v/>
      </c>
      <c r="E793" s="353"/>
      <c r="F793" s="353"/>
      <c r="G793" s="353"/>
      <c r="H793" s="353" t="str">
        <f>IFERROR(VLOOKUP(M793,'02. MM-KLH'!$B$6:$T$823,17,0),"")</f>
        <v/>
      </c>
      <c r="I793" s="763" t="str">
        <f>IFERROR(VLOOKUP(M793,'02. MM-KLH'!$B$6:$U$823,20,0),"")</f>
        <v/>
      </c>
      <c r="J793" s="613" t="str">
        <f>IFERROR(VLOOKUP(M793,'02. MM-KLH'!$B$6:$T$823,19,0),"")</f>
        <v/>
      </c>
      <c r="K793" s="613" t="str">
        <f>IFERROR(VLOOKUP(M793,'02. MM-KLH'!$B$6:$T$823,18,0),"")</f>
        <v/>
      </c>
      <c r="L793" s="353" t="str">
        <f>IFERROR(VLOOKUP(M793,'02. MM-KLH'!$B$6:$T$823,4,0),"")</f>
        <v/>
      </c>
      <c r="M793" s="49"/>
      <c r="N793" s="356" t="str">
        <f>IFERROR(VLOOKUP(M793,'02. MM-KLH'!$B$6:$T$823,15,0),"")</f>
        <v/>
      </c>
      <c r="O793" s="764" t="str">
        <f>IFERROR(VLOOKUP(M793,'02. MM-KLH'!$B$6:$T$823,9,0),"")</f>
        <v/>
      </c>
      <c r="P793" s="353"/>
      <c r="Q793" s="353"/>
      <c r="R793" s="353"/>
      <c r="S793" s="353"/>
      <c r="T793" s="353"/>
      <c r="U793" s="353" t="str">
        <f>IFERROR(VLOOKUP(M793,'02. MM-KLH'!$B$6:$T$823,2,0),"")</f>
        <v/>
      </c>
      <c r="V793" s="731" t="str">
        <f>IFERROR(VLOOKUP(M793,'02. MM-KLH'!$B$6:$T$823,8,0),"")</f>
        <v/>
      </c>
      <c r="W793" s="353" t="str">
        <f>IFERROR(VLOOKUP(V793,'NS QUẢN LÝ CG'!$A$4:$D$36,2,0),"")</f>
        <v/>
      </c>
      <c r="X793" s="353" t="str">
        <f>IFERROR(VLOOKUP(V793,'NS QUẢN LÝ CG'!$A$4:$D$36,4,0),"")</f>
        <v/>
      </c>
      <c r="Y793" s="353"/>
      <c r="Z793" s="731" t="str">
        <f>IFERROR(VLOOKUP(M793,'02. MM-KLH'!$B$6:$T$823,3,0),"")</f>
        <v/>
      </c>
      <c r="AA793" s="353"/>
      <c r="AB793" s="731"/>
      <c r="AC793" s="731"/>
    </row>
    <row r="794" ht="13.8" spans="1:29">
      <c r="A794" s="731"/>
      <c r="B794" s="613" t="str">
        <f>IFERROR(VLOOKUP(M794,'02. MM-KLH'!$B$6:$T$823,6,0),"")</f>
        <v/>
      </c>
      <c r="C794" s="353"/>
      <c r="D794" s="353" t="str">
        <f>IFERROR(VLOOKUP(M794,'02. MM-KLH'!$B$6:$T$823,16,0),"")</f>
        <v/>
      </c>
      <c r="E794" s="353"/>
      <c r="F794" s="353"/>
      <c r="G794" s="353"/>
      <c r="H794" s="353" t="str">
        <f>IFERROR(VLOOKUP(M794,'02. MM-KLH'!$B$6:$T$823,17,0),"")</f>
        <v/>
      </c>
      <c r="I794" s="763" t="str">
        <f>IFERROR(VLOOKUP(M794,'02. MM-KLH'!$B$6:$U$823,20,0),"")</f>
        <v/>
      </c>
      <c r="J794" s="613" t="str">
        <f>IFERROR(VLOOKUP(M794,'02. MM-KLH'!$B$6:$T$823,19,0),"")</f>
        <v/>
      </c>
      <c r="K794" s="613" t="str">
        <f>IFERROR(VLOOKUP(M794,'02. MM-KLH'!$B$6:$T$823,18,0),"")</f>
        <v/>
      </c>
      <c r="L794" s="353" t="str">
        <f>IFERROR(VLOOKUP(M794,'02. MM-KLH'!$B$6:$T$823,4,0),"")</f>
        <v/>
      </c>
      <c r="M794" s="49"/>
      <c r="N794" s="356" t="str">
        <f>IFERROR(VLOOKUP(M794,'02. MM-KLH'!$B$6:$T$823,15,0),"")</f>
        <v/>
      </c>
      <c r="O794" s="764" t="str">
        <f>IFERROR(VLOOKUP(M794,'02. MM-KLH'!$B$6:$T$823,9,0),"")</f>
        <v/>
      </c>
      <c r="P794" s="353"/>
      <c r="Q794" s="353"/>
      <c r="R794" s="353"/>
      <c r="S794" s="353"/>
      <c r="T794" s="353"/>
      <c r="U794" s="353" t="str">
        <f>IFERROR(VLOOKUP(M794,'02. MM-KLH'!$B$6:$T$823,2,0),"")</f>
        <v/>
      </c>
      <c r="V794" s="731" t="str">
        <f>IFERROR(VLOOKUP(M794,'02. MM-KLH'!$B$6:$T$823,8,0),"")</f>
        <v/>
      </c>
      <c r="W794" s="353" t="str">
        <f>IFERROR(VLOOKUP(V794,'NS QUẢN LÝ CG'!$A$4:$D$36,2,0),"")</f>
        <v/>
      </c>
      <c r="X794" s="353" t="str">
        <f>IFERROR(VLOOKUP(V794,'NS QUẢN LÝ CG'!$A$4:$D$36,4,0),"")</f>
        <v/>
      </c>
      <c r="Y794" s="353"/>
      <c r="Z794" s="731" t="str">
        <f>IFERROR(VLOOKUP(M794,'02. MM-KLH'!$B$6:$T$823,3,0),"")</f>
        <v/>
      </c>
      <c r="AA794" s="353"/>
      <c r="AB794" s="731"/>
      <c r="AC794" s="731"/>
    </row>
    <row r="795" ht="13.8" spans="1:29">
      <c r="A795" s="731"/>
      <c r="B795" s="613" t="str">
        <f>IFERROR(VLOOKUP(M795,'02. MM-KLH'!$B$6:$T$823,6,0),"")</f>
        <v/>
      </c>
      <c r="C795" s="353"/>
      <c r="D795" s="353" t="str">
        <f>IFERROR(VLOOKUP(M795,'02. MM-KLH'!$B$6:$T$823,16,0),"")</f>
        <v/>
      </c>
      <c r="E795" s="353"/>
      <c r="F795" s="353"/>
      <c r="G795" s="353"/>
      <c r="H795" s="353" t="str">
        <f>IFERROR(VLOOKUP(M795,'02. MM-KLH'!$B$6:$T$823,17,0),"")</f>
        <v/>
      </c>
      <c r="I795" s="763" t="str">
        <f>IFERROR(VLOOKUP(M795,'02. MM-KLH'!$B$6:$U$823,20,0),"")</f>
        <v/>
      </c>
      <c r="J795" s="613" t="str">
        <f>IFERROR(VLOOKUP(M795,'02. MM-KLH'!$B$6:$T$823,19,0),"")</f>
        <v/>
      </c>
      <c r="K795" s="613" t="str">
        <f>IFERROR(VLOOKUP(M795,'02. MM-KLH'!$B$6:$T$823,18,0),"")</f>
        <v/>
      </c>
      <c r="L795" s="353" t="str">
        <f>IFERROR(VLOOKUP(M795,'02. MM-KLH'!$B$6:$T$823,4,0),"")</f>
        <v/>
      </c>
      <c r="M795" s="49"/>
      <c r="N795" s="356" t="str">
        <f>IFERROR(VLOOKUP(M795,'02. MM-KLH'!$B$6:$T$823,15,0),"")</f>
        <v/>
      </c>
      <c r="O795" s="764" t="str">
        <f>IFERROR(VLOOKUP(M795,'02. MM-KLH'!$B$6:$T$823,9,0),"")</f>
        <v/>
      </c>
      <c r="P795" s="353"/>
      <c r="Q795" s="353"/>
      <c r="R795" s="353"/>
      <c r="S795" s="353"/>
      <c r="T795" s="353"/>
      <c r="U795" s="353" t="str">
        <f>IFERROR(VLOOKUP(M795,'02. MM-KLH'!$B$6:$T$823,2,0),"")</f>
        <v/>
      </c>
      <c r="V795" s="731" t="str">
        <f>IFERROR(VLOOKUP(M795,'02. MM-KLH'!$B$6:$T$823,8,0),"")</f>
        <v/>
      </c>
      <c r="W795" s="353" t="str">
        <f>IFERROR(VLOOKUP(V795,'NS QUẢN LÝ CG'!$A$4:$D$36,2,0),"")</f>
        <v/>
      </c>
      <c r="X795" s="353" t="str">
        <f>IFERROR(VLOOKUP(V795,'NS QUẢN LÝ CG'!$A$4:$D$36,4,0),"")</f>
        <v/>
      </c>
      <c r="Y795" s="353"/>
      <c r="Z795" s="731" t="str">
        <f>IFERROR(VLOOKUP(M795,'02. MM-KLH'!$B$6:$T$823,3,0),"")</f>
        <v/>
      </c>
      <c r="AA795" s="353"/>
      <c r="AB795" s="731"/>
      <c r="AC795" s="731"/>
    </row>
    <row r="796" ht="13.8" spans="1:29">
      <c r="A796" s="731"/>
      <c r="B796" s="613" t="str">
        <f>IFERROR(VLOOKUP(M796,'02. MM-KLH'!$B$6:$T$823,6,0),"")</f>
        <v/>
      </c>
      <c r="C796" s="353"/>
      <c r="D796" s="353" t="str">
        <f>IFERROR(VLOOKUP(M796,'02. MM-KLH'!$B$6:$T$823,16,0),"")</f>
        <v/>
      </c>
      <c r="E796" s="353"/>
      <c r="F796" s="353"/>
      <c r="G796" s="353"/>
      <c r="H796" s="353" t="str">
        <f>IFERROR(VLOOKUP(M796,'02. MM-KLH'!$B$6:$T$823,17,0),"")</f>
        <v/>
      </c>
      <c r="I796" s="763" t="str">
        <f>IFERROR(VLOOKUP(M796,'02. MM-KLH'!$B$6:$U$823,20,0),"")</f>
        <v/>
      </c>
      <c r="J796" s="613" t="str">
        <f>IFERROR(VLOOKUP(M796,'02. MM-KLH'!$B$6:$T$823,19,0),"")</f>
        <v/>
      </c>
      <c r="K796" s="613" t="str">
        <f>IFERROR(VLOOKUP(M796,'02. MM-KLH'!$B$6:$T$823,18,0),"")</f>
        <v/>
      </c>
      <c r="L796" s="353" t="str">
        <f>IFERROR(VLOOKUP(M796,'02. MM-KLH'!$B$6:$T$823,4,0),"")</f>
        <v/>
      </c>
      <c r="M796" s="49"/>
      <c r="N796" s="356" t="str">
        <f>IFERROR(VLOOKUP(M796,'02. MM-KLH'!$B$6:$T$823,15,0),"")</f>
        <v/>
      </c>
      <c r="O796" s="764" t="str">
        <f>IFERROR(VLOOKUP(M796,'02. MM-KLH'!$B$6:$T$823,9,0),"")</f>
        <v/>
      </c>
      <c r="P796" s="353"/>
      <c r="Q796" s="353"/>
      <c r="R796" s="353"/>
      <c r="S796" s="353"/>
      <c r="T796" s="353"/>
      <c r="U796" s="353" t="str">
        <f>IFERROR(VLOOKUP(M796,'02. MM-KLH'!$B$6:$T$823,2,0),"")</f>
        <v/>
      </c>
      <c r="V796" s="731" t="str">
        <f>IFERROR(VLOOKUP(M796,'02. MM-KLH'!$B$6:$T$823,8,0),"")</f>
        <v/>
      </c>
      <c r="W796" s="353" t="str">
        <f>IFERROR(VLOOKUP(V796,'NS QUẢN LÝ CG'!$A$4:$D$36,2,0),"")</f>
        <v/>
      </c>
      <c r="X796" s="353" t="str">
        <f>IFERROR(VLOOKUP(V796,'NS QUẢN LÝ CG'!$A$4:$D$36,4,0),"")</f>
        <v/>
      </c>
      <c r="Y796" s="353"/>
      <c r="Z796" s="731" t="str">
        <f>IFERROR(VLOOKUP(M796,'02. MM-KLH'!$B$6:$T$823,3,0),"")</f>
        <v/>
      </c>
      <c r="AA796" s="353"/>
      <c r="AB796" s="731"/>
      <c r="AC796" s="731"/>
    </row>
    <row r="797" ht="13.8" spans="1:29">
      <c r="A797" s="731"/>
      <c r="B797" s="613" t="str">
        <f>IFERROR(VLOOKUP(M797,'02. MM-KLH'!$B$6:$T$823,6,0),"")</f>
        <v/>
      </c>
      <c r="C797" s="353"/>
      <c r="D797" s="353" t="str">
        <f>IFERROR(VLOOKUP(M797,'02. MM-KLH'!$B$6:$T$823,16,0),"")</f>
        <v/>
      </c>
      <c r="E797" s="353"/>
      <c r="F797" s="353"/>
      <c r="G797" s="353"/>
      <c r="H797" s="353" t="str">
        <f>IFERROR(VLOOKUP(M797,'02. MM-KLH'!$B$6:$T$823,17,0),"")</f>
        <v/>
      </c>
      <c r="I797" s="763" t="str">
        <f>IFERROR(VLOOKUP(M797,'02. MM-KLH'!$B$6:$U$823,20,0),"")</f>
        <v/>
      </c>
      <c r="J797" s="613" t="str">
        <f>IFERROR(VLOOKUP(M797,'02. MM-KLH'!$B$6:$T$823,19,0),"")</f>
        <v/>
      </c>
      <c r="K797" s="613" t="str">
        <f>IFERROR(VLOOKUP(M797,'02. MM-KLH'!$B$6:$T$823,18,0),"")</f>
        <v/>
      </c>
      <c r="L797" s="353" t="str">
        <f>IFERROR(VLOOKUP(M797,'02. MM-KLH'!$B$6:$T$823,4,0),"")</f>
        <v/>
      </c>
      <c r="M797" s="49"/>
      <c r="N797" s="356" t="str">
        <f>IFERROR(VLOOKUP(M797,'02. MM-KLH'!$B$6:$T$823,15,0),"")</f>
        <v/>
      </c>
      <c r="O797" s="764" t="str">
        <f>IFERROR(VLOOKUP(M797,'02. MM-KLH'!$B$6:$T$823,9,0),"")</f>
        <v/>
      </c>
      <c r="P797" s="353"/>
      <c r="Q797" s="353"/>
      <c r="R797" s="353"/>
      <c r="S797" s="353"/>
      <c r="T797" s="353"/>
      <c r="U797" s="353" t="str">
        <f>IFERROR(VLOOKUP(M797,'02. MM-KLH'!$B$6:$T$823,2,0),"")</f>
        <v/>
      </c>
      <c r="V797" s="731" t="str">
        <f>IFERROR(VLOOKUP(M797,'02. MM-KLH'!$B$6:$T$823,8,0),"")</f>
        <v/>
      </c>
      <c r="W797" s="353" t="str">
        <f>IFERROR(VLOOKUP(V797,'NS QUẢN LÝ CG'!$A$4:$D$36,2,0),"")</f>
        <v/>
      </c>
      <c r="X797" s="353" t="str">
        <f>IFERROR(VLOOKUP(V797,'NS QUẢN LÝ CG'!$A$4:$D$36,4,0),"")</f>
        <v/>
      </c>
      <c r="Y797" s="353"/>
      <c r="Z797" s="731" t="str">
        <f>IFERROR(VLOOKUP(M797,'02. MM-KLH'!$B$6:$T$823,3,0),"")</f>
        <v/>
      </c>
      <c r="AA797" s="353"/>
      <c r="AB797" s="731"/>
      <c r="AC797" s="731"/>
    </row>
    <row r="798" ht="13.8" spans="1:29">
      <c r="A798" s="731"/>
      <c r="B798" s="613" t="str">
        <f>IFERROR(VLOOKUP(M798,'02. MM-KLH'!$B$6:$T$823,6,0),"")</f>
        <v/>
      </c>
      <c r="C798" s="353"/>
      <c r="D798" s="353" t="str">
        <f>IFERROR(VLOOKUP(M798,'02. MM-KLH'!$B$6:$T$823,16,0),"")</f>
        <v/>
      </c>
      <c r="E798" s="353"/>
      <c r="F798" s="353"/>
      <c r="G798" s="353"/>
      <c r="H798" s="353" t="str">
        <f>IFERROR(VLOOKUP(M798,'02. MM-KLH'!$B$6:$T$823,17,0),"")</f>
        <v/>
      </c>
      <c r="I798" s="763" t="str">
        <f>IFERROR(VLOOKUP(M798,'02. MM-KLH'!$B$6:$U$823,20,0),"")</f>
        <v/>
      </c>
      <c r="J798" s="613" t="str">
        <f>IFERROR(VLOOKUP(M798,'02. MM-KLH'!$B$6:$T$823,19,0),"")</f>
        <v/>
      </c>
      <c r="K798" s="613" t="str">
        <f>IFERROR(VLOOKUP(M798,'02. MM-KLH'!$B$6:$T$823,18,0),"")</f>
        <v/>
      </c>
      <c r="L798" s="353" t="str">
        <f>IFERROR(VLOOKUP(M798,'02. MM-KLH'!$B$6:$T$823,4,0),"")</f>
        <v/>
      </c>
      <c r="M798" s="49"/>
      <c r="N798" s="356" t="str">
        <f>IFERROR(VLOOKUP(M798,'02. MM-KLH'!$B$6:$T$823,15,0),"")</f>
        <v/>
      </c>
      <c r="O798" s="764" t="str">
        <f>IFERROR(VLOOKUP(M798,'02. MM-KLH'!$B$6:$T$823,9,0),"")</f>
        <v/>
      </c>
      <c r="P798" s="353"/>
      <c r="Q798" s="353"/>
      <c r="R798" s="353"/>
      <c r="S798" s="353"/>
      <c r="T798" s="353"/>
      <c r="U798" s="353" t="str">
        <f>IFERROR(VLOOKUP(M798,'02. MM-KLH'!$B$6:$T$823,2,0),"")</f>
        <v/>
      </c>
      <c r="V798" s="731" t="str">
        <f>IFERROR(VLOOKUP(M798,'02. MM-KLH'!$B$6:$T$823,8,0),"")</f>
        <v/>
      </c>
      <c r="W798" s="353"/>
      <c r="X798" s="353"/>
      <c r="Y798" s="353"/>
      <c r="Z798" s="731" t="str">
        <f>IFERROR(VLOOKUP(M798,'02. MM-KLH'!$B$6:$T$823,3,0),"")</f>
        <v/>
      </c>
      <c r="AA798" s="353"/>
      <c r="AB798" s="731"/>
      <c r="AC798" s="731"/>
    </row>
    <row r="799" ht="13.8" spans="1:29">
      <c r="A799" s="731"/>
      <c r="B799" s="613" t="str">
        <f>IFERROR(VLOOKUP(M799,'02. MM-KLH'!$B$6:$T$823,6,0),"")</f>
        <v/>
      </c>
      <c r="C799" s="353"/>
      <c r="D799" s="353" t="str">
        <f>IFERROR(VLOOKUP(M799,'02. MM-KLH'!$B$6:$T$823,16,0),"")</f>
        <v/>
      </c>
      <c r="E799" s="353"/>
      <c r="F799" s="353"/>
      <c r="G799" s="353"/>
      <c r="H799" s="353" t="str">
        <f>IFERROR(VLOOKUP(M799,'02. MM-KLH'!$B$6:$T$823,17,0),"")</f>
        <v/>
      </c>
      <c r="I799" s="763" t="str">
        <f>IFERROR(VLOOKUP(M799,'02. MM-KLH'!$B$6:$U$823,20,0),"")</f>
        <v/>
      </c>
      <c r="J799" s="613" t="str">
        <f>IFERROR(VLOOKUP(M799,'02. MM-KLH'!$B$6:$T$823,19,0),"")</f>
        <v/>
      </c>
      <c r="K799" s="613" t="str">
        <f>IFERROR(VLOOKUP(M799,'02. MM-KLH'!$B$6:$T$823,18,0),"")</f>
        <v/>
      </c>
      <c r="L799" s="353" t="str">
        <f>IFERROR(VLOOKUP(M799,'02. MM-KLH'!$B$6:$T$823,4,0),"")</f>
        <v/>
      </c>
      <c r="M799" s="49"/>
      <c r="N799" s="356" t="str">
        <f>IFERROR(VLOOKUP(M799,'02. MM-KLH'!$B$6:$T$823,15,0),"")</f>
        <v/>
      </c>
      <c r="O799" s="764" t="str">
        <f>IFERROR(VLOOKUP(M799,'02. MM-KLH'!$B$6:$T$823,9,0),"")</f>
        <v/>
      </c>
      <c r="P799" s="353"/>
      <c r="Q799" s="353"/>
      <c r="R799" s="353"/>
      <c r="S799" s="353"/>
      <c r="T799" s="353"/>
      <c r="U799" s="353" t="str">
        <f>IFERROR(VLOOKUP(M799,'02. MM-KLH'!$B$6:$T$823,2,0),"")</f>
        <v/>
      </c>
      <c r="V799" s="731" t="str">
        <f>IFERROR(VLOOKUP(M799,'02. MM-KLH'!$B$6:$T$823,8,0),"")</f>
        <v/>
      </c>
      <c r="W799" s="353"/>
      <c r="X799" s="353"/>
      <c r="Y799" s="353"/>
      <c r="Z799" s="731" t="str">
        <f>IFERROR(VLOOKUP(M799,'02. MM-KLH'!$B$6:$T$823,3,0),"")</f>
        <v/>
      </c>
      <c r="AA799" s="353"/>
      <c r="AB799" s="731"/>
      <c r="AC799" s="731"/>
    </row>
    <row r="800" ht="13.8" spans="1:29">
      <c r="A800" s="731"/>
      <c r="B800" s="613" t="str">
        <f>IFERROR(VLOOKUP(M800,'02. MM-KLH'!$B$6:$T$823,6,0),"")</f>
        <v/>
      </c>
      <c r="C800" s="353"/>
      <c r="D800" s="353" t="str">
        <f>IFERROR(VLOOKUP(M800,'02. MM-KLH'!$B$6:$T$823,16,0),"")</f>
        <v/>
      </c>
      <c r="E800" s="353"/>
      <c r="F800" s="353"/>
      <c r="G800" s="353"/>
      <c r="H800" s="353" t="str">
        <f>IFERROR(VLOOKUP(M800,'02. MM-KLH'!$B$6:$T$823,17,0),"")</f>
        <v/>
      </c>
      <c r="I800" s="763" t="str">
        <f>IFERROR(VLOOKUP(M800,'02. MM-KLH'!$B$6:$U$823,20,0),"")</f>
        <v/>
      </c>
      <c r="J800" s="613" t="str">
        <f>IFERROR(VLOOKUP(M800,'02. MM-KLH'!$B$6:$T$823,19,0),"")</f>
        <v/>
      </c>
      <c r="K800" s="613" t="str">
        <f>IFERROR(VLOOKUP(M800,'02. MM-KLH'!$B$6:$T$823,18,0),"")</f>
        <v/>
      </c>
      <c r="L800" s="353" t="str">
        <f>IFERROR(VLOOKUP(M800,'02. MM-KLH'!$B$6:$T$823,4,0),"")</f>
        <v/>
      </c>
      <c r="M800" s="49"/>
      <c r="N800" s="356" t="str">
        <f>IFERROR(VLOOKUP(M800,'02. MM-KLH'!$B$6:$T$823,15,0),"")</f>
        <v/>
      </c>
      <c r="O800" s="764" t="str">
        <f>IFERROR(VLOOKUP(M800,'02. MM-KLH'!$B$6:$T$823,9,0),"")</f>
        <v/>
      </c>
      <c r="P800" s="353"/>
      <c r="Q800" s="353"/>
      <c r="R800" s="353"/>
      <c r="S800" s="353"/>
      <c r="T800" s="353"/>
      <c r="U800" s="353" t="str">
        <f>IFERROR(VLOOKUP(M800,'02. MM-KLH'!$B$6:$T$823,2,0),"")</f>
        <v/>
      </c>
      <c r="V800" s="731" t="str">
        <f>IFERROR(VLOOKUP(M800,'02. MM-KLH'!$B$6:$T$823,8,0),"")</f>
        <v/>
      </c>
      <c r="W800" s="353"/>
      <c r="X800" s="353"/>
      <c r="Y800" s="353"/>
      <c r="Z800" s="731" t="str">
        <f>IFERROR(VLOOKUP(M800,'02. MM-KLH'!$B$6:$T$823,3,0),"")</f>
        <v/>
      </c>
      <c r="AA800" s="353"/>
      <c r="AB800" s="731"/>
      <c r="AC800" s="731"/>
    </row>
    <row r="801" ht="13.8" spans="1:29">
      <c r="A801" s="731"/>
      <c r="B801" s="613" t="str">
        <f>IFERROR(VLOOKUP(M801,'02. MM-KLH'!$B$6:$T$823,6,0),"")</f>
        <v/>
      </c>
      <c r="C801" s="353"/>
      <c r="D801" s="353" t="str">
        <f>IFERROR(VLOOKUP(M801,'02. MM-KLH'!$B$6:$T$823,16,0),"")</f>
        <v/>
      </c>
      <c r="E801" s="353"/>
      <c r="F801" s="353"/>
      <c r="G801" s="353"/>
      <c r="H801" s="353" t="str">
        <f>IFERROR(VLOOKUP(M801,'02. MM-KLH'!$B$6:$T$823,17,0),"")</f>
        <v/>
      </c>
      <c r="I801" s="763" t="str">
        <f>IFERROR(VLOOKUP(M801,'02. MM-KLH'!$B$6:$U$823,20,0),"")</f>
        <v/>
      </c>
      <c r="J801" s="613" t="str">
        <f>IFERROR(VLOOKUP(M801,'02. MM-KLH'!$B$6:$T$823,19,0),"")</f>
        <v/>
      </c>
      <c r="K801" s="613" t="str">
        <f>IFERROR(VLOOKUP(M801,'02. MM-KLH'!$B$6:$T$823,18,0),"")</f>
        <v/>
      </c>
      <c r="L801" s="353" t="str">
        <f>IFERROR(VLOOKUP(M801,'02. MM-KLH'!$B$6:$T$823,4,0),"")</f>
        <v/>
      </c>
      <c r="M801" s="49"/>
      <c r="N801" s="356" t="str">
        <f>IFERROR(VLOOKUP(M801,'02. MM-KLH'!$B$6:$T$823,15,0),"")</f>
        <v/>
      </c>
      <c r="O801" s="764" t="str">
        <f>IFERROR(VLOOKUP(M801,'02. MM-KLH'!$B$6:$T$823,9,0),"")</f>
        <v/>
      </c>
      <c r="P801" s="353"/>
      <c r="Q801" s="353"/>
      <c r="R801" s="353"/>
      <c r="S801" s="353"/>
      <c r="T801" s="353"/>
      <c r="U801" s="353" t="str">
        <f>IFERROR(VLOOKUP(M801,'02. MM-KLH'!$B$6:$T$823,2,0),"")</f>
        <v/>
      </c>
      <c r="V801" s="731" t="str">
        <f>IFERROR(VLOOKUP(M801,'02. MM-KLH'!$B$6:$T$823,8,0),"")</f>
        <v/>
      </c>
      <c r="W801" s="353"/>
      <c r="X801" s="353"/>
      <c r="Y801" s="353"/>
      <c r="Z801" s="731" t="str">
        <f>IFERROR(VLOOKUP(M801,'02. MM-KLH'!$B$6:$T$823,3,0),"")</f>
        <v/>
      </c>
      <c r="AA801" s="353"/>
      <c r="AB801" s="731"/>
      <c r="AC801" s="731"/>
    </row>
    <row r="802" ht="13.8" spans="1:29">
      <c r="A802" s="731"/>
      <c r="B802" s="613" t="str">
        <f>IFERROR(VLOOKUP(M802,'02. MM-KLH'!$B$6:$T$823,6,0),"")</f>
        <v/>
      </c>
      <c r="C802" s="353"/>
      <c r="D802" s="353" t="str">
        <f>IFERROR(VLOOKUP(M802,'02. MM-KLH'!$B$6:$T$823,16,0),"")</f>
        <v/>
      </c>
      <c r="E802" s="353"/>
      <c r="F802" s="353"/>
      <c r="G802" s="353"/>
      <c r="H802" s="353" t="str">
        <f>IFERROR(VLOOKUP(M802,'02. MM-KLH'!$B$6:$T$823,17,0),"")</f>
        <v/>
      </c>
      <c r="I802" s="763" t="str">
        <f>IFERROR(VLOOKUP(M802,'02. MM-KLH'!$B$6:$U$823,20,0),"")</f>
        <v/>
      </c>
      <c r="J802" s="613" t="str">
        <f>IFERROR(VLOOKUP(M802,'02. MM-KLH'!$B$6:$T$823,19,0),"")</f>
        <v/>
      </c>
      <c r="K802" s="613" t="str">
        <f>IFERROR(VLOOKUP(M802,'02. MM-KLH'!$B$6:$T$823,18,0),"")</f>
        <v/>
      </c>
      <c r="L802" s="353" t="str">
        <f>IFERROR(VLOOKUP(M802,'02. MM-KLH'!$B$6:$T$823,4,0),"")</f>
        <v/>
      </c>
      <c r="M802" s="49"/>
      <c r="N802" s="356" t="str">
        <f>IFERROR(VLOOKUP(M802,'02. MM-KLH'!$B$6:$T$823,15,0),"")</f>
        <v/>
      </c>
      <c r="O802" s="764" t="str">
        <f>IFERROR(VLOOKUP(M802,'02. MM-KLH'!$B$6:$T$823,9,0),"")</f>
        <v/>
      </c>
      <c r="P802" s="353"/>
      <c r="Q802" s="353"/>
      <c r="R802" s="353"/>
      <c r="S802" s="353"/>
      <c r="T802" s="353"/>
      <c r="U802" s="353" t="str">
        <f>IFERROR(VLOOKUP(M802,'02. MM-KLH'!$B$6:$T$823,2,0),"")</f>
        <v/>
      </c>
      <c r="V802" s="731" t="str">
        <f>IFERROR(VLOOKUP(M802,'02. MM-KLH'!$B$6:$T$823,8,0),"")</f>
        <v/>
      </c>
      <c r="W802" s="353"/>
      <c r="X802" s="353"/>
      <c r="Y802" s="353"/>
      <c r="Z802" s="731" t="str">
        <f>IFERROR(VLOOKUP(M802,'02. MM-KLH'!$B$6:$T$823,3,0),"")</f>
        <v/>
      </c>
      <c r="AA802" s="353"/>
      <c r="AB802" s="731"/>
      <c r="AC802" s="731"/>
    </row>
    <row r="803" ht="13.8" spans="1:29">
      <c r="A803" s="731"/>
      <c r="B803" s="613" t="str">
        <f>IFERROR(VLOOKUP(M803,'02. MM-KLH'!$B$6:$T$823,6,0),"")</f>
        <v/>
      </c>
      <c r="C803" s="353"/>
      <c r="D803" s="353" t="str">
        <f>IFERROR(VLOOKUP(M803,'02. MM-KLH'!$B$6:$T$823,16,0),"")</f>
        <v/>
      </c>
      <c r="E803" s="353"/>
      <c r="F803" s="353"/>
      <c r="G803" s="353"/>
      <c r="H803" s="353" t="str">
        <f>IFERROR(VLOOKUP(M803,'02. MM-KLH'!$B$6:$T$823,17,0),"")</f>
        <v/>
      </c>
      <c r="I803" s="763" t="str">
        <f>IFERROR(VLOOKUP(M803,'02. MM-KLH'!$B$6:$U$823,20,0),"")</f>
        <v/>
      </c>
      <c r="J803" s="613" t="str">
        <f>IFERROR(VLOOKUP(M803,'02. MM-KLH'!$B$6:$T$823,19,0),"")</f>
        <v/>
      </c>
      <c r="K803" s="613" t="str">
        <f>IFERROR(VLOOKUP(M803,'02. MM-KLH'!$B$6:$T$823,18,0),"")</f>
        <v/>
      </c>
      <c r="L803" s="353" t="str">
        <f>IFERROR(VLOOKUP(M803,'02. MM-KLH'!$B$6:$T$823,4,0),"")</f>
        <v/>
      </c>
      <c r="M803" s="49"/>
      <c r="N803" s="356" t="str">
        <f>IFERROR(VLOOKUP(M803,'02. MM-KLH'!$B$6:$T$823,15,0),"")</f>
        <v/>
      </c>
      <c r="O803" s="764" t="str">
        <f>IFERROR(VLOOKUP(M803,'02. MM-KLH'!$B$6:$T$823,9,0),"")</f>
        <v/>
      </c>
      <c r="P803" s="353"/>
      <c r="Q803" s="353"/>
      <c r="R803" s="353"/>
      <c r="S803" s="353"/>
      <c r="T803" s="353"/>
      <c r="U803" s="353" t="str">
        <f>IFERROR(VLOOKUP(M803,'02. MM-KLH'!$B$6:$T$823,2,0),"")</f>
        <v/>
      </c>
      <c r="V803" s="731" t="str">
        <f>IFERROR(VLOOKUP(M803,'02. MM-KLH'!$B$6:$T$823,8,0),"")</f>
        <v/>
      </c>
      <c r="W803" s="353"/>
      <c r="X803" s="353"/>
      <c r="Y803" s="353"/>
      <c r="Z803" s="731" t="str">
        <f>IFERROR(VLOOKUP(M803,'02. MM-KLH'!$B$6:$T$823,3,0),"")</f>
        <v/>
      </c>
      <c r="AA803" s="353"/>
      <c r="AB803" s="731"/>
      <c r="AC803" s="731"/>
    </row>
    <row r="804" ht="13.8" spans="1:29">
      <c r="A804" s="731"/>
      <c r="B804" s="613" t="str">
        <f>IFERROR(VLOOKUP(M804,'02. MM-KLH'!$B$6:$T$823,6,0),"")</f>
        <v/>
      </c>
      <c r="C804" s="353"/>
      <c r="D804" s="353" t="str">
        <f>IFERROR(VLOOKUP(M804,'02. MM-KLH'!$B$6:$T$823,16,0),"")</f>
        <v/>
      </c>
      <c r="E804" s="353"/>
      <c r="F804" s="353"/>
      <c r="G804" s="353"/>
      <c r="H804" s="353" t="str">
        <f>IFERROR(VLOOKUP(M804,'02. MM-KLH'!$B$6:$T$823,17,0),"")</f>
        <v/>
      </c>
      <c r="I804" s="763" t="str">
        <f>IFERROR(VLOOKUP(M804,'02. MM-KLH'!$B$6:$U$823,20,0),"")</f>
        <v/>
      </c>
      <c r="J804" s="613" t="str">
        <f>IFERROR(VLOOKUP(M804,'02. MM-KLH'!$B$6:$T$823,19,0),"")</f>
        <v/>
      </c>
      <c r="K804" s="613" t="str">
        <f>IFERROR(VLOOKUP(M804,'02. MM-KLH'!$B$6:$T$823,18,0),"")</f>
        <v/>
      </c>
      <c r="L804" s="353" t="str">
        <f>IFERROR(VLOOKUP(M804,'02. MM-KLH'!$B$6:$T$823,4,0),"")</f>
        <v/>
      </c>
      <c r="M804" s="49"/>
      <c r="N804" s="356" t="str">
        <f>IFERROR(VLOOKUP(M804,'02. MM-KLH'!$B$6:$T$823,15,0),"")</f>
        <v/>
      </c>
      <c r="O804" s="764" t="str">
        <f>IFERROR(VLOOKUP(M804,'02. MM-KLH'!$B$6:$T$823,9,0),"")</f>
        <v/>
      </c>
      <c r="P804" s="353"/>
      <c r="Q804" s="353"/>
      <c r="R804" s="353"/>
      <c r="S804" s="353"/>
      <c r="T804" s="353"/>
      <c r="U804" s="353" t="str">
        <f>IFERROR(VLOOKUP(M804,'02. MM-KLH'!$B$6:$T$823,2,0),"")</f>
        <v/>
      </c>
      <c r="V804" s="731" t="str">
        <f>IFERROR(VLOOKUP(M804,'02. MM-KLH'!$B$6:$T$823,8,0),"")</f>
        <v/>
      </c>
      <c r="W804" s="353"/>
      <c r="X804" s="353"/>
      <c r="Y804" s="353"/>
      <c r="Z804" s="731" t="str">
        <f>IFERROR(VLOOKUP(M804,'02. MM-KLH'!$B$6:$T$823,3,0),"")</f>
        <v/>
      </c>
      <c r="AA804" s="353"/>
      <c r="AB804" s="731"/>
      <c r="AC804" s="731"/>
    </row>
    <row r="805" ht="13.8" spans="1:29">
      <c r="A805" s="731"/>
      <c r="B805" s="613" t="str">
        <f>IFERROR(VLOOKUP(M805,'02. MM-KLH'!$B$6:$T$823,6,0),"")</f>
        <v/>
      </c>
      <c r="C805" s="353"/>
      <c r="D805" s="353" t="str">
        <f>IFERROR(VLOOKUP(M805,'02. MM-KLH'!$B$6:$T$823,16,0),"")</f>
        <v/>
      </c>
      <c r="E805" s="353"/>
      <c r="F805" s="353"/>
      <c r="G805" s="353"/>
      <c r="H805" s="353" t="str">
        <f>IFERROR(VLOOKUP(M805,'02. MM-KLH'!$B$6:$T$823,17,0),"")</f>
        <v/>
      </c>
      <c r="I805" s="763" t="str">
        <f>IFERROR(VLOOKUP(M805,'02. MM-KLH'!$B$6:$U$823,20,0),"")</f>
        <v/>
      </c>
      <c r="J805" s="613" t="str">
        <f>IFERROR(VLOOKUP(M805,'02. MM-KLH'!$B$6:$T$823,19,0),"")</f>
        <v/>
      </c>
      <c r="K805" s="613" t="str">
        <f>IFERROR(VLOOKUP(M805,'02. MM-KLH'!$B$6:$T$823,18,0),"")</f>
        <v/>
      </c>
      <c r="L805" s="353" t="str">
        <f>IFERROR(VLOOKUP(M805,'02. MM-KLH'!$B$6:$T$823,4,0),"")</f>
        <v/>
      </c>
      <c r="M805" s="49"/>
      <c r="N805" s="356" t="str">
        <f>IFERROR(VLOOKUP(M805,'02. MM-KLH'!$B$6:$T$823,15,0),"")</f>
        <v/>
      </c>
      <c r="O805" s="764" t="str">
        <f>IFERROR(VLOOKUP(M805,'02. MM-KLH'!$B$6:$T$823,9,0),"")</f>
        <v/>
      </c>
      <c r="P805" s="353"/>
      <c r="Q805" s="353"/>
      <c r="R805" s="353"/>
      <c r="S805" s="353"/>
      <c r="T805" s="353"/>
      <c r="U805" s="353" t="str">
        <f>IFERROR(VLOOKUP(M805,'02. MM-KLH'!$B$6:$T$823,2,0),"")</f>
        <v/>
      </c>
      <c r="V805" s="731" t="str">
        <f>IFERROR(VLOOKUP(M805,'02. MM-KLH'!$B$6:$T$823,8,0),"")</f>
        <v/>
      </c>
      <c r="W805" s="353"/>
      <c r="X805" s="353"/>
      <c r="Y805" s="353"/>
      <c r="Z805" s="731" t="str">
        <f>IFERROR(VLOOKUP(M805,'02. MM-KLH'!$B$6:$T$823,3,0),"")</f>
        <v/>
      </c>
      <c r="AA805" s="353"/>
      <c r="AB805" s="731"/>
      <c r="AC805" s="731"/>
    </row>
    <row r="806" ht="13.8" spans="1:29">
      <c r="A806" s="731"/>
      <c r="B806" s="613" t="str">
        <f>IFERROR(VLOOKUP(M806,'02. MM-KLH'!$B$6:$T$823,6,0),"")</f>
        <v/>
      </c>
      <c r="C806" s="353"/>
      <c r="D806" s="353" t="str">
        <f>IFERROR(VLOOKUP(M806,'02. MM-KLH'!$B$6:$T$823,16,0),"")</f>
        <v/>
      </c>
      <c r="E806" s="353"/>
      <c r="F806" s="353"/>
      <c r="G806" s="353"/>
      <c r="H806" s="353" t="str">
        <f>IFERROR(VLOOKUP(M806,'02. MM-KLH'!$B$6:$T$823,17,0),"")</f>
        <v/>
      </c>
      <c r="I806" s="763" t="str">
        <f>IFERROR(VLOOKUP(M806,'02. MM-KLH'!$B$6:$U$823,20,0),"")</f>
        <v/>
      </c>
      <c r="J806" s="613" t="str">
        <f>IFERROR(VLOOKUP(M806,'02. MM-KLH'!$B$6:$T$823,19,0),"")</f>
        <v/>
      </c>
      <c r="K806" s="613" t="str">
        <f>IFERROR(VLOOKUP(M806,'02. MM-KLH'!$B$6:$T$823,18,0),"")</f>
        <v/>
      </c>
      <c r="L806" s="353" t="str">
        <f>IFERROR(VLOOKUP(M806,'02. MM-KLH'!$B$6:$T$823,4,0),"")</f>
        <v/>
      </c>
      <c r="M806" s="49"/>
      <c r="N806" s="356" t="str">
        <f>IFERROR(VLOOKUP(M806,'02. MM-KLH'!$B$6:$T$823,15,0),"")</f>
        <v/>
      </c>
      <c r="O806" s="764" t="str">
        <f>IFERROR(VLOOKUP(M806,'02. MM-KLH'!$B$6:$T$823,9,0),"")</f>
        <v/>
      </c>
      <c r="P806" s="353"/>
      <c r="Q806" s="353"/>
      <c r="R806" s="353"/>
      <c r="S806" s="353"/>
      <c r="T806" s="353"/>
      <c r="U806" s="353" t="str">
        <f>IFERROR(VLOOKUP(M806,'02. MM-KLH'!$B$6:$T$823,2,0),"")</f>
        <v/>
      </c>
      <c r="V806" s="731" t="str">
        <f>IFERROR(VLOOKUP(M806,'02. MM-KLH'!$B$6:$T$823,8,0),"")</f>
        <v/>
      </c>
      <c r="W806" s="353"/>
      <c r="X806" s="353"/>
      <c r="Y806" s="353"/>
      <c r="Z806" s="731" t="str">
        <f>IFERROR(VLOOKUP(M806,'02. MM-KLH'!$B$6:$T$823,3,0),"")</f>
        <v/>
      </c>
      <c r="AA806" s="353"/>
      <c r="AB806" s="731"/>
      <c r="AC806" s="731"/>
    </row>
    <row r="807" ht="13.8" spans="1:29">
      <c r="A807" s="731"/>
      <c r="B807" s="613" t="str">
        <f>IFERROR(VLOOKUP(M807,'02. MM-KLH'!$B$6:$T$823,6,0),"")</f>
        <v/>
      </c>
      <c r="C807" s="353"/>
      <c r="D807" s="353" t="str">
        <f>IFERROR(VLOOKUP(M807,'02. MM-KLH'!$B$6:$T$823,16,0),"")</f>
        <v/>
      </c>
      <c r="E807" s="353"/>
      <c r="F807" s="353"/>
      <c r="G807" s="353"/>
      <c r="H807" s="353" t="str">
        <f>IFERROR(VLOOKUP(M807,'02. MM-KLH'!$B$6:$T$823,17,0),"")</f>
        <v/>
      </c>
      <c r="I807" s="763" t="str">
        <f>IFERROR(VLOOKUP(M807,'02. MM-KLH'!$B$6:$U$823,20,0),"")</f>
        <v/>
      </c>
      <c r="J807" s="613" t="str">
        <f>IFERROR(VLOOKUP(M807,'02. MM-KLH'!$B$6:$T$823,19,0),"")</f>
        <v/>
      </c>
      <c r="K807" s="613" t="str">
        <f>IFERROR(VLOOKUP(M807,'02. MM-KLH'!$B$6:$T$823,18,0),"")</f>
        <v/>
      </c>
      <c r="L807" s="353" t="str">
        <f>IFERROR(VLOOKUP(M807,'02. MM-KLH'!$B$6:$T$823,4,0),"")</f>
        <v/>
      </c>
      <c r="M807" s="49"/>
      <c r="N807" s="356" t="str">
        <f>IFERROR(VLOOKUP(M807,'02. MM-KLH'!$B$6:$T$823,15,0),"")</f>
        <v/>
      </c>
      <c r="O807" s="764" t="str">
        <f>IFERROR(VLOOKUP(M807,'02. MM-KLH'!$B$6:$T$823,9,0),"")</f>
        <v/>
      </c>
      <c r="P807" s="353"/>
      <c r="Q807" s="353"/>
      <c r="R807" s="353"/>
      <c r="S807" s="353"/>
      <c r="T807" s="353"/>
      <c r="U807" s="353" t="str">
        <f>IFERROR(VLOOKUP(M807,'02. MM-KLH'!$B$6:$T$823,2,0),"")</f>
        <v/>
      </c>
      <c r="V807" s="731" t="str">
        <f>IFERROR(VLOOKUP(M807,'02. MM-KLH'!$B$6:$T$823,8,0),"")</f>
        <v/>
      </c>
      <c r="W807" s="353"/>
      <c r="X807" s="353"/>
      <c r="Y807" s="353"/>
      <c r="Z807" s="731" t="str">
        <f>IFERROR(VLOOKUP(M807,'02. MM-KLH'!$B$6:$T$823,3,0),"")</f>
        <v/>
      </c>
      <c r="AA807" s="353"/>
      <c r="AB807" s="731"/>
      <c r="AC807" s="731"/>
    </row>
    <row r="808" ht="13.8" spans="1:29">
      <c r="A808" s="731"/>
      <c r="B808" s="613" t="str">
        <f>IFERROR(VLOOKUP(M808,'02. MM-KLH'!$B$6:$T$823,6,0),"")</f>
        <v/>
      </c>
      <c r="C808" s="353"/>
      <c r="D808" s="353" t="str">
        <f>IFERROR(VLOOKUP(M808,'02. MM-KLH'!$B$6:$T$823,16,0),"")</f>
        <v/>
      </c>
      <c r="E808" s="353"/>
      <c r="F808" s="353"/>
      <c r="G808" s="353"/>
      <c r="H808" s="353" t="str">
        <f>IFERROR(VLOOKUP(M808,'02. MM-KLH'!$B$6:$T$823,17,0),"")</f>
        <v/>
      </c>
      <c r="I808" s="763" t="str">
        <f>IFERROR(VLOOKUP(M808,'02. MM-KLH'!$B$6:$U$823,20,0),"")</f>
        <v/>
      </c>
      <c r="J808" s="613" t="str">
        <f>IFERROR(VLOOKUP(M808,'02. MM-KLH'!$B$6:$T$823,19,0),"")</f>
        <v/>
      </c>
      <c r="K808" s="613" t="str">
        <f>IFERROR(VLOOKUP(M808,'02. MM-KLH'!$B$6:$T$823,18,0),"")</f>
        <v/>
      </c>
      <c r="L808" s="353" t="str">
        <f>IFERROR(VLOOKUP(M808,'02. MM-KLH'!$B$6:$T$823,4,0),"")</f>
        <v/>
      </c>
      <c r="M808" s="49"/>
      <c r="N808" s="356" t="str">
        <f>IFERROR(VLOOKUP(M808,'02. MM-KLH'!$B$6:$T$823,15,0),"")</f>
        <v/>
      </c>
      <c r="O808" s="764" t="str">
        <f>IFERROR(VLOOKUP(M808,'02. MM-KLH'!$B$6:$T$823,9,0),"")</f>
        <v/>
      </c>
      <c r="P808" s="353"/>
      <c r="Q808" s="353"/>
      <c r="R808" s="353"/>
      <c r="S808" s="353"/>
      <c r="T808" s="353"/>
      <c r="U808" s="353" t="str">
        <f>IFERROR(VLOOKUP(M808,'02. MM-KLH'!$B$6:$T$823,2,0),"")</f>
        <v/>
      </c>
      <c r="V808" s="731" t="str">
        <f>IFERROR(VLOOKUP(M808,'02. MM-KLH'!$B$6:$T$823,8,0),"")</f>
        <v/>
      </c>
      <c r="W808" s="353"/>
      <c r="X808" s="353"/>
      <c r="Y808" s="353"/>
      <c r="Z808" s="731" t="str">
        <f>IFERROR(VLOOKUP(M808,'02. MM-KLH'!$B$6:$T$823,3,0),"")</f>
        <v/>
      </c>
      <c r="AA808" s="353"/>
      <c r="AB808" s="731"/>
      <c r="AC808" s="731"/>
    </row>
    <row r="809" ht="13.8" spans="1:29">
      <c r="A809" s="731"/>
      <c r="B809" s="613" t="str">
        <f>IFERROR(VLOOKUP(M809,'02. MM-KLH'!$B$6:$T$823,6,0),"")</f>
        <v/>
      </c>
      <c r="C809" s="353"/>
      <c r="D809" s="353" t="str">
        <f>IFERROR(VLOOKUP(M809,'02. MM-KLH'!$B$6:$T$823,16,0),"")</f>
        <v/>
      </c>
      <c r="E809" s="353"/>
      <c r="F809" s="353"/>
      <c r="G809" s="353"/>
      <c r="H809" s="353" t="str">
        <f>IFERROR(VLOOKUP(M809,'02. MM-KLH'!$B$6:$T$823,17,0),"")</f>
        <v/>
      </c>
      <c r="I809" s="763" t="str">
        <f>IFERROR(VLOOKUP(M809,'02. MM-KLH'!$B$6:$U$823,20,0),"")</f>
        <v/>
      </c>
      <c r="J809" s="613" t="str">
        <f>IFERROR(VLOOKUP(M809,'02. MM-KLH'!$B$6:$T$823,19,0),"")</f>
        <v/>
      </c>
      <c r="K809" s="613" t="str">
        <f>IFERROR(VLOOKUP(M809,'02. MM-KLH'!$B$6:$T$823,18,0),"")</f>
        <v/>
      </c>
      <c r="L809" s="353" t="str">
        <f>IFERROR(VLOOKUP(M809,'02. MM-KLH'!$B$6:$T$823,4,0),"")</f>
        <v/>
      </c>
      <c r="M809" s="49"/>
      <c r="N809" s="356" t="str">
        <f>IFERROR(VLOOKUP(M809,'02. MM-KLH'!$B$6:$T$823,15,0),"")</f>
        <v/>
      </c>
      <c r="O809" s="764" t="str">
        <f>IFERROR(VLOOKUP(M809,'02. MM-KLH'!$B$6:$T$823,9,0),"")</f>
        <v/>
      </c>
      <c r="P809" s="353"/>
      <c r="Q809" s="353"/>
      <c r="R809" s="353"/>
      <c r="S809" s="353"/>
      <c r="T809" s="353"/>
      <c r="U809" s="353" t="str">
        <f>IFERROR(VLOOKUP(M809,'02. MM-KLH'!$B$6:$T$823,2,0),"")</f>
        <v/>
      </c>
      <c r="V809" s="731" t="str">
        <f>IFERROR(VLOOKUP(M809,'02. MM-KLH'!$B$6:$T$823,8,0),"")</f>
        <v/>
      </c>
      <c r="W809" s="353"/>
      <c r="X809" s="353"/>
      <c r="Y809" s="353"/>
      <c r="Z809" s="731" t="str">
        <f>IFERROR(VLOOKUP(M809,'02. MM-KLH'!$B$6:$T$823,3,0),"")</f>
        <v/>
      </c>
      <c r="AA809" s="353"/>
      <c r="AB809" s="731"/>
      <c r="AC809" s="731"/>
    </row>
    <row r="810" ht="13.8" spans="1:29">
      <c r="A810" s="731"/>
      <c r="B810" s="613" t="str">
        <f>IFERROR(VLOOKUP(M810,'02. MM-KLH'!$B$6:$T$823,6,0),"")</f>
        <v/>
      </c>
      <c r="C810" s="353"/>
      <c r="D810" s="353" t="str">
        <f>IFERROR(VLOOKUP(M810,'02. MM-KLH'!$B$6:$T$823,16,0),"")</f>
        <v/>
      </c>
      <c r="E810" s="353"/>
      <c r="F810" s="353"/>
      <c r="G810" s="353"/>
      <c r="H810" s="353" t="str">
        <f>IFERROR(VLOOKUP(M810,'02. MM-KLH'!$B$6:$T$823,17,0),"")</f>
        <v/>
      </c>
      <c r="I810" s="763" t="str">
        <f>IFERROR(VLOOKUP(M810,'02. MM-KLH'!$B$6:$U$823,20,0),"")</f>
        <v/>
      </c>
      <c r="J810" s="613" t="str">
        <f>IFERROR(VLOOKUP(M810,'02. MM-KLH'!$B$6:$T$823,19,0),"")</f>
        <v/>
      </c>
      <c r="K810" s="613" t="str">
        <f>IFERROR(VLOOKUP(M810,'02. MM-KLH'!$B$6:$T$823,18,0),"")</f>
        <v/>
      </c>
      <c r="L810" s="353" t="str">
        <f>IFERROR(VLOOKUP(M810,'02. MM-KLH'!$B$6:$T$823,4,0),"")</f>
        <v/>
      </c>
      <c r="M810" s="49"/>
      <c r="N810" s="356" t="str">
        <f>IFERROR(VLOOKUP(M810,'02. MM-KLH'!$B$6:$T$823,15,0),"")</f>
        <v/>
      </c>
      <c r="O810" s="764" t="str">
        <f>IFERROR(VLOOKUP(M810,'02. MM-KLH'!$B$6:$T$823,9,0),"")</f>
        <v/>
      </c>
      <c r="P810" s="353"/>
      <c r="Q810" s="353"/>
      <c r="R810" s="353"/>
      <c r="S810" s="353"/>
      <c r="T810" s="353"/>
      <c r="U810" s="353" t="str">
        <f>IFERROR(VLOOKUP(M810,'02. MM-KLH'!$B$6:$T$823,2,0),"")</f>
        <v/>
      </c>
      <c r="V810" s="731" t="str">
        <f>IFERROR(VLOOKUP(M810,'02. MM-KLH'!$B$6:$T$823,8,0),"")</f>
        <v/>
      </c>
      <c r="W810" s="353"/>
      <c r="X810" s="353"/>
      <c r="Y810" s="353"/>
      <c r="Z810" s="731" t="str">
        <f>IFERROR(VLOOKUP(M810,'02. MM-KLH'!$B$6:$T$823,3,0),"")</f>
        <v/>
      </c>
      <c r="AA810" s="353"/>
      <c r="AB810" s="731"/>
      <c r="AC810" s="731"/>
    </row>
    <row r="811" ht="13.8" spans="1:29">
      <c r="A811" s="731"/>
      <c r="B811" s="613" t="str">
        <f>IFERROR(VLOOKUP(M811,'02. MM-KLH'!$B$6:$T$823,6,0),"")</f>
        <v/>
      </c>
      <c r="C811" s="353"/>
      <c r="D811" s="353" t="str">
        <f>IFERROR(VLOOKUP(M811,'02. MM-KLH'!$B$6:$T$823,16,0),"")</f>
        <v/>
      </c>
      <c r="E811" s="353"/>
      <c r="F811" s="353"/>
      <c r="G811" s="353"/>
      <c r="H811" s="353" t="str">
        <f>IFERROR(VLOOKUP(M811,'02. MM-KLH'!$B$6:$T$823,17,0),"")</f>
        <v/>
      </c>
      <c r="I811" s="763" t="str">
        <f>IFERROR(VLOOKUP(M811,'02. MM-KLH'!$B$6:$U$823,20,0),"")</f>
        <v/>
      </c>
      <c r="J811" s="613" t="str">
        <f>IFERROR(VLOOKUP(M811,'02. MM-KLH'!$B$6:$T$823,19,0),"")</f>
        <v/>
      </c>
      <c r="K811" s="613" t="str">
        <f>IFERROR(VLOOKUP(M811,'02. MM-KLH'!$B$6:$T$823,18,0),"")</f>
        <v/>
      </c>
      <c r="L811" s="353" t="str">
        <f>IFERROR(VLOOKUP(M811,'02. MM-KLH'!$B$6:$T$823,4,0),"")</f>
        <v/>
      </c>
      <c r="M811" s="49"/>
      <c r="N811" s="356" t="str">
        <f>IFERROR(VLOOKUP(M811,'02. MM-KLH'!$B$6:$T$823,15,0),"")</f>
        <v/>
      </c>
      <c r="O811" s="764" t="str">
        <f>IFERROR(VLOOKUP(M811,'02. MM-KLH'!$B$6:$T$823,9,0),"")</f>
        <v/>
      </c>
      <c r="P811" s="353"/>
      <c r="Q811" s="353"/>
      <c r="R811" s="353"/>
      <c r="S811" s="353"/>
      <c r="T811" s="353"/>
      <c r="U811" s="353" t="str">
        <f>IFERROR(VLOOKUP(M811,'02. MM-KLH'!$B$6:$T$823,2,0),"")</f>
        <v/>
      </c>
      <c r="V811" s="731" t="str">
        <f>IFERROR(VLOOKUP(M811,'02. MM-KLH'!$B$6:$T$823,8,0),"")</f>
        <v/>
      </c>
      <c r="W811" s="353"/>
      <c r="X811" s="353"/>
      <c r="Y811" s="353"/>
      <c r="Z811" s="731" t="str">
        <f>IFERROR(VLOOKUP(M811,'02. MM-KLH'!$B$6:$T$823,3,0),"")</f>
        <v/>
      </c>
      <c r="AA811" s="353"/>
      <c r="AB811" s="731"/>
      <c r="AC811" s="731"/>
    </row>
    <row r="812" ht="13.8" spans="1:29">
      <c r="A812" s="731"/>
      <c r="B812" s="613" t="str">
        <f>IFERROR(VLOOKUP(M812,'02. MM-KLH'!$B$6:$T$823,6,0),"")</f>
        <v/>
      </c>
      <c r="C812" s="353"/>
      <c r="D812" s="353" t="str">
        <f>IFERROR(VLOOKUP(M812,'02. MM-KLH'!$B$6:$T$823,16,0),"")</f>
        <v/>
      </c>
      <c r="E812" s="353"/>
      <c r="F812" s="353"/>
      <c r="G812" s="353"/>
      <c r="H812" s="353" t="str">
        <f>IFERROR(VLOOKUP(M812,'02. MM-KLH'!$B$6:$T$823,17,0),"")</f>
        <v/>
      </c>
      <c r="I812" s="763" t="str">
        <f>IFERROR(VLOOKUP(M812,'02. MM-KLH'!$B$6:$U$823,20,0),"")</f>
        <v/>
      </c>
      <c r="J812" s="613" t="str">
        <f>IFERROR(VLOOKUP(M812,'02. MM-KLH'!$B$6:$T$823,19,0),"")</f>
        <v/>
      </c>
      <c r="K812" s="613" t="str">
        <f>IFERROR(VLOOKUP(M812,'02. MM-KLH'!$B$6:$T$823,18,0),"")</f>
        <v/>
      </c>
      <c r="L812" s="353" t="str">
        <f>IFERROR(VLOOKUP(M812,'02. MM-KLH'!$B$6:$T$823,4,0),"")</f>
        <v/>
      </c>
      <c r="M812" s="49"/>
      <c r="N812" s="356" t="str">
        <f>IFERROR(VLOOKUP(M812,'02. MM-KLH'!$B$6:$T$823,15,0),"")</f>
        <v/>
      </c>
      <c r="O812" s="764" t="str">
        <f>IFERROR(VLOOKUP(M812,'02. MM-KLH'!$B$6:$T$823,9,0),"")</f>
        <v/>
      </c>
      <c r="P812" s="353"/>
      <c r="Q812" s="353"/>
      <c r="R812" s="353"/>
      <c r="S812" s="353"/>
      <c r="T812" s="353"/>
      <c r="U812" s="353" t="str">
        <f>IFERROR(VLOOKUP(M812,'02. MM-KLH'!$B$6:$T$823,2,0),"")</f>
        <v/>
      </c>
      <c r="V812" s="731" t="str">
        <f>IFERROR(VLOOKUP(M812,'02. MM-KLH'!$B$6:$T$823,8,0),"")</f>
        <v/>
      </c>
      <c r="W812" s="353"/>
      <c r="X812" s="353"/>
      <c r="Y812" s="353"/>
      <c r="Z812" s="731" t="str">
        <f>IFERROR(VLOOKUP(M812,'02. MM-KLH'!$B$6:$T$823,3,0),"")</f>
        <v/>
      </c>
      <c r="AA812" s="353"/>
      <c r="AB812" s="731"/>
      <c r="AC812" s="731"/>
    </row>
    <row r="813" ht="13.8" spans="1:29">
      <c r="A813" s="731"/>
      <c r="B813" s="613" t="str">
        <f>IFERROR(VLOOKUP(M813,'02. MM-KLH'!$B$6:$T$823,6,0),"")</f>
        <v/>
      </c>
      <c r="C813" s="353"/>
      <c r="D813" s="353" t="str">
        <f>IFERROR(VLOOKUP(M813,'02. MM-KLH'!$B$6:$T$823,16,0),"")</f>
        <v/>
      </c>
      <c r="E813" s="353"/>
      <c r="F813" s="353"/>
      <c r="G813" s="353"/>
      <c r="H813" s="353" t="str">
        <f>IFERROR(VLOOKUP(M813,'02. MM-KLH'!$B$6:$T$823,17,0),"")</f>
        <v/>
      </c>
      <c r="I813" s="763" t="str">
        <f>IFERROR(VLOOKUP(M813,'02. MM-KLH'!$B$6:$U$823,20,0),"")</f>
        <v/>
      </c>
      <c r="J813" s="613" t="str">
        <f>IFERROR(VLOOKUP(M813,'02. MM-KLH'!$B$6:$T$823,19,0),"")</f>
        <v/>
      </c>
      <c r="K813" s="613" t="str">
        <f>IFERROR(VLOOKUP(M813,'02. MM-KLH'!$B$6:$T$823,18,0),"")</f>
        <v/>
      </c>
      <c r="L813" s="353" t="str">
        <f>IFERROR(VLOOKUP(M813,'02. MM-KLH'!$B$6:$T$823,4,0),"")</f>
        <v/>
      </c>
      <c r="M813" s="49"/>
      <c r="N813" s="356" t="str">
        <f>IFERROR(VLOOKUP(M813,'02. MM-KLH'!$B$6:$T$823,15,0),"")</f>
        <v/>
      </c>
      <c r="O813" s="764" t="str">
        <f>IFERROR(VLOOKUP(M813,'02. MM-KLH'!$B$6:$T$823,9,0),"")</f>
        <v/>
      </c>
      <c r="P813" s="353"/>
      <c r="Q813" s="353"/>
      <c r="R813" s="353"/>
      <c r="S813" s="353"/>
      <c r="T813" s="353"/>
      <c r="U813" s="353" t="str">
        <f>IFERROR(VLOOKUP(M813,'02. MM-KLH'!$B$6:$T$823,2,0),"")</f>
        <v/>
      </c>
      <c r="V813" s="731" t="str">
        <f>IFERROR(VLOOKUP(M813,'02. MM-KLH'!$B$6:$T$823,8,0),"")</f>
        <v/>
      </c>
      <c r="W813" s="353"/>
      <c r="X813" s="353"/>
      <c r="Y813" s="353"/>
      <c r="Z813" s="731" t="str">
        <f>IFERROR(VLOOKUP(M813,'02. MM-KLH'!$B$6:$T$823,3,0),"")</f>
        <v/>
      </c>
      <c r="AA813" s="353"/>
      <c r="AB813" s="731"/>
      <c r="AC813" s="731"/>
    </row>
    <row r="814" ht="13.8" spans="1:29">
      <c r="A814" s="731"/>
      <c r="B814" s="613" t="str">
        <f>IFERROR(VLOOKUP(M814,'02. MM-KLH'!$B$6:$T$823,6,0),"")</f>
        <v/>
      </c>
      <c r="C814" s="353"/>
      <c r="D814" s="353" t="str">
        <f>IFERROR(VLOOKUP(M814,'02. MM-KLH'!$B$6:$T$823,16,0),"")</f>
        <v/>
      </c>
      <c r="E814" s="353"/>
      <c r="F814" s="353"/>
      <c r="G814" s="353"/>
      <c r="H814" s="353" t="str">
        <f>IFERROR(VLOOKUP(M814,'02. MM-KLH'!$B$6:$T$823,17,0),"")</f>
        <v/>
      </c>
      <c r="I814" s="763" t="str">
        <f>IFERROR(VLOOKUP(M814,'02. MM-KLH'!$B$6:$U$823,20,0),"")</f>
        <v/>
      </c>
      <c r="J814" s="613" t="str">
        <f>IFERROR(VLOOKUP(M814,'02. MM-KLH'!$B$6:$T$823,19,0),"")</f>
        <v/>
      </c>
      <c r="K814" s="613" t="str">
        <f>IFERROR(VLOOKUP(M814,'02. MM-KLH'!$B$6:$T$823,18,0),"")</f>
        <v/>
      </c>
      <c r="L814" s="353" t="str">
        <f>IFERROR(VLOOKUP(M814,'02. MM-KLH'!$B$6:$T$823,4,0),"")</f>
        <v/>
      </c>
      <c r="M814" s="49"/>
      <c r="N814" s="356" t="str">
        <f>IFERROR(VLOOKUP(M814,'02. MM-KLH'!$B$6:$T$823,15,0),"")</f>
        <v/>
      </c>
      <c r="O814" s="764" t="str">
        <f>IFERROR(VLOOKUP(M814,'02. MM-KLH'!$B$6:$T$823,9,0),"")</f>
        <v/>
      </c>
      <c r="P814" s="353"/>
      <c r="Q814" s="353"/>
      <c r="R814" s="353"/>
      <c r="S814" s="353"/>
      <c r="T814" s="353"/>
      <c r="U814" s="353" t="str">
        <f>IFERROR(VLOOKUP(M814,'02. MM-KLH'!$B$6:$T$823,2,0),"")</f>
        <v/>
      </c>
      <c r="V814" s="731" t="str">
        <f>IFERROR(VLOOKUP(M814,'02. MM-KLH'!$B$6:$T$823,8,0),"")</f>
        <v/>
      </c>
      <c r="W814" s="353"/>
      <c r="X814" s="353"/>
      <c r="Y814" s="353"/>
      <c r="Z814" s="731" t="str">
        <f>IFERROR(VLOOKUP(M814,'02. MM-KLH'!$B$6:$T$823,3,0),"")</f>
        <v/>
      </c>
      <c r="AA814" s="353"/>
      <c r="AB814" s="731"/>
      <c r="AC814" s="731"/>
    </row>
    <row r="815" ht="13.8" spans="1:29">
      <c r="A815" s="731"/>
      <c r="B815" s="613" t="str">
        <f>IFERROR(VLOOKUP(M815,'02. MM-KLH'!$B$6:$T$823,6,0),"")</f>
        <v/>
      </c>
      <c r="C815" s="353"/>
      <c r="D815" s="353" t="str">
        <f>IFERROR(VLOOKUP(M815,'02. MM-KLH'!$B$6:$T$823,16,0),"")</f>
        <v/>
      </c>
      <c r="E815" s="353"/>
      <c r="F815" s="353"/>
      <c r="G815" s="353"/>
      <c r="H815" s="353" t="str">
        <f>IFERROR(VLOOKUP(M815,'02. MM-KLH'!$B$6:$T$823,17,0),"")</f>
        <v/>
      </c>
      <c r="I815" s="763" t="str">
        <f>IFERROR(VLOOKUP(M815,'02. MM-KLH'!$B$6:$U$823,20,0),"")</f>
        <v/>
      </c>
      <c r="J815" s="613" t="str">
        <f>IFERROR(VLOOKUP(M815,'02. MM-KLH'!$B$6:$T$823,19,0),"")</f>
        <v/>
      </c>
      <c r="K815" s="613" t="str">
        <f>IFERROR(VLOOKUP(M815,'02. MM-KLH'!$B$6:$T$823,18,0),"")</f>
        <v/>
      </c>
      <c r="L815" s="353" t="str">
        <f>IFERROR(VLOOKUP(M815,'02. MM-KLH'!$B$6:$T$823,4,0),"")</f>
        <v/>
      </c>
      <c r="M815" s="49"/>
      <c r="N815" s="356" t="str">
        <f>IFERROR(VLOOKUP(M815,'02. MM-KLH'!$B$6:$T$823,15,0),"")</f>
        <v/>
      </c>
      <c r="O815" s="764" t="str">
        <f>IFERROR(VLOOKUP(M815,'02. MM-KLH'!$B$6:$T$823,9,0),"")</f>
        <v/>
      </c>
      <c r="P815" s="353"/>
      <c r="Q815" s="353"/>
      <c r="R815" s="353"/>
      <c r="S815" s="353"/>
      <c r="T815" s="353"/>
      <c r="U815" s="353" t="str">
        <f>IFERROR(VLOOKUP(M815,'02. MM-KLH'!$B$6:$T$823,2,0),"")</f>
        <v/>
      </c>
      <c r="V815" s="731" t="str">
        <f>IFERROR(VLOOKUP(M815,'02. MM-KLH'!$B$6:$T$823,8,0),"")</f>
        <v/>
      </c>
      <c r="W815" s="353"/>
      <c r="X815" s="353"/>
      <c r="Y815" s="353"/>
      <c r="Z815" s="731" t="str">
        <f>IFERROR(VLOOKUP(M815,'02. MM-KLH'!$B$6:$T$823,3,0),"")</f>
        <v/>
      </c>
      <c r="AA815" s="353"/>
      <c r="AB815" s="731"/>
      <c r="AC815" s="731"/>
    </row>
    <row r="816" ht="13.8" spans="1:29">
      <c r="A816" s="731"/>
      <c r="B816" s="613" t="str">
        <f>IFERROR(VLOOKUP(M816,'02. MM-KLH'!$B$6:$T$823,6,0),"")</f>
        <v/>
      </c>
      <c r="C816" s="353"/>
      <c r="D816" s="353" t="str">
        <f>IFERROR(VLOOKUP(M816,'02. MM-KLH'!$B$6:$T$823,16,0),"")</f>
        <v/>
      </c>
      <c r="E816" s="353"/>
      <c r="F816" s="353"/>
      <c r="G816" s="353"/>
      <c r="H816" s="353" t="str">
        <f>IFERROR(VLOOKUP(M816,'02. MM-KLH'!$B$6:$T$823,17,0),"")</f>
        <v/>
      </c>
      <c r="I816" s="763" t="str">
        <f>IFERROR(VLOOKUP(M816,'02. MM-KLH'!$B$6:$U$823,20,0),"")</f>
        <v/>
      </c>
      <c r="J816" s="613" t="str">
        <f>IFERROR(VLOOKUP(M816,'02. MM-KLH'!$B$6:$T$823,19,0),"")</f>
        <v/>
      </c>
      <c r="K816" s="613" t="str">
        <f>IFERROR(VLOOKUP(M816,'02. MM-KLH'!$B$6:$T$823,18,0),"")</f>
        <v/>
      </c>
      <c r="L816" s="353" t="str">
        <f>IFERROR(VLOOKUP(M816,'02. MM-KLH'!$B$6:$T$823,4,0),"")</f>
        <v/>
      </c>
      <c r="M816" s="49"/>
      <c r="N816" s="356" t="str">
        <f>IFERROR(VLOOKUP(M816,'02. MM-KLH'!$B$6:$T$823,15,0),"")</f>
        <v/>
      </c>
      <c r="O816" s="764" t="str">
        <f>IFERROR(VLOOKUP(M816,'02. MM-KLH'!$B$6:$T$823,9,0),"")</f>
        <v/>
      </c>
      <c r="P816" s="353"/>
      <c r="Q816" s="353"/>
      <c r="R816" s="353"/>
      <c r="S816" s="353"/>
      <c r="T816" s="353"/>
      <c r="U816" s="353" t="str">
        <f>IFERROR(VLOOKUP(M816,'02. MM-KLH'!$B$6:$T$823,2,0),"")</f>
        <v/>
      </c>
      <c r="V816" s="731" t="str">
        <f>IFERROR(VLOOKUP(M816,'02. MM-KLH'!$B$6:$T$823,8,0),"")</f>
        <v/>
      </c>
      <c r="W816" s="353"/>
      <c r="X816" s="353"/>
      <c r="Y816" s="353"/>
      <c r="Z816" s="731" t="str">
        <f>IFERROR(VLOOKUP(M816,'02. MM-KLH'!$B$6:$T$823,3,0),"")</f>
        <v/>
      </c>
      <c r="AA816" s="353"/>
      <c r="AB816" s="731"/>
      <c r="AC816" s="731"/>
    </row>
    <row r="817" ht="13.8" spans="1:29">
      <c r="A817" s="731"/>
      <c r="B817" s="613" t="str">
        <f>IFERROR(VLOOKUP(M817,'02. MM-KLH'!$B$6:$T$823,6,0),"")</f>
        <v/>
      </c>
      <c r="C817" s="353"/>
      <c r="D817" s="353" t="str">
        <f>IFERROR(VLOOKUP(M817,'02. MM-KLH'!$B$6:$T$823,16,0),"")</f>
        <v/>
      </c>
      <c r="E817" s="353"/>
      <c r="F817" s="353"/>
      <c r="G817" s="353"/>
      <c r="H817" s="353" t="str">
        <f>IFERROR(VLOOKUP(M817,'02. MM-KLH'!$B$6:$T$823,17,0),"")</f>
        <v/>
      </c>
      <c r="I817" s="763" t="str">
        <f>IFERROR(VLOOKUP(M817,'02. MM-KLH'!$B$6:$U$823,20,0),"")</f>
        <v/>
      </c>
      <c r="J817" s="613" t="str">
        <f>IFERROR(VLOOKUP(M817,'02. MM-KLH'!$B$6:$T$823,19,0),"")</f>
        <v/>
      </c>
      <c r="K817" s="613" t="str">
        <f>IFERROR(VLOOKUP(M817,'02. MM-KLH'!$B$6:$T$823,18,0),"")</f>
        <v/>
      </c>
      <c r="L817" s="353" t="str">
        <f>IFERROR(VLOOKUP(M817,'02. MM-KLH'!$B$6:$T$823,4,0),"")</f>
        <v/>
      </c>
      <c r="M817" s="49"/>
      <c r="N817" s="356" t="str">
        <f>IFERROR(VLOOKUP(M817,'02. MM-KLH'!$B$6:$T$823,15,0),"")</f>
        <v/>
      </c>
      <c r="O817" s="764" t="str">
        <f>IFERROR(VLOOKUP(M817,'02. MM-KLH'!$B$6:$T$823,9,0),"")</f>
        <v/>
      </c>
      <c r="P817" s="353"/>
      <c r="Q817" s="353"/>
      <c r="R817" s="353"/>
      <c r="S817" s="353"/>
      <c r="T817" s="353"/>
      <c r="U817" s="353" t="str">
        <f>IFERROR(VLOOKUP(M817,'02. MM-KLH'!$B$6:$T$823,2,0),"")</f>
        <v/>
      </c>
      <c r="V817" s="731" t="str">
        <f>IFERROR(VLOOKUP(M817,'02. MM-KLH'!$B$6:$T$823,8,0),"")</f>
        <v/>
      </c>
      <c r="W817" s="353"/>
      <c r="X817" s="353"/>
      <c r="Y817" s="353"/>
      <c r="Z817" s="731" t="str">
        <f>IFERROR(VLOOKUP(M817,'02. MM-KLH'!$B$6:$T$823,3,0),"")</f>
        <v/>
      </c>
      <c r="AA817" s="353"/>
      <c r="AB817" s="731"/>
      <c r="AC817" s="731"/>
    </row>
    <row r="818" ht="13.8" spans="1:29">
      <c r="A818" s="731"/>
      <c r="B818" s="613" t="str">
        <f>IFERROR(VLOOKUP(M818,'02. MM-KLH'!$B$6:$T$823,6,0),"")</f>
        <v/>
      </c>
      <c r="C818" s="353"/>
      <c r="D818" s="353" t="str">
        <f>IFERROR(VLOOKUP(M818,'02. MM-KLH'!$B$6:$T$823,16,0),"")</f>
        <v/>
      </c>
      <c r="E818" s="353"/>
      <c r="F818" s="353"/>
      <c r="G818" s="353"/>
      <c r="H818" s="353" t="str">
        <f>IFERROR(VLOOKUP(M818,'02. MM-KLH'!$B$6:$T$823,17,0),"")</f>
        <v/>
      </c>
      <c r="I818" s="763" t="str">
        <f>IFERROR(VLOOKUP(M818,'02. MM-KLH'!$B$6:$U$823,20,0),"")</f>
        <v/>
      </c>
      <c r="J818" s="613" t="str">
        <f>IFERROR(VLOOKUP(M818,'02. MM-KLH'!$B$6:$T$823,19,0),"")</f>
        <v/>
      </c>
      <c r="K818" s="613" t="str">
        <f>IFERROR(VLOOKUP(M818,'02. MM-KLH'!$B$6:$T$823,18,0),"")</f>
        <v/>
      </c>
      <c r="L818" s="353" t="str">
        <f>IFERROR(VLOOKUP(M818,'02. MM-KLH'!$B$6:$T$823,4,0),"")</f>
        <v/>
      </c>
      <c r="M818" s="49"/>
      <c r="N818" s="356" t="str">
        <f>IFERROR(VLOOKUP(M818,'02. MM-KLH'!$B$6:$T$823,15,0),"")</f>
        <v/>
      </c>
      <c r="O818" s="764" t="str">
        <f>IFERROR(VLOOKUP(M818,'02. MM-KLH'!$B$6:$T$823,9,0),"")</f>
        <v/>
      </c>
      <c r="P818" s="353"/>
      <c r="Q818" s="353"/>
      <c r="R818" s="353"/>
      <c r="S818" s="353"/>
      <c r="T818" s="353"/>
      <c r="U818" s="353" t="str">
        <f>IFERROR(VLOOKUP(M818,'02. MM-KLH'!$B$6:$T$823,2,0),"")</f>
        <v/>
      </c>
      <c r="V818" s="731" t="str">
        <f>IFERROR(VLOOKUP(M818,'02. MM-KLH'!$B$6:$T$823,8,0),"")</f>
        <v/>
      </c>
      <c r="W818" s="353"/>
      <c r="X818" s="353"/>
      <c r="Y818" s="353"/>
      <c r="Z818" s="731" t="str">
        <f>IFERROR(VLOOKUP(M818,'02. MM-KLH'!$B$6:$T$823,3,0),"")</f>
        <v/>
      </c>
      <c r="AA818" s="353"/>
      <c r="AB818" s="731"/>
      <c r="AC818" s="731"/>
    </row>
    <row r="819" ht="13.8" spans="1:29">
      <c r="A819" s="731"/>
      <c r="B819" s="613" t="str">
        <f>IFERROR(VLOOKUP(M819,'02. MM-KLH'!$B$6:$T$823,6,0),"")</f>
        <v/>
      </c>
      <c r="C819" s="353"/>
      <c r="D819" s="353" t="str">
        <f>IFERROR(VLOOKUP(M819,'02. MM-KLH'!$B$6:$T$823,16,0),"")</f>
        <v/>
      </c>
      <c r="E819" s="353"/>
      <c r="F819" s="353"/>
      <c r="G819" s="353"/>
      <c r="H819" s="353" t="str">
        <f>IFERROR(VLOOKUP(M819,'02. MM-KLH'!$B$6:$T$823,17,0),"")</f>
        <v/>
      </c>
      <c r="I819" s="763" t="str">
        <f>IFERROR(VLOOKUP(M819,'02. MM-KLH'!$B$6:$U$823,20,0),"")</f>
        <v/>
      </c>
      <c r="J819" s="613" t="str">
        <f>IFERROR(VLOOKUP(M819,'02. MM-KLH'!$B$6:$T$823,19,0),"")</f>
        <v/>
      </c>
      <c r="K819" s="613" t="str">
        <f>IFERROR(VLOOKUP(M819,'02. MM-KLH'!$B$6:$T$823,18,0),"")</f>
        <v/>
      </c>
      <c r="L819" s="353" t="str">
        <f>IFERROR(VLOOKUP(M819,'02. MM-KLH'!$B$6:$T$823,4,0),"")</f>
        <v/>
      </c>
      <c r="M819" s="49"/>
      <c r="N819" s="356" t="str">
        <f>IFERROR(VLOOKUP(M819,'02. MM-KLH'!$B$6:$T$823,15,0),"")</f>
        <v/>
      </c>
      <c r="O819" s="764" t="str">
        <f>IFERROR(VLOOKUP(M819,'02. MM-KLH'!$B$6:$T$823,9,0),"")</f>
        <v/>
      </c>
      <c r="P819" s="353"/>
      <c r="Q819" s="353"/>
      <c r="R819" s="353"/>
      <c r="S819" s="353"/>
      <c r="T819" s="353"/>
      <c r="U819" s="353" t="str">
        <f>IFERROR(VLOOKUP(M819,'02. MM-KLH'!$B$6:$T$823,2,0),"")</f>
        <v/>
      </c>
      <c r="V819" s="731" t="str">
        <f>IFERROR(VLOOKUP(M819,'02. MM-KLH'!$B$6:$T$823,8,0),"")</f>
        <v/>
      </c>
      <c r="W819" s="353"/>
      <c r="X819" s="353"/>
      <c r="Y819" s="353"/>
      <c r="Z819" s="731" t="str">
        <f>IFERROR(VLOOKUP(M819,'02. MM-KLH'!$B$6:$T$823,3,0),"")</f>
        <v/>
      </c>
      <c r="AA819" s="353"/>
      <c r="AB819" s="731"/>
      <c r="AC819" s="731"/>
    </row>
    <row r="820" ht="13.8" spans="1:29">
      <c r="A820" s="731"/>
      <c r="B820" s="613" t="str">
        <f>IFERROR(VLOOKUP(M820,'02. MM-KLH'!$B$6:$T$823,6,0),"")</f>
        <v/>
      </c>
      <c r="C820" s="353"/>
      <c r="D820" s="353" t="str">
        <f>IFERROR(VLOOKUP(M820,'02. MM-KLH'!$B$6:$T$823,16,0),"")</f>
        <v/>
      </c>
      <c r="E820" s="353"/>
      <c r="F820" s="353"/>
      <c r="G820" s="353"/>
      <c r="H820" s="353" t="str">
        <f>IFERROR(VLOOKUP(M820,'02. MM-KLH'!$B$6:$T$823,17,0),"")</f>
        <v/>
      </c>
      <c r="I820" s="763" t="str">
        <f>IFERROR(VLOOKUP(M820,'02. MM-KLH'!$B$6:$U$823,20,0),"")</f>
        <v/>
      </c>
      <c r="J820" s="613" t="str">
        <f>IFERROR(VLOOKUP(M820,'02. MM-KLH'!$B$6:$T$823,19,0),"")</f>
        <v/>
      </c>
      <c r="K820" s="613" t="str">
        <f>IFERROR(VLOOKUP(M820,'02. MM-KLH'!$B$6:$T$823,18,0),"")</f>
        <v/>
      </c>
      <c r="L820" s="353" t="str">
        <f>IFERROR(VLOOKUP(M820,'02. MM-KLH'!$B$6:$T$823,4,0),"")</f>
        <v/>
      </c>
      <c r="M820" s="49"/>
      <c r="N820" s="356" t="str">
        <f>IFERROR(VLOOKUP(M820,'02. MM-KLH'!$B$6:$T$823,15,0),"")</f>
        <v/>
      </c>
      <c r="O820" s="764" t="str">
        <f>IFERROR(VLOOKUP(M820,'02. MM-KLH'!$B$6:$T$823,9,0),"")</f>
        <v/>
      </c>
      <c r="P820" s="353"/>
      <c r="Q820" s="353"/>
      <c r="R820" s="353"/>
      <c r="S820" s="353"/>
      <c r="T820" s="353"/>
      <c r="U820" s="353" t="str">
        <f>IFERROR(VLOOKUP(M820,'02. MM-KLH'!$B$6:$T$823,2,0),"")</f>
        <v/>
      </c>
      <c r="V820" s="731" t="str">
        <f>IFERROR(VLOOKUP(M820,'02. MM-KLH'!$B$6:$T$823,8,0),"")</f>
        <v/>
      </c>
      <c r="W820" s="353"/>
      <c r="X820" s="353"/>
      <c r="Y820" s="353"/>
      <c r="Z820" s="731" t="str">
        <f>IFERROR(VLOOKUP(M820,'02. MM-KLH'!$B$6:$T$823,3,0),"")</f>
        <v/>
      </c>
      <c r="AA820" s="353"/>
      <c r="AB820" s="731"/>
      <c r="AC820" s="731"/>
    </row>
    <row r="821" ht="13.8" spans="1:29">
      <c r="A821" s="731"/>
      <c r="B821" s="613" t="str">
        <f>IFERROR(VLOOKUP(M821,'02. MM-KLH'!$B$6:$T$823,6,0),"")</f>
        <v/>
      </c>
      <c r="C821" s="353"/>
      <c r="D821" s="353" t="str">
        <f>IFERROR(VLOOKUP(M821,'02. MM-KLH'!$B$6:$T$823,16,0),"")</f>
        <v/>
      </c>
      <c r="E821" s="353"/>
      <c r="F821" s="353"/>
      <c r="G821" s="353"/>
      <c r="H821" s="353" t="str">
        <f>IFERROR(VLOOKUP(M821,'02. MM-KLH'!$B$6:$T$823,17,0),"")</f>
        <v/>
      </c>
      <c r="I821" s="763" t="str">
        <f>IFERROR(VLOOKUP(M821,'02. MM-KLH'!$B$6:$U$823,20,0),"")</f>
        <v/>
      </c>
      <c r="J821" s="613" t="str">
        <f>IFERROR(VLOOKUP(M821,'02. MM-KLH'!$B$6:$T$823,19,0),"")</f>
        <v/>
      </c>
      <c r="K821" s="613" t="str">
        <f>IFERROR(VLOOKUP(M821,'02. MM-KLH'!$B$6:$T$823,18,0),"")</f>
        <v/>
      </c>
      <c r="L821" s="353" t="str">
        <f>IFERROR(VLOOKUP(M821,'02. MM-KLH'!$B$6:$T$823,4,0),"")</f>
        <v/>
      </c>
      <c r="M821" s="49"/>
      <c r="N821" s="356" t="str">
        <f>IFERROR(VLOOKUP(M821,'02. MM-KLH'!$B$6:$T$823,15,0),"")</f>
        <v/>
      </c>
      <c r="O821" s="764" t="str">
        <f>IFERROR(VLOOKUP(M821,'02. MM-KLH'!$B$6:$T$823,9,0),"")</f>
        <v/>
      </c>
      <c r="P821" s="353"/>
      <c r="Q821" s="353"/>
      <c r="R821" s="353"/>
      <c r="S821" s="353"/>
      <c r="T821" s="353"/>
      <c r="U821" s="353" t="str">
        <f>IFERROR(VLOOKUP(M821,'02. MM-KLH'!$B$6:$T$823,2,0),"")</f>
        <v/>
      </c>
      <c r="V821" s="731" t="str">
        <f>IFERROR(VLOOKUP(M821,'02. MM-KLH'!$B$6:$T$823,8,0),"")</f>
        <v/>
      </c>
      <c r="W821" s="353"/>
      <c r="X821" s="353"/>
      <c r="Y821" s="353"/>
      <c r="Z821" s="731" t="str">
        <f>IFERROR(VLOOKUP(M821,'02. MM-KLH'!$B$6:$T$823,3,0),"")</f>
        <v/>
      </c>
      <c r="AA821" s="353"/>
      <c r="AB821" s="731"/>
      <c r="AC821" s="731"/>
    </row>
    <row r="822" ht="13.8" spans="1:29">
      <c r="A822" s="731"/>
      <c r="B822" s="613" t="str">
        <f>IFERROR(VLOOKUP(M822,'02. MM-KLH'!$B$6:$T$823,6,0),"")</f>
        <v/>
      </c>
      <c r="C822" s="353"/>
      <c r="D822" s="353" t="str">
        <f>IFERROR(VLOOKUP(M822,'02. MM-KLH'!$B$6:$T$823,16,0),"")</f>
        <v/>
      </c>
      <c r="E822" s="353"/>
      <c r="F822" s="353"/>
      <c r="G822" s="353"/>
      <c r="H822" s="353" t="str">
        <f>IFERROR(VLOOKUP(M822,'02. MM-KLH'!$B$6:$T$823,17,0),"")</f>
        <v/>
      </c>
      <c r="I822" s="763" t="str">
        <f>IFERROR(VLOOKUP(M822,'02. MM-KLH'!$B$6:$U$823,20,0),"")</f>
        <v/>
      </c>
      <c r="J822" s="613" t="str">
        <f>IFERROR(VLOOKUP(M822,'02. MM-KLH'!$B$6:$T$823,19,0),"")</f>
        <v/>
      </c>
      <c r="K822" s="613" t="str">
        <f>IFERROR(VLOOKUP(M822,'02. MM-KLH'!$B$6:$T$823,18,0),"")</f>
        <v/>
      </c>
      <c r="L822" s="353" t="str">
        <f>IFERROR(VLOOKUP(M822,'02. MM-KLH'!$B$6:$T$823,4,0),"")</f>
        <v/>
      </c>
      <c r="M822" s="49"/>
      <c r="N822" s="356" t="str">
        <f>IFERROR(VLOOKUP(M822,'02. MM-KLH'!$B$6:$T$823,15,0),"")</f>
        <v/>
      </c>
      <c r="O822" s="764" t="str">
        <f>IFERROR(VLOOKUP(M822,'02. MM-KLH'!$B$6:$T$823,9,0),"")</f>
        <v/>
      </c>
      <c r="P822" s="353"/>
      <c r="Q822" s="353"/>
      <c r="R822" s="353"/>
      <c r="S822" s="353"/>
      <c r="T822" s="353"/>
      <c r="U822" s="353" t="str">
        <f>IFERROR(VLOOKUP(M822,'02. MM-KLH'!$B$6:$T$823,2,0),"")</f>
        <v/>
      </c>
      <c r="V822" s="731" t="str">
        <f>IFERROR(VLOOKUP(M822,'02. MM-KLH'!$B$6:$T$823,8,0),"")</f>
        <v/>
      </c>
      <c r="W822" s="353"/>
      <c r="X822" s="353"/>
      <c r="Y822" s="353"/>
      <c r="Z822" s="731" t="str">
        <f>IFERROR(VLOOKUP(M822,'02. MM-KLH'!$B$6:$T$823,3,0),"")</f>
        <v/>
      </c>
      <c r="AA822" s="353"/>
      <c r="AB822" s="731"/>
      <c r="AC822" s="731"/>
    </row>
    <row r="823" ht="13.8" spans="1:29">
      <c r="A823" s="731"/>
      <c r="B823" s="613" t="str">
        <f>IFERROR(VLOOKUP(M823,'02. MM-KLH'!$B$6:$T$823,6,0),"")</f>
        <v/>
      </c>
      <c r="C823" s="353"/>
      <c r="D823" s="353" t="str">
        <f>IFERROR(VLOOKUP(M823,'02. MM-KLH'!$B$6:$T$823,16,0),"")</f>
        <v/>
      </c>
      <c r="E823" s="353"/>
      <c r="F823" s="353"/>
      <c r="G823" s="353"/>
      <c r="H823" s="353" t="str">
        <f>IFERROR(VLOOKUP(M823,'02. MM-KLH'!$B$6:$T$823,17,0),"")</f>
        <v/>
      </c>
      <c r="I823" s="763" t="str">
        <f>IFERROR(VLOOKUP(M823,'02. MM-KLH'!$B$6:$U$823,20,0),"")</f>
        <v/>
      </c>
      <c r="J823" s="613" t="str">
        <f>IFERROR(VLOOKUP(M823,'02. MM-KLH'!$B$6:$T$823,19,0),"")</f>
        <v/>
      </c>
      <c r="K823" s="613" t="str">
        <f>IFERROR(VLOOKUP(M823,'02. MM-KLH'!$B$6:$T$823,18,0),"")</f>
        <v/>
      </c>
      <c r="L823" s="353" t="str">
        <f>IFERROR(VLOOKUP(M823,'02. MM-KLH'!$B$6:$T$823,4,0),"")</f>
        <v/>
      </c>
      <c r="M823" s="49"/>
      <c r="N823" s="356" t="str">
        <f>IFERROR(VLOOKUP(M823,'02. MM-KLH'!$B$6:$T$823,15,0),"")</f>
        <v/>
      </c>
      <c r="O823" s="764" t="str">
        <f>IFERROR(VLOOKUP(M823,'02. MM-KLH'!$B$6:$T$823,9,0),"")</f>
        <v/>
      </c>
      <c r="P823" s="353"/>
      <c r="Q823" s="353"/>
      <c r="R823" s="353"/>
      <c r="S823" s="353"/>
      <c r="T823" s="353"/>
      <c r="U823" s="353" t="str">
        <f>IFERROR(VLOOKUP(M823,'02. MM-KLH'!$B$6:$T$823,2,0),"")</f>
        <v/>
      </c>
      <c r="V823" s="731" t="str">
        <f>IFERROR(VLOOKUP(M823,'02. MM-KLH'!$B$6:$T$823,8,0),"")</f>
        <v/>
      </c>
      <c r="W823" s="353"/>
      <c r="X823" s="353"/>
      <c r="Y823" s="353"/>
      <c r="Z823" s="731" t="str">
        <f>IFERROR(VLOOKUP(M823,'02. MM-KLH'!$B$6:$T$823,3,0),"")</f>
        <v/>
      </c>
      <c r="AA823" s="353"/>
      <c r="AB823" s="731"/>
      <c r="AC823" s="731"/>
    </row>
    <row r="824" ht="13.8" spans="1:29">
      <c r="A824" s="731"/>
      <c r="B824" s="613" t="str">
        <f>IFERROR(VLOOKUP(M824,'02. MM-KLH'!$B$6:$T$823,6,0),"")</f>
        <v/>
      </c>
      <c r="C824" s="353"/>
      <c r="D824" s="353" t="str">
        <f>IFERROR(VLOOKUP(M824,'02. MM-KLH'!$B$6:$T$823,16,0),"")</f>
        <v/>
      </c>
      <c r="E824" s="353"/>
      <c r="F824" s="353"/>
      <c r="G824" s="353"/>
      <c r="H824" s="353" t="str">
        <f>IFERROR(VLOOKUP(M824,'02. MM-KLH'!$B$6:$T$823,17,0),"")</f>
        <v/>
      </c>
      <c r="I824" s="763" t="str">
        <f>IFERROR(VLOOKUP(M824,'02. MM-KLH'!$B$6:$U$823,20,0),"")</f>
        <v/>
      </c>
      <c r="J824" s="613" t="str">
        <f>IFERROR(VLOOKUP(M824,'02. MM-KLH'!$B$6:$T$823,19,0),"")</f>
        <v/>
      </c>
      <c r="K824" s="613" t="str">
        <f>IFERROR(VLOOKUP(M824,'02. MM-KLH'!$B$6:$T$823,18,0),"")</f>
        <v/>
      </c>
      <c r="L824" s="353" t="str">
        <f>IFERROR(VLOOKUP(M824,'02. MM-KLH'!$B$6:$T$823,4,0),"")</f>
        <v/>
      </c>
      <c r="M824" s="49"/>
      <c r="N824" s="356" t="str">
        <f>IFERROR(VLOOKUP(M824,'02. MM-KLH'!$B$6:$T$823,15,0),"")</f>
        <v/>
      </c>
      <c r="O824" s="764" t="str">
        <f>IFERROR(VLOOKUP(M824,'02. MM-KLH'!$B$6:$T$823,9,0),"")</f>
        <v/>
      </c>
      <c r="P824" s="353"/>
      <c r="Q824" s="353"/>
      <c r="R824" s="353"/>
      <c r="S824" s="353"/>
      <c r="T824" s="353"/>
      <c r="U824" s="353" t="str">
        <f>IFERROR(VLOOKUP(M824,'02. MM-KLH'!$B$6:$T$823,2,0),"")</f>
        <v/>
      </c>
      <c r="V824" s="731" t="str">
        <f>IFERROR(VLOOKUP(M824,'02. MM-KLH'!$B$6:$T$823,8,0),"")</f>
        <v/>
      </c>
      <c r="W824" s="353"/>
      <c r="X824" s="353"/>
      <c r="Y824" s="353"/>
      <c r="Z824" s="731" t="str">
        <f>IFERROR(VLOOKUP(M824,'02. MM-KLH'!$B$6:$T$823,3,0),"")</f>
        <v/>
      </c>
      <c r="AA824" s="353"/>
      <c r="AB824" s="731"/>
      <c r="AC824" s="731"/>
    </row>
    <row r="825" ht="13.8" spans="1:29">
      <c r="A825" s="731"/>
      <c r="B825" s="613" t="str">
        <f>IFERROR(VLOOKUP(M825,'02. MM-KLH'!$B$6:$T$823,6,0),"")</f>
        <v/>
      </c>
      <c r="C825" s="353"/>
      <c r="D825" s="353" t="str">
        <f>IFERROR(VLOOKUP(M825,'02. MM-KLH'!$B$6:$T$823,16,0),"")</f>
        <v/>
      </c>
      <c r="E825" s="353"/>
      <c r="F825" s="353"/>
      <c r="G825" s="353"/>
      <c r="H825" s="353" t="str">
        <f>IFERROR(VLOOKUP(M825,'02. MM-KLH'!$B$6:$T$823,17,0),"")</f>
        <v/>
      </c>
      <c r="I825" s="763" t="str">
        <f>IFERROR(VLOOKUP(M825,'02. MM-KLH'!$B$6:$U$823,20,0),"")</f>
        <v/>
      </c>
      <c r="J825" s="613" t="str">
        <f>IFERROR(VLOOKUP(M825,'02. MM-KLH'!$B$6:$T$823,19,0),"")</f>
        <v/>
      </c>
      <c r="K825" s="613" t="str">
        <f>IFERROR(VLOOKUP(M825,'02. MM-KLH'!$B$6:$T$823,18,0),"")</f>
        <v/>
      </c>
      <c r="L825" s="353" t="str">
        <f>IFERROR(VLOOKUP(M825,'02. MM-KLH'!$B$6:$T$823,4,0),"")</f>
        <v/>
      </c>
      <c r="M825" s="49"/>
      <c r="N825" s="356" t="str">
        <f>IFERROR(VLOOKUP(M825,'02. MM-KLH'!$B$6:$T$823,15,0),"")</f>
        <v/>
      </c>
      <c r="O825" s="764" t="str">
        <f>IFERROR(VLOOKUP(M825,'02. MM-KLH'!$B$6:$T$823,9,0),"")</f>
        <v/>
      </c>
      <c r="P825" s="353"/>
      <c r="Q825" s="353"/>
      <c r="R825" s="353"/>
      <c r="S825" s="353"/>
      <c r="T825" s="353"/>
      <c r="U825" s="353" t="str">
        <f>IFERROR(VLOOKUP(M825,'02. MM-KLH'!$B$6:$T$823,2,0),"")</f>
        <v/>
      </c>
      <c r="V825" s="731" t="str">
        <f>IFERROR(VLOOKUP(M825,'02. MM-KLH'!$B$6:$T$823,8,0),"")</f>
        <v/>
      </c>
      <c r="W825" s="353"/>
      <c r="X825" s="353"/>
      <c r="Y825" s="353"/>
      <c r="Z825" s="731" t="str">
        <f>IFERROR(VLOOKUP(M825,'02. MM-KLH'!$B$6:$T$823,3,0),"")</f>
        <v/>
      </c>
      <c r="AA825" s="353"/>
      <c r="AB825" s="731"/>
      <c r="AC825" s="731"/>
    </row>
    <row r="826" ht="13.8" spans="1:29">
      <c r="A826" s="731"/>
      <c r="B826" s="613" t="str">
        <f>IFERROR(VLOOKUP(M826,'02. MM-KLH'!$B$6:$T$823,6,0),"")</f>
        <v/>
      </c>
      <c r="C826" s="353"/>
      <c r="D826" s="353" t="str">
        <f>IFERROR(VLOOKUP(M826,'02. MM-KLH'!$B$6:$T$823,16,0),"")</f>
        <v/>
      </c>
      <c r="E826" s="353"/>
      <c r="F826" s="353"/>
      <c r="G826" s="353"/>
      <c r="H826" s="353" t="str">
        <f>IFERROR(VLOOKUP(M826,'02. MM-KLH'!$B$6:$T$823,17,0),"")</f>
        <v/>
      </c>
      <c r="I826" s="763" t="str">
        <f>IFERROR(VLOOKUP(M826,'02. MM-KLH'!$B$6:$U$823,20,0),"")</f>
        <v/>
      </c>
      <c r="J826" s="613" t="str">
        <f>IFERROR(VLOOKUP(M826,'02. MM-KLH'!$B$6:$T$823,19,0),"")</f>
        <v/>
      </c>
      <c r="K826" s="613" t="str">
        <f>IFERROR(VLOOKUP(M826,'02. MM-KLH'!$B$6:$T$823,18,0),"")</f>
        <v/>
      </c>
      <c r="L826" s="353" t="str">
        <f>IFERROR(VLOOKUP(M826,'02. MM-KLH'!$B$6:$T$823,4,0),"")</f>
        <v/>
      </c>
      <c r="M826" s="49"/>
      <c r="N826" s="356" t="str">
        <f>IFERROR(VLOOKUP(M826,'02. MM-KLH'!$B$6:$T$823,15,0),"")</f>
        <v/>
      </c>
      <c r="O826" s="764" t="str">
        <f>IFERROR(VLOOKUP(M826,'02. MM-KLH'!$B$6:$T$823,9,0),"")</f>
        <v/>
      </c>
      <c r="P826" s="353"/>
      <c r="Q826" s="353"/>
      <c r="R826" s="353"/>
      <c r="S826" s="353"/>
      <c r="T826" s="353"/>
      <c r="U826" s="353" t="str">
        <f>IFERROR(VLOOKUP(M826,'02. MM-KLH'!$B$6:$T$823,2,0),"")</f>
        <v/>
      </c>
      <c r="V826" s="731" t="str">
        <f>IFERROR(VLOOKUP(M826,'02. MM-KLH'!$B$6:$T$823,8,0),"")</f>
        <v/>
      </c>
      <c r="W826" s="353"/>
      <c r="X826" s="353"/>
      <c r="Y826" s="353"/>
      <c r="Z826" s="731" t="str">
        <f>IFERROR(VLOOKUP(M826,'02. MM-KLH'!$B$6:$T$823,3,0),"")</f>
        <v/>
      </c>
      <c r="AA826" s="353"/>
      <c r="AB826" s="731"/>
      <c r="AC826" s="731"/>
    </row>
    <row r="827" ht="13.8" spans="1:29">
      <c r="A827" s="731"/>
      <c r="B827" s="613" t="str">
        <f>IFERROR(VLOOKUP(M827,'02. MM-KLH'!$B$6:$T$823,6,0),"")</f>
        <v/>
      </c>
      <c r="C827" s="353"/>
      <c r="D827" s="353" t="str">
        <f>IFERROR(VLOOKUP(M827,'02. MM-KLH'!$B$6:$T$823,16,0),"")</f>
        <v/>
      </c>
      <c r="E827" s="353"/>
      <c r="F827" s="353"/>
      <c r="G827" s="353"/>
      <c r="H827" s="353" t="str">
        <f>IFERROR(VLOOKUP(M827,'02. MM-KLH'!$B$6:$T$823,17,0),"")</f>
        <v/>
      </c>
      <c r="I827" s="763" t="str">
        <f>IFERROR(VLOOKUP(M827,'02. MM-KLH'!$B$6:$U$823,20,0),"")</f>
        <v/>
      </c>
      <c r="J827" s="613" t="str">
        <f>IFERROR(VLOOKUP(M827,'02. MM-KLH'!$B$6:$T$823,19,0),"")</f>
        <v/>
      </c>
      <c r="K827" s="613" t="str">
        <f>IFERROR(VLOOKUP(M827,'02. MM-KLH'!$B$6:$T$823,18,0),"")</f>
        <v/>
      </c>
      <c r="L827" s="353" t="str">
        <f>IFERROR(VLOOKUP(M827,'02. MM-KLH'!$B$6:$T$823,4,0),"")</f>
        <v/>
      </c>
      <c r="M827" s="49"/>
      <c r="N827" s="356" t="str">
        <f>IFERROR(VLOOKUP(M827,'02. MM-KLH'!$B$6:$T$823,15,0),"")</f>
        <v/>
      </c>
      <c r="O827" s="764" t="str">
        <f>IFERROR(VLOOKUP(M827,'02. MM-KLH'!$B$6:$T$823,9,0),"")</f>
        <v/>
      </c>
      <c r="P827" s="353"/>
      <c r="Q827" s="353"/>
      <c r="R827" s="353"/>
      <c r="S827" s="353"/>
      <c r="T827" s="353"/>
      <c r="U827" s="353" t="str">
        <f>IFERROR(VLOOKUP(M827,'02. MM-KLH'!$B$6:$T$823,2,0),"")</f>
        <v/>
      </c>
      <c r="V827" s="731" t="str">
        <f>IFERROR(VLOOKUP(M827,'02. MM-KLH'!$B$6:$T$823,8,0),"")</f>
        <v/>
      </c>
      <c r="W827" s="353"/>
      <c r="X827" s="353"/>
      <c r="Y827" s="353"/>
      <c r="Z827" s="731" t="str">
        <f>IFERROR(VLOOKUP(M827,'02. MM-KLH'!$B$6:$T$823,3,0),"")</f>
        <v/>
      </c>
      <c r="AA827" s="353"/>
      <c r="AB827" s="731"/>
      <c r="AC827" s="731"/>
    </row>
    <row r="828" ht="13.8" spans="1:29">
      <c r="A828" s="731"/>
      <c r="B828" s="613" t="str">
        <f>IFERROR(VLOOKUP(M828,'02. MM-KLH'!$B$6:$T$823,6,0),"")</f>
        <v/>
      </c>
      <c r="C828" s="353"/>
      <c r="D828" s="353" t="str">
        <f>IFERROR(VLOOKUP(M828,'02. MM-KLH'!$B$6:$T$823,16,0),"")</f>
        <v/>
      </c>
      <c r="E828" s="353"/>
      <c r="F828" s="353"/>
      <c r="G828" s="353"/>
      <c r="H828" s="353" t="str">
        <f>IFERROR(VLOOKUP(M828,'02. MM-KLH'!$B$6:$T$823,17,0),"")</f>
        <v/>
      </c>
      <c r="I828" s="763" t="str">
        <f>IFERROR(VLOOKUP(M828,'02. MM-KLH'!$B$6:$U$823,20,0),"")</f>
        <v/>
      </c>
      <c r="J828" s="613" t="str">
        <f>IFERROR(VLOOKUP(M828,'02. MM-KLH'!$B$6:$T$823,19,0),"")</f>
        <v/>
      </c>
      <c r="K828" s="613" t="str">
        <f>IFERROR(VLOOKUP(M828,'02. MM-KLH'!$B$6:$T$823,18,0),"")</f>
        <v/>
      </c>
      <c r="L828" s="353" t="str">
        <f>IFERROR(VLOOKUP(M828,'02. MM-KLH'!$B$6:$T$823,4,0),"")</f>
        <v/>
      </c>
      <c r="M828" s="49"/>
      <c r="N828" s="356" t="str">
        <f>IFERROR(VLOOKUP(M828,'02. MM-KLH'!$B$6:$T$823,15,0),"")</f>
        <v/>
      </c>
      <c r="O828" s="764" t="str">
        <f>IFERROR(VLOOKUP(M828,'02. MM-KLH'!$B$6:$T$823,9,0),"")</f>
        <v/>
      </c>
      <c r="P828" s="353"/>
      <c r="Q828" s="353"/>
      <c r="R828" s="353"/>
      <c r="S828" s="353"/>
      <c r="T828" s="353"/>
      <c r="U828" s="353" t="str">
        <f>IFERROR(VLOOKUP(M828,'02. MM-KLH'!$B$6:$T$823,2,0),"")</f>
        <v/>
      </c>
      <c r="V828" s="731" t="str">
        <f>IFERROR(VLOOKUP(M828,'02. MM-KLH'!$B$6:$T$823,8,0),"")</f>
        <v/>
      </c>
      <c r="W828" s="353"/>
      <c r="X828" s="353"/>
      <c r="Y828" s="353"/>
      <c r="Z828" s="731" t="str">
        <f>IFERROR(VLOOKUP(M828,'02. MM-KLH'!$B$6:$T$823,3,0),"")</f>
        <v/>
      </c>
      <c r="AA828" s="353"/>
      <c r="AB828" s="731"/>
      <c r="AC828" s="731"/>
    </row>
    <row r="829" ht="13.8" spans="1:29">
      <c r="A829" s="731"/>
      <c r="B829" s="613" t="str">
        <f>IFERROR(VLOOKUP(M829,'02. MM-KLH'!$B$6:$T$823,6,0),"")</f>
        <v/>
      </c>
      <c r="C829" s="353"/>
      <c r="D829" s="353" t="str">
        <f>IFERROR(VLOOKUP(M829,'02. MM-KLH'!$B$6:$T$823,16,0),"")</f>
        <v/>
      </c>
      <c r="E829" s="353"/>
      <c r="F829" s="353"/>
      <c r="G829" s="353"/>
      <c r="H829" s="353" t="str">
        <f>IFERROR(VLOOKUP(M829,'02. MM-KLH'!$B$6:$T$823,17,0),"")</f>
        <v/>
      </c>
      <c r="I829" s="763" t="str">
        <f>IFERROR(VLOOKUP(M829,'02. MM-KLH'!$B$6:$U$823,20,0),"")</f>
        <v/>
      </c>
      <c r="J829" s="613" t="str">
        <f>IFERROR(VLOOKUP(M829,'02. MM-KLH'!$B$6:$T$823,19,0),"")</f>
        <v/>
      </c>
      <c r="K829" s="613" t="str">
        <f>IFERROR(VLOOKUP(M829,'02. MM-KLH'!$B$6:$T$823,18,0),"")</f>
        <v/>
      </c>
      <c r="L829" s="353" t="str">
        <f>IFERROR(VLOOKUP(M829,'02. MM-KLH'!$B$6:$T$823,4,0),"")</f>
        <v/>
      </c>
      <c r="M829" s="49"/>
      <c r="N829" s="356" t="str">
        <f>IFERROR(VLOOKUP(M829,'02. MM-KLH'!$B$6:$T$823,15,0),"")</f>
        <v/>
      </c>
      <c r="O829" s="764" t="str">
        <f>IFERROR(VLOOKUP(M829,'02. MM-KLH'!$B$6:$T$823,9,0),"")</f>
        <v/>
      </c>
      <c r="P829" s="353"/>
      <c r="Q829" s="353"/>
      <c r="R829" s="353"/>
      <c r="S829" s="353"/>
      <c r="T829" s="353"/>
      <c r="U829" s="353" t="str">
        <f>IFERROR(VLOOKUP(M829,'02. MM-KLH'!$B$6:$T$823,2,0),"")</f>
        <v/>
      </c>
      <c r="V829" s="731" t="str">
        <f>IFERROR(VLOOKUP(M829,'02. MM-KLH'!$B$6:$T$823,8,0),"")</f>
        <v/>
      </c>
      <c r="W829" s="353"/>
      <c r="X829" s="353"/>
      <c r="Y829" s="353"/>
      <c r="Z829" s="731" t="str">
        <f>IFERROR(VLOOKUP(M829,'02. MM-KLH'!$B$6:$T$823,3,0),"")</f>
        <v/>
      </c>
      <c r="AA829" s="353"/>
      <c r="AB829" s="731"/>
      <c r="AC829" s="731"/>
    </row>
    <row r="830" ht="13.8" spans="1:29">
      <c r="A830" s="731"/>
      <c r="B830" s="613" t="str">
        <f>IFERROR(VLOOKUP(M830,'02. MM-KLH'!$B$6:$T$823,6,0),"")</f>
        <v/>
      </c>
      <c r="C830" s="353"/>
      <c r="D830" s="353" t="str">
        <f>IFERROR(VLOOKUP(M830,'02. MM-KLH'!$B$6:$T$823,16,0),"")</f>
        <v/>
      </c>
      <c r="E830" s="353"/>
      <c r="F830" s="353"/>
      <c r="G830" s="353"/>
      <c r="H830" s="353" t="str">
        <f>IFERROR(VLOOKUP(M830,'02. MM-KLH'!$B$6:$T$823,17,0),"")</f>
        <v/>
      </c>
      <c r="I830" s="763" t="str">
        <f>IFERROR(VLOOKUP(M830,'02. MM-KLH'!$B$6:$U$823,20,0),"")</f>
        <v/>
      </c>
      <c r="J830" s="613" t="str">
        <f>IFERROR(VLOOKUP(M830,'02. MM-KLH'!$B$6:$T$823,19,0),"")</f>
        <v/>
      </c>
      <c r="K830" s="613" t="str">
        <f>IFERROR(VLOOKUP(M830,'02. MM-KLH'!$B$6:$T$823,18,0),"")</f>
        <v/>
      </c>
      <c r="L830" s="353" t="str">
        <f>IFERROR(VLOOKUP(M830,'02. MM-KLH'!$B$6:$T$823,4,0),"")</f>
        <v/>
      </c>
      <c r="M830" s="49"/>
      <c r="N830" s="356" t="str">
        <f>IFERROR(VLOOKUP(M830,'02. MM-KLH'!$B$6:$T$823,15,0),"")</f>
        <v/>
      </c>
      <c r="O830" s="764" t="str">
        <f>IFERROR(VLOOKUP(M830,'02. MM-KLH'!$B$6:$T$823,9,0),"")</f>
        <v/>
      </c>
      <c r="P830" s="353"/>
      <c r="Q830" s="353"/>
      <c r="R830" s="353"/>
      <c r="S830" s="353"/>
      <c r="T830" s="353"/>
      <c r="U830" s="353" t="str">
        <f>IFERROR(VLOOKUP(M830,'02. MM-KLH'!$B$6:$T$823,2,0),"")</f>
        <v/>
      </c>
      <c r="V830" s="731" t="str">
        <f>IFERROR(VLOOKUP(M830,'02. MM-KLH'!$B$6:$T$823,8,0),"")</f>
        <v/>
      </c>
      <c r="W830" s="353"/>
      <c r="X830" s="353"/>
      <c r="Y830" s="353"/>
      <c r="Z830" s="731" t="str">
        <f>IFERROR(VLOOKUP(M830,'02. MM-KLH'!$B$6:$T$823,3,0),"")</f>
        <v/>
      </c>
      <c r="AA830" s="353"/>
      <c r="AB830" s="731"/>
      <c r="AC830" s="731"/>
    </row>
    <row r="831" ht="13.8" spans="1:29">
      <c r="A831" s="731"/>
      <c r="B831" s="613" t="str">
        <f>IFERROR(VLOOKUP(M831,'02. MM-KLH'!$B$6:$T$823,6,0),"")</f>
        <v/>
      </c>
      <c r="C831" s="353"/>
      <c r="D831" s="353" t="str">
        <f>IFERROR(VLOOKUP(M831,'02. MM-KLH'!$B$6:$T$823,16,0),"")</f>
        <v/>
      </c>
      <c r="E831" s="353"/>
      <c r="F831" s="353"/>
      <c r="G831" s="353"/>
      <c r="H831" s="353" t="str">
        <f>IFERROR(VLOOKUP(M831,'02. MM-KLH'!$B$6:$T$823,17,0),"")</f>
        <v/>
      </c>
      <c r="I831" s="763" t="str">
        <f>IFERROR(VLOOKUP(M831,'02. MM-KLH'!$B$6:$U$823,20,0),"")</f>
        <v/>
      </c>
      <c r="J831" s="613" t="str">
        <f>IFERROR(VLOOKUP(M831,'02. MM-KLH'!$B$6:$T$823,19,0),"")</f>
        <v/>
      </c>
      <c r="K831" s="613" t="str">
        <f>IFERROR(VLOOKUP(M831,'02. MM-KLH'!$B$6:$T$823,18,0),"")</f>
        <v/>
      </c>
      <c r="L831" s="353" t="str">
        <f>IFERROR(VLOOKUP(M831,'02. MM-KLH'!$B$6:$T$823,4,0),"")</f>
        <v/>
      </c>
      <c r="M831" s="49"/>
      <c r="N831" s="356" t="str">
        <f>IFERROR(VLOOKUP(M831,'02. MM-KLH'!$B$6:$T$823,15,0),"")</f>
        <v/>
      </c>
      <c r="O831" s="764" t="str">
        <f>IFERROR(VLOOKUP(M831,'02. MM-KLH'!$B$6:$T$823,9,0),"")</f>
        <v/>
      </c>
      <c r="P831" s="353"/>
      <c r="Q831" s="353"/>
      <c r="R831" s="353"/>
      <c r="S831" s="353"/>
      <c r="T831" s="353"/>
      <c r="U831" s="353" t="str">
        <f>IFERROR(VLOOKUP(M831,'02. MM-KLH'!$B$6:$T$823,2,0),"")</f>
        <v/>
      </c>
      <c r="V831" s="731" t="str">
        <f>IFERROR(VLOOKUP(M831,'02. MM-KLH'!$B$6:$T$823,8,0),"")</f>
        <v/>
      </c>
      <c r="W831" s="353"/>
      <c r="X831" s="353"/>
      <c r="Y831" s="353"/>
      <c r="Z831" s="731" t="str">
        <f>IFERROR(VLOOKUP(M831,'02. MM-KLH'!$B$6:$T$823,3,0),"")</f>
        <v/>
      </c>
      <c r="AA831" s="353"/>
      <c r="AB831" s="731"/>
      <c r="AC831" s="731"/>
    </row>
    <row r="832" ht="13.8" spans="1:29">
      <c r="A832" s="731"/>
      <c r="B832" s="613" t="str">
        <f>IFERROR(VLOOKUP(M832,'02. MM-KLH'!$B$6:$T$823,6,0),"")</f>
        <v/>
      </c>
      <c r="C832" s="353"/>
      <c r="D832" s="353" t="str">
        <f>IFERROR(VLOOKUP(M832,'02. MM-KLH'!$B$6:$T$823,16,0),"")</f>
        <v/>
      </c>
      <c r="E832" s="353"/>
      <c r="F832" s="353"/>
      <c r="G832" s="353"/>
      <c r="H832" s="353" t="str">
        <f>IFERROR(VLOOKUP(M832,'02. MM-KLH'!$B$6:$T$823,17,0),"")</f>
        <v/>
      </c>
      <c r="I832" s="763" t="str">
        <f>IFERROR(VLOOKUP(M832,'02. MM-KLH'!$B$6:$U$823,20,0),"")</f>
        <v/>
      </c>
      <c r="J832" s="613" t="str">
        <f>IFERROR(VLOOKUP(M832,'02. MM-KLH'!$B$6:$T$823,19,0),"")</f>
        <v/>
      </c>
      <c r="K832" s="613" t="str">
        <f>IFERROR(VLOOKUP(M832,'02. MM-KLH'!$B$6:$T$823,18,0),"")</f>
        <v/>
      </c>
      <c r="L832" s="353" t="str">
        <f>IFERROR(VLOOKUP(M832,'02. MM-KLH'!$B$6:$T$823,4,0),"")</f>
        <v/>
      </c>
      <c r="M832" s="49"/>
      <c r="N832" s="356" t="str">
        <f>IFERROR(VLOOKUP(M832,'02. MM-KLH'!$B$6:$T$823,15,0),"")</f>
        <v/>
      </c>
      <c r="O832" s="764" t="str">
        <f>IFERROR(VLOOKUP(M832,'02. MM-KLH'!$B$6:$T$823,9,0),"")</f>
        <v/>
      </c>
      <c r="P832" s="353"/>
      <c r="Q832" s="353"/>
      <c r="R832" s="353"/>
      <c r="S832" s="353"/>
      <c r="T832" s="353"/>
      <c r="U832" s="353" t="str">
        <f>IFERROR(VLOOKUP(M832,'02. MM-KLH'!$B$6:$T$823,2,0),"")</f>
        <v/>
      </c>
      <c r="V832" s="731" t="str">
        <f>IFERROR(VLOOKUP(M832,'02. MM-KLH'!$B$6:$T$823,8,0),"")</f>
        <v/>
      </c>
      <c r="W832" s="353"/>
      <c r="X832" s="353"/>
      <c r="Y832" s="353"/>
      <c r="Z832" s="731" t="str">
        <f>IFERROR(VLOOKUP(M832,'02. MM-KLH'!$B$6:$T$823,3,0),"")</f>
        <v/>
      </c>
      <c r="AA832" s="353"/>
      <c r="AB832" s="731"/>
      <c r="AC832" s="731"/>
    </row>
    <row r="833" ht="13.8" spans="1:29">
      <c r="A833" s="731"/>
      <c r="B833" s="613" t="str">
        <f>IFERROR(VLOOKUP(M833,'02. MM-KLH'!$B$6:$T$823,6,0),"")</f>
        <v/>
      </c>
      <c r="C833" s="353"/>
      <c r="D833" s="353" t="str">
        <f>IFERROR(VLOOKUP(M833,'02. MM-KLH'!$B$6:$T$823,16,0),"")</f>
        <v/>
      </c>
      <c r="E833" s="353"/>
      <c r="F833" s="353"/>
      <c r="G833" s="353"/>
      <c r="H833" s="353" t="str">
        <f>IFERROR(VLOOKUP(M833,'02. MM-KLH'!$B$6:$T$823,17,0),"")</f>
        <v/>
      </c>
      <c r="I833" s="763" t="str">
        <f>IFERROR(VLOOKUP(M833,'02. MM-KLH'!$B$6:$U$823,20,0),"")</f>
        <v/>
      </c>
      <c r="J833" s="613" t="str">
        <f>IFERROR(VLOOKUP(M833,'02. MM-KLH'!$B$6:$T$823,19,0),"")</f>
        <v/>
      </c>
      <c r="K833" s="613" t="str">
        <f>IFERROR(VLOOKUP(M833,'02. MM-KLH'!$B$6:$T$823,18,0),"")</f>
        <v/>
      </c>
      <c r="L833" s="353" t="str">
        <f>IFERROR(VLOOKUP(M833,'02. MM-KLH'!$B$6:$T$823,4,0),"")</f>
        <v/>
      </c>
      <c r="M833" s="49"/>
      <c r="N833" s="356" t="str">
        <f>IFERROR(VLOOKUP(M833,'02. MM-KLH'!$B$6:$T$823,15,0),"")</f>
        <v/>
      </c>
      <c r="O833" s="764" t="str">
        <f>IFERROR(VLOOKUP(M833,'02. MM-KLH'!$B$6:$T$823,9,0),"")</f>
        <v/>
      </c>
      <c r="P833" s="353"/>
      <c r="Q833" s="353"/>
      <c r="R833" s="353"/>
      <c r="S833" s="353"/>
      <c r="T833" s="353"/>
      <c r="U833" s="353" t="str">
        <f>IFERROR(VLOOKUP(M833,'02. MM-KLH'!$B$6:$T$823,2,0),"")</f>
        <v/>
      </c>
      <c r="V833" s="731" t="str">
        <f>IFERROR(VLOOKUP(M833,'02. MM-KLH'!$B$6:$T$823,8,0),"")</f>
        <v/>
      </c>
      <c r="W833" s="353"/>
      <c r="X833" s="353"/>
      <c r="Y833" s="353"/>
      <c r="Z833" s="731" t="str">
        <f>IFERROR(VLOOKUP(M833,'02. MM-KLH'!$B$6:$T$823,3,0),"")</f>
        <v/>
      </c>
      <c r="AA833" s="353"/>
      <c r="AB833" s="731"/>
      <c r="AC833" s="731"/>
    </row>
    <row r="834" ht="13.8" spans="1:29">
      <c r="A834" s="731"/>
      <c r="B834" s="613" t="str">
        <f>IFERROR(VLOOKUP(M834,'02. MM-KLH'!$B$6:$T$823,6,0),"")</f>
        <v/>
      </c>
      <c r="C834" s="353"/>
      <c r="D834" s="353" t="str">
        <f>IFERROR(VLOOKUP(M834,'02. MM-KLH'!$B$6:$T$823,16,0),"")</f>
        <v/>
      </c>
      <c r="E834" s="353"/>
      <c r="F834" s="353"/>
      <c r="G834" s="353"/>
      <c r="H834" s="353" t="str">
        <f>IFERROR(VLOOKUP(M834,'02. MM-KLH'!$B$6:$T$823,17,0),"")</f>
        <v/>
      </c>
      <c r="I834" s="763" t="str">
        <f>IFERROR(VLOOKUP(M834,'02. MM-KLH'!$B$6:$U$823,20,0),"")</f>
        <v/>
      </c>
      <c r="J834" s="613" t="str">
        <f>IFERROR(VLOOKUP(M834,'02. MM-KLH'!$B$6:$T$823,19,0),"")</f>
        <v/>
      </c>
      <c r="K834" s="613" t="str">
        <f>IFERROR(VLOOKUP(M834,'02. MM-KLH'!$B$6:$T$823,18,0),"")</f>
        <v/>
      </c>
      <c r="L834" s="353" t="str">
        <f>IFERROR(VLOOKUP(M834,'02. MM-KLH'!$B$6:$T$823,4,0),"")</f>
        <v/>
      </c>
      <c r="M834" s="49"/>
      <c r="N834" s="356" t="str">
        <f>IFERROR(VLOOKUP(M834,'02. MM-KLH'!$B$6:$T$823,15,0),"")</f>
        <v/>
      </c>
      <c r="O834" s="764" t="str">
        <f>IFERROR(VLOOKUP(M834,'02. MM-KLH'!$B$6:$T$823,9,0),"")</f>
        <v/>
      </c>
      <c r="P834" s="353"/>
      <c r="Q834" s="353"/>
      <c r="R834" s="353"/>
      <c r="S834" s="353"/>
      <c r="T834" s="353"/>
      <c r="U834" s="353" t="str">
        <f>IFERROR(VLOOKUP(M834,'02. MM-KLH'!$B$6:$T$823,2,0),"")</f>
        <v/>
      </c>
      <c r="V834" s="731" t="str">
        <f>IFERROR(VLOOKUP(M834,'02. MM-KLH'!$B$6:$T$823,8,0),"")</f>
        <v/>
      </c>
      <c r="W834" s="353"/>
      <c r="X834" s="353"/>
      <c r="Y834" s="353"/>
      <c r="Z834" s="731" t="str">
        <f>IFERROR(VLOOKUP(M834,'02. MM-KLH'!$B$6:$T$823,3,0),"")</f>
        <v/>
      </c>
      <c r="AA834" s="353"/>
      <c r="AB834" s="731"/>
      <c r="AC834" s="731"/>
    </row>
    <row r="835" ht="13.8" spans="1:29">
      <c r="A835" s="731"/>
      <c r="B835" s="613" t="str">
        <f>IFERROR(VLOOKUP(M835,'02. MM-KLH'!$B$6:$T$823,6,0),"")</f>
        <v/>
      </c>
      <c r="C835" s="353"/>
      <c r="D835" s="353" t="str">
        <f>IFERROR(VLOOKUP(M835,'02. MM-KLH'!$B$6:$T$823,16,0),"")</f>
        <v/>
      </c>
      <c r="E835" s="353"/>
      <c r="F835" s="353"/>
      <c r="G835" s="353"/>
      <c r="H835" s="353" t="str">
        <f>IFERROR(VLOOKUP(M835,'02. MM-KLH'!$B$6:$T$823,17,0),"")</f>
        <v/>
      </c>
      <c r="I835" s="763" t="str">
        <f>IFERROR(VLOOKUP(M835,'02. MM-KLH'!$B$6:$U$823,20,0),"")</f>
        <v/>
      </c>
      <c r="J835" s="613" t="str">
        <f>IFERROR(VLOOKUP(M835,'02. MM-KLH'!$B$6:$T$823,19,0),"")</f>
        <v/>
      </c>
      <c r="K835" s="613" t="str">
        <f>IFERROR(VLOOKUP(M835,'02. MM-KLH'!$B$6:$T$823,18,0),"")</f>
        <v/>
      </c>
      <c r="L835" s="353" t="str">
        <f>IFERROR(VLOOKUP(M835,'02. MM-KLH'!$B$6:$T$823,4,0),"")</f>
        <v/>
      </c>
      <c r="M835" s="49"/>
      <c r="N835" s="356" t="str">
        <f>IFERROR(VLOOKUP(M835,'02. MM-KLH'!$B$6:$T$823,15,0),"")</f>
        <v/>
      </c>
      <c r="O835" s="764" t="str">
        <f>IFERROR(VLOOKUP(M835,'02. MM-KLH'!$B$6:$T$823,9,0),"")</f>
        <v/>
      </c>
      <c r="P835" s="353"/>
      <c r="Q835" s="353"/>
      <c r="R835" s="353"/>
      <c r="S835" s="353"/>
      <c r="T835" s="353"/>
      <c r="U835" s="353" t="str">
        <f>IFERROR(VLOOKUP(M835,'02. MM-KLH'!$B$6:$T$823,2,0),"")</f>
        <v/>
      </c>
      <c r="V835" s="731" t="str">
        <f>IFERROR(VLOOKUP(M835,'02. MM-KLH'!$B$6:$T$823,8,0),"")</f>
        <v/>
      </c>
      <c r="W835" s="353"/>
      <c r="X835" s="353"/>
      <c r="Y835" s="353"/>
      <c r="Z835" s="731" t="str">
        <f>IFERROR(VLOOKUP(M835,'02. MM-KLH'!$B$6:$T$823,3,0),"")</f>
        <v/>
      </c>
      <c r="AA835" s="353"/>
      <c r="AB835" s="731"/>
      <c r="AC835" s="731"/>
    </row>
    <row r="836" ht="13.8" spans="1:29">
      <c r="A836" s="731"/>
      <c r="B836" s="613" t="str">
        <f>IFERROR(VLOOKUP(M836,'02. MM-KLH'!$B$6:$T$823,6,0),"")</f>
        <v/>
      </c>
      <c r="C836" s="353"/>
      <c r="D836" s="353" t="str">
        <f>IFERROR(VLOOKUP(M836,'02. MM-KLH'!$B$6:$T$823,16,0),"")</f>
        <v/>
      </c>
      <c r="E836" s="353"/>
      <c r="F836" s="353"/>
      <c r="G836" s="353"/>
      <c r="H836" s="353" t="str">
        <f>IFERROR(VLOOKUP(M836,'02. MM-KLH'!$B$6:$T$823,17,0),"")</f>
        <v/>
      </c>
      <c r="I836" s="763" t="str">
        <f>IFERROR(VLOOKUP(M836,'02. MM-KLH'!$B$6:$U$823,20,0),"")</f>
        <v/>
      </c>
      <c r="J836" s="613" t="str">
        <f>IFERROR(VLOOKUP(M836,'02. MM-KLH'!$B$6:$T$823,19,0),"")</f>
        <v/>
      </c>
      <c r="K836" s="613" t="str">
        <f>IFERROR(VLOOKUP(M836,'02. MM-KLH'!$B$6:$T$823,18,0),"")</f>
        <v/>
      </c>
      <c r="L836" s="353" t="str">
        <f>IFERROR(VLOOKUP(M836,'02. MM-KLH'!$B$6:$T$823,4,0),"")</f>
        <v/>
      </c>
      <c r="M836" s="49"/>
      <c r="N836" s="356" t="str">
        <f>IFERROR(VLOOKUP(M836,'02. MM-KLH'!$B$6:$T$823,15,0),"")</f>
        <v/>
      </c>
      <c r="O836" s="764" t="str">
        <f>IFERROR(VLOOKUP(M836,'02. MM-KLH'!$B$6:$T$823,9,0),"")</f>
        <v/>
      </c>
      <c r="P836" s="353"/>
      <c r="Q836" s="353"/>
      <c r="R836" s="353"/>
      <c r="S836" s="353"/>
      <c r="T836" s="353"/>
      <c r="U836" s="353" t="str">
        <f>IFERROR(VLOOKUP(M836,'02. MM-KLH'!$B$6:$T$823,2,0),"")</f>
        <v/>
      </c>
      <c r="V836" s="731" t="str">
        <f>IFERROR(VLOOKUP(M836,'02. MM-KLH'!$B$6:$T$823,8,0),"")</f>
        <v/>
      </c>
      <c r="W836" s="353"/>
      <c r="X836" s="353"/>
      <c r="Y836" s="353"/>
      <c r="Z836" s="731" t="str">
        <f>IFERROR(VLOOKUP(M836,'02. MM-KLH'!$B$6:$T$823,3,0),"")</f>
        <v/>
      </c>
      <c r="AA836" s="353"/>
      <c r="AB836" s="731"/>
      <c r="AC836" s="731"/>
    </row>
    <row r="837" ht="13.8" spans="1:29">
      <c r="A837" s="731"/>
      <c r="B837" s="613" t="str">
        <f>IFERROR(VLOOKUP(M837,'02. MM-KLH'!$B$6:$T$823,6,0),"")</f>
        <v/>
      </c>
      <c r="C837" s="353"/>
      <c r="D837" s="353" t="str">
        <f>IFERROR(VLOOKUP(M837,'02. MM-KLH'!$B$6:$T$823,16,0),"")</f>
        <v/>
      </c>
      <c r="E837" s="353"/>
      <c r="F837" s="353"/>
      <c r="G837" s="353"/>
      <c r="H837" s="353" t="str">
        <f>IFERROR(VLOOKUP(M837,'02. MM-KLH'!$B$6:$T$823,17,0),"")</f>
        <v/>
      </c>
      <c r="I837" s="763" t="str">
        <f>IFERROR(VLOOKUP(M837,'02. MM-KLH'!$B$6:$U$823,20,0),"")</f>
        <v/>
      </c>
      <c r="J837" s="613" t="str">
        <f>IFERROR(VLOOKUP(M837,'02. MM-KLH'!$B$6:$T$823,19,0),"")</f>
        <v/>
      </c>
      <c r="K837" s="613" t="str">
        <f>IFERROR(VLOOKUP(M837,'02. MM-KLH'!$B$6:$T$823,18,0),"")</f>
        <v/>
      </c>
      <c r="L837" s="353" t="str">
        <f>IFERROR(VLOOKUP(M837,'02. MM-KLH'!$B$6:$T$823,4,0),"")</f>
        <v/>
      </c>
      <c r="M837" s="49"/>
      <c r="N837" s="356" t="str">
        <f>IFERROR(VLOOKUP(M837,'02. MM-KLH'!$B$6:$T$823,15,0),"")</f>
        <v/>
      </c>
      <c r="O837" s="764" t="str">
        <f>IFERROR(VLOOKUP(M837,'02. MM-KLH'!$B$6:$T$823,9,0),"")</f>
        <v/>
      </c>
      <c r="P837" s="353"/>
      <c r="Q837" s="353"/>
      <c r="R837" s="353"/>
      <c r="S837" s="353"/>
      <c r="T837" s="353"/>
      <c r="U837" s="353" t="str">
        <f>IFERROR(VLOOKUP(M837,'02. MM-KLH'!$B$6:$T$823,2,0),"")</f>
        <v/>
      </c>
      <c r="V837" s="731" t="str">
        <f>IFERROR(VLOOKUP(M837,'02. MM-KLH'!$B$6:$T$823,8,0),"")</f>
        <v/>
      </c>
      <c r="W837" s="353"/>
      <c r="X837" s="353"/>
      <c r="Y837" s="353"/>
      <c r="Z837" s="731" t="str">
        <f>IFERROR(VLOOKUP(M837,'02. MM-KLH'!$B$6:$T$823,3,0),"")</f>
        <v/>
      </c>
      <c r="AA837" s="353"/>
      <c r="AB837" s="731"/>
      <c r="AC837" s="731"/>
    </row>
    <row r="838" ht="13.8" spans="1:29">
      <c r="A838" s="731"/>
      <c r="B838" s="613" t="str">
        <f>IFERROR(VLOOKUP(M838,'02. MM-KLH'!$B$6:$T$823,6,0),"")</f>
        <v/>
      </c>
      <c r="C838" s="353"/>
      <c r="D838" s="353" t="str">
        <f>IFERROR(VLOOKUP(M838,'02. MM-KLH'!$B$6:$T$823,16,0),"")</f>
        <v/>
      </c>
      <c r="E838" s="353"/>
      <c r="F838" s="353"/>
      <c r="G838" s="353"/>
      <c r="H838" s="353" t="str">
        <f>IFERROR(VLOOKUP(M838,'02. MM-KLH'!$B$6:$T$823,17,0),"")</f>
        <v/>
      </c>
      <c r="I838" s="763" t="str">
        <f>IFERROR(VLOOKUP(M838,'02. MM-KLH'!$B$6:$U$823,20,0),"")</f>
        <v/>
      </c>
      <c r="J838" s="613" t="str">
        <f>IFERROR(VLOOKUP(M838,'02. MM-KLH'!$B$6:$T$823,19,0),"")</f>
        <v/>
      </c>
      <c r="K838" s="613" t="str">
        <f>IFERROR(VLOOKUP(M838,'02. MM-KLH'!$B$6:$T$823,18,0),"")</f>
        <v/>
      </c>
      <c r="L838" s="353" t="str">
        <f>IFERROR(VLOOKUP(M838,'02. MM-KLH'!$B$6:$T$823,4,0),"")</f>
        <v/>
      </c>
      <c r="M838" s="49"/>
      <c r="N838" s="356" t="str">
        <f>IFERROR(VLOOKUP(M838,'02. MM-KLH'!$B$6:$T$823,15,0),"")</f>
        <v/>
      </c>
      <c r="O838" s="764" t="str">
        <f>IFERROR(VLOOKUP(M838,'02. MM-KLH'!$B$6:$T$823,9,0),"")</f>
        <v/>
      </c>
      <c r="P838" s="353"/>
      <c r="Q838" s="353"/>
      <c r="R838" s="353"/>
      <c r="S838" s="353"/>
      <c r="T838" s="353"/>
      <c r="U838" s="353" t="str">
        <f>IFERROR(VLOOKUP(M838,'02. MM-KLH'!$B$6:$T$823,2,0),"")</f>
        <v/>
      </c>
      <c r="V838" s="731" t="str">
        <f>IFERROR(VLOOKUP(M838,'02. MM-KLH'!$B$6:$T$823,8,0),"")</f>
        <v/>
      </c>
      <c r="W838" s="353"/>
      <c r="X838" s="353"/>
      <c r="Y838" s="353"/>
      <c r="Z838" s="731" t="str">
        <f>IFERROR(VLOOKUP(M838,'02. MM-KLH'!$B$6:$T$823,3,0),"")</f>
        <v/>
      </c>
      <c r="AA838" s="353"/>
      <c r="AB838" s="731"/>
      <c r="AC838" s="731"/>
    </row>
    <row r="839" ht="13.8" spans="1:29">
      <c r="A839" s="731"/>
      <c r="B839" s="613" t="str">
        <f>IFERROR(VLOOKUP(M839,'02. MM-KLH'!$B$6:$T$823,6,0),"")</f>
        <v/>
      </c>
      <c r="C839" s="353"/>
      <c r="D839" s="353" t="str">
        <f>IFERROR(VLOOKUP(M839,'02. MM-KLH'!$B$6:$T$823,16,0),"")</f>
        <v/>
      </c>
      <c r="E839" s="353"/>
      <c r="F839" s="353"/>
      <c r="G839" s="353"/>
      <c r="H839" s="353" t="str">
        <f>IFERROR(VLOOKUP(M839,'02. MM-KLH'!$B$6:$T$823,17,0),"")</f>
        <v/>
      </c>
      <c r="I839" s="763" t="str">
        <f>IFERROR(VLOOKUP(M839,'02. MM-KLH'!$B$6:$U$823,20,0),"")</f>
        <v/>
      </c>
      <c r="J839" s="613" t="str">
        <f>IFERROR(VLOOKUP(M839,'02. MM-KLH'!$B$6:$T$823,19,0),"")</f>
        <v/>
      </c>
      <c r="K839" s="613" t="str">
        <f>IFERROR(VLOOKUP(M839,'02. MM-KLH'!$B$6:$T$823,18,0),"")</f>
        <v/>
      </c>
      <c r="L839" s="353" t="str">
        <f>IFERROR(VLOOKUP(M839,'02. MM-KLH'!$B$6:$T$823,4,0),"")</f>
        <v/>
      </c>
      <c r="M839" s="49"/>
      <c r="N839" s="356" t="str">
        <f>IFERROR(VLOOKUP(M839,'02. MM-KLH'!$B$6:$T$823,15,0),"")</f>
        <v/>
      </c>
      <c r="O839" s="764" t="str">
        <f>IFERROR(VLOOKUP(M839,'02. MM-KLH'!$B$6:$T$823,9,0),"")</f>
        <v/>
      </c>
      <c r="P839" s="353"/>
      <c r="Q839" s="353"/>
      <c r="R839" s="353"/>
      <c r="S839" s="353"/>
      <c r="T839" s="353"/>
      <c r="U839" s="353" t="str">
        <f>IFERROR(VLOOKUP(M839,'02. MM-KLH'!$B$6:$T$823,2,0),"")</f>
        <v/>
      </c>
      <c r="V839" s="731" t="str">
        <f>IFERROR(VLOOKUP(M839,'02. MM-KLH'!$B$6:$T$823,8,0),"")</f>
        <v/>
      </c>
      <c r="W839" s="353"/>
      <c r="X839" s="353"/>
      <c r="Y839" s="353"/>
      <c r="Z839" s="731" t="str">
        <f>IFERROR(VLOOKUP(M839,'02. MM-KLH'!$B$6:$T$823,3,0),"")</f>
        <v/>
      </c>
      <c r="AA839" s="353"/>
      <c r="AB839" s="731"/>
      <c r="AC839" s="731"/>
    </row>
    <row r="840" ht="13.8" spans="1:29">
      <c r="A840" s="731"/>
      <c r="B840" s="613" t="str">
        <f>IFERROR(VLOOKUP(M840,'02. MM-KLH'!$B$6:$T$823,6,0),"")</f>
        <v/>
      </c>
      <c r="C840" s="353"/>
      <c r="D840" s="353" t="str">
        <f>IFERROR(VLOOKUP(M840,'02. MM-KLH'!$B$6:$T$823,16,0),"")</f>
        <v/>
      </c>
      <c r="E840" s="353"/>
      <c r="F840" s="353"/>
      <c r="G840" s="353"/>
      <c r="H840" s="353" t="str">
        <f>IFERROR(VLOOKUP(M840,'02. MM-KLH'!$B$6:$T$823,17,0),"")</f>
        <v/>
      </c>
      <c r="I840" s="763" t="str">
        <f>IFERROR(VLOOKUP(M840,'02. MM-KLH'!$B$6:$U$823,20,0),"")</f>
        <v/>
      </c>
      <c r="J840" s="613" t="str">
        <f>IFERROR(VLOOKUP(M840,'02. MM-KLH'!$B$6:$T$823,19,0),"")</f>
        <v/>
      </c>
      <c r="K840" s="613" t="str">
        <f>IFERROR(VLOOKUP(M840,'02. MM-KLH'!$B$6:$T$823,18,0),"")</f>
        <v/>
      </c>
      <c r="L840" s="353" t="str">
        <f>IFERROR(VLOOKUP(M840,'02. MM-KLH'!$B$6:$T$823,4,0),"")</f>
        <v/>
      </c>
      <c r="M840" s="49"/>
      <c r="N840" s="356" t="str">
        <f>IFERROR(VLOOKUP(M840,'02. MM-KLH'!$B$6:$T$823,15,0),"")</f>
        <v/>
      </c>
      <c r="O840" s="764" t="str">
        <f>IFERROR(VLOOKUP(M840,'02. MM-KLH'!$B$6:$T$823,9,0),"")</f>
        <v/>
      </c>
      <c r="P840" s="353"/>
      <c r="Q840" s="353"/>
      <c r="R840" s="353"/>
      <c r="S840" s="353"/>
      <c r="T840" s="353"/>
      <c r="U840" s="353" t="str">
        <f>IFERROR(VLOOKUP(M840,'02. MM-KLH'!$B$6:$T$823,2,0),"")</f>
        <v/>
      </c>
      <c r="V840" s="731" t="str">
        <f>IFERROR(VLOOKUP(M840,'02. MM-KLH'!$B$6:$T$823,8,0),"")</f>
        <v/>
      </c>
      <c r="W840" s="353"/>
      <c r="X840" s="353"/>
      <c r="Y840" s="353"/>
      <c r="Z840" s="731" t="str">
        <f>IFERROR(VLOOKUP(M840,'02. MM-KLH'!$B$6:$T$823,3,0),"")</f>
        <v/>
      </c>
      <c r="AA840" s="353"/>
      <c r="AB840" s="731"/>
      <c r="AC840" s="731"/>
    </row>
    <row r="841" ht="13.8" spans="1:29">
      <c r="A841" s="731"/>
      <c r="B841" s="613" t="str">
        <f>IFERROR(VLOOKUP(M841,'02. MM-KLH'!$B$6:$T$823,6,0),"")</f>
        <v/>
      </c>
      <c r="C841" s="353"/>
      <c r="D841" s="353" t="str">
        <f>IFERROR(VLOOKUP(M841,'02. MM-KLH'!$B$6:$T$823,16,0),"")</f>
        <v/>
      </c>
      <c r="E841" s="353"/>
      <c r="F841" s="353"/>
      <c r="G841" s="353"/>
      <c r="H841" s="353" t="str">
        <f>IFERROR(VLOOKUP(M841,'02. MM-KLH'!$B$6:$T$823,17,0),"")</f>
        <v/>
      </c>
      <c r="I841" s="763" t="str">
        <f>IFERROR(VLOOKUP(M841,'02. MM-KLH'!$B$6:$U$823,20,0),"")</f>
        <v/>
      </c>
      <c r="J841" s="613" t="str">
        <f>IFERROR(VLOOKUP(M841,'02. MM-KLH'!$B$6:$T$823,19,0),"")</f>
        <v/>
      </c>
      <c r="K841" s="613" t="str">
        <f>IFERROR(VLOOKUP(M841,'02. MM-KLH'!$B$6:$T$823,18,0),"")</f>
        <v/>
      </c>
      <c r="L841" s="353" t="str">
        <f>IFERROR(VLOOKUP(M841,'02. MM-KLH'!$B$6:$T$823,4,0),"")</f>
        <v/>
      </c>
      <c r="M841" s="49"/>
      <c r="N841" s="356" t="str">
        <f>IFERROR(VLOOKUP(M841,'02. MM-KLH'!$B$6:$T$823,15,0),"")</f>
        <v/>
      </c>
      <c r="O841" s="764" t="str">
        <f>IFERROR(VLOOKUP(M841,'02. MM-KLH'!$B$6:$T$823,9,0),"")</f>
        <v/>
      </c>
      <c r="P841" s="353"/>
      <c r="Q841" s="353"/>
      <c r="R841" s="353"/>
      <c r="S841" s="353"/>
      <c r="T841" s="353"/>
      <c r="U841" s="353" t="str">
        <f>IFERROR(VLOOKUP(M841,'02. MM-KLH'!$B$6:$T$823,2,0),"")</f>
        <v/>
      </c>
      <c r="V841" s="731" t="str">
        <f>IFERROR(VLOOKUP(M841,'02. MM-KLH'!$B$6:$T$823,8,0),"")</f>
        <v/>
      </c>
      <c r="W841" s="353"/>
      <c r="X841" s="353"/>
      <c r="Y841" s="353"/>
      <c r="Z841" s="731" t="str">
        <f>IFERROR(VLOOKUP(M841,'02. MM-KLH'!$B$6:$T$823,3,0),"")</f>
        <v/>
      </c>
      <c r="AA841" s="353"/>
      <c r="AB841" s="731"/>
      <c r="AC841" s="731"/>
    </row>
    <row r="842" ht="13.8" spans="1:29">
      <c r="A842" s="731"/>
      <c r="B842" s="613" t="str">
        <f>IFERROR(VLOOKUP(M842,'02. MM-KLH'!$B$6:$T$823,6,0),"")</f>
        <v/>
      </c>
      <c r="C842" s="353"/>
      <c r="D842" s="353" t="str">
        <f>IFERROR(VLOOKUP(M842,'02. MM-KLH'!$B$6:$T$823,16,0),"")</f>
        <v/>
      </c>
      <c r="E842" s="353"/>
      <c r="F842" s="353"/>
      <c r="G842" s="353"/>
      <c r="H842" s="353" t="str">
        <f>IFERROR(VLOOKUP(M842,'02. MM-KLH'!$B$6:$T$823,17,0),"")</f>
        <v/>
      </c>
      <c r="I842" s="763" t="str">
        <f>IFERROR(VLOOKUP(M842,'02. MM-KLH'!$B$6:$U$823,20,0),"")</f>
        <v/>
      </c>
      <c r="J842" s="613" t="str">
        <f>IFERROR(VLOOKUP(M842,'02. MM-KLH'!$B$6:$T$823,19,0),"")</f>
        <v/>
      </c>
      <c r="K842" s="613" t="str">
        <f>IFERROR(VLOOKUP(M842,'02. MM-KLH'!$B$6:$T$823,18,0),"")</f>
        <v/>
      </c>
      <c r="L842" s="353" t="str">
        <f>IFERROR(VLOOKUP(M842,'02. MM-KLH'!$B$6:$T$823,4,0),"")</f>
        <v/>
      </c>
      <c r="M842" s="49"/>
      <c r="N842" s="356" t="str">
        <f>IFERROR(VLOOKUP(M842,'02. MM-KLH'!$B$6:$T$823,15,0),"")</f>
        <v/>
      </c>
      <c r="O842" s="764" t="str">
        <f>IFERROR(VLOOKUP(M842,'02. MM-KLH'!$B$6:$T$823,9,0),"")</f>
        <v/>
      </c>
      <c r="P842" s="353"/>
      <c r="Q842" s="353"/>
      <c r="R842" s="353"/>
      <c r="S842" s="353"/>
      <c r="T842" s="353"/>
      <c r="U842" s="353" t="str">
        <f>IFERROR(VLOOKUP(M842,'02. MM-KLH'!$B$6:$T$823,2,0),"")</f>
        <v/>
      </c>
      <c r="V842" s="731" t="str">
        <f>IFERROR(VLOOKUP(M842,'02. MM-KLH'!$B$6:$T$823,8,0),"")</f>
        <v/>
      </c>
      <c r="W842" s="353"/>
      <c r="X842" s="353"/>
      <c r="Y842" s="353"/>
      <c r="Z842" s="731" t="str">
        <f>IFERROR(VLOOKUP(M842,'02. MM-KLH'!$B$6:$T$823,3,0),"")</f>
        <v/>
      </c>
      <c r="AA842" s="353"/>
      <c r="AB842" s="731"/>
      <c r="AC842" s="731"/>
    </row>
    <row r="843" ht="13.8" spans="1:29">
      <c r="A843" s="731"/>
      <c r="B843" s="613" t="str">
        <f>IFERROR(VLOOKUP(M843,'02. MM-KLH'!$B$6:$T$823,6,0),"")</f>
        <v/>
      </c>
      <c r="C843" s="353"/>
      <c r="D843" s="353" t="str">
        <f>IFERROR(VLOOKUP(M843,'02. MM-KLH'!$B$6:$T$823,16,0),"")</f>
        <v/>
      </c>
      <c r="E843" s="353"/>
      <c r="F843" s="353"/>
      <c r="G843" s="353"/>
      <c r="H843" s="353" t="str">
        <f>IFERROR(VLOOKUP(M843,'02. MM-KLH'!$B$6:$T$823,17,0),"")</f>
        <v/>
      </c>
      <c r="I843" s="763" t="str">
        <f>IFERROR(VLOOKUP(M843,'02. MM-KLH'!$B$6:$U$823,20,0),"")</f>
        <v/>
      </c>
      <c r="J843" s="613" t="str">
        <f>IFERROR(VLOOKUP(M843,'02. MM-KLH'!$B$6:$T$823,19,0),"")</f>
        <v/>
      </c>
      <c r="K843" s="613" t="str">
        <f>IFERROR(VLOOKUP(M843,'02. MM-KLH'!$B$6:$T$823,18,0),"")</f>
        <v/>
      </c>
      <c r="L843" s="353" t="str">
        <f>IFERROR(VLOOKUP(M843,'02. MM-KLH'!$B$6:$T$823,4,0),"")</f>
        <v/>
      </c>
      <c r="M843" s="49"/>
      <c r="N843" s="356" t="str">
        <f>IFERROR(VLOOKUP(M843,'02. MM-KLH'!$B$6:$T$823,15,0),"")</f>
        <v/>
      </c>
      <c r="O843" s="764" t="str">
        <f>IFERROR(VLOOKUP(M843,'02. MM-KLH'!$B$6:$T$823,9,0),"")</f>
        <v/>
      </c>
      <c r="P843" s="353"/>
      <c r="Q843" s="353"/>
      <c r="R843" s="353"/>
      <c r="S843" s="353"/>
      <c r="T843" s="353"/>
      <c r="U843" s="353" t="str">
        <f>IFERROR(VLOOKUP(M843,'02. MM-KLH'!$B$6:$T$823,2,0),"")</f>
        <v/>
      </c>
      <c r="V843" s="731" t="str">
        <f>IFERROR(VLOOKUP(M843,'02. MM-KLH'!$B$6:$T$823,8,0),"")</f>
        <v/>
      </c>
      <c r="W843" s="353"/>
      <c r="X843" s="353"/>
      <c r="Y843" s="353"/>
      <c r="Z843" s="731" t="str">
        <f>IFERROR(VLOOKUP(M843,'02. MM-KLH'!$B$6:$T$823,3,0),"")</f>
        <v/>
      </c>
      <c r="AA843" s="353"/>
      <c r="AB843" s="731"/>
      <c r="AC843" s="731"/>
    </row>
    <row r="844" ht="13.8" spans="1:29">
      <c r="A844" s="731"/>
      <c r="B844" s="613" t="str">
        <f>IFERROR(VLOOKUP(M844,'02. MM-KLH'!$B$6:$T$823,6,0),"")</f>
        <v/>
      </c>
      <c r="C844" s="353"/>
      <c r="D844" s="353" t="str">
        <f>IFERROR(VLOOKUP(M844,'02. MM-KLH'!$B$6:$T$823,16,0),"")</f>
        <v/>
      </c>
      <c r="E844" s="353"/>
      <c r="F844" s="353"/>
      <c r="G844" s="353"/>
      <c r="H844" s="353" t="str">
        <f>IFERROR(VLOOKUP(M844,'02. MM-KLH'!$B$6:$T$823,17,0),"")</f>
        <v/>
      </c>
      <c r="I844" s="763" t="str">
        <f>IFERROR(VLOOKUP(M844,'02. MM-KLH'!$B$6:$U$823,20,0),"")</f>
        <v/>
      </c>
      <c r="J844" s="613" t="str">
        <f>IFERROR(VLOOKUP(M844,'02. MM-KLH'!$B$6:$T$823,19,0),"")</f>
        <v/>
      </c>
      <c r="K844" s="613" t="str">
        <f>IFERROR(VLOOKUP(M844,'02. MM-KLH'!$B$6:$T$823,18,0),"")</f>
        <v/>
      </c>
      <c r="L844" s="353" t="str">
        <f>IFERROR(VLOOKUP(M844,'02. MM-KLH'!$B$6:$T$823,4,0),"")</f>
        <v/>
      </c>
      <c r="M844" s="49"/>
      <c r="N844" s="356" t="str">
        <f>IFERROR(VLOOKUP(M844,'02. MM-KLH'!$B$6:$T$823,15,0),"")</f>
        <v/>
      </c>
      <c r="O844" s="764" t="str">
        <f>IFERROR(VLOOKUP(M844,'02. MM-KLH'!$B$6:$T$823,9,0),"")</f>
        <v/>
      </c>
      <c r="P844" s="353"/>
      <c r="Q844" s="353"/>
      <c r="R844" s="353"/>
      <c r="S844" s="353"/>
      <c r="T844" s="353"/>
      <c r="U844" s="353" t="str">
        <f>IFERROR(VLOOKUP(M844,'02. MM-KLH'!$B$6:$T$823,2,0),"")</f>
        <v/>
      </c>
      <c r="V844" s="731" t="str">
        <f>IFERROR(VLOOKUP(M844,'02. MM-KLH'!$B$6:$T$823,8,0),"")</f>
        <v/>
      </c>
      <c r="W844" s="353"/>
      <c r="X844" s="353"/>
      <c r="Y844" s="353"/>
      <c r="Z844" s="731" t="str">
        <f>IFERROR(VLOOKUP(M844,'02. MM-KLH'!$B$6:$T$823,3,0),"")</f>
        <v/>
      </c>
      <c r="AA844" s="353"/>
      <c r="AB844" s="731"/>
      <c r="AC844" s="731"/>
    </row>
    <row r="845" ht="13.8" spans="1:29">
      <c r="A845" s="731"/>
      <c r="B845" s="613" t="str">
        <f>IFERROR(VLOOKUP(M845,'02. MM-KLH'!$B$6:$T$823,6,0),"")</f>
        <v/>
      </c>
      <c r="C845" s="353"/>
      <c r="D845" s="353" t="str">
        <f>IFERROR(VLOOKUP(M845,'02. MM-KLH'!$B$6:$T$823,16,0),"")</f>
        <v/>
      </c>
      <c r="E845" s="353"/>
      <c r="F845" s="353"/>
      <c r="G845" s="353"/>
      <c r="H845" s="353" t="str">
        <f>IFERROR(VLOOKUP(M845,'02. MM-KLH'!$B$6:$T$823,17,0),"")</f>
        <v/>
      </c>
      <c r="I845" s="763" t="str">
        <f>IFERROR(VLOOKUP(M845,'02. MM-KLH'!$B$6:$U$823,20,0),"")</f>
        <v/>
      </c>
      <c r="J845" s="613" t="str">
        <f>IFERROR(VLOOKUP(M845,'02. MM-KLH'!$B$6:$T$823,19,0),"")</f>
        <v/>
      </c>
      <c r="K845" s="613" t="str">
        <f>IFERROR(VLOOKUP(M845,'02. MM-KLH'!$B$6:$T$823,18,0),"")</f>
        <v/>
      </c>
      <c r="L845" s="353" t="str">
        <f>IFERROR(VLOOKUP(M845,'02. MM-KLH'!$B$6:$T$823,4,0),"")</f>
        <v/>
      </c>
      <c r="M845" s="49"/>
      <c r="N845" s="356" t="str">
        <f>IFERROR(VLOOKUP(M845,'02. MM-KLH'!$B$6:$T$823,15,0),"")</f>
        <v/>
      </c>
      <c r="O845" s="764" t="str">
        <f>IFERROR(VLOOKUP(M845,'02. MM-KLH'!$B$6:$T$823,9,0),"")</f>
        <v/>
      </c>
      <c r="P845" s="353"/>
      <c r="Q845" s="353"/>
      <c r="R845" s="353"/>
      <c r="S845" s="353"/>
      <c r="T845" s="353"/>
      <c r="U845" s="353" t="str">
        <f>IFERROR(VLOOKUP(M845,'02. MM-KLH'!$B$6:$T$823,2,0),"")</f>
        <v/>
      </c>
      <c r="V845" s="731" t="str">
        <f>IFERROR(VLOOKUP(M845,'02. MM-KLH'!$B$6:$T$823,8,0),"")</f>
        <v/>
      </c>
      <c r="W845" s="353"/>
      <c r="X845" s="353"/>
      <c r="Y845" s="353"/>
      <c r="Z845" s="731" t="str">
        <f>IFERROR(VLOOKUP(M845,'02. MM-KLH'!$B$6:$T$823,3,0),"")</f>
        <v/>
      </c>
      <c r="AA845" s="353"/>
      <c r="AB845" s="731"/>
      <c r="AC845" s="731"/>
    </row>
    <row r="846" ht="13.8" spans="1:29">
      <c r="A846" s="731"/>
      <c r="B846" s="613" t="str">
        <f>IFERROR(VLOOKUP(M846,'02. MM-KLH'!$B$6:$T$823,6,0),"")</f>
        <v/>
      </c>
      <c r="C846" s="353"/>
      <c r="D846" s="353" t="str">
        <f>IFERROR(VLOOKUP(M846,'02. MM-KLH'!$B$6:$T$823,16,0),"")</f>
        <v/>
      </c>
      <c r="E846" s="353"/>
      <c r="F846" s="353"/>
      <c r="G846" s="353"/>
      <c r="H846" s="353" t="str">
        <f>IFERROR(VLOOKUP(M846,'02. MM-KLH'!$B$6:$T$823,17,0),"")</f>
        <v/>
      </c>
      <c r="I846" s="763" t="str">
        <f>IFERROR(VLOOKUP(M846,'02. MM-KLH'!$B$6:$U$823,20,0),"")</f>
        <v/>
      </c>
      <c r="J846" s="613" t="str">
        <f>IFERROR(VLOOKUP(M846,'02. MM-KLH'!$B$6:$T$823,19,0),"")</f>
        <v/>
      </c>
      <c r="K846" s="613" t="str">
        <f>IFERROR(VLOOKUP(M846,'02. MM-KLH'!$B$6:$T$823,18,0),"")</f>
        <v/>
      </c>
      <c r="L846" s="353" t="str">
        <f>IFERROR(VLOOKUP(M846,'02. MM-KLH'!$B$6:$T$823,4,0),"")</f>
        <v/>
      </c>
      <c r="M846" s="49"/>
      <c r="N846" s="356" t="str">
        <f>IFERROR(VLOOKUP(M846,'02. MM-KLH'!$B$6:$T$823,15,0),"")</f>
        <v/>
      </c>
      <c r="O846" s="764" t="str">
        <f>IFERROR(VLOOKUP(M846,'02. MM-KLH'!$B$6:$T$823,9,0),"")</f>
        <v/>
      </c>
      <c r="P846" s="353"/>
      <c r="Q846" s="353"/>
      <c r="R846" s="353"/>
      <c r="S846" s="353"/>
      <c r="T846" s="353"/>
      <c r="U846" s="353" t="str">
        <f>IFERROR(VLOOKUP(M846,'02. MM-KLH'!$B$6:$T$823,2,0),"")</f>
        <v/>
      </c>
      <c r="V846" s="731" t="str">
        <f>IFERROR(VLOOKUP(M846,'02. MM-KLH'!$B$6:$T$823,8,0),"")</f>
        <v/>
      </c>
      <c r="W846" s="353"/>
      <c r="X846" s="353"/>
      <c r="Y846" s="353"/>
      <c r="Z846" s="731" t="str">
        <f>IFERROR(VLOOKUP(M846,'02. MM-KLH'!$B$6:$T$823,3,0),"")</f>
        <v/>
      </c>
      <c r="AA846" s="353"/>
      <c r="AB846" s="731"/>
      <c r="AC846" s="731"/>
    </row>
    <row r="847" ht="13.8" spans="1:29">
      <c r="A847" s="731"/>
      <c r="B847" s="613" t="str">
        <f>IFERROR(VLOOKUP(M847,'02. MM-KLH'!$B$6:$T$823,6,0),"")</f>
        <v/>
      </c>
      <c r="C847" s="353"/>
      <c r="D847" s="353" t="str">
        <f>IFERROR(VLOOKUP(M847,'02. MM-KLH'!$B$6:$T$823,16,0),"")</f>
        <v/>
      </c>
      <c r="E847" s="353"/>
      <c r="F847" s="353"/>
      <c r="G847" s="353"/>
      <c r="H847" s="353" t="str">
        <f>IFERROR(VLOOKUP(M847,'02. MM-KLH'!$B$6:$T$823,17,0),"")</f>
        <v/>
      </c>
      <c r="I847" s="763" t="str">
        <f>IFERROR(VLOOKUP(M847,'02. MM-KLH'!$B$6:$U$823,20,0),"")</f>
        <v/>
      </c>
      <c r="J847" s="613" t="str">
        <f>IFERROR(VLOOKUP(M847,'02. MM-KLH'!$B$6:$T$823,19,0),"")</f>
        <v/>
      </c>
      <c r="K847" s="613" t="str">
        <f>IFERROR(VLOOKUP(M847,'02. MM-KLH'!$B$6:$T$823,18,0),"")</f>
        <v/>
      </c>
      <c r="L847" s="353" t="str">
        <f>IFERROR(VLOOKUP(M847,'02. MM-KLH'!$B$6:$T$823,4,0),"")</f>
        <v/>
      </c>
      <c r="M847" s="49"/>
      <c r="N847" s="356" t="str">
        <f>IFERROR(VLOOKUP(M847,'02. MM-KLH'!$B$6:$T$823,15,0),"")</f>
        <v/>
      </c>
      <c r="O847" s="764" t="str">
        <f>IFERROR(VLOOKUP(M847,'02. MM-KLH'!$B$6:$T$823,9,0),"")</f>
        <v/>
      </c>
      <c r="P847" s="353"/>
      <c r="Q847" s="353"/>
      <c r="R847" s="353"/>
      <c r="S847" s="353"/>
      <c r="T847" s="353"/>
      <c r="U847" s="353" t="str">
        <f>IFERROR(VLOOKUP(M847,'02. MM-KLH'!$B$6:$T$823,2,0),"")</f>
        <v/>
      </c>
      <c r="V847" s="731" t="str">
        <f>IFERROR(VLOOKUP(M847,'02. MM-KLH'!$B$6:$T$823,8,0),"")</f>
        <v/>
      </c>
      <c r="W847" s="353"/>
      <c r="X847" s="353"/>
      <c r="Y847" s="353"/>
      <c r="Z847" s="731" t="str">
        <f>IFERROR(VLOOKUP(M847,'02. MM-KLH'!$B$6:$T$823,3,0),"")</f>
        <v/>
      </c>
      <c r="AA847" s="353"/>
      <c r="AB847" s="731"/>
      <c r="AC847" s="731"/>
    </row>
    <row r="848" ht="13.8" spans="1:29">
      <c r="A848" s="731"/>
      <c r="B848" s="613" t="str">
        <f>IFERROR(VLOOKUP(M848,'02. MM-KLH'!$B$6:$T$823,6,0),"")</f>
        <v/>
      </c>
      <c r="C848" s="353"/>
      <c r="D848" s="353" t="str">
        <f>IFERROR(VLOOKUP(M848,'02. MM-KLH'!$B$6:$T$823,16,0),"")</f>
        <v/>
      </c>
      <c r="E848" s="353"/>
      <c r="F848" s="353"/>
      <c r="G848" s="353"/>
      <c r="H848" s="353" t="str">
        <f>IFERROR(VLOOKUP(M848,'02. MM-KLH'!$B$6:$T$823,17,0),"")</f>
        <v/>
      </c>
      <c r="I848" s="763" t="str">
        <f>IFERROR(VLOOKUP(M848,'02. MM-KLH'!$B$6:$U$823,20,0),"")</f>
        <v/>
      </c>
      <c r="J848" s="613" t="str">
        <f>IFERROR(VLOOKUP(M848,'02. MM-KLH'!$B$6:$T$823,19,0),"")</f>
        <v/>
      </c>
      <c r="K848" s="613" t="str">
        <f>IFERROR(VLOOKUP(M848,'02. MM-KLH'!$B$6:$T$823,18,0),"")</f>
        <v/>
      </c>
      <c r="L848" s="353" t="str">
        <f>IFERROR(VLOOKUP(M848,'02. MM-KLH'!$B$6:$T$823,4,0),"")</f>
        <v/>
      </c>
      <c r="M848" s="49"/>
      <c r="N848" s="356" t="str">
        <f>IFERROR(VLOOKUP(M848,'02. MM-KLH'!$B$6:$T$823,15,0),"")</f>
        <v/>
      </c>
      <c r="O848" s="764" t="str">
        <f>IFERROR(VLOOKUP(M848,'02. MM-KLH'!$B$6:$T$823,9,0),"")</f>
        <v/>
      </c>
      <c r="P848" s="353"/>
      <c r="Q848" s="353"/>
      <c r="R848" s="353"/>
      <c r="S848" s="353"/>
      <c r="T848" s="353"/>
      <c r="U848" s="353" t="str">
        <f>IFERROR(VLOOKUP(M848,'02. MM-KLH'!$B$6:$T$823,2,0),"")</f>
        <v/>
      </c>
      <c r="V848" s="731" t="str">
        <f>IFERROR(VLOOKUP(M848,'02. MM-KLH'!$B$6:$T$823,8,0),"")</f>
        <v/>
      </c>
      <c r="W848" s="353"/>
      <c r="X848" s="353"/>
      <c r="Y848" s="353"/>
      <c r="Z848" s="731" t="str">
        <f>IFERROR(VLOOKUP(M848,'02. MM-KLH'!$B$6:$T$823,3,0),"")</f>
        <v/>
      </c>
      <c r="AA848" s="353"/>
      <c r="AB848" s="731"/>
      <c r="AC848" s="731"/>
    </row>
    <row r="849" ht="13.8" spans="1:29">
      <c r="A849" s="731"/>
      <c r="B849" s="613" t="str">
        <f>IFERROR(VLOOKUP(M849,'02. MM-KLH'!$B$6:$T$823,6,0),"")</f>
        <v/>
      </c>
      <c r="C849" s="353"/>
      <c r="D849" s="353" t="str">
        <f>IFERROR(VLOOKUP(M849,'02. MM-KLH'!$B$6:$T$823,16,0),"")</f>
        <v/>
      </c>
      <c r="E849" s="353"/>
      <c r="F849" s="353"/>
      <c r="G849" s="353"/>
      <c r="H849" s="353" t="str">
        <f>IFERROR(VLOOKUP(M849,'02. MM-KLH'!$B$6:$T$823,17,0),"")</f>
        <v/>
      </c>
      <c r="I849" s="763" t="str">
        <f>IFERROR(VLOOKUP(M849,'02. MM-KLH'!$B$6:$U$823,20,0),"")</f>
        <v/>
      </c>
      <c r="J849" s="613" t="str">
        <f>IFERROR(VLOOKUP(M849,'02. MM-KLH'!$B$6:$T$823,19,0),"")</f>
        <v/>
      </c>
      <c r="K849" s="613" t="str">
        <f>IFERROR(VLOOKUP(M849,'02. MM-KLH'!$B$6:$T$823,18,0),"")</f>
        <v/>
      </c>
      <c r="L849" s="353" t="str">
        <f>IFERROR(VLOOKUP(M849,'02. MM-KLH'!$B$6:$T$823,4,0),"")</f>
        <v/>
      </c>
      <c r="M849" s="49"/>
      <c r="N849" s="356" t="str">
        <f>IFERROR(VLOOKUP(M849,'02. MM-KLH'!$B$6:$T$823,15,0),"")</f>
        <v/>
      </c>
      <c r="O849" s="764" t="str">
        <f>IFERROR(VLOOKUP(M849,'02. MM-KLH'!$B$6:$T$823,9,0),"")</f>
        <v/>
      </c>
      <c r="P849" s="353"/>
      <c r="Q849" s="353"/>
      <c r="R849" s="353"/>
      <c r="S849" s="353"/>
      <c r="T849" s="353"/>
      <c r="U849" s="353" t="str">
        <f>IFERROR(VLOOKUP(M849,'02. MM-KLH'!$B$6:$T$823,2,0),"")</f>
        <v/>
      </c>
      <c r="V849" s="731" t="str">
        <f>IFERROR(VLOOKUP(M849,'02. MM-KLH'!$B$6:$T$823,8,0),"")</f>
        <v/>
      </c>
      <c r="W849" s="353"/>
      <c r="X849" s="353"/>
      <c r="Y849" s="353"/>
      <c r="Z849" s="731" t="str">
        <f>IFERROR(VLOOKUP(M849,'02. MM-KLH'!$B$6:$T$823,3,0),"")</f>
        <v/>
      </c>
      <c r="AA849" s="353"/>
      <c r="AB849" s="731"/>
      <c r="AC849" s="731"/>
    </row>
    <row r="850" ht="13.8" spans="1:29">
      <c r="A850" s="731"/>
      <c r="B850" s="613" t="str">
        <f>IFERROR(VLOOKUP(M850,'02. MM-KLH'!$B$6:$T$823,6,0),"")</f>
        <v/>
      </c>
      <c r="C850" s="353"/>
      <c r="D850" s="353" t="str">
        <f>IFERROR(VLOOKUP(M850,'02. MM-KLH'!$B$6:$T$823,16,0),"")</f>
        <v/>
      </c>
      <c r="E850" s="353"/>
      <c r="F850" s="353"/>
      <c r="G850" s="353"/>
      <c r="H850" s="353" t="str">
        <f>IFERROR(VLOOKUP(M850,'02. MM-KLH'!$B$6:$T$823,17,0),"")</f>
        <v/>
      </c>
      <c r="I850" s="763" t="str">
        <f>IFERROR(VLOOKUP(M850,'02. MM-KLH'!$B$6:$U$823,20,0),"")</f>
        <v/>
      </c>
      <c r="J850" s="613" t="str">
        <f>IFERROR(VLOOKUP(M850,'02. MM-KLH'!$B$6:$T$823,19,0),"")</f>
        <v/>
      </c>
      <c r="K850" s="613" t="str">
        <f>IFERROR(VLOOKUP(M850,'02. MM-KLH'!$B$6:$T$823,18,0),"")</f>
        <v/>
      </c>
      <c r="L850" s="353" t="str">
        <f>IFERROR(VLOOKUP(M850,'02. MM-KLH'!$B$6:$T$823,4,0),"")</f>
        <v/>
      </c>
      <c r="M850" s="49"/>
      <c r="N850" s="356" t="str">
        <f>IFERROR(VLOOKUP(M850,'02. MM-KLH'!$B$6:$T$823,15,0),"")</f>
        <v/>
      </c>
      <c r="O850" s="764" t="str">
        <f>IFERROR(VLOOKUP(M850,'02. MM-KLH'!$B$6:$T$823,9,0),"")</f>
        <v/>
      </c>
      <c r="P850" s="353"/>
      <c r="Q850" s="353"/>
      <c r="R850" s="353"/>
      <c r="S850" s="353"/>
      <c r="T850" s="353"/>
      <c r="U850" s="353" t="str">
        <f>IFERROR(VLOOKUP(M850,'02. MM-KLH'!$B$6:$T$823,2,0),"")</f>
        <v/>
      </c>
      <c r="V850" s="731" t="str">
        <f>IFERROR(VLOOKUP(M850,'02. MM-KLH'!$B$6:$T$823,8,0),"")</f>
        <v/>
      </c>
      <c r="W850" s="353"/>
      <c r="X850" s="353"/>
      <c r="Y850" s="353"/>
      <c r="Z850" s="731" t="str">
        <f>IFERROR(VLOOKUP(M850,'02. MM-KLH'!$B$6:$T$823,3,0),"")</f>
        <v/>
      </c>
      <c r="AA850" s="353"/>
      <c r="AB850" s="731"/>
      <c r="AC850" s="731"/>
    </row>
    <row r="851" ht="13.8" spans="1:29">
      <c r="A851" s="731"/>
      <c r="B851" s="613" t="str">
        <f>IFERROR(VLOOKUP(M851,'02. MM-KLH'!$B$6:$T$823,6,0),"")</f>
        <v/>
      </c>
      <c r="C851" s="353"/>
      <c r="D851" s="353" t="str">
        <f>IFERROR(VLOOKUP(M851,'02. MM-KLH'!$B$6:$T$823,16,0),"")</f>
        <v/>
      </c>
      <c r="E851" s="353"/>
      <c r="F851" s="353"/>
      <c r="G851" s="353"/>
      <c r="H851" s="353" t="str">
        <f>IFERROR(VLOOKUP(M851,'02. MM-KLH'!$B$6:$T$823,17,0),"")</f>
        <v/>
      </c>
      <c r="I851" s="763" t="str">
        <f>IFERROR(VLOOKUP(M851,'02. MM-KLH'!$B$6:$U$823,20,0),"")</f>
        <v/>
      </c>
      <c r="J851" s="613" t="str">
        <f>IFERROR(VLOOKUP(M851,'02. MM-KLH'!$B$6:$T$823,19,0),"")</f>
        <v/>
      </c>
      <c r="K851" s="613" t="str">
        <f>IFERROR(VLOOKUP(M851,'02. MM-KLH'!$B$6:$T$823,18,0),"")</f>
        <v/>
      </c>
      <c r="L851" s="353" t="str">
        <f>IFERROR(VLOOKUP(M851,'02. MM-KLH'!$B$6:$T$823,4,0),"")</f>
        <v/>
      </c>
      <c r="M851" s="49"/>
      <c r="N851" s="356" t="str">
        <f>IFERROR(VLOOKUP(M851,'02. MM-KLH'!$B$6:$T$823,15,0),"")</f>
        <v/>
      </c>
      <c r="O851" s="764" t="str">
        <f>IFERROR(VLOOKUP(M851,'02. MM-KLH'!$B$6:$T$823,9,0),"")</f>
        <v/>
      </c>
      <c r="P851" s="353"/>
      <c r="Q851" s="353"/>
      <c r="R851" s="353"/>
      <c r="S851" s="353"/>
      <c r="T851" s="353"/>
      <c r="U851" s="353" t="str">
        <f>IFERROR(VLOOKUP(M851,'02. MM-KLH'!$B$6:$T$823,2,0),"")</f>
        <v/>
      </c>
      <c r="V851" s="731" t="str">
        <f>IFERROR(VLOOKUP(M851,'02. MM-KLH'!$B$6:$T$823,8,0),"")</f>
        <v/>
      </c>
      <c r="W851" s="353"/>
      <c r="X851" s="353"/>
      <c r="Y851" s="353"/>
      <c r="Z851" s="731" t="str">
        <f>IFERROR(VLOOKUP(M851,'02. MM-KLH'!$B$6:$T$823,3,0),"")</f>
        <v/>
      </c>
      <c r="AA851" s="353"/>
      <c r="AB851" s="731"/>
      <c r="AC851" s="731"/>
    </row>
    <row r="852" ht="13.8" spans="1:29">
      <c r="A852" s="731"/>
      <c r="B852" s="613" t="str">
        <f>IFERROR(VLOOKUP(M852,'02. MM-KLH'!$B$6:$T$823,6,0),"")</f>
        <v/>
      </c>
      <c r="C852" s="353"/>
      <c r="D852" s="353" t="str">
        <f>IFERROR(VLOOKUP(M852,'02. MM-KLH'!$B$6:$T$823,16,0),"")</f>
        <v/>
      </c>
      <c r="E852" s="353"/>
      <c r="F852" s="353"/>
      <c r="G852" s="353"/>
      <c r="H852" s="353" t="str">
        <f>IFERROR(VLOOKUP(M852,'02. MM-KLH'!$B$6:$T$823,17,0),"")</f>
        <v/>
      </c>
      <c r="I852" s="763" t="str">
        <f>IFERROR(VLOOKUP(M852,'02. MM-KLH'!$B$6:$U$823,20,0),"")</f>
        <v/>
      </c>
      <c r="J852" s="613" t="str">
        <f>IFERROR(VLOOKUP(M852,'02. MM-KLH'!$B$6:$T$823,19,0),"")</f>
        <v/>
      </c>
      <c r="K852" s="613" t="str">
        <f>IFERROR(VLOOKUP(M852,'02. MM-KLH'!$B$6:$T$823,18,0),"")</f>
        <v/>
      </c>
      <c r="L852" s="353" t="str">
        <f>IFERROR(VLOOKUP(M852,'02. MM-KLH'!$B$6:$T$823,4,0),"")</f>
        <v/>
      </c>
      <c r="M852" s="49"/>
      <c r="N852" s="356" t="str">
        <f>IFERROR(VLOOKUP(M852,'02. MM-KLH'!$B$6:$T$823,15,0),"")</f>
        <v/>
      </c>
      <c r="O852" s="764" t="str">
        <f>IFERROR(VLOOKUP(M852,'02. MM-KLH'!$B$6:$T$823,9,0),"")</f>
        <v/>
      </c>
      <c r="P852" s="353"/>
      <c r="Q852" s="353"/>
      <c r="R852" s="353"/>
      <c r="S852" s="353"/>
      <c r="T852" s="353"/>
      <c r="U852" s="353" t="str">
        <f>IFERROR(VLOOKUP(M852,'02. MM-KLH'!$B$6:$T$823,2,0),"")</f>
        <v/>
      </c>
      <c r="V852" s="731" t="str">
        <f>IFERROR(VLOOKUP(M852,'02. MM-KLH'!$B$6:$T$823,8,0),"")</f>
        <v/>
      </c>
      <c r="W852" s="353"/>
      <c r="X852" s="353"/>
      <c r="Y852" s="353"/>
      <c r="Z852" s="731" t="str">
        <f>IFERROR(VLOOKUP(M852,'02. MM-KLH'!$B$6:$T$823,3,0),"")</f>
        <v/>
      </c>
      <c r="AA852" s="353"/>
      <c r="AB852" s="731"/>
      <c r="AC852" s="731"/>
    </row>
    <row r="853" ht="13.8" spans="1:29">
      <c r="A853" s="731"/>
      <c r="B853" s="613" t="str">
        <f>IFERROR(VLOOKUP(M853,'02. MM-KLH'!$B$6:$T$823,6,0),"")</f>
        <v/>
      </c>
      <c r="C853" s="353"/>
      <c r="D853" s="353" t="str">
        <f>IFERROR(VLOOKUP(M853,'02. MM-KLH'!$B$6:$T$823,16,0),"")</f>
        <v/>
      </c>
      <c r="E853" s="353"/>
      <c r="F853" s="353"/>
      <c r="G853" s="353"/>
      <c r="H853" s="353" t="str">
        <f>IFERROR(VLOOKUP(M853,'02. MM-KLH'!$B$6:$T$823,17,0),"")</f>
        <v/>
      </c>
      <c r="I853" s="763" t="str">
        <f>IFERROR(VLOOKUP(M853,'02. MM-KLH'!$B$6:$U$823,20,0),"")</f>
        <v/>
      </c>
      <c r="J853" s="613" t="str">
        <f>IFERROR(VLOOKUP(M853,'02. MM-KLH'!$B$6:$T$823,19,0),"")</f>
        <v/>
      </c>
      <c r="K853" s="613" t="str">
        <f>IFERROR(VLOOKUP(M853,'02. MM-KLH'!$B$6:$T$823,18,0),"")</f>
        <v/>
      </c>
      <c r="L853" s="353" t="str">
        <f>IFERROR(VLOOKUP(M853,'02. MM-KLH'!$B$6:$T$823,4,0),"")</f>
        <v/>
      </c>
      <c r="M853" s="49"/>
      <c r="N853" s="356" t="str">
        <f>IFERROR(VLOOKUP(M853,'02. MM-KLH'!$B$6:$T$823,15,0),"")</f>
        <v/>
      </c>
      <c r="O853" s="764" t="str">
        <f>IFERROR(VLOOKUP(M853,'02. MM-KLH'!$B$6:$T$823,9,0),"")</f>
        <v/>
      </c>
      <c r="P853" s="353"/>
      <c r="Q853" s="353"/>
      <c r="R853" s="353"/>
      <c r="S853" s="353"/>
      <c r="T853" s="353"/>
      <c r="U853" s="353" t="str">
        <f>IFERROR(VLOOKUP(M853,'02. MM-KLH'!$B$6:$T$823,2,0),"")</f>
        <v/>
      </c>
      <c r="V853" s="731" t="str">
        <f>IFERROR(VLOOKUP(M853,'02. MM-KLH'!$B$6:$T$823,8,0),"")</f>
        <v/>
      </c>
      <c r="W853" s="353"/>
      <c r="X853" s="353"/>
      <c r="Y853" s="353"/>
      <c r="Z853" s="731" t="str">
        <f>IFERROR(VLOOKUP(M853,'02. MM-KLH'!$B$6:$T$823,3,0),"")</f>
        <v/>
      </c>
      <c r="AA853" s="353"/>
      <c r="AB853" s="731"/>
      <c r="AC853" s="731"/>
    </row>
    <row r="854" ht="13.8" spans="1:29">
      <c r="A854" s="731"/>
      <c r="B854" s="613" t="str">
        <f>IFERROR(VLOOKUP(M854,'02. MM-KLH'!$B$6:$T$823,6,0),"")</f>
        <v/>
      </c>
      <c r="C854" s="353"/>
      <c r="D854" s="353" t="str">
        <f>IFERROR(VLOOKUP(M854,'02. MM-KLH'!$B$6:$T$823,16,0),"")</f>
        <v/>
      </c>
      <c r="E854" s="353"/>
      <c r="F854" s="353"/>
      <c r="G854" s="353"/>
      <c r="H854" s="353" t="str">
        <f>IFERROR(VLOOKUP(M854,'02. MM-KLH'!$B$6:$T$823,17,0),"")</f>
        <v/>
      </c>
      <c r="I854" s="763" t="str">
        <f>IFERROR(VLOOKUP(M854,'02. MM-KLH'!$B$6:$U$823,20,0),"")</f>
        <v/>
      </c>
      <c r="J854" s="613" t="str">
        <f>IFERROR(VLOOKUP(M854,'02. MM-KLH'!$B$6:$T$823,19,0),"")</f>
        <v/>
      </c>
      <c r="K854" s="613" t="str">
        <f>IFERROR(VLOOKUP(M854,'02. MM-KLH'!$B$6:$T$823,18,0),"")</f>
        <v/>
      </c>
      <c r="L854" s="353" t="str">
        <f>IFERROR(VLOOKUP(M854,'02. MM-KLH'!$B$6:$T$823,4,0),"")</f>
        <v/>
      </c>
      <c r="M854" s="49"/>
      <c r="N854" s="356" t="str">
        <f>IFERROR(VLOOKUP(M854,'02. MM-KLH'!$B$6:$T$823,15,0),"")</f>
        <v/>
      </c>
      <c r="O854" s="764" t="str">
        <f>IFERROR(VLOOKUP(M854,'02. MM-KLH'!$B$6:$T$823,9,0),"")</f>
        <v/>
      </c>
      <c r="P854" s="353"/>
      <c r="Q854" s="353"/>
      <c r="R854" s="353"/>
      <c r="S854" s="353"/>
      <c r="T854" s="353"/>
      <c r="U854" s="353" t="str">
        <f>IFERROR(VLOOKUP(M854,'02. MM-KLH'!$B$6:$T$823,2,0),"")</f>
        <v/>
      </c>
      <c r="V854" s="731" t="str">
        <f>IFERROR(VLOOKUP(M854,'02. MM-KLH'!$B$6:$T$823,8,0),"")</f>
        <v/>
      </c>
      <c r="W854" s="353"/>
      <c r="X854" s="353"/>
      <c r="Y854" s="353"/>
      <c r="Z854" s="731" t="str">
        <f>IFERROR(VLOOKUP(M854,'02. MM-KLH'!$B$6:$T$823,3,0),"")</f>
        <v/>
      </c>
      <c r="AA854" s="353"/>
      <c r="AB854" s="731"/>
      <c r="AC854" s="731"/>
    </row>
    <row r="855" ht="13.8" spans="1:29">
      <c r="A855" s="731"/>
      <c r="B855" s="613" t="str">
        <f>IFERROR(VLOOKUP(M855,'02. MM-KLH'!$B$6:$T$823,6,0),"")</f>
        <v/>
      </c>
      <c r="C855" s="353"/>
      <c r="D855" s="353" t="str">
        <f>IFERROR(VLOOKUP(M855,'02. MM-KLH'!$B$6:$T$823,16,0),"")</f>
        <v/>
      </c>
      <c r="E855" s="353"/>
      <c r="F855" s="353"/>
      <c r="G855" s="353"/>
      <c r="H855" s="353" t="str">
        <f>IFERROR(VLOOKUP(M855,'02. MM-KLH'!$B$6:$T$823,17,0),"")</f>
        <v/>
      </c>
      <c r="I855" s="763" t="str">
        <f>IFERROR(VLOOKUP(M855,'02. MM-KLH'!$B$6:$U$823,20,0),"")</f>
        <v/>
      </c>
      <c r="J855" s="613" t="str">
        <f>IFERROR(VLOOKUP(M855,'02. MM-KLH'!$B$6:$T$823,19,0),"")</f>
        <v/>
      </c>
      <c r="K855" s="613" t="str">
        <f>IFERROR(VLOOKUP(M855,'02. MM-KLH'!$B$6:$T$823,18,0),"")</f>
        <v/>
      </c>
      <c r="L855" s="353" t="str">
        <f>IFERROR(VLOOKUP(M855,'02. MM-KLH'!$B$6:$T$823,4,0),"")</f>
        <v/>
      </c>
      <c r="M855" s="49"/>
      <c r="N855" s="356" t="str">
        <f>IFERROR(VLOOKUP(M855,'02. MM-KLH'!$B$6:$T$823,15,0),"")</f>
        <v/>
      </c>
      <c r="O855" s="764" t="str">
        <f>IFERROR(VLOOKUP(M855,'02. MM-KLH'!$B$6:$T$823,9,0),"")</f>
        <v/>
      </c>
      <c r="P855" s="353"/>
      <c r="Q855" s="353"/>
      <c r="R855" s="353"/>
      <c r="S855" s="353"/>
      <c r="T855" s="353"/>
      <c r="U855" s="353" t="str">
        <f>IFERROR(VLOOKUP(M855,'02. MM-KLH'!$B$6:$T$823,2,0),"")</f>
        <v/>
      </c>
      <c r="V855" s="731" t="str">
        <f>IFERROR(VLOOKUP(M855,'02. MM-KLH'!$B$6:$T$823,8,0),"")</f>
        <v/>
      </c>
      <c r="W855" s="353"/>
      <c r="X855" s="353"/>
      <c r="Y855" s="353"/>
      <c r="Z855" s="731" t="str">
        <f>IFERROR(VLOOKUP(M855,'02. MM-KLH'!$B$6:$T$823,3,0),"")</f>
        <v/>
      </c>
      <c r="AA855" s="353"/>
      <c r="AB855" s="731"/>
      <c r="AC855" s="731"/>
    </row>
    <row r="856" ht="13.8" spans="1:29">
      <c r="A856" s="731"/>
      <c r="B856" s="613" t="str">
        <f>IFERROR(VLOOKUP(M856,'02. MM-KLH'!$B$6:$T$823,6,0),"")</f>
        <v/>
      </c>
      <c r="C856" s="353"/>
      <c r="D856" s="353" t="str">
        <f>IFERROR(VLOOKUP(M856,'02. MM-KLH'!$B$6:$T$823,16,0),"")</f>
        <v/>
      </c>
      <c r="E856" s="353"/>
      <c r="F856" s="353"/>
      <c r="G856" s="353"/>
      <c r="H856" s="353" t="str">
        <f>IFERROR(VLOOKUP(M856,'02. MM-KLH'!$B$6:$T$823,17,0),"")</f>
        <v/>
      </c>
      <c r="I856" s="763" t="str">
        <f>IFERROR(VLOOKUP(M856,'02. MM-KLH'!$B$6:$U$823,20,0),"")</f>
        <v/>
      </c>
      <c r="J856" s="613" t="str">
        <f>IFERROR(VLOOKUP(M856,'02. MM-KLH'!$B$6:$T$823,19,0),"")</f>
        <v/>
      </c>
      <c r="K856" s="613" t="str">
        <f>IFERROR(VLOOKUP(M856,'02. MM-KLH'!$B$6:$T$823,18,0),"")</f>
        <v/>
      </c>
      <c r="L856" s="353" t="str">
        <f>IFERROR(VLOOKUP(M856,'02. MM-KLH'!$B$6:$T$823,4,0),"")</f>
        <v/>
      </c>
      <c r="M856" s="49"/>
      <c r="N856" s="356" t="str">
        <f>IFERROR(VLOOKUP(M856,'02. MM-KLH'!$B$6:$T$823,15,0),"")</f>
        <v/>
      </c>
      <c r="O856" s="764" t="str">
        <f>IFERROR(VLOOKUP(M856,'02. MM-KLH'!$B$6:$T$823,9,0),"")</f>
        <v/>
      </c>
      <c r="P856" s="353"/>
      <c r="Q856" s="353"/>
      <c r="R856" s="353"/>
      <c r="S856" s="353"/>
      <c r="T856" s="353"/>
      <c r="U856" s="353" t="str">
        <f>IFERROR(VLOOKUP(M856,'02. MM-KLH'!$B$6:$T$823,2,0),"")</f>
        <v/>
      </c>
      <c r="V856" s="731" t="str">
        <f>IFERROR(VLOOKUP(M856,'02. MM-KLH'!$B$6:$T$823,8,0),"")</f>
        <v/>
      </c>
      <c r="W856" s="353"/>
      <c r="X856" s="353"/>
      <c r="Y856" s="353"/>
      <c r="Z856" s="731" t="str">
        <f>IFERROR(VLOOKUP(M856,'02. MM-KLH'!$B$6:$T$823,3,0),"")</f>
        <v/>
      </c>
      <c r="AA856" s="353"/>
      <c r="AB856" s="731"/>
      <c r="AC856" s="731"/>
    </row>
    <row r="857" ht="13.8" spans="1:29">
      <c r="A857" s="731"/>
      <c r="B857" s="613" t="str">
        <f>IFERROR(VLOOKUP(M857,'02. MM-KLH'!$B$6:$T$823,6,0),"")</f>
        <v/>
      </c>
      <c r="C857" s="353"/>
      <c r="D857" s="353" t="str">
        <f>IFERROR(VLOOKUP(M857,'02. MM-KLH'!$B$6:$T$823,16,0),"")</f>
        <v/>
      </c>
      <c r="E857" s="353"/>
      <c r="F857" s="353"/>
      <c r="G857" s="353"/>
      <c r="H857" s="353" t="str">
        <f>IFERROR(VLOOKUP(M857,'02. MM-KLH'!$B$6:$T$823,17,0),"")</f>
        <v/>
      </c>
      <c r="I857" s="763" t="str">
        <f>IFERROR(VLOOKUP(M857,'02. MM-KLH'!$B$6:$U$823,20,0),"")</f>
        <v/>
      </c>
      <c r="J857" s="613" t="str">
        <f>IFERROR(VLOOKUP(M857,'02. MM-KLH'!$B$6:$T$823,19,0),"")</f>
        <v/>
      </c>
      <c r="K857" s="613" t="str">
        <f>IFERROR(VLOOKUP(M857,'02. MM-KLH'!$B$6:$T$823,18,0),"")</f>
        <v/>
      </c>
      <c r="L857" s="353" t="str">
        <f>IFERROR(VLOOKUP(M857,'02. MM-KLH'!$B$6:$T$823,4,0),"")</f>
        <v/>
      </c>
      <c r="M857" s="49"/>
      <c r="N857" s="356" t="str">
        <f>IFERROR(VLOOKUP(M857,'02. MM-KLH'!$B$6:$T$823,15,0),"")</f>
        <v/>
      </c>
      <c r="O857" s="764" t="str">
        <f>IFERROR(VLOOKUP(M857,'02. MM-KLH'!$B$6:$T$823,9,0),"")</f>
        <v/>
      </c>
      <c r="P857" s="353"/>
      <c r="Q857" s="353"/>
      <c r="R857" s="353"/>
      <c r="S857" s="353"/>
      <c r="T857" s="353"/>
      <c r="U857" s="353" t="str">
        <f>IFERROR(VLOOKUP(M857,'02. MM-KLH'!$B$6:$T$823,2,0),"")</f>
        <v/>
      </c>
      <c r="V857" s="731" t="str">
        <f>IFERROR(VLOOKUP(M857,'02. MM-KLH'!$B$6:$T$823,8,0),"")</f>
        <v/>
      </c>
      <c r="W857" s="353"/>
      <c r="X857" s="353"/>
      <c r="Y857" s="353"/>
      <c r="Z857" s="731" t="str">
        <f>IFERROR(VLOOKUP(M857,'02. MM-KLH'!$B$6:$T$823,3,0),"")</f>
        <v/>
      </c>
      <c r="AA857" s="353"/>
      <c r="AB857" s="731"/>
      <c r="AC857" s="731"/>
    </row>
    <row r="858" ht="13.8" spans="1:29">
      <c r="A858" s="731"/>
      <c r="B858" s="613" t="str">
        <f>IFERROR(VLOOKUP(M858,'02. MM-KLH'!$B$6:$T$823,6,0),"")</f>
        <v/>
      </c>
      <c r="C858" s="353"/>
      <c r="D858" s="353" t="str">
        <f>IFERROR(VLOOKUP(M858,'02. MM-KLH'!$B$6:$T$823,16,0),"")</f>
        <v/>
      </c>
      <c r="E858" s="353"/>
      <c r="F858" s="353"/>
      <c r="G858" s="353"/>
      <c r="H858" s="353" t="str">
        <f>IFERROR(VLOOKUP(M858,'02. MM-KLH'!$B$6:$T$823,17,0),"")</f>
        <v/>
      </c>
      <c r="I858" s="763" t="str">
        <f>IFERROR(VLOOKUP(M858,'02. MM-KLH'!$B$6:$U$823,20,0),"")</f>
        <v/>
      </c>
      <c r="J858" s="613" t="str">
        <f>IFERROR(VLOOKUP(M858,'02. MM-KLH'!$B$6:$T$823,19,0),"")</f>
        <v/>
      </c>
      <c r="K858" s="613" t="str">
        <f>IFERROR(VLOOKUP(M858,'02. MM-KLH'!$B$6:$T$823,18,0),"")</f>
        <v/>
      </c>
      <c r="L858" s="353" t="str">
        <f>IFERROR(VLOOKUP(M858,'02. MM-KLH'!$B$6:$T$823,4,0),"")</f>
        <v/>
      </c>
      <c r="M858" s="49"/>
      <c r="N858" s="356" t="str">
        <f>IFERROR(VLOOKUP(M858,'02. MM-KLH'!$B$6:$T$823,15,0),"")</f>
        <v/>
      </c>
      <c r="O858" s="764" t="str">
        <f>IFERROR(VLOOKUP(M858,'02. MM-KLH'!$B$6:$T$823,9,0),"")</f>
        <v/>
      </c>
      <c r="P858" s="353"/>
      <c r="Q858" s="353"/>
      <c r="R858" s="353"/>
      <c r="S858" s="353"/>
      <c r="T858" s="353"/>
      <c r="U858" s="353" t="str">
        <f>IFERROR(VLOOKUP(M858,'02. MM-KLH'!$B$6:$T$823,2,0),"")</f>
        <v/>
      </c>
      <c r="V858" s="731" t="str">
        <f>IFERROR(VLOOKUP(M858,'02. MM-KLH'!$B$6:$T$823,8,0),"")</f>
        <v/>
      </c>
      <c r="W858" s="353"/>
      <c r="X858" s="353"/>
      <c r="Y858" s="353"/>
      <c r="Z858" s="731" t="str">
        <f>IFERROR(VLOOKUP(M858,'02. MM-KLH'!$B$6:$T$823,3,0),"")</f>
        <v/>
      </c>
      <c r="AA858" s="353"/>
      <c r="AB858" s="731"/>
      <c r="AC858" s="731"/>
    </row>
    <row r="859" ht="13.8" spans="1:29">
      <c r="A859" s="731"/>
      <c r="B859" s="613" t="str">
        <f>IFERROR(VLOOKUP(M859,'02. MM-KLH'!$B$6:$T$823,6,0),"")</f>
        <v/>
      </c>
      <c r="C859" s="353"/>
      <c r="D859" s="353" t="str">
        <f>IFERROR(VLOOKUP(M859,'02. MM-KLH'!$B$6:$T$823,16,0),"")</f>
        <v/>
      </c>
      <c r="E859" s="353"/>
      <c r="F859" s="353"/>
      <c r="G859" s="353"/>
      <c r="H859" s="353" t="str">
        <f>IFERROR(VLOOKUP(M859,'02. MM-KLH'!$B$6:$T$823,17,0),"")</f>
        <v/>
      </c>
      <c r="I859" s="763" t="str">
        <f>IFERROR(VLOOKUP(M859,'02. MM-KLH'!$B$6:$U$823,20,0),"")</f>
        <v/>
      </c>
      <c r="J859" s="613" t="str">
        <f>IFERROR(VLOOKUP(M859,'02. MM-KLH'!$B$6:$T$823,19,0),"")</f>
        <v/>
      </c>
      <c r="K859" s="613" t="str">
        <f>IFERROR(VLOOKUP(M859,'02. MM-KLH'!$B$6:$T$823,18,0),"")</f>
        <v/>
      </c>
      <c r="L859" s="353" t="str">
        <f>IFERROR(VLOOKUP(M859,'02. MM-KLH'!$B$6:$T$823,4,0),"")</f>
        <v/>
      </c>
      <c r="M859" s="49"/>
      <c r="N859" s="356" t="str">
        <f>IFERROR(VLOOKUP(M859,'02. MM-KLH'!$B$6:$T$823,15,0),"")</f>
        <v/>
      </c>
      <c r="O859" s="764" t="str">
        <f>IFERROR(VLOOKUP(M859,'02. MM-KLH'!$B$6:$T$823,9,0),"")</f>
        <v/>
      </c>
      <c r="P859" s="353"/>
      <c r="Q859" s="353"/>
      <c r="R859" s="353"/>
      <c r="S859" s="353"/>
      <c r="T859" s="353"/>
      <c r="U859" s="353" t="str">
        <f>IFERROR(VLOOKUP(M859,'02. MM-KLH'!$B$6:$T$823,2,0),"")</f>
        <v/>
      </c>
      <c r="V859" s="731" t="str">
        <f>IFERROR(VLOOKUP(M859,'02. MM-KLH'!$B$6:$T$823,8,0),"")</f>
        <v/>
      </c>
      <c r="W859" s="353"/>
      <c r="X859" s="353"/>
      <c r="Y859" s="353"/>
      <c r="Z859" s="731" t="str">
        <f>IFERROR(VLOOKUP(M859,'02. MM-KLH'!$B$6:$T$823,3,0),"")</f>
        <v/>
      </c>
      <c r="AA859" s="353"/>
      <c r="AB859" s="731"/>
      <c r="AC859" s="731"/>
    </row>
    <row r="860" ht="13.8" spans="1:29">
      <c r="A860" s="731"/>
      <c r="B860" s="613" t="str">
        <f>IFERROR(VLOOKUP(M860,'02. MM-KLH'!$B$6:$T$823,6,0),"")</f>
        <v/>
      </c>
      <c r="C860" s="353"/>
      <c r="D860" s="353" t="str">
        <f>IFERROR(VLOOKUP(M860,'02. MM-KLH'!$B$6:$T$823,16,0),"")</f>
        <v/>
      </c>
      <c r="E860" s="353"/>
      <c r="F860" s="353"/>
      <c r="G860" s="353"/>
      <c r="H860" s="353" t="str">
        <f>IFERROR(VLOOKUP(M860,'02. MM-KLH'!$B$6:$T$823,17,0),"")</f>
        <v/>
      </c>
      <c r="I860" s="763" t="str">
        <f>IFERROR(VLOOKUP(M860,'02. MM-KLH'!$B$6:$U$823,20,0),"")</f>
        <v/>
      </c>
      <c r="J860" s="613" t="str">
        <f>IFERROR(VLOOKUP(M860,'02. MM-KLH'!$B$6:$T$823,19,0),"")</f>
        <v/>
      </c>
      <c r="K860" s="613" t="str">
        <f>IFERROR(VLOOKUP(M860,'02. MM-KLH'!$B$6:$T$823,18,0),"")</f>
        <v/>
      </c>
      <c r="L860" s="353" t="str">
        <f>IFERROR(VLOOKUP(M860,'02. MM-KLH'!$B$6:$T$823,4,0),"")</f>
        <v/>
      </c>
      <c r="M860" s="49"/>
      <c r="N860" s="356" t="str">
        <f>IFERROR(VLOOKUP(M860,'02. MM-KLH'!$B$6:$T$823,15,0),"")</f>
        <v/>
      </c>
      <c r="O860" s="764" t="str">
        <f>IFERROR(VLOOKUP(M860,'02. MM-KLH'!$B$6:$T$823,9,0),"")</f>
        <v/>
      </c>
      <c r="P860" s="353"/>
      <c r="Q860" s="353"/>
      <c r="R860" s="353"/>
      <c r="S860" s="353"/>
      <c r="T860" s="353"/>
      <c r="U860" s="353" t="str">
        <f>IFERROR(VLOOKUP(M860,'02. MM-KLH'!$B$6:$T$823,2,0),"")</f>
        <v/>
      </c>
      <c r="V860" s="731" t="str">
        <f>IFERROR(VLOOKUP(M860,'02. MM-KLH'!$B$6:$T$823,8,0),"")</f>
        <v/>
      </c>
      <c r="W860" s="353"/>
      <c r="X860" s="353"/>
      <c r="Y860" s="353"/>
      <c r="Z860" s="731" t="str">
        <f>IFERROR(VLOOKUP(M860,'02. MM-KLH'!$B$6:$T$823,3,0),"")</f>
        <v/>
      </c>
      <c r="AA860" s="353"/>
      <c r="AB860" s="731"/>
      <c r="AC860" s="731"/>
    </row>
    <row r="861" ht="13.8" spans="1:29">
      <c r="A861" s="731"/>
      <c r="B861" s="613" t="str">
        <f>IFERROR(VLOOKUP(M861,'02. MM-KLH'!$B$6:$T$823,6,0),"")</f>
        <v/>
      </c>
      <c r="C861" s="353"/>
      <c r="D861" s="353" t="str">
        <f>IFERROR(VLOOKUP(M861,'02. MM-KLH'!$B$6:$T$823,16,0),"")</f>
        <v/>
      </c>
      <c r="E861" s="353"/>
      <c r="F861" s="353"/>
      <c r="G861" s="353"/>
      <c r="H861" s="353" t="str">
        <f>IFERROR(VLOOKUP(M861,'02. MM-KLH'!$B$6:$T$823,17,0),"")</f>
        <v/>
      </c>
      <c r="I861" s="763" t="str">
        <f>IFERROR(VLOOKUP(M861,'02. MM-KLH'!$B$6:$U$823,20,0),"")</f>
        <v/>
      </c>
      <c r="J861" s="613" t="str">
        <f>IFERROR(VLOOKUP(M861,'02. MM-KLH'!$B$6:$T$823,19,0),"")</f>
        <v/>
      </c>
      <c r="K861" s="613" t="str">
        <f>IFERROR(VLOOKUP(M861,'02. MM-KLH'!$B$6:$T$823,18,0),"")</f>
        <v/>
      </c>
      <c r="L861" s="353" t="str">
        <f>IFERROR(VLOOKUP(M861,'02. MM-KLH'!$B$6:$T$823,4,0),"")</f>
        <v/>
      </c>
      <c r="M861" s="49"/>
      <c r="N861" s="356" t="str">
        <f>IFERROR(VLOOKUP(M861,'02. MM-KLH'!$B$6:$T$823,15,0),"")</f>
        <v/>
      </c>
      <c r="O861" s="764" t="str">
        <f>IFERROR(VLOOKUP(M861,'02. MM-KLH'!$B$6:$T$823,9,0),"")</f>
        <v/>
      </c>
      <c r="P861" s="353"/>
      <c r="Q861" s="353"/>
      <c r="R861" s="353"/>
      <c r="S861" s="353"/>
      <c r="T861" s="353"/>
      <c r="U861" s="353" t="str">
        <f>IFERROR(VLOOKUP(M861,'02. MM-KLH'!$B$6:$T$823,2,0),"")</f>
        <v/>
      </c>
      <c r="V861" s="731" t="str">
        <f>IFERROR(VLOOKUP(M861,'02. MM-KLH'!$B$6:$T$823,8,0),"")</f>
        <v/>
      </c>
      <c r="W861" s="353"/>
      <c r="X861" s="353"/>
      <c r="Y861" s="353"/>
      <c r="Z861" s="731" t="str">
        <f>IFERROR(VLOOKUP(M861,'02. MM-KLH'!$B$6:$T$823,3,0),"")</f>
        <v/>
      </c>
      <c r="AA861" s="353"/>
      <c r="AB861" s="731"/>
      <c r="AC861" s="731"/>
    </row>
    <row r="862" ht="13.8" spans="1:29">
      <c r="A862" s="353"/>
      <c r="B862" s="613"/>
      <c r="C862" s="353"/>
      <c r="D862" s="353"/>
      <c r="E862" s="353"/>
      <c r="F862" s="353"/>
      <c r="G862" s="353"/>
      <c r="H862" s="353"/>
      <c r="I862" s="731"/>
      <c r="J862" s="613"/>
      <c r="K862" s="613"/>
      <c r="L862" s="353"/>
      <c r="M862" s="353"/>
      <c r="N862" s="353"/>
      <c r="O862" s="764"/>
      <c r="P862" s="353"/>
      <c r="Q862" s="353"/>
      <c r="R862" s="353"/>
      <c r="S862" s="353"/>
      <c r="T862" s="353"/>
      <c r="U862" s="353"/>
      <c r="V862" s="731"/>
      <c r="W862" s="353"/>
      <c r="X862" s="353"/>
      <c r="Y862" s="353"/>
      <c r="Z862" s="731"/>
      <c r="AA862" s="353"/>
      <c r="AB862" s="731"/>
      <c r="AC862" s="731"/>
    </row>
    <row r="863" ht="13.8" spans="1:29">
      <c r="A863" s="353"/>
      <c r="B863" s="613"/>
      <c r="C863" s="353"/>
      <c r="D863" s="353"/>
      <c r="E863" s="353"/>
      <c r="F863" s="353"/>
      <c r="G863" s="353"/>
      <c r="H863" s="353"/>
      <c r="I863" s="731"/>
      <c r="J863" s="613"/>
      <c r="K863" s="613"/>
      <c r="L863" s="353"/>
      <c r="M863" s="353"/>
      <c r="N863" s="353"/>
      <c r="O863" s="764"/>
      <c r="P863" s="353"/>
      <c r="Q863" s="353"/>
      <c r="R863" s="353"/>
      <c r="S863" s="353"/>
      <c r="T863" s="353"/>
      <c r="U863" s="353"/>
      <c r="V863" s="731"/>
      <c r="W863" s="353"/>
      <c r="X863" s="353"/>
      <c r="Y863" s="353"/>
      <c r="Z863" s="731"/>
      <c r="AA863" s="353"/>
      <c r="AB863" s="731"/>
      <c r="AC863" s="731"/>
    </row>
    <row r="864" ht="13.8" spans="1:29">
      <c r="A864" s="353"/>
      <c r="B864" s="613"/>
      <c r="C864" s="353"/>
      <c r="D864" s="353"/>
      <c r="E864" s="353"/>
      <c r="F864" s="353"/>
      <c r="G864" s="353"/>
      <c r="H864" s="353"/>
      <c r="I864" s="731"/>
      <c r="J864" s="613"/>
      <c r="K864" s="613"/>
      <c r="L864" s="353"/>
      <c r="M864" s="353"/>
      <c r="N864" s="353"/>
      <c r="O864" s="764"/>
      <c r="P864" s="353"/>
      <c r="Q864" s="353"/>
      <c r="R864" s="353"/>
      <c r="S864" s="353"/>
      <c r="T864" s="353"/>
      <c r="U864" s="353"/>
      <c r="V864" s="731"/>
      <c r="W864" s="353"/>
      <c r="X864" s="353"/>
      <c r="Y864" s="353"/>
      <c r="Z864" s="731"/>
      <c r="AA864" s="353"/>
      <c r="AB864" s="731"/>
      <c r="AC864" s="731"/>
    </row>
    <row r="865" ht="13.8" spans="1:29">
      <c r="A865" s="353"/>
      <c r="B865" s="613"/>
      <c r="C865" s="353"/>
      <c r="D865" s="353"/>
      <c r="E865" s="353"/>
      <c r="F865" s="353"/>
      <c r="G865" s="353"/>
      <c r="H865" s="353"/>
      <c r="I865" s="731"/>
      <c r="J865" s="613"/>
      <c r="K865" s="613"/>
      <c r="L865" s="353"/>
      <c r="M865" s="353"/>
      <c r="N865" s="353"/>
      <c r="O865" s="764"/>
      <c r="P865" s="353"/>
      <c r="Q865" s="353"/>
      <c r="R865" s="353"/>
      <c r="S865" s="353"/>
      <c r="T865" s="353"/>
      <c r="U865" s="353"/>
      <c r="V865" s="731"/>
      <c r="W865" s="353"/>
      <c r="X865" s="353"/>
      <c r="Y865" s="353"/>
      <c r="Z865" s="731"/>
      <c r="AA865" s="353"/>
      <c r="AB865" s="731"/>
      <c r="AC865" s="731"/>
    </row>
    <row r="866" ht="13.8" spans="1:29">
      <c r="A866" s="353"/>
      <c r="B866" s="613"/>
      <c r="C866" s="353"/>
      <c r="D866" s="353"/>
      <c r="E866" s="353"/>
      <c r="F866" s="353"/>
      <c r="G866" s="353"/>
      <c r="H866" s="353"/>
      <c r="I866" s="731"/>
      <c r="J866" s="613"/>
      <c r="K866" s="613"/>
      <c r="L866" s="353"/>
      <c r="M866" s="353"/>
      <c r="N866" s="353"/>
      <c r="O866" s="764"/>
      <c r="P866" s="353"/>
      <c r="Q866" s="353"/>
      <c r="R866" s="353"/>
      <c r="S866" s="353"/>
      <c r="T866" s="353"/>
      <c r="U866" s="353"/>
      <c r="V866" s="731"/>
      <c r="W866" s="353"/>
      <c r="X866" s="353"/>
      <c r="Y866" s="353"/>
      <c r="Z866" s="731"/>
      <c r="AA866" s="353"/>
      <c r="AB866" s="731"/>
      <c r="AC866" s="731"/>
    </row>
    <row r="867" ht="13.8" spans="1:29">
      <c r="A867" s="353"/>
      <c r="B867" s="613"/>
      <c r="C867" s="353"/>
      <c r="D867" s="353"/>
      <c r="E867" s="353"/>
      <c r="F867" s="353"/>
      <c r="G867" s="353"/>
      <c r="H867" s="353"/>
      <c r="I867" s="731"/>
      <c r="J867" s="613"/>
      <c r="K867" s="613"/>
      <c r="L867" s="353"/>
      <c r="M867" s="353"/>
      <c r="N867" s="353"/>
      <c r="O867" s="764"/>
      <c r="P867" s="353"/>
      <c r="Q867" s="353"/>
      <c r="R867" s="353"/>
      <c r="S867" s="353"/>
      <c r="T867" s="353"/>
      <c r="U867" s="353"/>
      <c r="V867" s="731"/>
      <c r="W867" s="353"/>
      <c r="X867" s="353"/>
      <c r="Y867" s="353"/>
      <c r="Z867" s="731"/>
      <c r="AA867" s="353"/>
      <c r="AB867" s="731"/>
      <c r="AC867" s="731"/>
    </row>
    <row r="868" ht="13.8" spans="1:29">
      <c r="A868" s="353"/>
      <c r="B868" s="613"/>
      <c r="C868" s="353"/>
      <c r="D868" s="353"/>
      <c r="E868" s="353"/>
      <c r="F868" s="353"/>
      <c r="G868" s="353"/>
      <c r="H868" s="353"/>
      <c r="I868" s="731"/>
      <c r="J868" s="613"/>
      <c r="K868" s="613"/>
      <c r="L868" s="353"/>
      <c r="M868" s="353"/>
      <c r="N868" s="353"/>
      <c r="O868" s="764"/>
      <c r="P868" s="353"/>
      <c r="Q868" s="353"/>
      <c r="R868" s="353"/>
      <c r="S868" s="353"/>
      <c r="T868" s="353"/>
      <c r="U868" s="353"/>
      <c r="V868" s="731"/>
      <c r="W868" s="353"/>
      <c r="X868" s="353"/>
      <c r="Y868" s="353"/>
      <c r="Z868" s="731"/>
      <c r="AA868" s="353"/>
      <c r="AB868" s="731"/>
      <c r="AC868" s="731"/>
    </row>
    <row r="869" ht="13.8" spans="1:29">
      <c r="A869" s="353"/>
      <c r="B869" s="613"/>
      <c r="C869" s="353"/>
      <c r="D869" s="353"/>
      <c r="E869" s="353"/>
      <c r="F869" s="353"/>
      <c r="G869" s="353"/>
      <c r="H869" s="353"/>
      <c r="I869" s="731"/>
      <c r="J869" s="613"/>
      <c r="K869" s="613"/>
      <c r="L869" s="353"/>
      <c r="M869" s="353"/>
      <c r="N869" s="353"/>
      <c r="O869" s="764"/>
      <c r="P869" s="353"/>
      <c r="Q869" s="353"/>
      <c r="R869" s="353"/>
      <c r="S869" s="353"/>
      <c r="T869" s="353"/>
      <c r="U869" s="353"/>
      <c r="V869" s="731"/>
      <c r="W869" s="353"/>
      <c r="X869" s="353"/>
      <c r="Y869" s="353"/>
      <c r="Z869" s="731"/>
      <c r="AA869" s="353"/>
      <c r="AB869" s="731"/>
      <c r="AC869" s="731"/>
    </row>
    <row r="870" ht="13.8" spans="1:29">
      <c r="A870" s="353"/>
      <c r="B870" s="613"/>
      <c r="C870" s="353"/>
      <c r="D870" s="353"/>
      <c r="E870" s="353"/>
      <c r="F870" s="353"/>
      <c r="G870" s="353"/>
      <c r="H870" s="353"/>
      <c r="I870" s="731"/>
      <c r="J870" s="613"/>
      <c r="K870" s="613"/>
      <c r="L870" s="353"/>
      <c r="M870" s="353"/>
      <c r="N870" s="353"/>
      <c r="O870" s="764"/>
      <c r="P870" s="353"/>
      <c r="Q870" s="353"/>
      <c r="R870" s="353"/>
      <c r="S870" s="353"/>
      <c r="T870" s="353"/>
      <c r="U870" s="353"/>
      <c r="V870" s="731"/>
      <c r="W870" s="353"/>
      <c r="X870" s="353"/>
      <c r="Y870" s="353"/>
      <c r="Z870" s="731"/>
      <c r="AA870" s="353"/>
      <c r="AB870" s="731"/>
      <c r="AC870" s="731"/>
    </row>
    <row r="871" ht="13.8" spans="1:29">
      <c r="A871" s="353"/>
      <c r="B871" s="613"/>
      <c r="C871" s="353"/>
      <c r="D871" s="353"/>
      <c r="E871" s="353"/>
      <c r="F871" s="353"/>
      <c r="G871" s="353"/>
      <c r="H871" s="353"/>
      <c r="I871" s="731"/>
      <c r="J871" s="613"/>
      <c r="K871" s="613"/>
      <c r="L871" s="353"/>
      <c r="M871" s="353"/>
      <c r="N871" s="353"/>
      <c r="O871" s="764"/>
      <c r="P871" s="353"/>
      <c r="Q871" s="353"/>
      <c r="R871" s="353"/>
      <c r="S871" s="353"/>
      <c r="T871" s="353"/>
      <c r="U871" s="353"/>
      <c r="V871" s="731"/>
      <c r="W871" s="353"/>
      <c r="X871" s="353"/>
      <c r="Y871" s="353"/>
      <c r="Z871" s="731"/>
      <c r="AA871" s="353"/>
      <c r="AB871" s="731"/>
      <c r="AC871" s="731"/>
    </row>
    <row r="872" ht="13.8" spans="1:29">
      <c r="A872" s="353"/>
      <c r="B872" s="613"/>
      <c r="C872" s="353"/>
      <c r="D872" s="353"/>
      <c r="E872" s="353"/>
      <c r="F872" s="353"/>
      <c r="G872" s="353"/>
      <c r="H872" s="353"/>
      <c r="I872" s="731"/>
      <c r="J872" s="613"/>
      <c r="K872" s="613"/>
      <c r="L872" s="353"/>
      <c r="M872" s="353"/>
      <c r="N872" s="353"/>
      <c r="O872" s="764"/>
      <c r="P872" s="353"/>
      <c r="Q872" s="353"/>
      <c r="R872" s="353"/>
      <c r="S872" s="353"/>
      <c r="T872" s="353"/>
      <c r="U872" s="353"/>
      <c r="V872" s="731"/>
      <c r="W872" s="353"/>
      <c r="X872" s="353"/>
      <c r="Y872" s="353"/>
      <c r="Z872" s="731"/>
      <c r="AA872" s="353"/>
      <c r="AB872" s="731"/>
      <c r="AC872" s="731"/>
    </row>
    <row r="873" ht="13.8" spans="1:29">
      <c r="A873" s="353"/>
      <c r="B873" s="613"/>
      <c r="C873" s="353"/>
      <c r="D873" s="353"/>
      <c r="E873" s="353"/>
      <c r="F873" s="353"/>
      <c r="G873" s="353"/>
      <c r="H873" s="353"/>
      <c r="I873" s="731"/>
      <c r="J873" s="613"/>
      <c r="K873" s="613"/>
      <c r="L873" s="353"/>
      <c r="M873" s="353"/>
      <c r="N873" s="353"/>
      <c r="O873" s="764"/>
      <c r="P873" s="353"/>
      <c r="Q873" s="353"/>
      <c r="R873" s="353"/>
      <c r="S873" s="353"/>
      <c r="T873" s="353"/>
      <c r="U873" s="353"/>
      <c r="V873" s="731"/>
      <c r="W873" s="353"/>
      <c r="X873" s="353"/>
      <c r="Y873" s="353"/>
      <c r="Z873" s="731"/>
      <c r="AA873" s="353"/>
      <c r="AB873" s="731"/>
      <c r="AC873" s="731"/>
    </row>
    <row r="874" ht="13.8" spans="1:29">
      <c r="A874" s="353"/>
      <c r="B874" s="613"/>
      <c r="C874" s="353"/>
      <c r="D874" s="353"/>
      <c r="E874" s="353"/>
      <c r="F874" s="353"/>
      <c r="G874" s="353"/>
      <c r="H874" s="353"/>
      <c r="I874" s="731"/>
      <c r="J874" s="613"/>
      <c r="K874" s="613"/>
      <c r="L874" s="353"/>
      <c r="M874" s="353"/>
      <c r="N874" s="353"/>
      <c r="O874" s="764"/>
      <c r="P874" s="353"/>
      <c r="Q874" s="353"/>
      <c r="R874" s="353"/>
      <c r="S874" s="353"/>
      <c r="T874" s="353"/>
      <c r="U874" s="353"/>
      <c r="V874" s="731"/>
      <c r="W874" s="353"/>
      <c r="X874" s="353"/>
      <c r="Y874" s="353"/>
      <c r="Z874" s="731"/>
      <c r="AA874" s="353"/>
      <c r="AB874" s="731"/>
      <c r="AC874" s="731"/>
    </row>
    <row r="875" ht="13.8" spans="1:29">
      <c r="A875" s="353"/>
      <c r="B875" s="613"/>
      <c r="C875" s="353"/>
      <c r="D875" s="353"/>
      <c r="E875" s="353"/>
      <c r="F875" s="353"/>
      <c r="G875" s="353"/>
      <c r="H875" s="353"/>
      <c r="I875" s="731"/>
      <c r="J875" s="613"/>
      <c r="K875" s="613"/>
      <c r="L875" s="353"/>
      <c r="M875" s="353"/>
      <c r="N875" s="353"/>
      <c r="O875" s="764"/>
      <c r="P875" s="353"/>
      <c r="Q875" s="353"/>
      <c r="R875" s="353"/>
      <c r="S875" s="353"/>
      <c r="T875" s="353"/>
      <c r="U875" s="353"/>
      <c r="V875" s="731"/>
      <c r="W875" s="353"/>
      <c r="X875" s="353"/>
      <c r="Y875" s="353"/>
      <c r="Z875" s="731"/>
      <c r="AA875" s="353"/>
      <c r="AB875" s="731"/>
      <c r="AC875" s="731"/>
    </row>
    <row r="876" ht="13.8" spans="1:29">
      <c r="A876" s="353"/>
      <c r="B876" s="613"/>
      <c r="C876" s="353"/>
      <c r="D876" s="353"/>
      <c r="E876" s="353"/>
      <c r="F876" s="353"/>
      <c r="G876" s="353"/>
      <c r="H876" s="353"/>
      <c r="I876" s="731"/>
      <c r="J876" s="613"/>
      <c r="K876" s="613"/>
      <c r="L876" s="353"/>
      <c r="M876" s="353"/>
      <c r="N876" s="353"/>
      <c r="O876" s="764"/>
      <c r="P876" s="353"/>
      <c r="Q876" s="353"/>
      <c r="R876" s="353"/>
      <c r="S876" s="353"/>
      <c r="T876" s="353"/>
      <c r="U876" s="353"/>
      <c r="V876" s="731"/>
      <c r="W876" s="353"/>
      <c r="X876" s="353"/>
      <c r="Y876" s="353"/>
      <c r="Z876" s="731"/>
      <c r="AA876" s="353"/>
      <c r="AB876" s="731"/>
      <c r="AC876" s="731"/>
    </row>
    <row r="877" ht="13.8" spans="1:29">
      <c r="A877" s="353"/>
      <c r="B877" s="613"/>
      <c r="C877" s="353"/>
      <c r="D877" s="353"/>
      <c r="E877" s="353"/>
      <c r="F877" s="353"/>
      <c r="G877" s="353"/>
      <c r="H877" s="353"/>
      <c r="I877" s="731"/>
      <c r="J877" s="613"/>
      <c r="K877" s="613"/>
      <c r="L877" s="353"/>
      <c r="M877" s="353"/>
      <c r="N877" s="353"/>
      <c r="O877" s="764"/>
      <c r="P877" s="353"/>
      <c r="Q877" s="353"/>
      <c r="R877" s="353"/>
      <c r="S877" s="353"/>
      <c r="T877" s="353"/>
      <c r="U877" s="353"/>
      <c r="V877" s="731"/>
      <c r="W877" s="353"/>
      <c r="X877" s="353"/>
      <c r="Y877" s="353"/>
      <c r="Z877" s="731"/>
      <c r="AA877" s="353"/>
      <c r="AB877" s="731"/>
      <c r="AC877" s="731"/>
    </row>
    <row r="878" ht="13.8" spans="1:29">
      <c r="A878" s="353"/>
      <c r="B878" s="613"/>
      <c r="C878" s="353"/>
      <c r="D878" s="353"/>
      <c r="E878" s="353"/>
      <c r="F878" s="353"/>
      <c r="G878" s="353"/>
      <c r="H878" s="353"/>
      <c r="I878" s="731"/>
      <c r="J878" s="613"/>
      <c r="K878" s="613"/>
      <c r="L878" s="353"/>
      <c r="M878" s="353"/>
      <c r="N878" s="353"/>
      <c r="O878" s="764"/>
      <c r="P878" s="353"/>
      <c r="Q878" s="353"/>
      <c r="R878" s="353"/>
      <c r="S878" s="353"/>
      <c r="T878" s="353"/>
      <c r="U878" s="353"/>
      <c r="V878" s="731"/>
      <c r="W878" s="353"/>
      <c r="X878" s="353"/>
      <c r="Y878" s="353"/>
      <c r="Z878" s="731"/>
      <c r="AA878" s="353"/>
      <c r="AB878" s="731"/>
      <c r="AC878" s="731"/>
    </row>
    <row r="879" ht="13.8" spans="1:29">
      <c r="A879" s="353"/>
      <c r="B879" s="613"/>
      <c r="C879" s="353"/>
      <c r="D879" s="353"/>
      <c r="E879" s="353"/>
      <c r="F879" s="353"/>
      <c r="G879" s="353"/>
      <c r="H879" s="353"/>
      <c r="I879" s="731"/>
      <c r="J879" s="613"/>
      <c r="K879" s="613"/>
      <c r="L879" s="353"/>
      <c r="M879" s="353"/>
      <c r="N879" s="353"/>
      <c r="O879" s="764"/>
      <c r="P879" s="353"/>
      <c r="Q879" s="353"/>
      <c r="R879" s="353"/>
      <c r="S879" s="353"/>
      <c r="T879" s="353"/>
      <c r="U879" s="353"/>
      <c r="V879" s="731"/>
      <c r="W879" s="353"/>
      <c r="X879" s="353"/>
      <c r="Y879" s="353"/>
      <c r="Z879" s="731"/>
      <c r="AA879" s="353"/>
      <c r="AB879" s="731"/>
      <c r="AC879" s="731"/>
    </row>
    <row r="880" ht="13.8" spans="1:29">
      <c r="A880" s="353"/>
      <c r="B880" s="613"/>
      <c r="C880" s="353"/>
      <c r="D880" s="353"/>
      <c r="E880" s="353"/>
      <c r="F880" s="353"/>
      <c r="G880" s="353"/>
      <c r="H880" s="353"/>
      <c r="I880" s="731"/>
      <c r="J880" s="613"/>
      <c r="K880" s="613"/>
      <c r="L880" s="353"/>
      <c r="M880" s="353"/>
      <c r="N880" s="353"/>
      <c r="O880" s="764"/>
      <c r="P880" s="353"/>
      <c r="Q880" s="353"/>
      <c r="R880" s="353"/>
      <c r="S880" s="353"/>
      <c r="T880" s="353"/>
      <c r="U880" s="353"/>
      <c r="V880" s="731"/>
      <c r="W880" s="353"/>
      <c r="X880" s="353"/>
      <c r="Y880" s="353"/>
      <c r="Z880" s="731"/>
      <c r="AA880" s="353"/>
      <c r="AB880" s="731"/>
      <c r="AC880" s="731"/>
    </row>
    <row r="881" ht="13.8" spans="1:29">
      <c r="A881" s="353"/>
      <c r="B881" s="613"/>
      <c r="C881" s="353"/>
      <c r="D881" s="353"/>
      <c r="E881" s="353"/>
      <c r="F881" s="353"/>
      <c r="G881" s="353"/>
      <c r="H881" s="353"/>
      <c r="I881" s="731"/>
      <c r="J881" s="613"/>
      <c r="K881" s="613"/>
      <c r="L881" s="353"/>
      <c r="M881" s="353"/>
      <c r="N881" s="353"/>
      <c r="O881" s="764"/>
      <c r="P881" s="353"/>
      <c r="Q881" s="353"/>
      <c r="R881" s="353"/>
      <c r="S881" s="353"/>
      <c r="T881" s="353"/>
      <c r="U881" s="353"/>
      <c r="V881" s="731"/>
      <c r="W881" s="353"/>
      <c r="X881" s="353"/>
      <c r="Y881" s="353"/>
      <c r="Z881" s="731"/>
      <c r="AA881" s="353"/>
      <c r="AB881" s="731"/>
      <c r="AC881" s="731"/>
    </row>
    <row r="882" ht="13.8" spans="1:29">
      <c r="A882" s="353"/>
      <c r="B882" s="613"/>
      <c r="C882" s="353"/>
      <c r="D882" s="353"/>
      <c r="E882" s="353"/>
      <c r="F882" s="353"/>
      <c r="G882" s="353"/>
      <c r="H882" s="353"/>
      <c r="I882" s="731"/>
      <c r="J882" s="613"/>
      <c r="K882" s="613"/>
      <c r="L882" s="353"/>
      <c r="M882" s="353"/>
      <c r="N882" s="353"/>
      <c r="O882" s="764"/>
      <c r="P882" s="353"/>
      <c r="Q882" s="353"/>
      <c r="R882" s="353"/>
      <c r="S882" s="353"/>
      <c r="T882" s="353"/>
      <c r="U882" s="353"/>
      <c r="V882" s="731"/>
      <c r="W882" s="353"/>
      <c r="X882" s="353"/>
      <c r="Y882" s="353"/>
      <c r="Z882" s="731"/>
      <c r="AA882" s="353"/>
      <c r="AB882" s="731"/>
      <c r="AC882" s="731"/>
    </row>
    <row r="883" ht="13.8" spans="1:29">
      <c r="A883" s="353"/>
      <c r="B883" s="613"/>
      <c r="C883" s="353"/>
      <c r="D883" s="353"/>
      <c r="E883" s="353"/>
      <c r="F883" s="353"/>
      <c r="G883" s="353"/>
      <c r="H883" s="353"/>
      <c r="I883" s="731"/>
      <c r="J883" s="613"/>
      <c r="K883" s="613"/>
      <c r="L883" s="353"/>
      <c r="M883" s="353"/>
      <c r="N883" s="353"/>
      <c r="O883" s="764"/>
      <c r="P883" s="353"/>
      <c r="Q883" s="353"/>
      <c r="R883" s="353"/>
      <c r="S883" s="353"/>
      <c r="T883" s="353"/>
      <c r="U883" s="353"/>
      <c r="V883" s="731"/>
      <c r="W883" s="353"/>
      <c r="X883" s="353"/>
      <c r="Y883" s="353"/>
      <c r="Z883" s="731"/>
      <c r="AA883" s="353"/>
      <c r="AB883" s="731"/>
      <c r="AC883" s="731"/>
    </row>
    <row r="884" ht="13.8" spans="1:29">
      <c r="A884" s="353"/>
      <c r="B884" s="613"/>
      <c r="C884" s="353"/>
      <c r="D884" s="353"/>
      <c r="E884" s="353"/>
      <c r="F884" s="353"/>
      <c r="G884" s="353"/>
      <c r="H884" s="353"/>
      <c r="I884" s="731"/>
      <c r="J884" s="613"/>
      <c r="K884" s="613"/>
      <c r="L884" s="353"/>
      <c r="M884" s="353"/>
      <c r="N884" s="353"/>
      <c r="O884" s="764"/>
      <c r="P884" s="353"/>
      <c r="Q884" s="353"/>
      <c r="R884" s="353"/>
      <c r="S884" s="353"/>
      <c r="T884" s="353"/>
      <c r="U884" s="353"/>
      <c r="V884" s="731"/>
      <c r="W884" s="353"/>
      <c r="X884" s="353"/>
      <c r="Y884" s="353"/>
      <c r="Z884" s="731"/>
      <c r="AA884" s="353"/>
      <c r="AB884" s="731"/>
      <c r="AC884" s="731"/>
    </row>
    <row r="885" ht="13.8" spans="1:29">
      <c r="A885" s="353"/>
      <c r="B885" s="613"/>
      <c r="C885" s="353"/>
      <c r="D885" s="353"/>
      <c r="E885" s="353"/>
      <c r="F885" s="353"/>
      <c r="G885" s="353"/>
      <c r="H885" s="353"/>
      <c r="I885" s="731"/>
      <c r="J885" s="613"/>
      <c r="K885" s="613"/>
      <c r="L885" s="353"/>
      <c r="M885" s="353"/>
      <c r="N885" s="353"/>
      <c r="O885" s="764"/>
      <c r="P885" s="353"/>
      <c r="Q885" s="353"/>
      <c r="R885" s="353"/>
      <c r="S885" s="353"/>
      <c r="T885" s="353"/>
      <c r="U885" s="353"/>
      <c r="V885" s="731"/>
      <c r="W885" s="353"/>
      <c r="X885" s="353"/>
      <c r="Y885" s="353"/>
      <c r="Z885" s="731"/>
      <c r="AA885" s="353"/>
      <c r="AB885" s="731"/>
      <c r="AC885" s="731"/>
    </row>
    <row r="886" ht="13.8" spans="1:29">
      <c r="A886" s="353"/>
      <c r="B886" s="613"/>
      <c r="C886" s="353"/>
      <c r="D886" s="353"/>
      <c r="E886" s="353"/>
      <c r="F886" s="353"/>
      <c r="G886" s="353"/>
      <c r="H886" s="353"/>
      <c r="I886" s="731"/>
      <c r="J886" s="613"/>
      <c r="K886" s="613"/>
      <c r="L886" s="353"/>
      <c r="M886" s="353"/>
      <c r="N886" s="353"/>
      <c r="O886" s="764"/>
      <c r="P886" s="353"/>
      <c r="Q886" s="353"/>
      <c r="R886" s="353"/>
      <c r="S886" s="353"/>
      <c r="T886" s="353"/>
      <c r="U886" s="353"/>
      <c r="V886" s="731"/>
      <c r="W886" s="353"/>
      <c r="X886" s="353"/>
      <c r="Y886" s="353"/>
      <c r="Z886" s="731"/>
      <c r="AA886" s="353"/>
      <c r="AB886" s="731"/>
      <c r="AC886" s="731"/>
    </row>
    <row r="887" ht="13.8" spans="1:29">
      <c r="A887" s="353"/>
      <c r="B887" s="613"/>
      <c r="C887" s="353"/>
      <c r="D887" s="353"/>
      <c r="E887" s="353"/>
      <c r="F887" s="353"/>
      <c r="G887" s="353"/>
      <c r="H887" s="353"/>
      <c r="I887" s="731"/>
      <c r="J887" s="613"/>
      <c r="K887" s="613"/>
      <c r="L887" s="353"/>
      <c r="M887" s="353"/>
      <c r="N887" s="353"/>
      <c r="O887" s="764"/>
      <c r="P887" s="353"/>
      <c r="Q887" s="353"/>
      <c r="R887" s="353"/>
      <c r="S887" s="353"/>
      <c r="T887" s="353"/>
      <c r="U887" s="353"/>
      <c r="V887" s="731"/>
      <c r="W887" s="353"/>
      <c r="X887" s="353"/>
      <c r="Y887" s="353"/>
      <c r="Z887" s="731"/>
      <c r="AA887" s="353"/>
      <c r="AB887" s="731"/>
      <c r="AC887" s="731"/>
    </row>
    <row r="888" ht="13.8" spans="1:29">
      <c r="A888" s="353"/>
      <c r="B888" s="613"/>
      <c r="C888" s="353"/>
      <c r="D888" s="353"/>
      <c r="E888" s="353"/>
      <c r="F888" s="353"/>
      <c r="G888" s="353"/>
      <c r="H888" s="353"/>
      <c r="I888" s="731"/>
      <c r="J888" s="613"/>
      <c r="K888" s="613"/>
      <c r="L888" s="353"/>
      <c r="M888" s="353"/>
      <c r="N888" s="353"/>
      <c r="O888" s="764"/>
      <c r="P888" s="353"/>
      <c r="Q888" s="353"/>
      <c r="R888" s="353"/>
      <c r="S888" s="353"/>
      <c r="T888" s="353"/>
      <c r="U888" s="353"/>
      <c r="V888" s="731"/>
      <c r="W888" s="353"/>
      <c r="X888" s="353"/>
      <c r="Y888" s="353"/>
      <c r="Z888" s="731"/>
      <c r="AA888" s="353"/>
      <c r="AB888" s="731"/>
      <c r="AC888" s="731"/>
    </row>
    <row r="889" ht="13.8" spans="1:29">
      <c r="A889" s="353"/>
      <c r="B889" s="613"/>
      <c r="C889" s="353"/>
      <c r="D889" s="353"/>
      <c r="E889" s="353"/>
      <c r="F889" s="353"/>
      <c r="G889" s="353"/>
      <c r="H889" s="353"/>
      <c r="I889" s="731"/>
      <c r="J889" s="613"/>
      <c r="K889" s="613"/>
      <c r="L889" s="353"/>
      <c r="M889" s="353"/>
      <c r="N889" s="353"/>
      <c r="O889" s="764"/>
      <c r="P889" s="353"/>
      <c r="Q889" s="353"/>
      <c r="R889" s="353"/>
      <c r="S889" s="353"/>
      <c r="T889" s="353"/>
      <c r="U889" s="353"/>
      <c r="V889" s="731"/>
      <c r="W889" s="353"/>
      <c r="X889" s="353"/>
      <c r="Y889" s="353"/>
      <c r="Z889" s="731"/>
      <c r="AA889" s="353"/>
      <c r="AB889" s="731"/>
      <c r="AC889" s="731"/>
    </row>
    <row r="890" ht="13.8" spans="1:29">
      <c r="A890" s="353"/>
      <c r="B890" s="613"/>
      <c r="C890" s="353"/>
      <c r="D890" s="353"/>
      <c r="E890" s="353"/>
      <c r="F890" s="353"/>
      <c r="G890" s="353"/>
      <c r="H890" s="353"/>
      <c r="I890" s="731"/>
      <c r="J890" s="613"/>
      <c r="K890" s="613"/>
      <c r="L890" s="353"/>
      <c r="M890" s="353"/>
      <c r="N890" s="353"/>
      <c r="O890" s="764"/>
      <c r="P890" s="353"/>
      <c r="Q890" s="353"/>
      <c r="R890" s="353"/>
      <c r="S890" s="353"/>
      <c r="T890" s="353"/>
      <c r="U890" s="353"/>
      <c r="V890" s="731"/>
      <c r="W890" s="353"/>
      <c r="X890" s="353"/>
      <c r="Y890" s="353"/>
      <c r="Z890" s="731"/>
      <c r="AA890" s="353"/>
      <c r="AB890" s="731"/>
      <c r="AC890" s="731"/>
    </row>
    <row r="891" ht="13.8" spans="1:29">
      <c r="A891" s="353"/>
      <c r="B891" s="613"/>
      <c r="C891" s="353"/>
      <c r="D891" s="353"/>
      <c r="E891" s="353"/>
      <c r="F891" s="353"/>
      <c r="G891" s="353"/>
      <c r="H891" s="353"/>
      <c r="I891" s="731"/>
      <c r="J891" s="613"/>
      <c r="K891" s="613"/>
      <c r="L891" s="353"/>
      <c r="M891" s="353"/>
      <c r="N891" s="353"/>
      <c r="O891" s="764"/>
      <c r="P891" s="353"/>
      <c r="Q891" s="353"/>
      <c r="R891" s="353"/>
      <c r="S891" s="353"/>
      <c r="T891" s="353"/>
      <c r="U891" s="353"/>
      <c r="V891" s="731"/>
      <c r="W891" s="353"/>
      <c r="X891" s="353"/>
      <c r="Y891" s="353"/>
      <c r="Z891" s="731"/>
      <c r="AA891" s="353"/>
      <c r="AB891" s="731"/>
      <c r="AC891" s="731"/>
    </row>
    <row r="892" ht="13.8" spans="1:29">
      <c r="A892" s="353"/>
      <c r="B892" s="613"/>
      <c r="C892" s="353"/>
      <c r="D892" s="353"/>
      <c r="E892" s="353"/>
      <c r="F892" s="353"/>
      <c r="G892" s="353"/>
      <c r="H892" s="353"/>
      <c r="I892" s="731"/>
      <c r="J892" s="613"/>
      <c r="K892" s="613"/>
      <c r="L892" s="353"/>
      <c r="M892" s="353"/>
      <c r="N892" s="353"/>
      <c r="O892" s="764"/>
      <c r="P892" s="353"/>
      <c r="Q892" s="353"/>
      <c r="R892" s="353"/>
      <c r="S892" s="353"/>
      <c r="T892" s="353"/>
      <c r="U892" s="353"/>
      <c r="V892" s="731"/>
      <c r="W892" s="353"/>
      <c r="X892" s="353"/>
      <c r="Y892" s="353"/>
      <c r="Z892" s="731"/>
      <c r="AA892" s="353"/>
      <c r="AB892" s="731"/>
      <c r="AC892" s="731"/>
    </row>
    <row r="893" ht="13.8" spans="1:29">
      <c r="A893" s="353"/>
      <c r="B893" s="613"/>
      <c r="C893" s="353"/>
      <c r="D893" s="353"/>
      <c r="E893" s="353"/>
      <c r="F893" s="353"/>
      <c r="G893" s="353"/>
      <c r="H893" s="353"/>
      <c r="I893" s="731"/>
      <c r="J893" s="613"/>
      <c r="K893" s="613"/>
      <c r="L893" s="353"/>
      <c r="M893" s="353"/>
      <c r="N893" s="353"/>
      <c r="O893" s="764"/>
      <c r="P893" s="353"/>
      <c r="Q893" s="353"/>
      <c r="R893" s="353"/>
      <c r="S893" s="353"/>
      <c r="T893" s="353"/>
      <c r="U893" s="353"/>
      <c r="V893" s="731"/>
      <c r="W893" s="353"/>
      <c r="X893" s="353"/>
      <c r="Y893" s="353"/>
      <c r="Z893" s="731"/>
      <c r="AA893" s="353"/>
      <c r="AB893" s="731"/>
      <c r="AC893" s="731"/>
    </row>
    <row r="894" ht="13.8" spans="1:29">
      <c r="A894" s="353"/>
      <c r="B894" s="613"/>
      <c r="C894" s="353"/>
      <c r="D894" s="353"/>
      <c r="E894" s="353"/>
      <c r="F894" s="353"/>
      <c r="G894" s="353"/>
      <c r="H894" s="353"/>
      <c r="I894" s="731"/>
      <c r="J894" s="613"/>
      <c r="K894" s="613"/>
      <c r="L894" s="353"/>
      <c r="M894" s="353"/>
      <c r="N894" s="353"/>
      <c r="O894" s="764"/>
      <c r="P894" s="353"/>
      <c r="Q894" s="353"/>
      <c r="R894" s="353"/>
      <c r="S894" s="353"/>
      <c r="T894" s="353"/>
      <c r="U894" s="353"/>
      <c r="V894" s="731"/>
      <c r="W894" s="353"/>
      <c r="X894" s="353"/>
      <c r="Y894" s="353"/>
      <c r="Z894" s="731"/>
      <c r="AA894" s="353"/>
      <c r="AB894" s="731"/>
      <c r="AC894" s="731"/>
    </row>
    <row r="895" ht="13.8" spans="1:29">
      <c r="A895" s="353"/>
      <c r="B895" s="613"/>
      <c r="C895" s="353"/>
      <c r="D895" s="353"/>
      <c r="E895" s="353"/>
      <c r="F895" s="353"/>
      <c r="G895" s="353"/>
      <c r="H895" s="353"/>
      <c r="I895" s="731"/>
      <c r="J895" s="613"/>
      <c r="K895" s="613"/>
      <c r="L895" s="353"/>
      <c r="M895" s="353"/>
      <c r="N895" s="353"/>
      <c r="O895" s="764"/>
      <c r="P895" s="353"/>
      <c r="Q895" s="353"/>
      <c r="R895" s="353"/>
      <c r="S895" s="353"/>
      <c r="T895" s="353"/>
      <c r="U895" s="353"/>
      <c r="V895" s="731"/>
      <c r="W895" s="353"/>
      <c r="X895" s="353"/>
      <c r="Y895" s="353"/>
      <c r="Z895" s="731"/>
      <c r="AA895" s="353"/>
      <c r="AB895" s="731"/>
      <c r="AC895" s="731"/>
    </row>
    <row r="896" ht="13.8" spans="1:29">
      <c r="A896" s="353"/>
      <c r="B896" s="613"/>
      <c r="C896" s="353"/>
      <c r="D896" s="353"/>
      <c r="E896" s="353"/>
      <c r="F896" s="353"/>
      <c r="G896" s="353"/>
      <c r="H896" s="353"/>
      <c r="I896" s="731"/>
      <c r="J896" s="613"/>
      <c r="K896" s="613"/>
      <c r="L896" s="353"/>
      <c r="M896" s="353"/>
      <c r="N896" s="353"/>
      <c r="O896" s="764"/>
      <c r="P896" s="353"/>
      <c r="Q896" s="353"/>
      <c r="R896" s="353"/>
      <c r="S896" s="353"/>
      <c r="T896" s="353"/>
      <c r="U896" s="353"/>
      <c r="V896" s="731"/>
      <c r="W896" s="353"/>
      <c r="X896" s="353"/>
      <c r="Y896" s="353"/>
      <c r="Z896" s="731"/>
      <c r="AA896" s="353"/>
      <c r="AB896" s="731"/>
      <c r="AC896" s="731"/>
    </row>
    <row r="897" ht="13.8" spans="1:29">
      <c r="A897" s="353"/>
      <c r="B897" s="613"/>
      <c r="C897" s="353"/>
      <c r="D897" s="353"/>
      <c r="E897" s="353"/>
      <c r="F897" s="353"/>
      <c r="G897" s="353"/>
      <c r="H897" s="353"/>
      <c r="I897" s="731"/>
      <c r="J897" s="613"/>
      <c r="K897" s="613"/>
      <c r="L897" s="353"/>
      <c r="M897" s="353"/>
      <c r="N897" s="353"/>
      <c r="O897" s="764"/>
      <c r="P897" s="353"/>
      <c r="Q897" s="353"/>
      <c r="R897" s="353"/>
      <c r="S897" s="353"/>
      <c r="T897" s="353"/>
      <c r="U897" s="353"/>
      <c r="V897" s="731"/>
      <c r="W897" s="353"/>
      <c r="X897" s="353"/>
      <c r="Y897" s="353"/>
      <c r="Z897" s="731"/>
      <c r="AA897" s="353"/>
      <c r="AB897" s="731"/>
      <c r="AC897" s="731"/>
    </row>
    <row r="898" ht="13.8" spans="1:29">
      <c r="A898" s="353"/>
      <c r="B898" s="613"/>
      <c r="C898" s="353"/>
      <c r="D898" s="353"/>
      <c r="E898" s="353"/>
      <c r="F898" s="353"/>
      <c r="G898" s="353"/>
      <c r="H898" s="353"/>
      <c r="I898" s="731"/>
      <c r="J898" s="613"/>
      <c r="K898" s="613"/>
      <c r="L898" s="353"/>
      <c r="M898" s="353"/>
      <c r="N898" s="353"/>
      <c r="O898" s="764"/>
      <c r="P898" s="353"/>
      <c r="Q898" s="353"/>
      <c r="R898" s="353"/>
      <c r="S898" s="353"/>
      <c r="T898" s="353"/>
      <c r="U898" s="353"/>
      <c r="V898" s="731"/>
      <c r="W898" s="353"/>
      <c r="X898" s="353"/>
      <c r="Y898" s="353"/>
      <c r="Z898" s="731"/>
      <c r="AA898" s="353"/>
      <c r="AB898" s="731"/>
      <c r="AC898" s="731"/>
    </row>
    <row r="899" ht="13.8" spans="1:29">
      <c r="A899" s="353"/>
      <c r="B899" s="613"/>
      <c r="C899" s="353"/>
      <c r="D899" s="353"/>
      <c r="E899" s="353"/>
      <c r="F899" s="353"/>
      <c r="G899" s="353"/>
      <c r="H899" s="353"/>
      <c r="I899" s="731"/>
      <c r="J899" s="613"/>
      <c r="K899" s="613"/>
      <c r="L899" s="353"/>
      <c r="M899" s="353"/>
      <c r="N899" s="353"/>
      <c r="O899" s="764"/>
      <c r="P899" s="353"/>
      <c r="Q899" s="353"/>
      <c r="R899" s="353"/>
      <c r="S899" s="353"/>
      <c r="T899" s="353"/>
      <c r="U899" s="353"/>
      <c r="V899" s="731"/>
      <c r="W899" s="353"/>
      <c r="X899" s="353"/>
      <c r="Y899" s="353"/>
      <c r="Z899" s="731"/>
      <c r="AA899" s="353"/>
      <c r="AB899" s="731"/>
      <c r="AC899" s="731"/>
    </row>
    <row r="900" ht="13.8" spans="1:29">
      <c r="A900" s="353"/>
      <c r="B900" s="613"/>
      <c r="C900" s="353"/>
      <c r="D900" s="353"/>
      <c r="E900" s="353"/>
      <c r="F900" s="353"/>
      <c r="G900" s="353"/>
      <c r="H900" s="353"/>
      <c r="I900" s="731"/>
      <c r="J900" s="613"/>
      <c r="K900" s="613"/>
      <c r="L900" s="353"/>
      <c r="M900" s="353"/>
      <c r="N900" s="353"/>
      <c r="O900" s="764"/>
      <c r="P900" s="353"/>
      <c r="Q900" s="353"/>
      <c r="R900" s="353"/>
      <c r="S900" s="353"/>
      <c r="T900" s="353"/>
      <c r="U900" s="353"/>
      <c r="V900" s="731"/>
      <c r="W900" s="353"/>
      <c r="X900" s="353"/>
      <c r="Y900" s="353"/>
      <c r="Z900" s="731"/>
      <c r="AA900" s="353"/>
      <c r="AB900" s="731"/>
      <c r="AC900" s="731"/>
    </row>
    <row r="901" ht="13.8" spans="1:29">
      <c r="A901" s="353"/>
      <c r="B901" s="613"/>
      <c r="C901" s="353"/>
      <c r="D901" s="353"/>
      <c r="E901" s="353"/>
      <c r="F901" s="353"/>
      <c r="G901" s="353"/>
      <c r="H901" s="353"/>
      <c r="I901" s="731"/>
      <c r="J901" s="613"/>
      <c r="K901" s="613"/>
      <c r="L901" s="353"/>
      <c r="M901" s="353"/>
      <c r="N901" s="353"/>
      <c r="O901" s="764"/>
      <c r="P901" s="353"/>
      <c r="Q901" s="353"/>
      <c r="R901" s="353"/>
      <c r="S901" s="353"/>
      <c r="T901" s="353"/>
      <c r="U901" s="353"/>
      <c r="V901" s="731"/>
      <c r="W901" s="353"/>
      <c r="X901" s="353"/>
      <c r="Y901" s="353"/>
      <c r="Z901" s="731"/>
      <c r="AA901" s="353"/>
      <c r="AB901" s="731"/>
      <c r="AC901" s="731"/>
    </row>
    <row r="902" ht="13.8" spans="1:29">
      <c r="A902" s="353"/>
      <c r="B902" s="613"/>
      <c r="C902" s="353"/>
      <c r="D902" s="353"/>
      <c r="E902" s="353"/>
      <c r="F902" s="353"/>
      <c r="G902" s="353"/>
      <c r="H902" s="353"/>
      <c r="I902" s="731"/>
      <c r="J902" s="613"/>
      <c r="K902" s="613"/>
      <c r="L902" s="353"/>
      <c r="M902" s="353"/>
      <c r="N902" s="353"/>
      <c r="O902" s="764"/>
      <c r="P902" s="353"/>
      <c r="Q902" s="353"/>
      <c r="R902" s="353"/>
      <c r="S902" s="353"/>
      <c r="T902" s="353"/>
      <c r="U902" s="353"/>
      <c r="V902" s="731"/>
      <c r="W902" s="353"/>
      <c r="X902" s="353"/>
      <c r="Y902" s="353"/>
      <c r="Z902" s="731"/>
      <c r="AA902" s="353"/>
      <c r="AB902" s="731"/>
      <c r="AC902" s="731"/>
    </row>
    <row r="903" ht="13.8" spans="1:29">
      <c r="A903" s="353"/>
      <c r="B903" s="613"/>
      <c r="C903" s="353"/>
      <c r="D903" s="353"/>
      <c r="E903" s="353"/>
      <c r="F903" s="353"/>
      <c r="G903" s="353"/>
      <c r="H903" s="353"/>
      <c r="I903" s="731"/>
      <c r="J903" s="613"/>
      <c r="K903" s="613"/>
      <c r="L903" s="353"/>
      <c r="M903" s="353"/>
      <c r="N903" s="353"/>
      <c r="O903" s="764"/>
      <c r="P903" s="353"/>
      <c r="Q903" s="353"/>
      <c r="R903" s="353"/>
      <c r="S903" s="353"/>
      <c r="T903" s="353"/>
      <c r="U903" s="353"/>
      <c r="V903" s="731"/>
      <c r="W903" s="353"/>
      <c r="X903" s="353"/>
      <c r="Y903" s="353"/>
      <c r="Z903" s="731"/>
      <c r="AA903" s="353"/>
      <c r="AB903" s="731"/>
      <c r="AC903" s="731"/>
    </row>
    <row r="904" ht="13.8" spans="1:29">
      <c r="A904" s="353"/>
      <c r="B904" s="613"/>
      <c r="C904" s="353"/>
      <c r="D904" s="353"/>
      <c r="E904" s="353"/>
      <c r="F904" s="353"/>
      <c r="G904" s="353"/>
      <c r="H904" s="353"/>
      <c r="I904" s="731"/>
      <c r="J904" s="613"/>
      <c r="K904" s="613"/>
      <c r="L904" s="353"/>
      <c r="M904" s="353"/>
      <c r="N904" s="353"/>
      <c r="O904" s="764"/>
      <c r="P904" s="353"/>
      <c r="Q904" s="353"/>
      <c r="R904" s="353"/>
      <c r="S904" s="353"/>
      <c r="T904" s="353"/>
      <c r="U904" s="353"/>
      <c r="V904" s="731"/>
      <c r="W904" s="353"/>
      <c r="X904" s="353"/>
      <c r="Y904" s="353"/>
      <c r="Z904" s="731"/>
      <c r="AA904" s="353"/>
      <c r="AB904" s="731"/>
      <c r="AC904" s="731"/>
    </row>
    <row r="905" ht="13.8" spans="1:29">
      <c r="A905" s="353"/>
      <c r="B905" s="613"/>
      <c r="C905" s="353"/>
      <c r="D905" s="353"/>
      <c r="E905" s="353"/>
      <c r="F905" s="353"/>
      <c r="G905" s="353"/>
      <c r="H905" s="353"/>
      <c r="I905" s="731"/>
      <c r="J905" s="613"/>
      <c r="K905" s="613"/>
      <c r="L905" s="353"/>
      <c r="M905" s="353"/>
      <c r="N905" s="353"/>
      <c r="O905" s="764"/>
      <c r="P905" s="353"/>
      <c r="Q905" s="353"/>
      <c r="R905" s="353"/>
      <c r="S905" s="353"/>
      <c r="T905" s="353"/>
      <c r="U905" s="353"/>
      <c r="V905" s="731"/>
      <c r="W905" s="353"/>
      <c r="X905" s="353"/>
      <c r="Y905" s="353"/>
      <c r="Z905" s="731"/>
      <c r="AA905" s="353"/>
      <c r="AB905" s="731"/>
      <c r="AC905" s="731"/>
    </row>
    <row r="906" ht="13.8" spans="1:29">
      <c r="A906" s="353"/>
      <c r="B906" s="613"/>
      <c r="C906" s="353"/>
      <c r="D906" s="353"/>
      <c r="E906" s="353"/>
      <c r="F906" s="353"/>
      <c r="G906" s="353"/>
      <c r="H906" s="353"/>
      <c r="I906" s="731"/>
      <c r="J906" s="613"/>
      <c r="K906" s="613"/>
      <c r="L906" s="353"/>
      <c r="M906" s="353"/>
      <c r="N906" s="353"/>
      <c r="O906" s="764"/>
      <c r="P906" s="353"/>
      <c r="Q906" s="353"/>
      <c r="R906" s="353"/>
      <c r="S906" s="353"/>
      <c r="T906" s="353"/>
      <c r="U906" s="353"/>
      <c r="V906" s="731"/>
      <c r="W906" s="353"/>
      <c r="X906" s="353"/>
      <c r="Y906" s="353"/>
      <c r="Z906" s="731"/>
      <c r="AA906" s="353"/>
      <c r="AB906" s="731"/>
      <c r="AC906" s="731"/>
    </row>
    <row r="907" ht="13.8" spans="1:29">
      <c r="A907" s="353"/>
      <c r="B907" s="613"/>
      <c r="C907" s="353"/>
      <c r="D907" s="353"/>
      <c r="E907" s="353"/>
      <c r="F907" s="353"/>
      <c r="G907" s="353"/>
      <c r="H907" s="353"/>
      <c r="I907" s="731"/>
      <c r="J907" s="613"/>
      <c r="K907" s="613"/>
      <c r="L907" s="353"/>
      <c r="M907" s="353"/>
      <c r="N907" s="353"/>
      <c r="O907" s="764"/>
      <c r="P907" s="353"/>
      <c r="Q907" s="353"/>
      <c r="R907" s="353"/>
      <c r="S907" s="353"/>
      <c r="T907" s="353"/>
      <c r="U907" s="353"/>
      <c r="V907" s="731"/>
      <c r="W907" s="353"/>
      <c r="X907" s="353"/>
      <c r="Y907" s="353"/>
      <c r="Z907" s="731"/>
      <c r="AA907" s="353"/>
      <c r="AB907" s="731"/>
      <c r="AC907" s="731"/>
    </row>
    <row r="908" ht="13.8" spans="1:29">
      <c r="A908" s="353"/>
      <c r="B908" s="613"/>
      <c r="C908" s="353"/>
      <c r="D908" s="353"/>
      <c r="E908" s="353"/>
      <c r="F908" s="353"/>
      <c r="G908" s="353"/>
      <c r="H908" s="353"/>
      <c r="I908" s="731"/>
      <c r="J908" s="613"/>
      <c r="K908" s="613"/>
      <c r="L908" s="353"/>
      <c r="M908" s="353"/>
      <c r="N908" s="353"/>
      <c r="O908" s="764"/>
      <c r="P908" s="353"/>
      <c r="Q908" s="353"/>
      <c r="R908" s="353"/>
      <c r="S908" s="353"/>
      <c r="T908" s="353"/>
      <c r="U908" s="353"/>
      <c r="V908" s="731"/>
      <c r="W908" s="353"/>
      <c r="X908" s="353"/>
      <c r="Y908" s="353"/>
      <c r="Z908" s="731"/>
      <c r="AA908" s="353"/>
      <c r="AB908" s="731"/>
      <c r="AC908" s="731"/>
    </row>
    <row r="909" ht="13.8" spans="1:29">
      <c r="A909" s="353"/>
      <c r="B909" s="613"/>
      <c r="C909" s="353"/>
      <c r="D909" s="353"/>
      <c r="E909" s="353"/>
      <c r="F909" s="353"/>
      <c r="G909" s="353"/>
      <c r="H909" s="353"/>
      <c r="I909" s="731"/>
      <c r="J909" s="613"/>
      <c r="K909" s="613"/>
      <c r="L909" s="353"/>
      <c r="M909" s="353"/>
      <c r="N909" s="353"/>
      <c r="O909" s="764"/>
      <c r="P909" s="353"/>
      <c r="Q909" s="353"/>
      <c r="R909" s="353"/>
      <c r="S909" s="353"/>
      <c r="T909" s="353"/>
      <c r="U909" s="353"/>
      <c r="V909" s="731"/>
      <c r="W909" s="353"/>
      <c r="X909" s="353"/>
      <c r="Y909" s="353"/>
      <c r="Z909" s="731"/>
      <c r="AA909" s="353"/>
      <c r="AB909" s="731"/>
      <c r="AC909" s="731"/>
    </row>
    <row r="910" ht="13.8" spans="1:29">
      <c r="A910" s="353"/>
      <c r="B910" s="613"/>
      <c r="C910" s="353"/>
      <c r="D910" s="353"/>
      <c r="E910" s="353"/>
      <c r="F910" s="353"/>
      <c r="G910" s="353"/>
      <c r="H910" s="353"/>
      <c r="I910" s="731"/>
      <c r="J910" s="613"/>
      <c r="K910" s="613"/>
      <c r="L910" s="353"/>
      <c r="M910" s="353"/>
      <c r="N910" s="353"/>
      <c r="O910" s="764"/>
      <c r="P910" s="353"/>
      <c r="Q910" s="353"/>
      <c r="R910" s="353"/>
      <c r="S910" s="353"/>
      <c r="T910" s="353"/>
      <c r="U910" s="353"/>
      <c r="V910" s="731"/>
      <c r="W910" s="353"/>
      <c r="X910" s="353"/>
      <c r="Y910" s="353"/>
      <c r="Z910" s="731"/>
      <c r="AA910" s="353"/>
      <c r="AB910" s="731"/>
      <c r="AC910" s="731"/>
    </row>
    <row r="911" ht="13.8" spans="1:29">
      <c r="A911" s="353"/>
      <c r="B911" s="613"/>
      <c r="C911" s="353"/>
      <c r="D911" s="353"/>
      <c r="E911" s="353"/>
      <c r="F911" s="353"/>
      <c r="G911" s="353"/>
      <c r="H911" s="353"/>
      <c r="I911" s="731"/>
      <c r="J911" s="613"/>
      <c r="K911" s="613"/>
      <c r="L911" s="353"/>
      <c r="M911" s="353"/>
      <c r="N911" s="353"/>
      <c r="O911" s="764"/>
      <c r="P911" s="353"/>
      <c r="Q911" s="353"/>
      <c r="R911" s="353"/>
      <c r="S911" s="353"/>
      <c r="T911" s="353"/>
      <c r="U911" s="353"/>
      <c r="V911" s="731"/>
      <c r="W911" s="353"/>
      <c r="X911" s="353"/>
      <c r="Y911" s="353"/>
      <c r="Z911" s="731"/>
      <c r="AA911" s="353"/>
      <c r="AB911" s="731"/>
      <c r="AC911" s="731"/>
    </row>
    <row r="912" ht="13.8" spans="1:29">
      <c r="A912" s="353"/>
      <c r="B912" s="613"/>
      <c r="C912" s="353"/>
      <c r="D912" s="353"/>
      <c r="E912" s="353"/>
      <c r="F912" s="353"/>
      <c r="G912" s="353"/>
      <c r="H912" s="353"/>
      <c r="I912" s="731"/>
      <c r="J912" s="613"/>
      <c r="K912" s="613"/>
      <c r="L912" s="353"/>
      <c r="M912" s="353"/>
      <c r="N912" s="353"/>
      <c r="O912" s="764"/>
      <c r="P912" s="353"/>
      <c r="Q912" s="353"/>
      <c r="R912" s="353"/>
      <c r="S912" s="353"/>
      <c r="T912" s="353"/>
      <c r="U912" s="353"/>
      <c r="V912" s="731"/>
      <c r="W912" s="353"/>
      <c r="X912" s="353"/>
      <c r="Y912" s="353"/>
      <c r="Z912" s="731"/>
      <c r="AA912" s="353"/>
      <c r="AB912" s="731"/>
      <c r="AC912" s="731"/>
    </row>
    <row r="913" ht="13.8" spans="1:29">
      <c r="A913" s="353"/>
      <c r="B913" s="613"/>
      <c r="C913" s="353"/>
      <c r="D913" s="353"/>
      <c r="E913" s="353"/>
      <c r="F913" s="353"/>
      <c r="G913" s="353"/>
      <c r="H913" s="353"/>
      <c r="I913" s="731"/>
      <c r="J913" s="613"/>
      <c r="K913" s="613"/>
      <c r="L913" s="353"/>
      <c r="M913" s="353"/>
      <c r="N913" s="353"/>
      <c r="O913" s="764"/>
      <c r="P913" s="353"/>
      <c r="Q913" s="353"/>
      <c r="R913" s="353"/>
      <c r="S913" s="353"/>
      <c r="T913" s="353"/>
      <c r="U913" s="353"/>
      <c r="V913" s="731"/>
      <c r="W913" s="353"/>
      <c r="X913" s="353"/>
      <c r="Y913" s="353"/>
      <c r="Z913" s="731"/>
      <c r="AA913" s="353"/>
      <c r="AB913" s="731"/>
      <c r="AC913" s="731"/>
    </row>
    <row r="914" ht="13.8" spans="1:29">
      <c r="A914" s="353"/>
      <c r="B914" s="613"/>
      <c r="C914" s="353"/>
      <c r="D914" s="353"/>
      <c r="E914" s="353"/>
      <c r="F914" s="353"/>
      <c r="G914" s="353"/>
      <c r="H914" s="353"/>
      <c r="I914" s="731"/>
      <c r="J914" s="613"/>
      <c r="K914" s="613"/>
      <c r="L914" s="353"/>
      <c r="M914" s="353"/>
      <c r="N914" s="353"/>
      <c r="O914" s="764"/>
      <c r="P914" s="353"/>
      <c r="Q914" s="353"/>
      <c r="R914" s="353"/>
      <c r="S914" s="353"/>
      <c r="T914" s="353"/>
      <c r="U914" s="353"/>
      <c r="V914" s="731"/>
      <c r="W914" s="353"/>
      <c r="X914" s="353"/>
      <c r="Y914" s="353"/>
      <c r="Z914" s="731"/>
      <c r="AA914" s="353"/>
      <c r="AB914" s="731"/>
      <c r="AC914" s="731"/>
    </row>
    <row r="915" ht="13.8" spans="1:29">
      <c r="A915" s="353"/>
      <c r="B915" s="613"/>
      <c r="C915" s="353"/>
      <c r="D915" s="353"/>
      <c r="E915" s="353"/>
      <c r="F915" s="353"/>
      <c r="G915" s="353"/>
      <c r="H915" s="353"/>
      <c r="I915" s="731"/>
      <c r="J915" s="613"/>
      <c r="K915" s="613"/>
      <c r="L915" s="353"/>
      <c r="M915" s="353"/>
      <c r="N915" s="353"/>
      <c r="O915" s="764"/>
      <c r="P915" s="353"/>
      <c r="Q915" s="353"/>
      <c r="R915" s="353"/>
      <c r="S915" s="353"/>
      <c r="T915" s="353"/>
      <c r="U915" s="353"/>
      <c r="V915" s="731"/>
      <c r="W915" s="353"/>
      <c r="X915" s="353"/>
      <c r="Y915" s="353"/>
      <c r="Z915" s="731"/>
      <c r="AA915" s="353"/>
      <c r="AB915" s="731"/>
      <c r="AC915" s="731"/>
    </row>
    <row r="916" ht="13.8" spans="1:29">
      <c r="A916" s="353"/>
      <c r="B916" s="613"/>
      <c r="C916" s="353"/>
      <c r="D916" s="353"/>
      <c r="E916" s="353"/>
      <c r="F916" s="353"/>
      <c r="G916" s="353"/>
      <c r="H916" s="353"/>
      <c r="I916" s="731"/>
      <c r="J916" s="613"/>
      <c r="K916" s="613"/>
      <c r="L916" s="353"/>
      <c r="M916" s="353"/>
      <c r="N916" s="353"/>
      <c r="O916" s="764"/>
      <c r="P916" s="353"/>
      <c r="Q916" s="353"/>
      <c r="R916" s="353"/>
      <c r="S916" s="353"/>
      <c r="T916" s="353"/>
      <c r="U916" s="353"/>
      <c r="V916" s="731"/>
      <c r="W916" s="353"/>
      <c r="X916" s="353"/>
      <c r="Y916" s="353"/>
      <c r="Z916" s="731"/>
      <c r="AA916" s="353"/>
      <c r="AB916" s="731"/>
      <c r="AC916" s="731"/>
    </row>
    <row r="917" ht="13.8" spans="1:29">
      <c r="A917" s="353"/>
      <c r="B917" s="613"/>
      <c r="C917" s="353"/>
      <c r="D917" s="353"/>
      <c r="E917" s="353"/>
      <c r="F917" s="353"/>
      <c r="G917" s="353"/>
      <c r="H917" s="353"/>
      <c r="I917" s="731"/>
      <c r="J917" s="613"/>
      <c r="K917" s="613"/>
      <c r="L917" s="353"/>
      <c r="M917" s="353"/>
      <c r="N917" s="353"/>
      <c r="O917" s="764"/>
      <c r="P917" s="353"/>
      <c r="Q917" s="353"/>
      <c r="R917" s="353"/>
      <c r="S917" s="353"/>
      <c r="T917" s="353"/>
      <c r="U917" s="353"/>
      <c r="V917" s="731"/>
      <c r="W917" s="353"/>
      <c r="X917" s="353"/>
      <c r="Y917" s="353"/>
      <c r="Z917" s="731"/>
      <c r="AA917" s="353"/>
      <c r="AB917" s="731"/>
      <c r="AC917" s="731"/>
    </row>
    <row r="918" ht="13.8" spans="1:29">
      <c r="A918" s="353"/>
      <c r="B918" s="613"/>
      <c r="C918" s="353"/>
      <c r="D918" s="353"/>
      <c r="E918" s="353"/>
      <c r="F918" s="353"/>
      <c r="G918" s="353"/>
      <c r="H918" s="353"/>
      <c r="I918" s="731"/>
      <c r="J918" s="613"/>
      <c r="K918" s="613"/>
      <c r="L918" s="353"/>
      <c r="M918" s="353"/>
      <c r="N918" s="353"/>
      <c r="O918" s="764"/>
      <c r="P918" s="353"/>
      <c r="Q918" s="353"/>
      <c r="R918" s="353"/>
      <c r="S918" s="353"/>
      <c r="T918" s="353"/>
      <c r="U918" s="353"/>
      <c r="V918" s="731"/>
      <c r="W918" s="353"/>
      <c r="X918" s="353"/>
      <c r="Y918" s="353"/>
      <c r="Z918" s="731"/>
      <c r="AA918" s="353"/>
      <c r="AB918" s="731"/>
      <c r="AC918" s="731"/>
    </row>
    <row r="919" ht="13.8" spans="1:29">
      <c r="A919" s="353"/>
      <c r="B919" s="613"/>
      <c r="C919" s="353"/>
      <c r="D919" s="353"/>
      <c r="E919" s="353"/>
      <c r="F919" s="353"/>
      <c r="G919" s="353"/>
      <c r="H919" s="353"/>
      <c r="I919" s="731"/>
      <c r="J919" s="613"/>
      <c r="K919" s="613"/>
      <c r="L919" s="353"/>
      <c r="M919" s="353"/>
      <c r="N919" s="353"/>
      <c r="O919" s="764"/>
      <c r="P919" s="353"/>
      <c r="Q919" s="353"/>
      <c r="R919" s="353"/>
      <c r="S919" s="353"/>
      <c r="T919" s="353"/>
      <c r="U919" s="353"/>
      <c r="V919" s="731"/>
      <c r="W919" s="353"/>
      <c r="X919" s="353"/>
      <c r="Y919" s="353"/>
      <c r="Z919" s="731"/>
      <c r="AA919" s="353"/>
      <c r="AB919" s="731"/>
      <c r="AC919" s="731"/>
    </row>
    <row r="920" ht="13.8" spans="1:29">
      <c r="A920" s="353"/>
      <c r="B920" s="613"/>
      <c r="C920" s="353"/>
      <c r="D920" s="353"/>
      <c r="E920" s="353"/>
      <c r="F920" s="353"/>
      <c r="G920" s="353"/>
      <c r="H920" s="353"/>
      <c r="I920" s="731"/>
      <c r="J920" s="613"/>
      <c r="K920" s="613"/>
      <c r="L920" s="353"/>
      <c r="M920" s="353"/>
      <c r="N920" s="353"/>
      <c r="O920" s="764"/>
      <c r="P920" s="353"/>
      <c r="Q920" s="353"/>
      <c r="R920" s="353"/>
      <c r="S920" s="353"/>
      <c r="T920" s="353"/>
      <c r="U920" s="353"/>
      <c r="V920" s="731"/>
      <c r="W920" s="353"/>
      <c r="X920" s="353"/>
      <c r="Y920" s="353"/>
      <c r="Z920" s="731"/>
      <c r="AA920" s="353"/>
      <c r="AB920" s="731"/>
      <c r="AC920" s="731"/>
    </row>
    <row r="921" ht="13.8" spans="1:29">
      <c r="A921" s="353"/>
      <c r="B921" s="613"/>
      <c r="C921" s="353"/>
      <c r="D921" s="353"/>
      <c r="E921" s="353"/>
      <c r="F921" s="353"/>
      <c r="G921" s="353"/>
      <c r="H921" s="353"/>
      <c r="I921" s="731"/>
      <c r="J921" s="613"/>
      <c r="K921" s="613"/>
      <c r="L921" s="353"/>
      <c r="M921" s="353"/>
      <c r="N921" s="353"/>
      <c r="O921" s="764"/>
      <c r="P921" s="353"/>
      <c r="Q921" s="353"/>
      <c r="R921" s="353"/>
      <c r="S921" s="353"/>
      <c r="T921" s="353"/>
      <c r="U921" s="353"/>
      <c r="V921" s="731"/>
      <c r="W921" s="353"/>
      <c r="X921" s="353"/>
      <c r="Y921" s="353"/>
      <c r="Z921" s="731"/>
      <c r="AA921" s="353"/>
      <c r="AB921" s="731"/>
      <c r="AC921" s="731"/>
    </row>
    <row r="922" ht="13.8" spans="1:29">
      <c r="A922" s="353"/>
      <c r="B922" s="613"/>
      <c r="C922" s="353"/>
      <c r="D922" s="353"/>
      <c r="E922" s="353"/>
      <c r="F922" s="353"/>
      <c r="G922" s="353"/>
      <c r="H922" s="353"/>
      <c r="I922" s="731"/>
      <c r="J922" s="613"/>
      <c r="K922" s="613"/>
      <c r="L922" s="353"/>
      <c r="M922" s="353"/>
      <c r="N922" s="353"/>
      <c r="O922" s="764"/>
      <c r="P922" s="353"/>
      <c r="Q922" s="353"/>
      <c r="R922" s="353"/>
      <c r="S922" s="353"/>
      <c r="T922" s="353"/>
      <c r="U922" s="353"/>
      <c r="V922" s="731"/>
      <c r="W922" s="353"/>
      <c r="X922" s="353"/>
      <c r="Y922" s="353"/>
      <c r="Z922" s="731"/>
      <c r="AA922" s="353"/>
      <c r="AB922" s="731"/>
      <c r="AC922" s="731"/>
    </row>
    <row r="923" ht="13.8" spans="1:29">
      <c r="A923" s="353"/>
      <c r="B923" s="613"/>
      <c r="C923" s="353"/>
      <c r="D923" s="353"/>
      <c r="E923" s="353"/>
      <c r="F923" s="353"/>
      <c r="G923" s="353"/>
      <c r="H923" s="353"/>
      <c r="I923" s="731"/>
      <c r="J923" s="613"/>
      <c r="K923" s="613"/>
      <c r="L923" s="353"/>
      <c r="M923" s="353"/>
      <c r="N923" s="353"/>
      <c r="O923" s="764"/>
      <c r="P923" s="353"/>
      <c r="Q923" s="353"/>
      <c r="R923" s="353"/>
      <c r="S923" s="353"/>
      <c r="T923" s="353"/>
      <c r="U923" s="353"/>
      <c r="V923" s="731"/>
      <c r="W923" s="353"/>
      <c r="X923" s="353"/>
      <c r="Y923" s="353"/>
      <c r="Z923" s="731"/>
      <c r="AA923" s="353"/>
      <c r="AB923" s="731"/>
      <c r="AC923" s="731"/>
    </row>
    <row r="924" ht="13.8" spans="1:29">
      <c r="A924" s="353"/>
      <c r="B924" s="613"/>
      <c r="C924" s="353"/>
      <c r="D924" s="353"/>
      <c r="E924" s="353"/>
      <c r="F924" s="353"/>
      <c r="G924" s="353"/>
      <c r="H924" s="353"/>
      <c r="I924" s="731"/>
      <c r="J924" s="613"/>
      <c r="K924" s="613"/>
      <c r="L924" s="353"/>
      <c r="M924" s="353"/>
      <c r="N924" s="353"/>
      <c r="O924" s="764"/>
      <c r="P924" s="353"/>
      <c r="Q924" s="353"/>
      <c r="R924" s="353"/>
      <c r="S924" s="353"/>
      <c r="T924" s="353"/>
      <c r="U924" s="353"/>
      <c r="V924" s="731"/>
      <c r="W924" s="353"/>
      <c r="X924" s="353"/>
      <c r="Y924" s="353"/>
      <c r="Z924" s="731"/>
      <c r="AA924" s="353"/>
      <c r="AB924" s="731"/>
      <c r="AC924" s="731"/>
    </row>
    <row r="925" ht="13.8" spans="1:29">
      <c r="A925" s="353"/>
      <c r="B925" s="613"/>
      <c r="C925" s="353"/>
      <c r="D925" s="353"/>
      <c r="E925" s="353"/>
      <c r="F925" s="353"/>
      <c r="G925" s="353"/>
      <c r="H925" s="353"/>
      <c r="I925" s="731"/>
      <c r="J925" s="613"/>
      <c r="K925" s="613"/>
      <c r="L925" s="353"/>
      <c r="M925" s="353"/>
      <c r="N925" s="353"/>
      <c r="O925" s="764"/>
      <c r="P925" s="353"/>
      <c r="Q925" s="353"/>
      <c r="R925" s="353"/>
      <c r="S925" s="353"/>
      <c r="T925" s="353"/>
      <c r="U925" s="353"/>
      <c r="V925" s="731"/>
      <c r="W925" s="353"/>
      <c r="X925" s="353"/>
      <c r="Y925" s="353"/>
      <c r="Z925" s="731"/>
      <c r="AA925" s="353"/>
      <c r="AB925" s="731"/>
      <c r="AC925" s="731"/>
    </row>
    <row r="926" ht="13.8" spans="1:29">
      <c r="A926" s="353"/>
      <c r="B926" s="613"/>
      <c r="C926" s="353"/>
      <c r="D926" s="353"/>
      <c r="E926" s="353"/>
      <c r="F926" s="353"/>
      <c r="G926" s="353"/>
      <c r="H926" s="353"/>
      <c r="I926" s="731"/>
      <c r="J926" s="613"/>
      <c r="K926" s="613"/>
      <c r="L926" s="353"/>
      <c r="M926" s="353"/>
      <c r="N926" s="353"/>
      <c r="O926" s="764"/>
      <c r="P926" s="353"/>
      <c r="Q926" s="353"/>
      <c r="R926" s="353"/>
      <c r="S926" s="353"/>
      <c r="T926" s="353"/>
      <c r="U926" s="353"/>
      <c r="V926" s="731"/>
      <c r="W926" s="353"/>
      <c r="X926" s="353"/>
      <c r="Y926" s="353"/>
      <c r="Z926" s="731"/>
      <c r="AA926" s="353"/>
      <c r="AB926" s="731"/>
      <c r="AC926" s="731"/>
    </row>
    <row r="927" ht="13.8" spans="1:29">
      <c r="A927" s="353"/>
      <c r="B927" s="613"/>
      <c r="C927" s="353"/>
      <c r="D927" s="353"/>
      <c r="E927" s="353"/>
      <c r="F927" s="353"/>
      <c r="G927" s="353"/>
      <c r="H927" s="353"/>
      <c r="I927" s="731"/>
      <c r="J927" s="613"/>
      <c r="K927" s="613"/>
      <c r="L927" s="353"/>
      <c r="M927" s="353"/>
      <c r="N927" s="353"/>
      <c r="O927" s="764"/>
      <c r="P927" s="353"/>
      <c r="Q927" s="353"/>
      <c r="R927" s="353"/>
      <c r="S927" s="353"/>
      <c r="T927" s="353"/>
      <c r="U927" s="353"/>
      <c r="V927" s="731"/>
      <c r="W927" s="353"/>
      <c r="X927" s="353"/>
      <c r="Y927" s="353"/>
      <c r="Z927" s="731"/>
      <c r="AA927" s="353"/>
      <c r="AB927" s="731"/>
      <c r="AC927" s="731"/>
    </row>
    <row r="928" ht="13.8" spans="1:29">
      <c r="A928" s="353"/>
      <c r="B928" s="613"/>
      <c r="C928" s="353"/>
      <c r="D928" s="353"/>
      <c r="E928" s="353"/>
      <c r="F928" s="353"/>
      <c r="G928" s="353"/>
      <c r="H928" s="353"/>
      <c r="I928" s="731"/>
      <c r="J928" s="613"/>
      <c r="K928" s="613"/>
      <c r="L928" s="353"/>
      <c r="M928" s="353"/>
      <c r="N928" s="353"/>
      <c r="O928" s="764"/>
      <c r="P928" s="353"/>
      <c r="Q928" s="353"/>
      <c r="R928" s="353"/>
      <c r="S928" s="353"/>
      <c r="T928" s="353"/>
      <c r="U928" s="353"/>
      <c r="V928" s="731"/>
      <c r="W928" s="353"/>
      <c r="X928" s="353"/>
      <c r="Y928" s="353"/>
      <c r="Z928" s="731"/>
      <c r="AA928" s="353"/>
      <c r="AB928" s="731"/>
      <c r="AC928" s="731"/>
    </row>
    <row r="929" ht="13.8" spans="1:29">
      <c r="A929" s="353"/>
      <c r="B929" s="613"/>
      <c r="C929" s="353"/>
      <c r="D929" s="353"/>
      <c r="E929" s="353"/>
      <c r="F929" s="353"/>
      <c r="G929" s="353"/>
      <c r="H929" s="353"/>
      <c r="I929" s="731"/>
      <c r="J929" s="613"/>
      <c r="K929" s="613"/>
      <c r="L929" s="353"/>
      <c r="M929" s="353"/>
      <c r="N929" s="353"/>
      <c r="O929" s="764"/>
      <c r="P929" s="353"/>
      <c r="Q929" s="353"/>
      <c r="R929" s="353"/>
      <c r="S929" s="353"/>
      <c r="T929" s="353"/>
      <c r="U929" s="353"/>
      <c r="V929" s="731"/>
      <c r="W929" s="353"/>
      <c r="X929" s="353"/>
      <c r="Y929" s="353"/>
      <c r="Z929" s="731"/>
      <c r="AA929" s="353"/>
      <c r="AB929" s="731"/>
      <c r="AC929" s="731"/>
    </row>
    <row r="930" ht="13.8" spans="1:29">
      <c r="A930" s="353"/>
      <c r="B930" s="613"/>
      <c r="C930" s="353"/>
      <c r="D930" s="353"/>
      <c r="E930" s="353"/>
      <c r="F930" s="353"/>
      <c r="G930" s="353"/>
      <c r="H930" s="353"/>
      <c r="I930" s="731"/>
      <c r="J930" s="613"/>
      <c r="K930" s="613"/>
      <c r="L930" s="353"/>
      <c r="M930" s="353"/>
      <c r="N930" s="353"/>
      <c r="O930" s="764"/>
      <c r="P930" s="353"/>
      <c r="Q930" s="353"/>
      <c r="R930" s="353"/>
      <c r="S930" s="353"/>
      <c r="T930" s="353"/>
      <c r="U930" s="353"/>
      <c r="V930" s="731"/>
      <c r="W930" s="353"/>
      <c r="X930" s="353"/>
      <c r="Y930" s="353"/>
      <c r="Z930" s="731"/>
      <c r="AA930" s="353"/>
      <c r="AB930" s="731"/>
      <c r="AC930" s="731"/>
    </row>
    <row r="931" ht="13.8" spans="1:29">
      <c r="A931" s="353"/>
      <c r="B931" s="613"/>
      <c r="C931" s="353"/>
      <c r="D931" s="353"/>
      <c r="E931" s="353"/>
      <c r="F931" s="353"/>
      <c r="G931" s="353"/>
      <c r="H931" s="353"/>
      <c r="I931" s="731"/>
      <c r="J931" s="613"/>
      <c r="K931" s="613"/>
      <c r="L931" s="353"/>
      <c r="M931" s="353"/>
      <c r="N931" s="353"/>
      <c r="O931" s="764"/>
      <c r="P931" s="353"/>
      <c r="Q931" s="353"/>
      <c r="R931" s="353"/>
      <c r="S931" s="353"/>
      <c r="T931" s="353"/>
      <c r="U931" s="353"/>
      <c r="V931" s="731"/>
      <c r="W931" s="353"/>
      <c r="X931" s="353"/>
      <c r="Y931" s="353"/>
      <c r="Z931" s="731"/>
      <c r="AA931" s="353"/>
      <c r="AB931" s="731"/>
      <c r="AC931" s="731"/>
    </row>
    <row r="932" ht="13.8" spans="1:29">
      <c r="A932" s="353"/>
      <c r="B932" s="613"/>
      <c r="C932" s="353"/>
      <c r="D932" s="353"/>
      <c r="E932" s="353"/>
      <c r="F932" s="353"/>
      <c r="G932" s="353"/>
      <c r="H932" s="353"/>
      <c r="I932" s="731"/>
      <c r="J932" s="613"/>
      <c r="K932" s="613"/>
      <c r="L932" s="353"/>
      <c r="M932" s="353"/>
      <c r="N932" s="353"/>
      <c r="O932" s="764"/>
      <c r="P932" s="353"/>
      <c r="Q932" s="353"/>
      <c r="R932" s="353"/>
      <c r="S932" s="353"/>
      <c r="T932" s="353"/>
      <c r="U932" s="353"/>
      <c r="V932" s="731"/>
      <c r="W932" s="353"/>
      <c r="X932" s="353"/>
      <c r="Y932" s="353"/>
      <c r="Z932" s="731"/>
      <c r="AA932" s="353"/>
      <c r="AB932" s="731"/>
      <c r="AC932" s="731"/>
    </row>
    <row r="933" ht="13.8" spans="1:29">
      <c r="A933" s="353"/>
      <c r="B933" s="613"/>
      <c r="C933" s="353"/>
      <c r="D933" s="353"/>
      <c r="E933" s="353"/>
      <c r="F933" s="353"/>
      <c r="G933" s="353"/>
      <c r="H933" s="353"/>
      <c r="I933" s="731"/>
      <c r="J933" s="613"/>
      <c r="K933" s="613"/>
      <c r="L933" s="353"/>
      <c r="M933" s="353"/>
      <c r="N933" s="353"/>
      <c r="O933" s="764"/>
      <c r="P933" s="353"/>
      <c r="Q933" s="353"/>
      <c r="R933" s="353"/>
      <c r="S933" s="353"/>
      <c r="T933" s="353"/>
      <c r="U933" s="353"/>
      <c r="V933" s="731"/>
      <c r="W933" s="353"/>
      <c r="X933" s="353"/>
      <c r="Y933" s="353"/>
      <c r="Z933" s="731"/>
      <c r="AA933" s="353"/>
      <c r="AB933" s="731"/>
      <c r="AC933" s="731"/>
    </row>
    <row r="934" ht="13.8" spans="1:29">
      <c r="A934" s="353"/>
      <c r="B934" s="613"/>
      <c r="C934" s="353"/>
      <c r="D934" s="353"/>
      <c r="E934" s="353"/>
      <c r="F934" s="353"/>
      <c r="G934" s="353"/>
      <c r="H934" s="353"/>
      <c r="I934" s="731"/>
      <c r="J934" s="613"/>
      <c r="K934" s="613"/>
      <c r="L934" s="353"/>
      <c r="M934" s="353"/>
      <c r="N934" s="353"/>
      <c r="O934" s="764"/>
      <c r="P934" s="353"/>
      <c r="Q934" s="353"/>
      <c r="R934" s="353"/>
      <c r="S934" s="353"/>
      <c r="T934" s="353"/>
      <c r="U934" s="353"/>
      <c r="V934" s="731"/>
      <c r="W934" s="353"/>
      <c r="X934" s="353"/>
      <c r="Y934" s="353"/>
      <c r="Z934" s="731"/>
      <c r="AA934" s="353"/>
      <c r="AB934" s="731"/>
      <c r="AC934" s="731"/>
    </row>
    <row r="935" ht="13.8" spans="1:29">
      <c r="A935" s="353"/>
      <c r="B935" s="613"/>
      <c r="C935" s="353"/>
      <c r="D935" s="353"/>
      <c r="E935" s="353"/>
      <c r="F935" s="353"/>
      <c r="G935" s="353"/>
      <c r="H935" s="353"/>
      <c r="I935" s="731"/>
      <c r="J935" s="613"/>
      <c r="K935" s="613"/>
      <c r="L935" s="353"/>
      <c r="M935" s="353"/>
      <c r="N935" s="353"/>
      <c r="O935" s="764"/>
      <c r="P935" s="353"/>
      <c r="Q935" s="353"/>
      <c r="R935" s="353"/>
      <c r="S935" s="353"/>
      <c r="T935" s="353"/>
      <c r="U935" s="353"/>
      <c r="V935" s="731"/>
      <c r="W935" s="353"/>
      <c r="X935" s="353"/>
      <c r="Y935" s="353"/>
      <c r="Z935" s="731"/>
      <c r="AA935" s="353"/>
      <c r="AB935" s="731"/>
      <c r="AC935" s="731"/>
    </row>
    <row r="936" ht="13.8" spans="1:29">
      <c r="A936" s="353"/>
      <c r="B936" s="613"/>
      <c r="C936" s="353"/>
      <c r="D936" s="353"/>
      <c r="E936" s="353"/>
      <c r="F936" s="353"/>
      <c r="G936" s="353"/>
      <c r="H936" s="353"/>
      <c r="I936" s="731"/>
      <c r="J936" s="613"/>
      <c r="K936" s="613"/>
      <c r="L936" s="353"/>
      <c r="M936" s="353"/>
      <c r="N936" s="353"/>
      <c r="O936" s="764"/>
      <c r="P936" s="353"/>
      <c r="Q936" s="353"/>
      <c r="R936" s="353"/>
      <c r="S936" s="353"/>
      <c r="T936" s="353"/>
      <c r="U936" s="353"/>
      <c r="V936" s="731"/>
      <c r="W936" s="353"/>
      <c r="X936" s="353"/>
      <c r="Y936" s="353"/>
      <c r="Z936" s="731"/>
      <c r="AA936" s="353"/>
      <c r="AB936" s="731"/>
      <c r="AC936" s="731"/>
    </row>
    <row r="937" ht="13.8" spans="1:29">
      <c r="A937" s="353"/>
      <c r="B937" s="613"/>
      <c r="C937" s="353"/>
      <c r="D937" s="353"/>
      <c r="E937" s="353"/>
      <c r="F937" s="353"/>
      <c r="G937" s="353"/>
      <c r="H937" s="353"/>
      <c r="I937" s="731"/>
      <c r="J937" s="613"/>
      <c r="K937" s="613"/>
      <c r="L937" s="353"/>
      <c r="M937" s="353"/>
      <c r="N937" s="353"/>
      <c r="O937" s="764"/>
      <c r="P937" s="353"/>
      <c r="Q937" s="353"/>
      <c r="R937" s="353"/>
      <c r="S937" s="353"/>
      <c r="T937" s="353"/>
      <c r="U937" s="353"/>
      <c r="V937" s="731"/>
      <c r="W937" s="353"/>
      <c r="X937" s="353"/>
      <c r="Y937" s="353"/>
      <c r="Z937" s="731"/>
      <c r="AA937" s="353"/>
      <c r="AB937" s="731"/>
      <c r="AC937" s="731"/>
    </row>
    <row r="938" ht="13.8" spans="1:29">
      <c r="A938" s="353"/>
      <c r="B938" s="613"/>
      <c r="C938" s="353"/>
      <c r="D938" s="353"/>
      <c r="E938" s="353"/>
      <c r="F938" s="353"/>
      <c r="G938" s="353"/>
      <c r="H938" s="353"/>
      <c r="I938" s="731"/>
      <c r="J938" s="613"/>
      <c r="K938" s="613"/>
      <c r="L938" s="353"/>
      <c r="M938" s="353"/>
      <c r="N938" s="353"/>
      <c r="O938" s="764"/>
      <c r="P938" s="353"/>
      <c r="Q938" s="353"/>
      <c r="R938" s="353"/>
      <c r="S938" s="353"/>
      <c r="T938" s="353"/>
      <c r="U938" s="353"/>
      <c r="V938" s="731"/>
      <c r="W938" s="353"/>
      <c r="X938" s="353"/>
      <c r="Y938" s="353"/>
      <c r="Z938" s="731"/>
      <c r="AA938" s="353"/>
      <c r="AB938" s="731"/>
      <c r="AC938" s="731"/>
    </row>
    <row r="939" ht="13.8" spans="1:29">
      <c r="A939" s="353"/>
      <c r="B939" s="613"/>
      <c r="C939" s="353"/>
      <c r="D939" s="353"/>
      <c r="E939" s="353"/>
      <c r="F939" s="353"/>
      <c r="G939" s="353"/>
      <c r="H939" s="353"/>
      <c r="I939" s="731"/>
      <c r="J939" s="613"/>
      <c r="K939" s="613"/>
      <c r="L939" s="353"/>
      <c r="M939" s="353"/>
      <c r="N939" s="353"/>
      <c r="O939" s="764"/>
      <c r="P939" s="353"/>
      <c r="Q939" s="353"/>
      <c r="R939" s="353"/>
      <c r="S939" s="353"/>
      <c r="T939" s="353"/>
      <c r="U939" s="353"/>
      <c r="V939" s="731"/>
      <c r="W939" s="353"/>
      <c r="X939" s="353"/>
      <c r="Y939" s="353"/>
      <c r="Z939" s="731"/>
      <c r="AA939" s="353"/>
      <c r="AB939" s="731"/>
      <c r="AC939" s="731"/>
    </row>
    <row r="940" ht="13.8" spans="1:29">
      <c r="A940" s="353"/>
      <c r="B940" s="613"/>
      <c r="C940" s="353"/>
      <c r="D940" s="353"/>
      <c r="E940" s="353"/>
      <c r="F940" s="353"/>
      <c r="G940" s="353"/>
      <c r="H940" s="353"/>
      <c r="I940" s="731"/>
      <c r="J940" s="613"/>
      <c r="K940" s="613"/>
      <c r="L940" s="353"/>
      <c r="M940" s="353"/>
      <c r="N940" s="353"/>
      <c r="O940" s="764"/>
      <c r="P940" s="353"/>
      <c r="Q940" s="353"/>
      <c r="R940" s="353"/>
      <c r="S940" s="353"/>
      <c r="T940" s="353"/>
      <c r="U940" s="353"/>
      <c r="V940" s="731"/>
      <c r="W940" s="353"/>
      <c r="X940" s="353"/>
      <c r="Y940" s="353"/>
      <c r="Z940" s="731"/>
      <c r="AA940" s="353"/>
      <c r="AB940" s="731"/>
      <c r="AC940" s="731"/>
    </row>
    <row r="941" ht="13.8" spans="1:29">
      <c r="A941" s="353"/>
      <c r="B941" s="613"/>
      <c r="C941" s="353"/>
      <c r="D941" s="353"/>
      <c r="E941" s="353"/>
      <c r="F941" s="353"/>
      <c r="G941" s="353"/>
      <c r="H941" s="353"/>
      <c r="I941" s="731"/>
      <c r="J941" s="613"/>
      <c r="K941" s="613"/>
      <c r="L941" s="353"/>
      <c r="M941" s="353"/>
      <c r="N941" s="353"/>
      <c r="O941" s="764"/>
      <c r="P941" s="353"/>
      <c r="Q941" s="353"/>
      <c r="R941" s="353"/>
      <c r="S941" s="353"/>
      <c r="T941" s="353"/>
      <c r="U941" s="353"/>
      <c r="V941" s="731"/>
      <c r="W941" s="353"/>
      <c r="X941" s="353"/>
      <c r="Y941" s="353"/>
      <c r="Z941" s="731"/>
      <c r="AA941" s="353"/>
      <c r="AB941" s="731"/>
      <c r="AC941" s="731"/>
    </row>
    <row r="942" ht="13.8" spans="1:29">
      <c r="A942" s="353"/>
      <c r="B942" s="613"/>
      <c r="C942" s="353"/>
      <c r="D942" s="353"/>
      <c r="E942" s="353"/>
      <c r="F942" s="353"/>
      <c r="G942" s="353"/>
      <c r="H942" s="353"/>
      <c r="I942" s="731"/>
      <c r="J942" s="613"/>
      <c r="K942" s="613"/>
      <c r="L942" s="353"/>
      <c r="M942" s="353"/>
      <c r="N942" s="353"/>
      <c r="O942" s="764"/>
      <c r="P942" s="353"/>
      <c r="Q942" s="353"/>
      <c r="R942" s="353"/>
      <c r="S942" s="353"/>
      <c r="T942" s="353"/>
      <c r="U942" s="353"/>
      <c r="V942" s="731"/>
      <c r="W942" s="353"/>
      <c r="X942" s="353"/>
      <c r="Y942" s="353"/>
      <c r="Z942" s="731"/>
      <c r="AA942" s="353"/>
      <c r="AB942" s="731"/>
      <c r="AC942" s="731"/>
    </row>
    <row r="943" ht="13.8" spans="1:29">
      <c r="A943" s="353"/>
      <c r="B943" s="613"/>
      <c r="C943" s="353"/>
      <c r="D943" s="353"/>
      <c r="E943" s="353"/>
      <c r="F943" s="353"/>
      <c r="G943" s="353"/>
      <c r="H943" s="353"/>
      <c r="I943" s="731"/>
      <c r="J943" s="613"/>
      <c r="K943" s="613"/>
      <c r="L943" s="353"/>
      <c r="M943" s="353"/>
      <c r="N943" s="353"/>
      <c r="O943" s="764"/>
      <c r="P943" s="353"/>
      <c r="Q943" s="353"/>
      <c r="R943" s="353"/>
      <c r="S943" s="353"/>
      <c r="T943" s="353"/>
      <c r="U943" s="353"/>
      <c r="V943" s="731"/>
      <c r="W943" s="353"/>
      <c r="X943" s="353"/>
      <c r="Y943" s="353"/>
      <c r="Z943" s="731"/>
      <c r="AA943" s="353"/>
      <c r="AB943" s="731"/>
      <c r="AC943" s="731"/>
    </row>
    <row r="944" ht="13.8" spans="1:29">
      <c r="A944" s="353"/>
      <c r="B944" s="613"/>
      <c r="C944" s="353"/>
      <c r="D944" s="353"/>
      <c r="E944" s="353"/>
      <c r="F944" s="353"/>
      <c r="G944" s="353"/>
      <c r="H944" s="353"/>
      <c r="I944" s="731"/>
      <c r="J944" s="613"/>
      <c r="K944" s="613"/>
      <c r="L944" s="353"/>
      <c r="M944" s="353"/>
      <c r="N944" s="353"/>
      <c r="O944" s="764"/>
      <c r="P944" s="353"/>
      <c r="Q944" s="353"/>
      <c r="R944" s="353"/>
      <c r="S944" s="353"/>
      <c r="T944" s="353"/>
      <c r="U944" s="353"/>
      <c r="V944" s="731"/>
      <c r="W944" s="353"/>
      <c r="X944" s="353"/>
      <c r="Y944" s="353"/>
      <c r="Z944" s="731"/>
      <c r="AA944" s="353"/>
      <c r="AB944" s="731"/>
      <c r="AC944" s="731"/>
    </row>
    <row r="945" ht="13.8" spans="1:29">
      <c r="A945" s="353"/>
      <c r="B945" s="613"/>
      <c r="C945" s="353"/>
      <c r="D945" s="353"/>
      <c r="E945" s="353"/>
      <c r="F945" s="353"/>
      <c r="G945" s="353"/>
      <c r="H945" s="353"/>
      <c r="I945" s="731"/>
      <c r="J945" s="613"/>
      <c r="K945" s="613"/>
      <c r="L945" s="353"/>
      <c r="M945" s="353"/>
      <c r="N945" s="353"/>
      <c r="O945" s="764"/>
      <c r="P945" s="353"/>
      <c r="Q945" s="353"/>
      <c r="R945" s="353"/>
      <c r="S945" s="353"/>
      <c r="T945" s="353"/>
      <c r="U945" s="353"/>
      <c r="V945" s="731"/>
      <c r="W945" s="353"/>
      <c r="X945" s="353"/>
      <c r="Y945" s="353"/>
      <c r="Z945" s="731"/>
      <c r="AA945" s="353"/>
      <c r="AB945" s="731"/>
      <c r="AC945" s="731"/>
    </row>
    <row r="946" ht="13.8" spans="1:29">
      <c r="A946" s="353"/>
      <c r="B946" s="613"/>
      <c r="C946" s="353"/>
      <c r="D946" s="353"/>
      <c r="E946" s="353"/>
      <c r="F946" s="353"/>
      <c r="G946" s="353"/>
      <c r="H946" s="353"/>
      <c r="I946" s="731"/>
      <c r="J946" s="613"/>
      <c r="K946" s="613"/>
      <c r="L946" s="353"/>
      <c r="M946" s="353"/>
      <c r="N946" s="353"/>
      <c r="O946" s="764"/>
      <c r="P946" s="353"/>
      <c r="Q946" s="353"/>
      <c r="R946" s="353"/>
      <c r="S946" s="353"/>
      <c r="T946" s="353"/>
      <c r="U946" s="353"/>
      <c r="V946" s="731"/>
      <c r="W946" s="353"/>
      <c r="X946" s="353"/>
      <c r="Y946" s="353"/>
      <c r="Z946" s="731"/>
      <c r="AA946" s="353"/>
      <c r="AB946" s="731"/>
      <c r="AC946" s="731"/>
    </row>
    <row r="947" ht="13.8" spans="1:29">
      <c r="A947" s="353"/>
      <c r="B947" s="613"/>
      <c r="C947" s="353"/>
      <c r="D947" s="353"/>
      <c r="E947" s="353"/>
      <c r="F947" s="353"/>
      <c r="G947" s="353"/>
      <c r="H947" s="353"/>
      <c r="I947" s="731"/>
      <c r="J947" s="613"/>
      <c r="K947" s="613"/>
      <c r="L947" s="353"/>
      <c r="M947" s="353"/>
      <c r="N947" s="353"/>
      <c r="O947" s="764"/>
      <c r="P947" s="353"/>
      <c r="Q947" s="353"/>
      <c r="R947" s="353"/>
      <c r="S947" s="353"/>
      <c r="T947" s="353"/>
      <c r="U947" s="353"/>
      <c r="V947" s="731"/>
      <c r="W947" s="353"/>
      <c r="X947" s="353"/>
      <c r="Y947" s="353"/>
      <c r="Z947" s="731"/>
      <c r="AA947" s="353"/>
      <c r="AB947" s="731"/>
      <c r="AC947" s="731"/>
    </row>
    <row r="948" ht="13.8" spans="1:29">
      <c r="A948" s="353"/>
      <c r="B948" s="613"/>
      <c r="C948" s="353"/>
      <c r="D948" s="353"/>
      <c r="E948" s="353"/>
      <c r="F948" s="353"/>
      <c r="G948" s="353"/>
      <c r="H948" s="353"/>
      <c r="I948" s="731"/>
      <c r="J948" s="613"/>
      <c r="K948" s="613"/>
      <c r="L948" s="353"/>
      <c r="M948" s="353"/>
      <c r="N948" s="353"/>
      <c r="O948" s="764"/>
      <c r="P948" s="353"/>
      <c r="Q948" s="353"/>
      <c r="R948" s="353"/>
      <c r="S948" s="353"/>
      <c r="T948" s="353"/>
      <c r="U948" s="353"/>
      <c r="V948" s="731"/>
      <c r="W948" s="353"/>
      <c r="X948" s="353"/>
      <c r="Y948" s="353"/>
      <c r="Z948" s="731"/>
      <c r="AA948" s="353"/>
      <c r="AB948" s="731"/>
      <c r="AC948" s="731"/>
    </row>
    <row r="949" ht="13.8" spans="1:29">
      <c r="A949" s="353"/>
      <c r="B949" s="613"/>
      <c r="C949" s="353"/>
      <c r="D949" s="353"/>
      <c r="E949" s="353"/>
      <c r="F949" s="353"/>
      <c r="G949" s="353"/>
      <c r="H949" s="353"/>
      <c r="I949" s="731"/>
      <c r="J949" s="613"/>
      <c r="K949" s="613"/>
      <c r="L949" s="353"/>
      <c r="M949" s="353"/>
      <c r="N949" s="353"/>
      <c r="O949" s="764"/>
      <c r="P949" s="353"/>
      <c r="Q949" s="353"/>
      <c r="R949" s="353"/>
      <c r="S949" s="353"/>
      <c r="T949" s="353"/>
      <c r="U949" s="353"/>
      <c r="V949" s="731"/>
      <c r="W949" s="353"/>
      <c r="X949" s="353"/>
      <c r="Y949" s="353"/>
      <c r="Z949" s="731"/>
      <c r="AA949" s="353"/>
      <c r="AB949" s="731"/>
      <c r="AC949" s="731"/>
    </row>
    <row r="950" ht="13.8" spans="1:29">
      <c r="A950" s="353"/>
      <c r="B950" s="613"/>
      <c r="C950" s="353"/>
      <c r="D950" s="353"/>
      <c r="E950" s="353"/>
      <c r="F950" s="353"/>
      <c r="G950" s="353"/>
      <c r="H950" s="353"/>
      <c r="I950" s="731"/>
      <c r="J950" s="613"/>
      <c r="K950" s="613"/>
      <c r="L950" s="353"/>
      <c r="M950" s="353"/>
      <c r="N950" s="353"/>
      <c r="O950" s="764"/>
      <c r="P950" s="353"/>
      <c r="Q950" s="353"/>
      <c r="R950" s="353"/>
      <c r="S950" s="353"/>
      <c r="T950" s="353"/>
      <c r="U950" s="353"/>
      <c r="V950" s="731"/>
      <c r="W950" s="353"/>
      <c r="X950" s="353"/>
      <c r="Y950" s="353"/>
      <c r="Z950" s="731"/>
      <c r="AA950" s="353"/>
      <c r="AB950" s="731"/>
      <c r="AC950" s="731"/>
    </row>
    <row r="951" ht="13.8" spans="1:29">
      <c r="A951" s="353"/>
      <c r="B951" s="613"/>
      <c r="C951" s="353"/>
      <c r="D951" s="353"/>
      <c r="E951" s="353"/>
      <c r="F951" s="353"/>
      <c r="G951" s="353"/>
      <c r="H951" s="353"/>
      <c r="I951" s="731"/>
      <c r="J951" s="613"/>
      <c r="K951" s="613"/>
      <c r="L951" s="353"/>
      <c r="M951" s="353"/>
      <c r="N951" s="353"/>
      <c r="O951" s="764"/>
      <c r="P951" s="353"/>
      <c r="Q951" s="353"/>
      <c r="R951" s="353"/>
      <c r="S951" s="353"/>
      <c r="T951" s="353"/>
      <c r="U951" s="353"/>
      <c r="V951" s="731"/>
      <c r="W951" s="353"/>
      <c r="X951" s="353"/>
      <c r="Y951" s="353"/>
      <c r="Z951" s="731"/>
      <c r="AA951" s="353"/>
      <c r="AB951" s="731"/>
      <c r="AC951" s="731"/>
    </row>
    <row r="952" ht="13.8" spans="1:29">
      <c r="A952" s="353"/>
      <c r="B952" s="613"/>
      <c r="C952" s="353"/>
      <c r="D952" s="353"/>
      <c r="E952" s="353"/>
      <c r="F952" s="353"/>
      <c r="G952" s="353"/>
      <c r="H952" s="353"/>
      <c r="I952" s="731"/>
      <c r="J952" s="613"/>
      <c r="K952" s="613"/>
      <c r="L952" s="353"/>
      <c r="M952" s="353"/>
      <c r="N952" s="353"/>
      <c r="O952" s="764"/>
      <c r="P952" s="353"/>
      <c r="Q952" s="353"/>
      <c r="R952" s="353"/>
      <c r="S952" s="353"/>
      <c r="T952" s="353"/>
      <c r="U952" s="353"/>
      <c r="V952" s="731"/>
      <c r="W952" s="353"/>
      <c r="X952" s="353"/>
      <c r="Y952" s="353"/>
      <c r="Z952" s="731"/>
      <c r="AA952" s="353"/>
      <c r="AB952" s="731"/>
      <c r="AC952" s="731"/>
    </row>
    <row r="953" ht="13.8" spans="1:29">
      <c r="A953" s="353"/>
      <c r="B953" s="613"/>
      <c r="C953" s="353"/>
      <c r="D953" s="353"/>
      <c r="E953" s="353"/>
      <c r="F953" s="353"/>
      <c r="G953" s="353"/>
      <c r="H953" s="353"/>
      <c r="I953" s="731"/>
      <c r="J953" s="613"/>
      <c r="K953" s="613"/>
      <c r="L953" s="353"/>
      <c r="M953" s="353"/>
      <c r="N953" s="353"/>
      <c r="O953" s="764"/>
      <c r="P953" s="353"/>
      <c r="Q953" s="353"/>
      <c r="R953" s="353"/>
      <c r="S953" s="353"/>
      <c r="T953" s="353"/>
      <c r="U953" s="353"/>
      <c r="V953" s="731"/>
      <c r="W953" s="353"/>
      <c r="X953" s="353"/>
      <c r="Y953" s="353"/>
      <c r="Z953" s="731"/>
      <c r="AA953" s="353"/>
      <c r="AB953" s="731"/>
      <c r="AC953" s="731"/>
    </row>
    <row r="954" ht="13.8" spans="1:29">
      <c r="A954" s="353"/>
      <c r="B954" s="613"/>
      <c r="C954" s="353"/>
      <c r="D954" s="353"/>
      <c r="E954" s="353"/>
      <c r="F954" s="353"/>
      <c r="G954" s="353"/>
      <c r="H954" s="353"/>
      <c r="I954" s="731"/>
      <c r="J954" s="613"/>
      <c r="K954" s="613"/>
      <c r="L954" s="353"/>
      <c r="M954" s="353"/>
      <c r="N954" s="353"/>
      <c r="O954" s="764"/>
      <c r="P954" s="353"/>
      <c r="Q954" s="353"/>
      <c r="R954" s="353"/>
      <c r="S954" s="353"/>
      <c r="T954" s="353"/>
      <c r="U954" s="353"/>
      <c r="V954" s="731"/>
      <c r="W954" s="353"/>
      <c r="X954" s="353"/>
      <c r="Y954" s="353"/>
      <c r="Z954" s="731"/>
      <c r="AA954" s="353"/>
      <c r="AB954" s="731"/>
      <c r="AC954" s="731"/>
    </row>
    <row r="955" ht="13.8" spans="1:29">
      <c r="A955" s="353"/>
      <c r="B955" s="613"/>
      <c r="C955" s="353"/>
      <c r="D955" s="353"/>
      <c r="E955" s="353"/>
      <c r="F955" s="353"/>
      <c r="G955" s="353"/>
      <c r="H955" s="353"/>
      <c r="I955" s="731"/>
      <c r="J955" s="613"/>
      <c r="K955" s="613"/>
      <c r="L955" s="353"/>
      <c r="M955" s="353"/>
      <c r="N955" s="353"/>
      <c r="O955" s="764"/>
      <c r="P955" s="353"/>
      <c r="Q955" s="353"/>
      <c r="R955" s="353"/>
      <c r="S955" s="353"/>
      <c r="T955" s="353"/>
      <c r="U955" s="353"/>
      <c r="V955" s="731"/>
      <c r="W955" s="353"/>
      <c r="X955" s="353"/>
      <c r="Y955" s="353"/>
      <c r="Z955" s="731"/>
      <c r="AA955" s="353"/>
      <c r="AB955" s="731"/>
      <c r="AC955" s="731"/>
    </row>
    <row r="956" ht="13.8" spans="1:29">
      <c r="A956" s="353"/>
      <c r="B956" s="613"/>
      <c r="C956" s="353"/>
      <c r="D956" s="353"/>
      <c r="E956" s="353"/>
      <c r="F956" s="353"/>
      <c r="G956" s="353"/>
      <c r="H956" s="353"/>
      <c r="I956" s="731"/>
      <c r="J956" s="613"/>
      <c r="K956" s="613"/>
      <c r="L956" s="353"/>
      <c r="M956" s="353"/>
      <c r="N956" s="353"/>
      <c r="O956" s="764"/>
      <c r="P956" s="353"/>
      <c r="Q956" s="353"/>
      <c r="R956" s="353"/>
      <c r="S956" s="353"/>
      <c r="T956" s="353"/>
      <c r="U956" s="353"/>
      <c r="V956" s="731"/>
      <c r="W956" s="353"/>
      <c r="X956" s="353"/>
      <c r="Y956" s="353"/>
      <c r="Z956" s="731"/>
      <c r="AA956" s="353"/>
      <c r="AB956" s="731"/>
      <c r="AC956" s="731"/>
    </row>
    <row r="957" ht="13.8" spans="1:29">
      <c r="A957" s="353"/>
      <c r="B957" s="613"/>
      <c r="C957" s="353"/>
      <c r="D957" s="353"/>
      <c r="E957" s="353"/>
      <c r="F957" s="353"/>
      <c r="G957" s="353"/>
      <c r="H957" s="353"/>
      <c r="I957" s="731"/>
      <c r="J957" s="613"/>
      <c r="K957" s="613"/>
      <c r="L957" s="353"/>
      <c r="M957" s="353"/>
      <c r="N957" s="353"/>
      <c r="O957" s="764"/>
      <c r="P957" s="353"/>
      <c r="Q957" s="353"/>
      <c r="R957" s="353"/>
      <c r="S957" s="353"/>
      <c r="T957" s="353"/>
      <c r="U957" s="353"/>
      <c r="V957" s="731"/>
      <c r="W957" s="353"/>
      <c r="X957" s="353"/>
      <c r="Y957" s="353"/>
      <c r="Z957" s="731"/>
      <c r="AA957" s="353"/>
      <c r="AB957" s="731"/>
      <c r="AC957" s="731"/>
    </row>
    <row r="958" ht="13.8" spans="1:29">
      <c r="A958" s="353"/>
      <c r="B958" s="613"/>
      <c r="C958" s="353"/>
      <c r="D958" s="353"/>
      <c r="E958" s="353"/>
      <c r="F958" s="353"/>
      <c r="G958" s="353"/>
      <c r="H958" s="353"/>
      <c r="I958" s="731"/>
      <c r="J958" s="613"/>
      <c r="K958" s="613"/>
      <c r="L958" s="353"/>
      <c r="M958" s="353"/>
      <c r="N958" s="353"/>
      <c r="O958" s="764"/>
      <c r="P958" s="353"/>
      <c r="Q958" s="353"/>
      <c r="R958" s="353"/>
      <c r="S958" s="353"/>
      <c r="T958" s="353"/>
      <c r="U958" s="353"/>
      <c r="V958" s="731"/>
      <c r="W958" s="353"/>
      <c r="X958" s="353"/>
      <c r="Y958" s="353"/>
      <c r="Z958" s="731"/>
      <c r="AA958" s="353"/>
      <c r="AB958" s="731"/>
      <c r="AC958" s="731"/>
    </row>
    <row r="959" ht="13.8" spans="1:29">
      <c r="A959" s="353"/>
      <c r="B959" s="613"/>
      <c r="C959" s="353"/>
      <c r="D959" s="353"/>
      <c r="E959" s="353"/>
      <c r="F959" s="353"/>
      <c r="G959" s="353"/>
      <c r="H959" s="353"/>
      <c r="I959" s="731"/>
      <c r="J959" s="613"/>
      <c r="K959" s="613"/>
      <c r="L959" s="353"/>
      <c r="M959" s="353"/>
      <c r="N959" s="353"/>
      <c r="O959" s="764"/>
      <c r="P959" s="353"/>
      <c r="Q959" s="353"/>
      <c r="R959" s="353"/>
      <c r="S959" s="353"/>
      <c r="T959" s="353"/>
      <c r="U959" s="353"/>
      <c r="V959" s="731"/>
      <c r="W959" s="353"/>
      <c r="X959" s="353"/>
      <c r="Y959" s="353"/>
      <c r="Z959" s="731"/>
      <c r="AA959" s="353"/>
      <c r="AB959" s="731"/>
      <c r="AC959" s="731"/>
    </row>
    <row r="960" ht="13.8" spans="1:29">
      <c r="A960" s="353"/>
      <c r="B960" s="613"/>
      <c r="C960" s="353"/>
      <c r="D960" s="353"/>
      <c r="E960" s="353"/>
      <c r="F960" s="353"/>
      <c r="G960" s="353"/>
      <c r="H960" s="353"/>
      <c r="I960" s="731"/>
      <c r="J960" s="613"/>
      <c r="K960" s="613"/>
      <c r="L960" s="353"/>
      <c r="M960" s="353"/>
      <c r="N960" s="353"/>
      <c r="O960" s="764"/>
      <c r="P960" s="353"/>
      <c r="Q960" s="353"/>
      <c r="R960" s="353"/>
      <c r="S960" s="353"/>
      <c r="T960" s="353"/>
      <c r="U960" s="353"/>
      <c r="V960" s="731"/>
      <c r="W960" s="353"/>
      <c r="X960" s="353"/>
      <c r="Y960" s="353"/>
      <c r="Z960" s="731"/>
      <c r="AA960" s="353"/>
      <c r="AB960" s="731"/>
      <c r="AC960" s="731"/>
    </row>
    <row r="961" ht="13.8" spans="1:29">
      <c r="A961" s="353"/>
      <c r="B961" s="613"/>
      <c r="C961" s="353"/>
      <c r="D961" s="353"/>
      <c r="E961" s="353"/>
      <c r="F961" s="353"/>
      <c r="G961" s="353"/>
      <c r="H961" s="353"/>
      <c r="I961" s="731"/>
      <c r="J961" s="613"/>
      <c r="K961" s="613"/>
      <c r="L961" s="353"/>
      <c r="M961" s="353"/>
      <c r="N961" s="353"/>
      <c r="O961" s="764"/>
      <c r="P961" s="353"/>
      <c r="Q961" s="353"/>
      <c r="R961" s="353"/>
      <c r="S961" s="353"/>
      <c r="T961" s="353"/>
      <c r="U961" s="353"/>
      <c r="V961" s="731"/>
      <c r="W961" s="353"/>
      <c r="X961" s="353"/>
      <c r="Y961" s="353"/>
      <c r="Z961" s="731"/>
      <c r="AA961" s="353"/>
      <c r="AB961" s="731"/>
      <c r="AC961" s="731"/>
    </row>
    <row r="962" ht="13.8" spans="1:29">
      <c r="A962" s="353"/>
      <c r="B962" s="613"/>
      <c r="C962" s="353"/>
      <c r="D962" s="353"/>
      <c r="E962" s="353"/>
      <c r="F962" s="353"/>
      <c r="G962" s="353"/>
      <c r="H962" s="353"/>
      <c r="I962" s="731"/>
      <c r="J962" s="613"/>
      <c r="K962" s="613"/>
      <c r="L962" s="353"/>
      <c r="M962" s="353"/>
      <c r="N962" s="353"/>
      <c r="O962" s="764"/>
      <c r="P962" s="353"/>
      <c r="Q962" s="353"/>
      <c r="R962" s="353"/>
      <c r="S962" s="353"/>
      <c r="T962" s="353"/>
      <c r="U962" s="353"/>
      <c r="V962" s="731"/>
      <c r="W962" s="353"/>
      <c r="X962" s="353"/>
      <c r="Y962" s="353"/>
      <c r="Z962" s="731"/>
      <c r="AA962" s="353"/>
      <c r="AB962" s="731"/>
      <c r="AC962" s="731"/>
    </row>
    <row r="963" ht="13.8" spans="1:29">
      <c r="A963" s="353"/>
      <c r="B963" s="613"/>
      <c r="C963" s="353"/>
      <c r="D963" s="353"/>
      <c r="E963" s="353"/>
      <c r="F963" s="353"/>
      <c r="G963" s="353"/>
      <c r="H963" s="353"/>
      <c r="I963" s="731"/>
      <c r="J963" s="613"/>
      <c r="K963" s="613"/>
      <c r="L963" s="353"/>
      <c r="M963" s="353"/>
      <c r="N963" s="353"/>
      <c r="O963" s="764"/>
      <c r="P963" s="353"/>
      <c r="Q963" s="353"/>
      <c r="R963" s="353"/>
      <c r="S963" s="353"/>
      <c r="T963" s="353"/>
      <c r="U963" s="353"/>
      <c r="V963" s="731"/>
      <c r="W963" s="353"/>
      <c r="X963" s="353"/>
      <c r="Y963" s="353"/>
      <c r="Z963" s="731"/>
      <c r="AA963" s="353"/>
      <c r="AB963" s="731"/>
      <c r="AC963" s="731"/>
    </row>
    <row r="964" ht="13.8" spans="1:29">
      <c r="A964" s="353"/>
      <c r="B964" s="613"/>
      <c r="C964" s="353"/>
      <c r="D964" s="353"/>
      <c r="E964" s="353"/>
      <c r="F964" s="353"/>
      <c r="G964" s="353"/>
      <c r="H964" s="353"/>
      <c r="I964" s="731"/>
      <c r="J964" s="613"/>
      <c r="K964" s="613"/>
      <c r="L964" s="353"/>
      <c r="M964" s="353"/>
      <c r="N964" s="353"/>
      <c r="O964" s="764"/>
      <c r="P964" s="353"/>
      <c r="Q964" s="353"/>
      <c r="R964" s="353"/>
      <c r="S964" s="353"/>
      <c r="T964" s="353"/>
      <c r="U964" s="353"/>
      <c r="V964" s="731"/>
      <c r="W964" s="353"/>
      <c r="X964" s="353"/>
      <c r="Y964" s="353"/>
      <c r="Z964" s="731"/>
      <c r="AA964" s="353"/>
      <c r="AB964" s="731"/>
      <c r="AC964" s="731"/>
    </row>
    <row r="965" ht="13.8" spans="1:29">
      <c r="A965" s="353"/>
      <c r="B965" s="613"/>
      <c r="C965" s="353"/>
      <c r="D965" s="353"/>
      <c r="E965" s="353"/>
      <c r="F965" s="353"/>
      <c r="G965" s="353"/>
      <c r="H965" s="353"/>
      <c r="I965" s="731"/>
      <c r="J965" s="613"/>
      <c r="K965" s="613"/>
      <c r="L965" s="353"/>
      <c r="M965" s="353"/>
      <c r="N965" s="353"/>
      <c r="O965" s="764"/>
      <c r="P965" s="353"/>
      <c r="Q965" s="353"/>
      <c r="R965" s="353"/>
      <c r="S965" s="353"/>
      <c r="T965" s="353"/>
      <c r="U965" s="353"/>
      <c r="V965" s="731"/>
      <c r="W965" s="353"/>
      <c r="X965" s="353"/>
      <c r="Y965" s="353"/>
      <c r="Z965" s="731"/>
      <c r="AA965" s="353"/>
      <c r="AB965" s="731"/>
      <c r="AC965" s="731"/>
    </row>
    <row r="966" ht="13.8" spans="1:29">
      <c r="A966" s="353"/>
      <c r="B966" s="613"/>
      <c r="C966" s="353"/>
      <c r="D966" s="353"/>
      <c r="E966" s="353"/>
      <c r="F966" s="353"/>
      <c r="G966" s="353"/>
      <c r="H966" s="353"/>
      <c r="I966" s="731"/>
      <c r="J966" s="613"/>
      <c r="K966" s="613"/>
      <c r="L966" s="353"/>
      <c r="M966" s="353"/>
      <c r="N966" s="353"/>
      <c r="O966" s="764"/>
      <c r="P966" s="353"/>
      <c r="Q966" s="353"/>
      <c r="R966" s="353"/>
      <c r="S966" s="353"/>
      <c r="T966" s="353"/>
      <c r="U966" s="353"/>
      <c r="V966" s="731"/>
      <c r="W966" s="353"/>
      <c r="X966" s="353"/>
      <c r="Y966" s="353"/>
      <c r="Z966" s="731"/>
      <c r="AA966" s="353"/>
      <c r="AB966" s="731"/>
      <c r="AC966" s="731"/>
    </row>
    <row r="967" ht="13.8" spans="1:29">
      <c r="A967" s="353"/>
      <c r="B967" s="613"/>
      <c r="C967" s="353"/>
      <c r="D967" s="353"/>
      <c r="E967" s="353"/>
      <c r="F967" s="353"/>
      <c r="G967" s="353"/>
      <c r="H967" s="353"/>
      <c r="I967" s="731"/>
      <c r="J967" s="613"/>
      <c r="K967" s="613"/>
      <c r="L967" s="353"/>
      <c r="M967" s="353"/>
      <c r="N967" s="353"/>
      <c r="O967" s="764"/>
      <c r="P967" s="353"/>
      <c r="Q967" s="353"/>
      <c r="R967" s="353"/>
      <c r="S967" s="353"/>
      <c r="T967" s="353"/>
      <c r="U967" s="353"/>
      <c r="V967" s="731"/>
      <c r="W967" s="353"/>
      <c r="X967" s="353"/>
      <c r="Y967" s="353"/>
      <c r="Z967" s="731"/>
      <c r="AA967" s="353"/>
      <c r="AB967" s="731"/>
      <c r="AC967" s="731"/>
    </row>
    <row r="968" ht="13.8" spans="1:29">
      <c r="A968" s="353"/>
      <c r="B968" s="613"/>
      <c r="C968" s="353"/>
      <c r="D968" s="353"/>
      <c r="E968" s="353"/>
      <c r="F968" s="353"/>
      <c r="G968" s="353"/>
      <c r="H968" s="353"/>
      <c r="I968" s="731"/>
      <c r="J968" s="613"/>
      <c r="K968" s="613"/>
      <c r="L968" s="353"/>
      <c r="M968" s="353"/>
      <c r="N968" s="353"/>
      <c r="O968" s="764"/>
      <c r="P968" s="353"/>
      <c r="Q968" s="353"/>
      <c r="R968" s="353"/>
      <c r="S968" s="353"/>
      <c r="T968" s="353"/>
      <c r="U968" s="353"/>
      <c r="V968" s="731"/>
      <c r="W968" s="353"/>
      <c r="X968" s="353"/>
      <c r="Y968" s="353"/>
      <c r="Z968" s="731"/>
      <c r="AA968" s="353"/>
      <c r="AB968" s="731"/>
      <c r="AC968" s="731"/>
    </row>
    <row r="969" ht="13.8" spans="1:29">
      <c r="A969" s="353"/>
      <c r="B969" s="613"/>
      <c r="C969" s="353"/>
      <c r="D969" s="353"/>
      <c r="E969" s="353"/>
      <c r="F969" s="353"/>
      <c r="G969" s="353"/>
      <c r="H969" s="353"/>
      <c r="I969" s="731"/>
      <c r="J969" s="613"/>
      <c r="K969" s="613"/>
      <c r="L969" s="353"/>
      <c r="M969" s="353"/>
      <c r="N969" s="353"/>
      <c r="O969" s="764"/>
      <c r="P969" s="353"/>
      <c r="Q969" s="353"/>
      <c r="R969" s="353"/>
      <c r="S969" s="353"/>
      <c r="T969" s="353"/>
      <c r="U969" s="353"/>
      <c r="V969" s="731"/>
      <c r="W969" s="353"/>
      <c r="X969" s="353"/>
      <c r="Y969" s="353"/>
      <c r="Z969" s="731"/>
      <c r="AA969" s="353"/>
      <c r="AB969" s="731"/>
      <c r="AC969" s="731"/>
    </row>
    <row r="970" ht="13.8" spans="1:29">
      <c r="A970" s="353"/>
      <c r="B970" s="613"/>
      <c r="C970" s="353"/>
      <c r="D970" s="353"/>
      <c r="E970" s="353"/>
      <c r="F970" s="353"/>
      <c r="G970" s="353"/>
      <c r="H970" s="353"/>
      <c r="I970" s="731"/>
      <c r="J970" s="613"/>
      <c r="K970" s="613"/>
      <c r="L970" s="353"/>
      <c r="M970" s="353"/>
      <c r="N970" s="353"/>
      <c r="O970" s="764"/>
      <c r="P970" s="353"/>
      <c r="Q970" s="353"/>
      <c r="R970" s="353"/>
      <c r="S970" s="353"/>
      <c r="T970" s="353"/>
      <c r="U970" s="353"/>
      <c r="V970" s="731"/>
      <c r="W970" s="353"/>
      <c r="X970" s="353"/>
      <c r="Y970" s="353"/>
      <c r="Z970" s="731"/>
      <c r="AA970" s="353"/>
      <c r="AB970" s="731"/>
      <c r="AC970" s="731"/>
    </row>
    <row r="971" ht="13.8" spans="1:29">
      <c r="A971" s="353"/>
      <c r="B971" s="613"/>
      <c r="C971" s="353"/>
      <c r="D971" s="353"/>
      <c r="E971" s="353"/>
      <c r="F971" s="353"/>
      <c r="G971" s="353"/>
      <c r="H971" s="353"/>
      <c r="I971" s="731"/>
      <c r="J971" s="613"/>
      <c r="K971" s="613"/>
      <c r="L971" s="353"/>
      <c r="M971" s="353"/>
      <c r="N971" s="353"/>
      <c r="O971" s="764"/>
      <c r="P971" s="353"/>
      <c r="Q971" s="353"/>
      <c r="R971" s="353"/>
      <c r="S971" s="353"/>
      <c r="T971" s="353"/>
      <c r="U971" s="353"/>
      <c r="V971" s="731"/>
      <c r="W971" s="353"/>
      <c r="X971" s="353"/>
      <c r="Y971" s="353"/>
      <c r="Z971" s="731"/>
      <c r="AA971" s="353"/>
      <c r="AB971" s="731"/>
      <c r="AC971" s="731"/>
    </row>
    <row r="972" ht="13.8" spans="1:29">
      <c r="A972" s="353"/>
      <c r="B972" s="613"/>
      <c r="C972" s="353"/>
      <c r="D972" s="353"/>
      <c r="E972" s="353"/>
      <c r="F972" s="353"/>
      <c r="G972" s="353"/>
      <c r="H972" s="353"/>
      <c r="I972" s="731"/>
      <c r="J972" s="613"/>
      <c r="K972" s="613"/>
      <c r="L972" s="353"/>
      <c r="M972" s="353"/>
      <c r="N972" s="353"/>
      <c r="O972" s="764"/>
      <c r="P972" s="353"/>
      <c r="Q972" s="353"/>
      <c r="R972" s="353"/>
      <c r="S972" s="353"/>
      <c r="T972" s="353"/>
      <c r="U972" s="353"/>
      <c r="V972" s="731"/>
      <c r="W972" s="353"/>
      <c r="X972" s="353"/>
      <c r="Y972" s="353"/>
      <c r="Z972" s="731"/>
      <c r="AA972" s="353"/>
      <c r="AB972" s="731"/>
      <c r="AC972" s="731"/>
    </row>
    <row r="973" ht="13.8" spans="1:29">
      <c r="A973" s="353"/>
      <c r="B973" s="613"/>
      <c r="C973" s="353"/>
      <c r="D973" s="353"/>
      <c r="E973" s="353"/>
      <c r="F973" s="353"/>
      <c r="G973" s="353"/>
      <c r="H973" s="353"/>
      <c r="I973" s="731"/>
      <c r="J973" s="613"/>
      <c r="K973" s="613"/>
      <c r="L973" s="353"/>
      <c r="M973" s="353"/>
      <c r="N973" s="353"/>
      <c r="O973" s="764"/>
      <c r="P973" s="353"/>
      <c r="Q973" s="353"/>
      <c r="R973" s="353"/>
      <c r="S973" s="353"/>
      <c r="T973" s="353"/>
      <c r="U973" s="353"/>
      <c r="V973" s="731"/>
      <c r="W973" s="353"/>
      <c r="X973" s="353"/>
      <c r="Y973" s="353"/>
      <c r="Z973" s="731"/>
      <c r="AA973" s="353"/>
      <c r="AB973" s="731"/>
      <c r="AC973" s="731"/>
    </row>
    <row r="974" ht="13.8" spans="1:29">
      <c r="A974" s="353"/>
      <c r="B974" s="613"/>
      <c r="C974" s="353"/>
      <c r="D974" s="353"/>
      <c r="E974" s="353"/>
      <c r="F974" s="353"/>
      <c r="G974" s="353"/>
      <c r="H974" s="353"/>
      <c r="I974" s="731"/>
      <c r="J974" s="613"/>
      <c r="K974" s="613"/>
      <c r="L974" s="353"/>
      <c r="M974" s="353"/>
      <c r="N974" s="353"/>
      <c r="O974" s="764"/>
      <c r="P974" s="353"/>
      <c r="Q974" s="353"/>
      <c r="R974" s="353"/>
      <c r="S974" s="353"/>
      <c r="T974" s="353"/>
      <c r="U974" s="353"/>
      <c r="V974" s="731"/>
      <c r="W974" s="353"/>
      <c r="X974" s="353"/>
      <c r="Y974" s="353"/>
      <c r="Z974" s="731"/>
      <c r="AA974" s="353"/>
      <c r="AB974" s="731"/>
      <c r="AC974" s="731"/>
    </row>
    <row r="975" ht="13.8" spans="1:29">
      <c r="A975" s="353"/>
      <c r="B975" s="613"/>
      <c r="C975" s="353"/>
      <c r="D975" s="353"/>
      <c r="E975" s="353"/>
      <c r="F975" s="353"/>
      <c r="G975" s="353"/>
      <c r="H975" s="353"/>
      <c r="I975" s="731"/>
      <c r="J975" s="613"/>
      <c r="K975" s="613"/>
      <c r="L975" s="353"/>
      <c r="M975" s="353"/>
      <c r="N975" s="353"/>
      <c r="O975" s="764"/>
      <c r="P975" s="353"/>
      <c r="Q975" s="353"/>
      <c r="R975" s="353"/>
      <c r="S975" s="353"/>
      <c r="T975" s="353"/>
      <c r="U975" s="353"/>
      <c r="V975" s="731"/>
      <c r="W975" s="353"/>
      <c r="X975" s="353"/>
      <c r="Y975" s="353"/>
      <c r="Z975" s="731"/>
      <c r="AA975" s="353"/>
      <c r="AB975" s="731"/>
      <c r="AC975" s="731"/>
    </row>
    <row r="976" ht="13.8" spans="1:29">
      <c r="A976" s="353"/>
      <c r="B976" s="613"/>
      <c r="C976" s="353"/>
      <c r="D976" s="353"/>
      <c r="E976" s="353"/>
      <c r="F976" s="353"/>
      <c r="G976" s="353"/>
      <c r="H976" s="353"/>
      <c r="I976" s="731"/>
      <c r="J976" s="613"/>
      <c r="K976" s="613"/>
      <c r="L976" s="353"/>
      <c r="M976" s="353"/>
      <c r="N976" s="353"/>
      <c r="O976" s="764"/>
      <c r="P976" s="353"/>
      <c r="Q976" s="353"/>
      <c r="R976" s="353"/>
      <c r="S976" s="353"/>
      <c r="T976" s="353"/>
      <c r="U976" s="353"/>
      <c r="V976" s="731"/>
      <c r="W976" s="353"/>
      <c r="X976" s="353"/>
      <c r="Y976" s="353"/>
      <c r="Z976" s="731"/>
      <c r="AA976" s="353"/>
      <c r="AB976" s="731"/>
      <c r="AC976" s="731"/>
    </row>
    <row r="977" ht="13.8" spans="1:29">
      <c r="A977" s="353"/>
      <c r="B977" s="613"/>
      <c r="C977" s="353"/>
      <c r="D977" s="353"/>
      <c r="E977" s="353"/>
      <c r="F977" s="353"/>
      <c r="G977" s="353"/>
      <c r="H977" s="353"/>
      <c r="I977" s="731"/>
      <c r="J977" s="613"/>
      <c r="K977" s="613"/>
      <c r="L977" s="353"/>
      <c r="M977" s="353"/>
      <c r="N977" s="353"/>
      <c r="O977" s="764"/>
      <c r="P977" s="353"/>
      <c r="Q977" s="353"/>
      <c r="R977" s="353"/>
      <c r="S977" s="353"/>
      <c r="T977" s="353"/>
      <c r="U977" s="353"/>
      <c r="V977" s="731"/>
      <c r="W977" s="353"/>
      <c r="X977" s="353"/>
      <c r="Y977" s="353"/>
      <c r="Z977" s="731"/>
      <c r="AA977" s="353"/>
      <c r="AB977" s="731"/>
      <c r="AC977" s="731"/>
    </row>
    <row r="978" ht="13.8" spans="1:29">
      <c r="A978" s="353"/>
      <c r="B978" s="613"/>
      <c r="C978" s="353"/>
      <c r="D978" s="353"/>
      <c r="E978" s="353"/>
      <c r="F978" s="353"/>
      <c r="G978" s="353"/>
      <c r="H978" s="353"/>
      <c r="I978" s="731"/>
      <c r="J978" s="613"/>
      <c r="K978" s="613"/>
      <c r="L978" s="353"/>
      <c r="M978" s="353"/>
      <c r="N978" s="353"/>
      <c r="O978" s="764"/>
      <c r="P978" s="353"/>
      <c r="Q978" s="353"/>
      <c r="R978" s="353"/>
      <c r="S978" s="353"/>
      <c r="T978" s="353"/>
      <c r="U978" s="353"/>
      <c r="V978" s="731"/>
      <c r="W978" s="353"/>
      <c r="X978" s="353"/>
      <c r="Y978" s="353"/>
      <c r="Z978" s="731"/>
      <c r="AA978" s="353"/>
      <c r="AB978" s="731"/>
      <c r="AC978" s="731"/>
    </row>
    <row r="979" ht="13.8" spans="1:29">
      <c r="A979" s="353"/>
      <c r="B979" s="613"/>
      <c r="C979" s="353"/>
      <c r="D979" s="353"/>
      <c r="E979" s="353"/>
      <c r="F979" s="353"/>
      <c r="G979" s="353"/>
      <c r="H979" s="353"/>
      <c r="I979" s="731"/>
      <c r="J979" s="613"/>
      <c r="K979" s="613"/>
      <c r="L979" s="353"/>
      <c r="M979" s="353"/>
      <c r="N979" s="353"/>
      <c r="O979" s="764"/>
      <c r="P979" s="353"/>
      <c r="Q979" s="353"/>
      <c r="R979" s="353"/>
      <c r="S979" s="353"/>
      <c r="T979" s="353"/>
      <c r="U979" s="353"/>
      <c r="V979" s="731"/>
      <c r="W979" s="353"/>
      <c r="X979" s="353"/>
      <c r="Y979" s="353"/>
      <c r="Z979" s="731"/>
      <c r="AA979" s="353"/>
      <c r="AB979" s="731"/>
      <c r="AC979" s="731"/>
    </row>
    <row r="980" ht="13.8" spans="1:29">
      <c r="A980" s="353"/>
      <c r="B980" s="613"/>
      <c r="C980" s="353"/>
      <c r="D980" s="353"/>
      <c r="E980" s="353"/>
      <c r="F980" s="353"/>
      <c r="G980" s="353"/>
      <c r="H980" s="353"/>
      <c r="I980" s="731"/>
      <c r="J980" s="613"/>
      <c r="K980" s="613"/>
      <c r="L980" s="353"/>
      <c r="M980" s="353"/>
      <c r="N980" s="353"/>
      <c r="O980" s="764"/>
      <c r="P980" s="353"/>
      <c r="Q980" s="353"/>
      <c r="R980" s="353"/>
      <c r="S980" s="353"/>
      <c r="T980" s="353"/>
      <c r="U980" s="353"/>
      <c r="V980" s="731"/>
      <c r="W980" s="353"/>
      <c r="X980" s="353"/>
      <c r="Y980" s="353"/>
      <c r="Z980" s="731"/>
      <c r="AA980" s="353"/>
      <c r="AB980" s="731"/>
      <c r="AC980" s="731"/>
    </row>
    <row r="981" ht="13.8" spans="1:29">
      <c r="A981" s="353"/>
      <c r="B981" s="613"/>
      <c r="C981" s="353"/>
      <c r="D981" s="353"/>
      <c r="E981" s="353"/>
      <c r="F981" s="353"/>
      <c r="G981" s="353"/>
      <c r="H981" s="353"/>
      <c r="I981" s="731"/>
      <c r="J981" s="613"/>
      <c r="K981" s="613"/>
      <c r="L981" s="353"/>
      <c r="M981" s="353"/>
      <c r="N981" s="353"/>
      <c r="O981" s="764"/>
      <c r="P981" s="353"/>
      <c r="Q981" s="353"/>
      <c r="R981" s="353"/>
      <c r="S981" s="353"/>
      <c r="T981" s="353"/>
      <c r="U981" s="353"/>
      <c r="V981" s="731"/>
      <c r="W981" s="353"/>
      <c r="X981" s="353"/>
      <c r="Y981" s="353"/>
      <c r="Z981" s="731"/>
      <c r="AA981" s="353"/>
      <c r="AB981" s="731"/>
      <c r="AC981" s="731"/>
    </row>
    <row r="982" ht="13.8" spans="1:29">
      <c r="A982" s="353"/>
      <c r="B982" s="613"/>
      <c r="C982" s="353"/>
      <c r="D982" s="353"/>
      <c r="E982" s="353"/>
      <c r="F982" s="353"/>
      <c r="G982" s="353"/>
      <c r="H982" s="353"/>
      <c r="I982" s="731"/>
      <c r="J982" s="613"/>
      <c r="K982" s="613"/>
      <c r="L982" s="353"/>
      <c r="M982" s="353"/>
      <c r="N982" s="353"/>
      <c r="O982" s="764"/>
      <c r="P982" s="353"/>
      <c r="Q982" s="353"/>
      <c r="R982" s="353"/>
      <c r="S982" s="353"/>
      <c r="T982" s="353"/>
      <c r="U982" s="353"/>
      <c r="V982" s="731"/>
      <c r="W982" s="353"/>
      <c r="X982" s="353"/>
      <c r="Y982" s="353"/>
      <c r="Z982" s="731"/>
      <c r="AA982" s="353"/>
      <c r="AB982" s="731"/>
      <c r="AC982" s="731"/>
    </row>
    <row r="983" ht="13.8" spans="1:29">
      <c r="A983" s="353"/>
      <c r="B983" s="613"/>
      <c r="C983" s="353"/>
      <c r="D983" s="353"/>
      <c r="E983" s="353"/>
      <c r="F983" s="353"/>
      <c r="G983" s="353"/>
      <c r="H983" s="353"/>
      <c r="I983" s="731"/>
      <c r="J983" s="613"/>
      <c r="K983" s="613"/>
      <c r="L983" s="353"/>
      <c r="M983" s="353"/>
      <c r="N983" s="353"/>
      <c r="O983" s="764"/>
      <c r="P983" s="353"/>
      <c r="Q983" s="353"/>
      <c r="R983" s="353"/>
      <c r="S983" s="353"/>
      <c r="T983" s="353"/>
      <c r="U983" s="353"/>
      <c r="V983" s="731"/>
      <c r="W983" s="353"/>
      <c r="X983" s="353"/>
      <c r="Y983" s="353"/>
      <c r="Z983" s="731"/>
      <c r="AA983" s="353"/>
      <c r="AB983" s="731"/>
      <c r="AC983" s="731"/>
    </row>
    <row r="984" ht="13.8" spans="1:29">
      <c r="A984" s="353"/>
      <c r="B984" s="613"/>
      <c r="C984" s="353"/>
      <c r="D984" s="353"/>
      <c r="E984" s="353"/>
      <c r="F984" s="353"/>
      <c r="G984" s="353"/>
      <c r="H984" s="353"/>
      <c r="I984" s="731"/>
      <c r="J984" s="613"/>
      <c r="K984" s="613"/>
      <c r="L984" s="353"/>
      <c r="M984" s="353"/>
      <c r="N984" s="353"/>
      <c r="O984" s="764"/>
      <c r="P984" s="353"/>
      <c r="Q984" s="353"/>
      <c r="R984" s="353"/>
      <c r="S984" s="353"/>
      <c r="T984" s="353"/>
      <c r="U984" s="353"/>
      <c r="V984" s="731"/>
      <c r="W984" s="353"/>
      <c r="X984" s="353"/>
      <c r="Y984" s="353"/>
      <c r="Z984" s="731"/>
      <c r="AA984" s="353"/>
      <c r="AB984" s="731"/>
      <c r="AC984" s="731"/>
    </row>
    <row r="985" ht="13.8" spans="1:29">
      <c r="A985" s="353"/>
      <c r="B985" s="613"/>
      <c r="C985" s="353"/>
      <c r="D985" s="353"/>
      <c r="E985" s="353"/>
      <c r="F985" s="353"/>
      <c r="G985" s="353"/>
      <c r="H985" s="353"/>
      <c r="I985" s="731"/>
      <c r="J985" s="613"/>
      <c r="K985" s="613"/>
      <c r="L985" s="353"/>
      <c r="M985" s="353"/>
      <c r="N985" s="353"/>
      <c r="O985" s="764"/>
      <c r="P985" s="353"/>
      <c r="Q985" s="353"/>
      <c r="R985" s="353"/>
      <c r="S985" s="353"/>
      <c r="T985" s="353"/>
      <c r="U985" s="353"/>
      <c r="V985" s="731"/>
      <c r="W985" s="353"/>
      <c r="X985" s="353"/>
      <c r="Y985" s="353"/>
      <c r="Z985" s="731"/>
      <c r="AA985" s="353"/>
      <c r="AB985" s="731"/>
      <c r="AC985" s="731"/>
    </row>
    <row r="986" ht="13.8" spans="1:29">
      <c r="A986" s="353"/>
      <c r="B986" s="613"/>
      <c r="C986" s="353"/>
      <c r="D986" s="353"/>
      <c r="E986" s="353"/>
      <c r="F986" s="353"/>
      <c r="G986" s="353"/>
      <c r="H986" s="353"/>
      <c r="I986" s="731"/>
      <c r="J986" s="613"/>
      <c r="K986" s="613"/>
      <c r="L986" s="353"/>
      <c r="M986" s="353"/>
      <c r="N986" s="353"/>
      <c r="O986" s="764"/>
      <c r="P986" s="353"/>
      <c r="Q986" s="353"/>
      <c r="R986" s="353"/>
      <c r="S986" s="353"/>
      <c r="T986" s="353"/>
      <c r="U986" s="353"/>
      <c r="V986" s="731"/>
      <c r="W986" s="353"/>
      <c r="X986" s="353"/>
      <c r="Y986" s="353"/>
      <c r="Z986" s="731"/>
      <c r="AA986" s="353"/>
      <c r="AB986" s="731"/>
      <c r="AC986" s="731"/>
    </row>
    <row r="987" ht="13.8" spans="1:29">
      <c r="A987" s="353"/>
      <c r="B987" s="613"/>
      <c r="C987" s="353"/>
      <c r="D987" s="353"/>
      <c r="E987" s="353"/>
      <c r="F987" s="353"/>
      <c r="G987" s="353"/>
      <c r="H987" s="353"/>
      <c r="I987" s="731"/>
      <c r="J987" s="613"/>
      <c r="K987" s="613"/>
      <c r="L987" s="353"/>
      <c r="M987" s="353"/>
      <c r="N987" s="353"/>
      <c r="O987" s="764"/>
      <c r="P987" s="353"/>
      <c r="Q987" s="353"/>
      <c r="R987" s="353"/>
      <c r="S987" s="353"/>
      <c r="T987" s="353"/>
      <c r="U987" s="353"/>
      <c r="V987" s="731"/>
      <c r="W987" s="353"/>
      <c r="X987" s="353"/>
      <c r="Y987" s="353"/>
      <c r="Z987" s="731"/>
      <c r="AA987" s="353"/>
      <c r="AB987" s="731"/>
      <c r="AC987" s="731"/>
    </row>
    <row r="988" ht="13.8" spans="1:29">
      <c r="A988" s="353"/>
      <c r="B988" s="613"/>
      <c r="C988" s="353"/>
      <c r="D988" s="353"/>
      <c r="E988" s="353"/>
      <c r="F988" s="353"/>
      <c r="G988" s="353"/>
      <c r="H988" s="353"/>
      <c r="I988" s="731"/>
      <c r="J988" s="613"/>
      <c r="K988" s="613"/>
      <c r="L988" s="353"/>
      <c r="M988" s="353"/>
      <c r="N988" s="353"/>
      <c r="O988" s="764"/>
      <c r="P988" s="353"/>
      <c r="Q988" s="353"/>
      <c r="R988" s="353"/>
      <c r="S988" s="353"/>
      <c r="T988" s="353"/>
      <c r="U988" s="353"/>
      <c r="V988" s="731"/>
      <c r="W988" s="353"/>
      <c r="X988" s="353"/>
      <c r="Y988" s="353"/>
      <c r="Z988" s="731"/>
      <c r="AA988" s="353"/>
      <c r="AB988" s="731"/>
      <c r="AC988" s="731"/>
    </row>
    <row r="989" ht="13.8" spans="1:29">
      <c r="A989" s="353"/>
      <c r="B989" s="613"/>
      <c r="C989" s="353"/>
      <c r="D989" s="353"/>
      <c r="E989" s="353"/>
      <c r="F989" s="353"/>
      <c r="G989" s="353"/>
      <c r="H989" s="353"/>
      <c r="I989" s="731"/>
      <c r="J989" s="613"/>
      <c r="K989" s="613"/>
      <c r="L989" s="353"/>
      <c r="M989" s="353"/>
      <c r="N989" s="353"/>
      <c r="O989" s="764"/>
      <c r="P989" s="353"/>
      <c r="Q989" s="353"/>
      <c r="R989" s="353"/>
      <c r="S989" s="353"/>
      <c r="T989" s="353"/>
      <c r="U989" s="353"/>
      <c r="V989" s="731"/>
      <c r="W989" s="353"/>
      <c r="X989" s="353"/>
      <c r="Y989" s="353"/>
      <c r="Z989" s="731"/>
      <c r="AA989" s="353"/>
      <c r="AB989" s="731"/>
      <c r="AC989" s="731"/>
    </row>
    <row r="990" ht="13.8" spans="1:29">
      <c r="A990" s="353"/>
      <c r="B990" s="613"/>
      <c r="C990" s="353"/>
      <c r="D990" s="353"/>
      <c r="E990" s="353"/>
      <c r="F990" s="353"/>
      <c r="G990" s="353"/>
      <c r="H990" s="353"/>
      <c r="I990" s="731"/>
      <c r="J990" s="613"/>
      <c r="K990" s="613"/>
      <c r="L990" s="353"/>
      <c r="M990" s="353"/>
      <c r="N990" s="353"/>
      <c r="O990" s="764"/>
      <c r="P990" s="353"/>
      <c r="Q990" s="353"/>
      <c r="R990" s="353"/>
      <c r="S990" s="353"/>
      <c r="T990" s="353"/>
      <c r="U990" s="353"/>
      <c r="V990" s="731"/>
      <c r="W990" s="353"/>
      <c r="X990" s="353"/>
      <c r="Y990" s="353"/>
      <c r="Z990" s="731"/>
      <c r="AA990" s="353"/>
      <c r="AB990" s="731"/>
      <c r="AC990" s="731"/>
    </row>
    <row r="991" ht="13.8" spans="1:29">
      <c r="A991" s="353"/>
      <c r="B991" s="613"/>
      <c r="C991" s="353"/>
      <c r="D991" s="353"/>
      <c r="E991" s="353"/>
      <c r="F991" s="353"/>
      <c r="G991" s="353"/>
      <c r="H991" s="353"/>
      <c r="I991" s="731"/>
      <c r="J991" s="613"/>
      <c r="K991" s="613"/>
      <c r="L991" s="353"/>
      <c r="M991" s="353"/>
      <c r="N991" s="353"/>
      <c r="O991" s="764"/>
      <c r="P991" s="353"/>
      <c r="Q991" s="353"/>
      <c r="R991" s="353"/>
      <c r="S991" s="353"/>
      <c r="T991" s="353"/>
      <c r="U991" s="353"/>
      <c r="V991" s="731"/>
      <c r="W991" s="353"/>
      <c r="X991" s="353"/>
      <c r="Y991" s="353"/>
      <c r="Z991" s="731"/>
      <c r="AA991" s="353"/>
      <c r="AB991" s="731"/>
      <c r="AC991" s="731"/>
    </row>
    <row r="992" ht="13.8" spans="1:29">
      <c r="A992" s="353"/>
      <c r="B992" s="613"/>
      <c r="C992" s="353"/>
      <c r="D992" s="353"/>
      <c r="E992" s="353"/>
      <c r="F992" s="353"/>
      <c r="G992" s="353"/>
      <c r="H992" s="353"/>
      <c r="I992" s="731"/>
      <c r="J992" s="613"/>
      <c r="K992" s="613"/>
      <c r="L992" s="353"/>
      <c r="M992" s="353"/>
      <c r="N992" s="353"/>
      <c r="O992" s="764"/>
      <c r="P992" s="353"/>
      <c r="Q992" s="353"/>
      <c r="R992" s="353"/>
      <c r="S992" s="353"/>
      <c r="T992" s="353"/>
      <c r="U992" s="353"/>
      <c r="V992" s="731"/>
      <c r="W992" s="353"/>
      <c r="X992" s="353"/>
      <c r="Y992" s="353"/>
      <c r="Z992" s="731"/>
      <c r="AA992" s="353"/>
      <c r="AB992" s="731"/>
      <c r="AC992" s="731"/>
    </row>
    <row r="993" ht="13.8" spans="1:29">
      <c r="A993" s="353"/>
      <c r="B993" s="613"/>
      <c r="C993" s="353"/>
      <c r="D993" s="353"/>
      <c r="E993" s="353"/>
      <c r="F993" s="353"/>
      <c r="G993" s="353"/>
      <c r="H993" s="353"/>
      <c r="I993" s="731"/>
      <c r="J993" s="613"/>
      <c r="K993" s="613"/>
      <c r="L993" s="353"/>
      <c r="M993" s="353"/>
      <c r="N993" s="353"/>
      <c r="O993" s="764"/>
      <c r="P993" s="353"/>
      <c r="Q993" s="353"/>
      <c r="R993" s="353"/>
      <c r="S993" s="353"/>
      <c r="T993" s="353"/>
      <c r="U993" s="353"/>
      <c r="V993" s="731"/>
      <c r="W993" s="353"/>
      <c r="X993" s="353"/>
      <c r="Y993" s="353"/>
      <c r="Z993" s="731"/>
      <c r="AA993" s="353"/>
      <c r="AB993" s="731"/>
      <c r="AC993" s="731"/>
    </row>
    <row r="994" ht="13.8" spans="1:29">
      <c r="A994" s="353"/>
      <c r="B994" s="613"/>
      <c r="C994" s="353"/>
      <c r="D994" s="353"/>
      <c r="E994" s="353"/>
      <c r="F994" s="353"/>
      <c r="G994" s="353"/>
      <c r="H994" s="353"/>
      <c r="I994" s="731"/>
      <c r="J994" s="613"/>
      <c r="K994" s="613"/>
      <c r="L994" s="353"/>
      <c r="M994" s="353"/>
      <c r="N994" s="353"/>
      <c r="O994" s="764"/>
      <c r="P994" s="353"/>
      <c r="Q994" s="353"/>
      <c r="R994" s="353"/>
      <c r="S994" s="353"/>
      <c r="T994" s="353"/>
      <c r="U994" s="353"/>
      <c r="V994" s="731"/>
      <c r="W994" s="353"/>
      <c r="X994" s="353"/>
      <c r="Y994" s="353"/>
      <c r="Z994" s="731"/>
      <c r="AA994" s="353"/>
      <c r="AB994" s="731"/>
      <c r="AC994" s="731"/>
    </row>
    <row r="995" ht="13.8" spans="1:29">
      <c r="A995" s="353"/>
      <c r="B995" s="613"/>
      <c r="C995" s="353"/>
      <c r="D995" s="353"/>
      <c r="E995" s="353"/>
      <c r="F995" s="353"/>
      <c r="G995" s="353"/>
      <c r="H995" s="353"/>
      <c r="I995" s="731"/>
      <c r="J995" s="613"/>
      <c r="K995" s="613"/>
      <c r="L995" s="353"/>
      <c r="M995" s="353"/>
      <c r="N995" s="353"/>
      <c r="O995" s="764"/>
      <c r="P995" s="353"/>
      <c r="Q995" s="353"/>
      <c r="R995" s="353"/>
      <c r="S995" s="353"/>
      <c r="T995" s="353"/>
      <c r="U995" s="353"/>
      <c r="V995" s="731"/>
      <c r="W995" s="353"/>
      <c r="X995" s="353"/>
      <c r="Y995" s="353"/>
      <c r="Z995" s="731"/>
      <c r="AA995" s="353"/>
      <c r="AB995" s="731"/>
      <c r="AC995" s="731"/>
    </row>
    <row r="996" ht="13.8" spans="1:29">
      <c r="A996" s="353"/>
      <c r="B996" s="613"/>
      <c r="C996" s="353"/>
      <c r="D996" s="353"/>
      <c r="E996" s="353"/>
      <c r="F996" s="353"/>
      <c r="G996" s="353"/>
      <c r="H996" s="353"/>
      <c r="I996" s="731"/>
      <c r="J996" s="613"/>
      <c r="K996" s="613"/>
      <c r="L996" s="353"/>
      <c r="M996" s="353"/>
      <c r="N996" s="353"/>
      <c r="O996" s="764"/>
      <c r="P996" s="353"/>
      <c r="Q996" s="353"/>
      <c r="R996" s="353"/>
      <c r="S996" s="353"/>
      <c r="T996" s="353"/>
      <c r="U996" s="353"/>
      <c r="V996" s="731"/>
      <c r="W996" s="353"/>
      <c r="X996" s="353"/>
      <c r="Y996" s="353"/>
      <c r="Z996" s="731"/>
      <c r="AA996" s="353"/>
      <c r="AB996" s="731"/>
      <c r="AC996" s="731"/>
    </row>
    <row r="997" ht="13.8" spans="1:29">
      <c r="A997" s="353"/>
      <c r="B997" s="613"/>
      <c r="C997" s="353"/>
      <c r="D997" s="353"/>
      <c r="E997" s="353"/>
      <c r="F997" s="353"/>
      <c r="G997" s="353"/>
      <c r="H997" s="353"/>
      <c r="I997" s="731"/>
      <c r="J997" s="613"/>
      <c r="K997" s="613"/>
      <c r="L997" s="353"/>
      <c r="M997" s="353"/>
      <c r="N997" s="353"/>
      <c r="O997" s="764"/>
      <c r="P997" s="353"/>
      <c r="Q997" s="353"/>
      <c r="R997" s="353"/>
      <c r="S997" s="353"/>
      <c r="T997" s="353"/>
      <c r="U997" s="353"/>
      <c r="V997" s="731"/>
      <c r="W997" s="353"/>
      <c r="X997" s="353"/>
      <c r="Y997" s="353"/>
      <c r="Z997" s="731"/>
      <c r="AA997" s="353"/>
      <c r="AB997" s="731"/>
      <c r="AC997" s="731"/>
    </row>
    <row r="998" ht="13.8" spans="1:29">
      <c r="A998" s="353"/>
      <c r="B998" s="613"/>
      <c r="C998" s="353"/>
      <c r="D998" s="353"/>
      <c r="E998" s="353"/>
      <c r="F998" s="353"/>
      <c r="G998" s="353"/>
      <c r="H998" s="353"/>
      <c r="I998" s="731"/>
      <c r="J998" s="613"/>
      <c r="K998" s="613"/>
      <c r="L998" s="353"/>
      <c r="M998" s="353"/>
      <c r="N998" s="353"/>
      <c r="O998" s="764"/>
      <c r="P998" s="353"/>
      <c r="Q998" s="353"/>
      <c r="R998" s="353"/>
      <c r="S998" s="353"/>
      <c r="T998" s="353"/>
      <c r="U998" s="353"/>
      <c r="V998" s="731"/>
      <c r="W998" s="353"/>
      <c r="X998" s="353"/>
      <c r="Y998" s="353"/>
      <c r="Z998" s="731"/>
      <c r="AA998" s="353"/>
      <c r="AB998" s="731"/>
      <c r="AC998" s="731"/>
    </row>
    <row r="999" ht="13.8" spans="1:29">
      <c r="A999" s="353"/>
      <c r="B999" s="613"/>
      <c r="C999" s="353"/>
      <c r="D999" s="353"/>
      <c r="E999" s="353"/>
      <c r="F999" s="353"/>
      <c r="G999" s="353"/>
      <c r="H999" s="353"/>
      <c r="I999" s="731"/>
      <c r="J999" s="613"/>
      <c r="K999" s="613"/>
      <c r="L999" s="353"/>
      <c r="M999" s="353"/>
      <c r="N999" s="353"/>
      <c r="O999" s="764"/>
      <c r="P999" s="353"/>
      <c r="Q999" s="353"/>
      <c r="R999" s="353"/>
      <c r="S999" s="353"/>
      <c r="T999" s="353"/>
      <c r="U999" s="353"/>
      <c r="V999" s="731"/>
      <c r="W999" s="353"/>
      <c r="X999" s="353"/>
      <c r="Y999" s="353"/>
      <c r="Z999" s="731"/>
      <c r="AA999" s="353"/>
      <c r="AB999" s="731"/>
      <c r="AC999" s="731"/>
    </row>
    <row r="1000" ht="13.8" spans="1:29">
      <c r="A1000" s="353"/>
      <c r="B1000" s="613"/>
      <c r="C1000" s="353"/>
      <c r="D1000" s="353"/>
      <c r="E1000" s="353"/>
      <c r="F1000" s="353"/>
      <c r="G1000" s="353"/>
      <c r="H1000" s="353"/>
      <c r="I1000" s="731"/>
      <c r="J1000" s="613"/>
      <c r="K1000" s="613"/>
      <c r="L1000" s="353"/>
      <c r="M1000" s="353"/>
      <c r="N1000" s="353"/>
      <c r="O1000" s="764"/>
      <c r="P1000" s="353"/>
      <c r="Q1000" s="353"/>
      <c r="R1000" s="353"/>
      <c r="S1000" s="353"/>
      <c r="T1000" s="353"/>
      <c r="U1000" s="353"/>
      <c r="V1000" s="731"/>
      <c r="W1000" s="353"/>
      <c r="X1000" s="353"/>
      <c r="Y1000" s="353"/>
      <c r="Z1000" s="731"/>
      <c r="AA1000" s="353"/>
      <c r="AB1000" s="731"/>
      <c r="AC1000" s="731"/>
    </row>
    <row r="1001" ht="13.8" spans="1:29">
      <c r="A1001" s="353"/>
      <c r="B1001" s="613"/>
      <c r="C1001" s="353"/>
      <c r="D1001" s="353"/>
      <c r="E1001" s="353"/>
      <c r="F1001" s="353"/>
      <c r="G1001" s="353"/>
      <c r="H1001" s="353"/>
      <c r="I1001" s="731"/>
      <c r="J1001" s="613"/>
      <c r="K1001" s="613"/>
      <c r="L1001" s="353"/>
      <c r="M1001" s="353"/>
      <c r="N1001" s="353"/>
      <c r="O1001" s="764"/>
      <c r="P1001" s="353"/>
      <c r="Q1001" s="353"/>
      <c r="R1001" s="353"/>
      <c r="S1001" s="353"/>
      <c r="T1001" s="353"/>
      <c r="U1001" s="353"/>
      <c r="V1001" s="731"/>
      <c r="W1001" s="353"/>
      <c r="X1001" s="353"/>
      <c r="Y1001" s="353"/>
      <c r="Z1001" s="731"/>
      <c r="AA1001" s="353"/>
      <c r="AB1001" s="731"/>
      <c r="AC1001" s="731"/>
    </row>
    <row r="1002" ht="13.8" spans="1:29">
      <c r="A1002" s="353"/>
      <c r="B1002" s="613"/>
      <c r="C1002" s="353"/>
      <c r="D1002" s="353"/>
      <c r="E1002" s="353"/>
      <c r="F1002" s="353"/>
      <c r="G1002" s="353"/>
      <c r="H1002" s="353"/>
      <c r="I1002" s="731"/>
      <c r="J1002" s="613"/>
      <c r="K1002" s="613"/>
      <c r="L1002" s="353"/>
      <c r="M1002" s="353"/>
      <c r="N1002" s="353"/>
      <c r="O1002" s="764"/>
      <c r="P1002" s="353"/>
      <c r="Q1002" s="353"/>
      <c r="R1002" s="353"/>
      <c r="S1002" s="353"/>
      <c r="T1002" s="353"/>
      <c r="U1002" s="353"/>
      <c r="V1002" s="731"/>
      <c r="W1002" s="353"/>
      <c r="X1002" s="353"/>
      <c r="Y1002" s="353"/>
      <c r="Z1002" s="731"/>
      <c r="AA1002" s="353"/>
      <c r="AB1002" s="731"/>
      <c r="AC1002" s="731"/>
    </row>
    <row r="1003" ht="13.8" spans="1:29">
      <c r="A1003" s="353"/>
      <c r="B1003" s="613"/>
      <c r="C1003" s="353"/>
      <c r="D1003" s="353"/>
      <c r="E1003" s="353"/>
      <c r="F1003" s="353"/>
      <c r="G1003" s="353"/>
      <c r="H1003" s="353"/>
      <c r="I1003" s="731"/>
      <c r="J1003" s="613"/>
      <c r="K1003" s="613"/>
      <c r="L1003" s="353"/>
      <c r="M1003" s="353"/>
      <c r="N1003" s="353"/>
      <c r="O1003" s="764"/>
      <c r="P1003" s="353"/>
      <c r="Q1003" s="353"/>
      <c r="R1003" s="353"/>
      <c r="S1003" s="353"/>
      <c r="T1003" s="353"/>
      <c r="U1003" s="353"/>
      <c r="V1003" s="731"/>
      <c r="W1003" s="353"/>
      <c r="X1003" s="353"/>
      <c r="Y1003" s="353"/>
      <c r="Z1003" s="731"/>
      <c r="AA1003" s="353"/>
      <c r="AB1003" s="731"/>
      <c r="AC1003" s="731"/>
    </row>
    <row r="1004" ht="13.8" spans="1:29">
      <c r="A1004" s="353"/>
      <c r="B1004" s="613"/>
      <c r="C1004" s="353"/>
      <c r="D1004" s="353"/>
      <c r="E1004" s="353"/>
      <c r="F1004" s="353"/>
      <c r="G1004" s="353"/>
      <c r="H1004" s="353"/>
      <c r="I1004" s="731"/>
      <c r="J1004" s="613"/>
      <c r="K1004" s="613"/>
      <c r="L1004" s="353"/>
      <c r="M1004" s="353"/>
      <c r="N1004" s="353"/>
      <c r="O1004" s="764"/>
      <c r="P1004" s="353"/>
      <c r="Q1004" s="353"/>
      <c r="R1004" s="353"/>
      <c r="S1004" s="353"/>
      <c r="T1004" s="353"/>
      <c r="U1004" s="353"/>
      <c r="V1004" s="731"/>
      <c r="W1004" s="353"/>
      <c r="X1004" s="353"/>
      <c r="Y1004" s="353"/>
      <c r="Z1004" s="731"/>
      <c r="AA1004" s="353"/>
      <c r="AB1004" s="731"/>
      <c r="AC1004" s="731"/>
    </row>
    <row r="1005" ht="13.8" spans="1:29">
      <c r="A1005" s="353"/>
      <c r="B1005" s="613"/>
      <c r="C1005" s="353"/>
      <c r="D1005" s="353"/>
      <c r="E1005" s="353"/>
      <c r="F1005" s="353"/>
      <c r="G1005" s="353"/>
      <c r="H1005" s="353"/>
      <c r="I1005" s="731"/>
      <c r="J1005" s="613"/>
      <c r="K1005" s="613"/>
      <c r="L1005" s="353"/>
      <c r="M1005" s="353"/>
      <c r="N1005" s="353"/>
      <c r="O1005" s="764"/>
      <c r="P1005" s="353"/>
      <c r="Q1005" s="353"/>
      <c r="R1005" s="353"/>
      <c r="S1005" s="353"/>
      <c r="T1005" s="353"/>
      <c r="U1005" s="353"/>
      <c r="V1005" s="731"/>
      <c r="W1005" s="353"/>
      <c r="X1005" s="353"/>
      <c r="Y1005" s="353"/>
      <c r="Z1005" s="731"/>
      <c r="AA1005" s="353"/>
      <c r="AB1005" s="731"/>
      <c r="AC1005" s="731"/>
    </row>
    <row r="1006" ht="13.8" spans="1:29">
      <c r="A1006" s="353"/>
      <c r="B1006" s="613"/>
      <c r="C1006" s="353"/>
      <c r="D1006" s="353"/>
      <c r="E1006" s="353"/>
      <c r="F1006" s="353"/>
      <c r="G1006" s="353"/>
      <c r="H1006" s="353"/>
      <c r="I1006" s="731"/>
      <c r="J1006" s="613"/>
      <c r="K1006" s="613"/>
      <c r="L1006" s="353"/>
      <c r="M1006" s="353"/>
      <c r="N1006" s="353"/>
      <c r="O1006" s="764"/>
      <c r="P1006" s="353"/>
      <c r="Q1006" s="353"/>
      <c r="R1006" s="353"/>
      <c r="S1006" s="353"/>
      <c r="T1006" s="353"/>
      <c r="U1006" s="353"/>
      <c r="V1006" s="731"/>
      <c r="W1006" s="353"/>
      <c r="X1006" s="353"/>
      <c r="Y1006" s="353"/>
      <c r="Z1006" s="731"/>
      <c r="AA1006" s="353"/>
      <c r="AB1006" s="731"/>
      <c r="AC1006" s="731"/>
    </row>
    <row r="1007" ht="13.8" spans="1:29">
      <c r="A1007" s="353"/>
      <c r="B1007" s="613"/>
      <c r="C1007" s="353"/>
      <c r="D1007" s="353"/>
      <c r="E1007" s="353"/>
      <c r="F1007" s="353"/>
      <c r="G1007" s="353"/>
      <c r="H1007" s="353"/>
      <c r="I1007" s="731"/>
      <c r="J1007" s="613"/>
      <c r="K1007" s="613"/>
      <c r="L1007" s="353"/>
      <c r="M1007" s="353"/>
      <c r="N1007" s="353"/>
      <c r="O1007" s="764"/>
      <c r="P1007" s="353"/>
      <c r="Q1007" s="353"/>
      <c r="R1007" s="353"/>
      <c r="S1007" s="353"/>
      <c r="T1007" s="353"/>
      <c r="U1007" s="353"/>
      <c r="V1007" s="731"/>
      <c r="W1007" s="353"/>
      <c r="X1007" s="353"/>
      <c r="Y1007" s="353"/>
      <c r="Z1007" s="731"/>
      <c r="AA1007" s="353"/>
      <c r="AB1007" s="731"/>
      <c r="AC1007" s="731"/>
    </row>
    <row r="1008" ht="13.8" spans="1:29">
      <c r="A1008" s="353"/>
      <c r="B1008" s="613"/>
      <c r="C1008" s="353"/>
      <c r="D1008" s="353"/>
      <c r="E1008" s="353"/>
      <c r="F1008" s="353"/>
      <c r="G1008" s="353"/>
      <c r="H1008" s="353"/>
      <c r="I1008" s="731"/>
      <c r="J1008" s="613"/>
      <c r="K1008" s="613"/>
      <c r="L1008" s="353"/>
      <c r="M1008" s="353"/>
      <c r="N1008" s="353"/>
      <c r="O1008" s="764"/>
      <c r="P1008" s="353"/>
      <c r="Q1008" s="353"/>
      <c r="R1008" s="353"/>
      <c r="S1008" s="353"/>
      <c r="T1008" s="353"/>
      <c r="U1008" s="353"/>
      <c r="V1008" s="731"/>
      <c r="W1008" s="353"/>
      <c r="X1008" s="353"/>
      <c r="Y1008" s="353"/>
      <c r="Z1008" s="731"/>
      <c r="AA1008" s="353"/>
      <c r="AB1008" s="731"/>
      <c r="AC1008" s="731"/>
    </row>
    <row r="1009" ht="13.8" spans="1:29">
      <c r="A1009" s="353"/>
      <c r="B1009" s="613"/>
      <c r="C1009" s="353"/>
      <c r="D1009" s="353"/>
      <c r="E1009" s="353"/>
      <c r="F1009" s="353"/>
      <c r="G1009" s="353"/>
      <c r="H1009" s="353"/>
      <c r="I1009" s="731"/>
      <c r="J1009" s="613"/>
      <c r="K1009" s="613"/>
      <c r="L1009" s="353"/>
      <c r="M1009" s="353"/>
      <c r="N1009" s="353"/>
      <c r="O1009" s="764"/>
      <c r="P1009" s="353"/>
      <c r="Q1009" s="353"/>
      <c r="R1009" s="353"/>
      <c r="S1009" s="353"/>
      <c r="T1009" s="353"/>
      <c r="U1009" s="353"/>
      <c r="V1009" s="731"/>
      <c r="W1009" s="353"/>
      <c r="X1009" s="353"/>
      <c r="Y1009" s="353"/>
      <c r="Z1009" s="731"/>
      <c r="AA1009" s="353"/>
      <c r="AB1009" s="731"/>
      <c r="AC1009" s="731"/>
    </row>
    <row r="1010" ht="13.8" spans="1:29">
      <c r="A1010" s="353"/>
      <c r="B1010" s="613"/>
      <c r="C1010" s="353"/>
      <c r="D1010" s="353"/>
      <c r="E1010" s="353"/>
      <c r="F1010" s="353"/>
      <c r="G1010" s="353"/>
      <c r="H1010" s="353"/>
      <c r="I1010" s="731"/>
      <c r="J1010" s="613"/>
      <c r="K1010" s="613"/>
      <c r="L1010" s="353"/>
      <c r="M1010" s="353"/>
      <c r="N1010" s="353"/>
      <c r="O1010" s="764"/>
      <c r="P1010" s="353"/>
      <c r="Q1010" s="353"/>
      <c r="R1010" s="353"/>
      <c r="S1010" s="353"/>
      <c r="T1010" s="353"/>
      <c r="U1010" s="353"/>
      <c r="V1010" s="731"/>
      <c r="W1010" s="353"/>
      <c r="X1010" s="353"/>
      <c r="Y1010" s="353"/>
      <c r="Z1010" s="731"/>
      <c r="AA1010" s="353"/>
      <c r="AB1010" s="731"/>
      <c r="AC1010" s="731"/>
    </row>
    <row r="1011" ht="13.8" spans="1:29">
      <c r="A1011" s="353"/>
      <c r="B1011" s="613"/>
      <c r="C1011" s="353"/>
      <c r="D1011" s="353"/>
      <c r="E1011" s="353"/>
      <c r="F1011" s="353"/>
      <c r="G1011" s="353"/>
      <c r="H1011" s="353"/>
      <c r="I1011" s="731"/>
      <c r="J1011" s="613"/>
      <c r="K1011" s="613"/>
      <c r="L1011" s="353"/>
      <c r="M1011" s="353"/>
      <c r="N1011" s="353"/>
      <c r="O1011" s="764"/>
      <c r="P1011" s="353"/>
      <c r="Q1011" s="353"/>
      <c r="R1011" s="353"/>
      <c r="S1011" s="353"/>
      <c r="T1011" s="353"/>
      <c r="U1011" s="353"/>
      <c r="V1011" s="731"/>
      <c r="W1011" s="353"/>
      <c r="X1011" s="353"/>
      <c r="Y1011" s="353"/>
      <c r="Z1011" s="731"/>
      <c r="AA1011" s="353"/>
      <c r="AB1011" s="731"/>
      <c r="AC1011" s="731"/>
    </row>
    <row r="1012" ht="13.8" spans="1:29">
      <c r="A1012" s="353"/>
      <c r="B1012" s="613"/>
      <c r="C1012" s="353"/>
      <c r="D1012" s="353"/>
      <c r="E1012" s="353"/>
      <c r="F1012" s="353"/>
      <c r="G1012" s="353"/>
      <c r="H1012" s="353"/>
      <c r="I1012" s="731"/>
      <c r="J1012" s="613"/>
      <c r="K1012" s="613"/>
      <c r="L1012" s="353"/>
      <c r="M1012" s="353"/>
      <c r="N1012" s="353"/>
      <c r="O1012" s="764"/>
      <c r="P1012" s="353"/>
      <c r="Q1012" s="353"/>
      <c r="R1012" s="353"/>
      <c r="S1012" s="353"/>
      <c r="T1012" s="353"/>
      <c r="U1012" s="353"/>
      <c r="V1012" s="731"/>
      <c r="W1012" s="353"/>
      <c r="X1012" s="353"/>
      <c r="Y1012" s="353"/>
      <c r="Z1012" s="731"/>
      <c r="AA1012" s="353"/>
      <c r="AB1012" s="731"/>
      <c r="AC1012" s="731"/>
    </row>
    <row r="1013" ht="13.8" spans="1:29">
      <c r="A1013" s="353"/>
      <c r="B1013" s="613"/>
      <c r="C1013" s="353"/>
      <c r="D1013" s="353"/>
      <c r="E1013" s="353"/>
      <c r="F1013" s="353"/>
      <c r="G1013" s="353"/>
      <c r="H1013" s="353"/>
      <c r="I1013" s="731"/>
      <c r="J1013" s="613"/>
      <c r="K1013" s="613"/>
      <c r="L1013" s="353"/>
      <c r="M1013" s="353"/>
      <c r="N1013" s="353"/>
      <c r="O1013" s="764"/>
      <c r="P1013" s="353"/>
      <c r="Q1013" s="353"/>
      <c r="R1013" s="353"/>
      <c r="S1013" s="353"/>
      <c r="T1013" s="353"/>
      <c r="U1013" s="353"/>
      <c r="V1013" s="731"/>
      <c r="W1013" s="353"/>
      <c r="X1013" s="353"/>
      <c r="Y1013" s="353"/>
      <c r="Z1013" s="731"/>
      <c r="AA1013" s="353"/>
      <c r="AB1013" s="731"/>
      <c r="AC1013" s="731"/>
    </row>
    <row r="1014" ht="13.8" spans="1:29">
      <c r="A1014" s="353"/>
      <c r="B1014" s="613"/>
      <c r="C1014" s="353"/>
      <c r="D1014" s="353"/>
      <c r="E1014" s="353"/>
      <c r="F1014" s="353"/>
      <c r="G1014" s="353"/>
      <c r="H1014" s="353"/>
      <c r="I1014" s="731"/>
      <c r="J1014" s="613"/>
      <c r="K1014" s="613"/>
      <c r="L1014" s="353"/>
      <c r="M1014" s="353"/>
      <c r="N1014" s="353"/>
      <c r="O1014" s="764"/>
      <c r="P1014" s="353"/>
      <c r="Q1014" s="353"/>
      <c r="R1014" s="353"/>
      <c r="S1014" s="353"/>
      <c r="T1014" s="353"/>
      <c r="U1014" s="353"/>
      <c r="V1014" s="731"/>
      <c r="W1014" s="353"/>
      <c r="X1014" s="353"/>
      <c r="Y1014" s="353"/>
      <c r="Z1014" s="731"/>
      <c r="AA1014" s="353"/>
      <c r="AB1014" s="731"/>
      <c r="AC1014" s="731"/>
    </row>
    <row r="1015" ht="13.8" spans="1:29">
      <c r="A1015" s="353"/>
      <c r="B1015" s="613"/>
      <c r="C1015" s="353"/>
      <c r="D1015" s="353"/>
      <c r="E1015" s="353"/>
      <c r="F1015" s="353"/>
      <c r="G1015" s="353"/>
      <c r="H1015" s="353"/>
      <c r="I1015" s="731"/>
      <c r="J1015" s="613"/>
      <c r="K1015" s="613"/>
      <c r="L1015" s="353"/>
      <c r="M1015" s="353"/>
      <c r="N1015" s="353"/>
      <c r="O1015" s="764"/>
      <c r="P1015" s="353"/>
      <c r="Q1015" s="353"/>
      <c r="R1015" s="353"/>
      <c r="S1015" s="353"/>
      <c r="T1015" s="353"/>
      <c r="U1015" s="353"/>
      <c r="V1015" s="731"/>
      <c r="W1015" s="353"/>
      <c r="X1015" s="353"/>
      <c r="Y1015" s="353"/>
      <c r="Z1015" s="731"/>
      <c r="AA1015" s="353"/>
      <c r="AB1015" s="731"/>
      <c r="AC1015" s="731"/>
    </row>
    <row r="1016" ht="13.8" spans="1:29">
      <c r="A1016" s="353"/>
      <c r="B1016" s="613"/>
      <c r="C1016" s="353"/>
      <c r="D1016" s="353"/>
      <c r="E1016" s="353"/>
      <c r="F1016" s="353"/>
      <c r="G1016" s="353"/>
      <c r="H1016" s="353"/>
      <c r="I1016" s="731"/>
      <c r="J1016" s="613"/>
      <c r="K1016" s="613"/>
      <c r="L1016" s="353"/>
      <c r="M1016" s="353"/>
      <c r="N1016" s="353"/>
      <c r="O1016" s="764"/>
      <c r="P1016" s="353"/>
      <c r="Q1016" s="353"/>
      <c r="R1016" s="353"/>
      <c r="S1016" s="353"/>
      <c r="T1016" s="353"/>
      <c r="U1016" s="353"/>
      <c r="V1016" s="731"/>
      <c r="W1016" s="353"/>
      <c r="X1016" s="353"/>
      <c r="Y1016" s="353"/>
      <c r="Z1016" s="731"/>
      <c r="AA1016" s="353"/>
      <c r="AB1016" s="731"/>
      <c r="AC1016" s="731"/>
    </row>
    <row r="1017" ht="13.8" spans="1:29">
      <c r="A1017" s="353"/>
      <c r="B1017" s="613"/>
      <c r="C1017" s="353"/>
      <c r="D1017" s="353"/>
      <c r="E1017" s="353"/>
      <c r="F1017" s="353"/>
      <c r="G1017" s="353"/>
      <c r="H1017" s="353"/>
      <c r="I1017" s="731"/>
      <c r="J1017" s="613"/>
      <c r="K1017" s="613"/>
      <c r="L1017" s="353"/>
      <c r="M1017" s="353"/>
      <c r="N1017" s="353"/>
      <c r="O1017" s="764"/>
      <c r="P1017" s="353"/>
      <c r="Q1017" s="353"/>
      <c r="R1017" s="353"/>
      <c r="S1017" s="353"/>
      <c r="T1017" s="353"/>
      <c r="U1017" s="353"/>
      <c r="V1017" s="731"/>
      <c r="W1017" s="353"/>
      <c r="X1017" s="353"/>
      <c r="Y1017" s="353"/>
      <c r="Z1017" s="731"/>
      <c r="AA1017" s="353"/>
      <c r="AB1017" s="731"/>
      <c r="AC1017" s="731"/>
    </row>
    <row r="1018" ht="13.8" spans="1:29">
      <c r="A1018" s="353"/>
      <c r="B1018" s="613"/>
      <c r="C1018" s="353"/>
      <c r="D1018" s="353"/>
      <c r="E1018" s="353"/>
      <c r="F1018" s="353"/>
      <c r="G1018" s="353"/>
      <c r="H1018" s="353"/>
      <c r="I1018" s="731"/>
      <c r="J1018" s="613"/>
      <c r="K1018" s="613"/>
      <c r="L1018" s="353"/>
      <c r="M1018" s="353"/>
      <c r="N1018" s="353"/>
      <c r="O1018" s="764"/>
      <c r="P1018" s="353"/>
      <c r="Q1018" s="353"/>
      <c r="R1018" s="353"/>
      <c r="S1018" s="353"/>
      <c r="T1018" s="353"/>
      <c r="U1018" s="353"/>
      <c r="V1018" s="731"/>
      <c r="W1018" s="353"/>
      <c r="X1018" s="353"/>
      <c r="Y1018" s="353"/>
      <c r="Z1018" s="731"/>
      <c r="AA1018" s="353"/>
      <c r="AB1018" s="731"/>
      <c r="AC1018" s="731"/>
    </row>
    <row r="1019" ht="13.8" spans="1:29">
      <c r="A1019" s="353"/>
      <c r="B1019" s="613"/>
      <c r="C1019" s="353"/>
      <c r="D1019" s="353"/>
      <c r="E1019" s="353"/>
      <c r="F1019" s="353"/>
      <c r="G1019" s="353"/>
      <c r="H1019" s="353"/>
      <c r="I1019" s="731"/>
      <c r="J1019" s="613"/>
      <c r="K1019" s="613"/>
      <c r="L1019" s="353"/>
      <c r="M1019" s="353"/>
      <c r="N1019" s="353"/>
      <c r="O1019" s="764"/>
      <c r="P1019" s="353"/>
      <c r="Q1019" s="353"/>
      <c r="R1019" s="353"/>
      <c r="S1019" s="353"/>
      <c r="T1019" s="353"/>
      <c r="U1019" s="353"/>
      <c r="V1019" s="731"/>
      <c r="W1019" s="353"/>
      <c r="X1019" s="353"/>
      <c r="Y1019" s="353"/>
      <c r="Z1019" s="731"/>
      <c r="AA1019" s="353"/>
      <c r="AB1019" s="731"/>
      <c r="AC1019" s="731"/>
    </row>
    <row r="1020" ht="13.8" spans="1:29">
      <c r="A1020" s="353"/>
      <c r="B1020" s="613"/>
      <c r="C1020" s="353"/>
      <c r="D1020" s="353"/>
      <c r="E1020" s="353"/>
      <c r="F1020" s="353"/>
      <c r="G1020" s="353"/>
      <c r="H1020" s="353"/>
      <c r="I1020" s="731"/>
      <c r="J1020" s="613"/>
      <c r="K1020" s="613"/>
      <c r="L1020" s="353"/>
      <c r="M1020" s="353"/>
      <c r="N1020" s="353"/>
      <c r="O1020" s="764"/>
      <c r="P1020" s="353"/>
      <c r="Q1020" s="353"/>
      <c r="R1020" s="353"/>
      <c r="S1020" s="353"/>
      <c r="T1020" s="353"/>
      <c r="U1020" s="353"/>
      <c r="V1020" s="731"/>
      <c r="W1020" s="353"/>
      <c r="X1020" s="353"/>
      <c r="Y1020" s="353"/>
      <c r="Z1020" s="731"/>
      <c r="AA1020" s="353"/>
      <c r="AB1020" s="731"/>
      <c r="AC1020" s="731"/>
    </row>
    <row r="1021" ht="13.8" spans="1:29">
      <c r="A1021" s="353"/>
      <c r="B1021" s="613"/>
      <c r="C1021" s="353"/>
      <c r="D1021" s="353"/>
      <c r="E1021" s="353"/>
      <c r="F1021" s="353"/>
      <c r="G1021" s="353"/>
      <c r="H1021" s="353"/>
      <c r="I1021" s="731"/>
      <c r="J1021" s="613"/>
      <c r="K1021" s="613"/>
      <c r="L1021" s="353"/>
      <c r="M1021" s="353"/>
      <c r="N1021" s="353"/>
      <c r="O1021" s="764"/>
      <c r="P1021" s="353"/>
      <c r="Q1021" s="353"/>
      <c r="R1021" s="353"/>
      <c r="S1021" s="353"/>
      <c r="T1021" s="353"/>
      <c r="U1021" s="353"/>
      <c r="V1021" s="731"/>
      <c r="W1021" s="353"/>
      <c r="X1021" s="353"/>
      <c r="Y1021" s="353"/>
      <c r="Z1021" s="731"/>
      <c r="AA1021" s="353"/>
      <c r="AB1021" s="731"/>
      <c r="AC1021" s="731"/>
    </row>
    <row r="1022" ht="13.8" spans="1:29">
      <c r="A1022" s="353"/>
      <c r="B1022" s="613"/>
      <c r="C1022" s="353"/>
      <c r="D1022" s="353"/>
      <c r="E1022" s="353"/>
      <c r="F1022" s="353"/>
      <c r="G1022" s="353"/>
      <c r="H1022" s="353"/>
      <c r="I1022" s="731"/>
      <c r="J1022" s="613"/>
      <c r="K1022" s="613"/>
      <c r="L1022" s="353"/>
      <c r="M1022" s="353"/>
      <c r="N1022" s="353"/>
      <c r="O1022" s="764"/>
      <c r="P1022" s="353"/>
      <c r="Q1022" s="353"/>
      <c r="R1022" s="353"/>
      <c r="S1022" s="353"/>
      <c r="T1022" s="353"/>
      <c r="U1022" s="353"/>
      <c r="V1022" s="731"/>
      <c r="W1022" s="353"/>
      <c r="X1022" s="353"/>
      <c r="Y1022" s="353"/>
      <c r="Z1022" s="731"/>
      <c r="AA1022" s="353"/>
      <c r="AB1022" s="731"/>
      <c r="AC1022" s="731"/>
    </row>
    <row r="1023" ht="13.8" spans="1:29">
      <c r="A1023" s="353"/>
      <c r="B1023" s="613"/>
      <c r="C1023" s="353"/>
      <c r="D1023" s="353"/>
      <c r="E1023" s="353"/>
      <c r="F1023" s="353"/>
      <c r="G1023" s="353"/>
      <c r="H1023" s="353"/>
      <c r="I1023" s="731"/>
      <c r="J1023" s="613"/>
      <c r="K1023" s="613"/>
      <c r="L1023" s="353"/>
      <c r="M1023" s="353"/>
      <c r="N1023" s="353"/>
      <c r="O1023" s="764"/>
      <c r="P1023" s="353"/>
      <c r="Q1023" s="353"/>
      <c r="R1023" s="353"/>
      <c r="S1023" s="353"/>
      <c r="T1023" s="353"/>
      <c r="U1023" s="353"/>
      <c r="V1023" s="731"/>
      <c r="W1023" s="353"/>
      <c r="X1023" s="353"/>
      <c r="Y1023" s="353"/>
      <c r="Z1023" s="731"/>
      <c r="AA1023" s="353"/>
      <c r="AB1023" s="731"/>
      <c r="AC1023" s="731"/>
    </row>
    <row r="1024" ht="13.8" spans="1:29">
      <c r="A1024" s="353"/>
      <c r="B1024" s="613"/>
      <c r="C1024" s="353"/>
      <c r="D1024" s="353"/>
      <c r="E1024" s="353"/>
      <c r="F1024" s="353"/>
      <c r="G1024" s="353"/>
      <c r="H1024" s="353"/>
      <c r="I1024" s="731"/>
      <c r="J1024" s="613"/>
      <c r="K1024" s="613"/>
      <c r="L1024" s="353"/>
      <c r="M1024" s="353"/>
      <c r="N1024" s="353"/>
      <c r="O1024" s="764"/>
      <c r="P1024" s="353"/>
      <c r="Q1024" s="353"/>
      <c r="R1024" s="353"/>
      <c r="S1024" s="353"/>
      <c r="T1024" s="353"/>
      <c r="U1024" s="353"/>
      <c r="V1024" s="731"/>
      <c r="W1024" s="353"/>
      <c r="X1024" s="353"/>
      <c r="Y1024" s="353"/>
      <c r="Z1024" s="731"/>
      <c r="AA1024" s="353"/>
      <c r="AB1024" s="731"/>
      <c r="AC1024" s="731"/>
    </row>
    <row r="1025" ht="13.8" spans="1:29">
      <c r="A1025" s="353"/>
      <c r="B1025" s="613"/>
      <c r="C1025" s="353"/>
      <c r="D1025" s="353"/>
      <c r="E1025" s="353"/>
      <c r="F1025" s="353"/>
      <c r="G1025" s="353"/>
      <c r="H1025" s="353"/>
      <c r="I1025" s="731"/>
      <c r="J1025" s="613"/>
      <c r="K1025" s="613"/>
      <c r="L1025" s="353"/>
      <c r="M1025" s="353"/>
      <c r="N1025" s="353"/>
      <c r="O1025" s="764"/>
      <c r="P1025" s="353"/>
      <c r="Q1025" s="353"/>
      <c r="R1025" s="353"/>
      <c r="S1025" s="353"/>
      <c r="T1025" s="353"/>
      <c r="U1025" s="353"/>
      <c r="V1025" s="731"/>
      <c r="W1025" s="353"/>
      <c r="X1025" s="353"/>
      <c r="Y1025" s="353"/>
      <c r="Z1025" s="731"/>
      <c r="AA1025" s="353"/>
      <c r="AB1025" s="731"/>
      <c r="AC1025" s="731"/>
    </row>
    <row r="1026" ht="13.8" spans="1:29">
      <c r="A1026" s="353"/>
      <c r="B1026" s="613"/>
      <c r="C1026" s="353"/>
      <c r="D1026" s="353"/>
      <c r="E1026" s="353"/>
      <c r="F1026" s="353"/>
      <c r="G1026" s="353"/>
      <c r="H1026" s="353"/>
      <c r="I1026" s="731"/>
      <c r="J1026" s="613"/>
      <c r="K1026" s="613"/>
      <c r="L1026" s="353"/>
      <c r="M1026" s="353"/>
      <c r="N1026" s="353"/>
      <c r="O1026" s="764"/>
      <c r="P1026" s="353"/>
      <c r="Q1026" s="353"/>
      <c r="R1026" s="353"/>
      <c r="S1026" s="353"/>
      <c r="T1026" s="353"/>
      <c r="U1026" s="353"/>
      <c r="V1026" s="731"/>
      <c r="W1026" s="353"/>
      <c r="X1026" s="353"/>
      <c r="Y1026" s="353"/>
      <c r="Z1026" s="731"/>
      <c r="AA1026" s="353"/>
      <c r="AB1026" s="731"/>
      <c r="AC1026" s="731"/>
    </row>
    <row r="1027" ht="13.8" spans="1:29">
      <c r="A1027" s="353"/>
      <c r="B1027" s="613"/>
      <c r="C1027" s="353"/>
      <c r="D1027" s="353"/>
      <c r="E1027" s="353"/>
      <c r="F1027" s="353"/>
      <c r="G1027" s="353"/>
      <c r="H1027" s="353"/>
      <c r="I1027" s="731"/>
      <c r="J1027" s="613"/>
      <c r="K1027" s="613"/>
      <c r="L1027" s="353"/>
      <c r="M1027" s="353"/>
      <c r="N1027" s="353"/>
      <c r="O1027" s="764"/>
      <c r="P1027" s="353"/>
      <c r="Q1027" s="353"/>
      <c r="R1027" s="353"/>
      <c r="S1027" s="353"/>
      <c r="T1027" s="353"/>
      <c r="U1027" s="353"/>
      <c r="V1027" s="731"/>
      <c r="W1027" s="353"/>
      <c r="X1027" s="353"/>
      <c r="Y1027" s="353"/>
      <c r="Z1027" s="731"/>
      <c r="AA1027" s="353"/>
      <c r="AB1027" s="731"/>
      <c r="AC1027" s="731"/>
    </row>
    <row r="1028" ht="13.8" spans="1:29">
      <c r="A1028" s="353"/>
      <c r="B1028" s="613"/>
      <c r="C1028" s="353"/>
      <c r="D1028" s="353"/>
      <c r="E1028" s="353"/>
      <c r="F1028" s="353"/>
      <c r="G1028" s="353"/>
      <c r="H1028" s="353"/>
      <c r="I1028" s="731"/>
      <c r="J1028" s="613"/>
      <c r="K1028" s="613"/>
      <c r="L1028" s="353"/>
      <c r="M1028" s="353"/>
      <c r="N1028" s="353"/>
      <c r="O1028" s="764"/>
      <c r="P1028" s="353"/>
      <c r="Q1028" s="353"/>
      <c r="R1028" s="353"/>
      <c r="S1028" s="353"/>
      <c r="T1028" s="353"/>
      <c r="U1028" s="353"/>
      <c r="V1028" s="731"/>
      <c r="W1028" s="353"/>
      <c r="X1028" s="353"/>
      <c r="Y1028" s="353"/>
      <c r="Z1028" s="731"/>
      <c r="AA1028" s="353"/>
      <c r="AB1028" s="731"/>
      <c r="AC1028" s="731"/>
    </row>
    <row r="1029" ht="13.8" spans="1:29">
      <c r="A1029" s="353"/>
      <c r="B1029" s="613"/>
      <c r="C1029" s="353"/>
      <c r="D1029" s="353"/>
      <c r="E1029" s="353"/>
      <c r="F1029" s="353"/>
      <c r="G1029" s="353"/>
      <c r="H1029" s="353"/>
      <c r="I1029" s="731"/>
      <c r="J1029" s="613"/>
      <c r="K1029" s="613"/>
      <c r="L1029" s="353"/>
      <c r="M1029" s="353"/>
      <c r="N1029" s="353"/>
      <c r="O1029" s="764"/>
      <c r="P1029" s="353"/>
      <c r="Q1029" s="353"/>
      <c r="R1029" s="353"/>
      <c r="S1029" s="353"/>
      <c r="T1029" s="353"/>
      <c r="U1029" s="353"/>
      <c r="V1029" s="731"/>
      <c r="W1029" s="353"/>
      <c r="X1029" s="353"/>
      <c r="Y1029" s="353"/>
      <c r="Z1029" s="731"/>
      <c r="AA1029" s="353"/>
      <c r="AB1029" s="731"/>
      <c r="AC1029" s="731"/>
    </row>
    <row r="1030" ht="13.8" spans="1:29">
      <c r="A1030" s="353"/>
      <c r="B1030" s="613"/>
      <c r="C1030" s="353"/>
      <c r="D1030" s="353"/>
      <c r="E1030" s="353"/>
      <c r="F1030" s="353"/>
      <c r="G1030" s="353"/>
      <c r="H1030" s="353"/>
      <c r="I1030" s="731"/>
      <c r="J1030" s="613"/>
      <c r="K1030" s="613"/>
      <c r="L1030" s="353"/>
      <c r="M1030" s="353"/>
      <c r="N1030" s="353"/>
      <c r="O1030" s="764"/>
      <c r="P1030" s="353"/>
      <c r="Q1030" s="353"/>
      <c r="R1030" s="353"/>
      <c r="S1030" s="353"/>
      <c r="T1030" s="353"/>
      <c r="U1030" s="353"/>
      <c r="V1030" s="731"/>
      <c r="W1030" s="353"/>
      <c r="X1030" s="353"/>
      <c r="Y1030" s="353"/>
      <c r="Z1030" s="731"/>
      <c r="AA1030" s="353"/>
      <c r="AB1030" s="731"/>
      <c r="AC1030" s="731"/>
    </row>
    <row r="1031" ht="13.8" spans="1:29">
      <c r="A1031" s="353"/>
      <c r="B1031" s="613"/>
      <c r="C1031" s="353"/>
      <c r="D1031" s="353"/>
      <c r="E1031" s="353"/>
      <c r="F1031" s="353"/>
      <c r="G1031" s="353"/>
      <c r="H1031" s="353"/>
      <c r="I1031" s="731"/>
      <c r="J1031" s="613"/>
      <c r="K1031" s="613"/>
      <c r="L1031" s="353"/>
      <c r="M1031" s="353"/>
      <c r="N1031" s="353"/>
      <c r="O1031" s="764"/>
      <c r="P1031" s="353"/>
      <c r="Q1031" s="353"/>
      <c r="R1031" s="353"/>
      <c r="S1031" s="353"/>
      <c r="T1031" s="353"/>
      <c r="U1031" s="353"/>
      <c r="V1031" s="731"/>
      <c r="W1031" s="353"/>
      <c r="X1031" s="353"/>
      <c r="Y1031" s="353"/>
      <c r="Z1031" s="731"/>
      <c r="AA1031" s="353"/>
      <c r="AB1031" s="731"/>
      <c r="AC1031" s="731"/>
    </row>
    <row r="1032" ht="13.8" spans="1:29">
      <c r="A1032" s="353"/>
      <c r="B1032" s="613"/>
      <c r="C1032" s="353"/>
      <c r="D1032" s="353"/>
      <c r="E1032" s="353"/>
      <c r="F1032" s="353"/>
      <c r="G1032" s="353"/>
      <c r="H1032" s="353"/>
      <c r="I1032" s="731"/>
      <c r="J1032" s="613"/>
      <c r="K1032" s="613"/>
      <c r="L1032" s="353"/>
      <c r="M1032" s="353"/>
      <c r="N1032" s="353"/>
      <c r="O1032" s="764"/>
      <c r="P1032" s="353"/>
      <c r="Q1032" s="353"/>
      <c r="R1032" s="353"/>
      <c r="S1032" s="353"/>
      <c r="T1032" s="353"/>
      <c r="U1032" s="353"/>
      <c r="V1032" s="731"/>
      <c r="W1032" s="353"/>
      <c r="X1032" s="353"/>
      <c r="Y1032" s="353"/>
      <c r="Z1032" s="731"/>
      <c r="AA1032" s="353"/>
      <c r="AB1032" s="731"/>
      <c r="AC1032" s="731"/>
    </row>
    <row r="1033" ht="13.8" spans="1:29">
      <c r="A1033" s="353"/>
      <c r="B1033" s="613"/>
      <c r="C1033" s="353"/>
      <c r="D1033" s="353"/>
      <c r="E1033" s="353"/>
      <c r="F1033" s="353"/>
      <c r="G1033" s="353"/>
      <c r="H1033" s="353"/>
      <c r="I1033" s="731"/>
      <c r="J1033" s="613"/>
      <c r="K1033" s="613"/>
      <c r="L1033" s="353"/>
      <c r="M1033" s="353"/>
      <c r="N1033" s="353"/>
      <c r="O1033" s="764"/>
      <c r="P1033" s="353"/>
      <c r="Q1033" s="353"/>
      <c r="R1033" s="353"/>
      <c r="S1033" s="353"/>
      <c r="T1033" s="353"/>
      <c r="U1033" s="353"/>
      <c r="V1033" s="731"/>
      <c r="W1033" s="353"/>
      <c r="X1033" s="353"/>
      <c r="Y1033" s="353"/>
      <c r="Z1033" s="731"/>
      <c r="AA1033" s="353"/>
      <c r="AB1033" s="731"/>
      <c r="AC1033" s="731"/>
    </row>
    <row r="1034" ht="13.8" spans="1:29">
      <c r="A1034" s="353"/>
      <c r="B1034" s="613"/>
      <c r="C1034" s="353"/>
      <c r="D1034" s="353"/>
      <c r="E1034" s="353"/>
      <c r="F1034" s="353"/>
      <c r="G1034" s="353"/>
      <c r="H1034" s="353"/>
      <c r="I1034" s="731"/>
      <c r="J1034" s="613"/>
      <c r="K1034" s="613"/>
      <c r="L1034" s="353"/>
      <c r="M1034" s="353"/>
      <c r="N1034" s="353"/>
      <c r="O1034" s="764"/>
      <c r="P1034" s="353"/>
      <c r="Q1034" s="353"/>
      <c r="R1034" s="353"/>
      <c r="S1034" s="353"/>
      <c r="T1034" s="353"/>
      <c r="U1034" s="353"/>
      <c r="V1034" s="731"/>
      <c r="W1034" s="353"/>
      <c r="X1034" s="353"/>
      <c r="Y1034" s="353"/>
      <c r="Z1034" s="731"/>
      <c r="AA1034" s="353"/>
      <c r="AB1034" s="731"/>
      <c r="AC1034" s="731"/>
    </row>
    <row r="1035" ht="13.8" spans="1:29">
      <c r="A1035" s="353"/>
      <c r="B1035" s="613"/>
      <c r="C1035" s="353"/>
      <c r="D1035" s="353"/>
      <c r="E1035" s="353"/>
      <c r="F1035" s="353"/>
      <c r="G1035" s="353"/>
      <c r="H1035" s="353"/>
      <c r="I1035" s="731"/>
      <c r="J1035" s="613"/>
      <c r="K1035" s="613"/>
      <c r="L1035" s="353"/>
      <c r="M1035" s="353"/>
      <c r="N1035" s="353"/>
      <c r="O1035" s="764"/>
      <c r="P1035" s="353"/>
      <c r="Q1035" s="353"/>
      <c r="R1035" s="353"/>
      <c r="S1035" s="353"/>
      <c r="T1035" s="353"/>
      <c r="U1035" s="353"/>
      <c r="V1035" s="731"/>
      <c r="W1035" s="353"/>
      <c r="X1035" s="353"/>
      <c r="Y1035" s="353"/>
      <c r="Z1035" s="731"/>
      <c r="AA1035" s="353"/>
      <c r="AB1035" s="731"/>
      <c r="AC1035" s="731"/>
    </row>
    <row r="1036" ht="13.8" spans="1:29">
      <c r="A1036" s="353"/>
      <c r="B1036" s="613"/>
      <c r="C1036" s="353"/>
      <c r="D1036" s="353"/>
      <c r="E1036" s="353"/>
      <c r="F1036" s="353"/>
      <c r="G1036" s="353"/>
      <c r="H1036" s="353"/>
      <c r="I1036" s="731"/>
      <c r="J1036" s="613"/>
      <c r="K1036" s="613"/>
      <c r="L1036" s="353"/>
      <c r="M1036" s="353"/>
      <c r="N1036" s="353"/>
      <c r="O1036" s="764"/>
      <c r="P1036" s="353"/>
      <c r="Q1036" s="353"/>
      <c r="R1036" s="353"/>
      <c r="S1036" s="353"/>
      <c r="T1036" s="353"/>
      <c r="U1036" s="353"/>
      <c r="V1036" s="731"/>
      <c r="W1036" s="353"/>
      <c r="X1036" s="353"/>
      <c r="Y1036" s="353"/>
      <c r="Z1036" s="731"/>
      <c r="AA1036" s="353"/>
      <c r="AB1036" s="731"/>
      <c r="AC1036" s="731"/>
    </row>
    <row r="1037" ht="13.8" spans="1:29">
      <c r="A1037" s="353"/>
      <c r="B1037" s="613"/>
      <c r="C1037" s="353"/>
      <c r="D1037" s="353"/>
      <c r="E1037" s="353"/>
      <c r="F1037" s="353"/>
      <c r="G1037" s="353"/>
      <c r="H1037" s="353"/>
      <c r="I1037" s="731"/>
      <c r="J1037" s="613"/>
      <c r="K1037" s="613"/>
      <c r="L1037" s="353"/>
      <c r="M1037" s="353"/>
      <c r="N1037" s="353"/>
      <c r="O1037" s="764"/>
      <c r="P1037" s="353"/>
      <c r="Q1037" s="353"/>
      <c r="R1037" s="353"/>
      <c r="S1037" s="353"/>
      <c r="T1037" s="353"/>
      <c r="U1037" s="353"/>
      <c r="V1037" s="731"/>
      <c r="W1037" s="353"/>
      <c r="X1037" s="353"/>
      <c r="Y1037" s="353"/>
      <c r="Z1037" s="731"/>
      <c r="AA1037" s="353"/>
      <c r="AB1037" s="731"/>
      <c r="AC1037" s="731"/>
    </row>
    <row r="1038" ht="13.8" spans="1:29">
      <c r="A1038" s="353"/>
      <c r="B1038" s="613"/>
      <c r="C1038" s="353"/>
      <c r="D1038" s="353"/>
      <c r="E1038" s="353"/>
      <c r="F1038" s="353"/>
      <c r="G1038" s="353"/>
      <c r="H1038" s="353"/>
      <c r="I1038" s="731"/>
      <c r="J1038" s="613"/>
      <c r="K1038" s="613"/>
      <c r="L1038" s="353"/>
      <c r="M1038" s="353"/>
      <c r="N1038" s="353"/>
      <c r="O1038" s="764"/>
      <c r="P1038" s="353"/>
      <c r="Q1038" s="353"/>
      <c r="R1038" s="353"/>
      <c r="S1038" s="353"/>
      <c r="T1038" s="353"/>
      <c r="U1038" s="353"/>
      <c r="V1038" s="731"/>
      <c r="W1038" s="353"/>
      <c r="X1038" s="353"/>
      <c r="Y1038" s="353"/>
      <c r="Z1038" s="731"/>
      <c r="AA1038" s="353"/>
      <c r="AB1038" s="731"/>
      <c r="AC1038" s="731"/>
    </row>
    <row r="1039" ht="13.8" spans="1:29">
      <c r="A1039" s="353"/>
      <c r="B1039" s="613"/>
      <c r="C1039" s="353"/>
      <c r="D1039" s="353"/>
      <c r="E1039" s="353"/>
      <c r="F1039" s="353"/>
      <c r="G1039" s="353"/>
      <c r="H1039" s="353"/>
      <c r="I1039" s="731"/>
      <c r="J1039" s="613"/>
      <c r="K1039" s="613"/>
      <c r="L1039" s="353"/>
      <c r="M1039" s="353"/>
      <c r="N1039" s="353"/>
      <c r="O1039" s="764"/>
      <c r="P1039" s="353"/>
      <c r="Q1039" s="353"/>
      <c r="R1039" s="353"/>
      <c r="S1039" s="353"/>
      <c r="T1039" s="353"/>
      <c r="U1039" s="353"/>
      <c r="V1039" s="731"/>
      <c r="W1039" s="353"/>
      <c r="X1039" s="353"/>
      <c r="Y1039" s="353"/>
      <c r="Z1039" s="731"/>
      <c r="AA1039" s="353"/>
      <c r="AB1039" s="731"/>
      <c r="AC1039" s="731"/>
    </row>
    <row r="1040" ht="13.8" spans="1:29">
      <c r="A1040" s="353"/>
      <c r="B1040" s="613"/>
      <c r="C1040" s="353"/>
      <c r="D1040" s="353"/>
      <c r="E1040" s="353"/>
      <c r="F1040" s="353"/>
      <c r="G1040" s="353"/>
      <c r="H1040" s="353"/>
      <c r="I1040" s="731"/>
      <c r="J1040" s="613"/>
      <c r="K1040" s="613"/>
      <c r="L1040" s="353"/>
      <c r="M1040" s="353"/>
      <c r="N1040" s="353"/>
      <c r="O1040" s="764"/>
      <c r="P1040" s="353"/>
      <c r="Q1040" s="353"/>
      <c r="R1040" s="353"/>
      <c r="S1040" s="353"/>
      <c r="T1040" s="353"/>
      <c r="U1040" s="353"/>
      <c r="V1040" s="731"/>
      <c r="W1040" s="353"/>
      <c r="X1040" s="353"/>
      <c r="Y1040" s="353"/>
      <c r="Z1040" s="731"/>
      <c r="AA1040" s="353"/>
      <c r="AB1040" s="731"/>
      <c r="AC1040" s="731"/>
    </row>
    <row r="1041" ht="13.8" spans="1:29">
      <c r="A1041" s="353"/>
      <c r="B1041" s="613"/>
      <c r="C1041" s="353"/>
      <c r="D1041" s="353"/>
      <c r="E1041" s="353"/>
      <c r="F1041" s="353"/>
      <c r="G1041" s="353"/>
      <c r="H1041" s="353"/>
      <c r="I1041" s="731"/>
      <c r="J1041" s="613"/>
      <c r="K1041" s="613"/>
      <c r="L1041" s="353"/>
      <c r="M1041" s="353"/>
      <c r="N1041" s="353"/>
      <c r="O1041" s="764"/>
      <c r="P1041" s="353"/>
      <c r="Q1041" s="353"/>
      <c r="R1041" s="353"/>
      <c r="S1041" s="353"/>
      <c r="T1041" s="353"/>
      <c r="U1041" s="353"/>
      <c r="V1041" s="731"/>
      <c r="W1041" s="353"/>
      <c r="X1041" s="353"/>
      <c r="Y1041" s="353"/>
      <c r="Z1041" s="731"/>
      <c r="AA1041" s="353"/>
      <c r="AB1041" s="731"/>
      <c r="AC1041" s="731"/>
    </row>
    <row r="1042" ht="13.8" spans="1:29">
      <c r="A1042" s="353"/>
      <c r="B1042" s="613"/>
      <c r="C1042" s="353"/>
      <c r="D1042" s="353"/>
      <c r="E1042" s="353"/>
      <c r="F1042" s="353"/>
      <c r="G1042" s="353"/>
      <c r="H1042" s="353"/>
      <c r="I1042" s="731"/>
      <c r="J1042" s="613"/>
      <c r="K1042" s="613"/>
      <c r="L1042" s="353"/>
      <c r="M1042" s="353"/>
      <c r="N1042" s="353"/>
      <c r="O1042" s="764"/>
      <c r="P1042" s="353"/>
      <c r="Q1042" s="353"/>
      <c r="R1042" s="353"/>
      <c r="S1042" s="353"/>
      <c r="T1042" s="353"/>
      <c r="U1042" s="353"/>
      <c r="V1042" s="731"/>
      <c r="W1042" s="353"/>
      <c r="X1042" s="353"/>
      <c r="Y1042" s="353"/>
      <c r="Z1042" s="731"/>
      <c r="AA1042" s="353"/>
      <c r="AB1042" s="731"/>
      <c r="AC1042" s="731"/>
    </row>
    <row r="1043" ht="13.8" spans="1:29">
      <c r="A1043" s="353"/>
      <c r="B1043" s="613"/>
      <c r="C1043" s="353"/>
      <c r="D1043" s="353"/>
      <c r="E1043" s="353"/>
      <c r="F1043" s="353"/>
      <c r="G1043" s="353"/>
      <c r="H1043" s="353"/>
      <c r="I1043" s="731"/>
      <c r="J1043" s="613"/>
      <c r="K1043" s="613"/>
      <c r="L1043" s="353"/>
      <c r="M1043" s="353"/>
      <c r="N1043" s="353"/>
      <c r="O1043" s="764"/>
      <c r="P1043" s="353"/>
      <c r="Q1043" s="353"/>
      <c r="R1043" s="353"/>
      <c r="S1043" s="353"/>
      <c r="T1043" s="353"/>
      <c r="U1043" s="353"/>
      <c r="V1043" s="731"/>
      <c r="W1043" s="353"/>
      <c r="X1043" s="353"/>
      <c r="Y1043" s="353"/>
      <c r="Z1043" s="731"/>
      <c r="AA1043" s="353"/>
      <c r="AB1043" s="731"/>
      <c r="AC1043" s="731"/>
    </row>
    <row r="1044" ht="13.8" spans="1:29">
      <c r="A1044" s="353"/>
      <c r="B1044" s="613"/>
      <c r="C1044" s="353"/>
      <c r="D1044" s="353"/>
      <c r="E1044" s="353"/>
      <c r="F1044" s="353"/>
      <c r="G1044" s="353"/>
      <c r="H1044" s="353"/>
      <c r="I1044" s="731"/>
      <c r="J1044" s="613"/>
      <c r="K1044" s="613"/>
      <c r="L1044" s="353"/>
      <c r="M1044" s="353"/>
      <c r="N1044" s="353"/>
      <c r="O1044" s="764"/>
      <c r="P1044" s="353"/>
      <c r="Q1044" s="353"/>
      <c r="R1044" s="353"/>
      <c r="S1044" s="353"/>
      <c r="T1044" s="353"/>
      <c r="U1044" s="353"/>
      <c r="V1044" s="731"/>
      <c r="W1044" s="353"/>
      <c r="X1044" s="353"/>
      <c r="Y1044" s="353"/>
      <c r="Z1044" s="731"/>
      <c r="AA1044" s="353"/>
      <c r="AB1044" s="731"/>
      <c r="AC1044" s="731"/>
    </row>
    <row r="1045" ht="13.8" spans="1:29">
      <c r="A1045" s="353"/>
      <c r="B1045" s="613"/>
      <c r="C1045" s="353"/>
      <c r="D1045" s="353"/>
      <c r="E1045" s="353"/>
      <c r="F1045" s="353"/>
      <c r="G1045" s="353"/>
      <c r="H1045" s="353"/>
      <c r="I1045" s="731"/>
      <c r="J1045" s="613"/>
      <c r="K1045" s="613"/>
      <c r="L1045" s="353"/>
      <c r="M1045" s="353"/>
      <c r="N1045" s="353"/>
      <c r="O1045" s="764"/>
      <c r="P1045" s="353"/>
      <c r="Q1045" s="353"/>
      <c r="R1045" s="353"/>
      <c r="S1045" s="353"/>
      <c r="T1045" s="353"/>
      <c r="U1045" s="353"/>
      <c r="V1045" s="731"/>
      <c r="W1045" s="353"/>
      <c r="X1045" s="353"/>
      <c r="Y1045" s="353"/>
      <c r="Z1045" s="731"/>
      <c r="AA1045" s="353"/>
      <c r="AB1045" s="731"/>
      <c r="AC1045" s="731"/>
    </row>
    <row r="1046" ht="13.8" spans="1:29">
      <c r="A1046" s="353"/>
      <c r="B1046" s="613"/>
      <c r="C1046" s="353"/>
      <c r="D1046" s="353"/>
      <c r="E1046" s="353"/>
      <c r="F1046" s="353"/>
      <c r="G1046" s="353"/>
      <c r="H1046" s="353"/>
      <c r="I1046" s="731"/>
      <c r="J1046" s="613"/>
      <c r="K1046" s="613"/>
      <c r="L1046" s="353"/>
      <c r="M1046" s="353"/>
      <c r="N1046" s="353"/>
      <c r="O1046" s="764"/>
      <c r="P1046" s="353"/>
      <c r="Q1046" s="353"/>
      <c r="R1046" s="353"/>
      <c r="S1046" s="353"/>
      <c r="T1046" s="353"/>
      <c r="U1046" s="353"/>
      <c r="V1046" s="731"/>
      <c r="W1046" s="353"/>
      <c r="X1046" s="353"/>
      <c r="Y1046" s="353"/>
      <c r="Z1046" s="731"/>
      <c r="AA1046" s="353"/>
      <c r="AB1046" s="731"/>
      <c r="AC1046" s="731"/>
    </row>
    <row r="1047" ht="13.8" spans="1:29">
      <c r="A1047" s="353"/>
      <c r="B1047" s="613"/>
      <c r="C1047" s="353"/>
      <c r="D1047" s="353"/>
      <c r="E1047" s="353"/>
      <c r="F1047" s="353"/>
      <c r="G1047" s="353"/>
      <c r="H1047" s="353"/>
      <c r="I1047" s="731"/>
      <c r="J1047" s="613"/>
      <c r="K1047" s="613"/>
      <c r="L1047" s="353"/>
      <c r="M1047" s="353"/>
      <c r="N1047" s="353"/>
      <c r="O1047" s="764"/>
      <c r="P1047" s="353"/>
      <c r="Q1047" s="353"/>
      <c r="R1047" s="353"/>
      <c r="S1047" s="353"/>
      <c r="T1047" s="353"/>
      <c r="U1047" s="353"/>
      <c r="V1047" s="731"/>
      <c r="W1047" s="353"/>
      <c r="X1047" s="353"/>
      <c r="Y1047" s="353"/>
      <c r="Z1047" s="731"/>
      <c r="AA1047" s="353"/>
      <c r="AB1047" s="731"/>
      <c r="AC1047" s="731"/>
    </row>
    <row r="1048" ht="13.8" spans="1:29">
      <c r="A1048" s="353"/>
      <c r="B1048" s="613"/>
      <c r="C1048" s="353"/>
      <c r="D1048" s="353"/>
      <c r="E1048" s="353"/>
      <c r="F1048" s="353"/>
      <c r="G1048" s="353"/>
      <c r="H1048" s="353"/>
      <c r="I1048" s="731"/>
      <c r="J1048" s="613"/>
      <c r="K1048" s="613"/>
      <c r="L1048" s="353"/>
      <c r="M1048" s="353"/>
      <c r="N1048" s="353"/>
      <c r="O1048" s="764"/>
      <c r="P1048" s="353"/>
      <c r="Q1048" s="353"/>
      <c r="R1048" s="353"/>
      <c r="S1048" s="353"/>
      <c r="T1048" s="353"/>
      <c r="U1048" s="353"/>
      <c r="V1048" s="731"/>
      <c r="W1048" s="353"/>
      <c r="X1048" s="353"/>
      <c r="Y1048" s="353"/>
      <c r="Z1048" s="731"/>
      <c r="AA1048" s="353"/>
      <c r="AB1048" s="731"/>
      <c r="AC1048" s="731"/>
    </row>
    <row r="1049" ht="13.8" spans="1:29">
      <c r="A1049" s="353"/>
      <c r="B1049" s="613"/>
      <c r="C1049" s="353"/>
      <c r="D1049" s="353"/>
      <c r="E1049" s="353"/>
      <c r="F1049" s="353"/>
      <c r="G1049" s="353"/>
      <c r="H1049" s="353"/>
      <c r="I1049" s="731"/>
      <c r="J1049" s="613"/>
      <c r="K1049" s="613"/>
      <c r="L1049" s="353"/>
      <c r="M1049" s="353"/>
      <c r="N1049" s="353"/>
      <c r="O1049" s="764"/>
      <c r="P1049" s="353"/>
      <c r="Q1049" s="353"/>
      <c r="R1049" s="353"/>
      <c r="S1049" s="353"/>
      <c r="T1049" s="353"/>
      <c r="U1049" s="353"/>
      <c r="V1049" s="731"/>
      <c r="W1049" s="353"/>
      <c r="X1049" s="353"/>
      <c r="Y1049" s="353"/>
      <c r="Z1049" s="731"/>
      <c r="AA1049" s="353"/>
      <c r="AB1049" s="731"/>
      <c r="AC1049" s="731"/>
    </row>
    <row r="1050" ht="13.8" spans="1:29">
      <c r="A1050" s="353"/>
      <c r="B1050" s="613"/>
      <c r="C1050" s="353"/>
      <c r="D1050" s="353"/>
      <c r="E1050" s="353"/>
      <c r="F1050" s="353"/>
      <c r="G1050" s="353"/>
      <c r="H1050" s="353"/>
      <c r="I1050" s="731"/>
      <c r="J1050" s="613"/>
      <c r="K1050" s="613"/>
      <c r="L1050" s="353"/>
      <c r="M1050" s="353"/>
      <c r="N1050" s="353"/>
      <c r="O1050" s="764"/>
      <c r="P1050" s="353"/>
      <c r="Q1050" s="353"/>
      <c r="R1050" s="353"/>
      <c r="S1050" s="353"/>
      <c r="T1050" s="353"/>
      <c r="U1050" s="353"/>
      <c r="V1050" s="731"/>
      <c r="W1050" s="353"/>
      <c r="X1050" s="353"/>
      <c r="Y1050" s="353"/>
      <c r="Z1050" s="731"/>
      <c r="AA1050" s="353"/>
      <c r="AB1050" s="731"/>
      <c r="AC1050" s="731"/>
    </row>
    <row r="1051" ht="13.8" spans="1:29">
      <c r="A1051" s="353"/>
      <c r="B1051" s="613"/>
      <c r="C1051" s="353"/>
      <c r="D1051" s="353"/>
      <c r="E1051" s="353"/>
      <c r="F1051" s="353"/>
      <c r="G1051" s="353"/>
      <c r="H1051" s="353"/>
      <c r="I1051" s="731"/>
      <c r="J1051" s="613"/>
      <c r="K1051" s="613"/>
      <c r="L1051" s="353"/>
      <c r="M1051" s="353"/>
      <c r="N1051" s="353"/>
      <c r="O1051" s="764"/>
      <c r="P1051" s="353"/>
      <c r="Q1051" s="353"/>
      <c r="R1051" s="353"/>
      <c r="S1051" s="353"/>
      <c r="T1051" s="353"/>
      <c r="U1051" s="353"/>
      <c r="V1051" s="731"/>
      <c r="W1051" s="353"/>
      <c r="X1051" s="353"/>
      <c r="Y1051" s="353"/>
      <c r="Z1051" s="731"/>
      <c r="AA1051" s="353"/>
      <c r="AB1051" s="731"/>
      <c r="AC1051" s="731"/>
    </row>
    <row r="1052" ht="13.8" spans="1:29">
      <c r="A1052" s="353"/>
      <c r="B1052" s="613"/>
      <c r="C1052" s="353"/>
      <c r="D1052" s="353"/>
      <c r="E1052" s="353"/>
      <c r="F1052" s="353"/>
      <c r="G1052" s="353"/>
      <c r="H1052" s="353"/>
      <c r="I1052" s="731"/>
      <c r="J1052" s="613"/>
      <c r="K1052" s="613"/>
      <c r="L1052" s="353"/>
      <c r="M1052" s="353"/>
      <c r="N1052" s="353"/>
      <c r="O1052" s="764"/>
      <c r="P1052" s="353"/>
      <c r="Q1052" s="353"/>
      <c r="R1052" s="353"/>
      <c r="S1052" s="353"/>
      <c r="T1052" s="353"/>
      <c r="U1052" s="353"/>
      <c r="V1052" s="731"/>
      <c r="W1052" s="353"/>
      <c r="X1052" s="353"/>
      <c r="Y1052" s="353"/>
      <c r="Z1052" s="731"/>
      <c r="AA1052" s="353"/>
      <c r="AB1052" s="731"/>
      <c r="AC1052" s="731"/>
    </row>
    <row r="1053" ht="13.8" spans="1:29">
      <c r="A1053" s="353"/>
      <c r="B1053" s="613"/>
      <c r="C1053" s="353"/>
      <c r="D1053" s="353"/>
      <c r="E1053" s="353"/>
      <c r="F1053" s="353"/>
      <c r="G1053" s="353"/>
      <c r="H1053" s="353"/>
      <c r="I1053" s="731"/>
      <c r="J1053" s="613"/>
      <c r="K1053" s="613"/>
      <c r="L1053" s="353"/>
      <c r="M1053" s="353"/>
      <c r="N1053" s="353"/>
      <c r="O1053" s="764"/>
      <c r="P1053" s="353"/>
      <c r="Q1053" s="353"/>
      <c r="R1053" s="353"/>
      <c r="S1053" s="353"/>
      <c r="T1053" s="353"/>
      <c r="U1053" s="353"/>
      <c r="V1053" s="731"/>
      <c r="W1053" s="353"/>
      <c r="X1053" s="353"/>
      <c r="Y1053" s="353"/>
      <c r="Z1053" s="731"/>
      <c r="AA1053" s="353"/>
      <c r="AB1053" s="731"/>
      <c r="AC1053" s="731"/>
    </row>
    <row r="1054" ht="13.8" spans="1:29">
      <c r="A1054" s="353"/>
      <c r="B1054" s="613"/>
      <c r="C1054" s="353"/>
      <c r="D1054" s="353"/>
      <c r="E1054" s="353"/>
      <c r="F1054" s="353"/>
      <c r="G1054" s="353"/>
      <c r="H1054" s="353"/>
      <c r="I1054" s="731"/>
      <c r="J1054" s="613"/>
      <c r="K1054" s="613"/>
      <c r="L1054" s="353"/>
      <c r="M1054" s="353"/>
      <c r="N1054" s="353"/>
      <c r="O1054" s="764"/>
      <c r="P1054" s="353"/>
      <c r="Q1054" s="353"/>
      <c r="R1054" s="353"/>
      <c r="S1054" s="353"/>
      <c r="T1054" s="353"/>
      <c r="U1054" s="353"/>
      <c r="V1054" s="731"/>
      <c r="W1054" s="353"/>
      <c r="X1054" s="353"/>
      <c r="Y1054" s="353"/>
      <c r="Z1054" s="731"/>
      <c r="AA1054" s="353"/>
      <c r="AB1054" s="731"/>
      <c r="AC1054" s="731"/>
    </row>
    <row r="1055" ht="13.8" spans="1:29">
      <c r="A1055" s="353"/>
      <c r="B1055" s="613"/>
      <c r="C1055" s="353"/>
      <c r="D1055" s="353"/>
      <c r="E1055" s="353"/>
      <c r="F1055" s="353"/>
      <c r="G1055" s="353"/>
      <c r="H1055" s="353"/>
      <c r="I1055" s="731"/>
      <c r="J1055" s="613"/>
      <c r="K1055" s="613"/>
      <c r="L1055" s="353"/>
      <c r="M1055" s="353"/>
      <c r="N1055" s="353"/>
      <c r="O1055" s="764"/>
      <c r="P1055" s="353"/>
      <c r="Q1055" s="353"/>
      <c r="R1055" s="353"/>
      <c r="S1055" s="353"/>
      <c r="T1055" s="353"/>
      <c r="U1055" s="353"/>
      <c r="V1055" s="731"/>
      <c r="W1055" s="353"/>
      <c r="X1055" s="353"/>
      <c r="Y1055" s="353"/>
      <c r="Z1055" s="731"/>
      <c r="AA1055" s="353"/>
      <c r="AB1055" s="731"/>
      <c r="AC1055" s="731"/>
    </row>
    <row r="1056" ht="13.8" spans="1:29">
      <c r="A1056" s="353"/>
      <c r="B1056" s="613"/>
      <c r="C1056" s="353"/>
      <c r="D1056" s="353"/>
      <c r="E1056" s="353"/>
      <c r="F1056" s="353"/>
      <c r="G1056" s="353"/>
      <c r="H1056" s="353"/>
      <c r="I1056" s="731"/>
      <c r="J1056" s="613"/>
      <c r="K1056" s="613"/>
      <c r="L1056" s="353"/>
      <c r="M1056" s="353"/>
      <c r="N1056" s="353"/>
      <c r="O1056" s="764"/>
      <c r="P1056" s="353"/>
      <c r="Q1056" s="353"/>
      <c r="R1056" s="353"/>
      <c r="S1056" s="353"/>
      <c r="T1056" s="353"/>
      <c r="U1056" s="353"/>
      <c r="V1056" s="731"/>
      <c r="W1056" s="353"/>
      <c r="X1056" s="353"/>
      <c r="Y1056" s="353"/>
      <c r="Z1056" s="731"/>
      <c r="AA1056" s="353"/>
      <c r="AB1056" s="731"/>
      <c r="AC1056" s="731"/>
    </row>
    <row r="1057" ht="13.8" spans="1:29">
      <c r="A1057" s="353"/>
      <c r="B1057" s="613"/>
      <c r="C1057" s="353"/>
      <c r="D1057" s="353"/>
      <c r="E1057" s="353"/>
      <c r="F1057" s="353"/>
      <c r="G1057" s="353"/>
      <c r="H1057" s="353"/>
      <c r="I1057" s="731"/>
      <c r="J1057" s="613"/>
      <c r="K1057" s="613"/>
      <c r="L1057" s="353"/>
      <c r="M1057" s="353"/>
      <c r="N1057" s="353"/>
      <c r="O1057" s="764"/>
      <c r="P1057" s="353"/>
      <c r="Q1057" s="353"/>
      <c r="R1057" s="353"/>
      <c r="S1057" s="353"/>
      <c r="T1057" s="353"/>
      <c r="U1057" s="353"/>
      <c r="V1057" s="731"/>
      <c r="W1057" s="353"/>
      <c r="X1057" s="353"/>
      <c r="Y1057" s="353"/>
      <c r="Z1057" s="731"/>
      <c r="AA1057" s="353"/>
      <c r="AB1057" s="731"/>
      <c r="AC1057" s="731"/>
    </row>
    <row r="1058" ht="13.8" spans="1:29">
      <c r="A1058" s="353"/>
      <c r="B1058" s="613"/>
      <c r="C1058" s="353"/>
      <c r="D1058" s="353"/>
      <c r="E1058" s="353"/>
      <c r="F1058" s="353"/>
      <c r="G1058" s="353"/>
      <c r="H1058" s="353"/>
      <c r="I1058" s="731"/>
      <c r="J1058" s="613"/>
      <c r="K1058" s="613"/>
      <c r="L1058" s="353"/>
      <c r="M1058" s="353"/>
      <c r="N1058" s="353"/>
      <c r="O1058" s="764"/>
      <c r="P1058" s="353"/>
      <c r="Q1058" s="353"/>
      <c r="R1058" s="353"/>
      <c r="S1058" s="353"/>
      <c r="T1058" s="353"/>
      <c r="U1058" s="353"/>
      <c r="V1058" s="731"/>
      <c r="W1058" s="353"/>
      <c r="X1058" s="353"/>
      <c r="Y1058" s="353"/>
      <c r="Z1058" s="731"/>
      <c r="AA1058" s="353"/>
      <c r="AB1058" s="731"/>
      <c r="AC1058" s="731"/>
    </row>
    <row r="1059" ht="13.8" spans="1:29">
      <c r="A1059" s="353"/>
      <c r="B1059" s="613"/>
      <c r="C1059" s="353"/>
      <c r="D1059" s="353"/>
      <c r="E1059" s="353"/>
      <c r="F1059" s="353"/>
      <c r="G1059" s="353"/>
      <c r="H1059" s="353"/>
      <c r="I1059" s="731"/>
      <c r="J1059" s="613"/>
      <c r="K1059" s="613"/>
      <c r="L1059" s="353"/>
      <c r="M1059" s="353"/>
      <c r="N1059" s="353"/>
      <c r="O1059" s="764"/>
      <c r="P1059" s="353"/>
      <c r="Q1059" s="353"/>
      <c r="R1059" s="353"/>
      <c r="S1059" s="353"/>
      <c r="T1059" s="353"/>
      <c r="U1059" s="353"/>
      <c r="V1059" s="731"/>
      <c r="W1059" s="353"/>
      <c r="X1059" s="353"/>
      <c r="Y1059" s="353"/>
      <c r="Z1059" s="731"/>
      <c r="AA1059" s="353"/>
      <c r="AB1059" s="731"/>
      <c r="AC1059" s="731"/>
    </row>
    <row r="1060" ht="13.8" spans="1:29">
      <c r="A1060" s="353"/>
      <c r="B1060" s="613"/>
      <c r="C1060" s="353"/>
      <c r="D1060" s="353"/>
      <c r="E1060" s="353"/>
      <c r="F1060" s="353"/>
      <c r="G1060" s="353"/>
      <c r="H1060" s="353"/>
      <c r="I1060" s="731"/>
      <c r="J1060" s="613"/>
      <c r="K1060" s="613"/>
      <c r="L1060" s="353"/>
      <c r="M1060" s="353"/>
      <c r="N1060" s="353"/>
      <c r="O1060" s="764"/>
      <c r="P1060" s="353"/>
      <c r="Q1060" s="353"/>
      <c r="R1060" s="353"/>
      <c r="S1060" s="353"/>
      <c r="T1060" s="353"/>
      <c r="U1060" s="353"/>
      <c r="V1060" s="731"/>
      <c r="W1060" s="353"/>
      <c r="X1060" s="353"/>
      <c r="Y1060" s="353"/>
      <c r="Z1060" s="731"/>
      <c r="AA1060" s="353"/>
      <c r="AB1060" s="731"/>
      <c r="AC1060" s="731"/>
    </row>
    <row r="1061" ht="13.8" spans="1:29">
      <c r="A1061" s="353"/>
      <c r="B1061" s="613"/>
      <c r="C1061" s="353"/>
      <c r="D1061" s="353"/>
      <c r="E1061" s="353"/>
      <c r="F1061" s="353"/>
      <c r="G1061" s="353"/>
      <c r="H1061" s="353"/>
      <c r="I1061" s="731"/>
      <c r="J1061" s="613"/>
      <c r="K1061" s="613"/>
      <c r="L1061" s="353"/>
      <c r="M1061" s="353"/>
      <c r="N1061" s="353"/>
      <c r="O1061" s="764"/>
      <c r="P1061" s="353"/>
      <c r="Q1061" s="353"/>
      <c r="R1061" s="353"/>
      <c r="S1061" s="353"/>
      <c r="T1061" s="353"/>
      <c r="U1061" s="353"/>
      <c r="V1061" s="731"/>
      <c r="W1061" s="353"/>
      <c r="X1061" s="353"/>
      <c r="Y1061" s="353"/>
      <c r="Z1061" s="731"/>
      <c r="AA1061" s="353"/>
      <c r="AB1061" s="731"/>
      <c r="AC1061" s="731"/>
    </row>
    <row r="1062" ht="13.8" spans="1:29">
      <c r="A1062" s="353"/>
      <c r="B1062" s="613"/>
      <c r="C1062" s="353"/>
      <c r="D1062" s="353"/>
      <c r="E1062" s="353"/>
      <c r="F1062" s="353"/>
      <c r="G1062" s="353"/>
      <c r="H1062" s="353"/>
      <c r="I1062" s="731"/>
      <c r="J1062" s="613"/>
      <c r="K1062" s="613"/>
      <c r="L1062" s="353"/>
      <c r="M1062" s="353"/>
      <c r="N1062" s="353"/>
      <c r="O1062" s="764"/>
      <c r="P1062" s="353"/>
      <c r="Q1062" s="353"/>
      <c r="R1062" s="353"/>
      <c r="S1062" s="353"/>
      <c r="T1062" s="353"/>
      <c r="U1062" s="353"/>
      <c r="V1062" s="731"/>
      <c r="W1062" s="353"/>
      <c r="X1062" s="353"/>
      <c r="Y1062" s="353"/>
      <c r="Z1062" s="731"/>
      <c r="AA1062" s="353"/>
      <c r="AB1062" s="731"/>
      <c r="AC1062" s="731"/>
    </row>
    <row r="1063" ht="13.8" spans="1:29">
      <c r="A1063" s="353"/>
      <c r="B1063" s="613"/>
      <c r="C1063" s="353"/>
      <c r="D1063" s="353"/>
      <c r="E1063" s="353"/>
      <c r="F1063" s="353"/>
      <c r="G1063" s="353"/>
      <c r="H1063" s="353"/>
      <c r="I1063" s="731"/>
      <c r="J1063" s="613"/>
      <c r="K1063" s="613"/>
      <c r="L1063" s="353"/>
      <c r="M1063" s="353"/>
      <c r="N1063" s="353"/>
      <c r="O1063" s="764"/>
      <c r="P1063" s="353"/>
      <c r="Q1063" s="353"/>
      <c r="R1063" s="353"/>
      <c r="S1063" s="353"/>
      <c r="T1063" s="353"/>
      <c r="U1063" s="353"/>
      <c r="V1063" s="731"/>
      <c r="W1063" s="353"/>
      <c r="X1063" s="353"/>
      <c r="Y1063" s="353"/>
      <c r="Z1063" s="731"/>
      <c r="AA1063" s="353"/>
      <c r="AB1063" s="731"/>
      <c r="AC1063" s="731"/>
    </row>
    <row r="1064" ht="13.8" spans="1:29">
      <c r="A1064" s="353"/>
      <c r="B1064" s="613"/>
      <c r="C1064" s="353"/>
      <c r="D1064" s="353"/>
      <c r="E1064" s="353"/>
      <c r="F1064" s="353"/>
      <c r="G1064" s="353"/>
      <c r="H1064" s="353"/>
      <c r="I1064" s="731"/>
      <c r="J1064" s="613"/>
      <c r="K1064" s="613"/>
      <c r="L1064" s="353"/>
      <c r="M1064" s="353"/>
      <c r="N1064" s="353"/>
      <c r="O1064" s="764"/>
      <c r="P1064" s="353"/>
      <c r="Q1064" s="353"/>
      <c r="R1064" s="353"/>
      <c r="S1064" s="353"/>
      <c r="T1064" s="353"/>
      <c r="U1064" s="353"/>
      <c r="V1064" s="731"/>
      <c r="W1064" s="353"/>
      <c r="X1064" s="353"/>
      <c r="Y1064" s="353"/>
      <c r="Z1064" s="731"/>
      <c r="AA1064" s="353"/>
      <c r="AB1064" s="731"/>
      <c r="AC1064" s="731"/>
    </row>
    <row r="1065" ht="13.8" spans="1:29">
      <c r="A1065" s="353"/>
      <c r="B1065" s="613"/>
      <c r="C1065" s="353"/>
      <c r="D1065" s="353"/>
      <c r="E1065" s="353"/>
      <c r="F1065" s="353"/>
      <c r="G1065" s="353"/>
      <c r="H1065" s="353"/>
      <c r="I1065" s="731"/>
      <c r="J1065" s="613"/>
      <c r="K1065" s="613"/>
      <c r="L1065" s="353"/>
      <c r="M1065" s="353"/>
      <c r="N1065" s="353"/>
      <c r="O1065" s="764"/>
      <c r="P1065" s="353"/>
      <c r="Q1065" s="353"/>
      <c r="R1065" s="353"/>
      <c r="S1065" s="353"/>
      <c r="T1065" s="353"/>
      <c r="U1065" s="353"/>
      <c r="V1065" s="731"/>
      <c r="W1065" s="353"/>
      <c r="X1065" s="353"/>
      <c r="Y1065" s="353"/>
      <c r="Z1065" s="731"/>
      <c r="AA1065" s="353"/>
      <c r="AB1065" s="731"/>
      <c r="AC1065" s="731"/>
    </row>
    <row r="1066" ht="13.8" spans="1:29">
      <c r="A1066" s="353"/>
      <c r="B1066" s="613"/>
      <c r="C1066" s="353"/>
      <c r="D1066" s="353"/>
      <c r="E1066" s="353"/>
      <c r="F1066" s="353"/>
      <c r="G1066" s="353"/>
      <c r="H1066" s="353"/>
      <c r="I1066" s="731"/>
      <c r="J1066" s="613"/>
      <c r="K1066" s="613"/>
      <c r="L1066" s="353"/>
      <c r="M1066" s="353"/>
      <c r="N1066" s="353"/>
      <c r="O1066" s="764"/>
      <c r="P1066" s="353"/>
      <c r="Q1066" s="353"/>
      <c r="R1066" s="353"/>
      <c r="S1066" s="353"/>
      <c r="T1066" s="353"/>
      <c r="U1066" s="353"/>
      <c r="V1066" s="731"/>
      <c r="W1066" s="353"/>
      <c r="X1066" s="353"/>
      <c r="Y1066" s="353"/>
      <c r="Z1066" s="731"/>
      <c r="AA1066" s="353"/>
      <c r="AB1066" s="731"/>
      <c r="AC1066" s="731"/>
    </row>
    <row r="1067" ht="13.8" spans="1:29">
      <c r="A1067" s="353"/>
      <c r="B1067" s="613"/>
      <c r="C1067" s="353"/>
      <c r="D1067" s="353"/>
      <c r="E1067" s="353"/>
      <c r="F1067" s="353"/>
      <c r="G1067" s="353"/>
      <c r="H1067" s="353"/>
      <c r="I1067" s="731"/>
      <c r="J1067" s="613"/>
      <c r="K1067" s="613"/>
      <c r="L1067" s="353"/>
      <c r="M1067" s="353"/>
      <c r="N1067" s="353"/>
      <c r="O1067" s="764"/>
      <c r="P1067" s="353"/>
      <c r="Q1067" s="353"/>
      <c r="R1067" s="353"/>
      <c r="S1067" s="353"/>
      <c r="T1067" s="353"/>
      <c r="U1067" s="353"/>
      <c r="V1067" s="731"/>
      <c r="W1067" s="353"/>
      <c r="X1067" s="353"/>
      <c r="Y1067" s="353"/>
      <c r="Z1067" s="731"/>
      <c r="AA1067" s="353"/>
      <c r="AB1067" s="731"/>
      <c r="AC1067" s="731"/>
    </row>
    <row r="1068" ht="13.8" spans="1:29">
      <c r="A1068" s="353"/>
      <c r="B1068" s="613"/>
      <c r="C1068" s="353"/>
      <c r="D1068" s="353"/>
      <c r="E1068" s="353"/>
      <c r="F1068" s="353"/>
      <c r="G1068" s="353"/>
      <c r="H1068" s="353"/>
      <c r="I1068" s="731"/>
      <c r="J1068" s="613"/>
      <c r="K1068" s="613"/>
      <c r="L1068" s="353"/>
      <c r="M1068" s="353"/>
      <c r="N1068" s="353"/>
      <c r="O1068" s="764"/>
      <c r="P1068" s="353"/>
      <c r="Q1068" s="353"/>
      <c r="R1068" s="353"/>
      <c r="S1068" s="353"/>
      <c r="T1068" s="353"/>
      <c r="U1068" s="353"/>
      <c r="V1068" s="731"/>
      <c r="W1068" s="353"/>
      <c r="X1068" s="353"/>
      <c r="Y1068" s="353"/>
      <c r="Z1068" s="731"/>
      <c r="AA1068" s="353"/>
      <c r="AB1068" s="731"/>
      <c r="AC1068" s="731"/>
    </row>
    <row r="1069" ht="13.8" spans="1:29">
      <c r="A1069" s="353"/>
      <c r="B1069" s="613"/>
      <c r="C1069" s="353"/>
      <c r="D1069" s="353"/>
      <c r="E1069" s="353"/>
      <c r="F1069" s="353"/>
      <c r="G1069" s="353"/>
      <c r="H1069" s="353"/>
      <c r="I1069" s="731"/>
      <c r="J1069" s="613"/>
      <c r="K1069" s="613"/>
      <c r="L1069" s="353"/>
      <c r="M1069" s="353"/>
      <c r="N1069" s="353"/>
      <c r="O1069" s="764"/>
      <c r="P1069" s="353"/>
      <c r="Q1069" s="353"/>
      <c r="R1069" s="353"/>
      <c r="S1069" s="353"/>
      <c r="T1069" s="353"/>
      <c r="U1069" s="353"/>
      <c r="V1069" s="731"/>
      <c r="W1069" s="353"/>
      <c r="X1069" s="353"/>
      <c r="Y1069" s="353"/>
      <c r="Z1069" s="731"/>
      <c r="AA1069" s="353"/>
      <c r="AB1069" s="731"/>
      <c r="AC1069" s="731"/>
    </row>
    <row r="1070" ht="13.8" spans="1:29">
      <c r="A1070" s="353"/>
      <c r="B1070" s="613"/>
      <c r="C1070" s="353"/>
      <c r="D1070" s="353"/>
      <c r="E1070" s="353"/>
      <c r="F1070" s="353"/>
      <c r="G1070" s="353"/>
      <c r="H1070" s="353"/>
      <c r="I1070" s="731"/>
      <c r="J1070" s="613"/>
      <c r="K1070" s="613"/>
      <c r="L1070" s="353"/>
      <c r="M1070" s="353"/>
      <c r="N1070" s="353"/>
      <c r="O1070" s="764"/>
      <c r="P1070" s="353"/>
      <c r="Q1070" s="353"/>
      <c r="R1070" s="353"/>
      <c r="S1070" s="353"/>
      <c r="T1070" s="353"/>
      <c r="U1070" s="353"/>
      <c r="V1070" s="731"/>
      <c r="W1070" s="353"/>
      <c r="X1070" s="353"/>
      <c r="Y1070" s="353"/>
      <c r="Z1070" s="731"/>
      <c r="AA1070" s="353"/>
      <c r="AB1070" s="731"/>
      <c r="AC1070" s="731"/>
    </row>
    <row r="1071" ht="13.8" spans="1:29">
      <c r="A1071" s="353"/>
      <c r="B1071" s="613"/>
      <c r="C1071" s="353"/>
      <c r="D1071" s="353"/>
      <c r="E1071" s="353"/>
      <c r="F1071" s="353"/>
      <c r="G1071" s="353"/>
      <c r="H1071" s="353"/>
      <c r="I1071" s="731"/>
      <c r="J1071" s="613"/>
      <c r="K1071" s="613"/>
      <c r="L1071" s="353"/>
      <c r="M1071" s="353"/>
      <c r="N1071" s="353"/>
      <c r="O1071" s="764"/>
      <c r="P1071" s="353"/>
      <c r="Q1071" s="353"/>
      <c r="R1071" s="353"/>
      <c r="S1071" s="353"/>
      <c r="T1071" s="353"/>
      <c r="U1071" s="353"/>
      <c r="V1071" s="731"/>
      <c r="W1071" s="353"/>
      <c r="X1071" s="353"/>
      <c r="Y1071" s="353"/>
      <c r="Z1071" s="731"/>
      <c r="AA1071" s="353"/>
      <c r="AB1071" s="731"/>
      <c r="AC1071" s="731"/>
    </row>
    <row r="1072" ht="13.8" spans="1:29">
      <c r="A1072" s="353"/>
      <c r="B1072" s="613"/>
      <c r="C1072" s="353"/>
      <c r="D1072" s="353"/>
      <c r="E1072" s="353"/>
      <c r="F1072" s="353"/>
      <c r="G1072" s="353"/>
      <c r="H1072" s="353"/>
      <c r="I1072" s="731"/>
      <c r="J1072" s="613"/>
      <c r="K1072" s="613"/>
      <c r="L1072" s="353"/>
      <c r="M1072" s="353"/>
      <c r="N1072" s="353"/>
      <c r="O1072" s="764"/>
      <c r="P1072" s="353"/>
      <c r="Q1072" s="353"/>
      <c r="R1072" s="353"/>
      <c r="S1072" s="353"/>
      <c r="T1072" s="353"/>
      <c r="U1072" s="353"/>
      <c r="V1072" s="731"/>
      <c r="W1072" s="353"/>
      <c r="X1072" s="353"/>
      <c r="Y1072" s="353"/>
      <c r="Z1072" s="731"/>
      <c r="AA1072" s="353"/>
      <c r="AB1072" s="731"/>
      <c r="AC1072" s="731"/>
    </row>
    <row r="1073" ht="13.8" spans="1:29">
      <c r="A1073" s="353"/>
      <c r="B1073" s="613"/>
      <c r="C1073" s="353"/>
      <c r="D1073" s="353"/>
      <c r="E1073" s="353"/>
      <c r="F1073" s="353"/>
      <c r="G1073" s="353"/>
      <c r="H1073" s="353"/>
      <c r="I1073" s="731"/>
      <c r="J1073" s="613"/>
      <c r="K1073" s="613"/>
      <c r="L1073" s="353"/>
      <c r="M1073" s="353"/>
      <c r="N1073" s="353"/>
      <c r="O1073" s="764"/>
      <c r="P1073" s="353"/>
      <c r="Q1073" s="353"/>
      <c r="R1073" s="353"/>
      <c r="S1073" s="353"/>
      <c r="T1073" s="353"/>
      <c r="U1073" s="353"/>
      <c r="V1073" s="731"/>
      <c r="W1073" s="353"/>
      <c r="X1073" s="353"/>
      <c r="Y1073" s="353"/>
      <c r="Z1073" s="731"/>
      <c r="AA1073" s="353"/>
      <c r="AB1073" s="731"/>
      <c r="AC1073" s="731"/>
    </row>
    <row r="1074" ht="13.8" spans="1:29">
      <c r="A1074" s="353"/>
      <c r="B1074" s="613"/>
      <c r="C1074" s="353"/>
      <c r="D1074" s="353"/>
      <c r="E1074" s="353"/>
      <c r="F1074" s="353"/>
      <c r="G1074" s="353"/>
      <c r="H1074" s="353"/>
      <c r="I1074" s="731"/>
      <c r="J1074" s="613"/>
      <c r="K1074" s="613"/>
      <c r="L1074" s="353"/>
      <c r="M1074" s="353"/>
      <c r="N1074" s="353"/>
      <c r="O1074" s="764"/>
      <c r="P1074" s="353"/>
      <c r="Q1074" s="353"/>
      <c r="R1074" s="353"/>
      <c r="S1074" s="353"/>
      <c r="T1074" s="353"/>
      <c r="U1074" s="353"/>
      <c r="V1074" s="731"/>
      <c r="W1074" s="353"/>
      <c r="X1074" s="353"/>
      <c r="Y1074" s="353"/>
      <c r="Z1074" s="731"/>
      <c r="AA1074" s="353"/>
      <c r="AB1074" s="731"/>
      <c r="AC1074" s="731"/>
    </row>
    <row r="1075" ht="13.8" spans="1:29">
      <c r="A1075" s="353"/>
      <c r="B1075" s="613"/>
      <c r="C1075" s="353"/>
      <c r="D1075" s="353"/>
      <c r="E1075" s="353"/>
      <c r="F1075" s="353"/>
      <c r="G1075" s="353"/>
      <c r="H1075" s="353"/>
      <c r="I1075" s="731"/>
      <c r="J1075" s="613"/>
      <c r="K1075" s="613"/>
      <c r="L1075" s="353"/>
      <c r="M1075" s="353"/>
      <c r="N1075" s="353"/>
      <c r="O1075" s="764"/>
      <c r="P1075" s="353"/>
      <c r="Q1075" s="353"/>
      <c r="R1075" s="353"/>
      <c r="S1075" s="353"/>
      <c r="T1075" s="353"/>
      <c r="U1075" s="353"/>
      <c r="V1075" s="731"/>
      <c r="W1075" s="353"/>
      <c r="X1075" s="353"/>
      <c r="Y1075" s="353"/>
      <c r="Z1075" s="731"/>
      <c r="AA1075" s="353"/>
      <c r="AB1075" s="731"/>
      <c r="AC1075" s="731"/>
    </row>
    <row r="1076" ht="13.8" spans="1:29">
      <c r="A1076" s="353"/>
      <c r="B1076" s="613"/>
      <c r="C1076" s="353"/>
      <c r="D1076" s="353"/>
      <c r="E1076" s="353"/>
      <c r="F1076" s="353"/>
      <c r="G1076" s="353"/>
      <c r="H1076" s="353"/>
      <c r="I1076" s="731"/>
      <c r="J1076" s="613"/>
      <c r="K1076" s="613"/>
      <c r="L1076" s="353"/>
      <c r="M1076" s="353"/>
      <c r="N1076" s="353"/>
      <c r="O1076" s="764"/>
      <c r="P1076" s="353"/>
      <c r="Q1076" s="353"/>
      <c r="R1076" s="353"/>
      <c r="S1076" s="353"/>
      <c r="T1076" s="353"/>
      <c r="U1076" s="353"/>
      <c r="V1076" s="731"/>
      <c r="W1076" s="353"/>
      <c r="X1076" s="353"/>
      <c r="Y1076" s="353"/>
      <c r="Z1076" s="731"/>
      <c r="AA1076" s="353"/>
      <c r="AB1076" s="731"/>
      <c r="AC1076" s="731"/>
    </row>
    <row r="1077" ht="13.8" spans="1:29">
      <c r="A1077" s="353"/>
      <c r="B1077" s="613"/>
      <c r="C1077" s="353"/>
      <c r="D1077" s="353"/>
      <c r="E1077" s="353"/>
      <c r="F1077" s="353"/>
      <c r="G1077" s="353"/>
      <c r="H1077" s="353"/>
      <c r="I1077" s="731"/>
      <c r="J1077" s="613"/>
      <c r="K1077" s="613"/>
      <c r="L1077" s="353"/>
      <c r="M1077" s="353"/>
      <c r="N1077" s="353"/>
      <c r="O1077" s="764"/>
      <c r="P1077" s="353"/>
      <c r="Q1077" s="353"/>
      <c r="R1077" s="353"/>
      <c r="S1077" s="353"/>
      <c r="T1077" s="353"/>
      <c r="U1077" s="353"/>
      <c r="V1077" s="731"/>
      <c r="W1077" s="353"/>
      <c r="X1077" s="353"/>
      <c r="Y1077" s="353"/>
      <c r="Z1077" s="731"/>
      <c r="AA1077" s="353"/>
      <c r="AB1077" s="731"/>
      <c r="AC1077" s="731"/>
    </row>
    <row r="1078" ht="13.8" spans="1:29">
      <c r="A1078" s="353"/>
      <c r="B1078" s="613"/>
      <c r="C1078" s="353"/>
      <c r="D1078" s="353"/>
      <c r="E1078" s="353"/>
      <c r="F1078" s="353"/>
      <c r="G1078" s="353"/>
      <c r="H1078" s="353"/>
      <c r="I1078" s="731"/>
      <c r="J1078" s="613"/>
      <c r="K1078" s="613"/>
      <c r="L1078" s="353"/>
      <c r="M1078" s="353"/>
      <c r="N1078" s="353"/>
      <c r="O1078" s="764"/>
      <c r="P1078" s="353"/>
      <c r="Q1078" s="353"/>
      <c r="R1078" s="353"/>
      <c r="S1078" s="353"/>
      <c r="T1078" s="353"/>
      <c r="U1078" s="353"/>
      <c r="V1078" s="731"/>
      <c r="W1078" s="353"/>
      <c r="X1078" s="353"/>
      <c r="Y1078" s="353"/>
      <c r="Z1078" s="731"/>
      <c r="AA1078" s="353"/>
      <c r="AB1078" s="731"/>
      <c r="AC1078" s="731"/>
    </row>
    <row r="1079" ht="13.8" spans="1:29">
      <c r="A1079" s="353"/>
      <c r="B1079" s="613"/>
      <c r="C1079" s="353"/>
      <c r="D1079" s="353"/>
      <c r="E1079" s="353"/>
      <c r="F1079" s="353"/>
      <c r="G1079" s="353"/>
      <c r="H1079" s="353"/>
      <c r="I1079" s="731"/>
      <c r="J1079" s="613"/>
      <c r="K1079" s="613"/>
      <c r="L1079" s="353"/>
      <c r="M1079" s="353"/>
      <c r="N1079" s="353"/>
      <c r="O1079" s="764"/>
      <c r="P1079" s="353"/>
      <c r="Q1079" s="353"/>
      <c r="R1079" s="353"/>
      <c r="S1079" s="353"/>
      <c r="T1079" s="353"/>
      <c r="U1079" s="353"/>
      <c r="V1079" s="731"/>
      <c r="W1079" s="353"/>
      <c r="X1079" s="353"/>
      <c r="Y1079" s="353"/>
      <c r="Z1079" s="731"/>
      <c r="AA1079" s="353"/>
      <c r="AB1079" s="731"/>
      <c r="AC1079" s="731"/>
    </row>
    <row r="1080" ht="13.8" spans="1:29">
      <c r="A1080" s="353"/>
      <c r="B1080" s="613"/>
      <c r="C1080" s="353"/>
      <c r="D1080" s="353"/>
      <c r="E1080" s="353"/>
      <c r="F1080" s="353"/>
      <c r="G1080" s="353"/>
      <c r="H1080" s="353"/>
      <c r="I1080" s="731"/>
      <c r="J1080" s="613"/>
      <c r="K1080" s="613"/>
      <c r="L1080" s="353"/>
      <c r="M1080" s="353"/>
      <c r="N1080" s="353"/>
      <c r="O1080" s="764"/>
      <c r="P1080" s="353"/>
      <c r="Q1080" s="353"/>
      <c r="R1080" s="353"/>
      <c r="S1080" s="353"/>
      <c r="T1080" s="353"/>
      <c r="U1080" s="353"/>
      <c r="V1080" s="731"/>
      <c r="W1080" s="353"/>
      <c r="X1080" s="353"/>
      <c r="Y1080" s="353"/>
      <c r="Z1080" s="731"/>
      <c r="AA1080" s="353"/>
      <c r="AB1080" s="731"/>
      <c r="AC1080" s="731"/>
    </row>
    <row r="1081" ht="13.8" spans="1:29">
      <c r="A1081" s="353"/>
      <c r="B1081" s="613"/>
      <c r="C1081" s="353"/>
      <c r="D1081" s="353"/>
      <c r="E1081" s="353"/>
      <c r="F1081" s="353"/>
      <c r="G1081" s="353"/>
      <c r="H1081" s="353"/>
      <c r="I1081" s="731"/>
      <c r="J1081" s="613"/>
      <c r="K1081" s="613"/>
      <c r="L1081" s="353"/>
      <c r="M1081" s="353"/>
      <c r="N1081" s="353"/>
      <c r="O1081" s="764"/>
      <c r="P1081" s="353"/>
      <c r="Q1081" s="353"/>
      <c r="R1081" s="353"/>
      <c r="S1081" s="353"/>
      <c r="T1081" s="353"/>
      <c r="U1081" s="353"/>
      <c r="V1081" s="731"/>
      <c r="W1081" s="353"/>
      <c r="X1081" s="353"/>
      <c r="Y1081" s="353"/>
      <c r="Z1081" s="731"/>
      <c r="AA1081" s="353"/>
      <c r="AB1081" s="731"/>
      <c r="AC1081" s="731"/>
    </row>
    <row r="1082" ht="13.8" spans="1:29">
      <c r="A1082" s="353"/>
      <c r="B1082" s="613"/>
      <c r="C1082" s="353"/>
      <c r="D1082" s="353"/>
      <c r="E1082" s="353"/>
      <c r="F1082" s="353"/>
      <c r="G1082" s="353"/>
      <c r="H1082" s="353"/>
      <c r="I1082" s="731"/>
      <c r="J1082" s="613"/>
      <c r="K1082" s="613"/>
      <c r="L1082" s="353"/>
      <c r="M1082" s="353"/>
      <c r="N1082" s="353"/>
      <c r="O1082" s="764"/>
      <c r="P1082" s="353"/>
      <c r="Q1082" s="353"/>
      <c r="R1082" s="353"/>
      <c r="S1082" s="353"/>
      <c r="T1082" s="353"/>
      <c r="U1082" s="353"/>
      <c r="V1082" s="731"/>
      <c r="W1082" s="353"/>
      <c r="X1082" s="353"/>
      <c r="Y1082" s="353"/>
      <c r="Z1082" s="731"/>
      <c r="AA1082" s="353"/>
      <c r="AB1082" s="731"/>
      <c r="AC1082" s="731"/>
    </row>
    <row r="1083" ht="13.8" spans="1:29">
      <c r="A1083" s="353"/>
      <c r="B1083" s="613"/>
      <c r="C1083" s="353"/>
      <c r="D1083" s="353"/>
      <c r="E1083" s="353"/>
      <c r="F1083" s="353"/>
      <c r="G1083" s="353"/>
      <c r="H1083" s="353"/>
      <c r="I1083" s="731"/>
      <c r="J1083" s="613"/>
      <c r="K1083" s="613"/>
      <c r="L1083" s="353"/>
      <c r="M1083" s="353"/>
      <c r="N1083" s="353"/>
      <c r="O1083" s="764"/>
      <c r="P1083" s="353"/>
      <c r="Q1083" s="353"/>
      <c r="R1083" s="353"/>
      <c r="S1083" s="353"/>
      <c r="T1083" s="353"/>
      <c r="U1083" s="353"/>
      <c r="V1083" s="731"/>
      <c r="W1083" s="353"/>
      <c r="X1083" s="353"/>
      <c r="Y1083" s="353"/>
      <c r="Z1083" s="731"/>
      <c r="AA1083" s="353"/>
      <c r="AB1083" s="731"/>
      <c r="AC1083" s="731"/>
    </row>
    <row r="1084" ht="13.8" spans="1:29">
      <c r="A1084" s="353"/>
      <c r="B1084" s="613"/>
      <c r="C1084" s="353"/>
      <c r="D1084" s="353"/>
      <c r="E1084" s="353"/>
      <c r="F1084" s="353"/>
      <c r="G1084" s="353"/>
      <c r="H1084" s="353"/>
      <c r="I1084" s="731"/>
      <c r="J1084" s="613"/>
      <c r="K1084" s="613"/>
      <c r="L1084" s="353"/>
      <c r="M1084" s="353"/>
      <c r="N1084" s="353"/>
      <c r="O1084" s="764"/>
      <c r="P1084" s="353"/>
      <c r="Q1084" s="353"/>
      <c r="R1084" s="353"/>
      <c r="S1084" s="353"/>
      <c r="T1084" s="353"/>
      <c r="U1084" s="353"/>
      <c r="V1084" s="731"/>
      <c r="W1084" s="353"/>
      <c r="X1084" s="353"/>
      <c r="Y1084" s="353"/>
      <c r="Z1084" s="731"/>
      <c r="AA1084" s="353"/>
      <c r="AB1084" s="731"/>
      <c r="AC1084" s="731"/>
    </row>
    <row r="1085" ht="13.8" spans="1:29">
      <c r="A1085" s="353"/>
      <c r="B1085" s="613"/>
      <c r="C1085" s="353"/>
      <c r="D1085" s="353"/>
      <c r="E1085" s="353"/>
      <c r="F1085" s="353"/>
      <c r="G1085" s="353"/>
      <c r="H1085" s="353"/>
      <c r="I1085" s="731"/>
      <c r="J1085" s="613"/>
      <c r="K1085" s="613"/>
      <c r="L1085" s="353"/>
      <c r="M1085" s="353"/>
      <c r="N1085" s="353"/>
      <c r="O1085" s="764"/>
      <c r="P1085" s="353"/>
      <c r="Q1085" s="353"/>
      <c r="R1085" s="353"/>
      <c r="S1085" s="353"/>
      <c r="T1085" s="353"/>
      <c r="U1085" s="353"/>
      <c r="V1085" s="731"/>
      <c r="W1085" s="353"/>
      <c r="X1085" s="353"/>
      <c r="Y1085" s="353"/>
      <c r="Z1085" s="731"/>
      <c r="AA1085" s="353"/>
      <c r="AB1085" s="731"/>
      <c r="AC1085" s="731"/>
    </row>
    <row r="1086" ht="13.8" spans="1:29">
      <c r="A1086" s="353"/>
      <c r="B1086" s="613"/>
      <c r="C1086" s="353"/>
      <c r="D1086" s="353"/>
      <c r="E1086" s="353"/>
      <c r="F1086" s="353"/>
      <c r="G1086" s="353"/>
      <c r="H1086" s="353"/>
      <c r="I1086" s="731"/>
      <c r="J1086" s="613"/>
      <c r="K1086" s="613"/>
      <c r="L1086" s="353"/>
      <c r="M1086" s="353"/>
      <c r="N1086" s="353"/>
      <c r="O1086" s="764"/>
      <c r="P1086" s="353"/>
      <c r="Q1086" s="353"/>
      <c r="R1086" s="353"/>
      <c r="S1086" s="353"/>
      <c r="T1086" s="353"/>
      <c r="U1086" s="353"/>
      <c r="V1086" s="731"/>
      <c r="W1086" s="353"/>
      <c r="X1086" s="353"/>
      <c r="Y1086" s="353"/>
      <c r="Z1086" s="731"/>
      <c r="AA1086" s="353"/>
      <c r="AB1086" s="731"/>
      <c r="AC1086" s="731"/>
    </row>
    <row r="1087" ht="13.8" spans="1:29">
      <c r="A1087" s="353"/>
      <c r="B1087" s="613"/>
      <c r="C1087" s="353"/>
      <c r="D1087" s="353"/>
      <c r="E1087" s="353"/>
      <c r="F1087" s="353"/>
      <c r="G1087" s="353"/>
      <c r="H1087" s="353"/>
      <c r="I1087" s="731"/>
      <c r="J1087" s="613"/>
      <c r="K1087" s="613"/>
      <c r="L1087" s="353"/>
      <c r="M1087" s="353"/>
      <c r="N1087" s="353"/>
      <c r="O1087" s="764"/>
      <c r="P1087" s="353"/>
      <c r="Q1087" s="353"/>
      <c r="R1087" s="353"/>
      <c r="S1087" s="353"/>
      <c r="T1087" s="353"/>
      <c r="U1087" s="353"/>
      <c r="V1087" s="731"/>
      <c r="W1087" s="353"/>
      <c r="X1087" s="353"/>
      <c r="Y1087" s="353"/>
      <c r="Z1087" s="731"/>
      <c r="AA1087" s="353"/>
      <c r="AB1087" s="731"/>
      <c r="AC1087" s="731"/>
    </row>
    <row r="1088" ht="13.8" spans="1:29">
      <c r="A1088" s="353"/>
      <c r="B1088" s="613"/>
      <c r="C1088" s="353"/>
      <c r="D1088" s="353"/>
      <c r="E1088" s="353"/>
      <c r="F1088" s="353"/>
      <c r="G1088" s="353"/>
      <c r="H1088" s="353"/>
      <c r="I1088" s="731"/>
      <c r="J1088" s="613"/>
      <c r="K1088" s="613"/>
      <c r="L1088" s="353"/>
      <c r="M1088" s="353"/>
      <c r="N1088" s="353"/>
      <c r="O1088" s="764"/>
      <c r="P1088" s="353"/>
      <c r="Q1088" s="353"/>
      <c r="R1088" s="353"/>
      <c r="S1088" s="353"/>
      <c r="T1088" s="353"/>
      <c r="U1088" s="353"/>
      <c r="V1088" s="731"/>
      <c r="W1088" s="353"/>
      <c r="X1088" s="353"/>
      <c r="Y1088" s="353"/>
      <c r="Z1088" s="731"/>
      <c r="AA1088" s="353"/>
      <c r="AB1088" s="731"/>
      <c r="AC1088" s="731"/>
    </row>
    <row r="1089" ht="13.8" spans="1:29">
      <c r="A1089" s="353"/>
      <c r="B1089" s="613"/>
      <c r="C1089" s="353"/>
      <c r="D1089" s="353"/>
      <c r="E1089" s="353"/>
      <c r="F1089" s="353"/>
      <c r="G1089" s="353"/>
      <c r="H1089" s="353"/>
      <c r="I1089" s="731"/>
      <c r="J1089" s="613"/>
      <c r="K1089" s="613"/>
      <c r="L1089" s="353"/>
      <c r="M1089" s="353"/>
      <c r="N1089" s="353"/>
      <c r="O1089" s="764"/>
      <c r="P1089" s="353"/>
      <c r="Q1089" s="353"/>
      <c r="R1089" s="353"/>
      <c r="S1089" s="353"/>
      <c r="T1089" s="353"/>
      <c r="U1089" s="353"/>
      <c r="V1089" s="731"/>
      <c r="W1089" s="353"/>
      <c r="X1089" s="353"/>
      <c r="Y1089" s="353"/>
      <c r="Z1089" s="731"/>
      <c r="AA1089" s="353"/>
      <c r="AB1089" s="731"/>
      <c r="AC1089" s="731"/>
    </row>
    <row r="1090" ht="13.8" spans="1:29">
      <c r="A1090" s="353"/>
      <c r="B1090" s="613"/>
      <c r="C1090" s="353"/>
      <c r="D1090" s="353"/>
      <c r="E1090" s="353"/>
      <c r="F1090" s="353"/>
      <c r="G1090" s="353"/>
      <c r="H1090" s="353"/>
      <c r="I1090" s="731"/>
      <c r="J1090" s="613"/>
      <c r="K1090" s="613"/>
      <c r="L1090" s="353"/>
      <c r="M1090" s="353"/>
      <c r="N1090" s="353"/>
      <c r="O1090" s="764"/>
      <c r="P1090" s="353"/>
      <c r="Q1090" s="353"/>
      <c r="R1090" s="353"/>
      <c r="S1090" s="353"/>
      <c r="T1090" s="353"/>
      <c r="U1090" s="353"/>
      <c r="V1090" s="731"/>
      <c r="W1090" s="353"/>
      <c r="X1090" s="353"/>
      <c r="Y1090" s="353"/>
      <c r="Z1090" s="731"/>
      <c r="AA1090" s="353"/>
      <c r="AB1090" s="731"/>
      <c r="AC1090" s="731"/>
    </row>
    <row r="1091" ht="13.8" spans="1:29">
      <c r="A1091" s="353"/>
      <c r="B1091" s="613"/>
      <c r="C1091" s="353"/>
      <c r="D1091" s="353"/>
      <c r="E1091" s="353"/>
      <c r="F1091" s="353"/>
      <c r="G1091" s="353"/>
      <c r="H1091" s="353"/>
      <c r="I1091" s="731"/>
      <c r="J1091" s="613"/>
      <c r="K1091" s="613"/>
      <c r="L1091" s="353"/>
      <c r="M1091" s="353"/>
      <c r="N1091" s="353"/>
      <c r="O1091" s="764"/>
      <c r="P1091" s="353"/>
      <c r="Q1091" s="353"/>
      <c r="R1091" s="353"/>
      <c r="S1091" s="353"/>
      <c r="T1091" s="353"/>
      <c r="U1091" s="353"/>
      <c r="V1091" s="731"/>
      <c r="W1091" s="353"/>
      <c r="X1091" s="353"/>
      <c r="Y1091" s="353"/>
      <c r="Z1091" s="731"/>
      <c r="AA1091" s="353"/>
      <c r="AB1091" s="731"/>
      <c r="AC1091" s="731"/>
    </row>
    <row r="1092" ht="13.8" spans="1:29">
      <c r="A1092" s="353"/>
      <c r="B1092" s="613"/>
      <c r="C1092" s="353"/>
      <c r="D1092" s="353"/>
      <c r="E1092" s="353"/>
      <c r="F1092" s="353"/>
      <c r="G1092" s="353"/>
      <c r="H1092" s="353"/>
      <c r="I1092" s="731"/>
      <c r="J1092" s="613"/>
      <c r="K1092" s="613"/>
      <c r="L1092" s="353"/>
      <c r="M1092" s="353"/>
      <c r="N1092" s="353"/>
      <c r="O1092" s="764"/>
      <c r="P1092" s="353"/>
      <c r="Q1092" s="353"/>
      <c r="R1092" s="353"/>
      <c r="S1092" s="353"/>
      <c r="T1092" s="353"/>
      <c r="U1092" s="353"/>
      <c r="V1092" s="731"/>
      <c r="W1092" s="353"/>
      <c r="X1092" s="353"/>
      <c r="Y1092" s="353"/>
      <c r="Z1092" s="731"/>
      <c r="AA1092" s="353"/>
      <c r="AB1092" s="731"/>
      <c r="AC1092" s="731"/>
    </row>
    <row r="1093" ht="13.8" spans="1:29">
      <c r="A1093" s="353"/>
      <c r="B1093" s="613"/>
      <c r="C1093" s="353"/>
      <c r="D1093" s="353"/>
      <c r="E1093" s="353"/>
      <c r="F1093" s="353"/>
      <c r="G1093" s="353"/>
      <c r="H1093" s="353"/>
      <c r="I1093" s="731"/>
      <c r="J1093" s="613"/>
      <c r="K1093" s="613"/>
      <c r="L1093" s="353"/>
      <c r="M1093" s="353"/>
      <c r="N1093" s="353"/>
      <c r="O1093" s="764"/>
      <c r="P1093" s="353"/>
      <c r="Q1093" s="353"/>
      <c r="R1093" s="353"/>
      <c r="S1093" s="353"/>
      <c r="T1093" s="353"/>
      <c r="U1093" s="353"/>
      <c r="V1093" s="731"/>
      <c r="W1093" s="353"/>
      <c r="X1093" s="353"/>
      <c r="Y1093" s="353"/>
      <c r="Z1093" s="731"/>
      <c r="AA1093" s="353"/>
      <c r="AB1093" s="731"/>
      <c r="AC1093" s="731"/>
    </row>
    <row r="1094" ht="13.8" spans="1:29">
      <c r="A1094" s="353"/>
      <c r="B1094" s="613"/>
      <c r="C1094" s="353"/>
      <c r="D1094" s="353"/>
      <c r="E1094" s="353"/>
      <c r="F1094" s="353"/>
      <c r="G1094" s="353"/>
      <c r="H1094" s="353"/>
      <c r="I1094" s="731"/>
      <c r="J1094" s="613"/>
      <c r="K1094" s="613"/>
      <c r="L1094" s="353"/>
      <c r="M1094" s="353"/>
      <c r="N1094" s="353"/>
      <c r="O1094" s="764"/>
      <c r="P1094" s="353"/>
      <c r="Q1094" s="353"/>
      <c r="R1094" s="353"/>
      <c r="S1094" s="353"/>
      <c r="T1094" s="353"/>
      <c r="U1094" s="353"/>
      <c r="V1094" s="731"/>
      <c r="W1094" s="353"/>
      <c r="X1094" s="353"/>
      <c r="Y1094" s="353"/>
      <c r="Z1094" s="731"/>
      <c r="AA1094" s="353"/>
      <c r="AB1094" s="731"/>
      <c r="AC1094" s="731"/>
    </row>
    <row r="1095" ht="13.8" spans="1:29">
      <c r="A1095" s="353"/>
      <c r="B1095" s="613"/>
      <c r="C1095" s="353"/>
      <c r="D1095" s="353"/>
      <c r="E1095" s="353"/>
      <c r="F1095" s="353"/>
      <c r="G1095" s="353"/>
      <c r="H1095" s="353"/>
      <c r="I1095" s="731"/>
      <c r="J1095" s="613"/>
      <c r="K1095" s="613"/>
      <c r="L1095" s="353"/>
      <c r="M1095" s="353"/>
      <c r="N1095" s="353"/>
      <c r="O1095" s="764"/>
      <c r="P1095" s="353"/>
      <c r="Q1095" s="353"/>
      <c r="R1095" s="353"/>
      <c r="S1095" s="353"/>
      <c r="T1095" s="353"/>
      <c r="U1095" s="353"/>
      <c r="V1095" s="731"/>
      <c r="W1095" s="353"/>
      <c r="X1095" s="353"/>
      <c r="Y1095" s="353"/>
      <c r="Z1095" s="731"/>
      <c r="AA1095" s="353"/>
      <c r="AB1095" s="731"/>
      <c r="AC1095" s="731"/>
    </row>
    <row r="1096" ht="13.8" spans="1:29">
      <c r="A1096" s="353"/>
      <c r="B1096" s="613"/>
      <c r="C1096" s="353"/>
      <c r="D1096" s="353"/>
      <c r="E1096" s="353"/>
      <c r="F1096" s="353"/>
      <c r="G1096" s="353"/>
      <c r="H1096" s="353"/>
      <c r="I1096" s="731"/>
      <c r="J1096" s="613"/>
      <c r="K1096" s="613"/>
      <c r="L1096" s="353"/>
      <c r="M1096" s="353"/>
      <c r="N1096" s="353"/>
      <c r="O1096" s="764"/>
      <c r="P1096" s="353"/>
      <c r="Q1096" s="353"/>
      <c r="R1096" s="353"/>
      <c r="S1096" s="353"/>
      <c r="T1096" s="353"/>
      <c r="U1096" s="353"/>
      <c r="V1096" s="731"/>
      <c r="W1096" s="353"/>
      <c r="X1096" s="353"/>
      <c r="Y1096" s="353"/>
      <c r="Z1096" s="731"/>
      <c r="AA1096" s="353"/>
      <c r="AB1096" s="731"/>
      <c r="AC1096" s="731"/>
    </row>
    <row r="1097" ht="13.8" spans="1:29">
      <c r="A1097" s="353"/>
      <c r="B1097" s="613"/>
      <c r="C1097" s="353"/>
      <c r="D1097" s="353"/>
      <c r="E1097" s="353"/>
      <c r="F1097" s="353"/>
      <c r="G1097" s="353"/>
      <c r="H1097" s="353"/>
      <c r="I1097" s="731"/>
      <c r="J1097" s="613"/>
      <c r="K1097" s="613"/>
      <c r="L1097" s="353"/>
      <c r="M1097" s="353"/>
      <c r="N1097" s="353"/>
      <c r="O1097" s="764"/>
      <c r="P1097" s="353"/>
      <c r="Q1097" s="353"/>
      <c r="R1097" s="353"/>
      <c r="S1097" s="353"/>
      <c r="T1097" s="353"/>
      <c r="U1097" s="353"/>
      <c r="V1097" s="731"/>
      <c r="W1097" s="353"/>
      <c r="X1097" s="353"/>
      <c r="Y1097" s="353"/>
      <c r="Z1097" s="731"/>
      <c r="AA1097" s="353"/>
      <c r="AB1097" s="731"/>
      <c r="AC1097" s="731"/>
    </row>
    <row r="1098" ht="13.8" spans="1:29">
      <c r="A1098" s="353"/>
      <c r="B1098" s="613"/>
      <c r="C1098" s="353"/>
      <c r="D1098" s="353"/>
      <c r="E1098" s="353"/>
      <c r="F1098" s="353"/>
      <c r="G1098" s="353"/>
      <c r="H1098" s="353"/>
      <c r="I1098" s="731"/>
      <c r="J1098" s="613"/>
      <c r="K1098" s="613"/>
      <c r="L1098" s="353"/>
      <c r="M1098" s="353"/>
      <c r="N1098" s="353"/>
      <c r="O1098" s="764"/>
      <c r="P1098" s="353"/>
      <c r="Q1098" s="353"/>
      <c r="R1098" s="353"/>
      <c r="S1098" s="353"/>
      <c r="T1098" s="353"/>
      <c r="U1098" s="353"/>
      <c r="V1098" s="731"/>
      <c r="W1098" s="353"/>
      <c r="X1098" s="353"/>
      <c r="Y1098" s="353"/>
      <c r="Z1098" s="731"/>
      <c r="AA1098" s="353"/>
      <c r="AB1098" s="731"/>
      <c r="AC1098" s="731"/>
    </row>
    <row r="1099" ht="13.8" spans="1:29">
      <c r="A1099" s="353"/>
      <c r="B1099" s="613"/>
      <c r="C1099" s="353"/>
      <c r="D1099" s="353"/>
      <c r="E1099" s="353"/>
      <c r="F1099" s="353"/>
      <c r="G1099" s="353"/>
      <c r="H1099" s="353"/>
      <c r="I1099" s="731"/>
      <c r="J1099" s="613"/>
      <c r="K1099" s="613"/>
      <c r="L1099" s="353"/>
      <c r="M1099" s="353"/>
      <c r="N1099" s="353"/>
      <c r="O1099" s="764"/>
      <c r="P1099" s="353"/>
      <c r="Q1099" s="353"/>
      <c r="R1099" s="353"/>
      <c r="S1099" s="353"/>
      <c r="T1099" s="353"/>
      <c r="U1099" s="353"/>
      <c r="V1099" s="731"/>
      <c r="W1099" s="353"/>
      <c r="X1099" s="353"/>
      <c r="Y1099" s="353"/>
      <c r="Z1099" s="731"/>
      <c r="AA1099" s="353"/>
      <c r="AB1099" s="731"/>
      <c r="AC1099" s="731"/>
    </row>
    <row r="1100" ht="13.8" spans="1:29">
      <c r="A1100" s="353"/>
      <c r="B1100" s="613"/>
      <c r="C1100" s="353"/>
      <c r="D1100" s="353"/>
      <c r="E1100" s="353"/>
      <c r="F1100" s="353"/>
      <c r="G1100" s="353"/>
      <c r="H1100" s="353"/>
      <c r="I1100" s="731"/>
      <c r="J1100" s="613"/>
      <c r="K1100" s="613"/>
      <c r="L1100" s="353"/>
      <c r="M1100" s="353"/>
      <c r="N1100" s="353"/>
      <c r="O1100" s="764"/>
      <c r="P1100" s="353"/>
      <c r="Q1100" s="353"/>
      <c r="R1100" s="353"/>
      <c r="S1100" s="353"/>
      <c r="T1100" s="353"/>
      <c r="U1100" s="353"/>
      <c r="V1100" s="731"/>
      <c r="W1100" s="353"/>
      <c r="X1100" s="353"/>
      <c r="Y1100" s="353"/>
      <c r="Z1100" s="731"/>
      <c r="AA1100" s="353"/>
      <c r="AB1100" s="731"/>
      <c r="AC1100" s="731"/>
    </row>
    <row r="1101" ht="13.8" spans="1:29">
      <c r="A1101" s="353"/>
      <c r="B1101" s="613"/>
      <c r="C1101" s="353"/>
      <c r="D1101" s="353"/>
      <c r="E1101" s="353"/>
      <c r="F1101" s="353"/>
      <c r="G1101" s="353"/>
      <c r="H1101" s="353"/>
      <c r="I1101" s="731"/>
      <c r="J1101" s="613"/>
      <c r="K1101" s="613"/>
      <c r="L1101" s="353"/>
      <c r="M1101" s="353"/>
      <c r="N1101" s="353"/>
      <c r="O1101" s="764"/>
      <c r="P1101" s="353"/>
      <c r="Q1101" s="353"/>
      <c r="R1101" s="353"/>
      <c r="S1101" s="353"/>
      <c r="T1101" s="353"/>
      <c r="U1101" s="353"/>
      <c r="V1101" s="731"/>
      <c r="W1101" s="353"/>
      <c r="X1101" s="353"/>
      <c r="Y1101" s="353"/>
      <c r="Z1101" s="731"/>
      <c r="AA1101" s="353"/>
      <c r="AB1101" s="731"/>
      <c r="AC1101" s="731"/>
    </row>
    <row r="1102" ht="13.8" spans="1:29">
      <c r="A1102" s="353"/>
      <c r="B1102" s="613"/>
      <c r="C1102" s="353"/>
      <c r="D1102" s="353"/>
      <c r="E1102" s="353"/>
      <c r="F1102" s="353"/>
      <c r="G1102" s="353"/>
      <c r="H1102" s="353"/>
      <c r="I1102" s="731"/>
      <c r="J1102" s="613"/>
      <c r="K1102" s="613"/>
      <c r="L1102" s="353"/>
      <c r="M1102" s="353"/>
      <c r="N1102" s="353"/>
      <c r="O1102" s="764"/>
      <c r="P1102" s="353"/>
      <c r="Q1102" s="353"/>
      <c r="R1102" s="353"/>
      <c r="S1102" s="353"/>
      <c r="T1102" s="353"/>
      <c r="U1102" s="353"/>
      <c r="V1102" s="731"/>
      <c r="W1102" s="353"/>
      <c r="X1102" s="353"/>
      <c r="Y1102" s="353"/>
      <c r="Z1102" s="731"/>
      <c r="AA1102" s="353"/>
      <c r="AB1102" s="731"/>
      <c r="AC1102" s="731"/>
    </row>
    <row r="1103" ht="13.8" spans="1:29">
      <c r="A1103" s="353"/>
      <c r="B1103" s="613"/>
      <c r="C1103" s="353"/>
      <c r="D1103" s="353"/>
      <c r="E1103" s="353"/>
      <c r="F1103" s="353"/>
      <c r="G1103" s="353"/>
      <c r="H1103" s="353"/>
      <c r="I1103" s="731"/>
      <c r="J1103" s="613"/>
      <c r="K1103" s="613"/>
      <c r="L1103" s="353"/>
      <c r="M1103" s="353"/>
      <c r="N1103" s="353"/>
      <c r="O1103" s="764"/>
      <c r="P1103" s="353"/>
      <c r="Q1103" s="353"/>
      <c r="R1103" s="353"/>
      <c r="S1103" s="353"/>
      <c r="T1103" s="353"/>
      <c r="U1103" s="353"/>
      <c r="V1103" s="731"/>
      <c r="W1103" s="353"/>
      <c r="X1103" s="353"/>
      <c r="Y1103" s="353"/>
      <c r="Z1103" s="731"/>
      <c r="AA1103" s="353"/>
      <c r="AB1103" s="731"/>
      <c r="AC1103" s="731"/>
    </row>
    <row r="1104" ht="13.8" spans="1:29">
      <c r="A1104" s="353"/>
      <c r="B1104" s="613"/>
      <c r="C1104" s="353"/>
      <c r="D1104" s="353"/>
      <c r="E1104" s="353"/>
      <c r="F1104" s="353"/>
      <c r="G1104" s="353"/>
      <c r="H1104" s="353"/>
      <c r="I1104" s="731"/>
      <c r="J1104" s="613"/>
      <c r="K1104" s="613"/>
      <c r="L1104" s="353"/>
      <c r="M1104" s="353"/>
      <c r="N1104" s="353"/>
      <c r="O1104" s="764"/>
      <c r="P1104" s="353"/>
      <c r="Q1104" s="353"/>
      <c r="R1104" s="353"/>
      <c r="S1104" s="353"/>
      <c r="T1104" s="353"/>
      <c r="U1104" s="353"/>
      <c r="V1104" s="731"/>
      <c r="W1104" s="353"/>
      <c r="X1104" s="353"/>
      <c r="Y1104" s="353"/>
      <c r="Z1104" s="731"/>
      <c r="AA1104" s="353"/>
      <c r="AB1104" s="731"/>
      <c r="AC1104" s="731"/>
    </row>
    <row r="1105" ht="13.8" spans="1:29">
      <c r="A1105" s="353"/>
      <c r="B1105" s="613"/>
      <c r="C1105" s="353"/>
      <c r="D1105" s="353"/>
      <c r="E1105" s="353"/>
      <c r="F1105" s="353"/>
      <c r="G1105" s="353"/>
      <c r="H1105" s="353"/>
      <c r="I1105" s="731"/>
      <c r="J1105" s="613"/>
      <c r="K1105" s="613"/>
      <c r="L1105" s="353"/>
      <c r="M1105" s="353"/>
      <c r="N1105" s="353"/>
      <c r="O1105" s="764"/>
      <c r="P1105" s="353"/>
      <c r="Q1105" s="353"/>
      <c r="R1105" s="353"/>
      <c r="S1105" s="353"/>
      <c r="T1105" s="353"/>
      <c r="U1105" s="353"/>
      <c r="V1105" s="731"/>
      <c r="W1105" s="353"/>
      <c r="X1105" s="353"/>
      <c r="Y1105" s="353"/>
      <c r="Z1105" s="731"/>
      <c r="AA1105" s="353"/>
      <c r="AB1105" s="731"/>
      <c r="AC1105" s="731"/>
    </row>
    <row r="1106" ht="13.8" spans="1:29">
      <c r="A1106" s="353"/>
      <c r="B1106" s="613"/>
      <c r="C1106" s="353"/>
      <c r="D1106" s="353"/>
      <c r="E1106" s="353"/>
      <c r="F1106" s="353"/>
      <c r="G1106" s="353"/>
      <c r="H1106" s="353"/>
      <c r="I1106" s="731"/>
      <c r="J1106" s="613"/>
      <c r="K1106" s="613"/>
      <c r="L1106" s="353"/>
      <c r="M1106" s="353"/>
      <c r="N1106" s="353"/>
      <c r="O1106" s="764"/>
      <c r="P1106" s="353"/>
      <c r="Q1106" s="353"/>
      <c r="R1106" s="353"/>
      <c r="S1106" s="353"/>
      <c r="T1106" s="353"/>
      <c r="U1106" s="353"/>
      <c r="V1106" s="731"/>
      <c r="W1106" s="353"/>
      <c r="X1106" s="353"/>
      <c r="Y1106" s="353"/>
      <c r="Z1106" s="731"/>
      <c r="AA1106" s="353"/>
      <c r="AB1106" s="731"/>
      <c r="AC1106" s="731"/>
    </row>
    <row r="1107" ht="13.8" spans="1:29">
      <c r="A1107" s="353"/>
      <c r="B1107" s="613"/>
      <c r="C1107" s="353"/>
      <c r="D1107" s="353"/>
      <c r="E1107" s="353"/>
      <c r="F1107" s="353"/>
      <c r="G1107" s="353"/>
      <c r="H1107" s="353"/>
      <c r="I1107" s="731"/>
      <c r="J1107" s="613"/>
      <c r="K1107" s="613"/>
      <c r="L1107" s="353"/>
      <c r="M1107" s="353"/>
      <c r="N1107" s="353"/>
      <c r="O1107" s="764"/>
      <c r="P1107" s="353"/>
      <c r="Q1107" s="353"/>
      <c r="R1107" s="353"/>
      <c r="S1107" s="353"/>
      <c r="T1107" s="353"/>
      <c r="U1107" s="353"/>
      <c r="V1107" s="731"/>
      <c r="W1107" s="353"/>
      <c r="X1107" s="353"/>
      <c r="Y1107" s="353"/>
      <c r="Z1107" s="731"/>
      <c r="AA1107" s="353"/>
      <c r="AB1107" s="731"/>
      <c r="AC1107" s="731"/>
    </row>
    <row r="1108" ht="13.8" spans="1:29">
      <c r="A1108" s="353"/>
      <c r="B1108" s="613"/>
      <c r="C1108" s="353"/>
      <c r="D1108" s="353"/>
      <c r="E1108" s="353"/>
      <c r="F1108" s="353"/>
      <c r="G1108" s="353"/>
      <c r="H1108" s="353"/>
      <c r="I1108" s="731"/>
      <c r="J1108" s="613"/>
      <c r="K1108" s="613"/>
      <c r="L1108" s="353"/>
      <c r="M1108" s="353"/>
      <c r="N1108" s="353"/>
      <c r="O1108" s="764"/>
      <c r="P1108" s="353"/>
      <c r="Q1108" s="353"/>
      <c r="R1108" s="353"/>
      <c r="S1108" s="353"/>
      <c r="T1108" s="353"/>
      <c r="U1108" s="353"/>
      <c r="V1108" s="731"/>
      <c r="W1108" s="353"/>
      <c r="X1108" s="353"/>
      <c r="Y1108" s="353"/>
      <c r="Z1108" s="731"/>
      <c r="AA1108" s="353"/>
      <c r="AB1108" s="731"/>
      <c r="AC1108" s="731"/>
    </row>
    <row r="1109" ht="13.8" spans="1:29">
      <c r="A1109" s="353"/>
      <c r="B1109" s="613"/>
      <c r="C1109" s="353"/>
      <c r="D1109" s="353"/>
      <c r="E1109" s="353"/>
      <c r="F1109" s="353"/>
      <c r="G1109" s="353"/>
      <c r="H1109" s="353"/>
      <c r="I1109" s="731"/>
      <c r="J1109" s="613"/>
      <c r="K1109" s="613"/>
      <c r="L1109" s="353"/>
      <c r="M1109" s="353"/>
      <c r="N1109" s="353"/>
      <c r="O1109" s="764"/>
      <c r="P1109" s="353"/>
      <c r="Q1109" s="353"/>
      <c r="R1109" s="353"/>
      <c r="S1109" s="353"/>
      <c r="T1109" s="353"/>
      <c r="U1109" s="353"/>
      <c r="V1109" s="731"/>
      <c r="W1109" s="353"/>
      <c r="X1109" s="353"/>
      <c r="Y1109" s="353"/>
      <c r="Z1109" s="731"/>
      <c r="AA1109" s="353"/>
      <c r="AB1109" s="731"/>
      <c r="AC1109" s="731"/>
    </row>
    <row r="1110" ht="13.8" spans="1:29">
      <c r="A1110" s="353"/>
      <c r="B1110" s="613"/>
      <c r="C1110" s="353"/>
      <c r="D1110" s="353"/>
      <c r="E1110" s="353"/>
      <c r="F1110" s="353"/>
      <c r="G1110" s="353"/>
      <c r="H1110" s="353"/>
      <c r="I1110" s="731"/>
      <c r="J1110" s="613"/>
      <c r="K1110" s="613"/>
      <c r="L1110" s="353"/>
      <c r="M1110" s="353"/>
      <c r="N1110" s="353"/>
      <c r="O1110" s="764"/>
      <c r="P1110" s="353"/>
      <c r="Q1110" s="353"/>
      <c r="R1110" s="353"/>
      <c r="S1110" s="353"/>
      <c r="T1110" s="353"/>
      <c r="U1110" s="353"/>
      <c r="V1110" s="731"/>
      <c r="W1110" s="353"/>
      <c r="X1110" s="353"/>
      <c r="Y1110" s="353"/>
      <c r="Z1110" s="731"/>
      <c r="AA1110" s="353"/>
      <c r="AB1110" s="731"/>
      <c r="AC1110" s="731"/>
    </row>
    <row r="1111" ht="13.8" spans="1:29">
      <c r="A1111" s="353"/>
      <c r="B1111" s="613"/>
      <c r="C1111" s="353"/>
      <c r="D1111" s="353"/>
      <c r="E1111" s="353"/>
      <c r="F1111" s="353"/>
      <c r="G1111" s="353"/>
      <c r="H1111" s="353"/>
      <c r="I1111" s="731"/>
      <c r="J1111" s="613"/>
      <c r="K1111" s="613"/>
      <c r="L1111" s="353"/>
      <c r="M1111" s="353"/>
      <c r="N1111" s="353"/>
      <c r="O1111" s="764"/>
      <c r="P1111" s="353"/>
      <c r="Q1111" s="353"/>
      <c r="R1111" s="353"/>
      <c r="S1111" s="353"/>
      <c r="T1111" s="353"/>
      <c r="U1111" s="353"/>
      <c r="V1111" s="731"/>
      <c r="W1111" s="353"/>
      <c r="X1111" s="353"/>
      <c r="Y1111" s="353"/>
      <c r="Z1111" s="731"/>
      <c r="AA1111" s="353"/>
      <c r="AB1111" s="731"/>
      <c r="AC1111" s="731"/>
    </row>
    <row r="1112" ht="13.8" spans="1:29">
      <c r="A1112" s="353"/>
      <c r="B1112" s="613"/>
      <c r="C1112" s="353"/>
      <c r="D1112" s="353"/>
      <c r="E1112" s="353"/>
      <c r="F1112" s="353"/>
      <c r="G1112" s="353"/>
      <c r="H1112" s="353"/>
      <c r="I1112" s="731"/>
      <c r="J1112" s="613"/>
      <c r="K1112" s="613"/>
      <c r="L1112" s="353"/>
      <c r="M1112" s="353"/>
      <c r="N1112" s="353"/>
      <c r="O1112" s="764"/>
      <c r="P1112" s="353"/>
      <c r="Q1112" s="353"/>
      <c r="R1112" s="353"/>
      <c r="S1112" s="353"/>
      <c r="T1112" s="353"/>
      <c r="U1112" s="353"/>
      <c r="V1112" s="731"/>
      <c r="W1112" s="353"/>
      <c r="X1112" s="353"/>
      <c r="Y1112" s="353"/>
      <c r="Z1112" s="731"/>
      <c r="AA1112" s="353"/>
      <c r="AB1112" s="731"/>
      <c r="AC1112" s="731"/>
    </row>
    <row r="1113" ht="13.8" spans="1:29">
      <c r="A1113" s="353"/>
      <c r="B1113" s="613"/>
      <c r="C1113" s="353"/>
      <c r="D1113" s="353"/>
      <c r="E1113" s="353"/>
      <c r="F1113" s="353"/>
      <c r="G1113" s="353"/>
      <c r="H1113" s="353"/>
      <c r="I1113" s="731"/>
      <c r="J1113" s="613"/>
      <c r="K1113" s="613"/>
      <c r="L1113" s="353"/>
      <c r="M1113" s="353"/>
      <c r="N1113" s="353"/>
      <c r="O1113" s="764"/>
      <c r="P1113" s="353"/>
      <c r="Q1113" s="353"/>
      <c r="R1113" s="353"/>
      <c r="S1113" s="353"/>
      <c r="T1113" s="353"/>
      <c r="U1113" s="353"/>
      <c r="V1113" s="731"/>
      <c r="W1113" s="353"/>
      <c r="X1113" s="353"/>
      <c r="Y1113" s="353"/>
      <c r="Z1113" s="731"/>
      <c r="AA1113" s="353"/>
      <c r="AB1113" s="731"/>
      <c r="AC1113" s="731"/>
    </row>
    <row r="1114" ht="13.8" spans="1:29">
      <c r="A1114" s="353"/>
      <c r="B1114" s="613"/>
      <c r="C1114" s="353"/>
      <c r="D1114" s="353"/>
      <c r="E1114" s="353"/>
      <c r="F1114" s="353"/>
      <c r="G1114" s="353"/>
      <c r="H1114" s="353"/>
      <c r="I1114" s="731"/>
      <c r="J1114" s="613"/>
      <c r="K1114" s="613"/>
      <c r="L1114" s="353"/>
      <c r="M1114" s="353"/>
      <c r="N1114" s="353"/>
      <c r="O1114" s="764"/>
      <c r="P1114" s="353"/>
      <c r="Q1114" s="353"/>
      <c r="R1114" s="353"/>
      <c r="S1114" s="353"/>
      <c r="T1114" s="353"/>
      <c r="U1114" s="353"/>
      <c r="V1114" s="731"/>
      <c r="W1114" s="353"/>
      <c r="X1114" s="353"/>
      <c r="Y1114" s="353"/>
      <c r="Z1114" s="731"/>
      <c r="AA1114" s="353"/>
      <c r="AB1114" s="731"/>
      <c r="AC1114" s="731"/>
    </row>
    <row r="1115" ht="13.8" spans="1:29">
      <c r="A1115" s="353"/>
      <c r="B1115" s="613"/>
      <c r="C1115" s="353"/>
      <c r="D1115" s="353"/>
      <c r="E1115" s="353"/>
      <c r="F1115" s="353"/>
      <c r="G1115" s="353"/>
      <c r="H1115" s="353"/>
      <c r="I1115" s="731"/>
      <c r="J1115" s="613"/>
      <c r="K1115" s="613"/>
      <c r="L1115" s="353"/>
      <c r="M1115" s="353"/>
      <c r="N1115" s="353"/>
      <c r="O1115" s="764"/>
      <c r="P1115" s="353"/>
      <c r="Q1115" s="353"/>
      <c r="R1115" s="353"/>
      <c r="S1115" s="353"/>
      <c r="T1115" s="353"/>
      <c r="U1115" s="353"/>
      <c r="V1115" s="731"/>
      <c r="W1115" s="353"/>
      <c r="X1115" s="353"/>
      <c r="Y1115" s="353"/>
      <c r="Z1115" s="731"/>
      <c r="AA1115" s="353"/>
      <c r="AB1115" s="731"/>
      <c r="AC1115" s="731"/>
    </row>
    <row r="1116" ht="13.8" spans="1:29">
      <c r="A1116" s="353"/>
      <c r="B1116" s="613"/>
      <c r="C1116" s="353"/>
      <c r="D1116" s="353"/>
      <c r="E1116" s="353"/>
      <c r="F1116" s="353"/>
      <c r="G1116" s="353"/>
      <c r="H1116" s="353"/>
      <c r="I1116" s="731"/>
      <c r="J1116" s="613"/>
      <c r="K1116" s="613"/>
      <c r="L1116" s="353"/>
      <c r="M1116" s="353"/>
      <c r="N1116" s="353"/>
      <c r="O1116" s="764"/>
      <c r="P1116" s="353"/>
      <c r="Q1116" s="353"/>
      <c r="R1116" s="353"/>
      <c r="S1116" s="353"/>
      <c r="T1116" s="353"/>
      <c r="U1116" s="353"/>
      <c r="V1116" s="731"/>
      <c r="W1116" s="353"/>
      <c r="X1116" s="353"/>
      <c r="Y1116" s="353"/>
      <c r="Z1116" s="731"/>
      <c r="AA1116" s="353"/>
      <c r="AB1116" s="731"/>
      <c r="AC1116" s="731"/>
    </row>
    <row r="1117" ht="13.8" spans="1:29">
      <c r="A1117" s="353"/>
      <c r="B1117" s="613"/>
      <c r="C1117" s="353"/>
      <c r="D1117" s="353"/>
      <c r="E1117" s="353"/>
      <c r="F1117" s="353"/>
      <c r="G1117" s="353"/>
      <c r="H1117" s="353"/>
      <c r="I1117" s="731"/>
      <c r="J1117" s="613"/>
      <c r="K1117" s="613"/>
      <c r="L1117" s="353"/>
      <c r="M1117" s="353"/>
      <c r="N1117" s="353"/>
      <c r="O1117" s="764"/>
      <c r="P1117" s="353"/>
      <c r="Q1117" s="353"/>
      <c r="R1117" s="353"/>
      <c r="S1117" s="353"/>
      <c r="T1117" s="353"/>
      <c r="U1117" s="353"/>
      <c r="V1117" s="731"/>
      <c r="W1117" s="353"/>
      <c r="X1117" s="353"/>
      <c r="Y1117" s="353"/>
      <c r="Z1117" s="731"/>
      <c r="AA1117" s="353"/>
      <c r="AB1117" s="731"/>
      <c r="AC1117" s="731"/>
    </row>
    <row r="1118" ht="13.8" spans="1:29">
      <c r="A1118" s="353"/>
      <c r="B1118" s="613"/>
      <c r="C1118" s="353"/>
      <c r="D1118" s="353"/>
      <c r="E1118" s="353"/>
      <c r="F1118" s="353"/>
      <c r="G1118" s="353"/>
      <c r="H1118" s="353"/>
      <c r="I1118" s="731"/>
      <c r="J1118" s="613"/>
      <c r="K1118" s="613"/>
      <c r="L1118" s="353"/>
      <c r="M1118" s="353"/>
      <c r="N1118" s="353"/>
      <c r="O1118" s="764"/>
      <c r="P1118" s="353"/>
      <c r="Q1118" s="353"/>
      <c r="R1118" s="353"/>
      <c r="S1118" s="353"/>
      <c r="T1118" s="353"/>
      <c r="U1118" s="353"/>
      <c r="V1118" s="731"/>
      <c r="W1118" s="353"/>
      <c r="X1118" s="353"/>
      <c r="Y1118" s="353"/>
      <c r="Z1118" s="731"/>
      <c r="AA1118" s="353"/>
      <c r="AB1118" s="731"/>
      <c r="AC1118" s="731"/>
    </row>
    <row r="1119" ht="13.8" spans="1:29">
      <c r="A1119" s="353"/>
      <c r="B1119" s="613"/>
      <c r="C1119" s="353"/>
      <c r="D1119" s="353"/>
      <c r="E1119" s="353"/>
      <c r="F1119" s="353"/>
      <c r="G1119" s="353"/>
      <c r="H1119" s="353"/>
      <c r="I1119" s="731"/>
      <c r="J1119" s="613"/>
      <c r="K1119" s="613"/>
      <c r="L1119" s="353"/>
      <c r="M1119" s="353"/>
      <c r="N1119" s="353"/>
      <c r="O1119" s="764"/>
      <c r="P1119" s="353"/>
      <c r="Q1119" s="353"/>
      <c r="R1119" s="353"/>
      <c r="S1119" s="353"/>
      <c r="T1119" s="353"/>
      <c r="U1119" s="353"/>
      <c r="V1119" s="731"/>
      <c r="W1119" s="353"/>
      <c r="X1119" s="353"/>
      <c r="Y1119" s="353"/>
      <c r="Z1119" s="731"/>
      <c r="AA1119" s="353"/>
      <c r="AB1119" s="731"/>
      <c r="AC1119" s="731"/>
    </row>
    <row r="1120" ht="13.8" spans="1:29">
      <c r="A1120" s="353"/>
      <c r="B1120" s="613"/>
      <c r="C1120" s="353"/>
      <c r="D1120" s="353"/>
      <c r="E1120" s="353"/>
      <c r="F1120" s="353"/>
      <c r="G1120" s="353"/>
      <c r="H1120" s="353"/>
      <c r="I1120" s="731"/>
      <c r="J1120" s="613"/>
      <c r="K1120" s="613"/>
      <c r="L1120" s="353"/>
      <c r="M1120" s="353"/>
      <c r="N1120" s="353"/>
      <c r="O1120" s="764"/>
      <c r="P1120" s="353"/>
      <c r="Q1120" s="353"/>
      <c r="R1120" s="353"/>
      <c r="S1120" s="353"/>
      <c r="T1120" s="353"/>
      <c r="U1120" s="353"/>
      <c r="V1120" s="731"/>
      <c r="W1120" s="353"/>
      <c r="X1120" s="353"/>
      <c r="Y1120" s="353"/>
      <c r="Z1120" s="731"/>
      <c r="AA1120" s="353"/>
      <c r="AB1120" s="731"/>
      <c r="AC1120" s="731"/>
    </row>
    <row r="1121" ht="13.8" spans="1:29">
      <c r="A1121" s="353"/>
      <c r="B1121" s="613"/>
      <c r="C1121" s="353"/>
      <c r="D1121" s="353"/>
      <c r="E1121" s="353"/>
      <c r="F1121" s="353"/>
      <c r="G1121" s="353"/>
      <c r="H1121" s="353"/>
      <c r="I1121" s="731"/>
      <c r="J1121" s="613"/>
      <c r="K1121" s="613"/>
      <c r="L1121" s="353"/>
      <c r="M1121" s="353"/>
      <c r="N1121" s="353"/>
      <c r="O1121" s="764"/>
      <c r="P1121" s="353"/>
      <c r="Q1121" s="353"/>
      <c r="R1121" s="353"/>
      <c r="S1121" s="353"/>
      <c r="T1121" s="353"/>
      <c r="U1121" s="353"/>
      <c r="V1121" s="731"/>
      <c r="W1121" s="353"/>
      <c r="X1121" s="353"/>
      <c r="Y1121" s="353"/>
      <c r="Z1121" s="731"/>
      <c r="AA1121" s="353"/>
      <c r="AB1121" s="731"/>
      <c r="AC1121" s="731"/>
    </row>
    <row r="1122" ht="13.8" spans="1:29">
      <c r="A1122" s="353"/>
      <c r="B1122" s="613"/>
      <c r="C1122" s="353"/>
      <c r="D1122" s="353"/>
      <c r="E1122" s="353"/>
      <c r="F1122" s="353"/>
      <c r="G1122" s="353"/>
      <c r="H1122" s="353"/>
      <c r="I1122" s="731"/>
      <c r="J1122" s="613"/>
      <c r="K1122" s="613"/>
      <c r="L1122" s="353"/>
      <c r="M1122" s="353"/>
      <c r="N1122" s="353"/>
      <c r="O1122" s="764"/>
      <c r="P1122" s="353"/>
      <c r="Q1122" s="353"/>
      <c r="R1122" s="353"/>
      <c r="S1122" s="353"/>
      <c r="T1122" s="353"/>
      <c r="U1122" s="353"/>
      <c r="V1122" s="731"/>
      <c r="W1122" s="353"/>
      <c r="X1122" s="353"/>
      <c r="Y1122" s="353"/>
      <c r="Z1122" s="731"/>
      <c r="AA1122" s="353"/>
      <c r="AB1122" s="731"/>
      <c r="AC1122" s="731"/>
    </row>
    <row r="1123" ht="13.8" spans="1:29">
      <c r="A1123" s="353"/>
      <c r="B1123" s="613"/>
      <c r="C1123" s="353"/>
      <c r="D1123" s="353"/>
      <c r="E1123" s="353"/>
      <c r="F1123" s="353"/>
      <c r="G1123" s="353"/>
      <c r="H1123" s="353"/>
      <c r="I1123" s="731"/>
      <c r="J1123" s="613"/>
      <c r="K1123" s="613"/>
      <c r="L1123" s="353"/>
      <c r="M1123" s="353"/>
      <c r="N1123" s="353"/>
      <c r="O1123" s="764"/>
      <c r="P1123" s="353"/>
      <c r="Q1123" s="353"/>
      <c r="R1123" s="353"/>
      <c r="S1123" s="353"/>
      <c r="T1123" s="353"/>
      <c r="U1123" s="353"/>
      <c r="V1123" s="731"/>
      <c r="W1123" s="353"/>
      <c r="X1123" s="353"/>
      <c r="Y1123" s="353"/>
      <c r="Z1123" s="731"/>
      <c r="AA1123" s="353"/>
      <c r="AB1123" s="731"/>
      <c r="AC1123" s="731"/>
    </row>
    <row r="1124" ht="13.8" spans="1:29">
      <c r="A1124" s="353"/>
      <c r="B1124" s="613"/>
      <c r="C1124" s="353"/>
      <c r="D1124" s="353"/>
      <c r="E1124" s="353"/>
      <c r="F1124" s="353"/>
      <c r="G1124" s="353"/>
      <c r="H1124" s="353"/>
      <c r="I1124" s="731"/>
      <c r="J1124" s="613"/>
      <c r="K1124" s="613"/>
      <c r="L1124" s="353"/>
      <c r="M1124" s="353"/>
      <c r="N1124" s="353"/>
      <c r="O1124" s="764"/>
      <c r="P1124" s="353"/>
      <c r="Q1124" s="353"/>
      <c r="R1124" s="353"/>
      <c r="S1124" s="353"/>
      <c r="T1124" s="353"/>
      <c r="U1124" s="353"/>
      <c r="V1124" s="731"/>
      <c r="W1124" s="353"/>
      <c r="X1124" s="353"/>
      <c r="Y1124" s="353"/>
      <c r="Z1124" s="731"/>
      <c r="AA1124" s="353"/>
      <c r="AB1124" s="731"/>
      <c r="AC1124" s="731"/>
    </row>
    <row r="1125" ht="13.8" spans="1:29">
      <c r="A1125" s="353"/>
      <c r="B1125" s="613"/>
      <c r="C1125" s="353"/>
      <c r="D1125" s="353"/>
      <c r="E1125" s="353"/>
      <c r="F1125" s="353"/>
      <c r="G1125" s="353"/>
      <c r="H1125" s="353"/>
      <c r="I1125" s="731"/>
      <c r="J1125" s="613"/>
      <c r="K1125" s="613"/>
      <c r="L1125" s="353"/>
      <c r="M1125" s="353"/>
      <c r="N1125" s="353"/>
      <c r="O1125" s="764"/>
      <c r="P1125" s="353"/>
      <c r="Q1125" s="353"/>
      <c r="R1125" s="353"/>
      <c r="S1125" s="353"/>
      <c r="T1125" s="353"/>
      <c r="U1125" s="353"/>
      <c r="V1125" s="731"/>
      <c r="W1125" s="353"/>
      <c r="X1125" s="353"/>
      <c r="Y1125" s="353"/>
      <c r="Z1125" s="731"/>
      <c r="AA1125" s="353"/>
      <c r="AB1125" s="731"/>
      <c r="AC1125" s="731"/>
    </row>
    <row r="1126" ht="13.8" spans="1:29">
      <c r="A1126" s="353"/>
      <c r="B1126" s="613"/>
      <c r="C1126" s="353"/>
      <c r="D1126" s="353"/>
      <c r="E1126" s="353"/>
      <c r="F1126" s="353"/>
      <c r="G1126" s="353"/>
      <c r="H1126" s="353"/>
      <c r="I1126" s="731"/>
      <c r="J1126" s="613"/>
      <c r="K1126" s="613"/>
      <c r="L1126" s="353"/>
      <c r="M1126" s="353"/>
      <c r="N1126" s="353"/>
      <c r="O1126" s="764"/>
      <c r="P1126" s="353"/>
      <c r="Q1126" s="353"/>
      <c r="R1126" s="353"/>
      <c r="S1126" s="353"/>
      <c r="T1126" s="353"/>
      <c r="U1126" s="353"/>
      <c r="V1126" s="731"/>
      <c r="W1126" s="353"/>
      <c r="X1126" s="353"/>
      <c r="Y1126" s="353"/>
      <c r="Z1126" s="731"/>
      <c r="AA1126" s="353"/>
      <c r="AB1126" s="731"/>
      <c r="AC1126" s="731"/>
    </row>
    <row r="1127" ht="13.8" spans="1:29">
      <c r="A1127" s="353"/>
      <c r="B1127" s="613"/>
      <c r="C1127" s="353"/>
      <c r="D1127" s="353"/>
      <c r="E1127" s="353"/>
      <c r="F1127" s="353"/>
      <c r="G1127" s="353"/>
      <c r="H1127" s="353"/>
      <c r="I1127" s="731"/>
      <c r="J1127" s="613"/>
      <c r="K1127" s="613"/>
      <c r="L1127" s="353"/>
      <c r="M1127" s="353"/>
      <c r="N1127" s="353"/>
      <c r="O1127" s="764"/>
      <c r="P1127" s="353"/>
      <c r="Q1127" s="353"/>
      <c r="R1127" s="353"/>
      <c r="S1127" s="353"/>
      <c r="T1127" s="353"/>
      <c r="U1127" s="353"/>
      <c r="V1127" s="731"/>
      <c r="W1127" s="353"/>
      <c r="X1127" s="353"/>
      <c r="Y1127" s="353"/>
      <c r="Z1127" s="731"/>
      <c r="AA1127" s="353"/>
      <c r="AB1127" s="731"/>
      <c r="AC1127" s="731"/>
    </row>
    <row r="1128" ht="13.8" spans="1:29">
      <c r="A1128" s="353"/>
      <c r="B1128" s="613"/>
      <c r="C1128" s="353"/>
      <c r="D1128" s="353"/>
      <c r="E1128" s="353"/>
      <c r="F1128" s="353"/>
      <c r="G1128" s="353"/>
      <c r="H1128" s="353"/>
      <c r="I1128" s="731"/>
      <c r="J1128" s="613"/>
      <c r="K1128" s="613"/>
      <c r="L1128" s="353"/>
      <c r="M1128" s="353"/>
      <c r="N1128" s="353"/>
      <c r="O1128" s="764"/>
      <c r="P1128" s="353"/>
      <c r="Q1128" s="353"/>
      <c r="R1128" s="353"/>
      <c r="S1128" s="353"/>
      <c r="T1128" s="353"/>
      <c r="U1128" s="353"/>
      <c r="V1128" s="731"/>
      <c r="W1128" s="353"/>
      <c r="X1128" s="353"/>
      <c r="Y1128" s="353"/>
      <c r="Z1128" s="731"/>
      <c r="AA1128" s="353"/>
      <c r="AB1128" s="731"/>
      <c r="AC1128" s="731"/>
    </row>
    <row r="1129" ht="13.8" spans="1:29">
      <c r="A1129" s="353"/>
      <c r="B1129" s="613"/>
      <c r="C1129" s="353"/>
      <c r="D1129" s="353"/>
      <c r="E1129" s="353"/>
      <c r="F1129" s="353"/>
      <c r="G1129" s="353"/>
      <c r="H1129" s="353"/>
      <c r="I1129" s="731"/>
      <c r="J1129" s="613"/>
      <c r="K1129" s="613"/>
      <c r="L1129" s="353"/>
      <c r="M1129" s="353"/>
      <c r="N1129" s="353"/>
      <c r="O1129" s="764"/>
      <c r="P1129" s="353"/>
      <c r="Q1129" s="353"/>
      <c r="R1129" s="353"/>
      <c r="S1129" s="353"/>
      <c r="T1129" s="353"/>
      <c r="U1129" s="353"/>
      <c r="V1129" s="731"/>
      <c r="W1129" s="353"/>
      <c r="X1129" s="353"/>
      <c r="Y1129" s="353"/>
      <c r="Z1129" s="731"/>
      <c r="AA1129" s="353"/>
      <c r="AB1129" s="731"/>
      <c r="AC1129" s="731"/>
    </row>
    <row r="1130" ht="13.8" spans="1:29">
      <c r="A1130" s="353"/>
      <c r="B1130" s="613"/>
      <c r="C1130" s="353"/>
      <c r="D1130" s="353"/>
      <c r="E1130" s="353"/>
      <c r="F1130" s="353"/>
      <c r="G1130" s="353"/>
      <c r="H1130" s="353"/>
      <c r="I1130" s="731"/>
      <c r="J1130" s="613"/>
      <c r="K1130" s="613"/>
      <c r="L1130" s="353"/>
      <c r="M1130" s="353"/>
      <c r="N1130" s="353"/>
      <c r="O1130" s="764"/>
      <c r="P1130" s="353"/>
      <c r="Q1130" s="353"/>
      <c r="R1130" s="353"/>
      <c r="S1130" s="353"/>
      <c r="T1130" s="353"/>
      <c r="U1130" s="353"/>
      <c r="V1130" s="731"/>
      <c r="W1130" s="353"/>
      <c r="X1130" s="353"/>
      <c r="Y1130" s="353"/>
      <c r="Z1130" s="731"/>
      <c r="AA1130" s="353"/>
      <c r="AB1130" s="731"/>
      <c r="AC1130" s="731"/>
    </row>
    <row r="1131" ht="13.8" spans="1:29">
      <c r="A1131" s="353"/>
      <c r="B1131" s="613"/>
      <c r="C1131" s="353"/>
      <c r="D1131" s="353"/>
      <c r="E1131" s="353"/>
      <c r="F1131" s="353"/>
      <c r="G1131" s="353"/>
      <c r="H1131" s="353"/>
      <c r="I1131" s="731"/>
      <c r="J1131" s="613"/>
      <c r="K1131" s="613"/>
      <c r="L1131" s="353"/>
      <c r="M1131" s="353"/>
      <c r="N1131" s="353"/>
      <c r="O1131" s="764"/>
      <c r="P1131" s="353"/>
      <c r="Q1131" s="353"/>
      <c r="R1131" s="353"/>
      <c r="S1131" s="353"/>
      <c r="T1131" s="353"/>
      <c r="U1131" s="353"/>
      <c r="V1131" s="731"/>
      <c r="W1131" s="353"/>
      <c r="X1131" s="353"/>
      <c r="Y1131" s="353"/>
      <c r="Z1131" s="731"/>
      <c r="AA1131" s="353"/>
      <c r="AB1131" s="731"/>
      <c r="AC1131" s="731"/>
    </row>
    <row r="1132" ht="13.8" spans="1:29">
      <c r="A1132" s="353"/>
      <c r="B1132" s="613"/>
      <c r="C1132" s="353"/>
      <c r="D1132" s="353"/>
      <c r="E1132" s="353"/>
      <c r="F1132" s="353"/>
      <c r="G1132" s="353"/>
      <c r="H1132" s="353"/>
      <c r="I1132" s="731"/>
      <c r="J1132" s="613"/>
      <c r="K1132" s="613"/>
      <c r="L1132" s="353"/>
      <c r="M1132" s="353"/>
      <c r="N1132" s="353"/>
      <c r="O1132" s="764"/>
      <c r="P1132" s="353"/>
      <c r="Q1132" s="353"/>
      <c r="R1132" s="353"/>
      <c r="S1132" s="353"/>
      <c r="T1132" s="353"/>
      <c r="U1132" s="353"/>
      <c r="V1132" s="731"/>
      <c r="W1132" s="353"/>
      <c r="X1132" s="353"/>
      <c r="Y1132" s="353"/>
      <c r="Z1132" s="731"/>
      <c r="AA1132" s="353"/>
      <c r="AB1132" s="731"/>
      <c r="AC1132" s="731"/>
    </row>
    <row r="1133" ht="13.8" spans="1:29">
      <c r="A1133" s="353"/>
      <c r="B1133" s="613"/>
      <c r="C1133" s="353"/>
      <c r="D1133" s="353"/>
      <c r="E1133" s="353"/>
      <c r="F1133" s="353"/>
      <c r="G1133" s="353"/>
      <c r="H1133" s="353"/>
      <c r="I1133" s="731"/>
      <c r="J1133" s="613"/>
      <c r="K1133" s="613"/>
      <c r="L1133" s="353"/>
      <c r="M1133" s="353"/>
      <c r="N1133" s="353"/>
      <c r="O1133" s="764"/>
      <c r="P1133" s="353"/>
      <c r="Q1133" s="353"/>
      <c r="R1133" s="353"/>
      <c r="S1133" s="353"/>
      <c r="T1133" s="353"/>
      <c r="U1133" s="353"/>
      <c r="V1133" s="731"/>
      <c r="W1133" s="353"/>
      <c r="X1133" s="353"/>
      <c r="Y1133" s="353"/>
      <c r="Z1133" s="731"/>
      <c r="AA1133" s="353"/>
      <c r="AB1133" s="731"/>
      <c r="AC1133" s="731"/>
    </row>
    <row r="1134" ht="13.8" spans="1:29">
      <c r="A1134" s="353"/>
      <c r="B1134" s="613"/>
      <c r="C1134" s="353"/>
      <c r="D1134" s="353"/>
      <c r="E1134" s="353"/>
      <c r="F1134" s="353"/>
      <c r="G1134" s="353"/>
      <c r="H1134" s="353"/>
      <c r="I1134" s="731"/>
      <c r="J1134" s="613"/>
      <c r="K1134" s="613"/>
      <c r="L1134" s="353"/>
      <c r="M1134" s="353"/>
      <c r="N1134" s="353"/>
      <c r="O1134" s="764"/>
      <c r="P1134" s="353"/>
      <c r="Q1134" s="353"/>
      <c r="R1134" s="353"/>
      <c r="S1134" s="353"/>
      <c r="T1134" s="353"/>
      <c r="U1134" s="353"/>
      <c r="V1134" s="731"/>
      <c r="W1134" s="353"/>
      <c r="X1134" s="353"/>
      <c r="Y1134" s="353"/>
      <c r="Z1134" s="731"/>
      <c r="AA1134" s="353"/>
      <c r="AB1134" s="731"/>
      <c r="AC1134" s="731"/>
    </row>
    <row r="1135" ht="13.8" spans="1:29">
      <c r="A1135" s="353"/>
      <c r="B1135" s="613"/>
      <c r="C1135" s="353"/>
      <c r="D1135" s="353"/>
      <c r="E1135" s="353"/>
      <c r="F1135" s="353"/>
      <c r="G1135" s="353"/>
      <c r="H1135" s="353"/>
      <c r="I1135" s="731"/>
      <c r="J1135" s="613"/>
      <c r="K1135" s="613"/>
      <c r="L1135" s="353"/>
      <c r="M1135" s="353"/>
      <c r="N1135" s="353"/>
      <c r="O1135" s="764"/>
      <c r="P1135" s="353"/>
      <c r="Q1135" s="353"/>
      <c r="R1135" s="353"/>
      <c r="S1135" s="353"/>
      <c r="T1135" s="353"/>
      <c r="U1135" s="353"/>
      <c r="V1135" s="731"/>
      <c r="W1135" s="353"/>
      <c r="X1135" s="353"/>
      <c r="Y1135" s="353"/>
      <c r="Z1135" s="731"/>
      <c r="AA1135" s="353"/>
      <c r="AB1135" s="731"/>
      <c r="AC1135" s="731"/>
    </row>
    <row r="1136" ht="13.8" spans="1:29">
      <c r="A1136" s="353"/>
      <c r="B1136" s="613"/>
      <c r="C1136" s="353"/>
      <c r="D1136" s="353"/>
      <c r="E1136" s="353"/>
      <c r="F1136" s="353"/>
      <c r="G1136" s="353"/>
      <c r="H1136" s="353"/>
      <c r="I1136" s="731"/>
      <c r="J1136" s="613"/>
      <c r="K1136" s="613"/>
      <c r="L1136" s="353"/>
      <c r="M1136" s="353"/>
      <c r="N1136" s="353"/>
      <c r="O1136" s="764"/>
      <c r="P1136" s="353"/>
      <c r="Q1136" s="353"/>
      <c r="R1136" s="353"/>
      <c r="S1136" s="353"/>
      <c r="T1136" s="353"/>
      <c r="U1136" s="353"/>
      <c r="V1136" s="731"/>
      <c r="W1136" s="353"/>
      <c r="X1136" s="353"/>
      <c r="Y1136" s="353"/>
      <c r="Z1136" s="731"/>
      <c r="AA1136" s="353"/>
      <c r="AB1136" s="731"/>
      <c r="AC1136" s="731"/>
    </row>
    <row r="1137" ht="13.8" spans="1:29">
      <c r="A1137" s="353"/>
      <c r="B1137" s="613"/>
      <c r="C1137" s="353"/>
      <c r="D1137" s="353"/>
      <c r="E1137" s="353"/>
      <c r="F1137" s="353"/>
      <c r="G1137" s="353"/>
      <c r="H1137" s="353"/>
      <c r="I1137" s="731"/>
      <c r="J1137" s="613"/>
      <c r="K1137" s="613"/>
      <c r="L1137" s="353"/>
      <c r="M1137" s="353"/>
      <c r="N1137" s="353"/>
      <c r="O1137" s="764"/>
      <c r="P1137" s="353"/>
      <c r="Q1137" s="353"/>
      <c r="R1137" s="353"/>
      <c r="S1137" s="353"/>
      <c r="T1137" s="353"/>
      <c r="U1137" s="353"/>
      <c r="V1137" s="731"/>
      <c r="W1137" s="353"/>
      <c r="X1137" s="353"/>
      <c r="Y1137" s="353"/>
      <c r="Z1137" s="731"/>
      <c r="AA1137" s="353"/>
      <c r="AB1137" s="731"/>
      <c r="AC1137" s="731"/>
    </row>
    <row r="1138" ht="13.8" spans="1:29">
      <c r="A1138" s="353"/>
      <c r="B1138" s="613"/>
      <c r="C1138" s="353"/>
      <c r="D1138" s="353"/>
      <c r="E1138" s="353"/>
      <c r="F1138" s="353"/>
      <c r="G1138" s="353"/>
      <c r="H1138" s="353"/>
      <c r="I1138" s="731"/>
      <c r="J1138" s="613"/>
      <c r="K1138" s="613"/>
      <c r="L1138" s="353"/>
      <c r="M1138" s="353"/>
      <c r="N1138" s="353"/>
      <c r="O1138" s="764"/>
      <c r="P1138" s="353"/>
      <c r="Q1138" s="353"/>
      <c r="R1138" s="353"/>
      <c r="S1138" s="353"/>
      <c r="T1138" s="353"/>
      <c r="U1138" s="353"/>
      <c r="V1138" s="731"/>
      <c r="W1138" s="353"/>
      <c r="X1138" s="353"/>
      <c r="Y1138" s="353"/>
      <c r="Z1138" s="731"/>
      <c r="AA1138" s="353"/>
      <c r="AB1138" s="731"/>
      <c r="AC1138" s="731"/>
    </row>
    <row r="1139" ht="13.8" spans="1:29">
      <c r="A1139" s="353"/>
      <c r="B1139" s="613"/>
      <c r="C1139" s="353"/>
      <c r="D1139" s="353"/>
      <c r="E1139" s="353"/>
      <c r="F1139" s="353"/>
      <c r="G1139" s="353"/>
      <c r="H1139" s="353"/>
      <c r="I1139" s="731"/>
      <c r="J1139" s="613"/>
      <c r="K1139" s="613"/>
      <c r="L1139" s="353"/>
      <c r="M1139" s="353"/>
      <c r="N1139" s="353"/>
      <c r="O1139" s="764"/>
      <c r="P1139" s="353"/>
      <c r="Q1139" s="353"/>
      <c r="R1139" s="353"/>
      <c r="S1139" s="353"/>
      <c r="T1139" s="353"/>
      <c r="U1139" s="353"/>
      <c r="V1139" s="731"/>
      <c r="W1139" s="353"/>
      <c r="X1139" s="353"/>
      <c r="Y1139" s="353"/>
      <c r="Z1139" s="731"/>
      <c r="AA1139" s="353"/>
      <c r="AB1139" s="731"/>
      <c r="AC1139" s="731"/>
    </row>
    <row r="1140" ht="13.8" spans="1:29">
      <c r="A1140" s="353"/>
      <c r="B1140" s="613"/>
      <c r="C1140" s="353"/>
      <c r="D1140" s="353"/>
      <c r="E1140" s="353"/>
      <c r="F1140" s="353"/>
      <c r="G1140" s="353"/>
      <c r="H1140" s="353"/>
      <c r="I1140" s="731"/>
      <c r="J1140" s="613"/>
      <c r="K1140" s="613"/>
      <c r="L1140" s="353"/>
      <c r="M1140" s="353"/>
      <c r="N1140" s="353"/>
      <c r="O1140" s="764"/>
      <c r="P1140" s="353"/>
      <c r="Q1140" s="353"/>
      <c r="R1140" s="353"/>
      <c r="S1140" s="353"/>
      <c r="T1140" s="353"/>
      <c r="U1140" s="353"/>
      <c r="V1140" s="731"/>
      <c r="W1140" s="353"/>
      <c r="X1140" s="353"/>
      <c r="Y1140" s="353"/>
      <c r="Z1140" s="731"/>
      <c r="AA1140" s="353"/>
      <c r="AB1140" s="731"/>
      <c r="AC1140" s="731"/>
    </row>
    <row r="1141" ht="13.8" spans="1:29">
      <c r="A1141" s="353"/>
      <c r="B1141" s="613"/>
      <c r="C1141" s="353"/>
      <c r="D1141" s="353"/>
      <c r="E1141" s="353"/>
      <c r="F1141" s="353"/>
      <c r="G1141" s="353"/>
      <c r="H1141" s="353"/>
      <c r="I1141" s="731"/>
      <c r="J1141" s="613"/>
      <c r="K1141" s="613"/>
      <c r="L1141" s="353"/>
      <c r="M1141" s="353"/>
      <c r="N1141" s="353"/>
      <c r="O1141" s="764"/>
      <c r="P1141" s="353"/>
      <c r="Q1141" s="353"/>
      <c r="R1141" s="353"/>
      <c r="S1141" s="353"/>
      <c r="T1141" s="353"/>
      <c r="U1141" s="353"/>
      <c r="V1141" s="731"/>
      <c r="W1141" s="353"/>
      <c r="X1141" s="353"/>
      <c r="Y1141" s="353"/>
      <c r="Z1141" s="731"/>
      <c r="AA1141" s="353"/>
      <c r="AB1141" s="731"/>
      <c r="AC1141" s="731"/>
    </row>
    <row r="1142" ht="13.8" spans="1:29">
      <c r="A1142" s="353"/>
      <c r="B1142" s="613"/>
      <c r="C1142" s="353"/>
      <c r="D1142" s="353"/>
      <c r="E1142" s="353"/>
      <c r="F1142" s="353"/>
      <c r="G1142" s="353"/>
      <c r="H1142" s="353"/>
      <c r="I1142" s="731"/>
      <c r="J1142" s="613"/>
      <c r="K1142" s="613"/>
      <c r="L1142" s="353"/>
      <c r="M1142" s="353"/>
      <c r="N1142" s="353"/>
      <c r="O1142" s="764"/>
      <c r="P1142" s="353"/>
      <c r="Q1142" s="353"/>
      <c r="R1142" s="353"/>
      <c r="S1142" s="353"/>
      <c r="T1142" s="353"/>
      <c r="U1142" s="353"/>
      <c r="V1142" s="731"/>
      <c r="W1142" s="353"/>
      <c r="X1142" s="353"/>
      <c r="Y1142" s="353"/>
      <c r="Z1142" s="731"/>
      <c r="AA1142" s="353"/>
      <c r="AB1142" s="731"/>
      <c r="AC1142" s="731"/>
    </row>
    <row r="1143" ht="13.8" spans="1:29">
      <c r="A1143" s="353"/>
      <c r="B1143" s="613"/>
      <c r="C1143" s="353"/>
      <c r="D1143" s="353"/>
      <c r="E1143" s="353"/>
      <c r="F1143" s="353"/>
      <c r="G1143" s="353"/>
      <c r="H1143" s="353"/>
      <c r="I1143" s="731"/>
      <c r="J1143" s="613"/>
      <c r="K1143" s="613"/>
      <c r="L1143" s="353"/>
      <c r="M1143" s="353"/>
      <c r="N1143" s="353"/>
      <c r="O1143" s="764"/>
      <c r="P1143" s="353"/>
      <c r="Q1143" s="353"/>
      <c r="R1143" s="353"/>
      <c r="S1143" s="353"/>
      <c r="T1143" s="353"/>
      <c r="U1143" s="353"/>
      <c r="V1143" s="731"/>
      <c r="W1143" s="353"/>
      <c r="X1143" s="353"/>
      <c r="Y1143" s="353"/>
      <c r="Z1143" s="731"/>
      <c r="AA1143" s="353"/>
      <c r="AB1143" s="731"/>
      <c r="AC1143" s="731"/>
    </row>
    <row r="1144" ht="13.8" spans="1:29">
      <c r="A1144" s="353"/>
      <c r="B1144" s="613"/>
      <c r="C1144" s="353"/>
      <c r="D1144" s="353"/>
      <c r="E1144" s="353"/>
      <c r="F1144" s="353"/>
      <c r="G1144" s="353"/>
      <c r="H1144" s="353"/>
      <c r="I1144" s="731"/>
      <c r="J1144" s="613"/>
      <c r="K1144" s="613"/>
      <c r="L1144" s="353"/>
      <c r="M1144" s="353"/>
      <c r="N1144" s="353"/>
      <c r="O1144" s="764"/>
      <c r="P1144" s="353"/>
      <c r="Q1144" s="353"/>
      <c r="R1144" s="353"/>
      <c r="S1144" s="353"/>
      <c r="T1144" s="353"/>
      <c r="U1144" s="353"/>
      <c r="V1144" s="731"/>
      <c r="W1144" s="353"/>
      <c r="X1144" s="353"/>
      <c r="Y1144" s="353"/>
      <c r="Z1144" s="731"/>
      <c r="AA1144" s="353"/>
      <c r="AB1144" s="731"/>
      <c r="AC1144" s="731"/>
    </row>
    <row r="1145" ht="13.8" spans="1:29">
      <c r="A1145" s="353"/>
      <c r="B1145" s="613"/>
      <c r="C1145" s="353"/>
      <c r="D1145" s="353"/>
      <c r="E1145" s="353"/>
      <c r="F1145" s="353"/>
      <c r="G1145" s="353"/>
      <c r="H1145" s="353"/>
      <c r="I1145" s="731"/>
      <c r="J1145" s="613"/>
      <c r="K1145" s="613"/>
      <c r="L1145" s="353"/>
      <c r="M1145" s="353"/>
      <c r="N1145" s="353"/>
      <c r="O1145" s="764"/>
      <c r="P1145" s="353"/>
      <c r="Q1145" s="353"/>
      <c r="R1145" s="353"/>
      <c r="S1145" s="353"/>
      <c r="T1145" s="353"/>
      <c r="U1145" s="353"/>
      <c r="V1145" s="731"/>
      <c r="W1145" s="353"/>
      <c r="X1145" s="353"/>
      <c r="Y1145" s="353"/>
      <c r="Z1145" s="731"/>
      <c r="AA1145" s="353"/>
      <c r="AB1145" s="731"/>
      <c r="AC1145" s="731"/>
    </row>
    <row r="1146" ht="13.8" spans="1:29">
      <c r="A1146" s="353"/>
      <c r="B1146" s="613"/>
      <c r="C1146" s="353"/>
      <c r="D1146" s="353"/>
      <c r="E1146" s="353"/>
      <c r="F1146" s="353"/>
      <c r="G1146" s="353"/>
      <c r="H1146" s="353"/>
      <c r="I1146" s="731"/>
      <c r="J1146" s="613"/>
      <c r="K1146" s="613"/>
      <c r="L1146" s="353"/>
      <c r="M1146" s="353"/>
      <c r="N1146" s="353"/>
      <c r="O1146" s="764"/>
      <c r="P1146" s="353"/>
      <c r="Q1146" s="353"/>
      <c r="R1146" s="353"/>
      <c r="S1146" s="353"/>
      <c r="T1146" s="353"/>
      <c r="U1146" s="353"/>
      <c r="V1146" s="731"/>
      <c r="W1146" s="353"/>
      <c r="X1146" s="353"/>
      <c r="Y1146" s="353"/>
      <c r="Z1146" s="731"/>
      <c r="AA1146" s="353"/>
      <c r="AB1146" s="731"/>
      <c r="AC1146" s="731"/>
    </row>
    <row r="1147" ht="13.8" spans="1:29">
      <c r="A1147" s="353"/>
      <c r="B1147" s="613"/>
      <c r="C1147" s="353"/>
      <c r="D1147" s="353"/>
      <c r="E1147" s="353"/>
      <c r="F1147" s="353"/>
      <c r="G1147" s="353"/>
      <c r="H1147" s="353"/>
      <c r="I1147" s="731"/>
      <c r="J1147" s="613"/>
      <c r="K1147" s="613"/>
      <c r="L1147" s="353"/>
      <c r="M1147" s="353"/>
      <c r="N1147" s="353"/>
      <c r="O1147" s="764"/>
      <c r="P1147" s="353"/>
      <c r="Q1147" s="353"/>
      <c r="R1147" s="353"/>
      <c r="S1147" s="353"/>
      <c r="T1147" s="353"/>
      <c r="U1147" s="353"/>
      <c r="V1147" s="731"/>
      <c r="W1147" s="353"/>
      <c r="X1147" s="353"/>
      <c r="Y1147" s="353"/>
      <c r="Z1147" s="731"/>
      <c r="AA1147" s="353"/>
      <c r="AB1147" s="731"/>
      <c r="AC1147" s="731"/>
    </row>
    <row r="1148" ht="13.8" spans="1:29">
      <c r="A1148" s="353"/>
      <c r="B1148" s="613"/>
      <c r="C1148" s="353"/>
      <c r="D1148" s="353"/>
      <c r="E1148" s="353"/>
      <c r="F1148" s="353"/>
      <c r="G1148" s="353"/>
      <c r="H1148" s="353"/>
      <c r="I1148" s="731"/>
      <c r="J1148" s="613"/>
      <c r="K1148" s="613"/>
      <c r="L1148" s="353"/>
      <c r="M1148" s="353"/>
      <c r="N1148" s="353"/>
      <c r="O1148" s="764"/>
      <c r="P1148" s="353"/>
      <c r="Q1148" s="353"/>
      <c r="R1148" s="353"/>
      <c r="S1148" s="353"/>
      <c r="T1148" s="353"/>
      <c r="U1148" s="353"/>
      <c r="V1148" s="731"/>
      <c r="W1148" s="353"/>
      <c r="X1148" s="353"/>
      <c r="Y1148" s="353"/>
      <c r="Z1148" s="731"/>
      <c r="AA1148" s="353"/>
      <c r="AB1148" s="731"/>
      <c r="AC1148" s="731"/>
    </row>
    <row r="1149" ht="13.8" spans="1:29">
      <c r="A1149" s="353"/>
      <c r="B1149" s="613"/>
      <c r="C1149" s="353"/>
      <c r="D1149" s="353"/>
      <c r="E1149" s="353"/>
      <c r="F1149" s="353"/>
      <c r="G1149" s="353"/>
      <c r="H1149" s="353"/>
      <c r="I1149" s="731"/>
      <c r="J1149" s="613"/>
      <c r="K1149" s="613"/>
      <c r="L1149" s="353"/>
      <c r="M1149" s="353"/>
      <c r="N1149" s="353"/>
      <c r="O1149" s="764"/>
      <c r="P1149" s="353"/>
      <c r="Q1149" s="353"/>
      <c r="R1149" s="353"/>
      <c r="S1149" s="353"/>
      <c r="T1149" s="353"/>
      <c r="U1149" s="353"/>
      <c r="V1149" s="731"/>
      <c r="W1149" s="353"/>
      <c r="X1149" s="353"/>
      <c r="Y1149" s="353"/>
      <c r="Z1149" s="731"/>
      <c r="AA1149" s="353"/>
      <c r="AB1149" s="731"/>
      <c r="AC1149" s="731"/>
    </row>
    <row r="1150" ht="13.8" spans="1:29">
      <c r="A1150" s="353"/>
      <c r="B1150" s="613"/>
      <c r="C1150" s="353"/>
      <c r="D1150" s="353"/>
      <c r="E1150" s="353"/>
      <c r="F1150" s="353"/>
      <c r="G1150" s="353"/>
      <c r="H1150" s="353"/>
      <c r="I1150" s="731"/>
      <c r="J1150" s="613"/>
      <c r="K1150" s="613"/>
      <c r="L1150" s="353"/>
      <c r="M1150" s="353"/>
      <c r="N1150" s="353"/>
      <c r="O1150" s="764"/>
      <c r="P1150" s="353"/>
      <c r="Q1150" s="353"/>
      <c r="R1150" s="353"/>
      <c r="S1150" s="353"/>
      <c r="T1150" s="353"/>
      <c r="U1150" s="353"/>
      <c r="V1150" s="731"/>
      <c r="W1150" s="353"/>
      <c r="X1150" s="353"/>
      <c r="Y1150" s="353"/>
      <c r="Z1150" s="731"/>
      <c r="AA1150" s="353"/>
      <c r="AB1150" s="731"/>
      <c r="AC1150" s="731"/>
    </row>
    <row r="1151" ht="13.8" spans="1:29">
      <c r="A1151" s="353"/>
      <c r="B1151" s="613"/>
      <c r="C1151" s="353"/>
      <c r="D1151" s="353"/>
      <c r="E1151" s="353"/>
      <c r="F1151" s="353"/>
      <c r="G1151" s="353"/>
      <c r="H1151" s="353"/>
      <c r="I1151" s="731"/>
      <c r="J1151" s="613"/>
      <c r="K1151" s="613"/>
      <c r="L1151" s="353"/>
      <c r="M1151" s="353"/>
      <c r="N1151" s="353"/>
      <c r="O1151" s="764"/>
      <c r="P1151" s="353"/>
      <c r="Q1151" s="353"/>
      <c r="R1151" s="353"/>
      <c r="S1151" s="353"/>
      <c r="T1151" s="353"/>
      <c r="U1151" s="353"/>
      <c r="V1151" s="731"/>
      <c r="W1151" s="353"/>
      <c r="X1151" s="353"/>
      <c r="Y1151" s="353"/>
      <c r="Z1151" s="731"/>
      <c r="AA1151" s="353"/>
      <c r="AB1151" s="731"/>
      <c r="AC1151" s="731"/>
    </row>
    <row r="1152" ht="13.8" spans="1:29">
      <c r="A1152" s="353"/>
      <c r="B1152" s="613"/>
      <c r="C1152" s="353"/>
      <c r="D1152" s="353"/>
      <c r="E1152" s="353"/>
      <c r="F1152" s="353"/>
      <c r="G1152" s="353"/>
      <c r="H1152" s="353"/>
      <c r="I1152" s="731"/>
      <c r="J1152" s="613"/>
      <c r="K1152" s="613"/>
      <c r="L1152" s="353"/>
      <c r="M1152" s="353"/>
      <c r="N1152" s="353"/>
      <c r="O1152" s="764"/>
      <c r="P1152" s="353"/>
      <c r="Q1152" s="353"/>
      <c r="R1152" s="353"/>
      <c r="S1152" s="353"/>
      <c r="T1152" s="353"/>
      <c r="U1152" s="353"/>
      <c r="V1152" s="731"/>
      <c r="W1152" s="353"/>
      <c r="X1152" s="353"/>
      <c r="Y1152" s="353"/>
      <c r="Z1152" s="731"/>
      <c r="AA1152" s="353"/>
      <c r="AB1152" s="731"/>
      <c r="AC1152" s="731"/>
    </row>
    <row r="1153" ht="13.8" spans="1:29">
      <c r="A1153" s="353"/>
      <c r="B1153" s="613"/>
      <c r="C1153" s="353"/>
      <c r="D1153" s="353"/>
      <c r="E1153" s="353"/>
      <c r="F1153" s="353"/>
      <c r="G1153" s="353"/>
      <c r="H1153" s="353"/>
      <c r="I1153" s="731"/>
      <c r="J1153" s="613"/>
      <c r="K1153" s="613"/>
      <c r="L1153" s="353"/>
      <c r="M1153" s="353"/>
      <c r="N1153" s="353"/>
      <c r="O1153" s="764"/>
      <c r="P1153" s="353"/>
      <c r="Q1153" s="353"/>
      <c r="R1153" s="353"/>
      <c r="S1153" s="353"/>
      <c r="T1153" s="353"/>
      <c r="U1153" s="353"/>
      <c r="V1153" s="731"/>
      <c r="W1153" s="353"/>
      <c r="X1153" s="353"/>
      <c r="Y1153" s="353"/>
      <c r="Z1153" s="731"/>
      <c r="AA1153" s="353"/>
      <c r="AB1153" s="731"/>
      <c r="AC1153" s="731"/>
    </row>
    <row r="1154" ht="13.8" spans="1:29">
      <c r="A1154" s="353"/>
      <c r="B1154" s="613"/>
      <c r="C1154" s="353"/>
      <c r="D1154" s="353"/>
      <c r="E1154" s="353"/>
      <c r="F1154" s="353"/>
      <c r="G1154" s="353"/>
      <c r="H1154" s="353"/>
      <c r="I1154" s="731"/>
      <c r="J1154" s="613"/>
      <c r="K1154" s="613"/>
      <c r="L1154" s="353"/>
      <c r="M1154" s="353"/>
      <c r="N1154" s="353"/>
      <c r="O1154" s="764"/>
      <c r="P1154" s="353"/>
      <c r="Q1154" s="353"/>
      <c r="R1154" s="353"/>
      <c r="S1154" s="353"/>
      <c r="T1154" s="353"/>
      <c r="U1154" s="353"/>
      <c r="V1154" s="731"/>
      <c r="W1154" s="353"/>
      <c r="X1154" s="353"/>
      <c r="Y1154" s="353"/>
      <c r="Z1154" s="731"/>
      <c r="AA1154" s="353"/>
      <c r="AB1154" s="731"/>
      <c r="AC1154" s="731"/>
    </row>
    <row r="1155" ht="13.8" spans="1:29">
      <c r="A1155" s="353"/>
      <c r="B1155" s="613"/>
      <c r="C1155" s="353"/>
      <c r="D1155" s="353"/>
      <c r="E1155" s="353"/>
      <c r="F1155" s="353"/>
      <c r="G1155" s="353"/>
      <c r="H1155" s="353"/>
      <c r="I1155" s="731"/>
      <c r="J1155" s="613"/>
      <c r="K1155" s="613"/>
      <c r="L1155" s="353"/>
      <c r="M1155" s="353"/>
      <c r="N1155" s="353"/>
      <c r="O1155" s="764"/>
      <c r="P1155" s="353"/>
      <c r="Q1155" s="353"/>
      <c r="R1155" s="353"/>
      <c r="S1155" s="353"/>
      <c r="T1155" s="353"/>
      <c r="U1155" s="353"/>
      <c r="V1155" s="731"/>
      <c r="W1155" s="353"/>
      <c r="X1155" s="353"/>
      <c r="Y1155" s="353"/>
      <c r="Z1155" s="731"/>
      <c r="AA1155" s="353"/>
      <c r="AB1155" s="731"/>
      <c r="AC1155" s="731"/>
    </row>
    <row r="1156" ht="13.8" spans="1:29">
      <c r="A1156" s="353"/>
      <c r="B1156" s="613"/>
      <c r="C1156" s="353"/>
      <c r="D1156" s="353"/>
      <c r="E1156" s="353"/>
      <c r="F1156" s="353"/>
      <c r="G1156" s="353"/>
      <c r="H1156" s="353"/>
      <c r="I1156" s="731"/>
      <c r="J1156" s="613"/>
      <c r="K1156" s="613"/>
      <c r="L1156" s="353"/>
      <c r="M1156" s="353"/>
      <c r="N1156" s="353"/>
      <c r="O1156" s="764"/>
      <c r="P1156" s="353"/>
      <c r="Q1156" s="353"/>
      <c r="R1156" s="353"/>
      <c r="S1156" s="353"/>
      <c r="T1156" s="353"/>
      <c r="U1156" s="353"/>
      <c r="V1156" s="731"/>
      <c r="W1156" s="353"/>
      <c r="X1156" s="353"/>
      <c r="Y1156" s="353"/>
      <c r="Z1156" s="731"/>
      <c r="AA1156" s="353"/>
      <c r="AB1156" s="731"/>
      <c r="AC1156" s="731"/>
    </row>
    <row r="1157" ht="13.8" spans="1:29">
      <c r="A1157" s="353"/>
      <c r="B1157" s="613"/>
      <c r="C1157" s="353"/>
      <c r="D1157" s="353"/>
      <c r="E1157" s="353"/>
      <c r="F1157" s="353"/>
      <c r="G1157" s="353"/>
      <c r="H1157" s="353"/>
      <c r="I1157" s="731"/>
      <c r="J1157" s="613"/>
      <c r="K1157" s="613"/>
      <c r="L1157" s="353"/>
      <c r="M1157" s="353"/>
      <c r="N1157" s="353"/>
      <c r="O1157" s="764"/>
      <c r="P1157" s="353"/>
      <c r="Q1157" s="353"/>
      <c r="R1157" s="353"/>
      <c r="S1157" s="353"/>
      <c r="T1157" s="353"/>
      <c r="U1157" s="353"/>
      <c r="V1157" s="731"/>
      <c r="W1157" s="353"/>
      <c r="X1157" s="353"/>
      <c r="Y1157" s="353"/>
      <c r="Z1157" s="731"/>
      <c r="AA1157" s="353"/>
      <c r="AB1157" s="731"/>
      <c r="AC1157" s="731"/>
    </row>
    <row r="1158" ht="13.8" spans="1:29">
      <c r="A1158" s="353"/>
      <c r="B1158" s="613"/>
      <c r="C1158" s="353"/>
      <c r="D1158" s="353"/>
      <c r="E1158" s="353"/>
      <c r="F1158" s="353"/>
      <c r="G1158" s="353"/>
      <c r="H1158" s="353"/>
      <c r="I1158" s="731"/>
      <c r="J1158" s="613"/>
      <c r="K1158" s="613"/>
      <c r="L1158" s="353"/>
      <c r="M1158" s="353"/>
      <c r="N1158" s="353"/>
      <c r="O1158" s="764"/>
      <c r="P1158" s="353"/>
      <c r="Q1158" s="353"/>
      <c r="R1158" s="353"/>
      <c r="S1158" s="353"/>
      <c r="T1158" s="353"/>
      <c r="U1158" s="353"/>
      <c r="V1158" s="731"/>
      <c r="W1158" s="353"/>
      <c r="X1158" s="353"/>
      <c r="Y1158" s="353"/>
      <c r="Z1158" s="731"/>
      <c r="AA1158" s="353"/>
      <c r="AB1158" s="731"/>
      <c r="AC1158" s="731"/>
    </row>
    <row r="1159" ht="13.8" spans="1:29">
      <c r="A1159" s="353"/>
      <c r="B1159" s="613"/>
      <c r="C1159" s="353"/>
      <c r="D1159" s="353"/>
      <c r="E1159" s="353"/>
      <c r="F1159" s="353"/>
      <c r="G1159" s="353"/>
      <c r="H1159" s="353"/>
      <c r="I1159" s="731"/>
      <c r="J1159" s="613"/>
      <c r="K1159" s="613"/>
      <c r="L1159" s="353"/>
      <c r="M1159" s="353"/>
      <c r="N1159" s="353"/>
      <c r="O1159" s="764"/>
      <c r="P1159" s="353"/>
      <c r="Q1159" s="353"/>
      <c r="R1159" s="353"/>
      <c r="S1159" s="353"/>
      <c r="T1159" s="353"/>
      <c r="U1159" s="353"/>
      <c r="V1159" s="731"/>
      <c r="W1159" s="353"/>
      <c r="X1159" s="353"/>
      <c r="Y1159" s="353"/>
      <c r="Z1159" s="731"/>
      <c r="AA1159" s="353"/>
      <c r="AB1159" s="731"/>
      <c r="AC1159" s="731"/>
    </row>
    <row r="1160" ht="13.8" spans="1:29">
      <c r="A1160" s="353"/>
      <c r="B1160" s="613"/>
      <c r="C1160" s="353"/>
      <c r="D1160" s="353"/>
      <c r="E1160" s="353"/>
      <c r="F1160" s="353"/>
      <c r="G1160" s="353"/>
      <c r="H1160" s="353"/>
      <c r="I1160" s="731"/>
      <c r="J1160" s="613"/>
      <c r="K1160" s="613"/>
      <c r="L1160" s="353"/>
      <c r="M1160" s="353"/>
      <c r="N1160" s="353"/>
      <c r="O1160" s="764"/>
      <c r="P1160" s="353"/>
      <c r="Q1160" s="353"/>
      <c r="R1160" s="353"/>
      <c r="S1160" s="353"/>
      <c r="T1160" s="353"/>
      <c r="U1160" s="353"/>
      <c r="V1160" s="731"/>
      <c r="W1160" s="353"/>
      <c r="X1160" s="353"/>
      <c r="Y1160" s="353"/>
      <c r="Z1160" s="731"/>
      <c r="AA1160" s="353"/>
      <c r="AB1160" s="731"/>
      <c r="AC1160" s="731"/>
    </row>
    <row r="1161" ht="13.8" spans="1:29">
      <c r="A1161" s="353"/>
      <c r="B1161" s="613"/>
      <c r="C1161" s="353"/>
      <c r="D1161" s="353"/>
      <c r="E1161" s="353"/>
      <c r="F1161" s="353"/>
      <c r="G1161" s="353"/>
      <c r="H1161" s="353"/>
      <c r="I1161" s="731"/>
      <c r="J1161" s="613"/>
      <c r="K1161" s="613"/>
      <c r="L1161" s="353"/>
      <c r="M1161" s="353"/>
      <c r="N1161" s="353"/>
      <c r="O1161" s="764"/>
      <c r="P1161" s="353"/>
      <c r="Q1161" s="353"/>
      <c r="R1161" s="353"/>
      <c r="S1161" s="353"/>
      <c r="T1161" s="353"/>
      <c r="U1161" s="353"/>
      <c r="V1161" s="731"/>
      <c r="W1161" s="353"/>
      <c r="X1161" s="353"/>
      <c r="Y1161" s="353"/>
      <c r="Z1161" s="731"/>
      <c r="AA1161" s="353"/>
      <c r="AB1161" s="731"/>
      <c r="AC1161" s="731"/>
    </row>
    <row r="1162" ht="13.8" spans="1:29">
      <c r="A1162" s="353"/>
      <c r="B1162" s="613"/>
      <c r="C1162" s="353"/>
      <c r="D1162" s="353"/>
      <c r="E1162" s="353"/>
      <c r="F1162" s="353"/>
      <c r="G1162" s="353"/>
      <c r="H1162" s="353"/>
      <c r="I1162" s="731"/>
      <c r="J1162" s="613"/>
      <c r="K1162" s="613"/>
      <c r="L1162" s="353"/>
      <c r="M1162" s="353"/>
      <c r="N1162" s="353"/>
      <c r="O1162" s="764"/>
      <c r="P1162" s="353"/>
      <c r="Q1162" s="353"/>
      <c r="R1162" s="353"/>
      <c r="S1162" s="353"/>
      <c r="T1162" s="353"/>
      <c r="U1162" s="353"/>
      <c r="V1162" s="731"/>
      <c r="W1162" s="353"/>
      <c r="X1162" s="353"/>
      <c r="Y1162" s="353"/>
      <c r="Z1162" s="731"/>
      <c r="AA1162" s="353"/>
      <c r="AB1162" s="731"/>
      <c r="AC1162" s="731"/>
    </row>
    <row r="1163" ht="13.8" spans="1:29">
      <c r="A1163" s="353"/>
      <c r="B1163" s="613"/>
      <c r="C1163" s="353"/>
      <c r="D1163" s="353"/>
      <c r="E1163" s="353"/>
      <c r="F1163" s="353"/>
      <c r="G1163" s="353"/>
      <c r="H1163" s="353"/>
      <c r="I1163" s="731"/>
      <c r="J1163" s="613"/>
      <c r="K1163" s="613"/>
      <c r="L1163" s="353"/>
      <c r="M1163" s="353"/>
      <c r="N1163" s="353"/>
      <c r="O1163" s="764"/>
      <c r="P1163" s="353"/>
      <c r="Q1163" s="353"/>
      <c r="R1163" s="353"/>
      <c r="S1163" s="353"/>
      <c r="T1163" s="353"/>
      <c r="U1163" s="353"/>
      <c r="V1163" s="731"/>
      <c r="W1163" s="353"/>
      <c r="X1163" s="353"/>
      <c r="Y1163" s="353"/>
      <c r="Z1163" s="731"/>
      <c r="AA1163" s="353"/>
      <c r="AB1163" s="731"/>
      <c r="AC1163" s="731"/>
    </row>
    <row r="1164" ht="13.8" spans="1:29">
      <c r="A1164" s="353"/>
      <c r="B1164" s="613"/>
      <c r="C1164" s="353"/>
      <c r="D1164" s="353"/>
      <c r="E1164" s="353"/>
      <c r="F1164" s="353"/>
      <c r="G1164" s="353"/>
      <c r="H1164" s="353"/>
      <c r="I1164" s="731"/>
      <c r="J1164" s="613"/>
      <c r="K1164" s="613"/>
      <c r="L1164" s="353"/>
      <c r="M1164" s="353"/>
      <c r="N1164" s="353"/>
      <c r="O1164" s="764"/>
      <c r="P1164" s="353"/>
      <c r="Q1164" s="353"/>
      <c r="R1164" s="353"/>
      <c r="S1164" s="353"/>
      <c r="T1164" s="353"/>
      <c r="U1164" s="353"/>
      <c r="V1164" s="731"/>
      <c r="W1164" s="353"/>
      <c r="X1164" s="353"/>
      <c r="Y1164" s="353"/>
      <c r="Z1164" s="731"/>
      <c r="AA1164" s="353"/>
      <c r="AB1164" s="731"/>
      <c r="AC1164" s="731"/>
    </row>
    <row r="1165" ht="13.8" spans="1:29">
      <c r="A1165" s="353"/>
      <c r="B1165" s="613"/>
      <c r="C1165" s="353"/>
      <c r="D1165" s="353"/>
      <c r="E1165" s="353"/>
      <c r="F1165" s="353"/>
      <c r="G1165" s="353"/>
      <c r="H1165" s="353"/>
      <c r="I1165" s="731"/>
      <c r="J1165" s="613"/>
      <c r="K1165" s="613"/>
      <c r="L1165" s="353"/>
      <c r="M1165" s="353"/>
      <c r="N1165" s="353"/>
      <c r="O1165" s="764"/>
      <c r="P1165" s="353"/>
      <c r="Q1165" s="353"/>
      <c r="R1165" s="353"/>
      <c r="S1165" s="353"/>
      <c r="T1165" s="353"/>
      <c r="U1165" s="353"/>
      <c r="V1165" s="731"/>
      <c r="W1165" s="353"/>
      <c r="X1165" s="353"/>
      <c r="Y1165" s="353"/>
      <c r="Z1165" s="731"/>
      <c r="AA1165" s="353"/>
      <c r="AB1165" s="731"/>
      <c r="AC1165" s="731"/>
    </row>
    <row r="1166" ht="13.8" spans="1:29">
      <c r="A1166" s="353"/>
      <c r="B1166" s="613"/>
      <c r="C1166" s="353"/>
      <c r="D1166" s="353"/>
      <c r="E1166" s="353"/>
      <c r="F1166" s="353"/>
      <c r="G1166" s="353"/>
      <c r="H1166" s="353"/>
      <c r="I1166" s="731"/>
      <c r="J1166" s="613"/>
      <c r="K1166" s="613"/>
      <c r="L1166" s="353"/>
      <c r="M1166" s="353"/>
      <c r="N1166" s="353"/>
      <c r="O1166" s="764"/>
      <c r="P1166" s="353"/>
      <c r="Q1166" s="353"/>
      <c r="R1166" s="353"/>
      <c r="S1166" s="353"/>
      <c r="T1166" s="353"/>
      <c r="U1166" s="353"/>
      <c r="V1166" s="731"/>
      <c r="W1166" s="353"/>
      <c r="X1166" s="353"/>
      <c r="Y1166" s="353"/>
      <c r="Z1166" s="731"/>
      <c r="AA1166" s="353"/>
      <c r="AB1166" s="731"/>
      <c r="AC1166" s="731"/>
    </row>
    <row r="1167" ht="13.8" spans="1:29">
      <c r="A1167" s="353"/>
      <c r="B1167" s="613"/>
      <c r="C1167" s="353"/>
      <c r="D1167" s="353"/>
      <c r="E1167" s="353"/>
      <c r="F1167" s="353"/>
      <c r="G1167" s="353"/>
      <c r="H1167" s="353"/>
      <c r="I1167" s="731"/>
      <c r="J1167" s="613"/>
      <c r="K1167" s="613"/>
      <c r="L1167" s="353"/>
      <c r="M1167" s="353"/>
      <c r="N1167" s="353"/>
      <c r="O1167" s="764"/>
      <c r="P1167" s="353"/>
      <c r="Q1167" s="353"/>
      <c r="R1167" s="353"/>
      <c r="S1167" s="353"/>
      <c r="T1167" s="353"/>
      <c r="U1167" s="353"/>
      <c r="V1167" s="731"/>
      <c r="W1167" s="353"/>
      <c r="X1167" s="353"/>
      <c r="Y1167" s="353"/>
      <c r="Z1167" s="731"/>
      <c r="AA1167" s="353"/>
      <c r="AB1167" s="731"/>
      <c r="AC1167" s="731"/>
    </row>
    <row r="1168" ht="13.8" spans="1:29">
      <c r="A1168" s="353"/>
      <c r="B1168" s="613"/>
      <c r="C1168" s="353"/>
      <c r="D1168" s="353"/>
      <c r="E1168" s="353"/>
      <c r="F1168" s="353"/>
      <c r="G1168" s="353"/>
      <c r="H1168" s="353"/>
      <c r="I1168" s="731"/>
      <c r="J1168" s="613"/>
      <c r="K1168" s="613"/>
      <c r="L1168" s="353"/>
      <c r="M1168" s="353"/>
      <c r="N1168" s="353"/>
      <c r="O1168" s="764"/>
      <c r="P1168" s="353"/>
      <c r="Q1168" s="353"/>
      <c r="R1168" s="353"/>
      <c r="S1168" s="353"/>
      <c r="T1168" s="353"/>
      <c r="U1168" s="353"/>
      <c r="V1168" s="731"/>
      <c r="W1168" s="353"/>
      <c r="X1168" s="353"/>
      <c r="Y1168" s="353"/>
      <c r="Z1168" s="731"/>
      <c r="AA1168" s="353"/>
      <c r="AB1168" s="731"/>
      <c r="AC1168" s="731"/>
    </row>
    <row r="1169" ht="13.8" spans="1:29">
      <c r="A1169" s="353"/>
      <c r="B1169" s="613"/>
      <c r="C1169" s="353"/>
      <c r="D1169" s="353"/>
      <c r="E1169" s="353"/>
      <c r="F1169" s="353"/>
      <c r="G1169" s="353"/>
      <c r="H1169" s="353"/>
      <c r="I1169" s="731"/>
      <c r="J1169" s="613"/>
      <c r="K1169" s="613"/>
      <c r="L1169" s="353"/>
      <c r="M1169" s="353"/>
      <c r="N1169" s="353"/>
      <c r="O1169" s="764"/>
      <c r="P1169" s="353"/>
      <c r="Q1169" s="353"/>
      <c r="R1169" s="353"/>
      <c r="S1169" s="353"/>
      <c r="T1169" s="353"/>
      <c r="U1169" s="353"/>
      <c r="V1169" s="731"/>
      <c r="W1169" s="353"/>
      <c r="X1169" s="353"/>
      <c r="Y1169" s="353"/>
      <c r="Z1169" s="731"/>
      <c r="AA1169" s="353"/>
      <c r="AB1169" s="731"/>
      <c r="AC1169" s="731"/>
    </row>
    <row r="1170" ht="13.8" spans="1:29">
      <c r="A1170" s="353"/>
      <c r="B1170" s="613"/>
      <c r="C1170" s="353"/>
      <c r="D1170" s="353"/>
      <c r="E1170" s="353"/>
      <c r="F1170" s="353"/>
      <c r="G1170" s="353"/>
      <c r="H1170" s="353"/>
      <c r="I1170" s="731"/>
      <c r="J1170" s="613"/>
      <c r="K1170" s="613"/>
      <c r="L1170" s="353"/>
      <c r="M1170" s="353"/>
      <c r="N1170" s="353"/>
      <c r="O1170" s="764"/>
      <c r="P1170" s="353"/>
      <c r="Q1170" s="353"/>
      <c r="R1170" s="353"/>
      <c r="S1170" s="353"/>
      <c r="T1170" s="353"/>
      <c r="U1170" s="353"/>
      <c r="V1170" s="731"/>
      <c r="W1170" s="353"/>
      <c r="X1170" s="353"/>
      <c r="Y1170" s="353"/>
      <c r="Z1170" s="731"/>
      <c r="AA1170" s="353"/>
      <c r="AB1170" s="731"/>
      <c r="AC1170" s="731"/>
    </row>
    <row r="1171" ht="13.8" spans="1:29">
      <c r="A1171" s="353"/>
      <c r="B1171" s="613"/>
      <c r="C1171" s="353"/>
      <c r="D1171" s="353"/>
      <c r="E1171" s="353"/>
      <c r="F1171" s="353"/>
      <c r="G1171" s="353"/>
      <c r="H1171" s="353"/>
      <c r="I1171" s="731"/>
      <c r="J1171" s="613"/>
      <c r="K1171" s="613"/>
      <c r="L1171" s="353"/>
      <c r="M1171" s="353"/>
      <c r="N1171" s="353"/>
      <c r="O1171" s="764"/>
      <c r="P1171" s="353"/>
      <c r="Q1171" s="353"/>
      <c r="R1171" s="353"/>
      <c r="S1171" s="353"/>
      <c r="T1171" s="353"/>
      <c r="U1171" s="353"/>
      <c r="V1171" s="731"/>
      <c r="W1171" s="353"/>
      <c r="X1171" s="353"/>
      <c r="Y1171" s="353"/>
      <c r="Z1171" s="731"/>
      <c r="AA1171" s="353"/>
      <c r="AB1171" s="731"/>
      <c r="AC1171" s="731"/>
    </row>
    <row r="1172" ht="13.8" spans="1:29">
      <c r="A1172" s="353"/>
      <c r="B1172" s="613"/>
      <c r="C1172" s="353"/>
      <c r="D1172" s="353"/>
      <c r="E1172" s="353"/>
      <c r="F1172" s="353"/>
      <c r="G1172" s="353"/>
      <c r="H1172" s="353"/>
      <c r="I1172" s="731"/>
      <c r="J1172" s="613"/>
      <c r="K1172" s="613"/>
      <c r="L1172" s="353"/>
      <c r="M1172" s="353"/>
      <c r="N1172" s="353"/>
      <c r="O1172" s="764"/>
      <c r="P1172" s="353"/>
      <c r="Q1172" s="353"/>
      <c r="R1172" s="353"/>
      <c r="S1172" s="353"/>
      <c r="T1172" s="353"/>
      <c r="U1172" s="353"/>
      <c r="V1172" s="731"/>
      <c r="W1172" s="353"/>
      <c r="X1172" s="353"/>
      <c r="Y1172" s="353"/>
      <c r="Z1172" s="731"/>
      <c r="AA1172" s="353"/>
      <c r="AB1172" s="731"/>
      <c r="AC1172" s="731"/>
    </row>
    <row r="1173" ht="13.8" spans="1:29">
      <c r="A1173" s="353"/>
      <c r="B1173" s="613"/>
      <c r="C1173" s="353"/>
      <c r="D1173" s="353"/>
      <c r="E1173" s="353"/>
      <c r="F1173" s="353"/>
      <c r="G1173" s="353"/>
      <c r="H1173" s="353"/>
      <c r="I1173" s="731"/>
      <c r="J1173" s="613"/>
      <c r="K1173" s="613"/>
      <c r="L1173" s="353"/>
      <c r="M1173" s="353"/>
      <c r="N1173" s="353"/>
      <c r="O1173" s="764"/>
      <c r="P1173" s="353"/>
      <c r="Q1173" s="353"/>
      <c r="R1173" s="353"/>
      <c r="S1173" s="353"/>
      <c r="T1173" s="353"/>
      <c r="U1173" s="353"/>
      <c r="V1173" s="731"/>
      <c r="W1173" s="353"/>
      <c r="X1173" s="353"/>
      <c r="Y1173" s="353"/>
      <c r="Z1173" s="731"/>
      <c r="AA1173" s="353"/>
      <c r="AB1173" s="731"/>
      <c r="AC1173" s="731"/>
    </row>
    <row r="1174" ht="13.8" spans="1:29">
      <c r="A1174" s="353"/>
      <c r="B1174" s="613"/>
      <c r="C1174" s="353"/>
      <c r="D1174" s="353"/>
      <c r="E1174" s="353"/>
      <c r="F1174" s="353"/>
      <c r="G1174" s="353"/>
      <c r="H1174" s="353"/>
      <c r="I1174" s="731"/>
      <c r="J1174" s="613"/>
      <c r="K1174" s="613"/>
      <c r="L1174" s="353"/>
      <c r="M1174" s="353"/>
      <c r="N1174" s="353"/>
      <c r="O1174" s="764"/>
      <c r="P1174" s="353"/>
      <c r="Q1174" s="353"/>
      <c r="R1174" s="353"/>
      <c r="S1174" s="353"/>
      <c r="T1174" s="353"/>
      <c r="U1174" s="353"/>
      <c r="V1174" s="731"/>
      <c r="W1174" s="353"/>
      <c r="X1174" s="353"/>
      <c r="Y1174" s="353"/>
      <c r="Z1174" s="731"/>
      <c r="AA1174" s="353"/>
      <c r="AB1174" s="731"/>
      <c r="AC1174" s="731"/>
    </row>
    <row r="1175" ht="13.8" spans="1:29">
      <c r="A1175" s="353"/>
      <c r="B1175" s="613"/>
      <c r="C1175" s="353"/>
      <c r="D1175" s="353"/>
      <c r="E1175" s="353"/>
      <c r="F1175" s="353"/>
      <c r="G1175" s="353"/>
      <c r="H1175" s="353"/>
      <c r="I1175" s="731"/>
      <c r="J1175" s="613"/>
      <c r="K1175" s="613"/>
      <c r="L1175" s="353"/>
      <c r="M1175" s="353"/>
      <c r="N1175" s="353"/>
      <c r="O1175" s="764"/>
      <c r="P1175" s="353"/>
      <c r="Q1175" s="353"/>
      <c r="R1175" s="353"/>
      <c r="S1175" s="353"/>
      <c r="T1175" s="353"/>
      <c r="U1175" s="353"/>
      <c r="V1175" s="731"/>
      <c r="W1175" s="353"/>
      <c r="X1175" s="353"/>
      <c r="Y1175" s="353"/>
      <c r="Z1175" s="731"/>
      <c r="AA1175" s="353"/>
      <c r="AB1175" s="731"/>
      <c r="AC1175" s="731"/>
    </row>
    <row r="1176" ht="13.8" spans="1:29">
      <c r="A1176" s="353"/>
      <c r="B1176" s="613"/>
      <c r="C1176" s="353"/>
      <c r="D1176" s="353"/>
      <c r="E1176" s="353"/>
      <c r="F1176" s="353"/>
      <c r="G1176" s="353"/>
      <c r="H1176" s="353"/>
      <c r="I1176" s="731"/>
      <c r="J1176" s="613"/>
      <c r="K1176" s="613"/>
      <c r="L1176" s="353"/>
      <c r="M1176" s="353"/>
      <c r="N1176" s="353"/>
      <c r="O1176" s="764"/>
      <c r="P1176" s="353"/>
      <c r="Q1176" s="353"/>
      <c r="R1176" s="353"/>
      <c r="S1176" s="353"/>
      <c r="T1176" s="353"/>
      <c r="U1176" s="353"/>
      <c r="V1176" s="731"/>
      <c r="W1176" s="353"/>
      <c r="X1176" s="353"/>
      <c r="Y1176" s="353"/>
      <c r="Z1176" s="731"/>
      <c r="AA1176" s="353"/>
      <c r="AB1176" s="731"/>
      <c r="AC1176" s="731"/>
    </row>
    <row r="1177" ht="13.8" spans="1:29">
      <c r="A1177" s="353"/>
      <c r="B1177" s="613"/>
      <c r="C1177" s="353"/>
      <c r="D1177" s="353"/>
      <c r="E1177" s="353"/>
      <c r="F1177" s="353"/>
      <c r="G1177" s="353"/>
      <c r="H1177" s="353"/>
      <c r="I1177" s="731"/>
      <c r="J1177" s="613"/>
      <c r="K1177" s="613"/>
      <c r="L1177" s="353"/>
      <c r="M1177" s="353"/>
      <c r="N1177" s="353"/>
      <c r="O1177" s="764"/>
      <c r="P1177" s="353"/>
      <c r="Q1177" s="353"/>
      <c r="R1177" s="353"/>
      <c r="S1177" s="353"/>
      <c r="T1177" s="353"/>
      <c r="U1177" s="353"/>
      <c r="V1177" s="731"/>
      <c r="W1177" s="353"/>
      <c r="X1177" s="353"/>
      <c r="Y1177" s="353"/>
      <c r="Z1177" s="731"/>
      <c r="AA1177" s="353"/>
      <c r="AB1177" s="731"/>
      <c r="AC1177" s="731"/>
    </row>
    <row r="1178" ht="13.8" spans="1:29">
      <c r="A1178" s="353"/>
      <c r="B1178" s="613"/>
      <c r="C1178" s="353"/>
      <c r="D1178" s="353"/>
      <c r="E1178" s="353"/>
      <c r="F1178" s="353"/>
      <c r="G1178" s="353"/>
      <c r="H1178" s="353"/>
      <c r="I1178" s="731"/>
      <c r="J1178" s="613"/>
      <c r="K1178" s="613"/>
      <c r="L1178" s="353"/>
      <c r="M1178" s="353"/>
      <c r="N1178" s="353"/>
      <c r="O1178" s="764"/>
      <c r="P1178" s="353"/>
      <c r="Q1178" s="353"/>
      <c r="R1178" s="353"/>
      <c r="S1178" s="353"/>
      <c r="T1178" s="353"/>
      <c r="U1178" s="353"/>
      <c r="V1178" s="731"/>
      <c r="W1178" s="353"/>
      <c r="X1178" s="353"/>
      <c r="Y1178" s="353"/>
      <c r="Z1178" s="731"/>
      <c r="AA1178" s="353"/>
      <c r="AB1178" s="731"/>
      <c r="AC1178" s="731"/>
    </row>
    <row r="1179" ht="13.8" spans="1:29">
      <c r="A1179" s="353"/>
      <c r="B1179" s="613"/>
      <c r="C1179" s="353"/>
      <c r="D1179" s="353"/>
      <c r="E1179" s="353"/>
      <c r="F1179" s="353"/>
      <c r="G1179" s="353"/>
      <c r="H1179" s="353"/>
      <c r="I1179" s="731"/>
      <c r="J1179" s="613"/>
      <c r="K1179" s="613"/>
      <c r="L1179" s="353"/>
      <c r="M1179" s="353"/>
      <c r="N1179" s="353"/>
      <c r="O1179" s="764"/>
      <c r="P1179" s="353"/>
      <c r="Q1179" s="353"/>
      <c r="R1179" s="353"/>
      <c r="S1179" s="353"/>
      <c r="T1179" s="353"/>
      <c r="U1179" s="353"/>
      <c r="V1179" s="731"/>
      <c r="W1179" s="353"/>
      <c r="X1179" s="353"/>
      <c r="Y1179" s="353"/>
      <c r="Z1179" s="731"/>
      <c r="AA1179" s="353"/>
      <c r="AB1179" s="731"/>
      <c r="AC1179" s="731"/>
    </row>
    <row r="1180" ht="13.8" spans="1:29">
      <c r="A1180" s="353"/>
      <c r="B1180" s="613"/>
      <c r="C1180" s="353"/>
      <c r="D1180" s="353"/>
      <c r="E1180" s="353"/>
      <c r="F1180" s="353"/>
      <c r="G1180" s="353"/>
      <c r="H1180" s="353"/>
      <c r="I1180" s="731"/>
      <c r="J1180" s="613"/>
      <c r="K1180" s="613"/>
      <c r="L1180" s="353"/>
      <c r="M1180" s="353"/>
      <c r="N1180" s="353"/>
      <c r="O1180" s="764"/>
      <c r="P1180" s="353"/>
      <c r="Q1180" s="353"/>
      <c r="R1180" s="353"/>
      <c r="S1180" s="353"/>
      <c r="T1180" s="353"/>
      <c r="U1180" s="353"/>
      <c r="V1180" s="731"/>
      <c r="W1180" s="353"/>
      <c r="X1180" s="353"/>
      <c r="Y1180" s="353"/>
      <c r="Z1180" s="731"/>
      <c r="AA1180" s="353"/>
      <c r="AB1180" s="731"/>
      <c r="AC1180" s="731"/>
    </row>
    <row r="1181" ht="13.8" spans="1:29">
      <c r="A1181" s="353"/>
      <c r="B1181" s="613"/>
      <c r="C1181" s="353"/>
      <c r="D1181" s="353"/>
      <c r="E1181" s="353"/>
      <c r="F1181" s="353"/>
      <c r="G1181" s="353"/>
      <c r="H1181" s="353"/>
      <c r="I1181" s="731"/>
      <c r="J1181" s="613"/>
      <c r="K1181" s="613"/>
      <c r="L1181" s="353"/>
      <c r="M1181" s="353"/>
      <c r="N1181" s="353"/>
      <c r="O1181" s="764"/>
      <c r="P1181" s="353"/>
      <c r="Q1181" s="353"/>
      <c r="R1181" s="353"/>
      <c r="S1181" s="353"/>
      <c r="T1181" s="353"/>
      <c r="U1181" s="353"/>
      <c r="V1181" s="731"/>
      <c r="W1181" s="353"/>
      <c r="X1181" s="353"/>
      <c r="Y1181" s="353"/>
      <c r="Z1181" s="731"/>
      <c r="AA1181" s="353"/>
      <c r="AB1181" s="731"/>
      <c r="AC1181" s="731"/>
    </row>
    <row r="1182" ht="13.8" spans="1:29">
      <c r="A1182" s="353"/>
      <c r="B1182" s="613"/>
      <c r="C1182" s="353"/>
      <c r="D1182" s="353"/>
      <c r="E1182" s="353"/>
      <c r="F1182" s="353"/>
      <c r="G1182" s="353"/>
      <c r="H1182" s="353"/>
      <c r="I1182" s="731"/>
      <c r="J1182" s="613"/>
      <c r="K1182" s="613"/>
      <c r="L1182" s="353"/>
      <c r="M1182" s="353"/>
      <c r="N1182" s="353"/>
      <c r="O1182" s="764"/>
      <c r="P1182" s="353"/>
      <c r="Q1182" s="353"/>
      <c r="R1182" s="353"/>
      <c r="S1182" s="353"/>
      <c r="T1182" s="353"/>
      <c r="U1182" s="353"/>
      <c r="V1182" s="731"/>
      <c r="W1182" s="353"/>
      <c r="X1182" s="353"/>
      <c r="Y1182" s="353"/>
      <c r="Z1182" s="731"/>
      <c r="AA1182" s="353"/>
      <c r="AB1182" s="731"/>
      <c r="AC1182" s="731"/>
    </row>
    <row r="1183" ht="13.8" spans="1:29">
      <c r="A1183" s="353"/>
      <c r="B1183" s="613"/>
      <c r="C1183" s="353"/>
      <c r="D1183" s="353"/>
      <c r="E1183" s="353"/>
      <c r="F1183" s="353"/>
      <c r="G1183" s="353"/>
      <c r="H1183" s="353"/>
      <c r="I1183" s="731"/>
      <c r="J1183" s="613"/>
      <c r="K1183" s="613"/>
      <c r="L1183" s="353"/>
      <c r="M1183" s="353"/>
      <c r="N1183" s="353"/>
      <c r="O1183" s="764"/>
      <c r="P1183" s="353"/>
      <c r="Q1183" s="353"/>
      <c r="R1183" s="353"/>
      <c r="S1183" s="353"/>
      <c r="T1183" s="353"/>
      <c r="U1183" s="353"/>
      <c r="V1183" s="731"/>
      <c r="W1183" s="353"/>
      <c r="X1183" s="353"/>
      <c r="Y1183" s="353"/>
      <c r="Z1183" s="731"/>
      <c r="AA1183" s="353"/>
      <c r="AB1183" s="731"/>
      <c r="AC1183" s="731"/>
    </row>
    <row r="1184" ht="13.8" spans="1:29">
      <c r="A1184" s="353"/>
      <c r="B1184" s="613"/>
      <c r="C1184" s="353"/>
      <c r="D1184" s="353"/>
      <c r="E1184" s="353"/>
      <c r="F1184" s="353"/>
      <c r="G1184" s="353"/>
      <c r="H1184" s="353"/>
      <c r="I1184" s="731"/>
      <c r="J1184" s="613"/>
      <c r="K1184" s="613"/>
      <c r="L1184" s="353"/>
      <c r="M1184" s="353"/>
      <c r="N1184" s="353"/>
      <c r="O1184" s="764"/>
      <c r="P1184" s="353"/>
      <c r="Q1184" s="353"/>
      <c r="R1184" s="353"/>
      <c r="S1184" s="353"/>
      <c r="T1184" s="353"/>
      <c r="U1184" s="353"/>
      <c r="V1184" s="731"/>
      <c r="W1184" s="353"/>
      <c r="X1184" s="353"/>
      <c r="Y1184" s="353"/>
      <c r="Z1184" s="731"/>
      <c r="AA1184" s="353"/>
      <c r="AB1184" s="731"/>
      <c r="AC1184" s="731"/>
    </row>
    <row r="1185" ht="13.8" spans="1:29">
      <c r="A1185" s="353"/>
      <c r="B1185" s="613"/>
      <c r="C1185" s="353"/>
      <c r="D1185" s="353"/>
      <c r="E1185" s="353"/>
      <c r="F1185" s="353"/>
      <c r="G1185" s="353"/>
      <c r="H1185" s="353"/>
      <c r="I1185" s="731"/>
      <c r="J1185" s="613"/>
      <c r="K1185" s="613"/>
      <c r="L1185" s="353"/>
      <c r="M1185" s="353"/>
      <c r="N1185" s="353"/>
      <c r="O1185" s="764"/>
      <c r="P1185" s="353"/>
      <c r="Q1185" s="353"/>
      <c r="R1185" s="353"/>
      <c r="S1185" s="353"/>
      <c r="T1185" s="353"/>
      <c r="U1185" s="353"/>
      <c r="V1185" s="731"/>
      <c r="W1185" s="353"/>
      <c r="X1185" s="353"/>
      <c r="Y1185" s="353"/>
      <c r="Z1185" s="731"/>
      <c r="AA1185" s="353"/>
      <c r="AB1185" s="731"/>
      <c r="AC1185" s="731"/>
    </row>
    <row r="1186" ht="13.8" spans="1:29">
      <c r="A1186" s="353"/>
      <c r="B1186" s="613"/>
      <c r="C1186" s="353"/>
      <c r="D1186" s="353"/>
      <c r="E1186" s="353"/>
      <c r="F1186" s="353"/>
      <c r="G1186" s="353"/>
      <c r="H1186" s="353"/>
      <c r="I1186" s="731"/>
      <c r="J1186" s="613"/>
      <c r="K1186" s="613"/>
      <c r="L1186" s="353"/>
      <c r="M1186" s="353"/>
      <c r="N1186" s="353"/>
      <c r="O1186" s="764"/>
      <c r="P1186" s="353"/>
      <c r="Q1186" s="353"/>
      <c r="R1186" s="353"/>
      <c r="S1186" s="353"/>
      <c r="T1186" s="353"/>
      <c r="U1186" s="353"/>
      <c r="V1186" s="731"/>
      <c r="W1186" s="353"/>
      <c r="X1186" s="353"/>
      <c r="Y1186" s="353"/>
      <c r="Z1186" s="731"/>
      <c r="AA1186" s="353"/>
      <c r="AB1186" s="731"/>
      <c r="AC1186" s="731"/>
    </row>
    <row r="1187" ht="13.8" spans="1:29">
      <c r="A1187" s="353"/>
      <c r="B1187" s="613"/>
      <c r="C1187" s="353"/>
      <c r="D1187" s="353"/>
      <c r="E1187" s="353"/>
      <c r="F1187" s="353"/>
      <c r="G1187" s="353"/>
      <c r="H1187" s="353"/>
      <c r="I1187" s="731"/>
      <c r="J1187" s="613"/>
      <c r="K1187" s="613"/>
      <c r="L1187" s="353"/>
      <c r="M1187" s="353"/>
      <c r="N1187" s="353"/>
      <c r="O1187" s="764"/>
      <c r="P1187" s="353"/>
      <c r="Q1187" s="353"/>
      <c r="R1187" s="353"/>
      <c r="S1187" s="353"/>
      <c r="T1187" s="353"/>
      <c r="U1187" s="353"/>
      <c r="V1187" s="731"/>
      <c r="W1187" s="353"/>
      <c r="X1187" s="353"/>
      <c r="Y1187" s="353"/>
      <c r="Z1187" s="731"/>
      <c r="AA1187" s="353"/>
      <c r="AB1187" s="731"/>
      <c r="AC1187" s="731"/>
    </row>
    <row r="1188" ht="13.8" spans="1:29">
      <c r="A1188" s="353"/>
      <c r="B1188" s="613"/>
      <c r="C1188" s="353"/>
      <c r="D1188" s="353"/>
      <c r="E1188" s="353"/>
      <c r="F1188" s="353"/>
      <c r="G1188" s="353"/>
      <c r="H1188" s="353"/>
      <c r="I1188" s="731"/>
      <c r="J1188" s="613"/>
      <c r="K1188" s="613"/>
      <c r="L1188" s="353"/>
      <c r="M1188" s="353"/>
      <c r="N1188" s="353"/>
      <c r="O1188" s="764"/>
      <c r="P1188" s="353"/>
      <c r="Q1188" s="353"/>
      <c r="R1188" s="353"/>
      <c r="S1188" s="353"/>
      <c r="T1188" s="353"/>
      <c r="U1188" s="353"/>
      <c r="V1188" s="731"/>
      <c r="W1188" s="353"/>
      <c r="X1188" s="353"/>
      <c r="Y1188" s="353"/>
      <c r="Z1188" s="731"/>
      <c r="AA1188" s="353"/>
      <c r="AB1188" s="731"/>
      <c r="AC1188" s="731"/>
    </row>
    <row r="1189" ht="13.8" spans="1:29">
      <c r="A1189" s="353"/>
      <c r="B1189" s="613"/>
      <c r="C1189" s="353"/>
      <c r="D1189" s="353"/>
      <c r="E1189" s="353"/>
      <c r="F1189" s="353"/>
      <c r="G1189" s="353"/>
      <c r="H1189" s="353"/>
      <c r="I1189" s="731"/>
      <c r="J1189" s="613"/>
      <c r="K1189" s="613"/>
      <c r="L1189" s="353"/>
      <c r="M1189" s="353"/>
      <c r="N1189" s="353"/>
      <c r="O1189" s="764"/>
      <c r="P1189" s="353"/>
      <c r="Q1189" s="353"/>
      <c r="R1189" s="353"/>
      <c r="S1189" s="353"/>
      <c r="T1189" s="353"/>
      <c r="U1189" s="353"/>
      <c r="V1189" s="731"/>
      <c r="W1189" s="353"/>
      <c r="X1189" s="353"/>
      <c r="Y1189" s="353"/>
      <c r="Z1189" s="731"/>
      <c r="AA1189" s="353"/>
      <c r="AB1189" s="731"/>
      <c r="AC1189" s="731"/>
    </row>
    <row r="1190" ht="13.8" spans="1:29">
      <c r="A1190" s="353"/>
      <c r="B1190" s="613"/>
      <c r="C1190" s="353"/>
      <c r="D1190" s="353"/>
      <c r="E1190" s="353"/>
      <c r="F1190" s="353"/>
      <c r="G1190" s="353"/>
      <c r="H1190" s="353"/>
      <c r="I1190" s="731"/>
      <c r="J1190" s="613"/>
      <c r="K1190" s="613"/>
      <c r="L1190" s="353"/>
      <c r="M1190" s="353"/>
      <c r="N1190" s="353"/>
      <c r="O1190" s="764"/>
      <c r="P1190" s="353"/>
      <c r="Q1190" s="353"/>
      <c r="R1190" s="353"/>
      <c r="S1190" s="353"/>
      <c r="T1190" s="353"/>
      <c r="U1190" s="353"/>
      <c r="V1190" s="731"/>
      <c r="W1190" s="353"/>
      <c r="X1190" s="353"/>
      <c r="Y1190" s="353"/>
      <c r="Z1190" s="731"/>
      <c r="AA1190" s="353"/>
      <c r="AB1190" s="731"/>
      <c r="AC1190" s="731"/>
    </row>
    <row r="1191" ht="13.8" spans="1:29">
      <c r="A1191" s="353"/>
      <c r="B1191" s="613"/>
      <c r="C1191" s="353"/>
      <c r="D1191" s="353"/>
      <c r="E1191" s="353"/>
      <c r="F1191" s="353"/>
      <c r="G1191" s="353"/>
      <c r="H1191" s="353"/>
      <c r="I1191" s="731"/>
      <c r="J1191" s="613"/>
      <c r="K1191" s="613"/>
      <c r="L1191" s="353"/>
      <c r="M1191" s="353"/>
      <c r="N1191" s="353"/>
      <c r="O1191" s="764"/>
      <c r="P1191" s="353"/>
      <c r="Q1191" s="353"/>
      <c r="R1191" s="353"/>
      <c r="S1191" s="353"/>
      <c r="T1191" s="353"/>
      <c r="U1191" s="353"/>
      <c r="V1191" s="731"/>
      <c r="W1191" s="353"/>
      <c r="X1191" s="353"/>
      <c r="Y1191" s="353"/>
      <c r="Z1191" s="731"/>
      <c r="AA1191" s="353"/>
      <c r="AB1191" s="731"/>
      <c r="AC1191" s="731"/>
    </row>
    <row r="1192" ht="13.8" spans="1:29">
      <c r="A1192" s="353"/>
      <c r="B1192" s="613"/>
      <c r="C1192" s="353"/>
      <c r="D1192" s="353"/>
      <c r="E1192" s="353"/>
      <c r="F1192" s="353"/>
      <c r="G1192" s="353"/>
      <c r="H1192" s="353"/>
      <c r="I1192" s="731"/>
      <c r="J1192" s="613"/>
      <c r="K1192" s="613"/>
      <c r="L1192" s="353"/>
      <c r="M1192" s="353"/>
      <c r="N1192" s="353"/>
      <c r="O1192" s="764"/>
      <c r="P1192" s="353"/>
      <c r="Q1192" s="353"/>
      <c r="R1192" s="353"/>
      <c r="S1192" s="353"/>
      <c r="T1192" s="353"/>
      <c r="U1192" s="353"/>
      <c r="V1192" s="731"/>
      <c r="W1192" s="353"/>
      <c r="X1192" s="353"/>
      <c r="Y1192" s="353"/>
      <c r="Z1192" s="731"/>
      <c r="AA1192" s="353"/>
      <c r="AB1192" s="731"/>
      <c r="AC1192" s="731"/>
    </row>
    <row r="1193" ht="13.8" spans="1:29">
      <c r="A1193" s="353"/>
      <c r="B1193" s="613"/>
      <c r="C1193" s="353"/>
      <c r="D1193" s="353"/>
      <c r="E1193" s="353"/>
      <c r="F1193" s="353"/>
      <c r="G1193" s="353"/>
      <c r="H1193" s="353"/>
      <c r="I1193" s="731"/>
      <c r="J1193" s="613"/>
      <c r="K1193" s="613"/>
      <c r="L1193" s="353"/>
      <c r="M1193" s="353"/>
      <c r="N1193" s="353"/>
      <c r="O1193" s="764"/>
      <c r="P1193" s="353"/>
      <c r="Q1193" s="353"/>
      <c r="R1193" s="353"/>
      <c r="S1193" s="353"/>
      <c r="T1193" s="353"/>
      <c r="U1193" s="353"/>
      <c r="V1193" s="731"/>
      <c r="W1193" s="353"/>
      <c r="X1193" s="353"/>
      <c r="Y1193" s="353"/>
      <c r="Z1193" s="731"/>
      <c r="AA1193" s="353"/>
      <c r="AB1193" s="731"/>
      <c r="AC1193" s="731"/>
    </row>
    <row r="1194" ht="13.8" spans="1:29">
      <c r="A1194" s="353"/>
      <c r="B1194" s="613"/>
      <c r="C1194" s="353"/>
      <c r="D1194" s="353"/>
      <c r="E1194" s="353"/>
      <c r="F1194" s="353"/>
      <c r="G1194" s="353"/>
      <c r="H1194" s="353"/>
      <c r="I1194" s="731"/>
      <c r="J1194" s="613"/>
      <c r="K1194" s="613"/>
      <c r="L1194" s="353"/>
      <c r="M1194" s="353"/>
      <c r="N1194" s="353"/>
      <c r="O1194" s="764"/>
      <c r="P1194" s="353"/>
      <c r="Q1194" s="353"/>
      <c r="R1194" s="353"/>
      <c r="S1194" s="353"/>
      <c r="T1194" s="353"/>
      <c r="U1194" s="353"/>
      <c r="V1194" s="731"/>
      <c r="W1194" s="353"/>
      <c r="X1194" s="353"/>
      <c r="Y1194" s="353"/>
      <c r="Z1194" s="731"/>
      <c r="AA1194" s="353"/>
      <c r="AB1194" s="731"/>
      <c r="AC1194" s="731"/>
    </row>
    <row r="1195" ht="13.8" spans="1:29">
      <c r="A1195" s="353"/>
      <c r="B1195" s="613"/>
      <c r="C1195" s="353"/>
      <c r="D1195" s="353"/>
      <c r="E1195" s="353"/>
      <c r="F1195" s="353"/>
      <c r="G1195" s="353"/>
      <c r="H1195" s="353"/>
      <c r="I1195" s="731"/>
      <c r="J1195" s="613"/>
      <c r="K1195" s="613"/>
      <c r="L1195" s="353"/>
      <c r="M1195" s="353"/>
      <c r="N1195" s="353"/>
      <c r="O1195" s="764"/>
      <c r="P1195" s="353"/>
      <c r="Q1195" s="353"/>
      <c r="R1195" s="353"/>
      <c r="S1195" s="353"/>
      <c r="T1195" s="353"/>
      <c r="U1195" s="353"/>
      <c r="V1195" s="731"/>
      <c r="W1195" s="353"/>
      <c r="X1195" s="353"/>
      <c r="Y1195" s="353"/>
      <c r="Z1195" s="731"/>
      <c r="AA1195" s="353"/>
      <c r="AB1195" s="731"/>
      <c r="AC1195" s="731"/>
    </row>
    <row r="1196" ht="13.8" spans="1:29">
      <c r="A1196" s="353"/>
      <c r="B1196" s="613"/>
      <c r="C1196" s="353"/>
      <c r="D1196" s="353"/>
      <c r="E1196" s="353"/>
      <c r="F1196" s="353"/>
      <c r="G1196" s="353"/>
      <c r="H1196" s="353"/>
      <c r="I1196" s="731"/>
      <c r="J1196" s="613"/>
      <c r="K1196" s="613"/>
      <c r="L1196" s="353"/>
      <c r="M1196" s="353"/>
      <c r="N1196" s="353"/>
      <c r="O1196" s="764"/>
      <c r="P1196" s="353"/>
      <c r="Q1196" s="353"/>
      <c r="R1196" s="353"/>
      <c r="S1196" s="353"/>
      <c r="T1196" s="353"/>
      <c r="U1196" s="353"/>
      <c r="V1196" s="731"/>
      <c r="W1196" s="353"/>
      <c r="X1196" s="353"/>
      <c r="Y1196" s="353"/>
      <c r="Z1196" s="731"/>
      <c r="AA1196" s="353"/>
      <c r="AB1196" s="731"/>
      <c r="AC1196" s="731"/>
    </row>
    <row r="1197" ht="13.8" spans="1:29">
      <c r="A1197" s="353"/>
      <c r="B1197" s="613"/>
      <c r="C1197" s="353"/>
      <c r="D1197" s="353"/>
      <c r="E1197" s="353"/>
      <c r="F1197" s="353"/>
      <c r="G1197" s="353"/>
      <c r="H1197" s="353"/>
      <c r="I1197" s="731"/>
      <c r="J1197" s="613"/>
      <c r="K1197" s="613"/>
      <c r="L1197" s="353"/>
      <c r="M1197" s="353"/>
      <c r="N1197" s="353"/>
      <c r="O1197" s="764"/>
      <c r="P1197" s="353"/>
      <c r="Q1197" s="353"/>
      <c r="R1197" s="353"/>
      <c r="S1197" s="353"/>
      <c r="T1197" s="353"/>
      <c r="U1197" s="353"/>
      <c r="V1197" s="731"/>
      <c r="W1197" s="353"/>
      <c r="X1197" s="353"/>
      <c r="Y1197" s="353"/>
      <c r="Z1197" s="731"/>
      <c r="AA1197" s="353"/>
      <c r="AB1197" s="731"/>
      <c r="AC1197" s="731"/>
    </row>
    <row r="1198" ht="13.8" spans="1:29">
      <c r="A1198" s="353"/>
      <c r="B1198" s="613"/>
      <c r="C1198" s="353"/>
      <c r="D1198" s="353"/>
      <c r="E1198" s="353"/>
      <c r="F1198" s="353"/>
      <c r="G1198" s="353"/>
      <c r="H1198" s="353"/>
      <c r="I1198" s="731"/>
      <c r="J1198" s="613"/>
      <c r="K1198" s="613"/>
      <c r="L1198" s="353"/>
      <c r="M1198" s="353"/>
      <c r="N1198" s="353"/>
      <c r="O1198" s="764"/>
      <c r="P1198" s="353"/>
      <c r="Q1198" s="353"/>
      <c r="R1198" s="353"/>
      <c r="S1198" s="353"/>
      <c r="T1198" s="353"/>
      <c r="U1198" s="353"/>
      <c r="V1198" s="731"/>
      <c r="W1198" s="353"/>
      <c r="X1198" s="353"/>
      <c r="Y1198" s="353"/>
      <c r="Z1198" s="731"/>
      <c r="AA1198" s="353"/>
      <c r="AB1198" s="731"/>
      <c r="AC1198" s="731"/>
    </row>
    <row r="1199" ht="13.8" spans="1:29">
      <c r="A1199" s="353"/>
      <c r="B1199" s="613"/>
      <c r="C1199" s="353"/>
      <c r="D1199" s="353"/>
      <c r="E1199" s="353"/>
      <c r="F1199" s="353"/>
      <c r="G1199" s="353"/>
      <c r="H1199" s="353"/>
      <c r="I1199" s="731"/>
      <c r="J1199" s="613"/>
      <c r="K1199" s="613"/>
      <c r="L1199" s="353"/>
      <c r="M1199" s="353"/>
      <c r="N1199" s="353"/>
      <c r="O1199" s="764"/>
      <c r="P1199" s="353"/>
      <c r="Q1199" s="353"/>
      <c r="R1199" s="353"/>
      <c r="S1199" s="353"/>
      <c r="T1199" s="353"/>
      <c r="U1199" s="353"/>
      <c r="V1199" s="731"/>
      <c r="W1199" s="353"/>
      <c r="X1199" s="353"/>
      <c r="Y1199" s="353"/>
      <c r="Z1199" s="731"/>
      <c r="AA1199" s="353"/>
      <c r="AB1199" s="731"/>
      <c r="AC1199" s="731"/>
    </row>
    <row r="1200" ht="13.8" spans="1:29">
      <c r="A1200" s="353"/>
      <c r="B1200" s="613"/>
      <c r="C1200" s="353"/>
      <c r="D1200" s="353"/>
      <c r="E1200" s="353"/>
      <c r="F1200" s="353"/>
      <c r="G1200" s="353"/>
      <c r="H1200" s="353"/>
      <c r="I1200" s="731"/>
      <c r="J1200" s="613"/>
      <c r="K1200" s="613"/>
      <c r="L1200" s="353"/>
      <c r="M1200" s="353"/>
      <c r="N1200" s="353"/>
      <c r="O1200" s="764"/>
      <c r="P1200" s="353"/>
      <c r="Q1200" s="353"/>
      <c r="R1200" s="353"/>
      <c r="S1200" s="353"/>
      <c r="T1200" s="353"/>
      <c r="U1200" s="353"/>
      <c r="V1200" s="731"/>
      <c r="W1200" s="353"/>
      <c r="X1200" s="353"/>
      <c r="Y1200" s="353"/>
      <c r="Z1200" s="731"/>
      <c r="AA1200" s="353"/>
      <c r="AB1200" s="731"/>
      <c r="AC1200" s="731"/>
    </row>
    <row r="1201" ht="13.8" spans="1:29">
      <c r="A1201" s="353"/>
      <c r="B1201" s="613"/>
      <c r="C1201" s="353"/>
      <c r="D1201" s="353"/>
      <c r="E1201" s="353"/>
      <c r="F1201" s="353"/>
      <c r="G1201" s="353"/>
      <c r="H1201" s="353"/>
      <c r="I1201" s="731"/>
      <c r="J1201" s="613"/>
      <c r="K1201" s="613"/>
      <c r="L1201" s="353"/>
      <c r="M1201" s="353"/>
      <c r="N1201" s="353"/>
      <c r="O1201" s="764"/>
      <c r="P1201" s="353"/>
      <c r="Q1201" s="353"/>
      <c r="R1201" s="353"/>
      <c r="S1201" s="353"/>
      <c r="T1201" s="353"/>
      <c r="U1201" s="353"/>
      <c r="V1201" s="731"/>
      <c r="W1201" s="353"/>
      <c r="X1201" s="353"/>
      <c r="Y1201" s="353"/>
      <c r="Z1201" s="731"/>
      <c r="AA1201" s="353"/>
      <c r="AB1201" s="731"/>
      <c r="AC1201" s="731"/>
    </row>
    <row r="1202" ht="13.8" spans="1:29">
      <c r="A1202" s="353"/>
      <c r="B1202" s="613"/>
      <c r="C1202" s="353"/>
      <c r="D1202" s="353"/>
      <c r="E1202" s="353"/>
      <c r="F1202" s="353"/>
      <c r="G1202" s="353"/>
      <c r="H1202" s="353"/>
      <c r="I1202" s="731"/>
      <c r="J1202" s="613"/>
      <c r="K1202" s="613"/>
      <c r="L1202" s="353"/>
      <c r="M1202" s="353"/>
      <c r="N1202" s="353"/>
      <c r="O1202" s="764"/>
      <c r="P1202" s="353"/>
      <c r="Q1202" s="353"/>
      <c r="R1202" s="353"/>
      <c r="S1202" s="353"/>
      <c r="T1202" s="353"/>
      <c r="U1202" s="353"/>
      <c r="V1202" s="731"/>
      <c r="W1202" s="353"/>
      <c r="X1202" s="353"/>
      <c r="Y1202" s="353"/>
      <c r="Z1202" s="731"/>
      <c r="AA1202" s="353"/>
      <c r="AB1202" s="731"/>
      <c r="AC1202" s="731"/>
    </row>
    <row r="1203" ht="13.8" spans="1:29">
      <c r="A1203" s="353"/>
      <c r="B1203" s="613"/>
      <c r="C1203" s="353"/>
      <c r="D1203" s="353"/>
      <c r="E1203" s="353"/>
      <c r="F1203" s="353"/>
      <c r="G1203" s="353"/>
      <c r="H1203" s="353"/>
      <c r="I1203" s="731"/>
      <c r="J1203" s="613"/>
      <c r="K1203" s="613"/>
      <c r="L1203" s="353"/>
      <c r="M1203" s="353"/>
      <c r="N1203" s="353"/>
      <c r="O1203" s="764"/>
      <c r="P1203" s="353"/>
      <c r="Q1203" s="353"/>
      <c r="R1203" s="353"/>
      <c r="S1203" s="353"/>
      <c r="T1203" s="353"/>
      <c r="U1203" s="353"/>
      <c r="V1203" s="731"/>
      <c r="W1203" s="353"/>
      <c r="X1203" s="353"/>
      <c r="Y1203" s="353"/>
      <c r="Z1203" s="731"/>
      <c r="AA1203" s="353"/>
      <c r="AB1203" s="731"/>
      <c r="AC1203" s="731"/>
    </row>
    <row r="1204" ht="13.8" spans="1:29">
      <c r="A1204" s="353"/>
      <c r="B1204" s="613"/>
      <c r="C1204" s="353"/>
      <c r="D1204" s="353"/>
      <c r="E1204" s="353"/>
      <c r="F1204" s="353"/>
      <c r="G1204" s="353"/>
      <c r="H1204" s="353"/>
      <c r="I1204" s="731"/>
      <c r="J1204" s="613"/>
      <c r="K1204" s="613"/>
      <c r="L1204" s="353"/>
      <c r="M1204" s="353"/>
      <c r="N1204" s="353"/>
      <c r="O1204" s="764"/>
      <c r="P1204" s="353"/>
      <c r="Q1204" s="353"/>
      <c r="R1204" s="353"/>
      <c r="S1204" s="353"/>
      <c r="T1204" s="353"/>
      <c r="U1204" s="353"/>
      <c r="V1204" s="731"/>
      <c r="W1204" s="353"/>
      <c r="X1204" s="353"/>
      <c r="Y1204" s="353"/>
      <c r="Z1204" s="731"/>
      <c r="AA1204" s="353"/>
      <c r="AB1204" s="731"/>
      <c r="AC1204" s="731"/>
    </row>
    <row r="1205" ht="13.8" spans="1:29">
      <c r="A1205" s="353"/>
      <c r="B1205" s="613"/>
      <c r="C1205" s="353"/>
      <c r="D1205" s="353"/>
      <c r="E1205" s="353"/>
      <c r="F1205" s="353"/>
      <c r="G1205" s="353"/>
      <c r="H1205" s="353"/>
      <c r="I1205" s="731"/>
      <c r="J1205" s="613"/>
      <c r="K1205" s="613"/>
      <c r="L1205" s="353"/>
      <c r="M1205" s="353"/>
      <c r="N1205" s="353"/>
      <c r="O1205" s="764"/>
      <c r="P1205" s="353"/>
      <c r="Q1205" s="353"/>
      <c r="R1205" s="353"/>
      <c r="S1205" s="353"/>
      <c r="T1205" s="353"/>
      <c r="U1205" s="353"/>
      <c r="V1205" s="731"/>
      <c r="W1205" s="353"/>
      <c r="X1205" s="353"/>
      <c r="Y1205" s="353"/>
      <c r="Z1205" s="731"/>
      <c r="AA1205" s="353"/>
      <c r="AB1205" s="731"/>
      <c r="AC1205" s="731"/>
    </row>
    <row r="1206" ht="13.8" spans="1:29">
      <c r="A1206" s="353"/>
      <c r="B1206" s="613"/>
      <c r="C1206" s="353"/>
      <c r="D1206" s="353"/>
      <c r="E1206" s="353"/>
      <c r="F1206" s="353"/>
      <c r="G1206" s="353"/>
      <c r="H1206" s="353"/>
      <c r="I1206" s="731"/>
      <c r="J1206" s="613"/>
      <c r="K1206" s="613"/>
      <c r="L1206" s="353"/>
      <c r="M1206" s="353"/>
      <c r="N1206" s="353"/>
      <c r="O1206" s="764"/>
      <c r="P1206" s="353"/>
      <c r="Q1206" s="353"/>
      <c r="R1206" s="353"/>
      <c r="S1206" s="353"/>
      <c r="T1206" s="353"/>
      <c r="U1206" s="353"/>
      <c r="V1206" s="731"/>
      <c r="W1206" s="353"/>
      <c r="X1206" s="353"/>
      <c r="Y1206" s="353"/>
      <c r="Z1206" s="731"/>
      <c r="AA1206" s="353"/>
      <c r="AB1206" s="731"/>
      <c r="AC1206" s="731"/>
    </row>
    <row r="1207" ht="13.8" spans="1:29">
      <c r="A1207" s="353"/>
      <c r="B1207" s="613"/>
      <c r="C1207" s="353"/>
      <c r="D1207" s="353"/>
      <c r="E1207" s="353"/>
      <c r="F1207" s="353"/>
      <c r="G1207" s="353"/>
      <c r="H1207" s="353"/>
      <c r="I1207" s="731"/>
      <c r="J1207" s="613"/>
      <c r="K1207" s="613"/>
      <c r="L1207" s="353"/>
      <c r="M1207" s="353"/>
      <c r="N1207" s="353"/>
      <c r="O1207" s="764"/>
      <c r="P1207" s="353"/>
      <c r="Q1207" s="353"/>
      <c r="R1207" s="353"/>
      <c r="S1207" s="353"/>
      <c r="T1207" s="353"/>
      <c r="U1207" s="353"/>
      <c r="V1207" s="731"/>
      <c r="W1207" s="353"/>
      <c r="X1207" s="353"/>
      <c r="Y1207" s="353"/>
      <c r="Z1207" s="731"/>
      <c r="AA1207" s="353"/>
      <c r="AB1207" s="731"/>
      <c r="AC1207" s="731"/>
    </row>
    <row r="1208" ht="13.8" spans="1:29">
      <c r="A1208" s="353"/>
      <c r="B1208" s="613"/>
      <c r="C1208" s="353"/>
      <c r="D1208" s="353"/>
      <c r="E1208" s="353"/>
      <c r="F1208" s="353"/>
      <c r="G1208" s="353"/>
      <c r="H1208" s="353"/>
      <c r="I1208" s="731"/>
      <c r="J1208" s="613"/>
      <c r="K1208" s="613"/>
      <c r="L1208" s="353"/>
      <c r="M1208" s="353"/>
      <c r="N1208" s="353"/>
      <c r="O1208" s="764"/>
      <c r="P1208" s="353"/>
      <c r="Q1208" s="353"/>
      <c r="R1208" s="353"/>
      <c r="S1208" s="353"/>
      <c r="T1208" s="353"/>
      <c r="U1208" s="353"/>
      <c r="V1208" s="731"/>
      <c r="W1208" s="353"/>
      <c r="X1208" s="353"/>
      <c r="Y1208" s="353"/>
      <c r="Z1208" s="731"/>
      <c r="AA1208" s="353"/>
      <c r="AB1208" s="731"/>
      <c r="AC1208" s="731"/>
    </row>
    <row r="1209" ht="13.8" spans="1:29">
      <c r="A1209" s="353"/>
      <c r="B1209" s="613"/>
      <c r="C1209" s="353"/>
      <c r="D1209" s="353"/>
      <c r="E1209" s="353"/>
      <c r="F1209" s="353"/>
      <c r="G1209" s="353"/>
      <c r="H1209" s="353"/>
      <c r="I1209" s="731"/>
      <c r="J1209" s="613"/>
      <c r="K1209" s="613"/>
      <c r="L1209" s="353"/>
      <c r="M1209" s="353"/>
      <c r="N1209" s="353"/>
      <c r="O1209" s="764"/>
      <c r="P1209" s="353"/>
      <c r="Q1209" s="353"/>
      <c r="R1209" s="353"/>
      <c r="S1209" s="353"/>
      <c r="T1209" s="353"/>
      <c r="U1209" s="353"/>
      <c r="V1209" s="731"/>
      <c r="W1209" s="353"/>
      <c r="X1209" s="353"/>
      <c r="Y1209" s="353"/>
      <c r="Z1209" s="731"/>
      <c r="AA1209" s="353"/>
      <c r="AB1209" s="731"/>
      <c r="AC1209" s="731"/>
    </row>
    <row r="1210" ht="13.8" spans="1:29">
      <c r="A1210" s="353"/>
      <c r="B1210" s="613"/>
      <c r="C1210" s="353"/>
      <c r="D1210" s="353"/>
      <c r="E1210" s="353"/>
      <c r="F1210" s="353"/>
      <c r="G1210" s="353"/>
      <c r="H1210" s="353"/>
      <c r="I1210" s="731"/>
      <c r="J1210" s="613"/>
      <c r="K1210" s="613"/>
      <c r="L1210" s="353"/>
      <c r="M1210" s="353"/>
      <c r="N1210" s="353"/>
      <c r="O1210" s="764"/>
      <c r="P1210" s="353"/>
      <c r="Q1210" s="353"/>
      <c r="R1210" s="353"/>
      <c r="S1210" s="353"/>
      <c r="T1210" s="353"/>
      <c r="U1210" s="353"/>
      <c r="V1210" s="731"/>
      <c r="W1210" s="353"/>
      <c r="X1210" s="353"/>
      <c r="Y1210" s="353"/>
      <c r="Z1210" s="731"/>
      <c r="AA1210" s="353"/>
      <c r="AB1210" s="731"/>
      <c r="AC1210" s="731"/>
    </row>
    <row r="1211" ht="13.8" spans="1:29">
      <c r="A1211" s="353"/>
      <c r="B1211" s="613"/>
      <c r="C1211" s="353"/>
      <c r="D1211" s="353"/>
      <c r="E1211" s="353"/>
      <c r="F1211" s="353"/>
      <c r="G1211" s="353"/>
      <c r="H1211" s="353"/>
      <c r="I1211" s="731"/>
      <c r="J1211" s="613"/>
      <c r="K1211" s="613"/>
      <c r="L1211" s="353"/>
      <c r="M1211" s="353"/>
      <c r="N1211" s="353"/>
      <c r="O1211" s="764"/>
      <c r="P1211" s="353"/>
      <c r="Q1211" s="353"/>
      <c r="R1211" s="353"/>
      <c r="S1211" s="353"/>
      <c r="T1211" s="353"/>
      <c r="U1211" s="353"/>
      <c r="V1211" s="731"/>
      <c r="W1211" s="353"/>
      <c r="X1211" s="353"/>
      <c r="Y1211" s="353"/>
      <c r="Z1211" s="731"/>
      <c r="AA1211" s="353"/>
      <c r="AB1211" s="731"/>
      <c r="AC1211" s="731"/>
    </row>
    <row r="1212" ht="13.8" spans="1:29">
      <c r="A1212" s="353"/>
      <c r="B1212" s="613"/>
      <c r="C1212" s="353"/>
      <c r="D1212" s="353"/>
      <c r="E1212" s="353"/>
      <c r="F1212" s="353"/>
      <c r="G1212" s="353"/>
      <c r="H1212" s="353"/>
      <c r="I1212" s="731"/>
      <c r="J1212" s="613"/>
      <c r="K1212" s="613"/>
      <c r="L1212" s="353"/>
      <c r="M1212" s="353"/>
      <c r="N1212" s="353"/>
      <c r="O1212" s="764"/>
      <c r="P1212" s="353"/>
      <c r="Q1212" s="353"/>
      <c r="R1212" s="353"/>
      <c r="S1212" s="353"/>
      <c r="T1212" s="353"/>
      <c r="U1212" s="353"/>
      <c r="V1212" s="731"/>
      <c r="W1212" s="353"/>
      <c r="X1212" s="353"/>
      <c r="Y1212" s="353"/>
      <c r="Z1212" s="731"/>
      <c r="AA1212" s="353"/>
      <c r="AB1212" s="731"/>
      <c r="AC1212" s="731"/>
    </row>
    <row r="1213" ht="13.8" spans="1:29">
      <c r="A1213" s="353"/>
      <c r="B1213" s="613"/>
      <c r="C1213" s="353"/>
      <c r="D1213" s="353"/>
      <c r="E1213" s="353"/>
      <c r="F1213" s="353"/>
      <c r="G1213" s="353"/>
      <c r="H1213" s="353"/>
      <c r="I1213" s="731"/>
      <c r="J1213" s="613"/>
      <c r="K1213" s="613"/>
      <c r="L1213" s="353"/>
      <c r="M1213" s="353"/>
      <c r="N1213" s="353"/>
      <c r="O1213" s="764"/>
      <c r="P1213" s="353"/>
      <c r="Q1213" s="353"/>
      <c r="R1213" s="353"/>
      <c r="S1213" s="353"/>
      <c r="T1213" s="353"/>
      <c r="U1213" s="353"/>
      <c r="V1213" s="731"/>
      <c r="W1213" s="353"/>
      <c r="X1213" s="353"/>
      <c r="Y1213" s="353"/>
      <c r="Z1213" s="731"/>
      <c r="AA1213" s="353"/>
      <c r="AB1213" s="731"/>
      <c r="AC1213" s="731"/>
    </row>
    <row r="1214" ht="13.8" spans="1:29">
      <c r="A1214" s="353"/>
      <c r="B1214" s="613"/>
      <c r="C1214" s="353"/>
      <c r="D1214" s="353"/>
      <c r="E1214" s="353"/>
      <c r="F1214" s="353"/>
      <c r="G1214" s="353"/>
      <c r="H1214" s="353"/>
      <c r="I1214" s="731"/>
      <c r="J1214" s="613"/>
      <c r="K1214" s="613"/>
      <c r="L1214" s="353"/>
      <c r="M1214" s="353"/>
      <c r="N1214" s="353"/>
      <c r="O1214" s="764"/>
      <c r="P1214" s="353"/>
      <c r="Q1214" s="353"/>
      <c r="R1214" s="353"/>
      <c r="S1214" s="353"/>
      <c r="T1214" s="353"/>
      <c r="U1214" s="353"/>
      <c r="V1214" s="731"/>
      <c r="W1214" s="353"/>
      <c r="X1214" s="353"/>
      <c r="Y1214" s="353"/>
      <c r="Z1214" s="731"/>
      <c r="AA1214" s="353"/>
      <c r="AB1214" s="731"/>
      <c r="AC1214" s="731"/>
    </row>
    <row r="1215" ht="13.8" spans="1:29">
      <c r="A1215" s="353"/>
      <c r="B1215" s="613"/>
      <c r="C1215" s="353"/>
      <c r="D1215" s="353"/>
      <c r="E1215" s="353"/>
      <c r="F1215" s="353"/>
      <c r="G1215" s="353"/>
      <c r="H1215" s="353"/>
      <c r="I1215" s="731"/>
      <c r="J1215" s="613"/>
      <c r="K1215" s="613"/>
      <c r="L1215" s="353"/>
      <c r="M1215" s="353"/>
      <c r="N1215" s="353"/>
      <c r="O1215" s="764"/>
      <c r="P1215" s="353"/>
      <c r="Q1215" s="353"/>
      <c r="R1215" s="353"/>
      <c r="S1215" s="353"/>
      <c r="T1215" s="353"/>
      <c r="U1215" s="353"/>
      <c r="V1215" s="731"/>
      <c r="W1215" s="353"/>
      <c r="X1215" s="353"/>
      <c r="Y1215" s="353"/>
      <c r="Z1215" s="731"/>
      <c r="AA1215" s="353"/>
      <c r="AB1215" s="731"/>
      <c r="AC1215" s="731"/>
    </row>
    <row r="1216" ht="13.8" spans="1:29">
      <c r="A1216" s="353"/>
      <c r="B1216" s="613"/>
      <c r="C1216" s="353"/>
      <c r="D1216" s="353"/>
      <c r="E1216" s="353"/>
      <c r="F1216" s="353"/>
      <c r="G1216" s="353"/>
      <c r="H1216" s="353"/>
      <c r="I1216" s="731"/>
      <c r="J1216" s="613"/>
      <c r="K1216" s="613"/>
      <c r="L1216" s="353"/>
      <c r="M1216" s="353"/>
      <c r="N1216" s="353"/>
      <c r="O1216" s="764"/>
      <c r="P1216" s="353"/>
      <c r="Q1216" s="353"/>
      <c r="R1216" s="353"/>
      <c r="S1216" s="353"/>
      <c r="T1216" s="353"/>
      <c r="U1216" s="353"/>
      <c r="V1216" s="731"/>
      <c r="W1216" s="353"/>
      <c r="X1216" s="353"/>
      <c r="Y1216" s="353"/>
      <c r="Z1216" s="731"/>
      <c r="AA1216" s="353"/>
      <c r="AB1216" s="731"/>
      <c r="AC1216" s="731"/>
    </row>
    <row r="1217" ht="13.8" spans="1:29">
      <c r="A1217" s="353"/>
      <c r="B1217" s="613"/>
      <c r="C1217" s="353"/>
      <c r="D1217" s="353"/>
      <c r="E1217" s="353"/>
      <c r="F1217" s="353"/>
      <c r="G1217" s="353"/>
      <c r="H1217" s="353"/>
      <c r="I1217" s="731"/>
      <c r="J1217" s="613"/>
      <c r="K1217" s="613"/>
      <c r="L1217" s="353"/>
      <c r="M1217" s="353"/>
      <c r="N1217" s="353"/>
      <c r="O1217" s="764"/>
      <c r="P1217" s="353"/>
      <c r="Q1217" s="353"/>
      <c r="R1217" s="353"/>
      <c r="S1217" s="353"/>
      <c r="T1217" s="353"/>
      <c r="U1217" s="353"/>
      <c r="V1217" s="731"/>
      <c r="W1217" s="353"/>
      <c r="X1217" s="353"/>
      <c r="Y1217" s="353"/>
      <c r="Z1217" s="731"/>
      <c r="AA1217" s="353"/>
      <c r="AB1217" s="731"/>
      <c r="AC1217" s="731"/>
    </row>
    <row r="1218" ht="13.8" spans="1:29">
      <c r="A1218" s="353"/>
      <c r="B1218" s="613"/>
      <c r="C1218" s="353"/>
      <c r="D1218" s="353"/>
      <c r="E1218" s="353"/>
      <c r="F1218" s="353"/>
      <c r="G1218" s="353"/>
      <c r="H1218" s="353"/>
      <c r="I1218" s="731"/>
      <c r="J1218" s="613"/>
      <c r="K1218" s="613"/>
      <c r="L1218" s="353"/>
      <c r="M1218" s="353"/>
      <c r="N1218" s="353"/>
      <c r="O1218" s="764"/>
      <c r="P1218" s="353"/>
      <c r="Q1218" s="353"/>
      <c r="R1218" s="353"/>
      <c r="S1218" s="353"/>
      <c r="T1218" s="353"/>
      <c r="U1218" s="353"/>
      <c r="V1218" s="731"/>
      <c r="W1218" s="353"/>
      <c r="X1218" s="353"/>
      <c r="Y1218" s="353"/>
      <c r="Z1218" s="731"/>
      <c r="AA1218" s="353"/>
      <c r="AB1218" s="731"/>
      <c r="AC1218" s="731"/>
    </row>
    <row r="1219" ht="13.8" spans="1:29">
      <c r="A1219" s="353"/>
      <c r="B1219" s="613"/>
      <c r="C1219" s="353"/>
      <c r="D1219" s="353"/>
      <c r="E1219" s="353"/>
      <c r="F1219" s="353"/>
      <c r="G1219" s="353"/>
      <c r="H1219" s="353"/>
      <c r="I1219" s="731"/>
      <c r="J1219" s="613"/>
      <c r="K1219" s="613"/>
      <c r="L1219" s="353"/>
      <c r="M1219" s="353"/>
      <c r="N1219" s="353"/>
      <c r="O1219" s="764"/>
      <c r="P1219" s="353"/>
      <c r="Q1219" s="353"/>
      <c r="R1219" s="353"/>
      <c r="S1219" s="353"/>
      <c r="T1219" s="353"/>
      <c r="U1219" s="353"/>
      <c r="V1219" s="731"/>
      <c r="W1219" s="353"/>
      <c r="X1219" s="353"/>
      <c r="Y1219" s="353"/>
      <c r="Z1219" s="731"/>
      <c r="AA1219" s="353"/>
      <c r="AB1219" s="731"/>
      <c r="AC1219" s="731"/>
    </row>
    <row r="1220" ht="13.8" spans="1:29">
      <c r="A1220" s="353"/>
      <c r="B1220" s="613"/>
      <c r="C1220" s="353"/>
      <c r="D1220" s="353"/>
      <c r="E1220" s="353"/>
      <c r="F1220" s="353"/>
      <c r="G1220" s="353"/>
      <c r="H1220" s="353"/>
      <c r="I1220" s="731"/>
      <c r="J1220" s="613"/>
      <c r="K1220" s="613"/>
      <c r="L1220" s="353"/>
      <c r="M1220" s="353"/>
      <c r="N1220" s="353"/>
      <c r="O1220" s="764"/>
      <c r="P1220" s="353"/>
      <c r="Q1220" s="353"/>
      <c r="R1220" s="353"/>
      <c r="S1220" s="353"/>
      <c r="T1220" s="353"/>
      <c r="U1220" s="353"/>
      <c r="V1220" s="731"/>
      <c r="W1220" s="353"/>
      <c r="X1220" s="353"/>
      <c r="Y1220" s="353"/>
      <c r="Z1220" s="731"/>
      <c r="AA1220" s="353"/>
      <c r="AB1220" s="731"/>
      <c r="AC1220" s="731"/>
    </row>
    <row r="1221" ht="13.8" spans="1:29">
      <c r="A1221" s="353"/>
      <c r="B1221" s="613"/>
      <c r="C1221" s="353"/>
      <c r="D1221" s="353"/>
      <c r="E1221" s="353"/>
      <c r="F1221" s="353"/>
      <c r="G1221" s="353"/>
      <c r="H1221" s="353"/>
      <c r="I1221" s="731"/>
      <c r="J1221" s="613"/>
      <c r="K1221" s="613"/>
      <c r="L1221" s="353"/>
      <c r="M1221" s="353"/>
      <c r="N1221" s="353"/>
      <c r="O1221" s="764"/>
      <c r="P1221" s="353"/>
      <c r="Q1221" s="353"/>
      <c r="R1221" s="353"/>
      <c r="S1221" s="353"/>
      <c r="T1221" s="353"/>
      <c r="U1221" s="353"/>
      <c r="V1221" s="731"/>
      <c r="W1221" s="353"/>
      <c r="X1221" s="353"/>
      <c r="Y1221" s="353"/>
      <c r="Z1221" s="731"/>
      <c r="AA1221" s="353"/>
      <c r="AB1221" s="731"/>
      <c r="AC1221" s="731"/>
    </row>
    <row r="1222" ht="13.8" spans="1:29">
      <c r="A1222" s="353"/>
      <c r="B1222" s="613"/>
      <c r="C1222" s="353"/>
      <c r="D1222" s="353"/>
      <c r="E1222" s="353"/>
      <c r="F1222" s="353"/>
      <c r="G1222" s="353"/>
      <c r="H1222" s="353"/>
      <c r="I1222" s="731"/>
      <c r="J1222" s="613"/>
      <c r="K1222" s="613"/>
      <c r="L1222" s="353"/>
      <c r="M1222" s="353"/>
      <c r="N1222" s="353"/>
      <c r="O1222" s="764"/>
      <c r="P1222" s="353"/>
      <c r="Q1222" s="353"/>
      <c r="R1222" s="353"/>
      <c r="S1222" s="353"/>
      <c r="T1222" s="353"/>
      <c r="U1222" s="353"/>
      <c r="V1222" s="731"/>
      <c r="W1222" s="353"/>
      <c r="X1222" s="353"/>
      <c r="Y1222" s="353"/>
      <c r="Z1222" s="731"/>
      <c r="AA1222" s="353"/>
      <c r="AB1222" s="731"/>
      <c r="AC1222" s="731"/>
    </row>
    <row r="1223" ht="13.8" spans="1:29">
      <c r="A1223" s="353"/>
      <c r="B1223" s="613"/>
      <c r="C1223" s="353"/>
      <c r="D1223" s="353"/>
      <c r="E1223" s="353"/>
      <c r="F1223" s="353"/>
      <c r="G1223" s="353"/>
      <c r="H1223" s="353"/>
      <c r="I1223" s="731"/>
      <c r="J1223" s="613"/>
      <c r="K1223" s="613"/>
      <c r="L1223" s="353"/>
      <c r="M1223" s="353"/>
      <c r="N1223" s="353"/>
      <c r="O1223" s="764"/>
      <c r="P1223" s="353"/>
      <c r="Q1223" s="353"/>
      <c r="R1223" s="353"/>
      <c r="S1223" s="353"/>
      <c r="T1223" s="353"/>
      <c r="U1223" s="353"/>
      <c r="V1223" s="731"/>
      <c r="W1223" s="353"/>
      <c r="X1223" s="353"/>
      <c r="Y1223" s="353"/>
      <c r="Z1223" s="731"/>
      <c r="AA1223" s="353"/>
      <c r="AB1223" s="731"/>
      <c r="AC1223" s="731"/>
    </row>
    <row r="1224" ht="13.8" spans="1:29">
      <c r="A1224" s="353"/>
      <c r="B1224" s="613"/>
      <c r="C1224" s="353"/>
      <c r="D1224" s="353"/>
      <c r="E1224" s="353"/>
      <c r="F1224" s="353"/>
      <c r="G1224" s="353"/>
      <c r="H1224" s="353"/>
      <c r="I1224" s="731"/>
      <c r="J1224" s="613"/>
      <c r="K1224" s="613"/>
      <c r="L1224" s="353"/>
      <c r="M1224" s="353"/>
      <c r="N1224" s="353"/>
      <c r="O1224" s="764"/>
      <c r="P1224" s="353"/>
      <c r="Q1224" s="353"/>
      <c r="R1224" s="353"/>
      <c r="S1224" s="353"/>
      <c r="T1224" s="353"/>
      <c r="U1224" s="353"/>
      <c r="V1224" s="731"/>
      <c r="W1224" s="353"/>
      <c r="X1224" s="353"/>
      <c r="Y1224" s="353"/>
      <c r="Z1224" s="731"/>
      <c r="AA1224" s="353"/>
      <c r="AB1224" s="731"/>
      <c r="AC1224" s="731"/>
    </row>
    <row r="1225" ht="13.8" spans="1:29">
      <c r="A1225" s="353"/>
      <c r="B1225" s="613"/>
      <c r="C1225" s="353"/>
      <c r="D1225" s="353"/>
      <c r="E1225" s="353"/>
      <c r="F1225" s="353"/>
      <c r="G1225" s="353"/>
      <c r="H1225" s="353"/>
      <c r="I1225" s="731"/>
      <c r="J1225" s="613"/>
      <c r="K1225" s="613"/>
      <c r="L1225" s="353"/>
      <c r="M1225" s="353"/>
      <c r="N1225" s="353"/>
      <c r="O1225" s="764"/>
      <c r="P1225" s="353"/>
      <c r="Q1225" s="353"/>
      <c r="R1225" s="353"/>
      <c r="S1225" s="353"/>
      <c r="T1225" s="353"/>
      <c r="U1225" s="353"/>
      <c r="V1225" s="731"/>
      <c r="W1225" s="353"/>
      <c r="X1225" s="353"/>
      <c r="Y1225" s="353"/>
      <c r="Z1225" s="731"/>
      <c r="AA1225" s="353"/>
      <c r="AB1225" s="731"/>
      <c r="AC1225" s="731"/>
    </row>
    <row r="1226" ht="13.8" spans="1:29">
      <c r="A1226" s="353"/>
      <c r="B1226" s="613"/>
      <c r="C1226" s="353"/>
      <c r="D1226" s="353"/>
      <c r="E1226" s="353"/>
      <c r="F1226" s="353"/>
      <c r="G1226" s="353"/>
      <c r="H1226" s="353"/>
      <c r="I1226" s="731"/>
      <c r="J1226" s="613"/>
      <c r="K1226" s="613"/>
      <c r="L1226" s="353"/>
      <c r="M1226" s="353"/>
      <c r="N1226" s="353"/>
      <c r="O1226" s="764"/>
      <c r="P1226" s="353"/>
      <c r="Q1226" s="353"/>
      <c r="R1226" s="353"/>
      <c r="S1226" s="353"/>
      <c r="T1226" s="353"/>
      <c r="U1226" s="353"/>
      <c r="V1226" s="731"/>
      <c r="W1226" s="353"/>
      <c r="X1226" s="353"/>
      <c r="Y1226" s="353"/>
      <c r="Z1226" s="731"/>
      <c r="AA1226" s="353"/>
      <c r="AB1226" s="731"/>
      <c r="AC1226" s="731"/>
    </row>
    <row r="1227" ht="13.8" spans="1:29">
      <c r="A1227" s="353"/>
      <c r="B1227" s="613"/>
      <c r="C1227" s="353"/>
      <c r="D1227" s="353"/>
      <c r="E1227" s="353"/>
      <c r="F1227" s="353"/>
      <c r="G1227" s="353"/>
      <c r="H1227" s="353"/>
      <c r="I1227" s="731"/>
      <c r="J1227" s="613"/>
      <c r="K1227" s="613"/>
      <c r="L1227" s="353"/>
      <c r="M1227" s="353"/>
      <c r="N1227" s="353"/>
      <c r="O1227" s="764"/>
      <c r="P1227" s="353"/>
      <c r="Q1227" s="353"/>
      <c r="R1227" s="353"/>
      <c r="S1227" s="353"/>
      <c r="T1227" s="353"/>
      <c r="U1227" s="353"/>
      <c r="V1227" s="731"/>
      <c r="W1227" s="353"/>
      <c r="X1227" s="353"/>
      <c r="Y1227" s="353"/>
      <c r="Z1227" s="731"/>
      <c r="AA1227" s="353"/>
      <c r="AB1227" s="731"/>
      <c r="AC1227" s="731"/>
    </row>
    <row r="1228" ht="13.8" spans="1:29">
      <c r="A1228" s="353"/>
      <c r="B1228" s="613"/>
      <c r="C1228" s="353"/>
      <c r="D1228" s="353"/>
      <c r="E1228" s="353"/>
      <c r="F1228" s="353"/>
      <c r="G1228" s="353"/>
      <c r="H1228" s="353"/>
      <c r="I1228" s="731"/>
      <c r="J1228" s="613"/>
      <c r="K1228" s="613"/>
      <c r="L1228" s="353"/>
      <c r="M1228" s="353"/>
      <c r="N1228" s="353"/>
      <c r="O1228" s="764"/>
      <c r="P1228" s="353"/>
      <c r="Q1228" s="353"/>
      <c r="R1228" s="353"/>
      <c r="S1228" s="353"/>
      <c r="T1228" s="353"/>
      <c r="U1228" s="353"/>
      <c r="V1228" s="731"/>
      <c r="W1228" s="353"/>
      <c r="X1228" s="353"/>
      <c r="Y1228" s="353"/>
      <c r="Z1228" s="731"/>
      <c r="AA1228" s="353"/>
      <c r="AB1228" s="731"/>
      <c r="AC1228" s="731"/>
    </row>
    <row r="1229" ht="13.8" spans="1:29">
      <c r="A1229" s="353"/>
      <c r="B1229" s="613"/>
      <c r="C1229" s="353"/>
      <c r="D1229" s="353"/>
      <c r="E1229" s="353"/>
      <c r="F1229" s="353"/>
      <c r="G1229" s="353"/>
      <c r="H1229" s="353"/>
      <c r="I1229" s="731"/>
      <c r="J1229" s="613"/>
      <c r="K1229" s="613"/>
      <c r="L1229" s="353"/>
      <c r="M1229" s="353"/>
      <c r="N1229" s="353"/>
      <c r="O1229" s="764"/>
      <c r="P1229" s="353"/>
      <c r="Q1229" s="353"/>
      <c r="R1229" s="353"/>
      <c r="S1229" s="353"/>
      <c r="T1229" s="353"/>
      <c r="U1229" s="353"/>
      <c r="V1229" s="731"/>
      <c r="W1229" s="353"/>
      <c r="X1229" s="353"/>
      <c r="Y1229" s="353"/>
      <c r="Z1229" s="731"/>
      <c r="AA1229" s="353"/>
      <c r="AB1229" s="731"/>
      <c r="AC1229" s="731"/>
    </row>
    <row r="1230" ht="13.8" spans="1:29">
      <c r="A1230" s="353"/>
      <c r="B1230" s="613"/>
      <c r="C1230" s="353"/>
      <c r="D1230" s="353"/>
      <c r="E1230" s="353"/>
      <c r="F1230" s="353"/>
      <c r="G1230" s="353"/>
      <c r="H1230" s="353"/>
      <c r="I1230" s="731"/>
      <c r="J1230" s="613"/>
      <c r="K1230" s="613"/>
      <c r="L1230" s="353"/>
      <c r="M1230" s="353"/>
      <c r="N1230" s="353"/>
      <c r="O1230" s="764"/>
      <c r="P1230" s="353"/>
      <c r="Q1230" s="353"/>
      <c r="R1230" s="353"/>
      <c r="S1230" s="353"/>
      <c r="T1230" s="353"/>
      <c r="U1230" s="353"/>
      <c r="V1230" s="731"/>
      <c r="W1230" s="353"/>
      <c r="X1230" s="353"/>
      <c r="Y1230" s="353"/>
      <c r="Z1230" s="731"/>
      <c r="AA1230" s="353"/>
      <c r="AB1230" s="731"/>
      <c r="AC1230" s="731"/>
    </row>
    <row r="1231" ht="13.8" spans="1:29">
      <c r="A1231" s="353"/>
      <c r="B1231" s="613"/>
      <c r="C1231" s="353"/>
      <c r="D1231" s="353"/>
      <c r="E1231" s="353"/>
      <c r="F1231" s="353"/>
      <c r="G1231" s="353"/>
      <c r="H1231" s="353"/>
      <c r="I1231" s="731"/>
      <c r="J1231" s="613"/>
      <c r="K1231" s="613"/>
      <c r="L1231" s="353"/>
      <c r="M1231" s="353"/>
      <c r="N1231" s="353"/>
      <c r="O1231" s="764"/>
      <c r="P1231" s="353"/>
      <c r="Q1231" s="353"/>
      <c r="R1231" s="353"/>
      <c r="S1231" s="353"/>
      <c r="T1231" s="353"/>
      <c r="U1231" s="353"/>
      <c r="V1231" s="731"/>
      <c r="W1231" s="353"/>
      <c r="X1231" s="353"/>
      <c r="Y1231" s="353"/>
      <c r="Z1231" s="731"/>
      <c r="AA1231" s="353"/>
      <c r="AB1231" s="731"/>
      <c r="AC1231" s="731"/>
    </row>
    <row r="1232" ht="13.8" spans="1:29">
      <c r="A1232" s="353"/>
      <c r="B1232" s="613"/>
      <c r="C1232" s="353"/>
      <c r="D1232" s="353"/>
      <c r="E1232" s="353"/>
      <c r="F1232" s="353"/>
      <c r="G1232" s="353"/>
      <c r="H1232" s="353"/>
      <c r="I1232" s="731"/>
      <c r="J1232" s="613"/>
      <c r="K1232" s="613"/>
      <c r="L1232" s="353"/>
      <c r="M1232" s="353"/>
      <c r="N1232" s="353"/>
      <c r="O1232" s="764"/>
      <c r="P1232" s="353"/>
      <c r="Q1232" s="353"/>
      <c r="R1232" s="353"/>
      <c r="S1232" s="353"/>
      <c r="T1232" s="353"/>
      <c r="U1232" s="353"/>
      <c r="V1232" s="731"/>
      <c r="W1232" s="353"/>
      <c r="X1232" s="353"/>
      <c r="Y1232" s="353"/>
      <c r="Z1232" s="731"/>
      <c r="AA1232" s="353"/>
      <c r="AB1232" s="731"/>
      <c r="AC1232" s="731"/>
    </row>
    <row r="1233" ht="13.8" spans="1:29">
      <c r="A1233" s="353"/>
      <c r="B1233" s="613"/>
      <c r="C1233" s="353"/>
      <c r="D1233" s="353"/>
      <c r="E1233" s="353"/>
      <c r="F1233" s="353"/>
      <c r="G1233" s="353"/>
      <c r="H1233" s="353"/>
      <c r="I1233" s="731"/>
      <c r="J1233" s="613"/>
      <c r="K1233" s="613"/>
      <c r="L1233" s="353"/>
      <c r="M1233" s="353"/>
      <c r="N1233" s="353"/>
      <c r="O1233" s="764"/>
      <c r="P1233" s="353"/>
      <c r="Q1233" s="353"/>
      <c r="R1233" s="353"/>
      <c r="S1233" s="353"/>
      <c r="T1233" s="353"/>
      <c r="U1233" s="353"/>
      <c r="V1233" s="731"/>
      <c r="W1233" s="353"/>
      <c r="X1233" s="353"/>
      <c r="Y1233" s="353"/>
      <c r="Z1233" s="731"/>
      <c r="AA1233" s="353"/>
      <c r="AB1233" s="731"/>
      <c r="AC1233" s="731"/>
    </row>
    <row r="1234" ht="13.8" spans="1:29">
      <c r="A1234" s="353"/>
      <c r="B1234" s="613"/>
      <c r="C1234" s="353"/>
      <c r="D1234" s="353"/>
      <c r="E1234" s="353"/>
      <c r="F1234" s="353"/>
      <c r="G1234" s="353"/>
      <c r="H1234" s="353"/>
      <c r="I1234" s="731"/>
      <c r="J1234" s="613"/>
      <c r="K1234" s="613"/>
      <c r="L1234" s="353"/>
      <c r="M1234" s="353"/>
      <c r="N1234" s="353"/>
      <c r="O1234" s="764"/>
      <c r="P1234" s="353"/>
      <c r="Q1234" s="353"/>
      <c r="R1234" s="353"/>
      <c r="S1234" s="353"/>
      <c r="T1234" s="353"/>
      <c r="U1234" s="353"/>
      <c r="V1234" s="731"/>
      <c r="W1234" s="353"/>
      <c r="X1234" s="353"/>
      <c r="Y1234" s="353"/>
      <c r="Z1234" s="731"/>
      <c r="AA1234" s="353"/>
      <c r="AB1234" s="731"/>
      <c r="AC1234" s="731"/>
    </row>
    <row r="1235" ht="13.8" spans="1:29">
      <c r="A1235" s="353"/>
      <c r="B1235" s="613"/>
      <c r="C1235" s="353"/>
      <c r="D1235" s="353"/>
      <c r="E1235" s="353"/>
      <c r="F1235" s="353"/>
      <c r="G1235" s="353"/>
      <c r="H1235" s="353"/>
      <c r="I1235" s="731"/>
      <c r="J1235" s="613"/>
      <c r="K1235" s="613"/>
      <c r="L1235" s="353"/>
      <c r="M1235" s="353"/>
      <c r="N1235" s="353"/>
      <c r="O1235" s="764"/>
      <c r="P1235" s="353"/>
      <c r="Q1235" s="353"/>
      <c r="R1235" s="353"/>
      <c r="S1235" s="353"/>
      <c r="T1235" s="353"/>
      <c r="U1235" s="353"/>
      <c r="V1235" s="731"/>
      <c r="W1235" s="353"/>
      <c r="X1235" s="353"/>
      <c r="Y1235" s="353"/>
      <c r="Z1235" s="731"/>
      <c r="AA1235" s="353"/>
      <c r="AB1235" s="731"/>
      <c r="AC1235" s="731"/>
    </row>
    <row r="1236" ht="13.8" spans="1:29">
      <c r="A1236" s="353"/>
      <c r="B1236" s="613"/>
      <c r="C1236" s="353"/>
      <c r="D1236" s="353"/>
      <c r="E1236" s="353"/>
      <c r="F1236" s="353"/>
      <c r="G1236" s="353"/>
      <c r="H1236" s="353"/>
      <c r="I1236" s="731"/>
      <c r="J1236" s="613"/>
      <c r="K1236" s="613"/>
      <c r="L1236" s="353"/>
      <c r="M1236" s="353"/>
      <c r="N1236" s="353"/>
      <c r="O1236" s="764"/>
      <c r="P1236" s="353"/>
      <c r="Q1236" s="353"/>
      <c r="R1236" s="353"/>
      <c r="S1236" s="353"/>
      <c r="T1236" s="353"/>
      <c r="U1236" s="353"/>
      <c r="V1236" s="731"/>
      <c r="W1236" s="353"/>
      <c r="X1236" s="353"/>
      <c r="Y1236" s="353"/>
      <c r="Z1236" s="731"/>
      <c r="AA1236" s="353"/>
      <c r="AB1236" s="731"/>
      <c r="AC1236" s="731"/>
    </row>
    <row r="1237" ht="13.8" spans="1:29">
      <c r="A1237" s="353"/>
      <c r="B1237" s="613"/>
      <c r="C1237" s="353"/>
      <c r="D1237" s="353"/>
      <c r="E1237" s="353"/>
      <c r="F1237" s="353"/>
      <c r="G1237" s="353"/>
      <c r="H1237" s="353"/>
      <c r="I1237" s="731"/>
      <c r="J1237" s="613"/>
      <c r="K1237" s="613"/>
      <c r="L1237" s="353"/>
      <c r="M1237" s="353"/>
      <c r="N1237" s="353"/>
      <c r="O1237" s="764"/>
      <c r="P1237" s="353"/>
      <c r="Q1237" s="353"/>
      <c r="R1237" s="353"/>
      <c r="S1237" s="353"/>
      <c r="T1237" s="353"/>
      <c r="U1237" s="353"/>
      <c r="V1237" s="731"/>
      <c r="W1237" s="353"/>
      <c r="X1237" s="353"/>
      <c r="Y1237" s="353"/>
      <c r="Z1237" s="731"/>
      <c r="AA1237" s="353"/>
      <c r="AB1237" s="731"/>
      <c r="AC1237" s="731"/>
    </row>
    <row r="1238" ht="13.8" spans="1:29">
      <c r="A1238" s="353"/>
      <c r="B1238" s="613"/>
      <c r="C1238" s="353"/>
      <c r="D1238" s="353"/>
      <c r="E1238" s="353"/>
      <c r="F1238" s="353"/>
      <c r="G1238" s="353"/>
      <c r="H1238" s="353"/>
      <c r="I1238" s="731"/>
      <c r="J1238" s="613"/>
      <c r="K1238" s="613"/>
      <c r="L1238" s="353"/>
      <c r="M1238" s="353"/>
      <c r="N1238" s="353"/>
      <c r="O1238" s="764"/>
      <c r="P1238" s="353"/>
      <c r="Q1238" s="353"/>
      <c r="R1238" s="353"/>
      <c r="S1238" s="353"/>
      <c r="T1238" s="353"/>
      <c r="U1238" s="353"/>
      <c r="V1238" s="731"/>
      <c r="W1238" s="353"/>
      <c r="X1238" s="353"/>
      <c r="Y1238" s="353"/>
      <c r="Z1238" s="731"/>
      <c r="AA1238" s="353"/>
      <c r="AB1238" s="731"/>
      <c r="AC1238" s="731"/>
    </row>
    <row r="1239" ht="13.8" spans="1:29">
      <c r="A1239" s="353"/>
      <c r="B1239" s="613"/>
      <c r="C1239" s="353"/>
      <c r="D1239" s="353"/>
      <c r="E1239" s="353"/>
      <c r="F1239" s="353"/>
      <c r="G1239" s="353"/>
      <c r="H1239" s="353"/>
      <c r="I1239" s="731"/>
      <c r="J1239" s="613"/>
      <c r="K1239" s="613"/>
      <c r="L1239" s="353"/>
      <c r="M1239" s="353"/>
      <c r="N1239" s="353"/>
      <c r="O1239" s="764"/>
      <c r="P1239" s="353"/>
      <c r="Q1239" s="353"/>
      <c r="R1239" s="353"/>
      <c r="S1239" s="353"/>
      <c r="T1239" s="353"/>
      <c r="U1239" s="353"/>
      <c r="V1239" s="731"/>
      <c r="W1239" s="353"/>
      <c r="X1239" s="353"/>
      <c r="Y1239" s="353"/>
      <c r="Z1239" s="731"/>
      <c r="AA1239" s="353"/>
      <c r="AB1239" s="731"/>
      <c r="AC1239" s="731"/>
    </row>
    <row r="1240" ht="13.8" spans="1:29">
      <c r="A1240" s="353"/>
      <c r="B1240" s="613"/>
      <c r="C1240" s="353"/>
      <c r="D1240" s="353"/>
      <c r="E1240" s="353"/>
      <c r="F1240" s="353"/>
      <c r="G1240" s="353"/>
      <c r="H1240" s="353"/>
      <c r="I1240" s="731"/>
      <c r="J1240" s="613"/>
      <c r="K1240" s="613"/>
      <c r="L1240" s="353"/>
      <c r="M1240" s="353"/>
      <c r="N1240" s="353"/>
      <c r="O1240" s="764"/>
      <c r="P1240" s="353"/>
      <c r="Q1240" s="353"/>
      <c r="R1240" s="353"/>
      <c r="S1240" s="353"/>
      <c r="T1240" s="353"/>
      <c r="U1240" s="353"/>
      <c r="V1240" s="731"/>
      <c r="W1240" s="353"/>
      <c r="X1240" s="353"/>
      <c r="Y1240" s="353"/>
      <c r="Z1240" s="731"/>
      <c r="AA1240" s="353"/>
      <c r="AB1240" s="731"/>
      <c r="AC1240" s="731"/>
    </row>
    <row r="1241" ht="13.8" spans="1:29">
      <c r="A1241" s="353"/>
      <c r="B1241" s="613"/>
      <c r="C1241" s="353"/>
      <c r="D1241" s="353"/>
      <c r="E1241" s="353"/>
      <c r="F1241" s="353"/>
      <c r="G1241" s="353"/>
      <c r="H1241" s="353"/>
      <c r="I1241" s="731"/>
      <c r="J1241" s="613"/>
      <c r="K1241" s="613"/>
      <c r="L1241" s="353"/>
      <c r="M1241" s="353"/>
      <c r="N1241" s="353"/>
      <c r="O1241" s="764"/>
      <c r="P1241" s="353"/>
      <c r="Q1241" s="353"/>
      <c r="R1241" s="353"/>
      <c r="S1241" s="353"/>
      <c r="T1241" s="353"/>
      <c r="U1241" s="353"/>
      <c r="V1241" s="731"/>
      <c r="W1241" s="353"/>
      <c r="X1241" s="353"/>
      <c r="Y1241" s="353"/>
      <c r="Z1241" s="731"/>
      <c r="AA1241" s="353"/>
      <c r="AB1241" s="731"/>
      <c r="AC1241" s="731"/>
    </row>
    <row r="1242" ht="13.8" spans="1:29">
      <c r="A1242" s="353"/>
      <c r="B1242" s="613"/>
      <c r="C1242" s="353"/>
      <c r="D1242" s="353"/>
      <c r="E1242" s="353"/>
      <c r="F1242" s="353"/>
      <c r="G1242" s="353"/>
      <c r="H1242" s="353"/>
      <c r="I1242" s="731"/>
      <c r="J1242" s="613"/>
      <c r="K1242" s="613"/>
      <c r="L1242" s="353"/>
      <c r="M1242" s="353"/>
      <c r="N1242" s="353"/>
      <c r="O1242" s="764"/>
      <c r="P1242" s="353"/>
      <c r="Q1242" s="353"/>
      <c r="R1242" s="353"/>
      <c r="S1242" s="353"/>
      <c r="T1242" s="353"/>
      <c r="U1242" s="353"/>
      <c r="V1242" s="731"/>
      <c r="W1242" s="353"/>
      <c r="X1242" s="353"/>
      <c r="Y1242" s="353"/>
      <c r="Z1242" s="731"/>
      <c r="AA1242" s="353"/>
      <c r="AB1242" s="731"/>
      <c r="AC1242" s="731"/>
    </row>
    <row r="1243" ht="13.8" spans="1:29">
      <c r="A1243" s="353"/>
      <c r="B1243" s="613"/>
      <c r="C1243" s="353"/>
      <c r="D1243" s="353"/>
      <c r="E1243" s="353"/>
      <c r="F1243" s="353"/>
      <c r="G1243" s="353"/>
      <c r="H1243" s="353"/>
      <c r="I1243" s="731"/>
      <c r="J1243" s="613"/>
      <c r="K1243" s="613"/>
      <c r="L1243" s="353"/>
      <c r="M1243" s="353"/>
      <c r="N1243" s="353"/>
      <c r="O1243" s="764"/>
      <c r="P1243" s="353"/>
      <c r="Q1243" s="353"/>
      <c r="R1243" s="353"/>
      <c r="S1243" s="353"/>
      <c r="T1243" s="353"/>
      <c r="U1243" s="353"/>
      <c r="V1243" s="731"/>
      <c r="W1243" s="353"/>
      <c r="X1243" s="353"/>
      <c r="Y1243" s="353"/>
      <c r="Z1243" s="731"/>
      <c r="AA1243" s="353"/>
      <c r="AB1243" s="731"/>
      <c r="AC1243" s="731"/>
    </row>
    <row r="1244" ht="13.8" spans="1:29">
      <c r="A1244" s="353"/>
      <c r="B1244" s="613"/>
      <c r="C1244" s="353"/>
      <c r="D1244" s="353"/>
      <c r="E1244" s="353"/>
      <c r="F1244" s="353"/>
      <c r="G1244" s="353"/>
      <c r="H1244" s="353"/>
      <c r="I1244" s="731"/>
      <c r="J1244" s="613"/>
      <c r="K1244" s="613"/>
      <c r="L1244" s="353"/>
      <c r="M1244" s="353"/>
      <c r="N1244" s="353"/>
      <c r="O1244" s="764"/>
      <c r="P1244" s="353"/>
      <c r="Q1244" s="353"/>
      <c r="R1244" s="353"/>
      <c r="S1244" s="353"/>
      <c r="T1244" s="353"/>
      <c r="U1244" s="353"/>
      <c r="V1244" s="731"/>
      <c r="W1244" s="353"/>
      <c r="X1244" s="353"/>
      <c r="Y1244" s="353"/>
      <c r="Z1244" s="731"/>
      <c r="AA1244" s="353"/>
      <c r="AB1244" s="731"/>
      <c r="AC1244" s="731"/>
    </row>
    <row r="1245" ht="13.8" spans="1:29">
      <c r="A1245" s="353"/>
      <c r="B1245" s="613"/>
      <c r="C1245" s="353"/>
      <c r="D1245" s="353"/>
      <c r="E1245" s="353"/>
      <c r="F1245" s="353"/>
      <c r="G1245" s="353"/>
      <c r="H1245" s="353"/>
      <c r="I1245" s="731"/>
      <c r="J1245" s="613"/>
      <c r="K1245" s="613"/>
      <c r="L1245" s="353"/>
      <c r="M1245" s="353"/>
      <c r="N1245" s="353"/>
      <c r="O1245" s="764"/>
      <c r="P1245" s="353"/>
      <c r="Q1245" s="353"/>
      <c r="R1245" s="353"/>
      <c r="S1245" s="353"/>
      <c r="T1245" s="353"/>
      <c r="U1245" s="353"/>
      <c r="V1245" s="731"/>
      <c r="W1245" s="353"/>
      <c r="X1245" s="353"/>
      <c r="Y1245" s="353"/>
      <c r="Z1245" s="731"/>
      <c r="AA1245" s="353"/>
      <c r="AB1245" s="731"/>
      <c r="AC1245" s="731"/>
    </row>
    <row r="1246" ht="13.8" spans="1:29">
      <c r="A1246" s="353"/>
      <c r="B1246" s="613"/>
      <c r="C1246" s="353"/>
      <c r="D1246" s="353"/>
      <c r="E1246" s="353"/>
      <c r="F1246" s="353"/>
      <c r="G1246" s="353"/>
      <c r="H1246" s="353"/>
      <c r="I1246" s="731"/>
      <c r="J1246" s="613"/>
      <c r="K1246" s="613"/>
      <c r="L1246" s="353"/>
      <c r="M1246" s="353"/>
      <c r="N1246" s="353"/>
      <c r="O1246" s="764"/>
      <c r="P1246" s="353"/>
      <c r="Q1246" s="353"/>
      <c r="R1246" s="353"/>
      <c r="S1246" s="353"/>
      <c r="T1246" s="353"/>
      <c r="U1246" s="353"/>
      <c r="V1246" s="731"/>
      <c r="W1246" s="353"/>
      <c r="X1246" s="353"/>
      <c r="Y1246" s="353"/>
      <c r="Z1246" s="731"/>
      <c r="AA1246" s="353"/>
      <c r="AB1246" s="731"/>
      <c r="AC1246" s="731"/>
    </row>
    <row r="1247" ht="13.8" spans="1:29">
      <c r="A1247" s="353"/>
      <c r="B1247" s="613"/>
      <c r="C1247" s="353"/>
      <c r="D1247" s="353"/>
      <c r="E1247" s="353"/>
      <c r="F1247" s="353"/>
      <c r="G1247" s="353"/>
      <c r="H1247" s="353"/>
      <c r="I1247" s="731"/>
      <c r="J1247" s="613"/>
      <c r="K1247" s="613"/>
      <c r="L1247" s="353"/>
      <c r="M1247" s="353"/>
      <c r="N1247" s="353"/>
      <c r="O1247" s="764"/>
      <c r="P1247" s="353"/>
      <c r="Q1247" s="353"/>
      <c r="R1247" s="353"/>
      <c r="S1247" s="353"/>
      <c r="T1247" s="353"/>
      <c r="U1247" s="353"/>
      <c r="V1247" s="731"/>
      <c r="W1247" s="353"/>
      <c r="X1247" s="353"/>
      <c r="Y1247" s="353"/>
      <c r="Z1247" s="731"/>
      <c r="AA1247" s="353"/>
      <c r="AB1247" s="731"/>
      <c r="AC1247" s="731"/>
    </row>
    <row r="1248" ht="13.8" spans="1:29">
      <c r="A1248" s="353"/>
      <c r="B1248" s="613"/>
      <c r="C1248" s="353"/>
      <c r="D1248" s="353"/>
      <c r="E1248" s="353"/>
      <c r="F1248" s="353"/>
      <c r="G1248" s="353"/>
      <c r="H1248" s="353"/>
      <c r="I1248" s="731"/>
      <c r="J1248" s="613"/>
      <c r="K1248" s="613"/>
      <c r="L1248" s="353"/>
      <c r="M1248" s="353"/>
      <c r="N1248" s="353"/>
      <c r="O1248" s="764"/>
      <c r="P1248" s="353"/>
      <c r="Q1248" s="353"/>
      <c r="R1248" s="353"/>
      <c r="S1248" s="353"/>
      <c r="T1248" s="353"/>
      <c r="U1248" s="353"/>
      <c r="V1248" s="731"/>
      <c r="W1248" s="353"/>
      <c r="X1248" s="353"/>
      <c r="Y1248" s="353"/>
      <c r="Z1248" s="731"/>
      <c r="AA1248" s="353"/>
      <c r="AB1248" s="731"/>
      <c r="AC1248" s="731"/>
    </row>
    <row r="1249" ht="13.8" spans="1:29">
      <c r="A1249" s="353"/>
      <c r="B1249" s="613"/>
      <c r="C1249" s="353"/>
      <c r="D1249" s="353"/>
      <c r="E1249" s="353"/>
      <c r="F1249" s="353"/>
      <c r="G1249" s="353"/>
      <c r="H1249" s="353"/>
      <c r="I1249" s="731"/>
      <c r="J1249" s="613"/>
      <c r="K1249" s="613"/>
      <c r="L1249" s="353"/>
      <c r="M1249" s="353"/>
      <c r="N1249" s="353"/>
      <c r="O1249" s="764"/>
      <c r="P1249" s="353"/>
      <c r="Q1249" s="353"/>
      <c r="R1249" s="353"/>
      <c r="S1249" s="353"/>
      <c r="T1249" s="353"/>
      <c r="U1249" s="353"/>
      <c r="V1249" s="731"/>
      <c r="W1249" s="353"/>
      <c r="X1249" s="353"/>
      <c r="Y1249" s="353"/>
      <c r="Z1249" s="731"/>
      <c r="AA1249" s="353"/>
      <c r="AB1249" s="731"/>
      <c r="AC1249" s="731"/>
    </row>
    <row r="1250" ht="13.8" spans="1:29">
      <c r="A1250" s="353"/>
      <c r="B1250" s="613"/>
      <c r="C1250" s="353"/>
      <c r="D1250" s="353"/>
      <c r="E1250" s="353"/>
      <c r="F1250" s="353"/>
      <c r="G1250" s="353"/>
      <c r="H1250" s="353"/>
      <c r="I1250" s="731"/>
      <c r="J1250" s="613"/>
      <c r="K1250" s="613"/>
      <c r="L1250" s="353"/>
      <c r="M1250" s="353"/>
      <c r="N1250" s="353"/>
      <c r="O1250" s="764"/>
      <c r="P1250" s="353"/>
      <c r="Q1250" s="353"/>
      <c r="R1250" s="353"/>
      <c r="S1250" s="353"/>
      <c r="T1250" s="353"/>
      <c r="U1250" s="353"/>
      <c r="V1250" s="731"/>
      <c r="W1250" s="353"/>
      <c r="X1250" s="353"/>
      <c r="Y1250" s="353"/>
      <c r="Z1250" s="731"/>
      <c r="AA1250" s="353"/>
      <c r="AB1250" s="731"/>
      <c r="AC1250" s="731"/>
    </row>
    <row r="1251" ht="13.8" spans="1:29">
      <c r="A1251" s="353"/>
      <c r="B1251" s="613"/>
      <c r="C1251" s="353"/>
      <c r="D1251" s="353"/>
      <c r="E1251" s="353"/>
      <c r="F1251" s="353"/>
      <c r="G1251" s="353"/>
      <c r="H1251" s="353"/>
      <c r="I1251" s="731"/>
      <c r="J1251" s="613"/>
      <c r="K1251" s="613"/>
      <c r="L1251" s="353"/>
      <c r="M1251" s="353"/>
      <c r="N1251" s="353"/>
      <c r="O1251" s="764"/>
      <c r="P1251" s="353"/>
      <c r="Q1251" s="353"/>
      <c r="R1251" s="353"/>
      <c r="S1251" s="353"/>
      <c r="T1251" s="353"/>
      <c r="U1251" s="353"/>
      <c r="V1251" s="731"/>
      <c r="W1251" s="353"/>
      <c r="X1251" s="353"/>
      <c r="Y1251" s="353"/>
      <c r="Z1251" s="731"/>
      <c r="AA1251" s="353"/>
      <c r="AB1251" s="731"/>
      <c r="AC1251" s="731"/>
    </row>
    <row r="1252" ht="13.8" spans="1:29">
      <c r="A1252" s="353"/>
      <c r="B1252" s="613"/>
      <c r="C1252" s="353"/>
      <c r="D1252" s="353"/>
      <c r="E1252" s="353"/>
      <c r="F1252" s="353"/>
      <c r="G1252" s="353"/>
      <c r="H1252" s="353"/>
      <c r="I1252" s="731"/>
      <c r="J1252" s="613"/>
      <c r="K1252" s="613"/>
      <c r="L1252" s="353"/>
      <c r="M1252" s="353"/>
      <c r="N1252" s="353"/>
      <c r="O1252" s="764"/>
      <c r="P1252" s="353"/>
      <c r="Q1252" s="353"/>
      <c r="R1252" s="353"/>
      <c r="S1252" s="353"/>
      <c r="T1252" s="353"/>
      <c r="U1252" s="353"/>
      <c r="V1252" s="731"/>
      <c r="W1252" s="353"/>
      <c r="X1252" s="353"/>
      <c r="Y1252" s="353"/>
      <c r="Z1252" s="731"/>
      <c r="AA1252" s="353"/>
      <c r="AB1252" s="731"/>
      <c r="AC1252" s="731"/>
    </row>
    <row r="1253" ht="13.8" spans="1:29">
      <c r="A1253" s="353"/>
      <c r="B1253" s="613"/>
      <c r="C1253" s="353"/>
      <c r="D1253" s="353"/>
      <c r="E1253" s="353"/>
      <c r="F1253" s="353"/>
      <c r="G1253" s="353"/>
      <c r="H1253" s="353"/>
      <c r="I1253" s="731"/>
      <c r="J1253" s="613"/>
      <c r="K1253" s="613"/>
      <c r="L1253" s="353"/>
      <c r="M1253" s="353"/>
      <c r="N1253" s="353"/>
      <c r="O1253" s="764"/>
      <c r="P1253" s="353"/>
      <c r="Q1253" s="353"/>
      <c r="R1253" s="353"/>
      <c r="S1253" s="353"/>
      <c r="T1253" s="353"/>
      <c r="U1253" s="353"/>
      <c r="V1253" s="731"/>
      <c r="W1253" s="353"/>
      <c r="X1253" s="353"/>
      <c r="Y1253" s="353"/>
      <c r="Z1253" s="731"/>
      <c r="AA1253" s="353"/>
      <c r="AB1253" s="731"/>
      <c r="AC1253" s="731"/>
    </row>
    <row r="1254" ht="13.8" spans="1:29">
      <c r="A1254" s="353"/>
      <c r="B1254" s="613"/>
      <c r="C1254" s="353"/>
      <c r="D1254" s="353"/>
      <c r="E1254" s="353"/>
      <c r="F1254" s="353"/>
      <c r="G1254" s="353"/>
      <c r="H1254" s="353"/>
      <c r="I1254" s="731"/>
      <c r="J1254" s="613"/>
      <c r="K1254" s="613"/>
      <c r="L1254" s="353"/>
      <c r="M1254" s="353"/>
      <c r="N1254" s="353"/>
      <c r="O1254" s="764"/>
      <c r="P1254" s="353"/>
      <c r="Q1254" s="353"/>
      <c r="R1254" s="353"/>
      <c r="S1254" s="353"/>
      <c r="T1254" s="353"/>
      <c r="U1254" s="353"/>
      <c r="V1254" s="731"/>
      <c r="W1254" s="353"/>
      <c r="X1254" s="353"/>
      <c r="Y1254" s="353"/>
      <c r="Z1254" s="731"/>
      <c r="AA1254" s="353"/>
      <c r="AB1254" s="731"/>
      <c r="AC1254" s="731"/>
    </row>
    <row r="1255" ht="13.8" spans="1:29">
      <c r="A1255" s="353"/>
      <c r="B1255" s="613"/>
      <c r="C1255" s="353"/>
      <c r="D1255" s="353"/>
      <c r="E1255" s="353"/>
      <c r="F1255" s="353"/>
      <c r="G1255" s="353"/>
      <c r="H1255" s="353"/>
      <c r="I1255" s="731"/>
      <c r="J1255" s="613"/>
      <c r="K1255" s="613"/>
      <c r="L1255" s="353"/>
      <c r="M1255" s="353"/>
      <c r="N1255" s="353"/>
      <c r="O1255" s="764"/>
      <c r="P1255" s="353"/>
      <c r="Q1255" s="353"/>
      <c r="R1255" s="353"/>
      <c r="S1255" s="353"/>
      <c r="T1255" s="353"/>
      <c r="U1255" s="353"/>
      <c r="V1255" s="731"/>
      <c r="W1255" s="353"/>
      <c r="X1255" s="353"/>
      <c r="Y1255" s="353"/>
      <c r="Z1255" s="731"/>
      <c r="AA1255" s="353"/>
      <c r="AB1255" s="731"/>
      <c r="AC1255" s="731"/>
    </row>
    <row r="1256" ht="13.8" spans="1:29">
      <c r="A1256" s="353"/>
      <c r="B1256" s="613"/>
      <c r="C1256" s="353"/>
      <c r="D1256" s="353"/>
      <c r="E1256" s="353"/>
      <c r="F1256" s="353"/>
      <c r="G1256" s="353"/>
      <c r="H1256" s="353"/>
      <c r="I1256" s="731"/>
      <c r="J1256" s="613"/>
      <c r="K1256" s="613"/>
      <c r="L1256" s="353"/>
      <c r="M1256" s="353"/>
      <c r="N1256" s="353"/>
      <c r="O1256" s="764"/>
      <c r="P1256" s="353"/>
      <c r="Q1256" s="353"/>
      <c r="R1256" s="353"/>
      <c r="S1256" s="353"/>
      <c r="T1256" s="353"/>
      <c r="U1256" s="353"/>
      <c r="V1256" s="731"/>
      <c r="W1256" s="353"/>
      <c r="X1256" s="353"/>
      <c r="Y1256" s="353"/>
      <c r="Z1256" s="731"/>
      <c r="AA1256" s="353"/>
      <c r="AB1256" s="731"/>
      <c r="AC1256" s="731"/>
    </row>
    <row r="1257" ht="13.8" spans="1:29">
      <c r="A1257" s="353"/>
      <c r="B1257" s="613"/>
      <c r="C1257" s="353"/>
      <c r="D1257" s="353"/>
      <c r="E1257" s="353"/>
      <c r="F1257" s="353"/>
      <c r="G1257" s="353"/>
      <c r="H1257" s="353"/>
      <c r="I1257" s="731"/>
      <c r="J1257" s="613"/>
      <c r="K1257" s="613"/>
      <c r="L1257" s="353"/>
      <c r="M1257" s="353"/>
      <c r="N1257" s="353"/>
      <c r="O1257" s="764"/>
      <c r="P1257" s="353"/>
      <c r="Q1257" s="353"/>
      <c r="R1257" s="353"/>
      <c r="S1257" s="353"/>
      <c r="T1257" s="353"/>
      <c r="U1257" s="353"/>
      <c r="V1257" s="731"/>
      <c r="W1257" s="353"/>
      <c r="X1257" s="353"/>
      <c r="Y1257" s="353"/>
      <c r="Z1257" s="731"/>
      <c r="AA1257" s="353"/>
      <c r="AB1257" s="731"/>
      <c r="AC1257" s="731"/>
    </row>
    <row r="1258" ht="13.8" spans="1:29">
      <c r="A1258" s="353"/>
      <c r="B1258" s="613"/>
      <c r="C1258" s="353"/>
      <c r="D1258" s="353"/>
      <c r="E1258" s="353"/>
      <c r="F1258" s="353"/>
      <c r="G1258" s="353"/>
      <c r="H1258" s="353"/>
      <c r="I1258" s="731"/>
      <c r="J1258" s="613"/>
      <c r="K1258" s="613"/>
      <c r="L1258" s="353"/>
      <c r="M1258" s="353"/>
      <c r="N1258" s="353"/>
      <c r="O1258" s="764"/>
      <c r="P1258" s="353"/>
      <c r="Q1258" s="353"/>
      <c r="R1258" s="353"/>
      <c r="S1258" s="353"/>
      <c r="T1258" s="353"/>
      <c r="U1258" s="353"/>
      <c r="V1258" s="731"/>
      <c r="W1258" s="353"/>
      <c r="X1258" s="353"/>
      <c r="Y1258" s="353"/>
      <c r="Z1258" s="731"/>
      <c r="AA1258" s="353"/>
      <c r="AB1258" s="731"/>
      <c r="AC1258" s="731"/>
    </row>
    <row r="1259" ht="13.8" spans="1:29">
      <c r="A1259" s="353"/>
      <c r="B1259" s="613"/>
      <c r="C1259" s="353"/>
      <c r="D1259" s="353"/>
      <c r="E1259" s="353"/>
      <c r="F1259" s="353"/>
      <c r="G1259" s="353"/>
      <c r="H1259" s="353"/>
      <c r="I1259" s="731"/>
      <c r="J1259" s="613"/>
      <c r="K1259" s="613"/>
      <c r="L1259" s="353"/>
      <c r="M1259" s="353"/>
      <c r="N1259" s="353"/>
      <c r="O1259" s="764"/>
      <c r="P1259" s="353"/>
      <c r="Q1259" s="353"/>
      <c r="R1259" s="353"/>
      <c r="S1259" s="353"/>
      <c r="T1259" s="353"/>
      <c r="U1259" s="353"/>
      <c r="V1259" s="731"/>
      <c r="W1259" s="353"/>
      <c r="X1259" s="353"/>
      <c r="Y1259" s="353"/>
      <c r="Z1259" s="731"/>
      <c r="AA1259" s="353"/>
      <c r="AB1259" s="731"/>
      <c r="AC1259" s="731"/>
    </row>
    <row r="1260" ht="13.8" spans="1:29">
      <c r="A1260" s="353"/>
      <c r="B1260" s="613"/>
      <c r="C1260" s="353"/>
      <c r="D1260" s="353"/>
      <c r="E1260" s="353"/>
      <c r="F1260" s="353"/>
      <c r="G1260" s="353"/>
      <c r="H1260" s="353"/>
      <c r="I1260" s="731"/>
      <c r="J1260" s="613"/>
      <c r="K1260" s="613"/>
      <c r="L1260" s="353"/>
      <c r="M1260" s="353"/>
      <c r="N1260" s="353"/>
      <c r="O1260" s="764"/>
      <c r="P1260" s="353"/>
      <c r="Q1260" s="353"/>
      <c r="R1260" s="353"/>
      <c r="S1260" s="353"/>
      <c r="T1260" s="353"/>
      <c r="U1260" s="353"/>
      <c r="V1260" s="731"/>
      <c r="W1260" s="353"/>
      <c r="X1260" s="353"/>
      <c r="Y1260" s="353"/>
      <c r="Z1260" s="731"/>
      <c r="AA1260" s="353"/>
      <c r="AB1260" s="731"/>
      <c r="AC1260" s="731"/>
    </row>
    <row r="1261" ht="13.8" spans="1:29">
      <c r="A1261" s="353"/>
      <c r="B1261" s="613"/>
      <c r="C1261" s="353"/>
      <c r="D1261" s="353"/>
      <c r="E1261" s="353"/>
      <c r="F1261" s="353"/>
      <c r="G1261" s="353"/>
      <c r="H1261" s="353"/>
      <c r="I1261" s="731"/>
      <c r="J1261" s="613"/>
      <c r="K1261" s="613"/>
      <c r="L1261" s="353"/>
      <c r="M1261" s="353"/>
      <c r="N1261" s="353"/>
      <c r="O1261" s="764"/>
      <c r="P1261" s="353"/>
      <c r="Q1261" s="353"/>
      <c r="R1261" s="353"/>
      <c r="S1261" s="353"/>
      <c r="T1261" s="353"/>
      <c r="U1261" s="353"/>
      <c r="V1261" s="731"/>
      <c r="W1261" s="353"/>
      <c r="X1261" s="353"/>
      <c r="Y1261" s="353"/>
      <c r="Z1261" s="731"/>
      <c r="AA1261" s="353"/>
      <c r="AB1261" s="731"/>
      <c r="AC1261" s="731"/>
    </row>
    <row r="1262" ht="13.8" spans="1:29">
      <c r="A1262" s="353"/>
      <c r="B1262" s="613"/>
      <c r="C1262" s="353"/>
      <c r="D1262" s="353"/>
      <c r="E1262" s="353"/>
      <c r="F1262" s="353"/>
      <c r="G1262" s="353"/>
      <c r="H1262" s="353"/>
      <c r="I1262" s="731"/>
      <c r="J1262" s="613"/>
      <c r="K1262" s="613"/>
      <c r="L1262" s="353"/>
      <c r="M1262" s="353"/>
      <c r="N1262" s="353"/>
      <c r="O1262" s="764"/>
      <c r="P1262" s="353"/>
      <c r="Q1262" s="353"/>
      <c r="R1262" s="353"/>
      <c r="S1262" s="353"/>
      <c r="T1262" s="353"/>
      <c r="U1262" s="353"/>
      <c r="V1262" s="731"/>
      <c r="W1262" s="353"/>
      <c r="X1262" s="353"/>
      <c r="Y1262" s="353"/>
      <c r="Z1262" s="731"/>
      <c r="AA1262" s="353"/>
      <c r="AB1262" s="731"/>
      <c r="AC1262" s="731"/>
    </row>
    <row r="1263" ht="13.8" spans="1:29">
      <c r="A1263" s="353"/>
      <c r="B1263" s="613"/>
      <c r="C1263" s="353"/>
      <c r="D1263" s="353"/>
      <c r="E1263" s="353"/>
      <c r="F1263" s="353"/>
      <c r="G1263" s="353"/>
      <c r="H1263" s="353"/>
      <c r="I1263" s="731"/>
      <c r="J1263" s="613"/>
      <c r="K1263" s="613"/>
      <c r="L1263" s="353"/>
      <c r="M1263" s="353"/>
      <c r="N1263" s="353"/>
      <c r="O1263" s="764"/>
      <c r="P1263" s="353"/>
      <c r="Q1263" s="353"/>
      <c r="R1263" s="353"/>
      <c r="S1263" s="353"/>
      <c r="T1263" s="353"/>
      <c r="U1263" s="353"/>
      <c r="V1263" s="731"/>
      <c r="W1263" s="353"/>
      <c r="X1263" s="353"/>
      <c r="Y1263" s="353"/>
      <c r="Z1263" s="731"/>
      <c r="AA1263" s="353"/>
      <c r="AB1263" s="731"/>
      <c r="AC1263" s="731"/>
    </row>
    <row r="1264" ht="13.8" spans="1:29">
      <c r="A1264" s="353"/>
      <c r="B1264" s="613"/>
      <c r="C1264" s="353"/>
      <c r="D1264" s="353"/>
      <c r="E1264" s="353"/>
      <c r="F1264" s="353"/>
      <c r="G1264" s="353"/>
      <c r="H1264" s="353"/>
      <c r="I1264" s="731"/>
      <c r="J1264" s="613"/>
      <c r="K1264" s="613"/>
      <c r="L1264" s="353"/>
      <c r="M1264" s="353"/>
      <c r="N1264" s="353"/>
      <c r="O1264" s="764"/>
      <c r="P1264" s="353"/>
      <c r="Q1264" s="353"/>
      <c r="R1264" s="353"/>
      <c r="S1264" s="353"/>
      <c r="T1264" s="353"/>
      <c r="U1264" s="353"/>
      <c r="V1264" s="731"/>
      <c r="W1264" s="353"/>
      <c r="X1264" s="353"/>
      <c r="Y1264" s="353"/>
      <c r="Z1264" s="731"/>
      <c r="AA1264" s="353"/>
      <c r="AB1264" s="731"/>
      <c r="AC1264" s="731"/>
    </row>
    <row r="1265" ht="13.8" spans="1:29">
      <c r="A1265" s="353"/>
      <c r="B1265" s="613"/>
      <c r="C1265" s="353"/>
      <c r="D1265" s="353"/>
      <c r="E1265" s="353"/>
      <c r="F1265" s="353"/>
      <c r="G1265" s="353"/>
      <c r="H1265" s="353"/>
      <c r="I1265" s="731"/>
      <c r="J1265" s="613"/>
      <c r="K1265" s="613"/>
      <c r="L1265" s="353"/>
      <c r="M1265" s="353"/>
      <c r="N1265" s="353"/>
      <c r="O1265" s="764"/>
      <c r="P1265" s="353"/>
      <c r="Q1265" s="353"/>
      <c r="R1265" s="353"/>
      <c r="S1265" s="353"/>
      <c r="T1265" s="353"/>
      <c r="U1265" s="353"/>
      <c r="V1265" s="731"/>
      <c r="W1265" s="353"/>
      <c r="X1265" s="353"/>
      <c r="Y1265" s="353"/>
      <c r="Z1265" s="731"/>
      <c r="AA1265" s="353"/>
      <c r="AB1265" s="731"/>
      <c r="AC1265" s="731"/>
    </row>
    <row r="1266" ht="13.8" spans="1:29">
      <c r="A1266" s="353"/>
      <c r="B1266" s="613"/>
      <c r="C1266" s="353"/>
      <c r="D1266" s="353"/>
      <c r="E1266" s="353"/>
      <c r="F1266" s="353"/>
      <c r="G1266" s="353"/>
      <c r="H1266" s="353"/>
      <c r="I1266" s="731"/>
      <c r="J1266" s="613"/>
      <c r="K1266" s="613"/>
      <c r="L1266" s="353"/>
      <c r="M1266" s="353"/>
      <c r="N1266" s="353"/>
      <c r="O1266" s="764"/>
      <c r="P1266" s="353"/>
      <c r="Q1266" s="353"/>
      <c r="R1266" s="353"/>
      <c r="S1266" s="353"/>
      <c r="T1266" s="353"/>
      <c r="U1266" s="353"/>
      <c r="V1266" s="731"/>
      <c r="W1266" s="353"/>
      <c r="X1266" s="353"/>
      <c r="Y1266" s="353"/>
      <c r="Z1266" s="731"/>
      <c r="AA1266" s="353"/>
      <c r="AB1266" s="731"/>
      <c r="AC1266" s="731"/>
    </row>
    <row r="1267" ht="13.8" spans="1:29">
      <c r="A1267" s="353"/>
      <c r="B1267" s="613"/>
      <c r="C1267" s="353"/>
      <c r="D1267" s="353"/>
      <c r="E1267" s="353"/>
      <c r="F1267" s="353"/>
      <c r="G1267" s="353"/>
      <c r="H1267" s="353"/>
      <c r="I1267" s="731"/>
      <c r="J1267" s="613"/>
      <c r="K1267" s="613"/>
      <c r="L1267" s="353"/>
      <c r="M1267" s="353"/>
      <c r="N1267" s="353"/>
      <c r="O1267" s="764"/>
      <c r="P1267" s="353"/>
      <c r="Q1267" s="353"/>
      <c r="R1267" s="353"/>
      <c r="S1267" s="353"/>
      <c r="T1267" s="353"/>
      <c r="U1267" s="353"/>
      <c r="V1267" s="731"/>
      <c r="W1267" s="353"/>
      <c r="X1267" s="353"/>
      <c r="Y1267" s="353"/>
      <c r="Z1267" s="731"/>
      <c r="AA1267" s="353"/>
      <c r="AB1267" s="731"/>
      <c r="AC1267" s="731"/>
    </row>
    <row r="1268" ht="13.8" spans="1:29">
      <c r="A1268" s="353"/>
      <c r="B1268" s="613"/>
      <c r="C1268" s="353"/>
      <c r="D1268" s="353"/>
      <c r="E1268" s="353"/>
      <c r="F1268" s="353"/>
      <c r="G1268" s="353"/>
      <c r="H1268" s="353"/>
      <c r="I1268" s="731"/>
      <c r="J1268" s="613"/>
      <c r="K1268" s="613"/>
      <c r="L1268" s="353"/>
      <c r="M1268" s="353"/>
      <c r="N1268" s="353"/>
      <c r="O1268" s="764"/>
      <c r="P1268" s="353"/>
      <c r="Q1268" s="353"/>
      <c r="R1268" s="353"/>
      <c r="S1268" s="353"/>
      <c r="T1268" s="353"/>
      <c r="U1268" s="353"/>
      <c r="V1268" s="731"/>
      <c r="W1268" s="353"/>
      <c r="X1268" s="353"/>
      <c r="Y1268" s="353"/>
      <c r="Z1268" s="731"/>
      <c r="AA1268" s="353"/>
      <c r="AB1268" s="731"/>
      <c r="AC1268" s="731"/>
    </row>
    <row r="1269" ht="13.8" spans="1:29">
      <c r="A1269" s="353"/>
      <c r="B1269" s="613"/>
      <c r="C1269" s="353"/>
      <c r="D1269" s="353"/>
      <c r="E1269" s="353"/>
      <c r="F1269" s="353"/>
      <c r="G1269" s="353"/>
      <c r="H1269" s="353"/>
      <c r="I1269" s="731"/>
      <c r="J1269" s="613"/>
      <c r="K1269" s="613"/>
      <c r="L1269" s="353"/>
      <c r="M1269" s="353"/>
      <c r="N1269" s="353"/>
      <c r="O1269" s="764"/>
      <c r="P1269" s="353"/>
      <c r="Q1269" s="353"/>
      <c r="R1269" s="353"/>
      <c r="S1269" s="353"/>
      <c r="T1269" s="353"/>
      <c r="U1269" s="353"/>
      <c r="V1269" s="731"/>
      <c r="W1269" s="353"/>
      <c r="X1269" s="353"/>
      <c r="Y1269" s="353"/>
      <c r="Z1269" s="731"/>
      <c r="AA1269" s="353"/>
      <c r="AB1269" s="731"/>
      <c r="AC1269" s="731"/>
    </row>
    <row r="1270" ht="13.8" spans="1:29">
      <c r="A1270" s="353"/>
      <c r="B1270" s="613"/>
      <c r="C1270" s="353"/>
      <c r="D1270" s="353"/>
      <c r="E1270" s="353"/>
      <c r="F1270" s="353"/>
      <c r="G1270" s="353"/>
      <c r="H1270" s="353"/>
      <c r="I1270" s="731"/>
      <c r="J1270" s="613"/>
      <c r="K1270" s="613"/>
      <c r="L1270" s="353"/>
      <c r="M1270" s="353"/>
      <c r="N1270" s="353"/>
      <c r="O1270" s="764"/>
      <c r="P1270" s="353"/>
      <c r="Q1270" s="353"/>
      <c r="R1270" s="353"/>
      <c r="S1270" s="353"/>
      <c r="T1270" s="353"/>
      <c r="U1270" s="353"/>
      <c r="V1270" s="731"/>
      <c r="W1270" s="353"/>
      <c r="X1270" s="353"/>
      <c r="Y1270" s="353"/>
      <c r="Z1270" s="731"/>
      <c r="AA1270" s="353"/>
      <c r="AB1270" s="731"/>
      <c r="AC1270" s="731"/>
    </row>
    <row r="1271" ht="13.8" spans="1:29">
      <c r="A1271" s="353"/>
      <c r="B1271" s="613"/>
      <c r="C1271" s="353"/>
      <c r="D1271" s="353"/>
      <c r="E1271" s="353"/>
      <c r="F1271" s="353"/>
      <c r="G1271" s="353"/>
      <c r="H1271" s="353"/>
      <c r="I1271" s="731"/>
      <c r="J1271" s="613"/>
      <c r="K1271" s="613"/>
      <c r="L1271" s="353"/>
      <c r="M1271" s="353"/>
      <c r="N1271" s="353"/>
      <c r="O1271" s="764"/>
      <c r="P1271" s="353"/>
      <c r="Q1271" s="353"/>
      <c r="R1271" s="353"/>
      <c r="S1271" s="353"/>
      <c r="T1271" s="353"/>
      <c r="U1271" s="353"/>
      <c r="V1271" s="731"/>
      <c r="W1271" s="353"/>
      <c r="X1271" s="353"/>
      <c r="Y1271" s="353"/>
      <c r="Z1271" s="731"/>
      <c r="AA1271" s="353"/>
      <c r="AB1271" s="731"/>
      <c r="AC1271" s="731"/>
    </row>
    <row r="1272" ht="13.8" spans="1:29">
      <c r="A1272" s="353"/>
      <c r="B1272" s="613"/>
      <c r="C1272" s="353"/>
      <c r="D1272" s="353"/>
      <c r="E1272" s="353"/>
      <c r="F1272" s="353"/>
      <c r="G1272" s="353"/>
      <c r="H1272" s="353"/>
      <c r="I1272" s="731"/>
      <c r="J1272" s="613"/>
      <c r="K1272" s="613"/>
      <c r="L1272" s="353"/>
      <c r="M1272" s="353"/>
      <c r="N1272" s="353"/>
      <c r="O1272" s="764"/>
      <c r="P1272" s="353"/>
      <c r="Q1272" s="353"/>
      <c r="R1272" s="353"/>
      <c r="S1272" s="353"/>
      <c r="T1272" s="353"/>
      <c r="U1272" s="353"/>
      <c r="V1272" s="731"/>
      <c r="W1272" s="353"/>
      <c r="X1272" s="353"/>
      <c r="Y1272" s="353"/>
      <c r="Z1272" s="731"/>
      <c r="AA1272" s="353"/>
      <c r="AB1272" s="731"/>
      <c r="AC1272" s="731"/>
    </row>
    <row r="1273" ht="13.8" spans="1:29">
      <c r="A1273" s="353"/>
      <c r="B1273" s="613"/>
      <c r="C1273" s="353"/>
      <c r="D1273" s="353"/>
      <c r="E1273" s="353"/>
      <c r="F1273" s="353"/>
      <c r="G1273" s="353"/>
      <c r="H1273" s="353"/>
      <c r="I1273" s="731"/>
      <c r="J1273" s="613"/>
      <c r="K1273" s="613"/>
      <c r="L1273" s="353"/>
      <c r="M1273" s="353"/>
      <c r="N1273" s="353"/>
      <c r="O1273" s="764"/>
      <c r="P1273" s="353"/>
      <c r="Q1273" s="353"/>
      <c r="R1273" s="353"/>
      <c r="S1273" s="353"/>
      <c r="T1273" s="353"/>
      <c r="U1273" s="353"/>
      <c r="V1273" s="731"/>
      <c r="W1273" s="353"/>
      <c r="X1273" s="353"/>
      <c r="Y1273" s="353"/>
      <c r="Z1273" s="731"/>
      <c r="AA1273" s="353"/>
      <c r="AB1273" s="731"/>
      <c r="AC1273" s="731"/>
    </row>
    <row r="1274" ht="13.8" spans="1:29">
      <c r="A1274" s="353"/>
      <c r="B1274" s="613"/>
      <c r="C1274" s="353"/>
      <c r="D1274" s="353"/>
      <c r="E1274" s="353"/>
      <c r="F1274" s="353"/>
      <c r="G1274" s="353"/>
      <c r="H1274" s="353"/>
      <c r="I1274" s="731"/>
      <c r="J1274" s="613"/>
      <c r="K1274" s="613"/>
      <c r="L1274" s="353"/>
      <c r="M1274" s="353"/>
      <c r="N1274" s="353"/>
      <c r="O1274" s="764"/>
      <c r="P1274" s="353"/>
      <c r="Q1274" s="353"/>
      <c r="R1274" s="353"/>
      <c r="S1274" s="353"/>
      <c r="T1274" s="353"/>
      <c r="U1274" s="353"/>
      <c r="V1274" s="731"/>
      <c r="W1274" s="353"/>
      <c r="X1274" s="353"/>
      <c r="Y1274" s="353"/>
      <c r="Z1274" s="731"/>
      <c r="AA1274" s="353"/>
      <c r="AB1274" s="731"/>
      <c r="AC1274" s="731"/>
    </row>
    <row r="1275" ht="13.8" spans="1:29">
      <c r="A1275" s="353"/>
      <c r="B1275" s="613"/>
      <c r="C1275" s="353"/>
      <c r="D1275" s="353"/>
      <c r="E1275" s="353"/>
      <c r="F1275" s="353"/>
      <c r="G1275" s="353"/>
      <c r="H1275" s="353"/>
      <c r="I1275" s="731"/>
      <c r="J1275" s="613"/>
      <c r="K1275" s="613"/>
      <c r="L1275" s="353"/>
      <c r="M1275" s="353"/>
      <c r="N1275" s="353"/>
      <c r="O1275" s="764"/>
      <c r="P1275" s="353"/>
      <c r="Q1275" s="353"/>
      <c r="R1275" s="353"/>
      <c r="S1275" s="353"/>
      <c r="T1275" s="353"/>
      <c r="U1275" s="353"/>
      <c r="V1275" s="731"/>
      <c r="W1275" s="353"/>
      <c r="X1275" s="353"/>
      <c r="Y1275" s="353"/>
      <c r="Z1275" s="731"/>
      <c r="AA1275" s="353"/>
      <c r="AB1275" s="731"/>
      <c r="AC1275" s="731"/>
    </row>
    <row r="1276" ht="13.8" spans="1:29">
      <c r="A1276" s="353"/>
      <c r="B1276" s="613"/>
      <c r="C1276" s="353"/>
      <c r="D1276" s="353"/>
      <c r="E1276" s="353"/>
      <c r="F1276" s="353"/>
      <c r="G1276" s="353"/>
      <c r="H1276" s="353"/>
      <c r="I1276" s="731"/>
      <c r="J1276" s="613"/>
      <c r="K1276" s="613"/>
      <c r="L1276" s="353"/>
      <c r="M1276" s="353"/>
      <c r="N1276" s="353"/>
      <c r="O1276" s="764"/>
      <c r="P1276" s="353"/>
      <c r="Q1276" s="353"/>
      <c r="R1276" s="353"/>
      <c r="S1276" s="353"/>
      <c r="T1276" s="353"/>
      <c r="U1276" s="353"/>
      <c r="V1276" s="731"/>
      <c r="W1276" s="353"/>
      <c r="X1276" s="353"/>
      <c r="Y1276" s="353"/>
      <c r="Z1276" s="731"/>
      <c r="AA1276" s="353"/>
      <c r="AB1276" s="731"/>
      <c r="AC1276" s="731"/>
    </row>
    <row r="1277" ht="13.8" spans="1:29">
      <c r="A1277" s="353"/>
      <c r="B1277" s="613"/>
      <c r="C1277" s="353"/>
      <c r="D1277" s="353"/>
      <c r="E1277" s="353"/>
      <c r="F1277" s="353"/>
      <c r="G1277" s="353"/>
      <c r="H1277" s="353"/>
      <c r="I1277" s="731"/>
      <c r="J1277" s="613"/>
      <c r="K1277" s="613"/>
      <c r="L1277" s="353"/>
      <c r="M1277" s="353"/>
      <c r="N1277" s="353"/>
      <c r="O1277" s="764"/>
      <c r="P1277" s="353"/>
      <c r="Q1277" s="353"/>
      <c r="R1277" s="353"/>
      <c r="S1277" s="353"/>
      <c r="T1277" s="353"/>
      <c r="U1277" s="353"/>
      <c r="V1277" s="731"/>
      <c r="W1277" s="353"/>
      <c r="X1277" s="353"/>
      <c r="Y1277" s="353"/>
      <c r="Z1277" s="731"/>
      <c r="AA1277" s="353"/>
      <c r="AB1277" s="731"/>
      <c r="AC1277" s="731"/>
    </row>
    <row r="1278" ht="13.8" spans="1:29">
      <c r="A1278" s="353"/>
      <c r="B1278" s="613"/>
      <c r="C1278" s="353"/>
      <c r="D1278" s="353"/>
      <c r="E1278" s="353"/>
      <c r="F1278" s="353"/>
      <c r="G1278" s="353"/>
      <c r="H1278" s="353"/>
      <c r="I1278" s="731"/>
      <c r="J1278" s="613"/>
      <c r="K1278" s="613"/>
      <c r="L1278" s="353"/>
      <c r="M1278" s="353"/>
      <c r="N1278" s="353"/>
      <c r="O1278" s="764"/>
      <c r="P1278" s="353"/>
      <c r="Q1278" s="353"/>
      <c r="R1278" s="353"/>
      <c r="S1278" s="353"/>
      <c r="T1278" s="353"/>
      <c r="U1278" s="353"/>
      <c r="V1278" s="731"/>
      <c r="W1278" s="353"/>
      <c r="X1278" s="353"/>
      <c r="Y1278" s="353"/>
      <c r="Z1278" s="731"/>
      <c r="AA1278" s="353"/>
      <c r="AB1278" s="731"/>
      <c r="AC1278" s="731"/>
    </row>
    <row r="1279" ht="13.8" spans="1:29">
      <c r="A1279" s="353"/>
      <c r="B1279" s="613"/>
      <c r="C1279" s="353"/>
      <c r="D1279" s="353"/>
      <c r="E1279" s="353"/>
      <c r="F1279" s="353"/>
      <c r="G1279" s="353"/>
      <c r="H1279" s="353"/>
      <c r="I1279" s="731"/>
      <c r="J1279" s="613"/>
      <c r="K1279" s="613"/>
      <c r="L1279" s="353"/>
      <c r="M1279" s="353"/>
      <c r="N1279" s="353"/>
      <c r="O1279" s="764"/>
      <c r="P1279" s="353"/>
      <c r="Q1279" s="353"/>
      <c r="R1279" s="353"/>
      <c r="S1279" s="353"/>
      <c r="T1279" s="353"/>
      <c r="U1279" s="353"/>
      <c r="V1279" s="731"/>
      <c r="W1279" s="353"/>
      <c r="X1279" s="353"/>
      <c r="Y1279" s="353"/>
      <c r="Z1279" s="731"/>
      <c r="AA1279" s="353"/>
      <c r="AB1279" s="731"/>
      <c r="AC1279" s="731"/>
    </row>
    <row r="1280" ht="13.8" spans="1:29">
      <c r="A1280" s="353"/>
      <c r="B1280" s="613"/>
      <c r="C1280" s="353"/>
      <c r="D1280" s="353"/>
      <c r="E1280" s="353"/>
      <c r="F1280" s="353"/>
      <c r="G1280" s="353"/>
      <c r="H1280" s="353"/>
      <c r="I1280" s="731"/>
      <c r="J1280" s="613"/>
      <c r="K1280" s="613"/>
      <c r="L1280" s="353"/>
      <c r="M1280" s="353"/>
      <c r="N1280" s="353"/>
      <c r="O1280" s="764"/>
      <c r="P1280" s="353"/>
      <c r="Q1280" s="353"/>
      <c r="R1280" s="353"/>
      <c r="S1280" s="353"/>
      <c r="T1280" s="353"/>
      <c r="U1280" s="353"/>
      <c r="V1280" s="731"/>
      <c r="W1280" s="353"/>
      <c r="X1280" s="353"/>
      <c r="Y1280" s="353"/>
      <c r="Z1280" s="731"/>
      <c r="AA1280" s="353"/>
      <c r="AB1280" s="731"/>
      <c r="AC1280" s="731"/>
    </row>
    <row r="1281" ht="13.8" spans="1:29">
      <c r="A1281" s="353"/>
      <c r="B1281" s="613"/>
      <c r="C1281" s="353"/>
      <c r="D1281" s="353"/>
      <c r="E1281" s="353"/>
      <c r="F1281" s="353"/>
      <c r="G1281" s="353"/>
      <c r="H1281" s="353"/>
      <c r="I1281" s="731"/>
      <c r="J1281" s="613"/>
      <c r="K1281" s="613"/>
      <c r="L1281" s="353"/>
      <c r="M1281" s="353"/>
      <c r="N1281" s="353"/>
      <c r="O1281" s="764"/>
      <c r="P1281" s="353"/>
      <c r="Q1281" s="353"/>
      <c r="R1281" s="353"/>
      <c r="S1281" s="353"/>
      <c r="T1281" s="353"/>
      <c r="U1281" s="353"/>
      <c r="V1281" s="731"/>
      <c r="W1281" s="353"/>
      <c r="X1281" s="353"/>
      <c r="Y1281" s="353"/>
      <c r="Z1281" s="731"/>
      <c r="AA1281" s="353"/>
      <c r="AB1281" s="731"/>
      <c r="AC1281" s="731"/>
    </row>
    <row r="1282" ht="13.8" spans="1:29">
      <c r="A1282" s="353"/>
      <c r="B1282" s="613"/>
      <c r="C1282" s="353"/>
      <c r="D1282" s="353"/>
      <c r="E1282" s="353"/>
      <c r="F1282" s="353"/>
      <c r="G1282" s="353"/>
      <c r="H1282" s="353"/>
      <c r="I1282" s="731"/>
      <c r="J1282" s="613"/>
      <c r="K1282" s="613"/>
      <c r="L1282" s="353"/>
      <c r="M1282" s="353"/>
      <c r="N1282" s="353"/>
      <c r="O1282" s="764"/>
      <c r="P1282" s="353"/>
      <c r="Q1282" s="353"/>
      <c r="R1282" s="353"/>
      <c r="S1282" s="353"/>
      <c r="T1282" s="353"/>
      <c r="U1282" s="353"/>
      <c r="V1282" s="731"/>
      <c r="W1282" s="353"/>
      <c r="X1282" s="353"/>
      <c r="Y1282" s="353"/>
      <c r="Z1282" s="731"/>
      <c r="AA1282" s="353"/>
      <c r="AB1282" s="731"/>
      <c r="AC1282" s="731"/>
    </row>
    <row r="1283" ht="13.8" spans="1:29">
      <c r="A1283" s="353"/>
      <c r="B1283" s="613"/>
      <c r="C1283" s="353"/>
      <c r="D1283" s="353"/>
      <c r="E1283" s="353"/>
      <c r="F1283" s="353"/>
      <c r="G1283" s="353"/>
      <c r="H1283" s="353"/>
      <c r="I1283" s="731"/>
      <c r="J1283" s="613"/>
      <c r="K1283" s="613"/>
      <c r="L1283" s="353"/>
      <c r="M1283" s="353"/>
      <c r="N1283" s="353"/>
      <c r="O1283" s="764"/>
      <c r="P1283" s="353"/>
      <c r="Q1283" s="353"/>
      <c r="R1283" s="353"/>
      <c r="S1283" s="353"/>
      <c r="T1283" s="353"/>
      <c r="U1283" s="353"/>
      <c r="V1283" s="731"/>
      <c r="W1283" s="353"/>
      <c r="X1283" s="353"/>
      <c r="Y1283" s="353"/>
      <c r="Z1283" s="731"/>
      <c r="AA1283" s="353"/>
      <c r="AB1283" s="731"/>
      <c r="AC1283" s="731"/>
    </row>
    <row r="1284" ht="13.8" spans="1:29">
      <c r="A1284" s="353"/>
      <c r="B1284" s="613"/>
      <c r="C1284" s="353"/>
      <c r="D1284" s="353"/>
      <c r="E1284" s="353"/>
      <c r="F1284" s="353"/>
      <c r="G1284" s="353"/>
      <c r="H1284" s="353"/>
      <c r="I1284" s="731"/>
      <c r="J1284" s="613"/>
      <c r="K1284" s="613"/>
      <c r="L1284" s="353"/>
      <c r="M1284" s="353"/>
      <c r="N1284" s="353"/>
      <c r="O1284" s="764"/>
      <c r="P1284" s="353"/>
      <c r="Q1284" s="353"/>
      <c r="R1284" s="353"/>
      <c r="S1284" s="353"/>
      <c r="T1284" s="353"/>
      <c r="U1284" s="353"/>
      <c r="V1284" s="731"/>
      <c r="W1284" s="353"/>
      <c r="X1284" s="353"/>
      <c r="Y1284" s="353"/>
      <c r="Z1284" s="731"/>
      <c r="AA1284" s="353"/>
      <c r="AB1284" s="731"/>
      <c r="AC1284" s="731"/>
    </row>
    <row r="1285" ht="13.8" spans="1:29">
      <c r="A1285" s="353"/>
      <c r="B1285" s="613"/>
      <c r="C1285" s="353"/>
      <c r="D1285" s="353"/>
      <c r="E1285" s="353"/>
      <c r="F1285" s="353"/>
      <c r="G1285" s="353"/>
      <c r="H1285" s="353"/>
      <c r="I1285" s="731"/>
      <c r="J1285" s="613"/>
      <c r="K1285" s="613"/>
      <c r="L1285" s="353"/>
      <c r="M1285" s="353"/>
      <c r="N1285" s="353"/>
      <c r="O1285" s="764"/>
      <c r="P1285" s="353"/>
      <c r="Q1285" s="353"/>
      <c r="R1285" s="353"/>
      <c r="S1285" s="353"/>
      <c r="T1285" s="353"/>
      <c r="U1285" s="353"/>
      <c r="V1285" s="731"/>
      <c r="W1285" s="353"/>
      <c r="X1285" s="353"/>
      <c r="Y1285" s="353"/>
      <c r="Z1285" s="731"/>
      <c r="AA1285" s="353"/>
      <c r="AB1285" s="731"/>
      <c r="AC1285" s="731"/>
    </row>
    <row r="1286" ht="13.8" spans="1:29">
      <c r="A1286" s="353"/>
      <c r="B1286" s="613"/>
      <c r="C1286" s="353"/>
      <c r="D1286" s="353"/>
      <c r="E1286" s="353"/>
      <c r="F1286" s="353"/>
      <c r="G1286" s="353"/>
      <c r="H1286" s="353"/>
      <c r="I1286" s="731"/>
      <c r="J1286" s="613"/>
      <c r="K1286" s="613"/>
      <c r="L1286" s="353"/>
      <c r="M1286" s="353"/>
      <c r="N1286" s="353"/>
      <c r="O1286" s="764"/>
      <c r="P1286" s="353"/>
      <c r="Q1286" s="353"/>
      <c r="R1286" s="353"/>
      <c r="S1286" s="353"/>
      <c r="T1286" s="353"/>
      <c r="U1286" s="353"/>
      <c r="V1286" s="731"/>
      <c r="W1286" s="353"/>
      <c r="X1286" s="353"/>
      <c r="Y1286" s="353"/>
      <c r="Z1286" s="731"/>
      <c r="AA1286" s="353"/>
      <c r="AB1286" s="731"/>
      <c r="AC1286" s="731"/>
    </row>
    <row r="1287" ht="13.8" spans="1:29">
      <c r="A1287" s="353"/>
      <c r="B1287" s="613"/>
      <c r="C1287" s="353"/>
      <c r="D1287" s="353"/>
      <c r="E1287" s="353"/>
      <c r="F1287" s="353"/>
      <c r="G1287" s="353"/>
      <c r="H1287" s="353"/>
      <c r="I1287" s="731"/>
      <c r="J1287" s="613"/>
      <c r="K1287" s="613"/>
      <c r="L1287" s="353"/>
      <c r="M1287" s="353"/>
      <c r="N1287" s="353"/>
      <c r="O1287" s="764"/>
      <c r="P1287" s="353"/>
      <c r="Q1287" s="353"/>
      <c r="R1287" s="353"/>
      <c r="S1287" s="353"/>
      <c r="T1287" s="353"/>
      <c r="U1287" s="353"/>
      <c r="V1287" s="731"/>
      <c r="W1287" s="353"/>
      <c r="X1287" s="353"/>
      <c r="Y1287" s="353"/>
      <c r="Z1287" s="731"/>
      <c r="AA1287" s="353"/>
      <c r="AB1287" s="731"/>
      <c r="AC1287" s="731"/>
    </row>
    <row r="1288" ht="13.8" spans="1:29">
      <c r="A1288" s="353"/>
      <c r="B1288" s="613"/>
      <c r="C1288" s="353"/>
      <c r="D1288" s="353"/>
      <c r="E1288" s="353"/>
      <c r="F1288" s="353"/>
      <c r="G1288" s="353"/>
      <c r="H1288" s="353"/>
      <c r="I1288" s="731"/>
      <c r="J1288" s="613"/>
      <c r="K1288" s="613"/>
      <c r="L1288" s="353"/>
      <c r="M1288" s="353"/>
      <c r="N1288" s="353"/>
      <c r="O1288" s="764"/>
      <c r="P1288" s="353"/>
      <c r="Q1288" s="353"/>
      <c r="R1288" s="353"/>
      <c r="S1288" s="353"/>
      <c r="T1288" s="353"/>
      <c r="U1288" s="353"/>
      <c r="V1288" s="731"/>
      <c r="W1288" s="353"/>
      <c r="X1288" s="353"/>
      <c r="Y1288" s="353"/>
      <c r="Z1288" s="731"/>
      <c r="AA1288" s="353"/>
      <c r="AB1288" s="731"/>
      <c r="AC1288" s="731"/>
    </row>
    <row r="1289" ht="13.8" spans="1:29">
      <c r="A1289" s="353"/>
      <c r="B1289" s="613"/>
      <c r="C1289" s="353"/>
      <c r="D1289" s="353"/>
      <c r="E1289" s="353"/>
      <c r="F1289" s="353"/>
      <c r="G1289" s="353"/>
      <c r="H1289" s="353"/>
      <c r="I1289" s="731"/>
      <c r="J1289" s="613"/>
      <c r="K1289" s="613"/>
      <c r="L1289" s="353"/>
      <c r="M1289" s="353"/>
      <c r="N1289" s="353"/>
      <c r="O1289" s="764"/>
      <c r="P1289" s="353"/>
      <c r="Q1289" s="353"/>
      <c r="R1289" s="353"/>
      <c r="S1289" s="353"/>
      <c r="T1289" s="353"/>
      <c r="U1289" s="353"/>
      <c r="V1289" s="731"/>
      <c r="W1289" s="353"/>
      <c r="X1289" s="353"/>
      <c r="Y1289" s="353"/>
      <c r="Z1289" s="731"/>
      <c r="AA1289" s="353"/>
      <c r="AB1289" s="731"/>
      <c r="AC1289" s="731"/>
    </row>
    <row r="1290" ht="13.8" spans="1:29">
      <c r="A1290" s="353"/>
      <c r="B1290" s="613"/>
      <c r="C1290" s="353"/>
      <c r="D1290" s="353"/>
      <c r="E1290" s="353"/>
      <c r="F1290" s="353"/>
      <c r="G1290" s="353"/>
      <c r="H1290" s="353"/>
      <c r="I1290" s="731"/>
      <c r="J1290" s="613"/>
      <c r="K1290" s="613"/>
      <c r="L1290" s="353"/>
      <c r="M1290" s="353"/>
      <c r="N1290" s="353"/>
      <c r="O1290" s="764"/>
      <c r="P1290" s="353"/>
      <c r="Q1290" s="353"/>
      <c r="R1290" s="353"/>
      <c r="S1290" s="353"/>
      <c r="T1290" s="353"/>
      <c r="U1290" s="353"/>
      <c r="V1290" s="731"/>
      <c r="W1290" s="353"/>
      <c r="X1290" s="353"/>
      <c r="Y1290" s="353"/>
      <c r="Z1290" s="731"/>
      <c r="AA1290" s="353"/>
      <c r="AB1290" s="731"/>
      <c r="AC1290" s="731"/>
    </row>
    <row r="1291" ht="13.8" spans="1:29">
      <c r="A1291" s="353"/>
      <c r="B1291" s="613"/>
      <c r="C1291" s="353"/>
      <c r="D1291" s="353"/>
      <c r="E1291" s="353"/>
      <c r="F1291" s="353"/>
      <c r="G1291" s="353"/>
      <c r="H1291" s="353"/>
      <c r="I1291" s="731"/>
      <c r="J1291" s="613"/>
      <c r="K1291" s="613"/>
      <c r="L1291" s="353"/>
      <c r="M1291" s="353"/>
      <c r="N1291" s="353"/>
      <c r="O1291" s="764"/>
      <c r="P1291" s="353"/>
      <c r="Q1291" s="353"/>
      <c r="R1291" s="353"/>
      <c r="S1291" s="353"/>
      <c r="T1291" s="353"/>
      <c r="U1291" s="353"/>
      <c r="V1291" s="731"/>
      <c r="W1291" s="353"/>
      <c r="X1291" s="353"/>
      <c r="Y1291" s="353"/>
      <c r="Z1291" s="731"/>
      <c r="AA1291" s="353"/>
      <c r="AB1291" s="731"/>
      <c r="AC1291" s="731"/>
    </row>
    <row r="1292" ht="13.8" spans="1:29">
      <c r="A1292" s="353"/>
      <c r="B1292" s="613"/>
      <c r="C1292" s="353"/>
      <c r="D1292" s="353"/>
      <c r="E1292" s="353"/>
      <c r="F1292" s="353"/>
      <c r="G1292" s="353"/>
      <c r="H1292" s="353"/>
      <c r="I1292" s="731"/>
      <c r="J1292" s="613"/>
      <c r="K1292" s="613"/>
      <c r="L1292" s="353"/>
      <c r="M1292" s="353"/>
      <c r="N1292" s="353"/>
      <c r="O1292" s="764"/>
      <c r="P1292" s="353"/>
      <c r="Q1292" s="353"/>
      <c r="R1292" s="353"/>
      <c r="S1292" s="353"/>
      <c r="T1292" s="353"/>
      <c r="U1292" s="353"/>
      <c r="V1292" s="731"/>
      <c r="W1292" s="353"/>
      <c r="X1292" s="353"/>
      <c r="Y1292" s="353"/>
      <c r="Z1292" s="731"/>
      <c r="AA1292" s="353"/>
      <c r="AB1292" s="731"/>
      <c r="AC1292" s="731"/>
    </row>
    <row r="1293" ht="13.8" spans="1:29">
      <c r="A1293" s="353"/>
      <c r="B1293" s="613"/>
      <c r="C1293" s="353"/>
      <c r="D1293" s="353"/>
      <c r="E1293" s="353"/>
      <c r="F1293" s="353"/>
      <c r="G1293" s="353"/>
      <c r="H1293" s="353"/>
      <c r="I1293" s="731"/>
      <c r="J1293" s="613"/>
      <c r="K1293" s="613"/>
      <c r="L1293" s="353"/>
      <c r="M1293" s="353"/>
      <c r="N1293" s="353"/>
      <c r="O1293" s="764"/>
      <c r="P1293" s="353"/>
      <c r="Q1293" s="353"/>
      <c r="R1293" s="353"/>
      <c r="S1293" s="353"/>
      <c r="T1293" s="353"/>
      <c r="U1293" s="353"/>
      <c r="V1293" s="731"/>
      <c r="W1293" s="353"/>
      <c r="X1293" s="353"/>
      <c r="Y1293" s="353"/>
      <c r="Z1293" s="731"/>
      <c r="AA1293" s="353"/>
      <c r="AB1293" s="731"/>
      <c r="AC1293" s="731"/>
    </row>
    <row r="1294" ht="13.8" spans="1:29">
      <c r="A1294" s="353"/>
      <c r="B1294" s="613"/>
      <c r="C1294" s="353"/>
      <c r="D1294" s="353"/>
      <c r="E1294" s="353"/>
      <c r="F1294" s="353"/>
      <c r="G1294" s="353"/>
      <c r="H1294" s="353"/>
      <c r="I1294" s="731"/>
      <c r="J1294" s="613"/>
      <c r="K1294" s="613"/>
      <c r="L1294" s="353"/>
      <c r="M1294" s="353"/>
      <c r="N1294" s="353"/>
      <c r="O1294" s="764"/>
      <c r="P1294" s="353"/>
      <c r="Q1294" s="353"/>
      <c r="R1294" s="353"/>
      <c r="S1294" s="353"/>
      <c r="T1294" s="353"/>
      <c r="U1294" s="353"/>
      <c r="V1294" s="731"/>
      <c r="W1294" s="353"/>
      <c r="X1294" s="353"/>
      <c r="Y1294" s="353"/>
      <c r="Z1294" s="731"/>
      <c r="AA1294" s="353"/>
      <c r="AB1294" s="731"/>
      <c r="AC1294" s="731"/>
    </row>
    <row r="1295" ht="13.8" spans="1:29">
      <c r="A1295" s="353"/>
      <c r="B1295" s="613"/>
      <c r="C1295" s="353"/>
      <c r="D1295" s="353"/>
      <c r="E1295" s="353"/>
      <c r="F1295" s="353"/>
      <c r="G1295" s="353"/>
      <c r="H1295" s="353"/>
      <c r="I1295" s="731"/>
      <c r="J1295" s="613"/>
      <c r="K1295" s="613"/>
      <c r="L1295" s="353"/>
      <c r="M1295" s="353"/>
      <c r="N1295" s="353"/>
      <c r="O1295" s="764"/>
      <c r="P1295" s="353"/>
      <c r="Q1295" s="353"/>
      <c r="R1295" s="353"/>
      <c r="S1295" s="353"/>
      <c r="T1295" s="353"/>
      <c r="U1295" s="353"/>
      <c r="V1295" s="731"/>
      <c r="W1295" s="353"/>
      <c r="X1295" s="353"/>
      <c r="Y1295" s="353"/>
      <c r="Z1295" s="731"/>
      <c r="AA1295" s="353"/>
      <c r="AB1295" s="731"/>
      <c r="AC1295" s="731"/>
    </row>
    <row r="1296" ht="13.8" spans="1:29">
      <c r="A1296" s="353"/>
      <c r="B1296" s="613"/>
      <c r="C1296" s="353"/>
      <c r="D1296" s="353"/>
      <c r="E1296" s="353"/>
      <c r="F1296" s="353"/>
      <c r="G1296" s="353"/>
      <c r="H1296" s="353"/>
      <c r="I1296" s="731"/>
      <c r="J1296" s="613"/>
      <c r="K1296" s="613"/>
      <c r="L1296" s="353"/>
      <c r="M1296" s="353"/>
      <c r="N1296" s="353"/>
      <c r="O1296" s="764"/>
      <c r="P1296" s="353"/>
      <c r="Q1296" s="353"/>
      <c r="R1296" s="353"/>
      <c r="S1296" s="353"/>
      <c r="T1296" s="353"/>
      <c r="U1296" s="353"/>
      <c r="V1296" s="731"/>
      <c r="W1296" s="353"/>
      <c r="X1296" s="353"/>
      <c r="Y1296" s="353"/>
      <c r="Z1296" s="731"/>
      <c r="AA1296" s="353"/>
      <c r="AB1296" s="731"/>
      <c r="AC1296" s="731"/>
    </row>
    <row r="1297" ht="13.8" spans="1:29">
      <c r="A1297" s="353"/>
      <c r="B1297" s="613"/>
      <c r="C1297" s="353"/>
      <c r="D1297" s="353"/>
      <c r="E1297" s="353"/>
      <c r="F1297" s="353"/>
      <c r="G1297" s="353"/>
      <c r="H1297" s="353"/>
      <c r="I1297" s="731"/>
      <c r="J1297" s="613"/>
      <c r="K1297" s="613"/>
      <c r="L1297" s="353"/>
      <c r="M1297" s="353"/>
      <c r="N1297" s="353"/>
      <c r="O1297" s="764"/>
      <c r="P1297" s="353"/>
      <c r="Q1297" s="353"/>
      <c r="R1297" s="353"/>
      <c r="S1297" s="353"/>
      <c r="T1297" s="353"/>
      <c r="U1297" s="353"/>
      <c r="V1297" s="731"/>
      <c r="W1297" s="353"/>
      <c r="X1297" s="353"/>
      <c r="Y1297" s="353"/>
      <c r="Z1297" s="731"/>
      <c r="AA1297" s="353"/>
      <c r="AB1297" s="731"/>
      <c r="AC1297" s="731"/>
    </row>
    <row r="1298" ht="13.8" spans="1:29">
      <c r="A1298" s="353"/>
      <c r="B1298" s="613"/>
      <c r="C1298" s="353"/>
      <c r="D1298" s="353"/>
      <c r="E1298" s="353"/>
      <c r="F1298" s="353"/>
      <c r="G1298" s="353"/>
      <c r="H1298" s="353"/>
      <c r="I1298" s="731"/>
      <c r="J1298" s="613"/>
      <c r="K1298" s="613"/>
      <c r="L1298" s="353"/>
      <c r="M1298" s="353"/>
      <c r="N1298" s="353"/>
      <c r="O1298" s="764"/>
      <c r="P1298" s="353"/>
      <c r="Q1298" s="353"/>
      <c r="R1298" s="353"/>
      <c r="S1298" s="353"/>
      <c r="T1298" s="353"/>
      <c r="U1298" s="353"/>
      <c r="V1298" s="731"/>
      <c r="W1298" s="353"/>
      <c r="X1298" s="353"/>
      <c r="Y1298" s="353"/>
      <c r="Z1298" s="731"/>
      <c r="AA1298" s="353"/>
      <c r="AB1298" s="731"/>
      <c r="AC1298" s="731"/>
    </row>
    <row r="1299" ht="13.8" spans="1:29">
      <c r="A1299" s="353"/>
      <c r="B1299" s="613"/>
      <c r="C1299" s="353"/>
      <c r="D1299" s="353"/>
      <c r="E1299" s="353"/>
      <c r="F1299" s="353"/>
      <c r="G1299" s="353"/>
      <c r="H1299" s="353"/>
      <c r="I1299" s="731"/>
      <c r="J1299" s="613"/>
      <c r="K1299" s="613"/>
      <c r="L1299" s="353"/>
      <c r="M1299" s="353"/>
      <c r="N1299" s="353"/>
      <c r="O1299" s="764"/>
      <c r="P1299" s="353"/>
      <c r="Q1299" s="353"/>
      <c r="R1299" s="353"/>
      <c r="S1299" s="353"/>
      <c r="T1299" s="353"/>
      <c r="U1299" s="353"/>
      <c r="V1299" s="731"/>
      <c r="W1299" s="353"/>
      <c r="X1299" s="353"/>
      <c r="Y1299" s="353"/>
      <c r="Z1299" s="731"/>
      <c r="AA1299" s="353"/>
      <c r="AB1299" s="731"/>
      <c r="AC1299" s="731"/>
    </row>
    <row r="1300" ht="13.8" spans="1:29">
      <c r="A1300" s="353"/>
      <c r="B1300" s="613"/>
      <c r="C1300" s="353"/>
      <c r="D1300" s="353"/>
      <c r="E1300" s="353"/>
      <c r="F1300" s="353"/>
      <c r="G1300" s="353"/>
      <c r="H1300" s="353"/>
      <c r="I1300" s="731"/>
      <c r="J1300" s="613"/>
      <c r="K1300" s="613"/>
      <c r="L1300" s="353"/>
      <c r="M1300" s="353"/>
      <c r="N1300" s="353"/>
      <c r="O1300" s="764"/>
      <c r="P1300" s="353"/>
      <c r="Q1300" s="353"/>
      <c r="R1300" s="353"/>
      <c r="S1300" s="353"/>
      <c r="T1300" s="353"/>
      <c r="U1300" s="353"/>
      <c r="V1300" s="731"/>
      <c r="W1300" s="353"/>
      <c r="X1300" s="353"/>
      <c r="Y1300" s="353"/>
      <c r="Z1300" s="731"/>
      <c r="AA1300" s="353"/>
      <c r="AB1300" s="731"/>
      <c r="AC1300" s="731"/>
    </row>
    <row r="1301" ht="13.8" spans="1:29">
      <c r="A1301" s="353"/>
      <c r="B1301" s="613"/>
      <c r="C1301" s="353"/>
      <c r="D1301" s="353"/>
      <c r="E1301" s="353"/>
      <c r="F1301" s="353"/>
      <c r="G1301" s="353"/>
      <c r="H1301" s="353"/>
      <c r="I1301" s="731"/>
      <c r="J1301" s="613"/>
      <c r="K1301" s="613"/>
      <c r="L1301" s="353"/>
      <c r="M1301" s="353"/>
      <c r="N1301" s="353"/>
      <c r="O1301" s="764"/>
      <c r="P1301" s="353"/>
      <c r="Q1301" s="353"/>
      <c r="R1301" s="353"/>
      <c r="S1301" s="353"/>
      <c r="T1301" s="353"/>
      <c r="U1301" s="353"/>
      <c r="V1301" s="731"/>
      <c r="W1301" s="353"/>
      <c r="X1301" s="353"/>
      <c r="Y1301" s="353"/>
      <c r="Z1301" s="731"/>
      <c r="AA1301" s="353"/>
      <c r="AB1301" s="731"/>
      <c r="AC1301" s="731"/>
    </row>
    <row r="1302" ht="13.8" spans="1:29">
      <c r="A1302" s="353"/>
      <c r="B1302" s="613"/>
      <c r="C1302" s="353"/>
      <c r="D1302" s="353"/>
      <c r="E1302" s="353"/>
      <c r="F1302" s="353"/>
      <c r="G1302" s="353"/>
      <c r="H1302" s="353"/>
      <c r="I1302" s="731"/>
      <c r="J1302" s="613"/>
      <c r="K1302" s="613"/>
      <c r="L1302" s="353"/>
      <c r="M1302" s="353"/>
      <c r="N1302" s="353"/>
      <c r="O1302" s="764"/>
      <c r="P1302" s="353"/>
      <c r="Q1302" s="353"/>
      <c r="R1302" s="353"/>
      <c r="S1302" s="353"/>
      <c r="T1302" s="353"/>
      <c r="U1302" s="353"/>
      <c r="V1302" s="731"/>
      <c r="W1302" s="353"/>
      <c r="X1302" s="353"/>
      <c r="Y1302" s="353"/>
      <c r="Z1302" s="731"/>
      <c r="AA1302" s="353"/>
      <c r="AB1302" s="731"/>
      <c r="AC1302" s="731"/>
    </row>
    <row r="1303" ht="13.8" spans="1:29">
      <c r="A1303" s="353"/>
      <c r="B1303" s="613"/>
      <c r="C1303" s="353"/>
      <c r="D1303" s="353"/>
      <c r="E1303" s="353"/>
      <c r="F1303" s="353"/>
      <c r="G1303" s="353"/>
      <c r="H1303" s="353"/>
      <c r="I1303" s="731"/>
      <c r="J1303" s="613"/>
      <c r="K1303" s="613"/>
      <c r="L1303" s="353"/>
      <c r="M1303" s="353"/>
      <c r="N1303" s="353"/>
      <c r="O1303" s="764"/>
      <c r="P1303" s="353"/>
      <c r="Q1303" s="353"/>
      <c r="R1303" s="353"/>
      <c r="S1303" s="353"/>
      <c r="T1303" s="353"/>
      <c r="U1303" s="353"/>
      <c r="V1303" s="731"/>
      <c r="W1303" s="353"/>
      <c r="X1303" s="353"/>
      <c r="Y1303" s="353"/>
      <c r="Z1303" s="731"/>
      <c r="AA1303" s="353"/>
      <c r="AB1303" s="731"/>
      <c r="AC1303" s="731"/>
    </row>
    <row r="1304" ht="13.8" spans="1:29">
      <c r="A1304" s="353"/>
      <c r="B1304" s="613"/>
      <c r="C1304" s="353"/>
      <c r="D1304" s="353"/>
      <c r="E1304" s="353"/>
      <c r="F1304" s="353"/>
      <c r="G1304" s="353"/>
      <c r="H1304" s="353"/>
      <c r="I1304" s="731"/>
      <c r="J1304" s="613"/>
      <c r="K1304" s="613"/>
      <c r="L1304" s="353"/>
      <c r="M1304" s="353"/>
      <c r="N1304" s="353"/>
      <c r="O1304" s="764"/>
      <c r="P1304" s="353"/>
      <c r="Q1304" s="353"/>
      <c r="R1304" s="353"/>
      <c r="S1304" s="353"/>
      <c r="T1304" s="353"/>
      <c r="U1304" s="353"/>
      <c r="V1304" s="731"/>
      <c r="W1304" s="353"/>
      <c r="X1304" s="353"/>
      <c r="Y1304" s="353"/>
      <c r="Z1304" s="731"/>
      <c r="AA1304" s="353"/>
      <c r="AB1304" s="731"/>
      <c r="AC1304" s="731"/>
    </row>
    <row r="1305" ht="13.8" spans="1:29">
      <c r="A1305" s="353"/>
      <c r="B1305" s="613"/>
      <c r="C1305" s="353"/>
      <c r="D1305" s="353"/>
      <c r="E1305" s="353"/>
      <c r="F1305" s="353"/>
      <c r="G1305" s="353"/>
      <c r="H1305" s="353"/>
      <c r="I1305" s="731"/>
      <c r="J1305" s="613"/>
      <c r="K1305" s="613"/>
      <c r="L1305" s="353"/>
      <c r="M1305" s="353"/>
      <c r="N1305" s="353"/>
      <c r="O1305" s="764"/>
      <c r="P1305" s="353"/>
      <c r="Q1305" s="353"/>
      <c r="R1305" s="353"/>
      <c r="S1305" s="353"/>
      <c r="T1305" s="353"/>
      <c r="U1305" s="353"/>
      <c r="V1305" s="731"/>
      <c r="W1305" s="353"/>
      <c r="X1305" s="353"/>
      <c r="Y1305" s="353"/>
      <c r="Z1305" s="731"/>
      <c r="AA1305" s="353"/>
      <c r="AB1305" s="731"/>
      <c r="AC1305" s="731"/>
    </row>
    <row r="1306" ht="13.8" spans="1:29">
      <c r="A1306" s="353"/>
      <c r="B1306" s="613"/>
      <c r="C1306" s="353"/>
      <c r="D1306" s="353"/>
      <c r="E1306" s="353"/>
      <c r="F1306" s="353"/>
      <c r="G1306" s="353"/>
      <c r="H1306" s="353"/>
      <c r="I1306" s="731"/>
      <c r="J1306" s="613"/>
      <c r="K1306" s="613"/>
      <c r="L1306" s="353"/>
      <c r="M1306" s="353"/>
      <c r="N1306" s="353"/>
      <c r="O1306" s="764"/>
      <c r="P1306" s="353"/>
      <c r="Q1306" s="353"/>
      <c r="R1306" s="353"/>
      <c r="S1306" s="353"/>
      <c r="T1306" s="353"/>
      <c r="U1306" s="353"/>
      <c r="V1306" s="731"/>
      <c r="W1306" s="353"/>
      <c r="X1306" s="353"/>
      <c r="Y1306" s="353"/>
      <c r="Z1306" s="731"/>
      <c r="AA1306" s="353"/>
      <c r="AB1306" s="731"/>
      <c r="AC1306" s="731"/>
    </row>
    <row r="1307" ht="13.8" spans="1:29">
      <c r="A1307" s="353"/>
      <c r="B1307" s="613"/>
      <c r="C1307" s="353"/>
      <c r="D1307" s="353"/>
      <c r="E1307" s="353"/>
      <c r="F1307" s="353"/>
      <c r="G1307" s="353"/>
      <c r="H1307" s="353"/>
      <c r="I1307" s="731"/>
      <c r="J1307" s="613"/>
      <c r="K1307" s="613"/>
      <c r="L1307" s="353"/>
      <c r="M1307" s="353"/>
      <c r="N1307" s="353"/>
      <c r="O1307" s="764"/>
      <c r="P1307" s="353"/>
      <c r="Q1307" s="353"/>
      <c r="R1307" s="353"/>
      <c r="S1307" s="353"/>
      <c r="T1307" s="353"/>
      <c r="U1307" s="353"/>
      <c r="V1307" s="731"/>
      <c r="W1307" s="353"/>
      <c r="X1307" s="353"/>
      <c r="Y1307" s="353"/>
      <c r="Z1307" s="731"/>
      <c r="AA1307" s="353"/>
      <c r="AB1307" s="731"/>
      <c r="AC1307" s="731"/>
    </row>
    <row r="1308" ht="13.8" spans="1:29">
      <c r="A1308" s="353"/>
      <c r="B1308" s="613"/>
      <c r="C1308" s="353"/>
      <c r="D1308" s="353"/>
      <c r="E1308" s="353"/>
      <c r="F1308" s="353"/>
      <c r="G1308" s="353"/>
      <c r="H1308" s="353"/>
      <c r="I1308" s="731"/>
      <c r="J1308" s="613"/>
      <c r="K1308" s="613"/>
      <c r="L1308" s="353"/>
      <c r="M1308" s="353"/>
      <c r="N1308" s="353"/>
      <c r="O1308" s="764"/>
      <c r="P1308" s="353"/>
      <c r="Q1308" s="353"/>
      <c r="R1308" s="353"/>
      <c r="S1308" s="353"/>
      <c r="T1308" s="353"/>
      <c r="U1308" s="353"/>
      <c r="V1308" s="731"/>
      <c r="W1308" s="353"/>
      <c r="X1308" s="353"/>
      <c r="Y1308" s="353"/>
      <c r="Z1308" s="731"/>
      <c r="AA1308" s="353"/>
      <c r="AB1308" s="731"/>
      <c r="AC1308" s="731"/>
    </row>
    <row r="1309" ht="13.8" spans="1:29">
      <c r="A1309" s="353"/>
      <c r="B1309" s="613"/>
      <c r="C1309" s="353"/>
      <c r="D1309" s="353"/>
      <c r="E1309" s="353"/>
      <c r="F1309" s="353"/>
      <c r="G1309" s="353"/>
      <c r="H1309" s="353"/>
      <c r="I1309" s="731"/>
      <c r="J1309" s="613"/>
      <c r="K1309" s="613"/>
      <c r="L1309" s="353"/>
      <c r="M1309" s="353"/>
      <c r="N1309" s="353"/>
      <c r="O1309" s="764"/>
      <c r="P1309" s="353"/>
      <c r="Q1309" s="353"/>
      <c r="R1309" s="353"/>
      <c r="S1309" s="353"/>
      <c r="T1309" s="353"/>
      <c r="U1309" s="353"/>
      <c r="V1309" s="731"/>
      <c r="W1309" s="353"/>
      <c r="X1309" s="353"/>
      <c r="Y1309" s="353"/>
      <c r="Z1309" s="731"/>
      <c r="AA1309" s="353"/>
      <c r="AB1309" s="731"/>
      <c r="AC1309" s="731"/>
    </row>
    <row r="1310" ht="13.8" spans="1:29">
      <c r="A1310" s="353"/>
      <c r="B1310" s="613"/>
      <c r="C1310" s="353"/>
      <c r="D1310" s="353"/>
      <c r="E1310" s="353"/>
      <c r="F1310" s="353"/>
      <c r="G1310" s="353"/>
      <c r="H1310" s="353"/>
      <c r="I1310" s="731"/>
      <c r="J1310" s="613"/>
      <c r="K1310" s="613"/>
      <c r="L1310" s="353"/>
      <c r="M1310" s="353"/>
      <c r="N1310" s="353"/>
      <c r="O1310" s="764"/>
      <c r="P1310" s="353"/>
      <c r="Q1310" s="353"/>
      <c r="R1310" s="353"/>
      <c r="S1310" s="353"/>
      <c r="T1310" s="353"/>
      <c r="U1310" s="353"/>
      <c r="V1310" s="731"/>
      <c r="W1310" s="353"/>
      <c r="X1310" s="353"/>
      <c r="Y1310" s="353"/>
      <c r="Z1310" s="731"/>
      <c r="AA1310" s="353"/>
      <c r="AB1310" s="731"/>
      <c r="AC1310" s="731"/>
    </row>
    <row r="1311" ht="13.8" spans="1:29">
      <c r="A1311" s="353"/>
      <c r="B1311" s="613"/>
      <c r="C1311" s="353"/>
      <c r="D1311" s="353"/>
      <c r="E1311" s="353"/>
      <c r="F1311" s="353"/>
      <c r="G1311" s="353"/>
      <c r="H1311" s="353"/>
      <c r="I1311" s="731"/>
      <c r="J1311" s="613"/>
      <c r="K1311" s="613"/>
      <c r="L1311" s="353"/>
      <c r="M1311" s="353"/>
      <c r="N1311" s="353"/>
      <c r="O1311" s="764"/>
      <c r="P1311" s="353"/>
      <c r="Q1311" s="353"/>
      <c r="R1311" s="353"/>
      <c r="S1311" s="353"/>
      <c r="T1311" s="353"/>
      <c r="U1311" s="353"/>
      <c r="V1311" s="731"/>
      <c r="W1311" s="353"/>
      <c r="X1311" s="353"/>
      <c r="Y1311" s="353"/>
      <c r="Z1311" s="731"/>
      <c r="AA1311" s="353"/>
      <c r="AB1311" s="731"/>
      <c r="AC1311" s="731"/>
    </row>
    <row r="1312" ht="13.8" spans="1:29">
      <c r="A1312" s="353"/>
      <c r="B1312" s="613"/>
      <c r="C1312" s="353"/>
      <c r="D1312" s="353"/>
      <c r="E1312" s="353"/>
      <c r="F1312" s="353"/>
      <c r="G1312" s="353"/>
      <c r="H1312" s="353"/>
      <c r="I1312" s="731"/>
      <c r="J1312" s="613"/>
      <c r="K1312" s="613"/>
      <c r="L1312" s="353"/>
      <c r="M1312" s="353"/>
      <c r="N1312" s="353"/>
      <c r="O1312" s="764"/>
      <c r="P1312" s="353"/>
      <c r="Q1312" s="353"/>
      <c r="R1312" s="353"/>
      <c r="S1312" s="353"/>
      <c r="T1312" s="353"/>
      <c r="U1312" s="353"/>
      <c r="V1312" s="731"/>
      <c r="W1312" s="353"/>
      <c r="X1312" s="353"/>
      <c r="Y1312" s="353"/>
      <c r="Z1312" s="731"/>
      <c r="AA1312" s="353"/>
      <c r="AB1312" s="731"/>
      <c r="AC1312" s="731"/>
    </row>
    <row r="1313" ht="13.8" spans="1:29">
      <c r="A1313" s="353"/>
      <c r="B1313" s="613"/>
      <c r="C1313" s="353"/>
      <c r="D1313" s="353"/>
      <c r="E1313" s="353"/>
      <c r="F1313" s="353"/>
      <c r="G1313" s="353"/>
      <c r="H1313" s="353"/>
      <c r="I1313" s="731"/>
      <c r="J1313" s="613"/>
      <c r="K1313" s="613"/>
      <c r="L1313" s="353"/>
      <c r="M1313" s="353"/>
      <c r="N1313" s="353"/>
      <c r="O1313" s="764"/>
      <c r="P1313" s="353"/>
      <c r="Q1313" s="353"/>
      <c r="R1313" s="353"/>
      <c r="S1313" s="353"/>
      <c r="T1313" s="353"/>
      <c r="U1313" s="353"/>
      <c r="V1313" s="731"/>
      <c r="W1313" s="353"/>
      <c r="X1313" s="353"/>
      <c r="Y1313" s="353"/>
      <c r="Z1313" s="731"/>
      <c r="AA1313" s="353"/>
      <c r="AB1313" s="731"/>
      <c r="AC1313" s="731"/>
    </row>
    <row r="1314" ht="13.8" spans="1:29">
      <c r="A1314" s="353"/>
      <c r="B1314" s="613"/>
      <c r="C1314" s="353"/>
      <c r="D1314" s="353"/>
      <c r="E1314" s="353"/>
      <c r="F1314" s="353"/>
      <c r="G1314" s="353"/>
      <c r="H1314" s="353"/>
      <c r="I1314" s="731"/>
      <c r="J1314" s="613"/>
      <c r="K1314" s="613"/>
      <c r="L1314" s="353"/>
      <c r="M1314" s="353"/>
      <c r="N1314" s="353"/>
      <c r="O1314" s="764"/>
      <c r="P1314" s="353"/>
      <c r="Q1314" s="353"/>
      <c r="R1314" s="353"/>
      <c r="S1314" s="353"/>
      <c r="T1314" s="353"/>
      <c r="U1314" s="353"/>
      <c r="V1314" s="731"/>
      <c r="W1314" s="353"/>
      <c r="X1314" s="353"/>
      <c r="Y1314" s="353"/>
      <c r="Z1314" s="731"/>
      <c r="AA1314" s="353"/>
      <c r="AB1314" s="731"/>
      <c r="AC1314" s="731"/>
    </row>
    <row r="1315" ht="13.8" spans="1:29">
      <c r="A1315" s="353"/>
      <c r="B1315" s="613"/>
      <c r="C1315" s="353"/>
      <c r="D1315" s="353"/>
      <c r="E1315" s="353"/>
      <c r="F1315" s="353"/>
      <c r="G1315" s="353"/>
      <c r="H1315" s="353"/>
      <c r="I1315" s="731"/>
      <c r="J1315" s="613"/>
      <c r="K1315" s="613"/>
      <c r="L1315" s="353"/>
      <c r="M1315" s="353"/>
      <c r="N1315" s="353"/>
      <c r="O1315" s="764"/>
      <c r="P1315" s="353"/>
      <c r="Q1315" s="353"/>
      <c r="R1315" s="353"/>
      <c r="S1315" s="353"/>
      <c r="T1315" s="353"/>
      <c r="U1315" s="353"/>
      <c r="V1315" s="731"/>
      <c r="W1315" s="353"/>
      <c r="X1315" s="353"/>
      <c r="Y1315" s="353"/>
      <c r="Z1315" s="731"/>
      <c r="AA1315" s="353"/>
      <c r="AB1315" s="731"/>
      <c r="AC1315" s="731"/>
    </row>
    <row r="1316" ht="13.8" spans="1:29">
      <c r="A1316" s="353"/>
      <c r="B1316" s="613"/>
      <c r="C1316" s="353"/>
      <c r="D1316" s="353"/>
      <c r="E1316" s="353"/>
      <c r="F1316" s="353"/>
      <c r="G1316" s="353"/>
      <c r="H1316" s="353"/>
      <c r="I1316" s="731"/>
      <c r="J1316" s="613"/>
      <c r="K1316" s="613"/>
      <c r="L1316" s="353"/>
      <c r="M1316" s="353"/>
      <c r="N1316" s="353"/>
      <c r="O1316" s="764"/>
      <c r="P1316" s="353"/>
      <c r="Q1316" s="353"/>
      <c r="R1316" s="353"/>
      <c r="S1316" s="353"/>
      <c r="T1316" s="353"/>
      <c r="U1316" s="353"/>
      <c r="V1316" s="731"/>
      <c r="W1316" s="353"/>
      <c r="X1316" s="353"/>
      <c r="Y1316" s="353"/>
      <c r="Z1316" s="731"/>
      <c r="AA1316" s="353"/>
      <c r="AB1316" s="731"/>
      <c r="AC1316" s="731"/>
    </row>
    <row r="1317" ht="13.8" spans="1:29">
      <c r="A1317" s="353"/>
      <c r="B1317" s="613"/>
      <c r="C1317" s="353"/>
      <c r="D1317" s="353"/>
      <c r="E1317" s="353"/>
      <c r="F1317" s="353"/>
      <c r="G1317" s="353"/>
      <c r="H1317" s="353"/>
      <c r="I1317" s="731"/>
      <c r="J1317" s="613"/>
      <c r="K1317" s="613"/>
      <c r="L1317" s="353"/>
      <c r="M1317" s="353"/>
      <c r="N1317" s="353"/>
      <c r="O1317" s="764"/>
      <c r="P1317" s="353"/>
      <c r="Q1317" s="353"/>
      <c r="R1317" s="353"/>
      <c r="S1317" s="353"/>
      <c r="T1317" s="353"/>
      <c r="U1317" s="353"/>
      <c r="V1317" s="731"/>
      <c r="W1317" s="353"/>
      <c r="X1317" s="353"/>
      <c r="Y1317" s="353"/>
      <c r="Z1317" s="731"/>
      <c r="AA1317" s="353"/>
      <c r="AB1317" s="731"/>
      <c r="AC1317" s="731"/>
    </row>
    <row r="1318" ht="13.8" spans="1:29">
      <c r="A1318" s="353"/>
      <c r="B1318" s="613"/>
      <c r="C1318" s="353"/>
      <c r="D1318" s="353"/>
      <c r="E1318" s="353"/>
      <c r="F1318" s="353"/>
      <c r="G1318" s="353"/>
      <c r="H1318" s="353"/>
      <c r="I1318" s="731"/>
      <c r="J1318" s="613"/>
      <c r="K1318" s="613"/>
      <c r="L1318" s="353"/>
      <c r="M1318" s="353"/>
      <c r="N1318" s="353"/>
      <c r="O1318" s="764"/>
      <c r="P1318" s="353"/>
      <c r="Q1318" s="353"/>
      <c r="R1318" s="353"/>
      <c r="S1318" s="353"/>
      <c r="T1318" s="353"/>
      <c r="U1318" s="353"/>
      <c r="V1318" s="731"/>
      <c r="W1318" s="353"/>
      <c r="X1318" s="353"/>
      <c r="Y1318" s="353"/>
      <c r="Z1318" s="731"/>
      <c r="AA1318" s="353"/>
      <c r="AB1318" s="731"/>
      <c r="AC1318" s="731"/>
    </row>
    <row r="1319" ht="13.8" spans="1:29">
      <c r="A1319" s="353"/>
      <c r="B1319" s="613"/>
      <c r="C1319" s="353"/>
      <c r="D1319" s="353"/>
      <c r="E1319" s="353"/>
      <c r="F1319" s="353"/>
      <c r="G1319" s="353"/>
      <c r="H1319" s="353"/>
      <c r="I1319" s="731"/>
      <c r="J1319" s="613"/>
      <c r="K1319" s="613"/>
      <c r="L1319" s="353"/>
      <c r="M1319" s="353"/>
      <c r="N1319" s="353"/>
      <c r="O1319" s="764"/>
      <c r="P1319" s="353"/>
      <c r="Q1319" s="353"/>
      <c r="R1319" s="353"/>
      <c r="S1319" s="353"/>
      <c r="T1319" s="353"/>
      <c r="U1319" s="353"/>
      <c r="V1319" s="731"/>
      <c r="W1319" s="353"/>
      <c r="X1319" s="353"/>
      <c r="Y1319" s="353"/>
      <c r="Z1319" s="731"/>
      <c r="AA1319" s="353"/>
      <c r="AB1319" s="731"/>
      <c r="AC1319" s="731"/>
    </row>
    <row r="1320" ht="13.8" spans="1:29">
      <c r="A1320" s="353"/>
      <c r="B1320" s="613"/>
      <c r="C1320" s="353"/>
      <c r="D1320" s="353"/>
      <c r="E1320" s="353"/>
      <c r="F1320" s="353"/>
      <c r="G1320" s="353"/>
      <c r="H1320" s="353"/>
      <c r="I1320" s="731"/>
      <c r="J1320" s="613"/>
      <c r="K1320" s="613"/>
      <c r="L1320" s="353"/>
      <c r="M1320" s="353"/>
      <c r="N1320" s="353"/>
      <c r="O1320" s="764"/>
      <c r="P1320" s="353"/>
      <c r="Q1320" s="353"/>
      <c r="R1320" s="353"/>
      <c r="S1320" s="353"/>
      <c r="T1320" s="353"/>
      <c r="U1320" s="353"/>
      <c r="V1320" s="731"/>
      <c r="W1320" s="353"/>
      <c r="X1320" s="353"/>
      <c r="Y1320" s="353"/>
      <c r="Z1320" s="731"/>
      <c r="AA1320" s="353"/>
      <c r="AB1320" s="731"/>
      <c r="AC1320" s="731"/>
    </row>
    <row r="1321" ht="13.8" spans="1:29">
      <c r="A1321" s="353"/>
      <c r="B1321" s="613"/>
      <c r="C1321" s="353"/>
      <c r="D1321" s="353"/>
      <c r="E1321" s="353"/>
      <c r="F1321" s="353"/>
      <c r="G1321" s="353"/>
      <c r="H1321" s="353"/>
      <c r="I1321" s="731"/>
      <c r="J1321" s="613"/>
      <c r="K1321" s="613"/>
      <c r="L1321" s="353"/>
      <c r="M1321" s="353"/>
      <c r="N1321" s="353"/>
      <c r="O1321" s="764"/>
      <c r="P1321" s="353"/>
      <c r="Q1321" s="353"/>
      <c r="R1321" s="353"/>
      <c r="S1321" s="353"/>
      <c r="T1321" s="353"/>
      <c r="U1321" s="353"/>
      <c r="V1321" s="731"/>
      <c r="W1321" s="353"/>
      <c r="X1321" s="353"/>
      <c r="Y1321" s="353"/>
      <c r="Z1321" s="731"/>
      <c r="AA1321" s="353"/>
      <c r="AB1321" s="731"/>
      <c r="AC1321" s="731"/>
    </row>
    <row r="1322" ht="13.8" spans="1:29">
      <c r="A1322" s="353"/>
      <c r="B1322" s="613"/>
      <c r="C1322" s="353"/>
      <c r="D1322" s="353"/>
      <c r="E1322" s="353"/>
      <c r="F1322" s="353"/>
      <c r="G1322" s="353"/>
      <c r="H1322" s="353"/>
      <c r="I1322" s="731"/>
      <c r="J1322" s="613"/>
      <c r="K1322" s="613"/>
      <c r="L1322" s="353"/>
      <c r="M1322" s="353"/>
      <c r="N1322" s="353"/>
      <c r="O1322" s="764"/>
      <c r="P1322" s="353"/>
      <c r="Q1322" s="353"/>
      <c r="R1322" s="353"/>
      <c r="S1322" s="353"/>
      <c r="T1322" s="353"/>
      <c r="U1322" s="353"/>
      <c r="V1322" s="731"/>
      <c r="W1322" s="353"/>
      <c r="X1322" s="353"/>
      <c r="Y1322" s="353"/>
      <c r="Z1322" s="731"/>
      <c r="AA1322" s="353"/>
      <c r="AB1322" s="731"/>
      <c r="AC1322" s="731"/>
    </row>
    <row r="1323" ht="13.8" spans="1:29">
      <c r="A1323" s="353"/>
      <c r="B1323" s="613"/>
      <c r="C1323" s="353"/>
      <c r="D1323" s="353"/>
      <c r="E1323" s="353"/>
      <c r="F1323" s="353"/>
      <c r="G1323" s="353"/>
      <c r="H1323" s="353"/>
      <c r="I1323" s="731"/>
      <c r="J1323" s="613"/>
      <c r="K1323" s="613"/>
      <c r="L1323" s="353"/>
      <c r="M1323" s="353"/>
      <c r="N1323" s="353"/>
      <c r="O1323" s="764"/>
      <c r="P1323" s="353"/>
      <c r="Q1323" s="353"/>
      <c r="R1323" s="353"/>
      <c r="S1323" s="353"/>
      <c r="T1323" s="353"/>
      <c r="U1323" s="353"/>
      <c r="V1323" s="731"/>
      <c r="W1323" s="353"/>
      <c r="X1323" s="353"/>
      <c r="Y1323" s="353"/>
      <c r="Z1323" s="731"/>
      <c r="AA1323" s="353"/>
      <c r="AB1323" s="731"/>
      <c r="AC1323" s="731"/>
    </row>
    <row r="1324" ht="13.8" spans="1:29">
      <c r="A1324" s="353"/>
      <c r="B1324" s="613"/>
      <c r="C1324" s="353"/>
      <c r="D1324" s="353"/>
      <c r="E1324" s="353"/>
      <c r="F1324" s="353"/>
      <c r="G1324" s="353"/>
      <c r="H1324" s="353"/>
      <c r="I1324" s="731"/>
      <c r="J1324" s="613"/>
      <c r="K1324" s="613"/>
      <c r="L1324" s="353"/>
      <c r="M1324" s="353"/>
      <c r="N1324" s="353"/>
      <c r="O1324" s="764"/>
      <c r="P1324" s="353"/>
      <c r="Q1324" s="353"/>
      <c r="R1324" s="353"/>
      <c r="S1324" s="353"/>
      <c r="T1324" s="353"/>
      <c r="U1324" s="353"/>
      <c r="V1324" s="731"/>
      <c r="W1324" s="353"/>
      <c r="X1324" s="353"/>
      <c r="Y1324" s="353"/>
      <c r="Z1324" s="731"/>
      <c r="AA1324" s="353"/>
      <c r="AB1324" s="731"/>
      <c r="AC1324" s="731"/>
    </row>
    <row r="1325" ht="13.8" spans="1:29">
      <c r="A1325" s="353"/>
      <c r="B1325" s="613"/>
      <c r="C1325" s="353"/>
      <c r="D1325" s="353"/>
      <c r="E1325" s="353"/>
      <c r="F1325" s="353"/>
      <c r="G1325" s="353"/>
      <c r="H1325" s="353"/>
      <c r="I1325" s="731"/>
      <c r="J1325" s="613"/>
      <c r="K1325" s="613"/>
      <c r="L1325" s="353"/>
      <c r="M1325" s="353"/>
      <c r="N1325" s="353"/>
      <c r="O1325" s="764"/>
      <c r="P1325" s="353"/>
      <c r="Q1325" s="353"/>
      <c r="R1325" s="353"/>
      <c r="S1325" s="353"/>
      <c r="T1325" s="353"/>
      <c r="U1325" s="353"/>
      <c r="V1325" s="731"/>
      <c r="W1325" s="353"/>
      <c r="X1325" s="353"/>
      <c r="Y1325" s="353"/>
      <c r="Z1325" s="731"/>
      <c r="AA1325" s="353"/>
      <c r="AB1325" s="731"/>
      <c r="AC1325" s="731"/>
    </row>
    <row r="1326" ht="13.8" spans="1:29">
      <c r="A1326" s="353"/>
      <c r="B1326" s="613"/>
      <c r="C1326" s="353"/>
      <c r="D1326" s="353"/>
      <c r="E1326" s="353"/>
      <c r="F1326" s="353"/>
      <c r="G1326" s="353"/>
      <c r="H1326" s="353"/>
      <c r="I1326" s="731"/>
      <c r="J1326" s="613"/>
      <c r="K1326" s="613"/>
      <c r="L1326" s="353"/>
      <c r="M1326" s="353"/>
      <c r="N1326" s="353"/>
      <c r="O1326" s="764"/>
      <c r="P1326" s="353"/>
      <c r="Q1326" s="353"/>
      <c r="R1326" s="353"/>
      <c r="S1326" s="353"/>
      <c r="T1326" s="353"/>
      <c r="U1326" s="353"/>
      <c r="V1326" s="731"/>
      <c r="W1326" s="353"/>
      <c r="X1326" s="353"/>
      <c r="Y1326" s="353"/>
      <c r="Z1326" s="731"/>
      <c r="AA1326" s="353"/>
      <c r="AB1326" s="731"/>
      <c r="AC1326" s="731"/>
    </row>
    <row r="1327" ht="13.8" spans="1:29">
      <c r="A1327" s="353"/>
      <c r="B1327" s="613"/>
      <c r="C1327" s="353"/>
      <c r="D1327" s="353"/>
      <c r="E1327" s="353"/>
      <c r="F1327" s="353"/>
      <c r="G1327" s="353"/>
      <c r="H1327" s="353"/>
      <c r="I1327" s="731"/>
      <c r="J1327" s="613"/>
      <c r="K1327" s="613"/>
      <c r="L1327" s="353"/>
      <c r="M1327" s="353"/>
      <c r="N1327" s="353"/>
      <c r="O1327" s="764"/>
      <c r="P1327" s="353"/>
      <c r="Q1327" s="353"/>
      <c r="R1327" s="353"/>
      <c r="S1327" s="353"/>
      <c r="T1327" s="353"/>
      <c r="U1327" s="353"/>
      <c r="V1327" s="731"/>
      <c r="W1327" s="353"/>
      <c r="X1327" s="353"/>
      <c r="Y1327" s="353"/>
      <c r="Z1327" s="731"/>
      <c r="AA1327" s="353"/>
      <c r="AB1327" s="731"/>
      <c r="AC1327" s="731"/>
    </row>
    <row r="1328" ht="13.8" spans="1:29">
      <c r="A1328" s="353"/>
      <c r="B1328" s="613"/>
      <c r="C1328" s="353"/>
      <c r="D1328" s="353"/>
      <c r="E1328" s="353"/>
      <c r="F1328" s="353"/>
      <c r="G1328" s="353"/>
      <c r="H1328" s="353"/>
      <c r="I1328" s="731"/>
      <c r="J1328" s="613"/>
      <c r="K1328" s="613"/>
      <c r="L1328" s="353"/>
      <c r="M1328" s="353"/>
      <c r="N1328" s="353"/>
      <c r="O1328" s="764"/>
      <c r="P1328" s="353"/>
      <c r="Q1328" s="353"/>
      <c r="R1328" s="353"/>
      <c r="S1328" s="353"/>
      <c r="T1328" s="353"/>
      <c r="U1328" s="353"/>
      <c r="V1328" s="731"/>
      <c r="W1328" s="353"/>
      <c r="X1328" s="353"/>
      <c r="Y1328" s="353"/>
      <c r="Z1328" s="731"/>
      <c r="AA1328" s="353"/>
      <c r="AB1328" s="731"/>
      <c r="AC1328" s="731"/>
    </row>
    <row r="1329" ht="13.8" spans="1:29">
      <c r="A1329" s="353"/>
      <c r="B1329" s="613"/>
      <c r="C1329" s="353"/>
      <c r="D1329" s="353"/>
      <c r="E1329" s="353"/>
      <c r="F1329" s="353"/>
      <c r="G1329" s="353"/>
      <c r="H1329" s="353"/>
      <c r="I1329" s="731"/>
      <c r="J1329" s="613"/>
      <c r="K1329" s="613"/>
      <c r="L1329" s="353"/>
      <c r="M1329" s="353"/>
      <c r="N1329" s="353"/>
      <c r="O1329" s="764"/>
      <c r="P1329" s="353"/>
      <c r="Q1329" s="353"/>
      <c r="R1329" s="353"/>
      <c r="S1329" s="353"/>
      <c r="T1329" s="353"/>
      <c r="U1329" s="353"/>
      <c r="V1329" s="731"/>
      <c r="W1329" s="353"/>
      <c r="X1329" s="353"/>
      <c r="Y1329" s="353"/>
      <c r="Z1329" s="731"/>
      <c r="AA1329" s="353"/>
      <c r="AB1329" s="731"/>
      <c r="AC1329" s="731"/>
    </row>
    <row r="1330" ht="13.8" spans="1:29">
      <c r="A1330" s="353"/>
      <c r="B1330" s="613"/>
      <c r="C1330" s="353"/>
      <c r="D1330" s="353"/>
      <c r="E1330" s="353"/>
      <c r="F1330" s="353"/>
      <c r="G1330" s="353"/>
      <c r="H1330" s="353"/>
      <c r="I1330" s="731"/>
      <c r="J1330" s="613"/>
      <c r="K1330" s="613"/>
      <c r="L1330" s="353"/>
      <c r="M1330" s="353"/>
      <c r="N1330" s="353"/>
      <c r="O1330" s="764"/>
      <c r="P1330" s="353"/>
      <c r="Q1330" s="353"/>
      <c r="R1330" s="353"/>
      <c r="S1330" s="353"/>
      <c r="T1330" s="353"/>
      <c r="U1330" s="353"/>
      <c r="V1330" s="731"/>
      <c r="W1330" s="353"/>
      <c r="X1330" s="353"/>
      <c r="Y1330" s="353"/>
      <c r="Z1330" s="731"/>
      <c r="AA1330" s="353"/>
      <c r="AB1330" s="731"/>
      <c r="AC1330" s="731"/>
    </row>
    <row r="1331" ht="13.8" spans="1:29">
      <c r="A1331" s="353"/>
      <c r="B1331" s="613"/>
      <c r="C1331" s="353"/>
      <c r="D1331" s="353"/>
      <c r="E1331" s="353"/>
      <c r="F1331" s="353"/>
      <c r="G1331" s="353"/>
      <c r="H1331" s="353"/>
      <c r="I1331" s="731"/>
      <c r="J1331" s="613"/>
      <c r="K1331" s="613"/>
      <c r="L1331" s="353"/>
      <c r="M1331" s="353"/>
      <c r="N1331" s="353"/>
      <c r="O1331" s="764"/>
      <c r="P1331" s="353"/>
      <c r="Q1331" s="353"/>
      <c r="R1331" s="353"/>
      <c r="S1331" s="353"/>
      <c r="T1331" s="353"/>
      <c r="U1331" s="353"/>
      <c r="V1331" s="731"/>
      <c r="W1331" s="353"/>
      <c r="X1331" s="353"/>
      <c r="Y1331" s="353"/>
      <c r="Z1331" s="731"/>
      <c r="AA1331" s="353"/>
      <c r="AB1331" s="731"/>
      <c r="AC1331" s="731"/>
    </row>
    <row r="1332" ht="13.8" spans="1:29">
      <c r="A1332" s="353"/>
      <c r="B1332" s="613"/>
      <c r="C1332" s="353"/>
      <c r="D1332" s="353"/>
      <c r="E1332" s="353"/>
      <c r="F1332" s="353"/>
      <c r="G1332" s="353"/>
      <c r="H1332" s="353"/>
      <c r="I1332" s="731"/>
      <c r="J1332" s="613"/>
      <c r="K1332" s="613"/>
      <c r="L1332" s="353"/>
      <c r="M1332" s="353"/>
      <c r="N1332" s="353"/>
      <c r="O1332" s="764"/>
      <c r="P1332" s="353"/>
      <c r="Q1332" s="353"/>
      <c r="R1332" s="353"/>
      <c r="S1332" s="353"/>
      <c r="T1332" s="353"/>
      <c r="U1332" s="353"/>
      <c r="V1332" s="731"/>
      <c r="W1332" s="353"/>
      <c r="X1332" s="353"/>
      <c r="Y1332" s="353"/>
      <c r="Z1332" s="731"/>
      <c r="AA1332" s="353"/>
      <c r="AB1332" s="731"/>
      <c r="AC1332" s="731"/>
    </row>
    <row r="1333" ht="13.8" spans="1:29">
      <c r="A1333" s="353"/>
      <c r="B1333" s="613"/>
      <c r="C1333" s="353"/>
      <c r="D1333" s="353"/>
      <c r="E1333" s="353"/>
      <c r="F1333" s="353"/>
      <c r="G1333" s="353"/>
      <c r="H1333" s="353"/>
      <c r="I1333" s="731"/>
      <c r="J1333" s="613"/>
      <c r="K1333" s="613"/>
      <c r="L1333" s="353"/>
      <c r="M1333" s="353"/>
      <c r="N1333" s="353"/>
      <c r="O1333" s="764"/>
      <c r="P1333" s="353"/>
      <c r="Q1333" s="353"/>
      <c r="R1333" s="353"/>
      <c r="S1333" s="353"/>
      <c r="T1333" s="353"/>
      <c r="U1333" s="353"/>
      <c r="V1333" s="731"/>
      <c r="W1333" s="353"/>
      <c r="X1333" s="353"/>
      <c r="Y1333" s="353"/>
      <c r="Z1333" s="731"/>
      <c r="AA1333" s="353"/>
      <c r="AB1333" s="731"/>
      <c r="AC1333" s="731"/>
    </row>
    <row r="1334" ht="13.8" spans="1:29">
      <c r="A1334" s="353"/>
      <c r="B1334" s="613"/>
      <c r="C1334" s="353"/>
      <c r="D1334" s="353"/>
      <c r="E1334" s="353"/>
      <c r="F1334" s="353"/>
      <c r="G1334" s="353"/>
      <c r="H1334" s="353"/>
      <c r="I1334" s="731"/>
      <c r="J1334" s="613"/>
      <c r="K1334" s="613"/>
      <c r="L1334" s="353"/>
      <c r="M1334" s="353"/>
      <c r="N1334" s="353"/>
      <c r="O1334" s="764"/>
      <c r="P1334" s="353"/>
      <c r="Q1334" s="353"/>
      <c r="R1334" s="353"/>
      <c r="S1334" s="353"/>
      <c r="T1334" s="353"/>
      <c r="U1334" s="353"/>
      <c r="V1334" s="731"/>
      <c r="W1334" s="353"/>
      <c r="X1334" s="353"/>
      <c r="Y1334" s="353"/>
      <c r="Z1334" s="731"/>
      <c r="AA1334" s="353"/>
      <c r="AB1334" s="731"/>
      <c r="AC1334" s="731"/>
    </row>
    <row r="1335" ht="13.8" spans="1:29">
      <c r="A1335" s="353"/>
      <c r="B1335" s="613"/>
      <c r="C1335" s="353"/>
      <c r="D1335" s="353"/>
      <c r="E1335" s="353"/>
      <c r="F1335" s="353"/>
      <c r="G1335" s="353"/>
      <c r="H1335" s="353"/>
      <c r="I1335" s="731"/>
      <c r="J1335" s="613"/>
      <c r="K1335" s="613"/>
      <c r="L1335" s="353"/>
      <c r="M1335" s="353"/>
      <c r="N1335" s="353"/>
      <c r="O1335" s="764"/>
      <c r="P1335" s="353"/>
      <c r="Q1335" s="353"/>
      <c r="R1335" s="353"/>
      <c r="S1335" s="353"/>
      <c r="T1335" s="353"/>
      <c r="U1335" s="353"/>
      <c r="V1335" s="731"/>
      <c r="W1335" s="353"/>
      <c r="X1335" s="353"/>
      <c r="Y1335" s="353"/>
      <c r="Z1335" s="731"/>
      <c r="AA1335" s="353"/>
      <c r="AB1335" s="731"/>
      <c r="AC1335" s="731"/>
    </row>
    <row r="1336" ht="13.8" spans="1:29">
      <c r="A1336" s="353"/>
      <c r="B1336" s="613"/>
      <c r="C1336" s="353"/>
      <c r="D1336" s="353"/>
      <c r="E1336" s="353"/>
      <c r="F1336" s="353"/>
      <c r="G1336" s="353"/>
      <c r="H1336" s="353"/>
      <c r="I1336" s="731"/>
      <c r="J1336" s="613"/>
      <c r="K1336" s="613"/>
      <c r="L1336" s="353"/>
      <c r="M1336" s="353"/>
      <c r="N1336" s="353"/>
      <c r="O1336" s="764"/>
      <c r="P1336" s="353"/>
      <c r="Q1336" s="353"/>
      <c r="R1336" s="353"/>
      <c r="S1336" s="353"/>
      <c r="T1336" s="353"/>
      <c r="U1336" s="353"/>
      <c r="V1336" s="731"/>
      <c r="W1336" s="353"/>
      <c r="X1336" s="353"/>
      <c r="Y1336" s="353"/>
      <c r="Z1336" s="731"/>
      <c r="AA1336" s="353"/>
      <c r="AB1336" s="731"/>
      <c r="AC1336" s="731"/>
    </row>
    <row r="1337" ht="13.8" spans="1:29">
      <c r="A1337" s="353"/>
      <c r="B1337" s="613"/>
      <c r="C1337" s="353"/>
      <c r="D1337" s="353"/>
      <c r="E1337" s="353"/>
      <c r="F1337" s="353"/>
      <c r="G1337" s="353"/>
      <c r="H1337" s="353"/>
      <c r="I1337" s="731"/>
      <c r="J1337" s="613"/>
      <c r="K1337" s="613"/>
      <c r="L1337" s="353"/>
      <c r="M1337" s="353"/>
      <c r="N1337" s="353"/>
      <c r="O1337" s="764"/>
      <c r="P1337" s="353"/>
      <c r="Q1337" s="353"/>
      <c r="R1337" s="353"/>
      <c r="S1337" s="353"/>
      <c r="T1337" s="353"/>
      <c r="U1337" s="353"/>
      <c r="V1337" s="731"/>
      <c r="W1337" s="353"/>
      <c r="X1337" s="353"/>
      <c r="Y1337" s="353"/>
      <c r="Z1337" s="731"/>
      <c r="AA1337" s="353"/>
      <c r="AB1337" s="731"/>
      <c r="AC1337" s="731"/>
    </row>
    <row r="1338" ht="13.8" spans="1:29">
      <c r="A1338" s="353"/>
      <c r="B1338" s="613"/>
      <c r="C1338" s="353"/>
      <c r="D1338" s="353"/>
      <c r="E1338" s="353"/>
      <c r="F1338" s="353"/>
      <c r="G1338" s="353"/>
      <c r="H1338" s="353"/>
      <c r="I1338" s="731"/>
      <c r="J1338" s="613"/>
      <c r="K1338" s="613"/>
      <c r="L1338" s="353"/>
      <c r="M1338" s="353"/>
      <c r="N1338" s="353"/>
      <c r="O1338" s="764"/>
      <c r="P1338" s="353"/>
      <c r="Q1338" s="353"/>
      <c r="R1338" s="353"/>
      <c r="S1338" s="353"/>
      <c r="T1338" s="353"/>
      <c r="U1338" s="353"/>
      <c r="V1338" s="731"/>
      <c r="W1338" s="353"/>
      <c r="X1338" s="353"/>
      <c r="Y1338" s="353"/>
      <c r="Z1338" s="731"/>
      <c r="AA1338" s="353"/>
      <c r="AB1338" s="731"/>
      <c r="AC1338" s="731"/>
    </row>
    <row r="1339" ht="13.8" spans="1:29">
      <c r="A1339" s="353"/>
      <c r="B1339" s="613"/>
      <c r="C1339" s="353"/>
      <c r="D1339" s="353"/>
      <c r="E1339" s="353"/>
      <c r="F1339" s="353"/>
      <c r="G1339" s="353"/>
      <c r="H1339" s="353"/>
      <c r="I1339" s="731"/>
      <c r="J1339" s="613"/>
      <c r="K1339" s="613"/>
      <c r="L1339" s="353"/>
      <c r="M1339" s="353"/>
      <c r="N1339" s="353"/>
      <c r="O1339" s="764"/>
      <c r="P1339" s="353"/>
      <c r="Q1339" s="353"/>
      <c r="R1339" s="353"/>
      <c r="S1339" s="353"/>
      <c r="T1339" s="353"/>
      <c r="U1339" s="353"/>
      <c r="V1339" s="731"/>
      <c r="W1339" s="353"/>
      <c r="X1339" s="353"/>
      <c r="Y1339" s="353"/>
      <c r="Z1339" s="731"/>
      <c r="AA1339" s="353"/>
      <c r="AB1339" s="731"/>
      <c r="AC1339" s="731"/>
    </row>
    <row r="1340" ht="13.8" spans="1:29">
      <c r="A1340" s="353"/>
      <c r="B1340" s="613"/>
      <c r="C1340" s="353"/>
      <c r="D1340" s="353"/>
      <c r="E1340" s="353"/>
      <c r="F1340" s="353"/>
      <c r="G1340" s="353"/>
      <c r="H1340" s="353"/>
      <c r="I1340" s="731"/>
      <c r="J1340" s="613"/>
      <c r="K1340" s="613"/>
      <c r="L1340" s="353"/>
      <c r="M1340" s="353"/>
      <c r="N1340" s="353"/>
      <c r="O1340" s="764"/>
      <c r="P1340" s="353"/>
      <c r="Q1340" s="353"/>
      <c r="R1340" s="353"/>
      <c r="S1340" s="353"/>
      <c r="T1340" s="353"/>
      <c r="U1340" s="353"/>
      <c r="V1340" s="731"/>
      <c r="W1340" s="353"/>
      <c r="X1340" s="353"/>
      <c r="Y1340" s="353"/>
      <c r="Z1340" s="731"/>
      <c r="AA1340" s="353"/>
      <c r="AB1340" s="731"/>
      <c r="AC1340" s="731"/>
    </row>
    <row r="1341" ht="13.8" spans="1:29">
      <c r="A1341" s="353"/>
      <c r="B1341" s="613"/>
      <c r="C1341" s="353"/>
      <c r="D1341" s="353"/>
      <c r="E1341" s="353"/>
      <c r="F1341" s="353"/>
      <c r="G1341" s="353"/>
      <c r="H1341" s="353"/>
      <c r="I1341" s="731"/>
      <c r="J1341" s="613"/>
      <c r="K1341" s="613"/>
      <c r="L1341" s="353"/>
      <c r="M1341" s="353"/>
      <c r="N1341" s="353"/>
      <c r="O1341" s="764"/>
      <c r="P1341" s="353"/>
      <c r="Q1341" s="353"/>
      <c r="R1341" s="353"/>
      <c r="S1341" s="353"/>
      <c r="T1341" s="353"/>
      <c r="U1341" s="353"/>
      <c r="V1341" s="731"/>
      <c r="W1341" s="353"/>
      <c r="X1341" s="353"/>
      <c r="Y1341" s="353"/>
      <c r="Z1341" s="731"/>
      <c r="AA1341" s="353"/>
      <c r="AB1341" s="731"/>
      <c r="AC1341" s="731"/>
    </row>
    <row r="1342" ht="13.8" spans="1:29">
      <c r="A1342" s="353"/>
      <c r="B1342" s="613"/>
      <c r="C1342" s="353"/>
      <c r="D1342" s="353"/>
      <c r="E1342" s="353"/>
      <c r="F1342" s="353"/>
      <c r="G1342" s="353"/>
      <c r="H1342" s="353"/>
      <c r="I1342" s="731"/>
      <c r="J1342" s="613"/>
      <c r="K1342" s="613"/>
      <c r="L1342" s="353"/>
      <c r="M1342" s="353"/>
      <c r="N1342" s="353"/>
      <c r="O1342" s="764"/>
      <c r="P1342" s="353"/>
      <c r="Q1342" s="353"/>
      <c r="R1342" s="353"/>
      <c r="S1342" s="353"/>
      <c r="T1342" s="353"/>
      <c r="U1342" s="353"/>
      <c r="V1342" s="731"/>
      <c r="W1342" s="353"/>
      <c r="X1342" s="353"/>
      <c r="Y1342" s="353"/>
      <c r="Z1342" s="731"/>
      <c r="AA1342" s="353"/>
      <c r="AB1342" s="731"/>
      <c r="AC1342" s="731"/>
    </row>
    <row r="1343" ht="13.8" spans="1:29">
      <c r="A1343" s="353"/>
      <c r="B1343" s="613"/>
      <c r="C1343" s="353"/>
      <c r="D1343" s="353"/>
      <c r="E1343" s="353"/>
      <c r="F1343" s="353"/>
      <c r="G1343" s="353"/>
      <c r="H1343" s="353"/>
      <c r="I1343" s="731"/>
      <c r="J1343" s="613"/>
      <c r="K1343" s="613"/>
      <c r="L1343" s="353"/>
      <c r="M1343" s="353"/>
      <c r="N1343" s="353"/>
      <c r="O1343" s="764"/>
      <c r="P1343" s="353"/>
      <c r="Q1343" s="353"/>
      <c r="R1343" s="353"/>
      <c r="S1343" s="353"/>
      <c r="T1343" s="353"/>
      <c r="U1343" s="353"/>
      <c r="V1343" s="731"/>
      <c r="W1343" s="353"/>
      <c r="X1343" s="353"/>
      <c r="Y1343" s="353"/>
      <c r="Z1343" s="731"/>
      <c r="AA1343" s="353"/>
      <c r="AB1343" s="731"/>
      <c r="AC1343" s="731"/>
    </row>
    <row r="1344" ht="13.8" spans="1:29">
      <c r="A1344" s="353"/>
      <c r="B1344" s="613"/>
      <c r="C1344" s="353"/>
      <c r="D1344" s="353"/>
      <c r="E1344" s="353"/>
      <c r="F1344" s="353"/>
      <c r="G1344" s="353"/>
      <c r="H1344" s="353"/>
      <c r="I1344" s="731"/>
      <c r="J1344" s="613"/>
      <c r="K1344" s="613"/>
      <c r="L1344" s="353"/>
      <c r="M1344" s="353"/>
      <c r="N1344" s="353"/>
      <c r="O1344" s="764"/>
      <c r="P1344" s="353"/>
      <c r="Q1344" s="353"/>
      <c r="R1344" s="353"/>
      <c r="S1344" s="353"/>
      <c r="T1344" s="353"/>
      <c r="U1344" s="353"/>
      <c r="V1344" s="731"/>
      <c r="W1344" s="353"/>
      <c r="X1344" s="353"/>
      <c r="Y1344" s="353"/>
      <c r="Z1344" s="731"/>
      <c r="AA1344" s="353"/>
      <c r="AB1344" s="731"/>
      <c r="AC1344" s="731"/>
    </row>
    <row r="1345" ht="13.8" spans="1:29">
      <c r="A1345" s="353"/>
      <c r="B1345" s="613"/>
      <c r="C1345" s="353"/>
      <c r="D1345" s="353"/>
      <c r="E1345" s="353"/>
      <c r="F1345" s="353"/>
      <c r="G1345" s="353"/>
      <c r="H1345" s="353"/>
      <c r="I1345" s="731"/>
      <c r="J1345" s="613"/>
      <c r="K1345" s="613"/>
      <c r="L1345" s="353"/>
      <c r="M1345" s="353"/>
      <c r="N1345" s="353"/>
      <c r="O1345" s="764"/>
      <c r="P1345" s="353"/>
      <c r="Q1345" s="353"/>
      <c r="R1345" s="353"/>
      <c r="S1345" s="353"/>
      <c r="T1345" s="353"/>
      <c r="U1345" s="353"/>
      <c r="V1345" s="731"/>
      <c r="W1345" s="353"/>
      <c r="X1345" s="353"/>
      <c r="Y1345" s="353"/>
      <c r="Z1345" s="731"/>
      <c r="AA1345" s="353"/>
      <c r="AB1345" s="731"/>
      <c r="AC1345" s="731"/>
    </row>
    <row r="1346" ht="13.8" spans="1:29">
      <c r="A1346" s="353"/>
      <c r="B1346" s="613"/>
      <c r="C1346" s="353"/>
      <c r="D1346" s="353"/>
      <c r="E1346" s="353"/>
      <c r="F1346" s="353"/>
      <c r="G1346" s="353"/>
      <c r="H1346" s="353"/>
      <c r="I1346" s="731"/>
      <c r="J1346" s="613"/>
      <c r="K1346" s="613"/>
      <c r="L1346" s="353"/>
      <c r="M1346" s="353"/>
      <c r="N1346" s="353"/>
      <c r="O1346" s="764"/>
      <c r="P1346" s="353"/>
      <c r="Q1346" s="353"/>
      <c r="R1346" s="353"/>
      <c r="S1346" s="353"/>
      <c r="T1346" s="353"/>
      <c r="U1346" s="353"/>
      <c r="V1346" s="731"/>
      <c r="W1346" s="353"/>
      <c r="X1346" s="353"/>
      <c r="Y1346" s="353"/>
      <c r="Z1346" s="731"/>
      <c r="AA1346" s="353"/>
      <c r="AB1346" s="731"/>
      <c r="AC1346" s="731"/>
    </row>
    <row r="1347" ht="13.8" spans="1:29">
      <c r="A1347" s="353"/>
      <c r="B1347" s="613"/>
      <c r="C1347" s="353"/>
      <c r="D1347" s="353"/>
      <c r="E1347" s="353"/>
      <c r="F1347" s="353"/>
      <c r="G1347" s="353"/>
      <c r="H1347" s="353"/>
      <c r="I1347" s="731"/>
      <c r="J1347" s="613"/>
      <c r="K1347" s="613"/>
      <c r="L1347" s="353"/>
      <c r="M1347" s="353"/>
      <c r="N1347" s="353"/>
      <c r="O1347" s="764"/>
      <c r="P1347" s="353"/>
      <c r="Q1347" s="353"/>
      <c r="R1347" s="353"/>
      <c r="S1347" s="353"/>
      <c r="T1347" s="353"/>
      <c r="U1347" s="353"/>
      <c r="V1347" s="731"/>
      <c r="W1347" s="353"/>
      <c r="X1347" s="353"/>
      <c r="Y1347" s="353"/>
      <c r="Z1347" s="731"/>
      <c r="AA1347" s="353"/>
      <c r="AB1347" s="731"/>
      <c r="AC1347" s="731"/>
    </row>
    <row r="1348" ht="13.8" spans="1:29">
      <c r="A1348" s="353"/>
      <c r="B1348" s="613"/>
      <c r="C1348" s="353"/>
      <c r="D1348" s="353"/>
      <c r="E1348" s="353"/>
      <c r="F1348" s="353"/>
      <c r="G1348" s="353"/>
      <c r="H1348" s="353"/>
      <c r="I1348" s="731"/>
      <c r="J1348" s="613"/>
      <c r="K1348" s="613"/>
      <c r="L1348" s="353"/>
      <c r="M1348" s="353"/>
      <c r="N1348" s="353"/>
      <c r="O1348" s="764"/>
      <c r="P1348" s="353"/>
      <c r="Q1348" s="353"/>
      <c r="R1348" s="353"/>
      <c r="S1348" s="353"/>
      <c r="T1348" s="353"/>
      <c r="U1348" s="353"/>
      <c r="V1348" s="731"/>
      <c r="W1348" s="353"/>
      <c r="X1348" s="353"/>
      <c r="Y1348" s="353"/>
      <c r="Z1348" s="731"/>
      <c r="AA1348" s="353"/>
      <c r="AB1348" s="731"/>
      <c r="AC1348" s="731"/>
    </row>
    <row r="1349" ht="13.8" spans="1:29">
      <c r="A1349" s="353"/>
      <c r="B1349" s="613"/>
      <c r="C1349" s="353"/>
      <c r="D1349" s="353"/>
      <c r="E1349" s="353"/>
      <c r="F1349" s="353"/>
      <c r="G1349" s="353"/>
      <c r="H1349" s="353"/>
      <c r="I1349" s="731"/>
      <c r="J1349" s="613"/>
      <c r="K1349" s="613"/>
      <c r="L1349" s="353"/>
      <c r="M1349" s="353"/>
      <c r="N1349" s="353"/>
      <c r="O1349" s="764"/>
      <c r="P1349" s="353"/>
      <c r="Q1349" s="353"/>
      <c r="R1349" s="353"/>
      <c r="S1349" s="353"/>
      <c r="T1349" s="353"/>
      <c r="U1349" s="353"/>
      <c r="V1349" s="731"/>
      <c r="W1349" s="353"/>
      <c r="X1349" s="353"/>
      <c r="Y1349" s="353"/>
      <c r="Z1349" s="731"/>
      <c r="AA1349" s="353"/>
      <c r="AB1349" s="731"/>
      <c r="AC1349" s="731"/>
    </row>
    <row r="1350" ht="13.8" spans="1:29">
      <c r="A1350" s="353"/>
      <c r="B1350" s="613"/>
      <c r="C1350" s="353"/>
      <c r="D1350" s="353"/>
      <c r="E1350" s="353"/>
      <c r="F1350" s="353"/>
      <c r="G1350" s="353"/>
      <c r="H1350" s="353"/>
      <c r="I1350" s="731"/>
      <c r="J1350" s="613"/>
      <c r="K1350" s="613"/>
      <c r="L1350" s="353"/>
      <c r="M1350" s="353"/>
      <c r="N1350" s="353"/>
      <c r="O1350" s="764"/>
      <c r="P1350" s="353"/>
      <c r="Q1350" s="353"/>
      <c r="R1350" s="353"/>
      <c r="S1350" s="353"/>
      <c r="T1350" s="353"/>
      <c r="U1350" s="353"/>
      <c r="V1350" s="731"/>
      <c r="W1350" s="353"/>
      <c r="X1350" s="353"/>
      <c r="Y1350" s="353"/>
      <c r="Z1350" s="731"/>
      <c r="AA1350" s="353"/>
      <c r="AB1350" s="731"/>
      <c r="AC1350" s="731"/>
    </row>
    <row r="1351" ht="13.8" spans="1:29">
      <c r="A1351" s="353"/>
      <c r="B1351" s="613"/>
      <c r="C1351" s="353"/>
      <c r="D1351" s="353"/>
      <c r="E1351" s="353"/>
      <c r="F1351" s="353"/>
      <c r="G1351" s="353"/>
      <c r="H1351" s="353"/>
      <c r="I1351" s="731"/>
      <c r="J1351" s="613"/>
      <c r="K1351" s="613"/>
      <c r="L1351" s="353"/>
      <c r="M1351" s="353"/>
      <c r="N1351" s="353"/>
      <c r="O1351" s="764"/>
      <c r="P1351" s="353"/>
      <c r="Q1351" s="353"/>
      <c r="R1351" s="353"/>
      <c r="S1351" s="353"/>
      <c r="T1351" s="353"/>
      <c r="U1351" s="353"/>
      <c r="V1351" s="731"/>
      <c r="W1351" s="353"/>
      <c r="X1351" s="353"/>
      <c r="Y1351" s="353"/>
      <c r="Z1351" s="731"/>
      <c r="AA1351" s="353"/>
      <c r="AB1351" s="731"/>
      <c r="AC1351" s="731"/>
    </row>
    <row r="1352" ht="13.8" spans="1:29">
      <c r="A1352" s="353"/>
      <c r="B1352" s="613"/>
      <c r="C1352" s="353"/>
      <c r="D1352" s="353"/>
      <c r="E1352" s="353"/>
      <c r="F1352" s="353"/>
      <c r="G1352" s="353"/>
      <c r="H1352" s="353"/>
      <c r="I1352" s="731"/>
      <c r="J1352" s="613"/>
      <c r="K1352" s="613"/>
      <c r="L1352" s="353"/>
      <c r="M1352" s="353"/>
      <c r="N1352" s="353"/>
      <c r="O1352" s="764"/>
      <c r="P1352" s="353"/>
      <c r="Q1352" s="353"/>
      <c r="R1352" s="353"/>
      <c r="S1352" s="353"/>
      <c r="T1352" s="353"/>
      <c r="U1352" s="353"/>
      <c r="V1352" s="731"/>
      <c r="W1352" s="353"/>
      <c r="X1352" s="353"/>
      <c r="Y1352" s="353"/>
      <c r="Z1352" s="731"/>
      <c r="AA1352" s="353"/>
      <c r="AB1352" s="731"/>
      <c r="AC1352" s="731"/>
    </row>
    <row r="1353" ht="13.8" spans="1:29">
      <c r="A1353" s="353"/>
      <c r="B1353" s="613"/>
      <c r="C1353" s="353"/>
      <c r="D1353" s="353"/>
      <c r="E1353" s="353"/>
      <c r="F1353" s="353"/>
      <c r="G1353" s="353"/>
      <c r="H1353" s="353"/>
      <c r="I1353" s="731"/>
      <c r="J1353" s="613"/>
      <c r="K1353" s="613"/>
      <c r="L1353" s="353"/>
      <c r="M1353" s="353"/>
      <c r="N1353" s="353"/>
      <c r="O1353" s="764"/>
      <c r="P1353" s="353"/>
      <c r="Q1353" s="353"/>
      <c r="R1353" s="353"/>
      <c r="S1353" s="353"/>
      <c r="T1353" s="353"/>
      <c r="U1353" s="353"/>
      <c r="V1353" s="731"/>
      <c r="W1353" s="353"/>
      <c r="X1353" s="353"/>
      <c r="Y1353" s="353"/>
      <c r="Z1353" s="731"/>
      <c r="AA1353" s="353"/>
      <c r="AB1353" s="731"/>
      <c r="AC1353" s="731"/>
    </row>
    <row r="1354" ht="13.8" spans="1:29">
      <c r="A1354" s="353"/>
      <c r="B1354" s="613"/>
      <c r="C1354" s="353"/>
      <c r="D1354" s="353"/>
      <c r="E1354" s="353"/>
      <c r="F1354" s="353"/>
      <c r="G1354" s="353"/>
      <c r="H1354" s="353"/>
      <c r="I1354" s="731"/>
      <c r="J1354" s="613"/>
      <c r="K1354" s="613"/>
      <c r="L1354" s="353"/>
      <c r="M1354" s="353"/>
      <c r="N1354" s="353"/>
      <c r="O1354" s="764"/>
      <c r="P1354" s="353"/>
      <c r="Q1354" s="353"/>
      <c r="R1354" s="353"/>
      <c r="S1354" s="353"/>
      <c r="T1354" s="353"/>
      <c r="U1354" s="353"/>
      <c r="V1354" s="731"/>
      <c r="W1354" s="353"/>
      <c r="X1354" s="353"/>
      <c r="Y1354" s="353"/>
      <c r="Z1354" s="731"/>
      <c r="AA1354" s="353"/>
      <c r="AB1354" s="731"/>
      <c r="AC1354" s="731"/>
    </row>
    <row r="1355" ht="13.8" spans="1:29">
      <c r="A1355" s="353"/>
      <c r="B1355" s="613"/>
      <c r="C1355" s="353"/>
      <c r="D1355" s="353"/>
      <c r="E1355" s="353"/>
      <c r="F1355" s="353"/>
      <c r="G1355" s="353"/>
      <c r="H1355" s="353"/>
      <c r="I1355" s="731"/>
      <c r="J1355" s="613"/>
      <c r="K1355" s="613"/>
      <c r="L1355" s="353"/>
      <c r="M1355" s="353"/>
      <c r="N1355" s="353"/>
      <c r="O1355" s="764"/>
      <c r="P1355" s="353"/>
      <c r="Q1355" s="353"/>
      <c r="R1355" s="353"/>
      <c r="S1355" s="353"/>
      <c r="T1355" s="353"/>
      <c r="U1355" s="353"/>
      <c r="V1355" s="731"/>
      <c r="W1355" s="353"/>
      <c r="X1355" s="353"/>
      <c r="Y1355" s="353"/>
      <c r="Z1355" s="731"/>
      <c r="AA1355" s="353"/>
      <c r="AB1355" s="731"/>
      <c r="AC1355" s="731"/>
    </row>
    <row r="1356" ht="13.8" spans="1:29">
      <c r="A1356" s="353"/>
      <c r="B1356" s="613"/>
      <c r="C1356" s="353"/>
      <c r="D1356" s="353"/>
      <c r="E1356" s="353"/>
      <c r="F1356" s="353"/>
      <c r="G1356" s="353"/>
      <c r="H1356" s="353"/>
      <c r="I1356" s="731"/>
      <c r="J1356" s="613"/>
      <c r="K1356" s="613"/>
      <c r="L1356" s="353"/>
      <c r="M1356" s="353"/>
      <c r="N1356" s="353"/>
      <c r="O1356" s="764"/>
      <c r="P1356" s="353"/>
      <c r="Q1356" s="353"/>
      <c r="R1356" s="353"/>
      <c r="S1356" s="353"/>
      <c r="T1356" s="353"/>
      <c r="U1356" s="353"/>
      <c r="V1356" s="731"/>
      <c r="W1356" s="353"/>
      <c r="X1356" s="353"/>
      <c r="Y1356" s="353"/>
      <c r="Z1356" s="731"/>
      <c r="AA1356" s="353"/>
      <c r="AB1356" s="731"/>
      <c r="AC1356" s="731"/>
    </row>
    <row r="1357" ht="13.8" spans="1:29">
      <c r="A1357" s="353"/>
      <c r="B1357" s="613"/>
      <c r="C1357" s="353"/>
      <c r="D1357" s="353"/>
      <c r="E1357" s="353"/>
      <c r="F1357" s="353"/>
      <c r="G1357" s="353"/>
      <c r="H1357" s="353"/>
      <c r="I1357" s="731"/>
      <c r="J1357" s="613"/>
      <c r="K1357" s="613"/>
      <c r="L1357" s="353"/>
      <c r="M1357" s="353"/>
      <c r="N1357" s="353"/>
      <c r="O1357" s="764"/>
      <c r="P1357" s="353"/>
      <c r="Q1357" s="353"/>
      <c r="R1357" s="353"/>
      <c r="S1357" s="353"/>
      <c r="T1357" s="353"/>
      <c r="U1357" s="353"/>
      <c r="V1357" s="731"/>
      <c r="W1357" s="353"/>
      <c r="X1357" s="353"/>
      <c r="Y1357" s="353"/>
      <c r="Z1357" s="731"/>
      <c r="AA1357" s="353"/>
      <c r="AB1357" s="731"/>
      <c r="AC1357" s="731"/>
    </row>
    <row r="1358" ht="13.8" spans="1:29">
      <c r="A1358" s="353"/>
      <c r="B1358" s="613"/>
      <c r="C1358" s="353"/>
      <c r="D1358" s="353"/>
      <c r="E1358" s="353"/>
      <c r="F1358" s="353"/>
      <c r="G1358" s="353"/>
      <c r="H1358" s="353"/>
      <c r="I1358" s="731"/>
      <c r="J1358" s="613"/>
      <c r="K1358" s="613"/>
      <c r="L1358" s="353"/>
      <c r="M1358" s="353"/>
      <c r="N1358" s="353"/>
      <c r="O1358" s="764"/>
      <c r="P1358" s="353"/>
      <c r="Q1358" s="353"/>
      <c r="R1358" s="353"/>
      <c r="S1358" s="353"/>
      <c r="T1358" s="353"/>
      <c r="U1358" s="353"/>
      <c r="V1358" s="731"/>
      <c r="W1358" s="353"/>
      <c r="X1358" s="353"/>
      <c r="Y1358" s="353"/>
      <c r="Z1358" s="731"/>
      <c r="AA1358" s="353"/>
      <c r="AB1358" s="731"/>
      <c r="AC1358" s="731"/>
    </row>
    <row r="1359" ht="13.8" spans="1:29">
      <c r="A1359" s="353"/>
      <c r="B1359" s="613"/>
      <c r="C1359" s="353"/>
      <c r="D1359" s="353"/>
      <c r="E1359" s="353"/>
      <c r="F1359" s="353"/>
      <c r="G1359" s="353"/>
      <c r="H1359" s="353"/>
      <c r="I1359" s="731"/>
      <c r="J1359" s="613"/>
      <c r="K1359" s="613"/>
      <c r="L1359" s="353"/>
      <c r="M1359" s="353"/>
      <c r="N1359" s="353"/>
      <c r="O1359" s="764"/>
      <c r="P1359" s="353"/>
      <c r="Q1359" s="353"/>
      <c r="R1359" s="353"/>
      <c r="S1359" s="353"/>
      <c r="T1359" s="353"/>
      <c r="U1359" s="353"/>
      <c r="V1359" s="731"/>
      <c r="W1359" s="353"/>
      <c r="X1359" s="353"/>
      <c r="Y1359" s="353"/>
      <c r="Z1359" s="731"/>
      <c r="AA1359" s="353"/>
      <c r="AB1359" s="731"/>
      <c r="AC1359" s="731"/>
    </row>
    <row r="1360" ht="13.8" spans="1:29">
      <c r="A1360" s="353"/>
      <c r="B1360" s="613"/>
      <c r="C1360" s="353"/>
      <c r="D1360" s="353"/>
      <c r="E1360" s="353"/>
      <c r="F1360" s="353"/>
      <c r="G1360" s="353"/>
      <c r="H1360" s="353"/>
      <c r="I1360" s="731"/>
      <c r="J1360" s="613"/>
      <c r="K1360" s="613"/>
      <c r="L1360" s="353"/>
      <c r="M1360" s="353"/>
      <c r="N1360" s="353"/>
      <c r="O1360" s="764"/>
      <c r="P1360" s="353"/>
      <c r="Q1360" s="353"/>
      <c r="R1360" s="353"/>
      <c r="S1360" s="353"/>
      <c r="T1360" s="353"/>
      <c r="U1360" s="353"/>
      <c r="V1360" s="731"/>
      <c r="W1360" s="353"/>
      <c r="X1360" s="353"/>
      <c r="Y1360" s="353"/>
      <c r="Z1360" s="731"/>
      <c r="AA1360" s="353"/>
      <c r="AB1360" s="731"/>
      <c r="AC1360" s="731"/>
    </row>
    <row r="1361" ht="13.8" spans="1:29">
      <c r="A1361" s="353"/>
      <c r="B1361" s="613"/>
      <c r="C1361" s="353"/>
      <c r="D1361" s="353"/>
      <c r="E1361" s="353"/>
      <c r="F1361" s="353"/>
      <c r="G1361" s="353"/>
      <c r="H1361" s="353"/>
      <c r="I1361" s="731"/>
      <c r="J1361" s="613"/>
      <c r="K1361" s="613"/>
      <c r="L1361" s="353"/>
      <c r="M1361" s="353"/>
      <c r="N1361" s="353"/>
      <c r="O1361" s="764"/>
      <c r="P1361" s="353"/>
      <c r="Q1361" s="353"/>
      <c r="R1361" s="353"/>
      <c r="S1361" s="353"/>
      <c r="T1361" s="353"/>
      <c r="U1361" s="353"/>
      <c r="V1361" s="731"/>
      <c r="W1361" s="353"/>
      <c r="X1361" s="353"/>
      <c r="Y1361" s="353"/>
      <c r="Z1361" s="731"/>
      <c r="AA1361" s="353"/>
      <c r="AB1361" s="731"/>
      <c r="AC1361" s="731"/>
    </row>
    <row r="1362" ht="13.8" spans="1:29">
      <c r="A1362" s="353"/>
      <c r="B1362" s="613"/>
      <c r="C1362" s="353"/>
      <c r="D1362" s="353"/>
      <c r="E1362" s="353"/>
      <c r="F1362" s="353"/>
      <c r="G1362" s="353"/>
      <c r="H1362" s="353"/>
      <c r="I1362" s="731"/>
      <c r="J1362" s="613"/>
      <c r="K1362" s="613"/>
      <c r="L1362" s="353"/>
      <c r="M1362" s="353"/>
      <c r="N1362" s="353"/>
      <c r="O1362" s="764"/>
      <c r="P1362" s="353"/>
      <c r="Q1362" s="353"/>
      <c r="R1362" s="353"/>
      <c r="S1362" s="353"/>
      <c r="T1362" s="353"/>
      <c r="U1362" s="353"/>
      <c r="V1362" s="731"/>
      <c r="W1362" s="353"/>
      <c r="X1362" s="353"/>
      <c r="Y1362" s="353"/>
      <c r="Z1362" s="731"/>
      <c r="AA1362" s="353"/>
      <c r="AB1362" s="731"/>
      <c r="AC1362" s="731"/>
    </row>
    <row r="1363" ht="13.8" spans="1:29">
      <c r="A1363" s="353"/>
      <c r="B1363" s="613"/>
      <c r="C1363" s="353"/>
      <c r="D1363" s="353"/>
      <c r="E1363" s="353"/>
      <c r="F1363" s="353"/>
      <c r="G1363" s="353"/>
      <c r="H1363" s="353"/>
      <c r="I1363" s="731"/>
      <c r="J1363" s="613"/>
      <c r="K1363" s="613"/>
      <c r="L1363" s="353"/>
      <c r="M1363" s="353"/>
      <c r="N1363" s="353"/>
      <c r="O1363" s="764"/>
      <c r="P1363" s="353"/>
      <c r="Q1363" s="353"/>
      <c r="R1363" s="353"/>
      <c r="S1363" s="353"/>
      <c r="T1363" s="353"/>
      <c r="U1363" s="353"/>
      <c r="V1363" s="731"/>
      <c r="W1363" s="353"/>
      <c r="X1363" s="353"/>
      <c r="Y1363" s="353"/>
      <c r="Z1363" s="731"/>
      <c r="AA1363" s="353"/>
      <c r="AB1363" s="731"/>
      <c r="AC1363" s="731"/>
    </row>
    <row r="1364" ht="13.8" spans="1:29">
      <c r="A1364" s="353"/>
      <c r="B1364" s="613"/>
      <c r="C1364" s="353"/>
      <c r="D1364" s="353"/>
      <c r="E1364" s="353"/>
      <c r="F1364" s="353"/>
      <c r="G1364" s="353"/>
      <c r="H1364" s="353"/>
      <c r="I1364" s="731"/>
      <c r="J1364" s="613"/>
      <c r="K1364" s="613"/>
      <c r="L1364" s="353"/>
      <c r="M1364" s="353"/>
      <c r="N1364" s="353"/>
      <c r="O1364" s="764"/>
      <c r="P1364" s="353"/>
      <c r="Q1364" s="353"/>
      <c r="R1364" s="353"/>
      <c r="S1364" s="353"/>
      <c r="T1364" s="353"/>
      <c r="U1364" s="353"/>
      <c r="V1364" s="731"/>
      <c r="W1364" s="353"/>
      <c r="X1364" s="353"/>
      <c r="Y1364" s="353"/>
      <c r="Z1364" s="731"/>
      <c r="AA1364" s="353"/>
      <c r="AB1364" s="731"/>
      <c r="AC1364" s="731"/>
    </row>
    <row r="1365" ht="13.8" spans="1:29">
      <c r="A1365" s="353"/>
      <c r="B1365" s="613"/>
      <c r="C1365" s="353"/>
      <c r="D1365" s="353"/>
      <c r="E1365" s="353"/>
      <c r="F1365" s="353"/>
      <c r="G1365" s="353"/>
      <c r="H1365" s="353"/>
      <c r="I1365" s="731"/>
      <c r="J1365" s="613"/>
      <c r="K1365" s="613"/>
      <c r="L1365" s="353"/>
      <c r="M1365" s="353"/>
      <c r="N1365" s="353"/>
      <c r="O1365" s="764"/>
      <c r="P1365" s="353"/>
      <c r="Q1365" s="353"/>
      <c r="R1365" s="353"/>
      <c r="S1365" s="353"/>
      <c r="T1365" s="353"/>
      <c r="U1365" s="353"/>
      <c r="V1365" s="731"/>
      <c r="W1365" s="353"/>
      <c r="X1365" s="353"/>
      <c r="Y1365" s="353"/>
      <c r="Z1365" s="731"/>
      <c r="AA1365" s="353"/>
      <c r="AB1365" s="731"/>
      <c r="AC1365" s="731"/>
    </row>
    <row r="1366" ht="13.8" spans="1:29">
      <c r="A1366" s="353"/>
      <c r="B1366" s="613"/>
      <c r="C1366" s="353"/>
      <c r="D1366" s="353"/>
      <c r="E1366" s="353"/>
      <c r="F1366" s="353"/>
      <c r="G1366" s="353"/>
      <c r="H1366" s="353"/>
      <c r="I1366" s="731"/>
      <c r="J1366" s="613"/>
      <c r="K1366" s="613"/>
      <c r="L1366" s="353"/>
      <c r="M1366" s="353"/>
      <c r="N1366" s="353"/>
      <c r="O1366" s="764"/>
      <c r="P1366" s="353"/>
      <c r="Q1366" s="353"/>
      <c r="R1366" s="353"/>
      <c r="S1366" s="353"/>
      <c r="T1366" s="353"/>
      <c r="U1366" s="353"/>
      <c r="V1366" s="731"/>
      <c r="W1366" s="353"/>
      <c r="X1366" s="353"/>
      <c r="Y1366" s="353"/>
      <c r="Z1366" s="731"/>
      <c r="AA1366" s="353"/>
      <c r="AB1366" s="731"/>
      <c r="AC1366" s="731"/>
    </row>
    <row r="1367" ht="13.8" spans="1:29">
      <c r="A1367" s="353"/>
      <c r="B1367" s="613"/>
      <c r="C1367" s="353"/>
      <c r="D1367" s="353"/>
      <c r="E1367" s="353"/>
      <c r="F1367" s="353"/>
      <c r="G1367" s="353"/>
      <c r="H1367" s="353"/>
      <c r="I1367" s="731"/>
      <c r="J1367" s="613"/>
      <c r="K1367" s="613"/>
      <c r="L1367" s="353"/>
      <c r="M1367" s="353"/>
      <c r="N1367" s="353"/>
      <c r="O1367" s="764"/>
      <c r="P1367" s="353"/>
      <c r="Q1367" s="353"/>
      <c r="R1367" s="353"/>
      <c r="S1367" s="353"/>
      <c r="T1367" s="353"/>
      <c r="U1367" s="353"/>
      <c r="V1367" s="731"/>
      <c r="W1367" s="353"/>
      <c r="X1367" s="353"/>
      <c r="Y1367" s="353"/>
      <c r="Z1367" s="731"/>
      <c r="AA1367" s="353"/>
      <c r="AB1367" s="731"/>
      <c r="AC1367" s="731"/>
    </row>
    <row r="1368" ht="13.8" spans="1:29">
      <c r="A1368" s="353"/>
      <c r="B1368" s="613"/>
      <c r="C1368" s="353"/>
      <c r="D1368" s="353"/>
      <c r="E1368" s="353"/>
      <c r="F1368" s="353"/>
      <c r="G1368" s="353"/>
      <c r="H1368" s="353"/>
      <c r="I1368" s="731"/>
      <c r="J1368" s="613"/>
      <c r="K1368" s="613"/>
      <c r="L1368" s="353"/>
      <c r="M1368" s="353"/>
      <c r="N1368" s="353"/>
      <c r="O1368" s="764"/>
      <c r="P1368" s="353"/>
      <c r="Q1368" s="353"/>
      <c r="R1368" s="353"/>
      <c r="S1368" s="353"/>
      <c r="T1368" s="353"/>
      <c r="U1368" s="353"/>
      <c r="V1368" s="731"/>
      <c r="W1368" s="353"/>
      <c r="X1368" s="353"/>
      <c r="Y1368" s="353"/>
      <c r="Z1368" s="731"/>
      <c r="AA1368" s="353"/>
      <c r="AB1368" s="731"/>
      <c r="AC1368" s="731"/>
    </row>
    <row r="1369" ht="13.8" spans="1:29">
      <c r="A1369" s="353"/>
      <c r="B1369" s="613"/>
      <c r="C1369" s="353"/>
      <c r="D1369" s="353"/>
      <c r="E1369" s="353"/>
      <c r="F1369" s="353"/>
      <c r="G1369" s="353"/>
      <c r="H1369" s="353"/>
      <c r="I1369" s="731"/>
      <c r="J1369" s="613"/>
      <c r="K1369" s="613"/>
      <c r="L1369" s="353"/>
      <c r="M1369" s="353"/>
      <c r="N1369" s="353"/>
      <c r="O1369" s="764"/>
      <c r="P1369" s="353"/>
      <c r="Q1369" s="353"/>
      <c r="R1369" s="353"/>
      <c r="S1369" s="353"/>
      <c r="T1369" s="353"/>
      <c r="U1369" s="353"/>
      <c r="V1369" s="731"/>
      <c r="W1369" s="353"/>
      <c r="X1369" s="353"/>
      <c r="Y1369" s="353"/>
      <c r="Z1369" s="731"/>
      <c r="AA1369" s="353"/>
      <c r="AB1369" s="731"/>
      <c r="AC1369" s="731"/>
    </row>
    <row r="1370" ht="13.8" spans="1:29">
      <c r="A1370" s="353"/>
      <c r="B1370" s="613"/>
      <c r="C1370" s="353"/>
      <c r="D1370" s="353"/>
      <c r="E1370" s="353"/>
      <c r="F1370" s="353"/>
      <c r="G1370" s="353"/>
      <c r="H1370" s="353"/>
      <c r="I1370" s="731"/>
      <c r="J1370" s="613"/>
      <c r="K1370" s="613"/>
      <c r="L1370" s="353"/>
      <c r="M1370" s="353"/>
      <c r="N1370" s="353"/>
      <c r="O1370" s="764"/>
      <c r="P1370" s="353"/>
      <c r="Q1370" s="353"/>
      <c r="R1370" s="353"/>
      <c r="S1370" s="353"/>
      <c r="T1370" s="353"/>
      <c r="U1370" s="353"/>
      <c r="V1370" s="731"/>
      <c r="W1370" s="353"/>
      <c r="X1370" s="353"/>
      <c r="Y1370" s="353"/>
      <c r="Z1370" s="731"/>
      <c r="AA1370" s="353"/>
      <c r="AB1370" s="731"/>
      <c r="AC1370" s="731"/>
    </row>
    <row r="1371" ht="13.8" spans="1:29">
      <c r="A1371" s="353"/>
      <c r="B1371" s="613"/>
      <c r="C1371" s="353"/>
      <c r="D1371" s="353"/>
      <c r="E1371" s="353"/>
      <c r="F1371" s="353"/>
      <c r="G1371" s="353"/>
      <c r="H1371" s="353"/>
      <c r="I1371" s="731"/>
      <c r="J1371" s="613"/>
      <c r="K1371" s="613"/>
      <c r="L1371" s="353"/>
      <c r="M1371" s="353"/>
      <c r="N1371" s="353"/>
      <c r="O1371" s="764"/>
      <c r="P1371" s="353"/>
      <c r="Q1371" s="353"/>
      <c r="R1371" s="353"/>
      <c r="S1371" s="353"/>
      <c r="T1371" s="353"/>
      <c r="U1371" s="353"/>
      <c r="V1371" s="731"/>
      <c r="W1371" s="353"/>
      <c r="X1371" s="353"/>
      <c r="Y1371" s="353"/>
      <c r="Z1371" s="731"/>
      <c r="AA1371" s="353"/>
      <c r="AB1371" s="731"/>
      <c r="AC1371" s="731"/>
    </row>
    <row r="1372" ht="13.8" spans="1:29">
      <c r="A1372" s="353"/>
      <c r="B1372" s="613"/>
      <c r="C1372" s="353"/>
      <c r="D1372" s="353"/>
      <c r="E1372" s="353"/>
      <c r="F1372" s="353"/>
      <c r="G1372" s="353"/>
      <c r="H1372" s="353"/>
      <c r="I1372" s="731"/>
      <c r="J1372" s="613"/>
      <c r="K1372" s="613"/>
      <c r="L1372" s="353"/>
      <c r="M1372" s="353"/>
      <c r="N1372" s="353"/>
      <c r="O1372" s="764"/>
      <c r="P1372" s="353"/>
      <c r="Q1372" s="353"/>
      <c r="R1372" s="353"/>
      <c r="S1372" s="353"/>
      <c r="T1372" s="353"/>
      <c r="U1372" s="353"/>
      <c r="V1372" s="731"/>
      <c r="W1372" s="353"/>
      <c r="X1372" s="353"/>
      <c r="Y1372" s="353"/>
      <c r="Z1372" s="731"/>
      <c r="AA1372" s="353"/>
      <c r="AB1372" s="731"/>
      <c r="AC1372" s="731"/>
    </row>
    <row r="1373" ht="13.8" spans="1:29">
      <c r="A1373" s="353"/>
      <c r="B1373" s="613"/>
      <c r="C1373" s="353"/>
      <c r="D1373" s="353"/>
      <c r="E1373" s="353"/>
      <c r="F1373" s="353"/>
      <c r="G1373" s="353"/>
      <c r="H1373" s="353"/>
      <c r="I1373" s="731"/>
      <c r="J1373" s="613"/>
      <c r="K1373" s="613"/>
      <c r="L1373" s="353"/>
      <c r="M1373" s="353"/>
      <c r="N1373" s="353"/>
      <c r="O1373" s="764"/>
      <c r="P1373" s="353"/>
      <c r="Q1373" s="353"/>
      <c r="R1373" s="353"/>
      <c r="S1373" s="353"/>
      <c r="T1373" s="353"/>
      <c r="U1373" s="353"/>
      <c r="V1373" s="731"/>
      <c r="W1373" s="353"/>
      <c r="X1373" s="353"/>
      <c r="Y1373" s="353"/>
      <c r="Z1373" s="731"/>
      <c r="AA1373" s="353"/>
      <c r="AB1373" s="731"/>
      <c r="AC1373" s="731"/>
    </row>
    <row r="1374" ht="13.8" spans="1:29">
      <c r="A1374" s="353"/>
      <c r="B1374" s="613"/>
      <c r="C1374" s="353"/>
      <c r="D1374" s="353"/>
      <c r="E1374" s="353"/>
      <c r="F1374" s="353"/>
      <c r="G1374" s="353"/>
      <c r="H1374" s="353"/>
      <c r="I1374" s="731"/>
      <c r="J1374" s="613"/>
      <c r="K1374" s="613"/>
      <c r="L1374" s="353"/>
      <c r="M1374" s="353"/>
      <c r="N1374" s="353"/>
      <c r="O1374" s="764"/>
      <c r="P1374" s="353"/>
      <c r="Q1374" s="353"/>
      <c r="R1374" s="353"/>
      <c r="S1374" s="353"/>
      <c r="T1374" s="353"/>
      <c r="U1374" s="353"/>
      <c r="V1374" s="731"/>
      <c r="W1374" s="353"/>
      <c r="X1374" s="353"/>
      <c r="Y1374" s="353"/>
      <c r="Z1374" s="731"/>
      <c r="AA1374" s="353"/>
      <c r="AB1374" s="731"/>
      <c r="AC1374" s="731"/>
    </row>
    <row r="1375" ht="13.8" spans="1:29">
      <c r="A1375" s="353"/>
      <c r="B1375" s="613"/>
      <c r="C1375" s="353"/>
      <c r="D1375" s="353"/>
      <c r="E1375" s="353"/>
      <c r="F1375" s="353"/>
      <c r="G1375" s="353"/>
      <c r="H1375" s="353"/>
      <c r="I1375" s="731"/>
      <c r="J1375" s="613"/>
      <c r="K1375" s="613"/>
      <c r="L1375" s="353"/>
      <c r="M1375" s="353"/>
      <c r="N1375" s="353"/>
      <c r="O1375" s="764"/>
      <c r="P1375" s="353"/>
      <c r="Q1375" s="353"/>
      <c r="R1375" s="353"/>
      <c r="S1375" s="353"/>
      <c r="T1375" s="353"/>
      <c r="U1375" s="353"/>
      <c r="V1375" s="731"/>
      <c r="W1375" s="353"/>
      <c r="X1375" s="353"/>
      <c r="Y1375" s="353"/>
      <c r="Z1375" s="731"/>
      <c r="AA1375" s="353"/>
      <c r="AB1375" s="731"/>
      <c r="AC1375" s="731"/>
    </row>
    <row r="1376" ht="13.8" spans="1:29">
      <c r="A1376" s="353"/>
      <c r="B1376" s="613"/>
      <c r="C1376" s="353"/>
      <c r="D1376" s="353"/>
      <c r="E1376" s="353"/>
      <c r="F1376" s="353"/>
      <c r="G1376" s="353"/>
      <c r="H1376" s="353"/>
      <c r="I1376" s="731"/>
      <c r="J1376" s="613"/>
      <c r="K1376" s="613"/>
      <c r="L1376" s="353"/>
      <c r="M1376" s="353"/>
      <c r="N1376" s="353"/>
      <c r="O1376" s="764"/>
      <c r="P1376" s="353"/>
      <c r="Q1376" s="353"/>
      <c r="R1376" s="353"/>
      <c r="S1376" s="353"/>
      <c r="T1376" s="353"/>
      <c r="U1376" s="353"/>
      <c r="V1376" s="731"/>
      <c r="W1376" s="353"/>
      <c r="X1376" s="353"/>
      <c r="Y1376" s="353"/>
      <c r="Z1376" s="731"/>
      <c r="AA1376" s="353"/>
      <c r="AB1376" s="731"/>
      <c r="AC1376" s="731"/>
    </row>
    <row r="1377" ht="13.8" spans="1:29">
      <c r="A1377" s="353"/>
      <c r="B1377" s="613"/>
      <c r="C1377" s="353"/>
      <c r="D1377" s="353"/>
      <c r="E1377" s="353"/>
      <c r="F1377" s="353"/>
      <c r="G1377" s="353"/>
      <c r="H1377" s="353"/>
      <c r="I1377" s="731"/>
      <c r="J1377" s="613"/>
      <c r="K1377" s="613"/>
      <c r="L1377" s="353"/>
      <c r="M1377" s="353"/>
      <c r="N1377" s="353"/>
      <c r="O1377" s="764"/>
      <c r="P1377" s="353"/>
      <c r="Q1377" s="353"/>
      <c r="R1377" s="353"/>
      <c r="S1377" s="353"/>
      <c r="T1377" s="353"/>
      <c r="U1377" s="353"/>
      <c r="V1377" s="731"/>
      <c r="W1377" s="353"/>
      <c r="X1377" s="353"/>
      <c r="Y1377" s="353"/>
      <c r="Z1377" s="731"/>
      <c r="AA1377" s="353"/>
      <c r="AB1377" s="731"/>
      <c r="AC1377" s="731"/>
    </row>
    <row r="1378" ht="13.8" spans="1:29">
      <c r="A1378" s="353"/>
      <c r="B1378" s="613"/>
      <c r="C1378" s="353"/>
      <c r="D1378" s="353"/>
      <c r="E1378" s="353"/>
      <c r="F1378" s="353"/>
      <c r="G1378" s="353"/>
      <c r="H1378" s="353"/>
      <c r="I1378" s="731"/>
      <c r="J1378" s="613"/>
      <c r="K1378" s="613"/>
      <c r="L1378" s="353"/>
      <c r="M1378" s="353"/>
      <c r="N1378" s="353"/>
      <c r="O1378" s="764"/>
      <c r="P1378" s="353"/>
      <c r="Q1378" s="353"/>
      <c r="R1378" s="353"/>
      <c r="S1378" s="353"/>
      <c r="T1378" s="353"/>
      <c r="U1378" s="353"/>
      <c r="V1378" s="731"/>
      <c r="W1378" s="353"/>
      <c r="X1378" s="353"/>
      <c r="Y1378" s="353"/>
      <c r="Z1378" s="731"/>
      <c r="AA1378" s="353"/>
      <c r="AB1378" s="731"/>
      <c r="AC1378" s="731"/>
    </row>
    <row r="1379" ht="13.8" spans="1:29">
      <c r="A1379" s="353"/>
      <c r="B1379" s="613"/>
      <c r="C1379" s="353"/>
      <c r="D1379" s="353"/>
      <c r="E1379" s="353"/>
      <c r="F1379" s="353"/>
      <c r="G1379" s="353"/>
      <c r="H1379" s="353"/>
      <c r="I1379" s="731"/>
      <c r="J1379" s="613"/>
      <c r="K1379" s="613"/>
      <c r="L1379" s="353"/>
      <c r="M1379" s="353"/>
      <c r="N1379" s="353"/>
      <c r="O1379" s="764"/>
      <c r="P1379" s="353"/>
      <c r="Q1379" s="353"/>
      <c r="R1379" s="353"/>
      <c r="S1379" s="353"/>
      <c r="T1379" s="353"/>
      <c r="U1379" s="353"/>
      <c r="V1379" s="731"/>
      <c r="W1379" s="353"/>
      <c r="X1379" s="353"/>
      <c r="Y1379" s="353"/>
      <c r="Z1379" s="731"/>
      <c r="AA1379" s="353"/>
      <c r="AB1379" s="731"/>
      <c r="AC1379" s="731"/>
    </row>
    <row r="1380" ht="13.8" spans="1:29">
      <c r="A1380" s="353"/>
      <c r="B1380" s="613"/>
      <c r="C1380" s="353"/>
      <c r="D1380" s="353"/>
      <c r="E1380" s="353"/>
      <c r="F1380" s="353"/>
      <c r="G1380" s="353"/>
      <c r="H1380" s="353"/>
      <c r="I1380" s="731"/>
      <c r="J1380" s="613"/>
      <c r="K1380" s="613"/>
      <c r="L1380" s="353"/>
      <c r="M1380" s="353"/>
      <c r="N1380" s="353"/>
      <c r="O1380" s="764"/>
      <c r="P1380" s="353"/>
      <c r="Q1380" s="353"/>
      <c r="R1380" s="353"/>
      <c r="S1380" s="353"/>
      <c r="T1380" s="353"/>
      <c r="U1380" s="353"/>
      <c r="V1380" s="731"/>
      <c r="W1380" s="353"/>
      <c r="X1380" s="353"/>
      <c r="Y1380" s="353"/>
      <c r="Z1380" s="731"/>
      <c r="AA1380" s="353"/>
      <c r="AB1380" s="731"/>
      <c r="AC1380" s="731"/>
    </row>
    <row r="1381" ht="13.8" spans="1:29">
      <c r="A1381" s="353"/>
      <c r="B1381" s="613"/>
      <c r="C1381" s="353"/>
      <c r="D1381" s="353"/>
      <c r="E1381" s="353"/>
      <c r="F1381" s="353"/>
      <c r="G1381" s="353"/>
      <c r="H1381" s="353"/>
      <c r="I1381" s="731"/>
      <c r="J1381" s="613"/>
      <c r="K1381" s="613"/>
      <c r="L1381" s="353"/>
      <c r="M1381" s="353"/>
      <c r="N1381" s="353"/>
      <c r="O1381" s="764"/>
      <c r="P1381" s="353"/>
      <c r="Q1381" s="353"/>
      <c r="R1381" s="353"/>
      <c r="S1381" s="353"/>
      <c r="T1381" s="353"/>
      <c r="U1381" s="353"/>
      <c r="V1381" s="731"/>
      <c r="W1381" s="353"/>
      <c r="X1381" s="353"/>
      <c r="Y1381" s="353"/>
      <c r="Z1381" s="731"/>
      <c r="AA1381" s="353"/>
      <c r="AB1381" s="731"/>
      <c r="AC1381" s="731"/>
    </row>
    <row r="1382" ht="13.8" spans="1:29">
      <c r="A1382" s="353"/>
      <c r="B1382" s="613"/>
      <c r="C1382" s="353"/>
      <c r="D1382" s="353"/>
      <c r="E1382" s="353"/>
      <c r="F1382" s="353"/>
      <c r="G1382" s="353"/>
      <c r="H1382" s="353"/>
      <c r="I1382" s="731"/>
      <c r="J1382" s="613"/>
      <c r="K1382" s="613"/>
      <c r="L1382" s="353"/>
      <c r="M1382" s="353"/>
      <c r="N1382" s="353"/>
      <c r="O1382" s="764"/>
      <c r="P1382" s="353"/>
      <c r="Q1382" s="353"/>
      <c r="R1382" s="353"/>
      <c r="S1382" s="353"/>
      <c r="T1382" s="353"/>
      <c r="U1382" s="353"/>
      <c r="V1382" s="731"/>
      <c r="W1382" s="353"/>
      <c r="X1382" s="353"/>
      <c r="Y1382" s="353"/>
      <c r="Z1382" s="731"/>
      <c r="AA1382" s="353"/>
      <c r="AB1382" s="731"/>
      <c r="AC1382" s="731"/>
    </row>
    <row r="1383" ht="13.8" spans="1:29">
      <c r="A1383" s="353"/>
      <c r="B1383" s="613"/>
      <c r="C1383" s="353"/>
      <c r="D1383" s="353"/>
      <c r="E1383" s="353"/>
      <c r="F1383" s="353"/>
      <c r="G1383" s="353"/>
      <c r="H1383" s="353"/>
      <c r="I1383" s="731"/>
      <c r="J1383" s="613"/>
      <c r="K1383" s="613"/>
      <c r="L1383" s="353"/>
      <c r="M1383" s="353"/>
      <c r="N1383" s="353"/>
      <c r="O1383" s="764"/>
      <c r="P1383" s="353"/>
      <c r="Q1383" s="353"/>
      <c r="R1383" s="353"/>
      <c r="S1383" s="353"/>
      <c r="T1383" s="353"/>
      <c r="U1383" s="353"/>
      <c r="V1383" s="731"/>
      <c r="W1383" s="353"/>
      <c r="X1383" s="353"/>
      <c r="Y1383" s="353"/>
      <c r="Z1383" s="731"/>
      <c r="AA1383" s="353"/>
      <c r="AB1383" s="731"/>
      <c r="AC1383" s="731"/>
    </row>
    <row r="1384" ht="13.8" spans="1:29">
      <c r="A1384" s="353"/>
      <c r="B1384" s="613"/>
      <c r="C1384" s="353"/>
      <c r="D1384" s="353"/>
      <c r="E1384" s="353"/>
      <c r="F1384" s="353"/>
      <c r="G1384" s="353"/>
      <c r="H1384" s="353"/>
      <c r="I1384" s="731"/>
      <c r="J1384" s="613"/>
      <c r="K1384" s="613"/>
      <c r="L1384" s="353"/>
      <c r="M1384" s="353"/>
      <c r="N1384" s="353"/>
      <c r="O1384" s="764"/>
      <c r="P1384" s="353"/>
      <c r="Q1384" s="353"/>
      <c r="R1384" s="353"/>
      <c r="S1384" s="353"/>
      <c r="T1384" s="353"/>
      <c r="U1384" s="353"/>
      <c r="V1384" s="731"/>
      <c r="W1384" s="353"/>
      <c r="X1384" s="353"/>
      <c r="Y1384" s="353"/>
      <c r="Z1384" s="731"/>
      <c r="AA1384" s="353"/>
      <c r="AB1384" s="731"/>
      <c r="AC1384" s="731"/>
    </row>
    <row r="1385" ht="13.8" spans="1:29">
      <c r="A1385" s="353"/>
      <c r="B1385" s="613"/>
      <c r="C1385" s="353"/>
      <c r="D1385" s="353"/>
      <c r="E1385" s="353"/>
      <c r="F1385" s="353"/>
      <c r="G1385" s="353"/>
      <c r="H1385" s="353"/>
      <c r="I1385" s="731"/>
      <c r="J1385" s="613"/>
      <c r="K1385" s="613"/>
      <c r="L1385" s="353"/>
      <c r="M1385" s="353"/>
      <c r="N1385" s="353"/>
      <c r="O1385" s="764"/>
      <c r="P1385" s="353"/>
      <c r="Q1385" s="353"/>
      <c r="R1385" s="353"/>
      <c r="S1385" s="353"/>
      <c r="T1385" s="353"/>
      <c r="U1385" s="353"/>
      <c r="V1385" s="731"/>
      <c r="W1385" s="353"/>
      <c r="X1385" s="353"/>
      <c r="Y1385" s="353"/>
      <c r="Z1385" s="731"/>
      <c r="AA1385" s="353"/>
      <c r="AB1385" s="731"/>
      <c r="AC1385" s="731"/>
    </row>
    <row r="1386" ht="13.8" spans="1:29">
      <c r="A1386" s="353"/>
      <c r="B1386" s="613"/>
      <c r="C1386" s="353"/>
      <c r="D1386" s="353"/>
      <c r="E1386" s="353"/>
      <c r="F1386" s="353"/>
      <c r="G1386" s="353"/>
      <c r="H1386" s="353"/>
      <c r="I1386" s="731"/>
      <c r="J1386" s="613"/>
      <c r="K1386" s="613"/>
      <c r="L1386" s="353"/>
      <c r="M1386" s="353"/>
      <c r="N1386" s="353"/>
      <c r="O1386" s="764"/>
      <c r="P1386" s="353"/>
      <c r="Q1386" s="353"/>
      <c r="R1386" s="353"/>
      <c r="S1386" s="353"/>
      <c r="T1386" s="353"/>
      <c r="U1386" s="353"/>
      <c r="V1386" s="731"/>
      <c r="W1386" s="353"/>
      <c r="X1386" s="353"/>
      <c r="Y1386" s="353"/>
      <c r="Z1386" s="731"/>
      <c r="AA1386" s="353"/>
      <c r="AB1386" s="731"/>
      <c r="AC1386" s="731"/>
    </row>
    <row r="1387" ht="13.8" spans="1:29">
      <c r="A1387" s="353"/>
      <c r="B1387" s="613"/>
      <c r="C1387" s="353"/>
      <c r="D1387" s="353"/>
      <c r="E1387" s="353"/>
      <c r="F1387" s="353"/>
      <c r="G1387" s="353"/>
      <c r="H1387" s="353"/>
      <c r="I1387" s="731"/>
      <c r="J1387" s="613"/>
      <c r="K1387" s="613"/>
      <c r="L1387" s="353"/>
      <c r="M1387" s="353"/>
      <c r="N1387" s="353"/>
      <c r="O1387" s="764"/>
      <c r="P1387" s="353"/>
      <c r="Q1387" s="353"/>
      <c r="R1387" s="353"/>
      <c r="S1387" s="353"/>
      <c r="T1387" s="353"/>
      <c r="U1387" s="353"/>
      <c r="V1387" s="731"/>
      <c r="W1387" s="353"/>
      <c r="X1387" s="353"/>
      <c r="Y1387" s="353"/>
      <c r="Z1387" s="731"/>
      <c r="AA1387" s="353"/>
      <c r="AB1387" s="731"/>
      <c r="AC1387" s="731"/>
    </row>
    <row r="1388" ht="13.8" spans="1:29">
      <c r="A1388" s="353"/>
      <c r="B1388" s="613"/>
      <c r="C1388" s="353"/>
      <c r="D1388" s="353"/>
      <c r="E1388" s="353"/>
      <c r="F1388" s="353"/>
      <c r="G1388" s="353"/>
      <c r="H1388" s="353"/>
      <c r="I1388" s="731"/>
      <c r="J1388" s="613"/>
      <c r="K1388" s="613"/>
      <c r="L1388" s="353"/>
      <c r="M1388" s="353"/>
      <c r="N1388" s="353"/>
      <c r="O1388" s="764"/>
      <c r="P1388" s="353"/>
      <c r="Q1388" s="353"/>
      <c r="R1388" s="353"/>
      <c r="S1388" s="353"/>
      <c r="T1388" s="353"/>
      <c r="U1388" s="353"/>
      <c r="V1388" s="731"/>
      <c r="W1388" s="353"/>
      <c r="X1388" s="353"/>
      <c r="Y1388" s="353"/>
      <c r="Z1388" s="731"/>
      <c r="AA1388" s="353"/>
      <c r="AB1388" s="731"/>
      <c r="AC1388" s="731"/>
    </row>
    <row r="1389" ht="13.8" spans="1:29">
      <c r="A1389" s="353"/>
      <c r="B1389" s="613"/>
      <c r="C1389" s="353"/>
      <c r="D1389" s="353"/>
      <c r="E1389" s="353"/>
      <c r="F1389" s="353"/>
      <c r="G1389" s="353"/>
      <c r="H1389" s="353"/>
      <c r="I1389" s="731"/>
      <c r="J1389" s="613"/>
      <c r="K1389" s="613"/>
      <c r="L1389" s="353"/>
      <c r="M1389" s="353"/>
      <c r="N1389" s="353"/>
      <c r="O1389" s="764"/>
      <c r="P1389" s="353"/>
      <c r="Q1389" s="353"/>
      <c r="R1389" s="353"/>
      <c r="S1389" s="353"/>
      <c r="T1389" s="353"/>
      <c r="U1389" s="353"/>
      <c r="V1389" s="731"/>
      <c r="W1389" s="353"/>
      <c r="X1389" s="353"/>
      <c r="Y1389" s="353"/>
      <c r="Z1389" s="731"/>
      <c r="AA1389" s="353"/>
      <c r="AB1389" s="731"/>
      <c r="AC1389" s="731"/>
    </row>
    <row r="1390" ht="13.8" spans="1:29">
      <c r="A1390" s="353"/>
      <c r="B1390" s="613"/>
      <c r="C1390" s="353"/>
      <c r="D1390" s="353"/>
      <c r="E1390" s="353"/>
      <c r="F1390" s="353"/>
      <c r="G1390" s="353"/>
      <c r="H1390" s="353"/>
      <c r="I1390" s="731"/>
      <c r="J1390" s="613"/>
      <c r="K1390" s="613"/>
      <c r="L1390" s="353"/>
      <c r="M1390" s="353"/>
      <c r="N1390" s="353"/>
      <c r="O1390" s="764"/>
      <c r="P1390" s="353"/>
      <c r="Q1390" s="353"/>
      <c r="R1390" s="353"/>
      <c r="S1390" s="353"/>
      <c r="T1390" s="353"/>
      <c r="U1390" s="353"/>
      <c r="V1390" s="731"/>
      <c r="W1390" s="353"/>
      <c r="X1390" s="353"/>
      <c r="Y1390" s="353"/>
      <c r="Z1390" s="731"/>
      <c r="AA1390" s="353"/>
      <c r="AB1390" s="731"/>
      <c r="AC1390" s="731"/>
    </row>
    <row r="1391" ht="13.8" spans="1:29">
      <c r="A1391" s="353"/>
      <c r="B1391" s="613"/>
      <c r="C1391" s="353"/>
      <c r="D1391" s="353"/>
      <c r="E1391" s="353"/>
      <c r="F1391" s="353"/>
      <c r="G1391" s="353"/>
      <c r="H1391" s="353"/>
      <c r="I1391" s="731"/>
      <c r="J1391" s="613"/>
      <c r="K1391" s="613"/>
      <c r="L1391" s="353"/>
      <c r="M1391" s="353"/>
      <c r="N1391" s="353"/>
      <c r="O1391" s="764"/>
      <c r="P1391" s="353"/>
      <c r="Q1391" s="353"/>
      <c r="R1391" s="353"/>
      <c r="S1391" s="353"/>
      <c r="T1391" s="353"/>
      <c r="U1391" s="353"/>
      <c r="V1391" s="731"/>
      <c r="W1391" s="353"/>
      <c r="X1391" s="353"/>
      <c r="Y1391" s="353"/>
      <c r="Z1391" s="731"/>
      <c r="AA1391" s="353"/>
      <c r="AB1391" s="731"/>
      <c r="AC1391" s="731"/>
    </row>
    <row r="1392" ht="13.8" spans="1:29">
      <c r="A1392" s="353"/>
      <c r="B1392" s="613"/>
      <c r="C1392" s="353"/>
      <c r="D1392" s="353"/>
      <c r="E1392" s="353"/>
      <c r="F1392" s="353"/>
      <c r="G1392" s="353"/>
      <c r="H1392" s="353"/>
      <c r="I1392" s="731"/>
      <c r="J1392" s="613"/>
      <c r="K1392" s="613"/>
      <c r="L1392" s="353"/>
      <c r="M1392" s="353"/>
      <c r="N1392" s="353"/>
      <c r="O1392" s="764"/>
      <c r="P1392" s="353"/>
      <c r="Q1392" s="353"/>
      <c r="R1392" s="353"/>
      <c r="S1392" s="353"/>
      <c r="T1392" s="353"/>
      <c r="U1392" s="353"/>
      <c r="V1392" s="731"/>
      <c r="W1392" s="353"/>
      <c r="X1392" s="353"/>
      <c r="Y1392" s="353"/>
      <c r="Z1392" s="731"/>
      <c r="AA1392" s="353"/>
      <c r="AB1392" s="731"/>
      <c r="AC1392" s="731"/>
    </row>
    <row r="1393" ht="13.8" spans="1:29">
      <c r="A1393" s="353"/>
      <c r="B1393" s="613"/>
      <c r="C1393" s="353"/>
      <c r="D1393" s="353"/>
      <c r="E1393" s="353"/>
      <c r="F1393" s="353"/>
      <c r="G1393" s="353"/>
      <c r="H1393" s="353"/>
      <c r="I1393" s="731"/>
      <c r="J1393" s="613"/>
      <c r="K1393" s="613"/>
      <c r="L1393" s="353"/>
      <c r="M1393" s="353"/>
      <c r="N1393" s="353"/>
      <c r="O1393" s="764"/>
      <c r="P1393" s="353"/>
      <c r="Q1393" s="353"/>
      <c r="R1393" s="353"/>
      <c r="S1393" s="353"/>
      <c r="T1393" s="353"/>
      <c r="U1393" s="353"/>
      <c r="V1393" s="731"/>
      <c r="W1393" s="353"/>
      <c r="X1393" s="353"/>
      <c r="Y1393" s="353"/>
      <c r="Z1393" s="731"/>
      <c r="AA1393" s="353"/>
      <c r="AB1393" s="731"/>
      <c r="AC1393" s="731"/>
    </row>
    <row r="1394" ht="13.8" spans="1:29">
      <c r="A1394" s="353"/>
      <c r="B1394" s="613"/>
      <c r="C1394" s="353"/>
      <c r="D1394" s="353"/>
      <c r="E1394" s="353"/>
      <c r="F1394" s="353"/>
      <c r="G1394" s="353"/>
      <c r="H1394" s="353"/>
      <c r="I1394" s="731"/>
      <c r="J1394" s="613"/>
      <c r="K1394" s="613"/>
      <c r="L1394" s="353"/>
      <c r="M1394" s="353"/>
      <c r="N1394" s="353"/>
      <c r="O1394" s="764"/>
      <c r="P1394" s="353"/>
      <c r="Q1394" s="353"/>
      <c r="R1394" s="353"/>
      <c r="S1394" s="353"/>
      <c r="T1394" s="353"/>
      <c r="U1394" s="353"/>
      <c r="V1394" s="731"/>
      <c r="W1394" s="353"/>
      <c r="X1394" s="353"/>
      <c r="Y1394" s="353"/>
      <c r="Z1394" s="731"/>
      <c r="AA1394" s="353"/>
      <c r="AB1394" s="731"/>
      <c r="AC1394" s="731"/>
    </row>
    <row r="1395" ht="13.8" spans="1:29">
      <c r="A1395" s="353"/>
      <c r="B1395" s="613"/>
      <c r="C1395" s="353"/>
      <c r="D1395" s="353"/>
      <c r="E1395" s="353"/>
      <c r="F1395" s="353"/>
      <c r="G1395" s="353"/>
      <c r="H1395" s="353"/>
      <c r="I1395" s="731"/>
      <c r="J1395" s="613"/>
      <c r="K1395" s="613"/>
      <c r="L1395" s="353"/>
      <c r="M1395" s="353"/>
      <c r="N1395" s="353"/>
      <c r="O1395" s="764"/>
      <c r="P1395" s="353"/>
      <c r="Q1395" s="353"/>
      <c r="R1395" s="353"/>
      <c r="S1395" s="353"/>
      <c r="T1395" s="353"/>
      <c r="U1395" s="353"/>
      <c r="V1395" s="731"/>
      <c r="W1395" s="353"/>
      <c r="X1395" s="353"/>
      <c r="Y1395" s="353"/>
      <c r="Z1395" s="731"/>
      <c r="AA1395" s="353"/>
      <c r="AB1395" s="731"/>
      <c r="AC1395" s="731"/>
    </row>
    <row r="1396" ht="13.8" spans="1:29">
      <c r="A1396" s="353"/>
      <c r="B1396" s="613"/>
      <c r="C1396" s="353"/>
      <c r="D1396" s="353"/>
      <c r="E1396" s="353"/>
      <c r="F1396" s="353"/>
      <c r="G1396" s="353"/>
      <c r="H1396" s="353"/>
      <c r="I1396" s="731"/>
      <c r="J1396" s="613"/>
      <c r="K1396" s="613"/>
      <c r="L1396" s="353"/>
      <c r="M1396" s="353"/>
      <c r="N1396" s="353"/>
      <c r="O1396" s="764"/>
      <c r="P1396" s="353"/>
      <c r="Q1396" s="353"/>
      <c r="R1396" s="353"/>
      <c r="S1396" s="353"/>
      <c r="T1396" s="353"/>
      <c r="U1396" s="353"/>
      <c r="V1396" s="731"/>
      <c r="W1396" s="353"/>
      <c r="X1396" s="353"/>
      <c r="Y1396" s="353"/>
      <c r="Z1396" s="731"/>
      <c r="AA1396" s="353"/>
      <c r="AB1396" s="731"/>
      <c r="AC1396" s="731"/>
    </row>
    <row r="1397" ht="13.8" spans="1:29">
      <c r="A1397" s="353"/>
      <c r="B1397" s="613"/>
      <c r="C1397" s="353"/>
      <c r="D1397" s="353"/>
      <c r="E1397" s="353"/>
      <c r="F1397" s="353"/>
      <c r="G1397" s="353"/>
      <c r="H1397" s="353"/>
      <c r="I1397" s="731"/>
      <c r="J1397" s="613"/>
      <c r="K1397" s="613"/>
      <c r="L1397" s="353"/>
      <c r="M1397" s="353"/>
      <c r="N1397" s="353"/>
      <c r="O1397" s="764"/>
      <c r="P1397" s="353"/>
      <c r="Q1397" s="353"/>
      <c r="R1397" s="353"/>
      <c r="S1397" s="353"/>
      <c r="T1397" s="353"/>
      <c r="U1397" s="353"/>
      <c r="V1397" s="731"/>
      <c r="W1397" s="353"/>
      <c r="X1397" s="353"/>
      <c r="Y1397" s="353"/>
      <c r="Z1397" s="731"/>
      <c r="AA1397" s="353"/>
      <c r="AB1397" s="731"/>
      <c r="AC1397" s="731"/>
    </row>
    <row r="1398" ht="13.8" spans="1:29">
      <c r="A1398" s="353"/>
      <c r="B1398" s="613"/>
      <c r="C1398" s="353"/>
      <c r="D1398" s="353"/>
      <c r="E1398" s="353"/>
      <c r="F1398" s="353"/>
      <c r="G1398" s="353"/>
      <c r="H1398" s="353"/>
      <c r="I1398" s="731"/>
      <c r="J1398" s="613"/>
      <c r="K1398" s="613"/>
      <c r="L1398" s="353"/>
      <c r="M1398" s="353"/>
      <c r="N1398" s="353"/>
      <c r="O1398" s="764"/>
      <c r="P1398" s="353"/>
      <c r="Q1398" s="353"/>
      <c r="R1398" s="353"/>
      <c r="S1398" s="353"/>
      <c r="T1398" s="353"/>
      <c r="U1398" s="353"/>
      <c r="V1398" s="731"/>
      <c r="W1398" s="353"/>
      <c r="X1398" s="353"/>
      <c r="Y1398" s="353"/>
      <c r="Z1398" s="731"/>
      <c r="AA1398" s="353"/>
      <c r="AB1398" s="731"/>
      <c r="AC1398" s="731"/>
    </row>
    <row r="1399" ht="13.8" spans="1:29">
      <c r="A1399" s="353"/>
      <c r="B1399" s="613"/>
      <c r="C1399" s="353"/>
      <c r="D1399" s="353"/>
      <c r="E1399" s="353"/>
      <c r="F1399" s="353"/>
      <c r="G1399" s="353"/>
      <c r="H1399" s="353"/>
      <c r="I1399" s="731"/>
      <c r="J1399" s="613"/>
      <c r="K1399" s="613"/>
      <c r="L1399" s="353"/>
      <c r="M1399" s="353"/>
      <c r="N1399" s="353"/>
      <c r="O1399" s="764"/>
      <c r="P1399" s="353"/>
      <c r="Q1399" s="353"/>
      <c r="R1399" s="353"/>
      <c r="S1399" s="353"/>
      <c r="T1399" s="353"/>
      <c r="U1399" s="353"/>
      <c r="V1399" s="731"/>
      <c r="W1399" s="353"/>
      <c r="X1399" s="353"/>
      <c r="Y1399" s="353"/>
      <c r="Z1399" s="731"/>
      <c r="AA1399" s="353"/>
      <c r="AB1399" s="731"/>
      <c r="AC1399" s="731"/>
    </row>
    <row r="1400" ht="13.8" spans="1:29">
      <c r="A1400" s="353"/>
      <c r="B1400" s="613"/>
      <c r="C1400" s="353"/>
      <c r="D1400" s="353"/>
      <c r="E1400" s="353"/>
      <c r="F1400" s="353"/>
      <c r="G1400" s="353"/>
      <c r="H1400" s="353"/>
      <c r="I1400" s="731"/>
      <c r="J1400" s="613"/>
      <c r="K1400" s="613"/>
      <c r="L1400" s="353"/>
      <c r="M1400" s="353"/>
      <c r="N1400" s="353"/>
      <c r="O1400" s="764"/>
      <c r="P1400" s="353"/>
      <c r="Q1400" s="353"/>
      <c r="R1400" s="353"/>
      <c r="S1400" s="353"/>
      <c r="T1400" s="353"/>
      <c r="U1400" s="353"/>
      <c r="V1400" s="731"/>
      <c r="W1400" s="353"/>
      <c r="X1400" s="353"/>
      <c r="Y1400" s="353"/>
      <c r="Z1400" s="731"/>
      <c r="AA1400" s="353"/>
      <c r="AB1400" s="731"/>
      <c r="AC1400" s="731"/>
    </row>
    <row r="1401" ht="13.8" spans="1:29">
      <c r="A1401" s="353"/>
      <c r="B1401" s="613"/>
      <c r="C1401" s="353"/>
      <c r="D1401" s="353"/>
      <c r="E1401" s="353"/>
      <c r="F1401" s="353"/>
      <c r="G1401" s="353"/>
      <c r="H1401" s="353"/>
      <c r="I1401" s="731"/>
      <c r="J1401" s="613"/>
      <c r="K1401" s="613"/>
      <c r="L1401" s="353"/>
      <c r="M1401" s="353"/>
      <c r="N1401" s="353"/>
      <c r="O1401" s="764"/>
      <c r="P1401" s="353"/>
      <c r="Q1401" s="353"/>
      <c r="R1401" s="353"/>
      <c r="S1401" s="353"/>
      <c r="T1401" s="353"/>
      <c r="U1401" s="353"/>
      <c r="V1401" s="731"/>
      <c r="W1401" s="353"/>
      <c r="X1401" s="353"/>
      <c r="Y1401" s="353"/>
      <c r="Z1401" s="731"/>
      <c r="AA1401" s="353"/>
      <c r="AB1401" s="731"/>
      <c r="AC1401" s="731"/>
    </row>
    <row r="1402" ht="13.8" spans="1:29">
      <c r="A1402" s="353"/>
      <c r="B1402" s="613"/>
      <c r="C1402" s="353"/>
      <c r="D1402" s="353"/>
      <c r="E1402" s="353"/>
      <c r="F1402" s="353"/>
      <c r="G1402" s="353"/>
      <c r="H1402" s="353"/>
      <c r="I1402" s="731"/>
      <c r="J1402" s="613"/>
      <c r="K1402" s="613"/>
      <c r="L1402" s="353"/>
      <c r="M1402" s="353"/>
      <c r="N1402" s="353"/>
      <c r="O1402" s="764"/>
      <c r="P1402" s="353"/>
      <c r="Q1402" s="353"/>
      <c r="R1402" s="353"/>
      <c r="S1402" s="353"/>
      <c r="T1402" s="353"/>
      <c r="U1402" s="353"/>
      <c r="V1402" s="731"/>
      <c r="W1402" s="353"/>
      <c r="X1402" s="353"/>
      <c r="Y1402" s="353"/>
      <c r="Z1402" s="731"/>
      <c r="AA1402" s="353"/>
      <c r="AB1402" s="731"/>
      <c r="AC1402" s="731"/>
    </row>
    <row r="1403" ht="13.8" spans="1:29">
      <c r="A1403" s="353"/>
      <c r="B1403" s="613"/>
      <c r="C1403" s="353"/>
      <c r="D1403" s="353"/>
      <c r="E1403" s="353"/>
      <c r="F1403" s="353"/>
      <c r="G1403" s="353"/>
      <c r="H1403" s="353"/>
      <c r="I1403" s="731"/>
      <c r="J1403" s="613"/>
      <c r="K1403" s="613"/>
      <c r="L1403" s="353"/>
      <c r="M1403" s="353"/>
      <c r="N1403" s="353"/>
      <c r="O1403" s="764"/>
      <c r="P1403" s="353"/>
      <c r="Q1403" s="353"/>
      <c r="R1403" s="353"/>
      <c r="S1403" s="353"/>
      <c r="T1403" s="353"/>
      <c r="U1403" s="353"/>
      <c r="V1403" s="731"/>
      <c r="W1403" s="353"/>
      <c r="X1403" s="353"/>
      <c r="Y1403" s="353"/>
      <c r="Z1403" s="731"/>
      <c r="AA1403" s="353"/>
      <c r="AB1403" s="731"/>
      <c r="AC1403" s="731"/>
    </row>
    <row r="1404" ht="13.8" spans="1:29">
      <c r="A1404" s="353"/>
      <c r="B1404" s="613"/>
      <c r="C1404" s="353"/>
      <c r="D1404" s="353"/>
      <c r="E1404" s="353"/>
      <c r="F1404" s="353"/>
      <c r="G1404" s="353"/>
      <c r="H1404" s="353"/>
      <c r="I1404" s="731"/>
      <c r="J1404" s="613"/>
      <c r="K1404" s="613"/>
      <c r="L1404" s="353"/>
      <c r="M1404" s="353"/>
      <c r="N1404" s="353"/>
      <c r="O1404" s="764"/>
      <c r="P1404" s="353"/>
      <c r="Q1404" s="353"/>
      <c r="R1404" s="353"/>
      <c r="S1404" s="353"/>
      <c r="T1404" s="353"/>
      <c r="U1404" s="353"/>
      <c r="V1404" s="731"/>
      <c r="W1404" s="353"/>
      <c r="X1404" s="353"/>
      <c r="Y1404" s="353"/>
      <c r="Z1404" s="731"/>
      <c r="AA1404" s="353"/>
      <c r="AB1404" s="731"/>
      <c r="AC1404" s="731"/>
    </row>
    <row r="1405" ht="13.8" spans="1:29">
      <c r="A1405" s="353"/>
      <c r="B1405" s="613"/>
      <c r="C1405" s="353"/>
      <c r="D1405" s="353"/>
      <c r="E1405" s="353"/>
      <c r="F1405" s="353"/>
      <c r="G1405" s="353"/>
      <c r="H1405" s="353"/>
      <c r="I1405" s="731"/>
      <c r="J1405" s="613"/>
      <c r="K1405" s="613"/>
      <c r="L1405" s="353"/>
      <c r="M1405" s="353"/>
      <c r="N1405" s="353"/>
      <c r="O1405" s="764"/>
      <c r="P1405" s="353"/>
      <c r="Q1405" s="353"/>
      <c r="R1405" s="353"/>
      <c r="S1405" s="353"/>
      <c r="T1405" s="353"/>
      <c r="U1405" s="353"/>
      <c r="V1405" s="731"/>
      <c r="W1405" s="353"/>
      <c r="X1405" s="353"/>
      <c r="Y1405" s="353"/>
      <c r="Z1405" s="731"/>
      <c r="AA1405" s="353"/>
      <c r="AB1405" s="731"/>
      <c r="AC1405" s="731"/>
    </row>
    <row r="1406" ht="13.8" spans="1:29">
      <c r="A1406" s="353"/>
      <c r="B1406" s="613"/>
      <c r="C1406" s="353"/>
      <c r="D1406" s="353"/>
      <c r="E1406" s="353"/>
      <c r="F1406" s="353"/>
      <c r="G1406" s="353"/>
      <c r="H1406" s="353"/>
      <c r="I1406" s="731"/>
      <c r="J1406" s="613"/>
      <c r="K1406" s="613"/>
      <c r="L1406" s="353"/>
      <c r="M1406" s="353"/>
      <c r="N1406" s="353"/>
      <c r="O1406" s="764"/>
      <c r="P1406" s="353"/>
      <c r="Q1406" s="353"/>
      <c r="R1406" s="353"/>
      <c r="S1406" s="353"/>
      <c r="T1406" s="353"/>
      <c r="U1406" s="353"/>
      <c r="V1406" s="731"/>
      <c r="W1406" s="353"/>
      <c r="X1406" s="353"/>
      <c r="Y1406" s="353"/>
      <c r="Z1406" s="731"/>
      <c r="AA1406" s="353"/>
      <c r="AB1406" s="731"/>
      <c r="AC1406" s="731"/>
    </row>
    <row r="1407" ht="13.8" spans="1:29">
      <c r="A1407" s="353"/>
      <c r="B1407" s="613"/>
      <c r="C1407" s="353"/>
      <c r="D1407" s="353"/>
      <c r="E1407" s="353"/>
      <c r="F1407" s="353"/>
      <c r="G1407" s="353"/>
      <c r="H1407" s="353"/>
      <c r="I1407" s="731"/>
      <c r="J1407" s="613"/>
      <c r="K1407" s="613"/>
      <c r="L1407" s="353"/>
      <c r="M1407" s="353"/>
      <c r="N1407" s="353"/>
      <c r="O1407" s="764"/>
      <c r="P1407" s="353"/>
      <c r="Q1407" s="353"/>
      <c r="R1407" s="353"/>
      <c r="S1407" s="353"/>
      <c r="T1407" s="353"/>
      <c r="U1407" s="353"/>
      <c r="V1407" s="731"/>
      <c r="W1407" s="353"/>
      <c r="X1407" s="353"/>
      <c r="Y1407" s="353"/>
      <c r="Z1407" s="731"/>
      <c r="AA1407" s="353"/>
      <c r="AB1407" s="731"/>
      <c r="AC1407" s="731"/>
    </row>
    <row r="1408" ht="13.8" spans="1:29">
      <c r="A1408" s="353"/>
      <c r="B1408" s="613"/>
      <c r="C1408" s="353"/>
      <c r="D1408" s="353"/>
      <c r="E1408" s="353"/>
      <c r="F1408" s="353"/>
      <c r="G1408" s="353"/>
      <c r="H1408" s="353"/>
      <c r="I1408" s="731"/>
      <c r="J1408" s="613"/>
      <c r="K1408" s="613"/>
      <c r="L1408" s="353"/>
      <c r="M1408" s="353"/>
      <c r="N1408" s="353"/>
      <c r="O1408" s="764"/>
      <c r="P1408" s="353"/>
      <c r="Q1408" s="353"/>
      <c r="R1408" s="353"/>
      <c r="S1408" s="353"/>
      <c r="T1408" s="353"/>
      <c r="U1408" s="353"/>
      <c r="V1408" s="731"/>
      <c r="W1408" s="353"/>
      <c r="X1408" s="353"/>
      <c r="Y1408" s="353"/>
      <c r="Z1408" s="731"/>
      <c r="AA1408" s="353"/>
      <c r="AB1408" s="731"/>
      <c r="AC1408" s="731"/>
    </row>
    <row r="1409" ht="13.8" spans="1:29">
      <c r="A1409" s="353"/>
      <c r="B1409" s="613"/>
      <c r="C1409" s="353"/>
      <c r="D1409" s="353"/>
      <c r="E1409" s="353"/>
      <c r="F1409" s="353"/>
      <c r="G1409" s="353"/>
      <c r="H1409" s="353"/>
      <c r="I1409" s="731"/>
      <c r="J1409" s="613"/>
      <c r="K1409" s="613"/>
      <c r="L1409" s="353"/>
      <c r="M1409" s="353"/>
      <c r="N1409" s="353"/>
      <c r="O1409" s="764"/>
      <c r="P1409" s="353"/>
      <c r="Q1409" s="353"/>
      <c r="R1409" s="353"/>
      <c r="S1409" s="353"/>
      <c r="T1409" s="353"/>
      <c r="U1409" s="353"/>
      <c r="V1409" s="731"/>
      <c r="W1409" s="353"/>
      <c r="X1409" s="353"/>
      <c r="Y1409" s="353"/>
      <c r="Z1409" s="731"/>
      <c r="AA1409" s="353"/>
      <c r="AB1409" s="731"/>
      <c r="AC1409" s="731"/>
    </row>
    <row r="1410" ht="13.8" spans="1:29">
      <c r="A1410" s="353"/>
      <c r="B1410" s="613"/>
      <c r="C1410" s="353"/>
      <c r="D1410" s="353"/>
      <c r="E1410" s="353"/>
      <c r="F1410" s="353"/>
      <c r="G1410" s="353"/>
      <c r="H1410" s="353"/>
      <c r="I1410" s="731"/>
      <c r="J1410" s="613"/>
      <c r="K1410" s="613"/>
      <c r="L1410" s="353"/>
      <c r="M1410" s="353"/>
      <c r="N1410" s="353"/>
      <c r="O1410" s="764"/>
      <c r="P1410" s="353"/>
      <c r="Q1410" s="353"/>
      <c r="R1410" s="353"/>
      <c r="S1410" s="353"/>
      <c r="T1410" s="353"/>
      <c r="U1410" s="353"/>
      <c r="V1410" s="731"/>
      <c r="W1410" s="353"/>
      <c r="X1410" s="353"/>
      <c r="Y1410" s="353"/>
      <c r="Z1410" s="731"/>
      <c r="AA1410" s="353"/>
      <c r="AB1410" s="731"/>
      <c r="AC1410" s="731"/>
    </row>
    <row r="1411" ht="13.8" spans="1:29">
      <c r="A1411" s="353"/>
      <c r="B1411" s="613"/>
      <c r="C1411" s="353"/>
      <c r="D1411" s="353"/>
      <c r="E1411" s="353"/>
      <c r="F1411" s="353"/>
      <c r="G1411" s="353"/>
      <c r="H1411" s="353"/>
      <c r="I1411" s="731"/>
      <c r="J1411" s="613"/>
      <c r="K1411" s="613"/>
      <c r="L1411" s="353"/>
      <c r="M1411" s="353"/>
      <c r="N1411" s="353"/>
      <c r="O1411" s="764"/>
      <c r="P1411" s="353"/>
      <c r="Q1411" s="353"/>
      <c r="R1411" s="353"/>
      <c r="S1411" s="353"/>
      <c r="T1411" s="353"/>
      <c r="U1411" s="353"/>
      <c r="V1411" s="731"/>
      <c r="W1411" s="353"/>
      <c r="X1411" s="353"/>
      <c r="Y1411" s="353"/>
      <c r="Z1411" s="731"/>
      <c r="AA1411" s="353"/>
      <c r="AB1411" s="731"/>
      <c r="AC1411" s="731"/>
    </row>
    <row r="1412" ht="13.8" spans="1:29">
      <c r="A1412" s="353"/>
      <c r="B1412" s="613"/>
      <c r="C1412" s="353"/>
      <c r="D1412" s="353"/>
      <c r="E1412" s="353"/>
      <c r="F1412" s="353"/>
      <c r="G1412" s="353"/>
      <c r="H1412" s="353"/>
      <c r="I1412" s="731"/>
      <c r="J1412" s="613"/>
      <c r="K1412" s="613"/>
      <c r="L1412" s="353"/>
      <c r="M1412" s="353"/>
      <c r="N1412" s="353"/>
      <c r="O1412" s="764"/>
      <c r="P1412" s="353"/>
      <c r="Q1412" s="353"/>
      <c r="R1412" s="353"/>
      <c r="S1412" s="353"/>
      <c r="T1412" s="353"/>
      <c r="U1412" s="353"/>
      <c r="V1412" s="731"/>
      <c r="W1412" s="353"/>
      <c r="X1412" s="353"/>
      <c r="Y1412" s="353"/>
      <c r="Z1412" s="731"/>
      <c r="AA1412" s="353"/>
      <c r="AB1412" s="731"/>
      <c r="AC1412" s="731"/>
    </row>
    <row r="1413" ht="13.8" spans="1:29">
      <c r="A1413" s="353"/>
      <c r="B1413" s="613"/>
      <c r="C1413" s="353"/>
      <c r="D1413" s="353"/>
      <c r="E1413" s="353"/>
      <c r="F1413" s="353"/>
      <c r="G1413" s="353"/>
      <c r="H1413" s="353"/>
      <c r="I1413" s="731"/>
      <c r="J1413" s="613"/>
      <c r="K1413" s="613"/>
      <c r="L1413" s="353"/>
      <c r="M1413" s="353"/>
      <c r="N1413" s="353"/>
      <c r="O1413" s="764"/>
      <c r="P1413" s="353"/>
      <c r="Q1413" s="353"/>
      <c r="R1413" s="353"/>
      <c r="S1413" s="353"/>
      <c r="T1413" s="353"/>
      <c r="U1413" s="353"/>
      <c r="V1413" s="731"/>
      <c r="W1413" s="353"/>
      <c r="X1413" s="353"/>
      <c r="Y1413" s="353"/>
      <c r="Z1413" s="731"/>
      <c r="AA1413" s="353"/>
      <c r="AB1413" s="731"/>
      <c r="AC1413" s="731"/>
    </row>
    <row r="1414" ht="13.8" spans="1:29">
      <c r="A1414" s="353"/>
      <c r="B1414" s="613"/>
      <c r="C1414" s="353"/>
      <c r="D1414" s="353"/>
      <c r="E1414" s="353"/>
      <c r="F1414" s="353"/>
      <c r="G1414" s="353"/>
      <c r="H1414" s="353"/>
      <c r="I1414" s="731"/>
      <c r="J1414" s="613"/>
      <c r="K1414" s="613"/>
      <c r="L1414" s="353"/>
      <c r="M1414" s="353"/>
      <c r="N1414" s="353"/>
      <c r="O1414" s="764"/>
      <c r="P1414" s="353"/>
      <c r="Q1414" s="353"/>
      <c r="R1414" s="353"/>
      <c r="S1414" s="353"/>
      <c r="T1414" s="353"/>
      <c r="U1414" s="353"/>
      <c r="V1414" s="731"/>
      <c r="W1414" s="353"/>
      <c r="X1414" s="353"/>
      <c r="Y1414" s="353"/>
      <c r="Z1414" s="731"/>
      <c r="AA1414" s="353"/>
      <c r="AB1414" s="731"/>
      <c r="AC1414" s="731"/>
    </row>
    <row r="1415" ht="13.8" spans="1:29">
      <c r="A1415" s="353"/>
      <c r="B1415" s="613"/>
      <c r="C1415" s="353"/>
      <c r="D1415" s="353"/>
      <c r="E1415" s="353"/>
      <c r="F1415" s="353"/>
      <c r="G1415" s="353"/>
      <c r="H1415" s="353"/>
      <c r="I1415" s="731"/>
      <c r="J1415" s="613"/>
      <c r="K1415" s="613"/>
      <c r="L1415" s="353"/>
      <c r="M1415" s="353"/>
      <c r="N1415" s="353"/>
      <c r="O1415" s="764"/>
      <c r="P1415" s="353"/>
      <c r="Q1415" s="353"/>
      <c r="R1415" s="353"/>
      <c r="S1415" s="353"/>
      <c r="T1415" s="353"/>
      <c r="U1415" s="353"/>
      <c r="V1415" s="731"/>
      <c r="W1415" s="353"/>
      <c r="X1415" s="353"/>
      <c r="Y1415" s="353"/>
      <c r="Z1415" s="731"/>
      <c r="AA1415" s="353"/>
      <c r="AB1415" s="731"/>
      <c r="AC1415" s="731"/>
    </row>
    <row r="1416" ht="13.8" spans="1:29">
      <c r="A1416" s="353"/>
      <c r="B1416" s="613"/>
      <c r="C1416" s="353"/>
      <c r="D1416" s="353"/>
      <c r="E1416" s="353"/>
      <c r="F1416" s="353"/>
      <c r="G1416" s="353"/>
      <c r="H1416" s="353"/>
      <c r="I1416" s="731"/>
      <c r="J1416" s="613"/>
      <c r="K1416" s="613"/>
      <c r="L1416" s="353"/>
      <c r="M1416" s="353"/>
      <c r="N1416" s="353"/>
      <c r="O1416" s="764"/>
      <c r="P1416" s="353"/>
      <c r="Q1416" s="353"/>
      <c r="R1416" s="353"/>
      <c r="S1416" s="353"/>
      <c r="T1416" s="353"/>
      <c r="U1416" s="353"/>
      <c r="V1416" s="731"/>
      <c r="W1416" s="353"/>
      <c r="X1416" s="353"/>
      <c r="Y1416" s="353"/>
      <c r="Z1416" s="731"/>
      <c r="AA1416" s="353"/>
      <c r="AB1416" s="731"/>
      <c r="AC1416" s="731"/>
    </row>
    <row r="1417" ht="13.8" spans="1:29">
      <c r="A1417" s="353"/>
      <c r="B1417" s="613"/>
      <c r="C1417" s="353"/>
      <c r="D1417" s="353"/>
      <c r="E1417" s="353"/>
      <c r="F1417" s="353"/>
      <c r="G1417" s="353"/>
      <c r="H1417" s="353"/>
      <c r="I1417" s="731"/>
      <c r="J1417" s="613"/>
      <c r="K1417" s="613"/>
      <c r="L1417" s="353"/>
      <c r="M1417" s="353"/>
      <c r="N1417" s="353"/>
      <c r="O1417" s="764"/>
      <c r="P1417" s="353"/>
      <c r="Q1417" s="353"/>
      <c r="R1417" s="353"/>
      <c r="S1417" s="353"/>
      <c r="T1417" s="353"/>
      <c r="U1417" s="353"/>
      <c r="V1417" s="731"/>
      <c r="W1417" s="353"/>
      <c r="X1417" s="353"/>
      <c r="Y1417" s="353"/>
      <c r="Z1417" s="731"/>
      <c r="AA1417" s="353"/>
      <c r="AB1417" s="731"/>
      <c r="AC1417" s="731"/>
    </row>
    <row r="1418" ht="13.8" spans="1:29">
      <c r="A1418" s="353"/>
      <c r="B1418" s="613"/>
      <c r="C1418" s="353"/>
      <c r="D1418" s="353"/>
      <c r="E1418" s="353"/>
      <c r="F1418" s="353"/>
      <c r="G1418" s="353"/>
      <c r="H1418" s="353"/>
      <c r="I1418" s="731"/>
      <c r="J1418" s="613"/>
      <c r="K1418" s="613"/>
      <c r="L1418" s="353"/>
      <c r="M1418" s="353"/>
      <c r="N1418" s="353"/>
      <c r="O1418" s="764"/>
      <c r="P1418" s="353"/>
      <c r="Q1418" s="353"/>
      <c r="R1418" s="353"/>
      <c r="S1418" s="353"/>
      <c r="T1418" s="353"/>
      <c r="U1418" s="353"/>
      <c r="V1418" s="731"/>
      <c r="W1418" s="353"/>
      <c r="X1418" s="353"/>
      <c r="Y1418" s="353"/>
      <c r="Z1418" s="731"/>
      <c r="AA1418" s="353"/>
      <c r="AB1418" s="731"/>
      <c r="AC1418" s="731"/>
    </row>
    <row r="1419" ht="13.8" spans="1:29">
      <c r="A1419" s="353"/>
      <c r="B1419" s="613"/>
      <c r="C1419" s="353"/>
      <c r="D1419" s="353"/>
      <c r="E1419" s="353"/>
      <c r="F1419" s="353"/>
      <c r="G1419" s="353"/>
      <c r="H1419" s="353"/>
      <c r="I1419" s="731"/>
      <c r="J1419" s="613"/>
      <c r="K1419" s="613"/>
      <c r="L1419" s="353"/>
      <c r="M1419" s="353"/>
      <c r="N1419" s="353"/>
      <c r="O1419" s="764"/>
      <c r="P1419" s="353"/>
      <c r="Q1419" s="353"/>
      <c r="R1419" s="353"/>
      <c r="S1419" s="353"/>
      <c r="T1419" s="353"/>
      <c r="U1419" s="353"/>
      <c r="V1419" s="731"/>
      <c r="W1419" s="353"/>
      <c r="X1419" s="353"/>
      <c r="Y1419" s="353"/>
      <c r="Z1419" s="731"/>
      <c r="AA1419" s="353"/>
      <c r="AB1419" s="731"/>
      <c r="AC1419" s="731"/>
    </row>
    <row r="1420" ht="13.8" spans="1:29">
      <c r="A1420" s="353"/>
      <c r="B1420" s="613"/>
      <c r="C1420" s="353"/>
      <c r="D1420" s="353"/>
      <c r="E1420" s="353"/>
      <c r="F1420" s="353"/>
      <c r="G1420" s="353"/>
      <c r="H1420" s="353"/>
      <c r="I1420" s="731"/>
      <c r="J1420" s="613"/>
      <c r="K1420" s="613"/>
      <c r="L1420" s="353"/>
      <c r="M1420" s="353"/>
      <c r="N1420" s="353"/>
      <c r="O1420" s="764"/>
      <c r="P1420" s="353"/>
      <c r="Q1420" s="353"/>
      <c r="R1420" s="353"/>
      <c r="S1420" s="353"/>
      <c r="T1420" s="353"/>
      <c r="U1420" s="353"/>
      <c r="V1420" s="731"/>
      <c r="W1420" s="353"/>
      <c r="X1420" s="353"/>
      <c r="Y1420" s="353"/>
      <c r="Z1420" s="731"/>
      <c r="AA1420" s="353"/>
      <c r="AB1420" s="731"/>
      <c r="AC1420" s="731"/>
    </row>
    <row r="1421" ht="13.8" spans="1:29">
      <c r="A1421" s="353"/>
      <c r="B1421" s="613"/>
      <c r="C1421" s="353"/>
      <c r="D1421" s="353"/>
      <c r="E1421" s="353"/>
      <c r="F1421" s="353"/>
      <c r="G1421" s="353"/>
      <c r="H1421" s="353"/>
      <c r="I1421" s="731"/>
      <c r="J1421" s="613"/>
      <c r="K1421" s="613"/>
      <c r="L1421" s="353"/>
      <c r="M1421" s="353"/>
      <c r="N1421" s="353"/>
      <c r="O1421" s="764"/>
      <c r="P1421" s="353"/>
      <c r="Q1421" s="353"/>
      <c r="R1421" s="353"/>
      <c r="S1421" s="353"/>
      <c r="T1421" s="353"/>
      <c r="U1421" s="353"/>
      <c r="V1421" s="731"/>
      <c r="W1421" s="353"/>
      <c r="X1421" s="353"/>
      <c r="Y1421" s="353"/>
      <c r="Z1421" s="731"/>
      <c r="AA1421" s="353"/>
      <c r="AB1421" s="731"/>
      <c r="AC1421" s="731"/>
    </row>
    <row r="1422" ht="13.8" spans="1:29">
      <c r="A1422" s="353"/>
      <c r="B1422" s="613"/>
      <c r="C1422" s="353"/>
      <c r="D1422" s="353"/>
      <c r="E1422" s="353"/>
      <c r="F1422" s="353"/>
      <c r="G1422" s="353"/>
      <c r="H1422" s="353"/>
      <c r="I1422" s="731"/>
      <c r="J1422" s="613"/>
      <c r="K1422" s="613"/>
      <c r="L1422" s="353"/>
      <c r="M1422" s="353"/>
      <c r="N1422" s="353"/>
      <c r="O1422" s="764"/>
      <c r="P1422" s="353"/>
      <c r="Q1422" s="353"/>
      <c r="R1422" s="353"/>
      <c r="S1422" s="353"/>
      <c r="T1422" s="353"/>
      <c r="U1422" s="353"/>
      <c r="V1422" s="731"/>
      <c r="W1422" s="353"/>
      <c r="X1422" s="353"/>
      <c r="Y1422" s="353"/>
      <c r="Z1422" s="731"/>
      <c r="AA1422" s="353"/>
      <c r="AB1422" s="731"/>
      <c r="AC1422" s="731"/>
    </row>
    <row r="1423" ht="13.8" spans="1:29">
      <c r="A1423" s="353"/>
      <c r="B1423" s="613"/>
      <c r="C1423" s="353"/>
      <c r="D1423" s="353"/>
      <c r="E1423" s="353"/>
      <c r="F1423" s="353"/>
      <c r="G1423" s="353"/>
      <c r="H1423" s="353"/>
      <c r="I1423" s="731"/>
      <c r="J1423" s="613"/>
      <c r="K1423" s="613"/>
      <c r="L1423" s="353"/>
      <c r="M1423" s="353"/>
      <c r="N1423" s="353"/>
      <c r="O1423" s="764"/>
      <c r="P1423" s="353"/>
      <c r="Q1423" s="353"/>
      <c r="R1423" s="353"/>
      <c r="S1423" s="353"/>
      <c r="T1423" s="353"/>
      <c r="U1423" s="353"/>
      <c r="V1423" s="731"/>
      <c r="W1423" s="353"/>
      <c r="X1423" s="353"/>
      <c r="Y1423" s="353"/>
      <c r="Z1423" s="731"/>
      <c r="AA1423" s="353"/>
      <c r="AB1423" s="731"/>
      <c r="AC1423" s="731"/>
    </row>
    <row r="1424" ht="13.8" spans="1:29">
      <c r="A1424" s="353"/>
      <c r="B1424" s="613"/>
      <c r="C1424" s="353"/>
      <c r="D1424" s="353"/>
      <c r="E1424" s="353"/>
      <c r="F1424" s="353"/>
      <c r="G1424" s="353"/>
      <c r="H1424" s="353"/>
      <c r="I1424" s="731"/>
      <c r="J1424" s="613"/>
      <c r="K1424" s="613"/>
      <c r="L1424" s="353"/>
      <c r="M1424" s="353"/>
      <c r="N1424" s="353"/>
      <c r="O1424" s="764"/>
      <c r="P1424" s="353"/>
      <c r="Q1424" s="353"/>
      <c r="R1424" s="353"/>
      <c r="S1424" s="353"/>
      <c r="T1424" s="353"/>
      <c r="U1424" s="353"/>
      <c r="V1424" s="731"/>
      <c r="W1424" s="353"/>
      <c r="X1424" s="353"/>
      <c r="Y1424" s="353"/>
      <c r="Z1424" s="731"/>
      <c r="AA1424" s="353"/>
      <c r="AB1424" s="731"/>
      <c r="AC1424" s="731"/>
    </row>
    <row r="1425" ht="13.8" spans="1:29">
      <c r="A1425" s="353"/>
      <c r="B1425" s="613"/>
      <c r="C1425" s="353"/>
      <c r="D1425" s="353"/>
      <c r="E1425" s="353"/>
      <c r="F1425" s="353"/>
      <c r="G1425" s="353"/>
      <c r="H1425" s="353"/>
      <c r="I1425" s="731"/>
      <c r="J1425" s="613"/>
      <c r="K1425" s="613"/>
      <c r="L1425" s="353"/>
      <c r="M1425" s="353"/>
      <c r="N1425" s="353"/>
      <c r="O1425" s="764"/>
      <c r="P1425" s="353"/>
      <c r="Q1425" s="353"/>
      <c r="R1425" s="353"/>
      <c r="S1425" s="353"/>
      <c r="T1425" s="353"/>
      <c r="U1425" s="353"/>
      <c r="V1425" s="731"/>
      <c r="W1425" s="353"/>
      <c r="X1425" s="353"/>
      <c r="Y1425" s="353"/>
      <c r="Z1425" s="731"/>
      <c r="AA1425" s="353"/>
      <c r="AB1425" s="731"/>
      <c r="AC1425" s="731"/>
    </row>
    <row r="1426" ht="13.8" spans="1:29">
      <c r="A1426" s="353"/>
      <c r="B1426" s="613"/>
      <c r="C1426" s="353"/>
      <c r="D1426" s="353"/>
      <c r="E1426" s="353"/>
      <c r="F1426" s="353"/>
      <c r="G1426" s="353"/>
      <c r="H1426" s="353"/>
      <c r="I1426" s="731"/>
      <c r="J1426" s="613"/>
      <c r="K1426" s="613"/>
      <c r="L1426" s="353"/>
      <c r="M1426" s="353"/>
      <c r="N1426" s="353"/>
      <c r="O1426" s="764"/>
      <c r="P1426" s="353"/>
      <c r="Q1426" s="353"/>
      <c r="R1426" s="353"/>
      <c r="S1426" s="353"/>
      <c r="T1426" s="353"/>
      <c r="U1426" s="353"/>
      <c r="V1426" s="731"/>
      <c r="W1426" s="353"/>
      <c r="X1426" s="353"/>
      <c r="Y1426" s="353"/>
      <c r="Z1426" s="731"/>
      <c r="AA1426" s="353"/>
      <c r="AB1426" s="731"/>
      <c r="AC1426" s="731"/>
    </row>
    <row r="1427" ht="13.8" spans="1:29">
      <c r="A1427" s="353"/>
      <c r="B1427" s="613"/>
      <c r="C1427" s="353"/>
      <c r="D1427" s="353"/>
      <c r="E1427" s="353"/>
      <c r="F1427" s="353"/>
      <c r="G1427" s="353"/>
      <c r="H1427" s="353"/>
      <c r="I1427" s="731"/>
      <c r="J1427" s="613"/>
      <c r="K1427" s="613"/>
      <c r="L1427" s="353"/>
      <c r="M1427" s="353"/>
      <c r="N1427" s="353"/>
      <c r="O1427" s="764"/>
      <c r="P1427" s="353"/>
      <c r="Q1427" s="353"/>
      <c r="R1427" s="353"/>
      <c r="S1427" s="353"/>
      <c r="T1427" s="353"/>
      <c r="U1427" s="353"/>
      <c r="V1427" s="731"/>
      <c r="W1427" s="353"/>
      <c r="X1427" s="353"/>
      <c r="Y1427" s="353"/>
      <c r="Z1427" s="731"/>
      <c r="AA1427" s="353"/>
      <c r="AB1427" s="731"/>
      <c r="AC1427" s="731"/>
    </row>
    <row r="1428" ht="13.8" spans="1:29">
      <c r="A1428" s="353"/>
      <c r="B1428" s="613"/>
      <c r="C1428" s="353"/>
      <c r="D1428" s="353"/>
      <c r="E1428" s="353"/>
      <c r="F1428" s="353"/>
      <c r="G1428" s="353"/>
      <c r="H1428" s="353"/>
      <c r="I1428" s="731"/>
      <c r="J1428" s="613"/>
      <c r="K1428" s="613"/>
      <c r="L1428" s="353"/>
      <c r="M1428" s="353"/>
      <c r="N1428" s="353"/>
      <c r="O1428" s="764"/>
      <c r="P1428" s="353"/>
      <c r="Q1428" s="353"/>
      <c r="R1428" s="353"/>
      <c r="S1428" s="353"/>
      <c r="T1428" s="353"/>
      <c r="U1428" s="353"/>
      <c r="V1428" s="731"/>
      <c r="W1428" s="353"/>
      <c r="X1428" s="353"/>
      <c r="Y1428" s="353"/>
      <c r="Z1428" s="731"/>
      <c r="AA1428" s="353"/>
      <c r="AB1428" s="731"/>
      <c r="AC1428" s="731"/>
    </row>
    <row r="1429" ht="13.8" spans="1:29">
      <c r="A1429" s="353"/>
      <c r="B1429" s="613"/>
      <c r="C1429" s="353"/>
      <c r="D1429" s="353"/>
      <c r="E1429" s="353"/>
      <c r="F1429" s="353"/>
      <c r="G1429" s="353"/>
      <c r="H1429" s="353"/>
      <c r="I1429" s="731"/>
      <c r="J1429" s="613"/>
      <c r="K1429" s="613"/>
      <c r="L1429" s="353"/>
      <c r="M1429" s="353"/>
      <c r="N1429" s="353"/>
      <c r="O1429" s="764"/>
      <c r="P1429" s="353"/>
      <c r="Q1429" s="353"/>
      <c r="R1429" s="353"/>
      <c r="S1429" s="353"/>
      <c r="T1429" s="353"/>
      <c r="U1429" s="353"/>
      <c r="V1429" s="731"/>
      <c r="W1429" s="353"/>
      <c r="X1429" s="353"/>
      <c r="Y1429" s="353"/>
      <c r="Z1429" s="731"/>
      <c r="AA1429" s="353"/>
      <c r="AB1429" s="731"/>
      <c r="AC1429" s="731"/>
    </row>
    <row r="1430" ht="13.8" spans="1:29">
      <c r="A1430" s="353"/>
      <c r="B1430" s="613"/>
      <c r="C1430" s="353"/>
      <c r="D1430" s="353"/>
      <c r="E1430" s="353"/>
      <c r="F1430" s="353"/>
      <c r="G1430" s="353"/>
      <c r="H1430" s="353"/>
      <c r="I1430" s="731"/>
      <c r="J1430" s="613"/>
      <c r="K1430" s="613"/>
      <c r="L1430" s="353"/>
      <c r="M1430" s="353"/>
      <c r="N1430" s="353"/>
      <c r="O1430" s="764"/>
      <c r="P1430" s="353"/>
      <c r="Q1430" s="353"/>
      <c r="R1430" s="353"/>
      <c r="S1430" s="353"/>
      <c r="T1430" s="353"/>
      <c r="U1430" s="353"/>
      <c r="V1430" s="731"/>
      <c r="W1430" s="353"/>
      <c r="X1430" s="353"/>
      <c r="Y1430" s="353"/>
      <c r="Z1430" s="731"/>
      <c r="AA1430" s="353"/>
      <c r="AB1430" s="731"/>
      <c r="AC1430" s="731"/>
    </row>
    <row r="1431" ht="13.8" spans="1:29">
      <c r="A1431" s="353"/>
      <c r="B1431" s="613"/>
      <c r="C1431" s="353"/>
      <c r="D1431" s="353"/>
      <c r="E1431" s="353"/>
      <c r="F1431" s="353"/>
      <c r="G1431" s="353"/>
      <c r="H1431" s="353"/>
      <c r="I1431" s="731"/>
      <c r="J1431" s="613"/>
      <c r="K1431" s="613"/>
      <c r="L1431" s="353"/>
      <c r="M1431" s="353"/>
      <c r="N1431" s="353"/>
      <c r="O1431" s="764"/>
      <c r="P1431" s="353"/>
      <c r="Q1431" s="353"/>
      <c r="R1431" s="353"/>
      <c r="S1431" s="353"/>
      <c r="T1431" s="353"/>
      <c r="U1431" s="353"/>
      <c r="V1431" s="731"/>
      <c r="W1431" s="353"/>
      <c r="X1431" s="353"/>
      <c r="Y1431" s="353"/>
      <c r="Z1431" s="731"/>
      <c r="AA1431" s="353"/>
      <c r="AB1431" s="731"/>
      <c r="AC1431" s="731"/>
    </row>
    <row r="1432" ht="13.8" spans="1:29">
      <c r="A1432" s="353"/>
      <c r="B1432" s="613"/>
      <c r="C1432" s="353"/>
      <c r="D1432" s="353"/>
      <c r="E1432" s="353"/>
      <c r="F1432" s="353"/>
      <c r="G1432" s="353"/>
      <c r="H1432" s="353"/>
      <c r="I1432" s="731"/>
      <c r="J1432" s="613"/>
      <c r="K1432" s="613"/>
      <c r="L1432" s="353"/>
      <c r="M1432" s="353"/>
      <c r="N1432" s="353"/>
      <c r="O1432" s="764"/>
      <c r="P1432" s="353"/>
      <c r="Q1432" s="353"/>
      <c r="R1432" s="353"/>
      <c r="S1432" s="353"/>
      <c r="T1432" s="353"/>
      <c r="U1432" s="353"/>
      <c r="V1432" s="731"/>
      <c r="W1432" s="353"/>
      <c r="X1432" s="353"/>
      <c r="Y1432" s="353"/>
      <c r="Z1432" s="731"/>
      <c r="AA1432" s="353"/>
      <c r="AB1432" s="731"/>
      <c r="AC1432" s="731"/>
    </row>
    <row r="1433" ht="13.8" spans="1:29">
      <c r="A1433" s="353"/>
      <c r="B1433" s="613"/>
      <c r="C1433" s="353"/>
      <c r="D1433" s="353"/>
      <c r="E1433" s="353"/>
      <c r="F1433" s="353"/>
      <c r="G1433" s="353"/>
      <c r="H1433" s="353"/>
      <c r="I1433" s="731"/>
      <c r="J1433" s="613"/>
      <c r="K1433" s="613"/>
      <c r="L1433" s="353"/>
      <c r="M1433" s="353"/>
      <c r="N1433" s="353"/>
      <c r="O1433" s="764"/>
      <c r="P1433" s="353"/>
      <c r="Q1433" s="353"/>
      <c r="R1433" s="353"/>
      <c r="S1433" s="353"/>
      <c r="T1433" s="353"/>
      <c r="U1433" s="353"/>
      <c r="V1433" s="731"/>
      <c r="W1433" s="353"/>
      <c r="X1433" s="353"/>
      <c r="Y1433" s="353"/>
      <c r="Z1433" s="731"/>
      <c r="AA1433" s="353"/>
      <c r="AB1433" s="731"/>
      <c r="AC1433" s="731"/>
    </row>
    <row r="1434" ht="13.8" spans="1:29">
      <c r="A1434" s="353"/>
      <c r="B1434" s="613"/>
      <c r="C1434" s="353"/>
      <c r="D1434" s="353"/>
      <c r="E1434" s="353"/>
      <c r="F1434" s="353"/>
      <c r="G1434" s="353"/>
      <c r="H1434" s="353"/>
      <c r="I1434" s="731"/>
      <c r="J1434" s="613"/>
      <c r="K1434" s="613"/>
      <c r="L1434" s="353"/>
      <c r="M1434" s="353"/>
      <c r="N1434" s="353"/>
      <c r="O1434" s="764"/>
      <c r="P1434" s="353"/>
      <c r="Q1434" s="353"/>
      <c r="R1434" s="353"/>
      <c r="S1434" s="353"/>
      <c r="T1434" s="353"/>
      <c r="U1434" s="353"/>
      <c r="V1434" s="731"/>
      <c r="W1434" s="353"/>
      <c r="X1434" s="353"/>
      <c r="Y1434" s="353"/>
      <c r="Z1434" s="731"/>
      <c r="AA1434" s="353"/>
      <c r="AB1434" s="731"/>
      <c r="AC1434" s="731"/>
    </row>
    <row r="1435" ht="13.8" spans="1:29">
      <c r="A1435" s="353"/>
      <c r="B1435" s="613"/>
      <c r="C1435" s="353"/>
      <c r="D1435" s="353"/>
      <c r="E1435" s="353"/>
      <c r="F1435" s="353"/>
      <c r="G1435" s="353"/>
      <c r="H1435" s="353"/>
      <c r="I1435" s="731"/>
      <c r="J1435" s="613"/>
      <c r="K1435" s="613"/>
      <c r="L1435" s="353"/>
      <c r="M1435" s="353"/>
      <c r="N1435" s="353"/>
      <c r="O1435" s="764"/>
      <c r="P1435" s="353"/>
      <c r="Q1435" s="353"/>
      <c r="R1435" s="353"/>
      <c r="S1435" s="353"/>
      <c r="T1435" s="353"/>
      <c r="U1435" s="353"/>
      <c r="V1435" s="731"/>
      <c r="W1435" s="353"/>
      <c r="X1435" s="353"/>
      <c r="Y1435" s="353"/>
      <c r="Z1435" s="731"/>
      <c r="AA1435" s="353"/>
      <c r="AB1435" s="731"/>
      <c r="AC1435" s="731"/>
    </row>
    <row r="1436" ht="13.8" spans="1:29">
      <c r="A1436" s="353"/>
      <c r="B1436" s="613"/>
      <c r="C1436" s="353"/>
      <c r="D1436" s="353"/>
      <c r="E1436" s="353"/>
      <c r="F1436" s="353"/>
      <c r="G1436" s="353"/>
      <c r="H1436" s="353"/>
      <c r="I1436" s="731"/>
      <c r="J1436" s="613"/>
      <c r="K1436" s="613"/>
      <c r="L1436" s="353"/>
      <c r="M1436" s="353"/>
      <c r="N1436" s="353"/>
      <c r="O1436" s="764"/>
      <c r="P1436" s="353"/>
      <c r="Q1436" s="353"/>
      <c r="R1436" s="353"/>
      <c r="S1436" s="353"/>
      <c r="T1436" s="353"/>
      <c r="U1436" s="353"/>
      <c r="V1436" s="731"/>
      <c r="W1436" s="353"/>
      <c r="X1436" s="353"/>
      <c r="Y1436" s="353"/>
      <c r="Z1436" s="731"/>
      <c r="AA1436" s="353"/>
      <c r="AB1436" s="731"/>
      <c r="AC1436" s="731"/>
    </row>
    <row r="1437" ht="13.8" spans="1:29">
      <c r="A1437" s="353"/>
      <c r="B1437" s="613"/>
      <c r="C1437" s="353"/>
      <c r="D1437" s="353"/>
      <c r="E1437" s="353"/>
      <c r="F1437" s="353"/>
      <c r="G1437" s="353"/>
      <c r="H1437" s="353"/>
      <c r="I1437" s="731"/>
      <c r="J1437" s="613"/>
      <c r="K1437" s="613"/>
      <c r="L1437" s="353"/>
      <c r="M1437" s="353"/>
      <c r="N1437" s="353"/>
      <c r="O1437" s="764"/>
      <c r="P1437" s="353"/>
      <c r="Q1437" s="353"/>
      <c r="R1437" s="353"/>
      <c r="S1437" s="353"/>
      <c r="T1437" s="353"/>
      <c r="U1437" s="353"/>
      <c r="V1437" s="731"/>
      <c r="W1437" s="353"/>
      <c r="X1437" s="353"/>
      <c r="Y1437" s="353"/>
      <c r="Z1437" s="731"/>
      <c r="AA1437" s="353"/>
      <c r="AB1437" s="731"/>
      <c r="AC1437" s="731"/>
    </row>
    <row r="1438" ht="13.8" spans="1:29">
      <c r="A1438" s="353"/>
      <c r="B1438" s="613"/>
      <c r="C1438" s="353"/>
      <c r="D1438" s="353"/>
      <c r="E1438" s="353"/>
      <c r="F1438" s="353"/>
      <c r="G1438" s="353"/>
      <c r="H1438" s="353"/>
      <c r="I1438" s="731"/>
      <c r="J1438" s="613"/>
      <c r="K1438" s="613"/>
      <c r="L1438" s="353"/>
      <c r="M1438" s="353"/>
      <c r="N1438" s="353"/>
      <c r="O1438" s="764"/>
      <c r="P1438" s="353"/>
      <c r="Q1438" s="353"/>
      <c r="R1438" s="353"/>
      <c r="S1438" s="353"/>
      <c r="T1438" s="353"/>
      <c r="U1438" s="353"/>
      <c r="V1438" s="731"/>
      <c r="W1438" s="353"/>
      <c r="X1438" s="353"/>
      <c r="Y1438" s="353"/>
      <c r="Z1438" s="731"/>
      <c r="AA1438" s="353"/>
      <c r="AB1438" s="731"/>
      <c r="AC1438" s="731"/>
    </row>
    <row r="1439" ht="13.8" spans="1:29">
      <c r="A1439" s="353"/>
      <c r="B1439" s="613"/>
      <c r="C1439" s="353"/>
      <c r="D1439" s="353"/>
      <c r="E1439" s="353"/>
      <c r="F1439" s="353"/>
      <c r="G1439" s="353"/>
      <c r="H1439" s="353"/>
      <c r="I1439" s="731"/>
      <c r="J1439" s="613"/>
      <c r="K1439" s="613"/>
      <c r="L1439" s="353"/>
      <c r="M1439" s="353"/>
      <c r="N1439" s="353"/>
      <c r="O1439" s="764"/>
      <c r="P1439" s="353"/>
      <c r="Q1439" s="353"/>
      <c r="R1439" s="353"/>
      <c r="S1439" s="353"/>
      <c r="T1439" s="353"/>
      <c r="U1439" s="353"/>
      <c r="V1439" s="731"/>
      <c r="W1439" s="353"/>
      <c r="X1439" s="353"/>
      <c r="Y1439" s="353"/>
      <c r="Z1439" s="731"/>
      <c r="AA1439" s="353"/>
      <c r="AB1439" s="731"/>
      <c r="AC1439" s="731"/>
    </row>
    <row r="1440" ht="13.8" spans="1:29">
      <c r="A1440" s="353"/>
      <c r="B1440" s="613"/>
      <c r="C1440" s="353"/>
      <c r="D1440" s="353"/>
      <c r="E1440" s="353"/>
      <c r="F1440" s="353"/>
      <c r="G1440" s="353"/>
      <c r="H1440" s="353"/>
      <c r="I1440" s="731"/>
      <c r="J1440" s="613"/>
      <c r="K1440" s="613"/>
      <c r="L1440" s="353"/>
      <c r="M1440" s="353"/>
      <c r="N1440" s="353"/>
      <c r="O1440" s="764"/>
      <c r="P1440" s="353"/>
      <c r="Q1440" s="353"/>
      <c r="R1440" s="353"/>
      <c r="S1440" s="353"/>
      <c r="T1440" s="353"/>
      <c r="U1440" s="353"/>
      <c r="V1440" s="731"/>
      <c r="W1440" s="353"/>
      <c r="X1440" s="353"/>
      <c r="Y1440" s="353"/>
      <c r="Z1440" s="731"/>
      <c r="AA1440" s="353"/>
      <c r="AB1440" s="731"/>
      <c r="AC1440" s="731"/>
    </row>
    <row r="1441" ht="13.8" spans="1:29">
      <c r="A1441" s="353"/>
      <c r="B1441" s="613"/>
      <c r="C1441" s="353"/>
      <c r="D1441" s="353"/>
      <c r="E1441" s="353"/>
      <c r="F1441" s="353"/>
      <c r="G1441" s="353"/>
      <c r="H1441" s="353"/>
      <c r="I1441" s="731"/>
      <c r="J1441" s="613"/>
      <c r="K1441" s="613"/>
      <c r="L1441" s="353"/>
      <c r="M1441" s="353"/>
      <c r="N1441" s="353"/>
      <c r="O1441" s="764"/>
      <c r="P1441" s="353"/>
      <c r="Q1441" s="353"/>
      <c r="R1441" s="353"/>
      <c r="S1441" s="353"/>
      <c r="T1441" s="353"/>
      <c r="U1441" s="353"/>
      <c r="V1441" s="731"/>
      <c r="W1441" s="353"/>
      <c r="X1441" s="353"/>
      <c r="Y1441" s="353"/>
      <c r="Z1441" s="731"/>
      <c r="AA1441" s="353"/>
      <c r="AB1441" s="731"/>
      <c r="AC1441" s="731"/>
    </row>
    <row r="1442" ht="13.8" spans="1:29">
      <c r="A1442" s="353"/>
      <c r="B1442" s="613"/>
      <c r="C1442" s="353"/>
      <c r="D1442" s="353"/>
      <c r="E1442" s="353"/>
      <c r="F1442" s="353"/>
      <c r="G1442" s="353"/>
      <c r="H1442" s="353"/>
      <c r="I1442" s="731"/>
      <c r="J1442" s="613"/>
      <c r="K1442" s="613"/>
      <c r="L1442" s="353"/>
      <c r="M1442" s="353"/>
      <c r="N1442" s="353"/>
      <c r="O1442" s="764"/>
      <c r="P1442" s="353"/>
      <c r="Q1442" s="353"/>
      <c r="R1442" s="353"/>
      <c r="S1442" s="353"/>
      <c r="T1442" s="353"/>
      <c r="U1442" s="353"/>
      <c r="V1442" s="731"/>
      <c r="W1442" s="353"/>
      <c r="X1442" s="353"/>
      <c r="Y1442" s="353"/>
      <c r="Z1442" s="731"/>
      <c r="AA1442" s="353"/>
      <c r="AB1442" s="731"/>
      <c r="AC1442" s="731"/>
    </row>
    <row r="1443" ht="13.8" spans="1:29">
      <c r="A1443" s="353"/>
      <c r="B1443" s="613"/>
      <c r="C1443" s="353"/>
      <c r="D1443" s="353"/>
      <c r="E1443" s="353"/>
      <c r="F1443" s="353"/>
      <c r="G1443" s="353"/>
      <c r="H1443" s="353"/>
      <c r="I1443" s="731"/>
      <c r="J1443" s="613"/>
      <c r="K1443" s="613"/>
      <c r="L1443" s="353"/>
      <c r="M1443" s="353"/>
      <c r="N1443" s="353"/>
      <c r="O1443" s="764"/>
      <c r="P1443" s="353"/>
      <c r="Q1443" s="353"/>
      <c r="R1443" s="353"/>
      <c r="S1443" s="353"/>
      <c r="T1443" s="353"/>
      <c r="U1443" s="353"/>
      <c r="V1443" s="731"/>
      <c r="W1443" s="353"/>
      <c r="X1443" s="353"/>
      <c r="Y1443" s="353"/>
      <c r="Z1443" s="731"/>
      <c r="AA1443" s="353"/>
      <c r="AB1443" s="731"/>
      <c r="AC1443" s="731"/>
    </row>
    <row r="1444" ht="13.8" spans="1:29">
      <c r="A1444" s="353"/>
      <c r="B1444" s="613"/>
      <c r="C1444" s="353"/>
      <c r="D1444" s="353"/>
      <c r="E1444" s="353"/>
      <c r="F1444" s="353"/>
      <c r="G1444" s="353"/>
      <c r="H1444" s="353"/>
      <c r="I1444" s="731"/>
      <c r="J1444" s="613"/>
      <c r="K1444" s="613"/>
      <c r="L1444" s="353"/>
      <c r="M1444" s="353"/>
      <c r="N1444" s="353"/>
      <c r="O1444" s="764"/>
      <c r="P1444" s="353"/>
      <c r="Q1444" s="353"/>
      <c r="R1444" s="353"/>
      <c r="S1444" s="353"/>
      <c r="T1444" s="353"/>
      <c r="U1444" s="353"/>
      <c r="V1444" s="731"/>
      <c r="W1444" s="353"/>
      <c r="X1444" s="353"/>
      <c r="Y1444" s="353"/>
      <c r="Z1444" s="731"/>
      <c r="AA1444" s="353"/>
      <c r="AB1444" s="731"/>
      <c r="AC1444" s="731"/>
    </row>
    <row r="1445" ht="13.8" spans="1:29">
      <c r="A1445" s="353"/>
      <c r="B1445" s="613"/>
      <c r="C1445" s="353"/>
      <c r="D1445" s="353"/>
      <c r="E1445" s="353"/>
      <c r="F1445" s="353"/>
      <c r="G1445" s="353"/>
      <c r="H1445" s="353"/>
      <c r="I1445" s="731"/>
      <c r="J1445" s="613"/>
      <c r="K1445" s="613"/>
      <c r="L1445" s="353"/>
      <c r="M1445" s="353"/>
      <c r="N1445" s="353"/>
      <c r="O1445" s="764"/>
      <c r="P1445" s="353"/>
      <c r="Q1445" s="353"/>
      <c r="R1445" s="353"/>
      <c r="S1445" s="353"/>
      <c r="T1445" s="353"/>
      <c r="U1445" s="353"/>
      <c r="V1445" s="731"/>
      <c r="W1445" s="353"/>
      <c r="X1445" s="353"/>
      <c r="Y1445" s="353"/>
      <c r="Z1445" s="731"/>
      <c r="AA1445" s="353"/>
      <c r="AB1445" s="731"/>
      <c r="AC1445" s="731"/>
    </row>
    <row r="1446" ht="13.8" spans="1:29">
      <c r="A1446" s="353"/>
      <c r="B1446" s="613"/>
      <c r="C1446" s="353"/>
      <c r="D1446" s="353"/>
      <c r="E1446" s="353"/>
      <c r="F1446" s="353"/>
      <c r="G1446" s="353"/>
      <c r="H1446" s="353"/>
      <c r="I1446" s="731"/>
      <c r="J1446" s="613"/>
      <c r="K1446" s="613"/>
      <c r="L1446" s="353"/>
      <c r="M1446" s="353"/>
      <c r="N1446" s="353"/>
      <c r="O1446" s="764"/>
      <c r="P1446" s="353"/>
      <c r="Q1446" s="353"/>
      <c r="R1446" s="353"/>
      <c r="S1446" s="353"/>
      <c r="T1446" s="353"/>
      <c r="U1446" s="353"/>
      <c r="V1446" s="731"/>
      <c r="W1446" s="353"/>
      <c r="X1446" s="353"/>
      <c r="Y1446" s="353"/>
      <c r="Z1446" s="731"/>
      <c r="AA1446" s="353"/>
      <c r="AB1446" s="731"/>
      <c r="AC1446" s="731"/>
    </row>
    <row r="1447" ht="13.8" spans="1:29">
      <c r="A1447" s="353"/>
      <c r="B1447" s="613"/>
      <c r="C1447" s="353"/>
      <c r="D1447" s="353"/>
      <c r="E1447" s="353"/>
      <c r="F1447" s="353"/>
      <c r="G1447" s="353"/>
      <c r="H1447" s="353"/>
      <c r="I1447" s="731"/>
      <c r="J1447" s="613"/>
      <c r="K1447" s="613"/>
      <c r="L1447" s="353"/>
      <c r="M1447" s="353"/>
      <c r="N1447" s="353"/>
      <c r="O1447" s="764"/>
      <c r="P1447" s="353"/>
      <c r="Q1447" s="353"/>
      <c r="R1447" s="353"/>
      <c r="S1447" s="353"/>
      <c r="T1447" s="353"/>
      <c r="U1447" s="353"/>
      <c r="V1447" s="731"/>
      <c r="W1447" s="353"/>
      <c r="X1447" s="353"/>
      <c r="Y1447" s="353"/>
      <c r="Z1447" s="731"/>
      <c r="AA1447" s="353"/>
      <c r="AB1447" s="731"/>
      <c r="AC1447" s="731"/>
    </row>
    <row r="1448" ht="13.8" spans="1:29">
      <c r="A1448" s="353"/>
      <c r="B1448" s="613"/>
      <c r="C1448" s="353"/>
      <c r="D1448" s="353"/>
      <c r="E1448" s="353"/>
      <c r="F1448" s="353"/>
      <c r="G1448" s="353"/>
      <c r="H1448" s="353"/>
      <c r="I1448" s="731"/>
      <c r="J1448" s="613"/>
      <c r="K1448" s="613"/>
      <c r="L1448" s="353"/>
      <c r="M1448" s="353"/>
      <c r="N1448" s="353"/>
      <c r="O1448" s="764"/>
      <c r="P1448" s="353"/>
      <c r="Q1448" s="353"/>
      <c r="R1448" s="353"/>
      <c r="S1448" s="353"/>
      <c r="T1448" s="353"/>
      <c r="U1448" s="353"/>
      <c r="V1448" s="731"/>
      <c r="W1448" s="353"/>
      <c r="X1448" s="353"/>
      <c r="Y1448" s="353"/>
      <c r="Z1448" s="731"/>
      <c r="AA1448" s="353"/>
      <c r="AB1448" s="731"/>
      <c r="AC1448" s="731"/>
    </row>
    <row r="1449" ht="13.8" spans="1:29">
      <c r="A1449" s="353"/>
      <c r="B1449" s="613"/>
      <c r="C1449" s="353"/>
      <c r="D1449" s="353"/>
      <c r="E1449" s="353"/>
      <c r="F1449" s="353"/>
      <c r="G1449" s="353"/>
      <c r="H1449" s="353"/>
      <c r="I1449" s="731"/>
      <c r="J1449" s="613"/>
      <c r="K1449" s="613"/>
      <c r="L1449" s="353"/>
      <c r="M1449" s="353"/>
      <c r="N1449" s="353"/>
      <c r="O1449" s="764"/>
      <c r="P1449" s="353"/>
      <c r="Q1449" s="353"/>
      <c r="R1449" s="353"/>
      <c r="S1449" s="353"/>
      <c r="T1449" s="353"/>
      <c r="U1449" s="353"/>
      <c r="V1449" s="731"/>
      <c r="W1449" s="353"/>
      <c r="X1449" s="353"/>
      <c r="Y1449" s="353"/>
      <c r="Z1449" s="731"/>
      <c r="AA1449" s="353"/>
      <c r="AB1449" s="731"/>
      <c r="AC1449" s="731"/>
    </row>
    <row r="1450" ht="13.8" spans="1:29">
      <c r="A1450" s="353"/>
      <c r="B1450" s="613"/>
      <c r="C1450" s="353"/>
      <c r="D1450" s="353"/>
      <c r="E1450" s="353"/>
      <c r="F1450" s="353"/>
      <c r="G1450" s="353"/>
      <c r="H1450" s="353"/>
      <c r="I1450" s="731"/>
      <c r="J1450" s="613"/>
      <c r="K1450" s="613"/>
      <c r="L1450" s="353"/>
      <c r="M1450" s="353"/>
      <c r="N1450" s="353"/>
      <c r="O1450" s="764"/>
      <c r="P1450" s="353"/>
      <c r="Q1450" s="353"/>
      <c r="R1450" s="353"/>
      <c r="S1450" s="353"/>
      <c r="T1450" s="353"/>
      <c r="U1450" s="353"/>
      <c r="V1450" s="731"/>
      <c r="W1450" s="353"/>
      <c r="X1450" s="353"/>
      <c r="Y1450" s="353"/>
      <c r="Z1450" s="731"/>
      <c r="AA1450" s="353"/>
      <c r="AB1450" s="731"/>
      <c r="AC1450" s="731"/>
    </row>
    <row r="1451" ht="13.8" spans="1:29">
      <c r="A1451" s="353"/>
      <c r="B1451" s="613"/>
      <c r="C1451" s="353"/>
      <c r="D1451" s="353"/>
      <c r="E1451" s="353"/>
      <c r="F1451" s="353"/>
      <c r="G1451" s="353"/>
      <c r="H1451" s="353"/>
      <c r="I1451" s="731"/>
      <c r="J1451" s="613"/>
      <c r="K1451" s="613"/>
      <c r="L1451" s="353"/>
      <c r="M1451" s="353"/>
      <c r="N1451" s="353"/>
      <c r="O1451" s="764"/>
      <c r="P1451" s="353"/>
      <c r="Q1451" s="353"/>
      <c r="R1451" s="353"/>
      <c r="S1451" s="353"/>
      <c r="T1451" s="353"/>
      <c r="U1451" s="353"/>
      <c r="V1451" s="731"/>
      <c r="W1451" s="353"/>
      <c r="X1451" s="353"/>
      <c r="Y1451" s="353"/>
      <c r="Z1451" s="731"/>
      <c r="AA1451" s="353"/>
      <c r="AB1451" s="731"/>
      <c r="AC1451" s="731"/>
    </row>
    <row r="1452" ht="13.8" spans="1:29">
      <c r="A1452" s="353"/>
      <c r="B1452" s="613"/>
      <c r="C1452" s="353"/>
      <c r="D1452" s="353"/>
      <c r="E1452" s="353"/>
      <c r="F1452" s="353"/>
      <c r="G1452" s="353"/>
      <c r="H1452" s="353"/>
      <c r="I1452" s="731"/>
      <c r="J1452" s="613"/>
      <c r="K1452" s="613"/>
      <c r="L1452" s="353"/>
      <c r="M1452" s="353"/>
      <c r="N1452" s="353"/>
      <c r="O1452" s="764"/>
      <c r="P1452" s="353"/>
      <c r="Q1452" s="353"/>
      <c r="R1452" s="353"/>
      <c r="S1452" s="353"/>
      <c r="T1452" s="353"/>
      <c r="U1452" s="353"/>
      <c r="V1452" s="731"/>
      <c r="W1452" s="353"/>
      <c r="X1452" s="353"/>
      <c r="Y1452" s="353"/>
      <c r="Z1452" s="731"/>
      <c r="AA1452" s="353"/>
      <c r="AB1452" s="731"/>
      <c r="AC1452" s="731"/>
    </row>
    <row r="1453" ht="13.8" spans="1:29">
      <c r="A1453" s="353"/>
      <c r="B1453" s="613"/>
      <c r="C1453" s="353"/>
      <c r="D1453" s="353"/>
      <c r="E1453" s="353"/>
      <c r="F1453" s="353"/>
      <c r="G1453" s="353"/>
      <c r="H1453" s="353"/>
      <c r="I1453" s="731"/>
      <c r="J1453" s="613"/>
      <c r="K1453" s="613"/>
      <c r="L1453" s="353"/>
      <c r="M1453" s="353"/>
      <c r="N1453" s="353"/>
      <c r="O1453" s="764"/>
      <c r="P1453" s="353"/>
      <c r="Q1453" s="353"/>
      <c r="R1453" s="353"/>
      <c r="S1453" s="353"/>
      <c r="T1453" s="353"/>
      <c r="U1453" s="353"/>
      <c r="V1453" s="731"/>
      <c r="W1453" s="353"/>
      <c r="X1453" s="353"/>
      <c r="Y1453" s="353"/>
      <c r="Z1453" s="731"/>
      <c r="AA1453" s="353"/>
      <c r="AB1453" s="731"/>
      <c r="AC1453" s="731"/>
    </row>
    <row r="1454" ht="13.8" spans="1:29">
      <c r="A1454" s="353"/>
      <c r="B1454" s="613"/>
      <c r="C1454" s="353"/>
      <c r="D1454" s="353"/>
      <c r="E1454" s="353"/>
      <c r="F1454" s="353"/>
      <c r="G1454" s="353"/>
      <c r="H1454" s="353"/>
      <c r="I1454" s="731"/>
      <c r="J1454" s="613"/>
      <c r="K1454" s="613"/>
      <c r="L1454" s="353"/>
      <c r="M1454" s="353"/>
      <c r="N1454" s="353"/>
      <c r="O1454" s="764"/>
      <c r="P1454" s="353"/>
      <c r="Q1454" s="353"/>
      <c r="R1454" s="353"/>
      <c r="S1454" s="353"/>
      <c r="T1454" s="353"/>
      <c r="U1454" s="353"/>
      <c r="V1454" s="731"/>
      <c r="W1454" s="353"/>
      <c r="X1454" s="353"/>
      <c r="Y1454" s="353"/>
      <c r="Z1454" s="731"/>
      <c r="AA1454" s="353"/>
      <c r="AB1454" s="731"/>
      <c r="AC1454" s="731"/>
    </row>
    <row r="1455" ht="13.8" spans="1:29">
      <c r="A1455" s="353"/>
      <c r="B1455" s="613"/>
      <c r="C1455" s="353"/>
      <c r="D1455" s="353"/>
      <c r="E1455" s="353"/>
      <c r="F1455" s="353"/>
      <c r="G1455" s="353"/>
      <c r="H1455" s="353"/>
      <c r="I1455" s="731"/>
      <c r="J1455" s="613"/>
      <c r="K1455" s="613"/>
      <c r="L1455" s="353"/>
      <c r="M1455" s="353"/>
      <c r="N1455" s="353"/>
      <c r="O1455" s="764"/>
      <c r="P1455" s="353"/>
      <c r="Q1455" s="353"/>
      <c r="R1455" s="353"/>
      <c r="S1455" s="353"/>
      <c r="T1455" s="353"/>
      <c r="U1455" s="353"/>
      <c r="V1455" s="731"/>
      <c r="W1455" s="353"/>
      <c r="X1455" s="353"/>
      <c r="Y1455" s="353"/>
      <c r="Z1455" s="731"/>
      <c r="AA1455" s="353"/>
      <c r="AB1455" s="731"/>
      <c r="AC1455" s="731"/>
    </row>
    <row r="1456" ht="13.8" spans="1:29">
      <c r="A1456" s="353"/>
      <c r="B1456" s="613"/>
      <c r="C1456" s="353"/>
      <c r="D1456" s="353"/>
      <c r="E1456" s="353"/>
      <c r="F1456" s="353"/>
      <c r="G1456" s="353"/>
      <c r="H1456" s="353"/>
      <c r="I1456" s="731"/>
      <c r="J1456" s="613"/>
      <c r="K1456" s="613"/>
      <c r="L1456" s="353"/>
      <c r="M1456" s="353"/>
      <c r="N1456" s="353"/>
      <c r="O1456" s="764"/>
      <c r="P1456" s="353"/>
      <c r="Q1456" s="353"/>
      <c r="R1456" s="353"/>
      <c r="S1456" s="353"/>
      <c r="T1456" s="353"/>
      <c r="U1456" s="353"/>
      <c r="V1456" s="731"/>
      <c r="W1456" s="353"/>
      <c r="X1456" s="353"/>
      <c r="Y1456" s="353"/>
      <c r="Z1456" s="731"/>
      <c r="AA1456" s="353"/>
      <c r="AB1456" s="731"/>
      <c r="AC1456" s="731"/>
    </row>
    <row r="1457" ht="13.8" spans="1:29">
      <c r="A1457" s="353"/>
      <c r="B1457" s="613"/>
      <c r="C1457" s="353"/>
      <c r="D1457" s="353"/>
      <c r="E1457" s="353"/>
      <c r="F1457" s="353"/>
      <c r="G1457" s="353"/>
      <c r="H1457" s="353"/>
      <c r="I1457" s="731"/>
      <c r="J1457" s="613"/>
      <c r="K1457" s="613"/>
      <c r="L1457" s="353"/>
      <c r="M1457" s="353"/>
      <c r="N1457" s="353"/>
      <c r="O1457" s="764"/>
      <c r="P1457" s="353"/>
      <c r="Q1457" s="353"/>
      <c r="R1457" s="353"/>
      <c r="S1457" s="353"/>
      <c r="T1457" s="353"/>
      <c r="U1457" s="353"/>
      <c r="V1457" s="731"/>
      <c r="W1457" s="353"/>
      <c r="X1457" s="353"/>
      <c r="Y1457" s="353"/>
      <c r="Z1457" s="731"/>
      <c r="AA1457" s="353"/>
      <c r="AB1457" s="731"/>
      <c r="AC1457" s="731"/>
    </row>
    <row r="1458" ht="13.8" spans="1:29">
      <c r="A1458" s="353"/>
      <c r="B1458" s="613"/>
      <c r="C1458" s="353"/>
      <c r="D1458" s="353"/>
      <c r="E1458" s="353"/>
      <c r="F1458" s="353"/>
      <c r="G1458" s="353"/>
      <c r="H1458" s="353"/>
      <c r="I1458" s="731"/>
      <c r="J1458" s="613"/>
      <c r="K1458" s="613"/>
      <c r="L1458" s="353"/>
      <c r="M1458" s="353"/>
      <c r="N1458" s="353"/>
      <c r="O1458" s="764"/>
      <c r="P1458" s="353"/>
      <c r="Q1458" s="353"/>
      <c r="R1458" s="353"/>
      <c r="S1458" s="353"/>
      <c r="T1458" s="353"/>
      <c r="U1458" s="353"/>
      <c r="V1458" s="731"/>
      <c r="W1458" s="353"/>
      <c r="X1458" s="353"/>
      <c r="Y1458" s="353"/>
      <c r="Z1458" s="731"/>
      <c r="AA1458" s="353"/>
      <c r="AB1458" s="731"/>
      <c r="AC1458" s="731"/>
    </row>
    <row r="1459" ht="13.8" spans="1:29">
      <c r="A1459" s="353"/>
      <c r="B1459" s="613"/>
      <c r="C1459" s="353"/>
      <c r="D1459" s="353"/>
      <c r="E1459" s="353"/>
      <c r="F1459" s="353"/>
      <c r="G1459" s="353"/>
      <c r="H1459" s="353"/>
      <c r="I1459" s="731"/>
      <c r="J1459" s="613"/>
      <c r="K1459" s="613"/>
      <c r="L1459" s="353"/>
      <c r="M1459" s="353"/>
      <c r="N1459" s="353"/>
      <c r="O1459" s="764"/>
      <c r="P1459" s="353"/>
      <c r="Q1459" s="353"/>
      <c r="R1459" s="353"/>
      <c r="S1459" s="353"/>
      <c r="T1459" s="353"/>
      <c r="U1459" s="353"/>
      <c r="V1459" s="731"/>
      <c r="W1459" s="353"/>
      <c r="X1459" s="353"/>
      <c r="Y1459" s="353"/>
      <c r="Z1459" s="731"/>
      <c r="AA1459" s="353"/>
      <c r="AB1459" s="731"/>
      <c r="AC1459" s="731"/>
    </row>
    <row r="1460" ht="13.8" spans="1:29">
      <c r="A1460" s="353"/>
      <c r="B1460" s="613"/>
      <c r="C1460" s="353"/>
      <c r="D1460" s="353"/>
      <c r="E1460" s="353"/>
      <c r="F1460" s="353"/>
      <c r="G1460" s="353"/>
      <c r="H1460" s="353"/>
      <c r="I1460" s="731"/>
      <c r="J1460" s="613"/>
      <c r="K1460" s="613"/>
      <c r="L1460" s="353"/>
      <c r="M1460" s="353"/>
      <c r="N1460" s="353"/>
      <c r="O1460" s="764"/>
      <c r="P1460" s="353"/>
      <c r="Q1460" s="353"/>
      <c r="R1460" s="353"/>
      <c r="S1460" s="353"/>
      <c r="T1460" s="353"/>
      <c r="U1460" s="353"/>
      <c r="V1460" s="731"/>
      <c r="W1460" s="353"/>
      <c r="X1460" s="353"/>
      <c r="Y1460" s="353"/>
      <c r="Z1460" s="731"/>
      <c r="AA1460" s="353"/>
      <c r="AB1460" s="731"/>
      <c r="AC1460" s="731"/>
    </row>
    <row r="1461" ht="13.8" spans="1:29">
      <c r="A1461" s="353"/>
      <c r="B1461" s="613"/>
      <c r="C1461" s="353"/>
      <c r="D1461" s="353"/>
      <c r="E1461" s="353"/>
      <c r="F1461" s="353"/>
      <c r="G1461" s="353"/>
      <c r="H1461" s="353"/>
      <c r="I1461" s="731"/>
      <c r="J1461" s="613"/>
      <c r="K1461" s="613"/>
      <c r="L1461" s="353"/>
      <c r="M1461" s="353"/>
      <c r="N1461" s="353"/>
      <c r="O1461" s="764"/>
      <c r="P1461" s="353"/>
      <c r="Q1461" s="353"/>
      <c r="R1461" s="353"/>
      <c r="S1461" s="353"/>
      <c r="T1461" s="353"/>
      <c r="U1461" s="353"/>
      <c r="V1461" s="731"/>
      <c r="W1461" s="353"/>
      <c r="X1461" s="353"/>
      <c r="Y1461" s="353"/>
      <c r="Z1461" s="731"/>
      <c r="AA1461" s="353"/>
      <c r="AB1461" s="731"/>
      <c r="AC1461" s="731"/>
    </row>
    <row r="1462" ht="13.8" spans="1:29">
      <c r="A1462" s="353"/>
      <c r="B1462" s="613"/>
      <c r="C1462" s="353"/>
      <c r="D1462" s="353"/>
      <c r="E1462" s="353"/>
      <c r="F1462" s="353"/>
      <c r="G1462" s="353"/>
      <c r="H1462" s="353"/>
      <c r="I1462" s="731"/>
      <c r="J1462" s="613"/>
      <c r="K1462" s="613"/>
      <c r="L1462" s="353"/>
      <c r="M1462" s="353"/>
      <c r="N1462" s="353"/>
      <c r="O1462" s="764"/>
      <c r="P1462" s="353"/>
      <c r="Q1462" s="353"/>
      <c r="R1462" s="353"/>
      <c r="S1462" s="353"/>
      <c r="T1462" s="353"/>
      <c r="U1462" s="353"/>
      <c r="V1462" s="731"/>
      <c r="W1462" s="353"/>
      <c r="X1462" s="353"/>
      <c r="Y1462" s="353"/>
      <c r="Z1462" s="731"/>
      <c r="AA1462" s="353"/>
      <c r="AB1462" s="731"/>
      <c r="AC1462" s="731"/>
    </row>
    <row r="1463" ht="13.8" spans="1:29">
      <c r="A1463" s="353"/>
      <c r="B1463" s="613"/>
      <c r="C1463" s="353"/>
      <c r="D1463" s="353"/>
      <c r="E1463" s="353"/>
      <c r="F1463" s="353"/>
      <c r="G1463" s="353"/>
      <c r="H1463" s="353"/>
      <c r="I1463" s="731"/>
      <c r="J1463" s="613"/>
      <c r="K1463" s="613"/>
      <c r="L1463" s="353"/>
      <c r="M1463" s="353"/>
      <c r="N1463" s="353"/>
      <c r="O1463" s="764"/>
      <c r="P1463" s="353"/>
      <c r="Q1463" s="353"/>
      <c r="R1463" s="353"/>
      <c r="S1463" s="353"/>
      <c r="T1463" s="353"/>
      <c r="U1463" s="353"/>
      <c r="V1463" s="731"/>
      <c r="W1463" s="353"/>
      <c r="X1463" s="353"/>
      <c r="Y1463" s="353"/>
      <c r="Z1463" s="731"/>
      <c r="AA1463" s="353"/>
      <c r="AB1463" s="731"/>
      <c r="AC1463" s="731"/>
    </row>
    <row r="1464" ht="13.8" spans="1:29">
      <c r="A1464" s="353"/>
      <c r="B1464" s="613"/>
      <c r="C1464" s="353"/>
      <c r="D1464" s="353"/>
      <c r="E1464" s="353"/>
      <c r="F1464" s="353"/>
      <c r="G1464" s="353"/>
      <c r="H1464" s="353"/>
      <c r="I1464" s="731"/>
      <c r="J1464" s="613"/>
      <c r="K1464" s="613"/>
      <c r="L1464" s="353"/>
      <c r="M1464" s="353"/>
      <c r="N1464" s="353"/>
      <c r="O1464" s="764"/>
      <c r="P1464" s="353"/>
      <c r="Q1464" s="353"/>
      <c r="R1464" s="353"/>
      <c r="S1464" s="353"/>
      <c r="T1464" s="353"/>
      <c r="U1464" s="353"/>
      <c r="V1464" s="731"/>
      <c r="W1464" s="353"/>
      <c r="X1464" s="353"/>
      <c r="Y1464" s="353"/>
      <c r="Z1464" s="731"/>
      <c r="AA1464" s="353"/>
      <c r="AB1464" s="731"/>
      <c r="AC1464" s="731"/>
    </row>
    <row r="1465" ht="13.8" spans="1:29">
      <c r="A1465" s="353"/>
      <c r="B1465" s="613"/>
      <c r="C1465" s="353"/>
      <c r="D1465" s="353"/>
      <c r="E1465" s="353"/>
      <c r="F1465" s="353"/>
      <c r="G1465" s="353"/>
      <c r="H1465" s="353"/>
      <c r="I1465" s="731"/>
      <c r="J1465" s="613"/>
      <c r="K1465" s="613"/>
      <c r="L1465" s="353"/>
      <c r="M1465" s="353"/>
      <c r="N1465" s="353"/>
      <c r="O1465" s="764"/>
      <c r="P1465" s="353"/>
      <c r="Q1465" s="353"/>
      <c r="R1465" s="353"/>
      <c r="S1465" s="353"/>
      <c r="T1465" s="353"/>
      <c r="U1465" s="353"/>
      <c r="V1465" s="731"/>
      <c r="W1465" s="353"/>
      <c r="X1465" s="353"/>
      <c r="Y1465" s="353"/>
      <c r="Z1465" s="731"/>
      <c r="AA1465" s="353"/>
      <c r="AB1465" s="731"/>
      <c r="AC1465" s="731"/>
    </row>
    <row r="1466" ht="13.8" spans="1:29">
      <c r="A1466" s="353"/>
      <c r="B1466" s="613"/>
      <c r="C1466" s="353"/>
      <c r="D1466" s="353"/>
      <c r="E1466" s="353"/>
      <c r="F1466" s="353"/>
      <c r="G1466" s="353"/>
      <c r="H1466" s="353"/>
      <c r="I1466" s="731"/>
      <c r="J1466" s="613"/>
      <c r="K1466" s="613"/>
      <c r="L1466" s="353"/>
      <c r="M1466" s="353"/>
      <c r="N1466" s="353"/>
      <c r="O1466" s="764"/>
      <c r="P1466" s="353"/>
      <c r="Q1466" s="353"/>
      <c r="R1466" s="353"/>
      <c r="S1466" s="353"/>
      <c r="T1466" s="353"/>
      <c r="U1466" s="353"/>
      <c r="V1466" s="731"/>
      <c r="W1466" s="353"/>
      <c r="X1466" s="353"/>
      <c r="Y1466" s="353"/>
      <c r="Z1466" s="731"/>
      <c r="AA1466" s="353"/>
      <c r="AB1466" s="731"/>
      <c r="AC1466" s="731"/>
    </row>
    <row r="1467" ht="13.8" spans="1:29">
      <c r="A1467" s="353"/>
      <c r="B1467" s="613"/>
      <c r="C1467" s="353"/>
      <c r="D1467" s="353"/>
      <c r="E1467" s="353"/>
      <c r="F1467" s="353"/>
      <c r="G1467" s="353"/>
      <c r="H1467" s="353"/>
      <c r="I1467" s="731"/>
      <c r="J1467" s="613"/>
      <c r="K1467" s="613"/>
      <c r="L1467" s="353"/>
      <c r="M1467" s="353"/>
      <c r="N1467" s="353"/>
      <c r="O1467" s="764"/>
      <c r="P1467" s="353"/>
      <c r="Q1467" s="353"/>
      <c r="R1467" s="353"/>
      <c r="S1467" s="353"/>
      <c r="T1467" s="353"/>
      <c r="U1467" s="353"/>
      <c r="V1467" s="731"/>
      <c r="W1467" s="353"/>
      <c r="X1467" s="353"/>
      <c r="Y1467" s="353"/>
      <c r="Z1467" s="731"/>
      <c r="AA1467" s="353"/>
      <c r="AB1467" s="731"/>
      <c r="AC1467" s="731"/>
    </row>
    <row r="1468" ht="13.8" spans="1:29">
      <c r="A1468" s="353"/>
      <c r="B1468" s="613"/>
      <c r="C1468" s="353"/>
      <c r="D1468" s="353"/>
      <c r="E1468" s="353"/>
      <c r="F1468" s="353"/>
      <c r="G1468" s="353"/>
      <c r="H1468" s="353"/>
      <c r="I1468" s="731"/>
      <c r="J1468" s="613"/>
      <c r="K1468" s="613"/>
      <c r="L1468" s="353"/>
      <c r="M1468" s="353"/>
      <c r="N1468" s="353"/>
      <c r="O1468" s="764"/>
      <c r="P1468" s="353"/>
      <c r="Q1468" s="353"/>
      <c r="R1468" s="353"/>
      <c r="S1468" s="353"/>
      <c r="T1468" s="353"/>
      <c r="U1468" s="353"/>
      <c r="V1468" s="731"/>
      <c r="W1468" s="353"/>
      <c r="X1468" s="353"/>
      <c r="Y1468" s="353"/>
      <c r="Z1468" s="731"/>
      <c r="AA1468" s="353"/>
      <c r="AB1468" s="731"/>
      <c r="AC1468" s="731"/>
    </row>
    <row r="1469" ht="13.8" spans="1:29">
      <c r="A1469" s="353"/>
      <c r="B1469" s="613"/>
      <c r="C1469" s="353"/>
      <c r="D1469" s="353"/>
      <c r="E1469" s="353"/>
      <c r="F1469" s="353"/>
      <c r="G1469" s="353"/>
      <c r="H1469" s="353"/>
      <c r="I1469" s="731"/>
      <c r="J1469" s="613"/>
      <c r="K1469" s="613"/>
      <c r="L1469" s="353"/>
      <c r="M1469" s="353"/>
      <c r="N1469" s="353"/>
      <c r="O1469" s="764"/>
      <c r="P1469" s="353"/>
      <c r="Q1469" s="353"/>
      <c r="R1469" s="353"/>
      <c r="S1469" s="353"/>
      <c r="T1469" s="353"/>
      <c r="U1469" s="353"/>
      <c r="V1469" s="731"/>
      <c r="W1469" s="353"/>
      <c r="X1469" s="353"/>
      <c r="Y1469" s="353"/>
      <c r="Z1469" s="731"/>
      <c r="AA1469" s="353"/>
      <c r="AB1469" s="731"/>
      <c r="AC1469" s="731"/>
    </row>
    <row r="1470" ht="13.8" spans="1:29">
      <c r="A1470" s="353"/>
      <c r="B1470" s="613"/>
      <c r="C1470" s="353"/>
      <c r="D1470" s="353"/>
      <c r="E1470" s="353"/>
      <c r="F1470" s="353"/>
      <c r="G1470" s="353"/>
      <c r="H1470" s="353"/>
      <c r="I1470" s="731"/>
      <c r="J1470" s="613"/>
      <c r="K1470" s="613"/>
      <c r="L1470" s="353"/>
      <c r="M1470" s="353"/>
      <c r="N1470" s="353"/>
      <c r="O1470" s="764"/>
      <c r="P1470" s="353"/>
      <c r="Q1470" s="353"/>
      <c r="R1470" s="353"/>
      <c r="S1470" s="353"/>
      <c r="T1470" s="353"/>
      <c r="U1470" s="353"/>
      <c r="V1470" s="731"/>
      <c r="W1470" s="353"/>
      <c r="X1470" s="353"/>
      <c r="Y1470" s="353"/>
      <c r="Z1470" s="731"/>
      <c r="AA1470" s="353"/>
      <c r="AB1470" s="731"/>
      <c r="AC1470" s="731"/>
    </row>
    <row r="1471" ht="13.8" spans="1:29">
      <c r="A1471" s="353"/>
      <c r="B1471" s="613"/>
      <c r="C1471" s="353"/>
      <c r="D1471" s="353"/>
      <c r="E1471" s="353"/>
      <c r="F1471" s="353"/>
      <c r="G1471" s="353"/>
      <c r="H1471" s="353"/>
      <c r="I1471" s="731"/>
      <c r="J1471" s="613"/>
      <c r="K1471" s="613"/>
      <c r="L1471" s="353"/>
      <c r="M1471" s="353"/>
      <c r="N1471" s="353"/>
      <c r="O1471" s="764"/>
      <c r="P1471" s="353"/>
      <c r="Q1471" s="353"/>
      <c r="R1471" s="353"/>
      <c r="S1471" s="353"/>
      <c r="T1471" s="353"/>
      <c r="U1471" s="353"/>
      <c r="V1471" s="731"/>
      <c r="W1471" s="353"/>
      <c r="X1471" s="353"/>
      <c r="Y1471" s="353"/>
      <c r="Z1471" s="731"/>
      <c r="AA1471" s="353"/>
      <c r="AB1471" s="731"/>
      <c r="AC1471" s="731"/>
    </row>
    <row r="1472" ht="13.8" spans="1:29">
      <c r="A1472" s="353"/>
      <c r="B1472" s="613"/>
      <c r="C1472" s="353"/>
      <c r="D1472" s="353"/>
      <c r="E1472" s="353"/>
      <c r="F1472" s="353"/>
      <c r="G1472" s="353"/>
      <c r="H1472" s="353"/>
      <c r="I1472" s="731"/>
      <c r="J1472" s="613"/>
      <c r="K1472" s="613"/>
      <c r="L1472" s="353"/>
      <c r="M1472" s="353"/>
      <c r="N1472" s="353"/>
      <c r="O1472" s="764"/>
      <c r="P1472" s="353"/>
      <c r="Q1472" s="353"/>
      <c r="R1472" s="353"/>
      <c r="S1472" s="353"/>
      <c r="T1472" s="353"/>
      <c r="U1472" s="353"/>
      <c r="V1472" s="731"/>
      <c r="W1472" s="353"/>
      <c r="X1472" s="353"/>
      <c r="Y1472" s="353"/>
      <c r="Z1472" s="731"/>
      <c r="AA1472" s="353"/>
      <c r="AB1472" s="731"/>
      <c r="AC1472" s="731"/>
    </row>
    <row r="1473" ht="13.8" spans="1:29">
      <c r="A1473" s="353"/>
      <c r="B1473" s="613"/>
      <c r="C1473" s="353"/>
      <c r="D1473" s="353"/>
      <c r="E1473" s="353"/>
      <c r="F1473" s="353"/>
      <c r="G1473" s="353"/>
      <c r="H1473" s="353"/>
      <c r="I1473" s="731"/>
      <c r="J1473" s="613"/>
      <c r="K1473" s="613"/>
      <c r="L1473" s="353"/>
      <c r="M1473" s="353"/>
      <c r="N1473" s="353"/>
      <c r="O1473" s="764"/>
      <c r="P1473" s="353"/>
      <c r="Q1473" s="353"/>
      <c r="R1473" s="353"/>
      <c r="S1473" s="353"/>
      <c r="T1473" s="353"/>
      <c r="U1473" s="353"/>
      <c r="V1473" s="731"/>
      <c r="W1473" s="353"/>
      <c r="X1473" s="353"/>
      <c r="Y1473" s="353"/>
      <c r="Z1473" s="731"/>
      <c r="AA1473" s="353"/>
      <c r="AB1473" s="731"/>
      <c r="AC1473" s="731"/>
    </row>
    <row r="1474" ht="13.8" spans="1:29">
      <c r="A1474" s="353"/>
      <c r="B1474" s="613"/>
      <c r="C1474" s="353"/>
      <c r="D1474" s="353"/>
      <c r="E1474" s="353"/>
      <c r="F1474" s="353"/>
      <c r="G1474" s="353"/>
      <c r="H1474" s="353"/>
      <c r="I1474" s="731"/>
      <c r="J1474" s="613"/>
      <c r="K1474" s="613"/>
      <c r="L1474" s="353"/>
      <c r="M1474" s="353"/>
      <c r="N1474" s="353"/>
      <c r="O1474" s="764"/>
      <c r="P1474" s="353"/>
      <c r="Q1474" s="353"/>
      <c r="R1474" s="353"/>
      <c r="S1474" s="353"/>
      <c r="T1474" s="353"/>
      <c r="U1474" s="353"/>
      <c r="V1474" s="731"/>
      <c r="W1474" s="353"/>
      <c r="X1474" s="353"/>
      <c r="Y1474" s="353"/>
      <c r="Z1474" s="731"/>
      <c r="AA1474" s="353"/>
      <c r="AB1474" s="731"/>
      <c r="AC1474" s="731"/>
    </row>
    <row r="1475" ht="13.8" spans="1:29">
      <c r="A1475" s="353"/>
      <c r="B1475" s="613"/>
      <c r="C1475" s="353"/>
      <c r="D1475" s="353"/>
      <c r="E1475" s="353"/>
      <c r="F1475" s="353"/>
      <c r="G1475" s="353"/>
      <c r="H1475" s="353"/>
      <c r="I1475" s="731"/>
      <c r="J1475" s="613"/>
      <c r="K1475" s="613"/>
      <c r="L1475" s="353"/>
      <c r="M1475" s="353"/>
      <c r="N1475" s="353"/>
      <c r="O1475" s="764"/>
      <c r="P1475" s="353"/>
      <c r="Q1475" s="353"/>
      <c r="R1475" s="353"/>
      <c r="S1475" s="353"/>
      <c r="T1475" s="353"/>
      <c r="U1475" s="353"/>
      <c r="V1475" s="731"/>
      <c r="W1475" s="353"/>
      <c r="X1475" s="353"/>
      <c r="Y1475" s="353"/>
      <c r="Z1475" s="731"/>
      <c r="AA1475" s="353"/>
      <c r="AB1475" s="731"/>
      <c r="AC1475" s="731"/>
    </row>
    <row r="1476" ht="13.8" spans="1:29">
      <c r="A1476" s="353"/>
      <c r="B1476" s="613"/>
      <c r="C1476" s="353"/>
      <c r="D1476" s="353"/>
      <c r="E1476" s="353"/>
      <c r="F1476" s="353"/>
      <c r="G1476" s="353"/>
      <c r="H1476" s="353"/>
      <c r="I1476" s="731"/>
      <c r="J1476" s="613"/>
      <c r="K1476" s="613"/>
      <c r="L1476" s="353"/>
      <c r="M1476" s="353"/>
      <c r="N1476" s="353"/>
      <c r="O1476" s="764"/>
      <c r="P1476" s="353"/>
      <c r="Q1476" s="353"/>
      <c r="R1476" s="353"/>
      <c r="S1476" s="353"/>
      <c r="T1476" s="353"/>
      <c r="U1476" s="353"/>
      <c r="V1476" s="731"/>
      <c r="W1476" s="353"/>
      <c r="X1476" s="353"/>
      <c r="Y1476" s="353"/>
      <c r="Z1476" s="731"/>
      <c r="AA1476" s="353"/>
      <c r="AB1476" s="731"/>
      <c r="AC1476" s="731"/>
    </row>
    <row r="1477" ht="13.8" spans="1:29">
      <c r="A1477" s="353"/>
      <c r="B1477" s="613"/>
      <c r="C1477" s="353"/>
      <c r="D1477" s="353"/>
      <c r="E1477" s="353"/>
      <c r="F1477" s="353"/>
      <c r="G1477" s="353"/>
      <c r="H1477" s="353"/>
      <c r="I1477" s="731"/>
      <c r="J1477" s="613"/>
      <c r="K1477" s="613"/>
      <c r="L1477" s="353"/>
      <c r="M1477" s="353"/>
      <c r="N1477" s="353"/>
      <c r="O1477" s="764"/>
      <c r="P1477" s="353"/>
      <c r="Q1477" s="353"/>
      <c r="R1477" s="353"/>
      <c r="S1477" s="353"/>
      <c r="T1477" s="353"/>
      <c r="U1477" s="353"/>
      <c r="V1477" s="731"/>
      <c r="W1477" s="353"/>
      <c r="X1477" s="353"/>
      <c r="Y1477" s="353"/>
      <c r="Z1477" s="731"/>
      <c r="AA1477" s="353"/>
      <c r="AB1477" s="731"/>
      <c r="AC1477" s="731"/>
    </row>
    <row r="1478" ht="13.8" spans="1:29">
      <c r="A1478" s="353"/>
      <c r="B1478" s="613"/>
      <c r="C1478" s="353"/>
      <c r="D1478" s="353"/>
      <c r="E1478" s="353"/>
      <c r="F1478" s="353"/>
      <c r="G1478" s="353"/>
      <c r="H1478" s="353"/>
      <c r="I1478" s="731"/>
      <c r="J1478" s="613"/>
      <c r="K1478" s="613"/>
      <c r="L1478" s="353"/>
      <c r="M1478" s="353"/>
      <c r="N1478" s="353"/>
      <c r="O1478" s="764"/>
      <c r="P1478" s="353"/>
      <c r="Q1478" s="353"/>
      <c r="R1478" s="353"/>
      <c r="S1478" s="353"/>
      <c r="T1478" s="353"/>
      <c r="U1478" s="353"/>
      <c r="V1478" s="731"/>
      <c r="W1478" s="353"/>
      <c r="X1478" s="353"/>
      <c r="Y1478" s="353"/>
      <c r="Z1478" s="731"/>
      <c r="AA1478" s="353"/>
      <c r="AB1478" s="731"/>
      <c r="AC1478" s="731"/>
    </row>
    <row r="1479" ht="13.8" spans="1:29">
      <c r="A1479" s="353"/>
      <c r="B1479" s="613"/>
      <c r="C1479" s="353"/>
      <c r="D1479" s="353"/>
      <c r="E1479" s="353"/>
      <c r="F1479" s="353"/>
      <c r="G1479" s="353"/>
      <c r="H1479" s="353"/>
      <c r="I1479" s="731"/>
      <c r="J1479" s="613"/>
      <c r="K1479" s="613"/>
      <c r="L1479" s="353"/>
      <c r="M1479" s="353"/>
      <c r="N1479" s="353"/>
      <c r="O1479" s="764"/>
      <c r="P1479" s="353"/>
      <c r="Q1479" s="353"/>
      <c r="R1479" s="353"/>
      <c r="S1479" s="353"/>
      <c r="T1479" s="353"/>
      <c r="U1479" s="353"/>
      <c r="V1479" s="731"/>
      <c r="W1479" s="353"/>
      <c r="X1479" s="353"/>
      <c r="Y1479" s="353"/>
      <c r="Z1479" s="731"/>
      <c r="AA1479" s="353"/>
      <c r="AB1479" s="731"/>
      <c r="AC1479" s="731"/>
    </row>
    <row r="1480" ht="13.8" spans="1:29">
      <c r="A1480" s="353"/>
      <c r="B1480" s="613"/>
      <c r="C1480" s="353"/>
      <c r="D1480" s="353"/>
      <c r="E1480" s="353"/>
      <c r="F1480" s="353"/>
      <c r="G1480" s="353"/>
      <c r="H1480" s="353"/>
      <c r="I1480" s="731"/>
      <c r="J1480" s="613"/>
      <c r="K1480" s="613"/>
      <c r="L1480" s="353"/>
      <c r="M1480" s="353"/>
      <c r="N1480" s="353"/>
      <c r="O1480" s="764"/>
      <c r="P1480" s="353"/>
      <c r="Q1480" s="353"/>
      <c r="R1480" s="353"/>
      <c r="S1480" s="353"/>
      <c r="T1480" s="353"/>
      <c r="U1480" s="353"/>
      <c r="V1480" s="731"/>
      <c r="W1480" s="353"/>
      <c r="X1480" s="353"/>
      <c r="Y1480" s="353"/>
      <c r="Z1480" s="731"/>
      <c r="AA1480" s="353"/>
      <c r="AB1480" s="731"/>
      <c r="AC1480" s="731"/>
    </row>
    <row r="1481" ht="13.8" spans="1:29">
      <c r="A1481" s="353"/>
      <c r="B1481" s="613"/>
      <c r="C1481" s="353"/>
      <c r="D1481" s="353"/>
      <c r="E1481" s="353"/>
      <c r="F1481" s="353"/>
      <c r="G1481" s="353"/>
      <c r="H1481" s="353"/>
      <c r="I1481" s="731"/>
      <c r="J1481" s="613"/>
      <c r="K1481" s="613"/>
      <c r="L1481" s="353"/>
      <c r="M1481" s="353"/>
      <c r="N1481" s="353"/>
      <c r="O1481" s="764"/>
      <c r="P1481" s="353"/>
      <c r="Q1481" s="353"/>
      <c r="R1481" s="353"/>
      <c r="S1481" s="353"/>
      <c r="T1481" s="353"/>
      <c r="U1481" s="353"/>
      <c r="V1481" s="731"/>
      <c r="W1481" s="353"/>
      <c r="X1481" s="353"/>
      <c r="Y1481" s="353"/>
      <c r="Z1481" s="731"/>
      <c r="AA1481" s="353"/>
      <c r="AB1481" s="731"/>
      <c r="AC1481" s="731"/>
    </row>
    <row r="1482" ht="13.8" spans="1:29">
      <c r="A1482" s="353"/>
      <c r="B1482" s="613"/>
      <c r="C1482" s="353"/>
      <c r="D1482" s="353"/>
      <c r="E1482" s="353"/>
      <c r="F1482" s="353"/>
      <c r="G1482" s="353"/>
      <c r="H1482" s="353"/>
      <c r="I1482" s="731"/>
      <c r="J1482" s="613"/>
      <c r="K1482" s="613"/>
      <c r="L1482" s="353"/>
      <c r="M1482" s="353"/>
      <c r="N1482" s="353"/>
      <c r="O1482" s="764"/>
      <c r="P1482" s="353"/>
      <c r="Q1482" s="353"/>
      <c r="R1482" s="353"/>
      <c r="S1482" s="353"/>
      <c r="T1482" s="353"/>
      <c r="U1482" s="353"/>
      <c r="V1482" s="731"/>
      <c r="W1482" s="353"/>
      <c r="X1482" s="353"/>
      <c r="Y1482" s="353"/>
      <c r="Z1482" s="731"/>
      <c r="AA1482" s="353"/>
      <c r="AB1482" s="731"/>
      <c r="AC1482" s="731"/>
    </row>
    <row r="1483" ht="13.8" spans="1:29">
      <c r="A1483" s="353"/>
      <c r="B1483" s="613"/>
      <c r="C1483" s="353"/>
      <c r="D1483" s="353"/>
      <c r="E1483" s="353"/>
      <c r="F1483" s="353"/>
      <c r="G1483" s="353"/>
      <c r="H1483" s="353"/>
      <c r="I1483" s="731"/>
      <c r="J1483" s="613"/>
      <c r="K1483" s="613"/>
      <c r="L1483" s="353"/>
      <c r="M1483" s="353"/>
      <c r="N1483" s="353"/>
      <c r="O1483" s="764"/>
      <c r="P1483" s="353"/>
      <c r="Q1483" s="353"/>
      <c r="R1483" s="353"/>
      <c r="S1483" s="353"/>
      <c r="T1483" s="353"/>
      <c r="U1483" s="353"/>
      <c r="V1483" s="731"/>
      <c r="W1483" s="353"/>
      <c r="X1483" s="353"/>
      <c r="Y1483" s="353"/>
      <c r="Z1483" s="731"/>
      <c r="AA1483" s="353"/>
      <c r="AB1483" s="731"/>
      <c r="AC1483" s="731"/>
    </row>
    <row r="1484" ht="13.8" spans="1:29">
      <c r="A1484" s="353"/>
      <c r="B1484" s="613"/>
      <c r="C1484" s="353"/>
      <c r="D1484" s="353"/>
      <c r="E1484" s="353"/>
      <c r="F1484" s="353"/>
      <c r="G1484" s="353"/>
      <c r="H1484" s="353"/>
      <c r="I1484" s="731"/>
      <c r="J1484" s="613"/>
      <c r="K1484" s="613"/>
      <c r="L1484" s="353"/>
      <c r="M1484" s="353"/>
      <c r="N1484" s="353"/>
      <c r="O1484" s="764"/>
      <c r="P1484" s="353"/>
      <c r="Q1484" s="353"/>
      <c r="R1484" s="353"/>
      <c r="S1484" s="353"/>
      <c r="T1484" s="353"/>
      <c r="U1484" s="353"/>
      <c r="V1484" s="731"/>
      <c r="W1484" s="353"/>
      <c r="X1484" s="353"/>
      <c r="Y1484" s="353"/>
      <c r="Z1484" s="731"/>
      <c r="AA1484" s="353"/>
      <c r="AB1484" s="731"/>
      <c r="AC1484" s="731"/>
    </row>
    <row r="1485" ht="13.8" spans="1:29">
      <c r="A1485" s="353"/>
      <c r="B1485" s="613"/>
      <c r="C1485" s="353"/>
      <c r="D1485" s="353"/>
      <c r="E1485" s="353"/>
      <c r="F1485" s="353"/>
      <c r="G1485" s="353"/>
      <c r="H1485" s="353"/>
      <c r="I1485" s="731"/>
      <c r="J1485" s="613"/>
      <c r="K1485" s="613"/>
      <c r="L1485" s="353"/>
      <c r="M1485" s="353"/>
      <c r="N1485" s="353"/>
      <c r="O1485" s="764"/>
      <c r="P1485" s="353"/>
      <c r="Q1485" s="353"/>
      <c r="R1485" s="353"/>
      <c r="S1485" s="353"/>
      <c r="T1485" s="353"/>
      <c r="U1485" s="353"/>
      <c r="V1485" s="731"/>
      <c r="W1485" s="353"/>
      <c r="X1485" s="353"/>
      <c r="Y1485" s="353"/>
      <c r="Z1485" s="731"/>
      <c r="AA1485" s="353"/>
      <c r="AB1485" s="731"/>
      <c r="AC1485" s="731"/>
    </row>
    <row r="1486" ht="13.8" spans="1:29">
      <c r="A1486" s="353"/>
      <c r="B1486" s="613"/>
      <c r="C1486" s="353"/>
      <c r="D1486" s="353"/>
      <c r="E1486" s="353"/>
      <c r="F1486" s="353"/>
      <c r="G1486" s="353"/>
      <c r="H1486" s="353"/>
      <c r="I1486" s="731"/>
      <c r="J1486" s="613"/>
      <c r="K1486" s="613"/>
      <c r="L1486" s="353"/>
      <c r="M1486" s="353"/>
      <c r="N1486" s="353"/>
      <c r="O1486" s="764"/>
      <c r="P1486" s="353"/>
      <c r="Q1486" s="353"/>
      <c r="R1486" s="353"/>
      <c r="S1486" s="353"/>
      <c r="T1486" s="353"/>
      <c r="U1486" s="353"/>
      <c r="V1486" s="731"/>
      <c r="W1486" s="353"/>
      <c r="X1486" s="353"/>
      <c r="Y1486" s="353"/>
      <c r="Z1486" s="731"/>
      <c r="AA1486" s="353"/>
      <c r="AB1486" s="731"/>
      <c r="AC1486" s="731"/>
    </row>
    <row r="1487" ht="13.8" spans="1:29">
      <c r="A1487" s="353"/>
      <c r="B1487" s="613"/>
      <c r="C1487" s="353"/>
      <c r="D1487" s="353"/>
      <c r="E1487" s="353"/>
      <c r="F1487" s="353"/>
      <c r="G1487" s="353"/>
      <c r="H1487" s="353"/>
      <c r="I1487" s="731"/>
      <c r="J1487" s="613"/>
      <c r="K1487" s="613"/>
      <c r="L1487" s="353"/>
      <c r="M1487" s="353"/>
      <c r="N1487" s="353"/>
      <c r="O1487" s="764"/>
      <c r="P1487" s="353"/>
      <c r="Q1487" s="353"/>
      <c r="R1487" s="353"/>
      <c r="S1487" s="353"/>
      <c r="T1487" s="353"/>
      <c r="U1487" s="353"/>
      <c r="V1487" s="731"/>
      <c r="W1487" s="353"/>
      <c r="X1487" s="353"/>
      <c r="Y1487" s="353"/>
      <c r="Z1487" s="731"/>
      <c r="AA1487" s="353"/>
      <c r="AB1487" s="731"/>
      <c r="AC1487" s="731"/>
    </row>
    <row r="1488" ht="13.8" spans="1:29">
      <c r="A1488" s="353"/>
      <c r="B1488" s="613"/>
      <c r="C1488" s="353"/>
      <c r="D1488" s="353"/>
      <c r="E1488" s="353"/>
      <c r="F1488" s="353"/>
      <c r="G1488" s="353"/>
      <c r="H1488" s="353"/>
      <c r="I1488" s="731"/>
      <c r="J1488" s="613"/>
      <c r="K1488" s="613"/>
      <c r="L1488" s="353"/>
      <c r="M1488" s="353"/>
      <c r="N1488" s="353"/>
      <c r="O1488" s="764"/>
      <c r="P1488" s="353"/>
      <c r="Q1488" s="353"/>
      <c r="R1488" s="353"/>
      <c r="S1488" s="353"/>
      <c r="T1488" s="353"/>
      <c r="U1488" s="353"/>
      <c r="V1488" s="731"/>
      <c r="W1488" s="353"/>
      <c r="X1488" s="353"/>
      <c r="Y1488" s="353"/>
      <c r="Z1488" s="731"/>
      <c r="AA1488" s="353"/>
      <c r="AB1488" s="731"/>
      <c r="AC1488" s="731"/>
    </row>
    <row r="1489" ht="13.8" spans="1:29">
      <c r="A1489" s="353"/>
      <c r="B1489" s="613"/>
      <c r="C1489" s="353"/>
      <c r="D1489" s="353"/>
      <c r="E1489" s="353"/>
      <c r="F1489" s="353"/>
      <c r="G1489" s="353"/>
      <c r="H1489" s="353"/>
      <c r="I1489" s="731"/>
      <c r="J1489" s="613"/>
      <c r="K1489" s="613"/>
      <c r="L1489" s="353"/>
      <c r="M1489" s="353"/>
      <c r="N1489" s="353"/>
      <c r="O1489" s="764"/>
      <c r="P1489" s="353"/>
      <c r="Q1489" s="353"/>
      <c r="R1489" s="353"/>
      <c r="S1489" s="353"/>
      <c r="T1489" s="353"/>
      <c r="U1489" s="353"/>
      <c r="V1489" s="731"/>
      <c r="W1489" s="353"/>
      <c r="X1489" s="353"/>
      <c r="Y1489" s="353"/>
      <c r="Z1489" s="731"/>
      <c r="AA1489" s="353"/>
      <c r="AB1489" s="731"/>
      <c r="AC1489" s="731"/>
    </row>
    <row r="1490" ht="13.8" spans="1:29">
      <c r="A1490" s="353"/>
      <c r="B1490" s="613"/>
      <c r="C1490" s="353"/>
      <c r="D1490" s="353"/>
      <c r="E1490" s="353"/>
      <c r="F1490" s="353"/>
      <c r="G1490" s="353"/>
      <c r="H1490" s="353"/>
      <c r="I1490" s="731"/>
      <c r="J1490" s="613"/>
      <c r="K1490" s="613"/>
      <c r="L1490" s="353"/>
      <c r="M1490" s="353"/>
      <c r="N1490" s="353"/>
      <c r="O1490" s="764"/>
      <c r="P1490" s="353"/>
      <c r="Q1490" s="353"/>
      <c r="R1490" s="353"/>
      <c r="S1490" s="353"/>
      <c r="T1490" s="353"/>
      <c r="U1490" s="353"/>
      <c r="V1490" s="731"/>
      <c r="W1490" s="353"/>
      <c r="X1490" s="353"/>
      <c r="Y1490" s="353"/>
      <c r="Z1490" s="731"/>
      <c r="AA1490" s="353"/>
      <c r="AB1490" s="731"/>
      <c r="AC1490" s="731"/>
    </row>
    <row r="1491" ht="13.8" spans="1:29">
      <c r="A1491" s="353"/>
      <c r="B1491" s="613"/>
      <c r="C1491" s="353"/>
      <c r="D1491" s="353"/>
      <c r="E1491" s="353"/>
      <c r="F1491" s="353"/>
      <c r="G1491" s="353"/>
      <c r="H1491" s="353"/>
      <c r="I1491" s="731"/>
      <c r="J1491" s="613"/>
      <c r="K1491" s="613"/>
      <c r="L1491" s="353"/>
      <c r="M1491" s="353"/>
      <c r="N1491" s="353"/>
      <c r="O1491" s="764"/>
      <c r="P1491" s="353"/>
      <c r="Q1491" s="353"/>
      <c r="R1491" s="353"/>
      <c r="S1491" s="353"/>
      <c r="T1491" s="353"/>
      <c r="U1491" s="353"/>
      <c r="V1491" s="731"/>
      <c r="W1491" s="353"/>
      <c r="X1491" s="353"/>
      <c r="Y1491" s="353"/>
      <c r="Z1491" s="731"/>
      <c r="AA1491" s="353"/>
      <c r="AB1491" s="731"/>
      <c r="AC1491" s="731"/>
    </row>
    <row r="1492" ht="13.8" spans="1:29">
      <c r="A1492" s="353"/>
      <c r="B1492" s="613"/>
      <c r="C1492" s="353"/>
      <c r="D1492" s="353"/>
      <c r="E1492" s="353"/>
      <c r="F1492" s="353"/>
      <c r="G1492" s="353"/>
      <c r="H1492" s="353"/>
      <c r="I1492" s="731"/>
      <c r="J1492" s="613"/>
      <c r="K1492" s="613"/>
      <c r="L1492" s="353"/>
      <c r="M1492" s="353"/>
      <c r="N1492" s="353"/>
      <c r="O1492" s="764"/>
      <c r="P1492" s="353"/>
      <c r="Q1492" s="353"/>
      <c r="R1492" s="353"/>
      <c r="S1492" s="353"/>
      <c r="T1492" s="353"/>
      <c r="U1492" s="353"/>
      <c r="V1492" s="731"/>
      <c r="W1492" s="353"/>
      <c r="X1492" s="353"/>
      <c r="Y1492" s="353"/>
      <c r="Z1492" s="731"/>
      <c r="AA1492" s="353"/>
      <c r="AB1492" s="731"/>
      <c r="AC1492" s="731"/>
    </row>
    <row r="1493" ht="13.8" spans="1:29">
      <c r="A1493" s="353"/>
      <c r="B1493" s="613"/>
      <c r="C1493" s="353"/>
      <c r="D1493" s="353"/>
      <c r="E1493" s="353"/>
      <c r="F1493" s="353"/>
      <c r="G1493" s="353"/>
      <c r="H1493" s="353"/>
      <c r="I1493" s="731"/>
      <c r="J1493" s="613"/>
      <c r="K1493" s="613"/>
      <c r="L1493" s="353"/>
      <c r="M1493" s="353"/>
      <c r="N1493" s="353"/>
      <c r="O1493" s="764"/>
      <c r="P1493" s="353"/>
      <c r="Q1493" s="353"/>
      <c r="R1493" s="353"/>
      <c r="S1493" s="353"/>
      <c r="T1493" s="353"/>
      <c r="U1493" s="353"/>
      <c r="V1493" s="731"/>
      <c r="W1493" s="353"/>
      <c r="X1493" s="353"/>
      <c r="Y1493" s="353"/>
      <c r="Z1493" s="731"/>
      <c r="AA1493" s="353"/>
      <c r="AB1493" s="731"/>
      <c r="AC1493" s="731"/>
    </row>
    <row r="1494" ht="13.8" spans="1:29">
      <c r="A1494" s="353"/>
      <c r="B1494" s="613"/>
      <c r="C1494" s="353"/>
      <c r="D1494" s="353"/>
      <c r="E1494" s="353"/>
      <c r="F1494" s="353"/>
      <c r="G1494" s="353"/>
      <c r="H1494" s="353"/>
      <c r="I1494" s="731"/>
      <c r="J1494" s="613"/>
      <c r="K1494" s="613"/>
      <c r="L1494" s="353"/>
      <c r="M1494" s="353"/>
      <c r="N1494" s="353"/>
      <c r="O1494" s="764"/>
      <c r="P1494" s="353"/>
      <c r="Q1494" s="353"/>
      <c r="R1494" s="353"/>
      <c r="S1494" s="353"/>
      <c r="T1494" s="353"/>
      <c r="U1494" s="353"/>
      <c r="V1494" s="731"/>
      <c r="W1494" s="353"/>
      <c r="X1494" s="353"/>
      <c r="Y1494" s="353"/>
      <c r="Z1494" s="731"/>
      <c r="AA1494" s="353"/>
      <c r="AB1494" s="731"/>
      <c r="AC1494" s="731"/>
    </row>
    <row r="1495" ht="13.8" spans="1:29">
      <c r="A1495" s="353"/>
      <c r="B1495" s="613"/>
      <c r="C1495" s="353"/>
      <c r="D1495" s="353"/>
      <c r="E1495" s="353"/>
      <c r="F1495" s="353"/>
      <c r="G1495" s="353"/>
      <c r="H1495" s="353"/>
      <c r="I1495" s="731"/>
      <c r="J1495" s="613"/>
      <c r="K1495" s="613"/>
      <c r="L1495" s="353"/>
      <c r="M1495" s="353"/>
      <c r="N1495" s="353"/>
      <c r="O1495" s="764"/>
      <c r="P1495" s="353"/>
      <c r="Q1495" s="353"/>
      <c r="R1495" s="353"/>
      <c r="S1495" s="353"/>
      <c r="T1495" s="353"/>
      <c r="U1495" s="353"/>
      <c r="V1495" s="731"/>
      <c r="W1495" s="353"/>
      <c r="X1495" s="353"/>
      <c r="Y1495" s="353"/>
      <c r="Z1495" s="731"/>
      <c r="AA1495" s="353"/>
      <c r="AB1495" s="731"/>
      <c r="AC1495" s="731"/>
    </row>
    <row r="1496" ht="13.8" spans="1:29">
      <c r="A1496" s="353"/>
      <c r="B1496" s="613"/>
      <c r="C1496" s="353"/>
      <c r="D1496" s="353"/>
      <c r="E1496" s="353"/>
      <c r="F1496" s="353"/>
      <c r="G1496" s="353"/>
      <c r="H1496" s="353"/>
      <c r="I1496" s="731"/>
      <c r="J1496" s="613"/>
      <c r="K1496" s="613"/>
      <c r="L1496" s="353"/>
      <c r="M1496" s="353"/>
      <c r="N1496" s="353"/>
      <c r="O1496" s="764"/>
      <c r="P1496" s="353"/>
      <c r="Q1496" s="353"/>
      <c r="R1496" s="353"/>
      <c r="S1496" s="353"/>
      <c r="T1496" s="353"/>
      <c r="U1496" s="353"/>
      <c r="V1496" s="731"/>
      <c r="W1496" s="353"/>
      <c r="X1496" s="353"/>
      <c r="Y1496" s="353"/>
      <c r="Z1496" s="731"/>
      <c r="AA1496" s="353"/>
      <c r="AB1496" s="731"/>
      <c r="AC1496" s="731"/>
    </row>
    <row r="1497" ht="13.8" spans="1:29">
      <c r="A1497" s="353"/>
      <c r="B1497" s="613"/>
      <c r="C1497" s="353"/>
      <c r="D1497" s="353"/>
      <c r="E1497" s="353"/>
      <c r="F1497" s="353"/>
      <c r="G1497" s="353"/>
      <c r="H1497" s="353"/>
      <c r="I1497" s="731"/>
      <c r="J1497" s="613"/>
      <c r="K1497" s="613"/>
      <c r="L1497" s="353"/>
      <c r="M1497" s="353"/>
      <c r="N1497" s="353"/>
      <c r="O1497" s="764"/>
      <c r="P1497" s="353"/>
      <c r="Q1497" s="353"/>
      <c r="R1497" s="353"/>
      <c r="S1497" s="353"/>
      <c r="T1497" s="353"/>
      <c r="U1497" s="353"/>
      <c r="V1497" s="731"/>
      <c r="W1497" s="353"/>
      <c r="X1497" s="353"/>
      <c r="Y1497" s="353"/>
      <c r="Z1497" s="731"/>
      <c r="AA1497" s="353"/>
      <c r="AB1497" s="731"/>
      <c r="AC1497" s="731"/>
    </row>
    <row r="1498" ht="13.8" spans="1:29">
      <c r="A1498" s="353"/>
      <c r="B1498" s="613"/>
      <c r="C1498" s="353"/>
      <c r="D1498" s="353"/>
      <c r="E1498" s="353"/>
      <c r="F1498" s="353"/>
      <c r="G1498" s="353"/>
      <c r="H1498" s="353"/>
      <c r="I1498" s="731"/>
      <c r="J1498" s="613"/>
      <c r="K1498" s="613"/>
      <c r="L1498" s="353"/>
      <c r="M1498" s="353"/>
      <c r="N1498" s="353"/>
      <c r="O1498" s="764"/>
      <c r="P1498" s="353"/>
      <c r="Q1498" s="353"/>
      <c r="R1498" s="353"/>
      <c r="S1498" s="353"/>
      <c r="T1498" s="353"/>
      <c r="U1498" s="353"/>
      <c r="V1498" s="731"/>
      <c r="W1498" s="353"/>
      <c r="X1498" s="353"/>
      <c r="Y1498" s="353"/>
      <c r="Z1498" s="731"/>
      <c r="AA1498" s="353"/>
      <c r="AB1498" s="731"/>
      <c r="AC1498" s="731"/>
    </row>
    <row r="1499" ht="13.8" spans="1:29">
      <c r="A1499" s="353"/>
      <c r="B1499" s="613"/>
      <c r="C1499" s="353"/>
      <c r="D1499" s="353"/>
      <c r="E1499" s="353"/>
      <c r="F1499" s="353"/>
      <c r="G1499" s="353"/>
      <c r="H1499" s="353"/>
      <c r="I1499" s="731"/>
      <c r="J1499" s="613"/>
      <c r="K1499" s="613"/>
      <c r="L1499" s="353"/>
      <c r="M1499" s="353"/>
      <c r="N1499" s="353"/>
      <c r="O1499" s="764"/>
      <c r="P1499" s="353"/>
      <c r="Q1499" s="353"/>
      <c r="R1499" s="353"/>
      <c r="S1499" s="353"/>
      <c r="T1499" s="353"/>
      <c r="U1499" s="353"/>
      <c r="V1499" s="731"/>
      <c r="W1499" s="353"/>
      <c r="X1499" s="353"/>
      <c r="Y1499" s="353"/>
      <c r="Z1499" s="731"/>
      <c r="AA1499" s="353"/>
      <c r="AB1499" s="731"/>
      <c r="AC1499" s="731"/>
    </row>
    <row r="1500" ht="13.8" spans="1:29">
      <c r="A1500" s="353"/>
      <c r="B1500" s="613"/>
      <c r="C1500" s="353"/>
      <c r="D1500" s="353"/>
      <c r="E1500" s="353"/>
      <c r="F1500" s="353"/>
      <c r="G1500" s="353"/>
      <c r="H1500" s="353"/>
      <c r="I1500" s="731"/>
      <c r="J1500" s="613"/>
      <c r="K1500" s="613"/>
      <c r="L1500" s="353"/>
      <c r="M1500" s="353"/>
      <c r="N1500" s="353"/>
      <c r="O1500" s="764"/>
      <c r="P1500" s="353"/>
      <c r="Q1500" s="353"/>
      <c r="R1500" s="353"/>
      <c r="S1500" s="353"/>
      <c r="T1500" s="353"/>
      <c r="U1500" s="353"/>
      <c r="V1500" s="731"/>
      <c r="W1500" s="353"/>
      <c r="X1500" s="353"/>
      <c r="Y1500" s="353"/>
      <c r="Z1500" s="731"/>
      <c r="AA1500" s="353"/>
      <c r="AB1500" s="731"/>
      <c r="AC1500" s="731"/>
    </row>
    <row r="1501" ht="13.8" spans="1:29">
      <c r="A1501" s="353"/>
      <c r="B1501" s="613"/>
      <c r="C1501" s="353"/>
      <c r="D1501" s="353"/>
      <c r="E1501" s="353"/>
      <c r="F1501" s="353"/>
      <c r="G1501" s="353"/>
      <c r="H1501" s="353"/>
      <c r="I1501" s="731"/>
      <c r="J1501" s="613"/>
      <c r="K1501" s="613"/>
      <c r="L1501" s="353"/>
      <c r="M1501" s="353"/>
      <c r="N1501" s="353"/>
      <c r="O1501" s="764"/>
      <c r="P1501" s="353"/>
      <c r="Q1501" s="353"/>
      <c r="R1501" s="353"/>
      <c r="S1501" s="353"/>
      <c r="T1501" s="353"/>
      <c r="U1501" s="353"/>
      <c r="V1501" s="731"/>
      <c r="W1501" s="353"/>
      <c r="X1501" s="353"/>
      <c r="Y1501" s="353"/>
      <c r="Z1501" s="731"/>
      <c r="AA1501" s="353"/>
      <c r="AB1501" s="731"/>
      <c r="AC1501" s="731"/>
    </row>
    <row r="1502" ht="13.8" spans="1:29">
      <c r="A1502" s="353"/>
      <c r="B1502" s="613"/>
      <c r="C1502" s="353"/>
      <c r="D1502" s="353"/>
      <c r="E1502" s="353"/>
      <c r="F1502" s="353"/>
      <c r="G1502" s="353"/>
      <c r="H1502" s="353"/>
      <c r="I1502" s="731"/>
      <c r="J1502" s="613"/>
      <c r="K1502" s="613"/>
      <c r="L1502" s="353"/>
      <c r="M1502" s="353"/>
      <c r="N1502" s="353"/>
      <c r="O1502" s="764"/>
      <c r="P1502" s="353"/>
      <c r="Q1502" s="353"/>
      <c r="R1502" s="353"/>
      <c r="S1502" s="353"/>
      <c r="T1502" s="353"/>
      <c r="U1502" s="353"/>
      <c r="V1502" s="731"/>
      <c r="W1502" s="353"/>
      <c r="X1502" s="353"/>
      <c r="Y1502" s="353"/>
      <c r="Z1502" s="731"/>
      <c r="AA1502" s="353"/>
      <c r="AB1502" s="731"/>
      <c r="AC1502" s="731"/>
    </row>
    <row r="1503" ht="13.8" spans="1:29">
      <c r="A1503" s="353"/>
      <c r="B1503" s="613"/>
      <c r="C1503" s="353"/>
      <c r="D1503" s="353"/>
      <c r="E1503" s="353"/>
      <c r="F1503" s="353"/>
      <c r="G1503" s="353"/>
      <c r="H1503" s="353"/>
      <c r="I1503" s="731"/>
      <c r="J1503" s="613"/>
      <c r="K1503" s="613"/>
      <c r="L1503" s="353"/>
      <c r="M1503" s="353"/>
      <c r="N1503" s="353"/>
      <c r="O1503" s="764"/>
      <c r="P1503" s="353"/>
      <c r="Q1503" s="353"/>
      <c r="R1503" s="353"/>
      <c r="S1503" s="353"/>
      <c r="T1503" s="353"/>
      <c r="U1503" s="353"/>
      <c r="V1503" s="731"/>
      <c r="W1503" s="353"/>
      <c r="X1503" s="353"/>
      <c r="Y1503" s="353"/>
      <c r="Z1503" s="731"/>
      <c r="AA1503" s="353"/>
      <c r="AB1503" s="731"/>
      <c r="AC1503" s="731"/>
    </row>
    <row r="1504" ht="13.8" spans="1:29">
      <c r="A1504" s="353"/>
      <c r="B1504" s="613"/>
      <c r="C1504" s="353"/>
      <c r="D1504" s="353"/>
      <c r="E1504" s="353"/>
      <c r="F1504" s="353"/>
      <c r="G1504" s="353"/>
      <c r="H1504" s="353"/>
      <c r="I1504" s="731"/>
      <c r="J1504" s="613"/>
      <c r="K1504" s="613"/>
      <c r="L1504" s="353"/>
      <c r="M1504" s="353"/>
      <c r="N1504" s="353"/>
      <c r="O1504" s="764"/>
      <c r="P1504" s="353"/>
      <c r="Q1504" s="353"/>
      <c r="R1504" s="353"/>
      <c r="S1504" s="353"/>
      <c r="T1504" s="353"/>
      <c r="U1504" s="353"/>
      <c r="V1504" s="731"/>
      <c r="W1504" s="353"/>
      <c r="X1504" s="353"/>
      <c r="Y1504" s="353"/>
      <c r="Z1504" s="731"/>
      <c r="AA1504" s="353"/>
      <c r="AB1504" s="731"/>
      <c r="AC1504" s="731"/>
    </row>
    <row r="1505" ht="13.8" spans="1:29">
      <c r="A1505" s="353"/>
      <c r="B1505" s="613"/>
      <c r="C1505" s="353"/>
      <c r="D1505" s="353"/>
      <c r="E1505" s="353"/>
      <c r="F1505" s="353"/>
      <c r="G1505" s="353"/>
      <c r="H1505" s="353"/>
      <c r="I1505" s="731"/>
      <c r="J1505" s="613"/>
      <c r="K1505" s="613"/>
      <c r="L1505" s="353"/>
      <c r="M1505" s="353"/>
      <c r="N1505" s="353"/>
      <c r="O1505" s="764"/>
      <c r="P1505" s="353"/>
      <c r="Q1505" s="353"/>
      <c r="R1505" s="353"/>
      <c r="S1505" s="353"/>
      <c r="T1505" s="353"/>
      <c r="U1505" s="353"/>
      <c r="V1505" s="731"/>
      <c r="W1505" s="353"/>
      <c r="X1505" s="353"/>
      <c r="Y1505" s="353"/>
      <c r="Z1505" s="731"/>
      <c r="AA1505" s="353"/>
      <c r="AB1505" s="731"/>
      <c r="AC1505" s="731"/>
    </row>
    <row r="1506" ht="13.8" spans="1:29">
      <c r="A1506" s="353"/>
      <c r="B1506" s="613"/>
      <c r="C1506" s="353"/>
      <c r="D1506" s="353"/>
      <c r="E1506" s="353"/>
      <c r="F1506" s="353"/>
      <c r="G1506" s="353"/>
      <c r="H1506" s="353"/>
      <c r="I1506" s="731"/>
      <c r="J1506" s="613"/>
      <c r="K1506" s="613"/>
      <c r="L1506" s="353"/>
      <c r="M1506" s="353"/>
      <c r="N1506" s="353"/>
      <c r="O1506" s="764"/>
      <c r="P1506" s="353"/>
      <c r="Q1506" s="353"/>
      <c r="R1506" s="353"/>
      <c r="S1506" s="353"/>
      <c r="T1506" s="353"/>
      <c r="U1506" s="353"/>
      <c r="V1506" s="731"/>
      <c r="W1506" s="353"/>
      <c r="X1506" s="353"/>
      <c r="Y1506" s="353"/>
      <c r="Z1506" s="731"/>
      <c r="AA1506" s="353"/>
      <c r="AB1506" s="731"/>
      <c r="AC1506" s="731"/>
    </row>
    <row r="1507" ht="13.8" spans="1:29">
      <c r="A1507" s="353"/>
      <c r="B1507" s="613"/>
      <c r="C1507" s="353"/>
      <c r="D1507" s="353"/>
      <c r="E1507" s="353"/>
      <c r="F1507" s="353"/>
      <c r="G1507" s="353"/>
      <c r="H1507" s="353"/>
      <c r="I1507" s="731"/>
      <c r="J1507" s="613"/>
      <c r="K1507" s="613"/>
      <c r="L1507" s="353"/>
      <c r="M1507" s="353"/>
      <c r="N1507" s="353"/>
      <c r="O1507" s="764"/>
      <c r="P1507" s="353"/>
      <c r="Q1507" s="353"/>
      <c r="R1507" s="353"/>
      <c r="S1507" s="353"/>
      <c r="T1507" s="353"/>
      <c r="U1507" s="353"/>
      <c r="V1507" s="731"/>
      <c r="W1507" s="353"/>
      <c r="X1507" s="353"/>
      <c r="Y1507" s="353"/>
      <c r="Z1507" s="731"/>
      <c r="AA1507" s="353"/>
      <c r="AB1507" s="731"/>
      <c r="AC1507" s="731"/>
    </row>
    <row r="1508" ht="13.8" spans="1:29">
      <c r="A1508" s="353"/>
      <c r="B1508" s="613"/>
      <c r="C1508" s="353"/>
      <c r="D1508" s="353"/>
      <c r="E1508" s="353"/>
      <c r="F1508" s="353"/>
      <c r="G1508" s="353"/>
      <c r="H1508" s="353"/>
      <c r="I1508" s="731"/>
      <c r="J1508" s="613"/>
      <c r="K1508" s="613"/>
      <c r="L1508" s="353"/>
      <c r="M1508" s="353"/>
      <c r="N1508" s="353"/>
      <c r="O1508" s="764"/>
      <c r="P1508" s="353"/>
      <c r="Q1508" s="353"/>
      <c r="R1508" s="353"/>
      <c r="S1508" s="353"/>
      <c r="T1508" s="353"/>
      <c r="U1508" s="353"/>
      <c r="V1508" s="731"/>
      <c r="W1508" s="353"/>
      <c r="X1508" s="353"/>
      <c r="Y1508" s="353"/>
      <c r="Z1508" s="731"/>
      <c r="AA1508" s="353"/>
      <c r="AB1508" s="731"/>
      <c r="AC1508" s="731"/>
    </row>
    <row r="1509" ht="13.8" spans="1:29">
      <c r="A1509" s="353"/>
      <c r="B1509" s="613"/>
      <c r="C1509" s="353"/>
      <c r="D1509" s="353"/>
      <c r="E1509" s="353"/>
      <c r="F1509" s="353"/>
      <c r="G1509" s="353"/>
      <c r="H1509" s="353"/>
      <c r="I1509" s="731"/>
      <c r="J1509" s="613"/>
      <c r="K1509" s="613"/>
      <c r="L1509" s="353"/>
      <c r="M1509" s="353"/>
      <c r="N1509" s="353"/>
      <c r="O1509" s="764"/>
      <c r="P1509" s="353"/>
      <c r="Q1509" s="353"/>
      <c r="R1509" s="353"/>
      <c r="S1509" s="353"/>
      <c r="T1509" s="353"/>
      <c r="U1509" s="353"/>
      <c r="V1509" s="731"/>
      <c r="W1509" s="353"/>
      <c r="X1509" s="353"/>
      <c r="Y1509" s="353"/>
      <c r="Z1509" s="731"/>
      <c r="AA1509" s="353"/>
      <c r="AB1509" s="731"/>
      <c r="AC1509" s="731"/>
    </row>
    <row r="1510" ht="13.8" spans="1:29">
      <c r="A1510" s="353"/>
      <c r="B1510" s="613"/>
      <c r="C1510" s="353"/>
      <c r="D1510" s="353"/>
      <c r="E1510" s="353"/>
      <c r="F1510" s="353"/>
      <c r="G1510" s="353"/>
      <c r="H1510" s="353"/>
      <c r="I1510" s="731"/>
      <c r="J1510" s="613"/>
      <c r="K1510" s="613"/>
      <c r="L1510" s="353"/>
      <c r="M1510" s="353"/>
      <c r="N1510" s="353"/>
      <c r="O1510" s="764"/>
      <c r="P1510" s="353"/>
      <c r="Q1510" s="353"/>
      <c r="R1510" s="353"/>
      <c r="S1510" s="353"/>
      <c r="T1510" s="353"/>
      <c r="U1510" s="353"/>
      <c r="V1510" s="731"/>
      <c r="W1510" s="353"/>
      <c r="X1510" s="353"/>
      <c r="Y1510" s="353"/>
      <c r="Z1510" s="731"/>
      <c r="AA1510" s="353"/>
      <c r="AB1510" s="731"/>
      <c r="AC1510" s="731"/>
    </row>
    <row r="1511" ht="13.8" spans="1:29">
      <c r="A1511" s="353"/>
      <c r="B1511" s="613"/>
      <c r="C1511" s="353"/>
      <c r="D1511" s="353"/>
      <c r="E1511" s="353"/>
      <c r="F1511" s="353"/>
      <c r="G1511" s="353"/>
      <c r="H1511" s="353"/>
      <c r="I1511" s="731"/>
      <c r="J1511" s="613"/>
      <c r="K1511" s="613"/>
      <c r="L1511" s="353"/>
      <c r="M1511" s="353"/>
      <c r="N1511" s="353"/>
      <c r="O1511" s="764"/>
      <c r="P1511" s="353"/>
      <c r="Q1511" s="353"/>
      <c r="R1511" s="353"/>
      <c r="S1511" s="353"/>
      <c r="T1511" s="353"/>
      <c r="U1511" s="353"/>
      <c r="V1511" s="731"/>
      <c r="W1511" s="353"/>
      <c r="X1511" s="353"/>
      <c r="Y1511" s="353"/>
      <c r="Z1511" s="731"/>
      <c r="AA1511" s="353"/>
      <c r="AB1511" s="731"/>
      <c r="AC1511" s="731"/>
    </row>
    <row r="1512" ht="13.8" spans="1:29">
      <c r="A1512" s="353"/>
      <c r="B1512" s="613"/>
      <c r="C1512" s="353"/>
      <c r="D1512" s="353"/>
      <c r="E1512" s="353"/>
      <c r="F1512" s="353"/>
      <c r="G1512" s="353"/>
      <c r="H1512" s="353"/>
      <c r="I1512" s="731"/>
      <c r="J1512" s="613"/>
      <c r="K1512" s="613"/>
      <c r="L1512" s="353"/>
      <c r="M1512" s="353"/>
      <c r="N1512" s="353"/>
      <c r="O1512" s="764"/>
      <c r="P1512" s="353"/>
      <c r="Q1512" s="353"/>
      <c r="R1512" s="353"/>
      <c r="S1512" s="353"/>
      <c r="T1512" s="353"/>
      <c r="U1512" s="353"/>
      <c r="V1512" s="731"/>
      <c r="W1512" s="353"/>
      <c r="X1512" s="353"/>
      <c r="Y1512" s="353"/>
      <c r="Z1512" s="731"/>
      <c r="AA1512" s="353"/>
      <c r="AB1512" s="731"/>
      <c r="AC1512" s="731"/>
    </row>
    <row r="1513" ht="13.8" spans="1:29">
      <c r="A1513" s="353"/>
      <c r="B1513" s="613"/>
      <c r="C1513" s="353"/>
      <c r="D1513" s="353"/>
      <c r="E1513" s="353"/>
      <c r="F1513" s="353"/>
      <c r="G1513" s="353"/>
      <c r="H1513" s="353"/>
      <c r="I1513" s="731"/>
      <c r="J1513" s="613"/>
      <c r="K1513" s="613"/>
      <c r="L1513" s="353"/>
      <c r="M1513" s="353"/>
      <c r="N1513" s="353"/>
      <c r="O1513" s="764"/>
      <c r="P1513" s="353"/>
      <c r="Q1513" s="353"/>
      <c r="R1513" s="353"/>
      <c r="S1513" s="353"/>
      <c r="T1513" s="353"/>
      <c r="U1513" s="353"/>
      <c r="V1513" s="731"/>
      <c r="W1513" s="353"/>
      <c r="X1513" s="353"/>
      <c r="Y1513" s="353"/>
      <c r="Z1513" s="731"/>
      <c r="AA1513" s="353"/>
      <c r="AB1513" s="731"/>
      <c r="AC1513" s="731"/>
    </row>
    <row r="1514" ht="13.8" spans="1:29">
      <c r="A1514" s="353"/>
      <c r="B1514" s="613"/>
      <c r="C1514" s="353"/>
      <c r="D1514" s="353"/>
      <c r="E1514" s="353"/>
      <c r="F1514" s="353"/>
      <c r="G1514" s="353"/>
      <c r="H1514" s="353"/>
      <c r="I1514" s="731"/>
      <c r="J1514" s="613"/>
      <c r="K1514" s="613"/>
      <c r="L1514" s="353"/>
      <c r="M1514" s="353"/>
      <c r="N1514" s="353"/>
      <c r="O1514" s="764"/>
      <c r="P1514" s="353"/>
      <c r="Q1514" s="353"/>
      <c r="R1514" s="353"/>
      <c r="S1514" s="353"/>
      <c r="T1514" s="353"/>
      <c r="U1514" s="353"/>
      <c r="V1514" s="731"/>
      <c r="W1514" s="353"/>
      <c r="X1514" s="353"/>
      <c r="Y1514" s="353"/>
      <c r="Z1514" s="731"/>
      <c r="AA1514" s="353"/>
      <c r="AB1514" s="731"/>
      <c r="AC1514" s="731"/>
    </row>
    <row r="1515" ht="13.8" spans="1:29">
      <c r="A1515" s="353"/>
      <c r="B1515" s="613"/>
      <c r="C1515" s="353"/>
      <c r="D1515" s="353"/>
      <c r="E1515" s="353"/>
      <c r="F1515" s="353"/>
      <c r="G1515" s="353"/>
      <c r="H1515" s="353"/>
      <c r="I1515" s="731"/>
      <c r="J1515" s="613"/>
      <c r="K1515" s="613"/>
      <c r="L1515" s="353"/>
      <c r="M1515" s="353"/>
      <c r="N1515" s="353"/>
      <c r="O1515" s="764"/>
      <c r="P1515" s="353"/>
      <c r="Q1515" s="353"/>
      <c r="R1515" s="353"/>
      <c r="S1515" s="353"/>
      <c r="T1515" s="353"/>
      <c r="U1515" s="353"/>
      <c r="V1515" s="731"/>
      <c r="W1515" s="353"/>
      <c r="X1515" s="353"/>
      <c r="Y1515" s="353"/>
      <c r="Z1515" s="731"/>
      <c r="AA1515" s="353"/>
      <c r="AB1515" s="731"/>
      <c r="AC1515" s="731"/>
    </row>
    <row r="1516" ht="13.8" spans="1:29">
      <c r="A1516" s="353"/>
      <c r="B1516" s="613"/>
      <c r="C1516" s="353"/>
      <c r="D1516" s="353"/>
      <c r="E1516" s="353"/>
      <c r="F1516" s="353"/>
      <c r="G1516" s="353"/>
      <c r="H1516" s="353"/>
      <c r="I1516" s="731"/>
      <c r="J1516" s="613"/>
      <c r="K1516" s="613"/>
      <c r="L1516" s="353"/>
      <c r="M1516" s="353"/>
      <c r="N1516" s="353"/>
      <c r="O1516" s="764"/>
      <c r="P1516" s="353"/>
      <c r="Q1516" s="353"/>
      <c r="R1516" s="353"/>
      <c r="S1516" s="353"/>
      <c r="T1516" s="353"/>
      <c r="U1516" s="353"/>
      <c r="V1516" s="731"/>
      <c r="W1516" s="353"/>
      <c r="X1516" s="353"/>
      <c r="Y1516" s="353"/>
      <c r="Z1516" s="731"/>
      <c r="AA1516" s="353"/>
      <c r="AB1516" s="731"/>
      <c r="AC1516" s="731"/>
    </row>
    <row r="1517" ht="13.8" spans="1:29">
      <c r="A1517" s="353"/>
      <c r="B1517" s="613"/>
      <c r="C1517" s="353"/>
      <c r="D1517" s="353"/>
      <c r="E1517" s="353"/>
      <c r="F1517" s="353"/>
      <c r="G1517" s="353"/>
      <c r="H1517" s="353"/>
      <c r="I1517" s="731"/>
      <c r="J1517" s="613"/>
      <c r="K1517" s="613"/>
      <c r="L1517" s="353"/>
      <c r="M1517" s="353"/>
      <c r="N1517" s="353"/>
      <c r="O1517" s="764"/>
      <c r="P1517" s="353"/>
      <c r="Q1517" s="353"/>
      <c r="R1517" s="353"/>
      <c r="S1517" s="353"/>
      <c r="T1517" s="353"/>
      <c r="U1517" s="353"/>
      <c r="V1517" s="731"/>
      <c r="W1517" s="353"/>
      <c r="X1517" s="353"/>
      <c r="Y1517" s="353"/>
      <c r="Z1517" s="731"/>
      <c r="AA1517" s="353"/>
      <c r="AB1517" s="731"/>
      <c r="AC1517" s="731"/>
    </row>
    <row r="1518" ht="13.8" spans="1:29">
      <c r="A1518" s="353"/>
      <c r="B1518" s="613"/>
      <c r="C1518" s="353"/>
      <c r="D1518" s="353"/>
      <c r="E1518" s="353"/>
      <c r="F1518" s="353"/>
      <c r="G1518" s="353"/>
      <c r="H1518" s="353"/>
      <c r="I1518" s="731"/>
      <c r="J1518" s="613"/>
      <c r="K1518" s="613"/>
      <c r="L1518" s="353"/>
      <c r="M1518" s="353"/>
      <c r="N1518" s="353"/>
      <c r="O1518" s="764"/>
      <c r="P1518" s="353"/>
      <c r="Q1518" s="353"/>
      <c r="R1518" s="353"/>
      <c r="S1518" s="353"/>
      <c r="T1518" s="353"/>
      <c r="U1518" s="353"/>
      <c r="V1518" s="731"/>
      <c r="W1518" s="353"/>
      <c r="X1518" s="353"/>
      <c r="Y1518" s="353"/>
      <c r="Z1518" s="731"/>
      <c r="AA1518" s="353"/>
      <c r="AB1518" s="731"/>
      <c r="AC1518" s="731"/>
    </row>
    <row r="1519" ht="13.8" spans="1:29">
      <c r="A1519" s="353"/>
      <c r="B1519" s="613"/>
      <c r="C1519" s="353"/>
      <c r="D1519" s="353"/>
      <c r="E1519" s="353"/>
      <c r="F1519" s="353"/>
      <c r="G1519" s="353"/>
      <c r="H1519" s="353"/>
      <c r="I1519" s="731"/>
      <c r="J1519" s="613"/>
      <c r="K1519" s="613"/>
      <c r="L1519" s="353"/>
      <c r="M1519" s="353"/>
      <c r="N1519" s="353"/>
      <c r="O1519" s="764"/>
      <c r="P1519" s="353"/>
      <c r="Q1519" s="353"/>
      <c r="R1519" s="353"/>
      <c r="S1519" s="353"/>
      <c r="T1519" s="353"/>
      <c r="U1519" s="353"/>
      <c r="V1519" s="731"/>
      <c r="W1519" s="353"/>
      <c r="X1519" s="353"/>
      <c r="Y1519" s="353"/>
      <c r="Z1519" s="731"/>
      <c r="AA1519" s="353"/>
      <c r="AB1519" s="731"/>
      <c r="AC1519" s="731"/>
    </row>
    <row r="1520" ht="13.8" spans="1:29">
      <c r="A1520" s="353"/>
      <c r="B1520" s="613"/>
      <c r="C1520" s="353"/>
      <c r="D1520" s="353"/>
      <c r="E1520" s="353"/>
      <c r="F1520" s="353"/>
      <c r="G1520" s="353"/>
      <c r="H1520" s="353"/>
      <c r="I1520" s="731"/>
      <c r="J1520" s="613"/>
      <c r="K1520" s="613"/>
      <c r="L1520" s="353"/>
      <c r="M1520" s="353"/>
      <c r="N1520" s="353"/>
      <c r="O1520" s="764"/>
      <c r="P1520" s="353"/>
      <c r="Q1520" s="353"/>
      <c r="R1520" s="353"/>
      <c r="S1520" s="353"/>
      <c r="T1520" s="353"/>
      <c r="U1520" s="353"/>
      <c r="V1520" s="731"/>
      <c r="W1520" s="353"/>
      <c r="X1520" s="353"/>
      <c r="Y1520" s="353"/>
      <c r="Z1520" s="731"/>
      <c r="AA1520" s="353"/>
      <c r="AB1520" s="731"/>
      <c r="AC1520" s="731"/>
    </row>
    <row r="1521" ht="13.8" spans="1:29">
      <c r="A1521" s="353"/>
      <c r="B1521" s="613"/>
      <c r="C1521" s="353"/>
      <c r="D1521" s="353"/>
      <c r="E1521" s="353"/>
      <c r="F1521" s="353"/>
      <c r="G1521" s="353"/>
      <c r="H1521" s="353"/>
      <c r="I1521" s="731"/>
      <c r="J1521" s="613"/>
      <c r="K1521" s="613"/>
      <c r="L1521" s="353"/>
      <c r="M1521" s="353"/>
      <c r="N1521" s="353"/>
      <c r="O1521" s="764"/>
      <c r="P1521" s="353"/>
      <c r="Q1521" s="353"/>
      <c r="R1521" s="353"/>
      <c r="S1521" s="353"/>
      <c r="T1521" s="353"/>
      <c r="U1521" s="353"/>
      <c r="V1521" s="731"/>
      <c r="W1521" s="353"/>
      <c r="X1521" s="353"/>
      <c r="Y1521" s="353"/>
      <c r="Z1521" s="731"/>
      <c r="AA1521" s="353"/>
      <c r="AB1521" s="731"/>
      <c r="AC1521" s="731"/>
    </row>
    <row r="1522" ht="13.8" spans="1:29">
      <c r="A1522" s="353"/>
      <c r="B1522" s="613"/>
      <c r="C1522" s="353"/>
      <c r="D1522" s="353"/>
      <c r="E1522" s="353"/>
      <c r="F1522" s="353"/>
      <c r="G1522" s="353"/>
      <c r="H1522" s="353"/>
      <c r="I1522" s="731"/>
      <c r="J1522" s="613"/>
      <c r="K1522" s="613"/>
      <c r="L1522" s="353"/>
      <c r="M1522" s="353"/>
      <c r="N1522" s="353"/>
      <c r="O1522" s="764"/>
      <c r="P1522" s="353"/>
      <c r="Q1522" s="353"/>
      <c r="R1522" s="353"/>
      <c r="S1522" s="353"/>
      <c r="T1522" s="353"/>
      <c r="U1522" s="353"/>
      <c r="V1522" s="731"/>
      <c r="W1522" s="353"/>
      <c r="X1522" s="353"/>
      <c r="Y1522" s="353"/>
      <c r="Z1522" s="731"/>
      <c r="AA1522" s="353"/>
      <c r="AB1522" s="731"/>
      <c r="AC1522" s="731"/>
    </row>
    <row r="1523" ht="13.8" spans="1:29">
      <c r="A1523" s="353"/>
      <c r="B1523" s="613"/>
      <c r="C1523" s="353"/>
      <c r="D1523" s="353"/>
      <c r="E1523" s="353"/>
      <c r="F1523" s="353"/>
      <c r="G1523" s="353"/>
      <c r="H1523" s="353"/>
      <c r="I1523" s="731"/>
      <c r="J1523" s="613"/>
      <c r="K1523" s="613"/>
      <c r="L1523" s="353"/>
      <c r="M1523" s="353"/>
      <c r="N1523" s="353"/>
      <c r="O1523" s="764"/>
      <c r="P1523" s="353"/>
      <c r="Q1523" s="353"/>
      <c r="R1523" s="353"/>
      <c r="S1523" s="353"/>
      <c r="T1523" s="353"/>
      <c r="U1523" s="353"/>
      <c r="V1523" s="731"/>
      <c r="W1523" s="353"/>
      <c r="X1523" s="353"/>
      <c r="Y1523" s="353"/>
      <c r="Z1523" s="731"/>
      <c r="AA1523" s="353"/>
      <c r="AB1523" s="731"/>
      <c r="AC1523" s="731"/>
    </row>
    <row r="1524" ht="13.8" spans="1:29">
      <c r="A1524" s="353"/>
      <c r="B1524" s="613"/>
      <c r="C1524" s="353"/>
      <c r="D1524" s="353"/>
      <c r="E1524" s="353"/>
      <c r="F1524" s="353"/>
      <c r="G1524" s="353"/>
      <c r="H1524" s="353"/>
      <c r="I1524" s="731"/>
      <c r="J1524" s="613"/>
      <c r="K1524" s="613"/>
      <c r="L1524" s="353"/>
      <c r="M1524" s="353"/>
      <c r="N1524" s="353"/>
      <c r="O1524" s="764"/>
      <c r="P1524" s="353"/>
      <c r="Q1524" s="353"/>
      <c r="R1524" s="353"/>
      <c r="S1524" s="353"/>
      <c r="T1524" s="353"/>
      <c r="U1524" s="353"/>
      <c r="V1524" s="731"/>
      <c r="W1524" s="353"/>
      <c r="X1524" s="353"/>
      <c r="Y1524" s="353"/>
      <c r="Z1524" s="731"/>
      <c r="AA1524" s="353"/>
      <c r="AB1524" s="731"/>
      <c r="AC1524" s="731"/>
    </row>
    <row r="1525" ht="13.8" spans="1:29">
      <c r="A1525" s="353"/>
      <c r="B1525" s="613"/>
      <c r="C1525" s="353"/>
      <c r="D1525" s="353"/>
      <c r="E1525" s="353"/>
      <c r="F1525" s="353"/>
      <c r="G1525" s="353"/>
      <c r="H1525" s="353"/>
      <c r="I1525" s="731"/>
      <c r="J1525" s="613"/>
      <c r="K1525" s="613"/>
      <c r="L1525" s="353"/>
      <c r="M1525" s="353"/>
      <c r="N1525" s="353"/>
      <c r="O1525" s="764"/>
      <c r="P1525" s="353"/>
      <c r="Q1525" s="353"/>
      <c r="R1525" s="353"/>
      <c r="S1525" s="353"/>
      <c r="T1525" s="353"/>
      <c r="U1525" s="353"/>
      <c r="V1525" s="731"/>
      <c r="W1525" s="353"/>
      <c r="X1525" s="353"/>
      <c r="Y1525" s="353"/>
      <c r="Z1525" s="731"/>
      <c r="AA1525" s="353"/>
      <c r="AB1525" s="731"/>
      <c r="AC1525" s="731"/>
    </row>
    <row r="1526" ht="13.8" spans="1:29">
      <c r="A1526" s="353"/>
      <c r="B1526" s="613"/>
      <c r="C1526" s="353"/>
      <c r="D1526" s="353"/>
      <c r="E1526" s="353"/>
      <c r="F1526" s="353"/>
      <c r="G1526" s="353"/>
      <c r="H1526" s="353"/>
      <c r="I1526" s="731"/>
      <c r="J1526" s="613"/>
      <c r="K1526" s="613"/>
      <c r="L1526" s="353"/>
      <c r="M1526" s="353"/>
      <c r="N1526" s="353"/>
      <c r="O1526" s="764"/>
      <c r="P1526" s="353"/>
      <c r="Q1526" s="353"/>
      <c r="R1526" s="353"/>
      <c r="S1526" s="353"/>
      <c r="T1526" s="353"/>
      <c r="U1526" s="353"/>
      <c r="V1526" s="731"/>
      <c r="W1526" s="353"/>
      <c r="X1526" s="353"/>
      <c r="Y1526" s="353"/>
      <c r="Z1526" s="731"/>
      <c r="AA1526" s="353"/>
      <c r="AB1526" s="731"/>
      <c r="AC1526" s="731"/>
    </row>
    <row r="1527" ht="13.8" spans="1:29">
      <c r="A1527" s="353"/>
      <c r="B1527" s="613"/>
      <c r="C1527" s="353"/>
      <c r="D1527" s="353"/>
      <c r="E1527" s="353"/>
      <c r="F1527" s="353"/>
      <c r="G1527" s="353"/>
      <c r="H1527" s="353"/>
      <c r="I1527" s="731"/>
      <c r="J1527" s="613"/>
      <c r="K1527" s="613"/>
      <c r="L1527" s="353"/>
      <c r="M1527" s="353"/>
      <c r="N1527" s="353"/>
      <c r="O1527" s="764"/>
      <c r="P1527" s="353"/>
      <c r="Q1527" s="353"/>
      <c r="R1527" s="353"/>
      <c r="S1527" s="353"/>
      <c r="T1527" s="353"/>
      <c r="U1527" s="353"/>
      <c r="V1527" s="731"/>
      <c r="W1527" s="353"/>
      <c r="X1527" s="353"/>
      <c r="Y1527" s="353"/>
      <c r="Z1527" s="731"/>
      <c r="AA1527" s="353"/>
      <c r="AB1527" s="731"/>
      <c r="AC1527" s="731"/>
    </row>
    <row r="1528" ht="13.8" spans="1:29">
      <c r="A1528" s="353"/>
      <c r="B1528" s="613"/>
      <c r="C1528" s="353"/>
      <c r="D1528" s="353"/>
      <c r="E1528" s="353"/>
      <c r="F1528" s="353"/>
      <c r="G1528" s="353"/>
      <c r="H1528" s="353"/>
      <c r="I1528" s="731"/>
      <c r="J1528" s="613"/>
      <c r="K1528" s="613"/>
      <c r="L1528" s="353"/>
      <c r="M1528" s="353"/>
      <c r="N1528" s="353"/>
      <c r="O1528" s="764"/>
      <c r="P1528" s="353"/>
      <c r="Q1528" s="353"/>
      <c r="R1528" s="353"/>
      <c r="S1528" s="353"/>
      <c r="T1528" s="353"/>
      <c r="U1528" s="353"/>
      <c r="V1528" s="731"/>
      <c r="W1528" s="353"/>
      <c r="X1528" s="353"/>
      <c r="Y1528" s="353"/>
      <c r="Z1528" s="731"/>
      <c r="AA1528" s="353"/>
      <c r="AB1528" s="731"/>
      <c r="AC1528" s="731"/>
    </row>
    <row r="1529" ht="13.8" spans="1:29">
      <c r="A1529" s="353"/>
      <c r="B1529" s="613"/>
      <c r="C1529" s="353"/>
      <c r="D1529" s="353"/>
      <c r="E1529" s="353"/>
      <c r="F1529" s="353"/>
      <c r="G1529" s="353"/>
      <c r="H1529" s="353"/>
      <c r="I1529" s="731"/>
      <c r="J1529" s="613"/>
      <c r="K1529" s="613"/>
      <c r="L1529" s="353"/>
      <c r="M1529" s="353"/>
      <c r="N1529" s="353"/>
      <c r="O1529" s="764"/>
      <c r="P1529" s="353"/>
      <c r="Q1529" s="353"/>
      <c r="R1529" s="353"/>
      <c r="S1529" s="353"/>
      <c r="T1529" s="353"/>
      <c r="U1529" s="353"/>
      <c r="V1529" s="731"/>
      <c r="W1529" s="353"/>
      <c r="X1529" s="353"/>
      <c r="Y1529" s="353"/>
      <c r="Z1529" s="731"/>
      <c r="AA1529" s="353"/>
      <c r="AB1529" s="731"/>
      <c r="AC1529" s="731"/>
    </row>
    <row r="1530" ht="13.8" spans="1:29">
      <c r="A1530" s="353"/>
      <c r="B1530" s="613"/>
      <c r="C1530" s="353"/>
      <c r="D1530" s="353"/>
      <c r="E1530" s="353"/>
      <c r="F1530" s="353"/>
      <c r="G1530" s="353"/>
      <c r="H1530" s="353"/>
      <c r="I1530" s="731"/>
      <c r="J1530" s="613"/>
      <c r="K1530" s="613"/>
      <c r="L1530" s="353"/>
      <c r="M1530" s="353"/>
      <c r="N1530" s="353"/>
      <c r="O1530" s="764"/>
      <c r="P1530" s="353"/>
      <c r="Q1530" s="353"/>
      <c r="R1530" s="353"/>
      <c r="S1530" s="353"/>
      <c r="T1530" s="353"/>
      <c r="U1530" s="353"/>
      <c r="V1530" s="731"/>
      <c r="W1530" s="353"/>
      <c r="X1530" s="353"/>
      <c r="Y1530" s="353"/>
      <c r="Z1530" s="731"/>
      <c r="AA1530" s="353"/>
      <c r="AB1530" s="731"/>
      <c r="AC1530" s="731"/>
    </row>
    <row r="1531" ht="13.8" spans="1:29">
      <c r="A1531" s="353"/>
      <c r="B1531" s="613"/>
      <c r="C1531" s="353"/>
      <c r="D1531" s="353"/>
      <c r="E1531" s="353"/>
      <c r="F1531" s="353"/>
      <c r="G1531" s="353"/>
      <c r="H1531" s="353"/>
      <c r="I1531" s="731"/>
      <c r="J1531" s="613"/>
      <c r="K1531" s="613"/>
      <c r="L1531" s="353"/>
      <c r="M1531" s="353"/>
      <c r="N1531" s="353"/>
      <c r="O1531" s="764"/>
      <c r="P1531" s="353"/>
      <c r="Q1531" s="353"/>
      <c r="R1531" s="353"/>
      <c r="S1531" s="353"/>
      <c r="T1531" s="353"/>
      <c r="U1531" s="353"/>
      <c r="V1531" s="731"/>
      <c r="W1531" s="353"/>
      <c r="X1531" s="353"/>
      <c r="Y1531" s="353"/>
      <c r="Z1531" s="731"/>
      <c r="AA1531" s="353"/>
      <c r="AB1531" s="731"/>
      <c r="AC1531" s="731"/>
    </row>
    <row r="1532" ht="13.8" spans="1:29">
      <c r="A1532" s="353"/>
      <c r="B1532" s="613"/>
      <c r="C1532" s="353"/>
      <c r="D1532" s="353"/>
      <c r="E1532" s="353"/>
      <c r="F1532" s="353"/>
      <c r="G1532" s="353"/>
      <c r="H1532" s="353"/>
      <c r="I1532" s="731"/>
      <c r="J1532" s="613"/>
      <c r="K1532" s="613"/>
      <c r="L1532" s="353"/>
      <c r="M1532" s="353"/>
      <c r="N1532" s="353"/>
      <c r="O1532" s="764"/>
      <c r="P1532" s="353"/>
      <c r="Q1532" s="353"/>
      <c r="R1532" s="353"/>
      <c r="S1532" s="353"/>
      <c r="T1532" s="353"/>
      <c r="U1532" s="353"/>
      <c r="V1532" s="731"/>
      <c r="W1532" s="353"/>
      <c r="X1532" s="353"/>
      <c r="Y1532" s="353"/>
      <c r="Z1532" s="731"/>
      <c r="AA1532" s="353"/>
      <c r="AB1532" s="731"/>
      <c r="AC1532" s="731"/>
    </row>
    <row r="1533" ht="13.8" spans="1:29">
      <c r="A1533" s="353"/>
      <c r="B1533" s="613"/>
      <c r="C1533" s="353"/>
      <c r="D1533" s="353"/>
      <c r="E1533" s="353"/>
      <c r="F1533" s="353"/>
      <c r="G1533" s="353"/>
      <c r="H1533" s="353"/>
      <c r="I1533" s="731"/>
      <c r="J1533" s="613"/>
      <c r="K1533" s="613"/>
      <c r="L1533" s="353"/>
      <c r="M1533" s="353"/>
      <c r="N1533" s="353"/>
      <c r="O1533" s="764"/>
      <c r="P1533" s="353"/>
      <c r="Q1533" s="353"/>
      <c r="R1533" s="353"/>
      <c r="S1533" s="353"/>
      <c r="T1533" s="353"/>
      <c r="U1533" s="353"/>
      <c r="V1533" s="731"/>
      <c r="W1533" s="353"/>
      <c r="X1533" s="353"/>
      <c r="Y1533" s="353"/>
      <c r="Z1533" s="731"/>
      <c r="AA1533" s="353"/>
      <c r="AB1533" s="731"/>
      <c r="AC1533" s="731"/>
    </row>
    <row r="1534" ht="13.8" spans="1:29">
      <c r="A1534" s="353"/>
      <c r="B1534" s="613"/>
      <c r="C1534" s="353"/>
      <c r="D1534" s="353"/>
      <c r="E1534" s="353"/>
      <c r="F1534" s="353"/>
      <c r="G1534" s="353"/>
      <c r="H1534" s="353"/>
      <c r="I1534" s="731"/>
      <c r="J1534" s="613"/>
      <c r="K1534" s="613"/>
      <c r="L1534" s="353"/>
      <c r="M1534" s="353"/>
      <c r="N1534" s="353"/>
      <c r="O1534" s="764"/>
      <c r="P1534" s="353"/>
      <c r="Q1534" s="353"/>
      <c r="R1534" s="353"/>
      <c r="S1534" s="353"/>
      <c r="T1534" s="353"/>
      <c r="U1534" s="353"/>
      <c r="V1534" s="731"/>
      <c r="W1534" s="353"/>
      <c r="X1534" s="353"/>
      <c r="Y1534" s="353"/>
      <c r="Z1534" s="731"/>
      <c r="AA1534" s="353"/>
      <c r="AB1534" s="731"/>
      <c r="AC1534" s="731"/>
    </row>
    <row r="1535" ht="13.8" spans="1:29">
      <c r="A1535" s="353"/>
      <c r="B1535" s="613"/>
      <c r="C1535" s="353"/>
      <c r="D1535" s="353"/>
      <c r="E1535" s="353"/>
      <c r="F1535" s="353"/>
      <c r="G1535" s="353"/>
      <c r="H1535" s="353"/>
      <c r="I1535" s="731"/>
      <c r="J1535" s="613"/>
      <c r="K1535" s="613"/>
      <c r="L1535" s="353"/>
      <c r="M1535" s="353"/>
      <c r="N1535" s="353"/>
      <c r="O1535" s="764"/>
      <c r="P1535" s="353"/>
      <c r="Q1535" s="353"/>
      <c r="R1535" s="353"/>
      <c r="S1535" s="353"/>
      <c r="T1535" s="353"/>
      <c r="U1535" s="353"/>
      <c r="V1535" s="731"/>
      <c r="W1535" s="353"/>
      <c r="X1535" s="353"/>
      <c r="Y1535" s="353"/>
      <c r="Z1535" s="731"/>
      <c r="AA1535" s="353"/>
      <c r="AB1535" s="731"/>
      <c r="AC1535" s="731"/>
    </row>
    <row r="1536" ht="13.8" spans="1:29">
      <c r="A1536" s="353"/>
      <c r="B1536" s="613"/>
      <c r="C1536" s="353"/>
      <c r="D1536" s="353"/>
      <c r="E1536" s="353"/>
      <c r="F1536" s="353"/>
      <c r="G1536" s="353"/>
      <c r="H1536" s="353"/>
      <c r="I1536" s="731"/>
      <c r="J1536" s="613"/>
      <c r="K1536" s="613"/>
      <c r="L1536" s="353"/>
      <c r="M1536" s="353"/>
      <c r="N1536" s="353"/>
      <c r="O1536" s="764"/>
      <c r="P1536" s="353"/>
      <c r="Q1536" s="353"/>
      <c r="R1536" s="353"/>
      <c r="S1536" s="353"/>
      <c r="T1536" s="353"/>
      <c r="U1536" s="353"/>
      <c r="V1536" s="731"/>
      <c r="W1536" s="353"/>
      <c r="X1536" s="353"/>
      <c r="Y1536" s="353"/>
      <c r="Z1536" s="731"/>
      <c r="AA1536" s="353"/>
      <c r="AB1536" s="731"/>
      <c r="AC1536" s="731"/>
    </row>
    <row r="1537" ht="13.8" spans="1:29">
      <c r="A1537" s="353"/>
      <c r="B1537" s="613"/>
      <c r="C1537" s="353"/>
      <c r="D1537" s="353"/>
      <c r="E1537" s="353"/>
      <c r="F1537" s="353"/>
      <c r="G1537" s="353"/>
      <c r="H1537" s="353"/>
      <c r="I1537" s="731"/>
      <c r="J1537" s="613"/>
      <c r="K1537" s="613"/>
      <c r="L1537" s="353"/>
      <c r="M1537" s="353"/>
      <c r="N1537" s="353"/>
      <c r="O1537" s="764"/>
      <c r="P1537" s="353"/>
      <c r="Q1537" s="353"/>
      <c r="R1537" s="353"/>
      <c r="S1537" s="353"/>
      <c r="T1537" s="353"/>
      <c r="U1537" s="353"/>
      <c r="V1537" s="731"/>
      <c r="W1537" s="353"/>
      <c r="X1537" s="353"/>
      <c r="Y1537" s="353"/>
      <c r="Z1537" s="731"/>
      <c r="AA1537" s="353"/>
      <c r="AB1537" s="731"/>
      <c r="AC1537" s="731"/>
    </row>
    <row r="1538" ht="13.8" spans="1:29">
      <c r="A1538" s="353"/>
      <c r="B1538" s="613"/>
      <c r="C1538" s="353"/>
      <c r="D1538" s="353"/>
      <c r="E1538" s="353"/>
      <c r="F1538" s="353"/>
      <c r="G1538" s="353"/>
      <c r="H1538" s="353"/>
      <c r="I1538" s="731"/>
      <c r="J1538" s="613"/>
      <c r="K1538" s="613"/>
      <c r="L1538" s="353"/>
      <c r="M1538" s="353"/>
      <c r="N1538" s="353"/>
      <c r="O1538" s="764"/>
      <c r="P1538" s="353"/>
      <c r="Q1538" s="353"/>
      <c r="R1538" s="353"/>
      <c r="S1538" s="353"/>
      <c r="T1538" s="353"/>
      <c r="U1538" s="353"/>
      <c r="V1538" s="731"/>
      <c r="W1538" s="353"/>
      <c r="X1538" s="353"/>
      <c r="Y1538" s="353"/>
      <c r="Z1538" s="731"/>
      <c r="AA1538" s="353"/>
      <c r="AB1538" s="731"/>
      <c r="AC1538" s="731"/>
    </row>
    <row r="1539" ht="13.8" spans="1:29">
      <c r="A1539" s="353"/>
      <c r="B1539" s="613"/>
      <c r="C1539" s="353"/>
      <c r="D1539" s="353"/>
      <c r="E1539" s="353"/>
      <c r="F1539" s="353"/>
      <c r="G1539" s="353"/>
      <c r="H1539" s="353"/>
      <c r="I1539" s="731"/>
      <c r="J1539" s="613"/>
      <c r="K1539" s="613"/>
      <c r="L1539" s="353"/>
      <c r="M1539" s="353"/>
      <c r="N1539" s="353"/>
      <c r="O1539" s="764"/>
      <c r="P1539" s="353"/>
      <c r="Q1539" s="353"/>
      <c r="R1539" s="353"/>
      <c r="S1539" s="353"/>
      <c r="T1539" s="353"/>
      <c r="U1539" s="353"/>
      <c r="V1539" s="731"/>
      <c r="W1539" s="353"/>
      <c r="X1539" s="353"/>
      <c r="Y1539" s="353"/>
      <c r="Z1539" s="731"/>
      <c r="AA1539" s="353"/>
      <c r="AB1539" s="731"/>
      <c r="AC1539" s="731"/>
    </row>
    <row r="1540" ht="13.8" spans="1:29">
      <c r="A1540" s="353"/>
      <c r="B1540" s="613"/>
      <c r="C1540" s="353"/>
      <c r="D1540" s="353"/>
      <c r="E1540" s="353"/>
      <c r="F1540" s="353"/>
      <c r="G1540" s="353"/>
      <c r="H1540" s="353"/>
      <c r="I1540" s="731"/>
      <c r="J1540" s="613"/>
      <c r="K1540" s="613"/>
      <c r="L1540" s="353"/>
      <c r="M1540" s="353"/>
      <c r="N1540" s="353"/>
      <c r="O1540" s="764"/>
      <c r="P1540" s="353"/>
      <c r="Q1540" s="353"/>
      <c r="R1540" s="353"/>
      <c r="S1540" s="353"/>
      <c r="T1540" s="353"/>
      <c r="U1540" s="353"/>
      <c r="V1540" s="731"/>
      <c r="W1540" s="353"/>
      <c r="X1540" s="353"/>
      <c r="Y1540" s="353"/>
      <c r="Z1540" s="731"/>
      <c r="AA1540" s="353"/>
      <c r="AB1540" s="731"/>
      <c r="AC1540" s="731"/>
    </row>
    <row r="1541" ht="13.8" spans="1:29">
      <c r="A1541" s="353"/>
      <c r="B1541" s="613"/>
      <c r="C1541" s="353"/>
      <c r="D1541" s="353"/>
      <c r="E1541" s="353"/>
      <c r="F1541" s="353"/>
      <c r="G1541" s="353"/>
      <c r="H1541" s="353"/>
      <c r="I1541" s="731"/>
      <c r="J1541" s="613"/>
      <c r="K1541" s="613"/>
      <c r="L1541" s="353"/>
      <c r="M1541" s="353"/>
      <c r="N1541" s="353"/>
      <c r="O1541" s="764"/>
      <c r="P1541" s="353"/>
      <c r="Q1541" s="353"/>
      <c r="R1541" s="353"/>
      <c r="S1541" s="353"/>
      <c r="T1541" s="353"/>
      <c r="U1541" s="353"/>
      <c r="V1541" s="731"/>
      <c r="W1541" s="353"/>
      <c r="X1541" s="353"/>
      <c r="Y1541" s="353"/>
      <c r="Z1541" s="731"/>
      <c r="AA1541" s="353"/>
      <c r="AB1541" s="731"/>
      <c r="AC1541" s="731"/>
    </row>
    <row r="1542" ht="13.8" spans="1:29">
      <c r="A1542" s="353"/>
      <c r="B1542" s="613"/>
      <c r="C1542" s="353"/>
      <c r="D1542" s="353"/>
      <c r="E1542" s="353"/>
      <c r="F1542" s="353"/>
      <c r="G1542" s="353"/>
      <c r="H1542" s="353"/>
      <c r="I1542" s="731"/>
      <c r="J1542" s="613"/>
      <c r="K1542" s="613"/>
      <c r="L1542" s="353"/>
      <c r="M1542" s="353"/>
      <c r="N1542" s="353"/>
      <c r="O1542" s="764"/>
      <c r="P1542" s="353"/>
      <c r="Q1542" s="353"/>
      <c r="R1542" s="353"/>
      <c r="S1542" s="353"/>
      <c r="T1542" s="353"/>
      <c r="U1542" s="353"/>
      <c r="V1542" s="731"/>
      <c r="W1542" s="353"/>
      <c r="X1542" s="353"/>
      <c r="Y1542" s="353"/>
      <c r="Z1542" s="731"/>
      <c r="AA1542" s="353"/>
      <c r="AB1542" s="731"/>
      <c r="AC1542" s="731"/>
    </row>
    <row r="1543" ht="13.8" spans="1:29">
      <c r="A1543" s="353"/>
      <c r="B1543" s="613"/>
      <c r="C1543" s="353"/>
      <c r="D1543" s="353"/>
      <c r="E1543" s="353"/>
      <c r="F1543" s="353"/>
      <c r="G1543" s="353"/>
      <c r="H1543" s="353"/>
      <c r="I1543" s="731"/>
      <c r="J1543" s="613"/>
      <c r="K1543" s="613"/>
      <c r="L1543" s="353"/>
      <c r="M1543" s="353"/>
      <c r="N1543" s="353"/>
      <c r="O1543" s="764"/>
      <c r="P1543" s="353"/>
      <c r="Q1543" s="353"/>
      <c r="R1543" s="353"/>
      <c r="S1543" s="353"/>
      <c r="T1543" s="353"/>
      <c r="U1543" s="353"/>
      <c r="V1543" s="731"/>
      <c r="W1543" s="353"/>
      <c r="X1543" s="353"/>
      <c r="Y1543" s="353"/>
      <c r="Z1543" s="731"/>
      <c r="AA1543" s="353"/>
      <c r="AB1543" s="731"/>
      <c r="AC1543" s="731"/>
    </row>
    <row r="1544" ht="13.8" spans="1:29">
      <c r="A1544" s="353"/>
      <c r="B1544" s="613"/>
      <c r="C1544" s="353"/>
      <c r="D1544" s="353"/>
      <c r="E1544" s="353"/>
      <c r="F1544" s="353"/>
      <c r="G1544" s="353"/>
      <c r="H1544" s="353"/>
      <c r="I1544" s="731"/>
      <c r="J1544" s="613"/>
      <c r="K1544" s="613"/>
      <c r="L1544" s="353"/>
      <c r="M1544" s="353"/>
      <c r="N1544" s="353"/>
      <c r="O1544" s="764"/>
      <c r="P1544" s="353"/>
      <c r="Q1544" s="353"/>
      <c r="R1544" s="353"/>
      <c r="S1544" s="353"/>
      <c r="T1544" s="353"/>
      <c r="U1544" s="353"/>
      <c r="V1544" s="731"/>
      <c r="W1544" s="353"/>
      <c r="X1544" s="353"/>
      <c r="Y1544" s="353"/>
      <c r="Z1544" s="731"/>
      <c r="AA1544" s="353"/>
      <c r="AB1544" s="731"/>
      <c r="AC1544" s="731"/>
    </row>
    <row r="1545" ht="13.8" spans="1:29">
      <c r="A1545" s="353"/>
      <c r="B1545" s="613"/>
      <c r="C1545" s="353"/>
      <c r="D1545" s="353"/>
      <c r="E1545" s="353"/>
      <c r="F1545" s="353"/>
      <c r="G1545" s="353"/>
      <c r="H1545" s="353"/>
      <c r="I1545" s="731"/>
      <c r="J1545" s="613"/>
      <c r="K1545" s="613"/>
      <c r="L1545" s="353"/>
      <c r="M1545" s="353"/>
      <c r="N1545" s="353"/>
      <c r="O1545" s="764"/>
      <c r="P1545" s="353"/>
      <c r="Q1545" s="353"/>
      <c r="R1545" s="353"/>
      <c r="S1545" s="353"/>
      <c r="T1545" s="353"/>
      <c r="U1545" s="353"/>
      <c r="V1545" s="731"/>
      <c r="W1545" s="353"/>
      <c r="X1545" s="353"/>
      <c r="Y1545" s="353"/>
      <c r="Z1545" s="731"/>
      <c r="AA1545" s="353"/>
      <c r="AB1545" s="731"/>
      <c r="AC1545" s="731"/>
    </row>
    <row r="1546" ht="13.8" spans="1:29">
      <c r="A1546" s="353"/>
      <c r="B1546" s="613"/>
      <c r="C1546" s="353"/>
      <c r="D1546" s="353"/>
      <c r="E1546" s="353"/>
      <c r="F1546" s="353"/>
      <c r="G1546" s="353"/>
      <c r="H1546" s="353"/>
      <c r="I1546" s="731"/>
      <c r="J1546" s="613"/>
      <c r="K1546" s="613"/>
      <c r="L1546" s="353"/>
      <c r="M1546" s="353"/>
      <c r="N1546" s="353"/>
      <c r="O1546" s="764"/>
      <c r="P1546" s="353"/>
      <c r="Q1546" s="353"/>
      <c r="R1546" s="353"/>
      <c r="S1546" s="353"/>
      <c r="T1546" s="353"/>
      <c r="U1546" s="353"/>
      <c r="V1546" s="731"/>
      <c r="W1546" s="353"/>
      <c r="X1546" s="353"/>
      <c r="Y1546" s="353"/>
      <c r="Z1546" s="731"/>
      <c r="AA1546" s="353"/>
      <c r="AB1546" s="731"/>
      <c r="AC1546" s="731"/>
    </row>
    <row r="1547" ht="13.8" spans="1:29">
      <c r="A1547" s="353"/>
      <c r="B1547" s="613"/>
      <c r="C1547" s="353"/>
      <c r="D1547" s="353"/>
      <c r="E1547" s="353"/>
      <c r="F1547" s="353"/>
      <c r="G1547" s="353"/>
      <c r="H1547" s="353"/>
      <c r="I1547" s="731"/>
      <c r="J1547" s="613"/>
      <c r="K1547" s="613"/>
      <c r="L1547" s="353"/>
      <c r="M1547" s="353"/>
      <c r="N1547" s="353"/>
      <c r="O1547" s="764"/>
      <c r="P1547" s="353"/>
      <c r="Q1547" s="353"/>
      <c r="R1547" s="353"/>
      <c r="S1547" s="353"/>
      <c r="T1547" s="353"/>
      <c r="U1547" s="353"/>
      <c r="V1547" s="731"/>
      <c r="W1547" s="353"/>
      <c r="X1547" s="353"/>
      <c r="Y1547" s="353"/>
      <c r="Z1547" s="731"/>
      <c r="AA1547" s="353"/>
      <c r="AB1547" s="731"/>
      <c r="AC1547" s="731"/>
    </row>
    <row r="1548" ht="13.8" spans="1:29">
      <c r="A1548" s="353"/>
      <c r="B1548" s="613"/>
      <c r="C1548" s="353"/>
      <c r="D1548" s="353"/>
      <c r="E1548" s="353"/>
      <c r="F1548" s="353"/>
      <c r="G1548" s="353"/>
      <c r="H1548" s="353"/>
      <c r="I1548" s="731"/>
      <c r="J1548" s="613"/>
      <c r="K1548" s="613"/>
      <c r="L1548" s="353"/>
      <c r="M1548" s="353"/>
      <c r="N1548" s="353"/>
      <c r="O1548" s="764"/>
      <c r="P1548" s="353"/>
      <c r="Q1548" s="353"/>
      <c r="R1548" s="353"/>
      <c r="S1548" s="353"/>
      <c r="T1548" s="353"/>
      <c r="U1548" s="353"/>
      <c r="V1548" s="731"/>
      <c r="W1548" s="353"/>
      <c r="X1548" s="353"/>
      <c r="Y1548" s="353"/>
      <c r="Z1548" s="731"/>
      <c r="AA1548" s="353"/>
      <c r="AB1548" s="731"/>
      <c r="AC1548" s="731"/>
    </row>
    <row r="1549" ht="13.8" spans="1:29">
      <c r="A1549" s="353"/>
      <c r="B1549" s="613"/>
      <c r="C1549" s="353"/>
      <c r="D1549" s="353"/>
      <c r="E1549" s="353"/>
      <c r="F1549" s="353"/>
      <c r="G1549" s="353"/>
      <c r="H1549" s="353"/>
      <c r="I1549" s="731"/>
      <c r="J1549" s="613"/>
      <c r="K1549" s="613"/>
      <c r="L1549" s="353"/>
      <c r="M1549" s="353"/>
      <c r="N1549" s="353"/>
      <c r="O1549" s="764"/>
      <c r="P1549" s="353"/>
      <c r="Q1549" s="353"/>
      <c r="R1549" s="353"/>
      <c r="S1549" s="353"/>
      <c r="T1549" s="353"/>
      <c r="U1549" s="353"/>
      <c r="V1549" s="731"/>
      <c r="W1549" s="353"/>
      <c r="X1549" s="353"/>
      <c r="Y1549" s="353"/>
      <c r="Z1549" s="731"/>
      <c r="AA1549" s="353"/>
      <c r="AB1549" s="731"/>
      <c r="AC1549" s="731"/>
    </row>
    <row r="1550" ht="13.8" spans="1:29">
      <c r="A1550" s="353"/>
      <c r="B1550" s="613"/>
      <c r="C1550" s="353"/>
      <c r="D1550" s="353"/>
      <c r="E1550" s="353"/>
      <c r="F1550" s="353"/>
      <c r="G1550" s="353"/>
      <c r="H1550" s="353"/>
      <c r="I1550" s="731"/>
      <c r="J1550" s="613"/>
      <c r="K1550" s="613"/>
      <c r="L1550" s="353"/>
      <c r="M1550" s="353"/>
      <c r="N1550" s="353"/>
      <c r="O1550" s="764"/>
      <c r="P1550" s="353"/>
      <c r="Q1550" s="353"/>
      <c r="R1550" s="353"/>
      <c r="S1550" s="353"/>
      <c r="T1550" s="353"/>
      <c r="U1550" s="353"/>
      <c r="V1550" s="731"/>
      <c r="W1550" s="353"/>
      <c r="X1550" s="353"/>
      <c r="Y1550" s="353"/>
      <c r="Z1550" s="731"/>
      <c r="AA1550" s="353"/>
      <c r="AB1550" s="731"/>
      <c r="AC1550" s="731"/>
    </row>
    <row r="1551" ht="13.8" spans="1:29">
      <c r="A1551" s="353"/>
      <c r="B1551" s="613"/>
      <c r="C1551" s="353"/>
      <c r="D1551" s="353"/>
      <c r="E1551" s="353"/>
      <c r="F1551" s="353"/>
      <c r="G1551" s="353"/>
      <c r="H1551" s="353"/>
      <c r="I1551" s="731"/>
      <c r="J1551" s="613"/>
      <c r="K1551" s="613"/>
      <c r="L1551" s="353"/>
      <c r="M1551" s="353"/>
      <c r="N1551" s="353"/>
      <c r="O1551" s="764"/>
      <c r="P1551" s="353"/>
      <c r="Q1551" s="353"/>
      <c r="R1551" s="353"/>
      <c r="S1551" s="353"/>
      <c r="T1551" s="353"/>
      <c r="U1551" s="353"/>
      <c r="V1551" s="731"/>
      <c r="W1551" s="353"/>
      <c r="X1551" s="353"/>
      <c r="Y1551" s="353"/>
      <c r="Z1551" s="731"/>
      <c r="AA1551" s="353"/>
      <c r="AB1551" s="731"/>
      <c r="AC1551" s="731"/>
    </row>
    <row r="1552" ht="13.8" spans="1:29">
      <c r="A1552" s="353"/>
      <c r="B1552" s="613"/>
      <c r="C1552" s="353"/>
      <c r="D1552" s="353"/>
      <c r="E1552" s="353"/>
      <c r="F1552" s="353"/>
      <c r="G1552" s="353"/>
      <c r="H1552" s="353"/>
      <c r="I1552" s="731"/>
      <c r="J1552" s="613"/>
      <c r="K1552" s="613"/>
      <c r="L1552" s="353"/>
      <c r="M1552" s="353"/>
      <c r="N1552" s="353"/>
      <c r="O1552" s="764"/>
      <c r="P1552" s="353"/>
      <c r="Q1552" s="353"/>
      <c r="R1552" s="353"/>
      <c r="S1552" s="353"/>
      <c r="T1552" s="353"/>
      <c r="U1552" s="353"/>
      <c r="V1552" s="731"/>
      <c r="W1552" s="353"/>
      <c r="X1552" s="353"/>
      <c r="Y1552" s="353"/>
      <c r="Z1552" s="731"/>
      <c r="AA1552" s="353"/>
      <c r="AB1552" s="731"/>
      <c r="AC1552" s="731"/>
    </row>
    <row r="1553" ht="13.8" spans="1:29">
      <c r="A1553" s="353"/>
      <c r="B1553" s="613"/>
      <c r="C1553" s="353"/>
      <c r="D1553" s="353"/>
      <c r="E1553" s="353"/>
      <c r="F1553" s="353"/>
      <c r="G1553" s="353"/>
      <c r="H1553" s="353"/>
      <c r="I1553" s="731"/>
      <c r="J1553" s="613"/>
      <c r="K1553" s="613"/>
      <c r="L1553" s="353"/>
      <c r="M1553" s="353"/>
      <c r="N1553" s="353"/>
      <c r="O1553" s="764"/>
      <c r="P1553" s="353"/>
      <c r="Q1553" s="353"/>
      <c r="R1553" s="353"/>
      <c r="S1553" s="353"/>
      <c r="T1553" s="353"/>
      <c r="U1553" s="353"/>
      <c r="V1553" s="731"/>
      <c r="W1553" s="353"/>
      <c r="X1553" s="353"/>
      <c r="Y1553" s="353"/>
      <c r="Z1553" s="731"/>
      <c r="AA1553" s="353"/>
      <c r="AB1553" s="731"/>
      <c r="AC1553" s="731"/>
    </row>
    <row r="1554" ht="13.8" spans="1:29">
      <c r="A1554" s="353"/>
      <c r="B1554" s="613"/>
      <c r="C1554" s="353"/>
      <c r="D1554" s="353"/>
      <c r="E1554" s="353"/>
      <c r="F1554" s="353"/>
      <c r="G1554" s="353"/>
      <c r="H1554" s="353"/>
      <c r="I1554" s="731"/>
      <c r="J1554" s="613"/>
      <c r="K1554" s="613"/>
      <c r="L1554" s="353"/>
      <c r="M1554" s="353"/>
      <c r="N1554" s="353"/>
      <c r="O1554" s="764"/>
      <c r="P1554" s="353"/>
      <c r="Q1554" s="353"/>
      <c r="R1554" s="353"/>
      <c r="S1554" s="353"/>
      <c r="T1554" s="353"/>
      <c r="U1554" s="353"/>
      <c r="V1554" s="731"/>
      <c r="W1554" s="353"/>
      <c r="X1554" s="353"/>
      <c r="Y1554" s="353"/>
      <c r="Z1554" s="731"/>
      <c r="AA1554" s="353"/>
      <c r="AB1554" s="731"/>
      <c r="AC1554" s="731"/>
    </row>
    <row r="1555" ht="13.8" spans="1:29">
      <c r="A1555" s="353"/>
      <c r="B1555" s="613"/>
      <c r="C1555" s="353"/>
      <c r="D1555" s="353"/>
      <c r="E1555" s="353"/>
      <c r="F1555" s="353"/>
      <c r="G1555" s="353"/>
      <c r="H1555" s="353"/>
      <c r="I1555" s="731"/>
      <c r="J1555" s="613"/>
      <c r="K1555" s="613"/>
      <c r="L1555" s="353"/>
      <c r="M1555" s="353"/>
      <c r="N1555" s="353"/>
      <c r="O1555" s="764"/>
      <c r="P1555" s="353"/>
      <c r="Q1555" s="353"/>
      <c r="R1555" s="353"/>
      <c r="S1555" s="353"/>
      <c r="T1555" s="353"/>
      <c r="U1555" s="353"/>
      <c r="V1555" s="731"/>
      <c r="W1555" s="353"/>
      <c r="X1555" s="353"/>
      <c r="Y1555" s="353"/>
      <c r="Z1555" s="731"/>
      <c r="AA1555" s="353"/>
      <c r="AB1555" s="731"/>
      <c r="AC1555" s="731"/>
    </row>
    <row r="1556" ht="13.8" spans="1:29">
      <c r="A1556" s="353"/>
      <c r="B1556" s="613"/>
      <c r="C1556" s="353"/>
      <c r="D1556" s="353"/>
      <c r="E1556" s="353"/>
      <c r="F1556" s="353"/>
      <c r="G1556" s="353"/>
      <c r="H1556" s="353"/>
      <c r="I1556" s="731"/>
      <c r="J1556" s="613"/>
      <c r="K1556" s="613"/>
      <c r="L1556" s="353"/>
      <c r="M1556" s="353"/>
      <c r="N1556" s="353"/>
      <c r="O1556" s="764"/>
      <c r="P1556" s="353"/>
      <c r="Q1556" s="353"/>
      <c r="R1556" s="353"/>
      <c r="S1556" s="353"/>
      <c r="T1556" s="353"/>
      <c r="U1556" s="353"/>
      <c r="V1556" s="731"/>
      <c r="W1556" s="353"/>
      <c r="X1556" s="353"/>
      <c r="Y1556" s="353"/>
      <c r="Z1556" s="731"/>
      <c r="AA1556" s="353"/>
      <c r="AB1556" s="731"/>
      <c r="AC1556" s="731"/>
    </row>
    <row r="1557" ht="13.8" spans="1:29">
      <c r="A1557" s="353"/>
      <c r="B1557" s="613"/>
      <c r="C1557" s="353"/>
      <c r="D1557" s="353"/>
      <c r="E1557" s="353"/>
      <c r="F1557" s="353"/>
      <c r="G1557" s="353"/>
      <c r="H1557" s="353"/>
      <c r="I1557" s="731"/>
      <c r="J1557" s="613"/>
      <c r="K1557" s="613"/>
      <c r="L1557" s="353"/>
      <c r="M1557" s="353"/>
      <c r="N1557" s="353"/>
      <c r="O1557" s="764"/>
      <c r="P1557" s="353"/>
      <c r="Q1557" s="353"/>
      <c r="R1557" s="353"/>
      <c r="S1557" s="353"/>
      <c r="T1557" s="353"/>
      <c r="U1557" s="353"/>
      <c r="V1557" s="731"/>
      <c r="W1557" s="353"/>
      <c r="X1557" s="353"/>
      <c r="Y1557" s="353"/>
      <c r="Z1557" s="731"/>
      <c r="AA1557" s="353"/>
      <c r="AB1557" s="731"/>
      <c r="AC1557" s="731"/>
    </row>
    <row r="1558" ht="13.8" spans="1:29">
      <c r="A1558" s="353"/>
      <c r="B1558" s="613"/>
      <c r="C1558" s="353"/>
      <c r="D1558" s="353"/>
      <c r="E1558" s="353"/>
      <c r="F1558" s="353"/>
      <c r="G1558" s="353"/>
      <c r="H1558" s="353"/>
      <c r="I1558" s="731"/>
      <c r="J1558" s="613"/>
      <c r="K1558" s="613"/>
      <c r="L1558" s="353"/>
      <c r="M1558" s="353"/>
      <c r="N1558" s="353"/>
      <c r="O1558" s="764"/>
      <c r="P1558" s="353"/>
      <c r="Q1558" s="353"/>
      <c r="R1558" s="353"/>
      <c r="S1558" s="353"/>
      <c r="T1558" s="353"/>
      <c r="U1558" s="353"/>
      <c r="V1558" s="731"/>
      <c r="W1558" s="353"/>
      <c r="X1558" s="353"/>
      <c r="Y1558" s="353"/>
      <c r="Z1558" s="731"/>
      <c r="AA1558" s="353"/>
      <c r="AB1558" s="731"/>
      <c r="AC1558" s="731"/>
    </row>
    <row r="1559" ht="13.8" spans="1:29">
      <c r="A1559" s="353"/>
      <c r="B1559" s="613"/>
      <c r="C1559" s="353"/>
      <c r="D1559" s="353"/>
      <c r="E1559" s="353"/>
      <c r="F1559" s="353"/>
      <c r="G1559" s="353"/>
      <c r="H1559" s="353"/>
      <c r="I1559" s="731"/>
      <c r="J1559" s="613"/>
      <c r="K1559" s="613"/>
      <c r="L1559" s="353"/>
      <c r="M1559" s="353"/>
      <c r="N1559" s="353"/>
      <c r="O1559" s="764"/>
      <c r="P1559" s="353"/>
      <c r="Q1559" s="353"/>
      <c r="R1559" s="353"/>
      <c r="S1559" s="353"/>
      <c r="T1559" s="353"/>
      <c r="U1559" s="353"/>
      <c r="V1559" s="731"/>
      <c r="W1559" s="353"/>
      <c r="X1559" s="353"/>
      <c r="Y1559" s="353"/>
      <c r="Z1559" s="731"/>
      <c r="AA1559" s="353"/>
      <c r="AB1559" s="731"/>
      <c r="AC1559" s="731"/>
    </row>
    <row r="1560" ht="13.8" spans="1:29">
      <c r="A1560" s="353"/>
      <c r="B1560" s="613"/>
      <c r="C1560" s="353"/>
      <c r="D1560" s="353"/>
      <c r="E1560" s="353"/>
      <c r="F1560" s="353"/>
      <c r="G1560" s="353"/>
      <c r="H1560" s="353"/>
      <c r="I1560" s="731"/>
      <c r="J1560" s="613"/>
      <c r="K1560" s="613"/>
      <c r="L1560" s="353"/>
      <c r="M1560" s="353"/>
      <c r="N1560" s="353"/>
      <c r="O1560" s="764"/>
      <c r="P1560" s="353"/>
      <c r="Q1560" s="353"/>
      <c r="R1560" s="353"/>
      <c r="S1560" s="353"/>
      <c r="T1560" s="353"/>
      <c r="U1560" s="353"/>
      <c r="V1560" s="731"/>
      <c r="W1560" s="353"/>
      <c r="X1560" s="353"/>
      <c r="Y1560" s="353"/>
      <c r="Z1560" s="731"/>
      <c r="AA1560" s="353"/>
      <c r="AB1560" s="731"/>
      <c r="AC1560" s="731"/>
    </row>
    <row r="1561" ht="13.8" spans="1:29">
      <c r="A1561" s="353"/>
      <c r="B1561" s="613"/>
      <c r="C1561" s="353"/>
      <c r="D1561" s="353"/>
      <c r="E1561" s="353"/>
      <c r="F1561" s="353"/>
      <c r="G1561" s="353"/>
      <c r="H1561" s="353"/>
      <c r="I1561" s="731"/>
      <c r="J1561" s="613"/>
      <c r="K1561" s="613"/>
      <c r="L1561" s="353"/>
      <c r="M1561" s="353"/>
      <c r="N1561" s="353"/>
      <c r="O1561" s="764"/>
      <c r="P1561" s="353"/>
      <c r="Q1561" s="353"/>
      <c r="R1561" s="353"/>
      <c r="S1561" s="353"/>
      <c r="T1561" s="353"/>
      <c r="U1561" s="353"/>
      <c r="V1561" s="731"/>
      <c r="W1561" s="353"/>
      <c r="X1561" s="353"/>
      <c r="Y1561" s="353"/>
      <c r="Z1561" s="731"/>
      <c r="AA1561" s="353"/>
      <c r="AB1561" s="731"/>
      <c r="AC1561" s="731"/>
    </row>
    <row r="1562" ht="13.8" spans="1:29">
      <c r="A1562" s="353"/>
      <c r="B1562" s="613"/>
      <c r="C1562" s="353"/>
      <c r="D1562" s="353"/>
      <c r="E1562" s="353"/>
      <c r="F1562" s="353"/>
      <c r="G1562" s="353"/>
      <c r="H1562" s="353"/>
      <c r="I1562" s="731"/>
      <c r="J1562" s="613"/>
      <c r="K1562" s="613"/>
      <c r="L1562" s="353"/>
      <c r="M1562" s="353"/>
      <c r="N1562" s="353"/>
      <c r="O1562" s="764"/>
      <c r="P1562" s="353"/>
      <c r="Q1562" s="353"/>
      <c r="R1562" s="353"/>
      <c r="S1562" s="353"/>
      <c r="T1562" s="353"/>
      <c r="U1562" s="353"/>
      <c r="V1562" s="731"/>
      <c r="W1562" s="353"/>
      <c r="X1562" s="353"/>
      <c r="Y1562" s="353"/>
      <c r="Z1562" s="731"/>
      <c r="AA1562" s="353"/>
      <c r="AB1562" s="731"/>
      <c r="AC1562" s="731"/>
    </row>
    <row r="1563" ht="13.8" spans="1:29">
      <c r="A1563" s="353"/>
      <c r="B1563" s="613"/>
      <c r="C1563" s="353"/>
      <c r="D1563" s="353"/>
      <c r="E1563" s="353"/>
      <c r="F1563" s="353"/>
      <c r="G1563" s="353"/>
      <c r="H1563" s="353"/>
      <c r="I1563" s="731"/>
      <c r="J1563" s="613"/>
      <c r="K1563" s="613"/>
      <c r="L1563" s="353"/>
      <c r="M1563" s="353"/>
      <c r="N1563" s="353"/>
      <c r="O1563" s="764"/>
      <c r="P1563" s="353"/>
      <c r="Q1563" s="353"/>
      <c r="R1563" s="353"/>
      <c r="S1563" s="353"/>
      <c r="T1563" s="353"/>
      <c r="U1563" s="353"/>
      <c r="V1563" s="731"/>
      <c r="W1563" s="353"/>
      <c r="X1563" s="353"/>
      <c r="Y1563" s="353"/>
      <c r="Z1563" s="731"/>
      <c r="AA1563" s="353"/>
      <c r="AB1563" s="731"/>
      <c r="AC1563" s="731"/>
    </row>
    <row r="1564" ht="13.8" spans="1:29">
      <c r="A1564" s="353"/>
      <c r="B1564" s="613"/>
      <c r="C1564" s="353"/>
      <c r="D1564" s="353"/>
      <c r="E1564" s="353"/>
      <c r="F1564" s="353"/>
      <c r="G1564" s="353"/>
      <c r="H1564" s="353"/>
      <c r="I1564" s="731"/>
      <c r="J1564" s="613"/>
      <c r="K1564" s="613"/>
      <c r="L1564" s="353"/>
      <c r="M1564" s="353"/>
      <c r="N1564" s="353"/>
      <c r="O1564" s="764"/>
      <c r="P1564" s="353"/>
      <c r="Q1564" s="353"/>
      <c r="R1564" s="353"/>
      <c r="S1564" s="353"/>
      <c r="T1564" s="353"/>
      <c r="U1564" s="353"/>
      <c r="V1564" s="731"/>
      <c r="W1564" s="353"/>
      <c r="X1564" s="353"/>
      <c r="Y1564" s="353"/>
      <c r="Z1564" s="731"/>
      <c r="AA1564" s="353"/>
      <c r="AB1564" s="731"/>
      <c r="AC1564" s="731"/>
    </row>
    <row r="1565" ht="13.8" spans="1:29">
      <c r="A1565" s="353"/>
      <c r="B1565" s="613"/>
      <c r="C1565" s="353"/>
      <c r="D1565" s="353"/>
      <c r="E1565" s="353"/>
      <c r="F1565" s="353"/>
      <c r="G1565" s="353"/>
      <c r="H1565" s="353"/>
      <c r="I1565" s="731"/>
      <c r="J1565" s="613"/>
      <c r="K1565" s="613"/>
      <c r="L1565" s="353"/>
      <c r="M1565" s="353"/>
      <c r="N1565" s="353"/>
      <c r="O1565" s="764"/>
      <c r="P1565" s="353"/>
      <c r="Q1565" s="353"/>
      <c r="R1565" s="353"/>
      <c r="S1565" s="353"/>
      <c r="T1565" s="353"/>
      <c r="U1565" s="353"/>
      <c r="V1565" s="731"/>
      <c r="W1565" s="353"/>
      <c r="X1565" s="353"/>
      <c r="Y1565" s="353"/>
      <c r="Z1565" s="731"/>
      <c r="AA1565" s="353"/>
      <c r="AB1565" s="731"/>
      <c r="AC1565" s="731"/>
    </row>
    <row r="1566" ht="13.8" spans="1:29">
      <c r="A1566" s="353"/>
      <c r="B1566" s="613"/>
      <c r="C1566" s="353"/>
      <c r="D1566" s="353"/>
      <c r="E1566" s="353"/>
      <c r="F1566" s="353"/>
      <c r="G1566" s="353"/>
      <c r="H1566" s="353"/>
      <c r="I1566" s="731"/>
      <c r="J1566" s="613"/>
      <c r="K1566" s="613"/>
      <c r="L1566" s="353"/>
      <c r="M1566" s="353"/>
      <c r="N1566" s="353"/>
      <c r="O1566" s="764"/>
      <c r="P1566" s="353"/>
      <c r="Q1566" s="353"/>
      <c r="R1566" s="353"/>
      <c r="S1566" s="353"/>
      <c r="T1566" s="353"/>
      <c r="U1566" s="353"/>
      <c r="V1566" s="731"/>
      <c r="W1566" s="353"/>
      <c r="X1566" s="353"/>
      <c r="Y1566" s="353"/>
      <c r="Z1566" s="731"/>
      <c r="AA1566" s="353"/>
      <c r="AB1566" s="731"/>
      <c r="AC1566" s="731"/>
    </row>
    <row r="1567" ht="13.8" spans="1:29">
      <c r="A1567" s="353"/>
      <c r="B1567" s="613"/>
      <c r="C1567" s="353"/>
      <c r="D1567" s="353"/>
      <c r="E1567" s="353"/>
      <c r="F1567" s="353"/>
      <c r="G1567" s="353"/>
      <c r="H1567" s="353"/>
      <c r="I1567" s="731"/>
      <c r="J1567" s="613"/>
      <c r="K1567" s="613"/>
      <c r="L1567" s="353"/>
      <c r="M1567" s="353"/>
      <c r="N1567" s="353"/>
      <c r="O1567" s="764"/>
      <c r="P1567" s="353"/>
      <c r="Q1567" s="353"/>
      <c r="R1567" s="353"/>
      <c r="S1567" s="353"/>
      <c r="T1567" s="353"/>
      <c r="U1567" s="353"/>
      <c r="V1567" s="731"/>
      <c r="W1567" s="353"/>
      <c r="X1567" s="353"/>
      <c r="Y1567" s="353"/>
      <c r="Z1567" s="731"/>
      <c r="AA1567" s="353"/>
      <c r="AB1567" s="731"/>
      <c r="AC1567" s="731"/>
    </row>
    <row r="1568" ht="13.8" spans="1:29">
      <c r="A1568" s="353"/>
      <c r="B1568" s="613"/>
      <c r="C1568" s="353"/>
      <c r="D1568" s="353"/>
      <c r="E1568" s="353"/>
      <c r="F1568" s="353"/>
      <c r="G1568" s="353"/>
      <c r="H1568" s="353"/>
      <c r="I1568" s="731"/>
      <c r="J1568" s="613"/>
      <c r="K1568" s="613"/>
      <c r="L1568" s="353"/>
      <c r="M1568" s="353"/>
      <c r="N1568" s="353"/>
      <c r="O1568" s="764"/>
      <c r="P1568" s="353"/>
      <c r="Q1568" s="353"/>
      <c r="R1568" s="353"/>
      <c r="S1568" s="353"/>
      <c r="T1568" s="353"/>
      <c r="U1568" s="353"/>
      <c r="V1568" s="731"/>
      <c r="W1568" s="353"/>
      <c r="X1568" s="353"/>
      <c r="Y1568" s="353"/>
      <c r="Z1568" s="731"/>
      <c r="AA1568" s="353"/>
      <c r="AB1568" s="731"/>
      <c r="AC1568" s="731"/>
    </row>
    <row r="1569" ht="13.8" spans="1:29">
      <c r="A1569" s="353"/>
      <c r="B1569" s="613"/>
      <c r="C1569" s="353"/>
      <c r="D1569" s="353"/>
      <c r="E1569" s="353"/>
      <c r="F1569" s="353"/>
      <c r="G1569" s="353"/>
      <c r="H1569" s="353"/>
      <c r="I1569" s="731"/>
      <c r="J1569" s="613"/>
      <c r="K1569" s="613"/>
      <c r="L1569" s="353"/>
      <c r="M1569" s="353"/>
      <c r="N1569" s="353"/>
      <c r="O1569" s="764"/>
      <c r="P1569" s="353"/>
      <c r="Q1569" s="353"/>
      <c r="R1569" s="353"/>
      <c r="S1569" s="353"/>
      <c r="T1569" s="353"/>
      <c r="U1569" s="353"/>
      <c r="V1569" s="731"/>
      <c r="W1569" s="353"/>
      <c r="X1569" s="353"/>
      <c r="Y1569" s="353"/>
      <c r="Z1569" s="731"/>
      <c r="AA1569" s="353"/>
      <c r="AB1569" s="731"/>
      <c r="AC1569" s="731"/>
    </row>
    <row r="1570" ht="13.8" spans="1:29">
      <c r="A1570" s="353"/>
      <c r="B1570" s="613"/>
      <c r="C1570" s="353"/>
      <c r="D1570" s="353"/>
      <c r="E1570" s="353"/>
      <c r="F1570" s="353"/>
      <c r="G1570" s="353"/>
      <c r="H1570" s="353"/>
      <c r="I1570" s="731"/>
      <c r="J1570" s="613"/>
      <c r="K1570" s="613"/>
      <c r="L1570" s="353"/>
      <c r="M1570" s="353"/>
      <c r="N1570" s="353"/>
      <c r="O1570" s="764"/>
      <c r="P1570" s="353"/>
      <c r="Q1570" s="353"/>
      <c r="R1570" s="353"/>
      <c r="S1570" s="353"/>
      <c r="T1570" s="353"/>
      <c r="U1570" s="353"/>
      <c r="V1570" s="731"/>
      <c r="W1570" s="353"/>
      <c r="X1570" s="353"/>
      <c r="Y1570" s="353"/>
      <c r="Z1570" s="731"/>
      <c r="AA1570" s="353"/>
      <c r="AB1570" s="731"/>
      <c r="AC1570" s="731"/>
    </row>
    <row r="1571" ht="13.8" spans="1:29">
      <c r="A1571" s="353"/>
      <c r="B1571" s="613"/>
      <c r="C1571" s="353"/>
      <c r="D1571" s="353"/>
      <c r="E1571" s="353"/>
      <c r="F1571" s="353"/>
      <c r="G1571" s="353"/>
      <c r="H1571" s="353"/>
      <c r="I1571" s="731"/>
      <c r="J1571" s="613"/>
      <c r="K1571" s="613"/>
      <c r="L1571" s="353"/>
      <c r="M1571" s="353"/>
      <c r="N1571" s="353"/>
      <c r="O1571" s="764"/>
      <c r="P1571" s="353"/>
      <c r="Q1571" s="353"/>
      <c r="R1571" s="353"/>
      <c r="S1571" s="353"/>
      <c r="T1571" s="353"/>
      <c r="U1571" s="353"/>
      <c r="V1571" s="731"/>
      <c r="W1571" s="353"/>
      <c r="X1571" s="353"/>
      <c r="Y1571" s="353"/>
      <c r="Z1571" s="731"/>
      <c r="AA1571" s="353"/>
      <c r="AB1571" s="731"/>
      <c r="AC1571" s="731"/>
    </row>
  </sheetData>
  <mergeCells count="25">
    <mergeCell ref="A1:D1"/>
    <mergeCell ref="E2:J2"/>
    <mergeCell ref="R2:T2"/>
    <mergeCell ref="V2:Y2"/>
    <mergeCell ref="A4:B4"/>
    <mergeCell ref="A177:B177"/>
    <mergeCell ref="A354:B354"/>
    <mergeCell ref="A541:B541"/>
    <mergeCell ref="A720:B720"/>
    <mergeCell ref="A744:B744"/>
    <mergeCell ref="A2:A3"/>
    <mergeCell ref="B2:B3"/>
    <mergeCell ref="C2:C3"/>
    <mergeCell ref="D2:D3"/>
    <mergeCell ref="K2:K3"/>
    <mergeCell ref="L2:L3"/>
    <mergeCell ref="M2:M3"/>
    <mergeCell ref="N2:N3"/>
    <mergeCell ref="O2:O3"/>
    <mergeCell ref="P2:P3"/>
    <mergeCell ref="Q2:Q3"/>
    <mergeCell ref="U2:U3"/>
    <mergeCell ref="Z2:Z3"/>
    <mergeCell ref="AA2:AA3"/>
    <mergeCell ref="AB2:AB3"/>
  </mergeCells>
  <conditionalFormatting sqref="M6:M82 M84:M102 M104:M121 M123:M131 M133:M176 M179:M327 M329:M354 M356:M436 M438:M471 M473:M497 M499:M514 M516:M541 M543:M593 M595:M625 M627:M641 M643:M647 M649:M661 M663:M670 M672:M674 M676:M687 M689:M861">
    <cfRule type="expression" dxfId="2" priority="1">
      <formula>COUNTIF(M:M,M6)&gt;1</formula>
    </cfRule>
    <cfRule type="expression" dxfId="1" priority="2">
      <formula>$K6="Hư hỏng"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8761D"/>
    <outlinePr summaryBelow="0" summaryRight="0"/>
  </sheetPr>
  <dimension ref="A1:U1310"/>
  <sheetViews>
    <sheetView workbookViewId="0">
      <pane xSplit="4" ySplit="3" topLeftCell="E4" activePane="bottomRight" state="frozen"/>
      <selection/>
      <selection pane="topRight"/>
      <selection pane="bottomLeft"/>
      <selection pane="bottomRight" activeCell="E4" sqref="E4"/>
    </sheetView>
  </sheetViews>
  <sheetFormatPr defaultColWidth="12.6333333333333" defaultRowHeight="15" customHeight="1"/>
  <cols>
    <col min="1" max="1" width="8.88333333333333" customWidth="1"/>
    <col min="2" max="2" width="37.25" customWidth="1"/>
    <col min="3" max="3" width="38.25" customWidth="1"/>
    <col min="4" max="4" width="15.6333333333333" customWidth="1"/>
    <col min="8" max="8" width="18.6333333333333" customWidth="1"/>
    <col min="9" max="9" width="14.75" customWidth="1"/>
    <col min="10" max="10" width="18.3833333333333" customWidth="1"/>
    <col min="15" max="17" width="18.25" customWidth="1"/>
    <col min="18" max="19" width="22.25" customWidth="1"/>
    <col min="20" max="20" width="17.1333333333333" customWidth="1"/>
    <col min="21" max="21" width="22.25" customWidth="1"/>
  </cols>
  <sheetData>
    <row r="1" ht="24.75" customHeight="1" spans="1:21">
      <c r="A1" s="689" t="s">
        <v>6004</v>
      </c>
      <c r="B1" s="271"/>
      <c r="C1" s="271"/>
      <c r="D1" s="690"/>
      <c r="E1" s="690"/>
      <c r="F1" s="690"/>
      <c r="G1" s="690"/>
      <c r="H1" s="691"/>
      <c r="I1" s="690"/>
      <c r="J1" s="692"/>
      <c r="K1" s="690"/>
      <c r="L1" s="690"/>
      <c r="M1" s="690"/>
      <c r="N1" s="692"/>
      <c r="O1" s="692"/>
      <c r="P1" s="692"/>
      <c r="Q1" s="692"/>
      <c r="R1" s="692"/>
      <c r="S1" s="692"/>
      <c r="T1" s="692"/>
      <c r="U1" s="693"/>
    </row>
    <row r="2" ht="25.5" customHeight="1" spans="1:21">
      <c r="A2" s="694" t="s">
        <v>2</v>
      </c>
      <c r="B2" s="694" t="s">
        <v>6005</v>
      </c>
      <c r="C2" s="694" t="s">
        <v>6006</v>
      </c>
      <c r="D2" s="694" t="s">
        <v>6007</v>
      </c>
      <c r="E2" s="695" t="s">
        <v>6008</v>
      </c>
      <c r="F2" s="271"/>
      <c r="G2" s="271"/>
      <c r="H2" s="694" t="s">
        <v>6009</v>
      </c>
      <c r="I2" s="696" t="s">
        <v>6010</v>
      </c>
      <c r="J2" s="694" t="s">
        <v>5953</v>
      </c>
      <c r="K2" s="695" t="s">
        <v>5958</v>
      </c>
      <c r="L2" s="271"/>
      <c r="M2" s="272"/>
      <c r="N2" s="696" t="s">
        <v>5959</v>
      </c>
      <c r="O2" s="697" t="s">
        <v>5960</v>
      </c>
      <c r="P2" s="271"/>
      <c r="Q2" s="271"/>
      <c r="R2" s="272"/>
      <c r="S2" s="694" t="s">
        <v>5961</v>
      </c>
      <c r="T2" s="698" t="s">
        <v>6011</v>
      </c>
      <c r="U2" s="698" t="s">
        <v>5963</v>
      </c>
    </row>
    <row r="3" ht="25.5" customHeight="1" spans="1:21">
      <c r="A3" s="278"/>
      <c r="B3" s="278"/>
      <c r="C3" s="278"/>
      <c r="D3" s="278"/>
      <c r="E3" s="699" t="s">
        <v>5964</v>
      </c>
      <c r="F3" s="699" t="s">
        <v>5965</v>
      </c>
      <c r="G3" s="699" t="s">
        <v>5966</v>
      </c>
      <c r="H3" s="278"/>
      <c r="I3" s="278"/>
      <c r="J3" s="278"/>
      <c r="K3" s="699" t="s">
        <v>5970</v>
      </c>
      <c r="L3" s="699" t="s">
        <v>5971</v>
      </c>
      <c r="M3" s="699" t="s">
        <v>5972</v>
      </c>
      <c r="N3" s="278"/>
      <c r="O3" s="700" t="s">
        <v>6012</v>
      </c>
      <c r="P3" s="700" t="s">
        <v>5973</v>
      </c>
      <c r="Q3" s="700" t="s">
        <v>6013</v>
      </c>
      <c r="R3" s="700" t="s">
        <v>6014</v>
      </c>
      <c r="S3" s="278"/>
      <c r="T3" s="701"/>
      <c r="U3" s="701"/>
    </row>
    <row r="4" ht="13.8" spans="1:21">
      <c r="A4" s="702" t="s">
        <v>6015</v>
      </c>
      <c r="B4" s="271"/>
      <c r="C4" s="272"/>
      <c r="D4" s="703"/>
      <c r="E4" s="703"/>
      <c r="F4" s="703"/>
      <c r="G4" s="703"/>
      <c r="H4" s="703"/>
      <c r="I4" s="703"/>
      <c r="J4" s="60"/>
      <c r="K4" s="703"/>
      <c r="L4" s="703"/>
      <c r="M4" s="703"/>
      <c r="N4" s="60"/>
      <c r="O4" s="60"/>
      <c r="P4" s="60"/>
      <c r="Q4" s="60"/>
      <c r="R4" s="60"/>
      <c r="S4" s="60"/>
      <c r="T4" s="704"/>
      <c r="U4" s="704"/>
    </row>
    <row r="5" ht="13.8" spans="1:21">
      <c r="A5" s="705" t="s">
        <v>6016</v>
      </c>
      <c r="B5" s="271"/>
      <c r="C5" s="272"/>
      <c r="D5" s="26">
        <f>SUM(D6:D45)</f>
        <v>38</v>
      </c>
      <c r="E5" s="30"/>
      <c r="F5" s="30"/>
      <c r="G5" s="30"/>
      <c r="H5" s="30"/>
      <c r="I5" s="30"/>
      <c r="J5" s="29"/>
      <c r="K5" s="30"/>
      <c r="L5" s="30"/>
      <c r="M5" s="30"/>
      <c r="N5" s="29"/>
      <c r="O5" s="29"/>
      <c r="P5" s="29"/>
      <c r="Q5" s="29"/>
      <c r="R5" s="29"/>
      <c r="S5" s="29"/>
      <c r="T5" s="706"/>
      <c r="U5" s="706"/>
    </row>
    <row r="6" ht="13.8" spans="1:21">
      <c r="A6" s="707">
        <v>1</v>
      </c>
      <c r="B6" s="707" t="s">
        <v>6017</v>
      </c>
      <c r="C6" s="20" t="str">
        <f>IFERROR(VLOOKUP(J6,'03. THIẾT BỊ'!$B$1:$U$836,5,0),"")</f>
        <v>Thiết bị phun vôi/rải vô cơ</v>
      </c>
      <c r="D6" s="19">
        <v>1</v>
      </c>
      <c r="E6" s="19"/>
      <c r="F6" s="19"/>
      <c r="G6" s="19"/>
      <c r="H6" s="19">
        <f>IFERROR(VLOOKUP(J6,'03. THIẾT BỊ'!$B$1:$U$836,19,0),"")</f>
        <v>3.8</v>
      </c>
      <c r="I6" s="19" t="str">
        <f>IFERROR(VLOOKUP(J6,'03. THIẾT BỊ'!$B$1:$U$836,20,0),"")</f>
        <v>8 Ha/8h</v>
      </c>
      <c r="J6" s="20" t="s">
        <v>3940</v>
      </c>
      <c r="K6" s="19"/>
      <c r="L6" s="19"/>
      <c r="M6" s="19" t="s">
        <v>5978</v>
      </c>
      <c r="N6" s="19" t="str">
        <f>IFERROR(VLOOKUP(J6,'03. THIẾT BỊ'!$B$1:$U$836,4,0),"")</f>
        <v>ĐQSD</v>
      </c>
      <c r="O6" s="19" t="str">
        <f>IFERROR(VLOOKUP(J6,'03. THIẾT BỊ'!$B$1:$U$836,7,0),"")</f>
        <v>CGLĐ DP</v>
      </c>
      <c r="P6" s="353" t="str">
        <f>IFERROR(VLOOKUP(O6,'NS QUẢN LÝ CG'!$A$4:$D$36,2,0),"")</f>
        <v>Nguyễn Tấn Triều</v>
      </c>
      <c r="Q6" s="353" t="str">
        <f>IFERROR(VLOOKUP(O6,'NS QUẢN LÝ CG'!$A$4:$D$36,4,0),"")</f>
        <v>Lô 85 DP4</v>
      </c>
      <c r="R6" s="1104" t="str">
        <f>IFERROR(VLOOKUP(O6,'NS QUẢN LÝ CG'!$A$4:$C$36,3,0),"")</f>
        <v>05974160290</v>
      </c>
      <c r="S6" s="20" t="str">
        <f>IFERROR(VLOOKUP(J6,'03. THIẾT BỊ'!$B$1:$S$836,3,0),"")</f>
        <v>A23-RVO-001</v>
      </c>
      <c r="T6" s="708" t="str">
        <f t="shared" ref="T6:T43" si="0">_xlfn.SWITCH(LEFT(S6,3),"A22","ADM","A23","DP","A24","LP","")</f>
        <v>DP</v>
      </c>
      <c r="U6" s="708"/>
    </row>
    <row r="7" ht="13.8" spans="1:21">
      <c r="A7" s="275"/>
      <c r="B7" s="275"/>
      <c r="C7" s="20" t="str">
        <f>IFERROR(VLOOKUP(J7,'03. THIẾT BỊ'!$B$1:$U$836,5,0),"")</f>
        <v>Thiết bị phun vôi/rải vô cơ</v>
      </c>
      <c r="D7" s="19">
        <v>1</v>
      </c>
      <c r="E7" s="19"/>
      <c r="F7" s="19"/>
      <c r="G7" s="19"/>
      <c r="H7" s="19">
        <f>IFERROR(VLOOKUP(J7,'03. THIẾT BỊ'!$B$1:$U$836,19,0),"")</f>
        <v>3.8</v>
      </c>
      <c r="I7" s="19" t="str">
        <f>IFERROR(VLOOKUP(J7,'03. THIẾT BỊ'!$B$1:$U$836,20,0),"")</f>
        <v>8 Ha/8h</v>
      </c>
      <c r="J7" s="20" t="s">
        <v>3944</v>
      </c>
      <c r="K7" s="19" t="s">
        <v>5978</v>
      </c>
      <c r="L7" s="19"/>
      <c r="M7" s="19"/>
      <c r="N7" s="19" t="str">
        <f>IFERROR(VLOOKUP(J7,'03. THIẾT BỊ'!$B$1:$U$836,4,0),"")</f>
        <v>MUA MỚI</v>
      </c>
      <c r="O7" s="19" t="str">
        <f>IFERROR(VLOOKUP(J7,'03. THIẾT BỊ'!$B$1:$U$836,7,0),"")</f>
        <v>CGLĐ DP</v>
      </c>
      <c r="P7" s="353" t="str">
        <f>IFERROR(VLOOKUP(O7,'NS QUẢN LÝ CG'!$A$4:$D$36,2,0),"")</f>
        <v>Nguyễn Tấn Triều</v>
      </c>
      <c r="Q7" s="353" t="str">
        <f>IFERROR(VLOOKUP(O7,'NS QUẢN LÝ CG'!$A$4:$D$36,4,0),"")</f>
        <v>Lô 85 DP4</v>
      </c>
      <c r="R7" s="1104" t="str">
        <f>IFERROR(VLOOKUP(O7,'NS QUẢN LÝ CG'!$A$4:$C$36,3,0),"")</f>
        <v>05974160290</v>
      </c>
      <c r="S7" s="20" t="str">
        <f>IFERROR(VLOOKUP(J7,'03. THIẾT BỊ'!$B$1:$S$836,3,0),"")</f>
        <v>A23-RVO-005</v>
      </c>
      <c r="T7" s="708" t="str">
        <f t="shared" si="0"/>
        <v>DP</v>
      </c>
      <c r="U7" s="708"/>
    </row>
    <row r="8" ht="13.8" spans="1:21">
      <c r="A8" s="275"/>
      <c r="B8" s="275"/>
      <c r="C8" s="20" t="str">
        <f>IFERROR(VLOOKUP(J8,'03. THIẾT BỊ'!$B$1:$U$836,5,0),"")</f>
        <v>Thiết bị phun vôi/rải vô cơ</v>
      </c>
      <c r="D8" s="19">
        <v>1</v>
      </c>
      <c r="E8" s="19"/>
      <c r="F8" s="19"/>
      <c r="G8" s="19"/>
      <c r="H8" s="19">
        <f>IFERROR(VLOOKUP(J8,'03. THIẾT BỊ'!$B$1:$U$836,19,0),"")</f>
        <v>3.8</v>
      </c>
      <c r="I8" s="19" t="str">
        <f>IFERROR(VLOOKUP(J8,'03. THIẾT BỊ'!$B$1:$U$836,20,0),"")</f>
        <v>8 Ha/8h</v>
      </c>
      <c r="J8" s="20" t="s">
        <v>4106</v>
      </c>
      <c r="K8" s="19"/>
      <c r="L8" s="19"/>
      <c r="M8" s="19" t="s">
        <v>5978</v>
      </c>
      <c r="N8" s="19" t="str">
        <f>IFERROR(VLOOKUP(J8,'03. THIẾT BỊ'!$B$1:$U$836,4,0),"")</f>
        <v>ĐQSD</v>
      </c>
      <c r="O8" s="19" t="str">
        <f>IFERROR(VLOOKUP(J8,'03. THIẾT BỊ'!$B$1:$U$836,7,0),"")</f>
        <v>CGLĐ LP</v>
      </c>
      <c r="P8" s="353" t="str">
        <f>IFERROR(VLOOKUP(O8,'NS QUẢN LÝ CG'!$A$4:$D$36,2,0),"")</f>
        <v>Nguyễn Tấn Triều</v>
      </c>
      <c r="Q8" s="353" t="str">
        <f>IFERROR(VLOOKUP(O8,'NS QUẢN LÝ CG'!$A$4:$D$36,4,0),"")</f>
        <v>LP3.5-LP3</v>
      </c>
      <c r="R8" s="1104" t="str">
        <f>IFERROR(VLOOKUP(O8,'NS QUẢN LÝ CG'!$A$4:$C$36,3,0),"")</f>
        <v>05974160290</v>
      </c>
      <c r="S8" s="20" t="str">
        <f>IFERROR(VLOOKUP(J8,'03. THIẾT BỊ'!$B$1:$S$836,3,0),"")</f>
        <v>A24-RVO-003</v>
      </c>
      <c r="T8" s="708" t="str">
        <f t="shared" si="0"/>
        <v>LP</v>
      </c>
      <c r="U8" s="708"/>
    </row>
    <row r="9" ht="13.8" spans="1:21">
      <c r="A9" s="278"/>
      <c r="B9" s="278"/>
      <c r="C9" s="20" t="str">
        <f>IFERROR(VLOOKUP(J9,'03. THIẾT BỊ'!$B$1:$U$836,5,0),"")</f>
        <v>Thiết bị phun vôi/rải vô cơ</v>
      </c>
      <c r="D9" s="19">
        <v>1</v>
      </c>
      <c r="E9" s="19"/>
      <c r="F9" s="19"/>
      <c r="G9" s="19"/>
      <c r="H9" s="19">
        <f>IFERROR(VLOOKUP(J9,'03. THIẾT BỊ'!$B$1:$U$836,19,0),"")</f>
        <v>3.8</v>
      </c>
      <c r="I9" s="19" t="str">
        <f>IFERROR(VLOOKUP(J9,'03. THIẾT BỊ'!$B$1:$U$836,20,0),"")</f>
        <v>8 Ha/8h</v>
      </c>
      <c r="J9" s="20" t="s">
        <v>4109</v>
      </c>
      <c r="K9" s="19" t="s">
        <v>5978</v>
      </c>
      <c r="L9" s="19"/>
      <c r="M9" s="19"/>
      <c r="N9" s="19" t="str">
        <f>IFERROR(VLOOKUP(J9,'03. THIẾT BỊ'!$B$1:$U$836,4,0),"")</f>
        <v>MUA MỚI</v>
      </c>
      <c r="O9" s="19" t="str">
        <f>IFERROR(VLOOKUP(J9,'03. THIẾT BỊ'!$B$1:$U$836,7,0),"")</f>
        <v>CGLĐ LP</v>
      </c>
      <c r="P9" s="353" t="str">
        <f>IFERROR(VLOOKUP(O9,'NS QUẢN LÝ CG'!$A$4:$D$36,2,0),"")</f>
        <v>Nguyễn Tấn Triều</v>
      </c>
      <c r="Q9" s="353" t="str">
        <f>IFERROR(VLOOKUP(O9,'NS QUẢN LÝ CG'!$A$4:$D$36,4,0),"")</f>
        <v>LP3.5-LP3</v>
      </c>
      <c r="R9" s="1104" t="str">
        <f>IFERROR(VLOOKUP(O9,'NS QUẢN LÝ CG'!$A$4:$C$36,3,0),"")</f>
        <v>05974160290</v>
      </c>
      <c r="S9" s="20" t="str">
        <f>IFERROR(VLOOKUP(J9,'03. THIẾT BỊ'!$B$1:$S$836,3,0),"")</f>
        <v>A23-RVO-006</v>
      </c>
      <c r="T9" s="708" t="str">
        <f t="shared" si="0"/>
        <v>DP</v>
      </c>
      <c r="U9" s="708"/>
    </row>
    <row r="10" ht="13.8" spans="1:21">
      <c r="A10" s="707">
        <v>2</v>
      </c>
      <c r="B10" s="707" t="s">
        <v>6018</v>
      </c>
      <c r="C10" s="20" t="str">
        <f>IFERROR(VLOOKUP(J10,'03. THIẾT BỊ'!$B$1:$U$836,5,0),"")</f>
        <v>Thiết bị cày ngầm 3 trụ</v>
      </c>
      <c r="D10" s="19">
        <v>1</v>
      </c>
      <c r="E10" s="19"/>
      <c r="F10" s="19"/>
      <c r="G10" s="19"/>
      <c r="H10" s="19">
        <f>IFERROR(VLOOKUP(J10,'03. THIẾT BỊ'!$B$1:$U$836,19,0),"")</f>
        <v>13</v>
      </c>
      <c r="I10" s="19" t="str">
        <f>IFERROR(VLOOKUP(J10,'03. THIẾT BỊ'!$B$1:$U$836,20,0),"")</f>
        <v>4.1 ha/8h</v>
      </c>
      <c r="J10" s="20" t="s">
        <v>3920</v>
      </c>
      <c r="K10" s="19"/>
      <c r="L10" s="19" t="s">
        <v>5978</v>
      </c>
      <c r="M10" s="19"/>
      <c r="N10" s="19" t="str">
        <f>IFERROR(VLOOKUP(J10,'03. THIẾT BỊ'!$B$1:$U$836,4,0),"")</f>
        <v>ĐQSD</v>
      </c>
      <c r="O10" s="19" t="str">
        <f>IFERROR(VLOOKUP(J10,'03. THIẾT BỊ'!$B$1:$U$836,7,0),"")</f>
        <v>CGLĐ DP</v>
      </c>
      <c r="P10" s="353" t="str">
        <f>IFERROR(VLOOKUP(O10,'NS QUẢN LÝ CG'!$A$4:$D$36,2,0),"")</f>
        <v>Nguyễn Tấn Triều</v>
      </c>
      <c r="Q10" s="353" t="str">
        <f>IFERROR(VLOOKUP(O10,'NS QUẢN LÝ CG'!$A$4:$D$36,4,0),"")</f>
        <v>Lô 85 DP4</v>
      </c>
      <c r="R10" s="1104" t="str">
        <f>IFERROR(VLOOKUP(O10,'NS QUẢN LÝ CG'!$A$4:$C$36,3,0),"")</f>
        <v>05974160290</v>
      </c>
      <c r="S10" s="20" t="str">
        <f>IFERROR(VLOOKUP(J10,'03. THIẾT BỊ'!$B$1:$S$836,3,0),"")</f>
        <v>A23-CNA-001</v>
      </c>
      <c r="T10" s="708" t="str">
        <f t="shared" si="0"/>
        <v>DP</v>
      </c>
      <c r="U10" s="708"/>
    </row>
    <row r="11" ht="13.8" spans="1:21">
      <c r="A11" s="275"/>
      <c r="B11" s="275"/>
      <c r="C11" s="20" t="str">
        <f>IFERROR(VLOOKUP(J11,'03. THIẾT BỊ'!$B$1:$U$836,5,0),"")</f>
        <v>Thiết bị cày ngầm 3 trụ</v>
      </c>
      <c r="D11" s="19">
        <v>1</v>
      </c>
      <c r="E11" s="19"/>
      <c r="F11" s="19"/>
      <c r="G11" s="19"/>
      <c r="H11" s="19">
        <f>IFERROR(VLOOKUP(J11,'03. THIẾT BỊ'!$B$1:$U$836,19,0),"")</f>
        <v>13</v>
      </c>
      <c r="I11" s="19" t="str">
        <f>IFERROR(VLOOKUP(J11,'03. THIẾT BỊ'!$B$1:$U$836,20,0),"")</f>
        <v>4.1 ha/8h</v>
      </c>
      <c r="J11" s="20" t="s">
        <v>3923</v>
      </c>
      <c r="K11" s="19" t="s">
        <v>5978</v>
      </c>
      <c r="L11" s="19"/>
      <c r="M11" s="19"/>
      <c r="N11" s="19" t="str">
        <f>IFERROR(VLOOKUP(J11,'03. THIẾT BỊ'!$B$1:$U$836,4,0),"")</f>
        <v>ĐQSD</v>
      </c>
      <c r="O11" s="19" t="str">
        <f>IFERROR(VLOOKUP(J11,'03. THIẾT BỊ'!$B$1:$U$836,7,0),"")</f>
        <v>CGLĐ DP</v>
      </c>
      <c r="P11" s="353" t="str">
        <f>IFERROR(VLOOKUP(O11,'NS QUẢN LÝ CG'!$A$4:$D$36,2,0),"")</f>
        <v>Nguyễn Tấn Triều</v>
      </c>
      <c r="Q11" s="353" t="str">
        <f>IFERROR(VLOOKUP(O11,'NS QUẢN LÝ CG'!$A$4:$D$36,4,0),"")</f>
        <v>Lô 85 DP4</v>
      </c>
      <c r="R11" s="1104" t="str">
        <f>IFERROR(VLOOKUP(O11,'NS QUẢN LÝ CG'!$A$4:$C$36,3,0),"")</f>
        <v>05974160290</v>
      </c>
      <c r="S11" s="20" t="str">
        <f>IFERROR(VLOOKUP(J11,'03. THIẾT BỊ'!$B$1:$S$836,3,0),"")</f>
        <v>A23-CNA-005</v>
      </c>
      <c r="T11" s="708" t="str">
        <f t="shared" si="0"/>
        <v>DP</v>
      </c>
      <c r="U11" s="708"/>
    </row>
    <row r="12" ht="13.8" spans="1:21">
      <c r="A12" s="275"/>
      <c r="B12" s="275"/>
      <c r="C12" s="20" t="str">
        <f>IFERROR(VLOOKUP(J12,'03. THIẾT BỊ'!$B$1:$U$836,5,0),"")</f>
        <v>Thiết bị cày ngầm 3 trụ</v>
      </c>
      <c r="D12" s="19">
        <v>1</v>
      </c>
      <c r="E12" s="19"/>
      <c r="F12" s="19"/>
      <c r="G12" s="19"/>
      <c r="H12" s="19">
        <f>IFERROR(VLOOKUP(J12,'03. THIẾT BỊ'!$B$1:$U$836,19,0),"")</f>
        <v>13</v>
      </c>
      <c r="I12" s="19" t="str">
        <f>IFERROR(VLOOKUP(J12,'03. THIẾT BỊ'!$B$1:$U$836,20,0),"")</f>
        <v>4.1 ha/8h</v>
      </c>
      <c r="J12" s="20" t="s">
        <v>4098</v>
      </c>
      <c r="K12" s="19"/>
      <c r="L12" s="19"/>
      <c r="M12" s="19" t="s">
        <v>5978</v>
      </c>
      <c r="N12" s="19" t="str">
        <f>IFERROR(VLOOKUP(J12,'03. THIẾT BỊ'!$B$1:$U$836,4,0),"")</f>
        <v>ĐQSD</v>
      </c>
      <c r="O12" s="19" t="str">
        <f>IFERROR(VLOOKUP(J12,'03. THIẾT BỊ'!$B$1:$U$836,7,0),"")</f>
        <v>CGLĐ LP</v>
      </c>
      <c r="P12" s="353" t="str">
        <f>IFERROR(VLOOKUP(O12,'NS QUẢN LÝ CG'!$A$4:$D$36,2,0),"")</f>
        <v>Nguyễn Tấn Triều</v>
      </c>
      <c r="Q12" s="353" t="str">
        <f>IFERROR(VLOOKUP(O12,'NS QUẢN LÝ CG'!$A$4:$D$36,4,0),"")</f>
        <v>LP3.5-LP3</v>
      </c>
      <c r="R12" s="1104" t="str">
        <f>IFERROR(VLOOKUP(O12,'NS QUẢN LÝ CG'!$A$4:$C$36,3,0),"")</f>
        <v>05974160290</v>
      </c>
      <c r="S12" s="20" t="str">
        <f>IFERROR(VLOOKUP(J12,'03. THIẾT BỊ'!$B$1:$S$836,3,0),"")</f>
        <v>A24-CNA-002</v>
      </c>
      <c r="T12" s="708" t="str">
        <f t="shared" si="0"/>
        <v>LP</v>
      </c>
      <c r="U12" s="708"/>
    </row>
    <row r="13" ht="13.8" spans="1:21">
      <c r="A13" s="275"/>
      <c r="B13" s="275"/>
      <c r="C13" s="20" t="str">
        <f>IFERROR(VLOOKUP(J13,'03. THIẾT BỊ'!$B$1:$U$836,5,0),"")</f>
        <v>Thiết bị cày ngầm 3 trụ</v>
      </c>
      <c r="D13" s="19">
        <v>1</v>
      </c>
      <c r="E13" s="19"/>
      <c r="F13" s="19"/>
      <c r="G13" s="19"/>
      <c r="H13" s="19">
        <f>IFERROR(VLOOKUP(J13,'03. THIẾT BỊ'!$B$1:$U$836,19,0),"")</f>
        <v>13</v>
      </c>
      <c r="I13" s="19" t="str">
        <f>IFERROR(VLOOKUP(J13,'03. THIẾT BỊ'!$B$1:$U$836,20,0),"")</f>
        <v>4.1 ha/8h</v>
      </c>
      <c r="J13" s="20" t="s">
        <v>4117</v>
      </c>
      <c r="K13" s="19" t="s">
        <v>5978</v>
      </c>
      <c r="L13" s="19"/>
      <c r="M13" s="19"/>
      <c r="N13" s="19" t="str">
        <f>IFERROR(VLOOKUP(J13,'03. THIẾT BỊ'!$B$1:$U$836,4,0),"")</f>
        <v>ĐQSD</v>
      </c>
      <c r="O13" s="19" t="str">
        <f>IFERROR(VLOOKUP(J13,'03. THIẾT BỊ'!$B$1:$U$836,7,0),"")</f>
        <v>CGLĐ LP</v>
      </c>
      <c r="P13" s="353" t="str">
        <f>IFERROR(VLOOKUP(O13,'NS QUẢN LÝ CG'!$A$4:$D$36,2,0),"")</f>
        <v>Nguyễn Tấn Triều</v>
      </c>
      <c r="Q13" s="353" t="str">
        <f>IFERROR(VLOOKUP(O13,'NS QUẢN LÝ CG'!$A$4:$D$36,4,0),"")</f>
        <v>LP3.5-LP3</v>
      </c>
      <c r="R13" s="1104" t="str">
        <f>IFERROR(VLOOKUP(O13,'NS QUẢN LÝ CG'!$A$4:$C$36,3,0),"")</f>
        <v>05974160290</v>
      </c>
      <c r="S13" s="20" t="str">
        <f>IFERROR(VLOOKUP(J13,'03. THIẾT BỊ'!$B$1:$S$836,3,0),"")</f>
        <v>A24-CNA-004</v>
      </c>
      <c r="T13" s="708" t="str">
        <f t="shared" si="0"/>
        <v>LP</v>
      </c>
      <c r="U13" s="708"/>
    </row>
    <row r="14" ht="13.8" spans="1:21">
      <c r="A14" s="275"/>
      <c r="B14" s="275"/>
      <c r="C14" s="20" t="str">
        <f>IFERROR(VLOOKUP(J14,'03. THIẾT BỊ'!$B$1:$U$836,5,0),"")</f>
        <v>Thiết bị cày ngầm 3 trụ</v>
      </c>
      <c r="D14" s="19">
        <v>1</v>
      </c>
      <c r="E14" s="19"/>
      <c r="F14" s="19"/>
      <c r="G14" s="19"/>
      <c r="H14" s="19">
        <f>IFERROR(VLOOKUP(J14,'03. THIẾT BỊ'!$B$1:$U$836,19,0),"")</f>
        <v>13</v>
      </c>
      <c r="I14" s="19" t="str">
        <f>IFERROR(VLOOKUP(J14,'03. THIẾT BỊ'!$B$1:$U$836,20,0),"")</f>
        <v>4.1 ha/8h</v>
      </c>
      <c r="J14" s="20" t="s">
        <v>4121</v>
      </c>
      <c r="K14" s="19" t="s">
        <v>5978</v>
      </c>
      <c r="L14" s="19"/>
      <c r="M14" s="19"/>
      <c r="N14" s="19" t="str">
        <f>IFERROR(VLOOKUP(J14,'03. THIẾT BỊ'!$B$1:$U$836,4,0),"")</f>
        <v>ĐQSD</v>
      </c>
      <c r="O14" s="19" t="str">
        <f>IFERROR(VLOOKUP(J14,'03. THIẾT BỊ'!$B$1:$U$836,7,0),"")</f>
        <v>CGLĐ LP</v>
      </c>
      <c r="P14" s="353" t="str">
        <f>IFERROR(VLOOKUP(O14,'NS QUẢN LÝ CG'!$A$4:$D$36,2,0),"")</f>
        <v>Nguyễn Tấn Triều</v>
      </c>
      <c r="Q14" s="353" t="str">
        <f>IFERROR(VLOOKUP(O14,'NS QUẢN LÝ CG'!$A$4:$D$36,4,0),"")</f>
        <v>LP3.5-LP3</v>
      </c>
      <c r="R14" s="1104" t="str">
        <f>IFERROR(VLOOKUP(O14,'NS QUẢN LÝ CG'!$A$4:$C$36,3,0),"")</f>
        <v>05974160290</v>
      </c>
      <c r="S14" s="20" t="str">
        <f>IFERROR(VLOOKUP(J14,'03. THIẾT BỊ'!$B$1:$S$836,3,0),"")</f>
        <v>A24-CNA-006</v>
      </c>
      <c r="T14" s="708" t="str">
        <f t="shared" si="0"/>
        <v>LP</v>
      </c>
      <c r="U14" s="708"/>
    </row>
    <row r="15" ht="13.8" spans="1:21">
      <c r="A15" s="278"/>
      <c r="B15" s="278"/>
      <c r="C15" s="20" t="str">
        <f>IFERROR(VLOOKUP(J15,'03. THIẾT BỊ'!$B$1:$U$836,5,0),"")</f>
        <v>Thiết bị cày ngầm 3 trụ</v>
      </c>
      <c r="D15" s="19">
        <v>1</v>
      </c>
      <c r="E15" s="19"/>
      <c r="F15" s="19"/>
      <c r="G15" s="19"/>
      <c r="H15" s="19">
        <f>IFERROR(VLOOKUP(J15,'03. THIẾT BỊ'!$B$1:$U$836,19,0),"")</f>
        <v>13</v>
      </c>
      <c r="I15" s="19" t="str">
        <f>IFERROR(VLOOKUP(J15,'03. THIẾT BỊ'!$B$1:$U$836,20,0),"")</f>
        <v>4.1 ha/8h</v>
      </c>
      <c r="J15" s="20" t="s">
        <v>4123</v>
      </c>
      <c r="K15" s="19" t="s">
        <v>5978</v>
      </c>
      <c r="L15" s="19"/>
      <c r="M15" s="19"/>
      <c r="N15" s="19" t="str">
        <f>IFERROR(VLOOKUP(J15,'03. THIẾT BỊ'!$B$1:$U$836,4,0),"")</f>
        <v>ĐQSD</v>
      </c>
      <c r="O15" s="19" t="str">
        <f>IFERROR(VLOOKUP(J15,'03. THIẾT BỊ'!$B$1:$U$836,7,0),"")</f>
        <v>CGLĐ LP</v>
      </c>
      <c r="P15" s="353" t="str">
        <f>IFERROR(VLOOKUP(O15,'NS QUẢN LÝ CG'!$A$4:$D$36,2,0),"")</f>
        <v>Nguyễn Tấn Triều</v>
      </c>
      <c r="Q15" s="353" t="str">
        <f>IFERROR(VLOOKUP(O15,'NS QUẢN LÝ CG'!$A$4:$D$36,4,0),"")</f>
        <v>LP3.5-LP3</v>
      </c>
      <c r="R15" s="1104" t="str">
        <f>IFERROR(VLOOKUP(O15,'NS QUẢN LÝ CG'!$A$4:$C$36,3,0),"")</f>
        <v>05974160290</v>
      </c>
      <c r="S15" s="20" t="str">
        <f>IFERROR(VLOOKUP(J15,'03. THIẾT BỊ'!$B$1:$S$836,3,0),"")</f>
        <v>A24-CNA-007</v>
      </c>
      <c r="T15" s="708" t="str">
        <f t="shared" si="0"/>
        <v>LP</v>
      </c>
      <c r="U15" s="708"/>
    </row>
    <row r="16" ht="13.8" spans="1:21">
      <c r="A16" s="707">
        <v>3</v>
      </c>
      <c r="B16" s="707" t="s">
        <v>6019</v>
      </c>
      <c r="C16" s="20" t="str">
        <f>IFERROR(VLOOKUP(J16,'03. THIẾT BỊ'!$B$1:$U$836,5,0),"")</f>
        <v>Thiết bị bừa 7 chảo</v>
      </c>
      <c r="D16" s="19">
        <v>1</v>
      </c>
      <c r="E16" s="19"/>
      <c r="F16" s="19"/>
      <c r="G16" s="19"/>
      <c r="H16" s="19">
        <f>IFERROR(VLOOKUP(J16,'03. THIẾT BỊ'!$B$1:$U$836,19,0),"")</f>
        <v>9.5</v>
      </c>
      <c r="I16" s="19" t="str">
        <f>IFERROR(VLOOKUP(J16,'03. THIẾT BỊ'!$B$1:$U$836,20,0),"")</f>
        <v>6.5 ha/8h</v>
      </c>
      <c r="J16" s="20" t="s">
        <v>3882</v>
      </c>
      <c r="K16" s="19" t="s">
        <v>5978</v>
      </c>
      <c r="L16" s="19"/>
      <c r="M16" s="19"/>
      <c r="N16" s="19" t="str">
        <f>IFERROR(VLOOKUP(J16,'03. THIẾT BỊ'!$B$1:$U$836,4,0),"")</f>
        <v>ĐQSD</v>
      </c>
      <c r="O16" s="19" t="str">
        <f>IFERROR(VLOOKUP(J16,'03. THIẾT BỊ'!$B$1:$U$836,7,0),"")</f>
        <v>CGLĐ DP</v>
      </c>
      <c r="P16" s="353" t="str">
        <f>IFERROR(VLOOKUP(O16,'NS QUẢN LÝ CG'!$A$4:$D$36,2,0),"")</f>
        <v>Nguyễn Tấn Triều</v>
      </c>
      <c r="Q16" s="353" t="str">
        <f>IFERROR(VLOOKUP(O16,'NS QUẢN LÝ CG'!$A$4:$D$36,4,0),"")</f>
        <v>Lô 85 DP4</v>
      </c>
      <c r="R16" s="1104" t="str">
        <f>IFERROR(VLOOKUP(O16,'NS QUẢN LÝ CG'!$A$4:$C$36,3,0),"")</f>
        <v>05974160290</v>
      </c>
      <c r="S16" s="20" t="str">
        <f>IFERROR(VLOOKUP(J16,'03. THIẾT BỊ'!$B$1:$S$836,3,0),"")</f>
        <v>A23-BUA-001</v>
      </c>
      <c r="T16" s="708" t="str">
        <f t="shared" si="0"/>
        <v>DP</v>
      </c>
      <c r="U16" s="708"/>
    </row>
    <row r="17" ht="13.8" spans="1:21">
      <c r="A17" s="275"/>
      <c r="B17" s="275"/>
      <c r="C17" s="20" t="str">
        <f>IFERROR(VLOOKUP(J17,'03. THIẾT BỊ'!$B$1:$U$836,5,0),"")</f>
        <v>Thiết bị bừa 7 chảo</v>
      </c>
      <c r="D17" s="19">
        <v>1</v>
      </c>
      <c r="E17" s="19"/>
      <c r="F17" s="19"/>
      <c r="G17" s="19"/>
      <c r="H17" s="19">
        <f>IFERROR(VLOOKUP(J17,'03. THIẾT BỊ'!$B$1:$U$836,19,0),"")</f>
        <v>9.5</v>
      </c>
      <c r="I17" s="19" t="str">
        <f>IFERROR(VLOOKUP(J17,'03. THIẾT BỊ'!$B$1:$U$836,20,0),"")</f>
        <v>6.5 ha/8h</v>
      </c>
      <c r="J17" s="20" t="s">
        <v>3887</v>
      </c>
      <c r="K17" s="19"/>
      <c r="L17" s="19" t="s">
        <v>5978</v>
      </c>
      <c r="M17" s="19"/>
      <c r="N17" s="19" t="str">
        <f>IFERROR(VLOOKUP(J17,'03. THIẾT BỊ'!$B$1:$U$836,4,0),"")</f>
        <v>ĐQSD</v>
      </c>
      <c r="O17" s="19" t="str">
        <f>IFERROR(VLOOKUP(J17,'03. THIẾT BỊ'!$B$1:$U$836,7,0),"")</f>
        <v>CGLĐ DP</v>
      </c>
      <c r="P17" s="353" t="str">
        <f>IFERROR(VLOOKUP(O17,'NS QUẢN LÝ CG'!$A$4:$D$36,2,0),"")</f>
        <v>Nguyễn Tấn Triều</v>
      </c>
      <c r="Q17" s="353" t="str">
        <f>IFERROR(VLOOKUP(O17,'NS QUẢN LÝ CG'!$A$4:$D$36,4,0),"")</f>
        <v>Lô 85 DP4</v>
      </c>
      <c r="R17" s="1104" t="str">
        <f>IFERROR(VLOOKUP(O17,'NS QUẢN LÝ CG'!$A$4:$C$36,3,0),"")</f>
        <v>05974160290</v>
      </c>
      <c r="S17" s="20" t="str">
        <f>IFERROR(VLOOKUP(J17,'03. THIẾT BỊ'!$B$1:$S$836,3,0),"")</f>
        <v>A23-BUA-002</v>
      </c>
      <c r="T17" s="708" t="str">
        <f t="shared" si="0"/>
        <v>DP</v>
      </c>
      <c r="U17" s="708"/>
    </row>
    <row r="18" ht="13.8" spans="1:21">
      <c r="A18" s="275"/>
      <c r="B18" s="275"/>
      <c r="C18" s="20" t="str">
        <f>IFERROR(VLOOKUP(J18,'03. THIẾT BỊ'!$B$1:$U$836,5,0),"")</f>
        <v>Thiết bị bừa 7 chảo</v>
      </c>
      <c r="D18" s="19">
        <v>1</v>
      </c>
      <c r="E18" s="19"/>
      <c r="F18" s="19"/>
      <c r="G18" s="19"/>
      <c r="H18" s="19">
        <f>IFERROR(VLOOKUP(J18,'03. THIẾT BỊ'!$B$1:$U$836,19,0),"")</f>
        <v>9.5</v>
      </c>
      <c r="I18" s="19" t="str">
        <f>IFERROR(VLOOKUP(J18,'03. THIẾT BỊ'!$B$1:$U$836,20,0),"")</f>
        <v>6.5 ha/8h</v>
      </c>
      <c r="J18" s="20" t="s">
        <v>3890</v>
      </c>
      <c r="K18" s="19" t="s">
        <v>5978</v>
      </c>
      <c r="L18" s="19"/>
      <c r="M18" s="19"/>
      <c r="N18" s="19" t="str">
        <f>IFERROR(VLOOKUP(J18,'03. THIẾT BỊ'!$B$1:$U$836,4,0),"")</f>
        <v>MUA MỚI</v>
      </c>
      <c r="O18" s="19" t="str">
        <f>IFERROR(VLOOKUP(J18,'03. THIẾT BỊ'!$B$1:$U$836,7,0),"")</f>
        <v>CGLĐ DP</v>
      </c>
      <c r="P18" s="353" t="str">
        <f>IFERROR(VLOOKUP(O18,'NS QUẢN LÝ CG'!$A$4:$D$36,2,0),"")</f>
        <v>Nguyễn Tấn Triều</v>
      </c>
      <c r="Q18" s="353" t="str">
        <f>IFERROR(VLOOKUP(O18,'NS QUẢN LÝ CG'!$A$4:$D$36,4,0),"")</f>
        <v>Lô 85 DP4</v>
      </c>
      <c r="R18" s="1104" t="str">
        <f>IFERROR(VLOOKUP(O18,'NS QUẢN LÝ CG'!$A$4:$C$36,3,0),"")</f>
        <v>05974160290</v>
      </c>
      <c r="S18" s="20" t="str">
        <f>IFERROR(VLOOKUP(J18,'03. THIẾT BỊ'!$B$1:$S$836,3,0),"")</f>
        <v>A23-BUA-017</v>
      </c>
      <c r="T18" s="708" t="str">
        <f t="shared" si="0"/>
        <v>DP</v>
      </c>
      <c r="U18" s="708"/>
    </row>
    <row r="19" ht="13.8" spans="1:21">
      <c r="A19" s="278"/>
      <c r="B19" s="278"/>
      <c r="C19" s="20" t="str">
        <f>IFERROR(VLOOKUP(J19,'03. THIẾT BỊ'!$B$1:$U$836,5,0),"")</f>
        <v>Thiết bị úp luống 6 chảo đôi</v>
      </c>
      <c r="D19" s="19">
        <v>1</v>
      </c>
      <c r="E19" s="19"/>
      <c r="F19" s="19"/>
      <c r="G19" s="19"/>
      <c r="H19" s="19">
        <f>IFERROR(VLOOKUP(J19,'03. THIẾT BỊ'!$B$1:$U$836,19,0),"")</f>
        <v>9.5</v>
      </c>
      <c r="I19" s="19" t="str">
        <f>IFERROR(VLOOKUP(J19,'03. THIẾT BỊ'!$B$1:$U$836,20,0),"")</f>
        <v>6.5 ha/8h</v>
      </c>
      <c r="J19" s="20" t="s">
        <v>4138</v>
      </c>
      <c r="K19" s="19" t="s">
        <v>5978</v>
      </c>
      <c r="L19" s="19"/>
      <c r="M19" s="19"/>
      <c r="N19" s="19" t="str">
        <f>IFERROR(VLOOKUP(J19,'03. THIẾT BỊ'!$B$1:$U$836,4,0),"")</f>
        <v>MUA MỚI</v>
      </c>
      <c r="O19" s="19" t="str">
        <f>IFERROR(VLOOKUP(J19,'03. THIẾT BỊ'!$B$1:$U$836,7,0),"")</f>
        <v>CGLĐ LP</v>
      </c>
      <c r="P19" s="353" t="str">
        <f>IFERROR(VLOOKUP(O19,'NS QUẢN LÝ CG'!$A$4:$D$36,2,0),"")</f>
        <v>Nguyễn Tấn Triều</v>
      </c>
      <c r="Q19" s="353" t="str">
        <f>IFERROR(VLOOKUP(O19,'NS QUẢN LÝ CG'!$A$4:$D$36,4,0),"")</f>
        <v>LP3.5-LP3</v>
      </c>
      <c r="R19" s="1104" t="str">
        <f>IFERROR(VLOOKUP(O19,'NS QUẢN LÝ CG'!$A$4:$C$36,3,0),"")</f>
        <v>05974160290</v>
      </c>
      <c r="S19" s="20" t="str">
        <f>IFERROR(VLOOKUP(J19,'03. THIẾT BỊ'!$B$1:$S$836,3,0),"")</f>
        <v>A24-DUL-001</v>
      </c>
      <c r="T19" s="708" t="str">
        <f t="shared" si="0"/>
        <v>LP</v>
      </c>
      <c r="U19" s="708"/>
    </row>
    <row r="20" ht="13.8" spans="1:21">
      <c r="A20" s="707">
        <v>4</v>
      </c>
      <c r="B20" s="707" t="s">
        <v>6020</v>
      </c>
      <c r="C20" s="20" t="str">
        <f>IFERROR(VLOOKUP(J20,'03. THIẾT BỊ'!$B$1:$U$836,5,0),"")</f>
        <v>Thiết bị xới đất 2.2m</v>
      </c>
      <c r="D20" s="19">
        <v>1</v>
      </c>
      <c r="E20" s="19"/>
      <c r="F20" s="19"/>
      <c r="G20" s="19"/>
      <c r="H20" s="19">
        <f>IFERROR(VLOOKUP(J20,'03. THIẾT BỊ'!$B$1:$U$836,19,0),"")</f>
        <v>6</v>
      </c>
      <c r="I20" s="19" t="str">
        <f>IFERROR(VLOOKUP(J20,'03. THIẾT BỊ'!$B$1:$U$836,20,0),"")</f>
        <v>6.5 ha/8h</v>
      </c>
      <c r="J20" s="20" t="s">
        <v>3901</v>
      </c>
      <c r="K20" s="19"/>
      <c r="L20" s="19" t="s">
        <v>5978</v>
      </c>
      <c r="M20" s="19"/>
      <c r="N20" s="19" t="str">
        <f>IFERROR(VLOOKUP(J20,'03. THIẾT BỊ'!$B$1:$U$836,4,0),"")</f>
        <v>ĐQSD</v>
      </c>
      <c r="O20" s="19" t="str">
        <f>IFERROR(VLOOKUP(J20,'03. THIẾT BỊ'!$B$1:$U$836,7,0),"")</f>
        <v>CGLĐ DP</v>
      </c>
      <c r="P20" s="353" t="str">
        <f>IFERROR(VLOOKUP(O20,'NS QUẢN LÝ CG'!$A$4:$D$36,2,0),"")</f>
        <v>Nguyễn Tấn Triều</v>
      </c>
      <c r="Q20" s="353" t="str">
        <f>IFERROR(VLOOKUP(O20,'NS QUẢN LÝ CG'!$A$4:$D$36,4,0),"")</f>
        <v>Lô 85 DP4</v>
      </c>
      <c r="R20" s="1104" t="str">
        <f>IFERROR(VLOOKUP(O20,'NS QUẢN LÝ CG'!$A$4:$C$36,3,0),"")</f>
        <v>05974160290</v>
      </c>
      <c r="S20" s="20" t="str">
        <f>IFERROR(VLOOKUP(J20,'03. THIẾT BỊ'!$B$1:$S$836,3,0),"")</f>
        <v>A23-XOI-001</v>
      </c>
      <c r="T20" s="708" t="str">
        <f t="shared" si="0"/>
        <v>DP</v>
      </c>
      <c r="U20" s="708"/>
    </row>
    <row r="21" ht="13.8" spans="1:21">
      <c r="A21" s="275"/>
      <c r="B21" s="275"/>
      <c r="C21" s="20" t="str">
        <f>IFERROR(VLOOKUP(J21,'03. THIẾT BỊ'!$B$1:$U$836,5,0),"")</f>
        <v>Thiết bị xới đất 2.2m</v>
      </c>
      <c r="D21" s="19">
        <v>1</v>
      </c>
      <c r="E21" s="19"/>
      <c r="F21" s="19"/>
      <c r="G21" s="19"/>
      <c r="H21" s="19">
        <f>IFERROR(VLOOKUP(J21,'03. THIẾT BỊ'!$B$1:$U$836,19,0),"")</f>
        <v>6</v>
      </c>
      <c r="I21" s="19" t="str">
        <f>IFERROR(VLOOKUP(J21,'03. THIẾT BỊ'!$B$1:$U$836,20,0),"")</f>
        <v>6.5 ha/8h</v>
      </c>
      <c r="J21" s="20" t="s">
        <v>3905</v>
      </c>
      <c r="K21" s="19"/>
      <c r="L21" s="19" t="s">
        <v>5978</v>
      </c>
      <c r="M21" s="19"/>
      <c r="N21" s="19" t="str">
        <f>IFERROR(VLOOKUP(J21,'03. THIẾT BỊ'!$B$1:$U$836,4,0),"")</f>
        <v>ĐQSD</v>
      </c>
      <c r="O21" s="19" t="str">
        <f>IFERROR(VLOOKUP(J21,'03. THIẾT BỊ'!$B$1:$U$836,7,0),"")</f>
        <v>CGLĐ DP</v>
      </c>
      <c r="P21" s="353" t="str">
        <f>IFERROR(VLOOKUP(O21,'NS QUẢN LÝ CG'!$A$4:$D$36,2,0),"")</f>
        <v>Nguyễn Tấn Triều</v>
      </c>
      <c r="Q21" s="353" t="str">
        <f>IFERROR(VLOOKUP(O21,'NS QUẢN LÝ CG'!$A$4:$D$36,4,0),"")</f>
        <v>Lô 85 DP4</v>
      </c>
      <c r="R21" s="1104" t="str">
        <f>IFERROR(VLOOKUP(O21,'NS QUẢN LÝ CG'!$A$4:$C$36,3,0),"")</f>
        <v>05974160290</v>
      </c>
      <c r="S21" s="20" t="str">
        <f>IFERROR(VLOOKUP(J21,'03. THIẾT BỊ'!$B$1:$S$836,3,0),"")</f>
        <v>A23-XOI-002</v>
      </c>
      <c r="T21" s="708" t="str">
        <f t="shared" si="0"/>
        <v>DP</v>
      </c>
      <c r="U21" s="708"/>
    </row>
    <row r="22" ht="13.8" spans="1:21">
      <c r="A22" s="275"/>
      <c r="B22" s="275"/>
      <c r="C22" s="20" t="str">
        <f>IFERROR(VLOOKUP(J22,'03. THIẾT BỊ'!$B$1:$U$836,5,0),"")</f>
        <v>Thiết bị xới đất 2.2m</v>
      </c>
      <c r="D22" s="19">
        <v>1</v>
      </c>
      <c r="E22" s="19"/>
      <c r="F22" s="19"/>
      <c r="G22" s="19"/>
      <c r="H22" s="19">
        <f>IFERROR(VLOOKUP(J22,'03. THIẾT BỊ'!$B$1:$U$836,19,0),"")</f>
        <v>6</v>
      </c>
      <c r="I22" s="19" t="str">
        <f>IFERROR(VLOOKUP(J22,'03. THIẾT BỊ'!$B$1:$U$836,20,0),"")</f>
        <v>6.5 ha/8h</v>
      </c>
      <c r="J22" s="20" t="s">
        <v>3992</v>
      </c>
      <c r="K22" s="19"/>
      <c r="L22" s="19" t="s">
        <v>5978</v>
      </c>
      <c r="M22" s="19"/>
      <c r="N22" s="19" t="str">
        <f>IFERROR(VLOOKUP(J22,'03. THIẾT BỊ'!$B$1:$U$836,4,0),"")</f>
        <v>ĐQSD</v>
      </c>
      <c r="O22" s="19" t="str">
        <f>IFERROR(VLOOKUP(J22,'03. THIẾT BỊ'!$B$1:$U$836,7,0),"")</f>
        <v>CGLĐ DP</v>
      </c>
      <c r="P22" s="353" t="str">
        <f>IFERROR(VLOOKUP(O22,'NS QUẢN LÝ CG'!$A$4:$D$36,2,0),"")</f>
        <v>Nguyễn Tấn Triều</v>
      </c>
      <c r="Q22" s="353" t="str">
        <f>IFERROR(VLOOKUP(O22,'NS QUẢN LÝ CG'!$A$4:$D$36,4,0),"")</f>
        <v>Lô 85 DP4</v>
      </c>
      <c r="R22" s="1104" t="str">
        <f>IFERROR(VLOOKUP(O22,'NS QUẢN LÝ CG'!$A$4:$C$36,3,0),"")</f>
        <v>05974160290</v>
      </c>
      <c r="S22" s="20" t="str">
        <f>IFERROR(VLOOKUP(J22,'03. THIẾT BỊ'!$B$1:$S$836,3,0),"")</f>
        <v>A22-XOI-007</v>
      </c>
      <c r="T22" s="708" t="str">
        <f t="shared" si="0"/>
        <v>ADM</v>
      </c>
      <c r="U22" s="708"/>
    </row>
    <row r="23" ht="13.8" spans="1:21">
      <c r="A23" s="275"/>
      <c r="B23" s="275"/>
      <c r="C23" s="20" t="str">
        <f>IFERROR(VLOOKUP(J23,'03. THIẾT BỊ'!$B$1:$U$836,5,0),"")</f>
        <v>Thiết bị xới đất 2.2m</v>
      </c>
      <c r="D23" s="19">
        <v>1</v>
      </c>
      <c r="E23" s="19"/>
      <c r="F23" s="19"/>
      <c r="G23" s="19"/>
      <c r="H23" s="19">
        <f>IFERROR(VLOOKUP(J23,'03. THIẾT BỊ'!$B$1:$U$836,19,0),"")</f>
        <v>6</v>
      </c>
      <c r="I23" s="19" t="str">
        <f>IFERROR(VLOOKUP(J23,'03. THIẾT BỊ'!$B$1:$U$836,20,0),"")</f>
        <v>6.5 ha/8h</v>
      </c>
      <c r="J23" s="20" t="s">
        <v>3997</v>
      </c>
      <c r="K23" s="19" t="s">
        <v>5978</v>
      </c>
      <c r="L23" s="19"/>
      <c r="M23" s="19"/>
      <c r="N23" s="19" t="str">
        <f>IFERROR(VLOOKUP(J23,'03. THIẾT BỊ'!$B$1:$U$836,4,0),"")</f>
        <v>MUA MỚI</v>
      </c>
      <c r="O23" s="19" t="str">
        <f>IFERROR(VLOOKUP(J23,'03. THIẾT BỊ'!$B$1:$U$836,7,0),"")</f>
        <v>CGLĐ DP</v>
      </c>
      <c r="P23" s="353" t="str">
        <f>IFERROR(VLOOKUP(O23,'NS QUẢN LÝ CG'!$A$4:$D$36,2,0),"")</f>
        <v>Nguyễn Tấn Triều</v>
      </c>
      <c r="Q23" s="353" t="str">
        <f>IFERROR(VLOOKUP(O23,'NS QUẢN LÝ CG'!$A$4:$D$36,4,0),"")</f>
        <v>Lô 85 DP4</v>
      </c>
      <c r="R23" s="1104" t="str">
        <f>IFERROR(VLOOKUP(O23,'NS QUẢN LÝ CG'!$A$4:$C$36,3,0),"")</f>
        <v>05974160290</v>
      </c>
      <c r="S23" s="20" t="str">
        <f>IFERROR(VLOOKUP(J23,'03. THIẾT BỊ'!$B$1:$S$836,3,0),"")</f>
        <v>A23-XOI-009</v>
      </c>
      <c r="T23" s="708" t="str">
        <f t="shared" si="0"/>
        <v>DP</v>
      </c>
      <c r="U23" s="708"/>
    </row>
    <row r="24" ht="13.8" spans="1:21">
      <c r="A24" s="275"/>
      <c r="B24" s="275"/>
      <c r="C24" s="20" t="str">
        <f>IFERROR(VLOOKUP(J24,'03. THIẾT BỊ'!$B$1:$U$836,5,0),"")</f>
        <v>Thiết bị xới đất 2.2m</v>
      </c>
      <c r="D24" s="19">
        <v>1</v>
      </c>
      <c r="E24" s="19"/>
      <c r="F24" s="19"/>
      <c r="G24" s="19"/>
      <c r="H24" s="19">
        <f>IFERROR(VLOOKUP(J24,'03. THIẾT BỊ'!$B$1:$U$836,19,0),"")</f>
        <v>6</v>
      </c>
      <c r="I24" s="19" t="str">
        <f>IFERROR(VLOOKUP(J24,'03. THIẾT BỊ'!$B$1:$U$836,20,0),"")</f>
        <v>6.5 ha/8h</v>
      </c>
      <c r="J24" s="20" t="s">
        <v>4091</v>
      </c>
      <c r="K24" s="19"/>
      <c r="L24" s="19" t="s">
        <v>5978</v>
      </c>
      <c r="M24" s="19"/>
      <c r="N24" s="19" t="str">
        <f>IFERROR(VLOOKUP(J24,'03. THIẾT BỊ'!$B$1:$U$836,4,0),"")</f>
        <v>ĐQSD</v>
      </c>
      <c r="O24" s="19" t="str">
        <f>IFERROR(VLOOKUP(J24,'03. THIẾT BỊ'!$B$1:$U$836,7,0),"")</f>
        <v>CGLĐ LP</v>
      </c>
      <c r="P24" s="353" t="str">
        <f>IFERROR(VLOOKUP(O24,'NS QUẢN LÝ CG'!$A$4:$D$36,2,0),"")</f>
        <v>Nguyễn Tấn Triều</v>
      </c>
      <c r="Q24" s="353" t="str">
        <f>IFERROR(VLOOKUP(O24,'NS QUẢN LÝ CG'!$A$4:$D$36,4,0),"")</f>
        <v>LP3.5-LP3</v>
      </c>
      <c r="R24" s="1104" t="str">
        <f>IFERROR(VLOOKUP(O24,'NS QUẢN LÝ CG'!$A$4:$C$36,3,0),"")</f>
        <v>05974160290</v>
      </c>
      <c r="S24" s="20" t="str">
        <f>IFERROR(VLOOKUP(J24,'03. THIẾT BỊ'!$B$1:$S$836,3,0),"")</f>
        <v>A24-XOI-004</v>
      </c>
      <c r="T24" s="708" t="str">
        <f t="shared" si="0"/>
        <v>LP</v>
      </c>
      <c r="U24" s="708"/>
    </row>
    <row r="25" ht="13.8" spans="1:21">
      <c r="A25" s="275"/>
      <c r="B25" s="275"/>
      <c r="C25" s="20" t="str">
        <f>IFERROR(VLOOKUP(J25,'03. THIẾT BỊ'!$B$1:$U$836,5,0),"")</f>
        <v>Thiết bị xới đất 2.2m</v>
      </c>
      <c r="D25" s="19">
        <v>1</v>
      </c>
      <c r="E25" s="19"/>
      <c r="F25" s="19"/>
      <c r="G25" s="19"/>
      <c r="H25" s="19">
        <f>IFERROR(VLOOKUP(J25,'03. THIẾT BỊ'!$B$1:$U$836,19,0),"")</f>
        <v>6</v>
      </c>
      <c r="I25" s="19" t="str">
        <f>IFERROR(VLOOKUP(J25,'03. THIẾT BỊ'!$B$1:$U$836,20,0),"")</f>
        <v>6.5 ha/8h</v>
      </c>
      <c r="J25" s="20" t="s">
        <v>4112</v>
      </c>
      <c r="K25" s="19" t="s">
        <v>5978</v>
      </c>
      <c r="L25" s="19"/>
      <c r="M25" s="19"/>
      <c r="N25" s="19" t="str">
        <f>IFERROR(VLOOKUP(J25,'03. THIẾT BỊ'!$B$1:$U$836,4,0),"")</f>
        <v>ĐQSD</v>
      </c>
      <c r="O25" s="19" t="str">
        <f>IFERROR(VLOOKUP(J25,'03. THIẾT BỊ'!$B$1:$U$836,7,0),"")</f>
        <v>CGLĐ LP</v>
      </c>
      <c r="P25" s="353" t="str">
        <f>IFERROR(VLOOKUP(O25,'NS QUẢN LÝ CG'!$A$4:$D$36,2,0),"")</f>
        <v>Nguyễn Tấn Triều</v>
      </c>
      <c r="Q25" s="353" t="str">
        <f>IFERROR(VLOOKUP(O25,'NS QUẢN LÝ CG'!$A$4:$D$36,4,0),"")</f>
        <v>LP3.5-LP3</v>
      </c>
      <c r="R25" s="1104" t="str">
        <f>IFERROR(VLOOKUP(O25,'NS QUẢN LÝ CG'!$A$4:$C$36,3,0),"")</f>
        <v>05974160290</v>
      </c>
      <c r="S25" s="20" t="str">
        <f>IFERROR(VLOOKUP(J25,'03. THIẾT BỊ'!$B$1:$S$836,3,0),"")</f>
        <v>A24-XOI-003</v>
      </c>
      <c r="T25" s="708" t="str">
        <f t="shared" si="0"/>
        <v>LP</v>
      </c>
      <c r="U25" s="708"/>
    </row>
    <row r="26" ht="13.8" spans="1:21">
      <c r="A26" s="278"/>
      <c r="B26" s="278"/>
      <c r="C26" s="20" t="str">
        <f>IFERROR(VLOOKUP(J26,'03. THIẾT BỊ'!$B$1:$U$836,5,0),"")</f>
        <v>Thiết bị xới đất 2.2m</v>
      </c>
      <c r="D26" s="19">
        <v>1</v>
      </c>
      <c r="E26" s="19"/>
      <c r="F26" s="19"/>
      <c r="G26" s="19"/>
      <c r="H26" s="19">
        <f>IFERROR(VLOOKUP(J26,'03. THIẾT BỊ'!$B$1:$U$836,19,0),"")</f>
        <v>6</v>
      </c>
      <c r="I26" s="19" t="str">
        <f>IFERROR(VLOOKUP(J26,'03. THIẾT BỊ'!$B$1:$U$836,20,0),"")</f>
        <v>6.5 ha/8h</v>
      </c>
      <c r="J26" s="20" t="s">
        <v>4115</v>
      </c>
      <c r="K26" s="19" t="s">
        <v>5978</v>
      </c>
      <c r="L26" s="19"/>
      <c r="M26" s="19"/>
      <c r="N26" s="19" t="str">
        <f>IFERROR(VLOOKUP(J26,'03. THIẾT BỊ'!$B$1:$U$836,4,0),"")</f>
        <v>MUA MỚI</v>
      </c>
      <c r="O26" s="19" t="str">
        <f>IFERROR(VLOOKUP(J26,'03. THIẾT BỊ'!$B$1:$U$836,7,0),"")</f>
        <v>CGLĐ LP</v>
      </c>
      <c r="P26" s="353" t="str">
        <f>IFERROR(VLOOKUP(O26,'NS QUẢN LÝ CG'!$A$4:$D$36,2,0),"")</f>
        <v>Nguyễn Tấn Triều</v>
      </c>
      <c r="Q26" s="353" t="str">
        <f>IFERROR(VLOOKUP(O26,'NS QUẢN LÝ CG'!$A$4:$D$36,4,0),"")</f>
        <v>LP3.5-LP3</v>
      </c>
      <c r="R26" s="1104" t="str">
        <f>IFERROR(VLOOKUP(O26,'NS QUẢN LÝ CG'!$A$4:$C$36,3,0),"")</f>
        <v>05974160290</v>
      </c>
      <c r="S26" s="20" t="str">
        <f>IFERROR(VLOOKUP(J26,'03. THIẾT BỊ'!$B$1:$S$836,3,0),"")</f>
        <v>A24-XOI-009</v>
      </c>
      <c r="T26" s="708" t="str">
        <f t="shared" si="0"/>
        <v>LP</v>
      </c>
      <c r="U26" s="708"/>
    </row>
    <row r="27" ht="13.8" spans="1:21">
      <c r="A27" s="707">
        <v>5</v>
      </c>
      <c r="B27" s="707" t="s">
        <v>6021</v>
      </c>
      <c r="C27" s="20" t="str">
        <f>IFERROR(VLOOKUP(J27,'03. THIẾT BỊ'!$B$1:$U$836,5,0),"")</f>
        <v>Thiết bị tạo rãnh ống tưới</v>
      </c>
      <c r="D27" s="19">
        <v>1</v>
      </c>
      <c r="E27" s="19"/>
      <c r="F27" s="19"/>
      <c r="G27" s="19"/>
      <c r="H27" s="19">
        <f>IFERROR(VLOOKUP(J27,'03. THIẾT BỊ'!$B$1:$U$836,19,0),"")</f>
        <v>14</v>
      </c>
      <c r="I27" s="19" t="str">
        <f>IFERROR(VLOOKUP(J27,'03. THIẾT BỊ'!$B$1:$U$836,20,0),"")</f>
        <v>1.2 km/8h</v>
      </c>
      <c r="J27" s="20" t="s">
        <v>4003</v>
      </c>
      <c r="K27" s="19" t="s">
        <v>5978</v>
      </c>
      <c r="L27" s="19"/>
      <c r="M27" s="19"/>
      <c r="N27" s="19" t="str">
        <f>IFERROR(VLOOKUP(J27,'03. THIẾT BỊ'!$B$1:$U$836,4,0),"")</f>
        <v>ĐQSD</v>
      </c>
      <c r="O27" s="19" t="str">
        <f>IFERROR(VLOOKUP(J27,'03. THIẾT BỊ'!$B$1:$U$836,7,0),"")</f>
        <v>CGLĐ DP</v>
      </c>
      <c r="P27" s="353" t="str">
        <f>IFERROR(VLOOKUP(O27,'NS QUẢN LÝ CG'!$A$4:$D$36,2,0),"")</f>
        <v>Nguyễn Tấn Triều</v>
      </c>
      <c r="Q27" s="353" t="str">
        <f>IFERROR(VLOOKUP(O27,'NS QUẢN LÝ CG'!$A$4:$D$36,4,0),"")</f>
        <v>Lô 85 DP4</v>
      </c>
      <c r="R27" s="1104" t="str">
        <f>IFERROR(VLOOKUP(O27,'NS QUẢN LÝ CG'!$A$4:$C$36,3,0),"")</f>
        <v>05974160290</v>
      </c>
      <c r="S27" s="20" t="str">
        <f>IFERROR(VLOOKUP(J27,'03. THIẾT BỊ'!$B$1:$S$836,3,0),"")</f>
        <v>A23-DTR-001</v>
      </c>
      <c r="T27" s="708" t="str">
        <f t="shared" si="0"/>
        <v>DP</v>
      </c>
      <c r="U27" s="708"/>
    </row>
    <row r="28" ht="13.8" spans="1:21">
      <c r="A28" s="275"/>
      <c r="B28" s="275"/>
      <c r="C28" s="20" t="str">
        <f>IFERROR(VLOOKUP(J28,'03. THIẾT BỊ'!$B$1:$U$836,5,0),"")</f>
        <v>Thiết bị tạo rãnh ống tưới</v>
      </c>
      <c r="D28" s="19">
        <v>1</v>
      </c>
      <c r="E28" s="19"/>
      <c r="F28" s="19"/>
      <c r="G28" s="19"/>
      <c r="H28" s="19">
        <f>IFERROR(VLOOKUP(J28,'03. THIẾT BỊ'!$B$1:$U$836,19,0),"")</f>
        <v>14</v>
      </c>
      <c r="I28" s="19" t="str">
        <f>IFERROR(VLOOKUP(J28,'03. THIẾT BỊ'!$B$1:$U$836,20,0),"")</f>
        <v>1.2 km/8h</v>
      </c>
      <c r="J28" s="20" t="s">
        <v>4009</v>
      </c>
      <c r="K28" s="19"/>
      <c r="L28" s="19" t="s">
        <v>5978</v>
      </c>
      <c r="M28" s="19"/>
      <c r="N28" s="19" t="str">
        <f>IFERROR(VLOOKUP(J28,'03. THIẾT BỊ'!$B$1:$U$836,4,0),"")</f>
        <v>ĐQSD</v>
      </c>
      <c r="O28" s="19" t="str">
        <f>IFERROR(VLOOKUP(J28,'03. THIẾT BỊ'!$B$1:$U$836,7,0),"")</f>
        <v>CGLĐ DP</v>
      </c>
      <c r="P28" s="353" t="str">
        <f>IFERROR(VLOOKUP(O28,'NS QUẢN LÝ CG'!$A$4:$D$36,2,0),"")</f>
        <v>Nguyễn Tấn Triều</v>
      </c>
      <c r="Q28" s="353" t="str">
        <f>IFERROR(VLOOKUP(O28,'NS QUẢN LÝ CG'!$A$4:$D$36,4,0),"")</f>
        <v>Lô 85 DP4</v>
      </c>
      <c r="R28" s="1104" t="str">
        <f>IFERROR(VLOOKUP(O28,'NS QUẢN LÝ CG'!$A$4:$C$36,3,0),"")</f>
        <v>05974160290</v>
      </c>
      <c r="S28" s="20" t="str">
        <f>IFERROR(VLOOKUP(J28,'03. THIẾT BỊ'!$B$1:$S$836,3,0),"")</f>
        <v>A23-DTR-002</v>
      </c>
      <c r="T28" s="708" t="str">
        <f t="shared" si="0"/>
        <v>DP</v>
      </c>
      <c r="U28" s="708"/>
    </row>
    <row r="29" ht="13.8" spans="1:21">
      <c r="A29" s="275"/>
      <c r="B29" s="275"/>
      <c r="C29" s="20" t="str">
        <f>IFERROR(VLOOKUP(J29,'03. THIẾT BỊ'!$B$1:$U$836,5,0),"")</f>
        <v>Thiết bị tạo rãnh ống tưới</v>
      </c>
      <c r="D29" s="19">
        <v>1</v>
      </c>
      <c r="E29" s="19"/>
      <c r="F29" s="19"/>
      <c r="G29" s="19"/>
      <c r="H29" s="19">
        <f>IFERROR(VLOOKUP(J29,'03. THIẾT BỊ'!$B$1:$U$836,19,0),"")</f>
        <v>14</v>
      </c>
      <c r="I29" s="19" t="str">
        <f>IFERROR(VLOOKUP(J29,'03. THIẾT BỊ'!$B$1:$U$836,20,0),"")</f>
        <v>1.2 km/8h</v>
      </c>
      <c r="J29" s="20" t="s">
        <v>4014</v>
      </c>
      <c r="K29" s="19"/>
      <c r="L29" s="19" t="s">
        <v>5978</v>
      </c>
      <c r="M29" s="19"/>
      <c r="N29" s="19" t="str">
        <f>IFERROR(VLOOKUP(J29,'03. THIẾT BỊ'!$B$1:$U$836,4,0),"")</f>
        <v>ĐQSD</v>
      </c>
      <c r="O29" s="19" t="str">
        <f>IFERROR(VLOOKUP(J29,'03. THIẾT BỊ'!$B$1:$U$836,7,0),"")</f>
        <v>CGLĐ DP</v>
      </c>
      <c r="P29" s="353" t="str">
        <f>IFERROR(VLOOKUP(O29,'NS QUẢN LÝ CG'!$A$4:$D$36,2,0),"")</f>
        <v>Nguyễn Tấn Triều</v>
      </c>
      <c r="Q29" s="353" t="str">
        <f>IFERROR(VLOOKUP(O29,'NS QUẢN LÝ CG'!$A$4:$D$36,4,0),"")</f>
        <v>Lô 85 DP4</v>
      </c>
      <c r="R29" s="1104" t="str">
        <f>IFERROR(VLOOKUP(O29,'NS QUẢN LÝ CG'!$A$4:$C$36,3,0),"")</f>
        <v>05974160290</v>
      </c>
      <c r="S29" s="20" t="str">
        <f>IFERROR(VLOOKUP(J29,'03. THIẾT BỊ'!$B$1:$S$836,3,0),"")</f>
        <v>A23-DTR-003</v>
      </c>
      <c r="T29" s="708" t="str">
        <f t="shared" si="0"/>
        <v>DP</v>
      </c>
      <c r="U29" s="708"/>
    </row>
    <row r="30" ht="13.8" spans="1:21">
      <c r="A30" s="275"/>
      <c r="B30" s="275"/>
      <c r="C30" s="20" t="str">
        <f>IFERROR(VLOOKUP(J30,'03. THIẾT BỊ'!$B$1:$U$836,5,0),"")</f>
        <v>Thiết bị tạo rãnh ống tưới</v>
      </c>
      <c r="D30" s="19">
        <v>1</v>
      </c>
      <c r="E30" s="19"/>
      <c r="F30" s="19"/>
      <c r="G30" s="19"/>
      <c r="H30" s="19">
        <f>IFERROR(VLOOKUP(J30,'03. THIẾT BỊ'!$B$1:$U$836,19,0),"")</f>
        <v>14</v>
      </c>
      <c r="I30" s="19" t="str">
        <f>IFERROR(VLOOKUP(J30,'03. THIẾT BỊ'!$B$1:$U$836,20,0),"")</f>
        <v>1.2 km/8h</v>
      </c>
      <c r="J30" s="20" t="s">
        <v>4150</v>
      </c>
      <c r="K30" s="19"/>
      <c r="L30" s="19" t="s">
        <v>5978</v>
      </c>
      <c r="M30" s="19"/>
      <c r="N30" s="19" t="str">
        <f>IFERROR(VLOOKUP(J30,'03. THIẾT BỊ'!$B$1:$U$836,4,0),"")</f>
        <v>ĐQSD</v>
      </c>
      <c r="O30" s="19" t="str">
        <f>IFERROR(VLOOKUP(J30,'03. THIẾT BỊ'!$B$1:$U$836,7,0),"")</f>
        <v>CGLĐ LP</v>
      </c>
      <c r="P30" s="353" t="str">
        <f>IFERROR(VLOOKUP(O30,'NS QUẢN LÝ CG'!$A$4:$D$36,2,0),"")</f>
        <v>Nguyễn Tấn Triều</v>
      </c>
      <c r="Q30" s="353" t="str">
        <f>IFERROR(VLOOKUP(O30,'NS QUẢN LÝ CG'!$A$4:$D$36,4,0),"")</f>
        <v>LP3.5-LP3</v>
      </c>
      <c r="R30" s="1104" t="str">
        <f>IFERROR(VLOOKUP(O30,'NS QUẢN LÝ CG'!$A$4:$C$36,3,0),"")</f>
        <v>05974160290</v>
      </c>
      <c r="S30" s="20" t="str">
        <f>IFERROR(VLOOKUP(J30,'03. THIẾT BỊ'!$B$1:$S$836,3,0),"")</f>
        <v>A24-DTR-001</v>
      </c>
      <c r="T30" s="708" t="str">
        <f t="shared" si="0"/>
        <v>LP</v>
      </c>
      <c r="U30" s="708"/>
    </row>
    <row r="31" ht="13.8" spans="1:21">
      <c r="A31" s="278"/>
      <c r="B31" s="278"/>
      <c r="C31" s="20" t="str">
        <f>IFERROR(VLOOKUP(J31,'03. THIẾT BỊ'!$B$1:$U$836,5,0),"")</f>
        <v>Thiết bị tạo rãnh ống tưới</v>
      </c>
      <c r="D31" s="19">
        <v>1</v>
      </c>
      <c r="E31" s="19"/>
      <c r="F31" s="19"/>
      <c r="G31" s="19"/>
      <c r="H31" s="19">
        <f>IFERROR(VLOOKUP(J31,'03. THIẾT BỊ'!$B$1:$U$836,19,0),"")</f>
        <v>14</v>
      </c>
      <c r="I31" s="19" t="str">
        <f>IFERROR(VLOOKUP(J31,'03. THIẾT BỊ'!$B$1:$U$836,20,0),"")</f>
        <v>1.2 km/8h</v>
      </c>
      <c r="J31" s="20" t="s">
        <v>4154</v>
      </c>
      <c r="K31" s="19"/>
      <c r="L31" s="19" t="s">
        <v>5978</v>
      </c>
      <c r="M31" s="19"/>
      <c r="N31" s="19" t="str">
        <f>IFERROR(VLOOKUP(J31,'03. THIẾT BỊ'!$B$1:$U$836,4,0),"")</f>
        <v>ĐQSD</v>
      </c>
      <c r="O31" s="19" t="str">
        <f>IFERROR(VLOOKUP(J31,'03. THIẾT BỊ'!$B$1:$U$836,7,0),"")</f>
        <v>CGLĐ LP</v>
      </c>
      <c r="P31" s="353" t="str">
        <f>IFERROR(VLOOKUP(O31,'NS QUẢN LÝ CG'!$A$4:$D$36,2,0),"")</f>
        <v>Nguyễn Tấn Triều</v>
      </c>
      <c r="Q31" s="353" t="str">
        <f>IFERROR(VLOOKUP(O31,'NS QUẢN LÝ CG'!$A$4:$D$36,4,0),"")</f>
        <v>LP3.5-LP3</v>
      </c>
      <c r="R31" s="1104" t="str">
        <f>IFERROR(VLOOKUP(O31,'NS QUẢN LÝ CG'!$A$4:$C$36,3,0),"")</f>
        <v>05974160290</v>
      </c>
      <c r="S31" s="20" t="str">
        <f>IFERROR(VLOOKUP(J31,'03. THIẾT BỊ'!$B$1:$S$836,3,0),"")</f>
        <v>A24-DTR-002</v>
      </c>
      <c r="T31" s="708" t="str">
        <f t="shared" si="0"/>
        <v>LP</v>
      </c>
      <c r="U31" s="708"/>
    </row>
    <row r="32" ht="13.8" spans="1:21">
      <c r="A32" s="707">
        <v>6</v>
      </c>
      <c r="B32" s="707" t="s">
        <v>6022</v>
      </c>
      <c r="C32" s="20" t="str">
        <f>IFERROR(VLOOKUP(J32,'03. THIẾT BỊ'!$B$1:$U$836,5,0),"")</f>
        <v>Dàn rải phân (10m3)</v>
      </c>
      <c r="D32" s="19">
        <v>1</v>
      </c>
      <c r="E32" s="19"/>
      <c r="F32" s="19"/>
      <c r="G32" s="19"/>
      <c r="H32" s="19">
        <f>IFERROR(VLOOKUP(J32,'03. THIẾT BỊ'!$B$1:$U$836,19,0),"")</f>
        <v>3.5</v>
      </c>
      <c r="I32" s="19" t="str">
        <f>IFERROR(VLOOKUP(J32,'03. THIẾT BỊ'!$B$1:$U$836,20,0),"")</f>
        <v>3.1 ha/8h</v>
      </c>
      <c r="J32" s="20" t="s">
        <v>4042</v>
      </c>
      <c r="K32" s="19" t="s">
        <v>5978</v>
      </c>
      <c r="L32" s="19"/>
      <c r="M32" s="19"/>
      <c r="N32" s="19" t="str">
        <f>IFERROR(VLOOKUP(J32,'03. THIẾT BỊ'!$B$1:$U$836,4,0),"")</f>
        <v>MUA MỚI</v>
      </c>
      <c r="O32" s="19" t="str">
        <f>IFERROR(VLOOKUP(J32,'03. THIẾT BỊ'!$B$1:$U$836,7,0),"")</f>
        <v>CGLĐ DP</v>
      </c>
      <c r="P32" s="353" t="str">
        <f>IFERROR(VLOOKUP(O32,'NS QUẢN LÝ CG'!$A$4:$D$36,2,0),"")</f>
        <v>Nguyễn Tấn Triều</v>
      </c>
      <c r="Q32" s="353" t="str">
        <f>IFERROR(VLOOKUP(O32,'NS QUẢN LÝ CG'!$A$4:$D$36,4,0),"")</f>
        <v>Lô 85 DP4</v>
      </c>
      <c r="R32" s="1104" t="str">
        <f>IFERROR(VLOOKUP(O32,'NS QUẢN LÝ CG'!$A$4:$C$36,3,0),"")</f>
        <v>05974160290</v>
      </c>
      <c r="S32" s="20" t="str">
        <f>IFERROR(VLOOKUP(J32,'03. THIẾT BỊ'!$B$1:$S$836,3,0),"")</f>
        <v>A22-DRP-001</v>
      </c>
      <c r="T32" s="708" t="str">
        <f t="shared" si="0"/>
        <v>ADM</v>
      </c>
      <c r="U32" s="708"/>
    </row>
    <row r="33" ht="13.8" spans="1:21">
      <c r="A33" s="275"/>
      <c r="B33" s="275"/>
      <c r="C33" s="20" t="str">
        <f>IFERROR(VLOOKUP(J33,'03. THIẾT BỊ'!$B$1:$U$836,5,0),"")</f>
        <v>Dàn rải phân (10m3)</v>
      </c>
      <c r="D33" s="19">
        <v>1</v>
      </c>
      <c r="E33" s="19"/>
      <c r="F33" s="19"/>
      <c r="G33" s="19"/>
      <c r="H33" s="19">
        <f>IFERROR(VLOOKUP(J33,'03. THIẾT BỊ'!$B$1:$U$836,19,0),"")</f>
        <v>3.5</v>
      </c>
      <c r="I33" s="19" t="str">
        <f>IFERROR(VLOOKUP(J33,'03. THIẾT BỊ'!$B$1:$U$836,20,0),"")</f>
        <v>3.1 ha/8h</v>
      </c>
      <c r="J33" s="20" t="s">
        <v>4048</v>
      </c>
      <c r="K33" s="19" t="s">
        <v>5978</v>
      </c>
      <c r="L33" s="19"/>
      <c r="M33" s="19"/>
      <c r="N33" s="19" t="str">
        <f>IFERROR(VLOOKUP(J33,'03. THIẾT BỊ'!$B$1:$U$836,4,0),"")</f>
        <v>MUA MỚI</v>
      </c>
      <c r="O33" s="19" t="str">
        <f>IFERROR(VLOOKUP(J33,'03. THIẾT BỊ'!$B$1:$U$836,7,0),"")</f>
        <v>CGLĐ DP</v>
      </c>
      <c r="P33" s="353" t="str">
        <f>IFERROR(VLOOKUP(O33,'NS QUẢN LÝ CG'!$A$4:$D$36,2,0),"")</f>
        <v>Nguyễn Tấn Triều</v>
      </c>
      <c r="Q33" s="353" t="str">
        <f>IFERROR(VLOOKUP(O33,'NS QUẢN LÝ CG'!$A$4:$D$36,4,0),"")</f>
        <v>Lô 85 DP4</v>
      </c>
      <c r="R33" s="1104" t="str">
        <f>IFERROR(VLOOKUP(O33,'NS QUẢN LÝ CG'!$A$4:$C$36,3,0),"")</f>
        <v>05974160290</v>
      </c>
      <c r="S33" s="20" t="str">
        <f>IFERROR(VLOOKUP(J33,'03. THIẾT BỊ'!$B$1:$S$836,3,0),"")</f>
        <v>A24-DRP-004</v>
      </c>
      <c r="T33" s="708" t="str">
        <f t="shared" si="0"/>
        <v>LP</v>
      </c>
      <c r="U33" s="708"/>
    </row>
    <row r="34" ht="13.8" spans="1:21">
      <c r="A34" s="275"/>
      <c r="B34" s="275"/>
      <c r="C34" s="20" t="str">
        <f>IFERROR(VLOOKUP(J34,'03. THIẾT BỊ'!$B$1:$U$836,5,0),"")</f>
        <v>Dàn rải phân (10m3)</v>
      </c>
      <c r="D34" s="19">
        <v>1</v>
      </c>
      <c r="E34" s="19"/>
      <c r="F34" s="19"/>
      <c r="G34" s="19"/>
      <c r="H34" s="19">
        <f>IFERROR(VLOOKUP(J34,'03. THIẾT BỊ'!$B$1:$U$836,19,0),"")</f>
        <v>3.5</v>
      </c>
      <c r="I34" s="19" t="str">
        <f>IFERROR(VLOOKUP(J34,'03. THIẾT BỊ'!$B$1:$U$836,20,0),"")</f>
        <v>3.1 ha/8h</v>
      </c>
      <c r="J34" s="20" t="s">
        <v>4052</v>
      </c>
      <c r="K34" s="19" t="s">
        <v>5978</v>
      </c>
      <c r="L34" s="19"/>
      <c r="M34" s="19"/>
      <c r="N34" s="19" t="str">
        <f>IFERROR(VLOOKUP(J34,'03. THIẾT BỊ'!$B$1:$U$836,4,0),"")</f>
        <v>MUA MỚI</v>
      </c>
      <c r="O34" s="19" t="str">
        <f>IFERROR(VLOOKUP(J34,'03. THIẾT BỊ'!$B$1:$U$836,7,0),"")</f>
        <v>CGLĐ DP</v>
      </c>
      <c r="P34" s="353" t="str">
        <f>IFERROR(VLOOKUP(O34,'NS QUẢN LÝ CG'!$A$4:$D$36,2,0),"")</f>
        <v>Nguyễn Tấn Triều</v>
      </c>
      <c r="Q34" s="353" t="str">
        <f>IFERROR(VLOOKUP(O34,'NS QUẢN LÝ CG'!$A$4:$D$36,4,0),"")</f>
        <v>Lô 85 DP4</v>
      </c>
      <c r="R34" s="1104" t="str">
        <f>IFERROR(VLOOKUP(O34,'NS QUẢN LÝ CG'!$A$4:$C$36,3,0),"")</f>
        <v>05974160290</v>
      </c>
      <c r="S34" s="20" t="str">
        <f>IFERROR(VLOOKUP(J34,'03. THIẾT BỊ'!$B$1:$S$836,3,0),"")</f>
        <v>A23-DRP-005</v>
      </c>
      <c r="T34" s="708" t="str">
        <f t="shared" si="0"/>
        <v>DP</v>
      </c>
      <c r="U34" s="708"/>
    </row>
    <row r="35" ht="13.8" spans="1:21">
      <c r="A35" s="275"/>
      <c r="B35" s="275"/>
      <c r="C35" s="20" t="str">
        <f>IFERROR(VLOOKUP(J35,'03. THIẾT BỊ'!$B$1:$U$836,5,0),"")</f>
        <v>Dàn rải phân (10m3)</v>
      </c>
      <c r="D35" s="19">
        <v>1</v>
      </c>
      <c r="E35" s="19"/>
      <c r="F35" s="19"/>
      <c r="G35" s="19"/>
      <c r="H35" s="19">
        <f>IFERROR(VLOOKUP(J35,'03. THIẾT BỊ'!$B$1:$U$836,19,0),"")</f>
        <v>3.5</v>
      </c>
      <c r="I35" s="19" t="str">
        <f>IFERROR(VLOOKUP(J35,'03. THIẾT BỊ'!$B$1:$U$836,20,0),"")</f>
        <v>3.1 ha/8h</v>
      </c>
      <c r="J35" s="20" t="s">
        <v>4055</v>
      </c>
      <c r="K35" s="19" t="s">
        <v>5978</v>
      </c>
      <c r="L35" s="19"/>
      <c r="M35" s="19"/>
      <c r="N35" s="19" t="str">
        <f>IFERROR(VLOOKUP(J35,'03. THIẾT BỊ'!$B$1:$U$836,4,0),"")</f>
        <v>MUA MỚI</v>
      </c>
      <c r="O35" s="19" t="str">
        <f>IFERROR(VLOOKUP(J35,'03. THIẾT BỊ'!$B$1:$U$836,7,0),"")</f>
        <v>CGLĐ DP</v>
      </c>
      <c r="P35" s="353" t="str">
        <f>IFERROR(VLOOKUP(O35,'NS QUẢN LÝ CG'!$A$4:$D$36,2,0),"")</f>
        <v>Nguyễn Tấn Triều</v>
      </c>
      <c r="Q35" s="353" t="str">
        <f>IFERROR(VLOOKUP(O35,'NS QUẢN LÝ CG'!$A$4:$D$36,4,0),"")</f>
        <v>Lô 85 DP4</v>
      </c>
      <c r="R35" s="1104" t="str">
        <f>IFERROR(VLOOKUP(O35,'NS QUẢN LÝ CG'!$A$4:$C$36,3,0),"")</f>
        <v>05974160290</v>
      </c>
      <c r="S35" s="20" t="str">
        <f>IFERROR(VLOOKUP(J35,'03. THIẾT BỊ'!$B$1:$S$836,3,0),"")</f>
        <v>A22-DRP-0.03</v>
      </c>
      <c r="T35" s="708" t="str">
        <f t="shared" si="0"/>
        <v>ADM</v>
      </c>
      <c r="U35" s="708"/>
    </row>
    <row r="36" ht="13.8" spans="1:21">
      <c r="A36" s="278"/>
      <c r="B36" s="278"/>
      <c r="C36" s="20" t="str">
        <f>IFERROR(VLOOKUP(J36,'03. THIẾT BỊ'!$B$1:$U$836,5,0),"")</f>
        <v>Dàn rải phân (10m3)</v>
      </c>
      <c r="D36" s="19">
        <v>1</v>
      </c>
      <c r="E36" s="19"/>
      <c r="F36" s="19"/>
      <c r="G36" s="19"/>
      <c r="H36" s="19">
        <f>IFERROR(VLOOKUP(J36,'03. THIẾT BỊ'!$B$1:$U$836,19,0),"")</f>
        <v>3.5</v>
      </c>
      <c r="I36" s="19" t="str">
        <f>IFERROR(VLOOKUP(J36,'03. THIẾT BỊ'!$B$1:$U$836,20,0),"")</f>
        <v>3.1 ha/8h</v>
      </c>
      <c r="J36" s="20" t="s">
        <v>4166</v>
      </c>
      <c r="K36" s="19" t="s">
        <v>5978</v>
      </c>
      <c r="L36" s="19"/>
      <c r="M36" s="19"/>
      <c r="N36" s="19" t="str">
        <f>IFERROR(VLOOKUP(J36,'03. THIẾT BỊ'!$B$1:$U$836,4,0),"")</f>
        <v>ĐQSD</v>
      </c>
      <c r="O36" s="19" t="str">
        <f>IFERROR(VLOOKUP(J36,'03. THIẾT BỊ'!$B$1:$U$836,7,0),"")</f>
        <v>CGLĐ LP</v>
      </c>
      <c r="P36" s="353" t="str">
        <f>IFERROR(VLOOKUP(O36,'NS QUẢN LÝ CG'!$A$4:$D$36,2,0),"")</f>
        <v>Nguyễn Tấn Triều</v>
      </c>
      <c r="Q36" s="353" t="str">
        <f>IFERROR(VLOOKUP(O36,'NS QUẢN LÝ CG'!$A$4:$D$36,4,0),"")</f>
        <v>LP3.5-LP3</v>
      </c>
      <c r="R36" s="1104" t="str">
        <f>IFERROR(VLOOKUP(O36,'NS QUẢN LÝ CG'!$A$4:$C$36,3,0),"")</f>
        <v>05974160290</v>
      </c>
      <c r="S36" s="20" t="str">
        <f>IFERROR(VLOOKUP(J36,'03. THIẾT BỊ'!$B$1:$S$836,3,0),"")</f>
        <v>A24-DRP-003</v>
      </c>
      <c r="T36" s="708" t="str">
        <f t="shared" si="0"/>
        <v>LP</v>
      </c>
      <c r="U36" s="708"/>
    </row>
    <row r="37" ht="13.8" spans="1:21">
      <c r="A37" s="707">
        <v>7</v>
      </c>
      <c r="B37" s="707" t="s">
        <v>6023</v>
      </c>
      <c r="C37" s="20" t="str">
        <f>IFERROR(VLOOKUP(J37,'03. THIẾT BỊ'!$B$1:$U$836,5,0),"")</f>
        <v>Thiết bị rạch luống trồng chuối</v>
      </c>
      <c r="D37" s="19">
        <v>1</v>
      </c>
      <c r="E37" s="19"/>
      <c r="F37" s="19"/>
      <c r="G37" s="19"/>
      <c r="H37" s="19">
        <f>IFERROR(VLOOKUP(J37,'03. THIẾT BỊ'!$B$1:$U$836,19,0),"")</f>
        <v>6.5</v>
      </c>
      <c r="I37" s="19" t="str">
        <f>IFERROR(VLOOKUP(J37,'03. THIẾT BỊ'!$B$1:$U$836,20,0),"")</f>
        <v>4 ha/8h</v>
      </c>
      <c r="J37" s="20" t="s">
        <v>4023</v>
      </c>
      <c r="K37" s="19"/>
      <c r="L37" s="19"/>
      <c r="M37" s="19" t="s">
        <v>5978</v>
      </c>
      <c r="N37" s="19" t="str">
        <f>IFERROR(VLOOKUP(J37,'03. THIẾT BỊ'!$B$1:$U$836,4,0),"")</f>
        <v>ĐQSD</v>
      </c>
      <c r="O37" s="19" t="str">
        <f>IFERROR(VLOOKUP(J37,'03. THIẾT BỊ'!$B$1:$U$836,7,0),"")</f>
        <v>CGLĐ DP</v>
      </c>
      <c r="P37" s="353" t="str">
        <f>IFERROR(VLOOKUP(O37,'NS QUẢN LÝ CG'!$A$4:$D$36,2,0),"")</f>
        <v>Nguyễn Tấn Triều</v>
      </c>
      <c r="Q37" s="353" t="str">
        <f>IFERROR(VLOOKUP(O37,'NS QUẢN LÝ CG'!$A$4:$D$36,4,0),"")</f>
        <v>Lô 85 DP4</v>
      </c>
      <c r="R37" s="1104" t="str">
        <f>IFERROR(VLOOKUP(O37,'NS QUẢN LÝ CG'!$A$4:$C$36,3,0),"")</f>
        <v>05974160290</v>
      </c>
      <c r="S37" s="20" t="str">
        <f>IFERROR(VLOOKUP(J37,'03. THIẾT BỊ'!$B$1:$S$836,3,0),"")</f>
        <v>A23-RTC-001</v>
      </c>
      <c r="T37" s="708" t="str">
        <f t="shared" si="0"/>
        <v>DP</v>
      </c>
      <c r="U37" s="708"/>
    </row>
    <row r="38" ht="13.8" spans="1:21">
      <c r="A38" s="275"/>
      <c r="B38" s="275"/>
      <c r="C38" s="20" t="str">
        <f>IFERROR(VLOOKUP(J38,'03. THIẾT BỊ'!$B$1:$U$836,5,0),"")</f>
        <v>Thiết bị rạch luống trồng chuối</v>
      </c>
      <c r="D38" s="19">
        <v>1</v>
      </c>
      <c r="E38" s="19"/>
      <c r="F38" s="19"/>
      <c r="G38" s="19"/>
      <c r="H38" s="19">
        <f>IFERROR(VLOOKUP(J38,'03. THIẾT BỊ'!$B$1:$U$836,19,0),"")</f>
        <v>6.5</v>
      </c>
      <c r="I38" s="19" t="str">
        <f>IFERROR(VLOOKUP(J38,'03. THIẾT BỊ'!$B$1:$U$836,20,0),"")</f>
        <v>4 ha/8h</v>
      </c>
      <c r="J38" s="20" t="s">
        <v>4027</v>
      </c>
      <c r="K38" s="19"/>
      <c r="L38" s="19"/>
      <c r="M38" s="19" t="s">
        <v>5978</v>
      </c>
      <c r="N38" s="19" t="str">
        <f>IFERROR(VLOOKUP(J38,'03. THIẾT BỊ'!$B$1:$U$836,4,0),"")</f>
        <v>ĐQSD</v>
      </c>
      <c r="O38" s="19" t="str">
        <f>IFERROR(VLOOKUP(J38,'03. THIẾT BỊ'!$B$1:$U$836,7,0),"")</f>
        <v>CGLĐ DP</v>
      </c>
      <c r="P38" s="353" t="str">
        <f>IFERROR(VLOOKUP(O38,'NS QUẢN LÝ CG'!$A$4:$D$36,2,0),"")</f>
        <v>Nguyễn Tấn Triều</v>
      </c>
      <c r="Q38" s="353" t="str">
        <f>IFERROR(VLOOKUP(O38,'NS QUẢN LÝ CG'!$A$4:$D$36,4,0),"")</f>
        <v>Lô 85 DP4</v>
      </c>
      <c r="R38" s="1104" t="str">
        <f>IFERROR(VLOOKUP(O38,'NS QUẢN LÝ CG'!$A$4:$C$36,3,0),"")</f>
        <v>05974160290</v>
      </c>
      <c r="S38" s="20" t="str">
        <f>IFERROR(VLOOKUP(J38,'03. THIẾT BỊ'!$B$1:$S$836,3,0),"")</f>
        <v>A23-RTC-002</v>
      </c>
      <c r="T38" s="708" t="str">
        <f t="shared" si="0"/>
        <v>DP</v>
      </c>
      <c r="U38" s="708"/>
    </row>
    <row r="39" ht="13.8" spans="1:21">
      <c r="A39" s="275"/>
      <c r="B39" s="275"/>
      <c r="C39" s="20" t="str">
        <f>IFERROR(VLOOKUP(J39,'03. THIẾT BỊ'!$B$1:$U$836,5,0),"")</f>
        <v>Thiết bị rạch luống trồng chuối</v>
      </c>
      <c r="D39" s="19">
        <v>1</v>
      </c>
      <c r="E39" s="19"/>
      <c r="F39" s="19"/>
      <c r="G39" s="19"/>
      <c r="H39" s="19">
        <f>IFERROR(VLOOKUP(J39,'03. THIẾT BỊ'!$B$1:$U$836,19,0),"")</f>
        <v>6.5</v>
      </c>
      <c r="I39" s="19" t="str">
        <f>IFERROR(VLOOKUP(J39,'03. THIẾT BỊ'!$B$1:$U$836,20,0),"")</f>
        <v>4 ha/8h</v>
      </c>
      <c r="J39" s="20" t="s">
        <v>4030</v>
      </c>
      <c r="K39" s="19"/>
      <c r="L39" s="19"/>
      <c r="M39" s="19" t="s">
        <v>5978</v>
      </c>
      <c r="N39" s="19" t="str">
        <f>IFERROR(VLOOKUP(J39,'03. THIẾT BỊ'!$B$1:$U$836,4,0),"")</f>
        <v>ĐQSD</v>
      </c>
      <c r="O39" s="19" t="str">
        <f>IFERROR(VLOOKUP(J39,'03. THIẾT BỊ'!$B$1:$U$836,7,0),"")</f>
        <v>CGLĐ DP</v>
      </c>
      <c r="P39" s="353" t="str">
        <f>IFERROR(VLOOKUP(O39,'NS QUẢN LÝ CG'!$A$4:$D$36,2,0),"")</f>
        <v>Nguyễn Tấn Triều</v>
      </c>
      <c r="Q39" s="353" t="str">
        <f>IFERROR(VLOOKUP(O39,'NS QUẢN LÝ CG'!$A$4:$D$36,4,0),"")</f>
        <v>Lô 85 DP4</v>
      </c>
      <c r="R39" s="1104" t="str">
        <f>IFERROR(VLOOKUP(O39,'NS QUẢN LÝ CG'!$A$4:$C$36,3,0),"")</f>
        <v>05974160290</v>
      </c>
      <c r="S39" s="20">
        <f>IFERROR(VLOOKUP(J39,'03. THIẾT BỊ'!$B$1:$S$836,3,0),"")</f>
        <v>0</v>
      </c>
      <c r="T39" s="708" t="str">
        <f t="shared" si="0"/>
        <v/>
      </c>
      <c r="U39" s="708"/>
    </row>
    <row r="40" ht="13.8" spans="1:21">
      <c r="A40" s="275"/>
      <c r="B40" s="275"/>
      <c r="C40" s="20" t="str">
        <f>IFERROR(VLOOKUP(J40,'03. THIẾT BỊ'!$B$1:$U$836,5,0),"")</f>
        <v>Thiết bị rạch luống trồng chuối</v>
      </c>
      <c r="D40" s="19">
        <v>1</v>
      </c>
      <c r="E40" s="19"/>
      <c r="F40" s="19"/>
      <c r="G40" s="19"/>
      <c r="H40" s="19">
        <f>IFERROR(VLOOKUP(J40,'03. THIẾT BỊ'!$B$1:$U$836,19,0),"")</f>
        <v>6.5</v>
      </c>
      <c r="I40" s="19" t="str">
        <f>IFERROR(VLOOKUP(J40,'03. THIẾT BỊ'!$B$1:$U$836,20,0),"")</f>
        <v>4 ha/8h</v>
      </c>
      <c r="J40" s="20" t="s">
        <v>4033</v>
      </c>
      <c r="K40" s="19" t="s">
        <v>5978</v>
      </c>
      <c r="L40" s="19"/>
      <c r="M40" s="19"/>
      <c r="N40" s="19" t="str">
        <f>IFERROR(VLOOKUP(J40,'03. THIẾT BỊ'!$B$1:$U$836,4,0),"")</f>
        <v>ĐQSD</v>
      </c>
      <c r="O40" s="19" t="str">
        <f>IFERROR(VLOOKUP(J40,'03. THIẾT BỊ'!$B$1:$U$836,7,0),"")</f>
        <v>CGLĐ DP</v>
      </c>
      <c r="P40" s="353" t="str">
        <f>IFERROR(VLOOKUP(O40,'NS QUẢN LÝ CG'!$A$4:$D$36,2,0),"")</f>
        <v>Nguyễn Tấn Triều</v>
      </c>
      <c r="Q40" s="353" t="str">
        <f>IFERROR(VLOOKUP(O40,'NS QUẢN LÝ CG'!$A$4:$D$36,4,0),"")</f>
        <v>Lô 85 DP4</v>
      </c>
      <c r="R40" s="1104" t="str">
        <f>IFERROR(VLOOKUP(O40,'NS QUẢN LÝ CG'!$A$4:$C$36,3,0),"")</f>
        <v>05974160290</v>
      </c>
      <c r="S40" s="20">
        <f>IFERROR(VLOOKUP(J40,'03. THIẾT BỊ'!$B$1:$S$836,3,0),"")</f>
        <v>0</v>
      </c>
      <c r="T40" s="708" t="str">
        <f t="shared" si="0"/>
        <v/>
      </c>
      <c r="U40" s="708"/>
    </row>
    <row r="41" ht="13.8" spans="1:21">
      <c r="A41" s="275"/>
      <c r="B41" s="275"/>
      <c r="C41" s="20" t="str">
        <f>IFERROR(VLOOKUP(J41,'03. THIẾT BỊ'!$B$1:$U$836,5,0),"")</f>
        <v>Thiết bị rạch luống trồng chuối</v>
      </c>
      <c r="D41" s="19">
        <v>1</v>
      </c>
      <c r="E41" s="19"/>
      <c r="F41" s="19"/>
      <c r="G41" s="19"/>
      <c r="H41" s="19">
        <f>IFERROR(VLOOKUP(J41,'03. THIẾT BỊ'!$B$1:$U$836,19,0),"")</f>
        <v>6.5</v>
      </c>
      <c r="I41" s="19" t="str">
        <f>IFERROR(VLOOKUP(J41,'03. THIẾT BỊ'!$B$1:$U$836,20,0),"")</f>
        <v>4 ha/8h</v>
      </c>
      <c r="J41" s="20" t="s">
        <v>4034</v>
      </c>
      <c r="K41" s="19" t="s">
        <v>5978</v>
      </c>
      <c r="L41" s="19"/>
      <c r="M41" s="19"/>
      <c r="N41" s="19" t="str">
        <f>IFERROR(VLOOKUP(J41,'03. THIẾT BỊ'!$B$1:$U$836,4,0),"")</f>
        <v>ĐQSD</v>
      </c>
      <c r="O41" s="19" t="str">
        <f>IFERROR(VLOOKUP(J41,'03. THIẾT BỊ'!$B$1:$U$836,7,0),"")</f>
        <v>CGLĐ DP</v>
      </c>
      <c r="P41" s="353" t="str">
        <f>IFERROR(VLOOKUP(O41,'NS QUẢN LÝ CG'!$A$4:$D$36,2,0),"")</f>
        <v>Nguyễn Tấn Triều</v>
      </c>
      <c r="Q41" s="353" t="str">
        <f>IFERROR(VLOOKUP(O41,'NS QUẢN LÝ CG'!$A$4:$D$36,4,0),"")</f>
        <v>Lô 85 DP4</v>
      </c>
      <c r="R41" s="1104" t="str">
        <f>IFERROR(VLOOKUP(O41,'NS QUẢN LÝ CG'!$A$4:$C$36,3,0),"")</f>
        <v>05974160290</v>
      </c>
      <c r="S41" s="20">
        <f>IFERROR(VLOOKUP(J41,'03. THIẾT BỊ'!$B$1:$S$836,3,0),"")</f>
        <v>0</v>
      </c>
      <c r="T41" s="708" t="str">
        <f t="shared" si="0"/>
        <v/>
      </c>
      <c r="U41" s="708"/>
    </row>
    <row r="42" ht="13.8" spans="1:21">
      <c r="A42" s="275"/>
      <c r="B42" s="275"/>
      <c r="C42" s="20" t="str">
        <f>IFERROR(VLOOKUP(J42,'03. THIẾT BỊ'!$B$1:$U$836,5,0),"")</f>
        <v>Thiết bị rạch luống trồng chuối</v>
      </c>
      <c r="D42" s="19">
        <v>1</v>
      </c>
      <c r="E42" s="19"/>
      <c r="F42" s="19"/>
      <c r="G42" s="19"/>
      <c r="H42" s="19">
        <f>IFERROR(VLOOKUP(J42,'03. THIẾT BỊ'!$B$1:$U$836,19,0),"")</f>
        <v>6.5</v>
      </c>
      <c r="I42" s="19" t="str">
        <f>IFERROR(VLOOKUP(J42,'03. THIẾT BỊ'!$B$1:$U$836,20,0),"")</f>
        <v>4 ha/8h</v>
      </c>
      <c r="J42" s="20" t="s">
        <v>4035</v>
      </c>
      <c r="K42" s="19" t="s">
        <v>5978</v>
      </c>
      <c r="L42" s="19"/>
      <c r="M42" s="19"/>
      <c r="N42" s="19" t="str">
        <f>IFERROR(VLOOKUP(J42,'03. THIẾT BỊ'!$B$1:$U$836,4,0),"")</f>
        <v>ĐQSD</v>
      </c>
      <c r="O42" s="19" t="str">
        <f>IFERROR(VLOOKUP(J42,'03. THIẾT BỊ'!$B$1:$U$836,7,0),"")</f>
        <v>CGLĐ DP</v>
      </c>
      <c r="P42" s="353" t="str">
        <f>IFERROR(VLOOKUP(O42,'NS QUẢN LÝ CG'!$A$4:$D$36,2,0),"")</f>
        <v>Nguyễn Tấn Triều</v>
      </c>
      <c r="Q42" s="353" t="str">
        <f>IFERROR(VLOOKUP(O42,'NS QUẢN LÝ CG'!$A$4:$D$36,4,0),"")</f>
        <v>Lô 85 DP4</v>
      </c>
      <c r="R42" s="1104" t="str">
        <f>IFERROR(VLOOKUP(O42,'NS QUẢN LÝ CG'!$A$4:$C$36,3,0),"")</f>
        <v>05974160290</v>
      </c>
      <c r="S42" s="20">
        <f>IFERROR(VLOOKUP(J42,'03. THIẾT BỊ'!$B$1:$S$836,3,0),"")</f>
        <v>0</v>
      </c>
      <c r="T42" s="708" t="str">
        <f t="shared" si="0"/>
        <v/>
      </c>
      <c r="U42" s="708"/>
    </row>
    <row r="43" ht="13.8" spans="1:21">
      <c r="A43" s="278"/>
      <c r="B43" s="278"/>
      <c r="C43" s="20" t="str">
        <f>IFERROR(VLOOKUP(J43,'03. THIẾT BỊ'!$B$1:$U$836,5,0),"")</f>
        <v>Thiết bị rạch luống trồng chuối</v>
      </c>
      <c r="D43" s="19">
        <v>1</v>
      </c>
      <c r="E43" s="19"/>
      <c r="F43" s="19"/>
      <c r="G43" s="19"/>
      <c r="H43" s="19">
        <f>IFERROR(VLOOKUP(J43,'03. THIẾT BỊ'!$B$1:$U$836,19,0),"")</f>
        <v>6.5</v>
      </c>
      <c r="I43" s="19" t="str">
        <f>IFERROR(VLOOKUP(J43,'03. THIẾT BỊ'!$B$1:$U$836,20,0),"")</f>
        <v>4 ha/8h</v>
      </c>
      <c r="J43" s="20" t="s">
        <v>4163</v>
      </c>
      <c r="K43" s="19" t="s">
        <v>5978</v>
      </c>
      <c r="L43" s="19"/>
      <c r="M43" s="19"/>
      <c r="N43" s="19" t="str">
        <f>IFERROR(VLOOKUP(J43,'03. THIẾT BỊ'!$B$1:$U$836,4,0),"")</f>
        <v>ĐQSD</v>
      </c>
      <c r="O43" s="19" t="str">
        <f>IFERROR(VLOOKUP(J43,'03. THIẾT BỊ'!$B$1:$U$836,7,0),"")</f>
        <v>CGLĐ LP</v>
      </c>
      <c r="P43" s="353" t="str">
        <f>IFERROR(VLOOKUP(O43,'NS QUẢN LÝ CG'!$A$4:$D$36,2,0),"")</f>
        <v>Nguyễn Tấn Triều</v>
      </c>
      <c r="Q43" s="353" t="str">
        <f>IFERROR(VLOOKUP(O43,'NS QUẢN LÝ CG'!$A$4:$D$36,4,0),"")</f>
        <v>LP3.5-LP3</v>
      </c>
      <c r="R43" s="1104" t="str">
        <f>IFERROR(VLOOKUP(O43,'NS QUẢN LÝ CG'!$A$4:$C$36,3,0),"")</f>
        <v>05974160290</v>
      </c>
      <c r="S43" s="20" t="str">
        <f>IFERROR(VLOOKUP(J43,'03. THIẾT BỊ'!$B$1:$S$836,3,0),"")</f>
        <v>A24-RTC-001</v>
      </c>
      <c r="T43" s="708" t="str">
        <f t="shared" si="0"/>
        <v>LP</v>
      </c>
      <c r="U43" s="708"/>
    </row>
    <row r="44" ht="13.8" spans="1:21">
      <c r="A44" s="19" t="str">
        <f>IFERROR(VLOOKUP(B333,'03. THIẾT BỊ'!$B$1:$S$836,7,0),"")</f>
        <v/>
      </c>
      <c r="B44" s="20" t="s">
        <v>518</v>
      </c>
      <c r="C44" s="20" t="str">
        <f>IFERROR(VLOOKUP(J44,'03. THIẾT BỊ'!$B$1:$U$836,5,0),"")</f>
        <v/>
      </c>
      <c r="D44" s="19"/>
      <c r="E44" s="19"/>
      <c r="F44" s="19"/>
      <c r="G44" s="19"/>
      <c r="H44" s="19" t="str">
        <f>IFERROR(VLOOKUP(J44,'03. THIẾT BỊ'!$B$1:$U$836,19,0),"")</f>
        <v/>
      </c>
      <c r="I44" s="19" t="str">
        <f>IFERROR(VLOOKUP(J44,'03. THIẾT BỊ'!$B$1:$U$836,20,0),"")</f>
        <v/>
      </c>
      <c r="J44" s="20"/>
      <c r="K44" s="19"/>
      <c r="L44" s="19"/>
      <c r="M44" s="19"/>
      <c r="N44" s="19" t="str">
        <f>IFERROR(VLOOKUP(J44,'03. THIẾT BỊ'!$B$1:$U$836,4,0),"")</f>
        <v/>
      </c>
      <c r="O44" s="19" t="str">
        <f>IFERROR(VLOOKUP(J44,'03. THIẾT BỊ'!$B$1:$U$836,7,0),"")</f>
        <v/>
      </c>
      <c r="P44" s="20"/>
      <c r="Q44" s="20"/>
      <c r="R44" s="20"/>
      <c r="S44" s="20" t="str">
        <f>IFERROR(VLOOKUP(J44,'03. THIẾT BỊ'!$B$1:$S$836,3,0),"")</f>
        <v/>
      </c>
      <c r="T44" s="708"/>
      <c r="U44" s="708"/>
    </row>
    <row r="45" ht="13.8" spans="1:21">
      <c r="A45" s="19" t="str">
        <f>IFERROR(VLOOKUP(#REF!,'03. THIẾT BỊ'!$B$1:$S$836,7,0),"")</f>
        <v/>
      </c>
      <c r="B45" s="20"/>
      <c r="C45" s="20" t="str">
        <f>IFERROR(VLOOKUP(J45,'03. THIẾT BỊ'!$B$1:$U$836,5,0),"")</f>
        <v/>
      </c>
      <c r="D45" s="19"/>
      <c r="E45" s="19"/>
      <c r="F45" s="19"/>
      <c r="G45" s="19"/>
      <c r="H45" s="19" t="str">
        <f>IFERROR(VLOOKUP(J45,'03. THIẾT BỊ'!$B$1:$U$836,19,0),"")</f>
        <v/>
      </c>
      <c r="I45" s="19" t="str">
        <f>IFERROR(VLOOKUP(J45,'03. THIẾT BỊ'!$B$1:$U$836,20,0),"")</f>
        <v/>
      </c>
      <c r="J45" s="20"/>
      <c r="K45" s="19"/>
      <c r="L45" s="19"/>
      <c r="M45" s="19"/>
      <c r="N45" s="19" t="str">
        <f>IFERROR(VLOOKUP(J45,'03. THIẾT BỊ'!$B$1:$U$836,4,0),"")</f>
        <v/>
      </c>
      <c r="O45" s="19" t="str">
        <f>IFERROR(VLOOKUP(J45,'03. THIẾT BỊ'!$B$1:$U$836,7,0),"")</f>
        <v/>
      </c>
      <c r="P45" s="20"/>
      <c r="Q45" s="20"/>
      <c r="R45" s="20"/>
      <c r="S45" s="20" t="str">
        <f>IFERROR(VLOOKUP(J45,'03. THIẾT BỊ'!$B$1:$S$836,3,0),"")</f>
        <v/>
      </c>
      <c r="T45" s="708"/>
      <c r="U45" s="708"/>
    </row>
    <row r="46" ht="13.8" hidden="1" spans="1:21">
      <c r="A46" s="19" t="str">
        <f>IFERROR(VLOOKUP(#REF!,'03. THIẾT BỊ'!$B$1:$S$836,7,0),"")</f>
        <v/>
      </c>
      <c r="B46" s="20"/>
      <c r="C46" s="20" t="str">
        <f>IFERROR(VLOOKUP(J46,'03. THIẾT BỊ'!$B$1:$U$836,5,0),"")</f>
        <v/>
      </c>
      <c r="D46" s="19"/>
      <c r="E46" s="19"/>
      <c r="F46" s="19"/>
      <c r="G46" s="19"/>
      <c r="H46" s="19" t="str">
        <f>IFERROR(VLOOKUP(J46,'03. THIẾT BỊ'!$B$1:$U$836,19,0),"")</f>
        <v/>
      </c>
      <c r="I46" s="19" t="str">
        <f>IFERROR(VLOOKUP(J46,'03. THIẾT BỊ'!$B$1:$U$836,20,0),"")</f>
        <v/>
      </c>
      <c r="J46" s="20"/>
      <c r="K46" s="19"/>
      <c r="L46" s="19"/>
      <c r="M46" s="19"/>
      <c r="N46" s="19" t="str">
        <f>IFERROR(VLOOKUP(J46,'03. THIẾT BỊ'!$B$1:$U$836,4,0),"")</f>
        <v/>
      </c>
      <c r="O46" s="19" t="str">
        <f>IFERROR(VLOOKUP(J46,'03. THIẾT BỊ'!$B$1:$U$836,7,0),"")</f>
        <v/>
      </c>
      <c r="P46" s="20"/>
      <c r="Q46" s="20"/>
      <c r="R46" s="20"/>
      <c r="S46" s="20" t="str">
        <f>IFERROR(VLOOKUP(J46,'03. THIẾT BỊ'!$B$1:$S$836,3,0),"")</f>
        <v/>
      </c>
      <c r="T46" s="708"/>
      <c r="U46" s="708"/>
    </row>
    <row r="47" ht="13.8" hidden="1" spans="1:21">
      <c r="A47" s="19" t="str">
        <f>IFERROR(VLOOKUP(#REF!,'03. THIẾT BỊ'!$B$1:$S$836,7,0),"")</f>
        <v/>
      </c>
      <c r="B47" s="20"/>
      <c r="C47" s="20" t="str">
        <f>IFERROR(VLOOKUP(J47,'03. THIẾT BỊ'!$B$1:$U$836,5,0),"")</f>
        <v/>
      </c>
      <c r="D47" s="19"/>
      <c r="E47" s="19"/>
      <c r="F47" s="19"/>
      <c r="G47" s="19"/>
      <c r="H47" s="19" t="str">
        <f>IFERROR(VLOOKUP(J47,'03. THIẾT BỊ'!$B$1:$U$836,19,0),"")</f>
        <v/>
      </c>
      <c r="I47" s="19" t="str">
        <f>IFERROR(VLOOKUP(J47,'03. THIẾT BỊ'!$B$1:$U$836,20,0),"")</f>
        <v/>
      </c>
      <c r="J47" s="20"/>
      <c r="K47" s="19"/>
      <c r="L47" s="19"/>
      <c r="M47" s="19"/>
      <c r="N47" s="19" t="str">
        <f>IFERROR(VLOOKUP(J47,'03. THIẾT BỊ'!$B$1:$U$836,4,0),"")</f>
        <v/>
      </c>
      <c r="O47" s="19" t="str">
        <f>IFERROR(VLOOKUP(J47,'03. THIẾT BỊ'!$B$1:$U$836,7,0),"")</f>
        <v/>
      </c>
      <c r="P47" s="20"/>
      <c r="Q47" s="20"/>
      <c r="R47" s="20"/>
      <c r="S47" s="20" t="str">
        <f>IFERROR(VLOOKUP(J47,'03. THIẾT BỊ'!$B$1:$S$836,3,0),"")</f>
        <v/>
      </c>
      <c r="T47" s="708"/>
      <c r="U47" s="708"/>
    </row>
    <row r="48" ht="13.8" hidden="1" spans="1:21">
      <c r="A48" s="19" t="str">
        <f>IFERROR(VLOOKUP(B334,'03. THIẾT BỊ'!$B$1:$S$836,7,0),"")</f>
        <v/>
      </c>
      <c r="B48" s="20"/>
      <c r="C48" s="20" t="str">
        <f>IFERROR(VLOOKUP(J48,'03. THIẾT BỊ'!$B$1:$U$836,5,0),"")</f>
        <v/>
      </c>
      <c r="D48" s="19"/>
      <c r="E48" s="19"/>
      <c r="F48" s="19"/>
      <c r="G48" s="19"/>
      <c r="H48" s="19" t="str">
        <f>IFERROR(VLOOKUP(J48,'03. THIẾT BỊ'!$B$1:$U$836,19,0),"")</f>
        <v/>
      </c>
      <c r="I48" s="19" t="str">
        <f>IFERROR(VLOOKUP(J48,'03. THIẾT BỊ'!$B$1:$U$836,20,0),"")</f>
        <v/>
      </c>
      <c r="J48" s="20"/>
      <c r="K48" s="19"/>
      <c r="L48" s="19"/>
      <c r="M48" s="19"/>
      <c r="N48" s="19" t="str">
        <f>IFERROR(VLOOKUP(J48,'03. THIẾT BỊ'!$B$1:$U$836,4,0),"")</f>
        <v/>
      </c>
      <c r="O48" s="19" t="str">
        <f>IFERROR(VLOOKUP(J48,'03. THIẾT BỊ'!$B$1:$U$836,7,0),"")</f>
        <v/>
      </c>
      <c r="P48" s="20"/>
      <c r="Q48" s="20"/>
      <c r="R48" s="20"/>
      <c r="S48" s="20" t="str">
        <f>IFERROR(VLOOKUP(J48,'03. THIẾT BỊ'!$B$1:$S$836,3,0),"")</f>
        <v/>
      </c>
      <c r="T48" s="708"/>
      <c r="U48" s="708"/>
    </row>
    <row r="49" ht="13.8" hidden="1" spans="1:21">
      <c r="A49" s="19" t="str">
        <f>IFERROR(VLOOKUP(#REF!,'03. THIẾT BỊ'!$B$1:$S$836,7,0),"")</f>
        <v/>
      </c>
      <c r="B49" s="20"/>
      <c r="C49" s="20" t="str">
        <f>IFERROR(VLOOKUP(J49,'03. THIẾT BỊ'!$B$1:$U$836,5,0),"")</f>
        <v/>
      </c>
      <c r="D49" s="19"/>
      <c r="E49" s="19"/>
      <c r="F49" s="19"/>
      <c r="G49" s="19"/>
      <c r="H49" s="19" t="str">
        <f>IFERROR(VLOOKUP(J49,'03. THIẾT BỊ'!$B$1:$U$836,19,0),"")</f>
        <v/>
      </c>
      <c r="I49" s="19" t="str">
        <f>IFERROR(VLOOKUP(J49,'03. THIẾT BỊ'!$B$1:$U$836,20,0),"")</f>
        <v/>
      </c>
      <c r="J49" s="20"/>
      <c r="K49" s="19"/>
      <c r="L49" s="19"/>
      <c r="M49" s="19"/>
      <c r="N49" s="19" t="str">
        <f>IFERROR(VLOOKUP(J49,'03. THIẾT BỊ'!$B$1:$U$836,4,0),"")</f>
        <v/>
      </c>
      <c r="O49" s="19" t="str">
        <f>IFERROR(VLOOKUP(J49,'03. THIẾT BỊ'!$B$1:$U$836,7,0),"")</f>
        <v/>
      </c>
      <c r="P49" s="20"/>
      <c r="Q49" s="20"/>
      <c r="R49" s="20"/>
      <c r="S49" s="20" t="str">
        <f>IFERROR(VLOOKUP(J49,'03. THIẾT BỊ'!$B$1:$S$836,3,0),"")</f>
        <v/>
      </c>
      <c r="T49" s="708"/>
      <c r="U49" s="708"/>
    </row>
    <row r="50" ht="13.8" hidden="1" spans="1:21">
      <c r="A50" s="19" t="str">
        <f>IFERROR(VLOOKUP(#REF!,'03. THIẾT BỊ'!$B$1:$S$836,7,0),"")</f>
        <v/>
      </c>
      <c r="B50" s="20"/>
      <c r="C50" s="20" t="str">
        <f>IFERROR(VLOOKUP(J50,'03. THIẾT BỊ'!$B$1:$U$836,5,0),"")</f>
        <v/>
      </c>
      <c r="D50" s="19"/>
      <c r="E50" s="19"/>
      <c r="F50" s="19"/>
      <c r="G50" s="19"/>
      <c r="H50" s="19" t="str">
        <f>IFERROR(VLOOKUP(J50,'03. THIẾT BỊ'!$B$1:$U$836,19,0),"")</f>
        <v/>
      </c>
      <c r="I50" s="19" t="str">
        <f>IFERROR(VLOOKUP(J50,'03. THIẾT BỊ'!$B$1:$U$836,20,0),"")</f>
        <v/>
      </c>
      <c r="J50" s="20"/>
      <c r="K50" s="19"/>
      <c r="L50" s="19"/>
      <c r="M50" s="19"/>
      <c r="N50" s="19" t="str">
        <f>IFERROR(VLOOKUP(J50,'03. THIẾT BỊ'!$B$1:$U$836,4,0),"")</f>
        <v/>
      </c>
      <c r="O50" s="19" t="str">
        <f>IFERROR(VLOOKUP(J50,'03. THIẾT BỊ'!$B$1:$U$836,7,0),"")</f>
        <v/>
      </c>
      <c r="P50" s="20"/>
      <c r="Q50" s="20"/>
      <c r="R50" s="20"/>
      <c r="S50" s="20" t="str">
        <f>IFERROR(VLOOKUP(J50,'03. THIẾT BỊ'!$B$1:$S$836,3,0),"")</f>
        <v/>
      </c>
      <c r="T50" s="708"/>
      <c r="U50" s="708"/>
    </row>
    <row r="51" ht="13.8" hidden="1" spans="1:21">
      <c r="A51" s="19" t="str">
        <f>IFERROR(VLOOKUP(B346,'03. THIẾT BỊ'!$B$1:$S$836,7,0),"")</f>
        <v/>
      </c>
      <c r="B51" s="20"/>
      <c r="C51" s="20" t="str">
        <f>IFERROR(VLOOKUP(J51,'03. THIẾT BỊ'!$B$1:$U$836,5,0),"")</f>
        <v/>
      </c>
      <c r="D51" s="19"/>
      <c r="E51" s="19"/>
      <c r="F51" s="19"/>
      <c r="G51" s="19"/>
      <c r="H51" s="19" t="str">
        <f>IFERROR(VLOOKUP(J51,'03. THIẾT BỊ'!$B$1:$U$836,19,0),"")</f>
        <v/>
      </c>
      <c r="I51" s="19" t="str">
        <f>IFERROR(VLOOKUP(J51,'03. THIẾT BỊ'!$B$1:$U$836,20,0),"")</f>
        <v/>
      </c>
      <c r="J51" s="20"/>
      <c r="K51" s="19"/>
      <c r="L51" s="19"/>
      <c r="M51" s="19"/>
      <c r="N51" s="19" t="str">
        <f>IFERROR(VLOOKUP(J51,'03. THIẾT BỊ'!$B$1:$U$836,4,0),"")</f>
        <v/>
      </c>
      <c r="O51" s="19" t="str">
        <f>IFERROR(VLOOKUP(J51,'03. THIẾT BỊ'!$B$1:$U$836,7,0),"")</f>
        <v/>
      </c>
      <c r="P51" s="20"/>
      <c r="Q51" s="20"/>
      <c r="R51" s="20"/>
      <c r="S51" s="20" t="str">
        <f>IFERROR(VLOOKUP(J51,'03. THIẾT BỊ'!$B$1:$S$836,3,0),"")</f>
        <v/>
      </c>
      <c r="T51" s="708"/>
      <c r="U51" s="708"/>
    </row>
    <row r="52" ht="13.8" hidden="1" spans="1:21">
      <c r="A52" s="19" t="str">
        <f>IFERROR(VLOOKUP(#REF!,'03. THIẾT BỊ'!$B$1:$S$836,7,0),"")</f>
        <v/>
      </c>
      <c r="B52" s="20"/>
      <c r="C52" s="20" t="str">
        <f>IFERROR(VLOOKUP(J52,'03. THIẾT BỊ'!$B$1:$U$836,5,0),"")</f>
        <v/>
      </c>
      <c r="D52" s="19"/>
      <c r="E52" s="19"/>
      <c r="F52" s="19"/>
      <c r="G52" s="19"/>
      <c r="H52" s="19" t="str">
        <f>IFERROR(VLOOKUP(J52,'03. THIẾT BỊ'!$B$1:$U$836,19,0),"")</f>
        <v/>
      </c>
      <c r="I52" s="19" t="str">
        <f>IFERROR(VLOOKUP(J52,'03. THIẾT BỊ'!$B$1:$U$836,20,0),"")</f>
        <v/>
      </c>
      <c r="J52" s="20"/>
      <c r="K52" s="19"/>
      <c r="L52" s="19"/>
      <c r="M52" s="19"/>
      <c r="N52" s="19" t="str">
        <f>IFERROR(VLOOKUP(J52,'03. THIẾT BỊ'!$B$1:$U$836,4,0),"")</f>
        <v/>
      </c>
      <c r="O52" s="19" t="str">
        <f>IFERROR(VLOOKUP(J52,'03. THIẾT BỊ'!$B$1:$U$836,7,0),"")</f>
        <v/>
      </c>
      <c r="P52" s="20"/>
      <c r="Q52" s="20"/>
      <c r="R52" s="20"/>
      <c r="S52" s="20" t="str">
        <f>IFERROR(VLOOKUP(J52,'03. THIẾT BỊ'!$B$1:$S$836,3,0),"")</f>
        <v/>
      </c>
      <c r="T52" s="708"/>
      <c r="U52" s="708"/>
    </row>
    <row r="53" ht="13.8" hidden="1" spans="1:21">
      <c r="A53" s="19" t="str">
        <f>IFERROR(VLOOKUP(#REF!,'03. THIẾT BỊ'!$B$1:$S$836,7,0),"")</f>
        <v/>
      </c>
      <c r="B53" s="20"/>
      <c r="C53" s="20" t="str">
        <f>IFERROR(VLOOKUP(J53,'03. THIẾT BỊ'!$B$1:$U$836,5,0),"")</f>
        <v/>
      </c>
      <c r="D53" s="19"/>
      <c r="E53" s="19"/>
      <c r="F53" s="19"/>
      <c r="G53" s="19"/>
      <c r="H53" s="19" t="str">
        <f>IFERROR(VLOOKUP(J53,'03. THIẾT BỊ'!$B$1:$U$836,19,0),"")</f>
        <v/>
      </c>
      <c r="I53" s="19" t="str">
        <f>IFERROR(VLOOKUP(J53,'03. THIẾT BỊ'!$B$1:$U$836,20,0),"")</f>
        <v/>
      </c>
      <c r="J53" s="20"/>
      <c r="K53" s="19"/>
      <c r="L53" s="19"/>
      <c r="M53" s="19"/>
      <c r="N53" s="19" t="str">
        <f>IFERROR(VLOOKUP(J53,'03. THIẾT BỊ'!$B$1:$U$836,4,0),"")</f>
        <v/>
      </c>
      <c r="O53" s="19" t="str">
        <f>IFERROR(VLOOKUP(J53,'03. THIẾT BỊ'!$B$1:$U$836,7,0),"")</f>
        <v/>
      </c>
      <c r="P53" s="20"/>
      <c r="Q53" s="20"/>
      <c r="R53" s="20"/>
      <c r="S53" s="20" t="str">
        <f>IFERROR(VLOOKUP(J53,'03. THIẾT BỊ'!$B$1:$S$836,3,0),"")</f>
        <v/>
      </c>
      <c r="T53" s="708"/>
      <c r="U53" s="708"/>
    </row>
    <row r="54" ht="13.8" hidden="1" spans="1:21">
      <c r="A54" s="19" t="str">
        <f>IFERROR(VLOOKUP(#REF!,'03. THIẾT BỊ'!$B$1:$S$836,7,0),"")</f>
        <v/>
      </c>
      <c r="B54" s="20"/>
      <c r="C54" s="20" t="str">
        <f>IFERROR(VLOOKUP(J54,'03. THIẾT BỊ'!$B$1:$U$836,5,0),"")</f>
        <v/>
      </c>
      <c r="D54" s="19"/>
      <c r="E54" s="19"/>
      <c r="F54" s="19"/>
      <c r="G54" s="19"/>
      <c r="H54" s="19" t="str">
        <f>IFERROR(VLOOKUP(J54,'03. THIẾT BỊ'!$B$1:$U$836,19,0),"")</f>
        <v/>
      </c>
      <c r="I54" s="19" t="str">
        <f>IFERROR(VLOOKUP(J54,'03. THIẾT BỊ'!$B$1:$U$836,20,0),"")</f>
        <v/>
      </c>
      <c r="J54" s="20"/>
      <c r="K54" s="19"/>
      <c r="L54" s="19"/>
      <c r="M54" s="19"/>
      <c r="N54" s="19" t="str">
        <f>IFERROR(VLOOKUP(J54,'03. THIẾT BỊ'!$B$1:$U$836,4,0),"")</f>
        <v/>
      </c>
      <c r="O54" s="19" t="str">
        <f>IFERROR(VLOOKUP(J54,'03. THIẾT BỊ'!$B$1:$U$836,7,0),"")</f>
        <v/>
      </c>
      <c r="P54" s="20"/>
      <c r="Q54" s="20"/>
      <c r="R54" s="20"/>
      <c r="S54" s="20" t="str">
        <f>IFERROR(VLOOKUP(J54,'03. THIẾT BỊ'!$B$1:$S$836,3,0),"")</f>
        <v/>
      </c>
      <c r="T54" s="708"/>
      <c r="U54" s="708"/>
    </row>
    <row r="55" ht="13.8" hidden="1" spans="1:21">
      <c r="A55" s="19" t="str">
        <f>IFERROR(VLOOKUP(#REF!,'03. THIẾT BỊ'!$B$1:$S$836,7,0),"")</f>
        <v/>
      </c>
      <c r="B55" s="20"/>
      <c r="C55" s="20" t="str">
        <f>IFERROR(VLOOKUP(J55,'03. THIẾT BỊ'!$B$1:$U$836,5,0),"")</f>
        <v/>
      </c>
      <c r="D55" s="19"/>
      <c r="E55" s="19"/>
      <c r="F55" s="19"/>
      <c r="G55" s="19"/>
      <c r="H55" s="19" t="str">
        <f>IFERROR(VLOOKUP(J55,'03. THIẾT BỊ'!$B$1:$U$836,19,0),"")</f>
        <v/>
      </c>
      <c r="I55" s="19" t="str">
        <f>IFERROR(VLOOKUP(J55,'03. THIẾT BỊ'!$B$1:$U$836,20,0),"")</f>
        <v/>
      </c>
      <c r="J55" s="20"/>
      <c r="K55" s="19"/>
      <c r="L55" s="19"/>
      <c r="M55" s="19"/>
      <c r="N55" s="19" t="str">
        <f>IFERROR(VLOOKUP(J55,'03. THIẾT BỊ'!$B$1:$U$836,4,0),"")</f>
        <v/>
      </c>
      <c r="O55" s="19" t="str">
        <f>IFERROR(VLOOKUP(J55,'03. THIẾT BỊ'!$B$1:$U$836,7,0),"")</f>
        <v/>
      </c>
      <c r="P55" s="20"/>
      <c r="Q55" s="20"/>
      <c r="R55" s="20"/>
      <c r="S55" s="20" t="str">
        <f>IFERROR(VLOOKUP(J55,'03. THIẾT BỊ'!$B$1:$S$836,3,0),"")</f>
        <v/>
      </c>
      <c r="T55" s="708"/>
      <c r="U55" s="708"/>
    </row>
    <row r="56" ht="13.8" hidden="1" spans="1:21">
      <c r="A56" s="19" t="str">
        <f>IFERROR(VLOOKUP(#REF!,'03. THIẾT BỊ'!$B$1:$S$836,7,0),"")</f>
        <v/>
      </c>
      <c r="B56" s="20"/>
      <c r="C56" s="20" t="str">
        <f>IFERROR(VLOOKUP(J56,'03. THIẾT BỊ'!$B$1:$U$836,5,0),"")</f>
        <v/>
      </c>
      <c r="D56" s="19"/>
      <c r="E56" s="19"/>
      <c r="F56" s="19"/>
      <c r="G56" s="19"/>
      <c r="H56" s="19" t="str">
        <f>IFERROR(VLOOKUP(J56,'03. THIẾT BỊ'!$B$1:$U$836,19,0),"")</f>
        <v/>
      </c>
      <c r="I56" s="19" t="str">
        <f>IFERROR(VLOOKUP(J56,'03. THIẾT BỊ'!$B$1:$U$836,20,0),"")</f>
        <v/>
      </c>
      <c r="J56" s="20"/>
      <c r="K56" s="19"/>
      <c r="L56" s="19"/>
      <c r="M56" s="19"/>
      <c r="N56" s="19" t="str">
        <f>IFERROR(VLOOKUP(J56,'03. THIẾT BỊ'!$B$1:$U$836,4,0),"")</f>
        <v/>
      </c>
      <c r="O56" s="19" t="str">
        <f>IFERROR(VLOOKUP(J56,'03. THIẾT BỊ'!$B$1:$U$836,7,0),"")</f>
        <v/>
      </c>
      <c r="P56" s="20"/>
      <c r="Q56" s="20"/>
      <c r="R56" s="20"/>
      <c r="S56" s="20" t="str">
        <f>IFERROR(VLOOKUP(J56,'03. THIẾT BỊ'!$B$1:$S$836,3,0),"")</f>
        <v/>
      </c>
      <c r="T56" s="708"/>
      <c r="U56" s="708"/>
    </row>
    <row r="57" ht="13.8" hidden="1" spans="1:21">
      <c r="A57" s="19" t="str">
        <f>IFERROR(VLOOKUP(B362,'03. THIẾT BỊ'!$B$1:$S$836,7,0),"")</f>
        <v/>
      </c>
      <c r="B57" s="20"/>
      <c r="C57" s="20" t="str">
        <f>IFERROR(VLOOKUP(J57,'03. THIẾT BỊ'!$B$1:$U$836,5,0),"")</f>
        <v/>
      </c>
      <c r="D57" s="19"/>
      <c r="E57" s="19"/>
      <c r="F57" s="19"/>
      <c r="G57" s="19"/>
      <c r="H57" s="19" t="str">
        <f>IFERROR(VLOOKUP(J57,'03. THIẾT BỊ'!$B$1:$U$836,19,0),"")</f>
        <v/>
      </c>
      <c r="I57" s="19" t="str">
        <f>IFERROR(VLOOKUP(J57,'03. THIẾT BỊ'!$B$1:$U$836,20,0),"")</f>
        <v/>
      </c>
      <c r="J57" s="20"/>
      <c r="K57" s="19"/>
      <c r="L57" s="19"/>
      <c r="M57" s="19"/>
      <c r="N57" s="19" t="str">
        <f>IFERROR(VLOOKUP(J57,'03. THIẾT BỊ'!$B$1:$U$836,4,0),"")</f>
        <v/>
      </c>
      <c r="O57" s="19" t="str">
        <f>IFERROR(VLOOKUP(J57,'03. THIẾT BỊ'!$B$1:$U$836,7,0),"")</f>
        <v/>
      </c>
      <c r="P57" s="20"/>
      <c r="Q57" s="20"/>
      <c r="R57" s="20"/>
      <c r="S57" s="20" t="str">
        <f>IFERROR(VLOOKUP(J57,'03. THIẾT BỊ'!$B$1:$S$836,3,0),"")</f>
        <v/>
      </c>
      <c r="T57" s="708"/>
      <c r="U57" s="708"/>
    </row>
    <row r="58" ht="13.8" hidden="1" spans="1:21">
      <c r="A58" s="19" t="str">
        <f>IFERROR(VLOOKUP(B363,'03. THIẾT BỊ'!$B$1:$S$836,7,0),"")</f>
        <v/>
      </c>
      <c r="B58" s="20"/>
      <c r="C58" s="20" t="str">
        <f>IFERROR(VLOOKUP(J58,'03. THIẾT BỊ'!$B$1:$U$836,5,0),"")</f>
        <v/>
      </c>
      <c r="D58" s="19"/>
      <c r="E58" s="19"/>
      <c r="F58" s="19"/>
      <c r="G58" s="19"/>
      <c r="H58" s="19" t="str">
        <f>IFERROR(VLOOKUP(J58,'03. THIẾT BỊ'!$B$1:$U$836,19,0),"")</f>
        <v/>
      </c>
      <c r="I58" s="19" t="str">
        <f>IFERROR(VLOOKUP(J58,'03. THIẾT BỊ'!$B$1:$U$836,20,0),"")</f>
        <v/>
      </c>
      <c r="J58" s="20"/>
      <c r="K58" s="19"/>
      <c r="L58" s="19"/>
      <c r="M58" s="19"/>
      <c r="N58" s="19" t="str">
        <f>IFERROR(VLOOKUP(J58,'03. THIẾT BỊ'!$B$1:$U$836,4,0),"")</f>
        <v/>
      </c>
      <c r="O58" s="19" t="str">
        <f>IFERROR(VLOOKUP(J58,'03. THIẾT BỊ'!$B$1:$U$836,7,0),"")</f>
        <v/>
      </c>
      <c r="P58" s="20"/>
      <c r="Q58" s="20"/>
      <c r="R58" s="20"/>
      <c r="S58" s="20" t="str">
        <f>IFERROR(VLOOKUP(J58,'03. THIẾT BỊ'!$B$1:$S$836,3,0),"")</f>
        <v/>
      </c>
      <c r="T58" s="708"/>
      <c r="U58" s="708"/>
    </row>
    <row r="59" ht="13.8" hidden="1" spans="1:21">
      <c r="A59" s="19" t="str">
        <f>IFERROR(VLOOKUP(B364,'03. THIẾT BỊ'!$B$1:$S$836,7,0),"")</f>
        <v/>
      </c>
      <c r="B59" s="20"/>
      <c r="C59" s="20" t="str">
        <f>IFERROR(VLOOKUP(J59,'03. THIẾT BỊ'!$B$1:$U$836,5,0),"")</f>
        <v/>
      </c>
      <c r="D59" s="19"/>
      <c r="E59" s="19"/>
      <c r="F59" s="19"/>
      <c r="G59" s="19"/>
      <c r="H59" s="19" t="str">
        <f>IFERROR(VLOOKUP(J59,'03. THIẾT BỊ'!$B$1:$U$836,19,0),"")</f>
        <v/>
      </c>
      <c r="I59" s="19" t="str">
        <f>IFERROR(VLOOKUP(J59,'03. THIẾT BỊ'!$B$1:$U$836,20,0),"")</f>
        <v/>
      </c>
      <c r="J59" s="20"/>
      <c r="K59" s="19"/>
      <c r="L59" s="19"/>
      <c r="M59" s="19"/>
      <c r="N59" s="19" t="str">
        <f>IFERROR(VLOOKUP(J59,'03. THIẾT BỊ'!$B$1:$U$836,4,0),"")</f>
        <v/>
      </c>
      <c r="O59" s="19" t="str">
        <f>IFERROR(VLOOKUP(J59,'03. THIẾT BỊ'!$B$1:$U$836,7,0),"")</f>
        <v/>
      </c>
      <c r="P59" s="20"/>
      <c r="Q59" s="20"/>
      <c r="R59" s="20"/>
      <c r="S59" s="20" t="str">
        <f>IFERROR(VLOOKUP(J59,'03. THIẾT BỊ'!$B$1:$S$836,3,0),"")</f>
        <v/>
      </c>
      <c r="T59" s="708"/>
      <c r="U59" s="708"/>
    </row>
    <row r="60" ht="13.8" hidden="1" spans="1:21">
      <c r="A60" s="19" t="str">
        <f>IFERROR(VLOOKUP(B365,'03. THIẾT BỊ'!$B$1:$S$836,7,0),"")</f>
        <v/>
      </c>
      <c r="B60" s="20"/>
      <c r="C60" s="20" t="str">
        <f>IFERROR(VLOOKUP(J60,'03. THIẾT BỊ'!$B$1:$U$836,5,0),"")</f>
        <v/>
      </c>
      <c r="D60" s="19"/>
      <c r="E60" s="19"/>
      <c r="F60" s="19"/>
      <c r="G60" s="19"/>
      <c r="H60" s="19" t="str">
        <f>IFERROR(VLOOKUP(J60,'03. THIẾT BỊ'!$B$1:$U$836,19,0),"")</f>
        <v/>
      </c>
      <c r="I60" s="19" t="str">
        <f>IFERROR(VLOOKUP(J60,'03. THIẾT BỊ'!$B$1:$U$836,20,0),"")</f>
        <v/>
      </c>
      <c r="J60" s="20"/>
      <c r="K60" s="19"/>
      <c r="L60" s="19"/>
      <c r="M60" s="19"/>
      <c r="N60" s="19" t="str">
        <f>IFERROR(VLOOKUP(J60,'03. THIẾT BỊ'!$B$1:$U$836,4,0),"")</f>
        <v/>
      </c>
      <c r="O60" s="19" t="str">
        <f>IFERROR(VLOOKUP(J60,'03. THIẾT BỊ'!$B$1:$U$836,7,0),"")</f>
        <v/>
      </c>
      <c r="P60" s="20"/>
      <c r="Q60" s="20"/>
      <c r="R60" s="20"/>
      <c r="S60" s="20" t="str">
        <f>IFERROR(VLOOKUP(J60,'03. THIẾT BỊ'!$B$1:$S$836,3,0),"")</f>
        <v/>
      </c>
      <c r="T60" s="708"/>
      <c r="U60" s="708"/>
    </row>
    <row r="61" ht="13.8" hidden="1" spans="1:21">
      <c r="A61" s="19" t="str">
        <f>IFERROR(VLOOKUP(B366,'03. THIẾT BỊ'!$B$1:$S$836,7,0),"")</f>
        <v/>
      </c>
      <c r="B61" s="20"/>
      <c r="C61" s="20" t="str">
        <f>IFERROR(VLOOKUP(J61,'03. THIẾT BỊ'!$B$1:$U$836,5,0),"")</f>
        <v/>
      </c>
      <c r="D61" s="19"/>
      <c r="E61" s="19"/>
      <c r="F61" s="19"/>
      <c r="G61" s="19"/>
      <c r="H61" s="19" t="str">
        <f>IFERROR(VLOOKUP(J61,'03. THIẾT BỊ'!$B$1:$U$836,19,0),"")</f>
        <v/>
      </c>
      <c r="I61" s="19" t="str">
        <f>IFERROR(VLOOKUP(J61,'03. THIẾT BỊ'!$B$1:$U$836,20,0),"")</f>
        <v/>
      </c>
      <c r="J61" s="20"/>
      <c r="K61" s="19"/>
      <c r="L61" s="19"/>
      <c r="M61" s="19"/>
      <c r="N61" s="19" t="str">
        <f>IFERROR(VLOOKUP(J61,'03. THIẾT BỊ'!$B$1:$U$836,4,0),"")</f>
        <v/>
      </c>
      <c r="O61" s="19" t="str">
        <f>IFERROR(VLOOKUP(J61,'03. THIẾT BỊ'!$B$1:$U$836,7,0),"")</f>
        <v/>
      </c>
      <c r="P61" s="20"/>
      <c r="Q61" s="20"/>
      <c r="R61" s="20"/>
      <c r="S61" s="20" t="str">
        <f>IFERROR(VLOOKUP(J61,'03. THIẾT BỊ'!$B$1:$S$836,3,0),"")</f>
        <v/>
      </c>
      <c r="T61" s="708"/>
      <c r="U61" s="708"/>
    </row>
    <row r="62" ht="13.8" hidden="1" spans="1:21">
      <c r="A62" s="19" t="str">
        <f>IFERROR(VLOOKUP(B367,'03. THIẾT BỊ'!$B$1:$S$836,7,0),"")</f>
        <v/>
      </c>
      <c r="B62" s="20"/>
      <c r="C62" s="20" t="str">
        <f>IFERROR(VLOOKUP(J62,'03. THIẾT BỊ'!$B$1:$U$836,5,0),"")</f>
        <v/>
      </c>
      <c r="D62" s="19"/>
      <c r="E62" s="19"/>
      <c r="F62" s="19"/>
      <c r="G62" s="19"/>
      <c r="H62" s="19" t="str">
        <f>IFERROR(VLOOKUP(J62,'03. THIẾT BỊ'!$B$1:$U$836,19,0),"")</f>
        <v/>
      </c>
      <c r="I62" s="19" t="str">
        <f>IFERROR(VLOOKUP(J62,'03. THIẾT BỊ'!$B$1:$U$836,20,0),"")</f>
        <v/>
      </c>
      <c r="J62" s="20"/>
      <c r="K62" s="19"/>
      <c r="L62" s="19"/>
      <c r="M62" s="19"/>
      <c r="N62" s="19" t="str">
        <f>IFERROR(VLOOKUP(J62,'03. THIẾT BỊ'!$B$1:$U$836,4,0),"")</f>
        <v/>
      </c>
      <c r="O62" s="19" t="str">
        <f>IFERROR(VLOOKUP(J62,'03. THIẾT BỊ'!$B$1:$U$836,7,0),"")</f>
        <v/>
      </c>
      <c r="P62" s="20"/>
      <c r="Q62" s="20"/>
      <c r="R62" s="20"/>
      <c r="S62" s="20" t="str">
        <f>IFERROR(VLOOKUP(J62,'03. THIẾT BỊ'!$B$1:$S$836,3,0),"")</f>
        <v/>
      </c>
      <c r="T62" s="708"/>
      <c r="U62" s="708"/>
    </row>
    <row r="63" ht="13.8" hidden="1" spans="1:21">
      <c r="A63" s="19" t="str">
        <f>IFERROR(VLOOKUP(B368,'03. THIẾT BỊ'!$B$1:$S$836,7,0),"")</f>
        <v/>
      </c>
      <c r="B63" s="20"/>
      <c r="C63" s="20" t="str">
        <f>IFERROR(VLOOKUP(J63,'03. THIẾT BỊ'!$B$1:$U$836,5,0),"")</f>
        <v/>
      </c>
      <c r="D63" s="19"/>
      <c r="E63" s="19"/>
      <c r="F63" s="19"/>
      <c r="G63" s="19"/>
      <c r="H63" s="19" t="str">
        <f>IFERROR(VLOOKUP(J63,'03. THIẾT BỊ'!$B$1:$U$836,19,0),"")</f>
        <v/>
      </c>
      <c r="I63" s="19" t="str">
        <f>IFERROR(VLOOKUP(J63,'03. THIẾT BỊ'!$B$1:$U$836,20,0),"")</f>
        <v/>
      </c>
      <c r="J63" s="20"/>
      <c r="K63" s="19"/>
      <c r="L63" s="19"/>
      <c r="M63" s="19"/>
      <c r="N63" s="19" t="str">
        <f>IFERROR(VLOOKUP(J63,'03. THIẾT BỊ'!$B$1:$U$836,4,0),"")</f>
        <v/>
      </c>
      <c r="O63" s="19" t="str">
        <f>IFERROR(VLOOKUP(J63,'03. THIẾT BỊ'!$B$1:$U$836,7,0),"")</f>
        <v/>
      </c>
      <c r="P63" s="20"/>
      <c r="Q63" s="20"/>
      <c r="R63" s="20"/>
      <c r="S63" s="20" t="str">
        <f>IFERROR(VLOOKUP(J63,'03. THIẾT BỊ'!$B$1:$S$836,3,0),"")</f>
        <v/>
      </c>
      <c r="T63" s="708"/>
      <c r="U63" s="708"/>
    </row>
    <row r="64" ht="13.8" hidden="1" spans="1:21">
      <c r="A64" s="19" t="str">
        <f>IFERROR(VLOOKUP(B369,'03. THIẾT BỊ'!$B$1:$S$836,7,0),"")</f>
        <v/>
      </c>
      <c r="B64" s="20"/>
      <c r="C64" s="20" t="str">
        <f>IFERROR(VLOOKUP(J64,'03. THIẾT BỊ'!$B$1:$U$836,5,0),"")</f>
        <v/>
      </c>
      <c r="D64" s="19"/>
      <c r="E64" s="19"/>
      <c r="F64" s="19"/>
      <c r="G64" s="19"/>
      <c r="H64" s="19" t="str">
        <f>IFERROR(VLOOKUP(J64,'03. THIẾT BỊ'!$B$1:$U$836,19,0),"")</f>
        <v/>
      </c>
      <c r="I64" s="19" t="str">
        <f>IFERROR(VLOOKUP(J64,'03. THIẾT BỊ'!$B$1:$U$836,20,0),"")</f>
        <v/>
      </c>
      <c r="J64" s="20"/>
      <c r="K64" s="19"/>
      <c r="L64" s="19"/>
      <c r="M64" s="19"/>
      <c r="N64" s="19" t="str">
        <f>IFERROR(VLOOKUP(J64,'03. THIẾT BỊ'!$B$1:$U$836,4,0),"")</f>
        <v/>
      </c>
      <c r="O64" s="19" t="str">
        <f>IFERROR(VLOOKUP(J64,'03. THIẾT BỊ'!$B$1:$U$836,7,0),"")</f>
        <v/>
      </c>
      <c r="P64" s="20"/>
      <c r="Q64" s="20"/>
      <c r="R64" s="20"/>
      <c r="S64" s="20" t="str">
        <f>IFERROR(VLOOKUP(J64,'03. THIẾT BỊ'!$B$1:$S$836,3,0),"")</f>
        <v/>
      </c>
      <c r="T64" s="708"/>
      <c r="U64" s="708"/>
    </row>
    <row r="65" ht="13.8" hidden="1" spans="1:21">
      <c r="A65" s="19" t="str">
        <f>IFERROR(VLOOKUP(B370,'03. THIẾT BỊ'!$B$1:$S$836,7,0),"")</f>
        <v/>
      </c>
      <c r="B65" s="20"/>
      <c r="C65" s="20" t="str">
        <f>IFERROR(VLOOKUP(J65,'03. THIẾT BỊ'!$B$1:$U$836,5,0),"")</f>
        <v/>
      </c>
      <c r="D65" s="19"/>
      <c r="E65" s="19"/>
      <c r="F65" s="19"/>
      <c r="G65" s="19"/>
      <c r="H65" s="19" t="str">
        <f>IFERROR(VLOOKUP(J65,'03. THIẾT BỊ'!$B$1:$U$836,19,0),"")</f>
        <v/>
      </c>
      <c r="I65" s="19" t="str">
        <f>IFERROR(VLOOKUP(J65,'03. THIẾT BỊ'!$B$1:$U$836,20,0),"")</f>
        <v/>
      </c>
      <c r="J65" s="20"/>
      <c r="K65" s="19"/>
      <c r="L65" s="19"/>
      <c r="M65" s="19"/>
      <c r="N65" s="19" t="str">
        <f>IFERROR(VLOOKUP(J65,'03. THIẾT BỊ'!$B$1:$U$836,4,0),"")</f>
        <v/>
      </c>
      <c r="O65" s="19" t="str">
        <f>IFERROR(VLOOKUP(J65,'03. THIẾT BỊ'!$B$1:$U$836,7,0),"")</f>
        <v/>
      </c>
      <c r="P65" s="20"/>
      <c r="Q65" s="20"/>
      <c r="R65" s="20"/>
      <c r="S65" s="20" t="str">
        <f>IFERROR(VLOOKUP(J65,'03. THIẾT BỊ'!$B$1:$S$836,3,0),"")</f>
        <v/>
      </c>
      <c r="T65" s="708"/>
      <c r="U65" s="708"/>
    </row>
    <row r="66" ht="13.8" hidden="1" spans="1:21">
      <c r="A66" s="19" t="str">
        <f>IFERROR(VLOOKUP(B371,'03. THIẾT BỊ'!$B$1:$S$836,7,0),"")</f>
        <v/>
      </c>
      <c r="B66" s="20"/>
      <c r="C66" s="20" t="str">
        <f>IFERROR(VLOOKUP(J66,'03. THIẾT BỊ'!$B$1:$U$836,5,0),"")</f>
        <v/>
      </c>
      <c r="D66" s="19"/>
      <c r="E66" s="19"/>
      <c r="F66" s="19"/>
      <c r="G66" s="19"/>
      <c r="H66" s="19" t="str">
        <f>IFERROR(VLOOKUP(J66,'03. THIẾT BỊ'!$B$1:$U$836,19,0),"")</f>
        <v/>
      </c>
      <c r="I66" s="19" t="str">
        <f>IFERROR(VLOOKUP(J66,'03. THIẾT BỊ'!$B$1:$U$836,20,0),"")</f>
        <v/>
      </c>
      <c r="J66" s="20"/>
      <c r="K66" s="19"/>
      <c r="L66" s="19"/>
      <c r="M66" s="19"/>
      <c r="N66" s="19" t="str">
        <f>IFERROR(VLOOKUP(J66,'03. THIẾT BỊ'!$B$1:$U$836,4,0),"")</f>
        <v/>
      </c>
      <c r="O66" s="19" t="str">
        <f>IFERROR(VLOOKUP(J66,'03. THIẾT BỊ'!$B$1:$U$836,7,0),"")</f>
        <v/>
      </c>
      <c r="P66" s="20"/>
      <c r="Q66" s="20"/>
      <c r="R66" s="20"/>
      <c r="S66" s="20" t="str">
        <f>IFERROR(VLOOKUP(J66,'03. THIẾT BỊ'!$B$1:$S$836,3,0),"")</f>
        <v/>
      </c>
      <c r="T66" s="708"/>
      <c r="U66" s="708"/>
    </row>
    <row r="67" ht="13.8" hidden="1" spans="1:21">
      <c r="A67" s="19" t="str">
        <f>IFERROR(VLOOKUP(B372,'03. THIẾT BỊ'!$B$1:$S$836,7,0),"")</f>
        <v/>
      </c>
      <c r="B67" s="20"/>
      <c r="C67" s="20" t="str">
        <f>IFERROR(VLOOKUP(J67,'03. THIẾT BỊ'!$B$1:$U$836,5,0),"")</f>
        <v/>
      </c>
      <c r="D67" s="19"/>
      <c r="E67" s="19"/>
      <c r="F67" s="19"/>
      <c r="G67" s="19"/>
      <c r="H67" s="19" t="str">
        <f>IFERROR(VLOOKUP(J67,'03. THIẾT BỊ'!$B$1:$U$836,19,0),"")</f>
        <v/>
      </c>
      <c r="I67" s="19" t="str">
        <f>IFERROR(VLOOKUP(J67,'03. THIẾT BỊ'!$B$1:$U$836,20,0),"")</f>
        <v/>
      </c>
      <c r="J67" s="20"/>
      <c r="K67" s="19"/>
      <c r="L67" s="19"/>
      <c r="M67" s="19"/>
      <c r="N67" s="19" t="str">
        <f>IFERROR(VLOOKUP(J67,'03. THIẾT BỊ'!$B$1:$U$836,4,0),"")</f>
        <v/>
      </c>
      <c r="O67" s="19" t="str">
        <f>IFERROR(VLOOKUP(J67,'03. THIẾT BỊ'!$B$1:$U$836,7,0),"")</f>
        <v/>
      </c>
      <c r="P67" s="20"/>
      <c r="Q67" s="20"/>
      <c r="R67" s="20"/>
      <c r="S67" s="20" t="str">
        <f>IFERROR(VLOOKUP(J67,'03. THIẾT BỊ'!$B$1:$S$836,3,0),"")</f>
        <v/>
      </c>
      <c r="T67" s="708"/>
      <c r="U67" s="708"/>
    </row>
    <row r="68" ht="13.8" hidden="1" spans="1:21">
      <c r="A68" s="19" t="str">
        <f>IFERROR(VLOOKUP(B373,'03. THIẾT BỊ'!$B$1:$S$836,7,0),"")</f>
        <v/>
      </c>
      <c r="B68" s="20"/>
      <c r="C68" s="20" t="str">
        <f>IFERROR(VLOOKUP(J68,'03. THIẾT BỊ'!$B$1:$U$836,5,0),"")</f>
        <v/>
      </c>
      <c r="D68" s="19"/>
      <c r="E68" s="19"/>
      <c r="F68" s="19"/>
      <c r="G68" s="19"/>
      <c r="H68" s="19" t="str">
        <f>IFERROR(VLOOKUP(J68,'03. THIẾT BỊ'!$B$1:$U$836,19,0),"")</f>
        <v/>
      </c>
      <c r="I68" s="19" t="str">
        <f>IFERROR(VLOOKUP(J68,'03. THIẾT BỊ'!$B$1:$U$836,20,0),"")</f>
        <v/>
      </c>
      <c r="J68" s="20"/>
      <c r="K68" s="19"/>
      <c r="L68" s="19"/>
      <c r="M68" s="19"/>
      <c r="N68" s="19" t="str">
        <f>IFERROR(VLOOKUP(J68,'03. THIẾT BỊ'!$B$1:$U$836,4,0),"")</f>
        <v/>
      </c>
      <c r="O68" s="19" t="str">
        <f>IFERROR(VLOOKUP(J68,'03. THIẾT BỊ'!$B$1:$U$836,7,0),"")</f>
        <v/>
      </c>
      <c r="P68" s="20"/>
      <c r="Q68" s="20"/>
      <c r="R68" s="20"/>
      <c r="S68" s="20" t="str">
        <f>IFERROR(VLOOKUP(J68,'03. THIẾT BỊ'!$B$1:$S$836,3,0),"")</f>
        <v/>
      </c>
      <c r="T68" s="708"/>
      <c r="U68" s="708"/>
    </row>
    <row r="69" ht="13.8" hidden="1" spans="1:21">
      <c r="A69" s="19" t="str">
        <f>IFERROR(VLOOKUP(B374,'03. THIẾT BỊ'!$B$1:$S$836,7,0),"")</f>
        <v/>
      </c>
      <c r="B69" s="20"/>
      <c r="C69" s="20" t="str">
        <f>IFERROR(VLOOKUP(J69,'03. THIẾT BỊ'!$B$1:$U$836,5,0),"")</f>
        <v/>
      </c>
      <c r="D69" s="19"/>
      <c r="E69" s="19"/>
      <c r="F69" s="19"/>
      <c r="G69" s="19"/>
      <c r="H69" s="19" t="str">
        <f>IFERROR(VLOOKUP(J69,'03. THIẾT BỊ'!$B$1:$U$836,19,0),"")</f>
        <v/>
      </c>
      <c r="I69" s="19" t="str">
        <f>IFERROR(VLOOKUP(J69,'03. THIẾT BỊ'!$B$1:$U$836,20,0),"")</f>
        <v/>
      </c>
      <c r="J69" s="20"/>
      <c r="K69" s="19"/>
      <c r="L69" s="19"/>
      <c r="M69" s="19"/>
      <c r="N69" s="19" t="str">
        <f>IFERROR(VLOOKUP(J69,'03. THIẾT BỊ'!$B$1:$U$836,4,0),"")</f>
        <v/>
      </c>
      <c r="O69" s="19" t="str">
        <f>IFERROR(VLOOKUP(J69,'03. THIẾT BỊ'!$B$1:$U$836,7,0),"")</f>
        <v/>
      </c>
      <c r="P69" s="20"/>
      <c r="Q69" s="20"/>
      <c r="R69" s="20"/>
      <c r="S69" s="20" t="str">
        <f>IFERROR(VLOOKUP(J69,'03. THIẾT BỊ'!$B$1:$S$836,3,0),"")</f>
        <v/>
      </c>
      <c r="T69" s="708"/>
      <c r="U69" s="708"/>
    </row>
    <row r="70" ht="13.8" hidden="1" spans="1:21">
      <c r="A70" s="19" t="str">
        <f>IFERROR(VLOOKUP(B375,'03. THIẾT BỊ'!$B$1:$S$836,7,0),"")</f>
        <v/>
      </c>
      <c r="B70" s="20"/>
      <c r="C70" s="20" t="str">
        <f>IFERROR(VLOOKUP(J70,'03. THIẾT BỊ'!$B$1:$U$836,5,0),"")</f>
        <v/>
      </c>
      <c r="D70" s="19"/>
      <c r="E70" s="19"/>
      <c r="F70" s="19"/>
      <c r="G70" s="19"/>
      <c r="H70" s="19" t="str">
        <f>IFERROR(VLOOKUP(J70,'03. THIẾT BỊ'!$B$1:$U$836,19,0),"")</f>
        <v/>
      </c>
      <c r="I70" s="19" t="str">
        <f>IFERROR(VLOOKUP(J70,'03. THIẾT BỊ'!$B$1:$U$836,20,0),"")</f>
        <v/>
      </c>
      <c r="J70" s="20"/>
      <c r="K70" s="19"/>
      <c r="L70" s="19"/>
      <c r="M70" s="19"/>
      <c r="N70" s="19" t="str">
        <f>IFERROR(VLOOKUP(J70,'03. THIẾT BỊ'!$B$1:$U$836,4,0),"")</f>
        <v/>
      </c>
      <c r="O70" s="19" t="str">
        <f>IFERROR(VLOOKUP(J70,'03. THIẾT BỊ'!$B$1:$U$836,7,0),"")</f>
        <v/>
      </c>
      <c r="P70" s="20"/>
      <c r="Q70" s="20"/>
      <c r="R70" s="20"/>
      <c r="S70" s="20" t="str">
        <f>IFERROR(VLOOKUP(J70,'03. THIẾT BỊ'!$B$1:$S$836,3,0),"")</f>
        <v/>
      </c>
      <c r="T70" s="708"/>
      <c r="U70" s="708"/>
    </row>
    <row r="71" ht="13.8" hidden="1" spans="1:21">
      <c r="A71" s="19" t="str">
        <f>IFERROR(VLOOKUP(B376,'03. THIẾT BỊ'!$B$1:$S$836,7,0),"")</f>
        <v/>
      </c>
      <c r="B71" s="20"/>
      <c r="C71" s="20" t="str">
        <f>IFERROR(VLOOKUP(J71,'03. THIẾT BỊ'!$B$1:$U$836,5,0),"")</f>
        <v/>
      </c>
      <c r="D71" s="19"/>
      <c r="E71" s="19"/>
      <c r="F71" s="19"/>
      <c r="G71" s="19"/>
      <c r="H71" s="19" t="str">
        <f>IFERROR(VLOOKUP(J71,'03. THIẾT BỊ'!$B$1:$U$836,19,0),"")</f>
        <v/>
      </c>
      <c r="I71" s="19" t="str">
        <f>IFERROR(VLOOKUP(J71,'03. THIẾT BỊ'!$B$1:$U$836,20,0),"")</f>
        <v/>
      </c>
      <c r="J71" s="20"/>
      <c r="K71" s="19"/>
      <c r="L71" s="19"/>
      <c r="M71" s="19"/>
      <c r="N71" s="19" t="str">
        <f>IFERROR(VLOOKUP(J71,'03. THIẾT BỊ'!$B$1:$U$836,4,0),"")</f>
        <v/>
      </c>
      <c r="O71" s="19" t="str">
        <f>IFERROR(VLOOKUP(J71,'03. THIẾT BỊ'!$B$1:$U$836,7,0),"")</f>
        <v/>
      </c>
      <c r="P71" s="20"/>
      <c r="Q71" s="20"/>
      <c r="R71" s="20"/>
      <c r="S71" s="20" t="str">
        <f>IFERROR(VLOOKUP(J71,'03. THIẾT BỊ'!$B$1:$S$836,3,0),"")</f>
        <v/>
      </c>
      <c r="T71" s="708"/>
      <c r="U71" s="708"/>
    </row>
    <row r="72" ht="13.8" hidden="1" spans="1:21">
      <c r="A72" s="19" t="str">
        <f>IFERROR(VLOOKUP(B377,'03. THIẾT BỊ'!$B$1:$S$836,7,0),"")</f>
        <v/>
      </c>
      <c r="B72" s="20"/>
      <c r="C72" s="20" t="str">
        <f>IFERROR(VLOOKUP(J72,'03. THIẾT BỊ'!$B$1:$U$836,5,0),"")</f>
        <v/>
      </c>
      <c r="D72" s="19"/>
      <c r="E72" s="19"/>
      <c r="F72" s="19"/>
      <c r="G72" s="19"/>
      <c r="H72" s="19" t="str">
        <f>IFERROR(VLOOKUP(J72,'03. THIẾT BỊ'!$B$1:$U$836,19,0),"")</f>
        <v/>
      </c>
      <c r="I72" s="19" t="str">
        <f>IFERROR(VLOOKUP(J72,'03. THIẾT BỊ'!$B$1:$U$836,20,0),"")</f>
        <v/>
      </c>
      <c r="J72" s="20"/>
      <c r="K72" s="19"/>
      <c r="L72" s="19"/>
      <c r="M72" s="19"/>
      <c r="N72" s="19" t="str">
        <f>IFERROR(VLOOKUP(J72,'03. THIẾT BỊ'!$B$1:$U$836,4,0),"")</f>
        <v/>
      </c>
      <c r="O72" s="19" t="str">
        <f>IFERROR(VLOOKUP(J72,'03. THIẾT BỊ'!$B$1:$U$836,7,0),"")</f>
        <v/>
      </c>
      <c r="P72" s="20"/>
      <c r="Q72" s="20"/>
      <c r="R72" s="20"/>
      <c r="S72" s="20" t="str">
        <f>IFERROR(VLOOKUP(J72,'03. THIẾT BỊ'!$B$1:$S$836,3,0),"")</f>
        <v/>
      </c>
      <c r="T72" s="708"/>
      <c r="U72" s="708"/>
    </row>
    <row r="73" ht="13.8" hidden="1" spans="1:21">
      <c r="A73" s="19" t="str">
        <f>IFERROR(VLOOKUP(B378,'03. THIẾT BỊ'!$B$1:$S$836,7,0),"")</f>
        <v/>
      </c>
      <c r="B73" s="20"/>
      <c r="C73" s="20" t="str">
        <f>IFERROR(VLOOKUP(J73,'03. THIẾT BỊ'!$B$1:$U$836,5,0),"")</f>
        <v/>
      </c>
      <c r="D73" s="19"/>
      <c r="E73" s="19"/>
      <c r="F73" s="19"/>
      <c r="G73" s="19"/>
      <c r="H73" s="19" t="str">
        <f>IFERROR(VLOOKUP(J73,'03. THIẾT BỊ'!$B$1:$U$836,19,0),"")</f>
        <v/>
      </c>
      <c r="I73" s="19" t="str">
        <f>IFERROR(VLOOKUP(J73,'03. THIẾT BỊ'!$B$1:$U$836,20,0),"")</f>
        <v/>
      </c>
      <c r="J73" s="20"/>
      <c r="K73" s="19"/>
      <c r="L73" s="19"/>
      <c r="M73" s="19"/>
      <c r="N73" s="19" t="str">
        <f>IFERROR(VLOOKUP(J73,'03. THIẾT BỊ'!$B$1:$U$836,4,0),"")</f>
        <v/>
      </c>
      <c r="O73" s="19" t="str">
        <f>IFERROR(VLOOKUP(J73,'03. THIẾT BỊ'!$B$1:$U$836,7,0),"")</f>
        <v/>
      </c>
      <c r="P73" s="20"/>
      <c r="Q73" s="20"/>
      <c r="R73" s="20"/>
      <c r="S73" s="20" t="str">
        <f>IFERROR(VLOOKUP(J73,'03. THIẾT BỊ'!$B$1:$S$836,3,0),"")</f>
        <v/>
      </c>
      <c r="T73" s="708"/>
      <c r="U73" s="708"/>
    </row>
    <row r="74" ht="13.8" hidden="1" spans="1:21">
      <c r="A74" s="19" t="str">
        <f>IFERROR(VLOOKUP(B379,'03. THIẾT BỊ'!$B$1:$S$836,7,0),"")</f>
        <v/>
      </c>
      <c r="B74" s="20"/>
      <c r="C74" s="20" t="str">
        <f>IFERROR(VLOOKUP(J74,'03. THIẾT BỊ'!$B$1:$U$836,5,0),"")</f>
        <v/>
      </c>
      <c r="D74" s="19"/>
      <c r="E74" s="19"/>
      <c r="F74" s="19"/>
      <c r="G74" s="19"/>
      <c r="H74" s="19" t="str">
        <f>IFERROR(VLOOKUP(J74,'03. THIẾT BỊ'!$B$1:$U$836,19,0),"")</f>
        <v/>
      </c>
      <c r="I74" s="19" t="str">
        <f>IFERROR(VLOOKUP(J74,'03. THIẾT BỊ'!$B$1:$U$836,20,0),"")</f>
        <v/>
      </c>
      <c r="J74" s="20"/>
      <c r="K74" s="19"/>
      <c r="L74" s="19"/>
      <c r="M74" s="19"/>
      <c r="N74" s="19" t="str">
        <f>IFERROR(VLOOKUP(J74,'03. THIẾT BỊ'!$B$1:$U$836,4,0),"")</f>
        <v/>
      </c>
      <c r="O74" s="19" t="str">
        <f>IFERROR(VLOOKUP(J74,'03. THIẾT BỊ'!$B$1:$U$836,7,0),"")</f>
        <v/>
      </c>
      <c r="P74" s="20"/>
      <c r="Q74" s="20"/>
      <c r="R74" s="20"/>
      <c r="S74" s="20" t="str">
        <f>IFERROR(VLOOKUP(J74,'03. THIẾT BỊ'!$B$1:$S$836,3,0),"")</f>
        <v/>
      </c>
      <c r="T74" s="708"/>
      <c r="U74" s="708"/>
    </row>
    <row r="75" ht="13.8" hidden="1" spans="1:21">
      <c r="A75" s="19" t="str">
        <f>IFERROR(VLOOKUP(B380,'03. THIẾT BỊ'!$B$1:$S$836,7,0),"")</f>
        <v/>
      </c>
      <c r="B75" s="20"/>
      <c r="C75" s="20" t="str">
        <f>IFERROR(VLOOKUP(J75,'03. THIẾT BỊ'!$B$1:$U$836,5,0),"")</f>
        <v/>
      </c>
      <c r="D75" s="19"/>
      <c r="E75" s="19"/>
      <c r="F75" s="19"/>
      <c r="G75" s="19"/>
      <c r="H75" s="19" t="str">
        <f>IFERROR(VLOOKUP(J75,'03. THIẾT BỊ'!$B$1:$U$836,19,0),"")</f>
        <v/>
      </c>
      <c r="I75" s="19" t="str">
        <f>IFERROR(VLOOKUP(J75,'03. THIẾT BỊ'!$B$1:$U$836,20,0),"")</f>
        <v/>
      </c>
      <c r="J75" s="20"/>
      <c r="K75" s="19"/>
      <c r="L75" s="19"/>
      <c r="M75" s="19"/>
      <c r="N75" s="19" t="str">
        <f>IFERROR(VLOOKUP(J75,'03. THIẾT BỊ'!$B$1:$U$836,4,0),"")</f>
        <v/>
      </c>
      <c r="O75" s="19" t="str">
        <f>IFERROR(VLOOKUP(J75,'03. THIẾT BỊ'!$B$1:$U$836,7,0),"")</f>
        <v/>
      </c>
      <c r="P75" s="20"/>
      <c r="Q75" s="20"/>
      <c r="R75" s="20"/>
      <c r="S75" s="20" t="str">
        <f>IFERROR(VLOOKUP(J75,'03. THIẾT BỊ'!$B$1:$S$836,3,0),"")</f>
        <v/>
      </c>
      <c r="T75" s="708"/>
      <c r="U75" s="708"/>
    </row>
    <row r="76" ht="13.8" hidden="1" spans="1:21">
      <c r="A76" s="19" t="str">
        <f>IFERROR(VLOOKUP(B381,'03. THIẾT BỊ'!$B$1:$S$836,7,0),"")</f>
        <v/>
      </c>
      <c r="B76" s="20"/>
      <c r="C76" s="20" t="str">
        <f>IFERROR(VLOOKUP(J76,'03. THIẾT BỊ'!$B$1:$U$836,5,0),"")</f>
        <v/>
      </c>
      <c r="D76" s="19"/>
      <c r="E76" s="19"/>
      <c r="F76" s="19"/>
      <c r="G76" s="19"/>
      <c r="H76" s="19" t="str">
        <f>IFERROR(VLOOKUP(J76,'03. THIẾT BỊ'!$B$1:$U$836,19,0),"")</f>
        <v/>
      </c>
      <c r="I76" s="19" t="str">
        <f>IFERROR(VLOOKUP(J76,'03. THIẾT BỊ'!$B$1:$U$836,20,0),"")</f>
        <v/>
      </c>
      <c r="J76" s="20"/>
      <c r="K76" s="19"/>
      <c r="L76" s="19"/>
      <c r="M76" s="19"/>
      <c r="N76" s="19" t="str">
        <f>IFERROR(VLOOKUP(J76,'03. THIẾT BỊ'!$B$1:$U$836,4,0),"")</f>
        <v/>
      </c>
      <c r="O76" s="19" t="str">
        <f>IFERROR(VLOOKUP(J76,'03. THIẾT BỊ'!$B$1:$U$836,7,0),"")</f>
        <v/>
      </c>
      <c r="P76" s="20"/>
      <c r="Q76" s="20"/>
      <c r="R76" s="20"/>
      <c r="S76" s="20" t="str">
        <f>IFERROR(VLOOKUP(J76,'03. THIẾT BỊ'!$B$1:$S$836,3,0),"")</f>
        <v/>
      </c>
      <c r="T76" s="708"/>
      <c r="U76" s="708"/>
    </row>
    <row r="77" ht="13.8" hidden="1" spans="1:21">
      <c r="A77" s="19" t="str">
        <f>IFERROR(VLOOKUP(#REF!,'03. THIẾT BỊ'!$B$1:$S$836,7,0),"")</f>
        <v/>
      </c>
      <c r="B77" s="20"/>
      <c r="C77" s="20" t="str">
        <f>IFERROR(VLOOKUP(J77,'03. THIẾT BỊ'!$B$1:$U$836,5,0),"")</f>
        <v/>
      </c>
      <c r="D77" s="19"/>
      <c r="E77" s="19"/>
      <c r="F77" s="19"/>
      <c r="G77" s="19"/>
      <c r="H77" s="19" t="str">
        <f>IFERROR(VLOOKUP(J77,'03. THIẾT BỊ'!$B$1:$U$836,19,0),"")</f>
        <v/>
      </c>
      <c r="I77" s="19" t="str">
        <f>IFERROR(VLOOKUP(J77,'03. THIẾT BỊ'!$B$1:$U$836,20,0),"")</f>
        <v/>
      </c>
      <c r="J77" s="20"/>
      <c r="K77" s="19"/>
      <c r="L77" s="19"/>
      <c r="M77" s="19"/>
      <c r="N77" s="19" t="str">
        <f>IFERROR(VLOOKUP(J77,'03. THIẾT BỊ'!$B$1:$U$836,4,0),"")</f>
        <v/>
      </c>
      <c r="O77" s="19" t="str">
        <f>IFERROR(VLOOKUP(J77,'03. THIẾT BỊ'!$B$1:$U$836,7,0),"")</f>
        <v/>
      </c>
      <c r="P77" s="20"/>
      <c r="Q77" s="20"/>
      <c r="R77" s="20"/>
      <c r="S77" s="20" t="str">
        <f>IFERROR(VLOOKUP(J77,'03. THIẾT BỊ'!$B$1:$S$836,3,0),"")</f>
        <v/>
      </c>
      <c r="T77" s="708"/>
      <c r="U77" s="708"/>
    </row>
    <row r="78" ht="13.8" hidden="1" spans="1:21">
      <c r="A78" s="19" t="str">
        <f>IFERROR(VLOOKUP(B382,'03. THIẾT BỊ'!$B$1:$S$836,7,0),"")</f>
        <v/>
      </c>
      <c r="B78" s="20"/>
      <c r="C78" s="20" t="str">
        <f>IFERROR(VLOOKUP(J78,'03. THIẾT BỊ'!$B$1:$U$836,5,0),"")</f>
        <v/>
      </c>
      <c r="D78" s="19"/>
      <c r="E78" s="19"/>
      <c r="F78" s="19"/>
      <c r="G78" s="19"/>
      <c r="H78" s="19" t="str">
        <f>IFERROR(VLOOKUP(J78,'03. THIẾT BỊ'!$B$1:$U$836,19,0),"")</f>
        <v/>
      </c>
      <c r="I78" s="19" t="str">
        <f>IFERROR(VLOOKUP(J78,'03. THIẾT BỊ'!$B$1:$U$836,20,0),"")</f>
        <v/>
      </c>
      <c r="J78" s="20"/>
      <c r="K78" s="19"/>
      <c r="L78" s="19"/>
      <c r="M78" s="19"/>
      <c r="N78" s="19" t="str">
        <f>IFERROR(VLOOKUP(J78,'03. THIẾT BỊ'!$B$1:$U$836,4,0),"")</f>
        <v/>
      </c>
      <c r="O78" s="19" t="str">
        <f>IFERROR(VLOOKUP(J78,'03. THIẾT BỊ'!$B$1:$U$836,7,0),"")</f>
        <v/>
      </c>
      <c r="P78" s="20"/>
      <c r="Q78" s="20"/>
      <c r="R78" s="20"/>
      <c r="S78" s="20" t="str">
        <f>IFERROR(VLOOKUP(J78,'03. THIẾT BỊ'!$B$1:$S$836,3,0),"")</f>
        <v/>
      </c>
      <c r="T78" s="708"/>
      <c r="U78" s="708"/>
    </row>
    <row r="79" ht="13.8" spans="1:21">
      <c r="A79" s="709" t="s">
        <v>6024</v>
      </c>
      <c r="B79" s="271"/>
      <c r="C79" s="272"/>
      <c r="D79" s="26">
        <f>SUM(D80:D105)</f>
        <v>267</v>
      </c>
      <c r="E79" s="30"/>
      <c r="F79" s="30"/>
      <c r="G79" s="30"/>
      <c r="H79" s="30"/>
      <c r="I79" s="30"/>
      <c r="J79" s="29"/>
      <c r="K79" s="30"/>
      <c r="L79" s="30"/>
      <c r="M79" s="30"/>
      <c r="N79" s="29"/>
      <c r="O79" s="29"/>
      <c r="P79" s="29"/>
      <c r="Q79" s="29"/>
      <c r="R79" s="29"/>
      <c r="S79" s="29"/>
      <c r="T79" s="706"/>
      <c r="U79" s="706"/>
    </row>
    <row r="80" ht="13.8" spans="1:21">
      <c r="A80" s="19"/>
      <c r="B80" s="710" t="s">
        <v>6025</v>
      </c>
      <c r="C80" s="20" t="str">
        <f>IFERROR(VLOOKUP(J80,'03. THIẾT BỊ'!$B$1:$U$836,5,0),"")</f>
        <v>Máy phun thuốc RELOAD 7045</v>
      </c>
      <c r="D80" s="19">
        <v>1</v>
      </c>
      <c r="E80" s="19"/>
      <c r="F80" s="19" t="s">
        <v>5978</v>
      </c>
      <c r="G80" s="19"/>
      <c r="H80" s="19">
        <f>IFERROR(VLOOKUP(J80,'03. THIẾT BỊ'!$B$1:$U$836,19,0),"")</f>
        <v>1.2</v>
      </c>
      <c r="I80" s="19">
        <f>IFERROR(VLOOKUP(J80,'03. THIẾT BỊ'!$B$1:$U$836,20,0),"")</f>
        <v>0</v>
      </c>
      <c r="J80" s="20" t="s">
        <v>4378</v>
      </c>
      <c r="K80" s="19" t="s">
        <v>5978</v>
      </c>
      <c r="L80" s="19"/>
      <c r="M80" s="19"/>
      <c r="N80" s="19" t="str">
        <f>IFERROR(VLOOKUP(J80,'03. THIẾT BỊ'!$B$1:$U$836,4,0),"")</f>
        <v>MUA MỚI</v>
      </c>
      <c r="O80" s="19" t="str">
        <f>IFERROR(VLOOKUP(J80,'03. THIẾT BỊ'!$B$1:$U$836,7,0),"")</f>
        <v>XN Chuối DP1</v>
      </c>
      <c r="P80" s="353" t="str">
        <f>IFERROR(VLOOKUP(O80,'NS QUẢN LÝ CG'!$A$4:$D$36,2,0),"")</f>
        <v/>
      </c>
      <c r="Q80" s="353" t="str">
        <f>IFERROR(VLOOKUP(O80,'NS QUẢN LÝ CG'!$A$4:$D$36,4,0),"")</f>
        <v/>
      </c>
      <c r="R80" s="353" t="str">
        <f>IFERROR(VLOOKUP(O80,'NS QUẢN LÝ CG'!$A$4:$C$36,3,0),"")</f>
        <v/>
      </c>
      <c r="S80" s="20">
        <f>IFERROR(VLOOKUP(J80,'03. THIẾT BỊ'!$B$1:$S$836,3,0),"")</f>
        <v>0</v>
      </c>
      <c r="T80" s="708" t="str">
        <f t="shared" ref="T80:T100" si="1">_xlfn.SWITCH(LEFT(S80,3),"A22","ADM","A23","DP","A24","LP","")</f>
        <v/>
      </c>
      <c r="U80" s="708"/>
    </row>
    <row r="81" ht="13.8" spans="1:21">
      <c r="A81" s="19"/>
      <c r="B81" s="275"/>
      <c r="C81" s="20" t="str">
        <f>IFERROR(VLOOKUP(J81,'03. THIẾT BỊ'!$B$1:$U$836,5,0),"")</f>
        <v>Máy phun thuốc RELOAD 7045</v>
      </c>
      <c r="D81" s="19">
        <v>1</v>
      </c>
      <c r="E81" s="19"/>
      <c r="F81" s="19" t="s">
        <v>5978</v>
      </c>
      <c r="G81" s="19"/>
      <c r="H81" s="19">
        <f>IFERROR(VLOOKUP(J81,'03. THIẾT BỊ'!$B$1:$U$836,19,0),"")</f>
        <v>1.2</v>
      </c>
      <c r="I81" s="19">
        <f>IFERROR(VLOOKUP(J81,'03. THIẾT BỊ'!$B$1:$U$836,20,0),"")</f>
        <v>0</v>
      </c>
      <c r="J81" s="20" t="s">
        <v>4382</v>
      </c>
      <c r="K81" s="19" t="s">
        <v>5978</v>
      </c>
      <c r="L81" s="19"/>
      <c r="M81" s="19"/>
      <c r="N81" s="19" t="str">
        <f>IFERROR(VLOOKUP(J81,'03. THIẾT BỊ'!$B$1:$U$836,4,0),"")</f>
        <v>MUA MỚI</v>
      </c>
      <c r="O81" s="19" t="str">
        <f>IFERROR(VLOOKUP(J81,'03. THIẾT BỊ'!$B$1:$U$836,7,0),"")</f>
        <v>XN Chuối DP1</v>
      </c>
      <c r="P81" s="353" t="str">
        <f>IFERROR(VLOOKUP(O81,'NS QUẢN LÝ CG'!$A$4:$D$36,2,0),"")</f>
        <v/>
      </c>
      <c r="Q81" s="353" t="str">
        <f>IFERROR(VLOOKUP(O81,'NS QUẢN LÝ CG'!$A$4:$D$36,4,0),"")</f>
        <v/>
      </c>
      <c r="R81" s="353" t="str">
        <f>IFERROR(VLOOKUP(O81,'NS QUẢN LÝ CG'!$A$4:$C$36,3,0),"")</f>
        <v/>
      </c>
      <c r="S81" s="20">
        <f>IFERROR(VLOOKUP(J81,'03. THIẾT BỊ'!$B$1:$S$836,3,0),"")</f>
        <v>0</v>
      </c>
      <c r="T81" s="708" t="str">
        <f t="shared" si="1"/>
        <v/>
      </c>
      <c r="U81" s="708"/>
    </row>
    <row r="82" ht="13.8" spans="1:21">
      <c r="A82" s="19"/>
      <c r="B82" s="275"/>
      <c r="C82" s="20" t="str">
        <f>IFERROR(VLOOKUP(J82,'03. THIẾT BỊ'!$B$1:$U$836,5,0),"")</f>
        <v>Máy phun thuốc RELOAD 7045</v>
      </c>
      <c r="D82" s="19">
        <v>1</v>
      </c>
      <c r="E82" s="19"/>
      <c r="F82" s="19" t="s">
        <v>5978</v>
      </c>
      <c r="G82" s="19"/>
      <c r="H82" s="19">
        <f>IFERROR(VLOOKUP(J82,'03. THIẾT BỊ'!$B$1:$U$836,19,0),"")</f>
        <v>1.2</v>
      </c>
      <c r="I82" s="19">
        <f>IFERROR(VLOOKUP(J82,'03. THIẾT BỊ'!$B$1:$U$836,20,0),"")</f>
        <v>0</v>
      </c>
      <c r="J82" s="20" t="s">
        <v>4384</v>
      </c>
      <c r="K82" s="19" t="s">
        <v>5978</v>
      </c>
      <c r="L82" s="19"/>
      <c r="M82" s="19"/>
      <c r="N82" s="19" t="str">
        <f>IFERROR(VLOOKUP(J82,'03. THIẾT BỊ'!$B$1:$U$836,4,0),"")</f>
        <v>MUA MỚI</v>
      </c>
      <c r="O82" s="19" t="str">
        <f>IFERROR(VLOOKUP(J82,'03. THIẾT BỊ'!$B$1:$U$836,7,0),"")</f>
        <v>XN Chuối DP1</v>
      </c>
      <c r="P82" s="353" t="str">
        <f>IFERROR(VLOOKUP(O82,'NS QUẢN LÝ CG'!$A$4:$D$36,2,0),"")</f>
        <v/>
      </c>
      <c r="Q82" s="353" t="str">
        <f>IFERROR(VLOOKUP(O82,'NS QUẢN LÝ CG'!$A$4:$D$36,4,0),"")</f>
        <v/>
      </c>
      <c r="R82" s="353" t="str">
        <f>IFERROR(VLOOKUP(O82,'NS QUẢN LÝ CG'!$A$4:$C$36,3,0),"")</f>
        <v/>
      </c>
      <c r="S82" s="20">
        <f>IFERROR(VLOOKUP(J82,'03. THIẾT BỊ'!$B$1:$S$836,3,0),"")</f>
        <v>0</v>
      </c>
      <c r="T82" s="708" t="str">
        <f t="shared" si="1"/>
        <v/>
      </c>
      <c r="U82" s="708"/>
    </row>
    <row r="83" ht="13.8" spans="1:21">
      <c r="A83" s="19"/>
      <c r="B83" s="275"/>
      <c r="C83" s="20" t="str">
        <f>IFERROR(VLOOKUP(J83,'03. THIẾT BỊ'!$B$1:$U$836,5,0),"")</f>
        <v>Máy phun thuốc RELOAD 7045</v>
      </c>
      <c r="D83" s="19">
        <v>1</v>
      </c>
      <c r="E83" s="19"/>
      <c r="F83" s="19" t="s">
        <v>5978</v>
      </c>
      <c r="G83" s="19"/>
      <c r="H83" s="19">
        <f>IFERROR(VLOOKUP(J83,'03. THIẾT BỊ'!$B$1:$U$836,19,0),"")</f>
        <v>1.2</v>
      </c>
      <c r="I83" s="19">
        <f>IFERROR(VLOOKUP(J83,'03. THIẾT BỊ'!$B$1:$U$836,20,0),"")</f>
        <v>0</v>
      </c>
      <c r="J83" s="20" t="s">
        <v>4386</v>
      </c>
      <c r="K83" s="19" t="s">
        <v>5978</v>
      </c>
      <c r="L83" s="19"/>
      <c r="M83" s="19"/>
      <c r="N83" s="19" t="str">
        <f>IFERROR(VLOOKUP(J83,'03. THIẾT BỊ'!$B$1:$U$836,4,0),"")</f>
        <v>MUA MỚI</v>
      </c>
      <c r="O83" s="19" t="str">
        <f>IFERROR(VLOOKUP(J83,'03. THIẾT BỊ'!$B$1:$U$836,7,0),"")</f>
        <v>XN Chuối DP1</v>
      </c>
      <c r="P83" s="353" t="str">
        <f>IFERROR(VLOOKUP(O83,'NS QUẢN LÝ CG'!$A$4:$D$36,2,0),"")</f>
        <v/>
      </c>
      <c r="Q83" s="353" t="str">
        <f>IFERROR(VLOOKUP(O83,'NS QUẢN LÝ CG'!$A$4:$D$36,4,0),"")</f>
        <v/>
      </c>
      <c r="R83" s="353" t="str">
        <f>IFERROR(VLOOKUP(O83,'NS QUẢN LÝ CG'!$A$4:$C$36,3,0),"")</f>
        <v/>
      </c>
      <c r="S83" s="20">
        <f>IFERROR(VLOOKUP(J83,'03. THIẾT BỊ'!$B$1:$S$836,3,0),"")</f>
        <v>0</v>
      </c>
      <c r="T83" s="708" t="str">
        <f t="shared" si="1"/>
        <v/>
      </c>
      <c r="U83" s="708"/>
    </row>
    <row r="84" ht="13.8" spans="1:21">
      <c r="A84" s="19"/>
      <c r="B84" s="275"/>
      <c r="C84" s="20" t="str">
        <f>IFERROR(VLOOKUP(J84,'03. THIẾT BỊ'!$B$1:$U$836,5,0),"")</f>
        <v>Máy phun thuốc RELOAD 7045</v>
      </c>
      <c r="D84" s="19">
        <v>1</v>
      </c>
      <c r="E84" s="19"/>
      <c r="F84" s="19" t="s">
        <v>5978</v>
      </c>
      <c r="G84" s="19"/>
      <c r="H84" s="19">
        <f>IFERROR(VLOOKUP(J84,'03. THIẾT BỊ'!$B$1:$U$836,19,0),"")</f>
        <v>1.2</v>
      </c>
      <c r="I84" s="19">
        <f>IFERROR(VLOOKUP(J84,'03. THIẾT BỊ'!$B$1:$U$836,20,0),"")</f>
        <v>0</v>
      </c>
      <c r="J84" s="20" t="s">
        <v>4558</v>
      </c>
      <c r="K84" s="19" t="s">
        <v>5978</v>
      </c>
      <c r="L84" s="19"/>
      <c r="M84" s="19"/>
      <c r="N84" s="19" t="str">
        <f>IFERROR(VLOOKUP(J84,'03. THIẾT BỊ'!$B$1:$U$836,4,0),"")</f>
        <v>MUA MỚI</v>
      </c>
      <c r="O84" s="19" t="str">
        <f>IFERROR(VLOOKUP(J84,'03. THIẾT BỊ'!$B$1:$U$836,7,0),"")</f>
        <v>XN Chuối DP3</v>
      </c>
      <c r="P84" s="353" t="str">
        <f>IFERROR(VLOOKUP(O84,'NS QUẢN LÝ CG'!$A$4:$D$36,2,0),"")</f>
        <v/>
      </c>
      <c r="Q84" s="353" t="str">
        <f>IFERROR(VLOOKUP(O84,'NS QUẢN LÝ CG'!$A$4:$D$36,4,0),"")</f>
        <v/>
      </c>
      <c r="R84" s="353" t="str">
        <f>IFERROR(VLOOKUP(O84,'NS QUẢN LÝ CG'!$A$4:$C$36,3,0),"")</f>
        <v/>
      </c>
      <c r="S84" s="20">
        <f>IFERROR(VLOOKUP(J84,'03. THIẾT BỊ'!$B$1:$S$836,3,0),"")</f>
        <v>0</v>
      </c>
      <c r="T84" s="708" t="str">
        <f t="shared" si="1"/>
        <v/>
      </c>
      <c r="U84" s="708"/>
    </row>
    <row r="85" ht="13.8" spans="1:21">
      <c r="A85" s="19"/>
      <c r="B85" s="275"/>
      <c r="C85" s="20" t="str">
        <f>IFERROR(VLOOKUP(J85,'03. THIẾT BỊ'!$B$1:$U$836,5,0),"")</f>
        <v>Máy phun thuốc RELOAD 7045</v>
      </c>
      <c r="D85" s="19">
        <v>1</v>
      </c>
      <c r="E85" s="19"/>
      <c r="F85" s="19" t="s">
        <v>5978</v>
      </c>
      <c r="G85" s="19"/>
      <c r="H85" s="19">
        <f>IFERROR(VLOOKUP(J85,'03. THIẾT BỊ'!$B$1:$U$836,19,0),"")</f>
        <v>1.2</v>
      </c>
      <c r="I85" s="19">
        <f>IFERROR(VLOOKUP(J85,'03. THIẾT BỊ'!$B$1:$U$836,20,0),"")</f>
        <v>0</v>
      </c>
      <c r="J85" s="20" t="s">
        <v>4560</v>
      </c>
      <c r="K85" s="19" t="s">
        <v>5978</v>
      </c>
      <c r="L85" s="19"/>
      <c r="M85" s="19"/>
      <c r="N85" s="19" t="str">
        <f>IFERROR(VLOOKUP(J85,'03. THIẾT BỊ'!$B$1:$U$836,4,0),"")</f>
        <v>MUA MỚI</v>
      </c>
      <c r="O85" s="19" t="str">
        <f>IFERROR(VLOOKUP(J85,'03. THIẾT BỊ'!$B$1:$U$836,7,0),"")</f>
        <v>XN Chuối DP3</v>
      </c>
      <c r="P85" s="353" t="str">
        <f>IFERROR(VLOOKUP(O85,'NS QUẢN LÝ CG'!$A$4:$D$36,2,0),"")</f>
        <v/>
      </c>
      <c r="Q85" s="353" t="str">
        <f>IFERROR(VLOOKUP(O85,'NS QUẢN LÝ CG'!$A$4:$D$36,4,0),"")</f>
        <v/>
      </c>
      <c r="R85" s="353" t="str">
        <f>IFERROR(VLOOKUP(O85,'NS QUẢN LÝ CG'!$A$4:$C$36,3,0),"")</f>
        <v/>
      </c>
      <c r="S85" s="20">
        <f>IFERROR(VLOOKUP(J85,'03. THIẾT BỊ'!$B$1:$S$836,3,0),"")</f>
        <v>0</v>
      </c>
      <c r="T85" s="708" t="str">
        <f t="shared" si="1"/>
        <v/>
      </c>
      <c r="U85" s="708"/>
    </row>
    <row r="86" ht="13.8" spans="1:21">
      <c r="A86" s="19"/>
      <c r="B86" s="275"/>
      <c r="C86" s="20" t="str">
        <f>IFERROR(VLOOKUP(J86,'03. THIẾT BỊ'!$B$1:$U$836,5,0),"")</f>
        <v>Máy phun thuốc RELOAD 7045</v>
      </c>
      <c r="D86" s="19">
        <v>1</v>
      </c>
      <c r="E86" s="19"/>
      <c r="F86" s="19" t="s">
        <v>5978</v>
      </c>
      <c r="G86" s="19"/>
      <c r="H86" s="19">
        <f>IFERROR(VLOOKUP(J86,'03. THIẾT BỊ'!$B$1:$U$836,19,0),"")</f>
        <v>1.2</v>
      </c>
      <c r="I86" s="19">
        <f>IFERROR(VLOOKUP(J86,'03. THIẾT BỊ'!$B$1:$U$836,20,0),"")</f>
        <v>0</v>
      </c>
      <c r="J86" s="20" t="s">
        <v>4562</v>
      </c>
      <c r="K86" s="19" t="s">
        <v>5978</v>
      </c>
      <c r="L86" s="19"/>
      <c r="M86" s="19"/>
      <c r="N86" s="19" t="str">
        <f>IFERROR(VLOOKUP(J86,'03. THIẾT BỊ'!$B$1:$U$836,4,0),"")</f>
        <v>MUA MỚI</v>
      </c>
      <c r="O86" s="19" t="str">
        <f>IFERROR(VLOOKUP(J86,'03. THIẾT BỊ'!$B$1:$U$836,7,0),"")</f>
        <v>XN Chuối DP3</v>
      </c>
      <c r="P86" s="353" t="str">
        <f>IFERROR(VLOOKUP(O86,'NS QUẢN LÝ CG'!$A$4:$D$36,2,0),"")</f>
        <v/>
      </c>
      <c r="Q86" s="353" t="str">
        <f>IFERROR(VLOOKUP(O86,'NS QUẢN LÝ CG'!$A$4:$D$36,4,0),"")</f>
        <v/>
      </c>
      <c r="R86" s="353" t="str">
        <f>IFERROR(VLOOKUP(O86,'NS QUẢN LÝ CG'!$A$4:$C$36,3,0),"")</f>
        <v/>
      </c>
      <c r="S86" s="20">
        <f>IFERROR(VLOOKUP(J86,'03. THIẾT BỊ'!$B$1:$S$836,3,0),"")</f>
        <v>0</v>
      </c>
      <c r="T86" s="708" t="str">
        <f t="shared" si="1"/>
        <v/>
      </c>
      <c r="U86" s="708"/>
    </row>
    <row r="87" ht="13.8" spans="1:21">
      <c r="A87" s="19"/>
      <c r="B87" s="275"/>
      <c r="C87" s="20" t="str">
        <f>IFERROR(VLOOKUP(J87,'03. THIẾT BỊ'!$B$1:$U$836,5,0),"")</f>
        <v>Máy phun thuốc RELOAD 7045</v>
      </c>
      <c r="D87" s="19">
        <v>1</v>
      </c>
      <c r="E87" s="19"/>
      <c r="F87" s="19" t="s">
        <v>5978</v>
      </c>
      <c r="G87" s="19"/>
      <c r="H87" s="19">
        <f>IFERROR(VLOOKUP(J87,'03. THIẾT BỊ'!$B$1:$U$836,19,0),"")</f>
        <v>1.2</v>
      </c>
      <c r="I87" s="19">
        <f>IFERROR(VLOOKUP(J87,'03. THIẾT BỊ'!$B$1:$U$836,20,0),"")</f>
        <v>0</v>
      </c>
      <c r="J87" s="20" t="s">
        <v>4564</v>
      </c>
      <c r="K87" s="19" t="s">
        <v>5978</v>
      </c>
      <c r="L87" s="19"/>
      <c r="M87" s="19"/>
      <c r="N87" s="19" t="str">
        <f>IFERROR(VLOOKUP(J87,'03. THIẾT BỊ'!$B$1:$U$836,4,0),"")</f>
        <v>MUA MỚI</v>
      </c>
      <c r="O87" s="19" t="str">
        <f>IFERROR(VLOOKUP(J87,'03. THIẾT BỊ'!$B$1:$U$836,7,0),"")</f>
        <v>XN Chuối DP3</v>
      </c>
      <c r="P87" s="353" t="str">
        <f>IFERROR(VLOOKUP(O87,'NS QUẢN LÝ CG'!$A$4:$D$36,2,0),"")</f>
        <v/>
      </c>
      <c r="Q87" s="353" t="str">
        <f>IFERROR(VLOOKUP(O87,'NS QUẢN LÝ CG'!$A$4:$D$36,4,0),"")</f>
        <v/>
      </c>
      <c r="R87" s="353" t="str">
        <f>IFERROR(VLOOKUP(O87,'NS QUẢN LÝ CG'!$A$4:$C$36,3,0),"")</f>
        <v/>
      </c>
      <c r="S87" s="20">
        <f>IFERROR(VLOOKUP(J87,'03. THIẾT BỊ'!$B$1:$S$836,3,0),"")</f>
        <v>0</v>
      </c>
      <c r="T87" s="708" t="str">
        <f t="shared" si="1"/>
        <v/>
      </c>
      <c r="U87" s="708"/>
    </row>
    <row r="88" ht="13.8" spans="1:21">
      <c r="A88" s="19"/>
      <c r="B88" s="275"/>
      <c r="C88" s="20" t="str">
        <f>IFERROR(VLOOKUP(J88,'03. THIẾT BỊ'!$B$1:$U$836,5,0),"")</f>
        <v>Máy phun thuốc RELOAD 7045</v>
      </c>
      <c r="D88" s="19">
        <v>1</v>
      </c>
      <c r="E88" s="19"/>
      <c r="F88" s="19" t="s">
        <v>5978</v>
      </c>
      <c r="G88" s="19"/>
      <c r="H88" s="19">
        <f>IFERROR(VLOOKUP(J88,'03. THIẾT BỊ'!$B$1:$U$836,19,0),"")</f>
        <v>1.2</v>
      </c>
      <c r="I88" s="19">
        <f>IFERROR(VLOOKUP(J88,'03. THIẾT BỊ'!$B$1:$U$836,20,0),"")</f>
        <v>0</v>
      </c>
      <c r="J88" s="20" t="s">
        <v>4566</v>
      </c>
      <c r="K88" s="19" t="s">
        <v>5978</v>
      </c>
      <c r="L88" s="19"/>
      <c r="M88" s="19"/>
      <c r="N88" s="19" t="str">
        <f>IFERROR(VLOOKUP(J88,'03. THIẾT BỊ'!$B$1:$U$836,4,0),"")</f>
        <v>MUA MỚI</v>
      </c>
      <c r="O88" s="19" t="str">
        <f>IFERROR(VLOOKUP(J88,'03. THIẾT BỊ'!$B$1:$U$836,7,0),"")</f>
        <v>XN Chuối DP3</v>
      </c>
      <c r="P88" s="353" t="str">
        <f>IFERROR(VLOOKUP(O88,'NS QUẢN LÝ CG'!$A$4:$D$36,2,0),"")</f>
        <v/>
      </c>
      <c r="Q88" s="353" t="str">
        <f>IFERROR(VLOOKUP(O88,'NS QUẢN LÝ CG'!$A$4:$D$36,4,0),"")</f>
        <v/>
      </c>
      <c r="R88" s="353" t="str">
        <f>IFERROR(VLOOKUP(O88,'NS QUẢN LÝ CG'!$A$4:$C$36,3,0),"")</f>
        <v/>
      </c>
      <c r="S88" s="20">
        <f>IFERROR(VLOOKUP(J88,'03. THIẾT BỊ'!$B$1:$S$836,3,0),"")</f>
        <v>0</v>
      </c>
      <c r="T88" s="708" t="str">
        <f t="shared" si="1"/>
        <v/>
      </c>
      <c r="U88" s="708"/>
    </row>
    <row r="89" ht="13.8" spans="1:21">
      <c r="A89" s="19"/>
      <c r="B89" s="275"/>
      <c r="C89" s="20" t="str">
        <f>IFERROR(VLOOKUP(J89,'03. THIẾT BỊ'!$B$1:$U$836,5,0),"")</f>
        <v>Máy phun thuốc RELOAD 7045</v>
      </c>
      <c r="D89" s="19">
        <v>1</v>
      </c>
      <c r="E89" s="19"/>
      <c r="F89" s="19" t="s">
        <v>5978</v>
      </c>
      <c r="G89" s="19"/>
      <c r="H89" s="19">
        <f>IFERROR(VLOOKUP(J89,'03. THIẾT BỊ'!$B$1:$U$836,19,0),"")</f>
        <v>1.2</v>
      </c>
      <c r="I89" s="19">
        <f>IFERROR(VLOOKUP(J89,'03. THIẾT BỊ'!$B$1:$U$836,20,0),"")</f>
        <v>0</v>
      </c>
      <c r="J89" s="20" t="s">
        <v>4829</v>
      </c>
      <c r="K89" s="19" t="s">
        <v>5978</v>
      </c>
      <c r="L89" s="19"/>
      <c r="M89" s="19"/>
      <c r="N89" s="19" t="str">
        <f>IFERROR(VLOOKUP(J89,'03. THIẾT BỊ'!$B$1:$U$836,4,0),"")</f>
        <v>MUA MỚI</v>
      </c>
      <c r="O89" s="19" t="str">
        <f>IFERROR(VLOOKUP(J89,'03. THIẾT BỊ'!$B$1:$U$836,7,0),"")</f>
        <v>XN Chuối LP1</v>
      </c>
      <c r="P89" s="353" t="str">
        <f>IFERROR(VLOOKUP(O89,'NS QUẢN LÝ CG'!$A$4:$D$36,2,0),"")</f>
        <v>Nguyễn Ngọc Nhân</v>
      </c>
      <c r="Q89" s="353" t="str">
        <f>IFERROR(VLOOKUP(O89,'NS QUẢN LÝ CG'!$A$4:$D$36,4,0),"")</f>
        <v>Lô 7 LP1</v>
      </c>
      <c r="R89" s="1104" t="str">
        <f>IFERROR(VLOOKUP(O89,'NS QUẢN LÝ CG'!$A$4:$C$36,3,0),"")</f>
        <v>0979578112</v>
      </c>
      <c r="S89" s="20">
        <f>IFERROR(VLOOKUP(J89,'03. THIẾT BỊ'!$B$1:$S$836,3,0),"")</f>
        <v>0</v>
      </c>
      <c r="T89" s="708" t="str">
        <f t="shared" si="1"/>
        <v/>
      </c>
      <c r="U89" s="708"/>
    </row>
    <row r="90" ht="13.8" spans="1:21">
      <c r="A90" s="19"/>
      <c r="B90" s="275"/>
      <c r="C90" s="20" t="str">
        <f>IFERROR(VLOOKUP(J90,'03. THIẾT BỊ'!$B$1:$U$836,5,0),"")</f>
        <v>Máy phun thuốc RELOAD 7045</v>
      </c>
      <c r="D90" s="19">
        <v>1</v>
      </c>
      <c r="E90" s="19"/>
      <c r="F90" s="19" t="s">
        <v>5978</v>
      </c>
      <c r="G90" s="19"/>
      <c r="H90" s="19">
        <f>IFERROR(VLOOKUP(J90,'03. THIẾT BỊ'!$B$1:$U$836,19,0),"")</f>
        <v>1.2</v>
      </c>
      <c r="I90" s="19">
        <f>IFERROR(VLOOKUP(J90,'03. THIẾT BỊ'!$B$1:$U$836,20,0),"")</f>
        <v>0</v>
      </c>
      <c r="J90" s="20" t="s">
        <v>4831</v>
      </c>
      <c r="K90" s="19" t="s">
        <v>5978</v>
      </c>
      <c r="L90" s="19"/>
      <c r="M90" s="19"/>
      <c r="N90" s="19" t="str">
        <f>IFERROR(VLOOKUP(J90,'03. THIẾT BỊ'!$B$1:$U$836,4,0),"")</f>
        <v>MUA MỚI</v>
      </c>
      <c r="O90" s="19" t="str">
        <f>IFERROR(VLOOKUP(J90,'03. THIẾT BỊ'!$B$1:$U$836,7,0),"")</f>
        <v>XN Chuối LP1</v>
      </c>
      <c r="P90" s="353" t="str">
        <f>IFERROR(VLOOKUP(O90,'NS QUẢN LÝ CG'!$A$4:$D$36,2,0),"")</f>
        <v>Nguyễn Ngọc Nhân</v>
      </c>
      <c r="Q90" s="353" t="str">
        <f>IFERROR(VLOOKUP(O90,'NS QUẢN LÝ CG'!$A$4:$D$36,4,0),"")</f>
        <v>Lô 7 LP1</v>
      </c>
      <c r="R90" s="1104" t="str">
        <f>IFERROR(VLOOKUP(O90,'NS QUẢN LÝ CG'!$A$4:$C$36,3,0),"")</f>
        <v>0979578112</v>
      </c>
      <c r="S90" s="20">
        <f>IFERROR(VLOOKUP(J90,'03. THIẾT BỊ'!$B$1:$S$836,3,0),"")</f>
        <v>0</v>
      </c>
      <c r="T90" s="708" t="str">
        <f t="shared" si="1"/>
        <v/>
      </c>
      <c r="U90" s="708"/>
    </row>
    <row r="91" ht="13.8" spans="1:21">
      <c r="A91" s="19"/>
      <c r="B91" s="275"/>
      <c r="C91" s="20" t="str">
        <f>IFERROR(VLOOKUP(J91,'03. THIẾT BỊ'!$B$1:$U$836,5,0),"")</f>
        <v>Máy phun thuốc RELOAD 7045</v>
      </c>
      <c r="D91" s="19">
        <v>1</v>
      </c>
      <c r="E91" s="19"/>
      <c r="F91" s="19" t="s">
        <v>5978</v>
      </c>
      <c r="G91" s="19"/>
      <c r="H91" s="19">
        <f>IFERROR(VLOOKUP(J91,'03. THIẾT BỊ'!$B$1:$U$836,19,0),"")</f>
        <v>1.2</v>
      </c>
      <c r="I91" s="19">
        <f>IFERROR(VLOOKUP(J91,'03. THIẾT BỊ'!$B$1:$U$836,20,0),"")</f>
        <v>0</v>
      </c>
      <c r="J91" s="20" t="s">
        <v>4833</v>
      </c>
      <c r="K91" s="19" t="s">
        <v>5978</v>
      </c>
      <c r="L91" s="19"/>
      <c r="M91" s="19"/>
      <c r="N91" s="19" t="str">
        <f>IFERROR(VLOOKUP(J91,'03. THIẾT BỊ'!$B$1:$U$836,4,0),"")</f>
        <v>MUA MỚI</v>
      </c>
      <c r="O91" s="19" t="str">
        <f>IFERROR(VLOOKUP(J91,'03. THIẾT BỊ'!$B$1:$U$836,7,0),"")</f>
        <v>XN Chuối LP1</v>
      </c>
      <c r="P91" s="353" t="str">
        <f>IFERROR(VLOOKUP(O91,'NS QUẢN LÝ CG'!$A$4:$D$36,2,0),"")</f>
        <v>Nguyễn Ngọc Nhân</v>
      </c>
      <c r="Q91" s="353" t="str">
        <f>IFERROR(VLOOKUP(O91,'NS QUẢN LÝ CG'!$A$4:$D$36,4,0),"")</f>
        <v>Lô 7 LP1</v>
      </c>
      <c r="R91" s="1104" t="str">
        <f>IFERROR(VLOOKUP(O91,'NS QUẢN LÝ CG'!$A$4:$C$36,3,0),"")</f>
        <v>0979578112</v>
      </c>
      <c r="S91" s="20">
        <f>IFERROR(VLOOKUP(J91,'03. THIẾT BỊ'!$B$1:$S$836,3,0),"")</f>
        <v>0</v>
      </c>
      <c r="T91" s="708" t="str">
        <f t="shared" si="1"/>
        <v/>
      </c>
      <c r="U91" s="708"/>
    </row>
    <row r="92" ht="13.8" spans="1:21">
      <c r="A92" s="19"/>
      <c r="B92" s="275"/>
      <c r="C92" s="20" t="str">
        <f>IFERROR(VLOOKUP(J92,'03. THIẾT BỊ'!$B$1:$U$836,5,0),"")</f>
        <v>Máy phun thuốc RELOAD 7045</v>
      </c>
      <c r="D92" s="19">
        <v>1</v>
      </c>
      <c r="E92" s="19"/>
      <c r="F92" s="19" t="s">
        <v>5978</v>
      </c>
      <c r="G92" s="19"/>
      <c r="H92" s="19">
        <f>IFERROR(VLOOKUP(J92,'03. THIẾT BỊ'!$B$1:$U$836,19,0),"")</f>
        <v>1.2</v>
      </c>
      <c r="I92" s="19">
        <f>IFERROR(VLOOKUP(J92,'03. THIẾT BỊ'!$B$1:$U$836,20,0),"")</f>
        <v>0</v>
      </c>
      <c r="J92" s="20" t="s">
        <v>4835</v>
      </c>
      <c r="K92" s="19" t="s">
        <v>5978</v>
      </c>
      <c r="L92" s="19"/>
      <c r="M92" s="19"/>
      <c r="N92" s="19" t="str">
        <f>IFERROR(VLOOKUP(J92,'03. THIẾT BỊ'!$B$1:$U$836,4,0),"")</f>
        <v>MUA MỚI</v>
      </c>
      <c r="O92" s="19" t="str">
        <f>IFERROR(VLOOKUP(J92,'03. THIẾT BỊ'!$B$1:$U$836,7,0),"")</f>
        <v>XN Chuối LP1</v>
      </c>
      <c r="P92" s="353" t="str">
        <f>IFERROR(VLOOKUP(O92,'NS QUẢN LÝ CG'!$A$4:$D$36,2,0),"")</f>
        <v>Nguyễn Ngọc Nhân</v>
      </c>
      <c r="Q92" s="353" t="str">
        <f>IFERROR(VLOOKUP(O92,'NS QUẢN LÝ CG'!$A$4:$D$36,4,0),"")</f>
        <v>Lô 7 LP1</v>
      </c>
      <c r="R92" s="1104" t="str">
        <f>IFERROR(VLOOKUP(O92,'NS QUẢN LÝ CG'!$A$4:$C$36,3,0),"")</f>
        <v>0979578112</v>
      </c>
      <c r="S92" s="20">
        <f>IFERROR(VLOOKUP(J92,'03. THIẾT BỊ'!$B$1:$S$836,3,0),"")</f>
        <v>0</v>
      </c>
      <c r="T92" s="708" t="str">
        <f t="shared" si="1"/>
        <v/>
      </c>
      <c r="U92" s="708"/>
    </row>
    <row r="93" ht="13.8" spans="1:21">
      <c r="A93" s="19"/>
      <c r="B93" s="275"/>
      <c r="C93" s="20" t="str">
        <f>IFERROR(VLOOKUP(J93,'03. THIẾT BỊ'!$B$1:$U$836,5,0),"")</f>
        <v>Máy phun thuốc RELOAD 7045</v>
      </c>
      <c r="D93" s="19">
        <v>1</v>
      </c>
      <c r="E93" s="19"/>
      <c r="F93" s="19" t="s">
        <v>5978</v>
      </c>
      <c r="G93" s="19"/>
      <c r="H93" s="19">
        <v>1.2</v>
      </c>
      <c r="I93" s="19">
        <f>IFERROR(VLOOKUP(J93,'03. THIẾT BỊ'!$B$1:$U$836,20,0),"")</f>
        <v>0</v>
      </c>
      <c r="J93" s="20" t="s">
        <v>5036</v>
      </c>
      <c r="K93" s="19" t="s">
        <v>5978</v>
      </c>
      <c r="L93" s="19"/>
      <c r="M93" s="19"/>
      <c r="N93" s="19" t="str">
        <f>IFERROR(VLOOKUP(J93,'03. THIẾT BỊ'!$B$1:$U$836,4,0),"")</f>
        <v>MUA MỚI</v>
      </c>
      <c r="O93" s="19" t="str">
        <f>IFERROR(VLOOKUP(J93,'03. THIẾT BỊ'!$B$1:$U$836,7,0),"")</f>
        <v>XN Chuối LP3</v>
      </c>
      <c r="P93" s="353" t="str">
        <f>IFERROR(VLOOKUP(O93,'NS QUẢN LÝ CG'!$A$4:$D$36,2,0),"")</f>
        <v/>
      </c>
      <c r="Q93" s="353" t="str">
        <f>IFERROR(VLOOKUP(O93,'NS QUẢN LÝ CG'!$A$4:$D$36,4,0),"")</f>
        <v/>
      </c>
      <c r="R93" s="353" t="str">
        <f>IFERROR(VLOOKUP(O93,'NS QUẢN LÝ CG'!$A$4:$C$36,3,0),"")</f>
        <v/>
      </c>
      <c r="S93" s="20">
        <f>IFERROR(VLOOKUP(J93,'03. THIẾT BỊ'!$B$1:$S$836,3,0),"")</f>
        <v>0</v>
      </c>
      <c r="T93" s="708" t="str">
        <f t="shared" si="1"/>
        <v/>
      </c>
      <c r="U93" s="708"/>
    </row>
    <row r="94" ht="13.8" spans="1:21">
      <c r="A94" s="19"/>
      <c r="B94" s="278"/>
      <c r="C94" s="20" t="str">
        <f>IFERROR(VLOOKUP(J94,'03. THIẾT BỊ'!$B$1:$U$836,5,0),"")</f>
        <v>Máy phun thuốc RELOAD 7045</v>
      </c>
      <c r="D94" s="19">
        <v>1</v>
      </c>
      <c r="E94" s="19"/>
      <c r="F94" s="19" t="s">
        <v>5978</v>
      </c>
      <c r="G94" s="19"/>
      <c r="H94" s="19">
        <v>1.2</v>
      </c>
      <c r="I94" s="19">
        <f>IFERROR(VLOOKUP(J94,'03. THIẾT BỊ'!$B$1:$U$836,20,0),"")</f>
        <v>0</v>
      </c>
      <c r="J94" s="20" t="s">
        <v>5038</v>
      </c>
      <c r="K94" s="19" t="s">
        <v>5978</v>
      </c>
      <c r="L94" s="19"/>
      <c r="M94" s="19"/>
      <c r="N94" s="19" t="str">
        <f>IFERROR(VLOOKUP(J94,'03. THIẾT BỊ'!$B$1:$U$836,4,0),"")</f>
        <v>MUA MỚI</v>
      </c>
      <c r="O94" s="19" t="str">
        <f>IFERROR(VLOOKUP(J94,'03. THIẾT BỊ'!$B$1:$U$836,7,0),"")</f>
        <v>XN Chuối LP3</v>
      </c>
      <c r="P94" s="353" t="str">
        <f>IFERROR(VLOOKUP(O94,'NS QUẢN LÝ CG'!$A$4:$D$36,2,0),"")</f>
        <v/>
      </c>
      <c r="Q94" s="353" t="str">
        <f>IFERROR(VLOOKUP(O94,'NS QUẢN LÝ CG'!$A$4:$D$36,4,0),"")</f>
        <v/>
      </c>
      <c r="R94" s="353" t="str">
        <f>IFERROR(VLOOKUP(O94,'NS QUẢN LÝ CG'!$A$4:$C$36,3,0),"")</f>
        <v/>
      </c>
      <c r="S94" s="20">
        <f>IFERROR(VLOOKUP(J94,'03. THIẾT BỊ'!$B$1:$S$836,3,0),"")</f>
        <v>0</v>
      </c>
      <c r="T94" s="708" t="str">
        <f t="shared" si="1"/>
        <v/>
      </c>
      <c r="U94" s="708"/>
    </row>
    <row r="95" ht="13.8" spans="1:21">
      <c r="A95" s="19"/>
      <c r="B95" s="710" t="s">
        <v>6026</v>
      </c>
      <c r="C95" s="20" t="str">
        <f>IFERROR(VLOOKUP(J95,'03. THIẾT BỊ'!$B$1:$U$836,5,0),"")</f>
        <v>Súng phun thuốc Hansung</v>
      </c>
      <c r="D95" s="19">
        <v>1</v>
      </c>
      <c r="E95" s="19" t="s">
        <v>5978</v>
      </c>
      <c r="F95" s="19"/>
      <c r="G95" s="19"/>
      <c r="H95" s="19">
        <f>IFERROR(VLOOKUP(J95,'03. THIẾT BỊ'!$B$1:$U$836,19,0),"")</f>
        <v>8.47</v>
      </c>
      <c r="I95" s="19">
        <f>IFERROR(VLOOKUP(J95,'03. THIẾT BỊ'!$B$1:$U$836,20,0),"")</f>
        <v>0</v>
      </c>
      <c r="J95" s="20" t="s">
        <v>4246</v>
      </c>
      <c r="K95" s="19"/>
      <c r="L95" s="19" t="s">
        <v>5978</v>
      </c>
      <c r="M95" s="19"/>
      <c r="N95" s="19" t="str">
        <f>IFERROR(VLOOKUP(J95,'03. THIẾT BỊ'!$B$1:$U$836,4,0),"")</f>
        <v>ĐQSD</v>
      </c>
      <c r="O95" s="19" t="str">
        <f>IFERROR(VLOOKUP(J95,'03. THIẾT BỊ'!$B$1:$U$836,7,0),"")</f>
        <v>XN Chuối DP1</v>
      </c>
      <c r="P95" s="353" t="str">
        <f>IFERROR(VLOOKUP(O95,'NS QUẢN LÝ CG'!$A$4:$D$36,2,0),"")</f>
        <v/>
      </c>
      <c r="Q95" s="353" t="str">
        <f>IFERROR(VLOOKUP(O95,'NS QUẢN LÝ CG'!$A$4:$D$36,4,0),"")</f>
        <v/>
      </c>
      <c r="R95" s="353" t="str">
        <f>IFERROR(VLOOKUP(O95,'NS QUẢN LÝ CG'!$A$4:$C$36,3,0),"")</f>
        <v/>
      </c>
      <c r="S95" s="20" t="str">
        <f>IFERROR(VLOOKUP(J95,'03. THIẾT BỊ'!$B$1:$S$836,3,0),"")</f>
        <v>A23-SPT-001</v>
      </c>
      <c r="T95" s="708" t="str">
        <f t="shared" si="1"/>
        <v>DP</v>
      </c>
      <c r="U95" s="708"/>
    </row>
    <row r="96" ht="13.8" spans="1:21">
      <c r="A96" s="19"/>
      <c r="B96" s="275"/>
      <c r="C96" s="20" t="str">
        <f>IFERROR(VLOOKUP(J96,'03. THIẾT BỊ'!$B$1:$U$836,5,0),"")</f>
        <v>Súng phun thuốc Hansung</v>
      </c>
      <c r="D96" s="19">
        <v>1</v>
      </c>
      <c r="E96" s="19" t="s">
        <v>5978</v>
      </c>
      <c r="F96" s="19"/>
      <c r="G96" s="19"/>
      <c r="H96" s="19">
        <f>IFERROR(VLOOKUP(J96,'03. THIẾT BỊ'!$B$1:$U$836,19,0),"")</f>
        <v>8.47</v>
      </c>
      <c r="I96" s="19">
        <f>IFERROR(VLOOKUP(J96,'03. THIẾT BỊ'!$B$1:$U$836,20,0),"")</f>
        <v>0</v>
      </c>
      <c r="J96" s="20" t="s">
        <v>4407</v>
      </c>
      <c r="K96" s="19"/>
      <c r="L96" s="19" t="s">
        <v>5978</v>
      </c>
      <c r="M96" s="19"/>
      <c r="N96" s="19" t="str">
        <f>IFERROR(VLOOKUP(J96,'03. THIẾT BỊ'!$B$1:$U$836,4,0),"")</f>
        <v>ĐQSD</v>
      </c>
      <c r="O96" s="19" t="str">
        <f>IFERROR(VLOOKUP(J96,'03. THIẾT BỊ'!$B$1:$U$836,7,0),"")</f>
        <v>XN Chuối DP2</v>
      </c>
      <c r="P96" s="353" t="str">
        <f>IFERROR(VLOOKUP(O96,'NS QUẢN LÝ CG'!$A$4:$D$36,2,0),"")</f>
        <v/>
      </c>
      <c r="Q96" s="353" t="str">
        <f>IFERROR(VLOOKUP(O96,'NS QUẢN LÝ CG'!$A$4:$D$36,4,0),"")</f>
        <v/>
      </c>
      <c r="R96" s="353" t="str">
        <f>IFERROR(VLOOKUP(O96,'NS QUẢN LÝ CG'!$A$4:$C$36,3,0),"")</f>
        <v/>
      </c>
      <c r="S96" s="20" t="str">
        <f>IFERROR(VLOOKUP(J96,'03. THIẾT BỊ'!$B$1:$S$836,3,0),"")</f>
        <v>A23-SPT-002</v>
      </c>
      <c r="T96" s="708" t="str">
        <f t="shared" si="1"/>
        <v>DP</v>
      </c>
      <c r="U96" s="708"/>
    </row>
    <row r="97" ht="13.8" spans="1:21">
      <c r="A97" s="19"/>
      <c r="B97" s="275"/>
      <c r="C97" s="20" t="str">
        <f>IFERROR(VLOOKUP(J97,'03. THIẾT BỊ'!$B$1:$U$836,5,0),"")</f>
        <v>Súng phun thuốc Hansung</v>
      </c>
      <c r="D97" s="19">
        <v>1</v>
      </c>
      <c r="E97" s="19" t="s">
        <v>5978</v>
      </c>
      <c r="F97" s="19"/>
      <c r="G97" s="19"/>
      <c r="H97" s="19">
        <f>IFERROR(VLOOKUP(J97,'03. THIẾT BỊ'!$B$1:$U$836,19,0),"")</f>
        <v>8.47</v>
      </c>
      <c r="I97" s="19">
        <f>IFERROR(VLOOKUP(J97,'03. THIẾT BỊ'!$B$1:$U$836,20,0),"")</f>
        <v>0</v>
      </c>
      <c r="J97" s="20" t="s">
        <v>4568</v>
      </c>
      <c r="K97" s="19" t="s">
        <v>5978</v>
      </c>
      <c r="L97" s="19"/>
      <c r="M97" s="19"/>
      <c r="N97" s="19" t="str">
        <f>IFERROR(VLOOKUP(J97,'03. THIẾT BỊ'!$B$1:$U$836,4,0),"")</f>
        <v>ĐQSD</v>
      </c>
      <c r="O97" s="19" t="str">
        <f>IFERROR(VLOOKUP(J97,'03. THIẾT BỊ'!$B$1:$U$836,7,0),"")</f>
        <v>XN Chuối DP3</v>
      </c>
      <c r="P97" s="353" t="str">
        <f>IFERROR(VLOOKUP(O97,'NS QUẢN LÝ CG'!$A$4:$D$36,2,0),"")</f>
        <v/>
      </c>
      <c r="Q97" s="353" t="str">
        <f>IFERROR(VLOOKUP(O97,'NS QUẢN LÝ CG'!$A$4:$D$36,4,0),"")</f>
        <v/>
      </c>
      <c r="R97" s="353" t="str">
        <f>IFERROR(VLOOKUP(O97,'NS QUẢN LÝ CG'!$A$4:$C$36,3,0),"")</f>
        <v/>
      </c>
      <c r="S97" s="20" t="str">
        <f>IFERROR(VLOOKUP(J97,'03. THIẾT BỊ'!$B$1:$S$836,3,0),"")</f>
        <v>A23-SPT-001</v>
      </c>
      <c r="T97" s="708" t="str">
        <f t="shared" si="1"/>
        <v>DP</v>
      </c>
      <c r="U97" s="708"/>
    </row>
    <row r="98" ht="13.8" spans="1:21">
      <c r="A98" s="19"/>
      <c r="B98" s="275"/>
      <c r="C98" s="20" t="str">
        <f>IFERROR(VLOOKUP(J98,'03. THIẾT BỊ'!$B$1:$U$836,5,0),"")</f>
        <v>Súng phun thuốc Hansung</v>
      </c>
      <c r="D98" s="19">
        <v>1</v>
      </c>
      <c r="E98" s="19" t="s">
        <v>5978</v>
      </c>
      <c r="F98" s="19"/>
      <c r="G98" s="19"/>
      <c r="H98" s="19">
        <f>IFERROR(VLOOKUP(J98,'03. THIẾT BỊ'!$B$1:$U$836,19,0),"")</f>
        <v>8.47</v>
      </c>
      <c r="I98" s="19">
        <f>IFERROR(VLOOKUP(J98,'03. THIẾT BỊ'!$B$1:$U$836,20,0),"")</f>
        <v>0</v>
      </c>
      <c r="J98" s="20" t="s">
        <v>4808</v>
      </c>
      <c r="K98" s="19"/>
      <c r="L98" s="19" t="s">
        <v>5978</v>
      </c>
      <c r="M98" s="19"/>
      <c r="N98" s="19" t="str">
        <f>IFERROR(VLOOKUP(J98,'03. THIẾT BỊ'!$B$1:$U$836,4,0),"")</f>
        <v>ĐQSD</v>
      </c>
      <c r="O98" s="19" t="str">
        <f>IFERROR(VLOOKUP(J98,'03. THIẾT BỊ'!$B$1:$U$836,7,0),"")</f>
        <v>XN Chuối LP1</v>
      </c>
      <c r="P98" s="353" t="str">
        <f>IFERROR(VLOOKUP(O98,'NS QUẢN LÝ CG'!$A$4:$D$36,2,0),"")</f>
        <v>Nguyễn Ngọc Nhân</v>
      </c>
      <c r="Q98" s="353" t="str">
        <f>IFERROR(VLOOKUP(O98,'NS QUẢN LÝ CG'!$A$4:$D$36,4,0),"")</f>
        <v>Lô 7 LP1</v>
      </c>
      <c r="R98" s="1104" t="str">
        <f>IFERROR(VLOOKUP(O98,'NS QUẢN LÝ CG'!$A$4:$C$36,3,0),"")</f>
        <v>0979578112</v>
      </c>
      <c r="S98" s="20" t="str">
        <f>IFERROR(VLOOKUP(J98,'03. THIẾT BỊ'!$B$1:$S$836,3,0),"")</f>
        <v>A24-SPT-001</v>
      </c>
      <c r="T98" s="708" t="str">
        <f t="shared" si="1"/>
        <v>LP</v>
      </c>
      <c r="U98" s="708"/>
    </row>
    <row r="99" ht="13.8" spans="1:21">
      <c r="A99" s="19"/>
      <c r="B99" s="275"/>
      <c r="C99" s="20" t="str">
        <f>IFERROR(VLOOKUP(J99,'03. THIẾT BỊ'!$B$1:$U$836,5,0),"")</f>
        <v>Súng phun thuốc Hansung</v>
      </c>
      <c r="D99" s="19">
        <v>1</v>
      </c>
      <c r="E99" s="19" t="s">
        <v>5978</v>
      </c>
      <c r="F99" s="19"/>
      <c r="G99" s="19"/>
      <c r="H99" s="19">
        <f>IFERROR(VLOOKUP(J99,'03. THIẾT BỊ'!$B$1:$U$836,19,0),"")</f>
        <v>8.47</v>
      </c>
      <c r="I99" s="19">
        <f>IFERROR(VLOOKUP(J99,'03. THIẾT BỊ'!$B$1:$U$836,20,0),"")</f>
        <v>0</v>
      </c>
      <c r="J99" s="20" t="s">
        <v>4895</v>
      </c>
      <c r="K99" s="19"/>
      <c r="L99" s="19" t="s">
        <v>5978</v>
      </c>
      <c r="M99" s="19"/>
      <c r="N99" s="19" t="str">
        <f>IFERROR(VLOOKUP(J99,'03. THIẾT BỊ'!$B$1:$U$836,4,0),"")</f>
        <v>ĐQSD</v>
      </c>
      <c r="O99" s="19" t="str">
        <f>IFERROR(VLOOKUP(J99,'03. THIẾT BỊ'!$B$1:$U$836,7,0),"")</f>
        <v>XN Chuối LP3</v>
      </c>
      <c r="P99" s="353" t="str">
        <f>IFERROR(VLOOKUP(O99,'NS QUẢN LÝ CG'!$A$4:$D$36,2,0),"")</f>
        <v/>
      </c>
      <c r="Q99" s="353" t="str">
        <f>IFERROR(VLOOKUP(O99,'NS QUẢN LÝ CG'!$A$4:$D$36,4,0),"")</f>
        <v/>
      </c>
      <c r="R99" s="353" t="str">
        <f>IFERROR(VLOOKUP(O99,'NS QUẢN LÝ CG'!$A$4:$C$36,3,0),"")</f>
        <v/>
      </c>
      <c r="S99" s="20" t="str">
        <f>IFERROR(VLOOKUP(J99,'03. THIẾT BỊ'!$B$1:$S$836,3,0),"")</f>
        <v>A24-SPT-001</v>
      </c>
      <c r="T99" s="708" t="str">
        <f t="shared" si="1"/>
        <v>LP</v>
      </c>
      <c r="U99" s="708"/>
    </row>
    <row r="100" ht="13.8" spans="1:21">
      <c r="A100" s="19"/>
      <c r="B100" s="278"/>
      <c r="C100" s="20" t="str">
        <f>IFERROR(VLOOKUP(J100,'03. THIẾT BỊ'!$B$1:$U$836,5,0),"")</f>
        <v>Súng phun thuốc Hansung</v>
      </c>
      <c r="D100" s="19">
        <v>1</v>
      </c>
      <c r="E100" s="19" t="s">
        <v>5978</v>
      </c>
      <c r="F100" s="19"/>
      <c r="G100" s="19"/>
      <c r="H100" s="19">
        <f>IFERROR(VLOOKUP(J100,'03. THIẾT BỊ'!$B$1:$U$836,19,0),"")</f>
        <v>8.47</v>
      </c>
      <c r="I100" s="19">
        <f>IFERROR(VLOOKUP(J100,'03. THIẾT BỊ'!$B$1:$U$836,20,0),"")</f>
        <v>0</v>
      </c>
      <c r="J100" s="20" t="s">
        <v>4898</v>
      </c>
      <c r="K100" s="19" t="s">
        <v>5978</v>
      </c>
      <c r="L100" s="19"/>
      <c r="M100" s="19"/>
      <c r="N100" s="19" t="str">
        <f>IFERROR(VLOOKUP(J100,'03. THIẾT BỊ'!$B$1:$U$836,4,0),"")</f>
        <v>ĐQSD</v>
      </c>
      <c r="O100" s="19" t="str">
        <f>IFERROR(VLOOKUP(J100,'03. THIẾT BỊ'!$B$1:$U$836,7,0),"")</f>
        <v>XN Chuối LP3</v>
      </c>
      <c r="P100" s="353" t="str">
        <f>IFERROR(VLOOKUP(O100,'NS QUẢN LÝ CG'!$A$4:$D$36,2,0),"")</f>
        <v/>
      </c>
      <c r="Q100" s="353" t="str">
        <f>IFERROR(VLOOKUP(O100,'NS QUẢN LÝ CG'!$A$4:$D$36,4,0),"")</f>
        <v/>
      </c>
      <c r="R100" s="353" t="str">
        <f>IFERROR(VLOOKUP(O100,'NS QUẢN LÝ CG'!$A$4:$C$36,3,0),"")</f>
        <v/>
      </c>
      <c r="S100" s="20" t="str">
        <f>IFERROR(VLOOKUP(J100,'03. THIẾT BỊ'!$B$1:$S$836,3,0),"")</f>
        <v>A22-SPT-002</v>
      </c>
      <c r="T100" s="708" t="str">
        <f t="shared" si="1"/>
        <v>ADM</v>
      </c>
      <c r="U100" s="708"/>
    </row>
    <row r="101" ht="13.8" spans="1:21">
      <c r="A101" s="19"/>
      <c r="B101" s="710" t="s">
        <v>6027</v>
      </c>
      <c r="C101" s="20" t="s">
        <v>6028</v>
      </c>
      <c r="D101" s="19">
        <v>91</v>
      </c>
      <c r="E101" s="19"/>
      <c r="F101" s="19" t="s">
        <v>5978</v>
      </c>
      <c r="G101" s="19"/>
      <c r="H101" s="19">
        <v>0.5</v>
      </c>
      <c r="I101" s="19" t="str">
        <f>IFERROR(VLOOKUP(J101,'03. THIẾT BỊ'!$B$1:$U$836,20,0),"")</f>
        <v/>
      </c>
      <c r="J101" s="20"/>
      <c r="K101" s="19" t="s">
        <v>5978</v>
      </c>
      <c r="L101" s="19"/>
      <c r="M101" s="19"/>
      <c r="N101" s="19" t="str">
        <f>IFERROR(VLOOKUP(J101,'03. THIẾT BỊ'!$B$1:$U$836,4,0),"")</f>
        <v/>
      </c>
      <c r="O101" s="19" t="str">
        <f>IFERROR(VLOOKUP(J101,'03. THIẾT BỊ'!$B$1:$U$836,7,0),"")</f>
        <v/>
      </c>
      <c r="P101" s="20"/>
      <c r="Q101" s="20"/>
      <c r="R101" s="20"/>
      <c r="S101" s="20" t="str">
        <f>IFERROR(VLOOKUP(J101,'03. THIẾT BỊ'!$B$1:$S$836,3,0),"")</f>
        <v/>
      </c>
      <c r="T101" s="708"/>
      <c r="U101" s="708"/>
    </row>
    <row r="102" ht="13.8" spans="1:21">
      <c r="A102" s="19"/>
      <c r="B102" s="278"/>
      <c r="C102" s="20" t="s">
        <v>6029</v>
      </c>
      <c r="D102" s="19">
        <v>155</v>
      </c>
      <c r="E102" s="19"/>
      <c r="F102" s="19" t="s">
        <v>5978</v>
      </c>
      <c r="G102" s="19"/>
      <c r="H102" s="19">
        <v>0.5</v>
      </c>
      <c r="I102" s="19" t="s">
        <v>6030</v>
      </c>
      <c r="J102" s="20"/>
      <c r="K102" s="19" t="s">
        <v>5978</v>
      </c>
      <c r="L102" s="19"/>
      <c r="M102" s="19"/>
      <c r="N102" s="19" t="str">
        <f>IFERROR(VLOOKUP(J102,'03. THIẾT BỊ'!$B$1:$U$836,4,0),"")</f>
        <v/>
      </c>
      <c r="O102" s="19" t="str">
        <f>IFERROR(VLOOKUP(J102,'03. THIẾT BỊ'!$B$1:$U$836,7,0),"")</f>
        <v/>
      </c>
      <c r="P102" s="20"/>
      <c r="Q102" s="20"/>
      <c r="R102" s="20"/>
      <c r="S102" s="20" t="str">
        <f>IFERROR(VLOOKUP(J102,'03. THIẾT BỊ'!$B$1:$S$836,3,0),"")</f>
        <v/>
      </c>
      <c r="T102" s="708"/>
      <c r="U102" s="708"/>
    </row>
    <row r="103" ht="13.8" spans="1:21">
      <c r="A103" s="19"/>
      <c r="B103" s="20" t="s">
        <v>518</v>
      </c>
      <c r="C103" s="20" t="str">
        <f>IFERROR(VLOOKUP(J103,'03. THIẾT BỊ'!$B$1:$U$836,5,0),"")</f>
        <v/>
      </c>
      <c r="D103" s="19"/>
      <c r="E103" s="19"/>
      <c r="F103" s="19"/>
      <c r="G103" s="19"/>
      <c r="H103" s="19">
        <v>1</v>
      </c>
      <c r="I103" s="19" t="s">
        <v>6030</v>
      </c>
      <c r="J103" s="20"/>
      <c r="K103" s="19"/>
      <c r="L103" s="19"/>
      <c r="M103" s="19"/>
      <c r="N103" s="19" t="str">
        <f>IFERROR(VLOOKUP(J103,'03. THIẾT BỊ'!$B$1:$U$836,4,0),"")</f>
        <v/>
      </c>
      <c r="O103" s="19" t="str">
        <f>IFERROR(VLOOKUP(J103,'03. THIẾT BỊ'!$B$1:$U$836,7,0),"")</f>
        <v/>
      </c>
      <c r="P103" s="20"/>
      <c r="Q103" s="20"/>
      <c r="R103" s="20"/>
      <c r="S103" s="20" t="str">
        <f>IFERROR(VLOOKUP(J103,'03. THIẾT BỊ'!$B$1:$S$836,3,0),"")</f>
        <v/>
      </c>
      <c r="T103" s="708"/>
      <c r="U103" s="708"/>
    </row>
    <row r="104" ht="13.8" spans="1:21">
      <c r="A104" s="19"/>
      <c r="B104" s="20" t="s">
        <v>518</v>
      </c>
      <c r="C104" s="20" t="str">
        <f>IFERROR(VLOOKUP(J104,'03. THIẾT BỊ'!$B$1:$U$836,5,0),"")</f>
        <v/>
      </c>
      <c r="D104" s="19"/>
      <c r="E104" s="19"/>
      <c r="F104" s="19"/>
      <c r="G104" s="19"/>
      <c r="H104" s="19" t="str">
        <f>IFERROR(VLOOKUP(J104,'03. THIẾT BỊ'!$B$1:$U$836,19,0),"")</f>
        <v/>
      </c>
      <c r="I104" s="19" t="str">
        <f>IFERROR(VLOOKUP(J104,'03. THIẾT BỊ'!$B$1:$U$836,20,0),"")</f>
        <v/>
      </c>
      <c r="J104" s="20"/>
      <c r="K104" s="19"/>
      <c r="L104" s="19"/>
      <c r="M104" s="19"/>
      <c r="N104" s="19" t="str">
        <f>IFERROR(VLOOKUP(J104,'03. THIẾT BỊ'!$B$1:$U$836,4,0),"")</f>
        <v/>
      </c>
      <c r="O104" s="19" t="str">
        <f>IFERROR(VLOOKUP(J104,'03. THIẾT BỊ'!$B$1:$U$836,7,0),"")</f>
        <v/>
      </c>
      <c r="P104" s="20"/>
      <c r="Q104" s="20"/>
      <c r="R104" s="20"/>
      <c r="S104" s="20" t="str">
        <f>IFERROR(VLOOKUP(J104,'03. THIẾT BỊ'!$B$1:$S$836,3,0),"")</f>
        <v/>
      </c>
      <c r="T104" s="708"/>
      <c r="U104" s="708"/>
    </row>
    <row r="105" ht="13.8" spans="1:21">
      <c r="A105" s="19"/>
      <c r="B105" s="20" t="s">
        <v>518</v>
      </c>
      <c r="C105" s="20" t="str">
        <f>IFERROR(VLOOKUP(J105,'03. THIẾT BỊ'!$B$1:$U$836,5,0),"")</f>
        <v/>
      </c>
      <c r="D105" s="19"/>
      <c r="E105" s="19"/>
      <c r="F105" s="19"/>
      <c r="G105" s="19"/>
      <c r="H105" s="19" t="str">
        <f>IFERROR(VLOOKUP(J105,'03. THIẾT BỊ'!$B$1:$U$836,19,0),"")</f>
        <v/>
      </c>
      <c r="I105" s="19" t="str">
        <f>IFERROR(VLOOKUP(J105,'03. THIẾT BỊ'!$B$1:$U$836,20,0),"")</f>
        <v/>
      </c>
      <c r="J105" s="20"/>
      <c r="K105" s="19"/>
      <c r="L105" s="19"/>
      <c r="M105" s="19"/>
      <c r="N105" s="19" t="str">
        <f>IFERROR(VLOOKUP(J105,'03. THIẾT BỊ'!$B$1:$U$836,4,0),"")</f>
        <v/>
      </c>
      <c r="O105" s="19" t="str">
        <f>IFERROR(VLOOKUP(J105,'03. THIẾT BỊ'!$B$1:$U$836,7,0),"")</f>
        <v/>
      </c>
      <c r="P105" s="20"/>
      <c r="Q105" s="20"/>
      <c r="R105" s="20"/>
      <c r="S105" s="20" t="str">
        <f>IFERROR(VLOOKUP(J105,'03. THIẾT BỊ'!$B$1:$S$836,3,0),"")</f>
        <v/>
      </c>
      <c r="T105" s="708"/>
      <c r="U105" s="708"/>
    </row>
    <row r="106" ht="13.8" spans="1:21">
      <c r="A106" s="709" t="s">
        <v>6031</v>
      </c>
      <c r="B106" s="271"/>
      <c r="C106" s="272"/>
      <c r="D106" s="26">
        <f>SUM(D107:D108)</f>
        <v>669</v>
      </c>
      <c r="E106" s="30"/>
      <c r="F106" s="30"/>
      <c r="G106" s="30"/>
      <c r="H106" s="30"/>
      <c r="I106" s="30"/>
      <c r="J106" s="29"/>
      <c r="K106" s="30"/>
      <c r="L106" s="30"/>
      <c r="M106" s="30"/>
      <c r="N106" s="29"/>
      <c r="O106" s="29"/>
      <c r="P106" s="29"/>
      <c r="Q106" s="29"/>
      <c r="R106" s="29"/>
      <c r="S106" s="29"/>
      <c r="T106" s="706"/>
      <c r="U106" s="706"/>
    </row>
    <row r="107" ht="13.8" spans="1:21">
      <c r="A107" s="707">
        <v>1</v>
      </c>
      <c r="B107" s="711" t="s">
        <v>6032</v>
      </c>
      <c r="C107" s="20" t="s">
        <v>6033</v>
      </c>
      <c r="D107" s="19">
        <f>226+83</f>
        <v>309</v>
      </c>
      <c r="E107" s="19"/>
      <c r="F107" s="19"/>
      <c r="G107" s="19"/>
      <c r="H107" s="19"/>
      <c r="I107" s="19" t="s">
        <v>6034</v>
      </c>
      <c r="J107" s="20"/>
      <c r="K107" s="19" t="s">
        <v>5978</v>
      </c>
      <c r="L107" s="19"/>
      <c r="M107" s="19"/>
      <c r="N107" s="20"/>
      <c r="O107" s="20"/>
      <c r="P107" s="20"/>
      <c r="Q107" s="20"/>
      <c r="R107" s="20"/>
      <c r="S107" s="20"/>
      <c r="T107" s="708"/>
      <c r="U107" s="708"/>
    </row>
    <row r="108" ht="13.8" spans="1:21">
      <c r="A108" s="278"/>
      <c r="B108" s="278"/>
      <c r="C108" s="20" t="s">
        <v>6035</v>
      </c>
      <c r="D108" s="19">
        <f>257+103</f>
        <v>360</v>
      </c>
      <c r="E108" s="19"/>
      <c r="F108" s="19"/>
      <c r="G108" s="19"/>
      <c r="H108" s="19"/>
      <c r="I108" s="19" t="s">
        <v>6034</v>
      </c>
      <c r="J108" s="20"/>
      <c r="K108" s="19" t="s">
        <v>5978</v>
      </c>
      <c r="L108" s="19"/>
      <c r="M108" s="19"/>
      <c r="N108" s="20"/>
      <c r="O108" s="20"/>
      <c r="P108" s="20"/>
      <c r="Q108" s="20"/>
      <c r="R108" s="20"/>
      <c r="S108" s="20"/>
      <c r="T108" s="708"/>
      <c r="U108" s="708"/>
    </row>
    <row r="109" ht="13.8" spans="1:21">
      <c r="A109" s="19"/>
      <c r="B109" s="20"/>
      <c r="C109" s="20"/>
      <c r="D109" s="19"/>
      <c r="E109" s="19"/>
      <c r="F109" s="19"/>
      <c r="G109" s="19"/>
      <c r="H109" s="19"/>
      <c r="I109" s="19"/>
      <c r="J109" s="20"/>
      <c r="K109" s="19"/>
      <c r="L109" s="19"/>
      <c r="M109" s="19"/>
      <c r="N109" s="20"/>
      <c r="O109" s="20"/>
      <c r="P109" s="20"/>
      <c r="Q109" s="20"/>
      <c r="R109" s="20"/>
      <c r="S109" s="20"/>
      <c r="T109" s="708"/>
      <c r="U109" s="708"/>
    </row>
    <row r="110" ht="13.8" spans="1:21">
      <c r="A110" s="19"/>
      <c r="B110" s="20"/>
      <c r="C110" s="20"/>
      <c r="D110" s="19"/>
      <c r="E110" s="19"/>
      <c r="F110" s="19"/>
      <c r="G110" s="19"/>
      <c r="H110" s="19"/>
      <c r="I110" s="19"/>
      <c r="J110" s="20"/>
      <c r="K110" s="19"/>
      <c r="L110" s="19"/>
      <c r="M110" s="19"/>
      <c r="N110" s="20"/>
      <c r="O110" s="20"/>
      <c r="P110" s="20"/>
      <c r="Q110" s="20"/>
      <c r="R110" s="20"/>
      <c r="S110" s="20"/>
      <c r="T110" s="708"/>
      <c r="U110" s="708"/>
    </row>
    <row r="111" ht="13.8" spans="1:21">
      <c r="A111" s="19"/>
      <c r="B111" s="47"/>
      <c r="C111" s="20"/>
      <c r="D111" s="19"/>
      <c r="E111" s="19"/>
      <c r="F111" s="19"/>
      <c r="G111" s="19"/>
      <c r="H111" s="19"/>
      <c r="I111" s="19"/>
      <c r="J111" s="20"/>
      <c r="K111" s="19"/>
      <c r="L111" s="19"/>
      <c r="M111" s="19"/>
      <c r="N111" s="20"/>
      <c r="O111" s="20"/>
      <c r="P111" s="20"/>
      <c r="Q111" s="20"/>
      <c r="R111" s="20"/>
      <c r="S111" s="20"/>
      <c r="T111" s="708"/>
      <c r="U111" s="708"/>
    </row>
    <row r="112" ht="13.8" spans="1:21">
      <c r="A112" s="705" t="s">
        <v>6036</v>
      </c>
      <c r="B112" s="271"/>
      <c r="C112" s="272"/>
      <c r="D112" s="26">
        <f>SUM(D113:D191)</f>
        <v>73</v>
      </c>
      <c r="E112" s="30"/>
      <c r="F112" s="30"/>
      <c r="G112" s="30"/>
      <c r="H112" s="30"/>
      <c r="I112" s="30"/>
      <c r="J112" s="29"/>
      <c r="K112" s="30"/>
      <c r="L112" s="30"/>
      <c r="M112" s="30"/>
      <c r="N112" s="29"/>
      <c r="O112" s="29"/>
      <c r="P112" s="29"/>
      <c r="Q112" s="29"/>
      <c r="R112" s="29"/>
      <c r="S112" s="29"/>
      <c r="T112" s="706"/>
      <c r="U112" s="706"/>
    </row>
    <row r="113" ht="13.8" spans="1:21">
      <c r="A113" s="19"/>
      <c r="B113" s="712" t="s">
        <v>6037</v>
      </c>
      <c r="C113" s="20" t="str">
        <f>IFERROR(VLOOKUP(J113,'03. THIẾT BỊ'!$B$1:$U$836,5,0),"")</f>
        <v>Máy kéo chuối (Xăng)</v>
      </c>
      <c r="D113" s="19">
        <v>1</v>
      </c>
      <c r="E113" s="19"/>
      <c r="F113" s="19" t="s">
        <v>5978</v>
      </c>
      <c r="G113" s="19"/>
      <c r="H113" s="19">
        <f>IFERROR(VLOOKUP(J113,'03. THIẾT BỊ'!$B$1:$U$836,19,0),"")</f>
        <v>0.56</v>
      </c>
      <c r="I113" s="19" t="str">
        <f>IFERROR(VLOOKUP(J113,'03. THIẾT BỊ'!$B$1:$U$836,20,0),"")</f>
        <v>400 buồng/8h</v>
      </c>
      <c r="J113" s="20" t="s">
        <v>4313</v>
      </c>
      <c r="K113" s="19"/>
      <c r="L113" s="19" t="s">
        <v>5978</v>
      </c>
      <c r="M113" s="19"/>
      <c r="N113" s="19" t="str">
        <f>IFERROR(VLOOKUP(J113,'03. THIẾT BỊ'!$B$1:$U$836,4,0),"")</f>
        <v>ĐQSD</v>
      </c>
      <c r="O113" s="19" t="str">
        <f>IFERROR(VLOOKUP(J113,'03. THIẾT BỊ'!$B$1:$U$836,7,0),"")</f>
        <v>XN Chuối DP1</v>
      </c>
      <c r="P113" s="353" t="str">
        <f>IFERROR(VLOOKUP(O113,'NS QUẢN LÝ CG'!$A$4:$D$36,2,0),"")</f>
        <v/>
      </c>
      <c r="Q113" s="353" t="str">
        <f>IFERROR(VLOOKUP(O113,'NS QUẢN LÝ CG'!$A$4:$D$36,4,0),"")</f>
        <v/>
      </c>
      <c r="R113" s="353" t="str">
        <f>IFERROR(VLOOKUP(O113,'NS QUẢN LÝ CG'!$A$4:$C$36,3,0),"")</f>
        <v/>
      </c>
      <c r="S113" s="20" t="str">
        <f>IFERROR(VLOOKUP(J113,'03. THIẾT BỊ'!$B$1:$S$836,3,0),"")</f>
        <v>A23-MKC-004</v>
      </c>
      <c r="T113" s="708" t="str">
        <f t="shared" ref="T113:T184" si="2">_xlfn.SWITCH(LEFT(S113,3),"A22","ADM","A23","DP","A24","LP","")</f>
        <v>DP</v>
      </c>
      <c r="U113" s="708"/>
    </row>
    <row r="114" ht="13.8" spans="1:21">
      <c r="A114" s="19"/>
      <c r="B114" s="275"/>
      <c r="C114" s="20" t="str">
        <f>IFERROR(VLOOKUP(J114,'03. THIẾT BỊ'!$B$1:$U$836,5,0),"")</f>
        <v>Máy kéo chuối (Xăng)</v>
      </c>
      <c r="D114" s="19">
        <v>1</v>
      </c>
      <c r="E114" s="19"/>
      <c r="F114" s="19" t="s">
        <v>5978</v>
      </c>
      <c r="G114" s="19"/>
      <c r="H114" s="19">
        <f>IFERROR(VLOOKUP(J114,'03. THIẾT BỊ'!$B$1:$U$836,19,0),"")</f>
        <v>0.56</v>
      </c>
      <c r="I114" s="19" t="str">
        <f>IFERROR(VLOOKUP(J114,'03. THIẾT BỊ'!$B$1:$U$836,20,0),"")</f>
        <v>400 buồng/8h</v>
      </c>
      <c r="J114" s="20" t="s">
        <v>4319</v>
      </c>
      <c r="K114" s="19"/>
      <c r="L114" s="19" t="s">
        <v>5978</v>
      </c>
      <c r="M114" s="19"/>
      <c r="N114" s="19" t="str">
        <f>IFERROR(VLOOKUP(J114,'03. THIẾT BỊ'!$B$1:$U$836,4,0),"")</f>
        <v>ĐQSD</v>
      </c>
      <c r="O114" s="19" t="str">
        <f>IFERROR(VLOOKUP(J114,'03. THIẾT BỊ'!$B$1:$U$836,7,0),"")</f>
        <v>XN Chuối DP1</v>
      </c>
      <c r="P114" s="353" t="str">
        <f>IFERROR(VLOOKUP(O114,'NS QUẢN LÝ CG'!$A$4:$D$36,2,0),"")</f>
        <v/>
      </c>
      <c r="Q114" s="353" t="str">
        <f>IFERROR(VLOOKUP(O114,'NS QUẢN LÝ CG'!$A$4:$D$36,4,0),"")</f>
        <v/>
      </c>
      <c r="R114" s="353" t="str">
        <f>IFERROR(VLOOKUP(O114,'NS QUẢN LÝ CG'!$A$4:$C$36,3,0),"")</f>
        <v/>
      </c>
      <c r="S114" s="20" t="str">
        <f>IFERROR(VLOOKUP(J114,'03. THIẾT BỊ'!$B$1:$S$836,3,0),"")</f>
        <v>A23-MKC-005</v>
      </c>
      <c r="T114" s="708" t="str">
        <f t="shared" si="2"/>
        <v>DP</v>
      </c>
      <c r="U114" s="708"/>
    </row>
    <row r="115" ht="13.8" spans="1:21">
      <c r="A115" s="19"/>
      <c r="B115" s="275"/>
      <c r="C115" s="20" t="str">
        <f>IFERROR(VLOOKUP(J115,'03. THIẾT BỊ'!$B$1:$U$836,5,0),"")</f>
        <v>Máy kéo chuối (Xăng)</v>
      </c>
      <c r="D115" s="19">
        <v>1</v>
      </c>
      <c r="E115" s="19"/>
      <c r="F115" s="19" t="s">
        <v>5978</v>
      </c>
      <c r="G115" s="19"/>
      <c r="H115" s="19">
        <f>IFERROR(VLOOKUP(J115,'03. THIẾT BỊ'!$B$1:$U$836,19,0),"")</f>
        <v>0.56</v>
      </c>
      <c r="I115" s="19" t="str">
        <f>IFERROR(VLOOKUP(J115,'03. THIẾT BỊ'!$B$1:$U$836,20,0),"")</f>
        <v>400 buồng/8h</v>
      </c>
      <c r="J115" s="20" t="s">
        <v>4321</v>
      </c>
      <c r="K115" s="19"/>
      <c r="L115" s="19" t="s">
        <v>5978</v>
      </c>
      <c r="M115" s="19"/>
      <c r="N115" s="19" t="str">
        <f>IFERROR(VLOOKUP(J115,'03. THIẾT BỊ'!$B$1:$U$836,4,0),"")</f>
        <v>ĐQSD</v>
      </c>
      <c r="O115" s="19" t="str">
        <f>IFERROR(VLOOKUP(J115,'03. THIẾT BỊ'!$B$1:$U$836,7,0),"")</f>
        <v>XN Chuối DP1</v>
      </c>
      <c r="P115" s="353" t="str">
        <f>IFERROR(VLOOKUP(O115,'NS QUẢN LÝ CG'!$A$4:$D$36,2,0),"")</f>
        <v/>
      </c>
      <c r="Q115" s="353" t="str">
        <f>IFERROR(VLOOKUP(O115,'NS QUẢN LÝ CG'!$A$4:$D$36,4,0),"")</f>
        <v/>
      </c>
      <c r="R115" s="353" t="str">
        <f>IFERROR(VLOOKUP(O115,'NS QUẢN LÝ CG'!$A$4:$C$36,3,0),"")</f>
        <v/>
      </c>
      <c r="S115" s="20" t="str">
        <f>IFERROR(VLOOKUP(J115,'03. THIẾT BỊ'!$B$1:$S$836,3,0),"")</f>
        <v>A23-MKC-007</v>
      </c>
      <c r="T115" s="708" t="str">
        <f t="shared" si="2"/>
        <v>DP</v>
      </c>
      <c r="U115" s="708"/>
    </row>
    <row r="116" ht="13.8" spans="1:21">
      <c r="A116" s="19"/>
      <c r="B116" s="275"/>
      <c r="C116" s="20" t="str">
        <f>IFERROR(VLOOKUP(J116,'03. THIẾT BỊ'!$B$1:$U$836,5,0),"")</f>
        <v>Máy kéo chuối (Xăng)</v>
      </c>
      <c r="D116" s="19">
        <v>1</v>
      </c>
      <c r="E116" s="19"/>
      <c r="F116" s="19" t="s">
        <v>5978</v>
      </c>
      <c r="G116" s="19"/>
      <c r="H116" s="19">
        <f>IFERROR(VLOOKUP(J116,'03. THIẾT BỊ'!$B$1:$U$836,19,0),"")</f>
        <v>0.56</v>
      </c>
      <c r="I116" s="19" t="str">
        <f>IFERROR(VLOOKUP(J116,'03. THIẾT BỊ'!$B$1:$U$836,20,0),"")</f>
        <v>400 buồng/8h</v>
      </c>
      <c r="J116" s="20" t="s">
        <v>4325</v>
      </c>
      <c r="K116" s="19"/>
      <c r="L116" s="19" t="s">
        <v>5978</v>
      </c>
      <c r="M116" s="19"/>
      <c r="N116" s="19" t="str">
        <f>IFERROR(VLOOKUP(J116,'03. THIẾT BỊ'!$B$1:$U$836,4,0),"")</f>
        <v>ĐQSD</v>
      </c>
      <c r="O116" s="19" t="str">
        <f>IFERROR(VLOOKUP(J116,'03. THIẾT BỊ'!$B$1:$U$836,7,0),"")</f>
        <v>XN Chuối DP1</v>
      </c>
      <c r="P116" s="353" t="str">
        <f>IFERROR(VLOOKUP(O116,'NS QUẢN LÝ CG'!$A$4:$D$36,2,0),"")</f>
        <v/>
      </c>
      <c r="Q116" s="353" t="str">
        <f>IFERROR(VLOOKUP(O116,'NS QUẢN LÝ CG'!$A$4:$D$36,4,0),"")</f>
        <v/>
      </c>
      <c r="R116" s="353" t="str">
        <f>IFERROR(VLOOKUP(O116,'NS QUẢN LÝ CG'!$A$4:$C$36,3,0),"")</f>
        <v/>
      </c>
      <c r="S116" s="20" t="str">
        <f>IFERROR(VLOOKUP(J116,'03. THIẾT BỊ'!$B$1:$S$836,3,0),"")</f>
        <v>A23-MKC-008</v>
      </c>
      <c r="T116" s="708" t="str">
        <f t="shared" si="2"/>
        <v>DP</v>
      </c>
      <c r="U116" s="708"/>
    </row>
    <row r="117" ht="13.8" spans="1:21">
      <c r="A117" s="19"/>
      <c r="B117" s="275"/>
      <c r="C117" s="20" t="str">
        <f>IFERROR(VLOOKUP(J117,'03. THIẾT BỊ'!$B$1:$U$836,5,0),"")</f>
        <v>Máy kéo chuối (Xăng)</v>
      </c>
      <c r="D117" s="19">
        <v>1</v>
      </c>
      <c r="E117" s="19"/>
      <c r="F117" s="19" t="s">
        <v>5978</v>
      </c>
      <c r="G117" s="19"/>
      <c r="H117" s="19">
        <f>IFERROR(VLOOKUP(J117,'03. THIẾT BỊ'!$B$1:$U$836,19,0),"")</f>
        <v>0.56</v>
      </c>
      <c r="I117" s="19" t="str">
        <f>IFERROR(VLOOKUP(J117,'03. THIẾT BỊ'!$B$1:$U$836,20,0),"")</f>
        <v>400 buồng/8h</v>
      </c>
      <c r="J117" s="20" t="s">
        <v>4328</v>
      </c>
      <c r="K117" s="19" t="s">
        <v>5978</v>
      </c>
      <c r="L117" s="19"/>
      <c r="M117" s="19"/>
      <c r="N117" s="19" t="str">
        <f>IFERROR(VLOOKUP(J117,'03. THIẾT BỊ'!$B$1:$U$836,4,0),"")</f>
        <v>ĐQSD</v>
      </c>
      <c r="O117" s="19" t="str">
        <f>IFERROR(VLOOKUP(J117,'03. THIẾT BỊ'!$B$1:$U$836,7,0),"")</f>
        <v>XN Chuối DP1</v>
      </c>
      <c r="P117" s="353" t="str">
        <f>IFERROR(VLOOKUP(O117,'NS QUẢN LÝ CG'!$A$4:$D$36,2,0),"")</f>
        <v/>
      </c>
      <c r="Q117" s="353" t="str">
        <f>IFERROR(VLOOKUP(O117,'NS QUẢN LÝ CG'!$A$4:$D$36,4,0),"")</f>
        <v/>
      </c>
      <c r="R117" s="353" t="str">
        <f>IFERROR(VLOOKUP(O117,'NS QUẢN LÝ CG'!$A$4:$C$36,3,0),"")</f>
        <v/>
      </c>
      <c r="S117" s="20" t="str">
        <f>IFERROR(VLOOKUP(J117,'03. THIẾT BỊ'!$B$1:$S$836,3,0),"")</f>
        <v>A23-MKC-014</v>
      </c>
      <c r="T117" s="708" t="str">
        <f t="shared" si="2"/>
        <v>DP</v>
      </c>
      <c r="U117" s="708"/>
    </row>
    <row r="118" ht="13.8" spans="1:21">
      <c r="A118" s="19"/>
      <c r="B118" s="275"/>
      <c r="C118" s="20" t="str">
        <f>IFERROR(VLOOKUP(J118,'03. THIẾT BỊ'!$B$1:$U$836,5,0),"")</f>
        <v>Máy kéo chuối (Xăng)</v>
      </c>
      <c r="D118" s="19">
        <v>1</v>
      </c>
      <c r="E118" s="19"/>
      <c r="F118" s="19" t="s">
        <v>5978</v>
      </c>
      <c r="G118" s="19"/>
      <c r="H118" s="19">
        <f>IFERROR(VLOOKUP(J118,'03. THIẾT BỊ'!$B$1:$U$836,19,0),"")</f>
        <v>0.56</v>
      </c>
      <c r="I118" s="19" t="str">
        <f>IFERROR(VLOOKUP(J118,'03. THIẾT BỊ'!$B$1:$U$836,20,0),"")</f>
        <v>400 buồng/8h</v>
      </c>
      <c r="J118" s="20" t="s">
        <v>4331</v>
      </c>
      <c r="K118" s="19" t="s">
        <v>5978</v>
      </c>
      <c r="L118" s="19"/>
      <c r="M118" s="19"/>
      <c r="N118" s="19" t="str">
        <f>IFERROR(VLOOKUP(J118,'03. THIẾT BỊ'!$B$1:$U$836,4,0),"")</f>
        <v>ĐQSD</v>
      </c>
      <c r="O118" s="19" t="str">
        <f>IFERROR(VLOOKUP(J118,'03. THIẾT BỊ'!$B$1:$U$836,7,0),"")</f>
        <v>XN Chuối DP1</v>
      </c>
      <c r="P118" s="353" t="str">
        <f>IFERROR(VLOOKUP(O118,'NS QUẢN LÝ CG'!$A$4:$D$36,2,0),"")</f>
        <v/>
      </c>
      <c r="Q118" s="353" t="str">
        <f>IFERROR(VLOOKUP(O118,'NS QUẢN LÝ CG'!$A$4:$D$36,4,0),"")</f>
        <v/>
      </c>
      <c r="R118" s="353" t="str">
        <f>IFERROR(VLOOKUP(O118,'NS QUẢN LÝ CG'!$A$4:$C$36,3,0),"")</f>
        <v/>
      </c>
      <c r="S118" s="20" t="str">
        <f>IFERROR(VLOOKUP(J118,'03. THIẾT BỊ'!$B$1:$S$836,3,0),"")</f>
        <v>A23-MKC-015</v>
      </c>
      <c r="T118" s="708" t="str">
        <f t="shared" si="2"/>
        <v>DP</v>
      </c>
      <c r="U118" s="708"/>
    </row>
    <row r="119" ht="13.8" spans="1:21">
      <c r="A119" s="19"/>
      <c r="B119" s="275"/>
      <c r="C119" s="20" t="str">
        <f>IFERROR(VLOOKUP(J119,'03. THIẾT BỊ'!$B$1:$U$836,5,0),"")</f>
        <v>Máy kéo chuối (Xăng)</v>
      </c>
      <c r="D119" s="19">
        <v>1</v>
      </c>
      <c r="E119" s="19"/>
      <c r="F119" s="19" t="s">
        <v>5978</v>
      </c>
      <c r="G119" s="19"/>
      <c r="H119" s="19">
        <f>IFERROR(VLOOKUP(J119,'03. THIẾT BỊ'!$B$1:$U$836,19,0),"")</f>
        <v>0.56</v>
      </c>
      <c r="I119" s="19" t="str">
        <f>IFERROR(VLOOKUP(J119,'03. THIẾT BỊ'!$B$1:$U$836,20,0),"")</f>
        <v>400 buồng/8h</v>
      </c>
      <c r="J119" s="20" t="s">
        <v>4334</v>
      </c>
      <c r="K119" s="19" t="s">
        <v>5978</v>
      </c>
      <c r="L119" s="19"/>
      <c r="M119" s="19"/>
      <c r="N119" s="19" t="str">
        <f>IFERROR(VLOOKUP(J119,'03. THIẾT BỊ'!$B$1:$U$836,4,0),"")</f>
        <v>ĐQSD</v>
      </c>
      <c r="O119" s="19" t="str">
        <f>IFERROR(VLOOKUP(J119,'03. THIẾT BỊ'!$B$1:$U$836,7,0),"")</f>
        <v>XN Chuối DP1</v>
      </c>
      <c r="P119" s="353" t="str">
        <f>IFERROR(VLOOKUP(O119,'NS QUẢN LÝ CG'!$A$4:$D$36,2,0),"")</f>
        <v/>
      </c>
      <c r="Q119" s="353" t="str">
        <f>IFERROR(VLOOKUP(O119,'NS QUẢN LÝ CG'!$A$4:$D$36,4,0),"")</f>
        <v/>
      </c>
      <c r="R119" s="353" t="str">
        <f>IFERROR(VLOOKUP(O119,'NS QUẢN LÝ CG'!$A$4:$C$36,3,0),"")</f>
        <v/>
      </c>
      <c r="S119" s="20" t="str">
        <f>IFERROR(VLOOKUP(J119,'03. THIẾT BỊ'!$B$1:$S$836,3,0),"")</f>
        <v>A23-MKC-018</v>
      </c>
      <c r="T119" s="708" t="str">
        <f t="shared" si="2"/>
        <v>DP</v>
      </c>
      <c r="U119" s="708"/>
    </row>
    <row r="120" ht="13.8" spans="1:21">
      <c r="A120" s="19"/>
      <c r="B120" s="275"/>
      <c r="C120" s="20" t="str">
        <f>IFERROR(VLOOKUP(J120,'03. THIẾT BỊ'!$B$1:$U$836,5,0),"")</f>
        <v>Máy kéo chuối (Xăng)</v>
      </c>
      <c r="D120" s="19">
        <v>1</v>
      </c>
      <c r="E120" s="19"/>
      <c r="F120" s="19" t="s">
        <v>5978</v>
      </c>
      <c r="G120" s="19"/>
      <c r="H120" s="19">
        <f>IFERROR(VLOOKUP(J120,'03. THIẾT BỊ'!$B$1:$U$836,19,0),"")</f>
        <v>0.56</v>
      </c>
      <c r="I120" s="19" t="str">
        <f>IFERROR(VLOOKUP(J120,'03. THIẾT BỊ'!$B$1:$U$836,20,0),"")</f>
        <v>400 buồng/8h</v>
      </c>
      <c r="J120" s="20" t="s">
        <v>4336</v>
      </c>
      <c r="K120" s="19" t="s">
        <v>5978</v>
      </c>
      <c r="L120" s="19"/>
      <c r="M120" s="19"/>
      <c r="N120" s="19" t="str">
        <f>IFERROR(VLOOKUP(J120,'03. THIẾT BỊ'!$B$1:$U$836,4,0),"")</f>
        <v>ĐQSD</v>
      </c>
      <c r="O120" s="19" t="str">
        <f>IFERROR(VLOOKUP(J120,'03. THIẾT BỊ'!$B$1:$U$836,7,0),"")</f>
        <v>XN Chuối DP1</v>
      </c>
      <c r="P120" s="353" t="str">
        <f>IFERROR(VLOOKUP(O120,'NS QUẢN LÝ CG'!$A$4:$D$36,2,0),"")</f>
        <v/>
      </c>
      <c r="Q120" s="353" t="str">
        <f>IFERROR(VLOOKUP(O120,'NS QUẢN LÝ CG'!$A$4:$D$36,4,0),"")</f>
        <v/>
      </c>
      <c r="R120" s="353" t="str">
        <f>IFERROR(VLOOKUP(O120,'NS QUẢN LÝ CG'!$A$4:$C$36,3,0),"")</f>
        <v/>
      </c>
      <c r="S120" s="20" t="str">
        <f>IFERROR(VLOOKUP(J120,'03. THIẾT BỊ'!$B$1:$S$836,3,0),"")</f>
        <v>A23-MKC-019</v>
      </c>
      <c r="T120" s="708" t="str">
        <f t="shared" si="2"/>
        <v>DP</v>
      </c>
      <c r="U120" s="708"/>
    </row>
    <row r="121" ht="13.8" spans="1:21">
      <c r="A121" s="19"/>
      <c r="B121" s="275"/>
      <c r="C121" s="20" t="str">
        <f>IFERROR(VLOOKUP(J121,'03. THIẾT BỊ'!$B$1:$U$836,5,0),"")</f>
        <v>Máy kéo chuối (Xăng)</v>
      </c>
      <c r="D121" s="19">
        <v>1</v>
      </c>
      <c r="E121" s="19"/>
      <c r="F121" s="19" t="s">
        <v>5978</v>
      </c>
      <c r="G121" s="19"/>
      <c r="H121" s="19">
        <f>IFERROR(VLOOKUP(J121,'03. THIẾT BỊ'!$B$1:$U$836,19,0),"")</f>
        <v>0.56</v>
      </c>
      <c r="I121" s="19" t="str">
        <f>IFERROR(VLOOKUP(J121,'03. THIẾT BỊ'!$B$1:$U$836,20,0),"")</f>
        <v>400 buồng/8h</v>
      </c>
      <c r="J121" s="20" t="s">
        <v>4341</v>
      </c>
      <c r="K121" s="19" t="s">
        <v>5978</v>
      </c>
      <c r="L121" s="19"/>
      <c r="M121" s="19"/>
      <c r="N121" s="19" t="str">
        <f>IFERROR(VLOOKUP(J121,'03. THIẾT BỊ'!$B$1:$U$836,4,0),"")</f>
        <v>ĐQSD</v>
      </c>
      <c r="O121" s="19" t="str">
        <f>IFERROR(VLOOKUP(J121,'03. THIẾT BỊ'!$B$1:$U$836,7,0),"")</f>
        <v>XN Chuối DP1</v>
      </c>
      <c r="P121" s="353" t="str">
        <f>IFERROR(VLOOKUP(O121,'NS QUẢN LÝ CG'!$A$4:$D$36,2,0),"")</f>
        <v/>
      </c>
      <c r="Q121" s="353" t="str">
        <f>IFERROR(VLOOKUP(O121,'NS QUẢN LÝ CG'!$A$4:$D$36,4,0),"")</f>
        <v/>
      </c>
      <c r="R121" s="353" t="str">
        <f>IFERROR(VLOOKUP(O121,'NS QUẢN LÝ CG'!$A$4:$C$36,3,0),"")</f>
        <v/>
      </c>
      <c r="S121" s="20" t="str">
        <f>IFERROR(VLOOKUP(J121,'03. THIẾT BỊ'!$B$1:$S$836,3,0),"")</f>
        <v>A23-MKC-022</v>
      </c>
      <c r="T121" s="708" t="str">
        <f t="shared" si="2"/>
        <v>DP</v>
      </c>
      <c r="U121" s="708"/>
    </row>
    <row r="122" ht="13.8" spans="1:21">
      <c r="A122" s="19"/>
      <c r="B122" s="275"/>
      <c r="C122" s="20" t="str">
        <f>IFERROR(VLOOKUP(J122,'03. THIẾT BỊ'!$B$1:$U$836,5,0),"")</f>
        <v>Máy kéo chuối (Xăng)</v>
      </c>
      <c r="D122" s="19">
        <v>1</v>
      </c>
      <c r="E122" s="19"/>
      <c r="F122" s="19" t="s">
        <v>5978</v>
      </c>
      <c r="G122" s="19"/>
      <c r="H122" s="19">
        <f>IFERROR(VLOOKUP(J122,'03. THIẾT BỊ'!$B$1:$U$836,19,0),"")</f>
        <v>0.56</v>
      </c>
      <c r="I122" s="19" t="str">
        <f>IFERROR(VLOOKUP(J122,'03. THIẾT BỊ'!$B$1:$U$836,20,0),"")</f>
        <v>400 buồng/8h</v>
      </c>
      <c r="J122" s="20" t="s">
        <v>4344</v>
      </c>
      <c r="K122" s="19" t="s">
        <v>5978</v>
      </c>
      <c r="L122" s="19"/>
      <c r="M122" s="19"/>
      <c r="N122" s="19" t="str">
        <f>IFERROR(VLOOKUP(J122,'03. THIẾT BỊ'!$B$1:$U$836,4,0),"")</f>
        <v>ĐQSD</v>
      </c>
      <c r="O122" s="19" t="str">
        <f>IFERROR(VLOOKUP(J122,'03. THIẾT BỊ'!$B$1:$U$836,7,0),"")</f>
        <v>XN Chuối DP1</v>
      </c>
      <c r="P122" s="353" t="str">
        <f>IFERROR(VLOOKUP(O122,'NS QUẢN LÝ CG'!$A$4:$D$36,2,0),"")</f>
        <v/>
      </c>
      <c r="Q122" s="353" t="str">
        <f>IFERROR(VLOOKUP(O122,'NS QUẢN LÝ CG'!$A$4:$D$36,4,0),"")</f>
        <v/>
      </c>
      <c r="R122" s="353" t="str">
        <f>IFERROR(VLOOKUP(O122,'NS QUẢN LÝ CG'!$A$4:$C$36,3,0),"")</f>
        <v/>
      </c>
      <c r="S122" s="20" t="str">
        <f>IFERROR(VLOOKUP(J122,'03. THIẾT BỊ'!$B$1:$S$836,3,0),"")</f>
        <v>A23-MKC-026</v>
      </c>
      <c r="T122" s="708" t="str">
        <f t="shared" si="2"/>
        <v>DP</v>
      </c>
      <c r="U122" s="708"/>
    </row>
    <row r="123" ht="13.8" spans="1:21">
      <c r="A123" s="19"/>
      <c r="B123" s="275"/>
      <c r="C123" s="20" t="str">
        <f>IFERROR(VLOOKUP(J123,'03. THIẾT BỊ'!$B$1:$U$836,5,0),"")</f>
        <v>Máy kéo chuối (Xăng)</v>
      </c>
      <c r="D123" s="19">
        <v>1</v>
      </c>
      <c r="E123" s="19"/>
      <c r="F123" s="19" t="s">
        <v>5978</v>
      </c>
      <c r="G123" s="19"/>
      <c r="H123" s="19">
        <f>IFERROR(VLOOKUP(J123,'03. THIẾT BỊ'!$B$1:$U$836,19,0),"")</f>
        <v>0.56</v>
      </c>
      <c r="I123" s="19" t="str">
        <f>IFERROR(VLOOKUP(J123,'03. THIẾT BỊ'!$B$1:$U$836,20,0),"")</f>
        <v>400 buồng/8h</v>
      </c>
      <c r="J123" s="20" t="s">
        <v>4348</v>
      </c>
      <c r="K123" s="19" t="s">
        <v>5978</v>
      </c>
      <c r="L123" s="19"/>
      <c r="M123" s="19"/>
      <c r="N123" s="19" t="str">
        <f>IFERROR(VLOOKUP(J123,'03. THIẾT BỊ'!$B$1:$U$836,4,0),"")</f>
        <v>ĐQSD</v>
      </c>
      <c r="O123" s="19" t="str">
        <f>IFERROR(VLOOKUP(J123,'03. THIẾT BỊ'!$B$1:$U$836,7,0),"")</f>
        <v>XN Chuối DP1</v>
      </c>
      <c r="P123" s="353" t="str">
        <f>IFERROR(VLOOKUP(O123,'NS QUẢN LÝ CG'!$A$4:$D$36,2,0),"")</f>
        <v/>
      </c>
      <c r="Q123" s="353" t="str">
        <f>IFERROR(VLOOKUP(O123,'NS QUẢN LÝ CG'!$A$4:$D$36,4,0),"")</f>
        <v/>
      </c>
      <c r="R123" s="353" t="str">
        <f>IFERROR(VLOOKUP(O123,'NS QUẢN LÝ CG'!$A$4:$C$36,3,0),"")</f>
        <v/>
      </c>
      <c r="S123" s="20" t="str">
        <f>IFERROR(VLOOKUP(J123,'03. THIẾT BỊ'!$B$1:$S$836,3,0),"")</f>
        <v>A23-MKC-028</v>
      </c>
      <c r="T123" s="708" t="str">
        <f t="shared" si="2"/>
        <v>DP</v>
      </c>
      <c r="U123" s="708"/>
    </row>
    <row r="124" ht="13.8" spans="1:21">
      <c r="A124" s="19"/>
      <c r="B124" s="275"/>
      <c r="C124" s="20" t="str">
        <f>IFERROR(VLOOKUP(J124,'03. THIẾT BỊ'!$B$1:$U$836,5,0),"")</f>
        <v>Máy kéo chuối (Xăng)</v>
      </c>
      <c r="D124" s="19">
        <v>1</v>
      </c>
      <c r="E124" s="19"/>
      <c r="F124" s="19" t="s">
        <v>5978</v>
      </c>
      <c r="G124" s="19"/>
      <c r="H124" s="19">
        <f>IFERROR(VLOOKUP(J124,'03. THIẾT BỊ'!$B$1:$U$836,19,0),"")</f>
        <v>0.56</v>
      </c>
      <c r="I124" s="19" t="str">
        <f>IFERROR(VLOOKUP(J124,'03. THIẾT BỊ'!$B$1:$U$836,20,0),"")</f>
        <v>400 buồng/8h</v>
      </c>
      <c r="J124" s="20" t="s">
        <v>4352</v>
      </c>
      <c r="K124" s="19"/>
      <c r="L124" s="19" t="s">
        <v>5978</v>
      </c>
      <c r="M124" s="19"/>
      <c r="N124" s="19" t="str">
        <f>IFERROR(VLOOKUP(J124,'03. THIẾT BỊ'!$B$1:$U$836,4,0),"")</f>
        <v>ĐQSD</v>
      </c>
      <c r="O124" s="19" t="str">
        <f>IFERROR(VLOOKUP(J124,'03. THIẾT BỊ'!$B$1:$U$836,7,0),"")</f>
        <v>XN Chuối DP1</v>
      </c>
      <c r="P124" s="353" t="str">
        <f>IFERROR(VLOOKUP(O124,'NS QUẢN LÝ CG'!$A$4:$D$36,2,0),"")</f>
        <v/>
      </c>
      <c r="Q124" s="353" t="str">
        <f>IFERROR(VLOOKUP(O124,'NS QUẢN LÝ CG'!$A$4:$D$36,4,0),"")</f>
        <v/>
      </c>
      <c r="R124" s="353" t="str">
        <f>IFERROR(VLOOKUP(O124,'NS QUẢN LÝ CG'!$A$4:$C$36,3,0),"")</f>
        <v/>
      </c>
      <c r="S124" s="20" t="str">
        <f>IFERROR(VLOOKUP(J124,'03. THIẾT BỊ'!$B$1:$S$836,3,0),"")</f>
        <v>A23-MKC-030</v>
      </c>
      <c r="T124" s="708" t="str">
        <f t="shared" si="2"/>
        <v>DP</v>
      </c>
      <c r="U124" s="708"/>
    </row>
    <row r="125" ht="13.8" spans="1:21">
      <c r="A125" s="19"/>
      <c r="B125" s="275"/>
      <c r="C125" s="20" t="str">
        <f>IFERROR(VLOOKUP(J125,'03. THIẾT BỊ'!$B$1:$U$836,5,0),"")</f>
        <v>Máy kéo chuối (Xăng)</v>
      </c>
      <c r="D125" s="19">
        <v>1</v>
      </c>
      <c r="E125" s="19"/>
      <c r="F125" s="19" t="s">
        <v>5978</v>
      </c>
      <c r="G125" s="19"/>
      <c r="H125" s="19">
        <f>IFERROR(VLOOKUP(J125,'03. THIẾT BỊ'!$B$1:$U$836,19,0),"")</f>
        <v>0.56</v>
      </c>
      <c r="I125" s="19" t="str">
        <f>IFERROR(VLOOKUP(J125,'03. THIẾT BỊ'!$B$1:$U$836,20,0),"")</f>
        <v>400 buồng/8h</v>
      </c>
      <c r="J125" s="20" t="s">
        <v>4356</v>
      </c>
      <c r="K125" s="19"/>
      <c r="L125" s="19" t="s">
        <v>5978</v>
      </c>
      <c r="M125" s="19"/>
      <c r="N125" s="19" t="str">
        <f>IFERROR(VLOOKUP(J125,'03. THIẾT BỊ'!$B$1:$U$836,4,0),"")</f>
        <v>ĐQSD</v>
      </c>
      <c r="O125" s="19" t="str">
        <f>IFERROR(VLOOKUP(J125,'03. THIẾT BỊ'!$B$1:$U$836,7,0),"")</f>
        <v>XN Chuối DP1</v>
      </c>
      <c r="P125" s="353" t="str">
        <f>IFERROR(VLOOKUP(O125,'NS QUẢN LÝ CG'!$A$4:$D$36,2,0),"")</f>
        <v/>
      </c>
      <c r="Q125" s="353" t="str">
        <f>IFERROR(VLOOKUP(O125,'NS QUẢN LÝ CG'!$A$4:$D$36,4,0),"")</f>
        <v/>
      </c>
      <c r="R125" s="353" t="str">
        <f>IFERROR(VLOOKUP(O125,'NS QUẢN LÝ CG'!$A$4:$C$36,3,0),"")</f>
        <v/>
      </c>
      <c r="S125" s="20" t="str">
        <f>IFERROR(VLOOKUP(J125,'03. THIẾT BỊ'!$B$1:$S$836,3,0),"")</f>
        <v>A23-MKC-034</v>
      </c>
      <c r="T125" s="708" t="str">
        <f t="shared" si="2"/>
        <v>DP</v>
      </c>
      <c r="U125" s="708"/>
    </row>
    <row r="126" ht="13.8" spans="1:21">
      <c r="A126" s="19"/>
      <c r="B126" s="275"/>
      <c r="C126" s="20" t="str">
        <f>IFERROR(VLOOKUP(J126,'03. THIẾT BỊ'!$B$1:$U$836,5,0),"")</f>
        <v>Máy kéo chuối (Xăng)</v>
      </c>
      <c r="D126" s="19">
        <v>1</v>
      </c>
      <c r="E126" s="19"/>
      <c r="F126" s="19" t="s">
        <v>5978</v>
      </c>
      <c r="G126" s="19"/>
      <c r="H126" s="19">
        <f>IFERROR(VLOOKUP(J126,'03. THIẾT BỊ'!$B$1:$U$836,19,0),"")</f>
        <v>0.56</v>
      </c>
      <c r="I126" s="19" t="str">
        <f>IFERROR(VLOOKUP(J126,'03. THIẾT BỊ'!$B$1:$U$836,20,0),"")</f>
        <v>400 buồng/8h</v>
      </c>
      <c r="J126" s="20" t="s">
        <v>4359</v>
      </c>
      <c r="K126" s="19" t="s">
        <v>5978</v>
      </c>
      <c r="L126" s="19"/>
      <c r="M126" s="19"/>
      <c r="N126" s="19" t="str">
        <f>IFERROR(VLOOKUP(J126,'03. THIẾT BỊ'!$B$1:$U$836,4,0),"")</f>
        <v>ĐQSD</v>
      </c>
      <c r="O126" s="19" t="str">
        <f>IFERROR(VLOOKUP(J126,'03. THIẾT BỊ'!$B$1:$U$836,7,0),"")</f>
        <v>XN Chuối DP1</v>
      </c>
      <c r="P126" s="353" t="str">
        <f>IFERROR(VLOOKUP(O126,'NS QUẢN LÝ CG'!$A$4:$D$36,2,0),"")</f>
        <v/>
      </c>
      <c r="Q126" s="353" t="str">
        <f>IFERROR(VLOOKUP(O126,'NS QUẢN LÝ CG'!$A$4:$D$36,4,0),"")</f>
        <v/>
      </c>
      <c r="R126" s="353" t="str">
        <f>IFERROR(VLOOKUP(O126,'NS QUẢN LÝ CG'!$A$4:$C$36,3,0),"")</f>
        <v/>
      </c>
      <c r="S126" s="20" t="str">
        <f>IFERROR(VLOOKUP(J126,'03. THIẾT BỊ'!$B$1:$S$836,3,0),"")</f>
        <v>A23-MKC-040</v>
      </c>
      <c r="T126" s="708" t="str">
        <f t="shared" si="2"/>
        <v>DP</v>
      </c>
      <c r="U126" s="708"/>
    </row>
    <row r="127" ht="13.8" spans="1:21">
      <c r="A127" s="19"/>
      <c r="B127" s="275"/>
      <c r="C127" s="20" t="str">
        <f>IFERROR(VLOOKUP(J127,'03. THIẾT BỊ'!$B$1:$U$836,5,0),"")</f>
        <v>Máy kéo chuối (Xăng)</v>
      </c>
      <c r="D127" s="19">
        <v>1</v>
      </c>
      <c r="E127" s="19"/>
      <c r="F127" s="19" t="s">
        <v>5978</v>
      </c>
      <c r="G127" s="19"/>
      <c r="H127" s="19">
        <f>IFERROR(VLOOKUP(J127,'03. THIẾT BỊ'!$B$1:$U$836,19,0),"")</f>
        <v>0.56</v>
      </c>
      <c r="I127" s="19" t="str">
        <f>IFERROR(VLOOKUP(J127,'03. THIẾT BỊ'!$B$1:$U$836,20,0),"")</f>
        <v>400 buồng/8h</v>
      </c>
      <c r="J127" s="20" t="s">
        <v>4492</v>
      </c>
      <c r="K127" s="19"/>
      <c r="L127" s="19" t="s">
        <v>5978</v>
      </c>
      <c r="M127" s="19"/>
      <c r="N127" s="19" t="str">
        <f>IFERROR(VLOOKUP(J127,'03. THIẾT BỊ'!$B$1:$U$836,4,0),"")</f>
        <v>ĐQSD</v>
      </c>
      <c r="O127" s="19" t="str">
        <f>IFERROR(VLOOKUP(J127,'03. THIẾT BỊ'!$B$1:$U$836,7,0),"")</f>
        <v>XN Chuối DP2</v>
      </c>
      <c r="P127" s="353" t="str">
        <f>IFERROR(VLOOKUP(O127,'NS QUẢN LÝ CG'!$A$4:$D$36,2,0),"")</f>
        <v/>
      </c>
      <c r="Q127" s="353" t="str">
        <f>IFERROR(VLOOKUP(O127,'NS QUẢN LÝ CG'!$A$4:$D$36,4,0),"")</f>
        <v/>
      </c>
      <c r="R127" s="353" t="str">
        <f>IFERROR(VLOOKUP(O127,'NS QUẢN LÝ CG'!$A$4:$C$36,3,0),"")</f>
        <v/>
      </c>
      <c r="S127" s="20" t="str">
        <f>IFERROR(VLOOKUP(J127,'03. THIẾT BỊ'!$B$1:$S$836,3,0),"")</f>
        <v>A23-MKC-001</v>
      </c>
      <c r="T127" s="708" t="str">
        <f t="shared" si="2"/>
        <v>DP</v>
      </c>
      <c r="U127" s="708"/>
    </row>
    <row r="128" ht="13.8" spans="1:21">
      <c r="A128" s="19"/>
      <c r="B128" s="275"/>
      <c r="C128" s="20" t="str">
        <f>IFERROR(VLOOKUP(J128,'03. THIẾT BỊ'!$B$1:$U$836,5,0),"")</f>
        <v>Máy kéo chuối (Xăng)</v>
      </c>
      <c r="D128" s="19">
        <v>1</v>
      </c>
      <c r="E128" s="19"/>
      <c r="F128" s="19" t="s">
        <v>5978</v>
      </c>
      <c r="G128" s="19"/>
      <c r="H128" s="19">
        <f>IFERROR(VLOOKUP(J128,'03. THIẾT BỊ'!$B$1:$U$836,19,0),"")</f>
        <v>0.56</v>
      </c>
      <c r="I128" s="19" t="str">
        <f>IFERROR(VLOOKUP(J128,'03. THIẾT BỊ'!$B$1:$U$836,20,0),"")</f>
        <v>400 buồng/8h</v>
      </c>
      <c r="J128" s="20" t="s">
        <v>4496</v>
      </c>
      <c r="K128" s="19"/>
      <c r="L128" s="19" t="s">
        <v>5978</v>
      </c>
      <c r="M128" s="19"/>
      <c r="N128" s="19" t="str">
        <f>IFERROR(VLOOKUP(J128,'03. THIẾT BỊ'!$B$1:$U$836,4,0),"")</f>
        <v>ĐQSD</v>
      </c>
      <c r="O128" s="19" t="str">
        <f>IFERROR(VLOOKUP(J128,'03. THIẾT BỊ'!$B$1:$U$836,7,0),"")</f>
        <v>XN Chuối DP2</v>
      </c>
      <c r="P128" s="353" t="str">
        <f>IFERROR(VLOOKUP(O128,'NS QUẢN LÝ CG'!$A$4:$D$36,2,0),"")</f>
        <v/>
      </c>
      <c r="Q128" s="353" t="str">
        <f>IFERROR(VLOOKUP(O128,'NS QUẢN LÝ CG'!$A$4:$D$36,4,0),"")</f>
        <v/>
      </c>
      <c r="R128" s="353" t="str">
        <f>IFERROR(VLOOKUP(O128,'NS QUẢN LÝ CG'!$A$4:$C$36,3,0),"")</f>
        <v/>
      </c>
      <c r="S128" s="20" t="str">
        <f>IFERROR(VLOOKUP(J128,'03. THIẾT BỊ'!$B$1:$S$836,3,0),"")</f>
        <v>A23-MKC-003</v>
      </c>
      <c r="T128" s="708" t="str">
        <f t="shared" si="2"/>
        <v>DP</v>
      </c>
      <c r="U128" s="708"/>
    </row>
    <row r="129" ht="13.8" spans="1:21">
      <c r="A129" s="19"/>
      <c r="B129" s="275"/>
      <c r="C129" s="20" t="str">
        <f>IFERROR(VLOOKUP(J129,'03. THIẾT BỊ'!$B$1:$U$836,5,0),"")</f>
        <v>Máy kéo chuối (Xăng)</v>
      </c>
      <c r="D129" s="19">
        <v>1</v>
      </c>
      <c r="E129" s="19"/>
      <c r="F129" s="19" t="s">
        <v>5978</v>
      </c>
      <c r="G129" s="19"/>
      <c r="H129" s="19">
        <f>IFERROR(VLOOKUP(J129,'03. THIẾT BỊ'!$B$1:$U$836,19,0),"")</f>
        <v>0.56</v>
      </c>
      <c r="I129" s="19" t="str">
        <f>IFERROR(VLOOKUP(J129,'03. THIẾT BỊ'!$B$1:$U$836,20,0),"")</f>
        <v>400 buồng/8h</v>
      </c>
      <c r="J129" s="20" t="s">
        <v>4501</v>
      </c>
      <c r="K129" s="19"/>
      <c r="L129" s="19" t="s">
        <v>5978</v>
      </c>
      <c r="M129" s="19"/>
      <c r="N129" s="19" t="str">
        <f>IFERROR(VLOOKUP(J129,'03. THIẾT BỊ'!$B$1:$U$836,4,0),"")</f>
        <v>ĐQSD</v>
      </c>
      <c r="O129" s="19" t="str">
        <f>IFERROR(VLOOKUP(J129,'03. THIẾT BỊ'!$B$1:$U$836,7,0),"")</f>
        <v>XN Chuối DP2</v>
      </c>
      <c r="P129" s="353" t="str">
        <f>IFERROR(VLOOKUP(O129,'NS QUẢN LÝ CG'!$A$4:$D$36,2,0),"")</f>
        <v/>
      </c>
      <c r="Q129" s="353" t="str">
        <f>IFERROR(VLOOKUP(O129,'NS QUẢN LÝ CG'!$A$4:$D$36,4,0),"")</f>
        <v/>
      </c>
      <c r="R129" s="353" t="str">
        <f>IFERROR(VLOOKUP(O129,'NS QUẢN LÝ CG'!$A$4:$C$36,3,0),"")</f>
        <v/>
      </c>
      <c r="S129" s="20" t="str">
        <f>IFERROR(VLOOKUP(J129,'03. THIẾT BỊ'!$B$1:$S$836,3,0),"")</f>
        <v>A23-MKC-009</v>
      </c>
      <c r="T129" s="708" t="str">
        <f t="shared" si="2"/>
        <v>DP</v>
      </c>
      <c r="U129" s="708"/>
    </row>
    <row r="130" ht="13.8" spans="1:21">
      <c r="A130" s="19"/>
      <c r="B130" s="275"/>
      <c r="C130" s="20" t="str">
        <f>IFERROR(VLOOKUP(J130,'03. THIẾT BỊ'!$B$1:$U$836,5,0),"")</f>
        <v>Máy kéo chuối (Xăng)</v>
      </c>
      <c r="D130" s="19">
        <v>1</v>
      </c>
      <c r="E130" s="19"/>
      <c r="F130" s="19" t="s">
        <v>5978</v>
      </c>
      <c r="G130" s="19"/>
      <c r="H130" s="19">
        <f>IFERROR(VLOOKUP(J130,'03. THIẾT BỊ'!$B$1:$U$836,19,0),"")</f>
        <v>0.56</v>
      </c>
      <c r="I130" s="19" t="str">
        <f>IFERROR(VLOOKUP(J130,'03. THIẾT BỊ'!$B$1:$U$836,20,0),"")</f>
        <v>400 buồng/8h</v>
      </c>
      <c r="J130" s="20" t="s">
        <v>4505</v>
      </c>
      <c r="K130" s="19" t="s">
        <v>5978</v>
      </c>
      <c r="L130" s="19"/>
      <c r="M130" s="19"/>
      <c r="N130" s="19" t="str">
        <f>IFERROR(VLOOKUP(J130,'03. THIẾT BỊ'!$B$1:$U$836,4,0),"")</f>
        <v>ĐQSD</v>
      </c>
      <c r="O130" s="19" t="str">
        <f>IFERROR(VLOOKUP(J130,'03. THIẾT BỊ'!$B$1:$U$836,7,0),"")</f>
        <v>XN Chuối DP2</v>
      </c>
      <c r="P130" s="353" t="str">
        <f>IFERROR(VLOOKUP(O130,'NS QUẢN LÝ CG'!$A$4:$D$36,2,0),"")</f>
        <v/>
      </c>
      <c r="Q130" s="353" t="str">
        <f>IFERROR(VLOOKUP(O130,'NS QUẢN LÝ CG'!$A$4:$D$36,4,0),"")</f>
        <v/>
      </c>
      <c r="R130" s="353" t="str">
        <f>IFERROR(VLOOKUP(O130,'NS QUẢN LÝ CG'!$A$4:$C$36,3,0),"")</f>
        <v/>
      </c>
      <c r="S130" s="20" t="str">
        <f>IFERROR(VLOOKUP(J130,'03. THIẾT BỊ'!$B$1:$S$836,3,0),"")</f>
        <v>A23-MKC-010</v>
      </c>
      <c r="T130" s="708" t="str">
        <f t="shared" si="2"/>
        <v>DP</v>
      </c>
      <c r="U130" s="708"/>
    </row>
    <row r="131" ht="13.8" spans="1:21">
      <c r="A131" s="19"/>
      <c r="B131" s="275"/>
      <c r="C131" s="20" t="str">
        <f>IFERROR(VLOOKUP(J131,'03. THIẾT BỊ'!$B$1:$U$836,5,0),"")</f>
        <v>Máy kéo chuối (Xăng)</v>
      </c>
      <c r="D131" s="19">
        <v>1</v>
      </c>
      <c r="E131" s="19"/>
      <c r="F131" s="19" t="s">
        <v>5978</v>
      </c>
      <c r="G131" s="19"/>
      <c r="H131" s="19">
        <f>IFERROR(VLOOKUP(J131,'03. THIẾT BỊ'!$B$1:$U$836,19,0),"")</f>
        <v>0.56</v>
      </c>
      <c r="I131" s="19" t="str">
        <f>IFERROR(VLOOKUP(J131,'03. THIẾT BỊ'!$B$1:$U$836,20,0),"")</f>
        <v>400 buồng/8h</v>
      </c>
      <c r="J131" s="20" t="s">
        <v>4509</v>
      </c>
      <c r="K131" s="19" t="s">
        <v>5978</v>
      </c>
      <c r="L131" s="19"/>
      <c r="M131" s="19"/>
      <c r="N131" s="19" t="str">
        <f>IFERROR(VLOOKUP(J131,'03. THIẾT BỊ'!$B$1:$U$836,4,0),"")</f>
        <v>ĐQSD</v>
      </c>
      <c r="O131" s="19" t="str">
        <f>IFERROR(VLOOKUP(J131,'03. THIẾT BỊ'!$B$1:$U$836,7,0),"")</f>
        <v>XN Chuối DP2</v>
      </c>
      <c r="P131" s="353" t="str">
        <f>IFERROR(VLOOKUP(O131,'NS QUẢN LÝ CG'!$A$4:$D$36,2,0),"")</f>
        <v/>
      </c>
      <c r="Q131" s="353" t="str">
        <f>IFERROR(VLOOKUP(O131,'NS QUẢN LÝ CG'!$A$4:$D$36,4,0),"")</f>
        <v/>
      </c>
      <c r="R131" s="353" t="str">
        <f>IFERROR(VLOOKUP(O131,'NS QUẢN LÝ CG'!$A$4:$C$36,3,0),"")</f>
        <v/>
      </c>
      <c r="S131" s="20" t="str">
        <f>IFERROR(VLOOKUP(J131,'03. THIẾT BỊ'!$B$1:$S$836,3,0),"")</f>
        <v>A23-MKC-024</v>
      </c>
      <c r="T131" s="708" t="str">
        <f t="shared" si="2"/>
        <v>DP</v>
      </c>
      <c r="U131" s="708"/>
    </row>
    <row r="132" ht="13.8" spans="1:21">
      <c r="A132" s="19"/>
      <c r="B132" s="275"/>
      <c r="C132" s="20" t="str">
        <f>IFERROR(VLOOKUP(J132,'03. THIẾT BỊ'!$B$1:$U$836,5,0),"")</f>
        <v>Máy kéo chuối (Xăng)</v>
      </c>
      <c r="D132" s="19">
        <v>1</v>
      </c>
      <c r="E132" s="19"/>
      <c r="F132" s="19" t="s">
        <v>5978</v>
      </c>
      <c r="G132" s="19"/>
      <c r="H132" s="19">
        <f>IFERROR(VLOOKUP(J132,'03. THIẾT BỊ'!$B$1:$U$836,19,0),"")</f>
        <v>0.56</v>
      </c>
      <c r="I132" s="19" t="str">
        <f>IFERROR(VLOOKUP(J132,'03. THIẾT BỊ'!$B$1:$U$836,20,0),"")</f>
        <v>400 buồng/8h</v>
      </c>
      <c r="J132" s="20" t="s">
        <v>4513</v>
      </c>
      <c r="K132" s="19" t="s">
        <v>5978</v>
      </c>
      <c r="L132" s="19"/>
      <c r="M132" s="19"/>
      <c r="N132" s="19" t="str">
        <f>IFERROR(VLOOKUP(J132,'03. THIẾT BỊ'!$B$1:$U$836,4,0),"")</f>
        <v>ĐQSD</v>
      </c>
      <c r="O132" s="19" t="str">
        <f>IFERROR(VLOOKUP(J132,'03. THIẾT BỊ'!$B$1:$U$836,7,0),"")</f>
        <v>XN Chuối DP2</v>
      </c>
      <c r="P132" s="353" t="str">
        <f>IFERROR(VLOOKUP(O132,'NS QUẢN LÝ CG'!$A$4:$D$36,2,0),"")</f>
        <v/>
      </c>
      <c r="Q132" s="353" t="str">
        <f>IFERROR(VLOOKUP(O132,'NS QUẢN LÝ CG'!$A$4:$D$36,4,0),"")</f>
        <v/>
      </c>
      <c r="R132" s="353" t="str">
        <f>IFERROR(VLOOKUP(O132,'NS QUẢN LÝ CG'!$A$4:$C$36,3,0),"")</f>
        <v/>
      </c>
      <c r="S132" s="20" t="str">
        <f>IFERROR(VLOOKUP(J132,'03. THIẾT BỊ'!$B$1:$S$836,3,0),"")</f>
        <v>A23-MKC-025</v>
      </c>
      <c r="T132" s="708" t="str">
        <f t="shared" si="2"/>
        <v>DP</v>
      </c>
      <c r="U132" s="708"/>
    </row>
    <row r="133" ht="13.8" spans="1:21">
      <c r="A133" s="19"/>
      <c r="B133" s="275"/>
      <c r="C133" s="20" t="str">
        <f>IFERROR(VLOOKUP(J133,'03. THIẾT BỊ'!$B$1:$U$836,5,0),"")</f>
        <v>Máy kéo chuối (Xăng)</v>
      </c>
      <c r="D133" s="19">
        <v>1</v>
      </c>
      <c r="E133" s="19"/>
      <c r="F133" s="19" t="s">
        <v>5978</v>
      </c>
      <c r="G133" s="19"/>
      <c r="H133" s="19">
        <f>IFERROR(VLOOKUP(J133,'03. THIẾT BỊ'!$B$1:$U$836,19,0),"")</f>
        <v>0.56</v>
      </c>
      <c r="I133" s="19" t="str">
        <f>IFERROR(VLOOKUP(J133,'03. THIẾT BỊ'!$B$1:$U$836,20,0),"")</f>
        <v>400 buồng/8h</v>
      </c>
      <c r="J133" s="20" t="s">
        <v>4516</v>
      </c>
      <c r="K133" s="19"/>
      <c r="L133" s="19" t="s">
        <v>5978</v>
      </c>
      <c r="M133" s="19"/>
      <c r="N133" s="19" t="str">
        <f>IFERROR(VLOOKUP(J133,'03. THIẾT BỊ'!$B$1:$U$836,4,0),"")</f>
        <v>ĐQSD</v>
      </c>
      <c r="O133" s="19" t="str">
        <f>IFERROR(VLOOKUP(J133,'03. THIẾT BỊ'!$B$1:$U$836,7,0),"")</f>
        <v>XN Chuối DP2</v>
      </c>
      <c r="P133" s="353" t="str">
        <f>IFERROR(VLOOKUP(O133,'NS QUẢN LÝ CG'!$A$4:$D$36,2,0),"")</f>
        <v/>
      </c>
      <c r="Q133" s="353" t="str">
        <f>IFERROR(VLOOKUP(O133,'NS QUẢN LÝ CG'!$A$4:$D$36,4,0),"")</f>
        <v/>
      </c>
      <c r="R133" s="353" t="str">
        <f>IFERROR(VLOOKUP(O133,'NS QUẢN LÝ CG'!$A$4:$C$36,3,0),"")</f>
        <v/>
      </c>
      <c r="S133" s="20" t="str">
        <f>IFERROR(VLOOKUP(J133,'03. THIẾT BỊ'!$B$1:$S$836,3,0),"")</f>
        <v>A23-MKC-032</v>
      </c>
      <c r="T133" s="708" t="str">
        <f t="shared" si="2"/>
        <v>DP</v>
      </c>
      <c r="U133" s="708"/>
    </row>
    <row r="134" ht="13.8" spans="1:21">
      <c r="A134" s="19"/>
      <c r="B134" s="275"/>
      <c r="C134" s="20" t="str">
        <f>IFERROR(VLOOKUP(J134,'03. THIẾT BỊ'!$B$1:$U$836,5,0),"")</f>
        <v>Máy kéo chuối (Xăng)</v>
      </c>
      <c r="D134" s="19">
        <v>1</v>
      </c>
      <c r="E134" s="19"/>
      <c r="F134" s="19" t="s">
        <v>5978</v>
      </c>
      <c r="G134" s="19"/>
      <c r="H134" s="19">
        <f>IFERROR(VLOOKUP(J134,'03. THIẾT BỊ'!$B$1:$U$836,19,0),"")</f>
        <v>0.56</v>
      </c>
      <c r="I134" s="19" t="str">
        <f>IFERROR(VLOOKUP(J134,'03. THIẾT BỊ'!$B$1:$U$836,20,0),"")</f>
        <v>400 buồng/8h</v>
      </c>
      <c r="J134" s="20" t="s">
        <v>4520</v>
      </c>
      <c r="K134" s="19"/>
      <c r="L134" s="19" t="s">
        <v>5978</v>
      </c>
      <c r="M134" s="19"/>
      <c r="N134" s="19" t="str">
        <f>IFERROR(VLOOKUP(J134,'03. THIẾT BỊ'!$B$1:$U$836,4,0),"")</f>
        <v>ĐQSD</v>
      </c>
      <c r="O134" s="19" t="str">
        <f>IFERROR(VLOOKUP(J134,'03. THIẾT BỊ'!$B$1:$U$836,7,0),"")</f>
        <v>XN Chuối DP2</v>
      </c>
      <c r="P134" s="353" t="str">
        <f>IFERROR(VLOOKUP(O134,'NS QUẢN LÝ CG'!$A$4:$D$36,2,0),"")</f>
        <v/>
      </c>
      <c r="Q134" s="353" t="str">
        <f>IFERROR(VLOOKUP(O134,'NS QUẢN LÝ CG'!$A$4:$D$36,4,0),"")</f>
        <v/>
      </c>
      <c r="R134" s="353" t="str">
        <f>IFERROR(VLOOKUP(O134,'NS QUẢN LÝ CG'!$A$4:$C$36,3,0),"")</f>
        <v/>
      </c>
      <c r="S134" s="20" t="str">
        <f>IFERROR(VLOOKUP(J134,'03. THIẾT BỊ'!$B$1:$S$836,3,0),"")</f>
        <v>A23-MKC-036</v>
      </c>
      <c r="T134" s="708" t="str">
        <f t="shared" si="2"/>
        <v>DP</v>
      </c>
      <c r="U134" s="708"/>
    </row>
    <row r="135" ht="13.8" spans="1:21">
      <c r="A135" s="19"/>
      <c r="B135" s="275"/>
      <c r="C135" s="20" t="str">
        <f>IFERROR(VLOOKUP(J135,'03. THIẾT BỊ'!$B$1:$U$836,5,0),"")</f>
        <v>Máy kéo chuối (Xăng)</v>
      </c>
      <c r="D135" s="19">
        <v>1</v>
      </c>
      <c r="E135" s="19"/>
      <c r="F135" s="19" t="s">
        <v>5978</v>
      </c>
      <c r="G135" s="19"/>
      <c r="H135" s="19">
        <f>IFERROR(VLOOKUP(J135,'03. THIẾT BỊ'!$B$1:$U$836,19,0),"")</f>
        <v>0.56</v>
      </c>
      <c r="I135" s="19" t="str">
        <f>IFERROR(VLOOKUP(J135,'03. THIẾT BỊ'!$B$1:$U$836,20,0),"")</f>
        <v>400 buồng/8h</v>
      </c>
      <c r="J135" s="20" t="s">
        <v>4523</v>
      </c>
      <c r="K135" s="19" t="s">
        <v>5978</v>
      </c>
      <c r="L135" s="19"/>
      <c r="M135" s="19"/>
      <c r="N135" s="19" t="str">
        <f>IFERROR(VLOOKUP(J135,'03. THIẾT BỊ'!$B$1:$U$836,4,0),"")</f>
        <v>ĐQSD</v>
      </c>
      <c r="O135" s="19" t="str">
        <f>IFERROR(VLOOKUP(J135,'03. THIẾT BỊ'!$B$1:$U$836,7,0),"")</f>
        <v>XN Chuối DP2</v>
      </c>
      <c r="P135" s="353" t="str">
        <f>IFERROR(VLOOKUP(O135,'NS QUẢN LÝ CG'!$A$4:$D$36,2,0),"")</f>
        <v/>
      </c>
      <c r="Q135" s="353" t="str">
        <f>IFERROR(VLOOKUP(O135,'NS QUẢN LÝ CG'!$A$4:$D$36,4,0),"")</f>
        <v/>
      </c>
      <c r="R135" s="353" t="str">
        <f>IFERROR(VLOOKUP(O135,'NS QUẢN LÝ CG'!$A$4:$C$36,3,0),"")</f>
        <v/>
      </c>
      <c r="S135" s="20" t="str">
        <f>IFERROR(VLOOKUP(J135,'03. THIẾT BỊ'!$B$1:$S$836,3,0),"")</f>
        <v>A23-MKC-037</v>
      </c>
      <c r="T135" s="708" t="str">
        <f t="shared" si="2"/>
        <v>DP</v>
      </c>
      <c r="U135" s="708"/>
    </row>
    <row r="136" ht="13.8" spans="1:21">
      <c r="A136" s="19"/>
      <c r="B136" s="275"/>
      <c r="C136" s="20" t="str">
        <f>IFERROR(VLOOKUP(J136,'03. THIẾT BỊ'!$B$1:$U$836,5,0),"")</f>
        <v>Máy kéo chuối (Xăng)</v>
      </c>
      <c r="D136" s="19">
        <v>1</v>
      </c>
      <c r="E136" s="19"/>
      <c r="F136" s="19" t="s">
        <v>5978</v>
      </c>
      <c r="G136" s="19"/>
      <c r="H136" s="19">
        <f>IFERROR(VLOOKUP(J136,'03. THIẾT BỊ'!$B$1:$U$836,19,0),"")</f>
        <v>0.56</v>
      </c>
      <c r="I136" s="19" t="str">
        <f>IFERROR(VLOOKUP(J136,'03. THIẾT BỊ'!$B$1:$U$836,20,0),"")</f>
        <v>400 buồng/8h</v>
      </c>
      <c r="J136" s="20" t="s">
        <v>4527</v>
      </c>
      <c r="K136" s="19" t="s">
        <v>5978</v>
      </c>
      <c r="L136" s="19"/>
      <c r="M136" s="19"/>
      <c r="N136" s="19" t="str">
        <f>IFERROR(VLOOKUP(J136,'03. THIẾT BỊ'!$B$1:$U$836,4,0),"")</f>
        <v>ĐQSD</v>
      </c>
      <c r="O136" s="19" t="str">
        <f>IFERROR(VLOOKUP(J136,'03. THIẾT BỊ'!$B$1:$U$836,7,0),"")</f>
        <v>XN Chuối DP2</v>
      </c>
      <c r="P136" s="353" t="str">
        <f>IFERROR(VLOOKUP(O136,'NS QUẢN LÝ CG'!$A$4:$D$36,2,0),"")</f>
        <v/>
      </c>
      <c r="Q136" s="353" t="str">
        <f>IFERROR(VLOOKUP(O136,'NS QUẢN LÝ CG'!$A$4:$D$36,4,0),"")</f>
        <v/>
      </c>
      <c r="R136" s="353" t="str">
        <f>IFERROR(VLOOKUP(O136,'NS QUẢN LÝ CG'!$A$4:$C$36,3,0),"")</f>
        <v/>
      </c>
      <c r="S136" s="20" t="str">
        <f>IFERROR(VLOOKUP(J136,'03. THIẾT BỊ'!$B$1:$S$836,3,0),"")</f>
        <v>A23-MKC-038</v>
      </c>
      <c r="T136" s="708" t="str">
        <f t="shared" si="2"/>
        <v>DP</v>
      </c>
      <c r="U136" s="708"/>
    </row>
    <row r="137" ht="13.8" spans="1:21">
      <c r="A137" s="19"/>
      <c r="B137" s="275"/>
      <c r="C137" s="20" t="str">
        <f>IFERROR(VLOOKUP(J137,'03. THIẾT BỊ'!$B$1:$U$836,5,0),"")</f>
        <v>Máy kéo chuối (Xăng)</v>
      </c>
      <c r="D137" s="19">
        <v>1</v>
      </c>
      <c r="E137" s="19"/>
      <c r="F137" s="19" t="s">
        <v>5978</v>
      </c>
      <c r="G137" s="19"/>
      <c r="H137" s="19">
        <f>IFERROR(VLOOKUP(J137,'03. THIẾT BỊ'!$B$1:$U$836,19,0),"")</f>
        <v>0.56</v>
      </c>
      <c r="I137" s="19" t="str">
        <f>IFERROR(VLOOKUP(J137,'03. THIẾT BỊ'!$B$1:$U$836,20,0),"")</f>
        <v>400 buồng/8h</v>
      </c>
      <c r="J137" s="20" t="s">
        <v>4530</v>
      </c>
      <c r="K137" s="19" t="s">
        <v>5978</v>
      </c>
      <c r="L137" s="19"/>
      <c r="M137" s="19"/>
      <c r="N137" s="19" t="str">
        <f>IFERROR(VLOOKUP(J137,'03. THIẾT BỊ'!$B$1:$U$836,4,0),"")</f>
        <v>ĐQSD</v>
      </c>
      <c r="O137" s="19" t="str">
        <f>IFERROR(VLOOKUP(J137,'03. THIẾT BỊ'!$B$1:$U$836,7,0),"")</f>
        <v>XN Chuối DP2</v>
      </c>
      <c r="P137" s="353" t="str">
        <f>IFERROR(VLOOKUP(O137,'NS QUẢN LÝ CG'!$A$4:$D$36,2,0),"")</f>
        <v/>
      </c>
      <c r="Q137" s="353" t="str">
        <f>IFERROR(VLOOKUP(O137,'NS QUẢN LÝ CG'!$A$4:$D$36,4,0),"")</f>
        <v/>
      </c>
      <c r="R137" s="353" t="str">
        <f>IFERROR(VLOOKUP(O137,'NS QUẢN LÝ CG'!$A$4:$C$36,3,0),"")</f>
        <v/>
      </c>
      <c r="S137" s="20" t="str">
        <f>IFERROR(VLOOKUP(J137,'03. THIẾT BỊ'!$B$1:$S$836,3,0),"")</f>
        <v>A23-MKC-039</v>
      </c>
      <c r="T137" s="708" t="str">
        <f t="shared" si="2"/>
        <v>DP</v>
      </c>
      <c r="U137" s="708"/>
    </row>
    <row r="138" ht="13.8" spans="1:21">
      <c r="A138" s="19"/>
      <c r="B138" s="275"/>
      <c r="C138" s="20" t="str">
        <f>IFERROR(VLOOKUP(J138,'03. THIẾT BỊ'!$B$1:$U$836,5,0),"")</f>
        <v>Máy kéo chuối (Xăng)</v>
      </c>
      <c r="D138" s="19">
        <v>1</v>
      </c>
      <c r="E138" s="19"/>
      <c r="F138" s="19" t="s">
        <v>5978</v>
      </c>
      <c r="G138" s="19"/>
      <c r="H138" s="19">
        <f>IFERROR(VLOOKUP(J138,'03. THIẾT BỊ'!$B$1:$U$836,19,0),"")</f>
        <v>0.56</v>
      </c>
      <c r="I138" s="19" t="str">
        <f>IFERROR(VLOOKUP(J138,'03. THIẾT BỊ'!$B$1:$U$836,20,0),"")</f>
        <v>400 buồng/8h</v>
      </c>
      <c r="J138" s="20" t="s">
        <v>4533</v>
      </c>
      <c r="K138" s="19" t="s">
        <v>5978</v>
      </c>
      <c r="L138" s="19"/>
      <c r="M138" s="19"/>
      <c r="N138" s="19" t="str">
        <f>IFERROR(VLOOKUP(J138,'03. THIẾT BỊ'!$B$1:$U$836,4,0),"")</f>
        <v>ĐQSD</v>
      </c>
      <c r="O138" s="19" t="str">
        <f>IFERROR(VLOOKUP(J138,'03. THIẾT BỊ'!$B$1:$U$836,7,0),"")</f>
        <v>XN Chuối DP2</v>
      </c>
      <c r="P138" s="353" t="str">
        <f>IFERROR(VLOOKUP(O138,'NS QUẢN LÝ CG'!$A$4:$D$36,2,0),"")</f>
        <v/>
      </c>
      <c r="Q138" s="353" t="str">
        <f>IFERROR(VLOOKUP(O138,'NS QUẢN LÝ CG'!$A$4:$D$36,4,0),"")</f>
        <v/>
      </c>
      <c r="R138" s="353" t="str">
        <f>IFERROR(VLOOKUP(O138,'NS QUẢN LÝ CG'!$A$4:$C$36,3,0),"")</f>
        <v/>
      </c>
      <c r="S138" s="20" t="str">
        <f>IFERROR(VLOOKUP(J138,'03. THIẾT BỊ'!$B$1:$S$836,3,0),"")</f>
        <v>A23-MKC-043</v>
      </c>
      <c r="T138" s="708" t="str">
        <f t="shared" si="2"/>
        <v>DP</v>
      </c>
      <c r="U138" s="708"/>
    </row>
    <row r="139" ht="13.8" spans="1:21">
      <c r="A139" s="19"/>
      <c r="B139" s="275"/>
      <c r="C139" s="20" t="str">
        <f>IFERROR(VLOOKUP(J139,'03. THIẾT BỊ'!$B$1:$U$836,5,0),"")</f>
        <v>Máy kéo chuối (Xăng)</v>
      </c>
      <c r="D139" s="19">
        <v>1</v>
      </c>
      <c r="E139" s="19"/>
      <c r="F139" s="19" t="s">
        <v>5978</v>
      </c>
      <c r="G139" s="19"/>
      <c r="H139" s="19">
        <f>IFERROR(VLOOKUP(J139,'03. THIẾT BỊ'!$B$1:$U$836,19,0),"")</f>
        <v>0.56</v>
      </c>
      <c r="I139" s="19" t="str">
        <f>IFERROR(VLOOKUP(J139,'03. THIẾT BỊ'!$B$1:$U$836,20,0),"")</f>
        <v>400 buồng/8h</v>
      </c>
      <c r="J139" s="20" t="s">
        <v>4535</v>
      </c>
      <c r="K139" s="19" t="s">
        <v>5978</v>
      </c>
      <c r="L139" s="19"/>
      <c r="M139" s="19"/>
      <c r="N139" s="19" t="str">
        <f>IFERROR(VLOOKUP(J139,'03. THIẾT BỊ'!$B$1:$U$836,4,0),"")</f>
        <v>ĐQSD</v>
      </c>
      <c r="O139" s="19" t="str">
        <f>IFERROR(VLOOKUP(J139,'03. THIẾT BỊ'!$B$1:$U$836,7,0),"")</f>
        <v>XN Chuối DP2</v>
      </c>
      <c r="P139" s="353" t="str">
        <f>IFERROR(VLOOKUP(O139,'NS QUẢN LÝ CG'!$A$4:$D$36,2,0),"")</f>
        <v/>
      </c>
      <c r="Q139" s="353" t="str">
        <f>IFERROR(VLOOKUP(O139,'NS QUẢN LÝ CG'!$A$4:$D$36,4,0),"")</f>
        <v/>
      </c>
      <c r="R139" s="353" t="str">
        <f>IFERROR(VLOOKUP(O139,'NS QUẢN LÝ CG'!$A$4:$C$36,3,0),"")</f>
        <v/>
      </c>
      <c r="S139" s="20" t="str">
        <f>IFERROR(VLOOKUP(J139,'03. THIẾT BỊ'!$B$1:$S$836,3,0),"")</f>
        <v>A23-MKC-046</v>
      </c>
      <c r="T139" s="708" t="str">
        <f t="shared" si="2"/>
        <v>DP</v>
      </c>
      <c r="U139" s="708"/>
    </row>
    <row r="140" ht="13.8" spans="1:21">
      <c r="A140" s="19"/>
      <c r="B140" s="275"/>
      <c r="C140" s="20" t="str">
        <f>IFERROR(VLOOKUP(J140,'03. THIẾT BỊ'!$B$1:$U$836,5,0),"")</f>
        <v>Máy kéo chuối (Xăng)</v>
      </c>
      <c r="D140" s="19">
        <v>1</v>
      </c>
      <c r="E140" s="19"/>
      <c r="F140" s="19" t="s">
        <v>5978</v>
      </c>
      <c r="G140" s="19"/>
      <c r="H140" s="19">
        <f>IFERROR(VLOOKUP(J140,'03. THIẾT BỊ'!$B$1:$U$836,19,0),"")</f>
        <v>0.56</v>
      </c>
      <c r="I140" s="19" t="str">
        <f>IFERROR(VLOOKUP(J140,'03. THIẾT BỊ'!$B$1:$U$836,20,0),"")</f>
        <v>400 buồng/8h</v>
      </c>
      <c r="J140" s="20" t="s">
        <v>4630</v>
      </c>
      <c r="K140" s="19"/>
      <c r="L140" s="19"/>
      <c r="M140" s="19" t="s">
        <v>5978</v>
      </c>
      <c r="N140" s="19" t="str">
        <f>IFERROR(VLOOKUP(J140,'03. THIẾT BỊ'!$B$1:$U$836,4,0),"")</f>
        <v>ĐQSD</v>
      </c>
      <c r="O140" s="19" t="str">
        <f>IFERROR(VLOOKUP(J140,'03. THIẾT BỊ'!$B$1:$U$836,7,0),"")</f>
        <v>XN Chuối DP3</v>
      </c>
      <c r="P140" s="353" t="str">
        <f>IFERROR(VLOOKUP(O140,'NS QUẢN LÝ CG'!$A$4:$D$36,2,0),"")</f>
        <v/>
      </c>
      <c r="Q140" s="353" t="str">
        <f>IFERROR(VLOOKUP(O140,'NS QUẢN LÝ CG'!$A$4:$D$36,4,0),"")</f>
        <v/>
      </c>
      <c r="R140" s="353" t="str">
        <f>IFERROR(VLOOKUP(O140,'NS QUẢN LÝ CG'!$A$4:$C$36,3,0),"")</f>
        <v/>
      </c>
      <c r="S140" s="20" t="str">
        <f>IFERROR(VLOOKUP(J140,'03. THIẾT BỊ'!$B$1:$S$836,3,0),"")</f>
        <v>A23-MKC-006</v>
      </c>
      <c r="T140" s="708" t="str">
        <f t="shared" si="2"/>
        <v>DP</v>
      </c>
      <c r="U140" s="708"/>
    </row>
    <row r="141" ht="13.8" spans="1:21">
      <c r="A141" s="19"/>
      <c r="B141" s="275"/>
      <c r="C141" s="20" t="str">
        <f>IFERROR(VLOOKUP(J141,'03. THIẾT BỊ'!$B$1:$U$836,5,0),"")</f>
        <v>Máy kéo chuối (Xăng)</v>
      </c>
      <c r="D141" s="19">
        <v>1</v>
      </c>
      <c r="E141" s="19"/>
      <c r="F141" s="19" t="s">
        <v>5978</v>
      </c>
      <c r="G141" s="19"/>
      <c r="H141" s="19">
        <f>IFERROR(VLOOKUP(J141,'03. THIẾT BỊ'!$B$1:$U$836,19,0),"")</f>
        <v>0.56</v>
      </c>
      <c r="I141" s="19" t="str">
        <f>IFERROR(VLOOKUP(J141,'03. THIẾT BỊ'!$B$1:$U$836,20,0),"")</f>
        <v>400 buồng/8h</v>
      </c>
      <c r="J141" s="20" t="s">
        <v>4633</v>
      </c>
      <c r="K141" s="19"/>
      <c r="L141" s="19"/>
      <c r="M141" s="19" t="s">
        <v>5978</v>
      </c>
      <c r="N141" s="19" t="str">
        <f>IFERROR(VLOOKUP(J141,'03. THIẾT BỊ'!$B$1:$U$836,4,0),"")</f>
        <v>ĐQSD</v>
      </c>
      <c r="O141" s="19" t="str">
        <f>IFERROR(VLOOKUP(J141,'03. THIẾT BỊ'!$B$1:$U$836,7,0),"")</f>
        <v>XN Chuối DP3</v>
      </c>
      <c r="P141" s="353" t="str">
        <f>IFERROR(VLOOKUP(O141,'NS QUẢN LÝ CG'!$A$4:$D$36,2,0),"")</f>
        <v/>
      </c>
      <c r="Q141" s="353" t="str">
        <f>IFERROR(VLOOKUP(O141,'NS QUẢN LÝ CG'!$A$4:$D$36,4,0),"")</f>
        <v/>
      </c>
      <c r="R141" s="353" t="str">
        <f>IFERROR(VLOOKUP(O141,'NS QUẢN LÝ CG'!$A$4:$C$36,3,0),"")</f>
        <v/>
      </c>
      <c r="S141" s="20" t="str">
        <f>IFERROR(VLOOKUP(J141,'03. THIẾT BỊ'!$B$1:$S$836,3,0),"")</f>
        <v>A23-MKC-013</v>
      </c>
      <c r="T141" s="708" t="str">
        <f t="shared" si="2"/>
        <v>DP</v>
      </c>
      <c r="U141" s="708"/>
    </row>
    <row r="142" ht="13.8" spans="1:21">
      <c r="A142" s="19"/>
      <c r="B142" s="275"/>
      <c r="C142" s="20" t="str">
        <f>IFERROR(VLOOKUP(J142,'03. THIẾT BỊ'!$B$1:$U$836,5,0),"")</f>
        <v>Máy kéo chuối (Xăng)</v>
      </c>
      <c r="D142" s="19">
        <v>1</v>
      </c>
      <c r="E142" s="19"/>
      <c r="F142" s="19" t="s">
        <v>5978</v>
      </c>
      <c r="G142" s="19"/>
      <c r="H142" s="19">
        <f>IFERROR(VLOOKUP(J142,'03. THIẾT BỊ'!$B$1:$U$836,19,0),"")</f>
        <v>0.56</v>
      </c>
      <c r="I142" s="19" t="str">
        <f>IFERROR(VLOOKUP(J142,'03. THIẾT BỊ'!$B$1:$U$836,20,0),"")</f>
        <v>400 buồng/8h</v>
      </c>
      <c r="J142" s="20" t="s">
        <v>4635</v>
      </c>
      <c r="K142" s="19"/>
      <c r="L142" s="19"/>
      <c r="M142" s="19" t="s">
        <v>5978</v>
      </c>
      <c r="N142" s="19" t="str">
        <f>IFERROR(VLOOKUP(J142,'03. THIẾT BỊ'!$B$1:$U$836,4,0),"")</f>
        <v>ĐQSD</v>
      </c>
      <c r="O142" s="19" t="str">
        <f>IFERROR(VLOOKUP(J142,'03. THIẾT BỊ'!$B$1:$U$836,7,0),"")</f>
        <v>XN Chuối DP3</v>
      </c>
      <c r="P142" s="353" t="str">
        <f>IFERROR(VLOOKUP(O142,'NS QUẢN LÝ CG'!$A$4:$D$36,2,0),"")</f>
        <v/>
      </c>
      <c r="Q142" s="353" t="str">
        <f>IFERROR(VLOOKUP(O142,'NS QUẢN LÝ CG'!$A$4:$D$36,4,0),"")</f>
        <v/>
      </c>
      <c r="R142" s="353" t="str">
        <f>IFERROR(VLOOKUP(O142,'NS QUẢN LÝ CG'!$A$4:$C$36,3,0),"")</f>
        <v/>
      </c>
      <c r="S142" s="20" t="str">
        <f>IFERROR(VLOOKUP(J142,'03. THIẾT BỊ'!$B$1:$S$836,3,0),"")</f>
        <v>A23-MKC-012</v>
      </c>
      <c r="T142" s="708" t="str">
        <f t="shared" si="2"/>
        <v>DP</v>
      </c>
      <c r="U142" s="708"/>
    </row>
    <row r="143" ht="13.8" spans="1:21">
      <c r="A143" s="19"/>
      <c r="B143" s="275"/>
      <c r="C143" s="20" t="str">
        <f>IFERROR(VLOOKUP(J143,'03. THIẾT BỊ'!$B$1:$U$836,5,0),"")</f>
        <v>Máy kéo chuối (Xăng)</v>
      </c>
      <c r="D143" s="19">
        <v>1</v>
      </c>
      <c r="E143" s="19"/>
      <c r="F143" s="19" t="s">
        <v>5978</v>
      </c>
      <c r="G143" s="19"/>
      <c r="H143" s="19">
        <f>IFERROR(VLOOKUP(J143,'03. THIẾT BỊ'!$B$1:$U$836,19,0),"")</f>
        <v>0.56</v>
      </c>
      <c r="I143" s="19" t="str">
        <f>IFERROR(VLOOKUP(J143,'03. THIẾT BỊ'!$B$1:$U$836,20,0),"")</f>
        <v>400 buồng/8h</v>
      </c>
      <c r="J143" s="20" t="s">
        <v>4637</v>
      </c>
      <c r="K143" s="19"/>
      <c r="L143" s="19" t="s">
        <v>5978</v>
      </c>
      <c r="M143" s="19"/>
      <c r="N143" s="19" t="str">
        <f>IFERROR(VLOOKUP(J143,'03. THIẾT BỊ'!$B$1:$U$836,4,0),"")</f>
        <v>ĐQSD</v>
      </c>
      <c r="O143" s="19" t="str">
        <f>IFERROR(VLOOKUP(J143,'03. THIẾT BỊ'!$B$1:$U$836,7,0),"")</f>
        <v>XN Chuối DP3</v>
      </c>
      <c r="P143" s="353" t="str">
        <f>IFERROR(VLOOKUP(O143,'NS QUẢN LÝ CG'!$A$4:$D$36,2,0),"")</f>
        <v/>
      </c>
      <c r="Q143" s="353" t="str">
        <f>IFERROR(VLOOKUP(O143,'NS QUẢN LÝ CG'!$A$4:$D$36,4,0),"")</f>
        <v/>
      </c>
      <c r="R143" s="353" t="str">
        <f>IFERROR(VLOOKUP(O143,'NS QUẢN LÝ CG'!$A$4:$C$36,3,0),"")</f>
        <v/>
      </c>
      <c r="S143" s="20" t="str">
        <f>IFERROR(VLOOKUP(J143,'03. THIẾT BỊ'!$B$1:$S$836,3,0),"")</f>
        <v>A23-MKC-016</v>
      </c>
      <c r="T143" s="708" t="str">
        <f t="shared" si="2"/>
        <v>DP</v>
      </c>
      <c r="U143" s="708"/>
    </row>
    <row r="144" ht="13.8" spans="1:21">
      <c r="A144" s="19"/>
      <c r="B144" s="275"/>
      <c r="C144" s="20" t="str">
        <f>IFERROR(VLOOKUP(J144,'03. THIẾT BỊ'!$B$1:$U$836,5,0),"")</f>
        <v>Máy kéo chuối (Xăng)</v>
      </c>
      <c r="D144" s="19">
        <v>1</v>
      </c>
      <c r="E144" s="19"/>
      <c r="F144" s="19" t="s">
        <v>5978</v>
      </c>
      <c r="G144" s="19"/>
      <c r="H144" s="19">
        <f>IFERROR(VLOOKUP(J144,'03. THIẾT BỊ'!$B$1:$U$836,19,0),"")</f>
        <v>0.56</v>
      </c>
      <c r="I144" s="19" t="str">
        <f>IFERROR(VLOOKUP(J144,'03. THIẾT BỊ'!$B$1:$U$836,20,0),"")</f>
        <v>400 buồng/8h</v>
      </c>
      <c r="J144" s="20" t="s">
        <v>4640</v>
      </c>
      <c r="K144" s="19"/>
      <c r="L144" s="19" t="s">
        <v>5978</v>
      </c>
      <c r="M144" s="19"/>
      <c r="N144" s="19" t="str">
        <f>IFERROR(VLOOKUP(J144,'03. THIẾT BỊ'!$B$1:$U$836,4,0),"")</f>
        <v>ĐQSD</v>
      </c>
      <c r="O144" s="19" t="str">
        <f>IFERROR(VLOOKUP(J144,'03. THIẾT BỊ'!$B$1:$U$836,7,0),"")</f>
        <v>XN Chuối DP3</v>
      </c>
      <c r="P144" s="353" t="str">
        <f>IFERROR(VLOOKUP(O144,'NS QUẢN LÝ CG'!$A$4:$D$36,2,0),"")</f>
        <v/>
      </c>
      <c r="Q144" s="353" t="str">
        <f>IFERROR(VLOOKUP(O144,'NS QUẢN LÝ CG'!$A$4:$D$36,4,0),"")</f>
        <v/>
      </c>
      <c r="R144" s="353" t="str">
        <f>IFERROR(VLOOKUP(O144,'NS QUẢN LÝ CG'!$A$4:$C$36,3,0),"")</f>
        <v/>
      </c>
      <c r="S144" s="20" t="str">
        <f>IFERROR(VLOOKUP(J144,'03. THIẾT BỊ'!$B$1:$S$836,3,0),"")</f>
        <v>A23-MKC-017</v>
      </c>
      <c r="T144" s="708" t="str">
        <f t="shared" si="2"/>
        <v>DP</v>
      </c>
      <c r="U144" s="708"/>
    </row>
    <row r="145" ht="13.8" spans="1:21">
      <c r="A145" s="19"/>
      <c r="B145" s="275"/>
      <c r="C145" s="20" t="str">
        <f>IFERROR(VLOOKUP(J145,'03. THIẾT BỊ'!$B$1:$U$836,5,0),"")</f>
        <v>Máy kéo chuối (Xăng)</v>
      </c>
      <c r="D145" s="19">
        <v>1</v>
      </c>
      <c r="E145" s="19"/>
      <c r="F145" s="19" t="s">
        <v>5978</v>
      </c>
      <c r="G145" s="19"/>
      <c r="H145" s="19">
        <f>IFERROR(VLOOKUP(J145,'03. THIẾT BỊ'!$B$1:$U$836,19,0),"")</f>
        <v>0.56</v>
      </c>
      <c r="I145" s="19" t="str">
        <f>IFERROR(VLOOKUP(J145,'03. THIẾT BỊ'!$B$1:$U$836,20,0),"")</f>
        <v>400 buồng/8h</v>
      </c>
      <c r="J145" s="20" t="s">
        <v>4643</v>
      </c>
      <c r="K145" s="19"/>
      <c r="L145" s="19" t="s">
        <v>5978</v>
      </c>
      <c r="M145" s="19"/>
      <c r="N145" s="19" t="str">
        <f>IFERROR(VLOOKUP(J145,'03. THIẾT BỊ'!$B$1:$U$836,4,0),"")</f>
        <v>ĐQSD</v>
      </c>
      <c r="O145" s="19" t="str">
        <f>IFERROR(VLOOKUP(J145,'03. THIẾT BỊ'!$B$1:$U$836,7,0),"")</f>
        <v>XN Chuối DP3</v>
      </c>
      <c r="P145" s="353" t="str">
        <f>IFERROR(VLOOKUP(O145,'NS QUẢN LÝ CG'!$A$4:$D$36,2,0),"")</f>
        <v/>
      </c>
      <c r="Q145" s="353" t="str">
        <f>IFERROR(VLOOKUP(O145,'NS QUẢN LÝ CG'!$A$4:$D$36,4,0),"")</f>
        <v/>
      </c>
      <c r="R145" s="353" t="str">
        <f>IFERROR(VLOOKUP(O145,'NS QUẢN LÝ CG'!$A$4:$C$36,3,0),"")</f>
        <v/>
      </c>
      <c r="S145" s="20" t="str">
        <f>IFERROR(VLOOKUP(J145,'03. THIẾT BỊ'!$B$1:$S$836,3,0),"")</f>
        <v>A23-MKC-020</v>
      </c>
      <c r="T145" s="708" t="str">
        <f t="shared" si="2"/>
        <v>DP</v>
      </c>
      <c r="U145" s="708"/>
    </row>
    <row r="146" ht="13.8" spans="1:21">
      <c r="A146" s="19"/>
      <c r="B146" s="275"/>
      <c r="C146" s="20" t="str">
        <f>IFERROR(VLOOKUP(J146,'03. THIẾT BỊ'!$B$1:$U$836,5,0),"")</f>
        <v>Máy kéo chuối (Xăng)</v>
      </c>
      <c r="D146" s="19">
        <v>1</v>
      </c>
      <c r="E146" s="19"/>
      <c r="F146" s="19" t="s">
        <v>5978</v>
      </c>
      <c r="G146" s="19"/>
      <c r="H146" s="19">
        <f>IFERROR(VLOOKUP(J146,'03. THIẾT BỊ'!$B$1:$U$836,19,0),"")</f>
        <v>0.56</v>
      </c>
      <c r="I146" s="19" t="str">
        <f>IFERROR(VLOOKUP(J146,'03. THIẾT BỊ'!$B$1:$U$836,20,0),"")</f>
        <v>400 buồng/8h</v>
      </c>
      <c r="J146" s="20" t="s">
        <v>4645</v>
      </c>
      <c r="K146" s="19" t="s">
        <v>5978</v>
      </c>
      <c r="L146" s="19"/>
      <c r="M146" s="19"/>
      <c r="N146" s="19" t="str">
        <f>IFERROR(VLOOKUP(J146,'03. THIẾT BỊ'!$B$1:$U$836,4,0),"")</f>
        <v>ĐQSD</v>
      </c>
      <c r="O146" s="19" t="str">
        <f>IFERROR(VLOOKUP(J146,'03. THIẾT BỊ'!$B$1:$U$836,7,0),"")</f>
        <v>XN Chuối DP3</v>
      </c>
      <c r="P146" s="353" t="str">
        <f>IFERROR(VLOOKUP(O146,'NS QUẢN LÝ CG'!$A$4:$D$36,2,0),"")</f>
        <v/>
      </c>
      <c r="Q146" s="353" t="str">
        <f>IFERROR(VLOOKUP(O146,'NS QUẢN LÝ CG'!$A$4:$D$36,4,0),"")</f>
        <v/>
      </c>
      <c r="R146" s="353" t="str">
        <f>IFERROR(VLOOKUP(O146,'NS QUẢN LÝ CG'!$A$4:$C$36,3,0),"")</f>
        <v/>
      </c>
      <c r="S146" s="20" t="str">
        <f>IFERROR(VLOOKUP(J146,'03. THIẾT BỊ'!$B$1:$S$836,3,0),"")</f>
        <v>A23-MKC-021</v>
      </c>
      <c r="T146" s="708" t="str">
        <f t="shared" si="2"/>
        <v>DP</v>
      </c>
      <c r="U146" s="708"/>
    </row>
    <row r="147" ht="13.8" spans="1:21">
      <c r="A147" s="19"/>
      <c r="B147" s="275"/>
      <c r="C147" s="20" t="str">
        <f>IFERROR(VLOOKUP(J147,'03. THIẾT BỊ'!$B$1:$U$836,5,0),"")</f>
        <v>Máy kéo chuối (Điện)</v>
      </c>
      <c r="D147" s="19">
        <v>1</v>
      </c>
      <c r="E147" s="19"/>
      <c r="F147" s="19"/>
      <c r="G147" s="19" t="s">
        <v>5978</v>
      </c>
      <c r="H147" s="19">
        <f>IFERROR(VLOOKUP(J147,'03. THIẾT BỊ'!$B$1:$U$836,19,0),"")</f>
        <v>0</v>
      </c>
      <c r="I147" s="19" t="str">
        <f>IFERROR(VLOOKUP(J147,'03. THIẾT BỊ'!$B$1:$U$836,20,0),"")</f>
        <v>400 buồng/8h</v>
      </c>
      <c r="J147" s="20" t="s">
        <v>4649</v>
      </c>
      <c r="K147" s="19" t="s">
        <v>5978</v>
      </c>
      <c r="L147" s="19"/>
      <c r="M147" s="19"/>
      <c r="N147" s="19" t="str">
        <f>IFERROR(VLOOKUP(J147,'03. THIẾT BỊ'!$B$1:$U$836,4,0),"")</f>
        <v>MUA MỚI</v>
      </c>
      <c r="O147" s="19" t="str">
        <f>IFERROR(VLOOKUP(J147,'03. THIẾT BỊ'!$B$1:$U$836,7,0),"")</f>
        <v>XN Chuối DP3</v>
      </c>
      <c r="P147" s="353" t="str">
        <f>IFERROR(VLOOKUP(O147,'NS QUẢN LÝ CG'!$A$4:$D$36,2,0),"")</f>
        <v/>
      </c>
      <c r="Q147" s="353" t="str">
        <f>IFERROR(VLOOKUP(O147,'NS QUẢN LÝ CG'!$A$4:$D$36,4,0),"")</f>
        <v/>
      </c>
      <c r="R147" s="353" t="str">
        <f>IFERROR(VLOOKUP(O147,'NS QUẢN LÝ CG'!$A$4:$C$36,3,0),"")</f>
        <v/>
      </c>
      <c r="S147" s="20" t="str">
        <f>IFERROR(VLOOKUP(J147,'03. THIẾT BỊ'!$B$1:$S$836,3,0),"")</f>
        <v>A23-MKC-027</v>
      </c>
      <c r="T147" s="708" t="str">
        <f t="shared" si="2"/>
        <v>DP</v>
      </c>
      <c r="U147" s="708"/>
    </row>
    <row r="148" ht="13.8" spans="1:21">
      <c r="A148" s="19"/>
      <c r="B148" s="275"/>
      <c r="C148" s="20" t="str">
        <f>IFERROR(VLOOKUP(J148,'03. THIẾT BỊ'!$B$1:$U$836,5,0),"")</f>
        <v>Máy kéo chuối (Xăng)</v>
      </c>
      <c r="D148" s="19">
        <v>1</v>
      </c>
      <c r="E148" s="19"/>
      <c r="F148" s="19" t="s">
        <v>5978</v>
      </c>
      <c r="G148" s="19"/>
      <c r="H148" s="19">
        <f>IFERROR(VLOOKUP(J148,'03. THIẾT BỊ'!$B$1:$U$836,19,0),"")</f>
        <v>0.56</v>
      </c>
      <c r="I148" s="19" t="str">
        <f>IFERROR(VLOOKUP(J148,'03. THIẾT BỊ'!$B$1:$U$836,20,0),"")</f>
        <v>400 buồng/8h</v>
      </c>
      <c r="J148" s="20" t="s">
        <v>4654</v>
      </c>
      <c r="K148" s="19" t="s">
        <v>5978</v>
      </c>
      <c r="L148" s="19"/>
      <c r="M148" s="19"/>
      <c r="N148" s="19" t="str">
        <f>IFERROR(VLOOKUP(J148,'03. THIẾT BỊ'!$B$1:$U$836,4,0),"")</f>
        <v>ĐQSD</v>
      </c>
      <c r="O148" s="19" t="str">
        <f>IFERROR(VLOOKUP(J148,'03. THIẾT BỊ'!$B$1:$U$836,7,0),"")</f>
        <v>XN Chuối DP3</v>
      </c>
      <c r="P148" s="353" t="str">
        <f>IFERROR(VLOOKUP(O148,'NS QUẢN LÝ CG'!$A$4:$D$36,2,0),"")</f>
        <v/>
      </c>
      <c r="Q148" s="353" t="str">
        <f>IFERROR(VLOOKUP(O148,'NS QUẢN LÝ CG'!$A$4:$D$36,4,0),"")</f>
        <v/>
      </c>
      <c r="R148" s="353" t="str">
        <f>IFERROR(VLOOKUP(O148,'NS QUẢN LÝ CG'!$A$4:$C$36,3,0),"")</f>
        <v/>
      </c>
      <c r="S148" s="20" t="str">
        <f>IFERROR(VLOOKUP(J148,'03. THIẾT BỊ'!$B$1:$S$836,3,0),"")</f>
        <v>A23-MKC-023</v>
      </c>
      <c r="T148" s="708" t="str">
        <f t="shared" si="2"/>
        <v>DP</v>
      </c>
      <c r="U148" s="708"/>
    </row>
    <row r="149" ht="13.8" spans="1:21">
      <c r="A149" s="19"/>
      <c r="B149" s="275"/>
      <c r="C149" s="20" t="str">
        <f>IFERROR(VLOOKUP(J149,'03. THIẾT BỊ'!$B$1:$U$836,5,0),"")</f>
        <v>Máy kéo chuối (Xăng)</v>
      </c>
      <c r="D149" s="19">
        <v>1</v>
      </c>
      <c r="E149" s="19"/>
      <c r="F149" s="19" t="s">
        <v>5978</v>
      </c>
      <c r="G149" s="19"/>
      <c r="H149" s="19">
        <f>IFERROR(VLOOKUP(J149,'03. THIẾT BỊ'!$B$1:$U$836,19,0),"")</f>
        <v>0.56</v>
      </c>
      <c r="I149" s="19" t="str">
        <f>IFERROR(VLOOKUP(J149,'03. THIẾT BỊ'!$B$1:$U$836,20,0),"")</f>
        <v>400 buồng/8h</v>
      </c>
      <c r="J149" s="20" t="s">
        <v>4657</v>
      </c>
      <c r="K149" s="19" t="s">
        <v>5978</v>
      </c>
      <c r="L149" s="19"/>
      <c r="M149" s="19"/>
      <c r="N149" s="19" t="str">
        <f>IFERROR(VLOOKUP(J149,'03. THIẾT BỊ'!$B$1:$U$836,4,0),"")</f>
        <v>ĐQSD</v>
      </c>
      <c r="O149" s="19" t="str">
        <f>IFERROR(VLOOKUP(J149,'03. THIẾT BỊ'!$B$1:$U$836,7,0),"")</f>
        <v>XN Chuối DP3</v>
      </c>
      <c r="P149" s="353" t="str">
        <f>IFERROR(VLOOKUP(O149,'NS QUẢN LÝ CG'!$A$4:$D$36,2,0),"")</f>
        <v/>
      </c>
      <c r="Q149" s="353" t="str">
        <f>IFERROR(VLOOKUP(O149,'NS QUẢN LÝ CG'!$A$4:$D$36,4,0),"")</f>
        <v/>
      </c>
      <c r="R149" s="353" t="str">
        <f>IFERROR(VLOOKUP(O149,'NS QUẢN LÝ CG'!$A$4:$C$36,3,0),"")</f>
        <v/>
      </c>
      <c r="S149" s="20" t="str">
        <f>IFERROR(VLOOKUP(J149,'03. THIẾT BỊ'!$B$1:$S$836,3,0),"")</f>
        <v>A23-MKC-029</v>
      </c>
      <c r="T149" s="708" t="str">
        <f t="shared" si="2"/>
        <v>DP</v>
      </c>
      <c r="U149" s="708"/>
    </row>
    <row r="150" ht="13.8" spans="1:21">
      <c r="A150" s="19"/>
      <c r="B150" s="275"/>
      <c r="C150" s="20" t="str">
        <f>IFERROR(VLOOKUP(J150,'03. THIẾT BỊ'!$B$1:$U$836,5,0),"")</f>
        <v>Máy kéo chuối (Xăng)</v>
      </c>
      <c r="D150" s="19">
        <v>1</v>
      </c>
      <c r="E150" s="19"/>
      <c r="F150" s="19" t="s">
        <v>5978</v>
      </c>
      <c r="G150" s="19"/>
      <c r="H150" s="19">
        <f>IFERROR(VLOOKUP(J150,'03. THIẾT BỊ'!$B$1:$U$836,19,0),"")</f>
        <v>0.56</v>
      </c>
      <c r="I150" s="19" t="str">
        <f>IFERROR(VLOOKUP(J150,'03. THIẾT BỊ'!$B$1:$U$836,20,0),"")</f>
        <v>400 buồng/8h</v>
      </c>
      <c r="J150" s="20" t="s">
        <v>4660</v>
      </c>
      <c r="K150" s="19" t="s">
        <v>5978</v>
      </c>
      <c r="L150" s="19"/>
      <c r="M150" s="19"/>
      <c r="N150" s="19" t="str">
        <f>IFERROR(VLOOKUP(J150,'03. THIẾT BỊ'!$B$1:$U$836,4,0),"")</f>
        <v>ĐQSD</v>
      </c>
      <c r="O150" s="19" t="str">
        <f>IFERROR(VLOOKUP(J150,'03. THIẾT BỊ'!$B$1:$U$836,7,0),"")</f>
        <v>XN Chuối DP3</v>
      </c>
      <c r="P150" s="353" t="str">
        <f>IFERROR(VLOOKUP(O150,'NS QUẢN LÝ CG'!$A$4:$D$36,2,0),"")</f>
        <v/>
      </c>
      <c r="Q150" s="353" t="str">
        <f>IFERROR(VLOOKUP(O150,'NS QUẢN LÝ CG'!$A$4:$D$36,4,0),"")</f>
        <v/>
      </c>
      <c r="R150" s="353" t="str">
        <f>IFERROR(VLOOKUP(O150,'NS QUẢN LÝ CG'!$A$4:$C$36,3,0),"")</f>
        <v/>
      </c>
      <c r="S150" s="20" t="str">
        <f>IFERROR(VLOOKUP(J150,'03. THIẾT BỊ'!$B$1:$S$836,3,0),"")</f>
        <v>A23-MKC-031</v>
      </c>
      <c r="T150" s="708" t="str">
        <f t="shared" si="2"/>
        <v>DP</v>
      </c>
      <c r="U150" s="708"/>
    </row>
    <row r="151" ht="13.8" spans="1:21">
      <c r="A151" s="19"/>
      <c r="B151" s="275"/>
      <c r="C151" s="20" t="str">
        <f>IFERROR(VLOOKUP(J151,'03. THIẾT BỊ'!$B$1:$U$836,5,0),"")</f>
        <v>Máy kéo chuối (Xăng)</v>
      </c>
      <c r="D151" s="19">
        <v>1</v>
      </c>
      <c r="E151" s="19"/>
      <c r="F151" s="19" t="s">
        <v>5978</v>
      </c>
      <c r="G151" s="19"/>
      <c r="H151" s="19">
        <f>IFERROR(VLOOKUP(J151,'03. THIẾT BỊ'!$B$1:$U$836,19,0),"")</f>
        <v>0.56</v>
      </c>
      <c r="I151" s="19" t="str">
        <f>IFERROR(VLOOKUP(J151,'03. THIẾT BỊ'!$B$1:$U$836,20,0),"")</f>
        <v>400 buồng/8h</v>
      </c>
      <c r="J151" s="20" t="s">
        <v>4663</v>
      </c>
      <c r="K151" s="19" t="s">
        <v>5978</v>
      </c>
      <c r="L151" s="19"/>
      <c r="M151" s="19"/>
      <c r="N151" s="19" t="str">
        <f>IFERROR(VLOOKUP(J151,'03. THIẾT BỊ'!$B$1:$U$836,4,0),"")</f>
        <v>ĐQSD</v>
      </c>
      <c r="O151" s="19" t="str">
        <f>IFERROR(VLOOKUP(J151,'03. THIẾT BỊ'!$B$1:$U$836,7,0),"")</f>
        <v>XN Chuối DP3</v>
      </c>
      <c r="P151" s="353" t="str">
        <f>IFERROR(VLOOKUP(O151,'NS QUẢN LÝ CG'!$A$4:$D$36,2,0),"")</f>
        <v/>
      </c>
      <c r="Q151" s="353" t="str">
        <f>IFERROR(VLOOKUP(O151,'NS QUẢN LÝ CG'!$A$4:$D$36,4,0),"")</f>
        <v/>
      </c>
      <c r="R151" s="353" t="str">
        <f>IFERROR(VLOOKUP(O151,'NS QUẢN LÝ CG'!$A$4:$C$36,3,0),"")</f>
        <v/>
      </c>
      <c r="S151" s="20" t="str">
        <f>IFERROR(VLOOKUP(J151,'03. THIẾT BỊ'!$B$1:$S$836,3,0),"")</f>
        <v>A23-MKC-033</v>
      </c>
      <c r="T151" s="708" t="str">
        <f t="shared" si="2"/>
        <v>DP</v>
      </c>
      <c r="U151" s="708"/>
    </row>
    <row r="152" ht="13.8" spans="1:21">
      <c r="A152" s="19"/>
      <c r="B152" s="275"/>
      <c r="C152" s="20" t="str">
        <f>IFERROR(VLOOKUP(J152,'03. THIẾT BỊ'!$B$1:$U$836,5,0),"")</f>
        <v>Máy kéo chuối (Xăng)</v>
      </c>
      <c r="D152" s="19">
        <v>1</v>
      </c>
      <c r="E152" s="19"/>
      <c r="F152" s="19" t="s">
        <v>5978</v>
      </c>
      <c r="G152" s="19"/>
      <c r="H152" s="19">
        <f>IFERROR(VLOOKUP(J152,'03. THIẾT BỊ'!$B$1:$U$836,19,0),"")</f>
        <v>0.56</v>
      </c>
      <c r="I152" s="19" t="str">
        <f>IFERROR(VLOOKUP(J152,'03. THIẾT BỊ'!$B$1:$U$836,20,0),"")</f>
        <v>400 buồng/8h</v>
      </c>
      <c r="J152" s="20" t="s">
        <v>4666</v>
      </c>
      <c r="K152" s="19" t="s">
        <v>5978</v>
      </c>
      <c r="L152" s="19"/>
      <c r="M152" s="19"/>
      <c r="N152" s="19" t="str">
        <f>IFERROR(VLOOKUP(J152,'03. THIẾT BỊ'!$B$1:$U$836,4,0),"")</f>
        <v>ĐQSD</v>
      </c>
      <c r="O152" s="19" t="str">
        <f>IFERROR(VLOOKUP(J152,'03. THIẾT BỊ'!$B$1:$U$836,7,0),"")</f>
        <v>XN Chuối DP3</v>
      </c>
      <c r="P152" s="353" t="str">
        <f>IFERROR(VLOOKUP(O152,'NS QUẢN LÝ CG'!$A$4:$D$36,2,0),"")</f>
        <v/>
      </c>
      <c r="Q152" s="353" t="str">
        <f>IFERROR(VLOOKUP(O152,'NS QUẢN LÝ CG'!$A$4:$D$36,4,0),"")</f>
        <v/>
      </c>
      <c r="R152" s="353" t="str">
        <f>IFERROR(VLOOKUP(O152,'NS QUẢN LÝ CG'!$A$4:$C$36,3,0),"")</f>
        <v/>
      </c>
      <c r="S152" s="20" t="str">
        <f>IFERROR(VLOOKUP(J152,'03. THIẾT BỊ'!$B$1:$S$836,3,0),"")</f>
        <v>A23-MKC-035</v>
      </c>
      <c r="T152" s="708" t="str">
        <f t="shared" si="2"/>
        <v>DP</v>
      </c>
      <c r="U152" s="708"/>
    </row>
    <row r="153" ht="13.8" spans="1:21">
      <c r="A153" s="19"/>
      <c r="B153" s="275"/>
      <c r="C153" s="20" t="str">
        <f>IFERROR(VLOOKUP(J153,'03. THIẾT BỊ'!$B$1:$U$836,5,0),"")</f>
        <v>Máy kéo chuối (Xăng)</v>
      </c>
      <c r="D153" s="19">
        <v>1</v>
      </c>
      <c r="E153" s="19"/>
      <c r="F153" s="19" t="s">
        <v>5978</v>
      </c>
      <c r="G153" s="19"/>
      <c r="H153" s="19">
        <f>IFERROR(VLOOKUP(J153,'03. THIẾT BỊ'!$B$1:$U$836,19,0),"")</f>
        <v>0.56</v>
      </c>
      <c r="I153" s="19" t="str">
        <f>IFERROR(VLOOKUP(J153,'03. THIẾT BỊ'!$B$1:$U$836,20,0),"")</f>
        <v>400 buồng/8h</v>
      </c>
      <c r="J153" s="20" t="s">
        <v>4669</v>
      </c>
      <c r="K153" s="19"/>
      <c r="L153" s="19" t="s">
        <v>5978</v>
      </c>
      <c r="M153" s="19"/>
      <c r="N153" s="19" t="str">
        <f>IFERROR(VLOOKUP(J153,'03. THIẾT BỊ'!$B$1:$U$836,4,0),"")</f>
        <v>ĐQSD</v>
      </c>
      <c r="O153" s="19" t="str">
        <f>IFERROR(VLOOKUP(J153,'03. THIẾT BỊ'!$B$1:$U$836,7,0),"")</f>
        <v>XN Chuối DP3</v>
      </c>
      <c r="P153" s="353" t="str">
        <f>IFERROR(VLOOKUP(O153,'NS QUẢN LÝ CG'!$A$4:$D$36,2,0),"")</f>
        <v/>
      </c>
      <c r="Q153" s="353" t="str">
        <f>IFERROR(VLOOKUP(O153,'NS QUẢN LÝ CG'!$A$4:$D$36,4,0),"")</f>
        <v/>
      </c>
      <c r="R153" s="353" t="str">
        <f>IFERROR(VLOOKUP(O153,'NS QUẢN LÝ CG'!$A$4:$C$36,3,0),"")</f>
        <v/>
      </c>
      <c r="S153" s="20" t="str">
        <f>IFERROR(VLOOKUP(J153,'03. THIẾT BỊ'!$B$1:$S$836,3,0),"")</f>
        <v>A23-MKC-041</v>
      </c>
      <c r="T153" s="708" t="str">
        <f t="shared" si="2"/>
        <v>DP</v>
      </c>
      <c r="U153" s="708"/>
    </row>
    <row r="154" ht="13.8" spans="1:21">
      <c r="A154" s="19"/>
      <c r="B154" s="275"/>
      <c r="C154" s="20" t="str">
        <f>IFERROR(VLOOKUP(J154,'03. THIẾT BỊ'!$B$1:$U$836,5,0),"")</f>
        <v>Máy kéo chuối (Xăng)</v>
      </c>
      <c r="D154" s="19">
        <v>1</v>
      </c>
      <c r="E154" s="19"/>
      <c r="F154" s="19" t="s">
        <v>5978</v>
      </c>
      <c r="G154" s="19"/>
      <c r="H154" s="19">
        <f>IFERROR(VLOOKUP(J154,'03. THIẾT BỊ'!$B$1:$U$836,19,0),"")</f>
        <v>0.56</v>
      </c>
      <c r="I154" s="19" t="str">
        <f>IFERROR(VLOOKUP(J154,'03. THIẾT BỊ'!$B$1:$U$836,20,0),"")</f>
        <v>400 buồng/8h</v>
      </c>
      <c r="J154" s="20" t="s">
        <v>4673</v>
      </c>
      <c r="K154" s="19"/>
      <c r="L154" s="19" t="s">
        <v>5978</v>
      </c>
      <c r="M154" s="19"/>
      <c r="N154" s="19" t="str">
        <f>IFERROR(VLOOKUP(J154,'03. THIẾT BỊ'!$B$1:$U$836,4,0),"")</f>
        <v>ĐQSD</v>
      </c>
      <c r="O154" s="19" t="str">
        <f>IFERROR(VLOOKUP(J154,'03. THIẾT BỊ'!$B$1:$U$836,7,0),"")</f>
        <v>XN Chuối DP3</v>
      </c>
      <c r="P154" s="353" t="str">
        <f>IFERROR(VLOOKUP(O154,'NS QUẢN LÝ CG'!$A$4:$D$36,2,0),"")</f>
        <v/>
      </c>
      <c r="Q154" s="353" t="str">
        <f>IFERROR(VLOOKUP(O154,'NS QUẢN LÝ CG'!$A$4:$D$36,4,0),"")</f>
        <v/>
      </c>
      <c r="R154" s="353" t="str">
        <f>IFERROR(VLOOKUP(O154,'NS QUẢN LÝ CG'!$A$4:$C$36,3,0),"")</f>
        <v/>
      </c>
      <c r="S154" s="20" t="str">
        <f>IFERROR(VLOOKUP(J154,'03. THIẾT BỊ'!$B$1:$S$836,3,0),"")</f>
        <v>A23-MKC-044</v>
      </c>
      <c r="T154" s="708" t="str">
        <f t="shared" si="2"/>
        <v>DP</v>
      </c>
      <c r="U154" s="708"/>
    </row>
    <row r="155" ht="13.8" spans="1:21">
      <c r="A155" s="19"/>
      <c r="B155" s="275"/>
      <c r="C155" s="20" t="str">
        <f>IFERROR(VLOOKUP(J155,'03. THIẾT BỊ'!$B$1:$U$836,5,0),"")</f>
        <v>Máy kéo chuối (Xăng)</v>
      </c>
      <c r="D155" s="19">
        <v>1</v>
      </c>
      <c r="E155" s="19"/>
      <c r="F155" s="19" t="s">
        <v>5978</v>
      </c>
      <c r="G155" s="19"/>
      <c r="H155" s="19">
        <f>IFERROR(VLOOKUP(J155,'03. THIẾT BỊ'!$B$1:$U$836,19,0),"")</f>
        <v>0.56</v>
      </c>
      <c r="I155" s="19" t="str">
        <f>IFERROR(VLOOKUP(J155,'03. THIẾT BỊ'!$B$1:$U$836,20,0),"")</f>
        <v>400 buồng/8h</v>
      </c>
      <c r="J155" s="20" t="s">
        <v>4675</v>
      </c>
      <c r="K155" s="19" t="s">
        <v>5978</v>
      </c>
      <c r="L155" s="19"/>
      <c r="M155" s="19"/>
      <c r="N155" s="19" t="str">
        <f>IFERROR(VLOOKUP(J155,'03. THIẾT BỊ'!$B$1:$U$836,4,0),"")</f>
        <v>ĐQSD</v>
      </c>
      <c r="O155" s="19" t="str">
        <f>IFERROR(VLOOKUP(J155,'03. THIẾT BỊ'!$B$1:$U$836,7,0),"")</f>
        <v>XN Chuối DP3</v>
      </c>
      <c r="P155" s="353" t="str">
        <f>IFERROR(VLOOKUP(O155,'NS QUẢN LÝ CG'!$A$4:$D$36,2,0),"")</f>
        <v/>
      </c>
      <c r="Q155" s="353" t="str">
        <f>IFERROR(VLOOKUP(O155,'NS QUẢN LÝ CG'!$A$4:$D$36,4,0),"")</f>
        <v/>
      </c>
      <c r="R155" s="353" t="str">
        <f>IFERROR(VLOOKUP(O155,'NS QUẢN LÝ CG'!$A$4:$C$36,3,0),"")</f>
        <v/>
      </c>
      <c r="S155" s="20" t="str">
        <f>IFERROR(VLOOKUP(J155,'03. THIẾT BỊ'!$B$1:$S$836,3,0),"")</f>
        <v>A23-MKC-045</v>
      </c>
      <c r="T155" s="708" t="str">
        <f t="shared" si="2"/>
        <v>DP</v>
      </c>
      <c r="U155" s="708"/>
    </row>
    <row r="156" ht="13.8" spans="1:21">
      <c r="A156" s="19"/>
      <c r="B156" s="275"/>
      <c r="C156" s="20" t="str">
        <f>IFERROR(VLOOKUP(J156,'03. THIẾT BỊ'!$B$1:$U$836,5,0),"")</f>
        <v>Máy kéo chuối (Xăng)</v>
      </c>
      <c r="D156" s="19">
        <v>1</v>
      </c>
      <c r="E156" s="19"/>
      <c r="F156" s="19" t="s">
        <v>5978</v>
      </c>
      <c r="G156" s="19"/>
      <c r="H156" s="19">
        <f>IFERROR(VLOOKUP(J156,'03. THIẾT BỊ'!$B$1:$U$836,19,0),"")</f>
        <v>0.56</v>
      </c>
      <c r="I156" s="19" t="str">
        <f>IFERROR(VLOOKUP(J156,'03. THIẾT BỊ'!$B$1:$U$836,20,0),"")</f>
        <v>400 buồng/8h</v>
      </c>
      <c r="J156" s="20" t="s">
        <v>4769</v>
      </c>
      <c r="K156" s="19"/>
      <c r="L156" s="19"/>
      <c r="M156" s="19" t="s">
        <v>5978</v>
      </c>
      <c r="N156" s="19" t="str">
        <f>IFERROR(VLOOKUP(J156,'03. THIẾT BỊ'!$B$1:$U$836,4,0),"")</f>
        <v>ĐQSD</v>
      </c>
      <c r="O156" s="19" t="str">
        <f>IFERROR(VLOOKUP(J156,'03. THIẾT BỊ'!$B$1:$U$836,7,0),"")</f>
        <v>XN Chuối LP1</v>
      </c>
      <c r="P156" s="353" t="str">
        <f>IFERROR(VLOOKUP(O156,'NS QUẢN LÝ CG'!$A$4:$D$36,2,0),"")</f>
        <v>Nguyễn Ngọc Nhân</v>
      </c>
      <c r="Q156" s="353" t="str">
        <f>IFERROR(VLOOKUP(O156,'NS QUẢN LÝ CG'!$A$4:$D$36,4,0),"")</f>
        <v>Lô 7 LP1</v>
      </c>
      <c r="R156" s="1104" t="str">
        <f>IFERROR(VLOOKUP(O156,'NS QUẢN LÝ CG'!$A$4:$C$36,3,0),"")</f>
        <v>0979578112</v>
      </c>
      <c r="S156" s="20" t="str">
        <f>IFERROR(VLOOKUP(J156,'03. THIẾT BỊ'!$B$1:$S$836,3,0),"")</f>
        <v>A24-MKC-004</v>
      </c>
      <c r="T156" s="708" t="str">
        <f t="shared" si="2"/>
        <v>LP</v>
      </c>
      <c r="U156" s="708"/>
    </row>
    <row r="157" ht="13.8" spans="1:21">
      <c r="A157" s="19"/>
      <c r="B157" s="275"/>
      <c r="C157" s="20" t="str">
        <f>IFERROR(VLOOKUP(J157,'03. THIẾT BỊ'!$B$1:$U$836,5,0),"")</f>
        <v>Máy kéo chuối (Xăng)</v>
      </c>
      <c r="D157" s="19">
        <v>1</v>
      </c>
      <c r="E157" s="19"/>
      <c r="F157" s="19" t="s">
        <v>5978</v>
      </c>
      <c r="G157" s="19"/>
      <c r="H157" s="19">
        <f>IFERROR(VLOOKUP(J157,'03. THIẾT BỊ'!$B$1:$U$836,19,0),"")</f>
        <v>0.56</v>
      </c>
      <c r="I157" s="19" t="str">
        <f>IFERROR(VLOOKUP(J157,'03. THIẾT BỊ'!$B$1:$U$836,20,0),"")</f>
        <v>400 buồng/8h</v>
      </c>
      <c r="J157" s="20" t="s">
        <v>4773</v>
      </c>
      <c r="K157" s="19"/>
      <c r="L157" s="19"/>
      <c r="M157" s="19" t="s">
        <v>5978</v>
      </c>
      <c r="N157" s="19" t="str">
        <f>IFERROR(VLOOKUP(J157,'03. THIẾT BỊ'!$B$1:$U$836,4,0),"")</f>
        <v>ĐQSD</v>
      </c>
      <c r="O157" s="19" t="str">
        <f>IFERROR(VLOOKUP(J157,'03. THIẾT BỊ'!$B$1:$U$836,7,0),"")</f>
        <v>XN Chuối LP1</v>
      </c>
      <c r="P157" s="353" t="str">
        <f>IFERROR(VLOOKUP(O157,'NS QUẢN LÝ CG'!$A$4:$D$36,2,0),"")</f>
        <v>Nguyễn Ngọc Nhân</v>
      </c>
      <c r="Q157" s="353" t="str">
        <f>IFERROR(VLOOKUP(O157,'NS QUẢN LÝ CG'!$A$4:$D$36,4,0),"")</f>
        <v>Lô 7 LP1</v>
      </c>
      <c r="R157" s="1104" t="str">
        <f>IFERROR(VLOOKUP(O157,'NS QUẢN LÝ CG'!$A$4:$C$36,3,0),"")</f>
        <v>0979578112</v>
      </c>
      <c r="S157" s="20" t="str">
        <f>IFERROR(VLOOKUP(J157,'03. THIẾT BỊ'!$B$1:$S$836,3,0),"")</f>
        <v>A24-MKC-007</v>
      </c>
      <c r="T157" s="708" t="str">
        <f t="shared" si="2"/>
        <v>LP</v>
      </c>
      <c r="U157" s="708"/>
    </row>
    <row r="158" ht="13.8" spans="1:21">
      <c r="A158" s="19"/>
      <c r="B158" s="275"/>
      <c r="C158" s="20" t="str">
        <f>IFERROR(VLOOKUP(J158,'03. THIẾT BỊ'!$B$1:$U$836,5,0),"")</f>
        <v>Máy kéo chuối (Xăng)</v>
      </c>
      <c r="D158" s="19">
        <v>1</v>
      </c>
      <c r="E158" s="19"/>
      <c r="F158" s="19" t="s">
        <v>5978</v>
      </c>
      <c r="G158" s="19"/>
      <c r="H158" s="19">
        <f>IFERROR(VLOOKUP(J158,'03. THIẾT BỊ'!$B$1:$U$836,19,0),"")</f>
        <v>0.56</v>
      </c>
      <c r="I158" s="19" t="str">
        <f>IFERROR(VLOOKUP(J158,'03. THIẾT BỊ'!$B$1:$U$836,20,0),"")</f>
        <v>400 buồng/8h</v>
      </c>
      <c r="J158" s="20" t="s">
        <v>4776</v>
      </c>
      <c r="K158" s="19"/>
      <c r="L158" s="19"/>
      <c r="M158" s="19" t="s">
        <v>5978</v>
      </c>
      <c r="N158" s="19" t="str">
        <f>IFERROR(VLOOKUP(J158,'03. THIẾT BỊ'!$B$1:$U$836,4,0),"")</f>
        <v>ĐQSD</v>
      </c>
      <c r="O158" s="19" t="str">
        <f>IFERROR(VLOOKUP(J158,'03. THIẾT BỊ'!$B$1:$U$836,7,0),"")</f>
        <v>XN Chuối LP1</v>
      </c>
      <c r="P158" s="353" t="str">
        <f>IFERROR(VLOOKUP(O158,'NS QUẢN LÝ CG'!$A$4:$D$36,2,0),"")</f>
        <v>Nguyễn Ngọc Nhân</v>
      </c>
      <c r="Q158" s="353" t="str">
        <f>IFERROR(VLOOKUP(O158,'NS QUẢN LÝ CG'!$A$4:$D$36,4,0),"")</f>
        <v>Lô 7 LP1</v>
      </c>
      <c r="R158" s="1104" t="str">
        <f>IFERROR(VLOOKUP(O158,'NS QUẢN LÝ CG'!$A$4:$C$36,3,0),"")</f>
        <v>0979578112</v>
      </c>
      <c r="S158" s="20" t="str">
        <f>IFERROR(VLOOKUP(J158,'03. THIẾT BỊ'!$B$1:$S$836,3,0),"")</f>
        <v>A24-MKC-010</v>
      </c>
      <c r="T158" s="708" t="str">
        <f t="shared" si="2"/>
        <v>LP</v>
      </c>
      <c r="U158" s="708"/>
    </row>
    <row r="159" ht="13.8" spans="1:21">
      <c r="A159" s="19"/>
      <c r="B159" s="275"/>
      <c r="C159" s="20" t="str">
        <f>IFERROR(VLOOKUP(J159,'03. THIẾT BỊ'!$B$1:$U$836,5,0),"")</f>
        <v>Máy kéo chuối (Xăng)</v>
      </c>
      <c r="D159" s="19">
        <v>1</v>
      </c>
      <c r="E159" s="19"/>
      <c r="F159" s="19" t="s">
        <v>5978</v>
      </c>
      <c r="G159" s="19"/>
      <c r="H159" s="19">
        <f>IFERROR(VLOOKUP(J159,'03. THIẾT BỊ'!$B$1:$U$836,19,0),"")</f>
        <v>0.56</v>
      </c>
      <c r="I159" s="19" t="str">
        <f>IFERROR(VLOOKUP(J159,'03. THIẾT BỊ'!$B$1:$U$836,20,0),"")</f>
        <v>400 buồng/8h</v>
      </c>
      <c r="J159" s="20" t="s">
        <v>4778</v>
      </c>
      <c r="K159" s="19"/>
      <c r="L159" s="19"/>
      <c r="M159" s="19" t="s">
        <v>5978</v>
      </c>
      <c r="N159" s="19" t="str">
        <f>IFERROR(VLOOKUP(J159,'03. THIẾT BỊ'!$B$1:$U$836,4,0),"")</f>
        <v>ĐQSD</v>
      </c>
      <c r="O159" s="19" t="str">
        <f>IFERROR(VLOOKUP(J159,'03. THIẾT BỊ'!$B$1:$U$836,7,0),"")</f>
        <v>XN Chuối LP1</v>
      </c>
      <c r="P159" s="353" t="str">
        <f>IFERROR(VLOOKUP(O159,'NS QUẢN LÝ CG'!$A$4:$D$36,2,0),"")</f>
        <v>Nguyễn Ngọc Nhân</v>
      </c>
      <c r="Q159" s="353" t="str">
        <f>IFERROR(VLOOKUP(O159,'NS QUẢN LÝ CG'!$A$4:$D$36,4,0),"")</f>
        <v>Lô 7 LP1</v>
      </c>
      <c r="R159" s="1104" t="str">
        <f>IFERROR(VLOOKUP(O159,'NS QUẢN LÝ CG'!$A$4:$C$36,3,0),"")</f>
        <v>0979578112</v>
      </c>
      <c r="S159" s="20" t="str">
        <f>IFERROR(VLOOKUP(J159,'03. THIẾT BỊ'!$B$1:$S$836,3,0),"")</f>
        <v>A24-MKC-012</v>
      </c>
      <c r="T159" s="708" t="str">
        <f t="shared" si="2"/>
        <v>LP</v>
      </c>
      <c r="U159" s="708"/>
    </row>
    <row r="160" ht="13.8" spans="1:21">
      <c r="A160" s="19"/>
      <c r="B160" s="275"/>
      <c r="C160" s="20" t="str">
        <f>IFERROR(VLOOKUP(J160,'03. THIẾT BỊ'!$B$1:$U$836,5,0),"")</f>
        <v>Máy kéo chuối (Xăng)</v>
      </c>
      <c r="D160" s="19">
        <v>1</v>
      </c>
      <c r="E160" s="19"/>
      <c r="F160" s="19" t="s">
        <v>5978</v>
      </c>
      <c r="G160" s="19"/>
      <c r="H160" s="19">
        <f>IFERROR(VLOOKUP(J160,'03. THIẾT BỊ'!$B$1:$U$836,19,0),"")</f>
        <v>0.56</v>
      </c>
      <c r="I160" s="19" t="str">
        <f>IFERROR(VLOOKUP(J160,'03. THIẾT BỊ'!$B$1:$U$836,20,0),"")</f>
        <v>400 buồng/8h</v>
      </c>
      <c r="J160" s="20" t="s">
        <v>4781</v>
      </c>
      <c r="K160" s="19"/>
      <c r="L160" s="19" t="s">
        <v>5978</v>
      </c>
      <c r="M160" s="19"/>
      <c r="N160" s="19" t="str">
        <f>IFERROR(VLOOKUP(J160,'03. THIẾT BỊ'!$B$1:$U$836,4,0),"")</f>
        <v>ĐQSD</v>
      </c>
      <c r="O160" s="19" t="str">
        <f>IFERROR(VLOOKUP(J160,'03. THIẾT BỊ'!$B$1:$U$836,7,0),"")</f>
        <v>XN Chuối LP1</v>
      </c>
      <c r="P160" s="353" t="str">
        <f>IFERROR(VLOOKUP(O160,'NS QUẢN LÝ CG'!$A$4:$D$36,2,0),"")</f>
        <v>Nguyễn Ngọc Nhân</v>
      </c>
      <c r="Q160" s="353" t="str">
        <f>IFERROR(VLOOKUP(O160,'NS QUẢN LÝ CG'!$A$4:$D$36,4,0),"")</f>
        <v>Lô 7 LP1</v>
      </c>
      <c r="R160" s="1104" t="str">
        <f>IFERROR(VLOOKUP(O160,'NS QUẢN LÝ CG'!$A$4:$C$36,3,0),"")</f>
        <v>0979578112</v>
      </c>
      <c r="S160" s="20" t="str">
        <f>IFERROR(VLOOKUP(J160,'03. THIẾT BỊ'!$B$1:$S$836,3,0),"")</f>
        <v>A24-MKC-013</v>
      </c>
      <c r="T160" s="708" t="str">
        <f t="shared" si="2"/>
        <v>LP</v>
      </c>
      <c r="U160" s="708"/>
    </row>
    <row r="161" ht="13.8" spans="1:21">
      <c r="A161" s="19"/>
      <c r="B161" s="275"/>
      <c r="C161" s="20" t="str">
        <f>IFERROR(VLOOKUP(J161,'03. THIẾT BỊ'!$B$1:$U$836,5,0),"")</f>
        <v>Máy kéo chuối (Xăng)</v>
      </c>
      <c r="D161" s="19">
        <v>1</v>
      </c>
      <c r="E161" s="19"/>
      <c r="F161" s="19" t="s">
        <v>5978</v>
      </c>
      <c r="G161" s="19"/>
      <c r="H161" s="19">
        <f>IFERROR(VLOOKUP(J161,'03. THIẾT BỊ'!$B$1:$U$836,19,0),"")</f>
        <v>0.56</v>
      </c>
      <c r="I161" s="19" t="str">
        <f>IFERROR(VLOOKUP(J161,'03. THIẾT BỊ'!$B$1:$U$836,20,0),"")</f>
        <v>400 buồng/8h</v>
      </c>
      <c r="J161" s="20" t="s">
        <v>4783</v>
      </c>
      <c r="K161" s="19"/>
      <c r="L161" s="19" t="s">
        <v>5978</v>
      </c>
      <c r="M161" s="19"/>
      <c r="N161" s="19" t="str">
        <f>IFERROR(VLOOKUP(J161,'03. THIẾT BỊ'!$B$1:$U$836,4,0),"")</f>
        <v>ĐQSD</v>
      </c>
      <c r="O161" s="19" t="str">
        <f>IFERROR(VLOOKUP(J161,'03. THIẾT BỊ'!$B$1:$U$836,7,0),"")</f>
        <v>XN Chuối LP1</v>
      </c>
      <c r="P161" s="353" t="str">
        <f>IFERROR(VLOOKUP(O161,'NS QUẢN LÝ CG'!$A$4:$D$36,2,0),"")</f>
        <v>Nguyễn Ngọc Nhân</v>
      </c>
      <c r="Q161" s="353" t="str">
        <f>IFERROR(VLOOKUP(O161,'NS QUẢN LÝ CG'!$A$4:$D$36,4,0),"")</f>
        <v>Lô 7 LP1</v>
      </c>
      <c r="R161" s="1104" t="str">
        <f>IFERROR(VLOOKUP(O161,'NS QUẢN LÝ CG'!$A$4:$C$36,3,0),"")</f>
        <v>0979578112</v>
      </c>
      <c r="S161" s="20" t="str">
        <f>IFERROR(VLOOKUP(J161,'03. THIẾT BỊ'!$B$1:$S$836,3,0),"")</f>
        <v>A24-MKC-014</v>
      </c>
      <c r="T161" s="708" t="str">
        <f t="shared" si="2"/>
        <v>LP</v>
      </c>
      <c r="U161" s="708"/>
    </row>
    <row r="162" ht="13.8" spans="1:21">
      <c r="A162" s="19"/>
      <c r="B162" s="275"/>
      <c r="C162" s="20" t="str">
        <f>IFERROR(VLOOKUP(J162,'03. THIẾT BỊ'!$B$1:$U$836,5,0),"")</f>
        <v>Máy kéo chuối (Xăng)</v>
      </c>
      <c r="D162" s="19">
        <v>1</v>
      </c>
      <c r="E162" s="19"/>
      <c r="F162" s="19" t="s">
        <v>5978</v>
      </c>
      <c r="G162" s="19"/>
      <c r="H162" s="19">
        <f>IFERROR(VLOOKUP(J162,'03. THIẾT BỊ'!$B$1:$U$836,19,0),"")</f>
        <v>0.56</v>
      </c>
      <c r="I162" s="19" t="str">
        <f>IFERROR(VLOOKUP(J162,'03. THIẾT BỊ'!$B$1:$U$836,20,0),"")</f>
        <v>400 buồng/8h</v>
      </c>
      <c r="J162" s="20" t="s">
        <v>4786</v>
      </c>
      <c r="K162" s="19" t="s">
        <v>5978</v>
      </c>
      <c r="L162" s="19"/>
      <c r="M162" s="19"/>
      <c r="N162" s="19" t="str">
        <f>IFERROR(VLOOKUP(J162,'03. THIẾT BỊ'!$B$1:$U$836,4,0),"")</f>
        <v>ĐQSD</v>
      </c>
      <c r="O162" s="19" t="str">
        <f>IFERROR(VLOOKUP(J162,'03. THIẾT BỊ'!$B$1:$U$836,7,0),"")</f>
        <v>XN Chuối LP1</v>
      </c>
      <c r="P162" s="353" t="str">
        <f>IFERROR(VLOOKUP(O162,'NS QUẢN LÝ CG'!$A$4:$D$36,2,0),"")</f>
        <v>Nguyễn Ngọc Nhân</v>
      </c>
      <c r="Q162" s="353" t="str">
        <f>IFERROR(VLOOKUP(O162,'NS QUẢN LÝ CG'!$A$4:$D$36,4,0),"")</f>
        <v>Lô 7 LP1</v>
      </c>
      <c r="R162" s="1104" t="str">
        <f>IFERROR(VLOOKUP(O162,'NS QUẢN LÝ CG'!$A$4:$C$36,3,0),"")</f>
        <v>0979578112</v>
      </c>
      <c r="S162" s="20" t="str">
        <f>IFERROR(VLOOKUP(J162,'03. THIẾT BỊ'!$B$1:$S$836,3,0),"")</f>
        <v>A24-MKC-016</v>
      </c>
      <c r="T162" s="708" t="str">
        <f t="shared" si="2"/>
        <v>LP</v>
      </c>
      <c r="U162" s="708"/>
    </row>
    <row r="163" ht="13.8" spans="1:21">
      <c r="A163" s="19"/>
      <c r="B163" s="275"/>
      <c r="C163" s="20" t="str">
        <f>IFERROR(VLOOKUP(J163,'03. THIẾT BỊ'!$B$1:$U$836,5,0),"")</f>
        <v>Máy kéo chuối (Xăng)</v>
      </c>
      <c r="D163" s="19">
        <v>1</v>
      </c>
      <c r="E163" s="19"/>
      <c r="F163" s="19" t="s">
        <v>5978</v>
      </c>
      <c r="G163" s="19"/>
      <c r="H163" s="19">
        <f>IFERROR(VLOOKUP(J163,'03. THIẾT BỊ'!$B$1:$U$836,19,0),"")</f>
        <v>0.56</v>
      </c>
      <c r="I163" s="19" t="str">
        <f>IFERROR(VLOOKUP(J163,'03. THIẾT BỊ'!$B$1:$U$836,20,0),"")</f>
        <v>400 buồng/8h</v>
      </c>
      <c r="J163" s="20" t="s">
        <v>4789</v>
      </c>
      <c r="K163" s="19" t="s">
        <v>5978</v>
      </c>
      <c r="L163" s="19"/>
      <c r="M163" s="19"/>
      <c r="N163" s="19" t="str">
        <f>IFERROR(VLOOKUP(J163,'03. THIẾT BỊ'!$B$1:$U$836,4,0),"")</f>
        <v>ĐQSD</v>
      </c>
      <c r="O163" s="19" t="str">
        <f>IFERROR(VLOOKUP(J163,'03. THIẾT BỊ'!$B$1:$U$836,7,0),"")</f>
        <v>XN Chuối LP1</v>
      </c>
      <c r="P163" s="353" t="str">
        <f>IFERROR(VLOOKUP(O163,'NS QUẢN LÝ CG'!$A$4:$D$36,2,0),"")</f>
        <v>Nguyễn Ngọc Nhân</v>
      </c>
      <c r="Q163" s="353" t="str">
        <f>IFERROR(VLOOKUP(O163,'NS QUẢN LÝ CG'!$A$4:$D$36,4,0),"")</f>
        <v>Lô 7 LP1</v>
      </c>
      <c r="R163" s="1104" t="str">
        <f>IFERROR(VLOOKUP(O163,'NS QUẢN LÝ CG'!$A$4:$C$36,3,0),"")</f>
        <v>0979578112</v>
      </c>
      <c r="S163" s="20" t="str">
        <f>IFERROR(VLOOKUP(J163,'03. THIẾT BỊ'!$B$1:$S$836,3,0),"")</f>
        <v>A23-MKC-022</v>
      </c>
      <c r="T163" s="708" t="str">
        <f t="shared" si="2"/>
        <v>DP</v>
      </c>
      <c r="U163" s="708"/>
    </row>
    <row r="164" ht="13.8" spans="1:21">
      <c r="A164" s="19"/>
      <c r="B164" s="275"/>
      <c r="C164" s="20" t="str">
        <f>IFERROR(VLOOKUP(J164,'03. THIẾT BỊ'!$B$1:$U$836,5,0),"")</f>
        <v>Máy kéo chuối (Xăng)</v>
      </c>
      <c r="D164" s="19">
        <v>1</v>
      </c>
      <c r="E164" s="19"/>
      <c r="F164" s="19" t="s">
        <v>5978</v>
      </c>
      <c r="G164" s="19"/>
      <c r="H164" s="19">
        <f>IFERROR(VLOOKUP(J164,'03. THIẾT BỊ'!$B$1:$U$836,19,0),"")</f>
        <v>0.56</v>
      </c>
      <c r="I164" s="19" t="str">
        <f>IFERROR(VLOOKUP(J164,'03. THIẾT BỊ'!$B$1:$U$836,20,0),"")</f>
        <v>400 buồng/8h</v>
      </c>
      <c r="J164" s="20" t="s">
        <v>4791</v>
      </c>
      <c r="K164" s="19" t="s">
        <v>5978</v>
      </c>
      <c r="L164" s="19"/>
      <c r="M164" s="19"/>
      <c r="N164" s="19" t="str">
        <f>IFERROR(VLOOKUP(J164,'03. THIẾT BỊ'!$B$1:$U$836,4,0),"")</f>
        <v>ĐQSD</v>
      </c>
      <c r="O164" s="19" t="str">
        <f>IFERROR(VLOOKUP(J164,'03. THIẾT BỊ'!$B$1:$U$836,7,0),"")</f>
        <v>XN Chuối LP1</v>
      </c>
      <c r="P164" s="353" t="str">
        <f>IFERROR(VLOOKUP(O164,'NS QUẢN LÝ CG'!$A$4:$D$36,2,0),"")</f>
        <v>Nguyễn Ngọc Nhân</v>
      </c>
      <c r="Q164" s="353" t="str">
        <f>IFERROR(VLOOKUP(O164,'NS QUẢN LÝ CG'!$A$4:$D$36,4,0),"")</f>
        <v>Lô 7 LP1</v>
      </c>
      <c r="R164" s="1104" t="str">
        <f>IFERROR(VLOOKUP(O164,'NS QUẢN LÝ CG'!$A$4:$C$36,3,0),"")</f>
        <v>0979578112</v>
      </c>
      <c r="S164" s="20" t="str">
        <f>IFERROR(VLOOKUP(J164,'03. THIẾT BỊ'!$B$1:$S$836,3,0),"")</f>
        <v>A24-MKC-019</v>
      </c>
      <c r="T164" s="708" t="str">
        <f t="shared" si="2"/>
        <v>LP</v>
      </c>
      <c r="U164" s="708"/>
    </row>
    <row r="165" ht="13.8" spans="1:21">
      <c r="A165" s="19"/>
      <c r="B165" s="275"/>
      <c r="C165" s="20" t="str">
        <f>IFERROR(VLOOKUP(J165,'03. THIẾT BỊ'!$B$1:$U$836,5,0),"")</f>
        <v>Máy kéo chuối (Xăng)</v>
      </c>
      <c r="D165" s="19">
        <v>1</v>
      </c>
      <c r="E165" s="19"/>
      <c r="F165" s="19" t="s">
        <v>5978</v>
      </c>
      <c r="G165" s="19"/>
      <c r="H165" s="19">
        <f>IFERROR(VLOOKUP(J165,'03. THIẾT BỊ'!$B$1:$U$836,19,0),"")</f>
        <v>0.56</v>
      </c>
      <c r="I165" s="19" t="str">
        <f>IFERROR(VLOOKUP(J165,'03. THIẾT BỊ'!$B$1:$U$836,20,0),"")</f>
        <v>400 buồng/8h</v>
      </c>
      <c r="J165" s="20" t="s">
        <v>4795</v>
      </c>
      <c r="K165" s="19" t="s">
        <v>5978</v>
      </c>
      <c r="L165" s="19"/>
      <c r="M165" s="19"/>
      <c r="N165" s="19" t="str">
        <f>IFERROR(VLOOKUP(J165,'03. THIẾT BỊ'!$B$1:$U$836,4,0),"")</f>
        <v>ĐQSD</v>
      </c>
      <c r="O165" s="19" t="str">
        <f>IFERROR(VLOOKUP(J165,'03. THIẾT BỊ'!$B$1:$U$836,7,0),"")</f>
        <v>XN Chuối LP1</v>
      </c>
      <c r="P165" s="353" t="str">
        <f>IFERROR(VLOOKUP(O165,'NS QUẢN LÝ CG'!$A$4:$D$36,2,0),"")</f>
        <v>Nguyễn Ngọc Nhân</v>
      </c>
      <c r="Q165" s="353" t="str">
        <f>IFERROR(VLOOKUP(O165,'NS QUẢN LÝ CG'!$A$4:$D$36,4,0),"")</f>
        <v>Lô 7 LP1</v>
      </c>
      <c r="R165" s="1104" t="str">
        <f>IFERROR(VLOOKUP(O165,'NS QUẢN LÝ CG'!$A$4:$C$36,3,0),"")</f>
        <v>0979578112</v>
      </c>
      <c r="S165" s="20" t="str">
        <f>IFERROR(VLOOKUP(J165,'03. THIẾT BỊ'!$B$1:$S$836,3,0),"")</f>
        <v>A24-MKC-020</v>
      </c>
      <c r="T165" s="708" t="str">
        <f t="shared" si="2"/>
        <v>LP</v>
      </c>
      <c r="U165" s="708"/>
    </row>
    <row r="166" ht="13.8" spans="1:21">
      <c r="A166" s="19"/>
      <c r="B166" s="275"/>
      <c r="C166" s="20" t="str">
        <f>IFERROR(VLOOKUP(J166,'03. THIẾT BỊ'!$B$1:$U$836,5,0),"")</f>
        <v>Máy kéo chuối (Xăng)</v>
      </c>
      <c r="D166" s="19">
        <v>1</v>
      </c>
      <c r="E166" s="19"/>
      <c r="F166" s="19" t="s">
        <v>5978</v>
      </c>
      <c r="G166" s="19"/>
      <c r="H166" s="19">
        <f>IFERROR(VLOOKUP(J166,'03. THIẾT BỊ'!$B$1:$U$836,19,0),"")</f>
        <v>0.56</v>
      </c>
      <c r="I166" s="19" t="str">
        <f>IFERROR(VLOOKUP(J166,'03. THIẾT BỊ'!$B$1:$U$836,20,0),"")</f>
        <v>400 buồng/8h</v>
      </c>
      <c r="J166" s="20" t="s">
        <v>4799</v>
      </c>
      <c r="K166" s="19" t="s">
        <v>5978</v>
      </c>
      <c r="L166" s="19"/>
      <c r="M166" s="19"/>
      <c r="N166" s="19" t="str">
        <f>IFERROR(VLOOKUP(J166,'03. THIẾT BỊ'!$B$1:$U$836,4,0),"")</f>
        <v>ĐQSD</v>
      </c>
      <c r="O166" s="19" t="str">
        <f>IFERROR(VLOOKUP(J166,'03. THIẾT BỊ'!$B$1:$U$836,7,0),"")</f>
        <v>XN Chuối LP1</v>
      </c>
      <c r="P166" s="353" t="str">
        <f>IFERROR(VLOOKUP(O166,'NS QUẢN LÝ CG'!$A$4:$D$36,2,0),"")</f>
        <v>Nguyễn Ngọc Nhân</v>
      </c>
      <c r="Q166" s="353" t="str">
        <f>IFERROR(VLOOKUP(O166,'NS QUẢN LÝ CG'!$A$4:$D$36,4,0),"")</f>
        <v>Lô 7 LP1</v>
      </c>
      <c r="R166" s="1104" t="str">
        <f>IFERROR(VLOOKUP(O166,'NS QUẢN LÝ CG'!$A$4:$C$36,3,0),"")</f>
        <v>0979578112</v>
      </c>
      <c r="S166" s="20" t="str">
        <f>IFERROR(VLOOKUP(J166,'03. THIẾT BỊ'!$B$1:$S$836,3,0),"")</f>
        <v>A24-MKC-021</v>
      </c>
      <c r="T166" s="708" t="str">
        <f t="shared" si="2"/>
        <v>LP</v>
      </c>
      <c r="U166" s="708"/>
    </row>
    <row r="167" ht="13.8" spans="1:21">
      <c r="A167" s="19"/>
      <c r="B167" s="275"/>
      <c r="C167" s="20" t="str">
        <f>IFERROR(VLOOKUP(J167,'03. THIẾT BỊ'!$B$1:$U$836,5,0),"")</f>
        <v>Máy kéo chuối (Xăng)</v>
      </c>
      <c r="D167" s="19">
        <v>1</v>
      </c>
      <c r="E167" s="19"/>
      <c r="F167" s="19" t="s">
        <v>5978</v>
      </c>
      <c r="G167" s="19"/>
      <c r="H167" s="19">
        <f>IFERROR(VLOOKUP(J167,'03. THIẾT BỊ'!$B$1:$U$836,19,0),"")</f>
        <v>0.56</v>
      </c>
      <c r="I167" s="19" t="str">
        <f>IFERROR(VLOOKUP(J167,'03. THIẾT BỊ'!$B$1:$U$836,20,0),"")</f>
        <v>400 buồng/8h</v>
      </c>
      <c r="J167" s="20" t="s">
        <v>4802</v>
      </c>
      <c r="K167" s="19" t="s">
        <v>5978</v>
      </c>
      <c r="L167" s="19"/>
      <c r="M167" s="19"/>
      <c r="N167" s="19" t="str">
        <f>IFERROR(VLOOKUP(J167,'03. THIẾT BỊ'!$B$1:$U$836,4,0),"")</f>
        <v>ĐQSD</v>
      </c>
      <c r="O167" s="19" t="str">
        <f>IFERROR(VLOOKUP(J167,'03. THIẾT BỊ'!$B$1:$U$836,7,0),"")</f>
        <v>XN Chuối LP1</v>
      </c>
      <c r="P167" s="353" t="str">
        <f>IFERROR(VLOOKUP(O167,'NS QUẢN LÝ CG'!$A$4:$D$36,2,0),"")</f>
        <v>Nguyễn Ngọc Nhân</v>
      </c>
      <c r="Q167" s="353" t="str">
        <f>IFERROR(VLOOKUP(O167,'NS QUẢN LÝ CG'!$A$4:$D$36,4,0),"")</f>
        <v>Lô 7 LP1</v>
      </c>
      <c r="R167" s="1104" t="str">
        <f>IFERROR(VLOOKUP(O167,'NS QUẢN LÝ CG'!$A$4:$C$36,3,0),"")</f>
        <v>0979578112</v>
      </c>
      <c r="S167" s="20" t="str">
        <f>IFERROR(VLOOKUP(J167,'03. THIẾT BỊ'!$B$1:$S$836,3,0),"")</f>
        <v>A24-MKC-026</v>
      </c>
      <c r="T167" s="708" t="str">
        <f t="shared" si="2"/>
        <v>LP</v>
      </c>
      <c r="U167" s="708"/>
    </row>
    <row r="168" ht="13.8" spans="1:21">
      <c r="A168" s="19"/>
      <c r="B168" s="275"/>
      <c r="C168" s="20" t="str">
        <f>IFERROR(VLOOKUP(J168,'03. THIẾT BỊ'!$B$1:$U$836,5,0),"")</f>
        <v>Máy kéo chuối (Xăng)</v>
      </c>
      <c r="D168" s="19">
        <v>1</v>
      </c>
      <c r="E168" s="19"/>
      <c r="F168" s="19" t="s">
        <v>5978</v>
      </c>
      <c r="G168" s="19"/>
      <c r="H168" s="19">
        <f>IFERROR(VLOOKUP(J168,'03. THIẾT BỊ'!$B$1:$U$836,19,0),"")</f>
        <v>0.56</v>
      </c>
      <c r="I168" s="19" t="str">
        <f>IFERROR(VLOOKUP(J168,'03. THIẾT BỊ'!$B$1:$U$836,20,0),"")</f>
        <v>400 buồng/8h</v>
      </c>
      <c r="J168" s="20" t="s">
        <v>4805</v>
      </c>
      <c r="K168" s="19" t="s">
        <v>5978</v>
      </c>
      <c r="L168" s="19"/>
      <c r="M168" s="19"/>
      <c r="N168" s="19" t="str">
        <f>IFERROR(VLOOKUP(J168,'03. THIẾT BỊ'!$B$1:$U$836,4,0),"")</f>
        <v>ĐQSD</v>
      </c>
      <c r="O168" s="19" t="str">
        <f>IFERROR(VLOOKUP(J168,'03. THIẾT BỊ'!$B$1:$U$836,7,0),"")</f>
        <v>XN Chuối LP1</v>
      </c>
      <c r="P168" s="353" t="str">
        <f>IFERROR(VLOOKUP(O168,'NS QUẢN LÝ CG'!$A$4:$D$36,2,0),"")</f>
        <v>Nguyễn Ngọc Nhân</v>
      </c>
      <c r="Q168" s="353" t="str">
        <f>IFERROR(VLOOKUP(O168,'NS QUẢN LÝ CG'!$A$4:$D$36,4,0),"")</f>
        <v>Lô 7 LP1</v>
      </c>
      <c r="R168" s="1104" t="str">
        <f>IFERROR(VLOOKUP(O168,'NS QUẢN LÝ CG'!$A$4:$C$36,3,0),"")</f>
        <v>0979578112</v>
      </c>
      <c r="S168" s="20" t="str">
        <f>IFERROR(VLOOKUP(J168,'03. THIẾT BỊ'!$B$1:$S$836,3,0),"")</f>
        <v>A24-MKC-027</v>
      </c>
      <c r="T168" s="708" t="str">
        <f t="shared" si="2"/>
        <v>LP</v>
      </c>
      <c r="U168" s="708"/>
    </row>
    <row r="169" ht="13.8" spans="1:21">
      <c r="A169" s="19"/>
      <c r="B169" s="275"/>
      <c r="C169" s="20" t="str">
        <f>IFERROR(VLOOKUP(J169,'03. THIẾT BỊ'!$B$1:$U$836,5,0),"")</f>
        <v>Máy kéo chuối (Xăng)</v>
      </c>
      <c r="D169" s="19">
        <v>1</v>
      </c>
      <c r="E169" s="19"/>
      <c r="F169" s="19" t="s">
        <v>5978</v>
      </c>
      <c r="G169" s="19"/>
      <c r="H169" s="19">
        <f>IFERROR(VLOOKUP(J169,'03. THIẾT BỊ'!$B$1:$U$836,19,0),"")</f>
        <v>0.56</v>
      </c>
      <c r="I169" s="19" t="str">
        <f>IFERROR(VLOOKUP(J169,'03. THIẾT BỊ'!$B$1:$U$836,20,0),"")</f>
        <v>400 buồng/8h</v>
      </c>
      <c r="J169" s="20" t="s">
        <v>4945</v>
      </c>
      <c r="K169" s="19"/>
      <c r="L169" s="19"/>
      <c r="M169" s="19" t="s">
        <v>5978</v>
      </c>
      <c r="N169" s="19" t="str">
        <f>IFERROR(VLOOKUP(J169,'03. THIẾT BỊ'!$B$1:$U$836,4,0),"")</f>
        <v>ĐQSD</v>
      </c>
      <c r="O169" s="19" t="str">
        <f>IFERROR(VLOOKUP(J169,'03. THIẾT BỊ'!$B$1:$U$836,7,0),"")</f>
        <v>XN Chuối LP3</v>
      </c>
      <c r="P169" s="353" t="str">
        <f>IFERROR(VLOOKUP(O169,'NS QUẢN LÝ CG'!$A$4:$D$36,2,0),"")</f>
        <v/>
      </c>
      <c r="Q169" s="353" t="str">
        <f>IFERROR(VLOOKUP(O169,'NS QUẢN LÝ CG'!$A$4:$D$36,4,0),"")</f>
        <v/>
      </c>
      <c r="R169" s="353" t="str">
        <f>IFERROR(VLOOKUP(O169,'NS QUẢN LÝ CG'!$A$4:$C$36,3,0),"")</f>
        <v/>
      </c>
      <c r="S169" s="20" t="str">
        <f>IFERROR(VLOOKUP(J169,'03. THIẾT BỊ'!$B$1:$S$836,3,0),"")</f>
        <v>A24-MKC-001</v>
      </c>
      <c r="T169" s="708" t="str">
        <f t="shared" si="2"/>
        <v>LP</v>
      </c>
      <c r="U169" s="708"/>
    </row>
    <row r="170" ht="13.8" spans="1:21">
      <c r="A170" s="19"/>
      <c r="B170" s="275"/>
      <c r="C170" s="20" t="str">
        <f>IFERROR(VLOOKUP(J170,'03. THIẾT BỊ'!$B$1:$U$836,5,0),"")</f>
        <v>Máy kéo chuối (Xăng)</v>
      </c>
      <c r="D170" s="19">
        <v>1</v>
      </c>
      <c r="E170" s="19"/>
      <c r="F170" s="19" t="s">
        <v>5978</v>
      </c>
      <c r="G170" s="19"/>
      <c r="H170" s="19">
        <f>IFERROR(VLOOKUP(J170,'03. THIẾT BỊ'!$B$1:$U$836,19,0),"")</f>
        <v>0.56</v>
      </c>
      <c r="I170" s="19" t="str">
        <f>IFERROR(VLOOKUP(J170,'03. THIẾT BỊ'!$B$1:$U$836,20,0),"")</f>
        <v>400 buồng/8h</v>
      </c>
      <c r="J170" s="20" t="s">
        <v>4949</v>
      </c>
      <c r="K170" s="19"/>
      <c r="L170" s="19"/>
      <c r="M170" s="19" t="s">
        <v>5978</v>
      </c>
      <c r="N170" s="19" t="str">
        <f>IFERROR(VLOOKUP(J170,'03. THIẾT BỊ'!$B$1:$U$836,4,0),"")</f>
        <v>ĐQSD</v>
      </c>
      <c r="O170" s="19" t="str">
        <f>IFERROR(VLOOKUP(J170,'03. THIẾT BỊ'!$B$1:$U$836,7,0),"")</f>
        <v>XN Chuối LP3</v>
      </c>
      <c r="P170" s="353" t="str">
        <f>IFERROR(VLOOKUP(O170,'NS QUẢN LÝ CG'!$A$4:$D$36,2,0),"")</f>
        <v/>
      </c>
      <c r="Q170" s="353" t="str">
        <f>IFERROR(VLOOKUP(O170,'NS QUẢN LÝ CG'!$A$4:$D$36,4,0),"")</f>
        <v/>
      </c>
      <c r="R170" s="353" t="str">
        <f>IFERROR(VLOOKUP(O170,'NS QUẢN LÝ CG'!$A$4:$C$36,3,0),"")</f>
        <v/>
      </c>
      <c r="S170" s="20" t="str">
        <f>IFERROR(VLOOKUP(J170,'03. THIẾT BỊ'!$B$1:$S$836,3,0),"")</f>
        <v>A24-MKC-002</v>
      </c>
      <c r="T170" s="708" t="str">
        <f t="shared" si="2"/>
        <v>LP</v>
      </c>
      <c r="U170" s="708"/>
    </row>
    <row r="171" ht="13.8" spans="1:21">
      <c r="A171" s="19"/>
      <c r="B171" s="275"/>
      <c r="C171" s="20" t="str">
        <f>IFERROR(VLOOKUP(J171,'03. THIẾT BỊ'!$B$1:$U$836,5,0),"")</f>
        <v>Máy kéo chuối (Xăng)</v>
      </c>
      <c r="D171" s="19">
        <v>1</v>
      </c>
      <c r="E171" s="19"/>
      <c r="F171" s="19" t="s">
        <v>5978</v>
      </c>
      <c r="G171" s="19"/>
      <c r="H171" s="19">
        <f>IFERROR(VLOOKUP(J171,'03. THIẾT BỊ'!$B$1:$U$836,19,0),"")</f>
        <v>0.56</v>
      </c>
      <c r="I171" s="19" t="str">
        <f>IFERROR(VLOOKUP(J171,'03. THIẾT BỊ'!$B$1:$U$836,20,0),"")</f>
        <v>400 buồng/8h</v>
      </c>
      <c r="J171" s="20" t="s">
        <v>4954</v>
      </c>
      <c r="K171" s="19"/>
      <c r="L171" s="19"/>
      <c r="M171" s="19" t="s">
        <v>5978</v>
      </c>
      <c r="N171" s="19" t="str">
        <f>IFERROR(VLOOKUP(J171,'03. THIẾT BỊ'!$B$1:$U$836,4,0),"")</f>
        <v>ĐQSD</v>
      </c>
      <c r="O171" s="19" t="str">
        <f>IFERROR(VLOOKUP(J171,'03. THIẾT BỊ'!$B$1:$U$836,7,0),"")</f>
        <v>XN Chuối LP3</v>
      </c>
      <c r="P171" s="353" t="str">
        <f>IFERROR(VLOOKUP(O171,'NS QUẢN LÝ CG'!$A$4:$D$36,2,0),"")</f>
        <v/>
      </c>
      <c r="Q171" s="353" t="str">
        <f>IFERROR(VLOOKUP(O171,'NS QUẢN LÝ CG'!$A$4:$D$36,4,0),"")</f>
        <v/>
      </c>
      <c r="R171" s="353" t="str">
        <f>IFERROR(VLOOKUP(O171,'NS QUẢN LÝ CG'!$A$4:$C$36,3,0),"")</f>
        <v/>
      </c>
      <c r="S171" s="20" t="str">
        <f>IFERROR(VLOOKUP(J171,'03. THIẾT BỊ'!$B$1:$S$836,3,0),"")</f>
        <v>A24-MKC-003</v>
      </c>
      <c r="T171" s="708" t="str">
        <f t="shared" si="2"/>
        <v>LP</v>
      </c>
      <c r="U171" s="708"/>
    </row>
    <row r="172" ht="13.8" spans="1:21">
      <c r="A172" s="19"/>
      <c r="B172" s="275"/>
      <c r="C172" s="20" t="str">
        <f>IFERROR(VLOOKUP(J172,'03. THIẾT BỊ'!$B$1:$U$836,5,0),"")</f>
        <v>Máy kéo chuối (Xăng)</v>
      </c>
      <c r="D172" s="19">
        <v>1</v>
      </c>
      <c r="E172" s="19"/>
      <c r="F172" s="19" t="s">
        <v>5978</v>
      </c>
      <c r="G172" s="19"/>
      <c r="H172" s="19">
        <f>IFERROR(VLOOKUP(J172,'03. THIẾT BỊ'!$B$1:$U$836,19,0),"")</f>
        <v>0.56</v>
      </c>
      <c r="I172" s="19" t="str">
        <f>IFERROR(VLOOKUP(J172,'03. THIẾT BỊ'!$B$1:$U$836,20,0),"")</f>
        <v>400 buồng/8h</v>
      </c>
      <c r="J172" s="20" t="s">
        <v>4957</v>
      </c>
      <c r="K172" s="19"/>
      <c r="L172" s="19"/>
      <c r="M172" s="19" t="s">
        <v>5978</v>
      </c>
      <c r="N172" s="19" t="str">
        <f>IFERROR(VLOOKUP(J172,'03. THIẾT BỊ'!$B$1:$U$836,4,0),"")</f>
        <v>ĐQSD</v>
      </c>
      <c r="O172" s="19" t="str">
        <f>IFERROR(VLOOKUP(J172,'03. THIẾT BỊ'!$B$1:$U$836,7,0),"")</f>
        <v>XN Chuối LP3</v>
      </c>
      <c r="P172" s="353" t="str">
        <f>IFERROR(VLOOKUP(O172,'NS QUẢN LÝ CG'!$A$4:$D$36,2,0),"")</f>
        <v/>
      </c>
      <c r="Q172" s="353" t="str">
        <f>IFERROR(VLOOKUP(O172,'NS QUẢN LÝ CG'!$A$4:$D$36,4,0),"")</f>
        <v/>
      </c>
      <c r="R172" s="353" t="str">
        <f>IFERROR(VLOOKUP(O172,'NS QUẢN LÝ CG'!$A$4:$C$36,3,0),"")</f>
        <v/>
      </c>
      <c r="S172" s="20" t="str">
        <f>IFERROR(VLOOKUP(J172,'03. THIẾT BỊ'!$B$1:$S$836,3,0),"")</f>
        <v>A24-MKC-004</v>
      </c>
      <c r="T172" s="708" t="str">
        <f t="shared" si="2"/>
        <v>LP</v>
      </c>
      <c r="U172" s="708"/>
    </row>
    <row r="173" ht="13.8" spans="1:21">
      <c r="A173" s="19"/>
      <c r="B173" s="275"/>
      <c r="C173" s="20" t="str">
        <f>IFERROR(VLOOKUP(J173,'03. THIẾT BỊ'!$B$1:$U$836,5,0),"")</f>
        <v>Máy kéo chuối (Xăng)</v>
      </c>
      <c r="D173" s="19">
        <v>1</v>
      </c>
      <c r="E173" s="19"/>
      <c r="F173" s="19" t="s">
        <v>5978</v>
      </c>
      <c r="G173" s="19"/>
      <c r="H173" s="19">
        <f>IFERROR(VLOOKUP(J173,'03. THIẾT BỊ'!$B$1:$U$836,19,0),"")</f>
        <v>0.56</v>
      </c>
      <c r="I173" s="19" t="str">
        <f>IFERROR(VLOOKUP(J173,'03. THIẾT BỊ'!$B$1:$U$836,20,0),"")</f>
        <v>400 buồng/8h</v>
      </c>
      <c r="J173" s="20" t="s">
        <v>4961</v>
      </c>
      <c r="K173" s="19" t="s">
        <v>5978</v>
      </c>
      <c r="L173" s="19"/>
      <c r="M173" s="19"/>
      <c r="N173" s="19" t="str">
        <f>IFERROR(VLOOKUP(J173,'03. THIẾT BỊ'!$B$1:$U$836,4,0),"")</f>
        <v>ĐQSD</v>
      </c>
      <c r="O173" s="19" t="str">
        <f>IFERROR(VLOOKUP(J173,'03. THIẾT BỊ'!$B$1:$U$836,7,0),"")</f>
        <v>XN Chuối LP3</v>
      </c>
      <c r="P173" s="353" t="str">
        <f>IFERROR(VLOOKUP(O173,'NS QUẢN LÝ CG'!$A$4:$D$36,2,0),"")</f>
        <v/>
      </c>
      <c r="Q173" s="353" t="str">
        <f>IFERROR(VLOOKUP(O173,'NS QUẢN LÝ CG'!$A$4:$D$36,4,0),"")</f>
        <v/>
      </c>
      <c r="R173" s="353" t="str">
        <f>IFERROR(VLOOKUP(O173,'NS QUẢN LÝ CG'!$A$4:$C$36,3,0),"")</f>
        <v/>
      </c>
      <c r="S173" s="20" t="str">
        <f>IFERROR(VLOOKUP(J173,'03. THIẾT BỊ'!$B$1:$S$836,3,0),"")</f>
        <v>A24-MKC-005</v>
      </c>
      <c r="T173" s="708" t="str">
        <f t="shared" si="2"/>
        <v>LP</v>
      </c>
      <c r="U173" s="708"/>
    </row>
    <row r="174" ht="13.8" spans="1:21">
      <c r="A174" s="19"/>
      <c r="B174" s="275"/>
      <c r="C174" s="20" t="str">
        <f>IFERROR(VLOOKUP(J174,'03. THIẾT BỊ'!$B$1:$U$836,5,0),"")</f>
        <v>Máy kéo chuối (Xăng)</v>
      </c>
      <c r="D174" s="19">
        <v>1</v>
      </c>
      <c r="E174" s="19"/>
      <c r="F174" s="19" t="s">
        <v>5978</v>
      </c>
      <c r="G174" s="19"/>
      <c r="H174" s="19">
        <f>IFERROR(VLOOKUP(J174,'03. THIẾT BỊ'!$B$1:$U$836,19,0),"")</f>
        <v>0.56</v>
      </c>
      <c r="I174" s="19" t="str">
        <f>IFERROR(VLOOKUP(J174,'03. THIẾT BỊ'!$B$1:$U$836,20,0),"")</f>
        <v>400 buồng/8h</v>
      </c>
      <c r="J174" s="20" t="s">
        <v>4968</v>
      </c>
      <c r="K174" s="19" t="s">
        <v>5978</v>
      </c>
      <c r="L174" s="19"/>
      <c r="M174" s="19"/>
      <c r="N174" s="19" t="str">
        <f>IFERROR(VLOOKUP(J174,'03. THIẾT BỊ'!$B$1:$U$836,4,0),"")</f>
        <v>ĐQSD</v>
      </c>
      <c r="O174" s="19" t="str">
        <f>IFERROR(VLOOKUP(J174,'03. THIẾT BỊ'!$B$1:$U$836,7,0),"")</f>
        <v>XN Chuối LP3</v>
      </c>
      <c r="P174" s="353" t="str">
        <f>IFERROR(VLOOKUP(O174,'NS QUẢN LÝ CG'!$A$4:$D$36,2,0),"")</f>
        <v/>
      </c>
      <c r="Q174" s="353" t="str">
        <f>IFERROR(VLOOKUP(O174,'NS QUẢN LÝ CG'!$A$4:$D$36,4,0),"")</f>
        <v/>
      </c>
      <c r="R174" s="353" t="str">
        <f>IFERROR(VLOOKUP(O174,'NS QUẢN LÝ CG'!$A$4:$C$36,3,0),"")</f>
        <v/>
      </c>
      <c r="S174" s="20" t="str">
        <f>IFERROR(VLOOKUP(J174,'03. THIẾT BỊ'!$B$1:$S$836,3,0),"")</f>
        <v>A24-MKC-006</v>
      </c>
      <c r="T174" s="708" t="str">
        <f t="shared" si="2"/>
        <v>LP</v>
      </c>
      <c r="U174" s="708"/>
    </row>
    <row r="175" ht="13.8" spans="1:21">
      <c r="A175" s="19"/>
      <c r="B175" s="275"/>
      <c r="C175" s="20" t="str">
        <f>IFERROR(VLOOKUP(J175,'03. THIẾT BỊ'!$B$1:$U$836,5,0),"")</f>
        <v>Máy kéo chuối (Xăng)</v>
      </c>
      <c r="D175" s="19">
        <v>1</v>
      </c>
      <c r="E175" s="19"/>
      <c r="F175" s="19" t="s">
        <v>5978</v>
      </c>
      <c r="G175" s="19"/>
      <c r="H175" s="19">
        <f>IFERROR(VLOOKUP(J175,'03. THIẾT BỊ'!$B$1:$U$836,19,0),"")</f>
        <v>0.56</v>
      </c>
      <c r="I175" s="19" t="str">
        <f>IFERROR(VLOOKUP(J175,'03. THIẾT BỊ'!$B$1:$U$836,20,0),"")</f>
        <v>400 buồng/8h</v>
      </c>
      <c r="J175" s="20" t="s">
        <v>4971</v>
      </c>
      <c r="K175" s="19" t="s">
        <v>5978</v>
      </c>
      <c r="L175" s="19"/>
      <c r="M175" s="19"/>
      <c r="N175" s="19" t="str">
        <f>IFERROR(VLOOKUP(J175,'03. THIẾT BỊ'!$B$1:$U$836,4,0),"")</f>
        <v>ĐQSD</v>
      </c>
      <c r="O175" s="19" t="str">
        <f>IFERROR(VLOOKUP(J175,'03. THIẾT BỊ'!$B$1:$U$836,7,0),"")</f>
        <v>XN Chuối LP3</v>
      </c>
      <c r="P175" s="353" t="str">
        <f>IFERROR(VLOOKUP(O175,'NS QUẢN LÝ CG'!$A$4:$D$36,2,0),"")</f>
        <v/>
      </c>
      <c r="Q175" s="353" t="str">
        <f>IFERROR(VLOOKUP(O175,'NS QUẢN LÝ CG'!$A$4:$D$36,4,0),"")</f>
        <v/>
      </c>
      <c r="R175" s="353" t="str">
        <f>IFERROR(VLOOKUP(O175,'NS QUẢN LÝ CG'!$A$4:$C$36,3,0),"")</f>
        <v/>
      </c>
      <c r="S175" s="20" t="str">
        <f>IFERROR(VLOOKUP(J175,'03. THIẾT BỊ'!$B$1:$S$836,3,0),"")</f>
        <v>A24-MKC-009</v>
      </c>
      <c r="T175" s="708" t="str">
        <f t="shared" si="2"/>
        <v>LP</v>
      </c>
      <c r="U175" s="708"/>
    </row>
    <row r="176" ht="13.8" spans="1:21">
      <c r="A176" s="19"/>
      <c r="B176" s="275"/>
      <c r="C176" s="20" t="str">
        <f>IFERROR(VLOOKUP(J176,'03. THIẾT BỊ'!$B$1:$U$836,5,0),"")</f>
        <v>Máy kéo chuối (Xăng)</v>
      </c>
      <c r="D176" s="19">
        <v>1</v>
      </c>
      <c r="E176" s="19"/>
      <c r="F176" s="19" t="s">
        <v>5978</v>
      </c>
      <c r="G176" s="19"/>
      <c r="H176" s="19">
        <f>IFERROR(VLOOKUP(J176,'03. THIẾT BỊ'!$B$1:$U$836,19,0),"")</f>
        <v>0.56</v>
      </c>
      <c r="I176" s="19" t="str">
        <f>IFERROR(VLOOKUP(J176,'03. THIẾT BỊ'!$B$1:$U$836,20,0),"")</f>
        <v>400 buồng/8h</v>
      </c>
      <c r="J176" s="20" t="s">
        <v>4974</v>
      </c>
      <c r="K176" s="19" t="s">
        <v>5978</v>
      </c>
      <c r="L176" s="19"/>
      <c r="M176" s="19"/>
      <c r="N176" s="19" t="str">
        <f>IFERROR(VLOOKUP(J176,'03. THIẾT BỊ'!$B$1:$U$836,4,0),"")</f>
        <v>ĐQSD</v>
      </c>
      <c r="O176" s="19" t="str">
        <f>IFERROR(VLOOKUP(J176,'03. THIẾT BỊ'!$B$1:$U$836,7,0),"")</f>
        <v>XN Chuối LP3</v>
      </c>
      <c r="P176" s="353" t="str">
        <f>IFERROR(VLOOKUP(O176,'NS QUẢN LÝ CG'!$A$4:$D$36,2,0),"")</f>
        <v/>
      </c>
      <c r="Q176" s="353" t="str">
        <f>IFERROR(VLOOKUP(O176,'NS QUẢN LÝ CG'!$A$4:$D$36,4,0),"")</f>
        <v/>
      </c>
      <c r="R176" s="353" t="str">
        <f>IFERROR(VLOOKUP(O176,'NS QUẢN LÝ CG'!$A$4:$C$36,3,0),"")</f>
        <v/>
      </c>
      <c r="S176" s="20" t="str">
        <f>IFERROR(VLOOKUP(J176,'03. THIẾT BỊ'!$B$1:$S$836,3,0),"")</f>
        <v>A24-MKC-008</v>
      </c>
      <c r="T176" s="708" t="str">
        <f t="shared" si="2"/>
        <v>LP</v>
      </c>
      <c r="U176" s="708"/>
    </row>
    <row r="177" ht="13.8" spans="1:21">
      <c r="A177" s="19"/>
      <c r="B177" s="275"/>
      <c r="C177" s="20" t="str">
        <f>IFERROR(VLOOKUP(J177,'03. THIẾT BỊ'!$B$1:$U$836,5,0),"")</f>
        <v>Máy kéo chuối (Xăng)</v>
      </c>
      <c r="D177" s="19">
        <v>1</v>
      </c>
      <c r="E177" s="19"/>
      <c r="F177" s="19" t="s">
        <v>5978</v>
      </c>
      <c r="G177" s="19"/>
      <c r="H177" s="19">
        <f>IFERROR(VLOOKUP(J177,'03. THIẾT BỊ'!$B$1:$U$836,19,0),"")</f>
        <v>0.56</v>
      </c>
      <c r="I177" s="19" t="str">
        <f>IFERROR(VLOOKUP(J177,'03. THIẾT BỊ'!$B$1:$U$836,20,0),"")</f>
        <v>400 buồng/8h</v>
      </c>
      <c r="J177" s="20" t="s">
        <v>4976</v>
      </c>
      <c r="K177" s="19" t="s">
        <v>5978</v>
      </c>
      <c r="L177" s="19"/>
      <c r="M177" s="19"/>
      <c r="N177" s="19" t="str">
        <f>IFERROR(VLOOKUP(J177,'03. THIẾT BỊ'!$B$1:$U$836,4,0),"")</f>
        <v>ĐQSD</v>
      </c>
      <c r="O177" s="19" t="str">
        <f>IFERROR(VLOOKUP(J177,'03. THIẾT BỊ'!$B$1:$U$836,7,0),"")</f>
        <v>XN Chuối LP3</v>
      </c>
      <c r="P177" s="353" t="str">
        <f>IFERROR(VLOOKUP(O177,'NS QUẢN LÝ CG'!$A$4:$D$36,2,0),"")</f>
        <v/>
      </c>
      <c r="Q177" s="353" t="str">
        <f>IFERROR(VLOOKUP(O177,'NS QUẢN LÝ CG'!$A$4:$D$36,4,0),"")</f>
        <v/>
      </c>
      <c r="R177" s="353" t="str">
        <f>IFERROR(VLOOKUP(O177,'NS QUẢN LÝ CG'!$A$4:$C$36,3,0),"")</f>
        <v/>
      </c>
      <c r="S177" s="20" t="str">
        <f>IFERROR(VLOOKUP(J177,'03. THIẾT BỊ'!$B$1:$S$836,3,0),"")</f>
        <v>A24-MKC-011</v>
      </c>
      <c r="T177" s="708" t="str">
        <f t="shared" si="2"/>
        <v>LP</v>
      </c>
      <c r="U177" s="708"/>
    </row>
    <row r="178" ht="13.8" spans="1:21">
      <c r="A178" s="19"/>
      <c r="B178" s="275"/>
      <c r="C178" s="20" t="str">
        <f>IFERROR(VLOOKUP(J178,'03. THIẾT BỊ'!$B$1:$U$836,5,0),"")</f>
        <v>Máy kéo chuối (Xăng)</v>
      </c>
      <c r="D178" s="19">
        <v>1</v>
      </c>
      <c r="E178" s="19"/>
      <c r="F178" s="19" t="s">
        <v>5978</v>
      </c>
      <c r="G178" s="19"/>
      <c r="H178" s="19">
        <f>IFERROR(VLOOKUP(J178,'03. THIẾT BỊ'!$B$1:$U$836,19,0),"")</f>
        <v>0.56</v>
      </c>
      <c r="I178" s="19" t="str">
        <f>IFERROR(VLOOKUP(J178,'03. THIẾT BỊ'!$B$1:$U$836,20,0),"")</f>
        <v>400 buồng/8h</v>
      </c>
      <c r="J178" s="20" t="s">
        <v>4979</v>
      </c>
      <c r="K178" s="19"/>
      <c r="L178" s="19" t="s">
        <v>5978</v>
      </c>
      <c r="M178" s="19"/>
      <c r="N178" s="19" t="str">
        <f>IFERROR(VLOOKUP(J178,'03. THIẾT BỊ'!$B$1:$U$836,4,0),"")</f>
        <v>ĐQSD</v>
      </c>
      <c r="O178" s="19" t="str">
        <f>IFERROR(VLOOKUP(J178,'03. THIẾT BỊ'!$B$1:$U$836,7,0),"")</f>
        <v>XN Chuối LP3</v>
      </c>
      <c r="P178" s="353" t="str">
        <f>IFERROR(VLOOKUP(O178,'NS QUẢN LÝ CG'!$A$4:$D$36,2,0),"")</f>
        <v/>
      </c>
      <c r="Q178" s="353" t="str">
        <f>IFERROR(VLOOKUP(O178,'NS QUẢN LÝ CG'!$A$4:$D$36,4,0),"")</f>
        <v/>
      </c>
      <c r="R178" s="353" t="str">
        <f>IFERROR(VLOOKUP(O178,'NS QUẢN LÝ CG'!$A$4:$C$36,3,0),"")</f>
        <v/>
      </c>
      <c r="S178" s="20" t="str">
        <f>IFERROR(VLOOKUP(J178,'03. THIẾT BỊ'!$B$1:$S$836,3,0),"")</f>
        <v>A24-MKC-015</v>
      </c>
      <c r="T178" s="708" t="str">
        <f t="shared" si="2"/>
        <v>LP</v>
      </c>
      <c r="U178" s="708"/>
    </row>
    <row r="179" ht="13.8" spans="1:21">
      <c r="A179" s="19"/>
      <c r="B179" s="275"/>
      <c r="C179" s="20" t="str">
        <f>IFERROR(VLOOKUP(J179,'03. THIẾT BỊ'!$B$1:$U$836,5,0),"")</f>
        <v>Máy kéo chuối (Xăng)</v>
      </c>
      <c r="D179" s="19">
        <v>1</v>
      </c>
      <c r="E179" s="19"/>
      <c r="F179" s="19" t="s">
        <v>5978</v>
      </c>
      <c r="G179" s="19"/>
      <c r="H179" s="19">
        <f>IFERROR(VLOOKUP(J179,'03. THIẾT BỊ'!$B$1:$U$836,19,0),"")</f>
        <v>0.56</v>
      </c>
      <c r="I179" s="19" t="str">
        <f>IFERROR(VLOOKUP(J179,'03. THIẾT BỊ'!$B$1:$U$836,20,0),"")</f>
        <v>400 buồng/8h</v>
      </c>
      <c r="J179" s="20" t="s">
        <v>4983</v>
      </c>
      <c r="K179" s="19"/>
      <c r="L179" s="19" t="s">
        <v>5978</v>
      </c>
      <c r="M179" s="19"/>
      <c r="N179" s="19" t="str">
        <f>IFERROR(VLOOKUP(J179,'03. THIẾT BỊ'!$B$1:$U$836,4,0),"")</f>
        <v>ĐQSD</v>
      </c>
      <c r="O179" s="19" t="str">
        <f>IFERROR(VLOOKUP(J179,'03. THIẾT BỊ'!$B$1:$U$836,7,0),"")</f>
        <v>XN Chuối LP3</v>
      </c>
      <c r="P179" s="353" t="str">
        <f>IFERROR(VLOOKUP(O179,'NS QUẢN LÝ CG'!$A$4:$D$36,2,0),"")</f>
        <v/>
      </c>
      <c r="Q179" s="353" t="str">
        <f>IFERROR(VLOOKUP(O179,'NS QUẢN LÝ CG'!$A$4:$D$36,4,0),"")</f>
        <v/>
      </c>
      <c r="R179" s="353" t="str">
        <f>IFERROR(VLOOKUP(O179,'NS QUẢN LÝ CG'!$A$4:$C$36,3,0),"")</f>
        <v/>
      </c>
      <c r="S179" s="20" t="str">
        <f>IFERROR(VLOOKUP(J179,'03. THIẾT BỊ'!$B$1:$S$836,3,0),"")</f>
        <v>A24-MKC-017</v>
      </c>
      <c r="T179" s="708" t="str">
        <f t="shared" si="2"/>
        <v>LP</v>
      </c>
      <c r="U179" s="708"/>
    </row>
    <row r="180" ht="13.8" spans="1:21">
      <c r="A180" s="19"/>
      <c r="B180" s="275"/>
      <c r="C180" s="20" t="str">
        <f>IFERROR(VLOOKUP(J180,'03. THIẾT BỊ'!$B$1:$U$836,5,0),"")</f>
        <v>Máy kéo chuối (Điện)</v>
      </c>
      <c r="D180" s="19">
        <v>1</v>
      </c>
      <c r="E180" s="19"/>
      <c r="F180" s="19"/>
      <c r="G180" s="19" t="s">
        <v>5978</v>
      </c>
      <c r="H180" s="19">
        <f>IFERROR(VLOOKUP(J180,'03. THIẾT BỊ'!$B$1:$U$836,19,0),"")</f>
        <v>0</v>
      </c>
      <c r="I180" s="19" t="str">
        <f>IFERROR(VLOOKUP(J180,'03. THIẾT BỊ'!$B$1:$U$836,20,0),"")</f>
        <v>400 buồng/8h</v>
      </c>
      <c r="J180" s="20" t="s">
        <v>4986</v>
      </c>
      <c r="K180" s="19" t="s">
        <v>5978</v>
      </c>
      <c r="L180" s="19"/>
      <c r="M180" s="19"/>
      <c r="N180" s="19" t="str">
        <f>IFERROR(VLOOKUP(J180,'03. THIẾT BỊ'!$B$1:$U$836,4,0),"")</f>
        <v>ĐQSD</v>
      </c>
      <c r="O180" s="19" t="str">
        <f>IFERROR(VLOOKUP(J180,'03. THIẾT BỊ'!$B$1:$U$836,7,0),"")</f>
        <v>XN Chuối LP3</v>
      </c>
      <c r="P180" s="353" t="str">
        <f>IFERROR(VLOOKUP(O180,'NS QUẢN LÝ CG'!$A$4:$D$36,2,0),"")</f>
        <v/>
      </c>
      <c r="Q180" s="353" t="str">
        <f>IFERROR(VLOOKUP(O180,'NS QUẢN LÝ CG'!$A$4:$D$36,4,0),"")</f>
        <v/>
      </c>
      <c r="R180" s="353" t="str">
        <f>IFERROR(VLOOKUP(O180,'NS QUẢN LÝ CG'!$A$4:$C$36,3,0),"")</f>
        <v/>
      </c>
      <c r="S180" s="20" t="str">
        <f>IFERROR(VLOOKUP(J180,'03. THIẾT BỊ'!$B$1:$S$836,3,0),"")</f>
        <v>A24-MKC-018</v>
      </c>
      <c r="T180" s="708" t="str">
        <f t="shared" si="2"/>
        <v>LP</v>
      </c>
      <c r="U180" s="708"/>
    </row>
    <row r="181" ht="13.8" spans="1:21">
      <c r="A181" s="19"/>
      <c r="B181" s="275"/>
      <c r="C181" s="20" t="str">
        <f>IFERROR(VLOOKUP(J181,'03. THIẾT BỊ'!$B$1:$U$836,5,0),"")</f>
        <v>Máy kéo chuối (Xăng)</v>
      </c>
      <c r="D181" s="19">
        <v>1</v>
      </c>
      <c r="E181" s="19"/>
      <c r="F181" s="19" t="s">
        <v>5978</v>
      </c>
      <c r="G181" s="19"/>
      <c r="H181" s="19">
        <f>IFERROR(VLOOKUP(J181,'03. THIẾT BỊ'!$B$1:$U$836,19,0),"")</f>
        <v>0.56</v>
      </c>
      <c r="I181" s="19" t="str">
        <f>IFERROR(VLOOKUP(J181,'03. THIẾT BỊ'!$B$1:$U$836,20,0),"")</f>
        <v>400 buồng/8h</v>
      </c>
      <c r="J181" s="20" t="s">
        <v>4990</v>
      </c>
      <c r="K181" s="19" t="s">
        <v>5978</v>
      </c>
      <c r="L181" s="19"/>
      <c r="M181" s="19"/>
      <c r="N181" s="19" t="str">
        <f>IFERROR(VLOOKUP(J181,'03. THIẾT BỊ'!$B$1:$U$836,4,0),"")</f>
        <v>ĐQSD</v>
      </c>
      <c r="O181" s="19" t="str">
        <f>IFERROR(VLOOKUP(J181,'03. THIẾT BỊ'!$B$1:$U$836,7,0),"")</f>
        <v>XN Chuối LP3</v>
      </c>
      <c r="P181" s="353" t="str">
        <f>IFERROR(VLOOKUP(O181,'NS QUẢN LÝ CG'!$A$4:$D$36,2,0),"")</f>
        <v/>
      </c>
      <c r="Q181" s="353" t="str">
        <f>IFERROR(VLOOKUP(O181,'NS QUẢN LÝ CG'!$A$4:$D$36,4,0),"")</f>
        <v/>
      </c>
      <c r="R181" s="353" t="str">
        <f>IFERROR(VLOOKUP(O181,'NS QUẢN LÝ CG'!$A$4:$C$36,3,0),"")</f>
        <v/>
      </c>
      <c r="S181" s="20" t="str">
        <f>IFERROR(VLOOKUP(J181,'03. THIẾT BỊ'!$B$1:$S$836,3,0),"")</f>
        <v>A24-MKC-022</v>
      </c>
      <c r="T181" s="708" t="str">
        <f t="shared" si="2"/>
        <v>LP</v>
      </c>
      <c r="U181" s="708"/>
    </row>
    <row r="182" ht="13.8" spans="1:21">
      <c r="A182" s="19"/>
      <c r="B182" s="275"/>
      <c r="C182" s="20" t="str">
        <f>IFERROR(VLOOKUP(J182,'03. THIẾT BỊ'!$B$1:$U$836,5,0),"")</f>
        <v>Máy kéo chuối (Xăng)</v>
      </c>
      <c r="D182" s="19">
        <v>1</v>
      </c>
      <c r="E182" s="19"/>
      <c r="F182" s="19" t="s">
        <v>5978</v>
      </c>
      <c r="G182" s="19"/>
      <c r="H182" s="19">
        <f>IFERROR(VLOOKUP(J182,'03. THIẾT BỊ'!$B$1:$U$836,19,0),"")</f>
        <v>0.56</v>
      </c>
      <c r="I182" s="19" t="str">
        <f>IFERROR(VLOOKUP(J182,'03. THIẾT BỊ'!$B$1:$U$836,20,0),"")</f>
        <v>400 buồng/8h</v>
      </c>
      <c r="J182" s="20" t="s">
        <v>4993</v>
      </c>
      <c r="K182" s="19" t="s">
        <v>5978</v>
      </c>
      <c r="L182" s="19"/>
      <c r="M182" s="19"/>
      <c r="N182" s="19" t="str">
        <f>IFERROR(VLOOKUP(J182,'03. THIẾT BỊ'!$B$1:$U$836,4,0),"")</f>
        <v>ĐQSD</v>
      </c>
      <c r="O182" s="19" t="str">
        <f>IFERROR(VLOOKUP(J182,'03. THIẾT BỊ'!$B$1:$U$836,7,0),"")</f>
        <v>XN Chuối LP3</v>
      </c>
      <c r="P182" s="353" t="str">
        <f>IFERROR(VLOOKUP(O182,'NS QUẢN LÝ CG'!$A$4:$D$36,2,0),"")</f>
        <v/>
      </c>
      <c r="Q182" s="353" t="str">
        <f>IFERROR(VLOOKUP(O182,'NS QUẢN LÝ CG'!$A$4:$D$36,4,0),"")</f>
        <v/>
      </c>
      <c r="R182" s="353" t="str">
        <f>IFERROR(VLOOKUP(O182,'NS QUẢN LÝ CG'!$A$4:$C$36,3,0),"")</f>
        <v/>
      </c>
      <c r="S182" s="20" t="str">
        <f>IFERROR(VLOOKUP(J182,'03. THIẾT BỊ'!$B$1:$S$836,3,0),"")</f>
        <v>A24-MKC-023</v>
      </c>
      <c r="T182" s="708" t="str">
        <f t="shared" si="2"/>
        <v>LP</v>
      </c>
      <c r="U182" s="708"/>
    </row>
    <row r="183" ht="13.8" spans="1:21">
      <c r="A183" s="19"/>
      <c r="B183" s="275"/>
      <c r="C183" s="20" t="str">
        <f>IFERROR(VLOOKUP(J183,'03. THIẾT BỊ'!$B$1:$U$836,5,0),"")</f>
        <v>Máy kéo chuối (Xăng)</v>
      </c>
      <c r="D183" s="19">
        <v>1</v>
      </c>
      <c r="E183" s="19"/>
      <c r="F183" s="19" t="s">
        <v>5978</v>
      </c>
      <c r="G183" s="19"/>
      <c r="H183" s="19">
        <f>IFERROR(VLOOKUP(J183,'03. THIẾT BỊ'!$B$1:$U$836,19,0),"")</f>
        <v>0.56</v>
      </c>
      <c r="I183" s="19" t="str">
        <f>IFERROR(VLOOKUP(J183,'03. THIẾT BỊ'!$B$1:$U$836,20,0),"")</f>
        <v>400 buồng/8h</v>
      </c>
      <c r="J183" s="20" t="s">
        <v>4996</v>
      </c>
      <c r="K183" s="19" t="s">
        <v>5978</v>
      </c>
      <c r="L183" s="19"/>
      <c r="M183" s="19"/>
      <c r="N183" s="19" t="str">
        <f>IFERROR(VLOOKUP(J183,'03. THIẾT BỊ'!$B$1:$U$836,4,0),"")</f>
        <v>ĐQSD</v>
      </c>
      <c r="O183" s="19" t="str">
        <f>IFERROR(VLOOKUP(J183,'03. THIẾT BỊ'!$B$1:$U$836,7,0),"")</f>
        <v>XN Chuối LP3</v>
      </c>
      <c r="P183" s="353" t="str">
        <f>IFERROR(VLOOKUP(O183,'NS QUẢN LÝ CG'!$A$4:$D$36,2,0),"")</f>
        <v/>
      </c>
      <c r="Q183" s="353" t="str">
        <f>IFERROR(VLOOKUP(O183,'NS QUẢN LÝ CG'!$A$4:$D$36,4,0),"")</f>
        <v/>
      </c>
      <c r="R183" s="353" t="str">
        <f>IFERROR(VLOOKUP(O183,'NS QUẢN LÝ CG'!$A$4:$C$36,3,0),"")</f>
        <v/>
      </c>
      <c r="S183" s="20" t="str">
        <f>IFERROR(VLOOKUP(J183,'03. THIẾT BỊ'!$B$1:$S$836,3,0),"")</f>
        <v>A24-MKC-025</v>
      </c>
      <c r="T183" s="708" t="str">
        <f t="shared" si="2"/>
        <v>LP</v>
      </c>
      <c r="U183" s="708"/>
    </row>
    <row r="184" ht="13.8" spans="1:21">
      <c r="A184" s="19"/>
      <c r="B184" s="278"/>
      <c r="C184" s="20" t="str">
        <f>IFERROR(VLOOKUP(J184,'03. THIẾT BỊ'!$B$1:$U$836,5,0),"")</f>
        <v>Máy kéo chuối (Xăng)</v>
      </c>
      <c r="D184" s="19">
        <v>1</v>
      </c>
      <c r="E184" s="19"/>
      <c r="F184" s="19" t="s">
        <v>5978</v>
      </c>
      <c r="G184" s="19"/>
      <c r="H184" s="19">
        <f>IFERROR(VLOOKUP(J184,'03. THIẾT BỊ'!$B$1:$U$836,19,0),"")</f>
        <v>0.56</v>
      </c>
      <c r="I184" s="19" t="str">
        <f>IFERROR(VLOOKUP(J184,'03. THIẾT BỊ'!$B$1:$U$836,20,0),"")</f>
        <v>400 buồng/8h</v>
      </c>
      <c r="J184" s="20" t="s">
        <v>5000</v>
      </c>
      <c r="K184" s="19" t="s">
        <v>5978</v>
      </c>
      <c r="L184" s="19"/>
      <c r="M184" s="19"/>
      <c r="N184" s="19" t="str">
        <f>IFERROR(VLOOKUP(J184,'03. THIẾT BỊ'!$B$1:$U$836,4,0),"")</f>
        <v>ĐQSD</v>
      </c>
      <c r="O184" s="19" t="str">
        <f>IFERROR(VLOOKUP(J184,'03. THIẾT BỊ'!$B$1:$U$836,7,0),"")</f>
        <v>XN Chuối LP3</v>
      </c>
      <c r="P184" s="353" t="str">
        <f>IFERROR(VLOOKUP(O184,'NS QUẢN LÝ CG'!$A$4:$D$36,2,0),"")</f>
        <v/>
      </c>
      <c r="Q184" s="353" t="str">
        <f>IFERROR(VLOOKUP(O184,'NS QUẢN LÝ CG'!$A$4:$D$36,4,0),"")</f>
        <v/>
      </c>
      <c r="R184" s="353" t="str">
        <f>IFERROR(VLOOKUP(O184,'NS QUẢN LÝ CG'!$A$4:$C$36,3,0),"")</f>
        <v/>
      </c>
      <c r="S184" s="20" t="str">
        <f>IFERROR(VLOOKUP(J184,'03. THIẾT BỊ'!$B$1:$S$836,3,0),"")</f>
        <v>A24-MKC-028</v>
      </c>
      <c r="T184" s="708" t="str">
        <f t="shared" si="2"/>
        <v>LP</v>
      </c>
      <c r="U184" s="708"/>
    </row>
    <row r="185" ht="13.8" spans="1:21">
      <c r="A185" s="19"/>
      <c r="B185" s="713"/>
      <c r="C185" s="20" t="str">
        <f>IFERROR(VLOOKUP(J185,'03. THIẾT BỊ'!$B$1:$U$836,5,0),"")</f>
        <v>Máy kéo chuối (Điện)</v>
      </c>
      <c r="D185" s="19">
        <v>1</v>
      </c>
      <c r="E185" s="19"/>
      <c r="F185" s="19"/>
      <c r="G185" s="19" t="s">
        <v>5978</v>
      </c>
      <c r="H185" s="19">
        <f>IFERROR(VLOOKUP(J185,'03. THIẾT BỊ'!$B$1:$U$836,19,0),"")</f>
        <v>0</v>
      </c>
      <c r="I185" s="19">
        <f>IFERROR(VLOOKUP(J185,'03. THIẾT BỊ'!$B$1:$U$836,20,0),"")</f>
        <v>0</v>
      </c>
      <c r="J185" s="20" t="s">
        <v>5003</v>
      </c>
      <c r="K185" s="19"/>
      <c r="L185" s="19"/>
      <c r="M185" s="19"/>
      <c r="N185" s="19" t="str">
        <f>IFERROR(VLOOKUP(J185,'03. THIẾT BỊ'!$B$1:$U$836,4,0),"")</f>
        <v>ĐQSD</v>
      </c>
      <c r="O185" s="19" t="str">
        <f>IFERROR(VLOOKUP(J185,'03. THIẾT BỊ'!$B$1:$U$836,7,0),"")</f>
        <v>XN Chuối LP3</v>
      </c>
      <c r="P185" s="20"/>
      <c r="Q185" s="20"/>
      <c r="R185" s="20"/>
      <c r="S185" s="20">
        <f>IFERROR(VLOOKUP(J185,'03. THIẾT BỊ'!$B$1:$S$836,3,0),"")</f>
        <v>0</v>
      </c>
      <c r="T185" s="708"/>
      <c r="U185" s="708"/>
    </row>
    <row r="186" ht="13.8" hidden="1" spans="1:21">
      <c r="A186" s="19"/>
      <c r="B186" s="713"/>
      <c r="C186" s="20" t="str">
        <f>IFERROR(VLOOKUP(J186,'03. THIẾT BỊ'!$B$1:$U$836,5,0),"")</f>
        <v/>
      </c>
      <c r="D186" s="19"/>
      <c r="E186" s="19"/>
      <c r="F186" s="19"/>
      <c r="G186" s="19"/>
      <c r="H186" s="19" t="str">
        <f>IFERROR(VLOOKUP(J186,'03. THIẾT BỊ'!$B$1:$U$836,19,0),"")</f>
        <v/>
      </c>
      <c r="I186" s="19" t="str">
        <f>IFERROR(VLOOKUP(J186,'03. THIẾT BỊ'!$B$1:$U$836,20,0),"")</f>
        <v/>
      </c>
      <c r="J186" s="20"/>
      <c r="K186" s="19"/>
      <c r="L186" s="19"/>
      <c r="M186" s="19"/>
      <c r="N186" s="19" t="str">
        <f>IFERROR(VLOOKUP(J186,'03. THIẾT BỊ'!$B$1:$U$836,4,0),"")</f>
        <v/>
      </c>
      <c r="O186" s="19" t="str">
        <f>IFERROR(VLOOKUP(J186,'03. THIẾT BỊ'!$B$1:$U$836,7,0),"")</f>
        <v/>
      </c>
      <c r="P186" s="20"/>
      <c r="Q186" s="20"/>
      <c r="R186" s="20"/>
      <c r="S186" s="20" t="str">
        <f>IFERROR(VLOOKUP(J186,'03. THIẾT BỊ'!$B$1:$S$836,3,0),"")</f>
        <v/>
      </c>
      <c r="T186" s="708"/>
      <c r="U186" s="708"/>
    </row>
    <row r="187" ht="13.8" hidden="1" spans="1:21">
      <c r="A187" s="19"/>
      <c r="B187" s="713"/>
      <c r="C187" s="20" t="str">
        <f>IFERROR(VLOOKUP(J187,'03. THIẾT BỊ'!$B$1:$U$836,5,0),"")</f>
        <v/>
      </c>
      <c r="D187" s="19"/>
      <c r="E187" s="19"/>
      <c r="F187" s="19"/>
      <c r="G187" s="19"/>
      <c r="H187" s="19" t="str">
        <f>IFERROR(VLOOKUP(J187,'03. THIẾT BỊ'!$B$1:$U$836,19,0),"")</f>
        <v/>
      </c>
      <c r="I187" s="19" t="str">
        <f>IFERROR(VLOOKUP(J187,'03. THIẾT BỊ'!$B$1:$U$836,20,0),"")</f>
        <v/>
      </c>
      <c r="J187" s="20"/>
      <c r="K187" s="19"/>
      <c r="L187" s="19"/>
      <c r="M187" s="19"/>
      <c r="N187" s="19" t="str">
        <f>IFERROR(VLOOKUP(J187,'03. THIẾT BỊ'!$B$1:$U$836,4,0),"")</f>
        <v/>
      </c>
      <c r="O187" s="19" t="str">
        <f>IFERROR(VLOOKUP(J187,'03. THIẾT BỊ'!$B$1:$U$836,7,0),"")</f>
        <v/>
      </c>
      <c r="P187" s="20"/>
      <c r="Q187" s="20"/>
      <c r="R187" s="20"/>
      <c r="S187" s="20" t="str">
        <f>IFERROR(VLOOKUP(J187,'03. THIẾT BỊ'!$B$1:$S$836,3,0),"")</f>
        <v/>
      </c>
      <c r="T187" s="708"/>
      <c r="U187" s="708"/>
    </row>
    <row r="188" ht="13.8" hidden="1" spans="1:21">
      <c r="A188" s="19"/>
      <c r="B188" s="713"/>
      <c r="C188" s="20" t="str">
        <f>IFERROR(VLOOKUP(J188,'03. THIẾT BỊ'!$B$1:$U$836,5,0),"")</f>
        <v/>
      </c>
      <c r="D188" s="19"/>
      <c r="E188" s="19"/>
      <c r="F188" s="19"/>
      <c r="G188" s="19"/>
      <c r="H188" s="19" t="str">
        <f>IFERROR(VLOOKUP(J188,'03. THIẾT BỊ'!$B$1:$U$836,19,0),"")</f>
        <v/>
      </c>
      <c r="I188" s="19" t="str">
        <f>IFERROR(VLOOKUP(J188,'03. THIẾT BỊ'!$B$1:$U$836,20,0),"")</f>
        <v/>
      </c>
      <c r="J188" s="20"/>
      <c r="K188" s="19"/>
      <c r="L188" s="19"/>
      <c r="M188" s="19"/>
      <c r="N188" s="19" t="str">
        <f>IFERROR(VLOOKUP(J188,'03. THIẾT BỊ'!$B$1:$U$836,4,0),"")</f>
        <v/>
      </c>
      <c r="O188" s="19" t="str">
        <f>IFERROR(VLOOKUP(J188,'03. THIẾT BỊ'!$B$1:$U$836,7,0),"")</f>
        <v/>
      </c>
      <c r="P188" s="20"/>
      <c r="Q188" s="20"/>
      <c r="R188" s="20"/>
      <c r="S188" s="20" t="str">
        <f>IFERROR(VLOOKUP(J188,'03. THIẾT BỊ'!$B$1:$S$836,3,0),"")</f>
        <v/>
      </c>
      <c r="T188" s="708"/>
      <c r="U188" s="708"/>
    </row>
    <row r="189" ht="13.8" hidden="1" spans="1:21">
      <c r="A189" s="19"/>
      <c r="B189" s="713"/>
      <c r="C189" s="20" t="str">
        <f>IFERROR(VLOOKUP(J189,'03. THIẾT BỊ'!$B$1:$U$836,5,0),"")</f>
        <v/>
      </c>
      <c r="D189" s="19"/>
      <c r="E189" s="19"/>
      <c r="F189" s="19"/>
      <c r="G189" s="19"/>
      <c r="H189" s="19" t="str">
        <f>IFERROR(VLOOKUP(J189,'03. THIẾT BỊ'!$B$1:$U$836,19,0),"")</f>
        <v/>
      </c>
      <c r="I189" s="19" t="str">
        <f>IFERROR(VLOOKUP(J189,'03. THIẾT BỊ'!$B$1:$U$836,20,0),"")</f>
        <v/>
      </c>
      <c r="J189" s="20"/>
      <c r="K189" s="19"/>
      <c r="L189" s="19"/>
      <c r="M189" s="19"/>
      <c r="N189" s="19" t="str">
        <f>IFERROR(VLOOKUP(J189,'03. THIẾT BỊ'!$B$1:$U$836,4,0),"")</f>
        <v/>
      </c>
      <c r="O189" s="19" t="str">
        <f>IFERROR(VLOOKUP(J189,'03. THIẾT BỊ'!$B$1:$U$836,7,0),"")</f>
        <v/>
      </c>
      <c r="P189" s="20"/>
      <c r="Q189" s="20"/>
      <c r="R189" s="20"/>
      <c r="S189" s="20" t="str">
        <f>IFERROR(VLOOKUP(J189,'03. THIẾT BỊ'!$B$1:$S$836,3,0),"")</f>
        <v/>
      </c>
      <c r="T189" s="708"/>
      <c r="U189" s="708"/>
    </row>
    <row r="190" ht="13.8" hidden="1" spans="1:21">
      <c r="A190" s="19"/>
      <c r="B190" s="713"/>
      <c r="C190" s="20" t="str">
        <f>IFERROR(VLOOKUP(J190,'03. THIẾT BỊ'!$B$1:$U$836,5,0),"")</f>
        <v/>
      </c>
      <c r="D190" s="19"/>
      <c r="E190" s="19"/>
      <c r="F190" s="19"/>
      <c r="G190" s="19"/>
      <c r="H190" s="19" t="str">
        <f>IFERROR(VLOOKUP(J190,'03. THIẾT BỊ'!$B$1:$U$836,19,0),"")</f>
        <v/>
      </c>
      <c r="I190" s="19" t="str">
        <f>IFERROR(VLOOKUP(J190,'03. THIẾT BỊ'!$B$1:$U$836,20,0),"")</f>
        <v/>
      </c>
      <c r="J190" s="20"/>
      <c r="K190" s="19"/>
      <c r="L190" s="19"/>
      <c r="M190" s="19"/>
      <c r="N190" s="19" t="str">
        <f>IFERROR(VLOOKUP(J190,'03. THIẾT BỊ'!$B$1:$U$836,4,0),"")</f>
        <v/>
      </c>
      <c r="O190" s="19" t="str">
        <f>IFERROR(VLOOKUP(J190,'03. THIẾT BỊ'!$B$1:$U$836,7,0),"")</f>
        <v/>
      </c>
      <c r="P190" s="20"/>
      <c r="Q190" s="20"/>
      <c r="R190" s="20"/>
      <c r="S190" s="20" t="str">
        <f>IFERROR(VLOOKUP(J190,'03. THIẾT BỊ'!$B$1:$S$836,3,0),"")</f>
        <v/>
      </c>
      <c r="T190" s="708"/>
      <c r="U190" s="708"/>
    </row>
    <row r="191" ht="13.8" hidden="1" spans="1:21">
      <c r="A191" s="19"/>
      <c r="B191" s="713"/>
      <c r="C191" s="20" t="str">
        <f>IFERROR(VLOOKUP(J191,'03. THIẾT BỊ'!$B$1:$U$836,5,0),"")</f>
        <v/>
      </c>
      <c r="D191" s="19"/>
      <c r="E191" s="19"/>
      <c r="F191" s="19"/>
      <c r="G191" s="19"/>
      <c r="H191" s="19" t="str">
        <f>IFERROR(VLOOKUP(J191,'03. THIẾT BỊ'!$B$1:$U$836,19,0),"")</f>
        <v/>
      </c>
      <c r="I191" s="19" t="str">
        <f>IFERROR(VLOOKUP(J191,'03. THIẾT BỊ'!$B$1:$U$836,20,0),"")</f>
        <v/>
      </c>
      <c r="J191" s="20"/>
      <c r="K191" s="19"/>
      <c r="L191" s="19"/>
      <c r="M191" s="19"/>
      <c r="N191" s="19" t="str">
        <f>IFERROR(VLOOKUP(J191,'03. THIẾT BỊ'!$B$1:$U$836,4,0),"")</f>
        <v/>
      </c>
      <c r="O191" s="19" t="str">
        <f>IFERROR(VLOOKUP(J191,'03. THIẾT BỊ'!$B$1:$U$836,7,0),"")</f>
        <v/>
      </c>
      <c r="P191" s="20"/>
      <c r="Q191" s="20"/>
      <c r="R191" s="20"/>
      <c r="S191" s="20" t="str">
        <f>IFERROR(VLOOKUP(J191,'03. THIẾT BỊ'!$B$1:$S$836,3,0),"")</f>
        <v/>
      </c>
      <c r="T191" s="708"/>
      <c r="U191" s="708"/>
    </row>
    <row r="192" ht="25.5" customHeight="1" spans="1:21">
      <c r="A192" s="19"/>
      <c r="B192" s="20"/>
      <c r="C192" s="20" t="s">
        <v>6038</v>
      </c>
      <c r="D192" s="19">
        <v>7353</v>
      </c>
      <c r="E192" s="19"/>
      <c r="F192" s="19"/>
      <c r="G192" s="19"/>
      <c r="H192" s="19"/>
      <c r="I192" s="19"/>
      <c r="J192" s="20"/>
      <c r="K192" s="19"/>
      <c r="L192" s="19"/>
      <c r="M192" s="19"/>
      <c r="N192" s="20"/>
      <c r="O192" s="20"/>
      <c r="P192" s="20"/>
      <c r="Q192" s="20"/>
      <c r="R192" s="20"/>
      <c r="S192" s="20"/>
      <c r="T192" s="708"/>
      <c r="U192" s="708"/>
    </row>
    <row r="193" ht="13.8" spans="1:21">
      <c r="A193" s="702" t="s">
        <v>6039</v>
      </c>
      <c r="B193" s="271"/>
      <c r="C193" s="272"/>
      <c r="D193" s="703"/>
      <c r="E193" s="714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2"/>
    </row>
    <row r="194" ht="13.8" spans="1:21">
      <c r="A194" s="715" t="s">
        <v>6040</v>
      </c>
      <c r="B194" s="271"/>
      <c r="C194" s="272"/>
      <c r="D194" s="716"/>
      <c r="E194" s="716"/>
      <c r="F194" s="716"/>
      <c r="G194" s="716"/>
      <c r="H194" s="716"/>
      <c r="I194" s="716"/>
      <c r="J194" s="717"/>
      <c r="K194" s="718"/>
      <c r="L194" s="718"/>
      <c r="M194" s="716"/>
      <c r="N194" s="717"/>
      <c r="O194" s="717"/>
      <c r="P194" s="717"/>
      <c r="Q194" s="717"/>
      <c r="R194" s="717"/>
      <c r="S194" s="717"/>
      <c r="T194" s="719"/>
      <c r="U194" s="719"/>
    </row>
    <row r="195" ht="13.8" spans="1:21">
      <c r="A195" s="705" t="s">
        <v>6041</v>
      </c>
      <c r="B195" s="271"/>
      <c r="C195" s="272"/>
      <c r="D195" s="26">
        <f>SUM(D196:D215)</f>
        <v>18</v>
      </c>
      <c r="E195" s="30"/>
      <c r="F195" s="30"/>
      <c r="G195" s="30"/>
      <c r="H195" s="30"/>
      <c r="I195" s="30"/>
      <c r="J195" s="29"/>
      <c r="K195" s="30"/>
      <c r="L195" s="30"/>
      <c r="M195" s="30"/>
      <c r="N195" s="29"/>
      <c r="O195" s="720"/>
      <c r="P195" s="29"/>
      <c r="Q195" s="29"/>
      <c r="R195" s="29"/>
      <c r="S195" s="29"/>
      <c r="T195" s="706"/>
      <c r="U195" s="706"/>
    </row>
    <row r="196" ht="13.8" spans="1:21">
      <c r="A196" s="19"/>
      <c r="B196" s="707" t="s">
        <v>6042</v>
      </c>
      <c r="C196" s="20" t="str">
        <f>IFERROR(VLOOKUP(J196,'03. THIẾT BỊ'!$B$1:$U$836,5,0),"")</f>
        <v>Thiết Bị Cày 3 Chảo</v>
      </c>
      <c r="D196" s="19">
        <v>1</v>
      </c>
      <c r="E196" s="19"/>
      <c r="F196" s="19"/>
      <c r="G196" s="19"/>
      <c r="H196" s="19">
        <f>IFERROR(VLOOKUP(J196,'03. THIẾT BỊ'!$B$1:$U$836,19,0),"")</f>
        <v>0</v>
      </c>
      <c r="I196" s="19">
        <f>IFERROR(VLOOKUP(J196,'03. THIẾT BỊ'!$B$1:$U$836,20,0),"")</f>
        <v>0</v>
      </c>
      <c r="J196" s="20" t="s">
        <v>4174</v>
      </c>
      <c r="K196" s="19"/>
      <c r="L196" s="19" t="s">
        <v>5978</v>
      </c>
      <c r="M196" s="19"/>
      <c r="N196" s="19" t="str">
        <f>IFERROR(VLOOKUP(J196,'03. THIẾT BỊ'!$B$1:$U$836,4,0),"")</f>
        <v>ĐQSD</v>
      </c>
      <c r="O196" s="19" t="str">
        <f>IFERROR(VLOOKUP(J196,'03. THIẾT BỊ'!$B$1:$U$836,7,0),"")</f>
        <v>XN Bò AD</v>
      </c>
      <c r="P196" s="353" t="str">
        <f>IFERROR(VLOOKUP(O196,'NS QUẢN LÝ CG'!$A$4:$D$36,2,0),"")</f>
        <v>Trần Văn Nam</v>
      </c>
      <c r="Q196" s="353" t="str">
        <f>IFERROR(VLOOKUP(O196,'NS QUẢN LÝ CG'!$A$4:$D$36,4,0),"")</f>
        <v>Lô 28 XN Bò</v>
      </c>
      <c r="R196" s="1104" t="str">
        <f>IFERROR(VLOOKUP(O196,'NS QUẢN LÝ CG'!$A$4:$C$36,3,0),"")</f>
        <v>0971993540</v>
      </c>
      <c r="S196" s="20" t="str">
        <f>IFERROR(VLOOKUP(J196,'03. THIẾT BỊ'!$B$1:$S$836,3,0),"")</f>
        <v>A22-CCH-009</v>
      </c>
      <c r="T196" s="708" t="str">
        <f t="shared" ref="T196:T213" si="3">_xlfn.SWITCH(LEFT(S196,3),"A22","ADM","A23","DP","A24","LP","")</f>
        <v>ADM</v>
      </c>
      <c r="U196" s="708"/>
    </row>
    <row r="197" ht="13.8" spans="1:21">
      <c r="A197" s="19"/>
      <c r="B197" s="275"/>
      <c r="C197" s="20" t="str">
        <f>IFERROR(VLOOKUP(J197,'03. THIẾT BỊ'!$B$1:$U$836,5,0),"")</f>
        <v>Thiết bị bừa 7 chảo</v>
      </c>
      <c r="D197" s="19">
        <v>1</v>
      </c>
      <c r="E197" s="19"/>
      <c r="F197" s="19"/>
      <c r="G197" s="19"/>
      <c r="H197" s="19">
        <f>IFERROR(VLOOKUP(J197,'03. THIẾT BỊ'!$B$1:$U$836,19,0),"")</f>
        <v>0</v>
      </c>
      <c r="I197" s="19">
        <f>IFERROR(VLOOKUP(J197,'03. THIẾT BỊ'!$B$1:$U$836,20,0),"")</f>
        <v>0</v>
      </c>
      <c r="J197" s="20" t="s">
        <v>4081</v>
      </c>
      <c r="K197" s="19" t="s">
        <v>5978</v>
      </c>
      <c r="L197" s="19"/>
      <c r="M197" s="19"/>
      <c r="N197" s="19" t="str">
        <f>IFERROR(VLOOKUP(J197,'03. THIẾT BỊ'!$B$1:$U$836,4,0),"")</f>
        <v>ĐQSD</v>
      </c>
      <c r="O197" s="19" t="str">
        <f>IFERROR(VLOOKUP(J197,'03. THIẾT BỊ'!$B$1:$U$836,7,0),"")</f>
        <v>XN Bò AD</v>
      </c>
      <c r="P197" s="353" t="str">
        <f>IFERROR(VLOOKUP(O197,'NS QUẢN LÝ CG'!$A$4:$D$36,2,0),"")</f>
        <v>Trần Văn Nam</v>
      </c>
      <c r="Q197" s="353" t="str">
        <f>IFERROR(VLOOKUP(O197,'NS QUẢN LÝ CG'!$A$4:$D$36,4,0),"")</f>
        <v>Lô 28 XN Bò</v>
      </c>
      <c r="R197" s="1104" t="str">
        <f>IFERROR(VLOOKUP(O197,'NS QUẢN LÝ CG'!$A$4:$C$36,3,0),"")</f>
        <v>0971993540</v>
      </c>
      <c r="S197" s="20" t="str">
        <f>IFERROR(VLOOKUP(J197,'03. THIẾT BỊ'!$B$1:$S$836,3,0),"")</f>
        <v>A22-BUA-010</v>
      </c>
      <c r="T197" s="708" t="str">
        <f t="shared" si="3"/>
        <v>ADM</v>
      </c>
      <c r="U197" s="708"/>
    </row>
    <row r="198" ht="13.8" spans="1:21">
      <c r="A198" s="19"/>
      <c r="B198" s="275"/>
      <c r="C198" s="20" t="str">
        <f>IFERROR(VLOOKUP(J198,'03. THIẾT BỊ'!$B$1:$U$836,5,0),"")</f>
        <v>Thiết bị bừa 8 chảo</v>
      </c>
      <c r="D198" s="19">
        <v>1</v>
      </c>
      <c r="E198" s="19"/>
      <c r="F198" s="19"/>
      <c r="G198" s="19"/>
      <c r="H198" s="19">
        <f>IFERROR(VLOOKUP(J198,'03. THIẾT BỊ'!$B$1:$U$836,19,0),"")</f>
        <v>0</v>
      </c>
      <c r="I198" s="19">
        <f>IFERROR(VLOOKUP(J198,'03. THIẾT BỊ'!$B$1:$U$836,20,0),"")</f>
        <v>0</v>
      </c>
      <c r="J198" s="20" t="s">
        <v>4179</v>
      </c>
      <c r="K198" s="19"/>
      <c r="L198" s="19"/>
      <c r="M198" s="19" t="s">
        <v>5978</v>
      </c>
      <c r="N198" s="19" t="str">
        <f>IFERROR(VLOOKUP(J198,'03. THIẾT BỊ'!$B$1:$U$836,4,0),"")</f>
        <v>ĐQSD</v>
      </c>
      <c r="O198" s="19" t="str">
        <f>IFERROR(VLOOKUP(J198,'03. THIẾT BỊ'!$B$1:$U$836,7,0),"")</f>
        <v>XN Bò AD</v>
      </c>
      <c r="P198" s="353" t="str">
        <f>IFERROR(VLOOKUP(O198,'NS QUẢN LÝ CG'!$A$4:$D$36,2,0),"")</f>
        <v>Trần Văn Nam</v>
      </c>
      <c r="Q198" s="353" t="str">
        <f>IFERROR(VLOOKUP(O198,'NS QUẢN LÝ CG'!$A$4:$D$36,4,0),"")</f>
        <v>Lô 28 XN Bò</v>
      </c>
      <c r="R198" s="1104" t="str">
        <f>IFERROR(VLOOKUP(O198,'NS QUẢN LÝ CG'!$A$4:$C$36,3,0),"")</f>
        <v>0971993540</v>
      </c>
      <c r="S198" s="20" t="str">
        <f>IFERROR(VLOOKUP(J198,'03. THIẾT BỊ'!$B$1:$S$836,3,0),"")</f>
        <v>A22-BUA-008</v>
      </c>
      <c r="T198" s="708" t="str">
        <f t="shared" si="3"/>
        <v>ADM</v>
      </c>
      <c r="U198" s="708"/>
    </row>
    <row r="199" ht="13.8" spans="1:21">
      <c r="A199" s="19"/>
      <c r="B199" s="275"/>
      <c r="C199" s="20" t="str">
        <f>IFERROR(VLOOKUP(J199,'03. THIẾT BỊ'!$B$1:$U$836,5,0),"")</f>
        <v>Thiết bị bừa 8 chảo</v>
      </c>
      <c r="D199" s="19">
        <v>1</v>
      </c>
      <c r="E199" s="19"/>
      <c r="F199" s="19"/>
      <c r="G199" s="19"/>
      <c r="H199" s="19">
        <f>IFERROR(VLOOKUP(J199,'03. THIẾT BỊ'!$B$1:$U$836,19,0),"")</f>
        <v>0</v>
      </c>
      <c r="I199" s="19">
        <f>IFERROR(VLOOKUP(J199,'03. THIẾT BỊ'!$B$1:$U$836,20,0),"")</f>
        <v>0</v>
      </c>
      <c r="J199" s="20" t="s">
        <v>4085</v>
      </c>
      <c r="K199" s="19" t="s">
        <v>5978</v>
      </c>
      <c r="L199" s="19"/>
      <c r="M199" s="19"/>
      <c r="N199" s="19" t="str">
        <f>IFERROR(VLOOKUP(J199,'03. THIẾT BỊ'!$B$1:$U$836,4,0),"")</f>
        <v>ĐQSD</v>
      </c>
      <c r="O199" s="19" t="str">
        <f>IFERROR(VLOOKUP(J199,'03. THIẾT BỊ'!$B$1:$U$836,7,0),"")</f>
        <v>XN Bò AD</v>
      </c>
      <c r="P199" s="353" t="str">
        <f>IFERROR(VLOOKUP(O199,'NS QUẢN LÝ CG'!$A$4:$D$36,2,0),"")</f>
        <v>Trần Văn Nam</v>
      </c>
      <c r="Q199" s="353" t="str">
        <f>IFERROR(VLOOKUP(O199,'NS QUẢN LÝ CG'!$A$4:$D$36,4,0),"")</f>
        <v>Lô 28 XN Bò</v>
      </c>
      <c r="R199" s="1104" t="str">
        <f>IFERROR(VLOOKUP(O199,'NS QUẢN LÝ CG'!$A$4:$C$36,3,0),"")</f>
        <v>0971993540</v>
      </c>
      <c r="S199" s="20" t="str">
        <f>IFERROR(VLOOKUP(J199,'03. THIẾT BỊ'!$B$1:$S$836,3,0),"")</f>
        <v>A22-BUA-009</v>
      </c>
      <c r="T199" s="708" t="str">
        <f t="shared" si="3"/>
        <v>ADM</v>
      </c>
      <c r="U199" s="708"/>
    </row>
    <row r="200" ht="13.8" spans="1:21">
      <c r="A200" s="19"/>
      <c r="B200" s="275"/>
      <c r="C200" s="20" t="str">
        <f>IFERROR(VLOOKUP(J200,'03. THIẾT BỊ'!$B$1:$U$836,5,0),"")</f>
        <v>Thiết bị bừa 24 chảo</v>
      </c>
      <c r="D200" s="19">
        <v>1</v>
      </c>
      <c r="E200" s="19"/>
      <c r="F200" s="19"/>
      <c r="G200" s="19"/>
      <c r="H200" s="19">
        <f>IFERROR(VLOOKUP(J200,'03. THIẾT BỊ'!$B$1:$U$836,19,0),"")</f>
        <v>0</v>
      </c>
      <c r="I200" s="19">
        <f>IFERROR(VLOOKUP(J200,'03. THIẾT BỊ'!$B$1:$U$836,20,0),"")</f>
        <v>0</v>
      </c>
      <c r="J200" s="20" t="s">
        <v>5537</v>
      </c>
      <c r="K200" s="19" t="s">
        <v>5978</v>
      </c>
      <c r="L200" s="19"/>
      <c r="M200" s="19"/>
      <c r="N200" s="19" t="str">
        <f>IFERROR(VLOOKUP(J200,'03. THIẾT BỊ'!$B$1:$U$836,4,0),"")</f>
        <v>MUA MỚI</v>
      </c>
      <c r="O200" s="19" t="str">
        <f>IFERROR(VLOOKUP(J200,'03. THIẾT BỊ'!$B$1:$U$836,7,0),"")</f>
        <v>XN Bò AD</v>
      </c>
      <c r="P200" s="353" t="str">
        <f>IFERROR(VLOOKUP(O200,'NS QUẢN LÝ CG'!$A$4:$D$36,2,0),"")</f>
        <v/>
      </c>
      <c r="Q200" s="353" t="str">
        <f>IFERROR(VLOOKUP(O200,'NS QUẢN LÝ CG'!$A$4:$D$36,4,0),"")</f>
        <v/>
      </c>
      <c r="R200" s="353" t="str">
        <f>IFERROR(VLOOKUP(O200,'NS QUẢN LÝ CG'!$A$4:$C$36,3,0),"")</f>
        <v/>
      </c>
      <c r="S200" s="20" t="str">
        <f>IFERROR(VLOOKUP(J200,'03. THIẾT BỊ'!$B$1:$S$836,3,0),"")</f>
        <v>A22-BUA-002</v>
      </c>
      <c r="T200" s="708" t="str">
        <f t="shared" si="3"/>
        <v>ADM</v>
      </c>
      <c r="U200" s="708"/>
    </row>
    <row r="201" ht="13.8" spans="1:21">
      <c r="A201" s="19"/>
      <c r="B201" s="275"/>
      <c r="C201" s="20" t="str">
        <f>IFERROR(VLOOKUP(J201,'03. THIẾT BỊ'!$B$1:$U$836,5,0),"")</f>
        <v>Thiết bị bừa 24 chảo</v>
      </c>
      <c r="D201" s="19">
        <v>1</v>
      </c>
      <c r="E201" s="19"/>
      <c r="F201" s="19"/>
      <c r="G201" s="19"/>
      <c r="H201" s="19">
        <f>IFERROR(VLOOKUP(J201,'03. THIẾT BỊ'!$B$1:$U$836,19,0),"")</f>
        <v>0</v>
      </c>
      <c r="I201" s="19">
        <f>IFERROR(VLOOKUP(J201,'03. THIẾT BỊ'!$B$1:$U$836,20,0),"")</f>
        <v>0</v>
      </c>
      <c r="J201" s="20" t="s">
        <v>5540</v>
      </c>
      <c r="K201" s="19" t="s">
        <v>5978</v>
      </c>
      <c r="L201" s="19"/>
      <c r="M201" s="19"/>
      <c r="N201" s="19" t="str">
        <f>IFERROR(VLOOKUP(J201,'03. THIẾT BỊ'!$B$1:$U$836,4,0),"")</f>
        <v>MUA MỚI</v>
      </c>
      <c r="O201" s="19" t="str">
        <f>IFERROR(VLOOKUP(J201,'03. THIẾT BỊ'!$B$1:$U$836,7,0),"")</f>
        <v>XN Bò AD</v>
      </c>
      <c r="P201" s="353" t="str">
        <f>IFERROR(VLOOKUP(O201,'NS QUẢN LÝ CG'!$A$4:$D$36,2,0),"")</f>
        <v/>
      </c>
      <c r="Q201" s="353" t="str">
        <f>IFERROR(VLOOKUP(O201,'NS QUẢN LÝ CG'!$A$4:$D$36,4,0),"")</f>
        <v/>
      </c>
      <c r="R201" s="353" t="str">
        <f>IFERROR(VLOOKUP(O201,'NS QUẢN LÝ CG'!$A$4:$C$36,3,0),"")</f>
        <v/>
      </c>
      <c r="S201" s="20" t="str">
        <f>IFERROR(VLOOKUP(J201,'03. THIẾT BỊ'!$B$1:$S$836,3,0),"")</f>
        <v>A22-BUA-003</v>
      </c>
      <c r="T201" s="708" t="str">
        <f t="shared" si="3"/>
        <v>ADM</v>
      </c>
      <c r="U201" s="708"/>
    </row>
    <row r="202" ht="13.8" spans="1:21">
      <c r="A202" s="19"/>
      <c r="B202" s="275"/>
      <c r="C202" s="20" t="str">
        <f>IFERROR(VLOOKUP(J202,'03. THIẾT BỊ'!$B$1:$U$836,5,0),"")</f>
        <v>Thiết bị bừa 32 chảo</v>
      </c>
      <c r="D202" s="19">
        <v>1</v>
      </c>
      <c r="E202" s="19"/>
      <c r="F202" s="19"/>
      <c r="G202" s="19"/>
      <c r="H202" s="19">
        <f>IFERROR(VLOOKUP(J202,'03. THIẾT BỊ'!$B$1:$U$836,19,0),"")</f>
        <v>0</v>
      </c>
      <c r="I202" s="19">
        <f>IFERROR(VLOOKUP(J202,'03. THIẾT BỊ'!$B$1:$U$836,20,0),"")</f>
        <v>0</v>
      </c>
      <c r="J202" s="20" t="s">
        <v>5533</v>
      </c>
      <c r="K202" s="19"/>
      <c r="L202" s="19" t="s">
        <v>5978</v>
      </c>
      <c r="M202" s="19"/>
      <c r="N202" s="19" t="str">
        <f>IFERROR(VLOOKUP(J202,'03. THIẾT BỊ'!$B$1:$U$836,4,0),"")</f>
        <v>MUA MỚI</v>
      </c>
      <c r="O202" s="19" t="str">
        <f>IFERROR(VLOOKUP(J202,'03. THIẾT BỊ'!$B$1:$U$836,7,0),"")</f>
        <v>XN Bò AD</v>
      </c>
      <c r="P202" s="353" t="str">
        <f>IFERROR(VLOOKUP(O202,'NS QUẢN LÝ CG'!$A$4:$D$36,2,0),"")</f>
        <v/>
      </c>
      <c r="Q202" s="353" t="str">
        <f>IFERROR(VLOOKUP(O202,'NS QUẢN LÝ CG'!$A$4:$D$36,4,0),"")</f>
        <v/>
      </c>
      <c r="R202" s="353" t="str">
        <f>IFERROR(VLOOKUP(O202,'NS QUẢN LÝ CG'!$A$4:$C$36,3,0),"")</f>
        <v/>
      </c>
      <c r="S202" s="20" t="str">
        <f>IFERROR(VLOOKUP(J202,'03. THIẾT BỊ'!$B$1:$S$836,3,0),"")</f>
        <v>A22-BUA-001</v>
      </c>
      <c r="T202" s="708" t="str">
        <f t="shared" si="3"/>
        <v>ADM</v>
      </c>
      <c r="U202" s="708"/>
    </row>
    <row r="203" ht="13.8" spans="1:21">
      <c r="A203" s="19"/>
      <c r="B203" s="275"/>
      <c r="C203" s="20" t="str">
        <f>IFERROR(VLOOKUP(J203,'03. THIẾT BỊ'!$B$1:$U$836,5,0),"")</f>
        <v>Thiết bị bừa 32 chảo</v>
      </c>
      <c r="D203" s="19">
        <v>1</v>
      </c>
      <c r="E203" s="19"/>
      <c r="F203" s="19"/>
      <c r="G203" s="19"/>
      <c r="H203" s="19">
        <f>IFERROR(VLOOKUP(J203,'03. THIẾT BỊ'!$B$1:$U$836,19,0),"")</f>
        <v>0</v>
      </c>
      <c r="I203" s="19">
        <f>IFERROR(VLOOKUP(J203,'03. THIẾT BỊ'!$B$1:$U$836,20,0),"")</f>
        <v>0</v>
      </c>
      <c r="J203" s="20" t="s">
        <v>5542</v>
      </c>
      <c r="K203" s="19"/>
      <c r="L203" s="19" t="s">
        <v>5978</v>
      </c>
      <c r="M203" s="19"/>
      <c r="N203" s="19" t="str">
        <f>IFERROR(VLOOKUP(J203,'03. THIẾT BỊ'!$B$1:$U$836,4,0),"")</f>
        <v>MUA MỚI</v>
      </c>
      <c r="O203" s="19" t="str">
        <f>IFERROR(VLOOKUP(J203,'03. THIẾT BỊ'!$B$1:$U$836,7,0),"")</f>
        <v>XN Bò AD</v>
      </c>
      <c r="P203" s="353" t="str">
        <f>IFERROR(VLOOKUP(O203,'NS QUẢN LÝ CG'!$A$4:$D$36,2,0),"")</f>
        <v/>
      </c>
      <c r="Q203" s="353" t="str">
        <f>IFERROR(VLOOKUP(O203,'NS QUẢN LÝ CG'!$A$4:$D$36,4,0),"")</f>
        <v/>
      </c>
      <c r="R203" s="353" t="str">
        <f>IFERROR(VLOOKUP(O203,'NS QUẢN LÝ CG'!$A$4:$C$36,3,0),"")</f>
        <v/>
      </c>
      <c r="S203" s="20" t="str">
        <f>IFERROR(VLOOKUP(J203,'03. THIẾT BỊ'!$B$1:$S$836,3,0),"")</f>
        <v>A22-BUA-004</v>
      </c>
      <c r="T203" s="708" t="str">
        <f t="shared" si="3"/>
        <v>ADM</v>
      </c>
      <c r="U203" s="708"/>
    </row>
    <row r="204" ht="13.8" spans="1:21">
      <c r="A204" s="19"/>
      <c r="B204" s="275"/>
      <c r="C204" s="20" t="str">
        <f>IFERROR(VLOOKUP(J204,'03. THIẾT BỊ'!$B$1:$U$836,5,0),"")</f>
        <v>Thiết bị rạch luống trồng cỏ (6 hàng)</v>
      </c>
      <c r="D204" s="19">
        <v>1</v>
      </c>
      <c r="E204" s="19"/>
      <c r="F204" s="19"/>
      <c r="G204" s="19"/>
      <c r="H204" s="19">
        <f>IFERROR(VLOOKUP(J204,'03. THIẾT BỊ'!$B$1:$U$836,19,0),"")</f>
        <v>0</v>
      </c>
      <c r="I204" s="19">
        <f>IFERROR(VLOOKUP(J204,'03. THIẾT BỊ'!$B$1:$U$836,20,0),"")</f>
        <v>0</v>
      </c>
      <c r="J204" s="20" t="s">
        <v>5668</v>
      </c>
      <c r="K204" s="19" t="s">
        <v>5978</v>
      </c>
      <c r="L204" s="19"/>
      <c r="M204" s="19"/>
      <c r="N204" s="19" t="str">
        <f>IFERROR(VLOOKUP(J204,'03. THIẾT BỊ'!$B$1:$U$836,4,0),"")</f>
        <v>ĐQSD</v>
      </c>
      <c r="O204" s="19" t="str">
        <f>IFERROR(VLOOKUP(J204,'03. THIẾT BỊ'!$B$1:$U$836,7,0),"")</f>
        <v>XN Bò AD</v>
      </c>
      <c r="P204" s="353" t="str">
        <f>IFERROR(VLOOKUP(O204,'NS QUẢN LÝ CG'!$A$4:$D$36,2,0),"")</f>
        <v/>
      </c>
      <c r="Q204" s="353" t="str">
        <f>IFERROR(VLOOKUP(O204,'NS QUẢN LÝ CG'!$A$4:$D$36,4,0),"")</f>
        <v/>
      </c>
      <c r="R204" s="353" t="str">
        <f>IFERROR(VLOOKUP(O204,'NS QUẢN LÝ CG'!$A$4:$C$36,3,0),"")</f>
        <v/>
      </c>
      <c r="S204" s="20" t="str">
        <f>IFERROR(VLOOKUP(J204,'03. THIẾT BỊ'!$B$1:$S$836,3,0),"")</f>
        <v>A22-RLT-001</v>
      </c>
      <c r="T204" s="708" t="str">
        <f t="shared" si="3"/>
        <v>ADM</v>
      </c>
      <c r="U204" s="708"/>
    </row>
    <row r="205" ht="13.8" spans="1:21">
      <c r="A205" s="19"/>
      <c r="B205" s="275"/>
      <c r="C205" s="20" t="str">
        <f>IFERROR(VLOOKUP(J205,'03. THIẾT BỊ'!$B$1:$U$836,5,0),"")</f>
        <v>Thiết bị rạch luống trồng cỏ (4 hàng)</v>
      </c>
      <c r="D205" s="19">
        <v>1</v>
      </c>
      <c r="E205" s="19"/>
      <c r="F205" s="19"/>
      <c r="G205" s="19"/>
      <c r="H205" s="19">
        <f>IFERROR(VLOOKUP(J205,'03. THIẾT BỊ'!$B$1:$U$836,19,0),"")</f>
        <v>0</v>
      </c>
      <c r="I205" s="19">
        <f>IFERROR(VLOOKUP(J205,'03. THIẾT BỊ'!$B$1:$U$836,20,0),"")</f>
        <v>0</v>
      </c>
      <c r="J205" s="20" t="s">
        <v>5671</v>
      </c>
      <c r="K205" s="19" t="s">
        <v>5978</v>
      </c>
      <c r="L205" s="19"/>
      <c r="M205" s="19"/>
      <c r="N205" s="19" t="str">
        <f>IFERROR(VLOOKUP(J205,'03. THIẾT BỊ'!$B$1:$U$836,4,0),"")</f>
        <v>ĐQSD</v>
      </c>
      <c r="O205" s="19" t="str">
        <f>IFERROR(VLOOKUP(J205,'03. THIẾT BỊ'!$B$1:$U$836,7,0),"")</f>
        <v>XN Bò AD</v>
      </c>
      <c r="P205" s="353" t="str">
        <f>IFERROR(VLOOKUP(O205,'NS QUẢN LÝ CG'!$A$4:$D$36,2,0),"")</f>
        <v/>
      </c>
      <c r="Q205" s="353" t="str">
        <f>IFERROR(VLOOKUP(O205,'NS QUẢN LÝ CG'!$A$4:$D$36,4,0),"")</f>
        <v/>
      </c>
      <c r="R205" s="353" t="str">
        <f>IFERROR(VLOOKUP(O205,'NS QUẢN LÝ CG'!$A$4:$C$36,3,0),"")</f>
        <v/>
      </c>
      <c r="S205" s="20" t="str">
        <f>IFERROR(VLOOKUP(J205,'03. THIẾT BỊ'!$B$1:$S$836,3,0),"")</f>
        <v>A22-RLT-002</v>
      </c>
      <c r="T205" s="708" t="str">
        <f t="shared" si="3"/>
        <v>ADM</v>
      </c>
      <c r="U205" s="708"/>
    </row>
    <row r="206" ht="13.8" spans="1:21">
      <c r="A206" s="19"/>
      <c r="B206" s="275"/>
      <c r="C206" s="20" t="str">
        <f>IFERROR(VLOOKUP(J206,'03. THIẾT BỊ'!$B$1:$U$836,5,0),"")</f>
        <v>Thiết bị rạch luống trồng cỏ (4 hàng)</v>
      </c>
      <c r="D206" s="19">
        <v>1</v>
      </c>
      <c r="E206" s="19"/>
      <c r="F206" s="19"/>
      <c r="G206" s="19"/>
      <c r="H206" s="19">
        <f>IFERROR(VLOOKUP(J206,'03. THIẾT BỊ'!$B$1:$U$836,19,0),"")</f>
        <v>0</v>
      </c>
      <c r="I206" s="19">
        <f>IFERROR(VLOOKUP(J206,'03. THIẾT BỊ'!$B$1:$U$836,20,0),"")</f>
        <v>0</v>
      </c>
      <c r="J206" s="20" t="s">
        <v>5674</v>
      </c>
      <c r="K206" s="19" t="s">
        <v>5978</v>
      </c>
      <c r="L206" s="19"/>
      <c r="M206" s="19"/>
      <c r="N206" s="19" t="str">
        <f>IFERROR(VLOOKUP(J206,'03. THIẾT BỊ'!$B$1:$U$836,4,0),"")</f>
        <v>ĐQSD</v>
      </c>
      <c r="O206" s="19" t="str">
        <f>IFERROR(VLOOKUP(J206,'03. THIẾT BỊ'!$B$1:$U$836,7,0),"")</f>
        <v>XN Bò AD</v>
      </c>
      <c r="P206" s="353" t="str">
        <f>IFERROR(VLOOKUP(O206,'NS QUẢN LÝ CG'!$A$4:$D$36,2,0),"")</f>
        <v/>
      </c>
      <c r="Q206" s="353" t="str">
        <f>IFERROR(VLOOKUP(O206,'NS QUẢN LÝ CG'!$A$4:$D$36,4,0),"")</f>
        <v/>
      </c>
      <c r="R206" s="353" t="str">
        <f>IFERROR(VLOOKUP(O206,'NS QUẢN LÝ CG'!$A$4:$C$36,3,0),"")</f>
        <v/>
      </c>
      <c r="S206" s="20" t="str">
        <f>IFERROR(VLOOKUP(J206,'03. THIẾT BỊ'!$B$1:$S$836,3,0),"")</f>
        <v>A22-RLT-003</v>
      </c>
      <c r="T206" s="708" t="str">
        <f t="shared" si="3"/>
        <v>ADM</v>
      </c>
      <c r="U206" s="708"/>
    </row>
    <row r="207" ht="13.8" spans="1:21">
      <c r="A207" s="19"/>
      <c r="B207" s="275"/>
      <c r="C207" s="20" t="str">
        <f>IFERROR(VLOOKUP(J207,'03. THIẾT BỊ'!$B$1:$U$836,5,0),"")</f>
        <v>Thiết bị rạch luống trồng cỏ (4 hàng)</v>
      </c>
      <c r="D207" s="19">
        <v>1</v>
      </c>
      <c r="E207" s="19"/>
      <c r="F207" s="19"/>
      <c r="G207" s="19"/>
      <c r="H207" s="19">
        <f>IFERROR(VLOOKUP(J207,'03. THIẾT BỊ'!$B$1:$U$836,19,0),"")</f>
        <v>0</v>
      </c>
      <c r="I207" s="19">
        <f>IFERROR(VLOOKUP(J207,'03. THIẾT BỊ'!$B$1:$U$836,20,0),"")</f>
        <v>0</v>
      </c>
      <c r="J207" s="20" t="s">
        <v>5677</v>
      </c>
      <c r="K207" s="19" t="s">
        <v>5978</v>
      </c>
      <c r="L207" s="19"/>
      <c r="M207" s="19"/>
      <c r="N207" s="19" t="str">
        <f>IFERROR(VLOOKUP(J207,'03. THIẾT BỊ'!$B$1:$U$836,4,0),"")</f>
        <v>ĐQSD</v>
      </c>
      <c r="O207" s="19" t="str">
        <f>IFERROR(VLOOKUP(J207,'03. THIẾT BỊ'!$B$1:$U$836,7,0),"")</f>
        <v>XN Bò AD</v>
      </c>
      <c r="P207" s="353" t="str">
        <f>IFERROR(VLOOKUP(O207,'NS QUẢN LÝ CG'!$A$4:$D$36,2,0),"")</f>
        <v/>
      </c>
      <c r="Q207" s="353" t="str">
        <f>IFERROR(VLOOKUP(O207,'NS QUẢN LÝ CG'!$A$4:$D$36,4,0),"")</f>
        <v/>
      </c>
      <c r="R207" s="353" t="str">
        <f>IFERROR(VLOOKUP(O207,'NS QUẢN LÝ CG'!$A$4:$C$36,3,0),"")</f>
        <v/>
      </c>
      <c r="S207" s="20" t="str">
        <f>IFERROR(VLOOKUP(J207,'03. THIẾT BỊ'!$B$1:$S$836,3,0),"")</f>
        <v>A22-RLT-004</v>
      </c>
      <c r="T207" s="708" t="str">
        <f t="shared" si="3"/>
        <v>ADM</v>
      </c>
      <c r="U207" s="708"/>
    </row>
    <row r="208" ht="13.8" spans="1:21">
      <c r="A208" s="19"/>
      <c r="B208" s="275"/>
      <c r="C208" s="20" t="str">
        <f>IFERROR(VLOOKUP(J208,'03. THIẾT BỊ'!$B$1:$U$836,5,0),"")</f>
        <v>Thiết bị gieo hạt cỏ</v>
      </c>
      <c r="D208" s="19">
        <v>1</v>
      </c>
      <c r="E208" s="19"/>
      <c r="F208" s="19"/>
      <c r="G208" s="19"/>
      <c r="H208" s="19">
        <f>IFERROR(VLOOKUP(J208,'03. THIẾT BỊ'!$B$1:$U$836,19,0),"")</f>
        <v>0</v>
      </c>
      <c r="I208" s="19">
        <f>IFERROR(VLOOKUP(J208,'03. THIẾT BỊ'!$B$1:$U$836,20,0),"")</f>
        <v>0</v>
      </c>
      <c r="J208" s="20" t="s">
        <v>5712</v>
      </c>
      <c r="K208" s="19" t="s">
        <v>5978</v>
      </c>
      <c r="L208" s="19"/>
      <c r="M208" s="19"/>
      <c r="N208" s="19" t="str">
        <f>IFERROR(VLOOKUP(J208,'03. THIẾT BỊ'!$B$1:$U$836,4,0),"")</f>
        <v>MUA MỚI</v>
      </c>
      <c r="O208" s="19" t="str">
        <f>IFERROR(VLOOKUP(J208,'03. THIẾT BỊ'!$B$1:$U$836,7,0),"")</f>
        <v>XN Bò AD</v>
      </c>
      <c r="P208" s="353" t="str">
        <f>IFERROR(VLOOKUP(O208,'NS QUẢN LÝ CG'!$A$4:$D$36,2,0),"")</f>
        <v/>
      </c>
      <c r="Q208" s="353" t="str">
        <f>IFERROR(VLOOKUP(O208,'NS QUẢN LÝ CG'!$A$4:$D$36,4,0),"")</f>
        <v/>
      </c>
      <c r="R208" s="353" t="str">
        <f>IFERROR(VLOOKUP(O208,'NS QUẢN LÝ CG'!$A$4:$C$36,3,0),"")</f>
        <v/>
      </c>
      <c r="S208" s="20" t="str">
        <f>IFERROR(VLOOKUP(J208,'03. THIẾT BỊ'!$B$1:$S$836,3,0),"")</f>
        <v>A22-GHC-001</v>
      </c>
      <c r="T208" s="708" t="str">
        <f t="shared" si="3"/>
        <v>ADM</v>
      </c>
      <c r="U208" s="708"/>
    </row>
    <row r="209" ht="13.8" spans="1:21">
      <c r="A209" s="19"/>
      <c r="B209" s="275"/>
      <c r="C209" s="20" t="str">
        <f>IFERROR(VLOOKUP(J209,'03. THIẾT BỊ'!$B$1:$U$836,5,0),"")</f>
        <v>Thiết bị gieo hạt cỏ</v>
      </c>
      <c r="D209" s="19">
        <v>1</v>
      </c>
      <c r="E209" s="19"/>
      <c r="F209" s="19"/>
      <c r="G209" s="19"/>
      <c r="H209" s="19">
        <f>IFERROR(VLOOKUP(J209,'03. THIẾT BỊ'!$B$1:$U$836,19,0),"")</f>
        <v>0</v>
      </c>
      <c r="I209" s="19">
        <f>IFERROR(VLOOKUP(J209,'03. THIẾT BỊ'!$B$1:$U$836,20,0),"")</f>
        <v>0</v>
      </c>
      <c r="J209" s="20" t="s">
        <v>5720</v>
      </c>
      <c r="K209" s="19" t="s">
        <v>5978</v>
      </c>
      <c r="L209" s="19"/>
      <c r="M209" s="19"/>
      <c r="N209" s="19" t="str">
        <f>IFERROR(VLOOKUP(J209,'03. THIẾT BỊ'!$B$1:$U$836,4,0),"")</f>
        <v>ĐQSD</v>
      </c>
      <c r="O209" s="19" t="str">
        <f>IFERROR(VLOOKUP(J209,'03. THIẾT BỊ'!$B$1:$U$836,7,0),"")</f>
        <v>XN Bò AD</v>
      </c>
      <c r="P209" s="353" t="str">
        <f>IFERROR(VLOOKUP(O209,'NS QUẢN LÝ CG'!$A$4:$D$36,2,0),"")</f>
        <v/>
      </c>
      <c r="Q209" s="353" t="str">
        <f>IFERROR(VLOOKUP(O209,'NS QUẢN LÝ CG'!$A$4:$D$36,4,0),"")</f>
        <v/>
      </c>
      <c r="R209" s="353" t="str">
        <f>IFERROR(VLOOKUP(O209,'NS QUẢN LÝ CG'!$A$4:$C$36,3,0),"")</f>
        <v/>
      </c>
      <c r="S209" s="20" t="str">
        <f>IFERROR(VLOOKUP(J209,'03. THIẾT BỊ'!$B$1:$S$836,3,0),"")</f>
        <v>A22-GHC-002</v>
      </c>
      <c r="T209" s="708" t="str">
        <f t="shared" si="3"/>
        <v>ADM</v>
      </c>
      <c r="U209" s="708"/>
    </row>
    <row r="210" ht="13.8" spans="1:21">
      <c r="A210" s="19"/>
      <c r="B210" s="275"/>
      <c r="C210" s="20" t="str">
        <f>IFERROR(VLOOKUP(J210,'03. THIẾT BỊ'!$B$1:$U$836,5,0),"")</f>
        <v>Thiết bị tỉa bắp</v>
      </c>
      <c r="D210" s="19">
        <v>1</v>
      </c>
      <c r="E210" s="19"/>
      <c r="F210" s="19"/>
      <c r="G210" s="19"/>
      <c r="H210" s="19">
        <f>IFERROR(VLOOKUP(J210,'03. THIẾT BỊ'!$B$1:$U$836,19,0),"")</f>
        <v>0</v>
      </c>
      <c r="I210" s="19">
        <f>IFERROR(VLOOKUP(J210,'03. THIẾT BỊ'!$B$1:$U$836,20,0),"")</f>
        <v>0</v>
      </c>
      <c r="J210" s="20" t="s">
        <v>5463</v>
      </c>
      <c r="K210" s="19" t="s">
        <v>5978</v>
      </c>
      <c r="L210" s="19"/>
      <c r="M210" s="19"/>
      <c r="N210" s="19" t="str">
        <f>IFERROR(VLOOKUP(J210,'03. THIẾT BỊ'!$B$1:$U$836,4,0),"")</f>
        <v>ĐQSD</v>
      </c>
      <c r="O210" s="19" t="str">
        <f>IFERROR(VLOOKUP(J210,'03. THIẾT BỊ'!$B$1:$U$836,7,0),"")</f>
        <v>XN Bò AD</v>
      </c>
      <c r="P210" s="353" t="str">
        <f>IFERROR(VLOOKUP(O210,'NS QUẢN LÝ CG'!$A$4:$D$36,2,0),"")</f>
        <v/>
      </c>
      <c r="Q210" s="353" t="str">
        <f>IFERROR(VLOOKUP(O210,'NS QUẢN LÝ CG'!$A$4:$D$36,4,0),"")</f>
        <v/>
      </c>
      <c r="R210" s="353" t="str">
        <f>IFERROR(VLOOKUP(O210,'NS QUẢN LÝ CG'!$A$4:$C$36,3,0),"")</f>
        <v/>
      </c>
      <c r="S210" s="20" t="str">
        <f>IFERROR(VLOOKUP(J210,'03. THIẾT BỊ'!$B$1:$S$836,3,0),"")</f>
        <v>A22-GTB-001</v>
      </c>
      <c r="T210" s="708" t="str">
        <f t="shared" si="3"/>
        <v>ADM</v>
      </c>
      <c r="U210" s="708"/>
    </row>
    <row r="211" ht="13.8" spans="1:21">
      <c r="A211" s="19"/>
      <c r="B211" s="275"/>
      <c r="C211" s="20" t="str">
        <f>IFERROR(VLOOKUP(J211,'03. THIẾT BỊ'!$B$1:$U$836,5,0),"")</f>
        <v>Thiết bị tỉa bắp</v>
      </c>
      <c r="D211" s="19">
        <v>1</v>
      </c>
      <c r="E211" s="19"/>
      <c r="F211" s="19"/>
      <c r="G211" s="19"/>
      <c r="H211" s="19">
        <f>IFERROR(VLOOKUP(J211,'03. THIẾT BỊ'!$B$1:$U$836,19,0),"")</f>
        <v>0</v>
      </c>
      <c r="I211" s="19">
        <f>IFERROR(VLOOKUP(J211,'03. THIẾT BỊ'!$B$1:$U$836,20,0),"")</f>
        <v>0</v>
      </c>
      <c r="J211" s="20" t="s">
        <v>5466</v>
      </c>
      <c r="K211" s="19" t="s">
        <v>5978</v>
      </c>
      <c r="L211" s="19"/>
      <c r="M211" s="19"/>
      <c r="N211" s="19" t="str">
        <f>IFERROR(VLOOKUP(J211,'03. THIẾT BỊ'!$B$1:$U$836,4,0),"")</f>
        <v>ĐQSD</v>
      </c>
      <c r="O211" s="19" t="str">
        <f>IFERROR(VLOOKUP(J211,'03. THIẾT BỊ'!$B$1:$U$836,7,0),"")</f>
        <v>XN Bò AD</v>
      </c>
      <c r="P211" s="353" t="str">
        <f>IFERROR(VLOOKUP(O211,'NS QUẢN LÝ CG'!$A$4:$D$36,2,0),"")</f>
        <v/>
      </c>
      <c r="Q211" s="353" t="str">
        <f>IFERROR(VLOOKUP(O211,'NS QUẢN LÝ CG'!$A$4:$D$36,4,0),"")</f>
        <v/>
      </c>
      <c r="R211" s="353" t="str">
        <f>IFERROR(VLOOKUP(O211,'NS QUẢN LÝ CG'!$A$4:$C$36,3,0),"")</f>
        <v/>
      </c>
      <c r="S211" s="20" t="str">
        <f>IFERROR(VLOOKUP(J211,'03. THIẾT BỊ'!$B$1:$S$836,3,0),"")</f>
        <v>A22-GTB-002</v>
      </c>
      <c r="T211" s="708" t="str">
        <f t="shared" si="3"/>
        <v>ADM</v>
      </c>
      <c r="U211" s="708"/>
    </row>
    <row r="212" ht="13.8" spans="1:21">
      <c r="A212" s="19"/>
      <c r="B212" s="275"/>
      <c r="C212" s="20" t="str">
        <f>IFERROR(VLOOKUP(J212,'03. THIẾT BỊ'!$B$1:$U$836,5,0),"")</f>
        <v>Thiết bị trồng bắp</v>
      </c>
      <c r="D212" s="19">
        <v>1</v>
      </c>
      <c r="E212" s="19"/>
      <c r="F212" s="19"/>
      <c r="G212" s="19"/>
      <c r="H212" s="19">
        <f>IFERROR(VLOOKUP(J212,'03. THIẾT BỊ'!$B$1:$U$836,19,0),"")</f>
        <v>0</v>
      </c>
      <c r="I212" s="19">
        <f>IFERROR(VLOOKUP(J212,'03. THIẾT BỊ'!$B$1:$U$836,20,0),"")</f>
        <v>0</v>
      </c>
      <c r="J212" s="20" t="s">
        <v>5563</v>
      </c>
      <c r="K212" s="19"/>
      <c r="L212" s="19"/>
      <c r="M212" s="19"/>
      <c r="N212" s="19" t="str">
        <f>IFERROR(VLOOKUP(J212,'03. THIẾT BỊ'!$B$1:$U$836,4,0),"")</f>
        <v>ĐQSD</v>
      </c>
      <c r="O212" s="19" t="str">
        <f>IFERROR(VLOOKUP(J212,'03. THIẾT BỊ'!$B$1:$U$836,7,0),"")</f>
        <v>XN Bò AD</v>
      </c>
      <c r="P212" s="353" t="str">
        <f>IFERROR(VLOOKUP(O212,'NS QUẢN LÝ CG'!$A$4:$D$36,2,0),"")</f>
        <v/>
      </c>
      <c r="Q212" s="353" t="str">
        <f>IFERROR(VLOOKUP(O212,'NS QUẢN LÝ CG'!$A$4:$D$36,4,0),"")</f>
        <v/>
      </c>
      <c r="R212" s="353" t="str">
        <f>IFERROR(VLOOKUP(O212,'NS QUẢN LÝ CG'!$A$4:$C$36,3,0),"")</f>
        <v/>
      </c>
      <c r="S212" s="20" t="str">
        <f>IFERROR(VLOOKUP(J212,'03. THIẾT BỊ'!$B$1:$S$836,3,0),"")</f>
        <v>A22-TBT-001</v>
      </c>
      <c r="T212" s="708" t="str">
        <f t="shared" si="3"/>
        <v>ADM</v>
      </c>
      <c r="U212" s="708"/>
    </row>
    <row r="213" ht="13.8" spans="1:21">
      <c r="A213" s="19"/>
      <c r="B213" s="278"/>
      <c r="C213" s="20" t="str">
        <f>IFERROR(VLOOKUP(J213,'03. THIẾT BỊ'!$B$1:$U$836,5,0),"")</f>
        <v>Thiết bị ra hom cỏ giống</v>
      </c>
      <c r="D213" s="19">
        <v>1</v>
      </c>
      <c r="E213" s="19"/>
      <c r="F213" s="19"/>
      <c r="G213" s="19"/>
      <c r="H213" s="19">
        <f>IFERROR(VLOOKUP(J213,'03. THIẾT BỊ'!$B$1:$U$836,19,0),"")</f>
        <v>0</v>
      </c>
      <c r="I213" s="19">
        <f>IFERROR(VLOOKUP(J213,'03. THIẾT BỊ'!$B$1:$U$836,20,0),"")</f>
        <v>0</v>
      </c>
      <c r="J213" s="20" t="s">
        <v>5730</v>
      </c>
      <c r="K213" s="19"/>
      <c r="L213" s="19"/>
      <c r="M213" s="19"/>
      <c r="N213" s="19" t="str">
        <f>IFERROR(VLOOKUP(J213,'03. THIẾT BỊ'!$B$1:$U$836,4,0),"")</f>
        <v>ĐQSD</v>
      </c>
      <c r="O213" s="19" t="str">
        <f>IFERROR(VLOOKUP(J213,'03. THIẾT BỊ'!$B$1:$U$836,7,0),"")</f>
        <v>XN Bò AD</v>
      </c>
      <c r="P213" s="353" t="str">
        <f>IFERROR(VLOOKUP(O213,'NS QUẢN LÝ CG'!$A$4:$D$36,2,0),"")</f>
        <v/>
      </c>
      <c r="Q213" s="353" t="str">
        <f>IFERROR(VLOOKUP(O213,'NS QUẢN LÝ CG'!$A$4:$D$36,4,0),"")</f>
        <v/>
      </c>
      <c r="R213" s="353" t="str">
        <f>IFERROR(VLOOKUP(O213,'NS QUẢN LÝ CG'!$A$4:$C$36,3,0),"")</f>
        <v/>
      </c>
      <c r="S213" s="20" t="str">
        <f>IFERROR(VLOOKUP(J213,'03. THIẾT BỊ'!$B$1:$S$836,3,0),"")</f>
        <v>A22-RHC-001</v>
      </c>
      <c r="T213" s="708" t="str">
        <f t="shared" si="3"/>
        <v>ADM</v>
      </c>
      <c r="U213" s="708"/>
    </row>
    <row r="214" ht="13.8" spans="1:21">
      <c r="A214" s="19"/>
      <c r="B214" s="713"/>
      <c r="C214" s="20" t="str">
        <f>IFERROR(VLOOKUP(J214,'03. THIẾT BỊ'!$B$1:$U$836,5,0),"")</f>
        <v/>
      </c>
      <c r="D214" s="19"/>
      <c r="E214" s="19"/>
      <c r="F214" s="19"/>
      <c r="G214" s="19"/>
      <c r="H214" s="19" t="str">
        <f>IFERROR(VLOOKUP(J214,'03. THIẾT BỊ'!$B$1:$U$836,19,0),"")</f>
        <v/>
      </c>
      <c r="I214" s="19" t="str">
        <f>IFERROR(VLOOKUP(J214,'03. THIẾT BỊ'!$B$1:$U$836,20,0),"")</f>
        <v/>
      </c>
      <c r="J214" s="20"/>
      <c r="K214" s="19"/>
      <c r="L214" s="19"/>
      <c r="M214" s="19"/>
      <c r="N214" s="19" t="str">
        <f>IFERROR(VLOOKUP(J214,'03. THIẾT BỊ'!$B$1:$U$836,4,0),"")</f>
        <v/>
      </c>
      <c r="O214" s="19" t="str">
        <f>IFERROR(VLOOKUP(J214,'03. THIẾT BỊ'!$B$1:$U$836,7,0),"")</f>
        <v/>
      </c>
      <c r="P214" s="20"/>
      <c r="Q214" s="20"/>
      <c r="R214" s="20"/>
      <c r="S214" s="20" t="str">
        <f>IFERROR(VLOOKUP(J214,'03. THIẾT BỊ'!$B$1:$S$836,3,0),"")</f>
        <v/>
      </c>
      <c r="T214" s="708"/>
      <c r="U214" s="708"/>
    </row>
    <row r="215" ht="13.8" spans="1:21">
      <c r="A215" s="19"/>
      <c r="B215" s="713"/>
      <c r="C215" s="20" t="str">
        <f>IFERROR(VLOOKUP(J215,'03. THIẾT BỊ'!$B$1:$U$836,5,0),"")</f>
        <v/>
      </c>
      <c r="D215" s="19"/>
      <c r="E215" s="19"/>
      <c r="F215" s="19"/>
      <c r="G215" s="19"/>
      <c r="H215" s="19" t="str">
        <f>IFERROR(VLOOKUP(J215,'03. THIẾT BỊ'!$B$1:$U$836,19,0),"")</f>
        <v/>
      </c>
      <c r="I215" s="19" t="str">
        <f>IFERROR(VLOOKUP(J215,'03. THIẾT BỊ'!$B$1:$U$836,20,0),"")</f>
        <v/>
      </c>
      <c r="J215" s="20"/>
      <c r="K215" s="19"/>
      <c r="L215" s="19"/>
      <c r="M215" s="19"/>
      <c r="N215" s="19" t="str">
        <f>IFERROR(VLOOKUP(J215,'03. THIẾT BỊ'!$B$1:$U$836,4,0),"")</f>
        <v/>
      </c>
      <c r="O215" s="19" t="str">
        <f>IFERROR(VLOOKUP(J215,'03. THIẾT BỊ'!$B$1:$U$836,7,0),"")</f>
        <v/>
      </c>
      <c r="P215" s="20"/>
      <c r="Q215" s="20"/>
      <c r="R215" s="20"/>
      <c r="S215" s="20" t="str">
        <f>IFERROR(VLOOKUP(J215,'03. THIẾT BỊ'!$B$1:$S$836,3,0),"")</f>
        <v/>
      </c>
      <c r="T215" s="708"/>
      <c r="U215" s="708"/>
    </row>
    <row r="216" ht="13.8" spans="1:21">
      <c r="A216" s="705" t="s">
        <v>6043</v>
      </c>
      <c r="B216" s="271"/>
      <c r="C216" s="272"/>
      <c r="D216" s="26">
        <f>SUM(D217:D273)</f>
        <v>55</v>
      </c>
      <c r="E216" s="30"/>
      <c r="F216" s="30"/>
      <c r="G216" s="30"/>
      <c r="H216" s="30"/>
      <c r="I216" s="30"/>
      <c r="J216" s="29"/>
      <c r="K216" s="30"/>
      <c r="L216" s="30"/>
      <c r="M216" s="30"/>
      <c r="N216" s="29"/>
      <c r="O216" s="720"/>
      <c r="P216" s="29"/>
      <c r="Q216" s="29"/>
      <c r="R216" s="29"/>
      <c r="S216" s="29"/>
      <c r="T216" s="706"/>
      <c r="U216" s="706"/>
    </row>
    <row r="217" ht="13.8" spans="1:21">
      <c r="A217" s="19"/>
      <c r="B217" s="707" t="s">
        <v>6044</v>
      </c>
      <c r="C217" s="20" t="str">
        <f>IFERROR(VLOOKUP(J217,'03. THIẾT BỊ'!$B$1:$U$836,5,0),"")</f>
        <v>Thiết bị phay cỏ 1.5m</v>
      </c>
      <c r="D217" s="19">
        <v>1</v>
      </c>
      <c r="E217" s="19"/>
      <c r="F217" s="19"/>
      <c r="G217" s="19"/>
      <c r="H217" s="19">
        <f>IFERROR(VLOOKUP(J217,'03. THIẾT BỊ'!$B$1:$U$836,19,0),"")</f>
        <v>6.14</v>
      </c>
      <c r="I217" s="19" t="str">
        <f>IFERROR(VLOOKUP(J217,'03. THIẾT BỊ'!$B$1:$U$836,20,0),"")</f>
        <v>3.2 ha/8h</v>
      </c>
      <c r="J217" s="20" t="s">
        <v>5583</v>
      </c>
      <c r="K217" s="721" t="s">
        <v>5978</v>
      </c>
      <c r="L217" s="721"/>
      <c r="M217" s="721"/>
      <c r="N217" s="19" t="str">
        <f>IFERROR(VLOOKUP(J217,'03. THIẾT BỊ'!$B$1:$U$836,4,0),"")</f>
        <v>ĐQSD</v>
      </c>
      <c r="O217" s="19" t="str">
        <f>IFERROR(VLOOKUP(J217,'03. THIẾT BỊ'!$B$1:$U$836,7,0),"")</f>
        <v>XN Bò AD</v>
      </c>
      <c r="P217" s="353" t="str">
        <f>IFERROR(VLOOKUP(O217,'NS QUẢN LÝ CG'!$A$4:$D$36,2,0),"")</f>
        <v/>
      </c>
      <c r="Q217" s="353" t="str">
        <f>IFERROR(VLOOKUP(O217,'NS QUẢN LÝ CG'!$A$4:$D$36,4,0),"")</f>
        <v/>
      </c>
      <c r="R217" s="353" t="str">
        <f>IFERROR(VLOOKUP(O217,'NS QUẢN LÝ CG'!$A$4:$C$36,3,0),"")</f>
        <v/>
      </c>
      <c r="S217" s="20" t="str">
        <f>IFERROR(VLOOKUP(J217,'03. THIẾT BỊ'!$B$1:$S$836,3,0),"")</f>
        <v>A22-DPC-003</v>
      </c>
      <c r="T217" s="708" t="str">
        <f t="shared" ref="T217:T271" si="4">_xlfn.SWITCH(LEFT(S217,3),"A22","ADM","A23","DP","A24","LP","")</f>
        <v>ADM</v>
      </c>
      <c r="U217" s="708"/>
    </row>
    <row r="218" ht="13.8" spans="1:21">
      <c r="A218" s="19"/>
      <c r="B218" s="275"/>
      <c r="C218" s="20" t="str">
        <f>IFERROR(VLOOKUP(J218,'03. THIẾT BỊ'!$B$1:$U$836,5,0),"")</f>
        <v>Thiết bị phay cỏ 1.5m</v>
      </c>
      <c r="D218" s="19">
        <v>1</v>
      </c>
      <c r="E218" s="19"/>
      <c r="F218" s="19"/>
      <c r="G218" s="19"/>
      <c r="H218" s="19">
        <f>IFERROR(VLOOKUP(J218,'03. THIẾT BỊ'!$B$1:$U$836,19,0),"")</f>
        <v>6.14</v>
      </c>
      <c r="I218" s="19" t="str">
        <f>IFERROR(VLOOKUP(J218,'03. THIẾT BỊ'!$B$1:$U$836,20,0),"")</f>
        <v>3.2 ha/8h</v>
      </c>
      <c r="J218" s="20" t="s">
        <v>5587</v>
      </c>
      <c r="K218" s="721" t="s">
        <v>5978</v>
      </c>
      <c r="L218" s="721"/>
      <c r="M218" s="721"/>
      <c r="N218" s="19" t="str">
        <f>IFERROR(VLOOKUP(J218,'03. THIẾT BỊ'!$B$1:$U$836,4,0),"")</f>
        <v>ĐQSD</v>
      </c>
      <c r="O218" s="19" t="str">
        <f>IFERROR(VLOOKUP(J218,'03. THIẾT BỊ'!$B$1:$U$836,7,0),"")</f>
        <v>XN Bò AD</v>
      </c>
      <c r="P218" s="353" t="str">
        <f>IFERROR(VLOOKUP(O218,'NS QUẢN LÝ CG'!$A$4:$D$36,2,0),"")</f>
        <v/>
      </c>
      <c r="Q218" s="353" t="str">
        <f>IFERROR(VLOOKUP(O218,'NS QUẢN LÝ CG'!$A$4:$D$36,4,0),"")</f>
        <v/>
      </c>
      <c r="R218" s="353" t="str">
        <f>IFERROR(VLOOKUP(O218,'NS QUẢN LÝ CG'!$A$4:$C$36,3,0),"")</f>
        <v/>
      </c>
      <c r="S218" s="20" t="str">
        <f>IFERROR(VLOOKUP(J218,'03. THIẾT BỊ'!$B$1:$S$836,3,0),"")</f>
        <v>A22-DPC-004</v>
      </c>
      <c r="T218" s="708" t="str">
        <f t="shared" si="4"/>
        <v>ADM</v>
      </c>
      <c r="U218" s="708"/>
    </row>
    <row r="219" ht="13.8" spans="1:21">
      <c r="A219" s="19"/>
      <c r="B219" s="275"/>
      <c r="C219" s="20" t="str">
        <f>IFERROR(VLOOKUP(J219,'03. THIẾT BỊ'!$B$1:$U$836,5,0),"")</f>
        <v>Thiết bị phay cỏ 1.5m</v>
      </c>
      <c r="D219" s="19">
        <v>1</v>
      </c>
      <c r="E219" s="19"/>
      <c r="F219" s="19"/>
      <c r="G219" s="19"/>
      <c r="H219" s="19">
        <f>IFERROR(VLOOKUP(J219,'03. THIẾT BỊ'!$B$1:$U$836,19,0),"")</f>
        <v>6.14</v>
      </c>
      <c r="I219" s="19" t="str">
        <f>IFERROR(VLOOKUP(J219,'03. THIẾT BỊ'!$B$1:$U$836,20,0),"")</f>
        <v>3.2 ha/8h</v>
      </c>
      <c r="J219" s="20" t="s">
        <v>5591</v>
      </c>
      <c r="K219" s="721" t="s">
        <v>5978</v>
      </c>
      <c r="L219" s="721"/>
      <c r="M219" s="721"/>
      <c r="N219" s="19" t="str">
        <f>IFERROR(VLOOKUP(J219,'03. THIẾT BỊ'!$B$1:$U$836,4,0),"")</f>
        <v>ĐQSD</v>
      </c>
      <c r="O219" s="19" t="str">
        <f>IFERROR(VLOOKUP(J219,'03. THIẾT BỊ'!$B$1:$U$836,7,0),"")</f>
        <v>XN Bò AD</v>
      </c>
      <c r="P219" s="353" t="str">
        <f>IFERROR(VLOOKUP(O219,'NS QUẢN LÝ CG'!$A$4:$D$36,2,0),"")</f>
        <v/>
      </c>
      <c r="Q219" s="353" t="str">
        <f>IFERROR(VLOOKUP(O219,'NS QUẢN LÝ CG'!$A$4:$D$36,4,0),"")</f>
        <v/>
      </c>
      <c r="R219" s="353" t="str">
        <f>IFERROR(VLOOKUP(O219,'NS QUẢN LÝ CG'!$A$4:$C$36,3,0),"")</f>
        <v/>
      </c>
      <c r="S219" s="20" t="str">
        <f>IFERROR(VLOOKUP(J219,'03. THIẾT BỊ'!$B$1:$S$836,3,0),"")</f>
        <v>A22-DPC-005</v>
      </c>
      <c r="T219" s="708" t="str">
        <f t="shared" si="4"/>
        <v>ADM</v>
      </c>
      <c r="U219" s="708"/>
    </row>
    <row r="220" ht="13.8" spans="1:21">
      <c r="A220" s="19"/>
      <c r="B220" s="275"/>
      <c r="C220" s="20" t="str">
        <f>IFERROR(VLOOKUP(J220,'03. THIẾT BỊ'!$B$1:$U$836,5,0),"")</f>
        <v>Thiết bị phay cỏ 1.5m</v>
      </c>
      <c r="D220" s="19">
        <v>1</v>
      </c>
      <c r="E220" s="19"/>
      <c r="F220" s="19"/>
      <c r="G220" s="19"/>
      <c r="H220" s="19">
        <f>IFERROR(VLOOKUP(J220,'03. THIẾT BỊ'!$B$1:$U$836,19,0),"")</f>
        <v>6.14</v>
      </c>
      <c r="I220" s="19" t="str">
        <f>IFERROR(VLOOKUP(J220,'03. THIẾT BỊ'!$B$1:$U$836,20,0),"")</f>
        <v>3.2 ha/8h</v>
      </c>
      <c r="J220" s="20" t="s">
        <v>5594</v>
      </c>
      <c r="K220" s="721" t="s">
        <v>5978</v>
      </c>
      <c r="L220" s="721"/>
      <c r="M220" s="721"/>
      <c r="N220" s="19" t="str">
        <f>IFERROR(VLOOKUP(J220,'03. THIẾT BỊ'!$B$1:$U$836,4,0),"")</f>
        <v>ĐQSD</v>
      </c>
      <c r="O220" s="19" t="str">
        <f>IFERROR(VLOOKUP(J220,'03. THIẾT BỊ'!$B$1:$U$836,7,0),"")</f>
        <v>XN Bò AD</v>
      </c>
      <c r="P220" s="353" t="str">
        <f>IFERROR(VLOOKUP(O220,'NS QUẢN LÝ CG'!$A$4:$D$36,2,0),"")</f>
        <v/>
      </c>
      <c r="Q220" s="353" t="str">
        <f>IFERROR(VLOOKUP(O220,'NS QUẢN LÝ CG'!$A$4:$D$36,4,0),"")</f>
        <v/>
      </c>
      <c r="R220" s="353" t="str">
        <f>IFERROR(VLOOKUP(O220,'NS QUẢN LÝ CG'!$A$4:$C$36,3,0),"")</f>
        <v/>
      </c>
      <c r="S220" s="20" t="str">
        <f>IFERROR(VLOOKUP(J220,'03. THIẾT BỊ'!$B$1:$S$836,3,0),"")</f>
        <v>A22-DPC-006</v>
      </c>
      <c r="T220" s="708" t="str">
        <f t="shared" si="4"/>
        <v>ADM</v>
      </c>
      <c r="U220" s="708"/>
    </row>
    <row r="221" ht="13.8" spans="1:21">
      <c r="A221" s="19"/>
      <c r="B221" s="275"/>
      <c r="C221" s="20" t="str">
        <f>IFERROR(VLOOKUP(J221,'03. THIẾT BỊ'!$B$1:$U$836,5,0),"")</f>
        <v>Thiết bị tề gốc cỏ 3.5m</v>
      </c>
      <c r="D221" s="19">
        <v>1</v>
      </c>
      <c r="E221" s="19"/>
      <c r="F221" s="19"/>
      <c r="G221" s="19"/>
      <c r="H221" s="19">
        <f>IFERROR(VLOOKUP(J221,'03. THIẾT BỊ'!$B$1:$U$836,19,0),"")</f>
        <v>0</v>
      </c>
      <c r="I221" s="19">
        <f>IFERROR(VLOOKUP(J221,'03. THIẾT BỊ'!$B$1:$U$836,20,0),"")</f>
        <v>0</v>
      </c>
      <c r="J221" s="20" t="s">
        <v>5766</v>
      </c>
      <c r="K221" s="721" t="s">
        <v>5978</v>
      </c>
      <c r="L221" s="721"/>
      <c r="M221" s="721"/>
      <c r="N221" s="19" t="str">
        <f>IFERROR(VLOOKUP(J221,'03. THIẾT BỊ'!$B$1:$U$836,4,0),"")</f>
        <v>MUA MỚI</v>
      </c>
      <c r="O221" s="19" t="str">
        <f>IFERROR(VLOOKUP(J221,'03. THIẾT BỊ'!$B$1:$U$836,7,0),"")</f>
        <v>XN Bò AD</v>
      </c>
      <c r="P221" s="353" t="str">
        <f>IFERROR(VLOOKUP(O221,'NS QUẢN LÝ CG'!$A$4:$D$36,2,0),"")</f>
        <v/>
      </c>
      <c r="Q221" s="353" t="str">
        <f>IFERROR(VLOOKUP(O221,'NS QUẢN LÝ CG'!$A$4:$D$36,4,0),"")</f>
        <v/>
      </c>
      <c r="R221" s="353" t="str">
        <f>IFERROR(VLOOKUP(O221,'NS QUẢN LÝ CG'!$A$4:$C$36,3,0),"")</f>
        <v/>
      </c>
      <c r="S221" s="20" t="str">
        <f>IFERROR(VLOOKUP(J221,'03. THIẾT BỊ'!$B$1:$S$836,3,0),"")</f>
        <v>A22-TGC-001</v>
      </c>
      <c r="T221" s="708" t="str">
        <f t="shared" si="4"/>
        <v>ADM</v>
      </c>
      <c r="U221" s="708"/>
    </row>
    <row r="222" ht="13.8" spans="1:21">
      <c r="A222" s="19"/>
      <c r="B222" s="275"/>
      <c r="C222" s="20" t="str">
        <f>IFERROR(VLOOKUP(J222,'03. THIẾT BỊ'!$B$1:$U$836,5,0),"")</f>
        <v>Thiết bị phay cỏ 1.5m</v>
      </c>
      <c r="D222" s="19">
        <v>1</v>
      </c>
      <c r="E222" s="19"/>
      <c r="F222" s="19"/>
      <c r="G222" s="19"/>
      <c r="H222" s="19">
        <f>IFERROR(VLOOKUP(J222,'03. THIẾT BỊ'!$B$1:$U$836,19,0),"")</f>
        <v>6.14</v>
      </c>
      <c r="I222" s="19" t="str">
        <f>IFERROR(VLOOKUP(J222,'03. THIẾT BỊ'!$B$1:$U$836,20,0),"")</f>
        <v>3.2 ha/8h</v>
      </c>
      <c r="J222" s="20" t="s">
        <v>5597</v>
      </c>
      <c r="K222" s="721" t="s">
        <v>5978</v>
      </c>
      <c r="L222" s="721"/>
      <c r="M222" s="721"/>
      <c r="N222" s="19" t="str">
        <f>IFERROR(VLOOKUP(J222,'03. THIẾT BỊ'!$B$1:$U$836,4,0),"")</f>
        <v>ĐQSD</v>
      </c>
      <c r="O222" s="19" t="str">
        <f>IFERROR(VLOOKUP(J222,'03. THIẾT BỊ'!$B$1:$U$836,7,0),"")</f>
        <v>XN Bò AD</v>
      </c>
      <c r="P222" s="353" t="str">
        <f>IFERROR(VLOOKUP(O222,'NS QUẢN LÝ CG'!$A$4:$D$36,2,0),"")</f>
        <v/>
      </c>
      <c r="Q222" s="353" t="str">
        <f>IFERROR(VLOOKUP(O222,'NS QUẢN LÝ CG'!$A$4:$D$36,4,0),"")</f>
        <v/>
      </c>
      <c r="R222" s="353" t="str">
        <f>IFERROR(VLOOKUP(O222,'NS QUẢN LÝ CG'!$A$4:$C$36,3,0),"")</f>
        <v/>
      </c>
      <c r="S222" s="20" t="str">
        <f>IFERROR(VLOOKUP(J222,'03. THIẾT BỊ'!$B$1:$S$836,3,0),"")</f>
        <v>A22-DPC-007</v>
      </c>
      <c r="T222" s="708" t="str">
        <f t="shared" si="4"/>
        <v>ADM</v>
      </c>
      <c r="U222" s="708"/>
    </row>
    <row r="223" ht="13.8" spans="1:21">
      <c r="A223" s="19"/>
      <c r="B223" s="275"/>
      <c r="C223" s="20" t="str">
        <f>IFERROR(VLOOKUP(J223,'03. THIẾT BỊ'!$B$1:$U$836,5,0),"")</f>
        <v>Thiết bị phay cỏ 1.5m</v>
      </c>
      <c r="D223" s="19">
        <v>1</v>
      </c>
      <c r="E223" s="19"/>
      <c r="F223" s="19"/>
      <c r="G223" s="19"/>
      <c r="H223" s="19">
        <f>IFERROR(VLOOKUP(J223,'03. THIẾT BỊ'!$B$1:$U$836,19,0),"")</f>
        <v>6.14</v>
      </c>
      <c r="I223" s="19" t="str">
        <f>IFERROR(VLOOKUP(J223,'03. THIẾT BỊ'!$B$1:$U$836,20,0),"")</f>
        <v>3.2 ha/8h</v>
      </c>
      <c r="J223" s="20" t="s">
        <v>5600</v>
      </c>
      <c r="K223" s="721" t="s">
        <v>5978</v>
      </c>
      <c r="L223" s="721"/>
      <c r="M223" s="721"/>
      <c r="N223" s="19" t="str">
        <f>IFERROR(VLOOKUP(J223,'03. THIẾT BỊ'!$B$1:$U$836,4,0),"")</f>
        <v>ĐQSD</v>
      </c>
      <c r="O223" s="19" t="str">
        <f>IFERROR(VLOOKUP(J223,'03. THIẾT BỊ'!$B$1:$U$836,7,0),"")</f>
        <v>XN Bò AD</v>
      </c>
      <c r="P223" s="353" t="str">
        <f>IFERROR(VLOOKUP(O223,'NS QUẢN LÝ CG'!$A$4:$D$36,2,0),"")</f>
        <v/>
      </c>
      <c r="Q223" s="353" t="str">
        <f>IFERROR(VLOOKUP(O223,'NS QUẢN LÝ CG'!$A$4:$D$36,4,0),"")</f>
        <v/>
      </c>
      <c r="R223" s="353" t="str">
        <f>IFERROR(VLOOKUP(O223,'NS QUẢN LÝ CG'!$A$4:$C$36,3,0),"")</f>
        <v/>
      </c>
      <c r="S223" s="20" t="str">
        <f>IFERROR(VLOOKUP(J223,'03. THIẾT BỊ'!$B$1:$S$836,3,0),"")</f>
        <v>A22-DPC-008</v>
      </c>
      <c r="T223" s="708" t="str">
        <f t="shared" si="4"/>
        <v>ADM</v>
      </c>
      <c r="U223" s="708"/>
    </row>
    <row r="224" ht="13.8" spans="1:21">
      <c r="A224" s="19"/>
      <c r="B224" s="275"/>
      <c r="C224" s="20" t="str">
        <f>IFERROR(VLOOKUP(J224,'03. THIẾT BỊ'!$B$1:$U$836,5,0),"")</f>
        <v>Thiết bị phay cỏ 1.5m</v>
      </c>
      <c r="D224" s="19">
        <v>1</v>
      </c>
      <c r="E224" s="19"/>
      <c r="F224" s="19"/>
      <c r="G224" s="19"/>
      <c r="H224" s="19">
        <f>IFERROR(VLOOKUP(J224,'03. THIẾT BỊ'!$B$1:$U$836,19,0),"")</f>
        <v>6.14</v>
      </c>
      <c r="I224" s="19" t="str">
        <f>IFERROR(VLOOKUP(J224,'03. THIẾT BỊ'!$B$1:$U$836,20,0),"")</f>
        <v>3.2 ha/8h</v>
      </c>
      <c r="J224" s="20" t="s">
        <v>5603</v>
      </c>
      <c r="K224" s="721"/>
      <c r="L224" s="721" t="s">
        <v>5978</v>
      </c>
      <c r="M224" s="721"/>
      <c r="N224" s="19" t="str">
        <f>IFERROR(VLOOKUP(J224,'03. THIẾT BỊ'!$B$1:$U$836,4,0),"")</f>
        <v>ĐQSD</v>
      </c>
      <c r="O224" s="19" t="str">
        <f>IFERROR(VLOOKUP(J224,'03. THIẾT BỊ'!$B$1:$U$836,7,0),"")</f>
        <v>XN Bò AD</v>
      </c>
      <c r="P224" s="353" t="str">
        <f>IFERROR(VLOOKUP(O224,'NS QUẢN LÝ CG'!$A$4:$D$36,2,0),"")</f>
        <v/>
      </c>
      <c r="Q224" s="353" t="str">
        <f>IFERROR(VLOOKUP(O224,'NS QUẢN LÝ CG'!$A$4:$D$36,4,0),"")</f>
        <v/>
      </c>
      <c r="R224" s="353" t="str">
        <f>IFERROR(VLOOKUP(O224,'NS QUẢN LÝ CG'!$A$4:$C$36,3,0),"")</f>
        <v/>
      </c>
      <c r="S224" s="20" t="str">
        <f>IFERROR(VLOOKUP(J224,'03. THIẾT BỊ'!$B$1:$S$836,3,0),"")</f>
        <v>A22-DPC-009</v>
      </c>
      <c r="T224" s="708" t="str">
        <f t="shared" si="4"/>
        <v>ADM</v>
      </c>
      <c r="U224" s="708"/>
    </row>
    <row r="225" ht="13.8" spans="1:21">
      <c r="A225" s="19"/>
      <c r="B225" s="275"/>
      <c r="C225" s="20" t="str">
        <f>IFERROR(VLOOKUP(J225,'03. THIẾT BỊ'!$B$1:$U$836,5,0),"")</f>
        <v>Thiết bị phay cỏ 1.5m</v>
      </c>
      <c r="D225" s="19">
        <v>1</v>
      </c>
      <c r="E225" s="19"/>
      <c r="F225" s="19"/>
      <c r="G225" s="19"/>
      <c r="H225" s="19">
        <f>IFERROR(VLOOKUP(J225,'03. THIẾT BỊ'!$B$1:$U$836,19,0),"")</f>
        <v>6.14</v>
      </c>
      <c r="I225" s="19" t="str">
        <f>IFERROR(VLOOKUP(J225,'03. THIẾT BỊ'!$B$1:$U$836,20,0),"")</f>
        <v>3.2 ha/8h</v>
      </c>
      <c r="J225" s="20" t="s">
        <v>5605</v>
      </c>
      <c r="K225" s="721" t="s">
        <v>5978</v>
      </c>
      <c r="L225" s="721"/>
      <c r="M225" s="721"/>
      <c r="N225" s="19" t="str">
        <f>IFERROR(VLOOKUP(J225,'03. THIẾT BỊ'!$B$1:$U$836,4,0),"")</f>
        <v>ĐQSD</v>
      </c>
      <c r="O225" s="19" t="str">
        <f>IFERROR(VLOOKUP(J225,'03. THIẾT BỊ'!$B$1:$U$836,7,0),"")</f>
        <v>XN Bò AD</v>
      </c>
      <c r="P225" s="353" t="str">
        <f>IFERROR(VLOOKUP(O225,'NS QUẢN LÝ CG'!$A$4:$D$36,2,0),"")</f>
        <v/>
      </c>
      <c r="Q225" s="353" t="str">
        <f>IFERROR(VLOOKUP(O225,'NS QUẢN LÝ CG'!$A$4:$D$36,4,0),"")</f>
        <v/>
      </c>
      <c r="R225" s="353" t="str">
        <f>IFERROR(VLOOKUP(O225,'NS QUẢN LÝ CG'!$A$4:$C$36,3,0),"")</f>
        <v/>
      </c>
      <c r="S225" s="20" t="str">
        <f>IFERROR(VLOOKUP(J225,'03. THIẾT BỊ'!$B$1:$S$836,3,0),"")</f>
        <v>A22-DPC-010</v>
      </c>
      <c r="T225" s="708" t="str">
        <f t="shared" si="4"/>
        <v>ADM</v>
      </c>
      <c r="U225" s="708"/>
    </row>
    <row r="226" ht="13.8" spans="1:21">
      <c r="A226" s="19"/>
      <c r="B226" s="275"/>
      <c r="C226" s="20" t="str">
        <f>IFERROR(VLOOKUP(J226,'03. THIẾT BỊ'!$B$1:$U$836,5,0),"")</f>
        <v>Rơ mooc thùng</v>
      </c>
      <c r="D226" s="19">
        <v>1</v>
      </c>
      <c r="E226" s="19"/>
      <c r="F226" s="19"/>
      <c r="G226" s="19"/>
      <c r="H226" s="19">
        <f>IFERROR(VLOOKUP(J226,'03. THIẾT BỊ'!$B$1:$U$836,19,0),"")</f>
        <v>0</v>
      </c>
      <c r="I226" s="19">
        <f>IFERROR(VLOOKUP(J226,'03. THIẾT BỊ'!$B$1:$U$836,20,0),"")</f>
        <v>0</v>
      </c>
      <c r="J226" s="20" t="s">
        <v>5323</v>
      </c>
      <c r="K226" s="721" t="s">
        <v>5978</v>
      </c>
      <c r="L226" s="721"/>
      <c r="M226" s="721"/>
      <c r="N226" s="19" t="str">
        <f>IFERROR(VLOOKUP(J226,'03. THIẾT BỊ'!$B$1:$U$836,4,0),"")</f>
        <v>ĐQSD</v>
      </c>
      <c r="O226" s="19" t="str">
        <f>IFERROR(VLOOKUP(J226,'03. THIẾT BỊ'!$B$1:$U$836,7,0),"")</f>
        <v>XN Bò AD</v>
      </c>
      <c r="P226" s="353" t="str">
        <f>IFERROR(VLOOKUP(O226,'NS QUẢN LÝ CG'!$A$4:$D$36,2,0),"")</f>
        <v/>
      </c>
      <c r="Q226" s="353" t="str">
        <f>IFERROR(VLOOKUP(O226,'NS QUẢN LÝ CG'!$A$4:$D$36,4,0),"")</f>
        <v/>
      </c>
      <c r="R226" s="353" t="str">
        <f>IFERROR(VLOOKUP(O226,'NS QUẢN LÝ CG'!$A$4:$C$36,3,0),"")</f>
        <v/>
      </c>
      <c r="S226" s="20">
        <f>IFERROR(VLOOKUP(J226,'03. THIẾT BỊ'!$B$1:$S$836,3,0),"")</f>
        <v>0</v>
      </c>
      <c r="T226" s="708" t="str">
        <f t="shared" si="4"/>
        <v/>
      </c>
      <c r="U226" s="708"/>
    </row>
    <row r="227" ht="13.8" spans="1:21">
      <c r="A227" s="19"/>
      <c r="B227" s="275"/>
      <c r="C227" s="20" t="str">
        <f>IFERROR(VLOOKUP(J227,'03. THIẾT BỊ'!$B$1:$U$836,5,0),"")</f>
        <v>Rơ mooc thùng</v>
      </c>
      <c r="D227" s="19">
        <v>1</v>
      </c>
      <c r="E227" s="19"/>
      <c r="F227" s="19"/>
      <c r="G227" s="19"/>
      <c r="H227" s="19">
        <f>IFERROR(VLOOKUP(J227,'03. THIẾT BỊ'!$B$1:$U$836,19,0),"")</f>
        <v>0</v>
      </c>
      <c r="I227" s="19">
        <f>IFERROR(VLOOKUP(J227,'03. THIẾT BỊ'!$B$1:$U$836,20,0),"")</f>
        <v>0</v>
      </c>
      <c r="J227" s="20" t="s">
        <v>5325</v>
      </c>
      <c r="K227" s="721"/>
      <c r="L227" s="721"/>
      <c r="M227" s="721" t="s">
        <v>5978</v>
      </c>
      <c r="N227" s="19" t="str">
        <f>IFERROR(VLOOKUP(J227,'03. THIẾT BỊ'!$B$1:$U$836,4,0),"")</f>
        <v>ĐQSD</v>
      </c>
      <c r="O227" s="19" t="str">
        <f>IFERROR(VLOOKUP(J227,'03. THIẾT BỊ'!$B$1:$U$836,7,0),"")</f>
        <v>XN Bò AD</v>
      </c>
      <c r="P227" s="353" t="str">
        <f>IFERROR(VLOOKUP(O227,'NS QUẢN LÝ CG'!$A$4:$D$36,2,0),"")</f>
        <v/>
      </c>
      <c r="Q227" s="353" t="str">
        <f>IFERROR(VLOOKUP(O227,'NS QUẢN LÝ CG'!$A$4:$D$36,4,0),"")</f>
        <v/>
      </c>
      <c r="R227" s="353" t="str">
        <f>IFERROR(VLOOKUP(O227,'NS QUẢN LÝ CG'!$A$4:$C$36,3,0),"")</f>
        <v/>
      </c>
      <c r="S227" s="20">
        <f>IFERROR(VLOOKUP(J227,'03. THIẾT BỊ'!$B$1:$S$836,3,0),"")</f>
        <v>0</v>
      </c>
      <c r="T227" s="708" t="str">
        <f t="shared" si="4"/>
        <v/>
      </c>
      <c r="U227" s="708"/>
    </row>
    <row r="228" ht="13.8" spans="1:21">
      <c r="A228" s="19"/>
      <c r="B228" s="275"/>
      <c r="C228" s="20" t="str">
        <f>IFERROR(VLOOKUP(J228,'03. THIẾT BỊ'!$B$1:$U$836,5,0),"")</f>
        <v>Rơ mooc thùng</v>
      </c>
      <c r="D228" s="19">
        <v>1</v>
      </c>
      <c r="E228" s="19"/>
      <c r="F228" s="19"/>
      <c r="G228" s="19"/>
      <c r="H228" s="19">
        <f>IFERROR(VLOOKUP(J228,'03. THIẾT BỊ'!$B$1:$U$836,19,0),"")</f>
        <v>0</v>
      </c>
      <c r="I228" s="19">
        <f>IFERROR(VLOOKUP(J228,'03. THIẾT BỊ'!$B$1:$U$836,20,0),"")</f>
        <v>0</v>
      </c>
      <c r="J228" s="20" t="s">
        <v>5326</v>
      </c>
      <c r="K228" s="721"/>
      <c r="L228" s="721"/>
      <c r="M228" s="721" t="s">
        <v>5978</v>
      </c>
      <c r="N228" s="19" t="str">
        <f>IFERROR(VLOOKUP(J228,'03. THIẾT BỊ'!$B$1:$U$836,4,0),"")</f>
        <v>ĐQSD</v>
      </c>
      <c r="O228" s="19" t="str">
        <f>IFERROR(VLOOKUP(J228,'03. THIẾT BỊ'!$B$1:$U$836,7,0),"")</f>
        <v>XN Bò AD</v>
      </c>
      <c r="P228" s="353" t="str">
        <f>IFERROR(VLOOKUP(O228,'NS QUẢN LÝ CG'!$A$4:$D$36,2,0),"")</f>
        <v/>
      </c>
      <c r="Q228" s="353" t="str">
        <f>IFERROR(VLOOKUP(O228,'NS QUẢN LÝ CG'!$A$4:$D$36,4,0),"")</f>
        <v/>
      </c>
      <c r="R228" s="353" t="str">
        <f>IFERROR(VLOOKUP(O228,'NS QUẢN LÝ CG'!$A$4:$C$36,3,0),"")</f>
        <v/>
      </c>
      <c r="S228" s="20">
        <f>IFERROR(VLOOKUP(J228,'03. THIẾT BỊ'!$B$1:$S$836,3,0),"")</f>
        <v>0</v>
      </c>
      <c r="T228" s="708" t="str">
        <f t="shared" si="4"/>
        <v/>
      </c>
      <c r="U228" s="708"/>
    </row>
    <row r="229" ht="13.8" spans="1:21">
      <c r="A229" s="19"/>
      <c r="B229" s="275"/>
      <c r="C229" s="20" t="str">
        <f>IFERROR(VLOOKUP(J229,'03. THIẾT BỊ'!$B$1:$U$836,5,0),"")</f>
        <v>Rơ mooc thùng</v>
      </c>
      <c r="D229" s="19">
        <v>1</v>
      </c>
      <c r="E229" s="19"/>
      <c r="F229" s="19"/>
      <c r="G229" s="19"/>
      <c r="H229" s="19">
        <f>IFERROR(VLOOKUP(J229,'03. THIẾT BỊ'!$B$1:$U$836,19,0),"")</f>
        <v>0</v>
      </c>
      <c r="I229" s="19">
        <f>IFERROR(VLOOKUP(J229,'03. THIẾT BỊ'!$B$1:$U$836,20,0),"")</f>
        <v>0</v>
      </c>
      <c r="J229" s="20" t="s">
        <v>5327</v>
      </c>
      <c r="K229" s="721" t="s">
        <v>5978</v>
      </c>
      <c r="L229" s="721"/>
      <c r="M229" s="721"/>
      <c r="N229" s="19" t="str">
        <f>IFERROR(VLOOKUP(J229,'03. THIẾT BỊ'!$B$1:$U$836,4,0),"")</f>
        <v>ĐQSD</v>
      </c>
      <c r="O229" s="19" t="str">
        <f>IFERROR(VLOOKUP(J229,'03. THIẾT BỊ'!$B$1:$U$836,7,0),"")</f>
        <v>XN Bò AD</v>
      </c>
      <c r="P229" s="353" t="str">
        <f>IFERROR(VLOOKUP(O229,'NS QUẢN LÝ CG'!$A$4:$D$36,2,0),"")</f>
        <v/>
      </c>
      <c r="Q229" s="353" t="str">
        <f>IFERROR(VLOOKUP(O229,'NS QUẢN LÝ CG'!$A$4:$D$36,4,0),"")</f>
        <v/>
      </c>
      <c r="R229" s="353" t="str">
        <f>IFERROR(VLOOKUP(O229,'NS QUẢN LÝ CG'!$A$4:$C$36,3,0),"")</f>
        <v/>
      </c>
      <c r="S229" s="20">
        <f>IFERROR(VLOOKUP(J229,'03. THIẾT BỊ'!$B$1:$S$836,3,0),"")</f>
        <v>0</v>
      </c>
      <c r="T229" s="708" t="str">
        <f t="shared" si="4"/>
        <v/>
      </c>
      <c r="U229" s="708"/>
    </row>
    <row r="230" ht="13.8" spans="1:21">
      <c r="A230" s="19"/>
      <c r="B230" s="275"/>
      <c r="C230" s="20" t="str">
        <f>IFERROR(VLOOKUP(J230,'03. THIẾT BỊ'!$B$1:$U$836,5,0),"")</f>
        <v>Rơ mooc đi cùng shibaura</v>
      </c>
      <c r="D230" s="19">
        <v>1</v>
      </c>
      <c r="E230" s="19"/>
      <c r="F230" s="19"/>
      <c r="G230" s="19"/>
      <c r="H230" s="19">
        <f>IFERROR(VLOOKUP(J230,'03. THIẾT BỊ'!$B$1:$U$836,19,0),"")</f>
        <v>0</v>
      </c>
      <c r="I230" s="19">
        <f>IFERROR(VLOOKUP(J230,'03. THIẾT BỊ'!$B$1:$U$836,20,0),"")</f>
        <v>0</v>
      </c>
      <c r="J230" s="20" t="s">
        <v>5328</v>
      </c>
      <c r="K230" s="721" t="s">
        <v>5978</v>
      </c>
      <c r="L230" s="721"/>
      <c r="M230" s="721"/>
      <c r="N230" s="19" t="str">
        <f>IFERROR(VLOOKUP(J230,'03. THIẾT BỊ'!$B$1:$U$836,4,0),"")</f>
        <v>ĐQSD</v>
      </c>
      <c r="O230" s="19" t="str">
        <f>IFERROR(VLOOKUP(J230,'03. THIẾT BỊ'!$B$1:$U$836,7,0),"")</f>
        <v>XN Bò AD</v>
      </c>
      <c r="P230" s="353" t="str">
        <f>IFERROR(VLOOKUP(O230,'NS QUẢN LÝ CG'!$A$4:$D$36,2,0),"")</f>
        <v/>
      </c>
      <c r="Q230" s="353" t="str">
        <f>IFERROR(VLOOKUP(O230,'NS QUẢN LÝ CG'!$A$4:$D$36,4,0),"")</f>
        <v/>
      </c>
      <c r="R230" s="353" t="str">
        <f>IFERROR(VLOOKUP(O230,'NS QUẢN LÝ CG'!$A$4:$C$36,3,0),"")</f>
        <v/>
      </c>
      <c r="S230" s="20">
        <f>IFERROR(VLOOKUP(J230,'03. THIẾT BỊ'!$B$1:$S$836,3,0),"")</f>
        <v>0</v>
      </c>
      <c r="T230" s="708" t="str">
        <f t="shared" si="4"/>
        <v/>
      </c>
      <c r="U230" s="708"/>
    </row>
    <row r="231" ht="13.8" spans="1:21">
      <c r="A231" s="19"/>
      <c r="B231" s="275"/>
      <c r="C231" s="20" t="str">
        <f>IFERROR(VLOOKUP(J231,'03. THIẾT BỊ'!$B$1:$U$836,5,0),"")</f>
        <v>Rơ mooc vận chuyển M.đào 03</v>
      </c>
      <c r="D231" s="19">
        <v>1</v>
      </c>
      <c r="E231" s="19"/>
      <c r="F231" s="19"/>
      <c r="G231" s="19"/>
      <c r="H231" s="19">
        <f>IFERROR(VLOOKUP(J231,'03. THIẾT BỊ'!$B$1:$U$836,19,0),"")</f>
        <v>0</v>
      </c>
      <c r="I231" s="19">
        <f>IFERROR(VLOOKUP(J231,'03. THIẾT BỊ'!$B$1:$U$836,20,0),"")</f>
        <v>0</v>
      </c>
      <c r="J231" s="20" t="s">
        <v>5356</v>
      </c>
      <c r="K231" s="721" t="s">
        <v>5978</v>
      </c>
      <c r="L231" s="721"/>
      <c r="M231" s="721"/>
      <c r="N231" s="19" t="str">
        <f>IFERROR(VLOOKUP(J231,'03. THIẾT BỊ'!$B$1:$U$836,4,0),"")</f>
        <v>ĐQSD</v>
      </c>
      <c r="O231" s="19" t="str">
        <f>IFERROR(VLOOKUP(J231,'03. THIẾT BỊ'!$B$1:$U$836,7,0),"")</f>
        <v>XN Bò AD</v>
      </c>
      <c r="P231" s="353" t="str">
        <f>IFERROR(VLOOKUP(O231,'NS QUẢN LÝ CG'!$A$4:$D$36,2,0),"")</f>
        <v/>
      </c>
      <c r="Q231" s="353" t="str">
        <f>IFERROR(VLOOKUP(O231,'NS QUẢN LÝ CG'!$A$4:$D$36,4,0),"")</f>
        <v/>
      </c>
      <c r="R231" s="353" t="str">
        <f>IFERROR(VLOOKUP(O231,'NS QUẢN LÝ CG'!$A$4:$C$36,3,0),"")</f>
        <v/>
      </c>
      <c r="S231" s="20" t="str">
        <f>IFERROR(VLOOKUP(J231,'03. THIẾT BỊ'!$B$1:$S$836,3,0),"")</f>
        <v>A22-RMD-001</v>
      </c>
      <c r="T231" s="708" t="str">
        <f t="shared" si="4"/>
        <v>ADM</v>
      </c>
      <c r="U231" s="708"/>
    </row>
    <row r="232" ht="13.8" spans="1:21">
      <c r="A232" s="19"/>
      <c r="B232" s="275"/>
      <c r="C232" s="20" t="str">
        <f>IFERROR(VLOOKUP(J232,'03. THIẾT BỊ'!$B$1:$U$836,5,0),"")</f>
        <v>Rơ mooc thùng ben</v>
      </c>
      <c r="D232" s="19">
        <v>1</v>
      </c>
      <c r="E232" s="19"/>
      <c r="F232" s="19"/>
      <c r="G232" s="19"/>
      <c r="H232" s="19">
        <f>IFERROR(VLOOKUP(J232,'03. THIẾT BỊ'!$B$1:$U$836,19,0),"")</f>
        <v>0</v>
      </c>
      <c r="I232" s="19">
        <f>IFERROR(VLOOKUP(J232,'03. THIẾT BỊ'!$B$1:$U$836,20,0),"")</f>
        <v>0</v>
      </c>
      <c r="J232" s="20" t="s">
        <v>5339</v>
      </c>
      <c r="K232" s="721" t="s">
        <v>5978</v>
      </c>
      <c r="L232" s="721"/>
      <c r="M232" s="721"/>
      <c r="N232" s="19" t="str">
        <f>IFERROR(VLOOKUP(J232,'03. THIẾT BỊ'!$B$1:$U$836,4,0),"")</f>
        <v>ĐQSD</v>
      </c>
      <c r="O232" s="19" t="str">
        <f>IFERROR(VLOOKUP(J232,'03. THIẾT BỊ'!$B$1:$U$836,7,0),"")</f>
        <v>XN Bò AD</v>
      </c>
      <c r="P232" s="353" t="str">
        <f>IFERROR(VLOOKUP(O232,'NS QUẢN LÝ CG'!$A$4:$D$36,2,0),"")</f>
        <v/>
      </c>
      <c r="Q232" s="353" t="str">
        <f>IFERROR(VLOOKUP(O232,'NS QUẢN LÝ CG'!$A$4:$D$36,4,0),"")</f>
        <v/>
      </c>
      <c r="R232" s="353" t="str">
        <f>IFERROR(VLOOKUP(O232,'NS QUẢN LÝ CG'!$A$4:$C$36,3,0),"")</f>
        <v/>
      </c>
      <c r="S232" s="20" t="str">
        <f>IFERROR(VLOOKUP(J232,'03. THIẾT BỊ'!$B$1:$S$836,3,0),"")</f>
        <v>A22-RMB-001</v>
      </c>
      <c r="T232" s="708" t="str">
        <f t="shared" si="4"/>
        <v>ADM</v>
      </c>
      <c r="U232" s="708"/>
    </row>
    <row r="233" ht="13.8" spans="1:21">
      <c r="A233" s="19"/>
      <c r="B233" s="275"/>
      <c r="C233" s="20" t="str">
        <f>IFERROR(VLOOKUP(J233,'03. THIẾT BỊ'!$B$1:$U$836,5,0),"")</f>
        <v>Rơ mooc thùng ben</v>
      </c>
      <c r="D233" s="19">
        <v>1</v>
      </c>
      <c r="E233" s="19"/>
      <c r="F233" s="19"/>
      <c r="G233" s="19"/>
      <c r="H233" s="19">
        <f>IFERROR(VLOOKUP(J233,'03. THIẾT BỊ'!$B$1:$U$836,19,0),"")</f>
        <v>0</v>
      </c>
      <c r="I233" s="19">
        <f>IFERROR(VLOOKUP(J233,'03. THIẾT BỊ'!$B$1:$U$836,20,0),"")</f>
        <v>0</v>
      </c>
      <c r="J233" s="20" t="s">
        <v>5342</v>
      </c>
      <c r="K233" s="721" t="s">
        <v>5978</v>
      </c>
      <c r="L233" s="721"/>
      <c r="M233" s="721"/>
      <c r="N233" s="19" t="str">
        <f>IFERROR(VLOOKUP(J233,'03. THIẾT BỊ'!$B$1:$U$836,4,0),"")</f>
        <v>ĐQSD</v>
      </c>
      <c r="O233" s="19" t="str">
        <f>IFERROR(VLOOKUP(J233,'03. THIẾT BỊ'!$B$1:$U$836,7,0),"")</f>
        <v>XN Bò AD</v>
      </c>
      <c r="P233" s="353" t="str">
        <f>IFERROR(VLOOKUP(O233,'NS QUẢN LÝ CG'!$A$4:$D$36,2,0),"")</f>
        <v/>
      </c>
      <c r="Q233" s="353" t="str">
        <f>IFERROR(VLOOKUP(O233,'NS QUẢN LÝ CG'!$A$4:$D$36,4,0),"")</f>
        <v/>
      </c>
      <c r="R233" s="353" t="str">
        <f>IFERROR(VLOOKUP(O233,'NS QUẢN LÝ CG'!$A$4:$C$36,3,0),"")</f>
        <v/>
      </c>
      <c r="S233" s="20" t="str">
        <f>IFERROR(VLOOKUP(J233,'03. THIẾT BỊ'!$B$1:$S$836,3,0),"")</f>
        <v>A22-RMB-002</v>
      </c>
      <c r="T233" s="708" t="str">
        <f t="shared" si="4"/>
        <v>ADM</v>
      </c>
      <c r="U233" s="708"/>
    </row>
    <row r="234" ht="13.8" spans="1:21">
      <c r="A234" s="19"/>
      <c r="B234" s="275"/>
      <c r="C234" s="20" t="str">
        <f>IFERROR(VLOOKUP(J234,'03. THIẾT BỊ'!$B$1:$U$836,5,0),"")</f>
        <v>Rơ mooc lưới</v>
      </c>
      <c r="D234" s="19">
        <v>1</v>
      </c>
      <c r="E234" s="19"/>
      <c r="F234" s="19"/>
      <c r="G234" s="19"/>
      <c r="H234" s="19">
        <f>IFERROR(VLOOKUP(J234,'03. THIẾT BỊ'!$B$1:$U$836,19,0),"")</f>
        <v>0</v>
      </c>
      <c r="I234" s="19">
        <f>IFERROR(VLOOKUP(J234,'03. THIẾT BỊ'!$B$1:$U$836,20,0),"")</f>
        <v>0</v>
      </c>
      <c r="J234" s="20" t="s">
        <v>5345</v>
      </c>
      <c r="K234" s="721"/>
      <c r="L234" s="721"/>
      <c r="M234" s="721" t="s">
        <v>5978</v>
      </c>
      <c r="N234" s="19" t="str">
        <f>IFERROR(VLOOKUP(J234,'03. THIẾT BỊ'!$B$1:$U$836,4,0),"")</f>
        <v>ĐQSD</v>
      </c>
      <c r="O234" s="19" t="str">
        <f>IFERROR(VLOOKUP(J234,'03. THIẾT BỊ'!$B$1:$U$836,7,0),"")</f>
        <v>XN Bò AD</v>
      </c>
      <c r="P234" s="353" t="str">
        <f>IFERROR(VLOOKUP(O234,'NS QUẢN LÝ CG'!$A$4:$D$36,2,0),"")</f>
        <v/>
      </c>
      <c r="Q234" s="353" t="str">
        <f>IFERROR(VLOOKUP(O234,'NS QUẢN LÝ CG'!$A$4:$D$36,4,0),"")</f>
        <v/>
      </c>
      <c r="R234" s="353" t="str">
        <f>IFERROR(VLOOKUP(O234,'NS QUẢN LÝ CG'!$A$4:$C$36,3,0),"")</f>
        <v/>
      </c>
      <c r="S234" s="20">
        <f>IFERROR(VLOOKUP(J234,'03. THIẾT BỊ'!$B$1:$S$836,3,0),"")</f>
        <v>0</v>
      </c>
      <c r="T234" s="708" t="str">
        <f t="shared" si="4"/>
        <v/>
      </c>
      <c r="U234" s="708"/>
    </row>
    <row r="235" ht="13.8" spans="1:21">
      <c r="A235" s="19"/>
      <c r="B235" s="275"/>
      <c r="C235" s="20" t="str">
        <f>IFERROR(VLOOKUP(J235,'03. THIẾT BỊ'!$B$1:$U$836,5,0),"")</f>
        <v>Rơ mooc lưới</v>
      </c>
      <c r="D235" s="19">
        <v>1</v>
      </c>
      <c r="E235" s="19"/>
      <c r="F235" s="19"/>
      <c r="G235" s="19"/>
      <c r="H235" s="19">
        <f>IFERROR(VLOOKUP(J235,'03. THIẾT BỊ'!$B$1:$U$836,19,0),"")</f>
        <v>0</v>
      </c>
      <c r="I235" s="19">
        <f>IFERROR(VLOOKUP(J235,'03. THIẾT BỊ'!$B$1:$U$836,20,0),"")</f>
        <v>0</v>
      </c>
      <c r="J235" s="20" t="s">
        <v>5346</v>
      </c>
      <c r="K235" s="721"/>
      <c r="L235" s="721"/>
      <c r="M235" s="721" t="s">
        <v>5978</v>
      </c>
      <c r="N235" s="19" t="str">
        <f>IFERROR(VLOOKUP(J235,'03. THIẾT BỊ'!$B$1:$U$836,4,0),"")</f>
        <v>ĐQSD</v>
      </c>
      <c r="O235" s="19" t="str">
        <f>IFERROR(VLOOKUP(J235,'03. THIẾT BỊ'!$B$1:$U$836,7,0),"")</f>
        <v>XN Bò AD</v>
      </c>
      <c r="P235" s="353" t="str">
        <f>IFERROR(VLOOKUP(O235,'NS QUẢN LÝ CG'!$A$4:$D$36,2,0),"")</f>
        <v/>
      </c>
      <c r="Q235" s="353" t="str">
        <f>IFERROR(VLOOKUP(O235,'NS QUẢN LÝ CG'!$A$4:$D$36,4,0),"")</f>
        <v/>
      </c>
      <c r="R235" s="353" t="str">
        <f>IFERROR(VLOOKUP(O235,'NS QUẢN LÝ CG'!$A$4:$C$36,3,0),"")</f>
        <v/>
      </c>
      <c r="S235" s="20">
        <f>IFERROR(VLOOKUP(J235,'03. THIẾT BỊ'!$B$1:$S$836,3,0),"")</f>
        <v>0</v>
      </c>
      <c r="T235" s="708" t="str">
        <f t="shared" si="4"/>
        <v/>
      </c>
      <c r="U235" s="708"/>
    </row>
    <row r="236" ht="13.8" spans="1:21">
      <c r="A236" s="19"/>
      <c r="B236" s="275"/>
      <c r="C236" s="20" t="str">
        <f>IFERROR(VLOOKUP(J236,'03. THIẾT BỊ'!$B$1:$U$836,5,0),"")</f>
        <v>Rơ mooc lưới</v>
      </c>
      <c r="D236" s="19">
        <v>1</v>
      </c>
      <c r="E236" s="19"/>
      <c r="F236" s="19"/>
      <c r="G236" s="19"/>
      <c r="H236" s="19">
        <f>IFERROR(VLOOKUP(J236,'03. THIẾT BỊ'!$B$1:$U$836,19,0),"")</f>
        <v>0</v>
      </c>
      <c r="I236" s="19">
        <f>IFERROR(VLOOKUP(J236,'03. THIẾT BỊ'!$B$1:$U$836,20,0),"")</f>
        <v>0</v>
      </c>
      <c r="J236" s="20" t="s">
        <v>5347</v>
      </c>
      <c r="K236" s="721"/>
      <c r="L236" s="721"/>
      <c r="M236" s="721" t="s">
        <v>5978</v>
      </c>
      <c r="N236" s="19" t="str">
        <f>IFERROR(VLOOKUP(J236,'03. THIẾT BỊ'!$B$1:$U$836,4,0),"")</f>
        <v>ĐQSD</v>
      </c>
      <c r="O236" s="19" t="str">
        <f>IFERROR(VLOOKUP(J236,'03. THIẾT BỊ'!$B$1:$U$836,7,0),"")</f>
        <v>XN Bò AD</v>
      </c>
      <c r="P236" s="353" t="str">
        <f>IFERROR(VLOOKUP(O236,'NS QUẢN LÝ CG'!$A$4:$D$36,2,0),"")</f>
        <v/>
      </c>
      <c r="Q236" s="353" t="str">
        <f>IFERROR(VLOOKUP(O236,'NS QUẢN LÝ CG'!$A$4:$D$36,4,0),"")</f>
        <v/>
      </c>
      <c r="R236" s="353" t="str">
        <f>IFERROR(VLOOKUP(O236,'NS QUẢN LÝ CG'!$A$4:$C$36,3,0),"")</f>
        <v/>
      </c>
      <c r="S236" s="20">
        <f>IFERROR(VLOOKUP(J236,'03. THIẾT BỊ'!$B$1:$S$836,3,0),"")</f>
        <v>0</v>
      </c>
      <c r="T236" s="708" t="str">
        <f t="shared" si="4"/>
        <v/>
      </c>
      <c r="U236" s="708"/>
    </row>
    <row r="237" ht="13.8" spans="1:21">
      <c r="A237" s="19"/>
      <c r="B237" s="275"/>
      <c r="C237" s="20" t="str">
        <f>IFERROR(VLOOKUP(J237,'03. THIẾT BỊ'!$B$1:$U$836,5,0),"")</f>
        <v>Rơ mooc lưới</v>
      </c>
      <c r="D237" s="19">
        <v>1</v>
      </c>
      <c r="E237" s="19"/>
      <c r="F237" s="19"/>
      <c r="G237" s="19"/>
      <c r="H237" s="19">
        <f>IFERROR(VLOOKUP(J237,'03. THIẾT BỊ'!$B$1:$U$836,19,0),"")</f>
        <v>0</v>
      </c>
      <c r="I237" s="19">
        <f>IFERROR(VLOOKUP(J237,'03. THIẾT BỊ'!$B$1:$U$836,20,0),"")</f>
        <v>0</v>
      </c>
      <c r="J237" s="20" t="s">
        <v>5348</v>
      </c>
      <c r="K237" s="721"/>
      <c r="L237" s="721"/>
      <c r="M237" s="721" t="s">
        <v>5978</v>
      </c>
      <c r="N237" s="19" t="str">
        <f>IFERROR(VLOOKUP(J237,'03. THIẾT BỊ'!$B$1:$U$836,4,0),"")</f>
        <v>ĐQSD</v>
      </c>
      <c r="O237" s="19" t="str">
        <f>IFERROR(VLOOKUP(J237,'03. THIẾT BỊ'!$B$1:$U$836,7,0),"")</f>
        <v>XN Bò AD</v>
      </c>
      <c r="P237" s="353" t="str">
        <f>IFERROR(VLOOKUP(O237,'NS QUẢN LÝ CG'!$A$4:$D$36,2,0),"")</f>
        <v/>
      </c>
      <c r="Q237" s="353" t="str">
        <f>IFERROR(VLOOKUP(O237,'NS QUẢN LÝ CG'!$A$4:$D$36,4,0),"")</f>
        <v/>
      </c>
      <c r="R237" s="353" t="str">
        <f>IFERROR(VLOOKUP(O237,'NS QUẢN LÝ CG'!$A$4:$C$36,3,0),"")</f>
        <v/>
      </c>
      <c r="S237" s="20">
        <f>IFERROR(VLOOKUP(J237,'03. THIẾT BỊ'!$B$1:$S$836,3,0),"")</f>
        <v>0</v>
      </c>
      <c r="T237" s="708" t="str">
        <f t="shared" si="4"/>
        <v/>
      </c>
      <c r="U237" s="708"/>
    </row>
    <row r="238" ht="13.8" spans="1:21">
      <c r="A238" s="19"/>
      <c r="B238" s="275"/>
      <c r="C238" s="20" t="str">
        <f>IFERROR(VLOOKUP(J238,'03. THIẾT BỊ'!$B$1:$U$836,5,0),"")</f>
        <v>Rơ mooc clethon</v>
      </c>
      <c r="D238" s="19">
        <v>1</v>
      </c>
      <c r="E238" s="19"/>
      <c r="F238" s="19"/>
      <c r="G238" s="19"/>
      <c r="H238" s="19">
        <f>IFERROR(VLOOKUP(J238,'03. THIẾT BỊ'!$B$1:$U$836,19,0),"")</f>
        <v>0</v>
      </c>
      <c r="I238" s="19">
        <f>IFERROR(VLOOKUP(J238,'03. THIẾT BỊ'!$B$1:$U$836,20,0),"")</f>
        <v>0</v>
      </c>
      <c r="J238" s="20" t="s">
        <v>5613</v>
      </c>
      <c r="K238" s="721" t="s">
        <v>5978</v>
      </c>
      <c r="L238" s="721"/>
      <c r="M238" s="721"/>
      <c r="N238" s="19" t="str">
        <f>IFERROR(VLOOKUP(J238,'03. THIẾT BỊ'!$B$1:$U$836,4,0),"")</f>
        <v>ĐQSD</v>
      </c>
      <c r="O238" s="19" t="str">
        <f>IFERROR(VLOOKUP(J238,'03. THIẾT BỊ'!$B$1:$U$836,7,0),"")</f>
        <v>XN Bò AD</v>
      </c>
      <c r="P238" s="353" t="str">
        <f>IFERROR(VLOOKUP(O238,'NS QUẢN LÝ CG'!$A$4:$D$36,2,0),"")</f>
        <v/>
      </c>
      <c r="Q238" s="353" t="str">
        <f>IFERROR(VLOOKUP(O238,'NS QUẢN LÝ CG'!$A$4:$D$36,4,0),"")</f>
        <v/>
      </c>
      <c r="R238" s="353" t="str">
        <f>IFERROR(VLOOKUP(O238,'NS QUẢN LÝ CG'!$A$4:$C$36,3,0),"")</f>
        <v/>
      </c>
      <c r="S238" s="20" t="str">
        <f>IFERROR(VLOOKUP(J238,'03. THIẾT BỊ'!$B$1:$S$836,3,0),"")</f>
        <v>A22-MCL-001</v>
      </c>
      <c r="T238" s="708" t="str">
        <f t="shared" si="4"/>
        <v>ADM</v>
      </c>
      <c r="U238" s="708"/>
    </row>
    <row r="239" ht="13.8" spans="1:21">
      <c r="A239" s="19"/>
      <c r="B239" s="275"/>
      <c r="C239" s="20" t="str">
        <f>IFERROR(VLOOKUP(J239,'03. THIẾT BỊ'!$B$1:$U$836,5,0),"")</f>
        <v>Rơ mooc clethon</v>
      </c>
      <c r="D239" s="19">
        <v>1</v>
      </c>
      <c r="E239" s="19"/>
      <c r="F239" s="19"/>
      <c r="G239" s="19"/>
      <c r="H239" s="19">
        <f>IFERROR(VLOOKUP(J239,'03. THIẾT BỊ'!$B$1:$U$836,19,0),"")</f>
        <v>0</v>
      </c>
      <c r="I239" s="19">
        <f>IFERROR(VLOOKUP(J239,'03. THIẾT BỊ'!$B$1:$U$836,20,0),"")</f>
        <v>0</v>
      </c>
      <c r="J239" s="20" t="s">
        <v>5617</v>
      </c>
      <c r="K239" s="721" t="s">
        <v>5978</v>
      </c>
      <c r="L239" s="721"/>
      <c r="M239" s="721"/>
      <c r="N239" s="19" t="str">
        <f>IFERROR(VLOOKUP(J239,'03. THIẾT BỊ'!$B$1:$U$836,4,0),"")</f>
        <v>ĐQSD</v>
      </c>
      <c r="O239" s="19" t="str">
        <f>IFERROR(VLOOKUP(J239,'03. THIẾT BỊ'!$B$1:$U$836,7,0),"")</f>
        <v>XN Bò AD</v>
      </c>
      <c r="P239" s="353" t="str">
        <f>IFERROR(VLOOKUP(O239,'NS QUẢN LÝ CG'!$A$4:$D$36,2,0),"")</f>
        <v/>
      </c>
      <c r="Q239" s="353" t="str">
        <f>IFERROR(VLOOKUP(O239,'NS QUẢN LÝ CG'!$A$4:$D$36,4,0),"")</f>
        <v/>
      </c>
      <c r="R239" s="353" t="str">
        <f>IFERROR(VLOOKUP(O239,'NS QUẢN LÝ CG'!$A$4:$C$36,3,0),"")</f>
        <v/>
      </c>
      <c r="S239" s="20" t="str">
        <f>IFERROR(VLOOKUP(J239,'03. THIẾT BỊ'!$B$1:$S$836,3,0),"")</f>
        <v>A22-MCL-002</v>
      </c>
      <c r="T239" s="708" t="str">
        <f t="shared" si="4"/>
        <v>ADM</v>
      </c>
      <c r="U239" s="708"/>
    </row>
    <row r="240" ht="13.8" spans="1:21">
      <c r="A240" s="19"/>
      <c r="B240" s="275"/>
      <c r="C240" s="20" t="str">
        <f>IFERROR(VLOOKUP(J240,'03. THIẾT BỊ'!$B$1:$U$836,5,0),"")</f>
        <v>Thiết bị rạch hàng bón phân vô cơ (6 hàng)</v>
      </c>
      <c r="D240" s="19">
        <v>1</v>
      </c>
      <c r="E240" s="19"/>
      <c r="F240" s="19"/>
      <c r="G240" s="19"/>
      <c r="H240" s="19">
        <f>IFERROR(VLOOKUP(J240,'03. THIẾT BỊ'!$B$1:$U$836,19,0),"")</f>
        <v>0</v>
      </c>
      <c r="I240" s="19">
        <f>IFERROR(VLOOKUP(J240,'03. THIẾT BỊ'!$B$1:$U$836,20,0),"")</f>
        <v>0</v>
      </c>
      <c r="J240" s="20" t="s">
        <v>5726</v>
      </c>
      <c r="K240" s="721" t="s">
        <v>5978</v>
      </c>
      <c r="L240" s="721"/>
      <c r="M240" s="721"/>
      <c r="N240" s="19" t="str">
        <f>IFERROR(VLOOKUP(J240,'03. THIẾT BỊ'!$B$1:$U$836,4,0),"")</f>
        <v>MUA MỚI</v>
      </c>
      <c r="O240" s="19" t="str">
        <f>IFERROR(VLOOKUP(J240,'03. THIẾT BỊ'!$B$1:$U$836,7,0),"")</f>
        <v>XN Bò AD</v>
      </c>
      <c r="P240" s="353" t="str">
        <f>IFERROR(VLOOKUP(O240,'NS QUẢN LÝ CG'!$A$4:$D$36,2,0),"")</f>
        <v/>
      </c>
      <c r="Q240" s="353" t="str">
        <f>IFERROR(VLOOKUP(O240,'NS QUẢN LÝ CG'!$A$4:$D$36,4,0),"")</f>
        <v/>
      </c>
      <c r="R240" s="353" t="str">
        <f>IFERROR(VLOOKUP(O240,'NS QUẢN LÝ CG'!$A$4:$C$36,3,0),"")</f>
        <v/>
      </c>
      <c r="S240" s="20" t="str">
        <f>IFERROR(VLOOKUP(J240,'03. THIẾT BỊ'!$B$1:$S$836,3,0),"")</f>
        <v>A22-RBP-001</v>
      </c>
      <c r="T240" s="708" t="str">
        <f t="shared" si="4"/>
        <v>ADM</v>
      </c>
      <c r="U240" s="708"/>
    </row>
    <row r="241" ht="13.8" spans="1:21">
      <c r="A241" s="19"/>
      <c r="B241" s="275"/>
      <c r="C241" s="20" t="str">
        <f>IFERROR(VLOOKUP(J241,'03. THIẾT BỊ'!$B$1:$U$836,5,0),"")</f>
        <v>Thiết bị rạch hàng bón phân vô cơ (6 hàng)</v>
      </c>
      <c r="D241" s="19">
        <v>1</v>
      </c>
      <c r="E241" s="19"/>
      <c r="F241" s="19"/>
      <c r="G241" s="19"/>
      <c r="H241" s="19">
        <f>IFERROR(VLOOKUP(J241,'03. THIẾT BỊ'!$B$1:$U$836,19,0),"")</f>
        <v>0</v>
      </c>
      <c r="I241" s="19">
        <f>IFERROR(VLOOKUP(J241,'03. THIẾT BỊ'!$B$1:$U$836,20,0),"")</f>
        <v>0</v>
      </c>
      <c r="J241" s="20" t="s">
        <v>5728</v>
      </c>
      <c r="K241" s="721" t="s">
        <v>5978</v>
      </c>
      <c r="L241" s="721"/>
      <c r="M241" s="721"/>
      <c r="N241" s="19" t="str">
        <f>IFERROR(VLOOKUP(J241,'03. THIẾT BỊ'!$B$1:$U$836,4,0),"")</f>
        <v>MUA MỚI</v>
      </c>
      <c r="O241" s="19" t="str">
        <f>IFERROR(VLOOKUP(J241,'03. THIẾT BỊ'!$B$1:$U$836,7,0),"")</f>
        <v>XN Bò AD</v>
      </c>
      <c r="P241" s="353" t="str">
        <f>IFERROR(VLOOKUP(O241,'NS QUẢN LÝ CG'!$A$4:$D$36,2,0),"")</f>
        <v/>
      </c>
      <c r="Q241" s="353" t="str">
        <f>IFERROR(VLOOKUP(O241,'NS QUẢN LÝ CG'!$A$4:$D$36,4,0),"")</f>
        <v/>
      </c>
      <c r="R241" s="353" t="str">
        <f>IFERROR(VLOOKUP(O241,'NS QUẢN LÝ CG'!$A$4:$C$36,3,0),"")</f>
        <v/>
      </c>
      <c r="S241" s="20" t="str">
        <f>IFERROR(VLOOKUP(J241,'03. THIẾT BỊ'!$B$1:$S$836,3,0),"")</f>
        <v>A22-RBP-002</v>
      </c>
      <c r="T241" s="708" t="str">
        <f t="shared" si="4"/>
        <v>ADM</v>
      </c>
      <c r="U241" s="708"/>
    </row>
    <row r="242" ht="13.8" spans="1:21">
      <c r="A242" s="19"/>
      <c r="B242" s="275"/>
      <c r="C242" s="20" t="str">
        <f>IFERROR(VLOOKUP(J242,'03. THIẾT BỊ'!$B$1:$U$836,5,0),"")</f>
        <v>Thiết bị rải phân chuồng</v>
      </c>
      <c r="D242" s="19">
        <v>1</v>
      </c>
      <c r="E242" s="19"/>
      <c r="F242" s="19"/>
      <c r="G242" s="19"/>
      <c r="H242" s="19">
        <f>IFERROR(VLOOKUP(J242,'03. THIẾT BỊ'!$B$1:$U$836,19,0),"")</f>
        <v>0</v>
      </c>
      <c r="I242" s="19">
        <f>IFERROR(VLOOKUP(J242,'03. THIẾT BỊ'!$B$1:$U$836,20,0),"")</f>
        <v>0</v>
      </c>
      <c r="J242" s="20" t="s">
        <v>5426</v>
      </c>
      <c r="K242" s="721" t="s">
        <v>5978</v>
      </c>
      <c r="L242" s="721"/>
      <c r="M242" s="721"/>
      <c r="N242" s="19" t="str">
        <f>IFERROR(VLOOKUP(J242,'03. THIẾT BỊ'!$B$1:$U$836,4,0),"")</f>
        <v>ĐQSD</v>
      </c>
      <c r="O242" s="19" t="str">
        <f>IFERROR(VLOOKUP(J242,'03. THIẾT BỊ'!$B$1:$U$836,7,0),"")</f>
        <v>XN Bò AD</v>
      </c>
      <c r="P242" s="353" t="str">
        <f>IFERROR(VLOOKUP(O242,'NS QUẢN LÝ CG'!$A$4:$D$36,2,0),"")</f>
        <v/>
      </c>
      <c r="Q242" s="353" t="str">
        <f>IFERROR(VLOOKUP(O242,'NS QUẢN LÝ CG'!$A$4:$D$36,4,0),"")</f>
        <v/>
      </c>
      <c r="R242" s="353" t="str">
        <f>IFERROR(VLOOKUP(O242,'NS QUẢN LÝ CG'!$A$4:$C$36,3,0),"")</f>
        <v/>
      </c>
      <c r="S242" s="20" t="str">
        <f>IFERROR(VLOOKUP(J242,'03. THIẾT BỊ'!$B$1:$S$836,3,0),"")</f>
        <v>A22-MRP-001</v>
      </c>
      <c r="T242" s="708" t="str">
        <f t="shared" si="4"/>
        <v>ADM</v>
      </c>
      <c r="U242" s="708"/>
    </row>
    <row r="243" ht="13.8" spans="1:21">
      <c r="A243" s="19"/>
      <c r="B243" s="275"/>
      <c r="C243" s="20" t="str">
        <f>IFERROR(VLOOKUP(J243,'03. THIẾT BỊ'!$B$1:$U$836,5,0),"")</f>
        <v>Thiết bị rãi phân hữu cơ</v>
      </c>
      <c r="D243" s="19">
        <v>1</v>
      </c>
      <c r="E243" s="19"/>
      <c r="F243" s="19"/>
      <c r="G243" s="19"/>
      <c r="H243" s="19">
        <f>IFERROR(VLOOKUP(J243,'03. THIẾT BỊ'!$B$1:$U$836,19,0),"")</f>
        <v>0</v>
      </c>
      <c r="I243" s="19">
        <f>IFERROR(VLOOKUP(J243,'03. THIẾT BỊ'!$B$1:$U$836,20,0),"")</f>
        <v>0</v>
      </c>
      <c r="J243" s="20" t="s">
        <v>5650</v>
      </c>
      <c r="K243" s="721" t="s">
        <v>5978</v>
      </c>
      <c r="L243" s="721"/>
      <c r="M243" s="721"/>
      <c r="N243" s="19" t="str">
        <f>IFERROR(VLOOKUP(J243,'03. THIẾT BỊ'!$B$1:$U$836,4,0),"")</f>
        <v>ĐQSD</v>
      </c>
      <c r="O243" s="19" t="str">
        <f>IFERROR(VLOOKUP(J243,'03. THIẾT BỊ'!$B$1:$U$836,7,0),"")</f>
        <v>XN Bò AD</v>
      </c>
      <c r="P243" s="353" t="str">
        <f>IFERROR(VLOOKUP(O243,'NS QUẢN LÝ CG'!$A$4:$D$36,2,0),"")</f>
        <v/>
      </c>
      <c r="Q243" s="353" t="str">
        <f>IFERROR(VLOOKUP(O243,'NS QUẢN LÝ CG'!$A$4:$D$36,4,0),"")</f>
        <v/>
      </c>
      <c r="R243" s="353" t="str">
        <f>IFERROR(VLOOKUP(O243,'NS QUẢN LÝ CG'!$A$4:$C$36,3,0),"")</f>
        <v/>
      </c>
      <c r="S243" s="20" t="str">
        <f>IFERROR(VLOOKUP(J243,'03. THIẾT BỊ'!$B$1:$S$836,3,0),"")</f>
        <v>A22-TBR-001</v>
      </c>
      <c r="T243" s="708" t="str">
        <f t="shared" si="4"/>
        <v>ADM</v>
      </c>
      <c r="U243" s="708"/>
    </row>
    <row r="244" ht="13.8" spans="1:21">
      <c r="A244" s="19"/>
      <c r="B244" s="275"/>
      <c r="C244" s="20" t="str">
        <f>IFERROR(VLOOKUP(J244,'03. THIẾT BỊ'!$B$1:$U$836,5,0),"")</f>
        <v>Thiết bị tung phân hữu cơ</v>
      </c>
      <c r="D244" s="19">
        <v>1</v>
      </c>
      <c r="E244" s="19"/>
      <c r="F244" s="19"/>
      <c r="G244" s="19"/>
      <c r="H244" s="19">
        <f>IFERROR(VLOOKUP(J244,'03. THIẾT BỊ'!$B$1:$U$836,19,0),"")</f>
        <v>0</v>
      </c>
      <c r="I244" s="19">
        <f>IFERROR(VLOOKUP(J244,'03. THIẾT BỊ'!$B$1:$U$836,20,0),"")</f>
        <v>0</v>
      </c>
      <c r="J244" s="20" t="s">
        <v>5548</v>
      </c>
      <c r="K244" s="721" t="s">
        <v>5978</v>
      </c>
      <c r="L244" s="721"/>
      <c r="M244" s="721"/>
      <c r="N244" s="19" t="str">
        <f>IFERROR(VLOOKUP(J244,'03. THIẾT BỊ'!$B$1:$U$836,4,0),"")</f>
        <v>MUA MỚI</v>
      </c>
      <c r="O244" s="19" t="str">
        <f>IFERROR(VLOOKUP(J244,'03. THIẾT BỊ'!$B$1:$U$836,7,0),"")</f>
        <v>XN Bò AD</v>
      </c>
      <c r="P244" s="353" t="str">
        <f>IFERROR(VLOOKUP(O244,'NS QUẢN LÝ CG'!$A$4:$D$36,2,0),"")</f>
        <v/>
      </c>
      <c r="Q244" s="353" t="str">
        <f>IFERROR(VLOOKUP(O244,'NS QUẢN LÝ CG'!$A$4:$D$36,4,0),"")</f>
        <v/>
      </c>
      <c r="R244" s="353" t="str">
        <f>IFERROR(VLOOKUP(O244,'NS QUẢN LÝ CG'!$A$4:$C$36,3,0),"")</f>
        <v/>
      </c>
      <c r="S244" s="20" t="str">
        <f>IFERROR(VLOOKUP(J244,'03. THIẾT BỊ'!$B$1:$S$836,3,0),"")</f>
        <v>A22-DTP-002</v>
      </c>
      <c r="T244" s="708" t="str">
        <f t="shared" si="4"/>
        <v>ADM</v>
      </c>
      <c r="U244" s="708"/>
    </row>
    <row r="245" ht="13.8" spans="1:21">
      <c r="A245" s="19"/>
      <c r="B245" s="275"/>
      <c r="C245" s="20" t="str">
        <f>IFERROR(VLOOKUP(J245,'03. THIẾT BỊ'!$B$1:$U$836,5,0),"")</f>
        <v>Thiết bị tung phân hữu cơ</v>
      </c>
      <c r="D245" s="19">
        <v>1</v>
      </c>
      <c r="E245" s="19"/>
      <c r="F245" s="19"/>
      <c r="G245" s="19"/>
      <c r="H245" s="19">
        <f>IFERROR(VLOOKUP(J245,'03. THIẾT BỊ'!$B$1:$U$836,19,0),"")</f>
        <v>0</v>
      </c>
      <c r="I245" s="19">
        <f>IFERROR(VLOOKUP(J245,'03. THIẾT BỊ'!$B$1:$U$836,20,0),"")</f>
        <v>0</v>
      </c>
      <c r="J245" s="20" t="s">
        <v>5545</v>
      </c>
      <c r="K245" s="721" t="s">
        <v>5978</v>
      </c>
      <c r="L245" s="721"/>
      <c r="M245" s="721"/>
      <c r="N245" s="19" t="str">
        <f>IFERROR(VLOOKUP(J245,'03. THIẾT BỊ'!$B$1:$U$836,4,0),"")</f>
        <v>MUA MỚI</v>
      </c>
      <c r="O245" s="19" t="str">
        <f>IFERROR(VLOOKUP(J245,'03. THIẾT BỊ'!$B$1:$U$836,7,0),"")</f>
        <v>XN Bò AD</v>
      </c>
      <c r="P245" s="353" t="str">
        <f>IFERROR(VLOOKUP(O245,'NS QUẢN LÝ CG'!$A$4:$D$36,2,0),"")</f>
        <v/>
      </c>
      <c r="Q245" s="353" t="str">
        <f>IFERROR(VLOOKUP(O245,'NS QUẢN LÝ CG'!$A$4:$D$36,4,0),"")</f>
        <v/>
      </c>
      <c r="R245" s="353" t="str">
        <f>IFERROR(VLOOKUP(O245,'NS QUẢN LÝ CG'!$A$4:$C$36,3,0),"")</f>
        <v/>
      </c>
      <c r="S245" s="20" t="str">
        <f>IFERROR(VLOOKUP(J245,'03. THIẾT BỊ'!$B$1:$S$836,3,0),"")</f>
        <v>A22-DTP-001</v>
      </c>
      <c r="T245" s="708" t="str">
        <f t="shared" si="4"/>
        <v>ADM</v>
      </c>
      <c r="U245" s="708"/>
    </row>
    <row r="246" ht="13.8" spans="1:21">
      <c r="A246" s="19"/>
      <c r="B246" s="275"/>
      <c r="C246" s="20" t="str">
        <f>IFERROR(VLOOKUP(J246,'03. THIẾT BỊ'!$B$1:$U$836,5,0),"")</f>
        <v>Rải phân chuồng</v>
      </c>
      <c r="D246" s="19">
        <v>1</v>
      </c>
      <c r="E246" s="19"/>
      <c r="F246" s="19"/>
      <c r="G246" s="19"/>
      <c r="H246" s="19">
        <f>IFERROR(VLOOKUP(J246,'03. THIẾT BỊ'!$B$1:$U$836,19,0),"")</f>
        <v>0</v>
      </c>
      <c r="I246" s="19">
        <f>IFERROR(VLOOKUP(J246,'03. THIẾT BỊ'!$B$1:$U$836,20,0),"")</f>
        <v>0</v>
      </c>
      <c r="J246" s="20" t="s">
        <v>5444</v>
      </c>
      <c r="K246" s="721"/>
      <c r="L246" s="721" t="s">
        <v>5978</v>
      </c>
      <c r="M246" s="721"/>
      <c r="N246" s="19" t="str">
        <f>IFERROR(VLOOKUP(J246,'03. THIẾT BỊ'!$B$1:$U$836,4,0),"")</f>
        <v>ĐQSD</v>
      </c>
      <c r="O246" s="19" t="str">
        <f>IFERROR(VLOOKUP(J246,'03. THIẾT BỊ'!$B$1:$U$836,7,0),"")</f>
        <v>XN Bò AD</v>
      </c>
      <c r="P246" s="353" t="str">
        <f>IFERROR(VLOOKUP(O246,'NS QUẢN LÝ CG'!$A$4:$D$36,2,0),"")</f>
        <v/>
      </c>
      <c r="Q246" s="353" t="str">
        <f>IFERROR(VLOOKUP(O246,'NS QUẢN LÝ CG'!$A$4:$D$36,4,0),"")</f>
        <v/>
      </c>
      <c r="R246" s="353" t="str">
        <f>IFERROR(VLOOKUP(O246,'NS QUẢN LÝ CG'!$A$4:$C$36,3,0),"")</f>
        <v/>
      </c>
      <c r="S246" s="20" t="str">
        <f>IFERROR(VLOOKUP(J246,'03. THIẾT BỊ'!$B$1:$S$836,3,0),"")</f>
        <v>A22-RPC-001</v>
      </c>
      <c r="T246" s="708" t="str">
        <f t="shared" si="4"/>
        <v>ADM</v>
      </c>
      <c r="U246" s="708"/>
    </row>
    <row r="247" ht="13.8" spans="1:21">
      <c r="A247" s="19"/>
      <c r="B247" s="275"/>
      <c r="C247" s="20" t="str">
        <f>IFERROR(VLOOKUP(J247,'03. THIẾT BỊ'!$B$1:$U$836,5,0),"")</f>
        <v>Thiết bị rải phân hữu cơ 4 hàng</v>
      </c>
      <c r="D247" s="19">
        <v>1</v>
      </c>
      <c r="E247" s="19"/>
      <c r="F247" s="19"/>
      <c r="G247" s="19"/>
      <c r="H247" s="19">
        <f>IFERROR(VLOOKUP(J247,'03. THIẾT BỊ'!$B$1:$U$836,19,0),"")</f>
        <v>0</v>
      </c>
      <c r="I247" s="19">
        <f>IFERROR(VLOOKUP(J247,'03. THIẾT BỊ'!$B$1:$U$836,20,0),"")</f>
        <v>0</v>
      </c>
      <c r="J247" s="20" t="s">
        <v>5655</v>
      </c>
      <c r="K247" s="721" t="s">
        <v>5978</v>
      </c>
      <c r="L247" s="721"/>
      <c r="M247" s="721"/>
      <c r="N247" s="19" t="str">
        <f>IFERROR(VLOOKUP(J247,'03. THIẾT BỊ'!$B$1:$U$836,4,0),"")</f>
        <v>ĐQSD</v>
      </c>
      <c r="O247" s="19" t="str">
        <f>IFERROR(VLOOKUP(J247,'03. THIẾT BỊ'!$B$1:$U$836,7,0),"")</f>
        <v>XN Bò AD</v>
      </c>
      <c r="P247" s="353" t="str">
        <f>IFERROR(VLOOKUP(O247,'NS QUẢN LÝ CG'!$A$4:$D$36,2,0),"")</f>
        <v/>
      </c>
      <c r="Q247" s="353" t="str">
        <f>IFERROR(VLOOKUP(O247,'NS QUẢN LÝ CG'!$A$4:$D$36,4,0),"")</f>
        <v/>
      </c>
      <c r="R247" s="353" t="str">
        <f>IFERROR(VLOOKUP(O247,'NS QUẢN LÝ CG'!$A$4:$C$36,3,0),"")</f>
        <v/>
      </c>
      <c r="S247" s="20" t="str">
        <f>IFERROR(VLOOKUP(J247,'03. THIẾT BỊ'!$B$1:$S$836,3,0),"")</f>
        <v>A22-RP4-001</v>
      </c>
      <c r="T247" s="708" t="str">
        <f t="shared" si="4"/>
        <v>ADM</v>
      </c>
      <c r="U247" s="708"/>
    </row>
    <row r="248" ht="13.8" spans="1:21">
      <c r="A248" s="19"/>
      <c r="B248" s="275"/>
      <c r="C248" s="20" t="str">
        <f>IFERROR(VLOOKUP(J248,'03. THIẾT BỊ'!$B$1:$U$836,5,0),"")</f>
        <v>Thiết bị rải phân hữu cơ 4 hàng</v>
      </c>
      <c r="D248" s="19">
        <v>1</v>
      </c>
      <c r="E248" s="19"/>
      <c r="F248" s="19"/>
      <c r="G248" s="19"/>
      <c r="H248" s="19">
        <f>IFERROR(VLOOKUP(J248,'03. THIẾT BỊ'!$B$1:$U$836,19,0),"")</f>
        <v>0</v>
      </c>
      <c r="I248" s="19">
        <f>IFERROR(VLOOKUP(J248,'03. THIẾT BỊ'!$B$1:$U$836,20,0),"")</f>
        <v>0</v>
      </c>
      <c r="J248" s="20" t="s">
        <v>5662</v>
      </c>
      <c r="K248" s="721" t="s">
        <v>5978</v>
      </c>
      <c r="L248" s="721"/>
      <c r="M248" s="721"/>
      <c r="N248" s="19" t="str">
        <f>IFERROR(VLOOKUP(J248,'03. THIẾT BỊ'!$B$1:$U$836,4,0),"")</f>
        <v>ĐQSD</v>
      </c>
      <c r="O248" s="19" t="str">
        <f>IFERROR(VLOOKUP(J248,'03. THIẾT BỊ'!$B$1:$U$836,7,0),"")</f>
        <v>XN Bò AD</v>
      </c>
      <c r="P248" s="353" t="str">
        <f>IFERROR(VLOOKUP(O248,'NS QUẢN LÝ CG'!$A$4:$D$36,2,0),"")</f>
        <v/>
      </c>
      <c r="Q248" s="353" t="str">
        <f>IFERROR(VLOOKUP(O248,'NS QUẢN LÝ CG'!$A$4:$D$36,4,0),"")</f>
        <v/>
      </c>
      <c r="R248" s="353" t="str">
        <f>IFERROR(VLOOKUP(O248,'NS QUẢN LÝ CG'!$A$4:$C$36,3,0),"")</f>
        <v/>
      </c>
      <c r="S248" s="20" t="str">
        <f>IFERROR(VLOOKUP(J248,'03. THIẾT BỊ'!$B$1:$S$836,3,0),"")</f>
        <v>A22-RP4-002</v>
      </c>
      <c r="T248" s="708" t="str">
        <f t="shared" si="4"/>
        <v>ADM</v>
      </c>
      <c r="U248" s="708"/>
    </row>
    <row r="249" ht="13.8" spans="1:21">
      <c r="A249" s="19"/>
      <c r="B249" s="275"/>
      <c r="C249" s="20" t="str">
        <f>IFERROR(VLOOKUP(J249,'03. THIẾT BỊ'!$B$1:$U$836,5,0),"")</f>
        <v>Thiết bị rạch - tung phân cỏ chăn thả</v>
      </c>
      <c r="D249" s="19">
        <v>1</v>
      </c>
      <c r="E249" s="19"/>
      <c r="F249" s="19"/>
      <c r="G249" s="19"/>
      <c r="H249" s="19">
        <f>IFERROR(VLOOKUP(J249,'03. THIẾT BỊ'!$B$1:$U$836,19,0),"")</f>
        <v>0</v>
      </c>
      <c r="I249" s="19">
        <f>IFERROR(VLOOKUP(J249,'03. THIẾT BỊ'!$B$1:$U$836,20,0),"")</f>
        <v>0</v>
      </c>
      <c r="J249" s="20" t="s">
        <v>5743</v>
      </c>
      <c r="K249" s="721" t="s">
        <v>5978</v>
      </c>
      <c r="L249" s="721"/>
      <c r="M249" s="721"/>
      <c r="N249" s="19" t="str">
        <f>IFERROR(VLOOKUP(J249,'03. THIẾT BỊ'!$B$1:$U$836,4,0),"")</f>
        <v>ĐQSD</v>
      </c>
      <c r="O249" s="19" t="str">
        <f>IFERROR(VLOOKUP(J249,'03. THIẾT BỊ'!$B$1:$U$836,7,0),"")</f>
        <v>XN Bò AD</v>
      </c>
      <c r="P249" s="353" t="str">
        <f>IFERROR(VLOOKUP(O249,'NS QUẢN LÝ CG'!$A$4:$D$36,2,0),"")</f>
        <v/>
      </c>
      <c r="Q249" s="353" t="str">
        <f>IFERROR(VLOOKUP(O249,'NS QUẢN LÝ CG'!$A$4:$D$36,4,0),"")</f>
        <v/>
      </c>
      <c r="R249" s="353" t="str">
        <f>IFERROR(VLOOKUP(O249,'NS QUẢN LÝ CG'!$A$4:$C$36,3,0),"")</f>
        <v/>
      </c>
      <c r="S249" s="20" t="str">
        <f>IFERROR(VLOOKUP(J249,'03. THIẾT BỊ'!$B$1:$S$836,3,0),"")</f>
        <v>A22-DRC-001</v>
      </c>
      <c r="T249" s="708" t="str">
        <f t="shared" si="4"/>
        <v>ADM</v>
      </c>
      <c r="U249" s="708"/>
    </row>
    <row r="250" ht="13.8" spans="1:21">
      <c r="A250" s="19"/>
      <c r="B250" s="275"/>
      <c r="C250" s="20" t="str">
        <f>IFERROR(VLOOKUP(J250,'03. THIẾT BỊ'!$B$1:$U$836,5,0),"")</f>
        <v>Thiết bị rạch - tung phân cỏ chăn thả</v>
      </c>
      <c r="D250" s="19">
        <v>1</v>
      </c>
      <c r="E250" s="19"/>
      <c r="F250" s="19"/>
      <c r="G250" s="19"/>
      <c r="H250" s="19">
        <f>IFERROR(VLOOKUP(J250,'03. THIẾT BỊ'!$B$1:$U$836,19,0),"")</f>
        <v>0</v>
      </c>
      <c r="I250" s="19">
        <f>IFERROR(VLOOKUP(J250,'03. THIẾT BỊ'!$B$1:$U$836,20,0),"")</f>
        <v>0</v>
      </c>
      <c r="J250" s="20" t="s">
        <v>5747</v>
      </c>
      <c r="K250" s="721" t="s">
        <v>5978</v>
      </c>
      <c r="L250" s="721"/>
      <c r="M250" s="721"/>
      <c r="N250" s="19" t="str">
        <f>IFERROR(VLOOKUP(J250,'03. THIẾT BỊ'!$B$1:$U$836,4,0),"")</f>
        <v>ĐQSD</v>
      </c>
      <c r="O250" s="19" t="str">
        <f>IFERROR(VLOOKUP(J250,'03. THIẾT BỊ'!$B$1:$U$836,7,0),"")</f>
        <v>XN Bò AD</v>
      </c>
      <c r="P250" s="353" t="str">
        <f>IFERROR(VLOOKUP(O250,'NS QUẢN LÝ CG'!$A$4:$D$36,2,0),"")</f>
        <v/>
      </c>
      <c r="Q250" s="353" t="str">
        <f>IFERROR(VLOOKUP(O250,'NS QUẢN LÝ CG'!$A$4:$D$36,4,0),"")</f>
        <v/>
      </c>
      <c r="R250" s="353" t="str">
        <f>IFERROR(VLOOKUP(O250,'NS QUẢN LÝ CG'!$A$4:$C$36,3,0),"")</f>
        <v/>
      </c>
      <c r="S250" s="20" t="str">
        <f>IFERROR(VLOOKUP(J250,'03. THIẾT BỊ'!$B$1:$S$836,3,0),"")</f>
        <v>A22-DRC-002</v>
      </c>
      <c r="T250" s="708" t="str">
        <f t="shared" si="4"/>
        <v>ADM</v>
      </c>
      <c r="U250" s="708"/>
    </row>
    <row r="251" ht="13.8" spans="1:21">
      <c r="A251" s="19"/>
      <c r="B251" s="275"/>
      <c r="C251" s="20" t="str">
        <f>IFERROR(VLOOKUP(J251,'03. THIẾT BỊ'!$B$1:$U$836,5,0),"")</f>
        <v>Thiết bị rạch - tung phân cỏ chăn thả</v>
      </c>
      <c r="D251" s="19">
        <v>1</v>
      </c>
      <c r="E251" s="19"/>
      <c r="F251" s="19"/>
      <c r="G251" s="19"/>
      <c r="H251" s="19">
        <f>IFERROR(VLOOKUP(J251,'03. THIẾT BỊ'!$B$1:$U$836,19,0),"")</f>
        <v>0</v>
      </c>
      <c r="I251" s="19">
        <f>IFERROR(VLOOKUP(J251,'03. THIẾT BỊ'!$B$1:$U$836,20,0),"")</f>
        <v>0</v>
      </c>
      <c r="J251" s="20" t="s">
        <v>5752</v>
      </c>
      <c r="K251" s="721" t="s">
        <v>5978</v>
      </c>
      <c r="L251" s="721"/>
      <c r="M251" s="721"/>
      <c r="N251" s="19" t="str">
        <f>IFERROR(VLOOKUP(J251,'03. THIẾT BỊ'!$B$1:$U$836,4,0),"")</f>
        <v>ĐQSD</v>
      </c>
      <c r="O251" s="19" t="str">
        <f>IFERROR(VLOOKUP(J251,'03. THIẾT BỊ'!$B$1:$U$836,7,0),"")</f>
        <v>XN Bò AD</v>
      </c>
      <c r="P251" s="353" t="str">
        <f>IFERROR(VLOOKUP(O251,'NS QUẢN LÝ CG'!$A$4:$D$36,2,0),"")</f>
        <v/>
      </c>
      <c r="Q251" s="353" t="str">
        <f>IFERROR(VLOOKUP(O251,'NS QUẢN LÝ CG'!$A$4:$D$36,4,0),"")</f>
        <v/>
      </c>
      <c r="R251" s="353" t="str">
        <f>IFERROR(VLOOKUP(O251,'NS QUẢN LÝ CG'!$A$4:$C$36,3,0),"")</f>
        <v/>
      </c>
      <c r="S251" s="20" t="str">
        <f>IFERROR(VLOOKUP(J251,'03. THIẾT BỊ'!$B$1:$S$836,3,0),"")</f>
        <v>A22-DRC-003</v>
      </c>
      <c r="T251" s="708" t="str">
        <f t="shared" si="4"/>
        <v>ADM</v>
      </c>
      <c r="U251" s="708"/>
    </row>
    <row r="252" ht="13.8" spans="1:21">
      <c r="A252" s="19"/>
      <c r="B252" s="275"/>
      <c r="C252" s="20" t="str">
        <f>IFERROR(VLOOKUP(J252,'03. THIẾT BỊ'!$B$1:$U$836,5,0),"")</f>
        <v>Thiết bị rạch - tung phân cỏ chăn thả</v>
      </c>
      <c r="D252" s="19">
        <v>1</v>
      </c>
      <c r="E252" s="19"/>
      <c r="F252" s="19"/>
      <c r="G252" s="19"/>
      <c r="H252" s="19">
        <f>IFERROR(VLOOKUP(J252,'03. THIẾT BỊ'!$B$1:$U$836,19,0),"")</f>
        <v>0</v>
      </c>
      <c r="I252" s="19">
        <f>IFERROR(VLOOKUP(J252,'03. THIẾT BỊ'!$B$1:$U$836,20,0),"")</f>
        <v>0</v>
      </c>
      <c r="J252" s="20" t="s">
        <v>5754</v>
      </c>
      <c r="K252" s="721" t="s">
        <v>5978</v>
      </c>
      <c r="L252" s="721"/>
      <c r="M252" s="721"/>
      <c r="N252" s="19" t="str">
        <f>IFERROR(VLOOKUP(J252,'03. THIẾT BỊ'!$B$1:$U$836,4,0),"")</f>
        <v>ĐQSD</v>
      </c>
      <c r="O252" s="19" t="str">
        <f>IFERROR(VLOOKUP(J252,'03. THIẾT BỊ'!$B$1:$U$836,7,0),"")</f>
        <v>XN Bò AD</v>
      </c>
      <c r="P252" s="353" t="str">
        <f>IFERROR(VLOOKUP(O252,'NS QUẢN LÝ CG'!$A$4:$D$36,2,0),"")</f>
        <v/>
      </c>
      <c r="Q252" s="353" t="str">
        <f>IFERROR(VLOOKUP(O252,'NS QUẢN LÝ CG'!$A$4:$D$36,4,0),"")</f>
        <v/>
      </c>
      <c r="R252" s="353" t="str">
        <f>IFERROR(VLOOKUP(O252,'NS QUẢN LÝ CG'!$A$4:$C$36,3,0),"")</f>
        <v/>
      </c>
      <c r="S252" s="20" t="str">
        <f>IFERROR(VLOOKUP(J252,'03. THIẾT BỊ'!$B$1:$S$836,3,0),"")</f>
        <v>A22-DRC-004</v>
      </c>
      <c r="T252" s="708" t="str">
        <f t="shared" si="4"/>
        <v>ADM</v>
      </c>
      <c r="U252" s="708"/>
    </row>
    <row r="253" ht="13.8" spans="1:21">
      <c r="A253" s="19"/>
      <c r="B253" s="275"/>
      <c r="C253" s="20" t="str">
        <f>IFERROR(VLOOKUP(J253,'03. THIẾT BỊ'!$B$1:$U$836,5,0),"")</f>
        <v>Thiết bị rạch - tung phân cỏ chăn thả</v>
      </c>
      <c r="D253" s="19">
        <v>1</v>
      </c>
      <c r="E253" s="19"/>
      <c r="F253" s="19"/>
      <c r="G253" s="19"/>
      <c r="H253" s="19">
        <f>IFERROR(VLOOKUP(J253,'03. THIẾT BỊ'!$B$1:$U$836,19,0),"")</f>
        <v>0</v>
      </c>
      <c r="I253" s="19">
        <f>IFERROR(VLOOKUP(J253,'03. THIẾT BỊ'!$B$1:$U$836,20,0),"")</f>
        <v>0</v>
      </c>
      <c r="J253" s="20" t="s">
        <v>5757</v>
      </c>
      <c r="K253" s="721" t="s">
        <v>5978</v>
      </c>
      <c r="L253" s="721"/>
      <c r="M253" s="721"/>
      <c r="N253" s="19" t="str">
        <f>IFERROR(VLOOKUP(J253,'03. THIẾT BỊ'!$B$1:$U$836,4,0),"")</f>
        <v>ĐQSD</v>
      </c>
      <c r="O253" s="19" t="str">
        <f>IFERROR(VLOOKUP(J253,'03. THIẾT BỊ'!$B$1:$U$836,7,0),"")</f>
        <v>XN Bò AD</v>
      </c>
      <c r="P253" s="353" t="str">
        <f>IFERROR(VLOOKUP(O253,'NS QUẢN LÝ CG'!$A$4:$D$36,2,0),"")</f>
        <v/>
      </c>
      <c r="Q253" s="353" t="str">
        <f>IFERROR(VLOOKUP(O253,'NS QUẢN LÝ CG'!$A$4:$D$36,4,0),"")</f>
        <v/>
      </c>
      <c r="R253" s="353" t="str">
        <f>IFERROR(VLOOKUP(O253,'NS QUẢN LÝ CG'!$A$4:$C$36,3,0),"")</f>
        <v/>
      </c>
      <c r="S253" s="20" t="str">
        <f>IFERROR(VLOOKUP(J253,'03. THIẾT BỊ'!$B$1:$S$836,3,0),"")</f>
        <v>A22-DRC-005</v>
      </c>
      <c r="T253" s="708" t="str">
        <f t="shared" si="4"/>
        <v>ADM</v>
      </c>
      <c r="U253" s="708"/>
    </row>
    <row r="254" ht="13.8" spans="1:21">
      <c r="A254" s="19"/>
      <c r="B254" s="275"/>
      <c r="C254" s="20" t="str">
        <f>IFERROR(VLOOKUP(J254,'03. THIẾT BỊ'!$B$1:$U$836,5,0),"")</f>
        <v>Thiết bị rạch - rải phân cỏ tập trung</v>
      </c>
      <c r="D254" s="19">
        <v>1</v>
      </c>
      <c r="E254" s="19"/>
      <c r="F254" s="19"/>
      <c r="G254" s="19"/>
      <c r="H254" s="19">
        <f>IFERROR(VLOOKUP(J254,'03. THIẾT BỊ'!$B$1:$U$836,19,0),"")</f>
        <v>0</v>
      </c>
      <c r="I254" s="19">
        <f>IFERROR(VLOOKUP(J254,'03. THIẾT BỊ'!$B$1:$U$836,20,0),"")</f>
        <v>0</v>
      </c>
      <c r="J254" s="20" t="s">
        <v>5759</v>
      </c>
      <c r="K254" s="721" t="s">
        <v>5978</v>
      </c>
      <c r="L254" s="721"/>
      <c r="M254" s="721"/>
      <c r="N254" s="19" t="str">
        <f>IFERROR(VLOOKUP(J254,'03. THIẾT BỊ'!$B$1:$U$836,4,0),"")</f>
        <v>ĐQSD</v>
      </c>
      <c r="O254" s="19" t="str">
        <f>IFERROR(VLOOKUP(J254,'03. THIẾT BỊ'!$B$1:$U$836,7,0),"")</f>
        <v>XN Bò AD</v>
      </c>
      <c r="P254" s="353" t="str">
        <f>IFERROR(VLOOKUP(O254,'NS QUẢN LÝ CG'!$A$4:$D$36,2,0),"")</f>
        <v/>
      </c>
      <c r="Q254" s="353" t="str">
        <f>IFERROR(VLOOKUP(O254,'NS QUẢN LÝ CG'!$A$4:$D$36,4,0),"")</f>
        <v/>
      </c>
      <c r="R254" s="353" t="str">
        <f>IFERROR(VLOOKUP(O254,'NS QUẢN LÝ CG'!$A$4:$C$36,3,0),"")</f>
        <v/>
      </c>
      <c r="S254" s="20" t="str">
        <f>IFERROR(VLOOKUP(J254,'03. THIẾT BỊ'!$B$1:$S$836,3,0),"")</f>
        <v>A22-RRP-001</v>
      </c>
      <c r="T254" s="708" t="str">
        <f t="shared" si="4"/>
        <v>ADM</v>
      </c>
      <c r="U254" s="708"/>
    </row>
    <row r="255" ht="13.8" spans="1:21">
      <c r="A255" s="19"/>
      <c r="B255" s="275"/>
      <c r="C255" s="20" t="str">
        <f>IFERROR(VLOOKUP(J255,'03. THIẾT BỊ'!$B$1:$U$836,5,0),"")</f>
        <v>Thiết bị rạch - rải phân cỏ tập trung</v>
      </c>
      <c r="D255" s="19">
        <v>1</v>
      </c>
      <c r="E255" s="19"/>
      <c r="F255" s="19"/>
      <c r="G255" s="19"/>
      <c r="H255" s="19">
        <f>IFERROR(VLOOKUP(J255,'03. THIẾT BỊ'!$B$1:$U$836,19,0),"")</f>
        <v>0</v>
      </c>
      <c r="I255" s="19">
        <f>IFERROR(VLOOKUP(J255,'03. THIẾT BỊ'!$B$1:$U$836,20,0),"")</f>
        <v>0</v>
      </c>
      <c r="J255" s="20" t="s">
        <v>5764</v>
      </c>
      <c r="K255" s="721" t="s">
        <v>5978</v>
      </c>
      <c r="L255" s="721"/>
      <c r="M255" s="721"/>
      <c r="N255" s="19" t="str">
        <f>IFERROR(VLOOKUP(J255,'03. THIẾT BỊ'!$B$1:$U$836,4,0),"")</f>
        <v>ĐQSD</v>
      </c>
      <c r="O255" s="19" t="str">
        <f>IFERROR(VLOOKUP(J255,'03. THIẾT BỊ'!$B$1:$U$836,7,0),"")</f>
        <v>XN Bò AD</v>
      </c>
      <c r="P255" s="353" t="str">
        <f>IFERROR(VLOOKUP(O255,'NS QUẢN LÝ CG'!$A$4:$D$36,2,0),"")</f>
        <v/>
      </c>
      <c r="Q255" s="353" t="str">
        <f>IFERROR(VLOOKUP(O255,'NS QUẢN LÝ CG'!$A$4:$D$36,4,0),"")</f>
        <v/>
      </c>
      <c r="R255" s="353" t="str">
        <f>IFERROR(VLOOKUP(O255,'NS QUẢN LÝ CG'!$A$4:$C$36,3,0),"")</f>
        <v/>
      </c>
      <c r="S255" s="20" t="str">
        <f>IFERROR(VLOOKUP(J255,'03. THIẾT BỊ'!$B$1:$S$836,3,0),"")</f>
        <v>A22-RRP-002</v>
      </c>
      <c r="T255" s="708" t="str">
        <f t="shared" si="4"/>
        <v>ADM</v>
      </c>
      <c r="U255" s="708"/>
    </row>
    <row r="256" ht="13.8" spans="1:21">
      <c r="A256" s="19"/>
      <c r="B256" s="275"/>
      <c r="C256" s="20" t="str">
        <f>IFERROR(VLOOKUP(J256,'03. THIẾT BỊ'!$B$1:$U$836,5,0),"")</f>
        <v>Dàn rải phân (10m3)</v>
      </c>
      <c r="D256" s="19">
        <v>1</v>
      </c>
      <c r="E256" s="19"/>
      <c r="F256" s="19"/>
      <c r="G256" s="19"/>
      <c r="H256" s="19">
        <f>IFERROR(VLOOKUP(J256,'03. THIẾT BỊ'!$B$1:$U$836,19,0),"")</f>
        <v>0</v>
      </c>
      <c r="I256" s="19">
        <f>IFERROR(VLOOKUP(J256,'03. THIẾT BỊ'!$B$1:$U$836,20,0),"")</f>
        <v>0</v>
      </c>
      <c r="J256" s="20" t="s">
        <v>5555</v>
      </c>
      <c r="K256" s="721" t="s">
        <v>5978</v>
      </c>
      <c r="L256" s="721"/>
      <c r="M256" s="721"/>
      <c r="N256" s="19" t="str">
        <f>IFERROR(VLOOKUP(J256,'03. THIẾT BỊ'!$B$1:$U$836,4,0),"")</f>
        <v>MUA MỚI</v>
      </c>
      <c r="O256" s="19" t="str">
        <f>IFERROR(VLOOKUP(J256,'03. THIẾT BỊ'!$B$1:$U$836,7,0),"")</f>
        <v>XN Bò AD</v>
      </c>
      <c r="P256" s="353" t="str">
        <f>IFERROR(VLOOKUP(O256,'NS QUẢN LÝ CG'!$A$4:$D$36,2,0),"")</f>
        <v/>
      </c>
      <c r="Q256" s="353" t="str">
        <f>IFERROR(VLOOKUP(O256,'NS QUẢN LÝ CG'!$A$4:$D$36,4,0),"")</f>
        <v/>
      </c>
      <c r="R256" s="353" t="str">
        <f>IFERROR(VLOOKUP(O256,'NS QUẢN LÝ CG'!$A$4:$C$36,3,0),"")</f>
        <v/>
      </c>
      <c r="S256" s="20" t="str">
        <f>IFERROR(VLOOKUP(J256,'03. THIẾT BỊ'!$B$1:$S$836,3,0),"")</f>
        <v>A24-DRP-003</v>
      </c>
      <c r="T256" s="708" t="str">
        <f t="shared" si="4"/>
        <v>LP</v>
      </c>
      <c r="U256" s="708"/>
    </row>
    <row r="257" ht="13.8" spans="1:21">
      <c r="A257" s="19"/>
      <c r="B257" s="275"/>
      <c r="C257" s="20" t="str">
        <f>IFERROR(VLOOKUP(J257,'03. THIẾT BỊ'!$B$1:$U$836,5,0),"")</f>
        <v>Dàn rải phân (10m3)</v>
      </c>
      <c r="D257" s="19">
        <v>1</v>
      </c>
      <c r="E257" s="19"/>
      <c r="F257" s="19"/>
      <c r="G257" s="19"/>
      <c r="H257" s="19">
        <f>IFERROR(VLOOKUP(J257,'03. THIẾT BỊ'!$B$1:$U$836,19,0),"")</f>
        <v>0</v>
      </c>
      <c r="I257" s="19">
        <f>IFERROR(VLOOKUP(J257,'03. THIẾT BỊ'!$B$1:$U$836,20,0),"")</f>
        <v>0</v>
      </c>
      <c r="J257" s="20" t="s">
        <v>4212</v>
      </c>
      <c r="K257" s="721" t="s">
        <v>5978</v>
      </c>
      <c r="L257" s="721"/>
      <c r="M257" s="721"/>
      <c r="N257" s="19" t="str">
        <f>IFERROR(VLOOKUP(J257,'03. THIẾT BỊ'!$B$1:$U$836,4,0),"")</f>
        <v>MUA MỚI</v>
      </c>
      <c r="O257" s="19" t="str">
        <f>IFERROR(VLOOKUP(J257,'03. THIẾT BỊ'!$B$1:$U$836,7,0),"")</f>
        <v>XN Bò AD</v>
      </c>
      <c r="P257" s="353" t="str">
        <f>IFERROR(VLOOKUP(O257,'NS QUẢN LÝ CG'!$A$4:$D$36,2,0),"")</f>
        <v>Trần Văn Nam</v>
      </c>
      <c r="Q257" s="353" t="str">
        <f>IFERROR(VLOOKUP(O257,'NS QUẢN LÝ CG'!$A$4:$D$36,4,0),"")</f>
        <v>Lô 28 XN Bò</v>
      </c>
      <c r="R257" s="1104" t="str">
        <f>IFERROR(VLOOKUP(O257,'NS QUẢN LÝ CG'!$A$4:$C$36,3,0),"")</f>
        <v>0971993540</v>
      </c>
      <c r="S257" s="20" t="str">
        <f>IFERROR(VLOOKUP(J257,'03. THIẾT BỊ'!$B$1:$S$836,3,0),"")</f>
        <v>A22-DRP-002</v>
      </c>
      <c r="T257" s="708" t="str">
        <f t="shared" si="4"/>
        <v>ADM</v>
      </c>
      <c r="U257" s="708"/>
    </row>
    <row r="258" ht="13.8" spans="1:21">
      <c r="A258" s="19"/>
      <c r="B258" s="275"/>
      <c r="C258" s="20" t="str">
        <f>IFERROR(VLOOKUP(J258,'03. THIẾT BỊ'!$B$1:$U$836,5,0),"")</f>
        <v>Thiết bị phun vôi/rải vô cơ</v>
      </c>
      <c r="D258" s="19">
        <v>1</v>
      </c>
      <c r="E258" s="19"/>
      <c r="F258" s="19"/>
      <c r="G258" s="19"/>
      <c r="H258" s="19">
        <f>IFERROR(VLOOKUP(J258,'03. THIẾT BỊ'!$B$1:$U$836,19,0),"")</f>
        <v>0</v>
      </c>
      <c r="I258" s="19">
        <f>IFERROR(VLOOKUP(J258,'03. THIẾT BỊ'!$B$1:$U$836,20,0),"")</f>
        <v>0</v>
      </c>
      <c r="J258" s="20" t="s">
        <v>5429</v>
      </c>
      <c r="K258" s="721"/>
      <c r="L258" s="721"/>
      <c r="M258" s="721" t="s">
        <v>5978</v>
      </c>
      <c r="N258" s="19" t="str">
        <f>IFERROR(VLOOKUP(J258,'03. THIẾT BỊ'!$B$1:$U$836,4,0),"")</f>
        <v>ĐQSD</v>
      </c>
      <c r="O258" s="19" t="str">
        <f>IFERROR(VLOOKUP(J258,'03. THIẾT BỊ'!$B$1:$U$836,7,0),"")</f>
        <v>XN Bò AD</v>
      </c>
      <c r="P258" s="353" t="str">
        <f>IFERROR(VLOOKUP(O258,'NS QUẢN LÝ CG'!$A$4:$D$36,2,0),"")</f>
        <v/>
      </c>
      <c r="Q258" s="353" t="str">
        <f>IFERROR(VLOOKUP(O258,'NS QUẢN LÝ CG'!$A$4:$D$36,4,0),"")</f>
        <v/>
      </c>
      <c r="R258" s="353" t="str">
        <f>IFERROR(VLOOKUP(O258,'NS QUẢN LÝ CG'!$A$4:$C$36,3,0),"")</f>
        <v/>
      </c>
      <c r="S258" s="20" t="str">
        <f>IFERROR(VLOOKUP(J258,'03. THIẾT BỊ'!$B$1:$S$836,3,0),"")</f>
        <v>A22-RVO-001</v>
      </c>
      <c r="T258" s="708" t="str">
        <f t="shared" si="4"/>
        <v>ADM</v>
      </c>
      <c r="U258" s="708"/>
    </row>
    <row r="259" ht="13.8" spans="1:21">
      <c r="A259" s="19"/>
      <c r="B259" s="275"/>
      <c r="C259" s="20" t="str">
        <f>IFERROR(VLOOKUP(J259,'03. THIẾT BỊ'!$B$1:$U$836,5,0),"")</f>
        <v>Thiết bị phun vôi/rải vô cơ</v>
      </c>
      <c r="D259" s="19">
        <v>1</v>
      </c>
      <c r="E259" s="19"/>
      <c r="F259" s="19"/>
      <c r="G259" s="19"/>
      <c r="H259" s="19">
        <f>IFERROR(VLOOKUP(J259,'03. THIẾT BỊ'!$B$1:$U$836,19,0),"")</f>
        <v>0</v>
      </c>
      <c r="I259" s="19">
        <f>IFERROR(VLOOKUP(J259,'03. THIẾT BỊ'!$B$1:$U$836,20,0),"")</f>
        <v>0</v>
      </c>
      <c r="J259" s="20" t="s">
        <v>5431</v>
      </c>
      <c r="K259" s="721"/>
      <c r="L259" s="721"/>
      <c r="M259" s="721" t="s">
        <v>5978</v>
      </c>
      <c r="N259" s="19" t="str">
        <f>IFERROR(VLOOKUP(J259,'03. THIẾT BỊ'!$B$1:$U$836,4,0),"")</f>
        <v>MUA MỚI</v>
      </c>
      <c r="O259" s="19" t="str">
        <f>IFERROR(VLOOKUP(J259,'03. THIẾT BỊ'!$B$1:$U$836,7,0),"")</f>
        <v>XN Bò AD</v>
      </c>
      <c r="P259" s="353" t="str">
        <f>IFERROR(VLOOKUP(O259,'NS QUẢN LÝ CG'!$A$4:$D$36,2,0),"")</f>
        <v/>
      </c>
      <c r="Q259" s="353" t="str">
        <f>IFERROR(VLOOKUP(O259,'NS QUẢN LÝ CG'!$A$4:$D$36,4,0),"")</f>
        <v/>
      </c>
      <c r="R259" s="353" t="str">
        <f>IFERROR(VLOOKUP(O259,'NS QUẢN LÝ CG'!$A$4:$C$36,3,0),"")</f>
        <v/>
      </c>
      <c r="S259" s="20" t="str">
        <f>IFERROR(VLOOKUP(J259,'03. THIẾT BỊ'!$B$1:$S$836,3,0),"")</f>
        <v>A22-RVO-002</v>
      </c>
      <c r="T259" s="708" t="str">
        <f t="shared" si="4"/>
        <v>ADM</v>
      </c>
      <c r="U259" s="708"/>
    </row>
    <row r="260" ht="13.8" spans="1:21">
      <c r="A260" s="19"/>
      <c r="B260" s="275"/>
      <c r="C260" s="20" t="str">
        <f>IFERROR(VLOOKUP(J260,'03. THIẾT BỊ'!$B$1:$U$836,5,0),"")</f>
        <v>Thiết bị phun vôi/rải vô cơ</v>
      </c>
      <c r="D260" s="19">
        <v>1</v>
      </c>
      <c r="E260" s="19"/>
      <c r="F260" s="19"/>
      <c r="G260" s="19"/>
      <c r="H260" s="19">
        <f>IFERROR(VLOOKUP(J260,'03. THIẾT BỊ'!$B$1:$U$836,19,0),"")</f>
        <v>0</v>
      </c>
      <c r="I260" s="19">
        <f>IFERROR(VLOOKUP(J260,'03. THIẾT BỊ'!$B$1:$U$836,20,0),"")</f>
        <v>0</v>
      </c>
      <c r="J260" s="20" t="s">
        <v>5433</v>
      </c>
      <c r="K260" s="721" t="s">
        <v>5978</v>
      </c>
      <c r="L260" s="721"/>
      <c r="M260" s="721"/>
      <c r="N260" s="19" t="str">
        <f>IFERROR(VLOOKUP(J260,'03. THIẾT BỊ'!$B$1:$U$836,4,0),"")</f>
        <v>MUA MỚI</v>
      </c>
      <c r="O260" s="19" t="str">
        <f>IFERROR(VLOOKUP(J260,'03. THIẾT BỊ'!$B$1:$U$836,7,0),"")</f>
        <v>XN Bò AD</v>
      </c>
      <c r="P260" s="353" t="str">
        <f>IFERROR(VLOOKUP(O260,'NS QUẢN LÝ CG'!$A$4:$D$36,2,0),"")</f>
        <v/>
      </c>
      <c r="Q260" s="353" t="str">
        <f>IFERROR(VLOOKUP(O260,'NS QUẢN LÝ CG'!$A$4:$D$36,4,0),"")</f>
        <v/>
      </c>
      <c r="R260" s="353" t="str">
        <f>IFERROR(VLOOKUP(O260,'NS QUẢN LÝ CG'!$A$4:$C$36,3,0),"")</f>
        <v/>
      </c>
      <c r="S260" s="20" t="str">
        <f>IFERROR(VLOOKUP(J260,'03. THIẾT BỊ'!$B$1:$S$836,3,0),"")</f>
        <v>A22-RVO-003</v>
      </c>
      <c r="T260" s="708" t="str">
        <f t="shared" si="4"/>
        <v>ADM</v>
      </c>
      <c r="U260" s="708"/>
    </row>
    <row r="261" ht="13.8" spans="1:21">
      <c r="A261" s="19"/>
      <c r="B261" s="275"/>
      <c r="C261" s="20" t="str">
        <f>IFERROR(VLOOKUP(J261,'03. THIẾT BỊ'!$B$1:$U$836,5,0),"")</f>
        <v>Cắt cỏ gốc</v>
      </c>
      <c r="D261" s="19">
        <v>1</v>
      </c>
      <c r="E261" s="19"/>
      <c r="F261" s="19"/>
      <c r="G261" s="19"/>
      <c r="H261" s="19">
        <f>IFERROR(VLOOKUP(J261,'03. THIẾT BỊ'!$B$1:$U$836,19,0),"")</f>
        <v>0</v>
      </c>
      <c r="I261" s="19">
        <f>IFERROR(VLOOKUP(J261,'03. THIẾT BỊ'!$B$1:$U$836,20,0),"")</f>
        <v>0</v>
      </c>
      <c r="J261" s="20" t="s">
        <v>5455</v>
      </c>
      <c r="K261" s="721"/>
      <c r="L261" s="721" t="s">
        <v>5978</v>
      </c>
      <c r="M261" s="721"/>
      <c r="N261" s="19" t="str">
        <f>IFERROR(VLOOKUP(J261,'03. THIẾT BỊ'!$B$1:$U$836,4,0),"")</f>
        <v>ĐQSD</v>
      </c>
      <c r="O261" s="19" t="str">
        <f>IFERROR(VLOOKUP(J261,'03. THIẾT BỊ'!$B$1:$U$836,7,0),"")</f>
        <v>XN Bò AD</v>
      </c>
      <c r="P261" s="353" t="str">
        <f>IFERROR(VLOOKUP(O261,'NS QUẢN LÝ CG'!$A$4:$D$36,2,0),"")</f>
        <v/>
      </c>
      <c r="Q261" s="353" t="str">
        <f>IFERROR(VLOOKUP(O261,'NS QUẢN LÝ CG'!$A$4:$D$36,4,0),"")</f>
        <v/>
      </c>
      <c r="R261" s="353" t="str">
        <f>IFERROR(VLOOKUP(O261,'NS QUẢN LÝ CG'!$A$4:$C$36,3,0),"")</f>
        <v/>
      </c>
      <c r="S261" s="20" t="str">
        <f>IFERROR(VLOOKUP(J261,'03. THIẾT BỊ'!$B$1:$S$836,3,0),"")</f>
        <v>A22-CCG-001</v>
      </c>
      <c r="T261" s="708" t="str">
        <f t="shared" si="4"/>
        <v>ADM</v>
      </c>
      <c r="U261" s="708"/>
    </row>
    <row r="262" ht="13.8" spans="1:21">
      <c r="A262" s="19"/>
      <c r="B262" s="275"/>
      <c r="C262" s="20" t="str">
        <f>IFERROR(VLOOKUP(J262,'03. THIẾT BỊ'!$B$1:$U$836,5,0),"")</f>
        <v>Thiết bị xới cỏ</v>
      </c>
      <c r="D262" s="19">
        <v>1</v>
      </c>
      <c r="E262" s="19"/>
      <c r="F262" s="19"/>
      <c r="G262" s="19"/>
      <c r="H262" s="19">
        <f>IFERROR(VLOOKUP(J262,'03. THIẾT BỊ'!$B$1:$U$836,19,0),"")</f>
        <v>0</v>
      </c>
      <c r="I262" s="19">
        <f>IFERROR(VLOOKUP(J262,'03. THIẾT BỊ'!$B$1:$U$836,20,0),"")</f>
        <v>0</v>
      </c>
      <c r="J262" s="20" t="s">
        <v>5619</v>
      </c>
      <c r="K262" s="721"/>
      <c r="L262" s="721" t="s">
        <v>5978</v>
      </c>
      <c r="M262" s="721"/>
      <c r="N262" s="19" t="str">
        <f>IFERROR(VLOOKUP(J262,'03. THIẾT BỊ'!$B$1:$U$836,4,0),"")</f>
        <v>ĐQSD</v>
      </c>
      <c r="O262" s="19" t="str">
        <f>IFERROR(VLOOKUP(J262,'03. THIẾT BỊ'!$B$1:$U$836,7,0),"")</f>
        <v>XN Bò AD</v>
      </c>
      <c r="P262" s="353" t="str">
        <f>IFERROR(VLOOKUP(O262,'NS QUẢN LÝ CG'!$A$4:$D$36,2,0),"")</f>
        <v/>
      </c>
      <c r="Q262" s="353" t="str">
        <f>IFERROR(VLOOKUP(O262,'NS QUẢN LÝ CG'!$A$4:$D$36,4,0),"")</f>
        <v/>
      </c>
      <c r="R262" s="353" t="str">
        <f>IFERROR(VLOOKUP(O262,'NS QUẢN LÝ CG'!$A$4:$C$36,3,0),"")</f>
        <v/>
      </c>
      <c r="S262" s="20" t="str">
        <f>IFERROR(VLOOKUP(J262,'03. THIẾT BỊ'!$B$1:$S$836,3,0),"")</f>
        <v>A22-DXC-001</v>
      </c>
      <c r="T262" s="708" t="str">
        <f t="shared" si="4"/>
        <v>ADM</v>
      </c>
      <c r="U262" s="708"/>
    </row>
    <row r="263" ht="13.8" spans="1:21">
      <c r="A263" s="19"/>
      <c r="B263" s="275"/>
      <c r="C263" s="20" t="str">
        <f>IFERROR(VLOOKUP(J263,'03. THIẾT BỊ'!$B$1:$U$836,5,0),"")</f>
        <v>Thiết bị cào xới váng</v>
      </c>
      <c r="D263" s="19">
        <v>1</v>
      </c>
      <c r="E263" s="19"/>
      <c r="F263" s="19"/>
      <c r="G263" s="19"/>
      <c r="H263" s="19">
        <f>IFERROR(VLOOKUP(J263,'03. THIẾT BỊ'!$B$1:$U$836,19,0),"")</f>
        <v>0</v>
      </c>
      <c r="I263" s="19">
        <f>IFERROR(VLOOKUP(J263,'03. THIẾT BỊ'!$B$1:$U$836,20,0),"")</f>
        <v>0</v>
      </c>
      <c r="J263" s="20" t="s">
        <v>5733</v>
      </c>
      <c r="K263" s="721" t="s">
        <v>5978</v>
      </c>
      <c r="L263" s="721"/>
      <c r="M263" s="721"/>
      <c r="N263" s="19" t="str">
        <f>IFERROR(VLOOKUP(J263,'03. THIẾT BỊ'!$B$1:$U$836,4,0),"")</f>
        <v>ĐQSD</v>
      </c>
      <c r="O263" s="19" t="str">
        <f>IFERROR(VLOOKUP(J263,'03. THIẾT BỊ'!$B$1:$U$836,7,0),"")</f>
        <v>XN Bò AD</v>
      </c>
      <c r="P263" s="353" t="str">
        <f>IFERROR(VLOOKUP(O263,'NS QUẢN LÝ CG'!$A$4:$D$36,2,0),"")</f>
        <v/>
      </c>
      <c r="Q263" s="353" t="str">
        <f>IFERROR(VLOOKUP(O263,'NS QUẢN LÝ CG'!$A$4:$D$36,4,0),"")</f>
        <v/>
      </c>
      <c r="R263" s="353" t="str">
        <f>IFERROR(VLOOKUP(O263,'NS QUẢN LÝ CG'!$A$4:$C$36,3,0),"")</f>
        <v/>
      </c>
      <c r="S263" s="20" t="str">
        <f>IFERROR(VLOOKUP(J263,'03. THIẾT BỊ'!$B$1:$S$836,3,0),"")</f>
        <v>A22-CXV-001</v>
      </c>
      <c r="T263" s="708" t="str">
        <f t="shared" si="4"/>
        <v>ADM</v>
      </c>
      <c r="U263" s="708"/>
    </row>
    <row r="264" ht="13.8" spans="1:21">
      <c r="A264" s="19"/>
      <c r="B264" s="275"/>
      <c r="C264" s="20" t="str">
        <f>IFERROR(VLOOKUP(J264,'03. THIẾT BỊ'!$B$1:$U$836,5,0),"")</f>
        <v>Thiết bị cào xới váng</v>
      </c>
      <c r="D264" s="19">
        <v>1</v>
      </c>
      <c r="E264" s="19"/>
      <c r="F264" s="19"/>
      <c r="G264" s="19"/>
      <c r="H264" s="19">
        <f>IFERROR(VLOOKUP(J264,'03. THIẾT BỊ'!$B$1:$U$836,19,0),"")</f>
        <v>0</v>
      </c>
      <c r="I264" s="19">
        <f>IFERROR(VLOOKUP(J264,'03. THIẾT BỊ'!$B$1:$U$836,20,0),"")</f>
        <v>0</v>
      </c>
      <c r="J264" s="20" t="s">
        <v>5738</v>
      </c>
      <c r="K264" s="721" t="s">
        <v>5978</v>
      </c>
      <c r="L264" s="721"/>
      <c r="M264" s="721"/>
      <c r="N264" s="19" t="str">
        <f>IFERROR(VLOOKUP(J264,'03. THIẾT BỊ'!$B$1:$U$836,4,0),"")</f>
        <v>ĐQSD</v>
      </c>
      <c r="O264" s="19" t="str">
        <f>IFERROR(VLOOKUP(J264,'03. THIẾT BỊ'!$B$1:$U$836,7,0),"")</f>
        <v>XN Bò AD</v>
      </c>
      <c r="P264" s="353" t="str">
        <f>IFERROR(VLOOKUP(O264,'NS QUẢN LÝ CG'!$A$4:$D$36,2,0),"")</f>
        <v/>
      </c>
      <c r="Q264" s="353" t="str">
        <f>IFERROR(VLOOKUP(O264,'NS QUẢN LÝ CG'!$A$4:$D$36,4,0),"")</f>
        <v/>
      </c>
      <c r="R264" s="353" t="str">
        <f>IFERROR(VLOOKUP(O264,'NS QUẢN LÝ CG'!$A$4:$C$36,3,0),"")</f>
        <v/>
      </c>
      <c r="S264" s="20" t="str">
        <f>IFERROR(VLOOKUP(J264,'03. THIẾT BỊ'!$B$1:$S$836,3,0),"")</f>
        <v>A22-CXV-002</v>
      </c>
      <c r="T264" s="708" t="str">
        <f t="shared" si="4"/>
        <v>ADM</v>
      </c>
      <c r="U264" s="708"/>
    </row>
    <row r="265" ht="13.8" spans="1:21">
      <c r="A265" s="19"/>
      <c r="B265" s="275"/>
      <c r="C265" s="20" t="str">
        <f>IFERROR(VLOOKUP(J265,'03. THIẾT BỊ'!$B$1:$U$836,5,0),"")</f>
        <v>Thiết bị phay cỏ (2 luống)</v>
      </c>
      <c r="D265" s="19">
        <v>1</v>
      </c>
      <c r="E265" s="19"/>
      <c r="F265" s="19"/>
      <c r="G265" s="19"/>
      <c r="H265" s="19">
        <f>IFERROR(VLOOKUP(J265,'03. THIẾT BỊ'!$B$1:$U$836,19,0),"")</f>
        <v>6.14</v>
      </c>
      <c r="I265" s="19" t="str">
        <f>IFERROR(VLOOKUP(J265,'03. THIẾT BỊ'!$B$1:$U$836,20,0),"")</f>
        <v>3.2 ha/8h</v>
      </c>
      <c r="J265" s="20" t="s">
        <v>5576</v>
      </c>
      <c r="K265" s="721" t="s">
        <v>5978</v>
      </c>
      <c r="L265" s="721"/>
      <c r="M265" s="721"/>
      <c r="N265" s="19" t="str">
        <f>IFERROR(VLOOKUP(J265,'03. THIẾT BỊ'!$B$1:$U$836,4,0),"")</f>
        <v>ĐQSD</v>
      </c>
      <c r="O265" s="19" t="str">
        <f>IFERROR(VLOOKUP(J265,'03. THIẾT BỊ'!$B$1:$U$836,7,0),"")</f>
        <v>XN Bò AD</v>
      </c>
      <c r="P265" s="353" t="str">
        <f>IFERROR(VLOOKUP(O265,'NS QUẢN LÝ CG'!$A$4:$D$36,2,0),"")</f>
        <v/>
      </c>
      <c r="Q265" s="353" t="str">
        <f>IFERROR(VLOOKUP(O265,'NS QUẢN LÝ CG'!$A$4:$D$36,4,0),"")</f>
        <v/>
      </c>
      <c r="R265" s="353" t="str">
        <f>IFERROR(VLOOKUP(O265,'NS QUẢN LÝ CG'!$A$4:$C$36,3,0),"")</f>
        <v/>
      </c>
      <c r="S265" s="20" t="str">
        <f>IFERROR(VLOOKUP(J265,'03. THIẾT BỊ'!$B$1:$S$836,3,0),"")</f>
        <v>A22-DPC-002</v>
      </c>
      <c r="T265" s="708" t="str">
        <f t="shared" si="4"/>
        <v>ADM</v>
      </c>
      <c r="U265" s="708"/>
    </row>
    <row r="266" ht="13.8" spans="1:21">
      <c r="A266" s="19"/>
      <c r="B266" s="275"/>
      <c r="C266" s="20" t="str">
        <f>IFERROR(VLOOKUP(J266,'03. THIẾT BỊ'!$B$1:$U$836,5,0),"")</f>
        <v>Thiết bị phay cỏ 1.5m</v>
      </c>
      <c r="D266" s="19">
        <v>1</v>
      </c>
      <c r="E266" s="19"/>
      <c r="F266" s="19"/>
      <c r="G266" s="19"/>
      <c r="H266" s="19">
        <f>IFERROR(VLOOKUP(J266,'03. THIẾT BỊ'!$B$1:$U$836,19,0),"")</f>
        <v>6.14</v>
      </c>
      <c r="I266" s="19" t="str">
        <f>IFERROR(VLOOKUP(J266,'03. THIẾT BỊ'!$B$1:$U$836,20,0),"")</f>
        <v>3.2 ha/8h</v>
      </c>
      <c r="J266" s="20" t="s">
        <v>5571</v>
      </c>
      <c r="K266" s="721"/>
      <c r="L266" s="721" t="s">
        <v>5978</v>
      </c>
      <c r="M266" s="721"/>
      <c r="N266" s="19" t="str">
        <f>IFERROR(VLOOKUP(J266,'03. THIẾT BỊ'!$B$1:$U$836,4,0),"")</f>
        <v>ĐQSD</v>
      </c>
      <c r="O266" s="19" t="str">
        <f>IFERROR(VLOOKUP(J266,'03. THIẾT BỊ'!$B$1:$U$836,7,0),"")</f>
        <v>XN Bò AD</v>
      </c>
      <c r="P266" s="353" t="str">
        <f>IFERROR(VLOOKUP(O266,'NS QUẢN LÝ CG'!$A$4:$D$36,2,0),"")</f>
        <v/>
      </c>
      <c r="Q266" s="353" t="str">
        <f>IFERROR(VLOOKUP(O266,'NS QUẢN LÝ CG'!$A$4:$D$36,4,0),"")</f>
        <v/>
      </c>
      <c r="R266" s="353" t="str">
        <f>IFERROR(VLOOKUP(O266,'NS QUẢN LÝ CG'!$A$4:$C$36,3,0),"")</f>
        <v/>
      </c>
      <c r="S266" s="20" t="str">
        <f>IFERROR(VLOOKUP(J266,'03. THIẾT BỊ'!$B$1:$S$836,3,0),"")</f>
        <v>A22-DPC-001</v>
      </c>
      <c r="T266" s="708" t="str">
        <f t="shared" si="4"/>
        <v>ADM</v>
      </c>
      <c r="U266" s="708"/>
    </row>
    <row r="267" ht="13.8" spans="1:21">
      <c r="A267" s="19"/>
      <c r="B267" s="275"/>
      <c r="C267" s="20" t="str">
        <f>IFERROR(VLOOKUP(J267,'03. THIẾT BỊ'!$B$1:$U$836,5,0),"")</f>
        <v>Cày rạch luống 4 rãnh</v>
      </c>
      <c r="D267" s="19">
        <v>1</v>
      </c>
      <c r="E267" s="19"/>
      <c r="F267" s="19"/>
      <c r="G267" s="19"/>
      <c r="H267" s="19">
        <f>IFERROR(VLOOKUP(J267,'03. THIẾT BỊ'!$B$1:$U$836,19,0),"")</f>
        <v>0</v>
      </c>
      <c r="I267" s="19">
        <f>IFERROR(VLOOKUP(J267,'03. THIẾT BỊ'!$B$1:$U$836,20,0),"")</f>
        <v>0</v>
      </c>
      <c r="J267" s="20" t="s">
        <v>5447</v>
      </c>
      <c r="K267" s="721"/>
      <c r="L267" s="721"/>
      <c r="M267" s="721" t="s">
        <v>5978</v>
      </c>
      <c r="N267" s="19" t="str">
        <f>IFERROR(VLOOKUP(J267,'03. THIẾT BỊ'!$B$1:$U$836,4,0),"")</f>
        <v>ĐQSD</v>
      </c>
      <c r="O267" s="19" t="str">
        <f>IFERROR(VLOOKUP(J267,'03. THIẾT BỊ'!$B$1:$U$836,7,0),"")</f>
        <v>XN Bò AD</v>
      </c>
      <c r="P267" s="353" t="str">
        <f>IFERROR(VLOOKUP(O267,'NS QUẢN LÝ CG'!$A$4:$D$36,2,0),"")</f>
        <v/>
      </c>
      <c r="Q267" s="353" t="str">
        <f>IFERROR(VLOOKUP(O267,'NS QUẢN LÝ CG'!$A$4:$D$36,4,0),"")</f>
        <v/>
      </c>
      <c r="R267" s="353" t="str">
        <f>IFERROR(VLOOKUP(O267,'NS QUẢN LÝ CG'!$A$4:$C$36,3,0),"")</f>
        <v/>
      </c>
      <c r="S267" s="20" t="str">
        <f>IFERROR(VLOOKUP(J267,'03. THIẾT BỊ'!$B$1:$S$836,3,0),"")</f>
        <v>A22-CRL-001</v>
      </c>
      <c r="T267" s="708" t="str">
        <f t="shared" si="4"/>
        <v>ADM</v>
      </c>
      <c r="U267" s="708"/>
    </row>
    <row r="268" ht="13.8" spans="1:21">
      <c r="A268" s="19"/>
      <c r="B268" s="275"/>
      <c r="C268" s="20" t="str">
        <f>IFERROR(VLOOKUP(J268,'03. THIẾT BỊ'!$B$1:$U$836,5,0),"")</f>
        <v>Cày rạch luống 2 rãnh</v>
      </c>
      <c r="D268" s="19">
        <v>1</v>
      </c>
      <c r="E268" s="19"/>
      <c r="F268" s="19"/>
      <c r="G268" s="19"/>
      <c r="H268" s="19">
        <f>IFERROR(VLOOKUP(J268,'03. THIẾT BỊ'!$B$1:$U$836,19,0),"")</f>
        <v>0</v>
      </c>
      <c r="I268" s="19">
        <f>IFERROR(VLOOKUP(J268,'03. THIẾT BỊ'!$B$1:$U$836,20,0),"")</f>
        <v>0</v>
      </c>
      <c r="J268" s="20" t="s">
        <v>5451</v>
      </c>
      <c r="K268" s="721"/>
      <c r="L268" s="721"/>
      <c r="M268" s="721" t="s">
        <v>5978</v>
      </c>
      <c r="N268" s="19" t="str">
        <f>IFERROR(VLOOKUP(J268,'03. THIẾT BỊ'!$B$1:$U$836,4,0),"")</f>
        <v>ĐQSD</v>
      </c>
      <c r="O268" s="19" t="str">
        <f>IFERROR(VLOOKUP(J268,'03. THIẾT BỊ'!$B$1:$U$836,7,0),"")</f>
        <v>XN Bò AD</v>
      </c>
      <c r="P268" s="353" t="str">
        <f>IFERROR(VLOOKUP(O268,'NS QUẢN LÝ CG'!$A$4:$D$36,2,0),"")</f>
        <v/>
      </c>
      <c r="Q268" s="353" t="str">
        <f>IFERROR(VLOOKUP(O268,'NS QUẢN LÝ CG'!$A$4:$D$36,4,0),"")</f>
        <v/>
      </c>
      <c r="R268" s="353" t="str">
        <f>IFERROR(VLOOKUP(O268,'NS QUẢN LÝ CG'!$A$4:$C$36,3,0),"")</f>
        <v/>
      </c>
      <c r="S268" s="20" t="str">
        <f>IFERROR(VLOOKUP(J268,'03. THIẾT BỊ'!$B$1:$S$836,3,0),"")</f>
        <v>A22-CRL-002</v>
      </c>
      <c r="T268" s="708" t="str">
        <f t="shared" si="4"/>
        <v>ADM</v>
      </c>
      <c r="U268" s="708"/>
    </row>
    <row r="269" ht="13.8" spans="1:21">
      <c r="A269" s="19"/>
      <c r="B269" s="275"/>
      <c r="C269" s="20" t="str">
        <f>IFERROR(VLOOKUP(J269,'03. THIẾT BỊ'!$B$1:$U$836,5,0),"")</f>
        <v>Thiết bị cày chăm bắp</v>
      </c>
      <c r="D269" s="19">
        <v>1</v>
      </c>
      <c r="E269" s="19"/>
      <c r="F269" s="19"/>
      <c r="G269" s="19"/>
      <c r="H269" s="19">
        <f>IFERROR(VLOOKUP(J269,'03. THIẾT BỊ'!$B$1:$U$836,19,0),"")</f>
        <v>0</v>
      </c>
      <c r="I269" s="19">
        <f>IFERROR(VLOOKUP(J269,'03. THIẾT BỊ'!$B$1:$U$836,20,0),"")</f>
        <v>0</v>
      </c>
      <c r="J269" s="20" t="s">
        <v>5699</v>
      </c>
      <c r="K269" s="721" t="s">
        <v>5978</v>
      </c>
      <c r="L269" s="721"/>
      <c r="M269" s="721"/>
      <c r="N269" s="19" t="str">
        <f>IFERROR(VLOOKUP(J269,'03. THIẾT BỊ'!$B$1:$U$836,4,0),"")</f>
        <v>ĐQSD</v>
      </c>
      <c r="O269" s="19" t="str">
        <f>IFERROR(VLOOKUP(J269,'03. THIẾT BỊ'!$B$1:$U$836,7,0),"")</f>
        <v>XN Bò AD</v>
      </c>
      <c r="P269" s="353" t="str">
        <f>IFERROR(VLOOKUP(O269,'NS QUẢN LÝ CG'!$A$4:$D$36,2,0),"")</f>
        <v/>
      </c>
      <c r="Q269" s="353" t="str">
        <f>IFERROR(VLOOKUP(O269,'NS QUẢN LÝ CG'!$A$4:$D$36,4,0),"")</f>
        <v/>
      </c>
      <c r="R269" s="353" t="str">
        <f>IFERROR(VLOOKUP(O269,'NS QUẢN LÝ CG'!$A$4:$C$36,3,0),"")</f>
        <v/>
      </c>
      <c r="S269" s="20" t="str">
        <f>IFERROR(VLOOKUP(J269,'03. THIẾT BỊ'!$B$1:$S$836,3,0),"")</f>
        <v>A22-CCB-001</v>
      </c>
      <c r="T269" s="708" t="str">
        <f t="shared" si="4"/>
        <v>ADM</v>
      </c>
      <c r="U269" s="708"/>
    </row>
    <row r="270" ht="13.8" spans="1:21">
      <c r="A270" s="19"/>
      <c r="B270" s="275"/>
      <c r="C270" s="20" t="str">
        <f>IFERROR(VLOOKUP(J270,'03. THIẾT BỊ'!$B$1:$U$836,5,0),"")</f>
        <v>Thiết bị phun thuốc bắp</v>
      </c>
      <c r="D270" s="19">
        <v>1</v>
      </c>
      <c r="E270" s="19"/>
      <c r="F270" s="19"/>
      <c r="G270" s="19"/>
      <c r="H270" s="19">
        <f>IFERROR(VLOOKUP(J270,'03. THIẾT BỊ'!$B$1:$U$836,19,0),"")</f>
        <v>0</v>
      </c>
      <c r="I270" s="19">
        <f>IFERROR(VLOOKUP(J270,'03. THIẾT BỊ'!$B$1:$U$836,20,0),"")</f>
        <v>0</v>
      </c>
      <c r="J270" s="20" t="s">
        <v>5704</v>
      </c>
      <c r="K270" s="721" t="s">
        <v>5978</v>
      </c>
      <c r="L270" s="721"/>
      <c r="M270" s="721"/>
      <c r="N270" s="19" t="str">
        <f>IFERROR(VLOOKUP(J270,'03. THIẾT BỊ'!$B$1:$U$836,4,0),"")</f>
        <v>MUA MỚI</v>
      </c>
      <c r="O270" s="19" t="str">
        <f>IFERROR(VLOOKUP(J270,'03. THIẾT BỊ'!$B$1:$U$836,7,0),"")</f>
        <v>XN Bò AD</v>
      </c>
      <c r="P270" s="353" t="str">
        <f>IFERROR(VLOOKUP(O270,'NS QUẢN LÝ CG'!$A$4:$D$36,2,0),"")</f>
        <v/>
      </c>
      <c r="Q270" s="353" t="str">
        <f>IFERROR(VLOOKUP(O270,'NS QUẢN LÝ CG'!$A$4:$D$36,4,0),"")</f>
        <v/>
      </c>
      <c r="R270" s="353" t="str">
        <f>IFERROR(VLOOKUP(O270,'NS QUẢN LÝ CG'!$A$4:$C$36,3,0),"")</f>
        <v/>
      </c>
      <c r="S270" s="20" t="str">
        <f>IFERROR(VLOOKUP(J270,'03. THIẾT BỊ'!$B$1:$S$836,3,0),"")</f>
        <v>A22-PTB-001</v>
      </c>
      <c r="T270" s="708" t="str">
        <f t="shared" si="4"/>
        <v>ADM</v>
      </c>
      <c r="U270" s="708"/>
    </row>
    <row r="271" ht="13.8" spans="1:21">
      <c r="A271" s="19"/>
      <c r="B271" s="278"/>
      <c r="C271" s="20" t="str">
        <f>IFERROR(VLOOKUP(J271,'03. THIẾT BỊ'!$B$1:$U$836,5,0),"")</f>
        <v>Thiết bị phun thuốc bắp</v>
      </c>
      <c r="D271" s="19">
        <v>1</v>
      </c>
      <c r="E271" s="19"/>
      <c r="F271" s="19"/>
      <c r="G271" s="19"/>
      <c r="H271" s="19">
        <f>IFERROR(VLOOKUP(J271,'03. THIẾT BỊ'!$B$1:$U$836,19,0),"")</f>
        <v>0</v>
      </c>
      <c r="I271" s="19">
        <f>IFERROR(VLOOKUP(J271,'03. THIẾT BỊ'!$B$1:$U$836,20,0),"")</f>
        <v>0</v>
      </c>
      <c r="J271" s="20" t="s">
        <v>5710</v>
      </c>
      <c r="K271" s="721" t="s">
        <v>5978</v>
      </c>
      <c r="L271" s="721"/>
      <c r="M271" s="721"/>
      <c r="N271" s="19" t="str">
        <f>IFERROR(VLOOKUP(J271,'03. THIẾT BỊ'!$B$1:$U$836,4,0),"")</f>
        <v>MUA MỚI</v>
      </c>
      <c r="O271" s="19" t="str">
        <f>IFERROR(VLOOKUP(J271,'03. THIẾT BỊ'!$B$1:$U$836,7,0),"")</f>
        <v>XN Bò AD</v>
      </c>
      <c r="P271" s="353" t="str">
        <f>IFERROR(VLOOKUP(O271,'NS QUẢN LÝ CG'!$A$4:$D$36,2,0),"")</f>
        <v/>
      </c>
      <c r="Q271" s="353" t="str">
        <f>IFERROR(VLOOKUP(O271,'NS QUẢN LÝ CG'!$A$4:$D$36,4,0),"")</f>
        <v/>
      </c>
      <c r="R271" s="353" t="str">
        <f>IFERROR(VLOOKUP(O271,'NS QUẢN LÝ CG'!$A$4:$C$36,3,0),"")</f>
        <v/>
      </c>
      <c r="S271" s="20" t="str">
        <f>IFERROR(VLOOKUP(J271,'03. THIẾT BỊ'!$B$1:$S$836,3,0),"")</f>
        <v>A22-PTB-002</v>
      </c>
      <c r="T271" s="708" t="str">
        <f t="shared" si="4"/>
        <v>ADM</v>
      </c>
      <c r="U271" s="708"/>
    </row>
    <row r="272" ht="13.8" spans="1:21">
      <c r="A272" s="19"/>
      <c r="B272" s="713"/>
      <c r="C272" s="20" t="str">
        <f>IFERROR(VLOOKUP(J272,'03. THIẾT BỊ'!$B$1:$U$836,5,0),"")</f>
        <v/>
      </c>
      <c r="D272" s="19"/>
      <c r="E272" s="19"/>
      <c r="F272" s="19"/>
      <c r="G272" s="19"/>
      <c r="H272" s="19" t="str">
        <f>IFERROR(VLOOKUP(J272,'03. THIẾT BỊ'!$B$1:$U$836,19,0),"")</f>
        <v/>
      </c>
      <c r="I272" s="19" t="str">
        <f>IFERROR(VLOOKUP(J272,'03. THIẾT BỊ'!$B$1:$U$836,20,0),"")</f>
        <v/>
      </c>
      <c r="J272" s="20"/>
      <c r="K272" s="19"/>
      <c r="L272" s="19"/>
      <c r="M272" s="19"/>
      <c r="N272" s="19" t="str">
        <f>IFERROR(VLOOKUP(J272,'03. THIẾT BỊ'!$B$1:$U$836,4,0),"")</f>
        <v/>
      </c>
      <c r="O272" s="19" t="str">
        <f>IFERROR(VLOOKUP(J272,'03. THIẾT BỊ'!$B$1:$U$836,7,0),"")</f>
        <v/>
      </c>
      <c r="P272" s="20"/>
      <c r="Q272" s="20"/>
      <c r="R272" s="20"/>
      <c r="S272" s="20" t="str">
        <f>IFERROR(VLOOKUP(J272,'03. THIẾT BỊ'!$B$1:$S$836,3,0),"")</f>
        <v/>
      </c>
      <c r="T272" s="708"/>
      <c r="U272" s="708"/>
    </row>
    <row r="273" ht="13.8" spans="1:21">
      <c r="A273" s="19"/>
      <c r="B273" s="713"/>
      <c r="C273" s="20" t="str">
        <f>IFERROR(VLOOKUP(J273,'03. THIẾT BỊ'!$B$1:$U$836,5,0),"")</f>
        <v/>
      </c>
      <c r="D273" s="19"/>
      <c r="E273" s="19"/>
      <c r="F273" s="19"/>
      <c r="G273" s="19"/>
      <c r="H273" s="19" t="str">
        <f>IFERROR(VLOOKUP(J273,'03. THIẾT BỊ'!$B$1:$U$836,19,0),"")</f>
        <v/>
      </c>
      <c r="I273" s="19" t="str">
        <f>IFERROR(VLOOKUP(J273,'03. THIẾT BỊ'!$B$1:$U$836,20,0),"")</f>
        <v/>
      </c>
      <c r="J273" s="20"/>
      <c r="K273" s="19"/>
      <c r="L273" s="19"/>
      <c r="M273" s="19"/>
      <c r="N273" s="19" t="str">
        <f>IFERROR(VLOOKUP(J273,'03. THIẾT BỊ'!$B$1:$U$836,4,0),"")</f>
        <v/>
      </c>
      <c r="O273" s="19" t="str">
        <f>IFERROR(VLOOKUP(J273,'03. THIẾT BỊ'!$B$1:$U$836,7,0),"")</f>
        <v/>
      </c>
      <c r="P273" s="20"/>
      <c r="Q273" s="20"/>
      <c r="R273" s="20"/>
      <c r="S273" s="20" t="str">
        <f>IFERROR(VLOOKUP(J273,'03. THIẾT BỊ'!$B$1:$S$836,3,0),"")</f>
        <v/>
      </c>
      <c r="T273" s="708"/>
      <c r="U273" s="708"/>
    </row>
    <row r="274" ht="13.8" spans="1:21">
      <c r="A274" s="705" t="s">
        <v>6045</v>
      </c>
      <c r="B274" s="271"/>
      <c r="C274" s="272"/>
      <c r="D274" s="26">
        <f>SUM(D275:D301)</f>
        <v>26</v>
      </c>
      <c r="E274" s="30"/>
      <c r="F274" s="30"/>
      <c r="G274" s="30"/>
      <c r="H274" s="30"/>
      <c r="I274" s="30"/>
      <c r="J274" s="29"/>
      <c r="K274" s="30"/>
      <c r="L274" s="30"/>
      <c r="M274" s="30"/>
      <c r="N274" s="29"/>
      <c r="O274" s="720"/>
      <c r="P274" s="29"/>
      <c r="Q274" s="29"/>
      <c r="R274" s="29"/>
      <c r="S274" s="29"/>
      <c r="T274" s="706"/>
      <c r="U274" s="706"/>
    </row>
    <row r="275" ht="13.8" spans="1:21">
      <c r="A275" s="19"/>
      <c r="B275" s="324" t="s">
        <v>6046</v>
      </c>
      <c r="C275" s="20" t="str">
        <f>IFERROR(VLOOKUP(J275,'03. THIẾT BỊ'!$B$1:$U$836,5,0),"")</f>
        <v>Thiết bị thu hoạch cỏ CHALLENGER II</v>
      </c>
      <c r="D275" s="19">
        <v>1</v>
      </c>
      <c r="E275" s="19"/>
      <c r="F275" s="19"/>
      <c r="G275" s="19"/>
      <c r="H275" s="19">
        <f>IFERROR(VLOOKUP(J275,'03. THIẾT BỊ'!$B$1:$U$836,19,0),"")</f>
        <v>10</v>
      </c>
      <c r="I275" s="19" t="str">
        <f>IFERROR(VLOOKUP(J275,'03. THIẾT BỊ'!$B$1:$U$836,20,0),"")</f>
        <v>55 tấn/8h</v>
      </c>
      <c r="J275" s="20" t="s">
        <v>5215</v>
      </c>
      <c r="K275" s="721" t="s">
        <v>5978</v>
      </c>
      <c r="L275" s="721"/>
      <c r="M275" s="721"/>
      <c r="N275" s="19" t="str">
        <f>IFERROR(VLOOKUP(J275,'03. THIẾT BỊ'!$B$1:$U$836,4,0),"")</f>
        <v>MUA MỚI</v>
      </c>
      <c r="O275" s="19" t="str">
        <f>IFERROR(VLOOKUP(J275,'03. THIẾT BỊ'!$B$1:$U$836,7,0),"")</f>
        <v>XN Bò AD</v>
      </c>
      <c r="P275" s="353" t="str">
        <f>IFERROR(VLOOKUP(O275,'NS QUẢN LÝ CG'!$A$4:$D$36,2,0),"")</f>
        <v/>
      </c>
      <c r="Q275" s="353" t="str">
        <f>IFERROR(VLOOKUP(O275,'NS QUẢN LÝ CG'!$A$4:$D$36,4,0),"")</f>
        <v/>
      </c>
      <c r="R275" s="353" t="str">
        <f>IFERROR(VLOOKUP(O275,'NS QUẢN LÝ CG'!$A$4:$C$36,3,0),"")</f>
        <v/>
      </c>
      <c r="S275" s="20" t="str">
        <f>IFERROR(VLOOKUP(J275,'03. THIẾT BỊ'!$B$1:$S$836,3,0),"")</f>
        <v>A22-THC-001</v>
      </c>
      <c r="T275" s="708" t="str">
        <f t="shared" ref="T275:T300" si="5">_xlfn.SWITCH(LEFT(S275,3),"A22","ADM","A23","DP","A24","LP","")</f>
        <v>ADM</v>
      </c>
      <c r="U275" s="708"/>
    </row>
    <row r="276" ht="13.8" spans="1:21">
      <c r="A276" s="19"/>
      <c r="C276" s="20" t="str">
        <f>IFERROR(VLOOKUP(J276,'03. THIẾT BỊ'!$B$1:$U$836,5,0),"")</f>
        <v>Thiết bị thu hoạch cỏ CHALLENGER II</v>
      </c>
      <c r="D276" s="19">
        <v>1</v>
      </c>
      <c r="E276" s="19"/>
      <c r="F276" s="19"/>
      <c r="G276" s="19"/>
      <c r="H276" s="19">
        <f>IFERROR(VLOOKUP(J276,'03. THIẾT BỊ'!$B$1:$U$836,19,0),"")</f>
        <v>10</v>
      </c>
      <c r="I276" s="19" t="str">
        <f>IFERROR(VLOOKUP(J276,'03. THIẾT BỊ'!$B$1:$U$836,20,0),"")</f>
        <v>55 tấn/8h</v>
      </c>
      <c r="J276" s="20" t="s">
        <v>5221</v>
      </c>
      <c r="K276" s="721" t="s">
        <v>5978</v>
      </c>
      <c r="L276" s="721"/>
      <c r="M276" s="721"/>
      <c r="N276" s="19" t="str">
        <f>IFERROR(VLOOKUP(J276,'03. THIẾT BỊ'!$B$1:$U$836,4,0),"")</f>
        <v>MUA MỚI</v>
      </c>
      <c r="O276" s="19" t="str">
        <f>IFERROR(VLOOKUP(J276,'03. THIẾT BỊ'!$B$1:$U$836,7,0),"")</f>
        <v>XN Bò AD</v>
      </c>
      <c r="P276" s="353" t="str">
        <f>IFERROR(VLOOKUP(O276,'NS QUẢN LÝ CG'!$A$4:$D$36,2,0),"")</f>
        <v/>
      </c>
      <c r="Q276" s="353" t="str">
        <f>IFERROR(VLOOKUP(O276,'NS QUẢN LÝ CG'!$A$4:$D$36,4,0),"")</f>
        <v/>
      </c>
      <c r="R276" s="353" t="str">
        <f>IFERROR(VLOOKUP(O276,'NS QUẢN LÝ CG'!$A$4:$C$36,3,0),"")</f>
        <v/>
      </c>
      <c r="S276" s="20" t="str">
        <f>IFERROR(VLOOKUP(J276,'03. THIẾT BỊ'!$B$1:$S$836,3,0),"")</f>
        <v>A22-THC-002</v>
      </c>
      <c r="T276" s="708" t="str">
        <f t="shared" si="5"/>
        <v>ADM</v>
      </c>
      <c r="U276" s="708"/>
    </row>
    <row r="277" ht="13.8" spans="1:21">
      <c r="A277" s="19"/>
      <c r="C277" s="20" t="str">
        <f>IFERROR(VLOOKUP(J277,'03. THIẾT BỊ'!$B$1:$U$836,5,0),"")</f>
        <v>Thiết bị thu hoạch cỏ CHALLENGER II PLUS</v>
      </c>
      <c r="D277" s="19">
        <v>1</v>
      </c>
      <c r="E277" s="19"/>
      <c r="F277" s="19"/>
      <c r="G277" s="19"/>
      <c r="H277" s="19">
        <f>IFERROR(VLOOKUP(J277,'03. THIẾT BỊ'!$B$1:$U$836,19,0),"")</f>
        <v>10</v>
      </c>
      <c r="I277" s="19" t="str">
        <f>IFERROR(VLOOKUP(J277,'03. THIẾT BỊ'!$B$1:$U$836,20,0),"")</f>
        <v>55 tấn/8h</v>
      </c>
      <c r="J277" s="20" t="s">
        <v>5224</v>
      </c>
      <c r="K277" s="721" t="s">
        <v>5978</v>
      </c>
      <c r="L277" s="721"/>
      <c r="M277" s="721"/>
      <c r="N277" s="19" t="str">
        <f>IFERROR(VLOOKUP(J277,'03. THIẾT BỊ'!$B$1:$U$836,4,0),"")</f>
        <v>MUA MỚI</v>
      </c>
      <c r="O277" s="19" t="str">
        <f>IFERROR(VLOOKUP(J277,'03. THIẾT BỊ'!$B$1:$U$836,7,0),"")</f>
        <v>XN Bò AD</v>
      </c>
      <c r="P277" s="353" t="str">
        <f>IFERROR(VLOOKUP(O277,'NS QUẢN LÝ CG'!$A$4:$D$36,2,0),"")</f>
        <v/>
      </c>
      <c r="Q277" s="353" t="str">
        <f>IFERROR(VLOOKUP(O277,'NS QUẢN LÝ CG'!$A$4:$D$36,4,0),"")</f>
        <v/>
      </c>
      <c r="R277" s="353" t="str">
        <f>IFERROR(VLOOKUP(O277,'NS QUẢN LÝ CG'!$A$4:$C$36,3,0),"")</f>
        <v/>
      </c>
      <c r="S277" s="20" t="str">
        <f>IFERROR(VLOOKUP(J277,'03. THIẾT BỊ'!$B$1:$S$836,3,0),"")</f>
        <v>A22-THC-003</v>
      </c>
      <c r="T277" s="708" t="str">
        <f t="shared" si="5"/>
        <v>ADM</v>
      </c>
      <c r="U277" s="708"/>
    </row>
    <row r="278" ht="13.8" spans="1:21">
      <c r="A278" s="19"/>
      <c r="C278" s="20" t="str">
        <f>IFERROR(VLOOKUP(J278,'03. THIẾT BỊ'!$B$1:$U$836,5,0),"")</f>
        <v>Thiết bị thu hoạch cỏ CHALLENGER II PLUS</v>
      </c>
      <c r="D278" s="19">
        <v>1</v>
      </c>
      <c r="E278" s="19"/>
      <c r="F278" s="19"/>
      <c r="G278" s="19"/>
      <c r="H278" s="19">
        <f>IFERROR(VLOOKUP(J278,'03. THIẾT BỊ'!$B$1:$U$836,19,0),"")</f>
        <v>10</v>
      </c>
      <c r="I278" s="19" t="str">
        <f>IFERROR(VLOOKUP(J278,'03. THIẾT BỊ'!$B$1:$U$836,20,0),"")</f>
        <v>55 tấn/8h</v>
      </c>
      <c r="J278" s="20" t="s">
        <v>5229</v>
      </c>
      <c r="K278" s="721" t="s">
        <v>5978</v>
      </c>
      <c r="L278" s="721"/>
      <c r="M278" s="721"/>
      <c r="N278" s="19" t="str">
        <f>IFERROR(VLOOKUP(J278,'03. THIẾT BỊ'!$B$1:$U$836,4,0),"")</f>
        <v>MUA MỚI</v>
      </c>
      <c r="O278" s="19" t="str">
        <f>IFERROR(VLOOKUP(J278,'03. THIẾT BỊ'!$B$1:$U$836,7,0),"")</f>
        <v>XN Bò AD</v>
      </c>
      <c r="P278" s="353" t="str">
        <f>IFERROR(VLOOKUP(O278,'NS QUẢN LÝ CG'!$A$4:$D$36,2,0),"")</f>
        <v/>
      </c>
      <c r="Q278" s="353" t="str">
        <f>IFERROR(VLOOKUP(O278,'NS QUẢN LÝ CG'!$A$4:$D$36,4,0),"")</f>
        <v/>
      </c>
      <c r="R278" s="353" t="str">
        <f>IFERROR(VLOOKUP(O278,'NS QUẢN LÝ CG'!$A$4:$C$36,3,0),"")</f>
        <v/>
      </c>
      <c r="S278" s="20" t="str">
        <f>IFERROR(VLOOKUP(J278,'03. THIẾT BỊ'!$B$1:$S$836,3,0),"")</f>
        <v>A22-THC-004</v>
      </c>
      <c r="T278" s="708" t="str">
        <f t="shared" si="5"/>
        <v>ADM</v>
      </c>
      <c r="U278" s="708"/>
    </row>
    <row r="279" ht="13.8" spans="1:21">
      <c r="A279" s="19"/>
      <c r="C279" s="20" t="str">
        <f>IFERROR(VLOOKUP(J279,'03. THIẾT BỊ'!$B$1:$U$836,5,0),"")</f>
        <v>Thiết bị thu hoạch cỏ thân mềm Calabria 1800</v>
      </c>
      <c r="D279" s="19">
        <v>1</v>
      </c>
      <c r="E279" s="19"/>
      <c r="F279" s="19"/>
      <c r="G279" s="19"/>
      <c r="H279" s="19">
        <f>IFERROR(VLOOKUP(J279,'03. THIẾT BỊ'!$B$1:$U$836,19,0),"")</f>
        <v>10</v>
      </c>
      <c r="I279" s="19" t="str">
        <f>IFERROR(VLOOKUP(J279,'03. THIẾT BỊ'!$B$1:$U$836,20,0),"")</f>
        <v>55 tấn/8h</v>
      </c>
      <c r="J279" s="20" t="s">
        <v>5232</v>
      </c>
      <c r="K279" s="721" t="s">
        <v>5978</v>
      </c>
      <c r="L279" s="721"/>
      <c r="M279" s="721"/>
      <c r="N279" s="19" t="str">
        <f>IFERROR(VLOOKUP(J279,'03. THIẾT BỊ'!$B$1:$U$836,4,0),"")</f>
        <v>MUA MỚI</v>
      </c>
      <c r="O279" s="19" t="str">
        <f>IFERROR(VLOOKUP(J279,'03. THIẾT BỊ'!$B$1:$U$836,7,0),"")</f>
        <v>XN Bò AD</v>
      </c>
      <c r="P279" s="353" t="str">
        <f>IFERROR(VLOOKUP(O279,'NS QUẢN LÝ CG'!$A$4:$D$36,2,0),"")</f>
        <v/>
      </c>
      <c r="Q279" s="353" t="str">
        <f>IFERROR(VLOOKUP(O279,'NS QUẢN LÝ CG'!$A$4:$D$36,4,0),"")</f>
        <v/>
      </c>
      <c r="R279" s="353" t="str">
        <f>IFERROR(VLOOKUP(O279,'NS QUẢN LÝ CG'!$A$4:$C$36,3,0),"")</f>
        <v/>
      </c>
      <c r="S279" s="20" t="str">
        <f>IFERROR(VLOOKUP(J279,'03. THIẾT BỊ'!$B$1:$S$836,3,0),"")</f>
        <v>A22-THC-005</v>
      </c>
      <c r="T279" s="708" t="str">
        <f t="shared" si="5"/>
        <v>ADM</v>
      </c>
      <c r="U279" s="708"/>
    </row>
    <row r="280" ht="13.8" spans="1:21">
      <c r="A280" s="19"/>
      <c r="C280" s="20" t="str">
        <f>IFERROR(VLOOKUP(J280,'03. THIẾT BỊ'!$B$1:$U$836,5,0),"")</f>
        <v>Thiết bị thu hoạch cỏ CHALLENGER IV</v>
      </c>
      <c r="D280" s="19">
        <v>1</v>
      </c>
      <c r="E280" s="19"/>
      <c r="F280" s="19"/>
      <c r="G280" s="19"/>
      <c r="H280" s="19">
        <f>IFERROR(VLOOKUP(J280,'03. THIẾT BỊ'!$B$1:$U$836,19,0),"")</f>
        <v>10</v>
      </c>
      <c r="I280" s="19" t="str">
        <f>IFERROR(VLOOKUP(J280,'03. THIẾT BỊ'!$B$1:$U$836,20,0),"")</f>
        <v>55 tấn/8h</v>
      </c>
      <c r="J280" s="20" t="s">
        <v>5237</v>
      </c>
      <c r="K280" s="721" t="s">
        <v>5978</v>
      </c>
      <c r="L280" s="721"/>
      <c r="M280" s="721"/>
      <c r="N280" s="19" t="str">
        <f>IFERROR(VLOOKUP(J280,'03. THIẾT BỊ'!$B$1:$U$836,4,0),"")</f>
        <v>MUA MỚI</v>
      </c>
      <c r="O280" s="19" t="str">
        <f>IFERROR(VLOOKUP(J280,'03. THIẾT BỊ'!$B$1:$U$836,7,0),"")</f>
        <v>XN Bò AD</v>
      </c>
      <c r="P280" s="353" t="str">
        <f>IFERROR(VLOOKUP(O280,'NS QUẢN LÝ CG'!$A$4:$D$36,2,0),"")</f>
        <v/>
      </c>
      <c r="Q280" s="353" t="str">
        <f>IFERROR(VLOOKUP(O280,'NS QUẢN LÝ CG'!$A$4:$D$36,4,0),"")</f>
        <v/>
      </c>
      <c r="R280" s="353" t="str">
        <f>IFERROR(VLOOKUP(O280,'NS QUẢN LÝ CG'!$A$4:$C$36,3,0),"")</f>
        <v/>
      </c>
      <c r="S280" s="20" t="str">
        <f>IFERROR(VLOOKUP(J280,'03. THIẾT BỊ'!$B$1:$S$836,3,0),"")</f>
        <v>A22-THC-006</v>
      </c>
      <c r="T280" s="708" t="str">
        <f t="shared" si="5"/>
        <v>ADM</v>
      </c>
      <c r="U280" s="708"/>
    </row>
    <row r="281" ht="13.8" spans="1:21">
      <c r="A281" s="19"/>
      <c r="C281" s="20" t="str">
        <f>IFERROR(VLOOKUP(J281,'03. THIẾT BỊ'!$B$1:$U$836,5,0),"")</f>
        <v>Thiết bị thu hoạch cỏ CHALLENGER IV</v>
      </c>
      <c r="D281" s="19">
        <v>1</v>
      </c>
      <c r="E281" s="19"/>
      <c r="F281" s="19"/>
      <c r="G281" s="19"/>
      <c r="H281" s="19">
        <f>IFERROR(VLOOKUP(J281,'03. THIẾT BỊ'!$B$1:$U$836,19,0),"")</f>
        <v>10</v>
      </c>
      <c r="I281" s="19" t="str">
        <f>IFERROR(VLOOKUP(J281,'03. THIẾT BỊ'!$B$1:$U$836,20,0),"")</f>
        <v>55 tấn/8h</v>
      </c>
      <c r="J281" s="20" t="s">
        <v>5242</v>
      </c>
      <c r="K281" s="721" t="s">
        <v>5978</v>
      </c>
      <c r="L281" s="721"/>
      <c r="M281" s="721"/>
      <c r="N281" s="19" t="str">
        <f>IFERROR(VLOOKUP(J281,'03. THIẾT BỊ'!$B$1:$U$836,4,0),"")</f>
        <v>MUA MỚI</v>
      </c>
      <c r="O281" s="19" t="str">
        <f>IFERROR(VLOOKUP(J281,'03. THIẾT BỊ'!$B$1:$U$836,7,0),"")</f>
        <v>XN Bò AD</v>
      </c>
      <c r="P281" s="353" t="str">
        <f>IFERROR(VLOOKUP(O281,'NS QUẢN LÝ CG'!$A$4:$D$36,2,0),"")</f>
        <v/>
      </c>
      <c r="Q281" s="353" t="str">
        <f>IFERROR(VLOOKUP(O281,'NS QUẢN LÝ CG'!$A$4:$D$36,4,0),"")</f>
        <v/>
      </c>
      <c r="R281" s="353" t="str">
        <f>IFERROR(VLOOKUP(O281,'NS QUẢN LÝ CG'!$A$4:$C$36,3,0),"")</f>
        <v/>
      </c>
      <c r="S281" s="20" t="str">
        <f>IFERROR(VLOOKUP(J281,'03. THIẾT BỊ'!$B$1:$S$836,3,0),"")</f>
        <v>A22-THC-007</v>
      </c>
      <c r="T281" s="708" t="str">
        <f t="shared" si="5"/>
        <v>ADM</v>
      </c>
      <c r="U281" s="708"/>
    </row>
    <row r="282" ht="13.8" spans="1:21">
      <c r="A282" s="19"/>
      <c r="C282" s="20" t="str">
        <f>IFERROR(VLOOKUP(J282,'03. THIẾT BỊ'!$B$1:$U$836,5,0),"")</f>
        <v>Thiết bị thu hoạch cỏ thân mềm Calabria 1800</v>
      </c>
      <c r="D282" s="19">
        <v>1</v>
      </c>
      <c r="E282" s="19"/>
      <c r="F282" s="19"/>
      <c r="G282" s="19"/>
      <c r="H282" s="19">
        <f>IFERROR(VLOOKUP(J282,'03. THIẾT BỊ'!$B$1:$U$836,19,0),"")</f>
        <v>10</v>
      </c>
      <c r="I282" s="19" t="str">
        <f>IFERROR(VLOOKUP(J282,'03. THIẾT BỊ'!$B$1:$U$836,20,0),"")</f>
        <v>55 tấn/8h</v>
      </c>
      <c r="J282" s="20" t="s">
        <v>5246</v>
      </c>
      <c r="K282" s="721"/>
      <c r="L282" s="721" t="s">
        <v>5978</v>
      </c>
      <c r="M282" s="721"/>
      <c r="N282" s="19" t="str">
        <f>IFERROR(VLOOKUP(J282,'03. THIẾT BỊ'!$B$1:$U$836,4,0),"")</f>
        <v>MUA MỚI</v>
      </c>
      <c r="O282" s="19" t="str">
        <f>IFERROR(VLOOKUP(J282,'03. THIẾT BỊ'!$B$1:$U$836,7,0),"")</f>
        <v>XN Bò AD</v>
      </c>
      <c r="P282" s="353" t="str">
        <f>IFERROR(VLOOKUP(O282,'NS QUẢN LÝ CG'!$A$4:$D$36,2,0),"")</f>
        <v/>
      </c>
      <c r="Q282" s="353" t="str">
        <f>IFERROR(VLOOKUP(O282,'NS QUẢN LÝ CG'!$A$4:$D$36,4,0),"")</f>
        <v/>
      </c>
      <c r="R282" s="353" t="str">
        <f>IFERROR(VLOOKUP(O282,'NS QUẢN LÝ CG'!$A$4:$C$36,3,0),"")</f>
        <v/>
      </c>
      <c r="S282" s="20" t="str">
        <f>IFERROR(VLOOKUP(J282,'03. THIẾT BỊ'!$B$1:$S$836,3,0),"")</f>
        <v>A22-THC-008</v>
      </c>
      <c r="T282" s="708" t="str">
        <f t="shared" si="5"/>
        <v>ADM</v>
      </c>
      <c r="U282" s="708"/>
    </row>
    <row r="283" ht="13.8" spans="1:21">
      <c r="A283" s="19"/>
      <c r="C283" s="20" t="str">
        <f>IFERROR(VLOOKUP(J283,'03. THIẾT BỊ'!$B$1:$U$836,5,0),"")</f>
        <v>Thiết bị thu hoạch cỏ thân mềm Calabria 1800</v>
      </c>
      <c r="D283" s="19">
        <v>1</v>
      </c>
      <c r="E283" s="19"/>
      <c r="F283" s="19"/>
      <c r="G283" s="19"/>
      <c r="H283" s="19">
        <f>IFERROR(VLOOKUP(J283,'03. THIẾT BỊ'!$B$1:$U$836,19,0),"")</f>
        <v>10</v>
      </c>
      <c r="I283" s="19" t="str">
        <f>IFERROR(VLOOKUP(J283,'03. THIẾT BỊ'!$B$1:$U$836,20,0),"")</f>
        <v>55 tấn/8h</v>
      </c>
      <c r="J283" s="20" t="s">
        <v>5249</v>
      </c>
      <c r="K283" s="721" t="s">
        <v>5978</v>
      </c>
      <c r="L283" s="721"/>
      <c r="M283" s="721"/>
      <c r="N283" s="19" t="str">
        <f>IFERROR(VLOOKUP(J283,'03. THIẾT BỊ'!$B$1:$U$836,4,0),"")</f>
        <v>MUA MỚI</v>
      </c>
      <c r="O283" s="19" t="str">
        <f>IFERROR(VLOOKUP(J283,'03. THIẾT BỊ'!$B$1:$U$836,7,0),"")</f>
        <v>XN Bò AD</v>
      </c>
      <c r="P283" s="353" t="str">
        <f>IFERROR(VLOOKUP(O283,'NS QUẢN LÝ CG'!$A$4:$D$36,2,0),"")</f>
        <v/>
      </c>
      <c r="Q283" s="353" t="str">
        <f>IFERROR(VLOOKUP(O283,'NS QUẢN LÝ CG'!$A$4:$D$36,4,0),"")</f>
        <v/>
      </c>
      <c r="R283" s="353" t="str">
        <f>IFERROR(VLOOKUP(O283,'NS QUẢN LÝ CG'!$A$4:$C$36,3,0),"")</f>
        <v/>
      </c>
      <c r="S283" s="20" t="str">
        <f>IFERROR(VLOOKUP(J283,'03. THIẾT BỊ'!$B$1:$S$836,3,0),"")</f>
        <v>A22-THC-009</v>
      </c>
      <c r="T283" s="708" t="str">
        <f t="shared" si="5"/>
        <v>ADM</v>
      </c>
      <c r="U283" s="708"/>
    </row>
    <row r="284" ht="13.8" spans="1:21">
      <c r="A284" s="19"/>
      <c r="C284" s="20" t="str">
        <f>IFERROR(VLOOKUP(J284,'03. THIẾT BỊ'!$B$1:$U$836,5,0),"")</f>
        <v>Thiết bị thu hoạch cỏ CHALLENGER IV</v>
      </c>
      <c r="D284" s="19">
        <v>1</v>
      </c>
      <c r="E284" s="19"/>
      <c r="F284" s="19"/>
      <c r="G284" s="19"/>
      <c r="H284" s="19">
        <f>IFERROR(VLOOKUP(J284,'03. THIẾT BỊ'!$B$1:$U$836,19,0),"")</f>
        <v>10</v>
      </c>
      <c r="I284" s="19" t="str">
        <f>IFERROR(VLOOKUP(J284,'03. THIẾT BỊ'!$B$1:$U$836,20,0),"")</f>
        <v>55 tấn/8h</v>
      </c>
      <c r="J284" s="20" t="s">
        <v>5252</v>
      </c>
      <c r="K284" s="721" t="s">
        <v>5978</v>
      </c>
      <c r="L284" s="721"/>
      <c r="M284" s="721"/>
      <c r="N284" s="19" t="str">
        <f>IFERROR(VLOOKUP(J284,'03. THIẾT BỊ'!$B$1:$U$836,4,0),"")</f>
        <v>MUA MỚI</v>
      </c>
      <c r="O284" s="19" t="str">
        <f>IFERROR(VLOOKUP(J284,'03. THIẾT BỊ'!$B$1:$U$836,7,0),"")</f>
        <v>XN Bò AD</v>
      </c>
      <c r="P284" s="353" t="str">
        <f>IFERROR(VLOOKUP(O284,'NS QUẢN LÝ CG'!$A$4:$D$36,2,0),"")</f>
        <v/>
      </c>
      <c r="Q284" s="353" t="str">
        <f>IFERROR(VLOOKUP(O284,'NS QUẢN LÝ CG'!$A$4:$D$36,4,0),"")</f>
        <v/>
      </c>
      <c r="R284" s="353" t="str">
        <f>IFERROR(VLOOKUP(O284,'NS QUẢN LÝ CG'!$A$4:$C$36,3,0),"")</f>
        <v/>
      </c>
      <c r="S284" s="20" t="str">
        <f>IFERROR(VLOOKUP(J284,'03. THIẾT BỊ'!$B$1:$S$836,3,0),"")</f>
        <v>A22-THC-010</v>
      </c>
      <c r="T284" s="708" t="str">
        <f t="shared" si="5"/>
        <v>ADM</v>
      </c>
      <c r="U284" s="708"/>
    </row>
    <row r="285" ht="13.8" spans="1:21">
      <c r="A285" s="19"/>
      <c r="C285" s="20" t="str">
        <f>IFERROR(VLOOKUP(J285,'03. THIẾT BỊ'!$B$1:$U$836,5,0),"")</f>
        <v>Thiết bị thu hoạch cỏ (KLH gia công)</v>
      </c>
      <c r="D285" s="19">
        <v>1</v>
      </c>
      <c r="E285" s="19"/>
      <c r="F285" s="19"/>
      <c r="G285" s="19"/>
      <c r="H285" s="19">
        <f>IFERROR(VLOOKUP(J285,'03. THIẾT BỊ'!$B$1:$U$836,19,0),"")</f>
        <v>10</v>
      </c>
      <c r="I285" s="19" t="str">
        <f>IFERROR(VLOOKUP(J285,'03. THIẾT BỊ'!$B$1:$U$836,20,0),"")</f>
        <v>55 tấn/8h</v>
      </c>
      <c r="J285" s="20" t="s">
        <v>5255</v>
      </c>
      <c r="K285" s="721" t="s">
        <v>5978</v>
      </c>
      <c r="L285" s="721"/>
      <c r="M285" s="721"/>
      <c r="N285" s="19" t="str">
        <f>IFERROR(VLOOKUP(J285,'03. THIẾT BỊ'!$B$1:$U$836,4,0),"")</f>
        <v>ĐQSD</v>
      </c>
      <c r="O285" s="19" t="str">
        <f>IFERROR(VLOOKUP(J285,'03. THIẾT BỊ'!$B$1:$U$836,7,0),"")</f>
        <v>XN Bò AD</v>
      </c>
      <c r="P285" s="353" t="str">
        <f>IFERROR(VLOOKUP(O285,'NS QUẢN LÝ CG'!$A$4:$D$36,2,0),"")</f>
        <v/>
      </c>
      <c r="Q285" s="353" t="str">
        <f>IFERROR(VLOOKUP(O285,'NS QUẢN LÝ CG'!$A$4:$D$36,4,0),"")</f>
        <v/>
      </c>
      <c r="R285" s="353" t="str">
        <f>IFERROR(VLOOKUP(O285,'NS QUẢN LÝ CG'!$A$4:$C$36,3,0),"")</f>
        <v/>
      </c>
      <c r="S285" s="20" t="str">
        <f>IFERROR(VLOOKUP(J285,'03. THIẾT BỊ'!$B$1:$S$836,3,0),"")</f>
        <v>A22-THC-011</v>
      </c>
      <c r="T285" s="708" t="str">
        <f t="shared" si="5"/>
        <v>ADM</v>
      </c>
      <c r="U285" s="708"/>
    </row>
    <row r="286" ht="13.8" spans="1:21">
      <c r="A286" s="19"/>
      <c r="C286" s="20" t="str">
        <f>IFERROR(VLOOKUP(J286,'03. THIẾT BỊ'!$B$1:$U$836,5,0),"")</f>
        <v>Thiết bị thu hoạch cỏ thân mềm Calabria 1800</v>
      </c>
      <c r="D286" s="19">
        <v>1</v>
      </c>
      <c r="E286" s="19"/>
      <c r="F286" s="19"/>
      <c r="G286" s="19"/>
      <c r="H286" s="19">
        <f>IFERROR(VLOOKUP(J286,'03. THIẾT BỊ'!$B$1:$U$836,19,0),"")</f>
        <v>10</v>
      </c>
      <c r="I286" s="19" t="str">
        <f>IFERROR(VLOOKUP(J286,'03. THIẾT BỊ'!$B$1:$U$836,20,0),"")</f>
        <v>55 tấn/8h</v>
      </c>
      <c r="J286" s="20" t="s">
        <v>5258</v>
      </c>
      <c r="K286" s="721" t="s">
        <v>5978</v>
      </c>
      <c r="L286" s="721"/>
      <c r="M286" s="721"/>
      <c r="N286" s="19" t="str">
        <f>IFERROR(VLOOKUP(J286,'03. THIẾT BỊ'!$B$1:$U$836,4,0),"")</f>
        <v>MUA MỚI</v>
      </c>
      <c r="O286" s="19" t="str">
        <f>IFERROR(VLOOKUP(J286,'03. THIẾT BỊ'!$B$1:$U$836,7,0),"")</f>
        <v>XN Bò AD</v>
      </c>
      <c r="P286" s="353" t="str">
        <f>IFERROR(VLOOKUP(O286,'NS QUẢN LÝ CG'!$A$4:$D$36,2,0),"")</f>
        <v/>
      </c>
      <c r="Q286" s="353" t="str">
        <f>IFERROR(VLOOKUP(O286,'NS QUẢN LÝ CG'!$A$4:$D$36,4,0),"")</f>
        <v/>
      </c>
      <c r="R286" s="353" t="str">
        <f>IFERROR(VLOOKUP(O286,'NS QUẢN LÝ CG'!$A$4:$C$36,3,0),"")</f>
        <v/>
      </c>
      <c r="S286" s="20" t="str">
        <f>IFERROR(VLOOKUP(J286,'03. THIẾT BỊ'!$B$1:$S$836,3,0),"")</f>
        <v>A22-THC-012</v>
      </c>
      <c r="T286" s="708" t="str">
        <f t="shared" si="5"/>
        <v>ADM</v>
      </c>
      <c r="U286" s="708"/>
    </row>
    <row r="287" ht="13.8" spans="1:21">
      <c r="A287" s="19"/>
      <c r="C287" s="20" t="str">
        <f>IFERROR(VLOOKUP(J287,'03. THIẾT BỊ'!$B$1:$U$836,5,0),"")</f>
        <v>Thiết bị thu hoạch cỏ thân mềm Calabria 2100</v>
      </c>
      <c r="D287" s="19">
        <v>1</v>
      </c>
      <c r="E287" s="19"/>
      <c r="F287" s="19"/>
      <c r="G287" s="19"/>
      <c r="H287" s="19">
        <f>IFERROR(VLOOKUP(J287,'03. THIẾT BỊ'!$B$1:$U$836,19,0),"")</f>
        <v>10</v>
      </c>
      <c r="I287" s="19" t="str">
        <f>IFERROR(VLOOKUP(J287,'03. THIẾT BỊ'!$B$1:$U$836,20,0),"")</f>
        <v>55 tấn/8h</v>
      </c>
      <c r="J287" s="20" t="s">
        <v>5263</v>
      </c>
      <c r="K287" s="721" t="s">
        <v>5978</v>
      </c>
      <c r="L287" s="721"/>
      <c r="M287" s="721"/>
      <c r="N287" s="19" t="str">
        <f>IFERROR(VLOOKUP(J287,'03. THIẾT BỊ'!$B$1:$U$836,4,0),"")</f>
        <v>MUA MỚI</v>
      </c>
      <c r="O287" s="19" t="str">
        <f>IFERROR(VLOOKUP(J287,'03. THIẾT BỊ'!$B$1:$U$836,7,0),"")</f>
        <v>XN Bò AD</v>
      </c>
      <c r="P287" s="353" t="str">
        <f>IFERROR(VLOOKUP(O287,'NS QUẢN LÝ CG'!$A$4:$D$36,2,0),"")</f>
        <v/>
      </c>
      <c r="Q287" s="353" t="str">
        <f>IFERROR(VLOOKUP(O287,'NS QUẢN LÝ CG'!$A$4:$D$36,4,0),"")</f>
        <v/>
      </c>
      <c r="R287" s="353" t="str">
        <f>IFERROR(VLOOKUP(O287,'NS QUẢN LÝ CG'!$A$4:$C$36,3,0),"")</f>
        <v/>
      </c>
      <c r="S287" s="20" t="str">
        <f>IFERROR(VLOOKUP(J287,'03. THIẾT BỊ'!$B$1:$S$836,3,0),"")</f>
        <v>A22-THC-013</v>
      </c>
      <c r="T287" s="708" t="str">
        <f t="shared" si="5"/>
        <v>ADM</v>
      </c>
      <c r="U287" s="708"/>
    </row>
    <row r="288" ht="13.8" spans="1:21">
      <c r="A288" s="19"/>
      <c r="C288" s="20" t="str">
        <f>IFERROR(VLOOKUP(J288,'03. THIẾT BỊ'!$B$1:$U$836,5,0),"")</f>
        <v>Thiết bị đóng bánh cỏ Balentine</v>
      </c>
      <c r="D288" s="19">
        <v>1</v>
      </c>
      <c r="E288" s="19"/>
      <c r="F288" s="19"/>
      <c r="G288" s="19"/>
      <c r="H288" s="19">
        <f>IFERROR(VLOOKUP(J288,'03. THIẾT BỊ'!$B$1:$U$836,19,0),"")</f>
        <v>0</v>
      </c>
      <c r="I288" s="19">
        <f>IFERROR(VLOOKUP(J288,'03. THIẾT BỊ'!$B$1:$U$836,20,0),"")</f>
        <v>0</v>
      </c>
      <c r="J288" s="20" t="s">
        <v>5268</v>
      </c>
      <c r="K288" s="721" t="s">
        <v>5978</v>
      </c>
      <c r="L288" s="721"/>
      <c r="M288" s="721"/>
      <c r="N288" s="19" t="str">
        <f>IFERROR(VLOOKUP(J288,'03. THIẾT BỊ'!$B$1:$U$836,4,0),"")</f>
        <v>MUA MỚI</v>
      </c>
      <c r="O288" s="19" t="str">
        <f>IFERROR(VLOOKUP(J288,'03. THIẾT BỊ'!$B$1:$U$836,7,0),"")</f>
        <v>XN Bò AD</v>
      </c>
      <c r="P288" s="353" t="str">
        <f>IFERROR(VLOOKUP(O288,'NS QUẢN LÝ CG'!$A$4:$D$36,2,0),"")</f>
        <v/>
      </c>
      <c r="Q288" s="353" t="str">
        <f>IFERROR(VLOOKUP(O288,'NS QUẢN LÝ CG'!$A$4:$D$36,4,0),"")</f>
        <v/>
      </c>
      <c r="R288" s="353" t="str">
        <f>IFERROR(VLOOKUP(O288,'NS QUẢN LÝ CG'!$A$4:$C$36,3,0),"")</f>
        <v/>
      </c>
      <c r="S288" s="20" t="str">
        <f>IFERROR(VLOOKUP(J288,'03. THIẾT BỊ'!$B$1:$S$836,3,0),"")</f>
        <v>A22-ĐBC-001</v>
      </c>
      <c r="T288" s="708" t="str">
        <f t="shared" si="5"/>
        <v>ADM</v>
      </c>
      <c r="U288" s="708"/>
    </row>
    <row r="289" ht="13.8" spans="1:21">
      <c r="A289" s="19"/>
      <c r="C289" s="20" t="str">
        <f>IFERROR(VLOOKUP(J289,'03. THIẾT BỊ'!$B$1:$U$836,5,0),"")</f>
        <v>Máy cuộn cỏ (gắn sau máy kéo)</v>
      </c>
      <c r="D289" s="19">
        <v>1</v>
      </c>
      <c r="E289" s="19"/>
      <c r="F289" s="19"/>
      <c r="G289" s="19"/>
      <c r="H289" s="19">
        <f>IFERROR(VLOOKUP(J289,'03. THIẾT BỊ'!$B$1:$U$836,19,0),"")</f>
        <v>0.3</v>
      </c>
      <c r="I289" s="19" t="str">
        <f>IFERROR(VLOOKUP(J289,'03. THIẾT BỊ'!$B$1:$U$836,20,0),"")</f>
        <v>52 cuộn/8h</v>
      </c>
      <c r="J289" s="20" t="s">
        <v>5496</v>
      </c>
      <c r="K289" s="721"/>
      <c r="L289" s="721" t="s">
        <v>5978</v>
      </c>
      <c r="M289" s="721"/>
      <c r="N289" s="19" t="str">
        <f>IFERROR(VLOOKUP(J289,'03. THIẾT BỊ'!$B$1:$U$836,4,0),"")</f>
        <v>ĐQSD</v>
      </c>
      <c r="O289" s="19" t="str">
        <f>IFERROR(VLOOKUP(J289,'03. THIẾT BỊ'!$B$1:$U$836,7,0),"")</f>
        <v>XN Bò AD</v>
      </c>
      <c r="P289" s="353" t="str">
        <f>IFERROR(VLOOKUP(O289,'NS QUẢN LÝ CG'!$A$4:$D$36,2,0),"")</f>
        <v/>
      </c>
      <c r="Q289" s="353" t="str">
        <f>IFERROR(VLOOKUP(O289,'NS QUẢN LÝ CG'!$A$4:$D$36,4,0),"")</f>
        <v/>
      </c>
      <c r="R289" s="353" t="str">
        <f>IFERROR(VLOOKUP(O289,'NS QUẢN LÝ CG'!$A$4:$C$36,3,0),"")</f>
        <v/>
      </c>
      <c r="S289" s="20" t="str">
        <f>IFERROR(VLOOKUP(J289,'03. THIẾT BỊ'!$B$1:$S$836,3,0),"")</f>
        <v>ATM-A22-0128</v>
      </c>
      <c r="T289" s="708" t="str">
        <f t="shared" si="5"/>
        <v/>
      </c>
      <c r="U289" s="708"/>
    </row>
    <row r="290" ht="13.8" spans="1:21">
      <c r="A290" s="19"/>
      <c r="C290" s="20" t="str">
        <f>IFERROR(VLOOKUP(J290,'03. THIẾT BỊ'!$B$1:$U$836,5,0),"")</f>
        <v>Máy cuộn cỏ (gắn sau máy kéo)</v>
      </c>
      <c r="D290" s="19">
        <v>1</v>
      </c>
      <c r="E290" s="19"/>
      <c r="F290" s="19"/>
      <c r="G290" s="19"/>
      <c r="H290" s="19">
        <f>IFERROR(VLOOKUP(J290,'03. THIẾT BỊ'!$B$1:$U$836,19,0),"")</f>
        <v>0.3</v>
      </c>
      <c r="I290" s="19" t="str">
        <f>IFERROR(VLOOKUP(J290,'03. THIẾT BỊ'!$B$1:$U$836,20,0),"")</f>
        <v>52 cuộn/8h</v>
      </c>
      <c r="J290" s="20" t="s">
        <v>5501</v>
      </c>
      <c r="K290" s="721"/>
      <c r="L290" s="721" t="s">
        <v>5978</v>
      </c>
      <c r="M290" s="721"/>
      <c r="N290" s="19" t="str">
        <f>IFERROR(VLOOKUP(J290,'03. THIẾT BỊ'!$B$1:$U$836,4,0),"")</f>
        <v>ĐQSD</v>
      </c>
      <c r="O290" s="19" t="str">
        <f>IFERROR(VLOOKUP(J290,'03. THIẾT BỊ'!$B$1:$U$836,7,0),"")</f>
        <v>XN Bò AD</v>
      </c>
      <c r="P290" s="353" t="str">
        <f>IFERROR(VLOOKUP(O290,'NS QUẢN LÝ CG'!$A$4:$D$36,2,0),"")</f>
        <v/>
      </c>
      <c r="Q290" s="353" t="str">
        <f>IFERROR(VLOOKUP(O290,'NS QUẢN LÝ CG'!$A$4:$D$36,4,0),"")</f>
        <v/>
      </c>
      <c r="R290" s="353" t="str">
        <f>IFERROR(VLOOKUP(O290,'NS QUẢN LÝ CG'!$A$4:$C$36,3,0),"")</f>
        <v/>
      </c>
      <c r="S290" s="20" t="str">
        <f>IFERROR(VLOOKUP(J290,'03. THIẾT BỊ'!$B$1:$S$836,3,0),"")</f>
        <v>A22-MCO-002</v>
      </c>
      <c r="T290" s="708" t="str">
        <f t="shared" si="5"/>
        <v>ADM</v>
      </c>
      <c r="U290" s="708"/>
    </row>
    <row r="291" ht="13.8" spans="1:21">
      <c r="A291" s="19"/>
      <c r="C291" s="20" t="str">
        <f>IFERROR(VLOOKUP(J291,'03. THIẾT BỊ'!$B$1:$U$836,5,0),"")</f>
        <v>Máy cuộn cỏ (gắn sau máy kéo)</v>
      </c>
      <c r="D291" s="19">
        <v>1</v>
      </c>
      <c r="E291" s="19"/>
      <c r="F291" s="19"/>
      <c r="G291" s="19"/>
      <c r="H291" s="19">
        <f>IFERROR(VLOOKUP(J291,'03. THIẾT BỊ'!$B$1:$U$836,19,0),"")</f>
        <v>0.3</v>
      </c>
      <c r="I291" s="19" t="str">
        <f>IFERROR(VLOOKUP(J291,'03. THIẾT BỊ'!$B$1:$U$836,20,0),"")</f>
        <v>52 cuộn/8h</v>
      </c>
      <c r="J291" s="20" t="s">
        <v>5503</v>
      </c>
      <c r="K291" s="721"/>
      <c r="L291" s="721" t="s">
        <v>5978</v>
      </c>
      <c r="M291" s="721"/>
      <c r="N291" s="19" t="str">
        <f>IFERROR(VLOOKUP(J291,'03. THIẾT BỊ'!$B$1:$U$836,4,0),"")</f>
        <v>ĐQSD</v>
      </c>
      <c r="O291" s="19" t="str">
        <f>IFERROR(VLOOKUP(J291,'03. THIẾT BỊ'!$B$1:$U$836,7,0),"")</f>
        <v>XN Bò AD</v>
      </c>
      <c r="P291" s="353" t="str">
        <f>IFERROR(VLOOKUP(O291,'NS QUẢN LÝ CG'!$A$4:$D$36,2,0),"")</f>
        <v/>
      </c>
      <c r="Q291" s="353" t="str">
        <f>IFERROR(VLOOKUP(O291,'NS QUẢN LÝ CG'!$A$4:$D$36,4,0),"")</f>
        <v/>
      </c>
      <c r="R291" s="353" t="str">
        <f>IFERROR(VLOOKUP(O291,'NS QUẢN LÝ CG'!$A$4:$C$36,3,0),"")</f>
        <v/>
      </c>
      <c r="S291" s="20" t="str">
        <f>IFERROR(VLOOKUP(J291,'03. THIẾT BỊ'!$B$1:$S$836,3,0),"")</f>
        <v>A22-MCO-003</v>
      </c>
      <c r="T291" s="708" t="str">
        <f t="shared" si="5"/>
        <v>ADM</v>
      </c>
      <c r="U291" s="708"/>
    </row>
    <row r="292" ht="13.8" spans="1:21">
      <c r="A292" s="19"/>
      <c r="C292" s="20" t="str">
        <f>IFERROR(VLOOKUP(J292,'03. THIẾT BỊ'!$B$1:$U$836,5,0),"")</f>
        <v>Máy cuộn cỏ (gắn sau máy kéo)</v>
      </c>
      <c r="D292" s="19">
        <v>1</v>
      </c>
      <c r="E292" s="19"/>
      <c r="F292" s="19"/>
      <c r="G292" s="19"/>
      <c r="H292" s="19">
        <f>IFERROR(VLOOKUP(J292,'03. THIẾT BỊ'!$B$1:$U$836,19,0),"")</f>
        <v>0.3</v>
      </c>
      <c r="I292" s="19" t="str">
        <f>IFERROR(VLOOKUP(J292,'03. THIẾT BỊ'!$B$1:$U$836,20,0),"")</f>
        <v>52 cuộn/8h</v>
      </c>
      <c r="J292" s="20" t="s">
        <v>5505</v>
      </c>
      <c r="K292" s="721" t="s">
        <v>5978</v>
      </c>
      <c r="L292" s="721"/>
      <c r="M292" s="721"/>
      <c r="N292" s="19" t="str">
        <f>IFERROR(VLOOKUP(J292,'03. THIẾT BỊ'!$B$1:$U$836,4,0),"")</f>
        <v>ĐQSD</v>
      </c>
      <c r="O292" s="19" t="str">
        <f>IFERROR(VLOOKUP(J292,'03. THIẾT BỊ'!$B$1:$U$836,7,0),"")</f>
        <v>XN Bò AD</v>
      </c>
      <c r="P292" s="353" t="str">
        <f>IFERROR(VLOOKUP(O292,'NS QUẢN LÝ CG'!$A$4:$D$36,2,0),"")</f>
        <v/>
      </c>
      <c r="Q292" s="353" t="str">
        <f>IFERROR(VLOOKUP(O292,'NS QUẢN LÝ CG'!$A$4:$D$36,4,0),"")</f>
        <v/>
      </c>
      <c r="R292" s="353" t="str">
        <f>IFERROR(VLOOKUP(O292,'NS QUẢN LÝ CG'!$A$4:$C$36,3,0),"")</f>
        <v/>
      </c>
      <c r="S292" s="20" t="str">
        <f>IFERROR(VLOOKUP(J292,'03. THIẾT BỊ'!$B$1:$S$836,3,0),"")</f>
        <v>A22-MCO-004</v>
      </c>
      <c r="T292" s="708" t="str">
        <f t="shared" si="5"/>
        <v>ADM</v>
      </c>
      <c r="U292" s="708"/>
    </row>
    <row r="293" ht="13.8" spans="1:21">
      <c r="A293" s="19"/>
      <c r="C293" s="20" t="str">
        <f>IFERROR(VLOOKUP(J293,'03. THIẾT BỊ'!$B$1:$U$836,5,0),"")</f>
        <v>Máy cuộn cỏ (gắn sau máy kéo)</v>
      </c>
      <c r="D293" s="19">
        <v>1</v>
      </c>
      <c r="E293" s="19"/>
      <c r="F293" s="19"/>
      <c r="G293" s="19"/>
      <c r="H293" s="19">
        <f>IFERROR(VLOOKUP(J293,'03. THIẾT BỊ'!$B$1:$U$836,19,0),"")</f>
        <v>0.3</v>
      </c>
      <c r="I293" s="19" t="str">
        <f>IFERROR(VLOOKUP(J293,'03. THIẾT BỊ'!$B$1:$U$836,20,0),"")</f>
        <v>52 cuộn/8h</v>
      </c>
      <c r="J293" s="20" t="s">
        <v>5508</v>
      </c>
      <c r="K293" s="721" t="s">
        <v>5978</v>
      </c>
      <c r="L293" s="721"/>
      <c r="M293" s="721"/>
      <c r="N293" s="19" t="str">
        <f>IFERROR(VLOOKUP(J293,'03. THIẾT BỊ'!$B$1:$U$836,4,0),"")</f>
        <v>ĐQSD</v>
      </c>
      <c r="O293" s="19" t="str">
        <f>IFERROR(VLOOKUP(J293,'03. THIẾT BỊ'!$B$1:$U$836,7,0),"")</f>
        <v>XN Bò AD</v>
      </c>
      <c r="P293" s="353" t="str">
        <f>IFERROR(VLOOKUP(O293,'NS QUẢN LÝ CG'!$A$4:$D$36,2,0),"")</f>
        <v/>
      </c>
      <c r="Q293" s="353" t="str">
        <f>IFERROR(VLOOKUP(O293,'NS QUẢN LÝ CG'!$A$4:$D$36,4,0),"")</f>
        <v/>
      </c>
      <c r="R293" s="353" t="str">
        <f>IFERROR(VLOOKUP(O293,'NS QUẢN LÝ CG'!$A$4:$C$36,3,0),"")</f>
        <v/>
      </c>
      <c r="S293" s="20" t="str">
        <f>IFERROR(VLOOKUP(J293,'03. THIẾT BỊ'!$B$1:$S$836,3,0),"")</f>
        <v>A22-CT-0194</v>
      </c>
      <c r="T293" s="708" t="str">
        <f t="shared" si="5"/>
        <v>ADM</v>
      </c>
      <c r="U293" s="708"/>
    </row>
    <row r="294" ht="13.8" spans="1:21">
      <c r="A294" s="19"/>
      <c r="C294" s="20" t="str">
        <f>IFERROR(VLOOKUP(J294,'03. THIẾT BỊ'!$B$1:$U$836,5,0),"")</f>
        <v>Thiết bị cắt cỏ đĩa quay</v>
      </c>
      <c r="D294" s="19">
        <v>1</v>
      </c>
      <c r="E294" s="19"/>
      <c r="F294" s="19"/>
      <c r="G294" s="19"/>
      <c r="H294" s="19">
        <f>IFERROR(VLOOKUP(J294,'03. THIẾT BỊ'!$B$1:$U$836,19,0),"")</f>
        <v>0</v>
      </c>
      <c r="I294" s="19">
        <f>IFERROR(VLOOKUP(J294,'03. THIẾT BỊ'!$B$1:$U$836,20,0),"")</f>
        <v>0</v>
      </c>
      <c r="J294" s="20" t="s">
        <v>5634</v>
      </c>
      <c r="K294" s="721" t="s">
        <v>5978</v>
      </c>
      <c r="L294" s="721"/>
      <c r="M294" s="721"/>
      <c r="N294" s="19" t="str">
        <f>IFERROR(VLOOKUP(J294,'03. THIẾT BỊ'!$B$1:$U$836,4,0),"")</f>
        <v>ĐQSD</v>
      </c>
      <c r="O294" s="19" t="str">
        <f>IFERROR(VLOOKUP(J294,'03. THIẾT BỊ'!$B$1:$U$836,7,0),"")</f>
        <v>XN Bò AD</v>
      </c>
      <c r="P294" s="353" t="str">
        <f>IFERROR(VLOOKUP(O294,'NS QUẢN LÝ CG'!$A$4:$D$36,2,0),"")</f>
        <v/>
      </c>
      <c r="Q294" s="353" t="str">
        <f>IFERROR(VLOOKUP(O294,'NS QUẢN LÝ CG'!$A$4:$D$36,4,0),"")</f>
        <v/>
      </c>
      <c r="R294" s="353" t="str">
        <f>IFERROR(VLOOKUP(O294,'NS QUẢN LÝ CG'!$A$4:$C$36,3,0),"")</f>
        <v/>
      </c>
      <c r="S294" s="20" t="str">
        <f>IFERROR(VLOOKUP(J294,'03. THIẾT BỊ'!$B$1:$S$836,3,0),"")</f>
        <v>A22-CĐQ-001</v>
      </c>
      <c r="T294" s="708" t="str">
        <f t="shared" si="5"/>
        <v>ADM</v>
      </c>
      <c r="U294" s="708"/>
    </row>
    <row r="295" ht="13.8" spans="1:21">
      <c r="A295" s="19"/>
      <c r="C295" s="20" t="str">
        <f>IFERROR(VLOOKUP(J295,'03. THIẾT BỊ'!$B$1:$U$836,5,0),"")</f>
        <v>Thiết bị cắt cỏ đĩa quay</v>
      </c>
      <c r="D295" s="19">
        <v>1</v>
      </c>
      <c r="E295" s="19"/>
      <c r="F295" s="19"/>
      <c r="G295" s="19"/>
      <c r="H295" s="19">
        <f>IFERROR(VLOOKUP(J295,'03. THIẾT BỊ'!$B$1:$U$836,19,0),"")</f>
        <v>0</v>
      </c>
      <c r="I295" s="19">
        <f>IFERROR(VLOOKUP(J295,'03. THIẾT BỊ'!$B$1:$U$836,20,0),"")</f>
        <v>0</v>
      </c>
      <c r="J295" s="20" t="s">
        <v>5638</v>
      </c>
      <c r="K295" s="721"/>
      <c r="L295" s="721" t="s">
        <v>5978</v>
      </c>
      <c r="M295" s="721"/>
      <c r="N295" s="19" t="str">
        <f>IFERROR(VLOOKUP(J295,'03. THIẾT BỊ'!$B$1:$U$836,4,0),"")</f>
        <v>ĐQSD</v>
      </c>
      <c r="O295" s="19" t="str">
        <f>IFERROR(VLOOKUP(J295,'03. THIẾT BỊ'!$B$1:$U$836,7,0),"")</f>
        <v>XN Bò AD</v>
      </c>
      <c r="P295" s="353" t="str">
        <f>IFERROR(VLOOKUP(O295,'NS QUẢN LÝ CG'!$A$4:$D$36,2,0),"")</f>
        <v/>
      </c>
      <c r="Q295" s="353" t="str">
        <f>IFERROR(VLOOKUP(O295,'NS QUẢN LÝ CG'!$A$4:$D$36,4,0),"")</f>
        <v/>
      </c>
      <c r="R295" s="353" t="str">
        <f>IFERROR(VLOOKUP(O295,'NS QUẢN LÝ CG'!$A$4:$C$36,3,0),"")</f>
        <v/>
      </c>
      <c r="S295" s="20" t="str">
        <f>IFERROR(VLOOKUP(J295,'03. THIẾT BỊ'!$B$1:$S$836,3,0),"")</f>
        <v>A22-CĐQ-002</v>
      </c>
      <c r="T295" s="708" t="str">
        <f t="shared" si="5"/>
        <v>ADM</v>
      </c>
      <c r="U295" s="708"/>
    </row>
    <row r="296" ht="13.8" spans="1:21">
      <c r="A296" s="19"/>
      <c r="C296" s="20" t="str">
        <f>IFERROR(VLOOKUP(J296,'03. THIẾT BỊ'!$B$1:$U$836,5,0),"")</f>
        <v>Thiết bị cắt cỏ đĩa quay</v>
      </c>
      <c r="D296" s="19">
        <v>1</v>
      </c>
      <c r="E296" s="19"/>
      <c r="F296" s="19"/>
      <c r="G296" s="19"/>
      <c r="H296" s="19">
        <f>IFERROR(VLOOKUP(J296,'03. THIẾT BỊ'!$B$1:$U$836,19,0),"")</f>
        <v>0</v>
      </c>
      <c r="I296" s="19">
        <f>IFERROR(VLOOKUP(J296,'03. THIẾT BỊ'!$B$1:$U$836,20,0),"")</f>
        <v>0</v>
      </c>
      <c r="J296" s="20" t="s">
        <v>5642</v>
      </c>
      <c r="K296" s="721"/>
      <c r="L296" s="721" t="s">
        <v>5978</v>
      </c>
      <c r="M296" s="721"/>
      <c r="N296" s="19" t="str">
        <f>IFERROR(VLOOKUP(J296,'03. THIẾT BỊ'!$B$1:$U$836,4,0),"")</f>
        <v>ĐQSD</v>
      </c>
      <c r="O296" s="19" t="str">
        <f>IFERROR(VLOOKUP(J296,'03. THIẾT BỊ'!$B$1:$U$836,7,0),"")</f>
        <v>XN Bò AD</v>
      </c>
      <c r="P296" s="353" t="str">
        <f>IFERROR(VLOOKUP(O296,'NS QUẢN LÝ CG'!$A$4:$D$36,2,0),"")</f>
        <v/>
      </c>
      <c r="Q296" s="353" t="str">
        <f>IFERROR(VLOOKUP(O296,'NS QUẢN LÝ CG'!$A$4:$D$36,4,0),"")</f>
        <v/>
      </c>
      <c r="R296" s="353" t="str">
        <f>IFERROR(VLOOKUP(O296,'NS QUẢN LÝ CG'!$A$4:$C$36,3,0),"")</f>
        <v/>
      </c>
      <c r="S296" s="20" t="str">
        <f>IFERROR(VLOOKUP(J296,'03. THIẾT BỊ'!$B$1:$S$836,3,0),"")</f>
        <v>A22-CĐQ-003</v>
      </c>
      <c r="T296" s="708" t="str">
        <f t="shared" si="5"/>
        <v>ADM</v>
      </c>
      <c r="U296" s="708"/>
    </row>
    <row r="297" ht="13.8" spans="1:21">
      <c r="A297" s="19"/>
      <c r="C297" s="20" t="str">
        <f>IFERROR(VLOOKUP(J297,'03. THIẾT BỊ'!$B$1:$U$836,5,0),"")</f>
        <v>Thiết bị cắt cỏ đĩa quay</v>
      </c>
      <c r="D297" s="19">
        <v>1</v>
      </c>
      <c r="E297" s="19"/>
      <c r="F297" s="19"/>
      <c r="G297" s="19"/>
      <c r="H297" s="19">
        <f>IFERROR(VLOOKUP(J297,'03. THIẾT BỊ'!$B$1:$U$836,19,0),"")</f>
        <v>0</v>
      </c>
      <c r="I297" s="19">
        <f>IFERROR(VLOOKUP(J297,'03. THIẾT BỊ'!$B$1:$U$836,20,0),"")</f>
        <v>0</v>
      </c>
      <c r="J297" s="20" t="s">
        <v>5647</v>
      </c>
      <c r="K297" s="721" t="s">
        <v>5978</v>
      </c>
      <c r="L297" s="721"/>
      <c r="M297" s="721"/>
      <c r="N297" s="19" t="str">
        <f>IFERROR(VLOOKUP(J297,'03. THIẾT BỊ'!$B$1:$U$836,4,0),"")</f>
        <v>ĐQSD</v>
      </c>
      <c r="O297" s="19" t="str">
        <f>IFERROR(VLOOKUP(J297,'03. THIẾT BỊ'!$B$1:$U$836,7,0),"")</f>
        <v>XN Bò AD</v>
      </c>
      <c r="P297" s="353" t="str">
        <f>IFERROR(VLOOKUP(O297,'NS QUẢN LÝ CG'!$A$4:$D$36,2,0),"")</f>
        <v/>
      </c>
      <c r="Q297" s="353" t="str">
        <f>IFERROR(VLOOKUP(O297,'NS QUẢN LÝ CG'!$A$4:$D$36,4,0),"")</f>
        <v/>
      </c>
      <c r="R297" s="353" t="str">
        <f>IFERROR(VLOOKUP(O297,'NS QUẢN LÝ CG'!$A$4:$C$36,3,0),"")</f>
        <v/>
      </c>
      <c r="S297" s="20" t="str">
        <f>IFERROR(VLOOKUP(J297,'03. THIẾT BỊ'!$B$1:$S$836,3,0),"")</f>
        <v>A22-CĐQ-004</v>
      </c>
      <c r="T297" s="708" t="str">
        <f t="shared" si="5"/>
        <v>ADM</v>
      </c>
      <c r="U297" s="708"/>
    </row>
    <row r="298" ht="13.8" spans="1:21">
      <c r="A298" s="19"/>
      <c r="C298" s="20" t="str">
        <f>IFERROR(VLOOKUP(J298,'03. THIẾT BỊ'!$B$1:$U$836,5,0),"")</f>
        <v>Thiết bị cắt cỏ - Mower</v>
      </c>
      <c r="D298" s="19">
        <v>1</v>
      </c>
      <c r="E298" s="19"/>
      <c r="F298" s="19"/>
      <c r="G298" s="19"/>
      <c r="H298" s="19">
        <f>IFERROR(VLOOKUP(J298,'03. THIẾT BỊ'!$B$1:$U$836,19,0),"")</f>
        <v>0</v>
      </c>
      <c r="I298" s="19">
        <f>IFERROR(VLOOKUP(J298,'03. THIẾT BỊ'!$B$1:$U$836,20,0),"")</f>
        <v>0</v>
      </c>
      <c r="J298" s="20" t="s">
        <v>5623</v>
      </c>
      <c r="K298" s="721"/>
      <c r="L298" s="721" t="s">
        <v>5978</v>
      </c>
      <c r="M298" s="721"/>
      <c r="N298" s="19" t="str">
        <f>IFERROR(VLOOKUP(J298,'03. THIẾT BỊ'!$B$1:$U$836,4,0),"")</f>
        <v>MUA MỚI</v>
      </c>
      <c r="O298" s="19" t="str">
        <f>IFERROR(VLOOKUP(J298,'03. THIẾT BỊ'!$B$1:$U$836,7,0),"")</f>
        <v>XN Bò AD</v>
      </c>
      <c r="P298" s="353" t="str">
        <f>IFERROR(VLOOKUP(O298,'NS QUẢN LÝ CG'!$A$4:$D$36,2,0),"")</f>
        <v/>
      </c>
      <c r="Q298" s="353" t="str">
        <f>IFERROR(VLOOKUP(O298,'NS QUẢN LÝ CG'!$A$4:$D$36,4,0),"")</f>
        <v/>
      </c>
      <c r="R298" s="353" t="str">
        <f>IFERROR(VLOOKUP(O298,'NS QUẢN LÝ CG'!$A$4:$C$36,3,0),"")</f>
        <v/>
      </c>
      <c r="S298" s="20" t="str">
        <f>IFERROR(VLOOKUP(J298,'03. THIẾT BỊ'!$B$1:$S$836,3,0),"")</f>
        <v>A22-DCC-001</v>
      </c>
      <c r="T298" s="708" t="str">
        <f t="shared" si="5"/>
        <v>ADM</v>
      </c>
      <c r="U298" s="708"/>
    </row>
    <row r="299" ht="13.8" spans="1:21">
      <c r="A299" s="19"/>
      <c r="C299" s="20" t="str">
        <f>IFERROR(VLOOKUP(J299,'03. THIẾT BỊ'!$B$1:$U$836,5,0),"")</f>
        <v>Thiết bị cắt cỏ - Mower</v>
      </c>
      <c r="D299" s="19">
        <v>1</v>
      </c>
      <c r="E299" s="19"/>
      <c r="F299" s="19"/>
      <c r="G299" s="19"/>
      <c r="H299" s="19">
        <f>IFERROR(VLOOKUP(J299,'03. THIẾT BỊ'!$B$1:$U$836,19,0),"")</f>
        <v>0</v>
      </c>
      <c r="I299" s="19">
        <f>IFERROR(VLOOKUP(J299,'03. THIẾT BỊ'!$B$1:$U$836,20,0),"")</f>
        <v>0</v>
      </c>
      <c r="J299" s="20" t="s">
        <v>5628</v>
      </c>
      <c r="K299" s="721"/>
      <c r="L299" s="721" t="s">
        <v>5978</v>
      </c>
      <c r="M299" s="721"/>
      <c r="N299" s="19" t="str">
        <f>IFERROR(VLOOKUP(J299,'03. THIẾT BỊ'!$B$1:$U$836,4,0),"")</f>
        <v>MUA MỚI</v>
      </c>
      <c r="O299" s="19" t="str">
        <f>IFERROR(VLOOKUP(J299,'03. THIẾT BỊ'!$B$1:$U$836,7,0),"")</f>
        <v>XN Bò AD</v>
      </c>
      <c r="P299" s="353" t="str">
        <f>IFERROR(VLOOKUP(O299,'NS QUẢN LÝ CG'!$A$4:$D$36,2,0),"")</f>
        <v/>
      </c>
      <c r="Q299" s="353" t="str">
        <f>IFERROR(VLOOKUP(O299,'NS QUẢN LÝ CG'!$A$4:$D$36,4,0),"")</f>
        <v/>
      </c>
      <c r="R299" s="353" t="str">
        <f>IFERROR(VLOOKUP(O299,'NS QUẢN LÝ CG'!$A$4:$C$36,3,0),"")</f>
        <v/>
      </c>
      <c r="S299" s="20" t="str">
        <f>IFERROR(VLOOKUP(J299,'03. THIẾT BỊ'!$B$1:$S$836,3,0),"")</f>
        <v>A22-DCC-002</v>
      </c>
      <c r="T299" s="708" t="str">
        <f t="shared" si="5"/>
        <v>ADM</v>
      </c>
      <c r="U299" s="708"/>
    </row>
    <row r="300" ht="13.8" spans="1:21">
      <c r="A300" s="19"/>
      <c r="C300" s="20" t="str">
        <f>IFERROR(VLOOKUP(J300,'03. THIẾT BỊ'!$B$1:$U$836,5,0),"")</f>
        <v>SMRM vận chuyển 50M3</v>
      </c>
      <c r="D300" s="19">
        <v>1</v>
      </c>
      <c r="E300" s="19"/>
      <c r="F300" s="19"/>
      <c r="G300" s="19"/>
      <c r="H300" s="19">
        <f>IFERROR(VLOOKUP(J300,'03. THIẾT BỊ'!$B$1:$U$836,19,0),"")</f>
        <v>0</v>
      </c>
      <c r="I300" s="19">
        <f>IFERROR(VLOOKUP(J300,'03. THIẾT BỊ'!$B$1:$U$836,20,0),"")</f>
        <v>0</v>
      </c>
      <c r="J300" s="20" t="s">
        <v>5363</v>
      </c>
      <c r="K300" s="721" t="s">
        <v>5978</v>
      </c>
      <c r="L300" s="721"/>
      <c r="M300" s="721"/>
      <c r="N300" s="19" t="str">
        <f>IFERROR(VLOOKUP(J300,'03. THIẾT BỊ'!$B$1:$U$836,4,0),"")</f>
        <v>MUA MỚI</v>
      </c>
      <c r="O300" s="19" t="str">
        <f>IFERROR(VLOOKUP(J300,'03. THIẾT BỊ'!$B$1:$U$836,7,0),"")</f>
        <v>XN Bò AD</v>
      </c>
      <c r="P300" s="353" t="str">
        <f>IFERROR(VLOOKUP(O300,'NS QUẢN LÝ CG'!$A$4:$D$36,2,0),"")</f>
        <v/>
      </c>
      <c r="Q300" s="353" t="str">
        <f>IFERROR(VLOOKUP(O300,'NS QUẢN LÝ CG'!$A$4:$D$36,4,0),"")</f>
        <v/>
      </c>
      <c r="R300" s="353" t="str">
        <f>IFERROR(VLOOKUP(O300,'NS QUẢN LÝ CG'!$A$4:$C$36,3,0),"")</f>
        <v/>
      </c>
      <c r="S300" s="20" t="str">
        <f>IFERROR(VLOOKUP(J300,'03. THIẾT BỊ'!$B$1:$S$836,3,0),"")</f>
        <v>A22-SMR-001</v>
      </c>
      <c r="T300" s="708" t="str">
        <f t="shared" si="5"/>
        <v>ADM</v>
      </c>
      <c r="U300" s="708"/>
    </row>
    <row r="301" ht="13.8" spans="1:21">
      <c r="A301" s="19"/>
      <c r="B301" s="713"/>
      <c r="C301" s="20" t="str">
        <f>IFERROR(VLOOKUP(J301,'03. THIẾT BỊ'!$B$1:$U$836,5,0),"")</f>
        <v/>
      </c>
      <c r="D301" s="19"/>
      <c r="E301" s="19"/>
      <c r="F301" s="19"/>
      <c r="G301" s="19"/>
      <c r="H301" s="19" t="str">
        <f>IFERROR(VLOOKUP(J301,'03. THIẾT BỊ'!$B$1:$U$836,19,0),"")</f>
        <v/>
      </c>
      <c r="I301" s="19" t="str">
        <f>IFERROR(VLOOKUP(J301,'03. THIẾT BỊ'!$B$1:$U$836,20,0),"")</f>
        <v/>
      </c>
      <c r="J301" s="20"/>
      <c r="K301" s="19"/>
      <c r="L301" s="19"/>
      <c r="M301" s="19"/>
      <c r="N301" s="19" t="str">
        <f>IFERROR(VLOOKUP(J301,'03. THIẾT BỊ'!$B$1:$U$836,4,0),"")</f>
        <v/>
      </c>
      <c r="O301" s="19" t="str">
        <f>IFERROR(VLOOKUP(J301,'03. THIẾT BỊ'!$B$1:$U$836,7,0),"")</f>
        <v/>
      </c>
      <c r="P301" s="20"/>
      <c r="Q301" s="20"/>
      <c r="R301" s="20"/>
      <c r="S301" s="20" t="str">
        <f>IFERROR(VLOOKUP(J301,'03. THIẾT BỊ'!$B$1:$S$836,3,0),"")</f>
        <v/>
      </c>
      <c r="T301" s="708"/>
      <c r="U301" s="708"/>
    </row>
    <row r="302" ht="13.8" spans="1:21">
      <c r="A302" s="715" t="s">
        <v>6047</v>
      </c>
      <c r="B302" s="271"/>
      <c r="C302" s="272"/>
      <c r="D302" s="716"/>
      <c r="E302" s="716"/>
      <c r="F302" s="716"/>
      <c r="G302" s="716"/>
      <c r="H302" s="716"/>
      <c r="I302" s="716"/>
      <c r="J302" s="717"/>
      <c r="K302" s="718"/>
      <c r="L302" s="718"/>
      <c r="M302" s="716"/>
      <c r="N302" s="717"/>
      <c r="O302" s="717"/>
      <c r="P302" s="717"/>
      <c r="Q302" s="717"/>
      <c r="R302" s="717"/>
      <c r="S302" s="717"/>
      <c r="T302" s="719"/>
      <c r="U302" s="719"/>
    </row>
    <row r="303" ht="13.8" spans="1:21">
      <c r="A303" s="705" t="s">
        <v>6048</v>
      </c>
      <c r="B303" s="271"/>
      <c r="C303" s="272"/>
      <c r="D303" s="26">
        <f>SUM(D304:D313)</f>
        <v>8</v>
      </c>
      <c r="E303" s="30"/>
      <c r="F303" s="30"/>
      <c r="G303" s="30"/>
      <c r="H303" s="30"/>
      <c r="I303" s="30"/>
      <c r="J303" s="29"/>
      <c r="K303" s="30"/>
      <c r="L303" s="30"/>
      <c r="M303" s="30"/>
      <c r="N303" s="29"/>
      <c r="O303" s="720"/>
      <c r="P303" s="29"/>
      <c r="Q303" s="29"/>
      <c r="R303" s="29"/>
      <c r="S303" s="29"/>
      <c r="T303" s="706"/>
      <c r="U303" s="706"/>
    </row>
    <row r="304" ht="13.8" spans="1:21">
      <c r="A304" s="19"/>
      <c r="B304" s="707" t="s">
        <v>6049</v>
      </c>
      <c r="C304" s="20" t="str">
        <f>IFERROR(VLOOKUP(J304,'03. THIẾT BỊ'!$B$1:$U$836,5,0),"")</f>
        <v>SMRM rải thức ăn TMR 50M3</v>
      </c>
      <c r="D304" s="19">
        <v>1</v>
      </c>
      <c r="E304" s="19"/>
      <c r="F304" s="19"/>
      <c r="G304" s="19"/>
      <c r="H304" s="19">
        <f>IFERROR(VLOOKUP(J304,'03. THIẾT BỊ'!$B$1:$U$836,19,0),"")</f>
        <v>5.25</v>
      </c>
      <c r="I304" s="19" t="str">
        <f>IFERROR(VLOOKUP(J304,'03. THIẾT BỊ'!$B$1:$U$836,20,0),"")</f>
        <v>84 tấn/8h</v>
      </c>
      <c r="J304" s="20" t="s">
        <v>5370</v>
      </c>
      <c r="K304" s="721" t="s">
        <v>5978</v>
      </c>
      <c r="L304" s="721"/>
      <c r="M304" s="19"/>
      <c r="N304" s="19" t="str">
        <f>IFERROR(VLOOKUP(J304,'03. THIẾT BỊ'!$B$1:$U$836,4,0),"")</f>
        <v>MUA MỚI</v>
      </c>
      <c r="O304" s="19" t="str">
        <f>IFERROR(VLOOKUP(J304,'03. THIẾT BỊ'!$B$1:$U$836,7,0),"")</f>
        <v>XN Bò AD</v>
      </c>
      <c r="P304" s="353" t="str">
        <f>IFERROR(VLOOKUP(O304,'NS QUẢN LÝ CG'!$A$4:$D$36,2,0),"")</f>
        <v/>
      </c>
      <c r="Q304" s="353" t="str">
        <f>IFERROR(VLOOKUP(O304,'NS QUẢN LÝ CG'!$A$4:$D$36,4,0),"")</f>
        <v/>
      </c>
      <c r="R304" s="353" t="str">
        <f>IFERROR(VLOOKUP(O304,'NS QUẢN LÝ CG'!$A$4:$C$36,3,0),"")</f>
        <v/>
      </c>
      <c r="S304" s="20" t="str">
        <f>IFERROR(VLOOKUP(J304,'03. THIẾT BỊ'!$B$1:$S$836,3,0),"")</f>
        <v>A22-MRT-002</v>
      </c>
      <c r="T304" s="708" t="str">
        <f t="shared" ref="T304:T311" si="6">_xlfn.SWITCH(LEFT(S304,3),"A22","ADM","A23","DP","A24","LP","")</f>
        <v>ADM</v>
      </c>
      <c r="U304" s="708"/>
    </row>
    <row r="305" ht="13.8" spans="1:21">
      <c r="A305" s="19"/>
      <c r="B305" s="275"/>
      <c r="C305" s="20" t="str">
        <f>IFERROR(VLOOKUP(J305,'03. THIẾT BỊ'!$B$1:$U$836,5,0),"")</f>
        <v>SMRM rải thức ăn TMR 50M3</v>
      </c>
      <c r="D305" s="19">
        <v>1</v>
      </c>
      <c r="E305" s="19"/>
      <c r="F305" s="19"/>
      <c r="G305" s="19"/>
      <c r="H305" s="19">
        <f>IFERROR(VLOOKUP(J305,'03. THIẾT BỊ'!$B$1:$U$836,19,0),"")</f>
        <v>5.25</v>
      </c>
      <c r="I305" s="19" t="str">
        <f>IFERROR(VLOOKUP(J305,'03. THIẾT BỊ'!$B$1:$U$836,20,0),"")</f>
        <v>84 tấn/8h</v>
      </c>
      <c r="J305" s="20" t="s">
        <v>5374</v>
      </c>
      <c r="K305" s="721" t="s">
        <v>5978</v>
      </c>
      <c r="L305" s="721"/>
      <c r="M305" s="19"/>
      <c r="N305" s="19" t="str">
        <f>IFERROR(VLOOKUP(J305,'03. THIẾT BỊ'!$B$1:$U$836,4,0),"")</f>
        <v>MUA MỚI</v>
      </c>
      <c r="O305" s="19" t="str">
        <f>IFERROR(VLOOKUP(J305,'03. THIẾT BỊ'!$B$1:$U$836,7,0),"")</f>
        <v>XN Bò AD</v>
      </c>
      <c r="P305" s="353" t="str">
        <f>IFERROR(VLOOKUP(O305,'NS QUẢN LÝ CG'!$A$4:$D$36,2,0),"")</f>
        <v/>
      </c>
      <c r="Q305" s="353" t="str">
        <f>IFERROR(VLOOKUP(O305,'NS QUẢN LÝ CG'!$A$4:$D$36,4,0),"")</f>
        <v/>
      </c>
      <c r="R305" s="353" t="str">
        <f>IFERROR(VLOOKUP(O305,'NS QUẢN LÝ CG'!$A$4:$C$36,3,0),"")</f>
        <v/>
      </c>
      <c r="S305" s="20" t="str">
        <f>IFERROR(VLOOKUP(J305,'03. THIẾT BỊ'!$B$1:$S$836,3,0),"")</f>
        <v>A22-MRT-003</v>
      </c>
      <c r="T305" s="708" t="str">
        <f t="shared" si="6"/>
        <v>ADM</v>
      </c>
      <c r="U305" s="708"/>
    </row>
    <row r="306" ht="13.8" spans="1:21">
      <c r="A306" s="19"/>
      <c r="B306" s="275"/>
      <c r="C306" s="20" t="str">
        <f>IFERROR(VLOOKUP(J306,'03. THIẾT BỊ'!$B$1:$U$836,5,0),"")</f>
        <v>SMRM rải thức ăn TMR 50M3</v>
      </c>
      <c r="D306" s="19">
        <v>1</v>
      </c>
      <c r="E306" s="19"/>
      <c r="F306" s="19"/>
      <c r="G306" s="19"/>
      <c r="H306" s="19">
        <f>IFERROR(VLOOKUP(J306,'03. THIẾT BỊ'!$B$1:$U$836,19,0),"")</f>
        <v>5.25</v>
      </c>
      <c r="I306" s="19" t="str">
        <f>IFERROR(VLOOKUP(J306,'03. THIẾT BỊ'!$B$1:$U$836,20,0),"")</f>
        <v>84 tấn/8h</v>
      </c>
      <c r="J306" s="20" t="s">
        <v>5377</v>
      </c>
      <c r="K306" s="721" t="s">
        <v>5978</v>
      </c>
      <c r="L306" s="721"/>
      <c r="M306" s="19"/>
      <c r="N306" s="19" t="str">
        <f>IFERROR(VLOOKUP(J306,'03. THIẾT BỊ'!$B$1:$U$836,4,0),"")</f>
        <v>MUA MỚI</v>
      </c>
      <c r="O306" s="19" t="str">
        <f>IFERROR(VLOOKUP(J306,'03. THIẾT BỊ'!$B$1:$U$836,7,0),"")</f>
        <v>XN Bò AD</v>
      </c>
      <c r="P306" s="353" t="str">
        <f>IFERROR(VLOOKUP(O306,'NS QUẢN LÝ CG'!$A$4:$D$36,2,0),"")</f>
        <v/>
      </c>
      <c r="Q306" s="353" t="str">
        <f>IFERROR(VLOOKUP(O306,'NS QUẢN LÝ CG'!$A$4:$D$36,4,0),"")</f>
        <v/>
      </c>
      <c r="R306" s="353" t="str">
        <f>IFERROR(VLOOKUP(O306,'NS QUẢN LÝ CG'!$A$4:$C$36,3,0),"")</f>
        <v/>
      </c>
      <c r="S306" s="20" t="str">
        <f>IFERROR(VLOOKUP(J306,'03. THIẾT BỊ'!$B$1:$S$836,3,0),"")</f>
        <v>A22-MRT-004</v>
      </c>
      <c r="T306" s="708" t="str">
        <f t="shared" si="6"/>
        <v>ADM</v>
      </c>
      <c r="U306" s="708"/>
    </row>
    <row r="307" ht="13.8" spans="1:21">
      <c r="A307" s="19"/>
      <c r="B307" s="275"/>
      <c r="C307" s="20" t="str">
        <f>IFERROR(VLOOKUP(J307,'03. THIẾT BỊ'!$B$1:$U$836,5,0),"")</f>
        <v>SMRM rải thức ăn TMR 50M3</v>
      </c>
      <c r="D307" s="19">
        <v>1</v>
      </c>
      <c r="E307" s="19"/>
      <c r="F307" s="19"/>
      <c r="G307" s="19"/>
      <c r="H307" s="19">
        <f>IFERROR(VLOOKUP(J307,'03. THIẾT BỊ'!$B$1:$U$836,19,0),"")</f>
        <v>5.25</v>
      </c>
      <c r="I307" s="19" t="str">
        <f>IFERROR(VLOOKUP(J307,'03. THIẾT BỊ'!$B$1:$U$836,20,0),"")</f>
        <v>84 tấn/8h</v>
      </c>
      <c r="J307" s="20" t="s">
        <v>5380</v>
      </c>
      <c r="K307" s="721"/>
      <c r="L307" s="721" t="s">
        <v>5978</v>
      </c>
      <c r="M307" s="19"/>
      <c r="N307" s="19" t="str">
        <f>IFERROR(VLOOKUP(J307,'03. THIẾT BỊ'!$B$1:$U$836,4,0),"")</f>
        <v>MUA MỚI</v>
      </c>
      <c r="O307" s="19" t="str">
        <f>IFERROR(VLOOKUP(J307,'03. THIẾT BỊ'!$B$1:$U$836,7,0),"")</f>
        <v>XN Bò AD</v>
      </c>
      <c r="P307" s="353" t="str">
        <f>IFERROR(VLOOKUP(O307,'NS QUẢN LÝ CG'!$A$4:$D$36,2,0),"")</f>
        <v/>
      </c>
      <c r="Q307" s="353" t="str">
        <f>IFERROR(VLOOKUP(O307,'NS QUẢN LÝ CG'!$A$4:$D$36,4,0),"")</f>
        <v/>
      </c>
      <c r="R307" s="353" t="str">
        <f>IFERROR(VLOOKUP(O307,'NS QUẢN LÝ CG'!$A$4:$C$36,3,0),"")</f>
        <v/>
      </c>
      <c r="S307" s="20" t="str">
        <f>IFERROR(VLOOKUP(J307,'03. THIẾT BỊ'!$B$1:$S$836,3,0),"")</f>
        <v>A22-MRT-005</v>
      </c>
      <c r="T307" s="708" t="str">
        <f t="shared" si="6"/>
        <v>ADM</v>
      </c>
      <c r="U307" s="708"/>
    </row>
    <row r="308" ht="13.8" spans="1:21">
      <c r="A308" s="19"/>
      <c r="B308" s="275"/>
      <c r="C308" s="20" t="str">
        <f>IFERROR(VLOOKUP(J308,'03. THIẾT BỊ'!$B$1:$U$836,5,0),"")</f>
        <v>SMRM rải thức ăn TMR 50M3</v>
      </c>
      <c r="D308" s="19">
        <v>1</v>
      </c>
      <c r="E308" s="19"/>
      <c r="F308" s="19"/>
      <c r="G308" s="19"/>
      <c r="H308" s="19">
        <f>IFERROR(VLOOKUP(J308,'03. THIẾT BỊ'!$B$1:$U$836,19,0),"")</f>
        <v>5.25</v>
      </c>
      <c r="I308" s="19" t="str">
        <f>IFERROR(VLOOKUP(J308,'03. THIẾT BỊ'!$B$1:$U$836,20,0),"")</f>
        <v>84 tấn/8h</v>
      </c>
      <c r="J308" s="20" t="s">
        <v>5383</v>
      </c>
      <c r="K308" s="721"/>
      <c r="L308" s="721" t="s">
        <v>5978</v>
      </c>
      <c r="M308" s="19"/>
      <c r="N308" s="19" t="str">
        <f>IFERROR(VLOOKUP(J308,'03. THIẾT BỊ'!$B$1:$U$836,4,0),"")</f>
        <v>MUA MỚI</v>
      </c>
      <c r="O308" s="19" t="str">
        <f>IFERROR(VLOOKUP(J308,'03. THIẾT BỊ'!$B$1:$U$836,7,0),"")</f>
        <v>XN Bò AD</v>
      </c>
      <c r="P308" s="353" t="str">
        <f>IFERROR(VLOOKUP(O308,'NS QUẢN LÝ CG'!$A$4:$D$36,2,0),"")</f>
        <v/>
      </c>
      <c r="Q308" s="353" t="str">
        <f>IFERROR(VLOOKUP(O308,'NS QUẢN LÝ CG'!$A$4:$D$36,4,0),"")</f>
        <v/>
      </c>
      <c r="R308" s="353" t="str">
        <f>IFERROR(VLOOKUP(O308,'NS QUẢN LÝ CG'!$A$4:$C$36,3,0),"")</f>
        <v/>
      </c>
      <c r="S308" s="20" t="str">
        <f>IFERROR(VLOOKUP(J308,'03. THIẾT BỊ'!$B$1:$S$836,3,0),"")</f>
        <v>A22-MRT-006</v>
      </c>
      <c r="T308" s="708" t="str">
        <f t="shared" si="6"/>
        <v>ADM</v>
      </c>
      <c r="U308" s="708"/>
    </row>
    <row r="309" ht="13.8" spans="1:21">
      <c r="A309" s="19"/>
      <c r="B309" s="275"/>
      <c r="C309" s="20" t="str">
        <f>IFERROR(VLOOKUP(J309,'03. THIẾT BỊ'!$B$1:$U$836,5,0),"")</f>
        <v>SMRM rải thức ăn TMR 50M3</v>
      </c>
      <c r="D309" s="19">
        <v>1</v>
      </c>
      <c r="E309" s="19"/>
      <c r="F309" s="19"/>
      <c r="G309" s="19"/>
      <c r="H309" s="19">
        <f>IFERROR(VLOOKUP(J309,'03. THIẾT BỊ'!$B$1:$U$836,19,0),"")</f>
        <v>5.25</v>
      </c>
      <c r="I309" s="19" t="str">
        <f>IFERROR(VLOOKUP(J309,'03. THIẾT BỊ'!$B$1:$U$836,20,0),"")</f>
        <v>84 tấn/8h</v>
      </c>
      <c r="J309" s="20" t="s">
        <v>5386</v>
      </c>
      <c r="K309" s="721" t="s">
        <v>5978</v>
      </c>
      <c r="L309" s="721"/>
      <c r="M309" s="19"/>
      <c r="N309" s="19" t="str">
        <f>IFERROR(VLOOKUP(J309,'03. THIẾT BỊ'!$B$1:$U$836,4,0),"")</f>
        <v>MUA MỚI</v>
      </c>
      <c r="O309" s="19" t="str">
        <f>IFERROR(VLOOKUP(J309,'03. THIẾT BỊ'!$B$1:$U$836,7,0),"")</f>
        <v>XN Bò AD</v>
      </c>
      <c r="P309" s="353" t="str">
        <f>IFERROR(VLOOKUP(O309,'NS QUẢN LÝ CG'!$A$4:$D$36,2,0),"")</f>
        <v/>
      </c>
      <c r="Q309" s="353" t="str">
        <f>IFERROR(VLOOKUP(O309,'NS QUẢN LÝ CG'!$A$4:$D$36,4,0),"")</f>
        <v/>
      </c>
      <c r="R309" s="353" t="str">
        <f>IFERROR(VLOOKUP(O309,'NS QUẢN LÝ CG'!$A$4:$C$36,3,0),"")</f>
        <v/>
      </c>
      <c r="S309" s="20" t="str">
        <f>IFERROR(VLOOKUP(J309,'03. THIẾT BỊ'!$B$1:$S$836,3,0),"")</f>
        <v>A22-MRT-007</v>
      </c>
      <c r="T309" s="708" t="str">
        <f t="shared" si="6"/>
        <v>ADM</v>
      </c>
      <c r="U309" s="708"/>
    </row>
    <row r="310" ht="13.8" spans="1:21">
      <c r="A310" s="19"/>
      <c r="B310" s="275"/>
      <c r="C310" s="20" t="str">
        <f>IFERROR(VLOOKUP(J310,'03. THIẾT BỊ'!$B$1:$U$836,5,0),"")</f>
        <v>SMRM rải thức ăn TMR 50M3</v>
      </c>
      <c r="D310" s="19">
        <v>1</v>
      </c>
      <c r="E310" s="19"/>
      <c r="F310" s="19"/>
      <c r="G310" s="19"/>
      <c r="H310" s="19">
        <f>IFERROR(VLOOKUP(J310,'03. THIẾT BỊ'!$B$1:$U$836,19,0),"")</f>
        <v>5.25</v>
      </c>
      <c r="I310" s="19" t="str">
        <f>IFERROR(VLOOKUP(J310,'03. THIẾT BỊ'!$B$1:$U$836,20,0),"")</f>
        <v>84 tấn/8h</v>
      </c>
      <c r="J310" s="20" t="s">
        <v>5389</v>
      </c>
      <c r="K310" s="721" t="s">
        <v>5978</v>
      </c>
      <c r="L310" s="721"/>
      <c r="M310" s="19"/>
      <c r="N310" s="19" t="str">
        <f>IFERROR(VLOOKUP(J310,'03. THIẾT BỊ'!$B$1:$U$836,4,0),"")</f>
        <v>MUA MỚI</v>
      </c>
      <c r="O310" s="19" t="str">
        <f>IFERROR(VLOOKUP(J310,'03. THIẾT BỊ'!$B$1:$U$836,7,0),"")</f>
        <v>XN Bò AD</v>
      </c>
      <c r="P310" s="353" t="str">
        <f>IFERROR(VLOOKUP(O310,'NS QUẢN LÝ CG'!$A$4:$D$36,2,0),"")</f>
        <v/>
      </c>
      <c r="Q310" s="353" t="str">
        <f>IFERROR(VLOOKUP(O310,'NS QUẢN LÝ CG'!$A$4:$D$36,4,0),"")</f>
        <v/>
      </c>
      <c r="R310" s="353" t="str">
        <f>IFERROR(VLOOKUP(O310,'NS QUẢN LÝ CG'!$A$4:$C$36,3,0),"")</f>
        <v/>
      </c>
      <c r="S310" s="20" t="str">
        <f>IFERROR(VLOOKUP(J310,'03. THIẾT BỊ'!$B$1:$S$836,3,0),"")</f>
        <v>A22-MRT-008</v>
      </c>
      <c r="T310" s="708" t="str">
        <f t="shared" si="6"/>
        <v>ADM</v>
      </c>
      <c r="U310" s="708"/>
    </row>
    <row r="311" ht="13.8" spans="1:21">
      <c r="A311" s="19"/>
      <c r="B311" s="278"/>
      <c r="C311" s="20" t="str">
        <f>IFERROR(VLOOKUP(J311,'03. THIẾT BỊ'!$B$1:$U$836,5,0),"")</f>
        <v>SMRM rải thức ăn TMR 50M3</v>
      </c>
      <c r="D311" s="19">
        <v>1</v>
      </c>
      <c r="E311" s="19"/>
      <c r="F311" s="19"/>
      <c r="G311" s="19"/>
      <c r="H311" s="19">
        <f>IFERROR(VLOOKUP(J311,'03. THIẾT BỊ'!$B$1:$U$836,19,0),"")</f>
        <v>5.25</v>
      </c>
      <c r="I311" s="19" t="str">
        <f>IFERROR(VLOOKUP(J311,'03. THIẾT BỊ'!$B$1:$U$836,20,0),"")</f>
        <v>84 tấn/8h</v>
      </c>
      <c r="J311" s="20" t="s">
        <v>5392</v>
      </c>
      <c r="K311" s="19"/>
      <c r="L311" s="19"/>
      <c r="M311" s="19"/>
      <c r="N311" s="19" t="str">
        <f>IFERROR(VLOOKUP(J311,'03. THIẾT BỊ'!$B$1:$U$836,4,0),"")</f>
        <v>MUA MỚI</v>
      </c>
      <c r="O311" s="19" t="str">
        <f>IFERROR(VLOOKUP(J311,'03. THIẾT BỊ'!$B$1:$U$836,7,0),"")</f>
        <v>XN Bò AD</v>
      </c>
      <c r="P311" s="353" t="str">
        <f>IFERROR(VLOOKUP(O311,'NS QUẢN LÝ CG'!$A$4:$D$36,2,0),"")</f>
        <v/>
      </c>
      <c r="Q311" s="353" t="str">
        <f>IFERROR(VLOOKUP(O311,'NS QUẢN LÝ CG'!$A$4:$D$36,4,0),"")</f>
        <v/>
      </c>
      <c r="R311" s="353" t="str">
        <f>IFERROR(VLOOKUP(O311,'NS QUẢN LÝ CG'!$A$4:$C$36,3,0),"")</f>
        <v/>
      </c>
      <c r="S311" s="20" t="str">
        <f>IFERROR(VLOOKUP(J311,'03. THIẾT BỊ'!$B$1:$S$836,3,0),"")</f>
        <v>A22-MRT-009</v>
      </c>
      <c r="T311" s="708" t="str">
        <f t="shared" si="6"/>
        <v>ADM</v>
      </c>
      <c r="U311" s="708"/>
    </row>
    <row r="312" ht="13.8" spans="1:21">
      <c r="A312" s="19"/>
      <c r="B312" s="713"/>
      <c r="C312" s="20" t="str">
        <f>IFERROR(VLOOKUP(J312,'03. THIẾT BỊ'!$B$1:$U$836,5,0),"")</f>
        <v/>
      </c>
      <c r="D312" s="19"/>
      <c r="E312" s="19"/>
      <c r="F312" s="19"/>
      <c r="G312" s="19"/>
      <c r="H312" s="19" t="str">
        <f>IFERROR(VLOOKUP(J312,'03. THIẾT BỊ'!$B$1:$U$836,19,0),"")</f>
        <v/>
      </c>
      <c r="I312" s="19" t="str">
        <f>IFERROR(VLOOKUP(J312,'03. THIẾT BỊ'!$B$1:$U$836,20,0),"")</f>
        <v/>
      </c>
      <c r="J312" s="20"/>
      <c r="K312" s="19"/>
      <c r="L312" s="19"/>
      <c r="M312" s="19"/>
      <c r="N312" s="19" t="str">
        <f>IFERROR(VLOOKUP(J312,'03. THIẾT BỊ'!$B$1:$U$836,4,0),"")</f>
        <v/>
      </c>
      <c r="O312" s="19" t="str">
        <f>IFERROR(VLOOKUP(J312,'03. THIẾT BỊ'!$B$1:$U$836,7,0),"")</f>
        <v/>
      </c>
      <c r="P312" s="20"/>
      <c r="Q312" s="20"/>
      <c r="R312" s="20"/>
      <c r="S312" s="20" t="str">
        <f>IFERROR(VLOOKUP(J312,'03. THIẾT BỊ'!$B$1:$S$836,3,0),"")</f>
        <v/>
      </c>
      <c r="T312" s="708"/>
      <c r="U312" s="708"/>
    </row>
    <row r="313" ht="13.8" spans="1:21">
      <c r="A313" s="19"/>
      <c r="B313" s="713"/>
      <c r="C313" s="20" t="str">
        <f>IFERROR(VLOOKUP(J313,'03. THIẾT BỊ'!$B$1:$U$836,5,0),"")</f>
        <v/>
      </c>
      <c r="D313" s="19"/>
      <c r="E313" s="19"/>
      <c r="F313" s="19"/>
      <c r="G313" s="19"/>
      <c r="H313" s="19" t="str">
        <f>IFERROR(VLOOKUP(J313,'03. THIẾT BỊ'!$B$1:$U$836,19,0),"")</f>
        <v/>
      </c>
      <c r="I313" s="19" t="str">
        <f>IFERROR(VLOOKUP(J313,'03. THIẾT BỊ'!$B$1:$U$836,20,0),"")</f>
        <v/>
      </c>
      <c r="J313" s="20"/>
      <c r="K313" s="19"/>
      <c r="L313" s="19"/>
      <c r="M313" s="19"/>
      <c r="N313" s="19" t="str">
        <f>IFERROR(VLOOKUP(J313,'03. THIẾT BỊ'!$B$1:$U$836,4,0),"")</f>
        <v/>
      </c>
      <c r="O313" s="19" t="str">
        <f>IFERROR(VLOOKUP(J313,'03. THIẾT BỊ'!$B$1:$U$836,7,0),"")</f>
        <v/>
      </c>
      <c r="P313" s="20"/>
      <c r="Q313" s="20"/>
      <c r="R313" s="20"/>
      <c r="S313" s="20" t="str">
        <f>IFERROR(VLOOKUP(J313,'03. THIẾT BỊ'!$B$1:$S$836,3,0),"")</f>
        <v/>
      </c>
      <c r="T313" s="708"/>
      <c r="U313" s="708"/>
    </row>
    <row r="314" ht="13.8" spans="1:21">
      <c r="A314" s="705" t="s">
        <v>6050</v>
      </c>
      <c r="B314" s="271"/>
      <c r="C314" s="272"/>
      <c r="D314" s="26">
        <f>SUM(D315:D324)</f>
        <v>10</v>
      </c>
      <c r="E314" s="30"/>
      <c r="F314" s="30"/>
      <c r="G314" s="30"/>
      <c r="H314" s="30"/>
      <c r="I314" s="30"/>
      <c r="J314" s="29"/>
      <c r="K314" s="30"/>
      <c r="L314" s="30"/>
      <c r="M314" s="30"/>
      <c r="N314" s="29"/>
      <c r="O314" s="720"/>
      <c r="P314" s="29"/>
      <c r="Q314" s="29"/>
      <c r="R314" s="29"/>
      <c r="S314" s="29"/>
      <c r="T314" s="706"/>
      <c r="U314" s="706"/>
    </row>
    <row r="315" ht="13.8" spans="1:21">
      <c r="A315" s="19"/>
      <c r="B315" s="707" t="s">
        <v>6051</v>
      </c>
      <c r="C315" s="20" t="str">
        <f>IFERROR(VLOOKUP(J315,'03. THIẾT BỊ'!$B$1:$U$836,5,0),"")</f>
        <v>SMRM trung chuyển phân - CĐC 18/23M3</v>
      </c>
      <c r="D315" s="19">
        <v>1</v>
      </c>
      <c r="E315" s="19"/>
      <c r="F315" s="19"/>
      <c r="G315" s="19"/>
      <c r="H315" s="19">
        <f>IFERROR(VLOOKUP(J315,'03. THIẾT BỊ'!$B$1:$U$836,19,0),"")</f>
        <v>0</v>
      </c>
      <c r="I315" s="19">
        <f>IFERROR(VLOOKUP(J315,'03. THIẾT BỊ'!$B$1:$U$836,20,0),"")</f>
        <v>0</v>
      </c>
      <c r="J315" s="20" t="s">
        <v>5395</v>
      </c>
      <c r="K315" s="722" t="s">
        <v>5978</v>
      </c>
      <c r="L315" s="722"/>
      <c r="M315" s="722"/>
      <c r="N315" s="19" t="str">
        <f>IFERROR(VLOOKUP(J315,'03. THIẾT BỊ'!$B$1:$U$836,4,0),"")</f>
        <v>MUA MỚI</v>
      </c>
      <c r="O315" s="19" t="str">
        <f>IFERROR(VLOOKUP(J315,'03. THIẾT BỊ'!$B$1:$U$836,7,0),"")</f>
        <v>XN Bò AD</v>
      </c>
      <c r="P315" s="353" t="str">
        <f>IFERROR(VLOOKUP(O315,'NS QUẢN LÝ CG'!$A$4:$D$36,2,0),"")</f>
        <v/>
      </c>
      <c r="Q315" s="353" t="str">
        <f>IFERROR(VLOOKUP(O315,'NS QUẢN LÝ CG'!$A$4:$D$36,4,0),"")</f>
        <v/>
      </c>
      <c r="R315" s="353" t="str">
        <f>IFERROR(VLOOKUP(O315,'NS QUẢN LÝ CG'!$A$4:$C$36,3,0),"")</f>
        <v/>
      </c>
      <c r="S315" s="20" t="str">
        <f>IFERROR(VLOOKUP(J315,'03. THIẾT BỊ'!$B$1:$S$836,3,0),"")</f>
        <v>A22-TPC-001</v>
      </c>
      <c r="T315" s="708" t="str">
        <f t="shared" ref="T315:T324" si="7">_xlfn.SWITCH(LEFT(S315,3),"A22","ADM","A23","DP","A24","LP","")</f>
        <v>ADM</v>
      </c>
      <c r="U315" s="708"/>
    </row>
    <row r="316" ht="13.8" spans="1:21">
      <c r="A316" s="19"/>
      <c r="B316" s="275"/>
      <c r="C316" s="20" t="str">
        <f>IFERROR(VLOOKUP(J316,'03. THIẾT BỊ'!$B$1:$U$836,5,0),"")</f>
        <v>SMRM trung chuyển phân - CĐC 45M3</v>
      </c>
      <c r="D316" s="19">
        <v>1</v>
      </c>
      <c r="E316" s="19"/>
      <c r="F316" s="19"/>
      <c r="G316" s="19"/>
      <c r="H316" s="19">
        <f>IFERROR(VLOOKUP(J316,'03. THIẾT BỊ'!$B$1:$U$836,19,0),"")</f>
        <v>0</v>
      </c>
      <c r="I316" s="19">
        <f>IFERROR(VLOOKUP(J316,'03. THIẾT BỊ'!$B$1:$U$836,20,0),"")</f>
        <v>0</v>
      </c>
      <c r="J316" s="20" t="s">
        <v>5398</v>
      </c>
      <c r="K316" s="722" t="s">
        <v>5978</v>
      </c>
      <c r="L316" s="722"/>
      <c r="M316" s="722"/>
      <c r="N316" s="19" t="str">
        <f>IFERROR(VLOOKUP(J316,'03. THIẾT BỊ'!$B$1:$U$836,4,0),"")</f>
        <v>MUA MỚI</v>
      </c>
      <c r="O316" s="19" t="str">
        <f>IFERROR(VLOOKUP(J316,'03. THIẾT BỊ'!$B$1:$U$836,7,0),"")</f>
        <v>XN Bò AD</v>
      </c>
      <c r="P316" s="353" t="str">
        <f>IFERROR(VLOOKUP(O316,'NS QUẢN LÝ CG'!$A$4:$D$36,2,0),"")</f>
        <v/>
      </c>
      <c r="Q316" s="353" t="str">
        <f>IFERROR(VLOOKUP(O316,'NS QUẢN LÝ CG'!$A$4:$D$36,4,0),"")</f>
        <v/>
      </c>
      <c r="R316" s="353" t="str">
        <f>IFERROR(VLOOKUP(O316,'NS QUẢN LÝ CG'!$A$4:$C$36,3,0),"")</f>
        <v/>
      </c>
      <c r="S316" s="20" t="str">
        <f>IFERROR(VLOOKUP(J316,'03. THIẾT BỊ'!$B$1:$S$836,3,0),"")</f>
        <v>A22-TPC-002</v>
      </c>
      <c r="T316" s="708" t="str">
        <f t="shared" si="7"/>
        <v>ADM</v>
      </c>
      <c r="U316" s="708"/>
    </row>
    <row r="317" ht="13.8" spans="1:21">
      <c r="A317" s="19"/>
      <c r="B317" s="275"/>
      <c r="C317" s="20" t="str">
        <f>IFERROR(VLOOKUP(J317,'03. THIẾT BỊ'!$B$1:$U$836,5,0),"")</f>
        <v>SMRM trung chuyển phân - CĐC 45M3</v>
      </c>
      <c r="D317" s="19">
        <v>1</v>
      </c>
      <c r="E317" s="19"/>
      <c r="F317" s="19"/>
      <c r="G317" s="19"/>
      <c r="H317" s="19">
        <f>IFERROR(VLOOKUP(J317,'03. THIẾT BỊ'!$B$1:$U$836,19,0),"")</f>
        <v>0</v>
      </c>
      <c r="I317" s="19">
        <f>IFERROR(VLOOKUP(J317,'03. THIẾT BỊ'!$B$1:$U$836,20,0),"")</f>
        <v>0</v>
      </c>
      <c r="J317" s="20" t="s">
        <v>5402</v>
      </c>
      <c r="K317" s="722" t="s">
        <v>5978</v>
      </c>
      <c r="L317" s="722"/>
      <c r="M317" s="722"/>
      <c r="N317" s="19" t="str">
        <f>IFERROR(VLOOKUP(J317,'03. THIẾT BỊ'!$B$1:$U$836,4,0),"")</f>
        <v>MUA MỚI</v>
      </c>
      <c r="O317" s="19" t="str">
        <f>IFERROR(VLOOKUP(J317,'03. THIẾT BỊ'!$B$1:$U$836,7,0),"")</f>
        <v>XN Bò AD</v>
      </c>
      <c r="P317" s="353" t="str">
        <f>IFERROR(VLOOKUP(O317,'NS QUẢN LÝ CG'!$A$4:$D$36,2,0),"")</f>
        <v/>
      </c>
      <c r="Q317" s="353" t="str">
        <f>IFERROR(VLOOKUP(O317,'NS QUẢN LÝ CG'!$A$4:$D$36,4,0),"")</f>
        <v/>
      </c>
      <c r="R317" s="353" t="str">
        <f>IFERROR(VLOOKUP(O317,'NS QUẢN LÝ CG'!$A$4:$C$36,3,0),"")</f>
        <v/>
      </c>
      <c r="S317" s="20" t="str">
        <f>IFERROR(VLOOKUP(J317,'03. THIẾT BỊ'!$B$1:$S$836,3,0),"")</f>
        <v>A22-TPC-003</v>
      </c>
      <c r="T317" s="708" t="str">
        <f t="shared" si="7"/>
        <v>ADM</v>
      </c>
      <c r="U317" s="708"/>
    </row>
    <row r="318" ht="13.8" spans="1:21">
      <c r="A318" s="19"/>
      <c r="B318" s="275"/>
      <c r="C318" s="20" t="str">
        <f>IFERROR(VLOOKUP(J318,'03. THIẾT BỊ'!$B$1:$U$836,5,0),"")</f>
        <v>SMRM trung chuyển phân - CĐC 45M3</v>
      </c>
      <c r="D318" s="19">
        <v>1</v>
      </c>
      <c r="E318" s="19"/>
      <c r="F318" s="19"/>
      <c r="G318" s="19"/>
      <c r="H318" s="19">
        <f>IFERROR(VLOOKUP(J318,'03. THIẾT BỊ'!$B$1:$U$836,19,0),"")</f>
        <v>0</v>
      </c>
      <c r="I318" s="19">
        <f>IFERROR(VLOOKUP(J318,'03. THIẾT BỊ'!$B$1:$U$836,20,0),"")</f>
        <v>0</v>
      </c>
      <c r="J318" s="20" t="s">
        <v>5405</v>
      </c>
      <c r="K318" s="722"/>
      <c r="L318" s="722" t="s">
        <v>5978</v>
      </c>
      <c r="M318" s="722"/>
      <c r="N318" s="19" t="str">
        <f>IFERROR(VLOOKUP(J318,'03. THIẾT BỊ'!$B$1:$U$836,4,0),"")</f>
        <v>MUA MỚI</v>
      </c>
      <c r="O318" s="19" t="str">
        <f>IFERROR(VLOOKUP(J318,'03. THIẾT BỊ'!$B$1:$U$836,7,0),"")</f>
        <v>XN Bò AD</v>
      </c>
      <c r="P318" s="353" t="str">
        <f>IFERROR(VLOOKUP(O318,'NS QUẢN LÝ CG'!$A$4:$D$36,2,0),"")</f>
        <v/>
      </c>
      <c r="Q318" s="353" t="str">
        <f>IFERROR(VLOOKUP(O318,'NS QUẢN LÝ CG'!$A$4:$D$36,4,0),"")</f>
        <v/>
      </c>
      <c r="R318" s="353" t="str">
        <f>IFERROR(VLOOKUP(O318,'NS QUẢN LÝ CG'!$A$4:$C$36,3,0),"")</f>
        <v/>
      </c>
      <c r="S318" s="20" t="str">
        <f>IFERROR(VLOOKUP(J318,'03. THIẾT BỊ'!$B$1:$S$836,3,0),"")</f>
        <v>A22-TPC-004</v>
      </c>
      <c r="T318" s="708" t="str">
        <f t="shared" si="7"/>
        <v>ADM</v>
      </c>
      <c r="U318" s="708"/>
    </row>
    <row r="319" ht="13.8" spans="1:21">
      <c r="A319" s="19"/>
      <c r="B319" s="275"/>
      <c r="C319" s="20" t="str">
        <f>IFERROR(VLOOKUP(J319,'03. THIẾT BỊ'!$B$1:$U$836,5,0),"")</f>
        <v>SMRM trung chuyển phân - CĐC 45M3</v>
      </c>
      <c r="D319" s="19">
        <v>1</v>
      </c>
      <c r="E319" s="19"/>
      <c r="F319" s="19"/>
      <c r="G319" s="19"/>
      <c r="H319" s="19">
        <f>IFERROR(VLOOKUP(J319,'03. THIẾT BỊ'!$B$1:$U$836,19,0),"")</f>
        <v>0</v>
      </c>
      <c r="I319" s="19">
        <f>IFERROR(VLOOKUP(J319,'03. THIẾT BỊ'!$B$1:$U$836,20,0),"")</f>
        <v>0</v>
      </c>
      <c r="J319" s="20" t="s">
        <v>5408</v>
      </c>
      <c r="K319" s="722"/>
      <c r="L319" s="722" t="s">
        <v>5978</v>
      </c>
      <c r="M319" s="722"/>
      <c r="N319" s="19" t="str">
        <f>IFERROR(VLOOKUP(J319,'03. THIẾT BỊ'!$B$1:$U$836,4,0),"")</f>
        <v>MUA MỚI</v>
      </c>
      <c r="O319" s="19" t="str">
        <f>IFERROR(VLOOKUP(J319,'03. THIẾT BỊ'!$B$1:$U$836,7,0),"")</f>
        <v>XN Bò AD</v>
      </c>
      <c r="P319" s="353" t="str">
        <f>IFERROR(VLOOKUP(O319,'NS QUẢN LÝ CG'!$A$4:$D$36,2,0),"")</f>
        <v/>
      </c>
      <c r="Q319" s="353" t="str">
        <f>IFERROR(VLOOKUP(O319,'NS QUẢN LÝ CG'!$A$4:$D$36,4,0),"")</f>
        <v/>
      </c>
      <c r="R319" s="353" t="str">
        <f>IFERROR(VLOOKUP(O319,'NS QUẢN LÝ CG'!$A$4:$C$36,3,0),"")</f>
        <v/>
      </c>
      <c r="S319" s="20" t="str">
        <f>IFERROR(VLOOKUP(J319,'03. THIẾT BỊ'!$B$1:$S$836,3,0),"")</f>
        <v>A22-TPC-005</v>
      </c>
      <c r="T319" s="708" t="str">
        <f t="shared" si="7"/>
        <v>ADM</v>
      </c>
      <c r="U319" s="708"/>
    </row>
    <row r="320" ht="13.8" spans="1:21">
      <c r="A320" s="19"/>
      <c r="B320" s="275"/>
      <c r="C320" s="20" t="str">
        <f>IFERROR(VLOOKUP(J320,'03. THIẾT BỊ'!$B$1:$U$836,5,0),"")</f>
        <v>SMRM trung chuyển phân - CĐC 45M3</v>
      </c>
      <c r="D320" s="19">
        <v>1</v>
      </c>
      <c r="E320" s="19"/>
      <c r="F320" s="19"/>
      <c r="G320" s="19"/>
      <c r="H320" s="19">
        <f>IFERROR(VLOOKUP(J320,'03. THIẾT BỊ'!$B$1:$U$836,19,0),"")</f>
        <v>0</v>
      </c>
      <c r="I320" s="19">
        <f>IFERROR(VLOOKUP(J320,'03. THIẾT BỊ'!$B$1:$U$836,20,0),"")</f>
        <v>0</v>
      </c>
      <c r="J320" s="20" t="s">
        <v>5411</v>
      </c>
      <c r="K320" s="722" t="s">
        <v>5978</v>
      </c>
      <c r="L320" s="722"/>
      <c r="M320" s="722"/>
      <c r="N320" s="19" t="str">
        <f>IFERROR(VLOOKUP(J320,'03. THIẾT BỊ'!$B$1:$U$836,4,0),"")</f>
        <v>MUA MỚI</v>
      </c>
      <c r="O320" s="19" t="str">
        <f>IFERROR(VLOOKUP(J320,'03. THIẾT BỊ'!$B$1:$U$836,7,0),"")</f>
        <v>XN Bò AD</v>
      </c>
      <c r="P320" s="353" t="str">
        <f>IFERROR(VLOOKUP(O320,'NS QUẢN LÝ CG'!$A$4:$D$36,2,0),"")</f>
        <v/>
      </c>
      <c r="Q320" s="353" t="str">
        <f>IFERROR(VLOOKUP(O320,'NS QUẢN LÝ CG'!$A$4:$D$36,4,0),"")</f>
        <v/>
      </c>
      <c r="R320" s="353" t="str">
        <f>IFERROR(VLOOKUP(O320,'NS QUẢN LÝ CG'!$A$4:$C$36,3,0),"")</f>
        <v/>
      </c>
      <c r="S320" s="20" t="str">
        <f>IFERROR(VLOOKUP(J320,'03. THIẾT BỊ'!$B$1:$S$836,3,0),"")</f>
        <v>A22-TPC-006</v>
      </c>
      <c r="T320" s="708" t="str">
        <f t="shared" si="7"/>
        <v>ADM</v>
      </c>
      <c r="U320" s="708"/>
    </row>
    <row r="321" ht="13.8" spans="1:21">
      <c r="A321" s="19"/>
      <c r="B321" s="275"/>
      <c r="C321" s="20" t="str">
        <f>IFERROR(VLOOKUP(J321,'03. THIẾT BỊ'!$B$1:$U$836,5,0),"")</f>
        <v>SMRM trung chuyển phân - CĐC 45M3</v>
      </c>
      <c r="D321" s="19">
        <v>1</v>
      </c>
      <c r="E321" s="19"/>
      <c r="F321" s="19"/>
      <c r="G321" s="19"/>
      <c r="H321" s="19">
        <f>IFERROR(VLOOKUP(J321,'03. THIẾT BỊ'!$B$1:$U$836,19,0),"")</f>
        <v>0</v>
      </c>
      <c r="I321" s="19">
        <f>IFERROR(VLOOKUP(J321,'03. THIẾT BỊ'!$B$1:$U$836,20,0),"")</f>
        <v>0</v>
      </c>
      <c r="J321" s="20" t="s">
        <v>5414</v>
      </c>
      <c r="K321" s="722"/>
      <c r="L321" s="722" t="s">
        <v>5978</v>
      </c>
      <c r="M321" s="722"/>
      <c r="N321" s="19" t="str">
        <f>IFERROR(VLOOKUP(J321,'03. THIẾT BỊ'!$B$1:$U$836,4,0),"")</f>
        <v>MUA MỚI</v>
      </c>
      <c r="O321" s="19" t="str">
        <f>IFERROR(VLOOKUP(J321,'03. THIẾT BỊ'!$B$1:$U$836,7,0),"")</f>
        <v>XN Bò AD</v>
      </c>
      <c r="P321" s="353" t="str">
        <f>IFERROR(VLOOKUP(O321,'NS QUẢN LÝ CG'!$A$4:$D$36,2,0),"")</f>
        <v/>
      </c>
      <c r="Q321" s="353" t="str">
        <f>IFERROR(VLOOKUP(O321,'NS QUẢN LÝ CG'!$A$4:$D$36,4,0),"")</f>
        <v/>
      </c>
      <c r="R321" s="353" t="str">
        <f>IFERROR(VLOOKUP(O321,'NS QUẢN LÝ CG'!$A$4:$C$36,3,0),"")</f>
        <v/>
      </c>
      <c r="S321" s="20" t="str">
        <f>IFERROR(VLOOKUP(J321,'03. THIẾT BỊ'!$B$1:$S$836,3,0),"")</f>
        <v>A22-TPC-007</v>
      </c>
      <c r="T321" s="708" t="str">
        <f t="shared" si="7"/>
        <v>ADM</v>
      </c>
      <c r="U321" s="708"/>
    </row>
    <row r="322" ht="13.8" spans="1:21">
      <c r="A322" s="19"/>
      <c r="B322" s="275"/>
      <c r="C322" s="20" t="str">
        <f>IFERROR(VLOOKUP(J322,'03. THIẾT BỊ'!$B$1:$U$836,5,0),"")</f>
        <v>SMRM trung chuyển phân - CĐC 45M3</v>
      </c>
      <c r="D322" s="19">
        <v>1</v>
      </c>
      <c r="E322" s="19"/>
      <c r="F322" s="19"/>
      <c r="G322" s="19"/>
      <c r="H322" s="19">
        <f>IFERROR(VLOOKUP(J322,'03. THIẾT BỊ'!$B$1:$U$836,19,0),"")</f>
        <v>0</v>
      </c>
      <c r="I322" s="19">
        <f>IFERROR(VLOOKUP(J322,'03. THIẾT BỊ'!$B$1:$U$836,20,0),"")</f>
        <v>0</v>
      </c>
      <c r="J322" s="20" t="s">
        <v>5417</v>
      </c>
      <c r="K322" s="722" t="s">
        <v>5978</v>
      </c>
      <c r="L322" s="722"/>
      <c r="M322" s="722"/>
      <c r="N322" s="19" t="str">
        <f>IFERROR(VLOOKUP(J322,'03. THIẾT BỊ'!$B$1:$U$836,4,0),"")</f>
        <v>MUA MỚI</v>
      </c>
      <c r="O322" s="19" t="str">
        <f>IFERROR(VLOOKUP(J322,'03. THIẾT BỊ'!$B$1:$U$836,7,0),"")</f>
        <v>XN Bò AD</v>
      </c>
      <c r="P322" s="353" t="str">
        <f>IFERROR(VLOOKUP(O322,'NS QUẢN LÝ CG'!$A$4:$D$36,2,0),"")</f>
        <v/>
      </c>
      <c r="Q322" s="353" t="str">
        <f>IFERROR(VLOOKUP(O322,'NS QUẢN LÝ CG'!$A$4:$D$36,4,0),"")</f>
        <v/>
      </c>
      <c r="R322" s="353" t="str">
        <f>IFERROR(VLOOKUP(O322,'NS QUẢN LÝ CG'!$A$4:$C$36,3,0),"")</f>
        <v/>
      </c>
      <c r="S322" s="20" t="str">
        <f>IFERROR(VLOOKUP(J322,'03. THIẾT BỊ'!$B$1:$S$836,3,0),"")</f>
        <v>A22-TPC-008</v>
      </c>
      <c r="T322" s="708" t="str">
        <f t="shared" si="7"/>
        <v>ADM</v>
      </c>
      <c r="U322" s="708"/>
    </row>
    <row r="323" ht="13.8" spans="1:21">
      <c r="A323" s="19"/>
      <c r="B323" s="275"/>
      <c r="C323" s="20" t="str">
        <f>IFERROR(VLOOKUP(J323,'03. THIẾT BỊ'!$B$1:$U$836,5,0),"")</f>
        <v>SMRM trung chuyển phân - CĐC 45M3</v>
      </c>
      <c r="D323" s="19">
        <v>1</v>
      </c>
      <c r="E323" s="19"/>
      <c r="F323" s="19"/>
      <c r="G323" s="19"/>
      <c r="H323" s="19">
        <f>IFERROR(VLOOKUP(J323,'03. THIẾT BỊ'!$B$1:$U$836,19,0),"")</f>
        <v>0</v>
      </c>
      <c r="I323" s="19">
        <f>IFERROR(VLOOKUP(J323,'03. THIẾT BỊ'!$B$1:$U$836,20,0),"")</f>
        <v>0</v>
      </c>
      <c r="J323" s="20" t="s">
        <v>5420</v>
      </c>
      <c r="K323" s="722" t="s">
        <v>5978</v>
      </c>
      <c r="L323" s="722"/>
      <c r="M323" s="722"/>
      <c r="N323" s="19" t="str">
        <f>IFERROR(VLOOKUP(J323,'03. THIẾT BỊ'!$B$1:$U$836,4,0),"")</f>
        <v>MUA MỚI</v>
      </c>
      <c r="O323" s="19" t="str">
        <f>IFERROR(VLOOKUP(J323,'03. THIẾT BỊ'!$B$1:$U$836,7,0),"")</f>
        <v>XN Bò AD</v>
      </c>
      <c r="P323" s="353" t="str">
        <f>IFERROR(VLOOKUP(O323,'NS QUẢN LÝ CG'!$A$4:$D$36,2,0),"")</f>
        <v/>
      </c>
      <c r="Q323" s="353" t="str">
        <f>IFERROR(VLOOKUP(O323,'NS QUẢN LÝ CG'!$A$4:$D$36,4,0),"")</f>
        <v/>
      </c>
      <c r="R323" s="353" t="str">
        <f>IFERROR(VLOOKUP(O323,'NS QUẢN LÝ CG'!$A$4:$C$36,3,0),"")</f>
        <v/>
      </c>
      <c r="S323" s="20" t="str">
        <f>IFERROR(VLOOKUP(J323,'03. THIẾT BỊ'!$B$1:$S$836,3,0),"")</f>
        <v>A22-TPC-009</v>
      </c>
      <c r="T323" s="708" t="str">
        <f t="shared" si="7"/>
        <v>ADM</v>
      </c>
      <c r="U323" s="708"/>
    </row>
    <row r="324" ht="13.8" spans="1:21">
      <c r="A324" s="19"/>
      <c r="B324" s="278"/>
      <c r="C324" s="20" t="str">
        <f>IFERROR(VLOOKUP(J324,'03. THIẾT BỊ'!$B$1:$U$836,5,0),"")</f>
        <v>SMRM trung chuyển phân - CĐC 45M3</v>
      </c>
      <c r="D324" s="19">
        <v>1</v>
      </c>
      <c r="E324" s="19"/>
      <c r="F324" s="19"/>
      <c r="G324" s="19"/>
      <c r="H324" s="19">
        <f>IFERROR(VLOOKUP(J324,'03. THIẾT BỊ'!$B$1:$U$836,19,0),"")</f>
        <v>0</v>
      </c>
      <c r="I324" s="19">
        <f>IFERROR(VLOOKUP(J324,'03. THIẾT BỊ'!$B$1:$U$836,20,0),"")</f>
        <v>0</v>
      </c>
      <c r="J324" s="20" t="s">
        <v>5423</v>
      </c>
      <c r="K324" s="722" t="s">
        <v>5978</v>
      </c>
      <c r="L324" s="722"/>
      <c r="M324" s="722"/>
      <c r="N324" s="19" t="str">
        <f>IFERROR(VLOOKUP(J324,'03. THIẾT BỊ'!$B$1:$U$836,4,0),"")</f>
        <v>MUA MỚI</v>
      </c>
      <c r="O324" s="19" t="str">
        <f>IFERROR(VLOOKUP(J324,'03. THIẾT BỊ'!$B$1:$U$836,7,0),"")</f>
        <v>XN Bò AD</v>
      </c>
      <c r="P324" s="353" t="str">
        <f>IFERROR(VLOOKUP(O324,'NS QUẢN LÝ CG'!$A$4:$D$36,2,0),"")</f>
        <v/>
      </c>
      <c r="Q324" s="353" t="str">
        <f>IFERROR(VLOOKUP(O324,'NS QUẢN LÝ CG'!$A$4:$D$36,4,0),"")</f>
        <v/>
      </c>
      <c r="R324" s="353" t="str">
        <f>IFERROR(VLOOKUP(O324,'NS QUẢN LÝ CG'!$A$4:$C$36,3,0),"")</f>
        <v/>
      </c>
      <c r="S324" s="20" t="str">
        <f>IFERROR(VLOOKUP(J324,'03. THIẾT BỊ'!$B$1:$S$836,3,0),"")</f>
        <v>A22-TPC-010</v>
      </c>
      <c r="T324" s="708" t="str">
        <f t="shared" si="7"/>
        <v>ADM</v>
      </c>
      <c r="U324" s="708"/>
    </row>
    <row r="325" ht="13.8" spans="1:21">
      <c r="A325" s="19"/>
      <c r="B325" s="713"/>
      <c r="C325" s="20"/>
      <c r="D325" s="19"/>
      <c r="E325" s="19"/>
      <c r="F325" s="19"/>
      <c r="G325" s="19"/>
      <c r="H325" s="19"/>
      <c r="I325" s="19"/>
      <c r="J325" s="20"/>
      <c r="K325" s="19"/>
      <c r="L325" s="19"/>
      <c r="M325" s="19"/>
      <c r="N325" s="19"/>
      <c r="O325" s="19"/>
      <c r="P325" s="20"/>
      <c r="Q325" s="20"/>
      <c r="R325" s="20"/>
      <c r="S325" s="20"/>
      <c r="T325" s="708"/>
      <c r="U325" s="708"/>
    </row>
    <row r="326" ht="13.8" spans="1:21">
      <c r="A326" s="19"/>
      <c r="B326" s="713"/>
      <c r="C326" s="20"/>
      <c r="D326" s="19"/>
      <c r="E326" s="19"/>
      <c r="F326" s="19"/>
      <c r="G326" s="19"/>
      <c r="H326" s="19"/>
      <c r="I326" s="19"/>
      <c r="J326" s="20"/>
      <c r="K326" s="19"/>
      <c r="L326" s="19"/>
      <c r="M326" s="19"/>
      <c r="N326" s="19"/>
      <c r="O326" s="19"/>
      <c r="P326" s="20"/>
      <c r="Q326" s="20"/>
      <c r="R326" s="20"/>
      <c r="S326" s="20"/>
      <c r="T326" s="708"/>
      <c r="U326" s="708"/>
    </row>
    <row r="327" ht="13.8" spans="1:21">
      <c r="A327" s="715" t="s">
        <v>6052</v>
      </c>
      <c r="B327" s="271"/>
      <c r="C327" s="272"/>
      <c r="D327" s="723">
        <f>SUM(D328:D329)</f>
        <v>140</v>
      </c>
      <c r="E327" s="716"/>
      <c r="F327" s="716"/>
      <c r="G327" s="716"/>
      <c r="H327" s="716"/>
      <c r="I327" s="716"/>
      <c r="J327" s="717"/>
      <c r="K327" s="718"/>
      <c r="L327" s="718"/>
      <c r="M327" s="716"/>
      <c r="N327" s="717"/>
      <c r="O327" s="717"/>
      <c r="P327" s="717"/>
      <c r="Q327" s="717"/>
      <c r="R327" s="717"/>
      <c r="S327" s="717"/>
      <c r="T327" s="719"/>
      <c r="U327" s="719"/>
    </row>
    <row r="328" ht="13.8" spans="1:21">
      <c r="A328" s="19"/>
      <c r="B328" s="713"/>
      <c r="C328" s="20" t="s">
        <v>6053</v>
      </c>
      <c r="D328" s="19">
        <v>9</v>
      </c>
      <c r="E328" s="19"/>
      <c r="F328" s="19" t="s">
        <v>5978</v>
      </c>
      <c r="G328" s="19"/>
      <c r="H328" s="19"/>
      <c r="I328" s="19"/>
      <c r="J328" s="20"/>
      <c r="K328" s="19" t="s">
        <v>5978</v>
      </c>
      <c r="L328" s="19"/>
      <c r="M328" s="19"/>
      <c r="N328" s="19"/>
      <c r="O328" s="19"/>
      <c r="P328" s="353" t="str">
        <f>IFERROR(VLOOKUP(O328,'NS QUẢN LÝ CG'!$A$4:$D$36,2,0),"")</f>
        <v/>
      </c>
      <c r="Q328" s="353" t="str">
        <f>IFERROR(VLOOKUP(O328,'NS QUẢN LÝ CG'!$A$4:$D$36,4,0),"")</f>
        <v/>
      </c>
      <c r="R328" s="353" t="str">
        <f>IFERROR(VLOOKUP(O328,'NS QUẢN LÝ CG'!$A$4:$C$36,3,0),"")</f>
        <v/>
      </c>
      <c r="S328" s="20"/>
      <c r="T328" s="708"/>
      <c r="U328" s="708"/>
    </row>
    <row r="329" ht="13.8" spans="1:21">
      <c r="A329" s="19"/>
      <c r="B329" s="713"/>
      <c r="C329" s="20" t="s">
        <v>6054</v>
      </c>
      <c r="D329" s="19">
        <v>131</v>
      </c>
      <c r="E329" s="19"/>
      <c r="F329" s="19" t="s">
        <v>5978</v>
      </c>
      <c r="G329" s="19"/>
      <c r="H329" s="19">
        <v>1</v>
      </c>
      <c r="I329" s="19" t="s">
        <v>6030</v>
      </c>
      <c r="J329" s="20"/>
      <c r="K329" s="19" t="s">
        <v>5978</v>
      </c>
      <c r="L329" s="19"/>
      <c r="M329" s="19"/>
      <c r="N329" s="19"/>
      <c r="O329" s="19"/>
      <c r="P329" s="353" t="str">
        <f>IFERROR(VLOOKUP(O329,'NS QUẢN LÝ CG'!$A$4:$D$36,2,0),"")</f>
        <v/>
      </c>
      <c r="Q329" s="353" t="str">
        <f>IFERROR(VLOOKUP(O329,'NS QUẢN LÝ CG'!$A$4:$D$36,4,0),"")</f>
        <v/>
      </c>
      <c r="R329" s="353" t="str">
        <f>IFERROR(VLOOKUP(O329,'NS QUẢN LÝ CG'!$A$4:$C$36,3,0),"")</f>
        <v/>
      </c>
      <c r="S329" s="20"/>
      <c r="T329" s="708"/>
      <c r="U329" s="708"/>
    </row>
    <row r="330" ht="13.8" spans="1:21">
      <c r="A330" s="19"/>
      <c r="B330" s="713"/>
      <c r="C330" s="20" t="str">
        <f>IFERROR(VLOOKUP(J330,'03. THIẾT BỊ'!$B$1:$U$836,5,0),"")</f>
        <v/>
      </c>
      <c r="D330" s="19"/>
      <c r="E330" s="19"/>
      <c r="F330" s="19"/>
      <c r="G330" s="19"/>
      <c r="H330" s="19" t="str">
        <f>IFERROR(VLOOKUP(J330,'03. THIẾT BỊ'!$B$1:$U$836,19,0),"")</f>
        <v/>
      </c>
      <c r="I330" s="19" t="str">
        <f>IFERROR(VLOOKUP(J330,'03. THIẾT BỊ'!$B$1:$U$836,20,0),"")</f>
        <v/>
      </c>
      <c r="J330" s="20"/>
      <c r="K330" s="19"/>
      <c r="L330" s="19"/>
      <c r="M330" s="19"/>
      <c r="N330" s="19" t="str">
        <f>IFERROR(VLOOKUP(J330,'03. THIẾT BỊ'!$B$1:$U$836,4,0),"")</f>
        <v/>
      </c>
      <c r="O330" s="19" t="str">
        <f>IFERROR(VLOOKUP(J330,'03. THIẾT BỊ'!$B$1:$U$836,7,0),"")</f>
        <v/>
      </c>
      <c r="P330" s="20"/>
      <c r="Q330" s="20"/>
      <c r="R330" s="20"/>
      <c r="S330" s="20" t="str">
        <f>IFERROR(VLOOKUP(J330,'03. THIẾT BỊ'!$B$1:$S$836,3,0),"")</f>
        <v/>
      </c>
      <c r="T330" s="708"/>
      <c r="U330" s="708"/>
    </row>
    <row r="331" ht="13.8" spans="1:21">
      <c r="A331" s="19"/>
      <c r="B331" s="713"/>
      <c r="C331" s="20" t="str">
        <f>IFERROR(VLOOKUP(J331,'03. THIẾT BỊ'!$B$1:$U$836,5,0),"")</f>
        <v/>
      </c>
      <c r="D331" s="19"/>
      <c r="E331" s="19"/>
      <c r="F331" s="19"/>
      <c r="G331" s="19"/>
      <c r="H331" s="19" t="str">
        <f>IFERROR(VLOOKUP(J331,'03. THIẾT BỊ'!$B$1:$U$836,19,0),"")</f>
        <v/>
      </c>
      <c r="I331" s="19" t="str">
        <f>IFERROR(VLOOKUP(J331,'03. THIẾT BỊ'!$B$1:$U$836,20,0),"")</f>
        <v/>
      </c>
      <c r="J331" s="20"/>
      <c r="K331" s="19"/>
      <c r="L331" s="19"/>
      <c r="M331" s="19"/>
      <c r="N331" s="19" t="str">
        <f>IFERROR(VLOOKUP(J331,'03. THIẾT BỊ'!$B$1:$U$836,4,0),"")</f>
        <v/>
      </c>
      <c r="O331" s="19" t="str">
        <f>IFERROR(VLOOKUP(J331,'03. THIẾT BỊ'!$B$1:$U$836,7,0),"")</f>
        <v/>
      </c>
      <c r="P331" s="20"/>
      <c r="Q331" s="20"/>
      <c r="R331" s="20"/>
      <c r="S331" s="20" t="str">
        <f>IFERROR(VLOOKUP(J331,'03. THIẾT BỊ'!$B$1:$S$836,3,0),"")</f>
        <v/>
      </c>
      <c r="T331" s="708"/>
      <c r="U331" s="708"/>
    </row>
    <row r="332" ht="13.8" spans="1:21">
      <c r="A332" s="19"/>
      <c r="B332" s="713"/>
      <c r="C332" s="20" t="str">
        <f>IFERROR(VLOOKUP(J332,'03. THIẾT BỊ'!$B$1:$U$836,5,0),"")</f>
        <v/>
      </c>
      <c r="D332" s="19"/>
      <c r="E332" s="19"/>
      <c r="F332" s="19"/>
      <c r="G332" s="19"/>
      <c r="H332" s="19" t="str">
        <f>IFERROR(VLOOKUP(J332,'03. THIẾT BỊ'!$B$1:$U$836,19,0),"")</f>
        <v/>
      </c>
      <c r="I332" s="19" t="str">
        <f>IFERROR(VLOOKUP(J332,'03. THIẾT BỊ'!$B$1:$U$836,20,0),"")</f>
        <v/>
      </c>
      <c r="J332" s="20"/>
      <c r="K332" s="19"/>
      <c r="L332" s="19"/>
      <c r="M332" s="19"/>
      <c r="N332" s="19" t="str">
        <f>IFERROR(VLOOKUP(J332,'03. THIẾT BỊ'!$B$1:$U$836,4,0),"")</f>
        <v/>
      </c>
      <c r="O332" s="19" t="str">
        <f>IFERROR(VLOOKUP(J332,'03. THIẾT BỊ'!$B$1:$U$836,7,0),"")</f>
        <v/>
      </c>
      <c r="P332" s="20"/>
      <c r="Q332" s="20"/>
      <c r="R332" s="20"/>
      <c r="S332" s="20" t="str">
        <f>IFERROR(VLOOKUP(J332,'03. THIẾT BỊ'!$B$1:$S$836,3,0),"")</f>
        <v/>
      </c>
      <c r="T332" s="708"/>
      <c r="U332" s="708"/>
    </row>
    <row r="333" ht="13.8" spans="1:21">
      <c r="A333" s="702" t="s">
        <v>6055</v>
      </c>
      <c r="B333" s="271"/>
      <c r="C333" s="272"/>
      <c r="D333" s="703"/>
      <c r="E333" s="703"/>
      <c r="F333" s="703"/>
      <c r="G333" s="703"/>
      <c r="H333" s="703"/>
      <c r="I333" s="703"/>
      <c r="J333" s="60"/>
      <c r="K333" s="703"/>
      <c r="L333" s="703"/>
      <c r="M333" s="703"/>
      <c r="N333" s="60"/>
      <c r="O333" s="60"/>
      <c r="P333" s="60"/>
      <c r="Q333" s="60"/>
      <c r="R333" s="60"/>
      <c r="S333" s="60"/>
      <c r="T333" s="704"/>
      <c r="U333" s="704"/>
    </row>
    <row r="334" ht="13.8" spans="1:21">
      <c r="A334" s="709" t="s">
        <v>6056</v>
      </c>
      <c r="B334" s="271"/>
      <c r="C334" s="272"/>
      <c r="D334" s="26">
        <f>SUM(D335:D345)</f>
        <v>49</v>
      </c>
      <c r="E334" s="30"/>
      <c r="F334" s="30"/>
      <c r="G334" s="30"/>
      <c r="H334" s="30"/>
      <c r="I334" s="30"/>
      <c r="J334" s="29"/>
      <c r="K334" s="30"/>
      <c r="L334" s="30"/>
      <c r="M334" s="30"/>
      <c r="N334" s="29"/>
      <c r="O334" s="29"/>
      <c r="P334" s="29"/>
      <c r="Q334" s="29"/>
      <c r="R334" s="29"/>
      <c r="S334" s="29"/>
      <c r="T334" s="706"/>
      <c r="U334" s="706"/>
    </row>
    <row r="335" ht="13.8" spans="1:21">
      <c r="A335" s="19"/>
      <c r="B335" s="707" t="s">
        <v>6057</v>
      </c>
      <c r="C335" s="20" t="str">
        <f>IFERROR(VLOOKUP(J335,'03. THIẾT BỊ'!$B$1:$U$836,5,0),"")</f>
        <v>Máy cao áp phun thuốc</v>
      </c>
      <c r="D335" s="19">
        <v>1</v>
      </c>
      <c r="E335" s="19"/>
      <c r="F335" s="19"/>
      <c r="G335" s="19"/>
      <c r="H335" s="19">
        <f>IFERROR(VLOOKUP(J335,'03. THIẾT BỊ'!$B$1:$U$836,19,0),"")</f>
        <v>0</v>
      </c>
      <c r="I335" s="19">
        <f>IFERROR(VLOOKUP(J335,'03. THIẾT BỊ'!$B$1:$U$836,20,0),"")</f>
        <v>0</v>
      </c>
      <c r="J335" s="20" t="s">
        <v>5140</v>
      </c>
      <c r="K335" s="722" t="s">
        <v>5978</v>
      </c>
      <c r="L335" s="722"/>
      <c r="M335" s="722"/>
      <c r="N335" s="19" t="str">
        <f>IFERROR(VLOOKUP(J335,'03. THIẾT BỊ'!$B$1:$U$836,4,0),"")</f>
        <v>ĐQSD</v>
      </c>
      <c r="O335" s="19" t="str">
        <f>IFERROR(VLOOKUP(J335,'03. THIẾT BỊ'!$B$1:$U$836,7,0),"")</f>
        <v>Xoài AD</v>
      </c>
      <c r="P335" s="353" t="str">
        <f>IFERROR(VLOOKUP(O335,'NS QUẢN LÝ CG'!$A$4:$D$36,2,0),"")</f>
        <v/>
      </c>
      <c r="Q335" s="353" t="str">
        <f>IFERROR(VLOOKUP(O335,'NS QUẢN LÝ CG'!$A$4:$D$36,4,0),"")</f>
        <v/>
      </c>
      <c r="R335" s="353" t="str">
        <f>IFERROR(VLOOKUP(O335,'NS QUẢN LÝ CG'!$A$4:$C$36,3,0),"")</f>
        <v/>
      </c>
      <c r="S335" s="20" t="str">
        <f>IFERROR(VLOOKUP(J335,'03. THIẾT BỊ'!$B$1:$S$836,3,0),"")</f>
        <v>A22-MCA-001</v>
      </c>
      <c r="T335" s="708" t="str">
        <f t="shared" ref="T335:T343" si="8">_xlfn.SWITCH(LEFT(S335,3),"A22","ADM","A23","DP","A24","LP","")</f>
        <v>ADM</v>
      </c>
      <c r="U335" s="708"/>
    </row>
    <row r="336" ht="13.8" spans="1:21">
      <c r="A336" s="19"/>
      <c r="B336" s="275"/>
      <c r="C336" s="20" t="str">
        <f>IFERROR(VLOOKUP(J336,'03. THIẾT BỊ'!$B$1:$U$836,5,0),"")</f>
        <v>Máy cao áp phun thuốc</v>
      </c>
      <c r="D336" s="19">
        <v>1</v>
      </c>
      <c r="E336" s="19"/>
      <c r="F336" s="19"/>
      <c r="G336" s="19"/>
      <c r="H336" s="19">
        <f>IFERROR(VLOOKUP(J336,'03. THIẾT BỊ'!$B$1:$U$836,19,0),"")</f>
        <v>0</v>
      </c>
      <c r="I336" s="19">
        <f>IFERROR(VLOOKUP(J336,'03. THIẾT BỊ'!$B$1:$U$836,20,0),"")</f>
        <v>0</v>
      </c>
      <c r="J336" s="20" t="s">
        <v>5144</v>
      </c>
      <c r="K336" s="722" t="s">
        <v>5978</v>
      </c>
      <c r="L336" s="722"/>
      <c r="M336" s="722"/>
      <c r="N336" s="19" t="str">
        <f>IFERROR(VLOOKUP(J336,'03. THIẾT BỊ'!$B$1:$U$836,4,0),"")</f>
        <v>ĐQSD</v>
      </c>
      <c r="O336" s="19" t="str">
        <f>IFERROR(VLOOKUP(J336,'03. THIẾT BỊ'!$B$1:$U$836,7,0),"")</f>
        <v>Xoài AD</v>
      </c>
      <c r="P336" s="353" t="str">
        <f>IFERROR(VLOOKUP(O336,'NS QUẢN LÝ CG'!$A$4:$D$36,2,0),"")</f>
        <v/>
      </c>
      <c r="Q336" s="353" t="str">
        <f>IFERROR(VLOOKUP(O336,'NS QUẢN LÝ CG'!$A$4:$D$36,4,0),"")</f>
        <v/>
      </c>
      <c r="R336" s="353" t="str">
        <f>IFERROR(VLOOKUP(O336,'NS QUẢN LÝ CG'!$A$4:$C$36,3,0),"")</f>
        <v/>
      </c>
      <c r="S336" s="20" t="str">
        <f>IFERROR(VLOOKUP(J336,'03. THIẾT BỊ'!$B$1:$S$836,3,0),"")</f>
        <v>A22-MCA-002</v>
      </c>
      <c r="T336" s="708" t="str">
        <f t="shared" si="8"/>
        <v>ADM</v>
      </c>
      <c r="U336" s="708"/>
    </row>
    <row r="337" ht="13.8" spans="1:21">
      <c r="A337" s="19"/>
      <c r="B337" s="275"/>
      <c r="C337" s="20" t="str">
        <f>IFERROR(VLOOKUP(J337,'03. THIẾT BỊ'!$B$1:$U$836,5,0),"")</f>
        <v>Máy cao áp phun thuốc</v>
      </c>
      <c r="D337" s="19">
        <v>1</v>
      </c>
      <c r="E337" s="19"/>
      <c r="F337" s="19"/>
      <c r="G337" s="19"/>
      <c r="H337" s="19">
        <f>IFERROR(VLOOKUP(J337,'03. THIẾT BỊ'!$B$1:$U$836,19,0),"")</f>
        <v>0</v>
      </c>
      <c r="I337" s="19">
        <f>IFERROR(VLOOKUP(J337,'03. THIẾT BỊ'!$B$1:$U$836,20,0),"")</f>
        <v>0</v>
      </c>
      <c r="J337" s="20" t="s">
        <v>5146</v>
      </c>
      <c r="K337" s="722" t="s">
        <v>5978</v>
      </c>
      <c r="L337" s="722"/>
      <c r="M337" s="722"/>
      <c r="N337" s="19" t="str">
        <f>IFERROR(VLOOKUP(J337,'03. THIẾT BỊ'!$B$1:$U$836,4,0),"")</f>
        <v>ĐQSD</v>
      </c>
      <c r="O337" s="19" t="str">
        <f>IFERROR(VLOOKUP(J337,'03. THIẾT BỊ'!$B$1:$U$836,7,0),"")</f>
        <v>Xoài AD</v>
      </c>
      <c r="P337" s="353" t="str">
        <f>IFERROR(VLOOKUP(O337,'NS QUẢN LÝ CG'!$A$4:$D$36,2,0),"")</f>
        <v/>
      </c>
      <c r="Q337" s="353" t="str">
        <f>IFERROR(VLOOKUP(O337,'NS QUẢN LÝ CG'!$A$4:$D$36,4,0),"")</f>
        <v/>
      </c>
      <c r="R337" s="353" t="str">
        <f>IFERROR(VLOOKUP(O337,'NS QUẢN LÝ CG'!$A$4:$C$36,3,0),"")</f>
        <v/>
      </c>
      <c r="S337" s="20" t="str">
        <f>IFERROR(VLOOKUP(J337,'03. THIẾT BỊ'!$B$1:$S$836,3,0),"")</f>
        <v>A22-MCA-003</v>
      </c>
      <c r="T337" s="708" t="str">
        <f t="shared" si="8"/>
        <v>ADM</v>
      </c>
      <c r="U337" s="708"/>
    </row>
    <row r="338" ht="13.8" spans="1:21">
      <c r="A338" s="19"/>
      <c r="B338" s="275"/>
      <c r="C338" s="20" t="str">
        <f>IFERROR(VLOOKUP(J338,'03. THIẾT BỊ'!$B$1:$U$836,5,0),"")</f>
        <v>Máy cao áp phun thuốc</v>
      </c>
      <c r="D338" s="19">
        <v>1</v>
      </c>
      <c r="E338" s="19"/>
      <c r="F338" s="19"/>
      <c r="G338" s="19"/>
      <c r="H338" s="19">
        <f>IFERROR(VLOOKUP(J338,'03. THIẾT BỊ'!$B$1:$U$836,19,0),"")</f>
        <v>0</v>
      </c>
      <c r="I338" s="19">
        <f>IFERROR(VLOOKUP(J338,'03. THIẾT BỊ'!$B$1:$U$836,20,0),"")</f>
        <v>0</v>
      </c>
      <c r="J338" s="20" t="s">
        <v>5150</v>
      </c>
      <c r="K338" s="722" t="s">
        <v>5978</v>
      </c>
      <c r="L338" s="722"/>
      <c r="M338" s="722"/>
      <c r="N338" s="19" t="str">
        <f>IFERROR(VLOOKUP(J338,'03. THIẾT BỊ'!$B$1:$U$836,4,0),"")</f>
        <v>ĐQSD</v>
      </c>
      <c r="O338" s="19" t="str">
        <f>IFERROR(VLOOKUP(J338,'03. THIẾT BỊ'!$B$1:$U$836,7,0),"")</f>
        <v>Xoài AD</v>
      </c>
      <c r="P338" s="353" t="str">
        <f>IFERROR(VLOOKUP(O338,'NS QUẢN LÝ CG'!$A$4:$D$36,2,0),"")</f>
        <v/>
      </c>
      <c r="Q338" s="353" t="str">
        <f>IFERROR(VLOOKUP(O338,'NS QUẢN LÝ CG'!$A$4:$D$36,4,0),"")</f>
        <v/>
      </c>
      <c r="R338" s="353" t="str">
        <f>IFERROR(VLOOKUP(O338,'NS QUẢN LÝ CG'!$A$4:$C$36,3,0),"")</f>
        <v/>
      </c>
      <c r="S338" s="20" t="str">
        <f>IFERROR(VLOOKUP(J338,'03. THIẾT BỊ'!$B$1:$S$836,3,0),"")</f>
        <v>A22-MCA-004</v>
      </c>
      <c r="T338" s="708" t="str">
        <f t="shared" si="8"/>
        <v>ADM</v>
      </c>
      <c r="U338" s="708"/>
    </row>
    <row r="339" ht="13.8" spans="1:21">
      <c r="A339" s="19"/>
      <c r="B339" s="275"/>
      <c r="C339" s="20" t="str">
        <f>IFERROR(VLOOKUP(J339,'03. THIẾT BỊ'!$B$1:$U$836,5,0),"")</f>
        <v>Máy cao áp phun thuốc</v>
      </c>
      <c r="D339" s="19">
        <v>1</v>
      </c>
      <c r="E339" s="19"/>
      <c r="F339" s="19"/>
      <c r="G339" s="19"/>
      <c r="H339" s="19">
        <f>IFERROR(VLOOKUP(J339,'03. THIẾT BỊ'!$B$1:$U$836,19,0),"")</f>
        <v>0</v>
      </c>
      <c r="I339" s="19">
        <f>IFERROR(VLOOKUP(J339,'03. THIẾT BỊ'!$B$1:$U$836,20,0),"")</f>
        <v>0</v>
      </c>
      <c r="J339" s="20" t="s">
        <v>5153</v>
      </c>
      <c r="K339" s="722" t="s">
        <v>5978</v>
      </c>
      <c r="L339" s="722"/>
      <c r="M339" s="722"/>
      <c r="N339" s="19" t="str">
        <f>IFERROR(VLOOKUP(J339,'03. THIẾT BỊ'!$B$1:$U$836,4,0),"")</f>
        <v>ĐQSD</v>
      </c>
      <c r="O339" s="19" t="str">
        <f>IFERROR(VLOOKUP(J339,'03. THIẾT BỊ'!$B$1:$U$836,7,0),"")</f>
        <v>Xoài AD</v>
      </c>
      <c r="P339" s="353" t="str">
        <f>IFERROR(VLOOKUP(O339,'NS QUẢN LÝ CG'!$A$4:$D$36,2,0),"")</f>
        <v/>
      </c>
      <c r="Q339" s="353" t="str">
        <f>IFERROR(VLOOKUP(O339,'NS QUẢN LÝ CG'!$A$4:$D$36,4,0),"")</f>
        <v/>
      </c>
      <c r="R339" s="353" t="str">
        <f>IFERROR(VLOOKUP(O339,'NS QUẢN LÝ CG'!$A$4:$C$36,3,0),"")</f>
        <v/>
      </c>
      <c r="S339" s="20" t="str">
        <f>IFERROR(VLOOKUP(J339,'03. THIẾT BỊ'!$B$1:$S$836,3,0),"")</f>
        <v>A22-MCA-005</v>
      </c>
      <c r="T339" s="708" t="str">
        <f t="shared" si="8"/>
        <v>ADM</v>
      </c>
      <c r="U339" s="708"/>
    </row>
    <row r="340" ht="13.8" spans="1:21">
      <c r="A340" s="19"/>
      <c r="B340" s="275"/>
      <c r="C340" s="20" t="str">
        <f>IFERROR(VLOOKUP(J340,'03. THIẾT BỊ'!$B$1:$U$836,5,0),"")</f>
        <v>Máy cao áp phun thuốc</v>
      </c>
      <c r="D340" s="19">
        <v>1</v>
      </c>
      <c r="E340" s="19"/>
      <c r="F340" s="19"/>
      <c r="G340" s="19"/>
      <c r="H340" s="19">
        <f>IFERROR(VLOOKUP(J340,'03. THIẾT BỊ'!$B$1:$U$836,19,0),"")</f>
        <v>0</v>
      </c>
      <c r="I340" s="19">
        <f>IFERROR(VLOOKUP(J340,'03. THIẾT BỊ'!$B$1:$U$836,20,0),"")</f>
        <v>0</v>
      </c>
      <c r="J340" s="20" t="s">
        <v>5208</v>
      </c>
      <c r="K340" s="722" t="s">
        <v>5978</v>
      </c>
      <c r="L340" s="722"/>
      <c r="M340" s="722"/>
      <c r="N340" s="19" t="str">
        <f>IFERROR(VLOOKUP(J340,'03. THIẾT BỊ'!$B$1:$U$836,4,0),"")</f>
        <v>ĐQSD</v>
      </c>
      <c r="O340" s="19" t="str">
        <f>IFERROR(VLOOKUP(J340,'03. THIẾT BỊ'!$B$1:$U$836,7,0),"")</f>
        <v>Xoài DP</v>
      </c>
      <c r="P340" s="353" t="str">
        <f>IFERROR(VLOOKUP(O340,'NS QUẢN LÝ CG'!$A$4:$D$36,2,0),"")</f>
        <v>Hà Văn Nghĩa</v>
      </c>
      <c r="Q340" s="353" t="str">
        <f>IFERROR(VLOOKUP(O340,'NS QUẢN LÝ CG'!$A$4:$D$36,4,0),"")</f>
        <v>Lô 136 XN Xoài</v>
      </c>
      <c r="R340" s="1104" t="str">
        <f>IFERROR(VLOOKUP(O340,'NS QUẢN LÝ CG'!$A$4:$C$36,3,0),"")</f>
        <v>0813564564</v>
      </c>
      <c r="S340" s="20" t="str">
        <f>IFERROR(VLOOKUP(J340,'03. THIẾT BỊ'!$B$1:$S$836,3,0),"")</f>
        <v>A23-MCA-001</v>
      </c>
      <c r="T340" s="708" t="str">
        <f t="shared" si="8"/>
        <v>DP</v>
      </c>
      <c r="U340" s="708"/>
    </row>
    <row r="341" ht="13.8" spans="1:21">
      <c r="A341" s="19"/>
      <c r="B341" s="275"/>
      <c r="C341" s="20" t="str">
        <f>IFERROR(VLOOKUP(J341,'03. THIẾT BỊ'!$B$1:$U$836,5,0),"")</f>
        <v>Máy cao áp phun thuốc</v>
      </c>
      <c r="D341" s="19">
        <v>1</v>
      </c>
      <c r="E341" s="19"/>
      <c r="F341" s="19"/>
      <c r="G341" s="19"/>
      <c r="H341" s="19">
        <f>IFERROR(VLOOKUP(J341,'03. THIẾT BỊ'!$B$1:$U$836,19,0),"")</f>
        <v>0</v>
      </c>
      <c r="I341" s="19">
        <f>IFERROR(VLOOKUP(J341,'03. THIẾT BỊ'!$B$1:$U$836,20,0),"")</f>
        <v>0</v>
      </c>
      <c r="J341" s="20" t="s">
        <v>5209</v>
      </c>
      <c r="K341" s="722" t="s">
        <v>5978</v>
      </c>
      <c r="L341" s="722"/>
      <c r="M341" s="722"/>
      <c r="N341" s="19" t="str">
        <f>IFERROR(VLOOKUP(J341,'03. THIẾT BỊ'!$B$1:$U$836,4,0),"")</f>
        <v>ĐQSD</v>
      </c>
      <c r="O341" s="19" t="str">
        <f>IFERROR(VLOOKUP(J341,'03. THIẾT BỊ'!$B$1:$U$836,7,0),"")</f>
        <v>Xoài DP</v>
      </c>
      <c r="P341" s="353" t="str">
        <f>IFERROR(VLOOKUP(O341,'NS QUẢN LÝ CG'!$A$4:$D$36,2,0),"")</f>
        <v>Hà Văn Nghĩa</v>
      </c>
      <c r="Q341" s="353" t="str">
        <f>IFERROR(VLOOKUP(O341,'NS QUẢN LÝ CG'!$A$4:$D$36,4,0),"")</f>
        <v>Lô 136 XN Xoài</v>
      </c>
      <c r="R341" s="1104" t="str">
        <f>IFERROR(VLOOKUP(O341,'NS QUẢN LÝ CG'!$A$4:$C$36,3,0),"")</f>
        <v>0813564564</v>
      </c>
      <c r="S341" s="20" t="str">
        <f>IFERROR(VLOOKUP(J341,'03. THIẾT BỊ'!$B$1:$S$836,3,0),"")</f>
        <v>A23-MCA-002</v>
      </c>
      <c r="T341" s="708" t="str">
        <f t="shared" si="8"/>
        <v>DP</v>
      </c>
      <c r="U341" s="708"/>
    </row>
    <row r="342" ht="13.8" spans="1:21">
      <c r="A342" s="19"/>
      <c r="B342" s="275"/>
      <c r="C342" s="20" t="str">
        <f>IFERROR(VLOOKUP(J342,'03. THIẾT BỊ'!$B$1:$U$836,5,0),"")</f>
        <v>Máy cao áp phun thuốc</v>
      </c>
      <c r="D342" s="19">
        <v>1</v>
      </c>
      <c r="E342" s="19"/>
      <c r="F342" s="19"/>
      <c r="G342" s="19"/>
      <c r="H342" s="19">
        <f>IFERROR(VLOOKUP(J342,'03. THIẾT BỊ'!$B$1:$U$836,19,0),"")</f>
        <v>0</v>
      </c>
      <c r="I342" s="19">
        <f>IFERROR(VLOOKUP(J342,'03. THIẾT BỊ'!$B$1:$U$836,20,0),"")</f>
        <v>0</v>
      </c>
      <c r="J342" s="20" t="s">
        <v>5210</v>
      </c>
      <c r="K342" s="722" t="s">
        <v>5978</v>
      </c>
      <c r="L342" s="722"/>
      <c r="M342" s="722"/>
      <c r="N342" s="19" t="str">
        <f>IFERROR(VLOOKUP(J342,'03. THIẾT BỊ'!$B$1:$U$836,4,0),"")</f>
        <v>ĐQSD</v>
      </c>
      <c r="O342" s="19" t="str">
        <f>IFERROR(VLOOKUP(J342,'03. THIẾT BỊ'!$B$1:$U$836,7,0),"")</f>
        <v>Xoài DP</v>
      </c>
      <c r="P342" s="353" t="str">
        <f>IFERROR(VLOOKUP(O342,'NS QUẢN LÝ CG'!$A$4:$D$36,2,0),"")</f>
        <v>Hà Văn Nghĩa</v>
      </c>
      <c r="Q342" s="353" t="str">
        <f>IFERROR(VLOOKUP(O342,'NS QUẢN LÝ CG'!$A$4:$D$36,4,0),"")</f>
        <v>Lô 136 XN Xoài</v>
      </c>
      <c r="R342" s="1104" t="str">
        <f>IFERROR(VLOOKUP(O342,'NS QUẢN LÝ CG'!$A$4:$C$36,3,0),"")</f>
        <v>0813564564</v>
      </c>
      <c r="S342" s="20" t="str">
        <f>IFERROR(VLOOKUP(J342,'03. THIẾT BỊ'!$B$1:$S$836,3,0),"")</f>
        <v>A23-MCA-001</v>
      </c>
      <c r="T342" s="708" t="str">
        <f t="shared" si="8"/>
        <v>DP</v>
      </c>
      <c r="U342" s="708"/>
    </row>
    <row r="343" ht="13.8" spans="1:21">
      <c r="A343" s="19"/>
      <c r="B343" s="278"/>
      <c r="C343" s="20" t="str">
        <f>IFERROR(VLOOKUP(J343,'03. THIẾT BỊ'!$B$1:$U$836,5,0),"")</f>
        <v>Máy cao áp phun thuốc</v>
      </c>
      <c r="D343" s="19">
        <v>1</v>
      </c>
      <c r="E343" s="19"/>
      <c r="F343" s="19"/>
      <c r="G343" s="19"/>
      <c r="H343" s="19">
        <f>IFERROR(VLOOKUP(J343,'03. THIẾT BỊ'!$B$1:$U$836,19,0),"")</f>
        <v>0</v>
      </c>
      <c r="I343" s="19">
        <f>IFERROR(VLOOKUP(J343,'03. THIẾT BỊ'!$B$1:$U$836,20,0),"")</f>
        <v>0</v>
      </c>
      <c r="J343" s="20" t="s">
        <v>5212</v>
      </c>
      <c r="K343" s="722" t="s">
        <v>5978</v>
      </c>
      <c r="L343" s="722"/>
      <c r="M343" s="722"/>
      <c r="N343" s="19" t="str">
        <f>IFERROR(VLOOKUP(J343,'03. THIẾT BỊ'!$B$1:$U$836,4,0),"")</f>
        <v>ĐQSD</v>
      </c>
      <c r="O343" s="19" t="str">
        <f>IFERROR(VLOOKUP(J343,'03. THIẾT BỊ'!$B$1:$U$836,7,0),"")</f>
        <v>Xoài DP</v>
      </c>
      <c r="P343" s="353" t="str">
        <f>IFERROR(VLOOKUP(O343,'NS QUẢN LÝ CG'!$A$4:$D$36,2,0),"")</f>
        <v>Hà Văn Nghĩa</v>
      </c>
      <c r="Q343" s="353" t="str">
        <f>IFERROR(VLOOKUP(O343,'NS QUẢN LÝ CG'!$A$4:$D$36,4,0),"")</f>
        <v>Lô 136 XN Xoài</v>
      </c>
      <c r="R343" s="1104" t="str">
        <f>IFERROR(VLOOKUP(O343,'NS QUẢN LÝ CG'!$A$4:$C$36,3,0),"")</f>
        <v>0813564564</v>
      </c>
      <c r="S343" s="20" t="str">
        <f>IFERROR(VLOOKUP(J343,'03. THIẾT BỊ'!$B$1:$S$836,3,0),"")</f>
        <v>A23-MCA-002</v>
      </c>
      <c r="T343" s="708" t="str">
        <f t="shared" si="8"/>
        <v>DP</v>
      </c>
      <c r="U343" s="708"/>
    </row>
    <row r="344" ht="13.8" spans="1:21">
      <c r="A344" s="19"/>
      <c r="B344" s="353" t="s">
        <v>6058</v>
      </c>
      <c r="C344" s="20" t="s">
        <v>6028</v>
      </c>
      <c r="D344" s="19">
        <v>40</v>
      </c>
      <c r="E344" s="19"/>
      <c r="F344" s="19" t="s">
        <v>5978</v>
      </c>
      <c r="G344" s="19"/>
      <c r="H344" s="19" t="str">
        <f>IFERROR(VLOOKUP(J344,'03. THIẾT BỊ'!$B$1:$U$836,19,0),"")</f>
        <v/>
      </c>
      <c r="I344" s="19" t="str">
        <f>IFERROR(VLOOKUP(J344,'03. THIẾT BỊ'!$B$1:$U$836,20,0),"")</f>
        <v/>
      </c>
      <c r="J344" s="20"/>
      <c r="K344" s="722"/>
      <c r="L344" s="722"/>
      <c r="M344" s="722"/>
      <c r="N344" s="19" t="str">
        <f>IFERROR(VLOOKUP(J344,'03. THIẾT BỊ'!$B$1:$U$836,4,0),"")</f>
        <v/>
      </c>
      <c r="O344" s="19" t="str">
        <f>IFERROR(VLOOKUP(J344,'03. THIẾT BỊ'!$B$1:$U$836,7,0),"")</f>
        <v/>
      </c>
      <c r="P344" s="20"/>
      <c r="Q344" s="20"/>
      <c r="R344" s="20"/>
      <c r="S344" s="20" t="str">
        <f>IFERROR(VLOOKUP(J344,'03. THIẾT BỊ'!$B$1:$S$836,3,0),"")</f>
        <v/>
      </c>
      <c r="T344" s="708"/>
      <c r="U344" s="708"/>
    </row>
    <row r="345" ht="13.8" spans="1:21">
      <c r="A345" s="19"/>
      <c r="B345" s="713"/>
      <c r="C345" s="20" t="str">
        <f>IFERROR(VLOOKUP(J345,'03. THIẾT BỊ'!$B$1:$U$836,5,0),"")</f>
        <v/>
      </c>
      <c r="D345" s="19"/>
      <c r="E345" s="19"/>
      <c r="F345" s="19"/>
      <c r="G345" s="19"/>
      <c r="H345" s="19" t="str">
        <f>IFERROR(VLOOKUP(J345,'03. THIẾT BỊ'!$B$1:$U$836,19,0),"")</f>
        <v/>
      </c>
      <c r="I345" s="19" t="str">
        <f>IFERROR(VLOOKUP(J345,'03. THIẾT BỊ'!$B$1:$U$836,20,0),"")</f>
        <v/>
      </c>
      <c r="J345" s="20"/>
      <c r="K345" s="722"/>
      <c r="L345" s="722"/>
      <c r="M345" s="722"/>
      <c r="N345" s="19" t="str">
        <f>IFERROR(VLOOKUP(J345,'03. THIẾT BỊ'!$B$1:$U$836,4,0),"")</f>
        <v/>
      </c>
      <c r="O345" s="19" t="str">
        <f>IFERROR(VLOOKUP(J345,'03. THIẾT BỊ'!$B$1:$U$836,7,0),"")</f>
        <v/>
      </c>
      <c r="P345" s="20"/>
      <c r="Q345" s="20"/>
      <c r="R345" s="20"/>
      <c r="S345" s="20" t="str">
        <f>IFERROR(VLOOKUP(J345,'03. THIẾT BỊ'!$B$1:$S$836,3,0),"")</f>
        <v/>
      </c>
      <c r="T345" s="708"/>
      <c r="U345" s="708"/>
    </row>
    <row r="346" ht="13.8" spans="1:21">
      <c r="A346" s="705" t="s">
        <v>6036</v>
      </c>
      <c r="B346" s="271"/>
      <c r="C346" s="272"/>
      <c r="D346" s="26">
        <f>SUM(D347:D361)</f>
        <v>13</v>
      </c>
      <c r="E346" s="30"/>
      <c r="F346" s="30"/>
      <c r="G346" s="30"/>
      <c r="H346" s="30"/>
      <c r="I346" s="30"/>
      <c r="J346" s="29"/>
      <c r="K346" s="30"/>
      <c r="L346" s="30"/>
      <c r="M346" s="30"/>
      <c r="N346" s="29"/>
      <c r="O346" s="29"/>
      <c r="P346" s="29"/>
      <c r="Q346" s="29"/>
      <c r="R346" s="29"/>
      <c r="S346" s="29"/>
      <c r="T346" s="706"/>
      <c r="U346" s="706"/>
    </row>
    <row r="347" ht="13.8" spans="1:21">
      <c r="A347" s="19"/>
      <c r="B347" s="707" t="s">
        <v>6059</v>
      </c>
      <c r="C347" s="20" t="str">
        <f>IFERROR(VLOOKUP(J347,'03. THIẾT BỊ'!$B$1:$U$836,5,0),"")</f>
        <v>Rơ mooc lưới</v>
      </c>
      <c r="D347" s="19">
        <v>1</v>
      </c>
      <c r="E347" s="19"/>
      <c r="F347" s="19"/>
      <c r="G347" s="19"/>
      <c r="H347" s="19">
        <f>IFERROR(VLOOKUP(J347,'03. THIẾT BỊ'!$B$1:$U$836,19,0),"")</f>
        <v>0</v>
      </c>
      <c r="I347" s="19">
        <f>IFERROR(VLOOKUP(J347,'03. THIẾT BỊ'!$B$1:$U$836,20,0),"")</f>
        <v>0</v>
      </c>
      <c r="J347" s="20" t="s">
        <v>5102</v>
      </c>
      <c r="K347" s="722" t="s">
        <v>5978</v>
      </c>
      <c r="L347" s="722"/>
      <c r="M347" s="722"/>
      <c r="N347" s="19" t="str">
        <f>IFERROR(VLOOKUP(J347,'03. THIẾT BỊ'!$B$1:$U$836,4,0),"")</f>
        <v>ĐQSD</v>
      </c>
      <c r="O347" s="19" t="str">
        <f>IFERROR(VLOOKUP(J347,'03. THIẾT BỊ'!$B$1:$U$836,7,0),"")</f>
        <v>Xoài AD</v>
      </c>
      <c r="P347" s="353" t="str">
        <f>IFERROR(VLOOKUP(O347,'NS QUẢN LÝ CG'!$A$4:$D$36,2,0),"")</f>
        <v/>
      </c>
      <c r="Q347" s="353" t="str">
        <f>IFERROR(VLOOKUP(O347,'NS QUẢN LÝ CG'!$A$4:$D$36,4,0),"")</f>
        <v/>
      </c>
      <c r="R347" s="353" t="str">
        <f>IFERROR(VLOOKUP(O347,'NS QUẢN LÝ CG'!$A$4:$C$36,3,0),"")</f>
        <v/>
      </c>
      <c r="S347" s="20" t="str">
        <f>IFERROR(VLOOKUP(J347,'03. THIẾT BỊ'!$B$1:$S$836,3,0),"")</f>
        <v>A22-RML-001</v>
      </c>
      <c r="T347" s="708" t="str">
        <f t="shared" ref="T347:T359" si="9">_xlfn.SWITCH(LEFT(S347,3),"A22","ADM","A23","DP","A24","LP","")</f>
        <v>ADM</v>
      </c>
      <c r="U347" s="708"/>
    </row>
    <row r="348" ht="13.8" spans="1:21">
      <c r="A348" s="19"/>
      <c r="B348" s="275"/>
      <c r="C348" s="20" t="str">
        <f>IFERROR(VLOOKUP(J348,'03. THIẾT BỊ'!$B$1:$U$836,5,0),"")</f>
        <v>Rơ mooc lưới</v>
      </c>
      <c r="D348" s="19">
        <v>1</v>
      </c>
      <c r="E348" s="19"/>
      <c r="F348" s="19"/>
      <c r="G348" s="19"/>
      <c r="H348" s="19">
        <f>IFERROR(VLOOKUP(J348,'03. THIẾT BỊ'!$B$1:$U$836,19,0),"")</f>
        <v>0</v>
      </c>
      <c r="I348" s="19">
        <f>IFERROR(VLOOKUP(J348,'03. THIẾT BỊ'!$B$1:$U$836,20,0),"")</f>
        <v>0</v>
      </c>
      <c r="J348" s="20" t="s">
        <v>5105</v>
      </c>
      <c r="K348" s="722" t="s">
        <v>5978</v>
      </c>
      <c r="L348" s="722"/>
      <c r="M348" s="722"/>
      <c r="N348" s="19" t="str">
        <f>IFERROR(VLOOKUP(J348,'03. THIẾT BỊ'!$B$1:$U$836,4,0),"")</f>
        <v>ĐQSD</v>
      </c>
      <c r="O348" s="19" t="str">
        <f>IFERROR(VLOOKUP(J348,'03. THIẾT BỊ'!$B$1:$U$836,7,0),"")</f>
        <v>Xoài AD</v>
      </c>
      <c r="P348" s="353" t="str">
        <f>IFERROR(VLOOKUP(O348,'NS QUẢN LÝ CG'!$A$4:$D$36,2,0),"")</f>
        <v/>
      </c>
      <c r="Q348" s="353" t="str">
        <f>IFERROR(VLOOKUP(O348,'NS QUẢN LÝ CG'!$A$4:$D$36,4,0),"")</f>
        <v/>
      </c>
      <c r="R348" s="353" t="str">
        <f>IFERROR(VLOOKUP(O348,'NS QUẢN LÝ CG'!$A$4:$C$36,3,0),"")</f>
        <v/>
      </c>
      <c r="S348" s="20" t="str">
        <f>IFERROR(VLOOKUP(J348,'03. THIẾT BỊ'!$B$1:$S$836,3,0),"")</f>
        <v>A22-RML-002</v>
      </c>
      <c r="T348" s="708" t="str">
        <f t="shared" si="9"/>
        <v>ADM</v>
      </c>
      <c r="U348" s="708"/>
    </row>
    <row r="349" ht="13.8" spans="1:21">
      <c r="A349" s="19"/>
      <c r="B349" s="275"/>
      <c r="C349" s="20" t="str">
        <f>IFERROR(VLOOKUP(J349,'03. THIẾT BỊ'!$B$1:$U$836,5,0),"")</f>
        <v>Rơ mooc lưới</v>
      </c>
      <c r="D349" s="19">
        <v>1</v>
      </c>
      <c r="E349" s="19"/>
      <c r="F349" s="19"/>
      <c r="G349" s="19"/>
      <c r="H349" s="19">
        <f>IFERROR(VLOOKUP(J349,'03. THIẾT BỊ'!$B$1:$U$836,19,0),"")</f>
        <v>0</v>
      </c>
      <c r="I349" s="19">
        <f>IFERROR(VLOOKUP(J349,'03. THIẾT BỊ'!$B$1:$U$836,20,0),"")</f>
        <v>0</v>
      </c>
      <c r="J349" s="20" t="s">
        <v>5108</v>
      </c>
      <c r="K349" s="722" t="s">
        <v>5978</v>
      </c>
      <c r="L349" s="722"/>
      <c r="M349" s="722"/>
      <c r="N349" s="19" t="str">
        <f>IFERROR(VLOOKUP(J349,'03. THIẾT BỊ'!$B$1:$U$836,4,0),"")</f>
        <v>ĐQSD</v>
      </c>
      <c r="O349" s="19" t="str">
        <f>IFERROR(VLOOKUP(J349,'03. THIẾT BỊ'!$B$1:$U$836,7,0),"")</f>
        <v>Xoài AD</v>
      </c>
      <c r="P349" s="353" t="str">
        <f>IFERROR(VLOOKUP(O349,'NS QUẢN LÝ CG'!$A$4:$D$36,2,0),"")</f>
        <v/>
      </c>
      <c r="Q349" s="353" t="str">
        <f>IFERROR(VLOOKUP(O349,'NS QUẢN LÝ CG'!$A$4:$D$36,4,0),"")</f>
        <v/>
      </c>
      <c r="R349" s="353" t="str">
        <f>IFERROR(VLOOKUP(O349,'NS QUẢN LÝ CG'!$A$4:$C$36,3,0),"")</f>
        <v/>
      </c>
      <c r="S349" s="20" t="str">
        <f>IFERROR(VLOOKUP(J349,'03. THIẾT BỊ'!$B$1:$S$836,3,0),"")</f>
        <v>A22-RML-003</v>
      </c>
      <c r="T349" s="708" t="str">
        <f t="shared" si="9"/>
        <v>ADM</v>
      </c>
      <c r="U349" s="708"/>
    </row>
    <row r="350" ht="13.8" spans="1:21">
      <c r="A350" s="19"/>
      <c r="B350" s="275"/>
      <c r="C350" s="20" t="str">
        <f>IFERROR(VLOOKUP(J350,'03. THIẾT BỊ'!$B$1:$U$836,5,0),"")</f>
        <v>Rơ mooc lưới</v>
      </c>
      <c r="D350" s="19">
        <v>1</v>
      </c>
      <c r="E350" s="19"/>
      <c r="F350" s="19"/>
      <c r="G350" s="19"/>
      <c r="H350" s="19">
        <f>IFERROR(VLOOKUP(J350,'03. THIẾT BỊ'!$B$1:$U$836,19,0),"")</f>
        <v>0</v>
      </c>
      <c r="I350" s="19">
        <f>IFERROR(VLOOKUP(J350,'03. THIẾT BỊ'!$B$1:$U$836,20,0),"")</f>
        <v>0</v>
      </c>
      <c r="J350" s="20" t="s">
        <v>5113</v>
      </c>
      <c r="K350" s="722" t="s">
        <v>5978</v>
      </c>
      <c r="L350" s="722"/>
      <c r="M350" s="722"/>
      <c r="N350" s="19" t="str">
        <f>IFERROR(VLOOKUP(J350,'03. THIẾT BỊ'!$B$1:$U$836,4,0),"")</f>
        <v>ĐQSD</v>
      </c>
      <c r="O350" s="19" t="str">
        <f>IFERROR(VLOOKUP(J350,'03. THIẾT BỊ'!$B$1:$U$836,7,0),"")</f>
        <v>Xoài AD</v>
      </c>
      <c r="P350" s="353" t="str">
        <f>IFERROR(VLOOKUP(O350,'NS QUẢN LÝ CG'!$A$4:$D$36,2,0),"")</f>
        <v/>
      </c>
      <c r="Q350" s="353" t="str">
        <f>IFERROR(VLOOKUP(O350,'NS QUẢN LÝ CG'!$A$4:$D$36,4,0),"")</f>
        <v/>
      </c>
      <c r="R350" s="353" t="str">
        <f>IFERROR(VLOOKUP(O350,'NS QUẢN LÝ CG'!$A$4:$C$36,3,0),"")</f>
        <v/>
      </c>
      <c r="S350" s="20" t="str">
        <f>IFERROR(VLOOKUP(J350,'03. THIẾT BỊ'!$B$1:$S$836,3,0),"")</f>
        <v>A22-RML-004</v>
      </c>
      <c r="T350" s="708" t="str">
        <f t="shared" si="9"/>
        <v>ADM</v>
      </c>
      <c r="U350" s="708"/>
    </row>
    <row r="351" ht="13.8" spans="1:21">
      <c r="A351" s="19"/>
      <c r="B351" s="275"/>
      <c r="C351" s="20" t="str">
        <f>IFERROR(VLOOKUP(J351,'03. THIẾT BỊ'!$B$1:$U$836,5,0),"")</f>
        <v>Rơ mooc thu hoạch xoài</v>
      </c>
      <c r="D351" s="19">
        <v>1</v>
      </c>
      <c r="E351" s="19"/>
      <c r="F351" s="19"/>
      <c r="G351" s="19"/>
      <c r="H351" s="19">
        <f>IFERROR(VLOOKUP(J351,'03. THIẾT BỊ'!$B$1:$U$836,19,0),"")</f>
        <v>0</v>
      </c>
      <c r="I351" s="19">
        <f>IFERROR(VLOOKUP(J351,'03. THIẾT BỊ'!$B$1:$U$836,20,0),"")</f>
        <v>0</v>
      </c>
      <c r="J351" s="20" t="s">
        <v>5124</v>
      </c>
      <c r="K351" s="722" t="s">
        <v>5978</v>
      </c>
      <c r="L351" s="722"/>
      <c r="M351" s="722"/>
      <c r="N351" s="19" t="str">
        <f>IFERROR(VLOOKUP(J351,'03. THIẾT BỊ'!$B$1:$U$836,4,0),"")</f>
        <v>ĐQSD</v>
      </c>
      <c r="O351" s="19" t="str">
        <f>IFERROR(VLOOKUP(J351,'03. THIẾT BỊ'!$B$1:$U$836,7,0),"")</f>
        <v>Xoài AD</v>
      </c>
      <c r="P351" s="353" t="str">
        <f>IFERROR(VLOOKUP(O351,'NS QUẢN LÝ CG'!$A$4:$D$36,2,0),"")</f>
        <v/>
      </c>
      <c r="Q351" s="353" t="str">
        <f>IFERROR(VLOOKUP(O351,'NS QUẢN LÝ CG'!$A$4:$D$36,4,0),"")</f>
        <v/>
      </c>
      <c r="R351" s="353" t="str">
        <f>IFERROR(VLOOKUP(O351,'NS QUẢN LÝ CG'!$A$4:$C$36,3,0),"")</f>
        <v/>
      </c>
      <c r="S351" s="20" t="str">
        <f>IFERROR(VLOOKUP(J351,'03. THIẾT BỊ'!$B$1:$S$836,3,0),"")</f>
        <v>A22-RMC-001</v>
      </c>
      <c r="T351" s="708" t="str">
        <f t="shared" si="9"/>
        <v>ADM</v>
      </c>
      <c r="U351" s="708"/>
    </row>
    <row r="352" ht="13.8" spans="1:21">
      <c r="A352" s="19"/>
      <c r="B352" s="275"/>
      <c r="C352" s="20" t="str">
        <f>IFERROR(VLOOKUP(J352,'03. THIẾT BỊ'!$B$1:$U$836,5,0),"")</f>
        <v>Rơ mooc chở bồn phun thuốc</v>
      </c>
      <c r="D352" s="19">
        <v>1</v>
      </c>
      <c r="E352" s="19"/>
      <c r="F352" s="19"/>
      <c r="G352" s="19"/>
      <c r="H352" s="19">
        <f>IFERROR(VLOOKUP(J352,'03. THIẾT BỊ'!$B$1:$U$836,19,0),"")</f>
        <v>0</v>
      </c>
      <c r="I352" s="19">
        <f>IFERROR(VLOOKUP(J352,'03. THIẾT BỊ'!$B$1:$U$836,20,0),"")</f>
        <v>0</v>
      </c>
      <c r="J352" s="20" t="s">
        <v>5127</v>
      </c>
      <c r="K352" s="722" t="s">
        <v>5978</v>
      </c>
      <c r="L352" s="722"/>
      <c r="M352" s="722"/>
      <c r="N352" s="19" t="str">
        <f>IFERROR(VLOOKUP(J352,'03. THIẾT BỊ'!$B$1:$U$836,4,0),"")</f>
        <v>ĐQSD</v>
      </c>
      <c r="O352" s="19" t="str">
        <f>IFERROR(VLOOKUP(J352,'03. THIẾT BỊ'!$B$1:$U$836,7,0),"")</f>
        <v>Xoài AD</v>
      </c>
      <c r="P352" s="353" t="str">
        <f>IFERROR(VLOOKUP(O352,'NS QUẢN LÝ CG'!$A$4:$D$36,2,0),"")</f>
        <v/>
      </c>
      <c r="Q352" s="353" t="str">
        <f>IFERROR(VLOOKUP(O352,'NS QUẢN LÝ CG'!$A$4:$D$36,4,0),"")</f>
        <v/>
      </c>
      <c r="R352" s="353" t="str">
        <f>IFERROR(VLOOKUP(O352,'NS QUẢN LÝ CG'!$A$4:$C$36,3,0),"")</f>
        <v/>
      </c>
      <c r="S352" s="20" t="str">
        <f>IFERROR(VLOOKUP(J352,'03. THIẾT BỊ'!$B$1:$S$836,3,0),"")</f>
        <v>A22-RNB-001</v>
      </c>
      <c r="T352" s="708" t="str">
        <f t="shared" si="9"/>
        <v>ADM</v>
      </c>
      <c r="U352" s="708"/>
    </row>
    <row r="353" ht="13.8" spans="1:21">
      <c r="A353" s="19"/>
      <c r="B353" s="275"/>
      <c r="C353" s="20" t="str">
        <f>IFERROR(VLOOKUP(J353,'03. THIẾT BỊ'!$B$1:$U$836,5,0),"")</f>
        <v>Rơ mooc chở bồn phun thuốc</v>
      </c>
      <c r="D353" s="19">
        <v>1</v>
      </c>
      <c r="E353" s="19"/>
      <c r="F353" s="19"/>
      <c r="G353" s="19"/>
      <c r="H353" s="19">
        <f>IFERROR(VLOOKUP(J353,'03. THIẾT BỊ'!$B$1:$U$836,19,0),"")</f>
        <v>0</v>
      </c>
      <c r="I353" s="19">
        <f>IFERROR(VLOOKUP(J353,'03. THIẾT BỊ'!$B$1:$U$836,20,0),"")</f>
        <v>0</v>
      </c>
      <c r="J353" s="20" t="s">
        <v>5130</v>
      </c>
      <c r="K353" s="722" t="s">
        <v>5978</v>
      </c>
      <c r="L353" s="722"/>
      <c r="M353" s="722"/>
      <c r="N353" s="19" t="str">
        <f>IFERROR(VLOOKUP(J353,'03. THIẾT BỊ'!$B$1:$U$836,4,0),"")</f>
        <v>ĐQSD</v>
      </c>
      <c r="O353" s="19" t="str">
        <f>IFERROR(VLOOKUP(J353,'03. THIẾT BỊ'!$B$1:$U$836,7,0),"")</f>
        <v>Xoài AD</v>
      </c>
      <c r="P353" s="353" t="str">
        <f>IFERROR(VLOOKUP(O353,'NS QUẢN LÝ CG'!$A$4:$D$36,2,0),"")</f>
        <v/>
      </c>
      <c r="Q353" s="353" t="str">
        <f>IFERROR(VLOOKUP(O353,'NS QUẢN LÝ CG'!$A$4:$D$36,4,0),"")</f>
        <v/>
      </c>
      <c r="R353" s="353" t="str">
        <f>IFERROR(VLOOKUP(O353,'NS QUẢN LÝ CG'!$A$4:$C$36,3,0),"")</f>
        <v/>
      </c>
      <c r="S353" s="20" t="str">
        <f>IFERROR(VLOOKUP(J353,'03. THIẾT BỊ'!$B$1:$S$836,3,0),"")</f>
        <v>A22-RNB-002</v>
      </c>
      <c r="T353" s="708" t="str">
        <f t="shared" si="9"/>
        <v>ADM</v>
      </c>
      <c r="U353" s="708"/>
    </row>
    <row r="354" ht="13.8" spans="1:21">
      <c r="A354" s="19"/>
      <c r="B354" s="275"/>
      <c r="C354" s="20" t="str">
        <f>IFERROR(VLOOKUP(J354,'03. THIẾT BỊ'!$B$1:$U$836,5,0),"")</f>
        <v>Rơ mooc chở bồn phun thuốc</v>
      </c>
      <c r="D354" s="19">
        <v>1</v>
      </c>
      <c r="E354" s="19"/>
      <c r="F354" s="19"/>
      <c r="G354" s="19"/>
      <c r="H354" s="19">
        <f>IFERROR(VLOOKUP(J354,'03. THIẾT BỊ'!$B$1:$U$836,19,0),"")</f>
        <v>0</v>
      </c>
      <c r="I354" s="19">
        <f>IFERROR(VLOOKUP(J354,'03. THIẾT BỊ'!$B$1:$U$836,20,0),"")</f>
        <v>0</v>
      </c>
      <c r="J354" s="20" t="s">
        <v>5133</v>
      </c>
      <c r="K354" s="722" t="s">
        <v>5978</v>
      </c>
      <c r="L354" s="722"/>
      <c r="M354" s="722"/>
      <c r="N354" s="19" t="str">
        <f>IFERROR(VLOOKUP(J354,'03. THIẾT BỊ'!$B$1:$U$836,4,0),"")</f>
        <v>ĐQSD</v>
      </c>
      <c r="O354" s="19" t="str">
        <f>IFERROR(VLOOKUP(J354,'03. THIẾT BỊ'!$B$1:$U$836,7,0),"")</f>
        <v>Xoài AD</v>
      </c>
      <c r="P354" s="353" t="str">
        <f>IFERROR(VLOOKUP(O354,'NS QUẢN LÝ CG'!$A$4:$D$36,2,0),"")</f>
        <v/>
      </c>
      <c r="Q354" s="353" t="str">
        <f>IFERROR(VLOOKUP(O354,'NS QUẢN LÝ CG'!$A$4:$D$36,4,0),"")</f>
        <v/>
      </c>
      <c r="R354" s="353" t="str">
        <f>IFERROR(VLOOKUP(O354,'NS QUẢN LÝ CG'!$A$4:$C$36,3,0),"")</f>
        <v/>
      </c>
      <c r="S354" s="20" t="str">
        <f>IFERROR(VLOOKUP(J354,'03. THIẾT BỊ'!$B$1:$S$836,3,0),"")</f>
        <v>A22-RNB-003</v>
      </c>
      <c r="T354" s="708" t="str">
        <f t="shared" si="9"/>
        <v>ADM</v>
      </c>
      <c r="U354" s="708"/>
    </row>
    <row r="355" ht="13.8" spans="1:21">
      <c r="A355" s="19"/>
      <c r="B355" s="275"/>
      <c r="C355" s="20" t="str">
        <f>IFERROR(VLOOKUP(J355,'03. THIẾT BỊ'!$B$1:$U$836,5,0),"")</f>
        <v>Rơ mooc chở bồn phun thuốc</v>
      </c>
      <c r="D355" s="19">
        <v>1</v>
      </c>
      <c r="E355" s="19"/>
      <c r="F355" s="19"/>
      <c r="G355" s="19"/>
      <c r="H355" s="19">
        <f>IFERROR(VLOOKUP(J355,'03. THIẾT BỊ'!$B$1:$U$836,19,0),"")</f>
        <v>0</v>
      </c>
      <c r="I355" s="19">
        <f>IFERROR(VLOOKUP(J355,'03. THIẾT BỊ'!$B$1:$U$836,20,0),"")</f>
        <v>0</v>
      </c>
      <c r="J355" s="20" t="s">
        <v>5137</v>
      </c>
      <c r="K355" s="722" t="s">
        <v>5978</v>
      </c>
      <c r="L355" s="722"/>
      <c r="M355" s="722"/>
      <c r="N355" s="19" t="str">
        <f>IFERROR(VLOOKUP(J355,'03. THIẾT BỊ'!$B$1:$U$836,4,0),"")</f>
        <v>ĐQSD</v>
      </c>
      <c r="O355" s="19" t="str">
        <f>IFERROR(VLOOKUP(J355,'03. THIẾT BỊ'!$B$1:$U$836,7,0),"")</f>
        <v>Xoài AD</v>
      </c>
      <c r="P355" s="353" t="str">
        <f>IFERROR(VLOOKUP(O355,'NS QUẢN LÝ CG'!$A$4:$D$36,2,0),"")</f>
        <v/>
      </c>
      <c r="Q355" s="353" t="str">
        <f>IFERROR(VLOOKUP(O355,'NS QUẢN LÝ CG'!$A$4:$D$36,4,0),"")</f>
        <v/>
      </c>
      <c r="R355" s="353" t="str">
        <f>IFERROR(VLOOKUP(O355,'NS QUẢN LÝ CG'!$A$4:$C$36,3,0),"")</f>
        <v/>
      </c>
      <c r="S355" s="20" t="str">
        <f>IFERROR(VLOOKUP(J355,'03. THIẾT BỊ'!$B$1:$S$836,3,0),"")</f>
        <v>A22-RNB-004</v>
      </c>
      <c r="T355" s="708" t="str">
        <f t="shared" si="9"/>
        <v>ADM</v>
      </c>
      <c r="U355" s="708"/>
    </row>
    <row r="356" ht="13.8" spans="1:21">
      <c r="A356" s="19"/>
      <c r="B356" s="275"/>
      <c r="C356" s="20" t="str">
        <f>IFERROR(VLOOKUP(J356,'03. THIẾT BỊ'!$B$1:$U$836,5,0),"")</f>
        <v>Thiết bị cày đánh rãnh bón phân</v>
      </c>
      <c r="D356" s="19">
        <v>1</v>
      </c>
      <c r="E356" s="19"/>
      <c r="F356" s="19"/>
      <c r="G356" s="19"/>
      <c r="H356" s="19">
        <f>IFERROR(VLOOKUP(J356,'03. THIẾT BỊ'!$B$1:$U$836,19,0),"")</f>
        <v>0</v>
      </c>
      <c r="I356" s="19">
        <f>IFERROR(VLOOKUP(J356,'03. THIẾT BỊ'!$B$1:$U$836,20,0),"")</f>
        <v>0</v>
      </c>
      <c r="J356" s="20" t="s">
        <v>5165</v>
      </c>
      <c r="K356" s="722" t="s">
        <v>5978</v>
      </c>
      <c r="L356" s="722"/>
      <c r="M356" s="722"/>
      <c r="N356" s="19" t="str">
        <f>IFERROR(VLOOKUP(J356,'03. THIẾT BỊ'!$B$1:$U$836,4,0),"")</f>
        <v>ĐQSD</v>
      </c>
      <c r="O356" s="19" t="str">
        <f>IFERROR(VLOOKUP(J356,'03. THIẾT BỊ'!$B$1:$U$836,7,0),"")</f>
        <v>Xoài AD</v>
      </c>
      <c r="P356" s="353" t="str">
        <f>IFERROR(VLOOKUP(O356,'NS QUẢN LÝ CG'!$A$4:$D$36,2,0),"")</f>
        <v/>
      </c>
      <c r="Q356" s="353" t="str">
        <f>IFERROR(VLOOKUP(O356,'NS QUẢN LÝ CG'!$A$4:$D$36,4,0),"")</f>
        <v/>
      </c>
      <c r="R356" s="353" t="str">
        <f>IFERROR(VLOOKUP(O356,'NS QUẢN LÝ CG'!$A$4:$C$36,3,0),"")</f>
        <v/>
      </c>
      <c r="S356" s="20" t="str">
        <f>IFERROR(VLOOKUP(J356,'03. THIẾT BỊ'!$B$1:$S$836,3,0),"")</f>
        <v>A22-DCR-001</v>
      </c>
      <c r="T356" s="708" t="str">
        <f t="shared" si="9"/>
        <v>ADM</v>
      </c>
      <c r="U356" s="708"/>
    </row>
    <row r="357" ht="13.8" spans="1:21">
      <c r="A357" s="19"/>
      <c r="B357" s="275"/>
      <c r="C357" s="20" t="str">
        <f>IFERROR(VLOOKUP(J357,'03. THIẾT BỊ'!$B$1:$U$836,5,0),"")</f>
        <v>Rơ mooc lưới ben</v>
      </c>
      <c r="D357" s="19">
        <v>1</v>
      </c>
      <c r="E357" s="19"/>
      <c r="F357" s="19"/>
      <c r="G357" s="19"/>
      <c r="H357" s="19">
        <f>IFERROR(VLOOKUP(J357,'03. THIẾT BỊ'!$B$1:$U$836,19,0),"")</f>
        <v>0</v>
      </c>
      <c r="I357" s="19">
        <f>IFERROR(VLOOKUP(J357,'03. THIẾT BỊ'!$B$1:$U$836,20,0),"")</f>
        <v>0</v>
      </c>
      <c r="J357" s="20" t="s">
        <v>5177</v>
      </c>
      <c r="K357" s="722" t="s">
        <v>5978</v>
      </c>
      <c r="L357" s="722"/>
      <c r="M357" s="722"/>
      <c r="N357" s="19" t="str">
        <f>IFERROR(VLOOKUP(J357,'03. THIẾT BỊ'!$B$1:$U$836,4,0),"")</f>
        <v>ĐQSD</v>
      </c>
      <c r="O357" s="19" t="str">
        <f>IFERROR(VLOOKUP(J357,'03. THIẾT BỊ'!$B$1:$U$836,7,0),"")</f>
        <v>Xoài AD</v>
      </c>
      <c r="P357" s="353" t="str">
        <f>IFERROR(VLOOKUP(O357,'NS QUẢN LÝ CG'!$A$4:$D$36,2,0),"")</f>
        <v/>
      </c>
      <c r="Q357" s="353" t="str">
        <f>IFERROR(VLOOKUP(O357,'NS QUẢN LÝ CG'!$A$4:$D$36,4,0),"")</f>
        <v/>
      </c>
      <c r="R357" s="353" t="str">
        <f>IFERROR(VLOOKUP(O357,'NS QUẢN LÝ CG'!$A$4:$C$36,3,0),"")</f>
        <v/>
      </c>
      <c r="S357" s="20" t="str">
        <f>IFERROR(VLOOKUP(J357,'03. THIẾT BỊ'!$B$1:$S$836,3,0),"")</f>
        <v>A22-MLB-001</v>
      </c>
      <c r="T357" s="708" t="str">
        <f t="shared" si="9"/>
        <v>ADM</v>
      </c>
      <c r="U357" s="708"/>
    </row>
    <row r="358" ht="13.8" spans="1:21">
      <c r="A358" s="19"/>
      <c r="B358" s="275"/>
      <c r="C358" s="20" t="str">
        <f>IFERROR(VLOOKUP(J358,'03. THIẾT BỊ'!$B$1:$U$836,5,0),"")</f>
        <v>Rơ mooc lưới</v>
      </c>
      <c r="D358" s="19">
        <v>1</v>
      </c>
      <c r="E358" s="19"/>
      <c r="F358" s="19"/>
      <c r="G358" s="19"/>
      <c r="H358" s="19">
        <f>IFERROR(VLOOKUP(J358,'03. THIẾT BỊ'!$B$1:$U$836,19,0),"")</f>
        <v>0</v>
      </c>
      <c r="I358" s="19">
        <f>IFERROR(VLOOKUP(J358,'03. THIẾT BỊ'!$B$1:$U$836,20,0),"")</f>
        <v>0</v>
      </c>
      <c r="J358" s="20" t="s">
        <v>5201</v>
      </c>
      <c r="K358" s="722" t="s">
        <v>5978</v>
      </c>
      <c r="L358" s="722"/>
      <c r="M358" s="722"/>
      <c r="N358" s="19" t="str">
        <f>IFERROR(VLOOKUP(J358,'03. THIẾT BỊ'!$B$1:$U$836,4,0),"")</f>
        <v>ĐQSD</v>
      </c>
      <c r="O358" s="19" t="str">
        <f>IFERROR(VLOOKUP(J358,'03. THIẾT BỊ'!$B$1:$U$836,7,0),"")</f>
        <v>Xoài DP</v>
      </c>
      <c r="P358" s="353" t="str">
        <f>IFERROR(VLOOKUP(O358,'NS QUẢN LÝ CG'!$A$4:$D$36,2,0),"")</f>
        <v>Hà Văn Nghĩa</v>
      </c>
      <c r="Q358" s="353" t="str">
        <f>IFERROR(VLOOKUP(O358,'NS QUẢN LÝ CG'!$A$4:$D$36,4,0),"")</f>
        <v>Lô 136 XN Xoài</v>
      </c>
      <c r="R358" s="1104" t="str">
        <f>IFERROR(VLOOKUP(O358,'NS QUẢN LÝ CG'!$A$4:$C$36,3,0),"")</f>
        <v>0813564564</v>
      </c>
      <c r="S358" s="20" t="str">
        <f>IFERROR(VLOOKUP(J358,'03. THIẾT BỊ'!$B$1:$S$836,3,0),"")</f>
        <v>A23-RML-001</v>
      </c>
      <c r="T358" s="708" t="str">
        <f t="shared" si="9"/>
        <v>DP</v>
      </c>
      <c r="U358" s="708"/>
    </row>
    <row r="359" ht="13.8" spans="1:21">
      <c r="A359" s="19"/>
      <c r="B359" s="278"/>
      <c r="C359" s="20" t="str">
        <f>IFERROR(VLOOKUP(J359,'03. THIẾT BỊ'!$B$1:$U$836,5,0),"")</f>
        <v>Rơ mooc lưới</v>
      </c>
      <c r="D359" s="19">
        <v>1</v>
      </c>
      <c r="E359" s="19"/>
      <c r="F359" s="19"/>
      <c r="G359" s="19"/>
      <c r="H359" s="19">
        <f>IFERROR(VLOOKUP(J359,'03. THIẾT BỊ'!$B$1:$U$836,19,0),"")</f>
        <v>0</v>
      </c>
      <c r="I359" s="19">
        <f>IFERROR(VLOOKUP(J359,'03. THIẾT BỊ'!$B$1:$U$836,20,0),"")</f>
        <v>0</v>
      </c>
      <c r="J359" s="20" t="s">
        <v>5205</v>
      </c>
      <c r="K359" s="722" t="s">
        <v>5978</v>
      </c>
      <c r="L359" s="722"/>
      <c r="M359" s="722"/>
      <c r="N359" s="19" t="str">
        <f>IFERROR(VLOOKUP(J359,'03. THIẾT BỊ'!$B$1:$U$836,4,0),"")</f>
        <v>ĐQSD</v>
      </c>
      <c r="O359" s="19" t="str">
        <f>IFERROR(VLOOKUP(J359,'03. THIẾT BỊ'!$B$1:$U$836,7,0),"")</f>
        <v>Xoài DP</v>
      </c>
      <c r="P359" s="353" t="str">
        <f>IFERROR(VLOOKUP(O359,'NS QUẢN LÝ CG'!$A$4:$D$36,2,0),"")</f>
        <v>Hà Văn Nghĩa</v>
      </c>
      <c r="Q359" s="353" t="str">
        <f>IFERROR(VLOOKUP(O359,'NS QUẢN LÝ CG'!$A$4:$D$36,4,0),"")</f>
        <v>Lô 136 XN Xoài</v>
      </c>
      <c r="R359" s="1104" t="str">
        <f>IFERROR(VLOOKUP(O359,'NS QUẢN LÝ CG'!$A$4:$C$36,3,0),"")</f>
        <v>0813564564</v>
      </c>
      <c r="S359" s="20" t="str">
        <f>IFERROR(VLOOKUP(J359,'03. THIẾT BỊ'!$B$1:$S$836,3,0),"")</f>
        <v>A23-RML-002</v>
      </c>
      <c r="T359" s="708" t="str">
        <f t="shared" si="9"/>
        <v>DP</v>
      </c>
      <c r="U359" s="708"/>
    </row>
    <row r="360" ht="13.8" spans="1:21">
      <c r="A360" s="19"/>
      <c r="C360" s="20" t="str">
        <f>IFERROR(VLOOKUP(J360,'03. THIẾT BỊ'!$B$1:$U$836,5,0),"")</f>
        <v/>
      </c>
      <c r="D360" s="19"/>
      <c r="E360" s="19"/>
      <c r="F360" s="19"/>
      <c r="G360" s="19"/>
      <c r="H360" s="19" t="str">
        <f>IFERROR(VLOOKUP(J360,'03. THIẾT BỊ'!$B$1:$U$836,19,0),"")</f>
        <v/>
      </c>
      <c r="I360" s="19" t="str">
        <f>IFERROR(VLOOKUP(J360,'03. THIẾT BỊ'!$B$1:$U$836,20,0),"")</f>
        <v/>
      </c>
      <c r="J360" s="20"/>
      <c r="K360" s="722"/>
      <c r="L360" s="722"/>
      <c r="M360" s="722"/>
      <c r="N360" s="19" t="str">
        <f>IFERROR(VLOOKUP(J360,'03. THIẾT BỊ'!$B$1:$U$836,4,0),"")</f>
        <v/>
      </c>
      <c r="O360" s="19" t="str">
        <f>IFERROR(VLOOKUP(J360,'03. THIẾT BỊ'!$B$1:$U$836,7,0),"")</f>
        <v/>
      </c>
      <c r="P360" s="20"/>
      <c r="Q360" s="20"/>
      <c r="R360" s="20"/>
      <c r="S360" s="20" t="str">
        <f>IFERROR(VLOOKUP(J360,'03. THIẾT BỊ'!$B$1:$S$836,3,0),"")</f>
        <v/>
      </c>
      <c r="T360" s="708"/>
      <c r="U360" s="708"/>
    </row>
    <row r="361" ht="13.8" spans="1:21">
      <c r="A361" s="19"/>
      <c r="C361" s="20" t="str">
        <f>IFERROR(VLOOKUP(J361,'03. THIẾT BỊ'!$B$1:$U$836,5,0),"")</f>
        <v/>
      </c>
      <c r="D361" s="19"/>
      <c r="E361" s="19"/>
      <c r="F361" s="19"/>
      <c r="G361" s="19"/>
      <c r="H361" s="19" t="str">
        <f>IFERROR(VLOOKUP(J361,'03. THIẾT BỊ'!$B$1:$U$836,19,0),"")</f>
        <v/>
      </c>
      <c r="I361" s="19" t="str">
        <f>IFERROR(VLOOKUP(J361,'03. THIẾT BỊ'!$B$1:$U$836,20,0),"")</f>
        <v/>
      </c>
      <c r="J361" s="20"/>
      <c r="K361" s="722"/>
      <c r="L361" s="722"/>
      <c r="M361" s="722"/>
      <c r="N361" s="19" t="str">
        <f>IFERROR(VLOOKUP(J361,'03. THIẾT BỊ'!$B$1:$U$836,4,0),"")</f>
        <v/>
      </c>
      <c r="O361" s="19" t="str">
        <f>IFERROR(VLOOKUP(J361,'03. THIẾT BỊ'!$B$1:$U$836,7,0),"")</f>
        <v/>
      </c>
      <c r="P361" s="20"/>
      <c r="Q361" s="20"/>
      <c r="R361" s="20"/>
      <c r="S361" s="20" t="str">
        <f>IFERROR(VLOOKUP(J361,'03. THIẾT BỊ'!$B$1:$S$836,3,0),"")</f>
        <v/>
      </c>
      <c r="T361" s="708"/>
      <c r="U361" s="708"/>
    </row>
    <row r="362" ht="13.8" spans="1:21">
      <c r="A362" s="702" t="s">
        <v>6060</v>
      </c>
      <c r="B362" s="271"/>
      <c r="C362" s="272"/>
      <c r="D362" s="724">
        <f>SUM(D363:D383)</f>
        <v>19</v>
      </c>
      <c r="E362" s="703"/>
      <c r="F362" s="703"/>
      <c r="G362" s="703"/>
      <c r="H362" s="703"/>
      <c r="I362" s="703"/>
      <c r="J362" s="60"/>
      <c r="K362" s="703"/>
      <c r="L362" s="703"/>
      <c r="M362" s="703"/>
      <c r="N362" s="60"/>
      <c r="O362" s="60"/>
      <c r="P362" s="60"/>
      <c r="Q362" s="60"/>
      <c r="R362" s="60"/>
      <c r="S362" s="60"/>
      <c r="T362" s="704"/>
      <c r="U362" s="704"/>
    </row>
    <row r="363" ht="13.8" spans="1:21">
      <c r="A363" s="19"/>
      <c r="C363" s="20" t="str">
        <f>IFERROR(VLOOKUP(J363,'03. THIẾT BỊ'!$B$1:$U$836,5,0),"")</f>
        <v>SMRM LCD</v>
      </c>
      <c r="D363" s="19">
        <v>1</v>
      </c>
      <c r="E363" s="19" t="s">
        <v>5978</v>
      </c>
      <c r="F363" s="19"/>
      <c r="G363" s="19"/>
      <c r="H363" s="19">
        <f>IFERROR(VLOOKUP(J363,'03. THIẾT BỊ'!$B$1:$U$836,19,0),"")</f>
        <v>0</v>
      </c>
      <c r="I363" s="19">
        <f>IFERROR(VLOOKUP(J363,'03. THIẾT BỊ'!$B$1:$U$836,20,0),"")</f>
        <v>0</v>
      </c>
      <c r="J363" s="20" t="s">
        <v>5774</v>
      </c>
      <c r="K363" s="722" t="s">
        <v>5978</v>
      </c>
      <c r="L363" s="722"/>
      <c r="M363" s="722"/>
      <c r="N363" s="19" t="str">
        <f>IFERROR(VLOOKUP(J363,'03. THIẾT BỊ'!$B$1:$U$836,4,0),"")</f>
        <v>THUÊ THILOGI</v>
      </c>
      <c r="O363" s="19" t="str">
        <f>IFERROR(VLOOKUP(J363,'03. THIẾT BỊ'!$B$1:$U$836,7,0),"")</f>
        <v>Phòng GNVC</v>
      </c>
      <c r="P363" s="353" t="str">
        <f>IFERROR(VLOOKUP(O363,'NS QUẢN LÝ CG'!$A$4:$D$36,2,0),"")</f>
        <v/>
      </c>
      <c r="Q363" s="353" t="str">
        <f>IFERROR(VLOOKUP(O363,'NS QUẢN LÝ CG'!$A$4:$D$36,4,0),"")</f>
        <v/>
      </c>
      <c r="R363" s="353" t="str">
        <f>IFERROR(VLOOKUP(O363,'NS QUẢN LÝ CG'!$A$4:$C$36,3,0),"")</f>
        <v/>
      </c>
      <c r="S363" s="20">
        <f>IFERROR(VLOOKUP(J363,'03. THIẾT BỊ'!$B$1:$S$836,3,0),"")</f>
        <v>0</v>
      </c>
      <c r="T363" s="708" t="str">
        <f t="shared" ref="T363:T381" si="10">_xlfn.SWITCH(LEFT(S363,3),"A22","ADM","A23","DP","A24","LP","")</f>
        <v/>
      </c>
      <c r="U363" s="708"/>
    </row>
    <row r="364" ht="13.8" spans="1:21">
      <c r="A364" s="19"/>
      <c r="C364" s="20" t="str">
        <f>IFERROR(VLOOKUP(J364,'03. THIẾT BỊ'!$B$1:$U$836,5,0),"")</f>
        <v>SMRM LCD</v>
      </c>
      <c r="D364" s="19">
        <v>1</v>
      </c>
      <c r="E364" s="19" t="s">
        <v>5978</v>
      </c>
      <c r="F364" s="19"/>
      <c r="G364" s="19"/>
      <c r="H364" s="19">
        <f>IFERROR(VLOOKUP(J364,'03. THIẾT BỊ'!$B$1:$U$836,19,0),"")</f>
        <v>0</v>
      </c>
      <c r="I364" s="19">
        <f>IFERROR(VLOOKUP(J364,'03. THIẾT BỊ'!$B$1:$U$836,20,0),"")</f>
        <v>0</v>
      </c>
      <c r="J364" s="20" t="s">
        <v>5778</v>
      </c>
      <c r="K364" s="722" t="s">
        <v>5978</v>
      </c>
      <c r="L364" s="722"/>
      <c r="M364" s="722"/>
      <c r="N364" s="19" t="str">
        <f>IFERROR(VLOOKUP(J364,'03. THIẾT BỊ'!$B$1:$U$836,4,0),"")</f>
        <v>THUÊ THILOGI</v>
      </c>
      <c r="O364" s="19" t="str">
        <f>IFERROR(VLOOKUP(J364,'03. THIẾT BỊ'!$B$1:$U$836,7,0),"")</f>
        <v>Phòng GNVC</v>
      </c>
      <c r="P364" s="353" t="str">
        <f>IFERROR(VLOOKUP(O364,'NS QUẢN LÝ CG'!$A$4:$D$36,2,0),"")</f>
        <v/>
      </c>
      <c r="Q364" s="353" t="str">
        <f>IFERROR(VLOOKUP(O364,'NS QUẢN LÝ CG'!$A$4:$D$36,4,0),"")</f>
        <v/>
      </c>
      <c r="R364" s="353" t="str">
        <f>IFERROR(VLOOKUP(O364,'NS QUẢN LÝ CG'!$A$4:$C$36,3,0),"")</f>
        <v/>
      </c>
      <c r="S364" s="20">
        <f>IFERROR(VLOOKUP(J364,'03. THIẾT BỊ'!$B$1:$S$836,3,0),"")</f>
        <v>0</v>
      </c>
      <c r="T364" s="708" t="str">
        <f t="shared" si="10"/>
        <v/>
      </c>
      <c r="U364" s="708"/>
    </row>
    <row r="365" ht="13.8" spans="1:21">
      <c r="A365" s="19"/>
      <c r="C365" s="20" t="str">
        <f>IFERROR(VLOOKUP(J365,'03. THIẾT BỊ'!$B$1:$U$836,5,0),"")</f>
        <v>SMRM LCD</v>
      </c>
      <c r="D365" s="19">
        <v>1</v>
      </c>
      <c r="E365" s="19" t="s">
        <v>5978</v>
      </c>
      <c r="F365" s="19"/>
      <c r="G365" s="19"/>
      <c r="H365" s="19">
        <f>IFERROR(VLOOKUP(J365,'03. THIẾT BỊ'!$B$1:$U$836,19,0),"")</f>
        <v>0</v>
      </c>
      <c r="I365" s="19">
        <f>IFERROR(VLOOKUP(J365,'03. THIẾT BỊ'!$B$1:$U$836,20,0),"")</f>
        <v>0</v>
      </c>
      <c r="J365" s="20" t="s">
        <v>5781</v>
      </c>
      <c r="K365" s="722" t="s">
        <v>5978</v>
      </c>
      <c r="L365" s="722"/>
      <c r="M365" s="722"/>
      <c r="N365" s="19" t="str">
        <f>IFERROR(VLOOKUP(J365,'03. THIẾT BỊ'!$B$1:$U$836,4,0),"")</f>
        <v>THUÊ THILOGI</v>
      </c>
      <c r="O365" s="19" t="str">
        <f>IFERROR(VLOOKUP(J365,'03. THIẾT BỊ'!$B$1:$U$836,7,0),"")</f>
        <v>Phòng GNVC</v>
      </c>
      <c r="P365" s="353" t="str">
        <f>IFERROR(VLOOKUP(O365,'NS QUẢN LÝ CG'!$A$4:$D$36,2,0),"")</f>
        <v/>
      </c>
      <c r="Q365" s="353" t="str">
        <f>IFERROR(VLOOKUP(O365,'NS QUẢN LÝ CG'!$A$4:$D$36,4,0),"")</f>
        <v/>
      </c>
      <c r="R365" s="353" t="str">
        <f>IFERROR(VLOOKUP(O365,'NS QUẢN LÝ CG'!$A$4:$C$36,3,0),"")</f>
        <v/>
      </c>
      <c r="S365" s="20">
        <f>IFERROR(VLOOKUP(J365,'03. THIẾT BỊ'!$B$1:$S$836,3,0),"")</f>
        <v>0</v>
      </c>
      <c r="T365" s="708" t="str">
        <f t="shared" si="10"/>
        <v/>
      </c>
      <c r="U365" s="708"/>
    </row>
    <row r="366" ht="13.8" spans="1:21">
      <c r="A366" s="19"/>
      <c r="C366" s="20" t="str">
        <f>IFERROR(VLOOKUP(J366,'03. THIẾT BỊ'!$B$1:$U$836,5,0),"")</f>
        <v>SMRM LCD</v>
      </c>
      <c r="D366" s="19">
        <v>1</v>
      </c>
      <c r="E366" s="19" t="s">
        <v>5978</v>
      </c>
      <c r="F366" s="19"/>
      <c r="G366" s="19"/>
      <c r="H366" s="19">
        <f>IFERROR(VLOOKUP(J366,'03. THIẾT BỊ'!$B$1:$U$836,19,0),"")</f>
        <v>0</v>
      </c>
      <c r="I366" s="19">
        <f>IFERROR(VLOOKUP(J366,'03. THIẾT BỊ'!$B$1:$U$836,20,0),"")</f>
        <v>0</v>
      </c>
      <c r="J366" s="20" t="s">
        <v>5784</v>
      </c>
      <c r="K366" s="722" t="s">
        <v>5978</v>
      </c>
      <c r="L366" s="722"/>
      <c r="M366" s="722"/>
      <c r="N366" s="19" t="str">
        <f>IFERROR(VLOOKUP(J366,'03. THIẾT BỊ'!$B$1:$U$836,4,0),"")</f>
        <v>THUÊ THILOGI</v>
      </c>
      <c r="O366" s="19" t="str">
        <f>IFERROR(VLOOKUP(J366,'03. THIẾT BỊ'!$B$1:$U$836,7,0),"")</f>
        <v>Phòng GNVC</v>
      </c>
      <c r="P366" s="353" t="str">
        <f>IFERROR(VLOOKUP(O366,'NS QUẢN LÝ CG'!$A$4:$D$36,2,0),"")</f>
        <v/>
      </c>
      <c r="Q366" s="353" t="str">
        <f>IFERROR(VLOOKUP(O366,'NS QUẢN LÝ CG'!$A$4:$D$36,4,0),"")</f>
        <v/>
      </c>
      <c r="R366" s="353" t="str">
        <f>IFERROR(VLOOKUP(O366,'NS QUẢN LÝ CG'!$A$4:$C$36,3,0),"")</f>
        <v/>
      </c>
      <c r="S366" s="20">
        <f>IFERROR(VLOOKUP(J366,'03. THIẾT BỊ'!$B$1:$S$836,3,0),"")</f>
        <v>0</v>
      </c>
      <c r="T366" s="708" t="str">
        <f t="shared" si="10"/>
        <v/>
      </c>
      <c r="U366" s="708"/>
    </row>
    <row r="367" ht="13.8" spans="1:21">
      <c r="A367" s="19"/>
      <c r="C367" s="20" t="str">
        <f>IFERROR(VLOOKUP(J367,'03. THIẾT BỊ'!$B$1:$U$836,5,0),"")</f>
        <v>SMRM LCD</v>
      </c>
      <c r="D367" s="19">
        <v>1</v>
      </c>
      <c r="E367" s="19" t="s">
        <v>5978</v>
      </c>
      <c r="F367" s="19"/>
      <c r="G367" s="19"/>
      <c r="H367" s="19">
        <f>IFERROR(VLOOKUP(J367,'03. THIẾT BỊ'!$B$1:$U$836,19,0),"")</f>
        <v>0</v>
      </c>
      <c r="I367" s="19">
        <f>IFERROR(VLOOKUP(J367,'03. THIẾT BỊ'!$B$1:$U$836,20,0),"")</f>
        <v>0</v>
      </c>
      <c r="J367" s="20" t="s">
        <v>5787</v>
      </c>
      <c r="K367" s="722" t="s">
        <v>5978</v>
      </c>
      <c r="L367" s="722"/>
      <c r="M367" s="722"/>
      <c r="N367" s="19" t="str">
        <f>IFERROR(VLOOKUP(J367,'03. THIẾT BỊ'!$B$1:$U$836,4,0),"")</f>
        <v>THUÊ THILOGI</v>
      </c>
      <c r="O367" s="19" t="str">
        <f>IFERROR(VLOOKUP(J367,'03. THIẾT BỊ'!$B$1:$U$836,7,0),"")</f>
        <v>Phòng GNVC</v>
      </c>
      <c r="P367" s="353" t="str">
        <f>IFERROR(VLOOKUP(O367,'NS QUẢN LÝ CG'!$A$4:$D$36,2,0),"")</f>
        <v/>
      </c>
      <c r="Q367" s="353" t="str">
        <f>IFERROR(VLOOKUP(O367,'NS QUẢN LÝ CG'!$A$4:$D$36,4,0),"")</f>
        <v/>
      </c>
      <c r="R367" s="353" t="str">
        <f>IFERROR(VLOOKUP(O367,'NS QUẢN LÝ CG'!$A$4:$C$36,3,0),"")</f>
        <v/>
      </c>
      <c r="S367" s="20">
        <f>IFERROR(VLOOKUP(J367,'03. THIẾT BỊ'!$B$1:$S$836,3,0),"")</f>
        <v>0</v>
      </c>
      <c r="T367" s="708" t="str">
        <f t="shared" si="10"/>
        <v/>
      </c>
      <c r="U367" s="708"/>
    </row>
    <row r="368" ht="13.8" spans="1:21">
      <c r="A368" s="19"/>
      <c r="C368" s="20" t="str">
        <f>IFERROR(VLOOKUP(J368,'03. THIẾT BỊ'!$B$1:$U$836,5,0),"")</f>
        <v>SMRM LCD</v>
      </c>
      <c r="D368" s="19">
        <v>1</v>
      </c>
      <c r="E368" s="19" t="s">
        <v>5978</v>
      </c>
      <c r="F368" s="19"/>
      <c r="G368" s="19"/>
      <c r="H368" s="19">
        <f>IFERROR(VLOOKUP(J368,'03. THIẾT BỊ'!$B$1:$U$836,19,0),"")</f>
        <v>0</v>
      </c>
      <c r="I368" s="19">
        <f>IFERROR(VLOOKUP(J368,'03. THIẾT BỊ'!$B$1:$U$836,20,0),"")</f>
        <v>0</v>
      </c>
      <c r="J368" s="20" t="s">
        <v>5790</v>
      </c>
      <c r="K368" s="722" t="s">
        <v>5978</v>
      </c>
      <c r="L368" s="722"/>
      <c r="M368" s="722"/>
      <c r="N368" s="19" t="str">
        <f>IFERROR(VLOOKUP(J368,'03. THIẾT BỊ'!$B$1:$U$836,4,0),"")</f>
        <v>THUÊ THILOGI</v>
      </c>
      <c r="O368" s="19" t="str">
        <f>IFERROR(VLOOKUP(J368,'03. THIẾT BỊ'!$B$1:$U$836,7,0),"")</f>
        <v>Phòng GNVC</v>
      </c>
      <c r="P368" s="353" t="str">
        <f>IFERROR(VLOOKUP(O368,'NS QUẢN LÝ CG'!$A$4:$D$36,2,0),"")</f>
        <v/>
      </c>
      <c r="Q368" s="353" t="str">
        <f>IFERROR(VLOOKUP(O368,'NS QUẢN LÝ CG'!$A$4:$D$36,4,0),"")</f>
        <v/>
      </c>
      <c r="R368" s="353" t="str">
        <f>IFERROR(VLOOKUP(O368,'NS QUẢN LÝ CG'!$A$4:$C$36,3,0),"")</f>
        <v/>
      </c>
      <c r="S368" s="20">
        <f>IFERROR(VLOOKUP(J368,'03. THIẾT BỊ'!$B$1:$S$836,3,0),"")</f>
        <v>0</v>
      </c>
      <c r="T368" s="708" t="str">
        <f t="shared" si="10"/>
        <v/>
      </c>
      <c r="U368" s="708"/>
    </row>
    <row r="369" ht="13.8" spans="1:21">
      <c r="A369" s="19"/>
      <c r="C369" s="20" t="str">
        <f>IFERROR(VLOOKUP(J369,'03. THIẾT BỊ'!$B$1:$U$836,5,0),"")</f>
        <v>SMRM LCD</v>
      </c>
      <c r="D369" s="19">
        <v>1</v>
      </c>
      <c r="E369" s="19" t="s">
        <v>5978</v>
      </c>
      <c r="F369" s="19"/>
      <c r="G369" s="19"/>
      <c r="H369" s="19">
        <f>IFERROR(VLOOKUP(J369,'03. THIẾT BỊ'!$B$1:$U$836,19,0),"")</f>
        <v>0</v>
      </c>
      <c r="I369" s="19">
        <f>IFERROR(VLOOKUP(J369,'03. THIẾT BỊ'!$B$1:$U$836,20,0),"")</f>
        <v>0</v>
      </c>
      <c r="J369" s="20" t="s">
        <v>5793</v>
      </c>
      <c r="K369" s="722" t="s">
        <v>5978</v>
      </c>
      <c r="L369" s="722"/>
      <c r="M369" s="722"/>
      <c r="N369" s="19" t="str">
        <f>IFERROR(VLOOKUP(J369,'03. THIẾT BỊ'!$B$1:$U$836,4,0),"")</f>
        <v>THUÊ THILOGI</v>
      </c>
      <c r="O369" s="19" t="str">
        <f>IFERROR(VLOOKUP(J369,'03. THIẾT BỊ'!$B$1:$U$836,7,0),"")</f>
        <v>Phòng GNVC</v>
      </c>
      <c r="P369" s="353" t="str">
        <f>IFERROR(VLOOKUP(O369,'NS QUẢN LÝ CG'!$A$4:$D$36,2,0),"")</f>
        <v/>
      </c>
      <c r="Q369" s="353" t="str">
        <f>IFERROR(VLOOKUP(O369,'NS QUẢN LÝ CG'!$A$4:$D$36,4,0),"")</f>
        <v/>
      </c>
      <c r="R369" s="353" t="str">
        <f>IFERROR(VLOOKUP(O369,'NS QUẢN LÝ CG'!$A$4:$C$36,3,0),"")</f>
        <v/>
      </c>
      <c r="S369" s="20">
        <f>IFERROR(VLOOKUP(J369,'03. THIẾT BỊ'!$B$1:$S$836,3,0),"")</f>
        <v>0</v>
      </c>
      <c r="T369" s="708" t="str">
        <f t="shared" si="10"/>
        <v/>
      </c>
      <c r="U369" s="708"/>
    </row>
    <row r="370" ht="13.8" spans="1:21">
      <c r="A370" s="19"/>
      <c r="C370" s="20" t="str">
        <f>IFERROR(VLOOKUP(J370,'03. THIẾT BỊ'!$B$1:$U$836,5,0),"")</f>
        <v>SMRM xương sàn/mooc OPT</v>
      </c>
      <c r="D370" s="19">
        <v>1</v>
      </c>
      <c r="E370" s="19" t="s">
        <v>5978</v>
      </c>
      <c r="F370" s="19"/>
      <c r="G370" s="19"/>
      <c r="H370" s="19">
        <f>IFERROR(VLOOKUP(J370,'03. THIẾT BỊ'!$B$1:$U$836,19,0),"")</f>
        <v>0</v>
      </c>
      <c r="I370" s="19">
        <f>IFERROR(VLOOKUP(J370,'03. THIẾT BỊ'!$B$1:$U$836,20,0),"")</f>
        <v>0</v>
      </c>
      <c r="J370" s="20" t="s">
        <v>5796</v>
      </c>
      <c r="K370" s="722" t="s">
        <v>5978</v>
      </c>
      <c r="L370" s="722"/>
      <c r="M370" s="722"/>
      <c r="N370" s="19" t="str">
        <f>IFERROR(VLOOKUP(J370,'03. THIẾT BỊ'!$B$1:$U$836,4,0),"")</f>
        <v>THUÊ THILOGI</v>
      </c>
      <c r="O370" s="19" t="str">
        <f>IFERROR(VLOOKUP(J370,'03. THIẾT BỊ'!$B$1:$U$836,7,0),"")</f>
        <v>Phòng GNVC</v>
      </c>
      <c r="P370" s="353" t="str">
        <f>IFERROR(VLOOKUP(O370,'NS QUẢN LÝ CG'!$A$4:$D$36,2,0),"")</f>
        <v/>
      </c>
      <c r="Q370" s="353" t="str">
        <f>IFERROR(VLOOKUP(O370,'NS QUẢN LÝ CG'!$A$4:$D$36,4,0),"")</f>
        <v/>
      </c>
      <c r="R370" s="353" t="str">
        <f>IFERROR(VLOOKUP(O370,'NS QUẢN LÝ CG'!$A$4:$C$36,3,0),"")</f>
        <v/>
      </c>
      <c r="S370" s="20">
        <f>IFERROR(VLOOKUP(J370,'03. THIẾT BỊ'!$B$1:$S$836,3,0),"")</f>
        <v>0</v>
      </c>
      <c r="T370" s="708" t="str">
        <f t="shared" si="10"/>
        <v/>
      </c>
      <c r="U370" s="708"/>
    </row>
    <row r="371" ht="13.8" spans="1:21">
      <c r="A371" s="19"/>
      <c r="C371" s="20" t="str">
        <f>IFERROR(VLOOKUP(J371,'03. THIẾT BỊ'!$B$1:$U$836,5,0),"")</f>
        <v>SMRM xương sàn/mooc OPT</v>
      </c>
      <c r="D371" s="19">
        <v>1</v>
      </c>
      <c r="E371" s="19" t="s">
        <v>5978</v>
      </c>
      <c r="F371" s="19"/>
      <c r="G371" s="19"/>
      <c r="H371" s="19">
        <f>IFERROR(VLOOKUP(J371,'03. THIẾT BỊ'!$B$1:$U$836,19,0),"")</f>
        <v>0</v>
      </c>
      <c r="I371" s="19">
        <f>IFERROR(VLOOKUP(J371,'03. THIẾT BỊ'!$B$1:$U$836,20,0),"")</f>
        <v>0</v>
      </c>
      <c r="J371" s="20" t="s">
        <v>5800</v>
      </c>
      <c r="K371" s="722" t="s">
        <v>5978</v>
      </c>
      <c r="L371" s="722"/>
      <c r="M371" s="722"/>
      <c r="N371" s="19" t="str">
        <f>IFERROR(VLOOKUP(J371,'03. THIẾT BỊ'!$B$1:$U$836,4,0),"")</f>
        <v>THUÊ THILOGI</v>
      </c>
      <c r="O371" s="19" t="str">
        <f>IFERROR(VLOOKUP(J371,'03. THIẾT BỊ'!$B$1:$U$836,7,0),"")</f>
        <v>Phòng GNVC</v>
      </c>
      <c r="P371" s="353" t="str">
        <f>IFERROR(VLOOKUP(O371,'NS QUẢN LÝ CG'!$A$4:$D$36,2,0),"")</f>
        <v/>
      </c>
      <c r="Q371" s="353" t="str">
        <f>IFERROR(VLOOKUP(O371,'NS QUẢN LÝ CG'!$A$4:$D$36,4,0),"")</f>
        <v/>
      </c>
      <c r="R371" s="353" t="str">
        <f>IFERROR(VLOOKUP(O371,'NS QUẢN LÝ CG'!$A$4:$C$36,3,0),"")</f>
        <v/>
      </c>
      <c r="S371" s="20">
        <f>IFERROR(VLOOKUP(J371,'03. THIẾT BỊ'!$B$1:$S$836,3,0),"")</f>
        <v>0</v>
      </c>
      <c r="T371" s="708" t="str">
        <f t="shared" si="10"/>
        <v/>
      </c>
      <c r="U371" s="708"/>
    </row>
    <row r="372" ht="13.8" spans="1:21">
      <c r="A372" s="19"/>
      <c r="C372" s="20" t="str">
        <f>IFERROR(VLOOKUP(J372,'03. THIẾT BỊ'!$B$1:$U$836,5,0),"")</f>
        <v>SMRM LCD</v>
      </c>
      <c r="D372" s="19">
        <v>1</v>
      </c>
      <c r="E372" s="19" t="s">
        <v>5978</v>
      </c>
      <c r="F372" s="19"/>
      <c r="G372" s="19"/>
      <c r="H372" s="19">
        <f>IFERROR(VLOOKUP(J372,'03. THIẾT BỊ'!$B$1:$U$836,19,0),"")</f>
        <v>0</v>
      </c>
      <c r="I372" s="19">
        <f>IFERROR(VLOOKUP(J372,'03. THIẾT BỊ'!$B$1:$U$836,20,0),"")</f>
        <v>0</v>
      </c>
      <c r="J372" s="20" t="s">
        <v>5804</v>
      </c>
      <c r="K372" s="722" t="s">
        <v>5978</v>
      </c>
      <c r="L372" s="722"/>
      <c r="M372" s="722"/>
      <c r="N372" s="19" t="str">
        <f>IFERROR(VLOOKUP(J372,'03. THIẾT BỊ'!$B$1:$U$836,4,0),"")</f>
        <v>THUÊ THILOGI</v>
      </c>
      <c r="O372" s="19" t="str">
        <f>IFERROR(VLOOKUP(J372,'03. THIẾT BỊ'!$B$1:$U$836,7,0),"")</f>
        <v>Phòng GNVC</v>
      </c>
      <c r="P372" s="353" t="str">
        <f>IFERROR(VLOOKUP(O372,'NS QUẢN LÝ CG'!$A$4:$D$36,2,0),"")</f>
        <v/>
      </c>
      <c r="Q372" s="353" t="str">
        <f>IFERROR(VLOOKUP(O372,'NS QUẢN LÝ CG'!$A$4:$D$36,4,0),"")</f>
        <v/>
      </c>
      <c r="R372" s="353" t="str">
        <f>IFERROR(VLOOKUP(O372,'NS QUẢN LÝ CG'!$A$4:$C$36,3,0),"")</f>
        <v/>
      </c>
      <c r="S372" s="20">
        <f>IFERROR(VLOOKUP(J372,'03. THIẾT BỊ'!$B$1:$S$836,3,0),"")</f>
        <v>0</v>
      </c>
      <c r="T372" s="708" t="str">
        <f t="shared" si="10"/>
        <v/>
      </c>
      <c r="U372" s="708"/>
    </row>
    <row r="373" ht="13.8" spans="1:21">
      <c r="A373" s="19"/>
      <c r="C373" s="20" t="str">
        <f>IFERROR(VLOOKUP(J373,'03. THIẾT BỊ'!$B$1:$U$836,5,0),"")</f>
        <v>SMRM xương sàn/mooc OPT</v>
      </c>
      <c r="D373" s="19">
        <v>1</v>
      </c>
      <c r="E373" s="19" t="s">
        <v>5978</v>
      </c>
      <c r="F373" s="19"/>
      <c r="G373" s="19"/>
      <c r="H373" s="19">
        <f>IFERROR(VLOOKUP(J373,'03. THIẾT BỊ'!$B$1:$U$836,19,0),"")</f>
        <v>0</v>
      </c>
      <c r="I373" s="19">
        <f>IFERROR(VLOOKUP(J373,'03. THIẾT BỊ'!$B$1:$U$836,20,0),"")</f>
        <v>0</v>
      </c>
      <c r="J373" s="20" t="s">
        <v>5807</v>
      </c>
      <c r="K373" s="722" t="s">
        <v>5978</v>
      </c>
      <c r="L373" s="722"/>
      <c r="M373" s="722"/>
      <c r="N373" s="19" t="str">
        <f>IFERROR(VLOOKUP(J373,'03. THIẾT BỊ'!$B$1:$U$836,4,0),"")</f>
        <v>THUÊ THILOGI</v>
      </c>
      <c r="O373" s="19" t="str">
        <f>IFERROR(VLOOKUP(J373,'03. THIẾT BỊ'!$B$1:$U$836,7,0),"")</f>
        <v>Phòng GNVC</v>
      </c>
      <c r="P373" s="353" t="str">
        <f>IFERROR(VLOOKUP(O373,'NS QUẢN LÝ CG'!$A$4:$D$36,2,0),"")</f>
        <v/>
      </c>
      <c r="Q373" s="353" t="str">
        <f>IFERROR(VLOOKUP(O373,'NS QUẢN LÝ CG'!$A$4:$D$36,4,0),"")</f>
        <v/>
      </c>
      <c r="R373" s="353" t="str">
        <f>IFERROR(VLOOKUP(O373,'NS QUẢN LÝ CG'!$A$4:$C$36,3,0),"")</f>
        <v/>
      </c>
      <c r="S373" s="20">
        <f>IFERROR(VLOOKUP(J373,'03. THIẾT BỊ'!$B$1:$S$836,3,0),"")</f>
        <v>0</v>
      </c>
      <c r="T373" s="708" t="str">
        <f t="shared" si="10"/>
        <v/>
      </c>
      <c r="U373" s="708"/>
    </row>
    <row r="374" ht="13.8" spans="1:21">
      <c r="A374" s="19"/>
      <c r="C374" s="20" t="str">
        <f>IFERROR(VLOOKUP(J374,'03. THIẾT BỊ'!$B$1:$U$836,5,0),"")</f>
        <v>SMRM xương sàn/mooc OPT</v>
      </c>
      <c r="D374" s="19">
        <v>1</v>
      </c>
      <c r="E374" s="19" t="s">
        <v>5978</v>
      </c>
      <c r="F374" s="19"/>
      <c r="G374" s="19"/>
      <c r="H374" s="19">
        <f>IFERROR(VLOOKUP(J374,'03. THIẾT BỊ'!$B$1:$U$836,19,0),"")</f>
        <v>0</v>
      </c>
      <c r="I374" s="19">
        <f>IFERROR(VLOOKUP(J374,'03. THIẾT BỊ'!$B$1:$U$836,20,0),"")</f>
        <v>0</v>
      </c>
      <c r="J374" s="20" t="s">
        <v>5810</v>
      </c>
      <c r="K374" s="722" t="s">
        <v>5978</v>
      </c>
      <c r="L374" s="722"/>
      <c r="M374" s="722"/>
      <c r="N374" s="19" t="str">
        <f>IFERROR(VLOOKUP(J374,'03. THIẾT BỊ'!$B$1:$U$836,4,0),"")</f>
        <v>THUÊ THILOGI</v>
      </c>
      <c r="O374" s="19" t="str">
        <f>IFERROR(VLOOKUP(J374,'03. THIẾT BỊ'!$B$1:$U$836,7,0),"")</f>
        <v>Phòng GNVC</v>
      </c>
      <c r="P374" s="353" t="str">
        <f>IFERROR(VLOOKUP(O374,'NS QUẢN LÝ CG'!$A$4:$D$36,2,0),"")</f>
        <v/>
      </c>
      <c r="Q374" s="353" t="str">
        <f>IFERROR(VLOOKUP(O374,'NS QUẢN LÝ CG'!$A$4:$D$36,4,0),"")</f>
        <v/>
      </c>
      <c r="R374" s="353" t="str">
        <f>IFERROR(VLOOKUP(O374,'NS QUẢN LÝ CG'!$A$4:$C$36,3,0),"")</f>
        <v/>
      </c>
      <c r="S374" s="20">
        <f>IFERROR(VLOOKUP(J374,'03. THIẾT BỊ'!$B$1:$S$836,3,0),"")</f>
        <v>0</v>
      </c>
      <c r="T374" s="708" t="str">
        <f t="shared" si="10"/>
        <v/>
      </c>
      <c r="U374" s="708"/>
    </row>
    <row r="375" ht="13.8" spans="1:21">
      <c r="A375" s="19"/>
      <c r="C375" s="20" t="str">
        <f>IFERROR(VLOOKUP(J375,'03. THIẾT BỊ'!$B$1:$U$836,5,0),"")</f>
        <v>SMRM xương sàn/mooc OPT</v>
      </c>
      <c r="D375" s="19">
        <v>1</v>
      </c>
      <c r="E375" s="19" t="s">
        <v>5978</v>
      </c>
      <c r="F375" s="19"/>
      <c r="G375" s="19"/>
      <c r="H375" s="19">
        <f>IFERROR(VLOOKUP(J375,'03. THIẾT BỊ'!$B$1:$U$836,19,0),"")</f>
        <v>0</v>
      </c>
      <c r="I375" s="19">
        <f>IFERROR(VLOOKUP(J375,'03. THIẾT BỊ'!$B$1:$U$836,20,0),"")</f>
        <v>0</v>
      </c>
      <c r="J375" s="20" t="s">
        <v>5813</v>
      </c>
      <c r="K375" s="722" t="s">
        <v>5978</v>
      </c>
      <c r="L375" s="722"/>
      <c r="M375" s="722"/>
      <c r="N375" s="19" t="str">
        <f>IFERROR(VLOOKUP(J375,'03. THIẾT BỊ'!$B$1:$U$836,4,0),"")</f>
        <v>THUÊ THILOGI</v>
      </c>
      <c r="O375" s="19" t="str">
        <f>IFERROR(VLOOKUP(J375,'03. THIẾT BỊ'!$B$1:$U$836,7,0),"")</f>
        <v>Phòng GNVC</v>
      </c>
      <c r="P375" s="353" t="str">
        <f>IFERROR(VLOOKUP(O375,'NS QUẢN LÝ CG'!$A$4:$D$36,2,0),"")</f>
        <v/>
      </c>
      <c r="Q375" s="353" t="str">
        <f>IFERROR(VLOOKUP(O375,'NS QUẢN LÝ CG'!$A$4:$D$36,4,0),"")</f>
        <v/>
      </c>
      <c r="R375" s="353" t="str">
        <f>IFERROR(VLOOKUP(O375,'NS QUẢN LÝ CG'!$A$4:$C$36,3,0),"")</f>
        <v/>
      </c>
      <c r="S375" s="20">
        <f>IFERROR(VLOOKUP(J375,'03. THIẾT BỊ'!$B$1:$S$836,3,0),"")</f>
        <v>0</v>
      </c>
      <c r="T375" s="708" t="str">
        <f t="shared" si="10"/>
        <v/>
      </c>
      <c r="U375" s="708"/>
    </row>
    <row r="376" ht="13.8" spans="1:21">
      <c r="A376" s="19"/>
      <c r="C376" s="20" t="str">
        <f>IFERROR(VLOOKUP(J376,'03. THIẾT BỊ'!$B$1:$U$836,5,0),"")</f>
        <v>SMRM xương sàn/mooc OPT</v>
      </c>
      <c r="D376" s="19">
        <v>1</v>
      </c>
      <c r="E376" s="19" t="s">
        <v>5978</v>
      </c>
      <c r="F376" s="19"/>
      <c r="G376" s="19"/>
      <c r="H376" s="19">
        <f>IFERROR(VLOOKUP(J376,'03. THIẾT BỊ'!$B$1:$U$836,19,0),"")</f>
        <v>0</v>
      </c>
      <c r="I376" s="19">
        <f>IFERROR(VLOOKUP(J376,'03. THIẾT BỊ'!$B$1:$U$836,20,0),"")</f>
        <v>0</v>
      </c>
      <c r="J376" s="20" t="s">
        <v>5816</v>
      </c>
      <c r="K376" s="722" t="s">
        <v>5978</v>
      </c>
      <c r="L376" s="722"/>
      <c r="M376" s="722"/>
      <c r="N376" s="19" t="str">
        <f>IFERROR(VLOOKUP(J376,'03. THIẾT BỊ'!$B$1:$U$836,4,0),"")</f>
        <v>THUÊ THILOGI</v>
      </c>
      <c r="O376" s="19" t="str">
        <f>IFERROR(VLOOKUP(J376,'03. THIẾT BỊ'!$B$1:$U$836,7,0),"")</f>
        <v>Phòng GNVC</v>
      </c>
      <c r="P376" s="353" t="str">
        <f>IFERROR(VLOOKUP(O376,'NS QUẢN LÝ CG'!$A$4:$D$36,2,0),"")</f>
        <v/>
      </c>
      <c r="Q376" s="353" t="str">
        <f>IFERROR(VLOOKUP(O376,'NS QUẢN LÝ CG'!$A$4:$D$36,4,0),"")</f>
        <v/>
      </c>
      <c r="R376" s="353" t="str">
        <f>IFERROR(VLOOKUP(O376,'NS QUẢN LÝ CG'!$A$4:$C$36,3,0),"")</f>
        <v/>
      </c>
      <c r="S376" s="20">
        <f>IFERROR(VLOOKUP(J376,'03. THIẾT BỊ'!$B$1:$S$836,3,0),"")</f>
        <v>0</v>
      </c>
      <c r="T376" s="708" t="str">
        <f t="shared" si="10"/>
        <v/>
      </c>
      <c r="U376" s="708"/>
    </row>
    <row r="377" ht="13.8" spans="1:21">
      <c r="A377" s="19"/>
      <c r="C377" s="20" t="str">
        <f>IFERROR(VLOOKUP(J377,'03. THIẾT BỊ'!$B$1:$U$836,5,0),"")</f>
        <v>SMRM LCD</v>
      </c>
      <c r="D377" s="19">
        <v>1</v>
      </c>
      <c r="E377" s="19" t="s">
        <v>5978</v>
      </c>
      <c r="F377" s="19"/>
      <c r="G377" s="19"/>
      <c r="H377" s="19">
        <f>IFERROR(VLOOKUP(J377,'03. THIẾT BỊ'!$B$1:$U$836,19,0),"")</f>
        <v>0</v>
      </c>
      <c r="I377" s="19">
        <f>IFERROR(VLOOKUP(J377,'03. THIẾT BỊ'!$B$1:$U$836,20,0),"")</f>
        <v>0</v>
      </c>
      <c r="J377" s="20" t="s">
        <v>5819</v>
      </c>
      <c r="K377" s="722" t="s">
        <v>5978</v>
      </c>
      <c r="L377" s="722"/>
      <c r="M377" s="722"/>
      <c r="N377" s="19" t="str">
        <f>IFERROR(VLOOKUP(J377,'03. THIẾT BỊ'!$B$1:$U$836,4,0),"")</f>
        <v>THUÊ THILOGI</v>
      </c>
      <c r="O377" s="19" t="str">
        <f>IFERROR(VLOOKUP(J377,'03. THIẾT BỊ'!$B$1:$U$836,7,0),"")</f>
        <v>Phòng GNVC</v>
      </c>
      <c r="P377" s="353" t="str">
        <f>IFERROR(VLOOKUP(O377,'NS QUẢN LÝ CG'!$A$4:$D$36,2,0),"")</f>
        <v/>
      </c>
      <c r="Q377" s="353" t="str">
        <f>IFERROR(VLOOKUP(O377,'NS QUẢN LÝ CG'!$A$4:$D$36,4,0),"")</f>
        <v/>
      </c>
      <c r="R377" s="353" t="str">
        <f>IFERROR(VLOOKUP(O377,'NS QUẢN LÝ CG'!$A$4:$C$36,3,0),"")</f>
        <v/>
      </c>
      <c r="S377" s="20">
        <f>IFERROR(VLOOKUP(J377,'03. THIẾT BỊ'!$B$1:$S$836,3,0),"")</f>
        <v>0</v>
      </c>
      <c r="T377" s="708" t="str">
        <f t="shared" si="10"/>
        <v/>
      </c>
      <c r="U377" s="708"/>
    </row>
    <row r="378" ht="13.8" spans="1:21">
      <c r="A378" s="19"/>
      <c r="C378" s="20" t="str">
        <f>IFERROR(VLOOKUP(J378,'03. THIẾT BỊ'!$B$1:$U$836,5,0),"")</f>
        <v>SMRM LCD</v>
      </c>
      <c r="D378" s="19">
        <v>1</v>
      </c>
      <c r="E378" s="19" t="s">
        <v>5978</v>
      </c>
      <c r="F378" s="19"/>
      <c r="G378" s="19"/>
      <c r="H378" s="19">
        <f>IFERROR(VLOOKUP(J378,'03. THIẾT BỊ'!$B$1:$U$836,19,0),"")</f>
        <v>0</v>
      </c>
      <c r="I378" s="19">
        <f>IFERROR(VLOOKUP(J378,'03. THIẾT BỊ'!$B$1:$U$836,20,0),"")</f>
        <v>0</v>
      </c>
      <c r="J378" s="20" t="s">
        <v>5822</v>
      </c>
      <c r="K378" s="722" t="s">
        <v>5978</v>
      </c>
      <c r="L378" s="722"/>
      <c r="M378" s="722"/>
      <c r="N378" s="19" t="str">
        <f>IFERROR(VLOOKUP(J378,'03. THIẾT BỊ'!$B$1:$U$836,4,0),"")</f>
        <v>THUÊ THILOGI</v>
      </c>
      <c r="O378" s="19" t="str">
        <f>IFERROR(VLOOKUP(J378,'03. THIẾT BỊ'!$B$1:$U$836,7,0),"")</f>
        <v>Phòng GNVC</v>
      </c>
      <c r="P378" s="353" t="str">
        <f>IFERROR(VLOOKUP(O378,'NS QUẢN LÝ CG'!$A$4:$D$36,2,0),"")</f>
        <v/>
      </c>
      <c r="Q378" s="353" t="str">
        <f>IFERROR(VLOOKUP(O378,'NS QUẢN LÝ CG'!$A$4:$D$36,4,0),"")</f>
        <v/>
      </c>
      <c r="R378" s="353" t="str">
        <f>IFERROR(VLOOKUP(O378,'NS QUẢN LÝ CG'!$A$4:$C$36,3,0),"")</f>
        <v/>
      </c>
      <c r="S378" s="20">
        <f>IFERROR(VLOOKUP(J378,'03. THIẾT BỊ'!$B$1:$S$836,3,0),"")</f>
        <v>0</v>
      </c>
      <c r="T378" s="708" t="str">
        <f t="shared" si="10"/>
        <v/>
      </c>
      <c r="U378" s="708"/>
    </row>
    <row r="379" ht="13.8" spans="1:21">
      <c r="A379" s="19"/>
      <c r="C379" s="20" t="str">
        <f>IFERROR(VLOOKUP(J379,'03. THIẾT BỊ'!$B$1:$U$836,5,0),"")</f>
        <v>SMRM LCD</v>
      </c>
      <c r="D379" s="19">
        <v>1</v>
      </c>
      <c r="E379" s="19" t="s">
        <v>5978</v>
      </c>
      <c r="F379" s="19"/>
      <c r="G379" s="19"/>
      <c r="H379" s="19">
        <f>IFERROR(VLOOKUP(J379,'03. THIẾT BỊ'!$B$1:$U$836,19,0),"")</f>
        <v>0</v>
      </c>
      <c r="I379" s="19">
        <f>IFERROR(VLOOKUP(J379,'03. THIẾT BỊ'!$B$1:$U$836,20,0),"")</f>
        <v>0</v>
      </c>
      <c r="J379" s="20" t="s">
        <v>5825</v>
      </c>
      <c r="K379" s="722" t="s">
        <v>5978</v>
      </c>
      <c r="L379" s="722"/>
      <c r="M379" s="722"/>
      <c r="N379" s="19" t="str">
        <f>IFERROR(VLOOKUP(J379,'03. THIẾT BỊ'!$B$1:$U$836,4,0),"")</f>
        <v>THUÊ THILOGI</v>
      </c>
      <c r="O379" s="19" t="str">
        <f>IFERROR(VLOOKUP(J379,'03. THIẾT BỊ'!$B$1:$U$836,7,0),"")</f>
        <v>Phòng GNVC</v>
      </c>
      <c r="P379" s="353" t="str">
        <f>IFERROR(VLOOKUP(O379,'NS QUẢN LÝ CG'!$A$4:$D$36,2,0),"")</f>
        <v/>
      </c>
      <c r="Q379" s="353" t="str">
        <f>IFERROR(VLOOKUP(O379,'NS QUẢN LÝ CG'!$A$4:$D$36,4,0),"")</f>
        <v/>
      </c>
      <c r="R379" s="353" t="str">
        <f>IFERROR(VLOOKUP(O379,'NS QUẢN LÝ CG'!$A$4:$C$36,3,0),"")</f>
        <v/>
      </c>
      <c r="S379" s="20">
        <f>IFERROR(VLOOKUP(J379,'03. THIẾT BỊ'!$B$1:$S$836,3,0),"")</f>
        <v>0</v>
      </c>
      <c r="T379" s="708" t="str">
        <f t="shared" si="10"/>
        <v/>
      </c>
      <c r="U379" s="708"/>
    </row>
    <row r="380" ht="13.8" spans="1:21">
      <c r="A380" s="19"/>
      <c r="C380" s="20" t="str">
        <f>IFERROR(VLOOKUP(J380,'03. THIẾT BỊ'!$B$1:$U$836,5,0),"")</f>
        <v>SMRM xương sàn/mooc OPT</v>
      </c>
      <c r="D380" s="19">
        <v>1</v>
      </c>
      <c r="E380" s="19" t="s">
        <v>5978</v>
      </c>
      <c r="F380" s="19"/>
      <c r="G380" s="19"/>
      <c r="H380" s="19">
        <f>IFERROR(VLOOKUP(J380,'03. THIẾT BỊ'!$B$1:$U$836,19,0),"")</f>
        <v>0</v>
      </c>
      <c r="I380" s="19">
        <f>IFERROR(VLOOKUP(J380,'03. THIẾT BỊ'!$B$1:$U$836,20,0),"")</f>
        <v>0</v>
      </c>
      <c r="J380" s="20" t="s">
        <v>5829</v>
      </c>
      <c r="K380" s="722" t="s">
        <v>5978</v>
      </c>
      <c r="L380" s="722"/>
      <c r="M380" s="722"/>
      <c r="N380" s="19" t="str">
        <f>IFERROR(VLOOKUP(J380,'03. THIẾT BỊ'!$B$1:$U$836,4,0),"")</f>
        <v>THUÊ THILOGI</v>
      </c>
      <c r="O380" s="19" t="str">
        <f>IFERROR(VLOOKUP(J380,'03. THIẾT BỊ'!$B$1:$U$836,7,0),"")</f>
        <v>Phòng GNVC</v>
      </c>
      <c r="P380" s="353" t="str">
        <f>IFERROR(VLOOKUP(O380,'NS QUẢN LÝ CG'!$A$4:$D$36,2,0),"")</f>
        <v/>
      </c>
      <c r="Q380" s="353" t="str">
        <f>IFERROR(VLOOKUP(O380,'NS QUẢN LÝ CG'!$A$4:$D$36,4,0),"")</f>
        <v/>
      </c>
      <c r="R380" s="353" t="str">
        <f>IFERROR(VLOOKUP(O380,'NS QUẢN LÝ CG'!$A$4:$C$36,3,0),"")</f>
        <v/>
      </c>
      <c r="S380" s="20">
        <f>IFERROR(VLOOKUP(J380,'03. THIẾT BỊ'!$B$1:$S$836,3,0),"")</f>
        <v>0</v>
      </c>
      <c r="T380" s="708" t="str">
        <f t="shared" si="10"/>
        <v/>
      </c>
      <c r="U380" s="708"/>
    </row>
    <row r="381" ht="13.8" spans="1:21">
      <c r="A381" s="19"/>
      <c r="C381" s="20" t="str">
        <f>IFERROR(VLOOKUP(J381,'03. THIẾT BỊ'!$B$1:$U$836,5,0),"")</f>
        <v>SMRM LCD</v>
      </c>
      <c r="D381" s="19">
        <v>1</v>
      </c>
      <c r="E381" s="19" t="s">
        <v>5978</v>
      </c>
      <c r="F381" s="19"/>
      <c r="G381" s="19"/>
      <c r="H381" s="19">
        <f>IFERROR(VLOOKUP(J381,'03. THIẾT BỊ'!$B$1:$U$836,19,0),"")</f>
        <v>0</v>
      </c>
      <c r="I381" s="19">
        <f>IFERROR(VLOOKUP(J381,'03. THIẾT BỊ'!$B$1:$U$836,20,0),"")</f>
        <v>0</v>
      </c>
      <c r="J381" s="20" t="s">
        <v>5822</v>
      </c>
      <c r="K381" s="722" t="s">
        <v>5978</v>
      </c>
      <c r="L381" s="722"/>
      <c r="M381" s="722"/>
      <c r="N381" s="19" t="str">
        <f>IFERROR(VLOOKUP(J381,'03. THIẾT BỊ'!$B$1:$U$836,4,0),"")</f>
        <v>THUÊ THILOGI</v>
      </c>
      <c r="O381" s="19" t="str">
        <f>IFERROR(VLOOKUP(J381,'03. THIẾT BỊ'!$B$1:$U$836,7,0),"")</f>
        <v>Phòng GNVC</v>
      </c>
      <c r="P381" s="353" t="str">
        <f>IFERROR(VLOOKUP(O381,'NS QUẢN LÝ CG'!$A$4:$D$36,2,0),"")</f>
        <v/>
      </c>
      <c r="Q381" s="353" t="str">
        <f>IFERROR(VLOOKUP(O381,'NS QUẢN LÝ CG'!$A$4:$D$36,4,0),"")</f>
        <v/>
      </c>
      <c r="R381" s="353" t="str">
        <f>IFERROR(VLOOKUP(O381,'NS QUẢN LÝ CG'!$A$4:$C$36,3,0),"")</f>
        <v/>
      </c>
      <c r="S381" s="20">
        <f>IFERROR(VLOOKUP(J381,'03. THIẾT BỊ'!$B$1:$S$836,3,0),"")</f>
        <v>0</v>
      </c>
      <c r="T381" s="708" t="str">
        <f t="shared" si="10"/>
        <v/>
      </c>
      <c r="U381" s="708"/>
    </row>
    <row r="382" ht="13.8" spans="1:21">
      <c r="A382" s="19"/>
      <c r="C382" s="20" t="str">
        <f>IFERROR(VLOOKUP(J382,'03. THIẾT BỊ'!$B$1:$U$836,5,0),"")</f>
        <v/>
      </c>
      <c r="D382" s="19"/>
      <c r="E382" s="19"/>
      <c r="F382" s="19"/>
      <c r="G382" s="19"/>
      <c r="H382" s="19" t="str">
        <f>IFERROR(VLOOKUP(J382,'03. THIẾT BỊ'!$B$1:$U$836,19,0),"")</f>
        <v/>
      </c>
      <c r="I382" s="19" t="str">
        <f>IFERROR(VLOOKUP(J382,'03. THIẾT BỊ'!$B$1:$U$836,20,0),"")</f>
        <v/>
      </c>
      <c r="J382" s="20"/>
      <c r="K382" s="722"/>
      <c r="L382" s="722"/>
      <c r="M382" s="722"/>
      <c r="N382" s="19" t="str">
        <f>IFERROR(VLOOKUP(J382,'03. THIẾT BỊ'!$B$1:$U$836,4,0),"")</f>
        <v/>
      </c>
      <c r="O382" s="19" t="str">
        <f>IFERROR(VLOOKUP(J382,'03. THIẾT BỊ'!$B$1:$U$836,7,0),"")</f>
        <v/>
      </c>
      <c r="P382" s="20"/>
      <c r="Q382" s="20"/>
      <c r="R382" s="20"/>
      <c r="S382" s="20" t="str">
        <f>IFERROR(VLOOKUP(J382,'03. THIẾT BỊ'!$B$1:$S$836,3,0),"")</f>
        <v/>
      </c>
      <c r="T382" s="708"/>
      <c r="U382" s="708"/>
    </row>
    <row r="383" ht="13.8" spans="1:21">
      <c r="A383" s="19"/>
      <c r="C383" s="20" t="str">
        <f>IFERROR(VLOOKUP(J383,'03. THIẾT BỊ'!$B$1:$U$836,5,0),"")</f>
        <v/>
      </c>
      <c r="D383" s="19"/>
      <c r="E383" s="19"/>
      <c r="F383" s="19"/>
      <c r="G383" s="19"/>
      <c r="H383" s="19" t="str">
        <f>IFERROR(VLOOKUP(J383,'03. THIẾT BỊ'!$B$1:$U$836,19,0),"")</f>
        <v/>
      </c>
      <c r="I383" s="19" t="str">
        <f>IFERROR(VLOOKUP(J383,'03. THIẾT BỊ'!$B$1:$U$836,20,0),"")</f>
        <v/>
      </c>
      <c r="J383" s="20"/>
      <c r="K383" s="722"/>
      <c r="L383" s="722"/>
      <c r="M383" s="722"/>
      <c r="N383" s="19" t="str">
        <f>IFERROR(VLOOKUP(J383,'03. THIẾT BỊ'!$B$1:$U$836,4,0),"")</f>
        <v/>
      </c>
      <c r="O383" s="19" t="str">
        <f>IFERROR(VLOOKUP(J383,'03. THIẾT BỊ'!$B$1:$U$836,7,0),"")</f>
        <v/>
      </c>
      <c r="P383" s="20"/>
      <c r="Q383" s="20"/>
      <c r="R383" s="20"/>
      <c r="S383" s="20" t="str">
        <f>IFERROR(VLOOKUP(J383,'03. THIẾT BỊ'!$B$1:$S$836,3,0),"")</f>
        <v/>
      </c>
      <c r="T383" s="708"/>
      <c r="U383" s="708"/>
    </row>
    <row r="384" ht="13.8" spans="1:21">
      <c r="A384" s="19"/>
      <c r="C384" s="20" t="str">
        <f>IFERROR(VLOOKUP(J384,'03. THIẾT BỊ'!$B$1:$U$836,5,0),"")</f>
        <v/>
      </c>
      <c r="D384" s="19"/>
      <c r="E384" s="19"/>
      <c r="F384" s="19"/>
      <c r="G384" s="19"/>
      <c r="H384" s="19" t="str">
        <f>IFERROR(VLOOKUP(J384,'03. THIẾT BỊ'!$B$1:$U$836,19,0),"")</f>
        <v/>
      </c>
      <c r="I384" s="19" t="str">
        <f>IFERROR(VLOOKUP(J384,'03. THIẾT BỊ'!$B$1:$U$836,20,0),"")</f>
        <v/>
      </c>
      <c r="J384" s="20"/>
      <c r="K384" s="722"/>
      <c r="L384" s="722"/>
      <c r="M384" s="722"/>
      <c r="N384" s="19" t="str">
        <f>IFERROR(VLOOKUP(J384,'03. THIẾT BỊ'!$B$1:$U$836,4,0),"")</f>
        <v/>
      </c>
      <c r="O384" s="19" t="str">
        <f>IFERROR(VLOOKUP(J384,'03. THIẾT BỊ'!$B$1:$U$836,7,0),"")</f>
        <v/>
      </c>
      <c r="P384" s="20"/>
      <c r="Q384" s="20"/>
      <c r="R384" s="20"/>
      <c r="S384" s="20" t="str">
        <f>IFERROR(VLOOKUP(J384,'03. THIẾT BỊ'!$B$1:$S$836,3,0),"")</f>
        <v/>
      </c>
      <c r="T384" s="708"/>
      <c r="U384" s="708"/>
    </row>
    <row r="385" ht="13.8" hidden="1" spans="1:21">
      <c r="A385" s="19"/>
      <c r="C385" s="20" t="str">
        <f>IFERROR(VLOOKUP(J385,'03. THIẾT BỊ'!$B$1:$U$836,5,0),"")</f>
        <v/>
      </c>
      <c r="D385" s="19"/>
      <c r="E385" s="19"/>
      <c r="F385" s="19"/>
      <c r="G385" s="19"/>
      <c r="H385" s="19" t="str">
        <f>IFERROR(VLOOKUP(J385,'03. THIẾT BỊ'!$B$1:$U$836,19,0),"")</f>
        <v/>
      </c>
      <c r="I385" s="19" t="str">
        <f>IFERROR(VLOOKUP(J385,'03. THIẾT BỊ'!$B$1:$U$836,20,0),"")</f>
        <v/>
      </c>
      <c r="J385" s="20"/>
      <c r="K385" s="722"/>
      <c r="L385" s="722"/>
      <c r="M385" s="722"/>
      <c r="N385" s="19" t="str">
        <f>IFERROR(VLOOKUP(J385,'03. THIẾT BỊ'!$B$1:$U$836,4,0),"")</f>
        <v/>
      </c>
      <c r="O385" s="19" t="str">
        <f>IFERROR(VLOOKUP(J385,'03. THIẾT BỊ'!$B$1:$U$836,7,0),"")</f>
        <v/>
      </c>
      <c r="P385" s="20"/>
      <c r="Q385" s="20"/>
      <c r="R385" s="20"/>
      <c r="S385" s="20" t="str">
        <f>IFERROR(VLOOKUP(J385,'03. THIẾT BỊ'!$B$1:$S$836,3,0),"")</f>
        <v/>
      </c>
      <c r="T385" s="708"/>
      <c r="U385" s="708"/>
    </row>
    <row r="386" ht="13.8" hidden="1" spans="1:21">
      <c r="A386" s="19"/>
      <c r="C386" s="20" t="str">
        <f>IFERROR(VLOOKUP(J386,'03. THIẾT BỊ'!$B$1:$U$836,5,0),"")</f>
        <v/>
      </c>
      <c r="D386" s="19"/>
      <c r="E386" s="19"/>
      <c r="F386" s="19"/>
      <c r="G386" s="19"/>
      <c r="H386" s="19" t="str">
        <f>IFERROR(VLOOKUP(J386,'03. THIẾT BỊ'!$B$1:$U$836,19,0),"")</f>
        <v/>
      </c>
      <c r="I386" s="19" t="str">
        <f>IFERROR(VLOOKUP(J386,'03. THIẾT BỊ'!$B$1:$U$836,20,0),"")</f>
        <v/>
      </c>
      <c r="J386" s="20"/>
      <c r="K386" s="722"/>
      <c r="L386" s="722"/>
      <c r="M386" s="722"/>
      <c r="N386" s="19" t="str">
        <f>IFERROR(VLOOKUP(J386,'03. THIẾT BỊ'!$B$1:$U$836,4,0),"")</f>
        <v/>
      </c>
      <c r="O386" s="19" t="str">
        <f>IFERROR(VLOOKUP(J386,'03. THIẾT BỊ'!$B$1:$U$836,7,0),"")</f>
        <v/>
      </c>
      <c r="P386" s="20"/>
      <c r="Q386" s="20"/>
      <c r="R386" s="20"/>
      <c r="S386" s="20" t="str">
        <f>IFERROR(VLOOKUP(J386,'03. THIẾT BỊ'!$B$1:$S$836,3,0),"")</f>
        <v/>
      </c>
      <c r="T386" s="708"/>
      <c r="U386" s="708"/>
    </row>
    <row r="387" ht="13.8" hidden="1" spans="1:21">
      <c r="A387" s="19"/>
      <c r="C387" s="20" t="str">
        <f>IFERROR(VLOOKUP(J387,'03. THIẾT BỊ'!$B$1:$U$836,5,0),"")</f>
        <v/>
      </c>
      <c r="D387" s="19"/>
      <c r="E387" s="19"/>
      <c r="F387" s="19"/>
      <c r="G387" s="19"/>
      <c r="H387" s="19" t="str">
        <f>IFERROR(VLOOKUP(J387,'03. THIẾT BỊ'!$B$1:$U$836,19,0),"")</f>
        <v/>
      </c>
      <c r="I387" s="19" t="str">
        <f>IFERROR(VLOOKUP(J387,'03. THIẾT BỊ'!$B$1:$U$836,20,0),"")</f>
        <v/>
      </c>
      <c r="J387" s="20"/>
      <c r="K387" s="722"/>
      <c r="L387" s="722"/>
      <c r="M387" s="722"/>
      <c r="N387" s="19" t="str">
        <f>IFERROR(VLOOKUP(J387,'03. THIẾT BỊ'!$B$1:$U$836,4,0),"")</f>
        <v/>
      </c>
      <c r="O387" s="19" t="str">
        <f>IFERROR(VLOOKUP(J387,'03. THIẾT BỊ'!$B$1:$U$836,7,0),"")</f>
        <v/>
      </c>
      <c r="P387" s="20"/>
      <c r="Q387" s="20"/>
      <c r="R387" s="20"/>
      <c r="S387" s="20" t="str">
        <f>IFERROR(VLOOKUP(J387,'03. THIẾT BỊ'!$B$1:$S$836,3,0),"")</f>
        <v/>
      </c>
      <c r="T387" s="708"/>
      <c r="U387" s="708"/>
    </row>
    <row r="388" ht="13.8" hidden="1" spans="1:21">
      <c r="A388" s="19"/>
      <c r="C388" s="20" t="str">
        <f>IFERROR(VLOOKUP(J388,'03. THIẾT BỊ'!$B$1:$U$836,5,0),"")</f>
        <v/>
      </c>
      <c r="D388" s="19"/>
      <c r="E388" s="19"/>
      <c r="F388" s="19"/>
      <c r="G388" s="19"/>
      <c r="H388" s="19" t="str">
        <f>IFERROR(VLOOKUP(J388,'03. THIẾT BỊ'!$B$1:$U$836,19,0),"")</f>
        <v/>
      </c>
      <c r="I388" s="19" t="str">
        <f>IFERROR(VLOOKUP(J388,'03. THIẾT BỊ'!$B$1:$U$836,20,0),"")</f>
        <v/>
      </c>
      <c r="J388" s="20"/>
      <c r="K388" s="722"/>
      <c r="L388" s="722"/>
      <c r="M388" s="722"/>
      <c r="N388" s="19" t="str">
        <f>IFERROR(VLOOKUP(J388,'03. THIẾT BỊ'!$B$1:$U$836,4,0),"")</f>
        <v/>
      </c>
      <c r="O388" s="19" t="str">
        <f>IFERROR(VLOOKUP(J388,'03. THIẾT BỊ'!$B$1:$U$836,7,0),"")</f>
        <v/>
      </c>
      <c r="P388" s="20"/>
      <c r="Q388" s="20"/>
      <c r="R388" s="20"/>
      <c r="S388" s="20" t="str">
        <f>IFERROR(VLOOKUP(J388,'03. THIẾT BỊ'!$B$1:$S$836,3,0),"")</f>
        <v/>
      </c>
      <c r="T388" s="708"/>
      <c r="U388" s="708"/>
    </row>
    <row r="389" ht="13.8" hidden="1" spans="1:21">
      <c r="A389" s="19"/>
      <c r="C389" s="20" t="str">
        <f>IFERROR(VLOOKUP(J389,'03. THIẾT BỊ'!$B$1:$U$836,5,0),"")</f>
        <v/>
      </c>
      <c r="D389" s="19"/>
      <c r="E389" s="19"/>
      <c r="F389" s="19"/>
      <c r="G389" s="19"/>
      <c r="H389" s="19" t="str">
        <f>IFERROR(VLOOKUP(J389,'03. THIẾT BỊ'!$B$1:$U$836,19,0),"")</f>
        <v/>
      </c>
      <c r="I389" s="19" t="str">
        <f>IFERROR(VLOOKUP(J389,'03. THIẾT BỊ'!$B$1:$U$836,20,0),"")</f>
        <v/>
      </c>
      <c r="J389" s="20"/>
      <c r="K389" s="722"/>
      <c r="L389" s="722"/>
      <c r="M389" s="722"/>
      <c r="N389" s="19" t="str">
        <f>IFERROR(VLOOKUP(J389,'03. THIẾT BỊ'!$B$1:$U$836,4,0),"")</f>
        <v/>
      </c>
      <c r="O389" s="19" t="str">
        <f>IFERROR(VLOOKUP(J389,'03. THIẾT BỊ'!$B$1:$U$836,7,0),"")</f>
        <v/>
      </c>
      <c r="P389" s="20"/>
      <c r="Q389" s="20"/>
      <c r="R389" s="20"/>
      <c r="S389" s="20" t="str">
        <f>IFERROR(VLOOKUP(J389,'03. THIẾT BỊ'!$B$1:$S$836,3,0),"")</f>
        <v/>
      </c>
      <c r="T389" s="708"/>
      <c r="U389" s="708"/>
    </row>
    <row r="390" ht="13.8" hidden="1" spans="1:21">
      <c r="A390" s="19"/>
      <c r="C390" s="20" t="str">
        <f>IFERROR(VLOOKUP(J390,'03. THIẾT BỊ'!$B$1:$U$836,5,0),"")</f>
        <v/>
      </c>
      <c r="D390" s="19"/>
      <c r="E390" s="19"/>
      <c r="F390" s="19"/>
      <c r="G390" s="19"/>
      <c r="H390" s="19" t="str">
        <f>IFERROR(VLOOKUP(J390,'03. THIẾT BỊ'!$B$1:$U$836,19,0),"")</f>
        <v/>
      </c>
      <c r="I390" s="19" t="str">
        <f>IFERROR(VLOOKUP(J390,'03. THIẾT BỊ'!$B$1:$U$836,20,0),"")</f>
        <v/>
      </c>
      <c r="J390" s="20"/>
      <c r="K390" s="722"/>
      <c r="L390" s="722"/>
      <c r="M390" s="722"/>
      <c r="N390" s="19" t="str">
        <f>IFERROR(VLOOKUP(J390,'03. THIẾT BỊ'!$B$1:$U$836,4,0),"")</f>
        <v/>
      </c>
      <c r="O390" s="19" t="str">
        <f>IFERROR(VLOOKUP(J390,'03. THIẾT BỊ'!$B$1:$U$836,7,0),"")</f>
        <v/>
      </c>
      <c r="P390" s="20"/>
      <c r="Q390" s="20"/>
      <c r="R390" s="20"/>
      <c r="S390" s="20" t="str">
        <f>IFERROR(VLOOKUP(J390,'03. THIẾT BỊ'!$B$1:$S$836,3,0),"")</f>
        <v/>
      </c>
      <c r="T390" s="708"/>
      <c r="U390" s="708"/>
    </row>
    <row r="391" ht="13.8" hidden="1" spans="1:21">
      <c r="A391" s="19"/>
      <c r="C391" s="20" t="str">
        <f>IFERROR(VLOOKUP(J391,'03. THIẾT BỊ'!$B$1:$U$836,5,0),"")</f>
        <v/>
      </c>
      <c r="D391" s="19"/>
      <c r="E391" s="19"/>
      <c r="F391" s="19"/>
      <c r="G391" s="19"/>
      <c r="H391" s="19" t="str">
        <f>IFERROR(VLOOKUP(J391,'03. THIẾT BỊ'!$B$1:$U$836,19,0),"")</f>
        <v/>
      </c>
      <c r="I391" s="19" t="str">
        <f>IFERROR(VLOOKUP(J391,'03. THIẾT BỊ'!$B$1:$U$836,20,0),"")</f>
        <v/>
      </c>
      <c r="J391" s="20"/>
      <c r="K391" s="722"/>
      <c r="L391" s="722"/>
      <c r="M391" s="722"/>
      <c r="N391" s="19" t="str">
        <f>IFERROR(VLOOKUP(J391,'03. THIẾT BỊ'!$B$1:$U$836,4,0),"")</f>
        <v/>
      </c>
      <c r="O391" s="19" t="str">
        <f>IFERROR(VLOOKUP(J391,'03. THIẾT BỊ'!$B$1:$U$836,7,0),"")</f>
        <v/>
      </c>
      <c r="P391" s="20"/>
      <c r="Q391" s="20"/>
      <c r="R391" s="20"/>
      <c r="S391" s="20" t="str">
        <f>IFERROR(VLOOKUP(J391,'03. THIẾT BỊ'!$B$1:$S$836,3,0),"")</f>
        <v/>
      </c>
      <c r="T391" s="708"/>
      <c r="U391" s="708"/>
    </row>
    <row r="392" ht="13.8" hidden="1" spans="1:21">
      <c r="A392" s="19"/>
      <c r="C392" s="20" t="str">
        <f>IFERROR(VLOOKUP(J392,'03. THIẾT BỊ'!$B$1:$U$836,5,0),"")</f>
        <v/>
      </c>
      <c r="D392" s="19"/>
      <c r="E392" s="19"/>
      <c r="F392" s="19"/>
      <c r="G392" s="19"/>
      <c r="H392" s="19" t="str">
        <f>IFERROR(VLOOKUP(J392,'03. THIẾT BỊ'!$B$1:$U$836,19,0),"")</f>
        <v/>
      </c>
      <c r="I392" s="19" t="str">
        <f>IFERROR(VLOOKUP(J392,'03. THIẾT BỊ'!$B$1:$U$836,20,0),"")</f>
        <v/>
      </c>
      <c r="J392" s="20"/>
      <c r="K392" s="722"/>
      <c r="L392" s="722"/>
      <c r="M392" s="722"/>
      <c r="N392" s="19" t="str">
        <f>IFERROR(VLOOKUP(J392,'03. THIẾT BỊ'!$B$1:$U$836,4,0),"")</f>
        <v/>
      </c>
      <c r="O392" s="19" t="str">
        <f>IFERROR(VLOOKUP(J392,'03. THIẾT BỊ'!$B$1:$U$836,7,0),"")</f>
        <v/>
      </c>
      <c r="P392" s="20"/>
      <c r="Q392" s="20"/>
      <c r="R392" s="20"/>
      <c r="S392" s="20" t="str">
        <f>IFERROR(VLOOKUP(J392,'03. THIẾT BỊ'!$B$1:$S$836,3,0),"")</f>
        <v/>
      </c>
      <c r="T392" s="708"/>
      <c r="U392" s="708"/>
    </row>
    <row r="393" ht="13.8" hidden="1" spans="1:21">
      <c r="A393" s="19"/>
      <c r="C393" s="20" t="str">
        <f>IFERROR(VLOOKUP(J393,'03. THIẾT BỊ'!$B$1:$U$836,5,0),"")</f>
        <v/>
      </c>
      <c r="D393" s="19"/>
      <c r="E393" s="19"/>
      <c r="F393" s="19"/>
      <c r="G393" s="19"/>
      <c r="H393" s="19" t="str">
        <f>IFERROR(VLOOKUP(J393,'03. THIẾT BỊ'!$B$1:$U$836,19,0),"")</f>
        <v/>
      </c>
      <c r="I393" s="19" t="str">
        <f>IFERROR(VLOOKUP(J393,'03. THIẾT BỊ'!$B$1:$U$836,20,0),"")</f>
        <v/>
      </c>
      <c r="J393" s="20"/>
      <c r="K393" s="722"/>
      <c r="L393" s="722"/>
      <c r="M393" s="722"/>
      <c r="N393" s="19" t="str">
        <f>IFERROR(VLOOKUP(J393,'03. THIẾT BỊ'!$B$1:$U$836,4,0),"")</f>
        <v/>
      </c>
      <c r="O393" s="19" t="str">
        <f>IFERROR(VLOOKUP(J393,'03. THIẾT BỊ'!$B$1:$U$836,7,0),"")</f>
        <v/>
      </c>
      <c r="P393" s="20"/>
      <c r="Q393" s="20"/>
      <c r="R393" s="20"/>
      <c r="S393" s="20" t="str">
        <f>IFERROR(VLOOKUP(J393,'03. THIẾT BỊ'!$B$1:$S$836,3,0),"")</f>
        <v/>
      </c>
      <c r="T393" s="708"/>
      <c r="U393" s="708"/>
    </row>
    <row r="394" ht="13.8" hidden="1" spans="1:21">
      <c r="A394" s="19"/>
      <c r="C394" s="20" t="str">
        <f>IFERROR(VLOOKUP(J394,'03. THIẾT BỊ'!$B$1:$U$836,5,0),"")</f>
        <v/>
      </c>
      <c r="D394" s="19"/>
      <c r="E394" s="19"/>
      <c r="F394" s="19"/>
      <c r="G394" s="19"/>
      <c r="H394" s="19" t="str">
        <f>IFERROR(VLOOKUP(J394,'03. THIẾT BỊ'!$B$1:$U$836,19,0),"")</f>
        <v/>
      </c>
      <c r="I394" s="19" t="str">
        <f>IFERROR(VLOOKUP(J394,'03. THIẾT BỊ'!$B$1:$U$836,20,0),"")</f>
        <v/>
      </c>
      <c r="J394" s="20"/>
      <c r="K394" s="722"/>
      <c r="L394" s="722"/>
      <c r="M394" s="722"/>
      <c r="N394" s="19" t="str">
        <f>IFERROR(VLOOKUP(J394,'03. THIẾT BỊ'!$B$1:$U$836,4,0),"")</f>
        <v/>
      </c>
      <c r="O394" s="19" t="str">
        <f>IFERROR(VLOOKUP(J394,'03. THIẾT BỊ'!$B$1:$U$836,7,0),"")</f>
        <v/>
      </c>
      <c r="P394" s="20"/>
      <c r="Q394" s="20"/>
      <c r="R394" s="20"/>
      <c r="S394" s="20" t="str">
        <f>IFERROR(VLOOKUP(J394,'03. THIẾT BỊ'!$B$1:$S$836,3,0),"")</f>
        <v/>
      </c>
      <c r="T394" s="708"/>
      <c r="U394" s="708"/>
    </row>
    <row r="395" ht="13.8" hidden="1" spans="1:21">
      <c r="A395" s="19"/>
      <c r="C395" s="20" t="str">
        <f>IFERROR(VLOOKUP(J395,'03. THIẾT BỊ'!$B$1:$U$836,5,0),"")</f>
        <v/>
      </c>
      <c r="D395" s="19"/>
      <c r="E395" s="19"/>
      <c r="F395" s="19"/>
      <c r="G395" s="19"/>
      <c r="H395" s="19" t="str">
        <f>IFERROR(VLOOKUP(J395,'03. THIẾT BỊ'!$B$1:$U$836,19,0),"")</f>
        <v/>
      </c>
      <c r="I395" s="19" t="str">
        <f>IFERROR(VLOOKUP(J395,'03. THIẾT BỊ'!$B$1:$U$836,20,0),"")</f>
        <v/>
      </c>
      <c r="J395" s="20"/>
      <c r="K395" s="722"/>
      <c r="L395" s="722"/>
      <c r="M395" s="722"/>
      <c r="N395" s="19" t="str">
        <f>IFERROR(VLOOKUP(J395,'03. THIẾT BỊ'!$B$1:$U$836,4,0),"")</f>
        <v/>
      </c>
      <c r="O395" s="19" t="str">
        <f>IFERROR(VLOOKUP(J395,'03. THIẾT BỊ'!$B$1:$U$836,7,0),"")</f>
        <v/>
      </c>
      <c r="P395" s="20"/>
      <c r="Q395" s="20"/>
      <c r="R395" s="20"/>
      <c r="S395" s="20" t="str">
        <f>IFERROR(VLOOKUP(J395,'03. THIẾT BỊ'!$B$1:$S$836,3,0),"")</f>
        <v/>
      </c>
      <c r="T395" s="708"/>
      <c r="U395" s="708"/>
    </row>
    <row r="396" ht="13.8" hidden="1" spans="1:21">
      <c r="A396" s="19"/>
      <c r="C396" s="20" t="str">
        <f>IFERROR(VLOOKUP(J396,'03. THIẾT BỊ'!$B$1:$U$836,5,0),"")</f>
        <v/>
      </c>
      <c r="D396" s="19"/>
      <c r="E396" s="19"/>
      <c r="F396" s="19"/>
      <c r="G396" s="19"/>
      <c r="H396" s="19" t="str">
        <f>IFERROR(VLOOKUP(J396,'03. THIẾT BỊ'!$B$1:$U$836,19,0),"")</f>
        <v/>
      </c>
      <c r="I396" s="19" t="str">
        <f>IFERROR(VLOOKUP(J396,'03. THIẾT BỊ'!$B$1:$U$836,20,0),"")</f>
        <v/>
      </c>
      <c r="J396" s="20"/>
      <c r="K396" s="722"/>
      <c r="L396" s="722"/>
      <c r="M396" s="722"/>
      <c r="N396" s="19" t="str">
        <f>IFERROR(VLOOKUP(J396,'03. THIẾT BỊ'!$B$1:$U$836,4,0),"")</f>
        <v/>
      </c>
      <c r="O396" s="19" t="str">
        <f>IFERROR(VLOOKUP(J396,'03. THIẾT BỊ'!$B$1:$U$836,7,0),"")</f>
        <v/>
      </c>
      <c r="P396" s="20"/>
      <c r="Q396" s="20"/>
      <c r="R396" s="20"/>
      <c r="S396" s="20" t="str">
        <f>IFERROR(VLOOKUP(J396,'03. THIẾT BỊ'!$B$1:$S$836,3,0),"")</f>
        <v/>
      </c>
      <c r="T396" s="708"/>
      <c r="U396" s="708"/>
    </row>
    <row r="397" ht="13.8" hidden="1" spans="1:21">
      <c r="A397" s="19"/>
      <c r="C397" s="20" t="str">
        <f>IFERROR(VLOOKUP(J397,'03. THIẾT BỊ'!$B$1:$U$836,5,0),"")</f>
        <v/>
      </c>
      <c r="D397" s="19"/>
      <c r="E397" s="19"/>
      <c r="F397" s="19"/>
      <c r="G397" s="19"/>
      <c r="H397" s="19" t="str">
        <f>IFERROR(VLOOKUP(J397,'03. THIẾT BỊ'!$B$1:$U$836,19,0),"")</f>
        <v/>
      </c>
      <c r="I397" s="19" t="str">
        <f>IFERROR(VLOOKUP(J397,'03. THIẾT BỊ'!$B$1:$U$836,20,0),"")</f>
        <v/>
      </c>
      <c r="J397" s="20"/>
      <c r="K397" s="722"/>
      <c r="L397" s="722"/>
      <c r="M397" s="722"/>
      <c r="N397" s="19" t="str">
        <f>IFERROR(VLOOKUP(J397,'03. THIẾT BỊ'!$B$1:$U$836,4,0),"")</f>
        <v/>
      </c>
      <c r="O397" s="19" t="str">
        <f>IFERROR(VLOOKUP(J397,'03. THIẾT BỊ'!$B$1:$U$836,7,0),"")</f>
        <v/>
      </c>
      <c r="P397" s="20"/>
      <c r="Q397" s="20"/>
      <c r="R397" s="20"/>
      <c r="S397" s="20" t="str">
        <f>IFERROR(VLOOKUP(J397,'03. THIẾT BỊ'!$B$1:$S$836,3,0),"")</f>
        <v/>
      </c>
      <c r="T397" s="708"/>
      <c r="U397" s="708"/>
    </row>
    <row r="398" ht="13.8" hidden="1" spans="1:21">
      <c r="A398" s="19"/>
      <c r="C398" s="20" t="str">
        <f>IFERROR(VLOOKUP(J398,'03. THIẾT BỊ'!$B$1:$U$836,5,0),"")</f>
        <v/>
      </c>
      <c r="D398" s="19"/>
      <c r="E398" s="19"/>
      <c r="F398" s="19"/>
      <c r="G398" s="19"/>
      <c r="H398" s="19" t="str">
        <f>IFERROR(VLOOKUP(J398,'03. THIẾT BỊ'!$B$1:$U$836,19,0),"")</f>
        <v/>
      </c>
      <c r="I398" s="19" t="str">
        <f>IFERROR(VLOOKUP(J398,'03. THIẾT BỊ'!$B$1:$U$836,20,0),"")</f>
        <v/>
      </c>
      <c r="J398" s="20"/>
      <c r="K398" s="722"/>
      <c r="L398" s="722"/>
      <c r="M398" s="722"/>
      <c r="N398" s="19" t="str">
        <f>IFERROR(VLOOKUP(J398,'03. THIẾT BỊ'!$B$1:$U$836,4,0),"")</f>
        <v/>
      </c>
      <c r="O398" s="19" t="str">
        <f>IFERROR(VLOOKUP(J398,'03. THIẾT BỊ'!$B$1:$U$836,7,0),"")</f>
        <v/>
      </c>
      <c r="P398" s="20"/>
      <c r="Q398" s="20"/>
      <c r="R398" s="20"/>
      <c r="S398" s="20" t="str">
        <f>IFERROR(VLOOKUP(J398,'03. THIẾT BỊ'!$B$1:$S$836,3,0),"")</f>
        <v/>
      </c>
      <c r="T398" s="708"/>
      <c r="U398" s="708"/>
    </row>
    <row r="399" ht="13.8" hidden="1" spans="1:21">
      <c r="A399" s="19"/>
      <c r="C399" s="20" t="str">
        <f>IFERROR(VLOOKUP(J399,'03. THIẾT BỊ'!$B$1:$U$836,5,0),"")</f>
        <v/>
      </c>
      <c r="D399" s="19"/>
      <c r="E399" s="19"/>
      <c r="F399" s="19"/>
      <c r="G399" s="19"/>
      <c r="H399" s="19" t="str">
        <f>IFERROR(VLOOKUP(J399,'03. THIẾT BỊ'!$B$1:$U$836,19,0),"")</f>
        <v/>
      </c>
      <c r="I399" s="19" t="str">
        <f>IFERROR(VLOOKUP(J399,'03. THIẾT BỊ'!$B$1:$U$836,20,0),"")</f>
        <v/>
      </c>
      <c r="J399" s="20"/>
      <c r="K399" s="722"/>
      <c r="L399" s="722"/>
      <c r="M399" s="722"/>
      <c r="N399" s="19" t="str">
        <f>IFERROR(VLOOKUP(J399,'03. THIẾT BỊ'!$B$1:$U$836,4,0),"")</f>
        <v/>
      </c>
      <c r="O399" s="19" t="str">
        <f>IFERROR(VLOOKUP(J399,'03. THIẾT BỊ'!$B$1:$U$836,7,0),"")</f>
        <v/>
      </c>
      <c r="P399" s="20"/>
      <c r="Q399" s="20"/>
      <c r="R399" s="20"/>
      <c r="S399" s="20" t="str">
        <f>IFERROR(VLOOKUP(J399,'03. THIẾT BỊ'!$B$1:$S$836,3,0),"")</f>
        <v/>
      </c>
      <c r="T399" s="708"/>
      <c r="U399" s="708"/>
    </row>
    <row r="400" ht="13.8" hidden="1" spans="1:21">
      <c r="A400" s="19"/>
      <c r="C400" s="20" t="str">
        <f>IFERROR(VLOOKUP(J400,'03. THIẾT BỊ'!$B$1:$U$836,5,0),"")</f>
        <v/>
      </c>
      <c r="D400" s="19"/>
      <c r="E400" s="19"/>
      <c r="F400" s="19"/>
      <c r="G400" s="19"/>
      <c r="H400" s="19" t="str">
        <f>IFERROR(VLOOKUP(J400,'03. THIẾT BỊ'!$B$1:$U$836,19,0),"")</f>
        <v/>
      </c>
      <c r="I400" s="19" t="str">
        <f>IFERROR(VLOOKUP(J400,'03. THIẾT BỊ'!$B$1:$U$836,20,0),"")</f>
        <v/>
      </c>
      <c r="J400" s="20"/>
      <c r="K400" s="722"/>
      <c r="L400" s="722"/>
      <c r="M400" s="722"/>
      <c r="N400" s="19" t="str">
        <f>IFERROR(VLOOKUP(J400,'03. THIẾT BỊ'!$B$1:$U$836,4,0),"")</f>
        <v/>
      </c>
      <c r="O400" s="19" t="str">
        <f>IFERROR(VLOOKUP(J400,'03. THIẾT BỊ'!$B$1:$U$836,7,0),"")</f>
        <v/>
      </c>
      <c r="P400" s="20"/>
      <c r="Q400" s="20"/>
      <c r="R400" s="20"/>
      <c r="S400" s="20" t="str">
        <f>IFERROR(VLOOKUP(J400,'03. THIẾT BỊ'!$B$1:$S$836,3,0),"")</f>
        <v/>
      </c>
      <c r="T400" s="708"/>
      <c r="U400" s="708"/>
    </row>
    <row r="401" ht="13.8" hidden="1" spans="1:21">
      <c r="A401" s="19"/>
      <c r="C401" s="20" t="str">
        <f>IFERROR(VLOOKUP(J401,'03. THIẾT BỊ'!$B$1:$U$836,5,0),"")</f>
        <v/>
      </c>
      <c r="D401" s="19"/>
      <c r="E401" s="19"/>
      <c r="F401" s="19"/>
      <c r="G401" s="19"/>
      <c r="H401" s="19" t="str">
        <f>IFERROR(VLOOKUP(J401,'03. THIẾT BỊ'!$B$1:$U$836,19,0),"")</f>
        <v/>
      </c>
      <c r="I401" s="19" t="str">
        <f>IFERROR(VLOOKUP(J401,'03. THIẾT BỊ'!$B$1:$U$836,20,0),"")</f>
        <v/>
      </c>
      <c r="J401" s="20"/>
      <c r="K401" s="722"/>
      <c r="L401" s="722"/>
      <c r="M401" s="722"/>
      <c r="N401" s="19" t="str">
        <f>IFERROR(VLOOKUP(J401,'03. THIẾT BỊ'!$B$1:$U$836,4,0),"")</f>
        <v/>
      </c>
      <c r="O401" s="19" t="str">
        <f>IFERROR(VLOOKUP(J401,'03. THIẾT BỊ'!$B$1:$U$836,7,0),"")</f>
        <v/>
      </c>
      <c r="P401" s="20"/>
      <c r="Q401" s="20"/>
      <c r="R401" s="20"/>
      <c r="S401" s="20" t="str">
        <f>IFERROR(VLOOKUP(J401,'03. THIẾT BỊ'!$B$1:$S$836,3,0),"")</f>
        <v/>
      </c>
      <c r="T401" s="708"/>
      <c r="U401" s="708"/>
    </row>
    <row r="402" ht="13.8" hidden="1" spans="1:21">
      <c r="A402" s="19"/>
      <c r="C402" s="20" t="str">
        <f>IFERROR(VLOOKUP(J402,'03. THIẾT BỊ'!$B$1:$U$836,5,0),"")</f>
        <v/>
      </c>
      <c r="D402" s="19"/>
      <c r="E402" s="19"/>
      <c r="F402" s="19"/>
      <c r="G402" s="19"/>
      <c r="H402" s="19" t="str">
        <f>IFERROR(VLOOKUP(J402,'03. THIẾT BỊ'!$B$1:$U$836,19,0),"")</f>
        <v/>
      </c>
      <c r="I402" s="19" t="str">
        <f>IFERROR(VLOOKUP(J402,'03. THIẾT BỊ'!$B$1:$U$836,20,0),"")</f>
        <v/>
      </c>
      <c r="J402" s="20"/>
      <c r="K402" s="722"/>
      <c r="L402" s="722"/>
      <c r="M402" s="722"/>
      <c r="N402" s="19" t="str">
        <f>IFERROR(VLOOKUP(J402,'03. THIẾT BỊ'!$B$1:$U$836,4,0),"")</f>
        <v/>
      </c>
      <c r="O402" s="19" t="str">
        <f>IFERROR(VLOOKUP(J402,'03. THIẾT BỊ'!$B$1:$U$836,7,0),"")</f>
        <v/>
      </c>
      <c r="P402" s="20"/>
      <c r="Q402" s="20"/>
      <c r="R402" s="20"/>
      <c r="S402" s="20" t="str">
        <f>IFERROR(VLOOKUP(J402,'03. THIẾT BỊ'!$B$1:$S$836,3,0),"")</f>
        <v/>
      </c>
      <c r="T402" s="708"/>
      <c r="U402" s="708"/>
    </row>
    <row r="403" ht="13.8" hidden="1" spans="1:21">
      <c r="A403" s="19"/>
      <c r="C403" s="20" t="str">
        <f>IFERROR(VLOOKUP(J403,'03. THIẾT BỊ'!$B$1:$U$836,5,0),"")</f>
        <v/>
      </c>
      <c r="D403" s="19"/>
      <c r="E403" s="19"/>
      <c r="F403" s="19"/>
      <c r="G403" s="19"/>
      <c r="H403" s="19" t="str">
        <f>IFERROR(VLOOKUP(J403,'03. THIẾT BỊ'!$B$1:$U$836,19,0),"")</f>
        <v/>
      </c>
      <c r="I403" s="19" t="str">
        <f>IFERROR(VLOOKUP(J403,'03. THIẾT BỊ'!$B$1:$U$836,20,0),"")</f>
        <v/>
      </c>
      <c r="J403" s="20"/>
      <c r="K403" s="722"/>
      <c r="L403" s="722"/>
      <c r="M403" s="722"/>
      <c r="N403" s="19" t="str">
        <f>IFERROR(VLOOKUP(J403,'03. THIẾT BỊ'!$B$1:$U$836,4,0),"")</f>
        <v/>
      </c>
      <c r="O403" s="19" t="str">
        <f>IFERROR(VLOOKUP(J403,'03. THIẾT BỊ'!$B$1:$U$836,7,0),"")</f>
        <v/>
      </c>
      <c r="P403" s="20"/>
      <c r="Q403" s="20"/>
      <c r="R403" s="20"/>
      <c r="S403" s="20" t="str">
        <f>IFERROR(VLOOKUP(J403,'03. THIẾT BỊ'!$B$1:$S$836,3,0),"")</f>
        <v/>
      </c>
      <c r="T403" s="708"/>
      <c r="U403" s="708"/>
    </row>
    <row r="404" ht="13.8" hidden="1" spans="1:21">
      <c r="A404" s="19"/>
      <c r="C404" s="20" t="str">
        <f>IFERROR(VLOOKUP(J404,'03. THIẾT BỊ'!$B$1:$U$836,5,0),"")</f>
        <v/>
      </c>
      <c r="D404" s="19"/>
      <c r="E404" s="19"/>
      <c r="F404" s="19"/>
      <c r="G404" s="19"/>
      <c r="H404" s="19" t="str">
        <f>IFERROR(VLOOKUP(J404,'03. THIẾT BỊ'!$B$1:$U$836,19,0),"")</f>
        <v/>
      </c>
      <c r="I404" s="19" t="str">
        <f>IFERROR(VLOOKUP(J404,'03. THIẾT BỊ'!$B$1:$U$836,20,0),"")</f>
        <v/>
      </c>
      <c r="J404" s="20"/>
      <c r="K404" s="722"/>
      <c r="L404" s="722"/>
      <c r="M404" s="722"/>
      <c r="N404" s="19" t="str">
        <f>IFERROR(VLOOKUP(J404,'03. THIẾT BỊ'!$B$1:$U$836,4,0),"")</f>
        <v/>
      </c>
      <c r="O404" s="19" t="str">
        <f>IFERROR(VLOOKUP(J404,'03. THIẾT BỊ'!$B$1:$U$836,7,0),"")</f>
        <v/>
      </c>
      <c r="P404" s="20"/>
      <c r="Q404" s="20"/>
      <c r="R404" s="20"/>
      <c r="S404" s="20" t="str">
        <f>IFERROR(VLOOKUP(J404,'03. THIẾT BỊ'!$B$1:$S$836,3,0),"")</f>
        <v/>
      </c>
      <c r="T404" s="708"/>
      <c r="U404" s="708"/>
    </row>
    <row r="405" ht="13.8" hidden="1" spans="1:21">
      <c r="A405" s="19"/>
      <c r="C405" s="20" t="str">
        <f>IFERROR(VLOOKUP(J405,'03. THIẾT BỊ'!$B$1:$U$836,5,0),"")</f>
        <v/>
      </c>
      <c r="D405" s="19"/>
      <c r="E405" s="19"/>
      <c r="F405" s="19"/>
      <c r="G405" s="19"/>
      <c r="H405" s="19" t="str">
        <f>IFERROR(VLOOKUP(J405,'03. THIẾT BỊ'!$B$1:$U$836,19,0),"")</f>
        <v/>
      </c>
      <c r="I405" s="19" t="str">
        <f>IFERROR(VLOOKUP(J405,'03. THIẾT BỊ'!$B$1:$U$836,20,0),"")</f>
        <v/>
      </c>
      <c r="J405" s="20"/>
      <c r="K405" s="722"/>
      <c r="L405" s="722"/>
      <c r="M405" s="722"/>
      <c r="N405" s="19" t="str">
        <f>IFERROR(VLOOKUP(J405,'03. THIẾT BỊ'!$B$1:$U$836,4,0),"")</f>
        <v/>
      </c>
      <c r="O405" s="19" t="str">
        <f>IFERROR(VLOOKUP(J405,'03. THIẾT BỊ'!$B$1:$U$836,7,0),"")</f>
        <v/>
      </c>
      <c r="P405" s="20"/>
      <c r="Q405" s="20"/>
      <c r="R405" s="20"/>
      <c r="S405" s="20" t="str">
        <f>IFERROR(VLOOKUP(J405,'03. THIẾT BỊ'!$B$1:$S$836,3,0),"")</f>
        <v/>
      </c>
      <c r="T405" s="708"/>
      <c r="U405" s="708"/>
    </row>
    <row r="406" ht="13.8" hidden="1" spans="1:21">
      <c r="A406" s="19"/>
      <c r="C406" s="20" t="str">
        <f>IFERROR(VLOOKUP(J406,'03. THIẾT BỊ'!$B$1:$U$836,5,0),"")</f>
        <v/>
      </c>
      <c r="D406" s="19"/>
      <c r="E406" s="19"/>
      <c r="F406" s="19"/>
      <c r="G406" s="19"/>
      <c r="H406" s="19" t="str">
        <f>IFERROR(VLOOKUP(J406,'03. THIẾT BỊ'!$B$1:$U$836,19,0),"")</f>
        <v/>
      </c>
      <c r="I406" s="19" t="str">
        <f>IFERROR(VLOOKUP(J406,'03. THIẾT BỊ'!$B$1:$U$836,20,0),"")</f>
        <v/>
      </c>
      <c r="J406" s="20"/>
      <c r="K406" s="722"/>
      <c r="L406" s="722"/>
      <c r="M406" s="722"/>
      <c r="N406" s="19" t="str">
        <f>IFERROR(VLOOKUP(J406,'03. THIẾT BỊ'!$B$1:$U$836,4,0),"")</f>
        <v/>
      </c>
      <c r="O406" s="19" t="str">
        <f>IFERROR(VLOOKUP(J406,'03. THIẾT BỊ'!$B$1:$U$836,7,0),"")</f>
        <v/>
      </c>
      <c r="P406" s="20"/>
      <c r="Q406" s="20"/>
      <c r="R406" s="20"/>
      <c r="S406" s="20" t="str">
        <f>IFERROR(VLOOKUP(J406,'03. THIẾT BỊ'!$B$1:$S$836,3,0),"")</f>
        <v/>
      </c>
      <c r="T406" s="708"/>
      <c r="U406" s="708"/>
    </row>
    <row r="407" ht="13.8" hidden="1" spans="1:21">
      <c r="A407" s="19"/>
      <c r="C407" s="20" t="str">
        <f>IFERROR(VLOOKUP(J407,'03. THIẾT BỊ'!$B$1:$U$836,5,0),"")</f>
        <v/>
      </c>
      <c r="D407" s="19"/>
      <c r="E407" s="19"/>
      <c r="F407" s="19"/>
      <c r="G407" s="19"/>
      <c r="H407" s="19" t="str">
        <f>IFERROR(VLOOKUP(J407,'03. THIẾT BỊ'!$B$1:$U$836,19,0),"")</f>
        <v/>
      </c>
      <c r="I407" s="19" t="str">
        <f>IFERROR(VLOOKUP(J407,'03. THIẾT BỊ'!$B$1:$U$836,20,0),"")</f>
        <v/>
      </c>
      <c r="J407" s="20"/>
      <c r="K407" s="722"/>
      <c r="L407" s="722"/>
      <c r="M407" s="722"/>
      <c r="N407" s="19" t="str">
        <f>IFERROR(VLOOKUP(J407,'03. THIẾT BỊ'!$B$1:$U$836,4,0),"")</f>
        <v/>
      </c>
      <c r="O407" s="19" t="str">
        <f>IFERROR(VLOOKUP(J407,'03. THIẾT BỊ'!$B$1:$U$836,7,0),"")</f>
        <v/>
      </c>
      <c r="P407" s="20"/>
      <c r="Q407" s="20"/>
      <c r="R407" s="20"/>
      <c r="S407" s="20" t="str">
        <f>IFERROR(VLOOKUP(J407,'03. THIẾT BỊ'!$B$1:$S$836,3,0),"")</f>
        <v/>
      </c>
      <c r="T407" s="708"/>
      <c r="U407" s="708"/>
    </row>
    <row r="408" ht="13.8" hidden="1" spans="1:21">
      <c r="A408" s="19"/>
      <c r="C408" s="20" t="str">
        <f>IFERROR(VLOOKUP(J408,'03. THIẾT BỊ'!$B$1:$U$836,5,0),"")</f>
        <v/>
      </c>
      <c r="D408" s="19"/>
      <c r="E408" s="19"/>
      <c r="F408" s="19"/>
      <c r="G408" s="19"/>
      <c r="H408" s="19" t="str">
        <f>IFERROR(VLOOKUP(J408,'03. THIẾT BỊ'!$B$1:$U$836,19,0),"")</f>
        <v/>
      </c>
      <c r="I408" s="19" t="str">
        <f>IFERROR(VLOOKUP(J408,'03. THIẾT BỊ'!$B$1:$U$836,20,0),"")</f>
        <v/>
      </c>
      <c r="J408" s="20"/>
      <c r="K408" s="722"/>
      <c r="L408" s="722"/>
      <c r="M408" s="722"/>
      <c r="N408" s="19" t="str">
        <f>IFERROR(VLOOKUP(J408,'03. THIẾT BỊ'!$B$1:$U$836,4,0),"")</f>
        <v/>
      </c>
      <c r="O408" s="19" t="str">
        <f>IFERROR(VLOOKUP(J408,'03. THIẾT BỊ'!$B$1:$U$836,7,0),"")</f>
        <v/>
      </c>
      <c r="P408" s="20"/>
      <c r="Q408" s="20"/>
      <c r="R408" s="20"/>
      <c r="S408" s="20" t="str">
        <f>IFERROR(VLOOKUP(J408,'03. THIẾT BỊ'!$B$1:$S$836,3,0),"")</f>
        <v/>
      </c>
      <c r="T408" s="708"/>
      <c r="U408" s="708"/>
    </row>
    <row r="409" ht="13.8" hidden="1" spans="1:21">
      <c r="A409" s="19"/>
      <c r="C409" s="20" t="str">
        <f>IFERROR(VLOOKUP(J409,'03. THIẾT BỊ'!$B$1:$U$836,5,0),"")</f>
        <v/>
      </c>
      <c r="D409" s="19"/>
      <c r="E409" s="19"/>
      <c r="F409" s="19"/>
      <c r="G409" s="19"/>
      <c r="H409" s="19" t="str">
        <f>IFERROR(VLOOKUP(J409,'03. THIẾT BỊ'!$B$1:$U$836,19,0),"")</f>
        <v/>
      </c>
      <c r="I409" s="19" t="str">
        <f>IFERROR(VLOOKUP(J409,'03. THIẾT BỊ'!$B$1:$U$836,20,0),"")</f>
        <v/>
      </c>
      <c r="J409" s="20"/>
      <c r="K409" s="722"/>
      <c r="L409" s="722"/>
      <c r="M409" s="722"/>
      <c r="N409" s="19" t="str">
        <f>IFERROR(VLOOKUP(J409,'03. THIẾT BỊ'!$B$1:$U$836,4,0),"")</f>
        <v/>
      </c>
      <c r="O409" s="19" t="str">
        <f>IFERROR(VLOOKUP(J409,'03. THIẾT BỊ'!$B$1:$U$836,7,0),"")</f>
        <v/>
      </c>
      <c r="P409" s="20"/>
      <c r="Q409" s="20"/>
      <c r="R409" s="20"/>
      <c r="S409" s="20" t="str">
        <f>IFERROR(VLOOKUP(J409,'03. THIẾT BỊ'!$B$1:$S$836,3,0),"")</f>
        <v/>
      </c>
      <c r="T409" s="708"/>
      <c r="U409" s="708"/>
    </row>
    <row r="410" ht="13.8" hidden="1" spans="1:21">
      <c r="A410" s="19"/>
      <c r="C410" s="20" t="str">
        <f>IFERROR(VLOOKUP(J410,'03. THIẾT BỊ'!$B$1:$U$836,5,0),"")</f>
        <v/>
      </c>
      <c r="D410" s="19"/>
      <c r="E410" s="19"/>
      <c r="F410" s="19"/>
      <c r="G410" s="19"/>
      <c r="H410" s="19" t="str">
        <f>IFERROR(VLOOKUP(J410,'03. THIẾT BỊ'!$B$1:$U$836,19,0),"")</f>
        <v/>
      </c>
      <c r="I410" s="19" t="str">
        <f>IFERROR(VLOOKUP(J410,'03. THIẾT BỊ'!$B$1:$U$836,20,0),"")</f>
        <v/>
      </c>
      <c r="J410" s="20"/>
      <c r="K410" s="722"/>
      <c r="L410" s="722"/>
      <c r="M410" s="722"/>
      <c r="N410" s="19" t="str">
        <f>IFERROR(VLOOKUP(J410,'03. THIẾT BỊ'!$B$1:$U$836,4,0),"")</f>
        <v/>
      </c>
      <c r="O410" s="19" t="str">
        <f>IFERROR(VLOOKUP(J410,'03. THIẾT BỊ'!$B$1:$U$836,7,0),"")</f>
        <v/>
      </c>
      <c r="P410" s="20"/>
      <c r="Q410" s="20"/>
      <c r="R410" s="20"/>
      <c r="S410" s="20" t="str">
        <f>IFERROR(VLOOKUP(J410,'03. THIẾT BỊ'!$B$1:$S$836,3,0),"")</f>
        <v/>
      </c>
      <c r="T410" s="708"/>
      <c r="U410" s="708"/>
    </row>
    <row r="411" ht="13.8" hidden="1" spans="1:21">
      <c r="A411" s="19"/>
      <c r="C411" s="20" t="str">
        <f>IFERROR(VLOOKUP(J411,'03. THIẾT BỊ'!$B$1:$U$836,5,0),"")</f>
        <v/>
      </c>
      <c r="D411" s="19"/>
      <c r="E411" s="19"/>
      <c r="F411" s="19"/>
      <c r="G411" s="19"/>
      <c r="H411" s="19" t="str">
        <f>IFERROR(VLOOKUP(J411,'03. THIẾT BỊ'!$B$1:$U$836,19,0),"")</f>
        <v/>
      </c>
      <c r="I411" s="19" t="str">
        <f>IFERROR(VLOOKUP(J411,'03. THIẾT BỊ'!$B$1:$U$836,20,0),"")</f>
        <v/>
      </c>
      <c r="J411" s="20"/>
      <c r="K411" s="722"/>
      <c r="L411" s="722"/>
      <c r="M411" s="722"/>
      <c r="N411" s="19" t="str">
        <f>IFERROR(VLOOKUP(J411,'03. THIẾT BỊ'!$B$1:$U$836,4,0),"")</f>
        <v/>
      </c>
      <c r="O411" s="19" t="str">
        <f>IFERROR(VLOOKUP(J411,'03. THIẾT BỊ'!$B$1:$U$836,7,0),"")</f>
        <v/>
      </c>
      <c r="P411" s="20"/>
      <c r="Q411" s="20"/>
      <c r="R411" s="20"/>
      <c r="S411" s="20" t="str">
        <f>IFERROR(VLOOKUP(J411,'03. THIẾT BỊ'!$B$1:$S$836,3,0),"")</f>
        <v/>
      </c>
      <c r="T411" s="708"/>
      <c r="U411" s="708"/>
    </row>
    <row r="412" ht="13.8" hidden="1" spans="1:21">
      <c r="A412" s="19"/>
      <c r="C412" s="20" t="str">
        <f>IFERROR(VLOOKUP(J412,'03. THIẾT BỊ'!$B$1:$U$836,5,0),"")</f>
        <v/>
      </c>
      <c r="D412" s="19"/>
      <c r="E412" s="19"/>
      <c r="F412" s="19"/>
      <c r="G412" s="19"/>
      <c r="H412" s="19" t="str">
        <f>IFERROR(VLOOKUP(J412,'03. THIẾT BỊ'!$B$1:$U$836,19,0),"")</f>
        <v/>
      </c>
      <c r="I412" s="19" t="str">
        <f>IFERROR(VLOOKUP(J412,'03. THIẾT BỊ'!$B$1:$U$836,20,0),"")</f>
        <v/>
      </c>
      <c r="J412" s="20"/>
      <c r="K412" s="722"/>
      <c r="L412" s="722"/>
      <c r="M412" s="722"/>
      <c r="N412" s="19" t="str">
        <f>IFERROR(VLOOKUP(J412,'03. THIẾT BỊ'!$B$1:$U$836,4,0),"")</f>
        <v/>
      </c>
      <c r="O412" s="19" t="str">
        <f>IFERROR(VLOOKUP(J412,'03. THIẾT BỊ'!$B$1:$U$836,7,0),"")</f>
        <v/>
      </c>
      <c r="P412" s="20"/>
      <c r="Q412" s="20"/>
      <c r="R412" s="20"/>
      <c r="S412" s="20" t="str">
        <f>IFERROR(VLOOKUP(J412,'03. THIẾT BỊ'!$B$1:$S$836,3,0),"")</f>
        <v/>
      </c>
      <c r="T412" s="708"/>
      <c r="U412" s="708"/>
    </row>
    <row r="413" ht="13.8" hidden="1" spans="1:21">
      <c r="A413" s="19"/>
      <c r="C413" s="20" t="str">
        <f>IFERROR(VLOOKUP(J413,'03. THIẾT BỊ'!$B$1:$U$836,5,0),"")</f>
        <v/>
      </c>
      <c r="D413" s="19"/>
      <c r="E413" s="19"/>
      <c r="F413" s="19"/>
      <c r="G413" s="19"/>
      <c r="H413" s="19" t="str">
        <f>IFERROR(VLOOKUP(J413,'03. THIẾT BỊ'!$B$1:$U$836,19,0),"")</f>
        <v/>
      </c>
      <c r="I413" s="19" t="str">
        <f>IFERROR(VLOOKUP(J413,'03. THIẾT BỊ'!$B$1:$U$836,20,0),"")</f>
        <v/>
      </c>
      <c r="J413" s="20"/>
      <c r="K413" s="722"/>
      <c r="L413" s="722"/>
      <c r="M413" s="722"/>
      <c r="N413" s="19" t="str">
        <f>IFERROR(VLOOKUP(J413,'03. THIẾT BỊ'!$B$1:$U$836,4,0),"")</f>
        <v/>
      </c>
      <c r="O413" s="19" t="str">
        <f>IFERROR(VLOOKUP(J413,'03. THIẾT BỊ'!$B$1:$U$836,7,0),"")</f>
        <v/>
      </c>
      <c r="P413" s="20"/>
      <c r="Q413" s="20"/>
      <c r="R413" s="20"/>
      <c r="S413" s="20" t="str">
        <f>IFERROR(VLOOKUP(J413,'03. THIẾT BỊ'!$B$1:$S$836,3,0),"")</f>
        <v/>
      </c>
      <c r="T413" s="708"/>
      <c r="U413" s="708"/>
    </row>
    <row r="414" ht="13.8" hidden="1" spans="1:21">
      <c r="A414" s="19"/>
      <c r="C414" s="20" t="str">
        <f>IFERROR(VLOOKUP(J414,'03. THIẾT BỊ'!$B$1:$U$836,5,0),"")</f>
        <v/>
      </c>
      <c r="D414" s="19"/>
      <c r="E414" s="19"/>
      <c r="F414" s="19"/>
      <c r="G414" s="19"/>
      <c r="H414" s="19" t="str">
        <f>IFERROR(VLOOKUP(J414,'03. THIẾT BỊ'!$B$1:$U$836,19,0),"")</f>
        <v/>
      </c>
      <c r="I414" s="19" t="str">
        <f>IFERROR(VLOOKUP(J414,'03. THIẾT BỊ'!$B$1:$U$836,20,0),"")</f>
        <v/>
      </c>
      <c r="J414" s="20"/>
      <c r="K414" s="722"/>
      <c r="L414" s="722"/>
      <c r="M414" s="722"/>
      <c r="N414" s="19" t="str">
        <f>IFERROR(VLOOKUP(J414,'03. THIẾT BỊ'!$B$1:$U$836,4,0),"")</f>
        <v/>
      </c>
      <c r="O414" s="19" t="str">
        <f>IFERROR(VLOOKUP(J414,'03. THIẾT BỊ'!$B$1:$U$836,7,0),"")</f>
        <v/>
      </c>
      <c r="P414" s="20"/>
      <c r="Q414" s="20"/>
      <c r="R414" s="20"/>
      <c r="S414" s="20" t="str">
        <f>IFERROR(VLOOKUP(J414,'03. THIẾT BỊ'!$B$1:$S$836,3,0),"")</f>
        <v/>
      </c>
      <c r="T414" s="708"/>
      <c r="U414" s="708"/>
    </row>
    <row r="415" ht="13.8" hidden="1" spans="1:21">
      <c r="A415" s="19"/>
      <c r="C415" s="20" t="str">
        <f>IFERROR(VLOOKUP(J415,'03. THIẾT BỊ'!$B$1:$U$836,5,0),"")</f>
        <v/>
      </c>
      <c r="D415" s="19"/>
      <c r="E415" s="19"/>
      <c r="F415" s="19"/>
      <c r="G415" s="19"/>
      <c r="H415" s="19" t="str">
        <f>IFERROR(VLOOKUP(J415,'03. THIẾT BỊ'!$B$1:$U$836,19,0),"")</f>
        <v/>
      </c>
      <c r="I415" s="19" t="str">
        <f>IFERROR(VLOOKUP(J415,'03. THIẾT BỊ'!$B$1:$U$836,20,0),"")</f>
        <v/>
      </c>
      <c r="J415" s="20"/>
      <c r="K415" s="722"/>
      <c r="L415" s="722"/>
      <c r="M415" s="722"/>
      <c r="N415" s="19" t="str">
        <f>IFERROR(VLOOKUP(J415,'03. THIẾT BỊ'!$B$1:$U$836,4,0),"")</f>
        <v/>
      </c>
      <c r="O415" s="19" t="str">
        <f>IFERROR(VLOOKUP(J415,'03. THIẾT BỊ'!$B$1:$U$836,7,0),"")</f>
        <v/>
      </c>
      <c r="P415" s="20"/>
      <c r="Q415" s="20"/>
      <c r="R415" s="20"/>
      <c r="S415" s="20" t="str">
        <f>IFERROR(VLOOKUP(J415,'03. THIẾT BỊ'!$B$1:$S$836,3,0),"")</f>
        <v/>
      </c>
      <c r="T415" s="708"/>
      <c r="U415" s="708"/>
    </row>
    <row r="416" ht="13.8" hidden="1" spans="1:21">
      <c r="A416" s="19"/>
      <c r="C416" s="20" t="str">
        <f>IFERROR(VLOOKUP(J416,'03. THIẾT BỊ'!$B$1:$U$836,5,0),"")</f>
        <v/>
      </c>
      <c r="D416" s="19"/>
      <c r="E416" s="19"/>
      <c r="F416" s="19"/>
      <c r="G416" s="19"/>
      <c r="H416" s="19" t="str">
        <f>IFERROR(VLOOKUP(J416,'03. THIẾT BỊ'!$B$1:$U$836,19,0),"")</f>
        <v/>
      </c>
      <c r="I416" s="19" t="str">
        <f>IFERROR(VLOOKUP(J416,'03. THIẾT BỊ'!$B$1:$U$836,20,0),"")</f>
        <v/>
      </c>
      <c r="J416" s="20"/>
      <c r="K416" s="722"/>
      <c r="L416" s="722"/>
      <c r="M416" s="722"/>
      <c r="N416" s="19" t="str">
        <f>IFERROR(VLOOKUP(J416,'03. THIẾT BỊ'!$B$1:$U$836,4,0),"")</f>
        <v/>
      </c>
      <c r="O416" s="19" t="str">
        <f>IFERROR(VLOOKUP(J416,'03. THIẾT BỊ'!$B$1:$U$836,7,0),"")</f>
        <v/>
      </c>
      <c r="P416" s="20"/>
      <c r="Q416" s="20"/>
      <c r="R416" s="20"/>
      <c r="S416" s="20" t="str">
        <f>IFERROR(VLOOKUP(J416,'03. THIẾT BỊ'!$B$1:$S$836,3,0),"")</f>
        <v/>
      </c>
      <c r="T416" s="708"/>
      <c r="U416" s="708"/>
    </row>
    <row r="417" ht="13.8" hidden="1" spans="1:21">
      <c r="A417" s="19"/>
      <c r="C417" s="20" t="str">
        <f>IFERROR(VLOOKUP(J417,'03. THIẾT BỊ'!$B$1:$U$836,5,0),"")</f>
        <v/>
      </c>
      <c r="D417" s="19"/>
      <c r="E417" s="19"/>
      <c r="F417" s="19"/>
      <c r="G417" s="19"/>
      <c r="H417" s="19" t="str">
        <f>IFERROR(VLOOKUP(J417,'03. THIẾT BỊ'!$B$1:$U$836,19,0),"")</f>
        <v/>
      </c>
      <c r="I417" s="19" t="str">
        <f>IFERROR(VLOOKUP(J417,'03. THIẾT BỊ'!$B$1:$U$836,20,0),"")</f>
        <v/>
      </c>
      <c r="J417" s="20"/>
      <c r="K417" s="722"/>
      <c r="L417" s="722"/>
      <c r="M417" s="722"/>
      <c r="N417" s="19" t="str">
        <f>IFERROR(VLOOKUP(J417,'03. THIẾT BỊ'!$B$1:$U$836,4,0),"")</f>
        <v/>
      </c>
      <c r="O417" s="19" t="str">
        <f>IFERROR(VLOOKUP(J417,'03. THIẾT BỊ'!$B$1:$U$836,7,0),"")</f>
        <v/>
      </c>
      <c r="P417" s="20"/>
      <c r="Q417" s="20"/>
      <c r="R417" s="20"/>
      <c r="S417" s="20" t="str">
        <f>IFERROR(VLOOKUP(J417,'03. THIẾT BỊ'!$B$1:$S$836,3,0),"")</f>
        <v/>
      </c>
      <c r="T417" s="708"/>
      <c r="U417" s="708"/>
    </row>
    <row r="418" ht="13.8" hidden="1" spans="1:21">
      <c r="A418" s="19"/>
      <c r="C418" s="20" t="str">
        <f>IFERROR(VLOOKUP(J418,'03. THIẾT BỊ'!$B$1:$U$836,5,0),"")</f>
        <v/>
      </c>
      <c r="D418" s="19"/>
      <c r="E418" s="19"/>
      <c r="F418" s="19"/>
      <c r="G418" s="19"/>
      <c r="H418" s="19" t="str">
        <f>IFERROR(VLOOKUP(J418,'03. THIẾT BỊ'!$B$1:$U$836,19,0),"")</f>
        <v/>
      </c>
      <c r="I418" s="19" t="str">
        <f>IFERROR(VLOOKUP(J418,'03. THIẾT BỊ'!$B$1:$U$836,20,0),"")</f>
        <v/>
      </c>
      <c r="J418" s="20"/>
      <c r="K418" s="722"/>
      <c r="L418" s="722"/>
      <c r="M418" s="722"/>
      <c r="N418" s="19" t="str">
        <f>IFERROR(VLOOKUP(J418,'03. THIẾT BỊ'!$B$1:$U$836,4,0),"")</f>
        <v/>
      </c>
      <c r="O418" s="19" t="str">
        <f>IFERROR(VLOOKUP(J418,'03. THIẾT BỊ'!$B$1:$U$836,7,0),"")</f>
        <v/>
      </c>
      <c r="P418" s="20"/>
      <c r="Q418" s="20"/>
      <c r="R418" s="20"/>
      <c r="S418" s="20" t="str">
        <f>IFERROR(VLOOKUP(J418,'03. THIẾT BỊ'!$B$1:$S$836,3,0),"")</f>
        <v/>
      </c>
      <c r="T418" s="708"/>
      <c r="U418" s="708"/>
    </row>
    <row r="419" ht="13.8" hidden="1" spans="1:21">
      <c r="A419" s="19"/>
      <c r="C419" s="20" t="str">
        <f>IFERROR(VLOOKUP(J419,'03. THIẾT BỊ'!$B$1:$U$836,5,0),"")</f>
        <v/>
      </c>
      <c r="D419" s="19"/>
      <c r="E419" s="19"/>
      <c r="F419" s="19"/>
      <c r="G419" s="19"/>
      <c r="H419" s="19" t="str">
        <f>IFERROR(VLOOKUP(J419,'03. THIẾT BỊ'!$B$1:$U$836,19,0),"")</f>
        <v/>
      </c>
      <c r="I419" s="19" t="str">
        <f>IFERROR(VLOOKUP(J419,'03. THIẾT BỊ'!$B$1:$U$836,20,0),"")</f>
        <v/>
      </c>
      <c r="J419" s="20"/>
      <c r="K419" s="722"/>
      <c r="L419" s="722"/>
      <c r="M419" s="722"/>
      <c r="N419" s="19" t="str">
        <f>IFERROR(VLOOKUP(J419,'03. THIẾT BỊ'!$B$1:$U$836,4,0),"")</f>
        <v/>
      </c>
      <c r="O419" s="19" t="str">
        <f>IFERROR(VLOOKUP(J419,'03. THIẾT BỊ'!$B$1:$U$836,7,0),"")</f>
        <v/>
      </c>
      <c r="P419" s="20"/>
      <c r="Q419" s="20"/>
      <c r="R419" s="20"/>
      <c r="S419" s="20" t="str">
        <f>IFERROR(VLOOKUP(J419,'03. THIẾT BỊ'!$B$1:$S$836,3,0),"")</f>
        <v/>
      </c>
      <c r="T419" s="708"/>
      <c r="U419" s="708"/>
    </row>
    <row r="420" ht="13.8" hidden="1" spans="1:21">
      <c r="A420" s="19"/>
      <c r="C420" s="20" t="str">
        <f>IFERROR(VLOOKUP(J420,'03. THIẾT BỊ'!$B$1:$U$836,5,0),"")</f>
        <v/>
      </c>
      <c r="D420" s="19"/>
      <c r="E420" s="19"/>
      <c r="F420" s="19"/>
      <c r="G420" s="19"/>
      <c r="H420" s="19" t="str">
        <f>IFERROR(VLOOKUP(J420,'03. THIẾT BỊ'!$B$1:$U$836,19,0),"")</f>
        <v/>
      </c>
      <c r="I420" s="19" t="str">
        <f>IFERROR(VLOOKUP(J420,'03. THIẾT BỊ'!$B$1:$U$836,20,0),"")</f>
        <v/>
      </c>
      <c r="J420" s="20"/>
      <c r="K420" s="722"/>
      <c r="L420" s="722"/>
      <c r="M420" s="722"/>
      <c r="N420" s="19" t="str">
        <f>IFERROR(VLOOKUP(J420,'03. THIẾT BỊ'!$B$1:$U$836,4,0),"")</f>
        <v/>
      </c>
      <c r="O420" s="19" t="str">
        <f>IFERROR(VLOOKUP(J420,'03. THIẾT BỊ'!$B$1:$U$836,7,0),"")</f>
        <v/>
      </c>
      <c r="P420" s="20"/>
      <c r="Q420" s="20"/>
      <c r="R420" s="20"/>
      <c r="S420" s="20" t="str">
        <f>IFERROR(VLOOKUP(J420,'03. THIẾT BỊ'!$B$1:$S$836,3,0),"")</f>
        <v/>
      </c>
      <c r="T420" s="708"/>
      <c r="U420" s="708"/>
    </row>
    <row r="421" ht="13.8" hidden="1" spans="1:21">
      <c r="A421" s="19"/>
      <c r="C421" s="20" t="str">
        <f>IFERROR(VLOOKUP(J421,'03. THIẾT BỊ'!$B$1:$U$836,5,0),"")</f>
        <v/>
      </c>
      <c r="D421" s="19"/>
      <c r="E421" s="19"/>
      <c r="F421" s="19"/>
      <c r="G421" s="19"/>
      <c r="H421" s="19" t="str">
        <f>IFERROR(VLOOKUP(J421,'03. THIẾT BỊ'!$B$1:$U$836,19,0),"")</f>
        <v/>
      </c>
      <c r="I421" s="19" t="str">
        <f>IFERROR(VLOOKUP(J421,'03. THIẾT BỊ'!$B$1:$U$836,20,0),"")</f>
        <v/>
      </c>
      <c r="J421" s="20"/>
      <c r="K421" s="722"/>
      <c r="L421" s="722"/>
      <c r="M421" s="722"/>
      <c r="N421" s="19" t="str">
        <f>IFERROR(VLOOKUP(J421,'03. THIẾT BỊ'!$B$1:$U$836,4,0),"")</f>
        <v/>
      </c>
      <c r="O421" s="19" t="str">
        <f>IFERROR(VLOOKUP(J421,'03. THIẾT BỊ'!$B$1:$U$836,7,0),"")</f>
        <v/>
      </c>
      <c r="P421" s="20"/>
      <c r="Q421" s="20"/>
      <c r="R421" s="20"/>
      <c r="S421" s="20" t="str">
        <f>IFERROR(VLOOKUP(J421,'03. THIẾT BỊ'!$B$1:$S$836,3,0),"")</f>
        <v/>
      </c>
      <c r="T421" s="708"/>
      <c r="U421" s="708"/>
    </row>
    <row r="422" ht="13.8" hidden="1" spans="1:21">
      <c r="A422" s="19"/>
      <c r="C422" s="20" t="str">
        <f>IFERROR(VLOOKUP(J422,'03. THIẾT BỊ'!$B$1:$U$836,5,0),"")</f>
        <v/>
      </c>
      <c r="D422" s="19"/>
      <c r="E422" s="19"/>
      <c r="F422" s="19"/>
      <c r="G422" s="19"/>
      <c r="H422" s="19" t="str">
        <f>IFERROR(VLOOKUP(J422,'03. THIẾT BỊ'!$B$1:$U$836,19,0),"")</f>
        <v/>
      </c>
      <c r="I422" s="19" t="str">
        <f>IFERROR(VLOOKUP(J422,'03. THIẾT BỊ'!$B$1:$U$836,20,0),"")</f>
        <v/>
      </c>
      <c r="J422" s="20"/>
      <c r="K422" s="722"/>
      <c r="L422" s="722"/>
      <c r="M422" s="722"/>
      <c r="N422" s="19" t="str">
        <f>IFERROR(VLOOKUP(J422,'03. THIẾT BỊ'!$B$1:$U$836,4,0),"")</f>
        <v/>
      </c>
      <c r="O422" s="19" t="str">
        <f>IFERROR(VLOOKUP(J422,'03. THIẾT BỊ'!$B$1:$U$836,7,0),"")</f>
        <v/>
      </c>
      <c r="P422" s="20"/>
      <c r="Q422" s="20"/>
      <c r="R422" s="20"/>
      <c r="S422" s="20" t="str">
        <f>IFERROR(VLOOKUP(J422,'03. THIẾT BỊ'!$B$1:$S$836,3,0),"")</f>
        <v/>
      </c>
      <c r="T422" s="708"/>
      <c r="U422" s="708"/>
    </row>
    <row r="423" ht="13.8" hidden="1" spans="1:21">
      <c r="A423" s="19"/>
      <c r="C423" s="20" t="str">
        <f>IFERROR(VLOOKUP(J423,'03. THIẾT BỊ'!$B$1:$U$836,5,0),"")</f>
        <v/>
      </c>
      <c r="D423" s="19"/>
      <c r="E423" s="19"/>
      <c r="F423" s="19"/>
      <c r="G423" s="19"/>
      <c r="H423" s="19" t="str">
        <f>IFERROR(VLOOKUP(J423,'03. THIẾT BỊ'!$B$1:$U$836,19,0),"")</f>
        <v/>
      </c>
      <c r="I423" s="19" t="str">
        <f>IFERROR(VLOOKUP(J423,'03. THIẾT BỊ'!$B$1:$U$836,20,0),"")</f>
        <v/>
      </c>
      <c r="J423" s="20"/>
      <c r="K423" s="722"/>
      <c r="L423" s="722"/>
      <c r="M423" s="722"/>
      <c r="N423" s="19" t="str">
        <f>IFERROR(VLOOKUP(J423,'03. THIẾT BỊ'!$B$1:$U$836,4,0),"")</f>
        <v/>
      </c>
      <c r="O423" s="19" t="str">
        <f>IFERROR(VLOOKUP(J423,'03. THIẾT BỊ'!$B$1:$U$836,7,0),"")</f>
        <v/>
      </c>
      <c r="P423" s="20"/>
      <c r="Q423" s="20"/>
      <c r="R423" s="20"/>
      <c r="S423" s="20" t="str">
        <f>IFERROR(VLOOKUP(J423,'03. THIẾT BỊ'!$B$1:$S$836,3,0),"")</f>
        <v/>
      </c>
      <c r="T423" s="708"/>
      <c r="U423" s="708"/>
    </row>
    <row r="424" ht="13.8" hidden="1" spans="1:21">
      <c r="A424" s="19"/>
      <c r="C424" s="20" t="str">
        <f>IFERROR(VLOOKUP(J424,'03. THIẾT BỊ'!$B$1:$U$836,5,0),"")</f>
        <v/>
      </c>
      <c r="D424" s="19"/>
      <c r="E424" s="19"/>
      <c r="F424" s="19"/>
      <c r="G424" s="19"/>
      <c r="H424" s="19" t="str">
        <f>IFERROR(VLOOKUP(J424,'03. THIẾT BỊ'!$B$1:$U$836,19,0),"")</f>
        <v/>
      </c>
      <c r="I424" s="19" t="str">
        <f>IFERROR(VLOOKUP(J424,'03. THIẾT BỊ'!$B$1:$U$836,20,0),"")</f>
        <v/>
      </c>
      <c r="J424" s="20"/>
      <c r="K424" s="722"/>
      <c r="L424" s="722"/>
      <c r="M424" s="722"/>
      <c r="N424" s="19" t="str">
        <f>IFERROR(VLOOKUP(J424,'03. THIẾT BỊ'!$B$1:$U$836,4,0),"")</f>
        <v/>
      </c>
      <c r="O424" s="19" t="str">
        <f>IFERROR(VLOOKUP(J424,'03. THIẾT BỊ'!$B$1:$U$836,7,0),"")</f>
        <v/>
      </c>
      <c r="P424" s="20"/>
      <c r="Q424" s="20"/>
      <c r="R424" s="20"/>
      <c r="S424" s="20" t="str">
        <f>IFERROR(VLOOKUP(J424,'03. THIẾT BỊ'!$B$1:$S$836,3,0),"")</f>
        <v/>
      </c>
      <c r="T424" s="708"/>
      <c r="U424" s="708"/>
    </row>
    <row r="425" ht="13.8" hidden="1" spans="1:21">
      <c r="A425" s="19"/>
      <c r="C425" s="20" t="str">
        <f>IFERROR(VLOOKUP(J425,'03. THIẾT BỊ'!$B$1:$U$836,5,0),"")</f>
        <v/>
      </c>
      <c r="D425" s="19"/>
      <c r="E425" s="19"/>
      <c r="F425" s="19"/>
      <c r="G425" s="19"/>
      <c r="H425" s="19" t="str">
        <f>IFERROR(VLOOKUP(J425,'03. THIẾT BỊ'!$B$1:$U$836,19,0),"")</f>
        <v/>
      </c>
      <c r="I425" s="19" t="str">
        <f>IFERROR(VLOOKUP(J425,'03. THIẾT BỊ'!$B$1:$U$836,20,0),"")</f>
        <v/>
      </c>
      <c r="J425" s="20"/>
      <c r="K425" s="722"/>
      <c r="L425" s="722"/>
      <c r="M425" s="722"/>
      <c r="N425" s="19" t="str">
        <f>IFERROR(VLOOKUP(J425,'03. THIẾT BỊ'!$B$1:$U$836,4,0),"")</f>
        <v/>
      </c>
      <c r="O425" s="19" t="str">
        <f>IFERROR(VLOOKUP(J425,'03. THIẾT BỊ'!$B$1:$U$836,7,0),"")</f>
        <v/>
      </c>
      <c r="P425" s="20"/>
      <c r="Q425" s="20"/>
      <c r="R425" s="20"/>
      <c r="S425" s="20" t="str">
        <f>IFERROR(VLOOKUP(J425,'03. THIẾT BỊ'!$B$1:$S$836,3,0),"")</f>
        <v/>
      </c>
      <c r="T425" s="708"/>
      <c r="U425" s="708"/>
    </row>
    <row r="426" ht="13.8" hidden="1" spans="1:21">
      <c r="A426" s="19"/>
      <c r="C426" s="20" t="str">
        <f>IFERROR(VLOOKUP(J426,'03. THIẾT BỊ'!$B$1:$U$836,5,0),"")</f>
        <v/>
      </c>
      <c r="D426" s="19"/>
      <c r="E426" s="19"/>
      <c r="F426" s="19"/>
      <c r="G426" s="19"/>
      <c r="H426" s="19" t="str">
        <f>IFERROR(VLOOKUP(J426,'03. THIẾT BỊ'!$B$1:$U$836,19,0),"")</f>
        <v/>
      </c>
      <c r="I426" s="19" t="str">
        <f>IFERROR(VLOOKUP(J426,'03. THIẾT BỊ'!$B$1:$U$836,20,0),"")</f>
        <v/>
      </c>
      <c r="J426" s="20"/>
      <c r="K426" s="722"/>
      <c r="L426" s="722"/>
      <c r="M426" s="722"/>
      <c r="N426" s="19" t="str">
        <f>IFERROR(VLOOKUP(J426,'03. THIẾT BỊ'!$B$1:$U$836,4,0),"")</f>
        <v/>
      </c>
      <c r="O426" s="19" t="str">
        <f>IFERROR(VLOOKUP(J426,'03. THIẾT BỊ'!$B$1:$U$836,7,0),"")</f>
        <v/>
      </c>
      <c r="P426" s="20"/>
      <c r="Q426" s="20"/>
      <c r="R426" s="20"/>
      <c r="S426" s="20" t="str">
        <f>IFERROR(VLOOKUP(J426,'03. THIẾT BỊ'!$B$1:$S$836,3,0),"")</f>
        <v/>
      </c>
      <c r="T426" s="708"/>
      <c r="U426" s="708"/>
    </row>
    <row r="427" ht="13.8" hidden="1" spans="1:21">
      <c r="A427" s="19"/>
      <c r="C427" s="20" t="str">
        <f>IFERROR(VLOOKUP(J427,'03. THIẾT BỊ'!$B$1:$U$836,5,0),"")</f>
        <v/>
      </c>
      <c r="D427" s="19"/>
      <c r="E427" s="19"/>
      <c r="F427" s="19"/>
      <c r="G427" s="19"/>
      <c r="H427" s="19" t="str">
        <f>IFERROR(VLOOKUP(J427,'03. THIẾT BỊ'!$B$1:$U$836,19,0),"")</f>
        <v/>
      </c>
      <c r="I427" s="19" t="str">
        <f>IFERROR(VLOOKUP(J427,'03. THIẾT BỊ'!$B$1:$U$836,20,0),"")</f>
        <v/>
      </c>
      <c r="J427" s="20"/>
      <c r="K427" s="722"/>
      <c r="L427" s="722"/>
      <c r="M427" s="722"/>
      <c r="N427" s="19" t="str">
        <f>IFERROR(VLOOKUP(J427,'03. THIẾT BỊ'!$B$1:$U$836,4,0),"")</f>
        <v/>
      </c>
      <c r="O427" s="19" t="str">
        <f>IFERROR(VLOOKUP(J427,'03. THIẾT BỊ'!$B$1:$U$836,7,0),"")</f>
        <v/>
      </c>
      <c r="P427" s="20"/>
      <c r="Q427" s="20"/>
      <c r="R427" s="20"/>
      <c r="S427" s="20" t="str">
        <f>IFERROR(VLOOKUP(J427,'03. THIẾT BỊ'!$B$1:$S$836,3,0),"")</f>
        <v/>
      </c>
      <c r="T427" s="708"/>
      <c r="U427" s="708"/>
    </row>
    <row r="428" ht="13.8" hidden="1" spans="1:21">
      <c r="A428" s="19"/>
      <c r="C428" s="20" t="str">
        <f>IFERROR(VLOOKUP(J428,'03. THIẾT BỊ'!$B$1:$U$836,5,0),"")</f>
        <v/>
      </c>
      <c r="D428" s="19"/>
      <c r="E428" s="19"/>
      <c r="F428" s="19"/>
      <c r="G428" s="19"/>
      <c r="H428" s="19" t="str">
        <f>IFERROR(VLOOKUP(J428,'03. THIẾT BỊ'!$B$1:$U$836,19,0),"")</f>
        <v/>
      </c>
      <c r="I428" s="19" t="str">
        <f>IFERROR(VLOOKUP(J428,'03. THIẾT BỊ'!$B$1:$U$836,20,0),"")</f>
        <v/>
      </c>
      <c r="J428" s="20"/>
      <c r="K428" s="722"/>
      <c r="L428" s="722"/>
      <c r="M428" s="722"/>
      <c r="N428" s="19" t="str">
        <f>IFERROR(VLOOKUP(J428,'03. THIẾT BỊ'!$B$1:$U$836,4,0),"")</f>
        <v/>
      </c>
      <c r="O428" s="19" t="str">
        <f>IFERROR(VLOOKUP(J428,'03. THIẾT BỊ'!$B$1:$U$836,7,0),"")</f>
        <v/>
      </c>
      <c r="P428" s="20"/>
      <c r="Q428" s="20"/>
      <c r="R428" s="20"/>
      <c r="S428" s="20" t="str">
        <f>IFERROR(VLOOKUP(J428,'03. THIẾT BỊ'!$B$1:$S$836,3,0),"")</f>
        <v/>
      </c>
      <c r="T428" s="708"/>
      <c r="U428" s="708"/>
    </row>
    <row r="429" ht="13.8" hidden="1" spans="1:21">
      <c r="A429" s="19"/>
      <c r="C429" s="20" t="str">
        <f>IFERROR(VLOOKUP(J429,'03. THIẾT BỊ'!$B$1:$U$836,5,0),"")</f>
        <v/>
      </c>
      <c r="D429" s="19"/>
      <c r="E429" s="19"/>
      <c r="F429" s="19"/>
      <c r="G429" s="19"/>
      <c r="H429" s="19" t="str">
        <f>IFERROR(VLOOKUP(J429,'03. THIẾT BỊ'!$B$1:$U$836,19,0),"")</f>
        <v/>
      </c>
      <c r="I429" s="19" t="str">
        <f>IFERROR(VLOOKUP(J429,'03. THIẾT BỊ'!$B$1:$U$836,20,0),"")</f>
        <v/>
      </c>
      <c r="J429" s="20"/>
      <c r="K429" s="722"/>
      <c r="L429" s="722"/>
      <c r="M429" s="722"/>
      <c r="N429" s="19" t="str">
        <f>IFERROR(VLOOKUP(J429,'03. THIẾT BỊ'!$B$1:$U$836,4,0),"")</f>
        <v/>
      </c>
      <c r="O429" s="19" t="str">
        <f>IFERROR(VLOOKUP(J429,'03. THIẾT BỊ'!$B$1:$U$836,7,0),"")</f>
        <v/>
      </c>
      <c r="P429" s="20"/>
      <c r="Q429" s="20"/>
      <c r="R429" s="20"/>
      <c r="S429" s="20" t="str">
        <f>IFERROR(VLOOKUP(J429,'03. THIẾT BỊ'!$B$1:$S$836,3,0),"")</f>
        <v/>
      </c>
      <c r="T429" s="708"/>
      <c r="U429" s="708"/>
    </row>
    <row r="430" ht="13.8" hidden="1" spans="1:21">
      <c r="A430" s="19"/>
      <c r="C430" s="20" t="str">
        <f>IFERROR(VLOOKUP(J430,'03. THIẾT BỊ'!$B$1:$U$836,5,0),"")</f>
        <v/>
      </c>
      <c r="D430" s="19"/>
      <c r="E430" s="19"/>
      <c r="F430" s="19"/>
      <c r="G430" s="19"/>
      <c r="H430" s="19" t="str">
        <f>IFERROR(VLOOKUP(J430,'03. THIẾT BỊ'!$B$1:$U$836,19,0),"")</f>
        <v/>
      </c>
      <c r="I430" s="19" t="str">
        <f>IFERROR(VLOOKUP(J430,'03. THIẾT BỊ'!$B$1:$U$836,20,0),"")</f>
        <v/>
      </c>
      <c r="J430" s="20"/>
      <c r="K430" s="722"/>
      <c r="L430" s="722"/>
      <c r="M430" s="722"/>
      <c r="N430" s="19" t="str">
        <f>IFERROR(VLOOKUP(J430,'03. THIẾT BỊ'!$B$1:$U$836,4,0),"")</f>
        <v/>
      </c>
      <c r="O430" s="19" t="str">
        <f>IFERROR(VLOOKUP(J430,'03. THIẾT BỊ'!$B$1:$U$836,7,0),"")</f>
        <v/>
      </c>
      <c r="P430" s="20"/>
      <c r="Q430" s="20"/>
      <c r="R430" s="20"/>
      <c r="S430" s="20" t="str">
        <f>IFERROR(VLOOKUP(J430,'03. THIẾT BỊ'!$B$1:$S$836,3,0),"")</f>
        <v/>
      </c>
      <c r="T430" s="708"/>
      <c r="U430" s="708"/>
    </row>
    <row r="431" ht="13.8" hidden="1" spans="1:21">
      <c r="A431" s="19"/>
      <c r="C431" s="20" t="str">
        <f>IFERROR(VLOOKUP(J431,'03. THIẾT BỊ'!$B$1:$U$836,5,0),"")</f>
        <v/>
      </c>
      <c r="D431" s="19"/>
      <c r="E431" s="19"/>
      <c r="F431" s="19"/>
      <c r="G431" s="19"/>
      <c r="H431" s="19" t="str">
        <f>IFERROR(VLOOKUP(J431,'03. THIẾT BỊ'!$B$1:$U$836,19,0),"")</f>
        <v/>
      </c>
      <c r="I431" s="19" t="str">
        <f>IFERROR(VLOOKUP(J431,'03. THIẾT BỊ'!$B$1:$U$836,20,0),"")</f>
        <v/>
      </c>
      <c r="J431" s="20"/>
      <c r="K431" s="722"/>
      <c r="L431" s="722"/>
      <c r="M431" s="722"/>
      <c r="N431" s="19" t="str">
        <f>IFERROR(VLOOKUP(J431,'03. THIẾT BỊ'!$B$1:$U$836,4,0),"")</f>
        <v/>
      </c>
      <c r="O431" s="19" t="str">
        <f>IFERROR(VLOOKUP(J431,'03. THIẾT BỊ'!$B$1:$U$836,7,0),"")</f>
        <v/>
      </c>
      <c r="P431" s="20"/>
      <c r="Q431" s="20"/>
      <c r="R431" s="20"/>
      <c r="S431" s="20" t="str">
        <f>IFERROR(VLOOKUP(J431,'03. THIẾT BỊ'!$B$1:$S$836,3,0),"")</f>
        <v/>
      </c>
      <c r="T431" s="708"/>
      <c r="U431" s="708"/>
    </row>
    <row r="432" ht="13.8" hidden="1" spans="1:21">
      <c r="A432" s="19"/>
      <c r="C432" s="20" t="str">
        <f>IFERROR(VLOOKUP(J432,'03. THIẾT BỊ'!$B$1:$U$836,5,0),"")</f>
        <v/>
      </c>
      <c r="D432" s="19"/>
      <c r="E432" s="19"/>
      <c r="F432" s="19"/>
      <c r="G432" s="19"/>
      <c r="H432" s="19" t="str">
        <f>IFERROR(VLOOKUP(J432,'03. THIẾT BỊ'!$B$1:$U$836,19,0),"")</f>
        <v/>
      </c>
      <c r="I432" s="19" t="str">
        <f>IFERROR(VLOOKUP(J432,'03. THIẾT BỊ'!$B$1:$U$836,20,0),"")</f>
        <v/>
      </c>
      <c r="J432" s="20"/>
      <c r="K432" s="722"/>
      <c r="L432" s="722"/>
      <c r="M432" s="722"/>
      <c r="N432" s="19" t="str">
        <f>IFERROR(VLOOKUP(J432,'03. THIẾT BỊ'!$B$1:$U$836,4,0),"")</f>
        <v/>
      </c>
      <c r="O432" s="19" t="str">
        <f>IFERROR(VLOOKUP(J432,'03. THIẾT BỊ'!$B$1:$U$836,7,0),"")</f>
        <v/>
      </c>
      <c r="P432" s="20"/>
      <c r="Q432" s="20"/>
      <c r="R432" s="20"/>
      <c r="S432" s="20" t="str">
        <f>IFERROR(VLOOKUP(J432,'03. THIẾT BỊ'!$B$1:$S$836,3,0),"")</f>
        <v/>
      </c>
      <c r="T432" s="708"/>
      <c r="U432" s="708"/>
    </row>
    <row r="433" ht="13.8" hidden="1" spans="1:21">
      <c r="A433" s="19"/>
      <c r="C433" s="20" t="str">
        <f>IFERROR(VLOOKUP(J433,'03. THIẾT BỊ'!$B$1:$U$836,5,0),"")</f>
        <v/>
      </c>
      <c r="D433" s="19"/>
      <c r="E433" s="19"/>
      <c r="F433" s="19"/>
      <c r="G433" s="19"/>
      <c r="H433" s="19" t="str">
        <f>IFERROR(VLOOKUP(J433,'03. THIẾT BỊ'!$B$1:$U$836,19,0),"")</f>
        <v/>
      </c>
      <c r="I433" s="19" t="str">
        <f>IFERROR(VLOOKUP(J433,'03. THIẾT BỊ'!$B$1:$U$836,20,0),"")</f>
        <v/>
      </c>
      <c r="J433" s="20"/>
      <c r="K433" s="722"/>
      <c r="L433" s="722"/>
      <c r="M433" s="722"/>
      <c r="N433" s="19" t="str">
        <f>IFERROR(VLOOKUP(J433,'03. THIẾT BỊ'!$B$1:$U$836,4,0),"")</f>
        <v/>
      </c>
      <c r="O433" s="19" t="str">
        <f>IFERROR(VLOOKUP(J433,'03. THIẾT BỊ'!$B$1:$U$836,7,0),"")</f>
        <v/>
      </c>
      <c r="P433" s="20"/>
      <c r="Q433" s="20"/>
      <c r="R433" s="20"/>
      <c r="S433" s="20" t="str">
        <f>IFERROR(VLOOKUP(J433,'03. THIẾT BỊ'!$B$1:$S$836,3,0),"")</f>
        <v/>
      </c>
      <c r="T433" s="708"/>
      <c r="U433" s="708"/>
    </row>
    <row r="434" ht="13.8" hidden="1" spans="1:21">
      <c r="A434" s="19"/>
      <c r="C434" s="20" t="str">
        <f>IFERROR(VLOOKUP(J434,'03. THIẾT BỊ'!$B$1:$U$836,5,0),"")</f>
        <v/>
      </c>
      <c r="D434" s="19"/>
      <c r="E434" s="19"/>
      <c r="F434" s="19"/>
      <c r="G434" s="19"/>
      <c r="H434" s="19" t="str">
        <f>IFERROR(VLOOKUP(J434,'03. THIẾT BỊ'!$B$1:$U$836,19,0),"")</f>
        <v/>
      </c>
      <c r="I434" s="19" t="str">
        <f>IFERROR(VLOOKUP(J434,'03. THIẾT BỊ'!$B$1:$U$836,20,0),"")</f>
        <v/>
      </c>
      <c r="J434" s="20"/>
      <c r="K434" s="722"/>
      <c r="L434" s="722"/>
      <c r="M434" s="722"/>
      <c r="N434" s="19" t="str">
        <f>IFERROR(VLOOKUP(J434,'03. THIẾT BỊ'!$B$1:$U$836,4,0),"")</f>
        <v/>
      </c>
      <c r="O434" s="19" t="str">
        <f>IFERROR(VLOOKUP(J434,'03. THIẾT BỊ'!$B$1:$U$836,7,0),"")</f>
        <v/>
      </c>
      <c r="P434" s="20"/>
      <c r="Q434" s="20"/>
      <c r="R434" s="20"/>
      <c r="S434" s="20" t="str">
        <f>IFERROR(VLOOKUP(J434,'03. THIẾT BỊ'!$B$1:$S$836,3,0),"")</f>
        <v/>
      </c>
      <c r="T434" s="708"/>
      <c r="U434" s="708"/>
    </row>
    <row r="435" ht="13.8" hidden="1" spans="1:21">
      <c r="A435" s="19"/>
      <c r="C435" s="20" t="str">
        <f>IFERROR(VLOOKUP(J435,'03. THIẾT BỊ'!$B$1:$U$836,5,0),"")</f>
        <v/>
      </c>
      <c r="D435" s="19"/>
      <c r="E435" s="19"/>
      <c r="F435" s="19"/>
      <c r="G435" s="19"/>
      <c r="H435" s="19" t="str">
        <f>IFERROR(VLOOKUP(J435,'03. THIẾT BỊ'!$B$1:$U$836,19,0),"")</f>
        <v/>
      </c>
      <c r="I435" s="19" t="str">
        <f>IFERROR(VLOOKUP(J435,'03. THIẾT BỊ'!$B$1:$U$836,20,0),"")</f>
        <v/>
      </c>
      <c r="J435" s="20"/>
      <c r="K435" s="722"/>
      <c r="L435" s="722"/>
      <c r="M435" s="722"/>
      <c r="N435" s="19" t="str">
        <f>IFERROR(VLOOKUP(J435,'03. THIẾT BỊ'!$B$1:$U$836,4,0),"")</f>
        <v/>
      </c>
      <c r="O435" s="19" t="str">
        <f>IFERROR(VLOOKUP(J435,'03. THIẾT BỊ'!$B$1:$U$836,7,0),"")</f>
        <v/>
      </c>
      <c r="P435" s="20"/>
      <c r="Q435" s="20"/>
      <c r="R435" s="20"/>
      <c r="S435" s="20" t="str">
        <f>IFERROR(VLOOKUP(J435,'03. THIẾT BỊ'!$B$1:$S$836,3,0),"")</f>
        <v/>
      </c>
      <c r="T435" s="708"/>
      <c r="U435" s="708"/>
    </row>
    <row r="436" ht="13.8" hidden="1" spans="1:21">
      <c r="A436" s="19"/>
      <c r="C436" s="20" t="str">
        <f>IFERROR(VLOOKUP(J436,'03. THIẾT BỊ'!$B$1:$U$836,5,0),"")</f>
        <v/>
      </c>
      <c r="D436" s="19"/>
      <c r="E436" s="19"/>
      <c r="F436" s="19"/>
      <c r="G436" s="19"/>
      <c r="H436" s="19" t="str">
        <f>IFERROR(VLOOKUP(J436,'03. THIẾT BỊ'!$B$1:$U$836,19,0),"")</f>
        <v/>
      </c>
      <c r="I436" s="19" t="str">
        <f>IFERROR(VLOOKUP(J436,'03. THIẾT BỊ'!$B$1:$U$836,20,0),"")</f>
        <v/>
      </c>
      <c r="J436" s="20"/>
      <c r="K436" s="722"/>
      <c r="L436" s="722"/>
      <c r="M436" s="722"/>
      <c r="N436" s="19" t="str">
        <f>IFERROR(VLOOKUP(J436,'03. THIẾT BỊ'!$B$1:$U$836,4,0),"")</f>
        <v/>
      </c>
      <c r="O436" s="19" t="str">
        <f>IFERROR(VLOOKUP(J436,'03. THIẾT BỊ'!$B$1:$U$836,7,0),"")</f>
        <v/>
      </c>
      <c r="P436" s="20"/>
      <c r="Q436" s="20"/>
      <c r="R436" s="20"/>
      <c r="S436" s="20" t="str">
        <f>IFERROR(VLOOKUP(J436,'03. THIẾT BỊ'!$B$1:$S$836,3,0),"")</f>
        <v/>
      </c>
      <c r="T436" s="708"/>
      <c r="U436" s="708"/>
    </row>
    <row r="437" ht="13.8" hidden="1" spans="1:21">
      <c r="A437" s="19"/>
      <c r="C437" s="20" t="str">
        <f>IFERROR(VLOOKUP(J437,'03. THIẾT BỊ'!$B$1:$U$836,5,0),"")</f>
        <v/>
      </c>
      <c r="D437" s="19"/>
      <c r="E437" s="19"/>
      <c r="F437" s="19"/>
      <c r="G437" s="19"/>
      <c r="H437" s="19" t="str">
        <f>IFERROR(VLOOKUP(J437,'03. THIẾT BỊ'!$B$1:$U$836,19,0),"")</f>
        <v/>
      </c>
      <c r="I437" s="19" t="str">
        <f>IFERROR(VLOOKUP(J437,'03. THIẾT BỊ'!$B$1:$U$836,20,0),"")</f>
        <v/>
      </c>
      <c r="J437" s="20"/>
      <c r="K437" s="722"/>
      <c r="L437" s="722"/>
      <c r="M437" s="722"/>
      <c r="N437" s="19" t="str">
        <f>IFERROR(VLOOKUP(J437,'03. THIẾT BỊ'!$B$1:$U$836,4,0),"")</f>
        <v/>
      </c>
      <c r="O437" s="19" t="str">
        <f>IFERROR(VLOOKUP(J437,'03. THIẾT BỊ'!$B$1:$U$836,7,0),"")</f>
        <v/>
      </c>
      <c r="P437" s="20"/>
      <c r="Q437" s="20"/>
      <c r="R437" s="20"/>
      <c r="S437" s="20" t="str">
        <f>IFERROR(VLOOKUP(J437,'03. THIẾT BỊ'!$B$1:$S$836,3,0),"")</f>
        <v/>
      </c>
      <c r="T437" s="708"/>
      <c r="U437" s="708"/>
    </row>
    <row r="438" ht="13.8" hidden="1" spans="1:21">
      <c r="A438" s="19"/>
      <c r="C438" s="20" t="str">
        <f>IFERROR(VLOOKUP(J438,'03. THIẾT BỊ'!$B$1:$U$836,5,0),"")</f>
        <v/>
      </c>
      <c r="D438" s="19"/>
      <c r="E438" s="19"/>
      <c r="F438" s="19"/>
      <c r="G438" s="19"/>
      <c r="H438" s="19" t="str">
        <f>IFERROR(VLOOKUP(J438,'03. THIẾT BỊ'!$B$1:$U$836,19,0),"")</f>
        <v/>
      </c>
      <c r="I438" s="19" t="str">
        <f>IFERROR(VLOOKUP(J438,'03. THIẾT BỊ'!$B$1:$U$836,20,0),"")</f>
        <v/>
      </c>
      <c r="J438" s="20"/>
      <c r="K438" s="722"/>
      <c r="L438" s="722"/>
      <c r="M438" s="722"/>
      <c r="N438" s="19" t="str">
        <f>IFERROR(VLOOKUP(J438,'03. THIẾT BỊ'!$B$1:$U$836,4,0),"")</f>
        <v/>
      </c>
      <c r="O438" s="19" t="str">
        <f>IFERROR(VLOOKUP(J438,'03. THIẾT BỊ'!$B$1:$U$836,7,0),"")</f>
        <v/>
      </c>
      <c r="P438" s="20"/>
      <c r="Q438" s="20"/>
      <c r="R438" s="20"/>
      <c r="S438" s="20" t="str">
        <f>IFERROR(VLOOKUP(J438,'03. THIẾT BỊ'!$B$1:$S$836,3,0),"")</f>
        <v/>
      </c>
      <c r="T438" s="708"/>
      <c r="U438" s="708"/>
    </row>
    <row r="439" ht="13.8" hidden="1" spans="1:21">
      <c r="A439" s="19"/>
      <c r="C439" s="20" t="str">
        <f>IFERROR(VLOOKUP(J439,'03. THIẾT BỊ'!$B$1:$U$836,5,0),"")</f>
        <v/>
      </c>
      <c r="D439" s="19"/>
      <c r="E439" s="19"/>
      <c r="F439" s="19"/>
      <c r="G439" s="19"/>
      <c r="H439" s="19" t="str">
        <f>IFERROR(VLOOKUP(J439,'03. THIẾT BỊ'!$B$1:$U$836,19,0),"")</f>
        <v/>
      </c>
      <c r="I439" s="19" t="str">
        <f>IFERROR(VLOOKUP(J439,'03. THIẾT BỊ'!$B$1:$U$836,20,0),"")</f>
        <v/>
      </c>
      <c r="J439" s="20"/>
      <c r="K439" s="722"/>
      <c r="L439" s="722"/>
      <c r="M439" s="722"/>
      <c r="N439" s="19" t="str">
        <f>IFERROR(VLOOKUP(J439,'03. THIẾT BỊ'!$B$1:$U$836,4,0),"")</f>
        <v/>
      </c>
      <c r="O439" s="19" t="str">
        <f>IFERROR(VLOOKUP(J439,'03. THIẾT BỊ'!$B$1:$U$836,7,0),"")</f>
        <v/>
      </c>
      <c r="P439" s="20"/>
      <c r="Q439" s="20"/>
      <c r="R439" s="20"/>
      <c r="S439" s="20" t="str">
        <f>IFERROR(VLOOKUP(J439,'03. THIẾT BỊ'!$B$1:$S$836,3,0),"")</f>
        <v/>
      </c>
      <c r="T439" s="708"/>
      <c r="U439" s="708"/>
    </row>
    <row r="440" ht="13.8" hidden="1" spans="1:21">
      <c r="A440" s="19"/>
      <c r="C440" s="20" t="str">
        <f>IFERROR(VLOOKUP(J440,'03. THIẾT BỊ'!$B$1:$U$836,5,0),"")</f>
        <v/>
      </c>
      <c r="D440" s="19"/>
      <c r="E440" s="19"/>
      <c r="F440" s="19"/>
      <c r="G440" s="19"/>
      <c r="H440" s="19" t="str">
        <f>IFERROR(VLOOKUP(J440,'03. THIẾT BỊ'!$B$1:$U$836,19,0),"")</f>
        <v/>
      </c>
      <c r="I440" s="19" t="str">
        <f>IFERROR(VLOOKUP(J440,'03. THIẾT BỊ'!$B$1:$U$836,20,0),"")</f>
        <v/>
      </c>
      <c r="J440" s="20"/>
      <c r="K440" s="722"/>
      <c r="L440" s="722"/>
      <c r="M440" s="722"/>
      <c r="N440" s="19" t="str">
        <f>IFERROR(VLOOKUP(J440,'03. THIẾT BỊ'!$B$1:$U$836,4,0),"")</f>
        <v/>
      </c>
      <c r="O440" s="19" t="str">
        <f>IFERROR(VLOOKUP(J440,'03. THIẾT BỊ'!$B$1:$U$836,7,0),"")</f>
        <v/>
      </c>
      <c r="P440" s="20"/>
      <c r="Q440" s="20"/>
      <c r="R440" s="20"/>
      <c r="S440" s="20" t="str">
        <f>IFERROR(VLOOKUP(J440,'03. THIẾT BỊ'!$B$1:$S$836,3,0),"")</f>
        <v/>
      </c>
      <c r="T440" s="708"/>
      <c r="U440" s="708"/>
    </row>
    <row r="441" ht="13.8" hidden="1" spans="1:21">
      <c r="A441" s="19"/>
      <c r="C441" s="20" t="str">
        <f>IFERROR(VLOOKUP(J441,'03. THIẾT BỊ'!$B$1:$U$836,5,0),"")</f>
        <v/>
      </c>
      <c r="D441" s="19"/>
      <c r="E441" s="19"/>
      <c r="F441" s="19"/>
      <c r="G441" s="19"/>
      <c r="H441" s="19" t="str">
        <f>IFERROR(VLOOKUP(J441,'03. THIẾT BỊ'!$B$1:$U$836,19,0),"")</f>
        <v/>
      </c>
      <c r="I441" s="19" t="str">
        <f>IFERROR(VLOOKUP(J441,'03. THIẾT BỊ'!$B$1:$U$836,20,0),"")</f>
        <v/>
      </c>
      <c r="J441" s="20"/>
      <c r="K441" s="722"/>
      <c r="L441" s="722"/>
      <c r="M441" s="722"/>
      <c r="N441" s="19" t="str">
        <f>IFERROR(VLOOKUP(J441,'03. THIẾT BỊ'!$B$1:$U$836,4,0),"")</f>
        <v/>
      </c>
      <c r="O441" s="19" t="str">
        <f>IFERROR(VLOOKUP(J441,'03. THIẾT BỊ'!$B$1:$U$836,7,0),"")</f>
        <v/>
      </c>
      <c r="P441" s="20"/>
      <c r="Q441" s="20"/>
      <c r="R441" s="20"/>
      <c r="S441" s="20" t="str">
        <f>IFERROR(VLOOKUP(J441,'03. THIẾT BỊ'!$B$1:$S$836,3,0),"")</f>
        <v/>
      </c>
      <c r="T441" s="708"/>
      <c r="U441" s="708"/>
    </row>
    <row r="442" ht="13.8" hidden="1" spans="1:21">
      <c r="A442" s="19"/>
      <c r="C442" s="20" t="str">
        <f>IFERROR(VLOOKUP(J442,'03. THIẾT BỊ'!$B$1:$U$836,5,0),"")</f>
        <v/>
      </c>
      <c r="D442" s="19"/>
      <c r="E442" s="19"/>
      <c r="F442" s="19"/>
      <c r="G442" s="19"/>
      <c r="H442" s="19" t="str">
        <f>IFERROR(VLOOKUP(J442,'03. THIẾT BỊ'!$B$1:$U$836,19,0),"")</f>
        <v/>
      </c>
      <c r="I442" s="19" t="str">
        <f>IFERROR(VLOOKUP(J442,'03. THIẾT BỊ'!$B$1:$U$836,20,0),"")</f>
        <v/>
      </c>
      <c r="J442" s="20"/>
      <c r="K442" s="722"/>
      <c r="L442" s="722"/>
      <c r="M442" s="722"/>
      <c r="N442" s="19" t="str">
        <f>IFERROR(VLOOKUP(J442,'03. THIẾT BỊ'!$B$1:$U$836,4,0),"")</f>
        <v/>
      </c>
      <c r="O442" s="19" t="str">
        <f>IFERROR(VLOOKUP(J442,'03. THIẾT BỊ'!$B$1:$U$836,7,0),"")</f>
        <v/>
      </c>
      <c r="P442" s="20"/>
      <c r="Q442" s="20"/>
      <c r="R442" s="20"/>
      <c r="S442" s="20" t="str">
        <f>IFERROR(VLOOKUP(J442,'03. THIẾT BỊ'!$B$1:$S$836,3,0),"")</f>
        <v/>
      </c>
      <c r="T442" s="708"/>
      <c r="U442" s="708"/>
    </row>
    <row r="443" ht="13.8" hidden="1" spans="1:21">
      <c r="A443" s="19"/>
      <c r="C443" s="20" t="str">
        <f>IFERROR(VLOOKUP(J443,'03. THIẾT BỊ'!$B$1:$U$836,5,0),"")</f>
        <v/>
      </c>
      <c r="D443" s="19"/>
      <c r="E443" s="19"/>
      <c r="F443" s="19"/>
      <c r="G443" s="19"/>
      <c r="H443" s="19" t="str">
        <f>IFERROR(VLOOKUP(J443,'03. THIẾT BỊ'!$B$1:$U$836,19,0),"")</f>
        <v/>
      </c>
      <c r="I443" s="19" t="str">
        <f>IFERROR(VLOOKUP(J443,'03. THIẾT BỊ'!$B$1:$U$836,20,0),"")</f>
        <v/>
      </c>
      <c r="J443" s="20"/>
      <c r="K443" s="722"/>
      <c r="L443" s="722"/>
      <c r="M443" s="722"/>
      <c r="N443" s="19" t="str">
        <f>IFERROR(VLOOKUP(J443,'03. THIẾT BỊ'!$B$1:$U$836,4,0),"")</f>
        <v/>
      </c>
      <c r="O443" s="19" t="str">
        <f>IFERROR(VLOOKUP(J443,'03. THIẾT BỊ'!$B$1:$U$836,7,0),"")</f>
        <v/>
      </c>
      <c r="P443" s="20"/>
      <c r="Q443" s="20"/>
      <c r="R443" s="20"/>
      <c r="S443" s="20" t="str">
        <f>IFERROR(VLOOKUP(J443,'03. THIẾT BỊ'!$B$1:$S$836,3,0),"")</f>
        <v/>
      </c>
      <c r="T443" s="708"/>
      <c r="U443" s="708"/>
    </row>
    <row r="444" ht="13.8" hidden="1" spans="1:21">
      <c r="A444" s="19"/>
      <c r="C444" s="20" t="str">
        <f>IFERROR(VLOOKUP(J444,'03. THIẾT BỊ'!$B$1:$U$836,5,0),"")</f>
        <v/>
      </c>
      <c r="D444" s="19"/>
      <c r="E444" s="19"/>
      <c r="F444" s="19"/>
      <c r="G444" s="19"/>
      <c r="H444" s="19" t="str">
        <f>IFERROR(VLOOKUP(J444,'03. THIẾT BỊ'!$B$1:$U$836,19,0),"")</f>
        <v/>
      </c>
      <c r="I444" s="19" t="str">
        <f>IFERROR(VLOOKUP(J444,'03. THIẾT BỊ'!$B$1:$U$836,20,0),"")</f>
        <v/>
      </c>
      <c r="J444" s="20"/>
      <c r="K444" s="722"/>
      <c r="L444" s="722"/>
      <c r="M444" s="722"/>
      <c r="N444" s="19" t="str">
        <f>IFERROR(VLOOKUP(J444,'03. THIẾT BỊ'!$B$1:$U$836,4,0),"")</f>
        <v/>
      </c>
      <c r="O444" s="19" t="str">
        <f>IFERROR(VLOOKUP(J444,'03. THIẾT BỊ'!$B$1:$U$836,7,0),"")</f>
        <v/>
      </c>
      <c r="P444" s="20"/>
      <c r="Q444" s="20"/>
      <c r="R444" s="20"/>
      <c r="S444" s="20" t="str">
        <f>IFERROR(VLOOKUP(J444,'03. THIẾT BỊ'!$B$1:$S$836,3,0),"")</f>
        <v/>
      </c>
      <c r="T444" s="708"/>
      <c r="U444" s="708"/>
    </row>
    <row r="445" ht="13.8" hidden="1" spans="1:21">
      <c r="A445" s="19"/>
      <c r="C445" s="20" t="str">
        <f>IFERROR(VLOOKUP(J445,'03. THIẾT BỊ'!$B$1:$U$836,5,0),"")</f>
        <v/>
      </c>
      <c r="D445" s="19"/>
      <c r="E445" s="19"/>
      <c r="F445" s="19"/>
      <c r="G445" s="19"/>
      <c r="H445" s="19" t="str">
        <f>IFERROR(VLOOKUP(J445,'03. THIẾT BỊ'!$B$1:$U$836,19,0),"")</f>
        <v/>
      </c>
      <c r="I445" s="19" t="str">
        <f>IFERROR(VLOOKUP(J445,'03. THIẾT BỊ'!$B$1:$U$836,20,0),"")</f>
        <v/>
      </c>
      <c r="J445" s="20"/>
      <c r="K445" s="722"/>
      <c r="L445" s="722"/>
      <c r="M445" s="722"/>
      <c r="N445" s="19" t="str">
        <f>IFERROR(VLOOKUP(J445,'03. THIẾT BỊ'!$B$1:$U$836,4,0),"")</f>
        <v/>
      </c>
      <c r="O445" s="19" t="str">
        <f>IFERROR(VLOOKUP(J445,'03. THIẾT BỊ'!$B$1:$U$836,7,0),"")</f>
        <v/>
      </c>
      <c r="P445" s="20"/>
      <c r="Q445" s="20"/>
      <c r="R445" s="20"/>
      <c r="S445" s="20" t="str">
        <f>IFERROR(VLOOKUP(J445,'03. THIẾT BỊ'!$B$1:$S$836,3,0),"")</f>
        <v/>
      </c>
      <c r="T445" s="708"/>
      <c r="U445" s="708"/>
    </row>
    <row r="446" ht="13.8" hidden="1" spans="1:21">
      <c r="A446" s="19"/>
      <c r="C446" s="20" t="str">
        <f>IFERROR(VLOOKUP(J446,'03. THIẾT BỊ'!$B$1:$U$836,5,0),"")</f>
        <v/>
      </c>
      <c r="D446" s="19"/>
      <c r="E446" s="19"/>
      <c r="F446" s="19"/>
      <c r="G446" s="19"/>
      <c r="H446" s="19" t="str">
        <f>IFERROR(VLOOKUP(J446,'03. THIẾT BỊ'!$B$1:$U$836,19,0),"")</f>
        <v/>
      </c>
      <c r="I446" s="19" t="str">
        <f>IFERROR(VLOOKUP(J446,'03. THIẾT BỊ'!$B$1:$U$836,20,0),"")</f>
        <v/>
      </c>
      <c r="J446" s="20"/>
      <c r="K446" s="722"/>
      <c r="L446" s="722"/>
      <c r="M446" s="722"/>
      <c r="N446" s="19" t="str">
        <f>IFERROR(VLOOKUP(J446,'03. THIẾT BỊ'!$B$1:$U$836,4,0),"")</f>
        <v/>
      </c>
      <c r="O446" s="19" t="str">
        <f>IFERROR(VLOOKUP(J446,'03. THIẾT BỊ'!$B$1:$U$836,7,0),"")</f>
        <v/>
      </c>
      <c r="P446" s="20"/>
      <c r="Q446" s="20"/>
      <c r="R446" s="20"/>
      <c r="S446" s="20" t="str">
        <f>IFERROR(VLOOKUP(J446,'03. THIẾT BỊ'!$B$1:$S$836,3,0),"")</f>
        <v/>
      </c>
      <c r="T446" s="708"/>
      <c r="U446" s="708"/>
    </row>
    <row r="447" ht="13.8" hidden="1" spans="1:21">
      <c r="A447" s="19"/>
      <c r="C447" s="20" t="str">
        <f>IFERROR(VLOOKUP(J447,'03. THIẾT BỊ'!$B$1:$U$836,5,0),"")</f>
        <v/>
      </c>
      <c r="D447" s="19"/>
      <c r="E447" s="19"/>
      <c r="F447" s="19"/>
      <c r="G447" s="19"/>
      <c r="H447" s="19" t="str">
        <f>IFERROR(VLOOKUP(J447,'03. THIẾT BỊ'!$B$1:$U$836,19,0),"")</f>
        <v/>
      </c>
      <c r="I447" s="19" t="str">
        <f>IFERROR(VLOOKUP(J447,'03. THIẾT BỊ'!$B$1:$U$836,20,0),"")</f>
        <v/>
      </c>
      <c r="J447" s="20"/>
      <c r="K447" s="722"/>
      <c r="L447" s="722"/>
      <c r="M447" s="722"/>
      <c r="N447" s="19" t="str">
        <f>IFERROR(VLOOKUP(J447,'03. THIẾT BỊ'!$B$1:$U$836,4,0),"")</f>
        <v/>
      </c>
      <c r="O447" s="19" t="str">
        <f>IFERROR(VLOOKUP(J447,'03. THIẾT BỊ'!$B$1:$U$836,7,0),"")</f>
        <v/>
      </c>
      <c r="P447" s="20"/>
      <c r="Q447" s="20"/>
      <c r="R447" s="20"/>
      <c r="S447" s="20" t="str">
        <f>IFERROR(VLOOKUP(J447,'03. THIẾT BỊ'!$B$1:$S$836,3,0),"")</f>
        <v/>
      </c>
      <c r="T447" s="708"/>
      <c r="U447" s="708"/>
    </row>
    <row r="448" ht="13.8" hidden="1" spans="1:21">
      <c r="A448" s="19"/>
      <c r="C448" s="20" t="str">
        <f>IFERROR(VLOOKUP(J448,'03. THIẾT BỊ'!$B$1:$U$836,5,0),"")</f>
        <v/>
      </c>
      <c r="D448" s="19"/>
      <c r="E448" s="19"/>
      <c r="F448" s="19"/>
      <c r="G448" s="19"/>
      <c r="H448" s="19" t="str">
        <f>IFERROR(VLOOKUP(J448,'03. THIẾT BỊ'!$B$1:$U$836,19,0),"")</f>
        <v/>
      </c>
      <c r="I448" s="19" t="str">
        <f>IFERROR(VLOOKUP(J448,'03. THIẾT BỊ'!$B$1:$U$836,20,0),"")</f>
        <v/>
      </c>
      <c r="J448" s="20"/>
      <c r="K448" s="722"/>
      <c r="L448" s="722"/>
      <c r="M448" s="722"/>
      <c r="N448" s="19" t="str">
        <f>IFERROR(VLOOKUP(J448,'03. THIẾT BỊ'!$B$1:$U$836,4,0),"")</f>
        <v/>
      </c>
      <c r="O448" s="19" t="str">
        <f>IFERROR(VLOOKUP(J448,'03. THIẾT BỊ'!$B$1:$U$836,7,0),"")</f>
        <v/>
      </c>
      <c r="P448" s="20"/>
      <c r="Q448" s="20"/>
      <c r="R448" s="20"/>
      <c r="S448" s="20" t="str">
        <f>IFERROR(VLOOKUP(J448,'03. THIẾT BỊ'!$B$1:$S$836,3,0),"")</f>
        <v/>
      </c>
      <c r="T448" s="708"/>
      <c r="U448" s="708"/>
    </row>
    <row r="449" ht="13.8" hidden="1" spans="1:21">
      <c r="A449" s="19"/>
      <c r="C449" s="20" t="str">
        <f>IFERROR(VLOOKUP(J449,'03. THIẾT BỊ'!$B$1:$U$836,5,0),"")</f>
        <v/>
      </c>
      <c r="D449" s="19"/>
      <c r="E449" s="19"/>
      <c r="F449" s="19"/>
      <c r="G449" s="19"/>
      <c r="H449" s="19" t="str">
        <f>IFERROR(VLOOKUP(J449,'03. THIẾT BỊ'!$B$1:$U$836,19,0),"")</f>
        <v/>
      </c>
      <c r="I449" s="19" t="str">
        <f>IFERROR(VLOOKUP(J449,'03. THIẾT BỊ'!$B$1:$U$836,20,0),"")</f>
        <v/>
      </c>
      <c r="J449" s="20"/>
      <c r="K449" s="722"/>
      <c r="L449" s="722"/>
      <c r="M449" s="722"/>
      <c r="N449" s="19" t="str">
        <f>IFERROR(VLOOKUP(J449,'03. THIẾT BỊ'!$B$1:$U$836,4,0),"")</f>
        <v/>
      </c>
      <c r="O449" s="19" t="str">
        <f>IFERROR(VLOOKUP(J449,'03. THIẾT BỊ'!$B$1:$U$836,7,0),"")</f>
        <v/>
      </c>
      <c r="P449" s="20"/>
      <c r="Q449" s="20"/>
      <c r="R449" s="20"/>
      <c r="S449" s="20" t="str">
        <f>IFERROR(VLOOKUP(J449,'03. THIẾT BỊ'!$B$1:$S$836,3,0),"")</f>
        <v/>
      </c>
      <c r="T449" s="708"/>
      <c r="U449" s="708"/>
    </row>
    <row r="450" ht="13.8" hidden="1" spans="1:21">
      <c r="A450" s="19"/>
      <c r="C450" s="20" t="str">
        <f>IFERROR(VLOOKUP(J450,'03. THIẾT BỊ'!$B$1:$U$836,5,0),"")</f>
        <v/>
      </c>
      <c r="D450" s="19"/>
      <c r="E450" s="19"/>
      <c r="F450" s="19"/>
      <c r="G450" s="19"/>
      <c r="H450" s="19" t="str">
        <f>IFERROR(VLOOKUP(J450,'03. THIẾT BỊ'!$B$1:$U$836,19,0),"")</f>
        <v/>
      </c>
      <c r="I450" s="19" t="str">
        <f>IFERROR(VLOOKUP(J450,'03. THIẾT BỊ'!$B$1:$U$836,20,0),"")</f>
        <v/>
      </c>
      <c r="J450" s="20"/>
      <c r="K450" s="722"/>
      <c r="L450" s="722"/>
      <c r="M450" s="722"/>
      <c r="N450" s="19" t="str">
        <f>IFERROR(VLOOKUP(J450,'03. THIẾT BỊ'!$B$1:$U$836,4,0),"")</f>
        <v/>
      </c>
      <c r="O450" s="19" t="str">
        <f>IFERROR(VLOOKUP(J450,'03. THIẾT BỊ'!$B$1:$U$836,7,0),"")</f>
        <v/>
      </c>
      <c r="P450" s="20"/>
      <c r="Q450" s="20"/>
      <c r="R450" s="20"/>
      <c r="S450" s="20" t="str">
        <f>IFERROR(VLOOKUP(J450,'03. THIẾT BỊ'!$B$1:$S$836,3,0),"")</f>
        <v/>
      </c>
      <c r="T450" s="708"/>
      <c r="U450" s="708"/>
    </row>
    <row r="451" ht="13.8" hidden="1" spans="1:21">
      <c r="A451" s="19"/>
      <c r="C451" s="20" t="str">
        <f>IFERROR(VLOOKUP(J451,'03. THIẾT BỊ'!$B$1:$U$836,5,0),"")</f>
        <v/>
      </c>
      <c r="D451" s="19"/>
      <c r="E451" s="19"/>
      <c r="F451" s="19"/>
      <c r="G451" s="19"/>
      <c r="H451" s="19" t="str">
        <f>IFERROR(VLOOKUP(J451,'03. THIẾT BỊ'!$B$1:$U$836,19,0),"")</f>
        <v/>
      </c>
      <c r="I451" s="19" t="str">
        <f>IFERROR(VLOOKUP(J451,'03. THIẾT BỊ'!$B$1:$U$836,20,0),"")</f>
        <v/>
      </c>
      <c r="J451" s="20"/>
      <c r="K451" s="722"/>
      <c r="L451" s="722"/>
      <c r="M451" s="722"/>
      <c r="N451" s="19" t="str">
        <f>IFERROR(VLOOKUP(J451,'03. THIẾT BỊ'!$B$1:$U$836,4,0),"")</f>
        <v/>
      </c>
      <c r="O451" s="19" t="str">
        <f>IFERROR(VLOOKUP(J451,'03. THIẾT BỊ'!$B$1:$U$836,7,0),"")</f>
        <v/>
      </c>
      <c r="P451" s="20"/>
      <c r="Q451" s="20"/>
      <c r="R451" s="20"/>
      <c r="S451" s="20" t="str">
        <f>IFERROR(VLOOKUP(J451,'03. THIẾT BỊ'!$B$1:$S$836,3,0),"")</f>
        <v/>
      </c>
      <c r="T451" s="708"/>
      <c r="U451" s="708"/>
    </row>
    <row r="452" ht="13.8" hidden="1" spans="1:21">
      <c r="A452" s="19"/>
      <c r="C452" s="20" t="str">
        <f>IFERROR(VLOOKUP(J452,'03. THIẾT BỊ'!$B$1:$U$836,5,0),"")</f>
        <v/>
      </c>
      <c r="D452" s="19"/>
      <c r="E452" s="19"/>
      <c r="F452" s="19"/>
      <c r="G452" s="19"/>
      <c r="H452" s="19" t="str">
        <f>IFERROR(VLOOKUP(J452,'03. THIẾT BỊ'!$B$1:$U$836,19,0),"")</f>
        <v/>
      </c>
      <c r="I452" s="19" t="str">
        <f>IFERROR(VLOOKUP(J452,'03. THIẾT BỊ'!$B$1:$U$836,20,0),"")</f>
        <v/>
      </c>
      <c r="J452" s="20"/>
      <c r="K452" s="722"/>
      <c r="L452" s="722"/>
      <c r="M452" s="722"/>
      <c r="N452" s="19" t="str">
        <f>IFERROR(VLOOKUP(J452,'03. THIẾT BỊ'!$B$1:$U$836,4,0),"")</f>
        <v/>
      </c>
      <c r="O452" s="19" t="str">
        <f>IFERROR(VLOOKUP(J452,'03. THIẾT BỊ'!$B$1:$U$836,7,0),"")</f>
        <v/>
      </c>
      <c r="P452" s="20"/>
      <c r="Q452" s="20"/>
      <c r="R452" s="20"/>
      <c r="S452" s="20" t="str">
        <f>IFERROR(VLOOKUP(J452,'03. THIẾT BỊ'!$B$1:$S$836,3,0),"")</f>
        <v/>
      </c>
      <c r="T452" s="708"/>
      <c r="U452" s="708"/>
    </row>
    <row r="453" ht="13.8" hidden="1" spans="1:21">
      <c r="A453" s="19"/>
      <c r="C453" s="20" t="str">
        <f>IFERROR(VLOOKUP(J453,'03. THIẾT BỊ'!$B$1:$U$836,5,0),"")</f>
        <v/>
      </c>
      <c r="D453" s="19"/>
      <c r="E453" s="19"/>
      <c r="F453" s="19"/>
      <c r="G453" s="19"/>
      <c r="H453" s="19" t="str">
        <f>IFERROR(VLOOKUP(J453,'03. THIẾT BỊ'!$B$1:$U$836,19,0),"")</f>
        <v/>
      </c>
      <c r="I453" s="19" t="str">
        <f>IFERROR(VLOOKUP(J453,'03. THIẾT BỊ'!$B$1:$U$836,20,0),"")</f>
        <v/>
      </c>
      <c r="J453" s="20"/>
      <c r="K453" s="722"/>
      <c r="L453" s="722"/>
      <c r="M453" s="722"/>
      <c r="N453" s="19" t="str">
        <f>IFERROR(VLOOKUP(J453,'03. THIẾT BỊ'!$B$1:$U$836,4,0),"")</f>
        <v/>
      </c>
      <c r="O453" s="19" t="str">
        <f>IFERROR(VLOOKUP(J453,'03. THIẾT BỊ'!$B$1:$U$836,7,0),"")</f>
        <v/>
      </c>
      <c r="P453" s="20"/>
      <c r="Q453" s="20"/>
      <c r="R453" s="20"/>
      <c r="S453" s="20" t="str">
        <f>IFERROR(VLOOKUP(J453,'03. THIẾT BỊ'!$B$1:$S$836,3,0),"")</f>
        <v/>
      </c>
      <c r="T453" s="708"/>
      <c r="U453" s="708"/>
    </row>
    <row r="454" ht="13.8" hidden="1" spans="1:21">
      <c r="A454" s="19"/>
      <c r="C454" s="20" t="str">
        <f>IFERROR(VLOOKUP(J454,'03. THIẾT BỊ'!$B$1:$U$836,5,0),"")</f>
        <v/>
      </c>
      <c r="D454" s="19"/>
      <c r="E454" s="19"/>
      <c r="F454" s="19"/>
      <c r="G454" s="19"/>
      <c r="H454" s="19" t="str">
        <f>IFERROR(VLOOKUP(J454,'03. THIẾT BỊ'!$B$1:$U$836,19,0),"")</f>
        <v/>
      </c>
      <c r="I454" s="19" t="str">
        <f>IFERROR(VLOOKUP(J454,'03. THIẾT BỊ'!$B$1:$U$836,20,0),"")</f>
        <v/>
      </c>
      <c r="J454" s="20"/>
      <c r="K454" s="722"/>
      <c r="L454" s="722"/>
      <c r="M454" s="722"/>
      <c r="N454" s="19" t="str">
        <f>IFERROR(VLOOKUP(J454,'03. THIẾT BỊ'!$B$1:$U$836,4,0),"")</f>
        <v/>
      </c>
      <c r="O454" s="19" t="str">
        <f>IFERROR(VLOOKUP(J454,'03. THIẾT BỊ'!$B$1:$U$836,7,0),"")</f>
        <v/>
      </c>
      <c r="P454" s="20"/>
      <c r="Q454" s="20"/>
      <c r="R454" s="20"/>
      <c r="S454" s="20" t="str">
        <f>IFERROR(VLOOKUP(J454,'03. THIẾT BỊ'!$B$1:$S$836,3,0),"")</f>
        <v/>
      </c>
      <c r="T454" s="708"/>
      <c r="U454" s="708"/>
    </row>
    <row r="455" ht="13.8" hidden="1" spans="1:21">
      <c r="A455" s="19"/>
      <c r="C455" s="20" t="str">
        <f>IFERROR(VLOOKUP(J455,'03. THIẾT BỊ'!$B$1:$U$836,5,0),"")</f>
        <v/>
      </c>
      <c r="D455" s="19"/>
      <c r="E455" s="19"/>
      <c r="F455" s="19"/>
      <c r="G455" s="19"/>
      <c r="H455" s="19" t="str">
        <f>IFERROR(VLOOKUP(J455,'03. THIẾT BỊ'!$B$1:$U$836,19,0),"")</f>
        <v/>
      </c>
      <c r="I455" s="19" t="str">
        <f>IFERROR(VLOOKUP(J455,'03. THIẾT BỊ'!$B$1:$U$836,20,0),"")</f>
        <v/>
      </c>
      <c r="J455" s="20"/>
      <c r="K455" s="722"/>
      <c r="L455" s="722"/>
      <c r="M455" s="722"/>
      <c r="N455" s="19" t="str">
        <f>IFERROR(VLOOKUP(J455,'03. THIẾT BỊ'!$B$1:$U$836,4,0),"")</f>
        <v/>
      </c>
      <c r="O455" s="19" t="str">
        <f>IFERROR(VLOOKUP(J455,'03. THIẾT BỊ'!$B$1:$U$836,7,0),"")</f>
        <v/>
      </c>
      <c r="P455" s="20"/>
      <c r="Q455" s="20"/>
      <c r="R455" s="20"/>
      <c r="S455" s="20" t="str">
        <f>IFERROR(VLOOKUP(J455,'03. THIẾT BỊ'!$B$1:$S$836,3,0),"")</f>
        <v/>
      </c>
      <c r="T455" s="708"/>
      <c r="U455" s="708"/>
    </row>
    <row r="456" ht="13.8" hidden="1" spans="1:21">
      <c r="A456" s="19"/>
      <c r="C456" s="20" t="str">
        <f>IFERROR(VLOOKUP(J456,'03. THIẾT BỊ'!$B$1:$U$836,5,0),"")</f>
        <v/>
      </c>
      <c r="D456" s="19"/>
      <c r="E456" s="19"/>
      <c r="F456" s="19"/>
      <c r="G456" s="19"/>
      <c r="H456" s="19" t="str">
        <f>IFERROR(VLOOKUP(J456,'03. THIẾT BỊ'!$B$1:$U$836,19,0),"")</f>
        <v/>
      </c>
      <c r="I456" s="19" t="str">
        <f>IFERROR(VLOOKUP(J456,'03. THIẾT BỊ'!$B$1:$U$836,20,0),"")</f>
        <v/>
      </c>
      <c r="J456" s="20"/>
      <c r="K456" s="722"/>
      <c r="L456" s="722"/>
      <c r="M456" s="722"/>
      <c r="N456" s="19" t="str">
        <f>IFERROR(VLOOKUP(J456,'03. THIẾT BỊ'!$B$1:$U$836,4,0),"")</f>
        <v/>
      </c>
      <c r="O456" s="19" t="str">
        <f>IFERROR(VLOOKUP(J456,'03. THIẾT BỊ'!$B$1:$U$836,7,0),"")</f>
        <v/>
      </c>
      <c r="P456" s="20"/>
      <c r="Q456" s="20"/>
      <c r="R456" s="20"/>
      <c r="S456" s="20" t="str">
        <f>IFERROR(VLOOKUP(J456,'03. THIẾT BỊ'!$B$1:$S$836,3,0),"")</f>
        <v/>
      </c>
      <c r="T456" s="708"/>
      <c r="U456" s="708"/>
    </row>
    <row r="457" ht="13.8" hidden="1" spans="1:21">
      <c r="A457" s="19"/>
      <c r="C457" s="20" t="str">
        <f>IFERROR(VLOOKUP(J457,'03. THIẾT BỊ'!$B$1:$U$836,5,0),"")</f>
        <v/>
      </c>
      <c r="D457" s="19"/>
      <c r="E457" s="19"/>
      <c r="F457" s="19"/>
      <c r="G457" s="19"/>
      <c r="H457" s="19" t="str">
        <f>IFERROR(VLOOKUP(J457,'03. THIẾT BỊ'!$B$1:$U$836,19,0),"")</f>
        <v/>
      </c>
      <c r="I457" s="19" t="str">
        <f>IFERROR(VLOOKUP(J457,'03. THIẾT BỊ'!$B$1:$U$836,20,0),"")</f>
        <v/>
      </c>
      <c r="J457" s="20"/>
      <c r="K457" s="722"/>
      <c r="L457" s="722"/>
      <c r="M457" s="722"/>
      <c r="N457" s="19" t="str">
        <f>IFERROR(VLOOKUP(J457,'03. THIẾT BỊ'!$B$1:$U$836,4,0),"")</f>
        <v/>
      </c>
      <c r="O457" s="19" t="str">
        <f>IFERROR(VLOOKUP(J457,'03. THIẾT BỊ'!$B$1:$U$836,7,0),"")</f>
        <v/>
      </c>
      <c r="P457" s="20"/>
      <c r="Q457" s="20"/>
      <c r="R457" s="20"/>
      <c r="S457" s="20" t="str">
        <f>IFERROR(VLOOKUP(J457,'03. THIẾT BỊ'!$B$1:$S$836,3,0),"")</f>
        <v/>
      </c>
      <c r="T457" s="708"/>
      <c r="U457" s="708"/>
    </row>
    <row r="458" ht="13.8" hidden="1" spans="1:21">
      <c r="A458" s="19"/>
      <c r="C458" s="20" t="str">
        <f>IFERROR(VLOOKUP(J458,'03. THIẾT BỊ'!$B$1:$U$836,5,0),"")</f>
        <v/>
      </c>
      <c r="D458" s="19"/>
      <c r="E458" s="19"/>
      <c r="F458" s="19"/>
      <c r="G458" s="19"/>
      <c r="H458" s="19" t="str">
        <f>IFERROR(VLOOKUP(J458,'03. THIẾT BỊ'!$B$1:$U$836,19,0),"")</f>
        <v/>
      </c>
      <c r="I458" s="19" t="str">
        <f>IFERROR(VLOOKUP(J458,'03. THIẾT BỊ'!$B$1:$U$836,20,0),"")</f>
        <v/>
      </c>
      <c r="J458" s="20"/>
      <c r="K458" s="722"/>
      <c r="L458" s="722"/>
      <c r="M458" s="722"/>
      <c r="N458" s="19" t="str">
        <f>IFERROR(VLOOKUP(J458,'03. THIẾT BỊ'!$B$1:$U$836,4,0),"")</f>
        <v/>
      </c>
      <c r="O458" s="19" t="str">
        <f>IFERROR(VLOOKUP(J458,'03. THIẾT BỊ'!$B$1:$U$836,7,0),"")</f>
        <v/>
      </c>
      <c r="P458" s="20"/>
      <c r="Q458" s="20"/>
      <c r="R458" s="20"/>
      <c r="S458" s="20" t="str">
        <f>IFERROR(VLOOKUP(J458,'03. THIẾT BỊ'!$B$1:$S$836,3,0),"")</f>
        <v/>
      </c>
      <c r="T458" s="708"/>
      <c r="U458" s="708"/>
    </row>
    <row r="459" ht="13.8" hidden="1" spans="1:21">
      <c r="A459" s="19"/>
      <c r="C459" s="20" t="str">
        <f>IFERROR(VLOOKUP(J459,'03. THIẾT BỊ'!$B$1:$U$836,5,0),"")</f>
        <v/>
      </c>
      <c r="D459" s="19"/>
      <c r="E459" s="19"/>
      <c r="F459" s="19"/>
      <c r="G459" s="19"/>
      <c r="H459" s="19" t="str">
        <f>IFERROR(VLOOKUP(J459,'03. THIẾT BỊ'!$B$1:$U$836,19,0),"")</f>
        <v/>
      </c>
      <c r="I459" s="19" t="str">
        <f>IFERROR(VLOOKUP(J459,'03. THIẾT BỊ'!$B$1:$U$836,20,0),"")</f>
        <v/>
      </c>
      <c r="J459" s="20"/>
      <c r="K459" s="722"/>
      <c r="L459" s="722"/>
      <c r="M459" s="722"/>
      <c r="N459" s="19" t="str">
        <f>IFERROR(VLOOKUP(J459,'03. THIẾT BỊ'!$B$1:$U$836,4,0),"")</f>
        <v/>
      </c>
      <c r="O459" s="19" t="str">
        <f>IFERROR(VLOOKUP(J459,'03. THIẾT BỊ'!$B$1:$U$836,7,0),"")</f>
        <v/>
      </c>
      <c r="P459" s="20"/>
      <c r="Q459" s="20"/>
      <c r="R459" s="20"/>
      <c r="S459" s="20" t="str">
        <f>IFERROR(VLOOKUP(J459,'03. THIẾT BỊ'!$B$1:$S$836,3,0),"")</f>
        <v/>
      </c>
      <c r="T459" s="708"/>
      <c r="U459" s="708"/>
    </row>
    <row r="460" ht="13.8" hidden="1" spans="1:21">
      <c r="A460" s="19"/>
      <c r="C460" s="20" t="str">
        <f>IFERROR(VLOOKUP(J460,'03. THIẾT BỊ'!$B$1:$U$836,5,0),"")</f>
        <v/>
      </c>
      <c r="D460" s="19"/>
      <c r="E460" s="19"/>
      <c r="F460" s="19"/>
      <c r="G460" s="19"/>
      <c r="H460" s="19" t="str">
        <f>IFERROR(VLOOKUP(J460,'03. THIẾT BỊ'!$B$1:$U$836,19,0),"")</f>
        <v/>
      </c>
      <c r="I460" s="19" t="str">
        <f>IFERROR(VLOOKUP(J460,'03. THIẾT BỊ'!$B$1:$U$836,20,0),"")</f>
        <v/>
      </c>
      <c r="J460" s="20"/>
      <c r="K460" s="722"/>
      <c r="L460" s="722"/>
      <c r="M460" s="722"/>
      <c r="N460" s="19" t="str">
        <f>IFERROR(VLOOKUP(J460,'03. THIẾT BỊ'!$B$1:$U$836,4,0),"")</f>
        <v/>
      </c>
      <c r="O460" s="19" t="str">
        <f>IFERROR(VLOOKUP(J460,'03. THIẾT BỊ'!$B$1:$U$836,7,0),"")</f>
        <v/>
      </c>
      <c r="P460" s="20"/>
      <c r="Q460" s="20"/>
      <c r="R460" s="20"/>
      <c r="S460" s="20" t="str">
        <f>IFERROR(VLOOKUP(J460,'03. THIẾT BỊ'!$B$1:$S$836,3,0),"")</f>
        <v/>
      </c>
      <c r="T460" s="708"/>
      <c r="U460" s="708"/>
    </row>
    <row r="461" ht="13.8" hidden="1" spans="1:21">
      <c r="A461" s="19"/>
      <c r="C461" s="20" t="str">
        <f>IFERROR(VLOOKUP(J461,'03. THIẾT BỊ'!$B$1:$U$836,5,0),"")</f>
        <v/>
      </c>
      <c r="D461" s="19"/>
      <c r="E461" s="19"/>
      <c r="F461" s="19"/>
      <c r="G461" s="19"/>
      <c r="H461" s="19" t="str">
        <f>IFERROR(VLOOKUP(J461,'03. THIẾT BỊ'!$B$1:$U$836,19,0),"")</f>
        <v/>
      </c>
      <c r="I461" s="19" t="str">
        <f>IFERROR(VLOOKUP(J461,'03. THIẾT BỊ'!$B$1:$U$836,20,0),"")</f>
        <v/>
      </c>
      <c r="J461" s="20"/>
      <c r="K461" s="722"/>
      <c r="L461" s="722"/>
      <c r="M461" s="722"/>
      <c r="N461" s="19" t="str">
        <f>IFERROR(VLOOKUP(J461,'03. THIẾT BỊ'!$B$1:$U$836,4,0),"")</f>
        <v/>
      </c>
      <c r="O461" s="19" t="str">
        <f>IFERROR(VLOOKUP(J461,'03. THIẾT BỊ'!$B$1:$U$836,7,0),"")</f>
        <v/>
      </c>
      <c r="P461" s="20"/>
      <c r="Q461" s="20"/>
      <c r="R461" s="20"/>
      <c r="S461" s="20" t="str">
        <f>IFERROR(VLOOKUP(J461,'03. THIẾT BỊ'!$B$1:$S$836,3,0),"")</f>
        <v/>
      </c>
      <c r="T461" s="708"/>
      <c r="U461" s="708"/>
    </row>
    <row r="462" ht="13.8" hidden="1" spans="1:21">
      <c r="A462" s="19"/>
      <c r="C462" s="20" t="str">
        <f>IFERROR(VLOOKUP(J462,'03. THIẾT BỊ'!$B$1:$U$836,5,0),"")</f>
        <v/>
      </c>
      <c r="D462" s="19"/>
      <c r="E462" s="19"/>
      <c r="F462" s="19"/>
      <c r="G462" s="19"/>
      <c r="H462" s="19" t="str">
        <f>IFERROR(VLOOKUP(J462,'03. THIẾT BỊ'!$B$1:$U$836,19,0),"")</f>
        <v/>
      </c>
      <c r="I462" s="19" t="str">
        <f>IFERROR(VLOOKUP(J462,'03. THIẾT BỊ'!$B$1:$U$836,20,0),"")</f>
        <v/>
      </c>
      <c r="J462" s="20"/>
      <c r="K462" s="722"/>
      <c r="L462" s="722"/>
      <c r="M462" s="722"/>
      <c r="N462" s="19" t="str">
        <f>IFERROR(VLOOKUP(J462,'03. THIẾT BỊ'!$B$1:$U$836,4,0),"")</f>
        <v/>
      </c>
      <c r="O462" s="19" t="str">
        <f>IFERROR(VLOOKUP(J462,'03. THIẾT BỊ'!$B$1:$U$836,7,0),"")</f>
        <v/>
      </c>
      <c r="P462" s="20"/>
      <c r="Q462" s="20"/>
      <c r="R462" s="20"/>
      <c r="S462" s="20" t="str">
        <f>IFERROR(VLOOKUP(J462,'03. THIẾT BỊ'!$B$1:$S$836,3,0),"")</f>
        <v/>
      </c>
      <c r="T462" s="708"/>
      <c r="U462" s="708"/>
    </row>
    <row r="463" ht="13.8" hidden="1" spans="1:21">
      <c r="A463" s="19"/>
      <c r="C463" s="20" t="str">
        <f>IFERROR(VLOOKUP(J463,'03. THIẾT BỊ'!$B$1:$U$836,5,0),"")</f>
        <v/>
      </c>
      <c r="D463" s="19"/>
      <c r="E463" s="19"/>
      <c r="F463" s="19"/>
      <c r="G463" s="19"/>
      <c r="H463" s="19" t="str">
        <f>IFERROR(VLOOKUP(J463,'03. THIẾT BỊ'!$B$1:$U$836,19,0),"")</f>
        <v/>
      </c>
      <c r="I463" s="19" t="str">
        <f>IFERROR(VLOOKUP(J463,'03. THIẾT BỊ'!$B$1:$U$836,20,0),"")</f>
        <v/>
      </c>
      <c r="J463" s="20"/>
      <c r="K463" s="722"/>
      <c r="L463" s="722"/>
      <c r="M463" s="722"/>
      <c r="N463" s="19" t="str">
        <f>IFERROR(VLOOKUP(J463,'03. THIẾT BỊ'!$B$1:$U$836,4,0),"")</f>
        <v/>
      </c>
      <c r="O463" s="19" t="str">
        <f>IFERROR(VLOOKUP(J463,'03. THIẾT BỊ'!$B$1:$U$836,7,0),"")</f>
        <v/>
      </c>
      <c r="P463" s="20"/>
      <c r="Q463" s="20"/>
      <c r="R463" s="20"/>
      <c r="S463" s="20" t="str">
        <f>IFERROR(VLOOKUP(J463,'03. THIẾT BỊ'!$B$1:$S$836,3,0),"")</f>
        <v/>
      </c>
      <c r="T463" s="708"/>
      <c r="U463" s="708"/>
    </row>
    <row r="464" ht="13.8" hidden="1" spans="1:21">
      <c r="A464" s="19"/>
      <c r="C464" s="20" t="str">
        <f>IFERROR(VLOOKUP(J464,'03. THIẾT BỊ'!$B$1:$U$836,5,0),"")</f>
        <v/>
      </c>
      <c r="D464" s="19"/>
      <c r="E464" s="19"/>
      <c r="F464" s="19"/>
      <c r="G464" s="19"/>
      <c r="H464" s="19" t="str">
        <f>IFERROR(VLOOKUP(J464,'03. THIẾT BỊ'!$B$1:$U$836,19,0),"")</f>
        <v/>
      </c>
      <c r="I464" s="19" t="str">
        <f>IFERROR(VLOOKUP(J464,'03. THIẾT BỊ'!$B$1:$U$836,20,0),"")</f>
        <v/>
      </c>
      <c r="J464" s="20"/>
      <c r="K464" s="722"/>
      <c r="L464" s="722"/>
      <c r="M464" s="722"/>
      <c r="N464" s="19" t="str">
        <f>IFERROR(VLOOKUP(J464,'03. THIẾT BỊ'!$B$1:$U$836,4,0),"")</f>
        <v/>
      </c>
      <c r="O464" s="19" t="str">
        <f>IFERROR(VLOOKUP(J464,'03. THIẾT BỊ'!$B$1:$U$836,7,0),"")</f>
        <v/>
      </c>
      <c r="P464" s="20"/>
      <c r="Q464" s="20"/>
      <c r="R464" s="20"/>
      <c r="S464" s="20" t="str">
        <f>IFERROR(VLOOKUP(J464,'03. THIẾT BỊ'!$B$1:$S$836,3,0),"")</f>
        <v/>
      </c>
      <c r="T464" s="708"/>
      <c r="U464" s="708"/>
    </row>
    <row r="465" ht="13.8" hidden="1" spans="1:21">
      <c r="A465" s="19"/>
      <c r="C465" s="20" t="str">
        <f>IFERROR(VLOOKUP(J465,'03. THIẾT BỊ'!$B$1:$U$836,5,0),"")</f>
        <v/>
      </c>
      <c r="D465" s="19"/>
      <c r="E465" s="19"/>
      <c r="F465" s="19"/>
      <c r="G465" s="19"/>
      <c r="H465" s="19" t="str">
        <f>IFERROR(VLOOKUP(J465,'03. THIẾT BỊ'!$B$1:$U$836,19,0),"")</f>
        <v/>
      </c>
      <c r="I465" s="19" t="str">
        <f>IFERROR(VLOOKUP(J465,'03. THIẾT BỊ'!$B$1:$U$836,20,0),"")</f>
        <v/>
      </c>
      <c r="J465" s="20"/>
      <c r="K465" s="722"/>
      <c r="L465" s="722"/>
      <c r="M465" s="722"/>
      <c r="N465" s="19" t="str">
        <f>IFERROR(VLOOKUP(J465,'03. THIẾT BỊ'!$B$1:$U$836,4,0),"")</f>
        <v/>
      </c>
      <c r="O465" s="19" t="str">
        <f>IFERROR(VLOOKUP(J465,'03. THIẾT BỊ'!$B$1:$U$836,7,0),"")</f>
        <v/>
      </c>
      <c r="P465" s="20"/>
      <c r="Q465" s="20"/>
      <c r="R465" s="20"/>
      <c r="S465" s="20" t="str">
        <f>IFERROR(VLOOKUP(J465,'03. THIẾT BỊ'!$B$1:$S$836,3,0),"")</f>
        <v/>
      </c>
      <c r="T465" s="708"/>
      <c r="U465" s="708"/>
    </row>
    <row r="466" ht="13.8" hidden="1" spans="1:21">
      <c r="A466" s="19"/>
      <c r="C466" s="20" t="str">
        <f>IFERROR(VLOOKUP(J466,'03. THIẾT BỊ'!$B$1:$U$836,5,0),"")</f>
        <v/>
      </c>
      <c r="D466" s="19"/>
      <c r="E466" s="19"/>
      <c r="F466" s="19"/>
      <c r="G466" s="19"/>
      <c r="H466" s="19" t="str">
        <f>IFERROR(VLOOKUP(J466,'03. THIẾT BỊ'!$B$1:$U$836,19,0),"")</f>
        <v/>
      </c>
      <c r="I466" s="19" t="str">
        <f>IFERROR(VLOOKUP(J466,'03. THIẾT BỊ'!$B$1:$U$836,20,0),"")</f>
        <v/>
      </c>
      <c r="J466" s="20"/>
      <c r="K466" s="722"/>
      <c r="L466" s="722"/>
      <c r="M466" s="722"/>
      <c r="N466" s="19" t="str">
        <f>IFERROR(VLOOKUP(J466,'03. THIẾT BỊ'!$B$1:$U$836,4,0),"")</f>
        <v/>
      </c>
      <c r="O466" s="19" t="str">
        <f>IFERROR(VLOOKUP(J466,'03. THIẾT BỊ'!$B$1:$U$836,7,0),"")</f>
        <v/>
      </c>
      <c r="P466" s="20"/>
      <c r="Q466" s="20"/>
      <c r="R466" s="20"/>
      <c r="S466" s="20" t="str">
        <f>IFERROR(VLOOKUP(J466,'03. THIẾT BỊ'!$B$1:$S$836,3,0),"")</f>
        <v/>
      </c>
      <c r="T466" s="708"/>
      <c r="U466" s="708"/>
    </row>
    <row r="467" ht="13.8" hidden="1" spans="1:21">
      <c r="A467" s="19"/>
      <c r="C467" s="20" t="str">
        <f>IFERROR(VLOOKUP(J467,'03. THIẾT BỊ'!$B$1:$U$836,5,0),"")</f>
        <v/>
      </c>
      <c r="D467" s="19"/>
      <c r="E467" s="19"/>
      <c r="F467" s="19"/>
      <c r="G467" s="19"/>
      <c r="H467" s="19" t="str">
        <f>IFERROR(VLOOKUP(J467,'03. THIẾT BỊ'!$B$1:$U$836,19,0),"")</f>
        <v/>
      </c>
      <c r="I467" s="19" t="str">
        <f>IFERROR(VLOOKUP(J467,'03. THIẾT BỊ'!$B$1:$U$836,20,0),"")</f>
        <v/>
      </c>
      <c r="J467" s="20"/>
      <c r="K467" s="722"/>
      <c r="L467" s="722"/>
      <c r="M467" s="722"/>
      <c r="N467" s="19" t="str">
        <f>IFERROR(VLOOKUP(J467,'03. THIẾT BỊ'!$B$1:$U$836,4,0),"")</f>
        <v/>
      </c>
      <c r="O467" s="19" t="str">
        <f>IFERROR(VLOOKUP(J467,'03. THIẾT BỊ'!$B$1:$U$836,7,0),"")</f>
        <v/>
      </c>
      <c r="P467" s="20"/>
      <c r="Q467" s="20"/>
      <c r="R467" s="20"/>
      <c r="S467" s="20" t="str">
        <f>IFERROR(VLOOKUP(J467,'03. THIẾT BỊ'!$B$1:$S$836,3,0),"")</f>
        <v/>
      </c>
      <c r="T467" s="708"/>
      <c r="U467" s="708"/>
    </row>
    <row r="468" ht="13.8" hidden="1" spans="1:21">
      <c r="A468" s="19"/>
      <c r="C468" s="20" t="str">
        <f>IFERROR(VLOOKUP(J468,'03. THIẾT BỊ'!$B$1:$U$836,5,0),"")</f>
        <v/>
      </c>
      <c r="D468" s="19"/>
      <c r="E468" s="19"/>
      <c r="F468" s="19"/>
      <c r="G468" s="19"/>
      <c r="H468" s="19" t="str">
        <f>IFERROR(VLOOKUP(J468,'03. THIẾT BỊ'!$B$1:$U$836,19,0),"")</f>
        <v/>
      </c>
      <c r="I468" s="19" t="str">
        <f>IFERROR(VLOOKUP(J468,'03. THIẾT BỊ'!$B$1:$U$836,20,0),"")</f>
        <v/>
      </c>
      <c r="J468" s="20"/>
      <c r="K468" s="722"/>
      <c r="L468" s="722"/>
      <c r="M468" s="722"/>
      <c r="N468" s="19" t="str">
        <f>IFERROR(VLOOKUP(J468,'03. THIẾT BỊ'!$B$1:$U$836,4,0),"")</f>
        <v/>
      </c>
      <c r="O468" s="19" t="str">
        <f>IFERROR(VLOOKUP(J468,'03. THIẾT BỊ'!$B$1:$U$836,7,0),"")</f>
        <v/>
      </c>
      <c r="P468" s="20"/>
      <c r="Q468" s="20"/>
      <c r="R468" s="20"/>
      <c r="S468" s="20" t="str">
        <f>IFERROR(VLOOKUP(J468,'03. THIẾT BỊ'!$B$1:$S$836,3,0),"")</f>
        <v/>
      </c>
      <c r="T468" s="708"/>
      <c r="U468" s="708"/>
    </row>
    <row r="469" ht="13.8" hidden="1" spans="1:21">
      <c r="A469" s="19"/>
      <c r="C469" s="20" t="str">
        <f>IFERROR(VLOOKUP(J469,'03. THIẾT BỊ'!$B$1:$U$836,5,0),"")</f>
        <v/>
      </c>
      <c r="D469" s="19"/>
      <c r="E469" s="19"/>
      <c r="F469" s="19"/>
      <c r="G469" s="19"/>
      <c r="H469" s="19" t="str">
        <f>IFERROR(VLOOKUP(J469,'03. THIẾT BỊ'!$B$1:$U$836,19,0),"")</f>
        <v/>
      </c>
      <c r="I469" s="19" t="str">
        <f>IFERROR(VLOOKUP(J469,'03. THIẾT BỊ'!$B$1:$U$836,20,0),"")</f>
        <v/>
      </c>
      <c r="J469" s="20"/>
      <c r="K469" s="722"/>
      <c r="L469" s="722"/>
      <c r="M469" s="722"/>
      <c r="N469" s="19" t="str">
        <f>IFERROR(VLOOKUP(J469,'03. THIẾT BỊ'!$B$1:$U$836,4,0),"")</f>
        <v/>
      </c>
      <c r="O469" s="19" t="str">
        <f>IFERROR(VLOOKUP(J469,'03. THIẾT BỊ'!$B$1:$U$836,7,0),"")</f>
        <v/>
      </c>
      <c r="P469" s="20"/>
      <c r="Q469" s="20"/>
      <c r="R469" s="20"/>
      <c r="S469" s="20" t="str">
        <f>IFERROR(VLOOKUP(J469,'03. THIẾT BỊ'!$B$1:$S$836,3,0),"")</f>
        <v/>
      </c>
      <c r="T469" s="708"/>
      <c r="U469" s="708"/>
    </row>
    <row r="470" ht="13.8" hidden="1" spans="1:21">
      <c r="A470" s="19"/>
      <c r="C470" s="20" t="str">
        <f>IFERROR(VLOOKUP(J470,'03. THIẾT BỊ'!$B$1:$U$836,5,0),"")</f>
        <v/>
      </c>
      <c r="D470" s="19"/>
      <c r="E470" s="19"/>
      <c r="F470" s="19"/>
      <c r="G470" s="19"/>
      <c r="H470" s="19" t="str">
        <f>IFERROR(VLOOKUP(J470,'03. THIẾT BỊ'!$B$1:$U$836,19,0),"")</f>
        <v/>
      </c>
      <c r="I470" s="19" t="str">
        <f>IFERROR(VLOOKUP(J470,'03. THIẾT BỊ'!$B$1:$U$836,20,0),"")</f>
        <v/>
      </c>
      <c r="J470" s="20"/>
      <c r="K470" s="722"/>
      <c r="L470" s="722"/>
      <c r="M470" s="722"/>
      <c r="N470" s="19" t="str">
        <f>IFERROR(VLOOKUP(J470,'03. THIẾT BỊ'!$B$1:$U$836,4,0),"")</f>
        <v/>
      </c>
      <c r="O470" s="19" t="str">
        <f>IFERROR(VLOOKUP(J470,'03. THIẾT BỊ'!$B$1:$U$836,7,0),"")</f>
        <v/>
      </c>
      <c r="P470" s="20"/>
      <c r="Q470" s="20"/>
      <c r="R470" s="20"/>
      <c r="S470" s="20" t="str">
        <f>IFERROR(VLOOKUP(J470,'03. THIẾT BỊ'!$B$1:$S$836,3,0),"")</f>
        <v/>
      </c>
      <c r="T470" s="708"/>
      <c r="U470" s="708"/>
    </row>
    <row r="471" ht="13.8" hidden="1" spans="1:21">
      <c r="A471" s="19"/>
      <c r="C471" s="20" t="str">
        <f>IFERROR(VLOOKUP(J471,'03. THIẾT BỊ'!$B$1:$U$836,5,0),"")</f>
        <v/>
      </c>
      <c r="D471" s="19"/>
      <c r="E471" s="19"/>
      <c r="F471" s="19"/>
      <c r="G471" s="19"/>
      <c r="H471" s="19" t="str">
        <f>IFERROR(VLOOKUP(J471,'03. THIẾT BỊ'!$B$1:$U$836,19,0),"")</f>
        <v/>
      </c>
      <c r="I471" s="19" t="str">
        <f>IFERROR(VLOOKUP(J471,'03. THIẾT BỊ'!$B$1:$U$836,20,0),"")</f>
        <v/>
      </c>
      <c r="J471" s="20"/>
      <c r="K471" s="722"/>
      <c r="L471" s="722"/>
      <c r="M471" s="722"/>
      <c r="N471" s="19" t="str">
        <f>IFERROR(VLOOKUP(J471,'03. THIẾT BỊ'!$B$1:$U$836,4,0),"")</f>
        <v/>
      </c>
      <c r="O471" s="19" t="str">
        <f>IFERROR(VLOOKUP(J471,'03. THIẾT BỊ'!$B$1:$U$836,7,0),"")</f>
        <v/>
      </c>
      <c r="P471" s="20"/>
      <c r="Q471" s="20"/>
      <c r="R471" s="20"/>
      <c r="S471" s="20" t="str">
        <f>IFERROR(VLOOKUP(J471,'03. THIẾT BỊ'!$B$1:$S$836,3,0),"")</f>
        <v/>
      </c>
      <c r="T471" s="708"/>
      <c r="U471" s="708"/>
    </row>
    <row r="472" ht="13.8" hidden="1" spans="1:21">
      <c r="A472" s="19"/>
      <c r="B472" s="20"/>
      <c r="C472" s="20"/>
      <c r="D472" s="19"/>
      <c r="E472" s="19"/>
      <c r="F472" s="19"/>
      <c r="G472" s="19"/>
      <c r="H472" s="19"/>
      <c r="I472" s="19"/>
      <c r="J472" s="20"/>
      <c r="K472" s="19"/>
      <c r="L472" s="19"/>
      <c r="M472" s="19"/>
      <c r="N472" s="20"/>
      <c r="O472" s="20"/>
      <c r="P472" s="20"/>
      <c r="Q472" s="20"/>
      <c r="R472" s="20"/>
      <c r="S472" s="20"/>
      <c r="T472" s="708"/>
      <c r="U472" s="708"/>
    </row>
    <row r="473" ht="13.8" hidden="1" spans="1:21">
      <c r="A473" s="19"/>
      <c r="B473" s="20"/>
      <c r="C473" s="20"/>
      <c r="D473" s="19"/>
      <c r="E473" s="19"/>
      <c r="F473" s="19"/>
      <c r="G473" s="19"/>
      <c r="H473" s="19"/>
      <c r="I473" s="19"/>
      <c r="J473" s="20"/>
      <c r="K473" s="19"/>
      <c r="L473" s="19"/>
      <c r="M473" s="19"/>
      <c r="N473" s="20"/>
      <c r="O473" s="20"/>
      <c r="P473" s="20"/>
      <c r="Q473" s="20"/>
      <c r="R473" s="20"/>
      <c r="S473" s="20"/>
      <c r="T473" s="708"/>
      <c r="U473" s="708"/>
    </row>
    <row r="474" ht="13.8" hidden="1" spans="1:21">
      <c r="A474" s="19"/>
      <c r="B474" s="20"/>
      <c r="C474" s="20"/>
      <c r="D474" s="19"/>
      <c r="E474" s="19"/>
      <c r="F474" s="19"/>
      <c r="G474" s="19"/>
      <c r="H474" s="19"/>
      <c r="I474" s="19"/>
      <c r="J474" s="20"/>
      <c r="K474" s="19"/>
      <c r="L474" s="19"/>
      <c r="M474" s="19"/>
      <c r="N474" s="20"/>
      <c r="O474" s="20"/>
      <c r="P474" s="20"/>
      <c r="Q474" s="20"/>
      <c r="R474" s="20"/>
      <c r="S474" s="20"/>
      <c r="T474" s="708"/>
      <c r="U474" s="708"/>
    </row>
    <row r="475" ht="13.8" hidden="1" spans="1:21">
      <c r="A475" s="19"/>
      <c r="B475" s="20"/>
      <c r="C475" s="20"/>
      <c r="D475" s="19"/>
      <c r="E475" s="19"/>
      <c r="F475" s="19"/>
      <c r="G475" s="19"/>
      <c r="H475" s="19"/>
      <c r="I475" s="19"/>
      <c r="J475" s="20"/>
      <c r="K475" s="19"/>
      <c r="L475" s="19"/>
      <c r="M475" s="19"/>
      <c r="N475" s="20"/>
      <c r="O475" s="20"/>
      <c r="P475" s="20"/>
      <c r="Q475" s="20"/>
      <c r="R475" s="20"/>
      <c r="S475" s="20"/>
      <c r="T475" s="708"/>
      <c r="U475" s="708"/>
    </row>
    <row r="476" ht="13.8" hidden="1" spans="1:21">
      <c r="A476" s="19"/>
      <c r="B476" s="20"/>
      <c r="C476" s="20"/>
      <c r="D476" s="19"/>
      <c r="E476" s="19"/>
      <c r="F476" s="19"/>
      <c r="G476" s="19"/>
      <c r="H476" s="19"/>
      <c r="I476" s="19"/>
      <c r="J476" s="20"/>
      <c r="K476" s="19"/>
      <c r="L476" s="19"/>
      <c r="M476" s="19"/>
      <c r="N476" s="20"/>
      <c r="O476" s="20"/>
      <c r="P476" s="20"/>
      <c r="Q476" s="20"/>
      <c r="R476" s="20"/>
      <c r="S476" s="20"/>
      <c r="T476" s="708"/>
      <c r="U476" s="708"/>
    </row>
    <row r="477" ht="13.8" hidden="1" spans="1:21">
      <c r="A477" s="19"/>
      <c r="B477" s="20"/>
      <c r="C477" s="20"/>
      <c r="D477" s="19"/>
      <c r="E477" s="19"/>
      <c r="F477" s="19"/>
      <c r="G477" s="19"/>
      <c r="H477" s="19"/>
      <c r="I477" s="19"/>
      <c r="J477" s="20"/>
      <c r="K477" s="19"/>
      <c r="L477" s="19"/>
      <c r="M477" s="19"/>
      <c r="N477" s="20"/>
      <c r="O477" s="20"/>
      <c r="P477" s="20"/>
      <c r="Q477" s="20"/>
      <c r="R477" s="20"/>
      <c r="S477" s="20"/>
      <c r="T477" s="708"/>
      <c r="U477" s="708"/>
    </row>
    <row r="478" ht="13.8" hidden="1" spans="1:21">
      <c r="A478" s="19"/>
      <c r="B478" s="20"/>
      <c r="C478" s="20"/>
      <c r="D478" s="19"/>
      <c r="E478" s="19"/>
      <c r="F478" s="19"/>
      <c r="G478" s="19"/>
      <c r="H478" s="19"/>
      <c r="I478" s="19"/>
      <c r="J478" s="20"/>
      <c r="K478" s="19"/>
      <c r="L478" s="19"/>
      <c r="M478" s="19"/>
      <c r="N478" s="20"/>
      <c r="O478" s="20"/>
      <c r="P478" s="20"/>
      <c r="Q478" s="20"/>
      <c r="R478" s="20"/>
      <c r="S478" s="20"/>
      <c r="T478" s="708"/>
      <c r="U478" s="708"/>
    </row>
    <row r="479" ht="13.8" hidden="1" spans="1:21">
      <c r="A479" s="19"/>
      <c r="B479" s="20"/>
      <c r="C479" s="20"/>
      <c r="D479" s="19"/>
      <c r="E479" s="19"/>
      <c r="F479" s="19"/>
      <c r="G479" s="19"/>
      <c r="H479" s="19"/>
      <c r="I479" s="19"/>
      <c r="J479" s="20"/>
      <c r="K479" s="19"/>
      <c r="L479" s="19"/>
      <c r="M479" s="19"/>
      <c r="N479" s="20"/>
      <c r="O479" s="20"/>
      <c r="P479" s="20"/>
      <c r="Q479" s="20"/>
      <c r="R479" s="20"/>
      <c r="S479" s="20"/>
      <c r="T479" s="708"/>
      <c r="U479" s="708"/>
    </row>
    <row r="480" ht="13.8" hidden="1" spans="1:21">
      <c r="A480" s="19"/>
      <c r="B480" s="20"/>
      <c r="C480" s="20"/>
      <c r="D480" s="19"/>
      <c r="E480" s="19"/>
      <c r="F480" s="19"/>
      <c r="G480" s="19"/>
      <c r="H480" s="19"/>
      <c r="I480" s="19"/>
      <c r="J480" s="20"/>
      <c r="K480" s="19"/>
      <c r="L480" s="19"/>
      <c r="M480" s="19"/>
      <c r="N480" s="20"/>
      <c r="O480" s="20"/>
      <c r="P480" s="20"/>
      <c r="Q480" s="20"/>
      <c r="R480" s="20"/>
      <c r="S480" s="20"/>
      <c r="T480" s="708"/>
      <c r="U480" s="708"/>
    </row>
    <row r="481" ht="13.8" hidden="1" spans="1:21">
      <c r="A481" s="19"/>
      <c r="B481" s="20"/>
      <c r="C481" s="20"/>
      <c r="D481" s="19"/>
      <c r="E481" s="19"/>
      <c r="F481" s="19"/>
      <c r="G481" s="19"/>
      <c r="H481" s="19"/>
      <c r="I481" s="19"/>
      <c r="J481" s="20"/>
      <c r="K481" s="19"/>
      <c r="L481" s="19"/>
      <c r="M481" s="19"/>
      <c r="N481" s="20"/>
      <c r="O481" s="20"/>
      <c r="P481" s="20"/>
      <c r="Q481" s="20"/>
      <c r="R481" s="20"/>
      <c r="S481" s="20"/>
      <c r="T481" s="708"/>
      <c r="U481" s="708"/>
    </row>
    <row r="482" ht="13.8" hidden="1" spans="1:21">
      <c r="A482" s="19"/>
      <c r="B482" s="20"/>
      <c r="C482" s="20"/>
      <c r="D482" s="19"/>
      <c r="E482" s="19"/>
      <c r="F482" s="19"/>
      <c r="G482" s="19"/>
      <c r="H482" s="19"/>
      <c r="I482" s="19"/>
      <c r="J482" s="20"/>
      <c r="K482" s="19"/>
      <c r="L482" s="19"/>
      <c r="M482" s="19"/>
      <c r="N482" s="20"/>
      <c r="O482" s="20"/>
      <c r="P482" s="20"/>
      <c r="Q482" s="20"/>
      <c r="R482" s="20"/>
      <c r="S482" s="20"/>
      <c r="T482" s="708"/>
      <c r="U482" s="708"/>
    </row>
    <row r="483" ht="13.8" hidden="1" spans="1:21">
      <c r="A483" s="19"/>
      <c r="B483" s="20"/>
      <c r="C483" s="20"/>
      <c r="D483" s="19"/>
      <c r="E483" s="19"/>
      <c r="F483" s="19"/>
      <c r="G483" s="19"/>
      <c r="H483" s="19"/>
      <c r="I483" s="19"/>
      <c r="J483" s="20"/>
      <c r="K483" s="19"/>
      <c r="L483" s="19"/>
      <c r="M483" s="19"/>
      <c r="N483" s="20"/>
      <c r="O483" s="20"/>
      <c r="P483" s="20"/>
      <c r="Q483" s="20"/>
      <c r="R483" s="20"/>
      <c r="S483" s="20"/>
      <c r="T483" s="708"/>
      <c r="U483" s="708"/>
    </row>
    <row r="484" ht="13.8" hidden="1" spans="1:21">
      <c r="A484" s="19"/>
      <c r="B484" s="20"/>
      <c r="C484" s="20"/>
      <c r="D484" s="19"/>
      <c r="E484" s="19"/>
      <c r="F484" s="19"/>
      <c r="G484" s="19"/>
      <c r="H484" s="19"/>
      <c r="I484" s="19"/>
      <c r="J484" s="20"/>
      <c r="K484" s="19"/>
      <c r="L484" s="19"/>
      <c r="M484" s="19"/>
      <c r="N484" s="20"/>
      <c r="O484" s="20"/>
      <c r="P484" s="20"/>
      <c r="Q484" s="20"/>
      <c r="R484" s="20"/>
      <c r="S484" s="20"/>
      <c r="T484" s="708"/>
      <c r="U484" s="708"/>
    </row>
    <row r="485" ht="13.8" spans="1:21">
      <c r="A485" s="19"/>
      <c r="B485" s="20"/>
      <c r="C485" s="20"/>
      <c r="D485" s="19"/>
      <c r="E485" s="19"/>
      <c r="F485" s="19"/>
      <c r="G485" s="19"/>
      <c r="H485" s="19"/>
      <c r="I485" s="19"/>
      <c r="J485" s="20"/>
      <c r="K485" s="19"/>
      <c r="L485" s="19"/>
      <c r="M485" s="19"/>
      <c r="N485" s="20"/>
      <c r="O485" s="20"/>
      <c r="P485" s="20"/>
      <c r="Q485" s="20"/>
      <c r="R485" s="20"/>
      <c r="S485" s="20"/>
      <c r="T485" s="708"/>
      <c r="U485" s="708"/>
    </row>
    <row r="486" ht="13.8" spans="1:21">
      <c r="A486" s="19"/>
      <c r="B486" s="20"/>
      <c r="C486" s="20"/>
      <c r="D486" s="19"/>
      <c r="E486" s="19"/>
      <c r="F486" s="19"/>
      <c r="G486" s="19"/>
      <c r="H486" s="19"/>
      <c r="I486" s="19"/>
      <c r="J486" s="20"/>
      <c r="K486" s="19"/>
      <c r="L486" s="19"/>
      <c r="M486" s="19"/>
      <c r="N486" s="20"/>
      <c r="O486" s="20"/>
      <c r="P486" s="20"/>
      <c r="Q486" s="20"/>
      <c r="R486" s="20"/>
      <c r="S486" s="20"/>
      <c r="T486" s="708"/>
      <c r="U486" s="708"/>
    </row>
    <row r="487" ht="13.8" spans="1:21">
      <c r="A487" s="19"/>
      <c r="B487" s="20"/>
      <c r="C487" s="20"/>
      <c r="D487" s="19"/>
      <c r="E487" s="19"/>
      <c r="F487" s="19"/>
      <c r="G487" s="19"/>
      <c r="H487" s="19"/>
      <c r="I487" s="19"/>
      <c r="J487" s="20"/>
      <c r="K487" s="19"/>
      <c r="L487" s="19"/>
      <c r="M487" s="19"/>
      <c r="N487" s="20"/>
      <c r="O487" s="20"/>
      <c r="P487" s="20"/>
      <c r="Q487" s="20"/>
      <c r="R487" s="20"/>
      <c r="S487" s="20"/>
      <c r="T487" s="708"/>
      <c r="U487" s="708"/>
    </row>
    <row r="488" ht="13.8" spans="1:21">
      <c r="A488" s="19"/>
      <c r="B488" s="20"/>
      <c r="C488" s="20"/>
      <c r="D488" s="19"/>
      <c r="E488" s="19"/>
      <c r="F488" s="19"/>
      <c r="G488" s="19"/>
      <c r="H488" s="19"/>
      <c r="I488" s="19"/>
      <c r="J488" s="20"/>
      <c r="K488" s="19"/>
      <c r="L488" s="19"/>
      <c r="M488" s="19"/>
      <c r="N488" s="20"/>
      <c r="O488" s="20"/>
      <c r="P488" s="20"/>
      <c r="Q488" s="20"/>
      <c r="R488" s="20"/>
      <c r="S488" s="20"/>
      <c r="T488" s="708"/>
      <c r="U488" s="708"/>
    </row>
    <row r="489" ht="13.8" spans="1:21">
      <c r="A489" s="19"/>
      <c r="B489" s="20"/>
      <c r="C489" s="20"/>
      <c r="D489" s="19"/>
      <c r="E489" s="19"/>
      <c r="F489" s="19"/>
      <c r="G489" s="19"/>
      <c r="H489" s="19"/>
      <c r="I489" s="19"/>
      <c r="J489" s="20"/>
      <c r="K489" s="19"/>
      <c r="L489" s="19"/>
      <c r="M489" s="19"/>
      <c r="N489" s="20"/>
      <c r="O489" s="20"/>
      <c r="P489" s="20"/>
      <c r="Q489" s="20"/>
      <c r="R489" s="20"/>
      <c r="S489" s="20"/>
      <c r="T489" s="708"/>
      <c r="U489" s="708"/>
    </row>
    <row r="490" ht="13.8" spans="1:21">
      <c r="A490" s="19"/>
      <c r="B490" s="20"/>
      <c r="C490" s="20"/>
      <c r="D490" s="19"/>
      <c r="E490" s="19"/>
      <c r="F490" s="19"/>
      <c r="G490" s="19"/>
      <c r="H490" s="19"/>
      <c r="I490" s="19"/>
      <c r="J490" s="20"/>
      <c r="K490" s="19"/>
      <c r="L490" s="19"/>
      <c r="M490" s="19"/>
      <c r="N490" s="20"/>
      <c r="O490" s="20"/>
      <c r="P490" s="20"/>
      <c r="Q490" s="20"/>
      <c r="R490" s="20"/>
      <c r="S490" s="20"/>
      <c r="T490" s="708"/>
      <c r="U490" s="708"/>
    </row>
    <row r="491" ht="13.8" spans="1:21">
      <c r="A491" s="19"/>
      <c r="B491" s="20"/>
      <c r="C491" s="20"/>
      <c r="D491" s="19"/>
      <c r="E491" s="19"/>
      <c r="F491" s="19"/>
      <c r="G491" s="19"/>
      <c r="H491" s="19"/>
      <c r="I491" s="19"/>
      <c r="J491" s="20"/>
      <c r="K491" s="19"/>
      <c r="L491" s="19"/>
      <c r="M491" s="19"/>
      <c r="N491" s="20"/>
      <c r="O491" s="20"/>
      <c r="P491" s="20"/>
      <c r="Q491" s="20"/>
      <c r="R491" s="20"/>
      <c r="S491" s="20"/>
      <c r="T491" s="708"/>
      <c r="U491" s="708"/>
    </row>
    <row r="492" ht="13.8" spans="1:21">
      <c r="A492" s="19"/>
      <c r="B492" s="20"/>
      <c r="C492" s="20"/>
      <c r="D492" s="19"/>
      <c r="E492" s="19"/>
      <c r="F492" s="19"/>
      <c r="G492" s="19"/>
      <c r="H492" s="19"/>
      <c r="I492" s="19"/>
      <c r="J492" s="20"/>
      <c r="K492" s="19"/>
      <c r="L492" s="19"/>
      <c r="M492" s="19"/>
      <c r="N492" s="20"/>
      <c r="O492" s="20"/>
      <c r="P492" s="20"/>
      <c r="Q492" s="20"/>
      <c r="R492" s="20"/>
      <c r="S492" s="20"/>
      <c r="T492" s="708"/>
      <c r="U492" s="708"/>
    </row>
    <row r="493" ht="13.8" spans="1:21">
      <c r="A493" s="19"/>
      <c r="B493" s="20"/>
      <c r="C493" s="20"/>
      <c r="D493" s="19"/>
      <c r="E493" s="19"/>
      <c r="F493" s="19"/>
      <c r="G493" s="19"/>
      <c r="H493" s="19"/>
      <c r="I493" s="19"/>
      <c r="J493" s="20"/>
      <c r="K493" s="19"/>
      <c r="L493" s="19"/>
      <c r="M493" s="19"/>
      <c r="N493" s="20"/>
      <c r="O493" s="20"/>
      <c r="P493" s="20"/>
      <c r="Q493" s="20"/>
      <c r="R493" s="20"/>
      <c r="S493" s="20"/>
      <c r="T493" s="708"/>
      <c r="U493" s="708"/>
    </row>
    <row r="494" ht="13.8" spans="1:21">
      <c r="A494" s="19"/>
      <c r="B494" s="20"/>
      <c r="C494" s="20"/>
      <c r="D494" s="19"/>
      <c r="E494" s="19"/>
      <c r="F494" s="19"/>
      <c r="G494" s="19"/>
      <c r="H494" s="19"/>
      <c r="I494" s="19"/>
      <c r="J494" s="20"/>
      <c r="K494" s="19"/>
      <c r="L494" s="19"/>
      <c r="M494" s="19"/>
      <c r="N494" s="20"/>
      <c r="O494" s="20"/>
      <c r="P494" s="20"/>
      <c r="Q494" s="20"/>
      <c r="R494" s="20"/>
      <c r="S494" s="20"/>
      <c r="T494" s="708"/>
      <c r="U494" s="708"/>
    </row>
    <row r="495" ht="13.8" spans="1:21">
      <c r="A495" s="19"/>
      <c r="B495" s="20"/>
      <c r="C495" s="20"/>
      <c r="D495" s="19"/>
      <c r="E495" s="19"/>
      <c r="F495" s="19"/>
      <c r="G495" s="19"/>
      <c r="H495" s="19"/>
      <c r="I495" s="19"/>
      <c r="J495" s="20"/>
      <c r="K495" s="19"/>
      <c r="L495" s="19"/>
      <c r="M495" s="19"/>
      <c r="N495" s="20"/>
      <c r="O495" s="20"/>
      <c r="P495" s="20"/>
      <c r="Q495" s="20"/>
      <c r="R495" s="20"/>
      <c r="S495" s="20"/>
      <c r="T495" s="708"/>
      <c r="U495" s="708"/>
    </row>
    <row r="496" ht="13.8" spans="1:21">
      <c r="A496" s="19"/>
      <c r="B496" s="20"/>
      <c r="C496" s="20"/>
      <c r="D496" s="19"/>
      <c r="E496" s="19"/>
      <c r="F496" s="19"/>
      <c r="G496" s="19"/>
      <c r="H496" s="19"/>
      <c r="I496" s="19"/>
      <c r="J496" s="20"/>
      <c r="K496" s="19"/>
      <c r="L496" s="19"/>
      <c r="M496" s="19"/>
      <c r="N496" s="20"/>
      <c r="O496" s="20"/>
      <c r="P496" s="20"/>
      <c r="Q496" s="20"/>
      <c r="R496" s="20"/>
      <c r="S496" s="20"/>
      <c r="T496" s="708"/>
      <c r="U496" s="708"/>
    </row>
    <row r="497" ht="13.8" spans="1:21">
      <c r="A497" s="19"/>
      <c r="B497" s="20"/>
      <c r="C497" s="20"/>
      <c r="D497" s="19"/>
      <c r="E497" s="19"/>
      <c r="F497" s="19"/>
      <c r="G497" s="19"/>
      <c r="H497" s="19"/>
      <c r="I497" s="19"/>
      <c r="J497" s="20"/>
      <c r="K497" s="19"/>
      <c r="L497" s="19"/>
      <c r="M497" s="19"/>
      <c r="N497" s="20"/>
      <c r="O497" s="20"/>
      <c r="P497" s="20"/>
      <c r="Q497" s="20"/>
      <c r="R497" s="20"/>
      <c r="S497" s="20"/>
      <c r="T497" s="708"/>
      <c r="U497" s="708"/>
    </row>
    <row r="498" ht="13.8" spans="1:21">
      <c r="A498" s="19"/>
      <c r="B498" s="20"/>
      <c r="C498" s="20"/>
      <c r="D498" s="19"/>
      <c r="E498" s="19"/>
      <c r="F498" s="19"/>
      <c r="G498" s="19"/>
      <c r="H498" s="19"/>
      <c r="I498" s="19"/>
      <c r="J498" s="20"/>
      <c r="K498" s="19"/>
      <c r="L498" s="19"/>
      <c r="M498" s="19"/>
      <c r="N498" s="20"/>
      <c r="O498" s="20"/>
      <c r="P498" s="20"/>
      <c r="Q498" s="20"/>
      <c r="R498" s="20"/>
      <c r="S498" s="20"/>
      <c r="T498" s="708"/>
      <c r="U498" s="708"/>
    </row>
    <row r="499" ht="13.8" spans="1:21">
      <c r="A499" s="19"/>
      <c r="B499" s="20"/>
      <c r="C499" s="20"/>
      <c r="D499" s="19"/>
      <c r="E499" s="19"/>
      <c r="F499" s="19"/>
      <c r="G499" s="19"/>
      <c r="H499" s="19"/>
      <c r="I499" s="19"/>
      <c r="J499" s="20"/>
      <c r="K499" s="19"/>
      <c r="L499" s="19"/>
      <c r="M499" s="19"/>
      <c r="N499" s="20"/>
      <c r="O499" s="20"/>
      <c r="P499" s="20"/>
      <c r="Q499" s="20"/>
      <c r="R499" s="20"/>
      <c r="S499" s="20"/>
      <c r="T499" s="708"/>
      <c r="U499" s="708"/>
    </row>
    <row r="500" ht="13.8" spans="1:21">
      <c r="A500" s="19"/>
      <c r="B500" s="20"/>
      <c r="C500" s="20"/>
      <c r="D500" s="19"/>
      <c r="E500" s="19"/>
      <c r="F500" s="19"/>
      <c r="G500" s="19"/>
      <c r="H500" s="19"/>
      <c r="I500" s="19"/>
      <c r="J500" s="20"/>
      <c r="K500" s="19"/>
      <c r="L500" s="19"/>
      <c r="M500" s="19"/>
      <c r="N500" s="20"/>
      <c r="O500" s="20"/>
      <c r="P500" s="20"/>
      <c r="Q500" s="20"/>
      <c r="R500" s="20"/>
      <c r="S500" s="20"/>
      <c r="T500" s="708"/>
      <c r="U500" s="708"/>
    </row>
    <row r="501" ht="13.8" spans="1:21">
      <c r="A501" s="19"/>
      <c r="B501" s="20"/>
      <c r="C501" s="20"/>
      <c r="D501" s="19"/>
      <c r="E501" s="19"/>
      <c r="F501" s="19"/>
      <c r="G501" s="19"/>
      <c r="H501" s="19"/>
      <c r="I501" s="19"/>
      <c r="J501" s="20"/>
      <c r="K501" s="19"/>
      <c r="L501" s="19"/>
      <c r="M501" s="19"/>
      <c r="N501" s="20"/>
      <c r="O501" s="20"/>
      <c r="P501" s="20"/>
      <c r="Q501" s="20"/>
      <c r="R501" s="20"/>
      <c r="S501" s="20"/>
      <c r="T501" s="708"/>
      <c r="U501" s="708"/>
    </row>
    <row r="502" ht="13.8" spans="1:21">
      <c r="A502" s="19"/>
      <c r="B502" s="20"/>
      <c r="C502" s="20"/>
      <c r="D502" s="19"/>
      <c r="E502" s="19"/>
      <c r="F502" s="19"/>
      <c r="G502" s="19"/>
      <c r="H502" s="19"/>
      <c r="I502" s="19"/>
      <c r="J502" s="20"/>
      <c r="K502" s="19"/>
      <c r="L502" s="19"/>
      <c r="M502" s="19"/>
      <c r="N502" s="20"/>
      <c r="O502" s="20"/>
      <c r="P502" s="20"/>
      <c r="Q502" s="20"/>
      <c r="R502" s="20"/>
      <c r="S502" s="20"/>
      <c r="T502" s="708"/>
      <c r="U502" s="708"/>
    </row>
    <row r="503" ht="13.8" spans="1:21">
      <c r="A503" s="19"/>
      <c r="B503" s="20"/>
      <c r="C503" s="20"/>
      <c r="D503" s="19"/>
      <c r="E503" s="19"/>
      <c r="F503" s="19"/>
      <c r="G503" s="19"/>
      <c r="H503" s="19"/>
      <c r="I503" s="19"/>
      <c r="J503" s="20"/>
      <c r="K503" s="19"/>
      <c r="L503" s="19"/>
      <c r="M503" s="19"/>
      <c r="N503" s="20"/>
      <c r="O503" s="20"/>
      <c r="P503" s="20"/>
      <c r="Q503" s="20"/>
      <c r="R503" s="20"/>
      <c r="S503" s="20"/>
      <c r="T503" s="708"/>
      <c r="U503" s="708"/>
    </row>
    <row r="504" ht="13.8" spans="1:21">
      <c r="A504" s="19"/>
      <c r="B504" s="20"/>
      <c r="C504" s="20"/>
      <c r="D504" s="19"/>
      <c r="E504" s="19"/>
      <c r="F504" s="19"/>
      <c r="G504" s="19"/>
      <c r="H504" s="19"/>
      <c r="I504" s="19"/>
      <c r="J504" s="20"/>
      <c r="K504" s="19"/>
      <c r="L504" s="19"/>
      <c r="M504" s="19"/>
      <c r="N504" s="20"/>
      <c r="O504" s="20"/>
      <c r="P504" s="20"/>
      <c r="Q504" s="20"/>
      <c r="R504" s="20"/>
      <c r="S504" s="20"/>
      <c r="T504" s="708"/>
      <c r="U504" s="708"/>
    </row>
    <row r="505" ht="13.8" spans="1:21">
      <c r="A505" s="19"/>
      <c r="B505" s="20"/>
      <c r="C505" s="20"/>
      <c r="D505" s="19"/>
      <c r="E505" s="19"/>
      <c r="F505" s="19"/>
      <c r="G505" s="19"/>
      <c r="H505" s="19"/>
      <c r="I505" s="19"/>
      <c r="J505" s="20"/>
      <c r="K505" s="19"/>
      <c r="L505" s="19"/>
      <c r="M505" s="19"/>
      <c r="N505" s="20"/>
      <c r="O505" s="20"/>
      <c r="P505" s="20"/>
      <c r="Q505" s="20"/>
      <c r="R505" s="20"/>
      <c r="S505" s="20"/>
      <c r="T505" s="708"/>
      <c r="U505" s="708"/>
    </row>
    <row r="506" ht="13.8" spans="1:21">
      <c r="A506" s="19"/>
      <c r="B506" s="20"/>
      <c r="C506" s="20"/>
      <c r="D506" s="19"/>
      <c r="E506" s="19"/>
      <c r="F506" s="19"/>
      <c r="G506" s="19"/>
      <c r="H506" s="19"/>
      <c r="I506" s="19"/>
      <c r="J506" s="20"/>
      <c r="K506" s="19"/>
      <c r="L506" s="19"/>
      <c r="M506" s="19"/>
      <c r="N506" s="20"/>
      <c r="O506" s="20"/>
      <c r="P506" s="20"/>
      <c r="Q506" s="20"/>
      <c r="R506" s="20"/>
      <c r="S506" s="20"/>
      <c r="T506" s="708"/>
      <c r="U506" s="708"/>
    </row>
    <row r="507" ht="13.8" spans="1:21">
      <c r="A507" s="19"/>
      <c r="B507" s="20"/>
      <c r="C507" s="20"/>
      <c r="D507" s="19"/>
      <c r="E507" s="19"/>
      <c r="F507" s="19"/>
      <c r="G507" s="19"/>
      <c r="H507" s="19"/>
      <c r="I507" s="19"/>
      <c r="J507" s="20"/>
      <c r="K507" s="19"/>
      <c r="L507" s="19"/>
      <c r="M507" s="19"/>
      <c r="N507" s="20"/>
      <c r="O507" s="20"/>
      <c r="P507" s="20"/>
      <c r="Q507" s="20"/>
      <c r="R507" s="20"/>
      <c r="S507" s="20"/>
      <c r="T507" s="708"/>
      <c r="U507" s="708"/>
    </row>
    <row r="508" ht="13.8" spans="1:21">
      <c r="A508" s="19"/>
      <c r="B508" s="20"/>
      <c r="C508" s="20"/>
      <c r="D508" s="19"/>
      <c r="E508" s="19"/>
      <c r="F508" s="19"/>
      <c r="G508" s="19"/>
      <c r="H508" s="19"/>
      <c r="I508" s="19"/>
      <c r="J508" s="20"/>
      <c r="K508" s="19"/>
      <c r="L508" s="19"/>
      <c r="M508" s="19"/>
      <c r="N508" s="20"/>
      <c r="O508" s="20"/>
      <c r="P508" s="20"/>
      <c r="Q508" s="20"/>
      <c r="R508" s="20"/>
      <c r="S508" s="20"/>
      <c r="T508" s="708"/>
      <c r="U508" s="708"/>
    </row>
    <row r="509" ht="13.8" spans="1:21">
      <c r="A509" s="19"/>
      <c r="B509" s="20"/>
      <c r="C509" s="20"/>
      <c r="D509" s="19"/>
      <c r="E509" s="19"/>
      <c r="F509" s="19"/>
      <c r="G509" s="19"/>
      <c r="H509" s="19"/>
      <c r="I509" s="19"/>
      <c r="J509" s="20"/>
      <c r="K509" s="19"/>
      <c r="L509" s="19"/>
      <c r="M509" s="19"/>
      <c r="N509" s="20"/>
      <c r="O509" s="20"/>
      <c r="P509" s="20"/>
      <c r="Q509" s="20"/>
      <c r="R509" s="20"/>
      <c r="S509" s="20"/>
      <c r="T509" s="708"/>
      <c r="U509" s="708"/>
    </row>
    <row r="510" ht="13.8" spans="1:21">
      <c r="A510" s="19"/>
      <c r="B510" s="20"/>
      <c r="C510" s="20"/>
      <c r="D510" s="19"/>
      <c r="E510" s="19"/>
      <c r="F510" s="19"/>
      <c r="G510" s="19"/>
      <c r="H510" s="19"/>
      <c r="I510" s="19"/>
      <c r="J510" s="20"/>
      <c r="K510" s="19"/>
      <c r="L510" s="19"/>
      <c r="M510" s="19"/>
      <c r="N510" s="20"/>
      <c r="O510" s="20"/>
      <c r="P510" s="20"/>
      <c r="Q510" s="20"/>
      <c r="R510" s="20"/>
      <c r="S510" s="20"/>
      <c r="T510" s="708"/>
      <c r="U510" s="708"/>
    </row>
    <row r="511" ht="13.8" spans="1:21">
      <c r="A511" s="19"/>
      <c r="B511" s="20"/>
      <c r="C511" s="20"/>
      <c r="D511" s="19"/>
      <c r="E511" s="19"/>
      <c r="F511" s="19"/>
      <c r="G511" s="19"/>
      <c r="H511" s="19"/>
      <c r="I511" s="19"/>
      <c r="J511" s="20"/>
      <c r="K511" s="19"/>
      <c r="L511" s="19"/>
      <c r="M511" s="19"/>
      <c r="N511" s="20"/>
      <c r="O511" s="20"/>
      <c r="P511" s="20"/>
      <c r="Q511" s="20"/>
      <c r="R511" s="20"/>
      <c r="S511" s="20"/>
      <c r="T511" s="708"/>
      <c r="U511" s="708"/>
    </row>
    <row r="512" ht="13.8" spans="1:21">
      <c r="A512" s="19"/>
      <c r="B512" s="20"/>
      <c r="C512" s="20"/>
      <c r="D512" s="19"/>
      <c r="E512" s="19"/>
      <c r="F512" s="19"/>
      <c r="G512" s="19"/>
      <c r="H512" s="19"/>
      <c r="I512" s="19"/>
      <c r="J512" s="20"/>
      <c r="K512" s="19"/>
      <c r="L512" s="19"/>
      <c r="M512" s="19"/>
      <c r="N512" s="20"/>
      <c r="O512" s="20"/>
      <c r="P512" s="20"/>
      <c r="Q512" s="20"/>
      <c r="R512" s="20"/>
      <c r="S512" s="20"/>
      <c r="T512" s="708"/>
      <c r="U512" s="708"/>
    </row>
    <row r="513" ht="13.8" spans="1:21">
      <c r="A513" s="19"/>
      <c r="B513" s="20"/>
      <c r="C513" s="20"/>
      <c r="D513" s="19"/>
      <c r="E513" s="19"/>
      <c r="F513" s="19"/>
      <c r="G513" s="19"/>
      <c r="H513" s="19"/>
      <c r="I513" s="19"/>
      <c r="J513" s="20"/>
      <c r="K513" s="19"/>
      <c r="L513" s="19"/>
      <c r="M513" s="19"/>
      <c r="N513" s="20"/>
      <c r="O513" s="20"/>
      <c r="P513" s="20"/>
      <c r="Q513" s="20"/>
      <c r="R513" s="20"/>
      <c r="S513" s="20"/>
      <c r="T513" s="708"/>
      <c r="U513" s="708"/>
    </row>
    <row r="514" ht="13.8" spans="1:21">
      <c r="A514" s="19"/>
      <c r="B514" s="20"/>
      <c r="C514" s="20"/>
      <c r="D514" s="19"/>
      <c r="E514" s="19"/>
      <c r="F514" s="19"/>
      <c r="G514" s="19"/>
      <c r="H514" s="19"/>
      <c r="I514" s="19"/>
      <c r="J514" s="20"/>
      <c r="K514" s="19"/>
      <c r="L514" s="19"/>
      <c r="M514" s="19"/>
      <c r="N514" s="20"/>
      <c r="O514" s="20"/>
      <c r="P514" s="20"/>
      <c r="Q514" s="20"/>
      <c r="R514" s="20"/>
      <c r="S514" s="20"/>
      <c r="T514" s="708"/>
      <c r="U514" s="708"/>
    </row>
    <row r="515" ht="13.8" spans="1:21">
      <c r="A515" s="19"/>
      <c r="B515" s="20"/>
      <c r="C515" s="20"/>
      <c r="D515" s="19"/>
      <c r="E515" s="19"/>
      <c r="F515" s="19"/>
      <c r="G515" s="19"/>
      <c r="H515" s="19"/>
      <c r="I515" s="19"/>
      <c r="J515" s="20"/>
      <c r="K515" s="19"/>
      <c r="L515" s="19"/>
      <c r="M515" s="19"/>
      <c r="N515" s="20"/>
      <c r="O515" s="20"/>
      <c r="P515" s="20"/>
      <c r="Q515" s="20"/>
      <c r="R515" s="20"/>
      <c r="S515" s="20"/>
      <c r="T515" s="708"/>
      <c r="U515" s="708"/>
    </row>
    <row r="516" ht="13.8" spans="1:21">
      <c r="A516" s="19"/>
      <c r="B516" s="20"/>
      <c r="C516" s="20"/>
      <c r="D516" s="19"/>
      <c r="E516" s="19"/>
      <c r="F516" s="19"/>
      <c r="G516" s="19"/>
      <c r="H516" s="19"/>
      <c r="I516" s="19"/>
      <c r="J516" s="20"/>
      <c r="K516" s="19"/>
      <c r="L516" s="19"/>
      <c r="M516" s="19"/>
      <c r="N516" s="20"/>
      <c r="O516" s="20"/>
      <c r="P516" s="20"/>
      <c r="Q516" s="20"/>
      <c r="R516" s="20"/>
      <c r="S516" s="20"/>
      <c r="T516" s="708"/>
      <c r="U516" s="708"/>
    </row>
    <row r="517" ht="13.8" spans="1:21">
      <c r="A517" s="19"/>
      <c r="B517" s="20"/>
      <c r="C517" s="20"/>
      <c r="D517" s="19"/>
      <c r="E517" s="19"/>
      <c r="F517" s="19"/>
      <c r="G517" s="19"/>
      <c r="H517" s="19"/>
      <c r="I517" s="19"/>
      <c r="J517" s="20"/>
      <c r="K517" s="19"/>
      <c r="L517" s="19"/>
      <c r="M517" s="19"/>
      <c r="N517" s="20"/>
      <c r="O517" s="20"/>
      <c r="P517" s="20"/>
      <c r="Q517" s="20"/>
      <c r="R517" s="20"/>
      <c r="S517" s="20"/>
      <c r="T517" s="708"/>
      <c r="U517" s="708"/>
    </row>
    <row r="518" ht="13.8" spans="1:21">
      <c r="A518" s="19"/>
      <c r="B518" s="20"/>
      <c r="C518" s="20"/>
      <c r="D518" s="19"/>
      <c r="E518" s="19"/>
      <c r="F518" s="19"/>
      <c r="G518" s="19"/>
      <c r="H518" s="19"/>
      <c r="I518" s="19"/>
      <c r="J518" s="20"/>
      <c r="K518" s="19"/>
      <c r="L518" s="19"/>
      <c r="M518" s="19"/>
      <c r="N518" s="20"/>
      <c r="O518" s="20"/>
      <c r="P518" s="20"/>
      <c r="Q518" s="20"/>
      <c r="R518" s="20"/>
      <c r="S518" s="20"/>
      <c r="T518" s="708"/>
      <c r="U518" s="708"/>
    </row>
    <row r="519" ht="13.8" spans="1:21">
      <c r="A519" s="19"/>
      <c r="B519" s="20"/>
      <c r="C519" s="20"/>
      <c r="D519" s="19"/>
      <c r="E519" s="19"/>
      <c r="F519" s="19"/>
      <c r="G519" s="19"/>
      <c r="H519" s="19"/>
      <c r="I519" s="19"/>
      <c r="J519" s="20"/>
      <c r="K519" s="19"/>
      <c r="L519" s="19"/>
      <c r="M519" s="19"/>
      <c r="N519" s="20"/>
      <c r="O519" s="20"/>
      <c r="P519" s="20"/>
      <c r="Q519" s="20"/>
      <c r="R519" s="20"/>
      <c r="S519" s="20"/>
      <c r="T519" s="708"/>
      <c r="U519" s="708"/>
    </row>
    <row r="520" ht="13.8" spans="1:21">
      <c r="A520" s="19"/>
      <c r="B520" s="20"/>
      <c r="C520" s="20"/>
      <c r="D520" s="19"/>
      <c r="E520" s="19"/>
      <c r="F520" s="19"/>
      <c r="G520" s="19"/>
      <c r="H520" s="19"/>
      <c r="I520" s="19"/>
      <c r="J520" s="20"/>
      <c r="K520" s="19"/>
      <c r="L520" s="19"/>
      <c r="M520" s="19"/>
      <c r="N520" s="20"/>
      <c r="O520" s="20"/>
      <c r="P520" s="20"/>
      <c r="Q520" s="20"/>
      <c r="R520" s="20"/>
      <c r="S520" s="20"/>
      <c r="T520" s="708"/>
      <c r="U520" s="708"/>
    </row>
    <row r="521" ht="13.8" spans="1:21">
      <c r="A521" s="19"/>
      <c r="B521" s="20"/>
      <c r="C521" s="20"/>
      <c r="D521" s="19"/>
      <c r="E521" s="19"/>
      <c r="F521" s="19"/>
      <c r="G521" s="19"/>
      <c r="H521" s="19"/>
      <c r="I521" s="19"/>
      <c r="J521" s="20"/>
      <c r="K521" s="19"/>
      <c r="L521" s="19"/>
      <c r="M521" s="19"/>
      <c r="N521" s="20"/>
      <c r="O521" s="20"/>
      <c r="P521" s="20"/>
      <c r="Q521" s="20"/>
      <c r="R521" s="20"/>
      <c r="S521" s="20"/>
      <c r="T521" s="708"/>
      <c r="U521" s="708"/>
    </row>
    <row r="522" ht="13.8" spans="1:21">
      <c r="A522" s="19"/>
      <c r="B522" s="20"/>
      <c r="C522" s="20"/>
      <c r="D522" s="19"/>
      <c r="E522" s="19"/>
      <c r="F522" s="19"/>
      <c r="G522" s="19"/>
      <c r="H522" s="19"/>
      <c r="I522" s="19"/>
      <c r="J522" s="20"/>
      <c r="K522" s="19"/>
      <c r="L522" s="19"/>
      <c r="M522" s="19"/>
      <c r="N522" s="20"/>
      <c r="O522" s="20"/>
      <c r="P522" s="20"/>
      <c r="Q522" s="20"/>
      <c r="R522" s="20"/>
      <c r="S522" s="20"/>
      <c r="T522" s="708"/>
      <c r="U522" s="708"/>
    </row>
    <row r="523" ht="13.8" spans="1:21">
      <c r="A523" s="19"/>
      <c r="B523" s="20"/>
      <c r="C523" s="20"/>
      <c r="D523" s="19"/>
      <c r="E523" s="19"/>
      <c r="F523" s="19"/>
      <c r="G523" s="19"/>
      <c r="H523" s="19"/>
      <c r="I523" s="19"/>
      <c r="J523" s="20"/>
      <c r="K523" s="19"/>
      <c r="L523" s="19"/>
      <c r="M523" s="19"/>
      <c r="N523" s="20"/>
      <c r="O523" s="20"/>
      <c r="P523" s="20"/>
      <c r="Q523" s="20"/>
      <c r="R523" s="20"/>
      <c r="S523" s="20"/>
      <c r="T523" s="708"/>
      <c r="U523" s="708"/>
    </row>
    <row r="524" ht="13.8" spans="1:21">
      <c r="A524" s="19"/>
      <c r="B524" s="20"/>
      <c r="C524" s="20"/>
      <c r="D524" s="19"/>
      <c r="E524" s="19"/>
      <c r="F524" s="19"/>
      <c r="G524" s="19"/>
      <c r="H524" s="19"/>
      <c r="I524" s="19"/>
      <c r="J524" s="20"/>
      <c r="K524" s="19"/>
      <c r="L524" s="19"/>
      <c r="M524" s="19"/>
      <c r="N524" s="20"/>
      <c r="O524" s="20"/>
      <c r="P524" s="20"/>
      <c r="Q524" s="20"/>
      <c r="R524" s="20"/>
      <c r="S524" s="20"/>
      <c r="T524" s="708"/>
      <c r="U524" s="708"/>
    </row>
    <row r="525" ht="13.8" spans="1:21">
      <c r="A525" s="19"/>
      <c r="B525" s="20"/>
      <c r="C525" s="20"/>
      <c r="D525" s="19"/>
      <c r="E525" s="19"/>
      <c r="F525" s="19"/>
      <c r="G525" s="19"/>
      <c r="H525" s="19"/>
      <c r="I525" s="19"/>
      <c r="J525" s="20"/>
      <c r="K525" s="19"/>
      <c r="L525" s="19"/>
      <c r="M525" s="19"/>
      <c r="N525" s="20"/>
      <c r="O525" s="20"/>
      <c r="P525" s="20"/>
      <c r="Q525" s="20"/>
      <c r="R525" s="20"/>
      <c r="S525" s="20"/>
      <c r="T525" s="708"/>
      <c r="U525" s="708"/>
    </row>
    <row r="526" ht="13.8" spans="1:21">
      <c r="A526" s="19"/>
      <c r="B526" s="20"/>
      <c r="C526" s="20"/>
      <c r="D526" s="19"/>
      <c r="E526" s="19"/>
      <c r="F526" s="19"/>
      <c r="G526" s="19"/>
      <c r="H526" s="19"/>
      <c r="I526" s="19"/>
      <c r="J526" s="20"/>
      <c r="K526" s="19"/>
      <c r="L526" s="19"/>
      <c r="M526" s="19"/>
      <c r="N526" s="20"/>
      <c r="O526" s="20"/>
      <c r="P526" s="20"/>
      <c r="Q526" s="20"/>
      <c r="R526" s="20"/>
      <c r="S526" s="20"/>
      <c r="T526" s="708"/>
      <c r="U526" s="708"/>
    </row>
    <row r="527" ht="13.8" spans="1:21">
      <c r="A527" s="19"/>
      <c r="B527" s="20"/>
      <c r="C527" s="20"/>
      <c r="D527" s="19"/>
      <c r="E527" s="19"/>
      <c r="F527" s="19"/>
      <c r="G527" s="19"/>
      <c r="H527" s="19"/>
      <c r="I527" s="19"/>
      <c r="J527" s="20"/>
      <c r="K527" s="19"/>
      <c r="L527" s="19"/>
      <c r="M527" s="19"/>
      <c r="N527" s="20"/>
      <c r="O527" s="20"/>
      <c r="P527" s="20"/>
      <c r="Q527" s="20"/>
      <c r="R527" s="20"/>
      <c r="S527" s="20"/>
      <c r="T527" s="708"/>
      <c r="U527" s="708"/>
    </row>
    <row r="528" ht="13.8" spans="1:21">
      <c r="A528" s="19"/>
      <c r="B528" s="20"/>
      <c r="C528" s="20"/>
      <c r="D528" s="19"/>
      <c r="E528" s="19"/>
      <c r="F528" s="19"/>
      <c r="G528" s="19"/>
      <c r="H528" s="19"/>
      <c r="I528" s="19"/>
      <c r="J528" s="20"/>
      <c r="K528" s="19"/>
      <c r="L528" s="19"/>
      <c r="M528" s="19"/>
      <c r="N528" s="20"/>
      <c r="O528" s="20"/>
      <c r="P528" s="20"/>
      <c r="Q528" s="20"/>
      <c r="R528" s="20"/>
      <c r="S528" s="20"/>
      <c r="T528" s="708"/>
      <c r="U528" s="708"/>
    </row>
    <row r="529" ht="13.8" spans="1:21">
      <c r="A529" s="19"/>
      <c r="B529" s="20"/>
      <c r="C529" s="20"/>
      <c r="D529" s="19"/>
      <c r="E529" s="19"/>
      <c r="F529" s="19"/>
      <c r="G529" s="19"/>
      <c r="H529" s="19"/>
      <c r="I529" s="19"/>
      <c r="J529" s="20"/>
      <c r="K529" s="19"/>
      <c r="L529" s="19"/>
      <c r="M529" s="19"/>
      <c r="N529" s="20"/>
      <c r="O529" s="20"/>
      <c r="P529" s="20"/>
      <c r="Q529" s="20"/>
      <c r="R529" s="20"/>
      <c r="S529" s="20"/>
      <c r="T529" s="708"/>
      <c r="U529" s="708"/>
    </row>
    <row r="530" ht="13.8" spans="1:21">
      <c r="A530" s="19"/>
      <c r="B530" s="20"/>
      <c r="C530" s="20"/>
      <c r="D530" s="19"/>
      <c r="E530" s="19"/>
      <c r="F530" s="19"/>
      <c r="G530" s="19"/>
      <c r="H530" s="19"/>
      <c r="I530" s="19"/>
      <c r="J530" s="20"/>
      <c r="K530" s="19"/>
      <c r="L530" s="19"/>
      <c r="M530" s="19"/>
      <c r="N530" s="20"/>
      <c r="O530" s="20"/>
      <c r="P530" s="20"/>
      <c r="Q530" s="20"/>
      <c r="R530" s="20"/>
      <c r="S530" s="20"/>
      <c r="T530" s="708"/>
      <c r="U530" s="708"/>
    </row>
    <row r="531" ht="13.8" spans="1:21">
      <c r="A531" s="19"/>
      <c r="B531" s="20"/>
      <c r="C531" s="20"/>
      <c r="D531" s="19"/>
      <c r="E531" s="19"/>
      <c r="F531" s="19"/>
      <c r="G531" s="19"/>
      <c r="H531" s="19"/>
      <c r="I531" s="19"/>
      <c r="J531" s="20"/>
      <c r="K531" s="19"/>
      <c r="L531" s="19"/>
      <c r="M531" s="19"/>
      <c r="N531" s="20"/>
      <c r="O531" s="20"/>
      <c r="P531" s="20"/>
      <c r="Q531" s="20"/>
      <c r="R531" s="20"/>
      <c r="S531" s="20"/>
      <c r="T531" s="708"/>
      <c r="U531" s="708"/>
    </row>
    <row r="532" ht="13.8" spans="1:21">
      <c r="A532" s="19"/>
      <c r="B532" s="20"/>
      <c r="C532" s="20"/>
      <c r="D532" s="19"/>
      <c r="E532" s="19"/>
      <c r="F532" s="19"/>
      <c r="G532" s="19"/>
      <c r="H532" s="19"/>
      <c r="I532" s="19"/>
      <c r="J532" s="20"/>
      <c r="K532" s="19"/>
      <c r="L532" s="19"/>
      <c r="M532" s="19"/>
      <c r="N532" s="20"/>
      <c r="O532" s="20"/>
      <c r="P532" s="20"/>
      <c r="Q532" s="20"/>
      <c r="R532" s="20"/>
      <c r="S532" s="20"/>
      <c r="T532" s="708"/>
      <c r="U532" s="708"/>
    </row>
    <row r="533" ht="13.8" spans="1:21">
      <c r="A533" s="19"/>
      <c r="B533" s="20"/>
      <c r="C533" s="20"/>
      <c r="D533" s="19"/>
      <c r="E533" s="19"/>
      <c r="F533" s="19"/>
      <c r="G533" s="19"/>
      <c r="H533" s="19"/>
      <c r="I533" s="19"/>
      <c r="J533" s="20"/>
      <c r="K533" s="19"/>
      <c r="L533" s="19"/>
      <c r="M533" s="19"/>
      <c r="N533" s="20"/>
      <c r="O533" s="20"/>
      <c r="P533" s="20"/>
      <c r="Q533" s="20"/>
      <c r="R533" s="20"/>
      <c r="S533" s="20"/>
      <c r="T533" s="708"/>
      <c r="U533" s="708"/>
    </row>
    <row r="534" ht="13.8" spans="1:21">
      <c r="A534" s="19"/>
      <c r="B534" s="20"/>
      <c r="C534" s="20"/>
      <c r="D534" s="19"/>
      <c r="E534" s="19"/>
      <c r="F534" s="19"/>
      <c r="G534" s="19"/>
      <c r="H534" s="19"/>
      <c r="I534" s="19"/>
      <c r="J534" s="20"/>
      <c r="K534" s="19"/>
      <c r="L534" s="19"/>
      <c r="M534" s="19"/>
      <c r="N534" s="20"/>
      <c r="O534" s="20"/>
      <c r="P534" s="20"/>
      <c r="Q534" s="20"/>
      <c r="R534" s="20"/>
      <c r="S534" s="20"/>
      <c r="T534" s="708"/>
      <c r="U534" s="708"/>
    </row>
    <row r="535" ht="13.8" spans="1:21">
      <c r="A535" s="19"/>
      <c r="B535" s="20"/>
      <c r="C535" s="20"/>
      <c r="D535" s="19"/>
      <c r="E535" s="19"/>
      <c r="F535" s="19"/>
      <c r="G535" s="19"/>
      <c r="H535" s="19"/>
      <c r="I535" s="19"/>
      <c r="J535" s="20"/>
      <c r="K535" s="19"/>
      <c r="L535" s="19"/>
      <c r="M535" s="19"/>
      <c r="N535" s="20"/>
      <c r="O535" s="20"/>
      <c r="P535" s="20"/>
      <c r="Q535" s="20"/>
      <c r="R535" s="20"/>
      <c r="S535" s="20"/>
      <c r="T535" s="708"/>
      <c r="U535" s="708"/>
    </row>
    <row r="536" ht="13.8" spans="1:21">
      <c r="A536" s="19"/>
      <c r="B536" s="20"/>
      <c r="C536" s="20"/>
      <c r="D536" s="19"/>
      <c r="E536" s="19"/>
      <c r="F536" s="19"/>
      <c r="G536" s="19"/>
      <c r="H536" s="19"/>
      <c r="I536" s="19"/>
      <c r="J536" s="20"/>
      <c r="K536" s="19"/>
      <c r="L536" s="19"/>
      <c r="M536" s="19"/>
      <c r="N536" s="20"/>
      <c r="O536" s="20"/>
      <c r="P536" s="20"/>
      <c r="Q536" s="20"/>
      <c r="R536" s="20"/>
      <c r="S536" s="20"/>
      <c r="T536" s="708"/>
      <c r="U536" s="708"/>
    </row>
    <row r="537" ht="13.8" spans="1:21">
      <c r="A537" s="19"/>
      <c r="B537" s="20"/>
      <c r="C537" s="20"/>
      <c r="D537" s="19"/>
      <c r="E537" s="19"/>
      <c r="F537" s="19"/>
      <c r="G537" s="19"/>
      <c r="H537" s="19"/>
      <c r="I537" s="19"/>
      <c r="J537" s="20"/>
      <c r="K537" s="19"/>
      <c r="L537" s="19"/>
      <c r="M537" s="19"/>
      <c r="N537" s="20"/>
      <c r="O537" s="20"/>
      <c r="P537" s="20"/>
      <c r="Q537" s="20"/>
      <c r="R537" s="20"/>
      <c r="S537" s="20"/>
      <c r="T537" s="708"/>
      <c r="U537" s="708"/>
    </row>
    <row r="538" ht="13.8" spans="1:21">
      <c r="A538" s="19"/>
      <c r="B538" s="20"/>
      <c r="C538" s="20"/>
      <c r="D538" s="19"/>
      <c r="E538" s="19"/>
      <c r="F538" s="19"/>
      <c r="G538" s="19"/>
      <c r="H538" s="19"/>
      <c r="I538" s="19"/>
      <c r="J538" s="20"/>
      <c r="K538" s="19"/>
      <c r="L538" s="19"/>
      <c r="M538" s="19"/>
      <c r="N538" s="20"/>
      <c r="O538" s="20"/>
      <c r="P538" s="20"/>
      <c r="Q538" s="20"/>
      <c r="R538" s="20"/>
      <c r="S538" s="20"/>
      <c r="T538" s="708"/>
      <c r="U538" s="708"/>
    </row>
    <row r="539" ht="13.8" spans="1:21">
      <c r="A539" s="19"/>
      <c r="B539" s="20"/>
      <c r="C539" s="20"/>
      <c r="D539" s="19"/>
      <c r="E539" s="19"/>
      <c r="F539" s="19"/>
      <c r="G539" s="19"/>
      <c r="H539" s="19"/>
      <c r="I539" s="19"/>
      <c r="J539" s="20"/>
      <c r="K539" s="19"/>
      <c r="L539" s="19"/>
      <c r="M539" s="19"/>
      <c r="N539" s="20"/>
      <c r="O539" s="20"/>
      <c r="P539" s="20"/>
      <c r="Q539" s="20"/>
      <c r="R539" s="20"/>
      <c r="S539" s="20"/>
      <c r="T539" s="708"/>
      <c r="U539" s="708"/>
    </row>
    <row r="540" ht="13.8" spans="1:21">
      <c r="A540" s="19"/>
      <c r="B540" s="20"/>
      <c r="C540" s="20"/>
      <c r="D540" s="19"/>
      <c r="E540" s="19"/>
      <c r="F540" s="19"/>
      <c r="G540" s="19"/>
      <c r="H540" s="19"/>
      <c r="I540" s="19"/>
      <c r="J540" s="20"/>
      <c r="K540" s="19"/>
      <c r="L540" s="19"/>
      <c r="M540" s="19"/>
      <c r="N540" s="20"/>
      <c r="O540" s="20"/>
      <c r="P540" s="20"/>
      <c r="Q540" s="20"/>
      <c r="R540" s="20"/>
      <c r="S540" s="20"/>
      <c r="T540" s="708"/>
      <c r="U540" s="708"/>
    </row>
    <row r="541" ht="13.8" spans="1:21">
      <c r="A541" s="19"/>
      <c r="B541" s="20"/>
      <c r="C541" s="20"/>
      <c r="D541" s="19"/>
      <c r="E541" s="19"/>
      <c r="F541" s="19"/>
      <c r="G541" s="19"/>
      <c r="H541" s="19"/>
      <c r="I541" s="19"/>
      <c r="J541" s="20"/>
      <c r="K541" s="19"/>
      <c r="L541" s="19"/>
      <c r="M541" s="19"/>
      <c r="N541" s="20"/>
      <c r="O541" s="20"/>
      <c r="P541" s="20"/>
      <c r="Q541" s="20"/>
      <c r="R541" s="20"/>
      <c r="S541" s="20"/>
      <c r="T541" s="708"/>
      <c r="U541" s="708"/>
    </row>
    <row r="542" ht="13.8" spans="1:21">
      <c r="A542" s="19"/>
      <c r="B542" s="20"/>
      <c r="C542" s="20"/>
      <c r="D542" s="19"/>
      <c r="E542" s="19"/>
      <c r="F542" s="19"/>
      <c r="G542" s="19"/>
      <c r="H542" s="19"/>
      <c r="I542" s="19"/>
      <c r="J542" s="20"/>
      <c r="K542" s="19"/>
      <c r="L542" s="19"/>
      <c r="M542" s="19"/>
      <c r="N542" s="20"/>
      <c r="O542" s="20"/>
      <c r="P542" s="20"/>
      <c r="Q542" s="20"/>
      <c r="R542" s="20"/>
      <c r="S542" s="20"/>
      <c r="T542" s="708"/>
      <c r="U542" s="708"/>
    </row>
    <row r="543" ht="13.8" spans="1:21">
      <c r="A543" s="19"/>
      <c r="B543" s="20"/>
      <c r="C543" s="20"/>
      <c r="D543" s="19"/>
      <c r="E543" s="19"/>
      <c r="F543" s="19"/>
      <c r="G543" s="19"/>
      <c r="H543" s="19"/>
      <c r="I543" s="19"/>
      <c r="J543" s="20"/>
      <c r="K543" s="19"/>
      <c r="L543" s="19"/>
      <c r="M543" s="19"/>
      <c r="N543" s="20"/>
      <c r="O543" s="20"/>
      <c r="P543" s="20"/>
      <c r="Q543" s="20"/>
      <c r="R543" s="20"/>
      <c r="S543" s="20"/>
      <c r="T543" s="708"/>
      <c r="U543" s="708"/>
    </row>
    <row r="544" ht="13.8" spans="1:21">
      <c r="A544" s="19"/>
      <c r="B544" s="20"/>
      <c r="C544" s="20"/>
      <c r="D544" s="19"/>
      <c r="E544" s="19"/>
      <c r="F544" s="19"/>
      <c r="G544" s="19"/>
      <c r="H544" s="19"/>
      <c r="I544" s="19"/>
      <c r="J544" s="20"/>
      <c r="K544" s="19"/>
      <c r="L544" s="19"/>
      <c r="M544" s="19"/>
      <c r="N544" s="20"/>
      <c r="O544" s="20"/>
      <c r="P544" s="20"/>
      <c r="Q544" s="20"/>
      <c r="R544" s="20"/>
      <c r="S544" s="20"/>
      <c r="T544" s="708"/>
      <c r="U544" s="708"/>
    </row>
    <row r="545" ht="13.8" spans="1:21">
      <c r="A545" s="19"/>
      <c r="B545" s="20"/>
      <c r="C545" s="20"/>
      <c r="D545" s="19"/>
      <c r="E545" s="19"/>
      <c r="F545" s="19"/>
      <c r="G545" s="19"/>
      <c r="H545" s="19"/>
      <c r="I545" s="19"/>
      <c r="J545" s="20"/>
      <c r="K545" s="19"/>
      <c r="L545" s="19"/>
      <c r="M545" s="19"/>
      <c r="N545" s="20"/>
      <c r="O545" s="20"/>
      <c r="P545" s="20"/>
      <c r="Q545" s="20"/>
      <c r="R545" s="20"/>
      <c r="S545" s="20"/>
      <c r="T545" s="708"/>
      <c r="U545" s="708"/>
    </row>
    <row r="546" ht="13.8" spans="1:21">
      <c r="A546" s="19"/>
      <c r="B546" s="20"/>
      <c r="C546" s="20"/>
      <c r="D546" s="19"/>
      <c r="E546" s="19"/>
      <c r="F546" s="19"/>
      <c r="G546" s="19"/>
      <c r="H546" s="19"/>
      <c r="I546" s="19"/>
      <c r="J546" s="20"/>
      <c r="K546" s="19"/>
      <c r="L546" s="19"/>
      <c r="M546" s="19"/>
      <c r="N546" s="20"/>
      <c r="O546" s="20"/>
      <c r="P546" s="20"/>
      <c r="Q546" s="20"/>
      <c r="R546" s="20"/>
      <c r="S546" s="20"/>
      <c r="T546" s="708"/>
      <c r="U546" s="708"/>
    </row>
    <row r="547" ht="13.8" spans="1:21">
      <c r="A547" s="19"/>
      <c r="B547" s="20"/>
      <c r="C547" s="20"/>
      <c r="D547" s="19"/>
      <c r="E547" s="19"/>
      <c r="F547" s="19"/>
      <c r="G547" s="19"/>
      <c r="H547" s="19"/>
      <c r="I547" s="19"/>
      <c r="J547" s="20"/>
      <c r="K547" s="19"/>
      <c r="L547" s="19"/>
      <c r="M547" s="19"/>
      <c r="N547" s="20"/>
      <c r="O547" s="20"/>
      <c r="P547" s="20"/>
      <c r="Q547" s="20"/>
      <c r="R547" s="20"/>
      <c r="S547" s="20"/>
      <c r="T547" s="708"/>
      <c r="U547" s="708"/>
    </row>
    <row r="548" ht="13.8" spans="1:21">
      <c r="A548" s="19"/>
      <c r="B548" s="20"/>
      <c r="C548" s="20"/>
      <c r="D548" s="19"/>
      <c r="E548" s="19"/>
      <c r="F548" s="19"/>
      <c r="G548" s="19"/>
      <c r="H548" s="19"/>
      <c r="I548" s="19"/>
      <c r="J548" s="20"/>
      <c r="K548" s="19"/>
      <c r="L548" s="19"/>
      <c r="M548" s="19"/>
      <c r="N548" s="20"/>
      <c r="O548" s="20"/>
      <c r="P548" s="20"/>
      <c r="Q548" s="20"/>
      <c r="R548" s="20"/>
      <c r="S548" s="20"/>
      <c r="T548" s="708"/>
      <c r="U548" s="708"/>
    </row>
    <row r="549" ht="13.8" spans="1:21">
      <c r="A549" s="19"/>
      <c r="B549" s="20"/>
      <c r="C549" s="20"/>
      <c r="D549" s="19"/>
      <c r="E549" s="19"/>
      <c r="F549" s="19"/>
      <c r="G549" s="19"/>
      <c r="H549" s="19"/>
      <c r="I549" s="19"/>
      <c r="J549" s="20"/>
      <c r="K549" s="19"/>
      <c r="L549" s="19"/>
      <c r="M549" s="19"/>
      <c r="N549" s="20"/>
      <c r="O549" s="20"/>
      <c r="P549" s="20"/>
      <c r="Q549" s="20"/>
      <c r="R549" s="20"/>
      <c r="S549" s="20"/>
      <c r="T549" s="708"/>
      <c r="U549" s="708"/>
    </row>
    <row r="550" ht="13.8" spans="1:21">
      <c r="A550" s="19"/>
      <c r="B550" s="20"/>
      <c r="C550" s="20"/>
      <c r="D550" s="19"/>
      <c r="E550" s="19"/>
      <c r="F550" s="19"/>
      <c r="G550" s="19"/>
      <c r="H550" s="19"/>
      <c r="I550" s="19"/>
      <c r="J550" s="20"/>
      <c r="K550" s="19"/>
      <c r="L550" s="19"/>
      <c r="M550" s="19"/>
      <c r="N550" s="20"/>
      <c r="O550" s="20"/>
      <c r="P550" s="20"/>
      <c r="Q550" s="20"/>
      <c r="R550" s="20"/>
      <c r="S550" s="20"/>
      <c r="T550" s="708"/>
      <c r="U550" s="708"/>
    </row>
    <row r="551" ht="13.8" spans="1:21">
      <c r="A551" s="19"/>
      <c r="B551" s="20"/>
      <c r="C551" s="20"/>
      <c r="D551" s="19"/>
      <c r="E551" s="19"/>
      <c r="F551" s="19"/>
      <c r="G551" s="19"/>
      <c r="H551" s="19"/>
      <c r="I551" s="19"/>
      <c r="J551" s="20"/>
      <c r="K551" s="19"/>
      <c r="L551" s="19"/>
      <c r="M551" s="19"/>
      <c r="N551" s="20"/>
      <c r="O551" s="20"/>
      <c r="P551" s="20"/>
      <c r="Q551" s="20"/>
      <c r="R551" s="20"/>
      <c r="S551" s="20"/>
      <c r="T551" s="708"/>
      <c r="U551" s="708"/>
    </row>
    <row r="552" ht="13.8" spans="1:21">
      <c r="A552" s="19"/>
      <c r="B552" s="20"/>
      <c r="C552" s="20"/>
      <c r="D552" s="19"/>
      <c r="E552" s="19"/>
      <c r="F552" s="19"/>
      <c r="G552" s="19"/>
      <c r="H552" s="19"/>
      <c r="I552" s="19"/>
      <c r="J552" s="20"/>
      <c r="K552" s="19"/>
      <c r="L552" s="19"/>
      <c r="M552" s="19"/>
      <c r="N552" s="20"/>
      <c r="O552" s="20"/>
      <c r="P552" s="20"/>
      <c r="Q552" s="20"/>
      <c r="R552" s="20"/>
      <c r="S552" s="20"/>
      <c r="T552" s="708"/>
      <c r="U552" s="708"/>
    </row>
    <row r="553" ht="13.8" spans="1:21">
      <c r="A553" s="19"/>
      <c r="B553" s="20"/>
      <c r="C553" s="20"/>
      <c r="D553" s="19"/>
      <c r="E553" s="19"/>
      <c r="F553" s="19"/>
      <c r="G553" s="19"/>
      <c r="H553" s="19"/>
      <c r="I553" s="19"/>
      <c r="J553" s="20"/>
      <c r="K553" s="19"/>
      <c r="L553" s="19"/>
      <c r="M553" s="19"/>
      <c r="N553" s="20"/>
      <c r="O553" s="20"/>
      <c r="P553" s="20"/>
      <c r="Q553" s="20"/>
      <c r="R553" s="20"/>
      <c r="S553" s="20"/>
      <c r="T553" s="708"/>
      <c r="U553" s="708"/>
    </row>
    <row r="554" ht="13.8" spans="1:21">
      <c r="A554" s="19"/>
      <c r="B554" s="20"/>
      <c r="C554" s="20"/>
      <c r="D554" s="19"/>
      <c r="E554" s="19"/>
      <c r="F554" s="19"/>
      <c r="G554" s="19"/>
      <c r="H554" s="19"/>
      <c r="I554" s="19"/>
      <c r="J554" s="20"/>
      <c r="K554" s="19"/>
      <c r="L554" s="19"/>
      <c r="M554" s="19"/>
      <c r="N554" s="20"/>
      <c r="O554" s="20"/>
      <c r="P554" s="20"/>
      <c r="Q554" s="20"/>
      <c r="R554" s="20"/>
      <c r="S554" s="20"/>
      <c r="T554" s="708"/>
      <c r="U554" s="708"/>
    </row>
    <row r="555" ht="13.8" spans="1:21">
      <c r="A555" s="19"/>
      <c r="B555" s="20"/>
      <c r="C555" s="20"/>
      <c r="D555" s="19"/>
      <c r="E555" s="19"/>
      <c r="F555" s="19"/>
      <c r="G555" s="19"/>
      <c r="H555" s="19"/>
      <c r="I555" s="19"/>
      <c r="J555" s="20"/>
      <c r="K555" s="19"/>
      <c r="L555" s="19"/>
      <c r="M555" s="19"/>
      <c r="N555" s="20"/>
      <c r="O555" s="20"/>
      <c r="P555" s="20"/>
      <c r="Q555" s="20"/>
      <c r="R555" s="20"/>
      <c r="S555" s="20"/>
      <c r="T555" s="708"/>
      <c r="U555" s="708"/>
    </row>
    <row r="556" ht="13.8" spans="1:21">
      <c r="A556" s="19"/>
      <c r="B556" s="20"/>
      <c r="C556" s="20"/>
      <c r="D556" s="19"/>
      <c r="E556" s="19"/>
      <c r="F556" s="19"/>
      <c r="G556" s="19"/>
      <c r="H556" s="19"/>
      <c r="I556" s="19"/>
      <c r="J556" s="20"/>
      <c r="K556" s="19"/>
      <c r="L556" s="19"/>
      <c r="M556" s="19"/>
      <c r="N556" s="20"/>
      <c r="O556" s="20"/>
      <c r="P556" s="20"/>
      <c r="Q556" s="20"/>
      <c r="R556" s="20"/>
      <c r="S556" s="20"/>
      <c r="T556" s="708"/>
      <c r="U556" s="708"/>
    </row>
    <row r="557" ht="13.8" spans="1:21">
      <c r="A557" s="19"/>
      <c r="B557" s="20"/>
      <c r="C557" s="20"/>
      <c r="D557" s="19"/>
      <c r="E557" s="19"/>
      <c r="F557" s="19"/>
      <c r="G557" s="19"/>
      <c r="H557" s="19"/>
      <c r="I557" s="19"/>
      <c r="J557" s="20"/>
      <c r="K557" s="19"/>
      <c r="L557" s="19"/>
      <c r="M557" s="19"/>
      <c r="N557" s="20"/>
      <c r="O557" s="20"/>
      <c r="P557" s="20"/>
      <c r="Q557" s="20"/>
      <c r="R557" s="20"/>
      <c r="S557" s="20"/>
      <c r="T557" s="708"/>
      <c r="U557" s="708"/>
    </row>
    <row r="558" ht="13.8" spans="1:21">
      <c r="A558" s="19"/>
      <c r="B558" s="20"/>
      <c r="C558" s="20"/>
      <c r="D558" s="19"/>
      <c r="E558" s="19"/>
      <c r="F558" s="19"/>
      <c r="G558" s="19"/>
      <c r="H558" s="19"/>
      <c r="I558" s="19"/>
      <c r="J558" s="20"/>
      <c r="K558" s="19"/>
      <c r="L558" s="19"/>
      <c r="M558" s="19"/>
      <c r="N558" s="20"/>
      <c r="O558" s="20"/>
      <c r="P558" s="20"/>
      <c r="Q558" s="20"/>
      <c r="R558" s="20"/>
      <c r="S558" s="20"/>
      <c r="T558" s="708"/>
      <c r="U558" s="708"/>
    </row>
    <row r="559" ht="13.8" spans="1:21">
      <c r="A559" s="19"/>
      <c r="B559" s="20"/>
      <c r="C559" s="20"/>
      <c r="D559" s="19"/>
      <c r="E559" s="19"/>
      <c r="F559" s="19"/>
      <c r="G559" s="19"/>
      <c r="H559" s="19"/>
      <c r="I559" s="19"/>
      <c r="J559" s="20"/>
      <c r="K559" s="19"/>
      <c r="L559" s="19"/>
      <c r="M559" s="19"/>
      <c r="N559" s="20"/>
      <c r="O559" s="20"/>
      <c r="P559" s="20"/>
      <c r="Q559" s="20"/>
      <c r="R559" s="20"/>
      <c r="S559" s="20"/>
      <c r="T559" s="708"/>
      <c r="U559" s="708"/>
    </row>
    <row r="560" ht="13.8" spans="1:21">
      <c r="A560" s="19"/>
      <c r="B560" s="20"/>
      <c r="C560" s="20"/>
      <c r="D560" s="19"/>
      <c r="E560" s="19"/>
      <c r="F560" s="19"/>
      <c r="G560" s="19"/>
      <c r="H560" s="19"/>
      <c r="I560" s="19"/>
      <c r="J560" s="20"/>
      <c r="K560" s="19"/>
      <c r="L560" s="19"/>
      <c r="M560" s="19"/>
      <c r="N560" s="20"/>
      <c r="O560" s="20"/>
      <c r="P560" s="20"/>
      <c r="Q560" s="20"/>
      <c r="R560" s="20"/>
      <c r="S560" s="20"/>
      <c r="T560" s="708"/>
      <c r="U560" s="708"/>
    </row>
    <row r="561" ht="13.8" spans="1:21">
      <c r="A561" s="19"/>
      <c r="B561" s="20"/>
      <c r="C561" s="20"/>
      <c r="D561" s="19"/>
      <c r="E561" s="19"/>
      <c r="F561" s="19"/>
      <c r="G561" s="19"/>
      <c r="H561" s="19"/>
      <c r="I561" s="19"/>
      <c r="J561" s="20"/>
      <c r="K561" s="19"/>
      <c r="L561" s="19"/>
      <c r="M561" s="19"/>
      <c r="N561" s="20"/>
      <c r="O561" s="20"/>
      <c r="P561" s="20"/>
      <c r="Q561" s="20"/>
      <c r="R561" s="20"/>
      <c r="S561" s="20"/>
      <c r="T561" s="708"/>
      <c r="U561" s="708"/>
    </row>
    <row r="562" ht="13.8" spans="1:21">
      <c r="A562" s="19"/>
      <c r="B562" s="20"/>
      <c r="C562" s="20"/>
      <c r="D562" s="19"/>
      <c r="E562" s="19"/>
      <c r="F562" s="19"/>
      <c r="G562" s="19"/>
      <c r="H562" s="19"/>
      <c r="I562" s="19"/>
      <c r="J562" s="20"/>
      <c r="K562" s="19"/>
      <c r="L562" s="19"/>
      <c r="M562" s="19"/>
      <c r="N562" s="20"/>
      <c r="O562" s="20"/>
      <c r="P562" s="20"/>
      <c r="Q562" s="20"/>
      <c r="R562" s="20"/>
      <c r="S562" s="20"/>
      <c r="T562" s="708"/>
      <c r="U562" s="708"/>
    </row>
    <row r="563" ht="13.8" spans="1:21">
      <c r="A563" s="19"/>
      <c r="B563" s="20"/>
      <c r="C563" s="20"/>
      <c r="D563" s="19"/>
      <c r="E563" s="19"/>
      <c r="F563" s="19"/>
      <c r="G563" s="19"/>
      <c r="H563" s="19"/>
      <c r="I563" s="19"/>
      <c r="J563" s="20"/>
      <c r="K563" s="19"/>
      <c r="L563" s="19"/>
      <c r="M563" s="19"/>
      <c r="N563" s="20"/>
      <c r="O563" s="20"/>
      <c r="P563" s="20"/>
      <c r="Q563" s="20"/>
      <c r="R563" s="20"/>
      <c r="S563" s="20"/>
      <c r="T563" s="708"/>
      <c r="U563" s="708"/>
    </row>
    <row r="564" ht="13.8" spans="1:21">
      <c r="A564" s="19"/>
      <c r="B564" s="20"/>
      <c r="C564" s="20"/>
      <c r="D564" s="19"/>
      <c r="E564" s="19"/>
      <c r="F564" s="19"/>
      <c r="G564" s="19"/>
      <c r="H564" s="19"/>
      <c r="I564" s="19"/>
      <c r="J564" s="20"/>
      <c r="K564" s="19"/>
      <c r="L564" s="19"/>
      <c r="M564" s="19"/>
      <c r="N564" s="20"/>
      <c r="O564" s="20"/>
      <c r="P564" s="20"/>
      <c r="Q564" s="20"/>
      <c r="R564" s="20"/>
      <c r="S564" s="20"/>
      <c r="T564" s="708"/>
      <c r="U564" s="708"/>
    </row>
    <row r="565" ht="13.8" spans="1:21">
      <c r="A565" s="19"/>
      <c r="B565" s="20"/>
      <c r="C565" s="20"/>
      <c r="D565" s="19"/>
      <c r="E565" s="19"/>
      <c r="F565" s="19"/>
      <c r="G565" s="19"/>
      <c r="H565" s="19"/>
      <c r="I565" s="19"/>
      <c r="J565" s="20"/>
      <c r="K565" s="19"/>
      <c r="L565" s="19"/>
      <c r="M565" s="19"/>
      <c r="N565" s="20"/>
      <c r="O565" s="20"/>
      <c r="P565" s="20"/>
      <c r="Q565" s="20"/>
      <c r="R565" s="20"/>
      <c r="S565" s="20"/>
      <c r="T565" s="708"/>
      <c r="U565" s="708"/>
    </row>
    <row r="566" ht="13.8" spans="1:21">
      <c r="A566" s="19"/>
      <c r="B566" s="20"/>
      <c r="C566" s="20"/>
      <c r="D566" s="19"/>
      <c r="E566" s="19"/>
      <c r="F566" s="19"/>
      <c r="G566" s="19"/>
      <c r="H566" s="19"/>
      <c r="I566" s="19"/>
      <c r="J566" s="20"/>
      <c r="K566" s="19"/>
      <c r="L566" s="19"/>
      <c r="M566" s="19"/>
      <c r="N566" s="20"/>
      <c r="O566" s="20"/>
      <c r="P566" s="20"/>
      <c r="Q566" s="20"/>
      <c r="R566" s="20"/>
      <c r="S566" s="20"/>
      <c r="T566" s="708"/>
      <c r="U566" s="708"/>
    </row>
    <row r="567" ht="13.8" spans="1:21">
      <c r="A567" s="19"/>
      <c r="B567" s="20"/>
      <c r="C567" s="20"/>
      <c r="D567" s="19"/>
      <c r="E567" s="19"/>
      <c r="F567" s="19"/>
      <c r="G567" s="19"/>
      <c r="H567" s="19"/>
      <c r="I567" s="19"/>
      <c r="J567" s="20"/>
      <c r="K567" s="19"/>
      <c r="L567" s="19"/>
      <c r="M567" s="19"/>
      <c r="N567" s="20"/>
      <c r="O567" s="20"/>
      <c r="P567" s="20"/>
      <c r="Q567" s="20"/>
      <c r="R567" s="20"/>
      <c r="S567" s="20"/>
      <c r="T567" s="708"/>
      <c r="U567" s="708"/>
    </row>
    <row r="568" ht="13.8" spans="1:21">
      <c r="A568" s="19"/>
      <c r="B568" s="20"/>
      <c r="C568" s="20"/>
      <c r="D568" s="19"/>
      <c r="E568" s="19"/>
      <c r="F568" s="19"/>
      <c r="G568" s="19"/>
      <c r="H568" s="19"/>
      <c r="I568" s="19"/>
      <c r="J568" s="20"/>
      <c r="K568" s="19"/>
      <c r="L568" s="19"/>
      <c r="M568" s="19"/>
      <c r="N568" s="20"/>
      <c r="O568" s="20"/>
      <c r="P568" s="20"/>
      <c r="Q568" s="20"/>
      <c r="R568" s="20"/>
      <c r="S568" s="20"/>
      <c r="T568" s="708"/>
      <c r="U568" s="708"/>
    </row>
    <row r="569" ht="13.8" spans="1:21">
      <c r="A569" s="19"/>
      <c r="B569" s="20"/>
      <c r="C569" s="20"/>
      <c r="D569" s="19"/>
      <c r="E569" s="19"/>
      <c r="F569" s="19"/>
      <c r="G569" s="19"/>
      <c r="H569" s="19"/>
      <c r="I569" s="19"/>
      <c r="J569" s="20"/>
      <c r="K569" s="19"/>
      <c r="L569" s="19"/>
      <c r="M569" s="19"/>
      <c r="N569" s="20"/>
      <c r="O569" s="20"/>
      <c r="P569" s="20"/>
      <c r="Q569" s="20"/>
      <c r="R569" s="20"/>
      <c r="S569" s="20"/>
      <c r="T569" s="708"/>
      <c r="U569" s="708"/>
    </row>
    <row r="570" ht="13.8" spans="1:21">
      <c r="A570" s="19"/>
      <c r="B570" s="20"/>
      <c r="C570" s="20"/>
      <c r="D570" s="19"/>
      <c r="E570" s="19"/>
      <c r="F570" s="19"/>
      <c r="G570" s="19"/>
      <c r="H570" s="19"/>
      <c r="I570" s="19"/>
      <c r="J570" s="20"/>
      <c r="K570" s="19"/>
      <c r="L570" s="19"/>
      <c r="M570" s="19"/>
      <c r="N570" s="20"/>
      <c r="O570" s="20"/>
      <c r="P570" s="20"/>
      <c r="Q570" s="20"/>
      <c r="R570" s="20"/>
      <c r="S570" s="20"/>
      <c r="T570" s="708"/>
      <c r="U570" s="708"/>
    </row>
    <row r="571" ht="13.8" spans="1:21">
      <c r="A571" s="19"/>
      <c r="B571" s="20"/>
      <c r="C571" s="20"/>
      <c r="D571" s="19"/>
      <c r="E571" s="19"/>
      <c r="F571" s="19"/>
      <c r="G571" s="19"/>
      <c r="H571" s="19"/>
      <c r="I571" s="19"/>
      <c r="J571" s="20"/>
      <c r="K571" s="19"/>
      <c r="L571" s="19"/>
      <c r="M571" s="19"/>
      <c r="N571" s="20"/>
      <c r="O571" s="20"/>
      <c r="P571" s="20"/>
      <c r="Q571" s="20"/>
      <c r="R571" s="20"/>
      <c r="S571" s="20"/>
      <c r="T571" s="708"/>
      <c r="U571" s="708"/>
    </row>
    <row r="572" ht="13.8" spans="1:21">
      <c r="A572" s="19"/>
      <c r="B572" s="20"/>
      <c r="C572" s="20"/>
      <c r="D572" s="19"/>
      <c r="E572" s="19"/>
      <c r="F572" s="19"/>
      <c r="G572" s="19"/>
      <c r="H572" s="19"/>
      <c r="I572" s="19"/>
      <c r="J572" s="20"/>
      <c r="K572" s="19"/>
      <c r="L572" s="19"/>
      <c r="M572" s="19"/>
      <c r="N572" s="20"/>
      <c r="O572" s="20"/>
      <c r="P572" s="20"/>
      <c r="Q572" s="20"/>
      <c r="R572" s="20"/>
      <c r="S572" s="20"/>
      <c r="T572" s="708"/>
      <c r="U572" s="708"/>
    </row>
    <row r="573" ht="13.8" spans="1:21">
      <c r="A573" s="19"/>
      <c r="B573" s="20"/>
      <c r="C573" s="20"/>
      <c r="D573" s="19"/>
      <c r="E573" s="19"/>
      <c r="F573" s="19"/>
      <c r="G573" s="19"/>
      <c r="H573" s="19"/>
      <c r="I573" s="19"/>
      <c r="J573" s="20"/>
      <c r="K573" s="19"/>
      <c r="L573" s="19"/>
      <c r="M573" s="19"/>
      <c r="N573" s="20"/>
      <c r="O573" s="20"/>
      <c r="P573" s="20"/>
      <c r="Q573" s="20"/>
      <c r="R573" s="20"/>
      <c r="S573" s="20"/>
      <c r="T573" s="708"/>
      <c r="U573" s="708"/>
    </row>
    <row r="574" ht="13.8" spans="1:21">
      <c r="A574" s="19"/>
      <c r="B574" s="20"/>
      <c r="C574" s="20"/>
      <c r="D574" s="19"/>
      <c r="E574" s="19"/>
      <c r="F574" s="19"/>
      <c r="G574" s="19"/>
      <c r="H574" s="19"/>
      <c r="I574" s="19"/>
      <c r="J574" s="20"/>
      <c r="K574" s="19"/>
      <c r="L574" s="19"/>
      <c r="M574" s="19"/>
      <c r="N574" s="20"/>
      <c r="O574" s="20"/>
      <c r="P574" s="20"/>
      <c r="Q574" s="20"/>
      <c r="R574" s="20"/>
      <c r="S574" s="20"/>
      <c r="T574" s="708"/>
      <c r="U574" s="708"/>
    </row>
    <row r="575" ht="13.8" spans="1:21">
      <c r="A575" s="19"/>
      <c r="B575" s="20"/>
      <c r="C575" s="20"/>
      <c r="D575" s="19"/>
      <c r="E575" s="19"/>
      <c r="F575" s="19"/>
      <c r="G575" s="19"/>
      <c r="H575" s="19"/>
      <c r="I575" s="19"/>
      <c r="J575" s="20"/>
      <c r="K575" s="19"/>
      <c r="L575" s="19"/>
      <c r="M575" s="19"/>
      <c r="N575" s="20"/>
      <c r="O575" s="20"/>
      <c r="P575" s="20"/>
      <c r="Q575" s="20"/>
      <c r="R575" s="20"/>
      <c r="S575" s="20"/>
      <c r="T575" s="708"/>
      <c r="U575" s="708"/>
    </row>
    <row r="576" ht="13.8" spans="1:21">
      <c r="A576" s="19"/>
      <c r="B576" s="20"/>
      <c r="C576" s="20"/>
      <c r="D576" s="19"/>
      <c r="E576" s="19"/>
      <c r="F576" s="19"/>
      <c r="G576" s="19"/>
      <c r="H576" s="19"/>
      <c r="I576" s="19"/>
      <c r="J576" s="20"/>
      <c r="K576" s="19"/>
      <c r="L576" s="19"/>
      <c r="M576" s="19"/>
      <c r="N576" s="20"/>
      <c r="O576" s="20"/>
      <c r="P576" s="20"/>
      <c r="Q576" s="20"/>
      <c r="R576" s="20"/>
      <c r="S576" s="20"/>
      <c r="T576" s="708"/>
      <c r="U576" s="708"/>
    </row>
    <row r="577" ht="13.8" spans="1:21">
      <c r="A577" s="19"/>
      <c r="B577" s="20"/>
      <c r="C577" s="20"/>
      <c r="D577" s="19"/>
      <c r="E577" s="19"/>
      <c r="F577" s="19"/>
      <c r="G577" s="19"/>
      <c r="H577" s="19"/>
      <c r="I577" s="19"/>
      <c r="J577" s="20"/>
      <c r="K577" s="19"/>
      <c r="L577" s="19"/>
      <c r="M577" s="19"/>
      <c r="N577" s="20"/>
      <c r="O577" s="20"/>
      <c r="P577" s="20"/>
      <c r="Q577" s="20"/>
      <c r="R577" s="20"/>
      <c r="S577" s="20"/>
      <c r="T577" s="708"/>
      <c r="U577" s="708"/>
    </row>
    <row r="578" ht="13.8" spans="1:21">
      <c r="A578" s="19"/>
      <c r="B578" s="20"/>
      <c r="C578" s="20"/>
      <c r="D578" s="19"/>
      <c r="E578" s="19"/>
      <c r="F578" s="19"/>
      <c r="G578" s="19"/>
      <c r="H578" s="19"/>
      <c r="I578" s="19"/>
      <c r="J578" s="20"/>
      <c r="K578" s="19"/>
      <c r="L578" s="19"/>
      <c r="M578" s="19"/>
      <c r="N578" s="20"/>
      <c r="O578" s="20"/>
      <c r="P578" s="20"/>
      <c r="Q578" s="20"/>
      <c r="R578" s="20"/>
      <c r="S578" s="20"/>
      <c r="T578" s="708"/>
      <c r="U578" s="708"/>
    </row>
    <row r="579" ht="13.8" spans="1:21">
      <c r="A579" s="19"/>
      <c r="B579" s="20"/>
      <c r="C579" s="20"/>
      <c r="D579" s="19"/>
      <c r="E579" s="19"/>
      <c r="F579" s="19"/>
      <c r="G579" s="19"/>
      <c r="H579" s="19"/>
      <c r="I579" s="19"/>
      <c r="J579" s="20"/>
      <c r="K579" s="19"/>
      <c r="L579" s="19"/>
      <c r="M579" s="19"/>
      <c r="N579" s="20"/>
      <c r="O579" s="20"/>
      <c r="P579" s="20"/>
      <c r="Q579" s="20"/>
      <c r="R579" s="20"/>
      <c r="S579" s="20"/>
      <c r="T579" s="708"/>
      <c r="U579" s="708"/>
    </row>
    <row r="580" ht="13.8" spans="1:21">
      <c r="A580" s="19"/>
      <c r="B580" s="20"/>
      <c r="C580" s="20"/>
      <c r="D580" s="19"/>
      <c r="E580" s="19"/>
      <c r="F580" s="19"/>
      <c r="G580" s="19"/>
      <c r="H580" s="19"/>
      <c r="I580" s="19"/>
      <c r="J580" s="20"/>
      <c r="K580" s="19"/>
      <c r="L580" s="19"/>
      <c r="M580" s="19"/>
      <c r="N580" s="20"/>
      <c r="O580" s="20"/>
      <c r="P580" s="20"/>
      <c r="Q580" s="20"/>
      <c r="R580" s="20"/>
      <c r="S580" s="20"/>
      <c r="T580" s="708"/>
      <c r="U580" s="708"/>
    </row>
    <row r="581" ht="13.8" spans="1:21">
      <c r="A581" s="19"/>
      <c r="B581" s="20"/>
      <c r="C581" s="20"/>
      <c r="D581" s="19"/>
      <c r="E581" s="19"/>
      <c r="F581" s="19"/>
      <c r="G581" s="19"/>
      <c r="H581" s="19"/>
      <c r="I581" s="19"/>
      <c r="J581" s="20"/>
      <c r="K581" s="19"/>
      <c r="L581" s="19"/>
      <c r="M581" s="19"/>
      <c r="N581" s="20"/>
      <c r="O581" s="20"/>
      <c r="P581" s="20"/>
      <c r="Q581" s="20"/>
      <c r="R581" s="20"/>
      <c r="S581" s="20"/>
      <c r="T581" s="708"/>
      <c r="U581" s="708"/>
    </row>
    <row r="582" ht="13.8" spans="1:21">
      <c r="A582" s="19"/>
      <c r="B582" s="20"/>
      <c r="C582" s="20"/>
      <c r="D582" s="19"/>
      <c r="E582" s="19"/>
      <c r="F582" s="19"/>
      <c r="G582" s="19"/>
      <c r="H582" s="19"/>
      <c r="I582" s="19"/>
      <c r="J582" s="20"/>
      <c r="K582" s="19"/>
      <c r="L582" s="19"/>
      <c r="M582" s="19"/>
      <c r="N582" s="20"/>
      <c r="O582" s="20"/>
      <c r="P582" s="20"/>
      <c r="Q582" s="20"/>
      <c r="R582" s="20"/>
      <c r="S582" s="20"/>
      <c r="T582" s="708"/>
      <c r="U582" s="708"/>
    </row>
    <row r="583" ht="13.8" spans="1:21">
      <c r="A583" s="19"/>
      <c r="B583" s="20"/>
      <c r="C583" s="20"/>
      <c r="D583" s="19"/>
      <c r="E583" s="19"/>
      <c r="F583" s="19"/>
      <c r="G583" s="19"/>
      <c r="H583" s="19"/>
      <c r="I583" s="19"/>
      <c r="J583" s="20"/>
      <c r="K583" s="19"/>
      <c r="L583" s="19"/>
      <c r="M583" s="19"/>
      <c r="N583" s="20"/>
      <c r="O583" s="20"/>
      <c r="P583" s="20"/>
      <c r="Q583" s="20"/>
      <c r="R583" s="20"/>
      <c r="S583" s="20"/>
      <c r="T583" s="708"/>
      <c r="U583" s="708"/>
    </row>
    <row r="584" ht="13.8" spans="1:21">
      <c r="A584" s="19"/>
      <c r="B584" s="20"/>
      <c r="C584" s="20"/>
      <c r="D584" s="19"/>
      <c r="E584" s="19"/>
      <c r="F584" s="19"/>
      <c r="G584" s="19"/>
      <c r="H584" s="19"/>
      <c r="I584" s="19"/>
      <c r="J584" s="20"/>
      <c r="K584" s="19"/>
      <c r="L584" s="19"/>
      <c r="M584" s="19"/>
      <c r="N584" s="20"/>
      <c r="O584" s="20"/>
      <c r="P584" s="20"/>
      <c r="Q584" s="20"/>
      <c r="R584" s="20"/>
      <c r="S584" s="20"/>
      <c r="T584" s="708"/>
      <c r="U584" s="708"/>
    </row>
    <row r="585" ht="13.8" spans="1:21">
      <c r="A585" s="19"/>
      <c r="B585" s="20"/>
      <c r="C585" s="20"/>
      <c r="D585" s="19"/>
      <c r="E585" s="19"/>
      <c r="F585" s="19"/>
      <c r="G585" s="19"/>
      <c r="H585" s="19"/>
      <c r="I585" s="19"/>
      <c r="J585" s="20"/>
      <c r="K585" s="19"/>
      <c r="L585" s="19"/>
      <c r="M585" s="19"/>
      <c r="N585" s="20"/>
      <c r="O585" s="20"/>
      <c r="P585" s="20"/>
      <c r="Q585" s="20"/>
      <c r="R585" s="20"/>
      <c r="S585" s="20"/>
      <c r="T585" s="708"/>
      <c r="U585" s="708"/>
    </row>
    <row r="586" ht="13.8" spans="1:21">
      <c r="A586" s="19"/>
      <c r="B586" s="20"/>
      <c r="C586" s="20"/>
      <c r="D586" s="19"/>
      <c r="E586" s="19"/>
      <c r="F586" s="19"/>
      <c r="G586" s="19"/>
      <c r="H586" s="19"/>
      <c r="I586" s="19"/>
      <c r="J586" s="20"/>
      <c r="K586" s="19"/>
      <c r="L586" s="19"/>
      <c r="M586" s="19"/>
      <c r="N586" s="20"/>
      <c r="O586" s="20"/>
      <c r="P586" s="20"/>
      <c r="Q586" s="20"/>
      <c r="R586" s="20"/>
      <c r="S586" s="20"/>
      <c r="T586" s="708"/>
      <c r="U586" s="708"/>
    </row>
    <row r="587" ht="13.8" spans="1:21">
      <c r="A587" s="19"/>
      <c r="B587" s="20"/>
      <c r="C587" s="20"/>
      <c r="D587" s="19"/>
      <c r="E587" s="19"/>
      <c r="F587" s="19"/>
      <c r="G587" s="19"/>
      <c r="H587" s="19"/>
      <c r="I587" s="19"/>
      <c r="J587" s="20"/>
      <c r="K587" s="19"/>
      <c r="L587" s="19"/>
      <c r="M587" s="19"/>
      <c r="N587" s="20"/>
      <c r="O587" s="20"/>
      <c r="P587" s="20"/>
      <c r="Q587" s="20"/>
      <c r="R587" s="20"/>
      <c r="S587" s="20"/>
      <c r="T587" s="708"/>
      <c r="U587" s="708"/>
    </row>
    <row r="588" ht="13.8" spans="1:21">
      <c r="A588" s="19"/>
      <c r="B588" s="20"/>
      <c r="C588" s="20"/>
      <c r="D588" s="19"/>
      <c r="E588" s="19"/>
      <c r="F588" s="19"/>
      <c r="G588" s="19"/>
      <c r="H588" s="19"/>
      <c r="I588" s="19"/>
      <c r="J588" s="20"/>
      <c r="K588" s="19"/>
      <c r="L588" s="19"/>
      <c r="M588" s="19"/>
      <c r="N588" s="20"/>
      <c r="O588" s="20"/>
      <c r="P588" s="20"/>
      <c r="Q588" s="20"/>
      <c r="R588" s="20"/>
      <c r="S588" s="20"/>
      <c r="T588" s="708"/>
      <c r="U588" s="708"/>
    </row>
    <row r="589" ht="13.8" spans="1:21">
      <c r="A589" s="19"/>
      <c r="B589" s="20"/>
      <c r="C589" s="20"/>
      <c r="D589" s="19"/>
      <c r="E589" s="19"/>
      <c r="F589" s="19"/>
      <c r="G589" s="19"/>
      <c r="H589" s="19"/>
      <c r="I589" s="19"/>
      <c r="J589" s="20"/>
      <c r="K589" s="19"/>
      <c r="L589" s="19"/>
      <c r="M589" s="19"/>
      <c r="N589" s="20"/>
      <c r="O589" s="20"/>
      <c r="P589" s="20"/>
      <c r="Q589" s="20"/>
      <c r="R589" s="20"/>
      <c r="S589" s="20"/>
      <c r="T589" s="708"/>
      <c r="U589" s="708"/>
    </row>
    <row r="590" ht="13.8" spans="1:21">
      <c r="A590" s="19"/>
      <c r="B590" s="20"/>
      <c r="C590" s="20"/>
      <c r="D590" s="19"/>
      <c r="E590" s="19"/>
      <c r="F590" s="19"/>
      <c r="G590" s="19"/>
      <c r="H590" s="19"/>
      <c r="I590" s="19"/>
      <c r="J590" s="20"/>
      <c r="K590" s="19"/>
      <c r="L590" s="19"/>
      <c r="M590" s="19"/>
      <c r="N590" s="20"/>
      <c r="O590" s="20"/>
      <c r="P590" s="20"/>
      <c r="Q590" s="20"/>
      <c r="R590" s="20"/>
      <c r="S590" s="20"/>
      <c r="T590" s="708"/>
      <c r="U590" s="708"/>
    </row>
    <row r="591" ht="13.8" spans="1:21">
      <c r="A591" s="19"/>
      <c r="B591" s="20"/>
      <c r="C591" s="20"/>
      <c r="D591" s="19"/>
      <c r="E591" s="19"/>
      <c r="F591" s="19"/>
      <c r="G591" s="19"/>
      <c r="H591" s="19"/>
      <c r="I591" s="19"/>
      <c r="J591" s="20"/>
      <c r="K591" s="19"/>
      <c r="L591" s="19"/>
      <c r="M591" s="19"/>
      <c r="N591" s="20"/>
      <c r="O591" s="20"/>
      <c r="P591" s="20"/>
      <c r="Q591" s="20"/>
      <c r="R591" s="20"/>
      <c r="S591" s="20"/>
      <c r="T591" s="708"/>
      <c r="U591" s="708"/>
    </row>
    <row r="592" ht="13.8" spans="1:21">
      <c r="A592" s="19"/>
      <c r="B592" s="20"/>
      <c r="C592" s="20"/>
      <c r="D592" s="19"/>
      <c r="E592" s="19"/>
      <c r="F592" s="19"/>
      <c r="G592" s="19"/>
      <c r="H592" s="19"/>
      <c r="I592" s="19"/>
      <c r="J592" s="20"/>
      <c r="K592" s="19"/>
      <c r="L592" s="19"/>
      <c r="M592" s="19"/>
      <c r="N592" s="20"/>
      <c r="O592" s="20"/>
      <c r="P592" s="20"/>
      <c r="Q592" s="20"/>
      <c r="R592" s="20"/>
      <c r="S592" s="20"/>
      <c r="T592" s="708"/>
      <c r="U592" s="708"/>
    </row>
    <row r="593" ht="13.8" spans="1:21">
      <c r="A593" s="19"/>
      <c r="B593" s="20"/>
      <c r="C593" s="20"/>
      <c r="D593" s="19"/>
      <c r="E593" s="19"/>
      <c r="F593" s="19"/>
      <c r="G593" s="19"/>
      <c r="H593" s="19"/>
      <c r="I593" s="19"/>
      <c r="J593" s="20"/>
      <c r="K593" s="19"/>
      <c r="L593" s="19"/>
      <c r="M593" s="19"/>
      <c r="N593" s="20"/>
      <c r="O593" s="20"/>
      <c r="P593" s="20"/>
      <c r="Q593" s="20"/>
      <c r="R593" s="20"/>
      <c r="S593" s="20"/>
      <c r="T593" s="708"/>
      <c r="U593" s="708"/>
    </row>
    <row r="594" ht="13.8" spans="1:21">
      <c r="A594" s="19"/>
      <c r="B594" s="20"/>
      <c r="C594" s="20"/>
      <c r="D594" s="19"/>
      <c r="E594" s="19"/>
      <c r="F594" s="19"/>
      <c r="G594" s="19"/>
      <c r="H594" s="19"/>
      <c r="I594" s="19"/>
      <c r="J594" s="20"/>
      <c r="K594" s="19"/>
      <c r="L594" s="19"/>
      <c r="M594" s="19"/>
      <c r="N594" s="20"/>
      <c r="O594" s="20"/>
      <c r="P594" s="20"/>
      <c r="Q594" s="20"/>
      <c r="R594" s="20"/>
      <c r="S594" s="20"/>
      <c r="T594" s="708"/>
      <c r="U594" s="708"/>
    </row>
    <row r="595" ht="13.8" spans="1:21">
      <c r="A595" s="19"/>
      <c r="B595" s="20"/>
      <c r="C595" s="20"/>
      <c r="D595" s="19"/>
      <c r="E595" s="19"/>
      <c r="F595" s="19"/>
      <c r="G595" s="19"/>
      <c r="H595" s="19"/>
      <c r="I595" s="19"/>
      <c r="J595" s="20"/>
      <c r="K595" s="19"/>
      <c r="L595" s="19"/>
      <c r="M595" s="19"/>
      <c r="N595" s="20"/>
      <c r="O595" s="20"/>
      <c r="P595" s="20"/>
      <c r="Q595" s="20"/>
      <c r="R595" s="20"/>
      <c r="S595" s="20"/>
      <c r="T595" s="708"/>
      <c r="U595" s="708"/>
    </row>
    <row r="596" ht="13.8" spans="1:21">
      <c r="A596" s="19"/>
      <c r="B596" s="20"/>
      <c r="C596" s="20"/>
      <c r="D596" s="19"/>
      <c r="E596" s="19"/>
      <c r="F596" s="19"/>
      <c r="G596" s="19"/>
      <c r="H596" s="19"/>
      <c r="I596" s="19"/>
      <c r="J596" s="20"/>
      <c r="K596" s="19"/>
      <c r="L596" s="19"/>
      <c r="M596" s="19"/>
      <c r="N596" s="20"/>
      <c r="O596" s="20"/>
      <c r="P596" s="20"/>
      <c r="Q596" s="20"/>
      <c r="R596" s="20"/>
      <c r="S596" s="20"/>
      <c r="T596" s="708"/>
      <c r="U596" s="708"/>
    </row>
    <row r="597" ht="13.8" spans="1:21">
      <c r="A597" s="19"/>
      <c r="B597" s="20"/>
      <c r="C597" s="20"/>
      <c r="D597" s="19"/>
      <c r="E597" s="19"/>
      <c r="F597" s="19"/>
      <c r="G597" s="19"/>
      <c r="H597" s="19"/>
      <c r="I597" s="19"/>
      <c r="J597" s="20"/>
      <c r="K597" s="19"/>
      <c r="L597" s="19"/>
      <c r="M597" s="19"/>
      <c r="N597" s="20"/>
      <c r="O597" s="20"/>
      <c r="P597" s="20"/>
      <c r="Q597" s="20"/>
      <c r="R597" s="20"/>
      <c r="S597" s="20"/>
      <c r="T597" s="708"/>
      <c r="U597" s="708"/>
    </row>
    <row r="598" ht="13.8" spans="1:21">
      <c r="A598" s="19"/>
      <c r="B598" s="20"/>
      <c r="C598" s="20"/>
      <c r="D598" s="19"/>
      <c r="E598" s="19"/>
      <c r="F598" s="19"/>
      <c r="G598" s="19"/>
      <c r="H598" s="19"/>
      <c r="I598" s="19"/>
      <c r="J598" s="20"/>
      <c r="K598" s="19"/>
      <c r="L598" s="19"/>
      <c r="M598" s="19"/>
      <c r="N598" s="20"/>
      <c r="O598" s="20"/>
      <c r="P598" s="20"/>
      <c r="Q598" s="20"/>
      <c r="R598" s="20"/>
      <c r="S598" s="20"/>
      <c r="T598" s="708"/>
      <c r="U598" s="708"/>
    </row>
    <row r="599" ht="13.8" spans="1:21">
      <c r="A599" s="19"/>
      <c r="B599" s="20"/>
      <c r="C599" s="20"/>
      <c r="D599" s="19"/>
      <c r="E599" s="19"/>
      <c r="F599" s="19"/>
      <c r="G599" s="19"/>
      <c r="H599" s="19"/>
      <c r="I599" s="19"/>
      <c r="J599" s="20"/>
      <c r="K599" s="19"/>
      <c r="L599" s="19"/>
      <c r="M599" s="19"/>
      <c r="N599" s="20"/>
      <c r="O599" s="20"/>
      <c r="P599" s="20"/>
      <c r="Q599" s="20"/>
      <c r="R599" s="20"/>
      <c r="S599" s="20"/>
      <c r="T599" s="708"/>
      <c r="U599" s="708"/>
    </row>
    <row r="600" ht="13.8" spans="1:21">
      <c r="A600" s="19"/>
      <c r="B600" s="20"/>
      <c r="C600" s="20"/>
      <c r="D600" s="19"/>
      <c r="E600" s="19"/>
      <c r="F600" s="19"/>
      <c r="G600" s="19"/>
      <c r="H600" s="19"/>
      <c r="I600" s="19"/>
      <c r="J600" s="20"/>
      <c r="K600" s="19"/>
      <c r="L600" s="19"/>
      <c r="M600" s="19"/>
      <c r="N600" s="20"/>
      <c r="O600" s="20"/>
      <c r="P600" s="20"/>
      <c r="Q600" s="20"/>
      <c r="R600" s="20"/>
      <c r="S600" s="20"/>
      <c r="T600" s="708"/>
      <c r="U600" s="708"/>
    </row>
    <row r="601" ht="13.8" spans="1:21">
      <c r="A601" s="19"/>
      <c r="B601" s="20"/>
      <c r="C601" s="20"/>
      <c r="D601" s="19"/>
      <c r="E601" s="19"/>
      <c r="F601" s="19"/>
      <c r="G601" s="19"/>
      <c r="H601" s="19"/>
      <c r="I601" s="19"/>
      <c r="J601" s="20"/>
      <c r="K601" s="19"/>
      <c r="L601" s="19"/>
      <c r="M601" s="19"/>
      <c r="N601" s="20"/>
      <c r="O601" s="20"/>
      <c r="P601" s="20"/>
      <c r="Q601" s="20"/>
      <c r="R601" s="20"/>
      <c r="S601" s="20"/>
      <c r="T601" s="708"/>
      <c r="U601" s="708"/>
    </row>
    <row r="602" ht="13.8" spans="1:21">
      <c r="A602" s="19"/>
      <c r="B602" s="20"/>
      <c r="C602" s="20"/>
      <c r="D602" s="19"/>
      <c r="E602" s="19"/>
      <c r="F602" s="19"/>
      <c r="G602" s="19"/>
      <c r="H602" s="19"/>
      <c r="I602" s="19"/>
      <c r="J602" s="20"/>
      <c r="K602" s="19"/>
      <c r="L602" s="19"/>
      <c r="M602" s="19"/>
      <c r="N602" s="20"/>
      <c r="O602" s="20"/>
      <c r="P602" s="20"/>
      <c r="Q602" s="20"/>
      <c r="R602" s="20"/>
      <c r="S602" s="20"/>
      <c r="T602" s="708"/>
      <c r="U602" s="708"/>
    </row>
    <row r="603" ht="13.8" spans="1:21">
      <c r="A603" s="19"/>
      <c r="B603" s="20"/>
      <c r="C603" s="20"/>
      <c r="D603" s="19"/>
      <c r="E603" s="19"/>
      <c r="F603" s="19"/>
      <c r="G603" s="19"/>
      <c r="H603" s="19"/>
      <c r="I603" s="19"/>
      <c r="J603" s="20"/>
      <c r="K603" s="19"/>
      <c r="L603" s="19"/>
      <c r="M603" s="19"/>
      <c r="N603" s="20"/>
      <c r="O603" s="20"/>
      <c r="P603" s="20"/>
      <c r="Q603" s="20"/>
      <c r="R603" s="20"/>
      <c r="S603" s="20"/>
      <c r="T603" s="708"/>
      <c r="U603" s="708"/>
    </row>
    <row r="604" ht="13.8" spans="1:21">
      <c r="A604" s="19"/>
      <c r="B604" s="20"/>
      <c r="C604" s="20"/>
      <c r="D604" s="19"/>
      <c r="E604" s="19"/>
      <c r="F604" s="19"/>
      <c r="G604" s="19"/>
      <c r="H604" s="19"/>
      <c r="I604" s="19"/>
      <c r="J604" s="20"/>
      <c r="K604" s="19"/>
      <c r="L604" s="19"/>
      <c r="M604" s="19"/>
      <c r="N604" s="20"/>
      <c r="O604" s="20"/>
      <c r="P604" s="20"/>
      <c r="Q604" s="20"/>
      <c r="R604" s="20"/>
      <c r="S604" s="20"/>
      <c r="T604" s="708"/>
      <c r="U604" s="708"/>
    </row>
    <row r="605" ht="13.8" spans="1:21">
      <c r="A605" s="19"/>
      <c r="B605" s="20"/>
      <c r="C605" s="20"/>
      <c r="D605" s="19"/>
      <c r="E605" s="19"/>
      <c r="F605" s="19"/>
      <c r="G605" s="19"/>
      <c r="H605" s="19"/>
      <c r="I605" s="19"/>
      <c r="J605" s="20"/>
      <c r="K605" s="19"/>
      <c r="L605" s="19"/>
      <c r="M605" s="19"/>
      <c r="N605" s="20"/>
      <c r="O605" s="20"/>
      <c r="P605" s="20"/>
      <c r="Q605" s="20"/>
      <c r="R605" s="20"/>
      <c r="S605" s="20"/>
      <c r="T605" s="708"/>
      <c r="U605" s="708"/>
    </row>
    <row r="606" ht="13.8" spans="1:21">
      <c r="A606" s="19"/>
      <c r="B606" s="20"/>
      <c r="C606" s="20"/>
      <c r="D606" s="19"/>
      <c r="E606" s="19"/>
      <c r="F606" s="19"/>
      <c r="G606" s="19"/>
      <c r="H606" s="19"/>
      <c r="I606" s="19"/>
      <c r="J606" s="20"/>
      <c r="K606" s="19"/>
      <c r="L606" s="19"/>
      <c r="M606" s="19"/>
      <c r="N606" s="20"/>
      <c r="O606" s="20"/>
      <c r="P606" s="20"/>
      <c r="Q606" s="20"/>
      <c r="R606" s="20"/>
      <c r="S606" s="20"/>
      <c r="T606" s="708"/>
      <c r="U606" s="708"/>
    </row>
    <row r="607" ht="13.8" spans="1:21">
      <c r="A607" s="19"/>
      <c r="B607" s="20"/>
      <c r="C607" s="20"/>
      <c r="D607" s="19"/>
      <c r="E607" s="19"/>
      <c r="F607" s="19"/>
      <c r="G607" s="19"/>
      <c r="H607" s="19"/>
      <c r="I607" s="19"/>
      <c r="J607" s="20"/>
      <c r="K607" s="19"/>
      <c r="L607" s="19"/>
      <c r="M607" s="19"/>
      <c r="N607" s="20"/>
      <c r="O607" s="20"/>
      <c r="P607" s="20"/>
      <c r="Q607" s="20"/>
      <c r="R607" s="20"/>
      <c r="S607" s="20"/>
      <c r="T607" s="708"/>
      <c r="U607" s="708"/>
    </row>
    <row r="608" ht="13.8" spans="1:21">
      <c r="A608" s="19"/>
      <c r="B608" s="20"/>
      <c r="C608" s="20"/>
      <c r="D608" s="19"/>
      <c r="E608" s="19"/>
      <c r="F608" s="19"/>
      <c r="G608" s="19"/>
      <c r="H608" s="19"/>
      <c r="I608" s="19"/>
      <c r="J608" s="20"/>
      <c r="K608" s="19"/>
      <c r="L608" s="19"/>
      <c r="M608" s="19"/>
      <c r="N608" s="20"/>
      <c r="O608" s="20"/>
      <c r="P608" s="20"/>
      <c r="Q608" s="20"/>
      <c r="R608" s="20"/>
      <c r="S608" s="20"/>
      <c r="T608" s="708"/>
      <c r="U608" s="708"/>
    </row>
    <row r="609" ht="13.8" spans="1:21">
      <c r="A609" s="19"/>
      <c r="B609" s="20"/>
      <c r="C609" s="20"/>
      <c r="D609" s="19"/>
      <c r="E609" s="19"/>
      <c r="F609" s="19"/>
      <c r="G609" s="19"/>
      <c r="H609" s="19"/>
      <c r="I609" s="19"/>
      <c r="J609" s="20"/>
      <c r="K609" s="19"/>
      <c r="L609" s="19"/>
      <c r="M609" s="19"/>
      <c r="N609" s="20"/>
      <c r="O609" s="20"/>
      <c r="P609" s="20"/>
      <c r="Q609" s="20"/>
      <c r="R609" s="20"/>
      <c r="S609" s="20"/>
      <c r="T609" s="708"/>
      <c r="U609" s="708"/>
    </row>
    <row r="610" ht="13.8" spans="1:21">
      <c r="A610" s="19"/>
      <c r="B610" s="20"/>
      <c r="C610" s="20"/>
      <c r="D610" s="19"/>
      <c r="E610" s="19"/>
      <c r="F610" s="19"/>
      <c r="G610" s="19"/>
      <c r="H610" s="19"/>
      <c r="I610" s="19"/>
      <c r="J610" s="20"/>
      <c r="K610" s="19"/>
      <c r="L610" s="19"/>
      <c r="M610" s="19"/>
      <c r="N610" s="20"/>
      <c r="O610" s="20"/>
      <c r="P610" s="20"/>
      <c r="Q610" s="20"/>
      <c r="R610" s="20"/>
      <c r="S610" s="20"/>
      <c r="T610" s="708"/>
      <c r="U610" s="708"/>
    </row>
    <row r="611" ht="13.8" spans="1:21">
      <c r="A611" s="19"/>
      <c r="B611" s="20"/>
      <c r="C611" s="20"/>
      <c r="D611" s="19"/>
      <c r="E611" s="19"/>
      <c r="F611" s="19"/>
      <c r="G611" s="19"/>
      <c r="H611" s="19"/>
      <c r="I611" s="19"/>
      <c r="J611" s="20"/>
      <c r="K611" s="19"/>
      <c r="L611" s="19"/>
      <c r="M611" s="19"/>
      <c r="N611" s="20"/>
      <c r="O611" s="20"/>
      <c r="P611" s="20"/>
      <c r="Q611" s="20"/>
      <c r="R611" s="20"/>
      <c r="S611" s="20"/>
      <c r="T611" s="708"/>
      <c r="U611" s="708"/>
    </row>
    <row r="612" ht="13.8" spans="1:21">
      <c r="A612" s="19"/>
      <c r="B612" s="20"/>
      <c r="C612" s="20"/>
      <c r="D612" s="19"/>
      <c r="E612" s="19"/>
      <c r="F612" s="19"/>
      <c r="G612" s="19"/>
      <c r="H612" s="19"/>
      <c r="I612" s="19"/>
      <c r="J612" s="20"/>
      <c r="K612" s="19"/>
      <c r="L612" s="19"/>
      <c r="M612" s="19"/>
      <c r="N612" s="20"/>
      <c r="O612" s="20"/>
      <c r="P612" s="20"/>
      <c r="Q612" s="20"/>
      <c r="R612" s="20"/>
      <c r="S612" s="20"/>
      <c r="T612" s="708"/>
      <c r="U612" s="708"/>
    </row>
    <row r="613" ht="13.8" spans="1:21">
      <c r="A613" s="19"/>
      <c r="B613" s="20"/>
      <c r="C613" s="20"/>
      <c r="D613" s="19"/>
      <c r="E613" s="19"/>
      <c r="F613" s="19"/>
      <c r="G613" s="19"/>
      <c r="H613" s="19"/>
      <c r="I613" s="19"/>
      <c r="J613" s="20"/>
      <c r="K613" s="19"/>
      <c r="L613" s="19"/>
      <c r="M613" s="19"/>
      <c r="N613" s="20"/>
      <c r="O613" s="20"/>
      <c r="P613" s="20"/>
      <c r="Q613" s="20"/>
      <c r="R613" s="20"/>
      <c r="S613" s="20"/>
      <c r="T613" s="708"/>
      <c r="U613" s="708"/>
    </row>
    <row r="614" ht="13.8" spans="1:21">
      <c r="A614" s="19"/>
      <c r="B614" s="20"/>
      <c r="C614" s="20"/>
      <c r="D614" s="19"/>
      <c r="E614" s="19"/>
      <c r="F614" s="19"/>
      <c r="G614" s="19"/>
      <c r="H614" s="19"/>
      <c r="I614" s="19"/>
      <c r="J614" s="20"/>
      <c r="K614" s="19"/>
      <c r="L614" s="19"/>
      <c r="M614" s="19"/>
      <c r="N614" s="20"/>
      <c r="O614" s="20"/>
      <c r="P614" s="20"/>
      <c r="Q614" s="20"/>
      <c r="R614" s="20"/>
      <c r="S614" s="20"/>
      <c r="T614" s="708"/>
      <c r="U614" s="708"/>
    </row>
    <row r="615" ht="13.8" spans="1:21">
      <c r="A615" s="19"/>
      <c r="B615" s="20"/>
      <c r="C615" s="20"/>
      <c r="D615" s="19"/>
      <c r="E615" s="19"/>
      <c r="F615" s="19"/>
      <c r="G615" s="19"/>
      <c r="H615" s="19"/>
      <c r="I615" s="19"/>
      <c r="J615" s="20"/>
      <c r="K615" s="19"/>
      <c r="L615" s="19"/>
      <c r="M615" s="19"/>
      <c r="N615" s="20"/>
      <c r="O615" s="20"/>
      <c r="P615" s="20"/>
      <c r="Q615" s="20"/>
      <c r="R615" s="20"/>
      <c r="S615" s="20"/>
      <c r="T615" s="708"/>
      <c r="U615" s="708"/>
    </row>
    <row r="616" ht="13.8" spans="1:21">
      <c r="A616" s="19"/>
      <c r="B616" s="20"/>
      <c r="C616" s="20"/>
      <c r="D616" s="19"/>
      <c r="E616" s="19"/>
      <c r="F616" s="19"/>
      <c r="G616" s="19"/>
      <c r="H616" s="19"/>
      <c r="I616" s="19"/>
      <c r="J616" s="20"/>
      <c r="K616" s="19"/>
      <c r="L616" s="19"/>
      <c r="M616" s="19"/>
      <c r="N616" s="20"/>
      <c r="O616" s="20"/>
      <c r="P616" s="20"/>
      <c r="Q616" s="20"/>
      <c r="R616" s="20"/>
      <c r="S616" s="20"/>
      <c r="T616" s="708"/>
      <c r="U616" s="708"/>
    </row>
    <row r="617" ht="13.8" spans="1:21">
      <c r="A617" s="19"/>
      <c r="B617" s="20"/>
      <c r="C617" s="20"/>
      <c r="D617" s="19"/>
      <c r="E617" s="19"/>
      <c r="F617" s="19"/>
      <c r="G617" s="19"/>
      <c r="H617" s="19"/>
      <c r="I617" s="19"/>
      <c r="J617" s="20"/>
      <c r="K617" s="19"/>
      <c r="L617" s="19"/>
      <c r="M617" s="19"/>
      <c r="N617" s="20"/>
      <c r="O617" s="20"/>
      <c r="P617" s="20"/>
      <c r="Q617" s="20"/>
      <c r="R617" s="20"/>
      <c r="S617" s="20"/>
      <c r="T617" s="708"/>
      <c r="U617" s="708"/>
    </row>
    <row r="618" ht="13.8" spans="1:21">
      <c r="A618" s="19"/>
      <c r="B618" s="20"/>
      <c r="C618" s="20"/>
      <c r="D618" s="19"/>
      <c r="E618" s="19"/>
      <c r="F618" s="19"/>
      <c r="G618" s="19"/>
      <c r="H618" s="19"/>
      <c r="I618" s="19"/>
      <c r="J618" s="20"/>
      <c r="K618" s="19"/>
      <c r="L618" s="19"/>
      <c r="M618" s="19"/>
      <c r="N618" s="20"/>
      <c r="O618" s="20"/>
      <c r="P618" s="20"/>
      <c r="Q618" s="20"/>
      <c r="R618" s="20"/>
      <c r="S618" s="20"/>
      <c r="T618" s="708"/>
      <c r="U618" s="708"/>
    </row>
    <row r="619" ht="13.8" spans="1:21">
      <c r="A619" s="19"/>
      <c r="B619" s="20"/>
      <c r="C619" s="20"/>
      <c r="D619" s="19"/>
      <c r="E619" s="19"/>
      <c r="F619" s="19"/>
      <c r="G619" s="19"/>
      <c r="H619" s="19"/>
      <c r="I619" s="19"/>
      <c r="J619" s="20"/>
      <c r="K619" s="19"/>
      <c r="L619" s="19"/>
      <c r="M619" s="19"/>
      <c r="N619" s="20"/>
      <c r="O619" s="20"/>
      <c r="P619" s="20"/>
      <c r="Q619" s="20"/>
      <c r="R619" s="20"/>
      <c r="S619" s="20"/>
      <c r="T619" s="708"/>
      <c r="U619" s="708"/>
    </row>
    <row r="620" ht="13.8" spans="1:21">
      <c r="A620" s="19"/>
      <c r="B620" s="20"/>
      <c r="C620" s="20"/>
      <c r="D620" s="19"/>
      <c r="E620" s="19"/>
      <c r="F620" s="19"/>
      <c r="G620" s="19"/>
      <c r="H620" s="19"/>
      <c r="I620" s="19"/>
      <c r="J620" s="20"/>
      <c r="K620" s="19"/>
      <c r="L620" s="19"/>
      <c r="M620" s="19"/>
      <c r="N620" s="20"/>
      <c r="O620" s="20"/>
      <c r="P620" s="20"/>
      <c r="Q620" s="20"/>
      <c r="R620" s="20"/>
      <c r="S620" s="20"/>
      <c r="T620" s="708"/>
      <c r="U620" s="708"/>
    </row>
    <row r="621" ht="13.8" spans="1:21">
      <c r="A621" s="19"/>
      <c r="B621" s="20"/>
      <c r="C621" s="20"/>
      <c r="D621" s="19"/>
      <c r="E621" s="19"/>
      <c r="F621" s="19"/>
      <c r="G621" s="19"/>
      <c r="H621" s="19"/>
      <c r="I621" s="19"/>
      <c r="J621" s="20"/>
      <c r="K621" s="19"/>
      <c r="L621" s="19"/>
      <c r="M621" s="19"/>
      <c r="N621" s="20"/>
      <c r="O621" s="20"/>
      <c r="P621" s="20"/>
      <c r="Q621" s="20"/>
      <c r="R621" s="20"/>
      <c r="S621" s="20"/>
      <c r="T621" s="708"/>
      <c r="U621" s="708"/>
    </row>
    <row r="622" ht="13.8" spans="1:21">
      <c r="A622" s="19"/>
      <c r="B622" s="20"/>
      <c r="C622" s="20"/>
      <c r="D622" s="19"/>
      <c r="E622" s="19"/>
      <c r="F622" s="19"/>
      <c r="G622" s="19"/>
      <c r="H622" s="19"/>
      <c r="I622" s="19"/>
      <c r="J622" s="20"/>
      <c r="K622" s="19"/>
      <c r="L622" s="19"/>
      <c r="M622" s="19"/>
      <c r="N622" s="20"/>
      <c r="O622" s="20"/>
      <c r="P622" s="20"/>
      <c r="Q622" s="20"/>
      <c r="R622" s="20"/>
      <c r="S622" s="20"/>
      <c r="T622" s="708"/>
      <c r="U622" s="708"/>
    </row>
    <row r="623" ht="13.8" spans="1:21">
      <c r="A623" s="19"/>
      <c r="B623" s="20"/>
      <c r="C623" s="20"/>
      <c r="D623" s="19"/>
      <c r="E623" s="19"/>
      <c r="F623" s="19"/>
      <c r="G623" s="19"/>
      <c r="H623" s="19"/>
      <c r="I623" s="19"/>
      <c r="J623" s="20"/>
      <c r="K623" s="19"/>
      <c r="L623" s="19"/>
      <c r="M623" s="19"/>
      <c r="N623" s="20"/>
      <c r="O623" s="20"/>
      <c r="P623" s="20"/>
      <c r="Q623" s="20"/>
      <c r="R623" s="20"/>
      <c r="S623" s="20"/>
      <c r="T623" s="708"/>
      <c r="U623" s="708"/>
    </row>
    <row r="624" ht="13.8" spans="1:21">
      <c r="A624" s="19"/>
      <c r="B624" s="20"/>
      <c r="C624" s="20"/>
      <c r="D624" s="19"/>
      <c r="E624" s="19"/>
      <c r="F624" s="19"/>
      <c r="G624" s="19"/>
      <c r="H624" s="19"/>
      <c r="I624" s="19"/>
      <c r="J624" s="20"/>
      <c r="K624" s="19"/>
      <c r="L624" s="19"/>
      <c r="M624" s="19"/>
      <c r="N624" s="20"/>
      <c r="O624" s="20"/>
      <c r="P624" s="20"/>
      <c r="Q624" s="20"/>
      <c r="R624" s="20"/>
      <c r="S624" s="20"/>
      <c r="T624" s="708"/>
      <c r="U624" s="708"/>
    </row>
    <row r="625" ht="13.8" spans="1:21">
      <c r="A625" s="19"/>
      <c r="B625" s="20"/>
      <c r="C625" s="20"/>
      <c r="D625" s="19"/>
      <c r="E625" s="19"/>
      <c r="F625" s="19"/>
      <c r="G625" s="19"/>
      <c r="H625" s="19"/>
      <c r="I625" s="19"/>
      <c r="J625" s="20"/>
      <c r="K625" s="19"/>
      <c r="L625" s="19"/>
      <c r="M625" s="19"/>
      <c r="N625" s="20"/>
      <c r="O625" s="20"/>
      <c r="P625" s="20"/>
      <c r="Q625" s="20"/>
      <c r="R625" s="20"/>
      <c r="S625" s="20"/>
      <c r="T625" s="708"/>
      <c r="U625" s="708"/>
    </row>
    <row r="626" ht="13.8" spans="1:21">
      <c r="A626" s="19"/>
      <c r="B626" s="20"/>
      <c r="C626" s="20"/>
      <c r="D626" s="19"/>
      <c r="E626" s="19"/>
      <c r="F626" s="19"/>
      <c r="G626" s="19"/>
      <c r="H626" s="19"/>
      <c r="I626" s="19"/>
      <c r="J626" s="20"/>
      <c r="K626" s="19"/>
      <c r="L626" s="19"/>
      <c r="M626" s="19"/>
      <c r="N626" s="20"/>
      <c r="O626" s="20"/>
      <c r="P626" s="20"/>
      <c r="Q626" s="20"/>
      <c r="R626" s="20"/>
      <c r="S626" s="20"/>
      <c r="T626" s="708"/>
      <c r="U626" s="708"/>
    </row>
    <row r="627" ht="13.8" spans="1:21">
      <c r="A627" s="19"/>
      <c r="B627" s="20"/>
      <c r="C627" s="20"/>
      <c r="D627" s="19"/>
      <c r="E627" s="19"/>
      <c r="F627" s="19"/>
      <c r="G627" s="19"/>
      <c r="H627" s="19"/>
      <c r="I627" s="19"/>
      <c r="J627" s="20"/>
      <c r="K627" s="19"/>
      <c r="L627" s="19"/>
      <c r="M627" s="19"/>
      <c r="N627" s="20"/>
      <c r="O627" s="20"/>
      <c r="P627" s="20"/>
      <c r="Q627" s="20"/>
      <c r="R627" s="20"/>
      <c r="S627" s="20"/>
      <c r="T627" s="708"/>
      <c r="U627" s="708"/>
    </row>
    <row r="628" ht="13.8" spans="1:21">
      <c r="A628" s="19"/>
      <c r="B628" s="20"/>
      <c r="C628" s="20"/>
      <c r="D628" s="19"/>
      <c r="E628" s="19"/>
      <c r="F628" s="19"/>
      <c r="G628" s="19"/>
      <c r="H628" s="19"/>
      <c r="I628" s="19"/>
      <c r="J628" s="20"/>
      <c r="K628" s="19"/>
      <c r="L628" s="19"/>
      <c r="M628" s="19"/>
      <c r="N628" s="20"/>
      <c r="O628" s="20"/>
      <c r="P628" s="20"/>
      <c r="Q628" s="20"/>
      <c r="R628" s="20"/>
      <c r="S628" s="20"/>
      <c r="T628" s="708"/>
      <c r="U628" s="708"/>
    </row>
    <row r="629" ht="13.8" spans="1:21">
      <c r="A629" s="19"/>
      <c r="B629" s="20"/>
      <c r="C629" s="20"/>
      <c r="D629" s="19"/>
      <c r="E629" s="19"/>
      <c r="F629" s="19"/>
      <c r="G629" s="19"/>
      <c r="H629" s="19"/>
      <c r="I629" s="19"/>
      <c r="J629" s="20"/>
      <c r="K629" s="19"/>
      <c r="L629" s="19"/>
      <c r="M629" s="19"/>
      <c r="N629" s="20"/>
      <c r="O629" s="20"/>
      <c r="P629" s="20"/>
      <c r="Q629" s="20"/>
      <c r="R629" s="20"/>
      <c r="S629" s="20"/>
      <c r="T629" s="708"/>
      <c r="U629" s="708"/>
    </row>
    <row r="630" ht="13.8" spans="1:21">
      <c r="A630" s="19"/>
      <c r="B630" s="20"/>
      <c r="C630" s="20"/>
      <c r="D630" s="19"/>
      <c r="E630" s="19"/>
      <c r="F630" s="19"/>
      <c r="G630" s="19"/>
      <c r="H630" s="19"/>
      <c r="I630" s="19"/>
      <c r="J630" s="20"/>
      <c r="K630" s="19"/>
      <c r="L630" s="19"/>
      <c r="M630" s="19"/>
      <c r="N630" s="20"/>
      <c r="O630" s="20"/>
      <c r="P630" s="20"/>
      <c r="Q630" s="20"/>
      <c r="R630" s="20"/>
      <c r="S630" s="20"/>
      <c r="T630" s="708"/>
      <c r="U630" s="708"/>
    </row>
    <row r="631" ht="13.8" spans="1:21">
      <c r="A631" s="19"/>
      <c r="B631" s="20"/>
      <c r="C631" s="20"/>
      <c r="D631" s="19"/>
      <c r="E631" s="19"/>
      <c r="F631" s="19"/>
      <c r="G631" s="19"/>
      <c r="H631" s="19"/>
      <c r="I631" s="19"/>
      <c r="J631" s="20"/>
      <c r="K631" s="19"/>
      <c r="L631" s="19"/>
      <c r="M631" s="19"/>
      <c r="N631" s="20"/>
      <c r="O631" s="20"/>
      <c r="P631" s="20"/>
      <c r="Q631" s="20"/>
      <c r="R631" s="20"/>
      <c r="S631" s="20"/>
      <c r="T631" s="708"/>
      <c r="U631" s="708"/>
    </row>
    <row r="632" ht="13.8" spans="1:21">
      <c r="A632" s="19"/>
      <c r="B632" s="20"/>
      <c r="C632" s="20"/>
      <c r="D632" s="19"/>
      <c r="E632" s="19"/>
      <c r="F632" s="19"/>
      <c r="G632" s="19"/>
      <c r="H632" s="19"/>
      <c r="I632" s="19"/>
      <c r="J632" s="20"/>
      <c r="K632" s="19"/>
      <c r="L632" s="19"/>
      <c r="M632" s="19"/>
      <c r="N632" s="20"/>
      <c r="O632" s="20"/>
      <c r="P632" s="20"/>
      <c r="Q632" s="20"/>
      <c r="R632" s="20"/>
      <c r="S632" s="20"/>
      <c r="T632" s="708"/>
      <c r="U632" s="708"/>
    </row>
    <row r="633" ht="13.8" spans="1:21">
      <c r="A633" s="19"/>
      <c r="B633" s="20"/>
      <c r="C633" s="20"/>
      <c r="D633" s="19"/>
      <c r="E633" s="19"/>
      <c r="F633" s="19"/>
      <c r="G633" s="19"/>
      <c r="H633" s="19"/>
      <c r="I633" s="19"/>
      <c r="J633" s="20"/>
      <c r="K633" s="19"/>
      <c r="L633" s="19"/>
      <c r="M633" s="19"/>
      <c r="N633" s="20"/>
      <c r="O633" s="20"/>
      <c r="P633" s="20"/>
      <c r="Q633" s="20"/>
      <c r="R633" s="20"/>
      <c r="S633" s="20"/>
      <c r="T633" s="708"/>
      <c r="U633" s="708"/>
    </row>
    <row r="634" ht="13.8" spans="1:21">
      <c r="A634" s="19"/>
      <c r="B634" s="20"/>
      <c r="C634" s="20"/>
      <c r="D634" s="19"/>
      <c r="E634" s="19"/>
      <c r="F634" s="19"/>
      <c r="G634" s="19"/>
      <c r="H634" s="19"/>
      <c r="I634" s="19"/>
      <c r="J634" s="20"/>
      <c r="K634" s="19"/>
      <c r="L634" s="19"/>
      <c r="M634" s="19"/>
      <c r="N634" s="20"/>
      <c r="O634" s="20"/>
      <c r="P634" s="20"/>
      <c r="Q634" s="20"/>
      <c r="R634" s="20"/>
      <c r="S634" s="20"/>
      <c r="T634" s="708"/>
      <c r="U634" s="708"/>
    </row>
    <row r="635" ht="13.8" spans="1:21">
      <c r="A635" s="19"/>
      <c r="B635" s="20"/>
      <c r="C635" s="20"/>
      <c r="D635" s="19"/>
      <c r="E635" s="19"/>
      <c r="F635" s="19"/>
      <c r="G635" s="19"/>
      <c r="H635" s="19"/>
      <c r="I635" s="19"/>
      <c r="J635" s="20"/>
      <c r="K635" s="19"/>
      <c r="L635" s="19"/>
      <c r="M635" s="19"/>
      <c r="N635" s="20"/>
      <c r="O635" s="20"/>
      <c r="P635" s="20"/>
      <c r="Q635" s="20"/>
      <c r="R635" s="20"/>
      <c r="S635" s="20"/>
      <c r="T635" s="708"/>
      <c r="U635" s="708"/>
    </row>
    <row r="636" ht="13.8" spans="1:21">
      <c r="A636" s="19"/>
      <c r="B636" s="20"/>
      <c r="C636" s="20"/>
      <c r="D636" s="19"/>
      <c r="E636" s="19"/>
      <c r="F636" s="19"/>
      <c r="G636" s="19"/>
      <c r="H636" s="19"/>
      <c r="I636" s="19"/>
      <c r="J636" s="20"/>
      <c r="K636" s="19"/>
      <c r="L636" s="19"/>
      <c r="M636" s="19"/>
      <c r="N636" s="20"/>
      <c r="O636" s="20"/>
      <c r="P636" s="20"/>
      <c r="Q636" s="20"/>
      <c r="R636" s="20"/>
      <c r="S636" s="20"/>
      <c r="T636" s="708"/>
      <c r="U636" s="708"/>
    </row>
    <row r="637" ht="13.8" spans="1:21">
      <c r="A637" s="19"/>
      <c r="B637" s="20"/>
      <c r="C637" s="20"/>
      <c r="D637" s="19"/>
      <c r="E637" s="19"/>
      <c r="F637" s="19"/>
      <c r="G637" s="19"/>
      <c r="H637" s="19"/>
      <c r="I637" s="19"/>
      <c r="J637" s="20"/>
      <c r="K637" s="19"/>
      <c r="L637" s="19"/>
      <c r="M637" s="19"/>
      <c r="N637" s="20"/>
      <c r="O637" s="20"/>
      <c r="P637" s="20"/>
      <c r="Q637" s="20"/>
      <c r="R637" s="20"/>
      <c r="S637" s="20"/>
      <c r="T637" s="708"/>
      <c r="U637" s="708"/>
    </row>
    <row r="638" ht="13.8" spans="1:21">
      <c r="A638" s="19"/>
      <c r="B638" s="20"/>
      <c r="C638" s="20"/>
      <c r="D638" s="19"/>
      <c r="E638" s="19"/>
      <c r="F638" s="19"/>
      <c r="G638" s="19"/>
      <c r="H638" s="19"/>
      <c r="I638" s="19"/>
      <c r="J638" s="20"/>
      <c r="K638" s="19"/>
      <c r="L638" s="19"/>
      <c r="M638" s="19"/>
      <c r="N638" s="20"/>
      <c r="O638" s="20"/>
      <c r="P638" s="20"/>
      <c r="Q638" s="20"/>
      <c r="R638" s="20"/>
      <c r="S638" s="20"/>
      <c r="T638" s="708"/>
      <c r="U638" s="708"/>
    </row>
    <row r="639" ht="13.8" spans="1:21">
      <c r="A639" s="19"/>
      <c r="B639" s="20"/>
      <c r="C639" s="20"/>
      <c r="D639" s="19"/>
      <c r="E639" s="19"/>
      <c r="F639" s="19"/>
      <c r="G639" s="19"/>
      <c r="H639" s="19"/>
      <c r="I639" s="19"/>
      <c r="J639" s="20"/>
      <c r="K639" s="19"/>
      <c r="L639" s="19"/>
      <c r="M639" s="19"/>
      <c r="N639" s="20"/>
      <c r="O639" s="20"/>
      <c r="P639" s="20"/>
      <c r="Q639" s="20"/>
      <c r="R639" s="20"/>
      <c r="S639" s="20"/>
      <c r="T639" s="708"/>
      <c r="U639" s="708"/>
    </row>
    <row r="640" ht="13.8" spans="1:21">
      <c r="A640" s="19"/>
      <c r="B640" s="20"/>
      <c r="C640" s="20"/>
      <c r="D640" s="19"/>
      <c r="E640" s="19"/>
      <c r="F640" s="19"/>
      <c r="G640" s="19"/>
      <c r="H640" s="19"/>
      <c r="I640" s="19"/>
      <c r="J640" s="20"/>
      <c r="K640" s="19"/>
      <c r="L640" s="19"/>
      <c r="M640" s="19"/>
      <c r="N640" s="20"/>
      <c r="O640" s="20"/>
      <c r="P640" s="20"/>
      <c r="Q640" s="20"/>
      <c r="R640" s="20"/>
      <c r="S640" s="20"/>
      <c r="T640" s="708"/>
      <c r="U640" s="708"/>
    </row>
    <row r="641" ht="13.8" spans="1:21">
      <c r="A641" s="19"/>
      <c r="B641" s="20"/>
      <c r="C641" s="20"/>
      <c r="D641" s="19"/>
      <c r="E641" s="19"/>
      <c r="F641" s="19"/>
      <c r="G641" s="19"/>
      <c r="H641" s="19"/>
      <c r="I641" s="19"/>
      <c r="J641" s="20"/>
      <c r="K641" s="19"/>
      <c r="L641" s="19"/>
      <c r="M641" s="19"/>
      <c r="N641" s="20"/>
      <c r="O641" s="20"/>
      <c r="P641" s="20"/>
      <c r="Q641" s="20"/>
      <c r="R641" s="20"/>
      <c r="S641" s="20"/>
      <c r="T641" s="708"/>
      <c r="U641" s="708"/>
    </row>
    <row r="642" ht="13.8" spans="1:21">
      <c r="A642" s="19"/>
      <c r="B642" s="20"/>
      <c r="C642" s="20"/>
      <c r="D642" s="19"/>
      <c r="E642" s="19"/>
      <c r="F642" s="19"/>
      <c r="G642" s="19"/>
      <c r="H642" s="19"/>
      <c r="I642" s="19"/>
      <c r="J642" s="20"/>
      <c r="K642" s="19"/>
      <c r="L642" s="19"/>
      <c r="M642" s="19"/>
      <c r="N642" s="20"/>
      <c r="O642" s="20"/>
      <c r="P642" s="20"/>
      <c r="Q642" s="20"/>
      <c r="R642" s="20"/>
      <c r="S642" s="20"/>
      <c r="T642" s="708"/>
      <c r="U642" s="708"/>
    </row>
    <row r="643" ht="13.8" spans="1:21">
      <c r="A643" s="19"/>
      <c r="B643" s="20"/>
      <c r="C643" s="20"/>
      <c r="D643" s="19"/>
      <c r="E643" s="19"/>
      <c r="F643" s="19"/>
      <c r="G643" s="19"/>
      <c r="H643" s="19"/>
      <c r="I643" s="19"/>
      <c r="J643" s="20"/>
      <c r="K643" s="19"/>
      <c r="L643" s="19"/>
      <c r="M643" s="19"/>
      <c r="N643" s="20"/>
      <c r="O643" s="20"/>
      <c r="P643" s="20"/>
      <c r="Q643" s="20"/>
      <c r="R643" s="20"/>
      <c r="S643" s="20"/>
      <c r="T643" s="708"/>
      <c r="U643" s="708"/>
    </row>
    <row r="644" ht="13.8" spans="1:21">
      <c r="A644" s="19"/>
      <c r="B644" s="20"/>
      <c r="C644" s="20"/>
      <c r="D644" s="19"/>
      <c r="E644" s="19"/>
      <c r="F644" s="19"/>
      <c r="G644" s="19"/>
      <c r="H644" s="19"/>
      <c r="I644" s="19"/>
      <c r="J644" s="20"/>
      <c r="K644" s="19"/>
      <c r="L644" s="19"/>
      <c r="M644" s="19"/>
      <c r="N644" s="20"/>
      <c r="O644" s="20"/>
      <c r="P644" s="20"/>
      <c r="Q644" s="20"/>
      <c r="R644" s="20"/>
      <c r="S644" s="20"/>
      <c r="T644" s="708"/>
      <c r="U644" s="708"/>
    </row>
    <row r="645" ht="13.8" spans="1:21">
      <c r="A645" s="19"/>
      <c r="B645" s="20"/>
      <c r="C645" s="20"/>
      <c r="D645" s="19"/>
      <c r="E645" s="19"/>
      <c r="F645" s="19"/>
      <c r="G645" s="19"/>
      <c r="H645" s="19"/>
      <c r="I645" s="19"/>
      <c r="J645" s="20"/>
      <c r="K645" s="19"/>
      <c r="L645" s="19"/>
      <c r="M645" s="19"/>
      <c r="N645" s="20"/>
      <c r="O645" s="20"/>
      <c r="P645" s="20"/>
      <c r="Q645" s="20"/>
      <c r="R645" s="20"/>
      <c r="S645" s="20"/>
      <c r="T645" s="708"/>
      <c r="U645" s="708"/>
    </row>
    <row r="646" ht="13.8" spans="1:21">
      <c r="A646" s="19"/>
      <c r="B646" s="20"/>
      <c r="C646" s="20"/>
      <c r="D646" s="19"/>
      <c r="E646" s="19"/>
      <c r="F646" s="19"/>
      <c r="G646" s="19"/>
      <c r="H646" s="19"/>
      <c r="I646" s="19"/>
      <c r="J646" s="20"/>
      <c r="K646" s="19"/>
      <c r="L646" s="19"/>
      <c r="M646" s="19"/>
      <c r="N646" s="20"/>
      <c r="O646" s="20"/>
      <c r="P646" s="20"/>
      <c r="Q646" s="20"/>
      <c r="R646" s="20"/>
      <c r="S646" s="20"/>
      <c r="T646" s="708"/>
      <c r="U646" s="708"/>
    </row>
    <row r="647" ht="13.8" spans="1:21">
      <c r="A647" s="19"/>
      <c r="B647" s="20"/>
      <c r="C647" s="20"/>
      <c r="D647" s="19"/>
      <c r="E647" s="19"/>
      <c r="F647" s="19"/>
      <c r="G647" s="19"/>
      <c r="H647" s="19"/>
      <c r="I647" s="19"/>
      <c r="J647" s="20"/>
      <c r="K647" s="19"/>
      <c r="L647" s="19"/>
      <c r="M647" s="19"/>
      <c r="N647" s="20"/>
      <c r="O647" s="20"/>
      <c r="P647" s="20"/>
      <c r="Q647" s="20"/>
      <c r="R647" s="20"/>
      <c r="S647" s="20"/>
      <c r="T647" s="708"/>
      <c r="U647" s="708"/>
    </row>
    <row r="648" ht="13.8" spans="1:21">
      <c r="A648" s="19"/>
      <c r="B648" s="20"/>
      <c r="C648" s="20"/>
      <c r="D648" s="19"/>
      <c r="E648" s="19"/>
      <c r="F648" s="19"/>
      <c r="G648" s="19"/>
      <c r="H648" s="19"/>
      <c r="I648" s="19"/>
      <c r="J648" s="20"/>
      <c r="K648" s="19"/>
      <c r="L648" s="19"/>
      <c r="M648" s="19"/>
      <c r="N648" s="20"/>
      <c r="O648" s="20"/>
      <c r="P648" s="20"/>
      <c r="Q648" s="20"/>
      <c r="R648" s="20"/>
      <c r="S648" s="20"/>
      <c r="T648" s="708"/>
      <c r="U648" s="708"/>
    </row>
    <row r="649" ht="13.8" spans="1:21">
      <c r="A649" s="19"/>
      <c r="B649" s="20"/>
      <c r="C649" s="20"/>
      <c r="D649" s="19"/>
      <c r="E649" s="19"/>
      <c r="F649" s="19"/>
      <c r="G649" s="19"/>
      <c r="H649" s="19"/>
      <c r="I649" s="19"/>
      <c r="J649" s="20"/>
      <c r="K649" s="19"/>
      <c r="L649" s="19"/>
      <c r="M649" s="19"/>
      <c r="N649" s="20"/>
      <c r="O649" s="20"/>
      <c r="P649" s="20"/>
      <c r="Q649" s="20"/>
      <c r="R649" s="20"/>
      <c r="S649" s="20"/>
      <c r="T649" s="708"/>
      <c r="U649" s="708"/>
    </row>
    <row r="650" ht="13.8" spans="1:21">
      <c r="A650" s="19"/>
      <c r="B650" s="20"/>
      <c r="C650" s="20"/>
      <c r="D650" s="19"/>
      <c r="E650" s="19"/>
      <c r="F650" s="19"/>
      <c r="G650" s="19"/>
      <c r="H650" s="19"/>
      <c r="I650" s="19"/>
      <c r="J650" s="20"/>
      <c r="K650" s="19"/>
      <c r="L650" s="19"/>
      <c r="M650" s="19"/>
      <c r="N650" s="20"/>
      <c r="O650" s="20"/>
      <c r="P650" s="20"/>
      <c r="Q650" s="20"/>
      <c r="R650" s="20"/>
      <c r="S650" s="20"/>
      <c r="T650" s="708"/>
      <c r="U650" s="708"/>
    </row>
    <row r="651" ht="13.8" spans="1:21">
      <c r="A651" s="19"/>
      <c r="B651" s="20"/>
      <c r="C651" s="20"/>
      <c r="D651" s="19"/>
      <c r="E651" s="19"/>
      <c r="F651" s="19"/>
      <c r="G651" s="19"/>
      <c r="H651" s="19"/>
      <c r="I651" s="19"/>
      <c r="J651" s="20"/>
      <c r="K651" s="19"/>
      <c r="L651" s="19"/>
      <c r="M651" s="19"/>
      <c r="N651" s="20"/>
      <c r="O651" s="20"/>
      <c r="P651" s="20"/>
      <c r="Q651" s="20"/>
      <c r="R651" s="20"/>
      <c r="S651" s="20"/>
      <c r="T651" s="708"/>
      <c r="U651" s="708"/>
    </row>
    <row r="652" ht="13.8" spans="1:21">
      <c r="A652" s="19"/>
      <c r="B652" s="20"/>
      <c r="C652" s="20"/>
      <c r="D652" s="19"/>
      <c r="E652" s="19"/>
      <c r="F652" s="19"/>
      <c r="G652" s="19"/>
      <c r="H652" s="19"/>
      <c r="I652" s="19"/>
      <c r="J652" s="20"/>
      <c r="K652" s="19"/>
      <c r="L652" s="19"/>
      <c r="M652" s="19"/>
      <c r="N652" s="20"/>
      <c r="O652" s="20"/>
      <c r="P652" s="20"/>
      <c r="Q652" s="20"/>
      <c r="R652" s="20"/>
      <c r="S652" s="20"/>
      <c r="T652" s="708"/>
      <c r="U652" s="708"/>
    </row>
    <row r="653" ht="13.8" spans="1:21">
      <c r="A653" s="19"/>
      <c r="B653" s="20"/>
      <c r="C653" s="20"/>
      <c r="D653" s="19"/>
      <c r="E653" s="19"/>
      <c r="F653" s="19"/>
      <c r="G653" s="19"/>
      <c r="H653" s="19"/>
      <c r="I653" s="19"/>
      <c r="J653" s="20"/>
      <c r="K653" s="19"/>
      <c r="L653" s="19"/>
      <c r="M653" s="19"/>
      <c r="N653" s="20"/>
      <c r="O653" s="20"/>
      <c r="P653" s="20"/>
      <c r="Q653" s="20"/>
      <c r="R653" s="20"/>
      <c r="S653" s="20"/>
      <c r="T653" s="708"/>
      <c r="U653" s="708"/>
    </row>
    <row r="654" ht="13.8" spans="1:21">
      <c r="A654" s="19"/>
      <c r="B654" s="20"/>
      <c r="C654" s="20"/>
      <c r="D654" s="19"/>
      <c r="E654" s="19"/>
      <c r="F654" s="19"/>
      <c r="G654" s="19"/>
      <c r="H654" s="19"/>
      <c r="I654" s="19"/>
      <c r="J654" s="20"/>
      <c r="K654" s="19"/>
      <c r="L654" s="19"/>
      <c r="M654" s="19"/>
      <c r="N654" s="20"/>
      <c r="O654" s="20"/>
      <c r="P654" s="20"/>
      <c r="Q654" s="20"/>
      <c r="R654" s="20"/>
      <c r="S654" s="20"/>
      <c r="T654" s="708"/>
      <c r="U654" s="708"/>
    </row>
    <row r="655" ht="13.8" spans="1:21">
      <c r="A655" s="19"/>
      <c r="B655" s="20"/>
      <c r="C655" s="20"/>
      <c r="D655" s="19"/>
      <c r="E655" s="19"/>
      <c r="F655" s="19"/>
      <c r="G655" s="19"/>
      <c r="H655" s="19"/>
      <c r="I655" s="19"/>
      <c r="J655" s="20"/>
      <c r="K655" s="19"/>
      <c r="L655" s="19"/>
      <c r="M655" s="19"/>
      <c r="N655" s="20"/>
      <c r="O655" s="20"/>
      <c r="P655" s="20"/>
      <c r="Q655" s="20"/>
      <c r="R655" s="20"/>
      <c r="S655" s="20"/>
      <c r="T655" s="708"/>
      <c r="U655" s="708"/>
    </row>
    <row r="656" ht="13.8" spans="1:21">
      <c r="A656" s="19"/>
      <c r="B656" s="20"/>
      <c r="C656" s="20"/>
      <c r="D656" s="19"/>
      <c r="E656" s="19"/>
      <c r="F656" s="19"/>
      <c r="G656" s="19"/>
      <c r="H656" s="19"/>
      <c r="I656" s="19"/>
      <c r="J656" s="20"/>
      <c r="K656" s="19"/>
      <c r="L656" s="19"/>
      <c r="M656" s="19"/>
      <c r="N656" s="20"/>
      <c r="O656" s="20"/>
      <c r="P656" s="20"/>
      <c r="Q656" s="20"/>
      <c r="R656" s="20"/>
      <c r="S656" s="20"/>
      <c r="T656" s="708"/>
      <c r="U656" s="708"/>
    </row>
    <row r="657" ht="13.8" spans="1:21">
      <c r="A657" s="19"/>
      <c r="B657" s="20"/>
      <c r="C657" s="20"/>
      <c r="D657" s="19"/>
      <c r="E657" s="19"/>
      <c r="F657" s="19"/>
      <c r="G657" s="19"/>
      <c r="H657" s="19"/>
      <c r="I657" s="19"/>
      <c r="J657" s="20"/>
      <c r="K657" s="19"/>
      <c r="L657" s="19"/>
      <c r="M657" s="19"/>
      <c r="N657" s="20"/>
      <c r="O657" s="20"/>
      <c r="P657" s="20"/>
      <c r="Q657" s="20"/>
      <c r="R657" s="20"/>
      <c r="S657" s="20"/>
      <c r="T657" s="708"/>
      <c r="U657" s="708"/>
    </row>
    <row r="658" ht="13.8" spans="1:21">
      <c r="A658" s="19"/>
      <c r="B658" s="20"/>
      <c r="C658" s="20"/>
      <c r="D658" s="19"/>
      <c r="E658" s="19"/>
      <c r="F658" s="19"/>
      <c r="G658" s="19"/>
      <c r="H658" s="19"/>
      <c r="I658" s="19"/>
      <c r="J658" s="20"/>
      <c r="K658" s="19"/>
      <c r="L658" s="19"/>
      <c r="M658" s="19"/>
      <c r="N658" s="20"/>
      <c r="O658" s="20"/>
      <c r="P658" s="20"/>
      <c r="Q658" s="20"/>
      <c r="R658" s="20"/>
      <c r="S658" s="20"/>
      <c r="T658" s="708"/>
      <c r="U658" s="708"/>
    </row>
    <row r="659" ht="13.8" spans="1:21">
      <c r="A659" s="19"/>
      <c r="B659" s="20"/>
      <c r="C659" s="20"/>
      <c r="D659" s="19"/>
      <c r="E659" s="19"/>
      <c r="F659" s="19"/>
      <c r="G659" s="19"/>
      <c r="H659" s="19"/>
      <c r="I659" s="19"/>
      <c r="J659" s="20"/>
      <c r="K659" s="19"/>
      <c r="L659" s="19"/>
      <c r="M659" s="19"/>
      <c r="N659" s="20"/>
      <c r="O659" s="20"/>
      <c r="P659" s="20"/>
      <c r="Q659" s="20"/>
      <c r="R659" s="20"/>
      <c r="S659" s="20"/>
      <c r="T659" s="708"/>
      <c r="U659" s="708"/>
    </row>
    <row r="660" ht="13.8" spans="1:21">
      <c r="A660" s="19"/>
      <c r="B660" s="20"/>
      <c r="C660" s="20"/>
      <c r="D660" s="19"/>
      <c r="E660" s="19"/>
      <c r="F660" s="19"/>
      <c r="G660" s="19"/>
      <c r="H660" s="19"/>
      <c r="I660" s="19"/>
      <c r="J660" s="20"/>
      <c r="K660" s="19"/>
      <c r="L660" s="19"/>
      <c r="M660" s="19"/>
      <c r="N660" s="20"/>
      <c r="O660" s="20"/>
      <c r="P660" s="20"/>
      <c r="Q660" s="20"/>
      <c r="R660" s="20"/>
      <c r="S660" s="20"/>
      <c r="T660" s="708"/>
      <c r="U660" s="708"/>
    </row>
    <row r="661" ht="13.8" spans="1:21">
      <c r="A661" s="19"/>
      <c r="B661" s="20"/>
      <c r="C661" s="20"/>
      <c r="D661" s="19"/>
      <c r="E661" s="19"/>
      <c r="F661" s="19"/>
      <c r="G661" s="19"/>
      <c r="H661" s="19"/>
      <c r="I661" s="19"/>
      <c r="J661" s="20"/>
      <c r="K661" s="19"/>
      <c r="L661" s="19"/>
      <c r="M661" s="19"/>
      <c r="N661" s="20"/>
      <c r="O661" s="20"/>
      <c r="P661" s="20"/>
      <c r="Q661" s="20"/>
      <c r="R661" s="20"/>
      <c r="S661" s="20"/>
      <c r="T661" s="708"/>
      <c r="U661" s="708"/>
    </row>
    <row r="662" ht="13.8" spans="1:21">
      <c r="A662" s="19"/>
      <c r="B662" s="20"/>
      <c r="C662" s="20"/>
      <c r="D662" s="19"/>
      <c r="E662" s="19"/>
      <c r="F662" s="19"/>
      <c r="G662" s="19"/>
      <c r="H662" s="19"/>
      <c r="I662" s="19"/>
      <c r="J662" s="20"/>
      <c r="K662" s="19"/>
      <c r="L662" s="19"/>
      <c r="M662" s="19"/>
      <c r="N662" s="20"/>
      <c r="O662" s="20"/>
      <c r="P662" s="20"/>
      <c r="Q662" s="20"/>
      <c r="R662" s="20"/>
      <c r="S662" s="20"/>
      <c r="T662" s="708"/>
      <c r="U662" s="708"/>
    </row>
    <row r="663" ht="13.8" spans="1:21">
      <c r="A663" s="19"/>
      <c r="B663" s="20"/>
      <c r="C663" s="20"/>
      <c r="D663" s="19"/>
      <c r="E663" s="19"/>
      <c r="F663" s="19"/>
      <c r="G663" s="19"/>
      <c r="H663" s="19"/>
      <c r="I663" s="19"/>
      <c r="J663" s="20"/>
      <c r="K663" s="19"/>
      <c r="L663" s="19"/>
      <c r="M663" s="19"/>
      <c r="N663" s="20"/>
      <c r="O663" s="20"/>
      <c r="P663" s="20"/>
      <c r="Q663" s="20"/>
      <c r="R663" s="20"/>
      <c r="S663" s="20"/>
      <c r="T663" s="708"/>
      <c r="U663" s="708"/>
    </row>
    <row r="664" ht="13.8" spans="1:21">
      <c r="A664" s="19"/>
      <c r="B664" s="20"/>
      <c r="C664" s="20"/>
      <c r="D664" s="19"/>
      <c r="E664" s="19"/>
      <c r="F664" s="19"/>
      <c r="G664" s="19"/>
      <c r="H664" s="19"/>
      <c r="I664" s="19"/>
      <c r="J664" s="20"/>
      <c r="K664" s="19"/>
      <c r="L664" s="19"/>
      <c r="M664" s="19"/>
      <c r="N664" s="20"/>
      <c r="O664" s="20"/>
      <c r="P664" s="20"/>
      <c r="Q664" s="20"/>
      <c r="R664" s="20"/>
      <c r="S664" s="20"/>
      <c r="T664" s="708"/>
      <c r="U664" s="708"/>
    </row>
    <row r="665" ht="13.8" spans="1:21">
      <c r="A665" s="19"/>
      <c r="B665" s="20"/>
      <c r="C665" s="20"/>
      <c r="D665" s="19"/>
      <c r="E665" s="19"/>
      <c r="F665" s="19"/>
      <c r="G665" s="19"/>
      <c r="H665" s="19"/>
      <c r="I665" s="19"/>
      <c r="J665" s="20"/>
      <c r="K665" s="19"/>
      <c r="L665" s="19"/>
      <c r="M665" s="19"/>
      <c r="N665" s="20"/>
      <c r="O665" s="20"/>
      <c r="P665" s="20"/>
      <c r="Q665" s="20"/>
      <c r="R665" s="20"/>
      <c r="S665" s="20"/>
      <c r="T665" s="708"/>
      <c r="U665" s="708"/>
    </row>
    <row r="666" ht="13.8" spans="1:21">
      <c r="A666" s="19"/>
      <c r="B666" s="20"/>
      <c r="C666" s="20"/>
      <c r="D666" s="19"/>
      <c r="E666" s="19"/>
      <c r="F666" s="19"/>
      <c r="G666" s="19"/>
      <c r="H666" s="19"/>
      <c r="I666" s="19"/>
      <c r="J666" s="20"/>
      <c r="K666" s="19"/>
      <c r="L666" s="19"/>
      <c r="M666" s="19"/>
      <c r="N666" s="20"/>
      <c r="O666" s="20"/>
      <c r="P666" s="20"/>
      <c r="Q666" s="20"/>
      <c r="R666" s="20"/>
      <c r="S666" s="20"/>
      <c r="T666" s="708"/>
      <c r="U666" s="708"/>
    </row>
    <row r="667" ht="13.8" spans="1:21">
      <c r="A667" s="19"/>
      <c r="B667" s="20"/>
      <c r="C667" s="20"/>
      <c r="D667" s="19"/>
      <c r="E667" s="19"/>
      <c r="F667" s="19"/>
      <c r="G667" s="19"/>
      <c r="H667" s="19"/>
      <c r="I667" s="19"/>
      <c r="J667" s="20"/>
      <c r="K667" s="19"/>
      <c r="L667" s="19"/>
      <c r="M667" s="19"/>
      <c r="N667" s="20"/>
      <c r="O667" s="20"/>
      <c r="P667" s="20"/>
      <c r="Q667" s="20"/>
      <c r="R667" s="20"/>
      <c r="S667" s="20"/>
      <c r="T667" s="708"/>
      <c r="U667" s="708"/>
    </row>
    <row r="668" ht="13.8" spans="1:21">
      <c r="A668" s="19"/>
      <c r="B668" s="20"/>
      <c r="C668" s="20"/>
      <c r="D668" s="19"/>
      <c r="E668" s="19"/>
      <c r="F668" s="19"/>
      <c r="G668" s="19"/>
      <c r="H668" s="19"/>
      <c r="I668" s="19"/>
      <c r="J668" s="20"/>
      <c r="K668" s="19"/>
      <c r="L668" s="19"/>
      <c r="M668" s="19"/>
      <c r="N668" s="20"/>
      <c r="O668" s="20"/>
      <c r="P668" s="20"/>
      <c r="Q668" s="20"/>
      <c r="R668" s="20"/>
      <c r="S668" s="20"/>
      <c r="T668" s="708"/>
      <c r="U668" s="708"/>
    </row>
    <row r="669" ht="13.8" spans="1:21">
      <c r="A669" s="19"/>
      <c r="B669" s="20"/>
      <c r="C669" s="20"/>
      <c r="D669" s="19"/>
      <c r="E669" s="19"/>
      <c r="F669" s="19"/>
      <c r="G669" s="19"/>
      <c r="H669" s="19"/>
      <c r="I669" s="19"/>
      <c r="J669" s="20"/>
      <c r="K669" s="19"/>
      <c r="L669" s="19"/>
      <c r="M669" s="19"/>
      <c r="N669" s="20"/>
      <c r="O669" s="20"/>
      <c r="P669" s="20"/>
      <c r="Q669" s="20"/>
      <c r="R669" s="20"/>
      <c r="S669" s="20"/>
      <c r="T669" s="708"/>
      <c r="U669" s="708"/>
    </row>
    <row r="670" ht="13.8" spans="1:21">
      <c r="A670" s="19"/>
      <c r="B670" s="20"/>
      <c r="C670" s="20"/>
      <c r="D670" s="19"/>
      <c r="E670" s="19"/>
      <c r="F670" s="19"/>
      <c r="G670" s="19"/>
      <c r="H670" s="19"/>
      <c r="I670" s="19"/>
      <c r="J670" s="20"/>
      <c r="K670" s="19"/>
      <c r="L670" s="19"/>
      <c r="M670" s="19"/>
      <c r="N670" s="20"/>
      <c r="O670" s="20"/>
      <c r="P670" s="20"/>
      <c r="Q670" s="20"/>
      <c r="R670" s="20"/>
      <c r="S670" s="20"/>
      <c r="T670" s="708"/>
      <c r="U670" s="708"/>
    </row>
    <row r="671" ht="13.8" spans="1:21">
      <c r="A671" s="19"/>
      <c r="B671" s="20"/>
      <c r="C671" s="20"/>
      <c r="D671" s="19"/>
      <c r="E671" s="19"/>
      <c r="F671" s="19"/>
      <c r="G671" s="19"/>
      <c r="H671" s="19"/>
      <c r="I671" s="19"/>
      <c r="J671" s="20"/>
      <c r="K671" s="19"/>
      <c r="L671" s="19"/>
      <c r="M671" s="19"/>
      <c r="N671" s="20"/>
      <c r="O671" s="20"/>
      <c r="P671" s="20"/>
      <c r="Q671" s="20"/>
      <c r="R671" s="20"/>
      <c r="S671" s="20"/>
      <c r="T671" s="708"/>
      <c r="U671" s="708"/>
    </row>
    <row r="672" ht="13.8" spans="1:21">
      <c r="A672" s="19"/>
      <c r="B672" s="20"/>
      <c r="C672" s="20"/>
      <c r="D672" s="19"/>
      <c r="E672" s="19"/>
      <c r="F672" s="19"/>
      <c r="G672" s="19"/>
      <c r="H672" s="19"/>
      <c r="I672" s="19"/>
      <c r="J672" s="20"/>
      <c r="K672" s="19"/>
      <c r="L672" s="19"/>
      <c r="M672" s="19"/>
      <c r="N672" s="20"/>
      <c r="O672" s="20"/>
      <c r="P672" s="20"/>
      <c r="Q672" s="20"/>
      <c r="R672" s="20"/>
      <c r="S672" s="20"/>
      <c r="T672" s="708"/>
      <c r="U672" s="708"/>
    </row>
    <row r="673" ht="13.8" spans="1:21">
      <c r="A673" s="19"/>
      <c r="B673" s="20"/>
      <c r="C673" s="20"/>
      <c r="D673" s="19"/>
      <c r="E673" s="19"/>
      <c r="F673" s="19"/>
      <c r="G673" s="19"/>
      <c r="H673" s="19"/>
      <c r="I673" s="19"/>
      <c r="J673" s="20"/>
      <c r="K673" s="19"/>
      <c r="L673" s="19"/>
      <c r="M673" s="19"/>
      <c r="N673" s="20"/>
      <c r="O673" s="20"/>
      <c r="P673" s="20"/>
      <c r="Q673" s="20"/>
      <c r="R673" s="20"/>
      <c r="S673" s="20"/>
      <c r="T673" s="708"/>
      <c r="U673" s="708"/>
    </row>
    <row r="674" ht="13.8" spans="1:21">
      <c r="A674" s="19"/>
      <c r="B674" s="20"/>
      <c r="C674" s="20"/>
      <c r="D674" s="19"/>
      <c r="E674" s="19"/>
      <c r="F674" s="19"/>
      <c r="G674" s="19"/>
      <c r="H674" s="19"/>
      <c r="I674" s="19"/>
      <c r="J674" s="20"/>
      <c r="K674" s="19"/>
      <c r="L674" s="19"/>
      <c r="M674" s="19"/>
      <c r="N674" s="20"/>
      <c r="O674" s="20"/>
      <c r="P674" s="20"/>
      <c r="Q674" s="20"/>
      <c r="R674" s="20"/>
      <c r="S674" s="20"/>
      <c r="T674" s="708"/>
      <c r="U674" s="708"/>
    </row>
    <row r="675" ht="13.8" spans="1:21">
      <c r="A675" s="19"/>
      <c r="B675" s="20"/>
      <c r="C675" s="20"/>
      <c r="D675" s="19"/>
      <c r="E675" s="19"/>
      <c r="F675" s="19"/>
      <c r="G675" s="19"/>
      <c r="H675" s="19"/>
      <c r="I675" s="19"/>
      <c r="J675" s="20"/>
      <c r="K675" s="19"/>
      <c r="L675" s="19"/>
      <c r="M675" s="19"/>
      <c r="N675" s="20"/>
      <c r="O675" s="20"/>
      <c r="P675" s="20"/>
      <c r="Q675" s="20"/>
      <c r="R675" s="20"/>
      <c r="S675" s="20"/>
      <c r="T675" s="708"/>
      <c r="U675" s="708"/>
    </row>
    <row r="676" ht="13.8" spans="1:21">
      <c r="A676" s="19"/>
      <c r="B676" s="20"/>
      <c r="C676" s="20"/>
      <c r="D676" s="19"/>
      <c r="E676" s="19"/>
      <c r="F676" s="19"/>
      <c r="G676" s="19"/>
      <c r="H676" s="19"/>
      <c r="I676" s="19"/>
      <c r="J676" s="20"/>
      <c r="K676" s="19"/>
      <c r="L676" s="19"/>
      <c r="M676" s="19"/>
      <c r="N676" s="20"/>
      <c r="O676" s="20"/>
      <c r="P676" s="20"/>
      <c r="Q676" s="20"/>
      <c r="R676" s="20"/>
      <c r="S676" s="20"/>
      <c r="T676" s="708"/>
      <c r="U676" s="708"/>
    </row>
    <row r="677" ht="13.8" spans="1:21">
      <c r="A677" s="19"/>
      <c r="B677" s="20"/>
      <c r="C677" s="20"/>
      <c r="D677" s="19"/>
      <c r="E677" s="19"/>
      <c r="F677" s="19"/>
      <c r="G677" s="19"/>
      <c r="H677" s="19"/>
      <c r="I677" s="19"/>
      <c r="J677" s="20"/>
      <c r="K677" s="19"/>
      <c r="L677" s="19"/>
      <c r="M677" s="19"/>
      <c r="N677" s="20"/>
      <c r="O677" s="20"/>
      <c r="P677" s="20"/>
      <c r="Q677" s="20"/>
      <c r="R677" s="20"/>
      <c r="S677" s="20"/>
      <c r="T677" s="708"/>
      <c r="U677" s="708"/>
    </row>
    <row r="678" ht="13.8" spans="1:21">
      <c r="A678" s="19"/>
      <c r="B678" s="20"/>
      <c r="C678" s="20"/>
      <c r="D678" s="19"/>
      <c r="E678" s="19"/>
      <c r="F678" s="19"/>
      <c r="G678" s="19"/>
      <c r="H678" s="19"/>
      <c r="I678" s="19"/>
      <c r="J678" s="20"/>
      <c r="K678" s="19"/>
      <c r="L678" s="19"/>
      <c r="M678" s="19"/>
      <c r="N678" s="20"/>
      <c r="O678" s="20"/>
      <c r="P678" s="20"/>
      <c r="Q678" s="20"/>
      <c r="R678" s="20"/>
      <c r="S678" s="20"/>
      <c r="T678" s="708"/>
      <c r="U678" s="708"/>
    </row>
    <row r="679" ht="13.8" spans="1:21">
      <c r="A679" s="19"/>
      <c r="B679" s="20"/>
      <c r="C679" s="20"/>
      <c r="D679" s="19"/>
      <c r="E679" s="19"/>
      <c r="F679" s="19"/>
      <c r="G679" s="19"/>
      <c r="H679" s="19"/>
      <c r="I679" s="19"/>
      <c r="J679" s="20"/>
      <c r="K679" s="19"/>
      <c r="L679" s="19"/>
      <c r="M679" s="19"/>
      <c r="N679" s="20"/>
      <c r="O679" s="20"/>
      <c r="P679" s="20"/>
      <c r="Q679" s="20"/>
      <c r="R679" s="20"/>
      <c r="S679" s="20"/>
      <c r="T679" s="708"/>
      <c r="U679" s="708"/>
    </row>
    <row r="680" ht="13.8" spans="1:21">
      <c r="A680" s="19"/>
      <c r="B680" s="20"/>
      <c r="C680" s="20"/>
      <c r="D680" s="19"/>
      <c r="E680" s="19"/>
      <c r="F680" s="19"/>
      <c r="G680" s="19"/>
      <c r="H680" s="19"/>
      <c r="I680" s="19"/>
      <c r="J680" s="20"/>
      <c r="K680" s="19"/>
      <c r="L680" s="19"/>
      <c r="M680" s="19"/>
      <c r="N680" s="20"/>
      <c r="O680" s="20"/>
      <c r="P680" s="20"/>
      <c r="Q680" s="20"/>
      <c r="R680" s="20"/>
      <c r="S680" s="20"/>
      <c r="T680" s="708"/>
      <c r="U680" s="708"/>
    </row>
    <row r="681" ht="13.8" spans="1:21">
      <c r="A681" s="19"/>
      <c r="B681" s="20"/>
      <c r="C681" s="20"/>
      <c r="D681" s="19"/>
      <c r="E681" s="19"/>
      <c r="F681" s="19"/>
      <c r="G681" s="19"/>
      <c r="H681" s="19"/>
      <c r="I681" s="19"/>
      <c r="J681" s="20"/>
      <c r="K681" s="19"/>
      <c r="L681" s="19"/>
      <c r="M681" s="19"/>
      <c r="N681" s="20"/>
      <c r="O681" s="20"/>
      <c r="P681" s="20"/>
      <c r="Q681" s="20"/>
      <c r="R681" s="20"/>
      <c r="S681" s="20"/>
      <c r="T681" s="708"/>
      <c r="U681" s="708"/>
    </row>
    <row r="682" ht="13.8" spans="1:21">
      <c r="A682" s="19"/>
      <c r="B682" s="20"/>
      <c r="C682" s="20"/>
      <c r="D682" s="19"/>
      <c r="E682" s="19"/>
      <c r="F682" s="19"/>
      <c r="G682" s="19"/>
      <c r="H682" s="19"/>
      <c r="I682" s="19"/>
      <c r="J682" s="20"/>
      <c r="K682" s="19"/>
      <c r="L682" s="19"/>
      <c r="M682" s="19"/>
      <c r="N682" s="20"/>
      <c r="O682" s="20"/>
      <c r="P682" s="20"/>
      <c r="Q682" s="20"/>
      <c r="R682" s="20"/>
      <c r="S682" s="20"/>
      <c r="T682" s="708"/>
      <c r="U682" s="708"/>
    </row>
    <row r="683" ht="13.8" spans="1:21">
      <c r="A683" s="19"/>
      <c r="B683" s="20"/>
      <c r="C683" s="20"/>
      <c r="D683" s="19"/>
      <c r="E683" s="19"/>
      <c r="F683" s="19"/>
      <c r="G683" s="19"/>
      <c r="H683" s="19"/>
      <c r="I683" s="19"/>
      <c r="J683" s="20"/>
      <c r="K683" s="19"/>
      <c r="L683" s="19"/>
      <c r="M683" s="19"/>
      <c r="N683" s="20"/>
      <c r="O683" s="20"/>
      <c r="P683" s="20"/>
      <c r="Q683" s="20"/>
      <c r="R683" s="20"/>
      <c r="S683" s="20"/>
      <c r="T683" s="708"/>
      <c r="U683" s="708"/>
    </row>
    <row r="684" ht="13.8" spans="1:21">
      <c r="A684" s="19"/>
      <c r="B684" s="20"/>
      <c r="C684" s="20"/>
      <c r="D684" s="19"/>
      <c r="E684" s="19"/>
      <c r="F684" s="19"/>
      <c r="G684" s="19"/>
      <c r="H684" s="19"/>
      <c r="I684" s="19"/>
      <c r="J684" s="20"/>
      <c r="K684" s="19"/>
      <c r="L684" s="19"/>
      <c r="M684" s="19"/>
      <c r="N684" s="20"/>
      <c r="O684" s="20"/>
      <c r="P684" s="20"/>
      <c r="Q684" s="20"/>
      <c r="R684" s="20"/>
      <c r="S684" s="20"/>
      <c r="T684" s="708"/>
      <c r="U684" s="708"/>
    </row>
    <row r="685" ht="13.8" spans="1:21">
      <c r="A685" s="19"/>
      <c r="B685" s="20"/>
      <c r="C685" s="20"/>
      <c r="D685" s="19"/>
      <c r="E685" s="19"/>
      <c r="F685" s="19"/>
      <c r="G685" s="19"/>
      <c r="H685" s="19"/>
      <c r="I685" s="19"/>
      <c r="J685" s="20"/>
      <c r="K685" s="19"/>
      <c r="L685" s="19"/>
      <c r="M685" s="19"/>
      <c r="N685" s="20"/>
      <c r="O685" s="20"/>
      <c r="P685" s="20"/>
      <c r="Q685" s="20"/>
      <c r="R685" s="20"/>
      <c r="S685" s="20"/>
      <c r="T685" s="708"/>
      <c r="U685" s="708"/>
    </row>
    <row r="686" ht="13.8" spans="1:21">
      <c r="A686" s="19"/>
      <c r="B686" s="20"/>
      <c r="C686" s="20"/>
      <c r="D686" s="19"/>
      <c r="E686" s="19"/>
      <c r="F686" s="19"/>
      <c r="G686" s="19"/>
      <c r="H686" s="19"/>
      <c r="I686" s="19"/>
      <c r="J686" s="20"/>
      <c r="K686" s="19"/>
      <c r="L686" s="19"/>
      <c r="M686" s="19"/>
      <c r="N686" s="20"/>
      <c r="O686" s="20"/>
      <c r="P686" s="20"/>
      <c r="Q686" s="20"/>
      <c r="R686" s="20"/>
      <c r="S686" s="20"/>
      <c r="T686" s="708"/>
      <c r="U686" s="708"/>
    </row>
    <row r="687" ht="13.8" spans="1:21">
      <c r="A687" s="19"/>
      <c r="B687" s="20"/>
      <c r="C687" s="20"/>
      <c r="D687" s="19"/>
      <c r="E687" s="19"/>
      <c r="F687" s="19"/>
      <c r="G687" s="19"/>
      <c r="H687" s="19"/>
      <c r="I687" s="19"/>
      <c r="J687" s="20"/>
      <c r="K687" s="19"/>
      <c r="L687" s="19"/>
      <c r="M687" s="19"/>
      <c r="N687" s="20"/>
      <c r="O687" s="20"/>
      <c r="P687" s="20"/>
      <c r="Q687" s="20"/>
      <c r="R687" s="20"/>
      <c r="S687" s="20"/>
      <c r="T687" s="708"/>
      <c r="U687" s="708"/>
    </row>
    <row r="688" ht="13.8" spans="1:21">
      <c r="A688" s="19"/>
      <c r="B688" s="20"/>
      <c r="C688" s="20"/>
      <c r="D688" s="19"/>
      <c r="E688" s="19"/>
      <c r="F688" s="19"/>
      <c r="G688" s="19"/>
      <c r="H688" s="19"/>
      <c r="I688" s="19"/>
      <c r="J688" s="20"/>
      <c r="K688" s="19"/>
      <c r="L688" s="19"/>
      <c r="M688" s="19"/>
      <c r="N688" s="20"/>
      <c r="O688" s="20"/>
      <c r="P688" s="20"/>
      <c r="Q688" s="20"/>
      <c r="R688" s="20"/>
      <c r="S688" s="20"/>
      <c r="T688" s="708"/>
      <c r="U688" s="708"/>
    </row>
    <row r="689" ht="13.8" spans="1:21">
      <c r="A689" s="19"/>
      <c r="B689" s="20"/>
      <c r="C689" s="20"/>
      <c r="D689" s="19"/>
      <c r="E689" s="19"/>
      <c r="F689" s="19"/>
      <c r="G689" s="19"/>
      <c r="H689" s="19"/>
      <c r="I689" s="19"/>
      <c r="J689" s="20"/>
      <c r="K689" s="19"/>
      <c r="L689" s="19"/>
      <c r="M689" s="19"/>
      <c r="N689" s="20"/>
      <c r="O689" s="20"/>
      <c r="P689" s="20"/>
      <c r="Q689" s="20"/>
      <c r="R689" s="20"/>
      <c r="S689" s="20"/>
      <c r="T689" s="708"/>
      <c r="U689" s="708"/>
    </row>
    <row r="690" ht="13.8" spans="1:21">
      <c r="A690" s="19"/>
      <c r="B690" s="20"/>
      <c r="C690" s="20"/>
      <c r="D690" s="19"/>
      <c r="E690" s="19"/>
      <c r="F690" s="19"/>
      <c r="G690" s="19"/>
      <c r="H690" s="19"/>
      <c r="I690" s="19"/>
      <c r="J690" s="20"/>
      <c r="K690" s="19"/>
      <c r="L690" s="19"/>
      <c r="M690" s="19"/>
      <c r="N690" s="20"/>
      <c r="O690" s="20"/>
      <c r="P690" s="20"/>
      <c r="Q690" s="20"/>
      <c r="R690" s="20"/>
      <c r="S690" s="20"/>
      <c r="T690" s="708"/>
      <c r="U690" s="708"/>
    </row>
    <row r="691" ht="13.8" spans="1:21">
      <c r="A691" s="19"/>
      <c r="B691" s="20"/>
      <c r="C691" s="20"/>
      <c r="D691" s="19"/>
      <c r="E691" s="19"/>
      <c r="F691" s="19"/>
      <c r="G691" s="19"/>
      <c r="H691" s="19"/>
      <c r="I691" s="19"/>
      <c r="J691" s="20"/>
      <c r="K691" s="19"/>
      <c r="L691" s="19"/>
      <c r="M691" s="19"/>
      <c r="N691" s="20"/>
      <c r="O691" s="20"/>
      <c r="P691" s="20"/>
      <c r="Q691" s="20"/>
      <c r="R691" s="20"/>
      <c r="S691" s="20"/>
      <c r="T691" s="708"/>
      <c r="U691" s="708"/>
    </row>
    <row r="692" ht="13.8" spans="1:21">
      <c r="A692" s="19"/>
      <c r="B692" s="20"/>
      <c r="C692" s="20"/>
      <c r="D692" s="19"/>
      <c r="E692" s="19"/>
      <c r="F692" s="19"/>
      <c r="G692" s="19"/>
      <c r="H692" s="19"/>
      <c r="I692" s="19"/>
      <c r="J692" s="20"/>
      <c r="K692" s="19"/>
      <c r="L692" s="19"/>
      <c r="M692" s="19"/>
      <c r="N692" s="20"/>
      <c r="O692" s="20"/>
      <c r="P692" s="20"/>
      <c r="Q692" s="20"/>
      <c r="R692" s="20"/>
      <c r="S692" s="20"/>
      <c r="T692" s="708"/>
      <c r="U692" s="708"/>
    </row>
    <row r="693" ht="13.8" spans="1:21">
      <c r="A693" s="19"/>
      <c r="B693" s="20"/>
      <c r="C693" s="20"/>
      <c r="D693" s="19"/>
      <c r="E693" s="19"/>
      <c r="F693" s="19"/>
      <c r="G693" s="19"/>
      <c r="H693" s="19"/>
      <c r="I693" s="19"/>
      <c r="J693" s="20"/>
      <c r="K693" s="19"/>
      <c r="L693" s="19"/>
      <c r="M693" s="19"/>
      <c r="N693" s="20"/>
      <c r="O693" s="20"/>
      <c r="P693" s="20"/>
      <c r="Q693" s="20"/>
      <c r="R693" s="20"/>
      <c r="S693" s="20"/>
      <c r="T693" s="708"/>
      <c r="U693" s="708"/>
    </row>
    <row r="694" ht="13.8" spans="1:21">
      <c r="A694" s="19"/>
      <c r="B694" s="20"/>
      <c r="C694" s="20"/>
      <c r="D694" s="19"/>
      <c r="E694" s="19"/>
      <c r="F694" s="19"/>
      <c r="G694" s="19"/>
      <c r="H694" s="19"/>
      <c r="I694" s="19"/>
      <c r="J694" s="20"/>
      <c r="K694" s="19"/>
      <c r="L694" s="19"/>
      <c r="M694" s="19"/>
      <c r="N694" s="20"/>
      <c r="O694" s="20"/>
      <c r="P694" s="20"/>
      <c r="Q694" s="20"/>
      <c r="R694" s="20"/>
      <c r="S694" s="20"/>
      <c r="T694" s="708"/>
      <c r="U694" s="708"/>
    </row>
    <row r="695" ht="13.8" spans="1:21">
      <c r="A695" s="19"/>
      <c r="B695" s="20"/>
      <c r="C695" s="20"/>
      <c r="D695" s="19"/>
      <c r="E695" s="19"/>
      <c r="F695" s="19"/>
      <c r="G695" s="19"/>
      <c r="H695" s="19"/>
      <c r="I695" s="19"/>
      <c r="J695" s="20"/>
      <c r="K695" s="19"/>
      <c r="L695" s="19"/>
      <c r="M695" s="19"/>
      <c r="N695" s="20"/>
      <c r="O695" s="20"/>
      <c r="P695" s="20"/>
      <c r="Q695" s="20"/>
      <c r="R695" s="20"/>
      <c r="S695" s="20"/>
      <c r="T695" s="708"/>
      <c r="U695" s="708"/>
    </row>
    <row r="696" ht="13.8" spans="1:21">
      <c r="A696" s="19"/>
      <c r="B696" s="20"/>
      <c r="C696" s="20"/>
      <c r="D696" s="19"/>
      <c r="E696" s="19"/>
      <c r="F696" s="19"/>
      <c r="G696" s="19"/>
      <c r="H696" s="19"/>
      <c r="I696" s="19"/>
      <c r="J696" s="20"/>
      <c r="K696" s="19"/>
      <c r="L696" s="19"/>
      <c r="M696" s="19"/>
      <c r="N696" s="20"/>
      <c r="O696" s="20"/>
      <c r="P696" s="20"/>
      <c r="Q696" s="20"/>
      <c r="R696" s="20"/>
      <c r="S696" s="20"/>
      <c r="T696" s="708"/>
      <c r="U696" s="708"/>
    </row>
    <row r="697" ht="13.8" spans="1:21">
      <c r="A697" s="19"/>
      <c r="B697" s="20"/>
      <c r="C697" s="20"/>
      <c r="D697" s="19"/>
      <c r="E697" s="19"/>
      <c r="F697" s="19"/>
      <c r="G697" s="19"/>
      <c r="H697" s="19"/>
      <c r="I697" s="19"/>
      <c r="J697" s="20"/>
      <c r="K697" s="19"/>
      <c r="L697" s="19"/>
      <c r="M697" s="19"/>
      <c r="N697" s="20"/>
      <c r="O697" s="20"/>
      <c r="P697" s="20"/>
      <c r="Q697" s="20"/>
      <c r="R697" s="20"/>
      <c r="S697" s="20"/>
      <c r="T697" s="708"/>
      <c r="U697" s="708"/>
    </row>
    <row r="698" ht="13.8" spans="1:21">
      <c r="A698" s="19"/>
      <c r="B698" s="20"/>
      <c r="C698" s="20"/>
      <c r="D698" s="19"/>
      <c r="E698" s="19"/>
      <c r="F698" s="19"/>
      <c r="G698" s="19"/>
      <c r="H698" s="19"/>
      <c r="I698" s="19"/>
      <c r="J698" s="20"/>
      <c r="K698" s="19"/>
      <c r="L698" s="19"/>
      <c r="M698" s="19"/>
      <c r="N698" s="20"/>
      <c r="O698" s="20"/>
      <c r="P698" s="20"/>
      <c r="Q698" s="20"/>
      <c r="R698" s="20"/>
      <c r="S698" s="20"/>
      <c r="T698" s="708"/>
      <c r="U698" s="708"/>
    </row>
    <row r="699" ht="13.8" spans="1:21">
      <c r="A699" s="19"/>
      <c r="B699" s="20"/>
      <c r="C699" s="20"/>
      <c r="D699" s="19"/>
      <c r="E699" s="19"/>
      <c r="F699" s="19"/>
      <c r="G699" s="19"/>
      <c r="H699" s="19"/>
      <c r="I699" s="19"/>
      <c r="J699" s="20"/>
      <c r="K699" s="19"/>
      <c r="L699" s="19"/>
      <c r="M699" s="19"/>
      <c r="N699" s="20"/>
      <c r="O699" s="20"/>
      <c r="P699" s="20"/>
      <c r="Q699" s="20"/>
      <c r="R699" s="20"/>
      <c r="S699" s="20"/>
      <c r="T699" s="708"/>
      <c r="U699" s="708"/>
    </row>
    <row r="700" ht="13.8" spans="1:21">
      <c r="A700" s="19"/>
      <c r="B700" s="20"/>
      <c r="C700" s="20"/>
      <c r="D700" s="19"/>
      <c r="E700" s="19"/>
      <c r="F700" s="19"/>
      <c r="G700" s="19"/>
      <c r="H700" s="19"/>
      <c r="I700" s="19"/>
      <c r="J700" s="20"/>
      <c r="K700" s="19"/>
      <c r="L700" s="19"/>
      <c r="M700" s="19"/>
      <c r="N700" s="20"/>
      <c r="O700" s="20"/>
      <c r="P700" s="20"/>
      <c r="Q700" s="20"/>
      <c r="R700" s="20"/>
      <c r="S700" s="20"/>
      <c r="T700" s="708"/>
      <c r="U700" s="708"/>
    </row>
    <row r="701" ht="13.8" spans="1:21">
      <c r="A701" s="19"/>
      <c r="B701" s="20"/>
      <c r="C701" s="20"/>
      <c r="D701" s="19"/>
      <c r="E701" s="19"/>
      <c r="F701" s="19"/>
      <c r="G701" s="19"/>
      <c r="H701" s="19"/>
      <c r="I701" s="19"/>
      <c r="J701" s="20"/>
      <c r="K701" s="19"/>
      <c r="L701" s="19"/>
      <c r="M701" s="19"/>
      <c r="N701" s="20"/>
      <c r="O701" s="20"/>
      <c r="P701" s="20"/>
      <c r="Q701" s="20"/>
      <c r="R701" s="20"/>
      <c r="S701" s="20"/>
      <c r="T701" s="708"/>
      <c r="U701" s="708"/>
    </row>
    <row r="702" ht="13.8" spans="1:21">
      <c r="A702" s="19"/>
      <c r="B702" s="20"/>
      <c r="C702" s="20"/>
      <c r="D702" s="19"/>
      <c r="E702" s="19"/>
      <c r="F702" s="19"/>
      <c r="G702" s="19"/>
      <c r="H702" s="19"/>
      <c r="I702" s="19"/>
      <c r="J702" s="20"/>
      <c r="K702" s="19"/>
      <c r="L702" s="19"/>
      <c r="M702" s="19"/>
      <c r="N702" s="20"/>
      <c r="O702" s="20"/>
      <c r="P702" s="20"/>
      <c r="Q702" s="20"/>
      <c r="R702" s="20"/>
      <c r="S702" s="20"/>
      <c r="T702" s="708"/>
      <c r="U702" s="708"/>
    </row>
    <row r="703" ht="13.8" spans="1:21">
      <c r="A703" s="19"/>
      <c r="B703" s="20"/>
      <c r="C703" s="20"/>
      <c r="D703" s="19"/>
      <c r="E703" s="19"/>
      <c r="F703" s="19"/>
      <c r="G703" s="19"/>
      <c r="H703" s="19"/>
      <c r="I703" s="19"/>
      <c r="J703" s="20"/>
      <c r="K703" s="19"/>
      <c r="L703" s="19"/>
      <c r="M703" s="19"/>
      <c r="N703" s="20"/>
      <c r="O703" s="20"/>
      <c r="P703" s="20"/>
      <c r="Q703" s="20"/>
      <c r="R703" s="20"/>
      <c r="S703" s="20"/>
      <c r="T703" s="708"/>
      <c r="U703" s="708"/>
    </row>
    <row r="704" ht="13.8" spans="1:21">
      <c r="A704" s="19"/>
      <c r="B704" s="20"/>
      <c r="C704" s="20"/>
      <c r="D704" s="19"/>
      <c r="E704" s="19"/>
      <c r="F704" s="19"/>
      <c r="G704" s="19"/>
      <c r="H704" s="19"/>
      <c r="I704" s="19"/>
      <c r="J704" s="20"/>
      <c r="K704" s="19"/>
      <c r="L704" s="19"/>
      <c r="M704" s="19"/>
      <c r="N704" s="20"/>
      <c r="O704" s="20"/>
      <c r="P704" s="20"/>
      <c r="Q704" s="20"/>
      <c r="R704" s="20"/>
      <c r="S704" s="20"/>
      <c r="T704" s="708"/>
      <c r="U704" s="708"/>
    </row>
    <row r="705" ht="13.8" spans="1:21">
      <c r="A705" s="19"/>
      <c r="B705" s="20"/>
      <c r="C705" s="20"/>
      <c r="D705" s="19"/>
      <c r="E705" s="19"/>
      <c r="F705" s="19"/>
      <c r="G705" s="19"/>
      <c r="H705" s="19"/>
      <c r="I705" s="19"/>
      <c r="J705" s="20"/>
      <c r="K705" s="19"/>
      <c r="L705" s="19"/>
      <c r="M705" s="19"/>
      <c r="N705" s="20"/>
      <c r="O705" s="20"/>
      <c r="P705" s="20"/>
      <c r="Q705" s="20"/>
      <c r="R705" s="20"/>
      <c r="S705" s="20"/>
      <c r="T705" s="708"/>
      <c r="U705" s="708"/>
    </row>
    <row r="706" ht="13.8" spans="1:21">
      <c r="A706" s="19"/>
      <c r="B706" s="20"/>
      <c r="C706" s="20"/>
      <c r="D706" s="19"/>
      <c r="E706" s="19"/>
      <c r="F706" s="19"/>
      <c r="G706" s="19"/>
      <c r="H706" s="19"/>
      <c r="I706" s="19"/>
      <c r="J706" s="20"/>
      <c r="K706" s="19"/>
      <c r="L706" s="19"/>
      <c r="M706" s="19"/>
      <c r="N706" s="20"/>
      <c r="O706" s="20"/>
      <c r="P706" s="20"/>
      <c r="Q706" s="20"/>
      <c r="R706" s="20"/>
      <c r="S706" s="20"/>
      <c r="T706" s="708"/>
      <c r="U706" s="708"/>
    </row>
    <row r="707" ht="13.8" spans="1:21">
      <c r="A707" s="19"/>
      <c r="B707" s="20"/>
      <c r="C707" s="20"/>
      <c r="D707" s="19"/>
      <c r="E707" s="19"/>
      <c r="F707" s="19"/>
      <c r="G707" s="19"/>
      <c r="H707" s="19"/>
      <c r="I707" s="19"/>
      <c r="J707" s="20"/>
      <c r="K707" s="19"/>
      <c r="L707" s="19"/>
      <c r="M707" s="19"/>
      <c r="N707" s="20"/>
      <c r="O707" s="20"/>
      <c r="P707" s="20"/>
      <c r="Q707" s="20"/>
      <c r="R707" s="20"/>
      <c r="S707" s="20"/>
      <c r="T707" s="708"/>
      <c r="U707" s="708"/>
    </row>
    <row r="708" ht="13.8" spans="1:21">
      <c r="A708" s="19"/>
      <c r="B708" s="20"/>
      <c r="C708" s="20"/>
      <c r="D708" s="19"/>
      <c r="E708" s="19"/>
      <c r="F708" s="19"/>
      <c r="G708" s="19"/>
      <c r="H708" s="19"/>
      <c r="I708" s="19"/>
      <c r="J708" s="20"/>
      <c r="K708" s="19"/>
      <c r="L708" s="19"/>
      <c r="M708" s="19"/>
      <c r="N708" s="20"/>
      <c r="O708" s="20"/>
      <c r="P708" s="20"/>
      <c r="Q708" s="20"/>
      <c r="R708" s="20"/>
      <c r="S708" s="20"/>
      <c r="T708" s="708"/>
      <c r="U708" s="708"/>
    </row>
    <row r="709" ht="13.8" spans="1:21">
      <c r="A709" s="19"/>
      <c r="B709" s="20"/>
      <c r="C709" s="20"/>
      <c r="D709" s="19"/>
      <c r="E709" s="19"/>
      <c r="F709" s="19"/>
      <c r="G709" s="19"/>
      <c r="H709" s="19"/>
      <c r="I709" s="19"/>
      <c r="J709" s="20"/>
      <c r="K709" s="19"/>
      <c r="L709" s="19"/>
      <c r="M709" s="19"/>
      <c r="N709" s="20"/>
      <c r="O709" s="20"/>
      <c r="P709" s="20"/>
      <c r="Q709" s="20"/>
      <c r="R709" s="20"/>
      <c r="S709" s="20"/>
      <c r="T709" s="708"/>
      <c r="U709" s="708"/>
    </row>
    <row r="710" ht="13.8" spans="1:21">
      <c r="A710" s="19"/>
      <c r="B710" s="20"/>
      <c r="C710" s="20"/>
      <c r="D710" s="19"/>
      <c r="E710" s="19"/>
      <c r="F710" s="19"/>
      <c r="G710" s="19"/>
      <c r="H710" s="19"/>
      <c r="I710" s="19"/>
      <c r="J710" s="20"/>
      <c r="K710" s="19"/>
      <c r="L710" s="19"/>
      <c r="M710" s="19"/>
      <c r="N710" s="20"/>
      <c r="O710" s="20"/>
      <c r="P710" s="20"/>
      <c r="Q710" s="20"/>
      <c r="R710" s="20"/>
      <c r="S710" s="20"/>
      <c r="T710" s="708"/>
      <c r="U710" s="708"/>
    </row>
    <row r="711" ht="13.8" spans="1:21">
      <c r="A711" s="19"/>
      <c r="B711" s="20"/>
      <c r="C711" s="20"/>
      <c r="D711" s="19"/>
      <c r="E711" s="19"/>
      <c r="F711" s="19"/>
      <c r="G711" s="19"/>
      <c r="H711" s="19"/>
      <c r="I711" s="19"/>
      <c r="J711" s="20"/>
      <c r="K711" s="19"/>
      <c r="L711" s="19"/>
      <c r="M711" s="19"/>
      <c r="N711" s="20"/>
      <c r="O711" s="20"/>
      <c r="P711" s="20"/>
      <c r="Q711" s="20"/>
      <c r="R711" s="20"/>
      <c r="S711" s="20"/>
      <c r="T711" s="708"/>
      <c r="U711" s="708"/>
    </row>
    <row r="712" ht="13.8" spans="1:21">
      <c r="A712" s="19"/>
      <c r="B712" s="20"/>
      <c r="C712" s="20"/>
      <c r="D712" s="19"/>
      <c r="E712" s="19"/>
      <c r="F712" s="19"/>
      <c r="G712" s="19"/>
      <c r="H712" s="19"/>
      <c r="I712" s="19"/>
      <c r="J712" s="20"/>
      <c r="K712" s="19"/>
      <c r="L712" s="19"/>
      <c r="M712" s="19"/>
      <c r="N712" s="20"/>
      <c r="O712" s="20"/>
      <c r="P712" s="20"/>
      <c r="Q712" s="20"/>
      <c r="R712" s="20"/>
      <c r="S712" s="20"/>
      <c r="T712" s="708"/>
      <c r="U712" s="708"/>
    </row>
    <row r="713" ht="13.8" spans="1:21">
      <c r="A713" s="19"/>
      <c r="B713" s="20"/>
      <c r="C713" s="20"/>
      <c r="D713" s="19"/>
      <c r="E713" s="19"/>
      <c r="F713" s="19"/>
      <c r="G713" s="19"/>
      <c r="H713" s="19"/>
      <c r="I713" s="19"/>
      <c r="J713" s="20"/>
      <c r="K713" s="19"/>
      <c r="L713" s="19"/>
      <c r="M713" s="19"/>
      <c r="N713" s="20"/>
      <c r="O713" s="20"/>
      <c r="P713" s="20"/>
      <c r="Q713" s="20"/>
      <c r="R713" s="20"/>
      <c r="S713" s="20"/>
      <c r="T713" s="708"/>
      <c r="U713" s="708"/>
    </row>
    <row r="714" ht="13.8" spans="1:21">
      <c r="A714" s="19"/>
      <c r="B714" s="20"/>
      <c r="C714" s="20"/>
      <c r="D714" s="19"/>
      <c r="E714" s="19"/>
      <c r="F714" s="19"/>
      <c r="G714" s="19"/>
      <c r="H714" s="19"/>
      <c r="I714" s="19"/>
      <c r="J714" s="20"/>
      <c r="K714" s="19"/>
      <c r="L714" s="19"/>
      <c r="M714" s="19"/>
      <c r="N714" s="20"/>
      <c r="O714" s="20"/>
      <c r="P714" s="20"/>
      <c r="Q714" s="20"/>
      <c r="R714" s="20"/>
      <c r="S714" s="20"/>
      <c r="T714" s="708"/>
      <c r="U714" s="708"/>
    </row>
    <row r="715" ht="13.8" spans="1:21">
      <c r="A715" s="19"/>
      <c r="B715" s="20"/>
      <c r="C715" s="20"/>
      <c r="D715" s="19"/>
      <c r="E715" s="19"/>
      <c r="F715" s="19"/>
      <c r="G715" s="19"/>
      <c r="H715" s="19"/>
      <c r="I715" s="19"/>
      <c r="J715" s="20"/>
      <c r="K715" s="19"/>
      <c r="L715" s="19"/>
      <c r="M715" s="19"/>
      <c r="N715" s="20"/>
      <c r="O715" s="20"/>
      <c r="P715" s="20"/>
      <c r="Q715" s="20"/>
      <c r="R715" s="20"/>
      <c r="S715" s="20"/>
      <c r="T715" s="708"/>
      <c r="U715" s="708"/>
    </row>
    <row r="716" ht="13.8" spans="1:21">
      <c r="A716" s="19"/>
      <c r="B716" s="20"/>
      <c r="C716" s="20"/>
      <c r="D716" s="19"/>
      <c r="E716" s="19"/>
      <c r="F716" s="19"/>
      <c r="G716" s="19"/>
      <c r="H716" s="19"/>
      <c r="I716" s="19"/>
      <c r="J716" s="20"/>
      <c r="K716" s="19"/>
      <c r="L716" s="19"/>
      <c r="M716" s="19"/>
      <c r="N716" s="20"/>
      <c r="O716" s="20"/>
      <c r="P716" s="20"/>
      <c r="Q716" s="20"/>
      <c r="R716" s="20"/>
      <c r="S716" s="20"/>
      <c r="T716" s="708"/>
      <c r="U716" s="708"/>
    </row>
    <row r="717" ht="13.8" spans="1:21">
      <c r="A717" s="19"/>
      <c r="B717" s="20"/>
      <c r="C717" s="20"/>
      <c r="D717" s="19"/>
      <c r="E717" s="19"/>
      <c r="F717" s="19"/>
      <c r="G717" s="19"/>
      <c r="H717" s="19"/>
      <c r="I717" s="19"/>
      <c r="J717" s="20"/>
      <c r="K717" s="19"/>
      <c r="L717" s="19"/>
      <c r="M717" s="19"/>
      <c r="N717" s="20"/>
      <c r="O717" s="20"/>
      <c r="P717" s="20"/>
      <c r="Q717" s="20"/>
      <c r="R717" s="20"/>
      <c r="S717" s="20"/>
      <c r="T717" s="708"/>
      <c r="U717" s="708"/>
    </row>
    <row r="718" ht="13.8" spans="1:21">
      <c r="A718" s="19"/>
      <c r="B718" s="20"/>
      <c r="C718" s="20"/>
      <c r="D718" s="19"/>
      <c r="E718" s="19"/>
      <c r="F718" s="19"/>
      <c r="G718" s="19"/>
      <c r="H718" s="19"/>
      <c r="I718" s="19"/>
      <c r="J718" s="20"/>
      <c r="K718" s="19"/>
      <c r="L718" s="19"/>
      <c r="M718" s="19"/>
      <c r="N718" s="20"/>
      <c r="O718" s="20"/>
      <c r="P718" s="20"/>
      <c r="Q718" s="20"/>
      <c r="R718" s="20"/>
      <c r="S718" s="20"/>
      <c r="T718" s="708"/>
      <c r="U718" s="708"/>
    </row>
    <row r="719" ht="13.8" spans="1:21">
      <c r="A719" s="19"/>
      <c r="B719" s="20"/>
      <c r="C719" s="20"/>
      <c r="D719" s="19"/>
      <c r="E719" s="19"/>
      <c r="F719" s="19"/>
      <c r="G719" s="19"/>
      <c r="H719" s="19"/>
      <c r="I719" s="19"/>
      <c r="J719" s="20"/>
      <c r="K719" s="19"/>
      <c r="L719" s="19"/>
      <c r="M719" s="19"/>
      <c r="N719" s="20"/>
      <c r="O719" s="20"/>
      <c r="P719" s="20"/>
      <c r="Q719" s="20"/>
      <c r="R719" s="20"/>
      <c r="S719" s="20"/>
      <c r="T719" s="708"/>
      <c r="U719" s="708"/>
    </row>
    <row r="720" ht="13.8" spans="1:21">
      <c r="A720" s="19"/>
      <c r="B720" s="20"/>
      <c r="C720" s="20"/>
      <c r="D720" s="19"/>
      <c r="E720" s="19"/>
      <c r="F720" s="19"/>
      <c r="G720" s="19"/>
      <c r="H720" s="19"/>
      <c r="I720" s="19"/>
      <c r="J720" s="20"/>
      <c r="K720" s="19"/>
      <c r="L720" s="19"/>
      <c r="M720" s="19"/>
      <c r="N720" s="20"/>
      <c r="O720" s="20"/>
      <c r="P720" s="20"/>
      <c r="Q720" s="20"/>
      <c r="R720" s="20"/>
      <c r="S720" s="20"/>
      <c r="T720" s="708"/>
      <c r="U720" s="708"/>
    </row>
    <row r="721" ht="13.8" spans="1:21">
      <c r="A721" s="19"/>
      <c r="B721" s="20"/>
      <c r="C721" s="20"/>
      <c r="D721" s="19"/>
      <c r="E721" s="19"/>
      <c r="F721" s="19"/>
      <c r="G721" s="19"/>
      <c r="H721" s="19"/>
      <c r="I721" s="19"/>
      <c r="J721" s="20"/>
      <c r="K721" s="19"/>
      <c r="L721" s="19"/>
      <c r="M721" s="19"/>
      <c r="N721" s="20"/>
      <c r="O721" s="20"/>
      <c r="P721" s="20"/>
      <c r="Q721" s="20"/>
      <c r="R721" s="20"/>
      <c r="S721" s="20"/>
      <c r="T721" s="708"/>
      <c r="U721" s="708"/>
    </row>
    <row r="722" ht="13.8" spans="1:21">
      <c r="A722" s="19"/>
      <c r="B722" s="20"/>
      <c r="C722" s="20"/>
      <c r="D722" s="19"/>
      <c r="E722" s="19"/>
      <c r="F722" s="19"/>
      <c r="G722" s="19"/>
      <c r="H722" s="19"/>
      <c r="I722" s="19"/>
      <c r="J722" s="20"/>
      <c r="K722" s="19"/>
      <c r="L722" s="19"/>
      <c r="M722" s="19"/>
      <c r="N722" s="20"/>
      <c r="O722" s="20"/>
      <c r="P722" s="20"/>
      <c r="Q722" s="20"/>
      <c r="R722" s="20"/>
      <c r="S722" s="20"/>
      <c r="T722" s="708"/>
      <c r="U722" s="708"/>
    </row>
    <row r="723" ht="13.8" spans="1:21">
      <c r="A723" s="19"/>
      <c r="B723" s="20"/>
      <c r="C723" s="20"/>
      <c r="D723" s="19"/>
      <c r="E723" s="19"/>
      <c r="F723" s="19"/>
      <c r="G723" s="19"/>
      <c r="H723" s="19"/>
      <c r="I723" s="19"/>
      <c r="J723" s="20"/>
      <c r="K723" s="19"/>
      <c r="L723" s="19"/>
      <c r="M723" s="19"/>
      <c r="N723" s="20"/>
      <c r="O723" s="20"/>
      <c r="P723" s="20"/>
      <c r="Q723" s="20"/>
      <c r="R723" s="20"/>
      <c r="S723" s="20"/>
      <c r="T723" s="708"/>
      <c r="U723" s="708"/>
    </row>
    <row r="724" ht="13.8" spans="1:21">
      <c r="A724" s="19"/>
      <c r="B724" s="20"/>
      <c r="C724" s="20"/>
      <c r="D724" s="19"/>
      <c r="E724" s="19"/>
      <c r="F724" s="19"/>
      <c r="G724" s="19"/>
      <c r="H724" s="19"/>
      <c r="I724" s="19"/>
      <c r="J724" s="20"/>
      <c r="K724" s="19"/>
      <c r="L724" s="19"/>
      <c r="M724" s="19"/>
      <c r="N724" s="20"/>
      <c r="O724" s="20"/>
      <c r="P724" s="20"/>
      <c r="Q724" s="20"/>
      <c r="R724" s="20"/>
      <c r="S724" s="20"/>
      <c r="T724" s="708"/>
      <c r="U724" s="708"/>
    </row>
    <row r="725" ht="13.8" spans="1:21">
      <c r="A725" s="19"/>
      <c r="B725" s="20"/>
      <c r="C725" s="20"/>
      <c r="D725" s="19"/>
      <c r="E725" s="19"/>
      <c r="F725" s="19"/>
      <c r="G725" s="19"/>
      <c r="H725" s="19"/>
      <c r="I725" s="19"/>
      <c r="J725" s="20"/>
      <c r="K725" s="19"/>
      <c r="L725" s="19"/>
      <c r="M725" s="19"/>
      <c r="N725" s="20"/>
      <c r="O725" s="20"/>
      <c r="P725" s="20"/>
      <c r="Q725" s="20"/>
      <c r="R725" s="20"/>
      <c r="S725" s="20"/>
      <c r="T725" s="708"/>
      <c r="U725" s="708"/>
    </row>
    <row r="726" ht="13.8" spans="1:21">
      <c r="A726" s="19"/>
      <c r="B726" s="20"/>
      <c r="C726" s="20"/>
      <c r="D726" s="19"/>
      <c r="E726" s="19"/>
      <c r="F726" s="19"/>
      <c r="G726" s="19"/>
      <c r="H726" s="19"/>
      <c r="I726" s="19"/>
      <c r="J726" s="20"/>
      <c r="K726" s="19"/>
      <c r="L726" s="19"/>
      <c r="M726" s="19"/>
      <c r="N726" s="20"/>
      <c r="O726" s="20"/>
      <c r="P726" s="20"/>
      <c r="Q726" s="20"/>
      <c r="R726" s="20"/>
      <c r="S726" s="20"/>
      <c r="T726" s="708"/>
      <c r="U726" s="708"/>
    </row>
    <row r="727" ht="13.8" spans="1:21">
      <c r="A727" s="19"/>
      <c r="B727" s="20"/>
      <c r="C727" s="20"/>
      <c r="D727" s="19"/>
      <c r="E727" s="19"/>
      <c r="F727" s="19"/>
      <c r="G727" s="19"/>
      <c r="H727" s="19"/>
      <c r="I727" s="19"/>
      <c r="J727" s="20"/>
      <c r="K727" s="19"/>
      <c r="L727" s="19"/>
      <c r="M727" s="19"/>
      <c r="N727" s="20"/>
      <c r="O727" s="20"/>
      <c r="P727" s="20"/>
      <c r="Q727" s="20"/>
      <c r="R727" s="20"/>
      <c r="S727" s="20"/>
      <c r="T727" s="708"/>
      <c r="U727" s="708"/>
    </row>
    <row r="728" ht="13.8" spans="1:21">
      <c r="A728" s="19"/>
      <c r="B728" s="20"/>
      <c r="C728" s="20"/>
      <c r="D728" s="19"/>
      <c r="E728" s="19"/>
      <c r="F728" s="19"/>
      <c r="G728" s="19"/>
      <c r="H728" s="19"/>
      <c r="I728" s="19"/>
      <c r="J728" s="20"/>
      <c r="K728" s="19"/>
      <c r="L728" s="19"/>
      <c r="M728" s="19"/>
      <c r="N728" s="20"/>
      <c r="O728" s="20"/>
      <c r="P728" s="20"/>
      <c r="Q728" s="20"/>
      <c r="R728" s="20"/>
      <c r="S728" s="20"/>
      <c r="T728" s="708"/>
      <c r="U728" s="708"/>
    </row>
    <row r="729" ht="13.8" spans="1:21">
      <c r="A729" s="19"/>
      <c r="B729" s="20"/>
      <c r="C729" s="20"/>
      <c r="D729" s="19"/>
      <c r="E729" s="19"/>
      <c r="F729" s="19"/>
      <c r="G729" s="19"/>
      <c r="H729" s="19"/>
      <c r="I729" s="19"/>
      <c r="J729" s="20"/>
      <c r="K729" s="19"/>
      <c r="L729" s="19"/>
      <c r="M729" s="19"/>
      <c r="N729" s="20"/>
      <c r="O729" s="20"/>
      <c r="P729" s="20"/>
      <c r="Q729" s="20"/>
      <c r="R729" s="20"/>
      <c r="S729" s="20"/>
      <c r="T729" s="708"/>
      <c r="U729" s="708"/>
    </row>
    <row r="730" ht="13.8" spans="1:21">
      <c r="A730" s="19"/>
      <c r="B730" s="20"/>
      <c r="C730" s="20"/>
      <c r="D730" s="19"/>
      <c r="E730" s="19"/>
      <c r="F730" s="19"/>
      <c r="G730" s="19"/>
      <c r="H730" s="19"/>
      <c r="I730" s="19"/>
      <c r="J730" s="20"/>
      <c r="K730" s="19"/>
      <c r="L730" s="19"/>
      <c r="M730" s="19"/>
      <c r="N730" s="20"/>
      <c r="O730" s="20"/>
      <c r="P730" s="20"/>
      <c r="Q730" s="20"/>
      <c r="R730" s="20"/>
      <c r="S730" s="20"/>
      <c r="T730" s="708"/>
      <c r="U730" s="708"/>
    </row>
    <row r="731" ht="13.8" spans="1:21">
      <c r="A731" s="19"/>
      <c r="B731" s="20"/>
      <c r="C731" s="20"/>
      <c r="D731" s="19"/>
      <c r="E731" s="19"/>
      <c r="F731" s="19"/>
      <c r="G731" s="19"/>
      <c r="H731" s="19"/>
      <c r="I731" s="19"/>
      <c r="J731" s="20"/>
      <c r="K731" s="19"/>
      <c r="L731" s="19"/>
      <c r="M731" s="19"/>
      <c r="N731" s="20"/>
      <c r="O731" s="20"/>
      <c r="P731" s="20"/>
      <c r="Q731" s="20"/>
      <c r="R731" s="20"/>
      <c r="S731" s="20"/>
      <c r="T731" s="708"/>
      <c r="U731" s="708"/>
    </row>
    <row r="732" ht="13.8" spans="1:21">
      <c r="A732" s="19"/>
      <c r="B732" s="20"/>
      <c r="C732" s="20"/>
      <c r="D732" s="19"/>
      <c r="E732" s="19"/>
      <c r="F732" s="19"/>
      <c r="G732" s="19"/>
      <c r="H732" s="19"/>
      <c r="I732" s="19"/>
      <c r="J732" s="20"/>
      <c r="K732" s="19"/>
      <c r="L732" s="19"/>
      <c r="M732" s="19"/>
      <c r="N732" s="20"/>
      <c r="O732" s="20"/>
      <c r="P732" s="20"/>
      <c r="Q732" s="20"/>
      <c r="R732" s="20"/>
      <c r="S732" s="20"/>
      <c r="T732" s="708"/>
      <c r="U732" s="708"/>
    </row>
    <row r="733" ht="13.8" spans="1:21">
      <c r="A733" s="19"/>
      <c r="B733" s="20"/>
      <c r="C733" s="20"/>
      <c r="D733" s="19"/>
      <c r="E733" s="19"/>
      <c r="F733" s="19"/>
      <c r="G733" s="19"/>
      <c r="H733" s="19"/>
      <c r="I733" s="19"/>
      <c r="J733" s="20"/>
      <c r="K733" s="19"/>
      <c r="L733" s="19"/>
      <c r="M733" s="19"/>
      <c r="N733" s="20"/>
      <c r="O733" s="20"/>
      <c r="P733" s="20"/>
      <c r="Q733" s="20"/>
      <c r="R733" s="20"/>
      <c r="S733" s="20"/>
      <c r="T733" s="708"/>
      <c r="U733" s="708"/>
    </row>
    <row r="734" ht="13.8" spans="1:21">
      <c r="A734" s="19"/>
      <c r="B734" s="20"/>
      <c r="C734" s="20"/>
      <c r="D734" s="19"/>
      <c r="E734" s="19"/>
      <c r="F734" s="19"/>
      <c r="G734" s="19"/>
      <c r="H734" s="19"/>
      <c r="I734" s="19"/>
      <c r="J734" s="20"/>
      <c r="K734" s="19"/>
      <c r="L734" s="19"/>
      <c r="M734" s="19"/>
      <c r="N734" s="20"/>
      <c r="O734" s="20"/>
      <c r="P734" s="20"/>
      <c r="Q734" s="20"/>
      <c r="R734" s="20"/>
      <c r="S734" s="20"/>
      <c r="T734" s="708"/>
      <c r="U734" s="708"/>
    </row>
    <row r="735" ht="13.8" spans="1:21">
      <c r="A735" s="19"/>
      <c r="B735" s="20"/>
      <c r="C735" s="20"/>
      <c r="D735" s="19"/>
      <c r="E735" s="19"/>
      <c r="F735" s="19"/>
      <c r="G735" s="19"/>
      <c r="H735" s="19"/>
      <c r="I735" s="19"/>
      <c r="J735" s="20"/>
      <c r="K735" s="19"/>
      <c r="L735" s="19"/>
      <c r="M735" s="19"/>
      <c r="N735" s="20"/>
      <c r="O735" s="20"/>
      <c r="P735" s="20"/>
      <c r="Q735" s="20"/>
      <c r="R735" s="20"/>
      <c r="S735" s="20"/>
      <c r="T735" s="708"/>
      <c r="U735" s="708"/>
    </row>
    <row r="736" ht="13.8" spans="1:21">
      <c r="A736" s="19"/>
      <c r="B736" s="20"/>
      <c r="C736" s="20"/>
      <c r="D736" s="19"/>
      <c r="E736" s="19"/>
      <c r="F736" s="19"/>
      <c r="G736" s="19"/>
      <c r="H736" s="19"/>
      <c r="I736" s="19"/>
      <c r="J736" s="20"/>
      <c r="K736" s="19"/>
      <c r="L736" s="19"/>
      <c r="M736" s="19"/>
      <c r="N736" s="20"/>
      <c r="O736" s="20"/>
      <c r="P736" s="20"/>
      <c r="Q736" s="20"/>
      <c r="R736" s="20"/>
      <c r="S736" s="20"/>
      <c r="T736" s="708"/>
      <c r="U736" s="708"/>
    </row>
    <row r="737" ht="13.8" spans="1:21">
      <c r="A737" s="19"/>
      <c r="B737" s="20"/>
      <c r="C737" s="20"/>
      <c r="D737" s="19"/>
      <c r="E737" s="19"/>
      <c r="F737" s="19"/>
      <c r="G737" s="19"/>
      <c r="H737" s="19"/>
      <c r="I737" s="19"/>
      <c r="J737" s="20"/>
      <c r="K737" s="19"/>
      <c r="L737" s="19"/>
      <c r="M737" s="19"/>
      <c r="N737" s="20"/>
      <c r="O737" s="20"/>
      <c r="P737" s="20"/>
      <c r="Q737" s="20"/>
      <c r="R737" s="20"/>
      <c r="S737" s="20"/>
      <c r="T737" s="708"/>
      <c r="U737" s="708"/>
    </row>
    <row r="738" ht="13.8" spans="1:21">
      <c r="A738" s="19"/>
      <c r="B738" s="20"/>
      <c r="C738" s="20"/>
      <c r="D738" s="19"/>
      <c r="E738" s="19"/>
      <c r="F738" s="19"/>
      <c r="G738" s="19"/>
      <c r="H738" s="19"/>
      <c r="I738" s="19"/>
      <c r="J738" s="20"/>
      <c r="K738" s="19"/>
      <c r="L738" s="19"/>
      <c r="M738" s="19"/>
      <c r="N738" s="20"/>
      <c r="O738" s="20"/>
      <c r="P738" s="20"/>
      <c r="Q738" s="20"/>
      <c r="R738" s="20"/>
      <c r="S738" s="20"/>
      <c r="T738" s="708"/>
      <c r="U738" s="708"/>
    </row>
    <row r="739" ht="13.8" spans="1:21">
      <c r="A739" s="19"/>
      <c r="B739" s="20"/>
      <c r="C739" s="20"/>
      <c r="D739" s="19"/>
      <c r="E739" s="19"/>
      <c r="F739" s="19"/>
      <c r="G739" s="19"/>
      <c r="H739" s="19"/>
      <c r="I739" s="19"/>
      <c r="J739" s="20"/>
      <c r="K739" s="19"/>
      <c r="L739" s="19"/>
      <c r="M739" s="19"/>
      <c r="N739" s="20"/>
      <c r="O739" s="20"/>
      <c r="P739" s="20"/>
      <c r="Q739" s="20"/>
      <c r="R739" s="20"/>
      <c r="S739" s="20"/>
      <c r="T739" s="708"/>
      <c r="U739" s="708"/>
    </row>
    <row r="740" ht="13.8" spans="1:21">
      <c r="A740" s="19"/>
      <c r="B740" s="20"/>
      <c r="C740" s="20"/>
      <c r="D740" s="19"/>
      <c r="E740" s="19"/>
      <c r="F740" s="19"/>
      <c r="G740" s="19"/>
      <c r="H740" s="19"/>
      <c r="I740" s="19"/>
      <c r="J740" s="20"/>
      <c r="K740" s="19"/>
      <c r="L740" s="19"/>
      <c r="M740" s="19"/>
      <c r="N740" s="20"/>
      <c r="O740" s="20"/>
      <c r="P740" s="20"/>
      <c r="Q740" s="20"/>
      <c r="R740" s="20"/>
      <c r="S740" s="20"/>
      <c r="T740" s="708"/>
      <c r="U740" s="708"/>
    </row>
    <row r="741" ht="13.8" spans="1:21">
      <c r="A741" s="19"/>
      <c r="B741" s="20"/>
      <c r="C741" s="20"/>
      <c r="D741" s="19"/>
      <c r="E741" s="19"/>
      <c r="F741" s="19"/>
      <c r="G741" s="19"/>
      <c r="H741" s="19"/>
      <c r="I741" s="19"/>
      <c r="J741" s="20"/>
      <c r="K741" s="19"/>
      <c r="L741" s="19"/>
      <c r="M741" s="19"/>
      <c r="N741" s="20"/>
      <c r="O741" s="20"/>
      <c r="P741" s="20"/>
      <c r="Q741" s="20"/>
      <c r="R741" s="20"/>
      <c r="S741" s="20"/>
      <c r="T741" s="708"/>
      <c r="U741" s="708"/>
    </row>
    <row r="742" ht="13.8" spans="1:21">
      <c r="A742" s="19"/>
      <c r="B742" s="20"/>
      <c r="C742" s="20"/>
      <c r="D742" s="19"/>
      <c r="E742" s="19"/>
      <c r="F742" s="19"/>
      <c r="G742" s="19"/>
      <c r="H742" s="19"/>
      <c r="I742" s="19"/>
      <c r="J742" s="20"/>
      <c r="K742" s="19"/>
      <c r="L742" s="19"/>
      <c r="M742" s="19"/>
      <c r="N742" s="20"/>
      <c r="O742" s="20"/>
      <c r="P742" s="20"/>
      <c r="Q742" s="20"/>
      <c r="R742" s="20"/>
      <c r="S742" s="20"/>
      <c r="T742" s="708"/>
      <c r="U742" s="708"/>
    </row>
    <row r="743" ht="13.8" spans="1:21">
      <c r="A743" s="19"/>
      <c r="B743" s="20"/>
      <c r="C743" s="20"/>
      <c r="D743" s="19"/>
      <c r="E743" s="19"/>
      <c r="F743" s="19"/>
      <c r="G743" s="19"/>
      <c r="H743" s="19"/>
      <c r="I743" s="19"/>
      <c r="J743" s="20"/>
      <c r="K743" s="19"/>
      <c r="L743" s="19"/>
      <c r="M743" s="19"/>
      <c r="N743" s="20"/>
      <c r="O743" s="20"/>
      <c r="P743" s="20"/>
      <c r="Q743" s="20"/>
      <c r="R743" s="20"/>
      <c r="S743" s="20"/>
      <c r="T743" s="708"/>
      <c r="U743" s="708"/>
    </row>
    <row r="744" ht="13.8" spans="1:21">
      <c r="A744" s="19"/>
      <c r="B744" s="20"/>
      <c r="C744" s="20"/>
      <c r="D744" s="19"/>
      <c r="E744" s="19"/>
      <c r="F744" s="19"/>
      <c r="G744" s="19"/>
      <c r="H744" s="19"/>
      <c r="I744" s="19"/>
      <c r="J744" s="20"/>
      <c r="K744" s="19"/>
      <c r="L744" s="19"/>
      <c r="M744" s="19"/>
      <c r="N744" s="20"/>
      <c r="O744" s="20"/>
      <c r="P744" s="20"/>
      <c r="Q744" s="20"/>
      <c r="R744" s="20"/>
      <c r="S744" s="20"/>
      <c r="T744" s="708"/>
      <c r="U744" s="708"/>
    </row>
    <row r="745" ht="13.8" spans="1:21">
      <c r="A745" s="19"/>
      <c r="B745" s="20"/>
      <c r="C745" s="20"/>
      <c r="D745" s="19"/>
      <c r="E745" s="19"/>
      <c r="F745" s="19"/>
      <c r="G745" s="19"/>
      <c r="H745" s="19"/>
      <c r="I745" s="19"/>
      <c r="J745" s="20"/>
      <c r="K745" s="19"/>
      <c r="L745" s="19"/>
      <c r="M745" s="19"/>
      <c r="N745" s="20"/>
      <c r="O745" s="20"/>
      <c r="P745" s="20"/>
      <c r="Q745" s="20"/>
      <c r="R745" s="20"/>
      <c r="S745" s="20"/>
      <c r="T745" s="708"/>
      <c r="U745" s="708"/>
    </row>
    <row r="746" ht="13.8" spans="1:21">
      <c r="A746" s="19"/>
      <c r="B746" s="20"/>
      <c r="C746" s="20"/>
      <c r="D746" s="19"/>
      <c r="E746" s="19"/>
      <c r="F746" s="19"/>
      <c r="G746" s="19"/>
      <c r="H746" s="19"/>
      <c r="I746" s="19"/>
      <c r="J746" s="20"/>
      <c r="K746" s="19"/>
      <c r="L746" s="19"/>
      <c r="M746" s="19"/>
      <c r="N746" s="20"/>
      <c r="O746" s="20"/>
      <c r="P746" s="20"/>
      <c r="Q746" s="20"/>
      <c r="R746" s="20"/>
      <c r="S746" s="20"/>
      <c r="T746" s="708"/>
      <c r="U746" s="708"/>
    </row>
    <row r="747" ht="13.8" spans="1:21">
      <c r="A747" s="19"/>
      <c r="B747" s="20"/>
      <c r="C747" s="20"/>
      <c r="D747" s="19"/>
      <c r="E747" s="19"/>
      <c r="F747" s="19"/>
      <c r="G747" s="19"/>
      <c r="H747" s="19"/>
      <c r="I747" s="19"/>
      <c r="J747" s="20"/>
      <c r="K747" s="19"/>
      <c r="L747" s="19"/>
      <c r="M747" s="19"/>
      <c r="N747" s="20"/>
      <c r="O747" s="20"/>
      <c r="P747" s="20"/>
      <c r="Q747" s="20"/>
      <c r="R747" s="20"/>
      <c r="S747" s="20"/>
      <c r="T747" s="708"/>
      <c r="U747" s="708"/>
    </row>
    <row r="748" ht="13.8" spans="1:21">
      <c r="A748" s="19"/>
      <c r="B748" s="20"/>
      <c r="C748" s="20"/>
      <c r="D748" s="19"/>
      <c r="E748" s="19"/>
      <c r="F748" s="19"/>
      <c r="G748" s="19"/>
      <c r="H748" s="19"/>
      <c r="I748" s="19"/>
      <c r="J748" s="20"/>
      <c r="K748" s="19"/>
      <c r="L748" s="19"/>
      <c r="M748" s="19"/>
      <c r="N748" s="20"/>
      <c r="O748" s="20"/>
      <c r="P748" s="20"/>
      <c r="Q748" s="20"/>
      <c r="R748" s="20"/>
      <c r="S748" s="20"/>
      <c r="T748" s="708"/>
      <c r="U748" s="708"/>
    </row>
    <row r="749" ht="13.8" spans="1:21">
      <c r="A749" s="19"/>
      <c r="B749" s="20"/>
      <c r="C749" s="20"/>
      <c r="D749" s="19"/>
      <c r="E749" s="19"/>
      <c r="F749" s="19"/>
      <c r="G749" s="19"/>
      <c r="H749" s="19"/>
      <c r="I749" s="19"/>
      <c r="J749" s="20"/>
      <c r="K749" s="19"/>
      <c r="L749" s="19"/>
      <c r="M749" s="19"/>
      <c r="N749" s="20"/>
      <c r="O749" s="20"/>
      <c r="P749" s="20"/>
      <c r="Q749" s="20"/>
      <c r="R749" s="20"/>
      <c r="S749" s="20"/>
      <c r="T749" s="708"/>
      <c r="U749" s="708"/>
    </row>
    <row r="750" ht="13.8" spans="1:21">
      <c r="A750" s="19"/>
      <c r="B750" s="20"/>
      <c r="C750" s="20"/>
      <c r="D750" s="19"/>
      <c r="E750" s="19"/>
      <c r="F750" s="19"/>
      <c r="G750" s="19"/>
      <c r="H750" s="19"/>
      <c r="I750" s="19"/>
      <c r="J750" s="20"/>
      <c r="K750" s="19"/>
      <c r="L750" s="19"/>
      <c r="M750" s="19"/>
      <c r="N750" s="20"/>
      <c r="O750" s="20"/>
      <c r="P750" s="20"/>
      <c r="Q750" s="20"/>
      <c r="R750" s="20"/>
      <c r="S750" s="20"/>
      <c r="T750" s="708"/>
      <c r="U750" s="708"/>
    </row>
    <row r="751" ht="13.8" spans="1:21">
      <c r="A751" s="19"/>
      <c r="B751" s="20"/>
      <c r="C751" s="20"/>
      <c r="D751" s="19"/>
      <c r="E751" s="19"/>
      <c r="F751" s="19"/>
      <c r="G751" s="19"/>
      <c r="H751" s="19"/>
      <c r="I751" s="19"/>
      <c r="J751" s="20"/>
      <c r="K751" s="19"/>
      <c r="L751" s="19"/>
      <c r="M751" s="19"/>
      <c r="N751" s="20"/>
      <c r="O751" s="20"/>
      <c r="P751" s="20"/>
      <c r="Q751" s="20"/>
      <c r="R751" s="20"/>
      <c r="S751" s="20"/>
      <c r="T751" s="708"/>
      <c r="U751" s="708"/>
    </row>
    <row r="752" ht="13.8" spans="1:21">
      <c r="A752" s="19"/>
      <c r="B752" s="20"/>
      <c r="C752" s="20"/>
      <c r="D752" s="19"/>
      <c r="E752" s="19"/>
      <c r="F752" s="19"/>
      <c r="G752" s="19"/>
      <c r="H752" s="19"/>
      <c r="I752" s="19"/>
      <c r="J752" s="20"/>
      <c r="K752" s="19"/>
      <c r="L752" s="19"/>
      <c r="M752" s="19"/>
      <c r="N752" s="20"/>
      <c r="O752" s="20"/>
      <c r="P752" s="20"/>
      <c r="Q752" s="20"/>
      <c r="R752" s="20"/>
      <c r="S752" s="20"/>
      <c r="T752" s="708"/>
      <c r="U752" s="708"/>
    </row>
    <row r="753" ht="13.8" spans="1:21">
      <c r="A753" s="19"/>
      <c r="B753" s="20"/>
      <c r="C753" s="20"/>
      <c r="D753" s="19"/>
      <c r="E753" s="19"/>
      <c r="F753" s="19"/>
      <c r="G753" s="19"/>
      <c r="H753" s="19"/>
      <c r="I753" s="19"/>
      <c r="J753" s="20"/>
      <c r="K753" s="19"/>
      <c r="L753" s="19"/>
      <c r="M753" s="19"/>
      <c r="N753" s="20"/>
      <c r="O753" s="20"/>
      <c r="P753" s="20"/>
      <c r="Q753" s="20"/>
      <c r="R753" s="20"/>
      <c r="S753" s="20"/>
      <c r="T753" s="708"/>
      <c r="U753" s="708"/>
    </row>
    <row r="754" ht="13.8" spans="1:21">
      <c r="A754" s="19"/>
      <c r="B754" s="20"/>
      <c r="C754" s="20"/>
      <c r="D754" s="19"/>
      <c r="E754" s="19"/>
      <c r="F754" s="19"/>
      <c r="G754" s="19"/>
      <c r="H754" s="19"/>
      <c r="I754" s="19"/>
      <c r="J754" s="20"/>
      <c r="K754" s="19"/>
      <c r="L754" s="19"/>
      <c r="M754" s="19"/>
      <c r="N754" s="20"/>
      <c r="O754" s="20"/>
      <c r="P754" s="20"/>
      <c r="Q754" s="20"/>
      <c r="R754" s="20"/>
      <c r="S754" s="20"/>
      <c r="T754" s="708"/>
      <c r="U754" s="708"/>
    </row>
    <row r="755" ht="13.8" spans="1:21">
      <c r="A755" s="19"/>
      <c r="B755" s="20"/>
      <c r="C755" s="20"/>
      <c r="D755" s="19"/>
      <c r="E755" s="19"/>
      <c r="F755" s="19"/>
      <c r="G755" s="19"/>
      <c r="H755" s="19"/>
      <c r="I755" s="19"/>
      <c r="J755" s="20"/>
      <c r="K755" s="19"/>
      <c r="L755" s="19"/>
      <c r="M755" s="19"/>
      <c r="N755" s="20"/>
      <c r="O755" s="20"/>
      <c r="P755" s="20"/>
      <c r="Q755" s="20"/>
      <c r="R755" s="20"/>
      <c r="S755" s="20"/>
      <c r="T755" s="708"/>
      <c r="U755" s="708"/>
    </row>
    <row r="756" ht="13.8" spans="1:21">
      <c r="A756" s="19"/>
      <c r="B756" s="20"/>
      <c r="C756" s="20"/>
      <c r="D756" s="19"/>
      <c r="E756" s="19"/>
      <c r="F756" s="19"/>
      <c r="G756" s="19"/>
      <c r="H756" s="19"/>
      <c r="I756" s="19"/>
      <c r="J756" s="20"/>
      <c r="K756" s="19"/>
      <c r="L756" s="19"/>
      <c r="M756" s="19"/>
      <c r="N756" s="20"/>
      <c r="O756" s="20"/>
      <c r="P756" s="20"/>
      <c r="Q756" s="20"/>
      <c r="R756" s="20"/>
      <c r="S756" s="20"/>
      <c r="T756" s="708"/>
      <c r="U756" s="708"/>
    </row>
    <row r="757" ht="13.8" spans="1:21">
      <c r="A757" s="19"/>
      <c r="B757" s="20"/>
      <c r="C757" s="20"/>
      <c r="D757" s="19"/>
      <c r="E757" s="19"/>
      <c r="F757" s="19"/>
      <c r="G757" s="19"/>
      <c r="H757" s="19"/>
      <c r="I757" s="19"/>
      <c r="J757" s="20"/>
      <c r="K757" s="19"/>
      <c r="L757" s="19"/>
      <c r="M757" s="19"/>
      <c r="N757" s="20"/>
      <c r="O757" s="20"/>
      <c r="P757" s="20"/>
      <c r="Q757" s="20"/>
      <c r="R757" s="20"/>
      <c r="S757" s="20"/>
      <c r="T757" s="708"/>
      <c r="U757" s="708"/>
    </row>
    <row r="758" ht="13.8" spans="1:21">
      <c r="A758" s="19"/>
      <c r="B758" s="20"/>
      <c r="C758" s="20"/>
      <c r="D758" s="19"/>
      <c r="E758" s="19"/>
      <c r="F758" s="19"/>
      <c r="G758" s="19"/>
      <c r="H758" s="19"/>
      <c r="I758" s="19"/>
      <c r="J758" s="20"/>
      <c r="K758" s="19"/>
      <c r="L758" s="19"/>
      <c r="M758" s="19"/>
      <c r="N758" s="20"/>
      <c r="O758" s="20"/>
      <c r="P758" s="20"/>
      <c r="Q758" s="20"/>
      <c r="R758" s="20"/>
      <c r="S758" s="20"/>
      <c r="T758" s="708"/>
      <c r="U758" s="708"/>
    </row>
    <row r="759" ht="13.8" spans="1:21">
      <c r="A759" s="19"/>
      <c r="B759" s="20"/>
      <c r="C759" s="20"/>
      <c r="D759" s="19"/>
      <c r="E759" s="19"/>
      <c r="F759" s="19"/>
      <c r="G759" s="19"/>
      <c r="H759" s="19"/>
      <c r="I759" s="19"/>
      <c r="J759" s="20"/>
      <c r="K759" s="19"/>
      <c r="L759" s="19"/>
      <c r="M759" s="19"/>
      <c r="N759" s="20"/>
      <c r="O759" s="20"/>
      <c r="P759" s="20"/>
      <c r="Q759" s="20"/>
      <c r="R759" s="20"/>
      <c r="S759" s="20"/>
      <c r="T759" s="708"/>
      <c r="U759" s="708"/>
    </row>
    <row r="760" ht="13.8" spans="1:21">
      <c r="A760" s="19"/>
      <c r="B760" s="20"/>
      <c r="C760" s="20"/>
      <c r="D760" s="19"/>
      <c r="E760" s="19"/>
      <c r="F760" s="19"/>
      <c r="G760" s="19"/>
      <c r="H760" s="19"/>
      <c r="I760" s="19"/>
      <c r="J760" s="20"/>
      <c r="K760" s="19"/>
      <c r="L760" s="19"/>
      <c r="M760" s="19"/>
      <c r="N760" s="20"/>
      <c r="O760" s="20"/>
      <c r="P760" s="20"/>
      <c r="Q760" s="20"/>
      <c r="R760" s="20"/>
      <c r="S760" s="20"/>
      <c r="T760" s="708"/>
      <c r="U760" s="708"/>
    </row>
    <row r="761" ht="13.8" spans="1:21">
      <c r="A761" s="19"/>
      <c r="B761" s="20"/>
      <c r="C761" s="20"/>
      <c r="D761" s="19"/>
      <c r="E761" s="19"/>
      <c r="F761" s="19"/>
      <c r="G761" s="19"/>
      <c r="H761" s="19"/>
      <c r="I761" s="19"/>
      <c r="J761" s="20"/>
      <c r="K761" s="19"/>
      <c r="L761" s="19"/>
      <c r="M761" s="19"/>
      <c r="N761" s="20"/>
      <c r="O761" s="20"/>
      <c r="P761" s="20"/>
      <c r="Q761" s="20"/>
      <c r="R761" s="20"/>
      <c r="S761" s="20"/>
      <c r="T761" s="708"/>
      <c r="U761" s="708"/>
    </row>
    <row r="762" ht="13.8" spans="1:21">
      <c r="A762" s="19"/>
      <c r="B762" s="20"/>
      <c r="C762" s="20"/>
      <c r="D762" s="19"/>
      <c r="E762" s="19"/>
      <c r="F762" s="19"/>
      <c r="G762" s="19"/>
      <c r="H762" s="19"/>
      <c r="I762" s="19"/>
      <c r="J762" s="20"/>
      <c r="K762" s="19"/>
      <c r="L762" s="19"/>
      <c r="M762" s="19"/>
      <c r="N762" s="20"/>
      <c r="O762" s="20"/>
      <c r="P762" s="20"/>
      <c r="Q762" s="20"/>
      <c r="R762" s="20"/>
      <c r="S762" s="20"/>
      <c r="T762" s="708"/>
      <c r="U762" s="708"/>
    </row>
    <row r="763" ht="13.8" spans="1:21">
      <c r="A763" s="19"/>
      <c r="B763" s="20"/>
      <c r="C763" s="20"/>
      <c r="D763" s="19"/>
      <c r="E763" s="19"/>
      <c r="F763" s="19"/>
      <c r="G763" s="19"/>
      <c r="H763" s="19"/>
      <c r="I763" s="19"/>
      <c r="J763" s="20"/>
      <c r="K763" s="19"/>
      <c r="L763" s="19"/>
      <c r="M763" s="19"/>
      <c r="N763" s="20"/>
      <c r="O763" s="20"/>
      <c r="P763" s="20"/>
      <c r="Q763" s="20"/>
      <c r="R763" s="20"/>
      <c r="S763" s="20"/>
      <c r="T763" s="708"/>
      <c r="U763" s="708"/>
    </row>
    <row r="764" ht="13.8" spans="1:21">
      <c r="A764" s="19"/>
      <c r="B764" s="20"/>
      <c r="C764" s="20"/>
      <c r="D764" s="19"/>
      <c r="E764" s="19"/>
      <c r="F764" s="19"/>
      <c r="G764" s="19"/>
      <c r="H764" s="19"/>
      <c r="I764" s="19"/>
      <c r="J764" s="20"/>
      <c r="K764" s="19"/>
      <c r="L764" s="19"/>
      <c r="M764" s="19"/>
      <c r="N764" s="20"/>
      <c r="O764" s="20"/>
      <c r="P764" s="20"/>
      <c r="Q764" s="20"/>
      <c r="R764" s="20"/>
      <c r="S764" s="20"/>
      <c r="T764" s="708"/>
      <c r="U764" s="708"/>
    </row>
    <row r="765" ht="13.8" spans="1:21">
      <c r="A765" s="19"/>
      <c r="B765" s="20"/>
      <c r="C765" s="20"/>
      <c r="D765" s="19"/>
      <c r="E765" s="19"/>
      <c r="F765" s="19"/>
      <c r="G765" s="19"/>
      <c r="H765" s="19"/>
      <c r="I765" s="19"/>
      <c r="J765" s="20"/>
      <c r="K765" s="19"/>
      <c r="L765" s="19"/>
      <c r="M765" s="19"/>
      <c r="N765" s="20"/>
      <c r="O765" s="20"/>
      <c r="P765" s="20"/>
      <c r="Q765" s="20"/>
      <c r="R765" s="20"/>
      <c r="S765" s="20"/>
      <c r="T765" s="708"/>
      <c r="U765" s="708"/>
    </row>
    <row r="766" ht="13.8" spans="1:21">
      <c r="A766" s="19"/>
      <c r="B766" s="20"/>
      <c r="C766" s="20"/>
      <c r="D766" s="19"/>
      <c r="E766" s="19"/>
      <c r="F766" s="19"/>
      <c r="G766" s="19"/>
      <c r="H766" s="19"/>
      <c r="I766" s="19"/>
      <c r="J766" s="20"/>
      <c r="K766" s="19"/>
      <c r="L766" s="19"/>
      <c r="M766" s="19"/>
      <c r="N766" s="20"/>
      <c r="O766" s="20"/>
      <c r="P766" s="20"/>
      <c r="Q766" s="20"/>
      <c r="R766" s="20"/>
      <c r="S766" s="20"/>
      <c r="T766" s="708"/>
      <c r="U766" s="708"/>
    </row>
    <row r="767" ht="13.8" spans="1:21">
      <c r="A767" s="19"/>
      <c r="B767" s="20"/>
      <c r="C767" s="20"/>
      <c r="D767" s="19"/>
      <c r="E767" s="19"/>
      <c r="F767" s="19"/>
      <c r="G767" s="19"/>
      <c r="H767" s="19"/>
      <c r="I767" s="19"/>
      <c r="J767" s="20"/>
      <c r="K767" s="19"/>
      <c r="L767" s="19"/>
      <c r="M767" s="19"/>
      <c r="N767" s="20"/>
      <c r="O767" s="20"/>
      <c r="P767" s="20"/>
      <c r="Q767" s="20"/>
      <c r="R767" s="20"/>
      <c r="S767" s="20"/>
      <c r="T767" s="708"/>
      <c r="U767" s="708"/>
    </row>
    <row r="768" ht="13.8" spans="1:21">
      <c r="A768" s="19"/>
      <c r="B768" s="20"/>
      <c r="C768" s="20"/>
      <c r="D768" s="19"/>
      <c r="E768" s="19"/>
      <c r="F768" s="19"/>
      <c r="G768" s="19"/>
      <c r="H768" s="19"/>
      <c r="I768" s="19"/>
      <c r="J768" s="20"/>
      <c r="K768" s="19"/>
      <c r="L768" s="19"/>
      <c r="M768" s="19"/>
      <c r="N768" s="20"/>
      <c r="O768" s="20"/>
      <c r="P768" s="20"/>
      <c r="Q768" s="20"/>
      <c r="R768" s="20"/>
      <c r="S768" s="20"/>
      <c r="T768" s="708"/>
      <c r="U768" s="708"/>
    </row>
    <row r="769" ht="13.8" spans="1:21">
      <c r="A769" s="19"/>
      <c r="B769" s="20"/>
      <c r="C769" s="20"/>
      <c r="D769" s="19"/>
      <c r="E769" s="19"/>
      <c r="F769" s="19"/>
      <c r="G769" s="19"/>
      <c r="H769" s="19"/>
      <c r="I769" s="19"/>
      <c r="J769" s="20"/>
      <c r="K769" s="19"/>
      <c r="L769" s="19"/>
      <c r="M769" s="19"/>
      <c r="N769" s="20"/>
      <c r="O769" s="20"/>
      <c r="P769" s="20"/>
      <c r="Q769" s="20"/>
      <c r="R769" s="20"/>
      <c r="S769" s="20"/>
      <c r="T769" s="708"/>
      <c r="U769" s="708"/>
    </row>
    <row r="770" ht="13.8" spans="1:21">
      <c r="A770" s="19"/>
      <c r="B770" s="20"/>
      <c r="C770" s="20"/>
      <c r="D770" s="19"/>
      <c r="E770" s="19"/>
      <c r="F770" s="19"/>
      <c r="G770" s="19"/>
      <c r="H770" s="19"/>
      <c r="I770" s="19"/>
      <c r="J770" s="20"/>
      <c r="K770" s="19"/>
      <c r="L770" s="19"/>
      <c r="M770" s="19"/>
      <c r="N770" s="20"/>
      <c r="O770" s="20"/>
      <c r="P770" s="20"/>
      <c r="Q770" s="20"/>
      <c r="R770" s="20"/>
      <c r="S770" s="20"/>
      <c r="T770" s="708"/>
      <c r="U770" s="708"/>
    </row>
    <row r="771" ht="13.8" spans="1:21">
      <c r="A771" s="19"/>
      <c r="B771" s="20"/>
      <c r="C771" s="20"/>
      <c r="D771" s="19"/>
      <c r="E771" s="19"/>
      <c r="F771" s="19"/>
      <c r="G771" s="19"/>
      <c r="H771" s="19"/>
      <c r="I771" s="19"/>
      <c r="J771" s="20"/>
      <c r="K771" s="19"/>
      <c r="L771" s="19"/>
      <c r="M771" s="19"/>
      <c r="N771" s="20"/>
      <c r="O771" s="20"/>
      <c r="P771" s="20"/>
      <c r="Q771" s="20"/>
      <c r="R771" s="20"/>
      <c r="S771" s="20"/>
      <c r="T771" s="708"/>
      <c r="U771" s="708"/>
    </row>
    <row r="772" ht="13.8" spans="1:21">
      <c r="A772" s="19"/>
      <c r="B772" s="20"/>
      <c r="C772" s="20"/>
      <c r="D772" s="19"/>
      <c r="E772" s="19"/>
      <c r="F772" s="19"/>
      <c r="G772" s="19"/>
      <c r="H772" s="19"/>
      <c r="I772" s="19"/>
      <c r="J772" s="20"/>
      <c r="K772" s="19"/>
      <c r="L772" s="19"/>
      <c r="M772" s="19"/>
      <c r="N772" s="20"/>
      <c r="O772" s="20"/>
      <c r="P772" s="20"/>
      <c r="Q772" s="20"/>
      <c r="R772" s="20"/>
      <c r="S772" s="20"/>
      <c r="T772" s="708"/>
      <c r="U772" s="708"/>
    </row>
    <row r="773" ht="13.8" spans="1:21">
      <c r="A773" s="19"/>
      <c r="B773" s="20"/>
      <c r="C773" s="20"/>
      <c r="D773" s="19"/>
      <c r="E773" s="19"/>
      <c r="F773" s="19"/>
      <c r="G773" s="19"/>
      <c r="H773" s="19"/>
      <c r="I773" s="19"/>
      <c r="J773" s="20"/>
      <c r="K773" s="19"/>
      <c r="L773" s="19"/>
      <c r="M773" s="19"/>
      <c r="N773" s="20"/>
      <c r="O773" s="20"/>
      <c r="P773" s="20"/>
      <c r="Q773" s="20"/>
      <c r="R773" s="20"/>
      <c r="S773" s="20"/>
      <c r="T773" s="708"/>
      <c r="U773" s="708"/>
    </row>
    <row r="774" ht="13.8" spans="1:21">
      <c r="A774" s="19"/>
      <c r="B774" s="20"/>
      <c r="C774" s="20"/>
      <c r="D774" s="19"/>
      <c r="E774" s="19"/>
      <c r="F774" s="19"/>
      <c r="G774" s="19"/>
      <c r="H774" s="19"/>
      <c r="I774" s="19"/>
      <c r="J774" s="20"/>
      <c r="K774" s="19"/>
      <c r="L774" s="19"/>
      <c r="M774" s="19"/>
      <c r="N774" s="20"/>
      <c r="O774" s="20"/>
      <c r="P774" s="20"/>
      <c r="Q774" s="20"/>
      <c r="R774" s="20"/>
      <c r="S774" s="20"/>
      <c r="T774" s="708"/>
      <c r="U774" s="708"/>
    </row>
    <row r="775" ht="13.8" spans="1:21">
      <c r="A775" s="19"/>
      <c r="B775" s="20"/>
      <c r="C775" s="20"/>
      <c r="D775" s="19"/>
      <c r="E775" s="19"/>
      <c r="F775" s="19"/>
      <c r="G775" s="19"/>
      <c r="H775" s="19"/>
      <c r="I775" s="19"/>
      <c r="J775" s="20"/>
      <c r="K775" s="19"/>
      <c r="L775" s="19"/>
      <c r="M775" s="19"/>
      <c r="N775" s="20"/>
      <c r="O775" s="20"/>
      <c r="P775" s="20"/>
      <c r="Q775" s="20"/>
      <c r="R775" s="20"/>
      <c r="S775" s="20"/>
      <c r="T775" s="708"/>
      <c r="U775" s="708"/>
    </row>
    <row r="776" ht="13.8" spans="1:21">
      <c r="A776" s="19"/>
      <c r="B776" s="20"/>
      <c r="C776" s="20"/>
      <c r="D776" s="19"/>
      <c r="E776" s="19"/>
      <c r="F776" s="19"/>
      <c r="G776" s="19"/>
      <c r="H776" s="19"/>
      <c r="I776" s="19"/>
      <c r="J776" s="20"/>
      <c r="K776" s="19"/>
      <c r="L776" s="19"/>
      <c r="M776" s="19"/>
      <c r="N776" s="20"/>
      <c r="O776" s="20"/>
      <c r="P776" s="20"/>
      <c r="Q776" s="20"/>
      <c r="R776" s="20"/>
      <c r="S776" s="20"/>
      <c r="T776" s="708"/>
      <c r="U776" s="708"/>
    </row>
    <row r="777" ht="13.8" spans="1:21">
      <c r="A777" s="19"/>
      <c r="B777" s="20"/>
      <c r="C777" s="20"/>
      <c r="D777" s="19"/>
      <c r="E777" s="19"/>
      <c r="F777" s="19"/>
      <c r="G777" s="19"/>
      <c r="H777" s="19"/>
      <c r="I777" s="19"/>
      <c r="J777" s="20"/>
      <c r="K777" s="19"/>
      <c r="L777" s="19"/>
      <c r="M777" s="19"/>
      <c r="N777" s="20"/>
      <c r="O777" s="20"/>
      <c r="P777" s="20"/>
      <c r="Q777" s="20"/>
      <c r="R777" s="20"/>
      <c r="S777" s="20"/>
      <c r="T777" s="708"/>
      <c r="U777" s="708"/>
    </row>
    <row r="778" ht="13.8" spans="1:21">
      <c r="A778" s="19"/>
      <c r="B778" s="20"/>
      <c r="C778" s="20"/>
      <c r="D778" s="19"/>
      <c r="E778" s="19"/>
      <c r="F778" s="19"/>
      <c r="G778" s="19"/>
      <c r="H778" s="19"/>
      <c r="I778" s="19"/>
      <c r="J778" s="20"/>
      <c r="K778" s="19"/>
      <c r="L778" s="19"/>
      <c r="M778" s="19"/>
      <c r="N778" s="20"/>
      <c r="O778" s="20"/>
      <c r="P778" s="20"/>
      <c r="Q778" s="20"/>
      <c r="R778" s="20"/>
      <c r="S778" s="20"/>
      <c r="T778" s="708"/>
      <c r="U778" s="708"/>
    </row>
    <row r="779" ht="13.8" spans="1:21">
      <c r="A779" s="19"/>
      <c r="B779" s="20"/>
      <c r="C779" s="20"/>
      <c r="D779" s="19"/>
      <c r="E779" s="19"/>
      <c r="F779" s="19"/>
      <c r="G779" s="19"/>
      <c r="H779" s="19"/>
      <c r="I779" s="19"/>
      <c r="J779" s="20"/>
      <c r="K779" s="19"/>
      <c r="L779" s="19"/>
      <c r="M779" s="19"/>
      <c r="N779" s="20"/>
      <c r="O779" s="20"/>
      <c r="P779" s="20"/>
      <c r="Q779" s="20"/>
      <c r="R779" s="20"/>
      <c r="S779" s="20"/>
      <c r="T779" s="708"/>
      <c r="U779" s="708"/>
    </row>
    <row r="780" ht="13.8" spans="1:21">
      <c r="A780" s="19"/>
      <c r="B780" s="20"/>
      <c r="C780" s="20"/>
      <c r="D780" s="19"/>
      <c r="E780" s="19"/>
      <c r="F780" s="19"/>
      <c r="G780" s="19"/>
      <c r="H780" s="19"/>
      <c r="I780" s="19"/>
      <c r="J780" s="20"/>
      <c r="K780" s="19"/>
      <c r="L780" s="19"/>
      <c r="M780" s="19"/>
      <c r="N780" s="20"/>
      <c r="O780" s="20"/>
      <c r="P780" s="20"/>
      <c r="Q780" s="20"/>
      <c r="R780" s="20"/>
      <c r="S780" s="20"/>
      <c r="T780" s="708"/>
      <c r="U780" s="708"/>
    </row>
    <row r="781" ht="13.8" spans="1:21">
      <c r="A781" s="19"/>
      <c r="B781" s="20"/>
      <c r="C781" s="20"/>
      <c r="D781" s="19"/>
      <c r="E781" s="19"/>
      <c r="F781" s="19"/>
      <c r="G781" s="19"/>
      <c r="H781" s="19"/>
      <c r="I781" s="19"/>
      <c r="J781" s="20"/>
      <c r="K781" s="19"/>
      <c r="L781" s="19"/>
      <c r="M781" s="19"/>
      <c r="N781" s="20"/>
      <c r="O781" s="20"/>
      <c r="P781" s="20"/>
      <c r="Q781" s="20"/>
      <c r="R781" s="20"/>
      <c r="S781" s="20"/>
      <c r="T781" s="708"/>
      <c r="U781" s="708"/>
    </row>
    <row r="782" ht="13.8" spans="1:21">
      <c r="A782" s="19"/>
      <c r="B782" s="20"/>
      <c r="C782" s="20"/>
      <c r="D782" s="19"/>
      <c r="E782" s="19"/>
      <c r="F782" s="19"/>
      <c r="G782" s="19"/>
      <c r="H782" s="19"/>
      <c r="I782" s="19"/>
      <c r="J782" s="20"/>
      <c r="K782" s="19"/>
      <c r="L782" s="19"/>
      <c r="M782" s="19"/>
      <c r="N782" s="20"/>
      <c r="O782" s="20"/>
      <c r="P782" s="20"/>
      <c r="Q782" s="20"/>
      <c r="R782" s="20"/>
      <c r="S782" s="20"/>
      <c r="T782" s="708"/>
      <c r="U782" s="708"/>
    </row>
    <row r="783" ht="13.8" spans="1:21">
      <c r="A783" s="19"/>
      <c r="B783" s="20"/>
      <c r="C783" s="20"/>
      <c r="D783" s="19"/>
      <c r="E783" s="19"/>
      <c r="F783" s="19"/>
      <c r="G783" s="19"/>
      <c r="H783" s="19"/>
      <c r="I783" s="19"/>
      <c r="J783" s="20"/>
      <c r="K783" s="19"/>
      <c r="L783" s="19"/>
      <c r="M783" s="19"/>
      <c r="N783" s="20"/>
      <c r="O783" s="20"/>
      <c r="P783" s="20"/>
      <c r="Q783" s="20"/>
      <c r="R783" s="20"/>
      <c r="S783" s="20"/>
      <c r="T783" s="708"/>
      <c r="U783" s="708"/>
    </row>
    <row r="784" ht="13.8" spans="1:21">
      <c r="A784" s="19"/>
      <c r="B784" s="20"/>
      <c r="C784" s="20"/>
      <c r="D784" s="19"/>
      <c r="E784" s="19"/>
      <c r="F784" s="19"/>
      <c r="G784" s="19"/>
      <c r="H784" s="19"/>
      <c r="I784" s="19"/>
      <c r="J784" s="20"/>
      <c r="K784" s="19"/>
      <c r="L784" s="19"/>
      <c r="M784" s="19"/>
      <c r="N784" s="20"/>
      <c r="O784" s="20"/>
      <c r="P784" s="20"/>
      <c r="Q784" s="20"/>
      <c r="R784" s="20"/>
      <c r="S784" s="20"/>
      <c r="T784" s="708"/>
      <c r="U784" s="708"/>
    </row>
    <row r="785" ht="13.8" spans="1:21">
      <c r="A785" s="19"/>
      <c r="B785" s="20"/>
      <c r="C785" s="20"/>
      <c r="D785" s="19"/>
      <c r="E785" s="19"/>
      <c r="F785" s="19"/>
      <c r="G785" s="19"/>
      <c r="H785" s="19"/>
      <c r="I785" s="19"/>
      <c r="J785" s="20"/>
      <c r="K785" s="19"/>
      <c r="L785" s="19"/>
      <c r="M785" s="19"/>
      <c r="N785" s="20"/>
      <c r="O785" s="20"/>
      <c r="P785" s="20"/>
      <c r="Q785" s="20"/>
      <c r="R785" s="20"/>
      <c r="S785" s="20"/>
      <c r="T785" s="708"/>
      <c r="U785" s="708"/>
    </row>
    <row r="786" ht="13.8" spans="1:21">
      <c r="A786" s="19"/>
      <c r="B786" s="20"/>
      <c r="C786" s="20"/>
      <c r="D786" s="19"/>
      <c r="E786" s="19"/>
      <c r="F786" s="19"/>
      <c r="G786" s="19"/>
      <c r="H786" s="19"/>
      <c r="I786" s="19"/>
      <c r="J786" s="20"/>
      <c r="K786" s="19"/>
      <c r="L786" s="19"/>
      <c r="M786" s="19"/>
      <c r="N786" s="20"/>
      <c r="O786" s="20"/>
      <c r="P786" s="20"/>
      <c r="Q786" s="20"/>
      <c r="R786" s="20"/>
      <c r="S786" s="20"/>
      <c r="T786" s="708"/>
      <c r="U786" s="708"/>
    </row>
    <row r="787" ht="13.8" spans="1:21">
      <c r="A787" s="19"/>
      <c r="B787" s="20"/>
      <c r="C787" s="20"/>
      <c r="D787" s="19"/>
      <c r="E787" s="19"/>
      <c r="F787" s="19"/>
      <c r="G787" s="19"/>
      <c r="H787" s="19"/>
      <c r="I787" s="19"/>
      <c r="J787" s="20"/>
      <c r="K787" s="19"/>
      <c r="L787" s="19"/>
      <c r="M787" s="19"/>
      <c r="N787" s="20"/>
      <c r="O787" s="20"/>
      <c r="P787" s="20"/>
      <c r="Q787" s="20"/>
      <c r="R787" s="20"/>
      <c r="S787" s="20"/>
      <c r="T787" s="708"/>
      <c r="U787" s="708"/>
    </row>
    <row r="788" ht="13.8" spans="1:21">
      <c r="A788" s="19"/>
      <c r="B788" s="20"/>
      <c r="C788" s="20"/>
      <c r="D788" s="19"/>
      <c r="E788" s="19"/>
      <c r="F788" s="19"/>
      <c r="G788" s="19"/>
      <c r="H788" s="19"/>
      <c r="I788" s="19"/>
      <c r="J788" s="20"/>
      <c r="K788" s="19"/>
      <c r="L788" s="19"/>
      <c r="M788" s="19"/>
      <c r="N788" s="20"/>
      <c r="O788" s="20"/>
      <c r="P788" s="20"/>
      <c r="Q788" s="20"/>
      <c r="R788" s="20"/>
      <c r="S788" s="20"/>
      <c r="T788" s="708"/>
      <c r="U788" s="708"/>
    </row>
    <row r="789" ht="13.8" spans="1:21">
      <c r="A789" s="19"/>
      <c r="B789" s="20"/>
      <c r="C789" s="20"/>
      <c r="D789" s="19"/>
      <c r="E789" s="19"/>
      <c r="F789" s="19"/>
      <c r="G789" s="19"/>
      <c r="H789" s="19"/>
      <c r="I789" s="19"/>
      <c r="J789" s="20"/>
      <c r="K789" s="19"/>
      <c r="L789" s="19"/>
      <c r="M789" s="19"/>
      <c r="N789" s="20"/>
      <c r="O789" s="20"/>
      <c r="P789" s="20"/>
      <c r="Q789" s="20"/>
      <c r="R789" s="20"/>
      <c r="S789" s="20"/>
      <c r="T789" s="708"/>
      <c r="U789" s="708"/>
    </row>
    <row r="790" ht="13.8" spans="1:21">
      <c r="A790" s="19"/>
      <c r="B790" s="20"/>
      <c r="C790" s="20"/>
      <c r="D790" s="19"/>
      <c r="E790" s="19"/>
      <c r="F790" s="19"/>
      <c r="G790" s="19"/>
      <c r="H790" s="19"/>
      <c r="I790" s="19"/>
      <c r="J790" s="20"/>
      <c r="K790" s="19"/>
      <c r="L790" s="19"/>
      <c r="M790" s="19"/>
      <c r="N790" s="20"/>
      <c r="O790" s="20"/>
      <c r="P790" s="20"/>
      <c r="Q790" s="20"/>
      <c r="R790" s="20"/>
      <c r="S790" s="20"/>
      <c r="T790" s="708"/>
      <c r="U790" s="708"/>
    </row>
    <row r="791" ht="13.8" spans="1:21">
      <c r="A791" s="19"/>
      <c r="B791" s="20"/>
      <c r="C791" s="20"/>
      <c r="D791" s="19"/>
      <c r="E791" s="19"/>
      <c r="F791" s="19"/>
      <c r="G791" s="19"/>
      <c r="H791" s="19"/>
      <c r="I791" s="19"/>
      <c r="J791" s="20"/>
      <c r="K791" s="19"/>
      <c r="L791" s="19"/>
      <c r="M791" s="19"/>
      <c r="N791" s="20"/>
      <c r="O791" s="20"/>
      <c r="P791" s="20"/>
      <c r="Q791" s="20"/>
      <c r="R791" s="20"/>
      <c r="S791" s="20"/>
      <c r="T791" s="708"/>
      <c r="U791" s="708"/>
    </row>
    <row r="792" ht="13.8" spans="1:21">
      <c r="A792" s="19"/>
      <c r="B792" s="20"/>
      <c r="C792" s="20"/>
      <c r="D792" s="19"/>
      <c r="E792" s="19"/>
      <c r="F792" s="19"/>
      <c r="G792" s="19"/>
      <c r="H792" s="19"/>
      <c r="I792" s="19"/>
      <c r="J792" s="20"/>
      <c r="K792" s="19"/>
      <c r="L792" s="19"/>
      <c r="M792" s="19"/>
      <c r="N792" s="20"/>
      <c r="O792" s="20"/>
      <c r="P792" s="20"/>
      <c r="Q792" s="20"/>
      <c r="R792" s="20"/>
      <c r="S792" s="20"/>
      <c r="T792" s="708"/>
      <c r="U792" s="708"/>
    </row>
    <row r="793" ht="13.8" spans="1:21">
      <c r="A793" s="19"/>
      <c r="B793" s="20"/>
      <c r="C793" s="20"/>
      <c r="D793" s="19"/>
      <c r="E793" s="19"/>
      <c r="F793" s="19"/>
      <c r="G793" s="19"/>
      <c r="H793" s="19"/>
      <c r="I793" s="19"/>
      <c r="J793" s="20"/>
      <c r="K793" s="19"/>
      <c r="L793" s="19"/>
      <c r="M793" s="19"/>
      <c r="N793" s="20"/>
      <c r="O793" s="20"/>
      <c r="P793" s="20"/>
      <c r="Q793" s="20"/>
      <c r="R793" s="20"/>
      <c r="S793" s="20"/>
      <c r="T793" s="708"/>
      <c r="U793" s="708"/>
    </row>
    <row r="794" ht="13.8" spans="1:21">
      <c r="A794" s="19"/>
      <c r="B794" s="20"/>
      <c r="C794" s="20"/>
      <c r="D794" s="19"/>
      <c r="E794" s="19"/>
      <c r="F794" s="19"/>
      <c r="G794" s="19"/>
      <c r="H794" s="19"/>
      <c r="I794" s="19"/>
      <c r="J794" s="20"/>
      <c r="K794" s="19"/>
      <c r="L794" s="19"/>
      <c r="M794" s="19"/>
      <c r="N794" s="20"/>
      <c r="O794" s="20"/>
      <c r="P794" s="20"/>
      <c r="Q794" s="20"/>
      <c r="R794" s="20"/>
      <c r="S794" s="20"/>
      <c r="T794" s="708"/>
      <c r="U794" s="708"/>
    </row>
    <row r="795" ht="13.8" spans="1:21">
      <c r="A795" s="19"/>
      <c r="B795" s="20"/>
      <c r="C795" s="20"/>
      <c r="D795" s="19"/>
      <c r="E795" s="19"/>
      <c r="F795" s="19"/>
      <c r="G795" s="19"/>
      <c r="H795" s="19"/>
      <c r="I795" s="19"/>
      <c r="J795" s="20"/>
      <c r="K795" s="19"/>
      <c r="L795" s="19"/>
      <c r="M795" s="19"/>
      <c r="N795" s="20"/>
      <c r="O795" s="20"/>
      <c r="P795" s="20"/>
      <c r="Q795" s="20"/>
      <c r="R795" s="20"/>
      <c r="S795" s="20"/>
      <c r="T795" s="708"/>
      <c r="U795" s="708"/>
    </row>
    <row r="796" ht="13.8" spans="1:21">
      <c r="A796" s="19"/>
      <c r="B796" s="20"/>
      <c r="C796" s="20"/>
      <c r="D796" s="19"/>
      <c r="E796" s="19"/>
      <c r="F796" s="19"/>
      <c r="G796" s="19"/>
      <c r="H796" s="19"/>
      <c r="I796" s="19"/>
      <c r="J796" s="20"/>
      <c r="K796" s="19"/>
      <c r="L796" s="19"/>
      <c r="M796" s="19"/>
      <c r="N796" s="20"/>
      <c r="O796" s="20"/>
      <c r="P796" s="20"/>
      <c r="Q796" s="20"/>
      <c r="R796" s="20"/>
      <c r="S796" s="20"/>
      <c r="T796" s="708"/>
      <c r="U796" s="708"/>
    </row>
    <row r="797" ht="13.8" spans="1:21">
      <c r="A797" s="19"/>
      <c r="B797" s="20"/>
      <c r="C797" s="20"/>
      <c r="D797" s="19"/>
      <c r="E797" s="19"/>
      <c r="F797" s="19"/>
      <c r="G797" s="19"/>
      <c r="H797" s="19"/>
      <c r="I797" s="19"/>
      <c r="J797" s="20"/>
      <c r="K797" s="19"/>
      <c r="L797" s="19"/>
      <c r="M797" s="19"/>
      <c r="N797" s="20"/>
      <c r="O797" s="20"/>
      <c r="P797" s="20"/>
      <c r="Q797" s="20"/>
      <c r="R797" s="20"/>
      <c r="S797" s="20"/>
      <c r="T797" s="708"/>
      <c r="U797" s="708"/>
    </row>
    <row r="798" ht="13.8" spans="1:21">
      <c r="A798" s="19"/>
      <c r="B798" s="20"/>
      <c r="C798" s="20"/>
      <c r="D798" s="19"/>
      <c r="E798" s="19"/>
      <c r="F798" s="19"/>
      <c r="G798" s="19"/>
      <c r="H798" s="19"/>
      <c r="I798" s="19"/>
      <c r="J798" s="20"/>
      <c r="K798" s="19"/>
      <c r="L798" s="19"/>
      <c r="M798" s="19"/>
      <c r="N798" s="20"/>
      <c r="O798" s="20"/>
      <c r="P798" s="20"/>
      <c r="Q798" s="20"/>
      <c r="R798" s="20"/>
      <c r="S798" s="20"/>
      <c r="T798" s="708"/>
      <c r="U798" s="708"/>
    </row>
    <row r="799" ht="13.8" spans="1:21">
      <c r="A799" s="19"/>
      <c r="B799" s="20"/>
      <c r="C799" s="20"/>
      <c r="D799" s="19"/>
      <c r="E799" s="19"/>
      <c r="F799" s="19"/>
      <c r="G799" s="19"/>
      <c r="H799" s="19"/>
      <c r="I799" s="19"/>
      <c r="J799" s="20"/>
      <c r="K799" s="19"/>
      <c r="L799" s="19"/>
      <c r="M799" s="19"/>
      <c r="N799" s="20"/>
      <c r="O799" s="20"/>
      <c r="P799" s="20"/>
      <c r="Q799" s="20"/>
      <c r="R799" s="20"/>
      <c r="S799" s="20"/>
      <c r="T799" s="708"/>
      <c r="U799" s="708"/>
    </row>
    <row r="800" ht="13.8" spans="1:21">
      <c r="A800" s="19"/>
      <c r="B800" s="20"/>
      <c r="C800" s="20"/>
      <c r="D800" s="19"/>
      <c r="E800" s="19"/>
      <c r="F800" s="19"/>
      <c r="G800" s="19"/>
      <c r="H800" s="19"/>
      <c r="I800" s="19"/>
      <c r="J800" s="20"/>
      <c r="K800" s="19"/>
      <c r="L800" s="19"/>
      <c r="M800" s="19"/>
      <c r="N800" s="20"/>
      <c r="O800" s="20"/>
      <c r="P800" s="20"/>
      <c r="Q800" s="20"/>
      <c r="R800" s="20"/>
      <c r="S800" s="20"/>
      <c r="T800" s="708"/>
      <c r="U800" s="708"/>
    </row>
    <row r="801" ht="13.8" spans="1:21">
      <c r="A801" s="19"/>
      <c r="B801" s="20"/>
      <c r="C801" s="20"/>
      <c r="D801" s="19"/>
      <c r="E801" s="19"/>
      <c r="F801" s="19"/>
      <c r="G801" s="19"/>
      <c r="H801" s="19"/>
      <c r="I801" s="19"/>
      <c r="J801" s="20"/>
      <c r="K801" s="19"/>
      <c r="L801" s="19"/>
      <c r="M801" s="19"/>
      <c r="N801" s="20"/>
      <c r="O801" s="20"/>
      <c r="P801" s="20"/>
      <c r="Q801" s="20"/>
      <c r="R801" s="20"/>
      <c r="S801" s="20"/>
      <c r="T801" s="708"/>
      <c r="U801" s="708"/>
    </row>
    <row r="802" ht="13.8" spans="1:21">
      <c r="A802" s="19"/>
      <c r="B802" s="20"/>
      <c r="C802" s="20"/>
      <c r="D802" s="19"/>
      <c r="E802" s="19"/>
      <c r="F802" s="19"/>
      <c r="G802" s="19"/>
      <c r="H802" s="19"/>
      <c r="I802" s="19"/>
      <c r="J802" s="20"/>
      <c r="K802" s="19"/>
      <c r="L802" s="19"/>
      <c r="M802" s="19"/>
      <c r="N802" s="20"/>
      <c r="O802" s="20"/>
      <c r="P802" s="20"/>
      <c r="Q802" s="20"/>
      <c r="R802" s="20"/>
      <c r="S802" s="20"/>
      <c r="T802" s="708"/>
      <c r="U802" s="708"/>
    </row>
    <row r="803" ht="13.8" spans="1:21">
      <c r="A803" s="19"/>
      <c r="B803" s="20"/>
      <c r="C803" s="20"/>
      <c r="D803" s="19"/>
      <c r="E803" s="19"/>
      <c r="F803" s="19"/>
      <c r="G803" s="19"/>
      <c r="H803" s="19"/>
      <c r="I803" s="19"/>
      <c r="J803" s="20"/>
      <c r="K803" s="19"/>
      <c r="L803" s="19"/>
      <c r="M803" s="19"/>
      <c r="N803" s="20"/>
      <c r="O803" s="20"/>
      <c r="P803" s="20"/>
      <c r="Q803" s="20"/>
      <c r="R803" s="20"/>
      <c r="S803" s="20"/>
      <c r="T803" s="708"/>
      <c r="U803" s="708"/>
    </row>
    <row r="804" ht="13.8" spans="1:21">
      <c r="A804" s="19"/>
      <c r="B804" s="20"/>
      <c r="C804" s="20"/>
      <c r="D804" s="19"/>
      <c r="E804" s="19"/>
      <c r="F804" s="19"/>
      <c r="G804" s="19"/>
      <c r="H804" s="19"/>
      <c r="I804" s="19"/>
      <c r="J804" s="20"/>
      <c r="K804" s="19"/>
      <c r="L804" s="19"/>
      <c r="M804" s="19"/>
      <c r="N804" s="20"/>
      <c r="O804" s="20"/>
      <c r="P804" s="20"/>
      <c r="Q804" s="20"/>
      <c r="R804" s="20"/>
      <c r="S804" s="20"/>
      <c r="T804" s="708"/>
      <c r="U804" s="708"/>
    </row>
    <row r="805" ht="13.8" spans="1:21">
      <c r="A805" s="19"/>
      <c r="B805" s="20"/>
      <c r="C805" s="20"/>
      <c r="D805" s="19"/>
      <c r="E805" s="19"/>
      <c r="F805" s="19"/>
      <c r="G805" s="19"/>
      <c r="H805" s="19"/>
      <c r="I805" s="19"/>
      <c r="J805" s="20"/>
      <c r="K805" s="19"/>
      <c r="L805" s="19"/>
      <c r="M805" s="19"/>
      <c r="N805" s="20"/>
      <c r="O805" s="20"/>
      <c r="P805" s="20"/>
      <c r="Q805" s="20"/>
      <c r="R805" s="20"/>
      <c r="S805" s="20"/>
      <c r="T805" s="708"/>
      <c r="U805" s="708"/>
    </row>
    <row r="806" ht="13.8" spans="1:21">
      <c r="A806" s="19"/>
      <c r="B806" s="20"/>
      <c r="C806" s="20"/>
      <c r="D806" s="19"/>
      <c r="E806" s="19"/>
      <c r="F806" s="19"/>
      <c r="G806" s="19"/>
      <c r="H806" s="19"/>
      <c r="I806" s="19"/>
      <c r="J806" s="20"/>
      <c r="K806" s="19"/>
      <c r="L806" s="19"/>
      <c r="M806" s="19"/>
      <c r="N806" s="20"/>
      <c r="O806" s="20"/>
      <c r="P806" s="20"/>
      <c r="Q806" s="20"/>
      <c r="R806" s="20"/>
      <c r="S806" s="20"/>
      <c r="T806" s="708"/>
      <c r="U806" s="708"/>
    </row>
    <row r="807" ht="13.8" spans="1:21">
      <c r="A807" s="19"/>
      <c r="B807" s="20"/>
      <c r="C807" s="20"/>
      <c r="D807" s="19"/>
      <c r="E807" s="19"/>
      <c r="F807" s="19"/>
      <c r="G807" s="19"/>
      <c r="H807" s="19"/>
      <c r="I807" s="19"/>
      <c r="J807" s="20"/>
      <c r="K807" s="19"/>
      <c r="L807" s="19"/>
      <c r="M807" s="19"/>
      <c r="N807" s="20"/>
      <c r="O807" s="20"/>
      <c r="P807" s="20"/>
      <c r="Q807" s="20"/>
      <c r="R807" s="20"/>
      <c r="S807" s="20"/>
      <c r="T807" s="708"/>
      <c r="U807" s="708"/>
    </row>
    <row r="808" ht="13.8" spans="1:21">
      <c r="A808" s="19"/>
      <c r="B808" s="20"/>
      <c r="C808" s="20"/>
      <c r="D808" s="19"/>
      <c r="E808" s="19"/>
      <c r="F808" s="19"/>
      <c r="G808" s="19"/>
      <c r="H808" s="19"/>
      <c r="I808" s="19"/>
      <c r="J808" s="20"/>
      <c r="K808" s="19"/>
      <c r="L808" s="19"/>
      <c r="M808" s="19"/>
      <c r="N808" s="20"/>
      <c r="O808" s="20"/>
      <c r="P808" s="20"/>
      <c r="Q808" s="20"/>
      <c r="R808" s="20"/>
      <c r="S808" s="20"/>
      <c r="T808" s="708"/>
      <c r="U808" s="708"/>
    </row>
    <row r="809" ht="13.8" spans="1:21">
      <c r="A809" s="19"/>
      <c r="B809" s="20"/>
      <c r="C809" s="20"/>
      <c r="D809" s="19"/>
      <c r="E809" s="19"/>
      <c r="F809" s="19"/>
      <c r="G809" s="19"/>
      <c r="H809" s="19"/>
      <c r="I809" s="19"/>
      <c r="J809" s="20"/>
      <c r="K809" s="19"/>
      <c r="L809" s="19"/>
      <c r="M809" s="19"/>
      <c r="N809" s="20"/>
      <c r="O809" s="20"/>
      <c r="P809" s="20"/>
      <c r="Q809" s="20"/>
      <c r="R809" s="20"/>
      <c r="S809" s="20"/>
      <c r="T809" s="708"/>
      <c r="U809" s="708"/>
    </row>
    <row r="810" ht="13.8" spans="1:21">
      <c r="A810" s="19"/>
      <c r="B810" s="20"/>
      <c r="C810" s="20"/>
      <c r="D810" s="19"/>
      <c r="E810" s="19"/>
      <c r="F810" s="19"/>
      <c r="G810" s="19"/>
      <c r="H810" s="19"/>
      <c r="I810" s="19"/>
      <c r="J810" s="20"/>
      <c r="K810" s="19"/>
      <c r="L810" s="19"/>
      <c r="M810" s="19"/>
      <c r="N810" s="20"/>
      <c r="O810" s="20"/>
      <c r="P810" s="20"/>
      <c r="Q810" s="20"/>
      <c r="R810" s="20"/>
      <c r="S810" s="20"/>
      <c r="T810" s="708"/>
      <c r="U810" s="708"/>
    </row>
    <row r="811" ht="13.8" spans="1:21">
      <c r="A811" s="19"/>
      <c r="B811" s="20"/>
      <c r="C811" s="20"/>
      <c r="D811" s="19"/>
      <c r="E811" s="19"/>
      <c r="F811" s="19"/>
      <c r="G811" s="19"/>
      <c r="H811" s="19"/>
      <c r="I811" s="19"/>
      <c r="J811" s="20"/>
      <c r="K811" s="19"/>
      <c r="L811" s="19"/>
      <c r="M811" s="19"/>
      <c r="N811" s="20"/>
      <c r="O811" s="20"/>
      <c r="P811" s="20"/>
      <c r="Q811" s="20"/>
      <c r="R811" s="20"/>
      <c r="S811" s="20"/>
      <c r="T811" s="708"/>
      <c r="U811" s="708"/>
    </row>
    <row r="812" ht="13.8" spans="1:21">
      <c r="A812" s="19"/>
      <c r="B812" s="20"/>
      <c r="C812" s="20"/>
      <c r="D812" s="19"/>
      <c r="E812" s="19"/>
      <c r="F812" s="19"/>
      <c r="G812" s="19"/>
      <c r="H812" s="19"/>
      <c r="I812" s="19"/>
      <c r="J812" s="20"/>
      <c r="K812" s="19"/>
      <c r="L812" s="19"/>
      <c r="M812" s="19"/>
      <c r="N812" s="20"/>
      <c r="O812" s="20"/>
      <c r="P812" s="20"/>
      <c r="Q812" s="20"/>
      <c r="R812" s="20"/>
      <c r="S812" s="20"/>
      <c r="T812" s="708"/>
      <c r="U812" s="708"/>
    </row>
    <row r="813" ht="13.8" spans="1:21">
      <c r="A813" s="19"/>
      <c r="B813" s="20"/>
      <c r="C813" s="20"/>
      <c r="D813" s="19"/>
      <c r="E813" s="19"/>
      <c r="F813" s="19"/>
      <c r="G813" s="19"/>
      <c r="H813" s="19"/>
      <c r="I813" s="19"/>
      <c r="J813" s="20"/>
      <c r="K813" s="19"/>
      <c r="L813" s="19"/>
      <c r="M813" s="19"/>
      <c r="N813" s="20"/>
      <c r="O813" s="20"/>
      <c r="P813" s="20"/>
      <c r="Q813" s="20"/>
      <c r="R813" s="20"/>
      <c r="S813" s="20"/>
      <c r="T813" s="708"/>
      <c r="U813" s="708"/>
    </row>
    <row r="814" ht="13.8" spans="1:21">
      <c r="A814" s="19"/>
      <c r="B814" s="20"/>
      <c r="C814" s="20"/>
      <c r="D814" s="19"/>
      <c r="E814" s="19"/>
      <c r="F814" s="19"/>
      <c r="G814" s="19"/>
      <c r="H814" s="19"/>
      <c r="I814" s="19"/>
      <c r="J814" s="20"/>
      <c r="K814" s="19"/>
      <c r="L814" s="19"/>
      <c r="M814" s="19"/>
      <c r="N814" s="20"/>
      <c r="O814" s="20"/>
      <c r="P814" s="20"/>
      <c r="Q814" s="20"/>
      <c r="R814" s="20"/>
      <c r="S814" s="20"/>
      <c r="T814" s="708"/>
      <c r="U814" s="708"/>
    </row>
    <row r="815" ht="13.8" spans="1:21">
      <c r="A815" s="19"/>
      <c r="B815" s="20"/>
      <c r="C815" s="20"/>
      <c r="D815" s="19"/>
      <c r="E815" s="19"/>
      <c r="F815" s="19"/>
      <c r="G815" s="19"/>
      <c r="H815" s="19"/>
      <c r="I815" s="19"/>
      <c r="J815" s="20"/>
      <c r="K815" s="19"/>
      <c r="L815" s="19"/>
      <c r="M815" s="19"/>
      <c r="N815" s="20"/>
      <c r="O815" s="20"/>
      <c r="P815" s="20"/>
      <c r="Q815" s="20"/>
      <c r="R815" s="20"/>
      <c r="S815" s="20"/>
      <c r="T815" s="708"/>
      <c r="U815" s="708"/>
    </row>
    <row r="816" ht="13.8" spans="1:21">
      <c r="A816" s="19"/>
      <c r="B816" s="20"/>
      <c r="C816" s="20"/>
      <c r="D816" s="19"/>
      <c r="E816" s="19"/>
      <c r="F816" s="19"/>
      <c r="G816" s="19"/>
      <c r="H816" s="19"/>
      <c r="I816" s="19"/>
      <c r="J816" s="20"/>
      <c r="K816" s="19"/>
      <c r="L816" s="19"/>
      <c r="M816" s="19"/>
      <c r="N816" s="20"/>
      <c r="O816" s="20"/>
      <c r="P816" s="20"/>
      <c r="Q816" s="20"/>
      <c r="R816" s="20"/>
      <c r="S816" s="20"/>
      <c r="T816" s="708"/>
      <c r="U816" s="708"/>
    </row>
    <row r="817" ht="13.8" spans="1:21">
      <c r="A817" s="19"/>
      <c r="B817" s="20"/>
      <c r="C817" s="20"/>
      <c r="D817" s="19"/>
      <c r="E817" s="19"/>
      <c r="F817" s="19"/>
      <c r="G817" s="19"/>
      <c r="H817" s="19"/>
      <c r="I817" s="19"/>
      <c r="J817" s="20"/>
      <c r="K817" s="19"/>
      <c r="L817" s="19"/>
      <c r="M817" s="19"/>
      <c r="N817" s="20"/>
      <c r="O817" s="20"/>
      <c r="P817" s="20"/>
      <c r="Q817" s="20"/>
      <c r="R817" s="20"/>
      <c r="S817" s="20"/>
      <c r="T817" s="708"/>
      <c r="U817" s="708"/>
    </row>
    <row r="818" ht="13.8" spans="1:21">
      <c r="A818" s="19"/>
      <c r="B818" s="20"/>
      <c r="C818" s="20"/>
      <c r="D818" s="19"/>
      <c r="E818" s="19"/>
      <c r="F818" s="19"/>
      <c r="G818" s="19"/>
      <c r="H818" s="19"/>
      <c r="I818" s="19"/>
      <c r="J818" s="20"/>
      <c r="K818" s="19"/>
      <c r="L818" s="19"/>
      <c r="M818" s="19"/>
      <c r="N818" s="20"/>
      <c r="O818" s="20"/>
      <c r="P818" s="20"/>
      <c r="Q818" s="20"/>
      <c r="R818" s="20"/>
      <c r="S818" s="20"/>
      <c r="T818" s="708"/>
      <c r="U818" s="708"/>
    </row>
    <row r="819" ht="13.8" spans="1:21">
      <c r="A819" s="19"/>
      <c r="B819" s="20"/>
      <c r="C819" s="20"/>
      <c r="D819" s="19"/>
      <c r="E819" s="19"/>
      <c r="F819" s="19"/>
      <c r="G819" s="19"/>
      <c r="H819" s="19"/>
      <c r="I819" s="19"/>
      <c r="J819" s="20"/>
      <c r="K819" s="19"/>
      <c r="L819" s="19"/>
      <c r="M819" s="19"/>
      <c r="N819" s="20"/>
      <c r="O819" s="20"/>
      <c r="P819" s="20"/>
      <c r="Q819" s="20"/>
      <c r="R819" s="20"/>
      <c r="S819" s="20"/>
      <c r="T819" s="708"/>
      <c r="U819" s="708"/>
    </row>
    <row r="820" ht="13.8" spans="1:21">
      <c r="A820" s="19"/>
      <c r="B820" s="20"/>
      <c r="C820" s="20"/>
      <c r="D820" s="19"/>
      <c r="E820" s="19"/>
      <c r="F820" s="19"/>
      <c r="G820" s="19"/>
      <c r="H820" s="19"/>
      <c r="I820" s="19"/>
      <c r="J820" s="20"/>
      <c r="K820" s="19"/>
      <c r="L820" s="19"/>
      <c r="M820" s="19"/>
      <c r="N820" s="20"/>
      <c r="O820" s="20"/>
      <c r="P820" s="20"/>
      <c r="Q820" s="20"/>
      <c r="R820" s="20"/>
      <c r="S820" s="20"/>
      <c r="T820" s="708"/>
      <c r="U820" s="708"/>
    </row>
    <row r="821" ht="13.8" spans="1:21">
      <c r="A821" s="19"/>
      <c r="B821" s="20"/>
      <c r="C821" s="20"/>
      <c r="D821" s="19"/>
      <c r="E821" s="19"/>
      <c r="F821" s="19"/>
      <c r="G821" s="19"/>
      <c r="H821" s="19"/>
      <c r="I821" s="19"/>
      <c r="J821" s="20"/>
      <c r="K821" s="19"/>
      <c r="L821" s="19"/>
      <c r="M821" s="19"/>
      <c r="N821" s="20"/>
      <c r="O821" s="20"/>
      <c r="P821" s="20"/>
      <c r="Q821" s="20"/>
      <c r="R821" s="20"/>
      <c r="S821" s="20"/>
      <c r="T821" s="708"/>
      <c r="U821" s="708"/>
    </row>
    <row r="822" ht="13.8" spans="1:21">
      <c r="A822" s="19"/>
      <c r="B822" s="20"/>
      <c r="C822" s="20"/>
      <c r="D822" s="19"/>
      <c r="E822" s="19"/>
      <c r="F822" s="19"/>
      <c r="G822" s="19"/>
      <c r="H822" s="19"/>
      <c r="I822" s="19"/>
      <c r="J822" s="20"/>
      <c r="K822" s="19"/>
      <c r="L822" s="19"/>
      <c r="M822" s="19"/>
      <c r="N822" s="20"/>
      <c r="O822" s="20"/>
      <c r="P822" s="20"/>
      <c r="Q822" s="20"/>
      <c r="R822" s="20"/>
      <c r="S822" s="20"/>
      <c r="T822" s="708"/>
      <c r="U822" s="708"/>
    </row>
    <row r="823" ht="13.8" spans="1:21">
      <c r="A823" s="19"/>
      <c r="B823" s="20"/>
      <c r="C823" s="20"/>
      <c r="D823" s="19"/>
      <c r="E823" s="19"/>
      <c r="F823" s="19"/>
      <c r="G823" s="19"/>
      <c r="H823" s="19"/>
      <c r="I823" s="19"/>
      <c r="J823" s="20"/>
      <c r="K823" s="19"/>
      <c r="L823" s="19"/>
      <c r="M823" s="19"/>
      <c r="N823" s="20"/>
      <c r="O823" s="20"/>
      <c r="P823" s="20"/>
      <c r="Q823" s="20"/>
      <c r="R823" s="20"/>
      <c r="S823" s="20"/>
      <c r="T823" s="708"/>
      <c r="U823" s="708"/>
    </row>
    <row r="824" ht="13.8" spans="1:21">
      <c r="A824" s="19"/>
      <c r="B824" s="20"/>
      <c r="C824" s="20"/>
      <c r="D824" s="19"/>
      <c r="E824" s="19"/>
      <c r="F824" s="19"/>
      <c r="G824" s="19"/>
      <c r="H824" s="19"/>
      <c r="I824" s="19"/>
      <c r="J824" s="20"/>
      <c r="K824" s="19"/>
      <c r="L824" s="19"/>
      <c r="M824" s="19"/>
      <c r="N824" s="20"/>
      <c r="O824" s="20"/>
      <c r="P824" s="20"/>
      <c r="Q824" s="20"/>
      <c r="R824" s="20"/>
      <c r="S824" s="20"/>
      <c r="T824" s="708"/>
      <c r="U824" s="708"/>
    </row>
    <row r="825" ht="13.8" spans="1:21">
      <c r="A825" s="19"/>
      <c r="B825" s="20"/>
      <c r="C825" s="20"/>
      <c r="D825" s="19"/>
      <c r="E825" s="19"/>
      <c r="F825" s="19"/>
      <c r="G825" s="19"/>
      <c r="H825" s="19"/>
      <c r="I825" s="19"/>
      <c r="J825" s="20"/>
      <c r="K825" s="19"/>
      <c r="L825" s="19"/>
      <c r="M825" s="19"/>
      <c r="N825" s="20"/>
      <c r="O825" s="20"/>
      <c r="P825" s="20"/>
      <c r="Q825" s="20"/>
      <c r="R825" s="20"/>
      <c r="S825" s="20"/>
      <c r="T825" s="708"/>
      <c r="U825" s="708"/>
    </row>
    <row r="826" ht="13.8" spans="1:21">
      <c r="A826" s="19"/>
      <c r="B826" s="20"/>
      <c r="C826" s="20"/>
      <c r="D826" s="19"/>
      <c r="E826" s="19"/>
      <c r="F826" s="19"/>
      <c r="G826" s="19"/>
      <c r="H826" s="19"/>
      <c r="I826" s="19"/>
      <c r="J826" s="20"/>
      <c r="K826" s="19"/>
      <c r="L826" s="19"/>
      <c r="M826" s="19"/>
      <c r="N826" s="20"/>
      <c r="O826" s="20"/>
      <c r="P826" s="20"/>
      <c r="Q826" s="20"/>
      <c r="R826" s="20"/>
      <c r="S826" s="20"/>
      <c r="T826" s="708"/>
      <c r="U826" s="708"/>
    </row>
    <row r="827" ht="13.8" spans="1:21">
      <c r="A827" s="19"/>
      <c r="B827" s="20"/>
      <c r="C827" s="20"/>
      <c r="D827" s="19"/>
      <c r="E827" s="19"/>
      <c r="F827" s="19"/>
      <c r="G827" s="19"/>
      <c r="H827" s="19"/>
      <c r="I827" s="19"/>
      <c r="J827" s="20"/>
      <c r="K827" s="19"/>
      <c r="L827" s="19"/>
      <c r="M827" s="19"/>
      <c r="N827" s="20"/>
      <c r="O827" s="20"/>
      <c r="P827" s="20"/>
      <c r="Q827" s="20"/>
      <c r="R827" s="20"/>
      <c r="S827" s="20"/>
      <c r="T827" s="708"/>
      <c r="U827" s="708"/>
    </row>
    <row r="828" ht="13.8" spans="1:21">
      <c r="A828" s="19"/>
      <c r="B828" s="20"/>
      <c r="C828" s="20"/>
      <c r="D828" s="19"/>
      <c r="E828" s="19"/>
      <c r="F828" s="19"/>
      <c r="G828" s="19"/>
      <c r="H828" s="19"/>
      <c r="I828" s="19"/>
      <c r="J828" s="20"/>
      <c r="K828" s="19"/>
      <c r="L828" s="19"/>
      <c r="M828" s="19"/>
      <c r="N828" s="20"/>
      <c r="O828" s="20"/>
      <c r="P828" s="20"/>
      <c r="Q828" s="20"/>
      <c r="R828" s="20"/>
      <c r="S828" s="20"/>
      <c r="T828" s="708"/>
      <c r="U828" s="708"/>
    </row>
    <row r="829" ht="13.8" spans="1:21">
      <c r="A829" s="19"/>
      <c r="B829" s="20"/>
      <c r="C829" s="20"/>
      <c r="D829" s="19"/>
      <c r="E829" s="19"/>
      <c r="F829" s="19"/>
      <c r="G829" s="19"/>
      <c r="H829" s="19"/>
      <c r="I829" s="19"/>
      <c r="J829" s="20"/>
      <c r="K829" s="19"/>
      <c r="L829" s="19"/>
      <c r="M829" s="19"/>
      <c r="N829" s="20"/>
      <c r="O829" s="20"/>
      <c r="P829" s="20"/>
      <c r="Q829" s="20"/>
      <c r="R829" s="20"/>
      <c r="S829" s="20"/>
      <c r="T829" s="708"/>
      <c r="U829" s="708"/>
    </row>
    <row r="830" ht="13.8" spans="1:21">
      <c r="A830" s="19"/>
      <c r="B830" s="20"/>
      <c r="C830" s="20"/>
      <c r="D830" s="19"/>
      <c r="E830" s="19"/>
      <c r="F830" s="19"/>
      <c r="G830" s="19"/>
      <c r="H830" s="19"/>
      <c r="I830" s="19"/>
      <c r="J830" s="20"/>
      <c r="K830" s="19"/>
      <c r="L830" s="19"/>
      <c r="M830" s="19"/>
      <c r="N830" s="20"/>
      <c r="O830" s="20"/>
      <c r="P830" s="20"/>
      <c r="Q830" s="20"/>
      <c r="R830" s="20"/>
      <c r="S830" s="20"/>
      <c r="T830" s="708"/>
      <c r="U830" s="708"/>
    </row>
    <row r="831" ht="13.8" spans="1:21">
      <c r="A831" s="19"/>
      <c r="B831" s="20"/>
      <c r="C831" s="20"/>
      <c r="D831" s="19"/>
      <c r="E831" s="19"/>
      <c r="F831" s="19"/>
      <c r="G831" s="19"/>
      <c r="H831" s="19"/>
      <c r="I831" s="19"/>
      <c r="J831" s="20"/>
      <c r="K831" s="19"/>
      <c r="L831" s="19"/>
      <c r="M831" s="19"/>
      <c r="N831" s="20"/>
      <c r="O831" s="20"/>
      <c r="P831" s="20"/>
      <c r="Q831" s="20"/>
      <c r="R831" s="20"/>
      <c r="S831" s="20"/>
      <c r="T831" s="708"/>
      <c r="U831" s="708"/>
    </row>
    <row r="832" ht="13.8" spans="1:21">
      <c r="A832" s="19"/>
      <c r="B832" s="20"/>
      <c r="C832" s="20"/>
      <c r="D832" s="19"/>
      <c r="E832" s="19"/>
      <c r="F832" s="19"/>
      <c r="G832" s="19"/>
      <c r="H832" s="19"/>
      <c r="I832" s="19"/>
      <c r="J832" s="20"/>
      <c r="K832" s="19"/>
      <c r="L832" s="19"/>
      <c r="M832" s="19"/>
      <c r="N832" s="20"/>
      <c r="O832" s="20"/>
      <c r="P832" s="20"/>
      <c r="Q832" s="20"/>
      <c r="R832" s="20"/>
      <c r="S832" s="20"/>
      <c r="T832" s="708"/>
      <c r="U832" s="708"/>
    </row>
    <row r="833" ht="13.8" spans="1:21">
      <c r="A833" s="19"/>
      <c r="B833" s="20"/>
      <c r="C833" s="20"/>
      <c r="D833" s="19"/>
      <c r="E833" s="19"/>
      <c r="F833" s="19"/>
      <c r="G833" s="19"/>
      <c r="H833" s="19"/>
      <c r="I833" s="19"/>
      <c r="J833" s="20"/>
      <c r="K833" s="19"/>
      <c r="L833" s="19"/>
      <c r="M833" s="19"/>
      <c r="N833" s="20"/>
      <c r="O833" s="20"/>
      <c r="P833" s="20"/>
      <c r="Q833" s="20"/>
      <c r="R833" s="20"/>
      <c r="S833" s="20"/>
      <c r="T833" s="708"/>
      <c r="U833" s="708"/>
    </row>
    <row r="834" ht="13.8" spans="1:21">
      <c r="A834" s="19"/>
      <c r="B834" s="20"/>
      <c r="C834" s="20"/>
      <c r="D834" s="19"/>
      <c r="E834" s="19"/>
      <c r="F834" s="19"/>
      <c r="G834" s="19"/>
      <c r="H834" s="19"/>
      <c r="I834" s="19"/>
      <c r="J834" s="20"/>
      <c r="K834" s="19"/>
      <c r="L834" s="19"/>
      <c r="M834" s="19"/>
      <c r="N834" s="20"/>
      <c r="O834" s="20"/>
      <c r="P834" s="20"/>
      <c r="Q834" s="20"/>
      <c r="R834" s="20"/>
      <c r="S834" s="20"/>
      <c r="T834" s="708"/>
      <c r="U834" s="708"/>
    </row>
    <row r="835" ht="13.8" spans="1:21">
      <c r="A835" s="19"/>
      <c r="B835" s="20"/>
      <c r="C835" s="20"/>
      <c r="D835" s="19"/>
      <c r="E835" s="19"/>
      <c r="F835" s="19"/>
      <c r="G835" s="19"/>
      <c r="H835" s="19"/>
      <c r="I835" s="19"/>
      <c r="J835" s="20"/>
      <c r="K835" s="19"/>
      <c r="L835" s="19"/>
      <c r="M835" s="19"/>
      <c r="N835" s="20"/>
      <c r="O835" s="20"/>
      <c r="P835" s="20"/>
      <c r="Q835" s="20"/>
      <c r="R835" s="20"/>
      <c r="S835" s="20"/>
      <c r="T835" s="708"/>
      <c r="U835" s="708"/>
    </row>
    <row r="836" ht="13.8" spans="1:21">
      <c r="A836" s="19"/>
      <c r="B836" s="20"/>
      <c r="C836" s="20"/>
      <c r="D836" s="19"/>
      <c r="E836" s="19"/>
      <c r="F836" s="19"/>
      <c r="G836" s="19"/>
      <c r="H836" s="19"/>
      <c r="I836" s="19"/>
      <c r="J836" s="20"/>
      <c r="K836" s="19"/>
      <c r="L836" s="19"/>
      <c r="M836" s="19"/>
      <c r="N836" s="20"/>
      <c r="O836" s="20"/>
      <c r="P836" s="20"/>
      <c r="Q836" s="20"/>
      <c r="R836" s="20"/>
      <c r="S836" s="20"/>
      <c r="T836" s="708"/>
      <c r="U836" s="708"/>
    </row>
    <row r="837" ht="13.8" spans="1:21">
      <c r="A837" s="19"/>
      <c r="B837" s="20"/>
      <c r="C837" s="20"/>
      <c r="D837" s="19"/>
      <c r="E837" s="19"/>
      <c r="F837" s="19"/>
      <c r="G837" s="19"/>
      <c r="H837" s="19"/>
      <c r="I837" s="19"/>
      <c r="J837" s="20"/>
      <c r="K837" s="19"/>
      <c r="L837" s="19"/>
      <c r="M837" s="19"/>
      <c r="N837" s="20"/>
      <c r="O837" s="20"/>
      <c r="P837" s="20"/>
      <c r="Q837" s="20"/>
      <c r="R837" s="20"/>
      <c r="S837" s="20"/>
      <c r="T837" s="708"/>
      <c r="U837" s="708"/>
    </row>
    <row r="838" ht="13.8" spans="1:21">
      <c r="A838" s="19"/>
      <c r="B838" s="20"/>
      <c r="C838" s="20"/>
      <c r="D838" s="19"/>
      <c r="E838" s="19"/>
      <c r="F838" s="19"/>
      <c r="G838" s="19"/>
      <c r="H838" s="19"/>
      <c r="I838" s="19"/>
      <c r="J838" s="20"/>
      <c r="K838" s="19"/>
      <c r="L838" s="19"/>
      <c r="M838" s="19"/>
      <c r="N838" s="20"/>
      <c r="O838" s="20"/>
      <c r="P838" s="20"/>
      <c r="Q838" s="20"/>
      <c r="R838" s="20"/>
      <c r="S838" s="20"/>
      <c r="T838" s="708"/>
      <c r="U838" s="708"/>
    </row>
    <row r="839" ht="13.8" spans="1:21">
      <c r="A839" s="19"/>
      <c r="B839" s="20"/>
      <c r="C839" s="20"/>
      <c r="D839" s="19"/>
      <c r="E839" s="19"/>
      <c r="F839" s="19"/>
      <c r="G839" s="19"/>
      <c r="H839" s="19"/>
      <c r="I839" s="19"/>
      <c r="J839" s="20"/>
      <c r="K839" s="19"/>
      <c r="L839" s="19"/>
      <c r="M839" s="19"/>
      <c r="N839" s="20"/>
      <c r="O839" s="20"/>
      <c r="P839" s="20"/>
      <c r="Q839" s="20"/>
      <c r="R839" s="20"/>
      <c r="S839" s="20"/>
      <c r="T839" s="708"/>
      <c r="U839" s="708"/>
    </row>
    <row r="840" ht="13.8" spans="1:21">
      <c r="A840" s="19"/>
      <c r="B840" s="20"/>
      <c r="C840" s="20"/>
      <c r="D840" s="19"/>
      <c r="E840" s="19"/>
      <c r="F840" s="19"/>
      <c r="G840" s="19"/>
      <c r="H840" s="19"/>
      <c r="I840" s="19"/>
      <c r="J840" s="20"/>
      <c r="K840" s="19"/>
      <c r="L840" s="19"/>
      <c r="M840" s="19"/>
      <c r="N840" s="20"/>
      <c r="O840" s="20"/>
      <c r="P840" s="20"/>
      <c r="Q840" s="20"/>
      <c r="R840" s="20"/>
      <c r="S840" s="20"/>
      <c r="T840" s="708"/>
      <c r="U840" s="708"/>
    </row>
    <row r="841" ht="13.8" spans="1:21">
      <c r="A841" s="19"/>
      <c r="B841" s="20"/>
      <c r="C841" s="20"/>
      <c r="D841" s="19"/>
      <c r="E841" s="19"/>
      <c r="F841" s="19"/>
      <c r="G841" s="19"/>
      <c r="H841" s="19"/>
      <c r="I841" s="19"/>
      <c r="J841" s="20"/>
      <c r="K841" s="19"/>
      <c r="L841" s="19"/>
      <c r="M841" s="19"/>
      <c r="N841" s="20"/>
      <c r="O841" s="20"/>
      <c r="P841" s="20"/>
      <c r="Q841" s="20"/>
      <c r="R841" s="20"/>
      <c r="S841" s="20"/>
      <c r="T841" s="708"/>
      <c r="U841" s="708"/>
    </row>
    <row r="842" ht="13.8" spans="1:21">
      <c r="A842" s="19"/>
      <c r="B842" s="20"/>
      <c r="C842" s="20"/>
      <c r="D842" s="19"/>
      <c r="E842" s="19"/>
      <c r="F842" s="19"/>
      <c r="G842" s="19"/>
      <c r="H842" s="19"/>
      <c r="I842" s="19"/>
      <c r="J842" s="20"/>
      <c r="K842" s="19"/>
      <c r="L842" s="19"/>
      <c r="M842" s="19"/>
      <c r="N842" s="20"/>
      <c r="O842" s="20"/>
      <c r="P842" s="20"/>
      <c r="Q842" s="20"/>
      <c r="R842" s="20"/>
      <c r="S842" s="20"/>
      <c r="T842" s="708"/>
      <c r="U842" s="708"/>
    </row>
    <row r="843" ht="13.8" spans="1:21">
      <c r="A843" s="19"/>
      <c r="B843" s="20"/>
      <c r="C843" s="20"/>
      <c r="D843" s="19"/>
      <c r="E843" s="19"/>
      <c r="F843" s="19"/>
      <c r="G843" s="19"/>
      <c r="H843" s="19"/>
      <c r="I843" s="19"/>
      <c r="J843" s="20"/>
      <c r="K843" s="19"/>
      <c r="L843" s="19"/>
      <c r="M843" s="19"/>
      <c r="N843" s="20"/>
      <c r="O843" s="20"/>
      <c r="P843" s="20"/>
      <c r="Q843" s="20"/>
      <c r="R843" s="20"/>
      <c r="S843" s="20"/>
      <c r="T843" s="708"/>
      <c r="U843" s="708"/>
    </row>
    <row r="844" ht="13.8" spans="1:21">
      <c r="A844" s="19"/>
      <c r="B844" s="20"/>
      <c r="C844" s="20"/>
      <c r="D844" s="19"/>
      <c r="E844" s="19"/>
      <c r="F844" s="19"/>
      <c r="G844" s="19"/>
      <c r="H844" s="19"/>
      <c r="I844" s="19"/>
      <c r="J844" s="20"/>
      <c r="K844" s="19"/>
      <c r="L844" s="19"/>
      <c r="M844" s="19"/>
      <c r="N844" s="20"/>
      <c r="O844" s="20"/>
      <c r="P844" s="20"/>
      <c r="Q844" s="20"/>
      <c r="R844" s="20"/>
      <c r="S844" s="20"/>
      <c r="T844" s="708"/>
      <c r="U844" s="708"/>
    </row>
    <row r="845" ht="13.8" spans="1:21">
      <c r="A845" s="19"/>
      <c r="B845" s="20"/>
      <c r="C845" s="20"/>
      <c r="D845" s="19"/>
      <c r="E845" s="19"/>
      <c r="F845" s="19"/>
      <c r="G845" s="19"/>
      <c r="H845" s="19"/>
      <c r="I845" s="19"/>
      <c r="J845" s="20"/>
      <c r="K845" s="19"/>
      <c r="L845" s="19"/>
      <c r="M845" s="19"/>
      <c r="N845" s="20"/>
      <c r="O845" s="20"/>
      <c r="P845" s="20"/>
      <c r="Q845" s="20"/>
      <c r="R845" s="20"/>
      <c r="S845" s="20"/>
      <c r="T845" s="708"/>
      <c r="U845" s="708"/>
    </row>
    <row r="846" ht="13.8" spans="1:21">
      <c r="A846" s="19"/>
      <c r="B846" s="20"/>
      <c r="C846" s="20"/>
      <c r="D846" s="19"/>
      <c r="E846" s="19"/>
      <c r="F846" s="19"/>
      <c r="G846" s="19"/>
      <c r="H846" s="19"/>
      <c r="I846" s="19"/>
      <c r="J846" s="20"/>
      <c r="K846" s="19"/>
      <c r="L846" s="19"/>
      <c r="M846" s="19"/>
      <c r="N846" s="20"/>
      <c r="O846" s="20"/>
      <c r="P846" s="20"/>
      <c r="Q846" s="20"/>
      <c r="R846" s="20"/>
      <c r="S846" s="20"/>
      <c r="T846" s="708"/>
      <c r="U846" s="708"/>
    </row>
    <row r="847" ht="13.8" spans="1:21">
      <c r="A847" s="19"/>
      <c r="B847" s="20"/>
      <c r="C847" s="20"/>
      <c r="D847" s="19"/>
      <c r="E847" s="19"/>
      <c r="F847" s="19"/>
      <c r="G847" s="19"/>
      <c r="H847" s="19"/>
      <c r="I847" s="19"/>
      <c r="J847" s="20"/>
      <c r="K847" s="19"/>
      <c r="L847" s="19"/>
      <c r="M847" s="19"/>
      <c r="N847" s="20"/>
      <c r="O847" s="20"/>
      <c r="P847" s="20"/>
      <c r="Q847" s="20"/>
      <c r="R847" s="20"/>
      <c r="S847" s="20"/>
      <c r="T847" s="708"/>
      <c r="U847" s="708"/>
    </row>
    <row r="848" ht="13.8" spans="1:21">
      <c r="A848" s="19"/>
      <c r="B848" s="20"/>
      <c r="C848" s="20"/>
      <c r="D848" s="19"/>
      <c r="E848" s="19"/>
      <c r="F848" s="19"/>
      <c r="G848" s="19"/>
      <c r="H848" s="19"/>
      <c r="I848" s="19"/>
      <c r="J848" s="20"/>
      <c r="K848" s="19"/>
      <c r="L848" s="19"/>
      <c r="M848" s="19"/>
      <c r="N848" s="20"/>
      <c r="O848" s="20"/>
      <c r="P848" s="20"/>
      <c r="Q848" s="20"/>
      <c r="R848" s="20"/>
      <c r="S848" s="20"/>
      <c r="T848" s="708"/>
      <c r="U848" s="708"/>
    </row>
    <row r="849" ht="13.8" spans="1:21">
      <c r="A849" s="19"/>
      <c r="B849" s="20"/>
      <c r="C849" s="20"/>
      <c r="D849" s="19"/>
      <c r="E849" s="19"/>
      <c r="F849" s="19"/>
      <c r="G849" s="19"/>
      <c r="H849" s="19"/>
      <c r="I849" s="19"/>
      <c r="J849" s="20"/>
      <c r="K849" s="19"/>
      <c r="L849" s="19"/>
      <c r="M849" s="19"/>
      <c r="N849" s="20"/>
      <c r="O849" s="20"/>
      <c r="P849" s="20"/>
      <c r="Q849" s="20"/>
      <c r="R849" s="20"/>
      <c r="S849" s="20"/>
      <c r="T849" s="708"/>
      <c r="U849" s="708"/>
    </row>
    <row r="850" ht="13.8" spans="1:21">
      <c r="A850" s="19"/>
      <c r="B850" s="20"/>
      <c r="C850" s="20"/>
      <c r="D850" s="19"/>
      <c r="E850" s="19"/>
      <c r="F850" s="19"/>
      <c r="G850" s="19"/>
      <c r="H850" s="19"/>
      <c r="I850" s="19"/>
      <c r="J850" s="20"/>
      <c r="K850" s="19"/>
      <c r="L850" s="19"/>
      <c r="M850" s="19"/>
      <c r="N850" s="20"/>
      <c r="O850" s="20"/>
      <c r="P850" s="20"/>
      <c r="Q850" s="20"/>
      <c r="R850" s="20"/>
      <c r="S850" s="20"/>
      <c r="T850" s="708"/>
      <c r="U850" s="708"/>
    </row>
    <row r="851" ht="13.8" spans="1:21">
      <c r="A851" s="19"/>
      <c r="B851" s="20"/>
      <c r="C851" s="20"/>
      <c r="D851" s="19"/>
      <c r="E851" s="19"/>
      <c r="F851" s="19"/>
      <c r="G851" s="19"/>
      <c r="H851" s="19"/>
      <c r="I851" s="19"/>
      <c r="J851" s="20"/>
      <c r="K851" s="19"/>
      <c r="L851" s="19"/>
      <c r="M851" s="19"/>
      <c r="N851" s="20"/>
      <c r="O851" s="20"/>
      <c r="P851" s="20"/>
      <c r="Q851" s="20"/>
      <c r="R851" s="20"/>
      <c r="S851" s="20"/>
      <c r="T851" s="708"/>
      <c r="U851" s="708"/>
    </row>
    <row r="852" ht="13.8" spans="1:21">
      <c r="A852" s="19"/>
      <c r="B852" s="20"/>
      <c r="C852" s="20"/>
      <c r="D852" s="19"/>
      <c r="E852" s="19"/>
      <c r="F852" s="19"/>
      <c r="G852" s="19"/>
      <c r="H852" s="19"/>
      <c r="I852" s="19"/>
      <c r="J852" s="20"/>
      <c r="K852" s="19"/>
      <c r="L852" s="19"/>
      <c r="M852" s="19"/>
      <c r="N852" s="20"/>
      <c r="O852" s="20"/>
      <c r="P852" s="20"/>
      <c r="Q852" s="20"/>
      <c r="R852" s="20"/>
      <c r="S852" s="20"/>
      <c r="T852" s="708"/>
      <c r="U852" s="708"/>
    </row>
    <row r="853" ht="13.8" spans="1:21">
      <c r="A853" s="19"/>
      <c r="B853" s="20"/>
      <c r="C853" s="20"/>
      <c r="D853" s="19"/>
      <c r="E853" s="19"/>
      <c r="F853" s="19"/>
      <c r="G853" s="19"/>
      <c r="H853" s="19"/>
      <c r="I853" s="19"/>
      <c r="J853" s="20"/>
      <c r="K853" s="19"/>
      <c r="L853" s="19"/>
      <c r="M853" s="19"/>
      <c r="N853" s="20"/>
      <c r="O853" s="20"/>
      <c r="P853" s="20"/>
      <c r="Q853" s="20"/>
      <c r="R853" s="20"/>
      <c r="S853" s="20"/>
      <c r="T853" s="708"/>
      <c r="U853" s="708"/>
    </row>
    <row r="854" ht="13.8" spans="1:21">
      <c r="A854" s="19"/>
      <c r="B854" s="20"/>
      <c r="C854" s="20"/>
      <c r="D854" s="19"/>
      <c r="E854" s="19"/>
      <c r="F854" s="19"/>
      <c r="G854" s="19"/>
      <c r="H854" s="19"/>
      <c r="I854" s="19"/>
      <c r="J854" s="20"/>
      <c r="K854" s="19"/>
      <c r="L854" s="19"/>
      <c r="M854" s="19"/>
      <c r="N854" s="20"/>
      <c r="O854" s="20"/>
      <c r="P854" s="20"/>
      <c r="Q854" s="20"/>
      <c r="R854" s="20"/>
      <c r="S854" s="20"/>
      <c r="T854" s="708"/>
      <c r="U854" s="708"/>
    </row>
    <row r="855" ht="13.8" spans="1:21">
      <c r="A855" s="19"/>
      <c r="B855" s="20"/>
      <c r="C855" s="20"/>
      <c r="D855" s="19"/>
      <c r="E855" s="19"/>
      <c r="F855" s="19"/>
      <c r="G855" s="19"/>
      <c r="H855" s="19"/>
      <c r="I855" s="19"/>
      <c r="J855" s="20"/>
      <c r="K855" s="19"/>
      <c r="L855" s="19"/>
      <c r="M855" s="19"/>
      <c r="N855" s="20"/>
      <c r="O855" s="20"/>
      <c r="P855" s="20"/>
      <c r="Q855" s="20"/>
      <c r="R855" s="20"/>
      <c r="S855" s="20"/>
      <c r="T855" s="708"/>
      <c r="U855" s="708"/>
    </row>
    <row r="856" ht="13.8" spans="1:21">
      <c r="A856" s="19"/>
      <c r="B856" s="20"/>
      <c r="C856" s="20"/>
      <c r="D856" s="19"/>
      <c r="E856" s="19"/>
      <c r="F856" s="19"/>
      <c r="G856" s="19"/>
      <c r="H856" s="19"/>
      <c r="I856" s="19"/>
      <c r="J856" s="20"/>
      <c r="K856" s="19"/>
      <c r="L856" s="19"/>
      <c r="M856" s="19"/>
      <c r="N856" s="20"/>
      <c r="O856" s="20"/>
      <c r="P856" s="20"/>
      <c r="Q856" s="20"/>
      <c r="R856" s="20"/>
      <c r="S856" s="20"/>
      <c r="T856" s="708"/>
      <c r="U856" s="708"/>
    </row>
    <row r="857" ht="13.8" spans="1:21">
      <c r="A857" s="19"/>
      <c r="B857" s="20"/>
      <c r="C857" s="20"/>
      <c r="D857" s="19"/>
      <c r="E857" s="19"/>
      <c r="F857" s="19"/>
      <c r="G857" s="19"/>
      <c r="H857" s="19"/>
      <c r="I857" s="19"/>
      <c r="J857" s="20"/>
      <c r="K857" s="19"/>
      <c r="L857" s="19"/>
      <c r="M857" s="19"/>
      <c r="N857" s="20"/>
      <c r="O857" s="20"/>
      <c r="P857" s="20"/>
      <c r="Q857" s="20"/>
      <c r="R857" s="20"/>
      <c r="S857" s="20"/>
      <c r="T857" s="708"/>
      <c r="U857" s="708"/>
    </row>
    <row r="858" ht="13.8" spans="1:21">
      <c r="A858" s="19"/>
      <c r="B858" s="20"/>
      <c r="C858" s="20"/>
      <c r="D858" s="19"/>
      <c r="E858" s="19"/>
      <c r="F858" s="19"/>
      <c r="G858" s="19"/>
      <c r="H858" s="19"/>
      <c r="I858" s="19"/>
      <c r="J858" s="20"/>
      <c r="K858" s="19"/>
      <c r="L858" s="19"/>
      <c r="M858" s="19"/>
      <c r="N858" s="20"/>
      <c r="O858" s="20"/>
      <c r="P858" s="20"/>
      <c r="Q858" s="20"/>
      <c r="R858" s="20"/>
      <c r="S858" s="20"/>
      <c r="T858" s="708"/>
      <c r="U858" s="708"/>
    </row>
    <row r="859" ht="13.8" spans="1:21">
      <c r="A859" s="19"/>
      <c r="B859" s="20"/>
      <c r="C859" s="20"/>
      <c r="D859" s="19"/>
      <c r="E859" s="19"/>
      <c r="F859" s="19"/>
      <c r="G859" s="19"/>
      <c r="H859" s="19"/>
      <c r="I859" s="19"/>
      <c r="J859" s="20"/>
      <c r="K859" s="19"/>
      <c r="L859" s="19"/>
      <c r="M859" s="19"/>
      <c r="N859" s="20"/>
      <c r="O859" s="20"/>
      <c r="P859" s="20"/>
      <c r="Q859" s="20"/>
      <c r="R859" s="20"/>
      <c r="S859" s="20"/>
      <c r="T859" s="708"/>
      <c r="U859" s="708"/>
    </row>
    <row r="860" ht="13.8" spans="1:21">
      <c r="A860" s="19"/>
      <c r="B860" s="20"/>
      <c r="C860" s="20"/>
      <c r="D860" s="19"/>
      <c r="E860" s="19"/>
      <c r="F860" s="19"/>
      <c r="G860" s="19"/>
      <c r="H860" s="19"/>
      <c r="I860" s="19"/>
      <c r="J860" s="20"/>
      <c r="K860" s="19"/>
      <c r="L860" s="19"/>
      <c r="M860" s="19"/>
      <c r="N860" s="20"/>
      <c r="O860" s="20"/>
      <c r="P860" s="20"/>
      <c r="Q860" s="20"/>
      <c r="R860" s="20"/>
      <c r="S860" s="20"/>
      <c r="T860" s="708"/>
      <c r="U860" s="708"/>
    </row>
    <row r="861" ht="13.8" spans="1:21">
      <c r="A861" s="19"/>
      <c r="B861" s="20"/>
      <c r="C861" s="20"/>
      <c r="D861" s="19"/>
      <c r="E861" s="19"/>
      <c r="F861" s="19"/>
      <c r="G861" s="19"/>
      <c r="H861" s="19"/>
      <c r="I861" s="19"/>
      <c r="J861" s="20"/>
      <c r="K861" s="19"/>
      <c r="L861" s="19"/>
      <c r="M861" s="19"/>
      <c r="N861" s="20"/>
      <c r="O861" s="20"/>
      <c r="P861" s="20"/>
      <c r="Q861" s="20"/>
      <c r="R861" s="20"/>
      <c r="S861" s="20"/>
      <c r="T861" s="708"/>
      <c r="U861" s="708"/>
    </row>
    <row r="862" ht="13.8" spans="1:21">
      <c r="A862" s="19"/>
      <c r="B862" s="20"/>
      <c r="C862" s="20"/>
      <c r="D862" s="19"/>
      <c r="E862" s="19"/>
      <c r="F862" s="19"/>
      <c r="G862" s="19"/>
      <c r="H862" s="19"/>
      <c r="I862" s="19"/>
      <c r="J862" s="20"/>
      <c r="K862" s="19"/>
      <c r="L862" s="19"/>
      <c r="M862" s="19"/>
      <c r="N862" s="20"/>
      <c r="O862" s="20"/>
      <c r="P862" s="20"/>
      <c r="Q862" s="20"/>
      <c r="R862" s="20"/>
      <c r="S862" s="20"/>
      <c r="T862" s="708"/>
      <c r="U862" s="708"/>
    </row>
    <row r="863" ht="13.8" spans="1:21">
      <c r="A863" s="19"/>
      <c r="B863" s="20"/>
      <c r="C863" s="20"/>
      <c r="D863" s="19"/>
      <c r="E863" s="19"/>
      <c r="F863" s="19"/>
      <c r="G863" s="19"/>
      <c r="H863" s="19"/>
      <c r="I863" s="19"/>
      <c r="J863" s="20"/>
      <c r="K863" s="19"/>
      <c r="L863" s="19"/>
      <c r="M863" s="19"/>
      <c r="N863" s="20"/>
      <c r="O863" s="20"/>
      <c r="P863" s="20"/>
      <c r="Q863" s="20"/>
      <c r="R863" s="20"/>
      <c r="S863" s="20"/>
      <c r="T863" s="708"/>
      <c r="U863" s="708"/>
    </row>
    <row r="864" ht="13.8" spans="1:21">
      <c r="A864" s="19"/>
      <c r="B864" s="20"/>
      <c r="C864" s="20"/>
      <c r="D864" s="19"/>
      <c r="E864" s="19"/>
      <c r="F864" s="19"/>
      <c r="G864" s="19"/>
      <c r="H864" s="19"/>
      <c r="I864" s="19"/>
      <c r="J864" s="20"/>
      <c r="K864" s="19"/>
      <c r="L864" s="19"/>
      <c r="M864" s="19"/>
      <c r="N864" s="20"/>
      <c r="O864" s="20"/>
      <c r="P864" s="20"/>
      <c r="Q864" s="20"/>
      <c r="R864" s="20"/>
      <c r="S864" s="20"/>
      <c r="T864" s="708"/>
      <c r="U864" s="708"/>
    </row>
    <row r="865" ht="13.8" spans="1:21">
      <c r="A865" s="19"/>
      <c r="B865" s="20"/>
      <c r="C865" s="20"/>
      <c r="D865" s="19"/>
      <c r="E865" s="19"/>
      <c r="F865" s="19"/>
      <c r="G865" s="19"/>
      <c r="H865" s="19"/>
      <c r="I865" s="19"/>
      <c r="J865" s="20"/>
      <c r="K865" s="19"/>
      <c r="L865" s="19"/>
      <c r="M865" s="19"/>
      <c r="N865" s="20"/>
      <c r="O865" s="20"/>
      <c r="P865" s="20"/>
      <c r="Q865" s="20"/>
      <c r="R865" s="20"/>
      <c r="S865" s="20"/>
      <c r="T865" s="708"/>
      <c r="U865" s="708"/>
    </row>
    <row r="866" ht="13.8" spans="1:21">
      <c r="A866" s="19"/>
      <c r="B866" s="20"/>
      <c r="C866" s="20"/>
      <c r="D866" s="19"/>
      <c r="E866" s="19"/>
      <c r="F866" s="19"/>
      <c r="G866" s="19"/>
      <c r="H866" s="19"/>
      <c r="I866" s="19"/>
      <c r="J866" s="20"/>
      <c r="K866" s="19"/>
      <c r="L866" s="19"/>
      <c r="M866" s="19"/>
      <c r="N866" s="20"/>
      <c r="O866" s="20"/>
      <c r="P866" s="20"/>
      <c r="Q866" s="20"/>
      <c r="R866" s="20"/>
      <c r="S866" s="20"/>
      <c r="T866" s="708"/>
      <c r="U866" s="708"/>
    </row>
    <row r="867" ht="13.8" spans="1:21">
      <c r="A867" s="19"/>
      <c r="B867" s="20"/>
      <c r="C867" s="20"/>
      <c r="D867" s="19"/>
      <c r="E867" s="19"/>
      <c r="F867" s="19"/>
      <c r="G867" s="19"/>
      <c r="H867" s="19"/>
      <c r="I867" s="19"/>
      <c r="J867" s="20"/>
      <c r="K867" s="19"/>
      <c r="L867" s="19"/>
      <c r="M867" s="19"/>
      <c r="N867" s="20"/>
      <c r="O867" s="20"/>
      <c r="P867" s="20"/>
      <c r="Q867" s="20"/>
      <c r="R867" s="20"/>
      <c r="S867" s="20"/>
      <c r="T867" s="708"/>
      <c r="U867" s="708"/>
    </row>
    <row r="868" ht="13.8" spans="1:21">
      <c r="A868" s="19"/>
      <c r="B868" s="20"/>
      <c r="C868" s="20"/>
      <c r="D868" s="19"/>
      <c r="E868" s="19"/>
      <c r="F868" s="19"/>
      <c r="G868" s="19"/>
      <c r="H868" s="19"/>
      <c r="I868" s="19"/>
      <c r="J868" s="20"/>
      <c r="K868" s="19"/>
      <c r="L868" s="19"/>
      <c r="M868" s="19"/>
      <c r="N868" s="20"/>
      <c r="O868" s="20"/>
      <c r="P868" s="20"/>
      <c r="Q868" s="20"/>
      <c r="R868" s="20"/>
      <c r="S868" s="20"/>
      <c r="T868" s="708"/>
      <c r="U868" s="708"/>
    </row>
    <row r="869" ht="13.8" spans="1:21">
      <c r="A869" s="19"/>
      <c r="B869" s="20"/>
      <c r="C869" s="20"/>
      <c r="D869" s="19"/>
      <c r="E869" s="19"/>
      <c r="F869" s="19"/>
      <c r="G869" s="19"/>
      <c r="H869" s="19"/>
      <c r="I869" s="19"/>
      <c r="J869" s="20"/>
      <c r="K869" s="19"/>
      <c r="L869" s="19"/>
      <c r="M869" s="19"/>
      <c r="N869" s="20"/>
      <c r="O869" s="20"/>
      <c r="P869" s="20"/>
      <c r="Q869" s="20"/>
      <c r="R869" s="20"/>
      <c r="S869" s="20"/>
      <c r="T869" s="708"/>
      <c r="U869" s="708"/>
    </row>
    <row r="870" ht="13.8" spans="1:21">
      <c r="A870" s="19"/>
      <c r="B870" s="20"/>
      <c r="C870" s="20"/>
      <c r="D870" s="19"/>
      <c r="E870" s="19"/>
      <c r="F870" s="19"/>
      <c r="G870" s="19"/>
      <c r="H870" s="19"/>
      <c r="I870" s="19"/>
      <c r="J870" s="20"/>
      <c r="K870" s="19"/>
      <c r="L870" s="19"/>
      <c r="M870" s="19"/>
      <c r="N870" s="20"/>
      <c r="O870" s="20"/>
      <c r="P870" s="20"/>
      <c r="Q870" s="20"/>
      <c r="R870" s="20"/>
      <c r="S870" s="20"/>
      <c r="T870" s="708"/>
      <c r="U870" s="708"/>
    </row>
    <row r="871" ht="13.8" spans="1:21">
      <c r="A871" s="19"/>
      <c r="B871" s="20"/>
      <c r="C871" s="20"/>
      <c r="D871" s="19"/>
      <c r="E871" s="19"/>
      <c r="F871" s="19"/>
      <c r="G871" s="19"/>
      <c r="H871" s="19"/>
      <c r="I871" s="19"/>
      <c r="J871" s="20"/>
      <c r="K871" s="19"/>
      <c r="L871" s="19"/>
      <c r="M871" s="19"/>
      <c r="N871" s="20"/>
      <c r="O871" s="20"/>
      <c r="P871" s="20"/>
      <c r="Q871" s="20"/>
      <c r="R871" s="20"/>
      <c r="S871" s="20"/>
      <c r="T871" s="708"/>
      <c r="U871" s="708"/>
    </row>
    <row r="872" ht="13.8" spans="1:21">
      <c r="A872" s="19"/>
      <c r="B872" s="20"/>
      <c r="C872" s="20"/>
      <c r="D872" s="19"/>
      <c r="E872" s="19"/>
      <c r="F872" s="19"/>
      <c r="G872" s="19"/>
      <c r="H872" s="19"/>
      <c r="I872" s="19"/>
      <c r="J872" s="20"/>
      <c r="K872" s="19"/>
      <c r="L872" s="19"/>
      <c r="M872" s="19"/>
      <c r="N872" s="20"/>
      <c r="O872" s="20"/>
      <c r="P872" s="20"/>
      <c r="Q872" s="20"/>
      <c r="R872" s="20"/>
      <c r="S872" s="20"/>
      <c r="T872" s="708"/>
      <c r="U872" s="708"/>
    </row>
    <row r="873" ht="13.8" spans="1:21">
      <c r="A873" s="19"/>
      <c r="B873" s="20"/>
      <c r="C873" s="20"/>
      <c r="D873" s="19"/>
      <c r="E873" s="19"/>
      <c r="F873" s="19"/>
      <c r="G873" s="19"/>
      <c r="H873" s="19"/>
      <c r="I873" s="19"/>
      <c r="J873" s="20"/>
      <c r="K873" s="19"/>
      <c r="L873" s="19"/>
      <c r="M873" s="19"/>
      <c r="N873" s="20"/>
      <c r="O873" s="20"/>
      <c r="P873" s="20"/>
      <c r="Q873" s="20"/>
      <c r="R873" s="20"/>
      <c r="S873" s="20"/>
      <c r="T873" s="708"/>
      <c r="U873" s="708"/>
    </row>
    <row r="874" ht="13.8" spans="1:21">
      <c r="A874" s="19"/>
      <c r="B874" s="20"/>
      <c r="C874" s="20"/>
      <c r="D874" s="19"/>
      <c r="E874" s="19"/>
      <c r="F874" s="19"/>
      <c r="G874" s="19"/>
      <c r="H874" s="19"/>
      <c r="I874" s="19"/>
      <c r="J874" s="20"/>
      <c r="K874" s="19"/>
      <c r="L874" s="19"/>
      <c r="M874" s="19"/>
      <c r="N874" s="20"/>
      <c r="O874" s="20"/>
      <c r="P874" s="20"/>
      <c r="Q874" s="20"/>
      <c r="R874" s="20"/>
      <c r="S874" s="20"/>
      <c r="T874" s="708"/>
      <c r="U874" s="708"/>
    </row>
    <row r="875" ht="13.8" spans="1:21">
      <c r="A875" s="19"/>
      <c r="B875" s="20"/>
      <c r="C875" s="20"/>
      <c r="D875" s="19"/>
      <c r="E875" s="19"/>
      <c r="F875" s="19"/>
      <c r="G875" s="19"/>
      <c r="H875" s="19"/>
      <c r="I875" s="19"/>
      <c r="J875" s="20"/>
      <c r="K875" s="19"/>
      <c r="L875" s="19"/>
      <c r="M875" s="19"/>
      <c r="N875" s="20"/>
      <c r="O875" s="20"/>
      <c r="P875" s="20"/>
      <c r="Q875" s="20"/>
      <c r="R875" s="20"/>
      <c r="S875" s="20"/>
      <c r="T875" s="708"/>
      <c r="U875" s="708"/>
    </row>
    <row r="876" ht="13.8" spans="1:21">
      <c r="A876" s="19"/>
      <c r="B876" s="20"/>
      <c r="C876" s="20"/>
      <c r="D876" s="19"/>
      <c r="E876" s="19"/>
      <c r="F876" s="19"/>
      <c r="G876" s="19"/>
      <c r="H876" s="19"/>
      <c r="I876" s="19"/>
      <c r="J876" s="20"/>
      <c r="K876" s="19"/>
      <c r="L876" s="19"/>
      <c r="M876" s="19"/>
      <c r="N876" s="20"/>
      <c r="O876" s="20"/>
      <c r="P876" s="20"/>
      <c r="Q876" s="20"/>
      <c r="R876" s="20"/>
      <c r="S876" s="20"/>
      <c r="T876" s="708"/>
      <c r="U876" s="708"/>
    </row>
    <row r="877" ht="13.8" spans="1:21">
      <c r="A877" s="19"/>
      <c r="B877" s="20"/>
      <c r="C877" s="20"/>
      <c r="D877" s="19"/>
      <c r="E877" s="19"/>
      <c r="F877" s="19"/>
      <c r="G877" s="19"/>
      <c r="H877" s="19"/>
      <c r="I877" s="19"/>
      <c r="J877" s="20"/>
      <c r="K877" s="19"/>
      <c r="L877" s="19"/>
      <c r="M877" s="19"/>
      <c r="N877" s="20"/>
      <c r="O877" s="20"/>
      <c r="P877" s="20"/>
      <c r="Q877" s="20"/>
      <c r="R877" s="20"/>
      <c r="S877" s="20"/>
      <c r="T877" s="708"/>
      <c r="U877" s="708"/>
    </row>
    <row r="878" ht="13.8" spans="1:21">
      <c r="A878" s="19"/>
      <c r="B878" s="20"/>
      <c r="C878" s="20"/>
      <c r="D878" s="19"/>
      <c r="E878" s="19"/>
      <c r="F878" s="19"/>
      <c r="G878" s="19"/>
      <c r="H878" s="19"/>
      <c r="I878" s="19"/>
      <c r="J878" s="20"/>
      <c r="K878" s="19"/>
      <c r="L878" s="19"/>
      <c r="M878" s="19"/>
      <c r="N878" s="20"/>
      <c r="O878" s="20"/>
      <c r="P878" s="20"/>
      <c r="Q878" s="20"/>
      <c r="R878" s="20"/>
      <c r="S878" s="20"/>
      <c r="T878" s="708"/>
      <c r="U878" s="708"/>
    </row>
    <row r="879" ht="13.8" spans="1:21">
      <c r="A879" s="19"/>
      <c r="B879" s="20"/>
      <c r="C879" s="20"/>
      <c r="D879" s="19"/>
      <c r="E879" s="19"/>
      <c r="F879" s="19"/>
      <c r="G879" s="19"/>
      <c r="H879" s="19"/>
      <c r="I879" s="19"/>
      <c r="J879" s="20"/>
      <c r="K879" s="19"/>
      <c r="L879" s="19"/>
      <c r="M879" s="19"/>
      <c r="N879" s="20"/>
      <c r="O879" s="20"/>
      <c r="P879" s="20"/>
      <c r="Q879" s="20"/>
      <c r="R879" s="20"/>
      <c r="S879" s="20"/>
      <c r="T879" s="708"/>
      <c r="U879" s="708"/>
    </row>
    <row r="880" ht="13.8" spans="1:21">
      <c r="A880" s="19"/>
      <c r="B880" s="20"/>
      <c r="C880" s="20"/>
      <c r="D880" s="19"/>
      <c r="E880" s="19"/>
      <c r="F880" s="19"/>
      <c r="G880" s="19"/>
      <c r="H880" s="19"/>
      <c r="I880" s="19"/>
      <c r="J880" s="20"/>
      <c r="K880" s="19"/>
      <c r="L880" s="19"/>
      <c r="M880" s="19"/>
      <c r="N880" s="20"/>
      <c r="O880" s="20"/>
      <c r="P880" s="20"/>
      <c r="Q880" s="20"/>
      <c r="R880" s="20"/>
      <c r="S880" s="20"/>
      <c r="T880" s="708"/>
      <c r="U880" s="708"/>
    </row>
    <row r="881" ht="13.8" spans="1:21">
      <c r="A881" s="19"/>
      <c r="B881" s="20"/>
      <c r="C881" s="20"/>
      <c r="D881" s="19"/>
      <c r="E881" s="19"/>
      <c r="F881" s="19"/>
      <c r="G881" s="19"/>
      <c r="H881" s="19"/>
      <c r="I881" s="19"/>
      <c r="J881" s="20"/>
      <c r="K881" s="19"/>
      <c r="L881" s="19"/>
      <c r="M881" s="19"/>
      <c r="N881" s="20"/>
      <c r="O881" s="20"/>
      <c r="P881" s="20"/>
      <c r="Q881" s="20"/>
      <c r="R881" s="20"/>
      <c r="S881" s="20"/>
      <c r="T881" s="708"/>
      <c r="U881" s="708"/>
    </row>
    <row r="882" ht="13.8" spans="1:21">
      <c r="A882" s="19"/>
      <c r="B882" s="20"/>
      <c r="C882" s="20"/>
      <c r="D882" s="19"/>
      <c r="E882" s="19"/>
      <c r="F882" s="19"/>
      <c r="G882" s="19"/>
      <c r="H882" s="19"/>
      <c r="I882" s="19"/>
      <c r="J882" s="20"/>
      <c r="K882" s="19"/>
      <c r="L882" s="19"/>
      <c r="M882" s="19"/>
      <c r="N882" s="20"/>
      <c r="O882" s="20"/>
      <c r="P882" s="20"/>
      <c r="Q882" s="20"/>
      <c r="R882" s="20"/>
      <c r="S882" s="20"/>
      <c r="T882" s="708"/>
      <c r="U882" s="708"/>
    </row>
    <row r="883" ht="13.8" spans="1:21">
      <c r="A883" s="19"/>
      <c r="B883" s="20"/>
      <c r="C883" s="20"/>
      <c r="D883" s="19"/>
      <c r="E883" s="19"/>
      <c r="F883" s="19"/>
      <c r="G883" s="19"/>
      <c r="H883" s="19"/>
      <c r="I883" s="19"/>
      <c r="J883" s="20"/>
      <c r="K883" s="19"/>
      <c r="L883" s="19"/>
      <c r="M883" s="19"/>
      <c r="N883" s="20"/>
      <c r="O883" s="20"/>
      <c r="P883" s="20"/>
      <c r="Q883" s="20"/>
      <c r="R883" s="20"/>
      <c r="S883" s="20"/>
      <c r="T883" s="708"/>
      <c r="U883" s="708"/>
    </row>
    <row r="884" ht="13.8" spans="1:21">
      <c r="A884" s="19"/>
      <c r="B884" s="20"/>
      <c r="C884" s="20"/>
      <c r="D884" s="19"/>
      <c r="E884" s="19"/>
      <c r="F884" s="19"/>
      <c r="G884" s="19"/>
      <c r="H884" s="19"/>
      <c r="I884" s="19"/>
      <c r="J884" s="20"/>
      <c r="K884" s="19"/>
      <c r="L884" s="19"/>
      <c r="M884" s="19"/>
      <c r="N884" s="20"/>
      <c r="O884" s="20"/>
      <c r="P884" s="20"/>
      <c r="Q884" s="20"/>
      <c r="R884" s="20"/>
      <c r="S884" s="20"/>
      <c r="T884" s="708"/>
      <c r="U884" s="708"/>
    </row>
    <row r="885" ht="13.8" spans="1:21">
      <c r="A885" s="19"/>
      <c r="B885" s="20"/>
      <c r="C885" s="20"/>
      <c r="D885" s="19"/>
      <c r="E885" s="19"/>
      <c r="F885" s="19"/>
      <c r="G885" s="19"/>
      <c r="H885" s="19"/>
      <c r="I885" s="19"/>
      <c r="J885" s="20"/>
      <c r="K885" s="19"/>
      <c r="L885" s="19"/>
      <c r="M885" s="19"/>
      <c r="N885" s="20"/>
      <c r="O885" s="20"/>
      <c r="P885" s="20"/>
      <c r="Q885" s="20"/>
      <c r="R885" s="20"/>
      <c r="S885" s="20"/>
      <c r="T885" s="708"/>
      <c r="U885" s="708"/>
    </row>
    <row r="886" ht="13.8" spans="1:21">
      <c r="A886" s="19"/>
      <c r="B886" s="20"/>
      <c r="C886" s="20"/>
      <c r="D886" s="19"/>
      <c r="E886" s="19"/>
      <c r="F886" s="19"/>
      <c r="G886" s="19"/>
      <c r="H886" s="19"/>
      <c r="I886" s="19"/>
      <c r="J886" s="20"/>
      <c r="K886" s="19"/>
      <c r="L886" s="19"/>
      <c r="M886" s="19"/>
      <c r="N886" s="20"/>
      <c r="O886" s="20"/>
      <c r="P886" s="20"/>
      <c r="Q886" s="20"/>
      <c r="R886" s="20"/>
      <c r="S886" s="20"/>
      <c r="T886" s="708"/>
      <c r="U886" s="708"/>
    </row>
    <row r="887" ht="13.8" spans="1:21">
      <c r="A887" s="19"/>
      <c r="B887" s="20"/>
      <c r="C887" s="20"/>
      <c r="D887" s="19"/>
      <c r="E887" s="19"/>
      <c r="F887" s="19"/>
      <c r="G887" s="19"/>
      <c r="H887" s="19"/>
      <c r="I887" s="19"/>
      <c r="J887" s="20"/>
      <c r="K887" s="19"/>
      <c r="L887" s="19"/>
      <c r="M887" s="19"/>
      <c r="N887" s="20"/>
      <c r="O887" s="20"/>
      <c r="P887" s="20"/>
      <c r="Q887" s="20"/>
      <c r="R887" s="20"/>
      <c r="S887" s="20"/>
      <c r="T887" s="708"/>
      <c r="U887" s="708"/>
    </row>
    <row r="888" ht="13.8" spans="1:21">
      <c r="A888" s="19"/>
      <c r="B888" s="20"/>
      <c r="C888" s="20"/>
      <c r="D888" s="19"/>
      <c r="E888" s="19"/>
      <c r="F888" s="19"/>
      <c r="G888" s="19"/>
      <c r="H888" s="19"/>
      <c r="I888" s="19"/>
      <c r="J888" s="20"/>
      <c r="K888" s="19"/>
      <c r="L888" s="19"/>
      <c r="M888" s="19"/>
      <c r="N888" s="20"/>
      <c r="O888" s="20"/>
      <c r="P888" s="20"/>
      <c r="Q888" s="20"/>
      <c r="R888" s="20"/>
      <c r="S888" s="20"/>
      <c r="T888" s="708"/>
      <c r="U888" s="708"/>
    </row>
    <row r="889" ht="13.8" spans="1:21">
      <c r="A889" s="19"/>
      <c r="B889" s="20"/>
      <c r="C889" s="20"/>
      <c r="D889" s="19"/>
      <c r="E889" s="19"/>
      <c r="F889" s="19"/>
      <c r="G889" s="19"/>
      <c r="H889" s="19"/>
      <c r="I889" s="19"/>
      <c r="J889" s="20"/>
      <c r="K889" s="19"/>
      <c r="L889" s="19"/>
      <c r="M889" s="19"/>
      <c r="N889" s="20"/>
      <c r="O889" s="20"/>
      <c r="P889" s="20"/>
      <c r="Q889" s="20"/>
      <c r="R889" s="20"/>
      <c r="S889" s="20"/>
      <c r="T889" s="708"/>
      <c r="U889" s="708"/>
    </row>
    <row r="890" ht="13.8" spans="1:21">
      <c r="A890" s="19"/>
      <c r="B890" s="20"/>
      <c r="C890" s="20"/>
      <c r="D890" s="19"/>
      <c r="E890" s="19"/>
      <c r="F890" s="19"/>
      <c r="G890" s="19"/>
      <c r="H890" s="19"/>
      <c r="I890" s="19"/>
      <c r="J890" s="20"/>
      <c r="K890" s="19"/>
      <c r="L890" s="19"/>
      <c r="M890" s="19"/>
      <c r="N890" s="20"/>
      <c r="O890" s="20"/>
      <c r="P890" s="20"/>
      <c r="Q890" s="20"/>
      <c r="R890" s="20"/>
      <c r="S890" s="20"/>
      <c r="T890" s="708"/>
      <c r="U890" s="708"/>
    </row>
    <row r="891" ht="13.8" spans="1:21">
      <c r="A891" s="19"/>
      <c r="B891" s="20"/>
      <c r="C891" s="20"/>
      <c r="D891" s="19"/>
      <c r="E891" s="19"/>
      <c r="F891" s="19"/>
      <c r="G891" s="19"/>
      <c r="H891" s="19"/>
      <c r="I891" s="19"/>
      <c r="J891" s="20"/>
      <c r="K891" s="19"/>
      <c r="L891" s="19"/>
      <c r="M891" s="19"/>
      <c r="N891" s="20"/>
      <c r="O891" s="20"/>
      <c r="P891" s="20"/>
      <c r="Q891" s="20"/>
      <c r="R891" s="20"/>
      <c r="S891" s="20"/>
      <c r="T891" s="708"/>
      <c r="U891" s="708"/>
    </row>
    <row r="892" ht="13.8" spans="1:21">
      <c r="A892" s="19"/>
      <c r="B892" s="20"/>
      <c r="C892" s="20"/>
      <c r="D892" s="19"/>
      <c r="E892" s="19"/>
      <c r="F892" s="19"/>
      <c r="G892" s="19"/>
      <c r="H892" s="19"/>
      <c r="I892" s="19"/>
      <c r="J892" s="20"/>
      <c r="K892" s="19"/>
      <c r="L892" s="19"/>
      <c r="M892" s="19"/>
      <c r="N892" s="20"/>
      <c r="O892" s="20"/>
      <c r="P892" s="20"/>
      <c r="Q892" s="20"/>
      <c r="R892" s="20"/>
      <c r="S892" s="20"/>
      <c r="T892" s="708"/>
      <c r="U892" s="708"/>
    </row>
    <row r="893" ht="13.8" spans="1:21">
      <c r="A893" s="19"/>
      <c r="B893" s="20"/>
      <c r="C893" s="20"/>
      <c r="D893" s="19"/>
      <c r="E893" s="19"/>
      <c r="F893" s="19"/>
      <c r="G893" s="19"/>
      <c r="H893" s="19"/>
      <c r="I893" s="19"/>
      <c r="J893" s="20"/>
      <c r="K893" s="19"/>
      <c r="L893" s="19"/>
      <c r="M893" s="19"/>
      <c r="N893" s="20"/>
      <c r="O893" s="20"/>
      <c r="P893" s="20"/>
      <c r="Q893" s="20"/>
      <c r="R893" s="20"/>
      <c r="S893" s="20"/>
      <c r="T893" s="708"/>
      <c r="U893" s="708"/>
    </row>
    <row r="894" ht="13.8" spans="1:21">
      <c r="A894" s="19"/>
      <c r="B894" s="20"/>
      <c r="C894" s="20"/>
      <c r="D894" s="19"/>
      <c r="E894" s="19"/>
      <c r="F894" s="19"/>
      <c r="G894" s="19"/>
      <c r="H894" s="19"/>
      <c r="I894" s="19"/>
      <c r="J894" s="20"/>
      <c r="K894" s="19"/>
      <c r="L894" s="19"/>
      <c r="M894" s="19"/>
      <c r="N894" s="20"/>
      <c r="O894" s="20"/>
      <c r="P894" s="20"/>
      <c r="Q894" s="20"/>
      <c r="R894" s="20"/>
      <c r="S894" s="20"/>
      <c r="T894" s="708"/>
      <c r="U894" s="708"/>
    </row>
    <row r="895" ht="13.8" spans="1:21">
      <c r="A895" s="19"/>
      <c r="B895" s="20"/>
      <c r="C895" s="20"/>
      <c r="D895" s="19"/>
      <c r="E895" s="19"/>
      <c r="F895" s="19"/>
      <c r="G895" s="19"/>
      <c r="H895" s="19"/>
      <c r="I895" s="19"/>
      <c r="J895" s="20"/>
      <c r="K895" s="19"/>
      <c r="L895" s="19"/>
      <c r="M895" s="19"/>
      <c r="N895" s="20"/>
      <c r="O895" s="20"/>
      <c r="P895" s="20"/>
      <c r="Q895" s="20"/>
      <c r="R895" s="20"/>
      <c r="S895" s="20"/>
      <c r="T895" s="708"/>
      <c r="U895" s="708"/>
    </row>
    <row r="896" ht="13.8" spans="1:21">
      <c r="A896" s="19"/>
      <c r="B896" s="20"/>
      <c r="C896" s="20"/>
      <c r="D896" s="19"/>
      <c r="E896" s="19"/>
      <c r="F896" s="19"/>
      <c r="G896" s="19"/>
      <c r="H896" s="19"/>
      <c r="I896" s="19"/>
      <c r="J896" s="20"/>
      <c r="K896" s="19"/>
      <c r="L896" s="19"/>
      <c r="M896" s="19"/>
      <c r="N896" s="20"/>
      <c r="O896" s="20"/>
      <c r="P896" s="20"/>
      <c r="Q896" s="20"/>
      <c r="R896" s="20"/>
      <c r="S896" s="20"/>
      <c r="T896" s="708"/>
      <c r="U896" s="708"/>
    </row>
    <row r="897" ht="13.8" spans="1:21">
      <c r="A897" s="19"/>
      <c r="B897" s="20"/>
      <c r="C897" s="20"/>
      <c r="D897" s="19"/>
      <c r="E897" s="19"/>
      <c r="F897" s="19"/>
      <c r="G897" s="19"/>
      <c r="H897" s="19"/>
      <c r="I897" s="19"/>
      <c r="J897" s="20"/>
      <c r="K897" s="19"/>
      <c r="L897" s="19"/>
      <c r="M897" s="19"/>
      <c r="N897" s="20"/>
      <c r="O897" s="20"/>
      <c r="P897" s="20"/>
      <c r="Q897" s="20"/>
      <c r="R897" s="20"/>
      <c r="S897" s="20"/>
      <c r="T897" s="708"/>
      <c r="U897" s="708"/>
    </row>
    <row r="898" ht="13.8" spans="1:21">
      <c r="A898" s="19"/>
      <c r="B898" s="20"/>
      <c r="C898" s="20"/>
      <c r="D898" s="19"/>
      <c r="E898" s="19"/>
      <c r="F898" s="19"/>
      <c r="G898" s="19"/>
      <c r="H898" s="19"/>
      <c r="I898" s="19"/>
      <c r="J898" s="20"/>
      <c r="K898" s="19"/>
      <c r="L898" s="19"/>
      <c r="M898" s="19"/>
      <c r="N898" s="20"/>
      <c r="O898" s="20"/>
      <c r="P898" s="20"/>
      <c r="Q898" s="20"/>
      <c r="R898" s="20"/>
      <c r="S898" s="20"/>
      <c r="T898" s="708"/>
      <c r="U898" s="708"/>
    </row>
    <row r="899" ht="13.8" spans="1:21">
      <c r="A899" s="19"/>
      <c r="B899" s="20"/>
      <c r="C899" s="20"/>
      <c r="D899" s="19"/>
      <c r="E899" s="19"/>
      <c r="F899" s="19"/>
      <c r="G899" s="19"/>
      <c r="H899" s="19"/>
      <c r="I899" s="19"/>
      <c r="J899" s="20"/>
      <c r="K899" s="19"/>
      <c r="L899" s="19"/>
      <c r="M899" s="19"/>
      <c r="N899" s="20"/>
      <c r="O899" s="20"/>
      <c r="P899" s="20"/>
      <c r="Q899" s="20"/>
      <c r="R899" s="20"/>
      <c r="S899" s="20"/>
      <c r="T899" s="708"/>
      <c r="U899" s="708"/>
    </row>
    <row r="900" ht="13.8" spans="1:21">
      <c r="A900" s="19"/>
      <c r="B900" s="20"/>
      <c r="C900" s="20"/>
      <c r="D900" s="19"/>
      <c r="E900" s="19"/>
      <c r="F900" s="19"/>
      <c r="G900" s="19"/>
      <c r="H900" s="19"/>
      <c r="I900" s="19"/>
      <c r="J900" s="20"/>
      <c r="K900" s="19"/>
      <c r="L900" s="19"/>
      <c r="M900" s="19"/>
      <c r="N900" s="20"/>
      <c r="O900" s="20"/>
      <c r="P900" s="20"/>
      <c r="Q900" s="20"/>
      <c r="R900" s="20"/>
      <c r="S900" s="20"/>
      <c r="T900" s="708"/>
      <c r="U900" s="708"/>
    </row>
    <row r="901" ht="13.8" spans="1:21">
      <c r="A901" s="19"/>
      <c r="B901" s="20"/>
      <c r="C901" s="20"/>
      <c r="D901" s="19"/>
      <c r="E901" s="19"/>
      <c r="F901" s="19"/>
      <c r="G901" s="19"/>
      <c r="H901" s="19"/>
      <c r="I901" s="19"/>
      <c r="J901" s="20"/>
      <c r="K901" s="19"/>
      <c r="L901" s="19"/>
      <c r="M901" s="19"/>
      <c r="N901" s="20"/>
      <c r="O901" s="20"/>
      <c r="P901" s="20"/>
      <c r="Q901" s="20"/>
      <c r="R901" s="20"/>
      <c r="S901" s="20"/>
      <c r="T901" s="708"/>
      <c r="U901" s="708"/>
    </row>
    <row r="902" ht="13.8" spans="1:21">
      <c r="A902" s="19"/>
      <c r="B902" s="20"/>
      <c r="C902" s="20"/>
      <c r="D902" s="19"/>
      <c r="E902" s="19"/>
      <c r="F902" s="19"/>
      <c r="G902" s="19"/>
      <c r="H902" s="19"/>
      <c r="I902" s="19"/>
      <c r="J902" s="20"/>
      <c r="K902" s="19"/>
      <c r="L902" s="19"/>
      <c r="M902" s="19"/>
      <c r="N902" s="20"/>
      <c r="O902" s="20"/>
      <c r="P902" s="20"/>
      <c r="Q902" s="20"/>
      <c r="R902" s="20"/>
      <c r="S902" s="20"/>
      <c r="T902" s="708"/>
      <c r="U902" s="708"/>
    </row>
    <row r="903" ht="13.8" spans="1:21">
      <c r="A903" s="19"/>
      <c r="B903" s="20"/>
      <c r="C903" s="20"/>
      <c r="D903" s="19"/>
      <c r="E903" s="19"/>
      <c r="F903" s="19"/>
      <c r="G903" s="19"/>
      <c r="H903" s="19"/>
      <c r="I903" s="19"/>
      <c r="J903" s="20"/>
      <c r="K903" s="19"/>
      <c r="L903" s="19"/>
      <c r="M903" s="19"/>
      <c r="N903" s="20"/>
      <c r="O903" s="20"/>
      <c r="P903" s="20"/>
      <c r="Q903" s="20"/>
      <c r="R903" s="20"/>
      <c r="S903" s="20"/>
      <c r="T903" s="708"/>
      <c r="U903" s="708"/>
    </row>
    <row r="904" ht="13.8" spans="1:21">
      <c r="A904" s="19"/>
      <c r="B904" s="20"/>
      <c r="C904" s="20"/>
      <c r="D904" s="19"/>
      <c r="E904" s="19"/>
      <c r="F904" s="19"/>
      <c r="G904" s="19"/>
      <c r="H904" s="19"/>
      <c r="I904" s="19"/>
      <c r="J904" s="20"/>
      <c r="K904" s="19"/>
      <c r="L904" s="19"/>
      <c r="M904" s="19"/>
      <c r="N904" s="20"/>
      <c r="O904" s="20"/>
      <c r="P904" s="20"/>
      <c r="Q904" s="20"/>
      <c r="R904" s="20"/>
      <c r="S904" s="20"/>
      <c r="T904" s="708"/>
      <c r="U904" s="708"/>
    </row>
    <row r="905" ht="13.8" spans="1:21">
      <c r="A905" s="19"/>
      <c r="B905" s="20"/>
      <c r="C905" s="20"/>
      <c r="D905" s="19"/>
      <c r="E905" s="19"/>
      <c r="F905" s="19"/>
      <c r="G905" s="19"/>
      <c r="H905" s="19"/>
      <c r="I905" s="19"/>
      <c r="J905" s="20"/>
      <c r="K905" s="19"/>
      <c r="L905" s="19"/>
      <c r="M905" s="19"/>
      <c r="N905" s="20"/>
      <c r="O905" s="20"/>
      <c r="P905" s="20"/>
      <c r="Q905" s="20"/>
      <c r="R905" s="20"/>
      <c r="S905" s="20"/>
      <c r="T905" s="708"/>
      <c r="U905" s="708"/>
    </row>
    <row r="906" ht="13.8" spans="1:21">
      <c r="A906" s="19"/>
      <c r="B906" s="20"/>
      <c r="C906" s="20"/>
      <c r="D906" s="19"/>
      <c r="E906" s="19"/>
      <c r="F906" s="19"/>
      <c r="G906" s="19"/>
      <c r="H906" s="19"/>
      <c r="I906" s="19"/>
      <c r="J906" s="20"/>
      <c r="K906" s="19"/>
      <c r="L906" s="19"/>
      <c r="M906" s="19"/>
      <c r="N906" s="20"/>
      <c r="O906" s="20"/>
      <c r="P906" s="20"/>
      <c r="Q906" s="20"/>
      <c r="R906" s="20"/>
      <c r="S906" s="20"/>
      <c r="T906" s="708"/>
      <c r="U906" s="708"/>
    </row>
    <row r="907" ht="13.8" spans="1:21">
      <c r="A907" s="19"/>
      <c r="B907" s="20"/>
      <c r="C907" s="20"/>
      <c r="D907" s="19"/>
      <c r="E907" s="19"/>
      <c r="F907" s="19"/>
      <c r="G907" s="19"/>
      <c r="H907" s="19"/>
      <c r="I907" s="19"/>
      <c r="J907" s="20"/>
      <c r="K907" s="19"/>
      <c r="L907" s="19"/>
      <c r="M907" s="19"/>
      <c r="N907" s="20"/>
      <c r="O907" s="20"/>
      <c r="P907" s="20"/>
      <c r="Q907" s="20"/>
      <c r="R907" s="20"/>
      <c r="S907" s="20"/>
      <c r="T907" s="708"/>
      <c r="U907" s="708"/>
    </row>
    <row r="908" ht="13.8" spans="1:21">
      <c r="A908" s="19"/>
      <c r="B908" s="20"/>
      <c r="C908" s="20"/>
      <c r="D908" s="19"/>
      <c r="E908" s="19"/>
      <c r="F908" s="19"/>
      <c r="G908" s="19"/>
      <c r="H908" s="19"/>
      <c r="I908" s="19"/>
      <c r="J908" s="20"/>
      <c r="K908" s="19"/>
      <c r="L908" s="19"/>
      <c r="M908" s="19"/>
      <c r="N908" s="20"/>
      <c r="O908" s="20"/>
      <c r="P908" s="20"/>
      <c r="Q908" s="20"/>
      <c r="R908" s="20"/>
      <c r="S908" s="20"/>
      <c r="T908" s="708"/>
      <c r="U908" s="708"/>
    </row>
    <row r="909" ht="13.8" spans="1:21">
      <c r="A909" s="19"/>
      <c r="B909" s="20"/>
      <c r="C909" s="20"/>
      <c r="D909" s="19"/>
      <c r="E909" s="19"/>
      <c r="F909" s="19"/>
      <c r="G909" s="19"/>
      <c r="H909" s="19"/>
      <c r="I909" s="19"/>
      <c r="J909" s="20"/>
      <c r="K909" s="19"/>
      <c r="L909" s="19"/>
      <c r="M909" s="19"/>
      <c r="N909" s="20"/>
      <c r="O909" s="20"/>
      <c r="P909" s="20"/>
      <c r="Q909" s="20"/>
      <c r="R909" s="20"/>
      <c r="S909" s="20"/>
      <c r="T909" s="708"/>
      <c r="U909" s="708"/>
    </row>
    <row r="910" ht="13.8" spans="1:21">
      <c r="A910" s="19"/>
      <c r="B910" s="20"/>
      <c r="C910" s="20"/>
      <c r="D910" s="19"/>
      <c r="E910" s="19"/>
      <c r="F910" s="19"/>
      <c r="G910" s="19"/>
      <c r="H910" s="19"/>
      <c r="I910" s="19"/>
      <c r="J910" s="20"/>
      <c r="K910" s="19"/>
      <c r="L910" s="19"/>
      <c r="M910" s="19"/>
      <c r="N910" s="20"/>
      <c r="O910" s="20"/>
      <c r="P910" s="20"/>
      <c r="Q910" s="20"/>
      <c r="R910" s="20"/>
      <c r="S910" s="20"/>
      <c r="T910" s="708"/>
      <c r="U910" s="708"/>
    </row>
    <row r="911" ht="13.8" spans="1:21">
      <c r="A911" s="19"/>
      <c r="B911" s="20"/>
      <c r="C911" s="20"/>
      <c r="D911" s="19"/>
      <c r="E911" s="19"/>
      <c r="F911" s="19"/>
      <c r="G911" s="19"/>
      <c r="H911" s="19"/>
      <c r="I911" s="19"/>
      <c r="J911" s="20"/>
      <c r="K911" s="19"/>
      <c r="L911" s="19"/>
      <c r="M911" s="19"/>
      <c r="N911" s="20"/>
      <c r="O911" s="20"/>
      <c r="P911" s="20"/>
      <c r="Q911" s="20"/>
      <c r="R911" s="20"/>
      <c r="S911" s="20"/>
      <c r="T911" s="708"/>
      <c r="U911" s="708"/>
    </row>
    <row r="912" ht="13.8" spans="1:21">
      <c r="A912" s="19"/>
      <c r="B912" s="20"/>
      <c r="C912" s="20"/>
      <c r="D912" s="19"/>
      <c r="E912" s="19"/>
      <c r="F912" s="19"/>
      <c r="G912" s="19"/>
      <c r="H912" s="19"/>
      <c r="I912" s="19"/>
      <c r="J912" s="20"/>
      <c r="K912" s="19"/>
      <c r="L912" s="19"/>
      <c r="M912" s="19"/>
      <c r="N912" s="20"/>
      <c r="O912" s="20"/>
      <c r="P912" s="20"/>
      <c r="Q912" s="20"/>
      <c r="R912" s="20"/>
      <c r="S912" s="20"/>
      <c r="T912" s="708"/>
      <c r="U912" s="708"/>
    </row>
    <row r="913" ht="13.8" spans="1:21">
      <c r="A913" s="19"/>
      <c r="B913" s="20"/>
      <c r="C913" s="20"/>
      <c r="D913" s="19"/>
      <c r="E913" s="19"/>
      <c r="F913" s="19"/>
      <c r="G913" s="19"/>
      <c r="H913" s="19"/>
      <c r="I913" s="19"/>
      <c r="J913" s="20"/>
      <c r="K913" s="19"/>
      <c r="L913" s="19"/>
      <c r="M913" s="19"/>
      <c r="N913" s="20"/>
      <c r="O913" s="20"/>
      <c r="P913" s="20"/>
      <c r="Q913" s="20"/>
      <c r="R913" s="20"/>
      <c r="S913" s="20"/>
      <c r="T913" s="708"/>
      <c r="U913" s="708"/>
    </row>
    <row r="914" ht="13.8" spans="1:21">
      <c r="A914" s="19"/>
      <c r="B914" s="20"/>
      <c r="C914" s="20"/>
      <c r="D914" s="19"/>
      <c r="E914" s="19"/>
      <c r="F914" s="19"/>
      <c r="G914" s="19"/>
      <c r="H914" s="19"/>
      <c r="I914" s="19"/>
      <c r="J914" s="20"/>
      <c r="K914" s="19"/>
      <c r="L914" s="19"/>
      <c r="M914" s="19"/>
      <c r="N914" s="20"/>
      <c r="O914" s="20"/>
      <c r="P914" s="20"/>
      <c r="Q914" s="20"/>
      <c r="R914" s="20"/>
      <c r="S914" s="20"/>
      <c r="T914" s="708"/>
      <c r="U914" s="708"/>
    </row>
    <row r="915" ht="13.8" spans="1:21">
      <c r="A915" s="19"/>
      <c r="B915" s="20"/>
      <c r="C915" s="20"/>
      <c r="D915" s="19"/>
      <c r="E915" s="19"/>
      <c r="F915" s="19"/>
      <c r="G915" s="19"/>
      <c r="H915" s="19"/>
      <c r="I915" s="19"/>
      <c r="J915" s="20"/>
      <c r="K915" s="19"/>
      <c r="L915" s="19"/>
      <c r="M915" s="19"/>
      <c r="N915" s="20"/>
      <c r="O915" s="20"/>
      <c r="P915" s="20"/>
      <c r="Q915" s="20"/>
      <c r="R915" s="20"/>
      <c r="S915" s="20"/>
      <c r="T915" s="708"/>
      <c r="U915" s="708"/>
    </row>
    <row r="916" ht="13.8" spans="1:21">
      <c r="A916" s="19"/>
      <c r="B916" s="20"/>
      <c r="C916" s="20"/>
      <c r="D916" s="19"/>
      <c r="E916" s="19"/>
      <c r="F916" s="19"/>
      <c r="G916" s="19"/>
      <c r="H916" s="19"/>
      <c r="I916" s="19"/>
      <c r="J916" s="20"/>
      <c r="K916" s="19"/>
      <c r="L916" s="19"/>
      <c r="M916" s="19"/>
      <c r="N916" s="20"/>
      <c r="O916" s="20"/>
      <c r="P916" s="20"/>
      <c r="Q916" s="20"/>
      <c r="R916" s="20"/>
      <c r="S916" s="20"/>
      <c r="T916" s="708"/>
      <c r="U916" s="708"/>
    </row>
    <row r="917" ht="13.8" spans="1:21">
      <c r="A917" s="19"/>
      <c r="B917" s="20"/>
      <c r="C917" s="20"/>
      <c r="D917" s="19"/>
      <c r="E917" s="19"/>
      <c r="F917" s="19"/>
      <c r="G917" s="19"/>
      <c r="H917" s="19"/>
      <c r="I917" s="19"/>
      <c r="J917" s="20"/>
      <c r="K917" s="19"/>
      <c r="L917" s="19"/>
      <c r="M917" s="19"/>
      <c r="N917" s="20"/>
      <c r="O917" s="20"/>
      <c r="P917" s="20"/>
      <c r="Q917" s="20"/>
      <c r="R917" s="20"/>
      <c r="S917" s="20"/>
      <c r="T917" s="708"/>
      <c r="U917" s="708"/>
    </row>
    <row r="918" ht="13.8" spans="1:21">
      <c r="A918" s="19"/>
      <c r="B918" s="20"/>
      <c r="C918" s="20"/>
      <c r="D918" s="19"/>
      <c r="E918" s="19"/>
      <c r="F918" s="19"/>
      <c r="G918" s="19"/>
      <c r="H918" s="19"/>
      <c r="I918" s="19"/>
      <c r="J918" s="20"/>
      <c r="K918" s="19"/>
      <c r="L918" s="19"/>
      <c r="M918" s="19"/>
      <c r="N918" s="20"/>
      <c r="O918" s="20"/>
      <c r="P918" s="20"/>
      <c r="Q918" s="20"/>
      <c r="R918" s="20"/>
      <c r="S918" s="20"/>
      <c r="T918" s="708"/>
      <c r="U918" s="708"/>
    </row>
    <row r="919" ht="13.8" spans="1:21">
      <c r="A919" s="19"/>
      <c r="B919" s="20"/>
      <c r="C919" s="20"/>
      <c r="D919" s="19"/>
      <c r="E919" s="19"/>
      <c r="F919" s="19"/>
      <c r="G919" s="19"/>
      <c r="H919" s="19"/>
      <c r="I919" s="19"/>
      <c r="J919" s="20"/>
      <c r="K919" s="19"/>
      <c r="L919" s="19"/>
      <c r="M919" s="19"/>
      <c r="N919" s="20"/>
      <c r="O919" s="20"/>
      <c r="P919" s="20"/>
      <c r="Q919" s="20"/>
      <c r="R919" s="20"/>
      <c r="S919" s="20"/>
      <c r="T919" s="708"/>
      <c r="U919" s="708"/>
    </row>
    <row r="920" ht="13.8" spans="1:21">
      <c r="A920" s="19"/>
      <c r="B920" s="20"/>
      <c r="C920" s="20"/>
      <c r="D920" s="19"/>
      <c r="E920" s="19"/>
      <c r="F920" s="19"/>
      <c r="G920" s="19"/>
      <c r="H920" s="19"/>
      <c r="I920" s="19"/>
      <c r="J920" s="20"/>
      <c r="K920" s="19"/>
      <c r="L920" s="19"/>
      <c r="M920" s="19"/>
      <c r="N920" s="20"/>
      <c r="O920" s="20"/>
      <c r="P920" s="20"/>
      <c r="Q920" s="20"/>
      <c r="R920" s="20"/>
      <c r="S920" s="20"/>
      <c r="T920" s="708"/>
      <c r="U920" s="708"/>
    </row>
    <row r="921" ht="13.8" spans="1:21">
      <c r="A921" s="19"/>
      <c r="B921" s="20"/>
      <c r="C921" s="20"/>
      <c r="D921" s="19"/>
      <c r="E921" s="19"/>
      <c r="F921" s="19"/>
      <c r="G921" s="19"/>
      <c r="H921" s="19"/>
      <c r="I921" s="19"/>
      <c r="J921" s="20"/>
      <c r="K921" s="19"/>
      <c r="L921" s="19"/>
      <c r="M921" s="19"/>
      <c r="N921" s="20"/>
      <c r="O921" s="20"/>
      <c r="P921" s="20"/>
      <c r="Q921" s="20"/>
      <c r="R921" s="20"/>
      <c r="S921" s="20"/>
      <c r="T921" s="708"/>
      <c r="U921" s="708"/>
    </row>
    <row r="922" ht="13.8" spans="1:21">
      <c r="A922" s="19"/>
      <c r="B922" s="20"/>
      <c r="C922" s="20"/>
      <c r="D922" s="19"/>
      <c r="E922" s="19"/>
      <c r="F922" s="19"/>
      <c r="G922" s="19"/>
      <c r="H922" s="19"/>
      <c r="I922" s="19"/>
      <c r="J922" s="20"/>
      <c r="K922" s="19"/>
      <c r="L922" s="19"/>
      <c r="M922" s="19"/>
      <c r="N922" s="20"/>
      <c r="O922" s="20"/>
      <c r="P922" s="20"/>
      <c r="Q922" s="20"/>
      <c r="R922" s="20"/>
      <c r="S922" s="20"/>
      <c r="T922" s="708"/>
      <c r="U922" s="708"/>
    </row>
    <row r="923" ht="13.8" spans="1:21">
      <c r="A923" s="19"/>
      <c r="B923" s="20"/>
      <c r="C923" s="20"/>
      <c r="D923" s="19"/>
      <c r="E923" s="19"/>
      <c r="F923" s="19"/>
      <c r="G923" s="19"/>
      <c r="H923" s="19"/>
      <c r="I923" s="19"/>
      <c r="J923" s="20"/>
      <c r="K923" s="19"/>
      <c r="L923" s="19"/>
      <c r="M923" s="19"/>
      <c r="N923" s="20"/>
      <c r="O923" s="20"/>
      <c r="P923" s="20"/>
      <c r="Q923" s="20"/>
      <c r="R923" s="20"/>
      <c r="S923" s="20"/>
      <c r="T923" s="708"/>
      <c r="U923" s="708"/>
    </row>
    <row r="924" ht="13.8" spans="1:21">
      <c r="A924" s="19"/>
      <c r="B924" s="20"/>
      <c r="C924" s="20"/>
      <c r="D924" s="19"/>
      <c r="E924" s="19"/>
      <c r="F924" s="19"/>
      <c r="G924" s="19"/>
      <c r="H924" s="19"/>
      <c r="I924" s="19"/>
      <c r="J924" s="20"/>
      <c r="K924" s="19"/>
      <c r="L924" s="19"/>
      <c r="M924" s="19"/>
      <c r="N924" s="20"/>
      <c r="O924" s="20"/>
      <c r="P924" s="20"/>
      <c r="Q924" s="20"/>
      <c r="R924" s="20"/>
      <c r="S924" s="20"/>
      <c r="T924" s="708"/>
      <c r="U924" s="708"/>
    </row>
    <row r="925" ht="13.8" spans="1:21">
      <c r="A925" s="19"/>
      <c r="B925" s="20"/>
      <c r="C925" s="20"/>
      <c r="D925" s="19"/>
      <c r="E925" s="19"/>
      <c r="F925" s="19"/>
      <c r="G925" s="19"/>
      <c r="H925" s="19"/>
      <c r="I925" s="19"/>
      <c r="J925" s="20"/>
      <c r="K925" s="19"/>
      <c r="L925" s="19"/>
      <c r="M925" s="19"/>
      <c r="N925" s="20"/>
      <c r="O925" s="20"/>
      <c r="P925" s="20"/>
      <c r="Q925" s="20"/>
      <c r="R925" s="20"/>
      <c r="S925" s="20"/>
      <c r="T925" s="708"/>
      <c r="U925" s="708"/>
    </row>
    <row r="926" ht="13.8" spans="1:21">
      <c r="A926" s="19"/>
      <c r="B926" s="20"/>
      <c r="C926" s="20"/>
      <c r="D926" s="19"/>
      <c r="E926" s="19"/>
      <c r="F926" s="19"/>
      <c r="G926" s="19"/>
      <c r="H926" s="19"/>
      <c r="I926" s="19"/>
      <c r="J926" s="20"/>
      <c r="K926" s="19"/>
      <c r="L926" s="19"/>
      <c r="M926" s="19"/>
      <c r="N926" s="20"/>
      <c r="O926" s="20"/>
      <c r="P926" s="20"/>
      <c r="Q926" s="20"/>
      <c r="R926" s="20"/>
      <c r="S926" s="20"/>
      <c r="T926" s="708"/>
      <c r="U926" s="708"/>
    </row>
    <row r="927" ht="13.8" spans="1:21">
      <c r="A927" s="19"/>
      <c r="B927" s="20"/>
      <c r="C927" s="20"/>
      <c r="D927" s="19"/>
      <c r="E927" s="19"/>
      <c r="F927" s="19"/>
      <c r="G927" s="19"/>
      <c r="H927" s="19"/>
      <c r="I927" s="19"/>
      <c r="J927" s="20"/>
      <c r="K927" s="19"/>
      <c r="L927" s="19"/>
      <c r="M927" s="19"/>
      <c r="N927" s="20"/>
      <c r="O927" s="20"/>
      <c r="P927" s="20"/>
      <c r="Q927" s="20"/>
      <c r="R927" s="20"/>
      <c r="S927" s="20"/>
      <c r="T927" s="708"/>
      <c r="U927" s="708"/>
    </row>
    <row r="928" ht="13.8" spans="1:21">
      <c r="A928" s="19"/>
      <c r="B928" s="20"/>
      <c r="C928" s="20"/>
      <c r="D928" s="19"/>
      <c r="E928" s="19"/>
      <c r="F928" s="19"/>
      <c r="G928" s="19"/>
      <c r="H928" s="19"/>
      <c r="I928" s="19"/>
      <c r="J928" s="20"/>
      <c r="K928" s="19"/>
      <c r="L928" s="19"/>
      <c r="M928" s="19"/>
      <c r="N928" s="20"/>
      <c r="O928" s="20"/>
      <c r="P928" s="20"/>
      <c r="Q928" s="20"/>
      <c r="R928" s="20"/>
      <c r="S928" s="20"/>
      <c r="T928" s="708"/>
      <c r="U928" s="708"/>
    </row>
    <row r="929" ht="13.8" spans="1:21">
      <c r="A929" s="19"/>
      <c r="B929" s="20"/>
      <c r="C929" s="20"/>
      <c r="D929" s="19"/>
      <c r="E929" s="19"/>
      <c r="F929" s="19"/>
      <c r="G929" s="19"/>
      <c r="H929" s="19"/>
      <c r="I929" s="19"/>
      <c r="J929" s="20"/>
      <c r="K929" s="19"/>
      <c r="L929" s="19"/>
      <c r="M929" s="19"/>
      <c r="N929" s="20"/>
      <c r="O929" s="20"/>
      <c r="P929" s="20"/>
      <c r="Q929" s="20"/>
      <c r="R929" s="20"/>
      <c r="S929" s="20"/>
      <c r="T929" s="708"/>
      <c r="U929" s="708"/>
    </row>
    <row r="930" ht="13.8" spans="1:21">
      <c r="A930" s="19"/>
      <c r="B930" s="20"/>
      <c r="C930" s="20"/>
      <c r="D930" s="19"/>
      <c r="E930" s="19"/>
      <c r="F930" s="19"/>
      <c r="G930" s="19"/>
      <c r="H930" s="19"/>
      <c r="I930" s="19"/>
      <c r="J930" s="20"/>
      <c r="K930" s="19"/>
      <c r="L930" s="19"/>
      <c r="M930" s="19"/>
      <c r="N930" s="20"/>
      <c r="O930" s="20"/>
      <c r="P930" s="20"/>
      <c r="Q930" s="20"/>
      <c r="R930" s="20"/>
      <c r="S930" s="20"/>
      <c r="T930" s="708"/>
      <c r="U930" s="708"/>
    </row>
    <row r="931" ht="13.8" spans="1:21">
      <c r="A931" s="19"/>
      <c r="B931" s="20"/>
      <c r="C931" s="20"/>
      <c r="D931" s="19"/>
      <c r="E931" s="19"/>
      <c r="F931" s="19"/>
      <c r="G931" s="19"/>
      <c r="H931" s="19"/>
      <c r="I931" s="19"/>
      <c r="J931" s="20"/>
      <c r="K931" s="19"/>
      <c r="L931" s="19"/>
      <c r="M931" s="19"/>
      <c r="N931" s="20"/>
      <c r="O931" s="20"/>
      <c r="P931" s="20"/>
      <c r="Q931" s="20"/>
      <c r="R931" s="20"/>
      <c r="S931" s="20"/>
      <c r="T931" s="708"/>
      <c r="U931" s="708"/>
    </row>
    <row r="932" ht="13.8" spans="1:21">
      <c r="A932" s="19"/>
      <c r="B932" s="20"/>
      <c r="C932" s="20"/>
      <c r="D932" s="19"/>
      <c r="E932" s="19"/>
      <c r="F932" s="19"/>
      <c r="G932" s="19"/>
      <c r="H932" s="19"/>
      <c r="I932" s="19"/>
      <c r="J932" s="20"/>
      <c r="K932" s="19"/>
      <c r="L932" s="19"/>
      <c r="M932" s="19"/>
      <c r="N932" s="20"/>
      <c r="O932" s="20"/>
      <c r="P932" s="20"/>
      <c r="Q932" s="20"/>
      <c r="R932" s="20"/>
      <c r="S932" s="20"/>
      <c r="T932" s="708"/>
      <c r="U932" s="708"/>
    </row>
    <row r="933" ht="13.8" spans="1:21">
      <c r="A933" s="19"/>
      <c r="B933" s="20"/>
      <c r="C933" s="20"/>
      <c r="D933" s="19"/>
      <c r="E933" s="19"/>
      <c r="F933" s="19"/>
      <c r="G933" s="19"/>
      <c r="H933" s="19"/>
      <c r="I933" s="19"/>
      <c r="J933" s="20"/>
      <c r="K933" s="19"/>
      <c r="L933" s="19"/>
      <c r="M933" s="19"/>
      <c r="N933" s="20"/>
      <c r="O933" s="20"/>
      <c r="P933" s="20"/>
      <c r="Q933" s="20"/>
      <c r="R933" s="20"/>
      <c r="S933" s="20"/>
      <c r="T933" s="708"/>
      <c r="U933" s="708"/>
    </row>
    <row r="934" ht="13.8" spans="1:21">
      <c r="A934" s="19"/>
      <c r="B934" s="20"/>
      <c r="C934" s="20"/>
      <c r="D934" s="19"/>
      <c r="E934" s="19"/>
      <c r="F934" s="19"/>
      <c r="G934" s="19"/>
      <c r="H934" s="19"/>
      <c r="I934" s="19"/>
      <c r="J934" s="20"/>
      <c r="K934" s="19"/>
      <c r="L934" s="19"/>
      <c r="M934" s="19"/>
      <c r="N934" s="20"/>
      <c r="O934" s="20"/>
      <c r="P934" s="20"/>
      <c r="Q934" s="20"/>
      <c r="R934" s="20"/>
      <c r="S934" s="20"/>
      <c r="T934" s="708"/>
      <c r="U934" s="708"/>
    </row>
    <row r="935" ht="13.8" spans="1:21">
      <c r="A935" s="19"/>
      <c r="B935" s="20"/>
      <c r="C935" s="20"/>
      <c r="D935" s="19"/>
      <c r="E935" s="19"/>
      <c r="F935" s="19"/>
      <c r="G935" s="19"/>
      <c r="H935" s="19"/>
      <c r="I935" s="19"/>
      <c r="J935" s="20"/>
      <c r="K935" s="19"/>
      <c r="L935" s="19"/>
      <c r="M935" s="19"/>
      <c r="N935" s="20"/>
      <c r="O935" s="20"/>
      <c r="P935" s="20"/>
      <c r="Q935" s="20"/>
      <c r="R935" s="20"/>
      <c r="S935" s="20"/>
      <c r="T935" s="708"/>
      <c r="U935" s="708"/>
    </row>
    <row r="936" ht="13.8" spans="1:21">
      <c r="A936" s="19"/>
      <c r="B936" s="20"/>
      <c r="C936" s="20"/>
      <c r="D936" s="19"/>
      <c r="E936" s="19"/>
      <c r="F936" s="19"/>
      <c r="G936" s="19"/>
      <c r="H936" s="19"/>
      <c r="I936" s="19"/>
      <c r="J936" s="20"/>
      <c r="K936" s="19"/>
      <c r="L936" s="19"/>
      <c r="M936" s="19"/>
      <c r="N936" s="20"/>
      <c r="O936" s="20"/>
      <c r="P936" s="20"/>
      <c r="Q936" s="20"/>
      <c r="R936" s="20"/>
      <c r="S936" s="20"/>
      <c r="T936" s="708"/>
      <c r="U936" s="708"/>
    </row>
    <row r="937" ht="13.8" spans="1:21">
      <c r="A937" s="19"/>
      <c r="B937" s="20"/>
      <c r="C937" s="20"/>
      <c r="D937" s="19"/>
      <c r="E937" s="19"/>
      <c r="F937" s="19"/>
      <c r="G937" s="19"/>
      <c r="H937" s="19"/>
      <c r="I937" s="19"/>
      <c r="J937" s="20"/>
      <c r="K937" s="19"/>
      <c r="L937" s="19"/>
      <c r="M937" s="19"/>
      <c r="N937" s="20"/>
      <c r="O937" s="20"/>
      <c r="P937" s="20"/>
      <c r="Q937" s="20"/>
      <c r="R937" s="20"/>
      <c r="S937" s="20"/>
      <c r="T937" s="708"/>
      <c r="U937" s="708"/>
    </row>
    <row r="938" ht="13.8" spans="1:21">
      <c r="A938" s="19"/>
      <c r="B938" s="20"/>
      <c r="C938" s="20"/>
      <c r="D938" s="19"/>
      <c r="E938" s="19"/>
      <c r="F938" s="19"/>
      <c r="G938" s="19"/>
      <c r="H938" s="19"/>
      <c r="I938" s="19"/>
      <c r="J938" s="20"/>
      <c r="K938" s="19"/>
      <c r="L938" s="19"/>
      <c r="M938" s="19"/>
      <c r="N938" s="20"/>
      <c r="O938" s="20"/>
      <c r="P938" s="20"/>
      <c r="Q938" s="20"/>
      <c r="R938" s="20"/>
      <c r="S938" s="20"/>
      <c r="T938" s="708"/>
      <c r="U938" s="708"/>
    </row>
    <row r="939" ht="13.8" spans="1:21">
      <c r="A939" s="19"/>
      <c r="B939" s="20"/>
      <c r="C939" s="20"/>
      <c r="D939" s="19"/>
      <c r="E939" s="19"/>
      <c r="F939" s="19"/>
      <c r="G939" s="19"/>
      <c r="H939" s="19"/>
      <c r="I939" s="19"/>
      <c r="J939" s="20"/>
      <c r="K939" s="19"/>
      <c r="L939" s="19"/>
      <c r="M939" s="19"/>
      <c r="N939" s="20"/>
      <c r="O939" s="20"/>
      <c r="P939" s="20"/>
      <c r="Q939" s="20"/>
      <c r="R939" s="20"/>
      <c r="S939" s="20"/>
      <c r="T939" s="708"/>
      <c r="U939" s="708"/>
    </row>
    <row r="940" ht="13.8" spans="1:21">
      <c r="A940" s="19"/>
      <c r="B940" s="20"/>
      <c r="C940" s="20"/>
      <c r="D940" s="19"/>
      <c r="E940" s="19"/>
      <c r="F940" s="19"/>
      <c r="G940" s="19"/>
      <c r="H940" s="19"/>
      <c r="I940" s="19"/>
      <c r="J940" s="20"/>
      <c r="K940" s="19"/>
      <c r="L940" s="19"/>
      <c r="M940" s="19"/>
      <c r="N940" s="20"/>
      <c r="O940" s="20"/>
      <c r="P940" s="20"/>
      <c r="Q940" s="20"/>
      <c r="R940" s="20"/>
      <c r="S940" s="20"/>
      <c r="T940" s="708"/>
      <c r="U940" s="708"/>
    </row>
    <row r="941" ht="13.8" spans="1:21">
      <c r="A941" s="19"/>
      <c r="B941" s="20"/>
      <c r="C941" s="20"/>
      <c r="D941" s="19"/>
      <c r="E941" s="19"/>
      <c r="F941" s="19"/>
      <c r="G941" s="19"/>
      <c r="H941" s="19"/>
      <c r="I941" s="19"/>
      <c r="J941" s="20"/>
      <c r="K941" s="19"/>
      <c r="L941" s="19"/>
      <c r="M941" s="19"/>
      <c r="N941" s="20"/>
      <c r="O941" s="20"/>
      <c r="P941" s="20"/>
      <c r="Q941" s="20"/>
      <c r="R941" s="20"/>
      <c r="S941" s="20"/>
      <c r="T941" s="708"/>
      <c r="U941" s="708"/>
    </row>
    <row r="942" ht="13.8" spans="1:21">
      <c r="A942" s="19"/>
      <c r="B942" s="20"/>
      <c r="C942" s="20"/>
      <c r="D942" s="19"/>
      <c r="E942" s="19"/>
      <c r="F942" s="19"/>
      <c r="G942" s="19"/>
      <c r="H942" s="19"/>
      <c r="I942" s="19"/>
      <c r="J942" s="20"/>
      <c r="K942" s="19"/>
      <c r="L942" s="19"/>
      <c r="M942" s="19"/>
      <c r="N942" s="20"/>
      <c r="O942" s="20"/>
      <c r="P942" s="20"/>
      <c r="Q942" s="20"/>
      <c r="R942" s="20"/>
      <c r="S942" s="20"/>
      <c r="T942" s="708"/>
      <c r="U942" s="708"/>
    </row>
    <row r="943" ht="13.8" spans="1:21">
      <c r="A943" s="19"/>
      <c r="B943" s="20"/>
      <c r="C943" s="20"/>
      <c r="D943" s="19"/>
      <c r="E943" s="19"/>
      <c r="F943" s="19"/>
      <c r="G943" s="19"/>
      <c r="H943" s="19"/>
      <c r="I943" s="19"/>
      <c r="J943" s="20"/>
      <c r="K943" s="19"/>
      <c r="L943" s="19"/>
      <c r="M943" s="19"/>
      <c r="N943" s="20"/>
      <c r="O943" s="20"/>
      <c r="P943" s="20"/>
      <c r="Q943" s="20"/>
      <c r="R943" s="20"/>
      <c r="S943" s="20"/>
      <c r="T943" s="708"/>
      <c r="U943" s="708"/>
    </row>
    <row r="944" ht="13.8" spans="1:21">
      <c r="A944" s="19"/>
      <c r="B944" s="20"/>
      <c r="C944" s="20"/>
      <c r="D944" s="19"/>
      <c r="E944" s="19"/>
      <c r="F944" s="19"/>
      <c r="G944" s="19"/>
      <c r="H944" s="19"/>
      <c r="I944" s="19"/>
      <c r="J944" s="20"/>
      <c r="K944" s="19"/>
      <c r="L944" s="19"/>
      <c r="M944" s="19"/>
      <c r="N944" s="20"/>
      <c r="O944" s="20"/>
      <c r="P944" s="20"/>
      <c r="Q944" s="20"/>
      <c r="R944" s="20"/>
      <c r="S944" s="20"/>
      <c r="T944" s="708"/>
      <c r="U944" s="708"/>
    </row>
    <row r="945" ht="13.8" spans="1:21">
      <c r="A945" s="19"/>
      <c r="B945" s="20"/>
      <c r="C945" s="20"/>
      <c r="D945" s="19"/>
      <c r="E945" s="19"/>
      <c r="F945" s="19"/>
      <c r="G945" s="19"/>
      <c r="H945" s="19"/>
      <c r="I945" s="19"/>
      <c r="J945" s="20"/>
      <c r="K945" s="19"/>
      <c r="L945" s="19"/>
      <c r="M945" s="19"/>
      <c r="N945" s="20"/>
      <c r="O945" s="20"/>
      <c r="P945" s="20"/>
      <c r="Q945" s="20"/>
      <c r="R945" s="20"/>
      <c r="S945" s="20"/>
      <c r="T945" s="708"/>
      <c r="U945" s="708"/>
    </row>
    <row r="946" ht="13.8" spans="1:21">
      <c r="A946" s="19"/>
      <c r="B946" s="20"/>
      <c r="C946" s="20"/>
      <c r="D946" s="19"/>
      <c r="E946" s="19"/>
      <c r="F946" s="19"/>
      <c r="G946" s="19"/>
      <c r="H946" s="19"/>
      <c r="I946" s="19"/>
      <c r="J946" s="20"/>
      <c r="K946" s="19"/>
      <c r="L946" s="19"/>
      <c r="M946" s="19"/>
      <c r="N946" s="20"/>
      <c r="O946" s="20"/>
      <c r="P946" s="20"/>
      <c r="Q946" s="20"/>
      <c r="R946" s="20"/>
      <c r="S946" s="20"/>
      <c r="T946" s="708"/>
      <c r="U946" s="708"/>
    </row>
    <row r="947" ht="13.8" spans="1:21">
      <c r="A947" s="19"/>
      <c r="B947" s="20"/>
      <c r="C947" s="20"/>
      <c r="D947" s="19"/>
      <c r="E947" s="19"/>
      <c r="F947" s="19"/>
      <c r="G947" s="19"/>
      <c r="H947" s="19"/>
      <c r="I947" s="19"/>
      <c r="J947" s="20"/>
      <c r="K947" s="19"/>
      <c r="L947" s="19"/>
      <c r="M947" s="19"/>
      <c r="N947" s="20"/>
      <c r="O947" s="20"/>
      <c r="P947" s="20"/>
      <c r="Q947" s="20"/>
      <c r="R947" s="20"/>
      <c r="S947" s="20"/>
      <c r="T947" s="708"/>
      <c r="U947" s="708"/>
    </row>
    <row r="948" ht="13.8" spans="1:21">
      <c r="A948" s="19"/>
      <c r="B948" s="20"/>
      <c r="C948" s="20"/>
      <c r="D948" s="19"/>
      <c r="E948" s="19"/>
      <c r="F948" s="19"/>
      <c r="G948" s="19"/>
      <c r="H948" s="19"/>
      <c r="I948" s="19"/>
      <c r="J948" s="20"/>
      <c r="K948" s="19"/>
      <c r="L948" s="19"/>
      <c r="M948" s="19"/>
      <c r="N948" s="20"/>
      <c r="O948" s="20"/>
      <c r="P948" s="20"/>
      <c r="Q948" s="20"/>
      <c r="R948" s="20"/>
      <c r="S948" s="20"/>
      <c r="T948" s="708"/>
      <c r="U948" s="708"/>
    </row>
    <row r="949" ht="13.8" spans="1:21">
      <c r="A949" s="19"/>
      <c r="B949" s="20"/>
      <c r="C949" s="20"/>
      <c r="D949" s="19"/>
      <c r="E949" s="19"/>
      <c r="F949" s="19"/>
      <c r="G949" s="19"/>
      <c r="H949" s="19"/>
      <c r="I949" s="19"/>
      <c r="J949" s="20"/>
      <c r="K949" s="19"/>
      <c r="L949" s="19"/>
      <c r="M949" s="19"/>
      <c r="N949" s="20"/>
      <c r="O949" s="20"/>
      <c r="P949" s="20"/>
      <c r="Q949" s="20"/>
      <c r="R949" s="20"/>
      <c r="S949" s="20"/>
      <c r="T949" s="708"/>
      <c r="U949" s="708"/>
    </row>
    <row r="950" ht="13.8" spans="1:21">
      <c r="A950" s="19"/>
      <c r="B950" s="20"/>
      <c r="C950" s="20"/>
      <c r="D950" s="19"/>
      <c r="E950" s="19"/>
      <c r="F950" s="19"/>
      <c r="G950" s="19"/>
      <c r="H950" s="19"/>
      <c r="I950" s="19"/>
      <c r="J950" s="20"/>
      <c r="K950" s="19"/>
      <c r="L950" s="19"/>
      <c r="M950" s="19"/>
      <c r="N950" s="20"/>
      <c r="O950" s="20"/>
      <c r="P950" s="20"/>
      <c r="Q950" s="20"/>
      <c r="R950" s="20"/>
      <c r="S950" s="20"/>
      <c r="T950" s="708"/>
      <c r="U950" s="708"/>
    </row>
    <row r="951" ht="13.8" spans="1:21">
      <c r="A951" s="19"/>
      <c r="B951" s="20"/>
      <c r="C951" s="20"/>
      <c r="D951" s="19"/>
      <c r="E951" s="19"/>
      <c r="F951" s="19"/>
      <c r="G951" s="19"/>
      <c r="H951" s="19"/>
      <c r="I951" s="19"/>
      <c r="J951" s="20"/>
      <c r="K951" s="19"/>
      <c r="L951" s="19"/>
      <c r="M951" s="19"/>
      <c r="N951" s="20"/>
      <c r="O951" s="20"/>
      <c r="P951" s="20"/>
      <c r="Q951" s="20"/>
      <c r="R951" s="20"/>
      <c r="S951" s="20"/>
      <c r="T951" s="708"/>
      <c r="U951" s="708"/>
    </row>
    <row r="952" ht="13.8" spans="1:21">
      <c r="A952" s="19"/>
      <c r="B952" s="20"/>
      <c r="C952" s="20"/>
      <c r="D952" s="19"/>
      <c r="E952" s="19"/>
      <c r="F952" s="19"/>
      <c r="G952" s="19"/>
      <c r="H952" s="19"/>
      <c r="I952" s="19"/>
      <c r="J952" s="20"/>
      <c r="K952" s="19"/>
      <c r="L952" s="19"/>
      <c r="M952" s="19"/>
      <c r="N952" s="20"/>
      <c r="O952" s="20"/>
      <c r="P952" s="20"/>
      <c r="Q952" s="20"/>
      <c r="R952" s="20"/>
      <c r="S952" s="20"/>
      <c r="T952" s="708"/>
      <c r="U952" s="708"/>
    </row>
    <row r="953" ht="13.8" spans="1:21">
      <c r="A953" s="19"/>
      <c r="B953" s="20"/>
      <c r="C953" s="20"/>
      <c r="D953" s="19"/>
      <c r="E953" s="19"/>
      <c r="F953" s="19"/>
      <c r="G953" s="19"/>
      <c r="H953" s="19"/>
      <c r="I953" s="19"/>
      <c r="J953" s="20"/>
      <c r="K953" s="19"/>
      <c r="L953" s="19"/>
      <c r="M953" s="19"/>
      <c r="N953" s="20"/>
      <c r="O953" s="20"/>
      <c r="P953" s="20"/>
      <c r="Q953" s="20"/>
      <c r="R953" s="20"/>
      <c r="S953" s="20"/>
      <c r="T953" s="708"/>
      <c r="U953" s="708"/>
    </row>
    <row r="954" ht="13.8" spans="1:21">
      <c r="A954" s="19"/>
      <c r="B954" s="20"/>
      <c r="C954" s="20"/>
      <c r="D954" s="19"/>
      <c r="E954" s="19"/>
      <c r="F954" s="19"/>
      <c r="G954" s="19"/>
      <c r="H954" s="19"/>
      <c r="I954" s="19"/>
      <c r="J954" s="20"/>
      <c r="K954" s="19"/>
      <c r="L954" s="19"/>
      <c r="M954" s="19"/>
      <c r="N954" s="20"/>
      <c r="O954" s="20"/>
      <c r="P954" s="20"/>
      <c r="Q954" s="20"/>
      <c r="R954" s="20"/>
      <c r="S954" s="20"/>
      <c r="T954" s="708"/>
      <c r="U954" s="708"/>
    </row>
    <row r="955" ht="13.8" spans="1:21">
      <c r="A955" s="19"/>
      <c r="B955" s="20"/>
      <c r="C955" s="20"/>
      <c r="D955" s="19"/>
      <c r="E955" s="19"/>
      <c r="F955" s="19"/>
      <c r="G955" s="19"/>
      <c r="H955" s="19"/>
      <c r="I955" s="19"/>
      <c r="J955" s="20"/>
      <c r="K955" s="19"/>
      <c r="L955" s="19"/>
      <c r="M955" s="19"/>
      <c r="N955" s="20"/>
      <c r="O955" s="20"/>
      <c r="P955" s="20"/>
      <c r="Q955" s="20"/>
      <c r="R955" s="20"/>
      <c r="S955" s="20"/>
      <c r="T955" s="708"/>
      <c r="U955" s="708"/>
    </row>
    <row r="956" ht="13.8" spans="1:21">
      <c r="A956" s="19"/>
      <c r="B956" s="20"/>
      <c r="C956" s="20"/>
      <c r="D956" s="19"/>
      <c r="E956" s="19"/>
      <c r="F956" s="19"/>
      <c r="G956" s="19"/>
      <c r="H956" s="19"/>
      <c r="I956" s="19"/>
      <c r="J956" s="20"/>
      <c r="K956" s="19"/>
      <c r="L956" s="19"/>
      <c r="M956" s="19"/>
      <c r="N956" s="20"/>
      <c r="O956" s="20"/>
      <c r="P956" s="20"/>
      <c r="Q956" s="20"/>
      <c r="R956" s="20"/>
      <c r="S956" s="20"/>
      <c r="T956" s="708"/>
      <c r="U956" s="708"/>
    </row>
    <row r="957" ht="13.8" spans="1:21">
      <c r="A957" s="19"/>
      <c r="B957" s="20"/>
      <c r="C957" s="20"/>
      <c r="D957" s="19"/>
      <c r="E957" s="19"/>
      <c r="F957" s="19"/>
      <c r="G957" s="19"/>
      <c r="H957" s="19"/>
      <c r="I957" s="19"/>
      <c r="J957" s="20"/>
      <c r="K957" s="19"/>
      <c r="L957" s="19"/>
      <c r="M957" s="19"/>
      <c r="N957" s="20"/>
      <c r="O957" s="20"/>
      <c r="P957" s="20"/>
      <c r="Q957" s="20"/>
      <c r="R957" s="20"/>
      <c r="S957" s="20"/>
      <c r="T957" s="708"/>
      <c r="U957" s="708"/>
    </row>
    <row r="958" ht="13.8" spans="1:21">
      <c r="A958" s="19"/>
      <c r="B958" s="20"/>
      <c r="C958" s="20"/>
      <c r="D958" s="19"/>
      <c r="E958" s="19"/>
      <c r="F958" s="19"/>
      <c r="G958" s="19"/>
      <c r="H958" s="19"/>
      <c r="I958" s="19"/>
      <c r="J958" s="20"/>
      <c r="K958" s="19"/>
      <c r="L958" s="19"/>
      <c r="M958" s="19"/>
      <c r="N958" s="20"/>
      <c r="O958" s="20"/>
      <c r="P958" s="20"/>
      <c r="Q958" s="20"/>
      <c r="R958" s="20"/>
      <c r="S958" s="20"/>
      <c r="T958" s="708"/>
      <c r="U958" s="708"/>
    </row>
    <row r="959" ht="13.8" spans="1:21">
      <c r="A959" s="19"/>
      <c r="B959" s="20"/>
      <c r="C959" s="20"/>
      <c r="D959" s="19"/>
      <c r="E959" s="19"/>
      <c r="F959" s="19"/>
      <c r="G959" s="19"/>
      <c r="H959" s="19"/>
      <c r="I959" s="19"/>
      <c r="J959" s="20"/>
      <c r="K959" s="19"/>
      <c r="L959" s="19"/>
      <c r="M959" s="19"/>
      <c r="N959" s="20"/>
      <c r="O959" s="20"/>
      <c r="P959" s="20"/>
      <c r="Q959" s="20"/>
      <c r="R959" s="20"/>
      <c r="S959" s="20"/>
      <c r="T959" s="708"/>
      <c r="U959" s="708"/>
    </row>
    <row r="960" ht="13.8" spans="1:21">
      <c r="A960" s="19"/>
      <c r="B960" s="20"/>
      <c r="C960" s="20"/>
      <c r="D960" s="19"/>
      <c r="E960" s="19"/>
      <c r="F960" s="19"/>
      <c r="G960" s="19"/>
      <c r="H960" s="19"/>
      <c r="I960" s="19"/>
      <c r="J960" s="20"/>
      <c r="K960" s="19"/>
      <c r="L960" s="19"/>
      <c r="M960" s="19"/>
      <c r="N960" s="20"/>
      <c r="O960" s="20"/>
      <c r="P960" s="20"/>
      <c r="Q960" s="20"/>
      <c r="R960" s="20"/>
      <c r="S960" s="20"/>
      <c r="T960" s="708"/>
      <c r="U960" s="708"/>
    </row>
    <row r="961" ht="13.8" spans="1:21">
      <c r="A961" s="19"/>
      <c r="B961" s="20"/>
      <c r="C961" s="20"/>
      <c r="D961" s="19"/>
      <c r="E961" s="19"/>
      <c r="F961" s="19"/>
      <c r="G961" s="19"/>
      <c r="H961" s="19"/>
      <c r="I961" s="19"/>
      <c r="J961" s="20"/>
      <c r="K961" s="19"/>
      <c r="L961" s="19"/>
      <c r="M961" s="19"/>
      <c r="N961" s="20"/>
      <c r="O961" s="20"/>
      <c r="P961" s="20"/>
      <c r="Q961" s="20"/>
      <c r="R961" s="20"/>
      <c r="S961" s="20"/>
      <c r="T961" s="708"/>
      <c r="U961" s="708"/>
    </row>
    <row r="962" ht="13.8" spans="1:21">
      <c r="A962" s="19"/>
      <c r="B962" s="20"/>
      <c r="C962" s="20"/>
      <c r="D962" s="19"/>
      <c r="E962" s="19"/>
      <c r="F962" s="19"/>
      <c r="G962" s="19"/>
      <c r="H962" s="19"/>
      <c r="I962" s="19"/>
      <c r="J962" s="20"/>
      <c r="K962" s="19"/>
      <c r="L962" s="19"/>
      <c r="M962" s="19"/>
      <c r="N962" s="20"/>
      <c r="O962" s="20"/>
      <c r="P962" s="20"/>
      <c r="Q962" s="20"/>
      <c r="R962" s="20"/>
      <c r="S962" s="20"/>
      <c r="T962" s="708"/>
      <c r="U962" s="708"/>
    </row>
    <row r="963" ht="13.8" spans="1:21">
      <c r="A963" s="19"/>
      <c r="B963" s="20"/>
      <c r="C963" s="20"/>
      <c r="D963" s="19"/>
      <c r="E963" s="19"/>
      <c r="F963" s="19"/>
      <c r="G963" s="19"/>
      <c r="H963" s="19"/>
      <c r="I963" s="19"/>
      <c r="J963" s="20"/>
      <c r="K963" s="19"/>
      <c r="L963" s="19"/>
      <c r="M963" s="19"/>
      <c r="N963" s="20"/>
      <c r="O963" s="20"/>
      <c r="P963" s="20"/>
      <c r="Q963" s="20"/>
      <c r="R963" s="20"/>
      <c r="S963" s="20"/>
      <c r="T963" s="708"/>
      <c r="U963" s="708"/>
    </row>
    <row r="964" ht="13.8" spans="1:21">
      <c r="A964" s="19"/>
      <c r="B964" s="20"/>
      <c r="C964" s="20"/>
      <c r="D964" s="19"/>
      <c r="E964" s="19"/>
      <c r="F964" s="19"/>
      <c r="G964" s="19"/>
      <c r="H964" s="19"/>
      <c r="I964" s="19"/>
      <c r="J964" s="20"/>
      <c r="K964" s="19"/>
      <c r="L964" s="19"/>
      <c r="M964" s="19"/>
      <c r="N964" s="20"/>
      <c r="O964" s="20"/>
      <c r="P964" s="20"/>
      <c r="Q964" s="20"/>
      <c r="R964" s="20"/>
      <c r="S964" s="20"/>
      <c r="T964" s="708"/>
      <c r="U964" s="708"/>
    </row>
    <row r="965" ht="13.8" spans="1:21">
      <c r="A965" s="19"/>
      <c r="B965" s="20"/>
      <c r="C965" s="20"/>
      <c r="D965" s="19"/>
      <c r="E965" s="19"/>
      <c r="F965" s="19"/>
      <c r="G965" s="19"/>
      <c r="H965" s="19"/>
      <c r="I965" s="19"/>
      <c r="J965" s="20"/>
      <c r="K965" s="19"/>
      <c r="L965" s="19"/>
      <c r="M965" s="19"/>
      <c r="N965" s="20"/>
      <c r="O965" s="20"/>
      <c r="P965" s="20"/>
      <c r="Q965" s="20"/>
      <c r="R965" s="20"/>
      <c r="S965" s="20"/>
      <c r="T965" s="708"/>
      <c r="U965" s="708"/>
    </row>
    <row r="966" ht="13.8" spans="1:21">
      <c r="A966" s="19"/>
      <c r="B966" s="20"/>
      <c r="C966" s="20"/>
      <c r="D966" s="19"/>
      <c r="E966" s="19"/>
      <c r="F966" s="19"/>
      <c r="G966" s="19"/>
      <c r="H966" s="19"/>
      <c r="I966" s="19"/>
      <c r="J966" s="20"/>
      <c r="K966" s="19"/>
      <c r="L966" s="19"/>
      <c r="M966" s="19"/>
      <c r="N966" s="20"/>
      <c r="O966" s="20"/>
      <c r="P966" s="20"/>
      <c r="Q966" s="20"/>
      <c r="R966" s="20"/>
      <c r="S966" s="20"/>
      <c r="T966" s="708"/>
      <c r="U966" s="708"/>
    </row>
    <row r="967" ht="13.8" spans="1:21">
      <c r="A967" s="19"/>
      <c r="B967" s="20"/>
      <c r="C967" s="20"/>
      <c r="D967" s="19"/>
      <c r="E967" s="19"/>
      <c r="F967" s="19"/>
      <c r="G967" s="19"/>
      <c r="H967" s="19"/>
      <c r="I967" s="19"/>
      <c r="J967" s="20"/>
      <c r="K967" s="19"/>
      <c r="L967" s="19"/>
      <c r="M967" s="19"/>
      <c r="N967" s="20"/>
      <c r="O967" s="20"/>
      <c r="P967" s="20"/>
      <c r="Q967" s="20"/>
      <c r="R967" s="20"/>
      <c r="S967" s="20"/>
      <c r="T967" s="708"/>
      <c r="U967" s="708"/>
    </row>
    <row r="968" ht="13.8" spans="1:21">
      <c r="A968" s="19"/>
      <c r="B968" s="20"/>
      <c r="C968" s="20"/>
      <c r="D968" s="19"/>
      <c r="E968" s="19"/>
      <c r="F968" s="19"/>
      <c r="G968" s="19"/>
      <c r="H968" s="19"/>
      <c r="I968" s="19"/>
      <c r="J968" s="20"/>
      <c r="K968" s="19"/>
      <c r="L968" s="19"/>
      <c r="M968" s="19"/>
      <c r="N968" s="20"/>
      <c r="O968" s="20"/>
      <c r="P968" s="20"/>
      <c r="Q968" s="20"/>
      <c r="R968" s="20"/>
      <c r="S968" s="20"/>
      <c r="T968" s="708"/>
      <c r="U968" s="708"/>
    </row>
    <row r="969" ht="13.8" spans="1:21">
      <c r="A969" s="19"/>
      <c r="B969" s="20"/>
      <c r="C969" s="20"/>
      <c r="D969" s="19"/>
      <c r="E969" s="19"/>
      <c r="F969" s="19"/>
      <c r="G969" s="19"/>
      <c r="H969" s="19"/>
      <c r="I969" s="19"/>
      <c r="J969" s="20"/>
      <c r="K969" s="19"/>
      <c r="L969" s="19"/>
      <c r="M969" s="19"/>
      <c r="N969" s="20"/>
      <c r="O969" s="20"/>
      <c r="P969" s="20"/>
      <c r="Q969" s="20"/>
      <c r="R969" s="20"/>
      <c r="S969" s="20"/>
      <c r="T969" s="708"/>
      <c r="U969" s="708"/>
    </row>
    <row r="970" ht="13.8" spans="1:21">
      <c r="A970" s="19"/>
      <c r="B970" s="20"/>
      <c r="C970" s="20"/>
      <c r="D970" s="19"/>
      <c r="E970" s="19"/>
      <c r="F970" s="19"/>
      <c r="G970" s="19"/>
      <c r="H970" s="19"/>
      <c r="I970" s="19"/>
      <c r="J970" s="20"/>
      <c r="K970" s="19"/>
      <c r="L970" s="19"/>
      <c r="M970" s="19"/>
      <c r="N970" s="20"/>
      <c r="O970" s="20"/>
      <c r="P970" s="20"/>
      <c r="Q970" s="20"/>
      <c r="R970" s="20"/>
      <c r="S970" s="20"/>
      <c r="T970" s="708"/>
      <c r="U970" s="708"/>
    </row>
    <row r="971" ht="13.8" spans="1:21">
      <c r="A971" s="19"/>
      <c r="B971" s="20"/>
      <c r="C971" s="20"/>
      <c r="D971" s="19"/>
      <c r="E971" s="19"/>
      <c r="F971" s="19"/>
      <c r="G971" s="19"/>
      <c r="H971" s="19"/>
      <c r="I971" s="19"/>
      <c r="J971" s="20"/>
      <c r="K971" s="19"/>
      <c r="L971" s="19"/>
      <c r="M971" s="19"/>
      <c r="N971" s="20"/>
      <c r="O971" s="20"/>
      <c r="P971" s="20"/>
      <c r="Q971" s="20"/>
      <c r="R971" s="20"/>
      <c r="S971" s="20"/>
      <c r="T971" s="708"/>
      <c r="U971" s="708"/>
    </row>
    <row r="972" ht="13.8" spans="1:21">
      <c r="A972" s="19"/>
      <c r="B972" s="20"/>
      <c r="C972" s="20"/>
      <c r="D972" s="19"/>
      <c r="E972" s="19"/>
      <c r="F972" s="19"/>
      <c r="G972" s="19"/>
      <c r="H972" s="19"/>
      <c r="I972" s="19"/>
      <c r="J972" s="20"/>
      <c r="K972" s="19"/>
      <c r="L972" s="19"/>
      <c r="M972" s="19"/>
      <c r="N972" s="20"/>
      <c r="O972" s="20"/>
      <c r="P972" s="20"/>
      <c r="Q972" s="20"/>
      <c r="R972" s="20"/>
      <c r="S972" s="20"/>
      <c r="T972" s="708"/>
      <c r="U972" s="708"/>
    </row>
    <row r="973" ht="13.8" spans="1:21">
      <c r="A973" s="19"/>
      <c r="B973" s="20"/>
      <c r="C973" s="20"/>
      <c r="D973" s="19"/>
      <c r="E973" s="19"/>
      <c r="F973" s="19"/>
      <c r="G973" s="19"/>
      <c r="H973" s="19"/>
      <c r="I973" s="19"/>
      <c r="J973" s="20"/>
      <c r="K973" s="19"/>
      <c r="L973" s="19"/>
      <c r="M973" s="19"/>
      <c r="N973" s="20"/>
      <c r="O973" s="20"/>
      <c r="P973" s="20"/>
      <c r="Q973" s="20"/>
      <c r="R973" s="20"/>
      <c r="S973" s="20"/>
      <c r="T973" s="708"/>
      <c r="U973" s="708"/>
    </row>
    <row r="974" ht="13.8" spans="1:21">
      <c r="A974" s="19"/>
      <c r="B974" s="20"/>
      <c r="C974" s="20"/>
      <c r="D974" s="19"/>
      <c r="E974" s="19"/>
      <c r="F974" s="19"/>
      <c r="G974" s="19"/>
      <c r="H974" s="19"/>
      <c r="I974" s="19"/>
      <c r="J974" s="20"/>
      <c r="K974" s="19"/>
      <c r="L974" s="19"/>
      <c r="M974" s="19"/>
      <c r="N974" s="20"/>
      <c r="O974" s="20"/>
      <c r="P974" s="20"/>
      <c r="Q974" s="20"/>
      <c r="R974" s="20"/>
      <c r="S974" s="20"/>
      <c r="T974" s="708"/>
      <c r="U974" s="708"/>
    </row>
    <row r="975" ht="13.8" spans="1:21">
      <c r="A975" s="19"/>
      <c r="B975" s="20"/>
      <c r="C975" s="20"/>
      <c r="D975" s="19"/>
      <c r="E975" s="19"/>
      <c r="F975" s="19"/>
      <c r="G975" s="19"/>
      <c r="H975" s="19"/>
      <c r="I975" s="19"/>
      <c r="J975" s="20"/>
      <c r="K975" s="19"/>
      <c r="L975" s="19"/>
      <c r="M975" s="19"/>
      <c r="N975" s="20"/>
      <c r="O975" s="20"/>
      <c r="P975" s="20"/>
      <c r="Q975" s="20"/>
      <c r="R975" s="20"/>
      <c r="S975" s="20"/>
      <c r="T975" s="708"/>
      <c r="U975" s="708"/>
    </row>
    <row r="976" ht="13.8" spans="1:21">
      <c r="A976" s="19"/>
      <c r="B976" s="20"/>
      <c r="C976" s="20"/>
      <c r="D976" s="19"/>
      <c r="E976" s="19"/>
      <c r="F976" s="19"/>
      <c r="G976" s="19"/>
      <c r="H976" s="19"/>
      <c r="I976" s="19"/>
      <c r="J976" s="20"/>
      <c r="K976" s="19"/>
      <c r="L976" s="19"/>
      <c r="M976" s="19"/>
      <c r="N976" s="20"/>
      <c r="O976" s="20"/>
      <c r="P976" s="20"/>
      <c r="Q976" s="20"/>
      <c r="R976" s="20"/>
      <c r="S976" s="20"/>
      <c r="T976" s="708"/>
      <c r="U976" s="708"/>
    </row>
    <row r="977" ht="13.8" spans="1:21">
      <c r="A977" s="19"/>
      <c r="B977" s="20"/>
      <c r="C977" s="20"/>
      <c r="D977" s="19"/>
      <c r="E977" s="19"/>
      <c r="F977" s="19"/>
      <c r="G977" s="19"/>
      <c r="H977" s="19"/>
      <c r="I977" s="19"/>
      <c r="J977" s="20"/>
      <c r="K977" s="19"/>
      <c r="L977" s="19"/>
      <c r="M977" s="19"/>
      <c r="N977" s="20"/>
      <c r="O977" s="20"/>
      <c r="P977" s="20"/>
      <c r="Q977" s="20"/>
      <c r="R977" s="20"/>
      <c r="S977" s="20"/>
      <c r="T977" s="708"/>
      <c r="U977" s="708"/>
    </row>
    <row r="978" ht="13.8" spans="1:21">
      <c r="A978" s="19"/>
      <c r="B978" s="20"/>
      <c r="C978" s="20"/>
      <c r="D978" s="19"/>
      <c r="E978" s="19"/>
      <c r="F978" s="19"/>
      <c r="G978" s="19"/>
      <c r="H978" s="19"/>
      <c r="I978" s="19"/>
      <c r="J978" s="20"/>
      <c r="K978" s="19"/>
      <c r="L978" s="19"/>
      <c r="M978" s="19"/>
      <c r="N978" s="20"/>
      <c r="O978" s="20"/>
      <c r="P978" s="20"/>
      <c r="Q978" s="20"/>
      <c r="R978" s="20"/>
      <c r="S978" s="20"/>
      <c r="T978" s="708"/>
      <c r="U978" s="708"/>
    </row>
    <row r="979" ht="13.8" spans="1:21">
      <c r="A979" s="19"/>
      <c r="B979" s="20"/>
      <c r="C979" s="20"/>
      <c r="D979" s="19"/>
      <c r="E979" s="19"/>
      <c r="F979" s="19"/>
      <c r="G979" s="19"/>
      <c r="H979" s="19"/>
      <c r="I979" s="19"/>
      <c r="J979" s="20"/>
      <c r="K979" s="19"/>
      <c r="L979" s="19"/>
      <c r="M979" s="19"/>
      <c r="N979" s="20"/>
      <c r="O979" s="20"/>
      <c r="P979" s="20"/>
      <c r="Q979" s="20"/>
      <c r="R979" s="20"/>
      <c r="S979" s="20"/>
      <c r="T979" s="708"/>
      <c r="U979" s="708"/>
    </row>
    <row r="980" ht="13.8" spans="1:21">
      <c r="A980" s="19"/>
      <c r="B980" s="20"/>
      <c r="C980" s="20"/>
      <c r="D980" s="19"/>
      <c r="E980" s="19"/>
      <c r="F980" s="19"/>
      <c r="G980" s="19"/>
      <c r="H980" s="19"/>
      <c r="I980" s="19"/>
      <c r="J980" s="20"/>
      <c r="K980" s="19"/>
      <c r="L980" s="19"/>
      <c r="M980" s="19"/>
      <c r="N980" s="20"/>
      <c r="O980" s="20"/>
      <c r="P980" s="20"/>
      <c r="Q980" s="20"/>
      <c r="R980" s="20"/>
      <c r="S980" s="20"/>
      <c r="T980" s="708"/>
      <c r="U980" s="708"/>
    </row>
    <row r="981" ht="13.8" spans="1:21">
      <c r="A981" s="19"/>
      <c r="B981" s="20"/>
      <c r="C981" s="20"/>
      <c r="D981" s="19"/>
      <c r="E981" s="19"/>
      <c r="F981" s="19"/>
      <c r="G981" s="19"/>
      <c r="H981" s="19"/>
      <c r="I981" s="19"/>
      <c r="J981" s="20"/>
      <c r="K981" s="19"/>
      <c r="L981" s="19"/>
      <c r="M981" s="19"/>
      <c r="N981" s="20"/>
      <c r="O981" s="20"/>
      <c r="P981" s="20"/>
      <c r="Q981" s="20"/>
      <c r="R981" s="20"/>
      <c r="S981" s="20"/>
      <c r="T981" s="708"/>
      <c r="U981" s="708"/>
    </row>
    <row r="982" ht="13.8" spans="1:21">
      <c r="A982" s="19"/>
      <c r="B982" s="20"/>
      <c r="C982" s="20"/>
      <c r="D982" s="19"/>
      <c r="E982" s="19"/>
      <c r="F982" s="19"/>
      <c r="G982" s="19"/>
      <c r="H982" s="19"/>
      <c r="I982" s="19"/>
      <c r="J982" s="20"/>
      <c r="K982" s="19"/>
      <c r="L982" s="19"/>
      <c r="M982" s="19"/>
      <c r="N982" s="20"/>
      <c r="O982" s="20"/>
      <c r="P982" s="20"/>
      <c r="Q982" s="20"/>
      <c r="R982" s="20"/>
      <c r="S982" s="20"/>
      <c r="T982" s="708"/>
      <c r="U982" s="708"/>
    </row>
    <row r="983" ht="13.8" spans="1:21">
      <c r="A983" s="19"/>
      <c r="B983" s="20"/>
      <c r="C983" s="20"/>
      <c r="D983" s="19"/>
      <c r="E983" s="19"/>
      <c r="F983" s="19"/>
      <c r="G983" s="19"/>
      <c r="H983" s="19"/>
      <c r="I983" s="19"/>
      <c r="J983" s="20"/>
      <c r="K983" s="19"/>
      <c r="L983" s="19"/>
      <c r="M983" s="19"/>
      <c r="N983" s="20"/>
      <c r="O983" s="20"/>
      <c r="P983" s="20"/>
      <c r="Q983" s="20"/>
      <c r="R983" s="20"/>
      <c r="S983" s="20"/>
      <c r="T983" s="708"/>
      <c r="U983" s="708"/>
    </row>
    <row r="984" ht="13.8" spans="1:21">
      <c r="A984" s="19"/>
      <c r="B984" s="20"/>
      <c r="C984" s="20"/>
      <c r="D984" s="19"/>
      <c r="E984" s="19"/>
      <c r="F984" s="19"/>
      <c r="G984" s="19"/>
      <c r="H984" s="19"/>
      <c r="I984" s="19"/>
      <c r="J984" s="20"/>
      <c r="K984" s="19"/>
      <c r="L984" s="19"/>
      <c r="M984" s="19"/>
      <c r="N984" s="20"/>
      <c r="O984" s="20"/>
      <c r="P984" s="20"/>
      <c r="Q984" s="20"/>
      <c r="R984" s="20"/>
      <c r="S984" s="20"/>
      <c r="T984" s="708"/>
      <c r="U984" s="708"/>
    </row>
    <row r="985" ht="13.8" spans="1:21">
      <c r="A985" s="19"/>
      <c r="B985" s="20"/>
      <c r="C985" s="20"/>
      <c r="D985" s="19"/>
      <c r="E985" s="19"/>
      <c r="F985" s="19"/>
      <c r="G985" s="19"/>
      <c r="H985" s="19"/>
      <c r="I985" s="19"/>
      <c r="J985" s="20"/>
      <c r="K985" s="19"/>
      <c r="L985" s="19"/>
      <c r="M985" s="19"/>
      <c r="N985" s="20"/>
      <c r="O985" s="20"/>
      <c r="P985" s="20"/>
      <c r="Q985" s="20"/>
      <c r="R985" s="20"/>
      <c r="S985" s="20"/>
      <c r="T985" s="708"/>
      <c r="U985" s="708"/>
    </row>
    <row r="986" ht="13.8" spans="1:21">
      <c r="A986" s="19"/>
      <c r="B986" s="20"/>
      <c r="C986" s="20"/>
      <c r="D986" s="19"/>
      <c r="E986" s="19"/>
      <c r="F986" s="19"/>
      <c r="G986" s="19"/>
      <c r="H986" s="19"/>
      <c r="I986" s="19"/>
      <c r="J986" s="20"/>
      <c r="K986" s="19"/>
      <c r="L986" s="19"/>
      <c r="M986" s="19"/>
      <c r="N986" s="20"/>
      <c r="O986" s="20"/>
      <c r="P986" s="20"/>
      <c r="Q986" s="20"/>
      <c r="R986" s="20"/>
      <c r="S986" s="20"/>
      <c r="T986" s="708"/>
      <c r="U986" s="708"/>
    </row>
    <row r="987" ht="13.8" spans="1:21">
      <c r="A987" s="19"/>
      <c r="B987" s="20"/>
      <c r="C987" s="20"/>
      <c r="D987" s="19"/>
      <c r="E987" s="19"/>
      <c r="F987" s="19"/>
      <c r="G987" s="19"/>
      <c r="H987" s="19"/>
      <c r="I987" s="19"/>
      <c r="J987" s="20"/>
      <c r="K987" s="19"/>
      <c r="L987" s="19"/>
      <c r="M987" s="19"/>
      <c r="N987" s="20"/>
      <c r="O987" s="20"/>
      <c r="P987" s="20"/>
      <c r="Q987" s="20"/>
      <c r="R987" s="20"/>
      <c r="S987" s="20"/>
      <c r="T987" s="708"/>
      <c r="U987" s="708"/>
    </row>
    <row r="988" ht="13.8" spans="1:21">
      <c r="A988" s="19"/>
      <c r="B988" s="20"/>
      <c r="C988" s="20"/>
      <c r="D988" s="19"/>
      <c r="E988" s="19"/>
      <c r="F988" s="19"/>
      <c r="G988" s="19"/>
      <c r="H988" s="19"/>
      <c r="I988" s="19"/>
      <c r="J988" s="20"/>
      <c r="K988" s="19"/>
      <c r="L988" s="19"/>
      <c r="M988" s="19"/>
      <c r="N988" s="20"/>
      <c r="O988" s="20"/>
      <c r="P988" s="20"/>
      <c r="Q988" s="20"/>
      <c r="R988" s="20"/>
      <c r="S988" s="20"/>
      <c r="T988" s="708"/>
      <c r="U988" s="708"/>
    </row>
    <row r="989" ht="13.8" spans="1:21">
      <c r="A989" s="19"/>
      <c r="B989" s="20"/>
      <c r="C989" s="20"/>
      <c r="D989" s="19"/>
      <c r="E989" s="19"/>
      <c r="F989" s="19"/>
      <c r="G989" s="19"/>
      <c r="H989" s="19"/>
      <c r="I989" s="19"/>
      <c r="J989" s="20"/>
      <c r="K989" s="19"/>
      <c r="L989" s="19"/>
      <c r="M989" s="19"/>
      <c r="N989" s="20"/>
      <c r="O989" s="20"/>
      <c r="P989" s="20"/>
      <c r="Q989" s="20"/>
      <c r="R989" s="20"/>
      <c r="S989" s="20"/>
      <c r="T989" s="708"/>
      <c r="U989" s="708"/>
    </row>
    <row r="990" ht="13.8" spans="1:21">
      <c r="A990" s="19"/>
      <c r="B990" s="20"/>
      <c r="C990" s="20"/>
      <c r="D990" s="19"/>
      <c r="E990" s="19"/>
      <c r="F990" s="19"/>
      <c r="G990" s="19"/>
      <c r="H990" s="19"/>
      <c r="I990" s="19"/>
      <c r="J990" s="20"/>
      <c r="K990" s="19"/>
      <c r="L990" s="19"/>
      <c r="M990" s="19"/>
      <c r="N990" s="20"/>
      <c r="O990" s="20"/>
      <c r="P990" s="20"/>
      <c r="Q990" s="20"/>
      <c r="R990" s="20"/>
      <c r="S990" s="20"/>
      <c r="T990" s="708"/>
      <c r="U990" s="708"/>
    </row>
    <row r="991" ht="13.8" spans="1:21">
      <c r="A991" s="19"/>
      <c r="B991" s="20"/>
      <c r="C991" s="20"/>
      <c r="D991" s="19"/>
      <c r="E991" s="19"/>
      <c r="F991" s="19"/>
      <c r="G991" s="19"/>
      <c r="H991" s="19"/>
      <c r="I991" s="19"/>
      <c r="J991" s="20"/>
      <c r="K991" s="19"/>
      <c r="L991" s="19"/>
      <c r="M991" s="19"/>
      <c r="N991" s="20"/>
      <c r="O991" s="20"/>
      <c r="P991" s="20"/>
      <c r="Q991" s="20"/>
      <c r="R991" s="20"/>
      <c r="S991" s="20"/>
      <c r="T991" s="708"/>
      <c r="U991" s="708"/>
    </row>
    <row r="992" ht="13.8" spans="1:21">
      <c r="A992" s="19"/>
      <c r="B992" s="20"/>
      <c r="C992" s="20"/>
      <c r="D992" s="19"/>
      <c r="E992" s="19"/>
      <c r="F992" s="19"/>
      <c r="G992" s="19"/>
      <c r="H992" s="19"/>
      <c r="I992" s="19"/>
      <c r="J992" s="20"/>
      <c r="K992" s="19"/>
      <c r="L992" s="19"/>
      <c r="M992" s="19"/>
      <c r="N992" s="20"/>
      <c r="O992" s="20"/>
      <c r="P992" s="20"/>
      <c r="Q992" s="20"/>
      <c r="R992" s="20"/>
      <c r="S992" s="20"/>
      <c r="T992" s="708"/>
      <c r="U992" s="708"/>
    </row>
    <row r="993" ht="13.8" spans="1:21">
      <c r="A993" s="19"/>
      <c r="B993" s="20"/>
      <c r="C993" s="20"/>
      <c r="D993" s="19"/>
      <c r="E993" s="19"/>
      <c r="F993" s="19"/>
      <c r="G993" s="19"/>
      <c r="H993" s="19"/>
      <c r="I993" s="19"/>
      <c r="J993" s="20"/>
      <c r="K993" s="19"/>
      <c r="L993" s="19"/>
      <c r="M993" s="19"/>
      <c r="N993" s="20"/>
      <c r="O993" s="20"/>
      <c r="P993" s="20"/>
      <c r="Q993" s="20"/>
      <c r="R993" s="20"/>
      <c r="S993" s="20"/>
      <c r="T993" s="708"/>
      <c r="U993" s="708"/>
    </row>
    <row r="994" ht="13.8" spans="1:21">
      <c r="A994" s="19"/>
      <c r="B994" s="20"/>
      <c r="C994" s="20"/>
      <c r="D994" s="19"/>
      <c r="E994" s="19"/>
      <c r="F994" s="19"/>
      <c r="G994" s="19"/>
      <c r="H994" s="19"/>
      <c r="I994" s="19"/>
      <c r="J994" s="20"/>
      <c r="K994" s="19"/>
      <c r="L994" s="19"/>
      <c r="M994" s="19"/>
      <c r="N994" s="20"/>
      <c r="O994" s="20"/>
      <c r="P994" s="20"/>
      <c r="Q994" s="20"/>
      <c r="R994" s="20"/>
      <c r="S994" s="20"/>
      <c r="T994" s="708"/>
      <c r="U994" s="708"/>
    </row>
    <row r="995" ht="13.8" spans="1:21">
      <c r="A995" s="19"/>
      <c r="B995" s="20"/>
      <c r="C995" s="20"/>
      <c r="D995" s="19"/>
      <c r="E995" s="19"/>
      <c r="F995" s="19"/>
      <c r="G995" s="19"/>
      <c r="H995" s="19"/>
      <c r="I995" s="19"/>
      <c r="J995" s="20"/>
      <c r="K995" s="19"/>
      <c r="L995" s="19"/>
      <c r="M995" s="19"/>
      <c r="N995" s="20"/>
      <c r="O995" s="20"/>
      <c r="P995" s="20"/>
      <c r="Q995" s="20"/>
      <c r="R995" s="20"/>
      <c r="S995" s="20"/>
      <c r="T995" s="708"/>
      <c r="U995" s="708"/>
    </row>
    <row r="996" ht="13.8" spans="1:21">
      <c r="A996" s="19"/>
      <c r="B996" s="20"/>
      <c r="C996" s="20"/>
      <c r="D996" s="19"/>
      <c r="E996" s="19"/>
      <c r="F996" s="19"/>
      <c r="G996" s="19"/>
      <c r="H996" s="19"/>
      <c r="I996" s="19"/>
      <c r="J996" s="20"/>
      <c r="K996" s="19"/>
      <c r="L996" s="19"/>
      <c r="M996" s="19"/>
      <c r="N996" s="20"/>
      <c r="O996" s="20"/>
      <c r="P996" s="20"/>
      <c r="Q996" s="20"/>
      <c r="R996" s="20"/>
      <c r="S996" s="20"/>
      <c r="T996" s="708"/>
      <c r="U996" s="708"/>
    </row>
    <row r="997" ht="13.8" spans="1:21">
      <c r="A997" s="19"/>
      <c r="B997" s="20"/>
      <c r="C997" s="20"/>
      <c r="D997" s="19"/>
      <c r="E997" s="19"/>
      <c r="F997" s="19"/>
      <c r="G997" s="19"/>
      <c r="H997" s="19"/>
      <c r="I997" s="19"/>
      <c r="J997" s="20"/>
      <c r="K997" s="19"/>
      <c r="L997" s="19"/>
      <c r="M997" s="19"/>
      <c r="N997" s="20"/>
      <c r="O997" s="20"/>
      <c r="P997" s="20"/>
      <c r="Q997" s="20"/>
      <c r="R997" s="20"/>
      <c r="S997" s="20"/>
      <c r="T997" s="708"/>
      <c r="U997" s="708"/>
    </row>
    <row r="998" ht="13.8" spans="1:21">
      <c r="A998" s="19"/>
      <c r="B998" s="20"/>
      <c r="C998" s="20"/>
      <c r="D998" s="19"/>
      <c r="E998" s="19"/>
      <c r="F998" s="19"/>
      <c r="G998" s="19"/>
      <c r="H998" s="19"/>
      <c r="I998" s="19"/>
      <c r="J998" s="20"/>
      <c r="K998" s="19"/>
      <c r="L998" s="19"/>
      <c r="M998" s="19"/>
      <c r="N998" s="20"/>
      <c r="O998" s="20"/>
      <c r="P998" s="20"/>
      <c r="Q998" s="20"/>
      <c r="R998" s="20"/>
      <c r="S998" s="20"/>
      <c r="T998" s="708"/>
      <c r="U998" s="708"/>
    </row>
    <row r="999" ht="13.8" spans="1:21">
      <c r="A999" s="19"/>
      <c r="B999" s="20"/>
      <c r="C999" s="20"/>
      <c r="D999" s="19"/>
      <c r="E999" s="19"/>
      <c r="F999" s="19"/>
      <c r="G999" s="19"/>
      <c r="H999" s="19"/>
      <c r="I999" s="19"/>
      <c r="J999" s="20"/>
      <c r="K999" s="19"/>
      <c r="L999" s="19"/>
      <c r="M999" s="19"/>
      <c r="N999" s="20"/>
      <c r="O999" s="20"/>
      <c r="P999" s="20"/>
      <c r="Q999" s="20"/>
      <c r="R999" s="20"/>
      <c r="S999" s="20"/>
      <c r="T999" s="708"/>
      <c r="U999" s="708"/>
    </row>
    <row r="1000" ht="13.8" spans="1:21">
      <c r="A1000" s="19"/>
      <c r="B1000" s="20"/>
      <c r="C1000" s="20"/>
      <c r="D1000" s="19"/>
      <c r="E1000" s="19"/>
      <c r="F1000" s="19"/>
      <c r="G1000" s="19"/>
      <c r="H1000" s="19"/>
      <c r="I1000" s="19"/>
      <c r="J1000" s="20"/>
      <c r="K1000" s="19"/>
      <c r="L1000" s="19"/>
      <c r="M1000" s="19"/>
      <c r="N1000" s="20"/>
      <c r="O1000" s="20"/>
      <c r="P1000" s="20"/>
      <c r="Q1000" s="20"/>
      <c r="R1000" s="20"/>
      <c r="S1000" s="20"/>
      <c r="T1000" s="708"/>
      <c r="U1000" s="708"/>
    </row>
    <row r="1001" ht="13.8" spans="1:21">
      <c r="A1001" s="19"/>
      <c r="B1001" s="20"/>
      <c r="C1001" s="20"/>
      <c r="D1001" s="19"/>
      <c r="E1001" s="19"/>
      <c r="F1001" s="19"/>
      <c r="G1001" s="19"/>
      <c r="H1001" s="19"/>
      <c r="I1001" s="19"/>
      <c r="J1001" s="20"/>
      <c r="K1001" s="19"/>
      <c r="L1001" s="19"/>
      <c r="M1001" s="19"/>
      <c r="N1001" s="20"/>
      <c r="O1001" s="20"/>
      <c r="P1001" s="20"/>
      <c r="Q1001" s="20"/>
      <c r="R1001" s="20"/>
      <c r="S1001" s="20"/>
      <c r="T1001" s="708"/>
      <c r="U1001" s="708"/>
    </row>
    <row r="1002" ht="13.8" spans="1:21">
      <c r="A1002" s="19"/>
      <c r="B1002" s="20"/>
      <c r="C1002" s="20"/>
      <c r="D1002" s="19"/>
      <c r="E1002" s="19"/>
      <c r="F1002" s="19"/>
      <c r="G1002" s="19"/>
      <c r="H1002" s="19"/>
      <c r="I1002" s="19"/>
      <c r="J1002" s="20"/>
      <c r="K1002" s="19"/>
      <c r="L1002" s="19"/>
      <c r="M1002" s="19"/>
      <c r="N1002" s="20"/>
      <c r="O1002" s="20"/>
      <c r="P1002" s="20"/>
      <c r="Q1002" s="20"/>
      <c r="R1002" s="20"/>
      <c r="S1002" s="20"/>
      <c r="T1002" s="708"/>
      <c r="U1002" s="708"/>
    </row>
    <row r="1003" ht="13.8" spans="1:21">
      <c r="A1003" s="19"/>
      <c r="B1003" s="20"/>
      <c r="C1003" s="20"/>
      <c r="D1003" s="19"/>
      <c r="E1003" s="19"/>
      <c r="F1003" s="19"/>
      <c r="G1003" s="19"/>
      <c r="H1003" s="19"/>
      <c r="I1003" s="19"/>
      <c r="J1003" s="20"/>
      <c r="K1003" s="19"/>
      <c r="L1003" s="19"/>
      <c r="M1003" s="19"/>
      <c r="N1003" s="20"/>
      <c r="O1003" s="20"/>
      <c r="P1003" s="20"/>
      <c r="Q1003" s="20"/>
      <c r="R1003" s="20"/>
      <c r="S1003" s="20"/>
      <c r="T1003" s="708"/>
      <c r="U1003" s="708"/>
    </row>
    <row r="1004" ht="13.8" spans="1:21">
      <c r="A1004" s="19"/>
      <c r="B1004" s="20"/>
      <c r="C1004" s="20"/>
      <c r="D1004" s="19"/>
      <c r="E1004" s="19"/>
      <c r="F1004" s="19"/>
      <c r="G1004" s="19"/>
      <c r="H1004" s="19"/>
      <c r="I1004" s="19"/>
      <c r="J1004" s="20"/>
      <c r="K1004" s="19"/>
      <c r="L1004" s="19"/>
      <c r="M1004" s="19"/>
      <c r="N1004" s="20"/>
      <c r="O1004" s="20"/>
      <c r="P1004" s="20"/>
      <c r="Q1004" s="20"/>
      <c r="R1004" s="20"/>
      <c r="S1004" s="20"/>
      <c r="T1004" s="708"/>
      <c r="U1004" s="708"/>
    </row>
    <row r="1005" ht="13.8" spans="1:21">
      <c r="A1005" s="19"/>
      <c r="B1005" s="20"/>
      <c r="C1005" s="20"/>
      <c r="D1005" s="19"/>
      <c r="E1005" s="19"/>
      <c r="F1005" s="19"/>
      <c r="G1005" s="19"/>
      <c r="H1005" s="19"/>
      <c r="I1005" s="19"/>
      <c r="J1005" s="20"/>
      <c r="K1005" s="19"/>
      <c r="L1005" s="19"/>
      <c r="M1005" s="19"/>
      <c r="N1005" s="20"/>
      <c r="O1005" s="20"/>
      <c r="P1005" s="20"/>
      <c r="Q1005" s="20"/>
      <c r="R1005" s="20"/>
      <c r="S1005" s="20"/>
      <c r="T1005" s="708"/>
      <c r="U1005" s="708"/>
    </row>
    <row r="1006" ht="13.8" spans="1:21">
      <c r="A1006" s="19"/>
      <c r="B1006" s="20"/>
      <c r="C1006" s="20"/>
      <c r="D1006" s="19"/>
      <c r="E1006" s="19"/>
      <c r="F1006" s="19"/>
      <c r="G1006" s="19"/>
      <c r="H1006" s="19"/>
      <c r="I1006" s="19"/>
      <c r="J1006" s="20"/>
      <c r="K1006" s="19"/>
      <c r="L1006" s="19"/>
      <c r="M1006" s="19"/>
      <c r="N1006" s="20"/>
      <c r="O1006" s="20"/>
      <c r="P1006" s="20"/>
      <c r="Q1006" s="20"/>
      <c r="R1006" s="20"/>
      <c r="S1006" s="20"/>
      <c r="T1006" s="708"/>
      <c r="U1006" s="708"/>
    </row>
    <row r="1007" ht="13.8" spans="1:21">
      <c r="A1007" s="19"/>
      <c r="B1007" s="20"/>
      <c r="C1007" s="20"/>
      <c r="D1007" s="19"/>
      <c r="E1007" s="19"/>
      <c r="F1007" s="19"/>
      <c r="G1007" s="19"/>
      <c r="H1007" s="19"/>
      <c r="I1007" s="19"/>
      <c r="J1007" s="20"/>
      <c r="K1007" s="19"/>
      <c r="L1007" s="19"/>
      <c r="M1007" s="19"/>
      <c r="N1007" s="20"/>
      <c r="O1007" s="20"/>
      <c r="P1007" s="20"/>
      <c r="Q1007" s="20"/>
      <c r="R1007" s="20"/>
      <c r="S1007" s="20"/>
      <c r="T1007" s="708"/>
      <c r="U1007" s="708"/>
    </row>
    <row r="1008" ht="13.8" spans="1:21">
      <c r="A1008" s="19"/>
      <c r="B1008" s="20"/>
      <c r="C1008" s="20"/>
      <c r="D1008" s="19"/>
      <c r="E1008" s="19"/>
      <c r="F1008" s="19"/>
      <c r="G1008" s="19"/>
      <c r="H1008" s="19"/>
      <c r="I1008" s="19"/>
      <c r="J1008" s="20"/>
      <c r="K1008" s="19"/>
      <c r="L1008" s="19"/>
      <c r="M1008" s="19"/>
      <c r="N1008" s="20"/>
      <c r="O1008" s="20"/>
      <c r="P1008" s="20"/>
      <c r="Q1008" s="20"/>
      <c r="R1008" s="20"/>
      <c r="S1008" s="20"/>
      <c r="T1008" s="708"/>
      <c r="U1008" s="708"/>
    </row>
    <row r="1009" ht="13.8" spans="1:21">
      <c r="A1009" s="19"/>
      <c r="B1009" s="20"/>
      <c r="C1009" s="20"/>
      <c r="D1009" s="19"/>
      <c r="E1009" s="19"/>
      <c r="F1009" s="19"/>
      <c r="G1009" s="19"/>
      <c r="H1009" s="19"/>
      <c r="I1009" s="19"/>
      <c r="J1009" s="20"/>
      <c r="K1009" s="19"/>
      <c r="L1009" s="19"/>
      <c r="M1009" s="19"/>
      <c r="N1009" s="20"/>
      <c r="O1009" s="20"/>
      <c r="P1009" s="20"/>
      <c r="Q1009" s="20"/>
      <c r="R1009" s="20"/>
      <c r="S1009" s="20"/>
      <c r="T1009" s="708"/>
      <c r="U1009" s="708"/>
    </row>
    <row r="1010" ht="13.8" spans="1:21">
      <c r="A1010" s="19"/>
      <c r="B1010" s="20"/>
      <c r="C1010" s="20"/>
      <c r="D1010" s="19"/>
      <c r="E1010" s="19"/>
      <c r="F1010" s="19"/>
      <c r="G1010" s="19"/>
      <c r="H1010" s="19"/>
      <c r="I1010" s="19"/>
      <c r="J1010" s="20"/>
      <c r="K1010" s="19"/>
      <c r="L1010" s="19"/>
      <c r="M1010" s="19"/>
      <c r="N1010" s="20"/>
      <c r="O1010" s="20"/>
      <c r="P1010" s="20"/>
      <c r="Q1010" s="20"/>
      <c r="R1010" s="20"/>
      <c r="S1010" s="20"/>
      <c r="T1010" s="708"/>
      <c r="U1010" s="708"/>
    </row>
    <row r="1011" ht="13.8" spans="1:21">
      <c r="A1011" s="19"/>
      <c r="B1011" s="20"/>
      <c r="C1011" s="20"/>
      <c r="D1011" s="19"/>
      <c r="E1011" s="19"/>
      <c r="F1011" s="19"/>
      <c r="G1011" s="19"/>
      <c r="H1011" s="19"/>
      <c r="I1011" s="19"/>
      <c r="J1011" s="20"/>
      <c r="K1011" s="19"/>
      <c r="L1011" s="19"/>
      <c r="M1011" s="19"/>
      <c r="N1011" s="20"/>
      <c r="O1011" s="20"/>
      <c r="P1011" s="20"/>
      <c r="Q1011" s="20"/>
      <c r="R1011" s="20"/>
      <c r="S1011" s="20"/>
      <c r="T1011" s="708"/>
      <c r="U1011" s="708"/>
    </row>
    <row r="1012" ht="13.8" spans="1:21">
      <c r="A1012" s="19"/>
      <c r="B1012" s="20"/>
      <c r="C1012" s="20"/>
      <c r="D1012" s="19"/>
      <c r="E1012" s="19"/>
      <c r="F1012" s="19"/>
      <c r="G1012" s="19"/>
      <c r="H1012" s="19"/>
      <c r="I1012" s="19"/>
      <c r="J1012" s="20"/>
      <c r="K1012" s="19"/>
      <c r="L1012" s="19"/>
      <c r="M1012" s="19"/>
      <c r="N1012" s="20"/>
      <c r="O1012" s="20"/>
      <c r="P1012" s="20"/>
      <c r="Q1012" s="20"/>
      <c r="R1012" s="20"/>
      <c r="S1012" s="20"/>
      <c r="T1012" s="708"/>
      <c r="U1012" s="708"/>
    </row>
    <row r="1013" ht="13.8" spans="1:21">
      <c r="A1013" s="19"/>
      <c r="B1013" s="20"/>
      <c r="C1013" s="20"/>
      <c r="D1013" s="19"/>
      <c r="E1013" s="19"/>
      <c r="F1013" s="19"/>
      <c r="G1013" s="19"/>
      <c r="H1013" s="19"/>
      <c r="I1013" s="19"/>
      <c r="J1013" s="20"/>
      <c r="K1013" s="19"/>
      <c r="L1013" s="19"/>
      <c r="M1013" s="19"/>
      <c r="N1013" s="20"/>
      <c r="O1013" s="20"/>
      <c r="P1013" s="20"/>
      <c r="Q1013" s="20"/>
      <c r="R1013" s="20"/>
      <c r="S1013" s="20"/>
      <c r="T1013" s="708"/>
      <c r="U1013" s="708"/>
    </row>
    <row r="1014" ht="13.8" spans="1:21">
      <c r="A1014" s="19"/>
      <c r="B1014" s="20"/>
      <c r="C1014" s="20"/>
      <c r="D1014" s="19"/>
      <c r="E1014" s="19"/>
      <c r="F1014" s="19"/>
      <c r="G1014" s="19"/>
      <c r="H1014" s="19"/>
      <c r="I1014" s="19"/>
      <c r="J1014" s="20"/>
      <c r="K1014" s="19"/>
      <c r="L1014" s="19"/>
      <c r="M1014" s="19"/>
      <c r="N1014" s="20"/>
      <c r="O1014" s="20"/>
      <c r="P1014" s="20"/>
      <c r="Q1014" s="20"/>
      <c r="R1014" s="20"/>
      <c r="S1014" s="20"/>
      <c r="T1014" s="708"/>
      <c r="U1014" s="708"/>
    </row>
    <row r="1015" ht="13.8" spans="1:21">
      <c r="A1015" s="19"/>
      <c r="B1015" s="20"/>
      <c r="C1015" s="20"/>
      <c r="D1015" s="19"/>
      <c r="E1015" s="19"/>
      <c r="F1015" s="19"/>
      <c r="G1015" s="19"/>
      <c r="H1015" s="19"/>
      <c r="I1015" s="19"/>
      <c r="J1015" s="20"/>
      <c r="K1015" s="19"/>
      <c r="L1015" s="19"/>
      <c r="M1015" s="19"/>
      <c r="N1015" s="20"/>
      <c r="O1015" s="20"/>
      <c r="P1015" s="20"/>
      <c r="Q1015" s="20"/>
      <c r="R1015" s="20"/>
      <c r="S1015" s="20"/>
      <c r="T1015" s="708"/>
      <c r="U1015" s="708"/>
    </row>
    <row r="1016" ht="13.8" spans="1:21">
      <c r="A1016" s="19"/>
      <c r="B1016" s="20"/>
      <c r="C1016" s="20"/>
      <c r="D1016" s="19"/>
      <c r="E1016" s="19"/>
      <c r="F1016" s="19"/>
      <c r="G1016" s="19"/>
      <c r="H1016" s="19"/>
      <c r="I1016" s="19"/>
      <c r="J1016" s="20"/>
      <c r="K1016" s="19"/>
      <c r="L1016" s="19"/>
      <c r="M1016" s="19"/>
      <c r="N1016" s="20"/>
      <c r="O1016" s="20"/>
      <c r="P1016" s="20"/>
      <c r="Q1016" s="20"/>
      <c r="R1016" s="20"/>
      <c r="S1016" s="20"/>
      <c r="T1016" s="708"/>
      <c r="U1016" s="708"/>
    </row>
    <row r="1017" ht="13.8" spans="1:21">
      <c r="A1017" s="19"/>
      <c r="B1017" s="20"/>
      <c r="C1017" s="20"/>
      <c r="D1017" s="19"/>
      <c r="E1017" s="19"/>
      <c r="F1017" s="19"/>
      <c r="G1017" s="19"/>
      <c r="H1017" s="19"/>
      <c r="I1017" s="19"/>
      <c r="J1017" s="20"/>
      <c r="K1017" s="19"/>
      <c r="L1017" s="19"/>
      <c r="M1017" s="19"/>
      <c r="N1017" s="20"/>
      <c r="O1017" s="20"/>
      <c r="P1017" s="20"/>
      <c r="Q1017" s="20"/>
      <c r="R1017" s="20"/>
      <c r="S1017" s="20"/>
      <c r="T1017" s="708"/>
      <c r="U1017" s="708"/>
    </row>
    <row r="1018" ht="13.8" spans="1:21">
      <c r="A1018" s="19"/>
      <c r="B1018" s="20"/>
      <c r="C1018" s="20"/>
      <c r="D1018" s="19"/>
      <c r="E1018" s="19"/>
      <c r="F1018" s="19"/>
      <c r="G1018" s="19"/>
      <c r="H1018" s="19"/>
      <c r="I1018" s="19"/>
      <c r="J1018" s="20"/>
      <c r="K1018" s="19"/>
      <c r="L1018" s="19"/>
      <c r="M1018" s="19"/>
      <c r="N1018" s="20"/>
      <c r="O1018" s="20"/>
      <c r="P1018" s="20"/>
      <c r="Q1018" s="20"/>
      <c r="R1018" s="20"/>
      <c r="S1018" s="20"/>
      <c r="T1018" s="708"/>
      <c r="U1018" s="708"/>
    </row>
    <row r="1019" ht="13.8" spans="1:21">
      <c r="A1019" s="19"/>
      <c r="B1019" s="20"/>
      <c r="C1019" s="20"/>
      <c r="D1019" s="19"/>
      <c r="E1019" s="19"/>
      <c r="F1019" s="19"/>
      <c r="G1019" s="19"/>
      <c r="H1019" s="19"/>
      <c r="I1019" s="19"/>
      <c r="J1019" s="20"/>
      <c r="K1019" s="19"/>
      <c r="L1019" s="19"/>
      <c r="M1019" s="19"/>
      <c r="N1019" s="20"/>
      <c r="O1019" s="20"/>
      <c r="P1019" s="20"/>
      <c r="Q1019" s="20"/>
      <c r="R1019" s="20"/>
      <c r="S1019" s="20"/>
      <c r="T1019" s="708"/>
      <c r="U1019" s="708"/>
    </row>
    <row r="1020" ht="13.8" spans="1:21">
      <c r="A1020" s="19"/>
      <c r="B1020" s="20"/>
      <c r="C1020" s="20"/>
      <c r="D1020" s="19"/>
      <c r="E1020" s="19"/>
      <c r="F1020" s="19"/>
      <c r="G1020" s="19"/>
      <c r="H1020" s="19"/>
      <c r="I1020" s="19"/>
      <c r="J1020" s="20"/>
      <c r="K1020" s="19"/>
      <c r="L1020" s="19"/>
      <c r="M1020" s="19"/>
      <c r="N1020" s="20"/>
      <c r="O1020" s="20"/>
      <c r="P1020" s="20"/>
      <c r="Q1020" s="20"/>
      <c r="R1020" s="20"/>
      <c r="S1020" s="20"/>
      <c r="T1020" s="708"/>
      <c r="U1020" s="708"/>
    </row>
    <row r="1021" ht="13.8" spans="1:21">
      <c r="A1021" s="19"/>
      <c r="B1021" s="20"/>
      <c r="C1021" s="20"/>
      <c r="D1021" s="19"/>
      <c r="E1021" s="19"/>
      <c r="F1021" s="19"/>
      <c r="G1021" s="19"/>
      <c r="H1021" s="19"/>
      <c r="I1021" s="19"/>
      <c r="J1021" s="20"/>
      <c r="K1021" s="19"/>
      <c r="L1021" s="19"/>
      <c r="M1021" s="19"/>
      <c r="N1021" s="20"/>
      <c r="O1021" s="20"/>
      <c r="P1021" s="20"/>
      <c r="Q1021" s="20"/>
      <c r="R1021" s="20"/>
      <c r="S1021" s="20"/>
      <c r="T1021" s="708"/>
      <c r="U1021" s="708"/>
    </row>
    <row r="1022" ht="13.8" spans="1:21">
      <c r="A1022" s="19"/>
      <c r="B1022" s="20"/>
      <c r="C1022" s="20"/>
      <c r="D1022" s="19"/>
      <c r="E1022" s="19"/>
      <c r="F1022" s="19"/>
      <c r="G1022" s="19"/>
      <c r="H1022" s="19"/>
      <c r="I1022" s="19"/>
      <c r="J1022" s="20"/>
      <c r="K1022" s="19"/>
      <c r="L1022" s="19"/>
      <c r="M1022" s="19"/>
      <c r="N1022" s="20"/>
      <c r="O1022" s="20"/>
      <c r="P1022" s="20"/>
      <c r="Q1022" s="20"/>
      <c r="R1022" s="20"/>
      <c r="S1022" s="20"/>
      <c r="T1022" s="708"/>
      <c r="U1022" s="708"/>
    </row>
    <row r="1023" ht="13.8" spans="1:21">
      <c r="A1023" s="19"/>
      <c r="B1023" s="20"/>
      <c r="C1023" s="20"/>
      <c r="D1023" s="19"/>
      <c r="E1023" s="19"/>
      <c r="F1023" s="19"/>
      <c r="G1023" s="19"/>
      <c r="H1023" s="19"/>
      <c r="I1023" s="19"/>
      <c r="J1023" s="20"/>
      <c r="K1023" s="19"/>
      <c r="L1023" s="19"/>
      <c r="M1023" s="19"/>
      <c r="N1023" s="20"/>
      <c r="O1023" s="20"/>
      <c r="P1023" s="20"/>
      <c r="Q1023" s="20"/>
      <c r="R1023" s="20"/>
      <c r="S1023" s="20"/>
      <c r="T1023" s="708"/>
      <c r="U1023" s="708"/>
    </row>
    <row r="1024" ht="13.8" spans="1:21">
      <c r="A1024" s="19"/>
      <c r="B1024" s="20"/>
      <c r="C1024" s="20"/>
      <c r="D1024" s="19"/>
      <c r="E1024" s="19"/>
      <c r="F1024" s="19"/>
      <c r="G1024" s="19"/>
      <c r="H1024" s="19"/>
      <c r="I1024" s="19"/>
      <c r="J1024" s="20"/>
      <c r="K1024" s="19"/>
      <c r="L1024" s="19"/>
      <c r="M1024" s="19"/>
      <c r="N1024" s="20"/>
      <c r="O1024" s="20"/>
      <c r="P1024" s="20"/>
      <c r="Q1024" s="20"/>
      <c r="R1024" s="20"/>
      <c r="S1024" s="20"/>
      <c r="T1024" s="708"/>
      <c r="U1024" s="708"/>
    </row>
    <row r="1025" ht="13.8" spans="1:21">
      <c r="A1025" s="19"/>
      <c r="B1025" s="20"/>
      <c r="C1025" s="20"/>
      <c r="D1025" s="19"/>
      <c r="E1025" s="19"/>
      <c r="F1025" s="19"/>
      <c r="G1025" s="19"/>
      <c r="H1025" s="19"/>
      <c r="I1025" s="19"/>
      <c r="J1025" s="20"/>
      <c r="K1025" s="19"/>
      <c r="L1025" s="19"/>
      <c r="M1025" s="19"/>
      <c r="N1025" s="20"/>
      <c r="O1025" s="20"/>
      <c r="P1025" s="20"/>
      <c r="Q1025" s="20"/>
      <c r="R1025" s="20"/>
      <c r="S1025" s="20"/>
      <c r="T1025" s="708"/>
      <c r="U1025" s="708"/>
    </row>
    <row r="1026" ht="13.8" spans="1:21">
      <c r="A1026" s="19"/>
      <c r="B1026" s="20"/>
      <c r="C1026" s="20"/>
      <c r="D1026" s="19"/>
      <c r="E1026" s="19"/>
      <c r="F1026" s="19"/>
      <c r="G1026" s="19"/>
      <c r="H1026" s="19"/>
      <c r="I1026" s="19"/>
      <c r="J1026" s="20"/>
      <c r="K1026" s="19"/>
      <c r="L1026" s="19"/>
      <c r="M1026" s="19"/>
      <c r="N1026" s="20"/>
      <c r="O1026" s="20"/>
      <c r="P1026" s="20"/>
      <c r="Q1026" s="20"/>
      <c r="R1026" s="20"/>
      <c r="S1026" s="20"/>
      <c r="T1026" s="708"/>
      <c r="U1026" s="708"/>
    </row>
    <row r="1027" ht="13.8" spans="1:21">
      <c r="A1027" s="19"/>
      <c r="B1027" s="20"/>
      <c r="C1027" s="20"/>
      <c r="D1027" s="19"/>
      <c r="E1027" s="19"/>
      <c r="F1027" s="19"/>
      <c r="G1027" s="19"/>
      <c r="H1027" s="19"/>
      <c r="I1027" s="19"/>
      <c r="J1027" s="20"/>
      <c r="K1027" s="19"/>
      <c r="L1027" s="19"/>
      <c r="M1027" s="19"/>
      <c r="N1027" s="20"/>
      <c r="O1027" s="20"/>
      <c r="P1027" s="20"/>
      <c r="Q1027" s="20"/>
      <c r="R1027" s="20"/>
      <c r="S1027" s="20"/>
      <c r="T1027" s="708"/>
      <c r="U1027" s="708"/>
    </row>
    <row r="1028" ht="13.8" spans="1:21">
      <c r="A1028" s="19"/>
      <c r="B1028" s="20"/>
      <c r="C1028" s="20"/>
      <c r="D1028" s="19"/>
      <c r="E1028" s="19"/>
      <c r="F1028" s="19"/>
      <c r="G1028" s="19"/>
      <c r="H1028" s="19"/>
      <c r="I1028" s="19"/>
      <c r="J1028" s="20"/>
      <c r="K1028" s="19"/>
      <c r="L1028" s="19"/>
      <c r="M1028" s="19"/>
      <c r="N1028" s="20"/>
      <c r="O1028" s="20"/>
      <c r="P1028" s="20"/>
      <c r="Q1028" s="20"/>
      <c r="R1028" s="20"/>
      <c r="S1028" s="20"/>
      <c r="T1028" s="708"/>
      <c r="U1028" s="708"/>
    </row>
    <row r="1029" ht="13.8" spans="1:21">
      <c r="A1029" s="19"/>
      <c r="B1029" s="20"/>
      <c r="C1029" s="20"/>
      <c r="D1029" s="19"/>
      <c r="E1029" s="19"/>
      <c r="F1029" s="19"/>
      <c r="G1029" s="19"/>
      <c r="H1029" s="19"/>
      <c r="I1029" s="19"/>
      <c r="J1029" s="20"/>
      <c r="K1029" s="19"/>
      <c r="L1029" s="19"/>
      <c r="M1029" s="19"/>
      <c r="N1029" s="20"/>
      <c r="O1029" s="20"/>
      <c r="P1029" s="20"/>
      <c r="Q1029" s="20"/>
      <c r="R1029" s="20"/>
      <c r="S1029" s="20"/>
      <c r="T1029" s="708"/>
      <c r="U1029" s="708"/>
    </row>
    <row r="1030" ht="13.8" spans="1:21">
      <c r="A1030" s="19"/>
      <c r="B1030" s="20"/>
      <c r="C1030" s="20"/>
      <c r="D1030" s="19"/>
      <c r="E1030" s="19"/>
      <c r="F1030" s="19"/>
      <c r="G1030" s="19"/>
      <c r="H1030" s="19"/>
      <c r="I1030" s="19"/>
      <c r="J1030" s="20"/>
      <c r="K1030" s="19"/>
      <c r="L1030" s="19"/>
      <c r="M1030" s="19"/>
      <c r="N1030" s="20"/>
      <c r="O1030" s="20"/>
      <c r="P1030" s="20"/>
      <c r="Q1030" s="20"/>
      <c r="R1030" s="20"/>
      <c r="S1030" s="20"/>
      <c r="T1030" s="708"/>
      <c r="U1030" s="708"/>
    </row>
    <row r="1031" ht="13.8" spans="1:21">
      <c r="A1031" s="19"/>
      <c r="B1031" s="20"/>
      <c r="C1031" s="20"/>
      <c r="D1031" s="19"/>
      <c r="E1031" s="19"/>
      <c r="F1031" s="19"/>
      <c r="G1031" s="19"/>
      <c r="H1031" s="19"/>
      <c r="I1031" s="19"/>
      <c r="J1031" s="20"/>
      <c r="K1031" s="19"/>
      <c r="L1031" s="19"/>
      <c r="M1031" s="19"/>
      <c r="N1031" s="20"/>
      <c r="O1031" s="20"/>
      <c r="P1031" s="20"/>
      <c r="Q1031" s="20"/>
      <c r="R1031" s="20"/>
      <c r="S1031" s="20"/>
      <c r="T1031" s="708"/>
      <c r="U1031" s="708"/>
    </row>
    <row r="1032" ht="13.8" spans="1:21">
      <c r="A1032" s="19"/>
      <c r="B1032" s="20"/>
      <c r="C1032" s="20"/>
      <c r="D1032" s="19"/>
      <c r="E1032" s="19"/>
      <c r="F1032" s="19"/>
      <c r="G1032" s="19"/>
      <c r="H1032" s="19"/>
      <c r="I1032" s="19"/>
      <c r="J1032" s="20"/>
      <c r="K1032" s="19"/>
      <c r="L1032" s="19"/>
      <c r="M1032" s="19"/>
      <c r="N1032" s="20"/>
      <c r="O1032" s="20"/>
      <c r="P1032" s="20"/>
      <c r="Q1032" s="20"/>
      <c r="R1032" s="20"/>
      <c r="S1032" s="20"/>
      <c r="T1032" s="708"/>
      <c r="U1032" s="708"/>
    </row>
    <row r="1033" ht="13.8" spans="1:21">
      <c r="A1033" s="19"/>
      <c r="B1033" s="20"/>
      <c r="C1033" s="20"/>
      <c r="D1033" s="19"/>
      <c r="E1033" s="19"/>
      <c r="F1033" s="19"/>
      <c r="G1033" s="19"/>
      <c r="H1033" s="19"/>
      <c r="I1033" s="19"/>
      <c r="J1033" s="20"/>
      <c r="K1033" s="19"/>
      <c r="L1033" s="19"/>
      <c r="M1033" s="19"/>
      <c r="N1033" s="20"/>
      <c r="O1033" s="20"/>
      <c r="P1033" s="20"/>
      <c r="Q1033" s="20"/>
      <c r="R1033" s="20"/>
      <c r="S1033" s="20"/>
      <c r="T1033" s="708"/>
      <c r="U1033" s="708"/>
    </row>
    <row r="1034" ht="13.8" spans="1:21">
      <c r="A1034" s="19"/>
      <c r="B1034" s="20"/>
      <c r="C1034" s="20"/>
      <c r="D1034" s="19"/>
      <c r="E1034" s="19"/>
      <c r="F1034" s="19"/>
      <c r="G1034" s="19"/>
      <c r="H1034" s="19"/>
      <c r="I1034" s="19"/>
      <c r="J1034" s="20"/>
      <c r="K1034" s="19"/>
      <c r="L1034" s="19"/>
      <c r="M1034" s="19"/>
      <c r="N1034" s="20"/>
      <c r="O1034" s="20"/>
      <c r="P1034" s="20"/>
      <c r="Q1034" s="20"/>
      <c r="R1034" s="20"/>
      <c r="S1034" s="20"/>
      <c r="T1034" s="708"/>
      <c r="U1034" s="708"/>
    </row>
    <row r="1035" ht="13.8" spans="1:21">
      <c r="A1035" s="19"/>
      <c r="B1035" s="20"/>
      <c r="C1035" s="20"/>
      <c r="D1035" s="19"/>
      <c r="E1035" s="19"/>
      <c r="F1035" s="19"/>
      <c r="G1035" s="19"/>
      <c r="H1035" s="19"/>
      <c r="I1035" s="19"/>
      <c r="J1035" s="20"/>
      <c r="K1035" s="19"/>
      <c r="L1035" s="19"/>
      <c r="M1035" s="19"/>
      <c r="N1035" s="20"/>
      <c r="O1035" s="20"/>
      <c r="P1035" s="20"/>
      <c r="Q1035" s="20"/>
      <c r="R1035" s="20"/>
      <c r="S1035" s="20"/>
      <c r="T1035" s="708"/>
      <c r="U1035" s="708"/>
    </row>
    <row r="1036" ht="13.8" spans="1:21">
      <c r="A1036" s="19"/>
      <c r="B1036" s="20"/>
      <c r="C1036" s="20"/>
      <c r="D1036" s="19"/>
      <c r="E1036" s="19"/>
      <c r="F1036" s="19"/>
      <c r="G1036" s="19"/>
      <c r="H1036" s="19"/>
      <c r="I1036" s="19"/>
      <c r="J1036" s="20"/>
      <c r="K1036" s="19"/>
      <c r="L1036" s="19"/>
      <c r="M1036" s="19"/>
      <c r="N1036" s="20"/>
      <c r="O1036" s="20"/>
      <c r="P1036" s="20"/>
      <c r="Q1036" s="20"/>
      <c r="R1036" s="20"/>
      <c r="S1036" s="20"/>
      <c r="T1036" s="708"/>
      <c r="U1036" s="708"/>
    </row>
    <row r="1037" ht="13.8" spans="1:21">
      <c r="A1037" s="19"/>
      <c r="B1037" s="20"/>
      <c r="C1037" s="20"/>
      <c r="D1037" s="19"/>
      <c r="E1037" s="19"/>
      <c r="F1037" s="19"/>
      <c r="G1037" s="19"/>
      <c r="H1037" s="19"/>
      <c r="I1037" s="19"/>
      <c r="J1037" s="20"/>
      <c r="K1037" s="19"/>
      <c r="L1037" s="19"/>
      <c r="M1037" s="19"/>
      <c r="N1037" s="20"/>
      <c r="O1037" s="20"/>
      <c r="P1037" s="20"/>
      <c r="Q1037" s="20"/>
      <c r="R1037" s="20"/>
      <c r="S1037" s="20"/>
      <c r="T1037" s="708"/>
      <c r="U1037" s="708"/>
    </row>
    <row r="1038" ht="13.8" spans="1:21">
      <c r="A1038" s="19"/>
      <c r="B1038" s="20"/>
      <c r="C1038" s="20"/>
      <c r="D1038" s="19"/>
      <c r="E1038" s="19"/>
      <c r="F1038" s="19"/>
      <c r="G1038" s="19"/>
      <c r="H1038" s="19"/>
      <c r="I1038" s="19"/>
      <c r="J1038" s="20"/>
      <c r="K1038" s="19"/>
      <c r="L1038" s="19"/>
      <c r="M1038" s="19"/>
      <c r="N1038" s="20"/>
      <c r="O1038" s="20"/>
      <c r="P1038" s="20"/>
      <c r="Q1038" s="20"/>
      <c r="R1038" s="20"/>
      <c r="S1038" s="20"/>
      <c r="T1038" s="708"/>
      <c r="U1038" s="708"/>
    </row>
    <row r="1039" ht="13.8" spans="1:21">
      <c r="A1039" s="19"/>
      <c r="B1039" s="20"/>
      <c r="C1039" s="20"/>
      <c r="D1039" s="19"/>
      <c r="E1039" s="19"/>
      <c r="F1039" s="19"/>
      <c r="G1039" s="19"/>
      <c r="H1039" s="19"/>
      <c r="I1039" s="19"/>
      <c r="J1039" s="20"/>
      <c r="K1039" s="19"/>
      <c r="L1039" s="19"/>
      <c r="M1039" s="19"/>
      <c r="N1039" s="20"/>
      <c r="O1039" s="20"/>
      <c r="P1039" s="20"/>
      <c r="Q1039" s="20"/>
      <c r="R1039" s="20"/>
      <c r="S1039" s="20"/>
      <c r="T1039" s="708"/>
      <c r="U1039" s="708"/>
    </row>
    <row r="1040" ht="13.8" spans="1:21">
      <c r="A1040" s="19"/>
      <c r="B1040" s="20"/>
      <c r="C1040" s="20"/>
      <c r="D1040" s="19"/>
      <c r="E1040" s="19"/>
      <c r="F1040" s="19"/>
      <c r="G1040" s="19"/>
      <c r="H1040" s="19"/>
      <c r="I1040" s="19"/>
      <c r="J1040" s="20"/>
      <c r="K1040" s="19"/>
      <c r="L1040" s="19"/>
      <c r="M1040" s="19"/>
      <c r="N1040" s="20"/>
      <c r="O1040" s="20"/>
      <c r="P1040" s="20"/>
      <c r="Q1040" s="20"/>
      <c r="R1040" s="20"/>
      <c r="S1040" s="20"/>
      <c r="T1040" s="708"/>
      <c r="U1040" s="708"/>
    </row>
    <row r="1041" ht="13.8" spans="1:21">
      <c r="A1041" s="19"/>
      <c r="B1041" s="20"/>
      <c r="C1041" s="20"/>
      <c r="D1041" s="19"/>
      <c r="E1041" s="19"/>
      <c r="F1041" s="19"/>
      <c r="G1041" s="19"/>
      <c r="H1041" s="19"/>
      <c r="I1041" s="19"/>
      <c r="J1041" s="20"/>
      <c r="K1041" s="19"/>
      <c r="L1041" s="19"/>
      <c r="M1041" s="19"/>
      <c r="N1041" s="20"/>
      <c r="O1041" s="20"/>
      <c r="P1041" s="20"/>
      <c r="Q1041" s="20"/>
      <c r="R1041" s="20"/>
      <c r="S1041" s="20"/>
      <c r="T1041" s="708"/>
      <c r="U1041" s="708"/>
    </row>
    <row r="1042" ht="13.8" spans="1:21">
      <c r="A1042" s="19"/>
      <c r="B1042" s="20"/>
      <c r="C1042" s="20"/>
      <c r="D1042" s="19"/>
      <c r="E1042" s="19"/>
      <c r="F1042" s="19"/>
      <c r="G1042" s="19"/>
      <c r="H1042" s="19"/>
      <c r="I1042" s="19"/>
      <c r="J1042" s="20"/>
      <c r="K1042" s="19"/>
      <c r="L1042" s="19"/>
      <c r="M1042" s="19"/>
      <c r="N1042" s="20"/>
      <c r="O1042" s="20"/>
      <c r="P1042" s="20"/>
      <c r="Q1042" s="20"/>
      <c r="R1042" s="20"/>
      <c r="S1042" s="20"/>
      <c r="T1042" s="708"/>
      <c r="U1042" s="708"/>
    </row>
    <row r="1043" ht="13.8" spans="1:21">
      <c r="A1043" s="19"/>
      <c r="B1043" s="20"/>
      <c r="C1043" s="20"/>
      <c r="D1043" s="19"/>
      <c r="E1043" s="19"/>
      <c r="F1043" s="19"/>
      <c r="G1043" s="19"/>
      <c r="H1043" s="19"/>
      <c r="I1043" s="19"/>
      <c r="J1043" s="20"/>
      <c r="K1043" s="19"/>
      <c r="L1043" s="19"/>
      <c r="M1043" s="19"/>
      <c r="N1043" s="20"/>
      <c r="O1043" s="20"/>
      <c r="P1043" s="20"/>
      <c r="Q1043" s="20"/>
      <c r="R1043" s="20"/>
      <c r="S1043" s="20"/>
      <c r="T1043" s="708"/>
      <c r="U1043" s="708"/>
    </row>
    <row r="1044" ht="13.8" spans="1:21">
      <c r="A1044" s="19"/>
      <c r="B1044" s="20"/>
      <c r="C1044" s="20"/>
      <c r="D1044" s="19"/>
      <c r="E1044" s="19"/>
      <c r="F1044" s="19"/>
      <c r="G1044" s="19"/>
      <c r="H1044" s="19"/>
      <c r="I1044" s="19"/>
      <c r="J1044" s="20"/>
      <c r="K1044" s="19"/>
      <c r="L1044" s="19"/>
      <c r="M1044" s="19"/>
      <c r="N1044" s="20"/>
      <c r="O1044" s="20"/>
      <c r="P1044" s="20"/>
      <c r="Q1044" s="20"/>
      <c r="R1044" s="20"/>
      <c r="S1044" s="20"/>
      <c r="T1044" s="708"/>
      <c r="U1044" s="708"/>
    </row>
    <row r="1045" ht="13.8" spans="1:21">
      <c r="A1045" s="19"/>
      <c r="B1045" s="20"/>
      <c r="C1045" s="20"/>
      <c r="D1045" s="19"/>
      <c r="E1045" s="19"/>
      <c r="F1045" s="19"/>
      <c r="G1045" s="19"/>
      <c r="H1045" s="19"/>
      <c r="I1045" s="19"/>
      <c r="J1045" s="20"/>
      <c r="K1045" s="19"/>
      <c r="L1045" s="19"/>
      <c r="M1045" s="19"/>
      <c r="N1045" s="20"/>
      <c r="O1045" s="20"/>
      <c r="P1045" s="20"/>
      <c r="Q1045" s="20"/>
      <c r="R1045" s="20"/>
      <c r="S1045" s="20"/>
      <c r="T1045" s="708"/>
      <c r="U1045" s="708"/>
    </row>
    <row r="1046" ht="13.8" spans="1:21">
      <c r="A1046" s="19"/>
      <c r="B1046" s="20"/>
      <c r="C1046" s="20"/>
      <c r="D1046" s="19"/>
      <c r="E1046" s="19"/>
      <c r="F1046" s="19"/>
      <c r="G1046" s="19"/>
      <c r="H1046" s="19"/>
      <c r="I1046" s="19"/>
      <c r="J1046" s="20"/>
      <c r="K1046" s="19"/>
      <c r="L1046" s="19"/>
      <c r="M1046" s="19"/>
      <c r="N1046" s="20"/>
      <c r="O1046" s="20"/>
      <c r="P1046" s="20"/>
      <c r="Q1046" s="20"/>
      <c r="R1046" s="20"/>
      <c r="S1046" s="20"/>
      <c r="T1046" s="708"/>
      <c r="U1046" s="708"/>
    </row>
    <row r="1047" ht="13.8" spans="1:21">
      <c r="A1047" s="19"/>
      <c r="B1047" s="20"/>
      <c r="C1047" s="20"/>
      <c r="D1047" s="19"/>
      <c r="E1047" s="19"/>
      <c r="F1047" s="19"/>
      <c r="G1047" s="19"/>
      <c r="H1047" s="19"/>
      <c r="I1047" s="19"/>
      <c r="J1047" s="20"/>
      <c r="K1047" s="19"/>
      <c r="L1047" s="19"/>
      <c r="M1047" s="19"/>
      <c r="N1047" s="20"/>
      <c r="O1047" s="20"/>
      <c r="P1047" s="20"/>
      <c r="Q1047" s="20"/>
      <c r="R1047" s="20"/>
      <c r="S1047" s="20"/>
      <c r="T1047" s="708"/>
      <c r="U1047" s="708"/>
    </row>
    <row r="1048" ht="13.8" spans="1:21">
      <c r="A1048" s="19"/>
      <c r="B1048" s="20"/>
      <c r="C1048" s="20"/>
      <c r="D1048" s="19"/>
      <c r="E1048" s="19"/>
      <c r="F1048" s="19"/>
      <c r="G1048" s="19"/>
      <c r="H1048" s="19"/>
      <c r="I1048" s="19"/>
      <c r="J1048" s="20"/>
      <c r="K1048" s="19"/>
      <c r="L1048" s="19"/>
      <c r="M1048" s="19"/>
      <c r="N1048" s="20"/>
      <c r="O1048" s="20"/>
      <c r="P1048" s="20"/>
      <c r="Q1048" s="20"/>
      <c r="R1048" s="20"/>
      <c r="S1048" s="20"/>
      <c r="T1048" s="708"/>
      <c r="U1048" s="708"/>
    </row>
    <row r="1049" ht="13.8" spans="1:21">
      <c r="A1049" s="19"/>
      <c r="B1049" s="20"/>
      <c r="C1049" s="20"/>
      <c r="D1049" s="19"/>
      <c r="E1049" s="19"/>
      <c r="F1049" s="19"/>
      <c r="G1049" s="19"/>
      <c r="H1049" s="19"/>
      <c r="I1049" s="19"/>
      <c r="J1049" s="20"/>
      <c r="K1049" s="19"/>
      <c r="L1049" s="19"/>
      <c r="M1049" s="19"/>
      <c r="N1049" s="20"/>
      <c r="O1049" s="20"/>
      <c r="P1049" s="20"/>
      <c r="Q1049" s="20"/>
      <c r="R1049" s="20"/>
      <c r="S1049" s="20"/>
      <c r="T1049" s="708"/>
      <c r="U1049" s="708"/>
    </row>
    <row r="1050" ht="13.8" spans="1:21">
      <c r="A1050" s="19"/>
      <c r="B1050" s="20"/>
      <c r="C1050" s="20"/>
      <c r="D1050" s="19"/>
      <c r="E1050" s="19"/>
      <c r="F1050" s="19"/>
      <c r="G1050" s="19"/>
      <c r="H1050" s="19"/>
      <c r="I1050" s="19"/>
      <c r="J1050" s="20"/>
      <c r="K1050" s="19"/>
      <c r="L1050" s="19"/>
      <c r="M1050" s="19"/>
      <c r="N1050" s="20"/>
      <c r="O1050" s="20"/>
      <c r="P1050" s="20"/>
      <c r="Q1050" s="20"/>
      <c r="R1050" s="20"/>
      <c r="S1050" s="20"/>
      <c r="T1050" s="708"/>
      <c r="U1050" s="708"/>
    </row>
    <row r="1051" ht="13.8" spans="1:21">
      <c r="A1051" s="19"/>
      <c r="B1051" s="20"/>
      <c r="C1051" s="20"/>
      <c r="D1051" s="19"/>
      <c r="E1051" s="19"/>
      <c r="F1051" s="19"/>
      <c r="G1051" s="19"/>
      <c r="H1051" s="19"/>
      <c r="I1051" s="19"/>
      <c r="J1051" s="20"/>
      <c r="K1051" s="19"/>
      <c r="L1051" s="19"/>
      <c r="M1051" s="19"/>
      <c r="N1051" s="20"/>
      <c r="O1051" s="20"/>
      <c r="P1051" s="20"/>
      <c r="Q1051" s="20"/>
      <c r="R1051" s="20"/>
      <c r="S1051" s="20"/>
      <c r="T1051" s="708"/>
      <c r="U1051" s="708"/>
    </row>
    <row r="1052" ht="13.8" spans="1:21">
      <c r="A1052" s="19"/>
      <c r="B1052" s="20"/>
      <c r="C1052" s="20"/>
      <c r="D1052" s="19"/>
      <c r="E1052" s="19"/>
      <c r="F1052" s="19"/>
      <c r="G1052" s="19"/>
      <c r="H1052" s="19"/>
      <c r="I1052" s="19"/>
      <c r="J1052" s="20"/>
      <c r="K1052" s="19"/>
      <c r="L1052" s="19"/>
      <c r="M1052" s="19"/>
      <c r="N1052" s="20"/>
      <c r="O1052" s="20"/>
      <c r="P1052" s="20"/>
      <c r="Q1052" s="20"/>
      <c r="R1052" s="20"/>
      <c r="S1052" s="20"/>
      <c r="T1052" s="708"/>
      <c r="U1052" s="708"/>
    </row>
    <row r="1053" ht="13.8" spans="1:21">
      <c r="A1053" s="19"/>
      <c r="B1053" s="20"/>
      <c r="C1053" s="20"/>
      <c r="D1053" s="19"/>
      <c r="E1053" s="19"/>
      <c r="F1053" s="19"/>
      <c r="G1053" s="19"/>
      <c r="H1053" s="19"/>
      <c r="I1053" s="19"/>
      <c r="J1053" s="20"/>
      <c r="K1053" s="19"/>
      <c r="L1053" s="19"/>
      <c r="M1053" s="19"/>
      <c r="N1053" s="20"/>
      <c r="O1053" s="20"/>
      <c r="P1053" s="20"/>
      <c r="Q1053" s="20"/>
      <c r="R1053" s="20"/>
      <c r="S1053" s="20"/>
      <c r="T1053" s="708"/>
      <c r="U1053" s="708"/>
    </row>
    <row r="1054" ht="13.8" spans="1:21">
      <c r="A1054" s="19"/>
      <c r="B1054" s="20"/>
      <c r="C1054" s="20"/>
      <c r="D1054" s="19"/>
      <c r="E1054" s="19"/>
      <c r="F1054" s="19"/>
      <c r="G1054" s="19"/>
      <c r="H1054" s="19"/>
      <c r="I1054" s="19"/>
      <c r="J1054" s="20"/>
      <c r="K1054" s="19"/>
      <c r="L1054" s="19"/>
      <c r="M1054" s="19"/>
      <c r="N1054" s="20"/>
      <c r="O1054" s="20"/>
      <c r="P1054" s="20"/>
      <c r="Q1054" s="20"/>
      <c r="R1054" s="20"/>
      <c r="S1054" s="20"/>
      <c r="T1054" s="708"/>
      <c r="U1054" s="708"/>
    </row>
    <row r="1055" ht="13.8" spans="1:21">
      <c r="A1055" s="19"/>
      <c r="B1055" s="20"/>
      <c r="C1055" s="20"/>
      <c r="D1055" s="19"/>
      <c r="E1055" s="19"/>
      <c r="F1055" s="19"/>
      <c r="G1055" s="19"/>
      <c r="H1055" s="19"/>
      <c r="I1055" s="19"/>
      <c r="J1055" s="20"/>
      <c r="K1055" s="19"/>
      <c r="L1055" s="19"/>
      <c r="M1055" s="19"/>
      <c r="N1055" s="20"/>
      <c r="O1055" s="20"/>
      <c r="P1055" s="20"/>
      <c r="Q1055" s="20"/>
      <c r="R1055" s="20"/>
      <c r="S1055" s="20"/>
      <c r="T1055" s="708"/>
      <c r="U1055" s="708"/>
    </row>
    <row r="1056" ht="13.8" spans="1:21">
      <c r="A1056" s="19"/>
      <c r="B1056" s="20"/>
      <c r="C1056" s="20"/>
      <c r="D1056" s="19"/>
      <c r="E1056" s="19"/>
      <c r="F1056" s="19"/>
      <c r="G1056" s="19"/>
      <c r="H1056" s="19"/>
      <c r="I1056" s="19"/>
      <c r="J1056" s="20"/>
      <c r="K1056" s="19"/>
      <c r="L1056" s="19"/>
      <c r="M1056" s="19"/>
      <c r="N1056" s="20"/>
      <c r="O1056" s="20"/>
      <c r="P1056" s="20"/>
      <c r="Q1056" s="20"/>
      <c r="R1056" s="20"/>
      <c r="S1056" s="20"/>
      <c r="T1056" s="708"/>
      <c r="U1056" s="708"/>
    </row>
    <row r="1057" ht="13.8" spans="1:21">
      <c r="A1057" s="19"/>
      <c r="B1057" s="20"/>
      <c r="C1057" s="20"/>
      <c r="D1057" s="19"/>
      <c r="E1057" s="19"/>
      <c r="F1057" s="19"/>
      <c r="G1057" s="19"/>
      <c r="H1057" s="19"/>
      <c r="I1057" s="19"/>
      <c r="J1057" s="20"/>
      <c r="K1057" s="19"/>
      <c r="L1057" s="19"/>
      <c r="M1057" s="19"/>
      <c r="N1057" s="20"/>
      <c r="O1057" s="20"/>
      <c r="P1057" s="20"/>
      <c r="Q1057" s="20"/>
      <c r="R1057" s="20"/>
      <c r="S1057" s="20"/>
      <c r="T1057" s="708"/>
      <c r="U1057" s="708"/>
    </row>
    <row r="1058" ht="13.8" spans="1:21">
      <c r="A1058" s="19"/>
      <c r="B1058" s="20"/>
      <c r="C1058" s="20"/>
      <c r="D1058" s="19"/>
      <c r="E1058" s="19"/>
      <c r="F1058" s="19"/>
      <c r="G1058" s="19"/>
      <c r="H1058" s="19"/>
      <c r="I1058" s="19"/>
      <c r="J1058" s="20"/>
      <c r="K1058" s="19"/>
      <c r="L1058" s="19"/>
      <c r="M1058" s="19"/>
      <c r="N1058" s="20"/>
      <c r="O1058" s="20"/>
      <c r="P1058" s="20"/>
      <c r="Q1058" s="20"/>
      <c r="R1058" s="20"/>
      <c r="S1058" s="20"/>
      <c r="T1058" s="708"/>
      <c r="U1058" s="708"/>
    </row>
    <row r="1059" ht="13.8" spans="1:21">
      <c r="A1059" s="19"/>
      <c r="B1059" s="20"/>
      <c r="C1059" s="20"/>
      <c r="D1059" s="19"/>
      <c r="E1059" s="19"/>
      <c r="F1059" s="19"/>
      <c r="G1059" s="19"/>
      <c r="H1059" s="19"/>
      <c r="I1059" s="19"/>
      <c r="J1059" s="20"/>
      <c r="K1059" s="19"/>
      <c r="L1059" s="19"/>
      <c r="M1059" s="19"/>
      <c r="N1059" s="20"/>
      <c r="O1059" s="20"/>
      <c r="P1059" s="20"/>
      <c r="Q1059" s="20"/>
      <c r="R1059" s="20"/>
      <c r="S1059" s="20"/>
      <c r="T1059" s="708"/>
      <c r="U1059" s="708"/>
    </row>
    <row r="1060" ht="13.8" spans="1:21">
      <c r="A1060" s="19"/>
      <c r="B1060" s="20"/>
      <c r="C1060" s="20"/>
      <c r="D1060" s="19"/>
      <c r="E1060" s="19"/>
      <c r="F1060" s="19"/>
      <c r="G1060" s="19"/>
      <c r="H1060" s="19"/>
      <c r="I1060" s="19"/>
      <c r="J1060" s="20"/>
      <c r="K1060" s="19"/>
      <c r="L1060" s="19"/>
      <c r="M1060" s="19"/>
      <c r="N1060" s="20"/>
      <c r="O1060" s="20"/>
      <c r="P1060" s="20"/>
      <c r="Q1060" s="20"/>
      <c r="R1060" s="20"/>
      <c r="S1060" s="20"/>
      <c r="T1060" s="708"/>
      <c r="U1060" s="708"/>
    </row>
    <row r="1061" ht="13.8" spans="1:21">
      <c r="A1061" s="19"/>
      <c r="B1061" s="20"/>
      <c r="C1061" s="20"/>
      <c r="D1061" s="19"/>
      <c r="E1061" s="19"/>
      <c r="F1061" s="19"/>
      <c r="G1061" s="19"/>
      <c r="H1061" s="19"/>
      <c r="I1061" s="19"/>
      <c r="J1061" s="20"/>
      <c r="K1061" s="19"/>
      <c r="L1061" s="19"/>
      <c r="M1061" s="19"/>
      <c r="N1061" s="20"/>
      <c r="O1061" s="20"/>
      <c r="P1061" s="20"/>
      <c r="Q1061" s="20"/>
      <c r="R1061" s="20"/>
      <c r="S1061" s="20"/>
      <c r="T1061" s="708"/>
      <c r="U1061" s="708"/>
    </row>
    <row r="1062" ht="13.8" spans="1:21">
      <c r="A1062" s="19"/>
      <c r="B1062" s="20"/>
      <c r="C1062" s="20"/>
      <c r="D1062" s="19"/>
      <c r="E1062" s="19"/>
      <c r="F1062" s="19"/>
      <c r="G1062" s="19"/>
      <c r="H1062" s="19"/>
      <c r="I1062" s="19"/>
      <c r="J1062" s="20"/>
      <c r="K1062" s="19"/>
      <c r="L1062" s="19"/>
      <c r="M1062" s="19"/>
      <c r="N1062" s="20"/>
      <c r="O1062" s="20"/>
      <c r="P1062" s="20"/>
      <c r="Q1062" s="20"/>
      <c r="R1062" s="20"/>
      <c r="S1062" s="20"/>
      <c r="T1062" s="708"/>
      <c r="U1062" s="708"/>
    </row>
    <row r="1063" ht="13.8" spans="1:21">
      <c r="A1063" s="19"/>
      <c r="B1063" s="20"/>
      <c r="C1063" s="20"/>
      <c r="D1063" s="19"/>
      <c r="E1063" s="19"/>
      <c r="F1063" s="19"/>
      <c r="G1063" s="19"/>
      <c r="H1063" s="19"/>
      <c r="I1063" s="19"/>
      <c r="J1063" s="20"/>
      <c r="K1063" s="19"/>
      <c r="L1063" s="19"/>
      <c r="M1063" s="19"/>
      <c r="N1063" s="20"/>
      <c r="O1063" s="20"/>
      <c r="P1063" s="20"/>
      <c r="Q1063" s="20"/>
      <c r="R1063" s="20"/>
      <c r="S1063" s="20"/>
      <c r="T1063" s="708"/>
      <c r="U1063" s="708"/>
    </row>
    <row r="1064" ht="13.8" spans="1:21">
      <c r="A1064" s="19"/>
      <c r="B1064" s="20"/>
      <c r="C1064" s="20"/>
      <c r="D1064" s="19"/>
      <c r="E1064" s="19"/>
      <c r="F1064" s="19"/>
      <c r="G1064" s="19"/>
      <c r="H1064" s="19"/>
      <c r="I1064" s="19"/>
      <c r="J1064" s="20"/>
      <c r="K1064" s="19"/>
      <c r="L1064" s="19"/>
      <c r="M1064" s="19"/>
      <c r="N1064" s="20"/>
      <c r="O1064" s="20"/>
      <c r="P1064" s="20"/>
      <c r="Q1064" s="20"/>
      <c r="R1064" s="20"/>
      <c r="S1064" s="20"/>
      <c r="T1064" s="708"/>
      <c r="U1064" s="708"/>
    </row>
    <row r="1065" ht="13.8" spans="1:21">
      <c r="A1065" s="19"/>
      <c r="B1065" s="20"/>
      <c r="C1065" s="20"/>
      <c r="D1065" s="19"/>
      <c r="E1065" s="19"/>
      <c r="F1065" s="19"/>
      <c r="G1065" s="19"/>
      <c r="H1065" s="19"/>
      <c r="I1065" s="19"/>
      <c r="J1065" s="20"/>
      <c r="K1065" s="19"/>
      <c r="L1065" s="19"/>
      <c r="M1065" s="19"/>
      <c r="N1065" s="20"/>
      <c r="O1065" s="20"/>
      <c r="P1065" s="20"/>
      <c r="Q1065" s="20"/>
      <c r="R1065" s="20"/>
      <c r="S1065" s="20"/>
      <c r="T1065" s="708"/>
      <c r="U1065" s="708"/>
    </row>
    <row r="1066" ht="13.8" spans="1:21">
      <c r="A1066" s="19"/>
      <c r="B1066" s="20"/>
      <c r="C1066" s="20"/>
      <c r="D1066" s="19"/>
      <c r="E1066" s="19"/>
      <c r="F1066" s="19"/>
      <c r="G1066" s="19"/>
      <c r="H1066" s="19"/>
      <c r="I1066" s="19"/>
      <c r="J1066" s="20"/>
      <c r="K1066" s="19"/>
      <c r="L1066" s="19"/>
      <c r="M1066" s="19"/>
      <c r="N1066" s="20"/>
      <c r="O1066" s="20"/>
      <c r="P1066" s="20"/>
      <c r="Q1066" s="20"/>
      <c r="R1066" s="20"/>
      <c r="S1066" s="20"/>
      <c r="T1066" s="708"/>
      <c r="U1066" s="708"/>
    </row>
    <row r="1067" ht="13.8" spans="1:21">
      <c r="A1067" s="19"/>
      <c r="B1067" s="20"/>
      <c r="C1067" s="20"/>
      <c r="D1067" s="19"/>
      <c r="E1067" s="19"/>
      <c r="F1067" s="19"/>
      <c r="G1067" s="19"/>
      <c r="H1067" s="19"/>
      <c r="I1067" s="19"/>
      <c r="J1067" s="20"/>
      <c r="K1067" s="19"/>
      <c r="L1067" s="19"/>
      <c r="M1067" s="19"/>
      <c r="N1067" s="20"/>
      <c r="O1067" s="20"/>
      <c r="P1067" s="20"/>
      <c r="Q1067" s="20"/>
      <c r="R1067" s="20"/>
      <c r="S1067" s="20"/>
      <c r="T1067" s="708"/>
      <c r="U1067" s="708"/>
    </row>
    <row r="1068" ht="13.8" spans="1:21">
      <c r="A1068" s="19"/>
      <c r="B1068" s="20"/>
      <c r="C1068" s="20"/>
      <c r="D1068" s="19"/>
      <c r="E1068" s="19"/>
      <c r="F1068" s="19"/>
      <c r="G1068" s="19"/>
      <c r="H1068" s="19"/>
      <c r="I1068" s="19"/>
      <c r="J1068" s="20"/>
      <c r="K1068" s="19"/>
      <c r="L1068" s="19"/>
      <c r="M1068" s="19"/>
      <c r="N1068" s="20"/>
      <c r="O1068" s="20"/>
      <c r="P1068" s="20"/>
      <c r="Q1068" s="20"/>
      <c r="R1068" s="20"/>
      <c r="S1068" s="20"/>
      <c r="T1068" s="708"/>
      <c r="U1068" s="708"/>
    </row>
    <row r="1069" ht="13.8" spans="1:21">
      <c r="A1069" s="19"/>
      <c r="B1069" s="20"/>
      <c r="C1069" s="20"/>
      <c r="D1069" s="19"/>
      <c r="E1069" s="19"/>
      <c r="F1069" s="19"/>
      <c r="G1069" s="19"/>
      <c r="H1069" s="19"/>
      <c r="I1069" s="19"/>
      <c r="J1069" s="20"/>
      <c r="K1069" s="19"/>
      <c r="L1069" s="19"/>
      <c r="M1069" s="19"/>
      <c r="N1069" s="20"/>
      <c r="O1069" s="20"/>
      <c r="P1069" s="20"/>
      <c r="Q1069" s="20"/>
      <c r="R1069" s="20"/>
      <c r="S1069" s="20"/>
      <c r="T1069" s="708"/>
      <c r="U1069" s="708"/>
    </row>
    <row r="1070" ht="13.8" spans="1:21">
      <c r="A1070" s="19"/>
      <c r="B1070" s="20"/>
      <c r="C1070" s="20"/>
      <c r="D1070" s="19"/>
      <c r="E1070" s="19"/>
      <c r="F1070" s="19"/>
      <c r="G1070" s="19"/>
      <c r="H1070" s="19"/>
      <c r="I1070" s="19"/>
      <c r="J1070" s="20"/>
      <c r="K1070" s="19"/>
      <c r="L1070" s="19"/>
      <c r="M1070" s="19"/>
      <c r="N1070" s="20"/>
      <c r="O1070" s="20"/>
      <c r="P1070" s="20"/>
      <c r="Q1070" s="20"/>
      <c r="R1070" s="20"/>
      <c r="S1070" s="20"/>
      <c r="T1070" s="708"/>
      <c r="U1070" s="708"/>
    </row>
    <row r="1071" ht="13.8" spans="1:21">
      <c r="A1071" s="19"/>
      <c r="B1071" s="20"/>
      <c r="C1071" s="20"/>
      <c r="D1071" s="19"/>
      <c r="E1071" s="19"/>
      <c r="F1071" s="19"/>
      <c r="G1071" s="19"/>
      <c r="H1071" s="19"/>
      <c r="I1071" s="19"/>
      <c r="J1071" s="20"/>
      <c r="K1071" s="19"/>
      <c r="L1071" s="19"/>
      <c r="M1071" s="19"/>
      <c r="N1071" s="20"/>
      <c r="O1071" s="20"/>
      <c r="P1071" s="20"/>
      <c r="Q1071" s="20"/>
      <c r="R1071" s="20"/>
      <c r="S1071" s="20"/>
      <c r="T1071" s="708"/>
      <c r="U1071" s="708"/>
    </row>
    <row r="1072" ht="13.8" spans="1:21">
      <c r="A1072" s="19"/>
      <c r="B1072" s="20"/>
      <c r="C1072" s="20"/>
      <c r="D1072" s="19"/>
      <c r="E1072" s="19"/>
      <c r="F1072" s="19"/>
      <c r="G1072" s="19"/>
      <c r="H1072" s="19"/>
      <c r="I1072" s="19"/>
      <c r="J1072" s="20"/>
      <c r="K1072" s="19"/>
      <c r="L1072" s="19"/>
      <c r="M1072" s="19"/>
      <c r="N1072" s="20"/>
      <c r="O1072" s="20"/>
      <c r="P1072" s="20"/>
      <c r="Q1072" s="20"/>
      <c r="R1072" s="20"/>
      <c r="S1072" s="20"/>
      <c r="T1072" s="708"/>
      <c r="U1072" s="708"/>
    </row>
    <row r="1073" ht="13.8" spans="1:21">
      <c r="A1073" s="19"/>
      <c r="B1073" s="20"/>
      <c r="C1073" s="20"/>
      <c r="D1073" s="19"/>
      <c r="E1073" s="19"/>
      <c r="F1073" s="19"/>
      <c r="G1073" s="19"/>
      <c r="H1073" s="19"/>
      <c r="I1073" s="19"/>
      <c r="J1073" s="20"/>
      <c r="K1073" s="19"/>
      <c r="L1073" s="19"/>
      <c r="M1073" s="19"/>
      <c r="N1073" s="20"/>
      <c r="O1073" s="20"/>
      <c r="P1073" s="20"/>
      <c r="Q1073" s="20"/>
      <c r="R1073" s="20"/>
      <c r="S1073" s="20"/>
      <c r="T1073" s="708"/>
      <c r="U1073" s="708"/>
    </row>
    <row r="1074" ht="13.8" spans="1:21">
      <c r="A1074" s="19"/>
      <c r="B1074" s="20"/>
      <c r="C1074" s="20"/>
      <c r="D1074" s="19"/>
      <c r="E1074" s="19"/>
      <c r="F1074" s="19"/>
      <c r="G1074" s="19"/>
      <c r="H1074" s="19"/>
      <c r="I1074" s="19"/>
      <c r="J1074" s="20"/>
      <c r="K1074" s="19"/>
      <c r="L1074" s="19"/>
      <c r="M1074" s="19"/>
      <c r="N1074" s="20"/>
      <c r="O1074" s="20"/>
      <c r="P1074" s="20"/>
      <c r="Q1074" s="20"/>
      <c r="R1074" s="20"/>
      <c r="S1074" s="20"/>
      <c r="T1074" s="708"/>
      <c r="U1074" s="708"/>
    </row>
    <row r="1075" ht="13.8" spans="1:21">
      <c r="A1075" s="19"/>
      <c r="B1075" s="20"/>
      <c r="C1075" s="20"/>
      <c r="D1075" s="19"/>
      <c r="E1075" s="19"/>
      <c r="F1075" s="19"/>
      <c r="G1075" s="19"/>
      <c r="H1075" s="19"/>
      <c r="I1075" s="19"/>
      <c r="J1075" s="20"/>
      <c r="K1075" s="19"/>
      <c r="L1075" s="19"/>
      <c r="M1075" s="19"/>
      <c r="N1075" s="20"/>
      <c r="O1075" s="20"/>
      <c r="P1075" s="20"/>
      <c r="Q1075" s="20"/>
      <c r="R1075" s="20"/>
      <c r="S1075" s="20"/>
      <c r="T1075" s="708"/>
      <c r="U1075" s="708"/>
    </row>
    <row r="1076" ht="13.8" spans="1:21">
      <c r="A1076" s="19"/>
      <c r="B1076" s="20"/>
      <c r="C1076" s="20"/>
      <c r="D1076" s="19"/>
      <c r="E1076" s="19"/>
      <c r="F1076" s="19"/>
      <c r="G1076" s="19"/>
      <c r="H1076" s="19"/>
      <c r="I1076" s="19"/>
      <c r="J1076" s="20"/>
      <c r="K1076" s="19"/>
      <c r="L1076" s="19"/>
      <c r="M1076" s="19"/>
      <c r="N1076" s="20"/>
      <c r="O1076" s="20"/>
      <c r="P1076" s="20"/>
      <c r="Q1076" s="20"/>
      <c r="R1076" s="20"/>
      <c r="S1076" s="20"/>
      <c r="T1076" s="708"/>
      <c r="U1076" s="708"/>
    </row>
    <row r="1077" ht="13.8" spans="1:21">
      <c r="A1077" s="19"/>
      <c r="B1077" s="20"/>
      <c r="C1077" s="20"/>
      <c r="D1077" s="19"/>
      <c r="E1077" s="19"/>
      <c r="F1077" s="19"/>
      <c r="G1077" s="19"/>
      <c r="H1077" s="19"/>
      <c r="I1077" s="19"/>
      <c r="J1077" s="20"/>
      <c r="K1077" s="19"/>
      <c r="L1077" s="19"/>
      <c r="M1077" s="19"/>
      <c r="N1077" s="20"/>
      <c r="O1077" s="20"/>
      <c r="P1077" s="20"/>
      <c r="Q1077" s="20"/>
      <c r="R1077" s="20"/>
      <c r="S1077" s="20"/>
      <c r="T1077" s="708"/>
      <c r="U1077" s="708"/>
    </row>
    <row r="1078" ht="13.8" spans="1:21">
      <c r="A1078" s="19"/>
      <c r="B1078" s="20"/>
      <c r="C1078" s="20"/>
      <c r="D1078" s="19"/>
      <c r="E1078" s="19"/>
      <c r="F1078" s="19"/>
      <c r="G1078" s="19"/>
      <c r="H1078" s="19"/>
      <c r="I1078" s="19"/>
      <c r="J1078" s="20"/>
      <c r="K1078" s="19"/>
      <c r="L1078" s="19"/>
      <c r="M1078" s="19"/>
      <c r="N1078" s="20"/>
      <c r="O1078" s="20"/>
      <c r="P1078" s="20"/>
      <c r="Q1078" s="20"/>
      <c r="R1078" s="20"/>
      <c r="S1078" s="20"/>
      <c r="T1078" s="708"/>
      <c r="U1078" s="708"/>
    </row>
    <row r="1079" ht="13.8" spans="1:21">
      <c r="A1079" s="19"/>
      <c r="B1079" s="20"/>
      <c r="C1079" s="20"/>
      <c r="D1079" s="19"/>
      <c r="E1079" s="19"/>
      <c r="F1079" s="19"/>
      <c r="G1079" s="19"/>
      <c r="H1079" s="19"/>
      <c r="I1079" s="19"/>
      <c r="J1079" s="20"/>
      <c r="K1079" s="19"/>
      <c r="L1079" s="19"/>
      <c r="M1079" s="19"/>
      <c r="N1079" s="20"/>
      <c r="O1079" s="20"/>
      <c r="P1079" s="20"/>
      <c r="Q1079" s="20"/>
      <c r="R1079" s="20"/>
      <c r="S1079" s="20"/>
      <c r="T1079" s="708"/>
      <c r="U1079" s="708"/>
    </row>
    <row r="1080" ht="13.8" spans="1:21">
      <c r="A1080" s="19"/>
      <c r="B1080" s="20"/>
      <c r="C1080" s="20"/>
      <c r="D1080" s="19"/>
      <c r="E1080" s="19"/>
      <c r="F1080" s="19"/>
      <c r="G1080" s="19"/>
      <c r="H1080" s="19"/>
      <c r="I1080" s="19"/>
      <c r="J1080" s="20"/>
      <c r="K1080" s="19"/>
      <c r="L1080" s="19"/>
      <c r="M1080" s="19"/>
      <c r="N1080" s="20"/>
      <c r="O1080" s="20"/>
      <c r="P1080" s="20"/>
      <c r="Q1080" s="20"/>
      <c r="R1080" s="20"/>
      <c r="S1080" s="20"/>
      <c r="T1080" s="708"/>
      <c r="U1080" s="708"/>
    </row>
    <row r="1081" ht="13.8" spans="1:21">
      <c r="A1081" s="19"/>
      <c r="B1081" s="20"/>
      <c r="C1081" s="20"/>
      <c r="D1081" s="19"/>
      <c r="E1081" s="19"/>
      <c r="F1081" s="19"/>
      <c r="G1081" s="19"/>
      <c r="H1081" s="19"/>
      <c r="I1081" s="19"/>
      <c r="J1081" s="20"/>
      <c r="K1081" s="19"/>
      <c r="L1081" s="19"/>
      <c r="M1081" s="19"/>
      <c r="N1081" s="20"/>
      <c r="O1081" s="20"/>
      <c r="P1081" s="20"/>
      <c r="Q1081" s="20"/>
      <c r="R1081" s="20"/>
      <c r="S1081" s="20"/>
      <c r="T1081" s="708"/>
      <c r="U1081" s="708"/>
    </row>
    <row r="1082" ht="13.8" spans="1:21">
      <c r="A1082" s="19"/>
      <c r="B1082" s="20"/>
      <c r="C1082" s="20"/>
      <c r="D1082" s="19"/>
      <c r="E1082" s="19"/>
      <c r="F1082" s="19"/>
      <c r="G1082" s="19"/>
      <c r="H1082" s="19"/>
      <c r="I1082" s="19"/>
      <c r="J1082" s="20"/>
      <c r="K1082" s="19"/>
      <c r="L1082" s="19"/>
      <c r="M1082" s="19"/>
      <c r="N1082" s="20"/>
      <c r="O1082" s="20"/>
      <c r="P1082" s="20"/>
      <c r="Q1082" s="20"/>
      <c r="R1082" s="20"/>
      <c r="S1082" s="20"/>
      <c r="T1082" s="708"/>
      <c r="U1082" s="708"/>
    </row>
    <row r="1083" ht="13.8" spans="1:21">
      <c r="A1083" s="19"/>
      <c r="B1083" s="20"/>
      <c r="C1083" s="20"/>
      <c r="D1083" s="19"/>
      <c r="E1083" s="19"/>
      <c r="F1083" s="19"/>
      <c r="G1083" s="19"/>
      <c r="H1083" s="19"/>
      <c r="I1083" s="19"/>
      <c r="J1083" s="20"/>
      <c r="K1083" s="19"/>
      <c r="L1083" s="19"/>
      <c r="M1083" s="19"/>
      <c r="N1083" s="20"/>
      <c r="O1083" s="20"/>
      <c r="P1083" s="20"/>
      <c r="Q1083" s="20"/>
      <c r="R1083" s="20"/>
      <c r="S1083" s="20"/>
      <c r="T1083" s="708"/>
      <c r="U1083" s="708"/>
    </row>
    <row r="1084" ht="13.8" spans="1:21">
      <c r="A1084" s="19"/>
      <c r="B1084" s="20"/>
      <c r="C1084" s="20"/>
      <c r="D1084" s="19"/>
      <c r="E1084" s="19"/>
      <c r="F1084" s="19"/>
      <c r="G1084" s="19"/>
      <c r="H1084" s="19"/>
      <c r="I1084" s="19"/>
      <c r="J1084" s="20"/>
      <c r="K1084" s="19"/>
      <c r="L1084" s="19"/>
      <c r="M1084" s="19"/>
      <c r="N1084" s="20"/>
      <c r="O1084" s="20"/>
      <c r="P1084" s="20"/>
      <c r="Q1084" s="20"/>
      <c r="R1084" s="20"/>
      <c r="S1084" s="20"/>
      <c r="T1084" s="708"/>
      <c r="U1084" s="708"/>
    </row>
    <row r="1085" ht="13.8" spans="1:21">
      <c r="A1085" s="19"/>
      <c r="B1085" s="20"/>
      <c r="C1085" s="20"/>
      <c r="D1085" s="19"/>
      <c r="E1085" s="19"/>
      <c r="F1085" s="19"/>
      <c r="G1085" s="19"/>
      <c r="H1085" s="19"/>
      <c r="I1085" s="19"/>
      <c r="J1085" s="20"/>
      <c r="K1085" s="19"/>
      <c r="L1085" s="19"/>
      <c r="M1085" s="19"/>
      <c r="N1085" s="20"/>
      <c r="O1085" s="20"/>
      <c r="P1085" s="20"/>
      <c r="Q1085" s="20"/>
      <c r="R1085" s="20"/>
      <c r="S1085" s="20"/>
      <c r="T1085" s="708"/>
      <c r="U1085" s="708"/>
    </row>
    <row r="1086" ht="13.8" spans="1:21">
      <c r="A1086" s="19"/>
      <c r="B1086" s="20"/>
      <c r="C1086" s="20"/>
      <c r="D1086" s="19"/>
      <c r="E1086" s="19"/>
      <c r="F1086" s="19"/>
      <c r="G1086" s="19"/>
      <c r="H1086" s="19"/>
      <c r="I1086" s="19"/>
      <c r="J1086" s="20"/>
      <c r="K1086" s="19"/>
      <c r="L1086" s="19"/>
      <c r="M1086" s="19"/>
      <c r="N1086" s="20"/>
      <c r="O1086" s="20"/>
      <c r="P1086" s="20"/>
      <c r="Q1086" s="20"/>
      <c r="R1086" s="20"/>
      <c r="S1086" s="20"/>
      <c r="T1086" s="708"/>
      <c r="U1086" s="708"/>
    </row>
    <row r="1087" ht="13.8" spans="1:21">
      <c r="A1087" s="19"/>
      <c r="B1087" s="20"/>
      <c r="C1087" s="20"/>
      <c r="D1087" s="19"/>
      <c r="E1087" s="19"/>
      <c r="F1087" s="19"/>
      <c r="G1087" s="19"/>
      <c r="H1087" s="19"/>
      <c r="I1087" s="19"/>
      <c r="J1087" s="20"/>
      <c r="K1087" s="19"/>
      <c r="L1087" s="19"/>
      <c r="M1087" s="19"/>
      <c r="N1087" s="20"/>
      <c r="O1087" s="20"/>
      <c r="P1087" s="20"/>
      <c r="Q1087" s="20"/>
      <c r="R1087" s="20"/>
      <c r="S1087" s="20"/>
      <c r="T1087" s="708"/>
      <c r="U1087" s="708"/>
    </row>
    <row r="1088" ht="13.8" spans="1:21">
      <c r="A1088" s="19"/>
      <c r="B1088" s="20"/>
      <c r="C1088" s="20"/>
      <c r="D1088" s="19"/>
      <c r="E1088" s="19"/>
      <c r="F1088" s="19"/>
      <c r="G1088" s="19"/>
      <c r="H1088" s="19"/>
      <c r="I1088" s="19"/>
      <c r="J1088" s="20"/>
      <c r="K1088" s="19"/>
      <c r="L1088" s="19"/>
      <c r="M1088" s="19"/>
      <c r="N1088" s="20"/>
      <c r="O1088" s="20"/>
      <c r="P1088" s="20"/>
      <c r="Q1088" s="20"/>
      <c r="R1088" s="20"/>
      <c r="S1088" s="20"/>
      <c r="T1088" s="708"/>
      <c r="U1088" s="708"/>
    </row>
    <row r="1089" ht="13.8" spans="1:21">
      <c r="A1089" s="19"/>
      <c r="B1089" s="20"/>
      <c r="C1089" s="20"/>
      <c r="D1089" s="19"/>
      <c r="E1089" s="19"/>
      <c r="F1089" s="19"/>
      <c r="G1089" s="19"/>
      <c r="H1089" s="19"/>
      <c r="I1089" s="19"/>
      <c r="J1089" s="20"/>
      <c r="K1089" s="19"/>
      <c r="L1089" s="19"/>
      <c r="M1089" s="19"/>
      <c r="N1089" s="20"/>
      <c r="O1089" s="20"/>
      <c r="P1089" s="20"/>
      <c r="Q1089" s="20"/>
      <c r="R1089" s="20"/>
      <c r="S1089" s="20"/>
      <c r="T1089" s="708"/>
      <c r="U1089" s="708"/>
    </row>
    <row r="1090" ht="13.8" spans="1:21">
      <c r="A1090" s="19"/>
      <c r="B1090" s="20"/>
      <c r="C1090" s="20"/>
      <c r="D1090" s="19"/>
      <c r="E1090" s="19"/>
      <c r="F1090" s="19"/>
      <c r="G1090" s="19"/>
      <c r="H1090" s="19"/>
      <c r="I1090" s="19"/>
      <c r="J1090" s="20"/>
      <c r="K1090" s="19"/>
      <c r="L1090" s="19"/>
      <c r="M1090" s="19"/>
      <c r="N1090" s="20"/>
      <c r="O1090" s="20"/>
      <c r="P1090" s="20"/>
      <c r="Q1090" s="20"/>
      <c r="R1090" s="20"/>
      <c r="S1090" s="20"/>
      <c r="T1090" s="708"/>
      <c r="U1090" s="708"/>
    </row>
    <row r="1091" ht="13.8" spans="1:21">
      <c r="A1091" s="19"/>
      <c r="B1091" s="20"/>
      <c r="C1091" s="20"/>
      <c r="D1091" s="19"/>
      <c r="E1091" s="19"/>
      <c r="F1091" s="19"/>
      <c r="G1091" s="19"/>
      <c r="H1091" s="19"/>
      <c r="I1091" s="19"/>
      <c r="J1091" s="20"/>
      <c r="K1091" s="19"/>
      <c r="L1091" s="19"/>
      <c r="M1091" s="19"/>
      <c r="N1091" s="20"/>
      <c r="O1091" s="20"/>
      <c r="P1091" s="20"/>
      <c r="Q1091" s="20"/>
      <c r="R1091" s="20"/>
      <c r="S1091" s="20"/>
      <c r="T1091" s="708"/>
      <c r="U1091" s="708"/>
    </row>
    <row r="1092" ht="13.8" spans="1:21">
      <c r="A1092" s="19"/>
      <c r="B1092" s="20"/>
      <c r="C1092" s="20"/>
      <c r="D1092" s="19"/>
      <c r="E1092" s="19"/>
      <c r="F1092" s="19"/>
      <c r="G1092" s="19"/>
      <c r="H1092" s="19"/>
      <c r="I1092" s="19"/>
      <c r="J1092" s="20"/>
      <c r="K1092" s="19"/>
      <c r="L1092" s="19"/>
      <c r="M1092" s="19"/>
      <c r="N1092" s="20"/>
      <c r="O1092" s="20"/>
      <c r="P1092" s="20"/>
      <c r="Q1092" s="20"/>
      <c r="R1092" s="20"/>
      <c r="S1092" s="20"/>
      <c r="T1092" s="708"/>
      <c r="U1092" s="708"/>
    </row>
    <row r="1093" ht="13.8" spans="1:21">
      <c r="A1093" s="19"/>
      <c r="B1093" s="20"/>
      <c r="C1093" s="20"/>
      <c r="D1093" s="19"/>
      <c r="E1093" s="19"/>
      <c r="F1093" s="19"/>
      <c r="G1093" s="19"/>
      <c r="H1093" s="19"/>
      <c r="I1093" s="19"/>
      <c r="J1093" s="20"/>
      <c r="K1093" s="19"/>
      <c r="L1093" s="19"/>
      <c r="M1093" s="19"/>
      <c r="N1093" s="20"/>
      <c r="O1093" s="20"/>
      <c r="P1093" s="20"/>
      <c r="Q1093" s="20"/>
      <c r="R1093" s="20"/>
      <c r="S1093" s="20"/>
      <c r="T1093" s="708"/>
      <c r="U1093" s="708"/>
    </row>
    <row r="1094" ht="13.8" spans="1:21">
      <c r="A1094" s="19"/>
      <c r="B1094" s="20"/>
      <c r="C1094" s="20"/>
      <c r="D1094" s="19"/>
      <c r="E1094" s="19"/>
      <c r="F1094" s="19"/>
      <c r="G1094" s="19"/>
      <c r="H1094" s="19"/>
      <c r="I1094" s="19"/>
      <c r="J1094" s="20"/>
      <c r="K1094" s="19"/>
      <c r="L1094" s="19"/>
      <c r="M1094" s="19"/>
      <c r="N1094" s="20"/>
      <c r="O1094" s="20"/>
      <c r="P1094" s="20"/>
      <c r="Q1094" s="20"/>
      <c r="R1094" s="20"/>
      <c r="S1094" s="20"/>
      <c r="T1094" s="708"/>
      <c r="U1094" s="708"/>
    </row>
    <row r="1095" ht="13.8" spans="1:21">
      <c r="A1095" s="19"/>
      <c r="B1095" s="20"/>
      <c r="C1095" s="20"/>
      <c r="D1095" s="19"/>
      <c r="E1095" s="19"/>
      <c r="F1095" s="19"/>
      <c r="G1095" s="19"/>
      <c r="H1095" s="19"/>
      <c r="I1095" s="19"/>
      <c r="J1095" s="20"/>
      <c r="K1095" s="19"/>
      <c r="L1095" s="19"/>
      <c r="M1095" s="19"/>
      <c r="N1095" s="20"/>
      <c r="O1095" s="20"/>
      <c r="P1095" s="20"/>
      <c r="Q1095" s="20"/>
      <c r="R1095" s="20"/>
      <c r="S1095" s="20"/>
      <c r="T1095" s="708"/>
      <c r="U1095" s="708"/>
    </row>
    <row r="1096" ht="13.8" spans="1:21">
      <c r="A1096" s="19"/>
      <c r="B1096" s="20"/>
      <c r="C1096" s="20"/>
      <c r="D1096" s="19"/>
      <c r="E1096" s="19"/>
      <c r="F1096" s="19"/>
      <c r="G1096" s="19"/>
      <c r="H1096" s="19"/>
      <c r="I1096" s="19"/>
      <c r="J1096" s="20"/>
      <c r="K1096" s="19"/>
      <c r="L1096" s="19"/>
      <c r="M1096" s="19"/>
      <c r="N1096" s="20"/>
      <c r="O1096" s="20"/>
      <c r="P1096" s="20"/>
      <c r="Q1096" s="20"/>
      <c r="R1096" s="20"/>
      <c r="S1096" s="20"/>
      <c r="T1096" s="708"/>
      <c r="U1096" s="708"/>
    </row>
    <row r="1097" ht="13.8" spans="1:21">
      <c r="A1097" s="19"/>
      <c r="B1097" s="20"/>
      <c r="C1097" s="20"/>
      <c r="D1097" s="19"/>
      <c r="E1097" s="19"/>
      <c r="F1097" s="19"/>
      <c r="G1097" s="19"/>
      <c r="H1097" s="19"/>
      <c r="I1097" s="19"/>
      <c r="J1097" s="20"/>
      <c r="K1097" s="19"/>
      <c r="L1097" s="19"/>
      <c r="M1097" s="19"/>
      <c r="N1097" s="20"/>
      <c r="O1097" s="20"/>
      <c r="P1097" s="20"/>
      <c r="Q1097" s="20"/>
      <c r="R1097" s="20"/>
      <c r="S1097" s="20"/>
      <c r="T1097" s="708"/>
      <c r="U1097" s="708"/>
    </row>
    <row r="1098" ht="13.8" spans="1:21">
      <c r="A1098" s="19"/>
      <c r="B1098" s="20"/>
      <c r="C1098" s="20"/>
      <c r="D1098" s="19"/>
      <c r="E1098" s="19"/>
      <c r="F1098" s="19"/>
      <c r="G1098" s="19"/>
      <c r="H1098" s="19"/>
      <c r="I1098" s="19"/>
      <c r="J1098" s="20"/>
      <c r="K1098" s="19"/>
      <c r="L1098" s="19"/>
      <c r="M1098" s="19"/>
      <c r="N1098" s="20"/>
      <c r="O1098" s="20"/>
      <c r="P1098" s="20"/>
      <c r="Q1098" s="20"/>
      <c r="R1098" s="20"/>
      <c r="S1098" s="20"/>
      <c r="T1098" s="708"/>
      <c r="U1098" s="708"/>
    </row>
    <row r="1099" ht="13.8" spans="1:21">
      <c r="A1099" s="19"/>
      <c r="B1099" s="20"/>
      <c r="C1099" s="20"/>
      <c r="D1099" s="19"/>
      <c r="E1099" s="19"/>
      <c r="F1099" s="19"/>
      <c r="G1099" s="19"/>
      <c r="H1099" s="19"/>
      <c r="I1099" s="19"/>
      <c r="J1099" s="20"/>
      <c r="K1099" s="19"/>
      <c r="L1099" s="19"/>
      <c r="M1099" s="19"/>
      <c r="N1099" s="20"/>
      <c r="O1099" s="20"/>
      <c r="P1099" s="20"/>
      <c r="Q1099" s="20"/>
      <c r="R1099" s="20"/>
      <c r="S1099" s="20"/>
      <c r="T1099" s="708"/>
      <c r="U1099" s="708"/>
    </row>
    <row r="1100" ht="13.8" spans="1:21">
      <c r="A1100" s="19"/>
      <c r="B1100" s="20"/>
      <c r="C1100" s="20"/>
      <c r="D1100" s="19"/>
      <c r="E1100" s="19"/>
      <c r="F1100" s="19"/>
      <c r="G1100" s="19"/>
      <c r="H1100" s="19"/>
      <c r="I1100" s="19"/>
      <c r="J1100" s="20"/>
      <c r="K1100" s="19"/>
      <c r="L1100" s="19"/>
      <c r="M1100" s="19"/>
      <c r="N1100" s="20"/>
      <c r="O1100" s="20"/>
      <c r="P1100" s="20"/>
      <c r="Q1100" s="20"/>
      <c r="R1100" s="20"/>
      <c r="S1100" s="20"/>
      <c r="T1100" s="708"/>
      <c r="U1100" s="708"/>
    </row>
    <row r="1101" ht="13.8" spans="1:21">
      <c r="A1101" s="19"/>
      <c r="B1101" s="20"/>
      <c r="C1101" s="20"/>
      <c r="D1101" s="19"/>
      <c r="E1101" s="19"/>
      <c r="F1101" s="19"/>
      <c r="G1101" s="19"/>
      <c r="H1101" s="19"/>
      <c r="I1101" s="19"/>
      <c r="J1101" s="20"/>
      <c r="K1101" s="19"/>
      <c r="L1101" s="19"/>
      <c r="M1101" s="19"/>
      <c r="N1101" s="20"/>
      <c r="O1101" s="20"/>
      <c r="P1101" s="20"/>
      <c r="Q1101" s="20"/>
      <c r="R1101" s="20"/>
      <c r="S1101" s="20"/>
      <c r="T1101" s="708"/>
      <c r="U1101" s="708"/>
    </row>
    <row r="1102" ht="13.8" spans="1:21">
      <c r="A1102" s="19"/>
      <c r="B1102" s="20"/>
      <c r="C1102" s="20"/>
      <c r="D1102" s="19"/>
      <c r="E1102" s="19"/>
      <c r="F1102" s="19"/>
      <c r="G1102" s="19"/>
      <c r="H1102" s="19"/>
      <c r="I1102" s="19"/>
      <c r="J1102" s="20"/>
      <c r="K1102" s="19"/>
      <c r="L1102" s="19"/>
      <c r="M1102" s="19"/>
      <c r="N1102" s="20"/>
      <c r="O1102" s="20"/>
      <c r="P1102" s="20"/>
      <c r="Q1102" s="20"/>
      <c r="R1102" s="20"/>
      <c r="S1102" s="20"/>
      <c r="T1102" s="708"/>
      <c r="U1102" s="708"/>
    </row>
    <row r="1103" ht="13.8" spans="1:21">
      <c r="A1103" s="19"/>
      <c r="B1103" s="20"/>
      <c r="C1103" s="20"/>
      <c r="D1103" s="19"/>
      <c r="E1103" s="19"/>
      <c r="F1103" s="19"/>
      <c r="G1103" s="19"/>
      <c r="H1103" s="19"/>
      <c r="I1103" s="19"/>
      <c r="J1103" s="20"/>
      <c r="K1103" s="19"/>
      <c r="L1103" s="19"/>
      <c r="M1103" s="19"/>
      <c r="N1103" s="20"/>
      <c r="O1103" s="20"/>
      <c r="P1103" s="20"/>
      <c r="Q1103" s="20"/>
      <c r="R1103" s="20"/>
      <c r="S1103" s="20"/>
      <c r="T1103" s="708"/>
      <c r="U1103" s="708"/>
    </row>
    <row r="1104" ht="13.8" spans="1:21">
      <c r="A1104" s="19"/>
      <c r="B1104" s="20"/>
      <c r="C1104" s="20"/>
      <c r="D1104" s="19"/>
      <c r="E1104" s="19"/>
      <c r="F1104" s="19"/>
      <c r="G1104" s="19"/>
      <c r="H1104" s="19"/>
      <c r="I1104" s="19"/>
      <c r="J1104" s="20"/>
      <c r="K1104" s="19"/>
      <c r="L1104" s="19"/>
      <c r="M1104" s="19"/>
      <c r="N1104" s="20"/>
      <c r="O1104" s="20"/>
      <c r="P1104" s="20"/>
      <c r="Q1104" s="20"/>
      <c r="R1104" s="20"/>
      <c r="S1104" s="20"/>
      <c r="T1104" s="708"/>
      <c r="U1104" s="708"/>
    </row>
    <row r="1105" ht="13.8" spans="1:21">
      <c r="A1105" s="19"/>
      <c r="B1105" s="20"/>
      <c r="C1105" s="20"/>
      <c r="D1105" s="19"/>
      <c r="E1105" s="19"/>
      <c r="F1105" s="19"/>
      <c r="G1105" s="19"/>
      <c r="H1105" s="19"/>
      <c r="I1105" s="19"/>
      <c r="J1105" s="20"/>
      <c r="K1105" s="19"/>
      <c r="L1105" s="19"/>
      <c r="M1105" s="19"/>
      <c r="N1105" s="20"/>
      <c r="O1105" s="20"/>
      <c r="P1105" s="20"/>
      <c r="Q1105" s="20"/>
      <c r="R1105" s="20"/>
      <c r="S1105" s="20"/>
      <c r="T1105" s="708"/>
      <c r="U1105" s="708"/>
    </row>
    <row r="1106" ht="13.8" spans="1:21">
      <c r="A1106" s="19"/>
      <c r="B1106" s="20"/>
      <c r="C1106" s="20"/>
      <c r="D1106" s="19"/>
      <c r="E1106" s="19"/>
      <c r="F1106" s="19"/>
      <c r="G1106" s="19"/>
      <c r="H1106" s="19"/>
      <c r="I1106" s="19"/>
      <c r="J1106" s="20"/>
      <c r="K1106" s="19"/>
      <c r="L1106" s="19"/>
      <c r="M1106" s="19"/>
      <c r="N1106" s="20"/>
      <c r="O1106" s="20"/>
      <c r="P1106" s="20"/>
      <c r="Q1106" s="20"/>
      <c r="R1106" s="20"/>
      <c r="S1106" s="20"/>
      <c r="T1106" s="708"/>
      <c r="U1106" s="708"/>
    </row>
    <row r="1107" ht="13.8" spans="1:21">
      <c r="A1107" s="19"/>
      <c r="B1107" s="20"/>
      <c r="C1107" s="20"/>
      <c r="D1107" s="19"/>
      <c r="E1107" s="19"/>
      <c r="F1107" s="19"/>
      <c r="G1107" s="19"/>
      <c r="H1107" s="19"/>
      <c r="I1107" s="19"/>
      <c r="J1107" s="20"/>
      <c r="K1107" s="19"/>
      <c r="L1107" s="19"/>
      <c r="M1107" s="19"/>
      <c r="N1107" s="20"/>
      <c r="O1107" s="20"/>
      <c r="P1107" s="20"/>
      <c r="Q1107" s="20"/>
      <c r="R1107" s="20"/>
      <c r="S1107" s="20"/>
      <c r="T1107" s="708"/>
      <c r="U1107" s="708"/>
    </row>
    <row r="1108" ht="13.8" spans="1:21">
      <c r="A1108" s="19"/>
      <c r="B1108" s="20"/>
      <c r="C1108" s="20"/>
      <c r="D1108" s="19"/>
      <c r="E1108" s="19"/>
      <c r="F1108" s="19"/>
      <c r="G1108" s="19"/>
      <c r="H1108" s="19"/>
      <c r="I1108" s="19"/>
      <c r="J1108" s="20"/>
      <c r="K1108" s="19"/>
      <c r="L1108" s="19"/>
      <c r="M1108" s="19"/>
      <c r="N1108" s="20"/>
      <c r="O1108" s="20"/>
      <c r="P1108" s="20"/>
      <c r="Q1108" s="20"/>
      <c r="R1108" s="20"/>
      <c r="S1108" s="20"/>
      <c r="T1108" s="708"/>
      <c r="U1108" s="708"/>
    </row>
    <row r="1109" ht="13.8" spans="1:21">
      <c r="A1109" s="19"/>
      <c r="B1109" s="20"/>
      <c r="C1109" s="20"/>
      <c r="D1109" s="19"/>
      <c r="E1109" s="19"/>
      <c r="F1109" s="19"/>
      <c r="G1109" s="19"/>
      <c r="H1109" s="19"/>
      <c r="I1109" s="19"/>
      <c r="J1109" s="20"/>
      <c r="K1109" s="19"/>
      <c r="L1109" s="19"/>
      <c r="M1109" s="19"/>
      <c r="N1109" s="20"/>
      <c r="O1109" s="20"/>
      <c r="P1109" s="20"/>
      <c r="Q1109" s="20"/>
      <c r="R1109" s="20"/>
      <c r="S1109" s="20"/>
      <c r="T1109" s="708"/>
      <c r="U1109" s="708"/>
    </row>
    <row r="1110" ht="13.8" spans="1:21">
      <c r="A1110" s="19"/>
      <c r="B1110" s="20"/>
      <c r="C1110" s="20"/>
      <c r="D1110" s="19"/>
      <c r="E1110" s="19"/>
      <c r="F1110" s="19"/>
      <c r="G1110" s="19"/>
      <c r="H1110" s="19"/>
      <c r="I1110" s="19"/>
      <c r="J1110" s="20"/>
      <c r="K1110" s="19"/>
      <c r="L1110" s="19"/>
      <c r="M1110" s="19"/>
      <c r="N1110" s="20"/>
      <c r="O1110" s="20"/>
      <c r="P1110" s="20"/>
      <c r="Q1110" s="20"/>
      <c r="R1110" s="20"/>
      <c r="S1110" s="20"/>
      <c r="T1110" s="708"/>
      <c r="U1110" s="708"/>
    </row>
    <row r="1111" ht="13.8" spans="1:21">
      <c r="A1111" s="19"/>
      <c r="B1111" s="20"/>
      <c r="C1111" s="20"/>
      <c r="D1111" s="19"/>
      <c r="E1111" s="19"/>
      <c r="F1111" s="19"/>
      <c r="G1111" s="19"/>
      <c r="H1111" s="19"/>
      <c r="I1111" s="19"/>
      <c r="J1111" s="20"/>
      <c r="K1111" s="19"/>
      <c r="L1111" s="19"/>
      <c r="M1111" s="19"/>
      <c r="N1111" s="20"/>
      <c r="O1111" s="20"/>
      <c r="P1111" s="20"/>
      <c r="Q1111" s="20"/>
      <c r="R1111" s="20"/>
      <c r="S1111" s="20"/>
      <c r="T1111" s="708"/>
      <c r="U1111" s="708"/>
    </row>
    <row r="1112" ht="13.8" spans="1:21">
      <c r="A1112" s="19"/>
      <c r="B1112" s="20"/>
      <c r="C1112" s="20"/>
      <c r="D1112" s="19"/>
      <c r="E1112" s="19"/>
      <c r="F1112" s="19"/>
      <c r="G1112" s="19"/>
      <c r="H1112" s="19"/>
      <c r="I1112" s="19"/>
      <c r="J1112" s="20"/>
      <c r="K1112" s="19"/>
      <c r="L1112" s="19"/>
      <c r="M1112" s="19"/>
      <c r="N1112" s="20"/>
      <c r="O1112" s="20"/>
      <c r="P1112" s="20"/>
      <c r="Q1112" s="20"/>
      <c r="R1112" s="20"/>
      <c r="S1112" s="20"/>
      <c r="T1112" s="708"/>
      <c r="U1112" s="708"/>
    </row>
    <row r="1113" ht="13.8" spans="1:21">
      <c r="A1113" s="19"/>
      <c r="B1113" s="20"/>
      <c r="C1113" s="20"/>
      <c r="D1113" s="19"/>
      <c r="E1113" s="19"/>
      <c r="F1113" s="19"/>
      <c r="G1113" s="19"/>
      <c r="H1113" s="19"/>
      <c r="I1113" s="19"/>
      <c r="J1113" s="20"/>
      <c r="K1113" s="19"/>
      <c r="L1113" s="19"/>
      <c r="M1113" s="19"/>
      <c r="N1113" s="20"/>
      <c r="O1113" s="20"/>
      <c r="P1113" s="20"/>
      <c r="Q1113" s="20"/>
      <c r="R1113" s="20"/>
      <c r="S1113" s="20"/>
      <c r="T1113" s="708"/>
      <c r="U1113" s="708"/>
    </row>
    <row r="1114" ht="13.8" spans="1:21">
      <c r="A1114" s="19"/>
      <c r="B1114" s="20"/>
      <c r="C1114" s="20"/>
      <c r="D1114" s="19"/>
      <c r="E1114" s="19"/>
      <c r="F1114" s="19"/>
      <c r="G1114" s="19"/>
      <c r="H1114" s="19"/>
      <c r="I1114" s="19"/>
      <c r="J1114" s="20"/>
      <c r="K1114" s="19"/>
      <c r="L1114" s="19"/>
      <c r="M1114" s="19"/>
      <c r="N1114" s="20"/>
      <c r="O1114" s="20"/>
      <c r="P1114" s="20"/>
      <c r="Q1114" s="20"/>
      <c r="R1114" s="20"/>
      <c r="S1114" s="20"/>
      <c r="T1114" s="708"/>
      <c r="U1114" s="708"/>
    </row>
    <row r="1115" ht="13.8" spans="1:21">
      <c r="A1115" s="19"/>
      <c r="B1115" s="20"/>
      <c r="C1115" s="20"/>
      <c r="D1115" s="19"/>
      <c r="E1115" s="19"/>
      <c r="F1115" s="19"/>
      <c r="G1115" s="19"/>
      <c r="H1115" s="19"/>
      <c r="I1115" s="19"/>
      <c r="J1115" s="20"/>
      <c r="K1115" s="19"/>
      <c r="L1115" s="19"/>
      <c r="M1115" s="19"/>
      <c r="N1115" s="20"/>
      <c r="O1115" s="20"/>
      <c r="P1115" s="20"/>
      <c r="Q1115" s="20"/>
      <c r="R1115" s="20"/>
      <c r="S1115" s="20"/>
      <c r="T1115" s="708"/>
      <c r="U1115" s="708"/>
    </row>
    <row r="1116" ht="13.8" spans="1:21">
      <c r="A1116" s="19"/>
      <c r="B1116" s="20"/>
      <c r="C1116" s="20"/>
      <c r="D1116" s="19"/>
      <c r="E1116" s="19"/>
      <c r="F1116" s="19"/>
      <c r="G1116" s="19"/>
      <c r="H1116" s="19"/>
      <c r="I1116" s="19"/>
      <c r="J1116" s="20"/>
      <c r="K1116" s="19"/>
      <c r="L1116" s="19"/>
      <c r="M1116" s="19"/>
      <c r="N1116" s="20"/>
      <c r="O1116" s="20"/>
      <c r="P1116" s="20"/>
      <c r="Q1116" s="20"/>
      <c r="R1116" s="20"/>
      <c r="S1116" s="20"/>
      <c r="T1116" s="708"/>
      <c r="U1116" s="708"/>
    </row>
    <row r="1117" ht="13.8" spans="1:21">
      <c r="A1117" s="19"/>
      <c r="B1117" s="20"/>
      <c r="C1117" s="20"/>
      <c r="D1117" s="19"/>
      <c r="E1117" s="19"/>
      <c r="F1117" s="19"/>
      <c r="G1117" s="19"/>
      <c r="H1117" s="19"/>
      <c r="I1117" s="19"/>
      <c r="J1117" s="20"/>
      <c r="K1117" s="19"/>
      <c r="L1117" s="19"/>
      <c r="M1117" s="19"/>
      <c r="N1117" s="20"/>
      <c r="O1117" s="20"/>
      <c r="P1117" s="20"/>
      <c r="Q1117" s="20"/>
      <c r="R1117" s="20"/>
      <c r="S1117" s="20"/>
      <c r="T1117" s="708"/>
      <c r="U1117" s="708"/>
    </row>
    <row r="1118" ht="13.8" spans="1:21">
      <c r="A1118" s="19"/>
      <c r="B1118" s="20"/>
      <c r="C1118" s="20"/>
      <c r="D1118" s="19"/>
      <c r="E1118" s="19"/>
      <c r="F1118" s="19"/>
      <c r="G1118" s="19"/>
      <c r="H1118" s="19"/>
      <c r="I1118" s="19"/>
      <c r="J1118" s="20"/>
      <c r="K1118" s="19"/>
      <c r="L1118" s="19"/>
      <c r="M1118" s="19"/>
      <c r="N1118" s="20"/>
      <c r="O1118" s="20"/>
      <c r="P1118" s="20"/>
      <c r="Q1118" s="20"/>
      <c r="R1118" s="20"/>
      <c r="S1118" s="20"/>
      <c r="T1118" s="708"/>
      <c r="U1118" s="708"/>
    </row>
    <row r="1119" ht="13.8" spans="1:21">
      <c r="A1119" s="19"/>
      <c r="B1119" s="20"/>
      <c r="C1119" s="20"/>
      <c r="D1119" s="19"/>
      <c r="E1119" s="19"/>
      <c r="F1119" s="19"/>
      <c r="G1119" s="19"/>
      <c r="H1119" s="19"/>
      <c r="I1119" s="19"/>
      <c r="J1119" s="20"/>
      <c r="K1119" s="19"/>
      <c r="L1119" s="19"/>
      <c r="M1119" s="19"/>
      <c r="N1119" s="20"/>
      <c r="O1119" s="20"/>
      <c r="P1119" s="20"/>
      <c r="Q1119" s="20"/>
      <c r="R1119" s="20"/>
      <c r="S1119" s="20"/>
      <c r="T1119" s="708"/>
      <c r="U1119" s="708"/>
    </row>
    <row r="1120" ht="13.8" spans="1:21">
      <c r="A1120" s="19"/>
      <c r="B1120" s="20"/>
      <c r="C1120" s="20"/>
      <c r="D1120" s="19"/>
      <c r="E1120" s="19"/>
      <c r="F1120" s="19"/>
      <c r="G1120" s="19"/>
      <c r="H1120" s="19"/>
      <c r="I1120" s="19"/>
      <c r="J1120" s="20"/>
      <c r="K1120" s="19"/>
      <c r="L1120" s="19"/>
      <c r="M1120" s="19"/>
      <c r="N1120" s="20"/>
      <c r="O1120" s="20"/>
      <c r="P1120" s="20"/>
      <c r="Q1120" s="20"/>
      <c r="R1120" s="20"/>
      <c r="S1120" s="20"/>
      <c r="T1120" s="708"/>
      <c r="U1120" s="708"/>
    </row>
    <row r="1121" ht="13.8" spans="1:21">
      <c r="A1121" s="19"/>
      <c r="B1121" s="20"/>
      <c r="C1121" s="20"/>
      <c r="D1121" s="19"/>
      <c r="E1121" s="19"/>
      <c r="F1121" s="19"/>
      <c r="G1121" s="19"/>
      <c r="H1121" s="19"/>
      <c r="I1121" s="19"/>
      <c r="J1121" s="20"/>
      <c r="K1121" s="19"/>
      <c r="L1121" s="19"/>
      <c r="M1121" s="19"/>
      <c r="N1121" s="20"/>
      <c r="O1121" s="20"/>
      <c r="P1121" s="20"/>
      <c r="Q1121" s="20"/>
      <c r="R1121" s="20"/>
      <c r="S1121" s="20"/>
      <c r="T1121" s="708"/>
      <c r="U1121" s="708"/>
    </row>
    <row r="1122" ht="13.8" spans="1:21">
      <c r="A1122" s="19"/>
      <c r="B1122" s="20"/>
      <c r="C1122" s="20"/>
      <c r="D1122" s="19"/>
      <c r="E1122" s="19"/>
      <c r="F1122" s="19"/>
      <c r="G1122" s="19"/>
      <c r="H1122" s="19"/>
      <c r="I1122" s="19"/>
      <c r="J1122" s="20"/>
      <c r="K1122" s="19"/>
      <c r="L1122" s="19"/>
      <c r="M1122" s="19"/>
      <c r="N1122" s="20"/>
      <c r="O1122" s="20"/>
      <c r="P1122" s="20"/>
      <c r="Q1122" s="20"/>
      <c r="R1122" s="20"/>
      <c r="S1122" s="20"/>
      <c r="T1122" s="708"/>
      <c r="U1122" s="708"/>
    </row>
    <row r="1123" ht="13.8" spans="1:21">
      <c r="A1123" s="19"/>
      <c r="B1123" s="20"/>
      <c r="C1123" s="20"/>
      <c r="D1123" s="19"/>
      <c r="E1123" s="19"/>
      <c r="F1123" s="19"/>
      <c r="G1123" s="19"/>
      <c r="H1123" s="19"/>
      <c r="I1123" s="19"/>
      <c r="J1123" s="20"/>
      <c r="K1123" s="19"/>
      <c r="L1123" s="19"/>
      <c r="M1123" s="19"/>
      <c r="N1123" s="20"/>
      <c r="O1123" s="20"/>
      <c r="P1123" s="20"/>
      <c r="Q1123" s="20"/>
      <c r="R1123" s="20"/>
      <c r="S1123" s="20"/>
      <c r="T1123" s="708"/>
      <c r="U1123" s="708"/>
    </row>
    <row r="1124" ht="13.8" spans="1:21">
      <c r="A1124" s="19"/>
      <c r="B1124" s="20"/>
      <c r="C1124" s="20"/>
      <c r="D1124" s="19"/>
      <c r="E1124" s="19"/>
      <c r="F1124" s="19"/>
      <c r="G1124" s="19"/>
      <c r="H1124" s="19"/>
      <c r="I1124" s="19"/>
      <c r="J1124" s="20"/>
      <c r="K1124" s="19"/>
      <c r="L1124" s="19"/>
      <c r="M1124" s="19"/>
      <c r="N1124" s="20"/>
      <c r="O1124" s="20"/>
      <c r="P1124" s="20"/>
      <c r="Q1124" s="20"/>
      <c r="R1124" s="20"/>
      <c r="S1124" s="20"/>
      <c r="T1124" s="708"/>
      <c r="U1124" s="708"/>
    </row>
    <row r="1125" ht="13.8" spans="1:21">
      <c r="A1125" s="19"/>
      <c r="B1125" s="20"/>
      <c r="C1125" s="20"/>
      <c r="D1125" s="19"/>
      <c r="E1125" s="19"/>
      <c r="F1125" s="19"/>
      <c r="G1125" s="19"/>
      <c r="H1125" s="19"/>
      <c r="I1125" s="19"/>
      <c r="J1125" s="20"/>
      <c r="K1125" s="19"/>
      <c r="L1125" s="19"/>
      <c r="M1125" s="19"/>
      <c r="N1125" s="20"/>
      <c r="O1125" s="20"/>
      <c r="P1125" s="20"/>
      <c r="Q1125" s="20"/>
      <c r="R1125" s="20"/>
      <c r="S1125" s="20"/>
      <c r="T1125" s="708"/>
      <c r="U1125" s="708"/>
    </row>
    <row r="1126" ht="13.8" spans="1:21">
      <c r="A1126" s="19"/>
      <c r="B1126" s="20"/>
      <c r="C1126" s="20"/>
      <c r="D1126" s="19"/>
      <c r="E1126" s="19"/>
      <c r="F1126" s="19"/>
      <c r="G1126" s="19"/>
      <c r="H1126" s="19"/>
      <c r="I1126" s="19"/>
      <c r="J1126" s="20"/>
      <c r="K1126" s="19"/>
      <c r="L1126" s="19"/>
      <c r="M1126" s="19"/>
      <c r="N1126" s="20"/>
      <c r="O1126" s="20"/>
      <c r="P1126" s="20"/>
      <c r="Q1126" s="20"/>
      <c r="R1126" s="20"/>
      <c r="S1126" s="20"/>
      <c r="T1126" s="708"/>
      <c r="U1126" s="708"/>
    </row>
    <row r="1127" ht="13.8" spans="1:21">
      <c r="A1127" s="19"/>
      <c r="B1127" s="20"/>
      <c r="C1127" s="20"/>
      <c r="D1127" s="19"/>
      <c r="E1127" s="19"/>
      <c r="F1127" s="19"/>
      <c r="G1127" s="19"/>
      <c r="H1127" s="19"/>
      <c r="I1127" s="19"/>
      <c r="J1127" s="20"/>
      <c r="K1127" s="19"/>
      <c r="L1127" s="19"/>
      <c r="M1127" s="19"/>
      <c r="N1127" s="20"/>
      <c r="O1127" s="20"/>
      <c r="P1127" s="20"/>
      <c r="Q1127" s="20"/>
      <c r="R1127" s="20"/>
      <c r="S1127" s="20"/>
      <c r="T1127" s="708"/>
      <c r="U1127" s="708"/>
    </row>
    <row r="1128" ht="13.8" spans="1:21">
      <c r="A1128" s="19"/>
      <c r="B1128" s="20"/>
      <c r="C1128" s="20"/>
      <c r="D1128" s="19"/>
      <c r="E1128" s="19"/>
      <c r="F1128" s="19"/>
      <c r="G1128" s="19"/>
      <c r="H1128" s="19"/>
      <c r="I1128" s="19"/>
      <c r="J1128" s="20"/>
      <c r="K1128" s="19"/>
      <c r="L1128" s="19"/>
      <c r="M1128" s="19"/>
      <c r="N1128" s="20"/>
      <c r="O1128" s="20"/>
      <c r="P1128" s="20"/>
      <c r="Q1128" s="20"/>
      <c r="R1128" s="20"/>
      <c r="S1128" s="20"/>
      <c r="T1128" s="708"/>
      <c r="U1128" s="708"/>
    </row>
    <row r="1129" ht="13.8" spans="1:21">
      <c r="A1129" s="19"/>
      <c r="B1129" s="20"/>
      <c r="C1129" s="20"/>
      <c r="D1129" s="19"/>
      <c r="E1129" s="19"/>
      <c r="F1129" s="19"/>
      <c r="G1129" s="19"/>
      <c r="H1129" s="19"/>
      <c r="I1129" s="19"/>
      <c r="J1129" s="20"/>
      <c r="K1129" s="19"/>
      <c r="L1129" s="19"/>
      <c r="M1129" s="19"/>
      <c r="N1129" s="20"/>
      <c r="O1129" s="20"/>
      <c r="P1129" s="20"/>
      <c r="Q1129" s="20"/>
      <c r="R1129" s="20"/>
      <c r="S1129" s="20"/>
      <c r="T1129" s="708"/>
      <c r="U1129" s="708"/>
    </row>
    <row r="1130" ht="13.8" spans="1:21">
      <c r="A1130" s="19"/>
      <c r="B1130" s="20"/>
      <c r="C1130" s="20"/>
      <c r="D1130" s="19"/>
      <c r="E1130" s="19"/>
      <c r="F1130" s="19"/>
      <c r="G1130" s="19"/>
      <c r="H1130" s="19"/>
      <c r="I1130" s="19"/>
      <c r="J1130" s="20"/>
      <c r="K1130" s="19"/>
      <c r="L1130" s="19"/>
      <c r="M1130" s="19"/>
      <c r="N1130" s="20"/>
      <c r="O1130" s="20"/>
      <c r="P1130" s="20"/>
      <c r="Q1130" s="20"/>
      <c r="R1130" s="20"/>
      <c r="S1130" s="20"/>
      <c r="T1130" s="708"/>
      <c r="U1130" s="708"/>
    </row>
    <row r="1131" ht="13.8" spans="1:21">
      <c r="A1131" s="19"/>
      <c r="B1131" s="20"/>
      <c r="C1131" s="20"/>
      <c r="D1131" s="19"/>
      <c r="E1131" s="19"/>
      <c r="F1131" s="19"/>
      <c r="G1131" s="19"/>
      <c r="H1131" s="19"/>
      <c r="I1131" s="19"/>
      <c r="J1131" s="20"/>
      <c r="K1131" s="19"/>
      <c r="L1131" s="19"/>
      <c r="M1131" s="19"/>
      <c r="N1131" s="20"/>
      <c r="O1131" s="20"/>
      <c r="P1131" s="20"/>
      <c r="Q1131" s="20"/>
      <c r="R1131" s="20"/>
      <c r="S1131" s="20"/>
      <c r="T1131" s="708"/>
      <c r="U1131" s="708"/>
    </row>
    <row r="1132" ht="13.8" spans="1:21">
      <c r="A1132" s="19"/>
      <c r="B1132" s="20"/>
      <c r="C1132" s="20"/>
      <c r="D1132" s="19"/>
      <c r="E1132" s="19"/>
      <c r="F1132" s="19"/>
      <c r="G1132" s="19"/>
      <c r="H1132" s="19"/>
      <c r="I1132" s="19"/>
      <c r="J1132" s="20"/>
      <c r="K1132" s="19"/>
      <c r="L1132" s="19"/>
      <c r="M1132" s="19"/>
      <c r="N1132" s="20"/>
      <c r="O1132" s="20"/>
      <c r="P1132" s="20"/>
      <c r="Q1132" s="20"/>
      <c r="R1132" s="20"/>
      <c r="S1132" s="20"/>
      <c r="T1132" s="708"/>
      <c r="U1132" s="708"/>
    </row>
    <row r="1133" ht="13.8" spans="1:21">
      <c r="A1133" s="19"/>
      <c r="B1133" s="20"/>
      <c r="C1133" s="20"/>
      <c r="D1133" s="19"/>
      <c r="E1133" s="19"/>
      <c r="F1133" s="19"/>
      <c r="G1133" s="19"/>
      <c r="H1133" s="19"/>
      <c r="I1133" s="19"/>
      <c r="J1133" s="20"/>
      <c r="K1133" s="19"/>
      <c r="L1133" s="19"/>
      <c r="M1133" s="19"/>
      <c r="N1133" s="20"/>
      <c r="O1133" s="20"/>
      <c r="P1133" s="20"/>
      <c r="Q1133" s="20"/>
      <c r="R1133" s="20"/>
      <c r="S1133" s="20"/>
      <c r="T1133" s="708"/>
      <c r="U1133" s="708"/>
    </row>
    <row r="1134" ht="13.8" spans="1:21">
      <c r="A1134" s="19"/>
      <c r="B1134" s="20"/>
      <c r="C1134" s="20"/>
      <c r="D1134" s="19"/>
      <c r="E1134" s="19"/>
      <c r="F1134" s="19"/>
      <c r="G1134" s="19"/>
      <c r="H1134" s="19"/>
      <c r="I1134" s="19"/>
      <c r="J1134" s="20"/>
      <c r="K1134" s="19"/>
      <c r="L1134" s="19"/>
      <c r="M1134" s="19"/>
      <c r="N1134" s="20"/>
      <c r="O1134" s="20"/>
      <c r="P1134" s="20"/>
      <c r="Q1134" s="20"/>
      <c r="R1134" s="20"/>
      <c r="S1134" s="20"/>
      <c r="T1134" s="708"/>
      <c r="U1134" s="708"/>
    </row>
    <row r="1135" ht="13.8" spans="1:21">
      <c r="A1135" s="19"/>
      <c r="B1135" s="20"/>
      <c r="C1135" s="20"/>
      <c r="D1135" s="19"/>
      <c r="E1135" s="19"/>
      <c r="F1135" s="19"/>
      <c r="G1135" s="19"/>
      <c r="H1135" s="19"/>
      <c r="I1135" s="19"/>
      <c r="J1135" s="20"/>
      <c r="K1135" s="19"/>
      <c r="L1135" s="19"/>
      <c r="M1135" s="19"/>
      <c r="N1135" s="20"/>
      <c r="O1135" s="20"/>
      <c r="P1135" s="20"/>
      <c r="Q1135" s="20"/>
      <c r="R1135" s="20"/>
      <c r="S1135" s="20"/>
      <c r="T1135" s="708"/>
      <c r="U1135" s="708"/>
    </row>
    <row r="1136" ht="13.8" spans="1:21">
      <c r="A1136" s="19"/>
      <c r="B1136" s="20"/>
      <c r="C1136" s="20"/>
      <c r="D1136" s="19"/>
      <c r="E1136" s="19"/>
      <c r="F1136" s="19"/>
      <c r="G1136" s="19"/>
      <c r="H1136" s="19"/>
      <c r="I1136" s="19"/>
      <c r="J1136" s="20"/>
      <c r="K1136" s="19"/>
      <c r="L1136" s="19"/>
      <c r="M1136" s="19"/>
      <c r="N1136" s="20"/>
      <c r="O1136" s="20"/>
      <c r="P1136" s="20"/>
      <c r="Q1136" s="20"/>
      <c r="R1136" s="20"/>
      <c r="S1136" s="20"/>
      <c r="T1136" s="708"/>
      <c r="U1136" s="708"/>
    </row>
    <row r="1137" ht="13.8" spans="1:21">
      <c r="A1137" s="19"/>
      <c r="B1137" s="20"/>
      <c r="C1137" s="20"/>
      <c r="D1137" s="19"/>
      <c r="E1137" s="19"/>
      <c r="F1137" s="19"/>
      <c r="G1137" s="19"/>
      <c r="H1137" s="19"/>
      <c r="I1137" s="19"/>
      <c r="J1137" s="20"/>
      <c r="K1137" s="19"/>
      <c r="L1137" s="19"/>
      <c r="M1137" s="19"/>
      <c r="N1137" s="20"/>
      <c r="O1137" s="20"/>
      <c r="P1137" s="20"/>
      <c r="Q1137" s="20"/>
      <c r="R1137" s="20"/>
      <c r="S1137" s="20"/>
      <c r="T1137" s="708"/>
      <c r="U1137" s="708"/>
    </row>
    <row r="1138" ht="13.8" spans="1:21">
      <c r="A1138" s="19"/>
      <c r="B1138" s="20"/>
      <c r="C1138" s="20"/>
      <c r="D1138" s="19"/>
      <c r="E1138" s="19"/>
      <c r="F1138" s="19"/>
      <c r="G1138" s="19"/>
      <c r="H1138" s="19"/>
      <c r="I1138" s="19"/>
      <c r="J1138" s="20"/>
      <c r="K1138" s="19"/>
      <c r="L1138" s="19"/>
      <c r="M1138" s="19"/>
      <c r="N1138" s="20"/>
      <c r="O1138" s="20"/>
      <c r="P1138" s="20"/>
      <c r="Q1138" s="20"/>
      <c r="R1138" s="20"/>
      <c r="S1138" s="20"/>
      <c r="T1138" s="708"/>
      <c r="U1138" s="708"/>
    </row>
    <row r="1139" ht="13.8" spans="1:21">
      <c r="A1139" s="19"/>
      <c r="B1139" s="20"/>
      <c r="C1139" s="20"/>
      <c r="D1139" s="19"/>
      <c r="E1139" s="19"/>
      <c r="F1139" s="19"/>
      <c r="G1139" s="19"/>
      <c r="H1139" s="19"/>
      <c r="I1139" s="19"/>
      <c r="J1139" s="20"/>
      <c r="K1139" s="19"/>
      <c r="L1139" s="19"/>
      <c r="M1139" s="19"/>
      <c r="N1139" s="20"/>
      <c r="O1139" s="20"/>
      <c r="P1139" s="20"/>
      <c r="Q1139" s="20"/>
      <c r="R1139" s="20"/>
      <c r="S1139" s="20"/>
      <c r="T1139" s="708"/>
      <c r="U1139" s="708"/>
    </row>
    <row r="1140" ht="13.8" spans="1:21">
      <c r="A1140" s="19"/>
      <c r="B1140" s="20"/>
      <c r="C1140" s="20"/>
      <c r="D1140" s="19"/>
      <c r="E1140" s="19"/>
      <c r="F1140" s="19"/>
      <c r="G1140" s="19"/>
      <c r="H1140" s="19"/>
      <c r="I1140" s="19"/>
      <c r="J1140" s="20"/>
      <c r="K1140" s="19"/>
      <c r="L1140" s="19"/>
      <c r="M1140" s="19"/>
      <c r="N1140" s="20"/>
      <c r="O1140" s="20"/>
      <c r="P1140" s="20"/>
      <c r="Q1140" s="20"/>
      <c r="R1140" s="20"/>
      <c r="S1140" s="20"/>
      <c r="T1140" s="708"/>
      <c r="U1140" s="708"/>
    </row>
    <row r="1141" ht="13.8" spans="1:21">
      <c r="A1141" s="19"/>
      <c r="B1141" s="20"/>
      <c r="C1141" s="20"/>
      <c r="D1141" s="19"/>
      <c r="E1141" s="19"/>
      <c r="F1141" s="19"/>
      <c r="G1141" s="19"/>
      <c r="H1141" s="19"/>
      <c r="I1141" s="19"/>
      <c r="J1141" s="20"/>
      <c r="K1141" s="19"/>
      <c r="L1141" s="19"/>
      <c r="M1141" s="19"/>
      <c r="N1141" s="20"/>
      <c r="O1141" s="20"/>
      <c r="P1141" s="20"/>
      <c r="Q1141" s="20"/>
      <c r="R1141" s="20"/>
      <c r="S1141" s="20"/>
      <c r="T1141" s="708"/>
      <c r="U1141" s="708"/>
    </row>
    <row r="1142" ht="13.8" spans="1:21">
      <c r="A1142" s="19"/>
      <c r="B1142" s="20"/>
      <c r="C1142" s="20"/>
      <c r="D1142" s="19"/>
      <c r="E1142" s="19"/>
      <c r="F1142" s="19"/>
      <c r="G1142" s="19"/>
      <c r="H1142" s="19"/>
      <c r="I1142" s="19"/>
      <c r="J1142" s="20"/>
      <c r="K1142" s="19"/>
      <c r="L1142" s="19"/>
      <c r="M1142" s="19"/>
      <c r="N1142" s="20"/>
      <c r="O1142" s="20"/>
      <c r="P1142" s="20"/>
      <c r="Q1142" s="20"/>
      <c r="R1142" s="20"/>
      <c r="S1142" s="20"/>
      <c r="T1142" s="708"/>
      <c r="U1142" s="708"/>
    </row>
    <row r="1143" ht="13.8" spans="1:21">
      <c r="A1143" s="19"/>
      <c r="B1143" s="20"/>
      <c r="C1143" s="20"/>
      <c r="D1143" s="19"/>
      <c r="E1143" s="19"/>
      <c r="F1143" s="19"/>
      <c r="G1143" s="19"/>
      <c r="H1143" s="19"/>
      <c r="I1143" s="19"/>
      <c r="J1143" s="20"/>
      <c r="K1143" s="19"/>
      <c r="L1143" s="19"/>
      <c r="M1143" s="19"/>
      <c r="N1143" s="20"/>
      <c r="O1143" s="20"/>
      <c r="P1143" s="20"/>
      <c r="Q1143" s="20"/>
      <c r="R1143" s="20"/>
      <c r="S1143" s="20"/>
      <c r="T1143" s="708"/>
      <c r="U1143" s="708"/>
    </row>
    <row r="1144" ht="13.8" spans="1:21">
      <c r="A1144" s="19"/>
      <c r="B1144" s="20"/>
      <c r="C1144" s="20"/>
      <c r="D1144" s="19"/>
      <c r="E1144" s="19"/>
      <c r="F1144" s="19"/>
      <c r="G1144" s="19"/>
      <c r="H1144" s="19"/>
      <c r="I1144" s="19"/>
      <c r="J1144" s="20"/>
      <c r="K1144" s="19"/>
      <c r="L1144" s="19"/>
      <c r="M1144" s="19"/>
      <c r="N1144" s="20"/>
      <c r="O1144" s="20"/>
      <c r="P1144" s="20"/>
      <c r="Q1144" s="20"/>
      <c r="R1144" s="20"/>
      <c r="S1144" s="20"/>
      <c r="T1144" s="708"/>
      <c r="U1144" s="708"/>
    </row>
    <row r="1145" ht="13.8" spans="1:21">
      <c r="A1145" s="19"/>
      <c r="B1145" s="20"/>
      <c r="C1145" s="20"/>
      <c r="D1145" s="19"/>
      <c r="E1145" s="19"/>
      <c r="F1145" s="19"/>
      <c r="G1145" s="19"/>
      <c r="H1145" s="19"/>
      <c r="I1145" s="19"/>
      <c r="J1145" s="20"/>
      <c r="K1145" s="19"/>
      <c r="L1145" s="19"/>
      <c r="M1145" s="19"/>
      <c r="N1145" s="20"/>
      <c r="O1145" s="20"/>
      <c r="P1145" s="20"/>
      <c r="Q1145" s="20"/>
      <c r="R1145" s="20"/>
      <c r="S1145" s="20"/>
      <c r="T1145" s="708"/>
      <c r="U1145" s="708"/>
    </row>
    <row r="1146" ht="13.8" spans="1:21">
      <c r="A1146" s="19"/>
      <c r="B1146" s="20"/>
      <c r="C1146" s="20"/>
      <c r="D1146" s="19"/>
      <c r="E1146" s="19"/>
      <c r="F1146" s="19"/>
      <c r="G1146" s="19"/>
      <c r="H1146" s="19"/>
      <c r="I1146" s="19"/>
      <c r="J1146" s="20"/>
      <c r="K1146" s="19"/>
      <c r="L1146" s="19"/>
      <c r="M1146" s="19"/>
      <c r="N1146" s="20"/>
      <c r="O1146" s="20"/>
      <c r="P1146" s="20"/>
      <c r="Q1146" s="20"/>
      <c r="R1146" s="20"/>
      <c r="S1146" s="20"/>
      <c r="T1146" s="708"/>
      <c r="U1146" s="708"/>
    </row>
    <row r="1147" ht="13.8" spans="1:21">
      <c r="A1147" s="19"/>
      <c r="B1147" s="20"/>
      <c r="C1147" s="20"/>
      <c r="D1147" s="19"/>
      <c r="E1147" s="19"/>
      <c r="F1147" s="19"/>
      <c r="G1147" s="19"/>
      <c r="H1147" s="19"/>
      <c r="I1147" s="19"/>
      <c r="J1147" s="20"/>
      <c r="K1147" s="19"/>
      <c r="L1147" s="19"/>
      <c r="M1147" s="19"/>
      <c r="N1147" s="20"/>
      <c r="O1147" s="20"/>
      <c r="P1147" s="20"/>
      <c r="Q1147" s="20"/>
      <c r="R1147" s="20"/>
      <c r="S1147" s="20"/>
      <c r="T1147" s="708"/>
      <c r="U1147" s="708"/>
    </row>
    <row r="1148" ht="13.8" spans="1:21">
      <c r="A1148" s="19"/>
      <c r="B1148" s="20"/>
      <c r="C1148" s="20"/>
      <c r="D1148" s="19"/>
      <c r="E1148" s="19"/>
      <c r="F1148" s="19"/>
      <c r="G1148" s="19"/>
      <c r="H1148" s="19"/>
      <c r="I1148" s="19"/>
      <c r="J1148" s="20"/>
      <c r="K1148" s="19"/>
      <c r="L1148" s="19"/>
      <c r="M1148" s="19"/>
      <c r="N1148" s="20"/>
      <c r="O1148" s="20"/>
      <c r="P1148" s="20"/>
      <c r="Q1148" s="20"/>
      <c r="R1148" s="20"/>
      <c r="S1148" s="20"/>
      <c r="T1148" s="708"/>
      <c r="U1148" s="708"/>
    </row>
    <row r="1149" ht="13.8" spans="1:21">
      <c r="A1149" s="19"/>
      <c r="B1149" s="20"/>
      <c r="C1149" s="20"/>
      <c r="D1149" s="19"/>
      <c r="E1149" s="19"/>
      <c r="F1149" s="19"/>
      <c r="G1149" s="19"/>
      <c r="H1149" s="19"/>
      <c r="I1149" s="19"/>
      <c r="J1149" s="20"/>
      <c r="K1149" s="19"/>
      <c r="L1149" s="19"/>
      <c r="M1149" s="19"/>
      <c r="N1149" s="20"/>
      <c r="O1149" s="20"/>
      <c r="P1149" s="20"/>
      <c r="Q1149" s="20"/>
      <c r="R1149" s="20"/>
      <c r="S1149" s="20"/>
      <c r="T1149" s="708"/>
      <c r="U1149" s="708"/>
    </row>
    <row r="1150" ht="13.8" spans="1:21">
      <c r="A1150" s="19"/>
      <c r="B1150" s="20"/>
      <c r="C1150" s="20"/>
      <c r="D1150" s="19"/>
      <c r="E1150" s="19"/>
      <c r="F1150" s="19"/>
      <c r="G1150" s="19"/>
      <c r="H1150" s="19"/>
      <c r="I1150" s="19"/>
      <c r="J1150" s="20"/>
      <c r="K1150" s="19"/>
      <c r="L1150" s="19"/>
      <c r="M1150" s="19"/>
      <c r="N1150" s="20"/>
      <c r="O1150" s="20"/>
      <c r="P1150" s="20"/>
      <c r="Q1150" s="20"/>
      <c r="R1150" s="20"/>
      <c r="S1150" s="20"/>
      <c r="T1150" s="708"/>
      <c r="U1150" s="708"/>
    </row>
    <row r="1151" ht="13.8" spans="1:21">
      <c r="A1151" s="19"/>
      <c r="B1151" s="20"/>
      <c r="C1151" s="20"/>
      <c r="D1151" s="19"/>
      <c r="E1151" s="19"/>
      <c r="F1151" s="19"/>
      <c r="G1151" s="19"/>
      <c r="H1151" s="19"/>
      <c r="I1151" s="19"/>
      <c r="J1151" s="20"/>
      <c r="K1151" s="19"/>
      <c r="L1151" s="19"/>
      <c r="M1151" s="19"/>
      <c r="N1151" s="20"/>
      <c r="O1151" s="20"/>
      <c r="P1151" s="20"/>
      <c r="Q1151" s="20"/>
      <c r="R1151" s="20"/>
      <c r="S1151" s="20"/>
      <c r="T1151" s="708"/>
      <c r="U1151" s="708"/>
    </row>
    <row r="1152" ht="13.8" spans="1:21">
      <c r="A1152" s="19"/>
      <c r="B1152" s="20"/>
      <c r="C1152" s="20"/>
      <c r="D1152" s="19"/>
      <c r="E1152" s="19"/>
      <c r="F1152" s="19"/>
      <c r="G1152" s="19"/>
      <c r="H1152" s="19"/>
      <c r="I1152" s="19"/>
      <c r="J1152" s="20"/>
      <c r="K1152" s="19"/>
      <c r="L1152" s="19"/>
      <c r="M1152" s="19"/>
      <c r="N1152" s="20"/>
      <c r="O1152" s="20"/>
      <c r="P1152" s="20"/>
      <c r="Q1152" s="20"/>
      <c r="R1152" s="20"/>
      <c r="S1152" s="20"/>
      <c r="T1152" s="708"/>
      <c r="U1152" s="708"/>
    </row>
    <row r="1153" ht="13.8" spans="1:21">
      <c r="A1153" s="19"/>
      <c r="B1153" s="20"/>
      <c r="C1153" s="20"/>
      <c r="D1153" s="19"/>
      <c r="E1153" s="19"/>
      <c r="F1153" s="19"/>
      <c r="G1153" s="19"/>
      <c r="H1153" s="19"/>
      <c r="I1153" s="19"/>
      <c r="J1153" s="20"/>
      <c r="K1153" s="19"/>
      <c r="L1153" s="19"/>
      <c r="M1153" s="19"/>
      <c r="N1153" s="20"/>
      <c r="O1153" s="20"/>
      <c r="P1153" s="20"/>
      <c r="Q1153" s="20"/>
      <c r="R1153" s="20"/>
      <c r="S1153" s="20"/>
      <c r="T1153" s="708"/>
      <c r="U1153" s="708"/>
    </row>
    <row r="1154" ht="13.8" spans="1:21">
      <c r="A1154" s="19"/>
      <c r="B1154" s="20"/>
      <c r="C1154" s="20"/>
      <c r="D1154" s="19"/>
      <c r="E1154" s="19"/>
      <c r="F1154" s="19"/>
      <c r="G1154" s="19"/>
      <c r="H1154" s="19"/>
      <c r="I1154" s="19"/>
      <c r="J1154" s="20"/>
      <c r="K1154" s="19"/>
      <c r="L1154" s="19"/>
      <c r="M1154" s="19"/>
      <c r="N1154" s="20"/>
      <c r="O1154" s="20"/>
      <c r="P1154" s="20"/>
      <c r="Q1154" s="20"/>
      <c r="R1154" s="20"/>
      <c r="S1154" s="20"/>
      <c r="T1154" s="708"/>
      <c r="U1154" s="708"/>
    </row>
    <row r="1155" ht="13.8" spans="1:21">
      <c r="A1155" s="19"/>
      <c r="B1155" s="20"/>
      <c r="C1155" s="20"/>
      <c r="D1155" s="19"/>
      <c r="E1155" s="19"/>
      <c r="F1155" s="19"/>
      <c r="G1155" s="19"/>
      <c r="H1155" s="19"/>
      <c r="I1155" s="19"/>
      <c r="J1155" s="20"/>
      <c r="K1155" s="19"/>
      <c r="L1155" s="19"/>
      <c r="M1155" s="19"/>
      <c r="N1155" s="20"/>
      <c r="O1155" s="20"/>
      <c r="P1155" s="20"/>
      <c r="Q1155" s="20"/>
      <c r="R1155" s="20"/>
      <c r="S1155" s="20"/>
      <c r="T1155" s="708"/>
      <c r="U1155" s="708"/>
    </row>
    <row r="1156" ht="13.8" spans="1:21">
      <c r="A1156" s="19"/>
      <c r="B1156" s="20"/>
      <c r="C1156" s="20"/>
      <c r="D1156" s="19"/>
      <c r="E1156" s="19"/>
      <c r="F1156" s="19"/>
      <c r="G1156" s="19"/>
      <c r="H1156" s="19"/>
      <c r="I1156" s="19"/>
      <c r="J1156" s="20"/>
      <c r="K1156" s="19"/>
      <c r="L1156" s="19"/>
      <c r="M1156" s="19"/>
      <c r="N1156" s="20"/>
      <c r="O1156" s="20"/>
      <c r="P1156" s="20"/>
      <c r="Q1156" s="20"/>
      <c r="R1156" s="20"/>
      <c r="S1156" s="20"/>
      <c r="T1156" s="708"/>
      <c r="U1156" s="708"/>
    </row>
    <row r="1157" ht="13.8" spans="1:21">
      <c r="A1157" s="19"/>
      <c r="B1157" s="20"/>
      <c r="C1157" s="20"/>
      <c r="D1157" s="19"/>
      <c r="E1157" s="19"/>
      <c r="F1157" s="19"/>
      <c r="G1157" s="19"/>
      <c r="H1157" s="19"/>
      <c r="I1157" s="19"/>
      <c r="J1157" s="20"/>
      <c r="K1157" s="19"/>
      <c r="L1157" s="19"/>
      <c r="M1157" s="19"/>
      <c r="N1157" s="20"/>
      <c r="O1157" s="20"/>
      <c r="P1157" s="20"/>
      <c r="Q1157" s="20"/>
      <c r="R1157" s="20"/>
      <c r="S1157" s="20"/>
      <c r="T1157" s="708"/>
      <c r="U1157" s="708"/>
    </row>
    <row r="1158" ht="13.8" spans="1:21">
      <c r="A1158" s="19"/>
      <c r="B1158" s="20"/>
      <c r="C1158" s="20"/>
      <c r="D1158" s="19"/>
      <c r="E1158" s="19"/>
      <c r="F1158" s="19"/>
      <c r="G1158" s="19"/>
      <c r="H1158" s="19"/>
      <c r="I1158" s="19"/>
      <c r="J1158" s="20"/>
      <c r="K1158" s="19"/>
      <c r="L1158" s="19"/>
      <c r="M1158" s="19"/>
      <c r="N1158" s="20"/>
      <c r="O1158" s="20"/>
      <c r="P1158" s="20"/>
      <c r="Q1158" s="20"/>
      <c r="R1158" s="20"/>
      <c r="S1158" s="20"/>
      <c r="T1158" s="708"/>
      <c r="U1158" s="708"/>
    </row>
    <row r="1159" ht="13.8" spans="1:21">
      <c r="A1159" s="19"/>
      <c r="B1159" s="20"/>
      <c r="C1159" s="20"/>
      <c r="D1159" s="19"/>
      <c r="E1159" s="19"/>
      <c r="F1159" s="19"/>
      <c r="G1159" s="19"/>
      <c r="H1159" s="19"/>
      <c r="I1159" s="19"/>
      <c r="J1159" s="20"/>
      <c r="K1159" s="19"/>
      <c r="L1159" s="19"/>
      <c r="M1159" s="19"/>
      <c r="N1159" s="20"/>
      <c r="O1159" s="20"/>
      <c r="P1159" s="20"/>
      <c r="Q1159" s="20"/>
      <c r="R1159" s="20"/>
      <c r="S1159" s="20"/>
      <c r="T1159" s="708"/>
      <c r="U1159" s="708"/>
    </row>
    <row r="1160" ht="13.8" spans="1:21">
      <c r="A1160" s="19"/>
      <c r="B1160" s="20"/>
      <c r="C1160" s="20"/>
      <c r="D1160" s="19"/>
      <c r="E1160" s="19"/>
      <c r="F1160" s="19"/>
      <c r="G1160" s="19"/>
      <c r="H1160" s="19"/>
      <c r="I1160" s="19"/>
      <c r="J1160" s="20"/>
      <c r="K1160" s="19"/>
      <c r="L1160" s="19"/>
      <c r="M1160" s="19"/>
      <c r="N1160" s="20"/>
      <c r="O1160" s="20"/>
      <c r="P1160" s="20"/>
      <c r="Q1160" s="20"/>
      <c r="R1160" s="20"/>
      <c r="S1160" s="20"/>
      <c r="T1160" s="708"/>
      <c r="U1160" s="708"/>
    </row>
    <row r="1161" ht="13.8" spans="1:21">
      <c r="A1161" s="19"/>
      <c r="B1161" s="20"/>
      <c r="C1161" s="20"/>
      <c r="D1161" s="19"/>
      <c r="E1161" s="19"/>
      <c r="F1161" s="19"/>
      <c r="G1161" s="19"/>
      <c r="H1161" s="19"/>
      <c r="I1161" s="19"/>
      <c r="J1161" s="20"/>
      <c r="K1161" s="19"/>
      <c r="L1161" s="19"/>
      <c r="M1161" s="19"/>
      <c r="N1161" s="20"/>
      <c r="O1161" s="20"/>
      <c r="P1161" s="20"/>
      <c r="Q1161" s="20"/>
      <c r="R1161" s="20"/>
      <c r="S1161" s="20"/>
      <c r="T1161" s="708"/>
      <c r="U1161" s="708"/>
    </row>
    <row r="1162" ht="13.8" spans="1:21">
      <c r="A1162" s="19"/>
      <c r="B1162" s="20"/>
      <c r="C1162" s="20"/>
      <c r="D1162" s="19"/>
      <c r="E1162" s="19"/>
      <c r="F1162" s="19"/>
      <c r="G1162" s="19"/>
      <c r="H1162" s="19"/>
      <c r="I1162" s="19"/>
      <c r="J1162" s="20"/>
      <c r="K1162" s="19"/>
      <c r="L1162" s="19"/>
      <c r="M1162" s="19"/>
      <c r="N1162" s="20"/>
      <c r="O1162" s="20"/>
      <c r="P1162" s="20"/>
      <c r="Q1162" s="20"/>
      <c r="R1162" s="20"/>
      <c r="S1162" s="20"/>
      <c r="T1162" s="708"/>
      <c r="U1162" s="708"/>
    </row>
    <row r="1163" ht="13.8" spans="1:21">
      <c r="A1163" s="19"/>
      <c r="B1163" s="20"/>
      <c r="C1163" s="20"/>
      <c r="D1163" s="19"/>
      <c r="E1163" s="19"/>
      <c r="F1163" s="19"/>
      <c r="G1163" s="19"/>
      <c r="H1163" s="19"/>
      <c r="I1163" s="19"/>
      <c r="J1163" s="20"/>
      <c r="K1163" s="19"/>
      <c r="L1163" s="19"/>
      <c r="M1163" s="19"/>
      <c r="N1163" s="20"/>
      <c r="O1163" s="20"/>
      <c r="P1163" s="20"/>
      <c r="Q1163" s="20"/>
      <c r="R1163" s="20"/>
      <c r="S1163" s="20"/>
      <c r="T1163" s="708"/>
      <c r="U1163" s="708"/>
    </row>
    <row r="1164" ht="13.8" spans="1:21">
      <c r="A1164" s="19"/>
      <c r="B1164" s="20"/>
      <c r="C1164" s="20"/>
      <c r="D1164" s="19"/>
      <c r="E1164" s="19"/>
      <c r="F1164" s="19"/>
      <c r="G1164" s="19"/>
      <c r="H1164" s="19"/>
      <c r="I1164" s="19"/>
      <c r="J1164" s="20"/>
      <c r="K1164" s="19"/>
      <c r="L1164" s="19"/>
      <c r="M1164" s="19"/>
      <c r="N1164" s="20"/>
      <c r="O1164" s="20"/>
      <c r="P1164" s="20"/>
      <c r="Q1164" s="20"/>
      <c r="R1164" s="20"/>
      <c r="S1164" s="20"/>
      <c r="T1164" s="708"/>
      <c r="U1164" s="708"/>
    </row>
    <row r="1165" ht="13.8" spans="1:21">
      <c r="A1165" s="19"/>
      <c r="B1165" s="20"/>
      <c r="C1165" s="20"/>
      <c r="D1165" s="19"/>
      <c r="E1165" s="19"/>
      <c r="F1165" s="19"/>
      <c r="G1165" s="19"/>
      <c r="H1165" s="19"/>
      <c r="I1165" s="19"/>
      <c r="J1165" s="20"/>
      <c r="K1165" s="19"/>
      <c r="L1165" s="19"/>
      <c r="M1165" s="19"/>
      <c r="N1165" s="20"/>
      <c r="O1165" s="20"/>
      <c r="P1165" s="20"/>
      <c r="Q1165" s="20"/>
      <c r="R1165" s="20"/>
      <c r="S1165" s="20"/>
      <c r="T1165" s="708"/>
      <c r="U1165" s="708"/>
    </row>
    <row r="1166" ht="13.8" spans="1:21">
      <c r="A1166" s="19"/>
      <c r="B1166" s="20"/>
      <c r="C1166" s="20"/>
      <c r="D1166" s="19"/>
      <c r="E1166" s="19"/>
      <c r="F1166" s="19"/>
      <c r="G1166" s="19"/>
      <c r="H1166" s="19"/>
      <c r="I1166" s="19"/>
      <c r="J1166" s="20"/>
      <c r="K1166" s="19"/>
      <c r="L1166" s="19"/>
      <c r="M1166" s="19"/>
      <c r="N1166" s="20"/>
      <c r="O1166" s="20"/>
      <c r="P1166" s="20"/>
      <c r="Q1166" s="20"/>
      <c r="R1166" s="20"/>
      <c r="S1166" s="20"/>
      <c r="T1166" s="708"/>
      <c r="U1166" s="708"/>
    </row>
    <row r="1167" ht="13.8" spans="1:21">
      <c r="A1167" s="19"/>
      <c r="B1167" s="20"/>
      <c r="C1167" s="20"/>
      <c r="D1167" s="19"/>
      <c r="E1167" s="19"/>
      <c r="F1167" s="19"/>
      <c r="G1167" s="19"/>
      <c r="H1167" s="19"/>
      <c r="I1167" s="19"/>
      <c r="J1167" s="20"/>
      <c r="K1167" s="19"/>
      <c r="L1167" s="19"/>
      <c r="M1167" s="19"/>
      <c r="N1167" s="20"/>
      <c r="O1167" s="20"/>
      <c r="P1167" s="20"/>
      <c r="Q1167" s="20"/>
      <c r="R1167" s="20"/>
      <c r="S1167" s="20"/>
      <c r="T1167" s="708"/>
      <c r="U1167" s="708"/>
    </row>
    <row r="1168" ht="13.8" spans="1:21">
      <c r="A1168" s="19"/>
      <c r="B1168" s="20"/>
      <c r="C1168" s="20"/>
      <c r="D1168" s="19"/>
      <c r="E1168" s="19"/>
      <c r="F1168" s="19"/>
      <c r="G1168" s="19"/>
      <c r="H1168" s="19"/>
      <c r="I1168" s="19"/>
      <c r="J1168" s="20"/>
      <c r="K1168" s="19"/>
      <c r="L1168" s="19"/>
      <c r="M1168" s="19"/>
      <c r="N1168" s="20"/>
      <c r="O1168" s="20"/>
      <c r="P1168" s="20"/>
      <c r="Q1168" s="20"/>
      <c r="R1168" s="20"/>
      <c r="S1168" s="20"/>
      <c r="T1168" s="708"/>
      <c r="U1168" s="708"/>
    </row>
    <row r="1169" ht="13.8" spans="1:21">
      <c r="A1169" s="19"/>
      <c r="B1169" s="20"/>
      <c r="C1169" s="20"/>
      <c r="D1169" s="19"/>
      <c r="E1169" s="19"/>
      <c r="F1169" s="19"/>
      <c r="G1169" s="19"/>
      <c r="H1169" s="19"/>
      <c r="I1169" s="19"/>
      <c r="J1169" s="20"/>
      <c r="K1169" s="19"/>
      <c r="L1169" s="19"/>
      <c r="M1169" s="19"/>
      <c r="N1169" s="20"/>
      <c r="O1169" s="20"/>
      <c r="P1169" s="20"/>
      <c r="Q1169" s="20"/>
      <c r="R1169" s="20"/>
      <c r="S1169" s="20"/>
      <c r="T1169" s="708"/>
      <c r="U1169" s="708"/>
    </row>
    <row r="1170" ht="13.8" spans="1:21">
      <c r="A1170" s="19"/>
      <c r="B1170" s="20"/>
      <c r="C1170" s="20"/>
      <c r="D1170" s="19"/>
      <c r="E1170" s="19"/>
      <c r="F1170" s="19"/>
      <c r="G1170" s="19"/>
      <c r="H1170" s="19"/>
      <c r="I1170" s="19"/>
      <c r="J1170" s="20"/>
      <c r="K1170" s="19"/>
      <c r="L1170" s="19"/>
      <c r="M1170" s="19"/>
      <c r="N1170" s="20"/>
      <c r="O1170" s="20"/>
      <c r="P1170" s="20"/>
      <c r="Q1170" s="20"/>
      <c r="R1170" s="20"/>
      <c r="S1170" s="20"/>
      <c r="T1170" s="708"/>
      <c r="U1170" s="708"/>
    </row>
    <row r="1171" ht="13.8" spans="1:21">
      <c r="A1171" s="19"/>
      <c r="B1171" s="20"/>
      <c r="C1171" s="20"/>
      <c r="D1171" s="19"/>
      <c r="E1171" s="19"/>
      <c r="F1171" s="19"/>
      <c r="G1171" s="19"/>
      <c r="H1171" s="19"/>
      <c r="I1171" s="19"/>
      <c r="J1171" s="20"/>
      <c r="K1171" s="19"/>
      <c r="L1171" s="19"/>
      <c r="M1171" s="19"/>
      <c r="N1171" s="20"/>
      <c r="O1171" s="20"/>
      <c r="P1171" s="20"/>
      <c r="Q1171" s="20"/>
      <c r="R1171" s="20"/>
      <c r="S1171" s="20"/>
      <c r="T1171" s="708"/>
      <c r="U1171" s="708"/>
    </row>
    <row r="1172" ht="13.8" spans="1:21">
      <c r="A1172" s="19"/>
      <c r="B1172" s="20"/>
      <c r="C1172" s="20"/>
      <c r="D1172" s="19"/>
      <c r="E1172" s="19"/>
      <c r="F1172" s="19"/>
      <c r="G1172" s="19"/>
      <c r="H1172" s="19"/>
      <c r="I1172" s="19"/>
      <c r="J1172" s="20"/>
      <c r="K1172" s="19"/>
      <c r="L1172" s="19"/>
      <c r="M1172" s="19"/>
      <c r="N1172" s="20"/>
      <c r="O1172" s="20"/>
      <c r="P1172" s="20"/>
      <c r="Q1172" s="20"/>
      <c r="R1172" s="20"/>
      <c r="S1172" s="20"/>
      <c r="T1172" s="708"/>
      <c r="U1172" s="708"/>
    </row>
    <row r="1173" ht="13.8" spans="1:21">
      <c r="A1173" s="19"/>
      <c r="B1173" s="20"/>
      <c r="C1173" s="20"/>
      <c r="D1173" s="19"/>
      <c r="E1173" s="19"/>
      <c r="F1173" s="19"/>
      <c r="G1173" s="19"/>
      <c r="H1173" s="19"/>
      <c r="I1173" s="19"/>
      <c r="J1173" s="20"/>
      <c r="K1173" s="19"/>
      <c r="L1173" s="19"/>
      <c r="M1173" s="19"/>
      <c r="N1173" s="20"/>
      <c r="O1173" s="20"/>
      <c r="P1173" s="20"/>
      <c r="Q1173" s="20"/>
      <c r="R1173" s="20"/>
      <c r="S1173" s="20"/>
      <c r="T1173" s="708"/>
      <c r="U1173" s="708"/>
    </row>
    <row r="1174" ht="13.8" spans="1:21">
      <c r="A1174" s="19"/>
      <c r="B1174" s="20"/>
      <c r="C1174" s="20"/>
      <c r="D1174" s="19"/>
      <c r="E1174" s="19"/>
      <c r="F1174" s="19"/>
      <c r="G1174" s="19"/>
      <c r="H1174" s="19"/>
      <c r="I1174" s="19"/>
      <c r="J1174" s="20"/>
      <c r="K1174" s="19"/>
      <c r="L1174" s="19"/>
      <c r="M1174" s="19"/>
      <c r="N1174" s="20"/>
      <c r="O1174" s="20"/>
      <c r="P1174" s="20"/>
      <c r="Q1174" s="20"/>
      <c r="R1174" s="20"/>
      <c r="S1174" s="20"/>
      <c r="T1174" s="708"/>
      <c r="U1174" s="708"/>
    </row>
    <row r="1175" ht="13.8" spans="1:21">
      <c r="A1175" s="19"/>
      <c r="B1175" s="20"/>
      <c r="C1175" s="20"/>
      <c r="D1175" s="19"/>
      <c r="E1175" s="19"/>
      <c r="F1175" s="19"/>
      <c r="G1175" s="19"/>
      <c r="H1175" s="19"/>
      <c r="I1175" s="19"/>
      <c r="J1175" s="20"/>
      <c r="K1175" s="19"/>
      <c r="L1175" s="19"/>
      <c r="M1175" s="19"/>
      <c r="N1175" s="20"/>
      <c r="O1175" s="20"/>
      <c r="P1175" s="20"/>
      <c r="Q1175" s="20"/>
      <c r="R1175" s="20"/>
      <c r="S1175" s="20"/>
      <c r="T1175" s="708"/>
      <c r="U1175" s="708"/>
    </row>
    <row r="1176" ht="13.8" spans="1:21">
      <c r="A1176" s="19"/>
      <c r="B1176" s="20"/>
      <c r="C1176" s="20"/>
      <c r="D1176" s="19"/>
      <c r="E1176" s="19"/>
      <c r="F1176" s="19"/>
      <c r="G1176" s="19"/>
      <c r="H1176" s="19"/>
      <c r="I1176" s="19"/>
      <c r="J1176" s="20"/>
      <c r="K1176" s="19"/>
      <c r="L1176" s="19"/>
      <c r="M1176" s="19"/>
      <c r="N1176" s="20"/>
      <c r="O1176" s="20"/>
      <c r="P1176" s="20"/>
      <c r="Q1176" s="20"/>
      <c r="R1176" s="20"/>
      <c r="S1176" s="20"/>
      <c r="T1176" s="708"/>
      <c r="U1176" s="708"/>
    </row>
    <row r="1177" ht="13.8" spans="1:21">
      <c r="A1177" s="19"/>
      <c r="B1177" s="20"/>
      <c r="C1177" s="20"/>
      <c r="D1177" s="19"/>
      <c r="E1177" s="19"/>
      <c r="F1177" s="19"/>
      <c r="G1177" s="19"/>
      <c r="H1177" s="19"/>
      <c r="I1177" s="19"/>
      <c r="J1177" s="20"/>
      <c r="K1177" s="19"/>
      <c r="L1177" s="19"/>
      <c r="M1177" s="19"/>
      <c r="N1177" s="20"/>
      <c r="O1177" s="20"/>
      <c r="P1177" s="20"/>
      <c r="Q1177" s="20"/>
      <c r="R1177" s="20"/>
      <c r="S1177" s="20"/>
      <c r="T1177" s="708"/>
      <c r="U1177" s="708"/>
    </row>
    <row r="1178" ht="13.8" spans="1:21">
      <c r="A1178" s="19"/>
      <c r="B1178" s="20"/>
      <c r="C1178" s="20"/>
      <c r="D1178" s="19"/>
      <c r="E1178" s="19"/>
      <c r="F1178" s="19"/>
      <c r="G1178" s="19"/>
      <c r="H1178" s="19"/>
      <c r="I1178" s="19"/>
      <c r="J1178" s="20"/>
      <c r="K1178" s="19"/>
      <c r="L1178" s="19"/>
      <c r="M1178" s="19"/>
      <c r="N1178" s="20"/>
      <c r="O1178" s="20"/>
      <c r="P1178" s="20"/>
      <c r="Q1178" s="20"/>
      <c r="R1178" s="20"/>
      <c r="S1178" s="20"/>
      <c r="T1178" s="708"/>
      <c r="U1178" s="708"/>
    </row>
    <row r="1179" ht="13.8" spans="1:21">
      <c r="A1179" s="19"/>
      <c r="B1179" s="20"/>
      <c r="C1179" s="20"/>
      <c r="D1179" s="19"/>
      <c r="E1179" s="19"/>
      <c r="F1179" s="19"/>
      <c r="G1179" s="19"/>
      <c r="H1179" s="19"/>
      <c r="I1179" s="19"/>
      <c r="J1179" s="20"/>
      <c r="K1179" s="19"/>
      <c r="L1179" s="19"/>
      <c r="M1179" s="19"/>
      <c r="N1179" s="20"/>
      <c r="O1179" s="20"/>
      <c r="P1179" s="20"/>
      <c r="Q1179" s="20"/>
      <c r="R1179" s="20"/>
      <c r="S1179" s="20"/>
      <c r="T1179" s="708"/>
      <c r="U1179" s="708"/>
    </row>
    <row r="1180" ht="13.8" spans="1:21">
      <c r="A1180" s="19"/>
      <c r="B1180" s="20"/>
      <c r="C1180" s="20"/>
      <c r="D1180" s="19"/>
      <c r="E1180" s="19"/>
      <c r="F1180" s="19"/>
      <c r="G1180" s="19"/>
      <c r="H1180" s="19"/>
      <c r="I1180" s="19"/>
      <c r="J1180" s="20"/>
      <c r="K1180" s="19"/>
      <c r="L1180" s="19"/>
      <c r="M1180" s="19"/>
      <c r="N1180" s="20"/>
      <c r="O1180" s="20"/>
      <c r="P1180" s="20"/>
      <c r="Q1180" s="20"/>
      <c r="R1180" s="20"/>
      <c r="S1180" s="20"/>
      <c r="T1180" s="708"/>
      <c r="U1180" s="708"/>
    </row>
    <row r="1181" ht="13.8" spans="1:21">
      <c r="A1181" s="19"/>
      <c r="B1181" s="20"/>
      <c r="C1181" s="20"/>
      <c r="D1181" s="19"/>
      <c r="E1181" s="19"/>
      <c r="F1181" s="19"/>
      <c r="G1181" s="19"/>
      <c r="H1181" s="19"/>
      <c r="I1181" s="19"/>
      <c r="J1181" s="20"/>
      <c r="K1181" s="19"/>
      <c r="L1181" s="19"/>
      <c r="M1181" s="19"/>
      <c r="N1181" s="20"/>
      <c r="O1181" s="20"/>
      <c r="P1181" s="20"/>
      <c r="Q1181" s="20"/>
      <c r="R1181" s="20"/>
      <c r="S1181" s="20"/>
      <c r="T1181" s="708"/>
      <c r="U1181" s="708"/>
    </row>
    <row r="1182" ht="13.8" spans="1:21">
      <c r="A1182" s="19"/>
      <c r="B1182" s="20"/>
      <c r="C1182" s="20"/>
      <c r="D1182" s="19"/>
      <c r="E1182" s="19"/>
      <c r="F1182" s="19"/>
      <c r="G1182" s="19"/>
      <c r="H1182" s="19"/>
      <c r="I1182" s="19"/>
      <c r="J1182" s="20"/>
      <c r="K1182" s="19"/>
      <c r="L1182" s="19"/>
      <c r="M1182" s="19"/>
      <c r="N1182" s="20"/>
      <c r="O1182" s="20"/>
      <c r="P1182" s="20"/>
      <c r="Q1182" s="20"/>
      <c r="R1182" s="20"/>
      <c r="S1182" s="20"/>
      <c r="T1182" s="708"/>
      <c r="U1182" s="708"/>
    </row>
    <row r="1183" ht="13.8" spans="1:21">
      <c r="A1183" s="19"/>
      <c r="B1183" s="20"/>
      <c r="C1183" s="20"/>
      <c r="D1183" s="19"/>
      <c r="E1183" s="19"/>
      <c r="F1183" s="19"/>
      <c r="G1183" s="19"/>
      <c r="H1183" s="19"/>
      <c r="I1183" s="19"/>
      <c r="J1183" s="20"/>
      <c r="K1183" s="19"/>
      <c r="L1183" s="19"/>
      <c r="M1183" s="19"/>
      <c r="N1183" s="20"/>
      <c r="O1183" s="20"/>
      <c r="P1183" s="20"/>
      <c r="Q1183" s="20"/>
      <c r="R1183" s="20"/>
      <c r="S1183" s="20"/>
      <c r="T1183" s="708"/>
      <c r="U1183" s="708"/>
    </row>
    <row r="1184" ht="13.8" spans="1:21">
      <c r="A1184" s="19"/>
      <c r="B1184" s="20"/>
      <c r="C1184" s="20"/>
      <c r="D1184" s="19"/>
      <c r="E1184" s="19"/>
      <c r="F1184" s="19"/>
      <c r="G1184" s="19"/>
      <c r="H1184" s="19"/>
      <c r="I1184" s="19"/>
      <c r="J1184" s="20"/>
      <c r="K1184" s="19"/>
      <c r="L1184" s="19"/>
      <c r="M1184" s="19"/>
      <c r="N1184" s="20"/>
      <c r="O1184" s="20"/>
      <c r="P1184" s="20"/>
      <c r="Q1184" s="20"/>
      <c r="R1184" s="20"/>
      <c r="S1184" s="20"/>
      <c r="T1184" s="708"/>
      <c r="U1184" s="708"/>
    </row>
    <row r="1185" ht="13.8" spans="1:21">
      <c r="A1185" s="19"/>
      <c r="B1185" s="20"/>
      <c r="C1185" s="20"/>
      <c r="D1185" s="19"/>
      <c r="E1185" s="19"/>
      <c r="F1185" s="19"/>
      <c r="G1185" s="19"/>
      <c r="H1185" s="19"/>
      <c r="I1185" s="19"/>
      <c r="J1185" s="20"/>
      <c r="K1185" s="19"/>
      <c r="L1185" s="19"/>
      <c r="M1185" s="19"/>
      <c r="N1185" s="20"/>
      <c r="O1185" s="20"/>
      <c r="P1185" s="20"/>
      <c r="Q1185" s="20"/>
      <c r="R1185" s="20"/>
      <c r="S1185" s="20"/>
      <c r="T1185" s="708"/>
      <c r="U1185" s="708"/>
    </row>
    <row r="1186" ht="13.8" spans="1:21">
      <c r="A1186" s="19"/>
      <c r="B1186" s="20"/>
      <c r="C1186" s="20"/>
      <c r="D1186" s="19"/>
      <c r="E1186" s="19"/>
      <c r="F1186" s="19"/>
      <c r="G1186" s="19"/>
      <c r="H1186" s="19"/>
      <c r="I1186" s="19"/>
      <c r="J1186" s="20"/>
      <c r="K1186" s="19"/>
      <c r="L1186" s="19"/>
      <c r="M1186" s="19"/>
      <c r="N1186" s="20"/>
      <c r="O1186" s="20"/>
      <c r="P1186" s="20"/>
      <c r="Q1186" s="20"/>
      <c r="R1186" s="20"/>
      <c r="S1186" s="20"/>
      <c r="T1186" s="708"/>
      <c r="U1186" s="708"/>
    </row>
    <row r="1187" ht="13.8" spans="1:21">
      <c r="A1187" s="19"/>
      <c r="B1187" s="20"/>
      <c r="C1187" s="20"/>
      <c r="D1187" s="19"/>
      <c r="E1187" s="19"/>
      <c r="F1187" s="19"/>
      <c r="G1187" s="19"/>
      <c r="H1187" s="19"/>
      <c r="I1187" s="19"/>
      <c r="J1187" s="20"/>
      <c r="K1187" s="19"/>
      <c r="L1187" s="19"/>
      <c r="M1187" s="19"/>
      <c r="N1187" s="20"/>
      <c r="O1187" s="20"/>
      <c r="P1187" s="20"/>
      <c r="Q1187" s="20"/>
      <c r="R1187" s="20"/>
      <c r="S1187" s="20"/>
      <c r="T1187" s="708"/>
      <c r="U1187" s="708"/>
    </row>
    <row r="1188" ht="13.8" spans="1:21">
      <c r="A1188" s="19"/>
      <c r="B1188" s="20"/>
      <c r="C1188" s="20"/>
      <c r="D1188" s="19"/>
      <c r="E1188" s="19"/>
      <c r="F1188" s="19"/>
      <c r="G1188" s="19"/>
      <c r="H1188" s="19"/>
      <c r="I1188" s="19"/>
      <c r="J1188" s="20"/>
      <c r="K1188" s="19"/>
      <c r="L1188" s="19"/>
      <c r="M1188" s="19"/>
      <c r="N1188" s="20"/>
      <c r="O1188" s="20"/>
      <c r="P1188" s="20"/>
      <c r="Q1188" s="20"/>
      <c r="R1188" s="20"/>
      <c r="S1188" s="20"/>
      <c r="T1188" s="708"/>
      <c r="U1188" s="708"/>
    </row>
    <row r="1189" ht="13.8" spans="1:21">
      <c r="A1189" s="19"/>
      <c r="B1189" s="20"/>
      <c r="C1189" s="20"/>
      <c r="D1189" s="19"/>
      <c r="E1189" s="19"/>
      <c r="F1189" s="19"/>
      <c r="G1189" s="19"/>
      <c r="H1189" s="19"/>
      <c r="I1189" s="19"/>
      <c r="J1189" s="20"/>
      <c r="K1189" s="19"/>
      <c r="L1189" s="19"/>
      <c r="M1189" s="19"/>
      <c r="N1189" s="20"/>
      <c r="O1189" s="20"/>
      <c r="P1189" s="20"/>
      <c r="Q1189" s="20"/>
      <c r="R1189" s="20"/>
      <c r="S1189" s="20"/>
      <c r="T1189" s="708"/>
      <c r="U1189" s="708"/>
    </row>
    <row r="1190" ht="13.8" spans="1:21">
      <c r="A1190" s="19"/>
      <c r="B1190" s="20"/>
      <c r="C1190" s="20"/>
      <c r="D1190" s="19"/>
      <c r="E1190" s="19"/>
      <c r="F1190" s="19"/>
      <c r="G1190" s="19"/>
      <c r="H1190" s="19"/>
      <c r="I1190" s="19"/>
      <c r="J1190" s="20"/>
      <c r="K1190" s="19"/>
      <c r="L1190" s="19"/>
      <c r="M1190" s="19"/>
      <c r="N1190" s="20"/>
      <c r="O1190" s="20"/>
      <c r="P1190" s="20"/>
      <c r="Q1190" s="20"/>
      <c r="R1190" s="20"/>
      <c r="S1190" s="20"/>
      <c r="T1190" s="708"/>
      <c r="U1190" s="708"/>
    </row>
    <row r="1191" ht="13.8" spans="1:21">
      <c r="A1191" s="19"/>
      <c r="B1191" s="20"/>
      <c r="C1191" s="20"/>
      <c r="D1191" s="19"/>
      <c r="E1191" s="19"/>
      <c r="F1191" s="19"/>
      <c r="G1191" s="19"/>
      <c r="H1191" s="19"/>
      <c r="I1191" s="19"/>
      <c r="J1191" s="20"/>
      <c r="K1191" s="19"/>
      <c r="L1191" s="19"/>
      <c r="M1191" s="19"/>
      <c r="N1191" s="20"/>
      <c r="O1191" s="20"/>
      <c r="P1191" s="20"/>
      <c r="Q1191" s="20"/>
      <c r="R1191" s="20"/>
      <c r="S1191" s="20"/>
      <c r="T1191" s="708"/>
      <c r="U1191" s="708"/>
    </row>
    <row r="1192" ht="13.8" spans="1:21">
      <c r="A1192" s="19"/>
      <c r="B1192" s="20"/>
      <c r="C1192" s="20"/>
      <c r="D1192" s="19"/>
      <c r="E1192" s="19"/>
      <c r="F1192" s="19"/>
      <c r="G1192" s="19"/>
      <c r="H1192" s="19"/>
      <c r="I1192" s="19"/>
      <c r="J1192" s="20"/>
      <c r="K1192" s="19"/>
      <c r="L1192" s="19"/>
      <c r="M1192" s="19"/>
      <c r="N1192" s="20"/>
      <c r="O1192" s="20"/>
      <c r="P1192" s="20"/>
      <c r="Q1192" s="20"/>
      <c r="R1192" s="20"/>
      <c r="S1192" s="20"/>
      <c r="T1192" s="708"/>
      <c r="U1192" s="708"/>
    </row>
    <row r="1193" ht="13.8" spans="1:21">
      <c r="A1193" s="19"/>
      <c r="B1193" s="20"/>
      <c r="C1193" s="20"/>
      <c r="D1193" s="19"/>
      <c r="E1193" s="19"/>
      <c r="F1193" s="19"/>
      <c r="G1193" s="19"/>
      <c r="H1193" s="19"/>
      <c r="I1193" s="19"/>
      <c r="J1193" s="20"/>
      <c r="K1193" s="19"/>
      <c r="L1193" s="19"/>
      <c r="M1193" s="19"/>
      <c r="N1193" s="20"/>
      <c r="O1193" s="20"/>
      <c r="P1193" s="20"/>
      <c r="Q1193" s="20"/>
      <c r="R1193" s="20"/>
      <c r="S1193" s="20"/>
      <c r="T1193" s="708"/>
      <c r="U1193" s="708"/>
    </row>
    <row r="1194" ht="13.8" spans="1:21">
      <c r="A1194" s="19"/>
      <c r="B1194" s="20"/>
      <c r="C1194" s="20"/>
      <c r="D1194" s="19"/>
      <c r="E1194" s="19"/>
      <c r="F1194" s="19"/>
      <c r="G1194" s="19"/>
      <c r="H1194" s="19"/>
      <c r="I1194" s="19"/>
      <c r="J1194" s="20"/>
      <c r="K1194" s="19"/>
      <c r="L1194" s="19"/>
      <c r="M1194" s="19"/>
      <c r="N1194" s="20"/>
      <c r="O1194" s="20"/>
      <c r="P1194" s="20"/>
      <c r="Q1194" s="20"/>
      <c r="R1194" s="20"/>
      <c r="S1194" s="20"/>
      <c r="T1194" s="708"/>
      <c r="U1194" s="708"/>
    </row>
    <row r="1195" ht="13.8" spans="1:21">
      <c r="A1195" s="19"/>
      <c r="B1195" s="20"/>
      <c r="C1195" s="20"/>
      <c r="D1195" s="19"/>
      <c r="E1195" s="19"/>
      <c r="F1195" s="19"/>
      <c r="G1195" s="19"/>
      <c r="H1195" s="19"/>
      <c r="I1195" s="19"/>
      <c r="J1195" s="20"/>
      <c r="K1195" s="19"/>
      <c r="L1195" s="19"/>
      <c r="M1195" s="19"/>
      <c r="N1195" s="20"/>
      <c r="O1195" s="20"/>
      <c r="P1195" s="20"/>
      <c r="Q1195" s="20"/>
      <c r="R1195" s="20"/>
      <c r="S1195" s="20"/>
      <c r="T1195" s="708"/>
      <c r="U1195" s="708"/>
    </row>
    <row r="1196" ht="13.8" spans="1:21">
      <c r="A1196" s="19"/>
      <c r="B1196" s="20"/>
      <c r="C1196" s="20"/>
      <c r="D1196" s="19"/>
      <c r="E1196" s="19"/>
      <c r="F1196" s="19"/>
      <c r="G1196" s="19"/>
      <c r="H1196" s="19"/>
      <c r="I1196" s="19"/>
      <c r="J1196" s="20"/>
      <c r="K1196" s="19"/>
      <c r="L1196" s="19"/>
      <c r="M1196" s="19"/>
      <c r="N1196" s="20"/>
      <c r="O1196" s="20"/>
      <c r="P1196" s="20"/>
      <c r="Q1196" s="20"/>
      <c r="R1196" s="20"/>
      <c r="S1196" s="20"/>
      <c r="T1196" s="708"/>
      <c r="U1196" s="708"/>
    </row>
    <row r="1197" ht="13.8" spans="1:21">
      <c r="A1197" s="19"/>
      <c r="B1197" s="20"/>
      <c r="C1197" s="20"/>
      <c r="D1197" s="19"/>
      <c r="E1197" s="19"/>
      <c r="F1197" s="19"/>
      <c r="G1197" s="19"/>
      <c r="H1197" s="19"/>
      <c r="I1197" s="19"/>
      <c r="J1197" s="20"/>
      <c r="K1197" s="19"/>
      <c r="L1197" s="19"/>
      <c r="M1197" s="19"/>
      <c r="N1197" s="20"/>
      <c r="O1197" s="20"/>
      <c r="P1197" s="20"/>
      <c r="Q1197" s="20"/>
      <c r="R1197" s="20"/>
      <c r="S1197" s="20"/>
      <c r="T1197" s="708"/>
      <c r="U1197" s="708"/>
    </row>
    <row r="1198" ht="13.8" spans="1:21">
      <c r="A1198" s="19"/>
      <c r="B1198" s="20"/>
      <c r="C1198" s="20"/>
      <c r="D1198" s="19"/>
      <c r="E1198" s="19"/>
      <c r="F1198" s="19"/>
      <c r="G1198" s="19"/>
      <c r="H1198" s="19"/>
      <c r="I1198" s="19"/>
      <c r="J1198" s="20"/>
      <c r="K1198" s="19"/>
      <c r="L1198" s="19"/>
      <c r="M1198" s="19"/>
      <c r="N1198" s="20"/>
      <c r="O1198" s="20"/>
      <c r="P1198" s="20"/>
      <c r="Q1198" s="20"/>
      <c r="R1198" s="20"/>
      <c r="S1198" s="20"/>
      <c r="T1198" s="708"/>
      <c r="U1198" s="708"/>
    </row>
    <row r="1199" ht="13.8" spans="1:21">
      <c r="A1199" s="19"/>
      <c r="B1199" s="20"/>
      <c r="C1199" s="20"/>
      <c r="D1199" s="19"/>
      <c r="E1199" s="19"/>
      <c r="F1199" s="19"/>
      <c r="G1199" s="19"/>
      <c r="H1199" s="19"/>
      <c r="I1199" s="19"/>
      <c r="J1199" s="20"/>
      <c r="K1199" s="19"/>
      <c r="L1199" s="19"/>
      <c r="M1199" s="19"/>
      <c r="N1199" s="20"/>
      <c r="O1199" s="20"/>
      <c r="P1199" s="20"/>
      <c r="Q1199" s="20"/>
      <c r="R1199" s="20"/>
      <c r="S1199" s="20"/>
      <c r="T1199" s="708"/>
      <c r="U1199" s="708"/>
    </row>
    <row r="1200" ht="13.8" spans="1:21">
      <c r="A1200" s="19"/>
      <c r="B1200" s="20"/>
      <c r="C1200" s="20"/>
      <c r="D1200" s="19"/>
      <c r="E1200" s="19"/>
      <c r="F1200" s="19"/>
      <c r="G1200" s="19"/>
      <c r="H1200" s="19"/>
      <c r="I1200" s="19"/>
      <c r="J1200" s="20"/>
      <c r="K1200" s="19"/>
      <c r="L1200" s="19"/>
      <c r="M1200" s="19"/>
      <c r="N1200" s="20"/>
      <c r="O1200" s="20"/>
      <c r="P1200" s="20"/>
      <c r="Q1200" s="20"/>
      <c r="R1200" s="20"/>
      <c r="S1200" s="20"/>
      <c r="T1200" s="708"/>
      <c r="U1200" s="708"/>
    </row>
    <row r="1201" ht="13.8" spans="1:21">
      <c r="A1201" s="19"/>
      <c r="B1201" s="20"/>
      <c r="C1201" s="20"/>
      <c r="D1201" s="19"/>
      <c r="E1201" s="19"/>
      <c r="F1201" s="19"/>
      <c r="G1201" s="19"/>
      <c r="H1201" s="19"/>
      <c r="I1201" s="19"/>
      <c r="J1201" s="20"/>
      <c r="K1201" s="19"/>
      <c r="L1201" s="19"/>
      <c r="M1201" s="19"/>
      <c r="N1201" s="20"/>
      <c r="O1201" s="20"/>
      <c r="P1201" s="20"/>
      <c r="Q1201" s="20"/>
      <c r="R1201" s="20"/>
      <c r="S1201" s="20"/>
      <c r="T1201" s="708"/>
      <c r="U1201" s="708"/>
    </row>
    <row r="1202" ht="13.8" spans="1:21">
      <c r="A1202" s="19"/>
      <c r="B1202" s="20"/>
      <c r="C1202" s="20"/>
      <c r="D1202" s="19"/>
      <c r="E1202" s="19"/>
      <c r="F1202" s="19"/>
      <c r="G1202" s="19"/>
      <c r="H1202" s="19"/>
      <c r="I1202" s="19"/>
      <c r="J1202" s="20"/>
      <c r="K1202" s="19"/>
      <c r="L1202" s="19"/>
      <c r="M1202" s="19"/>
      <c r="N1202" s="20"/>
      <c r="O1202" s="20"/>
      <c r="P1202" s="20"/>
      <c r="Q1202" s="20"/>
      <c r="R1202" s="20"/>
      <c r="S1202" s="20"/>
      <c r="T1202" s="708"/>
      <c r="U1202" s="708"/>
    </row>
    <row r="1203" ht="13.8" spans="1:21">
      <c r="A1203" s="19"/>
      <c r="B1203" s="20"/>
      <c r="C1203" s="20"/>
      <c r="D1203" s="19"/>
      <c r="E1203" s="19"/>
      <c r="F1203" s="19"/>
      <c r="G1203" s="19"/>
      <c r="H1203" s="19"/>
      <c r="I1203" s="19"/>
      <c r="J1203" s="20"/>
      <c r="K1203" s="19"/>
      <c r="L1203" s="19"/>
      <c r="M1203" s="19"/>
      <c r="N1203" s="20"/>
      <c r="O1203" s="20"/>
      <c r="P1203" s="20"/>
      <c r="Q1203" s="20"/>
      <c r="R1203" s="20"/>
      <c r="S1203" s="20"/>
      <c r="T1203" s="708"/>
      <c r="U1203" s="708"/>
    </row>
    <row r="1204" ht="13.8" spans="1:21">
      <c r="A1204" s="19"/>
      <c r="B1204" s="20"/>
      <c r="C1204" s="20"/>
      <c r="D1204" s="19"/>
      <c r="E1204" s="19"/>
      <c r="F1204" s="19"/>
      <c r="G1204" s="19"/>
      <c r="H1204" s="19"/>
      <c r="I1204" s="19"/>
      <c r="J1204" s="20"/>
      <c r="K1204" s="19"/>
      <c r="L1204" s="19"/>
      <c r="M1204" s="19"/>
      <c r="N1204" s="20"/>
      <c r="O1204" s="20"/>
      <c r="P1204" s="20"/>
      <c r="Q1204" s="20"/>
      <c r="R1204" s="20"/>
      <c r="S1204" s="20"/>
      <c r="T1204" s="708"/>
      <c r="U1204" s="708"/>
    </row>
    <row r="1205" ht="13.8" spans="1:21">
      <c r="A1205" s="19"/>
      <c r="B1205" s="20"/>
      <c r="C1205" s="20"/>
      <c r="D1205" s="19"/>
      <c r="E1205" s="19"/>
      <c r="F1205" s="19"/>
      <c r="G1205" s="19"/>
      <c r="H1205" s="19"/>
      <c r="I1205" s="19"/>
      <c r="J1205" s="20"/>
      <c r="K1205" s="19"/>
      <c r="L1205" s="19"/>
      <c r="M1205" s="19"/>
      <c r="N1205" s="20"/>
      <c r="O1205" s="20"/>
      <c r="P1205" s="20"/>
      <c r="Q1205" s="20"/>
      <c r="R1205" s="20"/>
      <c r="S1205" s="20"/>
      <c r="T1205" s="708"/>
      <c r="U1205" s="708"/>
    </row>
    <row r="1206" ht="13.8" spans="1:21">
      <c r="A1206" s="19"/>
      <c r="B1206" s="20"/>
      <c r="C1206" s="20"/>
      <c r="D1206" s="19"/>
      <c r="E1206" s="19"/>
      <c r="F1206" s="19"/>
      <c r="G1206" s="19"/>
      <c r="H1206" s="19"/>
      <c r="I1206" s="19"/>
      <c r="J1206" s="20"/>
      <c r="K1206" s="19"/>
      <c r="L1206" s="19"/>
      <c r="M1206" s="19"/>
      <c r="N1206" s="20"/>
      <c r="O1206" s="20"/>
      <c r="P1206" s="20"/>
      <c r="Q1206" s="20"/>
      <c r="R1206" s="20"/>
      <c r="S1206" s="20"/>
      <c r="T1206" s="708"/>
      <c r="U1206" s="708"/>
    </row>
    <row r="1207" ht="13.8" spans="1:21">
      <c r="A1207" s="19"/>
      <c r="B1207" s="20"/>
      <c r="C1207" s="20"/>
      <c r="D1207" s="19"/>
      <c r="E1207" s="19"/>
      <c r="F1207" s="19"/>
      <c r="G1207" s="19"/>
      <c r="H1207" s="19"/>
      <c r="I1207" s="19"/>
      <c r="J1207" s="20"/>
      <c r="K1207" s="19"/>
      <c r="L1207" s="19"/>
      <c r="M1207" s="19"/>
      <c r="N1207" s="20"/>
      <c r="O1207" s="20"/>
      <c r="P1207" s="20"/>
      <c r="Q1207" s="20"/>
      <c r="R1207" s="20"/>
      <c r="S1207" s="20"/>
      <c r="T1207" s="708"/>
      <c r="U1207" s="708"/>
    </row>
    <row r="1208" ht="13.8" spans="1:21">
      <c r="A1208" s="19"/>
      <c r="B1208" s="20"/>
      <c r="C1208" s="20"/>
      <c r="D1208" s="19"/>
      <c r="E1208" s="19"/>
      <c r="F1208" s="19"/>
      <c r="G1208" s="19"/>
      <c r="H1208" s="19"/>
      <c r="I1208" s="19"/>
      <c r="J1208" s="20"/>
      <c r="K1208" s="19"/>
      <c r="L1208" s="19"/>
      <c r="M1208" s="19"/>
      <c r="N1208" s="20"/>
      <c r="O1208" s="20"/>
      <c r="P1208" s="20"/>
      <c r="Q1208" s="20"/>
      <c r="R1208" s="20"/>
      <c r="S1208" s="20"/>
      <c r="T1208" s="708"/>
      <c r="U1208" s="708"/>
    </row>
    <row r="1209" ht="13.8" spans="1:21">
      <c r="A1209" s="19"/>
      <c r="B1209" s="20"/>
      <c r="C1209" s="20"/>
      <c r="D1209" s="19"/>
      <c r="E1209" s="19"/>
      <c r="F1209" s="19"/>
      <c r="G1209" s="19"/>
      <c r="H1209" s="19"/>
      <c r="I1209" s="19"/>
      <c r="J1209" s="20"/>
      <c r="K1209" s="19"/>
      <c r="L1209" s="19"/>
      <c r="M1209" s="19"/>
      <c r="N1209" s="20"/>
      <c r="O1209" s="20"/>
      <c r="P1209" s="20"/>
      <c r="Q1209" s="20"/>
      <c r="R1209" s="20"/>
      <c r="S1209" s="20"/>
      <c r="T1209" s="708"/>
      <c r="U1209" s="708"/>
    </row>
    <row r="1210" ht="13.8" spans="1:21">
      <c r="A1210" s="19"/>
      <c r="B1210" s="20"/>
      <c r="C1210" s="20"/>
      <c r="D1210" s="19"/>
      <c r="E1210" s="19"/>
      <c r="F1210" s="19"/>
      <c r="G1210" s="19"/>
      <c r="H1210" s="19"/>
      <c r="I1210" s="19"/>
      <c r="J1210" s="20"/>
      <c r="K1210" s="19"/>
      <c r="L1210" s="19"/>
      <c r="M1210" s="19"/>
      <c r="N1210" s="20"/>
      <c r="O1210" s="20"/>
      <c r="P1210" s="20"/>
      <c r="Q1210" s="20"/>
      <c r="R1210" s="20"/>
      <c r="S1210" s="20"/>
      <c r="T1210" s="708"/>
      <c r="U1210" s="708"/>
    </row>
    <row r="1211" ht="13.8" spans="1:21">
      <c r="A1211" s="19"/>
      <c r="B1211" s="20"/>
      <c r="C1211" s="20"/>
      <c r="D1211" s="19"/>
      <c r="E1211" s="19"/>
      <c r="F1211" s="19"/>
      <c r="G1211" s="19"/>
      <c r="H1211" s="19"/>
      <c r="I1211" s="19"/>
      <c r="J1211" s="20"/>
      <c r="K1211" s="19"/>
      <c r="L1211" s="19"/>
      <c r="M1211" s="19"/>
      <c r="N1211" s="20"/>
      <c r="O1211" s="20"/>
      <c r="P1211" s="20"/>
      <c r="Q1211" s="20"/>
      <c r="R1211" s="20"/>
      <c r="S1211" s="20"/>
      <c r="T1211" s="708"/>
      <c r="U1211" s="708"/>
    </row>
    <row r="1212" ht="13.8" spans="1:21">
      <c r="A1212" s="19"/>
      <c r="B1212" s="20"/>
      <c r="C1212" s="20"/>
      <c r="D1212" s="19"/>
      <c r="E1212" s="19"/>
      <c r="F1212" s="19"/>
      <c r="G1212" s="19"/>
      <c r="H1212" s="19"/>
      <c r="I1212" s="19"/>
      <c r="J1212" s="20"/>
      <c r="K1212" s="19"/>
      <c r="L1212" s="19"/>
      <c r="M1212" s="19"/>
      <c r="N1212" s="20"/>
      <c r="O1212" s="20"/>
      <c r="P1212" s="20"/>
      <c r="Q1212" s="20"/>
      <c r="R1212" s="20"/>
      <c r="S1212" s="20"/>
      <c r="T1212" s="708"/>
      <c r="U1212" s="708"/>
    </row>
    <row r="1213" ht="13.8" spans="1:21">
      <c r="A1213" s="19"/>
      <c r="B1213" s="20"/>
      <c r="C1213" s="20"/>
      <c r="D1213" s="19"/>
      <c r="E1213" s="19"/>
      <c r="F1213" s="19"/>
      <c r="G1213" s="19"/>
      <c r="H1213" s="19"/>
      <c r="I1213" s="19"/>
      <c r="J1213" s="20"/>
      <c r="K1213" s="19"/>
      <c r="L1213" s="19"/>
      <c r="M1213" s="19"/>
      <c r="N1213" s="20"/>
      <c r="O1213" s="20"/>
      <c r="P1213" s="20"/>
      <c r="Q1213" s="20"/>
      <c r="R1213" s="20"/>
      <c r="S1213" s="20"/>
      <c r="T1213" s="708"/>
      <c r="U1213" s="708"/>
    </row>
    <row r="1214" ht="13.8" spans="1:21">
      <c r="A1214" s="19"/>
      <c r="B1214" s="20"/>
      <c r="C1214" s="20"/>
      <c r="D1214" s="19"/>
      <c r="E1214" s="19"/>
      <c r="F1214" s="19"/>
      <c r="G1214" s="19"/>
      <c r="H1214" s="19"/>
      <c r="I1214" s="19"/>
      <c r="J1214" s="20"/>
      <c r="K1214" s="19"/>
      <c r="L1214" s="19"/>
      <c r="M1214" s="19"/>
      <c r="N1214" s="20"/>
      <c r="O1214" s="20"/>
      <c r="P1214" s="20"/>
      <c r="Q1214" s="20"/>
      <c r="R1214" s="20"/>
      <c r="S1214" s="20"/>
      <c r="T1214" s="708"/>
      <c r="U1214" s="708"/>
    </row>
    <row r="1215" ht="13.8" spans="1:21">
      <c r="A1215" s="19"/>
      <c r="B1215" s="20"/>
      <c r="C1215" s="20"/>
      <c r="D1215" s="19"/>
      <c r="E1215" s="19"/>
      <c r="F1215" s="19"/>
      <c r="G1215" s="19"/>
      <c r="H1215" s="19"/>
      <c r="I1215" s="19"/>
      <c r="J1215" s="20"/>
      <c r="K1215" s="19"/>
      <c r="L1215" s="19"/>
      <c r="M1215" s="19"/>
      <c r="N1215" s="20"/>
      <c r="O1215" s="20"/>
      <c r="P1215" s="20"/>
      <c r="Q1215" s="20"/>
      <c r="R1215" s="20"/>
      <c r="S1215" s="20"/>
      <c r="T1215" s="708"/>
      <c r="U1215" s="708"/>
    </row>
    <row r="1216" ht="13.8" spans="1:21">
      <c r="A1216" s="19"/>
      <c r="B1216" s="20"/>
      <c r="C1216" s="20"/>
      <c r="D1216" s="19"/>
      <c r="E1216" s="19"/>
      <c r="F1216" s="19"/>
      <c r="G1216" s="19"/>
      <c r="H1216" s="19"/>
      <c r="I1216" s="19"/>
      <c r="J1216" s="20"/>
      <c r="K1216" s="19"/>
      <c r="L1216" s="19"/>
      <c r="M1216" s="19"/>
      <c r="N1216" s="20"/>
      <c r="O1216" s="20"/>
      <c r="P1216" s="20"/>
      <c r="Q1216" s="20"/>
      <c r="R1216" s="20"/>
      <c r="S1216" s="20"/>
      <c r="T1216" s="708"/>
      <c r="U1216" s="708"/>
    </row>
    <row r="1217" ht="13.8" spans="1:21">
      <c r="A1217" s="19"/>
      <c r="B1217" s="20"/>
      <c r="C1217" s="20"/>
      <c r="D1217" s="19"/>
      <c r="E1217" s="19"/>
      <c r="F1217" s="19"/>
      <c r="G1217" s="19"/>
      <c r="H1217" s="19"/>
      <c r="I1217" s="19"/>
      <c r="J1217" s="20"/>
      <c r="K1217" s="19"/>
      <c r="L1217" s="19"/>
      <c r="M1217" s="19"/>
      <c r="N1217" s="20"/>
      <c r="O1217" s="20"/>
      <c r="P1217" s="20"/>
      <c r="Q1217" s="20"/>
      <c r="R1217" s="20"/>
      <c r="S1217" s="20"/>
      <c r="T1217" s="708"/>
      <c r="U1217" s="708"/>
    </row>
    <row r="1218" ht="13.8" spans="1:21">
      <c r="A1218" s="19"/>
      <c r="B1218" s="20"/>
      <c r="C1218" s="20"/>
      <c r="D1218" s="19"/>
      <c r="E1218" s="19"/>
      <c r="F1218" s="19"/>
      <c r="G1218" s="19"/>
      <c r="H1218" s="19"/>
      <c r="I1218" s="19"/>
      <c r="J1218" s="20"/>
      <c r="K1218" s="19"/>
      <c r="L1218" s="19"/>
      <c r="M1218" s="19"/>
      <c r="N1218" s="20"/>
      <c r="O1218" s="20"/>
      <c r="P1218" s="20"/>
      <c r="Q1218" s="20"/>
      <c r="R1218" s="20"/>
      <c r="S1218" s="20"/>
      <c r="T1218" s="708"/>
      <c r="U1218" s="708"/>
    </row>
    <row r="1219" ht="13.8" spans="1:21">
      <c r="A1219" s="19"/>
      <c r="B1219" s="20"/>
      <c r="C1219" s="20"/>
      <c r="D1219" s="19"/>
      <c r="E1219" s="19"/>
      <c r="F1219" s="19"/>
      <c r="G1219" s="19"/>
      <c r="H1219" s="19"/>
      <c r="I1219" s="19"/>
      <c r="J1219" s="20"/>
      <c r="K1219" s="19"/>
      <c r="L1219" s="19"/>
      <c r="M1219" s="19"/>
      <c r="N1219" s="20"/>
      <c r="O1219" s="20"/>
      <c r="P1219" s="20"/>
      <c r="Q1219" s="20"/>
      <c r="R1219" s="20"/>
      <c r="S1219" s="20"/>
      <c r="T1219" s="708"/>
      <c r="U1219" s="708"/>
    </row>
    <row r="1220" ht="13.8" spans="1:21">
      <c r="A1220" s="19"/>
      <c r="B1220" s="20"/>
      <c r="C1220" s="20"/>
      <c r="D1220" s="19"/>
      <c r="E1220" s="19"/>
      <c r="F1220" s="19"/>
      <c r="G1220" s="19"/>
      <c r="H1220" s="19"/>
      <c r="I1220" s="19"/>
      <c r="J1220" s="20"/>
      <c r="K1220" s="19"/>
      <c r="L1220" s="19"/>
      <c r="M1220" s="19"/>
      <c r="N1220" s="20"/>
      <c r="O1220" s="20"/>
      <c r="P1220" s="20"/>
      <c r="Q1220" s="20"/>
      <c r="R1220" s="20"/>
      <c r="S1220" s="20"/>
      <c r="T1220" s="708"/>
      <c r="U1220" s="708"/>
    </row>
    <row r="1221" ht="13.8" spans="1:21">
      <c r="A1221" s="19"/>
      <c r="B1221" s="20"/>
      <c r="C1221" s="20"/>
      <c r="D1221" s="19"/>
      <c r="E1221" s="19"/>
      <c r="F1221" s="19"/>
      <c r="G1221" s="19"/>
      <c r="H1221" s="19"/>
      <c r="I1221" s="19"/>
      <c r="J1221" s="20"/>
      <c r="K1221" s="19"/>
      <c r="L1221" s="19"/>
      <c r="M1221" s="19"/>
      <c r="N1221" s="20"/>
      <c r="O1221" s="20"/>
      <c r="P1221" s="20"/>
      <c r="Q1221" s="20"/>
      <c r="R1221" s="20"/>
      <c r="S1221" s="20"/>
      <c r="T1221" s="708"/>
      <c r="U1221" s="708"/>
    </row>
    <row r="1222" ht="13.8" spans="1:21">
      <c r="A1222" s="19"/>
      <c r="B1222" s="20"/>
      <c r="C1222" s="20"/>
      <c r="D1222" s="19"/>
      <c r="E1222" s="19"/>
      <c r="F1222" s="19"/>
      <c r="G1222" s="19"/>
      <c r="H1222" s="19"/>
      <c r="I1222" s="19"/>
      <c r="J1222" s="20"/>
      <c r="K1222" s="19"/>
      <c r="L1222" s="19"/>
      <c r="M1222" s="19"/>
      <c r="N1222" s="20"/>
      <c r="O1222" s="20"/>
      <c r="P1222" s="20"/>
      <c r="Q1222" s="20"/>
      <c r="R1222" s="20"/>
      <c r="S1222" s="20"/>
      <c r="T1222" s="708"/>
      <c r="U1222" s="708"/>
    </row>
    <row r="1223" ht="13.8" spans="1:21">
      <c r="A1223" s="19"/>
      <c r="B1223" s="20"/>
      <c r="C1223" s="20"/>
      <c r="D1223" s="19"/>
      <c r="E1223" s="19"/>
      <c r="F1223" s="19"/>
      <c r="G1223" s="19"/>
      <c r="H1223" s="19"/>
      <c r="I1223" s="19"/>
      <c r="J1223" s="20"/>
      <c r="K1223" s="19"/>
      <c r="L1223" s="19"/>
      <c r="M1223" s="19"/>
      <c r="N1223" s="20"/>
      <c r="O1223" s="20"/>
      <c r="P1223" s="20"/>
      <c r="Q1223" s="20"/>
      <c r="R1223" s="20"/>
      <c r="S1223" s="20"/>
      <c r="T1223" s="708"/>
      <c r="U1223" s="708"/>
    </row>
    <row r="1224" ht="13.8" spans="1:21">
      <c r="A1224" s="19"/>
      <c r="B1224" s="20"/>
      <c r="C1224" s="20"/>
      <c r="D1224" s="19"/>
      <c r="E1224" s="19"/>
      <c r="F1224" s="19"/>
      <c r="G1224" s="19"/>
      <c r="H1224" s="19"/>
      <c r="I1224" s="19"/>
      <c r="J1224" s="20"/>
      <c r="K1224" s="19"/>
      <c r="L1224" s="19"/>
      <c r="M1224" s="19"/>
      <c r="N1224" s="20"/>
      <c r="O1224" s="20"/>
      <c r="P1224" s="20"/>
      <c r="Q1224" s="20"/>
      <c r="R1224" s="20"/>
      <c r="S1224" s="20"/>
      <c r="T1224" s="708"/>
      <c r="U1224" s="708"/>
    </row>
    <row r="1225" ht="13.8" spans="1:21">
      <c r="A1225" s="19"/>
      <c r="B1225" s="20"/>
      <c r="C1225" s="20"/>
      <c r="D1225" s="19"/>
      <c r="E1225" s="19"/>
      <c r="F1225" s="19"/>
      <c r="G1225" s="19"/>
      <c r="H1225" s="19"/>
      <c r="I1225" s="19"/>
      <c r="J1225" s="20"/>
      <c r="K1225" s="19"/>
      <c r="L1225" s="19"/>
      <c r="M1225" s="19"/>
      <c r="N1225" s="20"/>
      <c r="O1225" s="20"/>
      <c r="P1225" s="20"/>
      <c r="Q1225" s="20"/>
      <c r="R1225" s="20"/>
      <c r="S1225" s="20"/>
      <c r="T1225" s="708"/>
      <c r="U1225" s="708"/>
    </row>
    <row r="1226" ht="13.8" spans="1:21">
      <c r="A1226" s="19"/>
      <c r="B1226" s="20"/>
      <c r="C1226" s="20"/>
      <c r="D1226" s="19"/>
      <c r="E1226" s="19"/>
      <c r="F1226" s="19"/>
      <c r="G1226" s="19"/>
      <c r="H1226" s="19"/>
      <c r="I1226" s="19"/>
      <c r="J1226" s="20"/>
      <c r="K1226" s="19"/>
      <c r="L1226" s="19"/>
      <c r="M1226" s="19"/>
      <c r="N1226" s="20"/>
      <c r="O1226" s="20"/>
      <c r="P1226" s="20"/>
      <c r="Q1226" s="20"/>
      <c r="R1226" s="20"/>
      <c r="S1226" s="20"/>
      <c r="T1226" s="708"/>
      <c r="U1226" s="708"/>
    </row>
    <row r="1227" ht="13.8" spans="1:21">
      <c r="A1227" s="19"/>
      <c r="B1227" s="20"/>
      <c r="C1227" s="20"/>
      <c r="D1227" s="19"/>
      <c r="E1227" s="19"/>
      <c r="F1227" s="19"/>
      <c r="G1227" s="19"/>
      <c r="H1227" s="19"/>
      <c r="I1227" s="19"/>
      <c r="J1227" s="20"/>
      <c r="K1227" s="19"/>
      <c r="L1227" s="19"/>
      <c r="M1227" s="19"/>
      <c r="N1227" s="20"/>
      <c r="O1227" s="20"/>
      <c r="P1227" s="20"/>
      <c r="Q1227" s="20"/>
      <c r="R1227" s="20"/>
      <c r="S1227" s="20"/>
      <c r="T1227" s="708"/>
      <c r="U1227" s="708"/>
    </row>
    <row r="1228" ht="13.8" spans="1:21">
      <c r="A1228" s="19"/>
      <c r="B1228" s="20"/>
      <c r="C1228" s="20"/>
      <c r="D1228" s="19"/>
      <c r="E1228" s="19"/>
      <c r="F1228" s="19"/>
      <c r="G1228" s="19"/>
      <c r="H1228" s="19"/>
      <c r="I1228" s="19"/>
      <c r="J1228" s="20"/>
      <c r="K1228" s="19"/>
      <c r="L1228" s="19"/>
      <c r="M1228" s="19"/>
      <c r="N1228" s="20"/>
      <c r="O1228" s="20"/>
      <c r="P1228" s="20"/>
      <c r="Q1228" s="20"/>
      <c r="R1228" s="20"/>
      <c r="S1228" s="20"/>
      <c r="T1228" s="708"/>
      <c r="U1228" s="708"/>
    </row>
    <row r="1229" ht="13.8" spans="1:21">
      <c r="A1229" s="19"/>
      <c r="B1229" s="20"/>
      <c r="C1229" s="20"/>
      <c r="D1229" s="19"/>
      <c r="E1229" s="19"/>
      <c r="F1229" s="19"/>
      <c r="G1229" s="19"/>
      <c r="H1229" s="19"/>
      <c r="I1229" s="19"/>
      <c r="J1229" s="20"/>
      <c r="K1229" s="19"/>
      <c r="L1229" s="19"/>
      <c r="M1229" s="19"/>
      <c r="N1229" s="20"/>
      <c r="O1229" s="20"/>
      <c r="P1229" s="20"/>
      <c r="Q1229" s="20"/>
      <c r="R1229" s="20"/>
      <c r="S1229" s="20"/>
      <c r="T1229" s="708"/>
      <c r="U1229" s="708"/>
    </row>
    <row r="1230" ht="13.8" spans="1:21">
      <c r="A1230" s="19"/>
      <c r="B1230" s="20"/>
      <c r="C1230" s="20"/>
      <c r="D1230" s="19"/>
      <c r="E1230" s="19"/>
      <c r="F1230" s="19"/>
      <c r="G1230" s="19"/>
      <c r="H1230" s="19"/>
      <c r="I1230" s="19"/>
      <c r="J1230" s="20"/>
      <c r="K1230" s="19"/>
      <c r="L1230" s="19"/>
      <c r="M1230" s="19"/>
      <c r="N1230" s="20"/>
      <c r="O1230" s="20"/>
      <c r="P1230" s="20"/>
      <c r="Q1230" s="20"/>
      <c r="R1230" s="20"/>
      <c r="S1230" s="20"/>
      <c r="T1230" s="708"/>
      <c r="U1230" s="708"/>
    </row>
    <row r="1231" ht="13.8" spans="1:21">
      <c r="A1231" s="19"/>
      <c r="B1231" s="20"/>
      <c r="C1231" s="20"/>
      <c r="D1231" s="19"/>
      <c r="E1231" s="19"/>
      <c r="F1231" s="19"/>
      <c r="G1231" s="19"/>
      <c r="H1231" s="19"/>
      <c r="I1231" s="19"/>
      <c r="J1231" s="20"/>
      <c r="K1231" s="19"/>
      <c r="L1231" s="19"/>
      <c r="M1231" s="19"/>
      <c r="N1231" s="20"/>
      <c r="O1231" s="20"/>
      <c r="P1231" s="20"/>
      <c r="Q1231" s="20"/>
      <c r="R1231" s="20"/>
      <c r="S1231" s="20"/>
      <c r="T1231" s="708"/>
      <c r="U1231" s="708"/>
    </row>
    <row r="1232" ht="13.8" spans="1:21">
      <c r="A1232" s="19"/>
      <c r="B1232" s="20"/>
      <c r="C1232" s="20"/>
      <c r="D1232" s="19"/>
      <c r="E1232" s="19"/>
      <c r="F1232" s="19"/>
      <c r="G1232" s="19"/>
      <c r="H1232" s="19"/>
      <c r="I1232" s="19"/>
      <c r="J1232" s="20"/>
      <c r="K1232" s="19"/>
      <c r="L1232" s="19"/>
      <c r="M1232" s="19"/>
      <c r="N1232" s="20"/>
      <c r="O1232" s="20"/>
      <c r="P1232" s="20"/>
      <c r="Q1232" s="20"/>
      <c r="R1232" s="20"/>
      <c r="S1232" s="20"/>
      <c r="T1232" s="708"/>
      <c r="U1232" s="708"/>
    </row>
    <row r="1233" ht="13.8" spans="1:21">
      <c r="A1233" s="19"/>
      <c r="B1233" s="20"/>
      <c r="C1233" s="20"/>
      <c r="D1233" s="19"/>
      <c r="E1233" s="19"/>
      <c r="F1233" s="19"/>
      <c r="G1233" s="19"/>
      <c r="H1233" s="19"/>
      <c r="I1233" s="19"/>
      <c r="J1233" s="20"/>
      <c r="K1233" s="19"/>
      <c r="L1233" s="19"/>
      <c r="M1233" s="19"/>
      <c r="N1233" s="20"/>
      <c r="O1233" s="20"/>
      <c r="P1233" s="20"/>
      <c r="Q1233" s="20"/>
      <c r="R1233" s="20"/>
      <c r="S1233" s="20"/>
      <c r="T1233" s="708"/>
      <c r="U1233" s="708"/>
    </row>
    <row r="1234" ht="13.8" spans="1:21">
      <c r="A1234" s="19"/>
      <c r="B1234" s="20"/>
      <c r="C1234" s="20"/>
      <c r="D1234" s="19"/>
      <c r="E1234" s="19"/>
      <c r="F1234" s="19"/>
      <c r="G1234" s="19"/>
      <c r="H1234" s="19"/>
      <c r="I1234" s="19"/>
      <c r="J1234" s="20"/>
      <c r="K1234" s="19"/>
      <c r="L1234" s="19"/>
      <c r="M1234" s="19"/>
      <c r="N1234" s="20"/>
      <c r="O1234" s="20"/>
      <c r="P1234" s="20"/>
      <c r="Q1234" s="20"/>
      <c r="R1234" s="20"/>
      <c r="S1234" s="20"/>
      <c r="T1234" s="708"/>
      <c r="U1234" s="708"/>
    </row>
    <row r="1235" ht="13.8" spans="1:21">
      <c r="A1235" s="19"/>
      <c r="B1235" s="20"/>
      <c r="C1235" s="20"/>
      <c r="D1235" s="19"/>
      <c r="E1235" s="19"/>
      <c r="F1235" s="19"/>
      <c r="G1235" s="19"/>
      <c r="H1235" s="19"/>
      <c r="I1235" s="19"/>
      <c r="J1235" s="20"/>
      <c r="K1235" s="19"/>
      <c r="L1235" s="19"/>
      <c r="M1235" s="19"/>
      <c r="N1235" s="20"/>
      <c r="O1235" s="20"/>
      <c r="P1235" s="20"/>
      <c r="Q1235" s="20"/>
      <c r="R1235" s="20"/>
      <c r="S1235" s="20"/>
      <c r="T1235" s="708"/>
      <c r="U1235" s="708"/>
    </row>
    <row r="1236" ht="13.8" spans="1:21">
      <c r="A1236" s="19"/>
      <c r="B1236" s="20"/>
      <c r="C1236" s="20"/>
      <c r="D1236" s="19"/>
      <c r="E1236" s="19"/>
      <c r="F1236" s="19"/>
      <c r="G1236" s="19"/>
      <c r="H1236" s="19"/>
      <c r="I1236" s="19"/>
      <c r="J1236" s="20"/>
      <c r="K1236" s="19"/>
      <c r="L1236" s="19"/>
      <c r="M1236" s="19"/>
      <c r="N1236" s="20"/>
      <c r="O1236" s="20"/>
      <c r="P1236" s="20"/>
      <c r="Q1236" s="20"/>
      <c r="R1236" s="20"/>
      <c r="S1236" s="20"/>
      <c r="T1236" s="708"/>
      <c r="U1236" s="708"/>
    </row>
    <row r="1237" ht="13.8" spans="1:21">
      <c r="A1237" s="19"/>
      <c r="B1237" s="20"/>
      <c r="C1237" s="20"/>
      <c r="D1237" s="19"/>
      <c r="E1237" s="19"/>
      <c r="F1237" s="19"/>
      <c r="G1237" s="19"/>
      <c r="H1237" s="19"/>
      <c r="I1237" s="19"/>
      <c r="J1237" s="20"/>
      <c r="K1237" s="19"/>
      <c r="L1237" s="19"/>
      <c r="M1237" s="19"/>
      <c r="N1237" s="20"/>
      <c r="O1237" s="20"/>
      <c r="P1237" s="20"/>
      <c r="Q1237" s="20"/>
      <c r="R1237" s="20"/>
      <c r="S1237" s="20"/>
      <c r="T1237" s="708"/>
      <c r="U1237" s="708"/>
    </row>
    <row r="1238" ht="13.8" spans="1:21">
      <c r="A1238" s="19"/>
      <c r="B1238" s="20"/>
      <c r="C1238" s="20"/>
      <c r="D1238" s="19"/>
      <c r="E1238" s="19"/>
      <c r="F1238" s="19"/>
      <c r="G1238" s="19"/>
      <c r="H1238" s="19"/>
      <c r="I1238" s="19"/>
      <c r="J1238" s="20"/>
      <c r="K1238" s="19"/>
      <c r="L1238" s="19"/>
      <c r="M1238" s="19"/>
      <c r="N1238" s="20"/>
      <c r="O1238" s="20"/>
      <c r="P1238" s="20"/>
      <c r="Q1238" s="20"/>
      <c r="R1238" s="20"/>
      <c r="S1238" s="20"/>
      <c r="T1238" s="708"/>
      <c r="U1238" s="708"/>
    </row>
    <row r="1239" ht="13.8" spans="1:21">
      <c r="A1239" s="19"/>
      <c r="B1239" s="20"/>
      <c r="C1239" s="20"/>
      <c r="D1239" s="19"/>
      <c r="E1239" s="19"/>
      <c r="F1239" s="19"/>
      <c r="G1239" s="19"/>
      <c r="H1239" s="19"/>
      <c r="I1239" s="19"/>
      <c r="J1239" s="20"/>
      <c r="K1239" s="19"/>
      <c r="L1239" s="19"/>
      <c r="M1239" s="19"/>
      <c r="N1239" s="20"/>
      <c r="O1239" s="20"/>
      <c r="P1239" s="20"/>
      <c r="Q1239" s="20"/>
      <c r="R1239" s="20"/>
      <c r="S1239" s="20"/>
      <c r="T1239" s="708"/>
      <c r="U1239" s="708"/>
    </row>
    <row r="1240" ht="13.8" spans="1:21">
      <c r="A1240" s="19"/>
      <c r="B1240" s="20"/>
      <c r="C1240" s="20"/>
      <c r="D1240" s="19"/>
      <c r="E1240" s="19"/>
      <c r="F1240" s="19"/>
      <c r="G1240" s="19"/>
      <c r="H1240" s="19"/>
      <c r="I1240" s="19"/>
      <c r="J1240" s="20"/>
      <c r="K1240" s="19"/>
      <c r="L1240" s="19"/>
      <c r="M1240" s="19"/>
      <c r="N1240" s="20"/>
      <c r="O1240" s="20"/>
      <c r="P1240" s="20"/>
      <c r="Q1240" s="20"/>
      <c r="R1240" s="20"/>
      <c r="S1240" s="20"/>
      <c r="T1240" s="708"/>
      <c r="U1240" s="708"/>
    </row>
    <row r="1241" ht="13.8" spans="1:21">
      <c r="A1241" s="19"/>
      <c r="B1241" s="20"/>
      <c r="C1241" s="20"/>
      <c r="D1241" s="19"/>
      <c r="E1241" s="19"/>
      <c r="F1241" s="19"/>
      <c r="G1241" s="19"/>
      <c r="H1241" s="19"/>
      <c r="I1241" s="19"/>
      <c r="J1241" s="20"/>
      <c r="K1241" s="19"/>
      <c r="L1241" s="19"/>
      <c r="M1241" s="19"/>
      <c r="N1241" s="20"/>
      <c r="O1241" s="20"/>
      <c r="P1241" s="20"/>
      <c r="Q1241" s="20"/>
      <c r="R1241" s="20"/>
      <c r="S1241" s="20"/>
      <c r="T1241" s="708"/>
      <c r="U1241" s="708"/>
    </row>
    <row r="1242" ht="13.8" spans="1:21">
      <c r="A1242" s="19"/>
      <c r="B1242" s="20"/>
      <c r="C1242" s="20"/>
      <c r="D1242" s="19"/>
      <c r="E1242" s="19"/>
      <c r="F1242" s="19"/>
      <c r="G1242" s="19"/>
      <c r="H1242" s="19"/>
      <c r="I1242" s="19"/>
      <c r="J1242" s="20"/>
      <c r="K1242" s="19"/>
      <c r="L1242" s="19"/>
      <c r="M1242" s="19"/>
      <c r="N1242" s="20"/>
      <c r="O1242" s="20"/>
      <c r="P1242" s="20"/>
      <c r="Q1242" s="20"/>
      <c r="R1242" s="20"/>
      <c r="S1242" s="20"/>
      <c r="T1242" s="708"/>
      <c r="U1242" s="708"/>
    </row>
    <row r="1243" ht="13.8" spans="1:21">
      <c r="A1243" s="19"/>
      <c r="B1243" s="20"/>
      <c r="C1243" s="20"/>
      <c r="D1243" s="19"/>
      <c r="E1243" s="19"/>
      <c r="F1243" s="19"/>
      <c r="G1243" s="19"/>
      <c r="H1243" s="19"/>
      <c r="I1243" s="19"/>
      <c r="J1243" s="20"/>
      <c r="K1243" s="19"/>
      <c r="L1243" s="19"/>
      <c r="M1243" s="19"/>
      <c r="N1243" s="20"/>
      <c r="O1243" s="20"/>
      <c r="P1243" s="20"/>
      <c r="Q1243" s="20"/>
      <c r="R1243" s="20"/>
      <c r="S1243" s="20"/>
      <c r="T1243" s="708"/>
      <c r="U1243" s="708"/>
    </row>
    <row r="1244" ht="13.8" spans="1:21">
      <c r="A1244" s="19"/>
      <c r="B1244" s="20"/>
      <c r="C1244" s="20"/>
      <c r="D1244" s="19"/>
      <c r="E1244" s="19"/>
      <c r="F1244" s="19"/>
      <c r="G1244" s="19"/>
      <c r="H1244" s="19"/>
      <c r="I1244" s="19"/>
      <c r="J1244" s="20"/>
      <c r="K1244" s="19"/>
      <c r="L1244" s="19"/>
      <c r="M1244" s="19"/>
      <c r="N1244" s="20"/>
      <c r="O1244" s="20"/>
      <c r="P1244" s="20"/>
      <c r="Q1244" s="20"/>
      <c r="R1244" s="20"/>
      <c r="S1244" s="20"/>
      <c r="T1244" s="708"/>
      <c r="U1244" s="708"/>
    </row>
    <row r="1245" ht="13.8" spans="1:21">
      <c r="A1245" s="19"/>
      <c r="B1245" s="20"/>
      <c r="C1245" s="20"/>
      <c r="D1245" s="19"/>
      <c r="E1245" s="19"/>
      <c r="F1245" s="19"/>
      <c r="G1245" s="19"/>
      <c r="H1245" s="19"/>
      <c r="I1245" s="19"/>
      <c r="J1245" s="20"/>
      <c r="K1245" s="19"/>
      <c r="L1245" s="19"/>
      <c r="M1245" s="19"/>
      <c r="N1245" s="20"/>
      <c r="O1245" s="20"/>
      <c r="P1245" s="20"/>
      <c r="Q1245" s="20"/>
      <c r="R1245" s="20"/>
      <c r="S1245" s="20"/>
      <c r="T1245" s="708"/>
      <c r="U1245" s="708"/>
    </row>
    <row r="1246" ht="13.8" spans="1:21">
      <c r="A1246" s="19"/>
      <c r="B1246" s="20"/>
      <c r="C1246" s="20"/>
      <c r="D1246" s="19"/>
      <c r="E1246" s="19"/>
      <c r="F1246" s="19"/>
      <c r="G1246" s="19"/>
      <c r="H1246" s="19"/>
      <c r="I1246" s="19"/>
      <c r="J1246" s="20"/>
      <c r="K1246" s="19"/>
      <c r="L1246" s="19"/>
      <c r="M1246" s="19"/>
      <c r="N1246" s="20"/>
      <c r="O1246" s="20"/>
      <c r="P1246" s="20"/>
      <c r="Q1246" s="20"/>
      <c r="R1246" s="20"/>
      <c r="S1246" s="20"/>
      <c r="T1246" s="708"/>
      <c r="U1246" s="708"/>
    </row>
    <row r="1247" ht="13.8" spans="1:21">
      <c r="A1247" s="19"/>
      <c r="B1247" s="20"/>
      <c r="C1247" s="20"/>
      <c r="D1247" s="19"/>
      <c r="E1247" s="19"/>
      <c r="F1247" s="19"/>
      <c r="G1247" s="19"/>
      <c r="H1247" s="19"/>
      <c r="I1247" s="19"/>
      <c r="J1247" s="20"/>
      <c r="K1247" s="19"/>
      <c r="L1247" s="19"/>
      <c r="M1247" s="19"/>
      <c r="N1247" s="20"/>
      <c r="O1247" s="20"/>
      <c r="P1247" s="20"/>
      <c r="Q1247" s="20"/>
      <c r="R1247" s="20"/>
      <c r="S1247" s="20"/>
      <c r="T1247" s="708"/>
      <c r="U1247" s="708"/>
    </row>
    <row r="1248" ht="13.8" spans="1:21">
      <c r="A1248" s="19"/>
      <c r="B1248" s="20"/>
      <c r="C1248" s="20"/>
      <c r="D1248" s="19"/>
      <c r="E1248" s="19"/>
      <c r="F1248" s="19"/>
      <c r="G1248" s="19"/>
      <c r="H1248" s="19"/>
      <c r="I1248" s="19"/>
      <c r="J1248" s="20"/>
      <c r="K1248" s="19"/>
      <c r="L1248" s="19"/>
      <c r="M1248" s="19"/>
      <c r="N1248" s="20"/>
      <c r="O1248" s="20"/>
      <c r="P1248" s="20"/>
      <c r="Q1248" s="20"/>
      <c r="R1248" s="20"/>
      <c r="S1248" s="20"/>
      <c r="T1248" s="708"/>
      <c r="U1248" s="708"/>
    </row>
    <row r="1249" ht="13.8" spans="1:21">
      <c r="A1249" s="19"/>
      <c r="B1249" s="20"/>
      <c r="C1249" s="20"/>
      <c r="D1249" s="19"/>
      <c r="E1249" s="19"/>
      <c r="F1249" s="19"/>
      <c r="G1249" s="19"/>
      <c r="H1249" s="19"/>
      <c r="I1249" s="19"/>
      <c r="J1249" s="20"/>
      <c r="K1249" s="19"/>
      <c r="L1249" s="19"/>
      <c r="M1249" s="19"/>
      <c r="N1249" s="20"/>
      <c r="O1249" s="20"/>
      <c r="P1249" s="20"/>
      <c r="Q1249" s="20"/>
      <c r="R1249" s="20"/>
      <c r="S1249" s="20"/>
      <c r="T1249" s="708"/>
      <c r="U1249" s="708"/>
    </row>
    <row r="1250" ht="13.8" spans="1:21">
      <c r="A1250" s="19"/>
      <c r="B1250" s="20"/>
      <c r="C1250" s="20"/>
      <c r="D1250" s="19"/>
      <c r="E1250" s="19"/>
      <c r="F1250" s="19"/>
      <c r="G1250" s="19"/>
      <c r="H1250" s="19"/>
      <c r="I1250" s="19"/>
      <c r="J1250" s="20"/>
      <c r="K1250" s="19"/>
      <c r="L1250" s="19"/>
      <c r="M1250" s="19"/>
      <c r="N1250" s="20"/>
      <c r="O1250" s="20"/>
      <c r="P1250" s="20"/>
      <c r="Q1250" s="20"/>
      <c r="R1250" s="20"/>
      <c r="S1250" s="20"/>
      <c r="T1250" s="708"/>
      <c r="U1250" s="708"/>
    </row>
    <row r="1251" ht="13.8" spans="1:21">
      <c r="A1251" s="19"/>
      <c r="B1251" s="20"/>
      <c r="C1251" s="20"/>
      <c r="D1251" s="19"/>
      <c r="E1251" s="19"/>
      <c r="F1251" s="19"/>
      <c r="G1251" s="19"/>
      <c r="H1251" s="19"/>
      <c r="I1251" s="19"/>
      <c r="J1251" s="20"/>
      <c r="K1251" s="19"/>
      <c r="L1251" s="19"/>
      <c r="M1251" s="19"/>
      <c r="N1251" s="20"/>
      <c r="O1251" s="20"/>
      <c r="P1251" s="20"/>
      <c r="Q1251" s="20"/>
      <c r="R1251" s="20"/>
      <c r="S1251" s="20"/>
      <c r="T1251" s="708"/>
      <c r="U1251" s="708"/>
    </row>
    <row r="1252" ht="13.8" spans="1:21">
      <c r="A1252" s="19"/>
      <c r="B1252" s="20"/>
      <c r="C1252" s="20"/>
      <c r="D1252" s="19"/>
      <c r="E1252" s="19"/>
      <c r="F1252" s="19"/>
      <c r="G1252" s="19"/>
      <c r="H1252" s="19"/>
      <c r="I1252" s="19"/>
      <c r="J1252" s="20"/>
      <c r="K1252" s="19"/>
      <c r="L1252" s="19"/>
      <c r="M1252" s="19"/>
      <c r="N1252" s="20"/>
      <c r="O1252" s="20"/>
      <c r="P1252" s="20"/>
      <c r="Q1252" s="20"/>
      <c r="R1252" s="20"/>
      <c r="S1252" s="20"/>
      <c r="T1252" s="708"/>
      <c r="U1252" s="708"/>
    </row>
    <row r="1253" ht="13.8" spans="1:21">
      <c r="A1253" s="19"/>
      <c r="B1253" s="20"/>
      <c r="C1253" s="20"/>
      <c r="D1253" s="19"/>
      <c r="E1253" s="19"/>
      <c r="F1253" s="19"/>
      <c r="G1253" s="19"/>
      <c r="H1253" s="19"/>
      <c r="I1253" s="19"/>
      <c r="J1253" s="20"/>
      <c r="K1253" s="19"/>
      <c r="L1253" s="19"/>
      <c r="M1253" s="19"/>
      <c r="N1253" s="20"/>
      <c r="O1253" s="20"/>
      <c r="P1253" s="20"/>
      <c r="Q1253" s="20"/>
      <c r="R1253" s="20"/>
      <c r="S1253" s="20"/>
      <c r="T1253" s="708"/>
      <c r="U1253" s="708"/>
    </row>
    <row r="1254" ht="13.8" spans="1:21">
      <c r="A1254" s="19"/>
      <c r="B1254" s="20"/>
      <c r="C1254" s="20"/>
      <c r="D1254" s="19"/>
      <c r="E1254" s="19"/>
      <c r="F1254" s="19"/>
      <c r="G1254" s="19"/>
      <c r="H1254" s="19"/>
      <c r="I1254" s="19"/>
      <c r="J1254" s="20"/>
      <c r="K1254" s="19"/>
      <c r="L1254" s="19"/>
      <c r="M1254" s="19"/>
      <c r="N1254" s="20"/>
      <c r="O1254" s="20"/>
      <c r="P1254" s="20"/>
      <c r="Q1254" s="20"/>
      <c r="R1254" s="20"/>
      <c r="S1254" s="20"/>
      <c r="T1254" s="708"/>
      <c r="U1254" s="708"/>
    </row>
    <row r="1255" ht="13.8" spans="1:21">
      <c r="A1255" s="19"/>
      <c r="B1255" s="20"/>
      <c r="C1255" s="20"/>
      <c r="D1255" s="19"/>
      <c r="E1255" s="19"/>
      <c r="F1255" s="19"/>
      <c r="G1255" s="19"/>
      <c r="H1255" s="19"/>
      <c r="I1255" s="19"/>
      <c r="J1255" s="20"/>
      <c r="K1255" s="19"/>
      <c r="L1255" s="19"/>
      <c r="M1255" s="19"/>
      <c r="N1255" s="20"/>
      <c r="O1255" s="20"/>
      <c r="P1255" s="20"/>
      <c r="Q1255" s="20"/>
      <c r="R1255" s="20"/>
      <c r="S1255" s="20"/>
      <c r="T1255" s="708"/>
      <c r="U1255" s="708"/>
    </row>
    <row r="1256" ht="13.8" spans="1:21">
      <c r="A1256" s="19"/>
      <c r="B1256" s="20"/>
      <c r="C1256" s="20"/>
      <c r="D1256" s="19"/>
      <c r="E1256" s="19"/>
      <c r="F1256" s="19"/>
      <c r="G1256" s="19"/>
      <c r="H1256" s="19"/>
      <c r="I1256" s="19"/>
      <c r="J1256" s="20"/>
      <c r="K1256" s="19"/>
      <c r="L1256" s="19"/>
      <c r="M1256" s="19"/>
      <c r="N1256" s="20"/>
      <c r="O1256" s="20"/>
      <c r="P1256" s="20"/>
      <c r="Q1256" s="20"/>
      <c r="R1256" s="20"/>
      <c r="S1256" s="20"/>
      <c r="T1256" s="708"/>
      <c r="U1256" s="708"/>
    </row>
    <row r="1257" ht="13.8" spans="1:21">
      <c r="A1257" s="19"/>
      <c r="B1257" s="20"/>
      <c r="C1257" s="20"/>
      <c r="D1257" s="19"/>
      <c r="E1257" s="19"/>
      <c r="F1257" s="19"/>
      <c r="G1257" s="19"/>
      <c r="H1257" s="19"/>
      <c r="I1257" s="19"/>
      <c r="J1257" s="20"/>
      <c r="K1257" s="19"/>
      <c r="L1257" s="19"/>
      <c r="M1257" s="19"/>
      <c r="N1257" s="20"/>
      <c r="O1257" s="20"/>
      <c r="P1257" s="20"/>
      <c r="Q1257" s="20"/>
      <c r="R1257" s="20"/>
      <c r="S1257" s="20"/>
      <c r="T1257" s="708"/>
      <c r="U1257" s="708"/>
    </row>
    <row r="1258" ht="13.8" spans="1:21">
      <c r="A1258" s="19"/>
      <c r="B1258" s="20"/>
      <c r="C1258" s="20"/>
      <c r="D1258" s="19"/>
      <c r="E1258" s="19"/>
      <c r="F1258" s="19"/>
      <c r="G1258" s="19"/>
      <c r="H1258" s="19"/>
      <c r="I1258" s="19"/>
      <c r="J1258" s="20"/>
      <c r="K1258" s="19"/>
      <c r="L1258" s="19"/>
      <c r="M1258" s="19"/>
      <c r="N1258" s="20"/>
      <c r="O1258" s="20"/>
      <c r="P1258" s="20"/>
      <c r="Q1258" s="20"/>
      <c r="R1258" s="20"/>
      <c r="S1258" s="20"/>
      <c r="T1258" s="708"/>
      <c r="U1258" s="708"/>
    </row>
    <row r="1259" ht="13.8" spans="1:21">
      <c r="A1259" s="19"/>
      <c r="B1259" s="20"/>
      <c r="C1259" s="20"/>
      <c r="D1259" s="19"/>
      <c r="E1259" s="19"/>
      <c r="F1259" s="19"/>
      <c r="G1259" s="19"/>
      <c r="H1259" s="19"/>
      <c r="I1259" s="19"/>
      <c r="J1259" s="20"/>
      <c r="K1259" s="19"/>
      <c r="L1259" s="19"/>
      <c r="M1259" s="19"/>
      <c r="N1259" s="20"/>
      <c r="O1259" s="20"/>
      <c r="P1259" s="20"/>
      <c r="Q1259" s="20"/>
      <c r="R1259" s="20"/>
      <c r="S1259" s="20"/>
      <c r="T1259" s="708"/>
      <c r="U1259" s="708"/>
    </row>
    <row r="1260" ht="13.8" spans="1:21">
      <c r="A1260" s="19"/>
      <c r="B1260" s="20"/>
      <c r="C1260" s="20"/>
      <c r="D1260" s="19"/>
      <c r="E1260" s="19"/>
      <c r="F1260" s="19"/>
      <c r="G1260" s="19"/>
      <c r="H1260" s="19"/>
      <c r="I1260" s="19"/>
      <c r="J1260" s="20"/>
      <c r="K1260" s="19"/>
      <c r="L1260" s="19"/>
      <c r="M1260" s="19"/>
      <c r="N1260" s="20"/>
      <c r="O1260" s="20"/>
      <c r="P1260" s="20"/>
      <c r="Q1260" s="20"/>
      <c r="R1260" s="20"/>
      <c r="S1260" s="20"/>
      <c r="T1260" s="708"/>
      <c r="U1260" s="708"/>
    </row>
    <row r="1261" ht="13.8" spans="1:21">
      <c r="A1261" s="19"/>
      <c r="B1261" s="20"/>
      <c r="C1261" s="20"/>
      <c r="D1261" s="19"/>
      <c r="E1261" s="19"/>
      <c r="F1261" s="19"/>
      <c r="G1261" s="19"/>
      <c r="H1261" s="19"/>
      <c r="I1261" s="19"/>
      <c r="J1261" s="20"/>
      <c r="K1261" s="19"/>
      <c r="L1261" s="19"/>
      <c r="M1261" s="19"/>
      <c r="N1261" s="20"/>
      <c r="O1261" s="20"/>
      <c r="P1261" s="20"/>
      <c r="Q1261" s="20"/>
      <c r="R1261" s="20"/>
      <c r="S1261" s="20"/>
      <c r="T1261" s="708"/>
      <c r="U1261" s="708"/>
    </row>
    <row r="1262" ht="13.8" spans="1:21">
      <c r="A1262" s="19"/>
      <c r="B1262" s="20"/>
      <c r="C1262" s="20"/>
      <c r="D1262" s="19"/>
      <c r="E1262" s="19"/>
      <c r="F1262" s="19"/>
      <c r="G1262" s="19"/>
      <c r="H1262" s="19"/>
      <c r="I1262" s="19"/>
      <c r="J1262" s="20"/>
      <c r="K1262" s="19"/>
      <c r="L1262" s="19"/>
      <c r="M1262" s="19"/>
      <c r="N1262" s="20"/>
      <c r="O1262" s="20"/>
      <c r="P1262" s="20"/>
      <c r="Q1262" s="20"/>
      <c r="R1262" s="20"/>
      <c r="S1262" s="20"/>
      <c r="T1262" s="708"/>
      <c r="U1262" s="708"/>
    </row>
    <row r="1263" ht="13.8" spans="1:21">
      <c r="A1263" s="19"/>
      <c r="B1263" s="20"/>
      <c r="C1263" s="20"/>
      <c r="D1263" s="19"/>
      <c r="E1263" s="19"/>
      <c r="F1263" s="19"/>
      <c r="G1263" s="19"/>
      <c r="H1263" s="19"/>
      <c r="I1263" s="19"/>
      <c r="J1263" s="20"/>
      <c r="K1263" s="19"/>
      <c r="L1263" s="19"/>
      <c r="M1263" s="19"/>
      <c r="N1263" s="20"/>
      <c r="O1263" s="20"/>
      <c r="P1263" s="20"/>
      <c r="Q1263" s="20"/>
      <c r="R1263" s="20"/>
      <c r="S1263" s="20"/>
      <c r="T1263" s="708"/>
      <c r="U1263" s="708"/>
    </row>
    <row r="1264" ht="13.8" spans="1:21">
      <c r="A1264" s="19"/>
      <c r="B1264" s="20"/>
      <c r="C1264" s="20"/>
      <c r="D1264" s="19"/>
      <c r="E1264" s="19"/>
      <c r="F1264" s="19"/>
      <c r="G1264" s="19"/>
      <c r="H1264" s="19"/>
      <c r="I1264" s="19"/>
      <c r="J1264" s="20"/>
      <c r="K1264" s="19"/>
      <c r="L1264" s="19"/>
      <c r="M1264" s="19"/>
      <c r="N1264" s="20"/>
      <c r="O1264" s="20"/>
      <c r="P1264" s="20"/>
      <c r="Q1264" s="20"/>
      <c r="R1264" s="20"/>
      <c r="S1264" s="20"/>
      <c r="T1264" s="708"/>
      <c r="U1264" s="708"/>
    </row>
    <row r="1265" ht="13.8" spans="1:21">
      <c r="A1265" s="19"/>
      <c r="B1265" s="20"/>
      <c r="C1265" s="20"/>
      <c r="D1265" s="19"/>
      <c r="E1265" s="19"/>
      <c r="F1265" s="19"/>
      <c r="G1265" s="19"/>
      <c r="H1265" s="19"/>
      <c r="I1265" s="19"/>
      <c r="J1265" s="20"/>
      <c r="K1265" s="19"/>
      <c r="L1265" s="19"/>
      <c r="M1265" s="19"/>
      <c r="N1265" s="20"/>
      <c r="O1265" s="20"/>
      <c r="P1265" s="20"/>
      <c r="Q1265" s="20"/>
      <c r="R1265" s="20"/>
      <c r="S1265" s="20"/>
      <c r="T1265" s="708"/>
      <c r="U1265" s="708"/>
    </row>
    <row r="1266" ht="13.8" spans="1:21">
      <c r="A1266" s="19"/>
      <c r="B1266" s="20"/>
      <c r="C1266" s="20"/>
      <c r="D1266" s="19"/>
      <c r="E1266" s="19"/>
      <c r="F1266" s="19"/>
      <c r="G1266" s="19"/>
      <c r="H1266" s="19"/>
      <c r="I1266" s="19"/>
      <c r="J1266" s="20"/>
      <c r="K1266" s="19"/>
      <c r="L1266" s="19"/>
      <c r="M1266" s="19"/>
      <c r="N1266" s="20"/>
      <c r="O1266" s="20"/>
      <c r="P1266" s="20"/>
      <c r="Q1266" s="20"/>
      <c r="R1266" s="20"/>
      <c r="S1266" s="20"/>
      <c r="T1266" s="708"/>
      <c r="U1266" s="708"/>
    </row>
    <row r="1267" ht="13.8" spans="1:21">
      <c r="A1267" s="19"/>
      <c r="B1267" s="20"/>
      <c r="C1267" s="20"/>
      <c r="D1267" s="19"/>
      <c r="E1267" s="19"/>
      <c r="F1267" s="19"/>
      <c r="G1267" s="19"/>
      <c r="H1267" s="19"/>
      <c r="I1267" s="19"/>
      <c r="J1267" s="20"/>
      <c r="K1267" s="19"/>
      <c r="L1267" s="19"/>
      <c r="M1267" s="19"/>
      <c r="N1267" s="20"/>
      <c r="O1267" s="20"/>
      <c r="P1267" s="20"/>
      <c r="Q1267" s="20"/>
      <c r="R1267" s="20"/>
      <c r="S1267" s="20"/>
      <c r="T1267" s="708"/>
      <c r="U1267" s="708"/>
    </row>
    <row r="1268" ht="13.8" spans="1:21">
      <c r="A1268" s="19"/>
      <c r="B1268" s="20"/>
      <c r="C1268" s="20"/>
      <c r="D1268" s="19"/>
      <c r="E1268" s="19"/>
      <c r="F1268" s="19"/>
      <c r="G1268" s="19"/>
      <c r="H1268" s="19"/>
      <c r="I1268" s="19"/>
      <c r="J1268" s="20"/>
      <c r="K1268" s="19"/>
      <c r="L1268" s="19"/>
      <c r="M1268" s="19"/>
      <c r="N1268" s="20"/>
      <c r="O1268" s="20"/>
      <c r="P1268" s="20"/>
      <c r="Q1268" s="20"/>
      <c r="R1268" s="20"/>
      <c r="S1268" s="20"/>
      <c r="T1268" s="708"/>
      <c r="U1268" s="708"/>
    </row>
    <row r="1269" ht="13.8" spans="1:21">
      <c r="A1269" s="19"/>
      <c r="B1269" s="20"/>
      <c r="C1269" s="20"/>
      <c r="D1269" s="19"/>
      <c r="E1269" s="19"/>
      <c r="F1269" s="19"/>
      <c r="G1269" s="19"/>
      <c r="H1269" s="19"/>
      <c r="I1269" s="19"/>
      <c r="J1269" s="20"/>
      <c r="K1269" s="19"/>
      <c r="L1269" s="19"/>
      <c r="M1269" s="19"/>
      <c r="N1269" s="20"/>
      <c r="O1269" s="20"/>
      <c r="P1269" s="20"/>
      <c r="Q1269" s="20"/>
      <c r="R1269" s="20"/>
      <c r="S1269" s="20"/>
      <c r="T1269" s="708"/>
      <c r="U1269" s="708"/>
    </row>
    <row r="1270" ht="13.8" spans="1:21">
      <c r="A1270" s="19"/>
      <c r="B1270" s="20"/>
      <c r="C1270" s="20"/>
      <c r="D1270" s="19"/>
      <c r="E1270" s="19"/>
      <c r="F1270" s="19"/>
      <c r="G1270" s="19"/>
      <c r="H1270" s="19"/>
      <c r="I1270" s="19"/>
      <c r="J1270" s="20"/>
      <c r="K1270" s="19"/>
      <c r="L1270" s="19"/>
      <c r="M1270" s="19"/>
      <c r="N1270" s="20"/>
      <c r="O1270" s="20"/>
      <c r="P1270" s="20"/>
      <c r="Q1270" s="20"/>
      <c r="R1270" s="20"/>
      <c r="S1270" s="20"/>
      <c r="T1270" s="708"/>
      <c r="U1270" s="708"/>
    </row>
    <row r="1271" ht="13.8" spans="1:21">
      <c r="A1271" s="19"/>
      <c r="B1271" s="20"/>
      <c r="C1271" s="20"/>
      <c r="D1271" s="19"/>
      <c r="E1271" s="19"/>
      <c r="F1271" s="19"/>
      <c r="G1271" s="19"/>
      <c r="H1271" s="19"/>
      <c r="I1271" s="19"/>
      <c r="J1271" s="20"/>
      <c r="K1271" s="19"/>
      <c r="L1271" s="19"/>
      <c r="M1271" s="19"/>
      <c r="N1271" s="20"/>
      <c r="O1271" s="20"/>
      <c r="P1271" s="20"/>
      <c r="Q1271" s="20"/>
      <c r="R1271" s="20"/>
      <c r="S1271" s="20"/>
      <c r="T1271" s="708"/>
      <c r="U1271" s="708"/>
    </row>
    <row r="1272" ht="13.8" spans="1:21">
      <c r="A1272" s="19"/>
      <c r="B1272" s="20"/>
      <c r="C1272" s="20"/>
      <c r="D1272" s="19"/>
      <c r="E1272" s="19"/>
      <c r="F1272" s="19"/>
      <c r="G1272" s="19"/>
      <c r="H1272" s="19"/>
      <c r="I1272" s="19"/>
      <c r="J1272" s="20"/>
      <c r="K1272" s="19"/>
      <c r="L1272" s="19"/>
      <c r="M1272" s="19"/>
      <c r="N1272" s="20"/>
      <c r="O1272" s="20"/>
      <c r="P1272" s="20"/>
      <c r="Q1272" s="20"/>
      <c r="R1272" s="20"/>
      <c r="S1272" s="20"/>
      <c r="T1272" s="708"/>
      <c r="U1272" s="708"/>
    </row>
    <row r="1273" ht="13.8" spans="1:21">
      <c r="A1273" s="19"/>
      <c r="B1273" s="20"/>
      <c r="C1273" s="20"/>
      <c r="D1273" s="19"/>
      <c r="E1273" s="19"/>
      <c r="F1273" s="19"/>
      <c r="G1273" s="19"/>
      <c r="H1273" s="19"/>
      <c r="I1273" s="19"/>
      <c r="J1273" s="20"/>
      <c r="K1273" s="19"/>
      <c r="L1273" s="19"/>
      <c r="M1273" s="19"/>
      <c r="N1273" s="20"/>
      <c r="O1273" s="20"/>
      <c r="P1273" s="20"/>
      <c r="Q1273" s="20"/>
      <c r="R1273" s="20"/>
      <c r="S1273" s="20"/>
      <c r="T1273" s="708"/>
      <c r="U1273" s="708"/>
    </row>
    <row r="1274" ht="13.8" spans="1:21">
      <c r="A1274" s="19"/>
      <c r="B1274" s="20"/>
      <c r="C1274" s="20"/>
      <c r="D1274" s="19"/>
      <c r="E1274" s="19"/>
      <c r="F1274" s="19"/>
      <c r="G1274" s="19"/>
      <c r="H1274" s="19"/>
      <c r="I1274" s="19"/>
      <c r="J1274" s="20"/>
      <c r="K1274" s="19"/>
      <c r="L1274" s="19"/>
      <c r="M1274" s="19"/>
      <c r="N1274" s="20"/>
      <c r="O1274" s="20"/>
      <c r="P1274" s="20"/>
      <c r="Q1274" s="20"/>
      <c r="R1274" s="20"/>
      <c r="S1274" s="20"/>
      <c r="T1274" s="708"/>
      <c r="U1274" s="708"/>
    </row>
    <row r="1275" ht="13.8" spans="1:21">
      <c r="A1275" s="19"/>
      <c r="B1275" s="20"/>
      <c r="C1275" s="20"/>
      <c r="D1275" s="19"/>
      <c r="E1275" s="19"/>
      <c r="F1275" s="19"/>
      <c r="G1275" s="19"/>
      <c r="H1275" s="19"/>
      <c r="I1275" s="19"/>
      <c r="J1275" s="20"/>
      <c r="K1275" s="19"/>
      <c r="L1275" s="19"/>
      <c r="M1275" s="19"/>
      <c r="N1275" s="20"/>
      <c r="O1275" s="20"/>
      <c r="P1275" s="20"/>
      <c r="Q1275" s="20"/>
      <c r="R1275" s="20"/>
      <c r="S1275" s="20"/>
      <c r="T1275" s="708"/>
      <c r="U1275" s="708"/>
    </row>
    <row r="1276" ht="13.8" spans="1:21">
      <c r="A1276" s="19"/>
      <c r="B1276" s="20"/>
      <c r="C1276" s="20"/>
      <c r="D1276" s="19"/>
      <c r="E1276" s="19"/>
      <c r="F1276" s="19"/>
      <c r="G1276" s="19"/>
      <c r="H1276" s="19"/>
      <c r="I1276" s="19"/>
      <c r="J1276" s="20"/>
      <c r="K1276" s="19"/>
      <c r="L1276" s="19"/>
      <c r="M1276" s="19"/>
      <c r="N1276" s="20"/>
      <c r="O1276" s="20"/>
      <c r="P1276" s="20"/>
      <c r="Q1276" s="20"/>
      <c r="R1276" s="20"/>
      <c r="S1276" s="20"/>
      <c r="T1276" s="708"/>
      <c r="U1276" s="708"/>
    </row>
    <row r="1277" ht="13.8" spans="1:21">
      <c r="A1277" s="19"/>
      <c r="B1277" s="20"/>
      <c r="C1277" s="20"/>
      <c r="D1277" s="19"/>
      <c r="E1277" s="19"/>
      <c r="F1277" s="19"/>
      <c r="G1277" s="19"/>
      <c r="H1277" s="19"/>
      <c r="I1277" s="19"/>
      <c r="J1277" s="20"/>
      <c r="K1277" s="19"/>
      <c r="L1277" s="19"/>
      <c r="M1277" s="19"/>
      <c r="N1277" s="20"/>
      <c r="O1277" s="20"/>
      <c r="P1277" s="20"/>
      <c r="Q1277" s="20"/>
      <c r="R1277" s="20"/>
      <c r="S1277" s="20"/>
      <c r="T1277" s="708"/>
      <c r="U1277" s="708"/>
    </row>
    <row r="1278" ht="13.8" spans="1:21">
      <c r="A1278" s="19"/>
      <c r="B1278" s="20"/>
      <c r="C1278" s="20"/>
      <c r="D1278" s="19"/>
      <c r="E1278" s="19"/>
      <c r="F1278" s="19"/>
      <c r="G1278" s="19"/>
      <c r="H1278" s="19"/>
      <c r="I1278" s="19"/>
      <c r="J1278" s="20"/>
      <c r="K1278" s="19"/>
      <c r="L1278" s="19"/>
      <c r="M1278" s="19"/>
      <c r="N1278" s="20"/>
      <c r="O1278" s="20"/>
      <c r="P1278" s="20"/>
      <c r="Q1278" s="20"/>
      <c r="R1278" s="20"/>
      <c r="S1278" s="20"/>
      <c r="T1278" s="708"/>
      <c r="U1278" s="708"/>
    </row>
    <row r="1279" ht="13.8" spans="1:21">
      <c r="A1279" s="19"/>
      <c r="B1279" s="20"/>
      <c r="C1279" s="20"/>
      <c r="D1279" s="19"/>
      <c r="E1279" s="19"/>
      <c r="F1279" s="19"/>
      <c r="G1279" s="19"/>
      <c r="H1279" s="19"/>
      <c r="I1279" s="19"/>
      <c r="J1279" s="20"/>
      <c r="K1279" s="19"/>
      <c r="L1279" s="19"/>
      <c r="M1279" s="19"/>
      <c r="N1279" s="20"/>
      <c r="O1279" s="20"/>
      <c r="P1279" s="20"/>
      <c r="Q1279" s="20"/>
      <c r="R1279" s="20"/>
      <c r="S1279" s="20"/>
      <c r="T1279" s="708"/>
      <c r="U1279" s="708"/>
    </row>
    <row r="1280" ht="13.8" spans="1:21">
      <c r="A1280" s="19"/>
      <c r="B1280" s="20"/>
      <c r="C1280" s="20"/>
      <c r="D1280" s="19"/>
      <c r="E1280" s="19"/>
      <c r="F1280" s="19"/>
      <c r="G1280" s="19"/>
      <c r="H1280" s="19"/>
      <c r="I1280" s="19"/>
      <c r="J1280" s="20"/>
      <c r="K1280" s="19"/>
      <c r="L1280" s="19"/>
      <c r="M1280" s="19"/>
      <c r="N1280" s="20"/>
      <c r="O1280" s="20"/>
      <c r="P1280" s="20"/>
      <c r="Q1280" s="20"/>
      <c r="R1280" s="20"/>
      <c r="S1280" s="20"/>
      <c r="T1280" s="708"/>
      <c r="U1280" s="708"/>
    </row>
    <row r="1281" ht="13.8" spans="1:21">
      <c r="A1281" s="19"/>
      <c r="B1281" s="20"/>
      <c r="C1281" s="20"/>
      <c r="D1281" s="19"/>
      <c r="E1281" s="19"/>
      <c r="F1281" s="19"/>
      <c r="G1281" s="19"/>
      <c r="H1281" s="19"/>
      <c r="I1281" s="19"/>
      <c r="J1281" s="20"/>
      <c r="K1281" s="19"/>
      <c r="L1281" s="19"/>
      <c r="M1281" s="19"/>
      <c r="N1281" s="20"/>
      <c r="O1281" s="20"/>
      <c r="P1281" s="20"/>
      <c r="Q1281" s="20"/>
      <c r="R1281" s="20"/>
      <c r="S1281" s="20"/>
      <c r="T1281" s="708"/>
      <c r="U1281" s="708"/>
    </row>
    <row r="1282" ht="13.8" spans="1:21">
      <c r="A1282" s="19"/>
      <c r="B1282" s="20"/>
      <c r="C1282" s="20"/>
      <c r="D1282" s="19"/>
      <c r="E1282" s="19"/>
      <c r="F1282" s="19"/>
      <c r="G1282" s="19"/>
      <c r="H1282" s="19"/>
      <c r="I1282" s="19"/>
      <c r="J1282" s="20"/>
      <c r="K1282" s="19"/>
      <c r="L1282" s="19"/>
      <c r="M1282" s="19"/>
      <c r="N1282" s="20"/>
      <c r="O1282" s="20"/>
      <c r="P1282" s="20"/>
      <c r="Q1282" s="20"/>
      <c r="R1282" s="20"/>
      <c r="S1282" s="20"/>
      <c r="T1282" s="708"/>
      <c r="U1282" s="708"/>
    </row>
    <row r="1283" ht="13.8" spans="1:21">
      <c r="A1283" s="19"/>
      <c r="B1283" s="20"/>
      <c r="C1283" s="20"/>
      <c r="D1283" s="19"/>
      <c r="E1283" s="19"/>
      <c r="F1283" s="19"/>
      <c r="G1283" s="19"/>
      <c r="H1283" s="19"/>
      <c r="I1283" s="19"/>
      <c r="J1283" s="20"/>
      <c r="K1283" s="19"/>
      <c r="L1283" s="19"/>
      <c r="M1283" s="19"/>
      <c r="N1283" s="20"/>
      <c r="O1283" s="20"/>
      <c r="P1283" s="20"/>
      <c r="Q1283" s="20"/>
      <c r="R1283" s="20"/>
      <c r="S1283" s="20"/>
      <c r="T1283" s="708"/>
      <c r="U1283" s="708"/>
    </row>
    <row r="1284" ht="13.8" spans="1:21">
      <c r="A1284" s="19"/>
      <c r="B1284" s="20"/>
      <c r="C1284" s="20"/>
      <c r="D1284" s="19"/>
      <c r="E1284" s="19"/>
      <c r="F1284" s="19"/>
      <c r="G1284" s="19"/>
      <c r="H1284" s="19"/>
      <c r="I1284" s="19"/>
      <c r="J1284" s="20"/>
      <c r="K1284" s="19"/>
      <c r="L1284" s="19"/>
      <c r="M1284" s="19"/>
      <c r="N1284" s="20"/>
      <c r="O1284" s="20"/>
      <c r="P1284" s="20"/>
      <c r="Q1284" s="20"/>
      <c r="R1284" s="20"/>
      <c r="S1284" s="20"/>
      <c r="T1284" s="708"/>
      <c r="U1284" s="708"/>
    </row>
    <row r="1285" ht="13.8" spans="1:21">
      <c r="A1285" s="19"/>
      <c r="B1285" s="20"/>
      <c r="C1285" s="20"/>
      <c r="D1285" s="19"/>
      <c r="E1285" s="19"/>
      <c r="F1285" s="19"/>
      <c r="G1285" s="19"/>
      <c r="H1285" s="19"/>
      <c r="I1285" s="19"/>
      <c r="J1285" s="20"/>
      <c r="K1285" s="19"/>
      <c r="L1285" s="19"/>
      <c r="M1285" s="19"/>
      <c r="N1285" s="20"/>
      <c r="O1285" s="20"/>
      <c r="P1285" s="20"/>
      <c r="Q1285" s="20"/>
      <c r="R1285" s="20"/>
      <c r="S1285" s="20"/>
      <c r="T1285" s="708"/>
      <c r="U1285" s="708"/>
    </row>
    <row r="1286" ht="13.8" spans="1:21">
      <c r="A1286" s="19"/>
      <c r="B1286" s="20"/>
      <c r="C1286" s="20"/>
      <c r="D1286" s="19"/>
      <c r="E1286" s="19"/>
      <c r="F1286" s="19"/>
      <c r="G1286" s="19"/>
      <c r="H1286" s="19"/>
      <c r="I1286" s="19"/>
      <c r="J1286" s="20"/>
      <c r="K1286" s="19"/>
      <c r="L1286" s="19"/>
      <c r="M1286" s="19"/>
      <c r="N1286" s="20"/>
      <c r="O1286" s="20"/>
      <c r="P1286" s="20"/>
      <c r="Q1286" s="20"/>
      <c r="R1286" s="20"/>
      <c r="S1286" s="20"/>
      <c r="T1286" s="708"/>
      <c r="U1286" s="708"/>
    </row>
    <row r="1287" ht="13.8" spans="1:21">
      <c r="A1287" s="19"/>
      <c r="B1287" s="20"/>
      <c r="C1287" s="20"/>
      <c r="D1287" s="19"/>
      <c r="E1287" s="19"/>
      <c r="F1287" s="19"/>
      <c r="G1287" s="19"/>
      <c r="H1287" s="19"/>
      <c r="I1287" s="19"/>
      <c r="J1287" s="20"/>
      <c r="K1287" s="19"/>
      <c r="L1287" s="19"/>
      <c r="M1287" s="19"/>
      <c r="N1287" s="20"/>
      <c r="O1287" s="20"/>
      <c r="P1287" s="20"/>
      <c r="Q1287" s="20"/>
      <c r="R1287" s="20"/>
      <c r="S1287" s="20"/>
      <c r="T1287" s="708"/>
      <c r="U1287" s="708"/>
    </row>
    <row r="1288" ht="13.8" spans="1:21">
      <c r="A1288" s="19"/>
      <c r="B1288" s="20"/>
      <c r="C1288" s="20"/>
      <c r="D1288" s="19"/>
      <c r="E1288" s="19"/>
      <c r="F1288" s="19"/>
      <c r="G1288" s="19"/>
      <c r="H1288" s="19"/>
      <c r="I1288" s="19"/>
      <c r="J1288" s="20"/>
      <c r="K1288" s="19"/>
      <c r="L1288" s="19"/>
      <c r="M1288" s="19"/>
      <c r="N1288" s="20"/>
      <c r="O1288" s="20"/>
      <c r="P1288" s="20"/>
      <c r="Q1288" s="20"/>
      <c r="R1288" s="20"/>
      <c r="S1288" s="20"/>
      <c r="T1288" s="708"/>
      <c r="U1288" s="708"/>
    </row>
    <row r="1289" ht="13.8" spans="1:21">
      <c r="A1289" s="19"/>
      <c r="B1289" s="20"/>
      <c r="C1289" s="20"/>
      <c r="D1289" s="19"/>
      <c r="E1289" s="19"/>
      <c r="F1289" s="19"/>
      <c r="G1289" s="19"/>
      <c r="H1289" s="19"/>
      <c r="I1289" s="19"/>
      <c r="J1289" s="20"/>
      <c r="K1289" s="19"/>
      <c r="L1289" s="19"/>
      <c r="M1289" s="19"/>
      <c r="N1289" s="20"/>
      <c r="O1289" s="20"/>
      <c r="P1289" s="20"/>
      <c r="Q1289" s="20"/>
      <c r="R1289" s="20"/>
      <c r="S1289" s="20"/>
      <c r="T1289" s="708"/>
      <c r="U1289" s="708"/>
    </row>
    <row r="1290" ht="13.8" spans="1:21">
      <c r="A1290" s="19"/>
      <c r="B1290" s="20"/>
      <c r="C1290" s="20"/>
      <c r="D1290" s="19"/>
      <c r="E1290" s="19"/>
      <c r="F1290" s="19"/>
      <c r="G1290" s="19"/>
      <c r="H1290" s="19"/>
      <c r="I1290" s="19"/>
      <c r="J1290" s="20"/>
      <c r="K1290" s="19"/>
      <c r="L1290" s="19"/>
      <c r="M1290" s="19"/>
      <c r="N1290" s="20"/>
      <c r="O1290" s="20"/>
      <c r="P1290" s="20"/>
      <c r="Q1290" s="20"/>
      <c r="R1290" s="20"/>
      <c r="S1290" s="20"/>
      <c r="T1290" s="708"/>
      <c r="U1290" s="708"/>
    </row>
    <row r="1291" ht="13.8" spans="1:21">
      <c r="A1291" s="19"/>
      <c r="B1291" s="20"/>
      <c r="C1291" s="20"/>
      <c r="D1291" s="19"/>
      <c r="E1291" s="19"/>
      <c r="F1291" s="19"/>
      <c r="G1291" s="19"/>
      <c r="H1291" s="19"/>
      <c r="I1291" s="19"/>
      <c r="J1291" s="20"/>
      <c r="K1291" s="19"/>
      <c r="L1291" s="19"/>
      <c r="M1291" s="19"/>
      <c r="N1291" s="20"/>
      <c r="O1291" s="20"/>
      <c r="P1291" s="20"/>
      <c r="Q1291" s="20"/>
      <c r="R1291" s="20"/>
      <c r="S1291" s="20"/>
      <c r="T1291" s="708"/>
      <c r="U1291" s="708"/>
    </row>
    <row r="1292" ht="13.8" spans="1:21">
      <c r="A1292" s="19"/>
      <c r="B1292" s="20"/>
      <c r="C1292" s="20"/>
      <c r="D1292" s="19"/>
      <c r="E1292" s="19"/>
      <c r="F1292" s="19"/>
      <c r="G1292" s="19"/>
      <c r="H1292" s="19"/>
      <c r="I1292" s="19"/>
      <c r="J1292" s="20"/>
      <c r="K1292" s="19"/>
      <c r="L1292" s="19"/>
      <c r="M1292" s="19"/>
      <c r="N1292" s="20"/>
      <c r="O1292" s="20"/>
      <c r="P1292" s="20"/>
      <c r="Q1292" s="20"/>
      <c r="R1292" s="20"/>
      <c r="S1292" s="20"/>
      <c r="T1292" s="708"/>
      <c r="U1292" s="708"/>
    </row>
    <row r="1293" ht="13.8" spans="1:21">
      <c r="A1293" s="19"/>
      <c r="B1293" s="20"/>
      <c r="C1293" s="20"/>
      <c r="D1293" s="19"/>
      <c r="E1293" s="19"/>
      <c r="F1293" s="19"/>
      <c r="G1293" s="19"/>
      <c r="H1293" s="19"/>
      <c r="I1293" s="19"/>
      <c r="J1293" s="20"/>
      <c r="K1293" s="19"/>
      <c r="L1293" s="19"/>
      <c r="M1293" s="19"/>
      <c r="N1293" s="20"/>
      <c r="O1293" s="20"/>
      <c r="P1293" s="20"/>
      <c r="Q1293" s="20"/>
      <c r="R1293" s="20"/>
      <c r="S1293" s="20"/>
      <c r="T1293" s="708"/>
      <c r="U1293" s="708"/>
    </row>
    <row r="1294" ht="13.8" spans="1:21">
      <c r="A1294" s="19"/>
      <c r="B1294" s="20"/>
      <c r="C1294" s="20"/>
      <c r="D1294" s="19"/>
      <c r="E1294" s="19"/>
      <c r="F1294" s="19"/>
      <c r="G1294" s="19"/>
      <c r="H1294" s="19"/>
      <c r="I1294" s="19"/>
      <c r="J1294" s="20"/>
      <c r="K1294" s="19"/>
      <c r="L1294" s="19"/>
      <c r="M1294" s="19"/>
      <c r="N1294" s="20"/>
      <c r="O1294" s="20"/>
      <c r="P1294" s="20"/>
      <c r="Q1294" s="20"/>
      <c r="R1294" s="20"/>
      <c r="S1294" s="20"/>
      <c r="T1294" s="708"/>
      <c r="U1294" s="708"/>
    </row>
    <row r="1295" ht="13.8" spans="1:21">
      <c r="A1295" s="19"/>
      <c r="B1295" s="20"/>
      <c r="C1295" s="20"/>
      <c r="D1295" s="19"/>
      <c r="E1295" s="19"/>
      <c r="F1295" s="19"/>
      <c r="G1295" s="19"/>
      <c r="H1295" s="19"/>
      <c r="I1295" s="19"/>
      <c r="J1295" s="20"/>
      <c r="K1295" s="19"/>
      <c r="L1295" s="19"/>
      <c r="M1295" s="19"/>
      <c r="N1295" s="20"/>
      <c r="O1295" s="20"/>
      <c r="P1295" s="20"/>
      <c r="Q1295" s="20"/>
      <c r="R1295" s="20"/>
      <c r="S1295" s="20"/>
      <c r="T1295" s="708"/>
      <c r="U1295" s="708"/>
    </row>
    <row r="1296" ht="13.8" spans="1:21">
      <c r="A1296" s="19"/>
      <c r="B1296" s="20"/>
      <c r="C1296" s="20"/>
      <c r="D1296" s="19"/>
      <c r="E1296" s="19"/>
      <c r="F1296" s="19"/>
      <c r="G1296" s="19"/>
      <c r="H1296" s="19"/>
      <c r="I1296" s="19"/>
      <c r="J1296" s="20"/>
      <c r="K1296" s="19"/>
      <c r="L1296" s="19"/>
      <c r="M1296" s="19"/>
      <c r="N1296" s="20"/>
      <c r="O1296" s="20"/>
      <c r="P1296" s="20"/>
      <c r="Q1296" s="20"/>
      <c r="R1296" s="20"/>
      <c r="S1296" s="20"/>
      <c r="T1296" s="708"/>
      <c r="U1296" s="708"/>
    </row>
    <row r="1297" ht="13.8" spans="1:21">
      <c r="A1297" s="19"/>
      <c r="B1297" s="20"/>
      <c r="C1297" s="20"/>
      <c r="D1297" s="19"/>
      <c r="E1297" s="19"/>
      <c r="F1297" s="19"/>
      <c r="G1297" s="19"/>
      <c r="H1297" s="19"/>
      <c r="I1297" s="19"/>
      <c r="J1297" s="20"/>
      <c r="K1297" s="19"/>
      <c r="L1297" s="19"/>
      <c r="M1297" s="19"/>
      <c r="N1297" s="20"/>
      <c r="O1297" s="20"/>
      <c r="P1297" s="20"/>
      <c r="Q1297" s="20"/>
      <c r="R1297" s="20"/>
      <c r="S1297" s="20"/>
      <c r="T1297" s="708"/>
      <c r="U1297" s="708"/>
    </row>
    <row r="1298" ht="13.8" spans="1:21">
      <c r="A1298" s="19"/>
      <c r="B1298" s="20"/>
      <c r="C1298" s="20"/>
      <c r="D1298" s="19"/>
      <c r="E1298" s="19"/>
      <c r="F1298" s="19"/>
      <c r="G1298" s="19"/>
      <c r="H1298" s="19"/>
      <c r="I1298" s="19"/>
      <c r="J1298" s="20"/>
      <c r="K1298" s="19"/>
      <c r="L1298" s="19"/>
      <c r="M1298" s="19"/>
      <c r="N1298" s="20"/>
      <c r="O1298" s="20"/>
      <c r="P1298" s="20"/>
      <c r="Q1298" s="20"/>
      <c r="R1298" s="20"/>
      <c r="S1298" s="20"/>
      <c r="T1298" s="708"/>
      <c r="U1298" s="708"/>
    </row>
    <row r="1299" ht="13.8" spans="1:21">
      <c r="A1299" s="19"/>
      <c r="B1299" s="20"/>
      <c r="C1299" s="20"/>
      <c r="D1299" s="19"/>
      <c r="E1299" s="19"/>
      <c r="F1299" s="19"/>
      <c r="G1299" s="19"/>
      <c r="H1299" s="19"/>
      <c r="I1299" s="19"/>
      <c r="J1299" s="20"/>
      <c r="K1299" s="19"/>
      <c r="L1299" s="19"/>
      <c r="M1299" s="19"/>
      <c r="N1299" s="20"/>
      <c r="O1299" s="20"/>
      <c r="P1299" s="20"/>
      <c r="Q1299" s="20"/>
      <c r="R1299" s="20"/>
      <c r="S1299" s="20"/>
      <c r="T1299" s="708"/>
      <c r="U1299" s="708"/>
    </row>
    <row r="1300" ht="13.8" spans="1:21">
      <c r="A1300" s="19"/>
      <c r="B1300" s="20"/>
      <c r="C1300" s="20"/>
      <c r="D1300" s="19"/>
      <c r="E1300" s="19"/>
      <c r="F1300" s="19"/>
      <c r="G1300" s="19"/>
      <c r="H1300" s="19"/>
      <c r="I1300" s="19"/>
      <c r="J1300" s="20"/>
      <c r="K1300" s="19"/>
      <c r="L1300" s="19"/>
      <c r="M1300" s="19"/>
      <c r="N1300" s="20"/>
      <c r="O1300" s="20"/>
      <c r="P1300" s="20"/>
      <c r="Q1300" s="20"/>
      <c r="R1300" s="20"/>
      <c r="S1300" s="20"/>
      <c r="T1300" s="708"/>
      <c r="U1300" s="708"/>
    </row>
    <row r="1301" ht="13.8" spans="1:21">
      <c r="A1301" s="19"/>
      <c r="B1301" s="20"/>
      <c r="C1301" s="20"/>
      <c r="D1301" s="19"/>
      <c r="E1301" s="19"/>
      <c r="F1301" s="19"/>
      <c r="G1301" s="19"/>
      <c r="H1301" s="19"/>
      <c r="I1301" s="19"/>
      <c r="J1301" s="20"/>
      <c r="K1301" s="19"/>
      <c r="L1301" s="19"/>
      <c r="M1301" s="19"/>
      <c r="N1301" s="20"/>
      <c r="O1301" s="20"/>
      <c r="P1301" s="20"/>
      <c r="Q1301" s="20"/>
      <c r="R1301" s="20"/>
      <c r="S1301" s="20"/>
      <c r="T1301" s="708"/>
      <c r="U1301" s="708"/>
    </row>
    <row r="1302" ht="13.8" spans="1:21">
      <c r="A1302" s="19"/>
      <c r="B1302" s="20"/>
      <c r="C1302" s="20"/>
      <c r="D1302" s="19"/>
      <c r="E1302" s="19"/>
      <c r="F1302" s="19"/>
      <c r="G1302" s="19"/>
      <c r="H1302" s="19"/>
      <c r="I1302" s="19"/>
      <c r="J1302" s="20"/>
      <c r="K1302" s="19"/>
      <c r="L1302" s="19"/>
      <c r="M1302" s="19"/>
      <c r="N1302" s="20"/>
      <c r="O1302" s="20"/>
      <c r="P1302" s="20"/>
      <c r="Q1302" s="20"/>
      <c r="R1302" s="20"/>
      <c r="S1302" s="20"/>
      <c r="T1302" s="708"/>
      <c r="U1302" s="708"/>
    </row>
    <row r="1303" ht="13.8" spans="1:21">
      <c r="A1303" s="19"/>
      <c r="B1303" s="20"/>
      <c r="C1303" s="20"/>
      <c r="D1303" s="19"/>
      <c r="E1303" s="19"/>
      <c r="F1303" s="19"/>
      <c r="G1303" s="19"/>
      <c r="H1303" s="19"/>
      <c r="I1303" s="19"/>
      <c r="J1303" s="20"/>
      <c r="K1303" s="19"/>
      <c r="L1303" s="19"/>
      <c r="M1303" s="19"/>
      <c r="N1303" s="20"/>
      <c r="O1303" s="20"/>
      <c r="P1303" s="20"/>
      <c r="Q1303" s="20"/>
      <c r="R1303" s="20"/>
      <c r="S1303" s="20"/>
      <c r="T1303" s="708"/>
      <c r="U1303" s="708"/>
    </row>
    <row r="1304" ht="13.8" spans="1:21">
      <c r="A1304" s="19"/>
      <c r="B1304" s="20"/>
      <c r="C1304" s="20"/>
      <c r="D1304" s="19"/>
      <c r="E1304" s="19"/>
      <c r="F1304" s="19"/>
      <c r="G1304" s="19"/>
      <c r="H1304" s="19"/>
      <c r="I1304" s="19"/>
      <c r="J1304" s="20"/>
      <c r="K1304" s="19"/>
      <c r="L1304" s="19"/>
      <c r="M1304" s="19"/>
      <c r="N1304" s="20"/>
      <c r="O1304" s="20"/>
      <c r="P1304" s="20"/>
      <c r="Q1304" s="20"/>
      <c r="R1304" s="20"/>
      <c r="S1304" s="20"/>
      <c r="T1304" s="708"/>
      <c r="U1304" s="708"/>
    </row>
    <row r="1305" ht="13.8" spans="1:21">
      <c r="A1305" s="19"/>
      <c r="B1305" s="20"/>
      <c r="C1305" s="20"/>
      <c r="D1305" s="19"/>
      <c r="E1305" s="19"/>
      <c r="F1305" s="19"/>
      <c r="G1305" s="19"/>
      <c r="H1305" s="19"/>
      <c r="I1305" s="19"/>
      <c r="J1305" s="20"/>
      <c r="K1305" s="19"/>
      <c r="L1305" s="19"/>
      <c r="M1305" s="19"/>
      <c r="N1305" s="20"/>
      <c r="O1305" s="20"/>
      <c r="P1305" s="20"/>
      <c r="Q1305" s="20"/>
      <c r="R1305" s="20"/>
      <c r="S1305" s="20"/>
      <c r="T1305" s="708"/>
      <c r="U1305" s="708"/>
    </row>
    <row r="1306" ht="13.8" spans="1:21">
      <c r="A1306" s="19"/>
      <c r="B1306" s="20"/>
      <c r="C1306" s="20"/>
      <c r="D1306" s="19"/>
      <c r="E1306" s="19"/>
      <c r="F1306" s="19"/>
      <c r="G1306" s="19"/>
      <c r="H1306" s="19"/>
      <c r="I1306" s="19"/>
      <c r="J1306" s="20"/>
      <c r="K1306" s="19"/>
      <c r="L1306" s="19"/>
      <c r="M1306" s="19"/>
      <c r="N1306" s="20"/>
      <c r="O1306" s="20"/>
      <c r="P1306" s="20"/>
      <c r="Q1306" s="20"/>
      <c r="R1306" s="20"/>
      <c r="S1306" s="20"/>
      <c r="T1306" s="708"/>
      <c r="U1306" s="708"/>
    </row>
    <row r="1307" ht="13.8" spans="1:21">
      <c r="A1307" s="19"/>
      <c r="B1307" s="20"/>
      <c r="C1307" s="20"/>
      <c r="D1307" s="19"/>
      <c r="E1307" s="19"/>
      <c r="F1307" s="19"/>
      <c r="G1307" s="19"/>
      <c r="H1307" s="19"/>
      <c r="I1307" s="19"/>
      <c r="J1307" s="20"/>
      <c r="K1307" s="19"/>
      <c r="L1307" s="19"/>
      <c r="M1307" s="19"/>
      <c r="N1307" s="20"/>
      <c r="O1307" s="20"/>
      <c r="P1307" s="20"/>
      <c r="Q1307" s="20"/>
      <c r="R1307" s="20"/>
      <c r="S1307" s="20"/>
      <c r="T1307" s="708"/>
      <c r="U1307" s="708"/>
    </row>
    <row r="1308" ht="13.8" spans="1:21">
      <c r="A1308" s="19"/>
      <c r="B1308" s="20"/>
      <c r="C1308" s="20"/>
      <c r="D1308" s="19"/>
      <c r="E1308" s="19"/>
      <c r="F1308" s="19"/>
      <c r="G1308" s="19"/>
      <c r="H1308" s="19"/>
      <c r="I1308" s="19"/>
      <c r="J1308" s="20"/>
      <c r="K1308" s="19"/>
      <c r="L1308" s="19"/>
      <c r="M1308" s="19"/>
      <c r="N1308" s="20"/>
      <c r="O1308" s="20"/>
      <c r="P1308" s="20"/>
      <c r="Q1308" s="20"/>
      <c r="R1308" s="20"/>
      <c r="S1308" s="20"/>
      <c r="T1308" s="708"/>
      <c r="U1308" s="708"/>
    </row>
    <row r="1309" ht="13.8" spans="1:21">
      <c r="A1309" s="19"/>
      <c r="B1309" s="20"/>
      <c r="C1309" s="20"/>
      <c r="D1309" s="19"/>
      <c r="E1309" s="19"/>
      <c r="F1309" s="19"/>
      <c r="G1309" s="19"/>
      <c r="H1309" s="19"/>
      <c r="I1309" s="19"/>
      <c r="J1309" s="20"/>
      <c r="K1309" s="19"/>
      <c r="L1309" s="19"/>
      <c r="M1309" s="19"/>
      <c r="N1309" s="20"/>
      <c r="O1309" s="20"/>
      <c r="P1309" s="20"/>
      <c r="Q1309" s="20"/>
      <c r="R1309" s="20"/>
      <c r="S1309" s="20"/>
      <c r="T1309" s="708"/>
      <c r="U1309" s="708"/>
    </row>
    <row r="1310" ht="13.8" spans="1:21">
      <c r="A1310" s="19"/>
      <c r="B1310" s="20"/>
      <c r="C1310" s="20"/>
      <c r="D1310" s="19"/>
      <c r="E1310" s="19"/>
      <c r="F1310" s="19"/>
      <c r="G1310" s="19"/>
      <c r="H1310" s="19"/>
      <c r="I1310" s="19"/>
      <c r="J1310" s="20"/>
      <c r="K1310" s="19"/>
      <c r="L1310" s="19"/>
      <c r="M1310" s="19"/>
      <c r="N1310" s="20"/>
      <c r="O1310" s="20"/>
      <c r="P1310" s="20"/>
      <c r="Q1310" s="20"/>
      <c r="R1310" s="20"/>
      <c r="S1310" s="20"/>
      <c r="T1310" s="708"/>
      <c r="U1310" s="708"/>
    </row>
  </sheetData>
  <mergeCells count="61">
    <mergeCell ref="A1:C1"/>
    <mergeCell ref="E2:G2"/>
    <mergeCell ref="K2:M2"/>
    <mergeCell ref="O2:R2"/>
    <mergeCell ref="A4:C4"/>
    <mergeCell ref="A5:C5"/>
    <mergeCell ref="A79:C79"/>
    <mergeCell ref="A106:C106"/>
    <mergeCell ref="A112:C112"/>
    <mergeCell ref="A193:C193"/>
    <mergeCell ref="E193:U193"/>
    <mergeCell ref="A194:C194"/>
    <mergeCell ref="A195:C195"/>
    <mergeCell ref="A216:C216"/>
    <mergeCell ref="A274:C274"/>
    <mergeCell ref="A302:C302"/>
    <mergeCell ref="A303:C303"/>
    <mergeCell ref="A314:C314"/>
    <mergeCell ref="A327:C327"/>
    <mergeCell ref="A333:C333"/>
    <mergeCell ref="A334:C334"/>
    <mergeCell ref="A346:C346"/>
    <mergeCell ref="A362:C362"/>
    <mergeCell ref="A2:A3"/>
    <mergeCell ref="A6:A9"/>
    <mergeCell ref="A10:A15"/>
    <mergeCell ref="A16:A19"/>
    <mergeCell ref="A20:A26"/>
    <mergeCell ref="A27:A31"/>
    <mergeCell ref="A32:A36"/>
    <mergeCell ref="A37:A43"/>
    <mergeCell ref="A107:A108"/>
    <mergeCell ref="B2:B3"/>
    <mergeCell ref="B6:B9"/>
    <mergeCell ref="B10:B15"/>
    <mergeCell ref="B16:B19"/>
    <mergeCell ref="B20:B26"/>
    <mergeCell ref="B27:B31"/>
    <mergeCell ref="B32:B36"/>
    <mergeCell ref="B37:B43"/>
    <mergeCell ref="B80:B94"/>
    <mergeCell ref="B95:B100"/>
    <mergeCell ref="B101:B102"/>
    <mergeCell ref="B107:B108"/>
    <mergeCell ref="B113:B184"/>
    <mergeCell ref="B196:B213"/>
    <mergeCell ref="B217:B271"/>
    <mergeCell ref="B275:B300"/>
    <mergeCell ref="B304:B311"/>
    <mergeCell ref="B315:B324"/>
    <mergeCell ref="B335:B343"/>
    <mergeCell ref="B347:B359"/>
    <mergeCell ref="C2:C3"/>
    <mergeCell ref="D2:D3"/>
    <mergeCell ref="H2:H3"/>
    <mergeCell ref="I2:I3"/>
    <mergeCell ref="J2:J3"/>
    <mergeCell ref="N2:N3"/>
    <mergeCell ref="S2:S3"/>
    <mergeCell ref="T2:T3"/>
    <mergeCell ref="U2:U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4"/>
  <sheetViews>
    <sheetView tabSelected="1" topLeftCell="A7" workbookViewId="0">
      <selection activeCell="A1" sqref="A1"/>
    </sheetView>
  </sheetViews>
  <sheetFormatPr defaultColWidth="12.6333333333333" defaultRowHeight="15" customHeight="1"/>
  <cols>
    <col min="1" max="3" width="26.1333333333333" customWidth="1"/>
    <col min="4" max="4" width="25.6333333333333" customWidth="1"/>
  </cols>
  <sheetData>
    <row r="1" customHeight="1" spans="1:26">
      <c r="A1" s="686"/>
      <c r="B1" s="686"/>
      <c r="C1" s="686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  <c r="Y1" s="687"/>
      <c r="Z1" s="687"/>
    </row>
    <row r="2" customHeight="1" spans="1:26">
      <c r="A2" s="686"/>
      <c r="B2" s="686"/>
      <c r="C2" s="686"/>
      <c r="D2" s="687"/>
      <c r="E2" s="687"/>
      <c r="F2" s="687"/>
      <c r="G2" s="687"/>
      <c r="H2" s="687"/>
      <c r="I2" s="687"/>
      <c r="J2" s="687"/>
      <c r="K2" s="687"/>
      <c r="L2" s="687"/>
      <c r="M2" s="687"/>
      <c r="N2" s="687"/>
      <c r="O2" s="687"/>
      <c r="P2" s="687"/>
      <c r="Q2" s="687"/>
      <c r="R2" s="687"/>
      <c r="S2" s="687"/>
      <c r="T2" s="687"/>
      <c r="U2" s="687"/>
      <c r="V2" s="687"/>
      <c r="W2" s="687"/>
      <c r="X2" s="687"/>
      <c r="Y2" s="687"/>
      <c r="Z2" s="687"/>
    </row>
    <row r="3" customHeight="1" spans="1:26">
      <c r="A3" s="654" t="s">
        <v>6061</v>
      </c>
      <c r="B3" s="654" t="s">
        <v>6062</v>
      </c>
      <c r="C3" s="654" t="s">
        <v>6063</v>
      </c>
      <c r="D3" s="688" t="s">
        <v>5974</v>
      </c>
      <c r="E3" s="687"/>
      <c r="F3" s="687"/>
      <c r="G3" s="687"/>
      <c r="H3" s="687"/>
      <c r="I3" s="687"/>
      <c r="J3" s="687"/>
      <c r="K3" s="687"/>
      <c r="L3" s="687"/>
      <c r="M3" s="687"/>
      <c r="N3" s="687"/>
      <c r="O3" s="687"/>
      <c r="P3" s="687"/>
      <c r="Q3" s="687"/>
      <c r="R3" s="687"/>
      <c r="S3" s="687"/>
      <c r="T3" s="687"/>
      <c r="U3" s="687"/>
      <c r="V3" s="687"/>
      <c r="W3" s="687"/>
      <c r="X3" s="687"/>
      <c r="Y3" s="687"/>
      <c r="Z3" s="687"/>
    </row>
    <row r="4" customHeight="1" spans="1:26">
      <c r="A4" s="688" t="s">
        <v>16</v>
      </c>
      <c r="B4" s="688" t="s">
        <v>6064</v>
      </c>
      <c r="C4" s="1107" t="s">
        <v>6065</v>
      </c>
      <c r="D4" s="688" t="s">
        <v>6066</v>
      </c>
      <c r="E4" s="687"/>
      <c r="F4" s="687"/>
      <c r="G4" s="687"/>
      <c r="H4" s="687"/>
      <c r="I4" s="687"/>
      <c r="J4" s="687"/>
      <c r="K4" s="687"/>
      <c r="L4" s="687"/>
      <c r="M4" s="687"/>
      <c r="N4" s="687"/>
      <c r="O4" s="687"/>
      <c r="P4" s="687"/>
      <c r="Q4" s="687"/>
      <c r="R4" s="687"/>
      <c r="S4" s="687"/>
      <c r="T4" s="687"/>
      <c r="U4" s="687"/>
      <c r="V4" s="687"/>
      <c r="W4" s="687"/>
      <c r="X4" s="687"/>
      <c r="Y4" s="687"/>
      <c r="Z4" s="687"/>
    </row>
    <row r="5" customHeight="1" spans="1:26">
      <c r="A5" s="688" t="s">
        <v>17</v>
      </c>
      <c r="B5" s="688" t="s">
        <v>6067</v>
      </c>
      <c r="C5" s="1107" t="s">
        <v>6068</v>
      </c>
      <c r="D5" s="688" t="s">
        <v>6069</v>
      </c>
      <c r="E5" s="687"/>
      <c r="F5" s="687"/>
      <c r="G5" s="687"/>
      <c r="H5" s="687"/>
      <c r="I5" s="687"/>
      <c r="J5" s="687"/>
      <c r="K5" s="687"/>
      <c r="L5" s="687"/>
      <c r="M5" s="687"/>
      <c r="N5" s="687"/>
      <c r="O5" s="687"/>
      <c r="P5" s="687"/>
      <c r="Q5" s="687"/>
      <c r="R5" s="687"/>
      <c r="S5" s="687"/>
      <c r="T5" s="687"/>
      <c r="U5" s="687"/>
      <c r="V5" s="687"/>
      <c r="W5" s="687"/>
      <c r="X5" s="687"/>
      <c r="Y5" s="687"/>
      <c r="Z5" s="687"/>
    </row>
    <row r="6" customHeight="1" spans="1:26">
      <c r="A6" s="688" t="s">
        <v>18</v>
      </c>
      <c r="B6" s="688" t="s">
        <v>6070</v>
      </c>
      <c r="C6" s="1107" t="s">
        <v>6071</v>
      </c>
      <c r="D6" s="688" t="s">
        <v>6072</v>
      </c>
      <c r="E6" s="687"/>
      <c r="F6" s="687"/>
      <c r="G6" s="687"/>
      <c r="H6" s="687"/>
      <c r="I6" s="687"/>
      <c r="J6" s="687"/>
      <c r="K6" s="687"/>
      <c r="L6" s="687"/>
      <c r="M6" s="687"/>
      <c r="N6" s="687"/>
      <c r="O6" s="687"/>
      <c r="P6" s="687"/>
      <c r="Q6" s="687"/>
      <c r="R6" s="687"/>
      <c r="S6" s="687"/>
      <c r="T6" s="687"/>
      <c r="U6" s="687"/>
      <c r="V6" s="687"/>
      <c r="W6" s="687"/>
      <c r="X6" s="687"/>
      <c r="Y6" s="687"/>
      <c r="Z6" s="687"/>
    </row>
    <row r="7" customHeight="1" spans="1:26">
      <c r="A7" s="688" t="s">
        <v>6073</v>
      </c>
      <c r="B7" s="688"/>
      <c r="C7" s="688"/>
      <c r="D7" s="688"/>
      <c r="E7" s="687"/>
      <c r="F7" s="687"/>
      <c r="G7" s="687"/>
      <c r="H7" s="687"/>
      <c r="I7" s="687"/>
      <c r="J7" s="687"/>
      <c r="K7" s="687"/>
      <c r="L7" s="687"/>
      <c r="M7" s="687"/>
      <c r="N7" s="687"/>
      <c r="O7" s="687"/>
      <c r="P7" s="687"/>
      <c r="Q7" s="687"/>
      <c r="R7" s="687"/>
      <c r="S7" s="687"/>
      <c r="T7" s="687"/>
      <c r="U7" s="687"/>
      <c r="V7" s="687"/>
      <c r="W7" s="687"/>
      <c r="X7" s="687"/>
      <c r="Y7" s="687"/>
      <c r="Z7" s="687"/>
    </row>
    <row r="8" customHeight="1" spans="1:26">
      <c r="A8" s="688" t="s">
        <v>25</v>
      </c>
      <c r="B8" s="688" t="s">
        <v>6074</v>
      </c>
      <c r="C8" s="1107" t="s">
        <v>6075</v>
      </c>
      <c r="D8" s="688" t="s">
        <v>6076</v>
      </c>
      <c r="E8" s="687"/>
      <c r="F8" s="687"/>
      <c r="G8" s="687"/>
      <c r="H8" s="687"/>
      <c r="I8" s="687"/>
      <c r="J8" s="687"/>
      <c r="K8" s="687"/>
      <c r="L8" s="687"/>
      <c r="M8" s="687"/>
      <c r="N8" s="687"/>
      <c r="O8" s="687"/>
      <c r="P8" s="687"/>
      <c r="Q8" s="687"/>
      <c r="R8" s="687"/>
      <c r="S8" s="687"/>
      <c r="T8" s="687"/>
      <c r="U8" s="687"/>
      <c r="V8" s="687"/>
      <c r="W8" s="687"/>
      <c r="X8" s="687"/>
      <c r="Y8" s="687"/>
      <c r="Z8" s="687"/>
    </row>
    <row r="9" customHeight="1" spans="1:26">
      <c r="A9" s="688" t="s">
        <v>6077</v>
      </c>
      <c r="B9" s="688"/>
      <c r="C9" s="688"/>
      <c r="D9" s="688"/>
      <c r="E9" s="687"/>
      <c r="F9" s="687"/>
      <c r="G9" s="687"/>
      <c r="H9" s="687"/>
      <c r="I9" s="687"/>
      <c r="J9" s="687"/>
      <c r="K9" s="687"/>
      <c r="L9" s="687"/>
      <c r="M9" s="687"/>
      <c r="N9" s="687"/>
      <c r="O9" s="687"/>
      <c r="P9" s="687"/>
      <c r="Q9" s="687"/>
      <c r="R9" s="687"/>
      <c r="S9" s="687"/>
      <c r="T9" s="687"/>
      <c r="U9" s="687"/>
      <c r="V9" s="687"/>
      <c r="W9" s="687"/>
      <c r="X9" s="687"/>
      <c r="Y9" s="687"/>
      <c r="Z9" s="687"/>
    </row>
    <row r="10" customHeight="1" spans="1:26">
      <c r="A10" s="688" t="s">
        <v>26</v>
      </c>
      <c r="B10" s="688" t="s">
        <v>6078</v>
      </c>
      <c r="C10" s="1107" t="s">
        <v>6079</v>
      </c>
      <c r="D10" s="688" t="s">
        <v>6080</v>
      </c>
      <c r="E10" s="687"/>
      <c r="F10" s="687"/>
      <c r="G10" s="687"/>
      <c r="H10" s="687"/>
      <c r="I10" s="687"/>
      <c r="J10" s="687"/>
      <c r="K10" s="687"/>
      <c r="L10" s="687"/>
      <c r="M10" s="687"/>
      <c r="N10" s="687"/>
      <c r="O10" s="687"/>
      <c r="P10" s="687"/>
      <c r="Q10" s="687"/>
      <c r="R10" s="687"/>
      <c r="S10" s="687"/>
      <c r="T10" s="687"/>
      <c r="U10" s="687"/>
      <c r="V10" s="687"/>
      <c r="W10" s="687"/>
      <c r="X10" s="687"/>
      <c r="Y10" s="687"/>
      <c r="Z10" s="687"/>
    </row>
    <row r="11" customHeight="1" spans="1:26">
      <c r="A11" s="688" t="s">
        <v>29</v>
      </c>
      <c r="B11" s="688" t="s">
        <v>6081</v>
      </c>
      <c r="C11" s="1107" t="s">
        <v>6082</v>
      </c>
      <c r="D11" s="688" t="s">
        <v>6083</v>
      </c>
      <c r="E11" s="687"/>
      <c r="F11" s="687"/>
      <c r="G11" s="687"/>
      <c r="H11" s="687"/>
      <c r="I11" s="687"/>
      <c r="J11" s="687"/>
      <c r="K11" s="687"/>
      <c r="L11" s="687"/>
      <c r="M11" s="687"/>
      <c r="N11" s="687"/>
      <c r="O11" s="687"/>
      <c r="P11" s="687"/>
      <c r="Q11" s="687"/>
      <c r="R11" s="687"/>
      <c r="S11" s="687"/>
      <c r="T11" s="687"/>
      <c r="U11" s="687"/>
      <c r="V11" s="687"/>
      <c r="W11" s="687"/>
      <c r="X11" s="687"/>
      <c r="Y11" s="687"/>
      <c r="Z11" s="687"/>
    </row>
    <row r="12" customHeight="1" spans="1:26">
      <c r="A12" s="688" t="s">
        <v>6084</v>
      </c>
      <c r="B12" s="688" t="s">
        <v>6085</v>
      </c>
      <c r="C12" s="1107" t="s">
        <v>6086</v>
      </c>
      <c r="D12" s="688" t="s">
        <v>6087</v>
      </c>
      <c r="E12" s="687"/>
      <c r="F12" s="687"/>
      <c r="G12" s="687"/>
      <c r="H12" s="687"/>
      <c r="I12" s="687"/>
      <c r="J12" s="687"/>
      <c r="K12" s="687"/>
      <c r="L12" s="687"/>
      <c r="M12" s="687"/>
      <c r="N12" s="687"/>
      <c r="O12" s="687"/>
      <c r="P12" s="687"/>
      <c r="Q12" s="687"/>
      <c r="R12" s="687"/>
      <c r="S12" s="687"/>
      <c r="T12" s="687"/>
      <c r="U12" s="687"/>
      <c r="V12" s="687"/>
      <c r="W12" s="687"/>
      <c r="X12" s="687"/>
      <c r="Y12" s="687"/>
      <c r="Z12" s="687"/>
    </row>
    <row r="13" customHeight="1" spans="1:26">
      <c r="A13" s="688" t="s">
        <v>15</v>
      </c>
      <c r="B13" s="688" t="s">
        <v>6088</v>
      </c>
      <c r="C13" s="1107" t="s">
        <v>6089</v>
      </c>
      <c r="D13" s="688" t="s">
        <v>6090</v>
      </c>
      <c r="E13" s="687"/>
      <c r="F13" s="687"/>
      <c r="G13" s="687"/>
      <c r="H13" s="687"/>
      <c r="I13" s="687"/>
      <c r="J13" s="687"/>
      <c r="K13" s="687"/>
      <c r="L13" s="687"/>
      <c r="M13" s="687"/>
      <c r="N13" s="687"/>
      <c r="O13" s="687"/>
      <c r="P13" s="687"/>
      <c r="Q13" s="687"/>
      <c r="R13" s="687"/>
      <c r="S13" s="687"/>
      <c r="T13" s="687"/>
      <c r="U13" s="687"/>
      <c r="V13" s="687"/>
      <c r="W13" s="687"/>
      <c r="X13" s="687"/>
      <c r="Y13" s="687"/>
      <c r="Z13" s="687"/>
    </row>
    <row r="14" customHeight="1" spans="1:26">
      <c r="A14" s="688" t="s">
        <v>24</v>
      </c>
      <c r="B14" s="688" t="s">
        <v>6088</v>
      </c>
      <c r="C14" s="1107" t="s">
        <v>6089</v>
      </c>
      <c r="D14" s="688" t="s">
        <v>6091</v>
      </c>
      <c r="E14" s="687"/>
      <c r="F14" s="687"/>
      <c r="G14" s="687"/>
      <c r="H14" s="687"/>
      <c r="I14" s="687"/>
      <c r="J14" s="687"/>
      <c r="K14" s="687"/>
      <c r="L14" s="687"/>
      <c r="M14" s="687"/>
      <c r="N14" s="687"/>
      <c r="O14" s="687"/>
      <c r="P14" s="687"/>
      <c r="Q14" s="687"/>
      <c r="R14" s="687"/>
      <c r="S14" s="687"/>
      <c r="T14" s="687"/>
      <c r="U14" s="687"/>
      <c r="V14" s="687"/>
      <c r="W14" s="687"/>
      <c r="X14" s="687"/>
      <c r="Y14" s="687"/>
      <c r="Z14" s="687"/>
    </row>
    <row r="15" customHeight="1" spans="1:26">
      <c r="A15" s="688" t="s">
        <v>14</v>
      </c>
      <c r="B15" s="688" t="s">
        <v>6092</v>
      </c>
      <c r="C15" s="1107" t="s">
        <v>6093</v>
      </c>
      <c r="D15" s="688" t="s">
        <v>6090</v>
      </c>
      <c r="E15" s="687"/>
      <c r="F15" s="687"/>
      <c r="G15" s="687"/>
      <c r="H15" s="687"/>
      <c r="I15" s="687"/>
      <c r="J15" s="687"/>
      <c r="K15" s="687"/>
      <c r="L15" s="687"/>
      <c r="M15" s="687"/>
      <c r="N15" s="687"/>
      <c r="O15" s="687"/>
      <c r="P15" s="687"/>
      <c r="Q15" s="687"/>
      <c r="R15" s="687"/>
      <c r="S15" s="687"/>
      <c r="T15" s="687"/>
      <c r="U15" s="687"/>
      <c r="V15" s="687"/>
      <c r="W15" s="687"/>
      <c r="X15" s="687"/>
      <c r="Y15" s="687"/>
      <c r="Z15" s="687"/>
    </row>
    <row r="16" customHeight="1" spans="1:26">
      <c r="A16" s="688" t="s">
        <v>23</v>
      </c>
      <c r="B16" s="688" t="s">
        <v>6094</v>
      </c>
      <c r="C16" s="1107" t="s">
        <v>6095</v>
      </c>
      <c r="D16" s="688" t="s">
        <v>6096</v>
      </c>
      <c r="E16" s="687"/>
      <c r="F16" s="687"/>
      <c r="G16" s="687"/>
      <c r="H16" s="687"/>
      <c r="I16" s="687"/>
      <c r="J16" s="687"/>
      <c r="K16" s="687"/>
      <c r="L16" s="687"/>
      <c r="M16" s="687"/>
      <c r="N16" s="687"/>
      <c r="O16" s="687"/>
      <c r="P16" s="687"/>
      <c r="Q16" s="687"/>
      <c r="R16" s="687"/>
      <c r="S16" s="687"/>
      <c r="T16" s="687"/>
      <c r="U16" s="687"/>
      <c r="V16" s="687"/>
      <c r="W16" s="687"/>
      <c r="X16" s="687"/>
      <c r="Y16" s="687"/>
      <c r="Z16" s="687"/>
    </row>
    <row r="17" customHeight="1" spans="1:26">
      <c r="A17" s="688" t="s">
        <v>27</v>
      </c>
      <c r="B17" s="688" t="s">
        <v>6097</v>
      </c>
      <c r="C17" s="1107" t="s">
        <v>6098</v>
      </c>
      <c r="D17" s="688" t="s">
        <v>6099</v>
      </c>
      <c r="E17" s="687"/>
      <c r="F17" s="687"/>
      <c r="G17" s="687"/>
      <c r="H17" s="687"/>
      <c r="I17" s="687"/>
      <c r="J17" s="687"/>
      <c r="K17" s="687"/>
      <c r="L17" s="687"/>
      <c r="M17" s="687"/>
      <c r="N17" s="687"/>
      <c r="O17" s="687"/>
      <c r="P17" s="687"/>
      <c r="Q17" s="687"/>
      <c r="R17" s="687"/>
      <c r="S17" s="687"/>
      <c r="T17" s="687"/>
      <c r="U17" s="687"/>
      <c r="V17" s="687"/>
      <c r="W17" s="687"/>
      <c r="X17" s="687"/>
      <c r="Y17" s="687"/>
      <c r="Z17" s="687"/>
    </row>
    <row r="18" customHeight="1" spans="1:26">
      <c r="A18" s="688" t="s">
        <v>6100</v>
      </c>
      <c r="B18" s="688" t="s">
        <v>6101</v>
      </c>
      <c r="C18" s="1107" t="s">
        <v>6102</v>
      </c>
      <c r="D18" s="688" t="s">
        <v>6103</v>
      </c>
      <c r="E18" s="687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687"/>
      <c r="Q18" s="687"/>
      <c r="R18" s="687"/>
      <c r="S18" s="687"/>
      <c r="T18" s="687"/>
      <c r="U18" s="687"/>
      <c r="V18" s="687"/>
      <c r="W18" s="687"/>
      <c r="X18" s="687"/>
      <c r="Y18" s="687"/>
      <c r="Z18" s="687"/>
    </row>
    <row r="19" customHeight="1" spans="1:26">
      <c r="A19" s="688" t="s">
        <v>6104</v>
      </c>
      <c r="B19" s="688" t="s">
        <v>6105</v>
      </c>
      <c r="C19" s="1107" t="s">
        <v>6106</v>
      </c>
      <c r="D19" s="688" t="s">
        <v>6107</v>
      </c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</row>
    <row r="20" customHeight="1" spans="1:26">
      <c r="A20" s="688" t="s">
        <v>6108</v>
      </c>
      <c r="B20" s="688" t="s">
        <v>6109</v>
      </c>
      <c r="C20" s="1107" t="s">
        <v>6110</v>
      </c>
      <c r="D20" s="688" t="s">
        <v>6111</v>
      </c>
      <c r="E20" s="687"/>
      <c r="F20" s="687"/>
      <c r="G20" s="687"/>
      <c r="H20" s="687"/>
      <c r="I20" s="687"/>
      <c r="J20" s="687"/>
      <c r="K20" s="687"/>
      <c r="L20" s="687"/>
      <c r="M20" s="687"/>
      <c r="N20" s="687"/>
      <c r="O20" s="687"/>
      <c r="P20" s="687"/>
      <c r="Q20" s="687"/>
      <c r="R20" s="687"/>
      <c r="S20" s="687"/>
      <c r="T20" s="687"/>
      <c r="U20" s="687"/>
      <c r="V20" s="687"/>
      <c r="W20" s="687"/>
      <c r="X20" s="687"/>
      <c r="Y20" s="687"/>
      <c r="Z20" s="687"/>
    </row>
    <row r="21" customHeight="1" spans="1:26">
      <c r="A21" s="688" t="s">
        <v>5203</v>
      </c>
      <c r="B21" s="688" t="s">
        <v>6112</v>
      </c>
      <c r="C21" s="1107" t="s">
        <v>6113</v>
      </c>
      <c r="D21" s="688" t="s">
        <v>6114</v>
      </c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7"/>
      <c r="Q21" s="687"/>
      <c r="R21" s="687"/>
      <c r="S21" s="687"/>
      <c r="T21" s="687"/>
      <c r="U21" s="687"/>
      <c r="V21" s="687"/>
      <c r="W21" s="687"/>
      <c r="X21" s="687"/>
      <c r="Y21" s="687"/>
      <c r="Z21" s="687"/>
    </row>
    <row r="22" customHeight="1" spans="1:26">
      <c r="A22" s="688" t="s">
        <v>6115</v>
      </c>
      <c r="B22" s="688" t="s">
        <v>6109</v>
      </c>
      <c r="C22" s="1107" t="s">
        <v>6110</v>
      </c>
      <c r="D22" s="688" t="s">
        <v>6111</v>
      </c>
      <c r="E22" s="687"/>
      <c r="F22" s="687"/>
      <c r="G22" s="687"/>
      <c r="H22" s="687"/>
      <c r="I22" s="687"/>
      <c r="J22" s="687"/>
      <c r="K22" s="687"/>
      <c r="L22" s="687"/>
      <c r="M22" s="687"/>
      <c r="N22" s="687"/>
      <c r="O22" s="687"/>
      <c r="P22" s="687"/>
      <c r="Q22" s="687"/>
      <c r="R22" s="687"/>
      <c r="S22" s="687"/>
      <c r="T22" s="687"/>
      <c r="U22" s="687"/>
      <c r="V22" s="687"/>
      <c r="W22" s="687"/>
      <c r="X22" s="687"/>
      <c r="Y22" s="687"/>
      <c r="Z22" s="687"/>
    </row>
    <row r="23" customHeight="1" spans="1:26">
      <c r="A23" s="688" t="s">
        <v>6116</v>
      </c>
      <c r="B23" s="688" t="s">
        <v>6117</v>
      </c>
      <c r="C23" s="1107" t="s">
        <v>6118</v>
      </c>
      <c r="D23" s="688" t="s">
        <v>6119</v>
      </c>
      <c r="E23" s="687"/>
      <c r="F23" s="687"/>
      <c r="G23" s="687"/>
      <c r="H23" s="687"/>
      <c r="I23" s="687"/>
      <c r="J23" s="687"/>
      <c r="K23" s="687"/>
      <c r="L23" s="687"/>
      <c r="M23" s="687"/>
      <c r="N23" s="687"/>
      <c r="O23" s="687"/>
      <c r="P23" s="687"/>
      <c r="Q23" s="687"/>
      <c r="R23" s="687"/>
      <c r="S23" s="687"/>
      <c r="T23" s="687"/>
      <c r="U23" s="687"/>
      <c r="V23" s="687"/>
      <c r="W23" s="687"/>
      <c r="X23" s="687"/>
      <c r="Y23" s="687"/>
      <c r="Z23" s="687"/>
    </row>
    <row r="24" customHeight="1" spans="1:26">
      <c r="A24" s="688" t="s">
        <v>20</v>
      </c>
      <c r="B24" s="688"/>
      <c r="C24" s="688"/>
      <c r="D24" s="688"/>
      <c r="E24" s="687"/>
      <c r="F24" s="687"/>
      <c r="G24" s="687"/>
      <c r="H24" s="687"/>
      <c r="I24" s="687"/>
      <c r="J24" s="687"/>
      <c r="K24" s="687"/>
      <c r="L24" s="687"/>
      <c r="M24" s="687"/>
      <c r="N24" s="687"/>
      <c r="O24" s="687"/>
      <c r="P24" s="687"/>
      <c r="Q24" s="687"/>
      <c r="R24" s="687"/>
      <c r="S24" s="687"/>
      <c r="T24" s="687"/>
      <c r="U24" s="687"/>
      <c r="V24" s="687"/>
      <c r="W24" s="687"/>
      <c r="X24" s="687"/>
      <c r="Y24" s="687"/>
      <c r="Z24" s="687"/>
    </row>
    <row r="25" customHeight="1" spans="1:26">
      <c r="A25" s="688" t="s">
        <v>6120</v>
      </c>
      <c r="B25" s="688" t="s">
        <v>6121</v>
      </c>
      <c r="C25" s="1107" t="s">
        <v>6122</v>
      </c>
      <c r="D25" s="688" t="s">
        <v>6123</v>
      </c>
      <c r="E25" s="687"/>
      <c r="F25" s="687"/>
      <c r="G25" s="687"/>
      <c r="H25" s="687"/>
      <c r="I25" s="687"/>
      <c r="J25" s="687"/>
      <c r="K25" s="687"/>
      <c r="L25" s="687"/>
      <c r="M25" s="687"/>
      <c r="N25" s="687"/>
      <c r="O25" s="687"/>
      <c r="P25" s="687"/>
      <c r="Q25" s="687"/>
      <c r="R25" s="687"/>
      <c r="S25" s="687"/>
      <c r="T25" s="687"/>
      <c r="U25" s="687"/>
      <c r="V25" s="687"/>
      <c r="W25" s="687"/>
      <c r="X25" s="687"/>
      <c r="Y25" s="687"/>
      <c r="Z25" s="687"/>
    </row>
    <row r="26" customHeight="1" spans="1:26">
      <c r="A26" s="688" t="s">
        <v>2860</v>
      </c>
      <c r="B26" s="688"/>
      <c r="C26" s="688"/>
      <c r="D26" s="688"/>
      <c r="E26" s="687"/>
      <c r="F26" s="687"/>
      <c r="G26" s="687"/>
      <c r="H26" s="687"/>
      <c r="I26" s="687"/>
      <c r="J26" s="687"/>
      <c r="K26" s="687"/>
      <c r="L26" s="687"/>
      <c r="M26" s="687"/>
      <c r="N26" s="687"/>
      <c r="O26" s="687"/>
      <c r="P26" s="687"/>
      <c r="Q26" s="687"/>
      <c r="R26" s="687"/>
      <c r="S26" s="687"/>
      <c r="T26" s="687"/>
      <c r="U26" s="687"/>
      <c r="V26" s="687"/>
      <c r="W26" s="687"/>
      <c r="X26" s="687"/>
      <c r="Y26" s="687"/>
      <c r="Z26" s="687"/>
    </row>
    <row r="27" customHeight="1" spans="1:26">
      <c r="A27" s="688" t="s">
        <v>2654</v>
      </c>
      <c r="B27" s="688"/>
      <c r="C27" s="688"/>
      <c r="D27" s="688"/>
      <c r="E27" s="687"/>
      <c r="F27" s="687"/>
      <c r="G27" s="687"/>
      <c r="H27" s="687"/>
      <c r="I27" s="687"/>
      <c r="J27" s="687"/>
      <c r="K27" s="687"/>
      <c r="L27" s="687"/>
      <c r="M27" s="687"/>
      <c r="N27" s="687"/>
      <c r="O27" s="687"/>
      <c r="P27" s="687"/>
      <c r="Q27" s="687"/>
      <c r="R27" s="687"/>
      <c r="S27" s="687"/>
      <c r="T27" s="687"/>
      <c r="U27" s="687"/>
      <c r="V27" s="687"/>
      <c r="W27" s="687"/>
      <c r="X27" s="687"/>
      <c r="Y27" s="687"/>
      <c r="Z27" s="687"/>
    </row>
    <row r="28" customHeight="1" spans="1:26">
      <c r="A28" s="688" t="s">
        <v>22</v>
      </c>
      <c r="B28" s="688" t="s">
        <v>6124</v>
      </c>
      <c r="C28" s="1107" t="s">
        <v>6125</v>
      </c>
      <c r="D28" s="688" t="s">
        <v>6123</v>
      </c>
      <c r="E28" s="687"/>
      <c r="F28" s="687"/>
      <c r="G28" s="687"/>
      <c r="H28" s="687"/>
      <c r="I28" s="687"/>
      <c r="J28" s="687"/>
      <c r="K28" s="687"/>
      <c r="L28" s="687"/>
      <c r="M28" s="687"/>
      <c r="N28" s="687"/>
      <c r="O28" s="687"/>
      <c r="P28" s="687"/>
      <c r="Q28" s="687"/>
      <c r="R28" s="687"/>
      <c r="S28" s="687"/>
      <c r="T28" s="687"/>
      <c r="U28" s="687"/>
      <c r="V28" s="687"/>
      <c r="W28" s="687"/>
      <c r="X28" s="687"/>
      <c r="Y28" s="687"/>
      <c r="Z28" s="687"/>
    </row>
    <row r="29" customHeight="1" spans="1:26">
      <c r="A29" s="688" t="s">
        <v>21</v>
      </c>
      <c r="B29" s="688" t="s">
        <v>6126</v>
      </c>
      <c r="C29" s="1107" t="s">
        <v>6127</v>
      </c>
      <c r="D29" s="688" t="s">
        <v>6128</v>
      </c>
      <c r="E29" s="687"/>
      <c r="F29" s="687"/>
      <c r="G29" s="687"/>
      <c r="H29" s="687"/>
      <c r="I29" s="687"/>
      <c r="J29" s="687"/>
      <c r="K29" s="687"/>
      <c r="L29" s="687"/>
      <c r="M29" s="687"/>
      <c r="N29" s="687"/>
      <c r="O29" s="687"/>
      <c r="P29" s="687"/>
      <c r="Q29" s="687"/>
      <c r="R29" s="687"/>
      <c r="S29" s="687"/>
      <c r="T29" s="687"/>
      <c r="U29" s="687"/>
      <c r="V29" s="687"/>
      <c r="W29" s="687"/>
      <c r="X29" s="687"/>
      <c r="Y29" s="687"/>
      <c r="Z29" s="687"/>
    </row>
    <row r="30" customHeight="1" spans="1:26">
      <c r="A30" s="688" t="s">
        <v>37</v>
      </c>
      <c r="B30" s="688"/>
      <c r="C30" s="688"/>
      <c r="D30" s="688"/>
      <c r="E30" s="687"/>
      <c r="F30" s="687"/>
      <c r="G30" s="687"/>
      <c r="H30" s="687"/>
      <c r="I30" s="687"/>
      <c r="J30" s="687"/>
      <c r="K30" s="687"/>
      <c r="L30" s="687"/>
      <c r="M30" s="687"/>
      <c r="N30" s="687"/>
      <c r="O30" s="687"/>
      <c r="P30" s="687"/>
      <c r="Q30" s="687"/>
      <c r="R30" s="687"/>
      <c r="S30" s="687"/>
      <c r="T30" s="687"/>
      <c r="U30" s="687"/>
      <c r="V30" s="687"/>
      <c r="W30" s="687"/>
      <c r="X30" s="687"/>
      <c r="Y30" s="687"/>
      <c r="Z30" s="687"/>
    </row>
    <row r="31" customHeight="1" spans="1:26">
      <c r="A31" s="688"/>
      <c r="B31" s="688"/>
      <c r="C31" s="688"/>
      <c r="D31" s="688"/>
      <c r="E31" s="687"/>
      <c r="F31" s="687"/>
      <c r="G31" s="687"/>
      <c r="H31" s="687"/>
      <c r="I31" s="687"/>
      <c r="J31" s="687"/>
      <c r="K31" s="687"/>
      <c r="L31" s="687"/>
      <c r="M31" s="687"/>
      <c r="N31" s="687"/>
      <c r="O31" s="687"/>
      <c r="P31" s="687"/>
      <c r="Q31" s="687"/>
      <c r="R31" s="687"/>
      <c r="S31" s="687"/>
      <c r="T31" s="687"/>
      <c r="U31" s="687"/>
      <c r="V31" s="687"/>
      <c r="W31" s="687"/>
      <c r="X31" s="687"/>
      <c r="Y31" s="687"/>
      <c r="Z31" s="687"/>
    </row>
    <row r="32" customHeight="1" spans="1:26">
      <c r="A32" s="688"/>
      <c r="B32" s="688"/>
      <c r="C32" s="688"/>
      <c r="D32" s="688"/>
      <c r="E32" s="687"/>
      <c r="F32" s="687"/>
      <c r="G32" s="687"/>
      <c r="H32" s="687"/>
      <c r="I32" s="687"/>
      <c r="J32" s="687"/>
      <c r="K32" s="687"/>
      <c r="L32" s="687"/>
      <c r="M32" s="687"/>
      <c r="N32" s="687"/>
      <c r="O32" s="687"/>
      <c r="P32" s="687"/>
      <c r="Q32" s="687"/>
      <c r="R32" s="687"/>
      <c r="S32" s="687"/>
      <c r="T32" s="687"/>
      <c r="U32" s="687"/>
      <c r="V32" s="687"/>
      <c r="W32" s="687"/>
      <c r="X32" s="687"/>
      <c r="Y32" s="687"/>
      <c r="Z32" s="687"/>
    </row>
    <row r="33" customHeight="1" spans="1:26">
      <c r="A33" s="688"/>
      <c r="B33" s="688"/>
      <c r="C33" s="688"/>
      <c r="D33" s="688"/>
      <c r="E33" s="687"/>
      <c r="F33" s="687"/>
      <c r="G33" s="687"/>
      <c r="H33" s="687"/>
      <c r="I33" s="687"/>
      <c r="J33" s="687"/>
      <c r="K33" s="687"/>
      <c r="L33" s="687"/>
      <c r="M33" s="687"/>
      <c r="N33" s="687"/>
      <c r="O33" s="687"/>
      <c r="P33" s="687"/>
      <c r="Q33" s="687"/>
      <c r="R33" s="687"/>
      <c r="S33" s="687"/>
      <c r="T33" s="687"/>
      <c r="U33" s="687"/>
      <c r="V33" s="687"/>
      <c r="W33" s="687"/>
      <c r="X33" s="687"/>
      <c r="Y33" s="687"/>
      <c r="Z33" s="687"/>
    </row>
    <row r="34" customHeight="1" spans="1:26">
      <c r="A34" s="688"/>
      <c r="B34" s="688"/>
      <c r="C34" s="688"/>
      <c r="D34" s="688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</row>
    <row r="35" customHeight="1" spans="1:26">
      <c r="A35" s="688"/>
      <c r="B35" s="688"/>
      <c r="C35" s="688"/>
      <c r="D35" s="688"/>
      <c r="E35" s="687"/>
      <c r="F35" s="687"/>
      <c r="G35" s="687"/>
      <c r="H35" s="687"/>
      <c r="I35" s="687"/>
      <c r="J35" s="687"/>
      <c r="K35" s="687"/>
      <c r="L35" s="687"/>
      <c r="M35" s="687"/>
      <c r="N35" s="687"/>
      <c r="O35" s="687"/>
      <c r="P35" s="687"/>
      <c r="Q35" s="687"/>
      <c r="R35" s="687"/>
      <c r="S35" s="687"/>
      <c r="T35" s="687"/>
      <c r="U35" s="687"/>
      <c r="V35" s="687"/>
      <c r="W35" s="687"/>
      <c r="X35" s="687"/>
      <c r="Y35" s="687"/>
      <c r="Z35" s="687"/>
    </row>
    <row r="36" customHeight="1" spans="1:26">
      <c r="A36" s="688"/>
      <c r="B36" s="688"/>
      <c r="C36" s="688"/>
      <c r="D36" s="688"/>
      <c r="E36" s="687"/>
      <c r="F36" s="687"/>
      <c r="G36" s="687"/>
      <c r="H36" s="687"/>
      <c r="I36" s="687"/>
      <c r="J36" s="687"/>
      <c r="K36" s="687"/>
      <c r="L36" s="687"/>
      <c r="M36" s="687"/>
      <c r="N36" s="687"/>
      <c r="O36" s="687"/>
      <c r="P36" s="687"/>
      <c r="Q36" s="687"/>
      <c r="R36" s="687"/>
      <c r="S36" s="687"/>
      <c r="T36" s="687"/>
      <c r="U36" s="687"/>
      <c r="V36" s="687"/>
      <c r="W36" s="687"/>
      <c r="X36" s="687"/>
      <c r="Y36" s="687"/>
      <c r="Z36" s="687"/>
    </row>
    <row r="37" customHeight="1" spans="1:26">
      <c r="A37" s="686"/>
      <c r="B37" s="686"/>
      <c r="C37" s="686"/>
      <c r="D37" s="687"/>
      <c r="E37" s="687"/>
      <c r="F37" s="687"/>
      <c r="G37" s="687"/>
      <c r="H37" s="687"/>
      <c r="I37" s="687"/>
      <c r="J37" s="687"/>
      <c r="K37" s="687"/>
      <c r="L37" s="687"/>
      <c r="M37" s="687"/>
      <c r="N37" s="687"/>
      <c r="O37" s="687"/>
      <c r="P37" s="687"/>
      <c r="Q37" s="687"/>
      <c r="R37" s="687"/>
      <c r="S37" s="687"/>
      <c r="T37" s="687"/>
      <c r="U37" s="687"/>
      <c r="V37" s="687"/>
      <c r="W37" s="687"/>
      <c r="X37" s="687"/>
      <c r="Y37" s="687"/>
      <c r="Z37" s="687"/>
    </row>
    <row r="38" customHeight="1" spans="1:26">
      <c r="A38" s="686"/>
      <c r="B38" s="686"/>
      <c r="C38" s="686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7"/>
      <c r="P38" s="687"/>
      <c r="Q38" s="687"/>
      <c r="R38" s="687"/>
      <c r="S38" s="687"/>
      <c r="T38" s="687"/>
      <c r="U38" s="687"/>
      <c r="V38" s="687"/>
      <c r="W38" s="687"/>
      <c r="X38" s="687"/>
      <c r="Y38" s="687"/>
      <c r="Z38" s="687"/>
    </row>
    <row r="39" customHeight="1" spans="1:26">
      <c r="A39" s="686"/>
      <c r="B39" s="686"/>
      <c r="C39" s="686"/>
      <c r="D39" s="687"/>
      <c r="E39" s="687"/>
      <c r="F39" s="687"/>
      <c r="G39" s="687"/>
      <c r="H39" s="687"/>
      <c r="I39" s="687"/>
      <c r="J39" s="687"/>
      <c r="K39" s="687"/>
      <c r="L39" s="687"/>
      <c r="M39" s="687"/>
      <c r="N39" s="687"/>
      <c r="O39" s="687"/>
      <c r="P39" s="687"/>
      <c r="Q39" s="687"/>
      <c r="R39" s="687"/>
      <c r="S39" s="687"/>
      <c r="T39" s="687"/>
      <c r="U39" s="687"/>
      <c r="V39" s="687"/>
      <c r="W39" s="687"/>
      <c r="X39" s="687"/>
      <c r="Y39" s="687"/>
      <c r="Z39" s="687"/>
    </row>
    <row r="40" customHeight="1" spans="1:26">
      <c r="A40" s="686"/>
      <c r="B40" s="686"/>
      <c r="C40" s="686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687"/>
      <c r="O40" s="687"/>
      <c r="P40" s="687"/>
      <c r="Q40" s="687"/>
      <c r="R40" s="687"/>
      <c r="S40" s="687"/>
      <c r="T40" s="687"/>
      <c r="U40" s="687"/>
      <c r="V40" s="687"/>
      <c r="W40" s="687"/>
      <c r="X40" s="687"/>
      <c r="Y40" s="687"/>
      <c r="Z40" s="687"/>
    </row>
    <row r="41" customHeight="1" spans="1:26">
      <c r="A41" s="686"/>
      <c r="B41" s="686"/>
      <c r="C41" s="686"/>
      <c r="D41" s="687"/>
      <c r="E41" s="687"/>
      <c r="F41" s="687"/>
      <c r="G41" s="687"/>
      <c r="H41" s="687"/>
      <c r="I41" s="687"/>
      <c r="J41" s="687"/>
      <c r="K41" s="687"/>
      <c r="L41" s="687"/>
      <c r="M41" s="687"/>
      <c r="N41" s="687"/>
      <c r="O41" s="687"/>
      <c r="P41" s="687"/>
      <c r="Q41" s="687"/>
      <c r="R41" s="687"/>
      <c r="S41" s="687"/>
      <c r="T41" s="687"/>
      <c r="U41" s="687"/>
      <c r="V41" s="687"/>
      <c r="W41" s="687"/>
      <c r="X41" s="687"/>
      <c r="Y41" s="687"/>
      <c r="Z41" s="687"/>
    </row>
    <row r="42" customHeight="1" spans="1:26">
      <c r="A42" s="686"/>
      <c r="B42" s="686"/>
      <c r="C42" s="686"/>
      <c r="D42" s="687"/>
      <c r="E42" s="687"/>
      <c r="F42" s="687"/>
      <c r="G42" s="687"/>
      <c r="H42" s="687"/>
      <c r="I42" s="687"/>
      <c r="J42" s="687"/>
      <c r="K42" s="687"/>
      <c r="L42" s="687"/>
      <c r="M42" s="687"/>
      <c r="N42" s="687"/>
      <c r="O42" s="687"/>
      <c r="P42" s="687"/>
      <c r="Q42" s="687"/>
      <c r="R42" s="687"/>
      <c r="S42" s="687"/>
      <c r="T42" s="687"/>
      <c r="U42" s="687"/>
      <c r="V42" s="687"/>
      <c r="W42" s="687"/>
      <c r="X42" s="687"/>
      <c r="Y42" s="687"/>
      <c r="Z42" s="687"/>
    </row>
    <row r="43" customHeight="1" spans="1:26">
      <c r="A43" s="686"/>
      <c r="B43" s="686"/>
      <c r="C43" s="686"/>
      <c r="D43" s="687"/>
      <c r="E43" s="687"/>
      <c r="F43" s="687"/>
      <c r="G43" s="687"/>
      <c r="H43" s="687"/>
      <c r="I43" s="687"/>
      <c r="J43" s="687"/>
      <c r="K43" s="687"/>
      <c r="L43" s="687"/>
      <c r="M43" s="687"/>
      <c r="N43" s="687"/>
      <c r="O43" s="687"/>
      <c r="P43" s="687"/>
      <c r="Q43" s="687"/>
      <c r="R43" s="687"/>
      <c r="S43" s="687"/>
      <c r="T43" s="687"/>
      <c r="U43" s="687"/>
      <c r="V43" s="687"/>
      <c r="W43" s="687"/>
      <c r="X43" s="687"/>
      <c r="Y43" s="687"/>
      <c r="Z43" s="687"/>
    </row>
    <row r="44" customHeight="1" spans="1:26">
      <c r="A44" s="686"/>
      <c r="B44" s="686"/>
      <c r="C44" s="686"/>
      <c r="D44" s="687"/>
      <c r="E44" s="687"/>
      <c r="F44" s="687"/>
      <c r="G44" s="687"/>
      <c r="H44" s="687"/>
      <c r="I44" s="687"/>
      <c r="J44" s="687"/>
      <c r="K44" s="687"/>
      <c r="L44" s="687"/>
      <c r="M44" s="687"/>
      <c r="N44" s="687"/>
      <c r="O44" s="687"/>
      <c r="P44" s="687"/>
      <c r="Q44" s="687"/>
      <c r="R44" s="687"/>
      <c r="S44" s="687"/>
      <c r="T44" s="687"/>
      <c r="U44" s="687"/>
      <c r="V44" s="687"/>
      <c r="W44" s="687"/>
      <c r="X44" s="687"/>
      <c r="Y44" s="687"/>
      <c r="Z44" s="687"/>
    </row>
    <row r="45" customHeight="1" spans="1:26">
      <c r="A45" s="686"/>
      <c r="B45" s="686"/>
      <c r="C45" s="686"/>
      <c r="D45" s="687"/>
      <c r="E45" s="687"/>
      <c r="F45" s="687"/>
      <c r="G45" s="687"/>
      <c r="H45" s="687"/>
      <c r="I45" s="687"/>
      <c r="J45" s="687"/>
      <c r="K45" s="687"/>
      <c r="L45" s="687"/>
      <c r="M45" s="687"/>
      <c r="N45" s="687"/>
      <c r="O45" s="687"/>
      <c r="P45" s="687"/>
      <c r="Q45" s="687"/>
      <c r="R45" s="687"/>
      <c r="S45" s="687"/>
      <c r="T45" s="687"/>
      <c r="U45" s="687"/>
      <c r="V45" s="687"/>
      <c r="W45" s="687"/>
      <c r="X45" s="687"/>
      <c r="Y45" s="687"/>
      <c r="Z45" s="687"/>
    </row>
    <row r="46" customHeight="1" spans="1:26">
      <c r="A46" s="686"/>
      <c r="B46" s="686"/>
      <c r="C46" s="686"/>
      <c r="D46" s="687"/>
      <c r="E46" s="687"/>
      <c r="F46" s="687"/>
      <c r="G46" s="687"/>
      <c r="H46" s="687"/>
      <c r="I46" s="687"/>
      <c r="J46" s="687"/>
      <c r="K46" s="687"/>
      <c r="L46" s="687"/>
      <c r="M46" s="687"/>
      <c r="N46" s="687"/>
      <c r="O46" s="687"/>
      <c r="P46" s="687"/>
      <c r="Q46" s="687"/>
      <c r="R46" s="687"/>
      <c r="S46" s="687"/>
      <c r="T46" s="687"/>
      <c r="U46" s="687"/>
      <c r="V46" s="687"/>
      <c r="W46" s="687"/>
      <c r="X46" s="687"/>
      <c r="Y46" s="687"/>
      <c r="Z46" s="687"/>
    </row>
    <row r="47" customHeight="1" spans="1:26">
      <c r="A47" s="686"/>
      <c r="B47" s="686"/>
      <c r="C47" s="686"/>
      <c r="D47" s="687"/>
      <c r="E47" s="687"/>
      <c r="F47" s="687"/>
      <c r="G47" s="687"/>
      <c r="H47" s="687"/>
      <c r="I47" s="687"/>
      <c r="J47" s="687"/>
      <c r="K47" s="687"/>
      <c r="L47" s="687"/>
      <c r="M47" s="687"/>
      <c r="N47" s="687"/>
      <c r="O47" s="687"/>
      <c r="P47" s="687"/>
      <c r="Q47" s="687"/>
      <c r="R47" s="687"/>
      <c r="S47" s="687"/>
      <c r="T47" s="687"/>
      <c r="U47" s="687"/>
      <c r="V47" s="687"/>
      <c r="W47" s="687"/>
      <c r="X47" s="687"/>
      <c r="Y47" s="687"/>
      <c r="Z47" s="687"/>
    </row>
    <row r="48" customHeight="1" spans="1:26">
      <c r="A48" s="686"/>
      <c r="B48" s="686"/>
      <c r="C48" s="686"/>
      <c r="D48" s="687"/>
      <c r="E48" s="687"/>
      <c r="F48" s="687"/>
      <c r="G48" s="687"/>
      <c r="H48" s="687"/>
      <c r="I48" s="687"/>
      <c r="J48" s="687"/>
      <c r="K48" s="687"/>
      <c r="L48" s="687"/>
      <c r="M48" s="687"/>
      <c r="N48" s="687"/>
      <c r="O48" s="687"/>
      <c r="P48" s="687"/>
      <c r="Q48" s="687"/>
      <c r="R48" s="687"/>
      <c r="S48" s="687"/>
      <c r="T48" s="687"/>
      <c r="U48" s="687"/>
      <c r="V48" s="687"/>
      <c r="W48" s="687"/>
      <c r="X48" s="687"/>
      <c r="Y48" s="687"/>
      <c r="Z48" s="687"/>
    </row>
    <row r="49" customHeight="1" spans="1:26">
      <c r="A49" s="686"/>
      <c r="B49" s="686"/>
      <c r="C49" s="686"/>
      <c r="D49" s="687"/>
      <c r="E49" s="687"/>
      <c r="F49" s="687"/>
      <c r="G49" s="687"/>
      <c r="H49" s="687"/>
      <c r="I49" s="687"/>
      <c r="J49" s="687"/>
      <c r="K49" s="687"/>
      <c r="L49" s="687"/>
      <c r="M49" s="687"/>
      <c r="N49" s="687"/>
      <c r="O49" s="687"/>
      <c r="P49" s="687"/>
      <c r="Q49" s="687"/>
      <c r="R49" s="687"/>
      <c r="S49" s="687"/>
      <c r="T49" s="687"/>
      <c r="U49" s="687"/>
      <c r="V49" s="687"/>
      <c r="W49" s="687"/>
      <c r="X49" s="687"/>
      <c r="Y49" s="687"/>
      <c r="Z49" s="687"/>
    </row>
    <row r="50" customHeight="1" spans="1:26">
      <c r="A50" s="686"/>
      <c r="B50" s="686"/>
      <c r="C50" s="686"/>
      <c r="D50" s="687"/>
      <c r="E50" s="687"/>
      <c r="F50" s="687"/>
      <c r="G50" s="687"/>
      <c r="H50" s="687"/>
      <c r="I50" s="687"/>
      <c r="J50" s="687"/>
      <c r="K50" s="687"/>
      <c r="L50" s="687"/>
      <c r="M50" s="687"/>
      <c r="N50" s="687"/>
      <c r="O50" s="687"/>
      <c r="P50" s="687"/>
      <c r="Q50" s="687"/>
      <c r="R50" s="687"/>
      <c r="S50" s="687"/>
      <c r="T50" s="687"/>
      <c r="U50" s="687"/>
      <c r="V50" s="687"/>
      <c r="W50" s="687"/>
      <c r="X50" s="687"/>
      <c r="Y50" s="687"/>
      <c r="Z50" s="687"/>
    </row>
    <row r="51" customHeight="1" spans="1:26">
      <c r="A51" s="686"/>
      <c r="B51" s="686"/>
      <c r="C51" s="686"/>
      <c r="D51" s="687"/>
      <c r="E51" s="687"/>
      <c r="F51" s="687"/>
      <c r="G51" s="687"/>
      <c r="H51" s="687"/>
      <c r="I51" s="687"/>
      <c r="J51" s="687"/>
      <c r="K51" s="687"/>
      <c r="L51" s="687"/>
      <c r="M51" s="687"/>
      <c r="N51" s="687"/>
      <c r="O51" s="687"/>
      <c r="P51" s="687"/>
      <c r="Q51" s="687"/>
      <c r="R51" s="687"/>
      <c r="S51" s="687"/>
      <c r="T51" s="687"/>
      <c r="U51" s="687"/>
      <c r="V51" s="687"/>
      <c r="W51" s="687"/>
      <c r="X51" s="687"/>
      <c r="Y51" s="687"/>
      <c r="Z51" s="687"/>
    </row>
    <row r="52" customHeight="1" spans="1:26">
      <c r="A52" s="686"/>
      <c r="B52" s="686"/>
      <c r="C52" s="686"/>
      <c r="D52" s="687"/>
      <c r="E52" s="687"/>
      <c r="F52" s="687"/>
      <c r="G52" s="687"/>
      <c r="H52" s="687"/>
      <c r="I52" s="687"/>
      <c r="J52" s="687"/>
      <c r="K52" s="687"/>
      <c r="L52" s="687"/>
      <c r="M52" s="687"/>
      <c r="N52" s="687"/>
      <c r="O52" s="687"/>
      <c r="P52" s="687"/>
      <c r="Q52" s="687"/>
      <c r="R52" s="687"/>
      <c r="S52" s="687"/>
      <c r="T52" s="687"/>
      <c r="U52" s="687"/>
      <c r="V52" s="687"/>
      <c r="W52" s="687"/>
      <c r="X52" s="687"/>
      <c r="Y52" s="687"/>
      <c r="Z52" s="687"/>
    </row>
    <row r="53" customHeight="1" spans="1:26">
      <c r="A53" s="686"/>
      <c r="B53" s="686"/>
      <c r="C53" s="686"/>
      <c r="D53" s="687"/>
      <c r="E53" s="687"/>
      <c r="F53" s="687"/>
      <c r="G53" s="687"/>
      <c r="H53" s="687"/>
      <c r="I53" s="687"/>
      <c r="J53" s="687"/>
      <c r="K53" s="687"/>
      <c r="L53" s="687"/>
      <c r="M53" s="687"/>
      <c r="N53" s="687"/>
      <c r="O53" s="687"/>
      <c r="P53" s="687"/>
      <c r="Q53" s="687"/>
      <c r="R53" s="687"/>
      <c r="S53" s="687"/>
      <c r="T53" s="687"/>
      <c r="U53" s="687"/>
      <c r="V53" s="687"/>
      <c r="W53" s="687"/>
      <c r="X53" s="687"/>
      <c r="Y53" s="687"/>
      <c r="Z53" s="687"/>
    </row>
    <row r="54" customHeight="1" spans="1:26">
      <c r="A54" s="686"/>
      <c r="B54" s="686"/>
      <c r="C54" s="686"/>
      <c r="D54" s="687"/>
      <c r="E54" s="687"/>
      <c r="F54" s="687"/>
      <c r="G54" s="687"/>
      <c r="H54" s="687"/>
      <c r="I54" s="687"/>
      <c r="J54" s="687"/>
      <c r="K54" s="687"/>
      <c r="L54" s="687"/>
      <c r="M54" s="687"/>
      <c r="N54" s="687"/>
      <c r="O54" s="687"/>
      <c r="P54" s="687"/>
      <c r="Q54" s="687"/>
      <c r="R54" s="687"/>
      <c r="S54" s="687"/>
      <c r="T54" s="687"/>
      <c r="U54" s="687"/>
      <c r="V54" s="687"/>
      <c r="W54" s="687"/>
      <c r="X54" s="687"/>
      <c r="Y54" s="687"/>
      <c r="Z54" s="687"/>
    </row>
    <row r="55" customHeight="1" spans="1:26">
      <c r="A55" s="686"/>
      <c r="B55" s="686"/>
      <c r="C55" s="686"/>
      <c r="D55" s="687"/>
      <c r="E55" s="687"/>
      <c r="F55" s="687"/>
      <c r="G55" s="687"/>
      <c r="H55" s="687"/>
      <c r="I55" s="687"/>
      <c r="J55" s="687"/>
      <c r="K55" s="687"/>
      <c r="L55" s="687"/>
      <c r="M55" s="687"/>
      <c r="N55" s="687"/>
      <c r="O55" s="687"/>
      <c r="P55" s="687"/>
      <c r="Q55" s="687"/>
      <c r="R55" s="687"/>
      <c r="S55" s="687"/>
      <c r="T55" s="687"/>
      <c r="U55" s="687"/>
      <c r="V55" s="687"/>
      <c r="W55" s="687"/>
      <c r="X55" s="687"/>
      <c r="Y55" s="687"/>
      <c r="Z55" s="687"/>
    </row>
    <row r="56" customHeight="1" spans="1:26">
      <c r="A56" s="686"/>
      <c r="B56" s="686"/>
      <c r="C56" s="686"/>
      <c r="D56" s="687"/>
      <c r="E56" s="687"/>
      <c r="F56" s="687"/>
      <c r="G56" s="687"/>
      <c r="H56" s="687"/>
      <c r="I56" s="687"/>
      <c r="J56" s="687"/>
      <c r="K56" s="687"/>
      <c r="L56" s="687"/>
      <c r="M56" s="687"/>
      <c r="N56" s="687"/>
      <c r="O56" s="687"/>
      <c r="P56" s="687"/>
      <c r="Q56" s="687"/>
      <c r="R56" s="687"/>
      <c r="S56" s="687"/>
      <c r="T56" s="687"/>
      <c r="U56" s="687"/>
      <c r="V56" s="687"/>
      <c r="W56" s="687"/>
      <c r="X56" s="687"/>
      <c r="Y56" s="687"/>
      <c r="Z56" s="687"/>
    </row>
    <row r="57" customHeight="1" spans="1:26">
      <c r="A57" s="686"/>
      <c r="B57" s="686"/>
      <c r="C57" s="686"/>
      <c r="D57" s="687"/>
      <c r="E57" s="687"/>
      <c r="F57" s="687"/>
      <c r="G57" s="687"/>
      <c r="H57" s="687"/>
      <c r="I57" s="687"/>
      <c r="J57" s="687"/>
      <c r="K57" s="687"/>
      <c r="L57" s="687"/>
      <c r="M57" s="687"/>
      <c r="N57" s="687"/>
      <c r="O57" s="687"/>
      <c r="P57" s="687"/>
      <c r="Q57" s="687"/>
      <c r="R57" s="687"/>
      <c r="S57" s="687"/>
      <c r="T57" s="687"/>
      <c r="U57" s="687"/>
      <c r="V57" s="687"/>
      <c r="W57" s="687"/>
      <c r="X57" s="687"/>
      <c r="Y57" s="687"/>
      <c r="Z57" s="687"/>
    </row>
    <row r="58" customHeight="1" spans="1:26">
      <c r="A58" s="686"/>
      <c r="B58" s="686"/>
      <c r="C58" s="686"/>
      <c r="D58" s="687"/>
      <c r="E58" s="687"/>
      <c r="F58" s="687"/>
      <c r="G58" s="687"/>
      <c r="H58" s="687"/>
      <c r="I58" s="687"/>
      <c r="J58" s="687"/>
      <c r="K58" s="687"/>
      <c r="L58" s="687"/>
      <c r="M58" s="687"/>
      <c r="N58" s="687"/>
      <c r="O58" s="687"/>
      <c r="P58" s="687"/>
      <c r="Q58" s="687"/>
      <c r="R58" s="687"/>
      <c r="S58" s="687"/>
      <c r="T58" s="687"/>
      <c r="U58" s="687"/>
      <c r="V58" s="687"/>
      <c r="W58" s="687"/>
      <c r="X58" s="687"/>
      <c r="Y58" s="687"/>
      <c r="Z58" s="687"/>
    </row>
    <row r="59" customHeight="1" spans="1:26">
      <c r="A59" s="686"/>
      <c r="B59" s="686"/>
      <c r="C59" s="686"/>
      <c r="D59" s="687"/>
      <c r="E59" s="687"/>
      <c r="F59" s="687"/>
      <c r="G59" s="687"/>
      <c r="H59" s="687"/>
      <c r="I59" s="687"/>
      <c r="J59" s="687"/>
      <c r="K59" s="687"/>
      <c r="L59" s="687"/>
      <c r="M59" s="687"/>
      <c r="N59" s="687"/>
      <c r="O59" s="687"/>
      <c r="P59" s="687"/>
      <c r="Q59" s="687"/>
      <c r="R59" s="687"/>
      <c r="S59" s="687"/>
      <c r="T59" s="687"/>
      <c r="U59" s="687"/>
      <c r="V59" s="687"/>
      <c r="W59" s="687"/>
      <c r="X59" s="687"/>
      <c r="Y59" s="687"/>
      <c r="Z59" s="687"/>
    </row>
    <row r="60" customHeight="1" spans="1:26">
      <c r="A60" s="686"/>
      <c r="B60" s="686"/>
      <c r="C60" s="686"/>
      <c r="D60" s="687"/>
      <c r="E60" s="687"/>
      <c r="F60" s="687"/>
      <c r="G60" s="687"/>
      <c r="H60" s="687"/>
      <c r="I60" s="687"/>
      <c r="J60" s="687"/>
      <c r="K60" s="687"/>
      <c r="L60" s="687"/>
      <c r="M60" s="687"/>
      <c r="N60" s="687"/>
      <c r="O60" s="687"/>
      <c r="P60" s="687"/>
      <c r="Q60" s="687"/>
      <c r="R60" s="687"/>
      <c r="S60" s="687"/>
      <c r="T60" s="687"/>
      <c r="U60" s="687"/>
      <c r="V60" s="687"/>
      <c r="W60" s="687"/>
      <c r="X60" s="687"/>
      <c r="Y60" s="687"/>
      <c r="Z60" s="687"/>
    </row>
    <row r="61" customHeight="1" spans="1:26">
      <c r="A61" s="686"/>
      <c r="B61" s="686"/>
      <c r="C61" s="686"/>
      <c r="D61" s="687"/>
      <c r="E61" s="687"/>
      <c r="F61" s="687"/>
      <c r="G61" s="687"/>
      <c r="H61" s="687"/>
      <c r="I61" s="687"/>
      <c r="J61" s="687"/>
      <c r="K61" s="687"/>
      <c r="L61" s="687"/>
      <c r="M61" s="687"/>
      <c r="N61" s="687"/>
      <c r="O61" s="687"/>
      <c r="P61" s="687"/>
      <c r="Q61" s="687"/>
      <c r="R61" s="687"/>
      <c r="S61" s="687"/>
      <c r="T61" s="687"/>
      <c r="U61" s="687"/>
      <c r="V61" s="687"/>
      <c r="W61" s="687"/>
      <c r="X61" s="687"/>
      <c r="Y61" s="687"/>
      <c r="Z61" s="687"/>
    </row>
    <row r="62" customHeight="1" spans="1:26">
      <c r="A62" s="686"/>
      <c r="B62" s="686"/>
      <c r="C62" s="686"/>
      <c r="D62" s="687"/>
      <c r="E62" s="687"/>
      <c r="F62" s="687"/>
      <c r="G62" s="687"/>
      <c r="H62" s="687"/>
      <c r="I62" s="687"/>
      <c r="J62" s="687"/>
      <c r="K62" s="687"/>
      <c r="L62" s="687"/>
      <c r="M62" s="687"/>
      <c r="N62" s="687"/>
      <c r="O62" s="687"/>
      <c r="P62" s="687"/>
      <c r="Q62" s="687"/>
      <c r="R62" s="687"/>
      <c r="S62" s="687"/>
      <c r="T62" s="687"/>
      <c r="U62" s="687"/>
      <c r="V62" s="687"/>
      <c r="W62" s="687"/>
      <c r="X62" s="687"/>
      <c r="Y62" s="687"/>
      <c r="Z62" s="687"/>
    </row>
    <row r="63" customHeight="1" spans="1:26">
      <c r="A63" s="686"/>
      <c r="B63" s="686"/>
      <c r="C63" s="686"/>
      <c r="D63" s="687"/>
      <c r="E63" s="687"/>
      <c r="F63" s="687"/>
      <c r="G63" s="687"/>
      <c r="H63" s="687"/>
      <c r="I63" s="687"/>
      <c r="J63" s="687"/>
      <c r="K63" s="687"/>
      <c r="L63" s="687"/>
      <c r="M63" s="687"/>
      <c r="N63" s="687"/>
      <c r="O63" s="687"/>
      <c r="P63" s="687"/>
      <c r="Q63" s="687"/>
      <c r="R63" s="687"/>
      <c r="S63" s="687"/>
      <c r="T63" s="687"/>
      <c r="U63" s="687"/>
      <c r="V63" s="687"/>
      <c r="W63" s="687"/>
      <c r="X63" s="687"/>
      <c r="Y63" s="687"/>
      <c r="Z63" s="687"/>
    </row>
    <row r="64" customHeight="1" spans="1:26">
      <c r="A64" s="686"/>
      <c r="B64" s="686"/>
      <c r="C64" s="686"/>
      <c r="D64" s="687"/>
      <c r="E64" s="687"/>
      <c r="F64" s="687"/>
      <c r="G64" s="687"/>
      <c r="H64" s="687"/>
      <c r="I64" s="687"/>
      <c r="J64" s="687"/>
      <c r="K64" s="687"/>
      <c r="L64" s="687"/>
      <c r="M64" s="687"/>
      <c r="N64" s="687"/>
      <c r="O64" s="687"/>
      <c r="P64" s="687"/>
      <c r="Q64" s="687"/>
      <c r="R64" s="687"/>
      <c r="S64" s="687"/>
      <c r="T64" s="687"/>
      <c r="U64" s="687"/>
      <c r="V64" s="687"/>
      <c r="W64" s="687"/>
      <c r="X64" s="687"/>
      <c r="Y64" s="687"/>
      <c r="Z64" s="687"/>
    </row>
    <row r="65" customHeight="1" spans="1:26">
      <c r="A65" s="686"/>
      <c r="B65" s="686"/>
      <c r="C65" s="686"/>
      <c r="D65" s="687"/>
      <c r="E65" s="687"/>
      <c r="F65" s="687"/>
      <c r="G65" s="687"/>
      <c r="H65" s="687"/>
      <c r="I65" s="687"/>
      <c r="J65" s="687"/>
      <c r="K65" s="687"/>
      <c r="L65" s="687"/>
      <c r="M65" s="687"/>
      <c r="N65" s="687"/>
      <c r="O65" s="687"/>
      <c r="P65" s="687"/>
      <c r="Q65" s="687"/>
      <c r="R65" s="687"/>
      <c r="S65" s="687"/>
      <c r="T65" s="687"/>
      <c r="U65" s="687"/>
      <c r="V65" s="687"/>
      <c r="W65" s="687"/>
      <c r="X65" s="687"/>
      <c r="Y65" s="687"/>
      <c r="Z65" s="687"/>
    </row>
    <row r="66" customHeight="1" spans="1:26">
      <c r="A66" s="686"/>
      <c r="B66" s="686"/>
      <c r="C66" s="686"/>
      <c r="D66" s="687"/>
      <c r="E66" s="687"/>
      <c r="F66" s="687"/>
      <c r="G66" s="687"/>
      <c r="H66" s="687"/>
      <c r="I66" s="687"/>
      <c r="J66" s="687"/>
      <c r="K66" s="687"/>
      <c r="L66" s="687"/>
      <c r="M66" s="687"/>
      <c r="N66" s="687"/>
      <c r="O66" s="687"/>
      <c r="P66" s="687"/>
      <c r="Q66" s="687"/>
      <c r="R66" s="687"/>
      <c r="S66" s="687"/>
      <c r="T66" s="687"/>
      <c r="U66" s="687"/>
      <c r="V66" s="687"/>
      <c r="W66" s="687"/>
      <c r="X66" s="687"/>
      <c r="Y66" s="687"/>
      <c r="Z66" s="687"/>
    </row>
    <row r="67" customHeight="1" spans="1:26">
      <c r="A67" s="686"/>
      <c r="B67" s="686"/>
      <c r="C67" s="686"/>
      <c r="D67" s="687"/>
      <c r="E67" s="687"/>
      <c r="F67" s="687"/>
      <c r="G67" s="687"/>
      <c r="H67" s="687"/>
      <c r="I67" s="687"/>
      <c r="J67" s="687"/>
      <c r="K67" s="687"/>
      <c r="L67" s="687"/>
      <c r="M67" s="687"/>
      <c r="N67" s="687"/>
      <c r="O67" s="687"/>
      <c r="P67" s="687"/>
      <c r="Q67" s="687"/>
      <c r="R67" s="687"/>
      <c r="S67" s="687"/>
      <c r="T67" s="687"/>
      <c r="U67" s="687"/>
      <c r="V67" s="687"/>
      <c r="W67" s="687"/>
      <c r="X67" s="687"/>
      <c r="Y67" s="687"/>
      <c r="Z67" s="687"/>
    </row>
    <row r="68" customHeight="1" spans="1:26">
      <c r="A68" s="686"/>
      <c r="B68" s="686"/>
      <c r="C68" s="686"/>
      <c r="D68" s="687"/>
      <c r="E68" s="687"/>
      <c r="F68" s="687"/>
      <c r="G68" s="687"/>
      <c r="H68" s="687"/>
      <c r="I68" s="687"/>
      <c r="J68" s="687"/>
      <c r="K68" s="687"/>
      <c r="L68" s="687"/>
      <c r="M68" s="687"/>
      <c r="N68" s="687"/>
      <c r="O68" s="687"/>
      <c r="P68" s="687"/>
      <c r="Q68" s="687"/>
      <c r="R68" s="687"/>
      <c r="S68" s="687"/>
      <c r="T68" s="687"/>
      <c r="U68" s="687"/>
      <c r="V68" s="687"/>
      <c r="W68" s="687"/>
      <c r="X68" s="687"/>
      <c r="Y68" s="687"/>
      <c r="Z68" s="687"/>
    </row>
    <row r="69" customHeight="1" spans="1:26">
      <c r="A69" s="686"/>
      <c r="B69" s="686"/>
      <c r="C69" s="686"/>
      <c r="D69" s="687"/>
      <c r="E69" s="687"/>
      <c r="F69" s="687"/>
      <c r="G69" s="687"/>
      <c r="H69" s="687"/>
      <c r="I69" s="687"/>
      <c r="J69" s="687"/>
      <c r="K69" s="687"/>
      <c r="L69" s="687"/>
      <c r="M69" s="687"/>
      <c r="N69" s="687"/>
      <c r="O69" s="687"/>
      <c r="P69" s="687"/>
      <c r="Q69" s="687"/>
      <c r="R69" s="687"/>
      <c r="S69" s="687"/>
      <c r="T69" s="687"/>
      <c r="U69" s="687"/>
      <c r="V69" s="687"/>
      <c r="W69" s="687"/>
      <c r="X69" s="687"/>
      <c r="Y69" s="687"/>
      <c r="Z69" s="687"/>
    </row>
    <row r="70" customHeight="1" spans="1:26">
      <c r="A70" s="686"/>
      <c r="B70" s="686"/>
      <c r="C70" s="686"/>
      <c r="D70" s="687"/>
      <c r="E70" s="687"/>
      <c r="F70" s="687"/>
      <c r="G70" s="687"/>
      <c r="H70" s="687"/>
      <c r="I70" s="687"/>
      <c r="J70" s="687"/>
      <c r="K70" s="687"/>
      <c r="L70" s="687"/>
      <c r="M70" s="687"/>
      <c r="N70" s="687"/>
      <c r="O70" s="687"/>
      <c r="P70" s="687"/>
      <c r="Q70" s="687"/>
      <c r="R70" s="687"/>
      <c r="S70" s="687"/>
      <c r="T70" s="687"/>
      <c r="U70" s="687"/>
      <c r="V70" s="687"/>
      <c r="W70" s="687"/>
      <c r="X70" s="687"/>
      <c r="Y70" s="687"/>
      <c r="Z70" s="687"/>
    </row>
    <row r="71" customHeight="1" spans="1:26">
      <c r="A71" s="686"/>
      <c r="B71" s="686"/>
      <c r="C71" s="686"/>
      <c r="D71" s="687"/>
      <c r="E71" s="687"/>
      <c r="F71" s="687"/>
      <c r="G71" s="687"/>
      <c r="H71" s="687"/>
      <c r="I71" s="687"/>
      <c r="J71" s="687"/>
      <c r="K71" s="687"/>
      <c r="L71" s="687"/>
      <c r="M71" s="687"/>
      <c r="N71" s="687"/>
      <c r="O71" s="687"/>
      <c r="P71" s="687"/>
      <c r="Q71" s="687"/>
      <c r="R71" s="687"/>
      <c r="S71" s="687"/>
      <c r="T71" s="687"/>
      <c r="U71" s="687"/>
      <c r="V71" s="687"/>
      <c r="W71" s="687"/>
      <c r="X71" s="687"/>
      <c r="Y71" s="687"/>
      <c r="Z71" s="687"/>
    </row>
    <row r="72" customHeight="1" spans="1:26">
      <c r="A72" s="686"/>
      <c r="B72" s="686"/>
      <c r="C72" s="686"/>
      <c r="D72" s="687"/>
      <c r="E72" s="687"/>
      <c r="F72" s="687"/>
      <c r="G72" s="687"/>
      <c r="H72" s="687"/>
      <c r="I72" s="687"/>
      <c r="J72" s="687"/>
      <c r="K72" s="687"/>
      <c r="L72" s="687"/>
      <c r="M72" s="687"/>
      <c r="N72" s="687"/>
      <c r="O72" s="687"/>
      <c r="P72" s="687"/>
      <c r="Q72" s="687"/>
      <c r="R72" s="687"/>
      <c r="S72" s="687"/>
      <c r="T72" s="687"/>
      <c r="U72" s="687"/>
      <c r="V72" s="687"/>
      <c r="W72" s="687"/>
      <c r="X72" s="687"/>
      <c r="Y72" s="687"/>
      <c r="Z72" s="687"/>
    </row>
    <row r="73" customHeight="1" spans="1:26">
      <c r="A73" s="686"/>
      <c r="B73" s="686"/>
      <c r="C73" s="686"/>
      <c r="D73" s="687"/>
      <c r="E73" s="687"/>
      <c r="F73" s="687"/>
      <c r="G73" s="687"/>
      <c r="H73" s="687"/>
      <c r="I73" s="687"/>
      <c r="J73" s="687"/>
      <c r="K73" s="687"/>
      <c r="L73" s="687"/>
      <c r="M73" s="687"/>
      <c r="N73" s="687"/>
      <c r="O73" s="687"/>
      <c r="P73" s="687"/>
      <c r="Q73" s="687"/>
      <c r="R73" s="687"/>
      <c r="S73" s="687"/>
      <c r="T73" s="687"/>
      <c r="U73" s="687"/>
      <c r="V73" s="687"/>
      <c r="W73" s="687"/>
      <c r="X73" s="687"/>
      <c r="Y73" s="687"/>
      <c r="Z73" s="687"/>
    </row>
    <row r="74" customHeight="1" spans="1:26">
      <c r="A74" s="686"/>
      <c r="B74" s="686"/>
      <c r="C74" s="686"/>
      <c r="D74" s="687"/>
      <c r="E74" s="687"/>
      <c r="F74" s="687"/>
      <c r="G74" s="687"/>
      <c r="H74" s="687"/>
      <c r="I74" s="687"/>
      <c r="J74" s="687"/>
      <c r="K74" s="687"/>
      <c r="L74" s="687"/>
      <c r="M74" s="687"/>
      <c r="N74" s="687"/>
      <c r="O74" s="687"/>
      <c r="P74" s="687"/>
      <c r="Q74" s="687"/>
      <c r="R74" s="687"/>
      <c r="S74" s="687"/>
      <c r="T74" s="687"/>
      <c r="U74" s="687"/>
      <c r="V74" s="687"/>
      <c r="W74" s="687"/>
      <c r="X74" s="687"/>
      <c r="Y74" s="687"/>
      <c r="Z74" s="687"/>
    </row>
    <row r="75" customHeight="1" spans="1:26">
      <c r="A75" s="686"/>
      <c r="B75" s="686"/>
      <c r="C75" s="686"/>
      <c r="D75" s="687"/>
      <c r="E75" s="687"/>
      <c r="F75" s="687"/>
      <c r="G75" s="687"/>
      <c r="H75" s="687"/>
      <c r="I75" s="687"/>
      <c r="J75" s="687"/>
      <c r="K75" s="687"/>
      <c r="L75" s="687"/>
      <c r="M75" s="687"/>
      <c r="N75" s="687"/>
      <c r="O75" s="687"/>
      <c r="P75" s="687"/>
      <c r="Q75" s="687"/>
      <c r="R75" s="687"/>
      <c r="S75" s="687"/>
      <c r="T75" s="687"/>
      <c r="U75" s="687"/>
      <c r="V75" s="687"/>
      <c r="W75" s="687"/>
      <c r="X75" s="687"/>
      <c r="Y75" s="687"/>
      <c r="Z75" s="687"/>
    </row>
    <row r="76" customHeight="1" spans="1:26">
      <c r="A76" s="686"/>
      <c r="B76" s="686"/>
      <c r="C76" s="686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7"/>
      <c r="X76" s="687"/>
      <c r="Y76" s="687"/>
      <c r="Z76" s="687"/>
    </row>
    <row r="77" customHeight="1" spans="1:26">
      <c r="A77" s="686"/>
      <c r="B77" s="686"/>
      <c r="C77" s="686"/>
      <c r="D77" s="687"/>
      <c r="E77" s="687"/>
      <c r="F77" s="687"/>
      <c r="G77" s="687"/>
      <c r="H77" s="687"/>
      <c r="I77" s="687"/>
      <c r="J77" s="687"/>
      <c r="K77" s="687"/>
      <c r="L77" s="687"/>
      <c r="M77" s="687"/>
      <c r="N77" s="687"/>
      <c r="O77" s="687"/>
      <c r="P77" s="687"/>
      <c r="Q77" s="687"/>
      <c r="R77" s="687"/>
      <c r="S77" s="687"/>
      <c r="T77" s="687"/>
      <c r="U77" s="687"/>
      <c r="V77" s="687"/>
      <c r="W77" s="687"/>
      <c r="X77" s="687"/>
      <c r="Y77" s="687"/>
      <c r="Z77" s="687"/>
    </row>
    <row r="78" customHeight="1" spans="1:26">
      <c r="A78" s="686"/>
      <c r="B78" s="686"/>
      <c r="C78" s="686"/>
      <c r="D78" s="687"/>
      <c r="E78" s="687"/>
      <c r="F78" s="687"/>
      <c r="G78" s="687"/>
      <c r="H78" s="687"/>
      <c r="I78" s="687"/>
      <c r="J78" s="687"/>
      <c r="K78" s="687"/>
      <c r="L78" s="687"/>
      <c r="M78" s="687"/>
      <c r="N78" s="687"/>
      <c r="O78" s="687"/>
      <c r="P78" s="687"/>
      <c r="Q78" s="687"/>
      <c r="R78" s="687"/>
      <c r="S78" s="687"/>
      <c r="T78" s="687"/>
      <c r="U78" s="687"/>
      <c r="V78" s="687"/>
      <c r="W78" s="687"/>
      <c r="X78" s="687"/>
      <c r="Y78" s="687"/>
      <c r="Z78" s="687"/>
    </row>
    <row r="79" customHeight="1" spans="1:26">
      <c r="A79" s="686"/>
      <c r="B79" s="686"/>
      <c r="C79" s="686"/>
      <c r="D79" s="687"/>
      <c r="E79" s="687"/>
      <c r="F79" s="687"/>
      <c r="G79" s="687"/>
      <c r="H79" s="687"/>
      <c r="I79" s="687"/>
      <c r="J79" s="687"/>
      <c r="K79" s="687"/>
      <c r="L79" s="687"/>
      <c r="M79" s="687"/>
      <c r="N79" s="687"/>
      <c r="O79" s="687"/>
      <c r="P79" s="687"/>
      <c r="Q79" s="687"/>
      <c r="R79" s="687"/>
      <c r="S79" s="687"/>
      <c r="T79" s="687"/>
      <c r="U79" s="687"/>
      <c r="V79" s="687"/>
      <c r="W79" s="687"/>
      <c r="X79" s="687"/>
      <c r="Y79" s="687"/>
      <c r="Z79" s="687"/>
    </row>
    <row r="80" customHeight="1" spans="1:26">
      <c r="A80" s="686"/>
      <c r="B80" s="686"/>
      <c r="C80" s="686"/>
      <c r="D80" s="687"/>
      <c r="E80" s="687"/>
      <c r="F80" s="687"/>
      <c r="G80" s="687"/>
      <c r="H80" s="687"/>
      <c r="I80" s="687"/>
      <c r="J80" s="687"/>
      <c r="K80" s="687"/>
      <c r="L80" s="687"/>
      <c r="M80" s="687"/>
      <c r="N80" s="687"/>
      <c r="O80" s="687"/>
      <c r="P80" s="687"/>
      <c r="Q80" s="687"/>
      <c r="R80" s="687"/>
      <c r="S80" s="687"/>
      <c r="T80" s="687"/>
      <c r="U80" s="687"/>
      <c r="V80" s="687"/>
      <c r="W80" s="687"/>
      <c r="X80" s="687"/>
      <c r="Y80" s="687"/>
      <c r="Z80" s="687"/>
    </row>
    <row r="81" customHeight="1" spans="1:26">
      <c r="A81" s="686"/>
      <c r="B81" s="686"/>
      <c r="C81" s="686"/>
      <c r="D81" s="687"/>
      <c r="E81" s="687"/>
      <c r="F81" s="687"/>
      <c r="G81" s="687"/>
      <c r="H81" s="687"/>
      <c r="I81" s="687"/>
      <c r="J81" s="687"/>
      <c r="K81" s="687"/>
      <c r="L81" s="687"/>
      <c r="M81" s="687"/>
      <c r="N81" s="687"/>
      <c r="O81" s="687"/>
      <c r="P81" s="687"/>
      <c r="Q81" s="687"/>
      <c r="R81" s="687"/>
      <c r="S81" s="687"/>
      <c r="T81" s="687"/>
      <c r="U81" s="687"/>
      <c r="V81" s="687"/>
      <c r="W81" s="687"/>
      <c r="X81" s="687"/>
      <c r="Y81" s="687"/>
      <c r="Z81" s="687"/>
    </row>
    <row r="82" customHeight="1" spans="1:26">
      <c r="A82" s="686"/>
      <c r="B82" s="686"/>
      <c r="C82" s="686"/>
      <c r="D82" s="687"/>
      <c r="E82" s="687"/>
      <c r="F82" s="687"/>
      <c r="G82" s="687"/>
      <c r="H82" s="687"/>
      <c r="I82" s="687"/>
      <c r="J82" s="687"/>
      <c r="K82" s="687"/>
      <c r="L82" s="687"/>
      <c r="M82" s="687"/>
      <c r="N82" s="687"/>
      <c r="O82" s="687"/>
      <c r="P82" s="687"/>
      <c r="Q82" s="687"/>
      <c r="R82" s="687"/>
      <c r="S82" s="687"/>
      <c r="T82" s="687"/>
      <c r="U82" s="687"/>
      <c r="V82" s="687"/>
      <c r="W82" s="687"/>
      <c r="X82" s="687"/>
      <c r="Y82" s="687"/>
      <c r="Z82" s="687"/>
    </row>
    <row r="83" customHeight="1" spans="1:26">
      <c r="A83" s="686"/>
      <c r="B83" s="686"/>
      <c r="C83" s="686"/>
      <c r="D83" s="687"/>
      <c r="E83" s="687"/>
      <c r="F83" s="687"/>
      <c r="G83" s="687"/>
      <c r="H83" s="687"/>
      <c r="I83" s="687"/>
      <c r="J83" s="687"/>
      <c r="K83" s="687"/>
      <c r="L83" s="687"/>
      <c r="M83" s="687"/>
      <c r="N83" s="687"/>
      <c r="O83" s="687"/>
      <c r="P83" s="687"/>
      <c r="Q83" s="687"/>
      <c r="R83" s="687"/>
      <c r="S83" s="687"/>
      <c r="T83" s="687"/>
      <c r="U83" s="687"/>
      <c r="V83" s="687"/>
      <c r="W83" s="687"/>
      <c r="X83" s="687"/>
      <c r="Y83" s="687"/>
      <c r="Z83" s="687"/>
    </row>
    <row r="84" customHeight="1" spans="1:26">
      <c r="A84" s="686"/>
      <c r="B84" s="686"/>
      <c r="C84" s="686"/>
      <c r="D84" s="687"/>
      <c r="E84" s="687"/>
      <c r="F84" s="687"/>
      <c r="G84" s="687"/>
      <c r="H84" s="687"/>
      <c r="I84" s="687"/>
      <c r="J84" s="687"/>
      <c r="K84" s="687"/>
      <c r="L84" s="687"/>
      <c r="M84" s="687"/>
      <c r="N84" s="687"/>
      <c r="O84" s="687"/>
      <c r="P84" s="687"/>
      <c r="Q84" s="687"/>
      <c r="R84" s="687"/>
      <c r="S84" s="687"/>
      <c r="T84" s="687"/>
      <c r="U84" s="687"/>
      <c r="V84" s="687"/>
      <c r="W84" s="687"/>
      <c r="X84" s="687"/>
      <c r="Y84" s="687"/>
      <c r="Z84" s="687"/>
    </row>
    <row r="85" customHeight="1" spans="1:26">
      <c r="A85" s="686"/>
      <c r="B85" s="686"/>
      <c r="C85" s="686"/>
      <c r="D85" s="687"/>
      <c r="E85" s="687"/>
      <c r="F85" s="687"/>
      <c r="G85" s="687"/>
      <c r="H85" s="687"/>
      <c r="I85" s="687"/>
      <c r="J85" s="687"/>
      <c r="K85" s="687"/>
      <c r="L85" s="687"/>
      <c r="M85" s="687"/>
      <c r="N85" s="687"/>
      <c r="O85" s="687"/>
      <c r="P85" s="687"/>
      <c r="Q85" s="687"/>
      <c r="R85" s="687"/>
      <c r="S85" s="687"/>
      <c r="T85" s="687"/>
      <c r="U85" s="687"/>
      <c r="V85" s="687"/>
      <c r="W85" s="687"/>
      <c r="X85" s="687"/>
      <c r="Y85" s="687"/>
      <c r="Z85" s="687"/>
    </row>
    <row r="86" customHeight="1" spans="1:26">
      <c r="A86" s="686"/>
      <c r="B86" s="686"/>
      <c r="C86" s="686"/>
      <c r="D86" s="687"/>
      <c r="E86" s="687"/>
      <c r="F86" s="687"/>
      <c r="G86" s="687"/>
      <c r="H86" s="687"/>
      <c r="I86" s="687"/>
      <c r="J86" s="687"/>
      <c r="K86" s="687"/>
      <c r="L86" s="687"/>
      <c r="M86" s="687"/>
      <c r="N86" s="687"/>
      <c r="O86" s="687"/>
      <c r="P86" s="687"/>
      <c r="Q86" s="687"/>
      <c r="R86" s="687"/>
      <c r="S86" s="687"/>
      <c r="T86" s="687"/>
      <c r="U86" s="687"/>
      <c r="V86" s="687"/>
      <c r="W86" s="687"/>
      <c r="X86" s="687"/>
      <c r="Y86" s="687"/>
      <c r="Z86" s="687"/>
    </row>
    <row r="87" customHeight="1" spans="1:26">
      <c r="A87" s="686"/>
      <c r="B87" s="686"/>
      <c r="C87" s="686"/>
      <c r="D87" s="687"/>
      <c r="E87" s="687"/>
      <c r="F87" s="687"/>
      <c r="G87" s="687"/>
      <c r="H87" s="687"/>
      <c r="I87" s="687"/>
      <c r="J87" s="687"/>
      <c r="K87" s="687"/>
      <c r="L87" s="687"/>
      <c r="M87" s="687"/>
      <c r="N87" s="687"/>
      <c r="O87" s="687"/>
      <c r="P87" s="687"/>
      <c r="Q87" s="687"/>
      <c r="R87" s="687"/>
      <c r="S87" s="687"/>
      <c r="T87" s="687"/>
      <c r="U87" s="687"/>
      <c r="V87" s="687"/>
      <c r="W87" s="687"/>
      <c r="X87" s="687"/>
      <c r="Y87" s="687"/>
      <c r="Z87" s="687"/>
    </row>
    <row r="88" customHeight="1" spans="1:26">
      <c r="A88" s="686"/>
      <c r="B88" s="686"/>
      <c r="C88" s="686"/>
      <c r="D88" s="687"/>
      <c r="E88" s="687"/>
      <c r="F88" s="687"/>
      <c r="G88" s="687"/>
      <c r="H88" s="687"/>
      <c r="I88" s="687"/>
      <c r="J88" s="687"/>
      <c r="K88" s="687"/>
      <c r="L88" s="687"/>
      <c r="M88" s="687"/>
      <c r="N88" s="687"/>
      <c r="O88" s="687"/>
      <c r="P88" s="687"/>
      <c r="Q88" s="687"/>
      <c r="R88" s="687"/>
      <c r="S88" s="687"/>
      <c r="T88" s="687"/>
      <c r="U88" s="687"/>
      <c r="V88" s="687"/>
      <c r="W88" s="687"/>
      <c r="X88" s="687"/>
      <c r="Y88" s="687"/>
      <c r="Z88" s="687"/>
    </row>
    <row r="89" customHeight="1" spans="1:26">
      <c r="A89" s="686"/>
      <c r="B89" s="686"/>
      <c r="C89" s="686"/>
      <c r="D89" s="687"/>
      <c r="E89" s="687"/>
      <c r="F89" s="687"/>
      <c r="G89" s="687"/>
      <c r="H89" s="687"/>
      <c r="I89" s="687"/>
      <c r="J89" s="687"/>
      <c r="K89" s="687"/>
      <c r="L89" s="687"/>
      <c r="M89" s="687"/>
      <c r="N89" s="687"/>
      <c r="O89" s="687"/>
      <c r="P89" s="687"/>
      <c r="Q89" s="687"/>
      <c r="R89" s="687"/>
      <c r="S89" s="687"/>
      <c r="T89" s="687"/>
      <c r="U89" s="687"/>
      <c r="V89" s="687"/>
      <c r="W89" s="687"/>
      <c r="X89" s="687"/>
      <c r="Y89" s="687"/>
      <c r="Z89" s="687"/>
    </row>
    <row r="90" customHeight="1" spans="1:26">
      <c r="A90" s="686"/>
      <c r="B90" s="686"/>
      <c r="C90" s="686"/>
      <c r="D90" s="687"/>
      <c r="E90" s="687"/>
      <c r="F90" s="687"/>
      <c r="G90" s="687"/>
      <c r="H90" s="687"/>
      <c r="I90" s="687"/>
      <c r="J90" s="687"/>
      <c r="K90" s="687"/>
      <c r="L90" s="687"/>
      <c r="M90" s="687"/>
      <c r="N90" s="687"/>
      <c r="O90" s="687"/>
      <c r="P90" s="687"/>
      <c r="Q90" s="687"/>
      <c r="R90" s="687"/>
      <c r="S90" s="687"/>
      <c r="T90" s="687"/>
      <c r="U90" s="687"/>
      <c r="V90" s="687"/>
      <c r="W90" s="687"/>
      <c r="X90" s="687"/>
      <c r="Y90" s="687"/>
      <c r="Z90" s="687"/>
    </row>
    <row r="91" customHeight="1" spans="1:26">
      <c r="A91" s="686"/>
      <c r="B91" s="686"/>
      <c r="C91" s="686"/>
      <c r="D91" s="687"/>
      <c r="E91" s="687"/>
      <c r="F91" s="687"/>
      <c r="G91" s="687"/>
      <c r="H91" s="687"/>
      <c r="I91" s="687"/>
      <c r="J91" s="687"/>
      <c r="K91" s="687"/>
      <c r="L91" s="687"/>
      <c r="M91" s="687"/>
      <c r="N91" s="687"/>
      <c r="O91" s="687"/>
      <c r="P91" s="687"/>
      <c r="Q91" s="687"/>
      <c r="R91" s="687"/>
      <c r="S91" s="687"/>
      <c r="T91" s="687"/>
      <c r="U91" s="687"/>
      <c r="V91" s="687"/>
      <c r="W91" s="687"/>
      <c r="X91" s="687"/>
      <c r="Y91" s="687"/>
      <c r="Z91" s="687"/>
    </row>
    <row r="92" customHeight="1" spans="1:26">
      <c r="A92" s="686"/>
      <c r="B92" s="686"/>
      <c r="C92" s="686"/>
      <c r="D92" s="687"/>
      <c r="E92" s="687"/>
      <c r="F92" s="687"/>
      <c r="G92" s="687"/>
      <c r="H92" s="687"/>
      <c r="I92" s="687"/>
      <c r="J92" s="687"/>
      <c r="K92" s="687"/>
      <c r="L92" s="687"/>
      <c r="M92" s="687"/>
      <c r="N92" s="687"/>
      <c r="O92" s="687"/>
      <c r="P92" s="687"/>
      <c r="Q92" s="687"/>
      <c r="R92" s="687"/>
      <c r="S92" s="687"/>
      <c r="T92" s="687"/>
      <c r="U92" s="687"/>
      <c r="V92" s="687"/>
      <c r="W92" s="687"/>
      <c r="X92" s="687"/>
      <c r="Y92" s="687"/>
      <c r="Z92" s="687"/>
    </row>
    <row r="93" customHeight="1" spans="1:26">
      <c r="A93" s="686"/>
      <c r="B93" s="686"/>
      <c r="C93" s="686"/>
      <c r="D93" s="687"/>
      <c r="E93" s="687"/>
      <c r="F93" s="687"/>
      <c r="G93" s="687"/>
      <c r="H93" s="687"/>
      <c r="I93" s="687"/>
      <c r="J93" s="687"/>
      <c r="K93" s="687"/>
      <c r="L93" s="687"/>
      <c r="M93" s="687"/>
      <c r="N93" s="687"/>
      <c r="O93" s="687"/>
      <c r="P93" s="687"/>
      <c r="Q93" s="687"/>
      <c r="R93" s="687"/>
      <c r="S93" s="687"/>
      <c r="T93" s="687"/>
      <c r="U93" s="687"/>
      <c r="V93" s="687"/>
      <c r="W93" s="687"/>
      <c r="X93" s="687"/>
      <c r="Y93" s="687"/>
      <c r="Z93" s="687"/>
    </row>
    <row r="94" customHeight="1" spans="1:26">
      <c r="A94" s="686"/>
      <c r="B94" s="686"/>
      <c r="C94" s="686"/>
      <c r="D94" s="687"/>
      <c r="E94" s="687"/>
      <c r="F94" s="687"/>
      <c r="G94" s="687"/>
      <c r="H94" s="687"/>
      <c r="I94" s="687"/>
      <c r="J94" s="687"/>
      <c r="K94" s="687"/>
      <c r="L94" s="687"/>
      <c r="M94" s="687"/>
      <c r="N94" s="687"/>
      <c r="O94" s="687"/>
      <c r="P94" s="687"/>
      <c r="Q94" s="687"/>
      <c r="R94" s="687"/>
      <c r="S94" s="687"/>
      <c r="T94" s="687"/>
      <c r="U94" s="687"/>
      <c r="V94" s="687"/>
      <c r="W94" s="687"/>
      <c r="X94" s="687"/>
      <c r="Y94" s="687"/>
      <c r="Z94" s="687"/>
    </row>
    <row r="95" customHeight="1" spans="1:26">
      <c r="A95" s="686"/>
      <c r="B95" s="686"/>
      <c r="C95" s="686"/>
      <c r="D95" s="687"/>
      <c r="E95" s="687"/>
      <c r="F95" s="687"/>
      <c r="G95" s="687"/>
      <c r="H95" s="687"/>
      <c r="I95" s="687"/>
      <c r="J95" s="687"/>
      <c r="K95" s="687"/>
      <c r="L95" s="687"/>
      <c r="M95" s="687"/>
      <c r="N95" s="687"/>
      <c r="O95" s="687"/>
      <c r="P95" s="687"/>
      <c r="Q95" s="687"/>
      <c r="R95" s="687"/>
      <c r="S95" s="687"/>
      <c r="T95" s="687"/>
      <c r="U95" s="687"/>
      <c r="V95" s="687"/>
      <c r="W95" s="687"/>
      <c r="X95" s="687"/>
      <c r="Y95" s="687"/>
      <c r="Z95" s="687"/>
    </row>
    <row r="96" customHeight="1" spans="1:26">
      <c r="A96" s="686"/>
      <c r="B96" s="686"/>
      <c r="C96" s="686"/>
      <c r="D96" s="687"/>
      <c r="E96" s="687"/>
      <c r="F96" s="687"/>
      <c r="G96" s="687"/>
      <c r="H96" s="687"/>
      <c r="I96" s="687"/>
      <c r="J96" s="687"/>
      <c r="K96" s="687"/>
      <c r="L96" s="687"/>
      <c r="M96" s="687"/>
      <c r="N96" s="687"/>
      <c r="O96" s="687"/>
      <c r="P96" s="687"/>
      <c r="Q96" s="687"/>
      <c r="R96" s="687"/>
      <c r="S96" s="687"/>
      <c r="T96" s="687"/>
      <c r="U96" s="687"/>
      <c r="V96" s="687"/>
      <c r="W96" s="687"/>
      <c r="X96" s="687"/>
      <c r="Y96" s="687"/>
      <c r="Z96" s="687"/>
    </row>
    <row r="97" customHeight="1" spans="1:26">
      <c r="A97" s="686"/>
      <c r="B97" s="686"/>
      <c r="C97" s="686"/>
      <c r="D97" s="687"/>
      <c r="E97" s="687"/>
      <c r="F97" s="687"/>
      <c r="G97" s="687"/>
      <c r="H97" s="687"/>
      <c r="I97" s="687"/>
      <c r="J97" s="687"/>
      <c r="K97" s="687"/>
      <c r="L97" s="687"/>
      <c r="M97" s="687"/>
      <c r="N97" s="687"/>
      <c r="O97" s="687"/>
      <c r="P97" s="687"/>
      <c r="Q97" s="687"/>
      <c r="R97" s="687"/>
      <c r="S97" s="687"/>
      <c r="T97" s="687"/>
      <c r="U97" s="687"/>
      <c r="V97" s="687"/>
      <c r="W97" s="687"/>
      <c r="X97" s="687"/>
      <c r="Y97" s="687"/>
      <c r="Z97" s="687"/>
    </row>
    <row r="98" customHeight="1" spans="1:26">
      <c r="A98" s="686"/>
      <c r="B98" s="686"/>
      <c r="C98" s="686"/>
      <c r="D98" s="687"/>
      <c r="E98" s="687"/>
      <c r="F98" s="687"/>
      <c r="G98" s="687"/>
      <c r="H98" s="687"/>
      <c r="I98" s="687"/>
      <c r="J98" s="687"/>
      <c r="K98" s="687"/>
      <c r="L98" s="687"/>
      <c r="M98" s="687"/>
      <c r="N98" s="687"/>
      <c r="O98" s="687"/>
      <c r="P98" s="687"/>
      <c r="Q98" s="687"/>
      <c r="R98" s="687"/>
      <c r="S98" s="687"/>
      <c r="T98" s="687"/>
      <c r="U98" s="687"/>
      <c r="V98" s="687"/>
      <c r="W98" s="687"/>
      <c r="X98" s="687"/>
      <c r="Y98" s="687"/>
      <c r="Z98" s="687"/>
    </row>
    <row r="99" customHeight="1" spans="1:26">
      <c r="A99" s="686"/>
      <c r="B99" s="686"/>
      <c r="C99" s="686"/>
      <c r="D99" s="687"/>
      <c r="E99" s="687"/>
      <c r="F99" s="687"/>
      <c r="G99" s="687"/>
      <c r="H99" s="687"/>
      <c r="I99" s="687"/>
      <c r="J99" s="687"/>
      <c r="K99" s="687"/>
      <c r="L99" s="687"/>
      <c r="M99" s="687"/>
      <c r="N99" s="687"/>
      <c r="O99" s="687"/>
      <c r="P99" s="687"/>
      <c r="Q99" s="687"/>
      <c r="R99" s="687"/>
      <c r="S99" s="687"/>
      <c r="T99" s="687"/>
      <c r="U99" s="687"/>
      <c r="V99" s="687"/>
      <c r="W99" s="687"/>
      <c r="X99" s="687"/>
      <c r="Y99" s="687"/>
      <c r="Z99" s="687"/>
    </row>
    <row r="100" customHeight="1" spans="1:26">
      <c r="A100" s="686"/>
      <c r="B100" s="686"/>
      <c r="C100" s="686"/>
      <c r="D100" s="687"/>
      <c r="E100" s="687"/>
      <c r="F100" s="687"/>
      <c r="G100" s="687"/>
      <c r="H100" s="687"/>
      <c r="I100" s="687"/>
      <c r="J100" s="687"/>
      <c r="K100" s="687"/>
      <c r="L100" s="687"/>
      <c r="M100" s="687"/>
      <c r="N100" s="687"/>
      <c r="O100" s="687"/>
      <c r="P100" s="687"/>
      <c r="Q100" s="687"/>
      <c r="R100" s="687"/>
      <c r="S100" s="687"/>
      <c r="T100" s="687"/>
      <c r="U100" s="687"/>
      <c r="V100" s="687"/>
      <c r="W100" s="687"/>
      <c r="X100" s="687"/>
      <c r="Y100" s="687"/>
      <c r="Z100" s="687"/>
    </row>
    <row r="101" customHeight="1" spans="1:26">
      <c r="A101" s="686"/>
      <c r="B101" s="686"/>
      <c r="C101" s="686"/>
      <c r="D101" s="687"/>
      <c r="E101" s="687"/>
      <c r="F101" s="687"/>
      <c r="G101" s="687"/>
      <c r="H101" s="687"/>
      <c r="I101" s="687"/>
      <c r="J101" s="687"/>
      <c r="K101" s="687"/>
      <c r="L101" s="687"/>
      <c r="M101" s="687"/>
      <c r="N101" s="687"/>
      <c r="O101" s="687"/>
      <c r="P101" s="687"/>
      <c r="Q101" s="687"/>
      <c r="R101" s="687"/>
      <c r="S101" s="687"/>
      <c r="T101" s="687"/>
      <c r="U101" s="687"/>
      <c r="V101" s="687"/>
      <c r="W101" s="687"/>
      <c r="X101" s="687"/>
      <c r="Y101" s="687"/>
      <c r="Z101" s="687"/>
    </row>
    <row r="102" customHeight="1" spans="1:26">
      <c r="A102" s="686"/>
      <c r="B102" s="686"/>
      <c r="C102" s="686"/>
      <c r="D102" s="687"/>
      <c r="E102" s="687"/>
      <c r="F102" s="687"/>
      <c r="G102" s="687"/>
      <c r="H102" s="687"/>
      <c r="I102" s="687"/>
      <c r="J102" s="687"/>
      <c r="K102" s="687"/>
      <c r="L102" s="687"/>
      <c r="M102" s="687"/>
      <c r="N102" s="687"/>
      <c r="O102" s="687"/>
      <c r="P102" s="687"/>
      <c r="Q102" s="687"/>
      <c r="R102" s="687"/>
      <c r="S102" s="687"/>
      <c r="T102" s="687"/>
      <c r="U102" s="687"/>
      <c r="V102" s="687"/>
      <c r="W102" s="687"/>
      <c r="X102" s="687"/>
      <c r="Y102" s="687"/>
      <c r="Z102" s="687"/>
    </row>
    <row r="103" customHeight="1" spans="1:26">
      <c r="A103" s="686"/>
      <c r="B103" s="686"/>
      <c r="C103" s="686"/>
      <c r="D103" s="687"/>
      <c r="E103" s="687"/>
      <c r="F103" s="687"/>
      <c r="G103" s="687"/>
      <c r="H103" s="687"/>
      <c r="I103" s="687"/>
      <c r="J103" s="687"/>
      <c r="K103" s="687"/>
      <c r="L103" s="687"/>
      <c r="M103" s="687"/>
      <c r="N103" s="687"/>
      <c r="O103" s="687"/>
      <c r="P103" s="687"/>
      <c r="Q103" s="687"/>
      <c r="R103" s="687"/>
      <c r="S103" s="687"/>
      <c r="T103" s="687"/>
      <c r="U103" s="687"/>
      <c r="V103" s="687"/>
      <c r="W103" s="687"/>
      <c r="X103" s="687"/>
      <c r="Y103" s="687"/>
      <c r="Z103" s="687"/>
    </row>
    <row r="104" customHeight="1" spans="1:26">
      <c r="A104" s="686"/>
      <c r="B104" s="686"/>
      <c r="C104" s="686"/>
      <c r="D104" s="687"/>
      <c r="E104" s="687"/>
      <c r="F104" s="687"/>
      <c r="G104" s="687"/>
      <c r="H104" s="687"/>
      <c r="I104" s="687"/>
      <c r="J104" s="687"/>
      <c r="K104" s="687"/>
      <c r="L104" s="687"/>
      <c r="M104" s="687"/>
      <c r="N104" s="687"/>
      <c r="O104" s="687"/>
      <c r="P104" s="687"/>
      <c r="Q104" s="687"/>
      <c r="R104" s="687"/>
      <c r="S104" s="687"/>
      <c r="T104" s="687"/>
      <c r="U104" s="687"/>
      <c r="V104" s="687"/>
      <c r="W104" s="687"/>
      <c r="X104" s="687"/>
      <c r="Y104" s="687"/>
      <c r="Z104" s="687"/>
    </row>
    <row r="105" customHeight="1" spans="1:26">
      <c r="A105" s="686"/>
      <c r="B105" s="686"/>
      <c r="C105" s="686"/>
      <c r="D105" s="687"/>
      <c r="E105" s="687"/>
      <c r="F105" s="687"/>
      <c r="G105" s="687"/>
      <c r="H105" s="687"/>
      <c r="I105" s="687"/>
      <c r="J105" s="687"/>
      <c r="K105" s="687"/>
      <c r="L105" s="687"/>
      <c r="M105" s="687"/>
      <c r="N105" s="687"/>
      <c r="O105" s="687"/>
      <c r="P105" s="687"/>
      <c r="Q105" s="687"/>
      <c r="R105" s="687"/>
      <c r="S105" s="687"/>
      <c r="T105" s="687"/>
      <c r="U105" s="687"/>
      <c r="V105" s="687"/>
      <c r="W105" s="687"/>
      <c r="X105" s="687"/>
      <c r="Y105" s="687"/>
      <c r="Z105" s="687"/>
    </row>
    <row r="106" customHeight="1" spans="1:26">
      <c r="A106" s="686"/>
      <c r="B106" s="686"/>
      <c r="C106" s="686"/>
      <c r="D106" s="687"/>
      <c r="E106" s="687"/>
      <c r="F106" s="687"/>
      <c r="G106" s="687"/>
      <c r="H106" s="687"/>
      <c r="I106" s="687"/>
      <c r="J106" s="687"/>
      <c r="K106" s="687"/>
      <c r="L106" s="687"/>
      <c r="M106" s="687"/>
      <c r="N106" s="687"/>
      <c r="O106" s="687"/>
      <c r="P106" s="687"/>
      <c r="Q106" s="687"/>
      <c r="R106" s="687"/>
      <c r="S106" s="687"/>
      <c r="T106" s="687"/>
      <c r="U106" s="687"/>
      <c r="V106" s="687"/>
      <c r="W106" s="687"/>
      <c r="X106" s="687"/>
      <c r="Y106" s="687"/>
      <c r="Z106" s="687"/>
    </row>
    <row r="107" customHeight="1" spans="1:26">
      <c r="A107" s="686"/>
      <c r="B107" s="686"/>
      <c r="C107" s="686"/>
      <c r="D107" s="687"/>
      <c r="E107" s="687"/>
      <c r="F107" s="687"/>
      <c r="G107" s="687"/>
      <c r="H107" s="687"/>
      <c r="I107" s="687"/>
      <c r="J107" s="687"/>
      <c r="K107" s="687"/>
      <c r="L107" s="687"/>
      <c r="M107" s="687"/>
      <c r="N107" s="687"/>
      <c r="O107" s="687"/>
      <c r="P107" s="687"/>
      <c r="Q107" s="687"/>
      <c r="R107" s="687"/>
      <c r="S107" s="687"/>
      <c r="T107" s="687"/>
      <c r="U107" s="687"/>
      <c r="V107" s="687"/>
      <c r="W107" s="687"/>
      <c r="X107" s="687"/>
      <c r="Y107" s="687"/>
      <c r="Z107" s="687"/>
    </row>
    <row r="108" customHeight="1" spans="1:26">
      <c r="A108" s="686"/>
      <c r="B108" s="686"/>
      <c r="C108" s="686"/>
      <c r="D108" s="687"/>
      <c r="E108" s="687"/>
      <c r="F108" s="687"/>
      <c r="G108" s="687"/>
      <c r="H108" s="687"/>
      <c r="I108" s="687"/>
      <c r="J108" s="687"/>
      <c r="K108" s="687"/>
      <c r="L108" s="687"/>
      <c r="M108" s="687"/>
      <c r="N108" s="687"/>
      <c r="O108" s="687"/>
      <c r="P108" s="687"/>
      <c r="Q108" s="687"/>
      <c r="R108" s="687"/>
      <c r="S108" s="687"/>
      <c r="T108" s="687"/>
      <c r="U108" s="687"/>
      <c r="V108" s="687"/>
      <c r="W108" s="687"/>
      <c r="X108" s="687"/>
      <c r="Y108" s="687"/>
      <c r="Z108" s="687"/>
    </row>
    <row r="109" customHeight="1" spans="1:26">
      <c r="A109" s="686"/>
      <c r="B109" s="686"/>
      <c r="C109" s="686"/>
      <c r="D109" s="687"/>
      <c r="E109" s="687"/>
      <c r="F109" s="687"/>
      <c r="G109" s="687"/>
      <c r="H109" s="687"/>
      <c r="I109" s="687"/>
      <c r="J109" s="687"/>
      <c r="K109" s="687"/>
      <c r="L109" s="687"/>
      <c r="M109" s="687"/>
      <c r="N109" s="687"/>
      <c r="O109" s="687"/>
      <c r="P109" s="687"/>
      <c r="Q109" s="687"/>
      <c r="R109" s="687"/>
      <c r="S109" s="687"/>
      <c r="T109" s="687"/>
      <c r="U109" s="687"/>
      <c r="V109" s="687"/>
      <c r="W109" s="687"/>
      <c r="X109" s="687"/>
      <c r="Y109" s="687"/>
      <c r="Z109" s="687"/>
    </row>
    <row r="110" customHeight="1" spans="1:26">
      <c r="A110" s="686"/>
      <c r="B110" s="686"/>
      <c r="C110" s="686"/>
      <c r="D110" s="687"/>
      <c r="E110" s="687"/>
      <c r="F110" s="687"/>
      <c r="G110" s="687"/>
      <c r="H110" s="687"/>
      <c r="I110" s="687"/>
      <c r="J110" s="687"/>
      <c r="K110" s="687"/>
      <c r="L110" s="687"/>
      <c r="M110" s="687"/>
      <c r="N110" s="687"/>
      <c r="O110" s="687"/>
      <c r="P110" s="687"/>
      <c r="Q110" s="687"/>
      <c r="R110" s="687"/>
      <c r="S110" s="687"/>
      <c r="T110" s="687"/>
      <c r="U110" s="687"/>
      <c r="V110" s="687"/>
      <c r="W110" s="687"/>
      <c r="X110" s="687"/>
      <c r="Y110" s="687"/>
      <c r="Z110" s="687"/>
    </row>
    <row r="111" customHeight="1" spans="1:26">
      <c r="A111" s="686"/>
      <c r="B111" s="686"/>
      <c r="C111" s="686"/>
      <c r="D111" s="687"/>
      <c r="E111" s="687"/>
      <c r="F111" s="687"/>
      <c r="G111" s="687"/>
      <c r="H111" s="687"/>
      <c r="I111" s="687"/>
      <c r="J111" s="687"/>
      <c r="K111" s="687"/>
      <c r="L111" s="687"/>
      <c r="M111" s="687"/>
      <c r="N111" s="687"/>
      <c r="O111" s="687"/>
      <c r="P111" s="687"/>
      <c r="Q111" s="687"/>
      <c r="R111" s="687"/>
      <c r="S111" s="687"/>
      <c r="T111" s="687"/>
      <c r="U111" s="687"/>
      <c r="V111" s="687"/>
      <c r="W111" s="687"/>
      <c r="X111" s="687"/>
      <c r="Y111" s="687"/>
      <c r="Z111" s="687"/>
    </row>
    <row r="112" customHeight="1" spans="1:26">
      <c r="A112" s="686"/>
      <c r="B112" s="686"/>
      <c r="C112" s="686"/>
      <c r="D112" s="687"/>
      <c r="E112" s="687"/>
      <c r="F112" s="687"/>
      <c r="G112" s="687"/>
      <c r="H112" s="687"/>
      <c r="I112" s="687"/>
      <c r="J112" s="687"/>
      <c r="K112" s="687"/>
      <c r="L112" s="687"/>
      <c r="M112" s="687"/>
      <c r="N112" s="687"/>
      <c r="O112" s="687"/>
      <c r="P112" s="687"/>
      <c r="Q112" s="687"/>
      <c r="R112" s="687"/>
      <c r="S112" s="687"/>
      <c r="T112" s="687"/>
      <c r="U112" s="687"/>
      <c r="V112" s="687"/>
      <c r="W112" s="687"/>
      <c r="X112" s="687"/>
      <c r="Y112" s="687"/>
      <c r="Z112" s="687"/>
    </row>
    <row r="113" customHeight="1" spans="1:26">
      <c r="A113" s="686"/>
      <c r="B113" s="686"/>
      <c r="C113" s="686"/>
      <c r="D113" s="687"/>
      <c r="E113" s="687"/>
      <c r="F113" s="687"/>
      <c r="G113" s="687"/>
      <c r="H113" s="687"/>
      <c r="I113" s="687"/>
      <c r="J113" s="687"/>
      <c r="K113" s="687"/>
      <c r="L113" s="687"/>
      <c r="M113" s="687"/>
      <c r="N113" s="687"/>
      <c r="O113" s="687"/>
      <c r="P113" s="687"/>
      <c r="Q113" s="687"/>
      <c r="R113" s="687"/>
      <c r="S113" s="687"/>
      <c r="T113" s="687"/>
      <c r="U113" s="687"/>
      <c r="V113" s="687"/>
      <c r="W113" s="687"/>
      <c r="X113" s="687"/>
      <c r="Y113" s="687"/>
      <c r="Z113" s="687"/>
    </row>
    <row r="114" customHeight="1" spans="1:26">
      <c r="A114" s="686"/>
      <c r="B114" s="686"/>
      <c r="C114" s="686"/>
      <c r="D114" s="687"/>
      <c r="E114" s="687"/>
      <c r="F114" s="687"/>
      <c r="G114" s="687"/>
      <c r="H114" s="687"/>
      <c r="I114" s="687"/>
      <c r="J114" s="687"/>
      <c r="K114" s="687"/>
      <c r="L114" s="687"/>
      <c r="M114" s="687"/>
      <c r="N114" s="687"/>
      <c r="O114" s="687"/>
      <c r="P114" s="687"/>
      <c r="Q114" s="687"/>
      <c r="R114" s="687"/>
      <c r="S114" s="687"/>
      <c r="T114" s="687"/>
      <c r="U114" s="687"/>
      <c r="V114" s="687"/>
      <c r="W114" s="687"/>
      <c r="X114" s="687"/>
      <c r="Y114" s="687"/>
      <c r="Z114" s="687"/>
    </row>
    <row r="115" customHeight="1" spans="1:26">
      <c r="A115" s="686"/>
      <c r="B115" s="686"/>
      <c r="C115" s="686"/>
      <c r="D115" s="687"/>
      <c r="E115" s="687"/>
      <c r="F115" s="687"/>
      <c r="G115" s="687"/>
      <c r="H115" s="687"/>
      <c r="I115" s="687"/>
      <c r="J115" s="687"/>
      <c r="K115" s="687"/>
      <c r="L115" s="687"/>
      <c r="M115" s="687"/>
      <c r="N115" s="687"/>
      <c r="O115" s="687"/>
      <c r="P115" s="687"/>
      <c r="Q115" s="687"/>
      <c r="R115" s="687"/>
      <c r="S115" s="687"/>
      <c r="T115" s="687"/>
      <c r="U115" s="687"/>
      <c r="V115" s="687"/>
      <c r="W115" s="687"/>
      <c r="X115" s="687"/>
      <c r="Y115" s="687"/>
      <c r="Z115" s="687"/>
    </row>
    <row r="116" customHeight="1" spans="1:26">
      <c r="A116" s="686"/>
      <c r="B116" s="686"/>
      <c r="C116" s="686"/>
      <c r="D116" s="687"/>
      <c r="E116" s="687"/>
      <c r="F116" s="687"/>
      <c r="G116" s="687"/>
      <c r="H116" s="687"/>
      <c r="I116" s="687"/>
      <c r="J116" s="687"/>
      <c r="K116" s="687"/>
      <c r="L116" s="687"/>
      <c r="M116" s="687"/>
      <c r="N116" s="687"/>
      <c r="O116" s="687"/>
      <c r="P116" s="687"/>
      <c r="Q116" s="687"/>
      <c r="R116" s="687"/>
      <c r="S116" s="687"/>
      <c r="T116" s="687"/>
      <c r="U116" s="687"/>
      <c r="V116" s="687"/>
      <c r="W116" s="687"/>
      <c r="X116" s="687"/>
      <c r="Y116" s="687"/>
      <c r="Z116" s="687"/>
    </row>
    <row r="117" customHeight="1" spans="1:26">
      <c r="A117" s="686"/>
      <c r="B117" s="686"/>
      <c r="C117" s="686"/>
      <c r="D117" s="687"/>
      <c r="E117" s="687"/>
      <c r="F117" s="687"/>
      <c r="G117" s="687"/>
      <c r="H117" s="687"/>
      <c r="I117" s="687"/>
      <c r="J117" s="687"/>
      <c r="K117" s="687"/>
      <c r="L117" s="687"/>
      <c r="M117" s="687"/>
      <c r="N117" s="687"/>
      <c r="O117" s="687"/>
      <c r="P117" s="687"/>
      <c r="Q117" s="687"/>
      <c r="R117" s="687"/>
      <c r="S117" s="687"/>
      <c r="T117" s="687"/>
      <c r="U117" s="687"/>
      <c r="V117" s="687"/>
      <c r="W117" s="687"/>
      <c r="X117" s="687"/>
      <c r="Y117" s="687"/>
      <c r="Z117" s="687"/>
    </row>
    <row r="118" customHeight="1" spans="1:26">
      <c r="A118" s="686"/>
      <c r="B118" s="686"/>
      <c r="C118" s="686"/>
      <c r="D118" s="687"/>
      <c r="E118" s="687"/>
      <c r="F118" s="687"/>
      <c r="G118" s="687"/>
      <c r="H118" s="687"/>
      <c r="I118" s="687"/>
      <c r="J118" s="687"/>
      <c r="K118" s="687"/>
      <c r="L118" s="687"/>
      <c r="M118" s="687"/>
      <c r="N118" s="687"/>
      <c r="O118" s="687"/>
      <c r="P118" s="687"/>
      <c r="Q118" s="687"/>
      <c r="R118" s="687"/>
      <c r="S118" s="687"/>
      <c r="T118" s="687"/>
      <c r="U118" s="687"/>
      <c r="V118" s="687"/>
      <c r="W118" s="687"/>
      <c r="X118" s="687"/>
      <c r="Y118" s="687"/>
      <c r="Z118" s="687"/>
    </row>
    <row r="119" customHeight="1" spans="1:26">
      <c r="A119" s="686"/>
      <c r="B119" s="686"/>
      <c r="C119" s="686"/>
      <c r="D119" s="687"/>
      <c r="E119" s="687"/>
      <c r="F119" s="687"/>
      <c r="G119" s="687"/>
      <c r="H119" s="687"/>
      <c r="I119" s="687"/>
      <c r="J119" s="687"/>
      <c r="K119" s="687"/>
      <c r="L119" s="687"/>
      <c r="M119" s="687"/>
      <c r="N119" s="687"/>
      <c r="O119" s="687"/>
      <c r="P119" s="687"/>
      <c r="Q119" s="687"/>
      <c r="R119" s="687"/>
      <c r="S119" s="687"/>
      <c r="T119" s="687"/>
      <c r="U119" s="687"/>
      <c r="V119" s="687"/>
      <c r="W119" s="687"/>
      <c r="X119" s="687"/>
      <c r="Y119" s="687"/>
      <c r="Z119" s="687"/>
    </row>
    <row r="120" customHeight="1" spans="1:26">
      <c r="A120" s="686"/>
      <c r="B120" s="686"/>
      <c r="C120" s="686"/>
      <c r="D120" s="687"/>
      <c r="E120" s="687"/>
      <c r="F120" s="687"/>
      <c r="G120" s="687"/>
      <c r="H120" s="687"/>
      <c r="I120" s="687"/>
      <c r="J120" s="687"/>
      <c r="K120" s="687"/>
      <c r="L120" s="687"/>
      <c r="M120" s="687"/>
      <c r="N120" s="687"/>
      <c r="O120" s="687"/>
      <c r="P120" s="687"/>
      <c r="Q120" s="687"/>
      <c r="R120" s="687"/>
      <c r="S120" s="687"/>
      <c r="T120" s="687"/>
      <c r="U120" s="687"/>
      <c r="V120" s="687"/>
      <c r="W120" s="687"/>
      <c r="X120" s="687"/>
      <c r="Y120" s="687"/>
      <c r="Z120" s="687"/>
    </row>
    <row r="121" customHeight="1" spans="1:26">
      <c r="A121" s="686"/>
      <c r="B121" s="686"/>
      <c r="C121" s="686"/>
      <c r="D121" s="687"/>
      <c r="E121" s="687"/>
      <c r="F121" s="687"/>
      <c r="G121" s="687"/>
      <c r="H121" s="687"/>
      <c r="I121" s="687"/>
      <c r="J121" s="687"/>
      <c r="K121" s="687"/>
      <c r="L121" s="687"/>
      <c r="M121" s="687"/>
      <c r="N121" s="687"/>
      <c r="O121" s="687"/>
      <c r="P121" s="687"/>
      <c r="Q121" s="687"/>
      <c r="R121" s="687"/>
      <c r="S121" s="687"/>
      <c r="T121" s="687"/>
      <c r="U121" s="687"/>
      <c r="V121" s="687"/>
      <c r="W121" s="687"/>
      <c r="X121" s="687"/>
      <c r="Y121" s="687"/>
      <c r="Z121" s="687"/>
    </row>
    <row r="122" customHeight="1" spans="1:26">
      <c r="A122" s="686"/>
      <c r="B122" s="686"/>
      <c r="C122" s="686"/>
      <c r="D122" s="687"/>
      <c r="E122" s="687"/>
      <c r="F122" s="687"/>
      <c r="G122" s="687"/>
      <c r="H122" s="687"/>
      <c r="I122" s="687"/>
      <c r="J122" s="687"/>
      <c r="K122" s="687"/>
      <c r="L122" s="687"/>
      <c r="M122" s="687"/>
      <c r="N122" s="687"/>
      <c r="O122" s="687"/>
      <c r="P122" s="687"/>
      <c r="Q122" s="687"/>
      <c r="R122" s="687"/>
      <c r="S122" s="687"/>
      <c r="T122" s="687"/>
      <c r="U122" s="687"/>
      <c r="V122" s="687"/>
      <c r="W122" s="687"/>
      <c r="X122" s="687"/>
      <c r="Y122" s="687"/>
      <c r="Z122" s="687"/>
    </row>
    <row r="123" customHeight="1" spans="1:26">
      <c r="A123" s="686"/>
      <c r="B123" s="686"/>
      <c r="C123" s="686"/>
      <c r="D123" s="687"/>
      <c r="E123" s="687"/>
      <c r="F123" s="687"/>
      <c r="G123" s="687"/>
      <c r="H123" s="687"/>
      <c r="I123" s="687"/>
      <c r="J123" s="687"/>
      <c r="K123" s="687"/>
      <c r="L123" s="687"/>
      <c r="M123" s="687"/>
      <c r="N123" s="687"/>
      <c r="O123" s="687"/>
      <c r="P123" s="687"/>
      <c r="Q123" s="687"/>
      <c r="R123" s="687"/>
      <c r="S123" s="687"/>
      <c r="T123" s="687"/>
      <c r="U123" s="687"/>
      <c r="V123" s="687"/>
      <c r="W123" s="687"/>
      <c r="X123" s="687"/>
      <c r="Y123" s="687"/>
      <c r="Z123" s="687"/>
    </row>
    <row r="124" customHeight="1" spans="1:26">
      <c r="A124" s="686"/>
      <c r="B124" s="686"/>
      <c r="C124" s="686"/>
      <c r="D124" s="687"/>
      <c r="E124" s="687"/>
      <c r="F124" s="687"/>
      <c r="G124" s="687"/>
      <c r="H124" s="687"/>
      <c r="I124" s="687"/>
      <c r="J124" s="687"/>
      <c r="K124" s="687"/>
      <c r="L124" s="687"/>
      <c r="M124" s="687"/>
      <c r="N124" s="687"/>
      <c r="O124" s="687"/>
      <c r="P124" s="687"/>
      <c r="Q124" s="687"/>
      <c r="R124" s="687"/>
      <c r="S124" s="687"/>
      <c r="T124" s="687"/>
      <c r="U124" s="687"/>
      <c r="V124" s="687"/>
      <c r="W124" s="687"/>
      <c r="X124" s="687"/>
      <c r="Y124" s="687"/>
      <c r="Z124" s="687"/>
    </row>
    <row r="125" customHeight="1" spans="1:26">
      <c r="A125" s="686"/>
      <c r="B125" s="686"/>
      <c r="C125" s="686"/>
      <c r="D125" s="687"/>
      <c r="E125" s="687"/>
      <c r="F125" s="687"/>
      <c r="G125" s="687"/>
      <c r="H125" s="687"/>
      <c r="I125" s="687"/>
      <c r="J125" s="687"/>
      <c r="K125" s="687"/>
      <c r="L125" s="687"/>
      <c r="M125" s="687"/>
      <c r="N125" s="687"/>
      <c r="O125" s="687"/>
      <c r="P125" s="687"/>
      <c r="Q125" s="687"/>
      <c r="R125" s="687"/>
      <c r="S125" s="687"/>
      <c r="T125" s="687"/>
      <c r="U125" s="687"/>
      <c r="V125" s="687"/>
      <c r="W125" s="687"/>
      <c r="X125" s="687"/>
      <c r="Y125" s="687"/>
      <c r="Z125" s="687"/>
    </row>
    <row r="126" customHeight="1" spans="1:26">
      <c r="A126" s="686"/>
      <c r="B126" s="686"/>
      <c r="C126" s="686"/>
      <c r="D126" s="687"/>
      <c r="E126" s="687"/>
      <c r="F126" s="687"/>
      <c r="G126" s="687"/>
      <c r="H126" s="687"/>
      <c r="I126" s="687"/>
      <c r="J126" s="687"/>
      <c r="K126" s="687"/>
      <c r="L126" s="687"/>
      <c r="M126" s="687"/>
      <c r="N126" s="687"/>
      <c r="O126" s="687"/>
      <c r="P126" s="687"/>
      <c r="Q126" s="687"/>
      <c r="R126" s="687"/>
      <c r="S126" s="687"/>
      <c r="T126" s="687"/>
      <c r="U126" s="687"/>
      <c r="V126" s="687"/>
      <c r="W126" s="687"/>
      <c r="X126" s="687"/>
      <c r="Y126" s="687"/>
      <c r="Z126" s="687"/>
    </row>
    <row r="127" customHeight="1" spans="1:26">
      <c r="A127" s="686"/>
      <c r="B127" s="686"/>
      <c r="C127" s="686"/>
      <c r="D127" s="687"/>
      <c r="E127" s="687"/>
      <c r="F127" s="687"/>
      <c r="G127" s="687"/>
      <c r="H127" s="687"/>
      <c r="I127" s="687"/>
      <c r="J127" s="687"/>
      <c r="K127" s="687"/>
      <c r="L127" s="687"/>
      <c r="M127" s="687"/>
      <c r="N127" s="687"/>
      <c r="O127" s="687"/>
      <c r="P127" s="687"/>
      <c r="Q127" s="687"/>
      <c r="R127" s="687"/>
      <c r="S127" s="687"/>
      <c r="T127" s="687"/>
      <c r="U127" s="687"/>
      <c r="V127" s="687"/>
      <c r="W127" s="687"/>
      <c r="X127" s="687"/>
      <c r="Y127" s="687"/>
      <c r="Z127" s="687"/>
    </row>
    <row r="128" customHeight="1" spans="1:26">
      <c r="A128" s="686"/>
      <c r="B128" s="686"/>
      <c r="C128" s="686"/>
      <c r="D128" s="687"/>
      <c r="E128" s="687"/>
      <c r="F128" s="687"/>
      <c r="G128" s="687"/>
      <c r="H128" s="687"/>
      <c r="I128" s="687"/>
      <c r="J128" s="687"/>
      <c r="K128" s="687"/>
      <c r="L128" s="687"/>
      <c r="M128" s="687"/>
      <c r="N128" s="687"/>
      <c r="O128" s="687"/>
      <c r="P128" s="687"/>
      <c r="Q128" s="687"/>
      <c r="R128" s="687"/>
      <c r="S128" s="687"/>
      <c r="T128" s="687"/>
      <c r="U128" s="687"/>
      <c r="V128" s="687"/>
      <c r="W128" s="687"/>
      <c r="X128" s="687"/>
      <c r="Y128" s="687"/>
      <c r="Z128" s="687"/>
    </row>
    <row r="129" customHeight="1" spans="1:26">
      <c r="A129" s="686"/>
      <c r="B129" s="686"/>
      <c r="C129" s="686"/>
      <c r="D129" s="687"/>
      <c r="E129" s="687"/>
      <c r="F129" s="687"/>
      <c r="G129" s="687"/>
      <c r="H129" s="687"/>
      <c r="I129" s="687"/>
      <c r="J129" s="687"/>
      <c r="K129" s="687"/>
      <c r="L129" s="687"/>
      <c r="M129" s="687"/>
      <c r="N129" s="687"/>
      <c r="O129" s="687"/>
      <c r="P129" s="687"/>
      <c r="Q129" s="687"/>
      <c r="R129" s="687"/>
      <c r="S129" s="687"/>
      <c r="T129" s="687"/>
      <c r="U129" s="687"/>
      <c r="V129" s="687"/>
      <c r="W129" s="687"/>
      <c r="X129" s="687"/>
      <c r="Y129" s="687"/>
      <c r="Z129" s="687"/>
    </row>
    <row r="130" customHeight="1" spans="1:26">
      <c r="A130" s="686"/>
      <c r="B130" s="686"/>
      <c r="C130" s="686"/>
      <c r="D130" s="687"/>
      <c r="E130" s="687"/>
      <c r="F130" s="687"/>
      <c r="G130" s="687"/>
      <c r="H130" s="687"/>
      <c r="I130" s="687"/>
      <c r="J130" s="687"/>
      <c r="K130" s="687"/>
      <c r="L130" s="687"/>
      <c r="M130" s="687"/>
      <c r="N130" s="687"/>
      <c r="O130" s="687"/>
      <c r="P130" s="687"/>
      <c r="Q130" s="687"/>
      <c r="R130" s="687"/>
      <c r="S130" s="687"/>
      <c r="T130" s="687"/>
      <c r="U130" s="687"/>
      <c r="V130" s="687"/>
      <c r="W130" s="687"/>
      <c r="X130" s="687"/>
      <c r="Y130" s="687"/>
      <c r="Z130" s="687"/>
    </row>
    <row r="131" customHeight="1" spans="1:26">
      <c r="A131" s="686"/>
      <c r="B131" s="686"/>
      <c r="C131" s="686"/>
      <c r="D131" s="687"/>
      <c r="E131" s="687"/>
      <c r="F131" s="687"/>
      <c r="G131" s="687"/>
      <c r="H131" s="687"/>
      <c r="I131" s="687"/>
      <c r="J131" s="687"/>
      <c r="K131" s="687"/>
      <c r="L131" s="687"/>
      <c r="M131" s="687"/>
      <c r="N131" s="687"/>
      <c r="O131" s="687"/>
      <c r="P131" s="687"/>
      <c r="Q131" s="687"/>
      <c r="R131" s="687"/>
      <c r="S131" s="687"/>
      <c r="T131" s="687"/>
      <c r="U131" s="687"/>
      <c r="V131" s="687"/>
      <c r="W131" s="687"/>
      <c r="X131" s="687"/>
      <c r="Y131" s="687"/>
      <c r="Z131" s="687"/>
    </row>
    <row r="132" customHeight="1" spans="1:26">
      <c r="A132" s="686"/>
      <c r="B132" s="686"/>
      <c r="C132" s="686"/>
      <c r="D132" s="687"/>
      <c r="E132" s="687"/>
      <c r="F132" s="687"/>
      <c r="G132" s="687"/>
      <c r="H132" s="687"/>
      <c r="I132" s="687"/>
      <c r="J132" s="687"/>
      <c r="K132" s="687"/>
      <c r="L132" s="687"/>
      <c r="M132" s="687"/>
      <c r="N132" s="687"/>
      <c r="O132" s="687"/>
      <c r="P132" s="687"/>
      <c r="Q132" s="687"/>
      <c r="R132" s="687"/>
      <c r="S132" s="687"/>
      <c r="T132" s="687"/>
      <c r="U132" s="687"/>
      <c r="V132" s="687"/>
      <c r="W132" s="687"/>
      <c r="X132" s="687"/>
      <c r="Y132" s="687"/>
      <c r="Z132" s="687"/>
    </row>
    <row r="133" customHeight="1" spans="1:26">
      <c r="A133" s="686"/>
      <c r="B133" s="686"/>
      <c r="C133" s="686"/>
      <c r="D133" s="687"/>
      <c r="E133" s="687"/>
      <c r="F133" s="687"/>
      <c r="G133" s="687"/>
      <c r="H133" s="687"/>
      <c r="I133" s="687"/>
      <c r="J133" s="687"/>
      <c r="K133" s="687"/>
      <c r="L133" s="687"/>
      <c r="M133" s="687"/>
      <c r="N133" s="687"/>
      <c r="O133" s="687"/>
      <c r="P133" s="687"/>
      <c r="Q133" s="687"/>
      <c r="R133" s="687"/>
      <c r="S133" s="687"/>
      <c r="T133" s="687"/>
      <c r="U133" s="687"/>
      <c r="V133" s="687"/>
      <c r="W133" s="687"/>
      <c r="X133" s="687"/>
      <c r="Y133" s="687"/>
      <c r="Z133" s="687"/>
    </row>
    <row r="134" customHeight="1" spans="1:26">
      <c r="A134" s="686"/>
      <c r="B134" s="686"/>
      <c r="C134" s="686"/>
      <c r="D134" s="687"/>
      <c r="E134" s="687"/>
      <c r="F134" s="687"/>
      <c r="G134" s="687"/>
      <c r="H134" s="687"/>
      <c r="I134" s="687"/>
      <c r="J134" s="687"/>
      <c r="K134" s="687"/>
      <c r="L134" s="687"/>
      <c r="M134" s="687"/>
      <c r="N134" s="687"/>
      <c r="O134" s="687"/>
      <c r="P134" s="687"/>
      <c r="Q134" s="687"/>
      <c r="R134" s="687"/>
      <c r="S134" s="687"/>
      <c r="T134" s="687"/>
      <c r="U134" s="687"/>
      <c r="V134" s="687"/>
      <c r="W134" s="687"/>
      <c r="X134" s="687"/>
      <c r="Y134" s="687"/>
      <c r="Z134" s="687"/>
    </row>
    <row r="135" customHeight="1" spans="1:26">
      <c r="A135" s="686"/>
      <c r="B135" s="686"/>
      <c r="C135" s="686"/>
      <c r="D135" s="687"/>
      <c r="E135" s="687"/>
      <c r="F135" s="687"/>
      <c r="G135" s="687"/>
      <c r="H135" s="687"/>
      <c r="I135" s="687"/>
      <c r="J135" s="687"/>
      <c r="K135" s="687"/>
      <c r="L135" s="687"/>
      <c r="M135" s="687"/>
      <c r="N135" s="687"/>
      <c r="O135" s="687"/>
      <c r="P135" s="687"/>
      <c r="Q135" s="687"/>
      <c r="R135" s="687"/>
      <c r="S135" s="687"/>
      <c r="T135" s="687"/>
      <c r="U135" s="687"/>
      <c r="V135" s="687"/>
      <c r="W135" s="687"/>
      <c r="X135" s="687"/>
      <c r="Y135" s="687"/>
      <c r="Z135" s="687"/>
    </row>
    <row r="136" customHeight="1" spans="1:26">
      <c r="A136" s="686"/>
      <c r="B136" s="686"/>
      <c r="C136" s="686"/>
      <c r="D136" s="687"/>
      <c r="E136" s="687"/>
      <c r="F136" s="687"/>
      <c r="G136" s="687"/>
      <c r="H136" s="687"/>
      <c r="I136" s="687"/>
      <c r="J136" s="687"/>
      <c r="K136" s="687"/>
      <c r="L136" s="687"/>
      <c r="M136" s="687"/>
      <c r="N136" s="687"/>
      <c r="O136" s="687"/>
      <c r="P136" s="687"/>
      <c r="Q136" s="687"/>
      <c r="R136" s="687"/>
      <c r="S136" s="687"/>
      <c r="T136" s="687"/>
      <c r="U136" s="687"/>
      <c r="V136" s="687"/>
      <c r="W136" s="687"/>
      <c r="X136" s="687"/>
      <c r="Y136" s="687"/>
      <c r="Z136" s="687"/>
    </row>
    <row r="137" customHeight="1" spans="1:26">
      <c r="A137" s="686"/>
      <c r="B137" s="686"/>
      <c r="C137" s="686"/>
      <c r="D137" s="687"/>
      <c r="E137" s="687"/>
      <c r="F137" s="687"/>
      <c r="G137" s="687"/>
      <c r="H137" s="687"/>
      <c r="I137" s="687"/>
      <c r="J137" s="687"/>
      <c r="K137" s="687"/>
      <c r="L137" s="687"/>
      <c r="M137" s="687"/>
      <c r="N137" s="687"/>
      <c r="O137" s="687"/>
      <c r="P137" s="687"/>
      <c r="Q137" s="687"/>
      <c r="R137" s="687"/>
      <c r="S137" s="687"/>
      <c r="T137" s="687"/>
      <c r="U137" s="687"/>
      <c r="V137" s="687"/>
      <c r="W137" s="687"/>
      <c r="X137" s="687"/>
      <c r="Y137" s="687"/>
      <c r="Z137" s="687"/>
    </row>
    <row r="138" customHeight="1" spans="1:26">
      <c r="A138" s="686"/>
      <c r="B138" s="686"/>
      <c r="C138" s="686"/>
      <c r="D138" s="687"/>
      <c r="E138" s="687"/>
      <c r="F138" s="687"/>
      <c r="G138" s="687"/>
      <c r="H138" s="687"/>
      <c r="I138" s="687"/>
      <c r="J138" s="687"/>
      <c r="K138" s="687"/>
      <c r="L138" s="687"/>
      <c r="M138" s="687"/>
      <c r="N138" s="687"/>
      <c r="O138" s="687"/>
      <c r="P138" s="687"/>
      <c r="Q138" s="687"/>
      <c r="R138" s="687"/>
      <c r="S138" s="687"/>
      <c r="T138" s="687"/>
      <c r="U138" s="687"/>
      <c r="V138" s="687"/>
      <c r="W138" s="687"/>
      <c r="X138" s="687"/>
      <c r="Y138" s="687"/>
      <c r="Z138" s="687"/>
    </row>
    <row r="139" customHeight="1" spans="1:26">
      <c r="A139" s="686"/>
      <c r="B139" s="686"/>
      <c r="C139" s="686"/>
      <c r="D139" s="687"/>
      <c r="E139" s="687"/>
      <c r="F139" s="687"/>
      <c r="G139" s="687"/>
      <c r="H139" s="687"/>
      <c r="I139" s="687"/>
      <c r="J139" s="687"/>
      <c r="K139" s="687"/>
      <c r="L139" s="687"/>
      <c r="M139" s="687"/>
      <c r="N139" s="687"/>
      <c r="O139" s="687"/>
      <c r="P139" s="687"/>
      <c r="Q139" s="687"/>
      <c r="R139" s="687"/>
      <c r="S139" s="687"/>
      <c r="T139" s="687"/>
      <c r="U139" s="687"/>
      <c r="V139" s="687"/>
      <c r="W139" s="687"/>
      <c r="X139" s="687"/>
      <c r="Y139" s="687"/>
      <c r="Z139" s="687"/>
    </row>
    <row r="140" customHeight="1" spans="1:26">
      <c r="A140" s="686"/>
      <c r="B140" s="686"/>
      <c r="C140" s="686"/>
      <c r="D140" s="687"/>
      <c r="E140" s="687"/>
      <c r="F140" s="687"/>
      <c r="G140" s="687"/>
      <c r="H140" s="687"/>
      <c r="I140" s="687"/>
      <c r="J140" s="687"/>
      <c r="K140" s="687"/>
      <c r="L140" s="687"/>
      <c r="M140" s="687"/>
      <c r="N140" s="687"/>
      <c r="O140" s="687"/>
      <c r="P140" s="687"/>
      <c r="Q140" s="687"/>
      <c r="R140" s="687"/>
      <c r="S140" s="687"/>
      <c r="T140" s="687"/>
      <c r="U140" s="687"/>
      <c r="V140" s="687"/>
      <c r="W140" s="687"/>
      <c r="X140" s="687"/>
      <c r="Y140" s="687"/>
      <c r="Z140" s="687"/>
    </row>
    <row r="141" customHeight="1" spans="1:26">
      <c r="A141" s="686"/>
      <c r="B141" s="686"/>
      <c r="C141" s="686"/>
      <c r="D141" s="687"/>
      <c r="E141" s="687"/>
      <c r="F141" s="687"/>
      <c r="G141" s="687"/>
      <c r="H141" s="687"/>
      <c r="I141" s="687"/>
      <c r="J141" s="687"/>
      <c r="K141" s="687"/>
      <c r="L141" s="687"/>
      <c r="M141" s="687"/>
      <c r="N141" s="687"/>
      <c r="O141" s="687"/>
      <c r="P141" s="687"/>
      <c r="Q141" s="687"/>
      <c r="R141" s="687"/>
      <c r="S141" s="687"/>
      <c r="T141" s="687"/>
      <c r="U141" s="687"/>
      <c r="V141" s="687"/>
      <c r="W141" s="687"/>
      <c r="X141" s="687"/>
      <c r="Y141" s="687"/>
      <c r="Z141" s="687"/>
    </row>
    <row r="142" customHeight="1" spans="1:26">
      <c r="A142" s="686"/>
      <c r="B142" s="686"/>
      <c r="C142" s="686"/>
      <c r="D142" s="687"/>
      <c r="E142" s="687"/>
      <c r="F142" s="687"/>
      <c r="G142" s="687"/>
      <c r="H142" s="687"/>
      <c r="I142" s="687"/>
      <c r="J142" s="687"/>
      <c r="K142" s="687"/>
      <c r="L142" s="687"/>
      <c r="M142" s="687"/>
      <c r="N142" s="687"/>
      <c r="O142" s="687"/>
      <c r="P142" s="687"/>
      <c r="Q142" s="687"/>
      <c r="R142" s="687"/>
      <c r="S142" s="687"/>
      <c r="T142" s="687"/>
      <c r="U142" s="687"/>
      <c r="V142" s="687"/>
      <c r="W142" s="687"/>
      <c r="X142" s="687"/>
      <c r="Y142" s="687"/>
      <c r="Z142" s="687"/>
    </row>
    <row r="143" customHeight="1" spans="1:26">
      <c r="A143" s="686"/>
      <c r="B143" s="686"/>
      <c r="C143" s="686"/>
      <c r="D143" s="687"/>
      <c r="E143" s="687"/>
      <c r="F143" s="687"/>
      <c r="G143" s="687"/>
      <c r="H143" s="687"/>
      <c r="I143" s="687"/>
      <c r="J143" s="687"/>
      <c r="K143" s="687"/>
      <c r="L143" s="687"/>
      <c r="M143" s="687"/>
      <c r="N143" s="687"/>
      <c r="O143" s="687"/>
      <c r="P143" s="687"/>
      <c r="Q143" s="687"/>
      <c r="R143" s="687"/>
      <c r="S143" s="687"/>
      <c r="T143" s="687"/>
      <c r="U143" s="687"/>
      <c r="V143" s="687"/>
      <c r="W143" s="687"/>
      <c r="X143" s="687"/>
      <c r="Y143" s="687"/>
      <c r="Z143" s="687"/>
    </row>
    <row r="144" customHeight="1" spans="1:26">
      <c r="A144" s="686"/>
      <c r="B144" s="686"/>
      <c r="C144" s="686"/>
      <c r="D144" s="687"/>
      <c r="E144" s="687"/>
      <c r="F144" s="687"/>
      <c r="G144" s="687"/>
      <c r="H144" s="687"/>
      <c r="I144" s="687"/>
      <c r="J144" s="687"/>
      <c r="K144" s="687"/>
      <c r="L144" s="687"/>
      <c r="M144" s="687"/>
      <c r="N144" s="687"/>
      <c r="O144" s="687"/>
      <c r="P144" s="687"/>
      <c r="Q144" s="687"/>
      <c r="R144" s="687"/>
      <c r="S144" s="687"/>
      <c r="T144" s="687"/>
      <c r="U144" s="687"/>
      <c r="V144" s="687"/>
      <c r="W144" s="687"/>
      <c r="X144" s="687"/>
      <c r="Y144" s="687"/>
      <c r="Z144" s="687"/>
    </row>
    <row r="145" customHeight="1" spans="1:26">
      <c r="A145" s="686"/>
      <c r="B145" s="686"/>
      <c r="C145" s="686"/>
      <c r="D145" s="687"/>
      <c r="E145" s="687"/>
      <c r="F145" s="687"/>
      <c r="G145" s="687"/>
      <c r="H145" s="687"/>
      <c r="I145" s="687"/>
      <c r="J145" s="687"/>
      <c r="K145" s="687"/>
      <c r="L145" s="687"/>
      <c r="M145" s="687"/>
      <c r="N145" s="687"/>
      <c r="O145" s="687"/>
      <c r="P145" s="687"/>
      <c r="Q145" s="687"/>
      <c r="R145" s="687"/>
      <c r="S145" s="687"/>
      <c r="T145" s="687"/>
      <c r="U145" s="687"/>
      <c r="V145" s="687"/>
      <c r="W145" s="687"/>
      <c r="X145" s="687"/>
      <c r="Y145" s="687"/>
      <c r="Z145" s="687"/>
    </row>
    <row r="146" customHeight="1" spans="1:26">
      <c r="A146" s="686"/>
      <c r="B146" s="686"/>
      <c r="C146" s="686"/>
      <c r="D146" s="687"/>
      <c r="E146" s="687"/>
      <c r="F146" s="687"/>
      <c r="G146" s="687"/>
      <c r="H146" s="687"/>
      <c r="I146" s="687"/>
      <c r="J146" s="687"/>
      <c r="K146" s="687"/>
      <c r="L146" s="687"/>
      <c r="M146" s="687"/>
      <c r="N146" s="687"/>
      <c r="O146" s="687"/>
      <c r="P146" s="687"/>
      <c r="Q146" s="687"/>
      <c r="R146" s="687"/>
      <c r="S146" s="687"/>
      <c r="T146" s="687"/>
      <c r="U146" s="687"/>
      <c r="V146" s="687"/>
      <c r="W146" s="687"/>
      <c r="X146" s="687"/>
      <c r="Y146" s="687"/>
      <c r="Z146" s="687"/>
    </row>
    <row r="147" customHeight="1" spans="1:26">
      <c r="A147" s="686"/>
      <c r="B147" s="686"/>
      <c r="C147" s="686"/>
      <c r="D147" s="687"/>
      <c r="E147" s="687"/>
      <c r="F147" s="687"/>
      <c r="G147" s="687"/>
      <c r="H147" s="687"/>
      <c r="I147" s="687"/>
      <c r="J147" s="687"/>
      <c r="K147" s="687"/>
      <c r="L147" s="687"/>
      <c r="M147" s="687"/>
      <c r="N147" s="687"/>
      <c r="O147" s="687"/>
      <c r="P147" s="687"/>
      <c r="Q147" s="687"/>
      <c r="R147" s="687"/>
      <c r="S147" s="687"/>
      <c r="T147" s="687"/>
      <c r="U147" s="687"/>
      <c r="V147" s="687"/>
      <c r="W147" s="687"/>
      <c r="X147" s="687"/>
      <c r="Y147" s="687"/>
      <c r="Z147" s="687"/>
    </row>
    <row r="148" customHeight="1" spans="1:26">
      <c r="A148" s="686"/>
      <c r="B148" s="686"/>
      <c r="C148" s="686"/>
      <c r="D148" s="687"/>
      <c r="E148" s="687"/>
      <c r="F148" s="687"/>
      <c r="G148" s="687"/>
      <c r="H148" s="687"/>
      <c r="I148" s="687"/>
      <c r="J148" s="687"/>
      <c r="K148" s="687"/>
      <c r="L148" s="687"/>
      <c r="M148" s="687"/>
      <c r="N148" s="687"/>
      <c r="O148" s="687"/>
      <c r="P148" s="687"/>
      <c r="Q148" s="687"/>
      <c r="R148" s="687"/>
      <c r="S148" s="687"/>
      <c r="T148" s="687"/>
      <c r="U148" s="687"/>
      <c r="V148" s="687"/>
      <c r="W148" s="687"/>
      <c r="X148" s="687"/>
      <c r="Y148" s="687"/>
      <c r="Z148" s="687"/>
    </row>
    <row r="149" customHeight="1" spans="1:26">
      <c r="A149" s="686"/>
      <c r="B149" s="686"/>
      <c r="C149" s="686"/>
      <c r="D149" s="687"/>
      <c r="E149" s="687"/>
      <c r="F149" s="687"/>
      <c r="G149" s="687"/>
      <c r="H149" s="687"/>
      <c r="I149" s="687"/>
      <c r="J149" s="687"/>
      <c r="K149" s="687"/>
      <c r="L149" s="687"/>
      <c r="M149" s="687"/>
      <c r="N149" s="687"/>
      <c r="O149" s="687"/>
      <c r="P149" s="687"/>
      <c r="Q149" s="687"/>
      <c r="R149" s="687"/>
      <c r="S149" s="687"/>
      <c r="T149" s="687"/>
      <c r="U149" s="687"/>
      <c r="V149" s="687"/>
      <c r="W149" s="687"/>
      <c r="X149" s="687"/>
      <c r="Y149" s="687"/>
      <c r="Z149" s="687"/>
    </row>
    <row r="150" customHeight="1" spans="1:26">
      <c r="A150" s="686"/>
      <c r="B150" s="686"/>
      <c r="C150" s="686"/>
      <c r="D150" s="687"/>
      <c r="E150" s="687"/>
      <c r="F150" s="687"/>
      <c r="G150" s="687"/>
      <c r="H150" s="687"/>
      <c r="I150" s="687"/>
      <c r="J150" s="687"/>
      <c r="K150" s="687"/>
      <c r="L150" s="687"/>
      <c r="M150" s="687"/>
      <c r="N150" s="687"/>
      <c r="O150" s="687"/>
      <c r="P150" s="687"/>
      <c r="Q150" s="687"/>
      <c r="R150" s="687"/>
      <c r="S150" s="687"/>
      <c r="T150" s="687"/>
      <c r="U150" s="687"/>
      <c r="V150" s="687"/>
      <c r="W150" s="687"/>
      <c r="X150" s="687"/>
      <c r="Y150" s="687"/>
      <c r="Z150" s="687"/>
    </row>
    <row r="151" customHeight="1" spans="1:26">
      <c r="A151" s="686"/>
      <c r="B151" s="686"/>
      <c r="C151" s="686"/>
      <c r="D151" s="687"/>
      <c r="E151" s="687"/>
      <c r="F151" s="687"/>
      <c r="G151" s="687"/>
      <c r="H151" s="687"/>
      <c r="I151" s="687"/>
      <c r="J151" s="687"/>
      <c r="K151" s="687"/>
      <c r="L151" s="687"/>
      <c r="M151" s="687"/>
      <c r="N151" s="687"/>
      <c r="O151" s="687"/>
      <c r="P151" s="687"/>
      <c r="Q151" s="687"/>
      <c r="R151" s="687"/>
      <c r="S151" s="687"/>
      <c r="T151" s="687"/>
      <c r="U151" s="687"/>
      <c r="V151" s="687"/>
      <c r="W151" s="687"/>
      <c r="X151" s="687"/>
      <c r="Y151" s="687"/>
      <c r="Z151" s="687"/>
    </row>
    <row r="152" customHeight="1" spans="1:26">
      <c r="A152" s="686"/>
      <c r="B152" s="686"/>
      <c r="C152" s="686"/>
      <c r="D152" s="687"/>
      <c r="E152" s="687"/>
      <c r="F152" s="687"/>
      <c r="G152" s="687"/>
      <c r="H152" s="687"/>
      <c r="I152" s="687"/>
      <c r="J152" s="687"/>
      <c r="K152" s="687"/>
      <c r="L152" s="687"/>
      <c r="M152" s="687"/>
      <c r="N152" s="687"/>
      <c r="O152" s="687"/>
      <c r="P152" s="687"/>
      <c r="Q152" s="687"/>
      <c r="R152" s="687"/>
      <c r="S152" s="687"/>
      <c r="T152" s="687"/>
      <c r="U152" s="687"/>
      <c r="V152" s="687"/>
      <c r="W152" s="687"/>
      <c r="X152" s="687"/>
      <c r="Y152" s="687"/>
      <c r="Z152" s="687"/>
    </row>
    <row r="153" customHeight="1" spans="1:26">
      <c r="A153" s="686"/>
      <c r="B153" s="686"/>
      <c r="C153" s="686"/>
      <c r="D153" s="687"/>
      <c r="E153" s="687"/>
      <c r="F153" s="687"/>
      <c r="G153" s="687"/>
      <c r="H153" s="687"/>
      <c r="I153" s="687"/>
      <c r="J153" s="687"/>
      <c r="K153" s="687"/>
      <c r="L153" s="687"/>
      <c r="M153" s="687"/>
      <c r="N153" s="687"/>
      <c r="O153" s="687"/>
      <c r="P153" s="687"/>
      <c r="Q153" s="687"/>
      <c r="R153" s="687"/>
      <c r="S153" s="687"/>
      <c r="T153" s="687"/>
      <c r="U153" s="687"/>
      <c r="V153" s="687"/>
      <c r="W153" s="687"/>
      <c r="X153" s="687"/>
      <c r="Y153" s="687"/>
      <c r="Z153" s="687"/>
    </row>
    <row r="154" customHeight="1" spans="1:26">
      <c r="A154" s="686"/>
      <c r="B154" s="686"/>
      <c r="C154" s="686"/>
      <c r="D154" s="687"/>
      <c r="E154" s="687"/>
      <c r="F154" s="687"/>
      <c r="G154" s="687"/>
      <c r="H154" s="687"/>
      <c r="I154" s="687"/>
      <c r="J154" s="687"/>
      <c r="K154" s="687"/>
      <c r="L154" s="687"/>
      <c r="M154" s="687"/>
      <c r="N154" s="687"/>
      <c r="O154" s="687"/>
      <c r="P154" s="687"/>
      <c r="Q154" s="687"/>
      <c r="R154" s="687"/>
      <c r="S154" s="687"/>
      <c r="T154" s="687"/>
      <c r="U154" s="687"/>
      <c r="V154" s="687"/>
      <c r="W154" s="687"/>
      <c r="X154" s="687"/>
      <c r="Y154" s="687"/>
      <c r="Z154" s="687"/>
    </row>
    <row r="155" customHeight="1" spans="1:26">
      <c r="A155" s="686"/>
      <c r="B155" s="686"/>
      <c r="C155" s="686"/>
      <c r="D155" s="687"/>
      <c r="E155" s="687"/>
      <c r="F155" s="687"/>
      <c r="G155" s="687"/>
      <c r="H155" s="687"/>
      <c r="I155" s="687"/>
      <c r="J155" s="687"/>
      <c r="K155" s="687"/>
      <c r="L155" s="687"/>
      <c r="M155" s="687"/>
      <c r="N155" s="687"/>
      <c r="O155" s="687"/>
      <c r="P155" s="687"/>
      <c r="Q155" s="687"/>
      <c r="R155" s="687"/>
      <c r="S155" s="687"/>
      <c r="T155" s="687"/>
      <c r="U155" s="687"/>
      <c r="V155" s="687"/>
      <c r="W155" s="687"/>
      <c r="X155" s="687"/>
      <c r="Y155" s="687"/>
      <c r="Z155" s="687"/>
    </row>
    <row r="156" customHeight="1" spans="1:26">
      <c r="A156" s="686"/>
      <c r="B156" s="686"/>
      <c r="C156" s="686"/>
      <c r="D156" s="687"/>
      <c r="E156" s="687"/>
      <c r="F156" s="687"/>
      <c r="G156" s="687"/>
      <c r="H156" s="687"/>
      <c r="I156" s="687"/>
      <c r="J156" s="687"/>
      <c r="K156" s="687"/>
      <c r="L156" s="687"/>
      <c r="M156" s="687"/>
      <c r="N156" s="687"/>
      <c r="O156" s="687"/>
      <c r="P156" s="687"/>
      <c r="Q156" s="687"/>
      <c r="R156" s="687"/>
      <c r="S156" s="687"/>
      <c r="T156" s="687"/>
      <c r="U156" s="687"/>
      <c r="V156" s="687"/>
      <c r="W156" s="687"/>
      <c r="X156" s="687"/>
      <c r="Y156" s="687"/>
      <c r="Z156" s="687"/>
    </row>
    <row r="157" customHeight="1" spans="1:26">
      <c r="A157" s="686"/>
      <c r="B157" s="686"/>
      <c r="C157" s="686"/>
      <c r="D157" s="687"/>
      <c r="E157" s="687"/>
      <c r="F157" s="687"/>
      <c r="G157" s="687"/>
      <c r="H157" s="687"/>
      <c r="I157" s="687"/>
      <c r="J157" s="687"/>
      <c r="K157" s="687"/>
      <c r="L157" s="687"/>
      <c r="M157" s="687"/>
      <c r="N157" s="687"/>
      <c r="O157" s="687"/>
      <c r="P157" s="687"/>
      <c r="Q157" s="687"/>
      <c r="R157" s="687"/>
      <c r="S157" s="687"/>
      <c r="T157" s="687"/>
      <c r="U157" s="687"/>
      <c r="V157" s="687"/>
      <c r="W157" s="687"/>
      <c r="X157" s="687"/>
      <c r="Y157" s="687"/>
      <c r="Z157" s="687"/>
    </row>
    <row r="158" customHeight="1" spans="1:26">
      <c r="A158" s="686"/>
      <c r="B158" s="686"/>
      <c r="C158" s="686"/>
      <c r="D158" s="687"/>
      <c r="E158" s="687"/>
      <c r="F158" s="687"/>
      <c r="G158" s="687"/>
      <c r="H158" s="687"/>
      <c r="I158" s="687"/>
      <c r="J158" s="687"/>
      <c r="K158" s="687"/>
      <c r="L158" s="687"/>
      <c r="M158" s="687"/>
      <c r="N158" s="687"/>
      <c r="O158" s="687"/>
      <c r="P158" s="687"/>
      <c r="Q158" s="687"/>
      <c r="R158" s="687"/>
      <c r="S158" s="687"/>
      <c r="T158" s="687"/>
      <c r="U158" s="687"/>
      <c r="V158" s="687"/>
      <c r="W158" s="687"/>
      <c r="X158" s="687"/>
      <c r="Y158" s="687"/>
      <c r="Z158" s="687"/>
    </row>
    <row r="159" customHeight="1" spans="1:26">
      <c r="A159" s="686"/>
      <c r="B159" s="686"/>
      <c r="C159" s="686"/>
      <c r="D159" s="687"/>
      <c r="E159" s="687"/>
      <c r="F159" s="687"/>
      <c r="G159" s="687"/>
      <c r="H159" s="687"/>
      <c r="I159" s="687"/>
      <c r="J159" s="687"/>
      <c r="K159" s="687"/>
      <c r="L159" s="687"/>
      <c r="M159" s="687"/>
      <c r="N159" s="687"/>
      <c r="O159" s="687"/>
      <c r="P159" s="687"/>
      <c r="Q159" s="687"/>
      <c r="R159" s="687"/>
      <c r="S159" s="687"/>
      <c r="T159" s="687"/>
      <c r="U159" s="687"/>
      <c r="V159" s="687"/>
      <c r="W159" s="687"/>
      <c r="X159" s="687"/>
      <c r="Y159" s="687"/>
      <c r="Z159" s="687"/>
    </row>
    <row r="160" customHeight="1" spans="1:26">
      <c r="A160" s="686"/>
      <c r="B160" s="686"/>
      <c r="C160" s="686"/>
      <c r="D160" s="687"/>
      <c r="E160" s="687"/>
      <c r="F160" s="687"/>
      <c r="G160" s="687"/>
      <c r="H160" s="687"/>
      <c r="I160" s="687"/>
      <c r="J160" s="687"/>
      <c r="K160" s="687"/>
      <c r="L160" s="687"/>
      <c r="M160" s="687"/>
      <c r="N160" s="687"/>
      <c r="O160" s="687"/>
      <c r="P160" s="687"/>
      <c r="Q160" s="687"/>
      <c r="R160" s="687"/>
      <c r="S160" s="687"/>
      <c r="T160" s="687"/>
      <c r="U160" s="687"/>
      <c r="V160" s="687"/>
      <c r="W160" s="687"/>
      <c r="X160" s="687"/>
      <c r="Y160" s="687"/>
      <c r="Z160" s="687"/>
    </row>
    <row r="161" customHeight="1" spans="1:26">
      <c r="A161" s="686"/>
      <c r="B161" s="686"/>
      <c r="C161" s="686"/>
      <c r="D161" s="687"/>
      <c r="E161" s="687"/>
      <c r="F161" s="687"/>
      <c r="G161" s="687"/>
      <c r="H161" s="687"/>
      <c r="I161" s="687"/>
      <c r="J161" s="687"/>
      <c r="K161" s="687"/>
      <c r="L161" s="687"/>
      <c r="M161" s="687"/>
      <c r="N161" s="687"/>
      <c r="O161" s="687"/>
      <c r="P161" s="687"/>
      <c r="Q161" s="687"/>
      <c r="R161" s="687"/>
      <c r="S161" s="687"/>
      <c r="T161" s="687"/>
      <c r="U161" s="687"/>
      <c r="V161" s="687"/>
      <c r="W161" s="687"/>
      <c r="X161" s="687"/>
      <c r="Y161" s="687"/>
      <c r="Z161" s="687"/>
    </row>
    <row r="162" customHeight="1" spans="1:26">
      <c r="A162" s="686"/>
      <c r="B162" s="686"/>
      <c r="C162" s="686"/>
      <c r="D162" s="687"/>
      <c r="E162" s="687"/>
      <c r="F162" s="687"/>
      <c r="G162" s="687"/>
      <c r="H162" s="687"/>
      <c r="I162" s="687"/>
      <c r="J162" s="687"/>
      <c r="K162" s="687"/>
      <c r="L162" s="687"/>
      <c r="M162" s="687"/>
      <c r="N162" s="687"/>
      <c r="O162" s="687"/>
      <c r="P162" s="687"/>
      <c r="Q162" s="687"/>
      <c r="R162" s="687"/>
      <c r="S162" s="687"/>
      <c r="T162" s="687"/>
      <c r="U162" s="687"/>
      <c r="V162" s="687"/>
      <c r="W162" s="687"/>
      <c r="X162" s="687"/>
      <c r="Y162" s="687"/>
      <c r="Z162" s="687"/>
    </row>
    <row r="163" customHeight="1" spans="1:26">
      <c r="A163" s="686"/>
      <c r="B163" s="686"/>
      <c r="C163" s="686"/>
      <c r="D163" s="687"/>
      <c r="E163" s="687"/>
      <c r="F163" s="687"/>
      <c r="G163" s="687"/>
      <c r="H163" s="687"/>
      <c r="I163" s="687"/>
      <c r="J163" s="687"/>
      <c r="K163" s="687"/>
      <c r="L163" s="687"/>
      <c r="M163" s="687"/>
      <c r="N163" s="687"/>
      <c r="O163" s="687"/>
      <c r="P163" s="687"/>
      <c r="Q163" s="687"/>
      <c r="R163" s="687"/>
      <c r="S163" s="687"/>
      <c r="T163" s="687"/>
      <c r="U163" s="687"/>
      <c r="V163" s="687"/>
      <c r="W163" s="687"/>
      <c r="X163" s="687"/>
      <c r="Y163" s="687"/>
      <c r="Z163" s="687"/>
    </row>
    <row r="164" customHeight="1" spans="1:26">
      <c r="A164" s="686"/>
      <c r="B164" s="686"/>
      <c r="C164" s="686"/>
      <c r="D164" s="687"/>
      <c r="E164" s="687"/>
      <c r="F164" s="687"/>
      <c r="G164" s="687"/>
      <c r="H164" s="687"/>
      <c r="I164" s="687"/>
      <c r="J164" s="687"/>
      <c r="K164" s="687"/>
      <c r="L164" s="687"/>
      <c r="M164" s="687"/>
      <c r="N164" s="687"/>
      <c r="O164" s="687"/>
      <c r="P164" s="687"/>
      <c r="Q164" s="687"/>
      <c r="R164" s="687"/>
      <c r="S164" s="687"/>
      <c r="T164" s="687"/>
      <c r="U164" s="687"/>
      <c r="V164" s="687"/>
      <c r="W164" s="687"/>
      <c r="X164" s="687"/>
      <c r="Y164" s="687"/>
      <c r="Z164" s="687"/>
    </row>
    <row r="165" customHeight="1" spans="1:26">
      <c r="A165" s="686"/>
      <c r="B165" s="686"/>
      <c r="C165" s="686"/>
      <c r="D165" s="687"/>
      <c r="E165" s="687"/>
      <c r="F165" s="687"/>
      <c r="G165" s="687"/>
      <c r="H165" s="687"/>
      <c r="I165" s="687"/>
      <c r="J165" s="687"/>
      <c r="K165" s="687"/>
      <c r="L165" s="687"/>
      <c r="M165" s="687"/>
      <c r="N165" s="687"/>
      <c r="O165" s="687"/>
      <c r="P165" s="687"/>
      <c r="Q165" s="687"/>
      <c r="R165" s="687"/>
      <c r="S165" s="687"/>
      <c r="T165" s="687"/>
      <c r="U165" s="687"/>
      <c r="V165" s="687"/>
      <c r="W165" s="687"/>
      <c r="X165" s="687"/>
      <c r="Y165" s="687"/>
      <c r="Z165" s="687"/>
    </row>
    <row r="166" customHeight="1" spans="1:26">
      <c r="A166" s="686"/>
      <c r="B166" s="686"/>
      <c r="C166" s="686"/>
      <c r="D166" s="687"/>
      <c r="E166" s="687"/>
      <c r="F166" s="687"/>
      <c r="G166" s="687"/>
      <c r="H166" s="687"/>
      <c r="I166" s="687"/>
      <c r="J166" s="687"/>
      <c r="K166" s="687"/>
      <c r="L166" s="687"/>
      <c r="M166" s="687"/>
      <c r="N166" s="687"/>
      <c r="O166" s="687"/>
      <c r="P166" s="687"/>
      <c r="Q166" s="687"/>
      <c r="R166" s="687"/>
      <c r="S166" s="687"/>
      <c r="T166" s="687"/>
      <c r="U166" s="687"/>
      <c r="V166" s="687"/>
      <c r="W166" s="687"/>
      <c r="X166" s="687"/>
      <c r="Y166" s="687"/>
      <c r="Z166" s="687"/>
    </row>
    <row r="167" customHeight="1" spans="1:26">
      <c r="A167" s="686"/>
      <c r="B167" s="686"/>
      <c r="C167" s="686"/>
      <c r="D167" s="687"/>
      <c r="E167" s="687"/>
      <c r="F167" s="687"/>
      <c r="G167" s="687"/>
      <c r="H167" s="687"/>
      <c r="I167" s="687"/>
      <c r="J167" s="687"/>
      <c r="K167" s="687"/>
      <c r="L167" s="687"/>
      <c r="M167" s="687"/>
      <c r="N167" s="687"/>
      <c r="O167" s="687"/>
      <c r="P167" s="687"/>
      <c r="Q167" s="687"/>
      <c r="R167" s="687"/>
      <c r="S167" s="687"/>
      <c r="T167" s="687"/>
      <c r="U167" s="687"/>
      <c r="V167" s="687"/>
      <c r="W167" s="687"/>
      <c r="X167" s="687"/>
      <c r="Y167" s="687"/>
      <c r="Z167" s="687"/>
    </row>
    <row r="168" customHeight="1" spans="1:26">
      <c r="A168" s="686"/>
      <c r="B168" s="686"/>
      <c r="C168" s="686"/>
      <c r="D168" s="687"/>
      <c r="E168" s="687"/>
      <c r="F168" s="687"/>
      <c r="G168" s="687"/>
      <c r="H168" s="687"/>
      <c r="I168" s="687"/>
      <c r="J168" s="687"/>
      <c r="K168" s="687"/>
      <c r="L168" s="687"/>
      <c r="M168" s="687"/>
      <c r="N168" s="687"/>
      <c r="O168" s="687"/>
      <c r="P168" s="687"/>
      <c r="Q168" s="687"/>
      <c r="R168" s="687"/>
      <c r="S168" s="687"/>
      <c r="T168" s="687"/>
      <c r="U168" s="687"/>
      <c r="V168" s="687"/>
      <c r="W168" s="687"/>
      <c r="X168" s="687"/>
      <c r="Y168" s="687"/>
      <c r="Z168" s="687"/>
    </row>
    <row r="169" customHeight="1" spans="1:26">
      <c r="A169" s="686"/>
      <c r="B169" s="686"/>
      <c r="C169" s="686"/>
      <c r="D169" s="687"/>
      <c r="E169" s="687"/>
      <c r="F169" s="687"/>
      <c r="G169" s="687"/>
      <c r="H169" s="687"/>
      <c r="I169" s="687"/>
      <c r="J169" s="687"/>
      <c r="K169" s="687"/>
      <c r="L169" s="687"/>
      <c r="M169" s="687"/>
      <c r="N169" s="687"/>
      <c r="O169" s="687"/>
      <c r="P169" s="687"/>
      <c r="Q169" s="687"/>
      <c r="R169" s="687"/>
      <c r="S169" s="687"/>
      <c r="T169" s="687"/>
      <c r="U169" s="687"/>
      <c r="V169" s="687"/>
      <c r="W169" s="687"/>
      <c r="X169" s="687"/>
      <c r="Y169" s="687"/>
      <c r="Z169" s="687"/>
    </row>
    <row r="170" customHeight="1" spans="1:26">
      <c r="A170" s="686"/>
      <c r="B170" s="686"/>
      <c r="C170" s="686"/>
      <c r="D170" s="687"/>
      <c r="E170" s="687"/>
      <c r="F170" s="687"/>
      <c r="G170" s="687"/>
      <c r="H170" s="687"/>
      <c r="I170" s="687"/>
      <c r="J170" s="687"/>
      <c r="K170" s="687"/>
      <c r="L170" s="687"/>
      <c r="M170" s="687"/>
      <c r="N170" s="687"/>
      <c r="O170" s="687"/>
      <c r="P170" s="687"/>
      <c r="Q170" s="687"/>
      <c r="R170" s="687"/>
      <c r="S170" s="687"/>
      <c r="T170" s="687"/>
      <c r="U170" s="687"/>
      <c r="V170" s="687"/>
      <c r="W170" s="687"/>
      <c r="X170" s="687"/>
      <c r="Y170" s="687"/>
      <c r="Z170" s="687"/>
    </row>
    <row r="171" customHeight="1" spans="1:26">
      <c r="A171" s="686"/>
      <c r="B171" s="686"/>
      <c r="C171" s="686"/>
      <c r="D171" s="687"/>
      <c r="E171" s="687"/>
      <c r="F171" s="687"/>
      <c r="G171" s="687"/>
      <c r="H171" s="687"/>
      <c r="I171" s="687"/>
      <c r="J171" s="687"/>
      <c r="K171" s="687"/>
      <c r="L171" s="687"/>
      <c r="M171" s="687"/>
      <c r="N171" s="687"/>
      <c r="O171" s="687"/>
      <c r="P171" s="687"/>
      <c r="Q171" s="687"/>
      <c r="R171" s="687"/>
      <c r="S171" s="687"/>
      <c r="T171" s="687"/>
      <c r="U171" s="687"/>
      <c r="V171" s="687"/>
      <c r="W171" s="687"/>
      <c r="X171" s="687"/>
      <c r="Y171" s="687"/>
      <c r="Z171" s="687"/>
    </row>
    <row r="172" customHeight="1" spans="1:26">
      <c r="A172" s="686"/>
      <c r="B172" s="686"/>
      <c r="C172" s="686"/>
      <c r="D172" s="687"/>
      <c r="E172" s="687"/>
      <c r="F172" s="687"/>
      <c r="G172" s="687"/>
      <c r="H172" s="687"/>
      <c r="I172" s="687"/>
      <c r="J172" s="687"/>
      <c r="K172" s="687"/>
      <c r="L172" s="687"/>
      <c r="M172" s="687"/>
      <c r="N172" s="687"/>
      <c r="O172" s="687"/>
      <c r="P172" s="687"/>
      <c r="Q172" s="687"/>
      <c r="R172" s="687"/>
      <c r="S172" s="687"/>
      <c r="T172" s="687"/>
      <c r="U172" s="687"/>
      <c r="V172" s="687"/>
      <c r="W172" s="687"/>
      <c r="X172" s="687"/>
      <c r="Y172" s="687"/>
      <c r="Z172" s="687"/>
    </row>
    <row r="173" customHeight="1" spans="1:26">
      <c r="A173" s="686"/>
      <c r="B173" s="686"/>
      <c r="C173" s="686"/>
      <c r="D173" s="687"/>
      <c r="E173" s="687"/>
      <c r="F173" s="687"/>
      <c r="G173" s="687"/>
      <c r="H173" s="687"/>
      <c r="I173" s="687"/>
      <c r="J173" s="687"/>
      <c r="K173" s="687"/>
      <c r="L173" s="687"/>
      <c r="M173" s="687"/>
      <c r="N173" s="687"/>
      <c r="O173" s="687"/>
      <c r="P173" s="687"/>
      <c r="Q173" s="687"/>
      <c r="R173" s="687"/>
      <c r="S173" s="687"/>
      <c r="T173" s="687"/>
      <c r="U173" s="687"/>
      <c r="V173" s="687"/>
      <c r="W173" s="687"/>
      <c r="X173" s="687"/>
      <c r="Y173" s="687"/>
      <c r="Z173" s="687"/>
    </row>
    <row r="174" customHeight="1" spans="1:26">
      <c r="A174" s="686"/>
      <c r="B174" s="686"/>
      <c r="C174" s="686"/>
      <c r="D174" s="687"/>
      <c r="E174" s="687"/>
      <c r="F174" s="687"/>
      <c r="G174" s="687"/>
      <c r="H174" s="687"/>
      <c r="I174" s="687"/>
      <c r="J174" s="687"/>
      <c r="K174" s="687"/>
      <c r="L174" s="687"/>
      <c r="M174" s="687"/>
      <c r="N174" s="687"/>
      <c r="O174" s="687"/>
      <c r="P174" s="687"/>
      <c r="Q174" s="687"/>
      <c r="R174" s="687"/>
      <c r="S174" s="687"/>
      <c r="T174" s="687"/>
      <c r="U174" s="687"/>
      <c r="V174" s="687"/>
      <c r="W174" s="687"/>
      <c r="X174" s="687"/>
      <c r="Y174" s="687"/>
      <c r="Z174" s="687"/>
    </row>
    <row r="175" customHeight="1" spans="1:26">
      <c r="A175" s="686"/>
      <c r="B175" s="686"/>
      <c r="C175" s="686"/>
      <c r="D175" s="687"/>
      <c r="E175" s="687"/>
      <c r="F175" s="687"/>
      <c r="G175" s="687"/>
      <c r="H175" s="687"/>
      <c r="I175" s="687"/>
      <c r="J175" s="687"/>
      <c r="K175" s="687"/>
      <c r="L175" s="687"/>
      <c r="M175" s="687"/>
      <c r="N175" s="687"/>
      <c r="O175" s="687"/>
      <c r="P175" s="687"/>
      <c r="Q175" s="687"/>
      <c r="R175" s="687"/>
      <c r="S175" s="687"/>
      <c r="T175" s="687"/>
      <c r="U175" s="687"/>
      <c r="V175" s="687"/>
      <c r="W175" s="687"/>
      <c r="X175" s="687"/>
      <c r="Y175" s="687"/>
      <c r="Z175" s="687"/>
    </row>
    <row r="176" customHeight="1" spans="1:26">
      <c r="A176" s="686"/>
      <c r="B176" s="686"/>
      <c r="C176" s="686"/>
      <c r="D176" s="687"/>
      <c r="E176" s="687"/>
      <c r="F176" s="687"/>
      <c r="G176" s="687"/>
      <c r="H176" s="687"/>
      <c r="I176" s="687"/>
      <c r="J176" s="687"/>
      <c r="K176" s="687"/>
      <c r="L176" s="687"/>
      <c r="M176" s="687"/>
      <c r="N176" s="687"/>
      <c r="O176" s="687"/>
      <c r="P176" s="687"/>
      <c r="Q176" s="687"/>
      <c r="R176" s="687"/>
      <c r="S176" s="687"/>
      <c r="T176" s="687"/>
      <c r="U176" s="687"/>
      <c r="V176" s="687"/>
      <c r="W176" s="687"/>
      <c r="X176" s="687"/>
      <c r="Y176" s="687"/>
      <c r="Z176" s="687"/>
    </row>
    <row r="177" customHeight="1" spans="1:26">
      <c r="A177" s="686"/>
      <c r="B177" s="686"/>
      <c r="C177" s="686"/>
      <c r="D177" s="687"/>
      <c r="E177" s="687"/>
      <c r="F177" s="687"/>
      <c r="G177" s="687"/>
      <c r="H177" s="687"/>
      <c r="I177" s="687"/>
      <c r="J177" s="687"/>
      <c r="K177" s="687"/>
      <c r="L177" s="687"/>
      <c r="M177" s="687"/>
      <c r="N177" s="687"/>
      <c r="O177" s="687"/>
      <c r="P177" s="687"/>
      <c r="Q177" s="687"/>
      <c r="R177" s="687"/>
      <c r="S177" s="687"/>
      <c r="T177" s="687"/>
      <c r="U177" s="687"/>
      <c r="V177" s="687"/>
      <c r="W177" s="687"/>
      <c r="X177" s="687"/>
      <c r="Y177" s="687"/>
      <c r="Z177" s="687"/>
    </row>
    <row r="178" customHeight="1" spans="1:26">
      <c r="A178" s="686"/>
      <c r="B178" s="686"/>
      <c r="C178" s="686"/>
      <c r="D178" s="687"/>
      <c r="E178" s="687"/>
      <c r="F178" s="687"/>
      <c r="G178" s="687"/>
      <c r="H178" s="687"/>
      <c r="I178" s="687"/>
      <c r="J178" s="687"/>
      <c r="K178" s="687"/>
      <c r="L178" s="687"/>
      <c r="M178" s="687"/>
      <c r="N178" s="687"/>
      <c r="O178" s="687"/>
      <c r="P178" s="687"/>
      <c r="Q178" s="687"/>
      <c r="R178" s="687"/>
      <c r="S178" s="687"/>
      <c r="T178" s="687"/>
      <c r="U178" s="687"/>
      <c r="V178" s="687"/>
      <c r="W178" s="687"/>
      <c r="X178" s="687"/>
      <c r="Y178" s="687"/>
      <c r="Z178" s="687"/>
    </row>
    <row r="179" customHeight="1" spans="1:26">
      <c r="A179" s="686"/>
      <c r="B179" s="686"/>
      <c r="C179" s="686"/>
      <c r="D179" s="687"/>
      <c r="E179" s="687"/>
      <c r="F179" s="687"/>
      <c r="G179" s="687"/>
      <c r="H179" s="687"/>
      <c r="I179" s="687"/>
      <c r="J179" s="687"/>
      <c r="K179" s="687"/>
      <c r="L179" s="687"/>
      <c r="M179" s="687"/>
      <c r="N179" s="687"/>
      <c r="O179" s="687"/>
      <c r="P179" s="687"/>
      <c r="Q179" s="687"/>
      <c r="R179" s="687"/>
      <c r="S179" s="687"/>
      <c r="T179" s="687"/>
      <c r="U179" s="687"/>
      <c r="V179" s="687"/>
      <c r="W179" s="687"/>
      <c r="X179" s="687"/>
      <c r="Y179" s="687"/>
      <c r="Z179" s="687"/>
    </row>
    <row r="180" customHeight="1" spans="1:26">
      <c r="A180" s="686"/>
      <c r="B180" s="686"/>
      <c r="C180" s="686"/>
      <c r="D180" s="687"/>
      <c r="E180" s="687"/>
      <c r="F180" s="687"/>
      <c r="G180" s="687"/>
      <c r="H180" s="687"/>
      <c r="I180" s="687"/>
      <c r="J180" s="687"/>
      <c r="K180" s="687"/>
      <c r="L180" s="687"/>
      <c r="M180" s="687"/>
      <c r="N180" s="687"/>
      <c r="O180" s="687"/>
      <c r="P180" s="687"/>
      <c r="Q180" s="687"/>
      <c r="R180" s="687"/>
      <c r="S180" s="687"/>
      <c r="T180" s="687"/>
      <c r="U180" s="687"/>
      <c r="V180" s="687"/>
      <c r="W180" s="687"/>
      <c r="X180" s="687"/>
      <c r="Y180" s="687"/>
      <c r="Z180" s="687"/>
    </row>
    <row r="181" customHeight="1" spans="1:26">
      <c r="A181" s="686"/>
      <c r="B181" s="686"/>
      <c r="C181" s="686"/>
      <c r="D181" s="687"/>
      <c r="E181" s="687"/>
      <c r="F181" s="687"/>
      <c r="G181" s="687"/>
      <c r="H181" s="687"/>
      <c r="I181" s="687"/>
      <c r="J181" s="687"/>
      <c r="K181" s="687"/>
      <c r="L181" s="687"/>
      <c r="M181" s="687"/>
      <c r="N181" s="687"/>
      <c r="O181" s="687"/>
      <c r="P181" s="687"/>
      <c r="Q181" s="687"/>
      <c r="R181" s="687"/>
      <c r="S181" s="687"/>
      <c r="T181" s="687"/>
      <c r="U181" s="687"/>
      <c r="V181" s="687"/>
      <c r="W181" s="687"/>
      <c r="X181" s="687"/>
      <c r="Y181" s="687"/>
      <c r="Z181" s="687"/>
    </row>
    <row r="182" customHeight="1" spans="1:26">
      <c r="A182" s="686"/>
      <c r="B182" s="686"/>
      <c r="C182" s="686"/>
      <c r="D182" s="687"/>
      <c r="E182" s="687"/>
      <c r="F182" s="687"/>
      <c r="G182" s="687"/>
      <c r="H182" s="687"/>
      <c r="I182" s="687"/>
      <c r="J182" s="687"/>
      <c r="K182" s="687"/>
      <c r="L182" s="687"/>
      <c r="M182" s="687"/>
      <c r="N182" s="687"/>
      <c r="O182" s="687"/>
      <c r="P182" s="687"/>
      <c r="Q182" s="687"/>
      <c r="R182" s="687"/>
      <c r="S182" s="687"/>
      <c r="T182" s="687"/>
      <c r="U182" s="687"/>
      <c r="V182" s="687"/>
      <c r="W182" s="687"/>
      <c r="X182" s="687"/>
      <c r="Y182" s="687"/>
      <c r="Z182" s="687"/>
    </row>
    <row r="183" customHeight="1" spans="1:26">
      <c r="A183" s="686"/>
      <c r="B183" s="686"/>
      <c r="C183" s="686"/>
      <c r="D183" s="687"/>
      <c r="E183" s="687"/>
      <c r="F183" s="687"/>
      <c r="G183" s="687"/>
      <c r="H183" s="687"/>
      <c r="I183" s="687"/>
      <c r="J183" s="687"/>
      <c r="K183" s="687"/>
      <c r="L183" s="687"/>
      <c r="M183" s="687"/>
      <c r="N183" s="687"/>
      <c r="O183" s="687"/>
      <c r="P183" s="687"/>
      <c r="Q183" s="687"/>
      <c r="R183" s="687"/>
      <c r="S183" s="687"/>
      <c r="T183" s="687"/>
      <c r="U183" s="687"/>
      <c r="V183" s="687"/>
      <c r="W183" s="687"/>
      <c r="X183" s="687"/>
      <c r="Y183" s="687"/>
      <c r="Z183" s="687"/>
    </row>
    <row r="184" customHeight="1" spans="1:26">
      <c r="A184" s="686"/>
      <c r="B184" s="686"/>
      <c r="C184" s="686"/>
      <c r="D184" s="687"/>
      <c r="E184" s="687"/>
      <c r="F184" s="687"/>
      <c r="G184" s="687"/>
      <c r="H184" s="687"/>
      <c r="I184" s="687"/>
      <c r="J184" s="687"/>
      <c r="K184" s="687"/>
      <c r="L184" s="687"/>
      <c r="M184" s="687"/>
      <c r="N184" s="687"/>
      <c r="O184" s="687"/>
      <c r="P184" s="687"/>
      <c r="Q184" s="687"/>
      <c r="R184" s="687"/>
      <c r="S184" s="687"/>
      <c r="T184" s="687"/>
      <c r="U184" s="687"/>
      <c r="V184" s="687"/>
      <c r="W184" s="687"/>
      <c r="X184" s="687"/>
      <c r="Y184" s="687"/>
      <c r="Z184" s="687"/>
    </row>
    <row r="185" customHeight="1" spans="1:26">
      <c r="A185" s="686"/>
      <c r="B185" s="686"/>
      <c r="C185" s="686"/>
      <c r="D185" s="687"/>
      <c r="E185" s="687"/>
      <c r="F185" s="687"/>
      <c r="G185" s="687"/>
      <c r="H185" s="687"/>
      <c r="I185" s="687"/>
      <c r="J185" s="687"/>
      <c r="K185" s="687"/>
      <c r="L185" s="687"/>
      <c r="M185" s="687"/>
      <c r="N185" s="687"/>
      <c r="O185" s="687"/>
      <c r="P185" s="687"/>
      <c r="Q185" s="687"/>
      <c r="R185" s="687"/>
      <c r="S185" s="687"/>
      <c r="T185" s="687"/>
      <c r="U185" s="687"/>
      <c r="V185" s="687"/>
      <c r="W185" s="687"/>
      <c r="X185" s="687"/>
      <c r="Y185" s="687"/>
      <c r="Z185" s="687"/>
    </row>
    <row r="186" customHeight="1" spans="1:26">
      <c r="A186" s="686"/>
      <c r="B186" s="686"/>
      <c r="C186" s="686"/>
      <c r="D186" s="687"/>
      <c r="E186" s="687"/>
      <c r="F186" s="687"/>
      <c r="G186" s="687"/>
      <c r="H186" s="687"/>
      <c r="I186" s="687"/>
      <c r="J186" s="687"/>
      <c r="K186" s="687"/>
      <c r="L186" s="687"/>
      <c r="M186" s="687"/>
      <c r="N186" s="687"/>
      <c r="O186" s="687"/>
      <c r="P186" s="687"/>
      <c r="Q186" s="687"/>
      <c r="R186" s="687"/>
      <c r="S186" s="687"/>
      <c r="T186" s="687"/>
      <c r="U186" s="687"/>
      <c r="V186" s="687"/>
      <c r="W186" s="687"/>
      <c r="X186" s="687"/>
      <c r="Y186" s="687"/>
      <c r="Z186" s="687"/>
    </row>
    <row r="187" customHeight="1" spans="1:26">
      <c r="A187" s="686"/>
      <c r="B187" s="686"/>
      <c r="C187" s="686"/>
      <c r="D187" s="687"/>
      <c r="E187" s="687"/>
      <c r="F187" s="687"/>
      <c r="G187" s="687"/>
      <c r="H187" s="687"/>
      <c r="I187" s="687"/>
      <c r="J187" s="687"/>
      <c r="K187" s="687"/>
      <c r="L187" s="687"/>
      <c r="M187" s="687"/>
      <c r="N187" s="687"/>
      <c r="O187" s="687"/>
      <c r="P187" s="687"/>
      <c r="Q187" s="687"/>
      <c r="R187" s="687"/>
      <c r="S187" s="687"/>
      <c r="T187" s="687"/>
      <c r="U187" s="687"/>
      <c r="V187" s="687"/>
      <c r="W187" s="687"/>
      <c r="X187" s="687"/>
      <c r="Y187" s="687"/>
      <c r="Z187" s="687"/>
    </row>
    <row r="188" customHeight="1" spans="1:26">
      <c r="A188" s="686"/>
      <c r="B188" s="686"/>
      <c r="C188" s="686"/>
      <c r="D188" s="687"/>
      <c r="E188" s="687"/>
      <c r="F188" s="687"/>
      <c r="G188" s="687"/>
      <c r="H188" s="687"/>
      <c r="I188" s="687"/>
      <c r="J188" s="687"/>
      <c r="K188" s="687"/>
      <c r="L188" s="687"/>
      <c r="M188" s="687"/>
      <c r="N188" s="687"/>
      <c r="O188" s="687"/>
      <c r="P188" s="687"/>
      <c r="Q188" s="687"/>
      <c r="R188" s="687"/>
      <c r="S188" s="687"/>
      <c r="T188" s="687"/>
      <c r="U188" s="687"/>
      <c r="V188" s="687"/>
      <c r="W188" s="687"/>
      <c r="X188" s="687"/>
      <c r="Y188" s="687"/>
      <c r="Z188" s="687"/>
    </row>
    <row r="189" customHeight="1" spans="1:26">
      <c r="A189" s="686"/>
      <c r="B189" s="686"/>
      <c r="C189" s="686"/>
      <c r="D189" s="687"/>
      <c r="E189" s="687"/>
      <c r="F189" s="687"/>
      <c r="G189" s="687"/>
      <c r="H189" s="687"/>
      <c r="I189" s="687"/>
      <c r="J189" s="687"/>
      <c r="K189" s="687"/>
      <c r="L189" s="687"/>
      <c r="M189" s="687"/>
      <c r="N189" s="687"/>
      <c r="O189" s="687"/>
      <c r="P189" s="687"/>
      <c r="Q189" s="687"/>
      <c r="R189" s="687"/>
      <c r="S189" s="687"/>
      <c r="T189" s="687"/>
      <c r="U189" s="687"/>
      <c r="V189" s="687"/>
      <c r="W189" s="687"/>
      <c r="X189" s="687"/>
      <c r="Y189" s="687"/>
      <c r="Z189" s="687"/>
    </row>
    <row r="190" customHeight="1" spans="1:26">
      <c r="A190" s="686"/>
      <c r="B190" s="686"/>
      <c r="C190" s="686"/>
      <c r="D190" s="687"/>
      <c r="E190" s="687"/>
      <c r="F190" s="687"/>
      <c r="G190" s="687"/>
      <c r="H190" s="687"/>
      <c r="I190" s="687"/>
      <c r="J190" s="687"/>
      <c r="K190" s="687"/>
      <c r="L190" s="687"/>
      <c r="M190" s="687"/>
      <c r="N190" s="687"/>
      <c r="O190" s="687"/>
      <c r="P190" s="687"/>
      <c r="Q190" s="687"/>
      <c r="R190" s="687"/>
      <c r="S190" s="687"/>
      <c r="T190" s="687"/>
      <c r="U190" s="687"/>
      <c r="V190" s="687"/>
      <c r="W190" s="687"/>
      <c r="X190" s="687"/>
      <c r="Y190" s="687"/>
      <c r="Z190" s="687"/>
    </row>
    <row r="191" customHeight="1" spans="1:26">
      <c r="A191" s="686"/>
      <c r="B191" s="686"/>
      <c r="C191" s="686"/>
      <c r="D191" s="687"/>
      <c r="E191" s="687"/>
      <c r="F191" s="687"/>
      <c r="G191" s="687"/>
      <c r="H191" s="687"/>
      <c r="I191" s="687"/>
      <c r="J191" s="687"/>
      <c r="K191" s="687"/>
      <c r="L191" s="687"/>
      <c r="M191" s="687"/>
      <c r="N191" s="687"/>
      <c r="O191" s="687"/>
      <c r="P191" s="687"/>
      <c r="Q191" s="687"/>
      <c r="R191" s="687"/>
      <c r="S191" s="687"/>
      <c r="T191" s="687"/>
      <c r="U191" s="687"/>
      <c r="V191" s="687"/>
      <c r="W191" s="687"/>
      <c r="X191" s="687"/>
      <c r="Y191" s="687"/>
      <c r="Z191" s="687"/>
    </row>
    <row r="192" customHeight="1" spans="1:26">
      <c r="A192" s="686"/>
      <c r="B192" s="686"/>
      <c r="C192" s="686"/>
      <c r="D192" s="687"/>
      <c r="E192" s="687"/>
      <c r="F192" s="687"/>
      <c r="G192" s="687"/>
      <c r="H192" s="687"/>
      <c r="I192" s="687"/>
      <c r="J192" s="687"/>
      <c r="K192" s="687"/>
      <c r="L192" s="687"/>
      <c r="M192" s="687"/>
      <c r="N192" s="687"/>
      <c r="O192" s="687"/>
      <c r="P192" s="687"/>
      <c r="Q192" s="687"/>
      <c r="R192" s="687"/>
      <c r="S192" s="687"/>
      <c r="T192" s="687"/>
      <c r="U192" s="687"/>
      <c r="V192" s="687"/>
      <c r="W192" s="687"/>
      <c r="X192" s="687"/>
      <c r="Y192" s="687"/>
      <c r="Z192" s="687"/>
    </row>
    <row r="193" customHeight="1" spans="1:26">
      <c r="A193" s="686"/>
      <c r="B193" s="686"/>
      <c r="C193" s="686"/>
      <c r="D193" s="687"/>
      <c r="E193" s="687"/>
      <c r="F193" s="687"/>
      <c r="G193" s="687"/>
      <c r="H193" s="687"/>
      <c r="I193" s="687"/>
      <c r="J193" s="687"/>
      <c r="K193" s="687"/>
      <c r="L193" s="687"/>
      <c r="M193" s="687"/>
      <c r="N193" s="687"/>
      <c r="O193" s="687"/>
      <c r="P193" s="687"/>
      <c r="Q193" s="687"/>
      <c r="R193" s="687"/>
      <c r="S193" s="687"/>
      <c r="T193" s="687"/>
      <c r="U193" s="687"/>
      <c r="V193" s="687"/>
      <c r="W193" s="687"/>
      <c r="X193" s="687"/>
      <c r="Y193" s="687"/>
      <c r="Z193" s="687"/>
    </row>
    <row r="194" customHeight="1" spans="1:26">
      <c r="A194" s="686"/>
      <c r="B194" s="686"/>
      <c r="C194" s="686"/>
      <c r="D194" s="687"/>
      <c r="E194" s="687"/>
      <c r="F194" s="687"/>
      <c r="G194" s="687"/>
      <c r="H194" s="687"/>
      <c r="I194" s="687"/>
      <c r="J194" s="687"/>
      <c r="K194" s="687"/>
      <c r="L194" s="687"/>
      <c r="M194" s="687"/>
      <c r="N194" s="687"/>
      <c r="O194" s="687"/>
      <c r="P194" s="687"/>
      <c r="Q194" s="687"/>
      <c r="R194" s="687"/>
      <c r="S194" s="687"/>
      <c r="T194" s="687"/>
      <c r="U194" s="687"/>
      <c r="V194" s="687"/>
      <c r="W194" s="687"/>
      <c r="X194" s="687"/>
      <c r="Y194" s="687"/>
      <c r="Z194" s="687"/>
    </row>
    <row r="195" customHeight="1" spans="1:26">
      <c r="A195" s="686"/>
      <c r="B195" s="686"/>
      <c r="C195" s="686"/>
      <c r="D195" s="687"/>
      <c r="E195" s="687"/>
      <c r="F195" s="687"/>
      <c r="G195" s="687"/>
      <c r="H195" s="687"/>
      <c r="I195" s="687"/>
      <c r="J195" s="687"/>
      <c r="K195" s="687"/>
      <c r="L195" s="687"/>
      <c r="M195" s="687"/>
      <c r="N195" s="687"/>
      <c r="O195" s="687"/>
      <c r="P195" s="687"/>
      <c r="Q195" s="687"/>
      <c r="R195" s="687"/>
      <c r="S195" s="687"/>
      <c r="T195" s="687"/>
      <c r="U195" s="687"/>
      <c r="V195" s="687"/>
      <c r="W195" s="687"/>
      <c r="X195" s="687"/>
      <c r="Y195" s="687"/>
      <c r="Z195" s="687"/>
    </row>
    <row r="196" customHeight="1" spans="1:26">
      <c r="A196" s="686"/>
      <c r="B196" s="686"/>
      <c r="C196" s="686"/>
      <c r="D196" s="687"/>
      <c r="E196" s="687"/>
      <c r="F196" s="687"/>
      <c r="G196" s="687"/>
      <c r="H196" s="687"/>
      <c r="I196" s="687"/>
      <c r="J196" s="687"/>
      <c r="K196" s="687"/>
      <c r="L196" s="687"/>
      <c r="M196" s="687"/>
      <c r="N196" s="687"/>
      <c r="O196" s="687"/>
      <c r="P196" s="687"/>
      <c r="Q196" s="687"/>
      <c r="R196" s="687"/>
      <c r="S196" s="687"/>
      <c r="T196" s="687"/>
      <c r="U196" s="687"/>
      <c r="V196" s="687"/>
      <c r="W196" s="687"/>
      <c r="X196" s="687"/>
      <c r="Y196" s="687"/>
      <c r="Z196" s="687"/>
    </row>
    <row r="197" customHeight="1" spans="1:26">
      <c r="A197" s="686"/>
      <c r="B197" s="686"/>
      <c r="C197" s="686"/>
      <c r="D197" s="687"/>
      <c r="E197" s="687"/>
      <c r="F197" s="687"/>
      <c r="G197" s="687"/>
      <c r="H197" s="687"/>
      <c r="I197" s="687"/>
      <c r="J197" s="687"/>
      <c r="K197" s="687"/>
      <c r="L197" s="687"/>
      <c r="M197" s="687"/>
      <c r="N197" s="687"/>
      <c r="O197" s="687"/>
      <c r="P197" s="687"/>
      <c r="Q197" s="687"/>
      <c r="R197" s="687"/>
      <c r="S197" s="687"/>
      <c r="T197" s="687"/>
      <c r="U197" s="687"/>
      <c r="V197" s="687"/>
      <c r="W197" s="687"/>
      <c r="X197" s="687"/>
      <c r="Y197" s="687"/>
      <c r="Z197" s="687"/>
    </row>
    <row r="198" customHeight="1" spans="1:26">
      <c r="A198" s="686"/>
      <c r="B198" s="686"/>
      <c r="C198" s="686"/>
      <c r="D198" s="687"/>
      <c r="E198" s="687"/>
      <c r="F198" s="687"/>
      <c r="G198" s="687"/>
      <c r="H198" s="687"/>
      <c r="I198" s="687"/>
      <c r="J198" s="687"/>
      <c r="K198" s="687"/>
      <c r="L198" s="687"/>
      <c r="M198" s="687"/>
      <c r="N198" s="687"/>
      <c r="O198" s="687"/>
      <c r="P198" s="687"/>
      <c r="Q198" s="687"/>
      <c r="R198" s="687"/>
      <c r="S198" s="687"/>
      <c r="T198" s="687"/>
      <c r="U198" s="687"/>
      <c r="V198" s="687"/>
      <c r="W198" s="687"/>
      <c r="X198" s="687"/>
      <c r="Y198" s="687"/>
      <c r="Z198" s="687"/>
    </row>
    <row r="199" customHeight="1" spans="1:26">
      <c r="A199" s="686"/>
      <c r="B199" s="686"/>
      <c r="C199" s="686"/>
      <c r="D199" s="687"/>
      <c r="E199" s="687"/>
      <c r="F199" s="687"/>
      <c r="G199" s="687"/>
      <c r="H199" s="687"/>
      <c r="I199" s="687"/>
      <c r="J199" s="687"/>
      <c r="K199" s="687"/>
      <c r="L199" s="687"/>
      <c r="M199" s="687"/>
      <c r="N199" s="687"/>
      <c r="O199" s="687"/>
      <c r="P199" s="687"/>
      <c r="Q199" s="687"/>
      <c r="R199" s="687"/>
      <c r="S199" s="687"/>
      <c r="T199" s="687"/>
      <c r="U199" s="687"/>
      <c r="V199" s="687"/>
      <c r="W199" s="687"/>
      <c r="X199" s="687"/>
      <c r="Y199" s="687"/>
      <c r="Z199" s="687"/>
    </row>
    <row r="200" customHeight="1" spans="1:26">
      <c r="A200" s="686"/>
      <c r="B200" s="686"/>
      <c r="C200" s="686"/>
      <c r="D200" s="687"/>
      <c r="E200" s="687"/>
      <c r="F200" s="687"/>
      <c r="G200" s="687"/>
      <c r="H200" s="687"/>
      <c r="I200" s="687"/>
      <c r="J200" s="687"/>
      <c r="K200" s="687"/>
      <c r="L200" s="687"/>
      <c r="M200" s="687"/>
      <c r="N200" s="687"/>
      <c r="O200" s="687"/>
      <c r="P200" s="687"/>
      <c r="Q200" s="687"/>
      <c r="R200" s="687"/>
      <c r="S200" s="687"/>
      <c r="T200" s="687"/>
      <c r="U200" s="687"/>
      <c r="V200" s="687"/>
      <c r="W200" s="687"/>
      <c r="X200" s="687"/>
      <c r="Y200" s="687"/>
      <c r="Z200" s="687"/>
    </row>
    <row r="201" customHeight="1" spans="1:26">
      <c r="A201" s="686"/>
      <c r="B201" s="686"/>
      <c r="C201" s="686"/>
      <c r="D201" s="687"/>
      <c r="E201" s="687"/>
      <c r="F201" s="687"/>
      <c r="G201" s="687"/>
      <c r="H201" s="687"/>
      <c r="I201" s="687"/>
      <c r="J201" s="687"/>
      <c r="K201" s="687"/>
      <c r="L201" s="687"/>
      <c r="M201" s="687"/>
      <c r="N201" s="687"/>
      <c r="O201" s="687"/>
      <c r="P201" s="687"/>
      <c r="Q201" s="687"/>
      <c r="R201" s="687"/>
      <c r="S201" s="687"/>
      <c r="T201" s="687"/>
      <c r="U201" s="687"/>
      <c r="V201" s="687"/>
      <c r="W201" s="687"/>
      <c r="X201" s="687"/>
      <c r="Y201" s="687"/>
      <c r="Z201" s="687"/>
    </row>
    <row r="202" customHeight="1" spans="1:26">
      <c r="A202" s="686"/>
      <c r="B202" s="686"/>
      <c r="C202" s="686"/>
      <c r="D202" s="687"/>
      <c r="E202" s="687"/>
      <c r="F202" s="687"/>
      <c r="G202" s="687"/>
      <c r="H202" s="687"/>
      <c r="I202" s="687"/>
      <c r="J202" s="687"/>
      <c r="K202" s="687"/>
      <c r="L202" s="687"/>
      <c r="M202" s="687"/>
      <c r="N202" s="687"/>
      <c r="O202" s="687"/>
      <c r="P202" s="687"/>
      <c r="Q202" s="687"/>
      <c r="R202" s="687"/>
      <c r="S202" s="687"/>
      <c r="T202" s="687"/>
      <c r="U202" s="687"/>
      <c r="V202" s="687"/>
      <c r="W202" s="687"/>
      <c r="X202" s="687"/>
      <c r="Y202" s="687"/>
      <c r="Z202" s="687"/>
    </row>
    <row r="203" customHeight="1" spans="1:26">
      <c r="A203" s="686"/>
      <c r="B203" s="686"/>
      <c r="C203" s="686"/>
      <c r="D203" s="687"/>
      <c r="E203" s="687"/>
      <c r="F203" s="687"/>
      <c r="G203" s="687"/>
      <c r="H203" s="687"/>
      <c r="I203" s="687"/>
      <c r="J203" s="687"/>
      <c r="K203" s="687"/>
      <c r="L203" s="687"/>
      <c r="M203" s="687"/>
      <c r="N203" s="687"/>
      <c r="O203" s="687"/>
      <c r="P203" s="687"/>
      <c r="Q203" s="687"/>
      <c r="R203" s="687"/>
      <c r="S203" s="687"/>
      <c r="T203" s="687"/>
      <c r="U203" s="687"/>
      <c r="V203" s="687"/>
      <c r="W203" s="687"/>
      <c r="X203" s="687"/>
      <c r="Y203" s="687"/>
      <c r="Z203" s="687"/>
    </row>
    <row r="204" customHeight="1" spans="1:26">
      <c r="A204" s="686"/>
      <c r="B204" s="686"/>
      <c r="C204" s="686"/>
      <c r="D204" s="687"/>
      <c r="E204" s="687"/>
      <c r="F204" s="687"/>
      <c r="G204" s="687"/>
      <c r="H204" s="687"/>
      <c r="I204" s="687"/>
      <c r="J204" s="687"/>
      <c r="K204" s="687"/>
      <c r="L204" s="687"/>
      <c r="M204" s="687"/>
      <c r="N204" s="687"/>
      <c r="O204" s="687"/>
      <c r="P204" s="687"/>
      <c r="Q204" s="687"/>
      <c r="R204" s="687"/>
      <c r="S204" s="687"/>
      <c r="T204" s="687"/>
      <c r="U204" s="687"/>
      <c r="V204" s="687"/>
      <c r="W204" s="687"/>
      <c r="X204" s="687"/>
      <c r="Y204" s="687"/>
      <c r="Z204" s="687"/>
    </row>
    <row r="205" customHeight="1" spans="1:26">
      <c r="A205" s="686"/>
      <c r="B205" s="686"/>
      <c r="C205" s="686"/>
      <c r="D205" s="687"/>
      <c r="E205" s="687"/>
      <c r="F205" s="687"/>
      <c r="G205" s="687"/>
      <c r="H205" s="687"/>
      <c r="I205" s="687"/>
      <c r="J205" s="687"/>
      <c r="K205" s="687"/>
      <c r="L205" s="687"/>
      <c r="M205" s="687"/>
      <c r="N205" s="687"/>
      <c r="O205" s="687"/>
      <c r="P205" s="687"/>
      <c r="Q205" s="687"/>
      <c r="R205" s="687"/>
      <c r="S205" s="687"/>
      <c r="T205" s="687"/>
      <c r="U205" s="687"/>
      <c r="V205" s="687"/>
      <c r="W205" s="687"/>
      <c r="X205" s="687"/>
      <c r="Y205" s="687"/>
      <c r="Z205" s="687"/>
    </row>
    <row r="206" customHeight="1" spans="1:26">
      <c r="A206" s="686"/>
      <c r="B206" s="686"/>
      <c r="C206" s="686"/>
      <c r="D206" s="687"/>
      <c r="E206" s="687"/>
      <c r="F206" s="687"/>
      <c r="G206" s="687"/>
      <c r="H206" s="687"/>
      <c r="I206" s="687"/>
      <c r="J206" s="687"/>
      <c r="K206" s="687"/>
      <c r="L206" s="687"/>
      <c r="M206" s="687"/>
      <c r="N206" s="687"/>
      <c r="O206" s="687"/>
      <c r="P206" s="687"/>
      <c r="Q206" s="687"/>
      <c r="R206" s="687"/>
      <c r="S206" s="687"/>
      <c r="T206" s="687"/>
      <c r="U206" s="687"/>
      <c r="V206" s="687"/>
      <c r="W206" s="687"/>
      <c r="X206" s="687"/>
      <c r="Y206" s="687"/>
      <c r="Z206" s="687"/>
    </row>
    <row r="207" customHeight="1" spans="1:26">
      <c r="A207" s="686"/>
      <c r="B207" s="686"/>
      <c r="C207" s="686"/>
      <c r="D207" s="687"/>
      <c r="E207" s="687"/>
      <c r="F207" s="687"/>
      <c r="G207" s="687"/>
      <c r="H207" s="687"/>
      <c r="I207" s="687"/>
      <c r="J207" s="687"/>
      <c r="K207" s="687"/>
      <c r="L207" s="687"/>
      <c r="M207" s="687"/>
      <c r="N207" s="687"/>
      <c r="O207" s="687"/>
      <c r="P207" s="687"/>
      <c r="Q207" s="687"/>
      <c r="R207" s="687"/>
      <c r="S207" s="687"/>
      <c r="T207" s="687"/>
      <c r="U207" s="687"/>
      <c r="V207" s="687"/>
      <c r="W207" s="687"/>
      <c r="X207" s="687"/>
      <c r="Y207" s="687"/>
      <c r="Z207" s="687"/>
    </row>
    <row r="208" customHeight="1" spans="1:26">
      <c r="A208" s="686"/>
      <c r="B208" s="686"/>
      <c r="C208" s="686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7"/>
      <c r="P208" s="687"/>
      <c r="Q208" s="687"/>
      <c r="R208" s="687"/>
      <c r="S208" s="687"/>
      <c r="T208" s="687"/>
      <c r="U208" s="687"/>
      <c r="V208" s="687"/>
      <c r="W208" s="687"/>
      <c r="X208" s="687"/>
      <c r="Y208" s="687"/>
      <c r="Z208" s="687"/>
    </row>
    <row r="209" customHeight="1" spans="1:26">
      <c r="A209" s="686"/>
      <c r="B209" s="686"/>
      <c r="C209" s="686"/>
      <c r="D209" s="687"/>
      <c r="E209" s="687"/>
      <c r="F209" s="687"/>
      <c r="G209" s="687"/>
      <c r="H209" s="687"/>
      <c r="I209" s="687"/>
      <c r="J209" s="687"/>
      <c r="K209" s="687"/>
      <c r="L209" s="687"/>
      <c r="M209" s="687"/>
      <c r="N209" s="687"/>
      <c r="O209" s="687"/>
      <c r="P209" s="687"/>
      <c r="Q209" s="687"/>
      <c r="R209" s="687"/>
      <c r="S209" s="687"/>
      <c r="T209" s="687"/>
      <c r="U209" s="687"/>
      <c r="V209" s="687"/>
      <c r="W209" s="687"/>
      <c r="X209" s="687"/>
      <c r="Y209" s="687"/>
      <c r="Z209" s="687"/>
    </row>
    <row r="210" customHeight="1" spans="1:26">
      <c r="A210" s="686"/>
      <c r="B210" s="686"/>
      <c r="C210" s="686"/>
      <c r="D210" s="687"/>
      <c r="E210" s="687"/>
      <c r="F210" s="687"/>
      <c r="G210" s="687"/>
      <c r="H210" s="687"/>
      <c r="I210" s="687"/>
      <c r="J210" s="687"/>
      <c r="K210" s="687"/>
      <c r="L210" s="687"/>
      <c r="M210" s="687"/>
      <c r="N210" s="687"/>
      <c r="O210" s="687"/>
      <c r="P210" s="687"/>
      <c r="Q210" s="687"/>
      <c r="R210" s="687"/>
      <c r="S210" s="687"/>
      <c r="T210" s="687"/>
      <c r="U210" s="687"/>
      <c r="V210" s="687"/>
      <c r="W210" s="687"/>
      <c r="X210" s="687"/>
      <c r="Y210" s="687"/>
      <c r="Z210" s="687"/>
    </row>
    <row r="211" customHeight="1" spans="1:26">
      <c r="A211" s="686"/>
      <c r="B211" s="686"/>
      <c r="C211" s="686"/>
      <c r="D211" s="687"/>
      <c r="E211" s="687"/>
      <c r="F211" s="687"/>
      <c r="G211" s="687"/>
      <c r="H211" s="687"/>
      <c r="I211" s="687"/>
      <c r="J211" s="687"/>
      <c r="K211" s="687"/>
      <c r="L211" s="687"/>
      <c r="M211" s="687"/>
      <c r="N211" s="687"/>
      <c r="O211" s="687"/>
      <c r="P211" s="687"/>
      <c r="Q211" s="687"/>
      <c r="R211" s="687"/>
      <c r="S211" s="687"/>
      <c r="T211" s="687"/>
      <c r="U211" s="687"/>
      <c r="V211" s="687"/>
      <c r="W211" s="687"/>
      <c r="X211" s="687"/>
      <c r="Y211" s="687"/>
      <c r="Z211" s="687"/>
    </row>
    <row r="212" customHeight="1" spans="1:26">
      <c r="A212" s="686"/>
      <c r="B212" s="686"/>
      <c r="C212" s="686"/>
      <c r="D212" s="687"/>
      <c r="E212" s="687"/>
      <c r="F212" s="687"/>
      <c r="G212" s="687"/>
      <c r="H212" s="687"/>
      <c r="I212" s="687"/>
      <c r="J212" s="687"/>
      <c r="K212" s="687"/>
      <c r="L212" s="687"/>
      <c r="M212" s="687"/>
      <c r="N212" s="687"/>
      <c r="O212" s="687"/>
      <c r="P212" s="687"/>
      <c r="Q212" s="687"/>
      <c r="R212" s="687"/>
      <c r="S212" s="687"/>
      <c r="T212" s="687"/>
      <c r="U212" s="687"/>
      <c r="V212" s="687"/>
      <c r="W212" s="687"/>
      <c r="X212" s="687"/>
      <c r="Y212" s="687"/>
      <c r="Z212" s="687"/>
    </row>
    <row r="213" customHeight="1" spans="1:26">
      <c r="A213" s="686"/>
      <c r="B213" s="686"/>
      <c r="C213" s="686"/>
      <c r="D213" s="687"/>
      <c r="E213" s="687"/>
      <c r="F213" s="687"/>
      <c r="G213" s="687"/>
      <c r="H213" s="687"/>
      <c r="I213" s="687"/>
      <c r="J213" s="687"/>
      <c r="K213" s="687"/>
      <c r="L213" s="687"/>
      <c r="M213" s="687"/>
      <c r="N213" s="687"/>
      <c r="O213" s="687"/>
      <c r="P213" s="687"/>
      <c r="Q213" s="687"/>
      <c r="R213" s="687"/>
      <c r="S213" s="687"/>
      <c r="T213" s="687"/>
      <c r="U213" s="687"/>
      <c r="V213" s="687"/>
      <c r="W213" s="687"/>
      <c r="X213" s="687"/>
      <c r="Y213" s="687"/>
      <c r="Z213" s="687"/>
    </row>
    <row r="214" customHeight="1" spans="1:26">
      <c r="A214" s="686"/>
      <c r="B214" s="686"/>
      <c r="C214" s="686"/>
      <c r="D214" s="687"/>
      <c r="E214" s="687"/>
      <c r="F214" s="687"/>
      <c r="G214" s="687"/>
      <c r="H214" s="687"/>
      <c r="I214" s="687"/>
      <c r="J214" s="687"/>
      <c r="K214" s="687"/>
      <c r="L214" s="687"/>
      <c r="M214" s="687"/>
      <c r="N214" s="687"/>
      <c r="O214" s="687"/>
      <c r="P214" s="687"/>
      <c r="Q214" s="687"/>
      <c r="R214" s="687"/>
      <c r="S214" s="687"/>
      <c r="T214" s="687"/>
      <c r="U214" s="687"/>
      <c r="V214" s="687"/>
      <c r="W214" s="687"/>
      <c r="X214" s="687"/>
      <c r="Y214" s="687"/>
      <c r="Z214" s="687"/>
    </row>
    <row r="215" customHeight="1" spans="1:26">
      <c r="A215" s="686"/>
      <c r="B215" s="686"/>
      <c r="C215" s="686"/>
      <c r="D215" s="687"/>
      <c r="E215" s="687"/>
      <c r="F215" s="687"/>
      <c r="G215" s="687"/>
      <c r="H215" s="687"/>
      <c r="I215" s="687"/>
      <c r="J215" s="687"/>
      <c r="K215" s="687"/>
      <c r="L215" s="687"/>
      <c r="M215" s="687"/>
      <c r="N215" s="687"/>
      <c r="O215" s="687"/>
      <c r="P215" s="687"/>
      <c r="Q215" s="687"/>
      <c r="R215" s="687"/>
      <c r="S215" s="687"/>
      <c r="T215" s="687"/>
      <c r="U215" s="687"/>
      <c r="V215" s="687"/>
      <c r="W215" s="687"/>
      <c r="X215" s="687"/>
      <c r="Y215" s="687"/>
      <c r="Z215" s="687"/>
    </row>
    <row r="216" customHeight="1" spans="1:26">
      <c r="A216" s="686"/>
      <c r="B216" s="686"/>
      <c r="C216" s="686"/>
      <c r="D216" s="687"/>
      <c r="E216" s="687"/>
      <c r="F216" s="687"/>
      <c r="G216" s="687"/>
      <c r="H216" s="687"/>
      <c r="I216" s="687"/>
      <c r="J216" s="687"/>
      <c r="K216" s="687"/>
      <c r="L216" s="687"/>
      <c r="M216" s="687"/>
      <c r="N216" s="687"/>
      <c r="O216" s="687"/>
      <c r="P216" s="687"/>
      <c r="Q216" s="687"/>
      <c r="R216" s="687"/>
      <c r="S216" s="687"/>
      <c r="T216" s="687"/>
      <c r="U216" s="687"/>
      <c r="V216" s="687"/>
      <c r="W216" s="687"/>
      <c r="X216" s="687"/>
      <c r="Y216" s="687"/>
      <c r="Z216" s="687"/>
    </row>
    <row r="217" customHeight="1" spans="1:26">
      <c r="A217" s="686"/>
      <c r="B217" s="686"/>
      <c r="C217" s="686"/>
      <c r="D217" s="687"/>
      <c r="E217" s="687"/>
      <c r="F217" s="687"/>
      <c r="G217" s="687"/>
      <c r="H217" s="687"/>
      <c r="I217" s="687"/>
      <c r="J217" s="687"/>
      <c r="K217" s="687"/>
      <c r="L217" s="687"/>
      <c r="M217" s="687"/>
      <c r="N217" s="687"/>
      <c r="O217" s="687"/>
      <c r="P217" s="687"/>
      <c r="Q217" s="687"/>
      <c r="R217" s="687"/>
      <c r="S217" s="687"/>
      <c r="T217" s="687"/>
      <c r="U217" s="687"/>
      <c r="V217" s="687"/>
      <c r="W217" s="687"/>
      <c r="X217" s="687"/>
      <c r="Y217" s="687"/>
      <c r="Z217" s="687"/>
    </row>
    <row r="218" customHeight="1" spans="1:26">
      <c r="A218" s="686"/>
      <c r="B218" s="686"/>
      <c r="C218" s="686"/>
      <c r="D218" s="687"/>
      <c r="E218" s="687"/>
      <c r="F218" s="687"/>
      <c r="G218" s="687"/>
      <c r="H218" s="687"/>
      <c r="I218" s="687"/>
      <c r="J218" s="687"/>
      <c r="K218" s="687"/>
      <c r="L218" s="687"/>
      <c r="M218" s="687"/>
      <c r="N218" s="687"/>
      <c r="O218" s="687"/>
      <c r="P218" s="687"/>
      <c r="Q218" s="687"/>
      <c r="R218" s="687"/>
      <c r="S218" s="687"/>
      <c r="T218" s="687"/>
      <c r="U218" s="687"/>
      <c r="V218" s="687"/>
      <c r="W218" s="687"/>
      <c r="X218" s="687"/>
      <c r="Y218" s="687"/>
      <c r="Z218" s="687"/>
    </row>
    <row r="219" customHeight="1" spans="1:26">
      <c r="A219" s="686"/>
      <c r="B219" s="686"/>
      <c r="C219" s="686"/>
      <c r="D219" s="687"/>
      <c r="E219" s="687"/>
      <c r="F219" s="687"/>
      <c r="G219" s="687"/>
      <c r="H219" s="687"/>
      <c r="I219" s="687"/>
      <c r="J219" s="687"/>
      <c r="K219" s="687"/>
      <c r="L219" s="687"/>
      <c r="M219" s="687"/>
      <c r="N219" s="687"/>
      <c r="O219" s="687"/>
      <c r="P219" s="687"/>
      <c r="Q219" s="687"/>
      <c r="R219" s="687"/>
      <c r="S219" s="687"/>
      <c r="T219" s="687"/>
      <c r="U219" s="687"/>
      <c r="V219" s="687"/>
      <c r="W219" s="687"/>
      <c r="X219" s="687"/>
      <c r="Y219" s="687"/>
      <c r="Z219" s="687"/>
    </row>
    <row r="220" customHeight="1" spans="1:26">
      <c r="A220" s="686"/>
      <c r="B220" s="686"/>
      <c r="C220" s="686"/>
      <c r="D220" s="687"/>
      <c r="E220" s="687"/>
      <c r="F220" s="687"/>
      <c r="G220" s="687"/>
      <c r="H220" s="687"/>
      <c r="I220" s="687"/>
      <c r="J220" s="687"/>
      <c r="K220" s="687"/>
      <c r="L220" s="687"/>
      <c r="M220" s="687"/>
      <c r="N220" s="687"/>
      <c r="O220" s="687"/>
      <c r="P220" s="687"/>
      <c r="Q220" s="687"/>
      <c r="R220" s="687"/>
      <c r="S220" s="687"/>
      <c r="T220" s="687"/>
      <c r="U220" s="687"/>
      <c r="V220" s="687"/>
      <c r="W220" s="687"/>
      <c r="X220" s="687"/>
      <c r="Y220" s="687"/>
      <c r="Z220" s="687"/>
    </row>
    <row r="221" customHeight="1" spans="1:26">
      <c r="A221" s="686"/>
      <c r="B221" s="686"/>
      <c r="C221" s="686"/>
      <c r="D221" s="687"/>
      <c r="E221" s="687"/>
      <c r="F221" s="687"/>
      <c r="G221" s="687"/>
      <c r="H221" s="687"/>
      <c r="I221" s="687"/>
      <c r="J221" s="687"/>
      <c r="K221" s="687"/>
      <c r="L221" s="687"/>
      <c r="M221" s="687"/>
      <c r="N221" s="687"/>
      <c r="O221" s="687"/>
      <c r="P221" s="687"/>
      <c r="Q221" s="687"/>
      <c r="R221" s="687"/>
      <c r="S221" s="687"/>
      <c r="T221" s="687"/>
      <c r="U221" s="687"/>
      <c r="V221" s="687"/>
      <c r="W221" s="687"/>
      <c r="X221" s="687"/>
      <c r="Y221" s="687"/>
      <c r="Z221" s="687"/>
    </row>
    <row r="222" customHeight="1" spans="1:26">
      <c r="A222" s="686"/>
      <c r="B222" s="686"/>
      <c r="C222" s="686"/>
      <c r="D222" s="687"/>
      <c r="E222" s="687"/>
      <c r="F222" s="687"/>
      <c r="G222" s="687"/>
      <c r="H222" s="687"/>
      <c r="I222" s="687"/>
      <c r="J222" s="687"/>
      <c r="K222" s="687"/>
      <c r="L222" s="687"/>
      <c r="M222" s="687"/>
      <c r="N222" s="687"/>
      <c r="O222" s="687"/>
      <c r="P222" s="687"/>
      <c r="Q222" s="687"/>
      <c r="R222" s="687"/>
      <c r="S222" s="687"/>
      <c r="T222" s="687"/>
      <c r="U222" s="687"/>
      <c r="V222" s="687"/>
      <c r="W222" s="687"/>
      <c r="X222" s="687"/>
      <c r="Y222" s="687"/>
      <c r="Z222" s="687"/>
    </row>
    <row r="223" customHeight="1" spans="1:26">
      <c r="A223" s="686"/>
      <c r="B223" s="686"/>
      <c r="C223" s="686"/>
      <c r="D223" s="687"/>
      <c r="E223" s="687"/>
      <c r="F223" s="687"/>
      <c r="G223" s="687"/>
      <c r="H223" s="687"/>
      <c r="I223" s="687"/>
      <c r="J223" s="687"/>
      <c r="K223" s="687"/>
      <c r="L223" s="687"/>
      <c r="M223" s="687"/>
      <c r="N223" s="687"/>
      <c r="O223" s="687"/>
      <c r="P223" s="687"/>
      <c r="Q223" s="687"/>
      <c r="R223" s="687"/>
      <c r="S223" s="687"/>
      <c r="T223" s="687"/>
      <c r="U223" s="687"/>
      <c r="V223" s="687"/>
      <c r="W223" s="687"/>
      <c r="X223" s="687"/>
      <c r="Y223" s="687"/>
      <c r="Z223" s="687"/>
    </row>
    <row r="224" customHeight="1" spans="1:26">
      <c r="A224" s="686"/>
      <c r="B224" s="686"/>
      <c r="C224" s="686"/>
      <c r="D224" s="687"/>
      <c r="E224" s="687"/>
      <c r="F224" s="687"/>
      <c r="G224" s="687"/>
      <c r="H224" s="687"/>
      <c r="I224" s="687"/>
      <c r="J224" s="687"/>
      <c r="K224" s="687"/>
      <c r="L224" s="687"/>
      <c r="M224" s="687"/>
      <c r="N224" s="687"/>
      <c r="O224" s="687"/>
      <c r="P224" s="687"/>
      <c r="Q224" s="687"/>
      <c r="R224" s="687"/>
      <c r="S224" s="687"/>
      <c r="T224" s="687"/>
      <c r="U224" s="687"/>
      <c r="V224" s="687"/>
      <c r="W224" s="687"/>
      <c r="X224" s="687"/>
      <c r="Y224" s="687"/>
      <c r="Z224" s="687"/>
    </row>
    <row r="225" customHeight="1" spans="1:26">
      <c r="A225" s="686"/>
      <c r="B225" s="686"/>
      <c r="C225" s="686"/>
      <c r="D225" s="687"/>
      <c r="E225" s="687"/>
      <c r="F225" s="687"/>
      <c r="G225" s="687"/>
      <c r="H225" s="687"/>
      <c r="I225" s="687"/>
      <c r="J225" s="687"/>
      <c r="K225" s="687"/>
      <c r="L225" s="687"/>
      <c r="M225" s="687"/>
      <c r="N225" s="687"/>
      <c r="O225" s="687"/>
      <c r="P225" s="687"/>
      <c r="Q225" s="687"/>
      <c r="R225" s="687"/>
      <c r="S225" s="687"/>
      <c r="T225" s="687"/>
      <c r="U225" s="687"/>
      <c r="V225" s="687"/>
      <c r="W225" s="687"/>
      <c r="X225" s="687"/>
      <c r="Y225" s="687"/>
      <c r="Z225" s="687"/>
    </row>
    <row r="226" customHeight="1" spans="1:26">
      <c r="A226" s="686"/>
      <c r="B226" s="686"/>
      <c r="C226" s="686"/>
      <c r="D226" s="687"/>
      <c r="E226" s="687"/>
      <c r="F226" s="687"/>
      <c r="G226" s="687"/>
      <c r="H226" s="687"/>
      <c r="I226" s="687"/>
      <c r="J226" s="687"/>
      <c r="K226" s="687"/>
      <c r="L226" s="687"/>
      <c r="M226" s="687"/>
      <c r="N226" s="687"/>
      <c r="O226" s="687"/>
      <c r="P226" s="687"/>
      <c r="Q226" s="687"/>
      <c r="R226" s="687"/>
      <c r="S226" s="687"/>
      <c r="T226" s="687"/>
      <c r="U226" s="687"/>
      <c r="V226" s="687"/>
      <c r="W226" s="687"/>
      <c r="X226" s="687"/>
      <c r="Y226" s="687"/>
      <c r="Z226" s="687"/>
    </row>
    <row r="227" customHeight="1" spans="1:26">
      <c r="A227" s="686"/>
      <c r="B227" s="686"/>
      <c r="C227" s="686"/>
      <c r="D227" s="687"/>
      <c r="E227" s="687"/>
      <c r="F227" s="687"/>
      <c r="G227" s="687"/>
      <c r="H227" s="687"/>
      <c r="I227" s="687"/>
      <c r="J227" s="687"/>
      <c r="K227" s="687"/>
      <c r="L227" s="687"/>
      <c r="M227" s="687"/>
      <c r="N227" s="687"/>
      <c r="O227" s="687"/>
      <c r="P227" s="687"/>
      <c r="Q227" s="687"/>
      <c r="R227" s="687"/>
      <c r="S227" s="687"/>
      <c r="T227" s="687"/>
      <c r="U227" s="687"/>
      <c r="V227" s="687"/>
      <c r="W227" s="687"/>
      <c r="X227" s="687"/>
      <c r="Y227" s="687"/>
      <c r="Z227" s="687"/>
    </row>
    <row r="228" customHeight="1" spans="1:26">
      <c r="A228" s="686"/>
      <c r="B228" s="686"/>
      <c r="C228" s="686"/>
      <c r="D228" s="687"/>
      <c r="E228" s="687"/>
      <c r="F228" s="687"/>
      <c r="G228" s="687"/>
      <c r="H228" s="687"/>
      <c r="I228" s="687"/>
      <c r="J228" s="687"/>
      <c r="K228" s="687"/>
      <c r="L228" s="687"/>
      <c r="M228" s="687"/>
      <c r="N228" s="687"/>
      <c r="O228" s="687"/>
      <c r="P228" s="687"/>
      <c r="Q228" s="687"/>
      <c r="R228" s="687"/>
      <c r="S228" s="687"/>
      <c r="T228" s="687"/>
      <c r="U228" s="687"/>
      <c r="V228" s="687"/>
      <c r="W228" s="687"/>
      <c r="X228" s="687"/>
      <c r="Y228" s="687"/>
      <c r="Z228" s="687"/>
    </row>
    <row r="229" customHeight="1" spans="1:26">
      <c r="A229" s="686"/>
      <c r="B229" s="686"/>
      <c r="C229" s="686"/>
      <c r="D229" s="687"/>
      <c r="E229" s="687"/>
      <c r="F229" s="687"/>
      <c r="G229" s="687"/>
      <c r="H229" s="687"/>
      <c r="I229" s="687"/>
      <c r="J229" s="687"/>
      <c r="K229" s="687"/>
      <c r="L229" s="687"/>
      <c r="M229" s="687"/>
      <c r="N229" s="687"/>
      <c r="O229" s="687"/>
      <c r="P229" s="687"/>
      <c r="Q229" s="687"/>
      <c r="R229" s="687"/>
      <c r="S229" s="687"/>
      <c r="T229" s="687"/>
      <c r="U229" s="687"/>
      <c r="V229" s="687"/>
      <c r="W229" s="687"/>
      <c r="X229" s="687"/>
      <c r="Y229" s="687"/>
      <c r="Z229" s="687"/>
    </row>
    <row r="230" customHeight="1" spans="1:26">
      <c r="A230" s="686"/>
      <c r="B230" s="686"/>
      <c r="C230" s="686"/>
      <c r="D230" s="687"/>
      <c r="E230" s="687"/>
      <c r="F230" s="687"/>
      <c r="G230" s="687"/>
      <c r="H230" s="687"/>
      <c r="I230" s="687"/>
      <c r="J230" s="687"/>
      <c r="K230" s="687"/>
      <c r="L230" s="687"/>
      <c r="M230" s="687"/>
      <c r="N230" s="687"/>
      <c r="O230" s="687"/>
      <c r="P230" s="687"/>
      <c r="Q230" s="687"/>
      <c r="R230" s="687"/>
      <c r="S230" s="687"/>
      <c r="T230" s="687"/>
      <c r="U230" s="687"/>
      <c r="V230" s="687"/>
      <c r="W230" s="687"/>
      <c r="X230" s="687"/>
      <c r="Y230" s="687"/>
      <c r="Z230" s="687"/>
    </row>
    <row r="231" customHeight="1" spans="1:26">
      <c r="A231" s="686"/>
      <c r="B231" s="686"/>
      <c r="C231" s="686"/>
      <c r="D231" s="687"/>
      <c r="E231" s="687"/>
      <c r="F231" s="687"/>
      <c r="G231" s="687"/>
      <c r="H231" s="687"/>
      <c r="I231" s="687"/>
      <c r="J231" s="687"/>
      <c r="K231" s="687"/>
      <c r="L231" s="687"/>
      <c r="M231" s="687"/>
      <c r="N231" s="687"/>
      <c r="O231" s="687"/>
      <c r="P231" s="687"/>
      <c r="Q231" s="687"/>
      <c r="R231" s="687"/>
      <c r="S231" s="687"/>
      <c r="T231" s="687"/>
      <c r="U231" s="687"/>
      <c r="V231" s="687"/>
      <c r="W231" s="687"/>
      <c r="X231" s="687"/>
      <c r="Y231" s="687"/>
      <c r="Z231" s="687"/>
    </row>
    <row r="232" customHeight="1" spans="1:26">
      <c r="A232" s="686"/>
      <c r="B232" s="686"/>
      <c r="C232" s="686"/>
      <c r="D232" s="687"/>
      <c r="E232" s="687"/>
      <c r="F232" s="687"/>
      <c r="G232" s="687"/>
      <c r="H232" s="687"/>
      <c r="I232" s="687"/>
      <c r="J232" s="687"/>
      <c r="K232" s="687"/>
      <c r="L232" s="687"/>
      <c r="M232" s="687"/>
      <c r="N232" s="687"/>
      <c r="O232" s="687"/>
      <c r="P232" s="687"/>
      <c r="Q232" s="687"/>
      <c r="R232" s="687"/>
      <c r="S232" s="687"/>
      <c r="T232" s="687"/>
      <c r="U232" s="687"/>
      <c r="V232" s="687"/>
      <c r="W232" s="687"/>
      <c r="X232" s="687"/>
      <c r="Y232" s="687"/>
      <c r="Z232" s="687"/>
    </row>
    <row r="233" customHeight="1" spans="1:26">
      <c r="A233" s="686"/>
      <c r="B233" s="686"/>
      <c r="C233" s="686"/>
      <c r="D233" s="687"/>
      <c r="E233" s="687"/>
      <c r="F233" s="687"/>
      <c r="G233" s="687"/>
      <c r="H233" s="687"/>
      <c r="I233" s="687"/>
      <c r="J233" s="687"/>
      <c r="K233" s="687"/>
      <c r="L233" s="687"/>
      <c r="M233" s="687"/>
      <c r="N233" s="687"/>
      <c r="O233" s="687"/>
      <c r="P233" s="687"/>
      <c r="Q233" s="687"/>
      <c r="R233" s="687"/>
      <c r="S233" s="687"/>
      <c r="T233" s="687"/>
      <c r="U233" s="687"/>
      <c r="V233" s="687"/>
      <c r="W233" s="687"/>
      <c r="X233" s="687"/>
      <c r="Y233" s="687"/>
      <c r="Z233" s="687"/>
    </row>
    <row r="234" customHeight="1" spans="1:26">
      <c r="A234" s="686"/>
      <c r="B234" s="686"/>
      <c r="C234" s="686"/>
      <c r="D234" s="687"/>
      <c r="E234" s="687"/>
      <c r="F234" s="687"/>
      <c r="G234" s="687"/>
      <c r="H234" s="687"/>
      <c r="I234" s="687"/>
      <c r="J234" s="687"/>
      <c r="K234" s="687"/>
      <c r="L234" s="687"/>
      <c r="M234" s="687"/>
      <c r="N234" s="687"/>
      <c r="O234" s="687"/>
      <c r="P234" s="687"/>
      <c r="Q234" s="687"/>
      <c r="R234" s="687"/>
      <c r="S234" s="687"/>
      <c r="T234" s="687"/>
      <c r="U234" s="687"/>
      <c r="V234" s="687"/>
      <c r="W234" s="687"/>
      <c r="X234" s="687"/>
      <c r="Y234" s="687"/>
      <c r="Z234" s="687"/>
    </row>
    <row r="235" customHeight="1" spans="1:26">
      <c r="A235" s="686"/>
      <c r="B235" s="686"/>
      <c r="C235" s="686"/>
      <c r="D235" s="687"/>
      <c r="E235" s="687"/>
      <c r="F235" s="687"/>
      <c r="G235" s="687"/>
      <c r="H235" s="687"/>
      <c r="I235" s="687"/>
      <c r="J235" s="687"/>
      <c r="K235" s="687"/>
      <c r="L235" s="687"/>
      <c r="M235" s="687"/>
      <c r="N235" s="687"/>
      <c r="O235" s="687"/>
      <c r="P235" s="687"/>
      <c r="Q235" s="687"/>
      <c r="R235" s="687"/>
      <c r="S235" s="687"/>
      <c r="T235" s="687"/>
      <c r="U235" s="687"/>
      <c r="V235" s="687"/>
      <c r="W235" s="687"/>
      <c r="X235" s="687"/>
      <c r="Y235" s="687"/>
      <c r="Z235" s="687"/>
    </row>
    <row r="236" customHeight="1" spans="1:26">
      <c r="A236" s="686"/>
      <c r="B236" s="686"/>
      <c r="C236" s="686"/>
      <c r="D236" s="687"/>
      <c r="E236" s="687"/>
      <c r="F236" s="687"/>
      <c r="G236" s="687"/>
      <c r="H236" s="687"/>
      <c r="I236" s="687"/>
      <c r="J236" s="687"/>
      <c r="K236" s="687"/>
      <c r="L236" s="687"/>
      <c r="M236" s="687"/>
      <c r="N236" s="687"/>
      <c r="O236" s="687"/>
      <c r="P236" s="687"/>
      <c r="Q236" s="687"/>
      <c r="R236" s="687"/>
      <c r="S236" s="687"/>
      <c r="T236" s="687"/>
      <c r="U236" s="687"/>
      <c r="V236" s="687"/>
      <c r="W236" s="687"/>
      <c r="X236" s="687"/>
      <c r="Y236" s="687"/>
      <c r="Z236" s="687"/>
    </row>
    <row r="237" customHeight="1" spans="1:26">
      <c r="A237" s="686"/>
      <c r="B237" s="686"/>
      <c r="C237" s="686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7"/>
      <c r="P237" s="687"/>
      <c r="Q237" s="687"/>
      <c r="R237" s="687"/>
      <c r="S237" s="687"/>
      <c r="T237" s="687"/>
      <c r="U237" s="687"/>
      <c r="V237" s="687"/>
      <c r="W237" s="687"/>
      <c r="X237" s="687"/>
      <c r="Y237" s="687"/>
      <c r="Z237" s="687"/>
    </row>
    <row r="238" customHeight="1" spans="1:26">
      <c r="A238" s="686"/>
      <c r="B238" s="686"/>
      <c r="C238" s="686"/>
      <c r="D238" s="687"/>
      <c r="E238" s="687"/>
      <c r="F238" s="687"/>
      <c r="G238" s="687"/>
      <c r="H238" s="687"/>
      <c r="I238" s="687"/>
      <c r="J238" s="687"/>
      <c r="K238" s="687"/>
      <c r="L238" s="687"/>
      <c r="M238" s="687"/>
      <c r="N238" s="687"/>
      <c r="O238" s="687"/>
      <c r="P238" s="687"/>
      <c r="Q238" s="687"/>
      <c r="R238" s="687"/>
      <c r="S238" s="687"/>
      <c r="T238" s="687"/>
      <c r="U238" s="687"/>
      <c r="V238" s="687"/>
      <c r="W238" s="687"/>
      <c r="X238" s="687"/>
      <c r="Y238" s="687"/>
      <c r="Z238" s="687"/>
    </row>
    <row r="239" customHeight="1" spans="1:26">
      <c r="A239" s="686"/>
      <c r="B239" s="686"/>
      <c r="C239" s="686"/>
      <c r="D239" s="687"/>
      <c r="E239" s="687"/>
      <c r="F239" s="687"/>
      <c r="G239" s="687"/>
      <c r="H239" s="687"/>
      <c r="I239" s="687"/>
      <c r="J239" s="687"/>
      <c r="K239" s="687"/>
      <c r="L239" s="687"/>
      <c r="M239" s="687"/>
      <c r="N239" s="687"/>
      <c r="O239" s="687"/>
      <c r="P239" s="687"/>
      <c r="Q239" s="687"/>
      <c r="R239" s="687"/>
      <c r="S239" s="687"/>
      <c r="T239" s="687"/>
      <c r="U239" s="687"/>
      <c r="V239" s="687"/>
      <c r="W239" s="687"/>
      <c r="X239" s="687"/>
      <c r="Y239" s="687"/>
      <c r="Z239" s="687"/>
    </row>
    <row r="240" customHeight="1" spans="1:26">
      <c r="A240" s="686"/>
      <c r="B240" s="686"/>
      <c r="C240" s="686"/>
      <c r="D240" s="687"/>
      <c r="E240" s="687"/>
      <c r="F240" s="687"/>
      <c r="G240" s="687"/>
      <c r="H240" s="687"/>
      <c r="I240" s="687"/>
      <c r="J240" s="687"/>
      <c r="K240" s="687"/>
      <c r="L240" s="687"/>
      <c r="M240" s="687"/>
      <c r="N240" s="687"/>
      <c r="O240" s="687"/>
      <c r="P240" s="687"/>
      <c r="Q240" s="687"/>
      <c r="R240" s="687"/>
      <c r="S240" s="687"/>
      <c r="T240" s="687"/>
      <c r="U240" s="687"/>
      <c r="V240" s="687"/>
      <c r="W240" s="687"/>
      <c r="X240" s="687"/>
      <c r="Y240" s="687"/>
      <c r="Z240" s="687"/>
    </row>
    <row r="241" customHeight="1" spans="1:26">
      <c r="A241" s="686"/>
      <c r="B241" s="686"/>
      <c r="C241" s="686"/>
      <c r="D241" s="687"/>
      <c r="E241" s="687"/>
      <c r="F241" s="687"/>
      <c r="G241" s="687"/>
      <c r="H241" s="687"/>
      <c r="I241" s="687"/>
      <c r="J241" s="687"/>
      <c r="K241" s="687"/>
      <c r="L241" s="687"/>
      <c r="M241" s="687"/>
      <c r="N241" s="687"/>
      <c r="O241" s="687"/>
      <c r="P241" s="687"/>
      <c r="Q241" s="687"/>
      <c r="R241" s="687"/>
      <c r="S241" s="687"/>
      <c r="T241" s="687"/>
      <c r="U241" s="687"/>
      <c r="V241" s="687"/>
      <c r="W241" s="687"/>
      <c r="X241" s="687"/>
      <c r="Y241" s="687"/>
      <c r="Z241" s="687"/>
    </row>
    <row r="242" customHeight="1" spans="1:26">
      <c r="A242" s="686"/>
      <c r="B242" s="686"/>
      <c r="C242" s="686"/>
      <c r="D242" s="687"/>
      <c r="E242" s="687"/>
      <c r="F242" s="687"/>
      <c r="G242" s="687"/>
      <c r="H242" s="687"/>
      <c r="I242" s="687"/>
      <c r="J242" s="687"/>
      <c r="K242" s="687"/>
      <c r="L242" s="687"/>
      <c r="M242" s="687"/>
      <c r="N242" s="687"/>
      <c r="O242" s="687"/>
      <c r="P242" s="687"/>
      <c r="Q242" s="687"/>
      <c r="R242" s="687"/>
      <c r="S242" s="687"/>
      <c r="T242" s="687"/>
      <c r="U242" s="687"/>
      <c r="V242" s="687"/>
      <c r="W242" s="687"/>
      <c r="X242" s="687"/>
      <c r="Y242" s="687"/>
      <c r="Z242" s="687"/>
    </row>
    <row r="243" customHeight="1" spans="1:26">
      <c r="A243" s="686"/>
      <c r="B243" s="686"/>
      <c r="C243" s="686"/>
      <c r="D243" s="687"/>
      <c r="E243" s="687"/>
      <c r="F243" s="687"/>
      <c r="G243" s="687"/>
      <c r="H243" s="687"/>
      <c r="I243" s="687"/>
      <c r="J243" s="687"/>
      <c r="K243" s="687"/>
      <c r="L243" s="687"/>
      <c r="M243" s="687"/>
      <c r="N243" s="687"/>
      <c r="O243" s="687"/>
      <c r="P243" s="687"/>
      <c r="Q243" s="687"/>
      <c r="R243" s="687"/>
      <c r="S243" s="687"/>
      <c r="T243" s="687"/>
      <c r="U243" s="687"/>
      <c r="V243" s="687"/>
      <c r="W243" s="687"/>
      <c r="X243" s="687"/>
      <c r="Y243" s="687"/>
      <c r="Z243" s="687"/>
    </row>
    <row r="244" customHeight="1" spans="1:26">
      <c r="A244" s="686"/>
      <c r="B244" s="686"/>
      <c r="C244" s="686"/>
      <c r="D244" s="687"/>
      <c r="E244" s="687"/>
      <c r="F244" s="687"/>
      <c r="G244" s="687"/>
      <c r="H244" s="687"/>
      <c r="I244" s="687"/>
      <c r="J244" s="687"/>
      <c r="K244" s="687"/>
      <c r="L244" s="687"/>
      <c r="M244" s="687"/>
      <c r="N244" s="687"/>
      <c r="O244" s="687"/>
      <c r="P244" s="687"/>
      <c r="Q244" s="687"/>
      <c r="R244" s="687"/>
      <c r="S244" s="687"/>
      <c r="T244" s="687"/>
      <c r="U244" s="687"/>
      <c r="V244" s="687"/>
      <c r="W244" s="687"/>
      <c r="X244" s="687"/>
      <c r="Y244" s="687"/>
      <c r="Z244" s="687"/>
    </row>
    <row r="245" customHeight="1" spans="1:26">
      <c r="A245" s="686"/>
      <c r="B245" s="686"/>
      <c r="C245" s="686"/>
      <c r="D245" s="687"/>
      <c r="E245" s="687"/>
      <c r="F245" s="687"/>
      <c r="G245" s="687"/>
      <c r="H245" s="687"/>
      <c r="I245" s="687"/>
      <c r="J245" s="687"/>
      <c r="K245" s="687"/>
      <c r="L245" s="687"/>
      <c r="M245" s="687"/>
      <c r="N245" s="687"/>
      <c r="O245" s="687"/>
      <c r="P245" s="687"/>
      <c r="Q245" s="687"/>
      <c r="R245" s="687"/>
      <c r="S245" s="687"/>
      <c r="T245" s="687"/>
      <c r="U245" s="687"/>
      <c r="V245" s="687"/>
      <c r="W245" s="687"/>
      <c r="X245" s="687"/>
      <c r="Y245" s="687"/>
      <c r="Z245" s="687"/>
    </row>
    <row r="246" customHeight="1" spans="1:26">
      <c r="A246" s="686"/>
      <c r="B246" s="686"/>
      <c r="C246" s="686"/>
      <c r="D246" s="687"/>
      <c r="E246" s="687"/>
      <c r="F246" s="687"/>
      <c r="G246" s="687"/>
      <c r="H246" s="687"/>
      <c r="I246" s="687"/>
      <c r="J246" s="687"/>
      <c r="K246" s="687"/>
      <c r="L246" s="687"/>
      <c r="M246" s="687"/>
      <c r="N246" s="687"/>
      <c r="O246" s="687"/>
      <c r="P246" s="687"/>
      <c r="Q246" s="687"/>
      <c r="R246" s="687"/>
      <c r="S246" s="687"/>
      <c r="T246" s="687"/>
      <c r="U246" s="687"/>
      <c r="V246" s="687"/>
      <c r="W246" s="687"/>
      <c r="X246" s="687"/>
      <c r="Y246" s="687"/>
      <c r="Z246" s="687"/>
    </row>
    <row r="247" customHeight="1" spans="1:26">
      <c r="A247" s="686"/>
      <c r="B247" s="686"/>
      <c r="C247" s="686"/>
      <c r="D247" s="687"/>
      <c r="E247" s="687"/>
      <c r="F247" s="687"/>
      <c r="G247" s="687"/>
      <c r="H247" s="687"/>
      <c r="I247" s="687"/>
      <c r="J247" s="687"/>
      <c r="K247" s="687"/>
      <c r="L247" s="687"/>
      <c r="M247" s="687"/>
      <c r="N247" s="687"/>
      <c r="O247" s="687"/>
      <c r="P247" s="687"/>
      <c r="Q247" s="687"/>
      <c r="R247" s="687"/>
      <c r="S247" s="687"/>
      <c r="T247" s="687"/>
      <c r="U247" s="687"/>
      <c r="V247" s="687"/>
      <c r="W247" s="687"/>
      <c r="X247" s="687"/>
      <c r="Y247" s="687"/>
      <c r="Z247" s="687"/>
    </row>
    <row r="248" customHeight="1" spans="1:26">
      <c r="A248" s="686"/>
      <c r="B248" s="686"/>
      <c r="C248" s="686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7"/>
      <c r="P248" s="687"/>
      <c r="Q248" s="687"/>
      <c r="R248" s="687"/>
      <c r="S248" s="687"/>
      <c r="T248" s="687"/>
      <c r="U248" s="687"/>
      <c r="V248" s="687"/>
      <c r="W248" s="687"/>
      <c r="X248" s="687"/>
      <c r="Y248" s="687"/>
      <c r="Z248" s="687"/>
    </row>
    <row r="249" customHeight="1" spans="1:26">
      <c r="A249" s="686"/>
      <c r="B249" s="686"/>
      <c r="C249" s="686"/>
      <c r="D249" s="687"/>
      <c r="E249" s="687"/>
      <c r="F249" s="687"/>
      <c r="G249" s="687"/>
      <c r="H249" s="687"/>
      <c r="I249" s="687"/>
      <c r="J249" s="687"/>
      <c r="K249" s="687"/>
      <c r="L249" s="687"/>
      <c r="M249" s="687"/>
      <c r="N249" s="687"/>
      <c r="O249" s="687"/>
      <c r="P249" s="687"/>
      <c r="Q249" s="687"/>
      <c r="R249" s="687"/>
      <c r="S249" s="687"/>
      <c r="T249" s="687"/>
      <c r="U249" s="687"/>
      <c r="V249" s="687"/>
      <c r="W249" s="687"/>
      <c r="X249" s="687"/>
      <c r="Y249" s="687"/>
      <c r="Z249" s="687"/>
    </row>
    <row r="250" customHeight="1" spans="1:26">
      <c r="A250" s="686"/>
      <c r="B250" s="686"/>
      <c r="C250" s="686"/>
      <c r="D250" s="687"/>
      <c r="E250" s="687"/>
      <c r="F250" s="687"/>
      <c r="G250" s="687"/>
      <c r="H250" s="687"/>
      <c r="I250" s="687"/>
      <c r="J250" s="687"/>
      <c r="K250" s="687"/>
      <c r="L250" s="687"/>
      <c r="M250" s="687"/>
      <c r="N250" s="687"/>
      <c r="O250" s="687"/>
      <c r="P250" s="687"/>
      <c r="Q250" s="687"/>
      <c r="R250" s="687"/>
      <c r="S250" s="687"/>
      <c r="T250" s="687"/>
      <c r="U250" s="687"/>
      <c r="V250" s="687"/>
      <c r="W250" s="687"/>
      <c r="X250" s="687"/>
      <c r="Y250" s="687"/>
      <c r="Z250" s="687"/>
    </row>
    <row r="251" customHeight="1" spans="1:26">
      <c r="A251" s="686"/>
      <c r="B251" s="686"/>
      <c r="C251" s="686"/>
      <c r="D251" s="687"/>
      <c r="E251" s="687"/>
      <c r="F251" s="687"/>
      <c r="G251" s="687"/>
      <c r="H251" s="687"/>
      <c r="I251" s="687"/>
      <c r="J251" s="687"/>
      <c r="K251" s="687"/>
      <c r="L251" s="687"/>
      <c r="M251" s="687"/>
      <c r="N251" s="687"/>
      <c r="O251" s="687"/>
      <c r="P251" s="687"/>
      <c r="Q251" s="687"/>
      <c r="R251" s="687"/>
      <c r="S251" s="687"/>
      <c r="T251" s="687"/>
      <c r="U251" s="687"/>
      <c r="V251" s="687"/>
      <c r="W251" s="687"/>
      <c r="X251" s="687"/>
      <c r="Y251" s="687"/>
      <c r="Z251" s="687"/>
    </row>
    <row r="252" customHeight="1" spans="1:26">
      <c r="A252" s="686"/>
      <c r="B252" s="686"/>
      <c r="C252" s="686"/>
      <c r="D252" s="687"/>
      <c r="E252" s="687"/>
      <c r="F252" s="687"/>
      <c r="G252" s="687"/>
      <c r="H252" s="687"/>
      <c r="I252" s="687"/>
      <c r="J252" s="687"/>
      <c r="K252" s="687"/>
      <c r="L252" s="687"/>
      <c r="M252" s="687"/>
      <c r="N252" s="687"/>
      <c r="O252" s="687"/>
      <c r="P252" s="687"/>
      <c r="Q252" s="687"/>
      <c r="R252" s="687"/>
      <c r="S252" s="687"/>
      <c r="T252" s="687"/>
      <c r="U252" s="687"/>
      <c r="V252" s="687"/>
      <c r="W252" s="687"/>
      <c r="X252" s="687"/>
      <c r="Y252" s="687"/>
      <c r="Z252" s="687"/>
    </row>
    <row r="253" customHeight="1" spans="1:26">
      <c r="A253" s="686"/>
      <c r="B253" s="686"/>
      <c r="C253" s="686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7"/>
      <c r="P253" s="687"/>
      <c r="Q253" s="687"/>
      <c r="R253" s="687"/>
      <c r="S253" s="687"/>
      <c r="T253" s="687"/>
      <c r="U253" s="687"/>
      <c r="V253" s="687"/>
      <c r="W253" s="687"/>
      <c r="X253" s="687"/>
      <c r="Y253" s="687"/>
      <c r="Z253" s="687"/>
    </row>
    <row r="254" customHeight="1" spans="1:26">
      <c r="A254" s="686"/>
      <c r="B254" s="686"/>
      <c r="C254" s="686"/>
      <c r="D254" s="687"/>
      <c r="E254" s="687"/>
      <c r="F254" s="687"/>
      <c r="G254" s="687"/>
      <c r="H254" s="687"/>
      <c r="I254" s="687"/>
      <c r="J254" s="687"/>
      <c r="K254" s="687"/>
      <c r="L254" s="687"/>
      <c r="M254" s="687"/>
      <c r="N254" s="687"/>
      <c r="O254" s="687"/>
      <c r="P254" s="687"/>
      <c r="Q254" s="687"/>
      <c r="R254" s="687"/>
      <c r="S254" s="687"/>
      <c r="T254" s="687"/>
      <c r="U254" s="687"/>
      <c r="V254" s="687"/>
      <c r="W254" s="687"/>
      <c r="X254" s="687"/>
      <c r="Y254" s="687"/>
      <c r="Z254" s="687"/>
    </row>
    <row r="255" customHeight="1" spans="1:26">
      <c r="A255" s="686"/>
      <c r="B255" s="686"/>
      <c r="C255" s="686"/>
      <c r="D255" s="687"/>
      <c r="E255" s="687"/>
      <c r="F255" s="687"/>
      <c r="G255" s="687"/>
      <c r="H255" s="687"/>
      <c r="I255" s="687"/>
      <c r="J255" s="687"/>
      <c r="K255" s="687"/>
      <c r="L255" s="687"/>
      <c r="M255" s="687"/>
      <c r="N255" s="687"/>
      <c r="O255" s="687"/>
      <c r="P255" s="687"/>
      <c r="Q255" s="687"/>
      <c r="R255" s="687"/>
      <c r="S255" s="687"/>
      <c r="T255" s="687"/>
      <c r="U255" s="687"/>
      <c r="V255" s="687"/>
      <c r="W255" s="687"/>
      <c r="X255" s="687"/>
      <c r="Y255" s="687"/>
      <c r="Z255" s="687"/>
    </row>
    <row r="256" customHeight="1" spans="1:26">
      <c r="A256" s="686"/>
      <c r="B256" s="686"/>
      <c r="C256" s="686"/>
      <c r="D256" s="687"/>
      <c r="E256" s="687"/>
      <c r="F256" s="687"/>
      <c r="G256" s="687"/>
      <c r="H256" s="687"/>
      <c r="I256" s="687"/>
      <c r="J256" s="687"/>
      <c r="K256" s="687"/>
      <c r="L256" s="687"/>
      <c r="M256" s="687"/>
      <c r="N256" s="687"/>
      <c r="O256" s="687"/>
      <c r="P256" s="687"/>
      <c r="Q256" s="687"/>
      <c r="R256" s="687"/>
      <c r="S256" s="687"/>
      <c r="T256" s="687"/>
      <c r="U256" s="687"/>
      <c r="V256" s="687"/>
      <c r="W256" s="687"/>
      <c r="X256" s="687"/>
      <c r="Y256" s="687"/>
      <c r="Z256" s="687"/>
    </row>
    <row r="257" customHeight="1" spans="1:26">
      <c r="A257" s="686"/>
      <c r="B257" s="686"/>
      <c r="C257" s="686"/>
      <c r="D257" s="687"/>
      <c r="E257" s="687"/>
      <c r="F257" s="687"/>
      <c r="G257" s="687"/>
      <c r="H257" s="687"/>
      <c r="I257" s="687"/>
      <c r="J257" s="687"/>
      <c r="K257" s="687"/>
      <c r="L257" s="687"/>
      <c r="M257" s="687"/>
      <c r="N257" s="687"/>
      <c r="O257" s="687"/>
      <c r="P257" s="687"/>
      <c r="Q257" s="687"/>
      <c r="R257" s="687"/>
      <c r="S257" s="687"/>
      <c r="T257" s="687"/>
      <c r="U257" s="687"/>
      <c r="V257" s="687"/>
      <c r="W257" s="687"/>
      <c r="X257" s="687"/>
      <c r="Y257" s="687"/>
      <c r="Z257" s="687"/>
    </row>
    <row r="258" customHeight="1" spans="1:26">
      <c r="A258" s="686"/>
      <c r="B258" s="686"/>
      <c r="C258" s="686"/>
      <c r="D258" s="687"/>
      <c r="E258" s="687"/>
      <c r="F258" s="687"/>
      <c r="G258" s="687"/>
      <c r="H258" s="687"/>
      <c r="I258" s="687"/>
      <c r="J258" s="687"/>
      <c r="K258" s="687"/>
      <c r="L258" s="687"/>
      <c r="M258" s="687"/>
      <c r="N258" s="687"/>
      <c r="O258" s="687"/>
      <c r="P258" s="687"/>
      <c r="Q258" s="687"/>
      <c r="R258" s="687"/>
      <c r="S258" s="687"/>
      <c r="T258" s="687"/>
      <c r="U258" s="687"/>
      <c r="V258" s="687"/>
      <c r="W258" s="687"/>
      <c r="X258" s="687"/>
      <c r="Y258" s="687"/>
      <c r="Z258" s="687"/>
    </row>
    <row r="259" customHeight="1" spans="1:26">
      <c r="A259" s="686"/>
      <c r="B259" s="686"/>
      <c r="C259" s="686"/>
      <c r="D259" s="687"/>
      <c r="E259" s="687"/>
      <c r="F259" s="687"/>
      <c r="G259" s="687"/>
      <c r="H259" s="687"/>
      <c r="I259" s="687"/>
      <c r="J259" s="687"/>
      <c r="K259" s="687"/>
      <c r="L259" s="687"/>
      <c r="M259" s="687"/>
      <c r="N259" s="687"/>
      <c r="O259" s="687"/>
      <c r="P259" s="687"/>
      <c r="Q259" s="687"/>
      <c r="R259" s="687"/>
      <c r="S259" s="687"/>
      <c r="T259" s="687"/>
      <c r="U259" s="687"/>
      <c r="V259" s="687"/>
      <c r="W259" s="687"/>
      <c r="X259" s="687"/>
      <c r="Y259" s="687"/>
      <c r="Z259" s="687"/>
    </row>
    <row r="260" customHeight="1" spans="1:26">
      <c r="A260" s="686"/>
      <c r="B260" s="686"/>
      <c r="C260" s="686"/>
      <c r="D260" s="687"/>
      <c r="E260" s="687"/>
      <c r="F260" s="687"/>
      <c r="G260" s="687"/>
      <c r="H260" s="687"/>
      <c r="I260" s="687"/>
      <c r="J260" s="687"/>
      <c r="K260" s="687"/>
      <c r="L260" s="687"/>
      <c r="M260" s="687"/>
      <c r="N260" s="687"/>
      <c r="O260" s="687"/>
      <c r="P260" s="687"/>
      <c r="Q260" s="687"/>
      <c r="R260" s="687"/>
      <c r="S260" s="687"/>
      <c r="T260" s="687"/>
      <c r="U260" s="687"/>
      <c r="V260" s="687"/>
      <c r="W260" s="687"/>
      <c r="X260" s="687"/>
      <c r="Y260" s="687"/>
      <c r="Z260" s="687"/>
    </row>
    <row r="261" customHeight="1" spans="1:26">
      <c r="A261" s="686"/>
      <c r="B261" s="686"/>
      <c r="C261" s="686"/>
      <c r="D261" s="687"/>
      <c r="E261" s="687"/>
      <c r="F261" s="687"/>
      <c r="G261" s="687"/>
      <c r="H261" s="687"/>
      <c r="I261" s="687"/>
      <c r="J261" s="687"/>
      <c r="K261" s="687"/>
      <c r="L261" s="687"/>
      <c r="M261" s="687"/>
      <c r="N261" s="687"/>
      <c r="O261" s="687"/>
      <c r="P261" s="687"/>
      <c r="Q261" s="687"/>
      <c r="R261" s="687"/>
      <c r="S261" s="687"/>
      <c r="T261" s="687"/>
      <c r="U261" s="687"/>
      <c r="V261" s="687"/>
      <c r="W261" s="687"/>
      <c r="X261" s="687"/>
      <c r="Y261" s="687"/>
      <c r="Z261" s="687"/>
    </row>
    <row r="262" customHeight="1" spans="1:26">
      <c r="A262" s="686"/>
      <c r="B262" s="686"/>
      <c r="C262" s="686"/>
      <c r="D262" s="687"/>
      <c r="E262" s="687"/>
      <c r="F262" s="687"/>
      <c r="G262" s="687"/>
      <c r="H262" s="687"/>
      <c r="I262" s="687"/>
      <c r="J262" s="687"/>
      <c r="K262" s="687"/>
      <c r="L262" s="687"/>
      <c r="M262" s="687"/>
      <c r="N262" s="687"/>
      <c r="O262" s="687"/>
      <c r="P262" s="687"/>
      <c r="Q262" s="687"/>
      <c r="R262" s="687"/>
      <c r="S262" s="687"/>
      <c r="T262" s="687"/>
      <c r="U262" s="687"/>
      <c r="V262" s="687"/>
      <c r="W262" s="687"/>
      <c r="X262" s="687"/>
      <c r="Y262" s="687"/>
      <c r="Z262" s="687"/>
    </row>
    <row r="263" customHeight="1" spans="1:26">
      <c r="A263" s="686"/>
      <c r="B263" s="686"/>
      <c r="C263" s="686"/>
      <c r="D263" s="687"/>
      <c r="E263" s="687"/>
      <c r="F263" s="687"/>
      <c r="G263" s="687"/>
      <c r="H263" s="687"/>
      <c r="I263" s="687"/>
      <c r="J263" s="687"/>
      <c r="K263" s="687"/>
      <c r="L263" s="687"/>
      <c r="M263" s="687"/>
      <c r="N263" s="687"/>
      <c r="O263" s="687"/>
      <c r="P263" s="687"/>
      <c r="Q263" s="687"/>
      <c r="R263" s="687"/>
      <c r="S263" s="687"/>
      <c r="T263" s="687"/>
      <c r="U263" s="687"/>
      <c r="V263" s="687"/>
      <c r="W263" s="687"/>
      <c r="X263" s="687"/>
      <c r="Y263" s="687"/>
      <c r="Z263" s="687"/>
    </row>
    <row r="264" customHeight="1" spans="1:26">
      <c r="A264" s="686"/>
      <c r="B264" s="686"/>
      <c r="C264" s="686"/>
      <c r="D264" s="687"/>
      <c r="E264" s="687"/>
      <c r="F264" s="687"/>
      <c r="G264" s="687"/>
      <c r="H264" s="687"/>
      <c r="I264" s="687"/>
      <c r="J264" s="687"/>
      <c r="K264" s="687"/>
      <c r="L264" s="687"/>
      <c r="M264" s="687"/>
      <c r="N264" s="687"/>
      <c r="O264" s="687"/>
      <c r="P264" s="687"/>
      <c r="Q264" s="687"/>
      <c r="R264" s="687"/>
      <c r="S264" s="687"/>
      <c r="T264" s="687"/>
      <c r="U264" s="687"/>
      <c r="V264" s="687"/>
      <c r="W264" s="687"/>
      <c r="X264" s="687"/>
      <c r="Y264" s="687"/>
      <c r="Z264" s="687"/>
    </row>
    <row r="265" customHeight="1" spans="1:26">
      <c r="A265" s="686"/>
      <c r="B265" s="686"/>
      <c r="C265" s="686"/>
      <c r="D265" s="687"/>
      <c r="E265" s="687"/>
      <c r="F265" s="687"/>
      <c r="G265" s="687"/>
      <c r="H265" s="687"/>
      <c r="I265" s="687"/>
      <c r="J265" s="687"/>
      <c r="K265" s="687"/>
      <c r="L265" s="687"/>
      <c r="M265" s="687"/>
      <c r="N265" s="687"/>
      <c r="O265" s="687"/>
      <c r="P265" s="687"/>
      <c r="Q265" s="687"/>
      <c r="R265" s="687"/>
      <c r="S265" s="687"/>
      <c r="T265" s="687"/>
      <c r="U265" s="687"/>
      <c r="V265" s="687"/>
      <c r="W265" s="687"/>
      <c r="X265" s="687"/>
      <c r="Y265" s="687"/>
      <c r="Z265" s="687"/>
    </row>
    <row r="266" customHeight="1" spans="1:26">
      <c r="A266" s="686"/>
      <c r="B266" s="686"/>
      <c r="C266" s="686"/>
      <c r="D266" s="687"/>
      <c r="E266" s="687"/>
      <c r="F266" s="687"/>
      <c r="G266" s="687"/>
      <c r="H266" s="687"/>
      <c r="I266" s="687"/>
      <c r="J266" s="687"/>
      <c r="K266" s="687"/>
      <c r="L266" s="687"/>
      <c r="M266" s="687"/>
      <c r="N266" s="687"/>
      <c r="O266" s="687"/>
      <c r="P266" s="687"/>
      <c r="Q266" s="687"/>
      <c r="R266" s="687"/>
      <c r="S266" s="687"/>
      <c r="T266" s="687"/>
      <c r="U266" s="687"/>
      <c r="V266" s="687"/>
      <c r="W266" s="687"/>
      <c r="X266" s="687"/>
      <c r="Y266" s="687"/>
      <c r="Z266" s="687"/>
    </row>
    <row r="267" customHeight="1" spans="1:26">
      <c r="A267" s="686"/>
      <c r="B267" s="686"/>
      <c r="C267" s="686"/>
      <c r="D267" s="687"/>
      <c r="E267" s="687"/>
      <c r="F267" s="687"/>
      <c r="G267" s="687"/>
      <c r="H267" s="687"/>
      <c r="I267" s="687"/>
      <c r="J267" s="687"/>
      <c r="K267" s="687"/>
      <c r="L267" s="687"/>
      <c r="M267" s="687"/>
      <c r="N267" s="687"/>
      <c r="O267" s="687"/>
      <c r="P267" s="687"/>
      <c r="Q267" s="687"/>
      <c r="R267" s="687"/>
      <c r="S267" s="687"/>
      <c r="T267" s="687"/>
      <c r="U267" s="687"/>
      <c r="V267" s="687"/>
      <c r="W267" s="687"/>
      <c r="X267" s="687"/>
      <c r="Y267" s="687"/>
      <c r="Z267" s="687"/>
    </row>
    <row r="268" customHeight="1" spans="1:26">
      <c r="A268" s="686"/>
      <c r="B268" s="686"/>
      <c r="C268" s="686"/>
      <c r="D268" s="687"/>
      <c r="E268" s="687"/>
      <c r="F268" s="687"/>
      <c r="G268" s="687"/>
      <c r="H268" s="687"/>
      <c r="I268" s="687"/>
      <c r="J268" s="687"/>
      <c r="K268" s="687"/>
      <c r="L268" s="687"/>
      <c r="M268" s="687"/>
      <c r="N268" s="687"/>
      <c r="O268" s="687"/>
      <c r="P268" s="687"/>
      <c r="Q268" s="687"/>
      <c r="R268" s="687"/>
      <c r="S268" s="687"/>
      <c r="T268" s="687"/>
      <c r="U268" s="687"/>
      <c r="V268" s="687"/>
      <c r="W268" s="687"/>
      <c r="X268" s="687"/>
      <c r="Y268" s="687"/>
      <c r="Z268" s="687"/>
    </row>
    <row r="269" customHeight="1" spans="1:26">
      <c r="A269" s="686"/>
      <c r="B269" s="686"/>
      <c r="C269" s="686"/>
      <c r="D269" s="687"/>
      <c r="E269" s="687"/>
      <c r="F269" s="687"/>
      <c r="G269" s="687"/>
      <c r="H269" s="687"/>
      <c r="I269" s="687"/>
      <c r="J269" s="687"/>
      <c r="K269" s="687"/>
      <c r="L269" s="687"/>
      <c r="M269" s="687"/>
      <c r="N269" s="687"/>
      <c r="O269" s="687"/>
      <c r="P269" s="687"/>
      <c r="Q269" s="687"/>
      <c r="R269" s="687"/>
      <c r="S269" s="687"/>
      <c r="T269" s="687"/>
      <c r="U269" s="687"/>
      <c r="V269" s="687"/>
      <c r="W269" s="687"/>
      <c r="X269" s="687"/>
      <c r="Y269" s="687"/>
      <c r="Z269" s="687"/>
    </row>
    <row r="270" customHeight="1" spans="1:26">
      <c r="A270" s="686"/>
      <c r="B270" s="686"/>
      <c r="C270" s="686"/>
      <c r="D270" s="687"/>
      <c r="E270" s="687"/>
      <c r="F270" s="687"/>
      <c r="G270" s="687"/>
      <c r="H270" s="687"/>
      <c r="I270" s="687"/>
      <c r="J270" s="687"/>
      <c r="K270" s="687"/>
      <c r="L270" s="687"/>
      <c r="M270" s="687"/>
      <c r="N270" s="687"/>
      <c r="O270" s="687"/>
      <c r="P270" s="687"/>
      <c r="Q270" s="687"/>
      <c r="R270" s="687"/>
      <c r="S270" s="687"/>
      <c r="T270" s="687"/>
      <c r="U270" s="687"/>
      <c r="V270" s="687"/>
      <c r="W270" s="687"/>
      <c r="X270" s="687"/>
      <c r="Y270" s="687"/>
      <c r="Z270" s="687"/>
    </row>
    <row r="271" customHeight="1" spans="1:26">
      <c r="A271" s="686"/>
      <c r="B271" s="686"/>
      <c r="C271" s="686"/>
      <c r="D271" s="687"/>
      <c r="E271" s="687"/>
      <c r="F271" s="687"/>
      <c r="G271" s="687"/>
      <c r="H271" s="687"/>
      <c r="I271" s="687"/>
      <c r="J271" s="687"/>
      <c r="K271" s="687"/>
      <c r="L271" s="687"/>
      <c r="M271" s="687"/>
      <c r="N271" s="687"/>
      <c r="O271" s="687"/>
      <c r="P271" s="687"/>
      <c r="Q271" s="687"/>
      <c r="R271" s="687"/>
      <c r="S271" s="687"/>
      <c r="T271" s="687"/>
      <c r="U271" s="687"/>
      <c r="V271" s="687"/>
      <c r="W271" s="687"/>
      <c r="X271" s="687"/>
      <c r="Y271" s="687"/>
      <c r="Z271" s="687"/>
    </row>
    <row r="272" customHeight="1" spans="1:26">
      <c r="A272" s="686"/>
      <c r="B272" s="686"/>
      <c r="C272" s="686"/>
      <c r="D272" s="687"/>
      <c r="E272" s="687"/>
      <c r="F272" s="687"/>
      <c r="G272" s="687"/>
      <c r="H272" s="687"/>
      <c r="I272" s="687"/>
      <c r="J272" s="687"/>
      <c r="K272" s="687"/>
      <c r="L272" s="687"/>
      <c r="M272" s="687"/>
      <c r="N272" s="687"/>
      <c r="O272" s="687"/>
      <c r="P272" s="687"/>
      <c r="Q272" s="687"/>
      <c r="R272" s="687"/>
      <c r="S272" s="687"/>
      <c r="T272" s="687"/>
      <c r="U272" s="687"/>
      <c r="V272" s="687"/>
      <c r="W272" s="687"/>
      <c r="X272" s="687"/>
      <c r="Y272" s="687"/>
      <c r="Z272" s="687"/>
    </row>
    <row r="273" customHeight="1" spans="1:26">
      <c r="A273" s="686"/>
      <c r="B273" s="686"/>
      <c r="C273" s="686"/>
      <c r="D273" s="687"/>
      <c r="E273" s="687"/>
      <c r="F273" s="687"/>
      <c r="G273" s="687"/>
      <c r="H273" s="687"/>
      <c r="I273" s="687"/>
      <c r="J273" s="687"/>
      <c r="K273" s="687"/>
      <c r="L273" s="687"/>
      <c r="M273" s="687"/>
      <c r="N273" s="687"/>
      <c r="O273" s="687"/>
      <c r="P273" s="687"/>
      <c r="Q273" s="687"/>
      <c r="R273" s="687"/>
      <c r="S273" s="687"/>
      <c r="T273" s="687"/>
      <c r="U273" s="687"/>
      <c r="V273" s="687"/>
      <c r="W273" s="687"/>
      <c r="X273" s="687"/>
      <c r="Y273" s="687"/>
      <c r="Z273" s="687"/>
    </row>
    <row r="274" customHeight="1" spans="1:26">
      <c r="A274" s="686"/>
      <c r="B274" s="686"/>
      <c r="C274" s="686"/>
      <c r="D274" s="687"/>
      <c r="E274" s="687"/>
      <c r="F274" s="687"/>
      <c r="G274" s="687"/>
      <c r="H274" s="687"/>
      <c r="I274" s="687"/>
      <c r="J274" s="687"/>
      <c r="K274" s="687"/>
      <c r="L274" s="687"/>
      <c r="M274" s="687"/>
      <c r="N274" s="687"/>
      <c r="O274" s="687"/>
      <c r="P274" s="687"/>
      <c r="Q274" s="687"/>
      <c r="R274" s="687"/>
      <c r="S274" s="687"/>
      <c r="T274" s="687"/>
      <c r="U274" s="687"/>
      <c r="V274" s="687"/>
      <c r="W274" s="687"/>
      <c r="X274" s="687"/>
      <c r="Y274" s="687"/>
      <c r="Z274" s="687"/>
    </row>
    <row r="275" customHeight="1" spans="1:26">
      <c r="A275" s="686"/>
      <c r="B275" s="686"/>
      <c r="C275" s="686"/>
      <c r="D275" s="687"/>
      <c r="E275" s="687"/>
      <c r="F275" s="687"/>
      <c r="G275" s="687"/>
      <c r="H275" s="687"/>
      <c r="I275" s="687"/>
      <c r="J275" s="687"/>
      <c r="K275" s="687"/>
      <c r="L275" s="687"/>
      <c r="M275" s="687"/>
      <c r="N275" s="687"/>
      <c r="O275" s="687"/>
      <c r="P275" s="687"/>
      <c r="Q275" s="687"/>
      <c r="R275" s="687"/>
      <c r="S275" s="687"/>
      <c r="T275" s="687"/>
      <c r="U275" s="687"/>
      <c r="V275" s="687"/>
      <c r="W275" s="687"/>
      <c r="X275" s="687"/>
      <c r="Y275" s="687"/>
      <c r="Z275" s="687"/>
    </row>
    <row r="276" customHeight="1" spans="1:26">
      <c r="A276" s="686"/>
      <c r="B276" s="686"/>
      <c r="C276" s="686"/>
      <c r="D276" s="687"/>
      <c r="E276" s="687"/>
      <c r="F276" s="687"/>
      <c r="G276" s="687"/>
      <c r="H276" s="687"/>
      <c r="I276" s="687"/>
      <c r="J276" s="687"/>
      <c r="K276" s="687"/>
      <c r="L276" s="687"/>
      <c r="M276" s="687"/>
      <c r="N276" s="687"/>
      <c r="O276" s="687"/>
      <c r="P276" s="687"/>
      <c r="Q276" s="687"/>
      <c r="R276" s="687"/>
      <c r="S276" s="687"/>
      <c r="T276" s="687"/>
      <c r="U276" s="687"/>
      <c r="V276" s="687"/>
      <c r="W276" s="687"/>
      <c r="X276" s="687"/>
      <c r="Y276" s="687"/>
      <c r="Z276" s="687"/>
    </row>
    <row r="277" customHeight="1" spans="1:26">
      <c r="A277" s="686"/>
      <c r="B277" s="686"/>
      <c r="C277" s="686"/>
      <c r="D277" s="687"/>
      <c r="E277" s="687"/>
      <c r="F277" s="687"/>
      <c r="G277" s="687"/>
      <c r="H277" s="687"/>
      <c r="I277" s="687"/>
      <c r="J277" s="687"/>
      <c r="K277" s="687"/>
      <c r="L277" s="687"/>
      <c r="M277" s="687"/>
      <c r="N277" s="687"/>
      <c r="O277" s="687"/>
      <c r="P277" s="687"/>
      <c r="Q277" s="687"/>
      <c r="R277" s="687"/>
      <c r="S277" s="687"/>
      <c r="T277" s="687"/>
      <c r="U277" s="687"/>
      <c r="V277" s="687"/>
      <c r="W277" s="687"/>
      <c r="X277" s="687"/>
      <c r="Y277" s="687"/>
      <c r="Z277" s="687"/>
    </row>
    <row r="278" customHeight="1" spans="1:26">
      <c r="A278" s="686"/>
      <c r="B278" s="686"/>
      <c r="C278" s="686"/>
      <c r="D278" s="687"/>
      <c r="E278" s="687"/>
      <c r="F278" s="687"/>
      <c r="G278" s="687"/>
      <c r="H278" s="687"/>
      <c r="I278" s="687"/>
      <c r="J278" s="687"/>
      <c r="K278" s="687"/>
      <c r="L278" s="687"/>
      <c r="M278" s="687"/>
      <c r="N278" s="687"/>
      <c r="O278" s="687"/>
      <c r="P278" s="687"/>
      <c r="Q278" s="687"/>
      <c r="R278" s="687"/>
      <c r="S278" s="687"/>
      <c r="T278" s="687"/>
      <c r="U278" s="687"/>
      <c r="V278" s="687"/>
      <c r="W278" s="687"/>
      <c r="X278" s="687"/>
      <c r="Y278" s="687"/>
      <c r="Z278" s="687"/>
    </row>
    <row r="279" customHeight="1" spans="1:26">
      <c r="A279" s="686"/>
      <c r="B279" s="686"/>
      <c r="C279" s="686"/>
      <c r="D279" s="687"/>
      <c r="E279" s="687"/>
      <c r="F279" s="687"/>
      <c r="G279" s="687"/>
      <c r="H279" s="687"/>
      <c r="I279" s="687"/>
      <c r="J279" s="687"/>
      <c r="K279" s="687"/>
      <c r="L279" s="687"/>
      <c r="M279" s="687"/>
      <c r="N279" s="687"/>
      <c r="O279" s="687"/>
      <c r="P279" s="687"/>
      <c r="Q279" s="687"/>
      <c r="R279" s="687"/>
      <c r="S279" s="687"/>
      <c r="T279" s="687"/>
      <c r="U279" s="687"/>
      <c r="V279" s="687"/>
      <c r="W279" s="687"/>
      <c r="X279" s="687"/>
      <c r="Y279" s="687"/>
      <c r="Z279" s="687"/>
    </row>
    <row r="280" customHeight="1" spans="1:26">
      <c r="A280" s="686"/>
      <c r="B280" s="686"/>
      <c r="C280" s="686"/>
      <c r="D280" s="687"/>
      <c r="E280" s="687"/>
      <c r="F280" s="687"/>
      <c r="G280" s="687"/>
      <c r="H280" s="687"/>
      <c r="I280" s="687"/>
      <c r="J280" s="687"/>
      <c r="K280" s="687"/>
      <c r="L280" s="687"/>
      <c r="M280" s="687"/>
      <c r="N280" s="687"/>
      <c r="O280" s="687"/>
      <c r="P280" s="687"/>
      <c r="Q280" s="687"/>
      <c r="R280" s="687"/>
      <c r="S280" s="687"/>
      <c r="T280" s="687"/>
      <c r="U280" s="687"/>
      <c r="V280" s="687"/>
      <c r="W280" s="687"/>
      <c r="X280" s="687"/>
      <c r="Y280" s="687"/>
      <c r="Z280" s="687"/>
    </row>
    <row r="281" customHeight="1" spans="1:26">
      <c r="A281" s="686"/>
      <c r="B281" s="686"/>
      <c r="C281" s="686"/>
      <c r="D281" s="687"/>
      <c r="E281" s="687"/>
      <c r="F281" s="687"/>
      <c r="G281" s="687"/>
      <c r="H281" s="687"/>
      <c r="I281" s="687"/>
      <c r="J281" s="687"/>
      <c r="K281" s="687"/>
      <c r="L281" s="687"/>
      <c r="M281" s="687"/>
      <c r="N281" s="687"/>
      <c r="O281" s="687"/>
      <c r="P281" s="687"/>
      <c r="Q281" s="687"/>
      <c r="R281" s="687"/>
      <c r="S281" s="687"/>
      <c r="T281" s="687"/>
      <c r="U281" s="687"/>
      <c r="V281" s="687"/>
      <c r="W281" s="687"/>
      <c r="X281" s="687"/>
      <c r="Y281" s="687"/>
      <c r="Z281" s="687"/>
    </row>
    <row r="282" customHeight="1" spans="1:26">
      <c r="A282" s="686"/>
      <c r="B282" s="686"/>
      <c r="C282" s="686"/>
      <c r="D282" s="687"/>
      <c r="E282" s="687"/>
      <c r="F282" s="687"/>
      <c r="G282" s="687"/>
      <c r="H282" s="687"/>
      <c r="I282" s="687"/>
      <c r="J282" s="687"/>
      <c r="K282" s="687"/>
      <c r="L282" s="687"/>
      <c r="M282" s="687"/>
      <c r="N282" s="687"/>
      <c r="O282" s="687"/>
      <c r="P282" s="687"/>
      <c r="Q282" s="687"/>
      <c r="R282" s="687"/>
      <c r="S282" s="687"/>
      <c r="T282" s="687"/>
      <c r="U282" s="687"/>
      <c r="V282" s="687"/>
      <c r="W282" s="687"/>
      <c r="X282" s="687"/>
      <c r="Y282" s="687"/>
      <c r="Z282" s="687"/>
    </row>
    <row r="283" customHeight="1" spans="1:26">
      <c r="A283" s="686"/>
      <c r="B283" s="686"/>
      <c r="C283" s="686"/>
      <c r="D283" s="687"/>
      <c r="E283" s="687"/>
      <c r="F283" s="687"/>
      <c r="G283" s="687"/>
      <c r="H283" s="687"/>
      <c r="I283" s="687"/>
      <c r="J283" s="687"/>
      <c r="K283" s="687"/>
      <c r="L283" s="687"/>
      <c r="M283" s="687"/>
      <c r="N283" s="687"/>
      <c r="O283" s="687"/>
      <c r="P283" s="687"/>
      <c r="Q283" s="687"/>
      <c r="R283" s="687"/>
      <c r="S283" s="687"/>
      <c r="T283" s="687"/>
      <c r="U283" s="687"/>
      <c r="V283" s="687"/>
      <c r="W283" s="687"/>
      <c r="X283" s="687"/>
      <c r="Y283" s="687"/>
      <c r="Z283" s="687"/>
    </row>
    <row r="284" customHeight="1" spans="1:26">
      <c r="A284" s="686"/>
      <c r="B284" s="686"/>
      <c r="C284" s="686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7"/>
      <c r="P284" s="687"/>
      <c r="Q284" s="687"/>
      <c r="R284" s="687"/>
      <c r="S284" s="687"/>
      <c r="T284" s="687"/>
      <c r="U284" s="687"/>
      <c r="V284" s="687"/>
      <c r="W284" s="687"/>
      <c r="X284" s="687"/>
      <c r="Y284" s="687"/>
      <c r="Z284" s="687"/>
    </row>
    <row r="285" customHeight="1" spans="1:26">
      <c r="A285" s="686"/>
      <c r="B285" s="686"/>
      <c r="C285" s="686"/>
      <c r="D285" s="687"/>
      <c r="E285" s="687"/>
      <c r="F285" s="687"/>
      <c r="G285" s="687"/>
      <c r="H285" s="687"/>
      <c r="I285" s="687"/>
      <c r="J285" s="687"/>
      <c r="K285" s="687"/>
      <c r="L285" s="687"/>
      <c r="M285" s="687"/>
      <c r="N285" s="687"/>
      <c r="O285" s="687"/>
      <c r="P285" s="687"/>
      <c r="Q285" s="687"/>
      <c r="R285" s="687"/>
      <c r="S285" s="687"/>
      <c r="T285" s="687"/>
      <c r="U285" s="687"/>
      <c r="V285" s="687"/>
      <c r="W285" s="687"/>
      <c r="X285" s="687"/>
      <c r="Y285" s="687"/>
      <c r="Z285" s="687"/>
    </row>
    <row r="286" customHeight="1" spans="1:26">
      <c r="A286" s="686"/>
      <c r="B286" s="686"/>
      <c r="C286" s="686"/>
      <c r="D286" s="687"/>
      <c r="E286" s="687"/>
      <c r="F286" s="687"/>
      <c r="G286" s="687"/>
      <c r="H286" s="687"/>
      <c r="I286" s="687"/>
      <c r="J286" s="687"/>
      <c r="K286" s="687"/>
      <c r="L286" s="687"/>
      <c r="M286" s="687"/>
      <c r="N286" s="687"/>
      <c r="O286" s="687"/>
      <c r="P286" s="687"/>
      <c r="Q286" s="687"/>
      <c r="R286" s="687"/>
      <c r="S286" s="687"/>
      <c r="T286" s="687"/>
      <c r="U286" s="687"/>
      <c r="V286" s="687"/>
      <c r="W286" s="687"/>
      <c r="X286" s="687"/>
      <c r="Y286" s="687"/>
      <c r="Z286" s="687"/>
    </row>
    <row r="287" customHeight="1" spans="1:26">
      <c r="A287" s="686"/>
      <c r="B287" s="686"/>
      <c r="C287" s="686"/>
      <c r="D287" s="687"/>
      <c r="E287" s="687"/>
      <c r="F287" s="687"/>
      <c r="G287" s="687"/>
      <c r="H287" s="687"/>
      <c r="I287" s="687"/>
      <c r="J287" s="687"/>
      <c r="K287" s="687"/>
      <c r="L287" s="687"/>
      <c r="M287" s="687"/>
      <c r="N287" s="687"/>
      <c r="O287" s="687"/>
      <c r="P287" s="687"/>
      <c r="Q287" s="687"/>
      <c r="R287" s="687"/>
      <c r="S287" s="687"/>
      <c r="T287" s="687"/>
      <c r="U287" s="687"/>
      <c r="V287" s="687"/>
      <c r="W287" s="687"/>
      <c r="X287" s="687"/>
      <c r="Y287" s="687"/>
      <c r="Z287" s="687"/>
    </row>
    <row r="288" customHeight="1" spans="1:26">
      <c r="A288" s="686"/>
      <c r="B288" s="686"/>
      <c r="C288" s="686"/>
      <c r="D288" s="687"/>
      <c r="E288" s="687"/>
      <c r="F288" s="687"/>
      <c r="G288" s="687"/>
      <c r="H288" s="687"/>
      <c r="I288" s="687"/>
      <c r="J288" s="687"/>
      <c r="K288" s="687"/>
      <c r="L288" s="687"/>
      <c r="M288" s="687"/>
      <c r="N288" s="687"/>
      <c r="O288" s="687"/>
      <c r="P288" s="687"/>
      <c r="Q288" s="687"/>
      <c r="R288" s="687"/>
      <c r="S288" s="687"/>
      <c r="T288" s="687"/>
      <c r="U288" s="687"/>
      <c r="V288" s="687"/>
      <c r="W288" s="687"/>
      <c r="X288" s="687"/>
      <c r="Y288" s="687"/>
      <c r="Z288" s="687"/>
    </row>
    <row r="289" customHeight="1" spans="1:26">
      <c r="A289" s="686"/>
      <c r="B289" s="686"/>
      <c r="C289" s="686"/>
      <c r="D289" s="687"/>
      <c r="E289" s="687"/>
      <c r="F289" s="687"/>
      <c r="G289" s="687"/>
      <c r="H289" s="687"/>
      <c r="I289" s="687"/>
      <c r="J289" s="687"/>
      <c r="K289" s="687"/>
      <c r="L289" s="687"/>
      <c r="M289" s="687"/>
      <c r="N289" s="687"/>
      <c r="O289" s="687"/>
      <c r="P289" s="687"/>
      <c r="Q289" s="687"/>
      <c r="R289" s="687"/>
      <c r="S289" s="687"/>
      <c r="T289" s="687"/>
      <c r="U289" s="687"/>
      <c r="V289" s="687"/>
      <c r="W289" s="687"/>
      <c r="X289" s="687"/>
      <c r="Y289" s="687"/>
      <c r="Z289" s="687"/>
    </row>
    <row r="290" customHeight="1" spans="1:26">
      <c r="A290" s="686"/>
      <c r="B290" s="686"/>
      <c r="C290" s="686"/>
      <c r="D290" s="687"/>
      <c r="E290" s="687"/>
      <c r="F290" s="687"/>
      <c r="G290" s="687"/>
      <c r="H290" s="687"/>
      <c r="I290" s="687"/>
      <c r="J290" s="687"/>
      <c r="K290" s="687"/>
      <c r="L290" s="687"/>
      <c r="M290" s="687"/>
      <c r="N290" s="687"/>
      <c r="O290" s="687"/>
      <c r="P290" s="687"/>
      <c r="Q290" s="687"/>
      <c r="R290" s="687"/>
      <c r="S290" s="687"/>
      <c r="T290" s="687"/>
      <c r="U290" s="687"/>
      <c r="V290" s="687"/>
      <c r="W290" s="687"/>
      <c r="X290" s="687"/>
      <c r="Y290" s="687"/>
      <c r="Z290" s="687"/>
    </row>
    <row r="291" customHeight="1" spans="1:26">
      <c r="A291" s="686"/>
      <c r="B291" s="686"/>
      <c r="C291" s="686"/>
      <c r="D291" s="687"/>
      <c r="E291" s="687"/>
      <c r="F291" s="687"/>
      <c r="G291" s="687"/>
      <c r="H291" s="687"/>
      <c r="I291" s="687"/>
      <c r="J291" s="687"/>
      <c r="K291" s="687"/>
      <c r="L291" s="687"/>
      <c r="M291" s="687"/>
      <c r="N291" s="687"/>
      <c r="O291" s="687"/>
      <c r="P291" s="687"/>
      <c r="Q291" s="687"/>
      <c r="R291" s="687"/>
      <c r="S291" s="687"/>
      <c r="T291" s="687"/>
      <c r="U291" s="687"/>
      <c r="V291" s="687"/>
      <c r="W291" s="687"/>
      <c r="X291" s="687"/>
      <c r="Y291" s="687"/>
      <c r="Z291" s="687"/>
    </row>
    <row r="292" customHeight="1" spans="1:26">
      <c r="A292" s="686"/>
      <c r="B292" s="686"/>
      <c r="C292" s="686"/>
      <c r="D292" s="687"/>
      <c r="E292" s="687"/>
      <c r="F292" s="687"/>
      <c r="G292" s="687"/>
      <c r="H292" s="687"/>
      <c r="I292" s="687"/>
      <c r="J292" s="687"/>
      <c r="K292" s="687"/>
      <c r="L292" s="687"/>
      <c r="M292" s="687"/>
      <c r="N292" s="687"/>
      <c r="O292" s="687"/>
      <c r="P292" s="687"/>
      <c r="Q292" s="687"/>
      <c r="R292" s="687"/>
      <c r="S292" s="687"/>
      <c r="T292" s="687"/>
      <c r="U292" s="687"/>
      <c r="V292" s="687"/>
      <c r="W292" s="687"/>
      <c r="X292" s="687"/>
      <c r="Y292" s="687"/>
      <c r="Z292" s="687"/>
    </row>
    <row r="293" customHeight="1" spans="1:26">
      <c r="A293" s="686"/>
      <c r="B293" s="686"/>
      <c r="C293" s="686"/>
      <c r="D293" s="687"/>
      <c r="E293" s="687"/>
      <c r="F293" s="687"/>
      <c r="G293" s="687"/>
      <c r="H293" s="687"/>
      <c r="I293" s="687"/>
      <c r="J293" s="687"/>
      <c r="K293" s="687"/>
      <c r="L293" s="687"/>
      <c r="M293" s="687"/>
      <c r="N293" s="687"/>
      <c r="O293" s="687"/>
      <c r="P293" s="687"/>
      <c r="Q293" s="687"/>
      <c r="R293" s="687"/>
      <c r="S293" s="687"/>
      <c r="T293" s="687"/>
      <c r="U293" s="687"/>
      <c r="V293" s="687"/>
      <c r="W293" s="687"/>
      <c r="X293" s="687"/>
      <c r="Y293" s="687"/>
      <c r="Z293" s="687"/>
    </row>
    <row r="294" customHeight="1" spans="1:26">
      <c r="A294" s="686"/>
      <c r="B294" s="686"/>
      <c r="C294" s="686"/>
      <c r="D294" s="687"/>
      <c r="E294" s="687"/>
      <c r="F294" s="687"/>
      <c r="G294" s="687"/>
      <c r="H294" s="687"/>
      <c r="I294" s="687"/>
      <c r="J294" s="687"/>
      <c r="K294" s="687"/>
      <c r="L294" s="687"/>
      <c r="M294" s="687"/>
      <c r="N294" s="687"/>
      <c r="O294" s="687"/>
      <c r="P294" s="687"/>
      <c r="Q294" s="687"/>
      <c r="R294" s="687"/>
      <c r="S294" s="687"/>
      <c r="T294" s="687"/>
      <c r="U294" s="687"/>
      <c r="V294" s="687"/>
      <c r="W294" s="687"/>
      <c r="X294" s="687"/>
      <c r="Y294" s="687"/>
      <c r="Z294" s="687"/>
    </row>
    <row r="295" customHeight="1" spans="1:26">
      <c r="A295" s="686"/>
      <c r="B295" s="686"/>
      <c r="C295" s="686"/>
      <c r="D295" s="687"/>
      <c r="E295" s="687"/>
      <c r="F295" s="687"/>
      <c r="G295" s="687"/>
      <c r="H295" s="687"/>
      <c r="I295" s="687"/>
      <c r="J295" s="687"/>
      <c r="K295" s="687"/>
      <c r="L295" s="687"/>
      <c r="M295" s="687"/>
      <c r="N295" s="687"/>
      <c r="O295" s="687"/>
      <c r="P295" s="687"/>
      <c r="Q295" s="687"/>
      <c r="R295" s="687"/>
      <c r="S295" s="687"/>
      <c r="T295" s="687"/>
      <c r="U295" s="687"/>
      <c r="V295" s="687"/>
      <c r="W295" s="687"/>
      <c r="X295" s="687"/>
      <c r="Y295" s="687"/>
      <c r="Z295" s="687"/>
    </row>
    <row r="296" customHeight="1" spans="1:26">
      <c r="A296" s="686"/>
      <c r="B296" s="686"/>
      <c r="C296" s="686"/>
      <c r="D296" s="687"/>
      <c r="E296" s="687"/>
      <c r="F296" s="687"/>
      <c r="G296" s="687"/>
      <c r="H296" s="687"/>
      <c r="I296" s="687"/>
      <c r="J296" s="687"/>
      <c r="K296" s="687"/>
      <c r="L296" s="687"/>
      <c r="M296" s="687"/>
      <c r="N296" s="687"/>
      <c r="O296" s="687"/>
      <c r="P296" s="687"/>
      <c r="Q296" s="687"/>
      <c r="R296" s="687"/>
      <c r="S296" s="687"/>
      <c r="T296" s="687"/>
      <c r="U296" s="687"/>
      <c r="V296" s="687"/>
      <c r="W296" s="687"/>
      <c r="X296" s="687"/>
      <c r="Y296" s="687"/>
      <c r="Z296" s="687"/>
    </row>
    <row r="297" customHeight="1" spans="1:26">
      <c r="A297" s="686"/>
      <c r="B297" s="686"/>
      <c r="C297" s="686"/>
      <c r="D297" s="687"/>
      <c r="E297" s="687"/>
      <c r="F297" s="687"/>
      <c r="G297" s="687"/>
      <c r="H297" s="687"/>
      <c r="I297" s="687"/>
      <c r="J297" s="687"/>
      <c r="K297" s="687"/>
      <c r="L297" s="687"/>
      <c r="M297" s="687"/>
      <c r="N297" s="687"/>
      <c r="O297" s="687"/>
      <c r="P297" s="687"/>
      <c r="Q297" s="687"/>
      <c r="R297" s="687"/>
      <c r="S297" s="687"/>
      <c r="T297" s="687"/>
      <c r="U297" s="687"/>
      <c r="V297" s="687"/>
      <c r="W297" s="687"/>
      <c r="X297" s="687"/>
      <c r="Y297" s="687"/>
      <c r="Z297" s="687"/>
    </row>
    <row r="298" customHeight="1" spans="1:26">
      <c r="A298" s="686"/>
      <c r="B298" s="686"/>
      <c r="C298" s="686"/>
      <c r="D298" s="687"/>
      <c r="E298" s="687"/>
      <c r="F298" s="687"/>
      <c r="G298" s="687"/>
      <c r="H298" s="687"/>
      <c r="I298" s="687"/>
      <c r="J298" s="687"/>
      <c r="K298" s="687"/>
      <c r="L298" s="687"/>
      <c r="M298" s="687"/>
      <c r="N298" s="687"/>
      <c r="O298" s="687"/>
      <c r="P298" s="687"/>
      <c r="Q298" s="687"/>
      <c r="R298" s="687"/>
      <c r="S298" s="687"/>
      <c r="T298" s="687"/>
      <c r="U298" s="687"/>
      <c r="V298" s="687"/>
      <c r="W298" s="687"/>
      <c r="X298" s="687"/>
      <c r="Y298" s="687"/>
      <c r="Z298" s="687"/>
    </row>
    <row r="299" customHeight="1" spans="1:26">
      <c r="A299" s="686"/>
      <c r="B299" s="686"/>
      <c r="C299" s="686"/>
      <c r="D299" s="687"/>
      <c r="E299" s="687"/>
      <c r="F299" s="687"/>
      <c r="G299" s="687"/>
      <c r="H299" s="687"/>
      <c r="I299" s="687"/>
      <c r="J299" s="687"/>
      <c r="K299" s="687"/>
      <c r="L299" s="687"/>
      <c r="M299" s="687"/>
      <c r="N299" s="687"/>
      <c r="O299" s="687"/>
      <c r="P299" s="687"/>
      <c r="Q299" s="687"/>
      <c r="R299" s="687"/>
      <c r="S299" s="687"/>
      <c r="T299" s="687"/>
      <c r="U299" s="687"/>
      <c r="V299" s="687"/>
      <c r="W299" s="687"/>
      <c r="X299" s="687"/>
      <c r="Y299" s="687"/>
      <c r="Z299" s="687"/>
    </row>
    <row r="300" customHeight="1" spans="1:26">
      <c r="A300" s="686"/>
      <c r="B300" s="686"/>
      <c r="C300" s="686"/>
      <c r="D300" s="687"/>
      <c r="E300" s="687"/>
      <c r="F300" s="687"/>
      <c r="G300" s="687"/>
      <c r="H300" s="687"/>
      <c r="I300" s="687"/>
      <c r="J300" s="687"/>
      <c r="K300" s="687"/>
      <c r="L300" s="687"/>
      <c r="M300" s="687"/>
      <c r="N300" s="687"/>
      <c r="O300" s="687"/>
      <c r="P300" s="687"/>
      <c r="Q300" s="687"/>
      <c r="R300" s="687"/>
      <c r="S300" s="687"/>
      <c r="T300" s="687"/>
      <c r="U300" s="687"/>
      <c r="V300" s="687"/>
      <c r="W300" s="687"/>
      <c r="X300" s="687"/>
      <c r="Y300" s="687"/>
      <c r="Z300" s="687"/>
    </row>
    <row r="301" customHeight="1" spans="1:26">
      <c r="A301" s="686"/>
      <c r="B301" s="686"/>
      <c r="C301" s="686"/>
      <c r="D301" s="687"/>
      <c r="E301" s="687"/>
      <c r="F301" s="687"/>
      <c r="G301" s="687"/>
      <c r="H301" s="687"/>
      <c r="I301" s="687"/>
      <c r="J301" s="687"/>
      <c r="K301" s="687"/>
      <c r="L301" s="687"/>
      <c r="M301" s="687"/>
      <c r="N301" s="687"/>
      <c r="O301" s="687"/>
      <c r="P301" s="687"/>
      <c r="Q301" s="687"/>
      <c r="R301" s="687"/>
      <c r="S301" s="687"/>
      <c r="T301" s="687"/>
      <c r="U301" s="687"/>
      <c r="V301" s="687"/>
      <c r="W301" s="687"/>
      <c r="X301" s="687"/>
      <c r="Y301" s="687"/>
      <c r="Z301" s="687"/>
    </row>
    <row r="302" customHeight="1" spans="1:26">
      <c r="A302" s="686"/>
      <c r="B302" s="686"/>
      <c r="C302" s="686"/>
      <c r="D302" s="687"/>
      <c r="E302" s="687"/>
      <c r="F302" s="687"/>
      <c r="G302" s="687"/>
      <c r="H302" s="687"/>
      <c r="I302" s="687"/>
      <c r="J302" s="687"/>
      <c r="K302" s="687"/>
      <c r="L302" s="687"/>
      <c r="M302" s="687"/>
      <c r="N302" s="687"/>
      <c r="O302" s="687"/>
      <c r="P302" s="687"/>
      <c r="Q302" s="687"/>
      <c r="R302" s="687"/>
      <c r="S302" s="687"/>
      <c r="T302" s="687"/>
      <c r="U302" s="687"/>
      <c r="V302" s="687"/>
      <c r="W302" s="687"/>
      <c r="X302" s="687"/>
      <c r="Y302" s="687"/>
      <c r="Z302" s="687"/>
    </row>
    <row r="303" customHeight="1" spans="1:26">
      <c r="A303" s="686"/>
      <c r="B303" s="686"/>
      <c r="C303" s="686"/>
      <c r="D303" s="687"/>
      <c r="E303" s="687"/>
      <c r="F303" s="687"/>
      <c r="G303" s="687"/>
      <c r="H303" s="687"/>
      <c r="I303" s="687"/>
      <c r="J303" s="687"/>
      <c r="K303" s="687"/>
      <c r="L303" s="687"/>
      <c r="M303" s="687"/>
      <c r="N303" s="687"/>
      <c r="O303" s="687"/>
      <c r="P303" s="687"/>
      <c r="Q303" s="687"/>
      <c r="R303" s="687"/>
      <c r="S303" s="687"/>
      <c r="T303" s="687"/>
      <c r="U303" s="687"/>
      <c r="V303" s="687"/>
      <c r="W303" s="687"/>
      <c r="X303" s="687"/>
      <c r="Y303" s="687"/>
      <c r="Z303" s="687"/>
    </row>
    <row r="304" customHeight="1" spans="1:26">
      <c r="A304" s="686"/>
      <c r="B304" s="686"/>
      <c r="C304" s="686"/>
      <c r="D304" s="687"/>
      <c r="E304" s="687"/>
      <c r="F304" s="687"/>
      <c r="G304" s="687"/>
      <c r="H304" s="687"/>
      <c r="I304" s="687"/>
      <c r="J304" s="687"/>
      <c r="K304" s="687"/>
      <c r="L304" s="687"/>
      <c r="M304" s="687"/>
      <c r="N304" s="687"/>
      <c r="O304" s="687"/>
      <c r="P304" s="687"/>
      <c r="Q304" s="687"/>
      <c r="R304" s="687"/>
      <c r="S304" s="687"/>
      <c r="T304" s="687"/>
      <c r="U304" s="687"/>
      <c r="V304" s="687"/>
      <c r="W304" s="687"/>
      <c r="X304" s="687"/>
      <c r="Y304" s="687"/>
      <c r="Z304" s="687"/>
    </row>
    <row r="305" customHeight="1" spans="1:26">
      <c r="A305" s="686"/>
      <c r="B305" s="686"/>
      <c r="C305" s="686"/>
      <c r="D305" s="687"/>
      <c r="E305" s="687"/>
      <c r="F305" s="687"/>
      <c r="G305" s="687"/>
      <c r="H305" s="687"/>
      <c r="I305" s="687"/>
      <c r="J305" s="687"/>
      <c r="K305" s="687"/>
      <c r="L305" s="687"/>
      <c r="M305" s="687"/>
      <c r="N305" s="687"/>
      <c r="O305" s="687"/>
      <c r="P305" s="687"/>
      <c r="Q305" s="687"/>
      <c r="R305" s="687"/>
      <c r="S305" s="687"/>
      <c r="T305" s="687"/>
      <c r="U305" s="687"/>
      <c r="V305" s="687"/>
      <c r="W305" s="687"/>
      <c r="X305" s="687"/>
      <c r="Y305" s="687"/>
      <c r="Z305" s="687"/>
    </row>
    <row r="306" customHeight="1" spans="1:26">
      <c r="A306" s="686"/>
      <c r="B306" s="686"/>
      <c r="C306" s="686"/>
      <c r="D306" s="687"/>
      <c r="E306" s="687"/>
      <c r="F306" s="687"/>
      <c r="G306" s="687"/>
      <c r="H306" s="687"/>
      <c r="I306" s="687"/>
      <c r="J306" s="687"/>
      <c r="K306" s="687"/>
      <c r="L306" s="687"/>
      <c r="M306" s="687"/>
      <c r="N306" s="687"/>
      <c r="O306" s="687"/>
      <c r="P306" s="687"/>
      <c r="Q306" s="687"/>
      <c r="R306" s="687"/>
      <c r="S306" s="687"/>
      <c r="T306" s="687"/>
      <c r="U306" s="687"/>
      <c r="V306" s="687"/>
      <c r="W306" s="687"/>
      <c r="X306" s="687"/>
      <c r="Y306" s="687"/>
      <c r="Z306" s="687"/>
    </row>
    <row r="307" customHeight="1" spans="1:26">
      <c r="A307" s="686"/>
      <c r="B307" s="686"/>
      <c r="C307" s="686"/>
      <c r="D307" s="687"/>
      <c r="E307" s="687"/>
      <c r="F307" s="687"/>
      <c r="G307" s="687"/>
      <c r="H307" s="687"/>
      <c r="I307" s="687"/>
      <c r="J307" s="687"/>
      <c r="K307" s="687"/>
      <c r="L307" s="687"/>
      <c r="M307" s="687"/>
      <c r="N307" s="687"/>
      <c r="O307" s="687"/>
      <c r="P307" s="687"/>
      <c r="Q307" s="687"/>
      <c r="R307" s="687"/>
      <c r="S307" s="687"/>
      <c r="T307" s="687"/>
      <c r="U307" s="687"/>
      <c r="V307" s="687"/>
      <c r="W307" s="687"/>
      <c r="X307" s="687"/>
      <c r="Y307" s="687"/>
      <c r="Z307" s="687"/>
    </row>
    <row r="308" customHeight="1" spans="1:26">
      <c r="A308" s="686"/>
      <c r="B308" s="686"/>
      <c r="C308" s="686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7"/>
      <c r="P308" s="687"/>
      <c r="Q308" s="687"/>
      <c r="R308" s="687"/>
      <c r="S308" s="687"/>
      <c r="T308" s="687"/>
      <c r="U308" s="687"/>
      <c r="V308" s="687"/>
      <c r="W308" s="687"/>
      <c r="X308" s="687"/>
      <c r="Y308" s="687"/>
      <c r="Z308" s="687"/>
    </row>
    <row r="309" customHeight="1" spans="1:26">
      <c r="A309" s="686"/>
      <c r="B309" s="686"/>
      <c r="C309" s="686"/>
      <c r="D309" s="687"/>
      <c r="E309" s="687"/>
      <c r="F309" s="687"/>
      <c r="G309" s="687"/>
      <c r="H309" s="687"/>
      <c r="I309" s="687"/>
      <c r="J309" s="687"/>
      <c r="K309" s="687"/>
      <c r="L309" s="687"/>
      <c r="M309" s="687"/>
      <c r="N309" s="687"/>
      <c r="O309" s="687"/>
      <c r="P309" s="687"/>
      <c r="Q309" s="687"/>
      <c r="R309" s="687"/>
      <c r="S309" s="687"/>
      <c r="T309" s="687"/>
      <c r="U309" s="687"/>
      <c r="V309" s="687"/>
      <c r="W309" s="687"/>
      <c r="X309" s="687"/>
      <c r="Y309" s="687"/>
      <c r="Z309" s="687"/>
    </row>
    <row r="310" customHeight="1" spans="1:26">
      <c r="A310" s="686"/>
      <c r="B310" s="686"/>
      <c r="C310" s="686"/>
      <c r="D310" s="687"/>
      <c r="E310" s="687"/>
      <c r="F310" s="687"/>
      <c r="G310" s="687"/>
      <c r="H310" s="687"/>
      <c r="I310" s="687"/>
      <c r="J310" s="687"/>
      <c r="K310" s="687"/>
      <c r="L310" s="687"/>
      <c r="M310" s="687"/>
      <c r="N310" s="687"/>
      <c r="O310" s="687"/>
      <c r="P310" s="687"/>
      <c r="Q310" s="687"/>
      <c r="R310" s="687"/>
      <c r="S310" s="687"/>
      <c r="T310" s="687"/>
      <c r="U310" s="687"/>
      <c r="V310" s="687"/>
      <c r="W310" s="687"/>
      <c r="X310" s="687"/>
      <c r="Y310" s="687"/>
      <c r="Z310" s="687"/>
    </row>
    <row r="311" customHeight="1" spans="1:26">
      <c r="A311" s="686"/>
      <c r="B311" s="686"/>
      <c r="C311" s="686"/>
      <c r="D311" s="687"/>
      <c r="E311" s="687"/>
      <c r="F311" s="687"/>
      <c r="G311" s="687"/>
      <c r="H311" s="687"/>
      <c r="I311" s="687"/>
      <c r="J311" s="687"/>
      <c r="K311" s="687"/>
      <c r="L311" s="687"/>
      <c r="M311" s="687"/>
      <c r="N311" s="687"/>
      <c r="O311" s="687"/>
      <c r="P311" s="687"/>
      <c r="Q311" s="687"/>
      <c r="R311" s="687"/>
      <c r="S311" s="687"/>
      <c r="T311" s="687"/>
      <c r="U311" s="687"/>
      <c r="V311" s="687"/>
      <c r="W311" s="687"/>
      <c r="X311" s="687"/>
      <c r="Y311" s="687"/>
      <c r="Z311" s="687"/>
    </row>
    <row r="312" customHeight="1" spans="1:26">
      <c r="A312" s="686"/>
      <c r="B312" s="686"/>
      <c r="C312" s="686"/>
      <c r="D312" s="687"/>
      <c r="E312" s="687"/>
      <c r="F312" s="687"/>
      <c r="G312" s="687"/>
      <c r="H312" s="687"/>
      <c r="I312" s="687"/>
      <c r="J312" s="687"/>
      <c r="K312" s="687"/>
      <c r="L312" s="687"/>
      <c r="M312" s="687"/>
      <c r="N312" s="687"/>
      <c r="O312" s="687"/>
      <c r="P312" s="687"/>
      <c r="Q312" s="687"/>
      <c r="R312" s="687"/>
      <c r="S312" s="687"/>
      <c r="T312" s="687"/>
      <c r="U312" s="687"/>
      <c r="V312" s="687"/>
      <c r="W312" s="687"/>
      <c r="X312" s="687"/>
      <c r="Y312" s="687"/>
      <c r="Z312" s="687"/>
    </row>
    <row r="313" customHeight="1" spans="1:26">
      <c r="A313" s="686"/>
      <c r="B313" s="686"/>
      <c r="C313" s="686"/>
      <c r="D313" s="687"/>
      <c r="E313" s="687"/>
      <c r="F313" s="687"/>
      <c r="G313" s="687"/>
      <c r="H313" s="687"/>
      <c r="I313" s="687"/>
      <c r="J313" s="687"/>
      <c r="K313" s="687"/>
      <c r="L313" s="687"/>
      <c r="M313" s="687"/>
      <c r="N313" s="687"/>
      <c r="O313" s="687"/>
      <c r="P313" s="687"/>
      <c r="Q313" s="687"/>
      <c r="R313" s="687"/>
      <c r="S313" s="687"/>
      <c r="T313" s="687"/>
      <c r="U313" s="687"/>
      <c r="V313" s="687"/>
      <c r="W313" s="687"/>
      <c r="X313" s="687"/>
      <c r="Y313" s="687"/>
      <c r="Z313" s="687"/>
    </row>
    <row r="314" customHeight="1" spans="1:26">
      <c r="A314" s="686"/>
      <c r="B314" s="686"/>
      <c r="C314" s="686"/>
      <c r="D314" s="687"/>
      <c r="E314" s="687"/>
      <c r="F314" s="687"/>
      <c r="G314" s="687"/>
      <c r="H314" s="687"/>
      <c r="I314" s="687"/>
      <c r="J314" s="687"/>
      <c r="K314" s="687"/>
      <c r="L314" s="687"/>
      <c r="M314" s="687"/>
      <c r="N314" s="687"/>
      <c r="O314" s="687"/>
      <c r="P314" s="687"/>
      <c r="Q314" s="687"/>
      <c r="R314" s="687"/>
      <c r="S314" s="687"/>
      <c r="T314" s="687"/>
      <c r="U314" s="687"/>
      <c r="V314" s="687"/>
      <c r="W314" s="687"/>
      <c r="X314" s="687"/>
      <c r="Y314" s="687"/>
      <c r="Z314" s="687"/>
    </row>
    <row r="315" customHeight="1" spans="1:26">
      <c r="A315" s="686"/>
      <c r="B315" s="686"/>
      <c r="C315" s="686"/>
      <c r="D315" s="687"/>
      <c r="E315" s="687"/>
      <c r="F315" s="687"/>
      <c r="G315" s="687"/>
      <c r="H315" s="687"/>
      <c r="I315" s="687"/>
      <c r="J315" s="687"/>
      <c r="K315" s="687"/>
      <c r="L315" s="687"/>
      <c r="M315" s="687"/>
      <c r="N315" s="687"/>
      <c r="O315" s="687"/>
      <c r="P315" s="687"/>
      <c r="Q315" s="687"/>
      <c r="R315" s="687"/>
      <c r="S315" s="687"/>
      <c r="T315" s="687"/>
      <c r="U315" s="687"/>
      <c r="V315" s="687"/>
      <c r="W315" s="687"/>
      <c r="X315" s="687"/>
      <c r="Y315" s="687"/>
      <c r="Z315" s="687"/>
    </row>
    <row r="316" customHeight="1" spans="1:26">
      <c r="A316" s="686"/>
      <c r="B316" s="686"/>
      <c r="C316" s="686"/>
      <c r="D316" s="687"/>
      <c r="E316" s="687"/>
      <c r="F316" s="687"/>
      <c r="G316" s="687"/>
      <c r="H316" s="687"/>
      <c r="I316" s="687"/>
      <c r="J316" s="687"/>
      <c r="K316" s="687"/>
      <c r="L316" s="687"/>
      <c r="M316" s="687"/>
      <c r="N316" s="687"/>
      <c r="O316" s="687"/>
      <c r="P316" s="687"/>
      <c r="Q316" s="687"/>
      <c r="R316" s="687"/>
      <c r="S316" s="687"/>
      <c r="T316" s="687"/>
      <c r="U316" s="687"/>
      <c r="V316" s="687"/>
      <c r="W316" s="687"/>
      <c r="X316" s="687"/>
      <c r="Y316" s="687"/>
      <c r="Z316" s="687"/>
    </row>
    <row r="317" customHeight="1" spans="1:26">
      <c r="A317" s="686"/>
      <c r="B317" s="686"/>
      <c r="C317" s="686"/>
      <c r="D317" s="687"/>
      <c r="E317" s="687"/>
      <c r="F317" s="687"/>
      <c r="G317" s="687"/>
      <c r="H317" s="687"/>
      <c r="I317" s="687"/>
      <c r="J317" s="687"/>
      <c r="K317" s="687"/>
      <c r="L317" s="687"/>
      <c r="M317" s="687"/>
      <c r="N317" s="687"/>
      <c r="O317" s="687"/>
      <c r="P317" s="687"/>
      <c r="Q317" s="687"/>
      <c r="R317" s="687"/>
      <c r="S317" s="687"/>
      <c r="T317" s="687"/>
      <c r="U317" s="687"/>
      <c r="V317" s="687"/>
      <c r="W317" s="687"/>
      <c r="X317" s="687"/>
      <c r="Y317" s="687"/>
      <c r="Z317" s="687"/>
    </row>
    <row r="318" customHeight="1" spans="1:26">
      <c r="A318" s="686"/>
      <c r="B318" s="686"/>
      <c r="C318" s="686"/>
      <c r="D318" s="687"/>
      <c r="E318" s="687"/>
      <c r="F318" s="687"/>
      <c r="G318" s="687"/>
      <c r="H318" s="687"/>
      <c r="I318" s="687"/>
      <c r="J318" s="687"/>
      <c r="K318" s="687"/>
      <c r="L318" s="687"/>
      <c r="M318" s="687"/>
      <c r="N318" s="687"/>
      <c r="O318" s="687"/>
      <c r="P318" s="687"/>
      <c r="Q318" s="687"/>
      <c r="R318" s="687"/>
      <c r="S318" s="687"/>
      <c r="T318" s="687"/>
      <c r="U318" s="687"/>
      <c r="V318" s="687"/>
      <c r="W318" s="687"/>
      <c r="X318" s="687"/>
      <c r="Y318" s="687"/>
      <c r="Z318" s="687"/>
    </row>
    <row r="319" customHeight="1" spans="1:26">
      <c r="A319" s="686"/>
      <c r="B319" s="686"/>
      <c r="C319" s="686"/>
      <c r="D319" s="687"/>
      <c r="E319" s="687"/>
      <c r="F319" s="687"/>
      <c r="G319" s="687"/>
      <c r="H319" s="687"/>
      <c r="I319" s="687"/>
      <c r="J319" s="687"/>
      <c r="K319" s="687"/>
      <c r="L319" s="687"/>
      <c r="M319" s="687"/>
      <c r="N319" s="687"/>
      <c r="O319" s="687"/>
      <c r="P319" s="687"/>
      <c r="Q319" s="687"/>
      <c r="R319" s="687"/>
      <c r="S319" s="687"/>
      <c r="T319" s="687"/>
      <c r="U319" s="687"/>
      <c r="V319" s="687"/>
      <c r="W319" s="687"/>
      <c r="X319" s="687"/>
      <c r="Y319" s="687"/>
      <c r="Z319" s="687"/>
    </row>
    <row r="320" customHeight="1" spans="1:26">
      <c r="A320" s="686"/>
      <c r="B320" s="686"/>
      <c r="C320" s="686"/>
      <c r="D320" s="687"/>
      <c r="E320" s="687"/>
      <c r="F320" s="687"/>
      <c r="G320" s="687"/>
      <c r="H320" s="687"/>
      <c r="I320" s="687"/>
      <c r="J320" s="687"/>
      <c r="K320" s="687"/>
      <c r="L320" s="687"/>
      <c r="M320" s="687"/>
      <c r="N320" s="687"/>
      <c r="O320" s="687"/>
      <c r="P320" s="687"/>
      <c r="Q320" s="687"/>
      <c r="R320" s="687"/>
      <c r="S320" s="687"/>
      <c r="T320" s="687"/>
      <c r="U320" s="687"/>
      <c r="V320" s="687"/>
      <c r="W320" s="687"/>
      <c r="X320" s="687"/>
      <c r="Y320" s="687"/>
      <c r="Z320" s="687"/>
    </row>
    <row r="321" customHeight="1" spans="1:26">
      <c r="A321" s="686"/>
      <c r="B321" s="686"/>
      <c r="C321" s="686"/>
      <c r="D321" s="687"/>
      <c r="E321" s="687"/>
      <c r="F321" s="687"/>
      <c r="G321" s="687"/>
      <c r="H321" s="687"/>
      <c r="I321" s="687"/>
      <c r="J321" s="687"/>
      <c r="K321" s="687"/>
      <c r="L321" s="687"/>
      <c r="M321" s="687"/>
      <c r="N321" s="687"/>
      <c r="O321" s="687"/>
      <c r="P321" s="687"/>
      <c r="Q321" s="687"/>
      <c r="R321" s="687"/>
      <c r="S321" s="687"/>
      <c r="T321" s="687"/>
      <c r="U321" s="687"/>
      <c r="V321" s="687"/>
      <c r="W321" s="687"/>
      <c r="X321" s="687"/>
      <c r="Y321" s="687"/>
      <c r="Z321" s="687"/>
    </row>
    <row r="322" customHeight="1" spans="1:26">
      <c r="A322" s="686"/>
      <c r="B322" s="686"/>
      <c r="C322" s="686"/>
      <c r="D322" s="687"/>
      <c r="E322" s="687"/>
      <c r="F322" s="687"/>
      <c r="G322" s="687"/>
      <c r="H322" s="687"/>
      <c r="I322" s="687"/>
      <c r="J322" s="687"/>
      <c r="K322" s="687"/>
      <c r="L322" s="687"/>
      <c r="M322" s="687"/>
      <c r="N322" s="687"/>
      <c r="O322" s="687"/>
      <c r="P322" s="687"/>
      <c r="Q322" s="687"/>
      <c r="R322" s="687"/>
      <c r="S322" s="687"/>
      <c r="T322" s="687"/>
      <c r="U322" s="687"/>
      <c r="V322" s="687"/>
      <c r="W322" s="687"/>
      <c r="X322" s="687"/>
      <c r="Y322" s="687"/>
      <c r="Z322" s="687"/>
    </row>
    <row r="323" customHeight="1" spans="1:26">
      <c r="A323" s="686"/>
      <c r="B323" s="686"/>
      <c r="C323" s="686"/>
      <c r="D323" s="687"/>
      <c r="E323" s="687"/>
      <c r="F323" s="687"/>
      <c r="G323" s="687"/>
      <c r="H323" s="687"/>
      <c r="I323" s="687"/>
      <c r="J323" s="687"/>
      <c r="K323" s="687"/>
      <c r="L323" s="687"/>
      <c r="M323" s="687"/>
      <c r="N323" s="687"/>
      <c r="O323" s="687"/>
      <c r="P323" s="687"/>
      <c r="Q323" s="687"/>
      <c r="R323" s="687"/>
      <c r="S323" s="687"/>
      <c r="T323" s="687"/>
      <c r="U323" s="687"/>
      <c r="V323" s="687"/>
      <c r="W323" s="687"/>
      <c r="X323" s="687"/>
      <c r="Y323" s="687"/>
      <c r="Z323" s="687"/>
    </row>
    <row r="324" customHeight="1" spans="1:26">
      <c r="A324" s="686"/>
      <c r="B324" s="686"/>
      <c r="C324" s="686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7"/>
      <c r="P324" s="687"/>
      <c r="Q324" s="687"/>
      <c r="R324" s="687"/>
      <c r="S324" s="687"/>
      <c r="T324" s="687"/>
      <c r="U324" s="687"/>
      <c r="V324" s="687"/>
      <c r="W324" s="687"/>
      <c r="X324" s="687"/>
      <c r="Y324" s="687"/>
      <c r="Z324" s="687"/>
    </row>
    <row r="325" customHeight="1" spans="1:26">
      <c r="A325" s="686"/>
      <c r="B325" s="686"/>
      <c r="C325" s="686"/>
      <c r="D325" s="687"/>
      <c r="E325" s="687"/>
      <c r="F325" s="687"/>
      <c r="G325" s="687"/>
      <c r="H325" s="687"/>
      <c r="I325" s="687"/>
      <c r="J325" s="687"/>
      <c r="K325" s="687"/>
      <c r="L325" s="687"/>
      <c r="M325" s="687"/>
      <c r="N325" s="687"/>
      <c r="O325" s="687"/>
      <c r="P325" s="687"/>
      <c r="Q325" s="687"/>
      <c r="R325" s="687"/>
      <c r="S325" s="687"/>
      <c r="T325" s="687"/>
      <c r="U325" s="687"/>
      <c r="V325" s="687"/>
      <c r="W325" s="687"/>
      <c r="X325" s="687"/>
      <c r="Y325" s="687"/>
      <c r="Z325" s="687"/>
    </row>
    <row r="326" customHeight="1" spans="1:26">
      <c r="A326" s="686"/>
      <c r="B326" s="686"/>
      <c r="C326" s="686"/>
      <c r="D326" s="687"/>
      <c r="E326" s="687"/>
      <c r="F326" s="687"/>
      <c r="G326" s="687"/>
      <c r="H326" s="687"/>
      <c r="I326" s="687"/>
      <c r="J326" s="687"/>
      <c r="K326" s="687"/>
      <c r="L326" s="687"/>
      <c r="M326" s="687"/>
      <c r="N326" s="687"/>
      <c r="O326" s="687"/>
      <c r="P326" s="687"/>
      <c r="Q326" s="687"/>
      <c r="R326" s="687"/>
      <c r="S326" s="687"/>
      <c r="T326" s="687"/>
      <c r="U326" s="687"/>
      <c r="V326" s="687"/>
      <c r="W326" s="687"/>
      <c r="X326" s="687"/>
      <c r="Y326" s="687"/>
      <c r="Z326" s="687"/>
    </row>
    <row r="327" customHeight="1" spans="1:26">
      <c r="A327" s="686"/>
      <c r="B327" s="686"/>
      <c r="C327" s="686"/>
      <c r="D327" s="687"/>
      <c r="E327" s="687"/>
      <c r="F327" s="687"/>
      <c r="G327" s="687"/>
      <c r="H327" s="687"/>
      <c r="I327" s="687"/>
      <c r="J327" s="687"/>
      <c r="K327" s="687"/>
      <c r="L327" s="687"/>
      <c r="M327" s="687"/>
      <c r="N327" s="687"/>
      <c r="O327" s="687"/>
      <c r="P327" s="687"/>
      <c r="Q327" s="687"/>
      <c r="R327" s="687"/>
      <c r="S327" s="687"/>
      <c r="T327" s="687"/>
      <c r="U327" s="687"/>
      <c r="V327" s="687"/>
      <c r="W327" s="687"/>
      <c r="X327" s="687"/>
      <c r="Y327" s="687"/>
      <c r="Z327" s="687"/>
    </row>
    <row r="328" customHeight="1" spans="1:26">
      <c r="A328" s="686"/>
      <c r="B328" s="686"/>
      <c r="C328" s="686"/>
      <c r="D328" s="687"/>
      <c r="E328" s="687"/>
      <c r="F328" s="687"/>
      <c r="G328" s="687"/>
      <c r="H328" s="687"/>
      <c r="I328" s="687"/>
      <c r="J328" s="687"/>
      <c r="K328" s="687"/>
      <c r="L328" s="687"/>
      <c r="M328" s="687"/>
      <c r="N328" s="687"/>
      <c r="O328" s="687"/>
      <c r="P328" s="687"/>
      <c r="Q328" s="687"/>
      <c r="R328" s="687"/>
      <c r="S328" s="687"/>
      <c r="T328" s="687"/>
      <c r="U328" s="687"/>
      <c r="V328" s="687"/>
      <c r="W328" s="687"/>
      <c r="X328" s="687"/>
      <c r="Y328" s="687"/>
      <c r="Z328" s="687"/>
    </row>
    <row r="329" customHeight="1" spans="1:26">
      <c r="A329" s="686"/>
      <c r="B329" s="686"/>
      <c r="C329" s="686"/>
      <c r="D329" s="687"/>
      <c r="E329" s="687"/>
      <c r="F329" s="687"/>
      <c r="G329" s="687"/>
      <c r="H329" s="687"/>
      <c r="I329" s="687"/>
      <c r="J329" s="687"/>
      <c r="K329" s="687"/>
      <c r="L329" s="687"/>
      <c r="M329" s="687"/>
      <c r="N329" s="687"/>
      <c r="O329" s="687"/>
      <c r="P329" s="687"/>
      <c r="Q329" s="687"/>
      <c r="R329" s="687"/>
      <c r="S329" s="687"/>
      <c r="T329" s="687"/>
      <c r="U329" s="687"/>
      <c r="V329" s="687"/>
      <c r="W329" s="687"/>
      <c r="X329" s="687"/>
      <c r="Y329" s="687"/>
      <c r="Z329" s="687"/>
    </row>
    <row r="330" customHeight="1" spans="1:26">
      <c r="A330" s="686"/>
      <c r="B330" s="686"/>
      <c r="C330" s="686"/>
      <c r="D330" s="687"/>
      <c r="E330" s="687"/>
      <c r="F330" s="687"/>
      <c r="G330" s="687"/>
      <c r="H330" s="687"/>
      <c r="I330" s="687"/>
      <c r="J330" s="687"/>
      <c r="K330" s="687"/>
      <c r="L330" s="687"/>
      <c r="M330" s="687"/>
      <c r="N330" s="687"/>
      <c r="O330" s="687"/>
      <c r="P330" s="687"/>
      <c r="Q330" s="687"/>
      <c r="R330" s="687"/>
      <c r="S330" s="687"/>
      <c r="T330" s="687"/>
      <c r="U330" s="687"/>
      <c r="V330" s="687"/>
      <c r="W330" s="687"/>
      <c r="X330" s="687"/>
      <c r="Y330" s="687"/>
      <c r="Z330" s="687"/>
    </row>
    <row r="331" customHeight="1" spans="1:26">
      <c r="A331" s="686"/>
      <c r="B331" s="686"/>
      <c r="C331" s="686"/>
      <c r="D331" s="687"/>
      <c r="E331" s="687"/>
      <c r="F331" s="687"/>
      <c r="G331" s="687"/>
      <c r="H331" s="687"/>
      <c r="I331" s="687"/>
      <c r="J331" s="687"/>
      <c r="K331" s="687"/>
      <c r="L331" s="687"/>
      <c r="M331" s="687"/>
      <c r="N331" s="687"/>
      <c r="O331" s="687"/>
      <c r="P331" s="687"/>
      <c r="Q331" s="687"/>
      <c r="R331" s="687"/>
      <c r="S331" s="687"/>
      <c r="T331" s="687"/>
      <c r="U331" s="687"/>
      <c r="V331" s="687"/>
      <c r="W331" s="687"/>
      <c r="X331" s="687"/>
      <c r="Y331" s="687"/>
      <c r="Z331" s="687"/>
    </row>
    <row r="332" customHeight="1" spans="1:26">
      <c r="A332" s="686"/>
      <c r="B332" s="686"/>
      <c r="C332" s="686"/>
      <c r="D332" s="687"/>
      <c r="E332" s="687"/>
      <c r="F332" s="687"/>
      <c r="G332" s="687"/>
      <c r="H332" s="687"/>
      <c r="I332" s="687"/>
      <c r="J332" s="687"/>
      <c r="K332" s="687"/>
      <c r="L332" s="687"/>
      <c r="M332" s="687"/>
      <c r="N332" s="687"/>
      <c r="O332" s="687"/>
      <c r="P332" s="687"/>
      <c r="Q332" s="687"/>
      <c r="R332" s="687"/>
      <c r="S332" s="687"/>
      <c r="T332" s="687"/>
      <c r="U332" s="687"/>
      <c r="V332" s="687"/>
      <c r="W332" s="687"/>
      <c r="X332" s="687"/>
      <c r="Y332" s="687"/>
      <c r="Z332" s="687"/>
    </row>
    <row r="333" customHeight="1" spans="1:26">
      <c r="A333" s="686"/>
      <c r="B333" s="686"/>
      <c r="C333" s="686"/>
      <c r="D333" s="687"/>
      <c r="E333" s="687"/>
      <c r="F333" s="687"/>
      <c r="G333" s="687"/>
      <c r="H333" s="687"/>
      <c r="I333" s="687"/>
      <c r="J333" s="687"/>
      <c r="K333" s="687"/>
      <c r="L333" s="687"/>
      <c r="M333" s="687"/>
      <c r="N333" s="687"/>
      <c r="O333" s="687"/>
      <c r="P333" s="687"/>
      <c r="Q333" s="687"/>
      <c r="R333" s="687"/>
      <c r="S333" s="687"/>
      <c r="T333" s="687"/>
      <c r="U333" s="687"/>
      <c r="V333" s="687"/>
      <c r="W333" s="687"/>
      <c r="X333" s="687"/>
      <c r="Y333" s="687"/>
      <c r="Z333" s="687"/>
    </row>
    <row r="334" customHeight="1" spans="1:26">
      <c r="A334" s="686"/>
      <c r="B334" s="686"/>
      <c r="C334" s="686"/>
      <c r="D334" s="687"/>
      <c r="E334" s="687"/>
      <c r="F334" s="687"/>
      <c r="G334" s="687"/>
      <c r="H334" s="687"/>
      <c r="I334" s="687"/>
      <c r="J334" s="687"/>
      <c r="K334" s="687"/>
      <c r="L334" s="687"/>
      <c r="M334" s="687"/>
      <c r="N334" s="687"/>
      <c r="O334" s="687"/>
      <c r="P334" s="687"/>
      <c r="Q334" s="687"/>
      <c r="R334" s="687"/>
      <c r="S334" s="687"/>
      <c r="T334" s="687"/>
      <c r="U334" s="687"/>
      <c r="V334" s="687"/>
      <c r="W334" s="687"/>
      <c r="X334" s="687"/>
      <c r="Y334" s="687"/>
      <c r="Z334" s="687"/>
    </row>
    <row r="335" customHeight="1" spans="1:26">
      <c r="A335" s="686"/>
      <c r="B335" s="686"/>
      <c r="C335" s="686"/>
      <c r="D335" s="687"/>
      <c r="E335" s="687"/>
      <c r="F335" s="687"/>
      <c r="G335" s="687"/>
      <c r="H335" s="687"/>
      <c r="I335" s="687"/>
      <c r="J335" s="687"/>
      <c r="K335" s="687"/>
      <c r="L335" s="687"/>
      <c r="M335" s="687"/>
      <c r="N335" s="687"/>
      <c r="O335" s="687"/>
      <c r="P335" s="687"/>
      <c r="Q335" s="687"/>
      <c r="R335" s="687"/>
      <c r="S335" s="687"/>
      <c r="T335" s="687"/>
      <c r="U335" s="687"/>
      <c r="V335" s="687"/>
      <c r="W335" s="687"/>
      <c r="X335" s="687"/>
      <c r="Y335" s="687"/>
      <c r="Z335" s="687"/>
    </row>
    <row r="336" customHeight="1" spans="1:26">
      <c r="A336" s="686"/>
      <c r="B336" s="686"/>
      <c r="C336" s="686"/>
      <c r="D336" s="687"/>
      <c r="E336" s="687"/>
      <c r="F336" s="687"/>
      <c r="G336" s="687"/>
      <c r="H336" s="687"/>
      <c r="I336" s="687"/>
      <c r="J336" s="687"/>
      <c r="K336" s="687"/>
      <c r="L336" s="687"/>
      <c r="M336" s="687"/>
      <c r="N336" s="687"/>
      <c r="O336" s="687"/>
      <c r="P336" s="687"/>
      <c r="Q336" s="687"/>
      <c r="R336" s="687"/>
      <c r="S336" s="687"/>
      <c r="T336" s="687"/>
      <c r="U336" s="687"/>
      <c r="V336" s="687"/>
      <c r="W336" s="687"/>
      <c r="X336" s="687"/>
      <c r="Y336" s="687"/>
      <c r="Z336" s="687"/>
    </row>
    <row r="337" customHeight="1" spans="1:26">
      <c r="A337" s="686"/>
      <c r="B337" s="686"/>
      <c r="C337" s="686"/>
      <c r="D337" s="687"/>
      <c r="E337" s="687"/>
      <c r="F337" s="687"/>
      <c r="G337" s="687"/>
      <c r="H337" s="687"/>
      <c r="I337" s="687"/>
      <c r="J337" s="687"/>
      <c r="K337" s="687"/>
      <c r="L337" s="687"/>
      <c r="M337" s="687"/>
      <c r="N337" s="687"/>
      <c r="O337" s="687"/>
      <c r="P337" s="687"/>
      <c r="Q337" s="687"/>
      <c r="R337" s="687"/>
      <c r="S337" s="687"/>
      <c r="T337" s="687"/>
      <c r="U337" s="687"/>
      <c r="V337" s="687"/>
      <c r="W337" s="687"/>
      <c r="X337" s="687"/>
      <c r="Y337" s="687"/>
      <c r="Z337" s="687"/>
    </row>
    <row r="338" customHeight="1" spans="1:26">
      <c r="A338" s="686"/>
      <c r="B338" s="686"/>
      <c r="C338" s="686"/>
      <c r="D338" s="687"/>
      <c r="E338" s="687"/>
      <c r="F338" s="687"/>
      <c r="G338" s="687"/>
      <c r="H338" s="687"/>
      <c r="I338" s="687"/>
      <c r="J338" s="687"/>
      <c r="K338" s="687"/>
      <c r="L338" s="687"/>
      <c r="M338" s="687"/>
      <c r="N338" s="687"/>
      <c r="O338" s="687"/>
      <c r="P338" s="687"/>
      <c r="Q338" s="687"/>
      <c r="R338" s="687"/>
      <c r="S338" s="687"/>
      <c r="T338" s="687"/>
      <c r="U338" s="687"/>
      <c r="V338" s="687"/>
      <c r="W338" s="687"/>
      <c r="X338" s="687"/>
      <c r="Y338" s="687"/>
      <c r="Z338" s="687"/>
    </row>
    <row r="339" customHeight="1" spans="1:26">
      <c r="A339" s="686"/>
      <c r="B339" s="686"/>
      <c r="C339" s="686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7"/>
      <c r="P339" s="687"/>
      <c r="Q339" s="687"/>
      <c r="R339" s="687"/>
      <c r="S339" s="687"/>
      <c r="T339" s="687"/>
      <c r="U339" s="687"/>
      <c r="V339" s="687"/>
      <c r="W339" s="687"/>
      <c r="X339" s="687"/>
      <c r="Y339" s="687"/>
      <c r="Z339" s="687"/>
    </row>
    <row r="340" customHeight="1" spans="1:26">
      <c r="A340" s="686"/>
      <c r="B340" s="686"/>
      <c r="C340" s="686"/>
      <c r="D340" s="687"/>
      <c r="E340" s="687"/>
      <c r="F340" s="687"/>
      <c r="G340" s="687"/>
      <c r="H340" s="687"/>
      <c r="I340" s="687"/>
      <c r="J340" s="687"/>
      <c r="K340" s="687"/>
      <c r="L340" s="687"/>
      <c r="M340" s="687"/>
      <c r="N340" s="687"/>
      <c r="O340" s="687"/>
      <c r="P340" s="687"/>
      <c r="Q340" s="687"/>
      <c r="R340" s="687"/>
      <c r="S340" s="687"/>
      <c r="T340" s="687"/>
      <c r="U340" s="687"/>
      <c r="V340" s="687"/>
      <c r="W340" s="687"/>
      <c r="X340" s="687"/>
      <c r="Y340" s="687"/>
      <c r="Z340" s="687"/>
    </row>
    <row r="341" customHeight="1" spans="1:26">
      <c r="A341" s="686"/>
      <c r="B341" s="686"/>
      <c r="C341" s="686"/>
      <c r="D341" s="687"/>
      <c r="E341" s="687"/>
      <c r="F341" s="687"/>
      <c r="G341" s="687"/>
      <c r="H341" s="687"/>
      <c r="I341" s="687"/>
      <c r="J341" s="687"/>
      <c r="K341" s="687"/>
      <c r="L341" s="687"/>
      <c r="M341" s="687"/>
      <c r="N341" s="687"/>
      <c r="O341" s="687"/>
      <c r="P341" s="687"/>
      <c r="Q341" s="687"/>
      <c r="R341" s="687"/>
      <c r="S341" s="687"/>
      <c r="T341" s="687"/>
      <c r="U341" s="687"/>
      <c r="V341" s="687"/>
      <c r="W341" s="687"/>
      <c r="X341" s="687"/>
      <c r="Y341" s="687"/>
      <c r="Z341" s="687"/>
    </row>
    <row r="342" customHeight="1" spans="1:26">
      <c r="A342" s="686"/>
      <c r="B342" s="686"/>
      <c r="C342" s="686"/>
      <c r="D342" s="687"/>
      <c r="E342" s="687"/>
      <c r="F342" s="687"/>
      <c r="G342" s="687"/>
      <c r="H342" s="687"/>
      <c r="I342" s="687"/>
      <c r="J342" s="687"/>
      <c r="K342" s="687"/>
      <c r="L342" s="687"/>
      <c r="M342" s="687"/>
      <c r="N342" s="687"/>
      <c r="O342" s="687"/>
      <c r="P342" s="687"/>
      <c r="Q342" s="687"/>
      <c r="R342" s="687"/>
      <c r="S342" s="687"/>
      <c r="T342" s="687"/>
      <c r="U342" s="687"/>
      <c r="V342" s="687"/>
      <c r="W342" s="687"/>
      <c r="X342" s="687"/>
      <c r="Y342" s="687"/>
      <c r="Z342" s="687"/>
    </row>
    <row r="343" customHeight="1" spans="1:26">
      <c r="A343" s="686"/>
      <c r="B343" s="686"/>
      <c r="C343" s="686"/>
      <c r="D343" s="687"/>
      <c r="E343" s="687"/>
      <c r="F343" s="687"/>
      <c r="G343" s="687"/>
      <c r="H343" s="687"/>
      <c r="I343" s="687"/>
      <c r="J343" s="687"/>
      <c r="K343" s="687"/>
      <c r="L343" s="687"/>
      <c r="M343" s="687"/>
      <c r="N343" s="687"/>
      <c r="O343" s="687"/>
      <c r="P343" s="687"/>
      <c r="Q343" s="687"/>
      <c r="R343" s="687"/>
      <c r="S343" s="687"/>
      <c r="T343" s="687"/>
      <c r="U343" s="687"/>
      <c r="V343" s="687"/>
      <c r="W343" s="687"/>
      <c r="X343" s="687"/>
      <c r="Y343" s="687"/>
      <c r="Z343" s="687"/>
    </row>
    <row r="344" customHeight="1" spans="1:26">
      <c r="A344" s="686"/>
      <c r="B344" s="686"/>
      <c r="C344" s="686"/>
      <c r="D344" s="687"/>
      <c r="E344" s="687"/>
      <c r="F344" s="687"/>
      <c r="G344" s="687"/>
      <c r="H344" s="687"/>
      <c r="I344" s="687"/>
      <c r="J344" s="687"/>
      <c r="K344" s="687"/>
      <c r="L344" s="687"/>
      <c r="M344" s="687"/>
      <c r="N344" s="687"/>
      <c r="O344" s="687"/>
      <c r="P344" s="687"/>
      <c r="Q344" s="687"/>
      <c r="R344" s="687"/>
      <c r="S344" s="687"/>
      <c r="T344" s="687"/>
      <c r="U344" s="687"/>
      <c r="V344" s="687"/>
      <c r="W344" s="687"/>
      <c r="X344" s="687"/>
      <c r="Y344" s="687"/>
      <c r="Z344" s="687"/>
    </row>
    <row r="345" customHeight="1" spans="1:26">
      <c r="A345" s="686"/>
      <c r="B345" s="686"/>
      <c r="C345" s="686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7"/>
      <c r="P345" s="687"/>
      <c r="Q345" s="687"/>
      <c r="R345" s="687"/>
      <c r="S345" s="687"/>
      <c r="T345" s="687"/>
      <c r="U345" s="687"/>
      <c r="V345" s="687"/>
      <c r="W345" s="687"/>
      <c r="X345" s="687"/>
      <c r="Y345" s="687"/>
      <c r="Z345" s="687"/>
    </row>
    <row r="346" customHeight="1" spans="1:26">
      <c r="A346" s="686"/>
      <c r="B346" s="686"/>
      <c r="C346" s="686"/>
      <c r="D346" s="687"/>
      <c r="E346" s="687"/>
      <c r="F346" s="687"/>
      <c r="G346" s="687"/>
      <c r="H346" s="687"/>
      <c r="I346" s="687"/>
      <c r="J346" s="687"/>
      <c r="K346" s="687"/>
      <c r="L346" s="687"/>
      <c r="M346" s="687"/>
      <c r="N346" s="687"/>
      <c r="O346" s="687"/>
      <c r="P346" s="687"/>
      <c r="Q346" s="687"/>
      <c r="R346" s="687"/>
      <c r="S346" s="687"/>
      <c r="T346" s="687"/>
      <c r="U346" s="687"/>
      <c r="V346" s="687"/>
      <c r="W346" s="687"/>
      <c r="X346" s="687"/>
      <c r="Y346" s="687"/>
      <c r="Z346" s="687"/>
    </row>
    <row r="347" customHeight="1" spans="1:26">
      <c r="A347" s="686"/>
      <c r="B347" s="686"/>
      <c r="C347" s="686"/>
      <c r="D347" s="687"/>
      <c r="E347" s="687"/>
      <c r="F347" s="687"/>
      <c r="G347" s="687"/>
      <c r="H347" s="687"/>
      <c r="I347" s="687"/>
      <c r="J347" s="687"/>
      <c r="K347" s="687"/>
      <c r="L347" s="687"/>
      <c r="M347" s="687"/>
      <c r="N347" s="687"/>
      <c r="O347" s="687"/>
      <c r="P347" s="687"/>
      <c r="Q347" s="687"/>
      <c r="R347" s="687"/>
      <c r="S347" s="687"/>
      <c r="T347" s="687"/>
      <c r="U347" s="687"/>
      <c r="V347" s="687"/>
      <c r="W347" s="687"/>
      <c r="X347" s="687"/>
      <c r="Y347" s="687"/>
      <c r="Z347" s="687"/>
    </row>
    <row r="348" customHeight="1" spans="1:26">
      <c r="A348" s="686"/>
      <c r="B348" s="686"/>
      <c r="C348" s="686"/>
      <c r="D348" s="687"/>
      <c r="E348" s="687"/>
      <c r="F348" s="687"/>
      <c r="G348" s="687"/>
      <c r="H348" s="687"/>
      <c r="I348" s="687"/>
      <c r="J348" s="687"/>
      <c r="K348" s="687"/>
      <c r="L348" s="687"/>
      <c r="M348" s="687"/>
      <c r="N348" s="687"/>
      <c r="O348" s="687"/>
      <c r="P348" s="687"/>
      <c r="Q348" s="687"/>
      <c r="R348" s="687"/>
      <c r="S348" s="687"/>
      <c r="T348" s="687"/>
      <c r="U348" s="687"/>
      <c r="V348" s="687"/>
      <c r="W348" s="687"/>
      <c r="X348" s="687"/>
      <c r="Y348" s="687"/>
      <c r="Z348" s="687"/>
    </row>
    <row r="349" customHeight="1" spans="1:26">
      <c r="A349" s="686"/>
      <c r="B349" s="686"/>
      <c r="C349" s="686"/>
      <c r="D349" s="687"/>
      <c r="E349" s="687"/>
      <c r="F349" s="687"/>
      <c r="G349" s="687"/>
      <c r="H349" s="687"/>
      <c r="I349" s="687"/>
      <c r="J349" s="687"/>
      <c r="K349" s="687"/>
      <c r="L349" s="687"/>
      <c r="M349" s="687"/>
      <c r="N349" s="687"/>
      <c r="O349" s="687"/>
      <c r="P349" s="687"/>
      <c r="Q349" s="687"/>
      <c r="R349" s="687"/>
      <c r="S349" s="687"/>
      <c r="T349" s="687"/>
      <c r="U349" s="687"/>
      <c r="V349" s="687"/>
      <c r="W349" s="687"/>
      <c r="X349" s="687"/>
      <c r="Y349" s="687"/>
      <c r="Z349" s="687"/>
    </row>
    <row r="350" customHeight="1" spans="1:26">
      <c r="A350" s="686"/>
      <c r="B350" s="686"/>
      <c r="C350" s="686"/>
      <c r="D350" s="687"/>
      <c r="E350" s="687"/>
      <c r="F350" s="687"/>
      <c r="G350" s="687"/>
      <c r="H350" s="687"/>
      <c r="I350" s="687"/>
      <c r="J350" s="687"/>
      <c r="K350" s="687"/>
      <c r="L350" s="687"/>
      <c r="M350" s="687"/>
      <c r="N350" s="687"/>
      <c r="O350" s="687"/>
      <c r="P350" s="687"/>
      <c r="Q350" s="687"/>
      <c r="R350" s="687"/>
      <c r="S350" s="687"/>
      <c r="T350" s="687"/>
      <c r="U350" s="687"/>
      <c r="V350" s="687"/>
      <c r="W350" s="687"/>
      <c r="X350" s="687"/>
      <c r="Y350" s="687"/>
      <c r="Z350" s="687"/>
    </row>
    <row r="351" customHeight="1" spans="1:26">
      <c r="A351" s="686"/>
      <c r="B351" s="686"/>
      <c r="C351" s="686"/>
      <c r="D351" s="687"/>
      <c r="E351" s="687"/>
      <c r="F351" s="687"/>
      <c r="G351" s="687"/>
      <c r="H351" s="687"/>
      <c r="I351" s="687"/>
      <c r="J351" s="687"/>
      <c r="K351" s="687"/>
      <c r="L351" s="687"/>
      <c r="M351" s="687"/>
      <c r="N351" s="687"/>
      <c r="O351" s="687"/>
      <c r="P351" s="687"/>
      <c r="Q351" s="687"/>
      <c r="R351" s="687"/>
      <c r="S351" s="687"/>
      <c r="T351" s="687"/>
      <c r="U351" s="687"/>
      <c r="V351" s="687"/>
      <c r="W351" s="687"/>
      <c r="X351" s="687"/>
      <c r="Y351" s="687"/>
      <c r="Z351" s="687"/>
    </row>
    <row r="352" customHeight="1" spans="1:26">
      <c r="A352" s="686"/>
      <c r="B352" s="686"/>
      <c r="C352" s="686"/>
      <c r="D352" s="687"/>
      <c r="E352" s="687"/>
      <c r="F352" s="687"/>
      <c r="G352" s="687"/>
      <c r="H352" s="687"/>
      <c r="I352" s="687"/>
      <c r="J352" s="687"/>
      <c r="K352" s="687"/>
      <c r="L352" s="687"/>
      <c r="M352" s="687"/>
      <c r="N352" s="687"/>
      <c r="O352" s="687"/>
      <c r="P352" s="687"/>
      <c r="Q352" s="687"/>
      <c r="R352" s="687"/>
      <c r="S352" s="687"/>
      <c r="T352" s="687"/>
      <c r="U352" s="687"/>
      <c r="V352" s="687"/>
      <c r="W352" s="687"/>
      <c r="X352" s="687"/>
      <c r="Y352" s="687"/>
      <c r="Z352" s="687"/>
    </row>
    <row r="353" customHeight="1" spans="1:26">
      <c r="A353" s="686"/>
      <c r="B353" s="686"/>
      <c r="C353" s="686"/>
      <c r="D353" s="687"/>
      <c r="E353" s="687"/>
      <c r="F353" s="687"/>
      <c r="G353" s="687"/>
      <c r="H353" s="687"/>
      <c r="I353" s="687"/>
      <c r="J353" s="687"/>
      <c r="K353" s="687"/>
      <c r="L353" s="687"/>
      <c r="M353" s="687"/>
      <c r="N353" s="687"/>
      <c r="O353" s="687"/>
      <c r="P353" s="687"/>
      <c r="Q353" s="687"/>
      <c r="R353" s="687"/>
      <c r="S353" s="687"/>
      <c r="T353" s="687"/>
      <c r="U353" s="687"/>
      <c r="V353" s="687"/>
      <c r="W353" s="687"/>
      <c r="X353" s="687"/>
      <c r="Y353" s="687"/>
      <c r="Z353" s="687"/>
    </row>
    <row r="354" customHeight="1" spans="1:26">
      <c r="A354" s="686"/>
      <c r="B354" s="686"/>
      <c r="C354" s="686"/>
      <c r="D354" s="687"/>
      <c r="E354" s="687"/>
      <c r="F354" s="687"/>
      <c r="G354" s="687"/>
      <c r="H354" s="687"/>
      <c r="I354" s="687"/>
      <c r="J354" s="687"/>
      <c r="K354" s="687"/>
      <c r="L354" s="687"/>
      <c r="M354" s="687"/>
      <c r="N354" s="687"/>
      <c r="O354" s="687"/>
      <c r="P354" s="687"/>
      <c r="Q354" s="687"/>
      <c r="R354" s="687"/>
      <c r="S354" s="687"/>
      <c r="T354" s="687"/>
      <c r="U354" s="687"/>
      <c r="V354" s="687"/>
      <c r="W354" s="687"/>
      <c r="X354" s="687"/>
      <c r="Y354" s="687"/>
      <c r="Z354" s="687"/>
    </row>
    <row r="355" customHeight="1" spans="1:26">
      <c r="A355" s="686"/>
      <c r="B355" s="686"/>
      <c r="C355" s="686"/>
      <c r="D355" s="687"/>
      <c r="E355" s="687"/>
      <c r="F355" s="687"/>
      <c r="G355" s="687"/>
      <c r="H355" s="687"/>
      <c r="I355" s="687"/>
      <c r="J355" s="687"/>
      <c r="K355" s="687"/>
      <c r="L355" s="687"/>
      <c r="M355" s="687"/>
      <c r="N355" s="687"/>
      <c r="O355" s="687"/>
      <c r="P355" s="687"/>
      <c r="Q355" s="687"/>
      <c r="R355" s="687"/>
      <c r="S355" s="687"/>
      <c r="T355" s="687"/>
      <c r="U355" s="687"/>
      <c r="V355" s="687"/>
      <c r="W355" s="687"/>
      <c r="X355" s="687"/>
      <c r="Y355" s="687"/>
      <c r="Z355" s="687"/>
    </row>
    <row r="356" customHeight="1" spans="1:26">
      <c r="A356" s="686"/>
      <c r="B356" s="686"/>
      <c r="C356" s="686"/>
      <c r="D356" s="687"/>
      <c r="E356" s="687"/>
      <c r="F356" s="687"/>
      <c r="G356" s="687"/>
      <c r="H356" s="687"/>
      <c r="I356" s="687"/>
      <c r="J356" s="687"/>
      <c r="K356" s="687"/>
      <c r="L356" s="687"/>
      <c r="M356" s="687"/>
      <c r="N356" s="687"/>
      <c r="O356" s="687"/>
      <c r="P356" s="687"/>
      <c r="Q356" s="687"/>
      <c r="R356" s="687"/>
      <c r="S356" s="687"/>
      <c r="T356" s="687"/>
      <c r="U356" s="687"/>
      <c r="V356" s="687"/>
      <c r="W356" s="687"/>
      <c r="X356" s="687"/>
      <c r="Y356" s="687"/>
      <c r="Z356" s="687"/>
    </row>
    <row r="357" customHeight="1" spans="1:26">
      <c r="A357" s="686"/>
      <c r="B357" s="686"/>
      <c r="C357" s="686"/>
      <c r="D357" s="687"/>
      <c r="E357" s="687"/>
      <c r="F357" s="687"/>
      <c r="G357" s="687"/>
      <c r="H357" s="687"/>
      <c r="I357" s="687"/>
      <c r="J357" s="687"/>
      <c r="K357" s="687"/>
      <c r="L357" s="687"/>
      <c r="M357" s="687"/>
      <c r="N357" s="687"/>
      <c r="O357" s="687"/>
      <c r="P357" s="687"/>
      <c r="Q357" s="687"/>
      <c r="R357" s="687"/>
      <c r="S357" s="687"/>
      <c r="T357" s="687"/>
      <c r="U357" s="687"/>
      <c r="V357" s="687"/>
      <c r="W357" s="687"/>
      <c r="X357" s="687"/>
      <c r="Y357" s="687"/>
      <c r="Z357" s="687"/>
    </row>
    <row r="358" customHeight="1" spans="1:26">
      <c r="A358" s="686"/>
      <c r="B358" s="686"/>
      <c r="C358" s="686"/>
      <c r="D358" s="687"/>
      <c r="E358" s="687"/>
      <c r="F358" s="687"/>
      <c r="G358" s="687"/>
      <c r="H358" s="687"/>
      <c r="I358" s="687"/>
      <c r="J358" s="687"/>
      <c r="K358" s="687"/>
      <c r="L358" s="687"/>
      <c r="M358" s="687"/>
      <c r="N358" s="687"/>
      <c r="O358" s="687"/>
      <c r="P358" s="687"/>
      <c r="Q358" s="687"/>
      <c r="R358" s="687"/>
      <c r="S358" s="687"/>
      <c r="T358" s="687"/>
      <c r="U358" s="687"/>
      <c r="V358" s="687"/>
      <c r="W358" s="687"/>
      <c r="X358" s="687"/>
      <c r="Y358" s="687"/>
      <c r="Z358" s="687"/>
    </row>
    <row r="359" customHeight="1" spans="1:26">
      <c r="A359" s="686"/>
      <c r="B359" s="686"/>
      <c r="C359" s="686"/>
      <c r="D359" s="687"/>
      <c r="E359" s="687"/>
      <c r="F359" s="687"/>
      <c r="G359" s="687"/>
      <c r="H359" s="687"/>
      <c r="I359" s="687"/>
      <c r="J359" s="687"/>
      <c r="K359" s="687"/>
      <c r="L359" s="687"/>
      <c r="M359" s="687"/>
      <c r="N359" s="687"/>
      <c r="O359" s="687"/>
      <c r="P359" s="687"/>
      <c r="Q359" s="687"/>
      <c r="R359" s="687"/>
      <c r="S359" s="687"/>
      <c r="T359" s="687"/>
      <c r="U359" s="687"/>
      <c r="V359" s="687"/>
      <c r="W359" s="687"/>
      <c r="X359" s="687"/>
      <c r="Y359" s="687"/>
      <c r="Z359" s="687"/>
    </row>
    <row r="360" customHeight="1" spans="1:26">
      <c r="A360" s="686"/>
      <c r="B360" s="686"/>
      <c r="C360" s="686"/>
      <c r="D360" s="687"/>
      <c r="E360" s="687"/>
      <c r="F360" s="687"/>
      <c r="G360" s="687"/>
      <c r="H360" s="687"/>
      <c r="I360" s="687"/>
      <c r="J360" s="687"/>
      <c r="K360" s="687"/>
      <c r="L360" s="687"/>
      <c r="M360" s="687"/>
      <c r="N360" s="687"/>
      <c r="O360" s="687"/>
      <c r="P360" s="687"/>
      <c r="Q360" s="687"/>
      <c r="R360" s="687"/>
      <c r="S360" s="687"/>
      <c r="T360" s="687"/>
      <c r="U360" s="687"/>
      <c r="V360" s="687"/>
      <c r="W360" s="687"/>
      <c r="X360" s="687"/>
      <c r="Y360" s="687"/>
      <c r="Z360" s="687"/>
    </row>
    <row r="361" customHeight="1" spans="1:26">
      <c r="A361" s="686"/>
      <c r="B361" s="686"/>
      <c r="C361" s="686"/>
      <c r="D361" s="687"/>
      <c r="E361" s="687"/>
      <c r="F361" s="687"/>
      <c r="G361" s="687"/>
      <c r="H361" s="687"/>
      <c r="I361" s="687"/>
      <c r="J361" s="687"/>
      <c r="K361" s="687"/>
      <c r="L361" s="687"/>
      <c r="M361" s="687"/>
      <c r="N361" s="687"/>
      <c r="O361" s="687"/>
      <c r="P361" s="687"/>
      <c r="Q361" s="687"/>
      <c r="R361" s="687"/>
      <c r="S361" s="687"/>
      <c r="T361" s="687"/>
      <c r="U361" s="687"/>
      <c r="V361" s="687"/>
      <c r="W361" s="687"/>
      <c r="X361" s="687"/>
      <c r="Y361" s="687"/>
      <c r="Z361" s="687"/>
    </row>
    <row r="362" customHeight="1" spans="1:26">
      <c r="A362" s="686"/>
      <c r="B362" s="686"/>
      <c r="C362" s="686"/>
      <c r="D362" s="687"/>
      <c r="E362" s="687"/>
      <c r="F362" s="687"/>
      <c r="G362" s="687"/>
      <c r="H362" s="687"/>
      <c r="I362" s="687"/>
      <c r="J362" s="687"/>
      <c r="K362" s="687"/>
      <c r="L362" s="687"/>
      <c r="M362" s="687"/>
      <c r="N362" s="687"/>
      <c r="O362" s="687"/>
      <c r="P362" s="687"/>
      <c r="Q362" s="687"/>
      <c r="R362" s="687"/>
      <c r="S362" s="687"/>
      <c r="T362" s="687"/>
      <c r="U362" s="687"/>
      <c r="V362" s="687"/>
      <c r="W362" s="687"/>
      <c r="X362" s="687"/>
      <c r="Y362" s="687"/>
      <c r="Z362" s="687"/>
    </row>
    <row r="363" customHeight="1" spans="1:26">
      <c r="A363" s="686"/>
      <c r="B363" s="686"/>
      <c r="C363" s="686"/>
      <c r="D363" s="687"/>
      <c r="E363" s="687"/>
      <c r="F363" s="687"/>
      <c r="G363" s="687"/>
      <c r="H363" s="687"/>
      <c r="I363" s="687"/>
      <c r="J363" s="687"/>
      <c r="K363" s="687"/>
      <c r="L363" s="687"/>
      <c r="M363" s="687"/>
      <c r="N363" s="687"/>
      <c r="O363" s="687"/>
      <c r="P363" s="687"/>
      <c r="Q363" s="687"/>
      <c r="R363" s="687"/>
      <c r="S363" s="687"/>
      <c r="T363" s="687"/>
      <c r="U363" s="687"/>
      <c r="V363" s="687"/>
      <c r="W363" s="687"/>
      <c r="X363" s="687"/>
      <c r="Y363" s="687"/>
      <c r="Z363" s="687"/>
    </row>
    <row r="364" customHeight="1" spans="1:26">
      <c r="A364" s="686"/>
      <c r="B364" s="686"/>
      <c r="C364" s="686"/>
      <c r="D364" s="687"/>
      <c r="E364" s="687"/>
      <c r="F364" s="687"/>
      <c r="G364" s="687"/>
      <c r="H364" s="687"/>
      <c r="I364" s="687"/>
      <c r="J364" s="687"/>
      <c r="K364" s="687"/>
      <c r="L364" s="687"/>
      <c r="M364" s="687"/>
      <c r="N364" s="687"/>
      <c r="O364" s="687"/>
      <c r="P364" s="687"/>
      <c r="Q364" s="687"/>
      <c r="R364" s="687"/>
      <c r="S364" s="687"/>
      <c r="T364" s="687"/>
      <c r="U364" s="687"/>
      <c r="V364" s="687"/>
      <c r="W364" s="687"/>
      <c r="X364" s="687"/>
      <c r="Y364" s="687"/>
      <c r="Z364" s="687"/>
    </row>
    <row r="365" customHeight="1" spans="1:26">
      <c r="A365" s="686"/>
      <c r="B365" s="686"/>
      <c r="C365" s="686"/>
      <c r="D365" s="687"/>
      <c r="E365" s="687"/>
      <c r="F365" s="687"/>
      <c r="G365" s="687"/>
      <c r="H365" s="687"/>
      <c r="I365" s="687"/>
      <c r="J365" s="687"/>
      <c r="K365" s="687"/>
      <c r="L365" s="687"/>
      <c r="M365" s="687"/>
      <c r="N365" s="687"/>
      <c r="O365" s="687"/>
      <c r="P365" s="687"/>
      <c r="Q365" s="687"/>
      <c r="R365" s="687"/>
      <c r="S365" s="687"/>
      <c r="T365" s="687"/>
      <c r="U365" s="687"/>
      <c r="V365" s="687"/>
      <c r="W365" s="687"/>
      <c r="X365" s="687"/>
      <c r="Y365" s="687"/>
      <c r="Z365" s="687"/>
    </row>
    <row r="366" customHeight="1" spans="1:26">
      <c r="A366" s="686"/>
      <c r="B366" s="686"/>
      <c r="C366" s="686"/>
      <c r="D366" s="687"/>
      <c r="E366" s="687"/>
      <c r="F366" s="687"/>
      <c r="G366" s="687"/>
      <c r="H366" s="687"/>
      <c r="I366" s="687"/>
      <c r="J366" s="687"/>
      <c r="K366" s="687"/>
      <c r="L366" s="687"/>
      <c r="M366" s="687"/>
      <c r="N366" s="687"/>
      <c r="O366" s="687"/>
      <c r="P366" s="687"/>
      <c r="Q366" s="687"/>
      <c r="R366" s="687"/>
      <c r="S366" s="687"/>
      <c r="T366" s="687"/>
      <c r="U366" s="687"/>
      <c r="V366" s="687"/>
      <c r="W366" s="687"/>
      <c r="X366" s="687"/>
      <c r="Y366" s="687"/>
      <c r="Z366" s="687"/>
    </row>
    <row r="367" customHeight="1" spans="1:26">
      <c r="A367" s="686"/>
      <c r="B367" s="686"/>
      <c r="C367" s="686"/>
      <c r="D367" s="687"/>
      <c r="E367" s="687"/>
      <c r="F367" s="687"/>
      <c r="G367" s="687"/>
      <c r="H367" s="687"/>
      <c r="I367" s="687"/>
      <c r="J367" s="687"/>
      <c r="K367" s="687"/>
      <c r="L367" s="687"/>
      <c r="M367" s="687"/>
      <c r="N367" s="687"/>
      <c r="O367" s="687"/>
      <c r="P367" s="687"/>
      <c r="Q367" s="687"/>
      <c r="R367" s="687"/>
      <c r="S367" s="687"/>
      <c r="T367" s="687"/>
      <c r="U367" s="687"/>
      <c r="V367" s="687"/>
      <c r="W367" s="687"/>
      <c r="X367" s="687"/>
      <c r="Y367" s="687"/>
      <c r="Z367" s="687"/>
    </row>
    <row r="368" customHeight="1" spans="1:26">
      <c r="A368" s="686"/>
      <c r="B368" s="686"/>
      <c r="C368" s="686"/>
      <c r="D368" s="687"/>
      <c r="E368" s="687"/>
      <c r="F368" s="687"/>
      <c r="G368" s="687"/>
      <c r="H368" s="687"/>
      <c r="I368" s="687"/>
      <c r="J368" s="687"/>
      <c r="K368" s="687"/>
      <c r="L368" s="687"/>
      <c r="M368" s="687"/>
      <c r="N368" s="687"/>
      <c r="O368" s="687"/>
      <c r="P368" s="687"/>
      <c r="Q368" s="687"/>
      <c r="R368" s="687"/>
      <c r="S368" s="687"/>
      <c r="T368" s="687"/>
      <c r="U368" s="687"/>
      <c r="V368" s="687"/>
      <c r="W368" s="687"/>
      <c r="X368" s="687"/>
      <c r="Y368" s="687"/>
      <c r="Z368" s="687"/>
    </row>
    <row r="369" customHeight="1" spans="1:26">
      <c r="A369" s="686"/>
      <c r="B369" s="686"/>
      <c r="C369" s="686"/>
      <c r="D369" s="687"/>
      <c r="E369" s="687"/>
      <c r="F369" s="687"/>
      <c r="G369" s="687"/>
      <c r="H369" s="687"/>
      <c r="I369" s="687"/>
      <c r="J369" s="687"/>
      <c r="K369" s="687"/>
      <c r="L369" s="687"/>
      <c r="M369" s="687"/>
      <c r="N369" s="687"/>
      <c r="O369" s="687"/>
      <c r="P369" s="687"/>
      <c r="Q369" s="687"/>
      <c r="R369" s="687"/>
      <c r="S369" s="687"/>
      <c r="T369" s="687"/>
      <c r="U369" s="687"/>
      <c r="V369" s="687"/>
      <c r="W369" s="687"/>
      <c r="X369" s="687"/>
      <c r="Y369" s="687"/>
      <c r="Z369" s="687"/>
    </row>
    <row r="370" customHeight="1" spans="1:26">
      <c r="A370" s="686"/>
      <c r="B370" s="686"/>
      <c r="C370" s="686"/>
      <c r="D370" s="687"/>
      <c r="E370" s="687"/>
      <c r="F370" s="687"/>
      <c r="G370" s="687"/>
      <c r="H370" s="687"/>
      <c r="I370" s="687"/>
      <c r="J370" s="687"/>
      <c r="K370" s="687"/>
      <c r="L370" s="687"/>
      <c r="M370" s="687"/>
      <c r="N370" s="687"/>
      <c r="O370" s="687"/>
      <c r="P370" s="687"/>
      <c r="Q370" s="687"/>
      <c r="R370" s="687"/>
      <c r="S370" s="687"/>
      <c r="T370" s="687"/>
      <c r="U370" s="687"/>
      <c r="V370" s="687"/>
      <c r="W370" s="687"/>
      <c r="X370" s="687"/>
      <c r="Y370" s="687"/>
      <c r="Z370" s="687"/>
    </row>
    <row r="371" customHeight="1" spans="1:26">
      <c r="A371" s="686"/>
      <c r="B371" s="686"/>
      <c r="C371" s="686"/>
      <c r="D371" s="687"/>
      <c r="E371" s="687"/>
      <c r="F371" s="687"/>
      <c r="G371" s="687"/>
      <c r="H371" s="687"/>
      <c r="I371" s="687"/>
      <c r="J371" s="687"/>
      <c r="K371" s="687"/>
      <c r="L371" s="687"/>
      <c r="M371" s="687"/>
      <c r="N371" s="687"/>
      <c r="O371" s="687"/>
      <c r="P371" s="687"/>
      <c r="Q371" s="687"/>
      <c r="R371" s="687"/>
      <c r="S371" s="687"/>
      <c r="T371" s="687"/>
      <c r="U371" s="687"/>
      <c r="V371" s="687"/>
      <c r="W371" s="687"/>
      <c r="X371" s="687"/>
      <c r="Y371" s="687"/>
      <c r="Z371" s="687"/>
    </row>
    <row r="372" customHeight="1" spans="1:26">
      <c r="A372" s="686"/>
      <c r="B372" s="686"/>
      <c r="C372" s="686"/>
      <c r="D372" s="687"/>
      <c r="E372" s="687"/>
      <c r="F372" s="687"/>
      <c r="G372" s="687"/>
      <c r="H372" s="687"/>
      <c r="I372" s="687"/>
      <c r="J372" s="687"/>
      <c r="K372" s="687"/>
      <c r="L372" s="687"/>
      <c r="M372" s="687"/>
      <c r="N372" s="687"/>
      <c r="O372" s="687"/>
      <c r="P372" s="687"/>
      <c r="Q372" s="687"/>
      <c r="R372" s="687"/>
      <c r="S372" s="687"/>
      <c r="T372" s="687"/>
      <c r="U372" s="687"/>
      <c r="V372" s="687"/>
      <c r="W372" s="687"/>
      <c r="X372" s="687"/>
      <c r="Y372" s="687"/>
      <c r="Z372" s="687"/>
    </row>
    <row r="373" customHeight="1" spans="1:26">
      <c r="A373" s="686"/>
      <c r="B373" s="686"/>
      <c r="C373" s="686"/>
      <c r="D373" s="687"/>
      <c r="E373" s="687"/>
      <c r="F373" s="687"/>
      <c r="G373" s="687"/>
      <c r="H373" s="687"/>
      <c r="I373" s="687"/>
      <c r="J373" s="687"/>
      <c r="K373" s="687"/>
      <c r="L373" s="687"/>
      <c r="M373" s="687"/>
      <c r="N373" s="687"/>
      <c r="O373" s="687"/>
      <c r="P373" s="687"/>
      <c r="Q373" s="687"/>
      <c r="R373" s="687"/>
      <c r="S373" s="687"/>
      <c r="T373" s="687"/>
      <c r="U373" s="687"/>
      <c r="V373" s="687"/>
      <c r="W373" s="687"/>
      <c r="X373" s="687"/>
      <c r="Y373" s="687"/>
      <c r="Z373" s="687"/>
    </row>
    <row r="374" customHeight="1" spans="1:26">
      <c r="A374" s="686"/>
      <c r="B374" s="686"/>
      <c r="C374" s="686"/>
      <c r="D374" s="687"/>
      <c r="E374" s="687"/>
      <c r="F374" s="687"/>
      <c r="G374" s="687"/>
      <c r="H374" s="687"/>
      <c r="I374" s="687"/>
      <c r="J374" s="687"/>
      <c r="K374" s="687"/>
      <c r="L374" s="687"/>
      <c r="M374" s="687"/>
      <c r="N374" s="687"/>
      <c r="O374" s="687"/>
      <c r="P374" s="687"/>
      <c r="Q374" s="687"/>
      <c r="R374" s="687"/>
      <c r="S374" s="687"/>
      <c r="T374" s="687"/>
      <c r="U374" s="687"/>
      <c r="V374" s="687"/>
      <c r="W374" s="687"/>
      <c r="X374" s="687"/>
      <c r="Y374" s="687"/>
      <c r="Z374" s="687"/>
    </row>
    <row r="375" customHeight="1" spans="1:26">
      <c r="A375" s="686"/>
      <c r="B375" s="686"/>
      <c r="C375" s="686"/>
      <c r="D375" s="687"/>
      <c r="E375" s="687"/>
      <c r="F375" s="687"/>
      <c r="G375" s="687"/>
      <c r="H375" s="687"/>
      <c r="I375" s="687"/>
      <c r="J375" s="687"/>
      <c r="K375" s="687"/>
      <c r="L375" s="687"/>
      <c r="M375" s="687"/>
      <c r="N375" s="687"/>
      <c r="O375" s="687"/>
      <c r="P375" s="687"/>
      <c r="Q375" s="687"/>
      <c r="R375" s="687"/>
      <c r="S375" s="687"/>
      <c r="T375" s="687"/>
      <c r="U375" s="687"/>
      <c r="V375" s="687"/>
      <c r="W375" s="687"/>
      <c r="X375" s="687"/>
      <c r="Y375" s="687"/>
      <c r="Z375" s="687"/>
    </row>
    <row r="376" customHeight="1" spans="1:26">
      <c r="A376" s="686"/>
      <c r="B376" s="686"/>
      <c r="C376" s="686"/>
      <c r="D376" s="687"/>
      <c r="E376" s="687"/>
      <c r="F376" s="687"/>
      <c r="G376" s="687"/>
      <c r="H376" s="687"/>
      <c r="I376" s="687"/>
      <c r="J376" s="687"/>
      <c r="K376" s="687"/>
      <c r="L376" s="687"/>
      <c r="M376" s="687"/>
      <c r="N376" s="687"/>
      <c r="O376" s="687"/>
      <c r="P376" s="687"/>
      <c r="Q376" s="687"/>
      <c r="R376" s="687"/>
      <c r="S376" s="687"/>
      <c r="T376" s="687"/>
      <c r="U376" s="687"/>
      <c r="V376" s="687"/>
      <c r="W376" s="687"/>
      <c r="X376" s="687"/>
      <c r="Y376" s="687"/>
      <c r="Z376" s="687"/>
    </row>
    <row r="377" customHeight="1" spans="1:26">
      <c r="A377" s="686"/>
      <c r="B377" s="686"/>
      <c r="C377" s="686"/>
      <c r="D377" s="687"/>
      <c r="E377" s="687"/>
      <c r="F377" s="687"/>
      <c r="G377" s="687"/>
      <c r="H377" s="687"/>
      <c r="I377" s="687"/>
      <c r="J377" s="687"/>
      <c r="K377" s="687"/>
      <c r="L377" s="687"/>
      <c r="M377" s="687"/>
      <c r="N377" s="687"/>
      <c r="O377" s="687"/>
      <c r="P377" s="687"/>
      <c r="Q377" s="687"/>
      <c r="R377" s="687"/>
      <c r="S377" s="687"/>
      <c r="T377" s="687"/>
      <c r="U377" s="687"/>
      <c r="V377" s="687"/>
      <c r="W377" s="687"/>
      <c r="X377" s="687"/>
      <c r="Y377" s="687"/>
      <c r="Z377" s="687"/>
    </row>
    <row r="378" customHeight="1" spans="1:26">
      <c r="A378" s="686"/>
      <c r="B378" s="686"/>
      <c r="C378" s="686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7"/>
      <c r="P378" s="687"/>
      <c r="Q378" s="687"/>
      <c r="R378" s="687"/>
      <c r="S378" s="687"/>
      <c r="T378" s="687"/>
      <c r="U378" s="687"/>
      <c r="V378" s="687"/>
      <c r="W378" s="687"/>
      <c r="X378" s="687"/>
      <c r="Y378" s="687"/>
      <c r="Z378" s="687"/>
    </row>
    <row r="379" customHeight="1" spans="1:26">
      <c r="A379" s="686"/>
      <c r="B379" s="686"/>
      <c r="C379" s="686"/>
      <c r="D379" s="687"/>
      <c r="E379" s="687"/>
      <c r="F379" s="687"/>
      <c r="G379" s="687"/>
      <c r="H379" s="687"/>
      <c r="I379" s="687"/>
      <c r="J379" s="687"/>
      <c r="K379" s="687"/>
      <c r="L379" s="687"/>
      <c r="M379" s="687"/>
      <c r="N379" s="687"/>
      <c r="O379" s="687"/>
      <c r="P379" s="687"/>
      <c r="Q379" s="687"/>
      <c r="R379" s="687"/>
      <c r="S379" s="687"/>
      <c r="T379" s="687"/>
      <c r="U379" s="687"/>
      <c r="V379" s="687"/>
      <c r="W379" s="687"/>
      <c r="X379" s="687"/>
      <c r="Y379" s="687"/>
      <c r="Z379" s="687"/>
    </row>
    <row r="380" customHeight="1" spans="1:26">
      <c r="A380" s="686"/>
      <c r="B380" s="686"/>
      <c r="C380" s="686"/>
      <c r="D380" s="687"/>
      <c r="E380" s="687"/>
      <c r="F380" s="687"/>
      <c r="G380" s="687"/>
      <c r="H380" s="687"/>
      <c r="I380" s="687"/>
      <c r="J380" s="687"/>
      <c r="K380" s="687"/>
      <c r="L380" s="687"/>
      <c r="M380" s="687"/>
      <c r="N380" s="687"/>
      <c r="O380" s="687"/>
      <c r="P380" s="687"/>
      <c r="Q380" s="687"/>
      <c r="R380" s="687"/>
      <c r="S380" s="687"/>
      <c r="T380" s="687"/>
      <c r="U380" s="687"/>
      <c r="V380" s="687"/>
      <c r="W380" s="687"/>
      <c r="X380" s="687"/>
      <c r="Y380" s="687"/>
      <c r="Z380" s="687"/>
    </row>
    <row r="381" customHeight="1" spans="1:26">
      <c r="A381" s="686"/>
      <c r="B381" s="686"/>
      <c r="C381" s="686"/>
      <c r="D381" s="687"/>
      <c r="E381" s="687"/>
      <c r="F381" s="687"/>
      <c r="G381" s="687"/>
      <c r="H381" s="687"/>
      <c r="I381" s="687"/>
      <c r="J381" s="687"/>
      <c r="K381" s="687"/>
      <c r="L381" s="687"/>
      <c r="M381" s="687"/>
      <c r="N381" s="687"/>
      <c r="O381" s="687"/>
      <c r="P381" s="687"/>
      <c r="Q381" s="687"/>
      <c r="R381" s="687"/>
      <c r="S381" s="687"/>
      <c r="T381" s="687"/>
      <c r="U381" s="687"/>
      <c r="V381" s="687"/>
      <c r="W381" s="687"/>
      <c r="X381" s="687"/>
      <c r="Y381" s="687"/>
      <c r="Z381" s="687"/>
    </row>
    <row r="382" customHeight="1" spans="1:26">
      <c r="A382" s="686"/>
      <c r="B382" s="686"/>
      <c r="C382" s="686"/>
      <c r="D382" s="687"/>
      <c r="E382" s="687"/>
      <c r="F382" s="687"/>
      <c r="G382" s="687"/>
      <c r="H382" s="687"/>
      <c r="I382" s="687"/>
      <c r="J382" s="687"/>
      <c r="K382" s="687"/>
      <c r="L382" s="687"/>
      <c r="M382" s="687"/>
      <c r="N382" s="687"/>
      <c r="O382" s="687"/>
      <c r="P382" s="687"/>
      <c r="Q382" s="687"/>
      <c r="R382" s="687"/>
      <c r="S382" s="687"/>
      <c r="T382" s="687"/>
      <c r="U382" s="687"/>
      <c r="V382" s="687"/>
      <c r="W382" s="687"/>
      <c r="X382" s="687"/>
      <c r="Y382" s="687"/>
      <c r="Z382" s="687"/>
    </row>
    <row r="383" customHeight="1" spans="1:26">
      <c r="A383" s="686"/>
      <c r="B383" s="686"/>
      <c r="C383" s="686"/>
      <c r="D383" s="687"/>
      <c r="E383" s="687"/>
      <c r="F383" s="687"/>
      <c r="G383" s="687"/>
      <c r="H383" s="687"/>
      <c r="I383" s="687"/>
      <c r="J383" s="687"/>
      <c r="K383" s="687"/>
      <c r="L383" s="687"/>
      <c r="M383" s="687"/>
      <c r="N383" s="687"/>
      <c r="O383" s="687"/>
      <c r="P383" s="687"/>
      <c r="Q383" s="687"/>
      <c r="R383" s="687"/>
      <c r="S383" s="687"/>
      <c r="T383" s="687"/>
      <c r="U383" s="687"/>
      <c r="V383" s="687"/>
      <c r="W383" s="687"/>
      <c r="X383" s="687"/>
      <c r="Y383" s="687"/>
      <c r="Z383" s="687"/>
    </row>
    <row r="384" customHeight="1" spans="1:26">
      <c r="A384" s="686"/>
      <c r="B384" s="686"/>
      <c r="C384" s="686"/>
      <c r="D384" s="687"/>
      <c r="E384" s="687"/>
      <c r="F384" s="687"/>
      <c r="G384" s="687"/>
      <c r="H384" s="687"/>
      <c r="I384" s="687"/>
      <c r="J384" s="687"/>
      <c r="K384" s="687"/>
      <c r="L384" s="687"/>
      <c r="M384" s="687"/>
      <c r="N384" s="687"/>
      <c r="O384" s="687"/>
      <c r="P384" s="687"/>
      <c r="Q384" s="687"/>
      <c r="R384" s="687"/>
      <c r="S384" s="687"/>
      <c r="T384" s="687"/>
      <c r="U384" s="687"/>
      <c r="V384" s="687"/>
      <c r="W384" s="687"/>
      <c r="X384" s="687"/>
      <c r="Y384" s="687"/>
      <c r="Z384" s="687"/>
    </row>
    <row r="385" customHeight="1" spans="1:26">
      <c r="A385" s="686"/>
      <c r="B385" s="686"/>
      <c r="C385" s="686"/>
      <c r="D385" s="687"/>
      <c r="E385" s="687"/>
      <c r="F385" s="687"/>
      <c r="G385" s="687"/>
      <c r="H385" s="687"/>
      <c r="I385" s="687"/>
      <c r="J385" s="687"/>
      <c r="K385" s="687"/>
      <c r="L385" s="687"/>
      <c r="M385" s="687"/>
      <c r="N385" s="687"/>
      <c r="O385" s="687"/>
      <c r="P385" s="687"/>
      <c r="Q385" s="687"/>
      <c r="R385" s="687"/>
      <c r="S385" s="687"/>
      <c r="T385" s="687"/>
      <c r="U385" s="687"/>
      <c r="V385" s="687"/>
      <c r="W385" s="687"/>
      <c r="X385" s="687"/>
      <c r="Y385" s="687"/>
      <c r="Z385" s="687"/>
    </row>
    <row r="386" customHeight="1" spans="1:26">
      <c r="A386" s="686"/>
      <c r="B386" s="686"/>
      <c r="C386" s="686"/>
      <c r="D386" s="687"/>
      <c r="E386" s="687"/>
      <c r="F386" s="687"/>
      <c r="G386" s="687"/>
      <c r="H386" s="687"/>
      <c r="I386" s="687"/>
      <c r="J386" s="687"/>
      <c r="K386" s="687"/>
      <c r="L386" s="687"/>
      <c r="M386" s="687"/>
      <c r="N386" s="687"/>
      <c r="O386" s="687"/>
      <c r="P386" s="687"/>
      <c r="Q386" s="687"/>
      <c r="R386" s="687"/>
      <c r="S386" s="687"/>
      <c r="T386" s="687"/>
      <c r="U386" s="687"/>
      <c r="V386" s="687"/>
      <c r="W386" s="687"/>
      <c r="X386" s="687"/>
      <c r="Y386" s="687"/>
      <c r="Z386" s="687"/>
    </row>
    <row r="387" customHeight="1" spans="1:26">
      <c r="A387" s="686"/>
      <c r="B387" s="686"/>
      <c r="C387" s="686"/>
      <c r="D387" s="687"/>
      <c r="E387" s="687"/>
      <c r="F387" s="687"/>
      <c r="G387" s="687"/>
      <c r="H387" s="687"/>
      <c r="I387" s="687"/>
      <c r="J387" s="687"/>
      <c r="K387" s="687"/>
      <c r="L387" s="687"/>
      <c r="M387" s="687"/>
      <c r="N387" s="687"/>
      <c r="O387" s="687"/>
      <c r="P387" s="687"/>
      <c r="Q387" s="687"/>
      <c r="R387" s="687"/>
      <c r="S387" s="687"/>
      <c r="T387" s="687"/>
      <c r="U387" s="687"/>
      <c r="V387" s="687"/>
      <c r="W387" s="687"/>
      <c r="X387" s="687"/>
      <c r="Y387" s="687"/>
      <c r="Z387" s="687"/>
    </row>
    <row r="388" customHeight="1" spans="1:26">
      <c r="A388" s="686"/>
      <c r="B388" s="686"/>
      <c r="C388" s="686"/>
      <c r="D388" s="687"/>
      <c r="E388" s="687"/>
      <c r="F388" s="687"/>
      <c r="G388" s="687"/>
      <c r="H388" s="687"/>
      <c r="I388" s="687"/>
      <c r="J388" s="687"/>
      <c r="K388" s="687"/>
      <c r="L388" s="687"/>
      <c r="M388" s="687"/>
      <c r="N388" s="687"/>
      <c r="O388" s="687"/>
      <c r="P388" s="687"/>
      <c r="Q388" s="687"/>
      <c r="R388" s="687"/>
      <c r="S388" s="687"/>
      <c r="T388" s="687"/>
      <c r="U388" s="687"/>
      <c r="V388" s="687"/>
      <c r="W388" s="687"/>
      <c r="X388" s="687"/>
      <c r="Y388" s="687"/>
      <c r="Z388" s="687"/>
    </row>
    <row r="389" customHeight="1" spans="1:26">
      <c r="A389" s="686"/>
      <c r="B389" s="686"/>
      <c r="C389" s="686"/>
      <c r="D389" s="687"/>
      <c r="E389" s="687"/>
      <c r="F389" s="687"/>
      <c r="G389" s="687"/>
      <c r="H389" s="687"/>
      <c r="I389" s="687"/>
      <c r="J389" s="687"/>
      <c r="K389" s="687"/>
      <c r="L389" s="687"/>
      <c r="M389" s="687"/>
      <c r="N389" s="687"/>
      <c r="O389" s="687"/>
      <c r="P389" s="687"/>
      <c r="Q389" s="687"/>
      <c r="R389" s="687"/>
      <c r="S389" s="687"/>
      <c r="T389" s="687"/>
      <c r="U389" s="687"/>
      <c r="V389" s="687"/>
      <c r="W389" s="687"/>
      <c r="X389" s="687"/>
      <c r="Y389" s="687"/>
      <c r="Z389" s="687"/>
    </row>
    <row r="390" customHeight="1" spans="1:26">
      <c r="A390" s="686"/>
      <c r="B390" s="686"/>
      <c r="C390" s="686"/>
      <c r="D390" s="687"/>
      <c r="E390" s="687"/>
      <c r="F390" s="687"/>
      <c r="G390" s="687"/>
      <c r="H390" s="687"/>
      <c r="I390" s="687"/>
      <c r="J390" s="687"/>
      <c r="K390" s="687"/>
      <c r="L390" s="687"/>
      <c r="M390" s="687"/>
      <c r="N390" s="687"/>
      <c r="O390" s="687"/>
      <c r="P390" s="687"/>
      <c r="Q390" s="687"/>
      <c r="R390" s="687"/>
      <c r="S390" s="687"/>
      <c r="T390" s="687"/>
      <c r="U390" s="687"/>
      <c r="V390" s="687"/>
      <c r="W390" s="687"/>
      <c r="X390" s="687"/>
      <c r="Y390" s="687"/>
      <c r="Z390" s="687"/>
    </row>
    <row r="391" customHeight="1" spans="1:26">
      <c r="A391" s="686"/>
      <c r="B391" s="686"/>
      <c r="C391" s="686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7"/>
      <c r="P391" s="687"/>
      <c r="Q391" s="687"/>
      <c r="R391" s="687"/>
      <c r="S391" s="687"/>
      <c r="T391" s="687"/>
      <c r="U391" s="687"/>
      <c r="V391" s="687"/>
      <c r="W391" s="687"/>
      <c r="X391" s="687"/>
      <c r="Y391" s="687"/>
      <c r="Z391" s="687"/>
    </row>
    <row r="392" customHeight="1" spans="1:26">
      <c r="A392" s="686"/>
      <c r="B392" s="686"/>
      <c r="C392" s="686"/>
      <c r="D392" s="687"/>
      <c r="E392" s="687"/>
      <c r="F392" s="687"/>
      <c r="G392" s="687"/>
      <c r="H392" s="687"/>
      <c r="I392" s="687"/>
      <c r="J392" s="687"/>
      <c r="K392" s="687"/>
      <c r="L392" s="687"/>
      <c r="M392" s="687"/>
      <c r="N392" s="687"/>
      <c r="O392" s="687"/>
      <c r="P392" s="687"/>
      <c r="Q392" s="687"/>
      <c r="R392" s="687"/>
      <c r="S392" s="687"/>
      <c r="T392" s="687"/>
      <c r="U392" s="687"/>
      <c r="V392" s="687"/>
      <c r="W392" s="687"/>
      <c r="X392" s="687"/>
      <c r="Y392" s="687"/>
      <c r="Z392" s="687"/>
    </row>
    <row r="393" customHeight="1" spans="1:26">
      <c r="A393" s="686"/>
      <c r="B393" s="686"/>
      <c r="C393" s="686"/>
      <c r="D393" s="687"/>
      <c r="E393" s="687"/>
      <c r="F393" s="687"/>
      <c r="G393" s="687"/>
      <c r="H393" s="687"/>
      <c r="I393" s="687"/>
      <c r="J393" s="687"/>
      <c r="K393" s="687"/>
      <c r="L393" s="687"/>
      <c r="M393" s="687"/>
      <c r="N393" s="687"/>
      <c r="O393" s="687"/>
      <c r="P393" s="687"/>
      <c r="Q393" s="687"/>
      <c r="R393" s="687"/>
      <c r="S393" s="687"/>
      <c r="T393" s="687"/>
      <c r="U393" s="687"/>
      <c r="V393" s="687"/>
      <c r="W393" s="687"/>
      <c r="X393" s="687"/>
      <c r="Y393" s="687"/>
      <c r="Z393" s="687"/>
    </row>
    <row r="394" customHeight="1" spans="1:26">
      <c r="A394" s="686"/>
      <c r="B394" s="686"/>
      <c r="C394" s="686"/>
      <c r="D394" s="687"/>
      <c r="E394" s="687"/>
      <c r="F394" s="687"/>
      <c r="G394" s="687"/>
      <c r="H394" s="687"/>
      <c r="I394" s="687"/>
      <c r="J394" s="687"/>
      <c r="K394" s="687"/>
      <c r="L394" s="687"/>
      <c r="M394" s="687"/>
      <c r="N394" s="687"/>
      <c r="O394" s="687"/>
      <c r="P394" s="687"/>
      <c r="Q394" s="687"/>
      <c r="R394" s="687"/>
      <c r="S394" s="687"/>
      <c r="T394" s="687"/>
      <c r="U394" s="687"/>
      <c r="V394" s="687"/>
      <c r="W394" s="687"/>
      <c r="X394" s="687"/>
      <c r="Y394" s="687"/>
      <c r="Z394" s="687"/>
    </row>
    <row r="395" customHeight="1" spans="1:26">
      <c r="A395" s="686"/>
      <c r="B395" s="686"/>
      <c r="C395" s="686"/>
      <c r="D395" s="687"/>
      <c r="E395" s="687"/>
      <c r="F395" s="687"/>
      <c r="G395" s="687"/>
      <c r="H395" s="687"/>
      <c r="I395" s="687"/>
      <c r="J395" s="687"/>
      <c r="K395" s="687"/>
      <c r="L395" s="687"/>
      <c r="M395" s="687"/>
      <c r="N395" s="687"/>
      <c r="O395" s="687"/>
      <c r="P395" s="687"/>
      <c r="Q395" s="687"/>
      <c r="R395" s="687"/>
      <c r="S395" s="687"/>
      <c r="T395" s="687"/>
      <c r="U395" s="687"/>
      <c r="V395" s="687"/>
      <c r="W395" s="687"/>
      <c r="X395" s="687"/>
      <c r="Y395" s="687"/>
      <c r="Z395" s="687"/>
    </row>
    <row r="396" customHeight="1" spans="1:26">
      <c r="A396" s="686"/>
      <c r="B396" s="686"/>
      <c r="C396" s="686"/>
      <c r="D396" s="687"/>
      <c r="E396" s="687"/>
      <c r="F396" s="687"/>
      <c r="G396" s="687"/>
      <c r="H396" s="687"/>
      <c r="I396" s="687"/>
      <c r="J396" s="687"/>
      <c r="K396" s="687"/>
      <c r="L396" s="687"/>
      <c r="M396" s="687"/>
      <c r="N396" s="687"/>
      <c r="O396" s="687"/>
      <c r="P396" s="687"/>
      <c r="Q396" s="687"/>
      <c r="R396" s="687"/>
      <c r="S396" s="687"/>
      <c r="T396" s="687"/>
      <c r="U396" s="687"/>
      <c r="V396" s="687"/>
      <c r="W396" s="687"/>
      <c r="X396" s="687"/>
      <c r="Y396" s="687"/>
      <c r="Z396" s="687"/>
    </row>
    <row r="397" customHeight="1" spans="1:26">
      <c r="A397" s="686"/>
      <c r="B397" s="686"/>
      <c r="C397" s="686"/>
      <c r="D397" s="687"/>
      <c r="E397" s="687"/>
      <c r="F397" s="687"/>
      <c r="G397" s="687"/>
      <c r="H397" s="687"/>
      <c r="I397" s="687"/>
      <c r="J397" s="687"/>
      <c r="K397" s="687"/>
      <c r="L397" s="687"/>
      <c r="M397" s="687"/>
      <c r="N397" s="687"/>
      <c r="O397" s="687"/>
      <c r="P397" s="687"/>
      <c r="Q397" s="687"/>
      <c r="R397" s="687"/>
      <c r="S397" s="687"/>
      <c r="T397" s="687"/>
      <c r="U397" s="687"/>
      <c r="V397" s="687"/>
      <c r="W397" s="687"/>
      <c r="X397" s="687"/>
      <c r="Y397" s="687"/>
      <c r="Z397" s="687"/>
    </row>
    <row r="398" customHeight="1" spans="1:26">
      <c r="A398" s="686"/>
      <c r="B398" s="686"/>
      <c r="C398" s="686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7"/>
      <c r="P398" s="687"/>
      <c r="Q398" s="687"/>
      <c r="R398" s="687"/>
      <c r="S398" s="687"/>
      <c r="T398" s="687"/>
      <c r="U398" s="687"/>
      <c r="V398" s="687"/>
      <c r="W398" s="687"/>
      <c r="X398" s="687"/>
      <c r="Y398" s="687"/>
      <c r="Z398" s="687"/>
    </row>
    <row r="399" customHeight="1" spans="1:26">
      <c r="A399" s="686"/>
      <c r="B399" s="686"/>
      <c r="C399" s="686"/>
      <c r="D399" s="687"/>
      <c r="E399" s="687"/>
      <c r="F399" s="687"/>
      <c r="G399" s="687"/>
      <c r="H399" s="687"/>
      <c r="I399" s="687"/>
      <c r="J399" s="687"/>
      <c r="K399" s="687"/>
      <c r="L399" s="687"/>
      <c r="M399" s="687"/>
      <c r="N399" s="687"/>
      <c r="O399" s="687"/>
      <c r="P399" s="687"/>
      <c r="Q399" s="687"/>
      <c r="R399" s="687"/>
      <c r="S399" s="687"/>
      <c r="T399" s="687"/>
      <c r="U399" s="687"/>
      <c r="V399" s="687"/>
      <c r="W399" s="687"/>
      <c r="X399" s="687"/>
      <c r="Y399" s="687"/>
      <c r="Z399" s="687"/>
    </row>
    <row r="400" customHeight="1" spans="1:26">
      <c r="A400" s="686"/>
      <c r="B400" s="686"/>
      <c r="C400" s="686"/>
      <c r="D400" s="687"/>
      <c r="E400" s="687"/>
      <c r="F400" s="687"/>
      <c r="G400" s="687"/>
      <c r="H400" s="687"/>
      <c r="I400" s="687"/>
      <c r="J400" s="687"/>
      <c r="K400" s="687"/>
      <c r="L400" s="687"/>
      <c r="M400" s="687"/>
      <c r="N400" s="687"/>
      <c r="O400" s="687"/>
      <c r="P400" s="687"/>
      <c r="Q400" s="687"/>
      <c r="R400" s="687"/>
      <c r="S400" s="687"/>
      <c r="T400" s="687"/>
      <c r="U400" s="687"/>
      <c r="V400" s="687"/>
      <c r="W400" s="687"/>
      <c r="X400" s="687"/>
      <c r="Y400" s="687"/>
      <c r="Z400" s="687"/>
    </row>
    <row r="401" customHeight="1" spans="1:26">
      <c r="A401" s="686"/>
      <c r="B401" s="686"/>
      <c r="C401" s="686"/>
      <c r="D401" s="687"/>
      <c r="E401" s="687"/>
      <c r="F401" s="687"/>
      <c r="G401" s="687"/>
      <c r="H401" s="687"/>
      <c r="I401" s="687"/>
      <c r="J401" s="687"/>
      <c r="K401" s="687"/>
      <c r="L401" s="687"/>
      <c r="M401" s="687"/>
      <c r="N401" s="687"/>
      <c r="O401" s="687"/>
      <c r="P401" s="687"/>
      <c r="Q401" s="687"/>
      <c r="R401" s="687"/>
      <c r="S401" s="687"/>
      <c r="T401" s="687"/>
      <c r="U401" s="687"/>
      <c r="V401" s="687"/>
      <c r="W401" s="687"/>
      <c r="X401" s="687"/>
      <c r="Y401" s="687"/>
      <c r="Z401" s="687"/>
    </row>
    <row r="402" customHeight="1" spans="1:26">
      <c r="A402" s="686"/>
      <c r="B402" s="686"/>
      <c r="C402" s="686"/>
      <c r="D402" s="687"/>
      <c r="E402" s="687"/>
      <c r="F402" s="687"/>
      <c r="G402" s="687"/>
      <c r="H402" s="687"/>
      <c r="I402" s="687"/>
      <c r="J402" s="687"/>
      <c r="K402" s="687"/>
      <c r="L402" s="687"/>
      <c r="M402" s="687"/>
      <c r="N402" s="687"/>
      <c r="O402" s="687"/>
      <c r="P402" s="687"/>
      <c r="Q402" s="687"/>
      <c r="R402" s="687"/>
      <c r="S402" s="687"/>
      <c r="T402" s="687"/>
      <c r="U402" s="687"/>
      <c r="V402" s="687"/>
      <c r="W402" s="687"/>
      <c r="X402" s="687"/>
      <c r="Y402" s="687"/>
      <c r="Z402" s="687"/>
    </row>
    <row r="403" customHeight="1" spans="1:26">
      <c r="A403" s="686"/>
      <c r="B403" s="686"/>
      <c r="C403" s="686"/>
      <c r="D403" s="687"/>
      <c r="E403" s="687"/>
      <c r="F403" s="687"/>
      <c r="G403" s="687"/>
      <c r="H403" s="687"/>
      <c r="I403" s="687"/>
      <c r="J403" s="687"/>
      <c r="K403" s="687"/>
      <c r="L403" s="687"/>
      <c r="M403" s="687"/>
      <c r="N403" s="687"/>
      <c r="O403" s="687"/>
      <c r="P403" s="687"/>
      <c r="Q403" s="687"/>
      <c r="R403" s="687"/>
      <c r="S403" s="687"/>
      <c r="T403" s="687"/>
      <c r="U403" s="687"/>
      <c r="V403" s="687"/>
      <c r="W403" s="687"/>
      <c r="X403" s="687"/>
      <c r="Y403" s="687"/>
      <c r="Z403" s="687"/>
    </row>
    <row r="404" customHeight="1" spans="1:26">
      <c r="A404" s="686"/>
      <c r="B404" s="686"/>
      <c r="C404" s="686"/>
      <c r="D404" s="687"/>
      <c r="E404" s="687"/>
      <c r="F404" s="687"/>
      <c r="G404" s="687"/>
      <c r="H404" s="687"/>
      <c r="I404" s="687"/>
      <c r="J404" s="687"/>
      <c r="K404" s="687"/>
      <c r="L404" s="687"/>
      <c r="M404" s="687"/>
      <c r="N404" s="687"/>
      <c r="O404" s="687"/>
      <c r="P404" s="687"/>
      <c r="Q404" s="687"/>
      <c r="R404" s="687"/>
      <c r="S404" s="687"/>
      <c r="T404" s="687"/>
      <c r="U404" s="687"/>
      <c r="V404" s="687"/>
      <c r="W404" s="687"/>
      <c r="X404" s="687"/>
      <c r="Y404" s="687"/>
      <c r="Z404" s="687"/>
    </row>
    <row r="405" customHeight="1" spans="1:26">
      <c r="A405" s="686"/>
      <c r="B405" s="686"/>
      <c r="C405" s="686"/>
      <c r="D405" s="687"/>
      <c r="E405" s="687"/>
      <c r="F405" s="687"/>
      <c r="G405" s="687"/>
      <c r="H405" s="687"/>
      <c r="I405" s="687"/>
      <c r="J405" s="687"/>
      <c r="K405" s="687"/>
      <c r="L405" s="687"/>
      <c r="M405" s="687"/>
      <c r="N405" s="687"/>
      <c r="O405" s="687"/>
      <c r="P405" s="687"/>
      <c r="Q405" s="687"/>
      <c r="R405" s="687"/>
      <c r="S405" s="687"/>
      <c r="T405" s="687"/>
      <c r="U405" s="687"/>
      <c r="V405" s="687"/>
      <c r="W405" s="687"/>
      <c r="X405" s="687"/>
      <c r="Y405" s="687"/>
      <c r="Z405" s="687"/>
    </row>
    <row r="406" customHeight="1" spans="1:26">
      <c r="A406" s="686"/>
      <c r="B406" s="686"/>
      <c r="C406" s="686"/>
      <c r="D406" s="687"/>
      <c r="E406" s="687"/>
      <c r="F406" s="687"/>
      <c r="G406" s="687"/>
      <c r="H406" s="687"/>
      <c r="I406" s="687"/>
      <c r="J406" s="687"/>
      <c r="K406" s="687"/>
      <c r="L406" s="687"/>
      <c r="M406" s="687"/>
      <c r="N406" s="687"/>
      <c r="O406" s="687"/>
      <c r="P406" s="687"/>
      <c r="Q406" s="687"/>
      <c r="R406" s="687"/>
      <c r="S406" s="687"/>
      <c r="T406" s="687"/>
      <c r="U406" s="687"/>
      <c r="V406" s="687"/>
      <c r="W406" s="687"/>
      <c r="X406" s="687"/>
      <c r="Y406" s="687"/>
      <c r="Z406" s="687"/>
    </row>
    <row r="407" customHeight="1" spans="1:26">
      <c r="A407" s="686"/>
      <c r="B407" s="686"/>
      <c r="C407" s="686"/>
      <c r="D407" s="687"/>
      <c r="E407" s="687"/>
      <c r="F407" s="687"/>
      <c r="G407" s="687"/>
      <c r="H407" s="687"/>
      <c r="I407" s="687"/>
      <c r="J407" s="687"/>
      <c r="K407" s="687"/>
      <c r="L407" s="687"/>
      <c r="M407" s="687"/>
      <c r="N407" s="687"/>
      <c r="O407" s="687"/>
      <c r="P407" s="687"/>
      <c r="Q407" s="687"/>
      <c r="R407" s="687"/>
      <c r="S407" s="687"/>
      <c r="T407" s="687"/>
      <c r="U407" s="687"/>
      <c r="V407" s="687"/>
      <c r="W407" s="687"/>
      <c r="X407" s="687"/>
      <c r="Y407" s="687"/>
      <c r="Z407" s="687"/>
    </row>
    <row r="408" customHeight="1" spans="1:26">
      <c r="A408" s="686"/>
      <c r="B408" s="686"/>
      <c r="C408" s="686"/>
      <c r="D408" s="687"/>
      <c r="E408" s="687"/>
      <c r="F408" s="687"/>
      <c r="G408" s="687"/>
      <c r="H408" s="687"/>
      <c r="I408" s="687"/>
      <c r="J408" s="687"/>
      <c r="K408" s="687"/>
      <c r="L408" s="687"/>
      <c r="M408" s="687"/>
      <c r="N408" s="687"/>
      <c r="O408" s="687"/>
      <c r="P408" s="687"/>
      <c r="Q408" s="687"/>
      <c r="R408" s="687"/>
      <c r="S408" s="687"/>
      <c r="T408" s="687"/>
      <c r="U408" s="687"/>
      <c r="V408" s="687"/>
      <c r="W408" s="687"/>
      <c r="X408" s="687"/>
      <c r="Y408" s="687"/>
      <c r="Z408" s="687"/>
    </row>
    <row r="409" customHeight="1" spans="1:26">
      <c r="A409" s="686"/>
      <c r="B409" s="686"/>
      <c r="C409" s="686"/>
      <c r="D409" s="687"/>
      <c r="E409" s="687"/>
      <c r="F409" s="687"/>
      <c r="G409" s="687"/>
      <c r="H409" s="687"/>
      <c r="I409" s="687"/>
      <c r="J409" s="687"/>
      <c r="K409" s="687"/>
      <c r="L409" s="687"/>
      <c r="M409" s="687"/>
      <c r="N409" s="687"/>
      <c r="O409" s="687"/>
      <c r="P409" s="687"/>
      <c r="Q409" s="687"/>
      <c r="R409" s="687"/>
      <c r="S409" s="687"/>
      <c r="T409" s="687"/>
      <c r="U409" s="687"/>
      <c r="V409" s="687"/>
      <c r="W409" s="687"/>
      <c r="X409" s="687"/>
      <c r="Y409" s="687"/>
      <c r="Z409" s="687"/>
    </row>
    <row r="410" customHeight="1" spans="1:26">
      <c r="A410" s="686"/>
      <c r="B410" s="686"/>
      <c r="C410" s="686"/>
      <c r="D410" s="687"/>
      <c r="E410" s="687"/>
      <c r="F410" s="687"/>
      <c r="G410" s="687"/>
      <c r="H410" s="687"/>
      <c r="I410" s="687"/>
      <c r="J410" s="687"/>
      <c r="K410" s="687"/>
      <c r="L410" s="687"/>
      <c r="M410" s="687"/>
      <c r="N410" s="687"/>
      <c r="O410" s="687"/>
      <c r="P410" s="687"/>
      <c r="Q410" s="687"/>
      <c r="R410" s="687"/>
      <c r="S410" s="687"/>
      <c r="T410" s="687"/>
      <c r="U410" s="687"/>
      <c r="V410" s="687"/>
      <c r="W410" s="687"/>
      <c r="X410" s="687"/>
      <c r="Y410" s="687"/>
      <c r="Z410" s="687"/>
    </row>
    <row r="411" customHeight="1" spans="1:26">
      <c r="A411" s="686"/>
      <c r="B411" s="686"/>
      <c r="C411" s="686"/>
      <c r="D411" s="687"/>
      <c r="E411" s="687"/>
      <c r="F411" s="687"/>
      <c r="G411" s="687"/>
      <c r="H411" s="687"/>
      <c r="I411" s="687"/>
      <c r="J411" s="687"/>
      <c r="K411" s="687"/>
      <c r="L411" s="687"/>
      <c r="M411" s="687"/>
      <c r="N411" s="687"/>
      <c r="O411" s="687"/>
      <c r="P411" s="687"/>
      <c r="Q411" s="687"/>
      <c r="R411" s="687"/>
      <c r="S411" s="687"/>
      <c r="T411" s="687"/>
      <c r="U411" s="687"/>
      <c r="V411" s="687"/>
      <c r="W411" s="687"/>
      <c r="X411" s="687"/>
      <c r="Y411" s="687"/>
      <c r="Z411" s="687"/>
    </row>
    <row r="412" customHeight="1" spans="1:26">
      <c r="A412" s="686"/>
      <c r="B412" s="686"/>
      <c r="C412" s="686"/>
      <c r="D412" s="687"/>
      <c r="E412" s="687"/>
      <c r="F412" s="687"/>
      <c r="G412" s="687"/>
      <c r="H412" s="687"/>
      <c r="I412" s="687"/>
      <c r="J412" s="687"/>
      <c r="K412" s="687"/>
      <c r="L412" s="687"/>
      <c r="M412" s="687"/>
      <c r="N412" s="687"/>
      <c r="O412" s="687"/>
      <c r="P412" s="687"/>
      <c r="Q412" s="687"/>
      <c r="R412" s="687"/>
      <c r="S412" s="687"/>
      <c r="T412" s="687"/>
      <c r="U412" s="687"/>
      <c r="V412" s="687"/>
      <c r="W412" s="687"/>
      <c r="X412" s="687"/>
      <c r="Y412" s="687"/>
      <c r="Z412" s="687"/>
    </row>
    <row r="413" customHeight="1" spans="1:26">
      <c r="A413" s="686"/>
      <c r="B413" s="686"/>
      <c r="C413" s="686"/>
      <c r="D413" s="687"/>
      <c r="E413" s="687"/>
      <c r="F413" s="687"/>
      <c r="G413" s="687"/>
      <c r="H413" s="687"/>
      <c r="I413" s="687"/>
      <c r="J413" s="687"/>
      <c r="K413" s="687"/>
      <c r="L413" s="687"/>
      <c r="M413" s="687"/>
      <c r="N413" s="687"/>
      <c r="O413" s="687"/>
      <c r="P413" s="687"/>
      <c r="Q413" s="687"/>
      <c r="R413" s="687"/>
      <c r="S413" s="687"/>
      <c r="T413" s="687"/>
      <c r="U413" s="687"/>
      <c r="V413" s="687"/>
      <c r="W413" s="687"/>
      <c r="X413" s="687"/>
      <c r="Y413" s="687"/>
      <c r="Z413" s="687"/>
    </row>
    <row r="414" customHeight="1" spans="1:26">
      <c r="A414" s="686"/>
      <c r="B414" s="686"/>
      <c r="C414" s="686"/>
      <c r="D414" s="687"/>
      <c r="E414" s="687"/>
      <c r="F414" s="687"/>
      <c r="G414" s="687"/>
      <c r="H414" s="687"/>
      <c r="I414" s="687"/>
      <c r="J414" s="687"/>
      <c r="K414" s="687"/>
      <c r="L414" s="687"/>
      <c r="M414" s="687"/>
      <c r="N414" s="687"/>
      <c r="O414" s="687"/>
      <c r="P414" s="687"/>
      <c r="Q414" s="687"/>
      <c r="R414" s="687"/>
      <c r="S414" s="687"/>
      <c r="T414" s="687"/>
      <c r="U414" s="687"/>
      <c r="V414" s="687"/>
      <c r="W414" s="687"/>
      <c r="X414" s="687"/>
      <c r="Y414" s="687"/>
      <c r="Z414" s="687"/>
    </row>
    <row r="415" customHeight="1" spans="1:26">
      <c r="A415" s="686"/>
      <c r="B415" s="686"/>
      <c r="C415" s="686"/>
      <c r="D415" s="687"/>
      <c r="E415" s="687"/>
      <c r="F415" s="687"/>
      <c r="G415" s="687"/>
      <c r="H415" s="687"/>
      <c r="I415" s="687"/>
      <c r="J415" s="687"/>
      <c r="K415" s="687"/>
      <c r="L415" s="687"/>
      <c r="M415" s="687"/>
      <c r="N415" s="687"/>
      <c r="O415" s="687"/>
      <c r="P415" s="687"/>
      <c r="Q415" s="687"/>
      <c r="R415" s="687"/>
      <c r="S415" s="687"/>
      <c r="T415" s="687"/>
      <c r="U415" s="687"/>
      <c r="V415" s="687"/>
      <c r="W415" s="687"/>
      <c r="X415" s="687"/>
      <c r="Y415" s="687"/>
      <c r="Z415" s="687"/>
    </row>
    <row r="416" customHeight="1" spans="1:26">
      <c r="A416" s="686"/>
      <c r="B416" s="686"/>
      <c r="C416" s="686"/>
      <c r="D416" s="687"/>
      <c r="E416" s="687"/>
      <c r="F416" s="687"/>
      <c r="G416" s="687"/>
      <c r="H416" s="687"/>
      <c r="I416" s="687"/>
      <c r="J416" s="687"/>
      <c r="K416" s="687"/>
      <c r="L416" s="687"/>
      <c r="M416" s="687"/>
      <c r="N416" s="687"/>
      <c r="O416" s="687"/>
      <c r="P416" s="687"/>
      <c r="Q416" s="687"/>
      <c r="R416" s="687"/>
      <c r="S416" s="687"/>
      <c r="T416" s="687"/>
      <c r="U416" s="687"/>
      <c r="V416" s="687"/>
      <c r="W416" s="687"/>
      <c r="X416" s="687"/>
      <c r="Y416" s="687"/>
      <c r="Z416" s="687"/>
    </row>
    <row r="417" customHeight="1" spans="1:26">
      <c r="A417" s="686"/>
      <c r="B417" s="686"/>
      <c r="C417" s="686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7"/>
      <c r="P417" s="687"/>
      <c r="Q417" s="687"/>
      <c r="R417" s="687"/>
      <c r="S417" s="687"/>
      <c r="T417" s="687"/>
      <c r="U417" s="687"/>
      <c r="V417" s="687"/>
      <c r="W417" s="687"/>
      <c r="X417" s="687"/>
      <c r="Y417" s="687"/>
      <c r="Z417" s="687"/>
    </row>
    <row r="418" customHeight="1" spans="1:26">
      <c r="A418" s="686"/>
      <c r="B418" s="686"/>
      <c r="C418" s="686"/>
      <c r="D418" s="687"/>
      <c r="E418" s="687"/>
      <c r="F418" s="687"/>
      <c r="G418" s="687"/>
      <c r="H418" s="687"/>
      <c r="I418" s="687"/>
      <c r="J418" s="687"/>
      <c r="K418" s="687"/>
      <c r="L418" s="687"/>
      <c r="M418" s="687"/>
      <c r="N418" s="687"/>
      <c r="O418" s="687"/>
      <c r="P418" s="687"/>
      <c r="Q418" s="687"/>
      <c r="R418" s="687"/>
      <c r="S418" s="687"/>
      <c r="T418" s="687"/>
      <c r="U418" s="687"/>
      <c r="V418" s="687"/>
      <c r="W418" s="687"/>
      <c r="X418" s="687"/>
      <c r="Y418" s="687"/>
      <c r="Z418" s="687"/>
    </row>
    <row r="419" customHeight="1" spans="1:26">
      <c r="A419" s="686"/>
      <c r="B419" s="686"/>
      <c r="C419" s="686"/>
      <c r="D419" s="687"/>
      <c r="E419" s="687"/>
      <c r="F419" s="687"/>
      <c r="G419" s="687"/>
      <c r="H419" s="687"/>
      <c r="I419" s="687"/>
      <c r="J419" s="687"/>
      <c r="K419" s="687"/>
      <c r="L419" s="687"/>
      <c r="M419" s="687"/>
      <c r="N419" s="687"/>
      <c r="O419" s="687"/>
      <c r="P419" s="687"/>
      <c r="Q419" s="687"/>
      <c r="R419" s="687"/>
      <c r="S419" s="687"/>
      <c r="T419" s="687"/>
      <c r="U419" s="687"/>
      <c r="V419" s="687"/>
      <c r="W419" s="687"/>
      <c r="X419" s="687"/>
      <c r="Y419" s="687"/>
      <c r="Z419" s="687"/>
    </row>
    <row r="420" customHeight="1" spans="1:26">
      <c r="A420" s="686"/>
      <c r="B420" s="686"/>
      <c r="C420" s="686"/>
      <c r="D420" s="687"/>
      <c r="E420" s="687"/>
      <c r="F420" s="687"/>
      <c r="G420" s="687"/>
      <c r="H420" s="687"/>
      <c r="I420" s="687"/>
      <c r="J420" s="687"/>
      <c r="K420" s="687"/>
      <c r="L420" s="687"/>
      <c r="M420" s="687"/>
      <c r="N420" s="687"/>
      <c r="O420" s="687"/>
      <c r="P420" s="687"/>
      <c r="Q420" s="687"/>
      <c r="R420" s="687"/>
      <c r="S420" s="687"/>
      <c r="T420" s="687"/>
      <c r="U420" s="687"/>
      <c r="V420" s="687"/>
      <c r="W420" s="687"/>
      <c r="X420" s="687"/>
      <c r="Y420" s="687"/>
      <c r="Z420" s="687"/>
    </row>
    <row r="421" customHeight="1" spans="1:26">
      <c r="A421" s="686"/>
      <c r="B421" s="686"/>
      <c r="C421" s="686"/>
      <c r="D421" s="687"/>
      <c r="E421" s="687"/>
      <c r="F421" s="687"/>
      <c r="G421" s="687"/>
      <c r="H421" s="687"/>
      <c r="I421" s="687"/>
      <c r="J421" s="687"/>
      <c r="K421" s="687"/>
      <c r="L421" s="687"/>
      <c r="M421" s="687"/>
      <c r="N421" s="687"/>
      <c r="O421" s="687"/>
      <c r="P421" s="687"/>
      <c r="Q421" s="687"/>
      <c r="R421" s="687"/>
      <c r="S421" s="687"/>
      <c r="T421" s="687"/>
      <c r="U421" s="687"/>
      <c r="V421" s="687"/>
      <c r="W421" s="687"/>
      <c r="X421" s="687"/>
      <c r="Y421" s="687"/>
      <c r="Z421" s="687"/>
    </row>
    <row r="422" customHeight="1" spans="1:26">
      <c r="A422" s="686"/>
      <c r="B422" s="686"/>
      <c r="C422" s="686"/>
      <c r="D422" s="687"/>
      <c r="E422" s="687"/>
      <c r="F422" s="687"/>
      <c r="G422" s="687"/>
      <c r="H422" s="687"/>
      <c r="I422" s="687"/>
      <c r="J422" s="687"/>
      <c r="K422" s="687"/>
      <c r="L422" s="687"/>
      <c r="M422" s="687"/>
      <c r="N422" s="687"/>
      <c r="O422" s="687"/>
      <c r="P422" s="687"/>
      <c r="Q422" s="687"/>
      <c r="R422" s="687"/>
      <c r="S422" s="687"/>
      <c r="T422" s="687"/>
      <c r="U422" s="687"/>
      <c r="V422" s="687"/>
      <c r="W422" s="687"/>
      <c r="X422" s="687"/>
      <c r="Y422" s="687"/>
      <c r="Z422" s="687"/>
    </row>
    <row r="423" customHeight="1" spans="1:26">
      <c r="A423" s="686"/>
      <c r="B423" s="686"/>
      <c r="C423" s="686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7"/>
      <c r="P423" s="687"/>
      <c r="Q423" s="687"/>
      <c r="R423" s="687"/>
      <c r="S423" s="687"/>
      <c r="T423" s="687"/>
      <c r="U423" s="687"/>
      <c r="V423" s="687"/>
      <c r="W423" s="687"/>
      <c r="X423" s="687"/>
      <c r="Y423" s="687"/>
      <c r="Z423" s="687"/>
    </row>
    <row r="424" customHeight="1" spans="1:26">
      <c r="A424" s="686"/>
      <c r="B424" s="686"/>
      <c r="C424" s="686"/>
      <c r="D424" s="687"/>
      <c r="E424" s="687"/>
      <c r="F424" s="687"/>
      <c r="G424" s="687"/>
      <c r="H424" s="687"/>
      <c r="I424" s="687"/>
      <c r="J424" s="687"/>
      <c r="K424" s="687"/>
      <c r="L424" s="687"/>
      <c r="M424" s="687"/>
      <c r="N424" s="687"/>
      <c r="O424" s="687"/>
      <c r="P424" s="687"/>
      <c r="Q424" s="687"/>
      <c r="R424" s="687"/>
      <c r="S424" s="687"/>
      <c r="T424" s="687"/>
      <c r="U424" s="687"/>
      <c r="V424" s="687"/>
      <c r="W424" s="687"/>
      <c r="X424" s="687"/>
      <c r="Y424" s="687"/>
      <c r="Z424" s="687"/>
    </row>
    <row r="425" customHeight="1" spans="1:26">
      <c r="A425" s="686"/>
      <c r="B425" s="686"/>
      <c r="C425" s="686"/>
      <c r="D425" s="687"/>
      <c r="E425" s="687"/>
      <c r="F425" s="687"/>
      <c r="G425" s="687"/>
      <c r="H425" s="687"/>
      <c r="I425" s="687"/>
      <c r="J425" s="687"/>
      <c r="K425" s="687"/>
      <c r="L425" s="687"/>
      <c r="M425" s="687"/>
      <c r="N425" s="687"/>
      <c r="O425" s="687"/>
      <c r="P425" s="687"/>
      <c r="Q425" s="687"/>
      <c r="R425" s="687"/>
      <c r="S425" s="687"/>
      <c r="T425" s="687"/>
      <c r="U425" s="687"/>
      <c r="V425" s="687"/>
      <c r="W425" s="687"/>
      <c r="X425" s="687"/>
      <c r="Y425" s="687"/>
      <c r="Z425" s="687"/>
    </row>
    <row r="426" customHeight="1" spans="1:26">
      <c r="A426" s="686"/>
      <c r="B426" s="686"/>
      <c r="C426" s="686"/>
      <c r="D426" s="687"/>
      <c r="E426" s="687"/>
      <c r="F426" s="687"/>
      <c r="G426" s="687"/>
      <c r="H426" s="687"/>
      <c r="I426" s="687"/>
      <c r="J426" s="687"/>
      <c r="K426" s="687"/>
      <c r="L426" s="687"/>
      <c r="M426" s="687"/>
      <c r="N426" s="687"/>
      <c r="O426" s="687"/>
      <c r="P426" s="687"/>
      <c r="Q426" s="687"/>
      <c r="R426" s="687"/>
      <c r="S426" s="687"/>
      <c r="T426" s="687"/>
      <c r="U426" s="687"/>
      <c r="V426" s="687"/>
      <c r="W426" s="687"/>
      <c r="X426" s="687"/>
      <c r="Y426" s="687"/>
      <c r="Z426" s="687"/>
    </row>
    <row r="427" customHeight="1" spans="1:26">
      <c r="A427" s="686"/>
      <c r="B427" s="686"/>
      <c r="C427" s="686"/>
      <c r="D427" s="687"/>
      <c r="E427" s="687"/>
      <c r="F427" s="687"/>
      <c r="G427" s="687"/>
      <c r="H427" s="687"/>
      <c r="I427" s="687"/>
      <c r="J427" s="687"/>
      <c r="K427" s="687"/>
      <c r="L427" s="687"/>
      <c r="M427" s="687"/>
      <c r="N427" s="687"/>
      <c r="O427" s="687"/>
      <c r="P427" s="687"/>
      <c r="Q427" s="687"/>
      <c r="R427" s="687"/>
      <c r="S427" s="687"/>
      <c r="T427" s="687"/>
      <c r="U427" s="687"/>
      <c r="V427" s="687"/>
      <c r="W427" s="687"/>
      <c r="X427" s="687"/>
      <c r="Y427" s="687"/>
      <c r="Z427" s="687"/>
    </row>
    <row r="428" customHeight="1" spans="1:26">
      <c r="A428" s="686"/>
      <c r="B428" s="686"/>
      <c r="C428" s="686"/>
      <c r="D428" s="687"/>
      <c r="E428" s="687"/>
      <c r="F428" s="687"/>
      <c r="G428" s="687"/>
      <c r="H428" s="687"/>
      <c r="I428" s="687"/>
      <c r="J428" s="687"/>
      <c r="K428" s="687"/>
      <c r="L428" s="687"/>
      <c r="M428" s="687"/>
      <c r="N428" s="687"/>
      <c r="O428" s="687"/>
      <c r="P428" s="687"/>
      <c r="Q428" s="687"/>
      <c r="R428" s="687"/>
      <c r="S428" s="687"/>
      <c r="T428" s="687"/>
      <c r="U428" s="687"/>
      <c r="V428" s="687"/>
      <c r="W428" s="687"/>
      <c r="X428" s="687"/>
      <c r="Y428" s="687"/>
      <c r="Z428" s="687"/>
    </row>
    <row r="429" customHeight="1" spans="1:26">
      <c r="A429" s="686"/>
      <c r="B429" s="686"/>
      <c r="C429" s="686"/>
      <c r="D429" s="687"/>
      <c r="E429" s="687"/>
      <c r="F429" s="687"/>
      <c r="G429" s="687"/>
      <c r="H429" s="687"/>
      <c r="I429" s="687"/>
      <c r="J429" s="687"/>
      <c r="K429" s="687"/>
      <c r="L429" s="687"/>
      <c r="M429" s="687"/>
      <c r="N429" s="687"/>
      <c r="O429" s="687"/>
      <c r="P429" s="687"/>
      <c r="Q429" s="687"/>
      <c r="R429" s="687"/>
      <c r="S429" s="687"/>
      <c r="T429" s="687"/>
      <c r="U429" s="687"/>
      <c r="V429" s="687"/>
      <c r="W429" s="687"/>
      <c r="X429" s="687"/>
      <c r="Y429" s="687"/>
      <c r="Z429" s="687"/>
    </row>
    <row r="430" customHeight="1" spans="1:26">
      <c r="A430" s="686"/>
      <c r="B430" s="686"/>
      <c r="C430" s="686"/>
      <c r="D430" s="687"/>
      <c r="E430" s="687"/>
      <c r="F430" s="687"/>
      <c r="G430" s="687"/>
      <c r="H430" s="687"/>
      <c r="I430" s="687"/>
      <c r="J430" s="687"/>
      <c r="K430" s="687"/>
      <c r="L430" s="687"/>
      <c r="M430" s="687"/>
      <c r="N430" s="687"/>
      <c r="O430" s="687"/>
      <c r="P430" s="687"/>
      <c r="Q430" s="687"/>
      <c r="R430" s="687"/>
      <c r="S430" s="687"/>
      <c r="T430" s="687"/>
      <c r="U430" s="687"/>
      <c r="V430" s="687"/>
      <c r="W430" s="687"/>
      <c r="X430" s="687"/>
      <c r="Y430" s="687"/>
      <c r="Z430" s="687"/>
    </row>
    <row r="431" customHeight="1" spans="1:26">
      <c r="A431" s="686"/>
      <c r="B431" s="686"/>
      <c r="C431" s="686"/>
      <c r="D431" s="687"/>
      <c r="E431" s="687"/>
      <c r="F431" s="687"/>
      <c r="G431" s="687"/>
      <c r="H431" s="687"/>
      <c r="I431" s="687"/>
      <c r="J431" s="687"/>
      <c r="K431" s="687"/>
      <c r="L431" s="687"/>
      <c r="M431" s="687"/>
      <c r="N431" s="687"/>
      <c r="O431" s="687"/>
      <c r="P431" s="687"/>
      <c r="Q431" s="687"/>
      <c r="R431" s="687"/>
      <c r="S431" s="687"/>
      <c r="T431" s="687"/>
      <c r="U431" s="687"/>
      <c r="V431" s="687"/>
      <c r="W431" s="687"/>
      <c r="X431" s="687"/>
      <c r="Y431" s="687"/>
      <c r="Z431" s="687"/>
    </row>
    <row r="432" customHeight="1" spans="1:26">
      <c r="A432" s="686"/>
      <c r="B432" s="686"/>
      <c r="C432" s="686"/>
      <c r="D432" s="687"/>
      <c r="E432" s="687"/>
      <c r="F432" s="687"/>
      <c r="G432" s="687"/>
      <c r="H432" s="687"/>
      <c r="I432" s="687"/>
      <c r="J432" s="687"/>
      <c r="K432" s="687"/>
      <c r="L432" s="687"/>
      <c r="M432" s="687"/>
      <c r="N432" s="687"/>
      <c r="O432" s="687"/>
      <c r="P432" s="687"/>
      <c r="Q432" s="687"/>
      <c r="R432" s="687"/>
      <c r="S432" s="687"/>
      <c r="T432" s="687"/>
      <c r="U432" s="687"/>
      <c r="V432" s="687"/>
      <c r="W432" s="687"/>
      <c r="X432" s="687"/>
      <c r="Y432" s="687"/>
      <c r="Z432" s="687"/>
    </row>
    <row r="433" customHeight="1" spans="1:26">
      <c r="A433" s="686"/>
      <c r="B433" s="686"/>
      <c r="C433" s="686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7"/>
      <c r="P433" s="687"/>
      <c r="Q433" s="687"/>
      <c r="R433" s="687"/>
      <c r="S433" s="687"/>
      <c r="T433" s="687"/>
      <c r="U433" s="687"/>
      <c r="V433" s="687"/>
      <c r="W433" s="687"/>
      <c r="X433" s="687"/>
      <c r="Y433" s="687"/>
      <c r="Z433" s="687"/>
    </row>
    <row r="434" customHeight="1" spans="1:26">
      <c r="A434" s="686"/>
      <c r="B434" s="686"/>
      <c r="C434" s="686"/>
      <c r="D434" s="687"/>
      <c r="E434" s="687"/>
      <c r="F434" s="687"/>
      <c r="G434" s="687"/>
      <c r="H434" s="687"/>
      <c r="I434" s="687"/>
      <c r="J434" s="687"/>
      <c r="K434" s="687"/>
      <c r="L434" s="687"/>
      <c r="M434" s="687"/>
      <c r="N434" s="687"/>
      <c r="O434" s="687"/>
      <c r="P434" s="687"/>
      <c r="Q434" s="687"/>
      <c r="R434" s="687"/>
      <c r="S434" s="687"/>
      <c r="T434" s="687"/>
      <c r="U434" s="687"/>
      <c r="V434" s="687"/>
      <c r="W434" s="687"/>
      <c r="X434" s="687"/>
      <c r="Y434" s="687"/>
      <c r="Z434" s="687"/>
    </row>
    <row r="435" customHeight="1" spans="1:26">
      <c r="A435" s="686"/>
      <c r="B435" s="686"/>
      <c r="C435" s="686"/>
      <c r="D435" s="687"/>
      <c r="E435" s="687"/>
      <c r="F435" s="687"/>
      <c r="G435" s="687"/>
      <c r="H435" s="687"/>
      <c r="I435" s="687"/>
      <c r="J435" s="687"/>
      <c r="K435" s="687"/>
      <c r="L435" s="687"/>
      <c r="M435" s="687"/>
      <c r="N435" s="687"/>
      <c r="O435" s="687"/>
      <c r="P435" s="687"/>
      <c r="Q435" s="687"/>
      <c r="R435" s="687"/>
      <c r="S435" s="687"/>
      <c r="T435" s="687"/>
      <c r="U435" s="687"/>
      <c r="V435" s="687"/>
      <c r="W435" s="687"/>
      <c r="X435" s="687"/>
      <c r="Y435" s="687"/>
      <c r="Z435" s="687"/>
    </row>
    <row r="436" customHeight="1" spans="1:26">
      <c r="A436" s="686"/>
      <c r="B436" s="686"/>
      <c r="C436" s="686"/>
      <c r="D436" s="687"/>
      <c r="E436" s="687"/>
      <c r="F436" s="687"/>
      <c r="G436" s="687"/>
      <c r="H436" s="687"/>
      <c r="I436" s="687"/>
      <c r="J436" s="687"/>
      <c r="K436" s="687"/>
      <c r="L436" s="687"/>
      <c r="M436" s="687"/>
      <c r="N436" s="687"/>
      <c r="O436" s="687"/>
      <c r="P436" s="687"/>
      <c r="Q436" s="687"/>
      <c r="R436" s="687"/>
      <c r="S436" s="687"/>
      <c r="T436" s="687"/>
      <c r="U436" s="687"/>
      <c r="V436" s="687"/>
      <c r="W436" s="687"/>
      <c r="X436" s="687"/>
      <c r="Y436" s="687"/>
      <c r="Z436" s="687"/>
    </row>
    <row r="437" customHeight="1" spans="1:26">
      <c r="A437" s="686"/>
      <c r="B437" s="686"/>
      <c r="C437" s="686"/>
      <c r="D437" s="687"/>
      <c r="E437" s="687"/>
      <c r="F437" s="687"/>
      <c r="G437" s="687"/>
      <c r="H437" s="687"/>
      <c r="I437" s="687"/>
      <c r="J437" s="687"/>
      <c r="K437" s="687"/>
      <c r="L437" s="687"/>
      <c r="M437" s="687"/>
      <c r="N437" s="687"/>
      <c r="O437" s="687"/>
      <c r="P437" s="687"/>
      <c r="Q437" s="687"/>
      <c r="R437" s="687"/>
      <c r="S437" s="687"/>
      <c r="T437" s="687"/>
      <c r="U437" s="687"/>
      <c r="V437" s="687"/>
      <c r="W437" s="687"/>
      <c r="X437" s="687"/>
      <c r="Y437" s="687"/>
      <c r="Z437" s="687"/>
    </row>
    <row r="438" customHeight="1" spans="1:26">
      <c r="A438" s="686"/>
      <c r="B438" s="686"/>
      <c r="C438" s="686"/>
      <c r="D438" s="687"/>
      <c r="E438" s="687"/>
      <c r="F438" s="687"/>
      <c r="G438" s="687"/>
      <c r="H438" s="687"/>
      <c r="I438" s="687"/>
      <c r="J438" s="687"/>
      <c r="K438" s="687"/>
      <c r="L438" s="687"/>
      <c r="M438" s="687"/>
      <c r="N438" s="687"/>
      <c r="O438" s="687"/>
      <c r="P438" s="687"/>
      <c r="Q438" s="687"/>
      <c r="R438" s="687"/>
      <c r="S438" s="687"/>
      <c r="T438" s="687"/>
      <c r="U438" s="687"/>
      <c r="V438" s="687"/>
      <c r="W438" s="687"/>
      <c r="X438" s="687"/>
      <c r="Y438" s="687"/>
      <c r="Z438" s="687"/>
    </row>
    <row r="439" customHeight="1" spans="1:26">
      <c r="A439" s="686"/>
      <c r="B439" s="686"/>
      <c r="C439" s="686"/>
      <c r="D439" s="687"/>
      <c r="E439" s="687"/>
      <c r="F439" s="687"/>
      <c r="G439" s="687"/>
      <c r="H439" s="687"/>
      <c r="I439" s="687"/>
      <c r="J439" s="687"/>
      <c r="K439" s="687"/>
      <c r="L439" s="687"/>
      <c r="M439" s="687"/>
      <c r="N439" s="687"/>
      <c r="O439" s="687"/>
      <c r="P439" s="687"/>
      <c r="Q439" s="687"/>
      <c r="R439" s="687"/>
      <c r="S439" s="687"/>
      <c r="T439" s="687"/>
      <c r="U439" s="687"/>
      <c r="V439" s="687"/>
      <c r="W439" s="687"/>
      <c r="X439" s="687"/>
      <c r="Y439" s="687"/>
      <c r="Z439" s="687"/>
    </row>
    <row r="440" customHeight="1" spans="1:26">
      <c r="A440" s="686"/>
      <c r="B440" s="686"/>
      <c r="C440" s="686"/>
      <c r="D440" s="687"/>
      <c r="E440" s="687"/>
      <c r="F440" s="687"/>
      <c r="G440" s="687"/>
      <c r="H440" s="687"/>
      <c r="I440" s="687"/>
      <c r="J440" s="687"/>
      <c r="K440" s="687"/>
      <c r="L440" s="687"/>
      <c r="M440" s="687"/>
      <c r="N440" s="687"/>
      <c r="O440" s="687"/>
      <c r="P440" s="687"/>
      <c r="Q440" s="687"/>
      <c r="R440" s="687"/>
      <c r="S440" s="687"/>
      <c r="T440" s="687"/>
      <c r="U440" s="687"/>
      <c r="V440" s="687"/>
      <c r="W440" s="687"/>
      <c r="X440" s="687"/>
      <c r="Y440" s="687"/>
      <c r="Z440" s="687"/>
    </row>
    <row r="441" customHeight="1" spans="1:26">
      <c r="A441" s="686"/>
      <c r="B441" s="686"/>
      <c r="C441" s="686"/>
      <c r="D441" s="687"/>
      <c r="E441" s="687"/>
      <c r="F441" s="687"/>
      <c r="G441" s="687"/>
      <c r="H441" s="687"/>
      <c r="I441" s="687"/>
      <c r="J441" s="687"/>
      <c r="K441" s="687"/>
      <c r="L441" s="687"/>
      <c r="M441" s="687"/>
      <c r="N441" s="687"/>
      <c r="O441" s="687"/>
      <c r="P441" s="687"/>
      <c r="Q441" s="687"/>
      <c r="R441" s="687"/>
      <c r="S441" s="687"/>
      <c r="T441" s="687"/>
      <c r="U441" s="687"/>
      <c r="V441" s="687"/>
      <c r="W441" s="687"/>
      <c r="X441" s="687"/>
      <c r="Y441" s="687"/>
      <c r="Z441" s="687"/>
    </row>
    <row r="442" customHeight="1" spans="1:26">
      <c r="A442" s="686"/>
      <c r="B442" s="686"/>
      <c r="C442" s="686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7"/>
      <c r="P442" s="687"/>
      <c r="Q442" s="687"/>
      <c r="R442" s="687"/>
      <c r="S442" s="687"/>
      <c r="T442" s="687"/>
      <c r="U442" s="687"/>
      <c r="V442" s="687"/>
      <c r="W442" s="687"/>
      <c r="X442" s="687"/>
      <c r="Y442" s="687"/>
      <c r="Z442" s="687"/>
    </row>
    <row r="443" customHeight="1" spans="1:26">
      <c r="A443" s="686"/>
      <c r="B443" s="686"/>
      <c r="C443" s="686"/>
      <c r="D443" s="687"/>
      <c r="E443" s="687"/>
      <c r="F443" s="687"/>
      <c r="G443" s="687"/>
      <c r="H443" s="687"/>
      <c r="I443" s="687"/>
      <c r="J443" s="687"/>
      <c r="K443" s="687"/>
      <c r="L443" s="687"/>
      <c r="M443" s="687"/>
      <c r="N443" s="687"/>
      <c r="O443" s="687"/>
      <c r="P443" s="687"/>
      <c r="Q443" s="687"/>
      <c r="R443" s="687"/>
      <c r="S443" s="687"/>
      <c r="T443" s="687"/>
      <c r="U443" s="687"/>
      <c r="V443" s="687"/>
      <c r="W443" s="687"/>
      <c r="X443" s="687"/>
      <c r="Y443" s="687"/>
      <c r="Z443" s="687"/>
    </row>
    <row r="444" customHeight="1" spans="1:26">
      <c r="A444" s="686"/>
      <c r="B444" s="686"/>
      <c r="C444" s="686"/>
      <c r="D444" s="687"/>
      <c r="E444" s="687"/>
      <c r="F444" s="687"/>
      <c r="G444" s="687"/>
      <c r="H444" s="687"/>
      <c r="I444" s="687"/>
      <c r="J444" s="687"/>
      <c r="K444" s="687"/>
      <c r="L444" s="687"/>
      <c r="M444" s="687"/>
      <c r="N444" s="687"/>
      <c r="O444" s="687"/>
      <c r="P444" s="687"/>
      <c r="Q444" s="687"/>
      <c r="R444" s="687"/>
      <c r="S444" s="687"/>
      <c r="T444" s="687"/>
      <c r="U444" s="687"/>
      <c r="V444" s="687"/>
      <c r="W444" s="687"/>
      <c r="X444" s="687"/>
      <c r="Y444" s="687"/>
      <c r="Z444" s="687"/>
    </row>
    <row r="445" customHeight="1" spans="1:26">
      <c r="A445" s="686"/>
      <c r="B445" s="686"/>
      <c r="C445" s="686"/>
      <c r="D445" s="687"/>
      <c r="E445" s="687"/>
      <c r="F445" s="687"/>
      <c r="G445" s="687"/>
      <c r="H445" s="687"/>
      <c r="I445" s="687"/>
      <c r="J445" s="687"/>
      <c r="K445" s="687"/>
      <c r="L445" s="687"/>
      <c r="M445" s="687"/>
      <c r="N445" s="687"/>
      <c r="O445" s="687"/>
      <c r="P445" s="687"/>
      <c r="Q445" s="687"/>
      <c r="R445" s="687"/>
      <c r="S445" s="687"/>
      <c r="T445" s="687"/>
      <c r="U445" s="687"/>
      <c r="V445" s="687"/>
      <c r="W445" s="687"/>
      <c r="X445" s="687"/>
      <c r="Y445" s="687"/>
      <c r="Z445" s="687"/>
    </row>
    <row r="446" customHeight="1" spans="1:26">
      <c r="A446" s="686"/>
      <c r="B446" s="686"/>
      <c r="C446" s="686"/>
      <c r="D446" s="687"/>
      <c r="E446" s="687"/>
      <c r="F446" s="687"/>
      <c r="G446" s="687"/>
      <c r="H446" s="687"/>
      <c r="I446" s="687"/>
      <c r="J446" s="687"/>
      <c r="K446" s="687"/>
      <c r="L446" s="687"/>
      <c r="M446" s="687"/>
      <c r="N446" s="687"/>
      <c r="O446" s="687"/>
      <c r="P446" s="687"/>
      <c r="Q446" s="687"/>
      <c r="R446" s="687"/>
      <c r="S446" s="687"/>
      <c r="T446" s="687"/>
      <c r="U446" s="687"/>
      <c r="V446" s="687"/>
      <c r="W446" s="687"/>
      <c r="X446" s="687"/>
      <c r="Y446" s="687"/>
      <c r="Z446" s="687"/>
    </row>
    <row r="447" customHeight="1" spans="1:26">
      <c r="A447" s="686"/>
      <c r="B447" s="686"/>
      <c r="C447" s="686"/>
      <c r="D447" s="687"/>
      <c r="E447" s="687"/>
      <c r="F447" s="687"/>
      <c r="G447" s="687"/>
      <c r="H447" s="687"/>
      <c r="I447" s="687"/>
      <c r="J447" s="687"/>
      <c r="K447" s="687"/>
      <c r="L447" s="687"/>
      <c r="M447" s="687"/>
      <c r="N447" s="687"/>
      <c r="O447" s="687"/>
      <c r="P447" s="687"/>
      <c r="Q447" s="687"/>
      <c r="R447" s="687"/>
      <c r="S447" s="687"/>
      <c r="T447" s="687"/>
      <c r="U447" s="687"/>
      <c r="V447" s="687"/>
      <c r="W447" s="687"/>
      <c r="X447" s="687"/>
      <c r="Y447" s="687"/>
      <c r="Z447" s="687"/>
    </row>
    <row r="448" customHeight="1" spans="1:26">
      <c r="A448" s="686"/>
      <c r="B448" s="686"/>
      <c r="C448" s="686"/>
      <c r="D448" s="687"/>
      <c r="E448" s="687"/>
      <c r="F448" s="687"/>
      <c r="G448" s="687"/>
      <c r="H448" s="687"/>
      <c r="I448" s="687"/>
      <c r="J448" s="687"/>
      <c r="K448" s="687"/>
      <c r="L448" s="687"/>
      <c r="M448" s="687"/>
      <c r="N448" s="687"/>
      <c r="O448" s="687"/>
      <c r="P448" s="687"/>
      <c r="Q448" s="687"/>
      <c r="R448" s="687"/>
      <c r="S448" s="687"/>
      <c r="T448" s="687"/>
      <c r="U448" s="687"/>
      <c r="V448" s="687"/>
      <c r="W448" s="687"/>
      <c r="X448" s="687"/>
      <c r="Y448" s="687"/>
      <c r="Z448" s="687"/>
    </row>
    <row r="449" customHeight="1" spans="1:26">
      <c r="A449" s="686"/>
      <c r="B449" s="686"/>
      <c r="C449" s="686"/>
      <c r="D449" s="687"/>
      <c r="E449" s="687"/>
      <c r="F449" s="687"/>
      <c r="G449" s="687"/>
      <c r="H449" s="687"/>
      <c r="I449" s="687"/>
      <c r="J449" s="687"/>
      <c r="K449" s="687"/>
      <c r="L449" s="687"/>
      <c r="M449" s="687"/>
      <c r="N449" s="687"/>
      <c r="O449" s="687"/>
      <c r="P449" s="687"/>
      <c r="Q449" s="687"/>
      <c r="R449" s="687"/>
      <c r="S449" s="687"/>
      <c r="T449" s="687"/>
      <c r="U449" s="687"/>
      <c r="V449" s="687"/>
      <c r="W449" s="687"/>
      <c r="X449" s="687"/>
      <c r="Y449" s="687"/>
      <c r="Z449" s="687"/>
    </row>
    <row r="450" customHeight="1" spans="1:26">
      <c r="A450" s="686"/>
      <c r="B450" s="686"/>
      <c r="C450" s="686"/>
      <c r="D450" s="687"/>
      <c r="E450" s="687"/>
      <c r="F450" s="687"/>
      <c r="G450" s="687"/>
      <c r="H450" s="687"/>
      <c r="I450" s="687"/>
      <c r="J450" s="687"/>
      <c r="K450" s="687"/>
      <c r="L450" s="687"/>
      <c r="M450" s="687"/>
      <c r="N450" s="687"/>
      <c r="O450" s="687"/>
      <c r="P450" s="687"/>
      <c r="Q450" s="687"/>
      <c r="R450" s="687"/>
      <c r="S450" s="687"/>
      <c r="T450" s="687"/>
      <c r="U450" s="687"/>
      <c r="V450" s="687"/>
      <c r="W450" s="687"/>
      <c r="X450" s="687"/>
      <c r="Y450" s="687"/>
      <c r="Z450" s="687"/>
    </row>
    <row r="451" customHeight="1" spans="1:26">
      <c r="A451" s="686"/>
      <c r="B451" s="686"/>
      <c r="C451" s="686"/>
      <c r="D451" s="687"/>
      <c r="E451" s="687"/>
      <c r="F451" s="687"/>
      <c r="G451" s="687"/>
      <c r="H451" s="687"/>
      <c r="I451" s="687"/>
      <c r="J451" s="687"/>
      <c r="K451" s="687"/>
      <c r="L451" s="687"/>
      <c r="M451" s="687"/>
      <c r="N451" s="687"/>
      <c r="O451" s="687"/>
      <c r="P451" s="687"/>
      <c r="Q451" s="687"/>
      <c r="R451" s="687"/>
      <c r="S451" s="687"/>
      <c r="T451" s="687"/>
      <c r="U451" s="687"/>
      <c r="V451" s="687"/>
      <c r="W451" s="687"/>
      <c r="X451" s="687"/>
      <c r="Y451" s="687"/>
      <c r="Z451" s="687"/>
    </row>
    <row r="452" customHeight="1" spans="1:26">
      <c r="A452" s="686"/>
      <c r="B452" s="686"/>
      <c r="C452" s="686"/>
      <c r="D452" s="687"/>
      <c r="E452" s="687"/>
      <c r="F452" s="687"/>
      <c r="G452" s="687"/>
      <c r="H452" s="687"/>
      <c r="I452" s="687"/>
      <c r="J452" s="687"/>
      <c r="K452" s="687"/>
      <c r="L452" s="687"/>
      <c r="M452" s="687"/>
      <c r="N452" s="687"/>
      <c r="O452" s="687"/>
      <c r="P452" s="687"/>
      <c r="Q452" s="687"/>
      <c r="R452" s="687"/>
      <c r="S452" s="687"/>
      <c r="T452" s="687"/>
      <c r="U452" s="687"/>
      <c r="V452" s="687"/>
      <c r="W452" s="687"/>
      <c r="X452" s="687"/>
      <c r="Y452" s="687"/>
      <c r="Z452" s="687"/>
    </row>
    <row r="453" customHeight="1" spans="1:26">
      <c r="A453" s="686"/>
      <c r="B453" s="686"/>
      <c r="C453" s="686"/>
      <c r="D453" s="687"/>
      <c r="E453" s="687"/>
      <c r="F453" s="687"/>
      <c r="G453" s="687"/>
      <c r="H453" s="687"/>
      <c r="I453" s="687"/>
      <c r="J453" s="687"/>
      <c r="K453" s="687"/>
      <c r="L453" s="687"/>
      <c r="M453" s="687"/>
      <c r="N453" s="687"/>
      <c r="O453" s="687"/>
      <c r="P453" s="687"/>
      <c r="Q453" s="687"/>
      <c r="R453" s="687"/>
      <c r="S453" s="687"/>
      <c r="T453" s="687"/>
      <c r="U453" s="687"/>
      <c r="V453" s="687"/>
      <c r="W453" s="687"/>
      <c r="X453" s="687"/>
      <c r="Y453" s="687"/>
      <c r="Z453" s="687"/>
    </row>
    <row r="454" customHeight="1" spans="1:26">
      <c r="A454" s="686"/>
      <c r="B454" s="686"/>
      <c r="C454" s="686"/>
      <c r="D454" s="687"/>
      <c r="E454" s="687"/>
      <c r="F454" s="687"/>
      <c r="G454" s="687"/>
      <c r="H454" s="687"/>
      <c r="I454" s="687"/>
      <c r="J454" s="687"/>
      <c r="K454" s="687"/>
      <c r="L454" s="687"/>
      <c r="M454" s="687"/>
      <c r="N454" s="687"/>
      <c r="O454" s="687"/>
      <c r="P454" s="687"/>
      <c r="Q454" s="687"/>
      <c r="R454" s="687"/>
      <c r="S454" s="687"/>
      <c r="T454" s="687"/>
      <c r="U454" s="687"/>
      <c r="V454" s="687"/>
      <c r="W454" s="687"/>
      <c r="X454" s="687"/>
      <c r="Y454" s="687"/>
      <c r="Z454" s="687"/>
    </row>
    <row r="455" customHeight="1" spans="1:26">
      <c r="A455" s="686"/>
      <c r="B455" s="686"/>
      <c r="C455" s="686"/>
      <c r="D455" s="687"/>
      <c r="E455" s="687"/>
      <c r="F455" s="687"/>
      <c r="G455" s="687"/>
      <c r="H455" s="687"/>
      <c r="I455" s="687"/>
      <c r="J455" s="687"/>
      <c r="K455" s="687"/>
      <c r="L455" s="687"/>
      <c r="M455" s="687"/>
      <c r="N455" s="687"/>
      <c r="O455" s="687"/>
      <c r="P455" s="687"/>
      <c r="Q455" s="687"/>
      <c r="R455" s="687"/>
      <c r="S455" s="687"/>
      <c r="T455" s="687"/>
      <c r="U455" s="687"/>
      <c r="V455" s="687"/>
      <c r="W455" s="687"/>
      <c r="X455" s="687"/>
      <c r="Y455" s="687"/>
      <c r="Z455" s="687"/>
    </row>
    <row r="456" customHeight="1" spans="1:26">
      <c r="A456" s="686"/>
      <c r="B456" s="686"/>
      <c r="C456" s="686"/>
      <c r="D456" s="687"/>
      <c r="E456" s="687"/>
      <c r="F456" s="687"/>
      <c r="G456" s="687"/>
      <c r="H456" s="687"/>
      <c r="I456" s="687"/>
      <c r="J456" s="687"/>
      <c r="K456" s="687"/>
      <c r="L456" s="687"/>
      <c r="M456" s="687"/>
      <c r="N456" s="687"/>
      <c r="O456" s="687"/>
      <c r="P456" s="687"/>
      <c r="Q456" s="687"/>
      <c r="R456" s="687"/>
      <c r="S456" s="687"/>
      <c r="T456" s="687"/>
      <c r="U456" s="687"/>
      <c r="V456" s="687"/>
      <c r="W456" s="687"/>
      <c r="X456" s="687"/>
      <c r="Y456" s="687"/>
      <c r="Z456" s="687"/>
    </row>
    <row r="457" customHeight="1" spans="1:26">
      <c r="A457" s="686"/>
      <c r="B457" s="686"/>
      <c r="C457" s="686"/>
      <c r="D457" s="687"/>
      <c r="E457" s="687"/>
      <c r="F457" s="687"/>
      <c r="G457" s="687"/>
      <c r="H457" s="687"/>
      <c r="I457" s="687"/>
      <c r="J457" s="687"/>
      <c r="K457" s="687"/>
      <c r="L457" s="687"/>
      <c r="M457" s="687"/>
      <c r="N457" s="687"/>
      <c r="O457" s="687"/>
      <c r="P457" s="687"/>
      <c r="Q457" s="687"/>
      <c r="R457" s="687"/>
      <c r="S457" s="687"/>
      <c r="T457" s="687"/>
      <c r="U457" s="687"/>
      <c r="V457" s="687"/>
      <c r="W457" s="687"/>
      <c r="X457" s="687"/>
      <c r="Y457" s="687"/>
      <c r="Z457" s="687"/>
    </row>
    <row r="458" customHeight="1" spans="1:26">
      <c r="A458" s="686"/>
      <c r="B458" s="686"/>
      <c r="C458" s="686"/>
      <c r="D458" s="687"/>
      <c r="E458" s="687"/>
      <c r="F458" s="687"/>
      <c r="G458" s="687"/>
      <c r="H458" s="687"/>
      <c r="I458" s="687"/>
      <c r="J458" s="687"/>
      <c r="K458" s="687"/>
      <c r="L458" s="687"/>
      <c r="M458" s="687"/>
      <c r="N458" s="687"/>
      <c r="O458" s="687"/>
      <c r="P458" s="687"/>
      <c r="Q458" s="687"/>
      <c r="R458" s="687"/>
      <c r="S458" s="687"/>
      <c r="T458" s="687"/>
      <c r="U458" s="687"/>
      <c r="V458" s="687"/>
      <c r="W458" s="687"/>
      <c r="X458" s="687"/>
      <c r="Y458" s="687"/>
      <c r="Z458" s="687"/>
    </row>
    <row r="459" customHeight="1" spans="1:26">
      <c r="A459" s="686"/>
      <c r="B459" s="686"/>
      <c r="C459" s="686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7"/>
      <c r="P459" s="687"/>
      <c r="Q459" s="687"/>
      <c r="R459" s="687"/>
      <c r="S459" s="687"/>
      <c r="T459" s="687"/>
      <c r="U459" s="687"/>
      <c r="V459" s="687"/>
      <c r="W459" s="687"/>
      <c r="X459" s="687"/>
      <c r="Y459" s="687"/>
      <c r="Z459" s="687"/>
    </row>
    <row r="460" customHeight="1" spans="1:26">
      <c r="A460" s="686"/>
      <c r="B460" s="686"/>
      <c r="C460" s="686"/>
      <c r="D460" s="687"/>
      <c r="E460" s="687"/>
      <c r="F460" s="687"/>
      <c r="G460" s="687"/>
      <c r="H460" s="687"/>
      <c r="I460" s="687"/>
      <c r="J460" s="687"/>
      <c r="K460" s="687"/>
      <c r="L460" s="687"/>
      <c r="M460" s="687"/>
      <c r="N460" s="687"/>
      <c r="O460" s="687"/>
      <c r="P460" s="687"/>
      <c r="Q460" s="687"/>
      <c r="R460" s="687"/>
      <c r="S460" s="687"/>
      <c r="T460" s="687"/>
      <c r="U460" s="687"/>
      <c r="V460" s="687"/>
      <c r="W460" s="687"/>
      <c r="X460" s="687"/>
      <c r="Y460" s="687"/>
      <c r="Z460" s="687"/>
    </row>
    <row r="461" customHeight="1" spans="1:26">
      <c r="A461" s="686"/>
      <c r="B461" s="686"/>
      <c r="C461" s="686"/>
      <c r="D461" s="687"/>
      <c r="E461" s="687"/>
      <c r="F461" s="687"/>
      <c r="G461" s="687"/>
      <c r="H461" s="687"/>
      <c r="I461" s="687"/>
      <c r="J461" s="687"/>
      <c r="K461" s="687"/>
      <c r="L461" s="687"/>
      <c r="M461" s="687"/>
      <c r="N461" s="687"/>
      <c r="O461" s="687"/>
      <c r="P461" s="687"/>
      <c r="Q461" s="687"/>
      <c r="R461" s="687"/>
      <c r="S461" s="687"/>
      <c r="T461" s="687"/>
      <c r="U461" s="687"/>
      <c r="V461" s="687"/>
      <c r="W461" s="687"/>
      <c r="X461" s="687"/>
      <c r="Y461" s="687"/>
      <c r="Z461" s="687"/>
    </row>
    <row r="462" customHeight="1" spans="1:26">
      <c r="A462" s="686"/>
      <c r="B462" s="686"/>
      <c r="C462" s="686"/>
      <c r="D462" s="687"/>
      <c r="E462" s="687"/>
      <c r="F462" s="687"/>
      <c r="G462" s="687"/>
      <c r="H462" s="687"/>
      <c r="I462" s="687"/>
      <c r="J462" s="687"/>
      <c r="K462" s="687"/>
      <c r="L462" s="687"/>
      <c r="M462" s="687"/>
      <c r="N462" s="687"/>
      <c r="O462" s="687"/>
      <c r="P462" s="687"/>
      <c r="Q462" s="687"/>
      <c r="R462" s="687"/>
      <c r="S462" s="687"/>
      <c r="T462" s="687"/>
      <c r="U462" s="687"/>
      <c r="V462" s="687"/>
      <c r="W462" s="687"/>
      <c r="X462" s="687"/>
      <c r="Y462" s="687"/>
      <c r="Z462" s="687"/>
    </row>
    <row r="463" customHeight="1" spans="1:26">
      <c r="A463" s="686"/>
      <c r="B463" s="686"/>
      <c r="C463" s="686"/>
      <c r="D463" s="687"/>
      <c r="E463" s="687"/>
      <c r="F463" s="687"/>
      <c r="G463" s="687"/>
      <c r="H463" s="687"/>
      <c r="I463" s="687"/>
      <c r="J463" s="687"/>
      <c r="K463" s="687"/>
      <c r="L463" s="687"/>
      <c r="M463" s="687"/>
      <c r="N463" s="687"/>
      <c r="O463" s="687"/>
      <c r="P463" s="687"/>
      <c r="Q463" s="687"/>
      <c r="R463" s="687"/>
      <c r="S463" s="687"/>
      <c r="T463" s="687"/>
      <c r="U463" s="687"/>
      <c r="V463" s="687"/>
      <c r="W463" s="687"/>
      <c r="X463" s="687"/>
      <c r="Y463" s="687"/>
      <c r="Z463" s="687"/>
    </row>
    <row r="464" customHeight="1" spans="1:26">
      <c r="A464" s="686"/>
      <c r="B464" s="686"/>
      <c r="C464" s="686"/>
      <c r="D464" s="687"/>
      <c r="E464" s="687"/>
      <c r="F464" s="687"/>
      <c r="G464" s="687"/>
      <c r="H464" s="687"/>
      <c r="I464" s="687"/>
      <c r="J464" s="687"/>
      <c r="K464" s="687"/>
      <c r="L464" s="687"/>
      <c r="M464" s="687"/>
      <c r="N464" s="687"/>
      <c r="O464" s="687"/>
      <c r="P464" s="687"/>
      <c r="Q464" s="687"/>
      <c r="R464" s="687"/>
      <c r="S464" s="687"/>
      <c r="T464" s="687"/>
      <c r="U464" s="687"/>
      <c r="V464" s="687"/>
      <c r="W464" s="687"/>
      <c r="X464" s="687"/>
      <c r="Y464" s="687"/>
      <c r="Z464" s="687"/>
    </row>
    <row r="465" customHeight="1" spans="1:26">
      <c r="A465" s="686"/>
      <c r="B465" s="686"/>
      <c r="C465" s="686"/>
      <c r="D465" s="687"/>
      <c r="E465" s="687"/>
      <c r="F465" s="687"/>
      <c r="G465" s="687"/>
      <c r="H465" s="687"/>
      <c r="I465" s="687"/>
      <c r="J465" s="687"/>
      <c r="K465" s="687"/>
      <c r="L465" s="687"/>
      <c r="M465" s="687"/>
      <c r="N465" s="687"/>
      <c r="O465" s="687"/>
      <c r="P465" s="687"/>
      <c r="Q465" s="687"/>
      <c r="R465" s="687"/>
      <c r="S465" s="687"/>
      <c r="T465" s="687"/>
      <c r="U465" s="687"/>
      <c r="V465" s="687"/>
      <c r="W465" s="687"/>
      <c r="X465" s="687"/>
      <c r="Y465" s="687"/>
      <c r="Z465" s="687"/>
    </row>
    <row r="466" customHeight="1" spans="1:26">
      <c r="A466" s="686"/>
      <c r="B466" s="686"/>
      <c r="C466" s="686"/>
      <c r="D466" s="687"/>
      <c r="E466" s="687"/>
      <c r="F466" s="687"/>
      <c r="G466" s="687"/>
      <c r="H466" s="687"/>
      <c r="I466" s="687"/>
      <c r="J466" s="687"/>
      <c r="K466" s="687"/>
      <c r="L466" s="687"/>
      <c r="M466" s="687"/>
      <c r="N466" s="687"/>
      <c r="O466" s="687"/>
      <c r="P466" s="687"/>
      <c r="Q466" s="687"/>
      <c r="R466" s="687"/>
      <c r="S466" s="687"/>
      <c r="T466" s="687"/>
      <c r="U466" s="687"/>
      <c r="V466" s="687"/>
      <c r="W466" s="687"/>
      <c r="X466" s="687"/>
      <c r="Y466" s="687"/>
      <c r="Z466" s="687"/>
    </row>
    <row r="467" customHeight="1" spans="1:26">
      <c r="A467" s="686"/>
      <c r="B467" s="686"/>
      <c r="C467" s="686"/>
      <c r="D467" s="687"/>
      <c r="E467" s="687"/>
      <c r="F467" s="687"/>
      <c r="G467" s="687"/>
      <c r="H467" s="687"/>
      <c r="I467" s="687"/>
      <c r="J467" s="687"/>
      <c r="K467" s="687"/>
      <c r="L467" s="687"/>
      <c r="M467" s="687"/>
      <c r="N467" s="687"/>
      <c r="O467" s="687"/>
      <c r="P467" s="687"/>
      <c r="Q467" s="687"/>
      <c r="R467" s="687"/>
      <c r="S467" s="687"/>
      <c r="T467" s="687"/>
      <c r="U467" s="687"/>
      <c r="V467" s="687"/>
      <c r="W467" s="687"/>
      <c r="X467" s="687"/>
      <c r="Y467" s="687"/>
      <c r="Z467" s="687"/>
    </row>
    <row r="468" customHeight="1" spans="1:26">
      <c r="A468" s="686"/>
      <c r="B468" s="686"/>
      <c r="C468" s="686"/>
      <c r="D468" s="687"/>
      <c r="E468" s="687"/>
      <c r="F468" s="687"/>
      <c r="G468" s="687"/>
      <c r="H468" s="687"/>
      <c r="I468" s="687"/>
      <c r="J468" s="687"/>
      <c r="K468" s="687"/>
      <c r="L468" s="687"/>
      <c r="M468" s="687"/>
      <c r="N468" s="687"/>
      <c r="O468" s="687"/>
      <c r="P468" s="687"/>
      <c r="Q468" s="687"/>
      <c r="R468" s="687"/>
      <c r="S468" s="687"/>
      <c r="T468" s="687"/>
      <c r="U468" s="687"/>
      <c r="V468" s="687"/>
      <c r="W468" s="687"/>
      <c r="X468" s="687"/>
      <c r="Y468" s="687"/>
      <c r="Z468" s="687"/>
    </row>
    <row r="469" customHeight="1" spans="1:26">
      <c r="A469" s="686"/>
      <c r="B469" s="686"/>
      <c r="C469" s="686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7"/>
      <c r="P469" s="687"/>
      <c r="Q469" s="687"/>
      <c r="R469" s="687"/>
      <c r="S469" s="687"/>
      <c r="T469" s="687"/>
      <c r="U469" s="687"/>
      <c r="V469" s="687"/>
      <c r="W469" s="687"/>
      <c r="X469" s="687"/>
      <c r="Y469" s="687"/>
      <c r="Z469" s="687"/>
    </row>
    <row r="470" customHeight="1" spans="1:26">
      <c r="A470" s="686"/>
      <c r="B470" s="686"/>
      <c r="C470" s="686"/>
      <c r="D470" s="687"/>
      <c r="E470" s="687"/>
      <c r="F470" s="687"/>
      <c r="G470" s="687"/>
      <c r="H470" s="687"/>
      <c r="I470" s="687"/>
      <c r="J470" s="687"/>
      <c r="K470" s="687"/>
      <c r="L470" s="687"/>
      <c r="M470" s="687"/>
      <c r="N470" s="687"/>
      <c r="O470" s="687"/>
      <c r="P470" s="687"/>
      <c r="Q470" s="687"/>
      <c r="R470" s="687"/>
      <c r="S470" s="687"/>
      <c r="T470" s="687"/>
      <c r="U470" s="687"/>
      <c r="V470" s="687"/>
      <c r="W470" s="687"/>
      <c r="X470" s="687"/>
      <c r="Y470" s="687"/>
      <c r="Z470" s="687"/>
    </row>
    <row r="471" customHeight="1" spans="1:26">
      <c r="A471" s="686"/>
      <c r="B471" s="686"/>
      <c r="C471" s="686"/>
      <c r="D471" s="687"/>
      <c r="E471" s="687"/>
      <c r="F471" s="687"/>
      <c r="G471" s="687"/>
      <c r="H471" s="687"/>
      <c r="I471" s="687"/>
      <c r="J471" s="687"/>
      <c r="K471" s="687"/>
      <c r="L471" s="687"/>
      <c r="M471" s="687"/>
      <c r="N471" s="687"/>
      <c r="O471" s="687"/>
      <c r="P471" s="687"/>
      <c r="Q471" s="687"/>
      <c r="R471" s="687"/>
      <c r="S471" s="687"/>
      <c r="T471" s="687"/>
      <c r="U471" s="687"/>
      <c r="V471" s="687"/>
      <c r="W471" s="687"/>
      <c r="X471" s="687"/>
      <c r="Y471" s="687"/>
      <c r="Z471" s="687"/>
    </row>
    <row r="472" customHeight="1" spans="1:26">
      <c r="A472" s="686"/>
      <c r="B472" s="686"/>
      <c r="C472" s="686"/>
      <c r="D472" s="687"/>
      <c r="E472" s="687"/>
      <c r="F472" s="687"/>
      <c r="G472" s="687"/>
      <c r="H472" s="687"/>
      <c r="I472" s="687"/>
      <c r="J472" s="687"/>
      <c r="K472" s="687"/>
      <c r="L472" s="687"/>
      <c r="M472" s="687"/>
      <c r="N472" s="687"/>
      <c r="O472" s="687"/>
      <c r="P472" s="687"/>
      <c r="Q472" s="687"/>
      <c r="R472" s="687"/>
      <c r="S472" s="687"/>
      <c r="T472" s="687"/>
      <c r="U472" s="687"/>
      <c r="V472" s="687"/>
      <c r="W472" s="687"/>
      <c r="X472" s="687"/>
      <c r="Y472" s="687"/>
      <c r="Z472" s="687"/>
    </row>
    <row r="473" customHeight="1" spans="1:26">
      <c r="A473" s="686"/>
      <c r="B473" s="686"/>
      <c r="C473" s="686"/>
      <c r="D473" s="687"/>
      <c r="E473" s="687"/>
      <c r="F473" s="687"/>
      <c r="G473" s="687"/>
      <c r="H473" s="687"/>
      <c r="I473" s="687"/>
      <c r="J473" s="687"/>
      <c r="K473" s="687"/>
      <c r="L473" s="687"/>
      <c r="M473" s="687"/>
      <c r="N473" s="687"/>
      <c r="O473" s="687"/>
      <c r="P473" s="687"/>
      <c r="Q473" s="687"/>
      <c r="R473" s="687"/>
      <c r="S473" s="687"/>
      <c r="T473" s="687"/>
      <c r="U473" s="687"/>
      <c r="V473" s="687"/>
      <c r="W473" s="687"/>
      <c r="X473" s="687"/>
      <c r="Y473" s="687"/>
      <c r="Z473" s="687"/>
    </row>
    <row r="474" customHeight="1" spans="1:26">
      <c r="A474" s="686"/>
      <c r="B474" s="686"/>
      <c r="C474" s="686"/>
      <c r="D474" s="687"/>
      <c r="E474" s="687"/>
      <c r="F474" s="687"/>
      <c r="G474" s="687"/>
      <c r="H474" s="687"/>
      <c r="I474" s="687"/>
      <c r="J474" s="687"/>
      <c r="K474" s="687"/>
      <c r="L474" s="687"/>
      <c r="M474" s="687"/>
      <c r="N474" s="687"/>
      <c r="O474" s="687"/>
      <c r="P474" s="687"/>
      <c r="Q474" s="687"/>
      <c r="R474" s="687"/>
      <c r="S474" s="687"/>
      <c r="T474" s="687"/>
      <c r="U474" s="687"/>
      <c r="V474" s="687"/>
      <c r="W474" s="687"/>
      <c r="X474" s="687"/>
      <c r="Y474" s="687"/>
      <c r="Z474" s="687"/>
    </row>
    <row r="475" customHeight="1" spans="1:26">
      <c r="A475" s="686"/>
      <c r="B475" s="686"/>
      <c r="C475" s="686"/>
      <c r="D475" s="687"/>
      <c r="E475" s="687"/>
      <c r="F475" s="687"/>
      <c r="G475" s="687"/>
      <c r="H475" s="687"/>
      <c r="I475" s="687"/>
      <c r="J475" s="687"/>
      <c r="K475" s="687"/>
      <c r="L475" s="687"/>
      <c r="M475" s="687"/>
      <c r="N475" s="687"/>
      <c r="O475" s="687"/>
      <c r="P475" s="687"/>
      <c r="Q475" s="687"/>
      <c r="R475" s="687"/>
      <c r="S475" s="687"/>
      <c r="T475" s="687"/>
      <c r="U475" s="687"/>
      <c r="V475" s="687"/>
      <c r="W475" s="687"/>
      <c r="X475" s="687"/>
      <c r="Y475" s="687"/>
      <c r="Z475" s="687"/>
    </row>
    <row r="476" customHeight="1" spans="1:26">
      <c r="A476" s="686"/>
      <c r="B476" s="686"/>
      <c r="C476" s="686"/>
      <c r="D476" s="687"/>
      <c r="E476" s="687"/>
      <c r="F476" s="687"/>
      <c r="G476" s="687"/>
      <c r="H476" s="687"/>
      <c r="I476" s="687"/>
      <c r="J476" s="687"/>
      <c r="K476" s="687"/>
      <c r="L476" s="687"/>
      <c r="M476" s="687"/>
      <c r="N476" s="687"/>
      <c r="O476" s="687"/>
      <c r="P476" s="687"/>
      <c r="Q476" s="687"/>
      <c r="R476" s="687"/>
      <c r="S476" s="687"/>
      <c r="T476" s="687"/>
      <c r="U476" s="687"/>
      <c r="V476" s="687"/>
      <c r="W476" s="687"/>
      <c r="X476" s="687"/>
      <c r="Y476" s="687"/>
      <c r="Z476" s="687"/>
    </row>
    <row r="477" customHeight="1" spans="1:26">
      <c r="A477" s="686"/>
      <c r="B477" s="686"/>
      <c r="C477" s="686"/>
      <c r="D477" s="687"/>
      <c r="E477" s="687"/>
      <c r="F477" s="687"/>
      <c r="G477" s="687"/>
      <c r="H477" s="687"/>
      <c r="I477" s="687"/>
      <c r="J477" s="687"/>
      <c r="K477" s="687"/>
      <c r="L477" s="687"/>
      <c r="M477" s="687"/>
      <c r="N477" s="687"/>
      <c r="O477" s="687"/>
      <c r="P477" s="687"/>
      <c r="Q477" s="687"/>
      <c r="R477" s="687"/>
      <c r="S477" s="687"/>
      <c r="T477" s="687"/>
      <c r="U477" s="687"/>
      <c r="V477" s="687"/>
      <c r="W477" s="687"/>
      <c r="X477" s="687"/>
      <c r="Y477" s="687"/>
      <c r="Z477" s="687"/>
    </row>
    <row r="478" customHeight="1" spans="1:26">
      <c r="A478" s="686"/>
      <c r="B478" s="686"/>
      <c r="C478" s="686"/>
      <c r="D478" s="687"/>
      <c r="E478" s="687"/>
      <c r="F478" s="687"/>
      <c r="G478" s="687"/>
      <c r="H478" s="687"/>
      <c r="I478" s="687"/>
      <c r="J478" s="687"/>
      <c r="K478" s="687"/>
      <c r="L478" s="687"/>
      <c r="M478" s="687"/>
      <c r="N478" s="687"/>
      <c r="O478" s="687"/>
      <c r="P478" s="687"/>
      <c r="Q478" s="687"/>
      <c r="R478" s="687"/>
      <c r="S478" s="687"/>
      <c r="T478" s="687"/>
      <c r="U478" s="687"/>
      <c r="V478" s="687"/>
      <c r="W478" s="687"/>
      <c r="X478" s="687"/>
      <c r="Y478" s="687"/>
      <c r="Z478" s="687"/>
    </row>
    <row r="479" customHeight="1" spans="1:26">
      <c r="A479" s="686"/>
      <c r="B479" s="686"/>
      <c r="C479" s="686"/>
      <c r="D479" s="687"/>
      <c r="E479" s="687"/>
      <c r="F479" s="687"/>
      <c r="G479" s="687"/>
      <c r="H479" s="687"/>
      <c r="I479" s="687"/>
      <c r="J479" s="687"/>
      <c r="K479" s="687"/>
      <c r="L479" s="687"/>
      <c r="M479" s="687"/>
      <c r="N479" s="687"/>
      <c r="O479" s="687"/>
      <c r="P479" s="687"/>
      <c r="Q479" s="687"/>
      <c r="R479" s="687"/>
      <c r="S479" s="687"/>
      <c r="T479" s="687"/>
      <c r="U479" s="687"/>
      <c r="V479" s="687"/>
      <c r="W479" s="687"/>
      <c r="X479" s="687"/>
      <c r="Y479" s="687"/>
      <c r="Z479" s="687"/>
    </row>
    <row r="480" customHeight="1" spans="1:26">
      <c r="A480" s="686"/>
      <c r="B480" s="686"/>
      <c r="C480" s="686"/>
      <c r="D480" s="687"/>
      <c r="E480" s="687"/>
      <c r="F480" s="687"/>
      <c r="G480" s="687"/>
      <c r="H480" s="687"/>
      <c r="I480" s="687"/>
      <c r="J480" s="687"/>
      <c r="K480" s="687"/>
      <c r="L480" s="687"/>
      <c r="M480" s="687"/>
      <c r="N480" s="687"/>
      <c r="O480" s="687"/>
      <c r="P480" s="687"/>
      <c r="Q480" s="687"/>
      <c r="R480" s="687"/>
      <c r="S480" s="687"/>
      <c r="T480" s="687"/>
      <c r="U480" s="687"/>
      <c r="V480" s="687"/>
      <c r="W480" s="687"/>
      <c r="X480" s="687"/>
      <c r="Y480" s="687"/>
      <c r="Z480" s="687"/>
    </row>
    <row r="481" customHeight="1" spans="1:26">
      <c r="A481" s="686"/>
      <c r="B481" s="686"/>
      <c r="C481" s="686"/>
      <c r="D481" s="687"/>
      <c r="E481" s="687"/>
      <c r="F481" s="687"/>
      <c r="G481" s="687"/>
      <c r="H481" s="687"/>
      <c r="I481" s="687"/>
      <c r="J481" s="687"/>
      <c r="K481" s="687"/>
      <c r="L481" s="687"/>
      <c r="M481" s="687"/>
      <c r="N481" s="687"/>
      <c r="O481" s="687"/>
      <c r="P481" s="687"/>
      <c r="Q481" s="687"/>
      <c r="R481" s="687"/>
      <c r="S481" s="687"/>
      <c r="T481" s="687"/>
      <c r="U481" s="687"/>
      <c r="V481" s="687"/>
      <c r="W481" s="687"/>
      <c r="X481" s="687"/>
      <c r="Y481" s="687"/>
      <c r="Z481" s="687"/>
    </row>
    <row r="482" customHeight="1" spans="1:26">
      <c r="A482" s="686"/>
      <c r="B482" s="686"/>
      <c r="C482" s="686"/>
      <c r="D482" s="687"/>
      <c r="E482" s="687"/>
      <c r="F482" s="687"/>
      <c r="G482" s="687"/>
      <c r="H482" s="687"/>
      <c r="I482" s="687"/>
      <c r="J482" s="687"/>
      <c r="K482" s="687"/>
      <c r="L482" s="687"/>
      <c r="M482" s="687"/>
      <c r="N482" s="687"/>
      <c r="O482" s="687"/>
      <c r="P482" s="687"/>
      <c r="Q482" s="687"/>
      <c r="R482" s="687"/>
      <c r="S482" s="687"/>
      <c r="T482" s="687"/>
      <c r="U482" s="687"/>
      <c r="V482" s="687"/>
      <c r="W482" s="687"/>
      <c r="X482" s="687"/>
      <c r="Y482" s="687"/>
      <c r="Z482" s="687"/>
    </row>
    <row r="483" customHeight="1" spans="1:26">
      <c r="A483" s="686"/>
      <c r="B483" s="686"/>
      <c r="C483" s="686"/>
      <c r="D483" s="687"/>
      <c r="E483" s="687"/>
      <c r="F483" s="687"/>
      <c r="G483" s="687"/>
      <c r="H483" s="687"/>
      <c r="I483" s="687"/>
      <c r="J483" s="687"/>
      <c r="K483" s="687"/>
      <c r="L483" s="687"/>
      <c r="M483" s="687"/>
      <c r="N483" s="687"/>
      <c r="O483" s="687"/>
      <c r="P483" s="687"/>
      <c r="Q483" s="687"/>
      <c r="R483" s="687"/>
      <c r="S483" s="687"/>
      <c r="T483" s="687"/>
      <c r="U483" s="687"/>
      <c r="V483" s="687"/>
      <c r="W483" s="687"/>
      <c r="X483" s="687"/>
      <c r="Y483" s="687"/>
      <c r="Z483" s="687"/>
    </row>
    <row r="484" customHeight="1" spans="1:26">
      <c r="A484" s="686"/>
      <c r="B484" s="686"/>
      <c r="C484" s="686"/>
      <c r="D484" s="687"/>
      <c r="E484" s="687"/>
      <c r="F484" s="687"/>
      <c r="G484" s="687"/>
      <c r="H484" s="687"/>
      <c r="I484" s="687"/>
      <c r="J484" s="687"/>
      <c r="K484" s="687"/>
      <c r="L484" s="687"/>
      <c r="M484" s="687"/>
      <c r="N484" s="687"/>
      <c r="O484" s="687"/>
      <c r="P484" s="687"/>
      <c r="Q484" s="687"/>
      <c r="R484" s="687"/>
      <c r="S484" s="687"/>
      <c r="T484" s="687"/>
      <c r="U484" s="687"/>
      <c r="V484" s="687"/>
      <c r="W484" s="687"/>
      <c r="X484" s="687"/>
      <c r="Y484" s="687"/>
      <c r="Z484" s="687"/>
    </row>
    <row r="485" customHeight="1" spans="1:26">
      <c r="A485" s="686"/>
      <c r="B485" s="686"/>
      <c r="C485" s="686"/>
      <c r="D485" s="687"/>
      <c r="E485" s="687"/>
      <c r="F485" s="687"/>
      <c r="G485" s="687"/>
      <c r="H485" s="687"/>
      <c r="I485" s="687"/>
      <c r="J485" s="687"/>
      <c r="K485" s="687"/>
      <c r="L485" s="687"/>
      <c r="M485" s="687"/>
      <c r="N485" s="687"/>
      <c r="O485" s="687"/>
      <c r="P485" s="687"/>
      <c r="Q485" s="687"/>
      <c r="R485" s="687"/>
      <c r="S485" s="687"/>
      <c r="T485" s="687"/>
      <c r="U485" s="687"/>
      <c r="V485" s="687"/>
      <c r="W485" s="687"/>
      <c r="X485" s="687"/>
      <c r="Y485" s="687"/>
      <c r="Z485" s="687"/>
    </row>
    <row r="486" customHeight="1" spans="1:26">
      <c r="A486" s="686"/>
      <c r="B486" s="686"/>
      <c r="C486" s="686"/>
      <c r="D486" s="687"/>
      <c r="E486" s="687"/>
      <c r="F486" s="687"/>
      <c r="G486" s="687"/>
      <c r="H486" s="687"/>
      <c r="I486" s="687"/>
      <c r="J486" s="687"/>
      <c r="K486" s="687"/>
      <c r="L486" s="687"/>
      <c r="M486" s="687"/>
      <c r="N486" s="687"/>
      <c r="O486" s="687"/>
      <c r="P486" s="687"/>
      <c r="Q486" s="687"/>
      <c r="R486" s="687"/>
      <c r="S486" s="687"/>
      <c r="T486" s="687"/>
      <c r="U486" s="687"/>
      <c r="V486" s="687"/>
      <c r="W486" s="687"/>
      <c r="X486" s="687"/>
      <c r="Y486" s="687"/>
      <c r="Z486" s="687"/>
    </row>
    <row r="487" customHeight="1" spans="1:26">
      <c r="A487" s="686"/>
      <c r="B487" s="686"/>
      <c r="C487" s="686"/>
      <c r="D487" s="687"/>
      <c r="E487" s="687"/>
      <c r="F487" s="687"/>
      <c r="G487" s="687"/>
      <c r="H487" s="687"/>
      <c r="I487" s="687"/>
      <c r="J487" s="687"/>
      <c r="K487" s="687"/>
      <c r="L487" s="687"/>
      <c r="M487" s="687"/>
      <c r="N487" s="687"/>
      <c r="O487" s="687"/>
      <c r="P487" s="687"/>
      <c r="Q487" s="687"/>
      <c r="R487" s="687"/>
      <c r="S487" s="687"/>
      <c r="T487" s="687"/>
      <c r="U487" s="687"/>
      <c r="V487" s="687"/>
      <c r="W487" s="687"/>
      <c r="X487" s="687"/>
      <c r="Y487" s="687"/>
      <c r="Z487" s="687"/>
    </row>
    <row r="488" customHeight="1" spans="1:26">
      <c r="A488" s="686"/>
      <c r="B488" s="686"/>
      <c r="C488" s="686"/>
      <c r="D488" s="687"/>
      <c r="E488" s="687"/>
      <c r="F488" s="687"/>
      <c r="G488" s="687"/>
      <c r="H488" s="687"/>
      <c r="I488" s="687"/>
      <c r="J488" s="687"/>
      <c r="K488" s="687"/>
      <c r="L488" s="687"/>
      <c r="M488" s="687"/>
      <c r="N488" s="687"/>
      <c r="O488" s="687"/>
      <c r="P488" s="687"/>
      <c r="Q488" s="687"/>
      <c r="R488" s="687"/>
      <c r="S488" s="687"/>
      <c r="T488" s="687"/>
      <c r="U488" s="687"/>
      <c r="V488" s="687"/>
      <c r="W488" s="687"/>
      <c r="X488" s="687"/>
      <c r="Y488" s="687"/>
      <c r="Z488" s="687"/>
    </row>
    <row r="489" customHeight="1" spans="1:26">
      <c r="A489" s="686"/>
      <c r="B489" s="686"/>
      <c r="C489" s="686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7"/>
      <c r="P489" s="687"/>
      <c r="Q489" s="687"/>
      <c r="R489" s="687"/>
      <c r="S489" s="687"/>
      <c r="T489" s="687"/>
      <c r="U489" s="687"/>
      <c r="V489" s="687"/>
      <c r="W489" s="687"/>
      <c r="X489" s="687"/>
      <c r="Y489" s="687"/>
      <c r="Z489" s="687"/>
    </row>
    <row r="490" customHeight="1" spans="1:26">
      <c r="A490" s="686"/>
      <c r="B490" s="686"/>
      <c r="C490" s="686"/>
      <c r="D490" s="687"/>
      <c r="E490" s="687"/>
      <c r="F490" s="687"/>
      <c r="G490" s="687"/>
      <c r="H490" s="687"/>
      <c r="I490" s="687"/>
      <c r="J490" s="687"/>
      <c r="K490" s="687"/>
      <c r="L490" s="687"/>
      <c r="M490" s="687"/>
      <c r="N490" s="687"/>
      <c r="O490" s="687"/>
      <c r="P490" s="687"/>
      <c r="Q490" s="687"/>
      <c r="R490" s="687"/>
      <c r="S490" s="687"/>
      <c r="T490" s="687"/>
      <c r="U490" s="687"/>
      <c r="V490" s="687"/>
      <c r="W490" s="687"/>
      <c r="X490" s="687"/>
      <c r="Y490" s="687"/>
      <c r="Z490" s="687"/>
    </row>
    <row r="491" customHeight="1" spans="1:26">
      <c r="A491" s="686"/>
      <c r="B491" s="686"/>
      <c r="C491" s="686"/>
      <c r="D491" s="687"/>
      <c r="E491" s="687"/>
      <c r="F491" s="687"/>
      <c r="G491" s="687"/>
      <c r="H491" s="687"/>
      <c r="I491" s="687"/>
      <c r="J491" s="687"/>
      <c r="K491" s="687"/>
      <c r="L491" s="687"/>
      <c r="M491" s="687"/>
      <c r="N491" s="687"/>
      <c r="O491" s="687"/>
      <c r="P491" s="687"/>
      <c r="Q491" s="687"/>
      <c r="R491" s="687"/>
      <c r="S491" s="687"/>
      <c r="T491" s="687"/>
      <c r="U491" s="687"/>
      <c r="V491" s="687"/>
      <c r="W491" s="687"/>
      <c r="X491" s="687"/>
      <c r="Y491" s="687"/>
      <c r="Z491" s="687"/>
    </row>
    <row r="492" customHeight="1" spans="1:26">
      <c r="A492" s="686"/>
      <c r="B492" s="686"/>
      <c r="C492" s="686"/>
      <c r="D492" s="687"/>
      <c r="E492" s="687"/>
      <c r="F492" s="687"/>
      <c r="G492" s="687"/>
      <c r="H492" s="687"/>
      <c r="I492" s="687"/>
      <c r="J492" s="687"/>
      <c r="K492" s="687"/>
      <c r="L492" s="687"/>
      <c r="M492" s="687"/>
      <c r="N492" s="687"/>
      <c r="O492" s="687"/>
      <c r="P492" s="687"/>
      <c r="Q492" s="687"/>
      <c r="R492" s="687"/>
      <c r="S492" s="687"/>
      <c r="T492" s="687"/>
      <c r="U492" s="687"/>
      <c r="V492" s="687"/>
      <c r="W492" s="687"/>
      <c r="X492" s="687"/>
      <c r="Y492" s="687"/>
      <c r="Z492" s="687"/>
    </row>
    <row r="493" customHeight="1" spans="1:26">
      <c r="A493" s="686"/>
      <c r="B493" s="686"/>
      <c r="C493" s="686"/>
      <c r="D493" s="687"/>
      <c r="E493" s="687"/>
      <c r="F493" s="687"/>
      <c r="G493" s="687"/>
      <c r="H493" s="687"/>
      <c r="I493" s="687"/>
      <c r="J493" s="687"/>
      <c r="K493" s="687"/>
      <c r="L493" s="687"/>
      <c r="M493" s="687"/>
      <c r="N493" s="687"/>
      <c r="O493" s="687"/>
      <c r="P493" s="687"/>
      <c r="Q493" s="687"/>
      <c r="R493" s="687"/>
      <c r="S493" s="687"/>
      <c r="T493" s="687"/>
      <c r="U493" s="687"/>
      <c r="V493" s="687"/>
      <c r="W493" s="687"/>
      <c r="X493" s="687"/>
      <c r="Y493" s="687"/>
      <c r="Z493" s="687"/>
    </row>
    <row r="494" customHeight="1" spans="1:26">
      <c r="A494" s="686"/>
      <c r="B494" s="686"/>
      <c r="C494" s="686"/>
      <c r="D494" s="687"/>
      <c r="E494" s="687"/>
      <c r="F494" s="687"/>
      <c r="G494" s="687"/>
      <c r="H494" s="687"/>
      <c r="I494" s="687"/>
      <c r="J494" s="687"/>
      <c r="K494" s="687"/>
      <c r="L494" s="687"/>
      <c r="M494" s="687"/>
      <c r="N494" s="687"/>
      <c r="O494" s="687"/>
      <c r="P494" s="687"/>
      <c r="Q494" s="687"/>
      <c r="R494" s="687"/>
      <c r="S494" s="687"/>
      <c r="T494" s="687"/>
      <c r="U494" s="687"/>
      <c r="V494" s="687"/>
      <c r="W494" s="687"/>
      <c r="X494" s="687"/>
      <c r="Y494" s="687"/>
      <c r="Z494" s="687"/>
    </row>
    <row r="495" customHeight="1" spans="1:26">
      <c r="A495" s="686"/>
      <c r="B495" s="686"/>
      <c r="C495" s="686"/>
      <c r="D495" s="687"/>
      <c r="E495" s="687"/>
      <c r="F495" s="687"/>
      <c r="G495" s="687"/>
      <c r="H495" s="687"/>
      <c r="I495" s="687"/>
      <c r="J495" s="687"/>
      <c r="K495" s="687"/>
      <c r="L495" s="687"/>
      <c r="M495" s="687"/>
      <c r="N495" s="687"/>
      <c r="O495" s="687"/>
      <c r="P495" s="687"/>
      <c r="Q495" s="687"/>
      <c r="R495" s="687"/>
      <c r="S495" s="687"/>
      <c r="T495" s="687"/>
      <c r="U495" s="687"/>
      <c r="V495" s="687"/>
      <c r="W495" s="687"/>
      <c r="X495" s="687"/>
      <c r="Y495" s="687"/>
      <c r="Z495" s="687"/>
    </row>
    <row r="496" customHeight="1" spans="1:26">
      <c r="A496" s="686"/>
      <c r="B496" s="686"/>
      <c r="C496" s="686"/>
      <c r="D496" s="687"/>
      <c r="E496" s="687"/>
      <c r="F496" s="687"/>
      <c r="G496" s="687"/>
      <c r="H496" s="687"/>
      <c r="I496" s="687"/>
      <c r="J496" s="687"/>
      <c r="K496" s="687"/>
      <c r="L496" s="687"/>
      <c r="M496" s="687"/>
      <c r="N496" s="687"/>
      <c r="O496" s="687"/>
      <c r="P496" s="687"/>
      <c r="Q496" s="687"/>
      <c r="R496" s="687"/>
      <c r="S496" s="687"/>
      <c r="T496" s="687"/>
      <c r="U496" s="687"/>
      <c r="V496" s="687"/>
      <c r="W496" s="687"/>
      <c r="X496" s="687"/>
      <c r="Y496" s="687"/>
      <c r="Z496" s="687"/>
    </row>
    <row r="497" customHeight="1" spans="1:26">
      <c r="A497" s="686"/>
      <c r="B497" s="686"/>
      <c r="C497" s="686"/>
      <c r="D497" s="687"/>
      <c r="E497" s="687"/>
      <c r="F497" s="687"/>
      <c r="G497" s="687"/>
      <c r="H497" s="687"/>
      <c r="I497" s="687"/>
      <c r="J497" s="687"/>
      <c r="K497" s="687"/>
      <c r="L497" s="687"/>
      <c r="M497" s="687"/>
      <c r="N497" s="687"/>
      <c r="O497" s="687"/>
      <c r="P497" s="687"/>
      <c r="Q497" s="687"/>
      <c r="R497" s="687"/>
      <c r="S497" s="687"/>
      <c r="T497" s="687"/>
      <c r="U497" s="687"/>
      <c r="V497" s="687"/>
      <c r="W497" s="687"/>
      <c r="X497" s="687"/>
      <c r="Y497" s="687"/>
      <c r="Z497" s="687"/>
    </row>
    <row r="498" customHeight="1" spans="1:26">
      <c r="A498" s="686"/>
      <c r="B498" s="686"/>
      <c r="C498" s="686"/>
      <c r="D498" s="687"/>
      <c r="E498" s="687"/>
      <c r="F498" s="687"/>
      <c r="G498" s="687"/>
      <c r="H498" s="687"/>
      <c r="I498" s="687"/>
      <c r="J498" s="687"/>
      <c r="K498" s="687"/>
      <c r="L498" s="687"/>
      <c r="M498" s="687"/>
      <c r="N498" s="687"/>
      <c r="O498" s="687"/>
      <c r="P498" s="687"/>
      <c r="Q498" s="687"/>
      <c r="R498" s="687"/>
      <c r="S498" s="687"/>
      <c r="T498" s="687"/>
      <c r="U498" s="687"/>
      <c r="V498" s="687"/>
      <c r="W498" s="687"/>
      <c r="X498" s="687"/>
      <c r="Y498" s="687"/>
      <c r="Z498" s="687"/>
    </row>
    <row r="499" customHeight="1" spans="1:26">
      <c r="A499" s="686"/>
      <c r="B499" s="686"/>
      <c r="C499" s="686"/>
      <c r="D499" s="687"/>
      <c r="E499" s="687"/>
      <c r="F499" s="687"/>
      <c r="G499" s="687"/>
      <c r="H499" s="687"/>
      <c r="I499" s="687"/>
      <c r="J499" s="687"/>
      <c r="K499" s="687"/>
      <c r="L499" s="687"/>
      <c r="M499" s="687"/>
      <c r="N499" s="687"/>
      <c r="O499" s="687"/>
      <c r="P499" s="687"/>
      <c r="Q499" s="687"/>
      <c r="R499" s="687"/>
      <c r="S499" s="687"/>
      <c r="T499" s="687"/>
      <c r="U499" s="687"/>
      <c r="V499" s="687"/>
      <c r="W499" s="687"/>
      <c r="X499" s="687"/>
      <c r="Y499" s="687"/>
      <c r="Z499" s="687"/>
    </row>
    <row r="500" customHeight="1" spans="1:26">
      <c r="A500" s="686"/>
      <c r="B500" s="686"/>
      <c r="C500" s="686"/>
      <c r="D500" s="687"/>
      <c r="E500" s="687"/>
      <c r="F500" s="687"/>
      <c r="G500" s="687"/>
      <c r="H500" s="687"/>
      <c r="I500" s="687"/>
      <c r="J500" s="687"/>
      <c r="K500" s="687"/>
      <c r="L500" s="687"/>
      <c r="M500" s="687"/>
      <c r="N500" s="687"/>
      <c r="O500" s="687"/>
      <c r="P500" s="687"/>
      <c r="Q500" s="687"/>
      <c r="R500" s="687"/>
      <c r="S500" s="687"/>
      <c r="T500" s="687"/>
      <c r="U500" s="687"/>
      <c r="V500" s="687"/>
      <c r="W500" s="687"/>
      <c r="X500" s="687"/>
      <c r="Y500" s="687"/>
      <c r="Z500" s="687"/>
    </row>
    <row r="501" customHeight="1" spans="1:26">
      <c r="A501" s="686"/>
      <c r="B501" s="686"/>
      <c r="C501" s="686"/>
      <c r="D501" s="687"/>
      <c r="E501" s="687"/>
      <c r="F501" s="687"/>
      <c r="G501" s="687"/>
      <c r="H501" s="687"/>
      <c r="I501" s="687"/>
      <c r="J501" s="687"/>
      <c r="K501" s="687"/>
      <c r="L501" s="687"/>
      <c r="M501" s="687"/>
      <c r="N501" s="687"/>
      <c r="O501" s="687"/>
      <c r="P501" s="687"/>
      <c r="Q501" s="687"/>
      <c r="R501" s="687"/>
      <c r="S501" s="687"/>
      <c r="T501" s="687"/>
      <c r="U501" s="687"/>
      <c r="V501" s="687"/>
      <c r="W501" s="687"/>
      <c r="X501" s="687"/>
      <c r="Y501" s="687"/>
      <c r="Z501" s="687"/>
    </row>
    <row r="502" customHeight="1" spans="1:26">
      <c r="A502" s="686"/>
      <c r="B502" s="686"/>
      <c r="C502" s="686"/>
      <c r="D502" s="687"/>
      <c r="E502" s="687"/>
      <c r="F502" s="687"/>
      <c r="G502" s="687"/>
      <c r="H502" s="687"/>
      <c r="I502" s="687"/>
      <c r="J502" s="687"/>
      <c r="K502" s="687"/>
      <c r="L502" s="687"/>
      <c r="M502" s="687"/>
      <c r="N502" s="687"/>
      <c r="O502" s="687"/>
      <c r="P502" s="687"/>
      <c r="Q502" s="687"/>
      <c r="R502" s="687"/>
      <c r="S502" s="687"/>
      <c r="T502" s="687"/>
      <c r="U502" s="687"/>
      <c r="V502" s="687"/>
      <c r="W502" s="687"/>
      <c r="X502" s="687"/>
      <c r="Y502" s="687"/>
      <c r="Z502" s="687"/>
    </row>
    <row r="503" customHeight="1" spans="1:26">
      <c r="A503" s="686"/>
      <c r="B503" s="686"/>
      <c r="C503" s="686"/>
      <c r="D503" s="687"/>
      <c r="E503" s="687"/>
      <c r="F503" s="687"/>
      <c r="G503" s="687"/>
      <c r="H503" s="687"/>
      <c r="I503" s="687"/>
      <c r="J503" s="687"/>
      <c r="K503" s="687"/>
      <c r="L503" s="687"/>
      <c r="M503" s="687"/>
      <c r="N503" s="687"/>
      <c r="O503" s="687"/>
      <c r="P503" s="687"/>
      <c r="Q503" s="687"/>
      <c r="R503" s="687"/>
      <c r="S503" s="687"/>
      <c r="T503" s="687"/>
      <c r="U503" s="687"/>
      <c r="V503" s="687"/>
      <c r="W503" s="687"/>
      <c r="X503" s="687"/>
      <c r="Y503" s="687"/>
      <c r="Z503" s="687"/>
    </row>
    <row r="504" customHeight="1" spans="1:26">
      <c r="A504" s="686"/>
      <c r="B504" s="686"/>
      <c r="C504" s="686"/>
      <c r="D504" s="687"/>
      <c r="E504" s="687"/>
      <c r="F504" s="687"/>
      <c r="G504" s="687"/>
      <c r="H504" s="687"/>
      <c r="I504" s="687"/>
      <c r="J504" s="687"/>
      <c r="K504" s="687"/>
      <c r="L504" s="687"/>
      <c r="M504" s="687"/>
      <c r="N504" s="687"/>
      <c r="O504" s="687"/>
      <c r="P504" s="687"/>
      <c r="Q504" s="687"/>
      <c r="R504" s="687"/>
      <c r="S504" s="687"/>
      <c r="T504" s="687"/>
      <c r="U504" s="687"/>
      <c r="V504" s="687"/>
      <c r="W504" s="687"/>
      <c r="X504" s="687"/>
      <c r="Y504" s="687"/>
      <c r="Z504" s="687"/>
    </row>
    <row r="505" customHeight="1" spans="1:26">
      <c r="A505" s="686"/>
      <c r="B505" s="686"/>
      <c r="C505" s="686"/>
      <c r="D505" s="687"/>
      <c r="E505" s="687"/>
      <c r="F505" s="687"/>
      <c r="G505" s="687"/>
      <c r="H505" s="687"/>
      <c r="I505" s="687"/>
      <c r="J505" s="687"/>
      <c r="K505" s="687"/>
      <c r="L505" s="687"/>
      <c r="M505" s="687"/>
      <c r="N505" s="687"/>
      <c r="O505" s="687"/>
      <c r="P505" s="687"/>
      <c r="Q505" s="687"/>
      <c r="R505" s="687"/>
      <c r="S505" s="687"/>
      <c r="T505" s="687"/>
      <c r="U505" s="687"/>
      <c r="V505" s="687"/>
      <c r="W505" s="687"/>
      <c r="X505" s="687"/>
      <c r="Y505" s="687"/>
      <c r="Z505" s="687"/>
    </row>
    <row r="506" customHeight="1" spans="1:26">
      <c r="A506" s="686"/>
      <c r="B506" s="686"/>
      <c r="C506" s="686"/>
      <c r="D506" s="687"/>
      <c r="E506" s="687"/>
      <c r="F506" s="687"/>
      <c r="G506" s="687"/>
      <c r="H506" s="687"/>
      <c r="I506" s="687"/>
      <c r="J506" s="687"/>
      <c r="K506" s="687"/>
      <c r="L506" s="687"/>
      <c r="M506" s="687"/>
      <c r="N506" s="687"/>
      <c r="O506" s="687"/>
      <c r="P506" s="687"/>
      <c r="Q506" s="687"/>
      <c r="R506" s="687"/>
      <c r="S506" s="687"/>
      <c r="T506" s="687"/>
      <c r="U506" s="687"/>
      <c r="V506" s="687"/>
      <c r="W506" s="687"/>
      <c r="X506" s="687"/>
      <c r="Y506" s="687"/>
      <c r="Z506" s="687"/>
    </row>
    <row r="507" customHeight="1" spans="1:26">
      <c r="A507" s="686"/>
      <c r="B507" s="686"/>
      <c r="C507" s="686"/>
      <c r="D507" s="687"/>
      <c r="E507" s="687"/>
      <c r="F507" s="687"/>
      <c r="G507" s="687"/>
      <c r="H507" s="687"/>
      <c r="I507" s="687"/>
      <c r="J507" s="687"/>
      <c r="K507" s="687"/>
      <c r="L507" s="687"/>
      <c r="M507" s="687"/>
      <c r="N507" s="687"/>
      <c r="O507" s="687"/>
      <c r="P507" s="687"/>
      <c r="Q507" s="687"/>
      <c r="R507" s="687"/>
      <c r="S507" s="687"/>
      <c r="T507" s="687"/>
      <c r="U507" s="687"/>
      <c r="V507" s="687"/>
      <c r="W507" s="687"/>
      <c r="X507" s="687"/>
      <c r="Y507" s="687"/>
      <c r="Z507" s="687"/>
    </row>
    <row r="508" customHeight="1" spans="1:26">
      <c r="A508" s="686"/>
      <c r="B508" s="686"/>
      <c r="C508" s="686"/>
      <c r="D508" s="687"/>
      <c r="E508" s="687"/>
      <c r="F508" s="687"/>
      <c r="G508" s="687"/>
      <c r="H508" s="687"/>
      <c r="I508" s="687"/>
      <c r="J508" s="687"/>
      <c r="K508" s="687"/>
      <c r="L508" s="687"/>
      <c r="M508" s="687"/>
      <c r="N508" s="687"/>
      <c r="O508" s="687"/>
      <c r="P508" s="687"/>
      <c r="Q508" s="687"/>
      <c r="R508" s="687"/>
      <c r="S508" s="687"/>
      <c r="T508" s="687"/>
      <c r="U508" s="687"/>
      <c r="V508" s="687"/>
      <c r="W508" s="687"/>
      <c r="X508" s="687"/>
      <c r="Y508" s="687"/>
      <c r="Z508" s="687"/>
    </row>
    <row r="509" customHeight="1" spans="1:26">
      <c r="A509" s="686"/>
      <c r="B509" s="686"/>
      <c r="C509" s="686"/>
      <c r="D509" s="687"/>
      <c r="E509" s="687"/>
      <c r="F509" s="687"/>
      <c r="G509" s="687"/>
      <c r="H509" s="687"/>
      <c r="I509" s="687"/>
      <c r="J509" s="687"/>
      <c r="K509" s="687"/>
      <c r="L509" s="687"/>
      <c r="M509" s="687"/>
      <c r="N509" s="687"/>
      <c r="O509" s="687"/>
      <c r="P509" s="687"/>
      <c r="Q509" s="687"/>
      <c r="R509" s="687"/>
      <c r="S509" s="687"/>
      <c r="T509" s="687"/>
      <c r="U509" s="687"/>
      <c r="V509" s="687"/>
      <c r="W509" s="687"/>
      <c r="X509" s="687"/>
      <c r="Y509" s="687"/>
      <c r="Z509" s="687"/>
    </row>
    <row r="510" customHeight="1" spans="1:26">
      <c r="A510" s="686"/>
      <c r="B510" s="686"/>
      <c r="C510" s="686"/>
      <c r="D510" s="687"/>
      <c r="E510" s="687"/>
      <c r="F510" s="687"/>
      <c r="G510" s="687"/>
      <c r="H510" s="687"/>
      <c r="I510" s="687"/>
      <c r="J510" s="687"/>
      <c r="K510" s="687"/>
      <c r="L510" s="687"/>
      <c r="M510" s="687"/>
      <c r="N510" s="687"/>
      <c r="O510" s="687"/>
      <c r="P510" s="687"/>
      <c r="Q510" s="687"/>
      <c r="R510" s="687"/>
      <c r="S510" s="687"/>
      <c r="T510" s="687"/>
      <c r="U510" s="687"/>
      <c r="V510" s="687"/>
      <c r="W510" s="687"/>
      <c r="X510" s="687"/>
      <c r="Y510" s="687"/>
      <c r="Z510" s="687"/>
    </row>
    <row r="511" customHeight="1" spans="1:26">
      <c r="A511" s="686"/>
      <c r="B511" s="686"/>
      <c r="C511" s="686"/>
      <c r="D511" s="687"/>
      <c r="E511" s="687"/>
      <c r="F511" s="687"/>
      <c r="G511" s="687"/>
      <c r="H511" s="687"/>
      <c r="I511" s="687"/>
      <c r="J511" s="687"/>
      <c r="K511" s="687"/>
      <c r="L511" s="687"/>
      <c r="M511" s="687"/>
      <c r="N511" s="687"/>
      <c r="O511" s="687"/>
      <c r="P511" s="687"/>
      <c r="Q511" s="687"/>
      <c r="R511" s="687"/>
      <c r="S511" s="687"/>
      <c r="T511" s="687"/>
      <c r="U511" s="687"/>
      <c r="V511" s="687"/>
      <c r="W511" s="687"/>
      <c r="X511" s="687"/>
      <c r="Y511" s="687"/>
      <c r="Z511" s="687"/>
    </row>
    <row r="512" customHeight="1" spans="1:26">
      <c r="A512" s="686"/>
      <c r="B512" s="686"/>
      <c r="C512" s="686"/>
      <c r="D512" s="687"/>
      <c r="E512" s="687"/>
      <c r="F512" s="687"/>
      <c r="G512" s="687"/>
      <c r="H512" s="687"/>
      <c r="I512" s="687"/>
      <c r="J512" s="687"/>
      <c r="K512" s="687"/>
      <c r="L512" s="687"/>
      <c r="M512" s="687"/>
      <c r="N512" s="687"/>
      <c r="O512" s="687"/>
      <c r="P512" s="687"/>
      <c r="Q512" s="687"/>
      <c r="R512" s="687"/>
      <c r="S512" s="687"/>
      <c r="T512" s="687"/>
      <c r="U512" s="687"/>
      <c r="V512" s="687"/>
      <c r="W512" s="687"/>
      <c r="X512" s="687"/>
      <c r="Y512" s="687"/>
      <c r="Z512" s="687"/>
    </row>
    <row r="513" customHeight="1" spans="1:26">
      <c r="A513" s="686"/>
      <c r="B513" s="686"/>
      <c r="C513" s="686"/>
      <c r="D513" s="687"/>
      <c r="E513" s="687"/>
      <c r="F513" s="687"/>
      <c r="G513" s="687"/>
      <c r="H513" s="687"/>
      <c r="I513" s="687"/>
      <c r="J513" s="687"/>
      <c r="K513" s="687"/>
      <c r="L513" s="687"/>
      <c r="M513" s="687"/>
      <c r="N513" s="687"/>
      <c r="O513" s="687"/>
      <c r="P513" s="687"/>
      <c r="Q513" s="687"/>
      <c r="R513" s="687"/>
      <c r="S513" s="687"/>
      <c r="T513" s="687"/>
      <c r="U513" s="687"/>
      <c r="V513" s="687"/>
      <c r="W513" s="687"/>
      <c r="X513" s="687"/>
      <c r="Y513" s="687"/>
      <c r="Z513" s="687"/>
    </row>
    <row r="514" customHeight="1" spans="1:26">
      <c r="A514" s="686"/>
      <c r="B514" s="686"/>
      <c r="C514" s="686"/>
      <c r="D514" s="687"/>
      <c r="E514" s="687"/>
      <c r="F514" s="687"/>
      <c r="G514" s="687"/>
      <c r="H514" s="687"/>
      <c r="I514" s="687"/>
      <c r="J514" s="687"/>
      <c r="K514" s="687"/>
      <c r="L514" s="687"/>
      <c r="M514" s="687"/>
      <c r="N514" s="687"/>
      <c r="O514" s="687"/>
      <c r="P514" s="687"/>
      <c r="Q514" s="687"/>
      <c r="R514" s="687"/>
      <c r="S514" s="687"/>
      <c r="T514" s="687"/>
      <c r="U514" s="687"/>
      <c r="V514" s="687"/>
      <c r="W514" s="687"/>
      <c r="X514" s="687"/>
      <c r="Y514" s="687"/>
      <c r="Z514" s="687"/>
    </row>
    <row r="515" customHeight="1" spans="1:26">
      <c r="A515" s="686"/>
      <c r="B515" s="686"/>
      <c r="C515" s="686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7"/>
      <c r="P515" s="687"/>
      <c r="Q515" s="687"/>
      <c r="R515" s="687"/>
      <c r="S515" s="687"/>
      <c r="T515" s="687"/>
      <c r="U515" s="687"/>
      <c r="V515" s="687"/>
      <c r="W515" s="687"/>
      <c r="X515" s="687"/>
      <c r="Y515" s="687"/>
      <c r="Z515" s="687"/>
    </row>
    <row r="516" customHeight="1" spans="1:26">
      <c r="A516" s="686"/>
      <c r="B516" s="686"/>
      <c r="C516" s="686"/>
      <c r="D516" s="687"/>
      <c r="E516" s="687"/>
      <c r="F516" s="687"/>
      <c r="G516" s="687"/>
      <c r="H516" s="687"/>
      <c r="I516" s="687"/>
      <c r="J516" s="687"/>
      <c r="K516" s="687"/>
      <c r="L516" s="687"/>
      <c r="M516" s="687"/>
      <c r="N516" s="687"/>
      <c r="O516" s="687"/>
      <c r="P516" s="687"/>
      <c r="Q516" s="687"/>
      <c r="R516" s="687"/>
      <c r="S516" s="687"/>
      <c r="T516" s="687"/>
      <c r="U516" s="687"/>
      <c r="V516" s="687"/>
      <c r="W516" s="687"/>
      <c r="X516" s="687"/>
      <c r="Y516" s="687"/>
      <c r="Z516" s="687"/>
    </row>
    <row r="517" customHeight="1" spans="1:26">
      <c r="A517" s="686"/>
      <c r="B517" s="686"/>
      <c r="C517" s="686"/>
      <c r="D517" s="687"/>
      <c r="E517" s="687"/>
      <c r="F517" s="687"/>
      <c r="G517" s="687"/>
      <c r="H517" s="687"/>
      <c r="I517" s="687"/>
      <c r="J517" s="687"/>
      <c r="K517" s="687"/>
      <c r="L517" s="687"/>
      <c r="M517" s="687"/>
      <c r="N517" s="687"/>
      <c r="O517" s="687"/>
      <c r="P517" s="687"/>
      <c r="Q517" s="687"/>
      <c r="R517" s="687"/>
      <c r="S517" s="687"/>
      <c r="T517" s="687"/>
      <c r="U517" s="687"/>
      <c r="V517" s="687"/>
      <c r="W517" s="687"/>
      <c r="X517" s="687"/>
      <c r="Y517" s="687"/>
      <c r="Z517" s="687"/>
    </row>
    <row r="518" customHeight="1" spans="1:26">
      <c r="A518" s="686"/>
      <c r="B518" s="686"/>
      <c r="C518" s="686"/>
      <c r="D518" s="687"/>
      <c r="E518" s="687"/>
      <c r="F518" s="687"/>
      <c r="G518" s="687"/>
      <c r="H518" s="687"/>
      <c r="I518" s="687"/>
      <c r="J518" s="687"/>
      <c r="K518" s="687"/>
      <c r="L518" s="687"/>
      <c r="M518" s="687"/>
      <c r="N518" s="687"/>
      <c r="O518" s="687"/>
      <c r="P518" s="687"/>
      <c r="Q518" s="687"/>
      <c r="R518" s="687"/>
      <c r="S518" s="687"/>
      <c r="T518" s="687"/>
      <c r="U518" s="687"/>
      <c r="V518" s="687"/>
      <c r="W518" s="687"/>
      <c r="X518" s="687"/>
      <c r="Y518" s="687"/>
      <c r="Z518" s="687"/>
    </row>
    <row r="519" customHeight="1" spans="1:26">
      <c r="A519" s="686"/>
      <c r="B519" s="686"/>
      <c r="C519" s="686"/>
      <c r="D519" s="687"/>
      <c r="E519" s="687"/>
      <c r="F519" s="687"/>
      <c r="G519" s="687"/>
      <c r="H519" s="687"/>
      <c r="I519" s="687"/>
      <c r="J519" s="687"/>
      <c r="K519" s="687"/>
      <c r="L519" s="687"/>
      <c r="M519" s="687"/>
      <c r="N519" s="687"/>
      <c r="O519" s="687"/>
      <c r="P519" s="687"/>
      <c r="Q519" s="687"/>
      <c r="R519" s="687"/>
      <c r="S519" s="687"/>
      <c r="T519" s="687"/>
      <c r="U519" s="687"/>
      <c r="V519" s="687"/>
      <c r="W519" s="687"/>
      <c r="X519" s="687"/>
      <c r="Y519" s="687"/>
      <c r="Z519" s="687"/>
    </row>
    <row r="520" customHeight="1" spans="1:26">
      <c r="A520" s="686"/>
      <c r="B520" s="686"/>
      <c r="C520" s="686"/>
      <c r="D520" s="687"/>
      <c r="E520" s="687"/>
      <c r="F520" s="687"/>
      <c r="G520" s="687"/>
      <c r="H520" s="687"/>
      <c r="I520" s="687"/>
      <c r="J520" s="687"/>
      <c r="K520" s="687"/>
      <c r="L520" s="687"/>
      <c r="M520" s="687"/>
      <c r="N520" s="687"/>
      <c r="O520" s="687"/>
      <c r="P520" s="687"/>
      <c r="Q520" s="687"/>
      <c r="R520" s="687"/>
      <c r="S520" s="687"/>
      <c r="T520" s="687"/>
      <c r="U520" s="687"/>
      <c r="V520" s="687"/>
      <c r="W520" s="687"/>
      <c r="X520" s="687"/>
      <c r="Y520" s="687"/>
      <c r="Z520" s="687"/>
    </row>
    <row r="521" customHeight="1" spans="1:26">
      <c r="A521" s="686"/>
      <c r="B521" s="686"/>
      <c r="C521" s="686"/>
      <c r="D521" s="687"/>
      <c r="E521" s="687"/>
      <c r="F521" s="687"/>
      <c r="G521" s="687"/>
      <c r="H521" s="687"/>
      <c r="I521" s="687"/>
      <c r="J521" s="687"/>
      <c r="K521" s="687"/>
      <c r="L521" s="687"/>
      <c r="M521" s="687"/>
      <c r="N521" s="687"/>
      <c r="O521" s="687"/>
      <c r="P521" s="687"/>
      <c r="Q521" s="687"/>
      <c r="R521" s="687"/>
      <c r="S521" s="687"/>
      <c r="T521" s="687"/>
      <c r="U521" s="687"/>
      <c r="V521" s="687"/>
      <c r="W521" s="687"/>
      <c r="X521" s="687"/>
      <c r="Y521" s="687"/>
      <c r="Z521" s="687"/>
    </row>
    <row r="522" customHeight="1" spans="1:26">
      <c r="A522" s="686"/>
      <c r="B522" s="686"/>
      <c r="C522" s="686"/>
      <c r="D522" s="687"/>
      <c r="E522" s="687"/>
      <c r="F522" s="687"/>
      <c r="G522" s="687"/>
      <c r="H522" s="687"/>
      <c r="I522" s="687"/>
      <c r="J522" s="687"/>
      <c r="K522" s="687"/>
      <c r="L522" s="687"/>
      <c r="M522" s="687"/>
      <c r="N522" s="687"/>
      <c r="O522" s="687"/>
      <c r="P522" s="687"/>
      <c r="Q522" s="687"/>
      <c r="R522" s="687"/>
      <c r="S522" s="687"/>
      <c r="T522" s="687"/>
      <c r="U522" s="687"/>
      <c r="V522" s="687"/>
      <c r="W522" s="687"/>
      <c r="X522" s="687"/>
      <c r="Y522" s="687"/>
      <c r="Z522" s="687"/>
    </row>
    <row r="523" customHeight="1" spans="1:26">
      <c r="A523" s="686"/>
      <c r="B523" s="686"/>
      <c r="C523" s="686"/>
      <c r="D523" s="687"/>
      <c r="E523" s="687"/>
      <c r="F523" s="687"/>
      <c r="G523" s="687"/>
      <c r="H523" s="687"/>
      <c r="I523" s="687"/>
      <c r="J523" s="687"/>
      <c r="K523" s="687"/>
      <c r="L523" s="687"/>
      <c r="M523" s="687"/>
      <c r="N523" s="687"/>
      <c r="O523" s="687"/>
      <c r="P523" s="687"/>
      <c r="Q523" s="687"/>
      <c r="R523" s="687"/>
      <c r="S523" s="687"/>
      <c r="T523" s="687"/>
      <c r="U523" s="687"/>
      <c r="V523" s="687"/>
      <c r="W523" s="687"/>
      <c r="X523" s="687"/>
      <c r="Y523" s="687"/>
      <c r="Z523" s="687"/>
    </row>
    <row r="524" customHeight="1" spans="1:26">
      <c r="A524" s="686"/>
      <c r="B524" s="686"/>
      <c r="C524" s="686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7"/>
      <c r="P524" s="687"/>
      <c r="Q524" s="687"/>
      <c r="R524" s="687"/>
      <c r="S524" s="687"/>
      <c r="T524" s="687"/>
      <c r="U524" s="687"/>
      <c r="V524" s="687"/>
      <c r="W524" s="687"/>
      <c r="X524" s="687"/>
      <c r="Y524" s="687"/>
      <c r="Z524" s="687"/>
    </row>
    <row r="525" customHeight="1" spans="1:26">
      <c r="A525" s="686"/>
      <c r="B525" s="686"/>
      <c r="C525" s="686"/>
      <c r="D525" s="687"/>
      <c r="E525" s="687"/>
      <c r="F525" s="687"/>
      <c r="G525" s="687"/>
      <c r="H525" s="687"/>
      <c r="I525" s="687"/>
      <c r="J525" s="687"/>
      <c r="K525" s="687"/>
      <c r="L525" s="687"/>
      <c r="M525" s="687"/>
      <c r="N525" s="687"/>
      <c r="O525" s="687"/>
      <c r="P525" s="687"/>
      <c r="Q525" s="687"/>
      <c r="R525" s="687"/>
      <c r="S525" s="687"/>
      <c r="T525" s="687"/>
      <c r="U525" s="687"/>
      <c r="V525" s="687"/>
      <c r="W525" s="687"/>
      <c r="X525" s="687"/>
      <c r="Y525" s="687"/>
      <c r="Z525" s="687"/>
    </row>
    <row r="526" customHeight="1" spans="1:26">
      <c r="A526" s="686"/>
      <c r="B526" s="686"/>
      <c r="C526" s="686"/>
      <c r="D526" s="687"/>
      <c r="E526" s="687"/>
      <c r="F526" s="687"/>
      <c r="G526" s="687"/>
      <c r="H526" s="687"/>
      <c r="I526" s="687"/>
      <c r="J526" s="687"/>
      <c r="K526" s="687"/>
      <c r="L526" s="687"/>
      <c r="M526" s="687"/>
      <c r="N526" s="687"/>
      <c r="O526" s="687"/>
      <c r="P526" s="687"/>
      <c r="Q526" s="687"/>
      <c r="R526" s="687"/>
      <c r="S526" s="687"/>
      <c r="T526" s="687"/>
      <c r="U526" s="687"/>
      <c r="V526" s="687"/>
      <c r="W526" s="687"/>
      <c r="X526" s="687"/>
      <c r="Y526" s="687"/>
      <c r="Z526" s="687"/>
    </row>
    <row r="527" customHeight="1" spans="1:26">
      <c r="A527" s="686"/>
      <c r="B527" s="686"/>
      <c r="C527" s="686"/>
      <c r="D527" s="687"/>
      <c r="E527" s="687"/>
      <c r="F527" s="687"/>
      <c r="G527" s="687"/>
      <c r="H527" s="687"/>
      <c r="I527" s="687"/>
      <c r="J527" s="687"/>
      <c r="K527" s="687"/>
      <c r="L527" s="687"/>
      <c r="M527" s="687"/>
      <c r="N527" s="687"/>
      <c r="O527" s="687"/>
      <c r="P527" s="687"/>
      <c r="Q527" s="687"/>
      <c r="R527" s="687"/>
      <c r="S527" s="687"/>
      <c r="T527" s="687"/>
      <c r="U527" s="687"/>
      <c r="V527" s="687"/>
      <c r="W527" s="687"/>
      <c r="X527" s="687"/>
      <c r="Y527" s="687"/>
      <c r="Z527" s="687"/>
    </row>
    <row r="528" customHeight="1" spans="1:26">
      <c r="A528" s="686"/>
      <c r="B528" s="686"/>
      <c r="C528" s="686"/>
      <c r="D528" s="687"/>
      <c r="E528" s="687"/>
      <c r="F528" s="687"/>
      <c r="G528" s="687"/>
      <c r="H528" s="687"/>
      <c r="I528" s="687"/>
      <c r="J528" s="687"/>
      <c r="K528" s="687"/>
      <c r="L528" s="687"/>
      <c r="M528" s="687"/>
      <c r="N528" s="687"/>
      <c r="O528" s="687"/>
      <c r="P528" s="687"/>
      <c r="Q528" s="687"/>
      <c r="R528" s="687"/>
      <c r="S528" s="687"/>
      <c r="T528" s="687"/>
      <c r="U528" s="687"/>
      <c r="V528" s="687"/>
      <c r="W528" s="687"/>
      <c r="X528" s="687"/>
      <c r="Y528" s="687"/>
      <c r="Z528" s="687"/>
    </row>
    <row r="529" customHeight="1" spans="1:26">
      <c r="A529" s="686"/>
      <c r="B529" s="686"/>
      <c r="C529" s="686"/>
      <c r="D529" s="687"/>
      <c r="E529" s="687"/>
      <c r="F529" s="687"/>
      <c r="G529" s="687"/>
      <c r="H529" s="687"/>
      <c r="I529" s="687"/>
      <c r="J529" s="687"/>
      <c r="K529" s="687"/>
      <c r="L529" s="687"/>
      <c r="M529" s="687"/>
      <c r="N529" s="687"/>
      <c r="O529" s="687"/>
      <c r="P529" s="687"/>
      <c r="Q529" s="687"/>
      <c r="R529" s="687"/>
      <c r="S529" s="687"/>
      <c r="T529" s="687"/>
      <c r="U529" s="687"/>
      <c r="V529" s="687"/>
      <c r="W529" s="687"/>
      <c r="X529" s="687"/>
      <c r="Y529" s="687"/>
      <c r="Z529" s="687"/>
    </row>
    <row r="530" customHeight="1" spans="1:26">
      <c r="A530" s="686"/>
      <c r="B530" s="686"/>
      <c r="C530" s="686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687"/>
      <c r="P530" s="687"/>
      <c r="Q530" s="687"/>
      <c r="R530" s="687"/>
      <c r="S530" s="687"/>
      <c r="T530" s="687"/>
      <c r="U530" s="687"/>
      <c r="V530" s="687"/>
      <c r="W530" s="687"/>
      <c r="X530" s="687"/>
      <c r="Y530" s="687"/>
      <c r="Z530" s="687"/>
    </row>
    <row r="531" customHeight="1" spans="1:26">
      <c r="A531" s="686"/>
      <c r="B531" s="686"/>
      <c r="C531" s="686"/>
      <c r="D531" s="687"/>
      <c r="E531" s="687"/>
      <c r="F531" s="687"/>
      <c r="G531" s="687"/>
      <c r="H531" s="687"/>
      <c r="I531" s="687"/>
      <c r="J531" s="687"/>
      <c r="K531" s="687"/>
      <c r="L531" s="687"/>
      <c r="M531" s="687"/>
      <c r="N531" s="687"/>
      <c r="O531" s="687"/>
      <c r="P531" s="687"/>
      <c r="Q531" s="687"/>
      <c r="R531" s="687"/>
      <c r="S531" s="687"/>
      <c r="T531" s="687"/>
      <c r="U531" s="687"/>
      <c r="V531" s="687"/>
      <c r="W531" s="687"/>
      <c r="X531" s="687"/>
      <c r="Y531" s="687"/>
      <c r="Z531" s="687"/>
    </row>
    <row r="532" customHeight="1" spans="1:26">
      <c r="A532" s="686"/>
      <c r="B532" s="686"/>
      <c r="C532" s="686"/>
      <c r="D532" s="687"/>
      <c r="E532" s="687"/>
      <c r="F532" s="687"/>
      <c r="G532" s="687"/>
      <c r="H532" s="687"/>
      <c r="I532" s="687"/>
      <c r="J532" s="687"/>
      <c r="K532" s="687"/>
      <c r="L532" s="687"/>
      <c r="M532" s="687"/>
      <c r="N532" s="687"/>
      <c r="O532" s="687"/>
      <c r="P532" s="687"/>
      <c r="Q532" s="687"/>
      <c r="R532" s="687"/>
      <c r="S532" s="687"/>
      <c r="T532" s="687"/>
      <c r="U532" s="687"/>
      <c r="V532" s="687"/>
      <c r="W532" s="687"/>
      <c r="X532" s="687"/>
      <c r="Y532" s="687"/>
      <c r="Z532" s="687"/>
    </row>
    <row r="533" customHeight="1" spans="1:26">
      <c r="A533" s="686"/>
      <c r="B533" s="686"/>
      <c r="C533" s="686"/>
      <c r="D533" s="687"/>
      <c r="E533" s="687"/>
      <c r="F533" s="687"/>
      <c r="G533" s="687"/>
      <c r="H533" s="687"/>
      <c r="I533" s="687"/>
      <c r="J533" s="687"/>
      <c r="K533" s="687"/>
      <c r="L533" s="687"/>
      <c r="M533" s="687"/>
      <c r="N533" s="687"/>
      <c r="O533" s="687"/>
      <c r="P533" s="687"/>
      <c r="Q533" s="687"/>
      <c r="R533" s="687"/>
      <c r="S533" s="687"/>
      <c r="T533" s="687"/>
      <c r="U533" s="687"/>
      <c r="V533" s="687"/>
      <c r="W533" s="687"/>
      <c r="X533" s="687"/>
      <c r="Y533" s="687"/>
      <c r="Z533" s="687"/>
    </row>
    <row r="534" customHeight="1" spans="1:26">
      <c r="A534" s="686"/>
      <c r="B534" s="686"/>
      <c r="C534" s="686"/>
      <c r="D534" s="687"/>
      <c r="E534" s="687"/>
      <c r="F534" s="687"/>
      <c r="G534" s="687"/>
      <c r="H534" s="687"/>
      <c r="I534" s="687"/>
      <c r="J534" s="687"/>
      <c r="K534" s="687"/>
      <c r="L534" s="687"/>
      <c r="M534" s="687"/>
      <c r="N534" s="687"/>
      <c r="O534" s="687"/>
      <c r="P534" s="687"/>
      <c r="Q534" s="687"/>
      <c r="R534" s="687"/>
      <c r="S534" s="687"/>
      <c r="T534" s="687"/>
      <c r="U534" s="687"/>
      <c r="V534" s="687"/>
      <c r="W534" s="687"/>
      <c r="X534" s="687"/>
      <c r="Y534" s="687"/>
      <c r="Z534" s="687"/>
    </row>
    <row r="535" customHeight="1" spans="1:26">
      <c r="A535" s="686"/>
      <c r="B535" s="686"/>
      <c r="C535" s="686"/>
      <c r="D535" s="687"/>
      <c r="E535" s="687"/>
      <c r="F535" s="687"/>
      <c r="G535" s="687"/>
      <c r="H535" s="687"/>
      <c r="I535" s="687"/>
      <c r="J535" s="687"/>
      <c r="K535" s="687"/>
      <c r="L535" s="687"/>
      <c r="M535" s="687"/>
      <c r="N535" s="687"/>
      <c r="O535" s="687"/>
      <c r="P535" s="687"/>
      <c r="Q535" s="687"/>
      <c r="R535" s="687"/>
      <c r="S535" s="687"/>
      <c r="T535" s="687"/>
      <c r="U535" s="687"/>
      <c r="V535" s="687"/>
      <c r="W535" s="687"/>
      <c r="X535" s="687"/>
      <c r="Y535" s="687"/>
      <c r="Z535" s="687"/>
    </row>
    <row r="536" customHeight="1" spans="1:26">
      <c r="A536" s="686"/>
      <c r="B536" s="686"/>
      <c r="C536" s="686"/>
      <c r="D536" s="687"/>
      <c r="E536" s="687"/>
      <c r="F536" s="687"/>
      <c r="G536" s="687"/>
      <c r="H536" s="687"/>
      <c r="I536" s="687"/>
      <c r="J536" s="687"/>
      <c r="K536" s="687"/>
      <c r="L536" s="687"/>
      <c r="M536" s="687"/>
      <c r="N536" s="687"/>
      <c r="O536" s="687"/>
      <c r="P536" s="687"/>
      <c r="Q536" s="687"/>
      <c r="R536" s="687"/>
      <c r="S536" s="687"/>
      <c r="T536" s="687"/>
      <c r="U536" s="687"/>
      <c r="V536" s="687"/>
      <c r="W536" s="687"/>
      <c r="X536" s="687"/>
      <c r="Y536" s="687"/>
      <c r="Z536" s="687"/>
    </row>
    <row r="537" customHeight="1" spans="1:26">
      <c r="A537" s="686"/>
      <c r="B537" s="686"/>
      <c r="C537" s="686"/>
      <c r="D537" s="687"/>
      <c r="E537" s="687"/>
      <c r="F537" s="687"/>
      <c r="G537" s="687"/>
      <c r="H537" s="687"/>
      <c r="I537" s="687"/>
      <c r="J537" s="687"/>
      <c r="K537" s="687"/>
      <c r="L537" s="687"/>
      <c r="M537" s="687"/>
      <c r="N537" s="687"/>
      <c r="O537" s="687"/>
      <c r="P537" s="687"/>
      <c r="Q537" s="687"/>
      <c r="R537" s="687"/>
      <c r="S537" s="687"/>
      <c r="T537" s="687"/>
      <c r="U537" s="687"/>
      <c r="V537" s="687"/>
      <c r="W537" s="687"/>
      <c r="X537" s="687"/>
      <c r="Y537" s="687"/>
      <c r="Z537" s="687"/>
    </row>
    <row r="538" customHeight="1" spans="1:26">
      <c r="A538" s="686"/>
      <c r="B538" s="686"/>
      <c r="C538" s="686"/>
      <c r="D538" s="687"/>
      <c r="E538" s="687"/>
      <c r="F538" s="687"/>
      <c r="G538" s="687"/>
      <c r="H538" s="687"/>
      <c r="I538" s="687"/>
      <c r="J538" s="687"/>
      <c r="K538" s="687"/>
      <c r="L538" s="687"/>
      <c r="M538" s="687"/>
      <c r="N538" s="687"/>
      <c r="O538" s="687"/>
      <c r="P538" s="687"/>
      <c r="Q538" s="687"/>
      <c r="R538" s="687"/>
      <c r="S538" s="687"/>
      <c r="T538" s="687"/>
      <c r="U538" s="687"/>
      <c r="V538" s="687"/>
      <c r="W538" s="687"/>
      <c r="X538" s="687"/>
      <c r="Y538" s="687"/>
      <c r="Z538" s="687"/>
    </row>
    <row r="539" customHeight="1" spans="1:26">
      <c r="A539" s="686"/>
      <c r="B539" s="686"/>
      <c r="C539" s="686"/>
      <c r="D539" s="687"/>
      <c r="E539" s="687"/>
      <c r="F539" s="687"/>
      <c r="G539" s="687"/>
      <c r="H539" s="687"/>
      <c r="I539" s="687"/>
      <c r="J539" s="687"/>
      <c r="K539" s="687"/>
      <c r="L539" s="687"/>
      <c r="M539" s="687"/>
      <c r="N539" s="687"/>
      <c r="O539" s="687"/>
      <c r="P539" s="687"/>
      <c r="Q539" s="687"/>
      <c r="R539" s="687"/>
      <c r="S539" s="687"/>
      <c r="T539" s="687"/>
      <c r="U539" s="687"/>
      <c r="V539" s="687"/>
      <c r="W539" s="687"/>
      <c r="X539" s="687"/>
      <c r="Y539" s="687"/>
      <c r="Z539" s="687"/>
    </row>
    <row r="540" customHeight="1" spans="1:26">
      <c r="A540" s="686"/>
      <c r="B540" s="686"/>
      <c r="C540" s="686"/>
      <c r="D540" s="687"/>
      <c r="E540" s="687"/>
      <c r="F540" s="687"/>
      <c r="G540" s="687"/>
      <c r="H540" s="687"/>
      <c r="I540" s="687"/>
      <c r="J540" s="687"/>
      <c r="K540" s="687"/>
      <c r="L540" s="687"/>
      <c r="M540" s="687"/>
      <c r="N540" s="687"/>
      <c r="O540" s="687"/>
      <c r="P540" s="687"/>
      <c r="Q540" s="687"/>
      <c r="R540" s="687"/>
      <c r="S540" s="687"/>
      <c r="T540" s="687"/>
      <c r="U540" s="687"/>
      <c r="V540" s="687"/>
      <c r="W540" s="687"/>
      <c r="X540" s="687"/>
      <c r="Y540" s="687"/>
      <c r="Z540" s="687"/>
    </row>
    <row r="541" customHeight="1" spans="1:26">
      <c r="A541" s="686"/>
      <c r="B541" s="686"/>
      <c r="C541" s="686"/>
      <c r="D541" s="687"/>
      <c r="E541" s="687"/>
      <c r="F541" s="687"/>
      <c r="G541" s="687"/>
      <c r="H541" s="687"/>
      <c r="I541" s="687"/>
      <c r="J541" s="687"/>
      <c r="K541" s="687"/>
      <c r="L541" s="687"/>
      <c r="M541" s="687"/>
      <c r="N541" s="687"/>
      <c r="O541" s="687"/>
      <c r="P541" s="687"/>
      <c r="Q541" s="687"/>
      <c r="R541" s="687"/>
      <c r="S541" s="687"/>
      <c r="T541" s="687"/>
      <c r="U541" s="687"/>
      <c r="V541" s="687"/>
      <c r="W541" s="687"/>
      <c r="X541" s="687"/>
      <c r="Y541" s="687"/>
      <c r="Z541" s="687"/>
    </row>
    <row r="542" customHeight="1" spans="1:26">
      <c r="A542" s="686"/>
      <c r="B542" s="686"/>
      <c r="C542" s="686"/>
      <c r="D542" s="687"/>
      <c r="E542" s="687"/>
      <c r="F542" s="687"/>
      <c r="G542" s="687"/>
      <c r="H542" s="687"/>
      <c r="I542" s="687"/>
      <c r="J542" s="687"/>
      <c r="K542" s="687"/>
      <c r="L542" s="687"/>
      <c r="M542" s="687"/>
      <c r="N542" s="687"/>
      <c r="O542" s="687"/>
      <c r="P542" s="687"/>
      <c r="Q542" s="687"/>
      <c r="R542" s="687"/>
      <c r="S542" s="687"/>
      <c r="T542" s="687"/>
      <c r="U542" s="687"/>
      <c r="V542" s="687"/>
      <c r="W542" s="687"/>
      <c r="X542" s="687"/>
      <c r="Y542" s="687"/>
      <c r="Z542" s="687"/>
    </row>
    <row r="543" customHeight="1" spans="1:26">
      <c r="A543" s="686"/>
      <c r="B543" s="686"/>
      <c r="C543" s="686"/>
      <c r="D543" s="687"/>
      <c r="E543" s="687"/>
      <c r="F543" s="687"/>
      <c r="G543" s="687"/>
      <c r="H543" s="687"/>
      <c r="I543" s="687"/>
      <c r="J543" s="687"/>
      <c r="K543" s="687"/>
      <c r="L543" s="687"/>
      <c r="M543" s="687"/>
      <c r="N543" s="687"/>
      <c r="O543" s="687"/>
      <c r="P543" s="687"/>
      <c r="Q543" s="687"/>
      <c r="R543" s="687"/>
      <c r="S543" s="687"/>
      <c r="T543" s="687"/>
      <c r="U543" s="687"/>
      <c r="V543" s="687"/>
      <c r="W543" s="687"/>
      <c r="X543" s="687"/>
      <c r="Y543" s="687"/>
      <c r="Z543" s="687"/>
    </row>
    <row r="544" customHeight="1" spans="1:26">
      <c r="A544" s="686"/>
      <c r="B544" s="686"/>
      <c r="C544" s="686"/>
      <c r="D544" s="687"/>
      <c r="E544" s="687"/>
      <c r="F544" s="687"/>
      <c r="G544" s="687"/>
      <c r="H544" s="687"/>
      <c r="I544" s="687"/>
      <c r="J544" s="687"/>
      <c r="K544" s="687"/>
      <c r="L544" s="687"/>
      <c r="M544" s="687"/>
      <c r="N544" s="687"/>
      <c r="O544" s="687"/>
      <c r="P544" s="687"/>
      <c r="Q544" s="687"/>
      <c r="R544" s="687"/>
      <c r="S544" s="687"/>
      <c r="T544" s="687"/>
      <c r="U544" s="687"/>
      <c r="V544" s="687"/>
      <c r="W544" s="687"/>
      <c r="X544" s="687"/>
      <c r="Y544" s="687"/>
      <c r="Z544" s="687"/>
    </row>
    <row r="545" customHeight="1" spans="1:26">
      <c r="A545" s="686"/>
      <c r="B545" s="686"/>
      <c r="C545" s="686"/>
      <c r="D545" s="687"/>
      <c r="E545" s="687"/>
      <c r="F545" s="687"/>
      <c r="G545" s="687"/>
      <c r="H545" s="687"/>
      <c r="I545" s="687"/>
      <c r="J545" s="687"/>
      <c r="K545" s="687"/>
      <c r="L545" s="687"/>
      <c r="M545" s="687"/>
      <c r="N545" s="687"/>
      <c r="O545" s="687"/>
      <c r="P545" s="687"/>
      <c r="Q545" s="687"/>
      <c r="R545" s="687"/>
      <c r="S545" s="687"/>
      <c r="T545" s="687"/>
      <c r="U545" s="687"/>
      <c r="V545" s="687"/>
      <c r="W545" s="687"/>
      <c r="X545" s="687"/>
      <c r="Y545" s="687"/>
      <c r="Z545" s="687"/>
    </row>
    <row r="546" customHeight="1" spans="1:26">
      <c r="A546" s="686"/>
      <c r="B546" s="686"/>
      <c r="C546" s="686"/>
      <c r="D546" s="687"/>
      <c r="E546" s="687"/>
      <c r="F546" s="687"/>
      <c r="G546" s="687"/>
      <c r="H546" s="687"/>
      <c r="I546" s="687"/>
      <c r="J546" s="687"/>
      <c r="K546" s="687"/>
      <c r="L546" s="687"/>
      <c r="M546" s="687"/>
      <c r="N546" s="687"/>
      <c r="O546" s="687"/>
      <c r="P546" s="687"/>
      <c r="Q546" s="687"/>
      <c r="R546" s="687"/>
      <c r="S546" s="687"/>
      <c r="T546" s="687"/>
      <c r="U546" s="687"/>
      <c r="V546" s="687"/>
      <c r="W546" s="687"/>
      <c r="X546" s="687"/>
      <c r="Y546" s="687"/>
      <c r="Z546" s="687"/>
    </row>
    <row r="547" customHeight="1" spans="1:26">
      <c r="A547" s="686"/>
      <c r="B547" s="686"/>
      <c r="C547" s="686"/>
      <c r="D547" s="687"/>
      <c r="E547" s="687"/>
      <c r="F547" s="687"/>
      <c r="G547" s="687"/>
      <c r="H547" s="687"/>
      <c r="I547" s="687"/>
      <c r="J547" s="687"/>
      <c r="K547" s="687"/>
      <c r="L547" s="687"/>
      <c r="M547" s="687"/>
      <c r="N547" s="687"/>
      <c r="O547" s="687"/>
      <c r="P547" s="687"/>
      <c r="Q547" s="687"/>
      <c r="R547" s="687"/>
      <c r="S547" s="687"/>
      <c r="T547" s="687"/>
      <c r="U547" s="687"/>
      <c r="V547" s="687"/>
      <c r="W547" s="687"/>
      <c r="X547" s="687"/>
      <c r="Y547" s="687"/>
      <c r="Z547" s="687"/>
    </row>
    <row r="548" customHeight="1" spans="1:26">
      <c r="A548" s="686"/>
      <c r="B548" s="686"/>
      <c r="C548" s="686"/>
      <c r="D548" s="687"/>
      <c r="E548" s="687"/>
      <c r="F548" s="687"/>
      <c r="G548" s="687"/>
      <c r="H548" s="687"/>
      <c r="I548" s="687"/>
      <c r="J548" s="687"/>
      <c r="K548" s="687"/>
      <c r="L548" s="687"/>
      <c r="M548" s="687"/>
      <c r="N548" s="687"/>
      <c r="O548" s="687"/>
      <c r="P548" s="687"/>
      <c r="Q548" s="687"/>
      <c r="R548" s="687"/>
      <c r="S548" s="687"/>
      <c r="T548" s="687"/>
      <c r="U548" s="687"/>
      <c r="V548" s="687"/>
      <c r="W548" s="687"/>
      <c r="X548" s="687"/>
      <c r="Y548" s="687"/>
      <c r="Z548" s="687"/>
    </row>
    <row r="549" customHeight="1" spans="1:26">
      <c r="A549" s="686"/>
      <c r="B549" s="686"/>
      <c r="C549" s="686"/>
      <c r="D549" s="687"/>
      <c r="E549" s="687"/>
      <c r="F549" s="687"/>
      <c r="G549" s="687"/>
      <c r="H549" s="687"/>
      <c r="I549" s="687"/>
      <c r="J549" s="687"/>
      <c r="K549" s="687"/>
      <c r="L549" s="687"/>
      <c r="M549" s="687"/>
      <c r="N549" s="687"/>
      <c r="O549" s="687"/>
      <c r="P549" s="687"/>
      <c r="Q549" s="687"/>
      <c r="R549" s="687"/>
      <c r="S549" s="687"/>
      <c r="T549" s="687"/>
      <c r="U549" s="687"/>
      <c r="V549" s="687"/>
      <c r="W549" s="687"/>
      <c r="X549" s="687"/>
      <c r="Y549" s="687"/>
      <c r="Z549" s="687"/>
    </row>
    <row r="550" customHeight="1" spans="1:26">
      <c r="A550" s="686"/>
      <c r="B550" s="686"/>
      <c r="C550" s="686"/>
      <c r="D550" s="687"/>
      <c r="E550" s="687"/>
      <c r="F550" s="687"/>
      <c r="G550" s="687"/>
      <c r="H550" s="687"/>
      <c r="I550" s="687"/>
      <c r="J550" s="687"/>
      <c r="K550" s="687"/>
      <c r="L550" s="687"/>
      <c r="M550" s="687"/>
      <c r="N550" s="687"/>
      <c r="O550" s="687"/>
      <c r="P550" s="687"/>
      <c r="Q550" s="687"/>
      <c r="R550" s="687"/>
      <c r="S550" s="687"/>
      <c r="T550" s="687"/>
      <c r="U550" s="687"/>
      <c r="V550" s="687"/>
      <c r="W550" s="687"/>
      <c r="X550" s="687"/>
      <c r="Y550" s="687"/>
      <c r="Z550" s="687"/>
    </row>
    <row r="551" customHeight="1" spans="1:26">
      <c r="A551" s="686"/>
      <c r="B551" s="686"/>
      <c r="C551" s="686"/>
      <c r="D551" s="687"/>
      <c r="E551" s="687"/>
      <c r="F551" s="687"/>
      <c r="G551" s="687"/>
      <c r="H551" s="687"/>
      <c r="I551" s="687"/>
      <c r="J551" s="687"/>
      <c r="K551" s="687"/>
      <c r="L551" s="687"/>
      <c r="M551" s="687"/>
      <c r="N551" s="687"/>
      <c r="O551" s="687"/>
      <c r="P551" s="687"/>
      <c r="Q551" s="687"/>
      <c r="R551" s="687"/>
      <c r="S551" s="687"/>
      <c r="T551" s="687"/>
      <c r="U551" s="687"/>
      <c r="V551" s="687"/>
      <c r="W551" s="687"/>
      <c r="X551" s="687"/>
      <c r="Y551" s="687"/>
      <c r="Z551" s="687"/>
    </row>
    <row r="552" customHeight="1" spans="1:26">
      <c r="A552" s="686"/>
      <c r="B552" s="686"/>
      <c r="C552" s="686"/>
      <c r="D552" s="687"/>
      <c r="E552" s="687"/>
      <c r="F552" s="687"/>
      <c r="G552" s="687"/>
      <c r="H552" s="687"/>
      <c r="I552" s="687"/>
      <c r="J552" s="687"/>
      <c r="K552" s="687"/>
      <c r="L552" s="687"/>
      <c r="M552" s="687"/>
      <c r="N552" s="687"/>
      <c r="O552" s="687"/>
      <c r="P552" s="687"/>
      <c r="Q552" s="687"/>
      <c r="R552" s="687"/>
      <c r="S552" s="687"/>
      <c r="T552" s="687"/>
      <c r="U552" s="687"/>
      <c r="V552" s="687"/>
      <c r="W552" s="687"/>
      <c r="X552" s="687"/>
      <c r="Y552" s="687"/>
      <c r="Z552" s="687"/>
    </row>
    <row r="553" customHeight="1" spans="1:26">
      <c r="A553" s="686"/>
      <c r="B553" s="686"/>
      <c r="C553" s="686"/>
      <c r="D553" s="687"/>
      <c r="E553" s="687"/>
      <c r="F553" s="687"/>
      <c r="G553" s="687"/>
      <c r="H553" s="687"/>
      <c r="I553" s="687"/>
      <c r="J553" s="687"/>
      <c r="K553" s="687"/>
      <c r="L553" s="687"/>
      <c r="M553" s="687"/>
      <c r="N553" s="687"/>
      <c r="O553" s="687"/>
      <c r="P553" s="687"/>
      <c r="Q553" s="687"/>
      <c r="R553" s="687"/>
      <c r="S553" s="687"/>
      <c r="T553" s="687"/>
      <c r="U553" s="687"/>
      <c r="V553" s="687"/>
      <c r="W553" s="687"/>
      <c r="X553" s="687"/>
      <c r="Y553" s="687"/>
      <c r="Z553" s="687"/>
    </row>
    <row r="554" customHeight="1" spans="1:26">
      <c r="A554" s="686"/>
      <c r="B554" s="686"/>
      <c r="C554" s="686"/>
      <c r="D554" s="687"/>
      <c r="E554" s="687"/>
      <c r="F554" s="687"/>
      <c r="G554" s="687"/>
      <c r="H554" s="687"/>
      <c r="I554" s="687"/>
      <c r="J554" s="687"/>
      <c r="K554" s="687"/>
      <c r="L554" s="687"/>
      <c r="M554" s="687"/>
      <c r="N554" s="687"/>
      <c r="O554" s="687"/>
      <c r="P554" s="687"/>
      <c r="Q554" s="687"/>
      <c r="R554" s="687"/>
      <c r="S554" s="687"/>
      <c r="T554" s="687"/>
      <c r="U554" s="687"/>
      <c r="V554" s="687"/>
      <c r="W554" s="687"/>
      <c r="X554" s="687"/>
      <c r="Y554" s="687"/>
      <c r="Z554" s="687"/>
    </row>
    <row r="555" customHeight="1" spans="1:26">
      <c r="A555" s="686"/>
      <c r="B555" s="686"/>
      <c r="C555" s="686"/>
      <c r="D555" s="687"/>
      <c r="E555" s="687"/>
      <c r="F555" s="687"/>
      <c r="G555" s="687"/>
      <c r="H555" s="687"/>
      <c r="I555" s="687"/>
      <c r="J555" s="687"/>
      <c r="K555" s="687"/>
      <c r="L555" s="687"/>
      <c r="M555" s="687"/>
      <c r="N555" s="687"/>
      <c r="O555" s="687"/>
      <c r="P555" s="687"/>
      <c r="Q555" s="687"/>
      <c r="R555" s="687"/>
      <c r="S555" s="687"/>
      <c r="T555" s="687"/>
      <c r="U555" s="687"/>
      <c r="V555" s="687"/>
      <c r="W555" s="687"/>
      <c r="X555" s="687"/>
      <c r="Y555" s="687"/>
      <c r="Z555" s="687"/>
    </row>
    <row r="556" customHeight="1" spans="1:26">
      <c r="A556" s="686"/>
      <c r="B556" s="686"/>
      <c r="C556" s="686"/>
      <c r="D556" s="687"/>
      <c r="E556" s="687"/>
      <c r="F556" s="687"/>
      <c r="G556" s="687"/>
      <c r="H556" s="687"/>
      <c r="I556" s="687"/>
      <c r="J556" s="687"/>
      <c r="K556" s="687"/>
      <c r="L556" s="687"/>
      <c r="M556" s="687"/>
      <c r="N556" s="687"/>
      <c r="O556" s="687"/>
      <c r="P556" s="687"/>
      <c r="Q556" s="687"/>
      <c r="R556" s="687"/>
      <c r="S556" s="687"/>
      <c r="T556" s="687"/>
      <c r="U556" s="687"/>
      <c r="V556" s="687"/>
      <c r="W556" s="687"/>
      <c r="X556" s="687"/>
      <c r="Y556" s="687"/>
      <c r="Z556" s="687"/>
    </row>
    <row r="557" customHeight="1" spans="1:26">
      <c r="A557" s="686"/>
      <c r="B557" s="686"/>
      <c r="C557" s="686"/>
      <c r="D557" s="687"/>
      <c r="E557" s="687"/>
      <c r="F557" s="687"/>
      <c r="G557" s="687"/>
      <c r="H557" s="687"/>
      <c r="I557" s="687"/>
      <c r="J557" s="687"/>
      <c r="K557" s="687"/>
      <c r="L557" s="687"/>
      <c r="M557" s="687"/>
      <c r="N557" s="687"/>
      <c r="O557" s="687"/>
      <c r="P557" s="687"/>
      <c r="Q557" s="687"/>
      <c r="R557" s="687"/>
      <c r="S557" s="687"/>
      <c r="T557" s="687"/>
      <c r="U557" s="687"/>
      <c r="V557" s="687"/>
      <c r="W557" s="687"/>
      <c r="X557" s="687"/>
      <c r="Y557" s="687"/>
      <c r="Z557" s="687"/>
    </row>
    <row r="558" customHeight="1" spans="1:26">
      <c r="A558" s="686"/>
      <c r="B558" s="686"/>
      <c r="C558" s="686"/>
      <c r="D558" s="687"/>
      <c r="E558" s="687"/>
      <c r="F558" s="687"/>
      <c r="G558" s="687"/>
      <c r="H558" s="687"/>
      <c r="I558" s="687"/>
      <c r="J558" s="687"/>
      <c r="K558" s="687"/>
      <c r="L558" s="687"/>
      <c r="M558" s="687"/>
      <c r="N558" s="687"/>
      <c r="O558" s="687"/>
      <c r="P558" s="687"/>
      <c r="Q558" s="687"/>
      <c r="R558" s="687"/>
      <c r="S558" s="687"/>
      <c r="T558" s="687"/>
      <c r="U558" s="687"/>
      <c r="V558" s="687"/>
      <c r="W558" s="687"/>
      <c r="X558" s="687"/>
      <c r="Y558" s="687"/>
      <c r="Z558" s="687"/>
    </row>
    <row r="559" customHeight="1" spans="1:26">
      <c r="A559" s="686"/>
      <c r="B559" s="686"/>
      <c r="C559" s="686"/>
      <c r="D559" s="687"/>
      <c r="E559" s="687"/>
      <c r="F559" s="687"/>
      <c r="G559" s="687"/>
      <c r="H559" s="687"/>
      <c r="I559" s="687"/>
      <c r="J559" s="687"/>
      <c r="K559" s="687"/>
      <c r="L559" s="687"/>
      <c r="M559" s="687"/>
      <c r="N559" s="687"/>
      <c r="O559" s="687"/>
      <c r="P559" s="687"/>
      <c r="Q559" s="687"/>
      <c r="R559" s="687"/>
      <c r="S559" s="687"/>
      <c r="T559" s="687"/>
      <c r="U559" s="687"/>
      <c r="V559" s="687"/>
      <c r="W559" s="687"/>
      <c r="X559" s="687"/>
      <c r="Y559" s="687"/>
      <c r="Z559" s="687"/>
    </row>
    <row r="560" customHeight="1" spans="1:26">
      <c r="A560" s="686"/>
      <c r="B560" s="686"/>
      <c r="C560" s="686"/>
      <c r="D560" s="687"/>
      <c r="E560" s="687"/>
      <c r="F560" s="687"/>
      <c r="G560" s="687"/>
      <c r="H560" s="687"/>
      <c r="I560" s="687"/>
      <c r="J560" s="687"/>
      <c r="K560" s="687"/>
      <c r="L560" s="687"/>
      <c r="M560" s="687"/>
      <c r="N560" s="687"/>
      <c r="O560" s="687"/>
      <c r="P560" s="687"/>
      <c r="Q560" s="687"/>
      <c r="R560" s="687"/>
      <c r="S560" s="687"/>
      <c r="T560" s="687"/>
      <c r="U560" s="687"/>
      <c r="V560" s="687"/>
      <c r="W560" s="687"/>
      <c r="X560" s="687"/>
      <c r="Y560" s="687"/>
      <c r="Z560" s="687"/>
    </row>
    <row r="561" customHeight="1" spans="1:26">
      <c r="A561" s="686"/>
      <c r="B561" s="686"/>
      <c r="C561" s="686"/>
      <c r="D561" s="687"/>
      <c r="E561" s="687"/>
      <c r="F561" s="687"/>
      <c r="G561" s="687"/>
      <c r="H561" s="687"/>
      <c r="I561" s="687"/>
      <c r="J561" s="687"/>
      <c r="K561" s="687"/>
      <c r="L561" s="687"/>
      <c r="M561" s="687"/>
      <c r="N561" s="687"/>
      <c r="O561" s="687"/>
      <c r="P561" s="687"/>
      <c r="Q561" s="687"/>
      <c r="R561" s="687"/>
      <c r="S561" s="687"/>
      <c r="T561" s="687"/>
      <c r="U561" s="687"/>
      <c r="V561" s="687"/>
      <c r="W561" s="687"/>
      <c r="X561" s="687"/>
      <c r="Y561" s="687"/>
      <c r="Z561" s="687"/>
    </row>
    <row r="562" customHeight="1" spans="1:26">
      <c r="A562" s="686"/>
      <c r="B562" s="686"/>
      <c r="C562" s="686"/>
      <c r="D562" s="687"/>
      <c r="E562" s="687"/>
      <c r="F562" s="687"/>
      <c r="G562" s="687"/>
      <c r="H562" s="687"/>
      <c r="I562" s="687"/>
      <c r="J562" s="687"/>
      <c r="K562" s="687"/>
      <c r="L562" s="687"/>
      <c r="M562" s="687"/>
      <c r="N562" s="687"/>
      <c r="O562" s="687"/>
      <c r="P562" s="687"/>
      <c r="Q562" s="687"/>
      <c r="R562" s="687"/>
      <c r="S562" s="687"/>
      <c r="T562" s="687"/>
      <c r="U562" s="687"/>
      <c r="V562" s="687"/>
      <c r="W562" s="687"/>
      <c r="X562" s="687"/>
      <c r="Y562" s="687"/>
      <c r="Z562" s="687"/>
    </row>
    <row r="563" customHeight="1" spans="1:26">
      <c r="A563" s="686"/>
      <c r="B563" s="686"/>
      <c r="C563" s="686"/>
      <c r="D563" s="687"/>
      <c r="E563" s="687"/>
      <c r="F563" s="687"/>
      <c r="G563" s="687"/>
      <c r="H563" s="687"/>
      <c r="I563" s="687"/>
      <c r="J563" s="687"/>
      <c r="K563" s="687"/>
      <c r="L563" s="687"/>
      <c r="M563" s="687"/>
      <c r="N563" s="687"/>
      <c r="O563" s="687"/>
      <c r="P563" s="687"/>
      <c r="Q563" s="687"/>
      <c r="R563" s="687"/>
      <c r="S563" s="687"/>
      <c r="T563" s="687"/>
      <c r="U563" s="687"/>
      <c r="V563" s="687"/>
      <c r="W563" s="687"/>
      <c r="X563" s="687"/>
      <c r="Y563" s="687"/>
      <c r="Z563" s="687"/>
    </row>
    <row r="564" customHeight="1" spans="1:26">
      <c r="A564" s="686"/>
      <c r="B564" s="686"/>
      <c r="C564" s="686"/>
      <c r="D564" s="687"/>
      <c r="E564" s="687"/>
      <c r="F564" s="687"/>
      <c r="G564" s="687"/>
      <c r="H564" s="687"/>
      <c r="I564" s="687"/>
      <c r="J564" s="687"/>
      <c r="K564" s="687"/>
      <c r="L564" s="687"/>
      <c r="M564" s="687"/>
      <c r="N564" s="687"/>
      <c r="O564" s="687"/>
      <c r="P564" s="687"/>
      <c r="Q564" s="687"/>
      <c r="R564" s="687"/>
      <c r="S564" s="687"/>
      <c r="T564" s="687"/>
      <c r="U564" s="687"/>
      <c r="V564" s="687"/>
      <c r="W564" s="687"/>
      <c r="X564" s="687"/>
      <c r="Y564" s="687"/>
      <c r="Z564" s="687"/>
    </row>
    <row r="565" customHeight="1" spans="1:26">
      <c r="A565" s="686"/>
      <c r="B565" s="686"/>
      <c r="C565" s="686"/>
      <c r="D565" s="687"/>
      <c r="E565" s="687"/>
      <c r="F565" s="687"/>
      <c r="G565" s="687"/>
      <c r="H565" s="687"/>
      <c r="I565" s="687"/>
      <c r="J565" s="687"/>
      <c r="K565" s="687"/>
      <c r="L565" s="687"/>
      <c r="M565" s="687"/>
      <c r="N565" s="687"/>
      <c r="O565" s="687"/>
      <c r="P565" s="687"/>
      <c r="Q565" s="687"/>
      <c r="R565" s="687"/>
      <c r="S565" s="687"/>
      <c r="T565" s="687"/>
      <c r="U565" s="687"/>
      <c r="V565" s="687"/>
      <c r="W565" s="687"/>
      <c r="X565" s="687"/>
      <c r="Y565" s="687"/>
      <c r="Z565" s="687"/>
    </row>
    <row r="566" customHeight="1" spans="1:26">
      <c r="A566" s="686"/>
      <c r="B566" s="686"/>
      <c r="C566" s="686"/>
      <c r="D566" s="687"/>
      <c r="E566" s="687"/>
      <c r="F566" s="687"/>
      <c r="G566" s="687"/>
      <c r="H566" s="687"/>
      <c r="I566" s="687"/>
      <c r="J566" s="687"/>
      <c r="K566" s="687"/>
      <c r="L566" s="687"/>
      <c r="M566" s="687"/>
      <c r="N566" s="687"/>
      <c r="O566" s="687"/>
      <c r="P566" s="687"/>
      <c r="Q566" s="687"/>
      <c r="R566" s="687"/>
      <c r="S566" s="687"/>
      <c r="T566" s="687"/>
      <c r="U566" s="687"/>
      <c r="V566" s="687"/>
      <c r="W566" s="687"/>
      <c r="X566" s="687"/>
      <c r="Y566" s="687"/>
      <c r="Z566" s="687"/>
    </row>
    <row r="567" customHeight="1" spans="1:26">
      <c r="A567" s="686"/>
      <c r="B567" s="686"/>
      <c r="C567" s="686"/>
      <c r="D567" s="687"/>
      <c r="E567" s="687"/>
      <c r="F567" s="687"/>
      <c r="G567" s="687"/>
      <c r="H567" s="687"/>
      <c r="I567" s="687"/>
      <c r="J567" s="687"/>
      <c r="K567" s="687"/>
      <c r="L567" s="687"/>
      <c r="M567" s="687"/>
      <c r="N567" s="687"/>
      <c r="O567" s="687"/>
      <c r="P567" s="687"/>
      <c r="Q567" s="687"/>
      <c r="R567" s="687"/>
      <c r="S567" s="687"/>
      <c r="T567" s="687"/>
      <c r="U567" s="687"/>
      <c r="V567" s="687"/>
      <c r="W567" s="687"/>
      <c r="X567" s="687"/>
      <c r="Y567" s="687"/>
      <c r="Z567" s="687"/>
    </row>
    <row r="568" customHeight="1" spans="1:26">
      <c r="A568" s="686"/>
      <c r="B568" s="686"/>
      <c r="C568" s="686"/>
      <c r="D568" s="687"/>
      <c r="E568" s="687"/>
      <c r="F568" s="687"/>
      <c r="G568" s="687"/>
      <c r="H568" s="687"/>
      <c r="I568" s="687"/>
      <c r="J568" s="687"/>
      <c r="K568" s="687"/>
      <c r="L568" s="687"/>
      <c r="M568" s="687"/>
      <c r="N568" s="687"/>
      <c r="O568" s="687"/>
      <c r="P568" s="687"/>
      <c r="Q568" s="687"/>
      <c r="R568" s="687"/>
      <c r="S568" s="687"/>
      <c r="T568" s="687"/>
      <c r="U568" s="687"/>
      <c r="V568" s="687"/>
      <c r="W568" s="687"/>
      <c r="X568" s="687"/>
      <c r="Y568" s="687"/>
      <c r="Z568" s="687"/>
    </row>
    <row r="569" customHeight="1" spans="1:26">
      <c r="A569" s="686"/>
      <c r="B569" s="686"/>
      <c r="C569" s="686"/>
      <c r="D569" s="687"/>
      <c r="E569" s="687"/>
      <c r="F569" s="687"/>
      <c r="G569" s="687"/>
      <c r="H569" s="687"/>
      <c r="I569" s="687"/>
      <c r="J569" s="687"/>
      <c r="K569" s="687"/>
      <c r="L569" s="687"/>
      <c r="M569" s="687"/>
      <c r="N569" s="687"/>
      <c r="O569" s="687"/>
      <c r="P569" s="687"/>
      <c r="Q569" s="687"/>
      <c r="R569" s="687"/>
      <c r="S569" s="687"/>
      <c r="T569" s="687"/>
      <c r="U569" s="687"/>
      <c r="V569" s="687"/>
      <c r="W569" s="687"/>
      <c r="X569" s="687"/>
      <c r="Y569" s="687"/>
      <c r="Z569" s="687"/>
    </row>
    <row r="570" customHeight="1" spans="1:26">
      <c r="A570" s="686"/>
      <c r="B570" s="686"/>
      <c r="C570" s="686"/>
      <c r="D570" s="687"/>
      <c r="E570" s="687"/>
      <c r="F570" s="687"/>
      <c r="G570" s="687"/>
      <c r="H570" s="687"/>
      <c r="I570" s="687"/>
      <c r="J570" s="687"/>
      <c r="K570" s="687"/>
      <c r="L570" s="687"/>
      <c r="M570" s="687"/>
      <c r="N570" s="687"/>
      <c r="O570" s="687"/>
      <c r="P570" s="687"/>
      <c r="Q570" s="687"/>
      <c r="R570" s="687"/>
      <c r="S570" s="687"/>
      <c r="T570" s="687"/>
      <c r="U570" s="687"/>
      <c r="V570" s="687"/>
      <c r="W570" s="687"/>
      <c r="X570" s="687"/>
      <c r="Y570" s="687"/>
      <c r="Z570" s="687"/>
    </row>
    <row r="571" customHeight="1" spans="1:26">
      <c r="A571" s="686"/>
      <c r="B571" s="686"/>
      <c r="C571" s="686"/>
      <c r="D571" s="687"/>
      <c r="E571" s="687"/>
      <c r="F571" s="687"/>
      <c r="G571" s="687"/>
      <c r="H571" s="687"/>
      <c r="I571" s="687"/>
      <c r="J571" s="687"/>
      <c r="K571" s="687"/>
      <c r="L571" s="687"/>
      <c r="M571" s="687"/>
      <c r="N571" s="687"/>
      <c r="O571" s="687"/>
      <c r="P571" s="687"/>
      <c r="Q571" s="687"/>
      <c r="R571" s="687"/>
      <c r="S571" s="687"/>
      <c r="T571" s="687"/>
      <c r="U571" s="687"/>
      <c r="V571" s="687"/>
      <c r="W571" s="687"/>
      <c r="X571" s="687"/>
      <c r="Y571" s="687"/>
      <c r="Z571" s="687"/>
    </row>
    <row r="572" customHeight="1" spans="1:26">
      <c r="A572" s="686"/>
      <c r="B572" s="686"/>
      <c r="C572" s="686"/>
      <c r="D572" s="687"/>
      <c r="E572" s="687"/>
      <c r="F572" s="687"/>
      <c r="G572" s="687"/>
      <c r="H572" s="687"/>
      <c r="I572" s="687"/>
      <c r="J572" s="687"/>
      <c r="K572" s="687"/>
      <c r="L572" s="687"/>
      <c r="M572" s="687"/>
      <c r="N572" s="687"/>
      <c r="O572" s="687"/>
      <c r="P572" s="687"/>
      <c r="Q572" s="687"/>
      <c r="R572" s="687"/>
      <c r="S572" s="687"/>
      <c r="T572" s="687"/>
      <c r="U572" s="687"/>
      <c r="V572" s="687"/>
      <c r="W572" s="687"/>
      <c r="X572" s="687"/>
      <c r="Y572" s="687"/>
      <c r="Z572" s="687"/>
    </row>
    <row r="573" customHeight="1" spans="1:26">
      <c r="A573" s="686"/>
      <c r="B573" s="686"/>
      <c r="C573" s="686"/>
      <c r="D573" s="687"/>
      <c r="E573" s="687"/>
      <c r="F573" s="687"/>
      <c r="G573" s="687"/>
      <c r="H573" s="687"/>
      <c r="I573" s="687"/>
      <c r="J573" s="687"/>
      <c r="K573" s="687"/>
      <c r="L573" s="687"/>
      <c r="M573" s="687"/>
      <c r="N573" s="687"/>
      <c r="O573" s="687"/>
      <c r="P573" s="687"/>
      <c r="Q573" s="687"/>
      <c r="R573" s="687"/>
      <c r="S573" s="687"/>
      <c r="T573" s="687"/>
      <c r="U573" s="687"/>
      <c r="V573" s="687"/>
      <c r="W573" s="687"/>
      <c r="X573" s="687"/>
      <c r="Y573" s="687"/>
      <c r="Z573" s="687"/>
    </row>
    <row r="574" customHeight="1" spans="1:26">
      <c r="A574" s="686"/>
      <c r="B574" s="686"/>
      <c r="C574" s="686"/>
      <c r="D574" s="687"/>
      <c r="E574" s="687"/>
      <c r="F574" s="687"/>
      <c r="G574" s="687"/>
      <c r="H574" s="687"/>
      <c r="I574" s="687"/>
      <c r="J574" s="687"/>
      <c r="K574" s="687"/>
      <c r="L574" s="687"/>
      <c r="M574" s="687"/>
      <c r="N574" s="687"/>
      <c r="O574" s="687"/>
      <c r="P574" s="687"/>
      <c r="Q574" s="687"/>
      <c r="R574" s="687"/>
      <c r="S574" s="687"/>
      <c r="T574" s="687"/>
      <c r="U574" s="687"/>
      <c r="V574" s="687"/>
      <c r="W574" s="687"/>
      <c r="X574" s="687"/>
      <c r="Y574" s="687"/>
      <c r="Z574" s="687"/>
    </row>
    <row r="575" customHeight="1" spans="1:26">
      <c r="A575" s="686"/>
      <c r="B575" s="686"/>
      <c r="C575" s="686"/>
      <c r="D575" s="687"/>
      <c r="E575" s="687"/>
      <c r="F575" s="687"/>
      <c r="G575" s="687"/>
      <c r="H575" s="687"/>
      <c r="I575" s="687"/>
      <c r="J575" s="687"/>
      <c r="K575" s="687"/>
      <c r="L575" s="687"/>
      <c r="M575" s="687"/>
      <c r="N575" s="687"/>
      <c r="O575" s="687"/>
      <c r="P575" s="687"/>
      <c r="Q575" s="687"/>
      <c r="R575" s="687"/>
      <c r="S575" s="687"/>
      <c r="T575" s="687"/>
      <c r="U575" s="687"/>
      <c r="V575" s="687"/>
      <c r="W575" s="687"/>
      <c r="X575" s="687"/>
      <c r="Y575" s="687"/>
      <c r="Z575" s="687"/>
    </row>
    <row r="576" customHeight="1" spans="1:26">
      <c r="A576" s="686"/>
      <c r="B576" s="686"/>
      <c r="C576" s="686"/>
      <c r="D576" s="687"/>
      <c r="E576" s="687"/>
      <c r="F576" s="687"/>
      <c r="G576" s="687"/>
      <c r="H576" s="687"/>
      <c r="I576" s="687"/>
      <c r="J576" s="687"/>
      <c r="K576" s="687"/>
      <c r="L576" s="687"/>
      <c r="M576" s="687"/>
      <c r="N576" s="687"/>
      <c r="O576" s="687"/>
      <c r="P576" s="687"/>
      <c r="Q576" s="687"/>
      <c r="R576" s="687"/>
      <c r="S576" s="687"/>
      <c r="T576" s="687"/>
      <c r="U576" s="687"/>
      <c r="V576" s="687"/>
      <c r="W576" s="687"/>
      <c r="X576" s="687"/>
      <c r="Y576" s="687"/>
      <c r="Z576" s="687"/>
    </row>
    <row r="577" customHeight="1" spans="1:26">
      <c r="A577" s="686"/>
      <c r="B577" s="686"/>
      <c r="C577" s="686"/>
      <c r="D577" s="687"/>
      <c r="E577" s="687"/>
      <c r="F577" s="687"/>
      <c r="G577" s="687"/>
      <c r="H577" s="687"/>
      <c r="I577" s="687"/>
      <c r="J577" s="687"/>
      <c r="K577" s="687"/>
      <c r="L577" s="687"/>
      <c r="M577" s="687"/>
      <c r="N577" s="687"/>
      <c r="O577" s="687"/>
      <c r="P577" s="687"/>
      <c r="Q577" s="687"/>
      <c r="R577" s="687"/>
      <c r="S577" s="687"/>
      <c r="T577" s="687"/>
      <c r="U577" s="687"/>
      <c r="V577" s="687"/>
      <c r="W577" s="687"/>
      <c r="X577" s="687"/>
      <c r="Y577" s="687"/>
      <c r="Z577" s="687"/>
    </row>
    <row r="578" customHeight="1" spans="1:26">
      <c r="A578" s="686"/>
      <c r="B578" s="686"/>
      <c r="C578" s="686"/>
      <c r="D578" s="687"/>
      <c r="E578" s="687"/>
      <c r="F578" s="687"/>
      <c r="G578" s="687"/>
      <c r="H578" s="687"/>
      <c r="I578" s="687"/>
      <c r="J578" s="687"/>
      <c r="K578" s="687"/>
      <c r="L578" s="687"/>
      <c r="M578" s="687"/>
      <c r="N578" s="687"/>
      <c r="O578" s="687"/>
      <c r="P578" s="687"/>
      <c r="Q578" s="687"/>
      <c r="R578" s="687"/>
      <c r="S578" s="687"/>
      <c r="T578" s="687"/>
      <c r="U578" s="687"/>
      <c r="V578" s="687"/>
      <c r="W578" s="687"/>
      <c r="X578" s="687"/>
      <c r="Y578" s="687"/>
      <c r="Z578" s="687"/>
    </row>
    <row r="579" customHeight="1" spans="1:26">
      <c r="A579" s="686"/>
      <c r="B579" s="686"/>
      <c r="C579" s="686"/>
      <c r="D579" s="687"/>
      <c r="E579" s="687"/>
      <c r="F579" s="687"/>
      <c r="G579" s="687"/>
      <c r="H579" s="687"/>
      <c r="I579" s="687"/>
      <c r="J579" s="687"/>
      <c r="K579" s="687"/>
      <c r="L579" s="687"/>
      <c r="M579" s="687"/>
      <c r="N579" s="687"/>
      <c r="O579" s="687"/>
      <c r="P579" s="687"/>
      <c r="Q579" s="687"/>
      <c r="R579" s="687"/>
      <c r="S579" s="687"/>
      <c r="T579" s="687"/>
      <c r="U579" s="687"/>
      <c r="V579" s="687"/>
      <c r="W579" s="687"/>
      <c r="X579" s="687"/>
      <c r="Y579" s="687"/>
      <c r="Z579" s="687"/>
    </row>
    <row r="580" customHeight="1" spans="1:26">
      <c r="A580" s="686"/>
      <c r="B580" s="686"/>
      <c r="C580" s="686"/>
      <c r="D580" s="687"/>
      <c r="E580" s="687"/>
      <c r="F580" s="687"/>
      <c r="G580" s="687"/>
      <c r="H580" s="687"/>
      <c r="I580" s="687"/>
      <c r="J580" s="687"/>
      <c r="K580" s="687"/>
      <c r="L580" s="687"/>
      <c r="M580" s="687"/>
      <c r="N580" s="687"/>
      <c r="O580" s="687"/>
      <c r="P580" s="687"/>
      <c r="Q580" s="687"/>
      <c r="R580" s="687"/>
      <c r="S580" s="687"/>
      <c r="T580" s="687"/>
      <c r="U580" s="687"/>
      <c r="V580" s="687"/>
      <c r="W580" s="687"/>
      <c r="X580" s="687"/>
      <c r="Y580" s="687"/>
      <c r="Z580" s="687"/>
    </row>
    <row r="581" customHeight="1" spans="1:26">
      <c r="A581" s="686"/>
      <c r="B581" s="686"/>
      <c r="C581" s="686"/>
      <c r="D581" s="687"/>
      <c r="E581" s="687"/>
      <c r="F581" s="687"/>
      <c r="G581" s="687"/>
      <c r="H581" s="687"/>
      <c r="I581" s="687"/>
      <c r="J581" s="687"/>
      <c r="K581" s="687"/>
      <c r="L581" s="687"/>
      <c r="M581" s="687"/>
      <c r="N581" s="687"/>
      <c r="O581" s="687"/>
      <c r="P581" s="687"/>
      <c r="Q581" s="687"/>
      <c r="R581" s="687"/>
      <c r="S581" s="687"/>
      <c r="T581" s="687"/>
      <c r="U581" s="687"/>
      <c r="V581" s="687"/>
      <c r="W581" s="687"/>
      <c r="X581" s="687"/>
      <c r="Y581" s="687"/>
      <c r="Z581" s="687"/>
    </row>
    <row r="582" customHeight="1" spans="1:26">
      <c r="A582" s="686"/>
      <c r="B582" s="686"/>
      <c r="C582" s="686"/>
      <c r="D582" s="687"/>
      <c r="E582" s="687"/>
      <c r="F582" s="687"/>
      <c r="G582" s="687"/>
      <c r="H582" s="687"/>
      <c r="I582" s="687"/>
      <c r="J582" s="687"/>
      <c r="K582" s="687"/>
      <c r="L582" s="687"/>
      <c r="M582" s="687"/>
      <c r="N582" s="687"/>
      <c r="O582" s="687"/>
      <c r="P582" s="687"/>
      <c r="Q582" s="687"/>
      <c r="R582" s="687"/>
      <c r="S582" s="687"/>
      <c r="T582" s="687"/>
      <c r="U582" s="687"/>
      <c r="V582" s="687"/>
      <c r="W582" s="687"/>
      <c r="X582" s="687"/>
      <c r="Y582" s="687"/>
      <c r="Z582" s="687"/>
    </row>
    <row r="583" customHeight="1" spans="1:26">
      <c r="A583" s="686"/>
      <c r="B583" s="686"/>
      <c r="C583" s="686"/>
      <c r="D583" s="687"/>
      <c r="E583" s="687"/>
      <c r="F583" s="687"/>
      <c r="G583" s="687"/>
      <c r="H583" s="687"/>
      <c r="I583" s="687"/>
      <c r="J583" s="687"/>
      <c r="K583" s="687"/>
      <c r="L583" s="687"/>
      <c r="M583" s="687"/>
      <c r="N583" s="687"/>
      <c r="O583" s="687"/>
      <c r="P583" s="687"/>
      <c r="Q583" s="687"/>
      <c r="R583" s="687"/>
      <c r="S583" s="687"/>
      <c r="T583" s="687"/>
      <c r="U583" s="687"/>
      <c r="V583" s="687"/>
      <c r="W583" s="687"/>
      <c r="X583" s="687"/>
      <c r="Y583" s="687"/>
      <c r="Z583" s="687"/>
    </row>
    <row r="584" customHeight="1" spans="1:26">
      <c r="A584" s="686"/>
      <c r="B584" s="686"/>
      <c r="C584" s="686"/>
      <c r="D584" s="687"/>
      <c r="E584" s="687"/>
      <c r="F584" s="687"/>
      <c r="G584" s="687"/>
      <c r="H584" s="687"/>
      <c r="I584" s="687"/>
      <c r="J584" s="687"/>
      <c r="K584" s="687"/>
      <c r="L584" s="687"/>
      <c r="M584" s="687"/>
      <c r="N584" s="687"/>
      <c r="O584" s="687"/>
      <c r="P584" s="687"/>
      <c r="Q584" s="687"/>
      <c r="R584" s="687"/>
      <c r="S584" s="687"/>
      <c r="T584" s="687"/>
      <c r="U584" s="687"/>
      <c r="V584" s="687"/>
      <c r="W584" s="687"/>
      <c r="X584" s="687"/>
      <c r="Y584" s="687"/>
      <c r="Z584" s="687"/>
    </row>
    <row r="585" customHeight="1" spans="1:26">
      <c r="A585" s="686"/>
      <c r="B585" s="686"/>
      <c r="C585" s="686"/>
      <c r="D585" s="687"/>
      <c r="E585" s="687"/>
      <c r="F585" s="687"/>
      <c r="G585" s="687"/>
      <c r="H585" s="687"/>
      <c r="I585" s="687"/>
      <c r="J585" s="687"/>
      <c r="K585" s="687"/>
      <c r="L585" s="687"/>
      <c r="M585" s="687"/>
      <c r="N585" s="687"/>
      <c r="O585" s="687"/>
      <c r="P585" s="687"/>
      <c r="Q585" s="687"/>
      <c r="R585" s="687"/>
      <c r="S585" s="687"/>
      <c r="T585" s="687"/>
      <c r="U585" s="687"/>
      <c r="V585" s="687"/>
      <c r="W585" s="687"/>
      <c r="X585" s="687"/>
      <c r="Y585" s="687"/>
      <c r="Z585" s="687"/>
    </row>
    <row r="586" customHeight="1" spans="1:26">
      <c r="A586" s="686"/>
      <c r="B586" s="686"/>
      <c r="C586" s="686"/>
      <c r="D586" s="687"/>
      <c r="E586" s="687"/>
      <c r="F586" s="687"/>
      <c r="G586" s="687"/>
      <c r="H586" s="687"/>
      <c r="I586" s="687"/>
      <c r="J586" s="687"/>
      <c r="K586" s="687"/>
      <c r="L586" s="687"/>
      <c r="M586" s="687"/>
      <c r="N586" s="687"/>
      <c r="O586" s="687"/>
      <c r="P586" s="687"/>
      <c r="Q586" s="687"/>
      <c r="R586" s="687"/>
      <c r="S586" s="687"/>
      <c r="T586" s="687"/>
      <c r="U586" s="687"/>
      <c r="V586" s="687"/>
      <c r="W586" s="687"/>
      <c r="X586" s="687"/>
      <c r="Y586" s="687"/>
      <c r="Z586" s="687"/>
    </row>
    <row r="587" customHeight="1" spans="1:26">
      <c r="A587" s="686"/>
      <c r="B587" s="686"/>
      <c r="C587" s="686"/>
      <c r="D587" s="687"/>
      <c r="E587" s="687"/>
      <c r="F587" s="687"/>
      <c r="G587" s="687"/>
      <c r="H587" s="687"/>
      <c r="I587" s="687"/>
      <c r="J587" s="687"/>
      <c r="K587" s="687"/>
      <c r="L587" s="687"/>
      <c r="M587" s="687"/>
      <c r="N587" s="687"/>
      <c r="O587" s="687"/>
      <c r="P587" s="687"/>
      <c r="Q587" s="687"/>
      <c r="R587" s="687"/>
      <c r="S587" s="687"/>
      <c r="T587" s="687"/>
      <c r="U587" s="687"/>
      <c r="V587" s="687"/>
      <c r="W587" s="687"/>
      <c r="X587" s="687"/>
      <c r="Y587" s="687"/>
      <c r="Z587" s="687"/>
    </row>
    <row r="588" customHeight="1" spans="1:26">
      <c r="A588" s="686"/>
      <c r="B588" s="686"/>
      <c r="C588" s="686"/>
      <c r="D588" s="687"/>
      <c r="E588" s="687"/>
      <c r="F588" s="687"/>
      <c r="G588" s="687"/>
      <c r="H588" s="687"/>
      <c r="I588" s="687"/>
      <c r="J588" s="687"/>
      <c r="K588" s="687"/>
      <c r="L588" s="687"/>
      <c r="M588" s="687"/>
      <c r="N588" s="687"/>
      <c r="O588" s="687"/>
      <c r="P588" s="687"/>
      <c r="Q588" s="687"/>
      <c r="R588" s="687"/>
      <c r="S588" s="687"/>
      <c r="T588" s="687"/>
      <c r="U588" s="687"/>
      <c r="V588" s="687"/>
      <c r="W588" s="687"/>
      <c r="X588" s="687"/>
      <c r="Y588" s="687"/>
      <c r="Z588" s="687"/>
    </row>
    <row r="589" customHeight="1" spans="1:26">
      <c r="A589" s="686"/>
      <c r="B589" s="686"/>
      <c r="C589" s="686"/>
      <c r="D589" s="687"/>
      <c r="E589" s="687"/>
      <c r="F589" s="687"/>
      <c r="G589" s="687"/>
      <c r="H589" s="687"/>
      <c r="I589" s="687"/>
      <c r="J589" s="687"/>
      <c r="K589" s="687"/>
      <c r="L589" s="687"/>
      <c r="M589" s="687"/>
      <c r="N589" s="687"/>
      <c r="O589" s="687"/>
      <c r="P589" s="687"/>
      <c r="Q589" s="687"/>
      <c r="R589" s="687"/>
      <c r="S589" s="687"/>
      <c r="T589" s="687"/>
      <c r="U589" s="687"/>
      <c r="V589" s="687"/>
      <c r="W589" s="687"/>
      <c r="X589" s="687"/>
      <c r="Y589" s="687"/>
      <c r="Z589" s="687"/>
    </row>
    <row r="590" customHeight="1" spans="1:26">
      <c r="A590" s="686"/>
      <c r="B590" s="686"/>
      <c r="C590" s="686"/>
      <c r="D590" s="687"/>
      <c r="E590" s="687"/>
      <c r="F590" s="687"/>
      <c r="G590" s="687"/>
      <c r="H590" s="687"/>
      <c r="I590" s="687"/>
      <c r="J590" s="687"/>
      <c r="K590" s="687"/>
      <c r="L590" s="687"/>
      <c r="M590" s="687"/>
      <c r="N590" s="687"/>
      <c r="O590" s="687"/>
      <c r="P590" s="687"/>
      <c r="Q590" s="687"/>
      <c r="R590" s="687"/>
      <c r="S590" s="687"/>
      <c r="T590" s="687"/>
      <c r="U590" s="687"/>
      <c r="V590" s="687"/>
      <c r="W590" s="687"/>
      <c r="X590" s="687"/>
      <c r="Y590" s="687"/>
      <c r="Z590" s="687"/>
    </row>
    <row r="591" customHeight="1" spans="1:26">
      <c r="A591" s="686"/>
      <c r="B591" s="686"/>
      <c r="C591" s="686"/>
      <c r="D591" s="687"/>
      <c r="E591" s="687"/>
      <c r="F591" s="687"/>
      <c r="G591" s="687"/>
      <c r="H591" s="687"/>
      <c r="I591" s="687"/>
      <c r="J591" s="687"/>
      <c r="K591" s="687"/>
      <c r="L591" s="687"/>
      <c r="M591" s="687"/>
      <c r="N591" s="687"/>
      <c r="O591" s="687"/>
      <c r="P591" s="687"/>
      <c r="Q591" s="687"/>
      <c r="R591" s="687"/>
      <c r="S591" s="687"/>
      <c r="T591" s="687"/>
      <c r="U591" s="687"/>
      <c r="V591" s="687"/>
      <c r="W591" s="687"/>
      <c r="X591" s="687"/>
      <c r="Y591" s="687"/>
      <c r="Z591" s="687"/>
    </row>
    <row r="592" customHeight="1" spans="1:26">
      <c r="A592" s="686"/>
      <c r="B592" s="686"/>
      <c r="C592" s="686"/>
      <c r="D592" s="687"/>
      <c r="E592" s="687"/>
      <c r="F592" s="687"/>
      <c r="G592" s="687"/>
      <c r="H592" s="687"/>
      <c r="I592" s="687"/>
      <c r="J592" s="687"/>
      <c r="K592" s="687"/>
      <c r="L592" s="687"/>
      <c r="M592" s="687"/>
      <c r="N592" s="687"/>
      <c r="O592" s="687"/>
      <c r="P592" s="687"/>
      <c r="Q592" s="687"/>
      <c r="R592" s="687"/>
      <c r="S592" s="687"/>
      <c r="T592" s="687"/>
      <c r="U592" s="687"/>
      <c r="V592" s="687"/>
      <c r="W592" s="687"/>
      <c r="X592" s="687"/>
      <c r="Y592" s="687"/>
      <c r="Z592" s="687"/>
    </row>
    <row r="593" customHeight="1" spans="1:26">
      <c r="A593" s="686"/>
      <c r="B593" s="686"/>
      <c r="C593" s="686"/>
      <c r="D593" s="687"/>
      <c r="E593" s="687"/>
      <c r="F593" s="687"/>
      <c r="G593" s="687"/>
      <c r="H593" s="687"/>
      <c r="I593" s="687"/>
      <c r="J593" s="687"/>
      <c r="K593" s="687"/>
      <c r="L593" s="687"/>
      <c r="M593" s="687"/>
      <c r="N593" s="687"/>
      <c r="O593" s="687"/>
      <c r="P593" s="687"/>
      <c r="Q593" s="687"/>
      <c r="R593" s="687"/>
      <c r="S593" s="687"/>
      <c r="T593" s="687"/>
      <c r="U593" s="687"/>
      <c r="V593" s="687"/>
      <c r="W593" s="687"/>
      <c r="X593" s="687"/>
      <c r="Y593" s="687"/>
      <c r="Z593" s="687"/>
    </row>
    <row r="594" customHeight="1" spans="1:26">
      <c r="A594" s="686"/>
      <c r="B594" s="686"/>
      <c r="C594" s="686"/>
      <c r="D594" s="687"/>
      <c r="E594" s="687"/>
      <c r="F594" s="687"/>
      <c r="G594" s="687"/>
      <c r="H594" s="687"/>
      <c r="I594" s="687"/>
      <c r="J594" s="687"/>
      <c r="K594" s="687"/>
      <c r="L594" s="687"/>
      <c r="M594" s="687"/>
      <c r="N594" s="687"/>
      <c r="O594" s="687"/>
      <c r="P594" s="687"/>
      <c r="Q594" s="687"/>
      <c r="R594" s="687"/>
      <c r="S594" s="687"/>
      <c r="T594" s="687"/>
      <c r="U594" s="687"/>
      <c r="V594" s="687"/>
      <c r="W594" s="687"/>
      <c r="X594" s="687"/>
      <c r="Y594" s="687"/>
      <c r="Z594" s="687"/>
    </row>
    <row r="595" customHeight="1" spans="1:26">
      <c r="A595" s="686"/>
      <c r="B595" s="686"/>
      <c r="C595" s="686"/>
      <c r="D595" s="687"/>
      <c r="E595" s="687"/>
      <c r="F595" s="687"/>
      <c r="G595" s="687"/>
      <c r="H595" s="687"/>
      <c r="I595" s="687"/>
      <c r="J595" s="687"/>
      <c r="K595" s="687"/>
      <c r="L595" s="687"/>
      <c r="M595" s="687"/>
      <c r="N595" s="687"/>
      <c r="O595" s="687"/>
      <c r="P595" s="687"/>
      <c r="Q595" s="687"/>
      <c r="R595" s="687"/>
      <c r="S595" s="687"/>
      <c r="T595" s="687"/>
      <c r="U595" s="687"/>
      <c r="V595" s="687"/>
      <c r="W595" s="687"/>
      <c r="X595" s="687"/>
      <c r="Y595" s="687"/>
      <c r="Z595" s="687"/>
    </row>
    <row r="596" customHeight="1" spans="1:26">
      <c r="A596" s="686"/>
      <c r="B596" s="686"/>
      <c r="C596" s="686"/>
      <c r="D596" s="687"/>
      <c r="E596" s="687"/>
      <c r="F596" s="687"/>
      <c r="G596" s="687"/>
      <c r="H596" s="687"/>
      <c r="I596" s="687"/>
      <c r="J596" s="687"/>
      <c r="K596" s="687"/>
      <c r="L596" s="687"/>
      <c r="M596" s="687"/>
      <c r="N596" s="687"/>
      <c r="O596" s="687"/>
      <c r="P596" s="687"/>
      <c r="Q596" s="687"/>
      <c r="R596" s="687"/>
      <c r="S596" s="687"/>
      <c r="T596" s="687"/>
      <c r="U596" s="687"/>
      <c r="V596" s="687"/>
      <c r="W596" s="687"/>
      <c r="X596" s="687"/>
      <c r="Y596" s="687"/>
      <c r="Z596" s="687"/>
    </row>
    <row r="597" customHeight="1" spans="1:26">
      <c r="A597" s="686"/>
      <c r="B597" s="686"/>
      <c r="C597" s="686"/>
      <c r="D597" s="687"/>
      <c r="E597" s="687"/>
      <c r="F597" s="687"/>
      <c r="G597" s="687"/>
      <c r="H597" s="687"/>
      <c r="I597" s="687"/>
      <c r="J597" s="687"/>
      <c r="K597" s="687"/>
      <c r="L597" s="687"/>
      <c r="M597" s="687"/>
      <c r="N597" s="687"/>
      <c r="O597" s="687"/>
      <c r="P597" s="687"/>
      <c r="Q597" s="687"/>
      <c r="R597" s="687"/>
      <c r="S597" s="687"/>
      <c r="T597" s="687"/>
      <c r="U597" s="687"/>
      <c r="V597" s="687"/>
      <c r="W597" s="687"/>
      <c r="X597" s="687"/>
      <c r="Y597" s="687"/>
      <c r="Z597" s="687"/>
    </row>
    <row r="598" customHeight="1" spans="1:26">
      <c r="A598" s="686"/>
      <c r="B598" s="686"/>
      <c r="C598" s="686"/>
      <c r="D598" s="687"/>
      <c r="E598" s="687"/>
      <c r="F598" s="687"/>
      <c r="G598" s="687"/>
      <c r="H598" s="687"/>
      <c r="I598" s="687"/>
      <c r="J598" s="687"/>
      <c r="K598" s="687"/>
      <c r="L598" s="687"/>
      <c r="M598" s="687"/>
      <c r="N598" s="687"/>
      <c r="O598" s="687"/>
      <c r="P598" s="687"/>
      <c r="Q598" s="687"/>
      <c r="R598" s="687"/>
      <c r="S598" s="687"/>
      <c r="T598" s="687"/>
      <c r="U598" s="687"/>
      <c r="V598" s="687"/>
      <c r="W598" s="687"/>
      <c r="X598" s="687"/>
      <c r="Y598" s="687"/>
      <c r="Z598" s="687"/>
    </row>
    <row r="599" customHeight="1" spans="1:26">
      <c r="A599" s="686"/>
      <c r="B599" s="686"/>
      <c r="C599" s="686"/>
      <c r="D599" s="687"/>
      <c r="E599" s="687"/>
      <c r="F599" s="687"/>
      <c r="G599" s="687"/>
      <c r="H599" s="687"/>
      <c r="I599" s="687"/>
      <c r="J599" s="687"/>
      <c r="K599" s="687"/>
      <c r="L599" s="687"/>
      <c r="M599" s="687"/>
      <c r="N599" s="687"/>
      <c r="O599" s="687"/>
      <c r="P599" s="687"/>
      <c r="Q599" s="687"/>
      <c r="R599" s="687"/>
      <c r="S599" s="687"/>
      <c r="T599" s="687"/>
      <c r="U599" s="687"/>
      <c r="V599" s="687"/>
      <c r="W599" s="687"/>
      <c r="X599" s="687"/>
      <c r="Y599" s="687"/>
      <c r="Z599" s="687"/>
    </row>
    <row r="600" customHeight="1" spans="1:26">
      <c r="A600" s="686"/>
      <c r="B600" s="686"/>
      <c r="C600" s="686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87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</row>
    <row r="601" customHeight="1" spans="1:26">
      <c r="A601" s="686"/>
      <c r="B601" s="686"/>
      <c r="C601" s="686"/>
      <c r="D601" s="687"/>
      <c r="E601" s="687"/>
      <c r="F601" s="687"/>
      <c r="G601" s="687"/>
      <c r="H601" s="687"/>
      <c r="I601" s="687"/>
      <c r="J601" s="687"/>
      <c r="K601" s="687"/>
      <c r="L601" s="687"/>
      <c r="M601" s="687"/>
      <c r="N601" s="687"/>
      <c r="O601" s="687"/>
      <c r="P601" s="687"/>
      <c r="Q601" s="687"/>
      <c r="R601" s="687"/>
      <c r="S601" s="687"/>
      <c r="T601" s="687"/>
      <c r="U601" s="687"/>
      <c r="V601" s="687"/>
      <c r="W601" s="687"/>
      <c r="X601" s="687"/>
      <c r="Y601" s="687"/>
      <c r="Z601" s="687"/>
    </row>
    <row r="602" customHeight="1" spans="1:26">
      <c r="A602" s="686"/>
      <c r="B602" s="686"/>
      <c r="C602" s="686"/>
      <c r="D602" s="687"/>
      <c r="E602" s="687"/>
      <c r="F602" s="687"/>
      <c r="G602" s="687"/>
      <c r="H602" s="687"/>
      <c r="I602" s="687"/>
      <c r="J602" s="687"/>
      <c r="K602" s="687"/>
      <c r="L602" s="687"/>
      <c r="M602" s="687"/>
      <c r="N602" s="687"/>
      <c r="O602" s="687"/>
      <c r="P602" s="687"/>
      <c r="Q602" s="687"/>
      <c r="R602" s="687"/>
      <c r="S602" s="687"/>
      <c r="T602" s="687"/>
      <c r="U602" s="687"/>
      <c r="V602" s="687"/>
      <c r="W602" s="687"/>
      <c r="X602" s="687"/>
      <c r="Y602" s="687"/>
      <c r="Z602" s="687"/>
    </row>
    <row r="603" customHeight="1" spans="1:26">
      <c r="A603" s="686"/>
      <c r="B603" s="686"/>
      <c r="C603" s="686"/>
      <c r="D603" s="687"/>
      <c r="E603" s="687"/>
      <c r="F603" s="687"/>
      <c r="G603" s="687"/>
      <c r="H603" s="687"/>
      <c r="I603" s="687"/>
      <c r="J603" s="687"/>
      <c r="K603" s="687"/>
      <c r="L603" s="687"/>
      <c r="M603" s="687"/>
      <c r="N603" s="687"/>
      <c r="O603" s="687"/>
      <c r="P603" s="687"/>
      <c r="Q603" s="687"/>
      <c r="R603" s="687"/>
      <c r="S603" s="687"/>
      <c r="T603" s="687"/>
      <c r="U603" s="687"/>
      <c r="V603" s="687"/>
      <c r="W603" s="687"/>
      <c r="X603" s="687"/>
      <c r="Y603" s="687"/>
      <c r="Z603" s="687"/>
    </row>
    <row r="604" customHeight="1" spans="1:26">
      <c r="A604" s="686"/>
      <c r="B604" s="686"/>
      <c r="C604" s="686"/>
      <c r="D604" s="687"/>
      <c r="E604" s="687"/>
      <c r="F604" s="687"/>
      <c r="G604" s="687"/>
      <c r="H604" s="687"/>
      <c r="I604" s="687"/>
      <c r="J604" s="687"/>
      <c r="K604" s="687"/>
      <c r="L604" s="687"/>
      <c r="M604" s="687"/>
      <c r="N604" s="687"/>
      <c r="O604" s="687"/>
      <c r="P604" s="687"/>
      <c r="Q604" s="687"/>
      <c r="R604" s="687"/>
      <c r="S604" s="687"/>
      <c r="T604" s="687"/>
      <c r="U604" s="687"/>
      <c r="V604" s="687"/>
      <c r="W604" s="687"/>
      <c r="X604" s="687"/>
      <c r="Y604" s="687"/>
      <c r="Z604" s="687"/>
    </row>
    <row r="605" customHeight="1" spans="1:26">
      <c r="A605" s="686"/>
      <c r="B605" s="686"/>
      <c r="C605" s="686"/>
      <c r="D605" s="687"/>
      <c r="E605" s="687"/>
      <c r="F605" s="687"/>
      <c r="G605" s="687"/>
      <c r="H605" s="687"/>
      <c r="I605" s="687"/>
      <c r="J605" s="687"/>
      <c r="K605" s="687"/>
      <c r="L605" s="687"/>
      <c r="M605" s="687"/>
      <c r="N605" s="687"/>
      <c r="O605" s="687"/>
      <c r="P605" s="687"/>
      <c r="Q605" s="687"/>
      <c r="R605" s="687"/>
      <c r="S605" s="687"/>
      <c r="T605" s="687"/>
      <c r="U605" s="687"/>
      <c r="V605" s="687"/>
      <c r="W605" s="687"/>
      <c r="X605" s="687"/>
      <c r="Y605" s="687"/>
      <c r="Z605" s="687"/>
    </row>
    <row r="606" customHeight="1" spans="1:26">
      <c r="A606" s="686"/>
      <c r="B606" s="686"/>
      <c r="C606" s="686"/>
      <c r="D606" s="687"/>
      <c r="E606" s="687"/>
      <c r="F606" s="687"/>
      <c r="G606" s="687"/>
      <c r="H606" s="687"/>
      <c r="I606" s="687"/>
      <c r="J606" s="687"/>
      <c r="K606" s="687"/>
      <c r="L606" s="687"/>
      <c r="M606" s="687"/>
      <c r="N606" s="687"/>
      <c r="O606" s="687"/>
      <c r="P606" s="687"/>
      <c r="Q606" s="687"/>
      <c r="R606" s="687"/>
      <c r="S606" s="687"/>
      <c r="T606" s="687"/>
      <c r="U606" s="687"/>
      <c r="V606" s="687"/>
      <c r="W606" s="687"/>
      <c r="X606" s="687"/>
      <c r="Y606" s="687"/>
      <c r="Z606" s="687"/>
    </row>
    <row r="607" customHeight="1" spans="1:26">
      <c r="A607" s="686"/>
      <c r="B607" s="686"/>
      <c r="C607" s="686"/>
      <c r="D607" s="687"/>
      <c r="E607" s="687"/>
      <c r="F607" s="687"/>
      <c r="G607" s="687"/>
      <c r="H607" s="687"/>
      <c r="I607" s="687"/>
      <c r="J607" s="687"/>
      <c r="K607" s="687"/>
      <c r="L607" s="687"/>
      <c r="M607" s="687"/>
      <c r="N607" s="687"/>
      <c r="O607" s="687"/>
      <c r="P607" s="687"/>
      <c r="Q607" s="687"/>
      <c r="R607" s="687"/>
      <c r="S607" s="687"/>
      <c r="T607" s="687"/>
      <c r="U607" s="687"/>
      <c r="V607" s="687"/>
      <c r="W607" s="687"/>
      <c r="X607" s="687"/>
      <c r="Y607" s="687"/>
      <c r="Z607" s="687"/>
    </row>
    <row r="608" customHeight="1" spans="1:26">
      <c r="A608" s="686"/>
      <c r="B608" s="686"/>
      <c r="C608" s="686"/>
      <c r="D608" s="687"/>
      <c r="E608" s="687"/>
      <c r="F608" s="687"/>
      <c r="G608" s="687"/>
      <c r="H608" s="687"/>
      <c r="I608" s="687"/>
      <c r="J608" s="687"/>
      <c r="K608" s="687"/>
      <c r="L608" s="687"/>
      <c r="M608" s="687"/>
      <c r="N608" s="687"/>
      <c r="O608" s="687"/>
      <c r="P608" s="687"/>
      <c r="Q608" s="687"/>
      <c r="R608" s="687"/>
      <c r="S608" s="687"/>
      <c r="T608" s="687"/>
      <c r="U608" s="687"/>
      <c r="V608" s="687"/>
      <c r="W608" s="687"/>
      <c r="X608" s="687"/>
      <c r="Y608" s="687"/>
      <c r="Z608" s="687"/>
    </row>
    <row r="609" customHeight="1" spans="1:26">
      <c r="A609" s="686"/>
      <c r="B609" s="686"/>
      <c r="C609" s="686"/>
      <c r="D609" s="687"/>
      <c r="E609" s="687"/>
      <c r="F609" s="687"/>
      <c r="G609" s="687"/>
      <c r="H609" s="687"/>
      <c r="I609" s="687"/>
      <c r="J609" s="687"/>
      <c r="K609" s="687"/>
      <c r="L609" s="687"/>
      <c r="M609" s="687"/>
      <c r="N609" s="687"/>
      <c r="O609" s="687"/>
      <c r="P609" s="687"/>
      <c r="Q609" s="687"/>
      <c r="R609" s="687"/>
      <c r="S609" s="687"/>
      <c r="T609" s="687"/>
      <c r="U609" s="687"/>
      <c r="V609" s="687"/>
      <c r="W609" s="687"/>
      <c r="X609" s="687"/>
      <c r="Y609" s="687"/>
      <c r="Z609" s="687"/>
    </row>
    <row r="610" customHeight="1" spans="1:26">
      <c r="A610" s="686"/>
      <c r="B610" s="686"/>
      <c r="C610" s="686"/>
      <c r="D610" s="687"/>
      <c r="E610" s="687"/>
      <c r="F610" s="687"/>
      <c r="G610" s="687"/>
      <c r="H610" s="687"/>
      <c r="I610" s="687"/>
      <c r="J610" s="687"/>
      <c r="K610" s="687"/>
      <c r="L610" s="687"/>
      <c r="M610" s="687"/>
      <c r="N610" s="687"/>
      <c r="O610" s="687"/>
      <c r="P610" s="687"/>
      <c r="Q610" s="687"/>
      <c r="R610" s="687"/>
      <c r="S610" s="687"/>
      <c r="T610" s="687"/>
      <c r="U610" s="687"/>
      <c r="V610" s="687"/>
      <c r="W610" s="687"/>
      <c r="X610" s="687"/>
      <c r="Y610" s="687"/>
      <c r="Z610" s="687"/>
    </row>
    <row r="611" customHeight="1" spans="1:26">
      <c r="A611" s="686"/>
      <c r="B611" s="686"/>
      <c r="C611" s="686"/>
      <c r="D611" s="687"/>
      <c r="E611" s="687"/>
      <c r="F611" s="687"/>
      <c r="G611" s="687"/>
      <c r="H611" s="687"/>
      <c r="I611" s="687"/>
      <c r="J611" s="687"/>
      <c r="K611" s="687"/>
      <c r="L611" s="687"/>
      <c r="M611" s="687"/>
      <c r="N611" s="687"/>
      <c r="O611" s="687"/>
      <c r="P611" s="687"/>
      <c r="Q611" s="687"/>
      <c r="R611" s="687"/>
      <c r="S611" s="687"/>
      <c r="T611" s="687"/>
      <c r="U611" s="687"/>
      <c r="V611" s="687"/>
      <c r="W611" s="687"/>
      <c r="X611" s="687"/>
      <c r="Y611" s="687"/>
      <c r="Z611" s="687"/>
    </row>
    <row r="612" customHeight="1" spans="1:26">
      <c r="A612" s="686"/>
      <c r="B612" s="686"/>
      <c r="C612" s="686"/>
      <c r="D612" s="687"/>
      <c r="E612" s="687"/>
      <c r="F612" s="687"/>
      <c r="G612" s="687"/>
      <c r="H612" s="687"/>
      <c r="I612" s="687"/>
      <c r="J612" s="687"/>
      <c r="K612" s="687"/>
      <c r="L612" s="687"/>
      <c r="M612" s="687"/>
      <c r="N612" s="687"/>
      <c r="O612" s="687"/>
      <c r="P612" s="687"/>
      <c r="Q612" s="687"/>
      <c r="R612" s="687"/>
      <c r="S612" s="687"/>
      <c r="T612" s="687"/>
      <c r="U612" s="687"/>
      <c r="V612" s="687"/>
      <c r="W612" s="687"/>
      <c r="X612" s="687"/>
      <c r="Y612" s="687"/>
      <c r="Z612" s="687"/>
    </row>
    <row r="613" customHeight="1" spans="1:26">
      <c r="A613" s="686"/>
      <c r="B613" s="686"/>
      <c r="C613" s="686"/>
      <c r="D613" s="687"/>
      <c r="E613" s="687"/>
      <c r="F613" s="687"/>
      <c r="G613" s="687"/>
      <c r="H613" s="687"/>
      <c r="I613" s="687"/>
      <c r="J613" s="687"/>
      <c r="K613" s="687"/>
      <c r="L613" s="687"/>
      <c r="M613" s="687"/>
      <c r="N613" s="687"/>
      <c r="O613" s="687"/>
      <c r="P613" s="687"/>
      <c r="Q613" s="687"/>
      <c r="R613" s="687"/>
      <c r="S613" s="687"/>
      <c r="T613" s="687"/>
      <c r="U613" s="687"/>
      <c r="V613" s="687"/>
      <c r="W613" s="687"/>
      <c r="X613" s="687"/>
      <c r="Y613" s="687"/>
      <c r="Z613" s="687"/>
    </row>
    <row r="614" customHeight="1" spans="1:26">
      <c r="A614" s="686"/>
      <c r="B614" s="686"/>
      <c r="C614" s="686"/>
      <c r="D614" s="687"/>
      <c r="E614" s="687"/>
      <c r="F614" s="687"/>
      <c r="G614" s="687"/>
      <c r="H614" s="687"/>
      <c r="I614" s="687"/>
      <c r="J614" s="687"/>
      <c r="K614" s="687"/>
      <c r="L614" s="687"/>
      <c r="M614" s="687"/>
      <c r="N614" s="687"/>
      <c r="O614" s="687"/>
      <c r="P614" s="687"/>
      <c r="Q614" s="687"/>
      <c r="R614" s="687"/>
      <c r="S614" s="687"/>
      <c r="T614" s="687"/>
      <c r="U614" s="687"/>
      <c r="V614" s="687"/>
      <c r="W614" s="687"/>
      <c r="X614" s="687"/>
      <c r="Y614" s="687"/>
      <c r="Z614" s="687"/>
    </row>
    <row r="615" customHeight="1" spans="1:26">
      <c r="A615" s="686"/>
      <c r="B615" s="686"/>
      <c r="C615" s="686"/>
      <c r="D615" s="687"/>
      <c r="E615" s="687"/>
      <c r="F615" s="687"/>
      <c r="G615" s="687"/>
      <c r="H615" s="687"/>
      <c r="I615" s="687"/>
      <c r="J615" s="687"/>
      <c r="K615" s="687"/>
      <c r="L615" s="687"/>
      <c r="M615" s="687"/>
      <c r="N615" s="687"/>
      <c r="O615" s="687"/>
      <c r="P615" s="687"/>
      <c r="Q615" s="687"/>
      <c r="R615" s="687"/>
      <c r="S615" s="687"/>
      <c r="T615" s="687"/>
      <c r="U615" s="687"/>
      <c r="V615" s="687"/>
      <c r="W615" s="687"/>
      <c r="X615" s="687"/>
      <c r="Y615" s="687"/>
      <c r="Z615" s="687"/>
    </row>
    <row r="616" customHeight="1" spans="1:26">
      <c r="A616" s="686"/>
      <c r="B616" s="686"/>
      <c r="C616" s="686"/>
      <c r="D616" s="687"/>
      <c r="E616" s="687"/>
      <c r="F616" s="687"/>
      <c r="G616" s="687"/>
      <c r="H616" s="687"/>
      <c r="I616" s="687"/>
      <c r="J616" s="687"/>
      <c r="K616" s="687"/>
      <c r="L616" s="687"/>
      <c r="M616" s="687"/>
      <c r="N616" s="687"/>
      <c r="O616" s="687"/>
      <c r="P616" s="687"/>
      <c r="Q616" s="687"/>
      <c r="R616" s="687"/>
      <c r="S616" s="687"/>
      <c r="T616" s="687"/>
      <c r="U616" s="687"/>
      <c r="V616" s="687"/>
      <c r="W616" s="687"/>
      <c r="X616" s="687"/>
      <c r="Y616" s="687"/>
      <c r="Z616" s="687"/>
    </row>
    <row r="617" customHeight="1" spans="1:26">
      <c r="A617" s="686"/>
      <c r="B617" s="686"/>
      <c r="C617" s="686"/>
      <c r="D617" s="687"/>
      <c r="E617" s="687"/>
      <c r="F617" s="687"/>
      <c r="G617" s="687"/>
      <c r="H617" s="687"/>
      <c r="I617" s="687"/>
      <c r="J617" s="687"/>
      <c r="K617" s="687"/>
      <c r="L617" s="687"/>
      <c r="M617" s="687"/>
      <c r="N617" s="687"/>
      <c r="O617" s="687"/>
      <c r="P617" s="687"/>
      <c r="Q617" s="687"/>
      <c r="R617" s="687"/>
      <c r="S617" s="687"/>
      <c r="T617" s="687"/>
      <c r="U617" s="687"/>
      <c r="V617" s="687"/>
      <c r="W617" s="687"/>
      <c r="X617" s="687"/>
      <c r="Y617" s="687"/>
      <c r="Z617" s="687"/>
    </row>
    <row r="618" customHeight="1" spans="1:26">
      <c r="A618" s="686"/>
      <c r="B618" s="686"/>
      <c r="C618" s="686"/>
      <c r="D618" s="687"/>
      <c r="E618" s="687"/>
      <c r="F618" s="687"/>
      <c r="G618" s="687"/>
      <c r="H618" s="687"/>
      <c r="I618" s="687"/>
      <c r="J618" s="687"/>
      <c r="K618" s="687"/>
      <c r="L618" s="687"/>
      <c r="M618" s="687"/>
      <c r="N618" s="687"/>
      <c r="O618" s="687"/>
      <c r="P618" s="687"/>
      <c r="Q618" s="687"/>
      <c r="R618" s="687"/>
      <c r="S618" s="687"/>
      <c r="T618" s="687"/>
      <c r="U618" s="687"/>
      <c r="V618" s="687"/>
      <c r="W618" s="687"/>
      <c r="X618" s="687"/>
      <c r="Y618" s="687"/>
      <c r="Z618" s="687"/>
    </row>
    <row r="619" customHeight="1" spans="1:26">
      <c r="A619" s="686"/>
      <c r="B619" s="686"/>
      <c r="C619" s="686"/>
      <c r="D619" s="687"/>
      <c r="E619" s="687"/>
      <c r="F619" s="687"/>
      <c r="G619" s="687"/>
      <c r="H619" s="687"/>
      <c r="I619" s="687"/>
      <c r="J619" s="687"/>
      <c r="K619" s="687"/>
      <c r="L619" s="687"/>
      <c r="M619" s="687"/>
      <c r="N619" s="687"/>
      <c r="O619" s="687"/>
      <c r="P619" s="687"/>
      <c r="Q619" s="687"/>
      <c r="R619" s="687"/>
      <c r="S619" s="687"/>
      <c r="T619" s="687"/>
      <c r="U619" s="687"/>
      <c r="V619" s="687"/>
      <c r="W619" s="687"/>
      <c r="X619" s="687"/>
      <c r="Y619" s="687"/>
      <c r="Z619" s="687"/>
    </row>
    <row r="620" customHeight="1" spans="1:26">
      <c r="A620" s="686"/>
      <c r="B620" s="686"/>
      <c r="C620" s="686"/>
      <c r="D620" s="687"/>
      <c r="E620" s="687"/>
      <c r="F620" s="687"/>
      <c r="G620" s="687"/>
      <c r="H620" s="687"/>
      <c r="I620" s="687"/>
      <c r="J620" s="687"/>
      <c r="K620" s="687"/>
      <c r="L620" s="687"/>
      <c r="M620" s="687"/>
      <c r="N620" s="687"/>
      <c r="O620" s="687"/>
      <c r="P620" s="687"/>
      <c r="Q620" s="687"/>
      <c r="R620" s="687"/>
      <c r="S620" s="687"/>
      <c r="T620" s="687"/>
      <c r="U620" s="687"/>
      <c r="V620" s="687"/>
      <c r="W620" s="687"/>
      <c r="X620" s="687"/>
      <c r="Y620" s="687"/>
      <c r="Z620" s="687"/>
    </row>
    <row r="621" customHeight="1" spans="1:26">
      <c r="A621" s="686"/>
      <c r="B621" s="686"/>
      <c r="C621" s="686"/>
      <c r="D621" s="687"/>
      <c r="E621" s="687"/>
      <c r="F621" s="687"/>
      <c r="G621" s="687"/>
      <c r="H621" s="687"/>
      <c r="I621" s="687"/>
      <c r="J621" s="687"/>
      <c r="K621" s="687"/>
      <c r="L621" s="687"/>
      <c r="M621" s="687"/>
      <c r="N621" s="687"/>
      <c r="O621" s="687"/>
      <c r="P621" s="687"/>
      <c r="Q621" s="687"/>
      <c r="R621" s="687"/>
      <c r="S621" s="687"/>
      <c r="T621" s="687"/>
      <c r="U621" s="687"/>
      <c r="V621" s="687"/>
      <c r="W621" s="687"/>
      <c r="X621" s="687"/>
      <c r="Y621" s="687"/>
      <c r="Z621" s="687"/>
    </row>
    <row r="622" customHeight="1" spans="1:26">
      <c r="A622" s="686"/>
      <c r="B622" s="686"/>
      <c r="C622" s="686"/>
      <c r="D622" s="687"/>
      <c r="E622" s="687"/>
      <c r="F622" s="687"/>
      <c r="G622" s="687"/>
      <c r="H622" s="687"/>
      <c r="I622" s="687"/>
      <c r="J622" s="687"/>
      <c r="K622" s="687"/>
      <c r="L622" s="687"/>
      <c r="M622" s="687"/>
      <c r="N622" s="687"/>
      <c r="O622" s="687"/>
      <c r="P622" s="687"/>
      <c r="Q622" s="687"/>
      <c r="R622" s="687"/>
      <c r="S622" s="687"/>
      <c r="T622" s="687"/>
      <c r="U622" s="687"/>
      <c r="V622" s="687"/>
      <c r="W622" s="687"/>
      <c r="X622" s="687"/>
      <c r="Y622" s="687"/>
      <c r="Z622" s="687"/>
    </row>
    <row r="623" customHeight="1" spans="1:26">
      <c r="A623" s="686"/>
      <c r="B623" s="686"/>
      <c r="C623" s="686"/>
      <c r="D623" s="687"/>
      <c r="E623" s="687"/>
      <c r="F623" s="687"/>
      <c r="G623" s="687"/>
      <c r="H623" s="687"/>
      <c r="I623" s="687"/>
      <c r="J623" s="687"/>
      <c r="K623" s="687"/>
      <c r="L623" s="687"/>
      <c r="M623" s="687"/>
      <c r="N623" s="687"/>
      <c r="O623" s="687"/>
      <c r="P623" s="687"/>
      <c r="Q623" s="687"/>
      <c r="R623" s="687"/>
      <c r="S623" s="687"/>
      <c r="T623" s="687"/>
      <c r="U623" s="687"/>
      <c r="V623" s="687"/>
      <c r="W623" s="687"/>
      <c r="X623" s="687"/>
      <c r="Y623" s="687"/>
      <c r="Z623" s="687"/>
    </row>
    <row r="624" customHeight="1" spans="1:26">
      <c r="A624" s="686"/>
      <c r="B624" s="686"/>
      <c r="C624" s="686"/>
      <c r="D624" s="687"/>
      <c r="E624" s="687"/>
      <c r="F624" s="687"/>
      <c r="G624" s="687"/>
      <c r="H624" s="687"/>
      <c r="I624" s="687"/>
      <c r="J624" s="687"/>
      <c r="K624" s="687"/>
      <c r="L624" s="687"/>
      <c r="M624" s="687"/>
      <c r="N624" s="687"/>
      <c r="O624" s="687"/>
      <c r="P624" s="687"/>
      <c r="Q624" s="687"/>
      <c r="R624" s="687"/>
      <c r="S624" s="687"/>
      <c r="T624" s="687"/>
      <c r="U624" s="687"/>
      <c r="V624" s="687"/>
      <c r="W624" s="687"/>
      <c r="X624" s="687"/>
      <c r="Y624" s="687"/>
      <c r="Z624" s="687"/>
    </row>
    <row r="625" customHeight="1" spans="1:26">
      <c r="A625" s="686"/>
      <c r="B625" s="686"/>
      <c r="C625" s="686"/>
      <c r="D625" s="687"/>
      <c r="E625" s="687"/>
      <c r="F625" s="687"/>
      <c r="G625" s="687"/>
      <c r="H625" s="687"/>
      <c r="I625" s="687"/>
      <c r="J625" s="687"/>
      <c r="K625" s="687"/>
      <c r="L625" s="687"/>
      <c r="M625" s="687"/>
      <c r="N625" s="687"/>
      <c r="O625" s="687"/>
      <c r="P625" s="687"/>
      <c r="Q625" s="687"/>
      <c r="R625" s="687"/>
      <c r="S625" s="687"/>
      <c r="T625" s="687"/>
      <c r="U625" s="687"/>
      <c r="V625" s="687"/>
      <c r="W625" s="687"/>
      <c r="X625" s="687"/>
      <c r="Y625" s="687"/>
      <c r="Z625" s="687"/>
    </row>
    <row r="626" customHeight="1" spans="1:26">
      <c r="A626" s="686"/>
      <c r="B626" s="686"/>
      <c r="C626" s="686"/>
      <c r="D626" s="687"/>
      <c r="E626" s="687"/>
      <c r="F626" s="687"/>
      <c r="G626" s="687"/>
      <c r="H626" s="687"/>
      <c r="I626" s="687"/>
      <c r="J626" s="687"/>
      <c r="K626" s="687"/>
      <c r="L626" s="687"/>
      <c r="M626" s="687"/>
      <c r="N626" s="687"/>
      <c r="O626" s="687"/>
      <c r="P626" s="687"/>
      <c r="Q626" s="687"/>
      <c r="R626" s="687"/>
      <c r="S626" s="687"/>
      <c r="T626" s="687"/>
      <c r="U626" s="687"/>
      <c r="V626" s="687"/>
      <c r="W626" s="687"/>
      <c r="X626" s="687"/>
      <c r="Y626" s="687"/>
      <c r="Z626" s="687"/>
    </row>
    <row r="627" customHeight="1" spans="1:26">
      <c r="A627" s="686"/>
      <c r="B627" s="686"/>
      <c r="C627" s="686"/>
      <c r="D627" s="687"/>
      <c r="E627" s="687"/>
      <c r="F627" s="687"/>
      <c r="G627" s="687"/>
      <c r="H627" s="687"/>
      <c r="I627" s="687"/>
      <c r="J627" s="687"/>
      <c r="K627" s="687"/>
      <c r="L627" s="687"/>
      <c r="M627" s="687"/>
      <c r="N627" s="687"/>
      <c r="O627" s="687"/>
      <c r="P627" s="687"/>
      <c r="Q627" s="687"/>
      <c r="R627" s="687"/>
      <c r="S627" s="687"/>
      <c r="T627" s="687"/>
      <c r="U627" s="687"/>
      <c r="V627" s="687"/>
      <c r="W627" s="687"/>
      <c r="X627" s="687"/>
      <c r="Y627" s="687"/>
      <c r="Z627" s="687"/>
    </row>
    <row r="628" customHeight="1" spans="1:26">
      <c r="A628" s="686"/>
      <c r="B628" s="686"/>
      <c r="C628" s="686"/>
      <c r="D628" s="687"/>
      <c r="E628" s="687"/>
      <c r="F628" s="687"/>
      <c r="G628" s="687"/>
      <c r="H628" s="687"/>
      <c r="I628" s="687"/>
      <c r="J628" s="687"/>
      <c r="K628" s="687"/>
      <c r="L628" s="687"/>
      <c r="M628" s="687"/>
      <c r="N628" s="687"/>
      <c r="O628" s="687"/>
      <c r="P628" s="687"/>
      <c r="Q628" s="687"/>
      <c r="R628" s="687"/>
      <c r="S628" s="687"/>
      <c r="T628" s="687"/>
      <c r="U628" s="687"/>
      <c r="V628" s="687"/>
      <c r="W628" s="687"/>
      <c r="X628" s="687"/>
      <c r="Y628" s="687"/>
      <c r="Z628" s="687"/>
    </row>
    <row r="629" customHeight="1" spans="1:26">
      <c r="A629" s="686"/>
      <c r="B629" s="686"/>
      <c r="C629" s="686"/>
      <c r="D629" s="687"/>
      <c r="E629" s="687"/>
      <c r="F629" s="687"/>
      <c r="G629" s="687"/>
      <c r="H629" s="687"/>
      <c r="I629" s="687"/>
      <c r="J629" s="687"/>
      <c r="K629" s="687"/>
      <c r="L629" s="687"/>
      <c r="M629" s="687"/>
      <c r="N629" s="687"/>
      <c r="O629" s="687"/>
      <c r="P629" s="687"/>
      <c r="Q629" s="687"/>
      <c r="R629" s="687"/>
      <c r="S629" s="687"/>
      <c r="T629" s="687"/>
      <c r="U629" s="687"/>
      <c r="V629" s="687"/>
      <c r="W629" s="687"/>
      <c r="X629" s="687"/>
      <c r="Y629" s="687"/>
      <c r="Z629" s="687"/>
    </row>
    <row r="630" customHeight="1" spans="1:26">
      <c r="A630" s="686"/>
      <c r="B630" s="686"/>
      <c r="C630" s="686"/>
      <c r="D630" s="687"/>
      <c r="E630" s="687"/>
      <c r="F630" s="687"/>
      <c r="G630" s="687"/>
      <c r="H630" s="687"/>
      <c r="I630" s="687"/>
      <c r="J630" s="687"/>
      <c r="K630" s="687"/>
      <c r="L630" s="687"/>
      <c r="M630" s="687"/>
      <c r="N630" s="687"/>
      <c r="O630" s="687"/>
      <c r="P630" s="687"/>
      <c r="Q630" s="687"/>
      <c r="R630" s="687"/>
      <c r="S630" s="687"/>
      <c r="T630" s="687"/>
      <c r="U630" s="687"/>
      <c r="V630" s="687"/>
      <c r="W630" s="687"/>
      <c r="X630" s="687"/>
      <c r="Y630" s="687"/>
      <c r="Z630" s="687"/>
    </row>
    <row r="631" customHeight="1" spans="1:26">
      <c r="A631" s="686"/>
      <c r="B631" s="686"/>
      <c r="C631" s="686"/>
      <c r="D631" s="687"/>
      <c r="E631" s="687"/>
      <c r="F631" s="687"/>
      <c r="G631" s="687"/>
      <c r="H631" s="687"/>
      <c r="I631" s="687"/>
      <c r="J631" s="687"/>
      <c r="K631" s="687"/>
      <c r="L631" s="687"/>
      <c r="M631" s="687"/>
      <c r="N631" s="687"/>
      <c r="O631" s="687"/>
      <c r="P631" s="687"/>
      <c r="Q631" s="687"/>
      <c r="R631" s="687"/>
      <c r="S631" s="687"/>
      <c r="T631" s="687"/>
      <c r="U631" s="687"/>
      <c r="V631" s="687"/>
      <c r="W631" s="687"/>
      <c r="X631" s="687"/>
      <c r="Y631" s="687"/>
      <c r="Z631" s="687"/>
    </row>
    <row r="632" customHeight="1" spans="1:26">
      <c r="A632" s="686"/>
      <c r="B632" s="686"/>
      <c r="C632" s="686"/>
      <c r="D632" s="687"/>
      <c r="E632" s="687"/>
      <c r="F632" s="687"/>
      <c r="G632" s="687"/>
      <c r="H632" s="687"/>
      <c r="I632" s="687"/>
      <c r="J632" s="687"/>
      <c r="K632" s="687"/>
      <c r="L632" s="687"/>
      <c r="M632" s="687"/>
      <c r="N632" s="687"/>
      <c r="O632" s="687"/>
      <c r="P632" s="687"/>
      <c r="Q632" s="687"/>
      <c r="R632" s="687"/>
      <c r="S632" s="687"/>
      <c r="T632" s="687"/>
      <c r="U632" s="687"/>
      <c r="V632" s="687"/>
      <c r="W632" s="687"/>
      <c r="X632" s="687"/>
      <c r="Y632" s="687"/>
      <c r="Z632" s="687"/>
    </row>
    <row r="633" customHeight="1" spans="1:26">
      <c r="A633" s="686"/>
      <c r="B633" s="686"/>
      <c r="C633" s="686"/>
      <c r="D633" s="687"/>
      <c r="E633" s="687"/>
      <c r="F633" s="687"/>
      <c r="G633" s="687"/>
      <c r="H633" s="687"/>
      <c r="I633" s="687"/>
      <c r="J633" s="687"/>
      <c r="K633" s="687"/>
      <c r="L633" s="687"/>
      <c r="M633" s="687"/>
      <c r="N633" s="687"/>
      <c r="O633" s="687"/>
      <c r="P633" s="687"/>
      <c r="Q633" s="687"/>
      <c r="R633" s="687"/>
      <c r="S633" s="687"/>
      <c r="T633" s="687"/>
      <c r="U633" s="687"/>
      <c r="V633" s="687"/>
      <c r="W633" s="687"/>
      <c r="X633" s="687"/>
      <c r="Y633" s="687"/>
      <c r="Z633" s="687"/>
    </row>
    <row r="634" customHeight="1" spans="1:26">
      <c r="A634" s="686"/>
      <c r="B634" s="686"/>
      <c r="C634" s="686"/>
      <c r="D634" s="687"/>
      <c r="E634" s="687"/>
      <c r="F634" s="687"/>
      <c r="G634" s="687"/>
      <c r="H634" s="687"/>
      <c r="I634" s="687"/>
      <c r="J634" s="687"/>
      <c r="K634" s="687"/>
      <c r="L634" s="687"/>
      <c r="M634" s="687"/>
      <c r="N634" s="687"/>
      <c r="O634" s="687"/>
      <c r="P634" s="687"/>
      <c r="Q634" s="687"/>
      <c r="R634" s="687"/>
      <c r="S634" s="687"/>
      <c r="T634" s="687"/>
      <c r="U634" s="687"/>
      <c r="V634" s="687"/>
      <c r="W634" s="687"/>
      <c r="X634" s="687"/>
      <c r="Y634" s="687"/>
      <c r="Z634" s="687"/>
    </row>
    <row r="635" customHeight="1" spans="1:26">
      <c r="A635" s="686"/>
      <c r="B635" s="686"/>
      <c r="C635" s="686"/>
      <c r="D635" s="687"/>
      <c r="E635" s="687"/>
      <c r="F635" s="687"/>
      <c r="G635" s="687"/>
      <c r="H635" s="687"/>
      <c r="I635" s="687"/>
      <c r="J635" s="687"/>
      <c r="K635" s="687"/>
      <c r="L635" s="687"/>
      <c r="M635" s="687"/>
      <c r="N635" s="687"/>
      <c r="O635" s="687"/>
      <c r="P635" s="687"/>
      <c r="Q635" s="687"/>
      <c r="R635" s="687"/>
      <c r="S635" s="687"/>
      <c r="T635" s="687"/>
      <c r="U635" s="687"/>
      <c r="V635" s="687"/>
      <c r="W635" s="687"/>
      <c r="X635" s="687"/>
      <c r="Y635" s="687"/>
      <c r="Z635" s="687"/>
    </row>
    <row r="636" customHeight="1" spans="1:26">
      <c r="A636" s="686"/>
      <c r="B636" s="686"/>
      <c r="C636" s="686"/>
      <c r="D636" s="687"/>
      <c r="E636" s="687"/>
      <c r="F636" s="687"/>
      <c r="G636" s="687"/>
      <c r="H636" s="687"/>
      <c r="I636" s="687"/>
      <c r="J636" s="687"/>
      <c r="K636" s="687"/>
      <c r="L636" s="687"/>
      <c r="M636" s="687"/>
      <c r="N636" s="687"/>
      <c r="O636" s="687"/>
      <c r="P636" s="687"/>
      <c r="Q636" s="687"/>
      <c r="R636" s="687"/>
      <c r="S636" s="687"/>
      <c r="T636" s="687"/>
      <c r="U636" s="687"/>
      <c r="V636" s="687"/>
      <c r="W636" s="687"/>
      <c r="X636" s="687"/>
      <c r="Y636" s="687"/>
      <c r="Z636" s="687"/>
    </row>
    <row r="637" customHeight="1" spans="1:26">
      <c r="A637" s="686"/>
      <c r="B637" s="686"/>
      <c r="C637" s="686"/>
      <c r="D637" s="687"/>
      <c r="E637" s="687"/>
      <c r="F637" s="687"/>
      <c r="G637" s="687"/>
      <c r="H637" s="687"/>
      <c r="I637" s="687"/>
      <c r="J637" s="687"/>
      <c r="K637" s="687"/>
      <c r="L637" s="687"/>
      <c r="M637" s="687"/>
      <c r="N637" s="687"/>
      <c r="O637" s="687"/>
      <c r="P637" s="687"/>
      <c r="Q637" s="687"/>
      <c r="R637" s="687"/>
      <c r="S637" s="687"/>
      <c r="T637" s="687"/>
      <c r="U637" s="687"/>
      <c r="V637" s="687"/>
      <c r="W637" s="687"/>
      <c r="X637" s="687"/>
      <c r="Y637" s="687"/>
      <c r="Z637" s="687"/>
    </row>
    <row r="638" customHeight="1" spans="1:26">
      <c r="A638" s="686"/>
      <c r="B638" s="686"/>
      <c r="C638" s="686"/>
      <c r="D638" s="687"/>
      <c r="E638" s="687"/>
      <c r="F638" s="687"/>
      <c r="G638" s="687"/>
      <c r="H638" s="687"/>
      <c r="I638" s="687"/>
      <c r="J638" s="687"/>
      <c r="K638" s="687"/>
      <c r="L638" s="687"/>
      <c r="M638" s="687"/>
      <c r="N638" s="687"/>
      <c r="O638" s="687"/>
      <c r="P638" s="687"/>
      <c r="Q638" s="687"/>
      <c r="R638" s="687"/>
      <c r="S638" s="687"/>
      <c r="T638" s="687"/>
      <c r="U638" s="687"/>
      <c r="V638" s="687"/>
      <c r="W638" s="687"/>
      <c r="X638" s="687"/>
      <c r="Y638" s="687"/>
      <c r="Z638" s="687"/>
    </row>
    <row r="639" customHeight="1" spans="1:26">
      <c r="A639" s="686"/>
      <c r="B639" s="686"/>
      <c r="C639" s="686"/>
      <c r="D639" s="687"/>
      <c r="E639" s="687"/>
      <c r="F639" s="687"/>
      <c r="G639" s="687"/>
      <c r="H639" s="687"/>
      <c r="I639" s="687"/>
      <c r="J639" s="687"/>
      <c r="K639" s="687"/>
      <c r="L639" s="687"/>
      <c r="M639" s="687"/>
      <c r="N639" s="687"/>
      <c r="O639" s="687"/>
      <c r="P639" s="687"/>
      <c r="Q639" s="687"/>
      <c r="R639" s="687"/>
      <c r="S639" s="687"/>
      <c r="T639" s="687"/>
      <c r="U639" s="687"/>
      <c r="V639" s="687"/>
      <c r="W639" s="687"/>
      <c r="X639" s="687"/>
      <c r="Y639" s="687"/>
      <c r="Z639" s="687"/>
    </row>
    <row r="640" customHeight="1" spans="1:26">
      <c r="A640" s="686"/>
      <c r="B640" s="686"/>
      <c r="C640" s="686"/>
      <c r="D640" s="687"/>
      <c r="E640" s="687"/>
      <c r="F640" s="687"/>
      <c r="G640" s="687"/>
      <c r="H640" s="687"/>
      <c r="I640" s="687"/>
      <c r="J640" s="687"/>
      <c r="K640" s="687"/>
      <c r="L640" s="687"/>
      <c r="M640" s="687"/>
      <c r="N640" s="687"/>
      <c r="O640" s="687"/>
      <c r="P640" s="687"/>
      <c r="Q640" s="687"/>
      <c r="R640" s="687"/>
      <c r="S640" s="687"/>
      <c r="T640" s="687"/>
      <c r="U640" s="687"/>
      <c r="V640" s="687"/>
      <c r="W640" s="687"/>
      <c r="X640" s="687"/>
      <c r="Y640" s="687"/>
      <c r="Z640" s="687"/>
    </row>
    <row r="641" customHeight="1" spans="1:26">
      <c r="A641" s="686"/>
      <c r="B641" s="686"/>
      <c r="C641" s="686"/>
      <c r="D641" s="687"/>
      <c r="E641" s="687"/>
      <c r="F641" s="687"/>
      <c r="G641" s="687"/>
      <c r="H641" s="687"/>
      <c r="I641" s="687"/>
      <c r="J641" s="687"/>
      <c r="K641" s="687"/>
      <c r="L641" s="687"/>
      <c r="M641" s="687"/>
      <c r="N641" s="687"/>
      <c r="O641" s="687"/>
      <c r="P641" s="687"/>
      <c r="Q641" s="687"/>
      <c r="R641" s="687"/>
      <c r="S641" s="687"/>
      <c r="T641" s="687"/>
      <c r="U641" s="687"/>
      <c r="V641" s="687"/>
      <c r="W641" s="687"/>
      <c r="X641" s="687"/>
      <c r="Y641" s="687"/>
      <c r="Z641" s="687"/>
    </row>
    <row r="642" customHeight="1" spans="1:26">
      <c r="A642" s="686"/>
      <c r="B642" s="686"/>
      <c r="C642" s="686"/>
      <c r="D642" s="687"/>
      <c r="E642" s="687"/>
      <c r="F642" s="687"/>
      <c r="G642" s="687"/>
      <c r="H642" s="687"/>
      <c r="I642" s="687"/>
      <c r="J642" s="687"/>
      <c r="K642" s="687"/>
      <c r="L642" s="687"/>
      <c r="M642" s="687"/>
      <c r="N642" s="687"/>
      <c r="O642" s="687"/>
      <c r="P642" s="687"/>
      <c r="Q642" s="687"/>
      <c r="R642" s="687"/>
      <c r="S642" s="687"/>
      <c r="T642" s="687"/>
      <c r="U642" s="687"/>
      <c r="V642" s="687"/>
      <c r="W642" s="687"/>
      <c r="X642" s="687"/>
      <c r="Y642" s="687"/>
      <c r="Z642" s="687"/>
    </row>
    <row r="643" customHeight="1" spans="1:26">
      <c r="A643" s="686"/>
      <c r="B643" s="686"/>
      <c r="C643" s="686"/>
      <c r="D643" s="687"/>
      <c r="E643" s="687"/>
      <c r="F643" s="687"/>
      <c r="G643" s="687"/>
      <c r="H643" s="687"/>
      <c r="I643" s="687"/>
      <c r="J643" s="687"/>
      <c r="K643" s="687"/>
      <c r="L643" s="687"/>
      <c r="M643" s="687"/>
      <c r="N643" s="687"/>
      <c r="O643" s="687"/>
      <c r="P643" s="687"/>
      <c r="Q643" s="687"/>
      <c r="R643" s="687"/>
      <c r="S643" s="687"/>
      <c r="T643" s="687"/>
      <c r="U643" s="687"/>
      <c r="V643" s="687"/>
      <c r="W643" s="687"/>
      <c r="X643" s="687"/>
      <c r="Y643" s="687"/>
      <c r="Z643" s="687"/>
    </row>
    <row r="644" customHeight="1" spans="1:26">
      <c r="A644" s="686"/>
      <c r="B644" s="686"/>
      <c r="C644" s="686"/>
      <c r="D644" s="687"/>
      <c r="E644" s="687"/>
      <c r="F644" s="687"/>
      <c r="G644" s="687"/>
      <c r="H644" s="687"/>
      <c r="I644" s="687"/>
      <c r="J644" s="687"/>
      <c r="K644" s="687"/>
      <c r="L644" s="687"/>
      <c r="M644" s="687"/>
      <c r="N644" s="687"/>
      <c r="O644" s="687"/>
      <c r="P644" s="687"/>
      <c r="Q644" s="687"/>
      <c r="R644" s="687"/>
      <c r="S644" s="687"/>
      <c r="T644" s="687"/>
      <c r="U644" s="687"/>
      <c r="V644" s="687"/>
      <c r="W644" s="687"/>
      <c r="X644" s="687"/>
      <c r="Y644" s="687"/>
      <c r="Z644" s="687"/>
    </row>
    <row r="645" customHeight="1" spans="1:26">
      <c r="A645" s="686"/>
      <c r="B645" s="686"/>
      <c r="C645" s="686"/>
      <c r="D645" s="687"/>
      <c r="E645" s="687"/>
      <c r="F645" s="687"/>
      <c r="G645" s="687"/>
      <c r="H645" s="687"/>
      <c r="I645" s="687"/>
      <c r="J645" s="687"/>
      <c r="K645" s="687"/>
      <c r="L645" s="687"/>
      <c r="M645" s="687"/>
      <c r="N645" s="687"/>
      <c r="O645" s="687"/>
      <c r="P645" s="687"/>
      <c r="Q645" s="687"/>
      <c r="R645" s="687"/>
      <c r="S645" s="687"/>
      <c r="T645" s="687"/>
      <c r="U645" s="687"/>
      <c r="V645" s="687"/>
      <c r="W645" s="687"/>
      <c r="X645" s="687"/>
      <c r="Y645" s="687"/>
      <c r="Z645" s="687"/>
    </row>
    <row r="646" customHeight="1" spans="1:26">
      <c r="A646" s="686"/>
      <c r="B646" s="686"/>
      <c r="C646" s="686"/>
      <c r="D646" s="687"/>
      <c r="E646" s="687"/>
      <c r="F646" s="687"/>
      <c r="G646" s="687"/>
      <c r="H646" s="687"/>
      <c r="I646" s="687"/>
      <c r="J646" s="687"/>
      <c r="K646" s="687"/>
      <c r="L646" s="687"/>
      <c r="M646" s="687"/>
      <c r="N646" s="687"/>
      <c r="O646" s="687"/>
      <c r="P646" s="687"/>
      <c r="Q646" s="687"/>
      <c r="R646" s="687"/>
      <c r="S646" s="687"/>
      <c r="T646" s="687"/>
      <c r="U646" s="687"/>
      <c r="V646" s="687"/>
      <c r="W646" s="687"/>
      <c r="X646" s="687"/>
      <c r="Y646" s="687"/>
      <c r="Z646" s="687"/>
    </row>
    <row r="647" customHeight="1" spans="1:26">
      <c r="A647" s="686"/>
      <c r="B647" s="686"/>
      <c r="C647" s="686"/>
      <c r="D647" s="687"/>
      <c r="E647" s="687"/>
      <c r="F647" s="687"/>
      <c r="G647" s="687"/>
      <c r="H647" s="687"/>
      <c r="I647" s="687"/>
      <c r="J647" s="687"/>
      <c r="K647" s="687"/>
      <c r="L647" s="687"/>
      <c r="M647" s="687"/>
      <c r="N647" s="687"/>
      <c r="O647" s="687"/>
      <c r="P647" s="687"/>
      <c r="Q647" s="687"/>
      <c r="R647" s="687"/>
      <c r="S647" s="687"/>
      <c r="T647" s="687"/>
      <c r="U647" s="687"/>
      <c r="V647" s="687"/>
      <c r="W647" s="687"/>
      <c r="X647" s="687"/>
      <c r="Y647" s="687"/>
      <c r="Z647" s="687"/>
    </row>
    <row r="648" customHeight="1" spans="1:26">
      <c r="A648" s="686"/>
      <c r="B648" s="686"/>
      <c r="C648" s="686"/>
      <c r="D648" s="687"/>
      <c r="E648" s="687"/>
      <c r="F648" s="687"/>
      <c r="G648" s="687"/>
      <c r="H648" s="687"/>
      <c r="I648" s="687"/>
      <c r="J648" s="687"/>
      <c r="K648" s="687"/>
      <c r="L648" s="687"/>
      <c r="M648" s="687"/>
      <c r="N648" s="687"/>
      <c r="O648" s="687"/>
      <c r="P648" s="687"/>
      <c r="Q648" s="687"/>
      <c r="R648" s="687"/>
      <c r="S648" s="687"/>
      <c r="T648" s="687"/>
      <c r="U648" s="687"/>
      <c r="V648" s="687"/>
      <c r="W648" s="687"/>
      <c r="X648" s="687"/>
      <c r="Y648" s="687"/>
      <c r="Z648" s="687"/>
    </row>
    <row r="649" customHeight="1" spans="1:26">
      <c r="A649" s="686"/>
      <c r="B649" s="686"/>
      <c r="C649" s="686"/>
      <c r="D649" s="687"/>
      <c r="E649" s="687"/>
      <c r="F649" s="687"/>
      <c r="G649" s="687"/>
      <c r="H649" s="687"/>
      <c r="I649" s="687"/>
      <c r="J649" s="687"/>
      <c r="K649" s="687"/>
      <c r="L649" s="687"/>
      <c r="M649" s="687"/>
      <c r="N649" s="687"/>
      <c r="O649" s="687"/>
      <c r="P649" s="687"/>
      <c r="Q649" s="687"/>
      <c r="R649" s="687"/>
      <c r="S649" s="687"/>
      <c r="T649" s="687"/>
      <c r="U649" s="687"/>
      <c r="V649" s="687"/>
      <c r="W649" s="687"/>
      <c r="X649" s="687"/>
      <c r="Y649" s="687"/>
      <c r="Z649" s="687"/>
    </row>
    <row r="650" customHeight="1" spans="1:26">
      <c r="A650" s="686"/>
      <c r="B650" s="686"/>
      <c r="C650" s="686"/>
      <c r="D650" s="687"/>
      <c r="E650" s="687"/>
      <c r="F650" s="687"/>
      <c r="G650" s="687"/>
      <c r="H650" s="687"/>
      <c r="I650" s="687"/>
      <c r="J650" s="687"/>
      <c r="K650" s="687"/>
      <c r="L650" s="687"/>
      <c r="M650" s="687"/>
      <c r="N650" s="687"/>
      <c r="O650" s="687"/>
      <c r="P650" s="687"/>
      <c r="Q650" s="687"/>
      <c r="R650" s="687"/>
      <c r="S650" s="687"/>
      <c r="T650" s="687"/>
      <c r="U650" s="687"/>
      <c r="V650" s="687"/>
      <c r="W650" s="687"/>
      <c r="X650" s="687"/>
      <c r="Y650" s="687"/>
      <c r="Z650" s="687"/>
    </row>
    <row r="651" customHeight="1" spans="1:26">
      <c r="A651" s="686"/>
      <c r="B651" s="686"/>
      <c r="C651" s="686"/>
      <c r="D651" s="687"/>
      <c r="E651" s="687"/>
      <c r="F651" s="687"/>
      <c r="G651" s="687"/>
      <c r="H651" s="687"/>
      <c r="I651" s="687"/>
      <c r="J651" s="687"/>
      <c r="K651" s="687"/>
      <c r="L651" s="687"/>
      <c r="M651" s="687"/>
      <c r="N651" s="687"/>
      <c r="O651" s="687"/>
      <c r="P651" s="687"/>
      <c r="Q651" s="687"/>
      <c r="R651" s="687"/>
      <c r="S651" s="687"/>
      <c r="T651" s="687"/>
      <c r="U651" s="687"/>
      <c r="V651" s="687"/>
      <c r="W651" s="687"/>
      <c r="X651" s="687"/>
      <c r="Y651" s="687"/>
      <c r="Z651" s="687"/>
    </row>
    <row r="652" customHeight="1" spans="1:26">
      <c r="A652" s="686"/>
      <c r="B652" s="686"/>
      <c r="C652" s="686"/>
      <c r="D652" s="687"/>
      <c r="E652" s="687"/>
      <c r="F652" s="687"/>
      <c r="G652" s="687"/>
      <c r="H652" s="687"/>
      <c r="I652" s="687"/>
      <c r="J652" s="687"/>
      <c r="K652" s="687"/>
      <c r="L652" s="687"/>
      <c r="M652" s="687"/>
      <c r="N652" s="687"/>
      <c r="O652" s="687"/>
      <c r="P652" s="687"/>
      <c r="Q652" s="687"/>
      <c r="R652" s="687"/>
      <c r="S652" s="687"/>
      <c r="T652" s="687"/>
      <c r="U652" s="687"/>
      <c r="V652" s="687"/>
      <c r="W652" s="687"/>
      <c r="X652" s="687"/>
      <c r="Y652" s="687"/>
      <c r="Z652" s="687"/>
    </row>
    <row r="653" customHeight="1" spans="1:26">
      <c r="A653" s="686"/>
      <c r="B653" s="686"/>
      <c r="C653" s="686"/>
      <c r="D653" s="687"/>
      <c r="E653" s="687"/>
      <c r="F653" s="687"/>
      <c r="G653" s="687"/>
      <c r="H653" s="687"/>
      <c r="I653" s="687"/>
      <c r="J653" s="687"/>
      <c r="K653" s="687"/>
      <c r="L653" s="687"/>
      <c r="M653" s="687"/>
      <c r="N653" s="687"/>
      <c r="O653" s="687"/>
      <c r="P653" s="687"/>
      <c r="Q653" s="687"/>
      <c r="R653" s="687"/>
      <c r="S653" s="687"/>
      <c r="T653" s="687"/>
      <c r="U653" s="687"/>
      <c r="V653" s="687"/>
      <c r="W653" s="687"/>
      <c r="X653" s="687"/>
      <c r="Y653" s="687"/>
      <c r="Z653" s="687"/>
    </row>
    <row r="654" customHeight="1" spans="1:26">
      <c r="A654" s="686"/>
      <c r="B654" s="686"/>
      <c r="C654" s="686"/>
      <c r="D654" s="687"/>
      <c r="E654" s="687"/>
      <c r="F654" s="687"/>
      <c r="G654" s="687"/>
      <c r="H654" s="687"/>
      <c r="I654" s="687"/>
      <c r="J654" s="687"/>
      <c r="K654" s="687"/>
      <c r="L654" s="687"/>
      <c r="M654" s="687"/>
      <c r="N654" s="687"/>
      <c r="O654" s="687"/>
      <c r="P654" s="687"/>
      <c r="Q654" s="687"/>
      <c r="R654" s="687"/>
      <c r="S654" s="687"/>
      <c r="T654" s="687"/>
      <c r="U654" s="687"/>
      <c r="V654" s="687"/>
      <c r="W654" s="687"/>
      <c r="X654" s="687"/>
      <c r="Y654" s="687"/>
      <c r="Z654" s="687"/>
    </row>
    <row r="655" customHeight="1" spans="1:26">
      <c r="A655" s="686"/>
      <c r="B655" s="686"/>
      <c r="C655" s="686"/>
      <c r="D655" s="687"/>
      <c r="E655" s="687"/>
      <c r="F655" s="687"/>
      <c r="G655" s="687"/>
      <c r="H655" s="687"/>
      <c r="I655" s="687"/>
      <c r="J655" s="687"/>
      <c r="K655" s="687"/>
      <c r="L655" s="687"/>
      <c r="M655" s="687"/>
      <c r="N655" s="687"/>
      <c r="O655" s="687"/>
      <c r="P655" s="687"/>
      <c r="Q655" s="687"/>
      <c r="R655" s="687"/>
      <c r="S655" s="687"/>
      <c r="T655" s="687"/>
      <c r="U655" s="687"/>
      <c r="V655" s="687"/>
      <c r="W655" s="687"/>
      <c r="X655" s="687"/>
      <c r="Y655" s="687"/>
      <c r="Z655" s="687"/>
    </row>
    <row r="656" customHeight="1" spans="1:26">
      <c r="A656" s="686"/>
      <c r="B656" s="686"/>
      <c r="C656" s="686"/>
      <c r="D656" s="687"/>
      <c r="E656" s="687"/>
      <c r="F656" s="687"/>
      <c r="G656" s="687"/>
      <c r="H656" s="687"/>
      <c r="I656" s="687"/>
      <c r="J656" s="687"/>
      <c r="K656" s="687"/>
      <c r="L656" s="687"/>
      <c r="M656" s="687"/>
      <c r="N656" s="687"/>
      <c r="O656" s="687"/>
      <c r="P656" s="687"/>
      <c r="Q656" s="687"/>
      <c r="R656" s="687"/>
      <c r="S656" s="687"/>
      <c r="T656" s="687"/>
      <c r="U656" s="687"/>
      <c r="V656" s="687"/>
      <c r="W656" s="687"/>
      <c r="X656" s="687"/>
      <c r="Y656" s="687"/>
      <c r="Z656" s="687"/>
    </row>
    <row r="657" customHeight="1" spans="1:26">
      <c r="A657" s="686"/>
      <c r="B657" s="686"/>
      <c r="C657" s="686"/>
      <c r="D657" s="687"/>
      <c r="E657" s="687"/>
      <c r="F657" s="687"/>
      <c r="G657" s="687"/>
      <c r="H657" s="687"/>
      <c r="I657" s="687"/>
      <c r="J657" s="687"/>
      <c r="K657" s="687"/>
      <c r="L657" s="687"/>
      <c r="M657" s="687"/>
      <c r="N657" s="687"/>
      <c r="O657" s="687"/>
      <c r="P657" s="687"/>
      <c r="Q657" s="687"/>
      <c r="R657" s="687"/>
      <c r="S657" s="687"/>
      <c r="T657" s="687"/>
      <c r="U657" s="687"/>
      <c r="V657" s="687"/>
      <c r="W657" s="687"/>
      <c r="X657" s="687"/>
      <c r="Y657" s="687"/>
      <c r="Z657" s="687"/>
    </row>
    <row r="658" customHeight="1" spans="1:26">
      <c r="A658" s="686"/>
      <c r="B658" s="686"/>
      <c r="C658" s="686"/>
      <c r="D658" s="687"/>
      <c r="E658" s="687"/>
      <c r="F658" s="687"/>
      <c r="G658" s="687"/>
      <c r="H658" s="687"/>
      <c r="I658" s="687"/>
      <c r="J658" s="687"/>
      <c r="K658" s="687"/>
      <c r="L658" s="687"/>
      <c r="M658" s="687"/>
      <c r="N658" s="687"/>
      <c r="O658" s="687"/>
      <c r="P658" s="687"/>
      <c r="Q658" s="687"/>
      <c r="R658" s="687"/>
      <c r="S658" s="687"/>
      <c r="T658" s="687"/>
      <c r="U658" s="687"/>
      <c r="V658" s="687"/>
      <c r="W658" s="687"/>
      <c r="X658" s="687"/>
      <c r="Y658" s="687"/>
      <c r="Z658" s="687"/>
    </row>
    <row r="659" customHeight="1" spans="1:26">
      <c r="A659" s="686"/>
      <c r="B659" s="686"/>
      <c r="C659" s="686"/>
      <c r="D659" s="687"/>
      <c r="E659" s="687"/>
      <c r="F659" s="687"/>
      <c r="G659" s="687"/>
      <c r="H659" s="687"/>
      <c r="I659" s="687"/>
      <c r="J659" s="687"/>
      <c r="K659" s="687"/>
      <c r="L659" s="687"/>
      <c r="M659" s="687"/>
      <c r="N659" s="687"/>
      <c r="O659" s="687"/>
      <c r="P659" s="687"/>
      <c r="Q659" s="687"/>
      <c r="R659" s="687"/>
      <c r="S659" s="687"/>
      <c r="T659" s="687"/>
      <c r="U659" s="687"/>
      <c r="V659" s="687"/>
      <c r="W659" s="687"/>
      <c r="X659" s="687"/>
      <c r="Y659" s="687"/>
      <c r="Z659" s="687"/>
    </row>
    <row r="660" customHeight="1" spans="1:26">
      <c r="A660" s="686"/>
      <c r="B660" s="686"/>
      <c r="C660" s="686"/>
      <c r="D660" s="687"/>
      <c r="E660" s="687"/>
      <c r="F660" s="687"/>
      <c r="G660" s="687"/>
      <c r="H660" s="687"/>
      <c r="I660" s="687"/>
      <c r="J660" s="687"/>
      <c r="K660" s="687"/>
      <c r="L660" s="687"/>
      <c r="M660" s="687"/>
      <c r="N660" s="687"/>
      <c r="O660" s="687"/>
      <c r="P660" s="687"/>
      <c r="Q660" s="687"/>
      <c r="R660" s="687"/>
      <c r="S660" s="687"/>
      <c r="T660" s="687"/>
      <c r="U660" s="687"/>
      <c r="V660" s="687"/>
      <c r="W660" s="687"/>
      <c r="X660" s="687"/>
      <c r="Y660" s="687"/>
      <c r="Z660" s="687"/>
    </row>
    <row r="661" customHeight="1" spans="1:26">
      <c r="A661" s="686"/>
      <c r="B661" s="686"/>
      <c r="C661" s="686"/>
      <c r="D661" s="687"/>
      <c r="E661" s="687"/>
      <c r="F661" s="687"/>
      <c r="G661" s="687"/>
      <c r="H661" s="687"/>
      <c r="I661" s="687"/>
      <c r="J661" s="687"/>
      <c r="K661" s="687"/>
      <c r="L661" s="687"/>
      <c r="M661" s="687"/>
      <c r="N661" s="687"/>
      <c r="O661" s="687"/>
      <c r="P661" s="687"/>
      <c r="Q661" s="687"/>
      <c r="R661" s="687"/>
      <c r="S661" s="687"/>
      <c r="T661" s="687"/>
      <c r="U661" s="687"/>
      <c r="V661" s="687"/>
      <c r="W661" s="687"/>
      <c r="X661" s="687"/>
      <c r="Y661" s="687"/>
      <c r="Z661" s="687"/>
    </row>
    <row r="662" customHeight="1" spans="1:26">
      <c r="A662" s="686"/>
      <c r="B662" s="686"/>
      <c r="C662" s="686"/>
      <c r="D662" s="687"/>
      <c r="E662" s="687"/>
      <c r="F662" s="687"/>
      <c r="G662" s="687"/>
      <c r="H662" s="687"/>
      <c r="I662" s="687"/>
      <c r="J662" s="687"/>
      <c r="K662" s="687"/>
      <c r="L662" s="687"/>
      <c r="M662" s="687"/>
      <c r="N662" s="687"/>
      <c r="O662" s="687"/>
      <c r="P662" s="687"/>
      <c r="Q662" s="687"/>
      <c r="R662" s="687"/>
      <c r="S662" s="687"/>
      <c r="T662" s="687"/>
      <c r="U662" s="687"/>
      <c r="V662" s="687"/>
      <c r="W662" s="687"/>
      <c r="X662" s="687"/>
      <c r="Y662" s="687"/>
      <c r="Z662" s="687"/>
    </row>
    <row r="663" customHeight="1" spans="1:26">
      <c r="A663" s="686"/>
      <c r="B663" s="686"/>
      <c r="C663" s="686"/>
      <c r="D663" s="687"/>
      <c r="E663" s="687"/>
      <c r="F663" s="687"/>
      <c r="G663" s="687"/>
      <c r="H663" s="687"/>
      <c r="I663" s="687"/>
      <c r="J663" s="687"/>
      <c r="K663" s="687"/>
      <c r="L663" s="687"/>
      <c r="M663" s="687"/>
      <c r="N663" s="687"/>
      <c r="O663" s="687"/>
      <c r="P663" s="687"/>
      <c r="Q663" s="687"/>
      <c r="R663" s="687"/>
      <c r="S663" s="687"/>
      <c r="T663" s="687"/>
      <c r="U663" s="687"/>
      <c r="V663" s="687"/>
      <c r="W663" s="687"/>
      <c r="X663" s="687"/>
      <c r="Y663" s="687"/>
      <c r="Z663" s="687"/>
    </row>
    <row r="664" customHeight="1" spans="1:26">
      <c r="A664" s="686"/>
      <c r="B664" s="686"/>
      <c r="C664" s="686"/>
      <c r="D664" s="687"/>
      <c r="E664" s="687"/>
      <c r="F664" s="687"/>
      <c r="G664" s="687"/>
      <c r="H664" s="687"/>
      <c r="I664" s="687"/>
      <c r="J664" s="687"/>
      <c r="K664" s="687"/>
      <c r="L664" s="687"/>
      <c r="M664" s="687"/>
      <c r="N664" s="687"/>
      <c r="O664" s="687"/>
      <c r="P664" s="687"/>
      <c r="Q664" s="687"/>
      <c r="R664" s="687"/>
      <c r="S664" s="687"/>
      <c r="T664" s="687"/>
      <c r="U664" s="687"/>
      <c r="V664" s="687"/>
      <c r="W664" s="687"/>
      <c r="X664" s="687"/>
      <c r="Y664" s="687"/>
      <c r="Z664" s="687"/>
    </row>
    <row r="665" customHeight="1" spans="1:26">
      <c r="A665" s="686"/>
      <c r="B665" s="686"/>
      <c r="C665" s="686"/>
      <c r="D665" s="687"/>
      <c r="E665" s="687"/>
      <c r="F665" s="687"/>
      <c r="G665" s="687"/>
      <c r="H665" s="687"/>
      <c r="I665" s="687"/>
      <c r="J665" s="687"/>
      <c r="K665" s="687"/>
      <c r="L665" s="687"/>
      <c r="M665" s="687"/>
      <c r="N665" s="687"/>
      <c r="O665" s="687"/>
      <c r="P665" s="687"/>
      <c r="Q665" s="687"/>
      <c r="R665" s="687"/>
      <c r="S665" s="687"/>
      <c r="T665" s="687"/>
      <c r="U665" s="687"/>
      <c r="V665" s="687"/>
      <c r="W665" s="687"/>
      <c r="X665" s="687"/>
      <c r="Y665" s="687"/>
      <c r="Z665" s="687"/>
    </row>
    <row r="666" customHeight="1" spans="1:26">
      <c r="A666" s="686"/>
      <c r="B666" s="686"/>
      <c r="C666" s="686"/>
      <c r="D666" s="687"/>
      <c r="E666" s="687"/>
      <c r="F666" s="687"/>
      <c r="G666" s="687"/>
      <c r="H666" s="687"/>
      <c r="I666" s="687"/>
      <c r="J666" s="687"/>
      <c r="K666" s="687"/>
      <c r="L666" s="687"/>
      <c r="M666" s="687"/>
      <c r="N666" s="687"/>
      <c r="O666" s="687"/>
      <c r="P666" s="687"/>
      <c r="Q666" s="687"/>
      <c r="R666" s="687"/>
      <c r="S666" s="687"/>
      <c r="T666" s="687"/>
      <c r="U666" s="687"/>
      <c r="V666" s="687"/>
      <c r="W666" s="687"/>
      <c r="X666" s="687"/>
      <c r="Y666" s="687"/>
      <c r="Z666" s="687"/>
    </row>
    <row r="667" customHeight="1" spans="1:26">
      <c r="A667" s="686"/>
      <c r="B667" s="686"/>
      <c r="C667" s="686"/>
      <c r="D667" s="687"/>
      <c r="E667" s="687"/>
      <c r="F667" s="687"/>
      <c r="G667" s="687"/>
      <c r="H667" s="687"/>
      <c r="I667" s="687"/>
      <c r="J667" s="687"/>
      <c r="K667" s="687"/>
      <c r="L667" s="687"/>
      <c r="M667" s="687"/>
      <c r="N667" s="687"/>
      <c r="O667" s="687"/>
      <c r="P667" s="687"/>
      <c r="Q667" s="687"/>
      <c r="R667" s="687"/>
      <c r="S667" s="687"/>
      <c r="T667" s="687"/>
      <c r="U667" s="687"/>
      <c r="V667" s="687"/>
      <c r="W667" s="687"/>
      <c r="X667" s="687"/>
      <c r="Y667" s="687"/>
      <c r="Z667" s="687"/>
    </row>
    <row r="668" customHeight="1" spans="1:26">
      <c r="A668" s="686"/>
      <c r="B668" s="686"/>
      <c r="C668" s="686"/>
      <c r="D668" s="687"/>
      <c r="E668" s="687"/>
      <c r="F668" s="687"/>
      <c r="G668" s="687"/>
      <c r="H668" s="687"/>
      <c r="I668" s="687"/>
      <c r="J668" s="687"/>
      <c r="K668" s="687"/>
      <c r="L668" s="687"/>
      <c r="M668" s="687"/>
      <c r="N668" s="687"/>
      <c r="O668" s="687"/>
      <c r="P668" s="687"/>
      <c r="Q668" s="687"/>
      <c r="R668" s="687"/>
      <c r="S668" s="687"/>
      <c r="T668" s="687"/>
      <c r="U668" s="687"/>
      <c r="V668" s="687"/>
      <c r="W668" s="687"/>
      <c r="X668" s="687"/>
      <c r="Y668" s="687"/>
      <c r="Z668" s="687"/>
    </row>
    <row r="669" customHeight="1" spans="1:26">
      <c r="A669" s="686"/>
      <c r="B669" s="686"/>
      <c r="C669" s="686"/>
      <c r="D669" s="687"/>
      <c r="E669" s="687"/>
      <c r="F669" s="687"/>
      <c r="G669" s="687"/>
      <c r="H669" s="687"/>
      <c r="I669" s="687"/>
      <c r="J669" s="687"/>
      <c r="K669" s="687"/>
      <c r="L669" s="687"/>
      <c r="M669" s="687"/>
      <c r="N669" s="687"/>
      <c r="O669" s="687"/>
      <c r="P669" s="687"/>
      <c r="Q669" s="687"/>
      <c r="R669" s="687"/>
      <c r="S669" s="687"/>
      <c r="T669" s="687"/>
      <c r="U669" s="687"/>
      <c r="V669" s="687"/>
      <c r="W669" s="687"/>
      <c r="X669" s="687"/>
      <c r="Y669" s="687"/>
      <c r="Z669" s="687"/>
    </row>
    <row r="670" customHeight="1" spans="1:26">
      <c r="A670" s="686"/>
      <c r="B670" s="686"/>
      <c r="C670" s="686"/>
      <c r="D670" s="687"/>
      <c r="E670" s="687"/>
      <c r="F670" s="687"/>
      <c r="G670" s="687"/>
      <c r="H670" s="687"/>
      <c r="I670" s="687"/>
      <c r="J670" s="687"/>
      <c r="K670" s="687"/>
      <c r="L670" s="687"/>
      <c r="M670" s="687"/>
      <c r="N670" s="687"/>
      <c r="O670" s="687"/>
      <c r="P670" s="687"/>
      <c r="Q670" s="687"/>
      <c r="R670" s="687"/>
      <c r="S670" s="687"/>
      <c r="T670" s="687"/>
      <c r="U670" s="687"/>
      <c r="V670" s="687"/>
      <c r="W670" s="687"/>
      <c r="X670" s="687"/>
      <c r="Y670" s="687"/>
      <c r="Z670" s="687"/>
    </row>
    <row r="671" customHeight="1" spans="1:26">
      <c r="A671" s="686"/>
      <c r="B671" s="686"/>
      <c r="C671" s="686"/>
      <c r="D671" s="687"/>
      <c r="E671" s="687"/>
      <c r="F671" s="687"/>
      <c r="G671" s="687"/>
      <c r="H671" s="687"/>
      <c r="I671" s="687"/>
      <c r="J671" s="687"/>
      <c r="K671" s="687"/>
      <c r="L671" s="687"/>
      <c r="M671" s="687"/>
      <c r="N671" s="687"/>
      <c r="O671" s="687"/>
      <c r="P671" s="687"/>
      <c r="Q671" s="687"/>
      <c r="R671" s="687"/>
      <c r="S671" s="687"/>
      <c r="T671" s="687"/>
      <c r="U671" s="687"/>
      <c r="V671" s="687"/>
      <c r="W671" s="687"/>
      <c r="X671" s="687"/>
      <c r="Y671" s="687"/>
      <c r="Z671" s="687"/>
    </row>
    <row r="672" customHeight="1" spans="1:26">
      <c r="A672" s="686"/>
      <c r="B672" s="686"/>
      <c r="C672" s="686"/>
      <c r="D672" s="687"/>
      <c r="E672" s="687"/>
      <c r="F672" s="687"/>
      <c r="G672" s="687"/>
      <c r="H672" s="687"/>
      <c r="I672" s="687"/>
      <c r="J672" s="687"/>
      <c r="K672" s="687"/>
      <c r="L672" s="687"/>
      <c r="M672" s="687"/>
      <c r="N672" s="687"/>
      <c r="O672" s="687"/>
      <c r="P672" s="687"/>
      <c r="Q672" s="687"/>
      <c r="R672" s="687"/>
      <c r="S672" s="687"/>
      <c r="T672" s="687"/>
      <c r="U672" s="687"/>
      <c r="V672" s="687"/>
      <c r="W672" s="687"/>
      <c r="X672" s="687"/>
      <c r="Y672" s="687"/>
      <c r="Z672" s="687"/>
    </row>
    <row r="673" customHeight="1" spans="1:26">
      <c r="A673" s="686"/>
      <c r="B673" s="686"/>
      <c r="C673" s="686"/>
      <c r="D673" s="687"/>
      <c r="E673" s="687"/>
      <c r="F673" s="687"/>
      <c r="G673" s="687"/>
      <c r="H673" s="687"/>
      <c r="I673" s="687"/>
      <c r="J673" s="687"/>
      <c r="K673" s="687"/>
      <c r="L673" s="687"/>
      <c r="M673" s="687"/>
      <c r="N673" s="687"/>
      <c r="O673" s="687"/>
      <c r="P673" s="687"/>
      <c r="Q673" s="687"/>
      <c r="R673" s="687"/>
      <c r="S673" s="687"/>
      <c r="T673" s="687"/>
      <c r="U673" s="687"/>
      <c r="V673" s="687"/>
      <c r="W673" s="687"/>
      <c r="X673" s="687"/>
      <c r="Y673" s="687"/>
      <c r="Z673" s="687"/>
    </row>
    <row r="674" customHeight="1" spans="1:26">
      <c r="A674" s="686"/>
      <c r="B674" s="686"/>
      <c r="C674" s="686"/>
      <c r="D674" s="687"/>
      <c r="E674" s="687"/>
      <c r="F674" s="687"/>
      <c r="G674" s="687"/>
      <c r="H674" s="687"/>
      <c r="I674" s="687"/>
      <c r="J674" s="687"/>
      <c r="K674" s="687"/>
      <c r="L674" s="687"/>
      <c r="M674" s="687"/>
      <c r="N674" s="687"/>
      <c r="O674" s="687"/>
      <c r="P674" s="687"/>
      <c r="Q674" s="687"/>
      <c r="R674" s="687"/>
      <c r="S674" s="687"/>
      <c r="T674" s="687"/>
      <c r="U674" s="687"/>
      <c r="V674" s="687"/>
      <c r="W674" s="687"/>
      <c r="X674" s="687"/>
      <c r="Y674" s="687"/>
      <c r="Z674" s="687"/>
    </row>
    <row r="675" customHeight="1" spans="1:26">
      <c r="A675" s="686"/>
      <c r="B675" s="686"/>
      <c r="C675" s="686"/>
      <c r="D675" s="687"/>
      <c r="E675" s="687"/>
      <c r="F675" s="687"/>
      <c r="G675" s="687"/>
      <c r="H675" s="687"/>
      <c r="I675" s="687"/>
      <c r="J675" s="687"/>
      <c r="K675" s="687"/>
      <c r="L675" s="687"/>
      <c r="M675" s="687"/>
      <c r="N675" s="687"/>
      <c r="O675" s="687"/>
      <c r="P675" s="687"/>
      <c r="Q675" s="687"/>
      <c r="R675" s="687"/>
      <c r="S675" s="687"/>
      <c r="T675" s="687"/>
      <c r="U675" s="687"/>
      <c r="V675" s="687"/>
      <c r="W675" s="687"/>
      <c r="X675" s="687"/>
      <c r="Y675" s="687"/>
      <c r="Z675" s="687"/>
    </row>
    <row r="676" customHeight="1" spans="1:26">
      <c r="A676" s="686"/>
      <c r="B676" s="686"/>
      <c r="C676" s="686"/>
      <c r="D676" s="687"/>
      <c r="E676" s="687"/>
      <c r="F676" s="687"/>
      <c r="G676" s="687"/>
      <c r="H676" s="687"/>
      <c r="I676" s="687"/>
      <c r="J676" s="687"/>
      <c r="K676" s="687"/>
      <c r="L676" s="687"/>
      <c r="M676" s="687"/>
      <c r="N676" s="687"/>
      <c r="O676" s="687"/>
      <c r="P676" s="687"/>
      <c r="Q676" s="687"/>
      <c r="R676" s="687"/>
      <c r="S676" s="687"/>
      <c r="T676" s="687"/>
      <c r="U676" s="687"/>
      <c r="V676" s="687"/>
      <c r="W676" s="687"/>
      <c r="X676" s="687"/>
      <c r="Y676" s="687"/>
      <c r="Z676" s="687"/>
    </row>
    <row r="677" customHeight="1" spans="1:26">
      <c r="A677" s="686"/>
      <c r="B677" s="686"/>
      <c r="C677" s="686"/>
      <c r="D677" s="687"/>
      <c r="E677" s="687"/>
      <c r="F677" s="687"/>
      <c r="G677" s="687"/>
      <c r="H677" s="687"/>
      <c r="I677" s="687"/>
      <c r="J677" s="687"/>
      <c r="K677" s="687"/>
      <c r="L677" s="687"/>
      <c r="M677" s="687"/>
      <c r="N677" s="687"/>
      <c r="O677" s="687"/>
      <c r="P677" s="687"/>
      <c r="Q677" s="687"/>
      <c r="R677" s="687"/>
      <c r="S677" s="687"/>
      <c r="T677" s="687"/>
      <c r="U677" s="687"/>
      <c r="V677" s="687"/>
      <c r="W677" s="687"/>
      <c r="X677" s="687"/>
      <c r="Y677" s="687"/>
      <c r="Z677" s="687"/>
    </row>
    <row r="678" customHeight="1" spans="1:26">
      <c r="A678" s="686"/>
      <c r="B678" s="686"/>
      <c r="C678" s="686"/>
      <c r="D678" s="687"/>
      <c r="E678" s="687"/>
      <c r="F678" s="687"/>
      <c r="G678" s="687"/>
      <c r="H678" s="687"/>
      <c r="I678" s="687"/>
      <c r="J678" s="687"/>
      <c r="K678" s="687"/>
      <c r="L678" s="687"/>
      <c r="M678" s="687"/>
      <c r="N678" s="687"/>
      <c r="O678" s="687"/>
      <c r="P678" s="687"/>
      <c r="Q678" s="687"/>
      <c r="R678" s="687"/>
      <c r="S678" s="687"/>
      <c r="T678" s="687"/>
      <c r="U678" s="687"/>
      <c r="V678" s="687"/>
      <c r="W678" s="687"/>
      <c r="X678" s="687"/>
      <c r="Y678" s="687"/>
      <c r="Z678" s="687"/>
    </row>
    <row r="679" customHeight="1" spans="1:26">
      <c r="A679" s="686"/>
      <c r="B679" s="686"/>
      <c r="C679" s="686"/>
      <c r="D679" s="687"/>
      <c r="E679" s="687"/>
      <c r="F679" s="687"/>
      <c r="G679" s="687"/>
      <c r="H679" s="687"/>
      <c r="I679" s="687"/>
      <c r="J679" s="687"/>
      <c r="K679" s="687"/>
      <c r="L679" s="687"/>
      <c r="M679" s="687"/>
      <c r="N679" s="687"/>
      <c r="O679" s="687"/>
      <c r="P679" s="687"/>
      <c r="Q679" s="687"/>
      <c r="R679" s="687"/>
      <c r="S679" s="687"/>
      <c r="T679" s="687"/>
      <c r="U679" s="687"/>
      <c r="V679" s="687"/>
      <c r="W679" s="687"/>
      <c r="X679" s="687"/>
      <c r="Y679" s="687"/>
      <c r="Z679" s="687"/>
    </row>
    <row r="680" customHeight="1" spans="1:26">
      <c r="A680" s="686"/>
      <c r="B680" s="686"/>
      <c r="C680" s="686"/>
      <c r="D680" s="687"/>
      <c r="E680" s="687"/>
      <c r="F680" s="687"/>
      <c r="G680" s="687"/>
      <c r="H680" s="687"/>
      <c r="I680" s="687"/>
      <c r="J680" s="687"/>
      <c r="K680" s="687"/>
      <c r="L680" s="687"/>
      <c r="M680" s="687"/>
      <c r="N680" s="687"/>
      <c r="O680" s="687"/>
      <c r="P680" s="687"/>
      <c r="Q680" s="687"/>
      <c r="R680" s="687"/>
      <c r="S680" s="687"/>
      <c r="T680" s="687"/>
      <c r="U680" s="687"/>
      <c r="V680" s="687"/>
      <c r="W680" s="687"/>
      <c r="X680" s="687"/>
      <c r="Y680" s="687"/>
      <c r="Z680" s="687"/>
    </row>
    <row r="681" customHeight="1" spans="1:26">
      <c r="A681" s="686"/>
      <c r="B681" s="686"/>
      <c r="C681" s="686"/>
      <c r="D681" s="687"/>
      <c r="E681" s="687"/>
      <c r="F681" s="687"/>
      <c r="G681" s="687"/>
      <c r="H681" s="687"/>
      <c r="I681" s="687"/>
      <c r="J681" s="687"/>
      <c r="K681" s="687"/>
      <c r="L681" s="687"/>
      <c r="M681" s="687"/>
      <c r="N681" s="687"/>
      <c r="O681" s="687"/>
      <c r="P681" s="687"/>
      <c r="Q681" s="687"/>
      <c r="R681" s="687"/>
      <c r="S681" s="687"/>
      <c r="T681" s="687"/>
      <c r="U681" s="687"/>
      <c r="V681" s="687"/>
      <c r="W681" s="687"/>
      <c r="X681" s="687"/>
      <c r="Y681" s="687"/>
      <c r="Z681" s="687"/>
    </row>
    <row r="682" customHeight="1" spans="1:26">
      <c r="A682" s="686"/>
      <c r="B682" s="686"/>
      <c r="C682" s="686"/>
      <c r="D682" s="687"/>
      <c r="E682" s="687"/>
      <c r="F682" s="687"/>
      <c r="G682" s="687"/>
      <c r="H682" s="687"/>
      <c r="I682" s="687"/>
      <c r="J682" s="687"/>
      <c r="K682" s="687"/>
      <c r="L682" s="687"/>
      <c r="M682" s="687"/>
      <c r="N682" s="687"/>
      <c r="O682" s="687"/>
      <c r="P682" s="687"/>
      <c r="Q682" s="687"/>
      <c r="R682" s="687"/>
      <c r="S682" s="687"/>
      <c r="T682" s="687"/>
      <c r="U682" s="687"/>
      <c r="V682" s="687"/>
      <c r="W682" s="687"/>
      <c r="X682" s="687"/>
      <c r="Y682" s="687"/>
      <c r="Z682" s="687"/>
    </row>
    <row r="683" customHeight="1" spans="1:26">
      <c r="A683" s="686"/>
      <c r="B683" s="686"/>
      <c r="C683" s="686"/>
      <c r="D683" s="687"/>
      <c r="E683" s="687"/>
      <c r="F683" s="687"/>
      <c r="G683" s="687"/>
      <c r="H683" s="687"/>
      <c r="I683" s="687"/>
      <c r="J683" s="687"/>
      <c r="K683" s="687"/>
      <c r="L683" s="687"/>
      <c r="M683" s="687"/>
      <c r="N683" s="687"/>
      <c r="O683" s="687"/>
      <c r="P683" s="687"/>
      <c r="Q683" s="687"/>
      <c r="R683" s="687"/>
      <c r="S683" s="687"/>
      <c r="T683" s="687"/>
      <c r="U683" s="687"/>
      <c r="V683" s="687"/>
      <c r="W683" s="687"/>
      <c r="X683" s="687"/>
      <c r="Y683" s="687"/>
      <c r="Z683" s="687"/>
    </row>
    <row r="684" customHeight="1" spans="1:26">
      <c r="A684" s="686"/>
      <c r="B684" s="686"/>
      <c r="C684" s="686"/>
      <c r="D684" s="687"/>
      <c r="E684" s="687"/>
      <c r="F684" s="687"/>
      <c r="G684" s="687"/>
      <c r="H684" s="687"/>
      <c r="I684" s="687"/>
      <c r="J684" s="687"/>
      <c r="K684" s="687"/>
      <c r="L684" s="687"/>
      <c r="M684" s="687"/>
      <c r="N684" s="687"/>
      <c r="O684" s="687"/>
      <c r="P684" s="687"/>
      <c r="Q684" s="687"/>
      <c r="R684" s="687"/>
      <c r="S684" s="687"/>
      <c r="T684" s="687"/>
      <c r="U684" s="687"/>
      <c r="V684" s="687"/>
      <c r="W684" s="687"/>
      <c r="X684" s="687"/>
      <c r="Y684" s="687"/>
      <c r="Z684" s="687"/>
    </row>
    <row r="685" customHeight="1" spans="1:26">
      <c r="A685" s="686"/>
      <c r="B685" s="686"/>
      <c r="C685" s="686"/>
      <c r="D685" s="687"/>
      <c r="E685" s="687"/>
      <c r="F685" s="687"/>
      <c r="G685" s="687"/>
      <c r="H685" s="687"/>
      <c r="I685" s="687"/>
      <c r="J685" s="687"/>
      <c r="K685" s="687"/>
      <c r="L685" s="687"/>
      <c r="M685" s="687"/>
      <c r="N685" s="687"/>
      <c r="O685" s="687"/>
      <c r="P685" s="687"/>
      <c r="Q685" s="687"/>
      <c r="R685" s="687"/>
      <c r="S685" s="687"/>
      <c r="T685" s="687"/>
      <c r="U685" s="687"/>
      <c r="V685" s="687"/>
      <c r="W685" s="687"/>
      <c r="X685" s="687"/>
      <c r="Y685" s="687"/>
      <c r="Z685" s="687"/>
    </row>
    <row r="686" customHeight="1" spans="1:26">
      <c r="A686" s="686"/>
      <c r="B686" s="686"/>
      <c r="C686" s="686"/>
      <c r="D686" s="687"/>
      <c r="E686" s="687"/>
      <c r="F686" s="687"/>
      <c r="G686" s="687"/>
      <c r="H686" s="687"/>
      <c r="I686" s="687"/>
      <c r="J686" s="687"/>
      <c r="K686" s="687"/>
      <c r="L686" s="687"/>
      <c r="M686" s="687"/>
      <c r="N686" s="687"/>
      <c r="O686" s="687"/>
      <c r="P686" s="687"/>
      <c r="Q686" s="687"/>
      <c r="R686" s="687"/>
      <c r="S686" s="687"/>
      <c r="T686" s="687"/>
      <c r="U686" s="687"/>
      <c r="V686" s="687"/>
      <c r="W686" s="687"/>
      <c r="X686" s="687"/>
      <c r="Y686" s="687"/>
      <c r="Z686" s="687"/>
    </row>
    <row r="687" customHeight="1" spans="1:26">
      <c r="A687" s="686"/>
      <c r="B687" s="686"/>
      <c r="C687" s="686"/>
      <c r="D687" s="687"/>
      <c r="E687" s="687"/>
      <c r="F687" s="687"/>
      <c r="G687" s="687"/>
      <c r="H687" s="687"/>
      <c r="I687" s="687"/>
      <c r="J687" s="687"/>
      <c r="K687" s="687"/>
      <c r="L687" s="687"/>
      <c r="M687" s="687"/>
      <c r="N687" s="687"/>
      <c r="O687" s="687"/>
      <c r="P687" s="687"/>
      <c r="Q687" s="687"/>
      <c r="R687" s="687"/>
      <c r="S687" s="687"/>
      <c r="T687" s="687"/>
      <c r="U687" s="687"/>
      <c r="V687" s="687"/>
      <c r="W687" s="687"/>
      <c r="X687" s="687"/>
      <c r="Y687" s="687"/>
      <c r="Z687" s="687"/>
    </row>
    <row r="688" customHeight="1" spans="1:26">
      <c r="A688" s="686"/>
      <c r="B688" s="686"/>
      <c r="C688" s="686"/>
      <c r="D688" s="687"/>
      <c r="E688" s="687"/>
      <c r="F688" s="687"/>
      <c r="G688" s="687"/>
      <c r="H688" s="687"/>
      <c r="I688" s="687"/>
      <c r="J688" s="687"/>
      <c r="K688" s="687"/>
      <c r="L688" s="687"/>
      <c r="M688" s="687"/>
      <c r="N688" s="687"/>
      <c r="O688" s="687"/>
      <c r="P688" s="687"/>
      <c r="Q688" s="687"/>
      <c r="R688" s="687"/>
      <c r="S688" s="687"/>
      <c r="T688" s="687"/>
      <c r="U688" s="687"/>
      <c r="V688" s="687"/>
      <c r="W688" s="687"/>
      <c r="X688" s="687"/>
      <c r="Y688" s="687"/>
      <c r="Z688" s="687"/>
    </row>
    <row r="689" customHeight="1" spans="1:26">
      <c r="A689" s="686"/>
      <c r="B689" s="686"/>
      <c r="C689" s="686"/>
      <c r="D689" s="687"/>
      <c r="E689" s="687"/>
      <c r="F689" s="687"/>
      <c r="G689" s="687"/>
      <c r="H689" s="687"/>
      <c r="I689" s="687"/>
      <c r="J689" s="687"/>
      <c r="K689" s="687"/>
      <c r="L689" s="687"/>
      <c r="M689" s="687"/>
      <c r="N689" s="687"/>
      <c r="O689" s="687"/>
      <c r="P689" s="687"/>
      <c r="Q689" s="687"/>
      <c r="R689" s="687"/>
      <c r="S689" s="687"/>
      <c r="T689" s="687"/>
      <c r="U689" s="687"/>
      <c r="V689" s="687"/>
      <c r="W689" s="687"/>
      <c r="X689" s="687"/>
      <c r="Y689" s="687"/>
      <c r="Z689" s="687"/>
    </row>
    <row r="690" customHeight="1" spans="1:26">
      <c r="A690" s="686"/>
      <c r="B690" s="686"/>
      <c r="C690" s="686"/>
      <c r="D690" s="687"/>
      <c r="E690" s="687"/>
      <c r="F690" s="687"/>
      <c r="G690" s="687"/>
      <c r="H690" s="687"/>
      <c r="I690" s="687"/>
      <c r="J690" s="687"/>
      <c r="K690" s="687"/>
      <c r="L690" s="687"/>
      <c r="M690" s="687"/>
      <c r="N690" s="687"/>
      <c r="O690" s="687"/>
      <c r="P690" s="687"/>
      <c r="Q690" s="687"/>
      <c r="R690" s="687"/>
      <c r="S690" s="687"/>
      <c r="T690" s="687"/>
      <c r="U690" s="687"/>
      <c r="V690" s="687"/>
      <c r="W690" s="687"/>
      <c r="X690" s="687"/>
      <c r="Y690" s="687"/>
      <c r="Z690" s="687"/>
    </row>
    <row r="691" customHeight="1" spans="1:26">
      <c r="A691" s="686"/>
      <c r="B691" s="686"/>
      <c r="C691" s="686"/>
      <c r="D691" s="687"/>
      <c r="E691" s="687"/>
      <c r="F691" s="687"/>
      <c r="G691" s="687"/>
      <c r="H691" s="687"/>
      <c r="I691" s="687"/>
      <c r="J691" s="687"/>
      <c r="K691" s="687"/>
      <c r="L691" s="687"/>
      <c r="M691" s="687"/>
      <c r="N691" s="687"/>
      <c r="O691" s="687"/>
      <c r="P691" s="687"/>
      <c r="Q691" s="687"/>
      <c r="R691" s="687"/>
      <c r="S691" s="687"/>
      <c r="T691" s="687"/>
      <c r="U691" s="687"/>
      <c r="V691" s="687"/>
      <c r="W691" s="687"/>
      <c r="X691" s="687"/>
      <c r="Y691" s="687"/>
      <c r="Z691" s="687"/>
    </row>
    <row r="692" customHeight="1" spans="1:26">
      <c r="A692" s="686"/>
      <c r="B692" s="686"/>
      <c r="C692" s="686"/>
      <c r="D692" s="687"/>
      <c r="E692" s="687"/>
      <c r="F692" s="687"/>
      <c r="G692" s="687"/>
      <c r="H692" s="687"/>
      <c r="I692" s="687"/>
      <c r="J692" s="687"/>
      <c r="K692" s="687"/>
      <c r="L692" s="687"/>
      <c r="M692" s="687"/>
      <c r="N692" s="687"/>
      <c r="O692" s="687"/>
      <c r="P692" s="687"/>
      <c r="Q692" s="687"/>
      <c r="R692" s="687"/>
      <c r="S692" s="687"/>
      <c r="T692" s="687"/>
      <c r="U692" s="687"/>
      <c r="V692" s="687"/>
      <c r="W692" s="687"/>
      <c r="X692" s="687"/>
      <c r="Y692" s="687"/>
      <c r="Z692" s="687"/>
    </row>
    <row r="693" customHeight="1" spans="1:26">
      <c r="A693" s="686"/>
      <c r="B693" s="686"/>
      <c r="C693" s="686"/>
      <c r="D693" s="687"/>
      <c r="E693" s="687"/>
      <c r="F693" s="687"/>
      <c r="G693" s="687"/>
      <c r="H693" s="687"/>
      <c r="I693" s="687"/>
      <c r="J693" s="687"/>
      <c r="K693" s="687"/>
      <c r="L693" s="687"/>
      <c r="M693" s="687"/>
      <c r="N693" s="687"/>
      <c r="O693" s="687"/>
      <c r="P693" s="687"/>
      <c r="Q693" s="687"/>
      <c r="R693" s="687"/>
      <c r="S693" s="687"/>
      <c r="T693" s="687"/>
      <c r="U693" s="687"/>
      <c r="V693" s="687"/>
      <c r="W693" s="687"/>
      <c r="X693" s="687"/>
      <c r="Y693" s="687"/>
      <c r="Z693" s="687"/>
    </row>
    <row r="694" customHeight="1" spans="1:26">
      <c r="A694" s="686"/>
      <c r="B694" s="686"/>
      <c r="C694" s="686"/>
      <c r="D694" s="687"/>
      <c r="E694" s="687"/>
      <c r="F694" s="687"/>
      <c r="G694" s="687"/>
      <c r="H694" s="687"/>
      <c r="I694" s="687"/>
      <c r="J694" s="687"/>
      <c r="K694" s="687"/>
      <c r="L694" s="687"/>
      <c r="M694" s="687"/>
      <c r="N694" s="687"/>
      <c r="O694" s="687"/>
      <c r="P694" s="687"/>
      <c r="Q694" s="687"/>
      <c r="R694" s="687"/>
      <c r="S694" s="687"/>
      <c r="T694" s="687"/>
      <c r="U694" s="687"/>
      <c r="V694" s="687"/>
      <c r="W694" s="687"/>
      <c r="X694" s="687"/>
      <c r="Y694" s="687"/>
      <c r="Z694" s="687"/>
    </row>
    <row r="695" customHeight="1" spans="1:26">
      <c r="A695" s="686"/>
      <c r="B695" s="686"/>
      <c r="C695" s="686"/>
      <c r="D695" s="687"/>
      <c r="E695" s="687"/>
      <c r="F695" s="687"/>
      <c r="G695" s="687"/>
      <c r="H695" s="687"/>
      <c r="I695" s="687"/>
      <c r="J695" s="687"/>
      <c r="K695" s="687"/>
      <c r="L695" s="687"/>
      <c r="M695" s="687"/>
      <c r="N695" s="687"/>
      <c r="O695" s="687"/>
      <c r="P695" s="687"/>
      <c r="Q695" s="687"/>
      <c r="R695" s="687"/>
      <c r="S695" s="687"/>
      <c r="T695" s="687"/>
      <c r="U695" s="687"/>
      <c r="V695" s="687"/>
      <c r="W695" s="687"/>
      <c r="X695" s="687"/>
      <c r="Y695" s="687"/>
      <c r="Z695" s="687"/>
    </row>
    <row r="696" customHeight="1" spans="1:26">
      <c r="A696" s="686"/>
      <c r="B696" s="686"/>
      <c r="C696" s="686"/>
      <c r="D696" s="687"/>
      <c r="E696" s="687"/>
      <c r="F696" s="687"/>
      <c r="G696" s="687"/>
      <c r="H696" s="687"/>
      <c r="I696" s="687"/>
      <c r="J696" s="687"/>
      <c r="K696" s="687"/>
      <c r="L696" s="687"/>
      <c r="M696" s="687"/>
      <c r="N696" s="687"/>
      <c r="O696" s="687"/>
      <c r="P696" s="687"/>
      <c r="Q696" s="687"/>
      <c r="R696" s="687"/>
      <c r="S696" s="687"/>
      <c r="T696" s="687"/>
      <c r="U696" s="687"/>
      <c r="V696" s="687"/>
      <c r="W696" s="687"/>
      <c r="X696" s="687"/>
      <c r="Y696" s="687"/>
      <c r="Z696" s="687"/>
    </row>
    <row r="697" customHeight="1" spans="1:26">
      <c r="A697" s="686"/>
      <c r="B697" s="686"/>
      <c r="C697" s="686"/>
      <c r="D697" s="687"/>
      <c r="E697" s="687"/>
      <c r="F697" s="687"/>
      <c r="G697" s="687"/>
      <c r="H697" s="687"/>
      <c r="I697" s="687"/>
      <c r="J697" s="687"/>
      <c r="K697" s="687"/>
      <c r="L697" s="687"/>
      <c r="M697" s="687"/>
      <c r="N697" s="687"/>
      <c r="O697" s="687"/>
      <c r="P697" s="687"/>
      <c r="Q697" s="687"/>
      <c r="R697" s="687"/>
      <c r="S697" s="687"/>
      <c r="T697" s="687"/>
      <c r="U697" s="687"/>
      <c r="V697" s="687"/>
      <c r="W697" s="687"/>
      <c r="X697" s="687"/>
      <c r="Y697" s="687"/>
      <c r="Z697" s="687"/>
    </row>
    <row r="698" customHeight="1" spans="1:26">
      <c r="A698" s="686"/>
      <c r="B698" s="686"/>
      <c r="C698" s="686"/>
      <c r="D698" s="687"/>
      <c r="E698" s="687"/>
      <c r="F698" s="687"/>
      <c r="G698" s="687"/>
      <c r="H698" s="687"/>
      <c r="I698" s="687"/>
      <c r="J698" s="687"/>
      <c r="K698" s="687"/>
      <c r="L698" s="687"/>
      <c r="M698" s="687"/>
      <c r="N698" s="687"/>
      <c r="O698" s="687"/>
      <c r="P698" s="687"/>
      <c r="Q698" s="687"/>
      <c r="R698" s="687"/>
      <c r="S698" s="687"/>
      <c r="T698" s="687"/>
      <c r="U698" s="687"/>
      <c r="V698" s="687"/>
      <c r="W698" s="687"/>
      <c r="X698" s="687"/>
      <c r="Y698" s="687"/>
      <c r="Z698" s="687"/>
    </row>
    <row r="699" customHeight="1" spans="1:26">
      <c r="A699" s="686"/>
      <c r="B699" s="686"/>
      <c r="C699" s="686"/>
      <c r="D699" s="687"/>
      <c r="E699" s="687"/>
      <c r="F699" s="687"/>
      <c r="G699" s="687"/>
      <c r="H699" s="687"/>
      <c r="I699" s="687"/>
      <c r="J699" s="687"/>
      <c r="K699" s="687"/>
      <c r="L699" s="687"/>
      <c r="M699" s="687"/>
      <c r="N699" s="687"/>
      <c r="O699" s="687"/>
      <c r="P699" s="687"/>
      <c r="Q699" s="687"/>
      <c r="R699" s="687"/>
      <c r="S699" s="687"/>
      <c r="T699" s="687"/>
      <c r="U699" s="687"/>
      <c r="V699" s="687"/>
      <c r="W699" s="687"/>
      <c r="X699" s="687"/>
      <c r="Y699" s="687"/>
      <c r="Z699" s="687"/>
    </row>
    <row r="700" customHeight="1" spans="1:26">
      <c r="A700" s="686"/>
      <c r="B700" s="686"/>
      <c r="C700" s="686"/>
      <c r="D700" s="687"/>
      <c r="E700" s="687"/>
      <c r="F700" s="687"/>
      <c r="G700" s="687"/>
      <c r="H700" s="687"/>
      <c r="I700" s="687"/>
      <c r="J700" s="687"/>
      <c r="K700" s="687"/>
      <c r="L700" s="687"/>
      <c r="M700" s="687"/>
      <c r="N700" s="687"/>
      <c r="O700" s="687"/>
      <c r="P700" s="687"/>
      <c r="Q700" s="687"/>
      <c r="R700" s="687"/>
      <c r="S700" s="687"/>
      <c r="T700" s="687"/>
      <c r="U700" s="687"/>
      <c r="V700" s="687"/>
      <c r="W700" s="687"/>
      <c r="X700" s="687"/>
      <c r="Y700" s="687"/>
      <c r="Z700" s="687"/>
    </row>
    <row r="701" customHeight="1" spans="1:26">
      <c r="A701" s="686"/>
      <c r="B701" s="686"/>
      <c r="C701" s="686"/>
      <c r="D701" s="687"/>
      <c r="E701" s="687"/>
      <c r="F701" s="687"/>
      <c r="G701" s="687"/>
      <c r="H701" s="687"/>
      <c r="I701" s="687"/>
      <c r="J701" s="687"/>
      <c r="K701" s="687"/>
      <c r="L701" s="687"/>
      <c r="M701" s="687"/>
      <c r="N701" s="687"/>
      <c r="O701" s="687"/>
      <c r="P701" s="687"/>
      <c r="Q701" s="687"/>
      <c r="R701" s="687"/>
      <c r="S701" s="687"/>
      <c r="T701" s="687"/>
      <c r="U701" s="687"/>
      <c r="V701" s="687"/>
      <c r="W701" s="687"/>
      <c r="X701" s="687"/>
      <c r="Y701" s="687"/>
      <c r="Z701" s="687"/>
    </row>
    <row r="702" customHeight="1" spans="1:26">
      <c r="A702" s="686"/>
      <c r="B702" s="686"/>
      <c r="C702" s="686"/>
      <c r="D702" s="687"/>
      <c r="E702" s="687"/>
      <c r="F702" s="687"/>
      <c r="G702" s="687"/>
      <c r="H702" s="687"/>
      <c r="I702" s="687"/>
      <c r="J702" s="687"/>
      <c r="K702" s="687"/>
      <c r="L702" s="687"/>
      <c r="M702" s="687"/>
      <c r="N702" s="687"/>
      <c r="O702" s="687"/>
      <c r="P702" s="687"/>
      <c r="Q702" s="687"/>
      <c r="R702" s="687"/>
      <c r="S702" s="687"/>
      <c r="T702" s="687"/>
      <c r="U702" s="687"/>
      <c r="V702" s="687"/>
      <c r="W702" s="687"/>
      <c r="X702" s="687"/>
      <c r="Y702" s="687"/>
      <c r="Z702" s="687"/>
    </row>
    <row r="703" customHeight="1" spans="1:26">
      <c r="A703" s="686"/>
      <c r="B703" s="686"/>
      <c r="C703" s="686"/>
      <c r="D703" s="687"/>
      <c r="E703" s="687"/>
      <c r="F703" s="687"/>
      <c r="G703" s="687"/>
      <c r="H703" s="687"/>
      <c r="I703" s="687"/>
      <c r="J703" s="687"/>
      <c r="K703" s="687"/>
      <c r="L703" s="687"/>
      <c r="M703" s="687"/>
      <c r="N703" s="687"/>
      <c r="O703" s="687"/>
      <c r="P703" s="687"/>
      <c r="Q703" s="687"/>
      <c r="R703" s="687"/>
      <c r="S703" s="687"/>
      <c r="T703" s="687"/>
      <c r="U703" s="687"/>
      <c r="V703" s="687"/>
      <c r="W703" s="687"/>
      <c r="X703" s="687"/>
      <c r="Y703" s="687"/>
      <c r="Z703" s="687"/>
    </row>
    <row r="704" customHeight="1" spans="1:26">
      <c r="A704" s="686"/>
      <c r="B704" s="686"/>
      <c r="C704" s="686"/>
      <c r="D704" s="687"/>
      <c r="E704" s="687"/>
      <c r="F704" s="687"/>
      <c r="G704" s="687"/>
      <c r="H704" s="687"/>
      <c r="I704" s="687"/>
      <c r="J704" s="687"/>
      <c r="K704" s="687"/>
      <c r="L704" s="687"/>
      <c r="M704" s="687"/>
      <c r="N704" s="687"/>
      <c r="O704" s="687"/>
      <c r="P704" s="687"/>
      <c r="Q704" s="687"/>
      <c r="R704" s="687"/>
      <c r="S704" s="687"/>
      <c r="T704" s="687"/>
      <c r="U704" s="687"/>
      <c r="V704" s="687"/>
      <c r="W704" s="687"/>
      <c r="X704" s="687"/>
      <c r="Y704" s="687"/>
      <c r="Z704" s="687"/>
    </row>
    <row r="705" customHeight="1" spans="1:26">
      <c r="A705" s="686"/>
      <c r="B705" s="686"/>
      <c r="C705" s="686"/>
      <c r="D705" s="687"/>
      <c r="E705" s="687"/>
      <c r="F705" s="687"/>
      <c r="G705" s="687"/>
      <c r="H705" s="687"/>
      <c r="I705" s="687"/>
      <c r="J705" s="687"/>
      <c r="K705" s="687"/>
      <c r="L705" s="687"/>
      <c r="M705" s="687"/>
      <c r="N705" s="687"/>
      <c r="O705" s="687"/>
      <c r="P705" s="687"/>
      <c r="Q705" s="687"/>
      <c r="R705" s="687"/>
      <c r="S705" s="687"/>
      <c r="T705" s="687"/>
      <c r="U705" s="687"/>
      <c r="V705" s="687"/>
      <c r="W705" s="687"/>
      <c r="X705" s="687"/>
      <c r="Y705" s="687"/>
      <c r="Z705" s="687"/>
    </row>
    <row r="706" customHeight="1" spans="1:26">
      <c r="A706" s="686"/>
      <c r="B706" s="686"/>
      <c r="C706" s="686"/>
      <c r="D706" s="687"/>
      <c r="E706" s="687"/>
      <c r="F706" s="687"/>
      <c r="G706" s="687"/>
      <c r="H706" s="687"/>
      <c r="I706" s="687"/>
      <c r="J706" s="687"/>
      <c r="K706" s="687"/>
      <c r="L706" s="687"/>
      <c r="M706" s="687"/>
      <c r="N706" s="687"/>
      <c r="O706" s="687"/>
      <c r="P706" s="687"/>
      <c r="Q706" s="687"/>
      <c r="R706" s="687"/>
      <c r="S706" s="687"/>
      <c r="T706" s="687"/>
      <c r="U706" s="687"/>
      <c r="V706" s="687"/>
      <c r="W706" s="687"/>
      <c r="X706" s="687"/>
      <c r="Y706" s="687"/>
      <c r="Z706" s="687"/>
    </row>
    <row r="707" customHeight="1" spans="1:26">
      <c r="A707" s="686"/>
      <c r="B707" s="686"/>
      <c r="C707" s="686"/>
      <c r="D707" s="687"/>
      <c r="E707" s="687"/>
      <c r="F707" s="687"/>
      <c r="G707" s="687"/>
      <c r="H707" s="687"/>
      <c r="I707" s="687"/>
      <c r="J707" s="687"/>
      <c r="K707" s="687"/>
      <c r="L707" s="687"/>
      <c r="M707" s="687"/>
      <c r="N707" s="687"/>
      <c r="O707" s="687"/>
      <c r="P707" s="687"/>
      <c r="Q707" s="687"/>
      <c r="R707" s="687"/>
      <c r="S707" s="687"/>
      <c r="T707" s="687"/>
      <c r="U707" s="687"/>
      <c r="V707" s="687"/>
      <c r="W707" s="687"/>
      <c r="X707" s="687"/>
      <c r="Y707" s="687"/>
      <c r="Z707" s="687"/>
    </row>
    <row r="708" customHeight="1" spans="1:26">
      <c r="A708" s="686"/>
      <c r="B708" s="686"/>
      <c r="C708" s="686"/>
      <c r="D708" s="687"/>
      <c r="E708" s="687"/>
      <c r="F708" s="687"/>
      <c r="G708" s="687"/>
      <c r="H708" s="687"/>
      <c r="I708" s="687"/>
      <c r="J708" s="687"/>
      <c r="K708" s="687"/>
      <c r="L708" s="687"/>
      <c r="M708" s="687"/>
      <c r="N708" s="687"/>
      <c r="O708" s="687"/>
      <c r="P708" s="687"/>
      <c r="Q708" s="687"/>
      <c r="R708" s="687"/>
      <c r="S708" s="687"/>
      <c r="T708" s="687"/>
      <c r="U708" s="687"/>
      <c r="V708" s="687"/>
      <c r="W708" s="687"/>
      <c r="X708" s="687"/>
      <c r="Y708" s="687"/>
      <c r="Z708" s="687"/>
    </row>
    <row r="709" customHeight="1" spans="1:26">
      <c r="A709" s="686"/>
      <c r="B709" s="686"/>
      <c r="C709" s="686"/>
      <c r="D709" s="687"/>
      <c r="E709" s="687"/>
      <c r="F709" s="687"/>
      <c r="G709" s="687"/>
      <c r="H709" s="687"/>
      <c r="I709" s="687"/>
      <c r="J709" s="687"/>
      <c r="K709" s="687"/>
      <c r="L709" s="687"/>
      <c r="M709" s="687"/>
      <c r="N709" s="687"/>
      <c r="O709" s="687"/>
      <c r="P709" s="687"/>
      <c r="Q709" s="687"/>
      <c r="R709" s="687"/>
      <c r="S709" s="687"/>
      <c r="T709" s="687"/>
      <c r="U709" s="687"/>
      <c r="V709" s="687"/>
      <c r="W709" s="687"/>
      <c r="X709" s="687"/>
      <c r="Y709" s="687"/>
      <c r="Z709" s="687"/>
    </row>
    <row r="710" customHeight="1" spans="1:26">
      <c r="A710" s="686"/>
      <c r="B710" s="686"/>
      <c r="C710" s="686"/>
      <c r="D710" s="687"/>
      <c r="E710" s="687"/>
      <c r="F710" s="687"/>
      <c r="G710" s="687"/>
      <c r="H710" s="687"/>
      <c r="I710" s="687"/>
      <c r="J710" s="687"/>
      <c r="K710" s="687"/>
      <c r="L710" s="687"/>
      <c r="M710" s="687"/>
      <c r="N710" s="687"/>
      <c r="O710" s="687"/>
      <c r="P710" s="687"/>
      <c r="Q710" s="687"/>
      <c r="R710" s="687"/>
      <c r="S710" s="687"/>
      <c r="T710" s="687"/>
      <c r="U710" s="687"/>
      <c r="V710" s="687"/>
      <c r="W710" s="687"/>
      <c r="X710" s="687"/>
      <c r="Y710" s="687"/>
      <c r="Z710" s="687"/>
    </row>
    <row r="711" customHeight="1" spans="1:26">
      <c r="A711" s="686"/>
      <c r="B711" s="686"/>
      <c r="C711" s="686"/>
      <c r="D711" s="687"/>
      <c r="E711" s="687"/>
      <c r="F711" s="687"/>
      <c r="G711" s="687"/>
      <c r="H711" s="687"/>
      <c r="I711" s="687"/>
      <c r="J711" s="687"/>
      <c r="K711" s="687"/>
      <c r="L711" s="687"/>
      <c r="M711" s="687"/>
      <c r="N711" s="687"/>
      <c r="O711" s="687"/>
      <c r="P711" s="687"/>
      <c r="Q711" s="687"/>
      <c r="R711" s="687"/>
      <c r="S711" s="687"/>
      <c r="T711" s="687"/>
      <c r="U711" s="687"/>
      <c r="V711" s="687"/>
      <c r="W711" s="687"/>
      <c r="X711" s="687"/>
      <c r="Y711" s="687"/>
      <c r="Z711" s="687"/>
    </row>
    <row r="712" customHeight="1" spans="1:26">
      <c r="A712" s="686"/>
      <c r="B712" s="686"/>
      <c r="C712" s="686"/>
      <c r="D712" s="687"/>
      <c r="E712" s="687"/>
      <c r="F712" s="687"/>
      <c r="G712" s="687"/>
      <c r="H712" s="687"/>
      <c r="I712" s="687"/>
      <c r="J712" s="687"/>
      <c r="K712" s="687"/>
      <c r="L712" s="687"/>
      <c r="M712" s="687"/>
      <c r="N712" s="687"/>
      <c r="O712" s="687"/>
      <c r="P712" s="687"/>
      <c r="Q712" s="687"/>
      <c r="R712" s="687"/>
      <c r="S712" s="687"/>
      <c r="T712" s="687"/>
      <c r="U712" s="687"/>
      <c r="V712" s="687"/>
      <c r="W712" s="687"/>
      <c r="X712" s="687"/>
      <c r="Y712" s="687"/>
      <c r="Z712" s="687"/>
    </row>
    <row r="713" customHeight="1" spans="1:26">
      <c r="A713" s="686"/>
      <c r="B713" s="686"/>
      <c r="C713" s="686"/>
      <c r="D713" s="687"/>
      <c r="E713" s="687"/>
      <c r="F713" s="687"/>
      <c r="G713" s="687"/>
      <c r="H713" s="687"/>
      <c r="I713" s="687"/>
      <c r="J713" s="687"/>
      <c r="K713" s="687"/>
      <c r="L713" s="687"/>
      <c r="M713" s="687"/>
      <c r="N713" s="687"/>
      <c r="O713" s="687"/>
      <c r="P713" s="687"/>
      <c r="Q713" s="687"/>
      <c r="R713" s="687"/>
      <c r="S713" s="687"/>
      <c r="T713" s="687"/>
      <c r="U713" s="687"/>
      <c r="V713" s="687"/>
      <c r="W713" s="687"/>
      <c r="X713" s="687"/>
      <c r="Y713" s="687"/>
      <c r="Z713" s="687"/>
    </row>
    <row r="714" customHeight="1" spans="1:26">
      <c r="A714" s="686"/>
      <c r="B714" s="686"/>
      <c r="C714" s="686"/>
      <c r="D714" s="687"/>
      <c r="E714" s="687"/>
      <c r="F714" s="687"/>
      <c r="G714" s="687"/>
      <c r="H714" s="687"/>
      <c r="I714" s="687"/>
      <c r="J714" s="687"/>
      <c r="K714" s="687"/>
      <c r="L714" s="687"/>
      <c r="M714" s="687"/>
      <c r="N714" s="687"/>
      <c r="O714" s="687"/>
      <c r="P714" s="687"/>
      <c r="Q714" s="687"/>
      <c r="R714" s="687"/>
      <c r="S714" s="687"/>
      <c r="T714" s="687"/>
      <c r="U714" s="687"/>
      <c r="V714" s="687"/>
      <c r="W714" s="687"/>
      <c r="X714" s="687"/>
      <c r="Y714" s="687"/>
      <c r="Z714" s="687"/>
    </row>
    <row r="715" customHeight="1" spans="1:26">
      <c r="A715" s="686"/>
      <c r="B715" s="686"/>
      <c r="C715" s="686"/>
      <c r="D715" s="687"/>
      <c r="E715" s="687"/>
      <c r="F715" s="687"/>
      <c r="G715" s="687"/>
      <c r="H715" s="687"/>
      <c r="I715" s="687"/>
      <c r="J715" s="687"/>
      <c r="K715" s="687"/>
      <c r="L715" s="687"/>
      <c r="M715" s="687"/>
      <c r="N715" s="687"/>
      <c r="O715" s="687"/>
      <c r="P715" s="687"/>
      <c r="Q715" s="687"/>
      <c r="R715" s="687"/>
      <c r="S715" s="687"/>
      <c r="T715" s="687"/>
      <c r="U715" s="687"/>
      <c r="V715" s="687"/>
      <c r="W715" s="687"/>
      <c r="X715" s="687"/>
      <c r="Y715" s="687"/>
      <c r="Z715" s="687"/>
    </row>
    <row r="716" customHeight="1" spans="1:26">
      <c r="A716" s="686"/>
      <c r="B716" s="686"/>
      <c r="C716" s="686"/>
      <c r="D716" s="687"/>
      <c r="E716" s="687"/>
      <c r="F716" s="687"/>
      <c r="G716" s="687"/>
      <c r="H716" s="687"/>
      <c r="I716" s="687"/>
      <c r="J716" s="687"/>
      <c r="K716" s="687"/>
      <c r="L716" s="687"/>
      <c r="M716" s="687"/>
      <c r="N716" s="687"/>
      <c r="O716" s="687"/>
      <c r="P716" s="687"/>
      <c r="Q716" s="687"/>
      <c r="R716" s="687"/>
      <c r="S716" s="687"/>
      <c r="T716" s="687"/>
      <c r="U716" s="687"/>
      <c r="V716" s="687"/>
      <c r="W716" s="687"/>
      <c r="X716" s="687"/>
      <c r="Y716" s="687"/>
      <c r="Z716" s="687"/>
    </row>
    <row r="717" customHeight="1" spans="1:26">
      <c r="A717" s="686"/>
      <c r="B717" s="686"/>
      <c r="C717" s="686"/>
      <c r="D717" s="687"/>
      <c r="E717" s="687"/>
      <c r="F717" s="687"/>
      <c r="G717" s="687"/>
      <c r="H717" s="687"/>
      <c r="I717" s="687"/>
      <c r="J717" s="687"/>
      <c r="K717" s="687"/>
      <c r="L717" s="687"/>
      <c r="M717" s="687"/>
      <c r="N717" s="687"/>
      <c r="O717" s="687"/>
      <c r="P717" s="687"/>
      <c r="Q717" s="687"/>
      <c r="R717" s="687"/>
      <c r="S717" s="687"/>
      <c r="T717" s="687"/>
      <c r="U717" s="687"/>
      <c r="V717" s="687"/>
      <c r="W717" s="687"/>
      <c r="X717" s="687"/>
      <c r="Y717" s="687"/>
      <c r="Z717" s="687"/>
    </row>
    <row r="718" customHeight="1" spans="1:26">
      <c r="A718" s="686"/>
      <c r="B718" s="686"/>
      <c r="C718" s="686"/>
      <c r="D718" s="687"/>
      <c r="E718" s="687"/>
      <c r="F718" s="687"/>
      <c r="G718" s="687"/>
      <c r="H718" s="687"/>
      <c r="I718" s="687"/>
      <c r="J718" s="687"/>
      <c r="K718" s="687"/>
      <c r="L718" s="687"/>
      <c r="M718" s="687"/>
      <c r="N718" s="687"/>
      <c r="O718" s="687"/>
      <c r="P718" s="687"/>
      <c r="Q718" s="687"/>
      <c r="R718" s="687"/>
      <c r="S718" s="687"/>
      <c r="T718" s="687"/>
      <c r="U718" s="687"/>
      <c r="V718" s="687"/>
      <c r="W718" s="687"/>
      <c r="X718" s="687"/>
      <c r="Y718" s="687"/>
      <c r="Z718" s="687"/>
    </row>
    <row r="719" customHeight="1" spans="1:26">
      <c r="A719" s="686"/>
      <c r="B719" s="686"/>
      <c r="C719" s="686"/>
      <c r="D719" s="687"/>
      <c r="E719" s="687"/>
      <c r="F719" s="687"/>
      <c r="G719" s="687"/>
      <c r="H719" s="687"/>
      <c r="I719" s="687"/>
      <c r="J719" s="687"/>
      <c r="K719" s="687"/>
      <c r="L719" s="687"/>
      <c r="M719" s="687"/>
      <c r="N719" s="687"/>
      <c r="O719" s="687"/>
      <c r="P719" s="687"/>
      <c r="Q719" s="687"/>
      <c r="R719" s="687"/>
      <c r="S719" s="687"/>
      <c r="T719" s="687"/>
      <c r="U719" s="687"/>
      <c r="V719" s="687"/>
      <c r="W719" s="687"/>
      <c r="X719" s="687"/>
      <c r="Y719" s="687"/>
      <c r="Z719" s="687"/>
    </row>
    <row r="720" customHeight="1" spans="1:26">
      <c r="A720" s="686"/>
      <c r="B720" s="686"/>
      <c r="C720" s="686"/>
      <c r="D720" s="687"/>
      <c r="E720" s="687"/>
      <c r="F720" s="687"/>
      <c r="G720" s="687"/>
      <c r="H720" s="687"/>
      <c r="I720" s="687"/>
      <c r="J720" s="687"/>
      <c r="K720" s="687"/>
      <c r="L720" s="687"/>
      <c r="M720" s="687"/>
      <c r="N720" s="687"/>
      <c r="O720" s="687"/>
      <c r="P720" s="687"/>
      <c r="Q720" s="687"/>
      <c r="R720" s="687"/>
      <c r="S720" s="687"/>
      <c r="T720" s="687"/>
      <c r="U720" s="687"/>
      <c r="V720" s="687"/>
      <c r="W720" s="687"/>
      <c r="X720" s="687"/>
      <c r="Y720" s="687"/>
      <c r="Z720" s="687"/>
    </row>
    <row r="721" customHeight="1" spans="1:26">
      <c r="A721" s="686"/>
      <c r="B721" s="686"/>
      <c r="C721" s="686"/>
      <c r="D721" s="687"/>
      <c r="E721" s="687"/>
      <c r="F721" s="687"/>
      <c r="G721" s="687"/>
      <c r="H721" s="687"/>
      <c r="I721" s="687"/>
      <c r="J721" s="687"/>
      <c r="K721" s="687"/>
      <c r="L721" s="687"/>
      <c r="M721" s="687"/>
      <c r="N721" s="687"/>
      <c r="O721" s="687"/>
      <c r="P721" s="687"/>
      <c r="Q721" s="687"/>
      <c r="R721" s="687"/>
      <c r="S721" s="687"/>
      <c r="T721" s="687"/>
      <c r="U721" s="687"/>
      <c r="V721" s="687"/>
      <c r="W721" s="687"/>
      <c r="X721" s="687"/>
      <c r="Y721" s="687"/>
      <c r="Z721" s="687"/>
    </row>
    <row r="722" customHeight="1" spans="1:26">
      <c r="A722" s="686"/>
      <c r="B722" s="686"/>
      <c r="C722" s="686"/>
      <c r="D722" s="687"/>
      <c r="E722" s="687"/>
      <c r="F722" s="687"/>
      <c r="G722" s="687"/>
      <c r="H722" s="687"/>
      <c r="I722" s="687"/>
      <c r="J722" s="687"/>
      <c r="K722" s="687"/>
      <c r="L722" s="687"/>
      <c r="M722" s="687"/>
      <c r="N722" s="687"/>
      <c r="O722" s="687"/>
      <c r="P722" s="687"/>
      <c r="Q722" s="687"/>
      <c r="R722" s="687"/>
      <c r="S722" s="687"/>
      <c r="T722" s="687"/>
      <c r="U722" s="687"/>
      <c r="V722" s="687"/>
      <c r="W722" s="687"/>
      <c r="X722" s="687"/>
      <c r="Y722" s="687"/>
      <c r="Z722" s="687"/>
    </row>
    <row r="723" customHeight="1" spans="1:26">
      <c r="A723" s="686"/>
      <c r="B723" s="686"/>
      <c r="C723" s="686"/>
      <c r="D723" s="687"/>
      <c r="E723" s="687"/>
      <c r="F723" s="687"/>
      <c r="G723" s="687"/>
      <c r="H723" s="687"/>
      <c r="I723" s="687"/>
      <c r="J723" s="687"/>
      <c r="K723" s="687"/>
      <c r="L723" s="687"/>
      <c r="M723" s="687"/>
      <c r="N723" s="687"/>
      <c r="O723" s="687"/>
      <c r="P723" s="687"/>
      <c r="Q723" s="687"/>
      <c r="R723" s="687"/>
      <c r="S723" s="687"/>
      <c r="T723" s="687"/>
      <c r="U723" s="687"/>
      <c r="V723" s="687"/>
      <c r="W723" s="687"/>
      <c r="X723" s="687"/>
      <c r="Y723" s="687"/>
      <c r="Z723" s="687"/>
    </row>
    <row r="724" customHeight="1" spans="1:26">
      <c r="A724" s="686"/>
      <c r="B724" s="686"/>
      <c r="C724" s="686"/>
      <c r="D724" s="687"/>
      <c r="E724" s="687"/>
      <c r="F724" s="687"/>
      <c r="G724" s="687"/>
      <c r="H724" s="687"/>
      <c r="I724" s="687"/>
      <c r="J724" s="687"/>
      <c r="K724" s="687"/>
      <c r="L724" s="687"/>
      <c r="M724" s="687"/>
      <c r="N724" s="687"/>
      <c r="O724" s="687"/>
      <c r="P724" s="687"/>
      <c r="Q724" s="687"/>
      <c r="R724" s="687"/>
      <c r="S724" s="687"/>
      <c r="T724" s="687"/>
      <c r="U724" s="687"/>
      <c r="V724" s="687"/>
      <c r="W724" s="687"/>
      <c r="X724" s="687"/>
      <c r="Y724" s="687"/>
      <c r="Z724" s="687"/>
    </row>
    <row r="725" customHeight="1" spans="1:26">
      <c r="A725" s="686"/>
      <c r="B725" s="686"/>
      <c r="C725" s="686"/>
      <c r="D725" s="687"/>
      <c r="E725" s="687"/>
      <c r="F725" s="687"/>
      <c r="G725" s="687"/>
      <c r="H725" s="687"/>
      <c r="I725" s="687"/>
      <c r="J725" s="687"/>
      <c r="K725" s="687"/>
      <c r="L725" s="687"/>
      <c r="M725" s="687"/>
      <c r="N725" s="687"/>
      <c r="O725" s="687"/>
      <c r="P725" s="687"/>
      <c r="Q725" s="687"/>
      <c r="R725" s="687"/>
      <c r="S725" s="687"/>
      <c r="T725" s="687"/>
      <c r="U725" s="687"/>
      <c r="V725" s="687"/>
      <c r="W725" s="687"/>
      <c r="X725" s="687"/>
      <c r="Y725" s="687"/>
      <c r="Z725" s="687"/>
    </row>
    <row r="726" customHeight="1" spans="1:26">
      <c r="A726" s="686"/>
      <c r="B726" s="686"/>
      <c r="C726" s="686"/>
      <c r="D726" s="687"/>
      <c r="E726" s="687"/>
      <c r="F726" s="687"/>
      <c r="G726" s="687"/>
      <c r="H726" s="687"/>
      <c r="I726" s="687"/>
      <c r="J726" s="687"/>
      <c r="K726" s="687"/>
      <c r="L726" s="687"/>
      <c r="M726" s="687"/>
      <c r="N726" s="687"/>
      <c r="O726" s="687"/>
      <c r="P726" s="687"/>
      <c r="Q726" s="687"/>
      <c r="R726" s="687"/>
      <c r="S726" s="687"/>
      <c r="T726" s="687"/>
      <c r="U726" s="687"/>
      <c r="V726" s="687"/>
      <c r="W726" s="687"/>
      <c r="X726" s="687"/>
      <c r="Y726" s="687"/>
      <c r="Z726" s="687"/>
    </row>
    <row r="727" customHeight="1" spans="1:26">
      <c r="A727" s="686"/>
      <c r="B727" s="686"/>
      <c r="C727" s="686"/>
      <c r="D727" s="687"/>
      <c r="E727" s="687"/>
      <c r="F727" s="687"/>
      <c r="G727" s="687"/>
      <c r="H727" s="687"/>
      <c r="I727" s="687"/>
      <c r="J727" s="687"/>
      <c r="K727" s="687"/>
      <c r="L727" s="687"/>
      <c r="M727" s="687"/>
      <c r="N727" s="687"/>
      <c r="O727" s="687"/>
      <c r="P727" s="687"/>
      <c r="Q727" s="687"/>
      <c r="R727" s="687"/>
      <c r="S727" s="687"/>
      <c r="T727" s="687"/>
      <c r="U727" s="687"/>
      <c r="V727" s="687"/>
      <c r="W727" s="687"/>
      <c r="X727" s="687"/>
      <c r="Y727" s="687"/>
      <c r="Z727" s="687"/>
    </row>
    <row r="728" customHeight="1" spans="1:26">
      <c r="A728" s="686"/>
      <c r="B728" s="686"/>
      <c r="C728" s="686"/>
      <c r="D728" s="687"/>
      <c r="E728" s="687"/>
      <c r="F728" s="687"/>
      <c r="G728" s="687"/>
      <c r="H728" s="687"/>
      <c r="I728" s="687"/>
      <c r="J728" s="687"/>
      <c r="K728" s="687"/>
      <c r="L728" s="687"/>
      <c r="M728" s="687"/>
      <c r="N728" s="687"/>
      <c r="O728" s="687"/>
      <c r="P728" s="687"/>
      <c r="Q728" s="687"/>
      <c r="R728" s="687"/>
      <c r="S728" s="687"/>
      <c r="T728" s="687"/>
      <c r="U728" s="687"/>
      <c r="V728" s="687"/>
      <c r="W728" s="687"/>
      <c r="X728" s="687"/>
      <c r="Y728" s="687"/>
      <c r="Z728" s="687"/>
    </row>
    <row r="729" customHeight="1" spans="1:26">
      <c r="A729" s="686"/>
      <c r="B729" s="686"/>
      <c r="C729" s="686"/>
      <c r="D729" s="687"/>
      <c r="E729" s="687"/>
      <c r="F729" s="687"/>
      <c r="G729" s="687"/>
      <c r="H729" s="687"/>
      <c r="I729" s="687"/>
      <c r="J729" s="687"/>
      <c r="K729" s="687"/>
      <c r="L729" s="687"/>
      <c r="M729" s="687"/>
      <c r="N729" s="687"/>
      <c r="O729" s="687"/>
      <c r="P729" s="687"/>
      <c r="Q729" s="687"/>
      <c r="R729" s="687"/>
      <c r="S729" s="687"/>
      <c r="T729" s="687"/>
      <c r="U729" s="687"/>
      <c r="V729" s="687"/>
      <c r="W729" s="687"/>
      <c r="X729" s="687"/>
      <c r="Y729" s="687"/>
      <c r="Z729" s="687"/>
    </row>
    <row r="730" customHeight="1" spans="1:26">
      <c r="A730" s="686"/>
      <c r="B730" s="686"/>
      <c r="C730" s="686"/>
      <c r="D730" s="687"/>
      <c r="E730" s="687"/>
      <c r="F730" s="687"/>
      <c r="G730" s="687"/>
      <c r="H730" s="687"/>
      <c r="I730" s="687"/>
      <c r="J730" s="687"/>
      <c r="K730" s="687"/>
      <c r="L730" s="687"/>
      <c r="M730" s="687"/>
      <c r="N730" s="687"/>
      <c r="O730" s="687"/>
      <c r="P730" s="687"/>
      <c r="Q730" s="687"/>
      <c r="R730" s="687"/>
      <c r="S730" s="687"/>
      <c r="T730" s="687"/>
      <c r="U730" s="687"/>
      <c r="V730" s="687"/>
      <c r="W730" s="687"/>
      <c r="X730" s="687"/>
      <c r="Y730" s="687"/>
      <c r="Z730" s="687"/>
    </row>
    <row r="731" customHeight="1" spans="1:26">
      <c r="A731" s="686"/>
      <c r="B731" s="686"/>
      <c r="C731" s="686"/>
      <c r="D731" s="687"/>
      <c r="E731" s="687"/>
      <c r="F731" s="687"/>
      <c r="G731" s="687"/>
      <c r="H731" s="687"/>
      <c r="I731" s="687"/>
      <c r="J731" s="687"/>
      <c r="K731" s="687"/>
      <c r="L731" s="687"/>
      <c r="M731" s="687"/>
      <c r="N731" s="687"/>
      <c r="O731" s="687"/>
      <c r="P731" s="687"/>
      <c r="Q731" s="687"/>
      <c r="R731" s="687"/>
      <c r="S731" s="687"/>
      <c r="T731" s="687"/>
      <c r="U731" s="687"/>
      <c r="V731" s="687"/>
      <c r="W731" s="687"/>
      <c r="X731" s="687"/>
      <c r="Y731" s="687"/>
      <c r="Z731" s="687"/>
    </row>
    <row r="732" customHeight="1" spans="1:26">
      <c r="A732" s="686"/>
      <c r="B732" s="686"/>
      <c r="C732" s="686"/>
      <c r="D732" s="687"/>
      <c r="E732" s="687"/>
      <c r="F732" s="687"/>
      <c r="G732" s="687"/>
      <c r="H732" s="687"/>
      <c r="I732" s="687"/>
      <c r="J732" s="687"/>
      <c r="K732" s="687"/>
      <c r="L732" s="687"/>
      <c r="M732" s="687"/>
      <c r="N732" s="687"/>
      <c r="O732" s="687"/>
      <c r="P732" s="687"/>
      <c r="Q732" s="687"/>
      <c r="R732" s="687"/>
      <c r="S732" s="687"/>
      <c r="T732" s="687"/>
      <c r="U732" s="687"/>
      <c r="V732" s="687"/>
      <c r="W732" s="687"/>
      <c r="X732" s="687"/>
      <c r="Y732" s="687"/>
      <c r="Z732" s="687"/>
    </row>
    <row r="733" customHeight="1" spans="1:26">
      <c r="A733" s="686"/>
      <c r="B733" s="686"/>
      <c r="C733" s="686"/>
      <c r="D733" s="687"/>
      <c r="E733" s="687"/>
      <c r="F733" s="687"/>
      <c r="G733" s="687"/>
      <c r="H733" s="687"/>
      <c r="I733" s="687"/>
      <c r="J733" s="687"/>
      <c r="K733" s="687"/>
      <c r="L733" s="687"/>
      <c r="M733" s="687"/>
      <c r="N733" s="687"/>
      <c r="O733" s="687"/>
      <c r="P733" s="687"/>
      <c r="Q733" s="687"/>
      <c r="R733" s="687"/>
      <c r="S733" s="687"/>
      <c r="T733" s="687"/>
      <c r="U733" s="687"/>
      <c r="V733" s="687"/>
      <c r="W733" s="687"/>
      <c r="X733" s="687"/>
      <c r="Y733" s="687"/>
      <c r="Z733" s="687"/>
    </row>
    <row r="734" customHeight="1" spans="1:26">
      <c r="A734" s="686"/>
      <c r="B734" s="686"/>
      <c r="C734" s="686"/>
      <c r="D734" s="687"/>
      <c r="E734" s="687"/>
      <c r="F734" s="687"/>
      <c r="G734" s="687"/>
      <c r="H734" s="687"/>
      <c r="I734" s="687"/>
      <c r="J734" s="687"/>
      <c r="K734" s="687"/>
      <c r="L734" s="687"/>
      <c r="M734" s="687"/>
      <c r="N734" s="687"/>
      <c r="O734" s="687"/>
      <c r="P734" s="687"/>
      <c r="Q734" s="687"/>
      <c r="R734" s="687"/>
      <c r="S734" s="687"/>
      <c r="T734" s="687"/>
      <c r="U734" s="687"/>
      <c r="V734" s="687"/>
      <c r="W734" s="687"/>
      <c r="X734" s="687"/>
      <c r="Y734" s="687"/>
      <c r="Z734" s="687"/>
    </row>
    <row r="735" customHeight="1" spans="1:26">
      <c r="A735" s="686"/>
      <c r="B735" s="686"/>
      <c r="C735" s="686"/>
      <c r="D735" s="687"/>
      <c r="E735" s="687"/>
      <c r="F735" s="687"/>
      <c r="G735" s="687"/>
      <c r="H735" s="687"/>
      <c r="I735" s="687"/>
      <c r="J735" s="687"/>
      <c r="K735" s="687"/>
      <c r="L735" s="687"/>
      <c r="M735" s="687"/>
      <c r="N735" s="687"/>
      <c r="O735" s="687"/>
      <c r="P735" s="687"/>
      <c r="Q735" s="687"/>
      <c r="R735" s="687"/>
      <c r="S735" s="687"/>
      <c r="T735" s="687"/>
      <c r="U735" s="687"/>
      <c r="V735" s="687"/>
      <c r="W735" s="687"/>
      <c r="X735" s="687"/>
      <c r="Y735" s="687"/>
      <c r="Z735" s="687"/>
    </row>
    <row r="736" customHeight="1" spans="1:26">
      <c r="A736" s="686"/>
      <c r="B736" s="686"/>
      <c r="C736" s="686"/>
      <c r="D736" s="687"/>
      <c r="E736" s="687"/>
      <c r="F736" s="687"/>
      <c r="G736" s="687"/>
      <c r="H736" s="687"/>
      <c r="I736" s="687"/>
      <c r="J736" s="687"/>
      <c r="K736" s="687"/>
      <c r="L736" s="687"/>
      <c r="M736" s="687"/>
      <c r="N736" s="687"/>
      <c r="O736" s="687"/>
      <c r="P736" s="687"/>
      <c r="Q736" s="687"/>
      <c r="R736" s="687"/>
      <c r="S736" s="687"/>
      <c r="T736" s="687"/>
      <c r="U736" s="687"/>
      <c r="V736" s="687"/>
      <c r="W736" s="687"/>
      <c r="X736" s="687"/>
      <c r="Y736" s="687"/>
      <c r="Z736" s="687"/>
    </row>
    <row r="737" customHeight="1" spans="1:26">
      <c r="A737" s="686"/>
      <c r="B737" s="686"/>
      <c r="C737" s="686"/>
      <c r="D737" s="687"/>
      <c r="E737" s="687"/>
      <c r="F737" s="687"/>
      <c r="G737" s="687"/>
      <c r="H737" s="687"/>
      <c r="I737" s="687"/>
      <c r="J737" s="687"/>
      <c r="K737" s="687"/>
      <c r="L737" s="687"/>
      <c r="M737" s="687"/>
      <c r="N737" s="687"/>
      <c r="O737" s="687"/>
      <c r="P737" s="687"/>
      <c r="Q737" s="687"/>
      <c r="R737" s="687"/>
      <c r="S737" s="687"/>
      <c r="T737" s="687"/>
      <c r="U737" s="687"/>
      <c r="V737" s="687"/>
      <c r="W737" s="687"/>
      <c r="X737" s="687"/>
      <c r="Y737" s="687"/>
      <c r="Z737" s="687"/>
    </row>
    <row r="738" customHeight="1" spans="1:26">
      <c r="A738" s="686"/>
      <c r="B738" s="686"/>
      <c r="C738" s="686"/>
      <c r="D738" s="687"/>
      <c r="E738" s="687"/>
      <c r="F738" s="687"/>
      <c r="G738" s="687"/>
      <c r="H738" s="687"/>
      <c r="I738" s="687"/>
      <c r="J738" s="687"/>
      <c r="K738" s="687"/>
      <c r="L738" s="687"/>
      <c r="M738" s="687"/>
      <c r="N738" s="687"/>
      <c r="O738" s="687"/>
      <c r="P738" s="687"/>
      <c r="Q738" s="687"/>
      <c r="R738" s="687"/>
      <c r="S738" s="687"/>
      <c r="T738" s="687"/>
      <c r="U738" s="687"/>
      <c r="V738" s="687"/>
      <c r="W738" s="687"/>
      <c r="X738" s="687"/>
      <c r="Y738" s="687"/>
      <c r="Z738" s="687"/>
    </row>
    <row r="739" customHeight="1" spans="1:26">
      <c r="A739" s="686"/>
      <c r="B739" s="686"/>
      <c r="C739" s="686"/>
      <c r="D739" s="687"/>
      <c r="E739" s="687"/>
      <c r="F739" s="687"/>
      <c r="G739" s="687"/>
      <c r="H739" s="687"/>
      <c r="I739" s="687"/>
      <c r="J739" s="687"/>
      <c r="K739" s="687"/>
      <c r="L739" s="687"/>
      <c r="M739" s="687"/>
      <c r="N739" s="687"/>
      <c r="O739" s="687"/>
      <c r="P739" s="687"/>
      <c r="Q739" s="687"/>
      <c r="R739" s="687"/>
      <c r="S739" s="687"/>
      <c r="T739" s="687"/>
      <c r="U739" s="687"/>
      <c r="V739" s="687"/>
      <c r="W739" s="687"/>
      <c r="X739" s="687"/>
      <c r="Y739" s="687"/>
      <c r="Z739" s="687"/>
    </row>
    <row r="740" customHeight="1" spans="1:26">
      <c r="A740" s="686"/>
      <c r="B740" s="686"/>
      <c r="C740" s="686"/>
      <c r="D740" s="687"/>
      <c r="E740" s="687"/>
      <c r="F740" s="687"/>
      <c r="G740" s="687"/>
      <c r="H740" s="687"/>
      <c r="I740" s="687"/>
      <c r="J740" s="687"/>
      <c r="K740" s="687"/>
      <c r="L740" s="687"/>
      <c r="M740" s="687"/>
      <c r="N740" s="687"/>
      <c r="O740" s="687"/>
      <c r="P740" s="687"/>
      <c r="Q740" s="687"/>
      <c r="R740" s="687"/>
      <c r="S740" s="687"/>
      <c r="T740" s="687"/>
      <c r="U740" s="687"/>
      <c r="V740" s="687"/>
      <c r="W740" s="687"/>
      <c r="X740" s="687"/>
      <c r="Y740" s="687"/>
      <c r="Z740" s="687"/>
    </row>
    <row r="741" customHeight="1" spans="1:26">
      <c r="A741" s="686"/>
      <c r="B741" s="686"/>
      <c r="C741" s="686"/>
      <c r="D741" s="687"/>
      <c r="E741" s="687"/>
      <c r="F741" s="687"/>
      <c r="G741" s="687"/>
      <c r="H741" s="687"/>
      <c r="I741" s="687"/>
      <c r="J741" s="687"/>
      <c r="K741" s="687"/>
      <c r="L741" s="687"/>
      <c r="M741" s="687"/>
      <c r="N741" s="687"/>
      <c r="O741" s="687"/>
      <c r="P741" s="687"/>
      <c r="Q741" s="687"/>
      <c r="R741" s="687"/>
      <c r="S741" s="687"/>
      <c r="T741" s="687"/>
      <c r="U741" s="687"/>
      <c r="V741" s="687"/>
      <c r="W741" s="687"/>
      <c r="X741" s="687"/>
      <c r="Y741" s="687"/>
      <c r="Z741" s="687"/>
    </row>
    <row r="742" customHeight="1" spans="1:26">
      <c r="A742" s="686"/>
      <c r="B742" s="686"/>
      <c r="C742" s="686"/>
      <c r="D742" s="687"/>
      <c r="E742" s="687"/>
      <c r="F742" s="687"/>
      <c r="G742" s="687"/>
      <c r="H742" s="687"/>
      <c r="I742" s="687"/>
      <c r="J742" s="687"/>
      <c r="K742" s="687"/>
      <c r="L742" s="687"/>
      <c r="M742" s="687"/>
      <c r="N742" s="687"/>
      <c r="O742" s="687"/>
      <c r="P742" s="687"/>
      <c r="Q742" s="687"/>
      <c r="R742" s="687"/>
      <c r="S742" s="687"/>
      <c r="T742" s="687"/>
      <c r="U742" s="687"/>
      <c r="V742" s="687"/>
      <c r="W742" s="687"/>
      <c r="X742" s="687"/>
      <c r="Y742" s="687"/>
      <c r="Z742" s="687"/>
    </row>
    <row r="743" customHeight="1" spans="1:26">
      <c r="A743" s="686"/>
      <c r="B743" s="686"/>
      <c r="C743" s="686"/>
      <c r="D743" s="687"/>
      <c r="E743" s="687"/>
      <c r="F743" s="687"/>
      <c r="G743" s="687"/>
      <c r="H743" s="687"/>
      <c r="I743" s="687"/>
      <c r="J743" s="687"/>
      <c r="K743" s="687"/>
      <c r="L743" s="687"/>
      <c r="M743" s="687"/>
      <c r="N743" s="687"/>
      <c r="O743" s="687"/>
      <c r="P743" s="687"/>
      <c r="Q743" s="687"/>
      <c r="R743" s="687"/>
      <c r="S743" s="687"/>
      <c r="T743" s="687"/>
      <c r="U743" s="687"/>
      <c r="V743" s="687"/>
      <c r="W743" s="687"/>
      <c r="X743" s="687"/>
      <c r="Y743" s="687"/>
      <c r="Z743" s="687"/>
    </row>
    <row r="744" customHeight="1" spans="1:26">
      <c r="A744" s="686"/>
      <c r="B744" s="686"/>
      <c r="C744" s="686"/>
      <c r="D744" s="687"/>
      <c r="E744" s="687"/>
      <c r="F744" s="687"/>
      <c r="G744" s="687"/>
      <c r="H744" s="687"/>
      <c r="I744" s="687"/>
      <c r="J744" s="687"/>
      <c r="K744" s="687"/>
      <c r="L744" s="687"/>
      <c r="M744" s="687"/>
      <c r="N744" s="687"/>
      <c r="O744" s="687"/>
      <c r="P744" s="687"/>
      <c r="Q744" s="687"/>
      <c r="R744" s="687"/>
      <c r="S744" s="687"/>
      <c r="T744" s="687"/>
      <c r="U744" s="687"/>
      <c r="V744" s="687"/>
      <c r="W744" s="687"/>
      <c r="X744" s="687"/>
      <c r="Y744" s="687"/>
      <c r="Z744" s="687"/>
    </row>
    <row r="745" customHeight="1" spans="1:26">
      <c r="A745" s="686"/>
      <c r="B745" s="686"/>
      <c r="C745" s="686"/>
      <c r="D745" s="687"/>
      <c r="E745" s="687"/>
      <c r="F745" s="687"/>
      <c r="G745" s="687"/>
      <c r="H745" s="687"/>
      <c r="I745" s="687"/>
      <c r="J745" s="687"/>
      <c r="K745" s="687"/>
      <c r="L745" s="687"/>
      <c r="M745" s="687"/>
      <c r="N745" s="687"/>
      <c r="O745" s="687"/>
      <c r="P745" s="687"/>
      <c r="Q745" s="687"/>
      <c r="R745" s="687"/>
      <c r="S745" s="687"/>
      <c r="T745" s="687"/>
      <c r="U745" s="687"/>
      <c r="V745" s="687"/>
      <c r="W745" s="687"/>
      <c r="X745" s="687"/>
      <c r="Y745" s="687"/>
      <c r="Z745" s="687"/>
    </row>
    <row r="746" customHeight="1" spans="1:26">
      <c r="A746" s="686"/>
      <c r="B746" s="686"/>
      <c r="C746" s="686"/>
      <c r="D746" s="687"/>
      <c r="E746" s="687"/>
      <c r="F746" s="687"/>
      <c r="G746" s="687"/>
      <c r="H746" s="687"/>
      <c r="I746" s="687"/>
      <c r="J746" s="687"/>
      <c r="K746" s="687"/>
      <c r="L746" s="687"/>
      <c r="M746" s="687"/>
      <c r="N746" s="687"/>
      <c r="O746" s="687"/>
      <c r="P746" s="687"/>
      <c r="Q746" s="687"/>
      <c r="R746" s="687"/>
      <c r="S746" s="687"/>
      <c r="T746" s="687"/>
      <c r="U746" s="687"/>
      <c r="V746" s="687"/>
      <c r="W746" s="687"/>
      <c r="X746" s="687"/>
      <c r="Y746" s="687"/>
      <c r="Z746" s="687"/>
    </row>
    <row r="747" customHeight="1" spans="1:26">
      <c r="A747" s="686"/>
      <c r="B747" s="686"/>
      <c r="C747" s="686"/>
      <c r="D747" s="687"/>
      <c r="E747" s="687"/>
      <c r="F747" s="687"/>
      <c r="G747" s="687"/>
      <c r="H747" s="687"/>
      <c r="I747" s="687"/>
      <c r="J747" s="687"/>
      <c r="K747" s="687"/>
      <c r="L747" s="687"/>
      <c r="M747" s="687"/>
      <c r="N747" s="687"/>
      <c r="O747" s="687"/>
      <c r="P747" s="687"/>
      <c r="Q747" s="687"/>
      <c r="R747" s="687"/>
      <c r="S747" s="687"/>
      <c r="T747" s="687"/>
      <c r="U747" s="687"/>
      <c r="V747" s="687"/>
      <c r="W747" s="687"/>
      <c r="X747" s="687"/>
      <c r="Y747" s="687"/>
      <c r="Z747" s="687"/>
    </row>
    <row r="748" customHeight="1" spans="1:26">
      <c r="A748" s="686"/>
      <c r="B748" s="686"/>
      <c r="C748" s="686"/>
      <c r="D748" s="687"/>
      <c r="E748" s="687"/>
      <c r="F748" s="687"/>
      <c r="G748" s="687"/>
      <c r="H748" s="687"/>
      <c r="I748" s="687"/>
      <c r="J748" s="687"/>
      <c r="K748" s="687"/>
      <c r="L748" s="687"/>
      <c r="M748" s="687"/>
      <c r="N748" s="687"/>
      <c r="O748" s="687"/>
      <c r="P748" s="687"/>
      <c r="Q748" s="687"/>
      <c r="R748" s="687"/>
      <c r="S748" s="687"/>
      <c r="T748" s="687"/>
      <c r="U748" s="687"/>
      <c r="V748" s="687"/>
      <c r="W748" s="687"/>
      <c r="X748" s="687"/>
      <c r="Y748" s="687"/>
      <c r="Z748" s="687"/>
    </row>
    <row r="749" customHeight="1" spans="1:26">
      <c r="A749" s="686"/>
      <c r="B749" s="686"/>
      <c r="C749" s="686"/>
      <c r="D749" s="687"/>
      <c r="E749" s="687"/>
      <c r="F749" s="687"/>
      <c r="G749" s="687"/>
      <c r="H749" s="687"/>
      <c r="I749" s="687"/>
      <c r="J749" s="687"/>
      <c r="K749" s="687"/>
      <c r="L749" s="687"/>
      <c r="M749" s="687"/>
      <c r="N749" s="687"/>
      <c r="O749" s="687"/>
      <c r="P749" s="687"/>
      <c r="Q749" s="687"/>
      <c r="R749" s="687"/>
      <c r="S749" s="687"/>
      <c r="T749" s="687"/>
      <c r="U749" s="687"/>
      <c r="V749" s="687"/>
      <c r="W749" s="687"/>
      <c r="X749" s="687"/>
      <c r="Y749" s="687"/>
      <c r="Z749" s="687"/>
    </row>
    <row r="750" customHeight="1" spans="1:26">
      <c r="A750" s="686"/>
      <c r="B750" s="686"/>
      <c r="C750" s="686"/>
      <c r="D750" s="687"/>
      <c r="E750" s="687"/>
      <c r="F750" s="687"/>
      <c r="G750" s="687"/>
      <c r="H750" s="687"/>
      <c r="I750" s="687"/>
      <c r="J750" s="687"/>
      <c r="K750" s="687"/>
      <c r="L750" s="687"/>
      <c r="M750" s="687"/>
      <c r="N750" s="687"/>
      <c r="O750" s="687"/>
      <c r="P750" s="687"/>
      <c r="Q750" s="687"/>
      <c r="R750" s="687"/>
      <c r="S750" s="687"/>
      <c r="T750" s="687"/>
      <c r="U750" s="687"/>
      <c r="V750" s="687"/>
      <c r="W750" s="687"/>
      <c r="X750" s="687"/>
      <c r="Y750" s="687"/>
      <c r="Z750" s="687"/>
    </row>
    <row r="751" customHeight="1" spans="1:26">
      <c r="A751" s="686"/>
      <c r="B751" s="686"/>
      <c r="C751" s="686"/>
      <c r="D751" s="687"/>
      <c r="E751" s="687"/>
      <c r="F751" s="687"/>
      <c r="G751" s="687"/>
      <c r="H751" s="687"/>
      <c r="I751" s="687"/>
      <c r="J751" s="687"/>
      <c r="K751" s="687"/>
      <c r="L751" s="687"/>
      <c r="M751" s="687"/>
      <c r="N751" s="687"/>
      <c r="O751" s="687"/>
      <c r="P751" s="687"/>
      <c r="Q751" s="687"/>
      <c r="R751" s="687"/>
      <c r="S751" s="687"/>
      <c r="T751" s="687"/>
      <c r="U751" s="687"/>
      <c r="V751" s="687"/>
      <c r="W751" s="687"/>
      <c r="X751" s="687"/>
      <c r="Y751" s="687"/>
      <c r="Z751" s="687"/>
    </row>
    <row r="752" customHeight="1" spans="1:26">
      <c r="A752" s="686"/>
      <c r="B752" s="686"/>
      <c r="C752" s="686"/>
      <c r="D752" s="687"/>
      <c r="E752" s="687"/>
      <c r="F752" s="687"/>
      <c r="G752" s="687"/>
      <c r="H752" s="687"/>
      <c r="I752" s="687"/>
      <c r="J752" s="687"/>
      <c r="K752" s="687"/>
      <c r="L752" s="687"/>
      <c r="M752" s="687"/>
      <c r="N752" s="687"/>
      <c r="O752" s="687"/>
      <c r="P752" s="687"/>
      <c r="Q752" s="687"/>
      <c r="R752" s="687"/>
      <c r="S752" s="687"/>
      <c r="T752" s="687"/>
      <c r="U752" s="687"/>
      <c r="V752" s="687"/>
      <c r="W752" s="687"/>
      <c r="X752" s="687"/>
      <c r="Y752" s="687"/>
      <c r="Z752" s="687"/>
    </row>
    <row r="753" customHeight="1" spans="1:26">
      <c r="A753" s="686"/>
      <c r="B753" s="686"/>
      <c r="C753" s="686"/>
      <c r="D753" s="687"/>
      <c r="E753" s="687"/>
      <c r="F753" s="687"/>
      <c r="G753" s="687"/>
      <c r="H753" s="687"/>
      <c r="I753" s="687"/>
      <c r="J753" s="687"/>
      <c r="K753" s="687"/>
      <c r="L753" s="687"/>
      <c r="M753" s="687"/>
      <c r="N753" s="687"/>
      <c r="O753" s="687"/>
      <c r="P753" s="687"/>
      <c r="Q753" s="687"/>
      <c r="R753" s="687"/>
      <c r="S753" s="687"/>
      <c r="T753" s="687"/>
      <c r="U753" s="687"/>
      <c r="V753" s="687"/>
      <c r="W753" s="687"/>
      <c r="X753" s="687"/>
      <c r="Y753" s="687"/>
      <c r="Z753" s="687"/>
    </row>
    <row r="754" customHeight="1" spans="1:26">
      <c r="A754" s="686"/>
      <c r="B754" s="686"/>
      <c r="C754" s="686"/>
      <c r="D754" s="687"/>
      <c r="E754" s="687"/>
      <c r="F754" s="687"/>
      <c r="G754" s="687"/>
      <c r="H754" s="687"/>
      <c r="I754" s="687"/>
      <c r="J754" s="687"/>
      <c r="K754" s="687"/>
      <c r="L754" s="687"/>
      <c r="M754" s="687"/>
      <c r="N754" s="687"/>
      <c r="O754" s="687"/>
      <c r="P754" s="687"/>
      <c r="Q754" s="687"/>
      <c r="R754" s="687"/>
      <c r="S754" s="687"/>
      <c r="T754" s="687"/>
      <c r="U754" s="687"/>
      <c r="V754" s="687"/>
      <c r="W754" s="687"/>
      <c r="X754" s="687"/>
      <c r="Y754" s="687"/>
      <c r="Z754" s="687"/>
    </row>
    <row r="755" customHeight="1" spans="1:26">
      <c r="A755" s="686"/>
      <c r="B755" s="686"/>
      <c r="C755" s="686"/>
      <c r="D755" s="687"/>
      <c r="E755" s="687"/>
      <c r="F755" s="687"/>
      <c r="G755" s="687"/>
      <c r="H755" s="687"/>
      <c r="I755" s="687"/>
      <c r="J755" s="687"/>
      <c r="K755" s="687"/>
      <c r="L755" s="687"/>
      <c r="M755" s="687"/>
      <c r="N755" s="687"/>
      <c r="O755" s="687"/>
      <c r="P755" s="687"/>
      <c r="Q755" s="687"/>
      <c r="R755" s="687"/>
      <c r="S755" s="687"/>
      <c r="T755" s="687"/>
      <c r="U755" s="687"/>
      <c r="V755" s="687"/>
      <c r="W755" s="687"/>
      <c r="X755" s="687"/>
      <c r="Y755" s="687"/>
      <c r="Z755" s="687"/>
    </row>
    <row r="756" customHeight="1" spans="1:26">
      <c r="A756" s="686"/>
      <c r="B756" s="686"/>
      <c r="C756" s="686"/>
      <c r="D756" s="687"/>
      <c r="E756" s="687"/>
      <c r="F756" s="687"/>
      <c r="G756" s="687"/>
      <c r="H756" s="687"/>
      <c r="I756" s="687"/>
      <c r="J756" s="687"/>
      <c r="K756" s="687"/>
      <c r="L756" s="687"/>
      <c r="M756" s="687"/>
      <c r="N756" s="687"/>
      <c r="O756" s="687"/>
      <c r="P756" s="687"/>
      <c r="Q756" s="687"/>
      <c r="R756" s="687"/>
      <c r="S756" s="687"/>
      <c r="T756" s="687"/>
      <c r="U756" s="687"/>
      <c r="V756" s="687"/>
      <c r="W756" s="687"/>
      <c r="X756" s="687"/>
      <c r="Y756" s="687"/>
      <c r="Z756" s="687"/>
    </row>
    <row r="757" customHeight="1" spans="1:26">
      <c r="A757" s="686"/>
      <c r="B757" s="686"/>
      <c r="C757" s="686"/>
      <c r="D757" s="687"/>
      <c r="E757" s="687"/>
      <c r="F757" s="687"/>
      <c r="G757" s="687"/>
      <c r="H757" s="687"/>
      <c r="I757" s="687"/>
      <c r="J757" s="687"/>
      <c r="K757" s="687"/>
      <c r="L757" s="687"/>
      <c r="M757" s="687"/>
      <c r="N757" s="687"/>
      <c r="O757" s="687"/>
      <c r="P757" s="687"/>
      <c r="Q757" s="687"/>
      <c r="R757" s="687"/>
      <c r="S757" s="687"/>
      <c r="T757" s="687"/>
      <c r="U757" s="687"/>
      <c r="V757" s="687"/>
      <c r="W757" s="687"/>
      <c r="X757" s="687"/>
      <c r="Y757" s="687"/>
      <c r="Z757" s="687"/>
    </row>
    <row r="758" customHeight="1" spans="1:26">
      <c r="A758" s="686"/>
      <c r="B758" s="686"/>
      <c r="C758" s="686"/>
      <c r="D758" s="687"/>
      <c r="E758" s="687"/>
      <c r="F758" s="687"/>
      <c r="G758" s="687"/>
      <c r="H758" s="687"/>
      <c r="I758" s="687"/>
      <c r="J758" s="687"/>
      <c r="K758" s="687"/>
      <c r="L758" s="687"/>
      <c r="M758" s="687"/>
      <c r="N758" s="687"/>
      <c r="O758" s="687"/>
      <c r="P758" s="687"/>
      <c r="Q758" s="687"/>
      <c r="R758" s="687"/>
      <c r="S758" s="687"/>
      <c r="T758" s="687"/>
      <c r="U758" s="687"/>
      <c r="V758" s="687"/>
      <c r="W758" s="687"/>
      <c r="X758" s="687"/>
      <c r="Y758" s="687"/>
      <c r="Z758" s="687"/>
    </row>
    <row r="759" customHeight="1" spans="1:26">
      <c r="A759" s="686"/>
      <c r="B759" s="686"/>
      <c r="C759" s="686"/>
      <c r="D759" s="687"/>
      <c r="E759" s="687"/>
      <c r="F759" s="687"/>
      <c r="G759" s="687"/>
      <c r="H759" s="687"/>
      <c r="I759" s="687"/>
      <c r="J759" s="687"/>
      <c r="K759" s="687"/>
      <c r="L759" s="687"/>
      <c r="M759" s="687"/>
      <c r="N759" s="687"/>
      <c r="O759" s="687"/>
      <c r="P759" s="687"/>
      <c r="Q759" s="687"/>
      <c r="R759" s="687"/>
      <c r="S759" s="687"/>
      <c r="T759" s="687"/>
      <c r="U759" s="687"/>
      <c r="V759" s="687"/>
      <c r="W759" s="687"/>
      <c r="X759" s="687"/>
      <c r="Y759" s="687"/>
      <c r="Z759" s="687"/>
    </row>
    <row r="760" customHeight="1" spans="1:26">
      <c r="A760" s="686"/>
      <c r="B760" s="686"/>
      <c r="C760" s="686"/>
      <c r="D760" s="687"/>
      <c r="E760" s="687"/>
      <c r="F760" s="687"/>
      <c r="G760" s="687"/>
      <c r="H760" s="687"/>
      <c r="I760" s="687"/>
      <c r="J760" s="687"/>
      <c r="K760" s="687"/>
      <c r="L760" s="687"/>
      <c r="M760" s="687"/>
      <c r="N760" s="687"/>
      <c r="O760" s="687"/>
      <c r="P760" s="687"/>
      <c r="Q760" s="687"/>
      <c r="R760" s="687"/>
      <c r="S760" s="687"/>
      <c r="T760" s="687"/>
      <c r="U760" s="687"/>
      <c r="V760" s="687"/>
      <c r="W760" s="687"/>
      <c r="X760" s="687"/>
      <c r="Y760" s="687"/>
      <c r="Z760" s="687"/>
    </row>
    <row r="761" customHeight="1" spans="1:26">
      <c r="A761" s="686"/>
      <c r="B761" s="686"/>
      <c r="C761" s="686"/>
      <c r="D761" s="687"/>
      <c r="E761" s="687"/>
      <c r="F761" s="687"/>
      <c r="G761" s="687"/>
      <c r="H761" s="687"/>
      <c r="I761" s="687"/>
      <c r="J761" s="687"/>
      <c r="K761" s="687"/>
      <c r="L761" s="687"/>
      <c r="M761" s="687"/>
      <c r="N761" s="687"/>
      <c r="O761" s="687"/>
      <c r="P761" s="687"/>
      <c r="Q761" s="687"/>
      <c r="R761" s="687"/>
      <c r="S761" s="687"/>
      <c r="T761" s="687"/>
      <c r="U761" s="687"/>
      <c r="V761" s="687"/>
      <c r="W761" s="687"/>
      <c r="X761" s="687"/>
      <c r="Y761" s="687"/>
      <c r="Z761" s="687"/>
    </row>
    <row r="762" customHeight="1" spans="1:26">
      <c r="A762" s="686"/>
      <c r="B762" s="686"/>
      <c r="C762" s="686"/>
      <c r="D762" s="687"/>
      <c r="E762" s="687"/>
      <c r="F762" s="687"/>
      <c r="G762" s="687"/>
      <c r="H762" s="687"/>
      <c r="I762" s="687"/>
      <c r="J762" s="687"/>
      <c r="K762" s="687"/>
      <c r="L762" s="687"/>
      <c r="M762" s="687"/>
      <c r="N762" s="687"/>
      <c r="O762" s="687"/>
      <c r="P762" s="687"/>
      <c r="Q762" s="687"/>
      <c r="R762" s="687"/>
      <c r="S762" s="687"/>
      <c r="T762" s="687"/>
      <c r="U762" s="687"/>
      <c r="V762" s="687"/>
      <c r="W762" s="687"/>
      <c r="X762" s="687"/>
      <c r="Y762" s="687"/>
      <c r="Z762" s="687"/>
    </row>
    <row r="763" customHeight="1" spans="1:26">
      <c r="A763" s="686"/>
      <c r="B763" s="686"/>
      <c r="C763" s="686"/>
      <c r="D763" s="687"/>
      <c r="E763" s="687"/>
      <c r="F763" s="687"/>
      <c r="G763" s="687"/>
      <c r="H763" s="687"/>
      <c r="I763" s="687"/>
      <c r="J763" s="687"/>
      <c r="K763" s="687"/>
      <c r="L763" s="687"/>
      <c r="M763" s="687"/>
      <c r="N763" s="687"/>
      <c r="O763" s="687"/>
      <c r="P763" s="687"/>
      <c r="Q763" s="687"/>
      <c r="R763" s="687"/>
      <c r="S763" s="687"/>
      <c r="T763" s="687"/>
      <c r="U763" s="687"/>
      <c r="V763" s="687"/>
      <c r="W763" s="687"/>
      <c r="X763" s="687"/>
      <c r="Y763" s="687"/>
      <c r="Z763" s="687"/>
    </row>
    <row r="764" customHeight="1" spans="1:26">
      <c r="A764" s="686"/>
      <c r="B764" s="686"/>
      <c r="C764" s="686"/>
      <c r="D764" s="687"/>
      <c r="E764" s="687"/>
      <c r="F764" s="687"/>
      <c r="G764" s="687"/>
      <c r="H764" s="687"/>
      <c r="I764" s="687"/>
      <c r="J764" s="687"/>
      <c r="K764" s="687"/>
      <c r="L764" s="687"/>
      <c r="M764" s="687"/>
      <c r="N764" s="687"/>
      <c r="O764" s="687"/>
      <c r="P764" s="687"/>
      <c r="Q764" s="687"/>
      <c r="R764" s="687"/>
      <c r="S764" s="687"/>
      <c r="T764" s="687"/>
      <c r="U764" s="687"/>
      <c r="V764" s="687"/>
      <c r="W764" s="687"/>
      <c r="X764" s="687"/>
      <c r="Y764" s="687"/>
      <c r="Z764" s="687"/>
    </row>
    <row r="765" customHeight="1" spans="1:26">
      <c r="A765" s="686"/>
      <c r="B765" s="686"/>
      <c r="C765" s="686"/>
      <c r="D765" s="687"/>
      <c r="E765" s="687"/>
      <c r="F765" s="687"/>
      <c r="G765" s="687"/>
      <c r="H765" s="687"/>
      <c r="I765" s="687"/>
      <c r="J765" s="687"/>
      <c r="K765" s="687"/>
      <c r="L765" s="687"/>
      <c r="M765" s="687"/>
      <c r="N765" s="687"/>
      <c r="O765" s="687"/>
      <c r="P765" s="687"/>
      <c r="Q765" s="687"/>
      <c r="R765" s="687"/>
      <c r="S765" s="687"/>
      <c r="T765" s="687"/>
      <c r="U765" s="687"/>
      <c r="V765" s="687"/>
      <c r="W765" s="687"/>
      <c r="X765" s="687"/>
      <c r="Y765" s="687"/>
      <c r="Z765" s="687"/>
    </row>
    <row r="766" customHeight="1" spans="1:26">
      <c r="A766" s="686"/>
      <c r="B766" s="686"/>
      <c r="C766" s="686"/>
      <c r="D766" s="687"/>
      <c r="E766" s="687"/>
      <c r="F766" s="687"/>
      <c r="G766" s="687"/>
      <c r="H766" s="687"/>
      <c r="I766" s="687"/>
      <c r="J766" s="687"/>
      <c r="K766" s="687"/>
      <c r="L766" s="687"/>
      <c r="M766" s="687"/>
      <c r="N766" s="687"/>
      <c r="O766" s="687"/>
      <c r="P766" s="687"/>
      <c r="Q766" s="687"/>
      <c r="R766" s="687"/>
      <c r="S766" s="687"/>
      <c r="T766" s="687"/>
      <c r="U766" s="687"/>
      <c r="V766" s="687"/>
      <c r="W766" s="687"/>
      <c r="X766" s="687"/>
      <c r="Y766" s="687"/>
      <c r="Z766" s="687"/>
    </row>
    <row r="767" customHeight="1" spans="1:26">
      <c r="A767" s="686"/>
      <c r="B767" s="686"/>
      <c r="C767" s="686"/>
      <c r="D767" s="687"/>
      <c r="E767" s="687"/>
      <c r="F767" s="687"/>
      <c r="G767" s="687"/>
      <c r="H767" s="687"/>
      <c r="I767" s="687"/>
      <c r="J767" s="687"/>
      <c r="K767" s="687"/>
      <c r="L767" s="687"/>
      <c r="M767" s="687"/>
      <c r="N767" s="687"/>
      <c r="O767" s="687"/>
      <c r="P767" s="687"/>
      <c r="Q767" s="687"/>
      <c r="R767" s="687"/>
      <c r="S767" s="687"/>
      <c r="T767" s="687"/>
      <c r="U767" s="687"/>
      <c r="V767" s="687"/>
      <c r="W767" s="687"/>
      <c r="X767" s="687"/>
      <c r="Y767" s="687"/>
      <c r="Z767" s="687"/>
    </row>
    <row r="768" customHeight="1" spans="1:26">
      <c r="A768" s="686"/>
      <c r="B768" s="686"/>
      <c r="C768" s="686"/>
      <c r="D768" s="687"/>
      <c r="E768" s="687"/>
      <c r="F768" s="687"/>
      <c r="G768" s="687"/>
      <c r="H768" s="687"/>
      <c r="I768" s="687"/>
      <c r="J768" s="687"/>
      <c r="K768" s="687"/>
      <c r="L768" s="687"/>
      <c r="M768" s="687"/>
      <c r="N768" s="687"/>
      <c r="O768" s="687"/>
      <c r="P768" s="687"/>
      <c r="Q768" s="687"/>
      <c r="R768" s="687"/>
      <c r="S768" s="687"/>
      <c r="T768" s="687"/>
      <c r="U768" s="687"/>
      <c r="V768" s="687"/>
      <c r="W768" s="687"/>
      <c r="X768" s="687"/>
      <c r="Y768" s="687"/>
      <c r="Z768" s="687"/>
    </row>
    <row r="769" customHeight="1" spans="1:26">
      <c r="A769" s="686"/>
      <c r="B769" s="686"/>
      <c r="C769" s="686"/>
      <c r="D769" s="687"/>
      <c r="E769" s="687"/>
      <c r="F769" s="687"/>
      <c r="G769" s="687"/>
      <c r="H769" s="687"/>
      <c r="I769" s="687"/>
      <c r="J769" s="687"/>
      <c r="K769" s="687"/>
      <c r="L769" s="687"/>
      <c r="M769" s="687"/>
      <c r="N769" s="687"/>
      <c r="O769" s="687"/>
      <c r="P769" s="687"/>
      <c r="Q769" s="687"/>
      <c r="R769" s="687"/>
      <c r="S769" s="687"/>
      <c r="T769" s="687"/>
      <c r="U769" s="687"/>
      <c r="V769" s="687"/>
      <c r="W769" s="687"/>
      <c r="X769" s="687"/>
      <c r="Y769" s="687"/>
      <c r="Z769" s="687"/>
    </row>
    <row r="770" customHeight="1" spans="1:26">
      <c r="A770" s="686"/>
      <c r="B770" s="686"/>
      <c r="C770" s="686"/>
      <c r="D770" s="687"/>
      <c r="E770" s="687"/>
      <c r="F770" s="687"/>
      <c r="G770" s="687"/>
      <c r="H770" s="687"/>
      <c r="I770" s="687"/>
      <c r="J770" s="687"/>
      <c r="K770" s="687"/>
      <c r="L770" s="687"/>
      <c r="M770" s="687"/>
      <c r="N770" s="687"/>
      <c r="O770" s="687"/>
      <c r="P770" s="687"/>
      <c r="Q770" s="687"/>
      <c r="R770" s="687"/>
      <c r="S770" s="687"/>
      <c r="T770" s="687"/>
      <c r="U770" s="687"/>
      <c r="V770" s="687"/>
      <c r="W770" s="687"/>
      <c r="X770" s="687"/>
      <c r="Y770" s="687"/>
      <c r="Z770" s="687"/>
    </row>
    <row r="771" customHeight="1" spans="1:26">
      <c r="A771" s="686"/>
      <c r="B771" s="686"/>
      <c r="C771" s="686"/>
      <c r="D771" s="687"/>
      <c r="E771" s="687"/>
      <c r="F771" s="687"/>
      <c r="G771" s="687"/>
      <c r="H771" s="687"/>
      <c r="I771" s="687"/>
      <c r="J771" s="687"/>
      <c r="K771" s="687"/>
      <c r="L771" s="687"/>
      <c r="M771" s="687"/>
      <c r="N771" s="687"/>
      <c r="O771" s="687"/>
      <c r="P771" s="687"/>
      <c r="Q771" s="687"/>
      <c r="R771" s="687"/>
      <c r="S771" s="687"/>
      <c r="T771" s="687"/>
      <c r="U771" s="687"/>
      <c r="V771" s="687"/>
      <c r="W771" s="687"/>
      <c r="X771" s="687"/>
      <c r="Y771" s="687"/>
      <c r="Z771" s="687"/>
    </row>
    <row r="772" customHeight="1" spans="1:26">
      <c r="A772" s="686"/>
      <c r="B772" s="686"/>
      <c r="C772" s="686"/>
      <c r="D772" s="687"/>
      <c r="E772" s="687"/>
      <c r="F772" s="687"/>
      <c r="G772" s="687"/>
      <c r="H772" s="687"/>
      <c r="I772" s="687"/>
      <c r="J772" s="687"/>
      <c r="K772" s="687"/>
      <c r="L772" s="687"/>
      <c r="M772" s="687"/>
      <c r="N772" s="687"/>
      <c r="O772" s="687"/>
      <c r="P772" s="687"/>
      <c r="Q772" s="687"/>
      <c r="R772" s="687"/>
      <c r="S772" s="687"/>
      <c r="T772" s="687"/>
      <c r="U772" s="687"/>
      <c r="V772" s="687"/>
      <c r="W772" s="687"/>
      <c r="X772" s="687"/>
      <c r="Y772" s="687"/>
      <c r="Z772" s="687"/>
    </row>
    <row r="773" customHeight="1" spans="1:26">
      <c r="A773" s="686"/>
      <c r="B773" s="686"/>
      <c r="C773" s="686"/>
      <c r="D773" s="687"/>
      <c r="E773" s="687"/>
      <c r="F773" s="687"/>
      <c r="G773" s="687"/>
      <c r="H773" s="687"/>
      <c r="I773" s="687"/>
      <c r="J773" s="687"/>
      <c r="K773" s="687"/>
      <c r="L773" s="687"/>
      <c r="M773" s="687"/>
      <c r="N773" s="687"/>
      <c r="O773" s="687"/>
      <c r="P773" s="687"/>
      <c r="Q773" s="687"/>
      <c r="R773" s="687"/>
      <c r="S773" s="687"/>
      <c r="T773" s="687"/>
      <c r="U773" s="687"/>
      <c r="V773" s="687"/>
      <c r="W773" s="687"/>
      <c r="X773" s="687"/>
      <c r="Y773" s="687"/>
      <c r="Z773" s="687"/>
    </row>
    <row r="774" customHeight="1" spans="1:26">
      <c r="A774" s="686"/>
      <c r="B774" s="686"/>
      <c r="C774" s="686"/>
      <c r="D774" s="687"/>
      <c r="E774" s="687"/>
      <c r="F774" s="687"/>
      <c r="G774" s="687"/>
      <c r="H774" s="687"/>
      <c r="I774" s="687"/>
      <c r="J774" s="687"/>
      <c r="K774" s="687"/>
      <c r="L774" s="687"/>
      <c r="M774" s="687"/>
      <c r="N774" s="687"/>
      <c r="O774" s="687"/>
      <c r="P774" s="687"/>
      <c r="Q774" s="687"/>
      <c r="R774" s="687"/>
      <c r="S774" s="687"/>
      <c r="T774" s="687"/>
      <c r="U774" s="687"/>
      <c r="V774" s="687"/>
      <c r="W774" s="687"/>
      <c r="X774" s="687"/>
      <c r="Y774" s="687"/>
      <c r="Z774" s="687"/>
    </row>
    <row r="775" customHeight="1" spans="1:26">
      <c r="A775" s="686"/>
      <c r="B775" s="686"/>
      <c r="C775" s="686"/>
      <c r="D775" s="687"/>
      <c r="E775" s="687"/>
      <c r="F775" s="687"/>
      <c r="G775" s="687"/>
      <c r="H775" s="687"/>
      <c r="I775" s="687"/>
      <c r="J775" s="687"/>
      <c r="K775" s="687"/>
      <c r="L775" s="687"/>
      <c r="M775" s="687"/>
      <c r="N775" s="687"/>
      <c r="O775" s="687"/>
      <c r="P775" s="687"/>
      <c r="Q775" s="687"/>
      <c r="R775" s="687"/>
      <c r="S775" s="687"/>
      <c r="T775" s="687"/>
      <c r="U775" s="687"/>
      <c r="V775" s="687"/>
      <c r="W775" s="687"/>
      <c r="X775" s="687"/>
      <c r="Y775" s="687"/>
      <c r="Z775" s="687"/>
    </row>
    <row r="776" customHeight="1" spans="1:26">
      <c r="A776" s="686"/>
      <c r="B776" s="686"/>
      <c r="C776" s="686"/>
      <c r="D776" s="687"/>
      <c r="E776" s="687"/>
      <c r="F776" s="687"/>
      <c r="G776" s="687"/>
      <c r="H776" s="687"/>
      <c r="I776" s="687"/>
      <c r="J776" s="687"/>
      <c r="K776" s="687"/>
      <c r="L776" s="687"/>
      <c r="M776" s="687"/>
      <c r="N776" s="687"/>
      <c r="O776" s="687"/>
      <c r="P776" s="687"/>
      <c r="Q776" s="687"/>
      <c r="R776" s="687"/>
      <c r="S776" s="687"/>
      <c r="T776" s="687"/>
      <c r="U776" s="687"/>
      <c r="V776" s="687"/>
      <c r="W776" s="687"/>
      <c r="X776" s="687"/>
      <c r="Y776" s="687"/>
      <c r="Z776" s="687"/>
    </row>
    <row r="777" customHeight="1" spans="1:26">
      <c r="A777" s="686"/>
      <c r="B777" s="686"/>
      <c r="C777" s="686"/>
      <c r="D777" s="687"/>
      <c r="E777" s="687"/>
      <c r="F777" s="687"/>
      <c r="G777" s="687"/>
      <c r="H777" s="687"/>
      <c r="I777" s="687"/>
      <c r="J777" s="687"/>
      <c r="K777" s="687"/>
      <c r="L777" s="687"/>
      <c r="M777" s="687"/>
      <c r="N777" s="687"/>
      <c r="O777" s="687"/>
      <c r="P777" s="687"/>
      <c r="Q777" s="687"/>
      <c r="R777" s="687"/>
      <c r="S777" s="687"/>
      <c r="T777" s="687"/>
      <c r="U777" s="687"/>
      <c r="V777" s="687"/>
      <c r="W777" s="687"/>
      <c r="X777" s="687"/>
      <c r="Y777" s="687"/>
      <c r="Z777" s="687"/>
    </row>
    <row r="778" customHeight="1" spans="1:26">
      <c r="A778" s="686"/>
      <c r="B778" s="686"/>
      <c r="C778" s="686"/>
      <c r="D778" s="687"/>
      <c r="E778" s="687"/>
      <c r="F778" s="687"/>
      <c r="G778" s="687"/>
      <c r="H778" s="687"/>
      <c r="I778" s="687"/>
      <c r="J778" s="687"/>
      <c r="K778" s="687"/>
      <c r="L778" s="687"/>
      <c r="M778" s="687"/>
      <c r="N778" s="687"/>
      <c r="O778" s="687"/>
      <c r="P778" s="687"/>
      <c r="Q778" s="687"/>
      <c r="R778" s="687"/>
      <c r="S778" s="687"/>
      <c r="T778" s="687"/>
      <c r="U778" s="687"/>
      <c r="V778" s="687"/>
      <c r="W778" s="687"/>
      <c r="X778" s="687"/>
      <c r="Y778" s="687"/>
      <c r="Z778" s="687"/>
    </row>
    <row r="779" customHeight="1" spans="1:26">
      <c r="A779" s="686"/>
      <c r="B779" s="686"/>
      <c r="C779" s="686"/>
      <c r="D779" s="687"/>
      <c r="E779" s="687"/>
      <c r="F779" s="687"/>
      <c r="G779" s="687"/>
      <c r="H779" s="687"/>
      <c r="I779" s="687"/>
      <c r="J779" s="687"/>
      <c r="K779" s="687"/>
      <c r="L779" s="687"/>
      <c r="M779" s="687"/>
      <c r="N779" s="687"/>
      <c r="O779" s="687"/>
      <c r="P779" s="687"/>
      <c r="Q779" s="687"/>
      <c r="R779" s="687"/>
      <c r="S779" s="687"/>
      <c r="T779" s="687"/>
      <c r="U779" s="687"/>
      <c r="V779" s="687"/>
      <c r="W779" s="687"/>
      <c r="X779" s="687"/>
      <c r="Y779" s="687"/>
      <c r="Z779" s="687"/>
    </row>
    <row r="780" customHeight="1" spans="1:26">
      <c r="A780" s="686"/>
      <c r="B780" s="686"/>
      <c r="C780" s="686"/>
      <c r="D780" s="687"/>
      <c r="E780" s="687"/>
      <c r="F780" s="687"/>
      <c r="G780" s="687"/>
      <c r="H780" s="687"/>
      <c r="I780" s="687"/>
      <c r="J780" s="687"/>
      <c r="K780" s="687"/>
      <c r="L780" s="687"/>
      <c r="M780" s="687"/>
      <c r="N780" s="687"/>
      <c r="O780" s="687"/>
      <c r="P780" s="687"/>
      <c r="Q780" s="687"/>
      <c r="R780" s="687"/>
      <c r="S780" s="687"/>
      <c r="T780" s="687"/>
      <c r="U780" s="687"/>
      <c r="V780" s="687"/>
      <c r="W780" s="687"/>
      <c r="X780" s="687"/>
      <c r="Y780" s="687"/>
      <c r="Z780" s="687"/>
    </row>
    <row r="781" customHeight="1" spans="1:26">
      <c r="A781" s="686"/>
      <c r="B781" s="686"/>
      <c r="C781" s="686"/>
      <c r="D781" s="687"/>
      <c r="E781" s="687"/>
      <c r="F781" s="687"/>
      <c r="G781" s="687"/>
      <c r="H781" s="687"/>
      <c r="I781" s="687"/>
      <c r="J781" s="687"/>
      <c r="K781" s="687"/>
      <c r="L781" s="687"/>
      <c r="M781" s="687"/>
      <c r="N781" s="687"/>
      <c r="O781" s="687"/>
      <c r="P781" s="687"/>
      <c r="Q781" s="687"/>
      <c r="R781" s="687"/>
      <c r="S781" s="687"/>
      <c r="T781" s="687"/>
      <c r="U781" s="687"/>
      <c r="V781" s="687"/>
      <c r="W781" s="687"/>
      <c r="X781" s="687"/>
      <c r="Y781" s="687"/>
      <c r="Z781" s="687"/>
    </row>
    <row r="782" customHeight="1" spans="1:26">
      <c r="A782" s="686"/>
      <c r="B782" s="686"/>
      <c r="C782" s="686"/>
      <c r="D782" s="687"/>
      <c r="E782" s="687"/>
      <c r="F782" s="687"/>
      <c r="G782" s="687"/>
      <c r="H782" s="687"/>
      <c r="I782" s="687"/>
      <c r="J782" s="687"/>
      <c r="K782" s="687"/>
      <c r="L782" s="687"/>
      <c r="M782" s="687"/>
      <c r="N782" s="687"/>
      <c r="O782" s="687"/>
      <c r="P782" s="687"/>
      <c r="Q782" s="687"/>
      <c r="R782" s="687"/>
      <c r="S782" s="687"/>
      <c r="T782" s="687"/>
      <c r="U782" s="687"/>
      <c r="V782" s="687"/>
      <c r="W782" s="687"/>
      <c r="X782" s="687"/>
      <c r="Y782" s="687"/>
      <c r="Z782" s="687"/>
    </row>
    <row r="783" customHeight="1" spans="1:26">
      <c r="A783" s="686"/>
      <c r="B783" s="686"/>
      <c r="C783" s="686"/>
      <c r="D783" s="687"/>
      <c r="E783" s="687"/>
      <c r="F783" s="687"/>
      <c r="G783" s="687"/>
      <c r="H783" s="687"/>
      <c r="I783" s="687"/>
      <c r="J783" s="687"/>
      <c r="K783" s="687"/>
      <c r="L783" s="687"/>
      <c r="M783" s="687"/>
      <c r="N783" s="687"/>
      <c r="O783" s="687"/>
      <c r="P783" s="687"/>
      <c r="Q783" s="687"/>
      <c r="R783" s="687"/>
      <c r="S783" s="687"/>
      <c r="T783" s="687"/>
      <c r="U783" s="687"/>
      <c r="V783" s="687"/>
      <c r="W783" s="687"/>
      <c r="X783" s="687"/>
      <c r="Y783" s="687"/>
      <c r="Z783" s="687"/>
    </row>
    <row r="784" customHeight="1" spans="1:26">
      <c r="A784" s="686"/>
      <c r="B784" s="686"/>
      <c r="C784" s="686"/>
      <c r="D784" s="687"/>
      <c r="E784" s="687"/>
      <c r="F784" s="687"/>
      <c r="G784" s="687"/>
      <c r="H784" s="687"/>
      <c r="I784" s="687"/>
      <c r="J784" s="687"/>
      <c r="K784" s="687"/>
      <c r="L784" s="687"/>
      <c r="M784" s="687"/>
      <c r="N784" s="687"/>
      <c r="O784" s="687"/>
      <c r="P784" s="687"/>
      <c r="Q784" s="687"/>
      <c r="R784" s="687"/>
      <c r="S784" s="687"/>
      <c r="T784" s="687"/>
      <c r="U784" s="687"/>
      <c r="V784" s="687"/>
      <c r="W784" s="687"/>
      <c r="X784" s="687"/>
      <c r="Y784" s="687"/>
      <c r="Z784" s="687"/>
    </row>
    <row r="785" customHeight="1" spans="1:26">
      <c r="A785" s="686"/>
      <c r="B785" s="686"/>
      <c r="C785" s="686"/>
      <c r="D785" s="687"/>
      <c r="E785" s="687"/>
      <c r="F785" s="687"/>
      <c r="G785" s="687"/>
      <c r="H785" s="687"/>
      <c r="I785" s="687"/>
      <c r="J785" s="687"/>
      <c r="K785" s="687"/>
      <c r="L785" s="687"/>
      <c r="M785" s="687"/>
      <c r="N785" s="687"/>
      <c r="O785" s="687"/>
      <c r="P785" s="687"/>
      <c r="Q785" s="687"/>
      <c r="R785" s="687"/>
      <c r="S785" s="687"/>
      <c r="T785" s="687"/>
      <c r="U785" s="687"/>
      <c r="V785" s="687"/>
      <c r="W785" s="687"/>
      <c r="X785" s="687"/>
      <c r="Y785" s="687"/>
      <c r="Z785" s="687"/>
    </row>
    <row r="786" customHeight="1" spans="1:26">
      <c r="A786" s="686"/>
      <c r="B786" s="686"/>
      <c r="C786" s="686"/>
      <c r="D786" s="687"/>
      <c r="E786" s="687"/>
      <c r="F786" s="687"/>
      <c r="G786" s="687"/>
      <c r="H786" s="687"/>
      <c r="I786" s="687"/>
      <c r="J786" s="687"/>
      <c r="K786" s="687"/>
      <c r="L786" s="687"/>
      <c r="M786" s="687"/>
      <c r="N786" s="687"/>
      <c r="O786" s="687"/>
      <c r="P786" s="687"/>
      <c r="Q786" s="687"/>
      <c r="R786" s="687"/>
      <c r="S786" s="687"/>
      <c r="T786" s="687"/>
      <c r="U786" s="687"/>
      <c r="V786" s="687"/>
      <c r="W786" s="687"/>
      <c r="X786" s="687"/>
      <c r="Y786" s="687"/>
      <c r="Z786" s="687"/>
    </row>
    <row r="787" customHeight="1" spans="1:26">
      <c r="A787" s="686"/>
      <c r="B787" s="686"/>
      <c r="C787" s="686"/>
      <c r="D787" s="687"/>
      <c r="E787" s="687"/>
      <c r="F787" s="687"/>
      <c r="G787" s="687"/>
      <c r="H787" s="687"/>
      <c r="I787" s="687"/>
      <c r="J787" s="687"/>
      <c r="K787" s="687"/>
      <c r="L787" s="687"/>
      <c r="M787" s="687"/>
      <c r="N787" s="687"/>
      <c r="O787" s="687"/>
      <c r="P787" s="687"/>
      <c r="Q787" s="687"/>
      <c r="R787" s="687"/>
      <c r="S787" s="687"/>
      <c r="T787" s="687"/>
      <c r="U787" s="687"/>
      <c r="V787" s="687"/>
      <c r="W787" s="687"/>
      <c r="X787" s="687"/>
      <c r="Y787" s="687"/>
      <c r="Z787" s="687"/>
    </row>
    <row r="788" customHeight="1" spans="1:26">
      <c r="A788" s="686"/>
      <c r="B788" s="686"/>
      <c r="C788" s="686"/>
      <c r="D788" s="687"/>
      <c r="E788" s="687"/>
      <c r="F788" s="687"/>
      <c r="G788" s="687"/>
      <c r="H788" s="687"/>
      <c r="I788" s="687"/>
      <c r="J788" s="687"/>
      <c r="K788" s="687"/>
      <c r="L788" s="687"/>
      <c r="M788" s="687"/>
      <c r="N788" s="687"/>
      <c r="O788" s="687"/>
      <c r="P788" s="687"/>
      <c r="Q788" s="687"/>
      <c r="R788" s="687"/>
      <c r="S788" s="687"/>
      <c r="T788" s="687"/>
      <c r="U788" s="687"/>
      <c r="V788" s="687"/>
      <c r="W788" s="687"/>
      <c r="X788" s="687"/>
      <c r="Y788" s="687"/>
      <c r="Z788" s="687"/>
    </row>
    <row r="789" customHeight="1" spans="1:26">
      <c r="A789" s="686"/>
      <c r="B789" s="686"/>
      <c r="C789" s="686"/>
      <c r="D789" s="687"/>
      <c r="E789" s="687"/>
      <c r="F789" s="687"/>
      <c r="G789" s="687"/>
      <c r="H789" s="687"/>
      <c r="I789" s="687"/>
      <c r="J789" s="687"/>
      <c r="K789" s="687"/>
      <c r="L789" s="687"/>
      <c r="M789" s="687"/>
      <c r="N789" s="687"/>
      <c r="O789" s="687"/>
      <c r="P789" s="687"/>
      <c r="Q789" s="687"/>
      <c r="R789" s="687"/>
      <c r="S789" s="687"/>
      <c r="T789" s="687"/>
      <c r="U789" s="687"/>
      <c r="V789" s="687"/>
      <c r="W789" s="687"/>
      <c r="X789" s="687"/>
      <c r="Y789" s="687"/>
      <c r="Z789" s="687"/>
    </row>
    <row r="790" customHeight="1" spans="1:26">
      <c r="A790" s="686"/>
      <c r="B790" s="686"/>
      <c r="C790" s="686"/>
      <c r="D790" s="687"/>
      <c r="E790" s="687"/>
      <c r="F790" s="687"/>
      <c r="G790" s="687"/>
      <c r="H790" s="687"/>
      <c r="I790" s="687"/>
      <c r="J790" s="687"/>
      <c r="K790" s="687"/>
      <c r="L790" s="687"/>
      <c r="M790" s="687"/>
      <c r="N790" s="687"/>
      <c r="O790" s="687"/>
      <c r="P790" s="687"/>
      <c r="Q790" s="687"/>
      <c r="R790" s="687"/>
      <c r="S790" s="687"/>
      <c r="T790" s="687"/>
      <c r="U790" s="687"/>
      <c r="V790" s="687"/>
      <c r="W790" s="687"/>
      <c r="X790" s="687"/>
      <c r="Y790" s="687"/>
      <c r="Z790" s="687"/>
    </row>
    <row r="791" customHeight="1" spans="1:26">
      <c r="A791" s="686"/>
      <c r="B791" s="686"/>
      <c r="C791" s="686"/>
      <c r="D791" s="687"/>
      <c r="E791" s="687"/>
      <c r="F791" s="687"/>
      <c r="G791" s="687"/>
      <c r="H791" s="687"/>
      <c r="I791" s="687"/>
      <c r="J791" s="687"/>
      <c r="K791" s="687"/>
      <c r="L791" s="687"/>
      <c r="M791" s="687"/>
      <c r="N791" s="687"/>
      <c r="O791" s="687"/>
      <c r="P791" s="687"/>
      <c r="Q791" s="687"/>
      <c r="R791" s="687"/>
      <c r="S791" s="687"/>
      <c r="T791" s="687"/>
      <c r="U791" s="687"/>
      <c r="V791" s="687"/>
      <c r="W791" s="687"/>
      <c r="X791" s="687"/>
      <c r="Y791" s="687"/>
      <c r="Z791" s="687"/>
    </row>
    <row r="792" customHeight="1" spans="1:26">
      <c r="A792" s="686"/>
      <c r="B792" s="686"/>
      <c r="C792" s="686"/>
      <c r="D792" s="687"/>
      <c r="E792" s="687"/>
      <c r="F792" s="687"/>
      <c r="G792" s="687"/>
      <c r="H792" s="687"/>
      <c r="I792" s="687"/>
      <c r="J792" s="687"/>
      <c r="K792" s="687"/>
      <c r="L792" s="687"/>
      <c r="M792" s="687"/>
      <c r="N792" s="687"/>
      <c r="O792" s="687"/>
      <c r="P792" s="687"/>
      <c r="Q792" s="687"/>
      <c r="R792" s="687"/>
      <c r="S792" s="687"/>
      <c r="T792" s="687"/>
      <c r="U792" s="687"/>
      <c r="V792" s="687"/>
      <c r="W792" s="687"/>
      <c r="X792" s="687"/>
      <c r="Y792" s="687"/>
      <c r="Z792" s="687"/>
    </row>
    <row r="793" customHeight="1" spans="1:26">
      <c r="A793" s="686"/>
      <c r="B793" s="686"/>
      <c r="C793" s="686"/>
      <c r="D793" s="687"/>
      <c r="E793" s="687"/>
      <c r="F793" s="687"/>
      <c r="G793" s="687"/>
      <c r="H793" s="687"/>
      <c r="I793" s="687"/>
      <c r="J793" s="687"/>
      <c r="K793" s="687"/>
      <c r="L793" s="687"/>
      <c r="M793" s="687"/>
      <c r="N793" s="687"/>
      <c r="O793" s="687"/>
      <c r="P793" s="687"/>
      <c r="Q793" s="687"/>
      <c r="R793" s="687"/>
      <c r="S793" s="687"/>
      <c r="T793" s="687"/>
      <c r="U793" s="687"/>
      <c r="V793" s="687"/>
      <c r="W793" s="687"/>
      <c r="X793" s="687"/>
      <c r="Y793" s="687"/>
      <c r="Z793" s="687"/>
    </row>
    <row r="794" customHeight="1" spans="1:26">
      <c r="A794" s="686"/>
      <c r="B794" s="686"/>
      <c r="C794" s="686"/>
      <c r="D794" s="687"/>
      <c r="E794" s="687"/>
      <c r="F794" s="687"/>
      <c r="G794" s="687"/>
      <c r="H794" s="687"/>
      <c r="I794" s="687"/>
      <c r="J794" s="687"/>
      <c r="K794" s="687"/>
      <c r="L794" s="687"/>
      <c r="M794" s="687"/>
      <c r="N794" s="687"/>
      <c r="O794" s="687"/>
      <c r="P794" s="687"/>
      <c r="Q794" s="687"/>
      <c r="R794" s="687"/>
      <c r="S794" s="687"/>
      <c r="T794" s="687"/>
      <c r="U794" s="687"/>
      <c r="V794" s="687"/>
      <c r="W794" s="687"/>
      <c r="X794" s="687"/>
      <c r="Y794" s="687"/>
      <c r="Z794" s="687"/>
    </row>
    <row r="795" customHeight="1" spans="1:26">
      <c r="A795" s="686"/>
      <c r="B795" s="686"/>
      <c r="C795" s="686"/>
      <c r="D795" s="687"/>
      <c r="E795" s="687"/>
      <c r="F795" s="687"/>
      <c r="G795" s="687"/>
      <c r="H795" s="687"/>
      <c r="I795" s="687"/>
      <c r="J795" s="687"/>
      <c r="K795" s="687"/>
      <c r="L795" s="687"/>
      <c r="M795" s="687"/>
      <c r="N795" s="687"/>
      <c r="O795" s="687"/>
      <c r="P795" s="687"/>
      <c r="Q795" s="687"/>
      <c r="R795" s="687"/>
      <c r="S795" s="687"/>
      <c r="T795" s="687"/>
      <c r="U795" s="687"/>
      <c r="V795" s="687"/>
      <c r="W795" s="687"/>
      <c r="X795" s="687"/>
      <c r="Y795" s="687"/>
      <c r="Z795" s="687"/>
    </row>
    <row r="796" customHeight="1" spans="1:26">
      <c r="A796" s="686"/>
      <c r="B796" s="686"/>
      <c r="C796" s="686"/>
      <c r="D796" s="687"/>
      <c r="E796" s="687"/>
      <c r="F796" s="687"/>
      <c r="G796" s="687"/>
      <c r="H796" s="687"/>
      <c r="I796" s="687"/>
      <c r="J796" s="687"/>
      <c r="K796" s="687"/>
      <c r="L796" s="687"/>
      <c r="M796" s="687"/>
      <c r="N796" s="687"/>
      <c r="O796" s="687"/>
      <c r="P796" s="687"/>
      <c r="Q796" s="687"/>
      <c r="R796" s="687"/>
      <c r="S796" s="687"/>
      <c r="T796" s="687"/>
      <c r="U796" s="687"/>
      <c r="V796" s="687"/>
      <c r="W796" s="687"/>
      <c r="X796" s="687"/>
      <c r="Y796" s="687"/>
      <c r="Z796" s="687"/>
    </row>
    <row r="797" customHeight="1" spans="1:26">
      <c r="A797" s="686"/>
      <c r="B797" s="686"/>
      <c r="C797" s="686"/>
      <c r="D797" s="687"/>
      <c r="E797" s="687"/>
      <c r="F797" s="687"/>
      <c r="G797" s="687"/>
      <c r="H797" s="687"/>
      <c r="I797" s="687"/>
      <c r="J797" s="687"/>
      <c r="K797" s="687"/>
      <c r="L797" s="687"/>
      <c r="M797" s="687"/>
      <c r="N797" s="687"/>
      <c r="O797" s="687"/>
      <c r="P797" s="687"/>
      <c r="Q797" s="687"/>
      <c r="R797" s="687"/>
      <c r="S797" s="687"/>
      <c r="T797" s="687"/>
      <c r="U797" s="687"/>
      <c r="V797" s="687"/>
      <c r="W797" s="687"/>
      <c r="X797" s="687"/>
      <c r="Y797" s="687"/>
      <c r="Z797" s="687"/>
    </row>
    <row r="798" customHeight="1" spans="1:26">
      <c r="A798" s="686"/>
      <c r="B798" s="686"/>
      <c r="C798" s="686"/>
      <c r="D798" s="687"/>
      <c r="E798" s="687"/>
      <c r="F798" s="687"/>
      <c r="G798" s="687"/>
      <c r="H798" s="687"/>
      <c r="I798" s="687"/>
      <c r="J798" s="687"/>
      <c r="K798" s="687"/>
      <c r="L798" s="687"/>
      <c r="M798" s="687"/>
      <c r="N798" s="687"/>
      <c r="O798" s="687"/>
      <c r="P798" s="687"/>
      <c r="Q798" s="687"/>
      <c r="R798" s="687"/>
      <c r="S798" s="687"/>
      <c r="T798" s="687"/>
      <c r="U798" s="687"/>
      <c r="V798" s="687"/>
      <c r="W798" s="687"/>
      <c r="X798" s="687"/>
      <c r="Y798" s="687"/>
      <c r="Z798" s="687"/>
    </row>
    <row r="799" customHeight="1" spans="1:26">
      <c r="A799" s="686"/>
      <c r="B799" s="686"/>
      <c r="C799" s="686"/>
      <c r="D799" s="687"/>
      <c r="E799" s="687"/>
      <c r="F799" s="687"/>
      <c r="G799" s="687"/>
      <c r="H799" s="687"/>
      <c r="I799" s="687"/>
      <c r="J799" s="687"/>
      <c r="K799" s="687"/>
      <c r="L799" s="687"/>
      <c r="M799" s="687"/>
      <c r="N799" s="687"/>
      <c r="O799" s="687"/>
      <c r="P799" s="687"/>
      <c r="Q799" s="687"/>
      <c r="R799" s="687"/>
      <c r="S799" s="687"/>
      <c r="T799" s="687"/>
      <c r="U799" s="687"/>
      <c r="V799" s="687"/>
      <c r="W799" s="687"/>
      <c r="X799" s="687"/>
      <c r="Y799" s="687"/>
      <c r="Z799" s="687"/>
    </row>
    <row r="800" customHeight="1" spans="1:26">
      <c r="A800" s="686"/>
      <c r="B800" s="686"/>
      <c r="C800" s="686"/>
      <c r="D800" s="687"/>
      <c r="E800" s="687"/>
      <c r="F800" s="687"/>
      <c r="G800" s="687"/>
      <c r="H800" s="687"/>
      <c r="I800" s="687"/>
      <c r="J800" s="687"/>
      <c r="K800" s="687"/>
      <c r="L800" s="687"/>
      <c r="M800" s="687"/>
      <c r="N800" s="687"/>
      <c r="O800" s="687"/>
      <c r="P800" s="687"/>
      <c r="Q800" s="687"/>
      <c r="R800" s="687"/>
      <c r="S800" s="687"/>
      <c r="T800" s="687"/>
      <c r="U800" s="687"/>
      <c r="V800" s="687"/>
      <c r="W800" s="687"/>
      <c r="X800" s="687"/>
      <c r="Y800" s="687"/>
      <c r="Z800" s="687"/>
    </row>
    <row r="801" customHeight="1" spans="1:26">
      <c r="A801" s="686"/>
      <c r="B801" s="686"/>
      <c r="C801" s="686"/>
      <c r="D801" s="687"/>
      <c r="E801" s="687"/>
      <c r="F801" s="687"/>
      <c r="G801" s="687"/>
      <c r="H801" s="687"/>
      <c r="I801" s="687"/>
      <c r="J801" s="687"/>
      <c r="K801" s="687"/>
      <c r="L801" s="687"/>
      <c r="M801" s="687"/>
      <c r="N801" s="687"/>
      <c r="O801" s="687"/>
      <c r="P801" s="687"/>
      <c r="Q801" s="687"/>
      <c r="R801" s="687"/>
      <c r="S801" s="687"/>
      <c r="T801" s="687"/>
      <c r="U801" s="687"/>
      <c r="V801" s="687"/>
      <c r="W801" s="687"/>
      <c r="X801" s="687"/>
      <c r="Y801" s="687"/>
      <c r="Z801" s="687"/>
    </row>
    <row r="802" customHeight="1" spans="1:26">
      <c r="A802" s="686"/>
      <c r="B802" s="686"/>
      <c r="C802" s="686"/>
      <c r="D802" s="687"/>
      <c r="E802" s="687"/>
      <c r="F802" s="687"/>
      <c r="G802" s="687"/>
      <c r="H802" s="687"/>
      <c r="I802" s="687"/>
      <c r="J802" s="687"/>
      <c r="K802" s="687"/>
      <c r="L802" s="687"/>
      <c r="M802" s="687"/>
      <c r="N802" s="687"/>
      <c r="O802" s="687"/>
      <c r="P802" s="687"/>
      <c r="Q802" s="687"/>
      <c r="R802" s="687"/>
      <c r="S802" s="687"/>
      <c r="T802" s="687"/>
      <c r="U802" s="687"/>
      <c r="V802" s="687"/>
      <c r="W802" s="687"/>
      <c r="X802" s="687"/>
      <c r="Y802" s="687"/>
      <c r="Z802" s="687"/>
    </row>
    <row r="803" customHeight="1" spans="1:26">
      <c r="A803" s="686"/>
      <c r="B803" s="686"/>
      <c r="C803" s="686"/>
      <c r="D803" s="687"/>
      <c r="E803" s="687"/>
      <c r="F803" s="687"/>
      <c r="G803" s="687"/>
      <c r="H803" s="687"/>
      <c r="I803" s="687"/>
      <c r="J803" s="687"/>
      <c r="K803" s="687"/>
      <c r="L803" s="687"/>
      <c r="M803" s="687"/>
      <c r="N803" s="687"/>
      <c r="O803" s="687"/>
      <c r="P803" s="687"/>
      <c r="Q803" s="687"/>
      <c r="R803" s="687"/>
      <c r="S803" s="687"/>
      <c r="T803" s="687"/>
      <c r="U803" s="687"/>
      <c r="V803" s="687"/>
      <c r="W803" s="687"/>
      <c r="X803" s="687"/>
      <c r="Y803" s="687"/>
      <c r="Z803" s="687"/>
    </row>
    <row r="804" customHeight="1" spans="1:26">
      <c r="A804" s="686"/>
      <c r="B804" s="686"/>
      <c r="C804" s="686"/>
      <c r="D804" s="687"/>
      <c r="E804" s="687"/>
      <c r="F804" s="687"/>
      <c r="G804" s="687"/>
      <c r="H804" s="687"/>
      <c r="I804" s="687"/>
      <c r="J804" s="687"/>
      <c r="K804" s="687"/>
      <c r="L804" s="687"/>
      <c r="M804" s="687"/>
      <c r="N804" s="687"/>
      <c r="O804" s="687"/>
      <c r="P804" s="687"/>
      <c r="Q804" s="687"/>
      <c r="R804" s="687"/>
      <c r="S804" s="687"/>
      <c r="T804" s="687"/>
      <c r="U804" s="687"/>
      <c r="V804" s="687"/>
      <c r="W804" s="687"/>
      <c r="X804" s="687"/>
      <c r="Y804" s="687"/>
      <c r="Z804" s="687"/>
    </row>
    <row r="805" customHeight="1" spans="1:26">
      <c r="A805" s="686"/>
      <c r="B805" s="686"/>
      <c r="C805" s="686"/>
      <c r="D805" s="687"/>
      <c r="E805" s="687"/>
      <c r="F805" s="687"/>
      <c r="G805" s="687"/>
      <c r="H805" s="687"/>
      <c r="I805" s="687"/>
      <c r="J805" s="687"/>
      <c r="K805" s="687"/>
      <c r="L805" s="687"/>
      <c r="M805" s="687"/>
      <c r="N805" s="687"/>
      <c r="O805" s="687"/>
      <c r="P805" s="687"/>
      <c r="Q805" s="687"/>
      <c r="R805" s="687"/>
      <c r="S805" s="687"/>
      <c r="T805" s="687"/>
      <c r="U805" s="687"/>
      <c r="V805" s="687"/>
      <c r="W805" s="687"/>
      <c r="X805" s="687"/>
      <c r="Y805" s="687"/>
      <c r="Z805" s="687"/>
    </row>
    <row r="806" customHeight="1" spans="1:26">
      <c r="A806" s="686"/>
      <c r="B806" s="686"/>
      <c r="C806" s="686"/>
      <c r="D806" s="687"/>
      <c r="E806" s="687"/>
      <c r="F806" s="687"/>
      <c r="G806" s="687"/>
      <c r="H806" s="687"/>
      <c r="I806" s="687"/>
      <c r="J806" s="687"/>
      <c r="K806" s="687"/>
      <c r="L806" s="687"/>
      <c r="M806" s="687"/>
      <c r="N806" s="687"/>
      <c r="O806" s="687"/>
      <c r="P806" s="687"/>
      <c r="Q806" s="687"/>
      <c r="R806" s="687"/>
      <c r="S806" s="687"/>
      <c r="T806" s="687"/>
      <c r="U806" s="687"/>
      <c r="V806" s="687"/>
      <c r="W806" s="687"/>
      <c r="X806" s="687"/>
      <c r="Y806" s="687"/>
      <c r="Z806" s="687"/>
    </row>
    <row r="807" customHeight="1" spans="1:26">
      <c r="A807" s="686"/>
      <c r="B807" s="686"/>
      <c r="C807" s="686"/>
      <c r="D807" s="687"/>
      <c r="E807" s="687"/>
      <c r="F807" s="687"/>
      <c r="G807" s="687"/>
      <c r="H807" s="687"/>
      <c r="I807" s="687"/>
      <c r="J807" s="687"/>
      <c r="K807" s="687"/>
      <c r="L807" s="687"/>
      <c r="M807" s="687"/>
      <c r="N807" s="687"/>
      <c r="O807" s="687"/>
      <c r="P807" s="687"/>
      <c r="Q807" s="687"/>
      <c r="R807" s="687"/>
      <c r="S807" s="687"/>
      <c r="T807" s="687"/>
      <c r="U807" s="687"/>
      <c r="V807" s="687"/>
      <c r="W807" s="687"/>
      <c r="X807" s="687"/>
      <c r="Y807" s="687"/>
      <c r="Z807" s="687"/>
    </row>
    <row r="808" customHeight="1" spans="1:26">
      <c r="A808" s="686"/>
      <c r="B808" s="686"/>
      <c r="C808" s="686"/>
      <c r="D808" s="687"/>
      <c r="E808" s="687"/>
      <c r="F808" s="687"/>
      <c r="G808" s="687"/>
      <c r="H808" s="687"/>
      <c r="I808" s="687"/>
      <c r="J808" s="687"/>
      <c r="K808" s="687"/>
      <c r="L808" s="687"/>
      <c r="M808" s="687"/>
      <c r="N808" s="687"/>
      <c r="O808" s="687"/>
      <c r="P808" s="687"/>
      <c r="Q808" s="687"/>
      <c r="R808" s="687"/>
      <c r="S808" s="687"/>
      <c r="T808" s="687"/>
      <c r="U808" s="687"/>
      <c r="V808" s="687"/>
      <c r="W808" s="687"/>
      <c r="X808" s="687"/>
      <c r="Y808" s="687"/>
      <c r="Z808" s="687"/>
    </row>
    <row r="809" customHeight="1" spans="1:26">
      <c r="A809" s="686"/>
      <c r="B809" s="686"/>
      <c r="C809" s="686"/>
      <c r="D809" s="687"/>
      <c r="E809" s="687"/>
      <c r="F809" s="687"/>
      <c r="G809" s="687"/>
      <c r="H809" s="687"/>
      <c r="I809" s="687"/>
      <c r="J809" s="687"/>
      <c r="K809" s="687"/>
      <c r="L809" s="687"/>
      <c r="M809" s="687"/>
      <c r="N809" s="687"/>
      <c r="O809" s="687"/>
      <c r="P809" s="687"/>
      <c r="Q809" s="687"/>
      <c r="R809" s="687"/>
      <c r="S809" s="687"/>
      <c r="T809" s="687"/>
      <c r="U809" s="687"/>
      <c r="V809" s="687"/>
      <c r="W809" s="687"/>
      <c r="X809" s="687"/>
      <c r="Y809" s="687"/>
      <c r="Z809" s="687"/>
    </row>
    <row r="810" customHeight="1" spans="1:26">
      <c r="A810" s="686"/>
      <c r="B810" s="686"/>
      <c r="C810" s="686"/>
      <c r="D810" s="687"/>
      <c r="E810" s="687"/>
      <c r="F810" s="687"/>
      <c r="G810" s="687"/>
      <c r="H810" s="687"/>
      <c r="I810" s="687"/>
      <c r="J810" s="687"/>
      <c r="K810" s="687"/>
      <c r="L810" s="687"/>
      <c r="M810" s="687"/>
      <c r="N810" s="687"/>
      <c r="O810" s="687"/>
      <c r="P810" s="687"/>
      <c r="Q810" s="687"/>
      <c r="R810" s="687"/>
      <c r="S810" s="687"/>
      <c r="T810" s="687"/>
      <c r="U810" s="687"/>
      <c r="V810" s="687"/>
      <c r="W810" s="687"/>
      <c r="X810" s="687"/>
      <c r="Y810" s="687"/>
      <c r="Z810" s="687"/>
    </row>
    <row r="811" customHeight="1" spans="1:26">
      <c r="A811" s="686"/>
      <c r="B811" s="686"/>
      <c r="C811" s="686"/>
      <c r="D811" s="687"/>
      <c r="E811" s="687"/>
      <c r="F811" s="687"/>
      <c r="G811" s="687"/>
      <c r="H811" s="687"/>
      <c r="I811" s="687"/>
      <c r="J811" s="687"/>
      <c r="K811" s="687"/>
      <c r="L811" s="687"/>
      <c r="M811" s="687"/>
      <c r="N811" s="687"/>
      <c r="O811" s="687"/>
      <c r="P811" s="687"/>
      <c r="Q811" s="687"/>
      <c r="R811" s="687"/>
      <c r="S811" s="687"/>
      <c r="T811" s="687"/>
      <c r="U811" s="687"/>
      <c r="V811" s="687"/>
      <c r="W811" s="687"/>
      <c r="X811" s="687"/>
      <c r="Y811" s="687"/>
      <c r="Z811" s="687"/>
    </row>
    <row r="812" customHeight="1" spans="1:26">
      <c r="A812" s="686"/>
      <c r="B812" s="686"/>
      <c r="C812" s="686"/>
      <c r="D812" s="687"/>
      <c r="E812" s="687"/>
      <c r="F812" s="687"/>
      <c r="G812" s="687"/>
      <c r="H812" s="687"/>
      <c r="I812" s="687"/>
      <c r="J812" s="687"/>
      <c r="K812" s="687"/>
      <c r="L812" s="687"/>
      <c r="M812" s="687"/>
      <c r="N812" s="687"/>
      <c r="O812" s="687"/>
      <c r="P812" s="687"/>
      <c r="Q812" s="687"/>
      <c r="R812" s="687"/>
      <c r="S812" s="687"/>
      <c r="T812" s="687"/>
      <c r="U812" s="687"/>
      <c r="V812" s="687"/>
      <c r="W812" s="687"/>
      <c r="X812" s="687"/>
      <c r="Y812" s="687"/>
      <c r="Z812" s="687"/>
    </row>
    <row r="813" customHeight="1" spans="1:26">
      <c r="A813" s="686"/>
      <c r="B813" s="686"/>
      <c r="C813" s="686"/>
      <c r="D813" s="687"/>
      <c r="E813" s="687"/>
      <c r="F813" s="687"/>
      <c r="G813" s="687"/>
      <c r="H813" s="687"/>
      <c r="I813" s="687"/>
      <c r="J813" s="687"/>
      <c r="K813" s="687"/>
      <c r="L813" s="687"/>
      <c r="M813" s="687"/>
      <c r="N813" s="687"/>
      <c r="O813" s="687"/>
      <c r="P813" s="687"/>
      <c r="Q813" s="687"/>
      <c r="R813" s="687"/>
      <c r="S813" s="687"/>
      <c r="T813" s="687"/>
      <c r="U813" s="687"/>
      <c r="V813" s="687"/>
      <c r="W813" s="687"/>
      <c r="X813" s="687"/>
      <c r="Y813" s="687"/>
      <c r="Z813" s="687"/>
    </row>
    <row r="814" customHeight="1" spans="1:26">
      <c r="A814" s="686"/>
      <c r="B814" s="686"/>
      <c r="C814" s="686"/>
      <c r="D814" s="687"/>
      <c r="E814" s="687"/>
      <c r="F814" s="687"/>
      <c r="G814" s="687"/>
      <c r="H814" s="687"/>
      <c r="I814" s="687"/>
      <c r="J814" s="687"/>
      <c r="K814" s="687"/>
      <c r="L814" s="687"/>
      <c r="M814" s="687"/>
      <c r="N814" s="687"/>
      <c r="O814" s="687"/>
      <c r="P814" s="687"/>
      <c r="Q814" s="687"/>
      <c r="R814" s="687"/>
      <c r="S814" s="687"/>
      <c r="T814" s="687"/>
      <c r="U814" s="687"/>
      <c r="V814" s="687"/>
      <c r="W814" s="687"/>
      <c r="X814" s="687"/>
      <c r="Y814" s="687"/>
      <c r="Z814" s="687"/>
    </row>
    <row r="815" customHeight="1" spans="1:26">
      <c r="A815" s="686"/>
      <c r="B815" s="686"/>
      <c r="C815" s="686"/>
      <c r="D815" s="687"/>
      <c r="E815" s="687"/>
      <c r="F815" s="687"/>
      <c r="G815" s="687"/>
      <c r="H815" s="687"/>
      <c r="I815" s="687"/>
      <c r="J815" s="687"/>
      <c r="K815" s="687"/>
      <c r="L815" s="687"/>
      <c r="M815" s="687"/>
      <c r="N815" s="687"/>
      <c r="O815" s="687"/>
      <c r="P815" s="687"/>
      <c r="Q815" s="687"/>
      <c r="R815" s="687"/>
      <c r="S815" s="687"/>
      <c r="T815" s="687"/>
      <c r="U815" s="687"/>
      <c r="V815" s="687"/>
      <c r="W815" s="687"/>
      <c r="X815" s="687"/>
      <c r="Y815" s="687"/>
      <c r="Z815" s="687"/>
    </row>
    <row r="816" customHeight="1" spans="1:26">
      <c r="A816" s="686"/>
      <c r="B816" s="686"/>
      <c r="C816" s="686"/>
      <c r="D816" s="687"/>
      <c r="E816" s="687"/>
      <c r="F816" s="687"/>
      <c r="G816" s="687"/>
      <c r="H816" s="687"/>
      <c r="I816" s="687"/>
      <c r="J816" s="687"/>
      <c r="K816" s="687"/>
      <c r="L816" s="687"/>
      <c r="M816" s="687"/>
      <c r="N816" s="687"/>
      <c r="O816" s="687"/>
      <c r="P816" s="687"/>
      <c r="Q816" s="687"/>
      <c r="R816" s="687"/>
      <c r="S816" s="687"/>
      <c r="T816" s="687"/>
      <c r="U816" s="687"/>
      <c r="V816" s="687"/>
      <c r="W816" s="687"/>
      <c r="X816" s="687"/>
      <c r="Y816" s="687"/>
      <c r="Z816" s="687"/>
    </row>
    <row r="817" customHeight="1" spans="1:26">
      <c r="A817" s="686"/>
      <c r="B817" s="686"/>
      <c r="C817" s="686"/>
      <c r="D817" s="687"/>
      <c r="E817" s="687"/>
      <c r="F817" s="687"/>
      <c r="G817" s="687"/>
      <c r="H817" s="687"/>
      <c r="I817" s="687"/>
      <c r="J817" s="687"/>
      <c r="K817" s="687"/>
      <c r="L817" s="687"/>
      <c r="M817" s="687"/>
      <c r="N817" s="687"/>
      <c r="O817" s="687"/>
      <c r="P817" s="687"/>
      <c r="Q817" s="687"/>
      <c r="R817" s="687"/>
      <c r="S817" s="687"/>
      <c r="T817" s="687"/>
      <c r="U817" s="687"/>
      <c r="V817" s="687"/>
      <c r="W817" s="687"/>
      <c r="X817" s="687"/>
      <c r="Y817" s="687"/>
      <c r="Z817" s="687"/>
    </row>
    <row r="818" customHeight="1" spans="1:26">
      <c r="A818" s="686"/>
      <c r="B818" s="686"/>
      <c r="C818" s="686"/>
      <c r="D818" s="687"/>
      <c r="E818" s="687"/>
      <c r="F818" s="687"/>
      <c r="G818" s="687"/>
      <c r="H818" s="687"/>
      <c r="I818" s="687"/>
      <c r="J818" s="687"/>
      <c r="K818" s="687"/>
      <c r="L818" s="687"/>
      <c r="M818" s="687"/>
      <c r="N818" s="687"/>
      <c r="O818" s="687"/>
      <c r="P818" s="687"/>
      <c r="Q818" s="687"/>
      <c r="R818" s="687"/>
      <c r="S818" s="687"/>
      <c r="T818" s="687"/>
      <c r="U818" s="687"/>
      <c r="V818" s="687"/>
      <c r="W818" s="687"/>
      <c r="X818" s="687"/>
      <c r="Y818" s="687"/>
      <c r="Z818" s="687"/>
    </row>
    <row r="819" customHeight="1" spans="1:26">
      <c r="A819" s="686"/>
      <c r="B819" s="686"/>
      <c r="C819" s="686"/>
      <c r="D819" s="687"/>
      <c r="E819" s="687"/>
      <c r="F819" s="687"/>
      <c r="G819" s="687"/>
      <c r="H819" s="687"/>
      <c r="I819" s="687"/>
      <c r="J819" s="687"/>
      <c r="K819" s="687"/>
      <c r="L819" s="687"/>
      <c r="M819" s="687"/>
      <c r="N819" s="687"/>
      <c r="O819" s="687"/>
      <c r="P819" s="687"/>
      <c r="Q819" s="687"/>
      <c r="R819" s="687"/>
      <c r="S819" s="687"/>
      <c r="T819" s="687"/>
      <c r="U819" s="687"/>
      <c r="V819" s="687"/>
      <c r="W819" s="687"/>
      <c r="X819" s="687"/>
      <c r="Y819" s="687"/>
      <c r="Z819" s="687"/>
    </row>
    <row r="820" customHeight="1" spans="1:26">
      <c r="A820" s="686"/>
      <c r="B820" s="686"/>
      <c r="C820" s="686"/>
      <c r="D820" s="687"/>
      <c r="E820" s="687"/>
      <c r="F820" s="687"/>
      <c r="G820" s="687"/>
      <c r="H820" s="687"/>
      <c r="I820" s="687"/>
      <c r="J820" s="687"/>
      <c r="K820" s="687"/>
      <c r="L820" s="687"/>
      <c r="M820" s="687"/>
      <c r="N820" s="687"/>
      <c r="O820" s="687"/>
      <c r="P820" s="687"/>
      <c r="Q820" s="687"/>
      <c r="R820" s="687"/>
      <c r="S820" s="687"/>
      <c r="T820" s="687"/>
      <c r="U820" s="687"/>
      <c r="V820" s="687"/>
      <c r="W820" s="687"/>
      <c r="X820" s="687"/>
      <c r="Y820" s="687"/>
      <c r="Z820" s="687"/>
    </row>
    <row r="821" customHeight="1" spans="1:26">
      <c r="A821" s="686"/>
      <c r="B821" s="686"/>
      <c r="C821" s="686"/>
      <c r="D821" s="687"/>
      <c r="E821" s="687"/>
      <c r="F821" s="687"/>
      <c r="G821" s="687"/>
      <c r="H821" s="687"/>
      <c r="I821" s="687"/>
      <c r="J821" s="687"/>
      <c r="K821" s="687"/>
      <c r="L821" s="687"/>
      <c r="M821" s="687"/>
      <c r="N821" s="687"/>
      <c r="O821" s="687"/>
      <c r="P821" s="687"/>
      <c r="Q821" s="687"/>
      <c r="R821" s="687"/>
      <c r="S821" s="687"/>
      <c r="T821" s="687"/>
      <c r="U821" s="687"/>
      <c r="V821" s="687"/>
      <c r="W821" s="687"/>
      <c r="X821" s="687"/>
      <c r="Y821" s="687"/>
      <c r="Z821" s="687"/>
    </row>
    <row r="822" customHeight="1" spans="1:26">
      <c r="A822" s="686"/>
      <c r="B822" s="686"/>
      <c r="C822" s="686"/>
      <c r="D822" s="687"/>
      <c r="E822" s="687"/>
      <c r="F822" s="687"/>
      <c r="G822" s="687"/>
      <c r="H822" s="687"/>
      <c r="I822" s="687"/>
      <c r="J822" s="687"/>
      <c r="K822" s="687"/>
      <c r="L822" s="687"/>
      <c r="M822" s="687"/>
      <c r="N822" s="687"/>
      <c r="O822" s="687"/>
      <c r="P822" s="687"/>
      <c r="Q822" s="687"/>
      <c r="R822" s="687"/>
      <c r="S822" s="687"/>
      <c r="T822" s="687"/>
      <c r="U822" s="687"/>
      <c r="V822" s="687"/>
      <c r="W822" s="687"/>
      <c r="X822" s="687"/>
      <c r="Y822" s="687"/>
      <c r="Z822" s="687"/>
    </row>
    <row r="823" customHeight="1" spans="1:26">
      <c r="A823" s="686"/>
      <c r="B823" s="686"/>
      <c r="C823" s="686"/>
      <c r="D823" s="687"/>
      <c r="E823" s="687"/>
      <c r="F823" s="687"/>
      <c r="G823" s="687"/>
      <c r="H823" s="687"/>
      <c r="I823" s="687"/>
      <c r="J823" s="687"/>
      <c r="K823" s="687"/>
      <c r="L823" s="687"/>
      <c r="M823" s="687"/>
      <c r="N823" s="687"/>
      <c r="O823" s="687"/>
      <c r="P823" s="687"/>
      <c r="Q823" s="687"/>
      <c r="R823" s="687"/>
      <c r="S823" s="687"/>
      <c r="T823" s="687"/>
      <c r="U823" s="687"/>
      <c r="V823" s="687"/>
      <c r="W823" s="687"/>
      <c r="X823" s="687"/>
      <c r="Y823" s="687"/>
      <c r="Z823" s="687"/>
    </row>
    <row r="824" customHeight="1" spans="1:26">
      <c r="A824" s="686"/>
      <c r="B824" s="686"/>
      <c r="C824" s="686"/>
      <c r="D824" s="687"/>
      <c r="E824" s="687"/>
      <c r="F824" s="687"/>
      <c r="G824" s="687"/>
      <c r="H824" s="687"/>
      <c r="I824" s="687"/>
      <c r="J824" s="687"/>
      <c r="K824" s="687"/>
      <c r="L824" s="687"/>
      <c r="M824" s="687"/>
      <c r="N824" s="687"/>
      <c r="O824" s="687"/>
      <c r="P824" s="687"/>
      <c r="Q824" s="687"/>
      <c r="R824" s="687"/>
      <c r="S824" s="687"/>
      <c r="T824" s="687"/>
      <c r="U824" s="687"/>
      <c r="V824" s="687"/>
      <c r="W824" s="687"/>
      <c r="X824" s="687"/>
      <c r="Y824" s="687"/>
      <c r="Z824" s="687"/>
    </row>
    <row r="825" customHeight="1" spans="1:26">
      <c r="A825" s="686"/>
      <c r="B825" s="686"/>
      <c r="C825" s="686"/>
      <c r="D825" s="687"/>
      <c r="E825" s="687"/>
      <c r="F825" s="687"/>
      <c r="G825" s="687"/>
      <c r="H825" s="687"/>
      <c r="I825" s="687"/>
      <c r="J825" s="687"/>
      <c r="K825" s="687"/>
      <c r="L825" s="687"/>
      <c r="M825" s="687"/>
      <c r="N825" s="687"/>
      <c r="O825" s="687"/>
      <c r="P825" s="687"/>
      <c r="Q825" s="687"/>
      <c r="R825" s="687"/>
      <c r="S825" s="687"/>
      <c r="T825" s="687"/>
      <c r="U825" s="687"/>
      <c r="V825" s="687"/>
      <c r="W825" s="687"/>
      <c r="X825" s="687"/>
      <c r="Y825" s="687"/>
      <c r="Z825" s="687"/>
    </row>
    <row r="826" customHeight="1" spans="1:26">
      <c r="A826" s="686"/>
      <c r="B826" s="686"/>
      <c r="C826" s="686"/>
      <c r="D826" s="687"/>
      <c r="E826" s="687"/>
      <c r="F826" s="687"/>
      <c r="G826" s="687"/>
      <c r="H826" s="687"/>
      <c r="I826" s="687"/>
      <c r="J826" s="687"/>
      <c r="K826" s="687"/>
      <c r="L826" s="687"/>
      <c r="M826" s="687"/>
      <c r="N826" s="687"/>
      <c r="O826" s="687"/>
      <c r="P826" s="687"/>
      <c r="Q826" s="687"/>
      <c r="R826" s="687"/>
      <c r="S826" s="687"/>
      <c r="T826" s="687"/>
      <c r="U826" s="687"/>
      <c r="V826" s="687"/>
      <c r="W826" s="687"/>
      <c r="X826" s="687"/>
      <c r="Y826" s="687"/>
      <c r="Z826" s="687"/>
    </row>
    <row r="827" customHeight="1" spans="1:26">
      <c r="A827" s="686"/>
      <c r="B827" s="686"/>
      <c r="C827" s="686"/>
      <c r="D827" s="687"/>
      <c r="E827" s="687"/>
      <c r="F827" s="687"/>
      <c r="G827" s="687"/>
      <c r="H827" s="687"/>
      <c r="I827" s="687"/>
      <c r="J827" s="687"/>
      <c r="K827" s="687"/>
      <c r="L827" s="687"/>
      <c r="M827" s="687"/>
      <c r="N827" s="687"/>
      <c r="O827" s="687"/>
      <c r="P827" s="687"/>
      <c r="Q827" s="687"/>
      <c r="R827" s="687"/>
      <c r="S827" s="687"/>
      <c r="T827" s="687"/>
      <c r="U827" s="687"/>
      <c r="V827" s="687"/>
      <c r="W827" s="687"/>
      <c r="X827" s="687"/>
      <c r="Y827" s="687"/>
      <c r="Z827" s="687"/>
    </row>
    <row r="828" customHeight="1" spans="1:26">
      <c r="A828" s="686"/>
      <c r="B828" s="686"/>
      <c r="C828" s="686"/>
      <c r="D828" s="687"/>
      <c r="E828" s="687"/>
      <c r="F828" s="687"/>
      <c r="G828" s="687"/>
      <c r="H828" s="687"/>
      <c r="I828" s="687"/>
      <c r="J828" s="687"/>
      <c r="K828" s="687"/>
      <c r="L828" s="687"/>
      <c r="M828" s="687"/>
      <c r="N828" s="687"/>
      <c r="O828" s="687"/>
      <c r="P828" s="687"/>
      <c r="Q828" s="687"/>
      <c r="R828" s="687"/>
      <c r="S828" s="687"/>
      <c r="T828" s="687"/>
      <c r="U828" s="687"/>
      <c r="V828" s="687"/>
      <c r="W828" s="687"/>
      <c r="X828" s="687"/>
      <c r="Y828" s="687"/>
      <c r="Z828" s="687"/>
    </row>
    <row r="829" customHeight="1" spans="1:26">
      <c r="A829" s="686"/>
      <c r="B829" s="686"/>
      <c r="C829" s="686"/>
      <c r="D829" s="687"/>
      <c r="E829" s="687"/>
      <c r="F829" s="687"/>
      <c r="G829" s="687"/>
      <c r="H829" s="687"/>
      <c r="I829" s="687"/>
      <c r="J829" s="687"/>
      <c r="K829" s="687"/>
      <c r="L829" s="687"/>
      <c r="M829" s="687"/>
      <c r="N829" s="687"/>
      <c r="O829" s="687"/>
      <c r="P829" s="687"/>
      <c r="Q829" s="687"/>
      <c r="R829" s="687"/>
      <c r="S829" s="687"/>
      <c r="T829" s="687"/>
      <c r="U829" s="687"/>
      <c r="V829" s="687"/>
      <c r="W829" s="687"/>
      <c r="X829" s="687"/>
      <c r="Y829" s="687"/>
      <c r="Z829" s="687"/>
    </row>
    <row r="830" customHeight="1" spans="1:26">
      <c r="A830" s="686"/>
      <c r="B830" s="686"/>
      <c r="C830" s="686"/>
      <c r="D830" s="687"/>
      <c r="E830" s="687"/>
      <c r="F830" s="687"/>
      <c r="G830" s="687"/>
      <c r="H830" s="687"/>
      <c r="I830" s="687"/>
      <c r="J830" s="687"/>
      <c r="K830" s="687"/>
      <c r="L830" s="687"/>
      <c r="M830" s="687"/>
      <c r="N830" s="687"/>
      <c r="O830" s="687"/>
      <c r="P830" s="687"/>
      <c r="Q830" s="687"/>
      <c r="R830" s="687"/>
      <c r="S830" s="687"/>
      <c r="T830" s="687"/>
      <c r="U830" s="687"/>
      <c r="V830" s="687"/>
      <c r="W830" s="687"/>
      <c r="X830" s="687"/>
      <c r="Y830" s="687"/>
      <c r="Z830" s="687"/>
    </row>
    <row r="831" customHeight="1" spans="1:26">
      <c r="A831" s="686"/>
      <c r="B831" s="686"/>
      <c r="C831" s="686"/>
      <c r="D831" s="687"/>
      <c r="E831" s="687"/>
      <c r="F831" s="687"/>
      <c r="G831" s="687"/>
      <c r="H831" s="687"/>
      <c r="I831" s="687"/>
      <c r="J831" s="687"/>
      <c r="K831" s="687"/>
      <c r="L831" s="687"/>
      <c r="M831" s="687"/>
      <c r="N831" s="687"/>
      <c r="O831" s="687"/>
      <c r="P831" s="687"/>
      <c r="Q831" s="687"/>
      <c r="R831" s="687"/>
      <c r="S831" s="687"/>
      <c r="T831" s="687"/>
      <c r="U831" s="687"/>
      <c r="V831" s="687"/>
      <c r="W831" s="687"/>
      <c r="X831" s="687"/>
      <c r="Y831" s="687"/>
      <c r="Z831" s="687"/>
    </row>
    <row r="832" customHeight="1" spans="1:26">
      <c r="A832" s="686"/>
      <c r="B832" s="686"/>
      <c r="C832" s="686"/>
      <c r="D832" s="687"/>
      <c r="E832" s="687"/>
      <c r="F832" s="687"/>
      <c r="G832" s="687"/>
      <c r="H832" s="687"/>
      <c r="I832" s="687"/>
      <c r="J832" s="687"/>
      <c r="K832" s="687"/>
      <c r="L832" s="687"/>
      <c r="M832" s="687"/>
      <c r="N832" s="687"/>
      <c r="O832" s="687"/>
      <c r="P832" s="687"/>
      <c r="Q832" s="687"/>
      <c r="R832" s="687"/>
      <c r="S832" s="687"/>
      <c r="T832" s="687"/>
      <c r="U832" s="687"/>
      <c r="V832" s="687"/>
      <c r="W832" s="687"/>
      <c r="X832" s="687"/>
      <c r="Y832" s="687"/>
      <c r="Z832" s="687"/>
    </row>
    <row r="833" customHeight="1" spans="1:26">
      <c r="A833" s="686"/>
      <c r="B833" s="686"/>
      <c r="C833" s="686"/>
      <c r="D833" s="687"/>
      <c r="E833" s="687"/>
      <c r="F833" s="687"/>
      <c r="G833" s="687"/>
      <c r="H833" s="687"/>
      <c r="I833" s="687"/>
      <c r="J833" s="687"/>
      <c r="K833" s="687"/>
      <c r="L833" s="687"/>
      <c r="M833" s="687"/>
      <c r="N833" s="687"/>
      <c r="O833" s="687"/>
      <c r="P833" s="687"/>
      <c r="Q833" s="687"/>
      <c r="R833" s="687"/>
      <c r="S833" s="687"/>
      <c r="T833" s="687"/>
      <c r="U833" s="687"/>
      <c r="V833" s="687"/>
      <c r="W833" s="687"/>
      <c r="X833" s="687"/>
      <c r="Y833" s="687"/>
      <c r="Z833" s="687"/>
    </row>
    <row r="834" customHeight="1" spans="1:26">
      <c r="A834" s="686"/>
      <c r="B834" s="686"/>
      <c r="C834" s="686"/>
      <c r="D834" s="687"/>
      <c r="E834" s="687"/>
      <c r="F834" s="687"/>
      <c r="G834" s="687"/>
      <c r="H834" s="687"/>
      <c r="I834" s="687"/>
      <c r="J834" s="687"/>
      <c r="K834" s="687"/>
      <c r="L834" s="687"/>
      <c r="M834" s="687"/>
      <c r="N834" s="687"/>
      <c r="O834" s="687"/>
      <c r="P834" s="687"/>
      <c r="Q834" s="687"/>
      <c r="R834" s="687"/>
      <c r="S834" s="687"/>
      <c r="T834" s="687"/>
      <c r="U834" s="687"/>
      <c r="V834" s="687"/>
      <c r="W834" s="687"/>
      <c r="X834" s="687"/>
      <c r="Y834" s="687"/>
      <c r="Z834" s="687"/>
    </row>
    <row r="835" customHeight="1" spans="1:26">
      <c r="A835" s="686"/>
      <c r="B835" s="686"/>
      <c r="C835" s="686"/>
      <c r="D835" s="687"/>
      <c r="E835" s="687"/>
      <c r="F835" s="687"/>
      <c r="G835" s="687"/>
      <c r="H835" s="687"/>
      <c r="I835" s="687"/>
      <c r="J835" s="687"/>
      <c r="K835" s="687"/>
      <c r="L835" s="687"/>
      <c r="M835" s="687"/>
      <c r="N835" s="687"/>
      <c r="O835" s="687"/>
      <c r="P835" s="687"/>
      <c r="Q835" s="687"/>
      <c r="R835" s="687"/>
      <c r="S835" s="687"/>
      <c r="T835" s="687"/>
      <c r="U835" s="687"/>
      <c r="V835" s="687"/>
      <c r="W835" s="687"/>
      <c r="X835" s="687"/>
      <c r="Y835" s="687"/>
      <c r="Z835" s="687"/>
    </row>
    <row r="836" customHeight="1" spans="1:26">
      <c r="A836" s="686"/>
      <c r="B836" s="686"/>
      <c r="C836" s="686"/>
      <c r="D836" s="687"/>
      <c r="E836" s="687"/>
      <c r="F836" s="687"/>
      <c r="G836" s="687"/>
      <c r="H836" s="687"/>
      <c r="I836" s="687"/>
      <c r="J836" s="687"/>
      <c r="K836" s="687"/>
      <c r="L836" s="687"/>
      <c r="M836" s="687"/>
      <c r="N836" s="687"/>
      <c r="O836" s="687"/>
      <c r="P836" s="687"/>
      <c r="Q836" s="687"/>
      <c r="R836" s="687"/>
      <c r="S836" s="687"/>
      <c r="T836" s="687"/>
      <c r="U836" s="687"/>
      <c r="V836" s="687"/>
      <c r="W836" s="687"/>
      <c r="X836" s="687"/>
      <c r="Y836" s="687"/>
      <c r="Z836" s="687"/>
    </row>
    <row r="837" customHeight="1" spans="1:26">
      <c r="A837" s="686"/>
      <c r="B837" s="686"/>
      <c r="C837" s="686"/>
      <c r="D837" s="687"/>
      <c r="E837" s="687"/>
      <c r="F837" s="687"/>
      <c r="G837" s="687"/>
      <c r="H837" s="687"/>
      <c r="I837" s="687"/>
      <c r="J837" s="687"/>
      <c r="K837" s="687"/>
      <c r="L837" s="687"/>
      <c r="M837" s="687"/>
      <c r="N837" s="687"/>
      <c r="O837" s="687"/>
      <c r="P837" s="687"/>
      <c r="Q837" s="687"/>
      <c r="R837" s="687"/>
      <c r="S837" s="687"/>
      <c r="T837" s="687"/>
      <c r="U837" s="687"/>
      <c r="V837" s="687"/>
      <c r="W837" s="687"/>
      <c r="X837" s="687"/>
      <c r="Y837" s="687"/>
      <c r="Z837" s="687"/>
    </row>
    <row r="838" customHeight="1" spans="1:26">
      <c r="A838" s="686"/>
      <c r="B838" s="686"/>
      <c r="C838" s="686"/>
      <c r="D838" s="687"/>
      <c r="E838" s="687"/>
      <c r="F838" s="687"/>
      <c r="G838" s="687"/>
      <c r="H838" s="687"/>
      <c r="I838" s="687"/>
      <c r="J838" s="687"/>
      <c r="K838" s="687"/>
      <c r="L838" s="687"/>
      <c r="M838" s="687"/>
      <c r="N838" s="687"/>
      <c r="O838" s="687"/>
      <c r="P838" s="687"/>
      <c r="Q838" s="687"/>
      <c r="R838" s="687"/>
      <c r="S838" s="687"/>
      <c r="T838" s="687"/>
      <c r="U838" s="687"/>
      <c r="V838" s="687"/>
      <c r="W838" s="687"/>
      <c r="X838" s="687"/>
      <c r="Y838" s="687"/>
      <c r="Z838" s="687"/>
    </row>
    <row r="839" customHeight="1" spans="1:26">
      <c r="A839" s="686"/>
      <c r="B839" s="686"/>
      <c r="C839" s="686"/>
      <c r="D839" s="687"/>
      <c r="E839" s="687"/>
      <c r="F839" s="687"/>
      <c r="G839" s="687"/>
      <c r="H839" s="687"/>
      <c r="I839" s="687"/>
      <c r="J839" s="687"/>
      <c r="K839" s="687"/>
      <c r="L839" s="687"/>
      <c r="M839" s="687"/>
      <c r="N839" s="687"/>
      <c r="O839" s="687"/>
      <c r="P839" s="687"/>
      <c r="Q839" s="687"/>
      <c r="R839" s="687"/>
      <c r="S839" s="687"/>
      <c r="T839" s="687"/>
      <c r="U839" s="687"/>
      <c r="V839" s="687"/>
      <c r="W839" s="687"/>
      <c r="X839" s="687"/>
      <c r="Y839" s="687"/>
      <c r="Z839" s="687"/>
    </row>
    <row r="840" customHeight="1" spans="1:26">
      <c r="A840" s="686"/>
      <c r="B840" s="686"/>
      <c r="C840" s="686"/>
      <c r="D840" s="687"/>
      <c r="E840" s="687"/>
      <c r="F840" s="687"/>
      <c r="G840" s="687"/>
      <c r="H840" s="687"/>
      <c r="I840" s="687"/>
      <c r="J840" s="687"/>
      <c r="K840" s="687"/>
      <c r="L840" s="687"/>
      <c r="M840" s="687"/>
      <c r="N840" s="687"/>
      <c r="O840" s="687"/>
      <c r="P840" s="687"/>
      <c r="Q840" s="687"/>
      <c r="R840" s="687"/>
      <c r="S840" s="687"/>
      <c r="T840" s="687"/>
      <c r="U840" s="687"/>
      <c r="V840" s="687"/>
      <c r="W840" s="687"/>
      <c r="X840" s="687"/>
      <c r="Y840" s="687"/>
      <c r="Z840" s="687"/>
    </row>
    <row r="841" customHeight="1" spans="1:26">
      <c r="A841" s="686"/>
      <c r="B841" s="686"/>
      <c r="C841" s="686"/>
      <c r="D841" s="687"/>
      <c r="E841" s="687"/>
      <c r="F841" s="687"/>
      <c r="G841" s="687"/>
      <c r="H841" s="687"/>
      <c r="I841" s="687"/>
      <c r="J841" s="687"/>
      <c r="K841" s="687"/>
      <c r="L841" s="687"/>
      <c r="M841" s="687"/>
      <c r="N841" s="687"/>
      <c r="O841" s="687"/>
      <c r="P841" s="687"/>
      <c r="Q841" s="687"/>
      <c r="R841" s="687"/>
      <c r="S841" s="687"/>
      <c r="T841" s="687"/>
      <c r="U841" s="687"/>
      <c r="V841" s="687"/>
      <c r="W841" s="687"/>
      <c r="X841" s="687"/>
      <c r="Y841" s="687"/>
      <c r="Z841" s="687"/>
    </row>
    <row r="842" customHeight="1" spans="1:26">
      <c r="A842" s="686"/>
      <c r="B842" s="686"/>
      <c r="C842" s="686"/>
      <c r="D842" s="687"/>
      <c r="E842" s="687"/>
      <c r="F842" s="687"/>
      <c r="G842" s="687"/>
      <c r="H842" s="687"/>
      <c r="I842" s="687"/>
      <c r="J842" s="687"/>
      <c r="K842" s="687"/>
      <c r="L842" s="687"/>
      <c r="M842" s="687"/>
      <c r="N842" s="687"/>
      <c r="O842" s="687"/>
      <c r="P842" s="687"/>
      <c r="Q842" s="687"/>
      <c r="R842" s="687"/>
      <c r="S842" s="687"/>
      <c r="T842" s="687"/>
      <c r="U842" s="687"/>
      <c r="V842" s="687"/>
      <c r="W842" s="687"/>
      <c r="X842" s="687"/>
      <c r="Y842" s="687"/>
      <c r="Z842" s="687"/>
    </row>
    <row r="843" customHeight="1" spans="1:26">
      <c r="A843" s="686"/>
      <c r="B843" s="686"/>
      <c r="C843" s="686"/>
      <c r="D843" s="687"/>
      <c r="E843" s="687"/>
      <c r="F843" s="687"/>
      <c r="G843" s="687"/>
      <c r="H843" s="687"/>
      <c r="I843" s="687"/>
      <c r="J843" s="687"/>
      <c r="K843" s="687"/>
      <c r="L843" s="687"/>
      <c r="M843" s="687"/>
      <c r="N843" s="687"/>
      <c r="O843" s="687"/>
      <c r="P843" s="687"/>
      <c r="Q843" s="687"/>
      <c r="R843" s="687"/>
      <c r="S843" s="687"/>
      <c r="T843" s="687"/>
      <c r="U843" s="687"/>
      <c r="V843" s="687"/>
      <c r="W843" s="687"/>
      <c r="X843" s="687"/>
      <c r="Y843" s="687"/>
      <c r="Z843" s="687"/>
    </row>
    <row r="844" customHeight="1" spans="1:26">
      <c r="A844" s="686"/>
      <c r="B844" s="686"/>
      <c r="C844" s="686"/>
      <c r="D844" s="687"/>
      <c r="E844" s="687"/>
      <c r="F844" s="687"/>
      <c r="G844" s="687"/>
      <c r="H844" s="687"/>
      <c r="I844" s="687"/>
      <c r="J844" s="687"/>
      <c r="K844" s="687"/>
      <c r="L844" s="687"/>
      <c r="M844" s="687"/>
      <c r="N844" s="687"/>
      <c r="O844" s="687"/>
      <c r="P844" s="687"/>
      <c r="Q844" s="687"/>
      <c r="R844" s="687"/>
      <c r="S844" s="687"/>
      <c r="T844" s="687"/>
      <c r="U844" s="687"/>
      <c r="V844" s="687"/>
      <c r="W844" s="687"/>
      <c r="X844" s="687"/>
      <c r="Y844" s="687"/>
      <c r="Z844" s="687"/>
    </row>
    <row r="845" customHeight="1" spans="1:26">
      <c r="A845" s="686"/>
      <c r="B845" s="686"/>
      <c r="C845" s="686"/>
      <c r="D845" s="687"/>
      <c r="E845" s="687"/>
      <c r="F845" s="687"/>
      <c r="G845" s="687"/>
      <c r="H845" s="687"/>
      <c r="I845" s="687"/>
      <c r="J845" s="687"/>
      <c r="K845" s="687"/>
      <c r="L845" s="687"/>
      <c r="M845" s="687"/>
      <c r="N845" s="687"/>
      <c r="O845" s="687"/>
      <c r="P845" s="687"/>
      <c r="Q845" s="687"/>
      <c r="R845" s="687"/>
      <c r="S845" s="687"/>
      <c r="T845" s="687"/>
      <c r="U845" s="687"/>
      <c r="V845" s="687"/>
      <c r="W845" s="687"/>
      <c r="X845" s="687"/>
      <c r="Y845" s="687"/>
      <c r="Z845" s="687"/>
    </row>
    <row r="846" customHeight="1" spans="1:26">
      <c r="A846" s="686"/>
      <c r="B846" s="686"/>
      <c r="C846" s="686"/>
      <c r="D846" s="687"/>
      <c r="E846" s="687"/>
      <c r="F846" s="687"/>
      <c r="G846" s="687"/>
      <c r="H846" s="687"/>
      <c r="I846" s="687"/>
      <c r="J846" s="687"/>
      <c r="K846" s="687"/>
      <c r="L846" s="687"/>
      <c r="M846" s="687"/>
      <c r="N846" s="687"/>
      <c r="O846" s="687"/>
      <c r="P846" s="687"/>
      <c r="Q846" s="687"/>
      <c r="R846" s="687"/>
      <c r="S846" s="687"/>
      <c r="T846" s="687"/>
      <c r="U846" s="687"/>
      <c r="V846" s="687"/>
      <c r="W846" s="687"/>
      <c r="X846" s="687"/>
      <c r="Y846" s="687"/>
      <c r="Z846" s="687"/>
    </row>
    <row r="847" customHeight="1" spans="1:26">
      <c r="A847" s="686"/>
      <c r="B847" s="686"/>
      <c r="C847" s="686"/>
      <c r="D847" s="687"/>
      <c r="E847" s="687"/>
      <c r="F847" s="687"/>
      <c r="G847" s="687"/>
      <c r="H847" s="687"/>
      <c r="I847" s="687"/>
      <c r="J847" s="687"/>
      <c r="K847" s="687"/>
      <c r="L847" s="687"/>
      <c r="M847" s="687"/>
      <c r="N847" s="687"/>
      <c r="O847" s="687"/>
      <c r="P847" s="687"/>
      <c r="Q847" s="687"/>
      <c r="R847" s="687"/>
      <c r="S847" s="687"/>
      <c r="T847" s="687"/>
      <c r="U847" s="687"/>
      <c r="V847" s="687"/>
      <c r="W847" s="687"/>
      <c r="X847" s="687"/>
      <c r="Y847" s="687"/>
      <c r="Z847" s="687"/>
    </row>
    <row r="848" customHeight="1" spans="1:26">
      <c r="A848" s="686"/>
      <c r="B848" s="686"/>
      <c r="C848" s="686"/>
      <c r="D848" s="687"/>
      <c r="E848" s="687"/>
      <c r="F848" s="687"/>
      <c r="G848" s="687"/>
      <c r="H848" s="687"/>
      <c r="I848" s="687"/>
      <c r="J848" s="687"/>
      <c r="K848" s="687"/>
      <c r="L848" s="687"/>
      <c r="M848" s="687"/>
      <c r="N848" s="687"/>
      <c r="O848" s="687"/>
      <c r="P848" s="687"/>
      <c r="Q848" s="687"/>
      <c r="R848" s="687"/>
      <c r="S848" s="687"/>
      <c r="T848" s="687"/>
      <c r="U848" s="687"/>
      <c r="V848" s="687"/>
      <c r="W848" s="687"/>
      <c r="X848" s="687"/>
      <c r="Y848" s="687"/>
      <c r="Z848" s="687"/>
    </row>
    <row r="849" customHeight="1" spans="1:26">
      <c r="A849" s="686"/>
      <c r="B849" s="686"/>
      <c r="C849" s="686"/>
      <c r="D849" s="687"/>
      <c r="E849" s="687"/>
      <c r="F849" s="687"/>
      <c r="G849" s="687"/>
      <c r="H849" s="687"/>
      <c r="I849" s="687"/>
      <c r="J849" s="687"/>
      <c r="K849" s="687"/>
      <c r="L849" s="687"/>
      <c r="M849" s="687"/>
      <c r="N849" s="687"/>
      <c r="O849" s="687"/>
      <c r="P849" s="687"/>
      <c r="Q849" s="687"/>
      <c r="R849" s="687"/>
      <c r="S849" s="687"/>
      <c r="T849" s="687"/>
      <c r="U849" s="687"/>
      <c r="V849" s="687"/>
      <c r="W849" s="687"/>
      <c r="X849" s="687"/>
      <c r="Y849" s="687"/>
      <c r="Z849" s="687"/>
    </row>
    <row r="850" customHeight="1" spans="1:26">
      <c r="A850" s="686"/>
      <c r="B850" s="686"/>
      <c r="C850" s="686"/>
      <c r="D850" s="687"/>
      <c r="E850" s="687"/>
      <c r="F850" s="687"/>
      <c r="G850" s="687"/>
      <c r="H850" s="687"/>
      <c r="I850" s="687"/>
      <c r="J850" s="687"/>
      <c r="K850" s="687"/>
      <c r="L850" s="687"/>
      <c r="M850" s="687"/>
      <c r="N850" s="687"/>
      <c r="O850" s="687"/>
      <c r="P850" s="687"/>
      <c r="Q850" s="687"/>
      <c r="R850" s="687"/>
      <c r="S850" s="687"/>
      <c r="T850" s="687"/>
      <c r="U850" s="687"/>
      <c r="V850" s="687"/>
      <c r="W850" s="687"/>
      <c r="X850" s="687"/>
      <c r="Y850" s="687"/>
      <c r="Z850" s="687"/>
    </row>
    <row r="851" customHeight="1" spans="1:26">
      <c r="A851" s="686"/>
      <c r="B851" s="686"/>
      <c r="C851" s="686"/>
      <c r="D851" s="687"/>
      <c r="E851" s="687"/>
      <c r="F851" s="687"/>
      <c r="G851" s="687"/>
      <c r="H851" s="687"/>
      <c r="I851" s="687"/>
      <c r="J851" s="687"/>
      <c r="K851" s="687"/>
      <c r="L851" s="687"/>
      <c r="M851" s="687"/>
      <c r="N851" s="687"/>
      <c r="O851" s="687"/>
      <c r="P851" s="687"/>
      <c r="Q851" s="687"/>
      <c r="R851" s="687"/>
      <c r="S851" s="687"/>
      <c r="T851" s="687"/>
      <c r="U851" s="687"/>
      <c r="V851" s="687"/>
      <c r="W851" s="687"/>
      <c r="X851" s="687"/>
      <c r="Y851" s="687"/>
      <c r="Z851" s="687"/>
    </row>
    <row r="852" customHeight="1" spans="1:26">
      <c r="A852" s="686"/>
      <c r="B852" s="686"/>
      <c r="C852" s="686"/>
      <c r="D852" s="687"/>
      <c r="E852" s="687"/>
      <c r="F852" s="687"/>
      <c r="G852" s="687"/>
      <c r="H852" s="687"/>
      <c r="I852" s="687"/>
      <c r="J852" s="687"/>
      <c r="K852" s="687"/>
      <c r="L852" s="687"/>
      <c r="M852" s="687"/>
      <c r="N852" s="687"/>
      <c r="O852" s="687"/>
      <c r="P852" s="687"/>
      <c r="Q852" s="687"/>
      <c r="R852" s="687"/>
      <c r="S852" s="687"/>
      <c r="T852" s="687"/>
      <c r="U852" s="687"/>
      <c r="V852" s="687"/>
      <c r="W852" s="687"/>
      <c r="X852" s="687"/>
      <c r="Y852" s="687"/>
      <c r="Z852" s="687"/>
    </row>
    <row r="853" customHeight="1" spans="1:26">
      <c r="A853" s="686"/>
      <c r="B853" s="686"/>
      <c r="C853" s="686"/>
      <c r="D853" s="687"/>
      <c r="E853" s="687"/>
      <c r="F853" s="687"/>
      <c r="G853" s="687"/>
      <c r="H853" s="687"/>
      <c r="I853" s="687"/>
      <c r="J853" s="687"/>
      <c r="K853" s="687"/>
      <c r="L853" s="687"/>
      <c r="M853" s="687"/>
      <c r="N853" s="687"/>
      <c r="O853" s="687"/>
      <c r="P853" s="687"/>
      <c r="Q853" s="687"/>
      <c r="R853" s="687"/>
      <c r="S853" s="687"/>
      <c r="T853" s="687"/>
      <c r="U853" s="687"/>
      <c r="V853" s="687"/>
      <c r="W853" s="687"/>
      <c r="X853" s="687"/>
      <c r="Y853" s="687"/>
      <c r="Z853" s="687"/>
    </row>
    <row r="854" customHeight="1" spans="1:26">
      <c r="A854" s="686"/>
      <c r="B854" s="686"/>
      <c r="C854" s="686"/>
      <c r="D854" s="687"/>
      <c r="E854" s="687"/>
      <c r="F854" s="687"/>
      <c r="G854" s="687"/>
      <c r="H854" s="687"/>
      <c r="I854" s="687"/>
      <c r="J854" s="687"/>
      <c r="K854" s="687"/>
      <c r="L854" s="687"/>
      <c r="M854" s="687"/>
      <c r="N854" s="687"/>
      <c r="O854" s="687"/>
      <c r="P854" s="687"/>
      <c r="Q854" s="687"/>
      <c r="R854" s="687"/>
      <c r="S854" s="687"/>
      <c r="T854" s="687"/>
      <c r="U854" s="687"/>
      <c r="V854" s="687"/>
      <c r="W854" s="687"/>
      <c r="X854" s="687"/>
      <c r="Y854" s="687"/>
      <c r="Z854" s="687"/>
    </row>
    <row r="855" customHeight="1" spans="1:26">
      <c r="A855" s="686"/>
      <c r="B855" s="686"/>
      <c r="C855" s="686"/>
      <c r="D855" s="687"/>
      <c r="E855" s="687"/>
      <c r="F855" s="687"/>
      <c r="G855" s="687"/>
      <c r="H855" s="687"/>
      <c r="I855" s="687"/>
      <c r="J855" s="687"/>
      <c r="K855" s="687"/>
      <c r="L855" s="687"/>
      <c r="M855" s="687"/>
      <c r="N855" s="687"/>
      <c r="O855" s="687"/>
      <c r="P855" s="687"/>
      <c r="Q855" s="687"/>
      <c r="R855" s="687"/>
      <c r="S855" s="687"/>
      <c r="T855" s="687"/>
      <c r="U855" s="687"/>
      <c r="V855" s="687"/>
      <c r="W855" s="687"/>
      <c r="X855" s="687"/>
      <c r="Y855" s="687"/>
      <c r="Z855" s="687"/>
    </row>
    <row r="856" customHeight="1" spans="1:26">
      <c r="A856" s="686"/>
      <c r="B856" s="686"/>
      <c r="C856" s="686"/>
      <c r="D856" s="687"/>
      <c r="E856" s="687"/>
      <c r="F856" s="687"/>
      <c r="G856" s="687"/>
      <c r="H856" s="687"/>
      <c r="I856" s="687"/>
      <c r="J856" s="687"/>
      <c r="K856" s="687"/>
      <c r="L856" s="687"/>
      <c r="M856" s="687"/>
      <c r="N856" s="687"/>
      <c r="O856" s="687"/>
      <c r="P856" s="687"/>
      <c r="Q856" s="687"/>
      <c r="R856" s="687"/>
      <c r="S856" s="687"/>
      <c r="T856" s="687"/>
      <c r="U856" s="687"/>
      <c r="V856" s="687"/>
      <c r="W856" s="687"/>
      <c r="X856" s="687"/>
      <c r="Y856" s="687"/>
      <c r="Z856" s="687"/>
    </row>
    <row r="857" customHeight="1" spans="1:26">
      <c r="A857" s="686"/>
      <c r="B857" s="686"/>
      <c r="C857" s="686"/>
      <c r="D857" s="687"/>
      <c r="E857" s="687"/>
      <c r="F857" s="687"/>
      <c r="G857" s="687"/>
      <c r="H857" s="687"/>
      <c r="I857" s="687"/>
      <c r="J857" s="687"/>
      <c r="K857" s="687"/>
      <c r="L857" s="687"/>
      <c r="M857" s="687"/>
      <c r="N857" s="687"/>
      <c r="O857" s="687"/>
      <c r="P857" s="687"/>
      <c r="Q857" s="687"/>
      <c r="R857" s="687"/>
      <c r="S857" s="687"/>
      <c r="T857" s="687"/>
      <c r="U857" s="687"/>
      <c r="V857" s="687"/>
      <c r="W857" s="687"/>
      <c r="X857" s="687"/>
      <c r="Y857" s="687"/>
      <c r="Z857" s="687"/>
    </row>
    <row r="858" customHeight="1" spans="1:26">
      <c r="A858" s="686"/>
      <c r="B858" s="686"/>
      <c r="C858" s="686"/>
      <c r="D858" s="687"/>
      <c r="E858" s="687"/>
      <c r="F858" s="687"/>
      <c r="G858" s="687"/>
      <c r="H858" s="687"/>
      <c r="I858" s="687"/>
      <c r="J858" s="687"/>
      <c r="K858" s="687"/>
      <c r="L858" s="687"/>
      <c r="M858" s="687"/>
      <c r="N858" s="687"/>
      <c r="O858" s="687"/>
      <c r="P858" s="687"/>
      <c r="Q858" s="687"/>
      <c r="R858" s="687"/>
      <c r="S858" s="687"/>
      <c r="T858" s="687"/>
      <c r="U858" s="687"/>
      <c r="V858" s="687"/>
      <c r="W858" s="687"/>
      <c r="X858" s="687"/>
      <c r="Y858" s="687"/>
      <c r="Z858" s="687"/>
    </row>
    <row r="859" customHeight="1" spans="1:26">
      <c r="A859" s="686"/>
      <c r="B859" s="686"/>
      <c r="C859" s="686"/>
      <c r="D859" s="687"/>
      <c r="E859" s="687"/>
      <c r="F859" s="687"/>
      <c r="G859" s="687"/>
      <c r="H859" s="687"/>
      <c r="I859" s="687"/>
      <c r="J859" s="687"/>
      <c r="K859" s="687"/>
      <c r="L859" s="687"/>
      <c r="M859" s="687"/>
      <c r="N859" s="687"/>
      <c r="O859" s="687"/>
      <c r="P859" s="687"/>
      <c r="Q859" s="687"/>
      <c r="R859" s="687"/>
      <c r="S859" s="687"/>
      <c r="T859" s="687"/>
      <c r="U859" s="687"/>
      <c r="V859" s="687"/>
      <c r="W859" s="687"/>
      <c r="X859" s="687"/>
      <c r="Y859" s="687"/>
      <c r="Z859" s="687"/>
    </row>
    <row r="860" customHeight="1" spans="1:26">
      <c r="A860" s="686"/>
      <c r="B860" s="686"/>
      <c r="C860" s="686"/>
      <c r="D860" s="687"/>
      <c r="E860" s="687"/>
      <c r="F860" s="687"/>
      <c r="G860" s="687"/>
      <c r="H860" s="687"/>
      <c r="I860" s="687"/>
      <c r="J860" s="687"/>
      <c r="K860" s="687"/>
      <c r="L860" s="687"/>
      <c r="M860" s="687"/>
      <c r="N860" s="687"/>
      <c r="O860" s="687"/>
      <c r="P860" s="687"/>
      <c r="Q860" s="687"/>
      <c r="R860" s="687"/>
      <c r="S860" s="687"/>
      <c r="T860" s="687"/>
      <c r="U860" s="687"/>
      <c r="V860" s="687"/>
      <c r="W860" s="687"/>
      <c r="X860" s="687"/>
      <c r="Y860" s="687"/>
      <c r="Z860" s="687"/>
    </row>
    <row r="861" customHeight="1" spans="1:26">
      <c r="A861" s="686"/>
      <c r="B861" s="686"/>
      <c r="C861" s="686"/>
      <c r="D861" s="687"/>
      <c r="E861" s="687"/>
      <c r="F861" s="687"/>
      <c r="G861" s="687"/>
      <c r="H861" s="687"/>
      <c r="I861" s="687"/>
      <c r="J861" s="687"/>
      <c r="K861" s="687"/>
      <c r="L861" s="687"/>
      <c r="M861" s="687"/>
      <c r="N861" s="687"/>
      <c r="O861" s="687"/>
      <c r="P861" s="687"/>
      <c r="Q861" s="687"/>
      <c r="R861" s="687"/>
      <c r="S861" s="687"/>
      <c r="T861" s="687"/>
      <c r="U861" s="687"/>
      <c r="V861" s="687"/>
      <c r="W861" s="687"/>
      <c r="X861" s="687"/>
      <c r="Y861" s="687"/>
      <c r="Z861" s="687"/>
    </row>
    <row r="862" customHeight="1" spans="1:26">
      <c r="A862" s="686"/>
      <c r="B862" s="686"/>
      <c r="C862" s="686"/>
      <c r="D862" s="687"/>
      <c r="E862" s="687"/>
      <c r="F862" s="687"/>
      <c r="G862" s="687"/>
      <c r="H862" s="687"/>
      <c r="I862" s="687"/>
      <c r="J862" s="687"/>
      <c r="K862" s="687"/>
      <c r="L862" s="687"/>
      <c r="M862" s="687"/>
      <c r="N862" s="687"/>
      <c r="O862" s="687"/>
      <c r="P862" s="687"/>
      <c r="Q862" s="687"/>
      <c r="R862" s="687"/>
      <c r="S862" s="687"/>
      <c r="T862" s="687"/>
      <c r="U862" s="687"/>
      <c r="V862" s="687"/>
      <c r="W862" s="687"/>
      <c r="X862" s="687"/>
      <c r="Y862" s="687"/>
      <c r="Z862" s="687"/>
    </row>
    <row r="863" customHeight="1" spans="1:26">
      <c r="A863" s="686"/>
      <c r="B863" s="686"/>
      <c r="C863" s="686"/>
      <c r="D863" s="687"/>
      <c r="E863" s="687"/>
      <c r="F863" s="687"/>
      <c r="G863" s="687"/>
      <c r="H863" s="687"/>
      <c r="I863" s="687"/>
      <c r="J863" s="687"/>
      <c r="K863" s="687"/>
      <c r="L863" s="687"/>
      <c r="M863" s="687"/>
      <c r="N863" s="687"/>
      <c r="O863" s="687"/>
      <c r="P863" s="687"/>
      <c r="Q863" s="687"/>
      <c r="R863" s="687"/>
      <c r="S863" s="687"/>
      <c r="T863" s="687"/>
      <c r="U863" s="687"/>
      <c r="V863" s="687"/>
      <c r="W863" s="687"/>
      <c r="X863" s="687"/>
      <c r="Y863" s="687"/>
      <c r="Z863" s="687"/>
    </row>
    <row r="864" customHeight="1" spans="1:26">
      <c r="A864" s="686"/>
      <c r="B864" s="686"/>
      <c r="C864" s="686"/>
      <c r="D864" s="687"/>
      <c r="E864" s="687"/>
      <c r="F864" s="687"/>
      <c r="G864" s="687"/>
      <c r="H864" s="687"/>
      <c r="I864" s="687"/>
      <c r="J864" s="687"/>
      <c r="K864" s="687"/>
      <c r="L864" s="687"/>
      <c r="M864" s="687"/>
      <c r="N864" s="687"/>
      <c r="O864" s="687"/>
      <c r="P864" s="687"/>
      <c r="Q864" s="687"/>
      <c r="R864" s="687"/>
      <c r="S864" s="687"/>
      <c r="T864" s="687"/>
      <c r="U864" s="687"/>
      <c r="V864" s="687"/>
      <c r="W864" s="687"/>
      <c r="X864" s="687"/>
      <c r="Y864" s="687"/>
      <c r="Z864" s="687"/>
    </row>
    <row r="865" customHeight="1" spans="1:26">
      <c r="A865" s="686"/>
      <c r="B865" s="686"/>
      <c r="C865" s="686"/>
      <c r="D865" s="687"/>
      <c r="E865" s="687"/>
      <c r="F865" s="687"/>
      <c r="G865" s="687"/>
      <c r="H865" s="687"/>
      <c r="I865" s="687"/>
      <c r="J865" s="687"/>
      <c r="K865" s="687"/>
      <c r="L865" s="687"/>
      <c r="M865" s="687"/>
      <c r="N865" s="687"/>
      <c r="O865" s="687"/>
      <c r="P865" s="687"/>
      <c r="Q865" s="687"/>
      <c r="R865" s="687"/>
      <c r="S865" s="687"/>
      <c r="T865" s="687"/>
      <c r="U865" s="687"/>
      <c r="V865" s="687"/>
      <c r="W865" s="687"/>
      <c r="X865" s="687"/>
      <c r="Y865" s="687"/>
      <c r="Z865" s="687"/>
    </row>
    <row r="866" customHeight="1" spans="1:26">
      <c r="A866" s="686"/>
      <c r="B866" s="686"/>
      <c r="C866" s="686"/>
      <c r="D866" s="687"/>
      <c r="E866" s="687"/>
      <c r="F866" s="687"/>
      <c r="G866" s="687"/>
      <c r="H866" s="687"/>
      <c r="I866" s="687"/>
      <c r="J866" s="687"/>
      <c r="K866" s="687"/>
      <c r="L866" s="687"/>
      <c r="M866" s="687"/>
      <c r="N866" s="687"/>
      <c r="O866" s="687"/>
      <c r="P866" s="687"/>
      <c r="Q866" s="687"/>
      <c r="R866" s="687"/>
      <c r="S866" s="687"/>
      <c r="T866" s="687"/>
      <c r="U866" s="687"/>
      <c r="V866" s="687"/>
      <c r="W866" s="687"/>
      <c r="X866" s="687"/>
      <c r="Y866" s="687"/>
      <c r="Z866" s="687"/>
    </row>
    <row r="867" customHeight="1" spans="1:26">
      <c r="A867" s="686"/>
      <c r="B867" s="686"/>
      <c r="C867" s="686"/>
      <c r="D867" s="687"/>
      <c r="E867" s="687"/>
      <c r="F867" s="687"/>
      <c r="G867" s="687"/>
      <c r="H867" s="687"/>
      <c r="I867" s="687"/>
      <c r="J867" s="687"/>
      <c r="K867" s="687"/>
      <c r="L867" s="687"/>
      <c r="M867" s="687"/>
      <c r="N867" s="687"/>
      <c r="O867" s="687"/>
      <c r="P867" s="687"/>
      <c r="Q867" s="687"/>
      <c r="R867" s="687"/>
      <c r="S867" s="687"/>
      <c r="T867" s="687"/>
      <c r="U867" s="687"/>
      <c r="V867" s="687"/>
      <c r="W867" s="687"/>
      <c r="X867" s="687"/>
      <c r="Y867" s="687"/>
      <c r="Z867" s="687"/>
    </row>
    <row r="868" customHeight="1" spans="1:26">
      <c r="A868" s="686"/>
      <c r="B868" s="686"/>
      <c r="C868" s="686"/>
      <c r="D868" s="687"/>
      <c r="E868" s="687"/>
      <c r="F868" s="687"/>
      <c r="G868" s="687"/>
      <c r="H868" s="687"/>
      <c r="I868" s="687"/>
      <c r="J868" s="687"/>
      <c r="K868" s="687"/>
      <c r="L868" s="687"/>
      <c r="M868" s="687"/>
      <c r="N868" s="687"/>
      <c r="O868" s="687"/>
      <c r="P868" s="687"/>
      <c r="Q868" s="687"/>
      <c r="R868" s="687"/>
      <c r="S868" s="687"/>
      <c r="T868" s="687"/>
      <c r="U868" s="687"/>
      <c r="V868" s="687"/>
      <c r="W868" s="687"/>
      <c r="X868" s="687"/>
      <c r="Y868" s="687"/>
      <c r="Z868" s="687"/>
    </row>
    <row r="869" customHeight="1" spans="1:26">
      <c r="A869" s="686"/>
      <c r="B869" s="686"/>
      <c r="C869" s="686"/>
      <c r="D869" s="687"/>
      <c r="E869" s="687"/>
      <c r="F869" s="687"/>
      <c r="G869" s="687"/>
      <c r="H869" s="687"/>
      <c r="I869" s="687"/>
      <c r="J869" s="687"/>
      <c r="K869" s="687"/>
      <c r="L869" s="687"/>
      <c r="M869" s="687"/>
      <c r="N869" s="687"/>
      <c r="O869" s="687"/>
      <c r="P869" s="687"/>
      <c r="Q869" s="687"/>
      <c r="R869" s="687"/>
      <c r="S869" s="687"/>
      <c r="T869" s="687"/>
      <c r="U869" s="687"/>
      <c r="V869" s="687"/>
      <c r="W869" s="687"/>
      <c r="X869" s="687"/>
      <c r="Y869" s="687"/>
      <c r="Z869" s="687"/>
    </row>
    <row r="870" customHeight="1" spans="1:26">
      <c r="A870" s="686"/>
      <c r="B870" s="686"/>
      <c r="C870" s="686"/>
      <c r="D870" s="687"/>
      <c r="E870" s="687"/>
      <c r="F870" s="687"/>
      <c r="G870" s="687"/>
      <c r="H870" s="687"/>
      <c r="I870" s="687"/>
      <c r="J870" s="687"/>
      <c r="K870" s="687"/>
      <c r="L870" s="687"/>
      <c r="M870" s="687"/>
      <c r="N870" s="687"/>
      <c r="O870" s="687"/>
      <c r="P870" s="687"/>
      <c r="Q870" s="687"/>
      <c r="R870" s="687"/>
      <c r="S870" s="687"/>
      <c r="T870" s="687"/>
      <c r="U870" s="687"/>
      <c r="V870" s="687"/>
      <c r="W870" s="687"/>
      <c r="X870" s="687"/>
      <c r="Y870" s="687"/>
      <c r="Z870" s="687"/>
    </row>
    <row r="871" customHeight="1" spans="1:26">
      <c r="A871" s="686"/>
      <c r="B871" s="686"/>
      <c r="C871" s="686"/>
      <c r="D871" s="687"/>
      <c r="E871" s="687"/>
      <c r="F871" s="687"/>
      <c r="G871" s="687"/>
      <c r="H871" s="687"/>
      <c r="I871" s="687"/>
      <c r="J871" s="687"/>
      <c r="K871" s="687"/>
      <c r="L871" s="687"/>
      <c r="M871" s="687"/>
      <c r="N871" s="687"/>
      <c r="O871" s="687"/>
      <c r="P871" s="687"/>
      <c r="Q871" s="687"/>
      <c r="R871" s="687"/>
      <c r="S871" s="687"/>
      <c r="T871" s="687"/>
      <c r="U871" s="687"/>
      <c r="V871" s="687"/>
      <c r="W871" s="687"/>
      <c r="X871" s="687"/>
      <c r="Y871" s="687"/>
      <c r="Z871" s="687"/>
    </row>
    <row r="872" customHeight="1" spans="1:26">
      <c r="A872" s="686"/>
      <c r="B872" s="686"/>
      <c r="C872" s="686"/>
      <c r="D872" s="687"/>
      <c r="E872" s="687"/>
      <c r="F872" s="687"/>
      <c r="G872" s="687"/>
      <c r="H872" s="687"/>
      <c r="I872" s="687"/>
      <c r="J872" s="687"/>
      <c r="K872" s="687"/>
      <c r="L872" s="687"/>
      <c r="M872" s="687"/>
      <c r="N872" s="687"/>
      <c r="O872" s="687"/>
      <c r="P872" s="687"/>
      <c r="Q872" s="687"/>
      <c r="R872" s="687"/>
      <c r="S872" s="687"/>
      <c r="T872" s="687"/>
      <c r="U872" s="687"/>
      <c r="V872" s="687"/>
      <c r="W872" s="687"/>
      <c r="X872" s="687"/>
      <c r="Y872" s="687"/>
      <c r="Z872" s="687"/>
    </row>
    <row r="873" customHeight="1" spans="1:26">
      <c r="A873" s="686"/>
      <c r="B873" s="686"/>
      <c r="C873" s="686"/>
      <c r="D873" s="687"/>
      <c r="E873" s="687"/>
      <c r="F873" s="687"/>
      <c r="G873" s="687"/>
      <c r="H873" s="687"/>
      <c r="I873" s="687"/>
      <c r="J873" s="687"/>
      <c r="K873" s="687"/>
      <c r="L873" s="687"/>
      <c r="M873" s="687"/>
      <c r="N873" s="687"/>
      <c r="O873" s="687"/>
      <c r="P873" s="687"/>
      <c r="Q873" s="687"/>
      <c r="R873" s="687"/>
      <c r="S873" s="687"/>
      <c r="T873" s="687"/>
      <c r="U873" s="687"/>
      <c r="V873" s="687"/>
      <c r="W873" s="687"/>
      <c r="X873" s="687"/>
      <c r="Y873" s="687"/>
      <c r="Z873" s="687"/>
    </row>
    <row r="874" customHeight="1" spans="1:26">
      <c r="A874" s="686"/>
      <c r="B874" s="686"/>
      <c r="C874" s="686"/>
      <c r="D874" s="687"/>
      <c r="E874" s="687"/>
      <c r="F874" s="687"/>
      <c r="G874" s="687"/>
      <c r="H874" s="687"/>
      <c r="I874" s="687"/>
      <c r="J874" s="687"/>
      <c r="K874" s="687"/>
      <c r="L874" s="687"/>
      <c r="M874" s="687"/>
      <c r="N874" s="687"/>
      <c r="O874" s="687"/>
      <c r="P874" s="687"/>
      <c r="Q874" s="687"/>
      <c r="R874" s="687"/>
      <c r="S874" s="687"/>
      <c r="T874" s="687"/>
      <c r="U874" s="687"/>
      <c r="V874" s="687"/>
      <c r="W874" s="687"/>
      <c r="X874" s="687"/>
      <c r="Y874" s="687"/>
      <c r="Z874" s="687"/>
    </row>
    <row r="875" customHeight="1" spans="1:26">
      <c r="A875" s="686"/>
      <c r="B875" s="686"/>
      <c r="C875" s="686"/>
      <c r="D875" s="687"/>
      <c r="E875" s="687"/>
      <c r="F875" s="687"/>
      <c r="G875" s="687"/>
      <c r="H875" s="687"/>
      <c r="I875" s="687"/>
      <c r="J875" s="687"/>
      <c r="K875" s="687"/>
      <c r="L875" s="687"/>
      <c r="M875" s="687"/>
      <c r="N875" s="687"/>
      <c r="O875" s="687"/>
      <c r="P875" s="687"/>
      <c r="Q875" s="687"/>
      <c r="R875" s="687"/>
      <c r="S875" s="687"/>
      <c r="T875" s="687"/>
      <c r="U875" s="687"/>
      <c r="V875" s="687"/>
      <c r="W875" s="687"/>
      <c r="X875" s="687"/>
      <c r="Y875" s="687"/>
      <c r="Z875" s="687"/>
    </row>
    <row r="876" customHeight="1" spans="1:26">
      <c r="A876" s="686"/>
      <c r="B876" s="686"/>
      <c r="C876" s="686"/>
      <c r="D876" s="687"/>
      <c r="E876" s="687"/>
      <c r="F876" s="687"/>
      <c r="G876" s="687"/>
      <c r="H876" s="687"/>
      <c r="I876" s="687"/>
      <c r="J876" s="687"/>
      <c r="K876" s="687"/>
      <c r="L876" s="687"/>
      <c r="M876" s="687"/>
      <c r="N876" s="687"/>
      <c r="O876" s="687"/>
      <c r="P876" s="687"/>
      <c r="Q876" s="687"/>
      <c r="R876" s="687"/>
      <c r="S876" s="687"/>
      <c r="T876" s="687"/>
      <c r="U876" s="687"/>
      <c r="V876" s="687"/>
      <c r="W876" s="687"/>
      <c r="X876" s="687"/>
      <c r="Y876" s="687"/>
      <c r="Z876" s="687"/>
    </row>
    <row r="877" customHeight="1" spans="1:26">
      <c r="A877" s="686"/>
      <c r="B877" s="686"/>
      <c r="C877" s="686"/>
      <c r="D877" s="687"/>
      <c r="E877" s="687"/>
      <c r="F877" s="687"/>
      <c r="G877" s="687"/>
      <c r="H877" s="687"/>
      <c r="I877" s="687"/>
      <c r="J877" s="687"/>
      <c r="K877" s="687"/>
      <c r="L877" s="687"/>
      <c r="M877" s="687"/>
      <c r="N877" s="687"/>
      <c r="O877" s="687"/>
      <c r="P877" s="687"/>
      <c r="Q877" s="687"/>
      <c r="R877" s="687"/>
      <c r="S877" s="687"/>
      <c r="T877" s="687"/>
      <c r="U877" s="687"/>
      <c r="V877" s="687"/>
      <c r="W877" s="687"/>
      <c r="X877" s="687"/>
      <c r="Y877" s="687"/>
      <c r="Z877" s="687"/>
    </row>
    <row r="878" customHeight="1" spans="1:26">
      <c r="A878" s="686"/>
      <c r="B878" s="686"/>
      <c r="C878" s="686"/>
      <c r="D878" s="687"/>
      <c r="E878" s="687"/>
      <c r="F878" s="687"/>
      <c r="G878" s="687"/>
      <c r="H878" s="687"/>
      <c r="I878" s="687"/>
      <c r="J878" s="687"/>
      <c r="K878" s="687"/>
      <c r="L878" s="687"/>
      <c r="M878" s="687"/>
      <c r="N878" s="687"/>
      <c r="O878" s="687"/>
      <c r="P878" s="687"/>
      <c r="Q878" s="687"/>
      <c r="R878" s="687"/>
      <c r="S878" s="687"/>
      <c r="T878" s="687"/>
      <c r="U878" s="687"/>
      <c r="V878" s="687"/>
      <c r="W878" s="687"/>
      <c r="X878" s="687"/>
      <c r="Y878" s="687"/>
      <c r="Z878" s="687"/>
    </row>
    <row r="879" customHeight="1" spans="1:26">
      <c r="A879" s="686"/>
      <c r="B879" s="686"/>
      <c r="C879" s="686"/>
      <c r="D879" s="687"/>
      <c r="E879" s="687"/>
      <c r="F879" s="687"/>
      <c r="G879" s="687"/>
      <c r="H879" s="687"/>
      <c r="I879" s="687"/>
      <c r="J879" s="687"/>
      <c r="K879" s="687"/>
      <c r="L879" s="687"/>
      <c r="M879" s="687"/>
      <c r="N879" s="687"/>
      <c r="O879" s="687"/>
      <c r="P879" s="687"/>
      <c r="Q879" s="687"/>
      <c r="R879" s="687"/>
      <c r="S879" s="687"/>
      <c r="T879" s="687"/>
      <c r="U879" s="687"/>
      <c r="V879" s="687"/>
      <c r="W879" s="687"/>
      <c r="X879" s="687"/>
      <c r="Y879" s="687"/>
      <c r="Z879" s="687"/>
    </row>
    <row r="880" customHeight="1" spans="1:26">
      <c r="A880" s="686"/>
      <c r="B880" s="686"/>
      <c r="C880" s="686"/>
      <c r="D880" s="687"/>
      <c r="E880" s="687"/>
      <c r="F880" s="687"/>
      <c r="G880" s="687"/>
      <c r="H880" s="687"/>
      <c r="I880" s="687"/>
      <c r="J880" s="687"/>
      <c r="K880" s="687"/>
      <c r="L880" s="687"/>
      <c r="M880" s="687"/>
      <c r="N880" s="687"/>
      <c r="O880" s="687"/>
      <c r="P880" s="687"/>
      <c r="Q880" s="687"/>
      <c r="R880" s="687"/>
      <c r="S880" s="687"/>
      <c r="T880" s="687"/>
      <c r="U880" s="687"/>
      <c r="V880" s="687"/>
      <c r="W880" s="687"/>
      <c r="X880" s="687"/>
      <c r="Y880" s="687"/>
      <c r="Z880" s="687"/>
    </row>
    <row r="881" customHeight="1" spans="1:26">
      <c r="A881" s="686"/>
      <c r="B881" s="686"/>
      <c r="C881" s="686"/>
      <c r="D881" s="687"/>
      <c r="E881" s="687"/>
      <c r="F881" s="687"/>
      <c r="G881" s="687"/>
      <c r="H881" s="687"/>
      <c r="I881" s="687"/>
      <c r="J881" s="687"/>
      <c r="K881" s="687"/>
      <c r="L881" s="687"/>
      <c r="M881" s="687"/>
      <c r="N881" s="687"/>
      <c r="O881" s="687"/>
      <c r="P881" s="687"/>
      <c r="Q881" s="687"/>
      <c r="R881" s="687"/>
      <c r="S881" s="687"/>
      <c r="T881" s="687"/>
      <c r="U881" s="687"/>
      <c r="V881" s="687"/>
      <c r="W881" s="687"/>
      <c r="X881" s="687"/>
      <c r="Y881" s="687"/>
      <c r="Z881" s="687"/>
    </row>
    <row r="882" customHeight="1" spans="1:26">
      <c r="A882" s="686"/>
      <c r="B882" s="686"/>
      <c r="C882" s="686"/>
      <c r="D882" s="687"/>
      <c r="E882" s="687"/>
      <c r="F882" s="687"/>
      <c r="G882" s="687"/>
      <c r="H882" s="687"/>
      <c r="I882" s="687"/>
      <c r="J882" s="687"/>
      <c r="K882" s="687"/>
      <c r="L882" s="687"/>
      <c r="M882" s="687"/>
      <c r="N882" s="687"/>
      <c r="O882" s="687"/>
      <c r="P882" s="687"/>
      <c r="Q882" s="687"/>
      <c r="R882" s="687"/>
      <c r="S882" s="687"/>
      <c r="T882" s="687"/>
      <c r="U882" s="687"/>
      <c r="V882" s="687"/>
      <c r="W882" s="687"/>
      <c r="X882" s="687"/>
      <c r="Y882" s="687"/>
      <c r="Z882" s="687"/>
    </row>
    <row r="883" customHeight="1" spans="1:26">
      <c r="A883" s="686"/>
      <c r="B883" s="686"/>
      <c r="C883" s="686"/>
      <c r="D883" s="687"/>
      <c r="E883" s="687"/>
      <c r="F883" s="687"/>
      <c r="G883" s="687"/>
      <c r="H883" s="687"/>
      <c r="I883" s="687"/>
      <c r="J883" s="687"/>
      <c r="K883" s="687"/>
      <c r="L883" s="687"/>
      <c r="M883" s="687"/>
      <c r="N883" s="687"/>
      <c r="O883" s="687"/>
      <c r="P883" s="687"/>
      <c r="Q883" s="687"/>
      <c r="R883" s="687"/>
      <c r="S883" s="687"/>
      <c r="T883" s="687"/>
      <c r="U883" s="687"/>
      <c r="V883" s="687"/>
      <c r="W883" s="687"/>
      <c r="X883" s="687"/>
      <c r="Y883" s="687"/>
      <c r="Z883" s="687"/>
    </row>
    <row r="884" customHeight="1" spans="1:26">
      <c r="A884" s="686"/>
      <c r="B884" s="686"/>
      <c r="C884" s="686"/>
      <c r="D884" s="687"/>
      <c r="E884" s="687"/>
      <c r="F884" s="687"/>
      <c r="G884" s="687"/>
      <c r="H884" s="687"/>
      <c r="I884" s="687"/>
      <c r="J884" s="687"/>
      <c r="K884" s="687"/>
      <c r="L884" s="687"/>
      <c r="M884" s="687"/>
      <c r="N884" s="687"/>
      <c r="O884" s="687"/>
      <c r="P884" s="687"/>
      <c r="Q884" s="687"/>
      <c r="R884" s="687"/>
      <c r="S884" s="687"/>
      <c r="T884" s="687"/>
      <c r="U884" s="687"/>
      <c r="V884" s="687"/>
      <c r="W884" s="687"/>
      <c r="X884" s="687"/>
      <c r="Y884" s="687"/>
      <c r="Z884" s="687"/>
    </row>
    <row r="885" customHeight="1" spans="1:26">
      <c r="A885" s="686"/>
      <c r="B885" s="686"/>
      <c r="C885" s="686"/>
      <c r="D885" s="687"/>
      <c r="E885" s="687"/>
      <c r="F885" s="687"/>
      <c r="G885" s="687"/>
      <c r="H885" s="687"/>
      <c r="I885" s="687"/>
      <c r="J885" s="687"/>
      <c r="K885" s="687"/>
      <c r="L885" s="687"/>
      <c r="M885" s="687"/>
      <c r="N885" s="687"/>
      <c r="O885" s="687"/>
      <c r="P885" s="687"/>
      <c r="Q885" s="687"/>
      <c r="R885" s="687"/>
      <c r="S885" s="687"/>
      <c r="T885" s="687"/>
      <c r="U885" s="687"/>
      <c r="V885" s="687"/>
      <c r="W885" s="687"/>
      <c r="X885" s="687"/>
      <c r="Y885" s="687"/>
      <c r="Z885" s="687"/>
    </row>
    <row r="886" customHeight="1" spans="1:26">
      <c r="A886" s="686"/>
      <c r="B886" s="686"/>
      <c r="C886" s="686"/>
      <c r="D886" s="687"/>
      <c r="E886" s="687"/>
      <c r="F886" s="687"/>
      <c r="G886" s="687"/>
      <c r="H886" s="687"/>
      <c r="I886" s="687"/>
      <c r="J886" s="687"/>
      <c r="K886" s="687"/>
      <c r="L886" s="687"/>
      <c r="M886" s="687"/>
      <c r="N886" s="687"/>
      <c r="O886" s="687"/>
      <c r="P886" s="687"/>
      <c r="Q886" s="687"/>
      <c r="R886" s="687"/>
      <c r="S886" s="687"/>
      <c r="T886" s="687"/>
      <c r="U886" s="687"/>
      <c r="V886" s="687"/>
      <c r="W886" s="687"/>
      <c r="X886" s="687"/>
      <c r="Y886" s="687"/>
      <c r="Z886" s="687"/>
    </row>
    <row r="887" customHeight="1" spans="1:26">
      <c r="A887" s="686"/>
      <c r="B887" s="686"/>
      <c r="C887" s="686"/>
      <c r="D887" s="687"/>
      <c r="E887" s="687"/>
      <c r="F887" s="687"/>
      <c r="G887" s="687"/>
      <c r="H887" s="687"/>
      <c r="I887" s="687"/>
      <c r="J887" s="687"/>
      <c r="K887" s="687"/>
      <c r="L887" s="687"/>
      <c r="M887" s="687"/>
      <c r="N887" s="687"/>
      <c r="O887" s="687"/>
      <c r="P887" s="687"/>
      <c r="Q887" s="687"/>
      <c r="R887" s="687"/>
      <c r="S887" s="687"/>
      <c r="T887" s="687"/>
      <c r="U887" s="687"/>
      <c r="V887" s="687"/>
      <c r="W887" s="687"/>
      <c r="X887" s="687"/>
      <c r="Y887" s="687"/>
      <c r="Z887" s="687"/>
    </row>
    <row r="888" customHeight="1" spans="1:26">
      <c r="A888" s="686"/>
      <c r="B888" s="686"/>
      <c r="C888" s="686"/>
      <c r="D888" s="687"/>
      <c r="E888" s="687"/>
      <c r="F888" s="687"/>
      <c r="G888" s="687"/>
      <c r="H888" s="687"/>
      <c r="I888" s="687"/>
      <c r="J888" s="687"/>
      <c r="K888" s="687"/>
      <c r="L888" s="687"/>
      <c r="M888" s="687"/>
      <c r="N888" s="687"/>
      <c r="O888" s="687"/>
      <c r="P888" s="687"/>
      <c r="Q888" s="687"/>
      <c r="R888" s="687"/>
      <c r="S888" s="687"/>
      <c r="T888" s="687"/>
      <c r="U888" s="687"/>
      <c r="V888" s="687"/>
      <c r="W888" s="687"/>
      <c r="X888" s="687"/>
      <c r="Y888" s="687"/>
      <c r="Z888" s="687"/>
    </row>
    <row r="889" customHeight="1" spans="1:26">
      <c r="A889" s="686"/>
      <c r="B889" s="686"/>
      <c r="C889" s="686"/>
      <c r="D889" s="687"/>
      <c r="E889" s="687"/>
      <c r="F889" s="687"/>
      <c r="G889" s="687"/>
      <c r="H889" s="687"/>
      <c r="I889" s="687"/>
      <c r="J889" s="687"/>
      <c r="K889" s="687"/>
      <c r="L889" s="687"/>
      <c r="M889" s="687"/>
      <c r="N889" s="687"/>
      <c r="O889" s="687"/>
      <c r="P889" s="687"/>
      <c r="Q889" s="687"/>
      <c r="R889" s="687"/>
      <c r="S889" s="687"/>
      <c r="T889" s="687"/>
      <c r="U889" s="687"/>
      <c r="V889" s="687"/>
      <c r="W889" s="687"/>
      <c r="X889" s="687"/>
      <c r="Y889" s="687"/>
      <c r="Z889" s="687"/>
    </row>
    <row r="890" customHeight="1" spans="1:26">
      <c r="A890" s="686"/>
      <c r="B890" s="686"/>
      <c r="C890" s="686"/>
      <c r="D890" s="687"/>
      <c r="E890" s="687"/>
      <c r="F890" s="687"/>
      <c r="G890" s="687"/>
      <c r="H890" s="687"/>
      <c r="I890" s="687"/>
      <c r="J890" s="687"/>
      <c r="K890" s="687"/>
      <c r="L890" s="687"/>
      <c r="M890" s="687"/>
      <c r="N890" s="687"/>
      <c r="O890" s="687"/>
      <c r="P890" s="687"/>
      <c r="Q890" s="687"/>
      <c r="R890" s="687"/>
      <c r="S890" s="687"/>
      <c r="T890" s="687"/>
      <c r="U890" s="687"/>
      <c r="V890" s="687"/>
      <c r="W890" s="687"/>
      <c r="X890" s="687"/>
      <c r="Y890" s="687"/>
      <c r="Z890" s="687"/>
    </row>
    <row r="891" customHeight="1" spans="1:26">
      <c r="A891" s="686"/>
      <c r="B891" s="686"/>
      <c r="C891" s="686"/>
      <c r="D891" s="687"/>
      <c r="E891" s="687"/>
      <c r="F891" s="687"/>
      <c r="G891" s="687"/>
      <c r="H891" s="687"/>
      <c r="I891" s="687"/>
      <c r="J891" s="687"/>
      <c r="K891" s="687"/>
      <c r="L891" s="687"/>
      <c r="M891" s="687"/>
      <c r="N891" s="687"/>
      <c r="O891" s="687"/>
      <c r="P891" s="687"/>
      <c r="Q891" s="687"/>
      <c r="R891" s="687"/>
      <c r="S891" s="687"/>
      <c r="T891" s="687"/>
      <c r="U891" s="687"/>
      <c r="V891" s="687"/>
      <c r="W891" s="687"/>
      <c r="X891" s="687"/>
      <c r="Y891" s="687"/>
      <c r="Z891" s="687"/>
    </row>
    <row r="892" customHeight="1" spans="1:26">
      <c r="A892" s="686"/>
      <c r="B892" s="686"/>
      <c r="C892" s="686"/>
      <c r="D892" s="687"/>
      <c r="E892" s="687"/>
      <c r="F892" s="687"/>
      <c r="G892" s="687"/>
      <c r="H892" s="687"/>
      <c r="I892" s="687"/>
      <c r="J892" s="687"/>
      <c r="K892" s="687"/>
      <c r="L892" s="687"/>
      <c r="M892" s="687"/>
      <c r="N892" s="687"/>
      <c r="O892" s="687"/>
      <c r="P892" s="687"/>
      <c r="Q892" s="687"/>
      <c r="R892" s="687"/>
      <c r="S892" s="687"/>
      <c r="T892" s="687"/>
      <c r="U892" s="687"/>
      <c r="V892" s="687"/>
      <c r="W892" s="687"/>
      <c r="X892" s="687"/>
      <c r="Y892" s="687"/>
      <c r="Z892" s="687"/>
    </row>
    <row r="893" customHeight="1" spans="1:26">
      <c r="A893" s="686"/>
      <c r="B893" s="686"/>
      <c r="C893" s="686"/>
      <c r="D893" s="687"/>
      <c r="E893" s="687"/>
      <c r="F893" s="687"/>
      <c r="G893" s="687"/>
      <c r="H893" s="687"/>
      <c r="I893" s="687"/>
      <c r="J893" s="687"/>
      <c r="K893" s="687"/>
      <c r="L893" s="687"/>
      <c r="M893" s="687"/>
      <c r="N893" s="687"/>
      <c r="O893" s="687"/>
      <c r="P893" s="687"/>
      <c r="Q893" s="687"/>
      <c r="R893" s="687"/>
      <c r="S893" s="687"/>
      <c r="T893" s="687"/>
      <c r="U893" s="687"/>
      <c r="V893" s="687"/>
      <c r="W893" s="687"/>
      <c r="X893" s="687"/>
      <c r="Y893" s="687"/>
      <c r="Z893" s="687"/>
    </row>
    <row r="894" customHeight="1" spans="1:26">
      <c r="A894" s="686"/>
      <c r="B894" s="686"/>
      <c r="C894" s="686"/>
      <c r="D894" s="687"/>
      <c r="E894" s="687"/>
      <c r="F894" s="687"/>
      <c r="G894" s="687"/>
      <c r="H894" s="687"/>
      <c r="I894" s="687"/>
      <c r="J894" s="687"/>
      <c r="K894" s="687"/>
      <c r="L894" s="687"/>
      <c r="M894" s="687"/>
      <c r="N894" s="687"/>
      <c r="O894" s="687"/>
      <c r="P894" s="687"/>
      <c r="Q894" s="687"/>
      <c r="R894" s="687"/>
      <c r="S894" s="687"/>
      <c r="T894" s="687"/>
      <c r="U894" s="687"/>
      <c r="V894" s="687"/>
      <c r="W894" s="687"/>
      <c r="X894" s="687"/>
      <c r="Y894" s="687"/>
      <c r="Z894" s="687"/>
    </row>
    <row r="895" customHeight="1" spans="1:26">
      <c r="A895" s="686"/>
      <c r="B895" s="686"/>
      <c r="C895" s="686"/>
      <c r="D895" s="687"/>
      <c r="E895" s="687"/>
      <c r="F895" s="687"/>
      <c r="G895" s="687"/>
      <c r="H895" s="687"/>
      <c r="I895" s="687"/>
      <c r="J895" s="687"/>
      <c r="K895" s="687"/>
      <c r="L895" s="687"/>
      <c r="M895" s="687"/>
      <c r="N895" s="687"/>
      <c r="O895" s="687"/>
      <c r="P895" s="687"/>
      <c r="Q895" s="687"/>
      <c r="R895" s="687"/>
      <c r="S895" s="687"/>
      <c r="T895" s="687"/>
      <c r="U895" s="687"/>
      <c r="V895" s="687"/>
      <c r="W895" s="687"/>
      <c r="X895" s="687"/>
      <c r="Y895" s="687"/>
      <c r="Z895" s="687"/>
    </row>
    <row r="896" customHeight="1" spans="1:26">
      <c r="A896" s="686"/>
      <c r="B896" s="686"/>
      <c r="C896" s="686"/>
      <c r="D896" s="687"/>
      <c r="E896" s="687"/>
      <c r="F896" s="687"/>
      <c r="G896" s="687"/>
      <c r="H896" s="687"/>
      <c r="I896" s="687"/>
      <c r="J896" s="687"/>
      <c r="K896" s="687"/>
      <c r="L896" s="687"/>
      <c r="M896" s="687"/>
      <c r="N896" s="687"/>
      <c r="O896" s="687"/>
      <c r="P896" s="687"/>
      <c r="Q896" s="687"/>
      <c r="R896" s="687"/>
      <c r="S896" s="687"/>
      <c r="T896" s="687"/>
      <c r="U896" s="687"/>
      <c r="V896" s="687"/>
      <c r="W896" s="687"/>
      <c r="X896" s="687"/>
      <c r="Y896" s="687"/>
      <c r="Z896" s="687"/>
    </row>
    <row r="897" customHeight="1" spans="1:26">
      <c r="A897" s="686"/>
      <c r="B897" s="686"/>
      <c r="C897" s="686"/>
      <c r="D897" s="687"/>
      <c r="E897" s="687"/>
      <c r="F897" s="687"/>
      <c r="G897" s="687"/>
      <c r="H897" s="687"/>
      <c r="I897" s="687"/>
      <c r="J897" s="687"/>
      <c r="K897" s="687"/>
      <c r="L897" s="687"/>
      <c r="M897" s="687"/>
      <c r="N897" s="687"/>
      <c r="O897" s="687"/>
      <c r="P897" s="687"/>
      <c r="Q897" s="687"/>
      <c r="R897" s="687"/>
      <c r="S897" s="687"/>
      <c r="T897" s="687"/>
      <c r="U897" s="687"/>
      <c r="V897" s="687"/>
      <c r="W897" s="687"/>
      <c r="X897" s="687"/>
      <c r="Y897" s="687"/>
      <c r="Z897" s="687"/>
    </row>
    <row r="898" customHeight="1" spans="1:26">
      <c r="A898" s="686"/>
      <c r="B898" s="686"/>
      <c r="C898" s="686"/>
      <c r="D898" s="687"/>
      <c r="E898" s="687"/>
      <c r="F898" s="687"/>
      <c r="G898" s="687"/>
      <c r="H898" s="687"/>
      <c r="I898" s="687"/>
      <c r="J898" s="687"/>
      <c r="K898" s="687"/>
      <c r="L898" s="687"/>
      <c r="M898" s="687"/>
      <c r="N898" s="687"/>
      <c r="O898" s="687"/>
      <c r="P898" s="687"/>
      <c r="Q898" s="687"/>
      <c r="R898" s="687"/>
      <c r="S898" s="687"/>
      <c r="T898" s="687"/>
      <c r="U898" s="687"/>
      <c r="V898" s="687"/>
      <c r="W898" s="687"/>
      <c r="X898" s="687"/>
      <c r="Y898" s="687"/>
      <c r="Z898" s="687"/>
    </row>
    <row r="899" customHeight="1" spans="1:26">
      <c r="A899" s="686"/>
      <c r="B899" s="686"/>
      <c r="C899" s="686"/>
      <c r="D899" s="687"/>
      <c r="E899" s="687"/>
      <c r="F899" s="687"/>
      <c r="G899" s="687"/>
      <c r="H899" s="687"/>
      <c r="I899" s="687"/>
      <c r="J899" s="687"/>
      <c r="K899" s="687"/>
      <c r="L899" s="687"/>
      <c r="M899" s="687"/>
      <c r="N899" s="687"/>
      <c r="O899" s="687"/>
      <c r="P899" s="687"/>
      <c r="Q899" s="687"/>
      <c r="R899" s="687"/>
      <c r="S899" s="687"/>
      <c r="T899" s="687"/>
      <c r="U899" s="687"/>
      <c r="V899" s="687"/>
      <c r="W899" s="687"/>
      <c r="X899" s="687"/>
      <c r="Y899" s="687"/>
      <c r="Z899" s="687"/>
    </row>
    <row r="900" customHeight="1" spans="1:26">
      <c r="A900" s="686"/>
      <c r="B900" s="686"/>
      <c r="C900" s="686"/>
      <c r="D900" s="687"/>
      <c r="E900" s="687"/>
      <c r="F900" s="687"/>
      <c r="G900" s="687"/>
      <c r="H900" s="687"/>
      <c r="I900" s="687"/>
      <c r="J900" s="687"/>
      <c r="K900" s="687"/>
      <c r="L900" s="687"/>
      <c r="M900" s="687"/>
      <c r="N900" s="687"/>
      <c r="O900" s="687"/>
      <c r="P900" s="687"/>
      <c r="Q900" s="687"/>
      <c r="R900" s="687"/>
      <c r="S900" s="687"/>
      <c r="T900" s="687"/>
      <c r="U900" s="687"/>
      <c r="V900" s="687"/>
      <c r="W900" s="687"/>
      <c r="X900" s="687"/>
      <c r="Y900" s="687"/>
      <c r="Z900" s="687"/>
    </row>
    <row r="901" customHeight="1" spans="1:26">
      <c r="A901" s="686"/>
      <c r="B901" s="686"/>
      <c r="C901" s="686"/>
      <c r="D901" s="687"/>
      <c r="E901" s="687"/>
      <c r="F901" s="687"/>
      <c r="G901" s="687"/>
      <c r="H901" s="687"/>
      <c r="I901" s="687"/>
      <c r="J901" s="687"/>
      <c r="K901" s="687"/>
      <c r="L901" s="687"/>
      <c r="M901" s="687"/>
      <c r="N901" s="687"/>
      <c r="O901" s="687"/>
      <c r="P901" s="687"/>
      <c r="Q901" s="687"/>
      <c r="R901" s="687"/>
      <c r="S901" s="687"/>
      <c r="T901" s="687"/>
      <c r="U901" s="687"/>
      <c r="V901" s="687"/>
      <c r="W901" s="687"/>
      <c r="X901" s="687"/>
      <c r="Y901" s="687"/>
      <c r="Z901" s="687"/>
    </row>
    <row r="902" customHeight="1" spans="1:26">
      <c r="A902" s="686"/>
      <c r="B902" s="686"/>
      <c r="C902" s="686"/>
      <c r="D902" s="687"/>
      <c r="E902" s="687"/>
      <c r="F902" s="687"/>
      <c r="G902" s="687"/>
      <c r="H902" s="687"/>
      <c r="I902" s="687"/>
      <c r="J902" s="687"/>
      <c r="K902" s="687"/>
      <c r="L902" s="687"/>
      <c r="M902" s="687"/>
      <c r="N902" s="687"/>
      <c r="O902" s="687"/>
      <c r="P902" s="687"/>
      <c r="Q902" s="687"/>
      <c r="R902" s="687"/>
      <c r="S902" s="687"/>
      <c r="T902" s="687"/>
      <c r="U902" s="687"/>
      <c r="V902" s="687"/>
      <c r="W902" s="687"/>
      <c r="X902" s="687"/>
      <c r="Y902" s="687"/>
      <c r="Z902" s="687"/>
    </row>
    <row r="903" customHeight="1" spans="1:26">
      <c r="A903" s="686"/>
      <c r="B903" s="686"/>
      <c r="C903" s="686"/>
      <c r="D903" s="687"/>
      <c r="E903" s="687"/>
      <c r="F903" s="687"/>
      <c r="G903" s="687"/>
      <c r="H903" s="687"/>
      <c r="I903" s="687"/>
      <c r="J903" s="687"/>
      <c r="K903" s="687"/>
      <c r="L903" s="687"/>
      <c r="M903" s="687"/>
      <c r="N903" s="687"/>
      <c r="O903" s="687"/>
      <c r="P903" s="687"/>
      <c r="Q903" s="687"/>
      <c r="R903" s="687"/>
      <c r="S903" s="687"/>
      <c r="T903" s="687"/>
      <c r="U903" s="687"/>
      <c r="V903" s="687"/>
      <c r="W903" s="687"/>
      <c r="X903" s="687"/>
      <c r="Y903" s="687"/>
      <c r="Z903" s="687"/>
    </row>
    <row r="904" customHeight="1" spans="1:26">
      <c r="A904" s="686"/>
      <c r="B904" s="686"/>
      <c r="C904" s="686"/>
      <c r="D904" s="687"/>
      <c r="E904" s="687"/>
      <c r="F904" s="687"/>
      <c r="G904" s="687"/>
      <c r="H904" s="687"/>
      <c r="I904" s="687"/>
      <c r="J904" s="687"/>
      <c r="K904" s="687"/>
      <c r="L904" s="687"/>
      <c r="M904" s="687"/>
      <c r="N904" s="687"/>
      <c r="O904" s="687"/>
      <c r="P904" s="687"/>
      <c r="Q904" s="687"/>
      <c r="R904" s="687"/>
      <c r="S904" s="687"/>
      <c r="T904" s="687"/>
      <c r="U904" s="687"/>
      <c r="V904" s="687"/>
      <c r="W904" s="687"/>
      <c r="X904" s="687"/>
      <c r="Y904" s="687"/>
      <c r="Z904" s="687"/>
    </row>
    <row r="905" customHeight="1" spans="1:26">
      <c r="A905" s="686"/>
      <c r="B905" s="686"/>
      <c r="C905" s="686"/>
      <c r="D905" s="687"/>
      <c r="E905" s="687"/>
      <c r="F905" s="687"/>
      <c r="G905" s="687"/>
      <c r="H905" s="687"/>
      <c r="I905" s="687"/>
      <c r="J905" s="687"/>
      <c r="K905" s="687"/>
      <c r="L905" s="687"/>
      <c r="M905" s="687"/>
      <c r="N905" s="687"/>
      <c r="O905" s="687"/>
      <c r="P905" s="687"/>
      <c r="Q905" s="687"/>
      <c r="R905" s="687"/>
      <c r="S905" s="687"/>
      <c r="T905" s="687"/>
      <c r="U905" s="687"/>
      <c r="V905" s="687"/>
      <c r="W905" s="687"/>
      <c r="X905" s="687"/>
      <c r="Y905" s="687"/>
      <c r="Z905" s="687"/>
    </row>
    <row r="906" customHeight="1" spans="1:26">
      <c r="A906" s="686"/>
      <c r="B906" s="686"/>
      <c r="C906" s="686"/>
      <c r="D906" s="687"/>
      <c r="E906" s="687"/>
      <c r="F906" s="687"/>
      <c r="G906" s="687"/>
      <c r="H906" s="687"/>
      <c r="I906" s="687"/>
      <c r="J906" s="687"/>
      <c r="K906" s="687"/>
      <c r="L906" s="687"/>
      <c r="M906" s="687"/>
      <c r="N906" s="687"/>
      <c r="O906" s="687"/>
      <c r="P906" s="687"/>
      <c r="Q906" s="687"/>
      <c r="R906" s="687"/>
      <c r="S906" s="687"/>
      <c r="T906" s="687"/>
      <c r="U906" s="687"/>
      <c r="V906" s="687"/>
      <c r="W906" s="687"/>
      <c r="X906" s="687"/>
      <c r="Y906" s="687"/>
      <c r="Z906" s="687"/>
    </row>
    <row r="907" customHeight="1" spans="1:26">
      <c r="A907" s="686"/>
      <c r="B907" s="686"/>
      <c r="C907" s="686"/>
      <c r="D907" s="687"/>
      <c r="E907" s="687"/>
      <c r="F907" s="687"/>
      <c r="G907" s="687"/>
      <c r="H907" s="687"/>
      <c r="I907" s="687"/>
      <c r="J907" s="687"/>
      <c r="K907" s="687"/>
      <c r="L907" s="687"/>
      <c r="M907" s="687"/>
      <c r="N907" s="687"/>
      <c r="O907" s="687"/>
      <c r="P907" s="687"/>
      <c r="Q907" s="687"/>
      <c r="R907" s="687"/>
      <c r="S907" s="687"/>
      <c r="T907" s="687"/>
      <c r="U907" s="687"/>
      <c r="V907" s="687"/>
      <c r="W907" s="687"/>
      <c r="X907" s="687"/>
      <c r="Y907" s="687"/>
      <c r="Z907" s="687"/>
    </row>
    <row r="908" customHeight="1" spans="1:26">
      <c r="A908" s="686"/>
      <c r="B908" s="686"/>
      <c r="C908" s="686"/>
      <c r="D908" s="687"/>
      <c r="E908" s="687"/>
      <c r="F908" s="687"/>
      <c r="G908" s="687"/>
      <c r="H908" s="687"/>
      <c r="I908" s="687"/>
      <c r="J908" s="687"/>
      <c r="K908" s="687"/>
      <c r="L908" s="687"/>
      <c r="M908" s="687"/>
      <c r="N908" s="687"/>
      <c r="O908" s="687"/>
      <c r="P908" s="687"/>
      <c r="Q908" s="687"/>
      <c r="R908" s="687"/>
      <c r="S908" s="687"/>
      <c r="T908" s="687"/>
      <c r="U908" s="687"/>
      <c r="V908" s="687"/>
      <c r="W908" s="687"/>
      <c r="X908" s="687"/>
      <c r="Y908" s="687"/>
      <c r="Z908" s="687"/>
    </row>
    <row r="909" customHeight="1" spans="1:26">
      <c r="A909" s="686"/>
      <c r="B909" s="686"/>
      <c r="C909" s="686"/>
      <c r="D909" s="687"/>
      <c r="E909" s="687"/>
      <c r="F909" s="687"/>
      <c r="G909" s="687"/>
      <c r="H909" s="687"/>
      <c r="I909" s="687"/>
      <c r="J909" s="687"/>
      <c r="K909" s="687"/>
      <c r="L909" s="687"/>
      <c r="M909" s="687"/>
      <c r="N909" s="687"/>
      <c r="O909" s="687"/>
      <c r="P909" s="687"/>
      <c r="Q909" s="687"/>
      <c r="R909" s="687"/>
      <c r="S909" s="687"/>
      <c r="T909" s="687"/>
      <c r="U909" s="687"/>
      <c r="V909" s="687"/>
      <c r="W909" s="687"/>
      <c r="X909" s="687"/>
      <c r="Y909" s="687"/>
      <c r="Z909" s="687"/>
    </row>
    <row r="910" customHeight="1" spans="1:26">
      <c r="A910" s="686"/>
      <c r="B910" s="686"/>
      <c r="C910" s="686"/>
      <c r="D910" s="687"/>
      <c r="E910" s="687"/>
      <c r="F910" s="687"/>
      <c r="G910" s="687"/>
      <c r="H910" s="687"/>
      <c r="I910" s="687"/>
      <c r="J910" s="687"/>
      <c r="K910" s="687"/>
      <c r="L910" s="687"/>
      <c r="M910" s="687"/>
      <c r="N910" s="687"/>
      <c r="O910" s="687"/>
      <c r="P910" s="687"/>
      <c r="Q910" s="687"/>
      <c r="R910" s="687"/>
      <c r="S910" s="687"/>
      <c r="T910" s="687"/>
      <c r="U910" s="687"/>
      <c r="V910" s="687"/>
      <c r="W910" s="687"/>
      <c r="X910" s="687"/>
      <c r="Y910" s="687"/>
      <c r="Z910" s="687"/>
    </row>
    <row r="911" customHeight="1" spans="1:26">
      <c r="A911" s="686"/>
      <c r="B911" s="686"/>
      <c r="C911" s="686"/>
      <c r="D911" s="687"/>
      <c r="E911" s="687"/>
      <c r="F911" s="687"/>
      <c r="G911" s="687"/>
      <c r="H911" s="687"/>
      <c r="I911" s="687"/>
      <c r="J911" s="687"/>
      <c r="K911" s="687"/>
      <c r="L911" s="687"/>
      <c r="M911" s="687"/>
      <c r="N911" s="687"/>
      <c r="O911" s="687"/>
      <c r="P911" s="687"/>
      <c r="Q911" s="687"/>
      <c r="R911" s="687"/>
      <c r="S911" s="687"/>
      <c r="T911" s="687"/>
      <c r="U911" s="687"/>
      <c r="V911" s="687"/>
      <c r="W911" s="687"/>
      <c r="X911" s="687"/>
      <c r="Y911" s="687"/>
      <c r="Z911" s="687"/>
    </row>
    <row r="912" customHeight="1" spans="1:26">
      <c r="A912" s="686"/>
      <c r="B912" s="686"/>
      <c r="C912" s="686"/>
      <c r="D912" s="687"/>
      <c r="E912" s="687"/>
      <c r="F912" s="687"/>
      <c r="G912" s="687"/>
      <c r="H912" s="687"/>
      <c r="I912" s="687"/>
      <c r="J912" s="687"/>
      <c r="K912" s="687"/>
      <c r="L912" s="687"/>
      <c r="M912" s="687"/>
      <c r="N912" s="687"/>
      <c r="O912" s="687"/>
      <c r="P912" s="687"/>
      <c r="Q912" s="687"/>
      <c r="R912" s="687"/>
      <c r="S912" s="687"/>
      <c r="T912" s="687"/>
      <c r="U912" s="687"/>
      <c r="V912" s="687"/>
      <c r="W912" s="687"/>
      <c r="X912" s="687"/>
      <c r="Y912" s="687"/>
      <c r="Z912" s="687"/>
    </row>
    <row r="913" customHeight="1" spans="1:26">
      <c r="A913" s="686"/>
      <c r="B913" s="686"/>
      <c r="C913" s="686"/>
      <c r="D913" s="687"/>
      <c r="E913" s="687"/>
      <c r="F913" s="687"/>
      <c r="G913" s="687"/>
      <c r="H913" s="687"/>
      <c r="I913" s="687"/>
      <c r="J913" s="687"/>
      <c r="K913" s="687"/>
      <c r="L913" s="687"/>
      <c r="M913" s="687"/>
      <c r="N913" s="687"/>
      <c r="O913" s="687"/>
      <c r="P913" s="687"/>
      <c r="Q913" s="687"/>
      <c r="R913" s="687"/>
      <c r="S913" s="687"/>
      <c r="T913" s="687"/>
      <c r="U913" s="687"/>
      <c r="V913" s="687"/>
      <c r="W913" s="687"/>
      <c r="X913" s="687"/>
      <c r="Y913" s="687"/>
      <c r="Z913" s="687"/>
    </row>
    <row r="914" customHeight="1" spans="1:26">
      <c r="A914" s="686"/>
      <c r="B914" s="686"/>
      <c r="C914" s="686"/>
      <c r="D914" s="687"/>
      <c r="E914" s="687"/>
      <c r="F914" s="687"/>
      <c r="G914" s="687"/>
      <c r="H914" s="687"/>
      <c r="I914" s="687"/>
      <c r="J914" s="687"/>
      <c r="K914" s="687"/>
      <c r="L914" s="687"/>
      <c r="M914" s="687"/>
      <c r="N914" s="687"/>
      <c r="O914" s="687"/>
      <c r="P914" s="687"/>
      <c r="Q914" s="687"/>
      <c r="R914" s="687"/>
      <c r="S914" s="687"/>
      <c r="T914" s="687"/>
      <c r="U914" s="687"/>
      <c r="V914" s="687"/>
      <c r="W914" s="687"/>
      <c r="X914" s="687"/>
      <c r="Y914" s="687"/>
      <c r="Z914" s="687"/>
    </row>
    <row r="915" customHeight="1" spans="1:26">
      <c r="A915" s="686"/>
      <c r="B915" s="686"/>
      <c r="C915" s="686"/>
      <c r="D915" s="687"/>
      <c r="E915" s="687"/>
      <c r="F915" s="687"/>
      <c r="G915" s="687"/>
      <c r="H915" s="687"/>
      <c r="I915" s="687"/>
      <c r="J915" s="687"/>
      <c r="K915" s="687"/>
      <c r="L915" s="687"/>
      <c r="M915" s="687"/>
      <c r="N915" s="687"/>
      <c r="O915" s="687"/>
      <c r="P915" s="687"/>
      <c r="Q915" s="687"/>
      <c r="R915" s="687"/>
      <c r="S915" s="687"/>
      <c r="T915" s="687"/>
      <c r="U915" s="687"/>
      <c r="V915" s="687"/>
      <c r="W915" s="687"/>
      <c r="X915" s="687"/>
      <c r="Y915" s="687"/>
      <c r="Z915" s="687"/>
    </row>
    <row r="916" customHeight="1" spans="1:26">
      <c r="A916" s="686"/>
      <c r="B916" s="686"/>
      <c r="C916" s="686"/>
      <c r="D916" s="687"/>
      <c r="E916" s="687"/>
      <c r="F916" s="687"/>
      <c r="G916" s="687"/>
      <c r="H916" s="687"/>
      <c r="I916" s="687"/>
      <c r="J916" s="687"/>
      <c r="K916" s="687"/>
      <c r="L916" s="687"/>
      <c r="M916" s="687"/>
      <c r="N916" s="687"/>
      <c r="O916" s="687"/>
      <c r="P916" s="687"/>
      <c r="Q916" s="687"/>
      <c r="R916" s="687"/>
      <c r="S916" s="687"/>
      <c r="T916" s="687"/>
      <c r="U916" s="687"/>
      <c r="V916" s="687"/>
      <c r="W916" s="687"/>
      <c r="X916" s="687"/>
      <c r="Y916" s="687"/>
      <c r="Z916" s="687"/>
    </row>
    <row r="917" customHeight="1" spans="1:26">
      <c r="A917" s="686"/>
      <c r="B917" s="686"/>
      <c r="C917" s="686"/>
      <c r="D917" s="687"/>
      <c r="E917" s="687"/>
      <c r="F917" s="687"/>
      <c r="G917" s="687"/>
      <c r="H917" s="687"/>
      <c r="I917" s="687"/>
      <c r="J917" s="687"/>
      <c r="K917" s="687"/>
      <c r="L917" s="687"/>
      <c r="M917" s="687"/>
      <c r="N917" s="687"/>
      <c r="O917" s="687"/>
      <c r="P917" s="687"/>
      <c r="Q917" s="687"/>
      <c r="R917" s="687"/>
      <c r="S917" s="687"/>
      <c r="T917" s="687"/>
      <c r="U917" s="687"/>
      <c r="V917" s="687"/>
      <c r="W917" s="687"/>
      <c r="X917" s="687"/>
      <c r="Y917" s="687"/>
      <c r="Z917" s="687"/>
    </row>
    <row r="918" customHeight="1" spans="1:26">
      <c r="A918" s="686"/>
      <c r="B918" s="686"/>
      <c r="C918" s="686"/>
      <c r="D918" s="687"/>
      <c r="E918" s="687"/>
      <c r="F918" s="687"/>
      <c r="G918" s="687"/>
      <c r="H918" s="687"/>
      <c r="I918" s="687"/>
      <c r="J918" s="687"/>
      <c r="K918" s="687"/>
      <c r="L918" s="687"/>
      <c r="M918" s="687"/>
      <c r="N918" s="687"/>
      <c r="O918" s="687"/>
      <c r="P918" s="687"/>
      <c r="Q918" s="687"/>
      <c r="R918" s="687"/>
      <c r="S918" s="687"/>
      <c r="T918" s="687"/>
      <c r="U918" s="687"/>
      <c r="V918" s="687"/>
      <c r="W918" s="687"/>
      <c r="X918" s="687"/>
      <c r="Y918" s="687"/>
      <c r="Z918" s="687"/>
    </row>
    <row r="919" customHeight="1" spans="1:26">
      <c r="A919" s="686"/>
      <c r="B919" s="686"/>
      <c r="C919" s="686"/>
      <c r="D919" s="687"/>
      <c r="E919" s="687"/>
      <c r="F919" s="687"/>
      <c r="G919" s="687"/>
      <c r="H919" s="687"/>
      <c r="I919" s="687"/>
      <c r="J919" s="687"/>
      <c r="K919" s="687"/>
      <c r="L919" s="687"/>
      <c r="M919" s="687"/>
      <c r="N919" s="687"/>
      <c r="O919" s="687"/>
      <c r="P919" s="687"/>
      <c r="Q919" s="687"/>
      <c r="R919" s="687"/>
      <c r="S919" s="687"/>
      <c r="T919" s="687"/>
      <c r="U919" s="687"/>
      <c r="V919" s="687"/>
      <c r="W919" s="687"/>
      <c r="X919" s="687"/>
      <c r="Y919" s="687"/>
      <c r="Z919" s="687"/>
    </row>
    <row r="920" customHeight="1" spans="1:26">
      <c r="A920" s="686"/>
      <c r="B920" s="686"/>
      <c r="C920" s="686"/>
      <c r="D920" s="687"/>
      <c r="E920" s="687"/>
      <c r="F920" s="687"/>
      <c r="G920" s="687"/>
      <c r="H920" s="687"/>
      <c r="I920" s="687"/>
      <c r="J920" s="687"/>
      <c r="K920" s="687"/>
      <c r="L920" s="687"/>
      <c r="M920" s="687"/>
      <c r="N920" s="687"/>
      <c r="O920" s="687"/>
      <c r="P920" s="687"/>
      <c r="Q920" s="687"/>
      <c r="R920" s="687"/>
      <c r="S920" s="687"/>
      <c r="T920" s="687"/>
      <c r="U920" s="687"/>
      <c r="V920" s="687"/>
      <c r="W920" s="687"/>
      <c r="X920" s="687"/>
      <c r="Y920" s="687"/>
      <c r="Z920" s="687"/>
    </row>
    <row r="921" customHeight="1" spans="1:26">
      <c r="A921" s="686"/>
      <c r="B921" s="686"/>
      <c r="C921" s="686"/>
      <c r="D921" s="687"/>
      <c r="E921" s="687"/>
      <c r="F921" s="687"/>
      <c r="G921" s="687"/>
      <c r="H921" s="687"/>
      <c r="I921" s="687"/>
      <c r="J921" s="687"/>
      <c r="K921" s="687"/>
      <c r="L921" s="687"/>
      <c r="M921" s="687"/>
      <c r="N921" s="687"/>
      <c r="O921" s="687"/>
      <c r="P921" s="687"/>
      <c r="Q921" s="687"/>
      <c r="R921" s="687"/>
      <c r="S921" s="687"/>
      <c r="T921" s="687"/>
      <c r="U921" s="687"/>
      <c r="V921" s="687"/>
      <c r="W921" s="687"/>
      <c r="X921" s="687"/>
      <c r="Y921" s="687"/>
      <c r="Z921" s="687"/>
    </row>
    <row r="922" customHeight="1" spans="1:26">
      <c r="A922" s="686"/>
      <c r="B922" s="686"/>
      <c r="C922" s="686"/>
      <c r="D922" s="687"/>
      <c r="E922" s="687"/>
      <c r="F922" s="687"/>
      <c r="G922" s="687"/>
      <c r="H922" s="687"/>
      <c r="I922" s="687"/>
      <c r="J922" s="687"/>
      <c r="K922" s="687"/>
      <c r="L922" s="687"/>
      <c r="M922" s="687"/>
      <c r="N922" s="687"/>
      <c r="O922" s="687"/>
      <c r="P922" s="687"/>
      <c r="Q922" s="687"/>
      <c r="R922" s="687"/>
      <c r="S922" s="687"/>
      <c r="T922" s="687"/>
      <c r="U922" s="687"/>
      <c r="V922" s="687"/>
      <c r="W922" s="687"/>
      <c r="X922" s="687"/>
      <c r="Y922" s="687"/>
      <c r="Z922" s="687"/>
    </row>
    <row r="923" customHeight="1" spans="1:26">
      <c r="A923" s="686"/>
      <c r="B923" s="686"/>
      <c r="C923" s="686"/>
      <c r="D923" s="687"/>
      <c r="E923" s="687"/>
      <c r="F923" s="687"/>
      <c r="G923" s="687"/>
      <c r="H923" s="687"/>
      <c r="I923" s="687"/>
      <c r="J923" s="687"/>
      <c r="K923" s="687"/>
      <c r="L923" s="687"/>
      <c r="M923" s="687"/>
      <c r="N923" s="687"/>
      <c r="O923" s="687"/>
      <c r="P923" s="687"/>
      <c r="Q923" s="687"/>
      <c r="R923" s="687"/>
      <c r="S923" s="687"/>
      <c r="T923" s="687"/>
      <c r="U923" s="687"/>
      <c r="V923" s="687"/>
      <c r="W923" s="687"/>
      <c r="X923" s="687"/>
      <c r="Y923" s="687"/>
      <c r="Z923" s="687"/>
    </row>
    <row r="924" customHeight="1" spans="1:26">
      <c r="A924" s="686"/>
      <c r="B924" s="686"/>
      <c r="C924" s="686"/>
      <c r="D924" s="687"/>
      <c r="E924" s="687"/>
      <c r="F924" s="687"/>
      <c r="G924" s="687"/>
      <c r="H924" s="687"/>
      <c r="I924" s="687"/>
      <c r="J924" s="687"/>
      <c r="K924" s="687"/>
      <c r="L924" s="687"/>
      <c r="M924" s="687"/>
      <c r="N924" s="687"/>
      <c r="O924" s="687"/>
      <c r="P924" s="687"/>
      <c r="Q924" s="687"/>
      <c r="R924" s="687"/>
      <c r="S924" s="687"/>
      <c r="T924" s="687"/>
      <c r="U924" s="687"/>
      <c r="V924" s="687"/>
      <c r="W924" s="687"/>
      <c r="X924" s="687"/>
      <c r="Y924" s="687"/>
      <c r="Z924" s="687"/>
    </row>
    <row r="925" customHeight="1" spans="1:26">
      <c r="A925" s="686"/>
      <c r="B925" s="686"/>
      <c r="C925" s="686"/>
      <c r="D925" s="687"/>
      <c r="E925" s="687"/>
      <c r="F925" s="687"/>
      <c r="G925" s="687"/>
      <c r="H925" s="687"/>
      <c r="I925" s="687"/>
      <c r="J925" s="687"/>
      <c r="K925" s="687"/>
      <c r="L925" s="687"/>
      <c r="M925" s="687"/>
      <c r="N925" s="687"/>
      <c r="O925" s="687"/>
      <c r="P925" s="687"/>
      <c r="Q925" s="687"/>
      <c r="R925" s="687"/>
      <c r="S925" s="687"/>
      <c r="T925" s="687"/>
      <c r="U925" s="687"/>
      <c r="V925" s="687"/>
      <c r="W925" s="687"/>
      <c r="X925" s="687"/>
      <c r="Y925" s="687"/>
      <c r="Z925" s="687"/>
    </row>
    <row r="926" customHeight="1" spans="1:26">
      <c r="A926" s="686"/>
      <c r="B926" s="686"/>
      <c r="C926" s="686"/>
      <c r="D926" s="687"/>
      <c r="E926" s="687"/>
      <c r="F926" s="687"/>
      <c r="G926" s="687"/>
      <c r="H926" s="687"/>
      <c r="I926" s="687"/>
      <c r="J926" s="687"/>
      <c r="K926" s="687"/>
      <c r="L926" s="687"/>
      <c r="M926" s="687"/>
      <c r="N926" s="687"/>
      <c r="O926" s="687"/>
      <c r="P926" s="687"/>
      <c r="Q926" s="687"/>
      <c r="R926" s="687"/>
      <c r="S926" s="687"/>
      <c r="T926" s="687"/>
      <c r="U926" s="687"/>
      <c r="V926" s="687"/>
      <c r="W926" s="687"/>
      <c r="X926" s="687"/>
      <c r="Y926" s="687"/>
      <c r="Z926" s="687"/>
    </row>
    <row r="927" customHeight="1" spans="1:26">
      <c r="A927" s="686"/>
      <c r="B927" s="686"/>
      <c r="C927" s="686"/>
      <c r="D927" s="687"/>
      <c r="E927" s="687"/>
      <c r="F927" s="687"/>
      <c r="G927" s="687"/>
      <c r="H927" s="687"/>
      <c r="I927" s="687"/>
      <c r="J927" s="687"/>
      <c r="K927" s="687"/>
      <c r="L927" s="687"/>
      <c r="M927" s="687"/>
      <c r="N927" s="687"/>
      <c r="O927" s="687"/>
      <c r="P927" s="687"/>
      <c r="Q927" s="687"/>
      <c r="R927" s="687"/>
      <c r="S927" s="687"/>
      <c r="T927" s="687"/>
      <c r="U927" s="687"/>
      <c r="V927" s="687"/>
      <c r="W927" s="687"/>
      <c r="X927" s="687"/>
      <c r="Y927" s="687"/>
      <c r="Z927" s="687"/>
    </row>
    <row r="928" customHeight="1" spans="1:26">
      <c r="A928" s="686"/>
      <c r="B928" s="686"/>
      <c r="C928" s="686"/>
      <c r="D928" s="687"/>
      <c r="E928" s="687"/>
      <c r="F928" s="687"/>
      <c r="G928" s="687"/>
      <c r="H928" s="687"/>
      <c r="I928" s="687"/>
      <c r="J928" s="687"/>
      <c r="K928" s="687"/>
      <c r="L928" s="687"/>
      <c r="M928" s="687"/>
      <c r="N928" s="687"/>
      <c r="O928" s="687"/>
      <c r="P928" s="687"/>
      <c r="Q928" s="687"/>
      <c r="R928" s="687"/>
      <c r="S928" s="687"/>
      <c r="T928" s="687"/>
      <c r="U928" s="687"/>
      <c r="V928" s="687"/>
      <c r="W928" s="687"/>
      <c r="X928" s="687"/>
      <c r="Y928" s="687"/>
      <c r="Z928" s="687"/>
    </row>
    <row r="929" customHeight="1" spans="1:26">
      <c r="A929" s="686"/>
      <c r="B929" s="686"/>
      <c r="C929" s="686"/>
      <c r="D929" s="687"/>
      <c r="E929" s="687"/>
      <c r="F929" s="687"/>
      <c r="G929" s="687"/>
      <c r="H929" s="687"/>
      <c r="I929" s="687"/>
      <c r="J929" s="687"/>
      <c r="K929" s="687"/>
      <c r="L929" s="687"/>
      <c r="M929" s="687"/>
      <c r="N929" s="687"/>
      <c r="O929" s="687"/>
      <c r="P929" s="687"/>
      <c r="Q929" s="687"/>
      <c r="R929" s="687"/>
      <c r="S929" s="687"/>
      <c r="T929" s="687"/>
      <c r="U929" s="687"/>
      <c r="V929" s="687"/>
      <c r="W929" s="687"/>
      <c r="X929" s="687"/>
      <c r="Y929" s="687"/>
      <c r="Z929" s="687"/>
    </row>
    <row r="930" customHeight="1" spans="1:26">
      <c r="A930" s="686"/>
      <c r="B930" s="686"/>
      <c r="C930" s="686"/>
      <c r="D930" s="687"/>
      <c r="E930" s="687"/>
      <c r="F930" s="687"/>
      <c r="G930" s="687"/>
      <c r="H930" s="687"/>
      <c r="I930" s="687"/>
      <c r="J930" s="687"/>
      <c r="K930" s="687"/>
      <c r="L930" s="687"/>
      <c r="M930" s="687"/>
      <c r="N930" s="687"/>
      <c r="O930" s="687"/>
      <c r="P930" s="687"/>
      <c r="Q930" s="687"/>
      <c r="R930" s="687"/>
      <c r="S930" s="687"/>
      <c r="T930" s="687"/>
      <c r="U930" s="687"/>
      <c r="V930" s="687"/>
      <c r="W930" s="687"/>
      <c r="X930" s="687"/>
      <c r="Y930" s="687"/>
      <c r="Z930" s="687"/>
    </row>
    <row r="931" customHeight="1" spans="1:26">
      <c r="A931" s="686"/>
      <c r="B931" s="686"/>
      <c r="C931" s="686"/>
      <c r="D931" s="687"/>
      <c r="E931" s="687"/>
      <c r="F931" s="687"/>
      <c r="G931" s="687"/>
      <c r="H931" s="687"/>
      <c r="I931" s="687"/>
      <c r="J931" s="687"/>
      <c r="K931" s="687"/>
      <c r="L931" s="687"/>
      <c r="M931" s="687"/>
      <c r="N931" s="687"/>
      <c r="O931" s="687"/>
      <c r="P931" s="687"/>
      <c r="Q931" s="687"/>
      <c r="R931" s="687"/>
      <c r="S931" s="687"/>
      <c r="T931" s="687"/>
      <c r="U931" s="687"/>
      <c r="V931" s="687"/>
      <c r="W931" s="687"/>
      <c r="X931" s="687"/>
      <c r="Y931" s="687"/>
      <c r="Z931" s="687"/>
    </row>
    <row r="932" customHeight="1" spans="1:26">
      <c r="A932" s="686"/>
      <c r="B932" s="686"/>
      <c r="C932" s="686"/>
      <c r="D932" s="687"/>
      <c r="E932" s="687"/>
      <c r="F932" s="687"/>
      <c r="G932" s="687"/>
      <c r="H932" s="687"/>
      <c r="I932" s="687"/>
      <c r="J932" s="687"/>
      <c r="K932" s="687"/>
      <c r="L932" s="687"/>
      <c r="M932" s="687"/>
      <c r="N932" s="687"/>
      <c r="O932" s="687"/>
      <c r="P932" s="687"/>
      <c r="Q932" s="687"/>
      <c r="R932" s="687"/>
      <c r="S932" s="687"/>
      <c r="T932" s="687"/>
      <c r="U932" s="687"/>
      <c r="V932" s="687"/>
      <c r="W932" s="687"/>
      <c r="X932" s="687"/>
      <c r="Y932" s="687"/>
      <c r="Z932" s="687"/>
    </row>
    <row r="933" customHeight="1" spans="1:26">
      <c r="A933" s="686"/>
      <c r="B933" s="686"/>
      <c r="C933" s="686"/>
      <c r="D933" s="687"/>
      <c r="E933" s="687"/>
      <c r="F933" s="687"/>
      <c r="G933" s="687"/>
      <c r="H933" s="687"/>
      <c r="I933" s="687"/>
      <c r="J933" s="687"/>
      <c r="K933" s="687"/>
      <c r="L933" s="687"/>
      <c r="M933" s="687"/>
      <c r="N933" s="687"/>
      <c r="O933" s="687"/>
      <c r="P933" s="687"/>
      <c r="Q933" s="687"/>
      <c r="R933" s="687"/>
      <c r="S933" s="687"/>
      <c r="T933" s="687"/>
      <c r="U933" s="687"/>
      <c r="V933" s="687"/>
      <c r="W933" s="687"/>
      <c r="X933" s="687"/>
      <c r="Y933" s="687"/>
      <c r="Z933" s="687"/>
    </row>
    <row r="934" customHeight="1" spans="1:26">
      <c r="A934" s="686"/>
      <c r="B934" s="686"/>
      <c r="C934" s="686"/>
      <c r="D934" s="687"/>
      <c r="E934" s="687"/>
      <c r="F934" s="687"/>
      <c r="G934" s="687"/>
      <c r="H934" s="687"/>
      <c r="I934" s="687"/>
      <c r="J934" s="687"/>
      <c r="K934" s="687"/>
      <c r="L934" s="687"/>
      <c r="M934" s="687"/>
      <c r="N934" s="687"/>
      <c r="O934" s="687"/>
      <c r="P934" s="687"/>
      <c r="Q934" s="687"/>
      <c r="R934" s="687"/>
      <c r="S934" s="687"/>
      <c r="T934" s="687"/>
      <c r="U934" s="687"/>
      <c r="V934" s="687"/>
      <c r="W934" s="687"/>
      <c r="X934" s="687"/>
      <c r="Y934" s="687"/>
      <c r="Z934" s="687"/>
    </row>
    <row r="935" customHeight="1" spans="1:26">
      <c r="A935" s="686"/>
      <c r="B935" s="686"/>
      <c r="C935" s="686"/>
      <c r="D935" s="687"/>
      <c r="E935" s="687"/>
      <c r="F935" s="687"/>
      <c r="G935" s="687"/>
      <c r="H935" s="687"/>
      <c r="I935" s="687"/>
      <c r="J935" s="687"/>
      <c r="K935" s="687"/>
      <c r="L935" s="687"/>
      <c r="M935" s="687"/>
      <c r="N935" s="687"/>
      <c r="O935" s="687"/>
      <c r="P935" s="687"/>
      <c r="Q935" s="687"/>
      <c r="R935" s="687"/>
      <c r="S935" s="687"/>
      <c r="T935" s="687"/>
      <c r="U935" s="687"/>
      <c r="V935" s="687"/>
      <c r="W935" s="687"/>
      <c r="X935" s="687"/>
      <c r="Y935" s="687"/>
      <c r="Z935" s="687"/>
    </row>
    <row r="936" customHeight="1" spans="1:26">
      <c r="A936" s="686"/>
      <c r="B936" s="686"/>
      <c r="C936" s="686"/>
      <c r="D936" s="687"/>
      <c r="E936" s="687"/>
      <c r="F936" s="687"/>
      <c r="G936" s="687"/>
      <c r="H936" s="687"/>
      <c r="I936" s="687"/>
      <c r="J936" s="687"/>
      <c r="K936" s="687"/>
      <c r="L936" s="687"/>
      <c r="M936" s="687"/>
      <c r="N936" s="687"/>
      <c r="O936" s="687"/>
      <c r="P936" s="687"/>
      <c r="Q936" s="687"/>
      <c r="R936" s="687"/>
      <c r="S936" s="687"/>
      <c r="T936" s="687"/>
      <c r="U936" s="687"/>
      <c r="V936" s="687"/>
      <c r="W936" s="687"/>
      <c r="X936" s="687"/>
      <c r="Y936" s="687"/>
      <c r="Z936" s="687"/>
    </row>
    <row r="937" customHeight="1" spans="1:26">
      <c r="A937" s="686"/>
      <c r="B937" s="686"/>
      <c r="C937" s="686"/>
      <c r="D937" s="687"/>
      <c r="E937" s="687"/>
      <c r="F937" s="687"/>
      <c r="G937" s="687"/>
      <c r="H937" s="687"/>
      <c r="I937" s="687"/>
      <c r="J937" s="687"/>
      <c r="K937" s="687"/>
      <c r="L937" s="687"/>
      <c r="M937" s="687"/>
      <c r="N937" s="687"/>
      <c r="O937" s="687"/>
      <c r="P937" s="687"/>
      <c r="Q937" s="687"/>
      <c r="R937" s="687"/>
      <c r="S937" s="687"/>
      <c r="T937" s="687"/>
      <c r="U937" s="687"/>
      <c r="V937" s="687"/>
      <c r="W937" s="687"/>
      <c r="X937" s="687"/>
      <c r="Y937" s="687"/>
      <c r="Z937" s="687"/>
    </row>
    <row r="938" customHeight="1" spans="1:26">
      <c r="A938" s="686"/>
      <c r="B938" s="686"/>
      <c r="C938" s="686"/>
      <c r="D938" s="687"/>
      <c r="E938" s="687"/>
      <c r="F938" s="687"/>
      <c r="G938" s="687"/>
      <c r="H938" s="687"/>
      <c r="I938" s="687"/>
      <c r="J938" s="687"/>
      <c r="K938" s="687"/>
      <c r="L938" s="687"/>
      <c r="M938" s="687"/>
      <c r="N938" s="687"/>
      <c r="O938" s="687"/>
      <c r="P938" s="687"/>
      <c r="Q938" s="687"/>
      <c r="R938" s="687"/>
      <c r="S938" s="687"/>
      <c r="T938" s="687"/>
      <c r="U938" s="687"/>
      <c r="V938" s="687"/>
      <c r="W938" s="687"/>
      <c r="X938" s="687"/>
      <c r="Y938" s="687"/>
      <c r="Z938" s="687"/>
    </row>
    <row r="939" customHeight="1" spans="1:26">
      <c r="A939" s="686"/>
      <c r="B939" s="686"/>
      <c r="C939" s="686"/>
      <c r="D939" s="687"/>
      <c r="E939" s="687"/>
      <c r="F939" s="687"/>
      <c r="G939" s="687"/>
      <c r="H939" s="687"/>
      <c r="I939" s="687"/>
      <c r="J939" s="687"/>
      <c r="K939" s="687"/>
      <c r="L939" s="687"/>
      <c r="M939" s="687"/>
      <c r="N939" s="687"/>
      <c r="O939" s="687"/>
      <c r="P939" s="687"/>
      <c r="Q939" s="687"/>
      <c r="R939" s="687"/>
      <c r="S939" s="687"/>
      <c r="T939" s="687"/>
      <c r="U939" s="687"/>
      <c r="V939" s="687"/>
      <c r="W939" s="687"/>
      <c r="X939" s="687"/>
      <c r="Y939" s="687"/>
      <c r="Z939" s="687"/>
    </row>
    <row r="940" customHeight="1" spans="1:26">
      <c r="A940" s="686"/>
      <c r="B940" s="686"/>
      <c r="C940" s="686"/>
      <c r="D940" s="687"/>
      <c r="E940" s="687"/>
      <c r="F940" s="687"/>
      <c r="G940" s="687"/>
      <c r="H940" s="687"/>
      <c r="I940" s="687"/>
      <c r="J940" s="687"/>
      <c r="K940" s="687"/>
      <c r="L940" s="687"/>
      <c r="M940" s="687"/>
      <c r="N940" s="687"/>
      <c r="O940" s="687"/>
      <c r="P940" s="687"/>
      <c r="Q940" s="687"/>
      <c r="R940" s="687"/>
      <c r="S940" s="687"/>
      <c r="T940" s="687"/>
      <c r="U940" s="687"/>
      <c r="V940" s="687"/>
      <c r="W940" s="687"/>
      <c r="X940" s="687"/>
      <c r="Y940" s="687"/>
      <c r="Z940" s="687"/>
    </row>
    <row r="941" customHeight="1" spans="1:26">
      <c r="A941" s="686"/>
      <c r="B941" s="686"/>
      <c r="C941" s="686"/>
      <c r="D941" s="687"/>
      <c r="E941" s="687"/>
      <c r="F941" s="687"/>
      <c r="G941" s="687"/>
      <c r="H941" s="687"/>
      <c r="I941" s="687"/>
      <c r="J941" s="687"/>
      <c r="K941" s="687"/>
      <c r="L941" s="687"/>
      <c r="M941" s="687"/>
      <c r="N941" s="687"/>
      <c r="O941" s="687"/>
      <c r="P941" s="687"/>
      <c r="Q941" s="687"/>
      <c r="R941" s="687"/>
      <c r="S941" s="687"/>
      <c r="T941" s="687"/>
      <c r="U941" s="687"/>
      <c r="V941" s="687"/>
      <c r="W941" s="687"/>
      <c r="X941" s="687"/>
      <c r="Y941" s="687"/>
      <c r="Z941" s="687"/>
    </row>
    <row r="942" customHeight="1" spans="1:26">
      <c r="A942" s="686"/>
      <c r="B942" s="686"/>
      <c r="C942" s="686"/>
      <c r="D942" s="687"/>
      <c r="E942" s="687"/>
      <c r="F942" s="687"/>
      <c r="G942" s="687"/>
      <c r="H942" s="687"/>
      <c r="I942" s="687"/>
      <c r="J942" s="687"/>
      <c r="K942" s="687"/>
      <c r="L942" s="687"/>
      <c r="M942" s="687"/>
      <c r="N942" s="687"/>
      <c r="O942" s="687"/>
      <c r="P942" s="687"/>
      <c r="Q942" s="687"/>
      <c r="R942" s="687"/>
      <c r="S942" s="687"/>
      <c r="T942" s="687"/>
      <c r="U942" s="687"/>
      <c r="V942" s="687"/>
      <c r="W942" s="687"/>
      <c r="X942" s="687"/>
      <c r="Y942" s="687"/>
      <c r="Z942" s="687"/>
    </row>
    <row r="943" customHeight="1" spans="1:26">
      <c r="A943" s="686"/>
      <c r="B943" s="686"/>
      <c r="C943" s="686"/>
      <c r="D943" s="687"/>
      <c r="E943" s="687"/>
      <c r="F943" s="687"/>
      <c r="G943" s="687"/>
      <c r="H943" s="687"/>
      <c r="I943" s="687"/>
      <c r="J943" s="687"/>
      <c r="K943" s="687"/>
      <c r="L943" s="687"/>
      <c r="M943" s="687"/>
      <c r="N943" s="687"/>
      <c r="O943" s="687"/>
      <c r="P943" s="687"/>
      <c r="Q943" s="687"/>
      <c r="R943" s="687"/>
      <c r="S943" s="687"/>
      <c r="T943" s="687"/>
      <c r="U943" s="687"/>
      <c r="V943" s="687"/>
      <c r="W943" s="687"/>
      <c r="X943" s="687"/>
      <c r="Y943" s="687"/>
      <c r="Z943" s="687"/>
    </row>
    <row r="944" customHeight="1" spans="1:26">
      <c r="A944" s="686"/>
      <c r="B944" s="686"/>
      <c r="C944" s="686"/>
      <c r="D944" s="687"/>
      <c r="E944" s="687"/>
      <c r="F944" s="687"/>
      <c r="G944" s="687"/>
      <c r="H944" s="687"/>
      <c r="I944" s="687"/>
      <c r="J944" s="687"/>
      <c r="K944" s="687"/>
      <c r="L944" s="687"/>
      <c r="M944" s="687"/>
      <c r="N944" s="687"/>
      <c r="O944" s="687"/>
      <c r="P944" s="687"/>
      <c r="Q944" s="687"/>
      <c r="R944" s="687"/>
      <c r="S944" s="687"/>
      <c r="T944" s="687"/>
      <c r="U944" s="687"/>
      <c r="V944" s="687"/>
      <c r="W944" s="687"/>
      <c r="X944" s="687"/>
      <c r="Y944" s="687"/>
      <c r="Z944" s="687"/>
    </row>
    <row r="945" customHeight="1" spans="1:26">
      <c r="A945" s="686"/>
      <c r="B945" s="686"/>
      <c r="C945" s="686"/>
      <c r="D945" s="687"/>
      <c r="E945" s="687"/>
      <c r="F945" s="687"/>
      <c r="G945" s="687"/>
      <c r="H945" s="687"/>
      <c r="I945" s="687"/>
      <c r="J945" s="687"/>
      <c r="K945" s="687"/>
      <c r="L945" s="687"/>
      <c r="M945" s="687"/>
      <c r="N945" s="687"/>
      <c r="O945" s="687"/>
      <c r="P945" s="687"/>
      <c r="Q945" s="687"/>
      <c r="R945" s="687"/>
      <c r="S945" s="687"/>
      <c r="T945" s="687"/>
      <c r="U945" s="687"/>
      <c r="V945" s="687"/>
      <c r="W945" s="687"/>
      <c r="X945" s="687"/>
      <c r="Y945" s="687"/>
      <c r="Z945" s="687"/>
    </row>
    <row r="946" customHeight="1" spans="1:26">
      <c r="A946" s="686"/>
      <c r="B946" s="686"/>
      <c r="C946" s="686"/>
      <c r="D946" s="687"/>
      <c r="E946" s="687"/>
      <c r="F946" s="687"/>
      <c r="G946" s="687"/>
      <c r="H946" s="687"/>
      <c r="I946" s="687"/>
      <c r="J946" s="687"/>
      <c r="K946" s="687"/>
      <c r="L946" s="687"/>
      <c r="M946" s="687"/>
      <c r="N946" s="687"/>
      <c r="O946" s="687"/>
      <c r="P946" s="687"/>
      <c r="Q946" s="687"/>
      <c r="R946" s="687"/>
      <c r="S946" s="687"/>
      <c r="T946" s="687"/>
      <c r="U946" s="687"/>
      <c r="V946" s="687"/>
      <c r="W946" s="687"/>
      <c r="X946" s="687"/>
      <c r="Y946" s="687"/>
      <c r="Z946" s="687"/>
    </row>
    <row r="947" customHeight="1" spans="1:26">
      <c r="A947" s="686"/>
      <c r="B947" s="686"/>
      <c r="C947" s="686"/>
      <c r="D947" s="687"/>
      <c r="E947" s="687"/>
      <c r="F947" s="687"/>
      <c r="G947" s="687"/>
      <c r="H947" s="687"/>
      <c r="I947" s="687"/>
      <c r="J947" s="687"/>
      <c r="K947" s="687"/>
      <c r="L947" s="687"/>
      <c r="M947" s="687"/>
      <c r="N947" s="687"/>
      <c r="O947" s="687"/>
      <c r="P947" s="687"/>
      <c r="Q947" s="687"/>
      <c r="R947" s="687"/>
      <c r="S947" s="687"/>
      <c r="T947" s="687"/>
      <c r="U947" s="687"/>
      <c r="V947" s="687"/>
      <c r="W947" s="687"/>
      <c r="X947" s="687"/>
      <c r="Y947" s="687"/>
      <c r="Z947" s="687"/>
    </row>
    <row r="948" customHeight="1" spans="1:26">
      <c r="A948" s="686"/>
      <c r="B948" s="686"/>
      <c r="C948" s="686"/>
      <c r="D948" s="687"/>
      <c r="E948" s="687"/>
      <c r="F948" s="687"/>
      <c r="G948" s="687"/>
      <c r="H948" s="687"/>
      <c r="I948" s="687"/>
      <c r="J948" s="687"/>
      <c r="K948" s="687"/>
      <c r="L948" s="687"/>
      <c r="M948" s="687"/>
      <c r="N948" s="687"/>
      <c r="O948" s="687"/>
      <c r="P948" s="687"/>
      <c r="Q948" s="687"/>
      <c r="R948" s="687"/>
      <c r="S948" s="687"/>
      <c r="T948" s="687"/>
      <c r="U948" s="687"/>
      <c r="V948" s="687"/>
      <c r="W948" s="687"/>
      <c r="X948" s="687"/>
      <c r="Y948" s="687"/>
      <c r="Z948" s="687"/>
    </row>
    <row r="949" customHeight="1" spans="1:26">
      <c r="A949" s="686"/>
      <c r="B949" s="686"/>
      <c r="C949" s="686"/>
      <c r="D949" s="687"/>
      <c r="E949" s="687"/>
      <c r="F949" s="687"/>
      <c r="G949" s="687"/>
      <c r="H949" s="687"/>
      <c r="I949" s="687"/>
      <c r="J949" s="687"/>
      <c r="K949" s="687"/>
      <c r="L949" s="687"/>
      <c r="M949" s="687"/>
      <c r="N949" s="687"/>
      <c r="O949" s="687"/>
      <c r="P949" s="687"/>
      <c r="Q949" s="687"/>
      <c r="R949" s="687"/>
      <c r="S949" s="687"/>
      <c r="T949" s="687"/>
      <c r="U949" s="687"/>
      <c r="V949" s="687"/>
      <c r="W949" s="687"/>
      <c r="X949" s="687"/>
      <c r="Y949" s="687"/>
      <c r="Z949" s="687"/>
    </row>
    <row r="950" customHeight="1" spans="1:26">
      <c r="A950" s="686"/>
      <c r="B950" s="686"/>
      <c r="C950" s="686"/>
      <c r="D950" s="687"/>
      <c r="E950" s="687"/>
      <c r="F950" s="687"/>
      <c r="G950" s="687"/>
      <c r="H950" s="687"/>
      <c r="I950" s="687"/>
      <c r="J950" s="687"/>
      <c r="K950" s="687"/>
      <c r="L950" s="687"/>
      <c r="M950" s="687"/>
      <c r="N950" s="687"/>
      <c r="O950" s="687"/>
      <c r="P950" s="687"/>
      <c r="Q950" s="687"/>
      <c r="R950" s="687"/>
      <c r="S950" s="687"/>
      <c r="T950" s="687"/>
      <c r="U950" s="687"/>
      <c r="V950" s="687"/>
      <c r="W950" s="687"/>
      <c r="X950" s="687"/>
      <c r="Y950" s="687"/>
      <c r="Z950" s="687"/>
    </row>
    <row r="951" customHeight="1" spans="1:26">
      <c r="A951" s="686"/>
      <c r="B951" s="686"/>
      <c r="C951" s="686"/>
      <c r="D951" s="687"/>
      <c r="E951" s="687"/>
      <c r="F951" s="687"/>
      <c r="G951" s="687"/>
      <c r="H951" s="687"/>
      <c r="I951" s="687"/>
      <c r="J951" s="687"/>
      <c r="K951" s="687"/>
      <c r="L951" s="687"/>
      <c r="M951" s="687"/>
      <c r="N951" s="687"/>
      <c r="O951" s="687"/>
      <c r="P951" s="687"/>
      <c r="Q951" s="687"/>
      <c r="R951" s="687"/>
      <c r="S951" s="687"/>
      <c r="T951" s="687"/>
      <c r="U951" s="687"/>
      <c r="V951" s="687"/>
      <c r="W951" s="687"/>
      <c r="X951" s="687"/>
      <c r="Y951" s="687"/>
      <c r="Z951" s="687"/>
    </row>
    <row r="952" customHeight="1" spans="1:26">
      <c r="A952" s="686"/>
      <c r="B952" s="686"/>
      <c r="C952" s="686"/>
      <c r="D952" s="687"/>
      <c r="E952" s="687"/>
      <c r="F952" s="687"/>
      <c r="G952" s="687"/>
      <c r="H952" s="687"/>
      <c r="I952" s="687"/>
      <c r="J952" s="687"/>
      <c r="K952" s="687"/>
      <c r="L952" s="687"/>
      <c r="M952" s="687"/>
      <c r="N952" s="687"/>
      <c r="O952" s="687"/>
      <c r="P952" s="687"/>
      <c r="Q952" s="687"/>
      <c r="R952" s="687"/>
      <c r="S952" s="687"/>
      <c r="T952" s="687"/>
      <c r="U952" s="687"/>
      <c r="V952" s="687"/>
      <c r="W952" s="687"/>
      <c r="X952" s="687"/>
      <c r="Y952" s="687"/>
      <c r="Z952" s="687"/>
    </row>
    <row r="953" customHeight="1" spans="1:26">
      <c r="A953" s="686"/>
      <c r="B953" s="686"/>
      <c r="C953" s="686"/>
      <c r="D953" s="687"/>
      <c r="E953" s="687"/>
      <c r="F953" s="687"/>
      <c r="G953" s="687"/>
      <c r="H953" s="687"/>
      <c r="I953" s="687"/>
      <c r="J953" s="687"/>
      <c r="K953" s="687"/>
      <c r="L953" s="687"/>
      <c r="M953" s="687"/>
      <c r="N953" s="687"/>
      <c r="O953" s="687"/>
      <c r="P953" s="687"/>
      <c r="Q953" s="687"/>
      <c r="R953" s="687"/>
      <c r="S953" s="687"/>
      <c r="T953" s="687"/>
      <c r="U953" s="687"/>
      <c r="V953" s="687"/>
      <c r="W953" s="687"/>
      <c r="X953" s="687"/>
      <c r="Y953" s="687"/>
      <c r="Z953" s="687"/>
    </row>
    <row r="954" customHeight="1" spans="1:26">
      <c r="A954" s="686"/>
      <c r="B954" s="686"/>
      <c r="C954" s="686"/>
      <c r="D954" s="687"/>
      <c r="E954" s="687"/>
      <c r="F954" s="687"/>
      <c r="G954" s="687"/>
      <c r="H954" s="687"/>
      <c r="I954" s="687"/>
      <c r="J954" s="687"/>
      <c r="K954" s="687"/>
      <c r="L954" s="687"/>
      <c r="M954" s="687"/>
      <c r="N954" s="687"/>
      <c r="O954" s="687"/>
      <c r="P954" s="687"/>
      <c r="Q954" s="687"/>
      <c r="R954" s="687"/>
      <c r="S954" s="687"/>
      <c r="T954" s="687"/>
      <c r="U954" s="687"/>
      <c r="V954" s="687"/>
      <c r="W954" s="687"/>
      <c r="X954" s="687"/>
      <c r="Y954" s="687"/>
      <c r="Z954" s="687"/>
    </row>
    <row r="955" customHeight="1" spans="1:26">
      <c r="A955" s="686"/>
      <c r="B955" s="686"/>
      <c r="C955" s="686"/>
      <c r="D955" s="687"/>
      <c r="E955" s="687"/>
      <c r="F955" s="687"/>
      <c r="G955" s="687"/>
      <c r="H955" s="687"/>
      <c r="I955" s="687"/>
      <c r="J955" s="687"/>
      <c r="K955" s="687"/>
      <c r="L955" s="687"/>
      <c r="M955" s="687"/>
      <c r="N955" s="687"/>
      <c r="O955" s="687"/>
      <c r="P955" s="687"/>
      <c r="Q955" s="687"/>
      <c r="R955" s="687"/>
      <c r="S955" s="687"/>
      <c r="T955" s="687"/>
      <c r="U955" s="687"/>
      <c r="V955" s="687"/>
      <c r="W955" s="687"/>
      <c r="X955" s="687"/>
      <c r="Y955" s="687"/>
      <c r="Z955" s="687"/>
    </row>
    <row r="956" customHeight="1" spans="1:26">
      <c r="A956" s="686"/>
      <c r="B956" s="686"/>
      <c r="C956" s="686"/>
      <c r="D956" s="687"/>
      <c r="E956" s="687"/>
      <c r="F956" s="687"/>
      <c r="G956" s="687"/>
      <c r="H956" s="687"/>
      <c r="I956" s="687"/>
      <c r="J956" s="687"/>
      <c r="K956" s="687"/>
      <c r="L956" s="687"/>
      <c r="M956" s="687"/>
      <c r="N956" s="687"/>
      <c r="O956" s="687"/>
      <c r="P956" s="687"/>
      <c r="Q956" s="687"/>
      <c r="R956" s="687"/>
      <c r="S956" s="687"/>
      <c r="T956" s="687"/>
      <c r="U956" s="687"/>
      <c r="V956" s="687"/>
      <c r="W956" s="687"/>
      <c r="X956" s="687"/>
      <c r="Y956" s="687"/>
      <c r="Z956" s="687"/>
    </row>
    <row r="957" customHeight="1" spans="1:26">
      <c r="A957" s="686"/>
      <c r="B957" s="686"/>
      <c r="C957" s="686"/>
      <c r="D957" s="687"/>
      <c r="E957" s="687"/>
      <c r="F957" s="687"/>
      <c r="G957" s="687"/>
      <c r="H957" s="687"/>
      <c r="I957" s="687"/>
      <c r="J957" s="687"/>
      <c r="K957" s="687"/>
      <c r="L957" s="687"/>
      <c r="M957" s="687"/>
      <c r="N957" s="687"/>
      <c r="O957" s="687"/>
      <c r="P957" s="687"/>
      <c r="Q957" s="687"/>
      <c r="R957" s="687"/>
      <c r="S957" s="687"/>
      <c r="T957" s="687"/>
      <c r="U957" s="687"/>
      <c r="V957" s="687"/>
      <c r="W957" s="687"/>
      <c r="X957" s="687"/>
      <c r="Y957" s="687"/>
      <c r="Z957" s="687"/>
    </row>
    <row r="958" customHeight="1" spans="1:26">
      <c r="A958" s="686"/>
      <c r="B958" s="686"/>
      <c r="C958" s="686"/>
      <c r="D958" s="687"/>
      <c r="E958" s="687"/>
      <c r="F958" s="687"/>
      <c r="G958" s="687"/>
      <c r="H958" s="687"/>
      <c r="I958" s="687"/>
      <c r="J958" s="687"/>
      <c r="K958" s="687"/>
      <c r="L958" s="687"/>
      <c r="M958" s="687"/>
      <c r="N958" s="687"/>
      <c r="O958" s="687"/>
      <c r="P958" s="687"/>
      <c r="Q958" s="687"/>
      <c r="R958" s="687"/>
      <c r="S958" s="687"/>
      <c r="T958" s="687"/>
      <c r="U958" s="687"/>
      <c r="V958" s="687"/>
      <c r="W958" s="687"/>
      <c r="X958" s="687"/>
      <c r="Y958" s="687"/>
      <c r="Z958" s="687"/>
    </row>
    <row r="959" customHeight="1" spans="1:26">
      <c r="A959" s="686"/>
      <c r="B959" s="686"/>
      <c r="C959" s="686"/>
      <c r="D959" s="687"/>
      <c r="E959" s="687"/>
      <c r="F959" s="687"/>
      <c r="G959" s="687"/>
      <c r="H959" s="687"/>
      <c r="I959" s="687"/>
      <c r="J959" s="687"/>
      <c r="K959" s="687"/>
      <c r="L959" s="687"/>
      <c r="M959" s="687"/>
      <c r="N959" s="687"/>
      <c r="O959" s="687"/>
      <c r="P959" s="687"/>
      <c r="Q959" s="687"/>
      <c r="R959" s="687"/>
      <c r="S959" s="687"/>
      <c r="T959" s="687"/>
      <c r="U959" s="687"/>
      <c r="V959" s="687"/>
      <c r="W959" s="687"/>
      <c r="X959" s="687"/>
      <c r="Y959" s="687"/>
      <c r="Z959" s="687"/>
    </row>
    <row r="960" customHeight="1" spans="1:26">
      <c r="A960" s="686"/>
      <c r="B960" s="686"/>
      <c r="C960" s="686"/>
      <c r="D960" s="687"/>
      <c r="E960" s="687"/>
      <c r="F960" s="687"/>
      <c r="G960" s="687"/>
      <c r="H960" s="687"/>
      <c r="I960" s="687"/>
      <c r="J960" s="687"/>
      <c r="K960" s="687"/>
      <c r="L960" s="687"/>
      <c r="M960" s="687"/>
      <c r="N960" s="687"/>
      <c r="O960" s="687"/>
      <c r="P960" s="687"/>
      <c r="Q960" s="687"/>
      <c r="R960" s="687"/>
      <c r="S960" s="687"/>
      <c r="T960" s="687"/>
      <c r="U960" s="687"/>
      <c r="V960" s="687"/>
      <c r="W960" s="687"/>
      <c r="X960" s="687"/>
      <c r="Y960" s="687"/>
      <c r="Z960" s="687"/>
    </row>
    <row r="961" customHeight="1" spans="1:26">
      <c r="A961" s="686"/>
      <c r="B961" s="686"/>
      <c r="C961" s="686"/>
      <c r="D961" s="687"/>
      <c r="E961" s="687"/>
      <c r="F961" s="687"/>
      <c r="G961" s="687"/>
      <c r="H961" s="687"/>
      <c r="I961" s="687"/>
      <c r="J961" s="687"/>
      <c r="K961" s="687"/>
      <c r="L961" s="687"/>
      <c r="M961" s="687"/>
      <c r="N961" s="687"/>
      <c r="O961" s="687"/>
      <c r="P961" s="687"/>
      <c r="Q961" s="687"/>
      <c r="R961" s="687"/>
      <c r="S961" s="687"/>
      <c r="T961" s="687"/>
      <c r="U961" s="687"/>
      <c r="V961" s="687"/>
      <c r="W961" s="687"/>
      <c r="X961" s="687"/>
      <c r="Y961" s="687"/>
      <c r="Z961" s="687"/>
    </row>
    <row r="962" customHeight="1" spans="1:26">
      <c r="A962" s="686"/>
      <c r="B962" s="686"/>
      <c r="C962" s="686"/>
      <c r="D962" s="687"/>
      <c r="E962" s="687"/>
      <c r="F962" s="687"/>
      <c r="G962" s="687"/>
      <c r="H962" s="687"/>
      <c r="I962" s="687"/>
      <c r="J962" s="687"/>
      <c r="K962" s="687"/>
      <c r="L962" s="687"/>
      <c r="M962" s="687"/>
      <c r="N962" s="687"/>
      <c r="O962" s="687"/>
      <c r="P962" s="687"/>
      <c r="Q962" s="687"/>
      <c r="R962" s="687"/>
      <c r="S962" s="687"/>
      <c r="T962" s="687"/>
      <c r="U962" s="687"/>
      <c r="V962" s="687"/>
      <c r="W962" s="687"/>
      <c r="X962" s="687"/>
      <c r="Y962" s="687"/>
      <c r="Z962" s="687"/>
    </row>
    <row r="963" customHeight="1" spans="1:26">
      <c r="A963" s="686"/>
      <c r="B963" s="686"/>
      <c r="C963" s="686"/>
      <c r="D963" s="687"/>
      <c r="E963" s="687"/>
      <c r="F963" s="687"/>
      <c r="G963" s="687"/>
      <c r="H963" s="687"/>
      <c r="I963" s="687"/>
      <c r="J963" s="687"/>
      <c r="K963" s="687"/>
      <c r="L963" s="687"/>
      <c r="M963" s="687"/>
      <c r="N963" s="687"/>
      <c r="O963" s="687"/>
      <c r="P963" s="687"/>
      <c r="Q963" s="687"/>
      <c r="R963" s="687"/>
      <c r="S963" s="687"/>
      <c r="T963" s="687"/>
      <c r="U963" s="687"/>
      <c r="V963" s="687"/>
      <c r="W963" s="687"/>
      <c r="X963" s="687"/>
      <c r="Y963" s="687"/>
      <c r="Z963" s="687"/>
    </row>
    <row r="964" customHeight="1" spans="1:26">
      <c r="A964" s="686"/>
      <c r="B964" s="686"/>
      <c r="C964" s="686"/>
      <c r="D964" s="687"/>
      <c r="E964" s="687"/>
      <c r="F964" s="687"/>
      <c r="G964" s="687"/>
      <c r="H964" s="687"/>
      <c r="I964" s="687"/>
      <c r="J964" s="687"/>
      <c r="K964" s="687"/>
      <c r="L964" s="687"/>
      <c r="M964" s="687"/>
      <c r="N964" s="687"/>
      <c r="O964" s="687"/>
      <c r="P964" s="687"/>
      <c r="Q964" s="687"/>
      <c r="R964" s="687"/>
      <c r="S964" s="687"/>
      <c r="T964" s="687"/>
      <c r="U964" s="687"/>
      <c r="V964" s="687"/>
      <c r="W964" s="687"/>
      <c r="X964" s="687"/>
      <c r="Y964" s="687"/>
      <c r="Z964" s="687"/>
    </row>
    <row r="965" customHeight="1" spans="1:26">
      <c r="A965" s="686"/>
      <c r="B965" s="686"/>
      <c r="C965" s="686"/>
      <c r="D965" s="687"/>
      <c r="E965" s="687"/>
      <c r="F965" s="687"/>
      <c r="G965" s="687"/>
      <c r="H965" s="687"/>
      <c r="I965" s="687"/>
      <c r="J965" s="687"/>
      <c r="K965" s="687"/>
      <c r="L965" s="687"/>
      <c r="M965" s="687"/>
      <c r="N965" s="687"/>
      <c r="O965" s="687"/>
      <c r="P965" s="687"/>
      <c r="Q965" s="687"/>
      <c r="R965" s="687"/>
      <c r="S965" s="687"/>
      <c r="T965" s="687"/>
      <c r="U965" s="687"/>
      <c r="V965" s="687"/>
      <c r="W965" s="687"/>
      <c r="X965" s="687"/>
      <c r="Y965" s="687"/>
      <c r="Z965" s="687"/>
    </row>
    <row r="966" customHeight="1" spans="1:26">
      <c r="A966" s="686"/>
      <c r="B966" s="686"/>
      <c r="C966" s="686"/>
      <c r="D966" s="687"/>
      <c r="E966" s="687"/>
      <c r="F966" s="687"/>
      <c r="G966" s="687"/>
      <c r="H966" s="687"/>
      <c r="I966" s="687"/>
      <c r="J966" s="687"/>
      <c r="K966" s="687"/>
      <c r="L966" s="687"/>
      <c r="M966" s="687"/>
      <c r="N966" s="687"/>
      <c r="O966" s="687"/>
      <c r="P966" s="687"/>
      <c r="Q966" s="687"/>
      <c r="R966" s="687"/>
      <c r="S966" s="687"/>
      <c r="T966" s="687"/>
      <c r="U966" s="687"/>
      <c r="V966" s="687"/>
      <c r="W966" s="687"/>
      <c r="X966" s="687"/>
      <c r="Y966" s="687"/>
      <c r="Z966" s="687"/>
    </row>
    <row r="967" customHeight="1" spans="1:26">
      <c r="A967" s="686"/>
      <c r="B967" s="686"/>
      <c r="C967" s="686"/>
      <c r="D967" s="687"/>
      <c r="E967" s="687"/>
      <c r="F967" s="687"/>
      <c r="G967" s="687"/>
      <c r="H967" s="687"/>
      <c r="I967" s="687"/>
      <c r="J967" s="687"/>
      <c r="K967" s="687"/>
      <c r="L967" s="687"/>
      <c r="M967" s="687"/>
      <c r="N967" s="687"/>
      <c r="O967" s="687"/>
      <c r="P967" s="687"/>
      <c r="Q967" s="687"/>
      <c r="R967" s="687"/>
      <c r="S967" s="687"/>
      <c r="T967" s="687"/>
      <c r="U967" s="687"/>
      <c r="V967" s="687"/>
      <c r="W967" s="687"/>
      <c r="X967" s="687"/>
      <c r="Y967" s="687"/>
      <c r="Z967" s="687"/>
    </row>
    <row r="968" customHeight="1" spans="1:26">
      <c r="A968" s="686"/>
      <c r="B968" s="686"/>
      <c r="C968" s="686"/>
      <c r="D968" s="687"/>
      <c r="E968" s="687"/>
      <c r="F968" s="687"/>
      <c r="G968" s="687"/>
      <c r="H968" s="687"/>
      <c r="I968" s="687"/>
      <c r="J968" s="687"/>
      <c r="K968" s="687"/>
      <c r="L968" s="687"/>
      <c r="M968" s="687"/>
      <c r="N968" s="687"/>
      <c r="O968" s="687"/>
      <c r="P968" s="687"/>
      <c r="Q968" s="687"/>
      <c r="R968" s="687"/>
      <c r="S968" s="687"/>
      <c r="T968" s="687"/>
      <c r="U968" s="687"/>
      <c r="V968" s="687"/>
      <c r="W968" s="687"/>
      <c r="X968" s="687"/>
      <c r="Y968" s="687"/>
      <c r="Z968" s="687"/>
    </row>
    <row r="969" customHeight="1" spans="1:26">
      <c r="A969" s="686"/>
      <c r="B969" s="686"/>
      <c r="C969" s="686"/>
      <c r="D969" s="687"/>
      <c r="E969" s="687"/>
      <c r="F969" s="687"/>
      <c r="G969" s="687"/>
      <c r="H969" s="687"/>
      <c r="I969" s="687"/>
      <c r="J969" s="687"/>
      <c r="K969" s="687"/>
      <c r="L969" s="687"/>
      <c r="M969" s="687"/>
      <c r="N969" s="687"/>
      <c r="O969" s="687"/>
      <c r="P969" s="687"/>
      <c r="Q969" s="687"/>
      <c r="R969" s="687"/>
      <c r="S969" s="687"/>
      <c r="T969" s="687"/>
      <c r="U969" s="687"/>
      <c r="V969" s="687"/>
      <c r="W969" s="687"/>
      <c r="X969" s="687"/>
      <c r="Y969" s="687"/>
      <c r="Z969" s="687"/>
    </row>
    <row r="970" customHeight="1" spans="1:26">
      <c r="A970" s="686"/>
      <c r="B970" s="686"/>
      <c r="C970" s="686"/>
      <c r="D970" s="687"/>
      <c r="E970" s="687"/>
      <c r="F970" s="687"/>
      <c r="G970" s="687"/>
      <c r="H970" s="687"/>
      <c r="I970" s="687"/>
      <c r="J970" s="687"/>
      <c r="K970" s="687"/>
      <c r="L970" s="687"/>
      <c r="M970" s="687"/>
      <c r="N970" s="687"/>
      <c r="O970" s="687"/>
      <c r="P970" s="687"/>
      <c r="Q970" s="687"/>
      <c r="R970" s="687"/>
      <c r="S970" s="687"/>
      <c r="T970" s="687"/>
      <c r="U970" s="687"/>
      <c r="V970" s="687"/>
      <c r="W970" s="687"/>
      <c r="X970" s="687"/>
      <c r="Y970" s="687"/>
      <c r="Z970" s="687"/>
    </row>
    <row r="971" customHeight="1" spans="1:26">
      <c r="A971" s="686"/>
      <c r="B971" s="686"/>
      <c r="C971" s="686"/>
      <c r="D971" s="687"/>
      <c r="E971" s="687"/>
      <c r="F971" s="687"/>
      <c r="G971" s="687"/>
      <c r="H971" s="687"/>
      <c r="I971" s="687"/>
      <c r="J971" s="687"/>
      <c r="K971" s="687"/>
      <c r="L971" s="687"/>
      <c r="M971" s="687"/>
      <c r="N971" s="687"/>
      <c r="O971" s="687"/>
      <c r="P971" s="687"/>
      <c r="Q971" s="687"/>
      <c r="R971" s="687"/>
      <c r="S971" s="687"/>
      <c r="T971" s="687"/>
      <c r="U971" s="687"/>
      <c r="V971" s="687"/>
      <c r="W971" s="687"/>
      <c r="X971" s="687"/>
      <c r="Y971" s="687"/>
      <c r="Z971" s="687"/>
    </row>
    <row r="972" customHeight="1" spans="1:26">
      <c r="A972" s="686"/>
      <c r="B972" s="686"/>
      <c r="C972" s="686"/>
      <c r="D972" s="687"/>
      <c r="E972" s="687"/>
      <c r="F972" s="687"/>
      <c r="G972" s="687"/>
      <c r="H972" s="687"/>
      <c r="I972" s="687"/>
      <c r="J972" s="687"/>
      <c r="K972" s="687"/>
      <c r="L972" s="687"/>
      <c r="M972" s="687"/>
      <c r="N972" s="687"/>
      <c r="O972" s="687"/>
      <c r="P972" s="687"/>
      <c r="Q972" s="687"/>
      <c r="R972" s="687"/>
      <c r="S972" s="687"/>
      <c r="T972" s="687"/>
      <c r="U972" s="687"/>
      <c r="V972" s="687"/>
      <c r="W972" s="687"/>
      <c r="X972" s="687"/>
      <c r="Y972" s="687"/>
      <c r="Z972" s="687"/>
    </row>
    <row r="973" customHeight="1" spans="1:26">
      <c r="A973" s="686"/>
      <c r="B973" s="686"/>
      <c r="C973" s="686"/>
      <c r="D973" s="687"/>
      <c r="E973" s="687"/>
      <c r="F973" s="687"/>
      <c r="G973" s="687"/>
      <c r="H973" s="687"/>
      <c r="I973" s="687"/>
      <c r="J973" s="687"/>
      <c r="K973" s="687"/>
      <c r="L973" s="687"/>
      <c r="M973" s="687"/>
      <c r="N973" s="687"/>
      <c r="O973" s="687"/>
      <c r="P973" s="687"/>
      <c r="Q973" s="687"/>
      <c r="R973" s="687"/>
      <c r="S973" s="687"/>
      <c r="T973" s="687"/>
      <c r="U973" s="687"/>
      <c r="V973" s="687"/>
      <c r="W973" s="687"/>
      <c r="X973" s="687"/>
      <c r="Y973" s="687"/>
      <c r="Z973" s="687"/>
    </row>
    <row r="974" customHeight="1" spans="1:26">
      <c r="A974" s="686"/>
      <c r="B974" s="686"/>
      <c r="C974" s="686"/>
      <c r="D974" s="687"/>
      <c r="E974" s="687"/>
      <c r="F974" s="687"/>
      <c r="G974" s="687"/>
      <c r="H974" s="687"/>
      <c r="I974" s="687"/>
      <c r="J974" s="687"/>
      <c r="K974" s="687"/>
      <c r="L974" s="687"/>
      <c r="M974" s="687"/>
      <c r="N974" s="687"/>
      <c r="O974" s="687"/>
      <c r="P974" s="687"/>
      <c r="Q974" s="687"/>
      <c r="R974" s="687"/>
      <c r="S974" s="687"/>
      <c r="T974" s="687"/>
      <c r="U974" s="687"/>
      <c r="V974" s="687"/>
      <c r="W974" s="687"/>
      <c r="X974" s="687"/>
      <c r="Y974" s="687"/>
      <c r="Z974" s="687"/>
    </row>
    <row r="975" customHeight="1" spans="1:26">
      <c r="A975" s="686"/>
      <c r="B975" s="686"/>
      <c r="C975" s="686"/>
      <c r="D975" s="687"/>
      <c r="E975" s="687"/>
      <c r="F975" s="687"/>
      <c r="G975" s="687"/>
      <c r="H975" s="687"/>
      <c r="I975" s="687"/>
      <c r="J975" s="687"/>
      <c r="K975" s="687"/>
      <c r="L975" s="687"/>
      <c r="M975" s="687"/>
      <c r="N975" s="687"/>
      <c r="O975" s="687"/>
      <c r="P975" s="687"/>
      <c r="Q975" s="687"/>
      <c r="R975" s="687"/>
      <c r="S975" s="687"/>
      <c r="T975" s="687"/>
      <c r="U975" s="687"/>
      <c r="V975" s="687"/>
      <c r="W975" s="687"/>
      <c r="X975" s="687"/>
      <c r="Y975" s="687"/>
      <c r="Z975" s="687"/>
    </row>
    <row r="976" customHeight="1" spans="1:26">
      <c r="A976" s="686"/>
      <c r="B976" s="686"/>
      <c r="C976" s="686"/>
      <c r="D976" s="687"/>
      <c r="E976" s="687"/>
      <c r="F976" s="687"/>
      <c r="G976" s="687"/>
      <c r="H976" s="687"/>
      <c r="I976" s="687"/>
      <c r="J976" s="687"/>
      <c r="K976" s="687"/>
      <c r="L976" s="687"/>
      <c r="M976" s="687"/>
      <c r="N976" s="687"/>
      <c r="O976" s="687"/>
      <c r="P976" s="687"/>
      <c r="Q976" s="687"/>
      <c r="R976" s="687"/>
      <c r="S976" s="687"/>
      <c r="T976" s="687"/>
      <c r="U976" s="687"/>
      <c r="V976" s="687"/>
      <c r="W976" s="687"/>
      <c r="X976" s="687"/>
      <c r="Y976" s="687"/>
      <c r="Z976" s="687"/>
    </row>
    <row r="977" customHeight="1" spans="1:26">
      <c r="A977" s="686"/>
      <c r="B977" s="686"/>
      <c r="C977" s="686"/>
      <c r="D977" s="687"/>
      <c r="E977" s="687"/>
      <c r="F977" s="687"/>
      <c r="G977" s="687"/>
      <c r="H977" s="687"/>
      <c r="I977" s="687"/>
      <c r="J977" s="687"/>
      <c r="K977" s="687"/>
      <c r="L977" s="687"/>
      <c r="M977" s="687"/>
      <c r="N977" s="687"/>
      <c r="O977" s="687"/>
      <c r="P977" s="687"/>
      <c r="Q977" s="687"/>
      <c r="R977" s="687"/>
      <c r="S977" s="687"/>
      <c r="T977" s="687"/>
      <c r="U977" s="687"/>
      <c r="V977" s="687"/>
      <c r="W977" s="687"/>
      <c r="X977" s="687"/>
      <c r="Y977" s="687"/>
      <c r="Z977" s="687"/>
    </row>
    <row r="978" customHeight="1" spans="1:26">
      <c r="A978" s="686"/>
      <c r="B978" s="686"/>
      <c r="C978" s="686"/>
      <c r="D978" s="687"/>
      <c r="E978" s="687"/>
      <c r="F978" s="687"/>
      <c r="G978" s="687"/>
      <c r="H978" s="687"/>
      <c r="I978" s="687"/>
      <c r="J978" s="687"/>
      <c r="K978" s="687"/>
      <c r="L978" s="687"/>
      <c r="M978" s="687"/>
      <c r="N978" s="687"/>
      <c r="O978" s="687"/>
      <c r="P978" s="687"/>
      <c r="Q978" s="687"/>
      <c r="R978" s="687"/>
      <c r="S978" s="687"/>
      <c r="T978" s="687"/>
      <c r="U978" s="687"/>
      <c r="V978" s="687"/>
      <c r="W978" s="687"/>
      <c r="X978" s="687"/>
      <c r="Y978" s="687"/>
      <c r="Z978" s="687"/>
    </row>
    <row r="979" customHeight="1" spans="1:26">
      <c r="A979" s="686"/>
      <c r="B979" s="686"/>
      <c r="C979" s="686"/>
      <c r="D979" s="687"/>
      <c r="E979" s="687"/>
      <c r="F979" s="687"/>
      <c r="G979" s="687"/>
      <c r="H979" s="687"/>
      <c r="I979" s="687"/>
      <c r="J979" s="687"/>
      <c r="K979" s="687"/>
      <c r="L979" s="687"/>
      <c r="M979" s="687"/>
      <c r="N979" s="687"/>
      <c r="O979" s="687"/>
      <c r="P979" s="687"/>
      <c r="Q979" s="687"/>
      <c r="R979" s="687"/>
      <c r="S979" s="687"/>
      <c r="T979" s="687"/>
      <c r="U979" s="687"/>
      <c r="V979" s="687"/>
      <c r="W979" s="687"/>
      <c r="X979" s="687"/>
      <c r="Y979" s="687"/>
      <c r="Z979" s="687"/>
    </row>
    <row r="980" customHeight="1" spans="1:26">
      <c r="A980" s="686"/>
      <c r="B980" s="686"/>
      <c r="C980" s="686"/>
      <c r="D980" s="687"/>
      <c r="E980" s="687"/>
      <c r="F980" s="687"/>
      <c r="G980" s="687"/>
      <c r="H980" s="687"/>
      <c r="I980" s="687"/>
      <c r="J980" s="687"/>
      <c r="K980" s="687"/>
      <c r="L980" s="687"/>
      <c r="M980" s="687"/>
      <c r="N980" s="687"/>
      <c r="O980" s="687"/>
      <c r="P980" s="687"/>
      <c r="Q980" s="687"/>
      <c r="R980" s="687"/>
      <c r="S980" s="687"/>
      <c r="T980" s="687"/>
      <c r="U980" s="687"/>
      <c r="V980" s="687"/>
      <c r="W980" s="687"/>
      <c r="X980" s="687"/>
      <c r="Y980" s="687"/>
      <c r="Z980" s="687"/>
    </row>
    <row r="981" customHeight="1" spans="1:26">
      <c r="A981" s="686"/>
      <c r="B981" s="686"/>
      <c r="C981" s="686"/>
      <c r="D981" s="687"/>
      <c r="E981" s="687"/>
      <c r="F981" s="687"/>
      <c r="G981" s="687"/>
      <c r="H981" s="687"/>
      <c r="I981" s="687"/>
      <c r="J981" s="687"/>
      <c r="K981" s="687"/>
      <c r="L981" s="687"/>
      <c r="M981" s="687"/>
      <c r="N981" s="687"/>
      <c r="O981" s="687"/>
      <c r="P981" s="687"/>
      <c r="Q981" s="687"/>
      <c r="R981" s="687"/>
      <c r="S981" s="687"/>
      <c r="T981" s="687"/>
      <c r="U981" s="687"/>
      <c r="V981" s="687"/>
      <c r="W981" s="687"/>
      <c r="X981" s="687"/>
      <c r="Y981" s="687"/>
      <c r="Z981" s="687"/>
    </row>
    <row r="982" customHeight="1" spans="1:26">
      <c r="A982" s="686"/>
      <c r="B982" s="686"/>
      <c r="C982" s="686"/>
      <c r="D982" s="687"/>
      <c r="E982" s="687"/>
      <c r="F982" s="687"/>
      <c r="G982" s="687"/>
      <c r="H982" s="687"/>
      <c r="I982" s="687"/>
      <c r="J982" s="687"/>
      <c r="K982" s="687"/>
      <c r="L982" s="687"/>
      <c r="M982" s="687"/>
      <c r="N982" s="687"/>
      <c r="O982" s="687"/>
      <c r="P982" s="687"/>
      <c r="Q982" s="687"/>
      <c r="R982" s="687"/>
      <c r="S982" s="687"/>
      <c r="T982" s="687"/>
      <c r="U982" s="687"/>
      <c r="V982" s="687"/>
      <c r="W982" s="687"/>
      <c r="X982" s="687"/>
      <c r="Y982" s="687"/>
      <c r="Z982" s="687"/>
    </row>
    <row r="983" customHeight="1" spans="1:26">
      <c r="A983" s="686"/>
      <c r="B983" s="686"/>
      <c r="C983" s="686"/>
      <c r="D983" s="687"/>
      <c r="E983" s="687"/>
      <c r="F983" s="687"/>
      <c r="G983" s="687"/>
      <c r="H983" s="687"/>
      <c r="I983" s="687"/>
      <c r="J983" s="687"/>
      <c r="K983" s="687"/>
      <c r="L983" s="687"/>
      <c r="M983" s="687"/>
      <c r="N983" s="687"/>
      <c r="O983" s="687"/>
      <c r="P983" s="687"/>
      <c r="Q983" s="687"/>
      <c r="R983" s="687"/>
      <c r="S983" s="687"/>
      <c r="T983" s="687"/>
      <c r="U983" s="687"/>
      <c r="V983" s="687"/>
      <c r="W983" s="687"/>
      <c r="X983" s="687"/>
      <c r="Y983" s="687"/>
      <c r="Z983" s="687"/>
    </row>
    <row r="984" customHeight="1" spans="1:26">
      <c r="A984" s="686"/>
      <c r="B984" s="686"/>
      <c r="C984" s="686"/>
      <c r="D984" s="687"/>
      <c r="E984" s="687"/>
      <c r="F984" s="687"/>
      <c r="G984" s="687"/>
      <c r="H984" s="687"/>
      <c r="I984" s="687"/>
      <c r="J984" s="687"/>
      <c r="K984" s="687"/>
      <c r="L984" s="687"/>
      <c r="M984" s="687"/>
      <c r="N984" s="687"/>
      <c r="O984" s="687"/>
      <c r="P984" s="687"/>
      <c r="Q984" s="687"/>
      <c r="R984" s="687"/>
      <c r="S984" s="687"/>
      <c r="T984" s="687"/>
      <c r="U984" s="687"/>
      <c r="V984" s="687"/>
      <c r="W984" s="687"/>
      <c r="X984" s="687"/>
      <c r="Y984" s="687"/>
      <c r="Z984" s="687"/>
    </row>
    <row r="985" customHeight="1" spans="1:26">
      <c r="A985" s="686"/>
      <c r="B985" s="686"/>
      <c r="C985" s="686"/>
      <c r="D985" s="687"/>
      <c r="E985" s="687"/>
      <c r="F985" s="687"/>
      <c r="G985" s="687"/>
      <c r="H985" s="687"/>
      <c r="I985" s="687"/>
      <c r="J985" s="687"/>
      <c r="K985" s="687"/>
      <c r="L985" s="687"/>
      <c r="M985" s="687"/>
      <c r="N985" s="687"/>
      <c r="O985" s="687"/>
      <c r="P985" s="687"/>
      <c r="Q985" s="687"/>
      <c r="R985" s="687"/>
      <c r="S985" s="687"/>
      <c r="T985" s="687"/>
      <c r="U985" s="687"/>
      <c r="V985" s="687"/>
      <c r="W985" s="687"/>
      <c r="X985" s="687"/>
      <c r="Y985" s="687"/>
      <c r="Z985" s="687"/>
    </row>
    <row r="986" customHeight="1" spans="1:26">
      <c r="A986" s="686"/>
      <c r="B986" s="686"/>
      <c r="C986" s="686"/>
      <c r="D986" s="687"/>
      <c r="E986" s="687"/>
      <c r="F986" s="687"/>
      <c r="G986" s="687"/>
      <c r="H986" s="687"/>
      <c r="I986" s="687"/>
      <c r="J986" s="687"/>
      <c r="K986" s="687"/>
      <c r="L986" s="687"/>
      <c r="M986" s="687"/>
      <c r="N986" s="687"/>
      <c r="O986" s="687"/>
      <c r="P986" s="687"/>
      <c r="Q986" s="687"/>
      <c r="R986" s="687"/>
      <c r="S986" s="687"/>
      <c r="T986" s="687"/>
      <c r="U986" s="687"/>
      <c r="V986" s="687"/>
      <c r="W986" s="687"/>
      <c r="X986" s="687"/>
      <c r="Y986" s="687"/>
      <c r="Z986" s="687"/>
    </row>
    <row r="987" customHeight="1" spans="1:26">
      <c r="A987" s="686"/>
      <c r="B987" s="686"/>
      <c r="C987" s="686"/>
      <c r="D987" s="687"/>
      <c r="E987" s="687"/>
      <c r="F987" s="687"/>
      <c r="G987" s="687"/>
      <c r="H987" s="687"/>
      <c r="I987" s="687"/>
      <c r="J987" s="687"/>
      <c r="K987" s="687"/>
      <c r="L987" s="687"/>
      <c r="M987" s="687"/>
      <c r="N987" s="687"/>
      <c r="O987" s="687"/>
      <c r="P987" s="687"/>
      <c r="Q987" s="687"/>
      <c r="R987" s="687"/>
      <c r="S987" s="687"/>
      <c r="T987" s="687"/>
      <c r="U987" s="687"/>
      <c r="V987" s="687"/>
      <c r="W987" s="687"/>
      <c r="X987" s="687"/>
      <c r="Y987" s="687"/>
      <c r="Z987" s="687"/>
    </row>
    <row r="988" customHeight="1" spans="1:26">
      <c r="A988" s="686"/>
      <c r="B988" s="686"/>
      <c r="C988" s="686"/>
      <c r="D988" s="687"/>
      <c r="E988" s="687"/>
      <c r="F988" s="687"/>
      <c r="G988" s="687"/>
      <c r="H988" s="687"/>
      <c r="I988" s="687"/>
      <c r="J988" s="687"/>
      <c r="K988" s="687"/>
      <c r="L988" s="687"/>
      <c r="M988" s="687"/>
      <c r="N988" s="687"/>
      <c r="O988" s="687"/>
      <c r="P988" s="687"/>
      <c r="Q988" s="687"/>
      <c r="R988" s="687"/>
      <c r="S988" s="687"/>
      <c r="T988" s="687"/>
      <c r="U988" s="687"/>
      <c r="V988" s="687"/>
      <c r="W988" s="687"/>
      <c r="X988" s="687"/>
      <c r="Y988" s="687"/>
      <c r="Z988" s="687"/>
    </row>
    <row r="989" customHeight="1" spans="1:26">
      <c r="A989" s="686"/>
      <c r="B989" s="686"/>
      <c r="C989" s="686"/>
      <c r="D989" s="687"/>
      <c r="E989" s="687"/>
      <c r="F989" s="687"/>
      <c r="G989" s="687"/>
      <c r="H989" s="687"/>
      <c r="I989" s="687"/>
      <c r="J989" s="687"/>
      <c r="K989" s="687"/>
      <c r="L989" s="687"/>
      <c r="M989" s="687"/>
      <c r="N989" s="687"/>
      <c r="O989" s="687"/>
      <c r="P989" s="687"/>
      <c r="Q989" s="687"/>
      <c r="R989" s="687"/>
      <c r="S989" s="687"/>
      <c r="T989" s="687"/>
      <c r="U989" s="687"/>
      <c r="V989" s="687"/>
      <c r="W989" s="687"/>
      <c r="X989" s="687"/>
      <c r="Y989" s="687"/>
      <c r="Z989" s="687"/>
    </row>
    <row r="990" customHeight="1" spans="1:26">
      <c r="A990" s="686"/>
      <c r="B990" s="686"/>
      <c r="C990" s="686"/>
      <c r="D990" s="687"/>
      <c r="E990" s="687"/>
      <c r="F990" s="687"/>
      <c r="G990" s="687"/>
      <c r="H990" s="687"/>
      <c r="I990" s="687"/>
      <c r="J990" s="687"/>
      <c r="K990" s="687"/>
      <c r="L990" s="687"/>
      <c r="M990" s="687"/>
      <c r="N990" s="687"/>
      <c r="O990" s="687"/>
      <c r="P990" s="687"/>
      <c r="Q990" s="687"/>
      <c r="R990" s="687"/>
      <c r="S990" s="687"/>
      <c r="T990" s="687"/>
      <c r="U990" s="687"/>
      <c r="V990" s="687"/>
      <c r="W990" s="687"/>
      <c r="X990" s="687"/>
      <c r="Y990" s="687"/>
      <c r="Z990" s="687"/>
    </row>
    <row r="991" customHeight="1" spans="1:26">
      <c r="A991" s="686"/>
      <c r="B991" s="686"/>
      <c r="C991" s="686"/>
      <c r="D991" s="687"/>
      <c r="E991" s="687"/>
      <c r="F991" s="687"/>
      <c r="G991" s="687"/>
      <c r="H991" s="687"/>
      <c r="I991" s="687"/>
      <c r="J991" s="687"/>
      <c r="K991" s="687"/>
      <c r="L991" s="687"/>
      <c r="M991" s="687"/>
      <c r="N991" s="687"/>
      <c r="O991" s="687"/>
      <c r="P991" s="687"/>
      <c r="Q991" s="687"/>
      <c r="R991" s="687"/>
      <c r="S991" s="687"/>
      <c r="T991" s="687"/>
      <c r="U991" s="687"/>
      <c r="V991" s="687"/>
      <c r="W991" s="687"/>
      <c r="X991" s="687"/>
      <c r="Y991" s="687"/>
      <c r="Z991" s="687"/>
    </row>
    <row r="992" customHeight="1" spans="1:26">
      <c r="A992" s="686"/>
      <c r="B992" s="686"/>
      <c r="C992" s="686"/>
      <c r="D992" s="687"/>
      <c r="E992" s="687"/>
      <c r="F992" s="687"/>
      <c r="G992" s="687"/>
      <c r="H992" s="687"/>
      <c r="I992" s="687"/>
      <c r="J992" s="687"/>
      <c r="K992" s="687"/>
      <c r="L992" s="687"/>
      <c r="M992" s="687"/>
      <c r="N992" s="687"/>
      <c r="O992" s="687"/>
      <c r="P992" s="687"/>
      <c r="Q992" s="687"/>
      <c r="R992" s="687"/>
      <c r="S992" s="687"/>
      <c r="T992" s="687"/>
      <c r="U992" s="687"/>
      <c r="V992" s="687"/>
      <c r="W992" s="687"/>
      <c r="X992" s="687"/>
      <c r="Y992" s="687"/>
      <c r="Z992" s="687"/>
    </row>
    <row r="993" customHeight="1" spans="1:26">
      <c r="A993" s="686"/>
      <c r="B993" s="686"/>
      <c r="C993" s="686"/>
      <c r="D993" s="687"/>
      <c r="E993" s="687"/>
      <c r="F993" s="687"/>
      <c r="G993" s="687"/>
      <c r="H993" s="687"/>
      <c r="I993" s="687"/>
      <c r="J993" s="687"/>
      <c r="K993" s="687"/>
      <c r="L993" s="687"/>
      <c r="M993" s="687"/>
      <c r="N993" s="687"/>
      <c r="O993" s="687"/>
      <c r="P993" s="687"/>
      <c r="Q993" s="687"/>
      <c r="R993" s="687"/>
      <c r="S993" s="687"/>
      <c r="T993" s="687"/>
      <c r="U993" s="687"/>
      <c r="V993" s="687"/>
      <c r="W993" s="687"/>
      <c r="X993" s="687"/>
      <c r="Y993" s="687"/>
      <c r="Z993" s="687"/>
    </row>
    <row r="994" customHeight="1" spans="1:26">
      <c r="A994" s="686"/>
      <c r="B994" s="686"/>
      <c r="C994" s="686"/>
      <c r="D994" s="687"/>
      <c r="E994" s="687"/>
      <c r="F994" s="687"/>
      <c r="G994" s="687"/>
      <c r="H994" s="687"/>
      <c r="I994" s="687"/>
      <c r="J994" s="687"/>
      <c r="K994" s="687"/>
      <c r="L994" s="687"/>
      <c r="M994" s="687"/>
      <c r="N994" s="687"/>
      <c r="O994" s="687"/>
      <c r="P994" s="687"/>
      <c r="Q994" s="687"/>
      <c r="R994" s="687"/>
      <c r="S994" s="687"/>
      <c r="T994" s="687"/>
      <c r="U994" s="687"/>
      <c r="V994" s="687"/>
      <c r="W994" s="687"/>
      <c r="X994" s="687"/>
      <c r="Y994" s="687"/>
      <c r="Z994" s="687"/>
    </row>
    <row r="995" customHeight="1" spans="1:26">
      <c r="A995" s="686"/>
      <c r="B995" s="686"/>
      <c r="C995" s="686"/>
      <c r="D995" s="687"/>
      <c r="E995" s="687"/>
      <c r="F995" s="687"/>
      <c r="G995" s="687"/>
      <c r="H995" s="687"/>
      <c r="I995" s="687"/>
      <c r="J995" s="687"/>
      <c r="K995" s="687"/>
      <c r="L995" s="687"/>
      <c r="M995" s="687"/>
      <c r="N995" s="687"/>
      <c r="O995" s="687"/>
      <c r="P995" s="687"/>
      <c r="Q995" s="687"/>
      <c r="R995" s="687"/>
      <c r="S995" s="687"/>
      <c r="T995" s="687"/>
      <c r="U995" s="687"/>
      <c r="V995" s="687"/>
      <c r="W995" s="687"/>
      <c r="X995" s="687"/>
      <c r="Y995" s="687"/>
      <c r="Z995" s="687"/>
    </row>
    <row r="996" customHeight="1" spans="1:26">
      <c r="A996" s="686"/>
      <c r="B996" s="686"/>
      <c r="C996" s="686"/>
      <c r="D996" s="687"/>
      <c r="E996" s="687"/>
      <c r="F996" s="687"/>
      <c r="G996" s="687"/>
      <c r="H996" s="687"/>
      <c r="I996" s="687"/>
      <c r="J996" s="687"/>
      <c r="K996" s="687"/>
      <c r="L996" s="687"/>
      <c r="M996" s="687"/>
      <c r="N996" s="687"/>
      <c r="O996" s="687"/>
      <c r="P996" s="687"/>
      <c r="Q996" s="687"/>
      <c r="R996" s="687"/>
      <c r="S996" s="687"/>
      <c r="T996" s="687"/>
      <c r="U996" s="687"/>
      <c r="V996" s="687"/>
      <c r="W996" s="687"/>
      <c r="X996" s="687"/>
      <c r="Y996" s="687"/>
      <c r="Z996" s="687"/>
    </row>
    <row r="997" customHeight="1" spans="1:26">
      <c r="A997" s="686"/>
      <c r="B997" s="686"/>
      <c r="C997" s="686"/>
      <c r="D997" s="687"/>
      <c r="E997" s="687"/>
      <c r="F997" s="687"/>
      <c r="G997" s="687"/>
      <c r="H997" s="687"/>
      <c r="I997" s="687"/>
      <c r="J997" s="687"/>
      <c r="K997" s="687"/>
      <c r="L997" s="687"/>
      <c r="M997" s="687"/>
      <c r="N997" s="687"/>
      <c r="O997" s="687"/>
      <c r="P997" s="687"/>
      <c r="Q997" s="687"/>
      <c r="R997" s="687"/>
      <c r="S997" s="687"/>
      <c r="T997" s="687"/>
      <c r="U997" s="687"/>
      <c r="V997" s="687"/>
      <c r="W997" s="687"/>
      <c r="X997" s="687"/>
      <c r="Y997" s="687"/>
      <c r="Z997" s="687"/>
    </row>
    <row r="998" customHeight="1" spans="1:26">
      <c r="A998" s="686"/>
      <c r="B998" s="686"/>
      <c r="C998" s="686"/>
      <c r="D998" s="687"/>
      <c r="E998" s="687"/>
      <c r="F998" s="687"/>
      <c r="G998" s="687"/>
      <c r="H998" s="687"/>
      <c r="I998" s="687"/>
      <c r="J998" s="687"/>
      <c r="K998" s="687"/>
      <c r="L998" s="687"/>
      <c r="M998" s="687"/>
      <c r="N998" s="687"/>
      <c r="O998" s="687"/>
      <c r="P998" s="687"/>
      <c r="Q998" s="687"/>
      <c r="R998" s="687"/>
      <c r="S998" s="687"/>
      <c r="T998" s="687"/>
      <c r="U998" s="687"/>
      <c r="V998" s="687"/>
      <c r="W998" s="687"/>
      <c r="X998" s="687"/>
      <c r="Y998" s="687"/>
      <c r="Z998" s="687"/>
    </row>
    <row r="999" customHeight="1" spans="1:26">
      <c r="A999" s="686"/>
      <c r="B999" s="686"/>
      <c r="C999" s="686"/>
      <c r="D999" s="687"/>
      <c r="E999" s="687"/>
      <c r="F999" s="687"/>
      <c r="G999" s="687"/>
      <c r="H999" s="687"/>
      <c r="I999" s="687"/>
      <c r="J999" s="687"/>
      <c r="K999" s="687"/>
      <c r="L999" s="687"/>
      <c r="M999" s="687"/>
      <c r="N999" s="687"/>
      <c r="O999" s="687"/>
      <c r="P999" s="687"/>
      <c r="Q999" s="687"/>
      <c r="R999" s="687"/>
      <c r="S999" s="687"/>
      <c r="T999" s="687"/>
      <c r="U999" s="687"/>
      <c r="V999" s="687"/>
      <c r="W999" s="687"/>
      <c r="X999" s="687"/>
      <c r="Y999" s="687"/>
      <c r="Z999" s="687"/>
    </row>
    <row r="1000" customHeight="1" spans="1:26">
      <c r="A1000" s="686"/>
      <c r="B1000" s="686"/>
      <c r="C1000" s="686"/>
      <c r="D1000" s="687"/>
      <c r="E1000" s="687"/>
      <c r="F1000" s="687"/>
      <c r="G1000" s="687"/>
      <c r="H1000" s="687"/>
      <c r="I1000" s="687"/>
      <c r="J1000" s="687"/>
      <c r="K1000" s="687"/>
      <c r="L1000" s="687"/>
      <c r="M1000" s="687"/>
      <c r="N1000" s="687"/>
      <c r="O1000" s="687"/>
      <c r="P1000" s="687"/>
      <c r="Q1000" s="687"/>
      <c r="R1000" s="687"/>
      <c r="S1000" s="687"/>
      <c r="T1000" s="687"/>
      <c r="U1000" s="687"/>
      <c r="V1000" s="687"/>
      <c r="W1000" s="687"/>
      <c r="X1000" s="687"/>
      <c r="Y1000" s="687"/>
      <c r="Z1000" s="687"/>
    </row>
    <row r="1001" customHeight="1" spans="1:26">
      <c r="A1001" s="686"/>
      <c r="B1001" s="686"/>
      <c r="C1001" s="686"/>
      <c r="D1001" s="687"/>
      <c r="E1001" s="687"/>
      <c r="F1001" s="687"/>
      <c r="G1001" s="687"/>
      <c r="H1001" s="687"/>
      <c r="I1001" s="687"/>
      <c r="J1001" s="687"/>
      <c r="K1001" s="687"/>
      <c r="L1001" s="687"/>
      <c r="M1001" s="687"/>
      <c r="N1001" s="687"/>
      <c r="O1001" s="687"/>
      <c r="P1001" s="687"/>
      <c r="Q1001" s="687"/>
      <c r="R1001" s="687"/>
      <c r="S1001" s="687"/>
      <c r="T1001" s="687"/>
      <c r="U1001" s="687"/>
      <c r="V1001" s="687"/>
      <c r="W1001" s="687"/>
      <c r="X1001" s="687"/>
      <c r="Y1001" s="687"/>
      <c r="Z1001" s="687"/>
    </row>
    <row r="1002" customHeight="1" spans="1:26">
      <c r="A1002" s="686"/>
      <c r="B1002" s="686"/>
      <c r="C1002" s="686"/>
      <c r="D1002" s="687"/>
      <c r="E1002" s="687"/>
      <c r="F1002" s="687"/>
      <c r="G1002" s="687"/>
      <c r="H1002" s="687"/>
      <c r="I1002" s="687"/>
      <c r="J1002" s="687"/>
      <c r="K1002" s="687"/>
      <c r="L1002" s="687"/>
      <c r="M1002" s="687"/>
      <c r="N1002" s="687"/>
      <c r="O1002" s="687"/>
      <c r="P1002" s="687"/>
      <c r="Q1002" s="687"/>
      <c r="R1002" s="687"/>
      <c r="S1002" s="687"/>
      <c r="T1002" s="687"/>
      <c r="U1002" s="687"/>
      <c r="V1002" s="687"/>
      <c r="W1002" s="687"/>
      <c r="X1002" s="687"/>
      <c r="Y1002" s="687"/>
      <c r="Z1002" s="687"/>
    </row>
    <row r="1003" customHeight="1" spans="1:26">
      <c r="A1003" s="686"/>
      <c r="B1003" s="686"/>
      <c r="C1003" s="686"/>
      <c r="D1003" s="687"/>
      <c r="E1003" s="687"/>
      <c r="F1003" s="687"/>
      <c r="G1003" s="687"/>
      <c r="H1003" s="687"/>
      <c r="I1003" s="687"/>
      <c r="J1003" s="687"/>
      <c r="K1003" s="687"/>
      <c r="L1003" s="687"/>
      <c r="M1003" s="687"/>
      <c r="N1003" s="687"/>
      <c r="O1003" s="687"/>
      <c r="P1003" s="687"/>
      <c r="Q1003" s="687"/>
      <c r="R1003" s="687"/>
      <c r="S1003" s="687"/>
      <c r="T1003" s="687"/>
      <c r="U1003" s="687"/>
      <c r="V1003" s="687"/>
      <c r="W1003" s="687"/>
      <c r="X1003" s="687"/>
      <c r="Y1003" s="687"/>
      <c r="Z1003" s="687"/>
    </row>
    <row r="1004" customHeight="1" spans="1:26">
      <c r="A1004" s="686"/>
      <c r="B1004" s="686"/>
      <c r="C1004" s="686"/>
      <c r="D1004" s="687"/>
      <c r="E1004" s="687"/>
      <c r="F1004" s="687"/>
      <c r="G1004" s="687"/>
      <c r="H1004" s="687"/>
      <c r="I1004" s="687"/>
      <c r="J1004" s="687"/>
      <c r="K1004" s="687"/>
      <c r="L1004" s="687"/>
      <c r="M1004" s="687"/>
      <c r="N1004" s="687"/>
      <c r="O1004" s="687"/>
      <c r="P1004" s="687"/>
      <c r="Q1004" s="687"/>
      <c r="R1004" s="687"/>
      <c r="S1004" s="687"/>
      <c r="T1004" s="687"/>
      <c r="U1004" s="687"/>
      <c r="V1004" s="687"/>
      <c r="W1004" s="687"/>
      <c r="X1004" s="687"/>
      <c r="Y1004" s="687"/>
      <c r="Z1004" s="687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60"/>
  <sheetViews>
    <sheetView showGridLines="0" workbookViewId="0">
      <pane xSplit="5" ySplit="2" topLeftCell="F37" activePane="bottomRight" state="frozen"/>
      <selection/>
      <selection pane="topRight"/>
      <selection pane="bottomLeft"/>
      <selection pane="bottomRight" activeCell="F3" sqref="F3"/>
    </sheetView>
  </sheetViews>
  <sheetFormatPr defaultColWidth="12.6333333333333" defaultRowHeight="15" customHeight="1"/>
  <cols>
    <col min="1" max="1" width="5.38333333333333" customWidth="1"/>
    <col min="2" max="2" width="15.6333333333333" customWidth="1"/>
    <col min="3" max="3" width="16.3833333333333" customWidth="1"/>
    <col min="4" max="5" width="16.25" customWidth="1"/>
    <col min="6" max="6" width="15.8833333333333" customWidth="1"/>
    <col min="7" max="7" width="15.25" customWidth="1"/>
    <col min="8" max="8" width="16" customWidth="1"/>
    <col min="9" max="9" width="30.8833333333333" customWidth="1"/>
    <col min="10" max="10" width="14.75" customWidth="1"/>
    <col min="11" max="11" width="10.1333333333333" customWidth="1"/>
    <col min="12" max="13" width="11.1333333333333" customWidth="1"/>
    <col min="14" max="14" width="9.13333333333333" customWidth="1"/>
    <col min="15" max="15" width="20.5" customWidth="1"/>
    <col min="16" max="16" width="18.75" customWidth="1"/>
    <col min="17" max="17" width="11.6333333333333" customWidth="1"/>
    <col min="18" max="18" width="13.25" customWidth="1"/>
    <col min="19" max="19" width="12.25" customWidth="1"/>
    <col min="20" max="21" width="11.6333333333333" customWidth="1"/>
  </cols>
  <sheetData>
    <row r="1" ht="35.25" customHeight="1" spans="1:21">
      <c r="A1" s="643" t="s">
        <v>6129</v>
      </c>
      <c r="B1" s="644"/>
      <c r="C1" s="644"/>
      <c r="D1" s="644"/>
      <c r="E1" s="644"/>
      <c r="F1" s="644"/>
      <c r="G1" s="644"/>
      <c r="H1" s="645"/>
      <c r="I1" s="644"/>
      <c r="J1" s="298" t="s">
        <v>420</v>
      </c>
      <c r="K1" s="644"/>
      <c r="L1" s="644"/>
      <c r="M1" s="644"/>
      <c r="N1" s="644"/>
      <c r="O1" s="644"/>
      <c r="P1" s="644"/>
      <c r="Q1" s="644"/>
      <c r="R1" s="644"/>
      <c r="S1" s="644"/>
      <c r="T1" s="646"/>
      <c r="U1" s="646"/>
    </row>
    <row r="2" ht="32.25" customHeight="1" spans="1:21">
      <c r="A2" s="6" t="s">
        <v>421</v>
      </c>
      <c r="B2" s="6" t="s">
        <v>3571</v>
      </c>
      <c r="C2" s="6" t="s">
        <v>3572</v>
      </c>
      <c r="D2" s="6" t="s">
        <v>6130</v>
      </c>
      <c r="E2" s="6" t="s">
        <v>427</v>
      </c>
      <c r="F2" s="6" t="s">
        <v>6131</v>
      </c>
      <c r="G2" s="8" t="s">
        <v>3574</v>
      </c>
      <c r="H2" s="6" t="s">
        <v>3576</v>
      </c>
      <c r="I2" s="6" t="s">
        <v>443</v>
      </c>
      <c r="J2" s="232" t="s">
        <v>433</v>
      </c>
      <c r="K2" s="232" t="s">
        <v>434</v>
      </c>
      <c r="L2" s="232" t="s">
        <v>6132</v>
      </c>
      <c r="M2" s="232" t="s">
        <v>436</v>
      </c>
      <c r="N2" s="232" t="s">
        <v>437</v>
      </c>
      <c r="O2" s="232" t="s">
        <v>6133</v>
      </c>
      <c r="P2" s="233" t="s">
        <v>6134</v>
      </c>
      <c r="Q2" s="233" t="s">
        <v>3581</v>
      </c>
      <c r="R2" s="233" t="s">
        <v>6135</v>
      </c>
      <c r="S2" s="233" t="s">
        <v>6136</v>
      </c>
      <c r="T2" s="301" t="s">
        <v>444</v>
      </c>
      <c r="U2" s="300"/>
    </row>
    <row r="3" ht="19.5" customHeight="1" spans="1:21">
      <c r="A3" s="647" t="s">
        <v>6137</v>
      </c>
      <c r="B3" s="648" t="s">
        <v>6138</v>
      </c>
      <c r="C3" s="649">
        <f>SUM($C$4,$C16,$C$26,C$36)</f>
        <v>24</v>
      </c>
      <c r="D3" s="650"/>
      <c r="E3" s="650"/>
      <c r="F3" s="650"/>
      <c r="G3" s="650"/>
      <c r="H3" s="651"/>
      <c r="I3" s="652"/>
      <c r="J3" s="650"/>
      <c r="K3" s="652"/>
      <c r="L3" s="650"/>
      <c r="M3" s="650"/>
      <c r="N3" s="650"/>
      <c r="O3" s="652"/>
      <c r="P3" s="652"/>
      <c r="Q3" s="652"/>
      <c r="R3" s="652"/>
      <c r="S3" s="652"/>
      <c r="T3" s="306" t="s">
        <v>445</v>
      </c>
      <c r="U3" s="653"/>
    </row>
    <row r="4" ht="19.5" customHeight="1" spans="1:21">
      <c r="A4" s="647" t="s">
        <v>3007</v>
      </c>
      <c r="B4" s="648" t="s">
        <v>6139</v>
      </c>
      <c r="C4" s="649">
        <f>COUNTA($B$5:$B$15)</f>
        <v>8</v>
      </c>
      <c r="D4" s="650"/>
      <c r="E4" s="650"/>
      <c r="F4" s="650"/>
      <c r="G4" s="650"/>
      <c r="H4" s="651"/>
      <c r="I4" s="652"/>
      <c r="J4" s="650"/>
      <c r="K4" s="652"/>
      <c r="L4" s="650"/>
      <c r="M4" s="650"/>
      <c r="N4" s="650"/>
      <c r="O4" s="652"/>
      <c r="P4" s="652"/>
      <c r="Q4" s="652"/>
      <c r="R4" s="652"/>
      <c r="S4" s="652"/>
      <c r="T4" s="312" t="s">
        <v>447</v>
      </c>
      <c r="U4" s="653"/>
    </row>
    <row r="5" ht="16.5" customHeight="1" spans="1:21">
      <c r="A5" s="654">
        <v>2</v>
      </c>
      <c r="B5" s="20" t="s">
        <v>6140</v>
      </c>
      <c r="C5" s="20"/>
      <c r="D5" s="19"/>
      <c r="E5" s="19" t="s">
        <v>6141</v>
      </c>
      <c r="F5" s="19" t="s">
        <v>1121</v>
      </c>
      <c r="G5" s="19" t="s">
        <v>6142</v>
      </c>
      <c r="H5" s="249"/>
      <c r="I5" s="20"/>
      <c r="J5" s="19" t="s">
        <v>1323</v>
      </c>
      <c r="K5" s="20" t="s">
        <v>500</v>
      </c>
      <c r="L5" s="19"/>
      <c r="M5" s="19" t="s">
        <v>2909</v>
      </c>
      <c r="N5" s="19" t="s">
        <v>6143</v>
      </c>
      <c r="O5" s="20" t="s">
        <v>6144</v>
      </c>
      <c r="P5" s="20" t="s">
        <v>6145</v>
      </c>
      <c r="Q5" s="41">
        <v>0.5</v>
      </c>
      <c r="R5" s="20"/>
      <c r="S5" s="20"/>
      <c r="T5" s="41"/>
      <c r="U5" s="41"/>
    </row>
    <row r="6" ht="16.5" customHeight="1" spans="1:21">
      <c r="A6" s="654">
        <f>A5+1</f>
        <v>3</v>
      </c>
      <c r="B6" s="20" t="s">
        <v>6146</v>
      </c>
      <c r="C6" s="20"/>
      <c r="D6" s="19"/>
      <c r="E6" s="19" t="s">
        <v>6141</v>
      </c>
      <c r="F6" s="19" t="s">
        <v>1121</v>
      </c>
      <c r="G6" s="19" t="s">
        <v>6142</v>
      </c>
      <c r="H6" s="249"/>
      <c r="I6" s="20"/>
      <c r="J6" s="19" t="s">
        <v>1323</v>
      </c>
      <c r="K6" s="20" t="s">
        <v>500</v>
      </c>
      <c r="L6" s="19"/>
      <c r="M6" s="19" t="s">
        <v>2909</v>
      </c>
      <c r="N6" s="19" t="s">
        <v>6143</v>
      </c>
      <c r="O6" s="20" t="s">
        <v>6147</v>
      </c>
      <c r="P6" s="20" t="s">
        <v>6148</v>
      </c>
      <c r="Q6" s="41">
        <v>0.5</v>
      </c>
      <c r="R6" s="20"/>
      <c r="S6" s="20"/>
      <c r="T6" s="41"/>
      <c r="U6" s="41"/>
    </row>
    <row r="7" ht="16.5" customHeight="1" spans="1:21">
      <c r="A7" s="654">
        <v>3</v>
      </c>
      <c r="B7" s="20" t="s">
        <v>6149</v>
      </c>
      <c r="C7" s="20"/>
      <c r="D7" s="19"/>
      <c r="E7" s="19" t="s">
        <v>6141</v>
      </c>
      <c r="F7" s="19" t="s">
        <v>1121</v>
      </c>
      <c r="G7" s="19" t="s">
        <v>6142</v>
      </c>
      <c r="H7" s="364"/>
      <c r="I7" s="20"/>
      <c r="J7" s="19" t="s">
        <v>1323</v>
      </c>
      <c r="K7" s="20" t="s">
        <v>500</v>
      </c>
      <c r="L7" s="19"/>
      <c r="M7" s="19" t="s">
        <v>2909</v>
      </c>
      <c r="N7" s="19" t="s">
        <v>6143</v>
      </c>
      <c r="O7" s="20" t="s">
        <v>6150</v>
      </c>
      <c r="P7" s="20" t="s">
        <v>6151</v>
      </c>
      <c r="Q7" s="41">
        <v>0.5</v>
      </c>
      <c r="R7" s="20"/>
      <c r="S7" s="20"/>
      <c r="T7" s="41"/>
      <c r="U7" s="41"/>
    </row>
    <row r="8" ht="16.5" customHeight="1" spans="1:21">
      <c r="A8" s="654">
        <f>A7+1</f>
        <v>4</v>
      </c>
      <c r="B8" s="20" t="s">
        <v>6152</v>
      </c>
      <c r="C8" s="20"/>
      <c r="D8" s="19"/>
      <c r="E8" s="19" t="s">
        <v>6141</v>
      </c>
      <c r="F8" s="19" t="s">
        <v>1121</v>
      </c>
      <c r="G8" s="19" t="s">
        <v>6142</v>
      </c>
      <c r="H8" s="249"/>
      <c r="I8" s="20"/>
      <c r="J8" s="19" t="s">
        <v>1323</v>
      </c>
      <c r="K8" s="20" t="s">
        <v>500</v>
      </c>
      <c r="L8" s="19"/>
      <c r="M8" s="19" t="s">
        <v>2909</v>
      </c>
      <c r="N8" s="19" t="s">
        <v>6143</v>
      </c>
      <c r="O8" s="20" t="s">
        <v>6153</v>
      </c>
      <c r="P8" s="20" t="s">
        <v>6154</v>
      </c>
      <c r="Q8" s="41">
        <v>0.5</v>
      </c>
      <c r="R8" s="20"/>
      <c r="S8" s="20"/>
      <c r="T8" s="41"/>
      <c r="U8" s="41"/>
    </row>
    <row r="9" ht="16.5" customHeight="1" spans="1:21">
      <c r="A9" s="654">
        <v>4</v>
      </c>
      <c r="B9" s="20" t="s">
        <v>6155</v>
      </c>
      <c r="C9" s="20"/>
      <c r="D9" s="19"/>
      <c r="E9" s="19" t="s">
        <v>6141</v>
      </c>
      <c r="F9" s="19" t="s">
        <v>1121</v>
      </c>
      <c r="G9" s="19" t="s">
        <v>6142</v>
      </c>
      <c r="H9" s="364" t="s">
        <v>518</v>
      </c>
      <c r="I9" s="20"/>
      <c r="J9" s="19" t="s">
        <v>1323</v>
      </c>
      <c r="K9" s="20" t="s">
        <v>500</v>
      </c>
      <c r="L9" s="19"/>
      <c r="M9" s="19" t="s">
        <v>2909</v>
      </c>
      <c r="N9" s="19" t="s">
        <v>6143</v>
      </c>
      <c r="O9" s="20" t="s">
        <v>6156</v>
      </c>
      <c r="P9" s="20" t="s">
        <v>6157</v>
      </c>
      <c r="Q9" s="41">
        <v>0.5</v>
      </c>
      <c r="R9" s="20"/>
      <c r="S9" s="20"/>
      <c r="T9" s="41"/>
      <c r="U9" s="41"/>
    </row>
    <row r="10" ht="16.5" customHeight="1" spans="1:21">
      <c r="A10" s="654">
        <f>A9+1</f>
        <v>5</v>
      </c>
      <c r="B10" s="20" t="s">
        <v>6158</v>
      </c>
      <c r="C10" s="20" t="s">
        <v>6159</v>
      </c>
      <c r="D10" s="19" t="s">
        <v>6160</v>
      </c>
      <c r="E10" s="19" t="s">
        <v>6141</v>
      </c>
      <c r="F10" s="19" t="s">
        <v>1121</v>
      </c>
      <c r="G10" s="19" t="s">
        <v>6161</v>
      </c>
      <c r="H10" s="369"/>
      <c r="I10" s="20" t="s">
        <v>6162</v>
      </c>
      <c r="J10" s="19" t="s">
        <v>1323</v>
      </c>
      <c r="K10" s="20" t="s">
        <v>500</v>
      </c>
      <c r="L10" s="19"/>
      <c r="M10" s="19" t="s">
        <v>2909</v>
      </c>
      <c r="N10" s="19" t="s">
        <v>6143</v>
      </c>
      <c r="O10" s="20" t="s">
        <v>6163</v>
      </c>
      <c r="P10" s="20" t="s">
        <v>6164</v>
      </c>
      <c r="Q10" s="41">
        <v>0.5</v>
      </c>
      <c r="R10" s="20"/>
      <c r="S10" s="20"/>
      <c r="T10" s="41"/>
      <c r="U10" s="41"/>
    </row>
    <row r="11" ht="16.5" customHeight="1" spans="1:21">
      <c r="A11" s="654">
        <v>6</v>
      </c>
      <c r="B11" s="20" t="s">
        <v>6165</v>
      </c>
      <c r="C11" s="20" t="s">
        <v>6166</v>
      </c>
      <c r="D11" s="19" t="s">
        <v>6167</v>
      </c>
      <c r="E11" s="19" t="s">
        <v>6141</v>
      </c>
      <c r="F11" s="19" t="s">
        <v>1121</v>
      </c>
      <c r="G11" s="19" t="s">
        <v>6161</v>
      </c>
      <c r="H11" s="369"/>
      <c r="I11" s="20" t="s">
        <v>6168</v>
      </c>
      <c r="J11" s="19" t="s">
        <v>1323</v>
      </c>
      <c r="K11" s="20" t="s">
        <v>500</v>
      </c>
      <c r="L11" s="19"/>
      <c r="M11" s="19" t="s">
        <v>2909</v>
      </c>
      <c r="N11" s="19" t="s">
        <v>6143</v>
      </c>
      <c r="O11" s="20" t="s">
        <v>6169</v>
      </c>
      <c r="P11" s="20" t="s">
        <v>6170</v>
      </c>
      <c r="Q11" s="41">
        <v>0.5</v>
      </c>
      <c r="R11" s="20"/>
      <c r="S11" s="20"/>
      <c r="T11" s="41"/>
      <c r="U11" s="41"/>
    </row>
    <row r="12" ht="16.5" customHeight="1" spans="1:21">
      <c r="A12" s="654">
        <f>A103+1</f>
        <v>8</v>
      </c>
      <c r="B12" s="20" t="s">
        <v>6171</v>
      </c>
      <c r="C12" s="20" t="s">
        <v>6172</v>
      </c>
      <c r="D12" s="19"/>
      <c r="E12" s="19" t="s">
        <v>6141</v>
      </c>
      <c r="F12" s="19" t="s">
        <v>1121</v>
      </c>
      <c r="G12" s="19" t="s">
        <v>6173</v>
      </c>
      <c r="H12" s="249"/>
      <c r="I12" s="20" t="s">
        <v>6168</v>
      </c>
      <c r="J12" s="19" t="s">
        <v>1323</v>
      </c>
      <c r="K12" s="20" t="s">
        <v>500</v>
      </c>
      <c r="L12" s="19"/>
      <c r="M12" s="19" t="s">
        <v>2909</v>
      </c>
      <c r="N12" s="19" t="s">
        <v>6143</v>
      </c>
      <c r="O12" s="20" t="s">
        <v>6174</v>
      </c>
      <c r="P12" s="20" t="s">
        <v>6175</v>
      </c>
      <c r="Q12" s="41">
        <v>0.5</v>
      </c>
      <c r="R12" s="20"/>
      <c r="S12" s="20"/>
      <c r="T12" s="41"/>
      <c r="U12" s="41"/>
    </row>
    <row r="13" ht="16.5" customHeight="1" spans="1:21">
      <c r="A13" s="654"/>
      <c r="B13" s="20"/>
      <c r="C13" s="649"/>
      <c r="D13" s="19"/>
      <c r="E13" s="19"/>
      <c r="F13" s="19"/>
      <c r="G13" s="19"/>
      <c r="H13" s="364"/>
      <c r="I13" s="20"/>
      <c r="J13" s="19"/>
      <c r="K13" s="20"/>
      <c r="L13" s="19"/>
      <c r="M13" s="19"/>
      <c r="N13" s="19"/>
      <c r="O13" s="20"/>
      <c r="P13" s="20"/>
      <c r="Q13" s="20"/>
      <c r="R13" s="20"/>
      <c r="S13" s="20"/>
      <c r="T13" s="41"/>
      <c r="U13" s="41"/>
    </row>
    <row r="14" ht="16.5" customHeight="1" spans="1:21">
      <c r="A14" s="654"/>
      <c r="B14" s="20"/>
      <c r="C14" s="649"/>
      <c r="D14" s="19"/>
      <c r="E14" s="19"/>
      <c r="F14" s="19"/>
      <c r="G14" s="19"/>
      <c r="H14" s="364"/>
      <c r="I14" s="20"/>
      <c r="J14" s="19"/>
      <c r="K14" s="20"/>
      <c r="L14" s="19"/>
      <c r="M14" s="19"/>
      <c r="N14" s="19"/>
      <c r="O14" s="20"/>
      <c r="P14" s="20"/>
      <c r="Q14" s="20"/>
      <c r="R14" s="20"/>
      <c r="S14" s="20"/>
      <c r="T14" s="41"/>
      <c r="U14" s="41"/>
    </row>
    <row r="15" ht="16.5" customHeight="1" spans="1:21">
      <c r="A15" s="654"/>
      <c r="B15" s="20"/>
      <c r="C15" s="649" t="s">
        <v>4844</v>
      </c>
      <c r="D15" s="19"/>
      <c r="E15" s="19"/>
      <c r="F15" s="19"/>
      <c r="G15" s="19"/>
      <c r="H15" s="364"/>
      <c r="I15" s="20"/>
      <c r="J15" s="19"/>
      <c r="K15" s="20"/>
      <c r="L15" s="19"/>
      <c r="M15" s="19"/>
      <c r="N15" s="19"/>
      <c r="O15" s="20"/>
      <c r="P15" s="20"/>
      <c r="Q15" s="20"/>
      <c r="R15" s="20"/>
      <c r="S15" s="20"/>
      <c r="T15" s="41"/>
      <c r="U15" s="41"/>
    </row>
    <row r="16" ht="19.5" customHeight="1" spans="1:21">
      <c r="A16" s="647" t="s">
        <v>3335</v>
      </c>
      <c r="B16" s="648" t="s">
        <v>6176</v>
      </c>
      <c r="C16" s="649">
        <f>COUNTA($B$17:$B$25)</f>
        <v>8</v>
      </c>
      <c r="D16" s="650"/>
      <c r="E16" s="650"/>
      <c r="F16" s="650"/>
      <c r="G16" s="650"/>
      <c r="H16" s="651"/>
      <c r="I16" s="652"/>
      <c r="J16" s="650"/>
      <c r="K16" s="652"/>
      <c r="L16" s="650"/>
      <c r="M16" s="650"/>
      <c r="N16" s="650"/>
      <c r="O16" s="652"/>
      <c r="P16" s="652"/>
      <c r="Q16" s="652"/>
      <c r="R16" s="652"/>
      <c r="S16" s="652"/>
      <c r="T16" s="653"/>
      <c r="U16" s="653"/>
    </row>
    <row r="17" ht="16.5" customHeight="1" spans="1:21">
      <c r="A17" s="654">
        <v>1</v>
      </c>
      <c r="B17" s="20" t="s">
        <v>6177</v>
      </c>
      <c r="C17" s="20"/>
      <c r="D17" s="19"/>
      <c r="E17" s="19" t="s">
        <v>6141</v>
      </c>
      <c r="F17" s="19" t="s">
        <v>1250</v>
      </c>
      <c r="G17" s="19" t="s">
        <v>6161</v>
      </c>
      <c r="H17" s="249"/>
      <c r="I17" s="20"/>
      <c r="J17" s="19" t="s">
        <v>1323</v>
      </c>
      <c r="K17" s="20" t="s">
        <v>500</v>
      </c>
      <c r="L17" s="19"/>
      <c r="M17" s="19" t="s">
        <v>2909</v>
      </c>
      <c r="N17" s="19" t="s">
        <v>6143</v>
      </c>
      <c r="O17" s="20" t="s">
        <v>6178</v>
      </c>
      <c r="P17" s="20" t="s">
        <v>6179</v>
      </c>
      <c r="Q17" s="41">
        <v>0.5</v>
      </c>
      <c r="R17" s="20"/>
      <c r="S17" s="20"/>
      <c r="T17" s="41"/>
      <c r="U17" s="41"/>
    </row>
    <row r="18" ht="16.5" customHeight="1" spans="1:21">
      <c r="A18" s="654">
        <v>2</v>
      </c>
      <c r="B18" s="20" t="s">
        <v>6180</v>
      </c>
      <c r="C18" s="20"/>
      <c r="D18" s="19"/>
      <c r="E18" s="19" t="s">
        <v>6141</v>
      </c>
      <c r="F18" s="19" t="s">
        <v>1250</v>
      </c>
      <c r="G18" s="19" t="s">
        <v>6161</v>
      </c>
      <c r="H18" s="249"/>
      <c r="I18" s="20"/>
      <c r="J18" s="19" t="s">
        <v>1323</v>
      </c>
      <c r="K18" s="20" t="s">
        <v>500</v>
      </c>
      <c r="L18" s="19"/>
      <c r="M18" s="19" t="s">
        <v>2909</v>
      </c>
      <c r="N18" s="19" t="s">
        <v>6143</v>
      </c>
      <c r="O18" s="20" t="s">
        <v>6181</v>
      </c>
      <c r="P18" s="20" t="s">
        <v>6182</v>
      </c>
      <c r="Q18" s="41">
        <v>0.5</v>
      </c>
      <c r="R18" s="20"/>
      <c r="S18" s="20"/>
      <c r="T18" s="41"/>
      <c r="U18" s="41"/>
    </row>
    <row r="19" ht="16.5" customHeight="1" spans="1:21">
      <c r="A19" s="654">
        <v>3</v>
      </c>
      <c r="B19" s="20" t="s">
        <v>6183</v>
      </c>
      <c r="C19" s="20"/>
      <c r="D19" s="19"/>
      <c r="E19" s="19" t="s">
        <v>6141</v>
      </c>
      <c r="F19" s="19" t="s">
        <v>1250</v>
      </c>
      <c r="G19" s="19" t="s">
        <v>6161</v>
      </c>
      <c r="H19" s="364"/>
      <c r="I19" s="20"/>
      <c r="J19" s="19" t="s">
        <v>1323</v>
      </c>
      <c r="K19" s="20" t="s">
        <v>500</v>
      </c>
      <c r="L19" s="19"/>
      <c r="M19" s="19" t="s">
        <v>2909</v>
      </c>
      <c r="N19" s="19" t="s">
        <v>6143</v>
      </c>
      <c r="O19" s="20" t="s">
        <v>6184</v>
      </c>
      <c r="P19" s="20" t="s">
        <v>6185</v>
      </c>
      <c r="Q19" s="41">
        <v>0.5</v>
      </c>
      <c r="R19" s="20"/>
      <c r="S19" s="20"/>
      <c r="T19" s="41"/>
      <c r="U19" s="41"/>
    </row>
    <row r="20" ht="16.5" customHeight="1" spans="1:21">
      <c r="A20" s="654">
        <v>4</v>
      </c>
      <c r="B20" s="20" t="s">
        <v>6186</v>
      </c>
      <c r="C20" s="20"/>
      <c r="D20" s="19"/>
      <c r="E20" s="19" t="s">
        <v>6141</v>
      </c>
      <c r="F20" s="19" t="s">
        <v>1250</v>
      </c>
      <c r="G20" s="19" t="s">
        <v>6161</v>
      </c>
      <c r="H20" s="249"/>
      <c r="I20" s="20"/>
      <c r="J20" s="19" t="s">
        <v>1323</v>
      </c>
      <c r="K20" s="20" t="s">
        <v>500</v>
      </c>
      <c r="L20" s="19"/>
      <c r="M20" s="19" t="s">
        <v>2909</v>
      </c>
      <c r="N20" s="19" t="s">
        <v>6143</v>
      </c>
      <c r="O20" s="20" t="s">
        <v>6187</v>
      </c>
      <c r="P20" s="20" t="s">
        <v>6188</v>
      </c>
      <c r="Q20" s="41">
        <v>0.5</v>
      </c>
      <c r="R20" s="20"/>
      <c r="S20" s="20"/>
      <c r="T20" s="41"/>
      <c r="U20" s="41"/>
    </row>
    <row r="21" ht="16.5" customHeight="1" spans="1:21">
      <c r="A21" s="654">
        <v>5</v>
      </c>
      <c r="B21" s="20" t="s">
        <v>6189</v>
      </c>
      <c r="C21" s="20"/>
      <c r="D21" s="19"/>
      <c r="E21" s="19" t="s">
        <v>6141</v>
      </c>
      <c r="F21" s="19" t="s">
        <v>1250</v>
      </c>
      <c r="G21" s="19" t="s">
        <v>6161</v>
      </c>
      <c r="H21" s="249"/>
      <c r="I21" s="20"/>
      <c r="J21" s="19" t="s">
        <v>1323</v>
      </c>
      <c r="K21" s="20" t="s">
        <v>500</v>
      </c>
      <c r="L21" s="19"/>
      <c r="M21" s="19" t="s">
        <v>2909</v>
      </c>
      <c r="N21" s="19" t="s">
        <v>6143</v>
      </c>
      <c r="O21" s="20" t="s">
        <v>6190</v>
      </c>
      <c r="P21" s="20" t="s">
        <v>6191</v>
      </c>
      <c r="Q21" s="41">
        <v>0.5</v>
      </c>
      <c r="R21" s="20"/>
      <c r="S21" s="20"/>
      <c r="T21" s="41"/>
      <c r="U21" s="41"/>
    </row>
    <row r="22" ht="16.5" customHeight="1" spans="1:21">
      <c r="A22" s="654">
        <v>6</v>
      </c>
      <c r="B22" s="20" t="s">
        <v>6192</v>
      </c>
      <c r="C22" s="20"/>
      <c r="D22" s="19"/>
      <c r="E22" s="19" t="s">
        <v>6141</v>
      </c>
      <c r="F22" s="19" t="s">
        <v>1250</v>
      </c>
      <c r="G22" s="19" t="s">
        <v>6161</v>
      </c>
      <c r="H22" s="364"/>
      <c r="I22" s="20"/>
      <c r="J22" s="19" t="s">
        <v>1323</v>
      </c>
      <c r="K22" s="20" t="s">
        <v>500</v>
      </c>
      <c r="L22" s="19"/>
      <c r="M22" s="19" t="s">
        <v>2909</v>
      </c>
      <c r="N22" s="19" t="s">
        <v>6143</v>
      </c>
      <c r="O22" s="20" t="s">
        <v>6193</v>
      </c>
      <c r="P22" s="20" t="s">
        <v>6194</v>
      </c>
      <c r="Q22" s="41">
        <v>0.5</v>
      </c>
      <c r="R22" s="20"/>
      <c r="S22" s="20"/>
      <c r="T22" s="41"/>
      <c r="U22" s="41"/>
    </row>
    <row r="23" ht="16.5" customHeight="1" spans="1:21">
      <c r="A23" s="654">
        <v>7</v>
      </c>
      <c r="B23" s="20" t="s">
        <v>6195</v>
      </c>
      <c r="C23" s="20"/>
      <c r="D23" s="19"/>
      <c r="E23" s="19" t="s">
        <v>6141</v>
      </c>
      <c r="F23" s="19" t="s">
        <v>1250</v>
      </c>
      <c r="G23" s="19" t="s">
        <v>6161</v>
      </c>
      <c r="H23" s="249"/>
      <c r="I23" s="20"/>
      <c r="J23" s="19" t="s">
        <v>1323</v>
      </c>
      <c r="K23" s="20" t="s">
        <v>500</v>
      </c>
      <c r="L23" s="19"/>
      <c r="M23" s="19" t="s">
        <v>2909</v>
      </c>
      <c r="N23" s="19" t="s">
        <v>6143</v>
      </c>
      <c r="O23" s="20" t="s">
        <v>6196</v>
      </c>
      <c r="P23" s="20" t="s">
        <v>6197</v>
      </c>
      <c r="Q23" s="41">
        <v>0.5</v>
      </c>
      <c r="R23" s="20"/>
      <c r="S23" s="20"/>
      <c r="T23" s="41"/>
      <c r="U23" s="41"/>
    </row>
    <row r="24" ht="16.5" customHeight="1" spans="1:21">
      <c r="A24" s="654">
        <v>8</v>
      </c>
      <c r="B24" s="20" t="s">
        <v>6198</v>
      </c>
      <c r="C24" s="20"/>
      <c r="D24" s="19"/>
      <c r="E24" s="19" t="s">
        <v>6141</v>
      </c>
      <c r="F24" s="19" t="s">
        <v>1250</v>
      </c>
      <c r="G24" s="19" t="s">
        <v>6161</v>
      </c>
      <c r="H24" s="249"/>
      <c r="I24" s="20"/>
      <c r="J24" s="19" t="s">
        <v>1323</v>
      </c>
      <c r="K24" s="20" t="s">
        <v>500</v>
      </c>
      <c r="L24" s="19"/>
      <c r="M24" s="19" t="s">
        <v>2909</v>
      </c>
      <c r="N24" s="19" t="s">
        <v>6143</v>
      </c>
      <c r="O24" s="20" t="s">
        <v>6199</v>
      </c>
      <c r="P24" s="20" t="s">
        <v>6200</v>
      </c>
      <c r="Q24" s="41">
        <v>0.5</v>
      </c>
      <c r="R24" s="20"/>
      <c r="S24" s="20"/>
      <c r="T24" s="41"/>
      <c r="U24" s="41"/>
    </row>
    <row r="25" ht="16.5" hidden="1" customHeight="1" spans="1:21">
      <c r="A25" s="654"/>
      <c r="B25" s="20"/>
      <c r="C25" s="649" t="s">
        <v>4844</v>
      </c>
      <c r="D25" s="19"/>
      <c r="E25" s="19"/>
      <c r="F25" s="19"/>
      <c r="G25" s="19"/>
      <c r="H25" s="249"/>
      <c r="I25" s="20"/>
      <c r="J25" s="19"/>
      <c r="K25" s="20"/>
      <c r="L25" s="19"/>
      <c r="M25" s="19"/>
      <c r="N25" s="19"/>
      <c r="O25" s="20"/>
      <c r="P25" s="20"/>
      <c r="Q25" s="20"/>
      <c r="R25" s="20"/>
      <c r="S25" s="20"/>
      <c r="T25" s="41"/>
      <c r="U25" s="41"/>
    </row>
    <row r="26" ht="16.5" customHeight="1" spans="1:21">
      <c r="A26" s="655" t="s">
        <v>3352</v>
      </c>
      <c r="B26" s="656" t="s">
        <v>6201</v>
      </c>
      <c r="C26" s="657">
        <f>COUNTA($B$27:$B$35)</f>
        <v>8</v>
      </c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9"/>
      <c r="U26" s="659"/>
    </row>
    <row r="27" ht="16.5" customHeight="1" spans="1:21">
      <c r="A27" s="654">
        <v>1</v>
      </c>
      <c r="B27" s="20" t="s">
        <v>6202</v>
      </c>
      <c r="C27" s="20"/>
      <c r="D27" s="19"/>
      <c r="E27" s="19" t="s">
        <v>6141</v>
      </c>
      <c r="F27" s="19" t="s">
        <v>1348</v>
      </c>
      <c r="G27" s="19" t="s">
        <v>6161</v>
      </c>
      <c r="H27" s="368"/>
      <c r="I27" s="20"/>
      <c r="J27" s="19" t="s">
        <v>1323</v>
      </c>
      <c r="K27" s="20" t="s">
        <v>500</v>
      </c>
      <c r="L27" s="19"/>
      <c r="M27" s="19" t="s">
        <v>2909</v>
      </c>
      <c r="N27" s="19" t="s">
        <v>6143</v>
      </c>
      <c r="O27" s="20" t="s">
        <v>6203</v>
      </c>
      <c r="P27" s="20" t="s">
        <v>6204</v>
      </c>
      <c r="Q27" s="41">
        <v>0.5</v>
      </c>
      <c r="R27" s="20"/>
      <c r="S27" s="20"/>
      <c r="T27" s="41"/>
      <c r="U27" s="41"/>
    </row>
    <row r="28" ht="16.5" customHeight="1" spans="1:21">
      <c r="A28" s="654">
        <f t="shared" ref="A28:A34" si="0">A27+1</f>
        <v>2</v>
      </c>
      <c r="B28" s="20" t="s">
        <v>6205</v>
      </c>
      <c r="C28" s="20"/>
      <c r="D28" s="19"/>
      <c r="E28" s="19" t="s">
        <v>6141</v>
      </c>
      <c r="F28" s="19" t="s">
        <v>1348</v>
      </c>
      <c r="G28" s="19" t="s">
        <v>6161</v>
      </c>
      <c r="H28" s="369"/>
      <c r="I28" s="20"/>
      <c r="J28" s="19" t="s">
        <v>1323</v>
      </c>
      <c r="K28" s="20" t="s">
        <v>500</v>
      </c>
      <c r="L28" s="19"/>
      <c r="M28" s="19" t="s">
        <v>2909</v>
      </c>
      <c r="N28" s="19" t="s">
        <v>6143</v>
      </c>
      <c r="O28" s="20" t="s">
        <v>6206</v>
      </c>
      <c r="P28" s="20" t="s">
        <v>6207</v>
      </c>
      <c r="Q28" s="41">
        <v>0.5</v>
      </c>
      <c r="R28" s="20"/>
      <c r="S28" s="20"/>
      <c r="T28" s="41"/>
      <c r="U28" s="41"/>
    </row>
    <row r="29" ht="16.5" customHeight="1" spans="1:21">
      <c r="A29" s="654">
        <f t="shared" si="0"/>
        <v>3</v>
      </c>
      <c r="B29" s="20" t="s">
        <v>6208</v>
      </c>
      <c r="C29" s="20"/>
      <c r="D29" s="19"/>
      <c r="E29" s="19" t="s">
        <v>6141</v>
      </c>
      <c r="F29" s="19" t="s">
        <v>1348</v>
      </c>
      <c r="G29" s="19" t="s">
        <v>6161</v>
      </c>
      <c r="H29" s="369"/>
      <c r="I29" s="20"/>
      <c r="J29" s="19" t="s">
        <v>1323</v>
      </c>
      <c r="K29" s="20" t="s">
        <v>500</v>
      </c>
      <c r="L29" s="19"/>
      <c r="M29" s="19" t="s">
        <v>2909</v>
      </c>
      <c r="N29" s="19" t="s">
        <v>6143</v>
      </c>
      <c r="O29" s="20" t="s">
        <v>6209</v>
      </c>
      <c r="P29" s="20" t="s">
        <v>6210</v>
      </c>
      <c r="Q29" s="41">
        <v>0.5</v>
      </c>
      <c r="R29" s="20"/>
      <c r="S29" s="20"/>
      <c r="T29" s="41"/>
      <c r="U29" s="41"/>
    </row>
    <row r="30" ht="16.5" customHeight="1" spans="1:21">
      <c r="A30" s="654">
        <f t="shared" si="0"/>
        <v>4</v>
      </c>
      <c r="B30" s="20" t="s">
        <v>6211</v>
      </c>
      <c r="C30" s="20"/>
      <c r="D30" s="19"/>
      <c r="E30" s="19" t="s">
        <v>6141</v>
      </c>
      <c r="F30" s="19" t="s">
        <v>1348</v>
      </c>
      <c r="G30" s="19" t="s">
        <v>6161</v>
      </c>
      <c r="H30" s="368"/>
      <c r="I30" s="20"/>
      <c r="J30" s="19" t="s">
        <v>1323</v>
      </c>
      <c r="K30" s="20" t="s">
        <v>500</v>
      </c>
      <c r="L30" s="19"/>
      <c r="M30" s="19" t="s">
        <v>2909</v>
      </c>
      <c r="N30" s="19" t="s">
        <v>6143</v>
      </c>
      <c r="O30" s="20" t="s">
        <v>6212</v>
      </c>
      <c r="P30" s="20" t="s">
        <v>6213</v>
      </c>
      <c r="Q30" s="41">
        <v>0.5</v>
      </c>
      <c r="R30" s="20"/>
      <c r="S30" s="20"/>
      <c r="T30" s="41"/>
      <c r="U30" s="41"/>
    </row>
    <row r="31" ht="16.5" customHeight="1" spans="1:21">
      <c r="A31" s="654">
        <f t="shared" si="0"/>
        <v>5</v>
      </c>
      <c r="B31" s="20" t="s">
        <v>6214</v>
      </c>
      <c r="C31" s="20"/>
      <c r="D31" s="19"/>
      <c r="E31" s="19" t="s">
        <v>6141</v>
      </c>
      <c r="F31" s="19" t="s">
        <v>1348</v>
      </c>
      <c r="G31" s="19" t="s">
        <v>6161</v>
      </c>
      <c r="H31" s="369"/>
      <c r="I31" s="20"/>
      <c r="J31" s="19" t="s">
        <v>1323</v>
      </c>
      <c r="K31" s="20" t="s">
        <v>500</v>
      </c>
      <c r="L31" s="19"/>
      <c r="M31" s="19" t="s">
        <v>2909</v>
      </c>
      <c r="N31" s="19" t="s">
        <v>6143</v>
      </c>
      <c r="O31" s="20" t="s">
        <v>6215</v>
      </c>
      <c r="P31" s="20" t="s">
        <v>6216</v>
      </c>
      <c r="Q31" s="41">
        <v>0.5</v>
      </c>
      <c r="R31" s="20"/>
      <c r="S31" s="20"/>
      <c r="T31" s="41"/>
      <c r="U31" s="41"/>
    </row>
    <row r="32" ht="16.5" customHeight="1" spans="1:21">
      <c r="A32" s="654">
        <f t="shared" si="0"/>
        <v>6</v>
      </c>
      <c r="B32" s="20" t="s">
        <v>6217</v>
      </c>
      <c r="C32" s="20"/>
      <c r="D32" s="19"/>
      <c r="E32" s="19" t="s">
        <v>6141</v>
      </c>
      <c r="F32" s="19" t="s">
        <v>1348</v>
      </c>
      <c r="G32" s="19" t="s">
        <v>6161</v>
      </c>
      <c r="H32" s="369"/>
      <c r="I32" s="20"/>
      <c r="J32" s="19" t="s">
        <v>1323</v>
      </c>
      <c r="K32" s="20" t="s">
        <v>500</v>
      </c>
      <c r="L32" s="19"/>
      <c r="M32" s="19" t="s">
        <v>2909</v>
      </c>
      <c r="N32" s="19" t="s">
        <v>6143</v>
      </c>
      <c r="O32" s="20" t="s">
        <v>6218</v>
      </c>
      <c r="P32" s="20" t="s">
        <v>6219</v>
      </c>
      <c r="Q32" s="41">
        <v>0.5</v>
      </c>
      <c r="R32" s="20"/>
      <c r="S32" s="20"/>
      <c r="T32" s="41"/>
      <c r="U32" s="41"/>
    </row>
    <row r="33" ht="16.5" customHeight="1" spans="1:21">
      <c r="A33" s="654">
        <f t="shared" si="0"/>
        <v>7</v>
      </c>
      <c r="B33" s="20" t="s">
        <v>6220</v>
      </c>
      <c r="C33" s="20"/>
      <c r="D33" s="19"/>
      <c r="E33" s="19" t="s">
        <v>6141</v>
      </c>
      <c r="F33" s="19" t="s">
        <v>1348</v>
      </c>
      <c r="G33" s="19" t="s">
        <v>6161</v>
      </c>
      <c r="H33" s="369"/>
      <c r="I33" s="20"/>
      <c r="J33" s="19" t="s">
        <v>1323</v>
      </c>
      <c r="K33" s="20" t="s">
        <v>500</v>
      </c>
      <c r="L33" s="19"/>
      <c r="M33" s="19" t="s">
        <v>2909</v>
      </c>
      <c r="N33" s="19" t="s">
        <v>6143</v>
      </c>
      <c r="O33" s="20" t="s">
        <v>6221</v>
      </c>
      <c r="P33" s="20" t="s">
        <v>6222</v>
      </c>
      <c r="Q33" s="41">
        <v>0.5</v>
      </c>
      <c r="R33" s="20"/>
      <c r="S33" s="20"/>
      <c r="T33" s="41"/>
      <c r="U33" s="41"/>
    </row>
    <row r="34" ht="16.5" customHeight="1" spans="1:21">
      <c r="A34" s="654">
        <f t="shared" si="0"/>
        <v>8</v>
      </c>
      <c r="B34" s="20" t="s">
        <v>6223</v>
      </c>
      <c r="C34" s="20" t="s">
        <v>6224</v>
      </c>
      <c r="D34" s="19" t="s">
        <v>6225</v>
      </c>
      <c r="E34" s="19" t="s">
        <v>6141</v>
      </c>
      <c r="F34" s="19" t="s">
        <v>1348</v>
      </c>
      <c r="G34" s="19" t="s">
        <v>6226</v>
      </c>
      <c r="H34" s="369"/>
      <c r="I34" s="20"/>
      <c r="J34" s="19" t="s">
        <v>1323</v>
      </c>
      <c r="K34" s="20" t="s">
        <v>500</v>
      </c>
      <c r="L34" s="19"/>
      <c r="M34" s="19" t="s">
        <v>2909</v>
      </c>
      <c r="N34" s="19" t="s">
        <v>6143</v>
      </c>
      <c r="O34" s="20" t="s">
        <v>6227</v>
      </c>
      <c r="P34" s="20" t="s">
        <v>6228</v>
      </c>
      <c r="Q34" s="41">
        <v>0.5</v>
      </c>
      <c r="R34" s="20"/>
      <c r="S34" s="20"/>
      <c r="T34" s="41"/>
      <c r="U34" s="41"/>
    </row>
    <row r="35" ht="19.5" hidden="1" customHeight="1" spans="1:21">
      <c r="A35" s="647"/>
      <c r="B35" s="648"/>
      <c r="C35" s="649" t="s">
        <v>4844</v>
      </c>
      <c r="D35" s="650"/>
      <c r="E35" s="650"/>
      <c r="F35" s="650"/>
      <c r="G35" s="650"/>
      <c r="H35" s="650"/>
      <c r="I35" s="652"/>
      <c r="J35" s="650"/>
      <c r="K35" s="652"/>
      <c r="L35" s="650"/>
      <c r="M35" s="650"/>
      <c r="N35" s="650"/>
      <c r="O35" s="652"/>
      <c r="P35" s="652"/>
      <c r="Q35" s="652"/>
      <c r="R35" s="652"/>
      <c r="S35" s="652"/>
      <c r="T35" s="653"/>
      <c r="U35" s="653"/>
    </row>
    <row r="36" ht="16.5" customHeight="1" spans="1:21">
      <c r="A36" s="655" t="s">
        <v>3375</v>
      </c>
      <c r="B36" s="656" t="s">
        <v>19</v>
      </c>
      <c r="C36" s="657">
        <f>COUNTA($B$37:$B$38)</f>
        <v>0</v>
      </c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9"/>
      <c r="U36" s="659"/>
    </row>
    <row r="37" ht="19.5" customHeight="1" spans="1:21">
      <c r="A37" s="660"/>
      <c r="B37" s="661"/>
      <c r="C37" s="662"/>
      <c r="D37" s="23"/>
      <c r="E37" s="23"/>
      <c r="F37" s="23"/>
      <c r="G37" s="23"/>
      <c r="H37" s="23"/>
      <c r="I37" s="25"/>
      <c r="J37" s="23"/>
      <c r="K37" s="25"/>
      <c r="L37" s="23"/>
      <c r="M37" s="23"/>
      <c r="N37" s="23"/>
      <c r="O37" s="25"/>
      <c r="P37" s="25"/>
      <c r="Q37" s="25"/>
      <c r="R37" s="25"/>
      <c r="S37" s="25"/>
      <c r="T37" s="611"/>
      <c r="U37" s="611"/>
    </row>
    <row r="38" ht="19.5" hidden="1" customHeight="1" spans="1:21">
      <c r="A38" s="660"/>
      <c r="B38" s="661"/>
      <c r="C38" s="662" t="s">
        <v>2536</v>
      </c>
      <c r="D38" s="23"/>
      <c r="E38" s="23"/>
      <c r="F38" s="23"/>
      <c r="G38" s="23"/>
      <c r="H38" s="23"/>
      <c r="I38" s="25"/>
      <c r="J38" s="23"/>
      <c r="K38" s="25"/>
      <c r="L38" s="23"/>
      <c r="M38" s="23"/>
      <c r="N38" s="23"/>
      <c r="O38" s="25"/>
      <c r="P38" s="25"/>
      <c r="Q38" s="25"/>
      <c r="R38" s="25"/>
      <c r="S38" s="25"/>
      <c r="T38" s="611"/>
      <c r="U38" s="611"/>
    </row>
    <row r="39" ht="19.5" customHeight="1" spans="1:21">
      <c r="A39" s="647" t="s">
        <v>6229</v>
      </c>
      <c r="B39" s="648" t="s">
        <v>6230</v>
      </c>
      <c r="C39" s="649">
        <f>SUM($C$40,$C$54,$C$70)</f>
        <v>29</v>
      </c>
      <c r="D39" s="650"/>
      <c r="E39" s="650"/>
      <c r="F39" s="650"/>
      <c r="G39" s="650"/>
      <c r="H39" s="650"/>
      <c r="I39" s="652"/>
      <c r="J39" s="650"/>
      <c r="K39" s="652"/>
      <c r="L39" s="650"/>
      <c r="M39" s="650"/>
      <c r="N39" s="650"/>
      <c r="O39" s="652"/>
      <c r="P39" s="652"/>
      <c r="Q39" s="652"/>
      <c r="R39" s="652"/>
      <c r="S39" s="652"/>
      <c r="T39" s="653"/>
      <c r="U39" s="653"/>
    </row>
    <row r="40" ht="19.5" customHeight="1" spans="1:21">
      <c r="A40" s="647" t="s">
        <v>3007</v>
      </c>
      <c r="B40" s="648" t="s">
        <v>6231</v>
      </c>
      <c r="C40" s="649">
        <f>COUNTA($B$41:$B$53)</f>
        <v>11</v>
      </c>
      <c r="D40" s="650"/>
      <c r="E40" s="650"/>
      <c r="F40" s="650"/>
      <c r="G40" s="650"/>
      <c r="H40" s="650"/>
      <c r="I40" s="652"/>
      <c r="J40" s="650"/>
      <c r="K40" s="652"/>
      <c r="L40" s="650"/>
      <c r="M40" s="650"/>
      <c r="N40" s="650"/>
      <c r="O40" s="652"/>
      <c r="P40" s="652"/>
      <c r="Q40" s="652"/>
      <c r="R40" s="652"/>
      <c r="S40" s="652"/>
      <c r="T40" s="653"/>
      <c r="U40" s="653"/>
    </row>
    <row r="41" ht="16.5" customHeight="1" spans="1:21">
      <c r="A41" s="654">
        <v>1</v>
      </c>
      <c r="B41" s="20" t="s">
        <v>6232</v>
      </c>
      <c r="C41" s="20" t="s">
        <v>6233</v>
      </c>
      <c r="D41" s="19"/>
      <c r="E41" s="19" t="s">
        <v>6141</v>
      </c>
      <c r="F41" s="19" t="s">
        <v>1471</v>
      </c>
      <c r="G41" s="19" t="s">
        <v>6161</v>
      </c>
      <c r="H41" s="364"/>
      <c r="I41" s="20"/>
      <c r="J41" s="19" t="s">
        <v>1323</v>
      </c>
      <c r="K41" s="20" t="s">
        <v>500</v>
      </c>
      <c r="L41" s="19"/>
      <c r="M41" s="19" t="s">
        <v>2909</v>
      </c>
      <c r="N41" s="19" t="s">
        <v>6143</v>
      </c>
      <c r="O41" s="20" t="s">
        <v>6234</v>
      </c>
      <c r="P41" s="20" t="s">
        <v>6235</v>
      </c>
      <c r="Q41" s="41">
        <v>0.5</v>
      </c>
      <c r="R41" s="20"/>
      <c r="S41" s="20"/>
      <c r="T41" s="41"/>
      <c r="U41" s="41"/>
    </row>
    <row r="42" ht="16.5" customHeight="1" spans="1:21">
      <c r="A42" s="654">
        <f>A41+1</f>
        <v>2</v>
      </c>
      <c r="B42" s="20" t="s">
        <v>6236</v>
      </c>
      <c r="C42" s="20" t="s">
        <v>6237</v>
      </c>
      <c r="D42" s="19"/>
      <c r="E42" s="19" t="s">
        <v>6141</v>
      </c>
      <c r="F42" s="19" t="s">
        <v>1471</v>
      </c>
      <c r="G42" s="19" t="s">
        <v>6161</v>
      </c>
      <c r="H42" s="364"/>
      <c r="I42" s="25"/>
      <c r="J42" s="19" t="s">
        <v>1323</v>
      </c>
      <c r="K42" s="20" t="s">
        <v>500</v>
      </c>
      <c r="L42" s="19"/>
      <c r="M42" s="19" t="s">
        <v>2909</v>
      </c>
      <c r="N42" s="19" t="s">
        <v>6143</v>
      </c>
      <c r="O42" s="38" t="s">
        <v>6238</v>
      </c>
      <c r="P42" s="20" t="s">
        <v>6239</v>
      </c>
      <c r="Q42" s="41">
        <v>0.5</v>
      </c>
      <c r="R42" s="20"/>
      <c r="S42" s="20"/>
      <c r="T42" s="41"/>
      <c r="U42" s="41"/>
    </row>
    <row r="43" ht="16.5" customHeight="1" spans="1:21">
      <c r="A43" s="654">
        <v>3</v>
      </c>
      <c r="B43" s="20" t="s">
        <v>6240</v>
      </c>
      <c r="C43" s="38" t="s">
        <v>6240</v>
      </c>
      <c r="D43" s="49"/>
      <c r="E43" s="49" t="s">
        <v>6141</v>
      </c>
      <c r="F43" s="19" t="s">
        <v>1471</v>
      </c>
      <c r="G43" s="49" t="s">
        <v>6161</v>
      </c>
      <c r="H43" s="249"/>
      <c r="I43" s="25" t="s">
        <v>6241</v>
      </c>
      <c r="J43" s="49" t="s">
        <v>1323</v>
      </c>
      <c r="K43" s="38" t="s">
        <v>500</v>
      </c>
      <c r="L43" s="49"/>
      <c r="M43" s="49" t="s">
        <v>2909</v>
      </c>
      <c r="N43" s="49" t="s">
        <v>6143</v>
      </c>
      <c r="O43" s="38" t="s">
        <v>6242</v>
      </c>
      <c r="P43" s="38" t="s">
        <v>6243</v>
      </c>
      <c r="Q43" s="41">
        <v>0.5</v>
      </c>
      <c r="R43" s="38"/>
      <c r="S43" s="38"/>
      <c r="T43" s="41"/>
      <c r="U43" s="41"/>
    </row>
    <row r="44" ht="16.5" customHeight="1" spans="1:21">
      <c r="A44" s="654">
        <f>A43+1</f>
        <v>4</v>
      </c>
      <c r="B44" s="20" t="s">
        <v>6244</v>
      </c>
      <c r="C44" s="20" t="s">
        <v>6245</v>
      </c>
      <c r="D44" s="19"/>
      <c r="E44" s="19" t="s">
        <v>6141</v>
      </c>
      <c r="F44" s="19" t="s">
        <v>1471</v>
      </c>
      <c r="G44" s="19" t="s">
        <v>6161</v>
      </c>
      <c r="H44" s="249"/>
      <c r="I44" s="25" t="s">
        <v>6241</v>
      </c>
      <c r="J44" s="19" t="s">
        <v>1323</v>
      </c>
      <c r="K44" s="20" t="s">
        <v>500</v>
      </c>
      <c r="L44" s="19"/>
      <c r="M44" s="19" t="s">
        <v>2909</v>
      </c>
      <c r="N44" s="19" t="s">
        <v>6143</v>
      </c>
      <c r="O44" s="20" t="s">
        <v>6246</v>
      </c>
      <c r="P44" s="20" t="s">
        <v>6247</v>
      </c>
      <c r="Q44" s="41">
        <v>0.5</v>
      </c>
      <c r="R44" s="20"/>
      <c r="S44" s="20"/>
      <c r="T44" s="41"/>
      <c r="U44" s="41"/>
    </row>
    <row r="45" ht="16.5" customHeight="1" spans="1:21">
      <c r="A45" s="654">
        <v>5</v>
      </c>
      <c r="B45" s="20" t="s">
        <v>6248</v>
      </c>
      <c r="C45" s="38" t="s">
        <v>6249</v>
      </c>
      <c r="D45" s="49"/>
      <c r="E45" s="49" t="s">
        <v>6141</v>
      </c>
      <c r="F45" s="19" t="s">
        <v>1471</v>
      </c>
      <c r="G45" s="49" t="s">
        <v>6161</v>
      </c>
      <c r="H45" s="249"/>
      <c r="I45" s="25" t="s">
        <v>6241</v>
      </c>
      <c r="J45" s="49" t="s">
        <v>1323</v>
      </c>
      <c r="K45" s="38" t="s">
        <v>500</v>
      </c>
      <c r="L45" s="49"/>
      <c r="M45" s="49" t="s">
        <v>2909</v>
      </c>
      <c r="N45" s="49" t="s">
        <v>6143</v>
      </c>
      <c r="O45" s="38" t="s">
        <v>6250</v>
      </c>
      <c r="P45" s="38" t="s">
        <v>6251</v>
      </c>
      <c r="Q45" s="41">
        <v>0.5</v>
      </c>
      <c r="R45" s="38"/>
      <c r="S45" s="38"/>
      <c r="T45" s="41"/>
      <c r="U45" s="41"/>
    </row>
    <row r="46" ht="16.5" customHeight="1" spans="1:21">
      <c r="A46" s="654">
        <f>A45+1</f>
        <v>6</v>
      </c>
      <c r="B46" s="20" t="s">
        <v>6252</v>
      </c>
      <c r="C46" s="20" t="s">
        <v>6253</v>
      </c>
      <c r="D46" s="19"/>
      <c r="E46" s="19" t="s">
        <v>6141</v>
      </c>
      <c r="F46" s="19" t="s">
        <v>1471</v>
      </c>
      <c r="G46" s="19" t="s">
        <v>6161</v>
      </c>
      <c r="H46" s="249"/>
      <c r="I46" s="25" t="s">
        <v>6241</v>
      </c>
      <c r="J46" s="19" t="s">
        <v>1323</v>
      </c>
      <c r="K46" s="20" t="s">
        <v>500</v>
      </c>
      <c r="L46" s="19"/>
      <c r="M46" s="19" t="s">
        <v>2909</v>
      </c>
      <c r="N46" s="19" t="s">
        <v>6143</v>
      </c>
      <c r="O46" s="20" t="s">
        <v>6254</v>
      </c>
      <c r="P46" s="20" t="s">
        <v>6255</v>
      </c>
      <c r="Q46" s="41">
        <v>0.5</v>
      </c>
      <c r="R46" s="20"/>
      <c r="S46" s="20"/>
      <c r="T46" s="41"/>
      <c r="U46" s="41"/>
    </row>
    <row r="47" ht="16.5" customHeight="1" spans="1:21">
      <c r="A47" s="654">
        <v>7</v>
      </c>
      <c r="B47" s="20" t="s">
        <v>6256</v>
      </c>
      <c r="C47" s="20" t="s">
        <v>6257</v>
      </c>
      <c r="D47" s="19"/>
      <c r="E47" s="19" t="s">
        <v>6141</v>
      </c>
      <c r="F47" s="19" t="s">
        <v>1471</v>
      </c>
      <c r="G47" s="19" t="s">
        <v>6161</v>
      </c>
      <c r="H47" s="364"/>
      <c r="I47" s="25" t="s">
        <v>6258</v>
      </c>
      <c r="J47" s="19" t="s">
        <v>1323</v>
      </c>
      <c r="K47" s="20" t="s">
        <v>500</v>
      </c>
      <c r="L47" s="19"/>
      <c r="M47" s="19" t="s">
        <v>2909</v>
      </c>
      <c r="N47" s="19" t="s">
        <v>6143</v>
      </c>
      <c r="O47" s="20" t="s">
        <v>6259</v>
      </c>
      <c r="P47" s="20" t="s">
        <v>6260</v>
      </c>
      <c r="Q47" s="41">
        <v>0.5</v>
      </c>
      <c r="R47" s="20"/>
      <c r="S47" s="20"/>
      <c r="T47" s="41"/>
      <c r="U47" s="41"/>
    </row>
    <row r="48" ht="16.5" customHeight="1" spans="1:21">
      <c r="A48" s="654">
        <f>A47+1</f>
        <v>8</v>
      </c>
      <c r="B48" s="20" t="s">
        <v>6261</v>
      </c>
      <c r="C48" s="20" t="s">
        <v>6262</v>
      </c>
      <c r="D48" s="19"/>
      <c r="E48" s="19" t="s">
        <v>6141</v>
      </c>
      <c r="F48" s="19" t="s">
        <v>1471</v>
      </c>
      <c r="G48" s="19" t="s">
        <v>6161</v>
      </c>
      <c r="H48" s="249"/>
      <c r="I48" s="25" t="s">
        <v>6258</v>
      </c>
      <c r="J48" s="19" t="s">
        <v>1323</v>
      </c>
      <c r="K48" s="20" t="s">
        <v>500</v>
      </c>
      <c r="L48" s="19"/>
      <c r="M48" s="19" t="s">
        <v>2909</v>
      </c>
      <c r="N48" s="19" t="s">
        <v>6143</v>
      </c>
      <c r="O48" s="20" t="s">
        <v>6263</v>
      </c>
      <c r="P48" s="20" t="s">
        <v>6264</v>
      </c>
      <c r="Q48" s="41">
        <v>0.5</v>
      </c>
      <c r="R48" s="20"/>
      <c r="S48" s="20"/>
    </row>
    <row r="49" ht="16.5" customHeight="1" spans="1:21">
      <c r="A49" s="654">
        <v>9</v>
      </c>
      <c r="B49" s="20" t="s">
        <v>6265</v>
      </c>
      <c r="C49" s="20" t="s">
        <v>6266</v>
      </c>
      <c r="D49" s="19"/>
      <c r="E49" s="19" t="s">
        <v>6141</v>
      </c>
      <c r="F49" s="19" t="s">
        <v>1471</v>
      </c>
      <c r="G49" s="19" t="s">
        <v>6173</v>
      </c>
      <c r="H49" s="249"/>
      <c r="I49" s="25" t="s">
        <v>6267</v>
      </c>
      <c r="J49" s="19" t="s">
        <v>1323</v>
      </c>
      <c r="K49" s="20" t="s">
        <v>500</v>
      </c>
      <c r="L49" s="19"/>
      <c r="M49" s="19" t="s">
        <v>2909</v>
      </c>
      <c r="N49" s="19" t="s">
        <v>6143</v>
      </c>
      <c r="O49" s="20" t="s">
        <v>6268</v>
      </c>
      <c r="P49" s="20" t="s">
        <v>6269</v>
      </c>
      <c r="Q49" s="41">
        <v>0.5</v>
      </c>
      <c r="R49" s="20"/>
      <c r="S49" s="20"/>
      <c r="T49" s="41"/>
      <c r="U49" s="41"/>
    </row>
    <row r="50" ht="16.5" customHeight="1" spans="1:21">
      <c r="A50" s="654">
        <f>A49+1</f>
        <v>10</v>
      </c>
      <c r="B50" s="20" t="s">
        <v>6270</v>
      </c>
      <c r="C50" s="20" t="s">
        <v>6271</v>
      </c>
      <c r="D50" s="19"/>
      <c r="E50" s="19" t="s">
        <v>6141</v>
      </c>
      <c r="F50" s="19" t="s">
        <v>1471</v>
      </c>
      <c r="G50" s="19" t="s">
        <v>6173</v>
      </c>
      <c r="H50" s="249"/>
      <c r="I50" s="25" t="s">
        <v>6267</v>
      </c>
      <c r="J50" s="19" t="s">
        <v>1323</v>
      </c>
      <c r="K50" s="20" t="s">
        <v>500</v>
      </c>
      <c r="L50" s="19"/>
      <c r="M50" s="19" t="s">
        <v>2909</v>
      </c>
      <c r="N50" s="19" t="s">
        <v>6143</v>
      </c>
      <c r="O50" s="20" t="s">
        <v>6272</v>
      </c>
      <c r="P50" s="20" t="s">
        <v>6273</v>
      </c>
      <c r="Q50" s="41">
        <v>0.5</v>
      </c>
      <c r="R50" s="20"/>
      <c r="S50" s="20"/>
      <c r="T50" s="41"/>
      <c r="U50" s="41"/>
    </row>
    <row r="51" ht="16.5" customHeight="1" spans="1:21">
      <c r="A51" s="654">
        <v>11</v>
      </c>
      <c r="B51" s="20" t="s">
        <v>6274</v>
      </c>
      <c r="C51" s="20" t="s">
        <v>6275</v>
      </c>
      <c r="D51" s="19"/>
      <c r="E51" s="19" t="s">
        <v>6141</v>
      </c>
      <c r="F51" s="19" t="s">
        <v>1471</v>
      </c>
      <c r="G51" s="19" t="s">
        <v>6173</v>
      </c>
      <c r="H51" s="249"/>
      <c r="I51" s="25" t="s">
        <v>6267</v>
      </c>
      <c r="J51" s="19" t="s">
        <v>1323</v>
      </c>
      <c r="K51" s="20" t="s">
        <v>500</v>
      </c>
      <c r="L51" s="19"/>
      <c r="M51" s="19" t="s">
        <v>2909</v>
      </c>
      <c r="N51" s="19" t="s">
        <v>6143</v>
      </c>
      <c r="O51" s="20" t="s">
        <v>6276</v>
      </c>
      <c r="P51" s="20" t="s">
        <v>6277</v>
      </c>
      <c r="Q51" s="41">
        <v>0.5</v>
      </c>
      <c r="R51" s="20"/>
      <c r="S51" s="20"/>
      <c r="T51" s="41"/>
      <c r="U51" s="41"/>
    </row>
    <row r="52" ht="16.5" customHeight="1" spans="1:21">
      <c r="A52" s="654"/>
      <c r="B52" s="38"/>
      <c r="C52" s="38"/>
      <c r="D52" s="663"/>
      <c r="E52" s="49"/>
      <c r="F52" s="49"/>
      <c r="G52" s="49"/>
      <c r="H52" s="331"/>
      <c r="I52" s="664"/>
      <c r="J52" s="49"/>
      <c r="K52" s="38"/>
      <c r="L52" s="49"/>
      <c r="M52" s="49"/>
      <c r="N52" s="49"/>
      <c r="O52" s="38"/>
      <c r="P52" s="38"/>
      <c r="Q52" s="38"/>
      <c r="R52" s="38"/>
      <c r="S52" s="38"/>
      <c r="T52" s="622"/>
      <c r="U52" s="622"/>
    </row>
    <row r="53" ht="16.5" customHeight="1" spans="1:21">
      <c r="A53" s="654"/>
      <c r="B53" s="38"/>
      <c r="C53" s="38" t="s">
        <v>4844</v>
      </c>
      <c r="D53" s="663"/>
      <c r="E53" s="49"/>
      <c r="F53" s="49"/>
      <c r="G53" s="49"/>
      <c r="H53" s="331"/>
      <c r="I53" s="664"/>
      <c r="J53" s="49"/>
      <c r="K53" s="38"/>
      <c r="L53" s="49"/>
      <c r="M53" s="49"/>
      <c r="N53" s="49"/>
      <c r="O53" s="38"/>
      <c r="P53" s="38"/>
      <c r="Q53" s="38"/>
      <c r="R53" s="38"/>
      <c r="S53" s="38"/>
      <c r="T53" s="622"/>
      <c r="U53" s="622"/>
    </row>
    <row r="54" ht="19.5" customHeight="1" spans="1:21">
      <c r="A54" s="647" t="s">
        <v>3007</v>
      </c>
      <c r="B54" s="648" t="s">
        <v>6278</v>
      </c>
      <c r="C54" s="649">
        <f>COUNTA($B$55:$B$69)</f>
        <v>14</v>
      </c>
      <c r="D54" s="650"/>
      <c r="E54" s="650"/>
      <c r="F54" s="650"/>
      <c r="G54" s="650"/>
      <c r="H54" s="650"/>
      <c r="I54" s="652"/>
      <c r="J54" s="650"/>
      <c r="K54" s="652"/>
      <c r="L54" s="650"/>
      <c r="M54" s="650"/>
      <c r="N54" s="650"/>
      <c r="O54" s="652"/>
      <c r="P54" s="652"/>
      <c r="Q54" s="652"/>
      <c r="R54" s="652"/>
      <c r="S54" s="652"/>
      <c r="T54" s="653"/>
      <c r="U54" s="653"/>
    </row>
    <row r="55" ht="16.5" customHeight="1" spans="1:21">
      <c r="A55" s="654">
        <v>1</v>
      </c>
      <c r="B55" s="38" t="s">
        <v>6279</v>
      </c>
      <c r="C55" s="38" t="s">
        <v>6280</v>
      </c>
      <c r="D55" s="663"/>
      <c r="E55" s="49" t="s">
        <v>6141</v>
      </c>
      <c r="F55" s="49" t="s">
        <v>1593</v>
      </c>
      <c r="G55" s="49" t="s">
        <v>6161</v>
      </c>
      <c r="H55" s="331"/>
      <c r="I55" s="665" t="s">
        <v>6281</v>
      </c>
      <c r="J55" s="49" t="s">
        <v>1323</v>
      </c>
      <c r="K55" s="38" t="s">
        <v>500</v>
      </c>
      <c r="L55" s="49"/>
      <c r="M55" s="49" t="s">
        <v>2909</v>
      </c>
      <c r="N55" s="49" t="s">
        <v>6143</v>
      </c>
      <c r="O55" s="38" t="s">
        <v>6282</v>
      </c>
      <c r="P55" s="38" t="s">
        <v>6283</v>
      </c>
      <c r="Q55" s="41">
        <v>0.5</v>
      </c>
      <c r="R55" s="38"/>
      <c r="S55" s="38"/>
      <c r="T55" s="41"/>
      <c r="U55" s="41"/>
    </row>
    <row r="56" ht="16.5" customHeight="1" spans="1:21">
      <c r="A56" s="654">
        <f t="shared" ref="A56:A68" si="1">A55+1</f>
        <v>2</v>
      </c>
      <c r="B56" s="38" t="s">
        <v>6284</v>
      </c>
      <c r="C56" s="38" t="s">
        <v>6244</v>
      </c>
      <c r="D56" s="49"/>
      <c r="E56" s="49" t="s">
        <v>6141</v>
      </c>
      <c r="F56" s="49" t="s">
        <v>1593</v>
      </c>
      <c r="G56" s="49" t="s">
        <v>6161</v>
      </c>
      <c r="H56" s="666"/>
      <c r="I56" s="665" t="s">
        <v>6281</v>
      </c>
      <c r="J56" s="49" t="s">
        <v>1323</v>
      </c>
      <c r="K56" s="38" t="s">
        <v>500</v>
      </c>
      <c r="L56" s="49"/>
      <c r="M56" s="49" t="s">
        <v>2909</v>
      </c>
      <c r="N56" s="49" t="s">
        <v>6143</v>
      </c>
      <c r="O56" s="38" t="s">
        <v>6285</v>
      </c>
      <c r="P56" s="38" t="s">
        <v>6286</v>
      </c>
      <c r="Q56" s="41">
        <v>0.5</v>
      </c>
      <c r="R56" s="38"/>
      <c r="S56" s="38"/>
      <c r="T56" s="41"/>
      <c r="U56" s="41"/>
    </row>
    <row r="57" ht="16.5" customHeight="1" spans="1:21">
      <c r="A57" s="654">
        <f t="shared" si="1"/>
        <v>3</v>
      </c>
      <c r="B57" s="38" t="s">
        <v>6287</v>
      </c>
      <c r="C57" s="20"/>
      <c r="D57" s="19"/>
      <c r="E57" s="49" t="s">
        <v>6141</v>
      </c>
      <c r="F57" s="49" t="s">
        <v>1593</v>
      </c>
      <c r="G57" s="58">
        <v>45479</v>
      </c>
      <c r="H57" s="249"/>
      <c r="I57" s="20"/>
      <c r="J57" s="49" t="s">
        <v>1323</v>
      </c>
      <c r="K57" s="38" t="s">
        <v>500</v>
      </c>
      <c r="L57" s="49"/>
      <c r="M57" s="49" t="s">
        <v>2909</v>
      </c>
      <c r="N57" s="49" t="s">
        <v>6143</v>
      </c>
      <c r="O57" s="20" t="s">
        <v>6288</v>
      </c>
      <c r="P57" s="20" t="s">
        <v>6289</v>
      </c>
      <c r="Q57" s="41">
        <v>0.5</v>
      </c>
      <c r="R57" s="20"/>
      <c r="S57" s="20"/>
      <c r="T57" s="41"/>
      <c r="U57" s="41"/>
    </row>
    <row r="58" ht="16.5" customHeight="1" spans="1:21">
      <c r="A58" s="654">
        <f t="shared" si="1"/>
        <v>4</v>
      </c>
      <c r="B58" s="38" t="s">
        <v>6290</v>
      </c>
      <c r="C58" s="20"/>
      <c r="D58" s="19"/>
      <c r="E58" s="49" t="s">
        <v>6141</v>
      </c>
      <c r="F58" s="49" t="s">
        <v>1593</v>
      </c>
      <c r="G58" s="58">
        <v>45479</v>
      </c>
      <c r="H58" s="249"/>
      <c r="I58" s="20"/>
      <c r="J58" s="49" t="s">
        <v>1323</v>
      </c>
      <c r="K58" s="38" t="s">
        <v>500</v>
      </c>
      <c r="L58" s="49"/>
      <c r="M58" s="49" t="s">
        <v>2909</v>
      </c>
      <c r="N58" s="49" t="s">
        <v>6143</v>
      </c>
      <c r="O58" s="20" t="s">
        <v>6291</v>
      </c>
      <c r="P58" s="20" t="s">
        <v>6292</v>
      </c>
      <c r="Q58" s="41">
        <v>0.5</v>
      </c>
      <c r="R58" s="20"/>
      <c r="S58" s="20"/>
      <c r="T58" s="41"/>
      <c r="U58" s="41"/>
    </row>
    <row r="59" ht="16.5" customHeight="1" spans="1:21">
      <c r="A59" s="654">
        <f t="shared" si="1"/>
        <v>5</v>
      </c>
      <c r="B59" s="38" t="s">
        <v>6293</v>
      </c>
      <c r="C59" s="20"/>
      <c r="D59" s="19"/>
      <c r="E59" s="49" t="s">
        <v>6141</v>
      </c>
      <c r="F59" s="49" t="s">
        <v>1593</v>
      </c>
      <c r="G59" s="58">
        <v>45479</v>
      </c>
      <c r="H59" s="249"/>
      <c r="I59" s="20"/>
      <c r="J59" s="49" t="s">
        <v>1323</v>
      </c>
      <c r="K59" s="38" t="s">
        <v>500</v>
      </c>
      <c r="L59" s="49"/>
      <c r="M59" s="49" t="s">
        <v>2909</v>
      </c>
      <c r="N59" s="49" t="s">
        <v>6143</v>
      </c>
      <c r="O59" s="20" t="s">
        <v>6294</v>
      </c>
      <c r="P59" s="20" t="s">
        <v>6295</v>
      </c>
      <c r="Q59" s="41">
        <v>0.5</v>
      </c>
      <c r="R59" s="20"/>
      <c r="S59" s="20"/>
      <c r="T59" s="41"/>
      <c r="U59" s="41"/>
    </row>
    <row r="60" ht="16.5" customHeight="1" spans="1:21">
      <c r="A60" s="654">
        <f t="shared" si="1"/>
        <v>6</v>
      </c>
      <c r="B60" s="38" t="s">
        <v>6296</v>
      </c>
      <c r="C60" s="20"/>
      <c r="D60" s="19"/>
      <c r="E60" s="49" t="s">
        <v>6141</v>
      </c>
      <c r="F60" s="49" t="s">
        <v>1593</v>
      </c>
      <c r="G60" s="58">
        <v>45479</v>
      </c>
      <c r="H60" s="249"/>
      <c r="I60" s="20"/>
      <c r="J60" s="49" t="s">
        <v>1323</v>
      </c>
      <c r="K60" s="38" t="s">
        <v>500</v>
      </c>
      <c r="L60" s="49"/>
      <c r="M60" s="49" t="s">
        <v>2909</v>
      </c>
      <c r="N60" s="49" t="s">
        <v>6143</v>
      </c>
      <c r="O60" s="20" t="s">
        <v>6297</v>
      </c>
      <c r="P60" s="20" t="s">
        <v>6298</v>
      </c>
      <c r="Q60" s="41">
        <v>0.5</v>
      </c>
      <c r="R60" s="20"/>
      <c r="S60" s="20"/>
      <c r="T60" s="41"/>
      <c r="U60" s="41"/>
    </row>
    <row r="61" ht="16.5" customHeight="1" spans="1:21">
      <c r="A61" s="654">
        <f t="shared" si="1"/>
        <v>7</v>
      </c>
      <c r="B61" s="38" t="s">
        <v>6299</v>
      </c>
      <c r="C61" s="20"/>
      <c r="D61" s="19"/>
      <c r="E61" s="49" t="s">
        <v>6141</v>
      </c>
      <c r="F61" s="49" t="s">
        <v>1593</v>
      </c>
      <c r="G61" s="58">
        <v>45479</v>
      </c>
      <c r="H61" s="249"/>
      <c r="I61" s="20"/>
      <c r="J61" s="49" t="s">
        <v>1323</v>
      </c>
      <c r="K61" s="38" t="s">
        <v>500</v>
      </c>
      <c r="L61" s="49"/>
      <c r="M61" s="49" t="s">
        <v>2909</v>
      </c>
      <c r="N61" s="49" t="s">
        <v>6143</v>
      </c>
      <c r="O61" s="20" t="s">
        <v>6300</v>
      </c>
      <c r="P61" s="20" t="s">
        <v>6301</v>
      </c>
      <c r="Q61" s="41">
        <v>0.5</v>
      </c>
      <c r="R61" s="20"/>
      <c r="S61" s="20"/>
      <c r="T61" s="41"/>
      <c r="U61" s="41"/>
    </row>
    <row r="62" ht="16.5" customHeight="1" spans="1:21">
      <c r="A62" s="654">
        <f t="shared" si="1"/>
        <v>8</v>
      </c>
      <c r="B62" s="38" t="s">
        <v>6302</v>
      </c>
      <c r="C62" s="20"/>
      <c r="D62" s="19"/>
      <c r="E62" s="49" t="s">
        <v>6141</v>
      </c>
      <c r="F62" s="49" t="s">
        <v>1593</v>
      </c>
      <c r="G62" s="58">
        <v>45479</v>
      </c>
      <c r="H62" s="249"/>
      <c r="I62" s="20"/>
      <c r="J62" s="49" t="s">
        <v>1323</v>
      </c>
      <c r="K62" s="38" t="s">
        <v>500</v>
      </c>
      <c r="L62" s="49"/>
      <c r="M62" s="49" t="s">
        <v>2909</v>
      </c>
      <c r="N62" s="49" t="s">
        <v>6143</v>
      </c>
      <c r="O62" s="20" t="s">
        <v>6303</v>
      </c>
      <c r="P62" s="20" t="s">
        <v>6304</v>
      </c>
      <c r="Q62" s="41">
        <v>0.5</v>
      </c>
      <c r="R62" s="20"/>
      <c r="S62" s="20"/>
      <c r="T62" s="41"/>
      <c r="U62" s="41"/>
    </row>
    <row r="63" ht="16.5" customHeight="1" spans="1:21">
      <c r="A63" s="654">
        <f t="shared" si="1"/>
        <v>9</v>
      </c>
      <c r="B63" s="38" t="s">
        <v>6305</v>
      </c>
      <c r="C63" s="20"/>
      <c r="D63" s="19"/>
      <c r="E63" s="49" t="s">
        <v>6141</v>
      </c>
      <c r="F63" s="49" t="s">
        <v>1593</v>
      </c>
      <c r="G63" s="58">
        <v>45479</v>
      </c>
      <c r="H63" s="249"/>
      <c r="I63" s="20"/>
      <c r="J63" s="49" t="s">
        <v>1323</v>
      </c>
      <c r="K63" s="38" t="s">
        <v>500</v>
      </c>
      <c r="L63" s="49"/>
      <c r="M63" s="49" t="s">
        <v>2909</v>
      </c>
      <c r="N63" s="49" t="s">
        <v>6143</v>
      </c>
      <c r="O63" s="20" t="s">
        <v>6306</v>
      </c>
      <c r="P63" s="20" t="s">
        <v>6307</v>
      </c>
      <c r="Q63" s="41">
        <v>0.5</v>
      </c>
      <c r="R63" s="20"/>
      <c r="S63" s="20"/>
      <c r="T63" s="41"/>
      <c r="U63" s="41"/>
    </row>
    <row r="64" ht="16.5" customHeight="1" spans="1:21">
      <c r="A64" s="654">
        <f t="shared" si="1"/>
        <v>10</v>
      </c>
      <c r="B64" s="38" t="s">
        <v>6308</v>
      </c>
      <c r="C64" s="20"/>
      <c r="D64" s="19"/>
      <c r="E64" s="49" t="s">
        <v>6141</v>
      </c>
      <c r="F64" s="49" t="s">
        <v>1593</v>
      </c>
      <c r="G64" s="58">
        <v>45479</v>
      </c>
      <c r="H64" s="249"/>
      <c r="I64" s="20"/>
      <c r="J64" s="49" t="s">
        <v>1323</v>
      </c>
      <c r="K64" s="38" t="s">
        <v>500</v>
      </c>
      <c r="L64" s="49"/>
      <c r="M64" s="49" t="s">
        <v>2909</v>
      </c>
      <c r="N64" s="49" t="s">
        <v>6143</v>
      </c>
      <c r="O64" s="20" t="s">
        <v>6309</v>
      </c>
      <c r="P64" s="20" t="s">
        <v>6310</v>
      </c>
      <c r="Q64" s="41">
        <v>0.5</v>
      </c>
      <c r="R64" s="20"/>
      <c r="S64" s="20"/>
      <c r="T64" s="41"/>
      <c r="U64" s="41"/>
    </row>
    <row r="65" ht="16.5" customHeight="1" spans="1:21">
      <c r="A65" s="654">
        <f t="shared" si="1"/>
        <v>11</v>
      </c>
      <c r="B65" s="38" t="s">
        <v>6311</v>
      </c>
      <c r="C65" s="20"/>
      <c r="D65" s="19"/>
      <c r="E65" s="49" t="s">
        <v>6141</v>
      </c>
      <c r="F65" s="49" t="s">
        <v>1593</v>
      </c>
      <c r="G65" s="58">
        <v>45723</v>
      </c>
      <c r="H65" s="249"/>
      <c r="I65" s="20" t="s">
        <v>6312</v>
      </c>
      <c r="J65" s="49" t="s">
        <v>1323</v>
      </c>
      <c r="K65" s="38" t="s">
        <v>500</v>
      </c>
      <c r="L65" s="49"/>
      <c r="M65" s="49" t="s">
        <v>2909</v>
      </c>
      <c r="N65" s="49" t="s">
        <v>6143</v>
      </c>
      <c r="O65" s="20" t="s">
        <v>6313</v>
      </c>
      <c r="P65" s="20" t="s">
        <v>6314</v>
      </c>
      <c r="Q65" s="41"/>
      <c r="R65" s="20"/>
      <c r="S65" s="20"/>
      <c r="T65" s="41"/>
      <c r="U65" s="41"/>
    </row>
    <row r="66" ht="16.5" customHeight="1" spans="1:21">
      <c r="A66" s="654">
        <f t="shared" si="1"/>
        <v>12</v>
      </c>
      <c r="B66" s="38" t="s">
        <v>6315</v>
      </c>
      <c r="C66" s="20"/>
      <c r="D66" s="19"/>
      <c r="E66" s="49" t="s">
        <v>6141</v>
      </c>
      <c r="F66" s="49" t="s">
        <v>1593</v>
      </c>
      <c r="G66" s="58">
        <v>45723</v>
      </c>
      <c r="H66" s="249"/>
      <c r="I66" s="20" t="s">
        <v>6312</v>
      </c>
      <c r="J66" s="49" t="s">
        <v>1323</v>
      </c>
      <c r="K66" s="38" t="s">
        <v>500</v>
      </c>
      <c r="L66" s="49"/>
      <c r="M66" s="49" t="s">
        <v>2909</v>
      </c>
      <c r="N66" s="49" t="s">
        <v>6143</v>
      </c>
      <c r="O66" s="20" t="s">
        <v>6316</v>
      </c>
      <c r="P66" s="20"/>
      <c r="Q66" s="41"/>
      <c r="R66" s="20"/>
      <c r="S66" s="20"/>
      <c r="T66" s="41"/>
      <c r="U66" s="41"/>
    </row>
    <row r="67" ht="16.5" customHeight="1" spans="1:21">
      <c r="A67" s="654">
        <f t="shared" si="1"/>
        <v>13</v>
      </c>
      <c r="B67" s="38" t="s">
        <v>6317</v>
      </c>
      <c r="C67" s="20"/>
      <c r="D67" s="19"/>
      <c r="E67" s="49" t="s">
        <v>6141</v>
      </c>
      <c r="F67" s="49" t="s">
        <v>1593</v>
      </c>
      <c r="G67" s="58">
        <v>45723</v>
      </c>
      <c r="H67" s="249"/>
      <c r="I67" s="20" t="s">
        <v>6312</v>
      </c>
      <c r="J67" s="49" t="s">
        <v>1323</v>
      </c>
      <c r="K67" s="38" t="s">
        <v>500</v>
      </c>
      <c r="L67" s="49"/>
      <c r="M67" s="49" t="s">
        <v>2909</v>
      </c>
      <c r="N67" s="49" t="s">
        <v>6143</v>
      </c>
      <c r="O67" s="20" t="s">
        <v>6318</v>
      </c>
      <c r="P67" s="20"/>
      <c r="Q67" s="41"/>
      <c r="R67" s="20"/>
      <c r="S67" s="20"/>
      <c r="T67" s="41"/>
      <c r="U67" s="41"/>
    </row>
    <row r="68" ht="16.5" customHeight="1" spans="1:21">
      <c r="A68" s="654">
        <f t="shared" si="1"/>
        <v>14</v>
      </c>
      <c r="B68" s="38" t="s">
        <v>6319</v>
      </c>
      <c r="C68" s="20"/>
      <c r="D68" s="19"/>
      <c r="E68" s="49" t="s">
        <v>6141</v>
      </c>
      <c r="F68" s="49" t="s">
        <v>1593</v>
      </c>
      <c r="G68" s="58">
        <v>45723</v>
      </c>
      <c r="H68" s="249"/>
      <c r="I68" s="20" t="s">
        <v>6312</v>
      </c>
      <c r="J68" s="49" t="s">
        <v>1323</v>
      </c>
      <c r="K68" s="38" t="s">
        <v>500</v>
      </c>
      <c r="L68" s="49"/>
      <c r="M68" s="49" t="s">
        <v>2909</v>
      </c>
      <c r="N68" s="49" t="s">
        <v>6143</v>
      </c>
      <c r="O68" s="20" t="s">
        <v>6320</v>
      </c>
      <c r="P68" s="20" t="s">
        <v>6321</v>
      </c>
      <c r="Q68" s="41"/>
      <c r="R68" s="20"/>
      <c r="S68" s="20"/>
      <c r="T68" s="41"/>
      <c r="U68" s="41"/>
    </row>
    <row r="69" ht="16.5" customHeight="1" spans="1:21">
      <c r="A69" s="654"/>
      <c r="B69" s="38"/>
      <c r="C69" s="20" t="s">
        <v>4844</v>
      </c>
      <c r="D69" s="19"/>
      <c r="E69" s="49"/>
      <c r="F69" s="49"/>
      <c r="G69" s="58"/>
      <c r="H69" s="249"/>
      <c r="I69" s="20"/>
      <c r="J69" s="49"/>
      <c r="K69" s="38"/>
      <c r="L69" s="49"/>
      <c r="M69" s="49"/>
      <c r="N69" s="49"/>
      <c r="O69" s="20"/>
      <c r="P69" s="20"/>
      <c r="Q69" s="20"/>
      <c r="R69" s="20"/>
      <c r="S69" s="20"/>
      <c r="T69" s="41"/>
      <c r="U69" s="41"/>
    </row>
    <row r="70" ht="19.5" customHeight="1" spans="1:21">
      <c r="A70" s="647" t="s">
        <v>3352</v>
      </c>
      <c r="B70" s="648" t="s">
        <v>6322</v>
      </c>
      <c r="C70" s="649">
        <f>COUNTA($B$71:$B$75)</f>
        <v>4</v>
      </c>
      <c r="D70" s="650"/>
      <c r="E70" s="650"/>
      <c r="F70" s="650"/>
      <c r="G70" s="650"/>
      <c r="H70" s="650"/>
      <c r="I70" s="652"/>
      <c r="J70" s="650"/>
      <c r="K70" s="652"/>
      <c r="L70" s="650"/>
      <c r="M70" s="650"/>
      <c r="N70" s="650"/>
      <c r="O70" s="652"/>
      <c r="P70" s="652"/>
      <c r="Q70" s="652"/>
      <c r="R70" s="652"/>
      <c r="S70" s="652"/>
      <c r="T70" s="653"/>
      <c r="U70" s="653"/>
    </row>
    <row r="71" ht="16.5" customHeight="1" spans="1:21">
      <c r="A71" s="654">
        <v>1</v>
      </c>
      <c r="B71" s="20" t="s">
        <v>6323</v>
      </c>
      <c r="C71" s="20" t="s">
        <v>6324</v>
      </c>
      <c r="D71" s="19"/>
      <c r="E71" s="19" t="s">
        <v>6141</v>
      </c>
      <c r="F71" s="19" t="s">
        <v>5049</v>
      </c>
      <c r="G71" s="19" t="s">
        <v>6161</v>
      </c>
      <c r="H71" s="249"/>
      <c r="I71" s="20"/>
      <c r="J71" s="19" t="s">
        <v>1323</v>
      </c>
      <c r="K71" s="20" t="s">
        <v>500</v>
      </c>
      <c r="L71" s="19"/>
      <c r="M71" s="19" t="s">
        <v>2909</v>
      </c>
      <c r="N71" s="19" t="s">
        <v>6143</v>
      </c>
      <c r="O71" s="20" t="s">
        <v>6325</v>
      </c>
      <c r="P71" s="20" t="s">
        <v>6326</v>
      </c>
      <c r="Q71" s="41">
        <v>0.5</v>
      </c>
      <c r="R71" s="20"/>
      <c r="S71" s="20"/>
      <c r="T71" s="41"/>
      <c r="U71" s="41"/>
    </row>
    <row r="72" ht="16.5" customHeight="1" spans="1:21">
      <c r="A72" s="654">
        <f t="shared" ref="A72:A74" si="2">A71+1</f>
        <v>2</v>
      </c>
      <c r="B72" s="20" t="s">
        <v>6327</v>
      </c>
      <c r="C72" s="20" t="s">
        <v>6328</v>
      </c>
      <c r="D72" s="19"/>
      <c r="E72" s="19" t="s">
        <v>6141</v>
      </c>
      <c r="F72" s="19" t="s">
        <v>5049</v>
      </c>
      <c r="G72" s="19" t="s">
        <v>6161</v>
      </c>
      <c r="H72" s="249"/>
      <c r="I72" s="20"/>
      <c r="J72" s="19" t="s">
        <v>1323</v>
      </c>
      <c r="K72" s="20" t="s">
        <v>500</v>
      </c>
      <c r="L72" s="19"/>
      <c r="M72" s="19" t="s">
        <v>2909</v>
      </c>
      <c r="N72" s="19" t="s">
        <v>6143</v>
      </c>
      <c r="O72" s="20" t="s">
        <v>6329</v>
      </c>
      <c r="P72" s="20" t="s">
        <v>6330</v>
      </c>
      <c r="Q72" s="41">
        <v>0.5</v>
      </c>
      <c r="R72" s="20"/>
      <c r="S72" s="20"/>
      <c r="T72" s="41"/>
      <c r="U72" s="41"/>
    </row>
    <row r="73" ht="16.5" customHeight="1" spans="1:21">
      <c r="A73" s="654">
        <f t="shared" si="2"/>
        <v>3</v>
      </c>
      <c r="B73" s="20" t="s">
        <v>6331</v>
      </c>
      <c r="C73" s="38" t="s">
        <v>6332</v>
      </c>
      <c r="D73" s="49"/>
      <c r="E73" s="49" t="s">
        <v>6141</v>
      </c>
      <c r="F73" s="19" t="s">
        <v>5049</v>
      </c>
      <c r="G73" s="49" t="s">
        <v>6161</v>
      </c>
      <c r="H73" s="331"/>
      <c r="I73" s="667" t="s">
        <v>6333</v>
      </c>
      <c r="J73" s="49" t="s">
        <v>1323</v>
      </c>
      <c r="K73" s="38" t="s">
        <v>500</v>
      </c>
      <c r="L73" s="49"/>
      <c r="M73" s="49" t="s">
        <v>2909</v>
      </c>
      <c r="N73" s="49" t="s">
        <v>6143</v>
      </c>
      <c r="O73" s="20" t="s">
        <v>6334</v>
      </c>
      <c r="P73" s="20" t="s">
        <v>6335</v>
      </c>
      <c r="Q73" s="41">
        <v>0.5</v>
      </c>
      <c r="R73" s="38"/>
      <c r="S73" s="38"/>
      <c r="T73" s="41"/>
      <c r="U73" s="41"/>
    </row>
    <row r="74" ht="16.5" customHeight="1" spans="1:21">
      <c r="A74" s="654">
        <f t="shared" si="2"/>
        <v>4</v>
      </c>
      <c r="B74" s="20" t="s">
        <v>6336</v>
      </c>
      <c r="C74" s="38" t="s">
        <v>6337</v>
      </c>
      <c r="D74" s="49"/>
      <c r="E74" s="49" t="s">
        <v>6141</v>
      </c>
      <c r="F74" s="19" t="s">
        <v>5049</v>
      </c>
      <c r="G74" s="49" t="s">
        <v>6161</v>
      </c>
      <c r="H74" s="666"/>
      <c r="I74" s="667" t="s">
        <v>6333</v>
      </c>
      <c r="J74" s="49" t="s">
        <v>1323</v>
      </c>
      <c r="K74" s="38" t="s">
        <v>500</v>
      </c>
      <c r="L74" s="49"/>
      <c r="M74" s="49" t="s">
        <v>2909</v>
      </c>
      <c r="N74" s="49" t="s">
        <v>6143</v>
      </c>
      <c r="O74" s="38" t="s">
        <v>6338</v>
      </c>
      <c r="P74" s="38" t="s">
        <v>6339</v>
      </c>
      <c r="Q74" s="41">
        <v>0.5</v>
      </c>
      <c r="R74" s="38"/>
      <c r="S74" s="38"/>
      <c r="T74" s="41"/>
      <c r="U74" s="41"/>
    </row>
    <row r="75" ht="16.5" hidden="1" customHeight="1" spans="1:21">
      <c r="A75" s="654"/>
      <c r="B75" s="20"/>
      <c r="C75" s="38" t="s">
        <v>4844</v>
      </c>
      <c r="D75" s="49"/>
      <c r="E75" s="49"/>
      <c r="F75" s="19"/>
      <c r="G75" s="49"/>
      <c r="H75" s="666"/>
      <c r="I75" s="667"/>
      <c r="J75" s="49"/>
      <c r="K75" s="38"/>
      <c r="L75" s="49"/>
      <c r="M75" s="49"/>
      <c r="N75" s="49"/>
      <c r="O75" s="38"/>
      <c r="P75" s="38"/>
      <c r="Q75" s="38"/>
      <c r="R75" s="38"/>
      <c r="S75" s="38"/>
      <c r="T75" s="622"/>
      <c r="U75" s="622"/>
    </row>
    <row r="76" ht="19.5" customHeight="1" spans="1:21">
      <c r="A76" s="647" t="s">
        <v>6340</v>
      </c>
      <c r="B76" s="648" t="s">
        <v>6341</v>
      </c>
      <c r="C76" s="649">
        <f>SUM($C$77,$C$88,$C$91)</f>
        <v>8</v>
      </c>
      <c r="D76" s="650"/>
      <c r="E76" s="650"/>
      <c r="F76" s="650"/>
      <c r="G76" s="650"/>
      <c r="H76" s="650"/>
      <c r="I76" s="652"/>
      <c r="J76" s="650"/>
      <c r="K76" s="652"/>
      <c r="L76" s="650"/>
      <c r="M76" s="650"/>
      <c r="N76" s="650"/>
      <c r="O76" s="652"/>
      <c r="P76" s="652"/>
      <c r="Q76" s="652"/>
      <c r="R76" s="652"/>
      <c r="S76" s="652"/>
      <c r="T76" s="653"/>
      <c r="U76" s="653"/>
    </row>
    <row r="77" ht="19.5" customHeight="1" spans="1:21">
      <c r="A77" s="647" t="s">
        <v>3007</v>
      </c>
      <c r="B77" s="648" t="s">
        <v>3532</v>
      </c>
      <c r="C77" s="649">
        <f>COUNTA($B$78:$B$87)</f>
        <v>7</v>
      </c>
      <c r="D77" s="650"/>
      <c r="E77" s="650"/>
      <c r="F77" s="650"/>
      <c r="G77" s="650"/>
      <c r="H77" s="650"/>
      <c r="I77" s="652"/>
      <c r="J77" s="650"/>
      <c r="K77" s="652"/>
      <c r="L77" s="650"/>
      <c r="M77" s="650"/>
      <c r="N77" s="650"/>
      <c r="O77" s="652"/>
      <c r="P77" s="652"/>
      <c r="Q77" s="652"/>
      <c r="R77" s="652"/>
      <c r="S77" s="652"/>
      <c r="T77" s="653"/>
      <c r="U77" s="653"/>
    </row>
    <row r="78" ht="16.5" customHeight="1" spans="1:21">
      <c r="A78" s="654">
        <v>1</v>
      </c>
      <c r="B78" s="20" t="s">
        <v>6342</v>
      </c>
      <c r="C78" s="20" t="s">
        <v>6343</v>
      </c>
      <c r="D78" s="654" t="s">
        <v>6344</v>
      </c>
      <c r="E78" s="19" t="s">
        <v>6141</v>
      </c>
      <c r="F78" s="19" t="s">
        <v>3023</v>
      </c>
      <c r="G78" s="19" t="s">
        <v>6161</v>
      </c>
      <c r="H78" s="668" t="s">
        <v>6345</v>
      </c>
      <c r="I78" s="20"/>
      <c r="J78" s="19" t="s">
        <v>1323</v>
      </c>
      <c r="K78" s="20" t="s">
        <v>500</v>
      </c>
      <c r="L78" s="19"/>
      <c r="M78" s="19" t="s">
        <v>2909</v>
      </c>
      <c r="N78" s="19" t="s">
        <v>6143</v>
      </c>
      <c r="O78" s="20" t="s">
        <v>6346</v>
      </c>
      <c r="P78" s="20" t="s">
        <v>6347</v>
      </c>
      <c r="Q78" s="41">
        <v>0.5</v>
      </c>
      <c r="R78" s="20"/>
      <c r="S78" s="20"/>
      <c r="T78" s="41"/>
      <c r="U78" s="41"/>
    </row>
    <row r="79" ht="16.5" customHeight="1" spans="1:21">
      <c r="A79" s="654">
        <f t="shared" ref="A79:A80" si="3">1+A78</f>
        <v>2</v>
      </c>
      <c r="B79" s="20" t="s">
        <v>6348</v>
      </c>
      <c r="C79" s="20" t="s">
        <v>6349</v>
      </c>
      <c r="D79" s="19" t="s">
        <v>6350</v>
      </c>
      <c r="E79" s="19" t="s">
        <v>6141</v>
      </c>
      <c r="F79" s="19" t="s">
        <v>3023</v>
      </c>
      <c r="G79" s="19" t="s">
        <v>6161</v>
      </c>
      <c r="H79" s="364"/>
      <c r="I79" s="20"/>
      <c r="J79" s="19" t="s">
        <v>1323</v>
      </c>
      <c r="K79" s="20" t="s">
        <v>500</v>
      </c>
      <c r="L79" s="19"/>
      <c r="M79" s="19" t="s">
        <v>2909</v>
      </c>
      <c r="N79" s="19" t="s">
        <v>6143</v>
      </c>
      <c r="O79" s="20" t="s">
        <v>6351</v>
      </c>
      <c r="P79" s="20" t="s">
        <v>6352</v>
      </c>
      <c r="Q79" s="41">
        <v>0.5</v>
      </c>
      <c r="R79" s="20"/>
      <c r="S79" s="20"/>
      <c r="T79" s="41"/>
      <c r="U79" s="41"/>
    </row>
    <row r="80" ht="16.5" customHeight="1" spans="1:21">
      <c r="A80" s="654">
        <f t="shared" si="3"/>
        <v>3</v>
      </c>
      <c r="B80" s="20" t="s">
        <v>6353</v>
      </c>
      <c r="C80" s="20" t="s">
        <v>6354</v>
      </c>
      <c r="D80" s="654" t="s">
        <v>6355</v>
      </c>
      <c r="E80" s="19" t="s">
        <v>6141</v>
      </c>
      <c r="F80" s="19" t="s">
        <v>3023</v>
      </c>
      <c r="G80" s="19" t="s">
        <v>6161</v>
      </c>
      <c r="H80" s="668" t="s">
        <v>6345</v>
      </c>
      <c r="I80" s="20"/>
      <c r="J80" s="19" t="s">
        <v>1323</v>
      </c>
      <c r="K80" s="20" t="s">
        <v>500</v>
      </c>
      <c r="L80" s="19"/>
      <c r="M80" s="19" t="s">
        <v>2909</v>
      </c>
      <c r="N80" s="19" t="s">
        <v>6143</v>
      </c>
      <c r="O80" s="20" t="s">
        <v>6356</v>
      </c>
      <c r="P80" s="20" t="s">
        <v>6357</v>
      </c>
      <c r="Q80" s="41">
        <v>0.5</v>
      </c>
      <c r="R80" s="20"/>
      <c r="S80" s="20"/>
      <c r="T80" s="41"/>
      <c r="U80" s="41"/>
    </row>
    <row r="81" ht="16.5" customHeight="1" spans="1:21">
      <c r="A81" s="654">
        <f>1+A34</f>
        <v>9</v>
      </c>
      <c r="B81" s="20" t="s">
        <v>6358</v>
      </c>
      <c r="C81" s="20"/>
      <c r="D81" s="19" t="s">
        <v>6359</v>
      </c>
      <c r="E81" s="19" t="s">
        <v>6141</v>
      </c>
      <c r="F81" s="19" t="s">
        <v>3023</v>
      </c>
      <c r="G81" s="19" t="s">
        <v>6360</v>
      </c>
      <c r="H81" s="249"/>
      <c r="I81" s="20"/>
      <c r="J81" s="19" t="s">
        <v>1323</v>
      </c>
      <c r="K81" s="20" t="s">
        <v>500</v>
      </c>
      <c r="L81" s="19"/>
      <c r="M81" s="19" t="s">
        <v>2909</v>
      </c>
      <c r="N81" s="19" t="s">
        <v>6143</v>
      </c>
      <c r="O81" s="20" t="s">
        <v>6361</v>
      </c>
      <c r="P81" s="20" t="s">
        <v>6362</v>
      </c>
      <c r="Q81" s="41">
        <v>0.5</v>
      </c>
      <c r="R81" s="20"/>
      <c r="S81" s="20"/>
      <c r="T81" s="41"/>
      <c r="U81" s="41"/>
    </row>
    <row r="82" ht="16.5" customHeight="1" spans="1:21">
      <c r="A82" s="654">
        <f t="shared" ref="A82:A84" si="4">1+A81</f>
        <v>10</v>
      </c>
      <c r="B82" s="20" t="s">
        <v>6363</v>
      </c>
      <c r="C82" s="20"/>
      <c r="D82" s="19" t="s">
        <v>2923</v>
      </c>
      <c r="E82" s="19" t="s">
        <v>6141</v>
      </c>
      <c r="F82" s="19" t="s">
        <v>3023</v>
      </c>
      <c r="G82" s="19" t="s">
        <v>6360</v>
      </c>
      <c r="H82" s="249"/>
      <c r="I82" s="20"/>
      <c r="J82" s="19" t="s">
        <v>1323</v>
      </c>
      <c r="K82" s="20" t="s">
        <v>500</v>
      </c>
      <c r="L82" s="19"/>
      <c r="M82" s="19" t="s">
        <v>2909</v>
      </c>
      <c r="N82" s="19" t="s">
        <v>6143</v>
      </c>
      <c r="O82" s="20" t="s">
        <v>6364</v>
      </c>
      <c r="P82" s="20" t="s">
        <v>6365</v>
      </c>
      <c r="Q82" s="41">
        <v>0.5</v>
      </c>
      <c r="R82" s="20"/>
      <c r="S82" s="20"/>
      <c r="T82" s="41"/>
      <c r="U82" s="41"/>
    </row>
    <row r="83" ht="16.5" customHeight="1" spans="1:21">
      <c r="A83" s="654">
        <f t="shared" si="4"/>
        <v>11</v>
      </c>
      <c r="B83" s="20" t="s">
        <v>6366</v>
      </c>
      <c r="C83" s="20"/>
      <c r="D83" s="19"/>
      <c r="E83" s="19" t="s">
        <v>6141</v>
      </c>
      <c r="F83" s="19" t="s">
        <v>3023</v>
      </c>
      <c r="G83" s="19" t="s">
        <v>6173</v>
      </c>
      <c r="H83" s="249"/>
      <c r="I83" s="19" t="s">
        <v>6367</v>
      </c>
      <c r="J83" s="19" t="s">
        <v>1323</v>
      </c>
      <c r="K83" s="20" t="s">
        <v>500</v>
      </c>
      <c r="L83" s="19"/>
      <c r="M83" s="19" t="s">
        <v>2909</v>
      </c>
      <c r="N83" s="19" t="s">
        <v>6143</v>
      </c>
      <c r="O83" s="20" t="s">
        <v>6368</v>
      </c>
      <c r="P83" s="20" t="s">
        <v>6369</v>
      </c>
      <c r="Q83" s="41">
        <v>0.5</v>
      </c>
      <c r="R83" s="20"/>
      <c r="S83" s="20"/>
      <c r="T83" s="41"/>
      <c r="U83" s="41"/>
    </row>
    <row r="84" ht="16.5" customHeight="1" spans="1:21">
      <c r="A84" s="654">
        <f t="shared" si="4"/>
        <v>12</v>
      </c>
      <c r="B84" s="20" t="s">
        <v>6370</v>
      </c>
      <c r="C84" s="20"/>
      <c r="D84" s="19"/>
      <c r="E84" s="19" t="s">
        <v>6141</v>
      </c>
      <c r="F84" s="19" t="s">
        <v>3023</v>
      </c>
      <c r="G84" s="19" t="s">
        <v>6173</v>
      </c>
      <c r="H84" s="249"/>
      <c r="I84" s="19" t="s">
        <v>6371</v>
      </c>
      <c r="J84" s="19" t="s">
        <v>1323</v>
      </c>
      <c r="K84" s="20" t="s">
        <v>500</v>
      </c>
      <c r="L84" s="19"/>
      <c r="M84" s="19" t="s">
        <v>2909</v>
      </c>
      <c r="N84" s="19" t="s">
        <v>6143</v>
      </c>
      <c r="O84" s="20" t="s">
        <v>6372</v>
      </c>
      <c r="P84" s="20" t="s">
        <v>6373</v>
      </c>
      <c r="Q84" s="41">
        <v>0.5</v>
      </c>
      <c r="R84" s="20"/>
      <c r="S84" s="20"/>
      <c r="T84" s="41"/>
      <c r="U84" s="41"/>
    </row>
    <row r="87" ht="19.5" hidden="1" customHeight="1" spans="1:21">
      <c r="A87" s="647"/>
      <c r="B87" s="648"/>
      <c r="C87" s="649" t="s">
        <v>4844</v>
      </c>
      <c r="D87" s="650"/>
      <c r="E87" s="650"/>
      <c r="F87" s="650"/>
      <c r="G87" s="650"/>
      <c r="H87" s="652"/>
      <c r="I87" s="652"/>
      <c r="J87" s="650"/>
      <c r="K87" s="652"/>
      <c r="L87" s="650"/>
      <c r="M87" s="650"/>
      <c r="N87" s="650"/>
      <c r="O87" s="652"/>
      <c r="P87" s="652"/>
      <c r="Q87" s="652"/>
      <c r="R87" s="652"/>
      <c r="S87" s="652"/>
      <c r="T87" s="653"/>
      <c r="U87" s="653"/>
    </row>
    <row r="88" ht="19.5" customHeight="1" spans="1:21">
      <c r="A88" s="647" t="s">
        <v>3335</v>
      </c>
      <c r="B88" s="648" t="s">
        <v>28</v>
      </c>
      <c r="C88" s="649">
        <f>COUNTA($B$89:$B$90)</f>
        <v>0</v>
      </c>
      <c r="D88" s="650"/>
      <c r="E88" s="650"/>
      <c r="F88" s="650"/>
      <c r="G88" s="650"/>
      <c r="H88" s="650"/>
      <c r="I88" s="652"/>
      <c r="J88" s="650"/>
      <c r="K88" s="652"/>
      <c r="L88" s="650"/>
      <c r="M88" s="650"/>
      <c r="N88" s="650"/>
      <c r="O88" s="652"/>
      <c r="P88" s="652"/>
      <c r="Q88" s="652"/>
      <c r="R88" s="652"/>
      <c r="S88" s="652"/>
      <c r="T88" s="653"/>
      <c r="U88" s="653"/>
    </row>
    <row r="89" ht="19.5" customHeight="1" spans="1:21">
      <c r="A89" s="660"/>
      <c r="B89" s="661"/>
      <c r="C89" s="662"/>
      <c r="D89" s="23"/>
      <c r="E89" s="23"/>
      <c r="F89" s="23"/>
      <c r="G89" s="23"/>
      <c r="H89" s="25"/>
      <c r="I89" s="25"/>
      <c r="J89" s="23"/>
      <c r="K89" s="25"/>
      <c r="L89" s="23"/>
      <c r="M89" s="23"/>
      <c r="N89" s="23"/>
      <c r="O89" s="25"/>
      <c r="P89" s="25"/>
      <c r="Q89" s="25"/>
      <c r="R89" s="25"/>
      <c r="S89" s="25"/>
      <c r="T89" s="611"/>
      <c r="U89" s="611"/>
    </row>
    <row r="90" ht="19.5" hidden="1" customHeight="1" spans="1:21">
      <c r="A90" s="660"/>
      <c r="B90" s="661"/>
      <c r="C90" s="662" t="s">
        <v>4844</v>
      </c>
      <c r="D90" s="23"/>
      <c r="E90" s="23"/>
      <c r="F90" s="23"/>
      <c r="G90" s="23"/>
      <c r="H90" s="25"/>
      <c r="I90" s="25"/>
      <c r="J90" s="23"/>
      <c r="K90" s="25"/>
      <c r="L90" s="23"/>
      <c r="M90" s="23"/>
      <c r="N90" s="23"/>
      <c r="O90" s="25"/>
      <c r="P90" s="25"/>
      <c r="Q90" s="25"/>
      <c r="R90" s="25"/>
      <c r="S90" s="25"/>
      <c r="T90" s="611"/>
      <c r="U90" s="611"/>
    </row>
    <row r="91" ht="19.5" customHeight="1" spans="1:21">
      <c r="A91" s="647" t="s">
        <v>3352</v>
      </c>
      <c r="B91" s="648" t="s">
        <v>6374</v>
      </c>
      <c r="C91" s="649">
        <f>COUNTA(C92)</f>
        <v>1</v>
      </c>
      <c r="D91" s="650"/>
      <c r="E91" s="650"/>
      <c r="F91" s="650"/>
      <c r="G91" s="650"/>
      <c r="H91" s="650"/>
      <c r="I91" s="652"/>
      <c r="J91" s="650"/>
      <c r="K91" s="652"/>
      <c r="L91" s="650"/>
      <c r="M91" s="650"/>
      <c r="N91" s="650"/>
      <c r="O91" s="652"/>
      <c r="P91" s="652"/>
      <c r="Q91" s="652"/>
      <c r="R91" s="652"/>
      <c r="S91" s="652"/>
      <c r="T91" s="653"/>
      <c r="U91" s="653"/>
    </row>
    <row r="92" ht="16.5" customHeight="1" spans="1:21">
      <c r="A92" s="654">
        <v>1</v>
      </c>
      <c r="B92" s="20" t="s">
        <v>6375</v>
      </c>
      <c r="C92" s="20" t="s">
        <v>6376</v>
      </c>
      <c r="D92" s="19"/>
      <c r="E92" s="19" t="s">
        <v>6141</v>
      </c>
      <c r="F92" s="19" t="s">
        <v>29</v>
      </c>
      <c r="G92" s="19" t="s">
        <v>6173</v>
      </c>
      <c r="H92" s="249"/>
      <c r="I92" s="19" t="s">
        <v>6377</v>
      </c>
      <c r="J92" s="19" t="s">
        <v>1323</v>
      </c>
      <c r="K92" s="20" t="s">
        <v>500</v>
      </c>
      <c r="L92" s="19"/>
      <c r="M92" s="19" t="s">
        <v>2909</v>
      </c>
      <c r="N92" s="19" t="s">
        <v>6143</v>
      </c>
      <c r="O92" s="20" t="s">
        <v>6378</v>
      </c>
      <c r="P92" s="20" t="s">
        <v>6379</v>
      </c>
      <c r="Q92" s="41">
        <v>0.5</v>
      </c>
      <c r="R92" s="20"/>
      <c r="S92" s="20"/>
      <c r="T92" s="41"/>
      <c r="U92" s="41"/>
    </row>
    <row r="93" ht="19.5" customHeight="1" spans="1:21">
      <c r="A93" s="647" t="s">
        <v>3375</v>
      </c>
      <c r="B93" s="648" t="s">
        <v>6380</v>
      </c>
      <c r="C93" s="649">
        <f>COUNTA(B94:B124)</f>
        <v>24</v>
      </c>
      <c r="D93" s="650"/>
      <c r="E93" s="650"/>
      <c r="F93" s="650"/>
      <c r="G93" s="650"/>
      <c r="H93" s="650"/>
      <c r="I93" s="652"/>
      <c r="J93" s="650"/>
      <c r="K93" s="652"/>
      <c r="L93" s="650"/>
      <c r="M93" s="650"/>
      <c r="N93" s="650"/>
      <c r="O93" s="652"/>
      <c r="P93" s="652"/>
      <c r="Q93" s="652"/>
      <c r="R93" s="652"/>
      <c r="S93" s="652"/>
      <c r="T93" s="653"/>
      <c r="U93" s="653"/>
    </row>
    <row r="94" ht="16.5" customHeight="1" spans="1:21">
      <c r="A94" s="101">
        <v>1</v>
      </c>
      <c r="B94" s="159" t="s">
        <v>6381</v>
      </c>
      <c r="C94" s="159"/>
      <c r="D94" s="19" t="s">
        <v>6382</v>
      </c>
      <c r="E94" s="19" t="s">
        <v>6141</v>
      </c>
      <c r="F94" s="19" t="s">
        <v>3023</v>
      </c>
      <c r="G94" s="19" t="s">
        <v>6173</v>
      </c>
      <c r="H94" s="249"/>
      <c r="I94" s="101" t="s">
        <v>6383</v>
      </c>
      <c r="J94" s="19" t="s">
        <v>1323</v>
      </c>
      <c r="K94" s="20" t="s">
        <v>500</v>
      </c>
      <c r="L94" s="19"/>
      <c r="M94" s="19" t="s">
        <v>2909</v>
      </c>
      <c r="N94" s="151" t="s">
        <v>1323</v>
      </c>
      <c r="O94" s="669" t="s">
        <v>6384</v>
      </c>
      <c r="P94" s="670" t="s">
        <v>6385</v>
      </c>
      <c r="Q94" s="41">
        <v>0.5</v>
      </c>
      <c r="R94" s="671"/>
      <c r="S94" s="672"/>
      <c r="T94" s="41"/>
      <c r="U94" s="41"/>
    </row>
    <row r="95" ht="16.5" customHeight="1" spans="1:21">
      <c r="A95" s="19">
        <v>2</v>
      </c>
      <c r="B95" s="20" t="s">
        <v>6386</v>
      </c>
      <c r="C95" s="20"/>
      <c r="D95" s="19" t="s">
        <v>2923</v>
      </c>
      <c r="E95" s="19" t="s">
        <v>6141</v>
      </c>
      <c r="F95" s="19" t="s">
        <v>3023</v>
      </c>
      <c r="G95" s="19" t="s">
        <v>6360</v>
      </c>
      <c r="H95" s="249"/>
      <c r="I95" s="101" t="s">
        <v>6383</v>
      </c>
      <c r="J95" s="19" t="s">
        <v>1323</v>
      </c>
      <c r="K95" s="20" t="s">
        <v>500</v>
      </c>
      <c r="L95" s="19"/>
      <c r="M95" s="19" t="s">
        <v>2909</v>
      </c>
      <c r="N95" s="19" t="s">
        <v>6143</v>
      </c>
      <c r="O95" s="20" t="s">
        <v>6387</v>
      </c>
      <c r="P95" s="20" t="s">
        <v>6388</v>
      </c>
      <c r="Q95" s="41">
        <v>0.5</v>
      </c>
      <c r="R95" s="20"/>
      <c r="S95" s="20"/>
      <c r="T95" s="41"/>
      <c r="U95" s="41"/>
    </row>
    <row r="96" ht="19.5" customHeight="1" spans="1:21">
      <c r="A96" s="660"/>
      <c r="B96" s="661"/>
      <c r="C96" s="662"/>
      <c r="D96" s="23"/>
      <c r="E96" s="23"/>
      <c r="F96" s="23"/>
      <c r="G96" s="23"/>
      <c r="H96" s="25"/>
      <c r="I96" s="25"/>
      <c r="J96" s="23"/>
      <c r="K96" s="25"/>
      <c r="L96" s="23"/>
      <c r="M96" s="23"/>
      <c r="N96" s="23"/>
      <c r="O96" s="25"/>
      <c r="P96" s="25"/>
      <c r="Q96" s="611"/>
      <c r="R96" s="25"/>
      <c r="S96" s="25"/>
      <c r="T96" s="611"/>
      <c r="U96" s="611"/>
    </row>
    <row r="97" ht="19.5" customHeight="1" spans="1:21">
      <c r="A97" s="673" t="s">
        <v>3423</v>
      </c>
      <c r="B97" s="674" t="s">
        <v>6389</v>
      </c>
      <c r="C97" s="675">
        <f>COUNTA(B98:B124)</f>
        <v>21</v>
      </c>
      <c r="D97" s="676"/>
      <c r="E97" s="676"/>
      <c r="F97" s="676"/>
      <c r="G97" s="676"/>
      <c r="H97" s="676"/>
      <c r="I97" s="677"/>
      <c r="J97" s="676"/>
      <c r="K97" s="677"/>
      <c r="L97" s="676"/>
      <c r="M97" s="676"/>
      <c r="N97" s="676"/>
      <c r="O97" s="677"/>
      <c r="P97" s="677"/>
      <c r="Q97" s="677"/>
      <c r="R97" s="677"/>
      <c r="S97" s="677"/>
      <c r="T97" s="678"/>
      <c r="U97" s="678"/>
    </row>
    <row r="98" ht="16.5" customHeight="1" spans="1:21">
      <c r="A98" s="679">
        <v>1</v>
      </c>
      <c r="B98" s="31" t="s">
        <v>6390</v>
      </c>
      <c r="C98" s="31" t="s">
        <v>6391</v>
      </c>
      <c r="D98" s="33"/>
      <c r="E98" s="33" t="s">
        <v>6141</v>
      </c>
      <c r="F98" s="33" t="s">
        <v>3022</v>
      </c>
      <c r="G98" s="33" t="s">
        <v>6161</v>
      </c>
      <c r="H98" s="33" t="s">
        <v>3022</v>
      </c>
      <c r="I98" s="31" t="s">
        <v>6392</v>
      </c>
      <c r="J98" s="33" t="s">
        <v>1323</v>
      </c>
      <c r="K98" s="31" t="s">
        <v>500</v>
      </c>
      <c r="L98" s="33"/>
      <c r="M98" s="33" t="s">
        <v>2909</v>
      </c>
      <c r="N98" s="33" t="s">
        <v>6143</v>
      </c>
      <c r="O98" s="31" t="s">
        <v>6393</v>
      </c>
      <c r="P98" s="31" t="s">
        <v>6394</v>
      </c>
      <c r="Q98" s="680">
        <v>0.5</v>
      </c>
      <c r="R98" s="31"/>
      <c r="S98" s="31"/>
      <c r="T98" s="680"/>
      <c r="U98" s="680"/>
    </row>
    <row r="99" ht="16.5" customHeight="1" spans="1:21">
      <c r="A99" s="679">
        <f>A98+1</f>
        <v>2</v>
      </c>
      <c r="B99" s="31" t="s">
        <v>6395</v>
      </c>
      <c r="C99" s="31" t="s">
        <v>6396</v>
      </c>
      <c r="D99" s="33"/>
      <c r="E99" s="33" t="s">
        <v>6141</v>
      </c>
      <c r="F99" s="33" t="s">
        <v>3022</v>
      </c>
      <c r="G99" s="33" t="s">
        <v>6161</v>
      </c>
      <c r="H99" s="33" t="s">
        <v>3022</v>
      </c>
      <c r="I99" s="31" t="s">
        <v>6392</v>
      </c>
      <c r="J99" s="33" t="s">
        <v>1323</v>
      </c>
      <c r="K99" s="31" t="s">
        <v>500</v>
      </c>
      <c r="L99" s="33"/>
      <c r="M99" s="33" t="s">
        <v>2909</v>
      </c>
      <c r="N99" s="33" t="s">
        <v>6143</v>
      </c>
      <c r="O99" s="31" t="s">
        <v>6397</v>
      </c>
      <c r="P99" s="31" t="s">
        <v>6398</v>
      </c>
      <c r="Q99" s="680">
        <v>0.5</v>
      </c>
      <c r="R99" s="31"/>
      <c r="S99" s="31"/>
      <c r="T99" s="680"/>
      <c r="U99" s="680"/>
    </row>
    <row r="100" ht="16.5" customHeight="1" spans="1:21">
      <c r="A100" s="679">
        <v>5</v>
      </c>
      <c r="B100" s="31" t="s">
        <v>6399</v>
      </c>
      <c r="C100" s="31" t="s">
        <v>6400</v>
      </c>
      <c r="D100" s="33" t="s">
        <v>6401</v>
      </c>
      <c r="E100" s="33" t="s">
        <v>6141</v>
      </c>
      <c r="F100" s="33" t="s">
        <v>3022</v>
      </c>
      <c r="G100" s="33" t="s">
        <v>6161</v>
      </c>
      <c r="H100" s="33" t="s">
        <v>3022</v>
      </c>
      <c r="I100" s="31" t="s">
        <v>6162</v>
      </c>
      <c r="J100" s="33" t="s">
        <v>1323</v>
      </c>
      <c r="K100" s="31" t="s">
        <v>500</v>
      </c>
      <c r="L100" s="33"/>
      <c r="M100" s="33" t="s">
        <v>2909</v>
      </c>
      <c r="N100" s="33" t="s">
        <v>6143</v>
      </c>
      <c r="O100" s="31" t="s">
        <v>6402</v>
      </c>
      <c r="P100" s="31" t="s">
        <v>6403</v>
      </c>
      <c r="Q100" s="680">
        <v>0.5</v>
      </c>
      <c r="R100" s="31"/>
      <c r="S100" s="31"/>
      <c r="T100" s="680"/>
      <c r="U100" s="680"/>
    </row>
    <row r="101" ht="16.5" customHeight="1" spans="1:21">
      <c r="A101" s="679">
        <f>A100+1</f>
        <v>6</v>
      </c>
      <c r="B101" s="31" t="s">
        <v>6404</v>
      </c>
      <c r="C101" s="31" t="s">
        <v>6405</v>
      </c>
      <c r="D101" s="33" t="s">
        <v>6359</v>
      </c>
      <c r="E101" s="33" t="s">
        <v>6141</v>
      </c>
      <c r="F101" s="33" t="s">
        <v>3022</v>
      </c>
      <c r="G101" s="33" t="s">
        <v>6360</v>
      </c>
      <c r="H101" s="33" t="s">
        <v>3022</v>
      </c>
      <c r="I101" s="31" t="s">
        <v>6162</v>
      </c>
      <c r="J101" s="33" t="s">
        <v>1323</v>
      </c>
      <c r="K101" s="31" t="s">
        <v>500</v>
      </c>
      <c r="L101" s="33"/>
      <c r="M101" s="33" t="s">
        <v>2909</v>
      </c>
      <c r="N101" s="33" t="s">
        <v>6143</v>
      </c>
      <c r="O101" s="31" t="s">
        <v>6406</v>
      </c>
      <c r="P101" s="31" t="s">
        <v>6407</v>
      </c>
      <c r="Q101" s="680">
        <v>0.5</v>
      </c>
      <c r="R101" s="31"/>
      <c r="S101" s="31"/>
      <c r="T101" s="680"/>
      <c r="U101" s="680"/>
    </row>
    <row r="102" ht="16.5" customHeight="1" spans="1:21">
      <c r="A102" s="679">
        <f>A11+1</f>
        <v>7</v>
      </c>
      <c r="B102" s="31" t="s">
        <v>6408</v>
      </c>
      <c r="C102" s="31" t="s">
        <v>6409</v>
      </c>
      <c r="D102" s="33" t="s">
        <v>2923</v>
      </c>
      <c r="E102" s="33" t="s">
        <v>6141</v>
      </c>
      <c r="F102" s="33" t="s">
        <v>3022</v>
      </c>
      <c r="G102" s="33" t="s">
        <v>6360</v>
      </c>
      <c r="H102" s="33" t="s">
        <v>3022</v>
      </c>
      <c r="I102" s="31" t="s">
        <v>6168</v>
      </c>
      <c r="J102" s="33" t="s">
        <v>1323</v>
      </c>
      <c r="K102" s="31" t="s">
        <v>500</v>
      </c>
      <c r="L102" s="33"/>
      <c r="M102" s="33" t="s">
        <v>2909</v>
      </c>
      <c r="N102" s="33" t="s">
        <v>6143</v>
      </c>
      <c r="O102" s="31" t="s">
        <v>6410</v>
      </c>
      <c r="P102" s="31" t="s">
        <v>6411</v>
      </c>
      <c r="Q102" s="680">
        <v>0.5</v>
      </c>
      <c r="R102" s="31"/>
      <c r="S102" s="31"/>
      <c r="T102" s="680"/>
      <c r="U102" s="680"/>
    </row>
    <row r="103" ht="16.5" customHeight="1" spans="1:21">
      <c r="A103" s="679">
        <v>7</v>
      </c>
      <c r="B103" s="31" t="s">
        <v>6412</v>
      </c>
      <c r="C103" s="31" t="s">
        <v>6413</v>
      </c>
      <c r="D103" s="33" t="s">
        <v>6414</v>
      </c>
      <c r="E103" s="33" t="s">
        <v>6141</v>
      </c>
      <c r="F103" s="33" t="s">
        <v>3022</v>
      </c>
      <c r="G103" s="33" t="s">
        <v>6161</v>
      </c>
      <c r="H103" s="33" t="s">
        <v>3022</v>
      </c>
      <c r="I103" s="31" t="s">
        <v>6168</v>
      </c>
      <c r="J103" s="33" t="s">
        <v>1323</v>
      </c>
      <c r="K103" s="31" t="s">
        <v>500</v>
      </c>
      <c r="L103" s="33"/>
      <c r="M103" s="33" t="s">
        <v>2909</v>
      </c>
      <c r="N103" s="33" t="s">
        <v>6143</v>
      </c>
      <c r="O103" s="31" t="s">
        <v>6415</v>
      </c>
      <c r="P103" s="31" t="s">
        <v>6416</v>
      </c>
      <c r="Q103" s="680">
        <v>0.5</v>
      </c>
      <c r="R103" s="31"/>
      <c r="S103" s="31"/>
      <c r="T103" s="680"/>
      <c r="U103" s="680"/>
    </row>
    <row r="104" ht="16.5" customHeight="1" spans="1:21">
      <c r="A104" s="679">
        <v>1</v>
      </c>
      <c r="B104" s="31" t="s">
        <v>6417</v>
      </c>
      <c r="C104" s="31"/>
      <c r="D104" s="33"/>
      <c r="E104" s="33" t="s">
        <v>6141</v>
      </c>
      <c r="F104" s="33" t="s">
        <v>3022</v>
      </c>
      <c r="G104" s="33" t="s">
        <v>6161</v>
      </c>
      <c r="H104" s="33" t="s">
        <v>3022</v>
      </c>
      <c r="I104" s="31"/>
      <c r="J104" s="33" t="s">
        <v>1323</v>
      </c>
      <c r="K104" s="31" t="s">
        <v>500</v>
      </c>
      <c r="L104" s="33"/>
      <c r="M104" s="33" t="s">
        <v>2909</v>
      </c>
      <c r="N104" s="33" t="s">
        <v>6143</v>
      </c>
      <c r="O104" s="31" t="s">
        <v>6418</v>
      </c>
      <c r="P104" s="31" t="s">
        <v>6419</v>
      </c>
      <c r="Q104" s="680">
        <v>0.5</v>
      </c>
      <c r="R104" s="31"/>
      <c r="S104" s="31"/>
      <c r="T104" s="680"/>
      <c r="U104" s="680"/>
    </row>
    <row r="105" ht="16.5" customHeight="1" spans="1:21">
      <c r="A105" s="679">
        <f>A104+1</f>
        <v>2</v>
      </c>
      <c r="B105" s="31" t="s">
        <v>6420</v>
      </c>
      <c r="C105" s="31"/>
      <c r="D105" s="33"/>
      <c r="E105" s="33" t="s">
        <v>6141</v>
      </c>
      <c r="F105" s="33" t="s">
        <v>3022</v>
      </c>
      <c r="G105" s="33" t="s">
        <v>6161</v>
      </c>
      <c r="H105" s="33" t="s">
        <v>3022</v>
      </c>
      <c r="I105" s="31"/>
      <c r="J105" s="33" t="s">
        <v>1323</v>
      </c>
      <c r="K105" s="31" t="s">
        <v>500</v>
      </c>
      <c r="L105" s="33"/>
      <c r="M105" s="33" t="s">
        <v>2909</v>
      </c>
      <c r="N105" s="33" t="s">
        <v>6143</v>
      </c>
      <c r="O105" s="31" t="s">
        <v>6421</v>
      </c>
      <c r="P105" s="31" t="s">
        <v>6422</v>
      </c>
      <c r="Q105" s="680">
        <v>0.5</v>
      </c>
      <c r="R105" s="31"/>
      <c r="S105" s="31"/>
      <c r="T105" s="680"/>
      <c r="U105" s="680"/>
    </row>
    <row r="106" ht="16.5" customHeight="1" spans="1:21">
      <c r="A106" s="679">
        <f>A19+1</f>
        <v>4</v>
      </c>
      <c r="B106" s="31" t="s">
        <v>6423</v>
      </c>
      <c r="C106" s="31"/>
      <c r="D106" s="33"/>
      <c r="E106" s="33" t="s">
        <v>6141</v>
      </c>
      <c r="F106" s="33" t="s">
        <v>3022</v>
      </c>
      <c r="G106" s="33" t="s">
        <v>6161</v>
      </c>
      <c r="H106" s="33" t="s">
        <v>3022</v>
      </c>
      <c r="I106" s="31"/>
      <c r="J106" s="33" t="s">
        <v>1323</v>
      </c>
      <c r="K106" s="31" t="s">
        <v>500</v>
      </c>
      <c r="L106" s="33"/>
      <c r="M106" s="33" t="s">
        <v>2909</v>
      </c>
      <c r="N106" s="33" t="s">
        <v>6143</v>
      </c>
      <c r="O106" s="31" t="s">
        <v>6424</v>
      </c>
      <c r="P106" s="31" t="s">
        <v>6425</v>
      </c>
      <c r="Q106" s="680">
        <v>0.5</v>
      </c>
      <c r="R106" s="31"/>
      <c r="S106" s="31"/>
      <c r="T106" s="680"/>
      <c r="U106" s="680"/>
    </row>
    <row r="107" ht="16.5" customHeight="1" spans="1:21">
      <c r="A107" s="679">
        <f>A106+1</f>
        <v>5</v>
      </c>
      <c r="B107" s="31" t="s">
        <v>6426</v>
      </c>
      <c r="C107" s="31"/>
      <c r="D107" s="33"/>
      <c r="E107" s="33" t="s">
        <v>6141</v>
      </c>
      <c r="F107" s="33" t="s">
        <v>3022</v>
      </c>
      <c r="G107" s="33" t="s">
        <v>6161</v>
      </c>
      <c r="H107" s="33" t="s">
        <v>3022</v>
      </c>
      <c r="I107" s="31"/>
      <c r="J107" s="33" t="s">
        <v>1323</v>
      </c>
      <c r="K107" s="31" t="s">
        <v>500</v>
      </c>
      <c r="L107" s="33"/>
      <c r="M107" s="33" t="s">
        <v>2909</v>
      </c>
      <c r="N107" s="33" t="s">
        <v>6143</v>
      </c>
      <c r="O107" s="31" t="s">
        <v>6427</v>
      </c>
      <c r="P107" s="31" t="s">
        <v>6428</v>
      </c>
      <c r="Q107" s="680">
        <v>0.5</v>
      </c>
      <c r="R107" s="31"/>
      <c r="S107" s="31"/>
      <c r="T107" s="680"/>
      <c r="U107" s="680"/>
    </row>
    <row r="108" ht="16.5" customHeight="1" spans="1:21">
      <c r="A108" s="679">
        <f>A17+1</f>
        <v>2</v>
      </c>
      <c r="B108" s="31" t="s">
        <v>6429</v>
      </c>
      <c r="C108" s="31"/>
      <c r="D108" s="33"/>
      <c r="E108" s="33" t="s">
        <v>6141</v>
      </c>
      <c r="F108" s="33" t="s">
        <v>3022</v>
      </c>
      <c r="G108" s="33" t="s">
        <v>6161</v>
      </c>
      <c r="H108" s="33" t="s">
        <v>3022</v>
      </c>
      <c r="I108" s="31"/>
      <c r="J108" s="33" t="s">
        <v>1323</v>
      </c>
      <c r="K108" s="31" t="s">
        <v>500</v>
      </c>
      <c r="L108" s="33"/>
      <c r="M108" s="33" t="s">
        <v>2909</v>
      </c>
      <c r="N108" s="33" t="s">
        <v>6143</v>
      </c>
      <c r="O108" s="31" t="s">
        <v>6430</v>
      </c>
      <c r="P108" s="31" t="s">
        <v>6431</v>
      </c>
      <c r="Q108" s="680">
        <v>0.5</v>
      </c>
      <c r="R108" s="31"/>
      <c r="S108" s="31"/>
      <c r="T108" s="680"/>
      <c r="U108" s="680"/>
    </row>
    <row r="109" ht="16.5" customHeight="1" spans="1:21">
      <c r="A109" s="679">
        <f>A22+1</f>
        <v>7</v>
      </c>
      <c r="B109" s="31" t="s">
        <v>6432</v>
      </c>
      <c r="C109" s="31"/>
      <c r="D109" s="33"/>
      <c r="E109" s="33" t="s">
        <v>6141</v>
      </c>
      <c r="F109" s="33" t="s">
        <v>3022</v>
      </c>
      <c r="G109" s="33" t="s">
        <v>6161</v>
      </c>
      <c r="H109" s="33" t="s">
        <v>3022</v>
      </c>
      <c r="I109" s="31"/>
      <c r="J109" s="33" t="s">
        <v>1323</v>
      </c>
      <c r="K109" s="31" t="s">
        <v>500</v>
      </c>
      <c r="L109" s="33"/>
      <c r="M109" s="33" t="s">
        <v>2909</v>
      </c>
      <c r="N109" s="33" t="s">
        <v>6143</v>
      </c>
      <c r="O109" s="31" t="s">
        <v>6433</v>
      </c>
      <c r="P109" s="31" t="s">
        <v>6434</v>
      </c>
      <c r="Q109" s="680">
        <v>0.5</v>
      </c>
      <c r="R109" s="31"/>
      <c r="S109" s="31"/>
      <c r="T109" s="680"/>
      <c r="U109" s="680"/>
    </row>
    <row r="110" ht="16.5" customHeight="1" spans="1:21">
      <c r="A110" s="679">
        <f>A28+1</f>
        <v>3</v>
      </c>
      <c r="B110" s="31" t="s">
        <v>6435</v>
      </c>
      <c r="C110" s="31"/>
      <c r="D110" s="33"/>
      <c r="E110" s="33" t="s">
        <v>6141</v>
      </c>
      <c r="F110" s="33" t="s">
        <v>3022</v>
      </c>
      <c r="G110" s="33" t="s">
        <v>6161</v>
      </c>
      <c r="H110" s="33" t="s">
        <v>3022</v>
      </c>
      <c r="I110" s="31"/>
      <c r="J110" s="33" t="s">
        <v>1323</v>
      </c>
      <c r="K110" s="31" t="s">
        <v>500</v>
      </c>
      <c r="L110" s="33"/>
      <c r="M110" s="33" t="s">
        <v>2909</v>
      </c>
      <c r="N110" s="33" t="s">
        <v>6143</v>
      </c>
      <c r="O110" s="31" t="s">
        <v>6436</v>
      </c>
      <c r="P110" s="31" t="s">
        <v>6437</v>
      </c>
      <c r="Q110" s="680">
        <v>0.5</v>
      </c>
      <c r="R110" s="31"/>
      <c r="S110" s="31"/>
      <c r="T110" s="680"/>
      <c r="U110" s="680"/>
    </row>
    <row r="111" ht="16.5" customHeight="1" spans="1:21">
      <c r="A111" s="679">
        <f>A110+1</f>
        <v>4</v>
      </c>
      <c r="B111" s="31" t="s">
        <v>6438</v>
      </c>
      <c r="C111" s="31"/>
      <c r="D111" s="33"/>
      <c r="E111" s="33" t="s">
        <v>6141</v>
      </c>
      <c r="F111" s="33" t="s">
        <v>3022</v>
      </c>
      <c r="G111" s="33" t="s">
        <v>6161</v>
      </c>
      <c r="H111" s="33" t="s">
        <v>3022</v>
      </c>
      <c r="I111" s="31"/>
      <c r="J111" s="33" t="s">
        <v>1323</v>
      </c>
      <c r="K111" s="31" t="s">
        <v>500</v>
      </c>
      <c r="L111" s="33"/>
      <c r="M111" s="33" t="s">
        <v>2909</v>
      </c>
      <c r="N111" s="33" t="s">
        <v>6143</v>
      </c>
      <c r="O111" s="31" t="s">
        <v>6439</v>
      </c>
      <c r="P111" s="31" t="s">
        <v>6440</v>
      </c>
      <c r="Q111" s="680">
        <v>0.5</v>
      </c>
      <c r="R111" s="31"/>
      <c r="S111" s="31"/>
      <c r="T111" s="680"/>
      <c r="U111" s="680"/>
    </row>
    <row r="112" ht="17.25" customHeight="1" spans="1:21">
      <c r="A112" s="679">
        <f>A30+1</f>
        <v>5</v>
      </c>
      <c r="B112" s="31" t="s">
        <v>6441</v>
      </c>
      <c r="C112" s="31"/>
      <c r="D112" s="33"/>
      <c r="E112" s="33" t="s">
        <v>6141</v>
      </c>
      <c r="F112" s="33" t="s">
        <v>3022</v>
      </c>
      <c r="G112" s="33" t="s">
        <v>6161</v>
      </c>
      <c r="H112" s="33" t="s">
        <v>3022</v>
      </c>
      <c r="I112" s="31"/>
      <c r="J112" s="33" t="s">
        <v>1323</v>
      </c>
      <c r="K112" s="31" t="s">
        <v>500</v>
      </c>
      <c r="L112" s="33"/>
      <c r="M112" s="33" t="s">
        <v>2909</v>
      </c>
      <c r="N112" s="33" t="s">
        <v>6143</v>
      </c>
      <c r="O112" s="31" t="s">
        <v>6442</v>
      </c>
      <c r="P112" s="31" t="s">
        <v>6443</v>
      </c>
      <c r="Q112" s="680">
        <v>0.5</v>
      </c>
      <c r="R112" s="31"/>
      <c r="S112" s="31"/>
      <c r="T112" s="680"/>
      <c r="U112" s="680"/>
    </row>
    <row r="113" ht="16.5" customHeight="1" spans="1:21">
      <c r="A113" s="679">
        <f>A112+1</f>
        <v>6</v>
      </c>
      <c r="B113" s="31" t="s">
        <v>6444</v>
      </c>
      <c r="C113" s="31"/>
      <c r="D113" s="33"/>
      <c r="E113" s="33" t="s">
        <v>6141</v>
      </c>
      <c r="F113" s="33" t="s">
        <v>3022</v>
      </c>
      <c r="G113" s="33" t="s">
        <v>6161</v>
      </c>
      <c r="H113" s="33" t="s">
        <v>3022</v>
      </c>
      <c r="I113" s="31"/>
      <c r="J113" s="33" t="s">
        <v>1323</v>
      </c>
      <c r="K113" s="31" t="s">
        <v>500</v>
      </c>
      <c r="L113" s="33"/>
      <c r="M113" s="33" t="s">
        <v>2909</v>
      </c>
      <c r="N113" s="33" t="s">
        <v>6143</v>
      </c>
      <c r="O113" s="31" t="s">
        <v>6445</v>
      </c>
      <c r="P113" s="31" t="s">
        <v>6446</v>
      </c>
      <c r="Q113" s="680">
        <v>0.5</v>
      </c>
      <c r="R113" s="31"/>
      <c r="S113" s="31"/>
      <c r="T113" s="680"/>
      <c r="U113" s="680"/>
    </row>
    <row r="114" ht="16.5" customHeight="1" spans="1:21">
      <c r="A114" s="679">
        <f>A31+1</f>
        <v>6</v>
      </c>
      <c r="B114" s="31" t="s">
        <v>6447</v>
      </c>
      <c r="C114" s="31"/>
      <c r="D114" s="33"/>
      <c r="E114" s="33" t="s">
        <v>6141</v>
      </c>
      <c r="F114" s="33" t="s">
        <v>3022</v>
      </c>
      <c r="G114" s="33" t="s">
        <v>6161</v>
      </c>
      <c r="H114" s="33" t="s">
        <v>3022</v>
      </c>
      <c r="I114" s="31"/>
      <c r="J114" s="33" t="s">
        <v>1323</v>
      </c>
      <c r="K114" s="31" t="s">
        <v>500</v>
      </c>
      <c r="L114" s="33"/>
      <c r="M114" s="33" t="s">
        <v>2909</v>
      </c>
      <c r="N114" s="33" t="s">
        <v>6143</v>
      </c>
      <c r="O114" s="31" t="s">
        <v>6448</v>
      </c>
      <c r="P114" s="31" t="s">
        <v>6449</v>
      </c>
      <c r="Q114" s="680">
        <v>0.5</v>
      </c>
      <c r="R114" s="31"/>
      <c r="S114" s="31"/>
      <c r="T114" s="680"/>
      <c r="U114" s="680"/>
    </row>
    <row r="115" ht="16.5" customHeight="1" spans="1:21">
      <c r="A115" s="679">
        <f t="shared" ref="A115:A116" si="5">A114+1</f>
        <v>7</v>
      </c>
      <c r="B115" s="31" t="s">
        <v>6450</v>
      </c>
      <c r="C115" s="31"/>
      <c r="D115" s="33"/>
      <c r="E115" s="33" t="s">
        <v>6141</v>
      </c>
      <c r="F115" s="33" t="s">
        <v>3022</v>
      </c>
      <c r="G115" s="33" t="s">
        <v>6161</v>
      </c>
      <c r="H115" s="33" t="s">
        <v>3022</v>
      </c>
      <c r="I115" s="31"/>
      <c r="J115" s="33" t="s">
        <v>1323</v>
      </c>
      <c r="K115" s="31" t="s">
        <v>500</v>
      </c>
      <c r="L115" s="33"/>
      <c r="M115" s="33" t="s">
        <v>2909</v>
      </c>
      <c r="N115" s="33" t="s">
        <v>6143</v>
      </c>
      <c r="O115" s="31" t="s">
        <v>6451</v>
      </c>
      <c r="P115" s="31" t="s">
        <v>6452</v>
      </c>
      <c r="Q115" s="680">
        <v>0.5</v>
      </c>
      <c r="R115" s="31"/>
      <c r="S115" s="31"/>
      <c r="T115" s="680"/>
      <c r="U115" s="680"/>
    </row>
    <row r="116" ht="16.5" customHeight="1" spans="1:21">
      <c r="A116" s="679">
        <f t="shared" si="5"/>
        <v>8</v>
      </c>
      <c r="B116" s="31" t="s">
        <v>6453</v>
      </c>
      <c r="C116" s="31"/>
      <c r="D116" s="33"/>
      <c r="E116" s="33" t="s">
        <v>6141</v>
      </c>
      <c r="F116" s="33" t="s">
        <v>3022</v>
      </c>
      <c r="G116" s="33" t="s">
        <v>6161</v>
      </c>
      <c r="H116" s="33" t="s">
        <v>3022</v>
      </c>
      <c r="I116" s="31"/>
      <c r="J116" s="33" t="s">
        <v>1323</v>
      </c>
      <c r="K116" s="31" t="s">
        <v>500</v>
      </c>
      <c r="L116" s="33"/>
      <c r="M116" s="33" t="s">
        <v>2909</v>
      </c>
      <c r="N116" s="33" t="s">
        <v>6143</v>
      </c>
      <c r="O116" s="31" t="s">
        <v>6454</v>
      </c>
      <c r="P116" s="31" t="s">
        <v>6455</v>
      </c>
      <c r="Q116" s="680">
        <v>0.5</v>
      </c>
      <c r="R116" s="31"/>
      <c r="S116" s="31"/>
      <c r="T116" s="680"/>
      <c r="U116" s="680"/>
    </row>
    <row r="117" ht="16.5" customHeight="1" spans="1:21">
      <c r="A117" s="679">
        <f>A32+1</f>
        <v>7</v>
      </c>
      <c r="B117" s="31" t="s">
        <v>6456</v>
      </c>
      <c r="C117" s="31"/>
      <c r="D117" s="33"/>
      <c r="E117" s="33" t="s">
        <v>6141</v>
      </c>
      <c r="F117" s="33" t="s">
        <v>3022</v>
      </c>
      <c r="G117" s="33" t="s">
        <v>6161</v>
      </c>
      <c r="H117" s="33" t="s">
        <v>3022</v>
      </c>
      <c r="I117" s="31"/>
      <c r="J117" s="33" t="s">
        <v>1323</v>
      </c>
      <c r="K117" s="31" t="s">
        <v>500</v>
      </c>
      <c r="L117" s="33"/>
      <c r="M117" s="33" t="s">
        <v>2909</v>
      </c>
      <c r="N117" s="33" t="s">
        <v>6143</v>
      </c>
      <c r="O117" s="31" t="s">
        <v>6457</v>
      </c>
      <c r="P117" s="31" t="s">
        <v>6458</v>
      </c>
      <c r="Q117" s="680">
        <v>0.5</v>
      </c>
      <c r="R117" s="31"/>
      <c r="S117" s="31"/>
      <c r="T117" s="680"/>
      <c r="U117" s="680"/>
    </row>
    <row r="118" ht="16.5" customHeight="1" spans="1:21">
      <c r="A118" s="679">
        <f>A117+1</f>
        <v>8</v>
      </c>
      <c r="B118" s="31" t="s">
        <v>6459</v>
      </c>
      <c r="C118" s="31"/>
      <c r="D118" s="33"/>
      <c r="E118" s="33" t="s">
        <v>6141</v>
      </c>
      <c r="F118" s="33" t="s">
        <v>3022</v>
      </c>
      <c r="G118" s="33" t="s">
        <v>6161</v>
      </c>
      <c r="H118" s="33" t="s">
        <v>3022</v>
      </c>
      <c r="I118" s="31"/>
      <c r="J118" s="33" t="s">
        <v>1323</v>
      </c>
      <c r="K118" s="31" t="s">
        <v>500</v>
      </c>
      <c r="L118" s="33"/>
      <c r="M118" s="33" t="s">
        <v>2909</v>
      </c>
      <c r="N118" s="33" t="s">
        <v>6143</v>
      </c>
      <c r="O118" s="31" t="s">
        <v>6460</v>
      </c>
      <c r="P118" s="31" t="s">
        <v>6461</v>
      </c>
      <c r="Q118" s="680">
        <v>0.5</v>
      </c>
      <c r="R118" s="31"/>
      <c r="S118" s="31"/>
      <c r="T118" s="680"/>
      <c r="U118" s="680"/>
    </row>
    <row r="119" ht="19.5" customHeight="1" spans="1:21">
      <c r="A119" s="660"/>
      <c r="B119" s="661"/>
      <c r="C119" s="662"/>
      <c r="D119" s="23"/>
      <c r="E119" s="23"/>
      <c r="F119" s="23"/>
      <c r="G119" s="23"/>
      <c r="H119" s="25"/>
      <c r="I119" s="25"/>
      <c r="J119" s="23"/>
      <c r="K119" s="25"/>
      <c r="L119" s="23"/>
      <c r="M119" s="23"/>
      <c r="N119" s="23"/>
      <c r="O119" s="25"/>
      <c r="P119" s="25"/>
      <c r="Q119" s="611"/>
      <c r="R119" s="25"/>
      <c r="S119" s="25"/>
      <c r="T119" s="611"/>
      <c r="U119" s="611"/>
    </row>
    <row r="120" ht="19.5" customHeight="1" spans="1:21">
      <c r="A120" s="660"/>
      <c r="B120" s="661"/>
      <c r="C120" s="662"/>
      <c r="D120" s="23"/>
      <c r="E120" s="23"/>
      <c r="F120" s="23"/>
      <c r="G120" s="23"/>
      <c r="H120" s="25"/>
      <c r="I120" s="25"/>
      <c r="J120" s="23"/>
      <c r="K120" s="25"/>
      <c r="L120" s="23"/>
      <c r="M120" s="23"/>
      <c r="N120" s="23"/>
      <c r="O120" s="25"/>
      <c r="P120" s="25"/>
      <c r="Q120" s="611"/>
      <c r="R120" s="25"/>
      <c r="S120" s="25"/>
      <c r="T120" s="611"/>
      <c r="U120" s="611"/>
    </row>
    <row r="121" ht="19.5" customHeight="1" spans="1:21">
      <c r="A121" s="660"/>
      <c r="B121" s="661"/>
      <c r="C121" s="662"/>
      <c r="D121" s="23"/>
      <c r="E121" s="23"/>
      <c r="F121" s="23"/>
      <c r="G121" s="23"/>
      <c r="H121" s="25"/>
      <c r="I121" s="25"/>
      <c r="J121" s="23"/>
      <c r="K121" s="25"/>
      <c r="L121" s="23"/>
      <c r="M121" s="23"/>
      <c r="N121" s="23"/>
      <c r="O121" s="25"/>
      <c r="P121" s="25"/>
      <c r="Q121" s="611"/>
      <c r="R121" s="25"/>
      <c r="S121" s="25"/>
      <c r="T121" s="611"/>
      <c r="U121" s="611"/>
    </row>
    <row r="122" ht="19.5" customHeight="1" spans="1:21">
      <c r="A122" s="660"/>
      <c r="B122" s="661"/>
      <c r="C122" s="662"/>
      <c r="D122" s="23"/>
      <c r="E122" s="23"/>
      <c r="F122" s="23"/>
      <c r="G122" s="23"/>
      <c r="H122" s="25"/>
      <c r="I122" s="25"/>
      <c r="J122" s="23"/>
      <c r="K122" s="25"/>
      <c r="L122" s="23"/>
      <c r="M122" s="23"/>
      <c r="N122" s="23"/>
      <c r="O122" s="25"/>
      <c r="P122" s="25"/>
      <c r="Q122" s="611"/>
      <c r="R122" s="25"/>
      <c r="S122" s="25"/>
      <c r="T122" s="611"/>
      <c r="U122" s="611"/>
    </row>
    <row r="123" ht="19.5" customHeight="1" spans="1:21">
      <c r="A123" s="660"/>
      <c r="B123" s="661"/>
      <c r="C123" s="662"/>
      <c r="D123" s="23"/>
      <c r="E123" s="23"/>
      <c r="F123" s="23"/>
      <c r="G123" s="23"/>
      <c r="H123" s="25"/>
      <c r="I123" s="25"/>
      <c r="J123" s="23"/>
      <c r="K123" s="25"/>
      <c r="L123" s="23"/>
      <c r="M123" s="23"/>
      <c r="N123" s="23"/>
      <c r="O123" s="25"/>
      <c r="P123" s="25"/>
      <c r="Q123" s="611"/>
      <c r="R123" s="25"/>
      <c r="S123" s="25"/>
      <c r="T123" s="611"/>
      <c r="U123" s="611"/>
    </row>
    <row r="124" ht="19.5" customHeight="1" spans="1:21">
      <c r="A124" s="660"/>
      <c r="B124" s="661"/>
      <c r="C124" s="662"/>
      <c r="D124" s="23"/>
      <c r="E124" s="23"/>
      <c r="F124" s="23"/>
      <c r="G124" s="23"/>
      <c r="H124" s="25"/>
      <c r="I124" s="25"/>
      <c r="J124" s="23"/>
      <c r="K124" s="25"/>
      <c r="L124" s="23"/>
      <c r="M124" s="23"/>
      <c r="N124" s="23"/>
      <c r="O124" s="25"/>
      <c r="P124" s="25"/>
      <c r="Q124" s="25"/>
      <c r="R124" s="25"/>
      <c r="S124" s="25"/>
      <c r="T124" s="611"/>
      <c r="U124" s="611"/>
    </row>
    <row r="125" ht="19.5" hidden="1" customHeight="1" spans="1:21">
      <c r="A125" s="660"/>
      <c r="B125" s="661"/>
      <c r="C125" s="662" t="s">
        <v>4844</v>
      </c>
      <c r="D125" s="23"/>
      <c r="E125" s="23"/>
      <c r="F125" s="23"/>
      <c r="G125" s="23"/>
      <c r="H125" s="25"/>
      <c r="I125" s="25"/>
      <c r="J125" s="23"/>
      <c r="K125" s="25"/>
      <c r="L125" s="23"/>
      <c r="M125" s="23"/>
      <c r="N125" s="23"/>
      <c r="O125" s="25"/>
      <c r="P125" s="25"/>
      <c r="Q125" s="25"/>
      <c r="R125" s="25"/>
      <c r="S125" s="25"/>
      <c r="T125" s="611"/>
      <c r="U125" s="611"/>
    </row>
    <row r="126" ht="19.5" customHeight="1" spans="1:21">
      <c r="A126" s="647"/>
      <c r="B126" s="648" t="s">
        <v>6462</v>
      </c>
      <c r="C126" s="649">
        <f>SUM($C$3,$C$39,$C$76)</f>
        <v>61</v>
      </c>
      <c r="D126" s="650"/>
      <c r="E126" s="650"/>
      <c r="F126" s="650"/>
      <c r="G126" s="650"/>
      <c r="H126" s="652"/>
      <c r="I126" s="652"/>
      <c r="J126" s="650"/>
      <c r="K126" s="652"/>
      <c r="L126" s="650"/>
      <c r="M126" s="650"/>
      <c r="N126" s="650"/>
      <c r="O126" s="652"/>
      <c r="P126" s="652"/>
      <c r="Q126" s="652"/>
      <c r="R126" s="652"/>
      <c r="S126" s="652"/>
      <c r="T126" s="653"/>
      <c r="U126" s="653"/>
    </row>
    <row r="127" ht="14.25" customHeight="1" spans="1:21">
      <c r="A127" s="81"/>
      <c r="B127" s="81"/>
      <c r="C127" s="81"/>
      <c r="D127" s="681"/>
      <c r="E127" s="681"/>
      <c r="F127" s="81"/>
      <c r="G127" s="681"/>
      <c r="H127" s="682"/>
      <c r="I127" s="81"/>
      <c r="J127" s="81"/>
      <c r="K127" s="81"/>
      <c r="L127" s="81"/>
      <c r="M127" s="81"/>
      <c r="N127" s="681"/>
      <c r="O127" s="81"/>
      <c r="P127" s="81"/>
      <c r="Q127" s="81"/>
      <c r="R127" s="81"/>
      <c r="S127" s="81"/>
      <c r="T127" s="81"/>
      <c r="U127" s="81"/>
    </row>
    <row r="128" ht="14.25" customHeight="1" spans="1:21">
      <c r="A128" s="81"/>
      <c r="B128" s="81"/>
      <c r="C128" s="81"/>
      <c r="D128" s="681"/>
      <c r="E128" s="681"/>
      <c r="F128" s="81"/>
      <c r="G128" s="681"/>
      <c r="H128" s="683"/>
      <c r="I128" s="81"/>
      <c r="J128" s="81"/>
      <c r="K128" s="81"/>
      <c r="L128" s="81"/>
      <c r="M128" s="81"/>
      <c r="N128" s="681"/>
      <c r="O128" s="81"/>
      <c r="P128" s="81"/>
      <c r="Q128" s="81"/>
      <c r="R128" s="81"/>
      <c r="S128" s="81"/>
      <c r="T128" s="81"/>
      <c r="U128" s="81"/>
    </row>
    <row r="129" ht="14.25" customHeight="1" spans="1:21">
      <c r="A129" s="81"/>
      <c r="B129" s="81"/>
      <c r="C129" s="81"/>
      <c r="D129" s="681"/>
      <c r="E129" s="681"/>
      <c r="F129" s="81"/>
      <c r="G129" s="681"/>
      <c r="H129" s="683"/>
      <c r="I129" s="81"/>
      <c r="J129" s="81"/>
      <c r="K129" s="81"/>
      <c r="L129" s="81"/>
      <c r="M129" s="81"/>
      <c r="N129" s="681"/>
      <c r="O129" s="81"/>
      <c r="P129" s="81"/>
      <c r="Q129" s="81"/>
      <c r="R129" s="81"/>
      <c r="S129" s="81"/>
      <c r="T129" s="81"/>
      <c r="U129" s="81"/>
    </row>
    <row r="130" ht="14.25" customHeight="1" spans="1:21">
      <c r="A130" s="81"/>
      <c r="B130" s="81"/>
      <c r="C130" s="81"/>
      <c r="D130" s="681"/>
      <c r="E130" s="681"/>
      <c r="F130" s="81"/>
      <c r="G130" s="681"/>
      <c r="H130" s="683"/>
      <c r="I130" s="81"/>
      <c r="J130" s="81"/>
      <c r="K130" s="81"/>
      <c r="L130" s="81"/>
      <c r="M130" s="81"/>
      <c r="N130" s="681"/>
      <c r="O130" s="81"/>
      <c r="P130" s="81"/>
      <c r="Q130" s="81"/>
      <c r="R130" s="81"/>
      <c r="S130" s="81"/>
      <c r="T130" s="81"/>
      <c r="U130" s="81"/>
    </row>
    <row r="131" ht="14.25" customHeight="1" spans="1:21">
      <c r="A131" s="81"/>
      <c r="B131" s="81"/>
      <c r="C131" s="81"/>
      <c r="D131" s="681"/>
      <c r="E131" s="681"/>
      <c r="F131" s="81"/>
      <c r="G131" s="681"/>
      <c r="H131" s="683"/>
      <c r="I131" s="81"/>
      <c r="J131" s="81"/>
      <c r="K131" s="81"/>
      <c r="L131" s="81"/>
      <c r="M131" s="81"/>
      <c r="N131" s="681"/>
      <c r="O131" s="81"/>
      <c r="P131" s="81"/>
      <c r="Q131" s="81"/>
      <c r="R131" s="81"/>
      <c r="S131" s="81"/>
      <c r="T131" s="81"/>
      <c r="U131" s="81"/>
    </row>
    <row r="132" ht="14.25" customHeight="1" spans="1:21">
      <c r="A132" s="81"/>
      <c r="B132" s="81"/>
      <c r="C132" s="81"/>
      <c r="D132" s="681"/>
      <c r="E132" s="681"/>
      <c r="F132" s="81"/>
      <c r="G132" s="681"/>
      <c r="H132" s="683"/>
      <c r="I132" s="81"/>
      <c r="J132" s="81"/>
      <c r="K132" s="81"/>
      <c r="L132" s="81"/>
      <c r="M132" s="81"/>
      <c r="N132" s="681"/>
      <c r="O132" s="81"/>
      <c r="P132" s="81"/>
      <c r="Q132" s="81"/>
      <c r="R132" s="81"/>
      <c r="S132" s="81"/>
      <c r="T132" s="81"/>
      <c r="U132" s="81"/>
    </row>
    <row r="133" ht="14.25" customHeight="1" spans="1:21">
      <c r="A133" s="81"/>
      <c r="B133" s="81"/>
      <c r="C133" s="81"/>
      <c r="D133" s="681"/>
      <c r="E133" s="681"/>
      <c r="F133" s="81"/>
      <c r="G133" s="681"/>
      <c r="H133" s="683"/>
      <c r="I133" s="81"/>
      <c r="J133" s="81"/>
      <c r="K133" s="81"/>
      <c r="L133" s="81"/>
      <c r="M133" s="81"/>
      <c r="N133" s="681"/>
      <c r="O133" s="81"/>
      <c r="P133" s="81"/>
      <c r="Q133" s="81"/>
      <c r="R133" s="81"/>
      <c r="S133" s="81"/>
      <c r="T133" s="81"/>
      <c r="U133" s="81"/>
    </row>
    <row r="134" ht="14.25" customHeight="1" spans="1:21">
      <c r="A134" s="81"/>
      <c r="B134" s="81"/>
      <c r="C134" s="81"/>
      <c r="D134" s="681"/>
      <c r="E134" s="681"/>
      <c r="F134" s="81"/>
      <c r="G134" s="681"/>
      <c r="H134" s="683"/>
      <c r="I134" s="81"/>
      <c r="J134" s="81"/>
      <c r="K134" s="81"/>
      <c r="L134" s="81"/>
      <c r="M134" s="81"/>
      <c r="N134" s="681"/>
      <c r="O134" s="81"/>
      <c r="P134" s="81"/>
      <c r="Q134" s="81"/>
      <c r="R134" s="81"/>
      <c r="S134" s="81"/>
      <c r="T134" s="81"/>
      <c r="U134" s="81"/>
    </row>
    <row r="135" ht="14.25" customHeight="1" spans="1:21">
      <c r="A135" s="81"/>
      <c r="B135" s="81"/>
      <c r="C135" s="81"/>
      <c r="D135" s="681"/>
      <c r="E135" s="681"/>
      <c r="F135" s="81"/>
      <c r="G135" s="681"/>
      <c r="H135" s="683"/>
      <c r="I135" s="81"/>
      <c r="J135" s="81"/>
      <c r="K135" s="81"/>
      <c r="L135" s="81"/>
      <c r="M135" s="81"/>
      <c r="N135" s="681"/>
      <c r="O135" s="81"/>
      <c r="P135" s="81"/>
      <c r="Q135" s="81"/>
      <c r="R135" s="81"/>
      <c r="S135" s="81"/>
      <c r="T135" s="81"/>
      <c r="U135" s="81"/>
    </row>
    <row r="136" ht="14.25" customHeight="1" spans="1:21">
      <c r="A136" s="81"/>
      <c r="B136" s="81"/>
      <c r="C136" s="81"/>
      <c r="D136" s="681"/>
      <c r="E136" s="681"/>
      <c r="F136" s="81"/>
      <c r="G136" s="681"/>
      <c r="H136" s="682"/>
      <c r="I136" s="81"/>
      <c r="J136" s="81"/>
      <c r="K136" s="81"/>
      <c r="L136" s="81"/>
      <c r="M136" s="81"/>
      <c r="N136" s="681"/>
      <c r="O136" s="81"/>
      <c r="P136" s="81"/>
      <c r="Q136" s="81"/>
      <c r="R136" s="81"/>
      <c r="S136" s="81"/>
      <c r="T136" s="81"/>
      <c r="U136" s="81"/>
    </row>
    <row r="137" ht="14.25" customHeight="1" spans="1:21">
      <c r="A137" s="81"/>
      <c r="B137" s="81"/>
      <c r="C137" s="81"/>
      <c r="D137" s="681"/>
      <c r="E137" s="681"/>
      <c r="F137" s="81"/>
      <c r="G137" s="681"/>
      <c r="H137" s="682"/>
      <c r="I137" s="81"/>
      <c r="J137" s="81"/>
      <c r="K137" s="81"/>
      <c r="L137" s="81"/>
      <c r="M137" s="81"/>
      <c r="N137" s="681"/>
      <c r="O137" s="81"/>
      <c r="P137" s="81"/>
      <c r="Q137" s="81"/>
      <c r="R137" s="81"/>
      <c r="S137" s="81"/>
      <c r="T137" s="81"/>
      <c r="U137" s="81"/>
    </row>
    <row r="138" ht="14.25" customHeight="1" spans="1:21">
      <c r="A138" s="81"/>
      <c r="B138" s="81"/>
      <c r="C138" s="81"/>
      <c r="D138" s="681"/>
      <c r="E138" s="681"/>
      <c r="F138" s="81"/>
      <c r="G138" s="681"/>
      <c r="H138" s="683"/>
      <c r="I138" s="81"/>
      <c r="J138" s="81"/>
      <c r="K138" s="81"/>
      <c r="L138" s="81"/>
      <c r="M138" s="81"/>
      <c r="N138" s="681"/>
      <c r="O138" s="81"/>
      <c r="P138" s="81"/>
      <c r="Q138" s="81"/>
      <c r="R138" s="81"/>
      <c r="S138" s="81"/>
      <c r="T138" s="81"/>
      <c r="U138" s="81"/>
    </row>
    <row r="139" ht="14.25" customHeight="1" spans="1:21">
      <c r="A139" s="81"/>
      <c r="B139" s="81"/>
      <c r="C139" s="81"/>
      <c r="D139" s="681"/>
      <c r="E139" s="681"/>
      <c r="F139" s="81"/>
      <c r="G139" s="681"/>
      <c r="H139" s="683"/>
      <c r="I139" s="81"/>
      <c r="J139" s="81"/>
      <c r="K139" s="81"/>
      <c r="L139" s="81"/>
      <c r="M139" s="81"/>
      <c r="N139" s="681"/>
      <c r="O139" s="81"/>
      <c r="P139" s="81"/>
      <c r="Q139" s="81"/>
      <c r="R139" s="81"/>
      <c r="S139" s="81"/>
      <c r="T139" s="81"/>
      <c r="U139" s="81"/>
    </row>
    <row r="140" ht="14.25" customHeight="1" spans="1:21">
      <c r="A140" s="81"/>
      <c r="B140" s="81"/>
      <c r="C140" s="81"/>
      <c r="D140" s="681"/>
      <c r="E140" s="681"/>
      <c r="F140" s="81"/>
      <c r="G140" s="681"/>
      <c r="H140" s="682"/>
      <c r="I140" s="81"/>
      <c r="J140" s="81"/>
      <c r="K140" s="81"/>
      <c r="L140" s="81"/>
      <c r="M140" s="81"/>
      <c r="N140" s="681"/>
      <c r="O140" s="81"/>
      <c r="P140" s="81"/>
      <c r="Q140" s="81"/>
      <c r="R140" s="81"/>
      <c r="S140" s="81"/>
      <c r="T140" s="81"/>
      <c r="U140" s="81"/>
    </row>
    <row r="141" ht="14.25" customHeight="1" spans="1:21">
      <c r="A141" s="81"/>
      <c r="B141" s="81"/>
      <c r="C141" s="81"/>
      <c r="D141" s="681"/>
      <c r="E141" s="681"/>
      <c r="F141" s="81"/>
      <c r="G141" s="681"/>
      <c r="H141" s="683"/>
      <c r="I141" s="81"/>
      <c r="J141" s="81"/>
      <c r="K141" s="81"/>
      <c r="L141" s="81"/>
      <c r="M141" s="81"/>
      <c r="N141" s="681"/>
      <c r="O141" s="81"/>
      <c r="P141" s="81"/>
      <c r="Q141" s="81"/>
      <c r="R141" s="81"/>
      <c r="S141" s="81"/>
      <c r="T141" s="81"/>
      <c r="U141" s="81"/>
    </row>
    <row r="142" ht="14.25" customHeight="1" spans="1:21">
      <c r="A142" s="81"/>
      <c r="B142" s="81"/>
      <c r="C142" s="81"/>
      <c r="D142" s="681"/>
      <c r="E142" s="681"/>
      <c r="F142" s="81"/>
      <c r="G142" s="681"/>
      <c r="H142" s="683"/>
      <c r="I142" s="81"/>
      <c r="J142" s="81"/>
      <c r="K142" s="81"/>
      <c r="L142" s="81"/>
      <c r="M142" s="81"/>
      <c r="N142" s="681"/>
      <c r="O142" s="81"/>
      <c r="P142" s="81"/>
      <c r="Q142" s="81"/>
      <c r="R142" s="81"/>
      <c r="S142" s="81"/>
      <c r="T142" s="81"/>
      <c r="U142" s="81"/>
    </row>
    <row r="143" ht="14.25" customHeight="1" spans="1:21">
      <c r="A143" s="81"/>
      <c r="B143" s="81"/>
      <c r="C143" s="81"/>
      <c r="D143" s="681"/>
      <c r="E143" s="681"/>
      <c r="F143" s="81"/>
      <c r="G143" s="681"/>
      <c r="H143" s="682"/>
      <c r="I143" s="81"/>
      <c r="J143" s="81"/>
      <c r="K143" s="81"/>
      <c r="L143" s="81"/>
      <c r="M143" s="81"/>
      <c r="N143" s="681"/>
      <c r="O143" s="81"/>
      <c r="P143" s="81"/>
      <c r="Q143" s="81"/>
      <c r="R143" s="81"/>
      <c r="S143" s="81"/>
      <c r="T143" s="81"/>
      <c r="U143" s="81"/>
    </row>
    <row r="144" ht="14.25" customHeight="1" spans="1:21">
      <c r="A144" s="81"/>
      <c r="B144" s="81"/>
      <c r="C144" s="81"/>
      <c r="D144" s="681"/>
      <c r="E144" s="681"/>
      <c r="F144" s="81"/>
      <c r="G144" s="681"/>
      <c r="H144" s="683"/>
      <c r="I144" s="81"/>
      <c r="J144" s="81"/>
      <c r="K144" s="81"/>
      <c r="L144" s="81"/>
      <c r="M144" s="81"/>
      <c r="N144" s="681"/>
      <c r="O144" s="81"/>
      <c r="P144" s="81"/>
      <c r="Q144" s="81"/>
      <c r="R144" s="81"/>
      <c r="S144" s="81"/>
      <c r="T144" s="81"/>
      <c r="U144" s="81"/>
    </row>
    <row r="145" ht="14.25" customHeight="1" spans="1:21">
      <c r="A145" s="81"/>
      <c r="B145" s="81"/>
      <c r="C145" s="81"/>
      <c r="D145" s="681"/>
      <c r="E145" s="681"/>
      <c r="F145" s="81"/>
      <c r="G145" s="681"/>
      <c r="H145" s="683"/>
      <c r="I145" s="81"/>
      <c r="J145" s="81"/>
      <c r="K145" s="81"/>
      <c r="L145" s="81"/>
      <c r="M145" s="81"/>
      <c r="N145" s="681"/>
      <c r="O145" s="81"/>
      <c r="P145" s="81"/>
      <c r="Q145" s="81"/>
      <c r="R145" s="81"/>
      <c r="S145" s="81"/>
      <c r="T145" s="81"/>
      <c r="U145" s="81"/>
    </row>
    <row r="146" ht="14.25" customHeight="1" spans="1:21">
      <c r="A146" s="81"/>
      <c r="B146" s="81"/>
      <c r="C146" s="81"/>
      <c r="D146" s="681"/>
      <c r="E146" s="681"/>
      <c r="F146" s="81"/>
      <c r="G146" s="681"/>
      <c r="H146" s="683"/>
      <c r="I146" s="81"/>
      <c r="J146" s="81"/>
      <c r="K146" s="81"/>
      <c r="L146" s="81"/>
      <c r="M146" s="81"/>
      <c r="N146" s="681"/>
      <c r="O146" s="81"/>
      <c r="P146" s="81"/>
      <c r="Q146" s="81"/>
      <c r="R146" s="81"/>
      <c r="S146" s="81"/>
      <c r="T146" s="81"/>
      <c r="U146" s="81"/>
    </row>
    <row r="147" ht="14.25" customHeight="1" spans="1:21">
      <c r="A147" s="81"/>
      <c r="B147" s="81"/>
      <c r="C147" s="81"/>
      <c r="D147" s="681"/>
      <c r="E147" s="681"/>
      <c r="F147" s="81"/>
      <c r="G147" s="681"/>
      <c r="H147" s="683"/>
      <c r="I147" s="81"/>
      <c r="J147" s="81"/>
      <c r="K147" s="81"/>
      <c r="L147" s="81"/>
      <c r="M147" s="81"/>
      <c r="N147" s="681"/>
      <c r="O147" s="81"/>
      <c r="P147" s="81"/>
      <c r="Q147" s="81"/>
      <c r="R147" s="81"/>
      <c r="S147" s="81"/>
      <c r="T147" s="81"/>
      <c r="U147" s="81"/>
    </row>
    <row r="148" ht="14.25" customHeight="1" spans="1:21">
      <c r="A148" s="81"/>
      <c r="B148" s="81"/>
      <c r="C148" s="81"/>
      <c r="D148" s="681"/>
      <c r="E148" s="681"/>
      <c r="F148" s="81"/>
      <c r="G148" s="681"/>
      <c r="H148" s="683"/>
      <c r="I148" s="81"/>
      <c r="J148" s="81"/>
      <c r="K148" s="81"/>
      <c r="L148" s="81"/>
      <c r="M148" s="81"/>
      <c r="N148" s="681"/>
      <c r="O148" s="81"/>
      <c r="P148" s="81"/>
      <c r="Q148" s="81"/>
      <c r="R148" s="81"/>
      <c r="S148" s="81"/>
      <c r="T148" s="81"/>
      <c r="U148" s="81"/>
    </row>
    <row r="149" ht="14.25" customHeight="1" spans="1:21">
      <c r="A149" s="81"/>
      <c r="B149" s="81"/>
      <c r="C149" s="81"/>
      <c r="D149" s="681"/>
      <c r="E149" s="681"/>
      <c r="F149" s="81"/>
      <c r="G149" s="681"/>
      <c r="H149" s="683"/>
      <c r="I149" s="81"/>
      <c r="J149" s="81"/>
      <c r="K149" s="81"/>
      <c r="L149" s="81"/>
      <c r="M149" s="81"/>
      <c r="N149" s="681"/>
      <c r="O149" s="81"/>
      <c r="P149" s="81"/>
      <c r="Q149" s="81"/>
      <c r="R149" s="81"/>
      <c r="S149" s="81"/>
      <c r="T149" s="81"/>
      <c r="U149" s="81"/>
    </row>
    <row r="150" ht="14.25" customHeight="1" spans="1:21">
      <c r="A150" s="81"/>
      <c r="B150" s="81"/>
      <c r="C150" s="81"/>
      <c r="D150" s="681"/>
      <c r="E150" s="681"/>
      <c r="F150" s="81"/>
      <c r="G150" s="681"/>
      <c r="H150" s="683"/>
      <c r="I150" s="81"/>
      <c r="J150" s="81"/>
      <c r="K150" s="81"/>
      <c r="L150" s="81"/>
      <c r="M150" s="81"/>
      <c r="N150" s="681"/>
      <c r="O150" s="81"/>
      <c r="P150" s="81"/>
      <c r="Q150" s="81"/>
      <c r="R150" s="81"/>
      <c r="S150" s="81"/>
      <c r="T150" s="81"/>
      <c r="U150" s="81"/>
    </row>
    <row r="151" ht="14.25" customHeight="1" spans="1:21">
      <c r="A151" s="81"/>
      <c r="B151" s="81"/>
      <c r="C151" s="81"/>
      <c r="D151" s="681"/>
      <c r="E151" s="681"/>
      <c r="F151" s="81"/>
      <c r="G151" s="681"/>
      <c r="H151" s="683"/>
      <c r="I151" s="81"/>
      <c r="J151" s="81"/>
      <c r="K151" s="81"/>
      <c r="L151" s="81"/>
      <c r="M151" s="81"/>
      <c r="N151" s="681"/>
      <c r="O151" s="81"/>
      <c r="P151" s="81"/>
      <c r="Q151" s="81"/>
      <c r="R151" s="81"/>
      <c r="S151" s="81"/>
      <c r="T151" s="81"/>
      <c r="U151" s="81"/>
    </row>
    <row r="152" ht="14.25" customHeight="1" spans="1:21">
      <c r="A152" s="81"/>
      <c r="B152" s="81"/>
      <c r="C152" s="81"/>
      <c r="D152" s="681"/>
      <c r="E152" s="681"/>
      <c r="F152" s="81"/>
      <c r="G152" s="681"/>
      <c r="H152" s="682"/>
      <c r="I152" s="81"/>
      <c r="J152" s="81"/>
      <c r="K152" s="81"/>
      <c r="L152" s="81"/>
      <c r="M152" s="81"/>
      <c r="N152" s="681"/>
      <c r="O152" s="81"/>
      <c r="P152" s="81"/>
      <c r="Q152" s="81"/>
      <c r="R152" s="81"/>
      <c r="S152" s="81"/>
      <c r="T152" s="81"/>
      <c r="U152" s="81"/>
    </row>
    <row r="153" ht="14.25" customHeight="1" spans="1:21">
      <c r="A153" s="81"/>
      <c r="B153" s="81"/>
      <c r="C153" s="81"/>
      <c r="D153" s="681"/>
      <c r="E153" s="681"/>
      <c r="F153" s="81"/>
      <c r="G153" s="681"/>
      <c r="H153" s="683"/>
      <c r="I153" s="81"/>
      <c r="J153" s="81"/>
      <c r="K153" s="81"/>
      <c r="L153" s="81"/>
      <c r="M153" s="81"/>
      <c r="N153" s="681"/>
      <c r="O153" s="81"/>
      <c r="P153" s="81"/>
      <c r="Q153" s="81"/>
      <c r="R153" s="81"/>
      <c r="S153" s="81"/>
      <c r="T153" s="81"/>
      <c r="U153" s="81"/>
    </row>
    <row r="154" ht="14.25" customHeight="1" spans="1:21">
      <c r="A154" s="81"/>
      <c r="B154" s="81"/>
      <c r="C154" s="81"/>
      <c r="D154" s="681"/>
      <c r="E154" s="681"/>
      <c r="F154" s="81"/>
      <c r="G154" s="681"/>
      <c r="H154" s="682"/>
      <c r="I154" s="81"/>
      <c r="J154" s="81"/>
      <c r="K154" s="81"/>
      <c r="L154" s="81"/>
      <c r="M154" s="81"/>
      <c r="N154" s="681"/>
      <c r="O154" s="81"/>
      <c r="P154" s="81"/>
      <c r="Q154" s="81"/>
      <c r="R154" s="81"/>
      <c r="S154" s="81"/>
      <c r="T154" s="81"/>
      <c r="U154" s="81"/>
    </row>
    <row r="155" ht="14.25" customHeight="1" spans="1:21">
      <c r="A155" s="81"/>
      <c r="B155" s="81"/>
      <c r="C155" s="81"/>
      <c r="D155" s="681"/>
      <c r="E155" s="681"/>
      <c r="F155" s="81"/>
      <c r="G155" s="681"/>
      <c r="H155" s="683"/>
      <c r="I155" s="81"/>
      <c r="J155" s="81"/>
      <c r="K155" s="81"/>
      <c r="L155" s="81"/>
      <c r="M155" s="81"/>
      <c r="N155" s="681"/>
      <c r="O155" s="81"/>
      <c r="P155" s="81"/>
      <c r="Q155" s="81"/>
      <c r="R155" s="81"/>
      <c r="S155" s="81"/>
      <c r="T155" s="81"/>
      <c r="U155" s="81"/>
    </row>
    <row r="156" ht="14.25" customHeight="1" spans="1:21">
      <c r="A156" s="81"/>
      <c r="B156" s="81"/>
      <c r="C156" s="81"/>
      <c r="D156" s="681"/>
      <c r="E156" s="681"/>
      <c r="F156" s="81"/>
      <c r="G156" s="681"/>
      <c r="H156" s="683"/>
      <c r="I156" s="81"/>
      <c r="J156" s="81"/>
      <c r="K156" s="81"/>
      <c r="L156" s="81"/>
      <c r="M156" s="81"/>
      <c r="N156" s="681"/>
      <c r="O156" s="81"/>
      <c r="P156" s="81"/>
      <c r="Q156" s="81"/>
      <c r="R156" s="81"/>
      <c r="S156" s="81"/>
      <c r="T156" s="81"/>
      <c r="U156" s="81"/>
    </row>
    <row r="157" ht="14.25" customHeight="1" spans="1:21">
      <c r="A157" s="81"/>
      <c r="B157" s="81"/>
      <c r="C157" s="81"/>
      <c r="D157" s="681"/>
      <c r="E157" s="681"/>
      <c r="F157" s="81"/>
      <c r="G157" s="681"/>
      <c r="H157" s="683"/>
      <c r="I157" s="81"/>
      <c r="J157" s="81"/>
      <c r="K157" s="81"/>
      <c r="L157" s="81"/>
      <c r="M157" s="81"/>
      <c r="N157" s="681"/>
      <c r="O157" s="81"/>
      <c r="P157" s="81"/>
      <c r="Q157" s="81"/>
      <c r="R157" s="81"/>
      <c r="S157" s="81"/>
      <c r="T157" s="81"/>
      <c r="U157" s="81"/>
    </row>
    <row r="158" ht="14.25" customHeight="1" spans="1:21">
      <c r="A158" s="81"/>
      <c r="B158" s="81"/>
      <c r="C158" s="81"/>
      <c r="D158" s="681"/>
      <c r="E158" s="681"/>
      <c r="F158" s="81"/>
      <c r="G158" s="681"/>
      <c r="H158" s="683"/>
      <c r="I158" s="81"/>
      <c r="J158" s="81"/>
      <c r="K158" s="81"/>
      <c r="L158" s="81"/>
      <c r="M158" s="81"/>
      <c r="N158" s="681"/>
      <c r="O158" s="81"/>
      <c r="P158" s="81"/>
      <c r="Q158" s="81"/>
      <c r="R158" s="81"/>
      <c r="S158" s="81"/>
      <c r="T158" s="81"/>
      <c r="U158" s="81"/>
    </row>
    <row r="159" ht="14.25" customHeight="1" spans="1:21">
      <c r="A159" s="81"/>
      <c r="B159" s="81"/>
      <c r="C159" s="81"/>
      <c r="D159" s="681"/>
      <c r="E159" s="681"/>
      <c r="F159" s="81"/>
      <c r="G159" s="681"/>
      <c r="H159" s="683"/>
      <c r="I159" s="81"/>
      <c r="J159" s="81"/>
      <c r="K159" s="81"/>
      <c r="L159" s="81"/>
      <c r="M159" s="81"/>
      <c r="N159" s="681"/>
      <c r="O159" s="81"/>
      <c r="P159" s="81"/>
      <c r="Q159" s="81"/>
      <c r="R159" s="81"/>
      <c r="S159" s="81"/>
      <c r="T159" s="81"/>
      <c r="U159" s="81"/>
    </row>
    <row r="160" ht="14.25" customHeight="1" spans="1:21">
      <c r="A160" s="81"/>
      <c r="B160" s="81"/>
      <c r="C160" s="81"/>
      <c r="D160" s="681"/>
      <c r="E160" s="681"/>
      <c r="F160" s="81"/>
      <c r="G160" s="681"/>
      <c r="H160" s="683"/>
      <c r="I160" s="81"/>
      <c r="J160" s="81"/>
      <c r="K160" s="81"/>
      <c r="L160" s="81"/>
      <c r="M160" s="81"/>
      <c r="N160" s="681"/>
      <c r="O160" s="81"/>
      <c r="P160" s="81"/>
      <c r="Q160" s="81"/>
      <c r="R160" s="81"/>
      <c r="S160" s="81"/>
      <c r="T160" s="81"/>
      <c r="U160" s="81"/>
    </row>
    <row r="161" ht="14.25" customHeight="1" spans="1:21">
      <c r="A161" s="81"/>
      <c r="B161" s="81"/>
      <c r="C161" s="81"/>
      <c r="D161" s="681"/>
      <c r="E161" s="681"/>
      <c r="F161" s="81"/>
      <c r="G161" s="681"/>
      <c r="H161" s="683"/>
      <c r="I161" s="81"/>
      <c r="J161" s="81"/>
      <c r="K161" s="81"/>
      <c r="L161" s="81"/>
      <c r="M161" s="81"/>
      <c r="N161" s="681"/>
      <c r="O161" s="81"/>
      <c r="P161" s="81"/>
      <c r="Q161" s="81"/>
      <c r="R161" s="81"/>
      <c r="S161" s="81"/>
      <c r="T161" s="81"/>
      <c r="U161" s="81"/>
    </row>
    <row r="162" ht="14.25" customHeight="1" spans="1:21">
      <c r="A162" s="81"/>
      <c r="B162" s="81"/>
      <c r="C162" s="81"/>
      <c r="D162" s="681"/>
      <c r="E162" s="681"/>
      <c r="F162" s="81"/>
      <c r="G162" s="681"/>
      <c r="H162" s="683"/>
      <c r="I162" s="81"/>
      <c r="J162" s="81"/>
      <c r="K162" s="81"/>
      <c r="L162" s="81"/>
      <c r="M162" s="81"/>
      <c r="N162" s="681"/>
      <c r="O162" s="81"/>
      <c r="P162" s="81"/>
      <c r="Q162" s="81"/>
      <c r="R162" s="81"/>
      <c r="S162" s="81"/>
      <c r="T162" s="81"/>
      <c r="U162" s="81"/>
    </row>
    <row r="163" ht="14.25" customHeight="1" spans="1:21">
      <c r="A163" s="81"/>
      <c r="B163" s="81"/>
      <c r="C163" s="81"/>
      <c r="D163" s="681"/>
      <c r="E163" s="681"/>
      <c r="F163" s="81"/>
      <c r="G163" s="681"/>
      <c r="H163" s="682"/>
      <c r="I163" s="81"/>
      <c r="J163" s="81"/>
      <c r="K163" s="81"/>
      <c r="L163" s="81"/>
      <c r="M163" s="81"/>
      <c r="N163" s="681"/>
      <c r="O163" s="81"/>
      <c r="P163" s="81"/>
      <c r="Q163" s="81"/>
      <c r="R163" s="81"/>
      <c r="S163" s="81"/>
      <c r="T163" s="81"/>
      <c r="U163" s="81"/>
    </row>
    <row r="164" ht="14.25" customHeight="1" spans="1:21">
      <c r="A164" s="81"/>
      <c r="B164" s="81"/>
      <c r="C164" s="81"/>
      <c r="D164" s="681"/>
      <c r="E164" s="681"/>
      <c r="F164" s="81"/>
      <c r="G164" s="681"/>
      <c r="H164" s="682"/>
      <c r="I164" s="81"/>
      <c r="J164" s="81"/>
      <c r="K164" s="81"/>
      <c r="L164" s="81"/>
      <c r="M164" s="81"/>
      <c r="N164" s="681"/>
      <c r="O164" s="81"/>
      <c r="P164" s="81"/>
      <c r="Q164" s="81"/>
      <c r="R164" s="81"/>
      <c r="S164" s="81"/>
      <c r="T164" s="81"/>
      <c r="U164" s="81"/>
    </row>
    <row r="165" ht="14.25" customHeight="1" spans="1:21">
      <c r="A165" s="81"/>
      <c r="B165" s="81"/>
      <c r="C165" s="81"/>
      <c r="D165" s="681"/>
      <c r="E165" s="681"/>
      <c r="F165" s="81"/>
      <c r="G165" s="681"/>
      <c r="H165" s="683"/>
      <c r="I165" s="81"/>
      <c r="J165" s="81"/>
      <c r="K165" s="81"/>
      <c r="L165" s="81"/>
      <c r="M165" s="81"/>
      <c r="N165" s="681"/>
      <c r="O165" s="81"/>
      <c r="P165" s="81"/>
      <c r="Q165" s="81"/>
      <c r="R165" s="81"/>
      <c r="S165" s="81"/>
      <c r="T165" s="81"/>
      <c r="U165" s="81"/>
    </row>
    <row r="166" ht="14.25" customHeight="1" spans="1:21">
      <c r="A166" s="81"/>
      <c r="B166" s="81"/>
      <c r="C166" s="81"/>
      <c r="D166" s="681"/>
      <c r="E166" s="681"/>
      <c r="F166" s="81"/>
      <c r="G166" s="681"/>
      <c r="H166" s="683"/>
      <c r="I166" s="81"/>
      <c r="J166" s="81"/>
      <c r="K166" s="81"/>
      <c r="L166" s="81"/>
      <c r="M166" s="81"/>
      <c r="N166" s="681"/>
      <c r="O166" s="81"/>
      <c r="P166" s="81"/>
      <c r="Q166" s="81"/>
      <c r="R166" s="81"/>
      <c r="S166" s="81"/>
      <c r="T166" s="81"/>
      <c r="U166" s="81"/>
    </row>
    <row r="167" ht="14.25" customHeight="1" spans="1:21">
      <c r="A167" s="81"/>
      <c r="B167" s="81"/>
      <c r="C167" s="81"/>
      <c r="D167" s="681"/>
      <c r="E167" s="681"/>
      <c r="F167" s="81"/>
      <c r="G167" s="681"/>
      <c r="H167" s="683"/>
      <c r="I167" s="81"/>
      <c r="J167" s="81"/>
      <c r="K167" s="81"/>
      <c r="L167" s="81"/>
      <c r="M167" s="81"/>
      <c r="N167" s="681"/>
      <c r="O167" s="81"/>
      <c r="P167" s="81"/>
      <c r="Q167" s="81"/>
      <c r="R167" s="81"/>
      <c r="S167" s="81"/>
      <c r="T167" s="81"/>
      <c r="U167" s="81"/>
    </row>
    <row r="168" ht="14.25" customHeight="1" spans="1:21">
      <c r="A168" s="81"/>
      <c r="B168" s="81"/>
      <c r="C168" s="81"/>
      <c r="D168" s="681"/>
      <c r="E168" s="681"/>
      <c r="F168" s="81"/>
      <c r="G168" s="681"/>
      <c r="H168" s="683"/>
      <c r="I168" s="81"/>
      <c r="J168" s="81"/>
      <c r="K168" s="81"/>
      <c r="L168" s="81"/>
      <c r="M168" s="81"/>
      <c r="N168" s="681"/>
      <c r="O168" s="81"/>
      <c r="P168" s="81"/>
      <c r="Q168" s="81"/>
      <c r="R168" s="81"/>
      <c r="S168" s="81"/>
      <c r="T168" s="81"/>
      <c r="U168" s="81"/>
    </row>
    <row r="169" ht="14.25" customHeight="1" spans="1:21">
      <c r="A169" s="81"/>
      <c r="B169" s="81"/>
      <c r="C169" s="81"/>
      <c r="D169" s="681"/>
      <c r="E169" s="681"/>
      <c r="F169" s="81"/>
      <c r="G169" s="681"/>
      <c r="H169" s="682"/>
      <c r="I169" s="81"/>
      <c r="J169" s="81"/>
      <c r="K169" s="81"/>
      <c r="L169" s="81"/>
      <c r="M169" s="81"/>
      <c r="N169" s="681"/>
      <c r="O169" s="81"/>
      <c r="P169" s="81"/>
      <c r="Q169" s="81"/>
      <c r="R169" s="81"/>
      <c r="S169" s="81"/>
      <c r="T169" s="81"/>
      <c r="U169" s="81"/>
    </row>
    <row r="170" ht="14.25" customHeight="1" spans="1:21">
      <c r="A170" s="81"/>
      <c r="B170" s="81"/>
      <c r="C170" s="81"/>
      <c r="D170" s="681"/>
      <c r="E170" s="681"/>
      <c r="F170" s="81"/>
      <c r="G170" s="681"/>
      <c r="H170" s="684"/>
      <c r="I170" s="81"/>
      <c r="J170" s="81"/>
      <c r="K170" s="81"/>
      <c r="L170" s="81"/>
      <c r="M170" s="81"/>
      <c r="N170" s="681"/>
      <c r="O170" s="81"/>
      <c r="P170" s="81"/>
      <c r="Q170" s="81"/>
      <c r="R170" s="81"/>
      <c r="S170" s="81"/>
      <c r="T170" s="81"/>
      <c r="U170" s="81"/>
    </row>
    <row r="171" ht="14.25" customHeight="1" spans="1:21">
      <c r="A171" s="81"/>
      <c r="B171" s="81"/>
      <c r="C171" s="81"/>
      <c r="D171" s="681"/>
      <c r="E171" s="681"/>
      <c r="F171" s="81"/>
      <c r="G171" s="681"/>
      <c r="H171" s="683"/>
      <c r="I171" s="81"/>
      <c r="J171" s="81"/>
      <c r="K171" s="81"/>
      <c r="L171" s="81"/>
      <c r="M171" s="81"/>
      <c r="N171" s="681"/>
      <c r="O171" s="81"/>
      <c r="P171" s="81"/>
      <c r="Q171" s="81"/>
      <c r="R171" s="81"/>
      <c r="S171" s="81"/>
      <c r="T171" s="81"/>
      <c r="U171" s="81"/>
    </row>
    <row r="172" ht="14.25" customHeight="1" spans="1:21">
      <c r="A172" s="81"/>
      <c r="B172" s="81"/>
      <c r="C172" s="81"/>
      <c r="D172" s="681"/>
      <c r="E172" s="681"/>
      <c r="F172" s="81"/>
      <c r="G172" s="681"/>
      <c r="H172" s="682"/>
      <c r="I172" s="81"/>
      <c r="J172" s="81"/>
      <c r="K172" s="81"/>
      <c r="L172" s="81"/>
      <c r="M172" s="81"/>
      <c r="N172" s="681"/>
      <c r="O172" s="81"/>
      <c r="P172" s="81"/>
      <c r="Q172" s="81"/>
      <c r="R172" s="81"/>
      <c r="S172" s="81"/>
      <c r="T172" s="81"/>
      <c r="U172" s="81"/>
    </row>
    <row r="173" ht="14.25" customHeight="1" spans="1:21">
      <c r="A173" s="81"/>
      <c r="B173" s="81"/>
      <c r="C173" s="81"/>
      <c r="D173" s="681"/>
      <c r="E173" s="681"/>
      <c r="F173" s="81"/>
      <c r="G173" s="681"/>
      <c r="H173" s="683"/>
      <c r="I173" s="81"/>
      <c r="J173" s="81"/>
      <c r="K173" s="81"/>
      <c r="L173" s="81"/>
      <c r="M173" s="81"/>
      <c r="N173" s="681"/>
      <c r="O173" s="81"/>
      <c r="P173" s="81"/>
      <c r="Q173" s="81"/>
      <c r="R173" s="81"/>
      <c r="S173" s="81"/>
      <c r="T173" s="81"/>
      <c r="U173" s="81"/>
    </row>
    <row r="174" ht="14.25" customHeight="1" spans="1:21">
      <c r="A174" s="81"/>
      <c r="B174" s="81"/>
      <c r="C174" s="81"/>
      <c r="D174" s="681"/>
      <c r="E174" s="681"/>
      <c r="F174" s="81"/>
      <c r="G174" s="681"/>
      <c r="H174" s="682"/>
      <c r="I174" s="81"/>
      <c r="J174" s="81"/>
      <c r="K174" s="81"/>
      <c r="L174" s="81"/>
      <c r="M174" s="81"/>
      <c r="N174" s="681"/>
      <c r="O174" s="81"/>
      <c r="P174" s="81"/>
      <c r="Q174" s="81"/>
      <c r="R174" s="81"/>
      <c r="S174" s="81"/>
      <c r="T174" s="81"/>
      <c r="U174" s="81"/>
    </row>
    <row r="175" ht="14.25" customHeight="1" spans="1:21">
      <c r="A175" s="81"/>
      <c r="B175" s="81"/>
      <c r="C175" s="81"/>
      <c r="D175" s="681"/>
      <c r="E175" s="681"/>
      <c r="F175" s="81"/>
      <c r="G175" s="681"/>
      <c r="H175" s="682"/>
      <c r="I175" s="81"/>
      <c r="J175" s="81"/>
      <c r="K175" s="81"/>
      <c r="L175" s="81"/>
      <c r="M175" s="81"/>
      <c r="N175" s="681"/>
      <c r="O175" s="81"/>
      <c r="P175" s="81"/>
      <c r="Q175" s="81"/>
      <c r="R175" s="81"/>
      <c r="S175" s="81"/>
      <c r="T175" s="81"/>
      <c r="U175" s="81"/>
    </row>
    <row r="176" ht="14.25" customHeight="1" spans="1:21">
      <c r="A176" s="81"/>
      <c r="B176" s="81"/>
      <c r="C176" s="81"/>
      <c r="D176" s="681"/>
      <c r="E176" s="681"/>
      <c r="F176" s="81"/>
      <c r="G176" s="681"/>
      <c r="H176" s="683"/>
      <c r="I176" s="81"/>
      <c r="J176" s="81"/>
      <c r="K176" s="81"/>
      <c r="L176" s="81"/>
      <c r="M176" s="81"/>
      <c r="N176" s="681"/>
      <c r="O176" s="81"/>
      <c r="P176" s="81"/>
      <c r="Q176" s="81"/>
      <c r="R176" s="81"/>
      <c r="S176" s="81"/>
      <c r="T176" s="81"/>
      <c r="U176" s="81"/>
    </row>
    <row r="177" ht="14.25" customHeight="1" spans="1:21">
      <c r="A177" s="81"/>
      <c r="B177" s="81"/>
      <c r="C177" s="81"/>
      <c r="D177" s="681"/>
      <c r="E177" s="681"/>
      <c r="F177" s="81"/>
      <c r="G177" s="681"/>
      <c r="H177" s="683"/>
      <c r="I177" s="81"/>
      <c r="J177" s="81"/>
      <c r="K177" s="81"/>
      <c r="L177" s="81"/>
      <c r="M177" s="81"/>
      <c r="N177" s="681"/>
      <c r="O177" s="81"/>
      <c r="P177" s="81"/>
      <c r="Q177" s="81"/>
      <c r="R177" s="81"/>
      <c r="S177" s="81"/>
      <c r="T177" s="81"/>
      <c r="U177" s="81"/>
    </row>
    <row r="178" ht="14.25" customHeight="1" spans="1:21">
      <c r="A178" s="81"/>
      <c r="B178" s="81"/>
      <c r="C178" s="81"/>
      <c r="D178" s="681"/>
      <c r="E178" s="681"/>
      <c r="F178" s="81"/>
      <c r="G178" s="681"/>
      <c r="H178" s="683"/>
      <c r="I178" s="81"/>
      <c r="J178" s="81"/>
      <c r="K178" s="81"/>
      <c r="L178" s="81"/>
      <c r="M178" s="81"/>
      <c r="N178" s="681"/>
      <c r="O178" s="81"/>
      <c r="P178" s="81"/>
      <c r="Q178" s="81"/>
      <c r="R178" s="81"/>
      <c r="S178" s="81"/>
      <c r="T178" s="81"/>
      <c r="U178" s="81"/>
    </row>
    <row r="179" ht="14.25" customHeight="1" spans="1:21">
      <c r="A179" s="81"/>
      <c r="B179" s="81"/>
      <c r="C179" s="81"/>
      <c r="D179" s="681"/>
      <c r="E179" s="681"/>
      <c r="F179" s="81"/>
      <c r="G179" s="681"/>
      <c r="H179" s="683"/>
      <c r="I179" s="81"/>
      <c r="J179" s="81"/>
      <c r="K179" s="81"/>
      <c r="L179" s="81"/>
      <c r="M179" s="81"/>
      <c r="N179" s="681"/>
      <c r="O179" s="81"/>
      <c r="P179" s="81"/>
      <c r="Q179" s="81"/>
      <c r="R179" s="81"/>
      <c r="S179" s="81"/>
      <c r="T179" s="81"/>
      <c r="U179" s="81"/>
    </row>
    <row r="180" ht="14.25" customHeight="1" spans="1:21">
      <c r="A180" s="81"/>
      <c r="B180" s="81"/>
      <c r="C180" s="81"/>
      <c r="D180" s="681"/>
      <c r="E180" s="681"/>
      <c r="F180" s="81"/>
      <c r="G180" s="681"/>
      <c r="H180" s="683"/>
      <c r="I180" s="81"/>
      <c r="J180" s="81"/>
      <c r="K180" s="81"/>
      <c r="L180" s="81"/>
      <c r="M180" s="81"/>
      <c r="N180" s="681"/>
      <c r="O180" s="81"/>
      <c r="P180" s="81"/>
      <c r="Q180" s="81"/>
      <c r="R180" s="81"/>
      <c r="S180" s="81"/>
      <c r="T180" s="81"/>
      <c r="U180" s="81"/>
    </row>
    <row r="181" ht="14.25" customHeight="1" spans="1:21">
      <c r="A181" s="81"/>
      <c r="B181" s="81"/>
      <c r="C181" s="81"/>
      <c r="D181" s="681"/>
      <c r="E181" s="681"/>
      <c r="F181" s="81"/>
      <c r="G181" s="681"/>
      <c r="H181" s="683"/>
      <c r="I181" s="81"/>
      <c r="J181" s="81"/>
      <c r="K181" s="81"/>
      <c r="L181" s="81"/>
      <c r="M181" s="81"/>
      <c r="N181" s="681"/>
      <c r="O181" s="81"/>
      <c r="P181" s="81"/>
      <c r="Q181" s="81"/>
      <c r="R181" s="81"/>
      <c r="S181" s="81"/>
      <c r="T181" s="81"/>
      <c r="U181" s="81"/>
    </row>
    <row r="182" ht="14.25" customHeight="1" spans="1:21">
      <c r="A182" s="81"/>
      <c r="B182" s="81"/>
      <c r="C182" s="81"/>
      <c r="D182" s="681"/>
      <c r="E182" s="681"/>
      <c r="F182" s="81"/>
      <c r="G182" s="681"/>
      <c r="H182" s="683"/>
      <c r="I182" s="81"/>
      <c r="J182" s="81"/>
      <c r="K182" s="81"/>
      <c r="L182" s="81"/>
      <c r="M182" s="81"/>
      <c r="N182" s="681"/>
      <c r="O182" s="81"/>
      <c r="P182" s="81"/>
      <c r="Q182" s="81"/>
      <c r="R182" s="81"/>
      <c r="S182" s="81"/>
      <c r="T182" s="81"/>
      <c r="U182" s="81"/>
    </row>
    <row r="183" ht="14.25" customHeight="1" spans="1:21">
      <c r="A183" s="81"/>
      <c r="B183" s="81"/>
      <c r="C183" s="81"/>
      <c r="D183" s="681"/>
      <c r="E183" s="681"/>
      <c r="F183" s="81"/>
      <c r="G183" s="681"/>
      <c r="H183" s="683"/>
      <c r="I183" s="81"/>
      <c r="J183" s="81"/>
      <c r="K183" s="81"/>
      <c r="L183" s="81"/>
      <c r="M183" s="81"/>
      <c r="N183" s="681"/>
      <c r="O183" s="81"/>
      <c r="P183" s="81"/>
      <c r="Q183" s="81"/>
      <c r="R183" s="81"/>
      <c r="S183" s="81"/>
      <c r="T183" s="81"/>
      <c r="U183" s="81"/>
    </row>
    <row r="184" ht="14.25" customHeight="1" spans="1:21">
      <c r="A184" s="81"/>
      <c r="B184" s="81"/>
      <c r="C184" s="81"/>
      <c r="D184" s="681"/>
      <c r="E184" s="681"/>
      <c r="F184" s="81"/>
      <c r="G184" s="681"/>
      <c r="H184" s="683"/>
      <c r="I184" s="81"/>
      <c r="J184" s="81"/>
      <c r="K184" s="81"/>
      <c r="L184" s="81"/>
      <c r="M184" s="81"/>
      <c r="N184" s="681"/>
      <c r="O184" s="81"/>
      <c r="P184" s="81"/>
      <c r="Q184" s="81"/>
      <c r="R184" s="81"/>
      <c r="S184" s="81"/>
      <c r="T184" s="81"/>
      <c r="U184" s="81"/>
    </row>
    <row r="185" ht="14.25" customHeight="1" spans="1:21">
      <c r="A185" s="81"/>
      <c r="B185" s="81"/>
      <c r="C185" s="81"/>
      <c r="D185" s="681"/>
      <c r="E185" s="681"/>
      <c r="F185" s="81"/>
      <c r="G185" s="681"/>
      <c r="H185" s="682"/>
      <c r="I185" s="81"/>
      <c r="J185" s="81"/>
      <c r="K185" s="81"/>
      <c r="L185" s="81"/>
      <c r="M185" s="81"/>
      <c r="N185" s="681"/>
      <c r="O185" s="81"/>
      <c r="P185" s="81"/>
      <c r="Q185" s="81"/>
      <c r="R185" s="81"/>
      <c r="S185" s="81"/>
      <c r="T185" s="81"/>
      <c r="U185" s="81"/>
    </row>
    <row r="186" ht="14.25" customHeight="1" spans="1:21">
      <c r="A186" s="81"/>
      <c r="B186" s="81"/>
      <c r="C186" s="81"/>
      <c r="D186" s="681"/>
      <c r="E186" s="681"/>
      <c r="F186" s="81"/>
      <c r="G186" s="681"/>
      <c r="H186" s="683"/>
      <c r="I186" s="81"/>
      <c r="J186" s="81"/>
      <c r="K186" s="81"/>
      <c r="L186" s="81"/>
      <c r="M186" s="81"/>
      <c r="N186" s="681"/>
      <c r="O186" s="81"/>
      <c r="P186" s="81"/>
      <c r="Q186" s="81"/>
      <c r="R186" s="81"/>
      <c r="S186" s="81"/>
      <c r="T186" s="81"/>
      <c r="U186" s="81"/>
    </row>
    <row r="187" ht="14.25" customHeight="1" spans="1:21">
      <c r="A187" s="81"/>
      <c r="B187" s="81"/>
      <c r="C187" s="81"/>
      <c r="D187" s="681"/>
      <c r="E187" s="681"/>
      <c r="F187" s="81"/>
      <c r="G187" s="681"/>
      <c r="H187" s="682"/>
      <c r="I187" s="81"/>
      <c r="J187" s="81"/>
      <c r="K187" s="81"/>
      <c r="L187" s="81"/>
      <c r="M187" s="81"/>
      <c r="N187" s="681"/>
      <c r="O187" s="81"/>
      <c r="P187" s="81"/>
      <c r="Q187" s="81"/>
      <c r="R187" s="81"/>
      <c r="S187" s="81"/>
      <c r="T187" s="81"/>
      <c r="U187" s="81"/>
    </row>
    <row r="188" ht="14.25" customHeight="1" spans="1:21">
      <c r="A188" s="81"/>
      <c r="B188" s="81"/>
      <c r="C188" s="81"/>
      <c r="D188" s="681"/>
      <c r="E188" s="681"/>
      <c r="F188" s="81"/>
      <c r="G188" s="681"/>
      <c r="H188" s="683"/>
      <c r="I188" s="81"/>
      <c r="J188" s="81"/>
      <c r="K188" s="81"/>
      <c r="L188" s="81"/>
      <c r="M188" s="81"/>
      <c r="N188" s="681"/>
      <c r="O188" s="81"/>
      <c r="P188" s="81"/>
      <c r="Q188" s="81"/>
      <c r="R188" s="81"/>
      <c r="S188" s="81"/>
      <c r="T188" s="81"/>
      <c r="U188" s="81"/>
    </row>
    <row r="189" ht="14.25" customHeight="1" spans="1:21">
      <c r="A189" s="81"/>
      <c r="B189" s="81"/>
      <c r="C189" s="81"/>
      <c r="D189" s="681"/>
      <c r="E189" s="681"/>
      <c r="F189" s="81"/>
      <c r="G189" s="681"/>
      <c r="H189" s="683"/>
      <c r="I189" s="81"/>
      <c r="J189" s="81"/>
      <c r="K189" s="81"/>
      <c r="L189" s="81"/>
      <c r="M189" s="81"/>
      <c r="N189" s="681"/>
      <c r="O189" s="81"/>
      <c r="P189" s="81"/>
      <c r="Q189" s="81"/>
      <c r="R189" s="81"/>
      <c r="S189" s="81"/>
      <c r="T189" s="81"/>
      <c r="U189" s="81"/>
    </row>
    <row r="190" ht="14.25" customHeight="1" spans="1:21">
      <c r="A190" s="81"/>
      <c r="B190" s="81"/>
      <c r="C190" s="81"/>
      <c r="D190" s="681"/>
      <c r="E190" s="681"/>
      <c r="F190" s="81"/>
      <c r="G190" s="681"/>
      <c r="H190" s="683"/>
      <c r="I190" s="81"/>
      <c r="J190" s="81"/>
      <c r="K190" s="81"/>
      <c r="L190" s="81"/>
      <c r="M190" s="81"/>
      <c r="N190" s="681"/>
      <c r="O190" s="81"/>
      <c r="P190" s="81"/>
      <c r="Q190" s="81"/>
      <c r="R190" s="81"/>
      <c r="S190" s="81"/>
      <c r="T190" s="81"/>
      <c r="U190" s="81"/>
    </row>
    <row r="191" ht="14.25" customHeight="1" spans="1:21">
      <c r="A191" s="81"/>
      <c r="B191" s="81"/>
      <c r="C191" s="81"/>
      <c r="D191" s="681"/>
      <c r="E191" s="681"/>
      <c r="F191" s="81"/>
      <c r="G191" s="681"/>
      <c r="H191" s="682"/>
      <c r="I191" s="81"/>
      <c r="J191" s="81"/>
      <c r="K191" s="81"/>
      <c r="L191" s="81"/>
      <c r="M191" s="81"/>
      <c r="N191" s="681"/>
      <c r="O191" s="81"/>
      <c r="P191" s="81"/>
      <c r="Q191" s="81"/>
      <c r="R191" s="81"/>
      <c r="S191" s="81"/>
      <c r="T191" s="81"/>
      <c r="U191" s="81"/>
    </row>
    <row r="192" ht="14.25" customHeight="1" spans="1:21">
      <c r="A192" s="81"/>
      <c r="B192" s="81"/>
      <c r="C192" s="81"/>
      <c r="D192" s="681"/>
      <c r="E192" s="681"/>
      <c r="F192" s="81"/>
      <c r="G192" s="681"/>
      <c r="H192" s="683"/>
      <c r="I192" s="81"/>
      <c r="J192" s="81"/>
      <c r="K192" s="81"/>
      <c r="L192" s="81"/>
      <c r="M192" s="81"/>
      <c r="N192" s="681"/>
      <c r="O192" s="81"/>
      <c r="P192" s="81"/>
      <c r="Q192" s="81"/>
      <c r="R192" s="81"/>
      <c r="S192" s="81"/>
      <c r="T192" s="81"/>
      <c r="U192" s="81"/>
    </row>
    <row r="193" ht="14.25" customHeight="1" spans="1:21">
      <c r="A193" s="81"/>
      <c r="B193" s="81"/>
      <c r="C193" s="81"/>
      <c r="D193" s="681"/>
      <c r="E193" s="681"/>
      <c r="F193" s="81"/>
      <c r="G193" s="681"/>
      <c r="H193" s="683"/>
      <c r="I193" s="81"/>
      <c r="J193" s="81"/>
      <c r="K193" s="81"/>
      <c r="L193" s="81"/>
      <c r="M193" s="81"/>
      <c r="N193" s="681"/>
      <c r="O193" s="81"/>
      <c r="P193" s="81"/>
      <c r="Q193" s="81"/>
      <c r="R193" s="81"/>
      <c r="S193" s="81"/>
      <c r="T193" s="81"/>
      <c r="U193" s="81"/>
    </row>
    <row r="194" ht="14.25" customHeight="1" spans="1:21">
      <c r="A194" s="81"/>
      <c r="B194" s="81"/>
      <c r="C194" s="81"/>
      <c r="D194" s="681"/>
      <c r="E194" s="681"/>
      <c r="F194" s="81"/>
      <c r="G194" s="681"/>
      <c r="H194" s="683"/>
      <c r="I194" s="81"/>
      <c r="J194" s="81"/>
      <c r="K194" s="81"/>
      <c r="L194" s="81"/>
      <c r="M194" s="81"/>
      <c r="N194" s="681"/>
      <c r="O194" s="81"/>
      <c r="P194" s="81"/>
      <c r="Q194" s="81"/>
      <c r="R194" s="81"/>
      <c r="S194" s="81"/>
      <c r="T194" s="81"/>
      <c r="U194" s="81"/>
    </row>
    <row r="195" ht="14.25" customHeight="1" spans="1:21">
      <c r="A195" s="81"/>
      <c r="B195" s="81"/>
      <c r="C195" s="81"/>
      <c r="D195" s="681"/>
      <c r="E195" s="681"/>
      <c r="F195" s="81"/>
      <c r="G195" s="681"/>
      <c r="H195" s="683"/>
      <c r="I195" s="81"/>
      <c r="J195" s="81"/>
      <c r="K195" s="81"/>
      <c r="L195" s="81"/>
      <c r="M195" s="81"/>
      <c r="N195" s="681"/>
      <c r="O195" s="81"/>
      <c r="P195" s="81"/>
      <c r="Q195" s="81"/>
      <c r="R195" s="81"/>
      <c r="S195" s="81"/>
      <c r="T195" s="81"/>
      <c r="U195" s="81"/>
    </row>
    <row r="196" ht="14.25" customHeight="1" spans="1:21">
      <c r="A196" s="81"/>
      <c r="B196" s="81"/>
      <c r="C196" s="81"/>
      <c r="D196" s="681"/>
      <c r="E196" s="681"/>
      <c r="F196" s="81"/>
      <c r="G196" s="681"/>
      <c r="H196" s="683"/>
      <c r="I196" s="81"/>
      <c r="J196" s="81"/>
      <c r="K196" s="81"/>
      <c r="L196" s="81"/>
      <c r="M196" s="81"/>
      <c r="N196" s="681"/>
      <c r="O196" s="81"/>
      <c r="P196" s="81"/>
      <c r="Q196" s="81"/>
      <c r="R196" s="81"/>
      <c r="S196" s="81"/>
      <c r="T196" s="81"/>
      <c r="U196" s="81"/>
    </row>
    <row r="197" ht="14.25" customHeight="1" spans="1:21">
      <c r="A197" s="81"/>
      <c r="B197" s="81"/>
      <c r="C197" s="81"/>
      <c r="D197" s="681"/>
      <c r="E197" s="681"/>
      <c r="F197" s="81"/>
      <c r="G197" s="681"/>
      <c r="H197" s="683"/>
      <c r="I197" s="81"/>
      <c r="J197" s="81"/>
      <c r="K197" s="81"/>
      <c r="L197" s="81"/>
      <c r="M197" s="81"/>
      <c r="N197" s="681"/>
      <c r="O197" s="81"/>
      <c r="P197" s="81"/>
      <c r="Q197" s="81"/>
      <c r="R197" s="81"/>
      <c r="S197" s="81"/>
      <c r="T197" s="81"/>
      <c r="U197" s="81"/>
    </row>
    <row r="198" ht="14.25" customHeight="1" spans="1:21">
      <c r="A198" s="81"/>
      <c r="B198" s="81"/>
      <c r="C198" s="81"/>
      <c r="D198" s="681"/>
      <c r="E198" s="681"/>
      <c r="F198" s="81"/>
      <c r="G198" s="681"/>
      <c r="H198" s="682"/>
      <c r="I198" s="81"/>
      <c r="J198" s="81"/>
      <c r="K198" s="81"/>
      <c r="L198" s="81"/>
      <c r="M198" s="81"/>
      <c r="N198" s="681"/>
      <c r="O198" s="81"/>
      <c r="P198" s="81"/>
      <c r="Q198" s="81"/>
      <c r="R198" s="81"/>
      <c r="S198" s="81"/>
      <c r="T198" s="81"/>
      <c r="U198" s="81"/>
    </row>
    <row r="199" ht="14.25" customHeight="1" spans="1:21">
      <c r="A199" s="81"/>
      <c r="B199" s="81"/>
      <c r="C199" s="81"/>
      <c r="D199" s="681"/>
      <c r="E199" s="681"/>
      <c r="F199" s="81"/>
      <c r="G199" s="681"/>
      <c r="H199" s="683"/>
      <c r="I199" s="81"/>
      <c r="J199" s="81"/>
      <c r="K199" s="81"/>
      <c r="L199" s="81"/>
      <c r="M199" s="81"/>
      <c r="N199" s="681"/>
      <c r="O199" s="81"/>
      <c r="P199" s="81"/>
      <c r="Q199" s="81"/>
      <c r="R199" s="81"/>
      <c r="S199" s="81"/>
      <c r="T199" s="81"/>
      <c r="U199" s="81"/>
    </row>
    <row r="200" ht="14.25" customHeight="1" spans="1:21">
      <c r="A200" s="81"/>
      <c r="B200" s="81"/>
      <c r="C200" s="81"/>
      <c r="D200" s="681"/>
      <c r="E200" s="681"/>
      <c r="F200" s="81"/>
      <c r="G200" s="681"/>
      <c r="H200" s="682"/>
      <c r="I200" s="81"/>
      <c r="J200" s="81"/>
      <c r="K200" s="81"/>
      <c r="L200" s="81"/>
      <c r="M200" s="81"/>
      <c r="N200" s="681"/>
      <c r="O200" s="81"/>
      <c r="P200" s="81"/>
      <c r="Q200" s="81"/>
      <c r="R200" s="81"/>
      <c r="S200" s="81"/>
      <c r="T200" s="81"/>
      <c r="U200" s="81"/>
    </row>
    <row r="201" ht="14.25" customHeight="1" spans="1:21">
      <c r="A201" s="81"/>
      <c r="B201" s="81"/>
      <c r="C201" s="81"/>
      <c r="D201" s="681"/>
      <c r="E201" s="681"/>
      <c r="F201" s="81"/>
      <c r="G201" s="681"/>
      <c r="H201" s="682"/>
      <c r="I201" s="81"/>
      <c r="J201" s="81"/>
      <c r="K201" s="81"/>
      <c r="L201" s="81"/>
      <c r="M201" s="81"/>
      <c r="N201" s="681"/>
      <c r="O201" s="81"/>
      <c r="P201" s="81"/>
      <c r="Q201" s="81"/>
      <c r="R201" s="81"/>
      <c r="S201" s="81"/>
      <c r="T201" s="81"/>
      <c r="U201" s="81"/>
    </row>
    <row r="202" ht="14.25" customHeight="1" spans="1:21">
      <c r="A202" s="81"/>
      <c r="B202" s="81"/>
      <c r="C202" s="81"/>
      <c r="D202" s="681"/>
      <c r="E202" s="681"/>
      <c r="F202" s="81"/>
      <c r="G202" s="681"/>
      <c r="H202" s="683"/>
      <c r="I202" s="81"/>
      <c r="J202" s="81"/>
      <c r="K202" s="81"/>
      <c r="L202" s="81"/>
      <c r="M202" s="81"/>
      <c r="N202" s="681"/>
      <c r="O202" s="81"/>
      <c r="P202" s="81"/>
      <c r="Q202" s="81"/>
      <c r="R202" s="81"/>
      <c r="S202" s="81"/>
      <c r="T202" s="81"/>
      <c r="U202" s="81"/>
    </row>
    <row r="203" ht="14.25" customHeight="1" spans="1:21">
      <c r="A203" s="81"/>
      <c r="B203" s="81"/>
      <c r="C203" s="81"/>
      <c r="D203" s="681"/>
      <c r="E203" s="681"/>
      <c r="F203" s="81"/>
      <c r="G203" s="681"/>
      <c r="H203" s="682"/>
      <c r="I203" s="81"/>
      <c r="J203" s="81"/>
      <c r="K203" s="81"/>
      <c r="L203" s="81"/>
      <c r="M203" s="81"/>
      <c r="N203" s="681"/>
      <c r="O203" s="81"/>
      <c r="P203" s="81"/>
      <c r="Q203" s="81"/>
      <c r="R203" s="81"/>
      <c r="S203" s="81"/>
      <c r="T203" s="81"/>
      <c r="U203" s="81"/>
    </row>
    <row r="204" ht="14.25" customHeight="1" spans="1:21">
      <c r="A204" s="81"/>
      <c r="B204" s="81"/>
      <c r="C204" s="81"/>
      <c r="D204" s="681"/>
      <c r="E204" s="681"/>
      <c r="F204" s="81"/>
      <c r="G204" s="681"/>
      <c r="H204" s="683"/>
      <c r="I204" s="81"/>
      <c r="J204" s="81"/>
      <c r="K204" s="81"/>
      <c r="L204" s="81"/>
      <c r="M204" s="81"/>
      <c r="N204" s="681"/>
      <c r="O204" s="81"/>
      <c r="P204" s="81"/>
      <c r="Q204" s="81"/>
      <c r="R204" s="81"/>
      <c r="S204" s="81"/>
      <c r="T204" s="81"/>
      <c r="U204" s="81"/>
    </row>
    <row r="205" ht="14.25" customHeight="1" spans="1:21">
      <c r="A205" s="81"/>
      <c r="B205" s="81"/>
      <c r="C205" s="81"/>
      <c r="D205" s="681"/>
      <c r="E205" s="681"/>
      <c r="F205" s="81"/>
      <c r="G205" s="681"/>
      <c r="H205" s="683"/>
      <c r="I205" s="81"/>
      <c r="J205" s="81"/>
      <c r="K205" s="81"/>
      <c r="L205" s="81"/>
      <c r="M205" s="81"/>
      <c r="N205" s="681"/>
      <c r="O205" s="81"/>
      <c r="P205" s="81"/>
      <c r="Q205" s="81"/>
      <c r="R205" s="81"/>
      <c r="S205" s="81"/>
      <c r="T205" s="81"/>
      <c r="U205" s="81"/>
    </row>
    <row r="206" ht="14.25" customHeight="1" spans="1:21">
      <c r="A206" s="81"/>
      <c r="B206" s="81"/>
      <c r="C206" s="81"/>
      <c r="D206" s="681"/>
      <c r="E206" s="681"/>
      <c r="F206" s="81"/>
      <c r="G206" s="681"/>
      <c r="H206" s="683"/>
      <c r="I206" s="81"/>
      <c r="J206" s="81"/>
      <c r="K206" s="81"/>
      <c r="L206" s="81"/>
      <c r="M206" s="81"/>
      <c r="N206" s="681"/>
      <c r="O206" s="81"/>
      <c r="P206" s="81"/>
      <c r="Q206" s="81"/>
      <c r="R206" s="81"/>
      <c r="S206" s="81"/>
      <c r="T206" s="81"/>
      <c r="U206" s="81"/>
    </row>
    <row r="207" ht="14.25" customHeight="1" spans="1:21">
      <c r="A207" s="81"/>
      <c r="B207" s="81"/>
      <c r="C207" s="81"/>
      <c r="D207" s="681"/>
      <c r="E207" s="681"/>
      <c r="F207" s="81"/>
      <c r="G207" s="681"/>
      <c r="H207" s="682"/>
      <c r="I207" s="81"/>
      <c r="J207" s="81"/>
      <c r="K207" s="81"/>
      <c r="L207" s="81"/>
      <c r="M207" s="81"/>
      <c r="N207" s="681"/>
      <c r="O207" s="81"/>
      <c r="P207" s="81"/>
      <c r="Q207" s="81"/>
      <c r="R207" s="81"/>
      <c r="S207" s="81"/>
      <c r="T207" s="81"/>
      <c r="U207" s="81"/>
    </row>
    <row r="208" ht="14.25" customHeight="1" spans="1:21">
      <c r="A208" s="81"/>
      <c r="B208" s="81"/>
      <c r="C208" s="81"/>
      <c r="D208" s="681"/>
      <c r="E208" s="681"/>
      <c r="F208" s="81"/>
      <c r="G208" s="681"/>
      <c r="H208" s="683"/>
      <c r="I208" s="81"/>
      <c r="J208" s="81"/>
      <c r="K208" s="81"/>
      <c r="L208" s="81"/>
      <c r="M208" s="81"/>
      <c r="N208" s="681"/>
      <c r="O208" s="81"/>
      <c r="P208" s="81"/>
      <c r="Q208" s="81"/>
      <c r="R208" s="81"/>
      <c r="S208" s="81"/>
      <c r="T208" s="81"/>
      <c r="U208" s="81"/>
    </row>
    <row r="209" ht="14.25" customHeight="1" spans="1:21">
      <c r="A209" s="81"/>
      <c r="B209" s="81"/>
      <c r="C209" s="81"/>
      <c r="D209" s="681"/>
      <c r="E209" s="681"/>
      <c r="F209" s="81"/>
      <c r="G209" s="681"/>
      <c r="H209" s="683"/>
      <c r="I209" s="81"/>
      <c r="J209" s="81"/>
      <c r="K209" s="81"/>
      <c r="L209" s="81"/>
      <c r="M209" s="81"/>
      <c r="N209" s="681"/>
      <c r="O209" s="81"/>
      <c r="P209" s="81"/>
      <c r="Q209" s="81"/>
      <c r="R209" s="81"/>
      <c r="S209" s="81"/>
      <c r="T209" s="81"/>
      <c r="U209" s="81"/>
    </row>
    <row r="210" ht="14.25" customHeight="1" spans="1:21">
      <c r="A210" s="81"/>
      <c r="B210" s="81"/>
      <c r="C210" s="81"/>
      <c r="D210" s="681"/>
      <c r="E210" s="681"/>
      <c r="F210" s="81"/>
      <c r="G210" s="681"/>
      <c r="H210" s="683"/>
      <c r="I210" s="81"/>
      <c r="J210" s="81"/>
      <c r="K210" s="81"/>
      <c r="L210" s="81"/>
      <c r="M210" s="81"/>
      <c r="N210" s="681"/>
      <c r="O210" s="81"/>
      <c r="P210" s="81"/>
      <c r="Q210" s="81"/>
      <c r="R210" s="81"/>
      <c r="S210" s="81"/>
      <c r="T210" s="81"/>
      <c r="U210" s="81"/>
    </row>
    <row r="211" ht="14.25" customHeight="1" spans="1:21">
      <c r="A211" s="81"/>
      <c r="B211" s="81"/>
      <c r="C211" s="81"/>
      <c r="D211" s="681"/>
      <c r="E211" s="681"/>
      <c r="F211" s="81"/>
      <c r="G211" s="681"/>
      <c r="H211" s="685"/>
      <c r="I211" s="81"/>
      <c r="J211" s="81"/>
      <c r="K211" s="81"/>
      <c r="L211" s="81"/>
      <c r="M211" s="81"/>
      <c r="N211" s="681"/>
      <c r="O211" s="81"/>
      <c r="P211" s="81"/>
      <c r="Q211" s="81"/>
      <c r="R211" s="81"/>
      <c r="S211" s="81"/>
      <c r="T211" s="81"/>
      <c r="U211" s="81"/>
    </row>
    <row r="212" ht="14.25" customHeight="1" spans="1:21">
      <c r="A212" s="81"/>
      <c r="B212" s="81"/>
      <c r="C212" s="81"/>
      <c r="D212" s="681"/>
      <c r="E212" s="681"/>
      <c r="F212" s="81"/>
      <c r="G212" s="681"/>
      <c r="H212" s="683"/>
      <c r="I212" s="81"/>
      <c r="J212" s="81"/>
      <c r="K212" s="81"/>
      <c r="L212" s="81"/>
      <c r="M212" s="81"/>
      <c r="N212" s="681"/>
      <c r="O212" s="81"/>
      <c r="P212" s="81"/>
      <c r="Q212" s="81"/>
      <c r="R212" s="81"/>
      <c r="S212" s="81"/>
      <c r="T212" s="81"/>
      <c r="U212" s="81"/>
    </row>
    <row r="213" ht="14.25" customHeight="1" spans="1:21">
      <c r="A213" s="81"/>
      <c r="B213" s="81"/>
      <c r="C213" s="81"/>
      <c r="D213" s="681"/>
      <c r="E213" s="681"/>
      <c r="F213" s="81"/>
      <c r="G213" s="681"/>
      <c r="H213" s="682"/>
      <c r="I213" s="81"/>
      <c r="J213" s="81"/>
      <c r="K213" s="81"/>
      <c r="L213" s="81"/>
      <c r="M213" s="81"/>
      <c r="N213" s="681"/>
      <c r="O213" s="81"/>
      <c r="P213" s="81"/>
      <c r="Q213" s="81"/>
      <c r="R213" s="81"/>
      <c r="S213" s="81"/>
      <c r="T213" s="81"/>
      <c r="U213" s="81"/>
    </row>
    <row r="214" ht="14.25" customHeight="1" spans="1:21">
      <c r="A214" s="81"/>
      <c r="B214" s="81"/>
      <c r="C214" s="81"/>
      <c r="D214" s="681"/>
      <c r="E214" s="681"/>
      <c r="F214" s="81"/>
      <c r="G214" s="681"/>
      <c r="H214" s="683"/>
      <c r="I214" s="81"/>
      <c r="J214" s="81"/>
      <c r="K214" s="81"/>
      <c r="L214" s="81"/>
      <c r="M214" s="81"/>
      <c r="N214" s="681"/>
      <c r="O214" s="81"/>
      <c r="P214" s="81"/>
      <c r="Q214" s="81"/>
      <c r="R214" s="81"/>
      <c r="S214" s="81"/>
      <c r="T214" s="81"/>
      <c r="U214" s="81"/>
    </row>
    <row r="215" ht="14.25" customHeight="1" spans="1:21">
      <c r="A215" s="81"/>
      <c r="B215" s="81"/>
      <c r="C215" s="81"/>
      <c r="D215" s="681"/>
      <c r="E215" s="681"/>
      <c r="F215" s="81"/>
      <c r="G215" s="681"/>
      <c r="H215" s="683"/>
      <c r="I215" s="81"/>
      <c r="J215" s="81"/>
      <c r="K215" s="81"/>
      <c r="L215" s="81"/>
      <c r="M215" s="81"/>
      <c r="N215" s="681"/>
      <c r="O215" s="81"/>
      <c r="P215" s="81"/>
      <c r="Q215" s="81"/>
      <c r="R215" s="81"/>
      <c r="S215" s="81"/>
      <c r="T215" s="81"/>
      <c r="U215" s="81"/>
    </row>
    <row r="216" ht="14.25" customHeight="1" spans="1:21">
      <c r="A216" s="81"/>
      <c r="B216" s="81"/>
      <c r="C216" s="81"/>
      <c r="D216" s="681"/>
      <c r="E216" s="681"/>
      <c r="F216" s="81"/>
      <c r="G216" s="681"/>
      <c r="H216" s="682"/>
      <c r="I216" s="81"/>
      <c r="J216" s="81"/>
      <c r="K216" s="81"/>
      <c r="L216" s="81"/>
      <c r="M216" s="81"/>
      <c r="N216" s="681"/>
      <c r="O216" s="81"/>
      <c r="P216" s="81"/>
      <c r="Q216" s="81"/>
      <c r="R216" s="81"/>
      <c r="S216" s="81"/>
      <c r="T216" s="81"/>
      <c r="U216" s="81"/>
    </row>
    <row r="217" ht="14.25" customHeight="1" spans="1:21">
      <c r="A217" s="81"/>
      <c r="B217" s="81"/>
      <c r="C217" s="81"/>
      <c r="D217" s="681"/>
      <c r="E217" s="681"/>
      <c r="F217" s="81"/>
      <c r="G217" s="681"/>
      <c r="H217" s="683"/>
      <c r="I217" s="81"/>
      <c r="J217" s="81"/>
      <c r="K217" s="81"/>
      <c r="L217" s="81"/>
      <c r="M217" s="81"/>
      <c r="N217" s="681"/>
      <c r="O217" s="81"/>
      <c r="P217" s="81"/>
      <c r="Q217" s="81"/>
      <c r="R217" s="81"/>
      <c r="S217" s="81"/>
      <c r="T217" s="81"/>
      <c r="U217" s="81"/>
    </row>
    <row r="218" ht="14.25" customHeight="1" spans="1:21">
      <c r="A218" s="81"/>
      <c r="B218" s="81"/>
      <c r="C218" s="81"/>
      <c r="D218" s="681"/>
      <c r="E218" s="681"/>
      <c r="F218" s="81"/>
      <c r="G218" s="681"/>
      <c r="H218" s="683"/>
      <c r="I218" s="81"/>
      <c r="J218" s="81"/>
      <c r="K218" s="81"/>
      <c r="L218" s="81"/>
      <c r="M218" s="81"/>
      <c r="N218" s="681"/>
      <c r="O218" s="81"/>
      <c r="P218" s="81"/>
      <c r="Q218" s="81"/>
      <c r="R218" s="81"/>
      <c r="S218" s="81"/>
      <c r="T218" s="81"/>
      <c r="U218" s="81"/>
    </row>
    <row r="219" ht="14.25" customHeight="1" spans="1:21">
      <c r="A219" s="81"/>
      <c r="B219" s="81"/>
      <c r="C219" s="81"/>
      <c r="D219" s="681"/>
      <c r="E219" s="681"/>
      <c r="F219" s="81"/>
      <c r="G219" s="681"/>
      <c r="H219" s="683"/>
      <c r="I219" s="81"/>
      <c r="J219" s="81"/>
      <c r="K219" s="81"/>
      <c r="L219" s="81"/>
      <c r="M219" s="81"/>
      <c r="N219" s="681"/>
      <c r="O219" s="81"/>
      <c r="P219" s="81"/>
      <c r="Q219" s="81"/>
      <c r="R219" s="81"/>
      <c r="S219" s="81"/>
      <c r="T219" s="81"/>
      <c r="U219" s="81"/>
    </row>
    <row r="220" ht="14.25" customHeight="1" spans="1:21">
      <c r="A220" s="81"/>
      <c r="B220" s="81"/>
      <c r="C220" s="81"/>
      <c r="D220" s="681"/>
      <c r="E220" s="681"/>
      <c r="F220" s="81"/>
      <c r="G220" s="681"/>
      <c r="H220" s="683"/>
      <c r="I220" s="81"/>
      <c r="J220" s="81"/>
      <c r="K220" s="81"/>
      <c r="L220" s="81"/>
      <c r="M220" s="81"/>
      <c r="N220" s="681"/>
      <c r="O220" s="81"/>
      <c r="P220" s="81"/>
      <c r="Q220" s="81"/>
      <c r="R220" s="81"/>
      <c r="S220" s="81"/>
      <c r="T220" s="81"/>
      <c r="U220" s="81"/>
    </row>
    <row r="221" ht="14.25" customHeight="1" spans="1:21">
      <c r="A221" s="81"/>
      <c r="B221" s="81"/>
      <c r="C221" s="81"/>
      <c r="D221" s="681"/>
      <c r="E221" s="681"/>
      <c r="F221" s="81"/>
      <c r="G221" s="681"/>
      <c r="H221" s="683"/>
      <c r="I221" s="81"/>
      <c r="J221" s="81"/>
      <c r="K221" s="81"/>
      <c r="L221" s="81"/>
      <c r="M221" s="81"/>
      <c r="N221" s="681"/>
      <c r="O221" s="81"/>
      <c r="P221" s="81"/>
      <c r="Q221" s="81"/>
      <c r="R221" s="81"/>
      <c r="S221" s="81"/>
      <c r="T221" s="81"/>
      <c r="U221" s="81"/>
    </row>
    <row r="222" ht="14.25" customHeight="1" spans="1:21">
      <c r="A222" s="81"/>
      <c r="B222" s="81"/>
      <c r="C222" s="81"/>
      <c r="D222" s="681"/>
      <c r="E222" s="681"/>
      <c r="F222" s="81"/>
      <c r="G222" s="681"/>
      <c r="H222" s="683"/>
      <c r="I222" s="81"/>
      <c r="J222" s="81"/>
      <c r="K222" s="81"/>
      <c r="L222" s="81"/>
      <c r="M222" s="81"/>
      <c r="N222" s="681"/>
      <c r="O222" s="81"/>
      <c r="P222" s="81"/>
      <c r="Q222" s="81"/>
      <c r="R222" s="81"/>
      <c r="S222" s="81"/>
      <c r="T222" s="81"/>
      <c r="U222" s="81"/>
    </row>
    <row r="223" ht="14.25" customHeight="1" spans="1:21">
      <c r="A223" s="81"/>
      <c r="B223" s="81"/>
      <c r="C223" s="81"/>
      <c r="D223" s="681"/>
      <c r="E223" s="681"/>
      <c r="F223" s="81"/>
      <c r="G223" s="681"/>
      <c r="H223" s="683"/>
      <c r="I223" s="81"/>
      <c r="J223" s="81"/>
      <c r="K223" s="81"/>
      <c r="L223" s="81"/>
      <c r="M223" s="81"/>
      <c r="N223" s="681"/>
      <c r="O223" s="81"/>
      <c r="P223" s="81"/>
      <c r="Q223" s="81"/>
      <c r="R223" s="81"/>
      <c r="S223" s="81"/>
      <c r="T223" s="81"/>
      <c r="U223" s="81"/>
    </row>
    <row r="224" ht="14.25" customHeight="1" spans="1:21">
      <c r="A224" s="81"/>
      <c r="B224" s="81"/>
      <c r="C224" s="81"/>
      <c r="D224" s="681"/>
      <c r="E224" s="681"/>
      <c r="F224" s="81"/>
      <c r="G224" s="681"/>
      <c r="H224" s="683"/>
      <c r="I224" s="81"/>
      <c r="J224" s="81"/>
      <c r="K224" s="81"/>
      <c r="L224" s="81"/>
      <c r="M224" s="81"/>
      <c r="N224" s="681"/>
      <c r="O224" s="81"/>
      <c r="P224" s="81"/>
      <c r="Q224" s="81"/>
      <c r="R224" s="81"/>
      <c r="S224" s="81"/>
      <c r="T224" s="81"/>
      <c r="U224" s="81"/>
    </row>
    <row r="225" ht="14.25" customHeight="1" spans="1:21">
      <c r="A225" s="81"/>
      <c r="B225" s="81"/>
      <c r="C225" s="81"/>
      <c r="D225" s="681"/>
      <c r="E225" s="681"/>
      <c r="F225" s="81"/>
      <c r="G225" s="681"/>
      <c r="H225" s="683"/>
      <c r="I225" s="81"/>
      <c r="J225" s="81"/>
      <c r="K225" s="81"/>
      <c r="L225" s="81"/>
      <c r="M225" s="81"/>
      <c r="N225" s="681"/>
      <c r="O225" s="81"/>
      <c r="P225" s="81"/>
      <c r="Q225" s="81"/>
      <c r="R225" s="81"/>
      <c r="S225" s="81"/>
      <c r="T225" s="81"/>
      <c r="U225" s="81"/>
    </row>
    <row r="226" ht="14.25" customHeight="1" spans="1:21">
      <c r="A226" s="81"/>
      <c r="B226" s="81"/>
      <c r="C226" s="81"/>
      <c r="D226" s="681"/>
      <c r="E226" s="681"/>
      <c r="F226" s="81"/>
      <c r="G226" s="681"/>
      <c r="H226" s="683"/>
      <c r="I226" s="81"/>
      <c r="J226" s="81"/>
      <c r="K226" s="81"/>
      <c r="L226" s="81"/>
      <c r="M226" s="81"/>
      <c r="N226" s="681"/>
      <c r="O226" s="81"/>
      <c r="P226" s="81"/>
      <c r="Q226" s="81"/>
      <c r="R226" s="81"/>
      <c r="S226" s="81"/>
      <c r="T226" s="81"/>
      <c r="U226" s="81"/>
    </row>
    <row r="227" ht="14.25" customHeight="1" spans="1:21">
      <c r="A227" s="81"/>
      <c r="B227" s="81"/>
      <c r="C227" s="81"/>
      <c r="D227" s="681"/>
      <c r="E227" s="681"/>
      <c r="F227" s="81"/>
      <c r="G227" s="681"/>
      <c r="H227" s="683"/>
      <c r="I227" s="81"/>
      <c r="J227" s="81"/>
      <c r="K227" s="81"/>
      <c r="L227" s="81"/>
      <c r="M227" s="81"/>
      <c r="N227" s="681"/>
      <c r="O227" s="81"/>
      <c r="P227" s="81"/>
      <c r="Q227" s="81"/>
      <c r="R227" s="81"/>
      <c r="S227" s="81"/>
      <c r="T227" s="81"/>
      <c r="U227" s="81"/>
    </row>
    <row r="228" ht="14.25" customHeight="1" spans="1:21">
      <c r="A228" s="81"/>
      <c r="B228" s="81"/>
      <c r="C228" s="81"/>
      <c r="D228" s="681"/>
      <c r="E228" s="681"/>
      <c r="F228" s="81"/>
      <c r="G228" s="681"/>
      <c r="H228" s="683"/>
      <c r="I228" s="81"/>
      <c r="J228" s="81"/>
      <c r="K228" s="81"/>
      <c r="L228" s="81"/>
      <c r="M228" s="81"/>
      <c r="N228" s="681"/>
      <c r="O228" s="81"/>
      <c r="P228" s="81"/>
      <c r="Q228" s="81"/>
      <c r="R228" s="81"/>
      <c r="S228" s="81"/>
      <c r="T228" s="81"/>
      <c r="U228" s="81"/>
    </row>
    <row r="229" ht="14.25" customHeight="1" spans="1:21">
      <c r="A229" s="81"/>
      <c r="B229" s="81"/>
      <c r="C229" s="81"/>
      <c r="D229" s="681"/>
      <c r="E229" s="681"/>
      <c r="F229" s="81"/>
      <c r="G229" s="681"/>
      <c r="H229" s="683"/>
      <c r="I229" s="81"/>
      <c r="J229" s="81"/>
      <c r="K229" s="81"/>
      <c r="L229" s="81"/>
      <c r="M229" s="81"/>
      <c r="N229" s="681"/>
      <c r="O229" s="81"/>
      <c r="P229" s="81"/>
      <c r="Q229" s="81"/>
      <c r="R229" s="81"/>
      <c r="S229" s="81"/>
      <c r="T229" s="81"/>
      <c r="U229" s="81"/>
    </row>
    <row r="230" ht="14.25" customHeight="1" spans="1:21">
      <c r="A230" s="81"/>
      <c r="B230" s="81"/>
      <c r="C230" s="81"/>
      <c r="D230" s="681"/>
      <c r="E230" s="681"/>
      <c r="F230" s="81"/>
      <c r="G230" s="681"/>
      <c r="H230" s="683"/>
      <c r="I230" s="81"/>
      <c r="J230" s="81"/>
      <c r="K230" s="81"/>
      <c r="L230" s="81"/>
      <c r="M230" s="81"/>
      <c r="N230" s="681"/>
      <c r="O230" s="81"/>
      <c r="P230" s="81"/>
      <c r="Q230" s="81"/>
      <c r="R230" s="81"/>
      <c r="S230" s="81"/>
      <c r="T230" s="81"/>
      <c r="U230" s="81"/>
    </row>
    <row r="231" ht="14.25" customHeight="1" spans="1:21">
      <c r="A231" s="81"/>
      <c r="B231" s="81"/>
      <c r="C231" s="81"/>
      <c r="D231" s="681"/>
      <c r="E231" s="681"/>
      <c r="F231" s="81"/>
      <c r="G231" s="681"/>
      <c r="H231" s="683"/>
      <c r="I231" s="81"/>
      <c r="J231" s="81"/>
      <c r="K231" s="81"/>
      <c r="L231" s="81"/>
      <c r="M231" s="81"/>
      <c r="N231" s="681"/>
      <c r="O231" s="81"/>
      <c r="P231" s="81"/>
      <c r="Q231" s="81"/>
      <c r="R231" s="81"/>
      <c r="S231" s="81"/>
      <c r="T231" s="81"/>
      <c r="U231" s="81"/>
    </row>
    <row r="232" ht="14.25" customHeight="1" spans="1:21">
      <c r="A232" s="81"/>
      <c r="B232" s="81"/>
      <c r="C232" s="81"/>
      <c r="D232" s="681"/>
      <c r="E232" s="681"/>
      <c r="F232" s="81"/>
      <c r="G232" s="681"/>
      <c r="H232" s="683"/>
      <c r="I232" s="81"/>
      <c r="J232" s="81"/>
      <c r="K232" s="81"/>
      <c r="L232" s="81"/>
      <c r="M232" s="81"/>
      <c r="N232" s="681"/>
      <c r="O232" s="81"/>
      <c r="P232" s="81"/>
      <c r="Q232" s="81"/>
      <c r="R232" s="81"/>
      <c r="S232" s="81"/>
      <c r="T232" s="81"/>
      <c r="U232" s="81"/>
    </row>
    <row r="233" ht="14.25" customHeight="1" spans="1:21">
      <c r="A233" s="81"/>
      <c r="B233" s="81"/>
      <c r="C233" s="81"/>
      <c r="D233" s="681"/>
      <c r="E233" s="681"/>
      <c r="F233" s="81"/>
      <c r="G233" s="681"/>
      <c r="H233" s="683"/>
      <c r="I233" s="81"/>
      <c r="J233" s="81"/>
      <c r="K233" s="81"/>
      <c r="L233" s="81"/>
      <c r="M233" s="81"/>
      <c r="N233" s="681"/>
      <c r="O233" s="81"/>
      <c r="P233" s="81"/>
      <c r="Q233" s="81"/>
      <c r="R233" s="81"/>
      <c r="S233" s="81"/>
      <c r="T233" s="81"/>
      <c r="U233" s="81"/>
    </row>
    <row r="234" ht="14.25" customHeight="1" spans="1:21">
      <c r="A234" s="81"/>
      <c r="B234" s="81"/>
      <c r="C234" s="81"/>
      <c r="D234" s="681"/>
      <c r="E234" s="681"/>
      <c r="F234" s="81"/>
      <c r="G234" s="681"/>
      <c r="H234" s="683"/>
      <c r="I234" s="81"/>
      <c r="J234" s="81"/>
      <c r="K234" s="81"/>
      <c r="L234" s="81"/>
      <c r="M234" s="81"/>
      <c r="N234" s="681"/>
      <c r="O234" s="81"/>
      <c r="P234" s="81"/>
      <c r="Q234" s="81"/>
      <c r="R234" s="81"/>
      <c r="S234" s="81"/>
      <c r="T234" s="81"/>
      <c r="U234" s="81"/>
    </row>
    <row r="235" ht="14.25" customHeight="1" spans="1:21">
      <c r="A235" s="81"/>
      <c r="B235" s="81"/>
      <c r="C235" s="81"/>
      <c r="D235" s="681"/>
      <c r="E235" s="681"/>
      <c r="F235" s="81"/>
      <c r="G235" s="681"/>
      <c r="H235" s="683"/>
      <c r="I235" s="81"/>
      <c r="J235" s="81"/>
      <c r="K235" s="81"/>
      <c r="L235" s="81"/>
      <c r="M235" s="81"/>
      <c r="N235" s="681"/>
      <c r="O235" s="81"/>
      <c r="P235" s="81"/>
      <c r="Q235" s="81"/>
      <c r="R235" s="81"/>
      <c r="S235" s="81"/>
      <c r="T235" s="81"/>
      <c r="U235" s="81"/>
    </row>
    <row r="236" ht="14.25" customHeight="1" spans="1:21">
      <c r="A236" s="81"/>
      <c r="B236" s="81"/>
      <c r="C236" s="81"/>
      <c r="D236" s="681"/>
      <c r="E236" s="681"/>
      <c r="F236" s="81"/>
      <c r="G236" s="681"/>
      <c r="H236" s="683"/>
      <c r="I236" s="81"/>
      <c r="J236" s="81"/>
      <c r="K236" s="81"/>
      <c r="L236" s="81"/>
      <c r="M236" s="81"/>
      <c r="N236" s="681"/>
      <c r="O236" s="81"/>
      <c r="P236" s="81"/>
      <c r="Q236" s="81"/>
      <c r="R236" s="81"/>
      <c r="S236" s="81"/>
      <c r="T236" s="81"/>
      <c r="U236" s="81"/>
    </row>
    <row r="237" ht="14.25" customHeight="1" spans="1:21">
      <c r="A237" s="81"/>
      <c r="B237" s="81"/>
      <c r="C237" s="81"/>
      <c r="D237" s="681"/>
      <c r="E237" s="681"/>
      <c r="F237" s="81"/>
      <c r="G237" s="681"/>
      <c r="H237" s="683"/>
      <c r="I237" s="81"/>
      <c r="J237" s="81"/>
      <c r="K237" s="81"/>
      <c r="L237" s="81"/>
      <c r="M237" s="81"/>
      <c r="N237" s="681"/>
      <c r="O237" s="81"/>
      <c r="P237" s="81"/>
      <c r="Q237" s="81"/>
      <c r="R237" s="81"/>
      <c r="S237" s="81"/>
      <c r="T237" s="81"/>
      <c r="U237" s="81"/>
    </row>
    <row r="238" ht="14.25" customHeight="1" spans="1:21">
      <c r="A238" s="81"/>
      <c r="B238" s="81"/>
      <c r="C238" s="81"/>
      <c r="D238" s="681"/>
      <c r="E238" s="681"/>
      <c r="F238" s="81"/>
      <c r="G238" s="681"/>
      <c r="H238" s="683"/>
      <c r="I238" s="81"/>
      <c r="J238" s="81"/>
      <c r="K238" s="81"/>
      <c r="L238" s="81"/>
      <c r="M238" s="81"/>
      <c r="N238" s="681"/>
      <c r="O238" s="81"/>
      <c r="P238" s="81"/>
      <c r="Q238" s="81"/>
      <c r="R238" s="81"/>
      <c r="S238" s="81"/>
      <c r="T238" s="81"/>
      <c r="U238" s="81"/>
    </row>
    <row r="239" ht="14.25" customHeight="1" spans="1:21">
      <c r="A239" s="81"/>
      <c r="B239" s="81"/>
      <c r="C239" s="81"/>
      <c r="D239" s="681"/>
      <c r="E239" s="681"/>
      <c r="F239" s="81"/>
      <c r="G239" s="681"/>
      <c r="H239" s="683"/>
      <c r="I239" s="81"/>
      <c r="J239" s="81"/>
      <c r="K239" s="81"/>
      <c r="L239" s="81"/>
      <c r="M239" s="81"/>
      <c r="N239" s="681"/>
      <c r="O239" s="81"/>
      <c r="P239" s="81"/>
      <c r="Q239" s="81"/>
      <c r="R239" s="81"/>
      <c r="S239" s="81"/>
      <c r="T239" s="81"/>
      <c r="U239" s="81"/>
    </row>
    <row r="240" ht="14.25" customHeight="1" spans="1:21">
      <c r="A240" s="81"/>
      <c r="B240" s="81"/>
      <c r="C240" s="81"/>
      <c r="D240" s="681"/>
      <c r="E240" s="681"/>
      <c r="F240" s="81"/>
      <c r="G240" s="681"/>
      <c r="H240" s="683"/>
      <c r="I240" s="81"/>
      <c r="J240" s="81"/>
      <c r="K240" s="81"/>
      <c r="L240" s="81"/>
      <c r="M240" s="81"/>
      <c r="N240" s="681"/>
      <c r="O240" s="81"/>
      <c r="P240" s="81"/>
      <c r="Q240" s="81"/>
      <c r="R240" s="81"/>
      <c r="S240" s="81"/>
      <c r="T240" s="81"/>
      <c r="U240" s="81"/>
    </row>
    <row r="241" ht="14.25" customHeight="1" spans="1:21">
      <c r="A241" s="81"/>
      <c r="B241" s="81"/>
      <c r="C241" s="81"/>
      <c r="D241" s="681"/>
      <c r="E241" s="681"/>
      <c r="F241" s="81"/>
      <c r="G241" s="681"/>
      <c r="H241" s="683"/>
      <c r="I241" s="81"/>
      <c r="J241" s="81"/>
      <c r="K241" s="81"/>
      <c r="L241" s="81"/>
      <c r="M241" s="81"/>
      <c r="N241" s="681"/>
      <c r="O241" s="81"/>
      <c r="P241" s="81"/>
      <c r="Q241" s="81"/>
      <c r="R241" s="81"/>
      <c r="S241" s="81"/>
      <c r="T241" s="81"/>
      <c r="U241" s="81"/>
    </row>
    <row r="242" ht="14.25" customHeight="1" spans="1:21">
      <c r="A242" s="81"/>
      <c r="B242" s="81"/>
      <c r="C242" s="81"/>
      <c r="D242" s="681"/>
      <c r="E242" s="681"/>
      <c r="F242" s="81"/>
      <c r="G242" s="681"/>
      <c r="H242" s="683"/>
      <c r="I242" s="81"/>
      <c r="J242" s="81"/>
      <c r="K242" s="81"/>
      <c r="L242" s="81"/>
      <c r="M242" s="81"/>
      <c r="N242" s="681"/>
      <c r="O242" s="81"/>
      <c r="P242" s="81"/>
      <c r="Q242" s="81"/>
      <c r="R242" s="81"/>
      <c r="S242" s="81"/>
      <c r="T242" s="81"/>
      <c r="U242" s="81"/>
    </row>
    <row r="243" ht="14.25" customHeight="1" spans="1:21">
      <c r="A243" s="81"/>
      <c r="B243" s="81"/>
      <c r="C243" s="81"/>
      <c r="D243" s="681"/>
      <c r="E243" s="681"/>
      <c r="F243" s="81"/>
      <c r="G243" s="681"/>
      <c r="H243" s="683"/>
      <c r="I243" s="81"/>
      <c r="J243" s="81"/>
      <c r="K243" s="81"/>
      <c r="L243" s="81"/>
      <c r="M243" s="81"/>
      <c r="N243" s="681"/>
      <c r="O243" s="81"/>
      <c r="P243" s="81"/>
      <c r="Q243" s="81"/>
      <c r="R243" s="81"/>
      <c r="S243" s="81"/>
      <c r="T243" s="81"/>
      <c r="U243" s="81"/>
    </row>
    <row r="244" ht="14.25" customHeight="1" spans="1:21">
      <c r="A244" s="81"/>
      <c r="B244" s="81"/>
      <c r="C244" s="81"/>
      <c r="D244" s="681"/>
      <c r="E244" s="681"/>
      <c r="F244" s="81"/>
      <c r="G244" s="681"/>
      <c r="H244" s="683"/>
      <c r="I244" s="81"/>
      <c r="J244" s="81"/>
      <c r="K244" s="81"/>
      <c r="L244" s="81"/>
      <c r="M244" s="81"/>
      <c r="N244" s="681"/>
      <c r="O244" s="81"/>
      <c r="P244" s="81"/>
      <c r="Q244" s="81"/>
      <c r="R244" s="81"/>
      <c r="S244" s="81"/>
      <c r="T244" s="81"/>
      <c r="U244" s="81"/>
    </row>
    <row r="245" ht="14.25" customHeight="1" spans="1:21">
      <c r="A245" s="81"/>
      <c r="B245" s="81"/>
      <c r="C245" s="81"/>
      <c r="D245" s="681"/>
      <c r="E245" s="681"/>
      <c r="F245" s="81"/>
      <c r="G245" s="681"/>
      <c r="H245" s="683"/>
      <c r="I245" s="81"/>
      <c r="J245" s="81"/>
      <c r="K245" s="81"/>
      <c r="L245" s="81"/>
      <c r="M245" s="81"/>
      <c r="N245" s="681"/>
      <c r="O245" s="81"/>
      <c r="P245" s="81"/>
      <c r="Q245" s="81"/>
      <c r="R245" s="81"/>
      <c r="S245" s="81"/>
      <c r="T245" s="81"/>
      <c r="U245" s="81"/>
    </row>
    <row r="246" ht="14.25" customHeight="1" spans="1:21">
      <c r="A246" s="81"/>
      <c r="B246" s="81"/>
      <c r="C246" s="81"/>
      <c r="D246" s="681"/>
      <c r="E246" s="681"/>
      <c r="F246" s="81"/>
      <c r="G246" s="681"/>
      <c r="H246" s="683"/>
      <c r="I246" s="81"/>
      <c r="J246" s="81"/>
      <c r="K246" s="81"/>
      <c r="L246" s="81"/>
      <c r="M246" s="81"/>
      <c r="N246" s="681"/>
      <c r="O246" s="81"/>
      <c r="P246" s="81"/>
      <c r="Q246" s="81"/>
      <c r="R246" s="81"/>
      <c r="S246" s="81"/>
      <c r="T246" s="81"/>
      <c r="U246" s="81"/>
    </row>
    <row r="247" ht="14.25" customHeight="1" spans="1:21">
      <c r="A247" s="81"/>
      <c r="B247" s="81"/>
      <c r="C247" s="81"/>
      <c r="D247" s="681"/>
      <c r="E247" s="681"/>
      <c r="F247" s="81"/>
      <c r="G247" s="681"/>
      <c r="H247" s="683"/>
      <c r="I247" s="81"/>
      <c r="J247" s="81"/>
      <c r="K247" s="81"/>
      <c r="L247" s="81"/>
      <c r="M247" s="81"/>
      <c r="N247" s="681"/>
      <c r="O247" s="81"/>
      <c r="P247" s="81"/>
      <c r="Q247" s="81"/>
      <c r="R247" s="81"/>
      <c r="S247" s="81"/>
      <c r="T247" s="81"/>
      <c r="U247" s="81"/>
    </row>
    <row r="248" ht="14.25" customHeight="1" spans="1:21">
      <c r="A248" s="81"/>
      <c r="B248" s="81"/>
      <c r="C248" s="81"/>
      <c r="D248" s="681"/>
      <c r="E248" s="681"/>
      <c r="F248" s="81"/>
      <c r="G248" s="681"/>
      <c r="H248" s="683"/>
      <c r="I248" s="81"/>
      <c r="J248" s="81"/>
      <c r="K248" s="81"/>
      <c r="L248" s="81"/>
      <c r="M248" s="81"/>
      <c r="N248" s="681"/>
      <c r="O248" s="81"/>
      <c r="P248" s="81"/>
      <c r="Q248" s="81"/>
      <c r="R248" s="81"/>
      <c r="S248" s="81"/>
      <c r="T248" s="81"/>
      <c r="U248" s="81"/>
    </row>
    <row r="249" ht="14.25" customHeight="1" spans="1:21">
      <c r="A249" s="81"/>
      <c r="B249" s="81"/>
      <c r="C249" s="81"/>
      <c r="D249" s="681"/>
      <c r="E249" s="681"/>
      <c r="F249" s="81"/>
      <c r="G249" s="681"/>
      <c r="H249" s="683"/>
      <c r="I249" s="81"/>
      <c r="J249" s="81"/>
      <c r="K249" s="81"/>
      <c r="L249" s="81"/>
      <c r="M249" s="81"/>
      <c r="N249" s="681"/>
      <c r="O249" s="81"/>
      <c r="P249" s="81"/>
      <c r="Q249" s="81"/>
      <c r="R249" s="81"/>
      <c r="S249" s="81"/>
      <c r="T249" s="81"/>
      <c r="U249" s="81"/>
    </row>
    <row r="250" ht="14.25" customHeight="1" spans="1:21">
      <c r="A250" s="81"/>
      <c r="B250" s="81"/>
      <c r="C250" s="81"/>
      <c r="D250" s="681"/>
      <c r="E250" s="681"/>
      <c r="F250" s="81"/>
      <c r="G250" s="681"/>
      <c r="H250" s="683"/>
      <c r="I250" s="81"/>
      <c r="J250" s="81"/>
      <c r="K250" s="81"/>
      <c r="L250" s="81"/>
      <c r="M250" s="81"/>
      <c r="N250" s="681"/>
      <c r="O250" s="81"/>
      <c r="P250" s="81"/>
      <c r="Q250" s="81"/>
      <c r="R250" s="81"/>
      <c r="S250" s="81"/>
      <c r="T250" s="81"/>
      <c r="U250" s="81"/>
    </row>
    <row r="251" ht="14.25" customHeight="1" spans="1:21">
      <c r="A251" s="81"/>
      <c r="B251" s="81"/>
      <c r="C251" s="81"/>
      <c r="D251" s="681"/>
      <c r="E251" s="681"/>
      <c r="F251" s="81"/>
      <c r="G251" s="681"/>
      <c r="H251" s="683"/>
      <c r="I251" s="81"/>
      <c r="J251" s="81"/>
      <c r="K251" s="81"/>
      <c r="L251" s="81"/>
      <c r="M251" s="81"/>
      <c r="N251" s="681"/>
      <c r="O251" s="81"/>
      <c r="P251" s="81"/>
      <c r="Q251" s="81"/>
      <c r="R251" s="81"/>
      <c r="S251" s="81"/>
      <c r="T251" s="81"/>
      <c r="U251" s="81"/>
    </row>
    <row r="252" ht="14.25" customHeight="1" spans="1:21">
      <c r="A252" s="81"/>
      <c r="B252" s="81"/>
      <c r="C252" s="81"/>
      <c r="D252" s="681"/>
      <c r="E252" s="681"/>
      <c r="F252" s="81"/>
      <c r="G252" s="681"/>
      <c r="H252" s="683"/>
      <c r="I252" s="81"/>
      <c r="J252" s="81"/>
      <c r="K252" s="81"/>
      <c r="L252" s="81"/>
      <c r="M252" s="81"/>
      <c r="N252" s="681"/>
      <c r="O252" s="81"/>
      <c r="P252" s="81"/>
      <c r="Q252" s="81"/>
      <c r="R252" s="81"/>
      <c r="S252" s="81"/>
      <c r="T252" s="81"/>
      <c r="U252" s="81"/>
    </row>
    <row r="253" ht="14.25" customHeight="1" spans="1:21">
      <c r="A253" s="81"/>
      <c r="B253" s="81"/>
      <c r="C253" s="81"/>
      <c r="D253" s="681"/>
      <c r="E253" s="681"/>
      <c r="F253" s="81"/>
      <c r="G253" s="681"/>
      <c r="H253" s="683"/>
      <c r="I253" s="81"/>
      <c r="J253" s="81"/>
      <c r="K253" s="81"/>
      <c r="L253" s="81"/>
      <c r="M253" s="81"/>
      <c r="N253" s="681"/>
      <c r="O253" s="81"/>
      <c r="P253" s="81"/>
      <c r="Q253" s="81"/>
      <c r="R253" s="81"/>
      <c r="S253" s="81"/>
      <c r="T253" s="81"/>
      <c r="U253" s="81"/>
    </row>
    <row r="254" ht="14.25" customHeight="1" spans="1:21">
      <c r="A254" s="81"/>
      <c r="B254" s="81"/>
      <c r="C254" s="81"/>
      <c r="D254" s="681"/>
      <c r="E254" s="681"/>
      <c r="F254" s="81"/>
      <c r="G254" s="681"/>
      <c r="H254" s="683"/>
      <c r="I254" s="81"/>
      <c r="J254" s="81"/>
      <c r="K254" s="81"/>
      <c r="L254" s="81"/>
      <c r="M254" s="81"/>
      <c r="N254" s="681"/>
      <c r="O254" s="81"/>
      <c r="P254" s="81"/>
      <c r="Q254" s="81"/>
      <c r="R254" s="81"/>
      <c r="S254" s="81"/>
      <c r="T254" s="81"/>
      <c r="U254" s="81"/>
    </row>
    <row r="255" ht="14.25" customHeight="1" spans="1:21">
      <c r="A255" s="81"/>
      <c r="B255" s="81"/>
      <c r="C255" s="81"/>
      <c r="D255" s="681"/>
      <c r="E255" s="681"/>
      <c r="F255" s="81"/>
      <c r="G255" s="681"/>
      <c r="H255" s="683"/>
      <c r="I255" s="81"/>
      <c r="J255" s="81"/>
      <c r="K255" s="81"/>
      <c r="L255" s="81"/>
      <c r="M255" s="81"/>
      <c r="N255" s="681"/>
      <c r="O255" s="81"/>
      <c r="P255" s="81"/>
      <c r="Q255" s="81"/>
      <c r="R255" s="81"/>
      <c r="S255" s="81"/>
      <c r="T255" s="81"/>
      <c r="U255" s="81"/>
    </row>
    <row r="256" ht="14.25" customHeight="1" spans="1:21">
      <c r="A256" s="81"/>
      <c r="B256" s="81"/>
      <c r="C256" s="81"/>
      <c r="D256" s="681"/>
      <c r="E256" s="681"/>
      <c r="F256" s="81"/>
      <c r="G256" s="681"/>
      <c r="H256" s="683"/>
      <c r="I256" s="81"/>
      <c r="J256" s="81"/>
      <c r="K256" s="81"/>
      <c r="L256" s="81"/>
      <c r="M256" s="81"/>
      <c r="N256" s="681"/>
      <c r="O256" s="81"/>
      <c r="P256" s="81"/>
      <c r="Q256" s="81"/>
      <c r="R256" s="81"/>
      <c r="S256" s="81"/>
      <c r="T256" s="81"/>
      <c r="U256" s="81"/>
    </row>
    <row r="257" ht="14.25" customHeight="1" spans="1:21">
      <c r="A257" s="81"/>
      <c r="B257" s="81"/>
      <c r="C257" s="81"/>
      <c r="D257" s="681"/>
      <c r="E257" s="681"/>
      <c r="F257" s="81"/>
      <c r="G257" s="681"/>
      <c r="H257" s="682"/>
      <c r="I257" s="81"/>
      <c r="J257" s="81"/>
      <c r="K257" s="81"/>
      <c r="L257" s="81"/>
      <c r="M257" s="81"/>
      <c r="N257" s="681"/>
      <c r="O257" s="81"/>
      <c r="P257" s="81"/>
      <c r="Q257" s="81"/>
      <c r="R257" s="81"/>
      <c r="S257" s="81"/>
      <c r="T257" s="81"/>
      <c r="U257" s="81"/>
    </row>
    <row r="258" ht="14.25" customHeight="1" spans="1:21">
      <c r="A258" s="81"/>
      <c r="B258" s="81"/>
      <c r="C258" s="81"/>
      <c r="D258" s="681"/>
      <c r="E258" s="681"/>
      <c r="F258" s="81"/>
      <c r="G258" s="681"/>
      <c r="H258" s="683"/>
      <c r="I258" s="81"/>
      <c r="J258" s="81"/>
      <c r="K258" s="81"/>
      <c r="L258" s="81"/>
      <c r="M258" s="81"/>
      <c r="N258" s="681"/>
      <c r="O258" s="81"/>
      <c r="P258" s="81"/>
      <c r="Q258" s="81"/>
      <c r="R258" s="81"/>
      <c r="S258" s="81"/>
      <c r="T258" s="81"/>
      <c r="U258" s="81"/>
    </row>
    <row r="259" ht="14.25" customHeight="1" spans="1:21">
      <c r="A259" s="81"/>
      <c r="B259" s="81"/>
      <c r="C259" s="81"/>
      <c r="D259" s="681"/>
      <c r="E259" s="681"/>
      <c r="F259" s="81"/>
      <c r="G259" s="681"/>
      <c r="H259" s="683"/>
      <c r="I259" s="81"/>
      <c r="J259" s="81"/>
      <c r="K259" s="81"/>
      <c r="L259" s="81"/>
      <c r="M259" s="81"/>
      <c r="N259" s="681"/>
      <c r="O259" s="81"/>
      <c r="P259" s="81"/>
      <c r="Q259" s="81"/>
      <c r="R259" s="81"/>
      <c r="S259" s="81"/>
      <c r="T259" s="81"/>
      <c r="U259" s="81"/>
    </row>
    <row r="260" ht="14.25" customHeight="1" spans="1:21">
      <c r="A260" s="81"/>
      <c r="B260" s="81"/>
      <c r="C260" s="81"/>
      <c r="D260" s="681"/>
      <c r="E260" s="681"/>
      <c r="F260" s="81"/>
      <c r="G260" s="681"/>
      <c r="H260" s="683"/>
      <c r="I260" s="81"/>
      <c r="J260" s="81"/>
      <c r="K260" s="81"/>
      <c r="L260" s="81"/>
      <c r="M260" s="81"/>
      <c r="N260" s="681"/>
      <c r="O260" s="81"/>
      <c r="P260" s="81"/>
      <c r="Q260" s="81"/>
      <c r="R260" s="81"/>
      <c r="S260" s="81"/>
      <c r="T260" s="81"/>
      <c r="U260" s="81"/>
    </row>
    <row r="261" ht="14.25" customHeight="1" spans="1:21">
      <c r="A261" s="81"/>
      <c r="B261" s="81"/>
      <c r="C261" s="81"/>
      <c r="D261" s="681"/>
      <c r="E261" s="681"/>
      <c r="F261" s="81"/>
      <c r="G261" s="681"/>
      <c r="H261" s="683"/>
      <c r="I261" s="81"/>
      <c r="J261" s="81"/>
      <c r="K261" s="81"/>
      <c r="L261" s="81"/>
      <c r="M261" s="81"/>
      <c r="N261" s="681"/>
      <c r="O261" s="81"/>
      <c r="P261" s="81"/>
      <c r="Q261" s="81"/>
      <c r="R261" s="81"/>
      <c r="S261" s="81"/>
      <c r="T261" s="81"/>
      <c r="U261" s="81"/>
    </row>
    <row r="262" ht="14.25" customHeight="1" spans="1:21">
      <c r="A262" s="81"/>
      <c r="B262" s="81"/>
      <c r="C262" s="81"/>
      <c r="D262" s="681"/>
      <c r="E262" s="681"/>
      <c r="F262" s="81"/>
      <c r="G262" s="681"/>
      <c r="H262" s="683"/>
      <c r="I262" s="81"/>
      <c r="J262" s="81"/>
      <c r="K262" s="81"/>
      <c r="L262" s="81"/>
      <c r="M262" s="81"/>
      <c r="N262" s="681"/>
      <c r="O262" s="81"/>
      <c r="P262" s="81"/>
      <c r="Q262" s="81"/>
      <c r="R262" s="81"/>
      <c r="S262" s="81"/>
      <c r="T262" s="81"/>
      <c r="U262" s="81"/>
    </row>
    <row r="263" ht="14.25" customHeight="1" spans="1:21">
      <c r="A263" s="81"/>
      <c r="B263" s="81"/>
      <c r="C263" s="81"/>
      <c r="D263" s="681"/>
      <c r="E263" s="681"/>
      <c r="F263" s="81"/>
      <c r="G263" s="681"/>
      <c r="H263" s="683"/>
      <c r="I263" s="81"/>
      <c r="J263" s="81"/>
      <c r="K263" s="81"/>
      <c r="L263" s="81"/>
      <c r="M263" s="81"/>
      <c r="N263" s="681"/>
      <c r="O263" s="81"/>
      <c r="P263" s="81"/>
      <c r="Q263" s="81"/>
      <c r="R263" s="81"/>
      <c r="S263" s="81"/>
      <c r="T263" s="81"/>
      <c r="U263" s="81"/>
    </row>
    <row r="264" ht="14.25" customHeight="1" spans="1:21">
      <c r="A264" s="81"/>
      <c r="B264" s="81"/>
      <c r="C264" s="81"/>
      <c r="D264" s="681"/>
      <c r="E264" s="681"/>
      <c r="F264" s="81"/>
      <c r="G264" s="681"/>
      <c r="H264" s="683"/>
      <c r="I264" s="81"/>
      <c r="J264" s="81"/>
      <c r="K264" s="81"/>
      <c r="L264" s="81"/>
      <c r="M264" s="81"/>
      <c r="N264" s="681"/>
      <c r="O264" s="81"/>
      <c r="P264" s="81"/>
      <c r="Q264" s="81"/>
      <c r="R264" s="81"/>
      <c r="S264" s="81"/>
      <c r="T264" s="81"/>
      <c r="U264" s="81"/>
    </row>
    <row r="265" ht="14.25" customHeight="1" spans="1:21">
      <c r="A265" s="81"/>
      <c r="B265" s="81"/>
      <c r="C265" s="81"/>
      <c r="D265" s="681"/>
      <c r="E265" s="681"/>
      <c r="F265" s="81"/>
      <c r="G265" s="681"/>
      <c r="H265" s="683"/>
      <c r="I265" s="81"/>
      <c r="J265" s="81"/>
      <c r="K265" s="81"/>
      <c r="L265" s="81"/>
      <c r="M265" s="81"/>
      <c r="N265" s="681"/>
      <c r="O265" s="81"/>
      <c r="P265" s="81"/>
      <c r="Q265" s="81"/>
      <c r="R265" s="81"/>
      <c r="S265" s="81"/>
      <c r="T265" s="81"/>
      <c r="U265" s="81"/>
    </row>
    <row r="266" ht="14.25" customHeight="1" spans="1:21">
      <c r="A266" s="81"/>
      <c r="B266" s="81"/>
      <c r="C266" s="81"/>
      <c r="D266" s="681"/>
      <c r="E266" s="681"/>
      <c r="F266" s="81"/>
      <c r="G266" s="681"/>
      <c r="H266" s="683"/>
      <c r="I266" s="81"/>
      <c r="J266" s="81"/>
      <c r="K266" s="81"/>
      <c r="L266" s="81"/>
      <c r="M266" s="81"/>
      <c r="N266" s="681"/>
      <c r="O266" s="81"/>
      <c r="P266" s="81"/>
      <c r="Q266" s="81"/>
      <c r="R266" s="81"/>
      <c r="S266" s="81"/>
      <c r="T266" s="81"/>
      <c r="U266" s="81"/>
    </row>
    <row r="267" ht="14.25" customHeight="1" spans="1:21">
      <c r="A267" s="81"/>
      <c r="B267" s="81"/>
      <c r="C267" s="81"/>
      <c r="D267" s="681"/>
      <c r="E267" s="681"/>
      <c r="F267" s="81"/>
      <c r="G267" s="681"/>
      <c r="H267" s="683"/>
      <c r="I267" s="81"/>
      <c r="J267" s="81"/>
      <c r="K267" s="81"/>
      <c r="L267" s="81"/>
      <c r="M267" s="81"/>
      <c r="N267" s="681"/>
      <c r="O267" s="81"/>
      <c r="P267" s="81"/>
      <c r="Q267" s="81"/>
      <c r="R267" s="81"/>
      <c r="S267" s="81"/>
      <c r="T267" s="81"/>
      <c r="U267" s="81"/>
    </row>
    <row r="268" ht="14.25" customHeight="1" spans="1:21">
      <c r="A268" s="81"/>
      <c r="B268" s="81"/>
      <c r="C268" s="81"/>
      <c r="D268" s="681"/>
      <c r="E268" s="681"/>
      <c r="F268" s="81"/>
      <c r="G268" s="681"/>
      <c r="H268" s="683"/>
      <c r="I268" s="81"/>
      <c r="J268" s="81"/>
      <c r="K268" s="81"/>
      <c r="L268" s="81"/>
      <c r="M268" s="81"/>
      <c r="N268" s="681"/>
      <c r="O268" s="81"/>
      <c r="P268" s="81"/>
      <c r="Q268" s="81"/>
      <c r="R268" s="81"/>
      <c r="S268" s="81"/>
      <c r="T268" s="81"/>
      <c r="U268" s="81"/>
    </row>
    <row r="269" ht="14.25" customHeight="1" spans="1:21">
      <c r="A269" s="81"/>
      <c r="B269" s="81"/>
      <c r="C269" s="81"/>
      <c r="D269" s="681"/>
      <c r="E269" s="681"/>
      <c r="F269" s="81"/>
      <c r="G269" s="681"/>
      <c r="H269" s="682"/>
      <c r="I269" s="81"/>
      <c r="J269" s="81"/>
      <c r="K269" s="81"/>
      <c r="L269" s="81"/>
      <c r="M269" s="81"/>
      <c r="N269" s="681"/>
      <c r="O269" s="81"/>
      <c r="P269" s="81"/>
      <c r="Q269" s="81"/>
      <c r="R269" s="81"/>
      <c r="S269" s="81"/>
      <c r="T269" s="81"/>
      <c r="U269" s="81"/>
    </row>
    <row r="270" ht="14.25" customHeight="1" spans="1:21">
      <c r="A270" s="81"/>
      <c r="B270" s="81"/>
      <c r="C270" s="81"/>
      <c r="D270" s="681"/>
      <c r="E270" s="681"/>
      <c r="F270" s="81"/>
      <c r="G270" s="681"/>
      <c r="H270" s="683"/>
      <c r="I270" s="81"/>
      <c r="J270" s="81"/>
      <c r="K270" s="81"/>
      <c r="L270" s="81"/>
      <c r="M270" s="81"/>
      <c r="N270" s="681"/>
      <c r="O270" s="81"/>
      <c r="P270" s="81"/>
      <c r="Q270" s="81"/>
      <c r="R270" s="81"/>
      <c r="S270" s="81"/>
      <c r="T270" s="81"/>
      <c r="U270" s="81"/>
    </row>
    <row r="271" ht="14.25" customHeight="1" spans="1:21">
      <c r="A271" s="81"/>
      <c r="B271" s="81"/>
      <c r="C271" s="81"/>
      <c r="D271" s="681"/>
      <c r="E271" s="681"/>
      <c r="F271" s="81"/>
      <c r="G271" s="681"/>
      <c r="H271" s="683"/>
      <c r="I271" s="81"/>
      <c r="J271" s="81"/>
      <c r="K271" s="81"/>
      <c r="L271" s="81"/>
      <c r="M271" s="81"/>
      <c r="N271" s="681"/>
      <c r="O271" s="81"/>
      <c r="P271" s="81"/>
      <c r="Q271" s="81"/>
      <c r="R271" s="81"/>
      <c r="S271" s="81"/>
      <c r="T271" s="81"/>
      <c r="U271" s="81"/>
    </row>
    <row r="272" ht="14.25" customHeight="1" spans="1:21">
      <c r="A272" s="81"/>
      <c r="B272" s="81"/>
      <c r="C272" s="81"/>
      <c r="D272" s="681"/>
      <c r="E272" s="681"/>
      <c r="F272" s="81"/>
      <c r="G272" s="681"/>
      <c r="H272" s="683"/>
      <c r="I272" s="81"/>
      <c r="J272" s="81"/>
      <c r="K272" s="81"/>
      <c r="L272" s="81"/>
      <c r="M272" s="81"/>
      <c r="N272" s="681"/>
      <c r="O272" s="81"/>
      <c r="P272" s="81"/>
      <c r="Q272" s="81"/>
      <c r="R272" s="81"/>
      <c r="S272" s="81"/>
      <c r="T272" s="81"/>
      <c r="U272" s="81"/>
    </row>
    <row r="273" ht="14.25" customHeight="1" spans="1:21">
      <c r="A273" s="81"/>
      <c r="B273" s="81"/>
      <c r="C273" s="81"/>
      <c r="D273" s="681"/>
      <c r="E273" s="681"/>
      <c r="F273" s="81"/>
      <c r="G273" s="681"/>
      <c r="H273" s="683"/>
      <c r="I273" s="81"/>
      <c r="J273" s="81"/>
      <c r="K273" s="81"/>
      <c r="L273" s="81"/>
      <c r="M273" s="81"/>
      <c r="N273" s="681"/>
      <c r="O273" s="81"/>
      <c r="P273" s="81"/>
      <c r="Q273" s="81"/>
      <c r="R273" s="81"/>
      <c r="S273" s="81"/>
      <c r="T273" s="81"/>
      <c r="U273" s="81"/>
    </row>
    <row r="274" ht="14.25" customHeight="1" spans="1:21">
      <c r="A274" s="81"/>
      <c r="B274" s="81"/>
      <c r="C274" s="81"/>
      <c r="D274" s="681"/>
      <c r="E274" s="681"/>
      <c r="F274" s="81"/>
      <c r="G274" s="681"/>
      <c r="H274" s="684"/>
      <c r="I274" s="81"/>
      <c r="J274" s="81"/>
      <c r="K274" s="81"/>
      <c r="L274" s="81"/>
      <c r="M274" s="81"/>
      <c r="N274" s="681"/>
      <c r="O274" s="81"/>
      <c r="P274" s="81"/>
      <c r="Q274" s="81"/>
      <c r="R274" s="81"/>
      <c r="S274" s="81"/>
      <c r="T274" s="81"/>
      <c r="U274" s="81"/>
    </row>
    <row r="275" ht="14.25" customHeight="1" spans="1:21">
      <c r="A275" s="81"/>
      <c r="B275" s="81"/>
      <c r="C275" s="81"/>
      <c r="D275" s="681"/>
      <c r="E275" s="681"/>
      <c r="F275" s="81"/>
      <c r="G275" s="681"/>
      <c r="H275" s="683"/>
      <c r="I275" s="81"/>
      <c r="J275" s="81"/>
      <c r="K275" s="81"/>
      <c r="L275" s="81"/>
      <c r="M275" s="81"/>
      <c r="N275" s="681"/>
      <c r="O275" s="81"/>
      <c r="P275" s="81"/>
      <c r="Q275" s="81"/>
      <c r="R275" s="81"/>
      <c r="S275" s="81"/>
      <c r="T275" s="81"/>
      <c r="U275" s="81"/>
    </row>
    <row r="276" ht="14.25" customHeight="1" spans="1:21">
      <c r="A276" s="81"/>
      <c r="B276" s="81"/>
      <c r="C276" s="81"/>
      <c r="D276" s="681"/>
      <c r="E276" s="681"/>
      <c r="F276" s="81"/>
      <c r="G276" s="681"/>
      <c r="H276" s="683"/>
      <c r="I276" s="81"/>
      <c r="J276" s="81"/>
      <c r="K276" s="81"/>
      <c r="L276" s="81"/>
      <c r="M276" s="81"/>
      <c r="N276" s="681"/>
      <c r="O276" s="81"/>
      <c r="P276" s="81"/>
      <c r="Q276" s="81"/>
      <c r="R276" s="81"/>
      <c r="S276" s="81"/>
      <c r="T276" s="81"/>
      <c r="U276" s="81"/>
    </row>
    <row r="277" ht="14.25" customHeight="1" spans="1:21">
      <c r="A277" s="81"/>
      <c r="B277" s="81"/>
      <c r="C277" s="81"/>
      <c r="D277" s="681"/>
      <c r="E277" s="681"/>
      <c r="F277" s="81"/>
      <c r="G277" s="681"/>
      <c r="H277" s="683"/>
      <c r="I277" s="81"/>
      <c r="J277" s="81"/>
      <c r="K277" s="81"/>
      <c r="L277" s="81"/>
      <c r="M277" s="81"/>
      <c r="N277" s="681"/>
      <c r="O277" s="81"/>
      <c r="P277" s="81"/>
      <c r="Q277" s="81"/>
      <c r="R277" s="81"/>
      <c r="S277" s="81"/>
      <c r="T277" s="81"/>
      <c r="U277" s="81"/>
    </row>
    <row r="278" ht="14.25" customHeight="1" spans="1:21">
      <c r="A278" s="81"/>
      <c r="B278" s="81"/>
      <c r="C278" s="81"/>
      <c r="D278" s="681"/>
      <c r="E278" s="681"/>
      <c r="F278" s="81"/>
      <c r="G278" s="681"/>
      <c r="H278" s="683"/>
      <c r="I278" s="81"/>
      <c r="J278" s="81"/>
      <c r="K278" s="81"/>
      <c r="L278" s="81"/>
      <c r="M278" s="81"/>
      <c r="N278" s="681"/>
      <c r="O278" s="81"/>
      <c r="P278" s="81"/>
      <c r="Q278" s="81"/>
      <c r="R278" s="81"/>
      <c r="S278" s="81"/>
      <c r="T278" s="81"/>
      <c r="U278" s="81"/>
    </row>
    <row r="279" ht="14.25" customHeight="1" spans="1:21">
      <c r="A279" s="81"/>
      <c r="B279" s="81"/>
      <c r="C279" s="81"/>
      <c r="D279" s="681"/>
      <c r="E279" s="681"/>
      <c r="F279" s="81"/>
      <c r="G279" s="681"/>
      <c r="H279" s="683"/>
      <c r="I279" s="81"/>
      <c r="J279" s="81"/>
      <c r="K279" s="81"/>
      <c r="L279" s="81"/>
      <c r="M279" s="81"/>
      <c r="N279" s="681"/>
      <c r="O279" s="81"/>
      <c r="P279" s="81"/>
      <c r="Q279" s="81"/>
      <c r="R279" s="81"/>
      <c r="S279" s="81"/>
      <c r="T279" s="81"/>
      <c r="U279" s="81"/>
    </row>
    <row r="280" ht="14.25" customHeight="1" spans="1:21">
      <c r="A280" s="81"/>
      <c r="B280" s="81"/>
      <c r="C280" s="81"/>
      <c r="D280" s="681"/>
      <c r="E280" s="681"/>
      <c r="F280" s="81"/>
      <c r="G280" s="681"/>
      <c r="H280" s="683"/>
      <c r="I280" s="81"/>
      <c r="J280" s="81"/>
      <c r="K280" s="81"/>
      <c r="L280" s="81"/>
      <c r="M280" s="81"/>
      <c r="N280" s="681"/>
      <c r="O280" s="81"/>
      <c r="P280" s="81"/>
      <c r="Q280" s="81"/>
      <c r="R280" s="81"/>
      <c r="S280" s="81"/>
      <c r="T280" s="81"/>
      <c r="U280" s="81"/>
    </row>
    <row r="281" ht="14.25" customHeight="1" spans="1:21">
      <c r="A281" s="81"/>
      <c r="B281" s="81"/>
      <c r="C281" s="81"/>
      <c r="D281" s="681"/>
      <c r="E281" s="681"/>
      <c r="F281" s="81"/>
      <c r="G281" s="681"/>
      <c r="H281" s="683"/>
      <c r="I281" s="81"/>
      <c r="J281" s="81"/>
      <c r="K281" s="81"/>
      <c r="L281" s="81"/>
      <c r="M281" s="81"/>
      <c r="N281" s="681"/>
      <c r="O281" s="81"/>
      <c r="P281" s="81"/>
      <c r="Q281" s="81"/>
      <c r="R281" s="81"/>
      <c r="S281" s="81"/>
      <c r="T281" s="81"/>
      <c r="U281" s="81"/>
    </row>
    <row r="282" ht="14.25" customHeight="1" spans="1:21">
      <c r="A282" s="81"/>
      <c r="B282" s="81"/>
      <c r="C282" s="81"/>
      <c r="D282" s="681"/>
      <c r="E282" s="681"/>
      <c r="F282" s="81"/>
      <c r="G282" s="681"/>
      <c r="H282" s="683"/>
      <c r="I282" s="81"/>
      <c r="J282" s="81"/>
      <c r="K282" s="81"/>
      <c r="L282" s="81"/>
      <c r="M282" s="81"/>
      <c r="N282" s="681"/>
      <c r="O282" s="81"/>
      <c r="P282" s="81"/>
      <c r="Q282" s="81"/>
      <c r="R282" s="81"/>
      <c r="S282" s="81"/>
      <c r="T282" s="81"/>
      <c r="U282" s="81"/>
    </row>
    <row r="283" ht="14.25" customHeight="1" spans="1:21">
      <c r="A283" s="81"/>
      <c r="B283" s="81"/>
      <c r="C283" s="81"/>
      <c r="D283" s="681"/>
      <c r="E283" s="681"/>
      <c r="F283" s="81"/>
      <c r="G283" s="681"/>
      <c r="H283" s="683"/>
      <c r="I283" s="81"/>
      <c r="J283" s="81"/>
      <c r="K283" s="81"/>
      <c r="L283" s="81"/>
      <c r="M283" s="81"/>
      <c r="N283" s="681"/>
      <c r="O283" s="81"/>
      <c r="P283" s="81"/>
      <c r="Q283" s="81"/>
      <c r="R283" s="81"/>
      <c r="S283" s="81"/>
      <c r="T283" s="81"/>
      <c r="U283" s="81"/>
    </row>
    <row r="284" ht="14.25" customHeight="1" spans="1:21">
      <c r="A284" s="81"/>
      <c r="B284" s="81"/>
      <c r="C284" s="81"/>
      <c r="D284" s="681"/>
      <c r="E284" s="681"/>
      <c r="F284" s="81"/>
      <c r="G284" s="681"/>
      <c r="H284" s="683"/>
      <c r="I284" s="81"/>
      <c r="J284" s="81"/>
      <c r="K284" s="81"/>
      <c r="L284" s="81"/>
      <c r="M284" s="81"/>
      <c r="N284" s="681"/>
      <c r="O284" s="81"/>
      <c r="P284" s="81"/>
      <c r="Q284" s="81"/>
      <c r="R284" s="81"/>
      <c r="S284" s="81"/>
      <c r="T284" s="81"/>
      <c r="U284" s="81"/>
    </row>
    <row r="285" ht="14.25" customHeight="1" spans="1:21">
      <c r="A285" s="81"/>
      <c r="B285" s="81"/>
      <c r="C285" s="81"/>
      <c r="D285" s="681"/>
      <c r="E285" s="681"/>
      <c r="F285" s="81"/>
      <c r="G285" s="681"/>
      <c r="H285" s="683"/>
      <c r="I285" s="81"/>
      <c r="J285" s="81"/>
      <c r="K285" s="81"/>
      <c r="L285" s="81"/>
      <c r="M285" s="81"/>
      <c r="N285" s="681"/>
      <c r="O285" s="81"/>
      <c r="P285" s="81"/>
      <c r="Q285" s="81"/>
      <c r="R285" s="81"/>
      <c r="S285" s="81"/>
      <c r="T285" s="81"/>
      <c r="U285" s="81"/>
    </row>
    <row r="286" ht="14.25" customHeight="1" spans="1:21">
      <c r="A286" s="81"/>
      <c r="B286" s="81"/>
      <c r="C286" s="81"/>
      <c r="D286" s="681"/>
      <c r="E286" s="681"/>
      <c r="F286" s="81"/>
      <c r="G286" s="681"/>
      <c r="H286" s="683"/>
      <c r="I286" s="81"/>
      <c r="J286" s="81"/>
      <c r="K286" s="81"/>
      <c r="L286" s="81"/>
      <c r="M286" s="81"/>
      <c r="N286" s="681"/>
      <c r="O286" s="81"/>
      <c r="P286" s="81"/>
      <c r="Q286" s="81"/>
      <c r="R286" s="81"/>
      <c r="S286" s="81"/>
      <c r="T286" s="81"/>
      <c r="U286" s="81"/>
    </row>
    <row r="287" ht="14.25" customHeight="1" spans="1:21">
      <c r="A287" s="81"/>
      <c r="B287" s="81"/>
      <c r="C287" s="81"/>
      <c r="D287" s="681"/>
      <c r="E287" s="681"/>
      <c r="F287" s="81"/>
      <c r="G287" s="681"/>
      <c r="H287" s="683"/>
      <c r="I287" s="81"/>
      <c r="J287" s="81"/>
      <c r="K287" s="81"/>
      <c r="L287" s="81"/>
      <c r="M287" s="81"/>
      <c r="N287" s="681"/>
      <c r="O287" s="81"/>
      <c r="P287" s="81"/>
      <c r="Q287" s="81"/>
      <c r="R287" s="81"/>
      <c r="S287" s="81"/>
      <c r="T287" s="81"/>
      <c r="U287" s="81"/>
    </row>
    <row r="288" ht="14.25" customHeight="1" spans="1:21">
      <c r="A288" s="81"/>
      <c r="B288" s="81"/>
      <c r="C288" s="81"/>
      <c r="D288" s="681"/>
      <c r="E288" s="681"/>
      <c r="F288" s="81"/>
      <c r="G288" s="681"/>
      <c r="H288" s="683"/>
      <c r="I288" s="81"/>
      <c r="J288" s="81"/>
      <c r="K288" s="81"/>
      <c r="L288" s="81"/>
      <c r="M288" s="81"/>
      <c r="N288" s="681"/>
      <c r="O288" s="81"/>
      <c r="P288" s="81"/>
      <c r="Q288" s="81"/>
      <c r="R288" s="81"/>
      <c r="S288" s="81"/>
      <c r="T288" s="81"/>
      <c r="U288" s="81"/>
    </row>
    <row r="289" ht="14.25" customHeight="1" spans="1:21">
      <c r="A289" s="81"/>
      <c r="B289" s="81"/>
      <c r="C289" s="81"/>
      <c r="D289" s="681"/>
      <c r="E289" s="681"/>
      <c r="F289" s="81"/>
      <c r="G289" s="681"/>
      <c r="H289" s="683"/>
      <c r="I289" s="81"/>
      <c r="J289" s="81"/>
      <c r="K289" s="81"/>
      <c r="L289" s="81"/>
      <c r="M289" s="81"/>
      <c r="N289" s="681"/>
      <c r="O289" s="81"/>
      <c r="P289" s="81"/>
      <c r="Q289" s="81"/>
      <c r="R289" s="81"/>
      <c r="S289" s="81"/>
      <c r="T289" s="81"/>
      <c r="U289" s="81"/>
    </row>
    <row r="290" ht="14.25" customHeight="1" spans="1:21">
      <c r="A290" s="81"/>
      <c r="B290" s="81"/>
      <c r="C290" s="81"/>
      <c r="D290" s="681"/>
      <c r="E290" s="681"/>
      <c r="F290" s="81"/>
      <c r="G290" s="681"/>
      <c r="H290" s="683"/>
      <c r="I290" s="81"/>
      <c r="J290" s="81"/>
      <c r="K290" s="81"/>
      <c r="L290" s="81"/>
      <c r="M290" s="81"/>
      <c r="N290" s="681"/>
      <c r="O290" s="81"/>
      <c r="P290" s="81"/>
      <c r="Q290" s="81"/>
      <c r="R290" s="81"/>
      <c r="S290" s="81"/>
      <c r="T290" s="81"/>
      <c r="U290" s="81"/>
    </row>
    <row r="291" ht="14.25" customHeight="1" spans="1:21">
      <c r="A291" s="81"/>
      <c r="B291" s="81"/>
      <c r="C291" s="81"/>
      <c r="D291" s="681"/>
      <c r="E291" s="681"/>
      <c r="F291" s="81"/>
      <c r="G291" s="681"/>
      <c r="H291" s="682"/>
      <c r="I291" s="81"/>
      <c r="J291" s="81"/>
      <c r="K291" s="81"/>
      <c r="L291" s="81"/>
      <c r="M291" s="81"/>
      <c r="N291" s="681"/>
      <c r="O291" s="81"/>
      <c r="P291" s="81"/>
      <c r="Q291" s="81"/>
      <c r="R291" s="81"/>
      <c r="S291" s="81"/>
      <c r="T291" s="81"/>
      <c r="U291" s="81"/>
    </row>
    <row r="292" ht="14.25" customHeight="1" spans="1:21">
      <c r="A292" s="81"/>
      <c r="B292" s="81"/>
      <c r="C292" s="81"/>
      <c r="D292" s="681"/>
      <c r="E292" s="681"/>
      <c r="F292" s="81"/>
      <c r="G292" s="681"/>
      <c r="H292" s="683"/>
      <c r="I292" s="81"/>
      <c r="J292" s="81"/>
      <c r="K292" s="81"/>
      <c r="L292" s="81"/>
      <c r="M292" s="81"/>
      <c r="N292" s="681"/>
      <c r="O292" s="81"/>
      <c r="P292" s="81"/>
      <c r="Q292" s="81"/>
      <c r="R292" s="81"/>
      <c r="S292" s="81"/>
      <c r="T292" s="81"/>
      <c r="U292" s="81"/>
    </row>
    <row r="293" ht="14.25" customHeight="1" spans="1:21">
      <c r="A293" s="81"/>
      <c r="B293" s="81"/>
      <c r="C293" s="81"/>
      <c r="D293" s="681"/>
      <c r="E293" s="681"/>
      <c r="F293" s="81"/>
      <c r="G293" s="681"/>
      <c r="H293" s="683"/>
      <c r="I293" s="81"/>
      <c r="J293" s="81"/>
      <c r="K293" s="81"/>
      <c r="L293" s="81"/>
      <c r="M293" s="81"/>
      <c r="N293" s="681"/>
      <c r="O293" s="81"/>
      <c r="P293" s="81"/>
      <c r="Q293" s="81"/>
      <c r="R293" s="81"/>
      <c r="S293" s="81"/>
      <c r="T293" s="81"/>
      <c r="U293" s="81"/>
    </row>
    <row r="294" ht="14.25" customHeight="1" spans="1:21">
      <c r="A294" s="81"/>
      <c r="B294" s="81"/>
      <c r="C294" s="81"/>
      <c r="D294" s="681"/>
      <c r="E294" s="681"/>
      <c r="F294" s="81"/>
      <c r="G294" s="681"/>
      <c r="H294" s="683"/>
      <c r="I294" s="81"/>
      <c r="J294" s="81"/>
      <c r="K294" s="81"/>
      <c r="L294" s="81"/>
      <c r="M294" s="81"/>
      <c r="N294" s="681"/>
      <c r="O294" s="81"/>
      <c r="P294" s="81"/>
      <c r="Q294" s="81"/>
      <c r="R294" s="81"/>
      <c r="S294" s="81"/>
      <c r="T294" s="81"/>
      <c r="U294" s="81"/>
    </row>
    <row r="295" ht="14.25" customHeight="1" spans="1:21">
      <c r="A295" s="81"/>
      <c r="B295" s="81"/>
      <c r="C295" s="81"/>
      <c r="D295" s="681"/>
      <c r="E295" s="681"/>
      <c r="F295" s="81"/>
      <c r="G295" s="681"/>
      <c r="H295" s="683"/>
      <c r="I295" s="81"/>
      <c r="J295" s="81"/>
      <c r="K295" s="81"/>
      <c r="L295" s="81"/>
      <c r="M295" s="81"/>
      <c r="N295" s="681"/>
      <c r="O295" s="81"/>
      <c r="P295" s="81"/>
      <c r="Q295" s="81"/>
      <c r="R295" s="81"/>
      <c r="S295" s="81"/>
      <c r="T295" s="81"/>
      <c r="U295" s="81"/>
    </row>
    <row r="296" ht="14.25" customHeight="1" spans="1:21">
      <c r="A296" s="81"/>
      <c r="B296" s="81"/>
      <c r="C296" s="81"/>
      <c r="D296" s="681"/>
      <c r="E296" s="681"/>
      <c r="F296" s="81"/>
      <c r="G296" s="681"/>
      <c r="H296" s="683"/>
      <c r="I296" s="81"/>
      <c r="J296" s="81"/>
      <c r="K296" s="81"/>
      <c r="L296" s="81"/>
      <c r="M296" s="81"/>
      <c r="N296" s="681"/>
      <c r="O296" s="81"/>
      <c r="P296" s="81"/>
      <c r="Q296" s="81"/>
      <c r="R296" s="81"/>
      <c r="S296" s="81"/>
      <c r="T296" s="81"/>
      <c r="U296" s="81"/>
    </row>
    <row r="297" ht="14.25" customHeight="1" spans="1:21">
      <c r="A297" s="81"/>
      <c r="B297" s="81"/>
      <c r="C297" s="81"/>
      <c r="D297" s="681"/>
      <c r="E297" s="681"/>
      <c r="F297" s="81"/>
      <c r="G297" s="681"/>
      <c r="H297" s="683"/>
      <c r="I297" s="81"/>
      <c r="J297" s="81"/>
      <c r="K297" s="81"/>
      <c r="L297" s="81"/>
      <c r="M297" s="81"/>
      <c r="N297" s="681"/>
      <c r="O297" s="81"/>
      <c r="P297" s="81"/>
      <c r="Q297" s="81"/>
      <c r="R297" s="81"/>
      <c r="S297" s="81"/>
      <c r="T297" s="81"/>
      <c r="U297" s="81"/>
    </row>
    <row r="298" ht="14.25" customHeight="1" spans="1:21">
      <c r="A298" s="81"/>
      <c r="B298" s="81"/>
      <c r="C298" s="81"/>
      <c r="D298" s="681"/>
      <c r="E298" s="681"/>
      <c r="F298" s="81"/>
      <c r="G298" s="681"/>
      <c r="H298" s="683"/>
      <c r="I298" s="81"/>
      <c r="J298" s="81"/>
      <c r="K298" s="81"/>
      <c r="L298" s="81"/>
      <c r="M298" s="81"/>
      <c r="N298" s="681"/>
      <c r="O298" s="81"/>
      <c r="P298" s="81"/>
      <c r="Q298" s="81"/>
      <c r="R298" s="81"/>
      <c r="S298" s="81"/>
      <c r="T298" s="81"/>
      <c r="U298" s="81"/>
    </row>
    <row r="299" ht="14.25" customHeight="1" spans="1:21">
      <c r="A299" s="81"/>
      <c r="B299" s="81"/>
      <c r="C299" s="81"/>
      <c r="D299" s="681"/>
      <c r="E299" s="681"/>
      <c r="F299" s="81"/>
      <c r="G299" s="681"/>
      <c r="H299" s="683"/>
      <c r="I299" s="81"/>
      <c r="J299" s="81"/>
      <c r="K299" s="81"/>
      <c r="L299" s="81"/>
      <c r="M299" s="81"/>
      <c r="N299" s="681"/>
      <c r="O299" s="81"/>
      <c r="P299" s="81"/>
      <c r="Q299" s="81"/>
      <c r="R299" s="81"/>
      <c r="S299" s="81"/>
      <c r="T299" s="81"/>
      <c r="U299" s="81"/>
    </row>
    <row r="300" ht="14.25" customHeight="1" spans="1:21">
      <c r="A300" s="81"/>
      <c r="B300" s="81"/>
      <c r="C300" s="81"/>
      <c r="D300" s="681"/>
      <c r="E300" s="681"/>
      <c r="F300" s="81"/>
      <c r="G300" s="681"/>
      <c r="H300" s="683"/>
      <c r="I300" s="81"/>
      <c r="J300" s="81"/>
      <c r="K300" s="81"/>
      <c r="L300" s="81"/>
      <c r="M300" s="81"/>
      <c r="N300" s="681"/>
      <c r="O300" s="81"/>
      <c r="P300" s="81"/>
      <c r="Q300" s="81"/>
      <c r="R300" s="81"/>
      <c r="S300" s="81"/>
      <c r="T300" s="81"/>
      <c r="U300" s="81"/>
    </row>
    <row r="301" ht="14.25" customHeight="1" spans="1:21">
      <c r="A301" s="81"/>
      <c r="B301" s="81"/>
      <c r="C301" s="81"/>
      <c r="D301" s="681"/>
      <c r="E301" s="681"/>
      <c r="F301" s="81"/>
      <c r="G301" s="681"/>
      <c r="H301" s="683"/>
      <c r="I301" s="81"/>
      <c r="J301" s="81"/>
      <c r="K301" s="81"/>
      <c r="L301" s="81"/>
      <c r="M301" s="81"/>
      <c r="N301" s="681"/>
      <c r="O301" s="81"/>
      <c r="P301" s="81"/>
      <c r="Q301" s="81"/>
      <c r="R301" s="81"/>
      <c r="S301" s="81"/>
      <c r="T301" s="81"/>
      <c r="U301" s="81"/>
    </row>
    <row r="302" ht="14.25" customHeight="1" spans="1:21">
      <c r="A302" s="81"/>
      <c r="B302" s="81"/>
      <c r="C302" s="81"/>
      <c r="D302" s="681"/>
      <c r="E302" s="681"/>
      <c r="F302" s="81"/>
      <c r="G302" s="681"/>
      <c r="H302" s="683"/>
      <c r="I302" s="81"/>
      <c r="J302" s="81"/>
      <c r="K302" s="81"/>
      <c r="L302" s="81"/>
      <c r="M302" s="81"/>
      <c r="N302" s="681"/>
      <c r="O302" s="81"/>
      <c r="P302" s="81"/>
      <c r="Q302" s="81"/>
      <c r="R302" s="81"/>
      <c r="S302" s="81"/>
      <c r="T302" s="81"/>
      <c r="U302" s="81"/>
    </row>
    <row r="303" ht="14.25" customHeight="1" spans="1:21">
      <c r="A303" s="81"/>
      <c r="B303" s="81"/>
      <c r="C303" s="81"/>
      <c r="D303" s="681"/>
      <c r="E303" s="681"/>
      <c r="F303" s="81"/>
      <c r="G303" s="681"/>
      <c r="H303" s="683"/>
      <c r="I303" s="81"/>
      <c r="J303" s="81"/>
      <c r="K303" s="81"/>
      <c r="L303" s="81"/>
      <c r="M303" s="81"/>
      <c r="N303" s="681"/>
      <c r="O303" s="81"/>
      <c r="P303" s="81"/>
      <c r="Q303" s="81"/>
      <c r="R303" s="81"/>
      <c r="S303" s="81"/>
      <c r="T303" s="81"/>
      <c r="U303" s="81"/>
    </row>
    <row r="304" ht="14.25" customHeight="1" spans="1:21">
      <c r="A304" s="81"/>
      <c r="B304" s="81"/>
      <c r="C304" s="81"/>
      <c r="D304" s="681"/>
      <c r="E304" s="681"/>
      <c r="F304" s="81"/>
      <c r="G304" s="681"/>
      <c r="H304" s="683"/>
      <c r="I304" s="81"/>
      <c r="J304" s="81"/>
      <c r="K304" s="81"/>
      <c r="L304" s="81"/>
      <c r="M304" s="81"/>
      <c r="N304" s="681"/>
      <c r="O304" s="81"/>
      <c r="P304" s="81"/>
      <c r="Q304" s="81"/>
      <c r="R304" s="81"/>
      <c r="S304" s="81"/>
      <c r="T304" s="81"/>
      <c r="U304" s="81"/>
    </row>
    <row r="305" ht="14.25" customHeight="1" spans="1:21">
      <c r="A305" s="81"/>
      <c r="B305" s="81"/>
      <c r="C305" s="81"/>
      <c r="D305" s="681"/>
      <c r="E305" s="681"/>
      <c r="F305" s="81"/>
      <c r="G305" s="681"/>
      <c r="H305" s="683"/>
      <c r="I305" s="81"/>
      <c r="J305" s="81"/>
      <c r="K305" s="81"/>
      <c r="L305" s="81"/>
      <c r="M305" s="81"/>
      <c r="N305" s="681"/>
      <c r="O305" s="81"/>
      <c r="P305" s="81"/>
      <c r="Q305" s="81"/>
      <c r="R305" s="81"/>
      <c r="S305" s="81"/>
      <c r="T305" s="81"/>
      <c r="U305" s="81"/>
    </row>
    <row r="306" ht="14.25" customHeight="1" spans="1:21">
      <c r="A306" s="81"/>
      <c r="B306" s="81"/>
      <c r="C306" s="81"/>
      <c r="D306" s="681"/>
      <c r="E306" s="681"/>
      <c r="F306" s="81"/>
      <c r="G306" s="681"/>
      <c r="H306" s="683"/>
      <c r="I306" s="81"/>
      <c r="J306" s="81"/>
      <c r="K306" s="81"/>
      <c r="L306" s="81"/>
      <c r="M306" s="81"/>
      <c r="N306" s="681"/>
      <c r="O306" s="81"/>
      <c r="P306" s="81"/>
      <c r="Q306" s="81"/>
      <c r="R306" s="81"/>
      <c r="S306" s="81"/>
      <c r="T306" s="81"/>
      <c r="U306" s="81"/>
    </row>
    <row r="307" ht="14.25" customHeight="1" spans="1:21">
      <c r="A307" s="81"/>
      <c r="B307" s="81"/>
      <c r="C307" s="81"/>
      <c r="D307" s="681"/>
      <c r="E307" s="681"/>
      <c r="F307" s="81"/>
      <c r="G307" s="681"/>
      <c r="H307" s="683"/>
      <c r="I307" s="81"/>
      <c r="J307" s="81"/>
      <c r="K307" s="81"/>
      <c r="L307" s="81"/>
      <c r="M307" s="81"/>
      <c r="N307" s="681"/>
      <c r="O307" s="81"/>
      <c r="P307" s="81"/>
      <c r="Q307" s="81"/>
      <c r="R307" s="81"/>
      <c r="S307" s="81"/>
      <c r="T307" s="81"/>
      <c r="U307" s="81"/>
    </row>
    <row r="308" ht="14.25" customHeight="1" spans="1:21">
      <c r="A308" s="81"/>
      <c r="B308" s="81"/>
      <c r="C308" s="81"/>
      <c r="D308" s="681"/>
      <c r="E308" s="681"/>
      <c r="F308" s="81"/>
      <c r="G308" s="681"/>
      <c r="H308" s="683"/>
      <c r="I308" s="81"/>
      <c r="J308" s="81"/>
      <c r="K308" s="81"/>
      <c r="L308" s="81"/>
      <c r="M308" s="81"/>
      <c r="N308" s="681"/>
      <c r="O308" s="81"/>
      <c r="P308" s="81"/>
      <c r="Q308" s="81"/>
      <c r="R308" s="81"/>
      <c r="S308" s="81"/>
      <c r="T308" s="81"/>
      <c r="U308" s="81"/>
    </row>
    <row r="309" ht="14.25" customHeight="1" spans="1:21">
      <c r="A309" s="81"/>
      <c r="B309" s="81"/>
      <c r="C309" s="81"/>
      <c r="D309" s="681"/>
      <c r="E309" s="681"/>
      <c r="F309" s="81"/>
      <c r="G309" s="681"/>
      <c r="H309" s="683"/>
      <c r="I309" s="81"/>
      <c r="J309" s="81"/>
      <c r="K309" s="81"/>
      <c r="L309" s="81"/>
      <c r="M309" s="81"/>
      <c r="N309" s="681"/>
      <c r="O309" s="81"/>
      <c r="P309" s="81"/>
      <c r="Q309" s="81"/>
      <c r="R309" s="81"/>
      <c r="S309" s="81"/>
      <c r="T309" s="81"/>
      <c r="U309" s="81"/>
    </row>
    <row r="310" ht="14.25" customHeight="1" spans="1:21">
      <c r="A310" s="81"/>
      <c r="B310" s="81"/>
      <c r="C310" s="81"/>
      <c r="D310" s="681"/>
      <c r="E310" s="681"/>
      <c r="F310" s="81"/>
      <c r="G310" s="681"/>
      <c r="H310" s="683"/>
      <c r="I310" s="81"/>
      <c r="J310" s="81"/>
      <c r="K310" s="81"/>
      <c r="L310" s="81"/>
      <c r="M310" s="81"/>
      <c r="N310" s="681"/>
      <c r="O310" s="81"/>
      <c r="P310" s="81"/>
      <c r="Q310" s="81"/>
      <c r="R310" s="81"/>
      <c r="S310" s="81"/>
      <c r="T310" s="81"/>
      <c r="U310" s="81"/>
    </row>
    <row r="311" ht="14.25" customHeight="1" spans="1:21">
      <c r="A311" s="81"/>
      <c r="B311" s="81"/>
      <c r="C311" s="81"/>
      <c r="D311" s="681"/>
      <c r="E311" s="681"/>
      <c r="F311" s="81"/>
      <c r="G311" s="681"/>
      <c r="H311" s="682"/>
      <c r="I311" s="81"/>
      <c r="J311" s="81"/>
      <c r="K311" s="81"/>
      <c r="L311" s="81"/>
      <c r="M311" s="81"/>
      <c r="N311" s="681"/>
      <c r="O311" s="81"/>
      <c r="P311" s="81"/>
      <c r="Q311" s="81"/>
      <c r="R311" s="81"/>
      <c r="S311" s="81"/>
      <c r="T311" s="81"/>
      <c r="U311" s="81"/>
    </row>
    <row r="312" ht="14.25" customHeight="1" spans="1:21">
      <c r="A312" s="81"/>
      <c r="B312" s="81"/>
      <c r="C312" s="81"/>
      <c r="D312" s="681"/>
      <c r="E312" s="681"/>
      <c r="F312" s="81"/>
      <c r="G312" s="681"/>
      <c r="H312" s="683"/>
      <c r="I312" s="81"/>
      <c r="J312" s="81"/>
      <c r="K312" s="81"/>
      <c r="L312" s="81"/>
      <c r="M312" s="81"/>
      <c r="N312" s="681"/>
      <c r="O312" s="81"/>
      <c r="P312" s="81"/>
      <c r="Q312" s="81"/>
      <c r="R312" s="81"/>
      <c r="S312" s="81"/>
      <c r="T312" s="81"/>
      <c r="U312" s="81"/>
    </row>
    <row r="313" ht="14.25" customHeight="1" spans="1:21">
      <c r="A313" s="81"/>
      <c r="B313" s="81"/>
      <c r="C313" s="81"/>
      <c r="D313" s="681"/>
      <c r="E313" s="681"/>
      <c r="F313" s="81"/>
      <c r="G313" s="681"/>
      <c r="H313" s="683"/>
      <c r="I313" s="81"/>
      <c r="J313" s="81"/>
      <c r="K313" s="81"/>
      <c r="L313" s="81"/>
      <c r="M313" s="81"/>
      <c r="N313" s="681"/>
      <c r="O313" s="81"/>
      <c r="P313" s="81"/>
      <c r="Q313" s="81"/>
      <c r="R313" s="81"/>
      <c r="S313" s="81"/>
      <c r="T313" s="81"/>
      <c r="U313" s="81"/>
    </row>
    <row r="314" ht="14.25" customHeight="1" spans="1:21">
      <c r="A314" s="81"/>
      <c r="B314" s="81"/>
      <c r="C314" s="81"/>
      <c r="D314" s="681"/>
      <c r="E314" s="681"/>
      <c r="F314" s="81"/>
      <c r="G314" s="681"/>
      <c r="H314" s="683"/>
      <c r="I314" s="81"/>
      <c r="J314" s="81"/>
      <c r="K314" s="81"/>
      <c r="L314" s="81"/>
      <c r="M314" s="81"/>
      <c r="N314" s="681"/>
      <c r="O314" s="81"/>
      <c r="P314" s="81"/>
      <c r="Q314" s="81"/>
      <c r="R314" s="81"/>
      <c r="S314" s="81"/>
      <c r="T314" s="81"/>
      <c r="U314" s="81"/>
    </row>
    <row r="315" ht="14.25" customHeight="1" spans="1:21">
      <c r="A315" s="81"/>
      <c r="B315" s="81"/>
      <c r="C315" s="81"/>
      <c r="D315" s="681"/>
      <c r="E315" s="681"/>
      <c r="F315" s="81"/>
      <c r="G315" s="681"/>
      <c r="H315" s="682"/>
      <c r="I315" s="81"/>
      <c r="J315" s="81"/>
      <c r="K315" s="81"/>
      <c r="L315" s="81"/>
      <c r="M315" s="81"/>
      <c r="N315" s="681"/>
      <c r="O315" s="81"/>
      <c r="P315" s="81"/>
      <c r="Q315" s="81"/>
      <c r="R315" s="81"/>
      <c r="S315" s="81"/>
      <c r="T315" s="81"/>
      <c r="U315" s="81"/>
    </row>
    <row r="316" ht="14.25" customHeight="1" spans="1:21">
      <c r="A316" s="81"/>
      <c r="B316" s="81"/>
      <c r="C316" s="81"/>
      <c r="D316" s="681"/>
      <c r="E316" s="681"/>
      <c r="F316" s="81"/>
      <c r="G316" s="681"/>
      <c r="H316" s="682"/>
      <c r="I316" s="81"/>
      <c r="J316" s="81"/>
      <c r="K316" s="81"/>
      <c r="L316" s="81"/>
      <c r="M316" s="81"/>
      <c r="N316" s="681"/>
      <c r="O316" s="81"/>
      <c r="P316" s="81"/>
      <c r="Q316" s="81"/>
      <c r="R316" s="81"/>
      <c r="S316" s="81"/>
      <c r="T316" s="81"/>
      <c r="U316" s="81"/>
    </row>
    <row r="317" ht="14.25" customHeight="1" spans="1:21">
      <c r="A317" s="81"/>
      <c r="B317" s="81"/>
      <c r="C317" s="81"/>
      <c r="D317" s="681"/>
      <c r="E317" s="681"/>
      <c r="F317" s="81"/>
      <c r="G317" s="681"/>
      <c r="H317" s="683"/>
      <c r="I317" s="81"/>
      <c r="J317" s="81"/>
      <c r="K317" s="81"/>
      <c r="L317" s="81"/>
      <c r="M317" s="81"/>
      <c r="N317" s="681"/>
      <c r="O317" s="81"/>
      <c r="P317" s="81"/>
      <c r="Q317" s="81"/>
      <c r="R317" s="81"/>
      <c r="S317" s="81"/>
      <c r="T317" s="81"/>
      <c r="U317" s="81"/>
    </row>
    <row r="318" ht="14.25" customHeight="1" spans="1:21">
      <c r="A318" s="81"/>
      <c r="B318" s="81"/>
      <c r="C318" s="81"/>
      <c r="D318" s="681"/>
      <c r="E318" s="681"/>
      <c r="F318" s="81"/>
      <c r="G318" s="681"/>
      <c r="H318" s="683"/>
      <c r="I318" s="81"/>
      <c r="J318" s="81"/>
      <c r="K318" s="81"/>
      <c r="L318" s="81"/>
      <c r="M318" s="81"/>
      <c r="N318" s="681"/>
      <c r="O318" s="81"/>
      <c r="P318" s="81"/>
      <c r="Q318" s="81"/>
      <c r="R318" s="81"/>
      <c r="S318" s="81"/>
      <c r="T318" s="81"/>
      <c r="U318" s="81"/>
    </row>
    <row r="319" ht="14.25" customHeight="1" spans="1:21">
      <c r="A319" s="81"/>
      <c r="B319" s="81"/>
      <c r="C319" s="81"/>
      <c r="D319" s="681"/>
      <c r="E319" s="681"/>
      <c r="F319" s="81"/>
      <c r="G319" s="681"/>
      <c r="H319" s="683"/>
      <c r="I319" s="81"/>
      <c r="J319" s="81"/>
      <c r="K319" s="81"/>
      <c r="L319" s="81"/>
      <c r="M319" s="81"/>
      <c r="N319" s="681"/>
      <c r="O319" s="81"/>
      <c r="P319" s="81"/>
      <c r="Q319" s="81"/>
      <c r="R319" s="81"/>
      <c r="S319" s="81"/>
      <c r="T319" s="81"/>
      <c r="U319" s="81"/>
    </row>
    <row r="320" ht="14.25" customHeight="1" spans="1:21">
      <c r="A320" s="81"/>
      <c r="B320" s="81"/>
      <c r="C320" s="81"/>
      <c r="D320" s="681"/>
      <c r="E320" s="681"/>
      <c r="F320" s="81"/>
      <c r="G320" s="681"/>
      <c r="H320" s="683"/>
      <c r="I320" s="81"/>
      <c r="J320" s="81"/>
      <c r="K320" s="81"/>
      <c r="L320" s="81"/>
      <c r="M320" s="81"/>
      <c r="N320" s="681"/>
      <c r="O320" s="81"/>
      <c r="P320" s="81"/>
      <c r="Q320" s="81"/>
      <c r="R320" s="81"/>
      <c r="S320" s="81"/>
      <c r="T320" s="81"/>
      <c r="U320" s="81"/>
    </row>
    <row r="321" ht="14.25" customHeight="1" spans="1:21">
      <c r="A321" s="81"/>
      <c r="B321" s="81"/>
      <c r="C321" s="81"/>
      <c r="D321" s="681"/>
      <c r="E321" s="681"/>
      <c r="F321" s="81"/>
      <c r="G321" s="681"/>
      <c r="H321" s="684"/>
      <c r="I321" s="81"/>
      <c r="J321" s="81"/>
      <c r="K321" s="81"/>
      <c r="L321" s="81"/>
      <c r="M321" s="81"/>
      <c r="N321" s="681"/>
      <c r="O321" s="81"/>
      <c r="P321" s="81"/>
      <c r="Q321" s="81"/>
      <c r="R321" s="81"/>
      <c r="S321" s="81"/>
      <c r="T321" s="81"/>
      <c r="U321" s="81"/>
    </row>
    <row r="322" ht="14.25" customHeight="1" spans="1:21">
      <c r="A322" s="81"/>
      <c r="B322" s="81"/>
      <c r="C322" s="81"/>
      <c r="D322" s="681"/>
      <c r="E322" s="681"/>
      <c r="F322" s="81"/>
      <c r="G322" s="681"/>
      <c r="H322" s="640"/>
      <c r="I322" s="81"/>
      <c r="J322" s="81"/>
      <c r="K322" s="81"/>
      <c r="L322" s="81"/>
      <c r="M322" s="81"/>
      <c r="N322" s="681"/>
      <c r="O322" s="81"/>
      <c r="P322" s="81"/>
      <c r="Q322" s="81"/>
      <c r="R322" s="81"/>
      <c r="S322" s="81"/>
      <c r="T322" s="81"/>
      <c r="U322" s="81"/>
    </row>
    <row r="323" ht="14.25" customHeight="1" spans="1:21">
      <c r="A323" s="81"/>
      <c r="B323" s="81"/>
      <c r="C323" s="81"/>
      <c r="D323" s="681"/>
      <c r="E323" s="681"/>
      <c r="F323" s="81"/>
      <c r="G323" s="681"/>
      <c r="H323" s="683"/>
      <c r="I323" s="81"/>
      <c r="J323" s="81"/>
      <c r="K323" s="81"/>
      <c r="L323" s="81"/>
      <c r="M323" s="81"/>
      <c r="N323" s="681"/>
      <c r="O323" s="81"/>
      <c r="P323" s="81"/>
      <c r="Q323" s="81"/>
      <c r="R323" s="81"/>
      <c r="S323" s="81"/>
      <c r="T323" s="81"/>
      <c r="U323" s="81"/>
    </row>
    <row r="324" ht="14.25" customHeight="1" spans="1:21">
      <c r="A324" s="81"/>
      <c r="B324" s="81"/>
      <c r="C324" s="81"/>
      <c r="D324" s="681"/>
      <c r="E324" s="681"/>
      <c r="F324" s="81"/>
      <c r="G324" s="681"/>
      <c r="H324" s="683"/>
      <c r="I324" s="81"/>
      <c r="J324" s="81"/>
      <c r="K324" s="81"/>
      <c r="L324" s="81"/>
      <c r="M324" s="81"/>
      <c r="N324" s="681"/>
      <c r="O324" s="81"/>
      <c r="P324" s="81"/>
      <c r="Q324" s="81"/>
      <c r="R324" s="81"/>
      <c r="S324" s="81"/>
      <c r="T324" s="81"/>
      <c r="U324" s="81"/>
    </row>
    <row r="325" ht="14.25" customHeight="1" spans="1:21">
      <c r="A325" s="81"/>
      <c r="B325" s="81"/>
      <c r="C325" s="81"/>
      <c r="D325" s="681"/>
      <c r="E325" s="681"/>
      <c r="F325" s="81"/>
      <c r="G325" s="681"/>
      <c r="H325" s="683"/>
      <c r="I325" s="81"/>
      <c r="J325" s="81"/>
      <c r="K325" s="81"/>
      <c r="L325" s="81"/>
      <c r="M325" s="81"/>
      <c r="N325" s="681"/>
      <c r="O325" s="81"/>
      <c r="P325" s="81"/>
      <c r="Q325" s="81"/>
      <c r="R325" s="81"/>
      <c r="S325" s="81"/>
      <c r="T325" s="81"/>
      <c r="U325" s="81"/>
    </row>
    <row r="326" ht="14.25" customHeight="1" spans="1:21">
      <c r="A326" s="81"/>
      <c r="B326" s="81"/>
      <c r="C326" s="81"/>
      <c r="D326" s="681"/>
      <c r="E326" s="681"/>
      <c r="F326" s="81"/>
      <c r="G326" s="681"/>
      <c r="H326" s="683"/>
      <c r="I326" s="81"/>
      <c r="J326" s="81"/>
      <c r="K326" s="81"/>
      <c r="L326" s="81"/>
      <c r="M326" s="81"/>
      <c r="N326" s="681"/>
      <c r="O326" s="81"/>
      <c r="P326" s="81"/>
      <c r="Q326" s="81"/>
      <c r="R326" s="81"/>
      <c r="S326" s="81"/>
      <c r="T326" s="81"/>
      <c r="U326" s="81"/>
    </row>
    <row r="327" ht="14.25" customHeight="1" spans="1:21">
      <c r="A327" s="81"/>
      <c r="B327" s="81"/>
      <c r="C327" s="81"/>
      <c r="D327" s="681"/>
      <c r="E327" s="681"/>
      <c r="F327" s="81"/>
      <c r="G327" s="681"/>
      <c r="H327" s="683"/>
      <c r="I327" s="81"/>
      <c r="J327" s="81"/>
      <c r="K327" s="81"/>
      <c r="L327" s="81"/>
      <c r="M327" s="81"/>
      <c r="N327" s="681"/>
      <c r="O327" s="81"/>
      <c r="P327" s="81"/>
      <c r="Q327" s="81"/>
      <c r="R327" s="81"/>
      <c r="S327" s="81"/>
      <c r="T327" s="81"/>
      <c r="U327" s="81"/>
    </row>
    <row r="328" ht="14.25" customHeight="1" spans="1:21">
      <c r="A328" s="81"/>
      <c r="B328" s="81"/>
      <c r="C328" s="81"/>
      <c r="D328" s="681"/>
      <c r="E328" s="681"/>
      <c r="F328" s="81"/>
      <c r="G328" s="681"/>
      <c r="H328" s="683"/>
      <c r="I328" s="81"/>
      <c r="J328" s="81"/>
      <c r="K328" s="81"/>
      <c r="L328" s="81"/>
      <c r="M328" s="81"/>
      <c r="N328" s="681"/>
      <c r="O328" s="81"/>
      <c r="P328" s="81"/>
      <c r="Q328" s="81"/>
      <c r="R328" s="81"/>
      <c r="S328" s="81"/>
      <c r="T328" s="81"/>
      <c r="U328" s="81"/>
    </row>
    <row r="329" ht="14.25" customHeight="1" spans="1:21">
      <c r="A329" s="81"/>
      <c r="B329" s="81"/>
      <c r="C329" s="81"/>
      <c r="D329" s="681"/>
      <c r="E329" s="681"/>
      <c r="F329" s="81"/>
      <c r="G329" s="681"/>
      <c r="H329" s="683"/>
      <c r="I329" s="81"/>
      <c r="J329" s="81"/>
      <c r="K329" s="81"/>
      <c r="L329" s="81"/>
      <c r="M329" s="81"/>
      <c r="N329" s="681"/>
      <c r="O329" s="81"/>
      <c r="P329" s="81"/>
      <c r="Q329" s="81"/>
      <c r="R329" s="81"/>
      <c r="S329" s="81"/>
      <c r="T329" s="81"/>
      <c r="U329" s="81"/>
    </row>
    <row r="330" ht="14.25" customHeight="1" spans="1:21">
      <c r="A330" s="81"/>
      <c r="B330" s="81"/>
      <c r="C330" s="81"/>
      <c r="D330" s="681"/>
      <c r="E330" s="681"/>
      <c r="F330" s="81"/>
      <c r="G330" s="681"/>
      <c r="H330" s="683"/>
      <c r="I330" s="81"/>
      <c r="J330" s="81"/>
      <c r="K330" s="81"/>
      <c r="L330" s="81"/>
      <c r="M330" s="81"/>
      <c r="N330" s="681"/>
      <c r="O330" s="81"/>
      <c r="P330" s="81"/>
      <c r="Q330" s="81"/>
      <c r="R330" s="81"/>
      <c r="S330" s="81"/>
      <c r="T330" s="81"/>
      <c r="U330" s="81"/>
    </row>
    <row r="331" ht="14.25" customHeight="1" spans="1:21">
      <c r="A331" s="81"/>
      <c r="B331" s="81"/>
      <c r="C331" s="81"/>
      <c r="D331" s="681"/>
      <c r="E331" s="681"/>
      <c r="F331" s="81"/>
      <c r="G331" s="681"/>
      <c r="H331" s="683"/>
      <c r="I331" s="81"/>
      <c r="J331" s="81"/>
      <c r="K331" s="81"/>
      <c r="L331" s="81"/>
      <c r="M331" s="81"/>
      <c r="N331" s="681"/>
      <c r="O331" s="81"/>
      <c r="P331" s="81"/>
      <c r="Q331" s="81"/>
      <c r="R331" s="81"/>
      <c r="S331" s="81"/>
      <c r="T331" s="81"/>
      <c r="U331" s="81"/>
    </row>
    <row r="332" ht="14.25" customHeight="1" spans="1:21">
      <c r="A332" s="81"/>
      <c r="B332" s="81"/>
      <c r="C332" s="81"/>
      <c r="D332" s="681"/>
      <c r="E332" s="681"/>
      <c r="F332" s="81"/>
      <c r="G332" s="681"/>
      <c r="H332" s="683"/>
      <c r="I332" s="81"/>
      <c r="J332" s="81"/>
      <c r="K332" s="81"/>
      <c r="L332" s="81"/>
      <c r="M332" s="81"/>
      <c r="N332" s="681"/>
      <c r="O332" s="81"/>
      <c r="P332" s="81"/>
      <c r="Q332" s="81"/>
      <c r="R332" s="81"/>
      <c r="S332" s="81"/>
      <c r="T332" s="81"/>
      <c r="U332" s="81"/>
    </row>
    <row r="333" ht="14.25" customHeight="1" spans="1:21">
      <c r="A333" s="81"/>
      <c r="B333" s="81"/>
      <c r="C333" s="81"/>
      <c r="D333" s="681"/>
      <c r="E333" s="681"/>
      <c r="F333" s="81"/>
      <c r="G333" s="681"/>
      <c r="H333" s="683"/>
      <c r="I333" s="81"/>
      <c r="J333" s="81"/>
      <c r="K333" s="81"/>
      <c r="L333" s="81"/>
      <c r="M333" s="81"/>
      <c r="N333" s="681"/>
      <c r="O333" s="81"/>
      <c r="P333" s="81"/>
      <c r="Q333" s="81"/>
      <c r="R333" s="81"/>
      <c r="S333" s="81"/>
      <c r="T333" s="81"/>
      <c r="U333" s="81"/>
    </row>
    <row r="334" ht="14.25" customHeight="1" spans="1:21">
      <c r="A334" s="81"/>
      <c r="B334" s="81"/>
      <c r="C334" s="81"/>
      <c r="D334" s="681"/>
      <c r="E334" s="681"/>
      <c r="F334" s="81"/>
      <c r="G334" s="681"/>
      <c r="H334" s="683"/>
      <c r="I334" s="81"/>
      <c r="J334" s="81"/>
      <c r="K334" s="81"/>
      <c r="L334" s="81"/>
      <c r="M334" s="81"/>
      <c r="N334" s="681"/>
      <c r="O334" s="81"/>
      <c r="P334" s="81"/>
      <c r="Q334" s="81"/>
      <c r="R334" s="81"/>
      <c r="S334" s="81"/>
      <c r="T334" s="81"/>
      <c r="U334" s="81"/>
    </row>
    <row r="335" ht="14.25" customHeight="1" spans="1:21">
      <c r="A335" s="81"/>
      <c r="B335" s="81"/>
      <c r="C335" s="81"/>
      <c r="D335" s="681"/>
      <c r="E335" s="681"/>
      <c r="F335" s="81"/>
      <c r="G335" s="681"/>
      <c r="H335" s="640"/>
      <c r="I335" s="81"/>
      <c r="J335" s="81"/>
      <c r="K335" s="81"/>
      <c r="L335" s="81"/>
      <c r="M335" s="81"/>
      <c r="N335" s="681"/>
      <c r="O335" s="81"/>
      <c r="P335" s="81"/>
      <c r="Q335" s="81"/>
      <c r="R335" s="81"/>
      <c r="S335" s="81"/>
      <c r="T335" s="81"/>
      <c r="U335" s="81"/>
    </row>
    <row r="336" ht="14.25" customHeight="1" spans="1:21">
      <c r="A336" s="81"/>
      <c r="B336" s="81"/>
      <c r="C336" s="81"/>
      <c r="D336" s="681"/>
      <c r="E336" s="681"/>
      <c r="F336" s="81"/>
      <c r="G336" s="681"/>
      <c r="H336" s="682"/>
      <c r="I336" s="81"/>
      <c r="J336" s="81"/>
      <c r="K336" s="81"/>
      <c r="L336" s="81"/>
      <c r="M336" s="81"/>
      <c r="N336" s="681"/>
      <c r="O336" s="81"/>
      <c r="P336" s="81"/>
      <c r="Q336" s="81"/>
      <c r="R336" s="81"/>
      <c r="S336" s="81"/>
      <c r="T336" s="81"/>
      <c r="U336" s="81"/>
    </row>
    <row r="337" ht="14.25" customHeight="1" spans="1:21">
      <c r="A337" s="81"/>
      <c r="B337" s="81"/>
      <c r="C337" s="81"/>
      <c r="D337" s="681"/>
      <c r="E337" s="681"/>
      <c r="F337" s="81"/>
      <c r="G337" s="681"/>
      <c r="H337" s="682"/>
      <c r="I337" s="81"/>
      <c r="J337" s="81"/>
      <c r="K337" s="81"/>
      <c r="L337" s="81"/>
      <c r="M337" s="81"/>
      <c r="N337" s="681"/>
      <c r="O337" s="81"/>
      <c r="P337" s="81"/>
      <c r="Q337" s="81"/>
      <c r="R337" s="81"/>
      <c r="S337" s="81"/>
      <c r="T337" s="81"/>
      <c r="U337" s="81"/>
    </row>
    <row r="338" ht="14.25" customHeight="1" spans="1:21">
      <c r="A338" s="81"/>
      <c r="B338" s="81"/>
      <c r="C338" s="81"/>
      <c r="D338" s="681"/>
      <c r="E338" s="681"/>
      <c r="F338" s="81"/>
      <c r="G338" s="681"/>
      <c r="H338" s="682"/>
      <c r="I338" s="81"/>
      <c r="J338" s="81"/>
      <c r="K338" s="81"/>
      <c r="L338" s="81"/>
      <c r="M338" s="81"/>
      <c r="N338" s="681"/>
      <c r="O338" s="81"/>
      <c r="P338" s="81"/>
      <c r="Q338" s="81"/>
      <c r="R338" s="81"/>
      <c r="S338" s="81"/>
      <c r="T338" s="81"/>
      <c r="U338" s="81"/>
    </row>
    <row r="339" ht="14.25" customHeight="1" spans="1:21">
      <c r="A339" s="81"/>
      <c r="B339" s="81"/>
      <c r="C339" s="81"/>
      <c r="D339" s="681"/>
      <c r="E339" s="681"/>
      <c r="F339" s="81"/>
      <c r="G339" s="681"/>
      <c r="H339" s="683"/>
      <c r="I339" s="81"/>
      <c r="J339" s="81"/>
      <c r="K339" s="81"/>
      <c r="L339" s="81"/>
      <c r="M339" s="81"/>
      <c r="N339" s="681"/>
      <c r="O339" s="81"/>
      <c r="P339" s="81"/>
      <c r="Q339" s="81"/>
      <c r="R339" s="81"/>
      <c r="S339" s="81"/>
      <c r="T339" s="81"/>
      <c r="U339" s="81"/>
    </row>
    <row r="340" ht="14.25" customHeight="1" spans="1:21">
      <c r="A340" s="81"/>
      <c r="B340" s="81"/>
      <c r="C340" s="81"/>
      <c r="D340" s="681"/>
      <c r="E340" s="681"/>
      <c r="F340" s="81"/>
      <c r="G340" s="681"/>
      <c r="H340" s="683"/>
      <c r="I340" s="81"/>
      <c r="J340" s="81"/>
      <c r="K340" s="81"/>
      <c r="L340" s="81"/>
      <c r="M340" s="81"/>
      <c r="N340" s="681"/>
      <c r="O340" s="81"/>
      <c r="P340" s="81"/>
      <c r="Q340" s="81"/>
      <c r="R340" s="81"/>
      <c r="S340" s="81"/>
      <c r="T340" s="81"/>
      <c r="U340" s="81"/>
    </row>
    <row r="341" ht="14.25" customHeight="1" spans="1:21">
      <c r="A341" s="81"/>
      <c r="B341" s="81"/>
      <c r="C341" s="81"/>
      <c r="D341" s="681"/>
      <c r="E341" s="681"/>
      <c r="F341" s="81"/>
      <c r="G341" s="681"/>
      <c r="H341" s="683"/>
      <c r="I341" s="81"/>
      <c r="J341" s="81"/>
      <c r="K341" s="81"/>
      <c r="L341" s="81"/>
      <c r="M341" s="81"/>
      <c r="N341" s="681"/>
      <c r="O341" s="81"/>
      <c r="P341" s="81"/>
      <c r="Q341" s="81"/>
      <c r="R341" s="81"/>
      <c r="S341" s="81"/>
      <c r="T341" s="81"/>
      <c r="U341" s="81"/>
    </row>
    <row r="342" ht="14.25" customHeight="1" spans="1:21">
      <c r="A342" s="81"/>
      <c r="B342" s="81"/>
      <c r="C342" s="81"/>
      <c r="D342" s="681"/>
      <c r="E342" s="681"/>
      <c r="F342" s="81"/>
      <c r="G342" s="681"/>
      <c r="H342" s="683"/>
      <c r="I342" s="81"/>
      <c r="J342" s="81"/>
      <c r="K342" s="81"/>
      <c r="L342" s="81"/>
      <c r="M342" s="81"/>
      <c r="N342" s="681"/>
      <c r="O342" s="81"/>
      <c r="P342" s="81"/>
      <c r="Q342" s="81"/>
      <c r="R342" s="81"/>
      <c r="S342" s="81"/>
      <c r="T342" s="81"/>
      <c r="U342" s="81"/>
    </row>
    <row r="343" ht="14.25" customHeight="1" spans="1:21">
      <c r="A343" s="81"/>
      <c r="B343" s="81"/>
      <c r="C343" s="81"/>
      <c r="D343" s="681"/>
      <c r="E343" s="681"/>
      <c r="F343" s="81"/>
      <c r="G343" s="681"/>
      <c r="H343" s="683"/>
      <c r="I343" s="81"/>
      <c r="J343" s="81"/>
      <c r="K343" s="81"/>
      <c r="L343" s="81"/>
      <c r="M343" s="81"/>
      <c r="N343" s="681"/>
      <c r="O343" s="81"/>
      <c r="P343" s="81"/>
      <c r="Q343" s="81"/>
      <c r="R343" s="81"/>
      <c r="S343" s="81"/>
      <c r="T343" s="81"/>
      <c r="U343" s="81"/>
    </row>
    <row r="344" ht="14.25" customHeight="1" spans="1:21">
      <c r="A344" s="81"/>
      <c r="B344" s="81"/>
      <c r="C344" s="81"/>
      <c r="D344" s="681"/>
      <c r="E344" s="681"/>
      <c r="F344" s="81"/>
      <c r="G344" s="681"/>
      <c r="H344" s="683"/>
      <c r="I344" s="81"/>
      <c r="J344" s="81"/>
      <c r="K344" s="81"/>
      <c r="L344" s="81"/>
      <c r="M344" s="81"/>
      <c r="N344" s="681"/>
      <c r="O344" s="81"/>
      <c r="P344" s="81"/>
      <c r="Q344" s="81"/>
      <c r="R344" s="81"/>
      <c r="S344" s="81"/>
      <c r="T344" s="81"/>
      <c r="U344" s="81"/>
    </row>
    <row r="345" ht="14.25" customHeight="1" spans="1:21">
      <c r="A345" s="81"/>
      <c r="B345" s="81"/>
      <c r="C345" s="81"/>
      <c r="D345" s="681"/>
      <c r="E345" s="681"/>
      <c r="F345" s="81"/>
      <c r="G345" s="681"/>
      <c r="H345" s="683"/>
      <c r="I345" s="81"/>
      <c r="J345" s="81"/>
      <c r="K345" s="81"/>
      <c r="L345" s="81"/>
      <c r="M345" s="81"/>
      <c r="N345" s="681"/>
      <c r="O345" s="81"/>
      <c r="P345" s="81"/>
      <c r="Q345" s="81"/>
      <c r="R345" s="81"/>
      <c r="S345" s="81"/>
      <c r="T345" s="81"/>
      <c r="U345" s="81"/>
    </row>
    <row r="346" ht="14.25" customHeight="1" spans="1:21">
      <c r="A346" s="81"/>
      <c r="B346" s="81"/>
      <c r="C346" s="81"/>
      <c r="D346" s="681"/>
      <c r="E346" s="681"/>
      <c r="F346" s="81"/>
      <c r="G346" s="681"/>
      <c r="H346" s="683"/>
      <c r="I346" s="81"/>
      <c r="J346" s="81"/>
      <c r="K346" s="81"/>
      <c r="L346" s="81"/>
      <c r="M346" s="81"/>
      <c r="N346" s="681"/>
      <c r="O346" s="81"/>
      <c r="P346" s="81"/>
      <c r="Q346" s="81"/>
      <c r="R346" s="81"/>
      <c r="S346" s="81"/>
      <c r="T346" s="81"/>
      <c r="U346" s="81"/>
    </row>
    <row r="347" ht="14.25" customHeight="1" spans="1:21">
      <c r="A347" s="81"/>
      <c r="B347" s="81"/>
      <c r="C347" s="81"/>
      <c r="D347" s="681"/>
      <c r="E347" s="681"/>
      <c r="F347" s="81"/>
      <c r="G347" s="681"/>
      <c r="H347" s="683"/>
      <c r="I347" s="81"/>
      <c r="J347" s="81"/>
      <c r="K347" s="81"/>
      <c r="L347" s="81"/>
      <c r="M347" s="81"/>
      <c r="N347" s="681"/>
      <c r="O347" s="81"/>
      <c r="P347" s="81"/>
      <c r="Q347" s="81"/>
      <c r="R347" s="81"/>
      <c r="S347" s="81"/>
      <c r="T347" s="81"/>
      <c r="U347" s="81"/>
    </row>
    <row r="348" ht="14.25" customHeight="1" spans="1:21">
      <c r="A348" s="81"/>
      <c r="B348" s="81"/>
      <c r="C348" s="81"/>
      <c r="D348" s="681"/>
      <c r="E348" s="681"/>
      <c r="F348" s="81"/>
      <c r="G348" s="681"/>
      <c r="H348" s="683"/>
      <c r="I348" s="81"/>
      <c r="J348" s="81"/>
      <c r="K348" s="81"/>
      <c r="L348" s="81"/>
      <c r="M348" s="81"/>
      <c r="N348" s="681"/>
      <c r="O348" s="81"/>
      <c r="P348" s="81"/>
      <c r="Q348" s="81"/>
      <c r="R348" s="81"/>
      <c r="S348" s="81"/>
      <c r="T348" s="81"/>
      <c r="U348" s="81"/>
    </row>
    <row r="349" ht="14.25" customHeight="1" spans="1:21">
      <c r="A349" s="81"/>
      <c r="B349" s="81"/>
      <c r="C349" s="81"/>
      <c r="D349" s="681"/>
      <c r="E349" s="681"/>
      <c r="F349" s="81"/>
      <c r="G349" s="681"/>
      <c r="H349" s="683"/>
      <c r="I349" s="81"/>
      <c r="J349" s="81"/>
      <c r="K349" s="81"/>
      <c r="L349" s="81"/>
      <c r="M349" s="81"/>
      <c r="N349" s="681"/>
      <c r="O349" s="81"/>
      <c r="P349" s="81"/>
      <c r="Q349" s="81"/>
      <c r="R349" s="81"/>
      <c r="S349" s="81"/>
      <c r="T349" s="81"/>
      <c r="U349" s="81"/>
    </row>
    <row r="350" ht="14.25" customHeight="1" spans="1:21">
      <c r="A350" s="81"/>
      <c r="B350" s="81"/>
      <c r="C350" s="81"/>
      <c r="D350" s="681"/>
      <c r="E350" s="681"/>
      <c r="F350" s="81"/>
      <c r="G350" s="681"/>
      <c r="H350" s="683"/>
      <c r="I350" s="81"/>
      <c r="J350" s="81"/>
      <c r="K350" s="81"/>
      <c r="L350" s="81"/>
      <c r="M350" s="81"/>
      <c r="N350" s="681"/>
      <c r="O350" s="81"/>
      <c r="P350" s="81"/>
      <c r="Q350" s="81"/>
      <c r="R350" s="81"/>
      <c r="S350" s="81"/>
      <c r="T350" s="81"/>
      <c r="U350" s="81"/>
    </row>
    <row r="351" ht="14.25" customHeight="1" spans="1:21">
      <c r="A351" s="81"/>
      <c r="B351" s="81"/>
      <c r="C351" s="81"/>
      <c r="D351" s="681"/>
      <c r="E351" s="681"/>
      <c r="F351" s="81"/>
      <c r="G351" s="681"/>
      <c r="H351" s="683"/>
      <c r="I351" s="81"/>
      <c r="J351" s="81"/>
      <c r="K351" s="81"/>
      <c r="L351" s="81"/>
      <c r="M351" s="81"/>
      <c r="N351" s="681"/>
      <c r="O351" s="81"/>
      <c r="P351" s="81"/>
      <c r="Q351" s="81"/>
      <c r="R351" s="81"/>
      <c r="S351" s="81"/>
      <c r="T351" s="81"/>
      <c r="U351" s="81"/>
    </row>
    <row r="352" ht="14.25" customHeight="1" spans="1:21">
      <c r="A352" s="81"/>
      <c r="B352" s="81"/>
      <c r="C352" s="81"/>
      <c r="D352" s="681"/>
      <c r="E352" s="681"/>
      <c r="F352" s="81"/>
      <c r="G352" s="681"/>
      <c r="H352" s="683"/>
      <c r="I352" s="81"/>
      <c r="J352" s="81"/>
      <c r="K352" s="81"/>
      <c r="L352" s="81"/>
      <c r="M352" s="81"/>
      <c r="N352" s="681"/>
      <c r="O352" s="81"/>
      <c r="P352" s="81"/>
      <c r="Q352" s="81"/>
      <c r="R352" s="81"/>
      <c r="S352" s="81"/>
      <c r="T352" s="81"/>
      <c r="U352" s="81"/>
    </row>
    <row r="353" ht="14.25" customHeight="1" spans="1:21">
      <c r="A353" s="81"/>
      <c r="B353" s="81"/>
      <c r="C353" s="81"/>
      <c r="D353" s="681"/>
      <c r="E353" s="681"/>
      <c r="F353" s="81"/>
      <c r="G353" s="681"/>
      <c r="H353" s="683"/>
      <c r="I353" s="81"/>
      <c r="J353" s="81"/>
      <c r="K353" s="81"/>
      <c r="L353" s="81"/>
      <c r="M353" s="81"/>
      <c r="N353" s="681"/>
      <c r="O353" s="81"/>
      <c r="P353" s="81"/>
      <c r="Q353" s="81"/>
      <c r="R353" s="81"/>
      <c r="S353" s="81"/>
      <c r="T353" s="81"/>
      <c r="U353" s="81"/>
    </row>
    <row r="354" ht="14.25" customHeight="1" spans="1:21">
      <c r="A354" s="81"/>
      <c r="B354" s="81"/>
      <c r="C354" s="81"/>
      <c r="D354" s="681"/>
      <c r="E354" s="681"/>
      <c r="F354" s="81"/>
      <c r="G354" s="681"/>
      <c r="H354" s="683"/>
      <c r="I354" s="81"/>
      <c r="J354" s="81"/>
      <c r="K354" s="81"/>
      <c r="L354" s="81"/>
      <c r="M354" s="81"/>
      <c r="N354" s="681"/>
      <c r="O354" s="81"/>
      <c r="P354" s="81"/>
      <c r="Q354" s="81"/>
      <c r="R354" s="81"/>
      <c r="S354" s="81"/>
      <c r="T354" s="81"/>
      <c r="U354" s="81"/>
    </row>
    <row r="355" ht="14.25" customHeight="1" spans="1:21">
      <c r="A355" s="81"/>
      <c r="B355" s="81"/>
      <c r="C355" s="81"/>
      <c r="D355" s="681"/>
      <c r="E355" s="681"/>
      <c r="F355" s="81"/>
      <c r="G355" s="681"/>
      <c r="H355" s="683"/>
      <c r="I355" s="81"/>
      <c r="J355" s="81"/>
      <c r="K355" s="81"/>
      <c r="L355" s="81"/>
      <c r="M355" s="81"/>
      <c r="N355" s="681"/>
      <c r="O355" s="81"/>
      <c r="P355" s="81"/>
      <c r="Q355" s="81"/>
      <c r="R355" s="81"/>
      <c r="S355" s="81"/>
      <c r="T355" s="81"/>
      <c r="U355" s="81"/>
    </row>
    <row r="356" ht="14.25" customHeight="1" spans="1:21">
      <c r="A356" s="81"/>
      <c r="B356" s="81"/>
      <c r="C356" s="81"/>
      <c r="D356" s="681"/>
      <c r="E356" s="681"/>
      <c r="F356" s="81"/>
      <c r="G356" s="681"/>
      <c r="H356" s="683"/>
      <c r="I356" s="81"/>
      <c r="J356" s="81"/>
      <c r="K356" s="81"/>
      <c r="L356" s="81"/>
      <c r="M356" s="81"/>
      <c r="N356" s="681"/>
      <c r="O356" s="81"/>
      <c r="P356" s="81"/>
      <c r="Q356" s="81"/>
      <c r="R356" s="81"/>
      <c r="S356" s="81"/>
      <c r="T356" s="81"/>
      <c r="U356" s="81"/>
    </row>
    <row r="357" ht="14.25" customHeight="1" spans="1:21">
      <c r="A357" s="81"/>
      <c r="B357" s="81"/>
      <c r="C357" s="81"/>
      <c r="D357" s="681"/>
      <c r="E357" s="681"/>
      <c r="F357" s="81"/>
      <c r="G357" s="681"/>
      <c r="H357" s="683"/>
      <c r="I357" s="81"/>
      <c r="J357" s="81"/>
      <c r="K357" s="81"/>
      <c r="L357" s="81"/>
      <c r="M357" s="81"/>
      <c r="N357" s="681"/>
      <c r="O357" s="81"/>
      <c r="P357" s="81"/>
      <c r="Q357" s="81"/>
      <c r="R357" s="81"/>
      <c r="S357" s="81"/>
      <c r="T357" s="81"/>
      <c r="U357" s="81"/>
    </row>
    <row r="358" ht="14.25" customHeight="1" spans="1:21">
      <c r="A358" s="81"/>
      <c r="B358" s="81"/>
      <c r="C358" s="81"/>
      <c r="D358" s="681"/>
      <c r="E358" s="681"/>
      <c r="F358" s="81"/>
      <c r="G358" s="681"/>
      <c r="H358" s="683"/>
      <c r="I358" s="81"/>
      <c r="J358" s="81"/>
      <c r="K358" s="81"/>
      <c r="L358" s="81"/>
      <c r="M358" s="81"/>
      <c r="N358" s="681"/>
      <c r="O358" s="81"/>
      <c r="P358" s="81"/>
      <c r="Q358" s="81"/>
      <c r="R358" s="81"/>
      <c r="S358" s="81"/>
      <c r="T358" s="81"/>
      <c r="U358" s="81"/>
    </row>
    <row r="359" ht="14.25" customHeight="1" spans="1:21">
      <c r="A359" s="81"/>
      <c r="B359" s="81"/>
      <c r="C359" s="81"/>
      <c r="D359" s="681"/>
      <c r="E359" s="681"/>
      <c r="F359" s="81"/>
      <c r="G359" s="681"/>
      <c r="H359" s="683"/>
      <c r="I359" s="81"/>
      <c r="J359" s="81"/>
      <c r="K359" s="81"/>
      <c r="L359" s="81"/>
      <c r="M359" s="81"/>
      <c r="N359" s="681"/>
      <c r="O359" s="81"/>
      <c r="P359" s="81"/>
      <c r="Q359" s="81"/>
      <c r="R359" s="81"/>
      <c r="S359" s="81"/>
      <c r="T359" s="81"/>
      <c r="U359" s="81"/>
    </row>
    <row r="360" ht="14.25" customHeight="1" spans="1:21">
      <c r="A360" s="81"/>
      <c r="B360" s="81"/>
      <c r="C360" s="81"/>
      <c r="D360" s="681"/>
      <c r="E360" s="681"/>
      <c r="F360" s="81"/>
      <c r="G360" s="681"/>
      <c r="H360" s="683"/>
      <c r="I360" s="81"/>
      <c r="J360" s="81"/>
      <c r="K360" s="81"/>
      <c r="L360" s="81"/>
      <c r="M360" s="81"/>
      <c r="N360" s="681"/>
      <c r="O360" s="81"/>
      <c r="P360" s="81"/>
      <c r="Q360" s="81"/>
      <c r="R360" s="81"/>
      <c r="S360" s="81"/>
      <c r="T360" s="81"/>
      <c r="U360" s="81"/>
    </row>
    <row r="361" ht="14.25" customHeight="1" spans="1:21">
      <c r="A361" s="81"/>
      <c r="B361" s="81"/>
      <c r="C361" s="81"/>
      <c r="D361" s="681"/>
      <c r="E361" s="681"/>
      <c r="F361" s="81"/>
      <c r="G361" s="681"/>
      <c r="H361" s="683"/>
      <c r="I361" s="81"/>
      <c r="J361" s="81"/>
      <c r="K361" s="81"/>
      <c r="L361" s="81"/>
      <c r="M361" s="81"/>
      <c r="N361" s="681"/>
      <c r="O361" s="81"/>
      <c r="P361" s="81"/>
      <c r="Q361" s="81"/>
      <c r="R361" s="81"/>
      <c r="S361" s="81"/>
      <c r="T361" s="81"/>
      <c r="U361" s="81"/>
    </row>
    <row r="362" ht="14.25" customHeight="1" spans="1:21">
      <c r="A362" s="81"/>
      <c r="B362" s="81"/>
      <c r="C362" s="81"/>
      <c r="D362" s="681"/>
      <c r="E362" s="681"/>
      <c r="F362" s="81"/>
      <c r="G362" s="681"/>
      <c r="H362" s="683"/>
      <c r="I362" s="81"/>
      <c r="J362" s="81"/>
      <c r="K362" s="81"/>
      <c r="L362" s="81"/>
      <c r="M362" s="81"/>
      <c r="N362" s="681"/>
      <c r="O362" s="81"/>
      <c r="P362" s="81"/>
      <c r="Q362" s="81"/>
      <c r="R362" s="81"/>
      <c r="S362" s="81"/>
      <c r="T362" s="81"/>
      <c r="U362" s="81"/>
    </row>
    <row r="363" ht="14.25" customHeight="1" spans="1:21">
      <c r="A363" s="81"/>
      <c r="B363" s="81"/>
      <c r="C363" s="81"/>
      <c r="D363" s="681"/>
      <c r="E363" s="681"/>
      <c r="F363" s="81"/>
      <c r="G363" s="681"/>
      <c r="H363" s="683"/>
      <c r="I363" s="81"/>
      <c r="J363" s="81"/>
      <c r="K363" s="81"/>
      <c r="L363" s="81"/>
      <c r="M363" s="81"/>
      <c r="N363" s="681"/>
      <c r="O363" s="81"/>
      <c r="P363" s="81"/>
      <c r="Q363" s="81"/>
      <c r="R363" s="81"/>
      <c r="S363" s="81"/>
      <c r="T363" s="81"/>
      <c r="U363" s="81"/>
    </row>
    <row r="364" ht="14.25" customHeight="1" spans="1:21">
      <c r="A364" s="81"/>
      <c r="B364" s="81"/>
      <c r="C364" s="81"/>
      <c r="D364" s="681"/>
      <c r="E364" s="681"/>
      <c r="F364" s="81"/>
      <c r="G364" s="681"/>
      <c r="H364" s="683"/>
      <c r="I364" s="81"/>
      <c r="J364" s="81"/>
      <c r="K364" s="81"/>
      <c r="L364" s="81"/>
      <c r="M364" s="81"/>
      <c r="N364" s="681"/>
      <c r="O364" s="81"/>
      <c r="P364" s="81"/>
      <c r="Q364" s="81"/>
      <c r="R364" s="81"/>
      <c r="S364" s="81"/>
      <c r="T364" s="81"/>
      <c r="U364" s="81"/>
    </row>
    <row r="365" ht="14.25" customHeight="1" spans="1:21">
      <c r="A365" s="81"/>
      <c r="B365" s="81"/>
      <c r="C365" s="81"/>
      <c r="D365" s="681"/>
      <c r="E365" s="681"/>
      <c r="F365" s="81"/>
      <c r="G365" s="681"/>
      <c r="H365" s="683"/>
      <c r="I365" s="81"/>
      <c r="J365" s="81"/>
      <c r="K365" s="81"/>
      <c r="L365" s="81"/>
      <c r="M365" s="81"/>
      <c r="N365" s="681"/>
      <c r="O365" s="81"/>
      <c r="P365" s="81"/>
      <c r="Q365" s="81"/>
      <c r="R365" s="81"/>
      <c r="S365" s="81"/>
      <c r="T365" s="81"/>
      <c r="U365" s="81"/>
    </row>
    <row r="366" ht="14.25" customHeight="1" spans="1:21">
      <c r="A366" s="81"/>
      <c r="B366" s="81"/>
      <c r="C366" s="81"/>
      <c r="D366" s="681"/>
      <c r="E366" s="681"/>
      <c r="F366" s="81"/>
      <c r="G366" s="681"/>
      <c r="H366" s="683"/>
      <c r="I366" s="81"/>
      <c r="J366" s="81"/>
      <c r="K366" s="81"/>
      <c r="L366" s="81"/>
      <c r="M366" s="81"/>
      <c r="N366" s="681"/>
      <c r="O366" s="81"/>
      <c r="P366" s="81"/>
      <c r="Q366" s="81"/>
      <c r="R366" s="81"/>
      <c r="S366" s="81"/>
      <c r="T366" s="81"/>
      <c r="U366" s="81"/>
    </row>
    <row r="367" ht="14.25" customHeight="1" spans="1:21">
      <c r="A367" s="81"/>
      <c r="B367" s="81"/>
      <c r="C367" s="81"/>
      <c r="D367" s="681"/>
      <c r="E367" s="681"/>
      <c r="F367" s="81"/>
      <c r="G367" s="681"/>
      <c r="H367" s="683"/>
      <c r="I367" s="81"/>
      <c r="J367" s="81"/>
      <c r="K367" s="81"/>
      <c r="L367" s="81"/>
      <c r="M367" s="81"/>
      <c r="N367" s="681"/>
      <c r="O367" s="81"/>
      <c r="P367" s="81"/>
      <c r="Q367" s="81"/>
      <c r="R367" s="81"/>
      <c r="S367" s="81"/>
      <c r="T367" s="81"/>
      <c r="U367" s="81"/>
    </row>
    <row r="368" ht="14.25" customHeight="1" spans="1:21">
      <c r="A368" s="81"/>
      <c r="B368" s="81"/>
      <c r="C368" s="81"/>
      <c r="D368" s="681"/>
      <c r="E368" s="681"/>
      <c r="F368" s="81"/>
      <c r="G368" s="681"/>
      <c r="H368" s="683"/>
      <c r="I368" s="81"/>
      <c r="J368" s="81"/>
      <c r="K368" s="81"/>
      <c r="L368" s="81"/>
      <c r="M368" s="81"/>
      <c r="N368" s="681"/>
      <c r="O368" s="81"/>
      <c r="P368" s="81"/>
      <c r="Q368" s="81"/>
      <c r="R368" s="81"/>
      <c r="S368" s="81"/>
      <c r="T368" s="81"/>
      <c r="U368" s="81"/>
    </row>
    <row r="369" ht="14.25" customHeight="1" spans="1:21">
      <c r="A369" s="81"/>
      <c r="B369" s="81"/>
      <c r="C369" s="81"/>
      <c r="D369" s="681"/>
      <c r="E369" s="681"/>
      <c r="F369" s="81"/>
      <c r="G369" s="681"/>
      <c r="H369" s="683"/>
      <c r="I369" s="81"/>
      <c r="J369" s="81"/>
      <c r="K369" s="81"/>
      <c r="L369" s="81"/>
      <c r="M369" s="81"/>
      <c r="N369" s="681"/>
      <c r="O369" s="81"/>
      <c r="P369" s="81"/>
      <c r="Q369" s="81"/>
      <c r="R369" s="81"/>
      <c r="S369" s="81"/>
      <c r="T369" s="81"/>
      <c r="U369" s="81"/>
    </row>
    <row r="370" ht="14.25" customHeight="1" spans="1:21">
      <c r="A370" s="81"/>
      <c r="B370" s="81"/>
      <c r="C370" s="81"/>
      <c r="D370" s="681"/>
      <c r="E370" s="681"/>
      <c r="F370" s="81"/>
      <c r="G370" s="681"/>
      <c r="H370" s="683"/>
      <c r="I370" s="81"/>
      <c r="J370" s="81"/>
      <c r="K370" s="81"/>
      <c r="L370" s="81"/>
      <c r="M370" s="81"/>
      <c r="N370" s="681"/>
      <c r="O370" s="81"/>
      <c r="P370" s="81"/>
      <c r="Q370" s="81"/>
      <c r="R370" s="81"/>
      <c r="S370" s="81"/>
      <c r="T370" s="81"/>
      <c r="U370" s="81"/>
    </row>
    <row r="371" ht="14.25" customHeight="1" spans="1:21">
      <c r="A371" s="81"/>
      <c r="B371" s="81"/>
      <c r="C371" s="81"/>
      <c r="D371" s="681"/>
      <c r="E371" s="681"/>
      <c r="F371" s="81"/>
      <c r="G371" s="681"/>
      <c r="H371" s="683"/>
      <c r="I371" s="81"/>
      <c r="J371" s="81"/>
      <c r="K371" s="81"/>
      <c r="L371" s="81"/>
      <c r="M371" s="81"/>
      <c r="N371" s="681"/>
      <c r="O371" s="81"/>
      <c r="P371" s="81"/>
      <c r="Q371" s="81"/>
      <c r="R371" s="81"/>
      <c r="S371" s="81"/>
      <c r="T371" s="81"/>
      <c r="U371" s="81"/>
    </row>
    <row r="372" ht="14.25" customHeight="1" spans="1:21">
      <c r="A372" s="81"/>
      <c r="B372" s="81"/>
      <c r="C372" s="81"/>
      <c r="D372" s="681"/>
      <c r="E372" s="681"/>
      <c r="F372" s="81"/>
      <c r="G372" s="681"/>
      <c r="H372" s="683"/>
      <c r="I372" s="81"/>
      <c r="J372" s="81"/>
      <c r="K372" s="81"/>
      <c r="L372" s="81"/>
      <c r="M372" s="81"/>
      <c r="N372" s="681"/>
      <c r="O372" s="81"/>
      <c r="P372" s="81"/>
      <c r="Q372" s="81"/>
      <c r="R372" s="81"/>
      <c r="S372" s="81"/>
      <c r="T372" s="81"/>
      <c r="U372" s="81"/>
    </row>
    <row r="373" ht="14.25" customHeight="1" spans="1:21">
      <c r="A373" s="81"/>
      <c r="B373" s="81"/>
      <c r="C373" s="81"/>
      <c r="D373" s="681"/>
      <c r="E373" s="681"/>
      <c r="F373" s="81"/>
      <c r="G373" s="681"/>
      <c r="H373" s="683"/>
      <c r="I373" s="81"/>
      <c r="J373" s="81"/>
      <c r="K373" s="81"/>
      <c r="L373" s="81"/>
      <c r="M373" s="81"/>
      <c r="N373" s="681"/>
      <c r="O373" s="81"/>
      <c r="P373" s="81"/>
      <c r="Q373" s="81"/>
      <c r="R373" s="81"/>
      <c r="S373" s="81"/>
      <c r="T373" s="81"/>
      <c r="U373" s="81"/>
    </row>
    <row r="374" ht="14.25" customHeight="1" spans="1:21">
      <c r="A374" s="81"/>
      <c r="B374" s="81"/>
      <c r="C374" s="81"/>
      <c r="D374" s="681"/>
      <c r="E374" s="681"/>
      <c r="F374" s="81"/>
      <c r="G374" s="681"/>
      <c r="H374" s="683"/>
      <c r="I374" s="81"/>
      <c r="J374" s="81"/>
      <c r="K374" s="81"/>
      <c r="L374" s="81"/>
      <c r="M374" s="81"/>
      <c r="N374" s="681"/>
      <c r="O374" s="81"/>
      <c r="P374" s="81"/>
      <c r="Q374" s="81"/>
      <c r="R374" s="81"/>
      <c r="S374" s="81"/>
      <c r="T374" s="81"/>
      <c r="U374" s="81"/>
    </row>
    <row r="375" ht="14.25" customHeight="1" spans="1:21">
      <c r="A375" s="81"/>
      <c r="B375" s="81"/>
      <c r="C375" s="81"/>
      <c r="D375" s="681"/>
      <c r="E375" s="681"/>
      <c r="F375" s="81"/>
      <c r="G375" s="681"/>
      <c r="H375" s="683"/>
      <c r="I375" s="81"/>
      <c r="J375" s="81"/>
      <c r="K375" s="81"/>
      <c r="L375" s="81"/>
      <c r="M375" s="81"/>
      <c r="N375" s="681"/>
      <c r="O375" s="81"/>
      <c r="P375" s="81"/>
      <c r="Q375" s="81"/>
      <c r="R375" s="81"/>
      <c r="S375" s="81"/>
      <c r="T375" s="81"/>
      <c r="U375" s="81"/>
    </row>
    <row r="376" ht="14.25" customHeight="1" spans="1:21">
      <c r="A376" s="81"/>
      <c r="B376" s="81"/>
      <c r="C376" s="81"/>
      <c r="D376" s="681"/>
      <c r="E376" s="681"/>
      <c r="F376" s="81"/>
      <c r="G376" s="681"/>
      <c r="H376" s="683"/>
      <c r="I376" s="81"/>
      <c r="J376" s="81"/>
      <c r="K376" s="81"/>
      <c r="L376" s="81"/>
      <c r="M376" s="81"/>
      <c r="N376" s="681"/>
      <c r="O376" s="81"/>
      <c r="P376" s="81"/>
      <c r="Q376" s="81"/>
      <c r="R376" s="81"/>
      <c r="S376" s="81"/>
      <c r="T376" s="81"/>
      <c r="U376" s="81"/>
    </row>
    <row r="377" ht="14.25" customHeight="1" spans="1:21">
      <c r="A377" s="81"/>
      <c r="B377" s="81"/>
      <c r="C377" s="81"/>
      <c r="D377" s="681"/>
      <c r="E377" s="681"/>
      <c r="F377" s="81"/>
      <c r="G377" s="681"/>
      <c r="H377" s="683"/>
      <c r="I377" s="81"/>
      <c r="J377" s="81"/>
      <c r="K377" s="81"/>
      <c r="L377" s="81"/>
      <c r="M377" s="81"/>
      <c r="N377" s="681"/>
      <c r="O377" s="81"/>
      <c r="P377" s="81"/>
      <c r="Q377" s="81"/>
      <c r="R377" s="81"/>
      <c r="S377" s="81"/>
      <c r="T377" s="81"/>
      <c r="U377" s="81"/>
    </row>
    <row r="378" ht="14.25" customHeight="1" spans="1:21">
      <c r="A378" s="81"/>
      <c r="B378" s="81"/>
      <c r="C378" s="81"/>
      <c r="D378" s="681"/>
      <c r="E378" s="681"/>
      <c r="F378" s="81"/>
      <c r="G378" s="681"/>
      <c r="H378" s="683"/>
      <c r="I378" s="81"/>
      <c r="J378" s="81"/>
      <c r="K378" s="81"/>
      <c r="L378" s="81"/>
      <c r="M378" s="81"/>
      <c r="N378" s="681"/>
      <c r="O378" s="81"/>
      <c r="P378" s="81"/>
      <c r="Q378" s="81"/>
      <c r="R378" s="81"/>
      <c r="S378" s="81"/>
      <c r="T378" s="81"/>
      <c r="U378" s="81"/>
    </row>
    <row r="379" ht="14.25" customHeight="1" spans="1:21">
      <c r="A379" s="81"/>
      <c r="B379" s="81"/>
      <c r="C379" s="81"/>
      <c r="D379" s="681"/>
      <c r="E379" s="681"/>
      <c r="F379" s="81"/>
      <c r="G379" s="681"/>
      <c r="H379" s="683"/>
      <c r="I379" s="81"/>
      <c r="J379" s="81"/>
      <c r="K379" s="81"/>
      <c r="L379" s="81"/>
      <c r="M379" s="81"/>
      <c r="N379" s="681"/>
      <c r="O379" s="81"/>
      <c r="P379" s="81"/>
      <c r="Q379" s="81"/>
      <c r="R379" s="81"/>
      <c r="S379" s="81"/>
      <c r="T379" s="81"/>
      <c r="U379" s="81"/>
    </row>
    <row r="380" ht="14.25" customHeight="1" spans="1:21">
      <c r="A380" s="81"/>
      <c r="B380" s="81"/>
      <c r="C380" s="81"/>
      <c r="D380" s="681"/>
      <c r="E380" s="681"/>
      <c r="F380" s="81"/>
      <c r="G380" s="681"/>
      <c r="H380" s="683"/>
      <c r="I380" s="81"/>
      <c r="J380" s="81"/>
      <c r="K380" s="81"/>
      <c r="L380" s="81"/>
      <c r="M380" s="81"/>
      <c r="N380" s="681"/>
      <c r="O380" s="81"/>
      <c r="P380" s="81"/>
      <c r="Q380" s="81"/>
      <c r="R380" s="81"/>
      <c r="S380" s="81"/>
      <c r="T380" s="81"/>
      <c r="U380" s="81"/>
    </row>
    <row r="381" ht="14.25" customHeight="1" spans="1:21">
      <c r="A381" s="81"/>
      <c r="B381" s="81"/>
      <c r="C381" s="81"/>
      <c r="D381" s="681"/>
      <c r="E381" s="681"/>
      <c r="F381" s="81"/>
      <c r="G381" s="681"/>
      <c r="H381" s="683"/>
      <c r="I381" s="81"/>
      <c r="J381" s="81"/>
      <c r="K381" s="81"/>
      <c r="L381" s="81"/>
      <c r="M381" s="81"/>
      <c r="N381" s="681"/>
      <c r="O381" s="81"/>
      <c r="P381" s="81"/>
      <c r="Q381" s="81"/>
      <c r="R381" s="81"/>
      <c r="S381" s="81"/>
      <c r="T381" s="81"/>
      <c r="U381" s="81"/>
    </row>
    <row r="382" ht="14.25" customHeight="1" spans="1:21">
      <c r="A382" s="81"/>
      <c r="B382" s="81"/>
      <c r="C382" s="81"/>
      <c r="D382" s="681"/>
      <c r="E382" s="681"/>
      <c r="F382" s="81"/>
      <c r="G382" s="681"/>
      <c r="H382" s="683"/>
      <c r="I382" s="81"/>
      <c r="J382" s="81"/>
      <c r="K382" s="81"/>
      <c r="L382" s="81"/>
      <c r="M382" s="81"/>
      <c r="N382" s="681"/>
      <c r="O382" s="81"/>
      <c r="P382" s="81"/>
      <c r="Q382" s="81"/>
      <c r="R382" s="81"/>
      <c r="S382" s="81"/>
      <c r="T382" s="81"/>
      <c r="U382" s="81"/>
    </row>
    <row r="383" ht="14.25" customHeight="1" spans="1:21">
      <c r="A383" s="81"/>
      <c r="B383" s="81"/>
      <c r="C383" s="81"/>
      <c r="D383" s="681"/>
      <c r="E383" s="681"/>
      <c r="F383" s="81"/>
      <c r="G383" s="681"/>
      <c r="H383" s="683"/>
      <c r="I383" s="81"/>
      <c r="J383" s="81"/>
      <c r="K383" s="81"/>
      <c r="L383" s="81"/>
      <c r="M383" s="81"/>
      <c r="N383" s="681"/>
      <c r="O383" s="81"/>
      <c r="P383" s="81"/>
      <c r="Q383" s="81"/>
      <c r="R383" s="81"/>
      <c r="S383" s="81"/>
      <c r="T383" s="81"/>
      <c r="U383" s="81"/>
    </row>
    <row r="384" ht="14.25" customHeight="1" spans="1:21">
      <c r="A384" s="81"/>
      <c r="B384" s="81"/>
      <c r="C384" s="81"/>
      <c r="D384" s="681"/>
      <c r="E384" s="681"/>
      <c r="F384" s="81"/>
      <c r="G384" s="681"/>
      <c r="H384" s="683"/>
      <c r="I384" s="81"/>
      <c r="J384" s="81"/>
      <c r="K384" s="81"/>
      <c r="L384" s="81"/>
      <c r="M384" s="81"/>
      <c r="N384" s="681"/>
      <c r="O384" s="81"/>
      <c r="P384" s="81"/>
      <c r="Q384" s="81"/>
      <c r="R384" s="81"/>
      <c r="S384" s="81"/>
      <c r="T384" s="81"/>
      <c r="U384" s="81"/>
    </row>
    <row r="385" ht="14.25" customHeight="1" spans="1:21">
      <c r="A385" s="81"/>
      <c r="B385" s="81"/>
      <c r="C385" s="81"/>
      <c r="D385" s="681"/>
      <c r="E385" s="681"/>
      <c r="F385" s="81"/>
      <c r="G385" s="681"/>
      <c r="H385" s="683"/>
      <c r="I385" s="81"/>
      <c r="J385" s="81"/>
      <c r="K385" s="81"/>
      <c r="L385" s="81"/>
      <c r="M385" s="81"/>
      <c r="N385" s="681"/>
      <c r="O385" s="81"/>
      <c r="P385" s="81"/>
      <c r="Q385" s="81"/>
      <c r="R385" s="81"/>
      <c r="S385" s="81"/>
      <c r="T385" s="81"/>
      <c r="U385" s="81"/>
    </row>
    <row r="386" ht="14.25" customHeight="1" spans="1:21">
      <c r="A386" s="81"/>
      <c r="B386" s="81"/>
      <c r="C386" s="81"/>
      <c r="D386" s="681"/>
      <c r="E386" s="681"/>
      <c r="F386" s="81"/>
      <c r="G386" s="681"/>
      <c r="H386" s="683"/>
      <c r="I386" s="81"/>
      <c r="J386" s="81"/>
      <c r="K386" s="81"/>
      <c r="L386" s="81"/>
      <c r="M386" s="81"/>
      <c r="N386" s="681"/>
      <c r="O386" s="81"/>
      <c r="P386" s="81"/>
      <c r="Q386" s="81"/>
      <c r="R386" s="81"/>
      <c r="S386" s="81"/>
      <c r="T386" s="81"/>
      <c r="U386" s="81"/>
    </row>
    <row r="387" ht="14.25" customHeight="1" spans="1:21">
      <c r="A387" s="81"/>
      <c r="B387" s="81"/>
      <c r="C387" s="81"/>
      <c r="D387" s="681"/>
      <c r="E387" s="681"/>
      <c r="F387" s="81"/>
      <c r="G387" s="681"/>
      <c r="H387" s="683"/>
      <c r="I387" s="81"/>
      <c r="J387" s="81"/>
      <c r="K387" s="81"/>
      <c r="L387" s="81"/>
      <c r="M387" s="81"/>
      <c r="N387" s="681"/>
      <c r="O387" s="81"/>
      <c r="P387" s="81"/>
      <c r="Q387" s="81"/>
      <c r="R387" s="81"/>
      <c r="S387" s="81"/>
      <c r="T387" s="81"/>
      <c r="U387" s="81"/>
    </row>
    <row r="388" ht="14.25" customHeight="1" spans="1:21">
      <c r="A388" s="81"/>
      <c r="B388" s="81"/>
      <c r="C388" s="81"/>
      <c r="D388" s="681"/>
      <c r="E388" s="681"/>
      <c r="F388" s="81"/>
      <c r="G388" s="681"/>
      <c r="H388" s="683"/>
      <c r="I388" s="81"/>
      <c r="J388" s="81"/>
      <c r="K388" s="81"/>
      <c r="L388" s="81"/>
      <c r="M388" s="81"/>
      <c r="N388" s="681"/>
      <c r="O388" s="81"/>
      <c r="P388" s="81"/>
      <c r="Q388" s="81"/>
      <c r="R388" s="81"/>
      <c r="S388" s="81"/>
      <c r="T388" s="81"/>
      <c r="U388" s="81"/>
    </row>
    <row r="389" ht="14.25" customHeight="1" spans="1:21">
      <c r="A389" s="81"/>
      <c r="B389" s="81"/>
      <c r="C389" s="81"/>
      <c r="D389" s="681"/>
      <c r="E389" s="681"/>
      <c r="F389" s="81"/>
      <c r="G389" s="681"/>
      <c r="H389" s="683"/>
      <c r="I389" s="81"/>
      <c r="J389" s="81"/>
      <c r="K389" s="81"/>
      <c r="L389" s="81"/>
      <c r="M389" s="81"/>
      <c r="N389" s="681"/>
      <c r="O389" s="81"/>
      <c r="P389" s="81"/>
      <c r="Q389" s="81"/>
      <c r="R389" s="81"/>
      <c r="S389" s="81"/>
      <c r="T389" s="81"/>
      <c r="U389" s="81"/>
    </row>
    <row r="390" ht="14.25" customHeight="1" spans="1:21">
      <c r="A390" s="81"/>
      <c r="B390" s="81"/>
      <c r="C390" s="81"/>
      <c r="D390" s="681"/>
      <c r="E390" s="681"/>
      <c r="F390" s="81"/>
      <c r="G390" s="681"/>
      <c r="H390" s="683"/>
      <c r="I390" s="81"/>
      <c r="J390" s="81"/>
      <c r="K390" s="81"/>
      <c r="L390" s="81"/>
      <c r="M390" s="81"/>
      <c r="N390" s="681"/>
      <c r="O390" s="81"/>
      <c r="P390" s="81"/>
      <c r="Q390" s="81"/>
      <c r="R390" s="81"/>
      <c r="S390" s="81"/>
      <c r="T390" s="81"/>
      <c r="U390" s="81"/>
    </row>
    <row r="391" ht="14.25" customHeight="1" spans="1:21">
      <c r="A391" s="81"/>
      <c r="B391" s="81"/>
      <c r="C391" s="81"/>
      <c r="D391" s="681"/>
      <c r="E391" s="681"/>
      <c r="F391" s="81"/>
      <c r="G391" s="681"/>
      <c r="H391" s="683"/>
      <c r="I391" s="81"/>
      <c r="J391" s="81"/>
      <c r="K391" s="81"/>
      <c r="L391" s="81"/>
      <c r="M391" s="81"/>
      <c r="N391" s="681"/>
      <c r="O391" s="81"/>
      <c r="P391" s="81"/>
      <c r="Q391" s="81"/>
      <c r="R391" s="81"/>
      <c r="S391" s="81"/>
      <c r="T391" s="81"/>
      <c r="U391" s="81"/>
    </row>
    <row r="392" ht="14.25" customHeight="1" spans="1:21">
      <c r="A392" s="81"/>
      <c r="B392" s="81"/>
      <c r="C392" s="81"/>
      <c r="D392" s="681"/>
      <c r="E392" s="681"/>
      <c r="F392" s="81"/>
      <c r="G392" s="681"/>
      <c r="H392" s="683"/>
      <c r="I392" s="81"/>
      <c r="J392" s="81"/>
      <c r="K392" s="81"/>
      <c r="L392" s="81"/>
      <c r="M392" s="81"/>
      <c r="N392" s="681"/>
      <c r="O392" s="81"/>
      <c r="P392" s="81"/>
      <c r="Q392" s="81"/>
      <c r="R392" s="81"/>
      <c r="S392" s="81"/>
      <c r="T392" s="81"/>
      <c r="U392" s="81"/>
    </row>
    <row r="393" ht="14.25" customHeight="1" spans="1:21">
      <c r="A393" s="81"/>
      <c r="B393" s="81"/>
      <c r="C393" s="81"/>
      <c r="D393" s="681"/>
      <c r="E393" s="681"/>
      <c r="F393" s="81"/>
      <c r="G393" s="681"/>
      <c r="H393" s="683"/>
      <c r="I393" s="81"/>
      <c r="J393" s="81"/>
      <c r="K393" s="81"/>
      <c r="L393" s="81"/>
      <c r="M393" s="81"/>
      <c r="N393" s="681"/>
      <c r="O393" s="81"/>
      <c r="P393" s="81"/>
      <c r="Q393" s="81"/>
      <c r="R393" s="81"/>
      <c r="S393" s="81"/>
      <c r="T393" s="81"/>
      <c r="U393" s="81"/>
    </row>
    <row r="394" ht="14.25" customHeight="1" spans="1:21">
      <c r="A394" s="81"/>
      <c r="B394" s="81"/>
      <c r="C394" s="81"/>
      <c r="D394" s="681"/>
      <c r="E394" s="681"/>
      <c r="F394" s="81"/>
      <c r="G394" s="681"/>
      <c r="H394" s="683"/>
      <c r="I394" s="81"/>
      <c r="J394" s="81"/>
      <c r="K394" s="81"/>
      <c r="L394" s="81"/>
      <c r="M394" s="81"/>
      <c r="N394" s="681"/>
      <c r="O394" s="81"/>
      <c r="P394" s="81"/>
      <c r="Q394" s="81"/>
      <c r="R394" s="81"/>
      <c r="S394" s="81"/>
      <c r="T394" s="81"/>
      <c r="U394" s="81"/>
    </row>
    <row r="395" ht="14.25" customHeight="1" spans="1:21">
      <c r="A395" s="81"/>
      <c r="B395" s="81"/>
      <c r="C395" s="81"/>
      <c r="D395" s="681"/>
      <c r="E395" s="681"/>
      <c r="F395" s="81"/>
      <c r="G395" s="681"/>
      <c r="H395" s="683"/>
      <c r="I395" s="81"/>
      <c r="J395" s="81"/>
      <c r="K395" s="81"/>
      <c r="L395" s="81"/>
      <c r="M395" s="81"/>
      <c r="N395" s="681"/>
      <c r="O395" s="81"/>
      <c r="P395" s="81"/>
      <c r="Q395" s="81"/>
      <c r="R395" s="81"/>
      <c r="S395" s="81"/>
      <c r="T395" s="81"/>
      <c r="U395" s="81"/>
    </row>
    <row r="396" ht="14.25" customHeight="1" spans="1:21">
      <c r="A396" s="81"/>
      <c r="B396" s="81"/>
      <c r="C396" s="81"/>
      <c r="D396" s="681"/>
      <c r="E396" s="681"/>
      <c r="F396" s="81"/>
      <c r="G396" s="681"/>
      <c r="H396" s="683"/>
      <c r="I396" s="81"/>
      <c r="J396" s="81"/>
      <c r="K396" s="81"/>
      <c r="L396" s="81"/>
      <c r="M396" s="81"/>
      <c r="N396" s="681"/>
      <c r="O396" s="81"/>
      <c r="P396" s="81"/>
      <c r="Q396" s="81"/>
      <c r="R396" s="81"/>
      <c r="S396" s="81"/>
      <c r="T396" s="81"/>
      <c r="U396" s="81"/>
    </row>
    <row r="397" ht="14.25" customHeight="1" spans="1:21">
      <c r="A397" s="81"/>
      <c r="B397" s="81"/>
      <c r="C397" s="81"/>
      <c r="D397" s="681"/>
      <c r="E397" s="681"/>
      <c r="F397" s="81"/>
      <c r="G397" s="681"/>
      <c r="H397" s="683"/>
      <c r="I397" s="81"/>
      <c r="J397" s="81"/>
      <c r="K397" s="81"/>
      <c r="L397" s="81"/>
      <c r="M397" s="81"/>
      <c r="N397" s="681"/>
      <c r="O397" s="81"/>
      <c r="P397" s="81"/>
      <c r="Q397" s="81"/>
      <c r="R397" s="81"/>
      <c r="S397" s="81"/>
      <c r="T397" s="81"/>
      <c r="U397" s="81"/>
    </row>
    <row r="398" ht="14.25" customHeight="1" spans="1:21">
      <c r="A398" s="81"/>
      <c r="B398" s="81"/>
      <c r="C398" s="81"/>
      <c r="D398" s="681"/>
      <c r="E398" s="681"/>
      <c r="F398" s="81"/>
      <c r="G398" s="681"/>
      <c r="H398" s="683"/>
      <c r="I398" s="81"/>
      <c r="J398" s="81"/>
      <c r="K398" s="81"/>
      <c r="L398" s="81"/>
      <c r="M398" s="81"/>
      <c r="N398" s="681"/>
      <c r="O398" s="81"/>
      <c r="P398" s="81"/>
      <c r="Q398" s="81"/>
      <c r="R398" s="81"/>
      <c r="S398" s="81"/>
      <c r="T398" s="81"/>
      <c r="U398" s="81"/>
    </row>
    <row r="399" ht="14.25" customHeight="1" spans="1:21">
      <c r="A399" s="81"/>
      <c r="B399" s="81"/>
      <c r="C399" s="81"/>
      <c r="D399" s="681"/>
      <c r="E399" s="681"/>
      <c r="F399" s="81"/>
      <c r="G399" s="681"/>
      <c r="H399" s="683"/>
      <c r="I399" s="81"/>
      <c r="J399" s="81"/>
      <c r="K399" s="81"/>
      <c r="L399" s="81"/>
      <c r="M399" s="81"/>
      <c r="N399" s="681"/>
      <c r="O399" s="81"/>
      <c r="P399" s="81"/>
      <c r="Q399" s="81"/>
      <c r="R399" s="81"/>
      <c r="S399" s="81"/>
      <c r="T399" s="81"/>
      <c r="U399" s="81"/>
    </row>
    <row r="400" ht="14.25" customHeight="1" spans="1:21">
      <c r="A400" s="81"/>
      <c r="B400" s="81"/>
      <c r="C400" s="81"/>
      <c r="D400" s="681"/>
      <c r="E400" s="681"/>
      <c r="F400" s="81"/>
      <c r="G400" s="681"/>
      <c r="H400" s="683"/>
      <c r="I400" s="81"/>
      <c r="J400" s="81"/>
      <c r="K400" s="81"/>
      <c r="L400" s="81"/>
      <c r="M400" s="81"/>
      <c r="N400" s="681"/>
      <c r="O400" s="81"/>
      <c r="P400" s="81"/>
      <c r="Q400" s="81"/>
      <c r="R400" s="81"/>
      <c r="S400" s="81"/>
      <c r="T400" s="81"/>
      <c r="U400" s="81"/>
    </row>
    <row r="401" ht="14.25" customHeight="1" spans="1:21">
      <c r="A401" s="81"/>
      <c r="B401" s="81"/>
      <c r="C401" s="81"/>
      <c r="D401" s="681"/>
      <c r="E401" s="681"/>
      <c r="F401" s="81"/>
      <c r="G401" s="681"/>
      <c r="H401" s="683"/>
      <c r="I401" s="81"/>
      <c r="J401" s="81"/>
      <c r="K401" s="81"/>
      <c r="L401" s="81"/>
      <c r="M401" s="81"/>
      <c r="N401" s="681"/>
      <c r="O401" s="81"/>
      <c r="P401" s="81"/>
      <c r="Q401" s="81"/>
      <c r="R401" s="81"/>
      <c r="S401" s="81"/>
      <c r="T401" s="81"/>
      <c r="U401" s="81"/>
    </row>
    <row r="402" ht="14.25" customHeight="1" spans="1:21">
      <c r="A402" s="81"/>
      <c r="B402" s="81"/>
      <c r="C402" s="81"/>
      <c r="D402" s="681"/>
      <c r="E402" s="681"/>
      <c r="F402" s="81"/>
      <c r="G402" s="681"/>
      <c r="H402" s="683"/>
      <c r="I402" s="81"/>
      <c r="J402" s="81"/>
      <c r="K402" s="81"/>
      <c r="L402" s="81"/>
      <c r="M402" s="81"/>
      <c r="N402" s="681"/>
      <c r="O402" s="81"/>
      <c r="P402" s="81"/>
      <c r="Q402" s="81"/>
      <c r="R402" s="81"/>
      <c r="S402" s="81"/>
      <c r="T402" s="81"/>
      <c r="U402" s="81"/>
    </row>
    <row r="403" ht="14.25" customHeight="1" spans="1:21">
      <c r="A403" s="81"/>
      <c r="B403" s="81"/>
      <c r="C403" s="81"/>
      <c r="D403" s="681"/>
      <c r="E403" s="681"/>
      <c r="F403" s="81"/>
      <c r="G403" s="681"/>
      <c r="H403" s="683"/>
      <c r="I403" s="81"/>
      <c r="J403" s="81"/>
      <c r="K403" s="81"/>
      <c r="L403" s="81"/>
      <c r="M403" s="81"/>
      <c r="N403" s="681"/>
      <c r="O403" s="81"/>
      <c r="P403" s="81"/>
      <c r="Q403" s="81"/>
      <c r="R403" s="81"/>
      <c r="S403" s="81"/>
      <c r="T403" s="81"/>
      <c r="U403" s="81"/>
    </row>
    <row r="404" ht="14.25" customHeight="1" spans="1:21">
      <c r="A404" s="81"/>
      <c r="B404" s="81"/>
      <c r="C404" s="81"/>
      <c r="D404" s="681"/>
      <c r="E404" s="681"/>
      <c r="F404" s="81"/>
      <c r="G404" s="681"/>
      <c r="H404" s="683"/>
      <c r="I404" s="81"/>
      <c r="J404" s="81"/>
      <c r="K404" s="81"/>
      <c r="L404" s="81"/>
      <c r="M404" s="81"/>
      <c r="N404" s="681"/>
      <c r="O404" s="81"/>
      <c r="P404" s="81"/>
      <c r="Q404" s="81"/>
      <c r="R404" s="81"/>
      <c r="S404" s="81"/>
      <c r="T404" s="81"/>
      <c r="U404" s="81"/>
    </row>
    <row r="405" ht="14.25" customHeight="1" spans="1:21">
      <c r="A405" s="81"/>
      <c r="B405" s="81"/>
      <c r="C405" s="81"/>
      <c r="D405" s="681"/>
      <c r="E405" s="681"/>
      <c r="F405" s="81"/>
      <c r="G405" s="681"/>
      <c r="H405" s="683"/>
      <c r="I405" s="81"/>
      <c r="J405" s="81"/>
      <c r="K405" s="81"/>
      <c r="L405" s="81"/>
      <c r="M405" s="81"/>
      <c r="N405" s="681"/>
      <c r="O405" s="81"/>
      <c r="P405" s="81"/>
      <c r="Q405" s="81"/>
      <c r="R405" s="81"/>
      <c r="S405" s="81"/>
      <c r="T405" s="81"/>
      <c r="U405" s="81"/>
    </row>
    <row r="406" ht="14.25" customHeight="1" spans="1:21">
      <c r="A406" s="81"/>
      <c r="B406" s="81"/>
      <c r="C406" s="81"/>
      <c r="D406" s="681"/>
      <c r="E406" s="681"/>
      <c r="F406" s="81"/>
      <c r="G406" s="681"/>
      <c r="H406" s="683"/>
      <c r="I406" s="81"/>
      <c r="J406" s="81"/>
      <c r="K406" s="81"/>
      <c r="L406" s="81"/>
      <c r="M406" s="81"/>
      <c r="N406" s="681"/>
      <c r="O406" s="81"/>
      <c r="P406" s="81"/>
      <c r="Q406" s="81"/>
      <c r="R406" s="81"/>
      <c r="S406" s="81"/>
      <c r="T406" s="81"/>
      <c r="U406" s="81"/>
    </row>
    <row r="407" ht="14.25" customHeight="1" spans="1:21">
      <c r="A407" s="81"/>
      <c r="B407" s="81"/>
      <c r="C407" s="81"/>
      <c r="D407" s="681"/>
      <c r="E407" s="681"/>
      <c r="F407" s="81"/>
      <c r="G407" s="681"/>
      <c r="H407" s="683"/>
      <c r="I407" s="81"/>
      <c r="J407" s="81"/>
      <c r="K407" s="81"/>
      <c r="L407" s="81"/>
      <c r="M407" s="81"/>
      <c r="N407" s="681"/>
      <c r="O407" s="81"/>
      <c r="P407" s="81"/>
      <c r="Q407" s="81"/>
      <c r="R407" s="81"/>
      <c r="S407" s="81"/>
      <c r="T407" s="81"/>
      <c r="U407" s="81"/>
    </row>
    <row r="408" ht="14.25" customHeight="1" spans="1:21">
      <c r="A408" s="81"/>
      <c r="B408" s="81"/>
      <c r="C408" s="81"/>
      <c r="D408" s="681"/>
      <c r="E408" s="681"/>
      <c r="F408" s="81"/>
      <c r="G408" s="681"/>
      <c r="H408" s="683"/>
      <c r="I408" s="81"/>
      <c r="J408" s="81"/>
      <c r="K408" s="81"/>
      <c r="L408" s="81"/>
      <c r="M408" s="81"/>
      <c r="N408" s="681"/>
      <c r="O408" s="81"/>
      <c r="P408" s="81"/>
      <c r="Q408" s="81"/>
      <c r="R408" s="81"/>
      <c r="S408" s="81"/>
      <c r="T408" s="81"/>
      <c r="U408" s="81"/>
    </row>
    <row r="409" ht="14.25" customHeight="1" spans="1:21">
      <c r="A409" s="81"/>
      <c r="B409" s="81"/>
      <c r="C409" s="81"/>
      <c r="D409" s="681"/>
      <c r="E409" s="681"/>
      <c r="F409" s="81"/>
      <c r="G409" s="681"/>
      <c r="H409" s="683"/>
      <c r="I409" s="81"/>
      <c r="J409" s="81"/>
      <c r="K409" s="81"/>
      <c r="L409" s="81"/>
      <c r="M409" s="81"/>
      <c r="N409" s="681"/>
      <c r="O409" s="81"/>
      <c r="P409" s="81"/>
      <c r="Q409" s="81"/>
      <c r="R409" s="81"/>
      <c r="S409" s="81"/>
      <c r="T409" s="81"/>
      <c r="U409" s="81"/>
    </row>
    <row r="410" ht="14.25" customHeight="1" spans="1:21">
      <c r="A410" s="81"/>
      <c r="B410" s="81"/>
      <c r="C410" s="81"/>
      <c r="D410" s="681"/>
      <c r="E410" s="681"/>
      <c r="F410" s="81"/>
      <c r="G410" s="681"/>
      <c r="H410" s="683"/>
      <c r="I410" s="81"/>
      <c r="J410" s="81"/>
      <c r="K410" s="81"/>
      <c r="L410" s="81"/>
      <c r="M410" s="81"/>
      <c r="N410" s="681"/>
      <c r="O410" s="81"/>
      <c r="P410" s="81"/>
      <c r="Q410" s="81"/>
      <c r="R410" s="81"/>
      <c r="S410" s="81"/>
      <c r="T410" s="81"/>
      <c r="U410" s="81"/>
    </row>
    <row r="411" ht="14.25" customHeight="1" spans="1:21">
      <c r="A411" s="81"/>
      <c r="B411" s="81"/>
      <c r="C411" s="81"/>
      <c r="D411" s="681"/>
      <c r="E411" s="681"/>
      <c r="F411" s="81"/>
      <c r="G411" s="681"/>
      <c r="H411" s="683"/>
      <c r="I411" s="81"/>
      <c r="J411" s="81"/>
      <c r="K411" s="81"/>
      <c r="L411" s="81"/>
      <c r="M411" s="81"/>
      <c r="N411" s="681"/>
      <c r="O411" s="81"/>
      <c r="P411" s="81"/>
      <c r="Q411" s="81"/>
      <c r="R411" s="81"/>
      <c r="S411" s="81"/>
      <c r="T411" s="81"/>
      <c r="U411" s="81"/>
    </row>
    <row r="412" ht="14.25" customHeight="1" spans="1:21">
      <c r="A412" s="81"/>
      <c r="B412" s="81"/>
      <c r="C412" s="81"/>
      <c r="D412" s="681"/>
      <c r="E412" s="681"/>
      <c r="F412" s="81"/>
      <c r="G412" s="681"/>
      <c r="H412" s="683"/>
      <c r="I412" s="81"/>
      <c r="J412" s="81"/>
      <c r="K412" s="81"/>
      <c r="L412" s="81"/>
      <c r="M412" s="81"/>
      <c r="N412" s="681"/>
      <c r="O412" s="81"/>
      <c r="P412" s="81"/>
      <c r="Q412" s="81"/>
      <c r="R412" s="81"/>
      <c r="S412" s="81"/>
      <c r="T412" s="81"/>
      <c r="U412" s="81"/>
    </row>
    <row r="413" ht="14.25" customHeight="1" spans="1:21">
      <c r="A413" s="81"/>
      <c r="B413" s="81"/>
      <c r="C413" s="81"/>
      <c r="D413" s="681"/>
      <c r="E413" s="681"/>
      <c r="F413" s="81"/>
      <c r="G413" s="681"/>
      <c r="H413" s="683"/>
      <c r="I413" s="81"/>
      <c r="J413" s="81"/>
      <c r="K413" s="81"/>
      <c r="L413" s="81"/>
      <c r="M413" s="81"/>
      <c r="N413" s="681"/>
      <c r="O413" s="81"/>
      <c r="P413" s="81"/>
      <c r="Q413" s="81"/>
      <c r="R413" s="81"/>
      <c r="S413" s="81"/>
      <c r="T413" s="81"/>
      <c r="U413" s="81"/>
    </row>
    <row r="414" ht="14.25" customHeight="1" spans="1:21">
      <c r="A414" s="81"/>
      <c r="B414" s="81"/>
      <c r="C414" s="81"/>
      <c r="D414" s="681"/>
      <c r="E414" s="681"/>
      <c r="F414" s="81"/>
      <c r="G414" s="681"/>
      <c r="H414" s="683"/>
      <c r="I414" s="81"/>
      <c r="J414" s="81"/>
      <c r="K414" s="81"/>
      <c r="L414" s="81"/>
      <c r="M414" s="81"/>
      <c r="N414" s="681"/>
      <c r="O414" s="81"/>
      <c r="P414" s="81"/>
      <c r="Q414" s="81"/>
      <c r="R414" s="81"/>
      <c r="S414" s="81"/>
      <c r="T414" s="81"/>
      <c r="U414" s="81"/>
    </row>
    <row r="415" ht="14.25" customHeight="1" spans="1:21">
      <c r="A415" s="81"/>
      <c r="B415" s="81"/>
      <c r="C415" s="81"/>
      <c r="D415" s="681"/>
      <c r="E415" s="681"/>
      <c r="F415" s="81"/>
      <c r="G415" s="681"/>
      <c r="H415" s="683"/>
      <c r="I415" s="81"/>
      <c r="J415" s="81"/>
      <c r="K415" s="81"/>
      <c r="L415" s="81"/>
      <c r="M415" s="81"/>
      <c r="N415" s="681"/>
      <c r="O415" s="81"/>
      <c r="P415" s="81"/>
      <c r="Q415" s="81"/>
      <c r="R415" s="81"/>
      <c r="S415" s="81"/>
      <c r="T415" s="81"/>
      <c r="U415" s="81"/>
    </row>
    <row r="416" ht="14.25" customHeight="1" spans="1:21">
      <c r="A416" s="81"/>
      <c r="B416" s="81"/>
      <c r="C416" s="81"/>
      <c r="D416" s="681"/>
      <c r="E416" s="681"/>
      <c r="F416" s="81"/>
      <c r="G416" s="681"/>
      <c r="H416" s="683"/>
      <c r="I416" s="81"/>
      <c r="J416" s="81"/>
      <c r="K416" s="81"/>
      <c r="L416" s="81"/>
      <c r="M416" s="81"/>
      <c r="N416" s="681"/>
      <c r="O416" s="81"/>
      <c r="P416" s="81"/>
      <c r="Q416" s="81"/>
      <c r="R416" s="81"/>
      <c r="S416" s="81"/>
      <c r="T416" s="81"/>
      <c r="U416" s="81"/>
    </row>
    <row r="417" ht="14.25" customHeight="1" spans="1:21">
      <c r="A417" s="81"/>
      <c r="B417" s="81"/>
      <c r="C417" s="81"/>
      <c r="D417" s="681"/>
      <c r="E417" s="681"/>
      <c r="F417" s="81"/>
      <c r="G417" s="681"/>
      <c r="H417" s="683"/>
      <c r="I417" s="81"/>
      <c r="J417" s="81"/>
      <c r="K417" s="81"/>
      <c r="L417" s="81"/>
      <c r="M417" s="81"/>
      <c r="N417" s="681"/>
      <c r="O417" s="81"/>
      <c r="P417" s="81"/>
      <c r="Q417" s="81"/>
      <c r="R417" s="81"/>
      <c r="S417" s="81"/>
      <c r="T417" s="81"/>
      <c r="U417" s="81"/>
    </row>
    <row r="418" ht="14.25" customHeight="1" spans="1:21">
      <c r="A418" s="81"/>
      <c r="B418" s="81"/>
      <c r="C418" s="81"/>
      <c r="D418" s="681"/>
      <c r="E418" s="681"/>
      <c r="F418" s="81"/>
      <c r="G418" s="681"/>
      <c r="H418" s="683"/>
      <c r="I418" s="81"/>
      <c r="J418" s="81"/>
      <c r="K418" s="81"/>
      <c r="L418" s="81"/>
      <c r="M418" s="81"/>
      <c r="N418" s="681"/>
      <c r="O418" s="81"/>
      <c r="P418" s="81"/>
      <c r="Q418" s="81"/>
      <c r="R418" s="81"/>
      <c r="S418" s="81"/>
      <c r="T418" s="81"/>
      <c r="U418" s="81"/>
    </row>
    <row r="419" ht="14.25" customHeight="1" spans="1:21">
      <c r="A419" s="81"/>
      <c r="B419" s="81"/>
      <c r="C419" s="81"/>
      <c r="D419" s="681"/>
      <c r="E419" s="681"/>
      <c r="F419" s="81"/>
      <c r="G419" s="681"/>
      <c r="H419" s="683"/>
      <c r="I419" s="81"/>
      <c r="J419" s="81"/>
      <c r="K419" s="81"/>
      <c r="L419" s="81"/>
      <c r="M419" s="81"/>
      <c r="N419" s="681"/>
      <c r="O419" s="81"/>
      <c r="P419" s="81"/>
      <c r="Q419" s="81"/>
      <c r="R419" s="81"/>
      <c r="S419" s="81"/>
      <c r="T419" s="81"/>
      <c r="U419" s="81"/>
    </row>
    <row r="420" ht="14.25" customHeight="1" spans="1:21">
      <c r="A420" s="81"/>
      <c r="B420" s="81"/>
      <c r="C420" s="81"/>
      <c r="D420" s="681"/>
      <c r="E420" s="681"/>
      <c r="F420" s="81"/>
      <c r="G420" s="681"/>
      <c r="H420" s="683"/>
      <c r="I420" s="81"/>
      <c r="J420" s="81"/>
      <c r="K420" s="81"/>
      <c r="L420" s="81"/>
      <c r="M420" s="81"/>
      <c r="N420" s="681"/>
      <c r="O420" s="81"/>
      <c r="P420" s="81"/>
      <c r="Q420" s="81"/>
      <c r="R420" s="81"/>
      <c r="S420" s="81"/>
      <c r="T420" s="81"/>
      <c r="U420" s="81"/>
    </row>
    <row r="421" ht="14.25" customHeight="1" spans="1:21">
      <c r="A421" s="81"/>
      <c r="B421" s="81"/>
      <c r="C421" s="81"/>
      <c r="D421" s="681"/>
      <c r="E421" s="681"/>
      <c r="F421" s="81"/>
      <c r="G421" s="681"/>
      <c r="H421" s="683"/>
      <c r="I421" s="81"/>
      <c r="J421" s="81"/>
      <c r="K421" s="81"/>
      <c r="L421" s="81"/>
      <c r="M421" s="81"/>
      <c r="N421" s="681"/>
      <c r="O421" s="81"/>
      <c r="P421" s="81"/>
      <c r="Q421" s="81"/>
      <c r="R421" s="81"/>
      <c r="S421" s="81"/>
      <c r="T421" s="81"/>
      <c r="U421" s="81"/>
    </row>
    <row r="422" ht="14.25" customHeight="1" spans="1:21">
      <c r="A422" s="81"/>
      <c r="B422" s="81"/>
      <c r="C422" s="81"/>
      <c r="D422" s="681"/>
      <c r="E422" s="681"/>
      <c r="F422" s="81"/>
      <c r="G422" s="681"/>
      <c r="H422" s="683"/>
      <c r="I422" s="81"/>
      <c r="J422" s="81"/>
      <c r="K422" s="81"/>
      <c r="L422" s="81"/>
      <c r="M422" s="81"/>
      <c r="N422" s="681"/>
      <c r="O422" s="81"/>
      <c r="P422" s="81"/>
      <c r="Q422" s="81"/>
      <c r="R422" s="81"/>
      <c r="S422" s="81"/>
      <c r="T422" s="81"/>
      <c r="U422" s="81"/>
    </row>
    <row r="423" ht="14.25" customHeight="1" spans="1:21">
      <c r="A423" s="81"/>
      <c r="B423" s="81"/>
      <c r="C423" s="81"/>
      <c r="D423" s="681"/>
      <c r="E423" s="681"/>
      <c r="F423" s="81"/>
      <c r="G423" s="681"/>
      <c r="H423" s="683"/>
      <c r="I423" s="81"/>
      <c r="J423" s="81"/>
      <c r="K423" s="81"/>
      <c r="L423" s="81"/>
      <c r="M423" s="81"/>
      <c r="N423" s="681"/>
      <c r="O423" s="81"/>
      <c r="P423" s="81"/>
      <c r="Q423" s="81"/>
      <c r="R423" s="81"/>
      <c r="S423" s="81"/>
      <c r="T423" s="81"/>
      <c r="U423" s="81"/>
    </row>
    <row r="424" ht="14.25" customHeight="1" spans="1:21">
      <c r="A424" s="81"/>
      <c r="B424" s="81"/>
      <c r="C424" s="81"/>
      <c r="D424" s="681"/>
      <c r="E424" s="681"/>
      <c r="F424" s="81"/>
      <c r="G424" s="681"/>
      <c r="H424" s="683"/>
      <c r="I424" s="81"/>
      <c r="J424" s="81"/>
      <c r="K424" s="81"/>
      <c r="L424" s="81"/>
      <c r="M424" s="81"/>
      <c r="N424" s="681"/>
      <c r="O424" s="81"/>
      <c r="P424" s="81"/>
      <c r="Q424" s="81"/>
      <c r="R424" s="81"/>
      <c r="S424" s="81"/>
      <c r="T424" s="81"/>
      <c r="U424" s="81"/>
    </row>
    <row r="425" ht="14.25" customHeight="1" spans="1:21">
      <c r="A425" s="81"/>
      <c r="B425" s="81"/>
      <c r="C425" s="81"/>
      <c r="D425" s="681"/>
      <c r="E425" s="681"/>
      <c r="F425" s="81"/>
      <c r="G425" s="681"/>
      <c r="H425" s="683"/>
      <c r="I425" s="81"/>
      <c r="J425" s="81"/>
      <c r="K425" s="81"/>
      <c r="L425" s="81"/>
      <c r="M425" s="81"/>
      <c r="N425" s="681"/>
      <c r="O425" s="81"/>
      <c r="P425" s="81"/>
      <c r="Q425" s="81"/>
      <c r="R425" s="81"/>
      <c r="S425" s="81"/>
      <c r="T425" s="81"/>
      <c r="U425" s="81"/>
    </row>
    <row r="426" ht="14.25" customHeight="1" spans="1:21">
      <c r="A426" s="81"/>
      <c r="B426" s="81"/>
      <c r="C426" s="81"/>
      <c r="D426" s="681"/>
      <c r="E426" s="681"/>
      <c r="F426" s="81"/>
      <c r="G426" s="681"/>
      <c r="H426" s="683"/>
      <c r="I426" s="81"/>
      <c r="J426" s="81"/>
      <c r="K426" s="81"/>
      <c r="L426" s="81"/>
      <c r="M426" s="81"/>
      <c r="N426" s="681"/>
      <c r="O426" s="81"/>
      <c r="P426" s="81"/>
      <c r="Q426" s="81"/>
      <c r="R426" s="81"/>
      <c r="S426" s="81"/>
      <c r="T426" s="81"/>
      <c r="U426" s="81"/>
    </row>
    <row r="427" ht="14.25" customHeight="1" spans="1:21">
      <c r="A427" s="81"/>
      <c r="B427" s="81"/>
      <c r="C427" s="81"/>
      <c r="D427" s="681"/>
      <c r="E427" s="681"/>
      <c r="F427" s="81"/>
      <c r="G427" s="681"/>
      <c r="H427" s="683"/>
      <c r="I427" s="81"/>
      <c r="J427" s="81"/>
      <c r="K427" s="81"/>
      <c r="L427" s="81"/>
      <c r="M427" s="81"/>
      <c r="N427" s="681"/>
      <c r="O427" s="81"/>
      <c r="P427" s="81"/>
      <c r="Q427" s="81"/>
      <c r="R427" s="81"/>
      <c r="S427" s="81"/>
      <c r="T427" s="81"/>
      <c r="U427" s="81"/>
    </row>
    <row r="428" ht="14.25" customHeight="1" spans="1:21">
      <c r="A428" s="81"/>
      <c r="B428" s="81"/>
      <c r="C428" s="81"/>
      <c r="D428" s="681"/>
      <c r="E428" s="681"/>
      <c r="F428" s="81"/>
      <c r="G428" s="681"/>
      <c r="H428" s="683"/>
      <c r="I428" s="81"/>
      <c r="J428" s="81"/>
      <c r="K428" s="81"/>
      <c r="L428" s="81"/>
      <c r="M428" s="81"/>
      <c r="N428" s="681"/>
      <c r="O428" s="81"/>
      <c r="P428" s="81"/>
      <c r="Q428" s="81"/>
      <c r="R428" s="81"/>
      <c r="S428" s="81"/>
      <c r="T428" s="81"/>
      <c r="U428" s="81"/>
    </row>
    <row r="429" ht="14.25" customHeight="1" spans="1:21">
      <c r="A429" s="81"/>
      <c r="B429" s="81"/>
      <c r="C429" s="81"/>
      <c r="D429" s="681"/>
      <c r="E429" s="681"/>
      <c r="F429" s="81"/>
      <c r="G429" s="681"/>
      <c r="H429" s="683"/>
      <c r="I429" s="81"/>
      <c r="J429" s="81"/>
      <c r="K429" s="81"/>
      <c r="L429" s="81"/>
      <c r="M429" s="81"/>
      <c r="N429" s="681"/>
      <c r="O429" s="81"/>
      <c r="P429" s="81"/>
      <c r="Q429" s="81"/>
      <c r="R429" s="81"/>
      <c r="S429" s="81"/>
      <c r="T429" s="81"/>
      <c r="U429" s="81"/>
    </row>
    <row r="430" ht="14.25" customHeight="1" spans="1:21">
      <c r="A430" s="81"/>
      <c r="B430" s="81"/>
      <c r="C430" s="81"/>
      <c r="D430" s="681"/>
      <c r="E430" s="681"/>
      <c r="F430" s="81"/>
      <c r="G430" s="681"/>
      <c r="H430" s="683"/>
      <c r="I430" s="81"/>
      <c r="J430" s="81"/>
      <c r="K430" s="81"/>
      <c r="L430" s="81"/>
      <c r="M430" s="81"/>
      <c r="N430" s="681"/>
      <c r="O430" s="81"/>
      <c r="P430" s="81"/>
      <c r="Q430" s="81"/>
      <c r="R430" s="81"/>
      <c r="S430" s="81"/>
      <c r="T430" s="81"/>
      <c r="U430" s="81"/>
    </row>
    <row r="431" ht="14.25" customHeight="1" spans="1:21">
      <c r="A431" s="81"/>
      <c r="B431" s="81"/>
      <c r="C431" s="81"/>
      <c r="D431" s="681"/>
      <c r="E431" s="681"/>
      <c r="F431" s="81"/>
      <c r="G431" s="681"/>
      <c r="H431" s="683"/>
      <c r="I431" s="81"/>
      <c r="J431" s="81"/>
      <c r="K431" s="81"/>
      <c r="L431" s="81"/>
      <c r="M431" s="81"/>
      <c r="N431" s="681"/>
      <c r="O431" s="81"/>
      <c r="P431" s="81"/>
      <c r="Q431" s="81"/>
      <c r="R431" s="81"/>
      <c r="S431" s="81"/>
      <c r="T431" s="81"/>
      <c r="U431" s="81"/>
    </row>
    <row r="432" ht="14.25" customHeight="1" spans="1:21">
      <c r="A432" s="81"/>
      <c r="B432" s="81"/>
      <c r="C432" s="81"/>
      <c r="D432" s="681"/>
      <c r="E432" s="681"/>
      <c r="F432" s="81"/>
      <c r="G432" s="681"/>
      <c r="H432" s="683"/>
      <c r="I432" s="81"/>
      <c r="J432" s="81"/>
      <c r="K432" s="81"/>
      <c r="L432" s="81"/>
      <c r="M432" s="81"/>
      <c r="N432" s="681"/>
      <c r="O432" s="81"/>
      <c r="P432" s="81"/>
      <c r="Q432" s="81"/>
      <c r="R432" s="81"/>
      <c r="S432" s="81"/>
      <c r="T432" s="81"/>
      <c r="U432" s="81"/>
    </row>
    <row r="433" ht="14.25" customHeight="1" spans="1:21">
      <c r="A433" s="81"/>
      <c r="B433" s="81"/>
      <c r="C433" s="81"/>
      <c r="D433" s="681"/>
      <c r="E433" s="681"/>
      <c r="F433" s="81"/>
      <c r="G433" s="681"/>
      <c r="H433" s="683"/>
      <c r="I433" s="81"/>
      <c r="J433" s="81"/>
      <c r="K433" s="81"/>
      <c r="L433" s="81"/>
      <c r="M433" s="81"/>
      <c r="N433" s="681"/>
      <c r="O433" s="81"/>
      <c r="P433" s="81"/>
      <c r="Q433" s="81"/>
      <c r="R433" s="81"/>
      <c r="S433" s="81"/>
      <c r="T433" s="81"/>
      <c r="U433" s="81"/>
    </row>
    <row r="434" ht="14.25" customHeight="1" spans="1:21">
      <c r="A434" s="81"/>
      <c r="B434" s="81"/>
      <c r="C434" s="81"/>
      <c r="D434" s="681"/>
      <c r="E434" s="681"/>
      <c r="F434" s="81"/>
      <c r="G434" s="681"/>
      <c r="H434" s="683"/>
      <c r="I434" s="81"/>
      <c r="J434" s="81"/>
      <c r="K434" s="81"/>
      <c r="L434" s="81"/>
      <c r="M434" s="81"/>
      <c r="N434" s="681"/>
      <c r="O434" s="81"/>
      <c r="P434" s="81"/>
      <c r="Q434" s="81"/>
      <c r="R434" s="81"/>
      <c r="S434" s="81"/>
      <c r="T434" s="81"/>
      <c r="U434" s="81"/>
    </row>
    <row r="435" ht="14.25" customHeight="1" spans="1:21">
      <c r="A435" s="81"/>
      <c r="B435" s="81"/>
      <c r="C435" s="81"/>
      <c r="D435" s="681"/>
      <c r="E435" s="681"/>
      <c r="F435" s="81"/>
      <c r="G435" s="681"/>
      <c r="H435" s="683"/>
      <c r="I435" s="81"/>
      <c r="J435" s="81"/>
      <c r="K435" s="81"/>
      <c r="L435" s="81"/>
      <c r="M435" s="81"/>
      <c r="N435" s="681"/>
      <c r="O435" s="81"/>
      <c r="P435" s="81"/>
      <c r="Q435" s="81"/>
      <c r="R435" s="81"/>
      <c r="S435" s="81"/>
      <c r="T435" s="81"/>
      <c r="U435" s="81"/>
    </row>
    <row r="436" ht="14.25" customHeight="1" spans="1:21">
      <c r="A436" s="81"/>
      <c r="B436" s="81"/>
      <c r="C436" s="81"/>
      <c r="D436" s="681"/>
      <c r="E436" s="681"/>
      <c r="F436" s="81"/>
      <c r="G436" s="681"/>
      <c r="H436" s="683"/>
      <c r="I436" s="81"/>
      <c r="J436" s="81"/>
      <c r="K436" s="81"/>
      <c r="L436" s="81"/>
      <c r="M436" s="81"/>
      <c r="N436" s="681"/>
      <c r="O436" s="81"/>
      <c r="P436" s="81"/>
      <c r="Q436" s="81"/>
      <c r="R436" s="81"/>
      <c r="S436" s="81"/>
      <c r="T436" s="81"/>
      <c r="U436" s="81"/>
    </row>
    <row r="437" ht="14.25" customHeight="1" spans="1:21">
      <c r="A437" s="81"/>
      <c r="B437" s="81"/>
      <c r="C437" s="81"/>
      <c r="D437" s="681"/>
      <c r="E437" s="681"/>
      <c r="F437" s="81"/>
      <c r="G437" s="681"/>
      <c r="H437" s="683"/>
      <c r="I437" s="81"/>
      <c r="J437" s="81"/>
      <c r="K437" s="81"/>
      <c r="L437" s="81"/>
      <c r="M437" s="81"/>
      <c r="N437" s="681"/>
      <c r="O437" s="81"/>
      <c r="P437" s="81"/>
      <c r="Q437" s="81"/>
      <c r="R437" s="81"/>
      <c r="S437" s="81"/>
      <c r="T437" s="81"/>
      <c r="U437" s="81"/>
    </row>
    <row r="438" ht="14.25" customHeight="1" spans="1:21">
      <c r="A438" s="81"/>
      <c r="B438" s="81"/>
      <c r="C438" s="81"/>
      <c r="D438" s="681"/>
      <c r="E438" s="681"/>
      <c r="F438" s="81"/>
      <c r="G438" s="681"/>
      <c r="H438" s="683"/>
      <c r="I438" s="81"/>
      <c r="J438" s="81"/>
      <c r="K438" s="81"/>
      <c r="L438" s="81"/>
      <c r="M438" s="81"/>
      <c r="N438" s="681"/>
      <c r="O438" s="81"/>
      <c r="P438" s="81"/>
      <c r="Q438" s="81"/>
      <c r="R438" s="81"/>
      <c r="S438" s="81"/>
      <c r="T438" s="81"/>
      <c r="U438" s="81"/>
    </row>
    <row r="439" ht="14.25" customHeight="1" spans="1:21">
      <c r="A439" s="81"/>
      <c r="B439" s="81"/>
      <c r="C439" s="81"/>
      <c r="D439" s="681"/>
      <c r="E439" s="681"/>
      <c r="F439" s="81"/>
      <c r="G439" s="681"/>
      <c r="H439" s="683"/>
      <c r="I439" s="81"/>
      <c r="J439" s="81"/>
      <c r="K439" s="81"/>
      <c r="L439" s="81"/>
      <c r="M439" s="81"/>
      <c r="N439" s="681"/>
      <c r="O439" s="81"/>
      <c r="P439" s="81"/>
      <c r="Q439" s="81"/>
      <c r="R439" s="81"/>
      <c r="S439" s="81"/>
      <c r="T439" s="81"/>
      <c r="U439" s="81"/>
    </row>
    <row r="440" ht="14.25" customHeight="1" spans="1:21">
      <c r="A440" s="81"/>
      <c r="B440" s="81"/>
      <c r="C440" s="81"/>
      <c r="D440" s="681"/>
      <c r="E440" s="681"/>
      <c r="F440" s="81"/>
      <c r="G440" s="681"/>
      <c r="H440" s="683"/>
      <c r="I440" s="81"/>
      <c r="J440" s="81"/>
      <c r="K440" s="81"/>
      <c r="L440" s="81"/>
      <c r="M440" s="81"/>
      <c r="N440" s="681"/>
      <c r="O440" s="81"/>
      <c r="P440" s="81"/>
      <c r="Q440" s="81"/>
      <c r="R440" s="81"/>
      <c r="S440" s="81"/>
      <c r="T440" s="81"/>
      <c r="U440" s="81"/>
    </row>
    <row r="441" ht="14.25" customHeight="1" spans="1:21">
      <c r="A441" s="81"/>
      <c r="B441" s="81"/>
      <c r="C441" s="81"/>
      <c r="D441" s="681"/>
      <c r="E441" s="681"/>
      <c r="F441" s="81"/>
      <c r="G441" s="681"/>
      <c r="H441" s="683"/>
      <c r="I441" s="81"/>
      <c r="J441" s="81"/>
      <c r="K441" s="81"/>
      <c r="L441" s="81"/>
      <c r="M441" s="81"/>
      <c r="N441" s="681"/>
      <c r="O441" s="81"/>
      <c r="P441" s="81"/>
      <c r="Q441" s="81"/>
      <c r="R441" s="81"/>
      <c r="S441" s="81"/>
      <c r="T441" s="81"/>
      <c r="U441" s="81"/>
    </row>
    <row r="442" ht="14.25" customHeight="1" spans="1:21">
      <c r="A442" s="81"/>
      <c r="B442" s="81"/>
      <c r="C442" s="81"/>
      <c r="D442" s="681"/>
      <c r="E442" s="681"/>
      <c r="F442" s="81"/>
      <c r="G442" s="681"/>
      <c r="H442" s="683"/>
      <c r="I442" s="81"/>
      <c r="J442" s="81"/>
      <c r="K442" s="81"/>
      <c r="L442" s="81"/>
      <c r="M442" s="81"/>
      <c r="N442" s="681"/>
      <c r="O442" s="81"/>
      <c r="P442" s="81"/>
      <c r="Q442" s="81"/>
      <c r="R442" s="81"/>
      <c r="S442" s="81"/>
      <c r="T442" s="81"/>
      <c r="U442" s="81"/>
    </row>
    <row r="443" ht="14.25" customHeight="1" spans="1:21">
      <c r="A443" s="81"/>
      <c r="B443" s="81"/>
      <c r="C443" s="81"/>
      <c r="D443" s="681"/>
      <c r="E443" s="681"/>
      <c r="F443" s="81"/>
      <c r="G443" s="681"/>
      <c r="H443" s="683"/>
      <c r="I443" s="81"/>
      <c r="J443" s="81"/>
      <c r="K443" s="81"/>
      <c r="L443" s="81"/>
      <c r="M443" s="81"/>
      <c r="N443" s="681"/>
      <c r="O443" s="81"/>
      <c r="P443" s="81"/>
      <c r="Q443" s="81"/>
      <c r="R443" s="81"/>
      <c r="S443" s="81"/>
      <c r="T443" s="81"/>
      <c r="U443" s="81"/>
    </row>
    <row r="444" ht="14.25" customHeight="1" spans="1:21">
      <c r="A444" s="81"/>
      <c r="B444" s="81"/>
      <c r="C444" s="81"/>
      <c r="D444" s="681"/>
      <c r="E444" s="681"/>
      <c r="F444" s="81"/>
      <c r="G444" s="681"/>
      <c r="H444" s="683"/>
      <c r="I444" s="81"/>
      <c r="J444" s="81"/>
      <c r="K444" s="81"/>
      <c r="L444" s="81"/>
      <c r="M444" s="81"/>
      <c r="N444" s="681"/>
      <c r="O444" s="81"/>
      <c r="P444" s="81"/>
      <c r="Q444" s="81"/>
      <c r="R444" s="81"/>
      <c r="S444" s="81"/>
      <c r="T444" s="81"/>
      <c r="U444" s="81"/>
    </row>
    <row r="445" ht="14.25" customHeight="1" spans="1:21">
      <c r="A445" s="81"/>
      <c r="B445" s="81"/>
      <c r="C445" s="81"/>
      <c r="D445" s="681"/>
      <c r="E445" s="681"/>
      <c r="F445" s="81"/>
      <c r="G445" s="681"/>
      <c r="H445" s="683"/>
      <c r="I445" s="81"/>
      <c r="J445" s="81"/>
      <c r="K445" s="81"/>
      <c r="L445" s="81"/>
      <c r="M445" s="81"/>
      <c r="N445" s="681"/>
      <c r="O445" s="81"/>
      <c r="P445" s="81"/>
      <c r="Q445" s="81"/>
      <c r="R445" s="81"/>
      <c r="S445" s="81"/>
      <c r="T445" s="81"/>
      <c r="U445" s="81"/>
    </row>
    <row r="446" ht="14.25" customHeight="1" spans="1:21">
      <c r="A446" s="81"/>
      <c r="B446" s="81"/>
      <c r="C446" s="81"/>
      <c r="D446" s="681"/>
      <c r="E446" s="681"/>
      <c r="F446" s="81"/>
      <c r="G446" s="681"/>
      <c r="H446" s="683"/>
      <c r="I446" s="81"/>
      <c r="J446" s="81"/>
      <c r="K446" s="81"/>
      <c r="L446" s="81"/>
      <c r="M446" s="81"/>
      <c r="N446" s="681"/>
      <c r="O446" s="81"/>
      <c r="P446" s="81"/>
      <c r="Q446" s="81"/>
      <c r="R446" s="81"/>
      <c r="S446" s="81"/>
      <c r="T446" s="81"/>
      <c r="U446" s="81"/>
    </row>
    <row r="447" ht="14.25" customHeight="1" spans="1:21">
      <c r="A447" s="81"/>
      <c r="B447" s="81"/>
      <c r="C447" s="81"/>
      <c r="D447" s="681"/>
      <c r="E447" s="681"/>
      <c r="F447" s="81"/>
      <c r="G447" s="681"/>
      <c r="H447" s="683"/>
      <c r="I447" s="81"/>
      <c r="J447" s="81"/>
      <c r="K447" s="81"/>
      <c r="L447" s="81"/>
      <c r="M447" s="81"/>
      <c r="N447" s="681"/>
      <c r="O447" s="81"/>
      <c r="P447" s="81"/>
      <c r="Q447" s="81"/>
      <c r="R447" s="81"/>
      <c r="S447" s="81"/>
      <c r="T447" s="81"/>
      <c r="U447" s="81"/>
    </row>
    <row r="448" ht="14.25" customHeight="1" spans="1:21">
      <c r="A448" s="81"/>
      <c r="B448" s="81"/>
      <c r="C448" s="81"/>
      <c r="D448" s="681"/>
      <c r="E448" s="681"/>
      <c r="F448" s="81"/>
      <c r="G448" s="681"/>
      <c r="H448" s="683"/>
      <c r="I448" s="81"/>
      <c r="J448" s="81"/>
      <c r="K448" s="81"/>
      <c r="L448" s="81"/>
      <c r="M448" s="81"/>
      <c r="N448" s="681"/>
      <c r="O448" s="81"/>
      <c r="P448" s="81"/>
      <c r="Q448" s="81"/>
      <c r="R448" s="81"/>
      <c r="S448" s="81"/>
      <c r="T448" s="81"/>
      <c r="U448" s="81"/>
    </row>
    <row r="449" ht="14.25" customHeight="1" spans="1:21">
      <c r="A449" s="81"/>
      <c r="B449" s="81"/>
      <c r="C449" s="81"/>
      <c r="D449" s="681"/>
      <c r="E449" s="681"/>
      <c r="F449" s="81"/>
      <c r="G449" s="681"/>
      <c r="H449" s="683"/>
      <c r="I449" s="81"/>
      <c r="J449" s="81"/>
      <c r="K449" s="81"/>
      <c r="L449" s="81"/>
      <c r="M449" s="81"/>
      <c r="N449" s="681"/>
      <c r="O449" s="81"/>
      <c r="P449" s="81"/>
      <c r="Q449" s="81"/>
      <c r="R449" s="81"/>
      <c r="S449" s="81"/>
      <c r="T449" s="81"/>
      <c r="U449" s="81"/>
    </row>
    <row r="450" ht="14.25" customHeight="1" spans="1:21">
      <c r="A450" s="81"/>
      <c r="B450" s="81"/>
      <c r="C450" s="81"/>
      <c r="D450" s="681"/>
      <c r="E450" s="681"/>
      <c r="F450" s="81"/>
      <c r="G450" s="681"/>
      <c r="H450" s="683"/>
      <c r="I450" s="81"/>
      <c r="J450" s="81"/>
      <c r="K450" s="81"/>
      <c r="L450" s="81"/>
      <c r="M450" s="81"/>
      <c r="N450" s="681"/>
      <c r="O450" s="81"/>
      <c r="P450" s="81"/>
      <c r="Q450" s="81"/>
      <c r="R450" s="81"/>
      <c r="S450" s="81"/>
      <c r="T450" s="81"/>
      <c r="U450" s="81"/>
    </row>
    <row r="451" ht="14.25" customHeight="1" spans="1:21">
      <c r="A451" s="81"/>
      <c r="B451" s="81"/>
      <c r="C451" s="81"/>
      <c r="D451" s="681"/>
      <c r="E451" s="681"/>
      <c r="F451" s="81"/>
      <c r="G451" s="681"/>
      <c r="H451" s="683"/>
      <c r="I451" s="81"/>
      <c r="J451" s="81"/>
      <c r="K451" s="81"/>
      <c r="L451" s="81"/>
      <c r="M451" s="81"/>
      <c r="N451" s="681"/>
      <c r="O451" s="81"/>
      <c r="P451" s="81"/>
      <c r="Q451" s="81"/>
      <c r="R451" s="81"/>
      <c r="S451" s="81"/>
      <c r="T451" s="81"/>
      <c r="U451" s="81"/>
    </row>
    <row r="452" ht="14.25" customHeight="1" spans="1:21">
      <c r="A452" s="81"/>
      <c r="B452" s="81"/>
      <c r="C452" s="81"/>
      <c r="D452" s="681"/>
      <c r="E452" s="681"/>
      <c r="F452" s="81"/>
      <c r="G452" s="681"/>
      <c r="H452" s="683"/>
      <c r="I452" s="81"/>
      <c r="J452" s="81"/>
      <c r="K452" s="81"/>
      <c r="L452" s="81"/>
      <c r="M452" s="81"/>
      <c r="N452" s="681"/>
      <c r="O452" s="81"/>
      <c r="P452" s="81"/>
      <c r="Q452" s="81"/>
      <c r="R452" s="81"/>
      <c r="S452" s="81"/>
      <c r="T452" s="81"/>
      <c r="U452" s="81"/>
    </row>
    <row r="453" ht="14.25" customHeight="1" spans="1:21">
      <c r="A453" s="81"/>
      <c r="B453" s="81"/>
      <c r="C453" s="81"/>
      <c r="D453" s="681"/>
      <c r="E453" s="681"/>
      <c r="F453" s="81"/>
      <c r="G453" s="681"/>
      <c r="H453" s="683"/>
      <c r="I453" s="81"/>
      <c r="J453" s="81"/>
      <c r="K453" s="81"/>
      <c r="L453" s="81"/>
      <c r="M453" s="81"/>
      <c r="N453" s="681"/>
      <c r="O453" s="81"/>
      <c r="P453" s="81"/>
      <c r="Q453" s="81"/>
      <c r="R453" s="81"/>
      <c r="S453" s="81"/>
      <c r="T453" s="81"/>
      <c r="U453" s="81"/>
    </row>
    <row r="454" ht="14.25" customHeight="1" spans="1:21">
      <c r="A454" s="81"/>
      <c r="B454" s="81"/>
      <c r="C454" s="81"/>
      <c r="D454" s="681"/>
      <c r="E454" s="681"/>
      <c r="F454" s="81"/>
      <c r="G454" s="681"/>
      <c r="H454" s="683"/>
      <c r="I454" s="81"/>
      <c r="J454" s="81"/>
      <c r="K454" s="81"/>
      <c r="L454" s="81"/>
      <c r="M454" s="81"/>
      <c r="N454" s="681"/>
      <c r="O454" s="81"/>
      <c r="P454" s="81"/>
      <c r="Q454" s="81"/>
      <c r="R454" s="81"/>
      <c r="S454" s="81"/>
      <c r="T454" s="81"/>
      <c r="U454" s="81"/>
    </row>
    <row r="455" ht="14.25" customHeight="1" spans="1:21">
      <c r="A455" s="81"/>
      <c r="B455" s="81"/>
      <c r="C455" s="81"/>
      <c r="D455" s="681"/>
      <c r="E455" s="681"/>
      <c r="F455" s="81"/>
      <c r="G455" s="681"/>
      <c r="H455" s="683"/>
      <c r="I455" s="81"/>
      <c r="J455" s="81"/>
      <c r="K455" s="81"/>
      <c r="L455" s="81"/>
      <c r="M455" s="81"/>
      <c r="N455" s="681"/>
      <c r="O455" s="81"/>
      <c r="P455" s="81"/>
      <c r="Q455" s="81"/>
      <c r="R455" s="81"/>
      <c r="S455" s="81"/>
      <c r="T455" s="81"/>
      <c r="U455" s="81"/>
    </row>
    <row r="456" ht="14.25" customHeight="1" spans="1:21">
      <c r="A456" s="81"/>
      <c r="B456" s="81"/>
      <c r="C456" s="81"/>
      <c r="D456" s="681"/>
      <c r="E456" s="681"/>
      <c r="F456" s="81"/>
      <c r="G456" s="681"/>
      <c r="H456" s="683"/>
      <c r="I456" s="81"/>
      <c r="J456" s="81"/>
      <c r="K456" s="81"/>
      <c r="L456" s="81"/>
      <c r="M456" s="81"/>
      <c r="N456" s="681"/>
      <c r="O456" s="81"/>
      <c r="P456" s="81"/>
      <c r="Q456" s="81"/>
      <c r="R456" s="81"/>
      <c r="S456" s="81"/>
      <c r="T456" s="81"/>
      <c r="U456" s="81"/>
    </row>
    <row r="457" ht="14.25" customHeight="1" spans="1:21">
      <c r="A457" s="81"/>
      <c r="B457" s="81"/>
      <c r="C457" s="81"/>
      <c r="D457" s="681"/>
      <c r="E457" s="681"/>
      <c r="F457" s="81"/>
      <c r="G457" s="681"/>
      <c r="H457" s="683"/>
      <c r="I457" s="81"/>
      <c r="J457" s="81"/>
      <c r="K457" s="81"/>
      <c r="L457" s="81"/>
      <c r="M457" s="81"/>
      <c r="N457" s="681"/>
      <c r="O457" s="81"/>
      <c r="P457" s="81"/>
      <c r="Q457" s="81"/>
      <c r="R457" s="81"/>
      <c r="S457" s="81"/>
      <c r="T457" s="81"/>
      <c r="U457" s="81"/>
    </row>
    <row r="458" ht="14.25" customHeight="1" spans="1:21">
      <c r="A458" s="81"/>
      <c r="B458" s="81"/>
      <c r="C458" s="81"/>
      <c r="D458" s="681"/>
      <c r="E458" s="681"/>
      <c r="F458" s="81"/>
      <c r="G458" s="681"/>
      <c r="H458" s="683"/>
      <c r="I458" s="81"/>
      <c r="J458" s="81"/>
      <c r="K458" s="81"/>
      <c r="L458" s="81"/>
      <c r="M458" s="81"/>
      <c r="N458" s="681"/>
      <c r="O458" s="81"/>
      <c r="P458" s="81"/>
      <c r="Q458" s="81"/>
      <c r="R458" s="81"/>
      <c r="S458" s="81"/>
      <c r="T458" s="81"/>
      <c r="U458" s="81"/>
    </row>
    <row r="459" ht="14.25" customHeight="1" spans="1:21">
      <c r="A459" s="81"/>
      <c r="B459" s="81"/>
      <c r="C459" s="81"/>
      <c r="D459" s="681"/>
      <c r="E459" s="681"/>
      <c r="F459" s="81"/>
      <c r="G459" s="681"/>
      <c r="H459" s="683"/>
      <c r="I459" s="81"/>
      <c r="J459" s="81"/>
      <c r="K459" s="81"/>
      <c r="L459" s="81"/>
      <c r="M459" s="81"/>
      <c r="N459" s="681"/>
      <c r="O459" s="81"/>
      <c r="P459" s="81"/>
      <c r="Q459" s="81"/>
      <c r="R459" s="81"/>
      <c r="S459" s="81"/>
      <c r="T459" s="81"/>
      <c r="U459" s="81"/>
    </row>
    <row r="460" ht="14.25" customHeight="1" spans="1:21">
      <c r="A460" s="81"/>
      <c r="B460" s="81"/>
      <c r="C460" s="81"/>
      <c r="D460" s="681"/>
      <c r="E460" s="681"/>
      <c r="F460" s="81"/>
      <c r="G460" s="681"/>
      <c r="H460" s="683"/>
      <c r="I460" s="81"/>
      <c r="J460" s="81"/>
      <c r="K460" s="81"/>
      <c r="L460" s="81"/>
      <c r="M460" s="81"/>
      <c r="N460" s="681"/>
      <c r="O460" s="81"/>
      <c r="P460" s="81"/>
      <c r="Q460" s="81"/>
      <c r="R460" s="81"/>
      <c r="S460" s="81"/>
      <c r="T460" s="81"/>
      <c r="U460" s="81"/>
    </row>
    <row r="461" ht="14.25" customHeight="1" spans="1:21">
      <c r="A461" s="81"/>
      <c r="B461" s="81"/>
      <c r="C461" s="81"/>
      <c r="D461" s="681"/>
      <c r="E461" s="681"/>
      <c r="F461" s="81"/>
      <c r="G461" s="681"/>
      <c r="H461" s="683"/>
      <c r="I461" s="81"/>
      <c r="J461" s="81"/>
      <c r="K461" s="81"/>
      <c r="L461" s="81"/>
      <c r="M461" s="81"/>
      <c r="N461" s="681"/>
      <c r="O461" s="81"/>
      <c r="P461" s="81"/>
      <c r="Q461" s="81"/>
      <c r="R461" s="81"/>
      <c r="S461" s="81"/>
      <c r="T461" s="81"/>
      <c r="U461" s="81"/>
    </row>
    <row r="462" ht="14.25" customHeight="1" spans="1:21">
      <c r="A462" s="81"/>
      <c r="B462" s="81"/>
      <c r="C462" s="81"/>
      <c r="D462" s="681"/>
      <c r="E462" s="681"/>
      <c r="F462" s="81"/>
      <c r="G462" s="681"/>
      <c r="H462" s="683"/>
      <c r="I462" s="81"/>
      <c r="J462" s="81"/>
      <c r="K462" s="81"/>
      <c r="L462" s="81"/>
      <c r="M462" s="81"/>
      <c r="N462" s="681"/>
      <c r="O462" s="81"/>
      <c r="P462" s="81"/>
      <c r="Q462" s="81"/>
      <c r="R462" s="81"/>
      <c r="S462" s="81"/>
      <c r="T462" s="81"/>
      <c r="U462" s="81"/>
    </row>
    <row r="463" ht="14.25" customHeight="1" spans="1:21">
      <c r="A463" s="81"/>
      <c r="B463" s="81"/>
      <c r="C463" s="81"/>
      <c r="D463" s="681"/>
      <c r="E463" s="681"/>
      <c r="F463" s="81"/>
      <c r="G463" s="681"/>
      <c r="H463" s="683"/>
      <c r="I463" s="81"/>
      <c r="J463" s="81"/>
      <c r="K463" s="81"/>
      <c r="L463" s="81"/>
      <c r="M463" s="81"/>
      <c r="N463" s="681"/>
      <c r="O463" s="81"/>
      <c r="P463" s="81"/>
      <c r="Q463" s="81"/>
      <c r="R463" s="81"/>
      <c r="S463" s="81"/>
      <c r="T463" s="81"/>
      <c r="U463" s="81"/>
    </row>
    <row r="464" ht="14.25" customHeight="1" spans="1:21">
      <c r="A464" s="81"/>
      <c r="B464" s="81"/>
      <c r="C464" s="81"/>
      <c r="D464" s="681"/>
      <c r="E464" s="681"/>
      <c r="F464" s="81"/>
      <c r="G464" s="681"/>
      <c r="H464" s="683"/>
      <c r="I464" s="81"/>
      <c r="J464" s="81"/>
      <c r="K464" s="81"/>
      <c r="L464" s="81"/>
      <c r="M464" s="81"/>
      <c r="N464" s="681"/>
      <c r="O464" s="81"/>
      <c r="P464" s="81"/>
      <c r="Q464" s="81"/>
      <c r="R464" s="81"/>
      <c r="S464" s="81"/>
      <c r="T464" s="81"/>
      <c r="U464" s="81"/>
    </row>
    <row r="465" ht="14.25" customHeight="1" spans="1:21">
      <c r="A465" s="81"/>
      <c r="B465" s="81"/>
      <c r="C465" s="81"/>
      <c r="D465" s="681"/>
      <c r="E465" s="681"/>
      <c r="F465" s="81"/>
      <c r="G465" s="681"/>
      <c r="H465" s="683"/>
      <c r="I465" s="81"/>
      <c r="J465" s="81"/>
      <c r="K465" s="81"/>
      <c r="L465" s="81"/>
      <c r="M465" s="81"/>
      <c r="N465" s="681"/>
      <c r="O465" s="81"/>
      <c r="P465" s="81"/>
      <c r="Q465" s="81"/>
      <c r="R465" s="81"/>
      <c r="S465" s="81"/>
      <c r="T465" s="81"/>
      <c r="U465" s="81"/>
    </row>
    <row r="466" ht="14.25" customHeight="1" spans="1:21">
      <c r="A466" s="81"/>
      <c r="B466" s="81"/>
      <c r="C466" s="81"/>
      <c r="D466" s="681"/>
      <c r="E466" s="681"/>
      <c r="F466" s="81"/>
      <c r="G466" s="681"/>
      <c r="H466" s="683"/>
      <c r="I466" s="81"/>
      <c r="J466" s="81"/>
      <c r="K466" s="81"/>
      <c r="L466" s="81"/>
      <c r="M466" s="81"/>
      <c r="N466" s="681"/>
      <c r="O466" s="81"/>
      <c r="P466" s="81"/>
      <c r="Q466" s="81"/>
      <c r="R466" s="81"/>
      <c r="S466" s="81"/>
      <c r="T466" s="81"/>
      <c r="U466" s="81"/>
    </row>
    <row r="467" ht="14.25" customHeight="1" spans="1:21">
      <c r="A467" s="81"/>
      <c r="B467" s="81"/>
      <c r="C467" s="81"/>
      <c r="D467" s="681"/>
      <c r="E467" s="681"/>
      <c r="F467" s="81"/>
      <c r="G467" s="681"/>
      <c r="H467" s="683"/>
      <c r="I467" s="81"/>
      <c r="J467" s="81"/>
      <c r="K467" s="81"/>
      <c r="L467" s="81"/>
      <c r="M467" s="81"/>
      <c r="N467" s="681"/>
      <c r="O467" s="81"/>
      <c r="P467" s="81"/>
      <c r="Q467" s="81"/>
      <c r="R467" s="81"/>
      <c r="S467" s="81"/>
      <c r="T467" s="81"/>
      <c r="U467" s="81"/>
    </row>
    <row r="468" ht="14.25" customHeight="1" spans="1:21">
      <c r="A468" s="81"/>
      <c r="B468" s="81"/>
      <c r="C468" s="81"/>
      <c r="D468" s="681"/>
      <c r="E468" s="681"/>
      <c r="F468" s="81"/>
      <c r="G468" s="681"/>
      <c r="H468" s="683"/>
      <c r="I468" s="81"/>
      <c r="J468" s="81"/>
      <c r="K468" s="81"/>
      <c r="L468" s="81"/>
      <c r="M468" s="81"/>
      <c r="N468" s="681"/>
      <c r="O468" s="81"/>
      <c r="P468" s="81"/>
      <c r="Q468" s="81"/>
      <c r="R468" s="81"/>
      <c r="S468" s="81"/>
      <c r="T468" s="81"/>
      <c r="U468" s="81"/>
    </row>
    <row r="469" ht="14.25" customHeight="1" spans="1:21">
      <c r="A469" s="81"/>
      <c r="B469" s="81"/>
      <c r="C469" s="81"/>
      <c r="D469" s="681"/>
      <c r="E469" s="681"/>
      <c r="F469" s="81"/>
      <c r="G469" s="681"/>
      <c r="H469" s="683"/>
      <c r="I469" s="81"/>
      <c r="J469" s="81"/>
      <c r="K469" s="81"/>
      <c r="L469" s="81"/>
      <c r="M469" s="81"/>
      <c r="N469" s="681"/>
      <c r="O469" s="81"/>
      <c r="P469" s="81"/>
      <c r="Q469" s="81"/>
      <c r="R469" s="81"/>
      <c r="S469" s="81"/>
      <c r="T469" s="81"/>
      <c r="U469" s="81"/>
    </row>
    <row r="470" ht="14.25" customHeight="1" spans="1:21">
      <c r="A470" s="81"/>
      <c r="B470" s="81"/>
      <c r="C470" s="81"/>
      <c r="D470" s="681"/>
      <c r="E470" s="681"/>
      <c r="F470" s="81"/>
      <c r="G470" s="681"/>
      <c r="H470" s="683"/>
      <c r="I470" s="81"/>
      <c r="J470" s="81"/>
      <c r="K470" s="81"/>
      <c r="L470" s="81"/>
      <c r="M470" s="81"/>
      <c r="N470" s="681"/>
      <c r="O470" s="81"/>
      <c r="P470" s="81"/>
      <c r="Q470" s="81"/>
      <c r="R470" s="81"/>
      <c r="S470" s="81"/>
      <c r="T470" s="81"/>
      <c r="U470" s="81"/>
    </row>
    <row r="471" ht="14.25" customHeight="1" spans="1:21">
      <c r="A471" s="81"/>
      <c r="B471" s="81"/>
      <c r="C471" s="81"/>
      <c r="D471" s="681"/>
      <c r="E471" s="681"/>
      <c r="F471" s="81"/>
      <c r="G471" s="681"/>
      <c r="H471" s="683"/>
      <c r="I471" s="81"/>
      <c r="J471" s="81"/>
      <c r="K471" s="81"/>
      <c r="L471" s="81"/>
      <c r="M471" s="81"/>
      <c r="N471" s="681"/>
      <c r="O471" s="81"/>
      <c r="P471" s="81"/>
      <c r="Q471" s="81"/>
      <c r="R471" s="81"/>
      <c r="S471" s="81"/>
      <c r="T471" s="81"/>
      <c r="U471" s="81"/>
    </row>
    <row r="472" ht="14.25" customHeight="1" spans="1:21">
      <c r="A472" s="81"/>
      <c r="B472" s="81"/>
      <c r="C472" s="81"/>
      <c r="D472" s="681"/>
      <c r="E472" s="681"/>
      <c r="F472" s="81"/>
      <c r="G472" s="681"/>
      <c r="H472" s="683"/>
      <c r="I472" s="81"/>
      <c r="J472" s="81"/>
      <c r="K472" s="81"/>
      <c r="L472" s="81"/>
      <c r="M472" s="81"/>
      <c r="N472" s="681"/>
      <c r="O472" s="81"/>
      <c r="P472" s="81"/>
      <c r="Q472" s="81"/>
      <c r="R472" s="81"/>
      <c r="S472" s="81"/>
      <c r="T472" s="81"/>
      <c r="U472" s="81"/>
    </row>
    <row r="473" ht="14.25" customHeight="1" spans="1:21">
      <c r="A473" s="81"/>
      <c r="B473" s="81"/>
      <c r="C473" s="81"/>
      <c r="D473" s="681"/>
      <c r="E473" s="681"/>
      <c r="F473" s="81"/>
      <c r="G473" s="681"/>
      <c r="H473" s="683"/>
      <c r="I473" s="81"/>
      <c r="J473" s="81"/>
      <c r="K473" s="81"/>
      <c r="L473" s="81"/>
      <c r="M473" s="81"/>
      <c r="N473" s="681"/>
      <c r="O473" s="81"/>
      <c r="P473" s="81"/>
      <c r="Q473" s="81"/>
      <c r="R473" s="81"/>
      <c r="S473" s="81"/>
      <c r="T473" s="81"/>
      <c r="U473" s="81"/>
    </row>
    <row r="474" ht="14.25" customHeight="1" spans="1:21">
      <c r="A474" s="81"/>
      <c r="B474" s="81"/>
      <c r="C474" s="81"/>
      <c r="D474" s="681"/>
      <c r="E474" s="681"/>
      <c r="F474" s="81"/>
      <c r="G474" s="681"/>
      <c r="H474" s="683"/>
      <c r="I474" s="81"/>
      <c r="J474" s="81"/>
      <c r="K474" s="81"/>
      <c r="L474" s="81"/>
      <c r="M474" s="81"/>
      <c r="N474" s="681"/>
      <c r="O474" s="81"/>
      <c r="P474" s="81"/>
      <c r="Q474" s="81"/>
      <c r="R474" s="81"/>
      <c r="S474" s="81"/>
      <c r="T474" s="81"/>
      <c r="U474" s="81"/>
    </row>
    <row r="475" ht="14.25" customHeight="1" spans="1:21">
      <c r="A475" s="81"/>
      <c r="B475" s="81"/>
      <c r="C475" s="81"/>
      <c r="D475" s="681"/>
      <c r="E475" s="681"/>
      <c r="F475" s="81"/>
      <c r="G475" s="681"/>
      <c r="H475" s="683"/>
      <c r="I475" s="81"/>
      <c r="J475" s="81"/>
      <c r="K475" s="81"/>
      <c r="L475" s="81"/>
      <c r="M475" s="81"/>
      <c r="N475" s="681"/>
      <c r="O475" s="81"/>
      <c r="P475" s="81"/>
      <c r="Q475" s="81"/>
      <c r="R475" s="81"/>
      <c r="S475" s="81"/>
      <c r="T475" s="81"/>
      <c r="U475" s="81"/>
    </row>
    <row r="476" ht="14.25" customHeight="1" spans="1:21">
      <c r="A476" s="81"/>
      <c r="B476" s="81"/>
      <c r="C476" s="81"/>
      <c r="D476" s="681"/>
      <c r="E476" s="681"/>
      <c r="F476" s="81"/>
      <c r="G476" s="681"/>
      <c r="H476" s="683"/>
      <c r="I476" s="81"/>
      <c r="J476" s="81"/>
      <c r="K476" s="81"/>
      <c r="L476" s="81"/>
      <c r="M476" s="81"/>
      <c r="N476" s="681"/>
      <c r="O476" s="81"/>
      <c r="P476" s="81"/>
      <c r="Q476" s="81"/>
      <c r="R476" s="81"/>
      <c r="S476" s="81"/>
      <c r="T476" s="81"/>
      <c r="U476" s="81"/>
    </row>
    <row r="477" ht="14.25" customHeight="1" spans="1:21">
      <c r="A477" s="81"/>
      <c r="B477" s="81"/>
      <c r="C477" s="81"/>
      <c r="D477" s="681"/>
      <c r="E477" s="681"/>
      <c r="F477" s="81"/>
      <c r="G477" s="681"/>
      <c r="H477" s="683"/>
      <c r="I477" s="81"/>
      <c r="J477" s="81"/>
      <c r="K477" s="81"/>
      <c r="L477" s="81"/>
      <c r="M477" s="81"/>
      <c r="N477" s="681"/>
      <c r="O477" s="81"/>
      <c r="P477" s="81"/>
      <c r="Q477" s="81"/>
      <c r="R477" s="81"/>
      <c r="S477" s="81"/>
      <c r="T477" s="81"/>
      <c r="U477" s="81"/>
    </row>
    <row r="478" ht="14.25" customHeight="1" spans="1:21">
      <c r="A478" s="81"/>
      <c r="B478" s="81"/>
      <c r="C478" s="81"/>
      <c r="D478" s="681"/>
      <c r="E478" s="681"/>
      <c r="F478" s="81"/>
      <c r="G478" s="681"/>
      <c r="H478" s="683"/>
      <c r="I478" s="81"/>
      <c r="J478" s="81"/>
      <c r="K478" s="81"/>
      <c r="L478" s="81"/>
      <c r="M478" s="81"/>
      <c r="N478" s="681"/>
      <c r="O478" s="81"/>
      <c r="P478" s="81"/>
      <c r="Q478" s="81"/>
      <c r="R478" s="81"/>
      <c r="S478" s="81"/>
      <c r="T478" s="81"/>
      <c r="U478" s="81"/>
    </row>
    <row r="479" ht="14.25" customHeight="1" spans="1:21">
      <c r="A479" s="81"/>
      <c r="B479" s="81"/>
      <c r="C479" s="81"/>
      <c r="D479" s="681"/>
      <c r="E479" s="681"/>
      <c r="F479" s="81"/>
      <c r="G479" s="681"/>
      <c r="H479" s="683"/>
      <c r="I479" s="81"/>
      <c r="J479" s="81"/>
      <c r="K479" s="81"/>
      <c r="L479" s="81"/>
      <c r="M479" s="81"/>
      <c r="N479" s="681"/>
      <c r="O479" s="81"/>
      <c r="P479" s="81"/>
      <c r="Q479" s="81"/>
      <c r="R479" s="81"/>
      <c r="S479" s="81"/>
      <c r="T479" s="81"/>
      <c r="U479" s="81"/>
    </row>
    <row r="480" ht="14.25" customHeight="1" spans="1:21">
      <c r="A480" s="81"/>
      <c r="B480" s="81"/>
      <c r="C480" s="81"/>
      <c r="D480" s="681"/>
      <c r="E480" s="681"/>
      <c r="F480" s="81"/>
      <c r="G480" s="681"/>
      <c r="H480" s="683"/>
      <c r="I480" s="81"/>
      <c r="J480" s="81"/>
      <c r="K480" s="81"/>
      <c r="L480" s="81"/>
      <c r="M480" s="81"/>
      <c r="N480" s="681"/>
      <c r="O480" s="81"/>
      <c r="P480" s="81"/>
      <c r="Q480" s="81"/>
      <c r="R480" s="81"/>
      <c r="S480" s="81"/>
      <c r="T480" s="81"/>
      <c r="U480" s="81"/>
    </row>
    <row r="481" ht="14.25" customHeight="1" spans="1:21">
      <c r="A481" s="81"/>
      <c r="B481" s="81"/>
      <c r="C481" s="81"/>
      <c r="D481" s="681"/>
      <c r="E481" s="681"/>
      <c r="F481" s="81"/>
      <c r="G481" s="681"/>
      <c r="H481" s="683"/>
      <c r="I481" s="81"/>
      <c r="J481" s="81"/>
      <c r="K481" s="81"/>
      <c r="L481" s="81"/>
      <c r="M481" s="81"/>
      <c r="N481" s="681"/>
      <c r="O481" s="81"/>
      <c r="P481" s="81"/>
      <c r="Q481" s="81"/>
      <c r="R481" s="81"/>
      <c r="S481" s="81"/>
      <c r="T481" s="81"/>
      <c r="U481" s="81"/>
    </row>
    <row r="482" ht="14.25" customHeight="1" spans="1:21">
      <c r="A482" s="81"/>
      <c r="B482" s="81"/>
      <c r="C482" s="81"/>
      <c r="D482" s="681"/>
      <c r="E482" s="681"/>
      <c r="F482" s="81"/>
      <c r="G482" s="681"/>
      <c r="H482" s="683"/>
      <c r="I482" s="81"/>
      <c r="J482" s="81"/>
      <c r="K482" s="81"/>
      <c r="L482" s="81"/>
      <c r="M482" s="81"/>
      <c r="N482" s="681"/>
      <c r="O482" s="81"/>
      <c r="P482" s="81"/>
      <c r="Q482" s="81"/>
      <c r="R482" s="81"/>
      <c r="S482" s="81"/>
      <c r="T482" s="81"/>
      <c r="U482" s="81"/>
    </row>
    <row r="483" ht="14.25" customHeight="1" spans="1:21">
      <c r="A483" s="81"/>
      <c r="B483" s="81"/>
      <c r="C483" s="81"/>
      <c r="D483" s="681"/>
      <c r="E483" s="681"/>
      <c r="F483" s="81"/>
      <c r="G483" s="681"/>
      <c r="H483" s="683"/>
      <c r="I483" s="81"/>
      <c r="J483" s="81"/>
      <c r="K483" s="81"/>
      <c r="L483" s="81"/>
      <c r="M483" s="81"/>
      <c r="N483" s="681"/>
      <c r="O483" s="81"/>
      <c r="P483" s="81"/>
      <c r="Q483" s="81"/>
      <c r="R483" s="81"/>
      <c r="S483" s="81"/>
      <c r="T483" s="81"/>
      <c r="U483" s="81"/>
    </row>
    <row r="484" ht="14.25" customHeight="1" spans="1:21">
      <c r="A484" s="81"/>
      <c r="B484" s="81"/>
      <c r="C484" s="81"/>
      <c r="D484" s="681"/>
      <c r="E484" s="681"/>
      <c r="F484" s="81"/>
      <c r="G484" s="681"/>
      <c r="H484" s="683"/>
      <c r="I484" s="81"/>
      <c r="J484" s="81"/>
      <c r="K484" s="81"/>
      <c r="L484" s="81"/>
      <c r="M484" s="81"/>
      <c r="N484" s="681"/>
      <c r="O484" s="81"/>
      <c r="P484" s="81"/>
      <c r="Q484" s="81"/>
      <c r="R484" s="81"/>
      <c r="S484" s="81"/>
      <c r="T484" s="81"/>
      <c r="U484" s="81"/>
    </row>
    <row r="485" ht="14.25" customHeight="1" spans="1:21">
      <c r="A485" s="81"/>
      <c r="B485" s="81"/>
      <c r="C485" s="81"/>
      <c r="D485" s="681"/>
      <c r="E485" s="681"/>
      <c r="F485" s="81"/>
      <c r="G485" s="681"/>
      <c r="H485" s="683"/>
      <c r="I485" s="81"/>
      <c r="J485" s="81"/>
      <c r="K485" s="81"/>
      <c r="L485" s="81"/>
      <c r="M485" s="81"/>
      <c r="N485" s="681"/>
      <c r="O485" s="81"/>
      <c r="P485" s="81"/>
      <c r="Q485" s="81"/>
      <c r="R485" s="81"/>
      <c r="S485" s="81"/>
      <c r="T485" s="81"/>
      <c r="U485" s="81"/>
    </row>
    <row r="486" ht="14.25" customHeight="1" spans="1:21">
      <c r="A486" s="81"/>
      <c r="B486" s="81"/>
      <c r="C486" s="81"/>
      <c r="D486" s="681"/>
      <c r="E486" s="681"/>
      <c r="F486" s="81"/>
      <c r="G486" s="681"/>
      <c r="H486" s="683"/>
      <c r="I486" s="81"/>
      <c r="J486" s="81"/>
      <c r="K486" s="81"/>
      <c r="L486" s="81"/>
      <c r="M486" s="81"/>
      <c r="N486" s="681"/>
      <c r="O486" s="81"/>
      <c r="P486" s="81"/>
      <c r="Q486" s="81"/>
      <c r="R486" s="81"/>
      <c r="S486" s="81"/>
      <c r="T486" s="81"/>
      <c r="U486" s="81"/>
    </row>
    <row r="487" ht="14.25" customHeight="1" spans="1:21">
      <c r="A487" s="81"/>
      <c r="B487" s="81"/>
      <c r="C487" s="81"/>
      <c r="D487" s="681"/>
      <c r="E487" s="681"/>
      <c r="F487" s="81"/>
      <c r="G487" s="681"/>
      <c r="H487" s="683"/>
      <c r="I487" s="81"/>
      <c r="J487" s="81"/>
      <c r="K487" s="81"/>
      <c r="L487" s="81"/>
      <c r="M487" s="81"/>
      <c r="N487" s="681"/>
      <c r="O487" s="81"/>
      <c r="P487" s="81"/>
      <c r="Q487" s="81"/>
      <c r="R487" s="81"/>
      <c r="S487" s="81"/>
      <c r="T487" s="81"/>
      <c r="U487" s="81"/>
    </row>
    <row r="488" ht="14.25" customHeight="1" spans="1:21">
      <c r="A488" s="81"/>
      <c r="B488" s="81"/>
      <c r="C488" s="81"/>
      <c r="D488" s="681"/>
      <c r="E488" s="681"/>
      <c r="F488" s="81"/>
      <c r="G488" s="681"/>
      <c r="H488" s="683"/>
      <c r="I488" s="81"/>
      <c r="J488" s="81"/>
      <c r="K488" s="81"/>
      <c r="L488" s="81"/>
      <c r="M488" s="81"/>
      <c r="N488" s="681"/>
      <c r="O488" s="81"/>
      <c r="P488" s="81"/>
      <c r="Q488" s="81"/>
      <c r="R488" s="81"/>
      <c r="S488" s="81"/>
      <c r="T488" s="81"/>
      <c r="U488" s="81"/>
    </row>
    <row r="489" ht="14.25" customHeight="1" spans="1:21">
      <c r="A489" s="81"/>
      <c r="B489" s="81"/>
      <c r="C489" s="81"/>
      <c r="D489" s="681"/>
      <c r="E489" s="681"/>
      <c r="F489" s="81"/>
      <c r="G489" s="681"/>
      <c r="H489" s="683"/>
      <c r="I489" s="81"/>
      <c r="J489" s="81"/>
      <c r="K489" s="81"/>
      <c r="L489" s="81"/>
      <c r="M489" s="81"/>
      <c r="N489" s="681"/>
      <c r="O489" s="81"/>
      <c r="P489" s="81"/>
      <c r="Q489" s="81"/>
      <c r="R489" s="81"/>
      <c r="S489" s="81"/>
      <c r="T489" s="81"/>
      <c r="U489" s="81"/>
    </row>
    <row r="490" ht="14.25" customHeight="1" spans="1:21">
      <c r="A490" s="81"/>
      <c r="B490" s="81"/>
      <c r="C490" s="81"/>
      <c r="D490" s="681"/>
      <c r="E490" s="681"/>
      <c r="F490" s="81"/>
      <c r="G490" s="681"/>
      <c r="H490" s="683"/>
      <c r="I490" s="81"/>
      <c r="J490" s="81"/>
      <c r="K490" s="81"/>
      <c r="L490" s="81"/>
      <c r="M490" s="81"/>
      <c r="N490" s="681"/>
      <c r="O490" s="81"/>
      <c r="P490" s="81"/>
      <c r="Q490" s="81"/>
      <c r="R490" s="81"/>
      <c r="S490" s="81"/>
      <c r="T490" s="81"/>
      <c r="U490" s="81"/>
    </row>
    <row r="491" ht="14.25" customHeight="1" spans="1:21">
      <c r="A491" s="81"/>
      <c r="B491" s="81"/>
      <c r="C491" s="81"/>
      <c r="D491" s="681"/>
      <c r="E491" s="681"/>
      <c r="F491" s="81"/>
      <c r="G491" s="681"/>
      <c r="H491" s="683"/>
      <c r="I491" s="81"/>
      <c r="J491" s="81"/>
      <c r="K491" s="81"/>
      <c r="L491" s="81"/>
      <c r="M491" s="81"/>
      <c r="N491" s="681"/>
      <c r="O491" s="81"/>
      <c r="P491" s="81"/>
      <c r="Q491" s="81"/>
      <c r="R491" s="81"/>
      <c r="S491" s="81"/>
      <c r="T491" s="81"/>
      <c r="U491" s="81"/>
    </row>
    <row r="492" ht="14.25" customHeight="1" spans="1:21">
      <c r="A492" s="81"/>
      <c r="B492" s="81"/>
      <c r="C492" s="81"/>
      <c r="D492" s="681"/>
      <c r="E492" s="681"/>
      <c r="F492" s="81"/>
      <c r="G492" s="681"/>
      <c r="H492" s="683"/>
      <c r="I492" s="81"/>
      <c r="J492" s="81"/>
      <c r="K492" s="81"/>
      <c r="L492" s="81"/>
      <c r="M492" s="81"/>
      <c r="N492" s="681"/>
      <c r="O492" s="81"/>
      <c r="P492" s="81"/>
      <c r="Q492" s="81"/>
      <c r="R492" s="81"/>
      <c r="S492" s="81"/>
      <c r="T492" s="81"/>
      <c r="U492" s="81"/>
    </row>
    <row r="493" ht="14.25" customHeight="1" spans="1:21">
      <c r="A493" s="81"/>
      <c r="B493" s="81"/>
      <c r="C493" s="81"/>
      <c r="D493" s="681"/>
      <c r="E493" s="681"/>
      <c r="F493" s="81"/>
      <c r="G493" s="681"/>
      <c r="H493" s="683"/>
      <c r="I493" s="81"/>
      <c r="J493" s="81"/>
      <c r="K493" s="81"/>
      <c r="L493" s="81"/>
      <c r="M493" s="81"/>
      <c r="N493" s="681"/>
      <c r="O493" s="81"/>
      <c r="P493" s="81"/>
      <c r="Q493" s="81"/>
      <c r="R493" s="81"/>
      <c r="S493" s="81"/>
      <c r="T493" s="81"/>
      <c r="U493" s="81"/>
    </row>
    <row r="494" ht="14.25" customHeight="1" spans="1:21">
      <c r="A494" s="81"/>
      <c r="B494" s="81"/>
      <c r="C494" s="81"/>
      <c r="D494" s="681"/>
      <c r="E494" s="681"/>
      <c r="F494" s="81"/>
      <c r="G494" s="681"/>
      <c r="H494" s="683"/>
      <c r="I494" s="81"/>
      <c r="J494" s="81"/>
      <c r="K494" s="81"/>
      <c r="L494" s="81"/>
      <c r="M494" s="81"/>
      <c r="N494" s="681"/>
      <c r="O494" s="81"/>
      <c r="P494" s="81"/>
      <c r="Q494" s="81"/>
      <c r="R494" s="81"/>
      <c r="S494" s="81"/>
      <c r="T494" s="81"/>
      <c r="U494" s="81"/>
    </row>
    <row r="495" ht="14.25" customHeight="1" spans="1:21">
      <c r="A495" s="81"/>
      <c r="B495" s="81"/>
      <c r="C495" s="81"/>
      <c r="D495" s="681"/>
      <c r="E495" s="681"/>
      <c r="F495" s="81"/>
      <c r="G495" s="681"/>
      <c r="H495" s="683"/>
      <c r="I495" s="81"/>
      <c r="J495" s="81"/>
      <c r="K495" s="81"/>
      <c r="L495" s="81"/>
      <c r="M495" s="81"/>
      <c r="N495" s="681"/>
      <c r="O495" s="81"/>
      <c r="P495" s="81"/>
      <c r="Q495" s="81"/>
      <c r="R495" s="81"/>
      <c r="S495" s="81"/>
      <c r="T495" s="81"/>
      <c r="U495" s="81"/>
    </row>
    <row r="496" ht="14.25" customHeight="1" spans="1:21">
      <c r="A496" s="81"/>
      <c r="B496" s="81"/>
      <c r="C496" s="81"/>
      <c r="D496" s="681"/>
      <c r="E496" s="681"/>
      <c r="F496" s="81"/>
      <c r="G496" s="681"/>
      <c r="H496" s="683"/>
      <c r="I496" s="81"/>
      <c r="J496" s="81"/>
      <c r="K496" s="81"/>
      <c r="L496" s="81"/>
      <c r="M496" s="81"/>
      <c r="N496" s="681"/>
      <c r="O496" s="81"/>
      <c r="P496" s="81"/>
      <c r="Q496" s="81"/>
      <c r="R496" s="81"/>
      <c r="S496" s="81"/>
      <c r="T496" s="81"/>
      <c r="U496" s="81"/>
    </row>
    <row r="497" ht="14.25" customHeight="1" spans="1:21">
      <c r="A497" s="81"/>
      <c r="B497" s="81"/>
      <c r="C497" s="81"/>
      <c r="D497" s="681"/>
      <c r="E497" s="681"/>
      <c r="F497" s="81"/>
      <c r="G497" s="681"/>
      <c r="H497" s="683"/>
      <c r="I497" s="81"/>
      <c r="J497" s="81"/>
      <c r="K497" s="81"/>
      <c r="L497" s="81"/>
      <c r="M497" s="81"/>
      <c r="N497" s="681"/>
      <c r="O497" s="81"/>
      <c r="P497" s="81"/>
      <c r="Q497" s="81"/>
      <c r="R497" s="81"/>
      <c r="S497" s="81"/>
      <c r="T497" s="81"/>
      <c r="U497" s="81"/>
    </row>
    <row r="498" ht="14.25" customHeight="1" spans="1:21">
      <c r="A498" s="81"/>
      <c r="B498" s="81"/>
      <c r="C498" s="81"/>
      <c r="D498" s="681"/>
      <c r="E498" s="681"/>
      <c r="F498" s="81"/>
      <c r="G498" s="681"/>
      <c r="H498" s="683"/>
      <c r="I498" s="81"/>
      <c r="J498" s="81"/>
      <c r="K498" s="81"/>
      <c r="L498" s="81"/>
      <c r="M498" s="81"/>
      <c r="N498" s="681"/>
      <c r="O498" s="81"/>
      <c r="P498" s="81"/>
      <c r="Q498" s="81"/>
      <c r="R498" s="81"/>
      <c r="S498" s="81"/>
      <c r="T498" s="81"/>
      <c r="U498" s="81"/>
    </row>
    <row r="499" ht="14.25" customHeight="1" spans="1:21">
      <c r="A499" s="81"/>
      <c r="B499" s="81"/>
      <c r="C499" s="81"/>
      <c r="D499" s="681"/>
      <c r="E499" s="681"/>
      <c r="F499" s="81"/>
      <c r="G499" s="681"/>
      <c r="H499" s="683"/>
      <c r="I499" s="81"/>
      <c r="J499" s="81"/>
      <c r="K499" s="81"/>
      <c r="L499" s="81"/>
      <c r="M499" s="81"/>
      <c r="N499" s="681"/>
      <c r="O499" s="81"/>
      <c r="P499" s="81"/>
      <c r="Q499" s="81"/>
      <c r="R499" s="81"/>
      <c r="S499" s="81"/>
      <c r="T499" s="81"/>
      <c r="U499" s="81"/>
    </row>
    <row r="500" ht="14.25" customHeight="1" spans="1:21">
      <c r="A500" s="81"/>
      <c r="B500" s="81"/>
      <c r="C500" s="81"/>
      <c r="D500" s="681"/>
      <c r="E500" s="681"/>
      <c r="F500" s="81"/>
      <c r="G500" s="681"/>
      <c r="H500" s="683"/>
      <c r="I500" s="81"/>
      <c r="J500" s="81"/>
      <c r="K500" s="81"/>
      <c r="L500" s="81"/>
      <c r="M500" s="81"/>
      <c r="N500" s="681"/>
      <c r="O500" s="81"/>
      <c r="P500" s="81"/>
      <c r="Q500" s="81"/>
      <c r="R500" s="81"/>
      <c r="S500" s="81"/>
      <c r="T500" s="81"/>
      <c r="U500" s="81"/>
    </row>
    <row r="501" ht="14.25" customHeight="1" spans="1:21">
      <c r="A501" s="81"/>
      <c r="B501" s="81"/>
      <c r="C501" s="81"/>
      <c r="D501" s="681"/>
      <c r="E501" s="681"/>
      <c r="F501" s="81"/>
      <c r="G501" s="681"/>
      <c r="H501" s="683"/>
      <c r="I501" s="81"/>
      <c r="J501" s="81"/>
      <c r="K501" s="81"/>
      <c r="L501" s="81"/>
      <c r="M501" s="81"/>
      <c r="N501" s="681"/>
      <c r="O501" s="81"/>
      <c r="P501" s="81"/>
      <c r="Q501" s="81"/>
      <c r="R501" s="81"/>
      <c r="S501" s="81"/>
      <c r="T501" s="81"/>
      <c r="U501" s="81"/>
    </row>
    <row r="502" ht="14.25" customHeight="1" spans="1:21">
      <c r="A502" s="81"/>
      <c r="B502" s="81"/>
      <c r="C502" s="81"/>
      <c r="D502" s="681"/>
      <c r="E502" s="681"/>
      <c r="F502" s="81"/>
      <c r="G502" s="681"/>
      <c r="H502" s="683"/>
      <c r="I502" s="81"/>
      <c r="J502" s="81"/>
      <c r="K502" s="81"/>
      <c r="L502" s="81"/>
      <c r="M502" s="81"/>
      <c r="N502" s="681"/>
      <c r="O502" s="81"/>
      <c r="P502" s="81"/>
      <c r="Q502" s="81"/>
      <c r="R502" s="81"/>
      <c r="S502" s="81"/>
      <c r="T502" s="81"/>
      <c r="U502" s="81"/>
    </row>
    <row r="503" ht="14.25" customHeight="1" spans="1:21">
      <c r="A503" s="81"/>
      <c r="B503" s="81"/>
      <c r="C503" s="81"/>
      <c r="D503" s="681"/>
      <c r="E503" s="681"/>
      <c r="F503" s="81"/>
      <c r="G503" s="681"/>
      <c r="H503" s="683"/>
      <c r="I503" s="81"/>
      <c r="J503" s="81"/>
      <c r="K503" s="81"/>
      <c r="L503" s="81"/>
      <c r="M503" s="81"/>
      <c r="N503" s="681"/>
      <c r="O503" s="81"/>
      <c r="P503" s="81"/>
      <c r="Q503" s="81"/>
      <c r="R503" s="81"/>
      <c r="S503" s="81"/>
      <c r="T503" s="81"/>
      <c r="U503" s="81"/>
    </row>
    <row r="504" ht="14.25" customHeight="1" spans="1:21">
      <c r="A504" s="81"/>
      <c r="B504" s="81"/>
      <c r="C504" s="81"/>
      <c r="D504" s="681"/>
      <c r="E504" s="681"/>
      <c r="F504" s="81"/>
      <c r="G504" s="681"/>
      <c r="H504" s="683"/>
      <c r="I504" s="81"/>
      <c r="J504" s="81"/>
      <c r="K504" s="81"/>
      <c r="L504" s="81"/>
      <c r="M504" s="81"/>
      <c r="N504" s="681"/>
      <c r="O504" s="81"/>
      <c r="P504" s="81"/>
      <c r="Q504" s="81"/>
      <c r="R504" s="81"/>
      <c r="S504" s="81"/>
      <c r="T504" s="81"/>
      <c r="U504" s="81"/>
    </row>
    <row r="505" ht="14.25" customHeight="1" spans="1:21">
      <c r="A505" s="81"/>
      <c r="B505" s="81"/>
      <c r="C505" s="81"/>
      <c r="D505" s="681"/>
      <c r="E505" s="681"/>
      <c r="F505" s="81"/>
      <c r="G505" s="681"/>
      <c r="H505" s="683"/>
      <c r="I505" s="81"/>
      <c r="J505" s="81"/>
      <c r="K505" s="81"/>
      <c r="L505" s="81"/>
      <c r="M505" s="81"/>
      <c r="N505" s="681"/>
      <c r="O505" s="81"/>
      <c r="P505" s="81"/>
      <c r="Q505" s="81"/>
      <c r="R505" s="81"/>
      <c r="S505" s="81"/>
      <c r="T505" s="81"/>
      <c r="U505" s="81"/>
    </row>
    <row r="506" ht="14.25" customHeight="1" spans="1:21">
      <c r="A506" s="81"/>
      <c r="B506" s="81"/>
      <c r="C506" s="81"/>
      <c r="D506" s="681"/>
      <c r="E506" s="681"/>
      <c r="F506" s="81"/>
      <c r="G506" s="681"/>
      <c r="H506" s="683"/>
      <c r="I506" s="81"/>
      <c r="J506" s="81"/>
      <c r="K506" s="81"/>
      <c r="L506" s="81"/>
      <c r="M506" s="81"/>
      <c r="N506" s="681"/>
      <c r="O506" s="81"/>
      <c r="P506" s="81"/>
      <c r="Q506" s="81"/>
      <c r="R506" s="81"/>
      <c r="S506" s="81"/>
      <c r="T506" s="81"/>
      <c r="U506" s="81"/>
    </row>
    <row r="507" ht="14.25" customHeight="1" spans="1:21">
      <c r="A507" s="81"/>
      <c r="B507" s="81"/>
      <c r="C507" s="81"/>
      <c r="D507" s="681"/>
      <c r="E507" s="681"/>
      <c r="F507" s="81"/>
      <c r="G507" s="681"/>
      <c r="H507" s="683"/>
      <c r="I507" s="81"/>
      <c r="J507" s="81"/>
      <c r="K507" s="81"/>
      <c r="L507" s="81"/>
      <c r="M507" s="81"/>
      <c r="N507" s="681"/>
      <c r="O507" s="81"/>
      <c r="P507" s="81"/>
      <c r="Q507" s="81"/>
      <c r="R507" s="81"/>
      <c r="S507" s="81"/>
      <c r="T507" s="81"/>
      <c r="U507" s="81"/>
    </row>
    <row r="508" ht="14.25" customHeight="1" spans="1:21">
      <c r="A508" s="81"/>
      <c r="B508" s="81"/>
      <c r="C508" s="81"/>
      <c r="D508" s="681"/>
      <c r="E508" s="681"/>
      <c r="F508" s="81"/>
      <c r="G508" s="681"/>
      <c r="H508" s="683"/>
      <c r="I508" s="81"/>
      <c r="J508" s="81"/>
      <c r="K508" s="81"/>
      <c r="L508" s="81"/>
      <c r="M508" s="81"/>
      <c r="N508" s="681"/>
      <c r="O508" s="81"/>
      <c r="P508" s="81"/>
      <c r="Q508" s="81"/>
      <c r="R508" s="81"/>
      <c r="S508" s="81"/>
      <c r="T508" s="81"/>
      <c r="U508" s="81"/>
    </row>
    <row r="509" ht="14.25" customHeight="1" spans="1:21">
      <c r="A509" s="81"/>
      <c r="B509" s="81"/>
      <c r="C509" s="81"/>
      <c r="D509" s="681"/>
      <c r="E509" s="681"/>
      <c r="F509" s="81"/>
      <c r="G509" s="681"/>
      <c r="H509" s="683"/>
      <c r="I509" s="81"/>
      <c r="J509" s="81"/>
      <c r="K509" s="81"/>
      <c r="L509" s="81"/>
      <c r="M509" s="81"/>
      <c r="N509" s="681"/>
      <c r="O509" s="81"/>
      <c r="P509" s="81"/>
      <c r="Q509" s="81"/>
      <c r="R509" s="81"/>
      <c r="S509" s="81"/>
      <c r="T509" s="81"/>
      <c r="U509" s="81"/>
    </row>
    <row r="510" ht="14.25" customHeight="1" spans="1:21">
      <c r="A510" s="81"/>
      <c r="B510" s="81"/>
      <c r="C510" s="81"/>
      <c r="D510" s="681"/>
      <c r="E510" s="681"/>
      <c r="F510" s="81"/>
      <c r="G510" s="681"/>
      <c r="H510" s="683"/>
      <c r="I510" s="81"/>
      <c r="J510" s="81"/>
      <c r="K510" s="81"/>
      <c r="L510" s="81"/>
      <c r="M510" s="81"/>
      <c r="N510" s="681"/>
      <c r="O510" s="81"/>
      <c r="P510" s="81"/>
      <c r="Q510" s="81"/>
      <c r="R510" s="81"/>
      <c r="S510" s="81"/>
      <c r="T510" s="81"/>
      <c r="U510" s="81"/>
    </row>
    <row r="511" ht="14.25" customHeight="1" spans="1:21">
      <c r="A511" s="81"/>
      <c r="B511" s="81"/>
      <c r="C511" s="81"/>
      <c r="D511" s="681"/>
      <c r="E511" s="681"/>
      <c r="F511" s="81"/>
      <c r="G511" s="681"/>
      <c r="H511" s="683"/>
      <c r="I511" s="81"/>
      <c r="J511" s="81"/>
      <c r="K511" s="81"/>
      <c r="L511" s="81"/>
      <c r="M511" s="81"/>
      <c r="N511" s="681"/>
      <c r="O511" s="81"/>
      <c r="P511" s="81"/>
      <c r="Q511" s="81"/>
      <c r="R511" s="81"/>
      <c r="S511" s="81"/>
      <c r="T511" s="81"/>
      <c r="U511" s="81"/>
    </row>
    <row r="512" ht="14.25" customHeight="1" spans="1:21">
      <c r="A512" s="81"/>
      <c r="B512" s="81"/>
      <c r="C512" s="81"/>
      <c r="D512" s="681"/>
      <c r="E512" s="681"/>
      <c r="F512" s="81"/>
      <c r="G512" s="681"/>
      <c r="H512" s="683"/>
      <c r="I512" s="81"/>
      <c r="J512" s="81"/>
      <c r="K512" s="81"/>
      <c r="L512" s="81"/>
      <c r="M512" s="81"/>
      <c r="N512" s="681"/>
      <c r="O512" s="81"/>
      <c r="P512" s="81"/>
      <c r="Q512" s="81"/>
      <c r="R512" s="81"/>
      <c r="S512" s="81"/>
      <c r="T512" s="81"/>
      <c r="U512" s="81"/>
    </row>
    <row r="513" ht="14.25" customHeight="1" spans="1:21">
      <c r="A513" s="81"/>
      <c r="B513" s="81"/>
      <c r="C513" s="81"/>
      <c r="D513" s="681"/>
      <c r="E513" s="681"/>
      <c r="F513" s="81"/>
      <c r="G513" s="681"/>
      <c r="H513" s="683"/>
      <c r="I513" s="81"/>
      <c r="J513" s="81"/>
      <c r="K513" s="81"/>
      <c r="L513" s="81"/>
      <c r="M513" s="81"/>
      <c r="N513" s="681"/>
      <c r="O513" s="81"/>
      <c r="P513" s="81"/>
      <c r="Q513" s="81"/>
      <c r="R513" s="81"/>
      <c r="S513" s="81"/>
      <c r="T513" s="81"/>
      <c r="U513" s="81"/>
    </row>
    <row r="514" ht="14.25" customHeight="1" spans="1:21">
      <c r="A514" s="81"/>
      <c r="B514" s="81"/>
      <c r="C514" s="81"/>
      <c r="D514" s="681"/>
      <c r="E514" s="681"/>
      <c r="F514" s="81"/>
      <c r="G514" s="681"/>
      <c r="H514" s="683"/>
      <c r="I514" s="81"/>
      <c r="J514" s="81"/>
      <c r="K514" s="81"/>
      <c r="L514" s="81"/>
      <c r="M514" s="81"/>
      <c r="N514" s="681"/>
      <c r="O514" s="81"/>
      <c r="P514" s="81"/>
      <c r="Q514" s="81"/>
      <c r="R514" s="81"/>
      <c r="S514" s="81"/>
      <c r="T514" s="81"/>
      <c r="U514" s="81"/>
    </row>
    <row r="515" ht="14.25" customHeight="1" spans="1:21">
      <c r="A515" s="81"/>
      <c r="B515" s="81"/>
      <c r="C515" s="81"/>
      <c r="D515" s="681"/>
      <c r="E515" s="681"/>
      <c r="F515" s="81"/>
      <c r="G515" s="681"/>
      <c r="H515" s="683"/>
      <c r="I515" s="81"/>
      <c r="J515" s="81"/>
      <c r="K515" s="81"/>
      <c r="L515" s="81"/>
      <c r="M515" s="81"/>
      <c r="N515" s="681"/>
      <c r="O515" s="81"/>
      <c r="P515" s="81"/>
      <c r="Q515" s="81"/>
      <c r="R515" s="81"/>
      <c r="S515" s="81"/>
      <c r="T515" s="81"/>
      <c r="U515" s="81"/>
    </row>
    <row r="516" ht="14.25" customHeight="1" spans="1:21">
      <c r="A516" s="81"/>
      <c r="B516" s="81"/>
      <c r="C516" s="81"/>
      <c r="D516" s="681"/>
      <c r="E516" s="681"/>
      <c r="F516" s="81"/>
      <c r="G516" s="681"/>
      <c r="H516" s="683"/>
      <c r="I516" s="81"/>
      <c r="J516" s="81"/>
      <c r="K516" s="81"/>
      <c r="L516" s="81"/>
      <c r="M516" s="81"/>
      <c r="N516" s="681"/>
      <c r="O516" s="81"/>
      <c r="P516" s="81"/>
      <c r="Q516" s="81"/>
      <c r="R516" s="81"/>
      <c r="S516" s="81"/>
      <c r="T516" s="81"/>
      <c r="U516" s="81"/>
    </row>
    <row r="517" ht="14.25" customHeight="1" spans="1:21">
      <c r="A517" s="81"/>
      <c r="B517" s="81"/>
      <c r="C517" s="81"/>
      <c r="D517" s="681"/>
      <c r="E517" s="681"/>
      <c r="F517" s="81"/>
      <c r="G517" s="681"/>
      <c r="H517" s="683"/>
      <c r="I517" s="81"/>
      <c r="J517" s="81"/>
      <c r="K517" s="81"/>
      <c r="L517" s="81"/>
      <c r="M517" s="81"/>
      <c r="N517" s="681"/>
      <c r="O517" s="81"/>
      <c r="P517" s="81"/>
      <c r="Q517" s="81"/>
      <c r="R517" s="81"/>
      <c r="S517" s="81"/>
      <c r="T517" s="81"/>
      <c r="U517" s="81"/>
    </row>
    <row r="518" ht="14.25" customHeight="1" spans="1:21">
      <c r="A518" s="81"/>
      <c r="B518" s="81"/>
      <c r="C518" s="81"/>
      <c r="D518" s="681"/>
      <c r="E518" s="681"/>
      <c r="F518" s="81"/>
      <c r="G518" s="681"/>
      <c r="H518" s="683"/>
      <c r="I518" s="81"/>
      <c r="J518" s="81"/>
      <c r="K518" s="81"/>
      <c r="L518" s="81"/>
      <c r="M518" s="81"/>
      <c r="N518" s="681"/>
      <c r="O518" s="81"/>
      <c r="P518" s="81"/>
      <c r="Q518" s="81"/>
      <c r="R518" s="81"/>
      <c r="S518" s="81"/>
      <c r="T518" s="81"/>
      <c r="U518" s="81"/>
    </row>
    <row r="519" ht="14.25" customHeight="1" spans="1:21">
      <c r="A519" s="81"/>
      <c r="B519" s="81"/>
      <c r="C519" s="81"/>
      <c r="D519" s="681"/>
      <c r="E519" s="681"/>
      <c r="F519" s="81"/>
      <c r="G519" s="681"/>
      <c r="H519" s="683"/>
      <c r="I519" s="81"/>
      <c r="J519" s="81"/>
      <c r="K519" s="81"/>
      <c r="L519" s="81"/>
      <c r="M519" s="81"/>
      <c r="N519" s="681"/>
      <c r="O519" s="81"/>
      <c r="P519" s="81"/>
      <c r="Q519" s="81"/>
      <c r="R519" s="81"/>
      <c r="S519" s="81"/>
      <c r="T519" s="81"/>
      <c r="U519" s="81"/>
    </row>
    <row r="520" ht="14.25" customHeight="1" spans="1:21">
      <c r="A520" s="81"/>
      <c r="B520" s="81"/>
      <c r="C520" s="81"/>
      <c r="D520" s="681"/>
      <c r="E520" s="681"/>
      <c r="F520" s="81"/>
      <c r="G520" s="681"/>
      <c r="H520" s="683"/>
      <c r="I520" s="81"/>
      <c r="J520" s="81"/>
      <c r="K520" s="81"/>
      <c r="L520" s="81"/>
      <c r="M520" s="81"/>
      <c r="N520" s="681"/>
      <c r="O520" s="81"/>
      <c r="P520" s="81"/>
      <c r="Q520" s="81"/>
      <c r="R520" s="81"/>
      <c r="S520" s="81"/>
      <c r="T520" s="81"/>
      <c r="U520" s="81"/>
    </row>
    <row r="521" ht="14.25" customHeight="1" spans="1:21">
      <c r="A521" s="81"/>
      <c r="B521" s="81"/>
      <c r="C521" s="81"/>
      <c r="D521" s="681"/>
      <c r="E521" s="681"/>
      <c r="F521" s="81"/>
      <c r="G521" s="681"/>
      <c r="H521" s="683"/>
      <c r="I521" s="81"/>
      <c r="J521" s="81"/>
      <c r="K521" s="81"/>
      <c r="L521" s="81"/>
      <c r="M521" s="81"/>
      <c r="N521" s="681"/>
      <c r="O521" s="81"/>
      <c r="P521" s="81"/>
      <c r="Q521" s="81"/>
      <c r="R521" s="81"/>
      <c r="S521" s="81"/>
      <c r="T521" s="81"/>
      <c r="U521" s="81"/>
    </row>
    <row r="522" ht="14.25" customHeight="1" spans="1:21">
      <c r="A522" s="81"/>
      <c r="B522" s="81"/>
      <c r="C522" s="81"/>
      <c r="D522" s="681"/>
      <c r="E522" s="681"/>
      <c r="F522" s="81"/>
      <c r="G522" s="681"/>
      <c r="H522" s="683"/>
      <c r="I522" s="81"/>
      <c r="J522" s="81"/>
      <c r="K522" s="81"/>
      <c r="L522" s="81"/>
      <c r="M522" s="81"/>
      <c r="N522" s="681"/>
      <c r="O522" s="81"/>
      <c r="P522" s="81"/>
      <c r="Q522" s="81"/>
      <c r="R522" s="81"/>
      <c r="S522" s="81"/>
      <c r="T522" s="81"/>
      <c r="U522" s="81"/>
    </row>
    <row r="523" ht="14.25" customHeight="1" spans="1:21">
      <c r="A523" s="81"/>
      <c r="B523" s="81"/>
      <c r="C523" s="81"/>
      <c r="D523" s="681"/>
      <c r="E523" s="681"/>
      <c r="F523" s="81"/>
      <c r="G523" s="681"/>
      <c r="H523" s="683"/>
      <c r="I523" s="81"/>
      <c r="J523" s="81"/>
      <c r="K523" s="81"/>
      <c r="L523" s="81"/>
      <c r="M523" s="81"/>
      <c r="N523" s="681"/>
      <c r="O523" s="81"/>
      <c r="P523" s="81"/>
      <c r="Q523" s="81"/>
      <c r="R523" s="81"/>
      <c r="S523" s="81"/>
      <c r="T523" s="81"/>
      <c r="U523" s="81"/>
    </row>
    <row r="524" ht="14.25" customHeight="1" spans="1:21">
      <c r="A524" s="81"/>
      <c r="B524" s="81"/>
      <c r="C524" s="81"/>
      <c r="D524" s="681"/>
      <c r="E524" s="681"/>
      <c r="F524" s="81"/>
      <c r="G524" s="681"/>
      <c r="H524" s="683"/>
      <c r="I524" s="81"/>
      <c r="J524" s="81"/>
      <c r="K524" s="81"/>
      <c r="L524" s="81"/>
      <c r="M524" s="81"/>
      <c r="N524" s="681"/>
      <c r="O524" s="81"/>
      <c r="P524" s="81"/>
      <c r="Q524" s="81"/>
      <c r="R524" s="81"/>
      <c r="S524" s="81"/>
      <c r="T524" s="81"/>
      <c r="U524" s="81"/>
    </row>
    <row r="525" ht="14.25" customHeight="1" spans="1:21">
      <c r="A525" s="81"/>
      <c r="B525" s="81"/>
      <c r="C525" s="81"/>
      <c r="D525" s="681"/>
      <c r="E525" s="681"/>
      <c r="F525" s="81"/>
      <c r="G525" s="681"/>
      <c r="H525" s="683"/>
      <c r="I525" s="81"/>
      <c r="J525" s="81"/>
      <c r="K525" s="81"/>
      <c r="L525" s="81"/>
      <c r="M525" s="81"/>
      <c r="N525" s="681"/>
      <c r="O525" s="81"/>
      <c r="P525" s="81"/>
      <c r="Q525" s="81"/>
      <c r="R525" s="81"/>
      <c r="S525" s="81"/>
      <c r="T525" s="81"/>
      <c r="U525" s="81"/>
    </row>
    <row r="526" ht="14.25" customHeight="1" spans="1:21">
      <c r="A526" s="81"/>
      <c r="B526" s="81"/>
      <c r="C526" s="81"/>
      <c r="D526" s="681"/>
      <c r="E526" s="681"/>
      <c r="F526" s="81"/>
      <c r="G526" s="681"/>
      <c r="H526" s="683"/>
      <c r="I526" s="81"/>
      <c r="J526" s="81"/>
      <c r="K526" s="81"/>
      <c r="L526" s="81"/>
      <c r="M526" s="81"/>
      <c r="N526" s="681"/>
      <c r="O526" s="81"/>
      <c r="P526" s="81"/>
      <c r="Q526" s="81"/>
      <c r="R526" s="81"/>
      <c r="S526" s="81"/>
      <c r="T526" s="81"/>
      <c r="U526" s="81"/>
    </row>
    <row r="527" ht="14.25" customHeight="1" spans="1:21">
      <c r="A527" s="81"/>
      <c r="B527" s="81"/>
      <c r="C527" s="81"/>
      <c r="D527" s="681"/>
      <c r="E527" s="681"/>
      <c r="F527" s="81"/>
      <c r="G527" s="681"/>
      <c r="H527" s="683"/>
      <c r="I527" s="81"/>
      <c r="J527" s="81"/>
      <c r="K527" s="81"/>
      <c r="L527" s="81"/>
      <c r="M527" s="81"/>
      <c r="N527" s="681"/>
      <c r="O527" s="81"/>
      <c r="P527" s="81"/>
      <c r="Q527" s="81"/>
      <c r="R527" s="81"/>
      <c r="S527" s="81"/>
      <c r="T527" s="81"/>
      <c r="U527" s="81"/>
    </row>
    <row r="528" ht="14.25" customHeight="1" spans="1:21">
      <c r="A528" s="81"/>
      <c r="B528" s="81"/>
      <c r="C528" s="81"/>
      <c r="D528" s="681"/>
      <c r="E528" s="681"/>
      <c r="F528" s="81"/>
      <c r="G528" s="681"/>
      <c r="H528" s="683"/>
      <c r="I528" s="81"/>
      <c r="J528" s="81"/>
      <c r="K528" s="81"/>
      <c r="L528" s="81"/>
      <c r="M528" s="81"/>
      <c r="N528" s="681"/>
      <c r="O528" s="81"/>
      <c r="P528" s="81"/>
      <c r="Q528" s="81"/>
      <c r="R528" s="81"/>
      <c r="S528" s="81"/>
      <c r="T528" s="81"/>
      <c r="U528" s="81"/>
    </row>
    <row r="529" ht="14.25" customHeight="1" spans="1:21">
      <c r="A529" s="81"/>
      <c r="B529" s="81"/>
      <c r="C529" s="81"/>
      <c r="D529" s="681"/>
      <c r="E529" s="681"/>
      <c r="F529" s="81"/>
      <c r="G529" s="681"/>
      <c r="H529" s="683"/>
      <c r="I529" s="81"/>
      <c r="J529" s="81"/>
      <c r="K529" s="81"/>
      <c r="L529" s="81"/>
      <c r="M529" s="81"/>
      <c r="N529" s="681"/>
      <c r="O529" s="81"/>
      <c r="P529" s="81"/>
      <c r="Q529" s="81"/>
      <c r="R529" s="81"/>
      <c r="S529" s="81"/>
      <c r="T529" s="81"/>
      <c r="U529" s="81"/>
    </row>
    <row r="530" ht="14.25" customHeight="1" spans="1:21">
      <c r="A530" s="81"/>
      <c r="B530" s="81"/>
      <c r="C530" s="81"/>
      <c r="D530" s="681"/>
      <c r="E530" s="681"/>
      <c r="F530" s="81"/>
      <c r="G530" s="681"/>
      <c r="H530" s="683"/>
      <c r="I530" s="81"/>
      <c r="J530" s="81"/>
      <c r="K530" s="81"/>
      <c r="L530" s="81"/>
      <c r="M530" s="81"/>
      <c r="N530" s="681"/>
      <c r="O530" s="81"/>
      <c r="P530" s="81"/>
      <c r="Q530" s="81"/>
      <c r="R530" s="81"/>
      <c r="S530" s="81"/>
      <c r="T530" s="81"/>
      <c r="U530" s="81"/>
    </row>
    <row r="531" ht="14.25" customHeight="1" spans="1:21">
      <c r="A531" s="81"/>
      <c r="B531" s="81"/>
      <c r="C531" s="81"/>
      <c r="D531" s="681"/>
      <c r="E531" s="681"/>
      <c r="F531" s="81"/>
      <c r="G531" s="681"/>
      <c r="H531" s="683"/>
      <c r="I531" s="81"/>
      <c r="J531" s="81"/>
      <c r="K531" s="81"/>
      <c r="L531" s="81"/>
      <c r="M531" s="81"/>
      <c r="N531" s="681"/>
      <c r="O531" s="81"/>
      <c r="P531" s="81"/>
      <c r="Q531" s="81"/>
      <c r="R531" s="81"/>
      <c r="S531" s="81"/>
      <c r="T531" s="81"/>
      <c r="U531" s="81"/>
    </row>
    <row r="532" ht="14.25" customHeight="1" spans="1:21">
      <c r="A532" s="81"/>
      <c r="B532" s="81"/>
      <c r="C532" s="81"/>
      <c r="D532" s="681"/>
      <c r="E532" s="681"/>
      <c r="F532" s="81"/>
      <c r="G532" s="681"/>
      <c r="H532" s="683"/>
      <c r="I532" s="81"/>
      <c r="J532" s="81"/>
      <c r="K532" s="81"/>
      <c r="L532" s="81"/>
      <c r="M532" s="81"/>
      <c r="N532" s="681"/>
      <c r="O532" s="81"/>
      <c r="P532" s="81"/>
      <c r="Q532" s="81"/>
      <c r="R532" s="81"/>
      <c r="S532" s="81"/>
      <c r="T532" s="81"/>
      <c r="U532" s="81"/>
    </row>
    <row r="533" ht="14.25" customHeight="1" spans="1:21">
      <c r="A533" s="81"/>
      <c r="B533" s="81"/>
      <c r="C533" s="81"/>
      <c r="D533" s="681"/>
      <c r="E533" s="681"/>
      <c r="F533" s="81"/>
      <c r="G533" s="681"/>
      <c r="H533" s="683"/>
      <c r="I533" s="81"/>
      <c r="J533" s="81"/>
      <c r="K533" s="81"/>
      <c r="L533" s="81"/>
      <c r="M533" s="81"/>
      <c r="N533" s="681"/>
      <c r="O533" s="81"/>
      <c r="P533" s="81"/>
      <c r="Q533" s="81"/>
      <c r="R533" s="81"/>
      <c r="S533" s="81"/>
      <c r="T533" s="81"/>
      <c r="U533" s="81"/>
    </row>
    <row r="534" ht="14.25" customHeight="1" spans="1:21">
      <c r="A534" s="81"/>
      <c r="B534" s="81"/>
      <c r="C534" s="81"/>
      <c r="D534" s="681"/>
      <c r="E534" s="681"/>
      <c r="F534" s="81"/>
      <c r="G534" s="681"/>
      <c r="H534" s="683"/>
      <c r="I534" s="81"/>
      <c r="J534" s="81"/>
      <c r="K534" s="81"/>
      <c r="L534" s="81"/>
      <c r="M534" s="81"/>
      <c r="N534" s="681"/>
      <c r="O534" s="81"/>
      <c r="P534" s="81"/>
      <c r="Q534" s="81"/>
      <c r="R534" s="81"/>
      <c r="S534" s="81"/>
      <c r="T534" s="81"/>
      <c r="U534" s="81"/>
    </row>
    <row r="535" ht="14.25" customHeight="1" spans="1:21">
      <c r="A535" s="81"/>
      <c r="B535" s="81"/>
      <c r="C535" s="81"/>
      <c r="D535" s="681"/>
      <c r="E535" s="681"/>
      <c r="F535" s="81"/>
      <c r="G535" s="681"/>
      <c r="H535" s="683"/>
      <c r="I535" s="81"/>
      <c r="J535" s="81"/>
      <c r="K535" s="81"/>
      <c r="L535" s="81"/>
      <c r="M535" s="81"/>
      <c r="N535" s="681"/>
      <c r="O535" s="81"/>
      <c r="P535" s="81"/>
      <c r="Q535" s="81"/>
      <c r="R535" s="81"/>
      <c r="S535" s="81"/>
      <c r="T535" s="81"/>
      <c r="U535" s="81"/>
    </row>
    <row r="536" ht="14.25" customHeight="1" spans="1:21">
      <c r="A536" s="81"/>
      <c r="B536" s="81"/>
      <c r="C536" s="81"/>
      <c r="D536" s="681"/>
      <c r="E536" s="681"/>
      <c r="F536" s="81"/>
      <c r="G536" s="681"/>
      <c r="H536" s="683"/>
      <c r="I536" s="81"/>
      <c r="J536" s="81"/>
      <c r="K536" s="81"/>
      <c r="L536" s="81"/>
      <c r="M536" s="81"/>
      <c r="N536" s="681"/>
      <c r="O536" s="81"/>
      <c r="P536" s="81"/>
      <c r="Q536" s="81"/>
      <c r="R536" s="81"/>
      <c r="S536" s="81"/>
      <c r="T536" s="81"/>
      <c r="U536" s="81"/>
    </row>
    <row r="537" ht="14.25" customHeight="1" spans="1:21">
      <c r="A537" s="81"/>
      <c r="B537" s="81"/>
      <c r="C537" s="81"/>
      <c r="D537" s="681"/>
      <c r="E537" s="681"/>
      <c r="F537" s="81"/>
      <c r="G537" s="681"/>
      <c r="H537" s="683"/>
      <c r="I537" s="81"/>
      <c r="J537" s="81"/>
      <c r="K537" s="81"/>
      <c r="L537" s="81"/>
      <c r="M537" s="81"/>
      <c r="N537" s="681"/>
      <c r="O537" s="81"/>
      <c r="P537" s="81"/>
      <c r="Q537" s="81"/>
      <c r="R537" s="81"/>
      <c r="S537" s="81"/>
      <c r="T537" s="81"/>
      <c r="U537" s="81"/>
    </row>
    <row r="538" ht="14.25" customHeight="1" spans="1:21">
      <c r="A538" s="81"/>
      <c r="B538" s="81"/>
      <c r="C538" s="81"/>
      <c r="D538" s="681"/>
      <c r="E538" s="681"/>
      <c r="F538" s="81"/>
      <c r="G538" s="681"/>
      <c r="H538" s="683"/>
      <c r="I538" s="81"/>
      <c r="J538" s="81"/>
      <c r="K538" s="81"/>
      <c r="L538" s="81"/>
      <c r="M538" s="81"/>
      <c r="N538" s="681"/>
      <c r="O538" s="81"/>
      <c r="P538" s="81"/>
      <c r="Q538" s="81"/>
      <c r="R538" s="81"/>
      <c r="S538" s="81"/>
      <c r="T538" s="81"/>
      <c r="U538" s="81"/>
    </row>
    <row r="539" ht="14.25" customHeight="1" spans="1:21">
      <c r="A539" s="81"/>
      <c r="B539" s="81"/>
      <c r="C539" s="81"/>
      <c r="D539" s="681"/>
      <c r="E539" s="681"/>
      <c r="F539" s="81"/>
      <c r="G539" s="681"/>
      <c r="H539" s="683"/>
      <c r="I539" s="81"/>
      <c r="J539" s="81"/>
      <c r="K539" s="81"/>
      <c r="L539" s="81"/>
      <c r="M539" s="81"/>
      <c r="N539" s="681"/>
      <c r="O539" s="81"/>
      <c r="P539" s="81"/>
      <c r="Q539" s="81"/>
      <c r="R539" s="81"/>
      <c r="S539" s="81"/>
      <c r="T539" s="81"/>
      <c r="U539" s="81"/>
    </row>
    <row r="540" ht="14.25" customHeight="1" spans="1:21">
      <c r="A540" s="81"/>
      <c r="B540" s="81"/>
      <c r="C540" s="81"/>
      <c r="D540" s="681"/>
      <c r="E540" s="681"/>
      <c r="F540" s="81"/>
      <c r="G540" s="681"/>
      <c r="H540" s="683"/>
      <c r="I540" s="81"/>
      <c r="J540" s="81"/>
      <c r="K540" s="81"/>
      <c r="L540" s="81"/>
      <c r="M540" s="81"/>
      <c r="N540" s="681"/>
      <c r="O540" s="81"/>
      <c r="P540" s="81"/>
      <c r="Q540" s="81"/>
      <c r="R540" s="81"/>
      <c r="S540" s="81"/>
      <c r="T540" s="81"/>
      <c r="U540" s="81"/>
    </row>
    <row r="541" ht="14.25" customHeight="1" spans="1:21">
      <c r="A541" s="81"/>
      <c r="B541" s="81"/>
      <c r="C541" s="81"/>
      <c r="D541" s="681"/>
      <c r="E541" s="681"/>
      <c r="F541" s="81"/>
      <c r="G541" s="681"/>
      <c r="H541" s="683"/>
      <c r="I541" s="81"/>
      <c r="J541" s="81"/>
      <c r="K541" s="81"/>
      <c r="L541" s="81"/>
      <c r="M541" s="81"/>
      <c r="N541" s="681"/>
      <c r="O541" s="81"/>
      <c r="P541" s="81"/>
      <c r="Q541" s="81"/>
      <c r="R541" s="81"/>
      <c r="S541" s="81"/>
      <c r="T541" s="81"/>
      <c r="U541" s="81"/>
    </row>
    <row r="542" ht="14.25" customHeight="1" spans="1:21">
      <c r="A542" s="81"/>
      <c r="B542" s="81"/>
      <c r="C542" s="81"/>
      <c r="D542" s="681"/>
      <c r="E542" s="681"/>
      <c r="F542" s="81"/>
      <c r="G542" s="681"/>
      <c r="H542" s="683"/>
      <c r="I542" s="81"/>
      <c r="J542" s="81"/>
      <c r="K542" s="81"/>
      <c r="L542" s="81"/>
      <c r="M542" s="81"/>
      <c r="N542" s="681"/>
      <c r="O542" s="81"/>
      <c r="P542" s="81"/>
      <c r="Q542" s="81"/>
      <c r="R542" s="81"/>
      <c r="S542" s="81"/>
      <c r="T542" s="81"/>
      <c r="U542" s="81"/>
    </row>
    <row r="543" ht="14.25" customHeight="1" spans="1:21">
      <c r="A543" s="81"/>
      <c r="B543" s="81"/>
      <c r="C543" s="81"/>
      <c r="D543" s="681"/>
      <c r="E543" s="681"/>
      <c r="F543" s="81"/>
      <c r="G543" s="681"/>
      <c r="H543" s="683"/>
      <c r="I543" s="81"/>
      <c r="J543" s="81"/>
      <c r="K543" s="81"/>
      <c r="L543" s="81"/>
      <c r="M543" s="81"/>
      <c r="N543" s="681"/>
      <c r="O543" s="81"/>
      <c r="P543" s="81"/>
      <c r="Q543" s="81"/>
      <c r="R543" s="81"/>
      <c r="S543" s="81"/>
      <c r="T543" s="81"/>
      <c r="U543" s="81"/>
    </row>
    <row r="544" ht="14.25" customHeight="1" spans="1:21">
      <c r="A544" s="81"/>
      <c r="B544" s="81"/>
      <c r="C544" s="81"/>
      <c r="D544" s="681"/>
      <c r="E544" s="681"/>
      <c r="F544" s="81"/>
      <c r="G544" s="681"/>
      <c r="H544" s="683"/>
      <c r="I544" s="81"/>
      <c r="J544" s="81"/>
      <c r="K544" s="81"/>
      <c r="L544" s="81"/>
      <c r="M544" s="81"/>
      <c r="N544" s="681"/>
      <c r="O544" s="81"/>
      <c r="P544" s="81"/>
      <c r="Q544" s="81"/>
      <c r="R544" s="81"/>
      <c r="S544" s="81"/>
      <c r="T544" s="81"/>
      <c r="U544" s="81"/>
    </row>
    <row r="545" ht="14.25" customHeight="1" spans="1:21">
      <c r="A545" s="81"/>
      <c r="B545" s="81"/>
      <c r="C545" s="81"/>
      <c r="D545" s="681"/>
      <c r="E545" s="681"/>
      <c r="F545" s="81"/>
      <c r="G545" s="681"/>
      <c r="H545" s="683"/>
      <c r="I545" s="81"/>
      <c r="J545" s="81"/>
      <c r="K545" s="81"/>
      <c r="L545" s="81"/>
      <c r="M545" s="81"/>
      <c r="N545" s="681"/>
      <c r="O545" s="81"/>
      <c r="P545" s="81"/>
      <c r="Q545" s="81"/>
      <c r="R545" s="81"/>
      <c r="S545" s="81"/>
      <c r="T545" s="81"/>
      <c r="U545" s="81"/>
    </row>
    <row r="546" ht="14.25" customHeight="1" spans="1:21">
      <c r="A546" s="81"/>
      <c r="B546" s="81"/>
      <c r="C546" s="81"/>
      <c r="D546" s="681"/>
      <c r="E546" s="681"/>
      <c r="F546" s="81"/>
      <c r="G546" s="681"/>
      <c r="H546" s="683"/>
      <c r="I546" s="81"/>
      <c r="J546" s="81"/>
      <c r="K546" s="81"/>
      <c r="L546" s="81"/>
      <c r="M546" s="81"/>
      <c r="N546" s="681"/>
      <c r="O546" s="81"/>
      <c r="P546" s="81"/>
      <c r="Q546" s="81"/>
      <c r="R546" s="81"/>
      <c r="S546" s="81"/>
      <c r="T546" s="81"/>
      <c r="U546" s="81"/>
    </row>
    <row r="547" ht="14.25" customHeight="1" spans="1:21">
      <c r="A547" s="81"/>
      <c r="B547" s="81"/>
      <c r="C547" s="81"/>
      <c r="D547" s="681"/>
      <c r="E547" s="681"/>
      <c r="F547" s="81"/>
      <c r="G547" s="681"/>
      <c r="H547" s="683"/>
      <c r="I547" s="81"/>
      <c r="J547" s="81"/>
      <c r="K547" s="81"/>
      <c r="L547" s="81"/>
      <c r="M547" s="81"/>
      <c r="N547" s="681"/>
      <c r="O547" s="81"/>
      <c r="P547" s="81"/>
      <c r="Q547" s="81"/>
      <c r="R547" s="81"/>
      <c r="S547" s="81"/>
      <c r="T547" s="81"/>
      <c r="U547" s="81"/>
    </row>
    <row r="548" ht="14.25" customHeight="1" spans="1:21">
      <c r="A548" s="81"/>
      <c r="B548" s="81"/>
      <c r="C548" s="81"/>
      <c r="D548" s="681"/>
      <c r="E548" s="681"/>
      <c r="F548" s="81"/>
      <c r="G548" s="681"/>
      <c r="H548" s="683"/>
      <c r="I548" s="81"/>
      <c r="J548" s="81"/>
      <c r="K548" s="81"/>
      <c r="L548" s="81"/>
      <c r="M548" s="81"/>
      <c r="N548" s="681"/>
      <c r="O548" s="81"/>
      <c r="P548" s="81"/>
      <c r="Q548" s="81"/>
      <c r="R548" s="81"/>
      <c r="S548" s="81"/>
      <c r="T548" s="81"/>
      <c r="U548" s="81"/>
    </row>
    <row r="549" ht="14.25" customHeight="1" spans="1:21">
      <c r="A549" s="81"/>
      <c r="B549" s="81"/>
      <c r="C549" s="81"/>
      <c r="D549" s="681"/>
      <c r="E549" s="681"/>
      <c r="F549" s="81"/>
      <c r="G549" s="681"/>
      <c r="H549" s="683"/>
      <c r="I549" s="81"/>
      <c r="J549" s="81"/>
      <c r="K549" s="81"/>
      <c r="L549" s="81"/>
      <c r="M549" s="81"/>
      <c r="N549" s="681"/>
      <c r="O549" s="81"/>
      <c r="P549" s="81"/>
      <c r="Q549" s="81"/>
      <c r="R549" s="81"/>
      <c r="S549" s="81"/>
      <c r="T549" s="81"/>
      <c r="U549" s="81"/>
    </row>
    <row r="550" ht="14.25" customHeight="1" spans="1:21">
      <c r="A550" s="81"/>
      <c r="B550" s="81"/>
      <c r="C550" s="81"/>
      <c r="D550" s="681"/>
      <c r="E550" s="681"/>
      <c r="F550" s="81"/>
      <c r="G550" s="681"/>
      <c r="H550" s="683"/>
      <c r="I550" s="81"/>
      <c r="J550" s="81"/>
      <c r="K550" s="81"/>
      <c r="L550" s="81"/>
      <c r="M550" s="81"/>
      <c r="N550" s="681"/>
      <c r="O550" s="81"/>
      <c r="P550" s="81"/>
      <c r="Q550" s="81"/>
      <c r="R550" s="81"/>
      <c r="S550" s="81"/>
      <c r="T550" s="81"/>
      <c r="U550" s="81"/>
    </row>
    <row r="551" ht="14.25" customHeight="1" spans="1:21">
      <c r="A551" s="81"/>
      <c r="B551" s="81"/>
      <c r="C551" s="81"/>
      <c r="D551" s="681"/>
      <c r="E551" s="681"/>
      <c r="F551" s="81"/>
      <c r="G551" s="681"/>
      <c r="H551" s="683"/>
      <c r="I551" s="81"/>
      <c r="J551" s="81"/>
      <c r="K551" s="81"/>
      <c r="L551" s="81"/>
      <c r="M551" s="81"/>
      <c r="N551" s="681"/>
      <c r="O551" s="81"/>
      <c r="P551" s="81"/>
      <c r="Q551" s="81"/>
      <c r="R551" s="81"/>
      <c r="S551" s="81"/>
      <c r="T551" s="81"/>
      <c r="U551" s="81"/>
    </row>
    <row r="552" ht="14.25" customHeight="1" spans="1:21">
      <c r="A552" s="81"/>
      <c r="B552" s="81"/>
      <c r="C552" s="81"/>
      <c r="D552" s="681"/>
      <c r="E552" s="681"/>
      <c r="F552" s="81"/>
      <c r="G552" s="681"/>
      <c r="H552" s="683"/>
      <c r="I552" s="81"/>
      <c r="J552" s="81"/>
      <c r="K552" s="81"/>
      <c r="L552" s="81"/>
      <c r="M552" s="81"/>
      <c r="N552" s="681"/>
      <c r="O552" s="81"/>
      <c r="P552" s="81"/>
      <c r="Q552" s="81"/>
      <c r="R552" s="81"/>
      <c r="S552" s="81"/>
      <c r="T552" s="81"/>
      <c r="U552" s="81"/>
    </row>
    <row r="553" ht="14.25" customHeight="1" spans="1:21">
      <c r="A553" s="81"/>
      <c r="B553" s="81"/>
      <c r="C553" s="81"/>
      <c r="D553" s="681"/>
      <c r="E553" s="681"/>
      <c r="F553" s="81"/>
      <c r="G553" s="681"/>
      <c r="H553" s="683"/>
      <c r="I553" s="81"/>
      <c r="J553" s="81"/>
      <c r="K553" s="81"/>
      <c r="L553" s="81"/>
      <c r="M553" s="81"/>
      <c r="N553" s="681"/>
      <c r="O553" s="81"/>
      <c r="P553" s="81"/>
      <c r="Q553" s="81"/>
      <c r="R553" s="81"/>
      <c r="S553" s="81"/>
      <c r="T553" s="81"/>
      <c r="U553" s="81"/>
    </row>
    <row r="554" ht="14.25" customHeight="1" spans="1:21">
      <c r="A554" s="81"/>
      <c r="B554" s="81"/>
      <c r="C554" s="81"/>
      <c r="D554" s="681"/>
      <c r="E554" s="681"/>
      <c r="F554" s="81"/>
      <c r="G554" s="681"/>
      <c r="H554" s="683"/>
      <c r="I554" s="81"/>
      <c r="J554" s="81"/>
      <c r="K554" s="81"/>
      <c r="L554" s="81"/>
      <c r="M554" s="81"/>
      <c r="N554" s="681"/>
      <c r="O554" s="81"/>
      <c r="P554" s="81"/>
      <c r="Q554" s="81"/>
      <c r="R554" s="81"/>
      <c r="S554" s="81"/>
      <c r="T554" s="81"/>
      <c r="U554" s="81"/>
    </row>
    <row r="555" ht="14.25" customHeight="1" spans="1:21">
      <c r="A555" s="81"/>
      <c r="B555" s="81"/>
      <c r="C555" s="81"/>
      <c r="D555" s="681"/>
      <c r="E555" s="681"/>
      <c r="F555" s="81"/>
      <c r="G555" s="681"/>
      <c r="H555" s="683"/>
      <c r="I555" s="81"/>
      <c r="J555" s="81"/>
      <c r="K555" s="81"/>
      <c r="L555" s="81"/>
      <c r="M555" s="81"/>
      <c r="N555" s="681"/>
      <c r="O555" s="81"/>
      <c r="P555" s="81"/>
      <c r="Q555" s="81"/>
      <c r="R555" s="81"/>
      <c r="S555" s="81"/>
      <c r="T555" s="81"/>
      <c r="U555" s="81"/>
    </row>
    <row r="556" ht="14.25" customHeight="1" spans="1:21">
      <c r="A556" s="81"/>
      <c r="B556" s="81"/>
      <c r="C556" s="81"/>
      <c r="D556" s="681"/>
      <c r="E556" s="681"/>
      <c r="F556" s="81"/>
      <c r="G556" s="681"/>
      <c r="H556" s="683"/>
      <c r="I556" s="81"/>
      <c r="J556" s="81"/>
      <c r="K556" s="81"/>
      <c r="L556" s="81"/>
      <c r="M556" s="81"/>
      <c r="N556" s="681"/>
      <c r="O556" s="81"/>
      <c r="P556" s="81"/>
      <c r="Q556" s="81"/>
      <c r="R556" s="81"/>
      <c r="S556" s="81"/>
      <c r="T556" s="81"/>
      <c r="U556" s="81"/>
    </row>
    <row r="557" ht="14.25" customHeight="1" spans="1:21">
      <c r="A557" s="81"/>
      <c r="B557" s="81"/>
      <c r="C557" s="81"/>
      <c r="D557" s="681"/>
      <c r="E557" s="681"/>
      <c r="F557" s="81"/>
      <c r="G557" s="681"/>
      <c r="H557" s="683"/>
      <c r="I557" s="81"/>
      <c r="J557" s="81"/>
      <c r="K557" s="81"/>
      <c r="L557" s="81"/>
      <c r="M557" s="81"/>
      <c r="N557" s="681"/>
      <c r="O557" s="81"/>
      <c r="P557" s="81"/>
      <c r="Q557" s="81"/>
      <c r="R557" s="81"/>
      <c r="S557" s="81"/>
      <c r="T557" s="81"/>
      <c r="U557" s="81"/>
    </row>
    <row r="558" ht="14.25" customHeight="1" spans="1:21">
      <c r="A558" s="81"/>
      <c r="B558" s="81"/>
      <c r="C558" s="81"/>
      <c r="D558" s="681"/>
      <c r="E558" s="681"/>
      <c r="F558" s="81"/>
      <c r="G558" s="681"/>
      <c r="H558" s="683"/>
      <c r="I558" s="81"/>
      <c r="J558" s="81"/>
      <c r="K558" s="81"/>
      <c r="L558" s="81"/>
      <c r="M558" s="81"/>
      <c r="N558" s="681"/>
      <c r="O558" s="81"/>
      <c r="P558" s="81"/>
      <c r="Q558" s="81"/>
      <c r="R558" s="81"/>
      <c r="S558" s="81"/>
      <c r="T558" s="81"/>
      <c r="U558" s="81"/>
    </row>
    <row r="559" ht="14.25" customHeight="1" spans="1:21">
      <c r="A559" s="81"/>
      <c r="B559" s="81"/>
      <c r="C559" s="81"/>
      <c r="D559" s="681"/>
      <c r="E559" s="681"/>
      <c r="F559" s="81"/>
      <c r="G559" s="681"/>
      <c r="H559" s="683"/>
      <c r="I559" s="81"/>
      <c r="J559" s="81"/>
      <c r="K559" s="81"/>
      <c r="L559" s="81"/>
      <c r="M559" s="81"/>
      <c r="N559" s="681"/>
      <c r="O559" s="81"/>
      <c r="P559" s="81"/>
      <c r="Q559" s="81"/>
      <c r="R559" s="81"/>
      <c r="S559" s="81"/>
      <c r="T559" s="81"/>
      <c r="U559" s="81"/>
    </row>
    <row r="560" ht="14.25" customHeight="1" spans="1:21">
      <c r="A560" s="81"/>
      <c r="B560" s="81"/>
      <c r="C560" s="81"/>
      <c r="D560" s="681"/>
      <c r="E560" s="681"/>
      <c r="F560" s="81"/>
      <c r="G560" s="681"/>
      <c r="H560" s="683"/>
      <c r="I560" s="81"/>
      <c r="J560" s="81"/>
      <c r="K560" s="81"/>
      <c r="L560" s="81"/>
      <c r="M560" s="81"/>
      <c r="N560" s="681"/>
      <c r="O560" s="81"/>
      <c r="P560" s="81"/>
      <c r="Q560" s="81"/>
      <c r="R560" s="81"/>
      <c r="S560" s="81"/>
      <c r="T560" s="81"/>
      <c r="U560" s="81"/>
    </row>
    <row r="561" ht="14.25" customHeight="1" spans="1:21">
      <c r="A561" s="81"/>
      <c r="B561" s="81"/>
      <c r="C561" s="81"/>
      <c r="D561" s="681"/>
      <c r="E561" s="681"/>
      <c r="F561" s="81"/>
      <c r="G561" s="681"/>
      <c r="H561" s="683"/>
      <c r="I561" s="81"/>
      <c r="J561" s="81"/>
      <c r="K561" s="81"/>
      <c r="L561" s="81"/>
      <c r="M561" s="81"/>
      <c r="N561" s="681"/>
      <c r="O561" s="81"/>
      <c r="P561" s="81"/>
      <c r="Q561" s="81"/>
      <c r="R561" s="81"/>
      <c r="S561" s="81"/>
      <c r="T561" s="81"/>
      <c r="U561" s="81"/>
    </row>
    <row r="562" ht="14.25" customHeight="1" spans="1:21">
      <c r="A562" s="81"/>
      <c r="B562" s="81"/>
      <c r="C562" s="81"/>
      <c r="D562" s="681"/>
      <c r="E562" s="681"/>
      <c r="F562" s="81"/>
      <c r="G562" s="681"/>
      <c r="H562" s="683"/>
      <c r="I562" s="81"/>
      <c r="J562" s="81"/>
      <c r="K562" s="81"/>
      <c r="L562" s="81"/>
      <c r="M562" s="81"/>
      <c r="N562" s="681"/>
      <c r="O562" s="81"/>
      <c r="P562" s="81"/>
      <c r="Q562" s="81"/>
      <c r="R562" s="81"/>
      <c r="S562" s="81"/>
      <c r="T562" s="81"/>
      <c r="U562" s="81"/>
    </row>
    <row r="563" ht="14.25" customHeight="1" spans="1:21">
      <c r="A563" s="81"/>
      <c r="B563" s="81"/>
      <c r="C563" s="81"/>
      <c r="D563" s="681"/>
      <c r="E563" s="681"/>
      <c r="F563" s="81"/>
      <c r="G563" s="681"/>
      <c r="H563" s="683"/>
      <c r="I563" s="81"/>
      <c r="J563" s="81"/>
      <c r="K563" s="81"/>
      <c r="L563" s="81"/>
      <c r="M563" s="81"/>
      <c r="N563" s="681"/>
      <c r="O563" s="81"/>
      <c r="P563" s="81"/>
      <c r="Q563" s="81"/>
      <c r="R563" s="81"/>
      <c r="S563" s="81"/>
      <c r="T563" s="81"/>
      <c r="U563" s="81"/>
    </row>
    <row r="564" ht="14.25" customHeight="1" spans="1:21">
      <c r="A564" s="81"/>
      <c r="B564" s="81"/>
      <c r="C564" s="81"/>
      <c r="D564" s="681"/>
      <c r="E564" s="681"/>
      <c r="F564" s="81"/>
      <c r="G564" s="681"/>
      <c r="H564" s="683"/>
      <c r="I564" s="81"/>
      <c r="J564" s="81"/>
      <c r="K564" s="81"/>
      <c r="L564" s="81"/>
      <c r="M564" s="81"/>
      <c r="N564" s="681"/>
      <c r="O564" s="81"/>
      <c r="P564" s="81"/>
      <c r="Q564" s="81"/>
      <c r="R564" s="81"/>
      <c r="S564" s="81"/>
      <c r="T564" s="81"/>
      <c r="U564" s="81"/>
    </row>
    <row r="565" ht="14.25" customHeight="1" spans="1:21">
      <c r="A565" s="81"/>
      <c r="B565" s="81"/>
      <c r="C565" s="81"/>
      <c r="D565" s="681"/>
      <c r="E565" s="681"/>
      <c r="F565" s="81"/>
      <c r="G565" s="681"/>
      <c r="H565" s="683"/>
      <c r="I565" s="81"/>
      <c r="J565" s="81"/>
      <c r="K565" s="81"/>
      <c r="L565" s="81"/>
      <c r="M565" s="81"/>
      <c r="N565" s="681"/>
      <c r="O565" s="81"/>
      <c r="P565" s="81"/>
      <c r="Q565" s="81"/>
      <c r="R565" s="81"/>
      <c r="S565" s="81"/>
      <c r="T565" s="81"/>
      <c r="U565" s="81"/>
    </row>
    <row r="566" ht="14.25" customHeight="1" spans="1:21">
      <c r="A566" s="81"/>
      <c r="B566" s="81"/>
      <c r="C566" s="81"/>
      <c r="D566" s="681"/>
      <c r="E566" s="681"/>
      <c r="F566" s="81"/>
      <c r="G566" s="681"/>
      <c r="H566" s="683"/>
      <c r="I566" s="81"/>
      <c r="J566" s="81"/>
      <c r="K566" s="81"/>
      <c r="L566" s="81"/>
      <c r="M566" s="81"/>
      <c r="N566" s="681"/>
      <c r="O566" s="81"/>
      <c r="P566" s="81"/>
      <c r="Q566" s="81"/>
      <c r="R566" s="81"/>
      <c r="S566" s="81"/>
      <c r="T566" s="81"/>
      <c r="U566" s="81"/>
    </row>
    <row r="567" ht="14.25" customHeight="1" spans="1:21">
      <c r="A567" s="81"/>
      <c r="B567" s="81"/>
      <c r="C567" s="81"/>
      <c r="D567" s="681"/>
      <c r="E567" s="681"/>
      <c r="F567" s="81"/>
      <c r="G567" s="681"/>
      <c r="H567" s="683"/>
      <c r="I567" s="81"/>
      <c r="J567" s="81"/>
      <c r="K567" s="81"/>
      <c r="L567" s="81"/>
      <c r="M567" s="81"/>
      <c r="N567" s="681"/>
      <c r="O567" s="81"/>
      <c r="P567" s="81"/>
      <c r="Q567" s="81"/>
      <c r="R567" s="81"/>
      <c r="S567" s="81"/>
      <c r="T567" s="81"/>
      <c r="U567" s="81"/>
    </row>
    <row r="568" ht="14.25" customHeight="1" spans="1:21">
      <c r="A568" s="81"/>
      <c r="B568" s="81"/>
      <c r="C568" s="81"/>
      <c r="D568" s="681"/>
      <c r="E568" s="681"/>
      <c r="F568" s="81"/>
      <c r="G568" s="681"/>
      <c r="H568" s="683"/>
      <c r="I568" s="81"/>
      <c r="J568" s="81"/>
      <c r="K568" s="81"/>
      <c r="L568" s="81"/>
      <c r="M568" s="81"/>
      <c r="N568" s="681"/>
      <c r="O568" s="81"/>
      <c r="P568" s="81"/>
      <c r="Q568" s="81"/>
      <c r="R568" s="81"/>
      <c r="S568" s="81"/>
      <c r="T568" s="81"/>
      <c r="U568" s="81"/>
    </row>
    <row r="569" ht="14.25" customHeight="1" spans="1:21">
      <c r="A569" s="81"/>
      <c r="B569" s="81"/>
      <c r="C569" s="81"/>
      <c r="D569" s="681"/>
      <c r="E569" s="681"/>
      <c r="F569" s="81"/>
      <c r="G569" s="681"/>
      <c r="H569" s="683"/>
      <c r="I569" s="81"/>
      <c r="J569" s="81"/>
      <c r="K569" s="81"/>
      <c r="L569" s="81"/>
      <c r="M569" s="81"/>
      <c r="N569" s="681"/>
      <c r="O569" s="81"/>
      <c r="P569" s="81"/>
      <c r="Q569" s="81"/>
      <c r="R569" s="81"/>
      <c r="S569" s="81"/>
      <c r="T569" s="81"/>
      <c r="U569" s="81"/>
    </row>
    <row r="570" ht="14.25" customHeight="1" spans="1:21">
      <c r="A570" s="81"/>
      <c r="B570" s="81"/>
      <c r="C570" s="81"/>
      <c r="D570" s="681"/>
      <c r="E570" s="681"/>
      <c r="F570" s="81"/>
      <c r="G570" s="681"/>
      <c r="H570" s="683"/>
      <c r="I570" s="81"/>
      <c r="J570" s="81"/>
      <c r="K570" s="81"/>
      <c r="L570" s="81"/>
      <c r="M570" s="81"/>
      <c r="N570" s="681"/>
      <c r="O570" s="81"/>
      <c r="P570" s="81"/>
      <c r="Q570" s="81"/>
      <c r="R570" s="81"/>
      <c r="S570" s="81"/>
      <c r="T570" s="81"/>
      <c r="U570" s="81"/>
    </row>
    <row r="571" ht="14.25" customHeight="1" spans="1:21">
      <c r="A571" s="81"/>
      <c r="B571" s="81"/>
      <c r="C571" s="81"/>
      <c r="D571" s="681"/>
      <c r="E571" s="681"/>
      <c r="F571" s="81"/>
      <c r="G571" s="681"/>
      <c r="H571" s="683"/>
      <c r="I571" s="81"/>
      <c r="J571" s="81"/>
      <c r="K571" s="81"/>
      <c r="L571" s="81"/>
      <c r="M571" s="81"/>
      <c r="N571" s="681"/>
      <c r="O571" s="81"/>
      <c r="P571" s="81"/>
      <c r="Q571" s="81"/>
      <c r="R571" s="81"/>
      <c r="S571" s="81"/>
      <c r="T571" s="81"/>
      <c r="U571" s="81"/>
    </row>
    <row r="572" ht="14.25" customHeight="1" spans="1:21">
      <c r="A572" s="81"/>
      <c r="B572" s="81"/>
      <c r="C572" s="81"/>
      <c r="D572" s="681"/>
      <c r="E572" s="681"/>
      <c r="F572" s="81"/>
      <c r="G572" s="681"/>
      <c r="H572" s="683"/>
      <c r="I572" s="81"/>
      <c r="J572" s="81"/>
      <c r="K572" s="81"/>
      <c r="L572" s="81"/>
      <c r="M572" s="81"/>
      <c r="N572" s="681"/>
      <c r="O572" s="81"/>
      <c r="P572" s="81"/>
      <c r="Q572" s="81"/>
      <c r="R572" s="81"/>
      <c r="S572" s="81"/>
      <c r="T572" s="81"/>
      <c r="U572" s="81"/>
    </row>
    <row r="573" ht="14.25" customHeight="1" spans="1:21">
      <c r="A573" s="81"/>
      <c r="B573" s="81"/>
      <c r="C573" s="81"/>
      <c r="D573" s="681"/>
      <c r="E573" s="681"/>
      <c r="F573" s="81"/>
      <c r="G573" s="681"/>
      <c r="H573" s="683"/>
      <c r="I573" s="81"/>
      <c r="J573" s="81"/>
      <c r="K573" s="81"/>
      <c r="L573" s="81"/>
      <c r="M573" s="81"/>
      <c r="N573" s="681"/>
      <c r="O573" s="81"/>
      <c r="P573" s="81"/>
      <c r="Q573" s="81"/>
      <c r="R573" s="81"/>
      <c r="S573" s="81"/>
      <c r="T573" s="81"/>
      <c r="U573" s="81"/>
    </row>
    <row r="574" ht="14.25" customHeight="1" spans="1:21">
      <c r="A574" s="81"/>
      <c r="B574" s="81"/>
      <c r="C574" s="81"/>
      <c r="D574" s="681"/>
      <c r="E574" s="681"/>
      <c r="F574" s="81"/>
      <c r="G574" s="681"/>
      <c r="H574" s="683"/>
      <c r="I574" s="81"/>
      <c r="J574" s="81"/>
      <c r="K574" s="81"/>
      <c r="L574" s="81"/>
      <c r="M574" s="81"/>
      <c r="N574" s="681"/>
      <c r="O574" s="81"/>
      <c r="P574" s="81"/>
      <c r="Q574" s="81"/>
      <c r="R574" s="81"/>
      <c r="S574" s="81"/>
      <c r="T574" s="81"/>
      <c r="U574" s="81"/>
    </row>
    <row r="575" ht="14.25" customHeight="1" spans="1:21">
      <c r="A575" s="81"/>
      <c r="B575" s="81"/>
      <c r="C575" s="81"/>
      <c r="D575" s="681"/>
      <c r="E575" s="681"/>
      <c r="F575" s="81"/>
      <c r="G575" s="681"/>
      <c r="H575" s="683"/>
      <c r="I575" s="81"/>
      <c r="J575" s="81"/>
      <c r="K575" s="81"/>
      <c r="L575" s="81"/>
      <c r="M575" s="81"/>
      <c r="N575" s="681"/>
      <c r="O575" s="81"/>
      <c r="P575" s="81"/>
      <c r="Q575" s="81"/>
      <c r="R575" s="81"/>
      <c r="S575" s="81"/>
      <c r="T575" s="81"/>
      <c r="U575" s="81"/>
    </row>
    <row r="576" ht="14.25" customHeight="1" spans="1:21">
      <c r="A576" s="81"/>
      <c r="B576" s="81"/>
      <c r="C576" s="81"/>
      <c r="D576" s="681"/>
      <c r="E576" s="681"/>
      <c r="F576" s="81"/>
      <c r="G576" s="681"/>
      <c r="H576" s="683"/>
      <c r="I576" s="81"/>
      <c r="J576" s="81"/>
      <c r="K576" s="81"/>
      <c r="L576" s="81"/>
      <c r="M576" s="81"/>
      <c r="N576" s="681"/>
      <c r="O576" s="81"/>
      <c r="P576" s="81"/>
      <c r="Q576" s="81"/>
      <c r="R576" s="81"/>
      <c r="S576" s="81"/>
      <c r="T576" s="81"/>
      <c r="U576" s="81"/>
    </row>
    <row r="577" ht="14.25" customHeight="1" spans="1:21">
      <c r="A577" s="81"/>
      <c r="B577" s="81"/>
      <c r="C577" s="81"/>
      <c r="D577" s="681"/>
      <c r="E577" s="681"/>
      <c r="F577" s="81"/>
      <c r="G577" s="681"/>
      <c r="H577" s="683"/>
      <c r="I577" s="81"/>
      <c r="J577" s="81"/>
      <c r="K577" s="81"/>
      <c r="L577" s="81"/>
      <c r="M577" s="81"/>
      <c r="N577" s="681"/>
      <c r="O577" s="81"/>
      <c r="P577" s="81"/>
      <c r="Q577" s="81"/>
      <c r="R577" s="81"/>
      <c r="S577" s="81"/>
      <c r="T577" s="81"/>
      <c r="U577" s="81"/>
    </row>
    <row r="578" ht="14.25" customHeight="1" spans="1:21">
      <c r="A578" s="81"/>
      <c r="B578" s="81"/>
      <c r="C578" s="81"/>
      <c r="D578" s="681"/>
      <c r="E578" s="681"/>
      <c r="F578" s="81"/>
      <c r="G578" s="681"/>
      <c r="H578" s="683"/>
      <c r="I578" s="81"/>
      <c r="J578" s="81"/>
      <c r="K578" s="81"/>
      <c r="L578" s="81"/>
      <c r="M578" s="81"/>
      <c r="N578" s="681"/>
      <c r="O578" s="81"/>
      <c r="P578" s="81"/>
      <c r="Q578" s="81"/>
      <c r="R578" s="81"/>
      <c r="S578" s="81"/>
      <c r="T578" s="81"/>
      <c r="U578" s="81"/>
    </row>
    <row r="579" ht="14.25" customHeight="1" spans="1:21">
      <c r="A579" s="81"/>
      <c r="B579" s="81"/>
      <c r="C579" s="81"/>
      <c r="D579" s="681"/>
      <c r="E579" s="681"/>
      <c r="F579" s="81"/>
      <c r="G579" s="681"/>
      <c r="H579" s="683"/>
      <c r="I579" s="81"/>
      <c r="J579" s="81"/>
      <c r="K579" s="81"/>
      <c r="L579" s="81"/>
      <c r="M579" s="81"/>
      <c r="N579" s="681"/>
      <c r="O579" s="81"/>
      <c r="P579" s="81"/>
      <c r="Q579" s="81"/>
      <c r="R579" s="81"/>
      <c r="S579" s="81"/>
      <c r="T579" s="81"/>
      <c r="U579" s="81"/>
    </row>
    <row r="580" ht="14.25" customHeight="1" spans="1:21">
      <c r="A580" s="81"/>
      <c r="B580" s="81"/>
      <c r="C580" s="81"/>
      <c r="D580" s="681"/>
      <c r="E580" s="681"/>
      <c r="F580" s="81"/>
      <c r="G580" s="681"/>
      <c r="H580" s="683"/>
      <c r="I580" s="81"/>
      <c r="J580" s="81"/>
      <c r="K580" s="81"/>
      <c r="L580" s="81"/>
      <c r="M580" s="81"/>
      <c r="N580" s="681"/>
      <c r="O580" s="81"/>
      <c r="P580" s="81"/>
      <c r="Q580" s="81"/>
      <c r="R580" s="81"/>
      <c r="S580" s="81"/>
      <c r="T580" s="81"/>
      <c r="U580" s="81"/>
    </row>
    <row r="581" ht="14.25" customHeight="1" spans="1:21">
      <c r="A581" s="81"/>
      <c r="B581" s="81"/>
      <c r="C581" s="81"/>
      <c r="D581" s="681"/>
      <c r="E581" s="681"/>
      <c r="F581" s="81"/>
      <c r="G581" s="681"/>
      <c r="H581" s="683"/>
      <c r="I581" s="81"/>
      <c r="J581" s="81"/>
      <c r="K581" s="81"/>
      <c r="L581" s="81"/>
      <c r="M581" s="81"/>
      <c r="N581" s="681"/>
      <c r="O581" s="81"/>
      <c r="P581" s="81"/>
      <c r="Q581" s="81"/>
      <c r="R581" s="81"/>
      <c r="S581" s="81"/>
      <c r="T581" s="81"/>
      <c r="U581" s="81"/>
    </row>
    <row r="582" ht="14.25" customHeight="1" spans="1:21">
      <c r="A582" s="81"/>
      <c r="B582" s="81"/>
      <c r="C582" s="81"/>
      <c r="D582" s="681"/>
      <c r="E582" s="681"/>
      <c r="F582" s="81"/>
      <c r="G582" s="681"/>
      <c r="H582" s="683"/>
      <c r="I582" s="81"/>
      <c r="J582" s="81"/>
      <c r="K582" s="81"/>
      <c r="L582" s="81"/>
      <c r="M582" s="81"/>
      <c r="N582" s="681"/>
      <c r="O582" s="81"/>
      <c r="P582" s="81"/>
      <c r="Q582" s="81"/>
      <c r="R582" s="81"/>
      <c r="S582" s="81"/>
      <c r="T582" s="81"/>
      <c r="U582" s="81"/>
    </row>
    <row r="583" ht="14.25" customHeight="1" spans="1:21">
      <c r="A583" s="81"/>
      <c r="B583" s="81"/>
      <c r="C583" s="81"/>
      <c r="D583" s="681"/>
      <c r="E583" s="681"/>
      <c r="F583" s="81"/>
      <c r="G583" s="681"/>
      <c r="H583" s="683"/>
      <c r="I583" s="81"/>
      <c r="J583" s="81"/>
      <c r="K583" s="81"/>
      <c r="L583" s="81"/>
      <c r="M583" s="81"/>
      <c r="N583" s="681"/>
      <c r="O583" s="81"/>
      <c r="P583" s="81"/>
      <c r="Q583" s="81"/>
      <c r="R583" s="81"/>
      <c r="S583" s="81"/>
      <c r="T583" s="81"/>
      <c r="U583" s="81"/>
    </row>
    <row r="584" ht="14.25" customHeight="1" spans="1:21">
      <c r="A584" s="81"/>
      <c r="B584" s="81"/>
      <c r="C584" s="81"/>
      <c r="D584" s="681"/>
      <c r="E584" s="681"/>
      <c r="F584" s="81"/>
      <c r="G584" s="681"/>
      <c r="H584" s="683"/>
      <c r="I584" s="81"/>
      <c r="J584" s="81"/>
      <c r="K584" s="81"/>
      <c r="L584" s="81"/>
      <c r="M584" s="81"/>
      <c r="N584" s="681"/>
      <c r="O584" s="81"/>
      <c r="P584" s="81"/>
      <c r="Q584" s="81"/>
      <c r="R584" s="81"/>
      <c r="S584" s="81"/>
      <c r="T584" s="81"/>
      <c r="U584" s="81"/>
    </row>
    <row r="585" ht="14.25" customHeight="1" spans="1:21">
      <c r="A585" s="81"/>
      <c r="B585" s="81"/>
      <c r="C585" s="81"/>
      <c r="D585" s="681"/>
      <c r="E585" s="681"/>
      <c r="F585" s="81"/>
      <c r="G585" s="681"/>
      <c r="H585" s="683"/>
      <c r="I585" s="81"/>
      <c r="J585" s="81"/>
      <c r="K585" s="81"/>
      <c r="L585" s="81"/>
      <c r="M585" s="81"/>
      <c r="N585" s="681"/>
      <c r="O585" s="81"/>
      <c r="P585" s="81"/>
      <c r="Q585" s="81"/>
      <c r="R585" s="81"/>
      <c r="S585" s="81"/>
      <c r="T585" s="81"/>
      <c r="U585" s="81"/>
    </row>
    <row r="586" ht="14.25" customHeight="1" spans="1:21">
      <c r="A586" s="81"/>
      <c r="B586" s="81"/>
      <c r="C586" s="81"/>
      <c r="D586" s="681"/>
      <c r="E586" s="681"/>
      <c r="F586" s="81"/>
      <c r="G586" s="681"/>
      <c r="H586" s="683"/>
      <c r="I586" s="81"/>
      <c r="J586" s="81"/>
      <c r="K586" s="81"/>
      <c r="L586" s="81"/>
      <c r="M586" s="81"/>
      <c r="N586" s="681"/>
      <c r="O586" s="81"/>
      <c r="P586" s="81"/>
      <c r="Q586" s="81"/>
      <c r="R586" s="81"/>
      <c r="S586" s="81"/>
      <c r="T586" s="81"/>
      <c r="U586" s="81"/>
    </row>
    <row r="587" ht="14.25" customHeight="1" spans="1:21">
      <c r="A587" s="81"/>
      <c r="B587" s="81"/>
      <c r="C587" s="81"/>
      <c r="D587" s="681"/>
      <c r="E587" s="681"/>
      <c r="F587" s="81"/>
      <c r="G587" s="681"/>
      <c r="H587" s="683"/>
      <c r="I587" s="81"/>
      <c r="J587" s="81"/>
      <c r="K587" s="81"/>
      <c r="L587" s="81"/>
      <c r="M587" s="81"/>
      <c r="N587" s="681"/>
      <c r="O587" s="81"/>
      <c r="P587" s="81"/>
      <c r="Q587" s="81"/>
      <c r="R587" s="81"/>
      <c r="S587" s="81"/>
      <c r="T587" s="81"/>
      <c r="U587" s="81"/>
    </row>
    <row r="588" ht="14.25" customHeight="1" spans="1:21">
      <c r="A588" s="81"/>
      <c r="B588" s="81"/>
      <c r="C588" s="81"/>
      <c r="D588" s="681"/>
      <c r="E588" s="681"/>
      <c r="F588" s="81"/>
      <c r="G588" s="681"/>
      <c r="H588" s="683"/>
      <c r="I588" s="81"/>
      <c r="J588" s="81"/>
      <c r="K588" s="81"/>
      <c r="L588" s="81"/>
      <c r="M588" s="81"/>
      <c r="N588" s="681"/>
      <c r="O588" s="81"/>
      <c r="P588" s="81"/>
      <c r="Q588" s="81"/>
      <c r="R588" s="81"/>
      <c r="S588" s="81"/>
      <c r="T588" s="81"/>
      <c r="U588" s="81"/>
    </row>
    <row r="589" ht="14.25" customHeight="1" spans="1:21">
      <c r="A589" s="81"/>
      <c r="B589" s="81"/>
      <c r="C589" s="81"/>
      <c r="D589" s="681"/>
      <c r="E589" s="681"/>
      <c r="F589" s="81"/>
      <c r="G589" s="681"/>
      <c r="H589" s="683"/>
      <c r="I589" s="81"/>
      <c r="J589" s="81"/>
      <c r="K589" s="81"/>
      <c r="L589" s="81"/>
      <c r="M589" s="81"/>
      <c r="N589" s="681"/>
      <c r="O589" s="81"/>
      <c r="P589" s="81"/>
      <c r="Q589" s="81"/>
      <c r="R589" s="81"/>
      <c r="S589" s="81"/>
      <c r="T589" s="81"/>
      <c r="U589" s="81"/>
    </row>
    <row r="590" ht="14.25" customHeight="1" spans="1:21">
      <c r="A590" s="81"/>
      <c r="B590" s="81"/>
      <c r="C590" s="81"/>
      <c r="D590" s="681"/>
      <c r="E590" s="681"/>
      <c r="F590" s="81"/>
      <c r="G590" s="681"/>
      <c r="H590" s="683"/>
      <c r="I590" s="81"/>
      <c r="J590" s="81"/>
      <c r="K590" s="81"/>
      <c r="L590" s="81"/>
      <c r="M590" s="81"/>
      <c r="N590" s="681"/>
      <c r="O590" s="81"/>
      <c r="P590" s="81"/>
      <c r="Q590" s="81"/>
      <c r="R590" s="81"/>
      <c r="S590" s="81"/>
      <c r="T590" s="81"/>
      <c r="U590" s="81"/>
    </row>
    <row r="591" ht="14.25" customHeight="1" spans="1:21">
      <c r="A591" s="81"/>
      <c r="B591" s="81"/>
      <c r="C591" s="81"/>
      <c r="D591" s="681"/>
      <c r="E591" s="681"/>
      <c r="F591" s="81"/>
      <c r="G591" s="681"/>
      <c r="H591" s="683"/>
      <c r="I591" s="81"/>
      <c r="J591" s="81"/>
      <c r="K591" s="81"/>
      <c r="L591" s="81"/>
      <c r="M591" s="81"/>
      <c r="N591" s="681"/>
      <c r="O591" s="81"/>
      <c r="P591" s="81"/>
      <c r="Q591" s="81"/>
      <c r="R591" s="81"/>
      <c r="S591" s="81"/>
      <c r="T591" s="81"/>
      <c r="U591" s="81"/>
    </row>
    <row r="592" ht="14.25" customHeight="1" spans="1:21">
      <c r="A592" s="81"/>
      <c r="B592" s="81"/>
      <c r="C592" s="81"/>
      <c r="D592" s="681"/>
      <c r="E592" s="681"/>
      <c r="F592" s="81"/>
      <c r="G592" s="681"/>
      <c r="H592" s="683"/>
      <c r="I592" s="81"/>
      <c r="J592" s="81"/>
      <c r="K592" s="81"/>
      <c r="L592" s="81"/>
      <c r="M592" s="81"/>
      <c r="N592" s="681"/>
      <c r="O592" s="81"/>
      <c r="P592" s="81"/>
      <c r="Q592" s="81"/>
      <c r="R592" s="81"/>
      <c r="S592" s="81"/>
      <c r="T592" s="81"/>
      <c r="U592" s="81"/>
    </row>
    <row r="593" ht="14.25" customHeight="1" spans="1:21">
      <c r="A593" s="81"/>
      <c r="B593" s="81"/>
      <c r="C593" s="81"/>
      <c r="D593" s="681"/>
      <c r="E593" s="681"/>
      <c r="F593" s="81"/>
      <c r="G593" s="681"/>
      <c r="H593" s="683"/>
      <c r="I593" s="81"/>
      <c r="J593" s="81"/>
      <c r="K593" s="81"/>
      <c r="L593" s="81"/>
      <c r="M593" s="81"/>
      <c r="N593" s="681"/>
      <c r="O593" s="81"/>
      <c r="P593" s="81"/>
      <c r="Q593" s="81"/>
      <c r="R593" s="81"/>
      <c r="S593" s="81"/>
      <c r="T593" s="81"/>
      <c r="U593" s="81"/>
    </row>
    <row r="594" ht="14.25" customHeight="1" spans="1:21">
      <c r="A594" s="81"/>
      <c r="B594" s="81"/>
      <c r="C594" s="81"/>
      <c r="D594" s="681"/>
      <c r="E594" s="681"/>
      <c r="F594" s="81"/>
      <c r="G594" s="681"/>
      <c r="H594" s="683"/>
      <c r="I594" s="81"/>
      <c r="J594" s="81"/>
      <c r="K594" s="81"/>
      <c r="L594" s="81"/>
      <c r="M594" s="81"/>
      <c r="N594" s="681"/>
      <c r="O594" s="81"/>
      <c r="P594" s="81"/>
      <c r="Q594" s="81"/>
      <c r="R594" s="81"/>
      <c r="S594" s="81"/>
      <c r="T594" s="81"/>
      <c r="U594" s="81"/>
    </row>
    <row r="595" ht="14.25" customHeight="1" spans="1:21">
      <c r="A595" s="81"/>
      <c r="B595" s="81"/>
      <c r="C595" s="81"/>
      <c r="D595" s="681"/>
      <c r="E595" s="681"/>
      <c r="F595" s="81"/>
      <c r="G595" s="681"/>
      <c r="H595" s="683"/>
      <c r="I595" s="81"/>
      <c r="J595" s="81"/>
      <c r="K595" s="81"/>
      <c r="L595" s="81"/>
      <c r="M595" s="81"/>
      <c r="N595" s="681"/>
      <c r="O595" s="81"/>
      <c r="P595" s="81"/>
      <c r="Q595" s="81"/>
      <c r="R595" s="81"/>
      <c r="S595" s="81"/>
      <c r="T595" s="81"/>
      <c r="U595" s="81"/>
    </row>
    <row r="596" ht="14.25" customHeight="1" spans="1:21">
      <c r="A596" s="81"/>
      <c r="B596" s="81"/>
      <c r="C596" s="81"/>
      <c r="D596" s="681"/>
      <c r="E596" s="681"/>
      <c r="F596" s="81"/>
      <c r="G596" s="681"/>
      <c r="H596" s="683"/>
      <c r="I596" s="81"/>
      <c r="J596" s="81"/>
      <c r="K596" s="81"/>
      <c r="L596" s="81"/>
      <c r="M596" s="81"/>
      <c r="N596" s="681"/>
      <c r="O596" s="81"/>
      <c r="P596" s="81"/>
      <c r="Q596" s="81"/>
      <c r="R596" s="81"/>
      <c r="S596" s="81"/>
      <c r="T596" s="81"/>
      <c r="U596" s="81"/>
    </row>
    <row r="597" ht="14.25" customHeight="1" spans="1:21">
      <c r="A597" s="81"/>
      <c r="B597" s="81"/>
      <c r="C597" s="81"/>
      <c r="D597" s="681"/>
      <c r="E597" s="681"/>
      <c r="F597" s="81"/>
      <c r="G597" s="681"/>
      <c r="H597" s="683"/>
      <c r="I597" s="81"/>
      <c r="J597" s="81"/>
      <c r="K597" s="81"/>
      <c r="L597" s="81"/>
      <c r="M597" s="81"/>
      <c r="N597" s="681"/>
      <c r="O597" s="81"/>
      <c r="P597" s="81"/>
      <c r="Q597" s="81"/>
      <c r="R597" s="81"/>
      <c r="S597" s="81"/>
      <c r="T597" s="81"/>
      <c r="U597" s="81"/>
    </row>
    <row r="598" ht="14.25" customHeight="1" spans="1:21">
      <c r="A598" s="81"/>
      <c r="B598" s="81"/>
      <c r="C598" s="81"/>
      <c r="D598" s="681"/>
      <c r="E598" s="681"/>
      <c r="F598" s="81"/>
      <c r="G598" s="681"/>
      <c r="H598" s="683"/>
      <c r="I598" s="81"/>
      <c r="J598" s="81"/>
      <c r="K598" s="81"/>
      <c r="L598" s="81"/>
      <c r="M598" s="81"/>
      <c r="N598" s="681"/>
      <c r="O598" s="81"/>
      <c r="P598" s="81"/>
      <c r="Q598" s="81"/>
      <c r="R598" s="81"/>
      <c r="S598" s="81"/>
      <c r="T598" s="81"/>
      <c r="U598" s="81"/>
    </row>
    <row r="599" ht="14.25" customHeight="1" spans="1:21">
      <c r="A599" s="81"/>
      <c r="B599" s="81"/>
      <c r="C599" s="81"/>
      <c r="D599" s="681"/>
      <c r="E599" s="681"/>
      <c r="F599" s="81"/>
      <c r="G599" s="681"/>
      <c r="H599" s="683"/>
      <c r="I599" s="81"/>
      <c r="J599" s="81"/>
      <c r="K599" s="81"/>
      <c r="L599" s="81"/>
      <c r="M599" s="81"/>
      <c r="N599" s="681"/>
      <c r="O599" s="81"/>
      <c r="P599" s="81"/>
      <c r="Q599" s="81"/>
      <c r="R599" s="81"/>
      <c r="S599" s="81"/>
      <c r="T599" s="81"/>
      <c r="U599" s="81"/>
    </row>
    <row r="600" ht="14.25" customHeight="1" spans="1:21">
      <c r="A600" s="81"/>
      <c r="B600" s="81"/>
      <c r="C600" s="81"/>
      <c r="D600" s="681"/>
      <c r="E600" s="681"/>
      <c r="F600" s="81"/>
      <c r="G600" s="681"/>
      <c r="H600" s="683"/>
      <c r="I600" s="81"/>
      <c r="J600" s="81"/>
      <c r="K600" s="81"/>
      <c r="L600" s="81"/>
      <c r="M600" s="81"/>
      <c r="N600" s="681"/>
      <c r="O600" s="81"/>
      <c r="P600" s="81"/>
      <c r="Q600" s="81"/>
      <c r="R600" s="81"/>
      <c r="S600" s="81"/>
      <c r="T600" s="81"/>
      <c r="U600" s="81"/>
    </row>
    <row r="601" ht="14.25" customHeight="1" spans="1:21">
      <c r="A601" s="81"/>
      <c r="B601" s="81"/>
      <c r="C601" s="81"/>
      <c r="D601" s="681"/>
      <c r="E601" s="681"/>
      <c r="F601" s="81"/>
      <c r="G601" s="681"/>
      <c r="H601" s="683"/>
      <c r="I601" s="81"/>
      <c r="J601" s="81"/>
      <c r="K601" s="81"/>
      <c r="L601" s="81"/>
      <c r="M601" s="81"/>
      <c r="N601" s="681"/>
      <c r="O601" s="81"/>
      <c r="P601" s="81"/>
      <c r="Q601" s="81"/>
      <c r="R601" s="81"/>
      <c r="S601" s="81"/>
      <c r="T601" s="81"/>
      <c r="U601" s="81"/>
    </row>
    <row r="602" ht="14.25" customHeight="1" spans="1:21">
      <c r="A602" s="81"/>
      <c r="B602" s="81"/>
      <c r="C602" s="81"/>
      <c r="D602" s="681"/>
      <c r="E602" s="681"/>
      <c r="F602" s="81"/>
      <c r="G602" s="681"/>
      <c r="H602" s="683"/>
      <c r="I602" s="81"/>
      <c r="J602" s="81"/>
      <c r="K602" s="81"/>
      <c r="L602" s="81"/>
      <c r="M602" s="81"/>
      <c r="N602" s="681"/>
      <c r="O602" s="81"/>
      <c r="P602" s="81"/>
      <c r="Q602" s="81"/>
      <c r="R602" s="81"/>
      <c r="S602" s="81"/>
      <c r="T602" s="81"/>
      <c r="U602" s="81"/>
    </row>
    <row r="603" ht="14.25" customHeight="1" spans="1:21">
      <c r="A603" s="81"/>
      <c r="B603" s="81"/>
      <c r="C603" s="81"/>
      <c r="D603" s="681"/>
      <c r="E603" s="681"/>
      <c r="F603" s="81"/>
      <c r="G603" s="681"/>
      <c r="H603" s="683"/>
      <c r="I603" s="81"/>
      <c r="J603" s="81"/>
      <c r="K603" s="81"/>
      <c r="L603" s="81"/>
      <c r="M603" s="81"/>
      <c r="N603" s="681"/>
      <c r="O603" s="81"/>
      <c r="P603" s="81"/>
      <c r="Q603" s="81"/>
      <c r="R603" s="81"/>
      <c r="S603" s="81"/>
      <c r="T603" s="81"/>
      <c r="U603" s="81"/>
    </row>
    <row r="604" ht="14.25" customHeight="1" spans="1:21">
      <c r="A604" s="81"/>
      <c r="B604" s="81"/>
      <c r="C604" s="81"/>
      <c r="D604" s="681"/>
      <c r="E604" s="681"/>
      <c r="F604" s="81"/>
      <c r="G604" s="681"/>
      <c r="H604" s="683"/>
      <c r="I604" s="81"/>
      <c r="J604" s="81"/>
      <c r="K604" s="81"/>
      <c r="L604" s="81"/>
      <c r="M604" s="81"/>
      <c r="N604" s="681"/>
      <c r="O604" s="81"/>
      <c r="P604" s="81"/>
      <c r="Q604" s="81"/>
      <c r="R604" s="81"/>
      <c r="S604" s="81"/>
      <c r="T604" s="81"/>
      <c r="U604" s="81"/>
    </row>
    <row r="605" ht="14.25" customHeight="1" spans="1:21">
      <c r="A605" s="81"/>
      <c r="B605" s="81"/>
      <c r="C605" s="81"/>
      <c r="D605" s="681"/>
      <c r="E605" s="681"/>
      <c r="F605" s="81"/>
      <c r="G605" s="681"/>
      <c r="H605" s="683"/>
      <c r="I605" s="81"/>
      <c r="J605" s="81"/>
      <c r="K605" s="81"/>
      <c r="L605" s="81"/>
      <c r="M605" s="81"/>
      <c r="N605" s="681"/>
      <c r="O605" s="81"/>
      <c r="P605" s="81"/>
      <c r="Q605" s="81"/>
      <c r="R605" s="81"/>
      <c r="S605" s="81"/>
      <c r="T605" s="81"/>
      <c r="U605" s="81"/>
    </row>
    <row r="606" ht="14.25" customHeight="1" spans="1:21">
      <c r="A606" s="81"/>
      <c r="B606" s="81"/>
      <c r="C606" s="81"/>
      <c r="D606" s="681"/>
      <c r="E606" s="681"/>
      <c r="F606" s="81"/>
      <c r="G606" s="681"/>
      <c r="H606" s="683"/>
      <c r="I606" s="81"/>
      <c r="J606" s="81"/>
      <c r="K606" s="81"/>
      <c r="L606" s="81"/>
      <c r="M606" s="81"/>
      <c r="N606" s="681"/>
      <c r="O606" s="81"/>
      <c r="P606" s="81"/>
      <c r="Q606" s="81"/>
      <c r="R606" s="81"/>
      <c r="S606" s="81"/>
      <c r="T606" s="81"/>
      <c r="U606" s="81"/>
    </row>
    <row r="607" ht="14.25" customHeight="1" spans="1:21">
      <c r="A607" s="81"/>
      <c r="B607" s="81"/>
      <c r="C607" s="81"/>
      <c r="D607" s="681"/>
      <c r="E607" s="681"/>
      <c r="F607" s="81"/>
      <c r="G607" s="681"/>
      <c r="H607" s="683"/>
      <c r="I607" s="81"/>
      <c r="J607" s="81"/>
      <c r="K607" s="81"/>
      <c r="L607" s="81"/>
      <c r="M607" s="81"/>
      <c r="N607" s="681"/>
      <c r="O607" s="81"/>
      <c r="P607" s="81"/>
      <c r="Q607" s="81"/>
      <c r="R607" s="81"/>
      <c r="S607" s="81"/>
      <c r="T607" s="81"/>
      <c r="U607" s="81"/>
    </row>
    <row r="608" ht="14.25" customHeight="1" spans="1:21">
      <c r="A608" s="81"/>
      <c r="B608" s="81"/>
      <c r="C608" s="81"/>
      <c r="D608" s="681"/>
      <c r="E608" s="681"/>
      <c r="F608" s="81"/>
      <c r="G608" s="681"/>
      <c r="H608" s="683"/>
      <c r="I608" s="81"/>
      <c r="J608" s="81"/>
      <c r="K608" s="81"/>
      <c r="L608" s="81"/>
      <c r="M608" s="81"/>
      <c r="N608" s="681"/>
      <c r="O608" s="81"/>
      <c r="P608" s="81"/>
      <c r="Q608" s="81"/>
      <c r="R608" s="81"/>
      <c r="S608" s="81"/>
      <c r="T608" s="81"/>
      <c r="U608" s="81"/>
    </row>
    <row r="609" ht="14.25" customHeight="1" spans="1:21">
      <c r="A609" s="81"/>
      <c r="B609" s="81"/>
      <c r="C609" s="81"/>
      <c r="D609" s="681"/>
      <c r="E609" s="681"/>
      <c r="F609" s="81"/>
      <c r="G609" s="681"/>
      <c r="H609" s="683"/>
      <c r="I609" s="81"/>
      <c r="J609" s="81"/>
      <c r="K609" s="81"/>
      <c r="L609" s="81"/>
      <c r="M609" s="81"/>
      <c r="N609" s="681"/>
      <c r="O609" s="81"/>
      <c r="P609" s="81"/>
      <c r="Q609" s="81"/>
      <c r="R609" s="81"/>
      <c r="S609" s="81"/>
      <c r="T609" s="81"/>
      <c r="U609" s="81"/>
    </row>
    <row r="610" ht="14.25" customHeight="1" spans="1:21">
      <c r="A610" s="81"/>
      <c r="B610" s="81"/>
      <c r="C610" s="81"/>
      <c r="D610" s="681"/>
      <c r="E610" s="681"/>
      <c r="F610" s="81"/>
      <c r="G610" s="681"/>
      <c r="H610" s="683"/>
      <c r="I610" s="81"/>
      <c r="J610" s="81"/>
      <c r="K610" s="81"/>
      <c r="L610" s="81"/>
      <c r="M610" s="81"/>
      <c r="N610" s="681"/>
      <c r="O610" s="81"/>
      <c r="P610" s="81"/>
      <c r="Q610" s="81"/>
      <c r="R610" s="81"/>
      <c r="S610" s="81"/>
      <c r="T610" s="81"/>
      <c r="U610" s="81"/>
    </row>
    <row r="611" ht="14.25" customHeight="1" spans="1:21">
      <c r="A611" s="81"/>
      <c r="B611" s="81"/>
      <c r="C611" s="81"/>
      <c r="D611" s="681"/>
      <c r="E611" s="681"/>
      <c r="F611" s="81"/>
      <c r="G611" s="681"/>
      <c r="H611" s="683"/>
      <c r="I611" s="81"/>
      <c r="J611" s="81"/>
      <c r="K611" s="81"/>
      <c r="L611" s="81"/>
      <c r="M611" s="81"/>
      <c r="N611" s="681"/>
      <c r="O611" s="81"/>
      <c r="P611" s="81"/>
      <c r="Q611" s="81"/>
      <c r="R611" s="81"/>
      <c r="S611" s="81"/>
      <c r="T611" s="81"/>
      <c r="U611" s="81"/>
    </row>
    <row r="612" ht="14.25" customHeight="1" spans="1:21">
      <c r="A612" s="81"/>
      <c r="B612" s="81"/>
      <c r="C612" s="81"/>
      <c r="D612" s="681"/>
      <c r="E612" s="681"/>
      <c r="F612" s="81"/>
      <c r="G612" s="681"/>
      <c r="H612" s="683"/>
      <c r="I612" s="81"/>
      <c r="J612" s="81"/>
      <c r="K612" s="81"/>
      <c r="L612" s="81"/>
      <c r="M612" s="81"/>
      <c r="N612" s="681"/>
      <c r="O612" s="81"/>
      <c r="P612" s="81"/>
      <c r="Q612" s="81"/>
      <c r="R612" s="81"/>
      <c r="S612" s="81"/>
      <c r="T612" s="81"/>
      <c r="U612" s="81"/>
    </row>
    <row r="613" ht="14.25" customHeight="1" spans="1:21">
      <c r="A613" s="81"/>
      <c r="B613" s="81"/>
      <c r="C613" s="81"/>
      <c r="D613" s="681"/>
      <c r="E613" s="681"/>
      <c r="F613" s="81"/>
      <c r="G613" s="681"/>
      <c r="H613" s="683"/>
      <c r="I613" s="81"/>
      <c r="J613" s="81"/>
      <c r="K613" s="81"/>
      <c r="L613" s="81"/>
      <c r="M613" s="81"/>
      <c r="N613" s="681"/>
      <c r="O613" s="81"/>
      <c r="P613" s="81"/>
      <c r="Q613" s="81"/>
      <c r="R613" s="81"/>
      <c r="S613" s="81"/>
      <c r="T613" s="81"/>
      <c r="U613" s="81"/>
    </row>
    <row r="614" ht="14.25" customHeight="1" spans="1:21">
      <c r="A614" s="81"/>
      <c r="B614" s="81"/>
      <c r="C614" s="81"/>
      <c r="D614" s="681"/>
      <c r="E614" s="681"/>
      <c r="F614" s="81"/>
      <c r="G614" s="681"/>
      <c r="H614" s="683"/>
      <c r="I614" s="81"/>
      <c r="J614" s="81"/>
      <c r="K614" s="81"/>
      <c r="L614" s="81"/>
      <c r="M614" s="81"/>
      <c r="N614" s="681"/>
      <c r="O614" s="81"/>
      <c r="P614" s="81"/>
      <c r="Q614" s="81"/>
      <c r="R614" s="81"/>
      <c r="S614" s="81"/>
      <c r="T614" s="81"/>
      <c r="U614" s="81"/>
    </row>
    <row r="615" ht="14.25" customHeight="1" spans="1:21">
      <c r="A615" s="81"/>
      <c r="B615" s="81"/>
      <c r="C615" s="81"/>
      <c r="D615" s="681"/>
      <c r="E615" s="681"/>
      <c r="F615" s="81"/>
      <c r="G615" s="681"/>
      <c r="H615" s="683"/>
      <c r="I615" s="81"/>
      <c r="J615" s="81"/>
      <c r="K615" s="81"/>
      <c r="L615" s="81"/>
      <c r="M615" s="81"/>
      <c r="N615" s="681"/>
      <c r="O615" s="81"/>
      <c r="P615" s="81"/>
      <c r="Q615" s="81"/>
      <c r="R615" s="81"/>
      <c r="S615" s="81"/>
      <c r="T615" s="81"/>
      <c r="U615" s="81"/>
    </row>
    <row r="616" ht="14.25" customHeight="1" spans="1:21">
      <c r="A616" s="81"/>
      <c r="B616" s="81"/>
      <c r="C616" s="81"/>
      <c r="D616" s="681"/>
      <c r="E616" s="681"/>
      <c r="F616" s="81"/>
      <c r="G616" s="681"/>
      <c r="H616" s="683"/>
      <c r="I616" s="81"/>
      <c r="J616" s="81"/>
      <c r="K616" s="81"/>
      <c r="L616" s="81"/>
      <c r="M616" s="81"/>
      <c r="N616" s="681"/>
      <c r="O616" s="81"/>
      <c r="P616" s="81"/>
      <c r="Q616" s="81"/>
      <c r="R616" s="81"/>
      <c r="S616" s="81"/>
      <c r="T616" s="81"/>
      <c r="U616" s="81"/>
    </row>
    <row r="617" ht="14.25" customHeight="1" spans="1:21">
      <c r="A617" s="81"/>
      <c r="B617" s="81"/>
      <c r="C617" s="81"/>
      <c r="D617" s="681"/>
      <c r="E617" s="681"/>
      <c r="F617" s="81"/>
      <c r="G617" s="681"/>
      <c r="H617" s="683"/>
      <c r="I617" s="81"/>
      <c r="J617" s="81"/>
      <c r="K617" s="81"/>
      <c r="L617" s="81"/>
      <c r="M617" s="81"/>
      <c r="N617" s="681"/>
      <c r="O617" s="81"/>
      <c r="P617" s="81"/>
      <c r="Q617" s="81"/>
      <c r="R617" s="81"/>
      <c r="S617" s="81"/>
      <c r="T617" s="81"/>
      <c r="U617" s="81"/>
    </row>
    <row r="618" ht="14.25" customHeight="1" spans="1:21">
      <c r="A618" s="81"/>
      <c r="B618" s="81"/>
      <c r="C618" s="81"/>
      <c r="D618" s="681"/>
      <c r="E618" s="681"/>
      <c r="F618" s="81"/>
      <c r="G618" s="681"/>
      <c r="H618" s="683"/>
      <c r="I618" s="81"/>
      <c r="J618" s="81"/>
      <c r="K618" s="81"/>
      <c r="L618" s="81"/>
      <c r="M618" s="81"/>
      <c r="N618" s="681"/>
      <c r="O618" s="81"/>
      <c r="P618" s="81"/>
      <c r="Q618" s="81"/>
      <c r="R618" s="81"/>
      <c r="S618" s="81"/>
      <c r="T618" s="81"/>
      <c r="U618" s="81"/>
    </row>
    <row r="619" ht="14.25" customHeight="1" spans="1:21">
      <c r="A619" s="81"/>
      <c r="B619" s="81"/>
      <c r="C619" s="81"/>
      <c r="D619" s="681"/>
      <c r="E619" s="681"/>
      <c r="F619" s="81"/>
      <c r="G619" s="681"/>
      <c r="H619" s="683"/>
      <c r="I619" s="81"/>
      <c r="J619" s="81"/>
      <c r="K619" s="81"/>
      <c r="L619" s="81"/>
      <c r="M619" s="81"/>
      <c r="N619" s="681"/>
      <c r="O619" s="81"/>
      <c r="P619" s="81"/>
      <c r="Q619" s="81"/>
      <c r="R619" s="81"/>
      <c r="S619" s="81"/>
      <c r="T619" s="81"/>
      <c r="U619" s="81"/>
    </row>
    <row r="620" ht="14.25" customHeight="1" spans="1:21">
      <c r="A620" s="81"/>
      <c r="B620" s="81"/>
      <c r="C620" s="81"/>
      <c r="D620" s="681"/>
      <c r="E620" s="681"/>
      <c r="F620" s="81"/>
      <c r="G620" s="681"/>
      <c r="H620" s="683"/>
      <c r="I620" s="81"/>
      <c r="J620" s="81"/>
      <c r="K620" s="81"/>
      <c r="L620" s="81"/>
      <c r="M620" s="81"/>
      <c r="N620" s="681"/>
      <c r="O620" s="81"/>
      <c r="P620" s="81"/>
      <c r="Q620" s="81"/>
      <c r="R620" s="81"/>
      <c r="S620" s="81"/>
      <c r="T620" s="81"/>
      <c r="U620" s="81"/>
    </row>
    <row r="621" ht="14.25" customHeight="1" spans="1:21">
      <c r="A621" s="81"/>
      <c r="B621" s="81"/>
      <c r="C621" s="81"/>
      <c r="D621" s="681"/>
      <c r="E621" s="681"/>
      <c r="F621" s="81"/>
      <c r="G621" s="681"/>
      <c r="H621" s="683"/>
      <c r="I621" s="81"/>
      <c r="J621" s="81"/>
      <c r="K621" s="81"/>
      <c r="L621" s="81"/>
      <c r="M621" s="81"/>
      <c r="N621" s="681"/>
      <c r="O621" s="81"/>
      <c r="P621" s="81"/>
      <c r="Q621" s="81"/>
      <c r="R621" s="81"/>
      <c r="S621" s="81"/>
      <c r="T621" s="81"/>
      <c r="U621" s="81"/>
    </row>
    <row r="622" ht="14.25" customHeight="1" spans="1:21">
      <c r="A622" s="81"/>
      <c r="B622" s="81"/>
      <c r="C622" s="81"/>
      <c r="D622" s="681"/>
      <c r="E622" s="681"/>
      <c r="F622" s="81"/>
      <c r="G622" s="681"/>
      <c r="H622" s="683"/>
      <c r="I622" s="81"/>
      <c r="J622" s="81"/>
      <c r="K622" s="81"/>
      <c r="L622" s="81"/>
      <c r="M622" s="81"/>
      <c r="N622" s="681"/>
      <c r="O622" s="81"/>
      <c r="P622" s="81"/>
      <c r="Q622" s="81"/>
      <c r="R622" s="81"/>
      <c r="S622" s="81"/>
      <c r="T622" s="81"/>
      <c r="U622" s="81"/>
    </row>
    <row r="623" ht="14.25" customHeight="1" spans="1:21">
      <c r="A623" s="81"/>
      <c r="B623" s="81"/>
      <c r="C623" s="81"/>
      <c r="D623" s="681"/>
      <c r="E623" s="681"/>
      <c r="F623" s="81"/>
      <c r="G623" s="681"/>
      <c r="H623" s="683"/>
      <c r="I623" s="81"/>
      <c r="J623" s="81"/>
      <c r="K623" s="81"/>
      <c r="L623" s="81"/>
      <c r="M623" s="81"/>
      <c r="N623" s="681"/>
      <c r="O623" s="81"/>
      <c r="P623" s="81"/>
      <c r="Q623" s="81"/>
      <c r="R623" s="81"/>
      <c r="S623" s="81"/>
      <c r="T623" s="81"/>
      <c r="U623" s="81"/>
    </row>
    <row r="624" ht="14.25" customHeight="1" spans="1:21">
      <c r="A624" s="81"/>
      <c r="B624" s="81"/>
      <c r="C624" s="81"/>
      <c r="D624" s="681"/>
      <c r="E624" s="681"/>
      <c r="F624" s="81"/>
      <c r="G624" s="681"/>
      <c r="H624" s="683"/>
      <c r="I624" s="81"/>
      <c r="J624" s="81"/>
      <c r="K624" s="81"/>
      <c r="L624" s="81"/>
      <c r="M624" s="81"/>
      <c r="N624" s="681"/>
      <c r="O624" s="81"/>
      <c r="P624" s="81"/>
      <c r="Q624" s="81"/>
      <c r="R624" s="81"/>
      <c r="S624" s="81"/>
      <c r="T624" s="81"/>
      <c r="U624" s="81"/>
    </row>
    <row r="625" ht="14.25" customHeight="1" spans="1:21">
      <c r="A625" s="81"/>
      <c r="B625" s="81"/>
      <c r="C625" s="81"/>
      <c r="D625" s="681"/>
      <c r="E625" s="681"/>
      <c r="F625" s="81"/>
      <c r="G625" s="681"/>
      <c r="H625" s="683"/>
      <c r="I625" s="81"/>
      <c r="J625" s="81"/>
      <c r="K625" s="81"/>
      <c r="L625" s="81"/>
      <c r="M625" s="81"/>
      <c r="N625" s="681"/>
      <c r="O625" s="81"/>
      <c r="P625" s="81"/>
      <c r="Q625" s="81"/>
      <c r="R625" s="81"/>
      <c r="S625" s="81"/>
      <c r="T625" s="81"/>
      <c r="U625" s="81"/>
    </row>
    <row r="626" ht="14.25" customHeight="1" spans="1:21">
      <c r="A626" s="81"/>
      <c r="B626" s="81"/>
      <c r="C626" s="81"/>
      <c r="D626" s="681"/>
      <c r="E626" s="681"/>
      <c r="F626" s="81"/>
      <c r="G626" s="681"/>
      <c r="H626" s="683"/>
      <c r="I626" s="81"/>
      <c r="J626" s="81"/>
      <c r="K626" s="81"/>
      <c r="L626" s="81"/>
      <c r="M626" s="81"/>
      <c r="N626" s="681"/>
      <c r="O626" s="81"/>
      <c r="P626" s="81"/>
      <c r="Q626" s="81"/>
      <c r="R626" s="81"/>
      <c r="S626" s="81"/>
      <c r="T626" s="81"/>
      <c r="U626" s="81"/>
    </row>
    <row r="627" ht="14.25" customHeight="1" spans="1:21">
      <c r="A627" s="81"/>
      <c r="B627" s="81"/>
      <c r="C627" s="81"/>
      <c r="D627" s="681"/>
      <c r="E627" s="681"/>
      <c r="F627" s="81"/>
      <c r="G627" s="681"/>
      <c r="H627" s="683"/>
      <c r="I627" s="81"/>
      <c r="J627" s="81"/>
      <c r="K627" s="81"/>
      <c r="L627" s="81"/>
      <c r="M627" s="81"/>
      <c r="N627" s="681"/>
      <c r="O627" s="81"/>
      <c r="P627" s="81"/>
      <c r="Q627" s="81"/>
      <c r="R627" s="81"/>
      <c r="S627" s="81"/>
      <c r="T627" s="81"/>
      <c r="U627" s="81"/>
    </row>
    <row r="628" ht="14.25" customHeight="1" spans="1:21">
      <c r="A628" s="81"/>
      <c r="B628" s="81"/>
      <c r="C628" s="81"/>
      <c r="D628" s="681"/>
      <c r="E628" s="681"/>
      <c r="F628" s="81"/>
      <c r="G628" s="681"/>
      <c r="H628" s="683"/>
      <c r="I628" s="81"/>
      <c r="J628" s="81"/>
      <c r="K628" s="81"/>
      <c r="L628" s="81"/>
      <c r="M628" s="81"/>
      <c r="N628" s="681"/>
      <c r="O628" s="81"/>
      <c r="P628" s="81"/>
      <c r="Q628" s="81"/>
      <c r="R628" s="81"/>
      <c r="S628" s="81"/>
      <c r="T628" s="81"/>
      <c r="U628" s="81"/>
    </row>
    <row r="629" ht="14.25" customHeight="1" spans="1:21">
      <c r="A629" s="81"/>
      <c r="B629" s="81"/>
      <c r="C629" s="81"/>
      <c r="D629" s="681"/>
      <c r="E629" s="681"/>
      <c r="F629" s="81"/>
      <c r="G629" s="681"/>
      <c r="H629" s="683"/>
      <c r="I629" s="81"/>
      <c r="J629" s="81"/>
      <c r="K629" s="81"/>
      <c r="L629" s="81"/>
      <c r="M629" s="81"/>
      <c r="N629" s="681"/>
      <c r="O629" s="81"/>
      <c r="P629" s="81"/>
      <c r="Q629" s="81"/>
      <c r="R629" s="81"/>
      <c r="S629" s="81"/>
      <c r="T629" s="81"/>
      <c r="U629" s="81"/>
    </row>
    <row r="630" ht="14.25" customHeight="1" spans="1:21">
      <c r="A630" s="81"/>
      <c r="B630" s="81"/>
      <c r="C630" s="81"/>
      <c r="D630" s="681"/>
      <c r="E630" s="681"/>
      <c r="F630" s="81"/>
      <c r="G630" s="681"/>
      <c r="H630" s="683"/>
      <c r="I630" s="81"/>
      <c r="J630" s="81"/>
      <c r="K630" s="81"/>
      <c r="L630" s="81"/>
      <c r="M630" s="81"/>
      <c r="N630" s="681"/>
      <c r="O630" s="81"/>
      <c r="P630" s="81"/>
      <c r="Q630" s="81"/>
      <c r="R630" s="81"/>
      <c r="S630" s="81"/>
      <c r="T630" s="81"/>
      <c r="U630" s="81"/>
    </row>
    <row r="631" ht="14.25" customHeight="1" spans="1:21">
      <c r="A631" s="81"/>
      <c r="B631" s="81"/>
      <c r="C631" s="81"/>
      <c r="D631" s="681"/>
      <c r="E631" s="681"/>
      <c r="F631" s="81"/>
      <c r="G631" s="681"/>
      <c r="H631" s="683"/>
      <c r="I631" s="81"/>
      <c r="J631" s="81"/>
      <c r="K631" s="81"/>
      <c r="L631" s="81"/>
      <c r="M631" s="81"/>
      <c r="N631" s="681"/>
      <c r="O631" s="81"/>
      <c r="P631" s="81"/>
      <c r="Q631" s="81"/>
      <c r="R631" s="81"/>
      <c r="S631" s="81"/>
      <c r="T631" s="81"/>
      <c r="U631" s="81"/>
    </row>
    <row r="632" ht="14.25" customHeight="1" spans="1:21">
      <c r="A632" s="81"/>
      <c r="B632" s="81"/>
      <c r="C632" s="81"/>
      <c r="D632" s="681"/>
      <c r="E632" s="681"/>
      <c r="F632" s="81"/>
      <c r="G632" s="681"/>
      <c r="H632" s="683"/>
      <c r="I632" s="81"/>
      <c r="J632" s="81"/>
      <c r="K632" s="81"/>
      <c r="L632" s="81"/>
      <c r="M632" s="81"/>
      <c r="N632" s="681"/>
      <c r="O632" s="81"/>
      <c r="P632" s="81"/>
      <c r="Q632" s="81"/>
      <c r="R632" s="81"/>
      <c r="S632" s="81"/>
      <c r="T632" s="81"/>
      <c r="U632" s="81"/>
    </row>
    <row r="633" ht="14.25" customHeight="1" spans="1:21">
      <c r="A633" s="81"/>
      <c r="B633" s="81"/>
      <c r="C633" s="81"/>
      <c r="D633" s="681"/>
      <c r="E633" s="681"/>
      <c r="F633" s="81"/>
      <c r="G633" s="681"/>
      <c r="H633" s="683"/>
      <c r="I633" s="81"/>
      <c r="J633" s="81"/>
      <c r="K633" s="81"/>
      <c r="L633" s="81"/>
      <c r="M633" s="81"/>
      <c r="N633" s="681"/>
      <c r="O633" s="81"/>
      <c r="P633" s="81"/>
      <c r="Q633" s="81"/>
      <c r="R633" s="81"/>
      <c r="S633" s="81"/>
      <c r="T633" s="81"/>
      <c r="U633" s="81"/>
    </row>
    <row r="634" ht="14.25" customHeight="1" spans="1:21">
      <c r="A634" s="81"/>
      <c r="B634" s="81"/>
      <c r="C634" s="81"/>
      <c r="D634" s="681"/>
      <c r="E634" s="681"/>
      <c r="F634" s="81"/>
      <c r="G634" s="681"/>
      <c r="H634" s="683"/>
      <c r="I634" s="81"/>
      <c r="J634" s="81"/>
      <c r="K634" s="81"/>
      <c r="L634" s="81"/>
      <c r="M634" s="81"/>
      <c r="N634" s="681"/>
      <c r="O634" s="81"/>
      <c r="P634" s="81"/>
      <c r="Q634" s="81"/>
      <c r="R634" s="81"/>
      <c r="S634" s="81"/>
      <c r="T634" s="81"/>
      <c r="U634" s="81"/>
    </row>
    <row r="635" ht="14.25" customHeight="1" spans="1:21">
      <c r="A635" s="81"/>
      <c r="B635" s="81"/>
      <c r="C635" s="81"/>
      <c r="D635" s="681"/>
      <c r="E635" s="681"/>
      <c r="F635" s="81"/>
      <c r="G635" s="681"/>
      <c r="H635" s="683"/>
      <c r="I635" s="81"/>
      <c r="J635" s="81"/>
      <c r="K635" s="81"/>
      <c r="L635" s="81"/>
      <c r="M635" s="81"/>
      <c r="N635" s="681"/>
      <c r="O635" s="81"/>
      <c r="P635" s="81"/>
      <c r="Q635" s="81"/>
      <c r="R635" s="81"/>
      <c r="S635" s="81"/>
      <c r="T635" s="81"/>
      <c r="U635" s="81"/>
    </row>
    <row r="636" ht="14.25" customHeight="1" spans="1:21">
      <c r="A636" s="81"/>
      <c r="B636" s="81"/>
      <c r="C636" s="81"/>
      <c r="D636" s="681"/>
      <c r="E636" s="681"/>
      <c r="F636" s="81"/>
      <c r="G636" s="681"/>
      <c r="H636" s="683"/>
      <c r="I636" s="81"/>
      <c r="J636" s="81"/>
      <c r="K636" s="81"/>
      <c r="L636" s="81"/>
      <c r="M636" s="81"/>
      <c r="N636" s="681"/>
      <c r="O636" s="81"/>
      <c r="P636" s="81"/>
      <c r="Q636" s="81"/>
      <c r="R636" s="81"/>
      <c r="S636" s="81"/>
      <c r="T636" s="81"/>
      <c r="U636" s="81"/>
    </row>
    <row r="637" ht="14.25" customHeight="1" spans="1:21">
      <c r="A637" s="81"/>
      <c r="B637" s="81"/>
      <c r="C637" s="81"/>
      <c r="D637" s="681"/>
      <c r="E637" s="681"/>
      <c r="F637" s="81"/>
      <c r="G637" s="681"/>
      <c r="H637" s="683"/>
      <c r="I637" s="81"/>
      <c r="J637" s="81"/>
      <c r="K637" s="81"/>
      <c r="L637" s="81"/>
      <c r="M637" s="81"/>
      <c r="N637" s="681"/>
      <c r="O637" s="81"/>
      <c r="P637" s="81"/>
      <c r="Q637" s="81"/>
      <c r="R637" s="81"/>
      <c r="S637" s="81"/>
      <c r="T637" s="81"/>
      <c r="U637" s="81"/>
    </row>
    <row r="638" ht="14.25" customHeight="1" spans="1:21">
      <c r="A638" s="81"/>
      <c r="B638" s="81"/>
      <c r="C638" s="81"/>
      <c r="D638" s="681"/>
      <c r="E638" s="681"/>
      <c r="F638" s="81"/>
      <c r="G638" s="681"/>
      <c r="H638" s="683"/>
      <c r="I638" s="81"/>
      <c r="J638" s="81"/>
      <c r="K638" s="81"/>
      <c r="L638" s="81"/>
      <c r="M638" s="81"/>
      <c r="N638" s="681"/>
      <c r="O638" s="81"/>
      <c r="P638" s="81"/>
      <c r="Q638" s="81"/>
      <c r="R638" s="81"/>
      <c r="S638" s="81"/>
      <c r="T638" s="81"/>
      <c r="U638" s="81"/>
    </row>
    <row r="639" ht="14.25" customHeight="1" spans="1:21">
      <c r="A639" s="81"/>
      <c r="B639" s="81"/>
      <c r="C639" s="81"/>
      <c r="D639" s="681"/>
      <c r="E639" s="681"/>
      <c r="F639" s="81"/>
      <c r="G639" s="681"/>
      <c r="H639" s="683"/>
      <c r="I639" s="81"/>
      <c r="J639" s="81"/>
      <c r="K639" s="81"/>
      <c r="L639" s="81"/>
      <c r="M639" s="81"/>
      <c r="N639" s="681"/>
      <c r="O639" s="81"/>
      <c r="P639" s="81"/>
      <c r="Q639" s="81"/>
      <c r="R639" s="81"/>
      <c r="S639" s="81"/>
      <c r="T639" s="81"/>
      <c r="U639" s="81"/>
    </row>
    <row r="640" ht="14.25" customHeight="1" spans="1:21">
      <c r="A640" s="81"/>
      <c r="B640" s="81"/>
      <c r="C640" s="81"/>
      <c r="D640" s="681"/>
      <c r="E640" s="681"/>
      <c r="F640" s="81"/>
      <c r="G640" s="681"/>
      <c r="H640" s="683"/>
      <c r="I640" s="81"/>
      <c r="J640" s="81"/>
      <c r="K640" s="81"/>
      <c r="L640" s="81"/>
      <c r="M640" s="81"/>
      <c r="N640" s="681"/>
      <c r="O640" s="81"/>
      <c r="P640" s="81"/>
      <c r="Q640" s="81"/>
      <c r="R640" s="81"/>
      <c r="S640" s="81"/>
      <c r="T640" s="81"/>
      <c r="U640" s="81"/>
    </row>
    <row r="641" ht="14.25" customHeight="1" spans="1:21">
      <c r="A641" s="81"/>
      <c r="B641" s="81"/>
      <c r="C641" s="81"/>
      <c r="D641" s="681"/>
      <c r="E641" s="681"/>
      <c r="F641" s="81"/>
      <c r="G641" s="681"/>
      <c r="H641" s="683"/>
      <c r="I641" s="81"/>
      <c r="J641" s="81"/>
      <c r="K641" s="81"/>
      <c r="L641" s="81"/>
      <c r="M641" s="81"/>
      <c r="N641" s="681"/>
      <c r="O641" s="81"/>
      <c r="P641" s="81"/>
      <c r="Q641" s="81"/>
      <c r="R641" s="81"/>
      <c r="S641" s="81"/>
      <c r="T641" s="81"/>
      <c r="U641" s="81"/>
    </row>
    <row r="642" ht="14.25" customHeight="1" spans="1:21">
      <c r="A642" s="81"/>
      <c r="B642" s="81"/>
      <c r="C642" s="81"/>
      <c r="D642" s="681"/>
      <c r="E642" s="681"/>
      <c r="F642" s="81"/>
      <c r="G642" s="681"/>
      <c r="H642" s="683"/>
      <c r="I642" s="81"/>
      <c r="J642" s="81"/>
      <c r="K642" s="81"/>
      <c r="L642" s="81"/>
      <c r="M642" s="81"/>
      <c r="N642" s="681"/>
      <c r="O642" s="81"/>
      <c r="P642" s="81"/>
      <c r="Q642" s="81"/>
      <c r="R642" s="81"/>
      <c r="S642" s="81"/>
      <c r="T642" s="81"/>
      <c r="U642" s="81"/>
    </row>
    <row r="643" ht="14.25" customHeight="1" spans="1:21">
      <c r="A643" s="81"/>
      <c r="B643" s="81"/>
      <c r="C643" s="81"/>
      <c r="D643" s="681"/>
      <c r="E643" s="681"/>
      <c r="F643" s="81"/>
      <c r="G643" s="681"/>
      <c r="H643" s="683"/>
      <c r="I643" s="81"/>
      <c r="J643" s="81"/>
      <c r="K643" s="81"/>
      <c r="L643" s="81"/>
      <c r="M643" s="81"/>
      <c r="N643" s="681"/>
      <c r="O643" s="81"/>
      <c r="P643" s="81"/>
      <c r="Q643" s="81"/>
      <c r="R643" s="81"/>
      <c r="S643" s="81"/>
      <c r="T643" s="81"/>
      <c r="U643" s="81"/>
    </row>
    <row r="644" ht="14.25" customHeight="1" spans="1:21">
      <c r="A644" s="81"/>
      <c r="B644" s="81"/>
      <c r="C644" s="81"/>
      <c r="D644" s="681"/>
      <c r="E644" s="681"/>
      <c r="F644" s="81"/>
      <c r="G644" s="681"/>
      <c r="H644" s="683"/>
      <c r="I644" s="81"/>
      <c r="J644" s="81"/>
      <c r="K644" s="81"/>
      <c r="L644" s="81"/>
      <c r="M644" s="81"/>
      <c r="N644" s="681"/>
      <c r="O644" s="81"/>
      <c r="P644" s="81"/>
      <c r="Q644" s="81"/>
      <c r="R644" s="81"/>
      <c r="S644" s="81"/>
      <c r="T644" s="81"/>
      <c r="U644" s="81"/>
    </row>
    <row r="645" ht="14.25" customHeight="1" spans="1:21">
      <c r="A645" s="81"/>
      <c r="B645" s="81"/>
      <c r="C645" s="81"/>
      <c r="D645" s="681"/>
      <c r="E645" s="681"/>
      <c r="F645" s="81"/>
      <c r="G645" s="681"/>
      <c r="H645" s="683"/>
      <c r="I645" s="81"/>
      <c r="J645" s="81"/>
      <c r="K645" s="81"/>
      <c r="L645" s="81"/>
      <c r="M645" s="81"/>
      <c r="N645" s="681"/>
      <c r="O645" s="81"/>
      <c r="P645" s="81"/>
      <c r="Q645" s="81"/>
      <c r="R645" s="81"/>
      <c r="S645" s="81"/>
      <c r="T645" s="81"/>
      <c r="U645" s="81"/>
    </row>
    <row r="646" ht="14.25" customHeight="1" spans="1:21">
      <c r="A646" s="81"/>
      <c r="B646" s="81"/>
      <c r="C646" s="81"/>
      <c r="D646" s="681"/>
      <c r="E646" s="681"/>
      <c r="F646" s="81"/>
      <c r="G646" s="681"/>
      <c r="H646" s="683"/>
      <c r="I646" s="81"/>
      <c r="J646" s="81"/>
      <c r="K646" s="81"/>
      <c r="L646" s="81"/>
      <c r="M646" s="81"/>
      <c r="N646" s="681"/>
      <c r="O646" s="81"/>
      <c r="P646" s="81"/>
      <c r="Q646" s="81"/>
      <c r="R646" s="81"/>
      <c r="S646" s="81"/>
      <c r="T646" s="81"/>
      <c r="U646" s="81"/>
    </row>
    <row r="647" ht="14.25" customHeight="1" spans="1:21">
      <c r="A647" s="81"/>
      <c r="B647" s="81"/>
      <c r="C647" s="81"/>
      <c r="D647" s="681"/>
      <c r="E647" s="681"/>
      <c r="F647" s="81"/>
      <c r="G647" s="681"/>
      <c r="H647" s="683"/>
      <c r="I647" s="81"/>
      <c r="J647" s="81"/>
      <c r="K647" s="81"/>
      <c r="L647" s="81"/>
      <c r="M647" s="81"/>
      <c r="N647" s="681"/>
      <c r="O647" s="81"/>
      <c r="P647" s="81"/>
      <c r="Q647" s="81"/>
      <c r="R647" s="81"/>
      <c r="S647" s="81"/>
      <c r="T647" s="81"/>
      <c r="U647" s="81"/>
    </row>
    <row r="648" ht="14.25" customHeight="1" spans="1:21">
      <c r="A648" s="81"/>
      <c r="B648" s="81"/>
      <c r="C648" s="81"/>
      <c r="D648" s="681"/>
      <c r="E648" s="681"/>
      <c r="F648" s="81"/>
      <c r="G648" s="681"/>
      <c r="H648" s="683"/>
      <c r="I648" s="81"/>
      <c r="J648" s="81"/>
      <c r="K648" s="81"/>
      <c r="L648" s="81"/>
      <c r="M648" s="81"/>
      <c r="N648" s="681"/>
      <c r="O648" s="81"/>
      <c r="P648" s="81"/>
      <c r="Q648" s="81"/>
      <c r="R648" s="81"/>
      <c r="S648" s="81"/>
      <c r="T648" s="81"/>
      <c r="U648" s="81"/>
    </row>
    <row r="649" ht="14.25" customHeight="1" spans="1:21">
      <c r="A649" s="81"/>
      <c r="B649" s="81"/>
      <c r="C649" s="81"/>
      <c r="D649" s="681"/>
      <c r="E649" s="681"/>
      <c r="F649" s="81"/>
      <c r="G649" s="681"/>
      <c r="H649" s="683"/>
      <c r="I649" s="81"/>
      <c r="J649" s="81"/>
      <c r="K649" s="81"/>
      <c r="L649" s="81"/>
      <c r="M649" s="81"/>
      <c r="N649" s="681"/>
      <c r="O649" s="81"/>
      <c r="P649" s="81"/>
      <c r="Q649" s="81"/>
      <c r="R649" s="81"/>
      <c r="S649" s="81"/>
      <c r="T649" s="81"/>
      <c r="U649" s="81"/>
    </row>
    <row r="650" ht="14.25" customHeight="1" spans="1:21">
      <c r="A650" s="81"/>
      <c r="B650" s="81"/>
      <c r="C650" s="81"/>
      <c r="D650" s="681"/>
      <c r="E650" s="681"/>
      <c r="F650" s="81"/>
      <c r="G650" s="681"/>
      <c r="H650" s="683"/>
      <c r="I650" s="81"/>
      <c r="J650" s="81"/>
      <c r="K650" s="81"/>
      <c r="L650" s="81"/>
      <c r="M650" s="81"/>
      <c r="N650" s="681"/>
      <c r="O650" s="81"/>
      <c r="P650" s="81"/>
      <c r="Q650" s="81"/>
      <c r="R650" s="81"/>
      <c r="S650" s="81"/>
      <c r="T650" s="81"/>
      <c r="U650" s="81"/>
    </row>
    <row r="651" ht="14.25" customHeight="1" spans="1:21">
      <c r="A651" s="81"/>
      <c r="B651" s="81"/>
      <c r="C651" s="81"/>
      <c r="D651" s="681"/>
      <c r="E651" s="681"/>
      <c r="F651" s="81"/>
      <c r="G651" s="681"/>
      <c r="H651" s="683"/>
      <c r="I651" s="81"/>
      <c r="J651" s="81"/>
      <c r="K651" s="81"/>
      <c r="L651" s="81"/>
      <c r="M651" s="81"/>
      <c r="N651" s="681"/>
      <c r="O651" s="81"/>
      <c r="P651" s="81"/>
      <c r="Q651" s="81"/>
      <c r="R651" s="81"/>
      <c r="S651" s="81"/>
      <c r="T651" s="81"/>
      <c r="U651" s="81"/>
    </row>
    <row r="652" ht="14.25" customHeight="1" spans="1:21">
      <c r="A652" s="81"/>
      <c r="B652" s="81"/>
      <c r="C652" s="81"/>
      <c r="D652" s="681"/>
      <c r="E652" s="681"/>
      <c r="F652" s="81"/>
      <c r="G652" s="681"/>
      <c r="H652" s="683"/>
      <c r="I652" s="81"/>
      <c r="J652" s="81"/>
      <c r="K652" s="81"/>
      <c r="L652" s="81"/>
      <c r="M652" s="81"/>
      <c r="N652" s="681"/>
      <c r="O652" s="81"/>
      <c r="P652" s="81"/>
      <c r="Q652" s="81"/>
      <c r="R652" s="81"/>
      <c r="S652" s="81"/>
      <c r="T652" s="81"/>
      <c r="U652" s="81"/>
    </row>
    <row r="653" ht="14.25" customHeight="1" spans="1:21">
      <c r="A653" s="81"/>
      <c r="B653" s="81"/>
      <c r="C653" s="81"/>
      <c r="D653" s="681"/>
      <c r="E653" s="681"/>
      <c r="F653" s="81"/>
      <c r="G653" s="681"/>
      <c r="H653" s="683"/>
      <c r="I653" s="81"/>
      <c r="J653" s="81"/>
      <c r="K653" s="81"/>
      <c r="L653" s="81"/>
      <c r="M653" s="81"/>
      <c r="N653" s="681"/>
      <c r="O653" s="81"/>
      <c r="P653" s="81"/>
      <c r="Q653" s="81"/>
      <c r="R653" s="81"/>
      <c r="S653" s="81"/>
      <c r="T653" s="81"/>
      <c r="U653" s="81"/>
    </row>
    <row r="654" ht="14.25" customHeight="1" spans="1:21">
      <c r="A654" s="81"/>
      <c r="B654" s="81"/>
      <c r="C654" s="81"/>
      <c r="D654" s="681"/>
      <c r="E654" s="681"/>
      <c r="F654" s="81"/>
      <c r="G654" s="681"/>
      <c r="H654" s="683"/>
      <c r="I654" s="81"/>
      <c r="J654" s="81"/>
      <c r="K654" s="81"/>
      <c r="L654" s="81"/>
      <c r="M654" s="81"/>
      <c r="N654" s="681"/>
      <c r="O654" s="81"/>
      <c r="P654" s="81"/>
      <c r="Q654" s="81"/>
      <c r="R654" s="81"/>
      <c r="S654" s="81"/>
      <c r="T654" s="81"/>
      <c r="U654" s="81"/>
    </row>
    <row r="655" ht="14.25" customHeight="1" spans="1:21">
      <c r="A655" s="81"/>
      <c r="B655" s="81"/>
      <c r="C655" s="81"/>
      <c r="D655" s="681"/>
      <c r="E655" s="681"/>
      <c r="F655" s="81"/>
      <c r="G655" s="681"/>
      <c r="H655" s="683"/>
      <c r="I655" s="81"/>
      <c r="J655" s="81"/>
      <c r="K655" s="81"/>
      <c r="L655" s="81"/>
      <c r="M655" s="81"/>
      <c r="N655" s="681"/>
      <c r="O655" s="81"/>
      <c r="P655" s="81"/>
      <c r="Q655" s="81"/>
      <c r="R655" s="81"/>
      <c r="S655" s="81"/>
      <c r="T655" s="81"/>
      <c r="U655" s="81"/>
    </row>
    <row r="656" ht="14.25" customHeight="1" spans="1:21">
      <c r="A656" s="81"/>
      <c r="B656" s="81"/>
      <c r="C656" s="81"/>
      <c r="D656" s="681"/>
      <c r="E656" s="681"/>
      <c r="F656" s="81"/>
      <c r="G656" s="681"/>
      <c r="H656" s="683"/>
      <c r="I656" s="81"/>
      <c r="J656" s="81"/>
      <c r="K656" s="81"/>
      <c r="L656" s="81"/>
      <c r="M656" s="81"/>
      <c r="N656" s="681"/>
      <c r="O656" s="81"/>
      <c r="P656" s="81"/>
      <c r="Q656" s="81"/>
      <c r="R656" s="81"/>
      <c r="S656" s="81"/>
      <c r="T656" s="81"/>
      <c r="U656" s="81"/>
    </row>
    <row r="657" ht="14.25" customHeight="1" spans="1:21">
      <c r="A657" s="81"/>
      <c r="B657" s="81"/>
      <c r="C657" s="81"/>
      <c r="D657" s="681"/>
      <c r="E657" s="681"/>
      <c r="F657" s="81"/>
      <c r="G657" s="681"/>
      <c r="H657" s="683"/>
      <c r="I657" s="81"/>
      <c r="J657" s="81"/>
      <c r="K657" s="81"/>
      <c r="L657" s="81"/>
      <c r="M657" s="81"/>
      <c r="N657" s="681"/>
      <c r="O657" s="81"/>
      <c r="P657" s="81"/>
      <c r="Q657" s="81"/>
      <c r="R657" s="81"/>
      <c r="S657" s="81"/>
      <c r="T657" s="81"/>
      <c r="U657" s="81"/>
    </row>
    <row r="658" ht="14.25" customHeight="1" spans="1:21">
      <c r="A658" s="81"/>
      <c r="B658" s="81"/>
      <c r="C658" s="81"/>
      <c r="D658" s="681"/>
      <c r="E658" s="681"/>
      <c r="F658" s="81"/>
      <c r="G658" s="681"/>
      <c r="H658" s="683"/>
      <c r="I658" s="81"/>
      <c r="J658" s="81"/>
      <c r="K658" s="81"/>
      <c r="L658" s="81"/>
      <c r="M658" s="81"/>
      <c r="N658" s="681"/>
      <c r="O658" s="81"/>
      <c r="P658" s="81"/>
      <c r="Q658" s="81"/>
      <c r="R658" s="81"/>
      <c r="S658" s="81"/>
      <c r="T658" s="81"/>
      <c r="U658" s="81"/>
    </row>
    <row r="659" ht="14.25" customHeight="1" spans="1:21">
      <c r="A659" s="81"/>
      <c r="B659" s="81"/>
      <c r="C659" s="81"/>
      <c r="D659" s="681"/>
      <c r="E659" s="681"/>
      <c r="F659" s="81"/>
      <c r="G659" s="681"/>
      <c r="H659" s="683"/>
      <c r="I659" s="81"/>
      <c r="J659" s="81"/>
      <c r="K659" s="81"/>
      <c r="L659" s="81"/>
      <c r="M659" s="81"/>
      <c r="N659" s="681"/>
      <c r="O659" s="81"/>
      <c r="P659" s="81"/>
      <c r="Q659" s="81"/>
      <c r="R659" s="81"/>
      <c r="S659" s="81"/>
      <c r="T659" s="81"/>
      <c r="U659" s="81"/>
    </row>
    <row r="660" ht="14.25" customHeight="1" spans="1:21">
      <c r="A660" s="81"/>
      <c r="B660" s="81"/>
      <c r="C660" s="81"/>
      <c r="D660" s="681"/>
      <c r="E660" s="681"/>
      <c r="F660" s="81"/>
      <c r="G660" s="681"/>
      <c r="H660" s="683"/>
      <c r="I660" s="81"/>
      <c r="J660" s="81"/>
      <c r="K660" s="81"/>
      <c r="L660" s="81"/>
      <c r="M660" s="81"/>
      <c r="N660" s="681"/>
      <c r="O660" s="81"/>
      <c r="P660" s="81"/>
      <c r="Q660" s="81"/>
      <c r="R660" s="81"/>
      <c r="S660" s="81"/>
      <c r="T660" s="81"/>
      <c r="U660" s="81"/>
    </row>
    <row r="661" ht="14.25" customHeight="1" spans="1:21">
      <c r="A661" s="81"/>
      <c r="B661" s="81"/>
      <c r="C661" s="81"/>
      <c r="D661" s="681"/>
      <c r="E661" s="681"/>
      <c r="F661" s="81"/>
      <c r="G661" s="681"/>
      <c r="H661" s="683"/>
      <c r="I661" s="81"/>
      <c r="J661" s="81"/>
      <c r="K661" s="81"/>
      <c r="L661" s="81"/>
      <c r="M661" s="81"/>
      <c r="N661" s="681"/>
      <c r="O661" s="81"/>
      <c r="P661" s="81"/>
      <c r="Q661" s="81"/>
      <c r="R661" s="81"/>
      <c r="S661" s="81"/>
      <c r="T661" s="81"/>
      <c r="U661" s="81"/>
    </row>
    <row r="662" ht="14.25" customHeight="1" spans="1:21">
      <c r="A662" s="81"/>
      <c r="B662" s="81"/>
      <c r="C662" s="81"/>
      <c r="D662" s="681"/>
      <c r="E662" s="681"/>
      <c r="F662" s="81"/>
      <c r="G662" s="681"/>
      <c r="H662" s="683"/>
      <c r="I662" s="81"/>
      <c r="J662" s="81"/>
      <c r="K662" s="81"/>
      <c r="L662" s="81"/>
      <c r="M662" s="81"/>
      <c r="N662" s="681"/>
      <c r="O662" s="81"/>
      <c r="P662" s="81"/>
      <c r="Q662" s="81"/>
      <c r="R662" s="81"/>
      <c r="S662" s="81"/>
      <c r="T662" s="81"/>
      <c r="U662" s="81"/>
    </row>
    <row r="663" ht="14.25" customHeight="1" spans="1:21">
      <c r="A663" s="81"/>
      <c r="B663" s="81"/>
      <c r="C663" s="81"/>
      <c r="D663" s="681"/>
      <c r="E663" s="681"/>
      <c r="F663" s="81"/>
      <c r="G663" s="681"/>
      <c r="H663" s="683"/>
      <c r="I663" s="81"/>
      <c r="J663" s="81"/>
      <c r="K663" s="81"/>
      <c r="L663" s="81"/>
      <c r="M663" s="81"/>
      <c r="N663" s="681"/>
      <c r="O663" s="81"/>
      <c r="P663" s="81"/>
      <c r="Q663" s="81"/>
      <c r="R663" s="81"/>
      <c r="S663" s="81"/>
      <c r="T663" s="81"/>
      <c r="U663" s="81"/>
    </row>
    <row r="664" ht="14.25" customHeight="1" spans="1:21">
      <c r="A664" s="81"/>
      <c r="B664" s="81"/>
      <c r="C664" s="81"/>
      <c r="D664" s="681"/>
      <c r="E664" s="681"/>
      <c r="F664" s="81"/>
      <c r="G664" s="681"/>
      <c r="H664" s="683"/>
      <c r="I664" s="81"/>
      <c r="J664" s="81"/>
      <c r="K664" s="81"/>
      <c r="L664" s="81"/>
      <c r="M664" s="81"/>
      <c r="N664" s="681"/>
      <c r="O664" s="81"/>
      <c r="P664" s="81"/>
      <c r="Q664" s="81"/>
      <c r="R664" s="81"/>
      <c r="S664" s="81"/>
      <c r="T664" s="81"/>
      <c r="U664" s="81"/>
    </row>
    <row r="665" ht="14.25" customHeight="1" spans="1:21">
      <c r="A665" s="81"/>
      <c r="B665" s="81"/>
      <c r="C665" s="81"/>
      <c r="D665" s="681"/>
      <c r="E665" s="681"/>
      <c r="F665" s="81"/>
      <c r="G665" s="681"/>
      <c r="H665" s="683"/>
      <c r="I665" s="81"/>
      <c r="J665" s="81"/>
      <c r="K665" s="81"/>
      <c r="L665" s="81"/>
      <c r="M665" s="81"/>
      <c r="N665" s="681"/>
      <c r="O665" s="81"/>
      <c r="P665" s="81"/>
      <c r="Q665" s="81"/>
      <c r="R665" s="81"/>
      <c r="S665" s="81"/>
      <c r="T665" s="81"/>
      <c r="U665" s="81"/>
    </row>
    <row r="666" ht="14.25" customHeight="1" spans="1:21">
      <c r="A666" s="81"/>
      <c r="B666" s="81"/>
      <c r="C666" s="81"/>
      <c r="D666" s="681"/>
      <c r="E666" s="681"/>
      <c r="F666" s="81"/>
      <c r="G666" s="681"/>
      <c r="H666" s="683"/>
      <c r="I666" s="81"/>
      <c r="J666" s="81"/>
      <c r="K666" s="81"/>
      <c r="L666" s="81"/>
      <c r="M666" s="81"/>
      <c r="N666" s="681"/>
      <c r="O666" s="81"/>
      <c r="P666" s="81"/>
      <c r="Q666" s="81"/>
      <c r="R666" s="81"/>
      <c r="S666" s="81"/>
      <c r="T666" s="81"/>
      <c r="U666" s="81"/>
    </row>
    <row r="667" ht="14.25" customHeight="1" spans="1:21">
      <c r="A667" s="81"/>
      <c r="B667" s="81"/>
      <c r="C667" s="81"/>
      <c r="D667" s="681"/>
      <c r="E667" s="681"/>
      <c r="F667" s="81"/>
      <c r="G667" s="681"/>
      <c r="H667" s="683"/>
      <c r="I667" s="81"/>
      <c r="J667" s="81"/>
      <c r="K667" s="81"/>
      <c r="L667" s="81"/>
      <c r="M667" s="81"/>
      <c r="N667" s="681"/>
      <c r="O667" s="81"/>
      <c r="P667" s="81"/>
      <c r="Q667" s="81"/>
      <c r="R667" s="81"/>
      <c r="S667" s="81"/>
      <c r="T667" s="81"/>
      <c r="U667" s="81"/>
    </row>
    <row r="668" ht="14.25" customHeight="1" spans="1:21">
      <c r="A668" s="81"/>
      <c r="B668" s="81"/>
      <c r="C668" s="81"/>
      <c r="D668" s="681"/>
      <c r="E668" s="681"/>
      <c r="F668" s="81"/>
      <c r="G668" s="681"/>
      <c r="H668" s="683"/>
      <c r="I668" s="81"/>
      <c r="J668" s="81"/>
      <c r="K668" s="81"/>
      <c r="L668" s="81"/>
      <c r="M668" s="81"/>
      <c r="N668" s="681"/>
      <c r="O668" s="81"/>
      <c r="P668" s="81"/>
      <c r="Q668" s="81"/>
      <c r="R668" s="81"/>
      <c r="S668" s="81"/>
      <c r="T668" s="81"/>
      <c r="U668" s="81"/>
    </row>
    <row r="669" ht="14.25" customHeight="1" spans="1:21">
      <c r="A669" s="81"/>
      <c r="B669" s="81"/>
      <c r="C669" s="81"/>
      <c r="D669" s="681"/>
      <c r="E669" s="681"/>
      <c r="F669" s="81"/>
      <c r="G669" s="681"/>
      <c r="H669" s="683"/>
      <c r="I669" s="81"/>
      <c r="J669" s="81"/>
      <c r="K669" s="81"/>
      <c r="L669" s="81"/>
      <c r="M669" s="81"/>
      <c r="N669" s="681"/>
      <c r="O669" s="81"/>
      <c r="P669" s="81"/>
      <c r="Q669" s="81"/>
      <c r="R669" s="81"/>
      <c r="S669" s="81"/>
      <c r="T669" s="81"/>
      <c r="U669" s="81"/>
    </row>
    <row r="670" ht="14.25" customHeight="1" spans="1:21">
      <c r="A670" s="81"/>
      <c r="B670" s="81"/>
      <c r="C670" s="81"/>
      <c r="D670" s="681"/>
      <c r="E670" s="681"/>
      <c r="F670" s="81"/>
      <c r="G670" s="681"/>
      <c r="H670" s="683"/>
      <c r="I670" s="81"/>
      <c r="J670" s="81"/>
      <c r="K670" s="81"/>
      <c r="L670" s="81"/>
      <c r="M670" s="81"/>
      <c r="N670" s="681"/>
      <c r="O670" s="81"/>
      <c r="P670" s="81"/>
      <c r="Q670" s="81"/>
      <c r="R670" s="81"/>
      <c r="S670" s="81"/>
      <c r="T670" s="81"/>
      <c r="U670" s="81"/>
    </row>
    <row r="671" ht="14.25" customHeight="1" spans="1:21">
      <c r="A671" s="81"/>
      <c r="B671" s="81"/>
      <c r="C671" s="81"/>
      <c r="D671" s="681"/>
      <c r="E671" s="681"/>
      <c r="F671" s="81"/>
      <c r="G671" s="681"/>
      <c r="H671" s="683"/>
      <c r="I671" s="81"/>
      <c r="J671" s="81"/>
      <c r="K671" s="81"/>
      <c r="L671" s="81"/>
      <c r="M671" s="81"/>
      <c r="N671" s="681"/>
      <c r="O671" s="81"/>
      <c r="P671" s="81"/>
      <c r="Q671" s="81"/>
      <c r="R671" s="81"/>
      <c r="S671" s="81"/>
      <c r="T671" s="81"/>
      <c r="U671" s="81"/>
    </row>
    <row r="672" ht="14.25" customHeight="1" spans="1:21">
      <c r="A672" s="81"/>
      <c r="B672" s="81"/>
      <c r="C672" s="81"/>
      <c r="D672" s="681"/>
      <c r="E672" s="681"/>
      <c r="F672" s="81"/>
      <c r="G672" s="681"/>
      <c r="H672" s="683"/>
      <c r="I672" s="81"/>
      <c r="J672" s="81"/>
      <c r="K672" s="81"/>
      <c r="L672" s="81"/>
      <c r="M672" s="81"/>
      <c r="N672" s="681"/>
      <c r="O672" s="81"/>
      <c r="P672" s="81"/>
      <c r="Q672" s="81"/>
      <c r="R672" s="81"/>
      <c r="S672" s="81"/>
      <c r="T672" s="81"/>
      <c r="U672" s="81"/>
    </row>
    <row r="673" ht="14.25" customHeight="1" spans="1:21">
      <c r="A673" s="81"/>
      <c r="B673" s="81"/>
      <c r="C673" s="81"/>
      <c r="D673" s="681"/>
      <c r="E673" s="681"/>
      <c r="F673" s="81"/>
      <c r="G673" s="681"/>
      <c r="H673" s="683"/>
      <c r="I673" s="81"/>
      <c r="J673" s="81"/>
      <c r="K673" s="81"/>
      <c r="L673" s="81"/>
      <c r="M673" s="81"/>
      <c r="N673" s="681"/>
      <c r="O673" s="81"/>
      <c r="P673" s="81"/>
      <c r="Q673" s="81"/>
      <c r="R673" s="81"/>
      <c r="S673" s="81"/>
      <c r="T673" s="81"/>
      <c r="U673" s="81"/>
    </row>
    <row r="674" ht="14.25" customHeight="1" spans="1:21">
      <c r="A674" s="81"/>
      <c r="B674" s="81"/>
      <c r="C674" s="81"/>
      <c r="D674" s="681"/>
      <c r="E674" s="681"/>
      <c r="F674" s="81"/>
      <c r="G674" s="681"/>
      <c r="H674" s="683"/>
      <c r="I674" s="81"/>
      <c r="J674" s="81"/>
      <c r="K674" s="81"/>
      <c r="L674" s="81"/>
      <c r="M674" s="81"/>
      <c r="N674" s="681"/>
      <c r="O674" s="81"/>
      <c r="P674" s="81"/>
      <c r="Q674" s="81"/>
      <c r="R674" s="81"/>
      <c r="S674" s="81"/>
      <c r="T674" s="81"/>
      <c r="U674" s="81"/>
    </row>
    <row r="675" ht="14.25" customHeight="1" spans="1:21">
      <c r="A675" s="81"/>
      <c r="B675" s="81"/>
      <c r="C675" s="81"/>
      <c r="D675" s="681"/>
      <c r="E675" s="681"/>
      <c r="F675" s="81"/>
      <c r="G675" s="681"/>
      <c r="H675" s="683"/>
      <c r="I675" s="81"/>
      <c r="J675" s="81"/>
      <c r="K675" s="81"/>
      <c r="L675" s="81"/>
      <c r="M675" s="81"/>
      <c r="N675" s="681"/>
      <c r="O675" s="81"/>
      <c r="P675" s="81"/>
      <c r="Q675" s="81"/>
      <c r="R675" s="81"/>
      <c r="S675" s="81"/>
      <c r="T675" s="81"/>
      <c r="U675" s="81"/>
    </row>
    <row r="676" ht="14.25" customHeight="1" spans="1:21">
      <c r="A676" s="81"/>
      <c r="B676" s="81"/>
      <c r="C676" s="81"/>
      <c r="D676" s="681"/>
      <c r="E676" s="681"/>
      <c r="F676" s="81"/>
      <c r="G676" s="681"/>
      <c r="H676" s="683"/>
      <c r="I676" s="81"/>
      <c r="J676" s="81"/>
      <c r="K676" s="81"/>
      <c r="L676" s="81"/>
      <c r="M676" s="81"/>
      <c r="N676" s="681"/>
      <c r="O676" s="81"/>
      <c r="P676" s="81"/>
      <c r="Q676" s="81"/>
      <c r="R676" s="81"/>
      <c r="S676" s="81"/>
      <c r="T676" s="81"/>
      <c r="U676" s="81"/>
    </row>
    <row r="677" ht="14.25" customHeight="1" spans="1:21">
      <c r="A677" s="81"/>
      <c r="B677" s="81"/>
      <c r="C677" s="81"/>
      <c r="D677" s="681"/>
      <c r="E677" s="681"/>
      <c r="F677" s="81"/>
      <c r="G677" s="681"/>
      <c r="H677" s="683"/>
      <c r="I677" s="81"/>
      <c r="J677" s="81"/>
      <c r="K677" s="81"/>
      <c r="L677" s="81"/>
      <c r="M677" s="81"/>
      <c r="N677" s="681"/>
      <c r="O677" s="81"/>
      <c r="P677" s="81"/>
      <c r="Q677" s="81"/>
      <c r="R677" s="81"/>
      <c r="S677" s="81"/>
      <c r="T677" s="81"/>
      <c r="U677" s="81"/>
    </row>
    <row r="678" ht="14.25" customHeight="1" spans="1:21">
      <c r="A678" s="81"/>
      <c r="B678" s="81"/>
      <c r="C678" s="81"/>
      <c r="D678" s="681"/>
      <c r="E678" s="681"/>
      <c r="F678" s="81"/>
      <c r="G678" s="681"/>
      <c r="H678" s="683"/>
      <c r="I678" s="81"/>
      <c r="J678" s="81"/>
      <c r="K678" s="81"/>
      <c r="L678" s="81"/>
      <c r="M678" s="81"/>
      <c r="N678" s="681"/>
      <c r="O678" s="81"/>
      <c r="P678" s="81"/>
      <c r="Q678" s="81"/>
      <c r="R678" s="81"/>
      <c r="S678" s="81"/>
      <c r="T678" s="81"/>
      <c r="U678" s="81"/>
    </row>
    <row r="679" ht="14.25" customHeight="1" spans="1:21">
      <c r="A679" s="81"/>
      <c r="B679" s="81"/>
      <c r="C679" s="81"/>
      <c r="D679" s="681"/>
      <c r="E679" s="681"/>
      <c r="F679" s="81"/>
      <c r="G679" s="681"/>
      <c r="H679" s="683"/>
      <c r="I679" s="81"/>
      <c r="J679" s="81"/>
      <c r="K679" s="81"/>
      <c r="L679" s="81"/>
      <c r="M679" s="81"/>
      <c r="N679" s="681"/>
      <c r="O679" s="81"/>
      <c r="P679" s="81"/>
      <c r="Q679" s="81"/>
      <c r="R679" s="81"/>
      <c r="S679" s="81"/>
      <c r="T679" s="81"/>
      <c r="U679" s="81"/>
    </row>
    <row r="680" ht="14.25" customHeight="1" spans="1:21">
      <c r="A680" s="81"/>
      <c r="B680" s="81"/>
      <c r="C680" s="81"/>
      <c r="D680" s="681"/>
      <c r="E680" s="681"/>
      <c r="F680" s="81"/>
      <c r="G680" s="681"/>
      <c r="H680" s="683"/>
      <c r="I680" s="81"/>
      <c r="J680" s="81"/>
      <c r="K680" s="81"/>
      <c r="L680" s="81"/>
      <c r="M680" s="81"/>
      <c r="N680" s="681"/>
      <c r="O680" s="81"/>
      <c r="P680" s="81"/>
      <c r="Q680" s="81"/>
      <c r="R680" s="81"/>
      <c r="S680" s="81"/>
      <c r="T680" s="81"/>
      <c r="U680" s="81"/>
    </row>
    <row r="681" ht="14.25" customHeight="1" spans="1:21">
      <c r="A681" s="81"/>
      <c r="B681" s="81"/>
      <c r="C681" s="81"/>
      <c r="D681" s="681"/>
      <c r="E681" s="681"/>
      <c r="F681" s="81"/>
      <c r="G681" s="681"/>
      <c r="H681" s="683"/>
      <c r="I681" s="81"/>
      <c r="J681" s="81"/>
      <c r="K681" s="81"/>
      <c r="L681" s="81"/>
      <c r="M681" s="81"/>
      <c r="N681" s="681"/>
      <c r="O681" s="81"/>
      <c r="P681" s="81"/>
      <c r="Q681" s="81"/>
      <c r="R681" s="81"/>
      <c r="S681" s="81"/>
      <c r="T681" s="81"/>
      <c r="U681" s="81"/>
    </row>
    <row r="682" ht="14.25" customHeight="1" spans="1:21">
      <c r="A682" s="81"/>
      <c r="B682" s="81"/>
      <c r="C682" s="81"/>
      <c r="D682" s="681"/>
      <c r="E682" s="681"/>
      <c r="F682" s="81"/>
      <c r="G682" s="681"/>
      <c r="H682" s="683"/>
      <c r="I682" s="81"/>
      <c r="J682" s="81"/>
      <c r="K682" s="81"/>
      <c r="L682" s="81"/>
      <c r="M682" s="81"/>
      <c r="N682" s="681"/>
      <c r="O682" s="81"/>
      <c r="P682" s="81"/>
      <c r="Q682" s="81"/>
      <c r="R682" s="81"/>
      <c r="S682" s="81"/>
      <c r="T682" s="81"/>
      <c r="U682" s="81"/>
    </row>
    <row r="683" ht="14.25" customHeight="1" spans="1:21">
      <c r="A683" s="81"/>
      <c r="B683" s="81"/>
      <c r="C683" s="81"/>
      <c r="D683" s="681"/>
      <c r="E683" s="681"/>
      <c r="F683" s="81"/>
      <c r="G683" s="681"/>
      <c r="H683" s="683"/>
      <c r="I683" s="81"/>
      <c r="J683" s="81"/>
      <c r="K683" s="81"/>
      <c r="L683" s="81"/>
      <c r="M683" s="81"/>
      <c r="N683" s="681"/>
      <c r="O683" s="81"/>
      <c r="P683" s="81"/>
      <c r="Q683" s="81"/>
      <c r="R683" s="81"/>
      <c r="S683" s="81"/>
      <c r="T683" s="81"/>
      <c r="U683" s="81"/>
    </row>
    <row r="684" ht="14.25" customHeight="1" spans="1:21">
      <c r="A684" s="81"/>
      <c r="B684" s="81"/>
      <c r="C684" s="81"/>
      <c r="D684" s="681"/>
      <c r="E684" s="681"/>
      <c r="F684" s="81"/>
      <c r="G684" s="681"/>
      <c r="H684" s="683"/>
      <c r="I684" s="81"/>
      <c r="J684" s="81"/>
      <c r="K684" s="81"/>
      <c r="L684" s="81"/>
      <c r="M684" s="81"/>
      <c r="N684" s="681"/>
      <c r="O684" s="81"/>
      <c r="P684" s="81"/>
      <c r="Q684" s="81"/>
      <c r="R684" s="81"/>
      <c r="S684" s="81"/>
      <c r="T684" s="81"/>
      <c r="U684" s="81"/>
    </row>
    <row r="685" ht="14.25" customHeight="1" spans="1:21">
      <c r="A685" s="81"/>
      <c r="B685" s="81"/>
      <c r="C685" s="81"/>
      <c r="D685" s="681"/>
      <c r="E685" s="681"/>
      <c r="F685" s="81"/>
      <c r="G685" s="681"/>
      <c r="H685" s="683"/>
      <c r="I685" s="81"/>
      <c r="J685" s="81"/>
      <c r="K685" s="81"/>
      <c r="L685" s="81"/>
      <c r="M685" s="81"/>
      <c r="N685" s="681"/>
      <c r="O685" s="81"/>
      <c r="P685" s="81"/>
      <c r="Q685" s="81"/>
      <c r="R685" s="81"/>
      <c r="S685" s="81"/>
      <c r="T685" s="81"/>
      <c r="U685" s="81"/>
    </row>
    <row r="686" ht="14.25" customHeight="1" spans="1:21">
      <c r="A686" s="81"/>
      <c r="B686" s="81"/>
      <c r="C686" s="81"/>
      <c r="D686" s="681"/>
      <c r="E686" s="681"/>
      <c r="F686" s="81"/>
      <c r="G686" s="681"/>
      <c r="H686" s="683"/>
      <c r="I686" s="81"/>
      <c r="J686" s="81"/>
      <c r="K686" s="81"/>
      <c r="L686" s="81"/>
      <c r="M686" s="81"/>
      <c r="N686" s="681"/>
      <c r="O686" s="81"/>
      <c r="P686" s="81"/>
      <c r="Q686" s="81"/>
      <c r="R686" s="81"/>
      <c r="S686" s="81"/>
      <c r="T686" s="81"/>
      <c r="U686" s="81"/>
    </row>
    <row r="687" ht="14.25" customHeight="1" spans="1:21">
      <c r="A687" s="81"/>
      <c r="B687" s="81"/>
      <c r="C687" s="81"/>
      <c r="D687" s="681"/>
      <c r="E687" s="681"/>
      <c r="F687" s="81"/>
      <c r="G687" s="681"/>
      <c r="H687" s="683"/>
      <c r="I687" s="81"/>
      <c r="J687" s="81"/>
      <c r="K687" s="81"/>
      <c r="L687" s="81"/>
      <c r="M687" s="81"/>
      <c r="N687" s="681"/>
      <c r="O687" s="81"/>
      <c r="P687" s="81"/>
      <c r="Q687" s="81"/>
      <c r="R687" s="81"/>
      <c r="S687" s="81"/>
      <c r="T687" s="81"/>
      <c r="U687" s="81"/>
    </row>
    <row r="688" ht="14.25" customHeight="1" spans="1:21">
      <c r="A688" s="81"/>
      <c r="B688" s="81"/>
      <c r="C688" s="81"/>
      <c r="D688" s="681"/>
      <c r="E688" s="681"/>
      <c r="F688" s="81"/>
      <c r="G688" s="681"/>
      <c r="H688" s="683"/>
      <c r="I688" s="81"/>
      <c r="J688" s="81"/>
      <c r="K688" s="81"/>
      <c r="L688" s="81"/>
      <c r="M688" s="81"/>
      <c r="N688" s="681"/>
      <c r="O688" s="81"/>
      <c r="P688" s="81"/>
      <c r="Q688" s="81"/>
      <c r="R688" s="81"/>
      <c r="S688" s="81"/>
      <c r="T688" s="81"/>
      <c r="U688" s="81"/>
    </row>
    <row r="689" ht="14.25" customHeight="1" spans="1:21">
      <c r="A689" s="81"/>
      <c r="B689" s="81"/>
      <c r="C689" s="81"/>
      <c r="D689" s="681"/>
      <c r="E689" s="681"/>
      <c r="F689" s="81"/>
      <c r="G689" s="681"/>
      <c r="H689" s="683"/>
      <c r="I689" s="81"/>
      <c r="J689" s="81"/>
      <c r="K689" s="81"/>
      <c r="L689" s="81"/>
      <c r="M689" s="81"/>
      <c r="N689" s="681"/>
      <c r="O689" s="81"/>
      <c r="P689" s="81"/>
      <c r="Q689" s="81"/>
      <c r="R689" s="81"/>
      <c r="S689" s="81"/>
      <c r="T689" s="81"/>
      <c r="U689" s="81"/>
    </row>
    <row r="690" ht="14.25" customHeight="1" spans="1:21">
      <c r="A690" s="81"/>
      <c r="B690" s="81"/>
      <c r="C690" s="81"/>
      <c r="D690" s="681"/>
      <c r="E690" s="681"/>
      <c r="F690" s="81"/>
      <c r="G690" s="681"/>
      <c r="H690" s="683"/>
      <c r="I690" s="81"/>
      <c r="J690" s="81"/>
      <c r="K690" s="81"/>
      <c r="L690" s="81"/>
      <c r="M690" s="81"/>
      <c r="N690" s="681"/>
      <c r="O690" s="81"/>
      <c r="P690" s="81"/>
      <c r="Q690" s="81"/>
      <c r="R690" s="81"/>
      <c r="S690" s="81"/>
      <c r="T690" s="81"/>
      <c r="U690" s="81"/>
    </row>
    <row r="691" ht="14.25" customHeight="1" spans="1:21">
      <c r="A691" s="81"/>
      <c r="B691" s="81"/>
      <c r="C691" s="81"/>
      <c r="D691" s="681"/>
      <c r="E691" s="681"/>
      <c r="F691" s="81"/>
      <c r="G691" s="681"/>
      <c r="H691" s="683"/>
      <c r="I691" s="81"/>
      <c r="J691" s="81"/>
      <c r="K691" s="81"/>
      <c r="L691" s="81"/>
      <c r="M691" s="81"/>
      <c r="N691" s="681"/>
      <c r="O691" s="81"/>
      <c r="P691" s="81"/>
      <c r="Q691" s="81"/>
      <c r="R691" s="81"/>
      <c r="S691" s="81"/>
      <c r="T691" s="81"/>
      <c r="U691" s="81"/>
    </row>
    <row r="692" ht="14.25" customHeight="1" spans="1:21">
      <c r="A692" s="81"/>
      <c r="B692" s="81"/>
      <c r="C692" s="81"/>
      <c r="D692" s="681"/>
      <c r="E692" s="681"/>
      <c r="F692" s="81"/>
      <c r="G692" s="681"/>
      <c r="H692" s="683"/>
      <c r="I692" s="81"/>
      <c r="J692" s="81"/>
      <c r="K692" s="81"/>
      <c r="L692" s="81"/>
      <c r="M692" s="81"/>
      <c r="N692" s="681"/>
      <c r="O692" s="81"/>
      <c r="P692" s="81"/>
      <c r="Q692" s="81"/>
      <c r="R692" s="81"/>
      <c r="S692" s="81"/>
      <c r="T692" s="81"/>
      <c r="U692" s="81"/>
    </row>
    <row r="693" ht="14.25" customHeight="1" spans="1:21">
      <c r="A693" s="81"/>
      <c r="B693" s="81"/>
      <c r="C693" s="81"/>
      <c r="D693" s="681"/>
      <c r="E693" s="681"/>
      <c r="F693" s="81"/>
      <c r="G693" s="681"/>
      <c r="H693" s="683"/>
      <c r="I693" s="81"/>
      <c r="J693" s="81"/>
      <c r="K693" s="81"/>
      <c r="L693" s="81"/>
      <c r="M693" s="81"/>
      <c r="N693" s="681"/>
      <c r="O693" s="81"/>
      <c r="P693" s="81"/>
      <c r="Q693" s="81"/>
      <c r="R693" s="81"/>
      <c r="S693" s="81"/>
      <c r="T693" s="81"/>
      <c r="U693" s="81"/>
    </row>
    <row r="694" ht="14.25" customHeight="1" spans="1:21">
      <c r="A694" s="81"/>
      <c r="B694" s="81"/>
      <c r="C694" s="81"/>
      <c r="D694" s="681"/>
      <c r="E694" s="681"/>
      <c r="F694" s="81"/>
      <c r="G694" s="681"/>
      <c r="H694" s="683"/>
      <c r="I694" s="81"/>
      <c r="J694" s="81"/>
      <c r="K694" s="81"/>
      <c r="L694" s="81"/>
      <c r="M694" s="81"/>
      <c r="N694" s="681"/>
      <c r="O694" s="81"/>
      <c r="P694" s="81"/>
      <c r="Q694" s="81"/>
      <c r="R694" s="81"/>
      <c r="S694" s="81"/>
      <c r="T694" s="81"/>
      <c r="U694" s="81"/>
    </row>
    <row r="695" ht="14.25" customHeight="1" spans="1:21">
      <c r="A695" s="81"/>
      <c r="B695" s="81"/>
      <c r="C695" s="81"/>
      <c r="D695" s="681"/>
      <c r="E695" s="681"/>
      <c r="F695" s="81"/>
      <c r="G695" s="681"/>
      <c r="H695" s="683"/>
      <c r="I695" s="81"/>
      <c r="J695" s="81"/>
      <c r="K695" s="81"/>
      <c r="L695" s="81"/>
      <c r="M695" s="81"/>
      <c r="N695" s="681"/>
      <c r="O695" s="81"/>
      <c r="P695" s="81"/>
      <c r="Q695" s="81"/>
      <c r="R695" s="81"/>
      <c r="S695" s="81"/>
      <c r="T695" s="81"/>
      <c r="U695" s="81"/>
    </row>
    <row r="696" ht="14.25" customHeight="1" spans="1:21">
      <c r="A696" s="81"/>
      <c r="B696" s="81"/>
      <c r="C696" s="81"/>
      <c r="D696" s="681"/>
      <c r="E696" s="681"/>
      <c r="F696" s="81"/>
      <c r="G696" s="681"/>
      <c r="H696" s="683"/>
      <c r="I696" s="81"/>
      <c r="J696" s="81"/>
      <c r="K696" s="81"/>
      <c r="L696" s="81"/>
      <c r="M696" s="81"/>
      <c r="N696" s="681"/>
      <c r="O696" s="81"/>
      <c r="P696" s="81"/>
      <c r="Q696" s="81"/>
      <c r="R696" s="81"/>
      <c r="S696" s="81"/>
      <c r="T696" s="81"/>
      <c r="U696" s="81"/>
    </row>
    <row r="697" ht="14.25" customHeight="1" spans="1:21">
      <c r="A697" s="81"/>
      <c r="B697" s="81"/>
      <c r="C697" s="81"/>
      <c r="D697" s="681"/>
      <c r="E697" s="681"/>
      <c r="F697" s="81"/>
      <c r="G697" s="681"/>
      <c r="H697" s="683"/>
      <c r="I697" s="81"/>
      <c r="J697" s="81"/>
      <c r="K697" s="81"/>
      <c r="L697" s="81"/>
      <c r="M697" s="81"/>
      <c r="N697" s="681"/>
      <c r="O697" s="81"/>
      <c r="P697" s="81"/>
      <c r="Q697" s="81"/>
      <c r="R697" s="81"/>
      <c r="S697" s="81"/>
      <c r="T697" s="81"/>
      <c r="U697" s="81"/>
    </row>
    <row r="698" ht="14.25" customHeight="1" spans="1:21">
      <c r="A698" s="81"/>
      <c r="B698" s="81"/>
      <c r="C698" s="81"/>
      <c r="D698" s="681"/>
      <c r="E698" s="681"/>
      <c r="F698" s="81"/>
      <c r="G698" s="681"/>
      <c r="H698" s="683"/>
      <c r="I698" s="81"/>
      <c r="J698" s="81"/>
      <c r="K698" s="81"/>
      <c r="L698" s="81"/>
      <c r="M698" s="81"/>
      <c r="N698" s="681"/>
      <c r="O698" s="81"/>
      <c r="P698" s="81"/>
      <c r="Q698" s="81"/>
      <c r="R698" s="81"/>
      <c r="S698" s="81"/>
      <c r="T698" s="81"/>
      <c r="U698" s="81"/>
    </row>
    <row r="699" ht="14.25" customHeight="1" spans="1:21">
      <c r="A699" s="81"/>
      <c r="B699" s="81"/>
      <c r="C699" s="81"/>
      <c r="D699" s="681"/>
      <c r="E699" s="681"/>
      <c r="F699" s="81"/>
      <c r="G699" s="681"/>
      <c r="H699" s="683"/>
      <c r="I699" s="81"/>
      <c r="J699" s="81"/>
      <c r="K699" s="81"/>
      <c r="L699" s="81"/>
      <c r="M699" s="81"/>
      <c r="N699" s="681"/>
      <c r="O699" s="81"/>
      <c r="P699" s="81"/>
      <c r="Q699" s="81"/>
      <c r="R699" s="81"/>
      <c r="S699" s="81"/>
      <c r="T699" s="81"/>
      <c r="U699" s="81"/>
    </row>
    <row r="700" ht="14.25" customHeight="1" spans="1:21">
      <c r="A700" s="81"/>
      <c r="B700" s="81"/>
      <c r="C700" s="81"/>
      <c r="D700" s="681"/>
      <c r="E700" s="681"/>
      <c r="F700" s="81"/>
      <c r="G700" s="681"/>
      <c r="H700" s="683"/>
      <c r="I700" s="81"/>
      <c r="J700" s="81"/>
      <c r="K700" s="81"/>
      <c r="L700" s="81"/>
      <c r="M700" s="81"/>
      <c r="N700" s="681"/>
      <c r="O700" s="81"/>
      <c r="P700" s="81"/>
      <c r="Q700" s="81"/>
      <c r="R700" s="81"/>
      <c r="S700" s="81"/>
      <c r="T700" s="81"/>
      <c r="U700" s="81"/>
    </row>
    <row r="701" ht="14.25" customHeight="1" spans="1:21">
      <c r="A701" s="81"/>
      <c r="B701" s="81"/>
      <c r="C701" s="81"/>
      <c r="D701" s="681"/>
      <c r="E701" s="681"/>
      <c r="F701" s="81"/>
      <c r="G701" s="681"/>
      <c r="H701" s="683"/>
      <c r="I701" s="81"/>
      <c r="J701" s="81"/>
      <c r="K701" s="81"/>
      <c r="L701" s="81"/>
      <c r="M701" s="81"/>
      <c r="N701" s="681"/>
      <c r="O701" s="81"/>
      <c r="P701" s="81"/>
      <c r="Q701" s="81"/>
      <c r="R701" s="81"/>
      <c r="S701" s="81"/>
      <c r="T701" s="81"/>
      <c r="U701" s="81"/>
    </row>
    <row r="702" ht="14.25" customHeight="1" spans="1:21">
      <c r="A702" s="81"/>
      <c r="B702" s="81"/>
      <c r="C702" s="81"/>
      <c r="D702" s="681"/>
      <c r="E702" s="681"/>
      <c r="F702" s="81"/>
      <c r="G702" s="681"/>
      <c r="H702" s="683"/>
      <c r="I702" s="81"/>
      <c r="J702" s="81"/>
      <c r="K702" s="81"/>
      <c r="L702" s="81"/>
      <c r="M702" s="81"/>
      <c r="N702" s="681"/>
      <c r="O702" s="81"/>
      <c r="P702" s="81"/>
      <c r="Q702" s="81"/>
      <c r="R702" s="81"/>
      <c r="S702" s="81"/>
      <c r="T702" s="81"/>
      <c r="U702" s="81"/>
    </row>
    <row r="703" ht="14.25" customHeight="1" spans="1:21">
      <c r="A703" s="81"/>
      <c r="B703" s="81"/>
      <c r="C703" s="81"/>
      <c r="D703" s="681"/>
      <c r="E703" s="681"/>
      <c r="F703" s="81"/>
      <c r="G703" s="681"/>
      <c r="H703" s="683"/>
      <c r="I703" s="81"/>
      <c r="J703" s="81"/>
      <c r="K703" s="81"/>
      <c r="L703" s="81"/>
      <c r="M703" s="81"/>
      <c r="N703" s="681"/>
      <c r="O703" s="81"/>
      <c r="P703" s="81"/>
      <c r="Q703" s="81"/>
      <c r="R703" s="81"/>
      <c r="S703" s="81"/>
      <c r="T703" s="81"/>
      <c r="U703" s="81"/>
    </row>
    <row r="704" ht="14.25" customHeight="1" spans="1:21">
      <c r="A704" s="81"/>
      <c r="B704" s="81"/>
      <c r="C704" s="81"/>
      <c r="D704" s="681"/>
      <c r="E704" s="681"/>
      <c r="F704" s="81"/>
      <c r="G704" s="681"/>
      <c r="H704" s="683"/>
      <c r="I704" s="81"/>
      <c r="J704" s="81"/>
      <c r="K704" s="81"/>
      <c r="L704" s="81"/>
      <c r="M704" s="81"/>
      <c r="N704" s="681"/>
      <c r="O704" s="81"/>
      <c r="P704" s="81"/>
      <c r="Q704" s="81"/>
      <c r="R704" s="81"/>
      <c r="S704" s="81"/>
      <c r="T704" s="81"/>
      <c r="U704" s="81"/>
    </row>
    <row r="705" ht="14.25" customHeight="1" spans="1:21">
      <c r="A705" s="81"/>
      <c r="B705" s="81"/>
      <c r="C705" s="81"/>
      <c r="D705" s="681"/>
      <c r="E705" s="681"/>
      <c r="F705" s="81"/>
      <c r="G705" s="681"/>
      <c r="H705" s="683"/>
      <c r="I705" s="81"/>
      <c r="J705" s="81"/>
      <c r="K705" s="81"/>
      <c r="L705" s="81"/>
      <c r="M705" s="81"/>
      <c r="N705" s="681"/>
      <c r="O705" s="81"/>
      <c r="P705" s="81"/>
      <c r="Q705" s="81"/>
      <c r="R705" s="81"/>
      <c r="S705" s="81"/>
      <c r="T705" s="81"/>
      <c r="U705" s="81"/>
    </row>
    <row r="706" ht="14.25" customHeight="1" spans="1:21">
      <c r="A706" s="81"/>
      <c r="B706" s="81"/>
      <c r="C706" s="81"/>
      <c r="D706" s="681"/>
      <c r="E706" s="681"/>
      <c r="F706" s="81"/>
      <c r="G706" s="681"/>
      <c r="H706" s="683"/>
      <c r="I706" s="81"/>
      <c r="J706" s="81"/>
      <c r="K706" s="81"/>
      <c r="L706" s="81"/>
      <c r="M706" s="81"/>
      <c r="N706" s="681"/>
      <c r="O706" s="81"/>
      <c r="P706" s="81"/>
      <c r="Q706" s="81"/>
      <c r="R706" s="81"/>
      <c r="S706" s="81"/>
      <c r="T706" s="81"/>
      <c r="U706" s="81"/>
    </row>
    <row r="707" ht="14.25" customHeight="1" spans="1:21">
      <c r="A707" s="81"/>
      <c r="B707" s="81"/>
      <c r="C707" s="81"/>
      <c r="D707" s="681"/>
      <c r="E707" s="681"/>
      <c r="F707" s="81"/>
      <c r="G707" s="681"/>
      <c r="H707" s="683"/>
      <c r="I707" s="81"/>
      <c r="J707" s="81"/>
      <c r="K707" s="81"/>
      <c r="L707" s="81"/>
      <c r="M707" s="81"/>
      <c r="N707" s="681"/>
      <c r="O707" s="81"/>
      <c r="P707" s="81"/>
      <c r="Q707" s="81"/>
      <c r="R707" s="81"/>
      <c r="S707" s="81"/>
      <c r="T707" s="81"/>
      <c r="U707" s="81"/>
    </row>
    <row r="708" ht="14.25" customHeight="1" spans="1:21">
      <c r="A708" s="81"/>
      <c r="B708" s="81"/>
      <c r="C708" s="81"/>
      <c r="D708" s="681"/>
      <c r="E708" s="681"/>
      <c r="F708" s="81"/>
      <c r="G708" s="681"/>
      <c r="H708" s="683"/>
      <c r="I708" s="81"/>
      <c r="J708" s="81"/>
      <c r="K708" s="81"/>
      <c r="L708" s="81"/>
      <c r="M708" s="81"/>
      <c r="N708" s="681"/>
      <c r="O708" s="81"/>
      <c r="P708" s="81"/>
      <c r="Q708" s="81"/>
      <c r="R708" s="81"/>
      <c r="S708" s="81"/>
      <c r="T708" s="81"/>
      <c r="U708" s="81"/>
    </row>
    <row r="709" ht="14.25" customHeight="1" spans="1:21">
      <c r="A709" s="81"/>
      <c r="B709" s="81"/>
      <c r="C709" s="81"/>
      <c r="D709" s="681"/>
      <c r="E709" s="681"/>
      <c r="F709" s="81"/>
      <c r="G709" s="681"/>
      <c r="H709" s="683"/>
      <c r="I709" s="81"/>
      <c r="J709" s="81"/>
      <c r="K709" s="81"/>
      <c r="L709" s="81"/>
      <c r="M709" s="81"/>
      <c r="N709" s="681"/>
      <c r="O709" s="81"/>
      <c r="P709" s="81"/>
      <c r="Q709" s="81"/>
      <c r="R709" s="81"/>
      <c r="S709" s="81"/>
      <c r="T709" s="81"/>
      <c r="U709" s="81"/>
    </row>
    <row r="710" ht="14.25" customHeight="1" spans="1:21">
      <c r="A710" s="81"/>
      <c r="B710" s="81"/>
      <c r="C710" s="81"/>
      <c r="D710" s="681"/>
      <c r="E710" s="681"/>
      <c r="F710" s="81"/>
      <c r="G710" s="681"/>
      <c r="H710" s="683"/>
      <c r="I710" s="81"/>
      <c r="J710" s="81"/>
      <c r="K710" s="81"/>
      <c r="L710" s="81"/>
      <c r="M710" s="81"/>
      <c r="N710" s="681"/>
      <c r="O710" s="81"/>
      <c r="P710" s="81"/>
      <c r="Q710" s="81"/>
      <c r="R710" s="81"/>
      <c r="S710" s="81"/>
      <c r="T710" s="81"/>
      <c r="U710" s="81"/>
    </row>
    <row r="711" ht="14.25" customHeight="1" spans="1:21">
      <c r="A711" s="81"/>
      <c r="B711" s="81"/>
      <c r="C711" s="81"/>
      <c r="D711" s="681"/>
      <c r="E711" s="681"/>
      <c r="F711" s="81"/>
      <c r="G711" s="681"/>
      <c r="H711" s="683"/>
      <c r="I711" s="81"/>
      <c r="J711" s="81"/>
      <c r="K711" s="81"/>
      <c r="L711" s="81"/>
      <c r="M711" s="81"/>
      <c r="N711" s="681"/>
      <c r="O711" s="81"/>
      <c r="P711" s="81"/>
      <c r="Q711" s="81"/>
      <c r="R711" s="81"/>
      <c r="S711" s="81"/>
      <c r="T711" s="81"/>
      <c r="U711" s="81"/>
    </row>
    <row r="712" ht="14.25" customHeight="1" spans="1:21">
      <c r="A712" s="81"/>
      <c r="B712" s="81"/>
      <c r="C712" s="81"/>
      <c r="D712" s="681"/>
      <c r="E712" s="681"/>
      <c r="F712" s="81"/>
      <c r="G712" s="681"/>
      <c r="H712" s="683"/>
      <c r="I712" s="81"/>
      <c r="J712" s="81"/>
      <c r="K712" s="81"/>
      <c r="L712" s="81"/>
      <c r="M712" s="81"/>
      <c r="N712" s="681"/>
      <c r="O712" s="81"/>
      <c r="P712" s="81"/>
      <c r="Q712" s="81"/>
      <c r="R712" s="81"/>
      <c r="S712" s="81"/>
      <c r="T712" s="81"/>
      <c r="U712" s="81"/>
    </row>
    <row r="713" ht="14.25" customHeight="1" spans="1:21">
      <c r="A713" s="81"/>
      <c r="B713" s="81"/>
      <c r="C713" s="81"/>
      <c r="D713" s="681"/>
      <c r="E713" s="681"/>
      <c r="F713" s="81"/>
      <c r="G713" s="681"/>
      <c r="H713" s="683"/>
      <c r="I713" s="81"/>
      <c r="J713" s="81"/>
      <c r="K713" s="81"/>
      <c r="L713" s="81"/>
      <c r="M713" s="81"/>
      <c r="N713" s="681"/>
      <c r="O713" s="81"/>
      <c r="P713" s="81"/>
      <c r="Q713" s="81"/>
      <c r="R713" s="81"/>
      <c r="S713" s="81"/>
      <c r="T713" s="81"/>
      <c r="U713" s="81"/>
    </row>
    <row r="714" ht="14.25" customHeight="1" spans="1:21">
      <c r="A714" s="81"/>
      <c r="B714" s="81"/>
      <c r="C714" s="81"/>
      <c r="D714" s="681"/>
      <c r="E714" s="681"/>
      <c r="F714" s="81"/>
      <c r="G714" s="681"/>
      <c r="H714" s="683"/>
      <c r="I714" s="81"/>
      <c r="J714" s="81"/>
      <c r="K714" s="81"/>
      <c r="L714" s="81"/>
      <c r="M714" s="81"/>
      <c r="N714" s="681"/>
      <c r="O714" s="81"/>
      <c r="P714" s="81"/>
      <c r="Q714" s="81"/>
      <c r="R714" s="81"/>
      <c r="S714" s="81"/>
      <c r="T714" s="81"/>
      <c r="U714" s="81"/>
    </row>
    <row r="715" ht="14.25" customHeight="1" spans="1:21">
      <c r="A715" s="81"/>
      <c r="B715" s="81"/>
      <c r="C715" s="81"/>
      <c r="D715" s="681"/>
      <c r="E715" s="681"/>
      <c r="F715" s="81"/>
      <c r="G715" s="681"/>
      <c r="H715" s="683"/>
      <c r="I715" s="81"/>
      <c r="J715" s="81"/>
      <c r="K715" s="81"/>
      <c r="L715" s="81"/>
      <c r="M715" s="81"/>
      <c r="N715" s="681"/>
      <c r="O715" s="81"/>
      <c r="P715" s="81"/>
      <c r="Q715" s="81"/>
      <c r="R715" s="81"/>
      <c r="S715" s="81"/>
      <c r="T715" s="81"/>
      <c r="U715" s="81"/>
    </row>
    <row r="716" ht="14.25" customHeight="1" spans="1:21">
      <c r="A716" s="81"/>
      <c r="B716" s="81"/>
      <c r="C716" s="81"/>
      <c r="D716" s="681"/>
      <c r="E716" s="681"/>
      <c r="F716" s="81"/>
      <c r="G716" s="681"/>
      <c r="H716" s="683"/>
      <c r="I716" s="81"/>
      <c r="J716" s="81"/>
      <c r="K716" s="81"/>
      <c r="L716" s="81"/>
      <c r="M716" s="81"/>
      <c r="N716" s="681"/>
      <c r="O716" s="81"/>
      <c r="P716" s="81"/>
      <c r="Q716" s="81"/>
      <c r="R716" s="81"/>
      <c r="S716" s="81"/>
      <c r="T716" s="81"/>
      <c r="U716" s="81"/>
    </row>
    <row r="717" ht="14.25" customHeight="1" spans="1:21">
      <c r="A717" s="81"/>
      <c r="B717" s="81"/>
      <c r="C717" s="81"/>
      <c r="D717" s="681"/>
      <c r="E717" s="681"/>
      <c r="F717" s="81"/>
      <c r="G717" s="681"/>
      <c r="H717" s="683"/>
      <c r="I717" s="81"/>
      <c r="J717" s="81"/>
      <c r="K717" s="81"/>
      <c r="L717" s="81"/>
      <c r="M717" s="81"/>
      <c r="N717" s="681"/>
      <c r="O717" s="81"/>
      <c r="P717" s="81"/>
      <c r="Q717" s="81"/>
      <c r="R717" s="81"/>
      <c r="S717" s="81"/>
      <c r="T717" s="81"/>
      <c r="U717" s="81"/>
    </row>
    <row r="718" ht="14.25" customHeight="1" spans="1:21">
      <c r="A718" s="81"/>
      <c r="B718" s="81"/>
      <c r="C718" s="81"/>
      <c r="D718" s="681"/>
      <c r="E718" s="681"/>
      <c r="F718" s="81"/>
      <c r="G718" s="681"/>
      <c r="H718" s="683"/>
      <c r="I718" s="81"/>
      <c r="J718" s="81"/>
      <c r="K718" s="81"/>
      <c r="L718" s="81"/>
      <c r="M718" s="81"/>
      <c r="N718" s="681"/>
      <c r="O718" s="81"/>
      <c r="P718" s="81"/>
      <c r="Q718" s="81"/>
      <c r="R718" s="81"/>
      <c r="S718" s="81"/>
      <c r="T718" s="81"/>
      <c r="U718" s="81"/>
    </row>
    <row r="719" ht="14.25" customHeight="1" spans="1:21">
      <c r="A719" s="81"/>
      <c r="B719" s="81"/>
      <c r="C719" s="81"/>
      <c r="D719" s="681"/>
      <c r="E719" s="681"/>
      <c r="F719" s="81"/>
      <c r="G719" s="681"/>
      <c r="H719" s="683"/>
      <c r="I719" s="81"/>
      <c r="J719" s="81"/>
      <c r="K719" s="81"/>
      <c r="L719" s="81"/>
      <c r="M719" s="81"/>
      <c r="N719" s="681"/>
      <c r="O719" s="81"/>
      <c r="P719" s="81"/>
      <c r="Q719" s="81"/>
      <c r="R719" s="81"/>
      <c r="S719" s="81"/>
      <c r="T719" s="81"/>
      <c r="U719" s="81"/>
    </row>
    <row r="720" ht="14.25" customHeight="1" spans="1:21">
      <c r="A720" s="81"/>
      <c r="B720" s="81"/>
      <c r="C720" s="81"/>
      <c r="D720" s="681"/>
      <c r="E720" s="681"/>
      <c r="F720" s="81"/>
      <c r="G720" s="681"/>
      <c r="H720" s="683"/>
      <c r="I720" s="81"/>
      <c r="J720" s="81"/>
      <c r="K720" s="81"/>
      <c r="L720" s="81"/>
      <c r="M720" s="81"/>
      <c r="N720" s="681"/>
      <c r="O720" s="81"/>
      <c r="P720" s="81"/>
      <c r="Q720" s="81"/>
      <c r="R720" s="81"/>
      <c r="S720" s="81"/>
      <c r="T720" s="81"/>
      <c r="U720" s="81"/>
    </row>
    <row r="721" ht="14.25" customHeight="1" spans="1:21">
      <c r="A721" s="81"/>
      <c r="B721" s="81"/>
      <c r="C721" s="81"/>
      <c r="D721" s="681"/>
      <c r="E721" s="681"/>
      <c r="F721" s="81"/>
      <c r="G721" s="681"/>
      <c r="H721" s="683"/>
      <c r="I721" s="81"/>
      <c r="J721" s="81"/>
      <c r="K721" s="81"/>
      <c r="L721" s="81"/>
      <c r="M721" s="81"/>
      <c r="N721" s="681"/>
      <c r="O721" s="81"/>
      <c r="P721" s="81"/>
      <c r="Q721" s="81"/>
      <c r="R721" s="81"/>
      <c r="S721" s="81"/>
      <c r="T721" s="81"/>
      <c r="U721" s="81"/>
    </row>
    <row r="722" ht="14.25" customHeight="1" spans="1:21">
      <c r="A722" s="81"/>
      <c r="B722" s="81"/>
      <c r="C722" s="81"/>
      <c r="D722" s="681"/>
      <c r="E722" s="681"/>
      <c r="F722" s="81"/>
      <c r="G722" s="681"/>
      <c r="H722" s="683"/>
      <c r="I722" s="81"/>
      <c r="J722" s="81"/>
      <c r="K722" s="81"/>
      <c r="L722" s="81"/>
      <c r="M722" s="81"/>
      <c r="N722" s="681"/>
      <c r="O722" s="81"/>
      <c r="P722" s="81"/>
      <c r="Q722" s="81"/>
      <c r="R722" s="81"/>
      <c r="S722" s="81"/>
      <c r="T722" s="81"/>
      <c r="U722" s="81"/>
    </row>
    <row r="723" ht="14.25" customHeight="1" spans="1:21">
      <c r="A723" s="81"/>
      <c r="B723" s="81"/>
      <c r="C723" s="81"/>
      <c r="D723" s="681"/>
      <c r="E723" s="681"/>
      <c r="F723" s="81"/>
      <c r="G723" s="681"/>
      <c r="H723" s="683"/>
      <c r="I723" s="81"/>
      <c r="J723" s="81"/>
      <c r="K723" s="81"/>
      <c r="L723" s="81"/>
      <c r="M723" s="81"/>
      <c r="N723" s="681"/>
      <c r="O723" s="81"/>
      <c r="P723" s="81"/>
      <c r="Q723" s="81"/>
      <c r="R723" s="81"/>
      <c r="S723" s="81"/>
      <c r="T723" s="81"/>
      <c r="U723" s="81"/>
    </row>
    <row r="724" ht="14.25" customHeight="1" spans="1:21">
      <c r="A724" s="81"/>
      <c r="B724" s="81"/>
      <c r="C724" s="81"/>
      <c r="D724" s="681"/>
      <c r="E724" s="681"/>
      <c r="F724" s="81"/>
      <c r="G724" s="681"/>
      <c r="H724" s="683"/>
      <c r="I724" s="81"/>
      <c r="J724" s="81"/>
      <c r="K724" s="81"/>
      <c r="L724" s="81"/>
      <c r="M724" s="81"/>
      <c r="N724" s="681"/>
      <c r="O724" s="81"/>
      <c r="P724" s="81"/>
      <c r="Q724" s="81"/>
      <c r="R724" s="81"/>
      <c r="S724" s="81"/>
      <c r="T724" s="81"/>
      <c r="U724" s="81"/>
    </row>
    <row r="725" ht="14.25" customHeight="1" spans="1:21">
      <c r="A725" s="81"/>
      <c r="B725" s="81"/>
      <c r="C725" s="81"/>
      <c r="D725" s="681"/>
      <c r="E725" s="681"/>
      <c r="F725" s="81"/>
      <c r="G725" s="681"/>
      <c r="H725" s="683"/>
      <c r="I725" s="81"/>
      <c r="J725" s="81"/>
      <c r="K725" s="81"/>
      <c r="L725" s="81"/>
      <c r="M725" s="81"/>
      <c r="N725" s="681"/>
      <c r="O725" s="81"/>
      <c r="P725" s="81"/>
      <c r="Q725" s="81"/>
      <c r="R725" s="81"/>
      <c r="S725" s="81"/>
      <c r="T725" s="81"/>
      <c r="U725" s="81"/>
    </row>
    <row r="726" ht="14.25" customHeight="1" spans="1:21">
      <c r="A726" s="81"/>
      <c r="B726" s="81"/>
      <c r="C726" s="81"/>
      <c r="D726" s="681"/>
      <c r="E726" s="681"/>
      <c r="F726" s="81"/>
      <c r="G726" s="681"/>
      <c r="H726" s="683"/>
      <c r="I726" s="81"/>
      <c r="J726" s="81"/>
      <c r="K726" s="81"/>
      <c r="L726" s="81"/>
      <c r="M726" s="81"/>
      <c r="N726" s="681"/>
      <c r="O726" s="81"/>
      <c r="P726" s="81"/>
      <c r="Q726" s="81"/>
      <c r="R726" s="81"/>
      <c r="S726" s="81"/>
      <c r="T726" s="81"/>
      <c r="U726" s="81"/>
    </row>
    <row r="727" ht="14.25" customHeight="1" spans="1:21">
      <c r="A727" s="81"/>
      <c r="B727" s="81"/>
      <c r="C727" s="81"/>
      <c r="D727" s="681"/>
      <c r="E727" s="681"/>
      <c r="F727" s="81"/>
      <c r="G727" s="681"/>
      <c r="H727" s="683"/>
      <c r="I727" s="81"/>
      <c r="J727" s="81"/>
      <c r="K727" s="81"/>
      <c r="L727" s="81"/>
      <c r="M727" s="81"/>
      <c r="N727" s="681"/>
      <c r="O727" s="81"/>
      <c r="P727" s="81"/>
      <c r="Q727" s="81"/>
      <c r="R727" s="81"/>
      <c r="S727" s="81"/>
      <c r="T727" s="81"/>
      <c r="U727" s="81"/>
    </row>
    <row r="728" ht="14.25" customHeight="1" spans="1:21">
      <c r="A728" s="81"/>
      <c r="B728" s="81"/>
      <c r="C728" s="81"/>
      <c r="D728" s="681"/>
      <c r="E728" s="681"/>
      <c r="F728" s="81"/>
      <c r="G728" s="681"/>
      <c r="H728" s="683"/>
      <c r="I728" s="81"/>
      <c r="J728" s="81"/>
      <c r="K728" s="81"/>
      <c r="L728" s="81"/>
      <c r="M728" s="81"/>
      <c r="N728" s="681"/>
      <c r="O728" s="81"/>
      <c r="P728" s="81"/>
      <c r="Q728" s="81"/>
      <c r="R728" s="81"/>
      <c r="S728" s="81"/>
      <c r="T728" s="81"/>
      <c r="U728" s="81"/>
    </row>
    <row r="729" ht="14.25" customHeight="1" spans="1:21">
      <c r="A729" s="81"/>
      <c r="B729" s="81"/>
      <c r="C729" s="81"/>
      <c r="D729" s="681"/>
      <c r="E729" s="681"/>
      <c r="F729" s="81"/>
      <c r="G729" s="681"/>
      <c r="H729" s="683"/>
      <c r="I729" s="81"/>
      <c r="J729" s="81"/>
      <c r="K729" s="81"/>
      <c r="L729" s="81"/>
      <c r="M729" s="81"/>
      <c r="N729" s="681"/>
      <c r="O729" s="81"/>
      <c r="P729" s="81"/>
      <c r="Q729" s="81"/>
      <c r="R729" s="81"/>
      <c r="S729" s="81"/>
      <c r="T729" s="81"/>
      <c r="U729" s="81"/>
    </row>
    <row r="730" ht="14.25" customHeight="1" spans="1:21">
      <c r="A730" s="81"/>
      <c r="B730" s="81"/>
      <c r="C730" s="81"/>
      <c r="D730" s="681"/>
      <c r="E730" s="681"/>
      <c r="F730" s="81"/>
      <c r="G730" s="681"/>
      <c r="H730" s="683"/>
      <c r="I730" s="81"/>
      <c r="J730" s="81"/>
      <c r="K730" s="81"/>
      <c r="L730" s="81"/>
      <c r="M730" s="81"/>
      <c r="N730" s="681"/>
      <c r="O730" s="81"/>
      <c r="P730" s="81"/>
      <c r="Q730" s="81"/>
      <c r="R730" s="81"/>
      <c r="S730" s="81"/>
      <c r="T730" s="81"/>
      <c r="U730" s="81"/>
    </row>
    <row r="731" ht="14.25" customHeight="1" spans="1:21">
      <c r="A731" s="81"/>
      <c r="B731" s="81"/>
      <c r="C731" s="81"/>
      <c r="D731" s="681"/>
      <c r="E731" s="681"/>
      <c r="F731" s="81"/>
      <c r="G731" s="681"/>
      <c r="H731" s="683"/>
      <c r="I731" s="81"/>
      <c r="J731" s="81"/>
      <c r="K731" s="81"/>
      <c r="L731" s="81"/>
      <c r="M731" s="81"/>
      <c r="N731" s="681"/>
      <c r="O731" s="81"/>
      <c r="P731" s="81"/>
      <c r="Q731" s="81"/>
      <c r="R731" s="81"/>
      <c r="S731" s="81"/>
      <c r="T731" s="81"/>
      <c r="U731" s="81"/>
    </row>
    <row r="732" ht="14.25" customHeight="1" spans="1:21">
      <c r="A732" s="81"/>
      <c r="B732" s="81"/>
      <c r="C732" s="81"/>
      <c r="D732" s="681"/>
      <c r="E732" s="681"/>
      <c r="F732" s="81"/>
      <c r="G732" s="681"/>
      <c r="H732" s="683"/>
      <c r="I732" s="81"/>
      <c r="J732" s="81"/>
      <c r="K732" s="81"/>
      <c r="L732" s="81"/>
      <c r="M732" s="81"/>
      <c r="N732" s="681"/>
      <c r="O732" s="81"/>
      <c r="P732" s="81"/>
      <c r="Q732" s="81"/>
      <c r="R732" s="81"/>
      <c r="S732" s="81"/>
      <c r="T732" s="81"/>
      <c r="U732" s="81"/>
    </row>
    <row r="733" ht="14.25" customHeight="1" spans="1:21">
      <c r="A733" s="81"/>
      <c r="B733" s="81"/>
      <c r="C733" s="81"/>
      <c r="D733" s="681"/>
      <c r="E733" s="681"/>
      <c r="F733" s="81"/>
      <c r="G733" s="681"/>
      <c r="H733" s="683"/>
      <c r="I733" s="81"/>
      <c r="J733" s="81"/>
      <c r="K733" s="81"/>
      <c r="L733" s="81"/>
      <c r="M733" s="81"/>
      <c r="N733" s="681"/>
      <c r="O733" s="81"/>
      <c r="P733" s="81"/>
      <c r="Q733" s="81"/>
      <c r="R733" s="81"/>
      <c r="S733" s="81"/>
      <c r="T733" s="81"/>
      <c r="U733" s="81"/>
    </row>
    <row r="734" ht="14.25" customHeight="1" spans="1:21">
      <c r="A734" s="81"/>
      <c r="B734" s="81"/>
      <c r="C734" s="81"/>
      <c r="D734" s="681"/>
      <c r="E734" s="681"/>
      <c r="F734" s="81"/>
      <c r="G734" s="681"/>
      <c r="H734" s="683"/>
      <c r="I734" s="81"/>
      <c r="J734" s="81"/>
      <c r="K734" s="81"/>
      <c r="L734" s="81"/>
      <c r="M734" s="81"/>
      <c r="N734" s="681"/>
      <c r="O734" s="81"/>
      <c r="P734" s="81"/>
      <c r="Q734" s="81"/>
      <c r="R734" s="81"/>
      <c r="S734" s="81"/>
      <c r="T734" s="81"/>
      <c r="U734" s="81"/>
    </row>
    <row r="735" ht="14.25" customHeight="1" spans="1:21">
      <c r="A735" s="81"/>
      <c r="B735" s="81"/>
      <c r="C735" s="81"/>
      <c r="D735" s="681"/>
      <c r="E735" s="681"/>
      <c r="F735" s="81"/>
      <c r="G735" s="681"/>
      <c r="H735" s="683"/>
      <c r="I735" s="81"/>
      <c r="J735" s="81"/>
      <c r="K735" s="81"/>
      <c r="L735" s="81"/>
      <c r="M735" s="81"/>
      <c r="N735" s="681"/>
      <c r="O735" s="81"/>
      <c r="P735" s="81"/>
      <c r="Q735" s="81"/>
      <c r="R735" s="81"/>
      <c r="S735" s="81"/>
      <c r="T735" s="81"/>
      <c r="U735" s="81"/>
    </row>
    <row r="736" ht="14.25" customHeight="1" spans="1:21">
      <c r="A736" s="81"/>
      <c r="B736" s="81"/>
      <c r="C736" s="81"/>
      <c r="D736" s="681"/>
      <c r="E736" s="681"/>
      <c r="F736" s="81"/>
      <c r="G736" s="681"/>
      <c r="H736" s="683"/>
      <c r="I736" s="81"/>
      <c r="J736" s="81"/>
      <c r="K736" s="81"/>
      <c r="L736" s="81"/>
      <c r="M736" s="81"/>
      <c r="N736" s="681"/>
      <c r="O736" s="81"/>
      <c r="P736" s="81"/>
      <c r="Q736" s="81"/>
      <c r="R736" s="81"/>
      <c r="S736" s="81"/>
      <c r="T736" s="81"/>
      <c r="U736" s="81"/>
    </row>
    <row r="737" ht="14.25" customHeight="1" spans="1:21">
      <c r="A737" s="81"/>
      <c r="B737" s="81"/>
      <c r="C737" s="81"/>
      <c r="D737" s="681"/>
      <c r="E737" s="681"/>
      <c r="F737" s="81"/>
      <c r="G737" s="681"/>
      <c r="H737" s="683"/>
      <c r="I737" s="81"/>
      <c r="J737" s="81"/>
      <c r="K737" s="81"/>
      <c r="L737" s="81"/>
      <c r="M737" s="81"/>
      <c r="N737" s="681"/>
      <c r="O737" s="81"/>
      <c r="P737" s="81"/>
      <c r="Q737" s="81"/>
      <c r="R737" s="81"/>
      <c r="S737" s="81"/>
      <c r="T737" s="81"/>
      <c r="U737" s="81"/>
    </row>
    <row r="738" ht="14.25" customHeight="1" spans="1:21">
      <c r="A738" s="81"/>
      <c r="B738" s="81"/>
      <c r="C738" s="81"/>
      <c r="D738" s="681"/>
      <c r="E738" s="681"/>
      <c r="F738" s="81"/>
      <c r="G738" s="681"/>
      <c r="H738" s="683"/>
      <c r="I738" s="81"/>
      <c r="J738" s="81"/>
      <c r="K738" s="81"/>
      <c r="L738" s="81"/>
      <c r="M738" s="81"/>
      <c r="N738" s="681"/>
      <c r="O738" s="81"/>
      <c r="P738" s="81"/>
      <c r="Q738" s="81"/>
      <c r="R738" s="81"/>
      <c r="S738" s="81"/>
      <c r="T738" s="81"/>
      <c r="U738" s="81"/>
    </row>
    <row r="739" ht="14.25" customHeight="1" spans="1:21">
      <c r="A739" s="81"/>
      <c r="B739" s="81"/>
      <c r="C739" s="81"/>
      <c r="D739" s="681"/>
      <c r="E739" s="681"/>
      <c r="F739" s="81"/>
      <c r="G739" s="681"/>
      <c r="H739" s="683"/>
      <c r="I739" s="81"/>
      <c r="J739" s="81"/>
      <c r="K739" s="81"/>
      <c r="L739" s="81"/>
      <c r="M739" s="81"/>
      <c r="N739" s="681"/>
      <c r="O739" s="81"/>
      <c r="P739" s="81"/>
      <c r="Q739" s="81"/>
      <c r="R739" s="81"/>
      <c r="S739" s="81"/>
      <c r="T739" s="81"/>
      <c r="U739" s="81"/>
    </row>
    <row r="740" ht="14.25" customHeight="1" spans="1:21">
      <c r="A740" s="81"/>
      <c r="B740" s="81"/>
      <c r="C740" s="81"/>
      <c r="D740" s="681"/>
      <c r="E740" s="681"/>
      <c r="F740" s="81"/>
      <c r="G740" s="681"/>
      <c r="H740" s="683"/>
      <c r="I740" s="81"/>
      <c r="J740" s="81"/>
      <c r="K740" s="81"/>
      <c r="L740" s="81"/>
      <c r="M740" s="81"/>
      <c r="N740" s="681"/>
      <c r="O740" s="81"/>
      <c r="P740" s="81"/>
      <c r="Q740" s="81"/>
      <c r="R740" s="81"/>
      <c r="S740" s="81"/>
      <c r="T740" s="81"/>
      <c r="U740" s="81"/>
    </row>
    <row r="741" ht="14.25" customHeight="1" spans="1:21">
      <c r="A741" s="81"/>
      <c r="B741" s="81"/>
      <c r="C741" s="81"/>
      <c r="D741" s="681"/>
      <c r="E741" s="681"/>
      <c r="F741" s="81"/>
      <c r="G741" s="681"/>
      <c r="H741" s="683"/>
      <c r="I741" s="81"/>
      <c r="J741" s="81"/>
      <c r="K741" s="81"/>
      <c r="L741" s="81"/>
      <c r="M741" s="81"/>
      <c r="N741" s="681"/>
      <c r="O741" s="81"/>
      <c r="P741" s="81"/>
      <c r="Q741" s="81"/>
      <c r="R741" s="81"/>
      <c r="S741" s="81"/>
      <c r="T741" s="81"/>
      <c r="U741" s="81"/>
    </row>
    <row r="742" ht="14.25" customHeight="1" spans="1:21">
      <c r="A742" s="81"/>
      <c r="B742" s="81"/>
      <c r="C742" s="81"/>
      <c r="D742" s="681"/>
      <c r="E742" s="681"/>
      <c r="F742" s="81"/>
      <c r="G742" s="681"/>
      <c r="H742" s="683"/>
      <c r="I742" s="81"/>
      <c r="J742" s="81"/>
      <c r="K742" s="81"/>
      <c r="L742" s="81"/>
      <c r="M742" s="81"/>
      <c r="N742" s="681"/>
      <c r="O742" s="81"/>
      <c r="P742" s="81"/>
      <c r="Q742" s="81"/>
      <c r="R742" s="81"/>
      <c r="S742" s="81"/>
      <c r="T742" s="81"/>
      <c r="U742" s="81"/>
    </row>
    <row r="743" ht="14.25" customHeight="1" spans="1:21">
      <c r="A743" s="81"/>
      <c r="B743" s="81"/>
      <c r="C743" s="81"/>
      <c r="D743" s="681"/>
      <c r="E743" s="681"/>
      <c r="F743" s="81"/>
      <c r="G743" s="681"/>
      <c r="H743" s="683"/>
      <c r="I743" s="81"/>
      <c r="J743" s="81"/>
      <c r="K743" s="81"/>
      <c r="L743" s="81"/>
      <c r="M743" s="81"/>
      <c r="N743" s="681"/>
      <c r="O743" s="81"/>
      <c r="P743" s="81"/>
      <c r="Q743" s="81"/>
      <c r="R743" s="81"/>
      <c r="S743" s="81"/>
      <c r="T743" s="81"/>
      <c r="U743" s="81"/>
    </row>
    <row r="744" ht="14.25" customHeight="1" spans="1:21">
      <c r="A744" s="81"/>
      <c r="B744" s="81"/>
      <c r="C744" s="81"/>
      <c r="D744" s="681"/>
      <c r="E744" s="681"/>
      <c r="F744" s="81"/>
      <c r="G744" s="681"/>
      <c r="H744" s="683"/>
      <c r="I744" s="81"/>
      <c r="J744" s="81"/>
      <c r="K744" s="81"/>
      <c r="L744" s="81"/>
      <c r="M744" s="81"/>
      <c r="N744" s="681"/>
      <c r="O744" s="81"/>
      <c r="P744" s="81"/>
      <c r="Q744" s="81"/>
      <c r="R744" s="81"/>
      <c r="S744" s="81"/>
      <c r="T744" s="81"/>
      <c r="U744" s="81"/>
    </row>
    <row r="745" ht="14.25" customHeight="1" spans="1:21">
      <c r="A745" s="81"/>
      <c r="B745" s="81"/>
      <c r="C745" s="81"/>
      <c r="D745" s="681"/>
      <c r="E745" s="681"/>
      <c r="F745" s="81"/>
      <c r="G745" s="681"/>
      <c r="H745" s="683"/>
      <c r="I745" s="81"/>
      <c r="J745" s="81"/>
      <c r="K745" s="81"/>
      <c r="L745" s="81"/>
      <c r="M745" s="81"/>
      <c r="N745" s="681"/>
      <c r="O745" s="81"/>
      <c r="P745" s="81"/>
      <c r="Q745" s="81"/>
      <c r="R745" s="81"/>
      <c r="S745" s="81"/>
      <c r="T745" s="81"/>
      <c r="U745" s="81"/>
    </row>
    <row r="746" ht="14.25" customHeight="1" spans="1:21">
      <c r="A746" s="81"/>
      <c r="B746" s="81"/>
      <c r="C746" s="81"/>
      <c r="D746" s="681"/>
      <c r="E746" s="681"/>
      <c r="F746" s="81"/>
      <c r="G746" s="681"/>
      <c r="H746" s="683"/>
      <c r="I746" s="81"/>
      <c r="J746" s="81"/>
      <c r="K746" s="81"/>
      <c r="L746" s="81"/>
      <c r="M746" s="81"/>
      <c r="N746" s="681"/>
      <c r="O746" s="81"/>
      <c r="P746" s="81"/>
      <c r="Q746" s="81"/>
      <c r="R746" s="81"/>
      <c r="S746" s="81"/>
      <c r="T746" s="81"/>
      <c r="U746" s="81"/>
    </row>
    <row r="747" ht="14.25" customHeight="1" spans="1:21">
      <c r="A747" s="81"/>
      <c r="B747" s="81"/>
      <c r="C747" s="81"/>
      <c r="D747" s="681"/>
      <c r="E747" s="681"/>
      <c r="F747" s="81"/>
      <c r="G747" s="681"/>
      <c r="H747" s="683"/>
      <c r="I747" s="81"/>
      <c r="J747" s="81"/>
      <c r="K747" s="81"/>
      <c r="L747" s="81"/>
      <c r="M747" s="81"/>
      <c r="N747" s="681"/>
      <c r="O747" s="81"/>
      <c r="P747" s="81"/>
      <c r="Q747" s="81"/>
      <c r="R747" s="81"/>
      <c r="S747" s="81"/>
      <c r="T747" s="81"/>
      <c r="U747" s="81"/>
    </row>
    <row r="748" ht="14.25" customHeight="1" spans="1:21">
      <c r="A748" s="81"/>
      <c r="B748" s="81"/>
      <c r="C748" s="81"/>
      <c r="D748" s="681"/>
      <c r="E748" s="681"/>
      <c r="F748" s="81"/>
      <c r="G748" s="681"/>
      <c r="H748" s="683"/>
      <c r="I748" s="81"/>
      <c r="J748" s="81"/>
      <c r="K748" s="81"/>
      <c r="L748" s="81"/>
      <c r="M748" s="81"/>
      <c r="N748" s="681"/>
      <c r="O748" s="81"/>
      <c r="P748" s="81"/>
      <c r="Q748" s="81"/>
      <c r="R748" s="81"/>
      <c r="S748" s="81"/>
      <c r="T748" s="81"/>
      <c r="U748" s="81"/>
    </row>
    <row r="749" ht="14.25" customHeight="1" spans="1:21">
      <c r="A749" s="81"/>
      <c r="B749" s="81"/>
      <c r="C749" s="81"/>
      <c r="D749" s="681"/>
      <c r="E749" s="681"/>
      <c r="F749" s="81"/>
      <c r="G749" s="681"/>
      <c r="H749" s="683"/>
      <c r="I749" s="81"/>
      <c r="J749" s="81"/>
      <c r="K749" s="81"/>
      <c r="L749" s="81"/>
      <c r="M749" s="81"/>
      <c r="N749" s="681"/>
      <c r="O749" s="81"/>
      <c r="P749" s="81"/>
      <c r="Q749" s="81"/>
      <c r="R749" s="81"/>
      <c r="S749" s="81"/>
      <c r="T749" s="81"/>
      <c r="U749" s="81"/>
    </row>
    <row r="750" ht="14.25" customHeight="1" spans="1:21">
      <c r="A750" s="81"/>
      <c r="B750" s="81"/>
      <c r="C750" s="81"/>
      <c r="D750" s="681"/>
      <c r="E750" s="681"/>
      <c r="F750" s="81"/>
      <c r="G750" s="681"/>
      <c r="H750" s="683"/>
      <c r="I750" s="81"/>
      <c r="J750" s="81"/>
      <c r="K750" s="81"/>
      <c r="L750" s="81"/>
      <c r="M750" s="81"/>
      <c r="N750" s="681"/>
      <c r="O750" s="81"/>
      <c r="P750" s="81"/>
      <c r="Q750" s="81"/>
      <c r="R750" s="81"/>
      <c r="S750" s="81"/>
      <c r="T750" s="81"/>
      <c r="U750" s="81"/>
    </row>
    <row r="751" ht="14.25" customHeight="1" spans="1:21">
      <c r="A751" s="81"/>
      <c r="B751" s="81"/>
      <c r="C751" s="81"/>
      <c r="D751" s="681"/>
      <c r="E751" s="681"/>
      <c r="F751" s="81"/>
      <c r="G751" s="681"/>
      <c r="H751" s="683"/>
      <c r="I751" s="81"/>
      <c r="J751" s="81"/>
      <c r="K751" s="81"/>
      <c r="L751" s="81"/>
      <c r="M751" s="81"/>
      <c r="N751" s="681"/>
      <c r="O751" s="81"/>
      <c r="P751" s="81"/>
      <c r="Q751" s="81"/>
      <c r="R751" s="81"/>
      <c r="S751" s="81"/>
      <c r="T751" s="81"/>
      <c r="U751" s="81"/>
    </row>
    <row r="752" ht="14.25" customHeight="1" spans="1:21">
      <c r="A752" s="81"/>
      <c r="B752" s="81"/>
      <c r="C752" s="81"/>
      <c r="D752" s="681"/>
      <c r="E752" s="681"/>
      <c r="F752" s="81"/>
      <c r="G752" s="681"/>
      <c r="H752" s="683"/>
      <c r="I752" s="81"/>
      <c r="J752" s="81"/>
      <c r="K752" s="81"/>
      <c r="L752" s="81"/>
      <c r="M752" s="81"/>
      <c r="N752" s="681"/>
      <c r="O752" s="81"/>
      <c r="P752" s="81"/>
      <c r="Q752" s="81"/>
      <c r="R752" s="81"/>
      <c r="S752" s="81"/>
      <c r="T752" s="81"/>
      <c r="U752" s="81"/>
    </row>
    <row r="753" ht="14.25" customHeight="1" spans="1:21">
      <c r="A753" s="81"/>
      <c r="B753" s="81"/>
      <c r="C753" s="81"/>
      <c r="D753" s="681"/>
      <c r="E753" s="681"/>
      <c r="F753" s="81"/>
      <c r="G753" s="681"/>
      <c r="H753" s="683"/>
      <c r="I753" s="81"/>
      <c r="J753" s="81"/>
      <c r="K753" s="81"/>
      <c r="L753" s="81"/>
      <c r="M753" s="81"/>
      <c r="N753" s="681"/>
      <c r="O753" s="81"/>
      <c r="P753" s="81"/>
      <c r="Q753" s="81"/>
      <c r="R753" s="81"/>
      <c r="S753" s="81"/>
      <c r="T753" s="81"/>
      <c r="U753" s="81"/>
    </row>
    <row r="754" ht="14.25" customHeight="1" spans="1:21">
      <c r="A754" s="81"/>
      <c r="B754" s="81"/>
      <c r="C754" s="81"/>
      <c r="D754" s="681"/>
      <c r="E754" s="681"/>
      <c r="F754" s="81"/>
      <c r="G754" s="681"/>
      <c r="H754" s="683"/>
      <c r="I754" s="81"/>
      <c r="J754" s="81"/>
      <c r="K754" s="81"/>
      <c r="L754" s="81"/>
      <c r="M754" s="81"/>
      <c r="N754" s="681"/>
      <c r="O754" s="81"/>
      <c r="P754" s="81"/>
      <c r="Q754" s="81"/>
      <c r="R754" s="81"/>
      <c r="S754" s="81"/>
      <c r="T754" s="81"/>
      <c r="U754" s="81"/>
    </row>
    <row r="755" ht="14.25" customHeight="1" spans="1:21">
      <c r="A755" s="81"/>
      <c r="B755" s="81"/>
      <c r="C755" s="81"/>
      <c r="D755" s="681"/>
      <c r="E755" s="681"/>
      <c r="F755" s="81"/>
      <c r="G755" s="681"/>
      <c r="H755" s="683"/>
      <c r="I755" s="81"/>
      <c r="J755" s="81"/>
      <c r="K755" s="81"/>
      <c r="L755" s="81"/>
      <c r="M755" s="81"/>
      <c r="N755" s="681"/>
      <c r="O755" s="81"/>
      <c r="P755" s="81"/>
      <c r="Q755" s="81"/>
      <c r="R755" s="81"/>
      <c r="S755" s="81"/>
      <c r="T755" s="81"/>
      <c r="U755" s="81"/>
    </row>
    <row r="756" ht="14.25" customHeight="1" spans="1:21">
      <c r="A756" s="81"/>
      <c r="B756" s="81"/>
      <c r="C756" s="81"/>
      <c r="D756" s="681"/>
      <c r="E756" s="681"/>
      <c r="F756" s="81"/>
      <c r="G756" s="681"/>
      <c r="H756" s="683"/>
      <c r="I756" s="81"/>
      <c r="J756" s="81"/>
      <c r="K756" s="81"/>
      <c r="L756" s="81"/>
      <c r="M756" s="81"/>
      <c r="N756" s="681"/>
      <c r="O756" s="81"/>
      <c r="P756" s="81"/>
      <c r="Q756" s="81"/>
      <c r="R756" s="81"/>
      <c r="S756" s="81"/>
      <c r="T756" s="81"/>
      <c r="U756" s="81"/>
    </row>
    <row r="757" ht="14.25" customHeight="1" spans="1:21">
      <c r="A757" s="81"/>
      <c r="B757" s="81"/>
      <c r="C757" s="81"/>
      <c r="D757" s="681"/>
      <c r="E757" s="681"/>
      <c r="F757" s="81"/>
      <c r="G757" s="681"/>
      <c r="H757" s="683"/>
      <c r="I757" s="81"/>
      <c r="J757" s="81"/>
      <c r="K757" s="81"/>
      <c r="L757" s="81"/>
      <c r="M757" s="81"/>
      <c r="N757" s="681"/>
      <c r="O757" s="81"/>
      <c r="P757" s="81"/>
      <c r="Q757" s="81"/>
      <c r="R757" s="81"/>
      <c r="S757" s="81"/>
      <c r="T757" s="81"/>
      <c r="U757" s="81"/>
    </row>
    <row r="758" ht="14.25" customHeight="1" spans="1:21">
      <c r="A758" s="81"/>
      <c r="B758" s="81"/>
      <c r="C758" s="81"/>
      <c r="D758" s="681"/>
      <c r="E758" s="681"/>
      <c r="F758" s="81"/>
      <c r="G758" s="681"/>
      <c r="H758" s="683"/>
      <c r="I758" s="81"/>
      <c r="J758" s="81"/>
      <c r="K758" s="81"/>
      <c r="L758" s="81"/>
      <c r="M758" s="81"/>
      <c r="N758" s="681"/>
      <c r="O758" s="81"/>
      <c r="P758" s="81"/>
      <c r="Q758" s="81"/>
      <c r="R758" s="81"/>
      <c r="S758" s="81"/>
      <c r="T758" s="81"/>
      <c r="U758" s="81"/>
    </row>
    <row r="759" ht="14.25" customHeight="1" spans="1:21">
      <c r="A759" s="81"/>
      <c r="B759" s="81"/>
      <c r="C759" s="81"/>
      <c r="D759" s="681"/>
      <c r="E759" s="681"/>
      <c r="F759" s="81"/>
      <c r="G759" s="681"/>
      <c r="H759" s="683"/>
      <c r="I759" s="81"/>
      <c r="J759" s="81"/>
      <c r="K759" s="81"/>
      <c r="L759" s="81"/>
      <c r="M759" s="81"/>
      <c r="N759" s="681"/>
      <c r="O759" s="81"/>
      <c r="P759" s="81"/>
      <c r="Q759" s="81"/>
      <c r="R759" s="81"/>
      <c r="S759" s="81"/>
      <c r="T759" s="81"/>
      <c r="U759" s="81"/>
    </row>
    <row r="760" ht="14.25" customHeight="1" spans="1:21">
      <c r="A760" s="81"/>
      <c r="B760" s="81"/>
      <c r="C760" s="81"/>
      <c r="D760" s="681"/>
      <c r="E760" s="681"/>
      <c r="F760" s="81"/>
      <c r="G760" s="681"/>
      <c r="H760" s="683"/>
      <c r="I760" s="81"/>
      <c r="J760" s="81"/>
      <c r="K760" s="81"/>
      <c r="L760" s="81"/>
      <c r="M760" s="81"/>
      <c r="N760" s="681"/>
      <c r="O760" s="81"/>
      <c r="P760" s="81"/>
      <c r="Q760" s="81"/>
      <c r="R760" s="81"/>
      <c r="S760" s="81"/>
      <c r="T760" s="81"/>
      <c r="U760" s="81"/>
    </row>
    <row r="761" ht="14.25" customHeight="1" spans="1:21">
      <c r="A761" s="81"/>
      <c r="B761" s="81"/>
      <c r="C761" s="81"/>
      <c r="D761" s="681"/>
      <c r="E761" s="681"/>
      <c r="F761" s="81"/>
      <c r="G761" s="681"/>
      <c r="H761" s="683"/>
      <c r="I761" s="81"/>
      <c r="J761" s="81"/>
      <c r="K761" s="81"/>
      <c r="L761" s="81"/>
      <c r="M761" s="81"/>
      <c r="N761" s="681"/>
      <c r="O761" s="81"/>
      <c r="P761" s="81"/>
      <c r="Q761" s="81"/>
      <c r="R761" s="81"/>
      <c r="S761" s="81"/>
      <c r="T761" s="81"/>
      <c r="U761" s="81"/>
    </row>
    <row r="762" ht="14.25" customHeight="1" spans="1:21">
      <c r="A762" s="81"/>
      <c r="B762" s="81"/>
      <c r="C762" s="81"/>
      <c r="D762" s="681"/>
      <c r="E762" s="681"/>
      <c r="F762" s="81"/>
      <c r="G762" s="681"/>
      <c r="H762" s="683"/>
      <c r="I762" s="81"/>
      <c r="J762" s="81"/>
      <c r="K762" s="81"/>
      <c r="L762" s="81"/>
      <c r="M762" s="81"/>
      <c r="N762" s="681"/>
      <c r="O762" s="81"/>
      <c r="P762" s="81"/>
      <c r="Q762" s="81"/>
      <c r="R762" s="81"/>
      <c r="S762" s="81"/>
      <c r="T762" s="81"/>
      <c r="U762" s="81"/>
    </row>
    <row r="763" ht="14.25" customHeight="1" spans="1:21">
      <c r="A763" s="81"/>
      <c r="B763" s="81"/>
      <c r="C763" s="81"/>
      <c r="D763" s="681"/>
      <c r="E763" s="681"/>
      <c r="F763" s="81"/>
      <c r="G763" s="681"/>
      <c r="H763" s="683"/>
      <c r="I763" s="81"/>
      <c r="J763" s="81"/>
      <c r="K763" s="81"/>
      <c r="L763" s="81"/>
      <c r="M763" s="81"/>
      <c r="N763" s="681"/>
      <c r="O763" s="81"/>
      <c r="P763" s="81"/>
      <c r="Q763" s="81"/>
      <c r="R763" s="81"/>
      <c r="S763" s="81"/>
      <c r="T763" s="81"/>
      <c r="U763" s="81"/>
    </row>
    <row r="764" ht="14.25" customHeight="1" spans="1:21">
      <c r="A764" s="81"/>
      <c r="B764" s="81"/>
      <c r="C764" s="81"/>
      <c r="D764" s="681"/>
      <c r="E764" s="681"/>
      <c r="F764" s="81"/>
      <c r="G764" s="681"/>
      <c r="H764" s="683"/>
      <c r="I764" s="81"/>
      <c r="J764" s="81"/>
      <c r="K764" s="81"/>
      <c r="L764" s="81"/>
      <c r="M764" s="81"/>
      <c r="N764" s="681"/>
      <c r="O764" s="81"/>
      <c r="P764" s="81"/>
      <c r="Q764" s="81"/>
      <c r="R764" s="81"/>
      <c r="S764" s="81"/>
      <c r="T764" s="81"/>
      <c r="U764" s="81"/>
    </row>
    <row r="765" ht="14.25" customHeight="1" spans="1:21">
      <c r="A765" s="81"/>
      <c r="B765" s="81"/>
      <c r="C765" s="81"/>
      <c r="D765" s="681"/>
      <c r="E765" s="681"/>
      <c r="F765" s="81"/>
      <c r="G765" s="681"/>
      <c r="H765" s="683"/>
      <c r="I765" s="81"/>
      <c r="J765" s="81"/>
      <c r="K765" s="81"/>
      <c r="L765" s="81"/>
      <c r="M765" s="81"/>
      <c r="N765" s="681"/>
      <c r="O765" s="81"/>
      <c r="P765" s="81"/>
      <c r="Q765" s="81"/>
      <c r="R765" s="81"/>
      <c r="S765" s="81"/>
      <c r="T765" s="81"/>
      <c r="U765" s="81"/>
    </row>
    <row r="766" ht="14.25" customHeight="1" spans="1:21">
      <c r="A766" s="81"/>
      <c r="B766" s="81"/>
      <c r="C766" s="81"/>
      <c r="D766" s="681"/>
      <c r="E766" s="681"/>
      <c r="F766" s="81"/>
      <c r="G766" s="681"/>
      <c r="H766" s="683"/>
      <c r="I766" s="81"/>
      <c r="J766" s="81"/>
      <c r="K766" s="81"/>
      <c r="L766" s="81"/>
      <c r="M766" s="81"/>
      <c r="N766" s="681"/>
      <c r="O766" s="81"/>
      <c r="P766" s="81"/>
      <c r="Q766" s="81"/>
      <c r="R766" s="81"/>
      <c r="S766" s="81"/>
      <c r="T766" s="81"/>
      <c r="U766" s="81"/>
    </row>
    <row r="767" ht="14.25" customHeight="1" spans="1:21">
      <c r="A767" s="81"/>
      <c r="B767" s="81"/>
      <c r="C767" s="81"/>
      <c r="D767" s="681"/>
      <c r="E767" s="681"/>
      <c r="F767" s="81"/>
      <c r="G767" s="681"/>
      <c r="H767" s="683"/>
      <c r="I767" s="81"/>
      <c r="J767" s="81"/>
      <c r="K767" s="81"/>
      <c r="L767" s="81"/>
      <c r="M767" s="81"/>
      <c r="N767" s="681"/>
      <c r="O767" s="81"/>
      <c r="P767" s="81"/>
      <c r="Q767" s="81"/>
      <c r="R767" s="81"/>
      <c r="S767" s="81"/>
      <c r="T767" s="81"/>
      <c r="U767" s="81"/>
    </row>
    <row r="768" ht="14.25" customHeight="1" spans="1:21">
      <c r="A768" s="81"/>
      <c r="B768" s="81"/>
      <c r="C768" s="81"/>
      <c r="D768" s="681"/>
      <c r="E768" s="681"/>
      <c r="F768" s="81"/>
      <c r="G768" s="681"/>
      <c r="H768" s="683"/>
      <c r="I768" s="81"/>
      <c r="J768" s="81"/>
      <c r="K768" s="81"/>
      <c r="L768" s="81"/>
      <c r="M768" s="81"/>
      <c r="N768" s="681"/>
      <c r="O768" s="81"/>
      <c r="P768" s="81"/>
      <c r="Q768" s="81"/>
      <c r="R768" s="81"/>
      <c r="S768" s="81"/>
      <c r="T768" s="81"/>
      <c r="U768" s="81"/>
    </row>
    <row r="769" ht="14.25" customHeight="1" spans="1:21">
      <c r="A769" s="81"/>
      <c r="B769" s="81"/>
      <c r="C769" s="81"/>
      <c r="D769" s="681"/>
      <c r="E769" s="681"/>
      <c r="F769" s="81"/>
      <c r="G769" s="681"/>
      <c r="H769" s="683"/>
      <c r="I769" s="81"/>
      <c r="J769" s="81"/>
      <c r="K769" s="81"/>
      <c r="L769" s="81"/>
      <c r="M769" s="81"/>
      <c r="N769" s="681"/>
      <c r="O769" s="81"/>
      <c r="P769" s="81"/>
      <c r="Q769" s="81"/>
      <c r="R769" s="81"/>
      <c r="S769" s="81"/>
      <c r="T769" s="81"/>
      <c r="U769" s="81"/>
    </row>
    <row r="770" ht="14.25" customHeight="1" spans="1:21">
      <c r="A770" s="81"/>
      <c r="B770" s="81"/>
      <c r="C770" s="81"/>
      <c r="D770" s="681"/>
      <c r="E770" s="681"/>
      <c r="F770" s="81"/>
      <c r="G770" s="681"/>
      <c r="H770" s="683"/>
      <c r="I770" s="81"/>
      <c r="J770" s="81"/>
      <c r="K770" s="81"/>
      <c r="L770" s="81"/>
      <c r="M770" s="81"/>
      <c r="N770" s="681"/>
      <c r="O770" s="81"/>
      <c r="P770" s="81"/>
      <c r="Q770" s="81"/>
      <c r="R770" s="81"/>
      <c r="S770" s="81"/>
      <c r="T770" s="81"/>
      <c r="U770" s="81"/>
    </row>
    <row r="771" ht="14.25" customHeight="1" spans="1:21">
      <c r="A771" s="81"/>
      <c r="B771" s="81"/>
      <c r="C771" s="81"/>
      <c r="D771" s="681"/>
      <c r="E771" s="681"/>
      <c r="F771" s="81"/>
      <c r="G771" s="681"/>
      <c r="H771" s="683"/>
      <c r="I771" s="81"/>
      <c r="J771" s="81"/>
      <c r="K771" s="81"/>
      <c r="L771" s="81"/>
      <c r="M771" s="81"/>
      <c r="N771" s="681"/>
      <c r="O771" s="81"/>
      <c r="P771" s="81"/>
      <c r="Q771" s="81"/>
      <c r="R771" s="81"/>
      <c r="S771" s="81"/>
      <c r="T771" s="81"/>
      <c r="U771" s="81"/>
    </row>
    <row r="772" ht="14.25" customHeight="1" spans="1:21">
      <c r="A772" s="81"/>
      <c r="B772" s="81"/>
      <c r="C772" s="81"/>
      <c r="D772" s="681"/>
      <c r="E772" s="681"/>
      <c r="F772" s="81"/>
      <c r="G772" s="681"/>
      <c r="H772" s="683"/>
      <c r="I772" s="81"/>
      <c r="J772" s="81"/>
      <c r="K772" s="81"/>
      <c r="L772" s="81"/>
      <c r="M772" s="81"/>
      <c r="N772" s="681"/>
      <c r="O772" s="81"/>
      <c r="P772" s="81"/>
      <c r="Q772" s="81"/>
      <c r="R772" s="81"/>
      <c r="S772" s="81"/>
      <c r="T772" s="81"/>
      <c r="U772" s="81"/>
    </row>
    <row r="773" ht="14.25" customHeight="1" spans="1:21">
      <c r="A773" s="81"/>
      <c r="B773" s="81"/>
      <c r="C773" s="81"/>
      <c r="D773" s="681"/>
      <c r="E773" s="681"/>
      <c r="F773" s="81"/>
      <c r="G773" s="681"/>
      <c r="H773" s="683"/>
      <c r="I773" s="81"/>
      <c r="J773" s="81"/>
      <c r="K773" s="81"/>
      <c r="L773" s="81"/>
      <c r="M773" s="81"/>
      <c r="N773" s="681"/>
      <c r="O773" s="81"/>
      <c r="P773" s="81"/>
      <c r="Q773" s="81"/>
      <c r="R773" s="81"/>
      <c r="S773" s="81"/>
      <c r="T773" s="81"/>
      <c r="U773" s="81"/>
    </row>
    <row r="774" ht="14.25" customHeight="1" spans="1:21">
      <c r="A774" s="81"/>
      <c r="B774" s="81"/>
      <c r="C774" s="81"/>
      <c r="D774" s="681"/>
      <c r="E774" s="681"/>
      <c r="F774" s="81"/>
      <c r="G774" s="681"/>
      <c r="H774" s="683"/>
      <c r="I774" s="81"/>
      <c r="J774" s="81"/>
      <c r="K774" s="81"/>
      <c r="L774" s="81"/>
      <c r="M774" s="81"/>
      <c r="N774" s="681"/>
      <c r="O774" s="81"/>
      <c r="P774" s="81"/>
      <c r="Q774" s="81"/>
      <c r="R774" s="81"/>
      <c r="S774" s="81"/>
      <c r="T774" s="81"/>
      <c r="U774" s="81"/>
    </row>
    <row r="775" ht="14.25" customHeight="1" spans="1:21">
      <c r="A775" s="81"/>
      <c r="B775" s="81"/>
      <c r="C775" s="81"/>
      <c r="D775" s="681"/>
      <c r="E775" s="681"/>
      <c r="F775" s="81"/>
      <c r="G775" s="681"/>
      <c r="H775" s="683"/>
      <c r="I775" s="81"/>
      <c r="J775" s="81"/>
      <c r="K775" s="81"/>
      <c r="L775" s="81"/>
      <c r="M775" s="81"/>
      <c r="N775" s="681"/>
      <c r="O775" s="81"/>
      <c r="P775" s="81"/>
      <c r="Q775" s="81"/>
      <c r="R775" s="81"/>
      <c r="S775" s="81"/>
      <c r="T775" s="81"/>
      <c r="U775" s="81"/>
    </row>
    <row r="776" ht="14.25" customHeight="1" spans="1:21">
      <c r="A776" s="81"/>
      <c r="B776" s="81"/>
      <c r="C776" s="81"/>
      <c r="D776" s="681"/>
      <c r="E776" s="681"/>
      <c r="F776" s="81"/>
      <c r="G776" s="681"/>
      <c r="H776" s="683"/>
      <c r="I776" s="81"/>
      <c r="J776" s="81"/>
      <c r="K776" s="81"/>
      <c r="L776" s="81"/>
      <c r="M776" s="81"/>
      <c r="N776" s="681"/>
      <c r="O776" s="81"/>
      <c r="P776" s="81"/>
      <c r="Q776" s="81"/>
      <c r="R776" s="81"/>
      <c r="S776" s="81"/>
      <c r="T776" s="81"/>
      <c r="U776" s="81"/>
    </row>
    <row r="777" ht="14.25" customHeight="1" spans="1:21">
      <c r="A777" s="81"/>
      <c r="B777" s="81"/>
      <c r="C777" s="81"/>
      <c r="D777" s="681"/>
      <c r="E777" s="681"/>
      <c r="F777" s="81"/>
      <c r="G777" s="681"/>
      <c r="H777" s="683"/>
      <c r="I777" s="81"/>
      <c r="J777" s="81"/>
      <c r="K777" s="81"/>
      <c r="L777" s="81"/>
      <c r="M777" s="81"/>
      <c r="N777" s="681"/>
      <c r="O777" s="81"/>
      <c r="P777" s="81"/>
      <c r="Q777" s="81"/>
      <c r="R777" s="81"/>
      <c r="S777" s="81"/>
      <c r="T777" s="81"/>
      <c r="U777" s="81"/>
    </row>
    <row r="778" ht="14.25" customHeight="1" spans="1:21">
      <c r="A778" s="81"/>
      <c r="B778" s="81"/>
      <c r="C778" s="81"/>
      <c r="D778" s="681"/>
      <c r="E778" s="681"/>
      <c r="F778" s="81"/>
      <c r="G778" s="681"/>
      <c r="H778" s="683"/>
      <c r="I778" s="81"/>
      <c r="J778" s="81"/>
      <c r="K778" s="81"/>
      <c r="L778" s="81"/>
      <c r="M778" s="81"/>
      <c r="N778" s="681"/>
      <c r="O778" s="81"/>
      <c r="P778" s="81"/>
      <c r="Q778" s="81"/>
      <c r="R778" s="81"/>
      <c r="S778" s="81"/>
      <c r="T778" s="81"/>
      <c r="U778" s="81"/>
    </row>
    <row r="779" ht="14.25" customHeight="1" spans="1:21">
      <c r="A779" s="81"/>
      <c r="B779" s="81"/>
      <c r="C779" s="81"/>
      <c r="D779" s="681"/>
      <c r="E779" s="681"/>
      <c r="F779" s="81"/>
      <c r="G779" s="681"/>
      <c r="H779" s="683"/>
      <c r="I779" s="81"/>
      <c r="J779" s="81"/>
      <c r="K779" s="81"/>
      <c r="L779" s="81"/>
      <c r="M779" s="81"/>
      <c r="N779" s="681"/>
      <c r="O779" s="81"/>
      <c r="P779" s="81"/>
      <c r="Q779" s="81"/>
      <c r="R779" s="81"/>
      <c r="S779" s="81"/>
      <c r="T779" s="81"/>
      <c r="U779" s="81"/>
    </row>
    <row r="780" ht="14.25" customHeight="1" spans="1:21">
      <c r="A780" s="81"/>
      <c r="B780" s="81"/>
      <c r="C780" s="81"/>
      <c r="D780" s="681"/>
      <c r="E780" s="681"/>
      <c r="F780" s="81"/>
      <c r="G780" s="681"/>
      <c r="H780" s="683"/>
      <c r="I780" s="81"/>
      <c r="J780" s="81"/>
      <c r="K780" s="81"/>
      <c r="L780" s="81"/>
      <c r="M780" s="81"/>
      <c r="N780" s="681"/>
      <c r="O780" s="81"/>
      <c r="P780" s="81"/>
      <c r="Q780" s="81"/>
      <c r="R780" s="81"/>
      <c r="S780" s="81"/>
      <c r="T780" s="81"/>
      <c r="U780" s="81"/>
    </row>
    <row r="781" ht="14.25" customHeight="1" spans="1:21">
      <c r="A781" s="81"/>
      <c r="B781" s="81"/>
      <c r="C781" s="81"/>
      <c r="D781" s="681"/>
      <c r="E781" s="681"/>
      <c r="F781" s="81"/>
      <c r="G781" s="681"/>
      <c r="H781" s="683"/>
      <c r="I781" s="81"/>
      <c r="J781" s="81"/>
      <c r="K781" s="81"/>
      <c r="L781" s="81"/>
      <c r="M781" s="81"/>
      <c r="N781" s="681"/>
      <c r="O781" s="81"/>
      <c r="P781" s="81"/>
      <c r="Q781" s="81"/>
      <c r="R781" s="81"/>
      <c r="S781" s="81"/>
      <c r="T781" s="81"/>
      <c r="U781" s="81"/>
    </row>
    <row r="782" ht="14.25" customHeight="1" spans="1:21">
      <c r="A782" s="81"/>
      <c r="B782" s="81"/>
      <c r="C782" s="81"/>
      <c r="D782" s="681"/>
      <c r="E782" s="681"/>
      <c r="F782" s="81"/>
      <c r="G782" s="681"/>
      <c r="H782" s="683"/>
      <c r="I782" s="81"/>
      <c r="J782" s="81"/>
      <c r="K782" s="81"/>
      <c r="L782" s="81"/>
      <c r="M782" s="81"/>
      <c r="N782" s="681"/>
      <c r="O782" s="81"/>
      <c r="P782" s="81"/>
      <c r="Q782" s="81"/>
      <c r="R782" s="81"/>
      <c r="S782" s="81"/>
      <c r="T782" s="81"/>
      <c r="U782" s="81"/>
    </row>
    <row r="783" ht="14.25" customHeight="1" spans="1:21">
      <c r="A783" s="81"/>
      <c r="B783" s="81"/>
      <c r="C783" s="81"/>
      <c r="D783" s="681"/>
      <c r="E783" s="681"/>
      <c r="F783" s="81"/>
      <c r="G783" s="681"/>
      <c r="H783" s="683"/>
      <c r="I783" s="81"/>
      <c r="J783" s="81"/>
      <c r="K783" s="81"/>
      <c r="L783" s="81"/>
      <c r="M783" s="81"/>
      <c r="N783" s="681"/>
      <c r="O783" s="81"/>
      <c r="P783" s="81"/>
      <c r="Q783" s="81"/>
      <c r="R783" s="81"/>
      <c r="S783" s="81"/>
      <c r="T783" s="81"/>
      <c r="U783" s="81"/>
    </row>
    <row r="784" ht="14.25" customHeight="1" spans="1:21">
      <c r="A784" s="81"/>
      <c r="B784" s="81"/>
      <c r="C784" s="81"/>
      <c r="D784" s="681"/>
      <c r="E784" s="681"/>
      <c r="F784" s="81"/>
      <c r="G784" s="681"/>
      <c r="H784" s="683"/>
      <c r="I784" s="81"/>
      <c r="J784" s="81"/>
      <c r="K784" s="81"/>
      <c r="L784" s="81"/>
      <c r="M784" s="81"/>
      <c r="N784" s="681"/>
      <c r="O784" s="81"/>
      <c r="P784" s="81"/>
      <c r="Q784" s="81"/>
      <c r="R784" s="81"/>
      <c r="S784" s="81"/>
      <c r="T784" s="81"/>
      <c r="U784" s="81"/>
    </row>
    <row r="785" ht="14.25" customHeight="1" spans="1:21">
      <c r="A785" s="81"/>
      <c r="B785" s="81"/>
      <c r="C785" s="81"/>
      <c r="D785" s="681"/>
      <c r="E785" s="681"/>
      <c r="F785" s="81"/>
      <c r="G785" s="681"/>
      <c r="H785" s="683"/>
      <c r="I785" s="81"/>
      <c r="J785" s="81"/>
      <c r="K785" s="81"/>
      <c r="L785" s="81"/>
      <c r="M785" s="81"/>
      <c r="N785" s="681"/>
      <c r="O785" s="81"/>
      <c r="P785" s="81"/>
      <c r="Q785" s="81"/>
      <c r="R785" s="81"/>
      <c r="S785" s="81"/>
      <c r="T785" s="81"/>
      <c r="U785" s="81"/>
    </row>
    <row r="786" ht="14.25" customHeight="1" spans="1:21">
      <c r="A786" s="81"/>
      <c r="B786" s="81"/>
      <c r="C786" s="81"/>
      <c r="D786" s="681"/>
      <c r="E786" s="681"/>
      <c r="F786" s="81"/>
      <c r="G786" s="681"/>
      <c r="H786" s="683"/>
      <c r="I786" s="81"/>
      <c r="J786" s="81"/>
      <c r="K786" s="81"/>
      <c r="L786" s="81"/>
      <c r="M786" s="81"/>
      <c r="N786" s="681"/>
      <c r="O786" s="81"/>
      <c r="P786" s="81"/>
      <c r="Q786" s="81"/>
      <c r="R786" s="81"/>
      <c r="S786" s="81"/>
      <c r="T786" s="81"/>
      <c r="U786" s="81"/>
    </row>
    <row r="787" ht="14.25" customHeight="1" spans="1:21">
      <c r="A787" s="81"/>
      <c r="B787" s="81"/>
      <c r="C787" s="81"/>
      <c r="D787" s="681"/>
      <c r="E787" s="681"/>
      <c r="F787" s="81"/>
      <c r="G787" s="681"/>
      <c r="H787" s="683"/>
      <c r="I787" s="81"/>
      <c r="J787" s="81"/>
      <c r="K787" s="81"/>
      <c r="L787" s="81"/>
      <c r="M787" s="81"/>
      <c r="N787" s="681"/>
      <c r="O787" s="81"/>
      <c r="P787" s="81"/>
      <c r="Q787" s="81"/>
      <c r="R787" s="81"/>
      <c r="S787" s="81"/>
      <c r="T787" s="81"/>
      <c r="U787" s="81"/>
    </row>
    <row r="788" ht="14.25" customHeight="1" spans="1:21">
      <c r="A788" s="81"/>
      <c r="B788" s="81"/>
      <c r="C788" s="81"/>
      <c r="D788" s="681"/>
      <c r="E788" s="681"/>
      <c r="F788" s="81"/>
      <c r="G788" s="681"/>
      <c r="H788" s="683"/>
      <c r="I788" s="81"/>
      <c r="J788" s="81"/>
      <c r="K788" s="81"/>
      <c r="L788" s="81"/>
      <c r="M788" s="81"/>
      <c r="N788" s="681"/>
      <c r="O788" s="81"/>
      <c r="P788" s="81"/>
      <c r="Q788" s="81"/>
      <c r="R788" s="81"/>
      <c r="S788" s="81"/>
      <c r="T788" s="81"/>
      <c r="U788" s="81"/>
    </row>
    <row r="789" ht="14.25" customHeight="1" spans="1:21">
      <c r="A789" s="81"/>
      <c r="B789" s="81"/>
      <c r="C789" s="81"/>
      <c r="D789" s="681"/>
      <c r="E789" s="681"/>
      <c r="F789" s="81"/>
      <c r="G789" s="681"/>
      <c r="H789" s="683"/>
      <c r="I789" s="81"/>
      <c r="J789" s="81"/>
      <c r="K789" s="81"/>
      <c r="L789" s="81"/>
      <c r="M789" s="81"/>
      <c r="N789" s="681"/>
      <c r="O789" s="81"/>
      <c r="P789" s="81"/>
      <c r="Q789" s="81"/>
      <c r="R789" s="81"/>
      <c r="S789" s="81"/>
      <c r="T789" s="81"/>
      <c r="U789" s="81"/>
    </row>
    <row r="790" ht="14.25" customHeight="1" spans="1:21">
      <c r="A790" s="81"/>
      <c r="B790" s="81"/>
      <c r="C790" s="81"/>
      <c r="D790" s="681"/>
      <c r="E790" s="681"/>
      <c r="F790" s="81"/>
      <c r="G790" s="681"/>
      <c r="H790" s="683"/>
      <c r="I790" s="81"/>
      <c r="J790" s="81"/>
      <c r="K790" s="81"/>
      <c r="L790" s="81"/>
      <c r="M790" s="81"/>
      <c r="N790" s="681"/>
      <c r="O790" s="81"/>
      <c r="P790" s="81"/>
      <c r="Q790" s="81"/>
      <c r="R790" s="81"/>
      <c r="S790" s="81"/>
      <c r="T790" s="81"/>
      <c r="U790" s="81"/>
    </row>
    <row r="791" ht="14.25" customHeight="1" spans="1:21">
      <c r="A791" s="81"/>
      <c r="B791" s="81"/>
      <c r="C791" s="81"/>
      <c r="D791" s="681"/>
      <c r="E791" s="681"/>
      <c r="F791" s="81"/>
      <c r="G791" s="681"/>
      <c r="H791" s="683"/>
      <c r="I791" s="81"/>
      <c r="J791" s="81"/>
      <c r="K791" s="81"/>
      <c r="L791" s="81"/>
      <c r="M791" s="81"/>
      <c r="N791" s="681"/>
      <c r="O791" s="81"/>
      <c r="P791" s="81"/>
      <c r="Q791" s="81"/>
      <c r="R791" s="81"/>
      <c r="S791" s="81"/>
      <c r="T791" s="81"/>
      <c r="U791" s="81"/>
    </row>
    <row r="792" ht="14.25" customHeight="1" spans="1:21">
      <c r="A792" s="81"/>
      <c r="B792" s="81"/>
      <c r="C792" s="81"/>
      <c r="D792" s="681"/>
      <c r="E792" s="681"/>
      <c r="F792" s="81"/>
      <c r="G792" s="681"/>
      <c r="H792" s="683"/>
      <c r="I792" s="81"/>
      <c r="J792" s="81"/>
      <c r="K792" s="81"/>
      <c r="L792" s="81"/>
      <c r="M792" s="81"/>
      <c r="N792" s="681"/>
      <c r="O792" s="81"/>
      <c r="P792" s="81"/>
      <c r="Q792" s="81"/>
      <c r="R792" s="81"/>
      <c r="S792" s="81"/>
      <c r="T792" s="81"/>
      <c r="U792" s="81"/>
    </row>
    <row r="793" ht="14.25" customHeight="1" spans="1:21">
      <c r="A793" s="81"/>
      <c r="B793" s="81"/>
      <c r="C793" s="81"/>
      <c r="D793" s="681"/>
      <c r="E793" s="681"/>
      <c r="F793" s="81"/>
      <c r="G793" s="681"/>
      <c r="H793" s="683"/>
      <c r="I793" s="81"/>
      <c r="J793" s="81"/>
      <c r="K793" s="81"/>
      <c r="L793" s="81"/>
      <c r="M793" s="81"/>
      <c r="N793" s="681"/>
      <c r="O793" s="81"/>
      <c r="P793" s="81"/>
      <c r="Q793" s="81"/>
      <c r="R793" s="81"/>
      <c r="S793" s="81"/>
      <c r="T793" s="81"/>
      <c r="U793" s="81"/>
    </row>
    <row r="794" ht="14.25" customHeight="1" spans="1:21">
      <c r="A794" s="81"/>
      <c r="B794" s="81"/>
      <c r="C794" s="81"/>
      <c r="D794" s="681"/>
      <c r="E794" s="681"/>
      <c r="F794" s="81"/>
      <c r="G794" s="681"/>
      <c r="H794" s="683"/>
      <c r="I794" s="81"/>
      <c r="J794" s="81"/>
      <c r="K794" s="81"/>
      <c r="L794" s="81"/>
      <c r="M794" s="81"/>
      <c r="N794" s="681"/>
      <c r="O794" s="81"/>
      <c r="P794" s="81"/>
      <c r="Q794" s="81"/>
      <c r="R794" s="81"/>
      <c r="S794" s="81"/>
      <c r="T794" s="81"/>
      <c r="U794" s="81"/>
    </row>
    <row r="795" ht="14.25" customHeight="1" spans="1:21">
      <c r="A795" s="81"/>
      <c r="B795" s="81"/>
      <c r="C795" s="81"/>
      <c r="D795" s="681"/>
      <c r="E795" s="681"/>
      <c r="F795" s="81"/>
      <c r="G795" s="681"/>
      <c r="H795" s="683"/>
      <c r="I795" s="81"/>
      <c r="J795" s="81"/>
      <c r="K795" s="81"/>
      <c r="L795" s="81"/>
      <c r="M795" s="81"/>
      <c r="N795" s="681"/>
      <c r="O795" s="81"/>
      <c r="P795" s="81"/>
      <c r="Q795" s="81"/>
      <c r="R795" s="81"/>
      <c r="S795" s="81"/>
      <c r="T795" s="81"/>
      <c r="U795" s="81"/>
    </row>
    <row r="796" ht="14.25" customHeight="1" spans="1:21">
      <c r="A796" s="81"/>
      <c r="B796" s="81"/>
      <c r="C796" s="81"/>
      <c r="D796" s="681"/>
      <c r="E796" s="681"/>
      <c r="F796" s="81"/>
      <c r="G796" s="681"/>
      <c r="H796" s="683"/>
      <c r="I796" s="81"/>
      <c r="J796" s="81"/>
      <c r="K796" s="81"/>
      <c r="L796" s="81"/>
      <c r="M796" s="81"/>
      <c r="N796" s="681"/>
      <c r="O796" s="81"/>
      <c r="P796" s="81"/>
      <c r="Q796" s="81"/>
      <c r="R796" s="81"/>
      <c r="S796" s="81"/>
      <c r="T796" s="81"/>
      <c r="U796" s="81"/>
    </row>
    <row r="797" ht="14.25" customHeight="1" spans="1:21">
      <c r="A797" s="81"/>
      <c r="B797" s="81"/>
      <c r="C797" s="81"/>
      <c r="D797" s="681"/>
      <c r="E797" s="681"/>
      <c r="F797" s="81"/>
      <c r="G797" s="681"/>
      <c r="H797" s="683"/>
      <c r="I797" s="81"/>
      <c r="J797" s="81"/>
      <c r="K797" s="81"/>
      <c r="L797" s="81"/>
      <c r="M797" s="81"/>
      <c r="N797" s="681"/>
      <c r="O797" s="81"/>
      <c r="P797" s="81"/>
      <c r="Q797" s="81"/>
      <c r="R797" s="81"/>
      <c r="S797" s="81"/>
      <c r="T797" s="81"/>
      <c r="U797" s="81"/>
    </row>
    <row r="798" ht="14.25" customHeight="1" spans="1:21">
      <c r="A798" s="81"/>
      <c r="B798" s="81"/>
      <c r="C798" s="81"/>
      <c r="D798" s="681"/>
      <c r="E798" s="681"/>
      <c r="F798" s="81"/>
      <c r="G798" s="681"/>
      <c r="H798" s="683"/>
      <c r="I798" s="81"/>
      <c r="J798" s="81"/>
      <c r="K798" s="81"/>
      <c r="L798" s="81"/>
      <c r="M798" s="81"/>
      <c r="N798" s="681"/>
      <c r="O798" s="81"/>
      <c r="P798" s="81"/>
      <c r="Q798" s="81"/>
      <c r="R798" s="81"/>
      <c r="S798" s="81"/>
      <c r="T798" s="81"/>
      <c r="U798" s="81"/>
    </row>
    <row r="799" ht="14.25" customHeight="1" spans="1:21">
      <c r="A799" s="81"/>
      <c r="B799" s="81"/>
      <c r="C799" s="81"/>
      <c r="D799" s="681"/>
      <c r="E799" s="681"/>
      <c r="F799" s="81"/>
      <c r="G799" s="681"/>
      <c r="H799" s="683"/>
      <c r="I799" s="81"/>
      <c r="J799" s="81"/>
      <c r="K799" s="81"/>
      <c r="L799" s="81"/>
      <c r="M799" s="81"/>
      <c r="N799" s="681"/>
      <c r="O799" s="81"/>
      <c r="P799" s="81"/>
      <c r="Q799" s="81"/>
      <c r="R799" s="81"/>
      <c r="S799" s="81"/>
      <c r="T799" s="81"/>
      <c r="U799" s="81"/>
    </row>
    <row r="800" ht="14.25" customHeight="1" spans="1:21">
      <c r="A800" s="81"/>
      <c r="B800" s="81"/>
      <c r="C800" s="81"/>
      <c r="D800" s="681"/>
      <c r="E800" s="681"/>
      <c r="F800" s="81"/>
      <c r="G800" s="681"/>
      <c r="H800" s="683"/>
      <c r="I800" s="81"/>
      <c r="J800" s="81"/>
      <c r="K800" s="81"/>
      <c r="L800" s="81"/>
      <c r="M800" s="81"/>
      <c r="N800" s="681"/>
      <c r="O800" s="81"/>
      <c r="P800" s="81"/>
      <c r="Q800" s="81"/>
      <c r="R800" s="81"/>
      <c r="S800" s="81"/>
      <c r="T800" s="81"/>
      <c r="U800" s="81"/>
    </row>
    <row r="801" ht="14.25" customHeight="1" spans="1:21">
      <c r="A801" s="81"/>
      <c r="B801" s="81"/>
      <c r="C801" s="81"/>
      <c r="D801" s="681"/>
      <c r="E801" s="681"/>
      <c r="F801" s="81"/>
      <c r="G801" s="681"/>
      <c r="H801" s="683"/>
      <c r="I801" s="81"/>
      <c r="J801" s="81"/>
      <c r="K801" s="81"/>
      <c r="L801" s="81"/>
      <c r="M801" s="81"/>
      <c r="N801" s="681"/>
      <c r="O801" s="81"/>
      <c r="P801" s="81"/>
      <c r="Q801" s="81"/>
      <c r="R801" s="81"/>
      <c r="S801" s="81"/>
      <c r="T801" s="81"/>
      <c r="U801" s="81"/>
    </row>
    <row r="802" ht="14.25" customHeight="1" spans="1:21">
      <c r="A802" s="81"/>
      <c r="B802" s="81"/>
      <c r="C802" s="81"/>
      <c r="D802" s="681"/>
      <c r="E802" s="681"/>
      <c r="F802" s="81"/>
      <c r="G802" s="681"/>
      <c r="H802" s="683"/>
      <c r="I802" s="81"/>
      <c r="J802" s="81"/>
      <c r="K802" s="81"/>
      <c r="L802" s="81"/>
      <c r="M802" s="81"/>
      <c r="N802" s="681"/>
      <c r="O802" s="81"/>
      <c r="P802" s="81"/>
      <c r="Q802" s="81"/>
      <c r="R802" s="81"/>
      <c r="S802" s="81"/>
      <c r="T802" s="81"/>
      <c r="U802" s="81"/>
    </row>
    <row r="803" ht="14.25" customHeight="1" spans="1:21">
      <c r="A803" s="81"/>
      <c r="B803" s="81"/>
      <c r="C803" s="81"/>
      <c r="D803" s="681"/>
      <c r="E803" s="681"/>
      <c r="F803" s="81"/>
      <c r="G803" s="681"/>
      <c r="H803" s="683"/>
      <c r="I803" s="81"/>
      <c r="J803" s="81"/>
      <c r="K803" s="81"/>
      <c r="L803" s="81"/>
      <c r="M803" s="81"/>
      <c r="N803" s="681"/>
      <c r="O803" s="81"/>
      <c r="P803" s="81"/>
      <c r="Q803" s="81"/>
      <c r="R803" s="81"/>
      <c r="S803" s="81"/>
      <c r="T803" s="81"/>
      <c r="U803" s="81"/>
    </row>
    <row r="804" ht="14.25" customHeight="1" spans="1:21">
      <c r="A804" s="81"/>
      <c r="B804" s="81"/>
      <c r="C804" s="81"/>
      <c r="D804" s="681"/>
      <c r="E804" s="681"/>
      <c r="F804" s="81"/>
      <c r="G804" s="681"/>
      <c r="H804" s="683"/>
      <c r="I804" s="81"/>
      <c r="J804" s="81"/>
      <c r="K804" s="81"/>
      <c r="L804" s="81"/>
      <c r="M804" s="81"/>
      <c r="N804" s="681"/>
      <c r="O804" s="81"/>
      <c r="P804" s="81"/>
      <c r="Q804" s="81"/>
      <c r="R804" s="81"/>
      <c r="S804" s="81"/>
      <c r="T804" s="81"/>
      <c r="U804" s="81"/>
    </row>
    <row r="805" ht="14.25" customHeight="1" spans="1:21">
      <c r="A805" s="81"/>
      <c r="B805" s="81"/>
      <c r="C805" s="81"/>
      <c r="D805" s="681"/>
      <c r="E805" s="681"/>
      <c r="F805" s="81"/>
      <c r="G805" s="681"/>
      <c r="H805" s="683"/>
      <c r="I805" s="81"/>
      <c r="J805" s="81"/>
      <c r="K805" s="81"/>
      <c r="L805" s="81"/>
      <c r="M805" s="81"/>
      <c r="N805" s="681"/>
      <c r="O805" s="81"/>
      <c r="P805" s="81"/>
      <c r="Q805" s="81"/>
      <c r="R805" s="81"/>
      <c r="S805" s="81"/>
      <c r="T805" s="81"/>
      <c r="U805" s="81"/>
    </row>
    <row r="806" ht="14.25" customHeight="1" spans="1:21">
      <c r="A806" s="81"/>
      <c r="B806" s="81"/>
      <c r="C806" s="81"/>
      <c r="D806" s="681"/>
      <c r="E806" s="681"/>
      <c r="F806" s="81"/>
      <c r="G806" s="681"/>
      <c r="H806" s="683"/>
      <c r="I806" s="81"/>
      <c r="J806" s="81"/>
      <c r="K806" s="81"/>
      <c r="L806" s="81"/>
      <c r="M806" s="81"/>
      <c r="N806" s="681"/>
      <c r="O806" s="81"/>
      <c r="P806" s="81"/>
      <c r="Q806" s="81"/>
      <c r="R806" s="81"/>
      <c r="S806" s="81"/>
      <c r="T806" s="81"/>
      <c r="U806" s="81"/>
    </row>
    <row r="807" ht="14.25" customHeight="1" spans="1:21">
      <c r="A807" s="81"/>
      <c r="B807" s="81"/>
      <c r="C807" s="81"/>
      <c r="D807" s="681"/>
      <c r="E807" s="681"/>
      <c r="F807" s="81"/>
      <c r="G807" s="681"/>
      <c r="H807" s="683"/>
      <c r="I807" s="81"/>
      <c r="J807" s="81"/>
      <c r="K807" s="81"/>
      <c r="L807" s="81"/>
      <c r="M807" s="81"/>
      <c r="N807" s="681"/>
      <c r="O807" s="81"/>
      <c r="P807" s="81"/>
      <c r="Q807" s="81"/>
      <c r="R807" s="81"/>
      <c r="S807" s="81"/>
      <c r="T807" s="81"/>
      <c r="U807" s="81"/>
    </row>
    <row r="808" ht="14.25" customHeight="1" spans="1:21">
      <c r="A808" s="81"/>
      <c r="B808" s="81"/>
      <c r="C808" s="81"/>
      <c r="D808" s="681"/>
      <c r="E808" s="681"/>
      <c r="F808" s="81"/>
      <c r="G808" s="681"/>
      <c r="H808" s="683"/>
      <c r="I808" s="81"/>
      <c r="J808" s="81"/>
      <c r="K808" s="81"/>
      <c r="L808" s="81"/>
      <c r="M808" s="81"/>
      <c r="N808" s="681"/>
      <c r="O808" s="81"/>
      <c r="P808" s="81"/>
      <c r="Q808" s="81"/>
      <c r="R808" s="81"/>
      <c r="S808" s="81"/>
      <c r="T808" s="81"/>
      <c r="U808" s="81"/>
    </row>
    <row r="809" ht="14.25" customHeight="1" spans="1:21">
      <c r="A809" s="81"/>
      <c r="B809" s="81"/>
      <c r="C809" s="81"/>
      <c r="D809" s="681"/>
      <c r="E809" s="681"/>
      <c r="F809" s="81"/>
      <c r="G809" s="681"/>
      <c r="H809" s="683"/>
      <c r="I809" s="81"/>
      <c r="J809" s="81"/>
      <c r="K809" s="81"/>
      <c r="L809" s="81"/>
      <c r="M809" s="81"/>
      <c r="N809" s="681"/>
      <c r="O809" s="81"/>
      <c r="P809" s="81"/>
      <c r="Q809" s="81"/>
      <c r="R809" s="81"/>
      <c r="S809" s="81"/>
      <c r="T809" s="81"/>
      <c r="U809" s="81"/>
    </row>
    <row r="810" ht="14.25" customHeight="1" spans="1:21">
      <c r="A810" s="81"/>
      <c r="B810" s="81"/>
      <c r="C810" s="81"/>
      <c r="D810" s="681"/>
      <c r="E810" s="681"/>
      <c r="F810" s="81"/>
      <c r="G810" s="681"/>
      <c r="H810" s="683"/>
      <c r="I810" s="81"/>
      <c r="J810" s="81"/>
      <c r="K810" s="81"/>
      <c r="L810" s="81"/>
      <c r="M810" s="81"/>
      <c r="N810" s="681"/>
      <c r="O810" s="81"/>
      <c r="P810" s="81"/>
      <c r="Q810" s="81"/>
      <c r="R810" s="81"/>
      <c r="S810" s="81"/>
      <c r="T810" s="81"/>
      <c r="U810" s="81"/>
    </row>
    <row r="811" ht="14.25" customHeight="1" spans="1:21">
      <c r="A811" s="81"/>
      <c r="B811" s="81"/>
      <c r="C811" s="81"/>
      <c r="D811" s="681"/>
      <c r="E811" s="681"/>
      <c r="F811" s="81"/>
      <c r="G811" s="681"/>
      <c r="H811" s="683"/>
      <c r="I811" s="81"/>
      <c r="J811" s="81"/>
      <c r="K811" s="81"/>
      <c r="L811" s="81"/>
      <c r="M811" s="81"/>
      <c r="N811" s="681"/>
      <c r="O811" s="81"/>
      <c r="P811" s="81"/>
      <c r="Q811" s="81"/>
      <c r="R811" s="81"/>
      <c r="S811" s="81"/>
      <c r="T811" s="81"/>
      <c r="U811" s="81"/>
    </row>
    <row r="812" ht="14.25" customHeight="1" spans="1:21">
      <c r="A812" s="81"/>
      <c r="B812" s="81"/>
      <c r="C812" s="81"/>
      <c r="D812" s="681"/>
      <c r="E812" s="681"/>
      <c r="F812" s="81"/>
      <c r="G812" s="681"/>
      <c r="H812" s="683"/>
      <c r="I812" s="81"/>
      <c r="J812" s="81"/>
      <c r="K812" s="81"/>
      <c r="L812" s="81"/>
      <c r="M812" s="81"/>
      <c r="N812" s="681"/>
      <c r="O812" s="81"/>
      <c r="P812" s="81"/>
      <c r="Q812" s="81"/>
      <c r="R812" s="81"/>
      <c r="S812" s="81"/>
      <c r="T812" s="81"/>
      <c r="U812" s="81"/>
    </row>
    <row r="813" ht="14.25" customHeight="1" spans="1:21">
      <c r="A813" s="81"/>
      <c r="B813" s="81"/>
      <c r="C813" s="81"/>
      <c r="D813" s="681"/>
      <c r="E813" s="681"/>
      <c r="F813" s="81"/>
      <c r="G813" s="681"/>
      <c r="H813" s="683"/>
      <c r="I813" s="81"/>
      <c r="J813" s="81"/>
      <c r="K813" s="81"/>
      <c r="L813" s="81"/>
      <c r="M813" s="81"/>
      <c r="N813" s="681"/>
      <c r="O813" s="81"/>
      <c r="P813" s="81"/>
      <c r="Q813" s="81"/>
      <c r="R813" s="81"/>
      <c r="S813" s="81"/>
      <c r="T813" s="81"/>
      <c r="U813" s="81"/>
    </row>
    <row r="814" ht="14.25" customHeight="1" spans="1:21">
      <c r="A814" s="81"/>
      <c r="B814" s="81"/>
      <c r="C814" s="81"/>
      <c r="D814" s="681"/>
      <c r="E814" s="681"/>
      <c r="F814" s="81"/>
      <c r="G814" s="681"/>
      <c r="H814" s="683"/>
      <c r="I814" s="81"/>
      <c r="J814" s="81"/>
      <c r="K814" s="81"/>
      <c r="L814" s="81"/>
      <c r="M814" s="81"/>
      <c r="N814" s="681"/>
      <c r="O814" s="81"/>
      <c r="P814" s="81"/>
      <c r="Q814" s="81"/>
      <c r="R814" s="81"/>
      <c r="S814" s="81"/>
      <c r="T814" s="81"/>
      <c r="U814" s="81"/>
    </row>
    <row r="815" ht="14.25" customHeight="1" spans="1:21">
      <c r="A815" s="81"/>
      <c r="B815" s="81"/>
      <c r="C815" s="81"/>
      <c r="D815" s="681"/>
      <c r="E815" s="681"/>
      <c r="F815" s="81"/>
      <c r="G815" s="681"/>
      <c r="H815" s="683"/>
      <c r="I815" s="81"/>
      <c r="J815" s="81"/>
      <c r="K815" s="81"/>
      <c r="L815" s="81"/>
      <c r="M815" s="81"/>
      <c r="N815" s="681"/>
      <c r="O815" s="81"/>
      <c r="P815" s="81"/>
      <c r="Q815" s="81"/>
      <c r="R815" s="81"/>
      <c r="S815" s="81"/>
      <c r="T815" s="81"/>
      <c r="U815" s="81"/>
    </row>
    <row r="816" ht="14.25" customHeight="1" spans="1:21">
      <c r="A816" s="81"/>
      <c r="B816" s="81"/>
      <c r="C816" s="81"/>
      <c r="D816" s="681"/>
      <c r="E816" s="681"/>
      <c r="F816" s="81"/>
      <c r="G816" s="681"/>
      <c r="H816" s="683"/>
      <c r="I816" s="81"/>
      <c r="J816" s="81"/>
      <c r="K816" s="81"/>
      <c r="L816" s="81"/>
      <c r="M816" s="81"/>
      <c r="N816" s="681"/>
      <c r="O816" s="81"/>
      <c r="P816" s="81"/>
      <c r="Q816" s="81"/>
      <c r="R816" s="81"/>
      <c r="S816" s="81"/>
      <c r="T816" s="81"/>
      <c r="U816" s="81"/>
    </row>
    <row r="817" ht="14.25" customHeight="1" spans="1:21">
      <c r="A817" s="81"/>
      <c r="B817" s="81"/>
      <c r="C817" s="81"/>
      <c r="D817" s="681"/>
      <c r="E817" s="681"/>
      <c r="F817" s="81"/>
      <c r="G817" s="681"/>
      <c r="H817" s="683"/>
      <c r="I817" s="81"/>
      <c r="J817" s="81"/>
      <c r="K817" s="81"/>
      <c r="L817" s="81"/>
      <c r="M817" s="81"/>
      <c r="N817" s="681"/>
      <c r="O817" s="81"/>
      <c r="P817" s="81"/>
      <c r="Q817" s="81"/>
      <c r="R817" s="81"/>
      <c r="S817" s="81"/>
      <c r="T817" s="81"/>
      <c r="U817" s="81"/>
    </row>
    <row r="818" ht="14.25" customHeight="1" spans="1:21">
      <c r="A818" s="81"/>
      <c r="B818" s="81"/>
      <c r="C818" s="81"/>
      <c r="D818" s="681"/>
      <c r="E818" s="681"/>
      <c r="F818" s="81"/>
      <c r="G818" s="681"/>
      <c r="H818" s="683"/>
      <c r="I818" s="81"/>
      <c r="J818" s="81"/>
      <c r="K818" s="81"/>
      <c r="L818" s="81"/>
      <c r="M818" s="81"/>
      <c r="N818" s="681"/>
      <c r="O818" s="81"/>
      <c r="P818" s="81"/>
      <c r="Q818" s="81"/>
      <c r="R818" s="81"/>
      <c r="S818" s="81"/>
      <c r="T818" s="81"/>
      <c r="U818" s="81"/>
    </row>
    <row r="819" ht="14.25" customHeight="1" spans="1:21">
      <c r="A819" s="81"/>
      <c r="B819" s="81"/>
      <c r="C819" s="81"/>
      <c r="D819" s="681"/>
      <c r="E819" s="681"/>
      <c r="F819" s="81"/>
      <c r="G819" s="681"/>
      <c r="H819" s="683"/>
      <c r="I819" s="81"/>
      <c r="J819" s="81"/>
      <c r="K819" s="81"/>
      <c r="L819" s="81"/>
      <c r="M819" s="81"/>
      <c r="N819" s="681"/>
      <c r="O819" s="81"/>
      <c r="P819" s="81"/>
      <c r="Q819" s="81"/>
      <c r="R819" s="81"/>
      <c r="S819" s="81"/>
      <c r="T819" s="81"/>
      <c r="U819" s="81"/>
    </row>
    <row r="820" ht="14.25" customHeight="1" spans="1:21">
      <c r="A820" s="81"/>
      <c r="B820" s="81"/>
      <c r="C820" s="81"/>
      <c r="D820" s="681"/>
      <c r="E820" s="681"/>
      <c r="F820" s="81"/>
      <c r="G820" s="681"/>
      <c r="H820" s="683"/>
      <c r="I820" s="81"/>
      <c r="J820" s="81"/>
      <c r="K820" s="81"/>
      <c r="L820" s="81"/>
      <c r="M820" s="81"/>
      <c r="N820" s="681"/>
      <c r="O820" s="81"/>
      <c r="P820" s="81"/>
      <c r="Q820" s="81"/>
      <c r="R820" s="81"/>
      <c r="S820" s="81"/>
      <c r="T820" s="81"/>
      <c r="U820" s="81"/>
    </row>
    <row r="821" ht="14.25" customHeight="1" spans="1:21">
      <c r="A821" s="81"/>
      <c r="B821" s="81"/>
      <c r="C821" s="81"/>
      <c r="D821" s="681"/>
      <c r="E821" s="681"/>
      <c r="F821" s="81"/>
      <c r="G821" s="681"/>
      <c r="H821" s="683"/>
      <c r="I821" s="81"/>
      <c r="J821" s="81"/>
      <c r="K821" s="81"/>
      <c r="L821" s="81"/>
      <c r="M821" s="81"/>
      <c r="N821" s="681"/>
      <c r="O821" s="81"/>
      <c r="P821" s="81"/>
      <c r="Q821" s="81"/>
      <c r="R821" s="81"/>
      <c r="S821" s="81"/>
      <c r="T821" s="81"/>
      <c r="U821" s="81"/>
    </row>
    <row r="822" ht="14.25" customHeight="1" spans="1:21">
      <c r="A822" s="81"/>
      <c r="B822" s="81"/>
      <c r="C822" s="81"/>
      <c r="D822" s="681"/>
      <c r="E822" s="681"/>
      <c r="F822" s="81"/>
      <c r="G822" s="681"/>
      <c r="H822" s="683"/>
      <c r="I822" s="81"/>
      <c r="J822" s="81"/>
      <c r="K822" s="81"/>
      <c r="L822" s="81"/>
      <c r="M822" s="81"/>
      <c r="N822" s="681"/>
      <c r="O822" s="81"/>
      <c r="P822" s="81"/>
      <c r="Q822" s="81"/>
      <c r="R822" s="81"/>
      <c r="S822" s="81"/>
      <c r="T822" s="81"/>
      <c r="U822" s="81"/>
    </row>
    <row r="823" ht="14.25" customHeight="1" spans="1:21">
      <c r="A823" s="81"/>
      <c r="B823" s="81"/>
      <c r="C823" s="81"/>
      <c r="D823" s="681"/>
      <c r="E823" s="681"/>
      <c r="F823" s="81"/>
      <c r="G823" s="681"/>
      <c r="H823" s="683"/>
      <c r="I823" s="81"/>
      <c r="J823" s="81"/>
      <c r="K823" s="81"/>
      <c r="L823" s="81"/>
      <c r="M823" s="81"/>
      <c r="N823" s="681"/>
      <c r="O823" s="81"/>
      <c r="P823" s="81"/>
      <c r="Q823" s="81"/>
      <c r="R823" s="81"/>
      <c r="S823" s="81"/>
      <c r="T823" s="81"/>
      <c r="U823" s="81"/>
    </row>
    <row r="824" ht="14.25" customHeight="1" spans="1:21">
      <c r="A824" s="81"/>
      <c r="B824" s="81"/>
      <c r="C824" s="81"/>
      <c r="D824" s="681"/>
      <c r="E824" s="681"/>
      <c r="F824" s="81"/>
      <c r="G824" s="681"/>
      <c r="H824" s="683"/>
      <c r="I824" s="81"/>
      <c r="J824" s="81"/>
      <c r="K824" s="81"/>
      <c r="L824" s="81"/>
      <c r="M824" s="81"/>
      <c r="N824" s="681"/>
      <c r="O824" s="81"/>
      <c r="P824" s="81"/>
      <c r="Q824" s="81"/>
      <c r="R824" s="81"/>
      <c r="S824" s="81"/>
      <c r="T824" s="81"/>
      <c r="U824" s="81"/>
    </row>
    <row r="825" ht="14.25" customHeight="1" spans="1:21">
      <c r="A825" s="81"/>
      <c r="B825" s="81"/>
      <c r="C825" s="81"/>
      <c r="D825" s="681"/>
      <c r="E825" s="681"/>
      <c r="F825" s="81"/>
      <c r="G825" s="681"/>
      <c r="H825" s="683"/>
      <c r="I825" s="81"/>
      <c r="J825" s="81"/>
      <c r="K825" s="81"/>
      <c r="L825" s="81"/>
      <c r="M825" s="81"/>
      <c r="N825" s="681"/>
      <c r="O825" s="81"/>
      <c r="P825" s="81"/>
      <c r="Q825" s="81"/>
      <c r="R825" s="81"/>
      <c r="S825" s="81"/>
      <c r="T825" s="81"/>
      <c r="U825" s="81"/>
    </row>
    <row r="826" ht="14.25" customHeight="1" spans="1:21">
      <c r="A826" s="81"/>
      <c r="B826" s="81"/>
      <c r="C826" s="81"/>
      <c r="D826" s="681"/>
      <c r="E826" s="681"/>
      <c r="F826" s="81"/>
      <c r="G826" s="681"/>
      <c r="H826" s="683"/>
      <c r="I826" s="81"/>
      <c r="J826" s="81"/>
      <c r="K826" s="81"/>
      <c r="L826" s="81"/>
      <c r="M826" s="81"/>
      <c r="N826" s="681"/>
      <c r="O826" s="81"/>
      <c r="P826" s="81"/>
      <c r="Q826" s="81"/>
      <c r="R826" s="81"/>
      <c r="S826" s="81"/>
      <c r="T826" s="81"/>
      <c r="U826" s="81"/>
    </row>
    <row r="827" ht="14.25" customHeight="1" spans="1:21">
      <c r="A827" s="81"/>
      <c r="B827" s="81"/>
      <c r="C827" s="81"/>
      <c r="D827" s="681"/>
      <c r="E827" s="681"/>
      <c r="F827" s="81"/>
      <c r="G827" s="681"/>
      <c r="H827" s="683"/>
      <c r="I827" s="81"/>
      <c r="J827" s="81"/>
      <c r="K827" s="81"/>
      <c r="L827" s="81"/>
      <c r="M827" s="81"/>
      <c r="N827" s="681"/>
      <c r="O827" s="81"/>
      <c r="P827" s="81"/>
      <c r="Q827" s="81"/>
      <c r="R827" s="81"/>
      <c r="S827" s="81"/>
      <c r="T827" s="81"/>
      <c r="U827" s="81"/>
    </row>
    <row r="828" ht="14.25" customHeight="1" spans="1:21">
      <c r="A828" s="81"/>
      <c r="B828" s="81"/>
      <c r="C828" s="81"/>
      <c r="D828" s="681"/>
      <c r="E828" s="681"/>
      <c r="F828" s="81"/>
      <c r="G828" s="681"/>
      <c r="H828" s="683"/>
      <c r="I828" s="81"/>
      <c r="J828" s="81"/>
      <c r="K828" s="81"/>
      <c r="L828" s="81"/>
      <c r="M828" s="81"/>
      <c r="N828" s="681"/>
      <c r="O828" s="81"/>
      <c r="P828" s="81"/>
      <c r="Q828" s="81"/>
      <c r="R828" s="81"/>
      <c r="S828" s="81"/>
      <c r="T828" s="81"/>
      <c r="U828" s="81"/>
    </row>
    <row r="829" ht="14.25" customHeight="1" spans="1:21">
      <c r="A829" s="81"/>
      <c r="B829" s="81"/>
      <c r="C829" s="81"/>
      <c r="D829" s="681"/>
      <c r="E829" s="681"/>
      <c r="F829" s="81"/>
      <c r="G829" s="681"/>
      <c r="H829" s="683"/>
      <c r="I829" s="81"/>
      <c r="J829" s="81"/>
      <c r="K829" s="81"/>
      <c r="L829" s="81"/>
      <c r="M829" s="81"/>
      <c r="N829" s="681"/>
      <c r="O829" s="81"/>
      <c r="P829" s="81"/>
      <c r="Q829" s="81"/>
      <c r="R829" s="81"/>
      <c r="S829" s="81"/>
      <c r="T829" s="81"/>
      <c r="U829" s="81"/>
    </row>
    <row r="830" ht="14.25" customHeight="1" spans="1:21">
      <c r="A830" s="81"/>
      <c r="B830" s="81"/>
      <c r="C830" s="81"/>
      <c r="D830" s="681"/>
      <c r="E830" s="681"/>
      <c r="F830" s="81"/>
      <c r="G830" s="681"/>
      <c r="H830" s="683"/>
      <c r="I830" s="81"/>
      <c r="J830" s="81"/>
      <c r="K830" s="81"/>
      <c r="L830" s="81"/>
      <c r="M830" s="81"/>
      <c r="N830" s="681"/>
      <c r="O830" s="81"/>
      <c r="P830" s="81"/>
      <c r="Q830" s="81"/>
      <c r="R830" s="81"/>
      <c r="S830" s="81"/>
      <c r="T830" s="81"/>
      <c r="U830" s="81"/>
    </row>
    <row r="831" ht="14.25" customHeight="1" spans="1:21">
      <c r="A831" s="81"/>
      <c r="B831" s="81"/>
      <c r="C831" s="81"/>
      <c r="D831" s="681"/>
      <c r="E831" s="681"/>
      <c r="F831" s="81"/>
      <c r="G831" s="681"/>
      <c r="H831" s="683"/>
      <c r="I831" s="81"/>
      <c r="J831" s="81"/>
      <c r="K831" s="81"/>
      <c r="L831" s="81"/>
      <c r="M831" s="81"/>
      <c r="N831" s="681"/>
      <c r="O831" s="81"/>
      <c r="P831" s="81"/>
      <c r="Q831" s="81"/>
      <c r="R831" s="81"/>
      <c r="S831" s="81"/>
      <c r="T831" s="81"/>
      <c r="U831" s="81"/>
    </row>
    <row r="832" ht="14.25" customHeight="1" spans="1:21">
      <c r="A832" s="81"/>
      <c r="B832" s="81"/>
      <c r="C832" s="81"/>
      <c r="D832" s="681"/>
      <c r="E832" s="681"/>
      <c r="F832" s="81"/>
      <c r="G832" s="681"/>
      <c r="H832" s="683"/>
      <c r="I832" s="81"/>
      <c r="J832" s="81"/>
      <c r="K832" s="81"/>
      <c r="L832" s="81"/>
      <c r="M832" s="81"/>
      <c r="N832" s="681"/>
      <c r="O832" s="81"/>
      <c r="P832" s="81"/>
      <c r="Q832" s="81"/>
      <c r="R832" s="81"/>
      <c r="S832" s="81"/>
      <c r="T832" s="81"/>
      <c r="U832" s="81"/>
    </row>
    <row r="833" ht="14.25" customHeight="1" spans="1:21">
      <c r="A833" s="81"/>
      <c r="B833" s="81"/>
      <c r="C833" s="81"/>
      <c r="D833" s="681"/>
      <c r="E833" s="681"/>
      <c r="F833" s="81"/>
      <c r="G833" s="681"/>
      <c r="H833" s="683"/>
      <c r="I833" s="81"/>
      <c r="J833" s="81"/>
      <c r="K833" s="81"/>
      <c r="L833" s="81"/>
      <c r="M833" s="81"/>
      <c r="N833" s="681"/>
      <c r="O833" s="81"/>
      <c r="P833" s="81"/>
      <c r="Q833" s="81"/>
      <c r="R833" s="81"/>
      <c r="S833" s="81"/>
      <c r="T833" s="81"/>
      <c r="U833" s="81"/>
    </row>
    <row r="834" ht="14.25" customHeight="1" spans="1:21">
      <c r="A834" s="81"/>
      <c r="B834" s="81"/>
      <c r="C834" s="81"/>
      <c r="D834" s="681"/>
      <c r="E834" s="681"/>
      <c r="F834" s="81"/>
      <c r="G834" s="681"/>
      <c r="H834" s="683"/>
      <c r="I834" s="81"/>
      <c r="J834" s="81"/>
      <c r="K834" s="81"/>
      <c r="L834" s="81"/>
      <c r="M834" s="81"/>
      <c r="N834" s="681"/>
      <c r="O834" s="81"/>
      <c r="P834" s="81"/>
      <c r="Q834" s="81"/>
      <c r="R834" s="81"/>
      <c r="S834" s="81"/>
      <c r="T834" s="81"/>
      <c r="U834" s="81"/>
    </row>
    <row r="835" ht="14.25" customHeight="1" spans="1:21">
      <c r="A835" s="81"/>
      <c r="B835" s="81"/>
      <c r="C835" s="81"/>
      <c r="D835" s="681"/>
      <c r="E835" s="681"/>
      <c r="F835" s="81"/>
      <c r="G835" s="681"/>
      <c r="H835" s="683"/>
      <c r="I835" s="81"/>
      <c r="J835" s="81"/>
      <c r="K835" s="81"/>
      <c r="L835" s="81"/>
      <c r="M835" s="81"/>
      <c r="N835" s="681"/>
      <c r="O835" s="81"/>
      <c r="P835" s="81"/>
      <c r="Q835" s="81"/>
      <c r="R835" s="81"/>
      <c r="S835" s="81"/>
      <c r="T835" s="81"/>
      <c r="U835" s="81"/>
    </row>
    <row r="836" ht="14.25" customHeight="1" spans="1:21">
      <c r="A836" s="81"/>
      <c r="B836" s="81"/>
      <c r="C836" s="81"/>
      <c r="D836" s="681"/>
      <c r="E836" s="681"/>
      <c r="F836" s="81"/>
      <c r="G836" s="681"/>
      <c r="H836" s="683"/>
      <c r="I836" s="81"/>
      <c r="J836" s="81"/>
      <c r="K836" s="81"/>
      <c r="L836" s="81"/>
      <c r="M836" s="81"/>
      <c r="N836" s="681"/>
      <c r="O836" s="81"/>
      <c r="P836" s="81"/>
      <c r="Q836" s="81"/>
      <c r="R836" s="81"/>
      <c r="S836" s="81"/>
      <c r="T836" s="81"/>
      <c r="U836" s="81"/>
    </row>
    <row r="837" ht="14.25" customHeight="1" spans="1:21">
      <c r="A837" s="81"/>
      <c r="B837" s="81"/>
      <c r="C837" s="81"/>
      <c r="D837" s="681"/>
      <c r="E837" s="681"/>
      <c r="F837" s="81"/>
      <c r="G837" s="681"/>
      <c r="H837" s="683"/>
      <c r="I837" s="81"/>
      <c r="J837" s="81"/>
      <c r="K837" s="81"/>
      <c r="L837" s="81"/>
      <c r="M837" s="81"/>
      <c r="N837" s="681"/>
      <c r="O837" s="81"/>
      <c r="P837" s="81"/>
      <c r="Q837" s="81"/>
      <c r="R837" s="81"/>
      <c r="S837" s="81"/>
      <c r="T837" s="81"/>
      <c r="U837" s="81"/>
    </row>
    <row r="838" ht="14.25" customHeight="1" spans="1:21">
      <c r="A838" s="81"/>
      <c r="B838" s="81"/>
      <c r="C838" s="81"/>
      <c r="D838" s="681"/>
      <c r="E838" s="681"/>
      <c r="F838" s="81"/>
      <c r="G838" s="681"/>
      <c r="H838" s="683"/>
      <c r="I838" s="81"/>
      <c r="J838" s="81"/>
      <c r="K838" s="81"/>
      <c r="L838" s="81"/>
      <c r="M838" s="81"/>
      <c r="N838" s="681"/>
      <c r="O838" s="81"/>
      <c r="P838" s="81"/>
      <c r="Q838" s="81"/>
      <c r="R838" s="81"/>
      <c r="S838" s="81"/>
      <c r="T838" s="81"/>
      <c r="U838" s="81"/>
    </row>
    <row r="839" ht="14.25" customHeight="1" spans="1:21">
      <c r="A839" s="81"/>
      <c r="B839" s="81"/>
      <c r="C839" s="81"/>
      <c r="D839" s="681"/>
      <c r="E839" s="681"/>
      <c r="F839" s="81"/>
      <c r="G839" s="681"/>
      <c r="H839" s="683"/>
      <c r="I839" s="81"/>
      <c r="J839" s="81"/>
      <c r="K839" s="81"/>
      <c r="L839" s="81"/>
      <c r="M839" s="81"/>
      <c r="N839" s="681"/>
      <c r="O839" s="81"/>
      <c r="P839" s="81"/>
      <c r="Q839" s="81"/>
      <c r="R839" s="81"/>
      <c r="S839" s="81"/>
      <c r="T839" s="81"/>
      <c r="U839" s="81"/>
    </row>
    <row r="840" ht="14.25" customHeight="1" spans="1:21">
      <c r="A840" s="81"/>
      <c r="B840" s="81"/>
      <c r="C840" s="81"/>
      <c r="D840" s="681"/>
      <c r="E840" s="681"/>
      <c r="F840" s="81"/>
      <c r="G840" s="681"/>
      <c r="H840" s="683"/>
      <c r="I840" s="81"/>
      <c r="J840" s="81"/>
      <c r="K840" s="81"/>
      <c r="L840" s="81"/>
      <c r="M840" s="81"/>
      <c r="N840" s="681"/>
      <c r="O840" s="81"/>
      <c r="P840" s="81"/>
      <c r="Q840" s="81"/>
      <c r="R840" s="81"/>
      <c r="S840" s="81"/>
      <c r="T840" s="81"/>
      <c r="U840" s="81"/>
    </row>
    <row r="841" ht="14.25" customHeight="1" spans="1:21">
      <c r="A841" s="81"/>
      <c r="B841" s="81"/>
      <c r="C841" s="81"/>
      <c r="D841" s="681"/>
      <c r="E841" s="681"/>
      <c r="F841" s="81"/>
      <c r="G841" s="681"/>
      <c r="H841" s="683"/>
      <c r="I841" s="81"/>
      <c r="J841" s="81"/>
      <c r="K841" s="81"/>
      <c r="L841" s="81"/>
      <c r="M841" s="81"/>
      <c r="N841" s="681"/>
      <c r="O841" s="81"/>
      <c r="P841" s="81"/>
      <c r="Q841" s="81"/>
      <c r="R841" s="81"/>
      <c r="S841" s="81"/>
      <c r="T841" s="81"/>
      <c r="U841" s="81"/>
    </row>
    <row r="842" ht="14.25" customHeight="1" spans="1:21">
      <c r="A842" s="81"/>
      <c r="B842" s="81"/>
      <c r="C842" s="81"/>
      <c r="D842" s="681"/>
      <c r="E842" s="681"/>
      <c r="F842" s="81"/>
      <c r="G842" s="681"/>
      <c r="H842" s="683"/>
      <c r="I842" s="81"/>
      <c r="J842" s="81"/>
      <c r="K842" s="81"/>
      <c r="L842" s="81"/>
      <c r="M842" s="81"/>
      <c r="N842" s="681"/>
      <c r="O842" s="81"/>
      <c r="P842" s="81"/>
      <c r="Q842" s="81"/>
      <c r="R842" s="81"/>
      <c r="S842" s="81"/>
      <c r="T842" s="81"/>
      <c r="U842" s="81"/>
    </row>
    <row r="843" ht="14.25" customHeight="1" spans="1:21">
      <c r="A843" s="81"/>
      <c r="B843" s="81"/>
      <c r="C843" s="81"/>
      <c r="D843" s="681"/>
      <c r="E843" s="681"/>
      <c r="F843" s="81"/>
      <c r="G843" s="681"/>
      <c r="H843" s="683"/>
      <c r="I843" s="81"/>
      <c r="J843" s="81"/>
      <c r="K843" s="81"/>
      <c r="L843" s="81"/>
      <c r="M843" s="81"/>
      <c r="N843" s="681"/>
      <c r="O843" s="81"/>
      <c r="P843" s="81"/>
      <c r="Q843" s="81"/>
      <c r="R843" s="81"/>
      <c r="S843" s="81"/>
      <c r="T843" s="81"/>
      <c r="U843" s="81"/>
    </row>
    <row r="844" ht="14.25" customHeight="1" spans="1:21">
      <c r="A844" s="81"/>
      <c r="B844" s="81"/>
      <c r="C844" s="81"/>
      <c r="D844" s="681"/>
      <c r="E844" s="681"/>
      <c r="F844" s="81"/>
      <c r="G844" s="681"/>
      <c r="H844" s="683"/>
      <c r="I844" s="81"/>
      <c r="J844" s="81"/>
      <c r="K844" s="81"/>
      <c r="L844" s="81"/>
      <c r="M844" s="81"/>
      <c r="N844" s="681"/>
      <c r="O844" s="81"/>
      <c r="P844" s="81"/>
      <c r="Q844" s="81"/>
      <c r="R844" s="81"/>
      <c r="S844" s="81"/>
      <c r="T844" s="81"/>
      <c r="U844" s="81"/>
    </row>
    <row r="845" ht="14.25" customHeight="1" spans="1:21">
      <c r="A845" s="81"/>
      <c r="B845" s="81"/>
      <c r="C845" s="81"/>
      <c r="D845" s="681"/>
      <c r="E845" s="681"/>
      <c r="F845" s="81"/>
      <c r="G845" s="681"/>
      <c r="H845" s="683"/>
      <c r="I845" s="81"/>
      <c r="J845" s="81"/>
      <c r="K845" s="81"/>
      <c r="L845" s="81"/>
      <c r="M845" s="81"/>
      <c r="N845" s="681"/>
      <c r="O845" s="81"/>
      <c r="P845" s="81"/>
      <c r="Q845" s="81"/>
      <c r="R845" s="81"/>
      <c r="S845" s="81"/>
      <c r="T845" s="81"/>
      <c r="U845" s="81"/>
    </row>
    <row r="846" ht="14.25" customHeight="1" spans="1:21">
      <c r="A846" s="81"/>
      <c r="B846" s="81"/>
      <c r="C846" s="81"/>
      <c r="D846" s="681"/>
      <c r="E846" s="681"/>
      <c r="F846" s="81"/>
      <c r="G846" s="681"/>
      <c r="H846" s="683"/>
      <c r="I846" s="81"/>
      <c r="J846" s="81"/>
      <c r="K846" s="81"/>
      <c r="L846" s="81"/>
      <c r="M846" s="81"/>
      <c r="N846" s="681"/>
      <c r="O846" s="81"/>
      <c r="P846" s="81"/>
      <c r="Q846" s="81"/>
      <c r="R846" s="81"/>
      <c r="S846" s="81"/>
      <c r="T846" s="81"/>
      <c r="U846" s="81"/>
    </row>
    <row r="847" ht="14.25" customHeight="1" spans="1:21">
      <c r="A847" s="81"/>
      <c r="B847" s="81"/>
      <c r="C847" s="81"/>
      <c r="D847" s="681"/>
      <c r="E847" s="681"/>
      <c r="F847" s="81"/>
      <c r="G847" s="681"/>
      <c r="H847" s="683"/>
      <c r="I847" s="81"/>
      <c r="J847" s="81"/>
      <c r="K847" s="81"/>
      <c r="L847" s="81"/>
      <c r="M847" s="81"/>
      <c r="N847" s="681"/>
      <c r="O847" s="81"/>
      <c r="P847" s="81"/>
      <c r="Q847" s="81"/>
      <c r="R847" s="81"/>
      <c r="S847" s="81"/>
      <c r="T847" s="81"/>
      <c r="U847" s="81"/>
    </row>
    <row r="848" ht="14.25" customHeight="1" spans="1:21">
      <c r="A848" s="81"/>
      <c r="B848" s="81"/>
      <c r="C848" s="81"/>
      <c r="D848" s="681"/>
      <c r="E848" s="681"/>
      <c r="F848" s="81"/>
      <c r="G848" s="681"/>
      <c r="H848" s="683"/>
      <c r="I848" s="81"/>
      <c r="J848" s="81"/>
      <c r="K848" s="81"/>
      <c r="L848" s="81"/>
      <c r="M848" s="81"/>
      <c r="N848" s="681"/>
      <c r="O848" s="81"/>
      <c r="P848" s="81"/>
      <c r="Q848" s="81"/>
      <c r="R848" s="81"/>
      <c r="S848" s="81"/>
      <c r="T848" s="81"/>
      <c r="U848" s="81"/>
    </row>
    <row r="849" ht="14.25" customHeight="1" spans="1:21">
      <c r="A849" s="81"/>
      <c r="B849" s="81"/>
      <c r="C849" s="81"/>
      <c r="D849" s="681"/>
      <c r="E849" s="681"/>
      <c r="F849" s="81"/>
      <c r="G849" s="681"/>
      <c r="H849" s="683"/>
      <c r="I849" s="81"/>
      <c r="J849" s="81"/>
      <c r="K849" s="81"/>
      <c r="L849" s="81"/>
      <c r="M849" s="81"/>
      <c r="N849" s="681"/>
      <c r="O849" s="81"/>
      <c r="P849" s="81"/>
      <c r="Q849" s="81"/>
      <c r="R849" s="81"/>
      <c r="S849" s="81"/>
      <c r="T849" s="81"/>
      <c r="U849" s="81"/>
    </row>
    <row r="850" ht="14.25" customHeight="1" spans="1:21">
      <c r="A850" s="81"/>
      <c r="B850" s="81"/>
      <c r="C850" s="81"/>
      <c r="D850" s="681"/>
      <c r="E850" s="681"/>
      <c r="F850" s="81"/>
      <c r="G850" s="681"/>
      <c r="H850" s="683"/>
      <c r="I850" s="81"/>
      <c r="J850" s="81"/>
      <c r="K850" s="81"/>
      <c r="L850" s="81"/>
      <c r="M850" s="81"/>
      <c r="N850" s="681"/>
      <c r="O850" s="81"/>
      <c r="P850" s="81"/>
      <c r="Q850" s="81"/>
      <c r="R850" s="81"/>
      <c r="S850" s="81"/>
      <c r="T850" s="81"/>
      <c r="U850" s="81"/>
    </row>
    <row r="851" ht="14.25" customHeight="1" spans="1:21">
      <c r="A851" s="81"/>
      <c r="B851" s="81"/>
      <c r="C851" s="81"/>
      <c r="D851" s="681"/>
      <c r="E851" s="681"/>
      <c r="F851" s="81"/>
      <c r="G851" s="681"/>
      <c r="H851" s="683"/>
      <c r="I851" s="81"/>
      <c r="J851" s="81"/>
      <c r="K851" s="81"/>
      <c r="L851" s="81"/>
      <c r="M851" s="81"/>
      <c r="N851" s="681"/>
      <c r="O851" s="81"/>
      <c r="P851" s="81"/>
      <c r="Q851" s="81"/>
      <c r="R851" s="81"/>
      <c r="S851" s="81"/>
      <c r="T851" s="81"/>
      <c r="U851" s="81"/>
    </row>
    <row r="852" ht="14.25" customHeight="1" spans="1:21">
      <c r="A852" s="81"/>
      <c r="B852" s="81"/>
      <c r="C852" s="81"/>
      <c r="D852" s="681"/>
      <c r="E852" s="681"/>
      <c r="F852" s="81"/>
      <c r="G852" s="681"/>
      <c r="H852" s="683"/>
      <c r="I852" s="81"/>
      <c r="J852" s="81"/>
      <c r="K852" s="81"/>
      <c r="L852" s="81"/>
      <c r="M852" s="81"/>
      <c r="N852" s="681"/>
      <c r="O852" s="81"/>
      <c r="P852" s="81"/>
      <c r="Q852" s="81"/>
      <c r="R852" s="81"/>
      <c r="S852" s="81"/>
      <c r="T852" s="81"/>
      <c r="U852" s="81"/>
    </row>
    <row r="853" ht="14.25" customHeight="1" spans="1:21">
      <c r="A853" s="81"/>
      <c r="B853" s="81"/>
      <c r="C853" s="81"/>
      <c r="D853" s="681"/>
      <c r="E853" s="681"/>
      <c r="F853" s="81"/>
      <c r="G853" s="681"/>
      <c r="H853" s="683"/>
      <c r="I853" s="81"/>
      <c r="J853" s="81"/>
      <c r="K853" s="81"/>
      <c r="L853" s="81"/>
      <c r="M853" s="81"/>
      <c r="N853" s="681"/>
      <c r="O853" s="81"/>
      <c r="P853" s="81"/>
      <c r="Q853" s="81"/>
      <c r="R853" s="81"/>
      <c r="S853" s="81"/>
      <c r="T853" s="81"/>
      <c r="U853" s="81"/>
    </row>
    <row r="854" ht="14.25" customHeight="1" spans="1:21">
      <c r="A854" s="81"/>
      <c r="B854" s="81"/>
      <c r="C854" s="81"/>
      <c r="D854" s="681"/>
      <c r="E854" s="681"/>
      <c r="F854" s="81"/>
      <c r="G854" s="681"/>
      <c r="H854" s="683"/>
      <c r="I854" s="81"/>
      <c r="J854" s="81"/>
      <c r="K854" s="81"/>
      <c r="L854" s="81"/>
      <c r="M854" s="81"/>
      <c r="N854" s="681"/>
      <c r="O854" s="81"/>
      <c r="P854" s="81"/>
      <c r="Q854" s="81"/>
      <c r="R854" s="81"/>
      <c r="S854" s="81"/>
      <c r="T854" s="81"/>
      <c r="U854" s="81"/>
    </row>
    <row r="855" ht="14.25" customHeight="1" spans="1:21">
      <c r="A855" s="81"/>
      <c r="B855" s="81"/>
      <c r="C855" s="81"/>
      <c r="D855" s="681"/>
      <c r="E855" s="681"/>
      <c r="F855" s="81"/>
      <c r="G855" s="681"/>
      <c r="H855" s="683"/>
      <c r="I855" s="81"/>
      <c r="J855" s="81"/>
      <c r="K855" s="81"/>
      <c r="L855" s="81"/>
      <c r="M855" s="81"/>
      <c r="N855" s="681"/>
      <c r="O855" s="81"/>
      <c r="P855" s="81"/>
      <c r="Q855" s="81"/>
      <c r="R855" s="81"/>
      <c r="S855" s="81"/>
      <c r="T855" s="81"/>
      <c r="U855" s="81"/>
    </row>
    <row r="856" ht="14.25" customHeight="1" spans="1:21">
      <c r="A856" s="81"/>
      <c r="B856" s="81"/>
      <c r="C856" s="81"/>
      <c r="D856" s="681"/>
      <c r="E856" s="681"/>
      <c r="F856" s="81"/>
      <c r="G856" s="681"/>
      <c r="H856" s="683"/>
      <c r="I856" s="81"/>
      <c r="J856" s="81"/>
      <c r="K856" s="81"/>
      <c r="L856" s="81"/>
      <c r="M856" s="81"/>
      <c r="N856" s="681"/>
      <c r="O856" s="81"/>
      <c r="P856" s="81"/>
      <c r="Q856" s="81"/>
      <c r="R856" s="81"/>
      <c r="S856" s="81"/>
      <c r="T856" s="81"/>
      <c r="U856" s="81"/>
    </row>
    <row r="857" ht="14.25" customHeight="1" spans="1:21">
      <c r="A857" s="81"/>
      <c r="B857" s="81"/>
      <c r="C857" s="81"/>
      <c r="D857" s="681"/>
      <c r="E857" s="681"/>
      <c r="F857" s="81"/>
      <c r="G857" s="681"/>
      <c r="H857" s="683"/>
      <c r="I857" s="81"/>
      <c r="J857" s="81"/>
      <c r="K857" s="81"/>
      <c r="L857" s="81"/>
      <c r="M857" s="81"/>
      <c r="N857" s="681"/>
      <c r="O857" s="81"/>
      <c r="P857" s="81"/>
      <c r="Q857" s="81"/>
      <c r="R857" s="81"/>
      <c r="S857" s="81"/>
      <c r="T857" s="81"/>
      <c r="U857" s="81"/>
    </row>
    <row r="858" ht="14.25" customHeight="1" spans="1:21">
      <c r="A858" s="81"/>
      <c r="B858" s="81"/>
      <c r="C858" s="81"/>
      <c r="D858" s="681"/>
      <c r="E858" s="681"/>
      <c r="F858" s="81"/>
      <c r="G858" s="681"/>
      <c r="H858" s="683"/>
      <c r="I858" s="81"/>
      <c r="J858" s="81"/>
      <c r="K858" s="81"/>
      <c r="L858" s="81"/>
      <c r="M858" s="81"/>
      <c r="N858" s="681"/>
      <c r="O858" s="81"/>
      <c r="P858" s="81"/>
      <c r="Q858" s="81"/>
      <c r="R858" s="81"/>
      <c r="S858" s="81"/>
      <c r="T858" s="81"/>
      <c r="U858" s="81"/>
    </row>
    <row r="859" ht="14.25" customHeight="1" spans="1:21">
      <c r="A859" s="81"/>
      <c r="B859" s="81"/>
      <c r="C859" s="81"/>
      <c r="D859" s="681"/>
      <c r="E859" s="681"/>
      <c r="F859" s="81"/>
      <c r="G859" s="681"/>
      <c r="H859" s="683"/>
      <c r="I859" s="81"/>
      <c r="J859" s="81"/>
      <c r="K859" s="81"/>
      <c r="L859" s="81"/>
      <c r="M859" s="81"/>
      <c r="N859" s="681"/>
      <c r="O859" s="81"/>
      <c r="P859" s="81"/>
      <c r="Q859" s="81"/>
      <c r="R859" s="81"/>
      <c r="S859" s="81"/>
      <c r="T859" s="81"/>
      <c r="U859" s="81"/>
    </row>
    <row r="860" ht="14.25" customHeight="1" spans="1:21">
      <c r="A860" s="81"/>
      <c r="B860" s="81"/>
      <c r="C860" s="81"/>
      <c r="D860" s="681"/>
      <c r="E860" s="681"/>
      <c r="F860" s="81"/>
      <c r="G860" s="681"/>
      <c r="H860" s="683"/>
      <c r="I860" s="81"/>
      <c r="J860" s="81"/>
      <c r="K860" s="81"/>
      <c r="L860" s="81"/>
      <c r="M860" s="81"/>
      <c r="N860" s="681"/>
      <c r="O860" s="81"/>
      <c r="P860" s="81"/>
      <c r="Q860" s="81"/>
      <c r="R860" s="81"/>
      <c r="S860" s="81"/>
      <c r="T860" s="81"/>
      <c r="U860" s="81"/>
    </row>
    <row r="861" ht="14.25" customHeight="1" spans="1:21">
      <c r="A861" s="81"/>
      <c r="B861" s="81"/>
      <c r="C861" s="81"/>
      <c r="D861" s="681"/>
      <c r="E861" s="681"/>
      <c r="F861" s="81"/>
      <c r="G861" s="681"/>
      <c r="H861" s="683"/>
      <c r="I861" s="81"/>
      <c r="J861" s="81"/>
      <c r="K861" s="81"/>
      <c r="L861" s="81"/>
      <c r="M861" s="81"/>
      <c r="N861" s="681"/>
      <c r="O861" s="81"/>
      <c r="P861" s="81"/>
      <c r="Q861" s="81"/>
      <c r="R861" s="81"/>
      <c r="S861" s="81"/>
      <c r="T861" s="81"/>
      <c r="U861" s="81"/>
    </row>
    <row r="862" ht="14.25" customHeight="1" spans="1:21">
      <c r="A862" s="81"/>
      <c r="B862" s="81"/>
      <c r="C862" s="81"/>
      <c r="D862" s="681"/>
      <c r="E862" s="681"/>
      <c r="F862" s="81"/>
      <c r="G862" s="681"/>
      <c r="H862" s="683"/>
      <c r="I862" s="81"/>
      <c r="J862" s="81"/>
      <c r="K862" s="81"/>
      <c r="L862" s="81"/>
      <c r="M862" s="81"/>
      <c r="N862" s="681"/>
      <c r="O862" s="81"/>
      <c r="P862" s="81"/>
      <c r="Q862" s="81"/>
      <c r="R862" s="81"/>
      <c r="S862" s="81"/>
      <c r="T862" s="81"/>
      <c r="U862" s="81"/>
    </row>
    <row r="863" ht="14.25" customHeight="1" spans="1:21">
      <c r="A863" s="81"/>
      <c r="B863" s="81"/>
      <c r="C863" s="81"/>
      <c r="D863" s="681"/>
      <c r="E863" s="681"/>
      <c r="F863" s="81"/>
      <c r="G863" s="681"/>
      <c r="H863" s="683"/>
      <c r="I863" s="81"/>
      <c r="J863" s="81"/>
      <c r="K863" s="81"/>
      <c r="L863" s="81"/>
      <c r="M863" s="81"/>
      <c r="N863" s="681"/>
      <c r="O863" s="81"/>
      <c r="P863" s="81"/>
      <c r="Q863" s="81"/>
      <c r="R863" s="81"/>
      <c r="S863" s="81"/>
      <c r="T863" s="81"/>
      <c r="U863" s="81"/>
    </row>
    <row r="864" ht="14.25" customHeight="1" spans="1:21">
      <c r="A864" s="81"/>
      <c r="B864" s="81"/>
      <c r="C864" s="81"/>
      <c r="D864" s="681"/>
      <c r="E864" s="681"/>
      <c r="F864" s="81"/>
      <c r="G864" s="681"/>
      <c r="H864" s="683"/>
      <c r="I864" s="81"/>
      <c r="J864" s="81"/>
      <c r="K864" s="81"/>
      <c r="L864" s="81"/>
      <c r="M864" s="81"/>
      <c r="N864" s="681"/>
      <c r="O864" s="81"/>
      <c r="P864" s="81"/>
      <c r="Q864" s="81"/>
      <c r="R864" s="81"/>
      <c r="S864" s="81"/>
      <c r="T864" s="81"/>
      <c r="U864" s="81"/>
    </row>
    <row r="865" ht="14.25" customHeight="1" spans="1:21">
      <c r="A865" s="81"/>
      <c r="B865" s="81"/>
      <c r="C865" s="81"/>
      <c r="D865" s="681"/>
      <c r="E865" s="681"/>
      <c r="F865" s="81"/>
      <c r="G865" s="681"/>
      <c r="H865" s="683"/>
      <c r="I865" s="81"/>
      <c r="J865" s="81"/>
      <c r="K865" s="81"/>
      <c r="L865" s="81"/>
      <c r="M865" s="81"/>
      <c r="N865" s="681"/>
      <c r="O865" s="81"/>
      <c r="P865" s="81"/>
      <c r="Q865" s="81"/>
      <c r="R865" s="81"/>
      <c r="S865" s="81"/>
      <c r="T865" s="81"/>
      <c r="U865" s="81"/>
    </row>
    <row r="866" ht="14.25" customHeight="1" spans="1:21">
      <c r="A866" s="81"/>
      <c r="B866" s="81"/>
      <c r="C866" s="81"/>
      <c r="D866" s="681"/>
      <c r="E866" s="681"/>
      <c r="F866" s="81"/>
      <c r="G866" s="681"/>
      <c r="H866" s="683"/>
      <c r="I866" s="81"/>
      <c r="J866" s="81"/>
      <c r="K866" s="81"/>
      <c r="L866" s="81"/>
      <c r="M866" s="81"/>
      <c r="N866" s="681"/>
      <c r="O866" s="81"/>
      <c r="P866" s="81"/>
      <c r="Q866" s="81"/>
      <c r="R866" s="81"/>
      <c r="S866" s="81"/>
      <c r="T866" s="81"/>
      <c r="U866" s="81"/>
    </row>
    <row r="867" ht="14.25" customHeight="1" spans="1:21">
      <c r="A867" s="81"/>
      <c r="B867" s="81"/>
      <c r="C867" s="81"/>
      <c r="D867" s="681"/>
      <c r="E867" s="681"/>
      <c r="F867" s="81"/>
      <c r="G867" s="681"/>
      <c r="H867" s="683"/>
      <c r="I867" s="81"/>
      <c r="J867" s="81"/>
      <c r="K867" s="81"/>
      <c r="L867" s="81"/>
      <c r="M867" s="81"/>
      <c r="N867" s="681"/>
      <c r="O867" s="81"/>
      <c r="P867" s="81"/>
      <c r="Q867" s="81"/>
      <c r="R867" s="81"/>
      <c r="S867" s="81"/>
      <c r="T867" s="81"/>
      <c r="U867" s="81"/>
    </row>
    <row r="868" ht="14.25" customHeight="1" spans="1:21">
      <c r="A868" s="81"/>
      <c r="B868" s="81"/>
      <c r="C868" s="81"/>
      <c r="D868" s="681"/>
      <c r="E868" s="681"/>
      <c r="F868" s="81"/>
      <c r="G868" s="681"/>
      <c r="H868" s="683"/>
      <c r="I868" s="81"/>
      <c r="J868" s="81"/>
      <c r="K868" s="81"/>
      <c r="L868" s="81"/>
      <c r="M868" s="81"/>
      <c r="N868" s="681"/>
      <c r="O868" s="81"/>
      <c r="P868" s="81"/>
      <c r="Q868" s="81"/>
      <c r="R868" s="81"/>
      <c r="S868" s="81"/>
      <c r="T868" s="81"/>
      <c r="U868" s="81"/>
    </row>
    <row r="869" ht="14.25" customHeight="1" spans="1:21">
      <c r="A869" s="81"/>
      <c r="B869" s="81"/>
      <c r="C869" s="81"/>
      <c r="D869" s="681"/>
      <c r="E869" s="681"/>
      <c r="F869" s="81"/>
      <c r="G869" s="681"/>
      <c r="H869" s="683"/>
      <c r="I869" s="81"/>
      <c r="J869" s="81"/>
      <c r="K869" s="81"/>
      <c r="L869" s="81"/>
      <c r="M869" s="81"/>
      <c r="N869" s="681"/>
      <c r="O869" s="81"/>
      <c r="P869" s="81"/>
      <c r="Q869" s="81"/>
      <c r="R869" s="81"/>
      <c r="S869" s="81"/>
      <c r="T869" s="81"/>
      <c r="U869" s="81"/>
    </row>
    <row r="870" ht="14.25" customHeight="1" spans="1:21">
      <c r="A870" s="81"/>
      <c r="B870" s="81"/>
      <c r="C870" s="81"/>
      <c r="D870" s="681"/>
      <c r="E870" s="681"/>
      <c r="F870" s="81"/>
      <c r="G870" s="681"/>
      <c r="H870" s="683"/>
      <c r="I870" s="81"/>
      <c r="J870" s="81"/>
      <c r="K870" s="81"/>
      <c r="L870" s="81"/>
      <c r="M870" s="81"/>
      <c r="N870" s="681"/>
      <c r="O870" s="81"/>
      <c r="P870" s="81"/>
      <c r="Q870" s="81"/>
      <c r="R870" s="81"/>
      <c r="S870" s="81"/>
      <c r="T870" s="81"/>
      <c r="U870" s="81"/>
    </row>
    <row r="871" ht="14.25" customHeight="1" spans="1:21">
      <c r="A871" s="81"/>
      <c r="B871" s="81"/>
      <c r="C871" s="81"/>
      <c r="D871" s="681"/>
      <c r="E871" s="681"/>
      <c r="F871" s="81"/>
      <c r="G871" s="681"/>
      <c r="H871" s="683"/>
      <c r="I871" s="81"/>
      <c r="J871" s="81"/>
      <c r="K871" s="81"/>
      <c r="L871" s="81"/>
      <c r="M871" s="81"/>
      <c r="N871" s="681"/>
      <c r="O871" s="81"/>
      <c r="P871" s="81"/>
      <c r="Q871" s="81"/>
      <c r="R871" s="81"/>
      <c r="S871" s="81"/>
      <c r="T871" s="81"/>
      <c r="U871" s="81"/>
    </row>
    <row r="872" ht="14.25" customHeight="1" spans="1:21">
      <c r="A872" s="81"/>
      <c r="B872" s="81"/>
      <c r="C872" s="81"/>
      <c r="D872" s="681"/>
      <c r="E872" s="681"/>
      <c r="F872" s="81"/>
      <c r="G872" s="681"/>
      <c r="H872" s="683"/>
      <c r="I872" s="81"/>
      <c r="J872" s="81"/>
      <c r="K872" s="81"/>
      <c r="L872" s="81"/>
      <c r="M872" s="81"/>
      <c r="N872" s="681"/>
      <c r="O872" s="81"/>
      <c r="P872" s="81"/>
      <c r="Q872" s="81"/>
      <c r="R872" s="81"/>
      <c r="S872" s="81"/>
      <c r="T872" s="81"/>
      <c r="U872" s="81"/>
    </row>
    <row r="873" ht="14.25" customHeight="1" spans="1:21">
      <c r="A873" s="81"/>
      <c r="B873" s="81"/>
      <c r="C873" s="81"/>
      <c r="D873" s="681"/>
      <c r="E873" s="681"/>
      <c r="F873" s="81"/>
      <c r="G873" s="681"/>
      <c r="H873" s="683"/>
      <c r="I873" s="81"/>
      <c r="J873" s="81"/>
      <c r="K873" s="81"/>
      <c r="L873" s="81"/>
      <c r="M873" s="81"/>
      <c r="N873" s="681"/>
      <c r="O873" s="81"/>
      <c r="P873" s="81"/>
      <c r="Q873" s="81"/>
      <c r="R873" s="81"/>
      <c r="S873" s="81"/>
      <c r="T873" s="81"/>
      <c r="U873" s="81"/>
    </row>
    <row r="874" ht="14.25" customHeight="1" spans="1:21">
      <c r="A874" s="81"/>
      <c r="B874" s="81"/>
      <c r="C874" s="81"/>
      <c r="D874" s="681"/>
      <c r="E874" s="681"/>
      <c r="F874" s="81"/>
      <c r="G874" s="681"/>
      <c r="H874" s="683"/>
      <c r="I874" s="81"/>
      <c r="J874" s="81"/>
      <c r="K874" s="81"/>
      <c r="L874" s="81"/>
      <c r="M874" s="81"/>
      <c r="N874" s="681"/>
      <c r="O874" s="81"/>
      <c r="P874" s="81"/>
      <c r="Q874" s="81"/>
      <c r="R874" s="81"/>
      <c r="S874" s="81"/>
      <c r="T874" s="81"/>
      <c r="U874" s="81"/>
    </row>
    <row r="875" ht="14.25" customHeight="1" spans="1:21">
      <c r="A875" s="81"/>
      <c r="B875" s="81"/>
      <c r="C875" s="81"/>
      <c r="D875" s="681"/>
      <c r="E875" s="681"/>
      <c r="F875" s="81"/>
      <c r="G875" s="681"/>
      <c r="H875" s="683"/>
      <c r="I875" s="81"/>
      <c r="J875" s="81"/>
      <c r="K875" s="81"/>
      <c r="L875" s="81"/>
      <c r="M875" s="81"/>
      <c r="N875" s="681"/>
      <c r="O875" s="81"/>
      <c r="P875" s="81"/>
      <c r="Q875" s="81"/>
      <c r="R875" s="81"/>
      <c r="S875" s="81"/>
      <c r="T875" s="81"/>
      <c r="U875" s="81"/>
    </row>
    <row r="876" ht="14.25" customHeight="1" spans="1:21">
      <c r="A876" s="81"/>
      <c r="B876" s="81"/>
      <c r="C876" s="81"/>
      <c r="D876" s="681"/>
      <c r="E876" s="681"/>
      <c r="F876" s="81"/>
      <c r="G876" s="681"/>
      <c r="H876" s="683"/>
      <c r="I876" s="81"/>
      <c r="J876" s="81"/>
      <c r="K876" s="81"/>
      <c r="L876" s="81"/>
      <c r="M876" s="81"/>
      <c r="N876" s="681"/>
      <c r="O876" s="81"/>
      <c r="P876" s="81"/>
      <c r="Q876" s="81"/>
      <c r="R876" s="81"/>
      <c r="S876" s="81"/>
      <c r="T876" s="81"/>
      <c r="U876" s="81"/>
    </row>
    <row r="877" ht="14.25" customHeight="1" spans="1:21">
      <c r="A877" s="81"/>
      <c r="B877" s="81"/>
      <c r="C877" s="81"/>
      <c r="D877" s="681"/>
      <c r="E877" s="681"/>
      <c r="F877" s="81"/>
      <c r="G877" s="681"/>
      <c r="H877" s="683"/>
      <c r="I877" s="81"/>
      <c r="J877" s="81"/>
      <c r="K877" s="81"/>
      <c r="L877" s="81"/>
      <c r="M877" s="81"/>
      <c r="N877" s="681"/>
      <c r="O877" s="81"/>
      <c r="P877" s="81"/>
      <c r="Q877" s="81"/>
      <c r="R877" s="81"/>
      <c r="S877" s="81"/>
      <c r="T877" s="81"/>
      <c r="U877" s="81"/>
    </row>
    <row r="878" ht="14.25" customHeight="1" spans="1:21">
      <c r="A878" s="81"/>
      <c r="B878" s="81"/>
      <c r="C878" s="81"/>
      <c r="D878" s="681"/>
      <c r="E878" s="681"/>
      <c r="F878" s="81"/>
      <c r="G878" s="681"/>
      <c r="H878" s="683"/>
      <c r="I878" s="81"/>
      <c r="J878" s="81"/>
      <c r="K878" s="81"/>
      <c r="L878" s="81"/>
      <c r="M878" s="81"/>
      <c r="N878" s="681"/>
      <c r="O878" s="81"/>
      <c r="P878" s="81"/>
      <c r="Q878" s="81"/>
      <c r="R878" s="81"/>
      <c r="S878" s="81"/>
      <c r="T878" s="81"/>
      <c r="U878" s="81"/>
    </row>
    <row r="879" ht="14.25" customHeight="1" spans="1:21">
      <c r="A879" s="81"/>
      <c r="B879" s="81"/>
      <c r="C879" s="81"/>
      <c r="D879" s="681"/>
      <c r="E879" s="681"/>
      <c r="F879" s="81"/>
      <c r="G879" s="681"/>
      <c r="H879" s="683"/>
      <c r="I879" s="81"/>
      <c r="J879" s="81"/>
      <c r="K879" s="81"/>
      <c r="L879" s="81"/>
      <c r="M879" s="81"/>
      <c r="N879" s="681"/>
      <c r="O879" s="81"/>
      <c r="P879" s="81"/>
      <c r="Q879" s="81"/>
      <c r="R879" s="81"/>
      <c r="S879" s="81"/>
      <c r="T879" s="81"/>
      <c r="U879" s="81"/>
    </row>
    <row r="880" ht="14.25" customHeight="1" spans="1:21">
      <c r="A880" s="81"/>
      <c r="B880" s="81"/>
      <c r="C880" s="81"/>
      <c r="D880" s="681"/>
      <c r="E880" s="681"/>
      <c r="F880" s="81"/>
      <c r="G880" s="681"/>
      <c r="H880" s="683"/>
      <c r="I880" s="81"/>
      <c r="J880" s="81"/>
      <c r="K880" s="81"/>
      <c r="L880" s="81"/>
      <c r="M880" s="81"/>
      <c r="N880" s="681"/>
      <c r="O880" s="81"/>
      <c r="P880" s="81"/>
      <c r="Q880" s="81"/>
      <c r="R880" s="81"/>
      <c r="S880" s="81"/>
      <c r="T880" s="81"/>
      <c r="U880" s="81"/>
    </row>
    <row r="881" ht="14.25" customHeight="1" spans="1:21">
      <c r="A881" s="81"/>
      <c r="B881" s="81"/>
      <c r="C881" s="81"/>
      <c r="D881" s="681"/>
      <c r="E881" s="681"/>
      <c r="F881" s="81"/>
      <c r="G881" s="681"/>
      <c r="H881" s="683"/>
      <c r="I881" s="81"/>
      <c r="J881" s="81"/>
      <c r="K881" s="81"/>
      <c r="L881" s="81"/>
      <c r="M881" s="81"/>
      <c r="N881" s="681"/>
      <c r="O881" s="81"/>
      <c r="P881" s="81"/>
      <c r="Q881" s="81"/>
      <c r="R881" s="81"/>
      <c r="S881" s="81"/>
      <c r="T881" s="81"/>
      <c r="U881" s="81"/>
    </row>
    <row r="882" ht="14.25" customHeight="1" spans="1:21">
      <c r="A882" s="81"/>
      <c r="B882" s="81"/>
      <c r="C882" s="81"/>
      <c r="D882" s="681"/>
      <c r="E882" s="681"/>
      <c r="F882" s="81"/>
      <c r="G882" s="681"/>
      <c r="H882" s="683"/>
      <c r="I882" s="81"/>
      <c r="J882" s="81"/>
      <c r="K882" s="81"/>
      <c r="L882" s="81"/>
      <c r="M882" s="81"/>
      <c r="N882" s="681"/>
      <c r="O882" s="81"/>
      <c r="P882" s="81"/>
      <c r="Q882" s="81"/>
      <c r="R882" s="81"/>
      <c r="S882" s="81"/>
      <c r="T882" s="81"/>
      <c r="U882" s="81"/>
    </row>
    <row r="883" ht="14.25" customHeight="1" spans="1:21">
      <c r="A883" s="81"/>
      <c r="B883" s="81"/>
      <c r="C883" s="81"/>
      <c r="D883" s="681"/>
      <c r="E883" s="681"/>
      <c r="F883" s="81"/>
      <c r="G883" s="681"/>
      <c r="H883" s="683"/>
      <c r="I883" s="81"/>
      <c r="J883" s="81"/>
      <c r="K883" s="81"/>
      <c r="L883" s="81"/>
      <c r="M883" s="81"/>
      <c r="N883" s="681"/>
      <c r="O883" s="81"/>
      <c r="P883" s="81"/>
      <c r="Q883" s="81"/>
      <c r="R883" s="81"/>
      <c r="S883" s="81"/>
      <c r="T883" s="81"/>
      <c r="U883" s="81"/>
    </row>
    <row r="884" ht="14.25" customHeight="1" spans="1:21">
      <c r="A884" s="81"/>
      <c r="B884" s="81"/>
      <c r="C884" s="81"/>
      <c r="D884" s="681"/>
      <c r="E884" s="681"/>
      <c r="F884" s="81"/>
      <c r="G884" s="681"/>
      <c r="H884" s="683"/>
      <c r="I884" s="81"/>
      <c r="J884" s="81"/>
      <c r="K884" s="81"/>
      <c r="L884" s="81"/>
      <c r="M884" s="81"/>
      <c r="N884" s="681"/>
      <c r="O884" s="81"/>
      <c r="P884" s="81"/>
      <c r="Q884" s="81"/>
      <c r="R884" s="81"/>
      <c r="S884" s="81"/>
      <c r="T884" s="81"/>
      <c r="U884" s="81"/>
    </row>
    <row r="885" ht="14.25" customHeight="1" spans="1:21">
      <c r="A885" s="81"/>
      <c r="B885" s="81"/>
      <c r="C885" s="81"/>
      <c r="D885" s="681"/>
      <c r="E885" s="681"/>
      <c r="F885" s="81"/>
      <c r="G885" s="681"/>
      <c r="H885" s="683"/>
      <c r="I885" s="81"/>
      <c r="J885" s="81"/>
      <c r="K885" s="81"/>
      <c r="L885" s="81"/>
      <c r="M885" s="81"/>
      <c r="N885" s="681"/>
      <c r="O885" s="81"/>
      <c r="P885" s="81"/>
      <c r="Q885" s="81"/>
      <c r="R885" s="81"/>
      <c r="S885" s="81"/>
      <c r="T885" s="81"/>
      <c r="U885" s="81"/>
    </row>
    <row r="886" ht="14.25" customHeight="1" spans="1:21">
      <c r="A886" s="81"/>
      <c r="B886" s="81"/>
      <c r="C886" s="81"/>
      <c r="D886" s="681"/>
      <c r="E886" s="681"/>
      <c r="F886" s="81"/>
      <c r="G886" s="681"/>
      <c r="H886" s="683"/>
      <c r="I886" s="81"/>
      <c r="J886" s="81"/>
      <c r="K886" s="81"/>
      <c r="L886" s="81"/>
      <c r="M886" s="81"/>
      <c r="N886" s="681"/>
      <c r="O886" s="81"/>
      <c r="P886" s="81"/>
      <c r="Q886" s="81"/>
      <c r="R886" s="81"/>
      <c r="S886" s="81"/>
      <c r="T886" s="81"/>
      <c r="U886" s="81"/>
    </row>
    <row r="887" ht="14.25" customHeight="1" spans="1:21">
      <c r="A887" s="81"/>
      <c r="B887" s="81"/>
      <c r="C887" s="81"/>
      <c r="D887" s="681"/>
      <c r="E887" s="681"/>
      <c r="F887" s="81"/>
      <c r="G887" s="681"/>
      <c r="H887" s="683"/>
      <c r="I887" s="81"/>
      <c r="J887" s="81"/>
      <c r="K887" s="81"/>
      <c r="L887" s="81"/>
      <c r="M887" s="81"/>
      <c r="N887" s="681"/>
      <c r="O887" s="81"/>
      <c r="P887" s="81"/>
      <c r="Q887" s="81"/>
      <c r="R887" s="81"/>
      <c r="S887" s="81"/>
      <c r="T887" s="81"/>
      <c r="U887" s="81"/>
    </row>
    <row r="888" ht="14.25" customHeight="1" spans="1:21">
      <c r="A888" s="81"/>
      <c r="B888" s="81"/>
      <c r="C888" s="81"/>
      <c r="D888" s="681"/>
      <c r="E888" s="681"/>
      <c r="F888" s="81"/>
      <c r="G888" s="681"/>
      <c r="H888" s="683"/>
      <c r="I888" s="81"/>
      <c r="J888" s="81"/>
      <c r="K888" s="81"/>
      <c r="L888" s="81"/>
      <c r="M888" s="81"/>
      <c r="N888" s="681"/>
      <c r="O888" s="81"/>
      <c r="P888" s="81"/>
      <c r="Q888" s="81"/>
      <c r="R888" s="81"/>
      <c r="S888" s="81"/>
      <c r="T888" s="81"/>
      <c r="U888" s="81"/>
    </row>
    <row r="889" ht="14.25" customHeight="1" spans="1:21">
      <c r="A889" s="81"/>
      <c r="B889" s="81"/>
      <c r="C889" s="81"/>
      <c r="D889" s="681"/>
      <c r="E889" s="681"/>
      <c r="F889" s="81"/>
      <c r="G889" s="681"/>
      <c r="H889" s="683"/>
      <c r="I889" s="81"/>
      <c r="J889" s="81"/>
      <c r="K889" s="81"/>
      <c r="L889" s="81"/>
      <c r="M889" s="81"/>
      <c r="N889" s="681"/>
      <c r="O889" s="81"/>
      <c r="P889" s="81"/>
      <c r="Q889" s="81"/>
      <c r="R889" s="81"/>
      <c r="S889" s="81"/>
      <c r="T889" s="81"/>
      <c r="U889" s="81"/>
    </row>
    <row r="890" ht="14.25" customHeight="1" spans="1:21">
      <c r="A890" s="81"/>
      <c r="B890" s="81"/>
      <c r="C890" s="81"/>
      <c r="D890" s="681"/>
      <c r="E890" s="681"/>
      <c r="F890" s="81"/>
      <c r="G890" s="681"/>
      <c r="H890" s="683"/>
      <c r="I890" s="81"/>
      <c r="J890" s="81"/>
      <c r="K890" s="81"/>
      <c r="L890" s="81"/>
      <c r="M890" s="81"/>
      <c r="N890" s="681"/>
      <c r="O890" s="81"/>
      <c r="P890" s="81"/>
      <c r="Q890" s="81"/>
      <c r="R890" s="81"/>
      <c r="S890" s="81"/>
      <c r="T890" s="81"/>
      <c r="U890" s="81"/>
    </row>
    <row r="891" ht="14.25" customHeight="1" spans="1:21">
      <c r="A891" s="81"/>
      <c r="B891" s="81"/>
      <c r="C891" s="81"/>
      <c r="D891" s="681"/>
      <c r="E891" s="681"/>
      <c r="F891" s="81"/>
      <c r="G891" s="681"/>
      <c r="H891" s="683"/>
      <c r="I891" s="81"/>
      <c r="J891" s="81"/>
      <c r="K891" s="81"/>
      <c r="L891" s="81"/>
      <c r="M891" s="81"/>
      <c r="N891" s="681"/>
      <c r="O891" s="81"/>
      <c r="P891" s="81"/>
      <c r="Q891" s="81"/>
      <c r="R891" s="81"/>
      <c r="S891" s="81"/>
      <c r="T891" s="81"/>
      <c r="U891" s="81"/>
    </row>
    <row r="892" ht="14.25" customHeight="1" spans="1:21">
      <c r="A892" s="81"/>
      <c r="B892" s="81"/>
      <c r="C892" s="81"/>
      <c r="D892" s="681"/>
      <c r="E892" s="681"/>
      <c r="F892" s="81"/>
      <c r="G892" s="681"/>
      <c r="H892" s="683"/>
      <c r="I892" s="81"/>
      <c r="J892" s="81"/>
      <c r="K892" s="81"/>
      <c r="L892" s="81"/>
      <c r="M892" s="81"/>
      <c r="N892" s="681"/>
      <c r="O892" s="81"/>
      <c r="P892" s="81"/>
      <c r="Q892" s="81"/>
      <c r="R892" s="81"/>
      <c r="S892" s="81"/>
      <c r="T892" s="81"/>
      <c r="U892" s="81"/>
    </row>
    <row r="893" ht="14.25" customHeight="1" spans="1:21">
      <c r="A893" s="81"/>
      <c r="B893" s="81"/>
      <c r="C893" s="81"/>
      <c r="D893" s="681"/>
      <c r="E893" s="681"/>
      <c r="F893" s="81"/>
      <c r="G893" s="681"/>
      <c r="H893" s="683"/>
      <c r="I893" s="81"/>
      <c r="J893" s="81"/>
      <c r="K893" s="81"/>
      <c r="L893" s="81"/>
      <c r="M893" s="81"/>
      <c r="N893" s="681"/>
      <c r="O893" s="81"/>
      <c r="P893" s="81"/>
      <c r="Q893" s="81"/>
      <c r="R893" s="81"/>
      <c r="S893" s="81"/>
      <c r="T893" s="81"/>
      <c r="U893" s="81"/>
    </row>
    <row r="894" ht="14.25" customHeight="1" spans="1:21">
      <c r="A894" s="81"/>
      <c r="B894" s="81"/>
      <c r="C894" s="81"/>
      <c r="D894" s="681"/>
      <c r="E894" s="681"/>
      <c r="F894" s="81"/>
      <c r="G894" s="681"/>
      <c r="H894" s="683"/>
      <c r="I894" s="81"/>
      <c r="J894" s="81"/>
      <c r="K894" s="81"/>
      <c r="L894" s="81"/>
      <c r="M894" s="81"/>
      <c r="N894" s="681"/>
      <c r="O894" s="81"/>
      <c r="P894" s="81"/>
      <c r="Q894" s="81"/>
      <c r="R894" s="81"/>
      <c r="S894" s="81"/>
      <c r="T894" s="81"/>
      <c r="U894" s="81"/>
    </row>
    <row r="895" ht="14.25" customHeight="1" spans="1:21">
      <c r="A895" s="81"/>
      <c r="B895" s="81"/>
      <c r="C895" s="81"/>
      <c r="D895" s="681"/>
      <c r="E895" s="681"/>
      <c r="F895" s="81"/>
      <c r="G895" s="681"/>
      <c r="H895" s="683"/>
      <c r="I895" s="81"/>
      <c r="J895" s="81"/>
      <c r="K895" s="81"/>
      <c r="L895" s="81"/>
      <c r="M895" s="81"/>
      <c r="N895" s="681"/>
      <c r="O895" s="81"/>
      <c r="P895" s="81"/>
      <c r="Q895" s="81"/>
      <c r="R895" s="81"/>
      <c r="S895" s="81"/>
      <c r="T895" s="81"/>
      <c r="U895" s="81"/>
    </row>
    <row r="896" ht="14.25" customHeight="1" spans="1:21">
      <c r="A896" s="81"/>
      <c r="B896" s="81"/>
      <c r="C896" s="81"/>
      <c r="D896" s="681"/>
      <c r="E896" s="681"/>
      <c r="F896" s="81"/>
      <c r="G896" s="681"/>
      <c r="H896" s="683"/>
      <c r="I896" s="81"/>
      <c r="J896" s="81"/>
      <c r="K896" s="81"/>
      <c r="L896" s="81"/>
      <c r="M896" s="81"/>
      <c r="N896" s="681"/>
      <c r="O896" s="81"/>
      <c r="P896" s="81"/>
      <c r="Q896" s="81"/>
      <c r="R896" s="81"/>
      <c r="S896" s="81"/>
      <c r="T896" s="81"/>
      <c r="U896" s="81"/>
    </row>
    <row r="897" ht="14.25" customHeight="1" spans="1:21">
      <c r="A897" s="81"/>
      <c r="B897" s="81"/>
      <c r="C897" s="81"/>
      <c r="D897" s="681"/>
      <c r="E897" s="681"/>
      <c r="F897" s="81"/>
      <c r="G897" s="681"/>
      <c r="H897" s="683"/>
      <c r="I897" s="81"/>
      <c r="J897" s="81"/>
      <c r="K897" s="81"/>
      <c r="L897" s="81"/>
      <c r="M897" s="81"/>
      <c r="N897" s="681"/>
      <c r="O897" s="81"/>
      <c r="P897" s="81"/>
      <c r="Q897" s="81"/>
      <c r="R897" s="81"/>
      <c r="S897" s="81"/>
      <c r="T897" s="81"/>
      <c r="U897" s="81"/>
    </row>
    <row r="898" ht="14.25" customHeight="1" spans="1:21">
      <c r="A898" s="81"/>
      <c r="B898" s="81"/>
      <c r="C898" s="81"/>
      <c r="D898" s="681"/>
      <c r="E898" s="681"/>
      <c r="F898" s="81"/>
      <c r="G898" s="681"/>
      <c r="H898" s="683"/>
      <c r="I898" s="81"/>
      <c r="J898" s="81"/>
      <c r="K898" s="81"/>
      <c r="L898" s="81"/>
      <c r="M898" s="81"/>
      <c r="N898" s="681"/>
      <c r="O898" s="81"/>
      <c r="P898" s="81"/>
      <c r="Q898" s="81"/>
      <c r="R898" s="81"/>
      <c r="S898" s="81"/>
      <c r="T898" s="81"/>
      <c r="U898" s="81"/>
    </row>
    <row r="899" ht="14.25" customHeight="1" spans="1:21">
      <c r="A899" s="81"/>
      <c r="B899" s="81"/>
      <c r="C899" s="81"/>
      <c r="D899" s="681"/>
      <c r="E899" s="681"/>
      <c r="F899" s="81"/>
      <c r="G899" s="681"/>
      <c r="H899" s="683"/>
      <c r="I899" s="81"/>
      <c r="J899" s="81"/>
      <c r="K899" s="81"/>
      <c r="L899" s="81"/>
      <c r="M899" s="81"/>
      <c r="N899" s="681"/>
      <c r="O899" s="81"/>
      <c r="P899" s="81"/>
      <c r="Q899" s="81"/>
      <c r="R899" s="81"/>
      <c r="S899" s="81"/>
      <c r="T899" s="81"/>
      <c r="U899" s="81"/>
    </row>
    <row r="900" ht="14.25" customHeight="1" spans="1:21">
      <c r="A900" s="81"/>
      <c r="B900" s="81"/>
      <c r="C900" s="81"/>
      <c r="D900" s="681"/>
      <c r="E900" s="681"/>
      <c r="F900" s="81"/>
      <c r="G900" s="681"/>
      <c r="H900" s="683"/>
      <c r="I900" s="81"/>
      <c r="J900" s="81"/>
      <c r="K900" s="81"/>
      <c r="L900" s="81"/>
      <c r="M900" s="81"/>
      <c r="N900" s="681"/>
      <c r="O900" s="81"/>
      <c r="P900" s="81"/>
      <c r="Q900" s="81"/>
      <c r="R900" s="81"/>
      <c r="S900" s="81"/>
      <c r="T900" s="81"/>
      <c r="U900" s="81"/>
    </row>
    <row r="901" ht="14.25" customHeight="1" spans="1:21">
      <c r="A901" s="81"/>
      <c r="B901" s="81"/>
      <c r="C901" s="81"/>
      <c r="D901" s="681"/>
      <c r="E901" s="681"/>
      <c r="F901" s="81"/>
      <c r="G901" s="681"/>
      <c r="H901" s="683"/>
      <c r="I901" s="81"/>
      <c r="J901" s="81"/>
      <c r="K901" s="81"/>
      <c r="L901" s="81"/>
      <c r="M901" s="81"/>
      <c r="N901" s="681"/>
      <c r="O901" s="81"/>
      <c r="P901" s="81"/>
      <c r="Q901" s="81"/>
      <c r="R901" s="81"/>
      <c r="S901" s="81"/>
      <c r="T901" s="81"/>
      <c r="U901" s="81"/>
    </row>
    <row r="902" ht="14.25" customHeight="1" spans="1:21">
      <c r="A902" s="81"/>
      <c r="B902" s="81"/>
      <c r="C902" s="81"/>
      <c r="D902" s="681"/>
      <c r="E902" s="681"/>
      <c r="F902" s="81"/>
      <c r="G902" s="681"/>
      <c r="H902" s="683"/>
      <c r="I902" s="81"/>
      <c r="J902" s="81"/>
      <c r="K902" s="81"/>
      <c r="L902" s="81"/>
      <c r="M902" s="81"/>
      <c r="N902" s="681"/>
      <c r="O902" s="81"/>
      <c r="P902" s="81"/>
      <c r="Q902" s="81"/>
      <c r="R902" s="81"/>
      <c r="S902" s="81"/>
      <c r="T902" s="81"/>
      <c r="U902" s="81"/>
    </row>
    <row r="903" ht="14.25" customHeight="1" spans="1:21">
      <c r="A903" s="81"/>
      <c r="B903" s="81"/>
      <c r="C903" s="81"/>
      <c r="D903" s="681"/>
      <c r="E903" s="681"/>
      <c r="F903" s="81"/>
      <c r="G903" s="681"/>
      <c r="H903" s="683"/>
      <c r="I903" s="81"/>
      <c r="J903" s="81"/>
      <c r="K903" s="81"/>
      <c r="L903" s="81"/>
      <c r="M903" s="81"/>
      <c r="N903" s="681"/>
      <c r="O903" s="81"/>
      <c r="P903" s="81"/>
      <c r="Q903" s="81"/>
      <c r="R903" s="81"/>
      <c r="S903" s="81"/>
      <c r="T903" s="81"/>
      <c r="U903" s="81"/>
    </row>
    <row r="904" ht="14.25" customHeight="1" spans="1:21">
      <c r="A904" s="81"/>
      <c r="B904" s="81"/>
      <c r="C904" s="81"/>
      <c r="D904" s="681"/>
      <c r="E904" s="681"/>
      <c r="F904" s="81"/>
      <c r="G904" s="681"/>
      <c r="H904" s="683"/>
      <c r="I904" s="81"/>
      <c r="J904" s="81"/>
      <c r="K904" s="81"/>
      <c r="L904" s="81"/>
      <c r="M904" s="81"/>
      <c r="N904" s="681"/>
      <c r="O904" s="81"/>
      <c r="P904" s="81"/>
      <c r="Q904" s="81"/>
      <c r="R904" s="81"/>
      <c r="S904" s="81"/>
      <c r="T904" s="81"/>
      <c r="U904" s="81"/>
    </row>
    <row r="905" ht="14.25" customHeight="1" spans="1:21">
      <c r="A905" s="81"/>
      <c r="B905" s="81"/>
      <c r="C905" s="81"/>
      <c r="D905" s="681"/>
      <c r="E905" s="681"/>
      <c r="F905" s="81"/>
      <c r="G905" s="681"/>
      <c r="H905" s="683"/>
      <c r="I905" s="81"/>
      <c r="J905" s="81"/>
      <c r="K905" s="81"/>
      <c r="L905" s="81"/>
      <c r="M905" s="81"/>
      <c r="N905" s="681"/>
      <c r="O905" s="81"/>
      <c r="P905" s="81"/>
      <c r="Q905" s="81"/>
      <c r="R905" s="81"/>
      <c r="S905" s="81"/>
      <c r="T905" s="81"/>
      <c r="U905" s="81"/>
    </row>
    <row r="906" ht="14.25" customHeight="1" spans="1:21">
      <c r="A906" s="81"/>
      <c r="B906" s="81"/>
      <c r="C906" s="81"/>
      <c r="D906" s="681"/>
      <c r="E906" s="681"/>
      <c r="F906" s="81"/>
      <c r="G906" s="681"/>
      <c r="H906" s="683"/>
      <c r="I906" s="81"/>
      <c r="J906" s="81"/>
      <c r="K906" s="81"/>
      <c r="L906" s="81"/>
      <c r="M906" s="81"/>
      <c r="N906" s="681"/>
      <c r="O906" s="81"/>
      <c r="P906" s="81"/>
      <c r="Q906" s="81"/>
      <c r="R906" s="81"/>
      <c r="S906" s="81"/>
      <c r="T906" s="81"/>
      <c r="U906" s="81"/>
    </row>
    <row r="907" ht="14.25" customHeight="1" spans="1:21">
      <c r="A907" s="81"/>
      <c r="B907" s="81"/>
      <c r="C907" s="81"/>
      <c r="D907" s="681"/>
      <c r="E907" s="681"/>
      <c r="F907" s="81"/>
      <c r="G907" s="681"/>
      <c r="H907" s="683"/>
      <c r="I907" s="81"/>
      <c r="J907" s="81"/>
      <c r="K907" s="81"/>
      <c r="L907" s="81"/>
      <c r="M907" s="81"/>
      <c r="N907" s="681"/>
      <c r="O907" s="81"/>
      <c r="P907" s="81"/>
      <c r="Q907" s="81"/>
      <c r="R907" s="81"/>
      <c r="S907" s="81"/>
      <c r="T907" s="81"/>
      <c r="U907" s="81"/>
    </row>
    <row r="908" ht="14.25" customHeight="1" spans="1:21">
      <c r="A908" s="81"/>
      <c r="B908" s="81"/>
      <c r="C908" s="81"/>
      <c r="D908" s="681"/>
      <c r="E908" s="681"/>
      <c r="F908" s="81"/>
      <c r="G908" s="681"/>
      <c r="H908" s="683"/>
      <c r="I908" s="81"/>
      <c r="J908" s="81"/>
      <c r="K908" s="81"/>
      <c r="L908" s="81"/>
      <c r="M908" s="81"/>
      <c r="N908" s="681"/>
      <c r="O908" s="81"/>
      <c r="P908" s="81"/>
      <c r="Q908" s="81"/>
      <c r="R908" s="81"/>
      <c r="S908" s="81"/>
      <c r="T908" s="81"/>
      <c r="U908" s="81"/>
    </row>
    <row r="909" ht="14.25" customHeight="1" spans="1:21">
      <c r="A909" s="81"/>
      <c r="B909" s="81"/>
      <c r="C909" s="81"/>
      <c r="D909" s="681"/>
      <c r="E909" s="681"/>
      <c r="F909" s="81"/>
      <c r="G909" s="681"/>
      <c r="H909" s="683"/>
      <c r="I909" s="81"/>
      <c r="J909" s="81"/>
      <c r="K909" s="81"/>
      <c r="L909" s="81"/>
      <c r="M909" s="81"/>
      <c r="N909" s="681"/>
      <c r="O909" s="81"/>
      <c r="P909" s="81"/>
      <c r="Q909" s="81"/>
      <c r="R909" s="81"/>
      <c r="S909" s="81"/>
      <c r="T909" s="81"/>
      <c r="U909" s="81"/>
    </row>
    <row r="910" ht="14.25" customHeight="1" spans="1:21">
      <c r="A910" s="81"/>
      <c r="B910" s="81"/>
      <c r="C910" s="81"/>
      <c r="D910" s="681"/>
      <c r="E910" s="681"/>
      <c r="F910" s="81"/>
      <c r="G910" s="681"/>
      <c r="H910" s="683"/>
      <c r="I910" s="81"/>
      <c r="J910" s="81"/>
      <c r="K910" s="81"/>
      <c r="L910" s="81"/>
      <c r="M910" s="81"/>
      <c r="N910" s="681"/>
      <c r="O910" s="81"/>
      <c r="P910" s="81"/>
      <c r="Q910" s="81"/>
      <c r="R910" s="81"/>
      <c r="S910" s="81"/>
      <c r="T910" s="81"/>
      <c r="U910" s="81"/>
    </row>
    <row r="911" ht="14.25" customHeight="1" spans="1:21">
      <c r="A911" s="81"/>
      <c r="B911" s="81"/>
      <c r="C911" s="81"/>
      <c r="D911" s="681"/>
      <c r="E911" s="681"/>
      <c r="F911" s="81"/>
      <c r="G911" s="681"/>
      <c r="H911" s="683"/>
      <c r="I911" s="81"/>
      <c r="J911" s="81"/>
      <c r="K911" s="81"/>
      <c r="L911" s="81"/>
      <c r="M911" s="81"/>
      <c r="N911" s="681"/>
      <c r="O911" s="81"/>
      <c r="P911" s="81"/>
      <c r="Q911" s="81"/>
      <c r="R911" s="81"/>
      <c r="S911" s="81"/>
      <c r="T911" s="81"/>
      <c r="U911" s="81"/>
    </row>
    <row r="912" ht="14.25" customHeight="1" spans="1:21">
      <c r="A912" s="81"/>
      <c r="B912" s="81"/>
      <c r="C912" s="81"/>
      <c r="D912" s="681"/>
      <c r="E912" s="681"/>
      <c r="F912" s="81"/>
      <c r="G912" s="681"/>
      <c r="H912" s="683"/>
      <c r="I912" s="81"/>
      <c r="J912" s="81"/>
      <c r="K912" s="81"/>
      <c r="L912" s="81"/>
      <c r="M912" s="81"/>
      <c r="N912" s="681"/>
      <c r="O912" s="81"/>
      <c r="P912" s="81"/>
      <c r="Q912" s="81"/>
      <c r="R912" s="81"/>
      <c r="S912" s="81"/>
      <c r="T912" s="81"/>
      <c r="U912" s="81"/>
    </row>
    <row r="913" ht="14.25" customHeight="1" spans="1:21">
      <c r="A913" s="81"/>
      <c r="B913" s="81"/>
      <c r="C913" s="81"/>
      <c r="D913" s="681"/>
      <c r="E913" s="681"/>
      <c r="F913" s="81"/>
      <c r="G913" s="681"/>
      <c r="H913" s="683"/>
      <c r="I913" s="81"/>
      <c r="J913" s="81"/>
      <c r="K913" s="81"/>
      <c r="L913" s="81"/>
      <c r="M913" s="81"/>
      <c r="N913" s="681"/>
      <c r="O913" s="81"/>
      <c r="P913" s="81"/>
      <c r="Q913" s="81"/>
      <c r="R913" s="81"/>
      <c r="S913" s="81"/>
      <c r="T913" s="81"/>
      <c r="U913" s="81"/>
    </row>
    <row r="914" ht="14.25" customHeight="1" spans="1:21">
      <c r="A914" s="81"/>
      <c r="B914" s="81"/>
      <c r="C914" s="81"/>
      <c r="D914" s="681"/>
      <c r="E914" s="681"/>
      <c r="F914" s="81"/>
      <c r="G914" s="681"/>
      <c r="H914" s="683"/>
      <c r="I914" s="81"/>
      <c r="J914" s="81"/>
      <c r="K914" s="81"/>
      <c r="L914" s="81"/>
      <c r="M914" s="81"/>
      <c r="N914" s="681"/>
      <c r="O914" s="81"/>
      <c r="P914" s="81"/>
      <c r="Q914" s="81"/>
      <c r="R914" s="81"/>
      <c r="S914" s="81"/>
      <c r="T914" s="81"/>
      <c r="U914" s="81"/>
    </row>
    <row r="915" ht="14.25" customHeight="1" spans="1:21">
      <c r="A915" s="81"/>
      <c r="B915" s="81"/>
      <c r="C915" s="81"/>
      <c r="D915" s="681"/>
      <c r="E915" s="681"/>
      <c r="F915" s="81"/>
      <c r="G915" s="681"/>
      <c r="H915" s="683"/>
      <c r="I915" s="81"/>
      <c r="J915" s="81"/>
      <c r="K915" s="81"/>
      <c r="L915" s="81"/>
      <c r="M915" s="81"/>
      <c r="N915" s="681"/>
      <c r="O915" s="81"/>
      <c r="P915" s="81"/>
      <c r="Q915" s="81"/>
      <c r="R915" s="81"/>
      <c r="S915" s="81"/>
      <c r="T915" s="81"/>
      <c r="U915" s="81"/>
    </row>
    <row r="916" ht="14.25" customHeight="1" spans="1:21">
      <c r="A916" s="81"/>
      <c r="B916" s="81"/>
      <c r="C916" s="81"/>
      <c r="D916" s="681"/>
      <c r="E916" s="681"/>
      <c r="F916" s="81"/>
      <c r="G916" s="681"/>
      <c r="H916" s="683"/>
      <c r="I916" s="81"/>
      <c r="J916" s="81"/>
      <c r="K916" s="81"/>
      <c r="L916" s="81"/>
      <c r="M916" s="81"/>
      <c r="N916" s="681"/>
      <c r="O916" s="81"/>
      <c r="P916" s="81"/>
      <c r="Q916" s="81"/>
      <c r="R916" s="81"/>
      <c r="S916" s="81"/>
      <c r="T916" s="81"/>
      <c r="U916" s="81"/>
    </row>
    <row r="917" ht="14.25" customHeight="1" spans="1:21">
      <c r="A917" s="81"/>
      <c r="B917" s="81"/>
      <c r="C917" s="81"/>
      <c r="D917" s="681"/>
      <c r="E917" s="681"/>
      <c r="F917" s="81"/>
      <c r="G917" s="681"/>
      <c r="H917" s="683"/>
      <c r="I917" s="81"/>
      <c r="J917" s="81"/>
      <c r="K917" s="81"/>
      <c r="L917" s="81"/>
      <c r="M917" s="81"/>
      <c r="N917" s="681"/>
      <c r="O917" s="81"/>
      <c r="P917" s="81"/>
      <c r="Q917" s="81"/>
      <c r="R917" s="81"/>
      <c r="S917" s="81"/>
      <c r="T917" s="81"/>
      <c r="U917" s="81"/>
    </row>
    <row r="918" ht="14.25" customHeight="1" spans="1:21">
      <c r="A918" s="81"/>
      <c r="B918" s="81"/>
      <c r="C918" s="81"/>
      <c r="D918" s="681"/>
      <c r="E918" s="681"/>
      <c r="F918" s="81"/>
      <c r="G918" s="681"/>
      <c r="H918" s="683"/>
      <c r="I918" s="81"/>
      <c r="J918" s="81"/>
      <c r="K918" s="81"/>
      <c r="L918" s="81"/>
      <c r="M918" s="81"/>
      <c r="N918" s="681"/>
      <c r="O918" s="81"/>
      <c r="P918" s="81"/>
      <c r="Q918" s="81"/>
      <c r="R918" s="81"/>
      <c r="S918" s="81"/>
      <c r="T918" s="81"/>
      <c r="U918" s="81"/>
    </row>
    <row r="919" ht="14.25" customHeight="1" spans="1:21">
      <c r="A919" s="81"/>
      <c r="B919" s="81"/>
      <c r="C919" s="81"/>
      <c r="D919" s="681"/>
      <c r="E919" s="681"/>
      <c r="F919" s="81"/>
      <c r="G919" s="681"/>
      <c r="H919" s="683"/>
      <c r="I919" s="81"/>
      <c r="J919" s="81"/>
      <c r="K919" s="81"/>
      <c r="L919" s="81"/>
      <c r="M919" s="81"/>
      <c r="N919" s="681"/>
      <c r="O919" s="81"/>
      <c r="P919" s="81"/>
      <c r="Q919" s="81"/>
      <c r="R919" s="81"/>
      <c r="S919" s="81"/>
      <c r="T919" s="81"/>
      <c r="U919" s="81"/>
    </row>
    <row r="920" ht="14.25" customHeight="1" spans="1:21">
      <c r="A920" s="81"/>
      <c r="B920" s="81"/>
      <c r="C920" s="81"/>
      <c r="D920" s="681"/>
      <c r="E920" s="681"/>
      <c r="F920" s="81"/>
      <c r="G920" s="681"/>
      <c r="H920" s="683"/>
      <c r="I920" s="81"/>
      <c r="J920" s="81"/>
      <c r="K920" s="81"/>
      <c r="L920" s="81"/>
      <c r="M920" s="81"/>
      <c r="N920" s="681"/>
      <c r="O920" s="81"/>
      <c r="P920" s="81"/>
      <c r="Q920" s="81"/>
      <c r="R920" s="81"/>
      <c r="S920" s="81"/>
      <c r="T920" s="81"/>
      <c r="U920" s="81"/>
    </row>
    <row r="921" ht="14.25" customHeight="1" spans="1:21">
      <c r="A921" s="81"/>
      <c r="B921" s="81"/>
      <c r="C921" s="81"/>
      <c r="D921" s="681"/>
      <c r="E921" s="681"/>
      <c r="F921" s="81"/>
      <c r="G921" s="681"/>
      <c r="H921" s="683"/>
      <c r="I921" s="81"/>
      <c r="J921" s="81"/>
      <c r="K921" s="81"/>
      <c r="L921" s="81"/>
      <c r="M921" s="81"/>
      <c r="N921" s="681"/>
      <c r="O921" s="81"/>
      <c r="P921" s="81"/>
      <c r="Q921" s="81"/>
      <c r="R921" s="81"/>
      <c r="S921" s="81"/>
      <c r="T921" s="81"/>
      <c r="U921" s="81"/>
    </row>
    <row r="922" ht="14.25" customHeight="1" spans="1:21">
      <c r="A922" s="81"/>
      <c r="B922" s="81"/>
      <c r="C922" s="81"/>
      <c r="D922" s="681"/>
      <c r="E922" s="681"/>
      <c r="F922" s="81"/>
      <c r="G922" s="681"/>
      <c r="H922" s="683"/>
      <c r="I922" s="81"/>
      <c r="J922" s="81"/>
      <c r="K922" s="81"/>
      <c r="L922" s="81"/>
      <c r="M922" s="81"/>
      <c r="N922" s="681"/>
      <c r="O922" s="81"/>
      <c r="P922" s="81"/>
      <c r="Q922" s="81"/>
      <c r="R922" s="81"/>
      <c r="S922" s="81"/>
      <c r="T922" s="81"/>
      <c r="U922" s="81"/>
    </row>
    <row r="923" ht="14.25" customHeight="1" spans="1:21">
      <c r="A923" s="81"/>
      <c r="B923" s="81"/>
      <c r="C923" s="81"/>
      <c r="D923" s="681"/>
      <c r="E923" s="681"/>
      <c r="F923" s="81"/>
      <c r="G923" s="681"/>
      <c r="H923" s="683"/>
      <c r="I923" s="81"/>
      <c r="J923" s="81"/>
      <c r="K923" s="81"/>
      <c r="L923" s="81"/>
      <c r="M923" s="81"/>
      <c r="N923" s="681"/>
      <c r="O923" s="81"/>
      <c r="P923" s="81"/>
      <c r="Q923" s="81"/>
      <c r="R923" s="81"/>
      <c r="S923" s="81"/>
      <c r="T923" s="81"/>
      <c r="U923" s="81"/>
    </row>
    <row r="924" ht="14.25" customHeight="1" spans="1:21">
      <c r="A924" s="81"/>
      <c r="B924" s="81"/>
      <c r="C924" s="81"/>
      <c r="D924" s="681"/>
      <c r="E924" s="681"/>
      <c r="F924" s="81"/>
      <c r="G924" s="681"/>
      <c r="H924" s="683"/>
      <c r="I924" s="81"/>
      <c r="J924" s="81"/>
      <c r="K924" s="81"/>
      <c r="L924" s="81"/>
      <c r="M924" s="81"/>
      <c r="N924" s="681"/>
      <c r="O924" s="81"/>
      <c r="P924" s="81"/>
      <c r="Q924" s="81"/>
      <c r="R924" s="81"/>
      <c r="S924" s="81"/>
      <c r="T924" s="81"/>
      <c r="U924" s="81"/>
    </row>
    <row r="925" ht="14.25" customHeight="1" spans="1:21">
      <c r="A925" s="81"/>
      <c r="B925" s="81"/>
      <c r="C925" s="81"/>
      <c r="D925" s="681"/>
      <c r="E925" s="681"/>
      <c r="F925" s="81"/>
      <c r="G925" s="681"/>
      <c r="H925" s="683"/>
      <c r="I925" s="81"/>
      <c r="J925" s="81"/>
      <c r="K925" s="81"/>
      <c r="L925" s="81"/>
      <c r="M925" s="81"/>
      <c r="N925" s="681"/>
      <c r="O925" s="81"/>
      <c r="P925" s="81"/>
      <c r="Q925" s="81"/>
      <c r="R925" s="81"/>
      <c r="S925" s="81"/>
      <c r="T925" s="81"/>
      <c r="U925" s="81"/>
    </row>
    <row r="926" ht="14.25" customHeight="1" spans="1:21">
      <c r="A926" s="81"/>
      <c r="B926" s="81"/>
      <c r="C926" s="81"/>
      <c r="D926" s="681"/>
      <c r="E926" s="681"/>
      <c r="F926" s="81"/>
      <c r="G926" s="681"/>
      <c r="H926" s="683"/>
      <c r="I926" s="81"/>
      <c r="J926" s="81"/>
      <c r="K926" s="81"/>
      <c r="L926" s="81"/>
      <c r="M926" s="81"/>
      <c r="N926" s="681"/>
      <c r="O926" s="81"/>
      <c r="P926" s="81"/>
      <c r="Q926" s="81"/>
      <c r="R926" s="81"/>
      <c r="S926" s="81"/>
      <c r="T926" s="81"/>
      <c r="U926" s="81"/>
    </row>
    <row r="927" ht="14.25" customHeight="1" spans="1:21">
      <c r="A927" s="81"/>
      <c r="B927" s="81"/>
      <c r="C927" s="81"/>
      <c r="D927" s="681"/>
      <c r="E927" s="681"/>
      <c r="F927" s="81"/>
      <c r="G927" s="681"/>
      <c r="H927" s="683"/>
      <c r="I927" s="81"/>
      <c r="J927" s="81"/>
      <c r="K927" s="81"/>
      <c r="L927" s="81"/>
      <c r="M927" s="81"/>
      <c r="N927" s="681"/>
      <c r="O927" s="81"/>
      <c r="P927" s="81"/>
      <c r="Q927" s="81"/>
      <c r="R927" s="81"/>
      <c r="S927" s="81"/>
      <c r="T927" s="81"/>
      <c r="U927" s="81"/>
    </row>
    <row r="928" ht="14.25" customHeight="1" spans="1:21">
      <c r="A928" s="81"/>
      <c r="B928" s="81"/>
      <c r="C928" s="81"/>
      <c r="D928" s="681"/>
      <c r="E928" s="681"/>
      <c r="F928" s="81"/>
      <c r="G928" s="681"/>
      <c r="H928" s="683"/>
      <c r="I928" s="81"/>
      <c r="J928" s="81"/>
      <c r="K928" s="81"/>
      <c r="L928" s="81"/>
      <c r="M928" s="81"/>
      <c r="N928" s="681"/>
      <c r="O928" s="81"/>
      <c r="P928" s="81"/>
      <c r="Q928" s="81"/>
      <c r="R928" s="81"/>
      <c r="S928" s="81"/>
      <c r="T928" s="81"/>
      <c r="U928" s="81"/>
    </row>
    <row r="929" ht="14.25" customHeight="1" spans="1:21">
      <c r="A929" s="81"/>
      <c r="B929" s="81"/>
      <c r="C929" s="81"/>
      <c r="D929" s="681"/>
      <c r="E929" s="681"/>
      <c r="F929" s="81"/>
      <c r="G929" s="681"/>
      <c r="H929" s="683"/>
      <c r="I929" s="81"/>
      <c r="J929" s="81"/>
      <c r="K929" s="81"/>
      <c r="L929" s="81"/>
      <c r="M929" s="81"/>
      <c r="N929" s="681"/>
      <c r="O929" s="81"/>
      <c r="P929" s="81"/>
      <c r="Q929" s="81"/>
      <c r="R929" s="81"/>
      <c r="S929" s="81"/>
      <c r="T929" s="81"/>
      <c r="U929" s="81"/>
    </row>
    <row r="930" ht="14.25" customHeight="1" spans="1:21">
      <c r="A930" s="81"/>
      <c r="B930" s="81"/>
      <c r="C930" s="81"/>
      <c r="D930" s="681"/>
      <c r="E930" s="681"/>
      <c r="F930" s="81"/>
      <c r="G930" s="681"/>
      <c r="H930" s="683"/>
      <c r="I930" s="81"/>
      <c r="J930" s="81"/>
      <c r="K930" s="81"/>
      <c r="L930" s="81"/>
      <c r="M930" s="81"/>
      <c r="N930" s="681"/>
      <c r="O930" s="81"/>
      <c r="P930" s="81"/>
      <c r="Q930" s="81"/>
      <c r="R930" s="81"/>
      <c r="S930" s="81"/>
      <c r="T930" s="81"/>
      <c r="U930" s="81"/>
    </row>
    <row r="931" ht="14.25" customHeight="1" spans="1:21">
      <c r="A931" s="81"/>
      <c r="B931" s="81"/>
      <c r="C931" s="81"/>
      <c r="D931" s="681"/>
      <c r="E931" s="681"/>
      <c r="F931" s="81"/>
      <c r="G931" s="681"/>
      <c r="H931" s="683"/>
      <c r="I931" s="81"/>
      <c r="J931" s="81"/>
      <c r="K931" s="81"/>
      <c r="L931" s="81"/>
      <c r="M931" s="81"/>
      <c r="N931" s="681"/>
      <c r="O931" s="81"/>
      <c r="P931" s="81"/>
      <c r="Q931" s="81"/>
      <c r="R931" s="81"/>
      <c r="S931" s="81"/>
      <c r="T931" s="81"/>
      <c r="U931" s="81"/>
    </row>
    <row r="932" ht="14.25" customHeight="1" spans="1:21">
      <c r="A932" s="81"/>
      <c r="B932" s="81"/>
      <c r="C932" s="81"/>
      <c r="D932" s="681"/>
      <c r="E932" s="681"/>
      <c r="F932" s="81"/>
      <c r="G932" s="681"/>
      <c r="H932" s="683"/>
      <c r="I932" s="81"/>
      <c r="J932" s="81"/>
      <c r="K932" s="81"/>
      <c r="L932" s="81"/>
      <c r="M932" s="81"/>
      <c r="N932" s="681"/>
      <c r="O932" s="81"/>
      <c r="P932" s="81"/>
      <c r="Q932" s="81"/>
      <c r="R932" s="81"/>
      <c r="S932" s="81"/>
      <c r="T932" s="81"/>
      <c r="U932" s="81"/>
    </row>
    <row r="933" ht="14.25" customHeight="1" spans="1:21">
      <c r="A933" s="81"/>
      <c r="B933" s="81"/>
      <c r="C933" s="81"/>
      <c r="D933" s="681"/>
      <c r="E933" s="681"/>
      <c r="F933" s="81"/>
      <c r="G933" s="681"/>
      <c r="H933" s="683"/>
      <c r="I933" s="81"/>
      <c r="J933" s="81"/>
      <c r="K933" s="81"/>
      <c r="L933" s="81"/>
      <c r="M933" s="81"/>
      <c r="N933" s="681"/>
      <c r="O933" s="81"/>
      <c r="P933" s="81"/>
      <c r="Q933" s="81"/>
      <c r="R933" s="81"/>
      <c r="S933" s="81"/>
      <c r="T933" s="81"/>
      <c r="U933" s="81"/>
    </row>
    <row r="934" ht="14.25" customHeight="1" spans="1:21">
      <c r="A934" s="81"/>
      <c r="B934" s="81"/>
      <c r="C934" s="81"/>
      <c r="D934" s="681"/>
      <c r="E934" s="681"/>
      <c r="F934" s="81"/>
      <c r="G934" s="681"/>
      <c r="H934" s="683"/>
      <c r="I934" s="81"/>
      <c r="J934" s="81"/>
      <c r="K934" s="81"/>
      <c r="L934" s="81"/>
      <c r="M934" s="81"/>
      <c r="N934" s="681"/>
      <c r="O934" s="81"/>
      <c r="P934" s="81"/>
      <c r="Q934" s="81"/>
      <c r="R934" s="81"/>
      <c r="S934" s="81"/>
      <c r="T934" s="81"/>
      <c r="U934" s="81"/>
    </row>
    <row r="935" ht="14.25" customHeight="1" spans="1:21">
      <c r="A935" s="81"/>
      <c r="B935" s="81"/>
      <c r="C935" s="81"/>
      <c r="D935" s="681"/>
      <c r="E935" s="681"/>
      <c r="F935" s="81"/>
      <c r="G935" s="681"/>
      <c r="H935" s="683"/>
      <c r="I935" s="81"/>
      <c r="J935" s="81"/>
      <c r="K935" s="81"/>
      <c r="L935" s="81"/>
      <c r="M935" s="81"/>
      <c r="N935" s="681"/>
      <c r="O935" s="81"/>
      <c r="P935" s="81"/>
      <c r="Q935" s="81"/>
      <c r="R935" s="81"/>
      <c r="S935" s="81"/>
      <c r="T935" s="81"/>
      <c r="U935" s="81"/>
    </row>
    <row r="936" ht="14.25" customHeight="1" spans="1:21">
      <c r="A936" s="81"/>
      <c r="B936" s="81"/>
      <c r="C936" s="81"/>
      <c r="D936" s="681"/>
      <c r="E936" s="681"/>
      <c r="F936" s="81"/>
      <c r="G936" s="681"/>
      <c r="H936" s="683"/>
      <c r="I936" s="81"/>
      <c r="J936" s="81"/>
      <c r="K936" s="81"/>
      <c r="L936" s="81"/>
      <c r="M936" s="81"/>
      <c r="N936" s="681"/>
      <c r="O936" s="81"/>
      <c r="P936" s="81"/>
      <c r="Q936" s="81"/>
      <c r="R936" s="81"/>
      <c r="S936" s="81"/>
      <c r="T936" s="81"/>
      <c r="U936" s="81"/>
    </row>
    <row r="937" ht="14.25" customHeight="1" spans="1:21">
      <c r="A937" s="81"/>
      <c r="B937" s="81"/>
      <c r="C937" s="81"/>
      <c r="D937" s="681"/>
      <c r="E937" s="681"/>
      <c r="F937" s="81"/>
      <c r="G937" s="681"/>
      <c r="H937" s="683"/>
      <c r="I937" s="81"/>
      <c r="J937" s="81"/>
      <c r="K937" s="81"/>
      <c r="L937" s="81"/>
      <c r="M937" s="81"/>
      <c r="N937" s="681"/>
      <c r="O937" s="81"/>
      <c r="P937" s="81"/>
      <c r="Q937" s="81"/>
      <c r="R937" s="81"/>
      <c r="S937" s="81"/>
      <c r="T937" s="81"/>
      <c r="U937" s="81"/>
    </row>
    <row r="938" ht="14.25" customHeight="1" spans="1:21">
      <c r="A938" s="81"/>
      <c r="B938" s="81"/>
      <c r="C938" s="81"/>
      <c r="D938" s="681"/>
      <c r="E938" s="681"/>
      <c r="F938" s="81"/>
      <c r="G938" s="681"/>
      <c r="H938" s="683"/>
      <c r="I938" s="81"/>
      <c r="J938" s="81"/>
      <c r="K938" s="81"/>
      <c r="L938" s="81"/>
      <c r="M938" s="81"/>
      <c r="N938" s="681"/>
      <c r="O938" s="81"/>
      <c r="P938" s="81"/>
      <c r="Q938" s="81"/>
      <c r="R938" s="81"/>
      <c r="S938" s="81"/>
      <c r="T938" s="81"/>
      <c r="U938" s="81"/>
    </row>
    <row r="939" ht="14.25" customHeight="1" spans="1:21">
      <c r="A939" s="81"/>
      <c r="B939" s="81"/>
      <c r="C939" s="81"/>
      <c r="D939" s="681"/>
      <c r="E939" s="681"/>
      <c r="F939" s="81"/>
      <c r="G939" s="681"/>
      <c r="H939" s="683"/>
      <c r="I939" s="81"/>
      <c r="J939" s="81"/>
      <c r="K939" s="81"/>
      <c r="L939" s="81"/>
      <c r="M939" s="81"/>
      <c r="N939" s="681"/>
      <c r="O939" s="81"/>
      <c r="P939" s="81"/>
      <c r="Q939" s="81"/>
      <c r="R939" s="81"/>
      <c r="S939" s="81"/>
      <c r="T939" s="81"/>
      <c r="U939" s="81"/>
    </row>
    <row r="940" ht="14.25" customHeight="1" spans="1:21">
      <c r="A940" s="81"/>
      <c r="B940" s="81"/>
      <c r="C940" s="81"/>
      <c r="D940" s="681"/>
      <c r="E940" s="681"/>
      <c r="F940" s="81"/>
      <c r="G940" s="681"/>
      <c r="H940" s="683"/>
      <c r="I940" s="81"/>
      <c r="J940" s="81"/>
      <c r="K940" s="81"/>
      <c r="L940" s="81"/>
      <c r="M940" s="81"/>
      <c r="N940" s="681"/>
      <c r="O940" s="81"/>
      <c r="P940" s="81"/>
      <c r="Q940" s="81"/>
      <c r="R940" s="81"/>
      <c r="S940" s="81"/>
      <c r="T940" s="81"/>
      <c r="U940" s="81"/>
    </row>
    <row r="941" ht="14.25" customHeight="1" spans="1:21">
      <c r="A941" s="81"/>
      <c r="B941" s="81"/>
      <c r="C941" s="81"/>
      <c r="D941" s="681"/>
      <c r="E941" s="681"/>
      <c r="F941" s="81"/>
      <c r="G941" s="681"/>
      <c r="H941" s="683"/>
      <c r="I941" s="81"/>
      <c r="J941" s="81"/>
      <c r="K941" s="81"/>
      <c r="L941" s="81"/>
      <c r="M941" s="81"/>
      <c r="N941" s="681"/>
      <c r="O941" s="81"/>
      <c r="P941" s="81"/>
      <c r="Q941" s="81"/>
      <c r="R941" s="81"/>
      <c r="S941" s="81"/>
      <c r="T941" s="81"/>
      <c r="U941" s="81"/>
    </row>
    <row r="942" ht="14.25" customHeight="1" spans="1:21">
      <c r="A942" s="81"/>
      <c r="B942" s="81"/>
      <c r="C942" s="81"/>
      <c r="D942" s="681"/>
      <c r="E942" s="681"/>
      <c r="F942" s="81"/>
      <c r="G942" s="681"/>
      <c r="H942" s="683"/>
      <c r="I942" s="81"/>
      <c r="J942" s="81"/>
      <c r="K942" s="81"/>
      <c r="L942" s="81"/>
      <c r="M942" s="81"/>
      <c r="N942" s="681"/>
      <c r="O942" s="81"/>
      <c r="P942" s="81"/>
      <c r="Q942" s="81"/>
      <c r="R942" s="81"/>
      <c r="S942" s="81"/>
      <c r="T942" s="81"/>
      <c r="U942" s="81"/>
    </row>
    <row r="943" ht="14.25" customHeight="1" spans="1:21">
      <c r="A943" s="81"/>
      <c r="B943" s="81"/>
      <c r="C943" s="81"/>
      <c r="D943" s="681"/>
      <c r="E943" s="681"/>
      <c r="F943" s="81"/>
      <c r="G943" s="681"/>
      <c r="H943" s="683"/>
      <c r="I943" s="81"/>
      <c r="J943" s="81"/>
      <c r="K943" s="81"/>
      <c r="L943" s="81"/>
      <c r="M943" s="81"/>
      <c r="N943" s="681"/>
      <c r="O943" s="81"/>
      <c r="P943" s="81"/>
      <c r="Q943" s="81"/>
      <c r="R943" s="81"/>
      <c r="S943" s="81"/>
      <c r="T943" s="81"/>
      <c r="U943" s="81"/>
    </row>
    <row r="944" ht="14.25" customHeight="1" spans="1:21">
      <c r="A944" s="81"/>
      <c r="B944" s="81"/>
      <c r="C944" s="81"/>
      <c r="D944" s="681"/>
      <c r="E944" s="681"/>
      <c r="F944" s="81"/>
      <c r="G944" s="681"/>
      <c r="H944" s="683"/>
      <c r="I944" s="81"/>
      <c r="J944" s="81"/>
      <c r="K944" s="81"/>
      <c r="L944" s="81"/>
      <c r="M944" s="81"/>
      <c r="N944" s="681"/>
      <c r="O944" s="81"/>
      <c r="P944" s="81"/>
      <c r="Q944" s="81"/>
      <c r="R944" s="81"/>
      <c r="S944" s="81"/>
      <c r="T944" s="81"/>
      <c r="U944" s="81"/>
    </row>
    <row r="945" ht="14.25" customHeight="1" spans="1:21">
      <c r="A945" s="81"/>
      <c r="B945" s="81"/>
      <c r="C945" s="81"/>
      <c r="D945" s="681"/>
      <c r="E945" s="681"/>
      <c r="F945" s="81"/>
      <c r="G945" s="681"/>
      <c r="H945" s="683"/>
      <c r="I945" s="81"/>
      <c r="J945" s="81"/>
      <c r="K945" s="81"/>
      <c r="L945" s="81"/>
      <c r="M945" s="81"/>
      <c r="N945" s="681"/>
      <c r="O945" s="81"/>
      <c r="P945" s="81"/>
      <c r="Q945" s="81"/>
      <c r="R945" s="81"/>
      <c r="S945" s="81"/>
      <c r="T945" s="81"/>
      <c r="U945" s="81"/>
    </row>
    <row r="946" ht="14.25" customHeight="1" spans="1:21">
      <c r="A946" s="81"/>
      <c r="B946" s="81"/>
      <c r="C946" s="81"/>
      <c r="D946" s="681"/>
      <c r="E946" s="681"/>
      <c r="F946" s="81"/>
      <c r="G946" s="681"/>
      <c r="H946" s="683"/>
      <c r="I946" s="81"/>
      <c r="J946" s="81"/>
      <c r="K946" s="81"/>
      <c r="L946" s="81"/>
      <c r="M946" s="81"/>
      <c r="N946" s="681"/>
      <c r="O946" s="81"/>
      <c r="P946" s="81"/>
      <c r="Q946" s="81"/>
      <c r="R946" s="81"/>
      <c r="S946" s="81"/>
      <c r="T946" s="81"/>
      <c r="U946" s="81"/>
    </row>
    <row r="947" ht="14.25" customHeight="1" spans="1:21">
      <c r="A947" s="81"/>
      <c r="B947" s="81"/>
      <c r="C947" s="81"/>
      <c r="D947" s="681"/>
      <c r="E947" s="681"/>
      <c r="F947" s="81"/>
      <c r="G947" s="681"/>
      <c r="H947" s="683"/>
      <c r="I947" s="81"/>
      <c r="J947" s="81"/>
      <c r="K947" s="81"/>
      <c r="L947" s="81"/>
      <c r="M947" s="81"/>
      <c r="N947" s="681"/>
      <c r="O947" s="81"/>
      <c r="P947" s="81"/>
      <c r="Q947" s="81"/>
      <c r="R947" s="81"/>
      <c r="S947" s="81"/>
      <c r="T947" s="81"/>
      <c r="U947" s="81"/>
    </row>
    <row r="948" ht="14.25" customHeight="1" spans="1:21">
      <c r="A948" s="81"/>
      <c r="B948" s="81"/>
      <c r="C948" s="81"/>
      <c r="D948" s="681"/>
      <c r="E948" s="681"/>
      <c r="F948" s="81"/>
      <c r="G948" s="681"/>
      <c r="H948" s="683"/>
      <c r="I948" s="81"/>
      <c r="J948" s="81"/>
      <c r="K948" s="81"/>
      <c r="L948" s="81"/>
      <c r="M948" s="81"/>
      <c r="N948" s="681"/>
      <c r="O948" s="81"/>
      <c r="P948" s="81"/>
      <c r="Q948" s="81"/>
      <c r="R948" s="81"/>
      <c r="S948" s="81"/>
      <c r="T948" s="81"/>
      <c r="U948" s="81"/>
    </row>
    <row r="949" ht="14.25" customHeight="1" spans="1:21">
      <c r="A949" s="81"/>
      <c r="B949" s="81"/>
      <c r="C949" s="81"/>
      <c r="D949" s="681"/>
      <c r="E949" s="681"/>
      <c r="F949" s="81"/>
      <c r="G949" s="681"/>
      <c r="H949" s="683"/>
      <c r="I949" s="81"/>
      <c r="J949" s="81"/>
      <c r="K949" s="81"/>
      <c r="L949" s="81"/>
      <c r="M949" s="81"/>
      <c r="N949" s="681"/>
      <c r="O949" s="81"/>
      <c r="P949" s="81"/>
      <c r="Q949" s="81"/>
      <c r="R949" s="81"/>
      <c r="S949" s="81"/>
      <c r="T949" s="81"/>
      <c r="U949" s="81"/>
    </row>
    <row r="950" ht="14.25" customHeight="1" spans="1:21">
      <c r="A950" s="81"/>
      <c r="B950" s="81"/>
      <c r="C950" s="81"/>
      <c r="D950" s="681"/>
      <c r="E950" s="681"/>
      <c r="F950" s="81"/>
      <c r="G950" s="681"/>
      <c r="H950" s="683"/>
      <c r="I950" s="81"/>
      <c r="J950" s="81"/>
      <c r="K950" s="81"/>
      <c r="L950" s="81"/>
      <c r="M950" s="81"/>
      <c r="N950" s="681"/>
      <c r="O950" s="81"/>
      <c r="P950" s="81"/>
      <c r="Q950" s="81"/>
      <c r="R950" s="81"/>
      <c r="S950" s="81"/>
      <c r="T950" s="81"/>
      <c r="U950" s="81"/>
    </row>
    <row r="951" ht="14.25" customHeight="1" spans="1:21">
      <c r="A951" s="81"/>
      <c r="B951" s="81"/>
      <c r="C951" s="81"/>
      <c r="D951" s="681"/>
      <c r="E951" s="681"/>
      <c r="F951" s="81"/>
      <c r="G951" s="681"/>
      <c r="H951" s="683"/>
      <c r="I951" s="81"/>
      <c r="J951" s="81"/>
      <c r="K951" s="81"/>
      <c r="L951" s="81"/>
      <c r="M951" s="81"/>
      <c r="N951" s="681"/>
      <c r="O951" s="81"/>
      <c r="P951" s="81"/>
      <c r="Q951" s="81"/>
      <c r="R951" s="81"/>
      <c r="S951" s="81"/>
      <c r="T951" s="81"/>
      <c r="U951" s="81"/>
    </row>
    <row r="952" ht="14.25" customHeight="1" spans="1:21">
      <c r="A952" s="81"/>
      <c r="B952" s="81"/>
      <c r="C952" s="81"/>
      <c r="D952" s="681"/>
      <c r="E952" s="681"/>
      <c r="F952" s="81"/>
      <c r="G952" s="681"/>
      <c r="H952" s="683"/>
      <c r="I952" s="81"/>
      <c r="J952" s="81"/>
      <c r="K952" s="81"/>
      <c r="L952" s="81"/>
      <c r="M952" s="81"/>
      <c r="N952" s="681"/>
      <c r="O952" s="81"/>
      <c r="P952" s="81"/>
      <c r="Q952" s="81"/>
      <c r="R952" s="81"/>
      <c r="S952" s="81"/>
      <c r="T952" s="81"/>
      <c r="U952" s="81"/>
    </row>
    <row r="953" ht="14.25" customHeight="1" spans="1:21">
      <c r="A953" s="81"/>
      <c r="B953" s="81"/>
      <c r="C953" s="81"/>
      <c r="D953" s="681"/>
      <c r="E953" s="681"/>
      <c r="F953" s="81"/>
      <c r="G953" s="681"/>
      <c r="H953" s="683"/>
      <c r="I953" s="81"/>
      <c r="J953" s="81"/>
      <c r="K953" s="81"/>
      <c r="L953" s="81"/>
      <c r="M953" s="81"/>
      <c r="N953" s="681"/>
      <c r="O953" s="81"/>
      <c r="P953" s="81"/>
      <c r="Q953" s="81"/>
      <c r="R953" s="81"/>
      <c r="S953" s="81"/>
      <c r="T953" s="81"/>
      <c r="U953" s="81"/>
    </row>
    <row r="954" ht="14.25" customHeight="1" spans="1:21">
      <c r="A954" s="81"/>
      <c r="B954" s="81"/>
      <c r="C954" s="81"/>
      <c r="D954" s="681"/>
      <c r="E954" s="681"/>
      <c r="F954" s="81"/>
      <c r="G954" s="681"/>
      <c r="H954" s="683"/>
      <c r="I954" s="81"/>
      <c r="J954" s="81"/>
      <c r="K954" s="81"/>
      <c r="L954" s="81"/>
      <c r="M954" s="81"/>
      <c r="N954" s="681"/>
      <c r="O954" s="81"/>
      <c r="P954" s="81"/>
      <c r="Q954" s="81"/>
      <c r="R954" s="81"/>
      <c r="S954" s="81"/>
      <c r="T954" s="81"/>
      <c r="U954" s="81"/>
    </row>
    <row r="955" ht="14.25" customHeight="1" spans="1:21">
      <c r="A955" s="81"/>
      <c r="B955" s="81"/>
      <c r="C955" s="81"/>
      <c r="D955" s="681"/>
      <c r="E955" s="681"/>
      <c r="F955" s="81"/>
      <c r="G955" s="681"/>
      <c r="H955" s="683"/>
      <c r="I955" s="81"/>
      <c r="J955" s="81"/>
      <c r="K955" s="81"/>
      <c r="L955" s="81"/>
      <c r="M955" s="81"/>
      <c r="N955" s="681"/>
      <c r="O955" s="81"/>
      <c r="P955" s="81"/>
      <c r="Q955" s="81"/>
      <c r="R955" s="81"/>
      <c r="S955" s="81"/>
      <c r="T955" s="81"/>
      <c r="U955" s="81"/>
    </row>
    <row r="956" ht="14.25" customHeight="1" spans="1:21">
      <c r="A956" s="81"/>
      <c r="B956" s="81"/>
      <c r="C956" s="81"/>
      <c r="D956" s="681"/>
      <c r="E956" s="681"/>
      <c r="F956" s="81"/>
      <c r="G956" s="681"/>
      <c r="H956" s="683"/>
      <c r="I956" s="81"/>
      <c r="J956" s="81"/>
      <c r="K956" s="81"/>
      <c r="L956" s="81"/>
      <c r="M956" s="81"/>
      <c r="N956" s="681"/>
      <c r="O956" s="81"/>
      <c r="P956" s="81"/>
      <c r="Q956" s="81"/>
      <c r="R956" s="81"/>
      <c r="S956" s="81"/>
      <c r="T956" s="81"/>
      <c r="U956" s="81"/>
    </row>
    <row r="957" ht="14.25" customHeight="1" spans="1:21">
      <c r="A957" s="81"/>
      <c r="B957" s="81"/>
      <c r="C957" s="81"/>
      <c r="D957" s="681"/>
      <c r="E957" s="681"/>
      <c r="F957" s="81"/>
      <c r="G957" s="681"/>
      <c r="H957" s="683"/>
      <c r="I957" s="81"/>
      <c r="J957" s="81"/>
      <c r="K957" s="81"/>
      <c r="L957" s="81"/>
      <c r="M957" s="81"/>
      <c r="N957" s="681"/>
      <c r="O957" s="81"/>
      <c r="P957" s="81"/>
      <c r="Q957" s="81"/>
      <c r="R957" s="81"/>
      <c r="S957" s="81"/>
      <c r="T957" s="81"/>
      <c r="U957" s="81"/>
    </row>
    <row r="958" ht="14.25" customHeight="1" spans="1:21">
      <c r="A958" s="81"/>
      <c r="B958" s="81"/>
      <c r="C958" s="81"/>
      <c r="D958" s="681"/>
      <c r="E958" s="681"/>
      <c r="F958" s="81"/>
      <c r="G958" s="681"/>
      <c r="H958" s="683"/>
      <c r="I958" s="81"/>
      <c r="J958" s="81"/>
      <c r="K958" s="81"/>
      <c r="L958" s="81"/>
      <c r="M958" s="81"/>
      <c r="N958" s="681"/>
      <c r="O958" s="81"/>
      <c r="P958" s="81"/>
      <c r="Q958" s="81"/>
      <c r="R958" s="81"/>
      <c r="S958" s="81"/>
      <c r="T958" s="81"/>
      <c r="U958" s="81"/>
    </row>
    <row r="959" ht="14.25" customHeight="1" spans="1:21">
      <c r="A959" s="81"/>
      <c r="B959" s="81"/>
      <c r="C959" s="81"/>
      <c r="D959" s="681"/>
      <c r="E959" s="681"/>
      <c r="F959" s="81"/>
      <c r="G959" s="681"/>
      <c r="H959" s="683"/>
      <c r="I959" s="81"/>
      <c r="J959" s="81"/>
      <c r="K959" s="81"/>
      <c r="L959" s="81"/>
      <c r="M959" s="81"/>
      <c r="N959" s="681"/>
      <c r="O959" s="81"/>
      <c r="P959" s="81"/>
      <c r="Q959" s="81"/>
      <c r="R959" s="81"/>
      <c r="S959" s="81"/>
      <c r="T959" s="81"/>
      <c r="U959" s="81"/>
    </row>
    <row r="960" ht="14.25" customHeight="1" spans="1:21">
      <c r="A960" s="81"/>
      <c r="B960" s="81"/>
      <c r="C960" s="81"/>
      <c r="D960" s="681"/>
      <c r="E960" s="681"/>
      <c r="F960" s="81"/>
      <c r="G960" s="681"/>
      <c r="H960" s="683"/>
      <c r="I960" s="81"/>
      <c r="J960" s="81"/>
      <c r="K960" s="81"/>
      <c r="L960" s="81"/>
      <c r="M960" s="81"/>
      <c r="N960" s="681"/>
      <c r="O960" s="81"/>
      <c r="P960" s="81"/>
      <c r="Q960" s="81"/>
      <c r="R960" s="81"/>
      <c r="S960" s="81"/>
      <c r="T960" s="81"/>
      <c r="U960" s="81"/>
    </row>
    <row r="961" ht="14.25" customHeight="1" spans="1:21">
      <c r="A961" s="81"/>
      <c r="B961" s="81"/>
      <c r="C961" s="81"/>
      <c r="D961" s="681"/>
      <c r="E961" s="681"/>
      <c r="F961" s="81"/>
      <c r="G961" s="681"/>
      <c r="H961" s="683"/>
      <c r="I961" s="81"/>
      <c r="J961" s="81"/>
      <c r="K961" s="81"/>
      <c r="L961" s="81"/>
      <c r="M961" s="81"/>
      <c r="N961" s="681"/>
      <c r="O961" s="81"/>
      <c r="P961" s="81"/>
      <c r="Q961" s="81"/>
      <c r="R961" s="81"/>
      <c r="S961" s="81"/>
      <c r="T961" s="81"/>
      <c r="U961" s="81"/>
    </row>
    <row r="962" ht="14.25" customHeight="1" spans="1:21">
      <c r="A962" s="81"/>
      <c r="B962" s="81"/>
      <c r="C962" s="81"/>
      <c r="D962" s="681"/>
      <c r="E962" s="681"/>
      <c r="F962" s="81"/>
      <c r="G962" s="681"/>
      <c r="H962" s="683"/>
      <c r="I962" s="81"/>
      <c r="J962" s="81"/>
      <c r="K962" s="81"/>
      <c r="L962" s="81"/>
      <c r="M962" s="81"/>
      <c r="N962" s="681"/>
      <c r="O962" s="81"/>
      <c r="P962" s="81"/>
      <c r="Q962" s="81"/>
      <c r="R962" s="81"/>
      <c r="S962" s="81"/>
      <c r="T962" s="81"/>
      <c r="U962" s="81"/>
    </row>
    <row r="963" ht="14.25" customHeight="1" spans="1:21">
      <c r="A963" s="81"/>
      <c r="B963" s="81"/>
      <c r="C963" s="81"/>
      <c r="D963" s="681"/>
      <c r="E963" s="681"/>
      <c r="F963" s="81"/>
      <c r="G963" s="681"/>
      <c r="H963" s="683"/>
      <c r="I963" s="81"/>
      <c r="J963" s="81"/>
      <c r="K963" s="81"/>
      <c r="L963" s="81"/>
      <c r="M963" s="81"/>
      <c r="N963" s="681"/>
      <c r="O963" s="81"/>
      <c r="P963" s="81"/>
      <c r="Q963" s="81"/>
      <c r="R963" s="81"/>
      <c r="S963" s="81"/>
      <c r="T963" s="81"/>
      <c r="U963" s="81"/>
    </row>
    <row r="964" ht="14.25" customHeight="1" spans="1:21">
      <c r="A964" s="81"/>
      <c r="B964" s="81"/>
      <c r="C964" s="81"/>
      <c r="D964" s="681"/>
      <c r="E964" s="681"/>
      <c r="F964" s="81"/>
      <c r="G964" s="681"/>
      <c r="H964" s="683"/>
      <c r="I964" s="81"/>
      <c r="J964" s="81"/>
      <c r="K964" s="81"/>
      <c r="L964" s="81"/>
      <c r="M964" s="81"/>
      <c r="N964" s="681"/>
      <c r="O964" s="81"/>
      <c r="P964" s="81"/>
      <c r="Q964" s="81"/>
      <c r="R964" s="81"/>
      <c r="S964" s="81"/>
      <c r="T964" s="81"/>
      <c r="U964" s="81"/>
    </row>
    <row r="965" ht="14.25" customHeight="1" spans="1:21">
      <c r="A965" s="81"/>
      <c r="B965" s="81"/>
      <c r="C965" s="81"/>
      <c r="D965" s="681"/>
      <c r="E965" s="681"/>
      <c r="F965" s="81"/>
      <c r="G965" s="681"/>
      <c r="H965" s="683"/>
      <c r="I965" s="81"/>
      <c r="J965" s="81"/>
      <c r="K965" s="81"/>
      <c r="L965" s="81"/>
      <c r="M965" s="81"/>
      <c r="N965" s="681"/>
      <c r="O965" s="81"/>
      <c r="P965" s="81"/>
      <c r="Q965" s="81"/>
      <c r="R965" s="81"/>
      <c r="S965" s="81"/>
      <c r="T965" s="81"/>
      <c r="U965" s="81"/>
    </row>
    <row r="966" ht="14.25" customHeight="1" spans="1:21">
      <c r="A966" s="81"/>
      <c r="B966" s="81"/>
      <c r="C966" s="81"/>
      <c r="D966" s="681"/>
      <c r="E966" s="681"/>
      <c r="F966" s="81"/>
      <c r="G966" s="681"/>
      <c r="H966" s="683"/>
      <c r="I966" s="81"/>
      <c r="J966" s="81"/>
      <c r="K966" s="81"/>
      <c r="L966" s="81"/>
      <c r="M966" s="81"/>
      <c r="N966" s="681"/>
      <c r="O966" s="81"/>
      <c r="P966" s="81"/>
      <c r="Q966" s="81"/>
      <c r="R966" s="81"/>
      <c r="S966" s="81"/>
      <c r="T966" s="81"/>
      <c r="U966" s="81"/>
    </row>
    <row r="967" ht="14.25" customHeight="1" spans="1:21">
      <c r="A967" s="81"/>
      <c r="B967" s="81"/>
      <c r="C967" s="81"/>
      <c r="D967" s="681"/>
      <c r="E967" s="681"/>
      <c r="F967" s="81"/>
      <c r="G967" s="681"/>
      <c r="H967" s="683"/>
      <c r="I967" s="81"/>
      <c r="J967" s="81"/>
      <c r="K967" s="81"/>
      <c r="L967" s="81"/>
      <c r="M967" s="81"/>
      <c r="N967" s="681"/>
      <c r="O967" s="81"/>
      <c r="P967" s="81"/>
      <c r="Q967" s="81"/>
      <c r="R967" s="81"/>
      <c r="S967" s="81"/>
      <c r="T967" s="81"/>
      <c r="U967" s="81"/>
    </row>
    <row r="968" ht="14.25" customHeight="1" spans="1:21">
      <c r="A968" s="81"/>
      <c r="B968" s="81"/>
      <c r="C968" s="81"/>
      <c r="D968" s="681"/>
      <c r="E968" s="681"/>
      <c r="F968" s="81"/>
      <c r="G968" s="681"/>
      <c r="H968" s="683"/>
      <c r="I968" s="81"/>
      <c r="J968" s="81"/>
      <c r="K968" s="81"/>
      <c r="L968" s="81"/>
      <c r="M968" s="81"/>
      <c r="N968" s="681"/>
      <c r="O968" s="81"/>
      <c r="P968" s="81"/>
      <c r="Q968" s="81"/>
      <c r="R968" s="81"/>
      <c r="S968" s="81"/>
      <c r="T968" s="81"/>
      <c r="U968" s="81"/>
    </row>
    <row r="969" ht="14.25" customHeight="1" spans="1:21">
      <c r="A969" s="81"/>
      <c r="B969" s="81"/>
      <c r="C969" s="81"/>
      <c r="D969" s="681"/>
      <c r="E969" s="681"/>
      <c r="F969" s="81"/>
      <c r="G969" s="681"/>
      <c r="H969" s="683"/>
      <c r="I969" s="81"/>
      <c r="J969" s="81"/>
      <c r="K969" s="81"/>
      <c r="L969" s="81"/>
      <c r="M969" s="81"/>
      <c r="N969" s="681"/>
      <c r="O969" s="81"/>
      <c r="P969" s="81"/>
      <c r="Q969" s="81"/>
      <c r="R969" s="81"/>
      <c r="S969" s="81"/>
      <c r="T969" s="81"/>
      <c r="U969" s="81"/>
    </row>
    <row r="970" ht="14.25" customHeight="1" spans="1:21">
      <c r="A970" s="81"/>
      <c r="B970" s="81"/>
      <c r="C970" s="81"/>
      <c r="D970" s="681"/>
      <c r="E970" s="681"/>
      <c r="F970" s="81"/>
      <c r="G970" s="681"/>
      <c r="H970" s="683"/>
      <c r="I970" s="81"/>
      <c r="J970" s="81"/>
      <c r="K970" s="81"/>
      <c r="L970" s="81"/>
      <c r="M970" s="81"/>
      <c r="N970" s="681"/>
      <c r="O970" s="81"/>
      <c r="P970" s="81"/>
      <c r="Q970" s="81"/>
      <c r="R970" s="81"/>
      <c r="S970" s="81"/>
      <c r="T970" s="81"/>
      <c r="U970" s="81"/>
    </row>
    <row r="971" ht="14.25" customHeight="1" spans="1:21">
      <c r="A971" s="81"/>
      <c r="B971" s="81"/>
      <c r="C971" s="81"/>
      <c r="D971" s="681"/>
      <c r="E971" s="681"/>
      <c r="F971" s="81"/>
      <c r="G971" s="681"/>
      <c r="H971" s="683"/>
      <c r="I971" s="81"/>
      <c r="J971" s="81"/>
      <c r="K971" s="81"/>
      <c r="L971" s="81"/>
      <c r="M971" s="81"/>
      <c r="N971" s="681"/>
      <c r="O971" s="81"/>
      <c r="P971" s="81"/>
      <c r="Q971" s="81"/>
      <c r="R971" s="81"/>
      <c r="S971" s="81"/>
      <c r="T971" s="81"/>
      <c r="U971" s="81"/>
    </row>
    <row r="972" ht="14.25" customHeight="1" spans="1:21">
      <c r="A972" s="81"/>
      <c r="B972" s="81"/>
      <c r="C972" s="81"/>
      <c r="D972" s="681"/>
      <c r="E972" s="681"/>
      <c r="F972" s="81"/>
      <c r="G972" s="681"/>
      <c r="H972" s="683"/>
      <c r="I972" s="81"/>
      <c r="J972" s="81"/>
      <c r="K972" s="81"/>
      <c r="L972" s="81"/>
      <c r="M972" s="81"/>
      <c r="N972" s="681"/>
      <c r="O972" s="81"/>
      <c r="P972" s="81"/>
      <c r="Q972" s="81"/>
      <c r="R972" s="81"/>
      <c r="S972" s="81"/>
      <c r="T972" s="81"/>
      <c r="U972" s="81"/>
    </row>
    <row r="973" ht="14.25" customHeight="1" spans="1:21">
      <c r="A973" s="81"/>
      <c r="B973" s="81"/>
      <c r="C973" s="81"/>
      <c r="D973" s="681"/>
      <c r="E973" s="681"/>
      <c r="F973" s="81"/>
      <c r="G973" s="681"/>
      <c r="H973" s="683"/>
      <c r="I973" s="81"/>
      <c r="J973" s="81"/>
      <c r="K973" s="81"/>
      <c r="L973" s="81"/>
      <c r="M973" s="81"/>
      <c r="N973" s="681"/>
      <c r="O973" s="81"/>
      <c r="P973" s="81"/>
      <c r="Q973" s="81"/>
      <c r="R973" s="81"/>
      <c r="S973" s="81"/>
      <c r="T973" s="81"/>
      <c r="U973" s="81"/>
    </row>
    <row r="974" ht="14.25" customHeight="1" spans="1:21">
      <c r="A974" s="81"/>
      <c r="B974" s="81"/>
      <c r="C974" s="81"/>
      <c r="D974" s="681"/>
      <c r="E974" s="681"/>
      <c r="F974" s="81"/>
      <c r="G974" s="681"/>
      <c r="H974" s="683"/>
      <c r="I974" s="81"/>
      <c r="J974" s="81"/>
      <c r="K974" s="81"/>
      <c r="L974" s="81"/>
      <c r="M974" s="81"/>
      <c r="N974" s="681"/>
      <c r="O974" s="81"/>
      <c r="P974" s="81"/>
      <c r="Q974" s="81"/>
      <c r="R974" s="81"/>
      <c r="S974" s="81"/>
      <c r="T974" s="81"/>
      <c r="U974" s="81"/>
    </row>
    <row r="975" ht="14.25" customHeight="1" spans="1:21">
      <c r="A975" s="81"/>
      <c r="B975" s="81"/>
      <c r="C975" s="81"/>
      <c r="D975" s="681"/>
      <c r="E975" s="681"/>
      <c r="F975" s="81"/>
      <c r="G975" s="681"/>
      <c r="H975" s="683"/>
      <c r="I975" s="81"/>
      <c r="J975" s="81"/>
      <c r="K975" s="81"/>
      <c r="L975" s="81"/>
      <c r="M975" s="81"/>
      <c r="N975" s="681"/>
      <c r="O975" s="81"/>
      <c r="P975" s="81"/>
      <c r="Q975" s="81"/>
      <c r="R975" s="81"/>
      <c r="S975" s="81"/>
      <c r="T975" s="81"/>
      <c r="U975" s="81"/>
    </row>
    <row r="976" ht="14.25" customHeight="1" spans="1:21">
      <c r="A976" s="81"/>
      <c r="B976" s="81"/>
      <c r="C976" s="81"/>
      <c r="D976" s="681"/>
      <c r="E976" s="681"/>
      <c r="F976" s="81"/>
      <c r="G976" s="681"/>
      <c r="H976" s="683"/>
      <c r="I976" s="81"/>
      <c r="J976" s="81"/>
      <c r="K976" s="81"/>
      <c r="L976" s="81"/>
      <c r="M976" s="81"/>
      <c r="N976" s="681"/>
      <c r="O976" s="81"/>
      <c r="P976" s="81"/>
      <c r="Q976" s="81"/>
      <c r="R976" s="81"/>
      <c r="S976" s="81"/>
      <c r="T976" s="81"/>
      <c r="U976" s="81"/>
    </row>
    <row r="977" ht="14.25" customHeight="1" spans="1:21">
      <c r="A977" s="81"/>
      <c r="B977" s="81"/>
      <c r="C977" s="81"/>
      <c r="D977" s="681"/>
      <c r="E977" s="681"/>
      <c r="F977" s="81"/>
      <c r="G977" s="681"/>
      <c r="H977" s="683"/>
      <c r="I977" s="81"/>
      <c r="J977" s="81"/>
      <c r="K977" s="81"/>
      <c r="L977" s="81"/>
      <c r="M977" s="81"/>
      <c r="N977" s="681"/>
      <c r="O977" s="81"/>
      <c r="P977" s="81"/>
      <c r="Q977" s="81"/>
      <c r="R977" s="81"/>
      <c r="S977" s="81"/>
      <c r="T977" s="81"/>
      <c r="U977" s="81"/>
    </row>
    <row r="978" ht="14.25" customHeight="1" spans="1:21">
      <c r="A978" s="81"/>
      <c r="B978" s="81"/>
      <c r="C978" s="81"/>
      <c r="D978" s="681"/>
      <c r="E978" s="681"/>
      <c r="F978" s="81"/>
      <c r="G978" s="681"/>
      <c r="H978" s="683"/>
      <c r="I978" s="81"/>
      <c r="J978" s="81"/>
      <c r="K978" s="81"/>
      <c r="L978" s="81"/>
      <c r="M978" s="81"/>
      <c r="N978" s="681"/>
      <c r="O978" s="81"/>
      <c r="P978" s="81"/>
      <c r="Q978" s="81"/>
      <c r="R978" s="81"/>
      <c r="S978" s="81"/>
      <c r="T978" s="81"/>
      <c r="U978" s="81"/>
    </row>
    <row r="979" ht="14.25" customHeight="1" spans="1:21">
      <c r="A979" s="81"/>
      <c r="B979" s="81"/>
      <c r="C979" s="81"/>
      <c r="D979" s="681"/>
      <c r="E979" s="681"/>
      <c r="F979" s="81"/>
      <c r="G979" s="681"/>
      <c r="H979" s="683"/>
      <c r="I979" s="81"/>
      <c r="J979" s="81"/>
      <c r="K979" s="81"/>
      <c r="L979" s="81"/>
      <c r="M979" s="81"/>
      <c r="N979" s="681"/>
      <c r="O979" s="81"/>
      <c r="P979" s="81"/>
      <c r="Q979" s="81"/>
      <c r="R979" s="81"/>
      <c r="S979" s="81"/>
      <c r="T979" s="81"/>
      <c r="U979" s="81"/>
    </row>
    <row r="980" ht="14.25" customHeight="1" spans="1:21">
      <c r="A980" s="81"/>
      <c r="B980" s="81"/>
      <c r="C980" s="81"/>
      <c r="D980" s="681"/>
      <c r="E980" s="681"/>
      <c r="F980" s="81"/>
      <c r="G980" s="681"/>
      <c r="H980" s="683"/>
      <c r="I980" s="81"/>
      <c r="J980" s="81"/>
      <c r="K980" s="81"/>
      <c r="L980" s="81"/>
      <c r="M980" s="81"/>
      <c r="N980" s="681"/>
      <c r="O980" s="81"/>
      <c r="P980" s="81"/>
      <c r="Q980" s="81"/>
      <c r="R980" s="81"/>
      <c r="S980" s="81"/>
      <c r="T980" s="81"/>
      <c r="U980" s="81"/>
    </row>
    <row r="981" ht="14.25" customHeight="1" spans="1:21">
      <c r="A981" s="81"/>
      <c r="B981" s="81"/>
      <c r="C981" s="81"/>
      <c r="D981" s="681"/>
      <c r="E981" s="681"/>
      <c r="F981" s="81"/>
      <c r="G981" s="681"/>
      <c r="H981" s="683"/>
      <c r="I981" s="81"/>
      <c r="J981" s="81"/>
      <c r="K981" s="81"/>
      <c r="L981" s="81"/>
      <c r="M981" s="81"/>
      <c r="N981" s="681"/>
      <c r="O981" s="81"/>
      <c r="P981" s="81"/>
      <c r="Q981" s="81"/>
      <c r="R981" s="81"/>
      <c r="S981" s="81"/>
      <c r="T981" s="81"/>
      <c r="U981" s="81"/>
    </row>
    <row r="982" ht="14.25" customHeight="1" spans="1:21">
      <c r="A982" s="81"/>
      <c r="B982" s="81"/>
      <c r="C982" s="81"/>
      <c r="D982" s="681"/>
      <c r="E982" s="681"/>
      <c r="F982" s="81"/>
      <c r="G982" s="681"/>
      <c r="H982" s="683"/>
      <c r="I982" s="81"/>
      <c r="J982" s="81"/>
      <c r="K982" s="81"/>
      <c r="L982" s="81"/>
      <c r="M982" s="81"/>
      <c r="N982" s="681"/>
      <c r="O982" s="81"/>
      <c r="P982" s="81"/>
      <c r="Q982" s="81"/>
      <c r="R982" s="81"/>
      <c r="S982" s="81"/>
      <c r="T982" s="81"/>
      <c r="U982" s="81"/>
    </row>
    <row r="983" ht="14.25" customHeight="1" spans="1:21">
      <c r="A983" s="81"/>
      <c r="B983" s="81"/>
      <c r="C983" s="81"/>
      <c r="D983" s="681"/>
      <c r="E983" s="681"/>
      <c r="F983" s="81"/>
      <c r="G983" s="681"/>
      <c r="H983" s="683"/>
      <c r="I983" s="81"/>
      <c r="J983" s="81"/>
      <c r="K983" s="81"/>
      <c r="L983" s="81"/>
      <c r="M983" s="81"/>
      <c r="N983" s="681"/>
      <c r="O983" s="81"/>
      <c r="P983" s="81"/>
      <c r="Q983" s="81"/>
      <c r="R983" s="81"/>
      <c r="S983" s="81"/>
      <c r="T983" s="81"/>
      <c r="U983" s="81"/>
    </row>
    <row r="984" ht="14.25" customHeight="1" spans="1:21">
      <c r="A984" s="81"/>
      <c r="B984" s="81"/>
      <c r="C984" s="81"/>
      <c r="D984" s="681"/>
      <c r="E984" s="681"/>
      <c r="F984" s="81"/>
      <c r="G984" s="681"/>
      <c r="H984" s="683"/>
      <c r="I984" s="81"/>
      <c r="J984" s="81"/>
      <c r="K984" s="81"/>
      <c r="L984" s="81"/>
      <c r="M984" s="81"/>
      <c r="N984" s="681"/>
      <c r="O984" s="81"/>
      <c r="P984" s="81"/>
      <c r="Q984" s="81"/>
      <c r="R984" s="81"/>
      <c r="S984" s="81"/>
      <c r="T984" s="81"/>
      <c r="U984" s="81"/>
    </row>
    <row r="985" ht="14.25" customHeight="1" spans="1:21">
      <c r="A985" s="81"/>
      <c r="B985" s="81"/>
      <c r="C985" s="81"/>
      <c r="D985" s="681"/>
      <c r="E985" s="681"/>
      <c r="F985" s="81"/>
      <c r="G985" s="681"/>
      <c r="H985" s="683"/>
      <c r="I985" s="81"/>
      <c r="J985" s="81"/>
      <c r="K985" s="81"/>
      <c r="L985" s="81"/>
      <c r="M985" s="81"/>
      <c r="N985" s="681"/>
      <c r="O985" s="81"/>
      <c r="P985" s="81"/>
      <c r="Q985" s="81"/>
      <c r="R985" s="81"/>
      <c r="S985" s="81"/>
      <c r="T985" s="81"/>
      <c r="U985" s="81"/>
    </row>
    <row r="986" ht="14.25" customHeight="1" spans="1:21">
      <c r="A986" s="81"/>
      <c r="B986" s="81"/>
      <c r="C986" s="81"/>
      <c r="D986" s="681"/>
      <c r="E986" s="681"/>
      <c r="F986" s="81"/>
      <c r="G986" s="681"/>
      <c r="H986" s="683"/>
      <c r="I986" s="81"/>
      <c r="J986" s="81"/>
      <c r="K986" s="81"/>
      <c r="L986" s="81"/>
      <c r="M986" s="81"/>
      <c r="N986" s="681"/>
      <c r="O986" s="81"/>
      <c r="P986" s="81"/>
      <c r="Q986" s="81"/>
      <c r="R986" s="81"/>
      <c r="S986" s="81"/>
      <c r="T986" s="81"/>
      <c r="U986" s="81"/>
    </row>
    <row r="987" ht="14.25" customHeight="1" spans="1:21">
      <c r="A987" s="81"/>
      <c r="B987" s="81"/>
      <c r="C987" s="81"/>
      <c r="D987" s="681"/>
      <c r="E987" s="681"/>
      <c r="F987" s="81"/>
      <c r="G987" s="681"/>
      <c r="H987" s="683"/>
      <c r="I987" s="81"/>
      <c r="J987" s="81"/>
      <c r="K987" s="81"/>
      <c r="L987" s="81"/>
      <c r="M987" s="81"/>
      <c r="N987" s="681"/>
      <c r="O987" s="81"/>
      <c r="P987" s="81"/>
      <c r="Q987" s="81"/>
      <c r="R987" s="81"/>
      <c r="S987" s="81"/>
      <c r="T987" s="81"/>
      <c r="U987" s="81"/>
    </row>
    <row r="988" ht="14.25" customHeight="1" spans="1:21">
      <c r="A988" s="81"/>
      <c r="B988" s="81"/>
      <c r="C988" s="81"/>
      <c r="D988" s="681"/>
      <c r="E988" s="681"/>
      <c r="F988" s="81"/>
      <c r="G988" s="681"/>
      <c r="H988" s="683"/>
      <c r="I988" s="81"/>
      <c r="J988" s="81"/>
      <c r="K988" s="81"/>
      <c r="L988" s="81"/>
      <c r="M988" s="81"/>
      <c r="N988" s="681"/>
      <c r="O988" s="81"/>
      <c r="P988" s="81"/>
      <c r="Q988" s="81"/>
      <c r="R988" s="81"/>
      <c r="S988" s="81"/>
      <c r="T988" s="81"/>
      <c r="U988" s="81"/>
    </row>
    <row r="989" ht="14.25" customHeight="1" spans="1:21">
      <c r="A989" s="81"/>
      <c r="B989" s="81"/>
      <c r="C989" s="81"/>
      <c r="D989" s="681"/>
      <c r="E989" s="681"/>
      <c r="F989" s="81"/>
      <c r="G989" s="681"/>
      <c r="H989" s="683"/>
      <c r="I989" s="81"/>
      <c r="J989" s="81"/>
      <c r="K989" s="81"/>
      <c r="L989" s="81"/>
      <c r="M989" s="81"/>
      <c r="N989" s="681"/>
      <c r="O989" s="81"/>
      <c r="P989" s="81"/>
      <c r="Q989" s="81"/>
      <c r="R989" s="81"/>
      <c r="S989" s="81"/>
      <c r="T989" s="81"/>
      <c r="U989" s="81"/>
    </row>
    <row r="990" ht="14.25" customHeight="1" spans="1:21">
      <c r="A990" s="81"/>
      <c r="B990" s="81"/>
      <c r="C990" s="81"/>
      <c r="D990" s="681"/>
      <c r="E990" s="681"/>
      <c r="F990" s="81"/>
      <c r="G990" s="681"/>
      <c r="H990" s="683"/>
      <c r="I990" s="81"/>
      <c r="J990" s="81"/>
      <c r="K990" s="81"/>
      <c r="L990" s="81"/>
      <c r="M990" s="81"/>
      <c r="N990" s="681"/>
      <c r="O990" s="81"/>
      <c r="P990" s="81"/>
      <c r="Q990" s="81"/>
      <c r="R990" s="81"/>
      <c r="S990" s="81"/>
      <c r="T990" s="81"/>
      <c r="U990" s="81"/>
    </row>
    <row r="991" ht="14.25" customHeight="1" spans="1:21">
      <c r="A991" s="81"/>
      <c r="B991" s="81"/>
      <c r="C991" s="81"/>
      <c r="D991" s="681"/>
      <c r="E991" s="681"/>
      <c r="F991" s="81"/>
      <c r="G991" s="681"/>
      <c r="H991" s="683"/>
      <c r="I991" s="81"/>
      <c r="J991" s="81"/>
      <c r="K991" s="81"/>
      <c r="L991" s="81"/>
      <c r="M991" s="81"/>
      <c r="N991" s="681"/>
      <c r="O991" s="81"/>
      <c r="P991" s="81"/>
      <c r="Q991" s="81"/>
      <c r="R991" s="81"/>
      <c r="S991" s="81"/>
      <c r="T991" s="81"/>
      <c r="U991" s="81"/>
    </row>
    <row r="992" ht="14.25" customHeight="1" spans="1:21">
      <c r="A992" s="81"/>
      <c r="B992" s="81"/>
      <c r="C992" s="81"/>
      <c r="D992" s="681"/>
      <c r="E992" s="681"/>
      <c r="F992" s="81"/>
      <c r="G992" s="681"/>
      <c r="H992" s="683"/>
      <c r="I992" s="81"/>
      <c r="J992" s="81"/>
      <c r="K992" s="81"/>
      <c r="L992" s="81"/>
      <c r="M992" s="81"/>
      <c r="N992" s="681"/>
      <c r="O992" s="81"/>
      <c r="P992" s="81"/>
      <c r="Q992" s="81"/>
      <c r="R992" s="81"/>
      <c r="S992" s="81"/>
      <c r="T992" s="81"/>
      <c r="U992" s="81"/>
    </row>
    <row r="993" ht="14.25" customHeight="1" spans="1:21">
      <c r="A993" s="81"/>
      <c r="B993" s="81"/>
      <c r="C993" s="81"/>
      <c r="D993" s="681"/>
      <c r="E993" s="681"/>
      <c r="F993" s="81"/>
      <c r="G993" s="681"/>
      <c r="H993" s="683"/>
      <c r="I993" s="81"/>
      <c r="J993" s="81"/>
      <c r="K993" s="81"/>
      <c r="L993" s="81"/>
      <c r="M993" s="81"/>
      <c r="N993" s="681"/>
      <c r="O993" s="81"/>
      <c r="P993" s="81"/>
      <c r="Q993" s="81"/>
      <c r="R993" s="81"/>
      <c r="S993" s="81"/>
      <c r="T993" s="81"/>
      <c r="U993" s="81"/>
    </row>
    <row r="994" ht="14.25" customHeight="1" spans="1:21">
      <c r="A994" s="81"/>
      <c r="B994" s="81"/>
      <c r="C994" s="81"/>
      <c r="D994" s="681"/>
      <c r="E994" s="681"/>
      <c r="F994" s="81"/>
      <c r="G994" s="681"/>
      <c r="H994" s="683"/>
      <c r="I994" s="81"/>
      <c r="J994" s="81"/>
      <c r="K994" s="81"/>
      <c r="L994" s="81"/>
      <c r="M994" s="81"/>
      <c r="N994" s="681"/>
      <c r="O994" s="81"/>
      <c r="P994" s="81"/>
      <c r="Q994" s="81"/>
      <c r="R994" s="81"/>
      <c r="S994" s="81"/>
      <c r="T994" s="81"/>
      <c r="U994" s="81"/>
    </row>
    <row r="995" ht="14.25" customHeight="1" spans="1:21">
      <c r="A995" s="81"/>
      <c r="B995" s="81"/>
      <c r="C995" s="81"/>
      <c r="D995" s="681"/>
      <c r="E995" s="681"/>
      <c r="F995" s="81"/>
      <c r="G995" s="681"/>
      <c r="H995" s="683"/>
      <c r="I995" s="81"/>
      <c r="J995" s="81"/>
      <c r="K995" s="81"/>
      <c r="L995" s="81"/>
      <c r="M995" s="81"/>
      <c r="N995" s="681"/>
      <c r="O995" s="81"/>
      <c r="P995" s="81"/>
      <c r="Q995" s="81"/>
      <c r="R995" s="81"/>
      <c r="S995" s="81"/>
      <c r="T995" s="81"/>
      <c r="U995" s="81"/>
    </row>
    <row r="996" ht="14.25" customHeight="1" spans="1:21">
      <c r="A996" s="81"/>
      <c r="B996" s="81"/>
      <c r="C996" s="81"/>
      <c r="D996" s="681"/>
      <c r="E996" s="681"/>
      <c r="F996" s="81"/>
      <c r="G996" s="681"/>
      <c r="H996" s="683"/>
      <c r="I996" s="81"/>
      <c r="J996" s="81"/>
      <c r="K996" s="81"/>
      <c r="L996" s="81"/>
      <c r="M996" s="81"/>
      <c r="N996" s="681"/>
      <c r="O996" s="81"/>
      <c r="P996" s="81"/>
      <c r="Q996" s="81"/>
      <c r="R996" s="81"/>
      <c r="S996" s="81"/>
      <c r="T996" s="81"/>
      <c r="U996" s="81"/>
    </row>
    <row r="997" ht="14.25" customHeight="1" spans="1:21">
      <c r="A997" s="81"/>
      <c r="B997" s="81"/>
      <c r="C997" s="81"/>
      <c r="D997" s="681"/>
      <c r="E997" s="681"/>
      <c r="F997" s="81"/>
      <c r="G997" s="681"/>
      <c r="H997" s="683"/>
      <c r="I997" s="81"/>
      <c r="J997" s="81"/>
      <c r="K997" s="81"/>
      <c r="L997" s="81"/>
      <c r="M997" s="81"/>
      <c r="N997" s="681"/>
      <c r="O997" s="81"/>
      <c r="P997" s="81"/>
      <c r="Q997" s="81"/>
      <c r="R997" s="81"/>
      <c r="S997" s="81"/>
      <c r="T997" s="81"/>
      <c r="U997" s="81"/>
    </row>
    <row r="998" ht="14.25" customHeight="1" spans="1:21">
      <c r="A998" s="81"/>
      <c r="B998" s="81"/>
      <c r="C998" s="81"/>
      <c r="D998" s="681"/>
      <c r="E998" s="681"/>
      <c r="F998" s="81"/>
      <c r="G998" s="681"/>
      <c r="H998" s="683"/>
      <c r="I998" s="81"/>
      <c r="J998" s="81"/>
      <c r="K998" s="81"/>
      <c r="L998" s="81"/>
      <c r="M998" s="81"/>
      <c r="N998" s="681"/>
      <c r="O998" s="81"/>
      <c r="P998" s="81"/>
      <c r="Q998" s="81"/>
      <c r="R998" s="81"/>
      <c r="S998" s="81"/>
      <c r="T998" s="81"/>
      <c r="U998" s="81"/>
    </row>
    <row r="999" ht="14.25" customHeight="1" spans="1:21">
      <c r="A999" s="81"/>
      <c r="B999" s="81"/>
      <c r="C999" s="81"/>
      <c r="D999" s="681"/>
      <c r="E999" s="681"/>
      <c r="F999" s="81"/>
      <c r="G999" s="681"/>
      <c r="H999" s="683"/>
      <c r="I999" s="81"/>
      <c r="J999" s="81"/>
      <c r="K999" s="81"/>
      <c r="L999" s="81"/>
      <c r="M999" s="81"/>
      <c r="N999" s="681"/>
      <c r="O999" s="81"/>
      <c r="P999" s="81"/>
      <c r="Q999" s="81"/>
      <c r="R999" s="81"/>
      <c r="S999" s="81"/>
      <c r="T999" s="81"/>
      <c r="U999" s="81"/>
    </row>
    <row r="1000" ht="14.25" customHeight="1" spans="1:21">
      <c r="A1000" s="81"/>
      <c r="B1000" s="81"/>
      <c r="C1000" s="81"/>
      <c r="D1000" s="681"/>
      <c r="E1000" s="681"/>
      <c r="F1000" s="81"/>
      <c r="G1000" s="681"/>
      <c r="H1000" s="683"/>
      <c r="I1000" s="81"/>
      <c r="J1000" s="81"/>
      <c r="K1000" s="81"/>
      <c r="L1000" s="81"/>
      <c r="M1000" s="81"/>
      <c r="N1000" s="681"/>
      <c r="O1000" s="81"/>
      <c r="P1000" s="81"/>
      <c r="Q1000" s="81"/>
      <c r="R1000" s="81"/>
      <c r="S1000" s="81"/>
      <c r="T1000" s="81"/>
      <c r="U1000" s="81"/>
    </row>
    <row r="1001" ht="14.25" customHeight="1" spans="1:21">
      <c r="A1001" s="81"/>
      <c r="B1001" s="81"/>
      <c r="C1001" s="81"/>
      <c r="D1001" s="681"/>
      <c r="E1001" s="681"/>
      <c r="F1001" s="81"/>
      <c r="G1001" s="681"/>
      <c r="H1001" s="683"/>
      <c r="I1001" s="81"/>
      <c r="J1001" s="81"/>
      <c r="K1001" s="81"/>
      <c r="L1001" s="81"/>
      <c r="M1001" s="81"/>
      <c r="N1001" s="681"/>
      <c r="O1001" s="81"/>
      <c r="P1001" s="81"/>
      <c r="Q1001" s="81"/>
      <c r="R1001" s="81"/>
      <c r="S1001" s="81"/>
      <c r="T1001" s="81"/>
      <c r="U1001" s="81"/>
    </row>
    <row r="1002" ht="14.25" customHeight="1" spans="1:21">
      <c r="A1002" s="81"/>
      <c r="B1002" s="81"/>
      <c r="C1002" s="81"/>
      <c r="D1002" s="681"/>
      <c r="E1002" s="681"/>
      <c r="F1002" s="81"/>
      <c r="G1002" s="681"/>
      <c r="H1002" s="683"/>
      <c r="I1002" s="81"/>
      <c r="J1002" s="81"/>
      <c r="K1002" s="81"/>
      <c r="L1002" s="81"/>
      <c r="M1002" s="81"/>
      <c r="N1002" s="681"/>
      <c r="O1002" s="81"/>
      <c r="P1002" s="81"/>
      <c r="Q1002" s="81"/>
      <c r="R1002" s="81"/>
      <c r="S1002" s="81"/>
      <c r="T1002" s="81"/>
      <c r="U1002" s="81"/>
    </row>
    <row r="1003" ht="14.25" customHeight="1" spans="1:21">
      <c r="A1003" s="81"/>
      <c r="B1003" s="81"/>
      <c r="C1003" s="81"/>
      <c r="D1003" s="681"/>
      <c r="E1003" s="681"/>
      <c r="F1003" s="81"/>
      <c r="G1003" s="681"/>
      <c r="H1003" s="683"/>
      <c r="I1003" s="81"/>
      <c r="J1003" s="81"/>
      <c r="K1003" s="81"/>
      <c r="L1003" s="81"/>
      <c r="M1003" s="81"/>
      <c r="N1003" s="681"/>
      <c r="O1003" s="81"/>
      <c r="P1003" s="81"/>
      <c r="Q1003" s="81"/>
      <c r="R1003" s="81"/>
      <c r="S1003" s="81"/>
      <c r="T1003" s="81"/>
      <c r="U1003" s="81"/>
    </row>
    <row r="1004" ht="14.25" customHeight="1" spans="1:21">
      <c r="A1004" s="81"/>
      <c r="B1004" s="81"/>
      <c r="C1004" s="81"/>
      <c r="D1004" s="681"/>
      <c r="E1004" s="681"/>
      <c r="F1004" s="81"/>
      <c r="G1004" s="681"/>
      <c r="H1004" s="683"/>
      <c r="I1004" s="81"/>
      <c r="J1004" s="81"/>
      <c r="K1004" s="81"/>
      <c r="L1004" s="81"/>
      <c r="M1004" s="81"/>
      <c r="N1004" s="681"/>
      <c r="O1004" s="81"/>
      <c r="P1004" s="81"/>
      <c r="Q1004" s="81"/>
      <c r="R1004" s="81"/>
      <c r="S1004" s="81"/>
      <c r="T1004" s="81"/>
      <c r="U1004" s="81"/>
    </row>
    <row r="1005" ht="14.25" customHeight="1" spans="1:21">
      <c r="A1005" s="81"/>
      <c r="B1005" s="81"/>
      <c r="C1005" s="81"/>
      <c r="D1005" s="681"/>
      <c r="E1005" s="681"/>
      <c r="F1005" s="81"/>
      <c r="G1005" s="681"/>
      <c r="H1005" s="683"/>
      <c r="I1005" s="81"/>
      <c r="J1005" s="81"/>
      <c r="K1005" s="81"/>
      <c r="L1005" s="81"/>
      <c r="M1005" s="81"/>
      <c r="N1005" s="681"/>
      <c r="O1005" s="81"/>
      <c r="P1005" s="81"/>
      <c r="Q1005" s="81"/>
      <c r="R1005" s="81"/>
      <c r="S1005" s="81"/>
      <c r="T1005" s="81"/>
      <c r="U1005" s="81"/>
    </row>
    <row r="1006" ht="14.25" customHeight="1" spans="1:21">
      <c r="A1006" s="81"/>
      <c r="B1006" s="81"/>
      <c r="C1006" s="81"/>
      <c r="D1006" s="681"/>
      <c r="E1006" s="681"/>
      <c r="F1006" s="81"/>
      <c r="G1006" s="681"/>
      <c r="H1006" s="683"/>
      <c r="I1006" s="81"/>
      <c r="J1006" s="81"/>
      <c r="K1006" s="81"/>
      <c r="L1006" s="81"/>
      <c r="M1006" s="81"/>
      <c r="N1006" s="681"/>
      <c r="O1006" s="81"/>
      <c r="P1006" s="81"/>
      <c r="Q1006" s="81"/>
      <c r="R1006" s="81"/>
      <c r="S1006" s="81"/>
      <c r="T1006" s="81"/>
      <c r="U1006" s="81"/>
    </row>
    <row r="1007" ht="14.25" customHeight="1" spans="1:21">
      <c r="A1007" s="81"/>
      <c r="B1007" s="81"/>
      <c r="C1007" s="81"/>
      <c r="D1007" s="681"/>
      <c r="E1007" s="681"/>
      <c r="F1007" s="81"/>
      <c r="G1007" s="681"/>
      <c r="H1007" s="683"/>
      <c r="I1007" s="81"/>
      <c r="J1007" s="81"/>
      <c r="K1007" s="81"/>
      <c r="L1007" s="81"/>
      <c r="M1007" s="81"/>
      <c r="N1007" s="681"/>
      <c r="O1007" s="81"/>
      <c r="P1007" s="81"/>
      <c r="Q1007" s="81"/>
      <c r="R1007" s="81"/>
      <c r="S1007" s="81"/>
      <c r="T1007" s="81"/>
      <c r="U1007" s="81"/>
    </row>
    <row r="1008" ht="14.25" customHeight="1" spans="1:21">
      <c r="A1008" s="81"/>
      <c r="B1008" s="81"/>
      <c r="C1008" s="81"/>
      <c r="D1008" s="681"/>
      <c r="E1008" s="681"/>
      <c r="F1008" s="81"/>
      <c r="G1008" s="681"/>
      <c r="H1008" s="683"/>
      <c r="I1008" s="81"/>
      <c r="J1008" s="81"/>
      <c r="K1008" s="81"/>
      <c r="L1008" s="81"/>
      <c r="M1008" s="81"/>
      <c r="N1008" s="681"/>
      <c r="O1008" s="81"/>
      <c r="P1008" s="81"/>
      <c r="Q1008" s="81"/>
      <c r="R1008" s="81"/>
      <c r="S1008" s="81"/>
      <c r="T1008" s="81"/>
      <c r="U1008" s="81"/>
    </row>
    <row r="1009" ht="14.25" customHeight="1" spans="1:21">
      <c r="A1009" s="81"/>
      <c r="B1009" s="81"/>
      <c r="C1009" s="81"/>
      <c r="D1009" s="681"/>
      <c r="E1009" s="681"/>
      <c r="F1009" s="81"/>
      <c r="G1009" s="681"/>
      <c r="H1009" s="683"/>
      <c r="I1009" s="81"/>
      <c r="J1009" s="81"/>
      <c r="K1009" s="81"/>
      <c r="L1009" s="81"/>
      <c r="M1009" s="81"/>
      <c r="N1009" s="681"/>
      <c r="O1009" s="81"/>
      <c r="P1009" s="81"/>
      <c r="Q1009" s="81"/>
      <c r="R1009" s="81"/>
      <c r="S1009" s="81"/>
      <c r="T1009" s="81"/>
      <c r="U1009" s="81"/>
    </row>
    <row r="1010" ht="14.25" customHeight="1" spans="1:21">
      <c r="A1010" s="81"/>
      <c r="B1010" s="81"/>
      <c r="C1010" s="81"/>
      <c r="D1010" s="681"/>
      <c r="E1010" s="681"/>
      <c r="F1010" s="81"/>
      <c r="G1010" s="681"/>
      <c r="H1010" s="683"/>
      <c r="I1010" s="81"/>
      <c r="J1010" s="81"/>
      <c r="K1010" s="81"/>
      <c r="L1010" s="81"/>
      <c r="M1010" s="81"/>
      <c r="N1010" s="681"/>
      <c r="O1010" s="81"/>
      <c r="P1010" s="81"/>
      <c r="Q1010" s="81"/>
      <c r="R1010" s="81"/>
      <c r="S1010" s="81"/>
      <c r="T1010" s="81"/>
      <c r="U1010" s="81"/>
    </row>
    <row r="1011" ht="14.25" customHeight="1" spans="1:21">
      <c r="A1011" s="81"/>
      <c r="B1011" s="81"/>
      <c r="C1011" s="81"/>
      <c r="D1011" s="681"/>
      <c r="E1011" s="681"/>
      <c r="F1011" s="81"/>
      <c r="G1011" s="681"/>
      <c r="H1011" s="683"/>
      <c r="I1011" s="81"/>
      <c r="J1011" s="81"/>
      <c r="K1011" s="81"/>
      <c r="L1011" s="81"/>
      <c r="M1011" s="81"/>
      <c r="N1011" s="681"/>
      <c r="O1011" s="81"/>
      <c r="P1011" s="81"/>
      <c r="Q1011" s="81"/>
      <c r="R1011" s="81"/>
      <c r="S1011" s="81"/>
      <c r="T1011" s="81"/>
      <c r="U1011" s="81"/>
    </row>
    <row r="1012" ht="14.25" customHeight="1" spans="1:21">
      <c r="A1012" s="81"/>
      <c r="B1012" s="81"/>
      <c r="C1012" s="81"/>
      <c r="D1012" s="681"/>
      <c r="E1012" s="681"/>
      <c r="F1012" s="81"/>
      <c r="G1012" s="681"/>
      <c r="H1012" s="683"/>
      <c r="I1012" s="81"/>
      <c r="J1012" s="81"/>
      <c r="K1012" s="81"/>
      <c r="L1012" s="81"/>
      <c r="M1012" s="81"/>
      <c r="N1012" s="681"/>
      <c r="O1012" s="81"/>
      <c r="P1012" s="81"/>
      <c r="Q1012" s="81"/>
      <c r="R1012" s="81"/>
      <c r="S1012" s="81"/>
      <c r="T1012" s="81"/>
      <c r="U1012" s="81"/>
    </row>
    <row r="1013" ht="14.25" customHeight="1" spans="1:21">
      <c r="A1013" s="81"/>
      <c r="B1013" s="81"/>
      <c r="C1013" s="81"/>
      <c r="D1013" s="681"/>
      <c r="E1013" s="681"/>
      <c r="F1013" s="81"/>
      <c r="G1013" s="681"/>
      <c r="H1013" s="683"/>
      <c r="I1013" s="81"/>
      <c r="J1013" s="81"/>
      <c r="K1013" s="81"/>
      <c r="L1013" s="81"/>
      <c r="M1013" s="81"/>
      <c r="N1013" s="681"/>
      <c r="O1013" s="81"/>
      <c r="P1013" s="81"/>
      <c r="Q1013" s="81"/>
      <c r="R1013" s="81"/>
      <c r="S1013" s="81"/>
      <c r="T1013" s="81"/>
      <c r="U1013" s="81"/>
    </row>
    <row r="1014" ht="14.25" customHeight="1" spans="1:21">
      <c r="A1014" s="81"/>
      <c r="B1014" s="81"/>
      <c r="C1014" s="81"/>
      <c r="D1014" s="681"/>
      <c r="E1014" s="681"/>
      <c r="F1014" s="81"/>
      <c r="G1014" s="681"/>
      <c r="H1014" s="683"/>
      <c r="I1014" s="81"/>
      <c r="J1014" s="81"/>
      <c r="K1014" s="81"/>
      <c r="L1014" s="81"/>
      <c r="M1014" s="81"/>
      <c r="N1014" s="681"/>
      <c r="O1014" s="81"/>
      <c r="P1014" s="81"/>
      <c r="Q1014" s="81"/>
      <c r="R1014" s="81"/>
      <c r="S1014" s="81"/>
      <c r="T1014" s="81"/>
      <c r="U1014" s="81"/>
    </row>
    <row r="1015" ht="14.25" customHeight="1" spans="1:21">
      <c r="A1015" s="81"/>
      <c r="B1015" s="81"/>
      <c r="C1015" s="81"/>
      <c r="D1015" s="681"/>
      <c r="E1015" s="681"/>
      <c r="F1015" s="81"/>
      <c r="G1015" s="681"/>
      <c r="H1015" s="683"/>
      <c r="I1015" s="81"/>
      <c r="J1015" s="81"/>
      <c r="K1015" s="81"/>
      <c r="L1015" s="81"/>
      <c r="M1015" s="81"/>
      <c r="N1015" s="681"/>
      <c r="O1015" s="81"/>
      <c r="P1015" s="81"/>
      <c r="Q1015" s="81"/>
      <c r="R1015" s="81"/>
      <c r="S1015" s="81"/>
      <c r="T1015" s="81"/>
      <c r="U1015" s="81"/>
    </row>
    <row r="1016" ht="14.25" customHeight="1" spans="1:21">
      <c r="A1016" s="81"/>
      <c r="B1016" s="81"/>
      <c r="C1016" s="81"/>
      <c r="D1016" s="681"/>
      <c r="E1016" s="681"/>
      <c r="F1016" s="81"/>
      <c r="G1016" s="681"/>
      <c r="H1016" s="683"/>
      <c r="I1016" s="81"/>
      <c r="J1016" s="81"/>
      <c r="K1016" s="81"/>
      <c r="L1016" s="81"/>
      <c r="M1016" s="81"/>
      <c r="N1016" s="681"/>
      <c r="O1016" s="81"/>
      <c r="P1016" s="81"/>
      <c r="Q1016" s="81"/>
      <c r="R1016" s="81"/>
      <c r="S1016" s="81"/>
      <c r="T1016" s="81"/>
      <c r="U1016" s="81"/>
    </row>
    <row r="1017" ht="14.25" customHeight="1" spans="1:21">
      <c r="A1017" s="81"/>
      <c r="B1017" s="81"/>
      <c r="C1017" s="81"/>
      <c r="D1017" s="681"/>
      <c r="E1017" s="681"/>
      <c r="F1017" s="81"/>
      <c r="G1017" s="681"/>
      <c r="H1017" s="683"/>
      <c r="I1017" s="81"/>
      <c r="J1017" s="81"/>
      <c r="K1017" s="81"/>
      <c r="L1017" s="81"/>
      <c r="M1017" s="81"/>
      <c r="N1017" s="681"/>
      <c r="O1017" s="81"/>
      <c r="P1017" s="81"/>
      <c r="Q1017" s="81"/>
      <c r="R1017" s="81"/>
      <c r="S1017" s="81"/>
      <c r="T1017" s="81"/>
      <c r="U1017" s="81"/>
    </row>
    <row r="1018" ht="14.25" customHeight="1" spans="1:21">
      <c r="A1018" s="81"/>
      <c r="B1018" s="81"/>
      <c r="C1018" s="81"/>
      <c r="D1018" s="681"/>
      <c r="E1018" s="681"/>
      <c r="F1018" s="81"/>
      <c r="G1018" s="681"/>
      <c r="H1018" s="683"/>
      <c r="I1018" s="81"/>
      <c r="J1018" s="81"/>
      <c r="K1018" s="81"/>
      <c r="L1018" s="81"/>
      <c r="M1018" s="81"/>
      <c r="N1018" s="681"/>
      <c r="O1018" s="81"/>
      <c r="P1018" s="81"/>
      <c r="Q1018" s="81"/>
      <c r="R1018" s="81"/>
      <c r="S1018" s="81"/>
      <c r="T1018" s="81"/>
      <c r="U1018" s="81"/>
    </row>
    <row r="1019" ht="14.25" customHeight="1" spans="1:21">
      <c r="A1019" s="81"/>
      <c r="B1019" s="81"/>
      <c r="C1019" s="81"/>
      <c r="D1019" s="681"/>
      <c r="E1019" s="681"/>
      <c r="F1019" s="81"/>
      <c r="G1019" s="681"/>
      <c r="H1019" s="683"/>
      <c r="I1019" s="81"/>
      <c r="J1019" s="81"/>
      <c r="K1019" s="81"/>
      <c r="L1019" s="81"/>
      <c r="M1019" s="81"/>
      <c r="N1019" s="681"/>
      <c r="O1019" s="81"/>
      <c r="P1019" s="81"/>
      <c r="Q1019" s="81"/>
      <c r="R1019" s="81"/>
      <c r="S1019" s="81"/>
      <c r="T1019" s="81"/>
      <c r="U1019" s="81"/>
    </row>
    <row r="1020" ht="14.25" customHeight="1" spans="1:21">
      <c r="A1020" s="81"/>
      <c r="B1020" s="81"/>
      <c r="C1020" s="81"/>
      <c r="D1020" s="681"/>
      <c r="E1020" s="681"/>
      <c r="F1020" s="81"/>
      <c r="G1020" s="681"/>
      <c r="H1020" s="683"/>
      <c r="I1020" s="81"/>
      <c r="J1020" s="81"/>
      <c r="K1020" s="81"/>
      <c r="L1020" s="81"/>
      <c r="M1020" s="81"/>
      <c r="N1020" s="681"/>
      <c r="O1020" s="81"/>
      <c r="P1020" s="81"/>
      <c r="Q1020" s="81"/>
      <c r="R1020" s="81"/>
      <c r="S1020" s="81"/>
      <c r="T1020" s="81"/>
      <c r="U1020" s="81"/>
    </row>
    <row r="1021" ht="14.25" customHeight="1" spans="1:21">
      <c r="A1021" s="81"/>
      <c r="B1021" s="81"/>
      <c r="C1021" s="81"/>
      <c r="D1021" s="681"/>
      <c r="E1021" s="681"/>
      <c r="F1021" s="81"/>
      <c r="G1021" s="681"/>
      <c r="H1021" s="683"/>
      <c r="I1021" s="81"/>
      <c r="J1021" s="81"/>
      <c r="K1021" s="81"/>
      <c r="L1021" s="81"/>
      <c r="M1021" s="81"/>
      <c r="N1021" s="681"/>
      <c r="O1021" s="81"/>
      <c r="P1021" s="81"/>
      <c r="Q1021" s="81"/>
      <c r="R1021" s="81"/>
      <c r="S1021" s="81"/>
      <c r="T1021" s="81"/>
      <c r="U1021" s="81"/>
    </row>
    <row r="1022" ht="14.25" customHeight="1" spans="1:21">
      <c r="A1022" s="81"/>
      <c r="B1022" s="81"/>
      <c r="C1022" s="81"/>
      <c r="D1022" s="681"/>
      <c r="E1022" s="681"/>
      <c r="F1022" s="81"/>
      <c r="G1022" s="681"/>
      <c r="H1022" s="683"/>
      <c r="I1022" s="81"/>
      <c r="J1022" s="81"/>
      <c r="K1022" s="81"/>
      <c r="L1022" s="81"/>
      <c r="M1022" s="81"/>
      <c r="N1022" s="681"/>
      <c r="O1022" s="81"/>
      <c r="P1022" s="81"/>
      <c r="Q1022" s="81"/>
      <c r="R1022" s="81"/>
      <c r="S1022" s="81"/>
      <c r="T1022" s="81"/>
      <c r="U1022" s="81"/>
    </row>
    <row r="1023" ht="14.25" customHeight="1" spans="1:21">
      <c r="A1023" s="81"/>
      <c r="B1023" s="81"/>
      <c r="C1023" s="81"/>
      <c r="D1023" s="681"/>
      <c r="E1023" s="681"/>
      <c r="F1023" s="81"/>
      <c r="G1023" s="681"/>
      <c r="H1023" s="683"/>
      <c r="I1023" s="81"/>
      <c r="J1023" s="81"/>
      <c r="K1023" s="81"/>
      <c r="L1023" s="81"/>
      <c r="M1023" s="81"/>
      <c r="N1023" s="681"/>
      <c r="O1023" s="81"/>
      <c r="P1023" s="81"/>
      <c r="Q1023" s="81"/>
      <c r="R1023" s="81"/>
      <c r="S1023" s="81"/>
      <c r="T1023" s="81"/>
      <c r="U1023" s="81"/>
    </row>
    <row r="1024" ht="14.25" customHeight="1" spans="1:21">
      <c r="A1024" s="81"/>
      <c r="B1024" s="81"/>
      <c r="C1024" s="81"/>
      <c r="D1024" s="681"/>
      <c r="E1024" s="681"/>
      <c r="F1024" s="81"/>
      <c r="G1024" s="681"/>
      <c r="H1024" s="683"/>
      <c r="I1024" s="81"/>
      <c r="J1024" s="81"/>
      <c r="K1024" s="81"/>
      <c r="L1024" s="81"/>
      <c r="M1024" s="81"/>
      <c r="N1024" s="681"/>
      <c r="O1024" s="81"/>
      <c r="P1024" s="81"/>
      <c r="Q1024" s="81"/>
      <c r="R1024" s="81"/>
      <c r="S1024" s="81"/>
      <c r="T1024" s="81"/>
      <c r="U1024" s="81"/>
    </row>
    <row r="1025" ht="14.25" customHeight="1" spans="1:21">
      <c r="A1025" s="81"/>
      <c r="B1025" s="81"/>
      <c r="C1025" s="81"/>
      <c r="D1025" s="681"/>
      <c r="E1025" s="681"/>
      <c r="F1025" s="81"/>
      <c r="G1025" s="681"/>
      <c r="H1025" s="683"/>
      <c r="I1025" s="81"/>
      <c r="J1025" s="81"/>
      <c r="K1025" s="81"/>
      <c r="L1025" s="81"/>
      <c r="M1025" s="81"/>
      <c r="N1025" s="681"/>
      <c r="O1025" s="81"/>
      <c r="P1025" s="81"/>
      <c r="Q1025" s="81"/>
      <c r="R1025" s="81"/>
      <c r="S1025" s="81"/>
      <c r="T1025" s="81"/>
      <c r="U1025" s="81"/>
    </row>
    <row r="1026" ht="14.25" customHeight="1" spans="1:21">
      <c r="A1026" s="81"/>
      <c r="B1026" s="81"/>
      <c r="C1026" s="81"/>
      <c r="D1026" s="681"/>
      <c r="E1026" s="681"/>
      <c r="F1026" s="81"/>
      <c r="G1026" s="681"/>
      <c r="H1026" s="683"/>
      <c r="I1026" s="81"/>
      <c r="J1026" s="81"/>
      <c r="K1026" s="81"/>
      <c r="L1026" s="81"/>
      <c r="M1026" s="81"/>
      <c r="N1026" s="681"/>
      <c r="O1026" s="81"/>
      <c r="P1026" s="81"/>
      <c r="Q1026" s="81"/>
      <c r="R1026" s="81"/>
      <c r="S1026" s="81"/>
      <c r="T1026" s="81"/>
      <c r="U1026" s="81"/>
    </row>
    <row r="1027" ht="14.25" customHeight="1" spans="1:21">
      <c r="A1027" s="81"/>
      <c r="B1027" s="81"/>
      <c r="C1027" s="81"/>
      <c r="D1027" s="681"/>
      <c r="E1027" s="681"/>
      <c r="F1027" s="81"/>
      <c r="G1027" s="681"/>
      <c r="H1027" s="683"/>
      <c r="I1027" s="81"/>
      <c r="J1027" s="81"/>
      <c r="K1027" s="81"/>
      <c r="L1027" s="81"/>
      <c r="M1027" s="81"/>
      <c r="N1027" s="681"/>
      <c r="O1027" s="81"/>
      <c r="P1027" s="81"/>
      <c r="Q1027" s="81"/>
      <c r="R1027" s="81"/>
      <c r="S1027" s="81"/>
      <c r="T1027" s="81"/>
      <c r="U1027" s="81"/>
    </row>
    <row r="1028" ht="14.25" customHeight="1" spans="1:21">
      <c r="A1028" s="81"/>
      <c r="B1028" s="81"/>
      <c r="C1028" s="81"/>
      <c r="D1028" s="681"/>
      <c r="E1028" s="681"/>
      <c r="F1028" s="81"/>
      <c r="G1028" s="681"/>
      <c r="H1028" s="683"/>
      <c r="I1028" s="81"/>
      <c r="J1028" s="81"/>
      <c r="K1028" s="81"/>
      <c r="L1028" s="81"/>
      <c r="M1028" s="81"/>
      <c r="N1028" s="681"/>
      <c r="O1028" s="81"/>
      <c r="P1028" s="81"/>
      <c r="Q1028" s="81"/>
      <c r="R1028" s="81"/>
      <c r="S1028" s="81"/>
      <c r="T1028" s="81"/>
      <c r="U1028" s="81"/>
    </row>
    <row r="1029" ht="14.25" customHeight="1" spans="1:21">
      <c r="A1029" s="81"/>
      <c r="B1029" s="81"/>
      <c r="C1029" s="81"/>
      <c r="D1029" s="681"/>
      <c r="E1029" s="681"/>
      <c r="F1029" s="81"/>
      <c r="G1029" s="681"/>
      <c r="H1029" s="81"/>
      <c r="I1029" s="81"/>
      <c r="J1029" s="81"/>
      <c r="K1029" s="81"/>
      <c r="L1029" s="81"/>
      <c r="M1029" s="81"/>
      <c r="N1029" s="681"/>
      <c r="O1029" s="81"/>
      <c r="P1029" s="81"/>
      <c r="Q1029" s="81"/>
      <c r="R1029" s="81"/>
      <c r="S1029" s="81"/>
      <c r="T1029" s="81"/>
      <c r="U1029" s="81"/>
    </row>
    <row r="1030" ht="14.25" customHeight="1" spans="1:21">
      <c r="A1030" s="81"/>
      <c r="B1030" s="81"/>
      <c r="C1030" s="81"/>
      <c r="D1030" s="681"/>
      <c r="E1030" s="681"/>
      <c r="F1030" s="81"/>
      <c r="G1030" s="681"/>
      <c r="H1030" s="81"/>
      <c r="I1030" s="81"/>
      <c r="J1030" s="81"/>
      <c r="K1030" s="81"/>
      <c r="L1030" s="81"/>
      <c r="M1030" s="81"/>
      <c r="N1030" s="681"/>
      <c r="O1030" s="81"/>
      <c r="P1030" s="81"/>
      <c r="Q1030" s="81"/>
      <c r="R1030" s="81"/>
      <c r="S1030" s="81"/>
      <c r="T1030" s="81"/>
      <c r="U1030" s="81"/>
    </row>
    <row r="1031" ht="14.25" customHeight="1" spans="1:21">
      <c r="A1031" s="81"/>
      <c r="B1031" s="81"/>
      <c r="C1031" s="81"/>
      <c r="D1031" s="681"/>
      <c r="E1031" s="681"/>
      <c r="F1031" s="81"/>
      <c r="G1031" s="681"/>
      <c r="H1031" s="81"/>
      <c r="I1031" s="81"/>
      <c r="J1031" s="81"/>
      <c r="K1031" s="81"/>
      <c r="L1031" s="81"/>
      <c r="M1031" s="81"/>
      <c r="N1031" s="681"/>
      <c r="O1031" s="81"/>
      <c r="P1031" s="81"/>
      <c r="Q1031" s="81"/>
      <c r="R1031" s="81"/>
      <c r="S1031" s="81"/>
      <c r="T1031" s="81"/>
      <c r="U1031" s="81"/>
    </row>
    <row r="1032" ht="14.25" customHeight="1" spans="1:21">
      <c r="A1032" s="81"/>
      <c r="B1032" s="81"/>
      <c r="C1032" s="81"/>
      <c r="D1032" s="681"/>
      <c r="E1032" s="681"/>
      <c r="F1032" s="81"/>
      <c r="G1032" s="681"/>
      <c r="H1032" s="81"/>
      <c r="I1032" s="81"/>
      <c r="J1032" s="81"/>
      <c r="K1032" s="81"/>
      <c r="L1032" s="81"/>
      <c r="M1032" s="81"/>
      <c r="N1032" s="681"/>
      <c r="O1032" s="81"/>
      <c r="P1032" s="81"/>
      <c r="Q1032" s="81"/>
      <c r="R1032" s="81"/>
      <c r="S1032" s="81"/>
      <c r="T1032" s="81"/>
      <c r="U1032" s="81"/>
    </row>
    <row r="1033" ht="14.25" customHeight="1" spans="1:21">
      <c r="A1033" s="81"/>
      <c r="B1033" s="81"/>
      <c r="C1033" s="81"/>
      <c r="D1033" s="681"/>
      <c r="E1033" s="681"/>
      <c r="F1033" s="81"/>
      <c r="G1033" s="681"/>
      <c r="H1033" s="81"/>
      <c r="I1033" s="81"/>
      <c r="J1033" s="81"/>
      <c r="K1033" s="81"/>
      <c r="L1033" s="81"/>
      <c r="M1033" s="81"/>
      <c r="N1033" s="681"/>
      <c r="O1033" s="81"/>
      <c r="P1033" s="81"/>
      <c r="Q1033" s="81"/>
      <c r="R1033" s="81"/>
      <c r="S1033" s="81"/>
      <c r="T1033" s="81"/>
      <c r="U1033" s="81"/>
    </row>
    <row r="1034" ht="14.25" customHeight="1" spans="1:21">
      <c r="A1034" s="81"/>
      <c r="B1034" s="81"/>
      <c r="C1034" s="81"/>
      <c r="D1034" s="681"/>
      <c r="E1034" s="681"/>
      <c r="F1034" s="81"/>
      <c r="G1034" s="681"/>
      <c r="H1034" s="81"/>
      <c r="I1034" s="81"/>
      <c r="J1034" s="81"/>
      <c r="K1034" s="81"/>
      <c r="L1034" s="81"/>
      <c r="M1034" s="81"/>
      <c r="N1034" s="681"/>
      <c r="O1034" s="81"/>
      <c r="P1034" s="81"/>
      <c r="Q1034" s="81"/>
      <c r="R1034" s="81"/>
      <c r="S1034" s="81"/>
      <c r="T1034" s="81"/>
      <c r="U1034" s="81"/>
    </row>
    <row r="1035" ht="14.25" customHeight="1" spans="1:21">
      <c r="A1035" s="81"/>
      <c r="B1035" s="81"/>
      <c r="C1035" s="81"/>
      <c r="D1035" s="681"/>
      <c r="E1035" s="681"/>
      <c r="F1035" s="81"/>
      <c r="G1035" s="681"/>
      <c r="H1035" s="81"/>
      <c r="I1035" s="81"/>
      <c r="J1035" s="81"/>
      <c r="K1035" s="81"/>
      <c r="L1035" s="81"/>
      <c r="M1035" s="81"/>
      <c r="N1035" s="681"/>
      <c r="O1035" s="81"/>
      <c r="P1035" s="81"/>
      <c r="Q1035" s="81"/>
      <c r="R1035" s="81"/>
      <c r="S1035" s="81"/>
      <c r="T1035" s="81"/>
      <c r="U1035" s="81"/>
    </row>
    <row r="1036" ht="14.25" customHeight="1" spans="1:21">
      <c r="A1036" s="81"/>
      <c r="B1036" s="81"/>
      <c r="C1036" s="81"/>
      <c r="D1036" s="681"/>
      <c r="E1036" s="681"/>
      <c r="F1036" s="81"/>
      <c r="G1036" s="681"/>
      <c r="H1036" s="81"/>
      <c r="I1036" s="81"/>
      <c r="J1036" s="81"/>
      <c r="K1036" s="81"/>
      <c r="L1036" s="81"/>
      <c r="M1036" s="81"/>
      <c r="N1036" s="681"/>
      <c r="O1036" s="81"/>
      <c r="P1036" s="81"/>
      <c r="Q1036" s="81"/>
      <c r="R1036" s="81"/>
      <c r="S1036" s="81"/>
      <c r="T1036" s="81"/>
      <c r="U1036" s="81"/>
    </row>
    <row r="1037" ht="14.25" customHeight="1" spans="1:21">
      <c r="A1037" s="81"/>
      <c r="B1037" s="81"/>
      <c r="C1037" s="81"/>
      <c r="D1037" s="681"/>
      <c r="E1037" s="681"/>
      <c r="F1037" s="81"/>
      <c r="G1037" s="681"/>
      <c r="H1037" s="81"/>
      <c r="I1037" s="81"/>
      <c r="J1037" s="81"/>
      <c r="K1037" s="81"/>
      <c r="L1037" s="81"/>
      <c r="M1037" s="81"/>
      <c r="N1037" s="681"/>
      <c r="O1037" s="81"/>
      <c r="P1037" s="81"/>
      <c r="Q1037" s="81"/>
      <c r="R1037" s="81"/>
      <c r="S1037" s="81"/>
      <c r="T1037" s="81"/>
      <c r="U1037" s="81"/>
    </row>
    <row r="1038" ht="14.25" customHeight="1" spans="1:21">
      <c r="A1038" s="81"/>
      <c r="B1038" s="81"/>
      <c r="C1038" s="81"/>
      <c r="D1038" s="681"/>
      <c r="E1038" s="681"/>
      <c r="F1038" s="81"/>
      <c r="G1038" s="681"/>
      <c r="H1038" s="81"/>
      <c r="I1038" s="81"/>
      <c r="J1038" s="81"/>
      <c r="K1038" s="81"/>
      <c r="L1038" s="81"/>
      <c r="M1038" s="81"/>
      <c r="N1038" s="681"/>
      <c r="O1038" s="81"/>
      <c r="P1038" s="81"/>
      <c r="Q1038" s="81"/>
      <c r="R1038" s="81"/>
      <c r="S1038" s="81"/>
      <c r="T1038" s="81"/>
      <c r="U1038" s="81"/>
    </row>
    <row r="1039" ht="14.25" customHeight="1" spans="1:21">
      <c r="A1039" s="81"/>
      <c r="B1039" s="81"/>
      <c r="C1039" s="81"/>
      <c r="D1039" s="681"/>
      <c r="E1039" s="681"/>
      <c r="F1039" s="81"/>
      <c r="G1039" s="681"/>
      <c r="H1039" s="81"/>
      <c r="I1039" s="81"/>
      <c r="J1039" s="81"/>
      <c r="K1039" s="81"/>
      <c r="L1039" s="81"/>
      <c r="M1039" s="81"/>
      <c r="N1039" s="681"/>
      <c r="O1039" s="81"/>
      <c r="P1039" s="81"/>
      <c r="Q1039" s="81"/>
      <c r="R1039" s="81"/>
      <c r="S1039" s="81"/>
      <c r="T1039" s="81"/>
      <c r="U1039" s="81"/>
    </row>
    <row r="1040" ht="14.25" customHeight="1" spans="1:21">
      <c r="A1040" s="81"/>
      <c r="B1040" s="81"/>
      <c r="C1040" s="81"/>
      <c r="D1040" s="681"/>
      <c r="E1040" s="681"/>
      <c r="F1040" s="81"/>
      <c r="G1040" s="681"/>
      <c r="H1040" s="81"/>
      <c r="I1040" s="81"/>
      <c r="J1040" s="81"/>
      <c r="K1040" s="81"/>
      <c r="L1040" s="81"/>
      <c r="M1040" s="81"/>
      <c r="N1040" s="681"/>
      <c r="O1040" s="81"/>
      <c r="P1040" s="81"/>
      <c r="Q1040" s="81"/>
      <c r="R1040" s="81"/>
      <c r="S1040" s="81"/>
      <c r="T1040" s="81"/>
      <c r="U1040" s="81"/>
    </row>
    <row r="1041" ht="14.25" customHeight="1" spans="1:21">
      <c r="A1041" s="81"/>
      <c r="B1041" s="81"/>
      <c r="C1041" s="81"/>
      <c r="D1041" s="681"/>
      <c r="E1041" s="681"/>
      <c r="F1041" s="81"/>
      <c r="G1041" s="681"/>
      <c r="H1041" s="81"/>
      <c r="I1041" s="81"/>
      <c r="J1041" s="81"/>
      <c r="K1041" s="81"/>
      <c r="L1041" s="81"/>
      <c r="M1041" s="81"/>
      <c r="N1041" s="681"/>
      <c r="O1041" s="81"/>
      <c r="P1041" s="81"/>
      <c r="Q1041" s="81"/>
      <c r="R1041" s="81"/>
      <c r="S1041" s="81"/>
      <c r="T1041" s="81"/>
      <c r="U1041" s="81"/>
    </row>
    <row r="1042" ht="14.25" customHeight="1" spans="1:21">
      <c r="A1042" s="81"/>
      <c r="B1042" s="81"/>
      <c r="C1042" s="81"/>
      <c r="D1042" s="681"/>
      <c r="E1042" s="681"/>
      <c r="F1042" s="81"/>
      <c r="G1042" s="681"/>
      <c r="H1042" s="81"/>
      <c r="I1042" s="81"/>
      <c r="J1042" s="81"/>
      <c r="K1042" s="81"/>
      <c r="L1042" s="81"/>
      <c r="M1042" s="81"/>
      <c r="N1042" s="681"/>
      <c r="O1042" s="81"/>
      <c r="P1042" s="81"/>
      <c r="Q1042" s="81"/>
      <c r="R1042" s="81"/>
      <c r="S1042" s="81"/>
      <c r="T1042" s="81"/>
      <c r="U1042" s="81"/>
    </row>
    <row r="1043" ht="14.25" customHeight="1" spans="1:21">
      <c r="A1043" s="81"/>
      <c r="B1043" s="81"/>
      <c r="C1043" s="81"/>
      <c r="D1043" s="681"/>
      <c r="E1043" s="681"/>
      <c r="F1043" s="81"/>
      <c r="G1043" s="681"/>
      <c r="H1043" s="81"/>
      <c r="I1043" s="81"/>
      <c r="J1043" s="81"/>
      <c r="K1043" s="81"/>
      <c r="L1043" s="81"/>
      <c r="M1043" s="81"/>
      <c r="N1043" s="681"/>
      <c r="O1043" s="81"/>
      <c r="P1043" s="81"/>
      <c r="Q1043" s="81"/>
      <c r="R1043" s="81"/>
      <c r="S1043" s="81"/>
      <c r="T1043" s="81"/>
      <c r="U1043" s="81"/>
    </row>
    <row r="1044" ht="14.25" customHeight="1" spans="1:21">
      <c r="A1044" s="81"/>
      <c r="B1044" s="81"/>
      <c r="C1044" s="81"/>
      <c r="D1044" s="681"/>
      <c r="E1044" s="681"/>
      <c r="F1044" s="81"/>
      <c r="G1044" s="681"/>
      <c r="H1044" s="81"/>
      <c r="I1044" s="81"/>
      <c r="J1044" s="81"/>
      <c r="K1044" s="81"/>
      <c r="L1044" s="81"/>
      <c r="M1044" s="81"/>
      <c r="N1044" s="681"/>
      <c r="O1044" s="81"/>
      <c r="P1044" s="81"/>
      <c r="Q1044" s="81"/>
      <c r="R1044" s="81"/>
      <c r="S1044" s="81"/>
      <c r="T1044" s="81"/>
      <c r="U1044" s="81"/>
    </row>
    <row r="1045" ht="14.25" customHeight="1" spans="1:21">
      <c r="A1045" s="81"/>
      <c r="B1045" s="81"/>
      <c r="C1045" s="81"/>
      <c r="D1045" s="681"/>
      <c r="E1045" s="681"/>
      <c r="F1045" s="81"/>
      <c r="G1045" s="681"/>
      <c r="H1045" s="81"/>
      <c r="I1045" s="81"/>
      <c r="J1045" s="81"/>
      <c r="K1045" s="81"/>
      <c r="L1045" s="81"/>
      <c r="M1045" s="81"/>
      <c r="N1045" s="681"/>
      <c r="O1045" s="81"/>
      <c r="P1045" s="81"/>
      <c r="Q1045" s="81"/>
      <c r="R1045" s="81"/>
      <c r="S1045" s="81"/>
      <c r="T1045" s="81"/>
      <c r="U1045" s="81"/>
    </row>
    <row r="1046" ht="14.25" customHeight="1" spans="1:21">
      <c r="A1046" s="81"/>
      <c r="B1046" s="81"/>
      <c r="C1046" s="81"/>
      <c r="D1046" s="681"/>
      <c r="E1046" s="681"/>
      <c r="F1046" s="81"/>
      <c r="G1046" s="681"/>
      <c r="H1046" s="81"/>
      <c r="I1046" s="81"/>
      <c r="J1046" s="81"/>
      <c r="K1046" s="81"/>
      <c r="L1046" s="81"/>
      <c r="M1046" s="81"/>
      <c r="N1046" s="681"/>
      <c r="O1046" s="81"/>
      <c r="P1046" s="81"/>
      <c r="Q1046" s="81"/>
      <c r="R1046" s="81"/>
      <c r="S1046" s="81"/>
      <c r="T1046" s="81"/>
      <c r="U1046" s="81"/>
    </row>
    <row r="1047" ht="14.25" customHeight="1" spans="1:21">
      <c r="A1047" s="81"/>
      <c r="B1047" s="81"/>
      <c r="C1047" s="81"/>
      <c r="D1047" s="681"/>
      <c r="E1047" s="681"/>
      <c r="F1047" s="81"/>
      <c r="G1047" s="681"/>
      <c r="H1047" s="81"/>
      <c r="I1047" s="81"/>
      <c r="J1047" s="81"/>
      <c r="K1047" s="81"/>
      <c r="L1047" s="81"/>
      <c r="M1047" s="81"/>
      <c r="N1047" s="681"/>
      <c r="O1047" s="81"/>
      <c r="P1047" s="81"/>
      <c r="Q1047" s="81"/>
      <c r="R1047" s="81"/>
      <c r="S1047" s="81"/>
      <c r="T1047" s="81"/>
      <c r="U1047" s="81"/>
    </row>
    <row r="1048" ht="14.25" customHeight="1" spans="1:21">
      <c r="A1048" s="81"/>
      <c r="B1048" s="81"/>
      <c r="C1048" s="81"/>
      <c r="D1048" s="681"/>
      <c r="E1048" s="681"/>
      <c r="F1048" s="81"/>
      <c r="G1048" s="681"/>
      <c r="H1048" s="81"/>
      <c r="I1048" s="81"/>
      <c r="J1048" s="81"/>
      <c r="K1048" s="81"/>
      <c r="L1048" s="81"/>
      <c r="M1048" s="81"/>
      <c r="N1048" s="681"/>
      <c r="O1048" s="81"/>
      <c r="P1048" s="81"/>
      <c r="Q1048" s="81"/>
      <c r="R1048" s="81"/>
      <c r="S1048" s="81"/>
      <c r="T1048" s="81"/>
      <c r="U1048" s="81"/>
    </row>
    <row r="1049" ht="14.25" customHeight="1" spans="1:21">
      <c r="A1049" s="81"/>
      <c r="B1049" s="81"/>
      <c r="C1049" s="81"/>
      <c r="D1049" s="681"/>
      <c r="E1049" s="681"/>
      <c r="F1049" s="81"/>
      <c r="G1049" s="681"/>
      <c r="H1049" s="81"/>
      <c r="I1049" s="81"/>
      <c r="J1049" s="81"/>
      <c r="K1049" s="81"/>
      <c r="L1049" s="81"/>
      <c r="M1049" s="81"/>
      <c r="N1049" s="681"/>
      <c r="O1049" s="81"/>
      <c r="P1049" s="81"/>
      <c r="Q1049" s="81"/>
      <c r="R1049" s="81"/>
      <c r="S1049" s="81"/>
      <c r="T1049" s="81"/>
      <c r="U1049" s="81"/>
    </row>
    <row r="1050" ht="14.25" customHeight="1" spans="1:21">
      <c r="A1050" s="81"/>
      <c r="B1050" s="81"/>
      <c r="C1050" s="81"/>
      <c r="D1050" s="681"/>
      <c r="E1050" s="681"/>
      <c r="F1050" s="81"/>
      <c r="G1050" s="681"/>
      <c r="H1050" s="81"/>
      <c r="I1050" s="81"/>
      <c r="J1050" s="81"/>
      <c r="K1050" s="81"/>
      <c r="L1050" s="81"/>
      <c r="M1050" s="81"/>
      <c r="N1050" s="681"/>
      <c r="O1050" s="81"/>
      <c r="P1050" s="81"/>
      <c r="Q1050" s="81"/>
      <c r="R1050" s="81"/>
      <c r="S1050" s="81"/>
      <c r="T1050" s="81"/>
      <c r="U1050" s="81"/>
    </row>
    <row r="1051" ht="14.25" customHeight="1" spans="1:21">
      <c r="A1051" s="81"/>
      <c r="B1051" s="81"/>
      <c r="C1051" s="81"/>
      <c r="D1051" s="681"/>
      <c r="E1051" s="681"/>
      <c r="F1051" s="81"/>
      <c r="G1051" s="681"/>
      <c r="H1051" s="81"/>
      <c r="I1051" s="81"/>
      <c r="J1051" s="81"/>
      <c r="K1051" s="81"/>
      <c r="L1051" s="81"/>
      <c r="M1051" s="81"/>
      <c r="N1051" s="681"/>
      <c r="O1051" s="81"/>
      <c r="P1051" s="81"/>
      <c r="Q1051" s="81"/>
      <c r="R1051" s="81"/>
      <c r="S1051" s="81"/>
      <c r="T1051" s="81"/>
      <c r="U1051" s="81"/>
    </row>
    <row r="1052" ht="14.25" customHeight="1" spans="1:21">
      <c r="A1052" s="81"/>
      <c r="B1052" s="81"/>
      <c r="C1052" s="81"/>
      <c r="D1052" s="681"/>
      <c r="E1052" s="681"/>
      <c r="F1052" s="81"/>
      <c r="G1052" s="681"/>
      <c r="H1052" s="81"/>
      <c r="I1052" s="81"/>
      <c r="J1052" s="81"/>
      <c r="K1052" s="81"/>
      <c r="L1052" s="81"/>
      <c r="M1052" s="81"/>
      <c r="N1052" s="681"/>
      <c r="O1052" s="81"/>
      <c r="P1052" s="81"/>
      <c r="Q1052" s="81"/>
      <c r="R1052" s="81"/>
      <c r="S1052" s="81"/>
      <c r="T1052" s="81"/>
      <c r="U1052" s="81"/>
    </row>
    <row r="1053" ht="14.25" customHeight="1" spans="1:21">
      <c r="A1053" s="81"/>
      <c r="B1053" s="81"/>
      <c r="C1053" s="81"/>
      <c r="D1053" s="681"/>
      <c r="E1053" s="681"/>
      <c r="F1053" s="81"/>
      <c r="G1053" s="681"/>
      <c r="H1053" s="81"/>
      <c r="I1053" s="81"/>
      <c r="J1053" s="81"/>
      <c r="K1053" s="81"/>
      <c r="L1053" s="81"/>
      <c r="M1053" s="81"/>
      <c r="N1053" s="681"/>
      <c r="O1053" s="81"/>
      <c r="P1053" s="81"/>
      <c r="Q1053" s="81"/>
      <c r="R1053" s="81"/>
      <c r="S1053" s="81"/>
      <c r="T1053" s="81"/>
      <c r="U1053" s="81"/>
    </row>
    <row r="1054" ht="14.25" customHeight="1" spans="1:21">
      <c r="A1054" s="81"/>
      <c r="B1054" s="81"/>
      <c r="C1054" s="81"/>
      <c r="D1054" s="681"/>
      <c r="E1054" s="681"/>
      <c r="F1054" s="81"/>
      <c r="G1054" s="681"/>
      <c r="H1054" s="81"/>
      <c r="I1054" s="81"/>
      <c r="J1054" s="81"/>
      <c r="K1054" s="81"/>
      <c r="L1054" s="81"/>
      <c r="M1054" s="81"/>
      <c r="N1054" s="681"/>
      <c r="O1054" s="81"/>
      <c r="P1054" s="81"/>
      <c r="Q1054" s="81"/>
      <c r="R1054" s="81"/>
      <c r="S1054" s="81"/>
      <c r="T1054" s="81"/>
      <c r="U1054" s="81"/>
    </row>
    <row r="1055" ht="14.25" customHeight="1" spans="1:21">
      <c r="A1055" s="81"/>
      <c r="B1055" s="81"/>
      <c r="C1055" s="81"/>
      <c r="D1055" s="681"/>
      <c r="E1055" s="681"/>
      <c r="F1055" s="81"/>
      <c r="G1055" s="681"/>
      <c r="H1055" s="81"/>
      <c r="I1055" s="81"/>
      <c r="J1055" s="81"/>
      <c r="K1055" s="81"/>
      <c r="L1055" s="81"/>
      <c r="M1055" s="81"/>
      <c r="N1055" s="681"/>
      <c r="O1055" s="81"/>
      <c r="P1055" s="81"/>
      <c r="Q1055" s="81"/>
      <c r="R1055" s="81"/>
      <c r="S1055" s="81"/>
      <c r="T1055" s="81"/>
      <c r="U1055" s="81"/>
    </row>
    <row r="1056" ht="14.25" customHeight="1" spans="1:21">
      <c r="A1056" s="81"/>
      <c r="B1056" s="81"/>
      <c r="C1056" s="81"/>
      <c r="D1056" s="681"/>
      <c r="E1056" s="681"/>
      <c r="F1056" s="81"/>
      <c r="G1056" s="681"/>
      <c r="H1056" s="81"/>
      <c r="I1056" s="81"/>
      <c r="J1056" s="81"/>
      <c r="K1056" s="81"/>
      <c r="L1056" s="81"/>
      <c r="M1056" s="81"/>
      <c r="N1056" s="681"/>
      <c r="O1056" s="81"/>
      <c r="P1056" s="81"/>
      <c r="Q1056" s="81"/>
      <c r="R1056" s="81"/>
      <c r="S1056" s="81"/>
      <c r="T1056" s="81"/>
      <c r="U1056" s="81"/>
    </row>
    <row r="1057" ht="14.25" customHeight="1" spans="1:21">
      <c r="A1057" s="81"/>
      <c r="B1057" s="81"/>
      <c r="C1057" s="81"/>
      <c r="D1057" s="681"/>
      <c r="E1057" s="681"/>
      <c r="F1057" s="81"/>
      <c r="G1057" s="681"/>
      <c r="H1057" s="81"/>
      <c r="I1057" s="81"/>
      <c r="J1057" s="81"/>
      <c r="K1057" s="81"/>
      <c r="L1057" s="81"/>
      <c r="M1057" s="81"/>
      <c r="N1057" s="681"/>
      <c r="O1057" s="81"/>
      <c r="P1057" s="81"/>
      <c r="Q1057" s="81"/>
      <c r="R1057" s="81"/>
      <c r="S1057" s="81"/>
      <c r="T1057" s="81"/>
      <c r="U1057" s="81"/>
    </row>
    <row r="1058" ht="14.25" customHeight="1" spans="1:21">
      <c r="A1058" s="81"/>
      <c r="B1058" s="81"/>
      <c r="C1058" s="81"/>
      <c r="D1058" s="681"/>
      <c r="E1058" s="681"/>
      <c r="F1058" s="81"/>
      <c r="G1058" s="681"/>
      <c r="H1058" s="81"/>
      <c r="I1058" s="81"/>
      <c r="J1058" s="81"/>
      <c r="K1058" s="81"/>
      <c r="L1058" s="81"/>
      <c r="M1058" s="81"/>
      <c r="N1058" s="681"/>
      <c r="O1058" s="81"/>
      <c r="P1058" s="81"/>
      <c r="Q1058" s="81"/>
      <c r="R1058" s="81"/>
      <c r="S1058" s="81"/>
      <c r="T1058" s="81"/>
      <c r="U1058" s="81"/>
    </row>
    <row r="1059" ht="14.25" customHeight="1" spans="1:21">
      <c r="A1059" s="81"/>
      <c r="B1059" s="81"/>
      <c r="C1059" s="81"/>
      <c r="D1059" s="681"/>
      <c r="E1059" s="681"/>
      <c r="F1059" s="81"/>
      <c r="G1059" s="681"/>
      <c r="H1059" s="81"/>
      <c r="I1059" s="81"/>
      <c r="J1059" s="81"/>
      <c r="K1059" s="81"/>
      <c r="L1059" s="81"/>
      <c r="M1059" s="81"/>
      <c r="N1059" s="681"/>
      <c r="O1059" s="81"/>
      <c r="P1059" s="81"/>
      <c r="Q1059" s="81"/>
      <c r="R1059" s="81"/>
      <c r="S1059" s="81"/>
      <c r="T1059" s="81"/>
      <c r="U1059" s="81"/>
    </row>
    <row r="1060" ht="14.25" customHeight="1" spans="1:21">
      <c r="A1060" s="81"/>
      <c r="B1060" s="81"/>
      <c r="C1060" s="81"/>
      <c r="D1060" s="681"/>
      <c r="E1060" s="681"/>
      <c r="F1060" s="81"/>
      <c r="G1060" s="681"/>
      <c r="H1060" s="81"/>
      <c r="I1060" s="81"/>
      <c r="J1060" s="81"/>
      <c r="K1060" s="81"/>
      <c r="L1060" s="81"/>
      <c r="M1060" s="81"/>
      <c r="N1060" s="681"/>
      <c r="O1060" s="81"/>
      <c r="P1060" s="81"/>
      <c r="Q1060" s="81"/>
      <c r="R1060" s="81"/>
      <c r="S1060" s="81"/>
      <c r="T1060" s="81"/>
      <c r="U1060" s="81"/>
    </row>
  </sheetData>
  <conditionalFormatting sqref="B94">
    <cfRule type="expression" dxfId="2" priority="5">
      <formula>COUNTIF(#REF!,B94)&gt;1</formula>
    </cfRule>
  </conditionalFormatting>
  <conditionalFormatting sqref="H94">
    <cfRule type="containsText" dxfId="5" priority="1" operator="between" text="bình thường">
      <formula>NOT(ISERROR(SEARCH("bình thường",H94)))</formula>
    </cfRule>
    <cfRule type="containsText" dxfId="4" priority="2" operator="between" text="Thu hồi">
      <formula>NOT(ISERROR(SEARCH("Thu hồi",H94)))</formula>
    </cfRule>
    <cfRule type="containsText" dxfId="3" priority="3" operator="between" text="Hư hỏng">
      <formula>NOT(ISERROR(SEARCH("Hư hỏng",H94)))</formula>
    </cfRule>
  </conditionalFormatting>
  <conditionalFormatting sqref="H1:H25 H27:H34 H41:H53 H55:H69 H71:H75 H78:H86 H92 H94:H95 H127:H1028">
    <cfRule type="containsText" dxfId="3" priority="6" operator="between" text="Hư hỏng">
      <formula>NOT(ISERROR(SEARCH("Hư hỏng",H1)))</formula>
    </cfRule>
    <cfRule type="containsText" dxfId="4" priority="7" operator="between" text="Thu hồi">
      <formula>NOT(ISERROR(SEARCH("Thu hồi",H1)))</formula>
    </cfRule>
    <cfRule type="containsText" dxfId="5" priority="8" operator="between" text="bình thường">
      <formula>NOT(ISERROR(SEARCH("bình thường",H1)))</formula>
    </cfRule>
  </conditionalFormatting>
  <conditionalFormatting sqref="T2:T4 A94:C94 H94 I94:I95 N94:P94 R94:S94">
    <cfRule type="expression" dxfId="1" priority="4">
      <formula>$K2="Hư hỏng"</formula>
    </cfRule>
  </conditionalFormatting>
  <hyperlinks>
    <hyperlink ref="T4" r:id="rId1" display="Thư mục Hình ảnh"/>
  </hyperlinks>
  <pageMargins left="0.7" right="0.7" top="0.75" bottom="0.75" header="0" footer="0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D966"/>
  </sheetPr>
  <dimension ref="A1:T1661"/>
  <sheetViews>
    <sheetView workbookViewId="0">
      <pane xSplit="6" ySplit="2" topLeftCell="G3" activePane="bottomRight" state="frozen"/>
      <selection/>
      <selection pane="topRight"/>
      <selection pane="bottomLeft"/>
      <selection pane="bottomRight" activeCell="G3" sqref="G3"/>
    </sheetView>
  </sheetViews>
  <sheetFormatPr defaultColWidth="12.6333333333333" defaultRowHeight="15" customHeight="1"/>
  <cols>
    <col min="1" max="1" width="4.38333333333333" customWidth="1"/>
    <col min="2" max="2" width="26.75" customWidth="1"/>
    <col min="3" max="3" width="28.1333333333333" customWidth="1"/>
    <col min="4" max="4" width="15.6333333333333" customWidth="1"/>
    <col min="5" max="5" width="16.8833333333333" customWidth="1"/>
    <col min="6" max="6" width="40.6333333333333" customWidth="1"/>
    <col min="7" max="7" width="14.5" hidden="1" customWidth="1"/>
    <col min="8" max="8" width="14.5" customWidth="1"/>
    <col min="9" max="9" width="13.5" customWidth="1"/>
    <col min="10" max="10" width="12.75" hidden="1" customWidth="1"/>
    <col min="11" max="11" width="15.1333333333333" customWidth="1"/>
    <col min="12" max="12" width="36.5" customWidth="1"/>
    <col min="13" max="13" width="31" customWidth="1"/>
    <col min="14" max="14" width="18" customWidth="1"/>
    <col min="15" max="15" width="18.25" customWidth="1"/>
    <col min="16" max="16" width="11.5" customWidth="1"/>
    <col min="17" max="17" width="9.75" customWidth="1"/>
    <col min="18" max="18" width="28.75" customWidth="1"/>
    <col min="19" max="19" width="26.6333333333333" customWidth="1"/>
    <col min="20" max="20" width="12.6333333333333" customWidth="1"/>
  </cols>
  <sheetData>
    <row r="1" ht="39" customHeight="1" spans="1:20">
      <c r="A1" s="3" t="s">
        <v>6463</v>
      </c>
      <c r="B1" s="231"/>
      <c r="C1" s="231"/>
      <c r="D1" s="231"/>
      <c r="E1" s="231"/>
      <c r="F1" s="231"/>
      <c r="G1" s="4"/>
      <c r="H1" s="4"/>
      <c r="I1" s="4"/>
      <c r="J1" s="4"/>
      <c r="K1" s="4"/>
      <c r="L1" s="4"/>
      <c r="M1" s="592"/>
      <c r="N1" s="5"/>
      <c r="O1" s="5" t="s">
        <v>420</v>
      </c>
      <c r="P1" s="5"/>
      <c r="Q1" s="593"/>
      <c r="R1" s="5"/>
      <c r="S1" s="5"/>
      <c r="T1" s="594"/>
    </row>
    <row r="2" ht="33" customHeight="1" spans="1:20">
      <c r="A2" s="6" t="s">
        <v>421</v>
      </c>
      <c r="B2" s="6" t="s">
        <v>3571</v>
      </c>
      <c r="C2" s="6" t="s">
        <v>3572</v>
      </c>
      <c r="D2" s="6" t="s">
        <v>3573</v>
      </c>
      <c r="E2" s="6" t="s">
        <v>426</v>
      </c>
      <c r="F2" s="6" t="s">
        <v>427</v>
      </c>
      <c r="G2" s="6" t="s">
        <v>6464</v>
      </c>
      <c r="H2" s="6" t="s">
        <v>429</v>
      </c>
      <c r="I2" s="8" t="s">
        <v>3574</v>
      </c>
      <c r="J2" s="6" t="s">
        <v>3575</v>
      </c>
      <c r="K2" s="6" t="s">
        <v>3576</v>
      </c>
      <c r="L2" s="6" t="s">
        <v>432</v>
      </c>
      <c r="M2" s="6" t="s">
        <v>443</v>
      </c>
      <c r="N2" s="6" t="s">
        <v>3577</v>
      </c>
      <c r="O2" s="6" t="s">
        <v>3578</v>
      </c>
      <c r="P2" s="6" t="s">
        <v>434</v>
      </c>
      <c r="Q2" s="6" t="s">
        <v>435</v>
      </c>
      <c r="R2" s="6" t="s">
        <v>3579</v>
      </c>
      <c r="S2" s="6" t="s">
        <v>3580</v>
      </c>
      <c r="T2" s="87" t="s">
        <v>3581</v>
      </c>
    </row>
    <row r="3" customHeight="1" spans="1:20">
      <c r="A3" s="595"/>
      <c r="B3" s="596" t="s">
        <v>3262</v>
      </c>
      <c r="C3" s="597">
        <f>SUM(C4,C148,C836,C852,C856,C875)</f>
        <v>700</v>
      </c>
      <c r="D3" s="598"/>
      <c r="E3" s="598"/>
      <c r="F3" s="598"/>
      <c r="G3" s="595"/>
      <c r="H3" s="595"/>
      <c r="I3" s="595"/>
      <c r="J3" s="595"/>
      <c r="K3" s="595"/>
      <c r="L3" s="598"/>
      <c r="M3" s="599"/>
      <c r="N3" s="598"/>
      <c r="O3" s="599"/>
      <c r="P3" s="598"/>
      <c r="Q3" s="600"/>
      <c r="R3" s="598"/>
      <c r="S3" s="598"/>
      <c r="T3" s="601"/>
    </row>
    <row r="4" customHeight="1" spans="1:20">
      <c r="A4" s="602" t="s">
        <v>3583</v>
      </c>
      <c r="B4" s="603" t="s">
        <v>6465</v>
      </c>
      <c r="C4" s="604">
        <f>SUM(C5,C11,C24,C31,C38,C141)</f>
        <v>120</v>
      </c>
      <c r="D4" s="605"/>
      <c r="E4" s="605"/>
      <c r="F4" s="605"/>
      <c r="G4" s="602"/>
      <c r="H4" s="602"/>
      <c r="I4" s="602"/>
      <c r="J4" s="602"/>
      <c r="K4" s="602"/>
      <c r="L4" s="605"/>
      <c r="M4" s="606"/>
      <c r="N4" s="605"/>
      <c r="O4" s="606"/>
      <c r="P4" s="605"/>
      <c r="Q4" s="607"/>
      <c r="R4" s="605"/>
      <c r="S4" s="605"/>
      <c r="T4" s="608"/>
    </row>
    <row r="5" customHeight="1" spans="1:20">
      <c r="A5" s="14" t="s">
        <v>290</v>
      </c>
      <c r="B5" s="15" t="s">
        <v>6466</v>
      </c>
      <c r="C5" s="14">
        <f>COUNTA(B6:B10)</f>
        <v>3</v>
      </c>
      <c r="D5" s="17"/>
      <c r="E5" s="17"/>
      <c r="F5" s="17"/>
      <c r="G5" s="18"/>
      <c r="H5" s="18"/>
      <c r="I5" s="14"/>
      <c r="J5" s="15"/>
      <c r="K5" s="14"/>
      <c r="L5" s="17"/>
      <c r="M5" s="16"/>
      <c r="N5" s="17"/>
      <c r="O5" s="16"/>
      <c r="P5" s="17"/>
      <c r="Q5" s="18"/>
      <c r="R5" s="17"/>
      <c r="S5" s="17"/>
      <c r="T5" s="609"/>
    </row>
    <row r="6" customHeight="1" spans="1:20">
      <c r="A6" s="19">
        <v>1</v>
      </c>
      <c r="B6" s="20" t="s">
        <v>3585</v>
      </c>
      <c r="C6" s="20">
        <f>IFERROR(VLOOKUP(B6,'03. THIẾT BỊ'!$B$1:$S$836,2,0),"")</f>
        <v>0</v>
      </c>
      <c r="D6" s="20" t="str">
        <f>IFERROR(VLOOKUP(B6,'03. THIẾT BỊ'!$B$1:$S$836,3,0),"")</f>
        <v>A23-CNA-001</v>
      </c>
      <c r="E6" s="20" t="str">
        <f>IFERROR(VLOOKUP(B6,'03. THIẾT BỊ'!$B$1:$S$836,4,0),"")</f>
        <v>ĐQSD</v>
      </c>
      <c r="F6" s="20" t="str">
        <f>IFERROR(VLOOKUP(B6,'03. THIẾT BỊ'!$B$1:$S$836,5,0),"")</f>
        <v>Thiết bị cày ngầm 3 trụ (M.ủi)</v>
      </c>
      <c r="G6" s="101" t="s">
        <v>6467</v>
      </c>
      <c r="H6" s="19" t="str">
        <f>IFERROR(VLOOKUP(B6,'03. THIẾT BỊ'!$B$1:$S$836,7,0),"")</f>
        <v>CGTC DP</v>
      </c>
      <c r="I6" s="610">
        <f>IFERROR(VLOOKUP(B6,'03. THIẾT BỊ'!$B$1:$S$836,8,0),"")</f>
        <v>45658</v>
      </c>
      <c r="J6" s="20"/>
      <c r="K6" s="19" t="str">
        <f>IFERROR(VLOOKUP(B6,'03. THIẾT BỊ'!$B$1:$S$836,10,0),"")</f>
        <v>Bình thường</v>
      </c>
      <c r="L6" s="20">
        <f>IFERROR(VLOOKUP(B6,'03. THIẾT BỊ'!$B$1:$S$836,11,0),"")</f>
        <v>0</v>
      </c>
      <c r="M6" s="22">
        <f>IFERROR(VLOOKUP(B6,'03. THIẾT BỊ'!$B$1:$S$836,12,0),"")</f>
        <v>0</v>
      </c>
      <c r="N6" s="20" t="str">
        <f>IFERROR(VLOOKUP(B6,'03. THIẾT BỊ'!$B$1:$S$836,13,0),"")</f>
        <v>TRUNG QUỐC</v>
      </c>
      <c r="O6" s="22" t="str">
        <f>IFERROR(VLOOKUP(B6,'03. THIẾT BỊ'!$B$1:$S$836,14,0),"")</f>
        <v>3 trụ</v>
      </c>
      <c r="P6" s="25" t="str">
        <f>IFERROR(VLOOKUP(B6,'03. THIẾT BỊ'!$B$1:$S$836,15,0),"")</f>
        <v>TRUNG QUỐC</v>
      </c>
      <c r="Q6" s="19">
        <f>IFERROR(VLOOKUP(B6,'03. THIẾT BỊ'!$B$1:$S$836,16,0),"")</f>
        <v>2022</v>
      </c>
      <c r="R6" s="20">
        <f>IFERROR(VLOOKUP(B6,'03. THIẾT BỊ'!$B$1:$S$836,17,0),"")</f>
        <v>0</v>
      </c>
      <c r="S6" s="20">
        <f>IFERROR(VLOOKUP(B6,'03. THIẾT BỊ'!$B$1:$S$836,18,0),"")</f>
        <v>0</v>
      </c>
      <c r="T6" s="41"/>
    </row>
    <row r="7" customHeight="1" spans="1:20">
      <c r="A7" s="23">
        <v>2</v>
      </c>
      <c r="B7" s="20" t="s">
        <v>3589</v>
      </c>
      <c r="C7" s="20">
        <f>IFERROR(VLOOKUP(B7,'03. THIẾT BỊ'!$B$1:$S$836,2,0),"")</f>
        <v>0</v>
      </c>
      <c r="D7" s="20" t="str">
        <f>IFERROR(VLOOKUP(B7,'03. THIẾT BỊ'!$B$1:$S$836,3,0),"")</f>
        <v>A23-CNA-002</v>
      </c>
      <c r="E7" s="20" t="str">
        <f>IFERROR(VLOOKUP(B7,'03. THIẾT BỊ'!$B$1:$S$836,4,0),"")</f>
        <v>ĐQSD</v>
      </c>
      <c r="F7" s="20" t="str">
        <f>IFERROR(VLOOKUP(B7,'03. THIẾT BỊ'!$B$1:$S$836,5,0),"")</f>
        <v>Thiết bị cày ngầm 3 trụ (M.ủi)</v>
      </c>
      <c r="G7" s="101" t="s">
        <v>6467</v>
      </c>
      <c r="H7" s="19" t="str">
        <f>IFERROR(VLOOKUP(B7,'03. THIẾT BỊ'!$B$1:$S$836,7,0),"")</f>
        <v>CGTC DP</v>
      </c>
      <c r="I7" s="610">
        <f>IFERROR(VLOOKUP(B7,'03. THIẾT BỊ'!$B$1:$S$836,8,0),"")</f>
        <v>0</v>
      </c>
      <c r="J7" s="20"/>
      <c r="K7" s="19" t="str">
        <f>IFERROR(VLOOKUP(B7,'03. THIẾT BỊ'!$B$1:$S$836,10,0),"")</f>
        <v>Bình thường</v>
      </c>
      <c r="L7" s="20">
        <f>IFERROR(VLOOKUP(B7,'03. THIẾT BỊ'!$B$1:$S$836,11,0),"")</f>
        <v>0</v>
      </c>
      <c r="M7" s="22">
        <f>IFERROR(VLOOKUP(B7,'03. THIẾT BỊ'!$B$1:$S$836,12,0),"")</f>
        <v>0</v>
      </c>
      <c r="N7" s="20" t="str">
        <f>IFERROR(VLOOKUP(B7,'03. THIẾT BỊ'!$B$1:$S$836,13,0),"")</f>
        <v>TRUNG QUỐC</v>
      </c>
      <c r="O7" s="22" t="str">
        <f>IFERROR(VLOOKUP(B7,'03. THIẾT BỊ'!$B$1:$S$836,14,0),"")</f>
        <v>3 trụ</v>
      </c>
      <c r="P7" s="25" t="str">
        <f>IFERROR(VLOOKUP(B7,'03. THIẾT BỊ'!$B$1:$S$836,15,0),"")</f>
        <v>TRUNG QUỐC</v>
      </c>
      <c r="Q7" s="19">
        <f>IFERROR(VLOOKUP(B7,'03. THIẾT BỊ'!$B$1:$S$836,16,0),"")</f>
        <v>0</v>
      </c>
      <c r="R7" s="20">
        <f>IFERROR(VLOOKUP(B7,'03. THIẾT BỊ'!$B$1:$S$836,17,0),"")</f>
        <v>0</v>
      </c>
      <c r="S7" s="20">
        <f>IFERROR(VLOOKUP(B7,'03. THIẾT BỊ'!$B$1:$S$836,18,0),"")</f>
        <v>0</v>
      </c>
      <c r="T7" s="611"/>
    </row>
    <row r="8" customHeight="1" spans="1:20">
      <c r="A8" s="23">
        <v>3</v>
      </c>
      <c r="B8" s="20" t="s">
        <v>3819</v>
      </c>
      <c r="C8" s="20" t="str">
        <f>IFERROR(VLOOKUP(B8,'03. THIẾT BỊ'!$B$1:$S$836,2,0),"")</f>
        <v>CHT-CNA-004</v>
      </c>
      <c r="D8" s="20" t="str">
        <f>IFERROR(VLOOKUP(B8,'03. THIẾT BỊ'!$B$1:$S$836,3,0),"")</f>
        <v>A22-CNA-003</v>
      </c>
      <c r="E8" s="20" t="str">
        <f>IFERROR(VLOOKUP(B8,'03. THIẾT BỊ'!$B$1:$S$836,4,0),"")</f>
        <v>ĐQSD</v>
      </c>
      <c r="F8" s="20" t="str">
        <f>IFERROR(VLOOKUP(B8,'03. THIẾT BỊ'!$B$1:$S$836,5,0),"")</f>
        <v>Thiết bị cày ngầm 3 trụ</v>
      </c>
      <c r="G8" s="101" t="s">
        <v>6467</v>
      </c>
      <c r="H8" s="19" t="str">
        <f>IFERROR(VLOOKUP(B8,'03. THIẾT BỊ'!$B$1:$S$836,7,0),"")</f>
        <v>CGTC AD</v>
      </c>
      <c r="I8" s="610">
        <f>IFERROR(VLOOKUP(B8,'03. THIẾT BỊ'!$B$1:$S$836,8,0),"")</f>
        <v>0</v>
      </c>
      <c r="J8" s="20"/>
      <c r="K8" s="19" t="str">
        <f>IFERROR(VLOOKUP(B8,'03. THIẾT BỊ'!$B$1:$S$836,10,0),"")</f>
        <v>Bình thường</v>
      </c>
      <c r="L8" s="20">
        <f>IFERROR(VLOOKUP(B8,'03. THIẾT BỊ'!$B$1:$S$836,11,0),"")</f>
        <v>0</v>
      </c>
      <c r="M8" s="22">
        <f>IFERROR(VLOOKUP(B8,'03. THIẾT BỊ'!$B$1:$S$836,12,0),"")</f>
        <v>0</v>
      </c>
      <c r="N8" s="20" t="str">
        <f>IFERROR(VLOOKUP(B8,'03. THIẾT BỊ'!$B$1:$S$836,13,0),"")</f>
        <v>TRUNG QUỐC</v>
      </c>
      <c r="O8" s="22" t="str">
        <f>IFERROR(VLOOKUP(B8,'03. THIẾT BỊ'!$B$1:$S$836,14,0),"")</f>
        <v>3 trụ</v>
      </c>
      <c r="P8" s="25" t="str">
        <f>IFERROR(VLOOKUP(B8,'03. THIẾT BỊ'!$B$1:$S$836,15,0),"")</f>
        <v>TRUNG QUỐC</v>
      </c>
      <c r="Q8" s="19">
        <f>IFERROR(VLOOKUP(B8,'03. THIẾT BỊ'!$B$1:$S$836,16,0),"")</f>
        <v>0</v>
      </c>
      <c r="R8" s="20">
        <f>IFERROR(VLOOKUP(B8,'03. THIẾT BỊ'!$B$1:$S$836,17,0),"")</f>
        <v>0</v>
      </c>
      <c r="S8" s="20">
        <f>IFERROR(VLOOKUP(B8,'03. THIẾT BỊ'!$B$1:$S$836,18,0),"")</f>
        <v>0</v>
      </c>
      <c r="T8" s="41"/>
    </row>
    <row r="9" customHeight="1" spans="1:20">
      <c r="A9" s="19"/>
      <c r="B9" s="20"/>
      <c r="C9" s="20" t="str">
        <f>IFERROR(VLOOKUP(B9,'03. THIẾT BỊ'!$B$1:$S$836,2,0),"")</f>
        <v/>
      </c>
      <c r="D9" s="20" t="str">
        <f>IFERROR(VLOOKUP(B9,'03. THIẾT BỊ'!$B$1:$S$836,3,0),"")</f>
        <v/>
      </c>
      <c r="E9" s="20" t="str">
        <f>IFERROR(VLOOKUP(B9,'03. THIẾT BỊ'!$B$1:$S$836,4,0),"")</f>
        <v/>
      </c>
      <c r="F9" s="20" t="str">
        <f>IFERROR(VLOOKUP(B9,'03. THIẾT BỊ'!$B$1:$S$836,5,0),"")</f>
        <v/>
      </c>
      <c r="G9" s="101" t="s">
        <v>6467</v>
      </c>
      <c r="H9" s="19" t="str">
        <f>IFERROR(VLOOKUP(B9,'03. THIẾT BỊ'!$B$1:$S$836,7,0),"")</f>
        <v/>
      </c>
      <c r="I9" s="610" t="str">
        <f>IFERROR(VLOOKUP(B9,'03. THIẾT BỊ'!$B$1:$S$836,8,0),"")</f>
        <v/>
      </c>
      <c r="J9" s="20"/>
      <c r="K9" s="19" t="str">
        <f>IFERROR(VLOOKUP(B9,'03. THIẾT BỊ'!$B$1:$S$836,10,0),"")</f>
        <v/>
      </c>
      <c r="L9" s="20" t="str">
        <f>IFERROR(VLOOKUP(B9,'03. THIẾT BỊ'!$B$1:$S$836,11,0),"")</f>
        <v/>
      </c>
      <c r="M9" s="22" t="str">
        <f>IFERROR(VLOOKUP(B9,'03. THIẾT BỊ'!$B$1:$S$836,12,0),"")</f>
        <v/>
      </c>
      <c r="N9" s="20" t="str">
        <f>IFERROR(VLOOKUP(B9,'03. THIẾT BỊ'!$B$1:$S$836,13,0),"")</f>
        <v/>
      </c>
      <c r="O9" s="22" t="str">
        <f>IFERROR(VLOOKUP(B9,'03. THIẾT BỊ'!$B$1:$S$836,14,0),"")</f>
        <v/>
      </c>
      <c r="P9" s="25" t="str">
        <f>IFERROR(VLOOKUP(B9,'03. THIẾT BỊ'!$B$1:$S$836,15,0),"")</f>
        <v/>
      </c>
      <c r="Q9" s="19" t="str">
        <f>IFERROR(VLOOKUP(B9,'03. THIẾT BỊ'!$B$1:$S$836,16,0),"")</f>
        <v/>
      </c>
      <c r="R9" s="20" t="str">
        <f>IFERROR(VLOOKUP(B9,'03. THIẾT BỊ'!$B$1:$S$836,17,0),"")</f>
        <v/>
      </c>
      <c r="S9" s="20" t="str">
        <f>IFERROR(VLOOKUP(B9,'03. THIẾT BỊ'!$B$1:$S$836,18,0),"")</f>
        <v/>
      </c>
      <c r="T9" s="611"/>
    </row>
    <row r="10" customHeight="1" spans="1:20">
      <c r="A10" s="19"/>
      <c r="B10" s="20"/>
      <c r="C10" s="20" t="str">
        <f>IFERROR(VLOOKUP(B10,'03. THIẾT BỊ'!$B$1:$S$836,2,0),"")</f>
        <v/>
      </c>
      <c r="D10" s="20" t="str">
        <f>IFERROR(VLOOKUP(B10,'03. THIẾT BỊ'!$B$1:$S$836,3,0),"")</f>
        <v/>
      </c>
      <c r="E10" s="20" t="str">
        <f>IFERROR(VLOOKUP(B10,'03. THIẾT BỊ'!$B$1:$S$836,4,0),"")</f>
        <v/>
      </c>
      <c r="F10" s="20" t="str">
        <f>IFERROR(VLOOKUP(B10,'03. THIẾT BỊ'!$B$1:$S$836,5,0),"")</f>
        <v/>
      </c>
      <c r="G10" s="101" t="s">
        <v>6467</v>
      </c>
      <c r="H10" s="19" t="str">
        <f>IFERROR(VLOOKUP(B10,'03. THIẾT BỊ'!$B$1:$S$836,7,0),"")</f>
        <v/>
      </c>
      <c r="I10" s="610" t="str">
        <f>IFERROR(VLOOKUP(B10,'03. THIẾT BỊ'!$B$1:$S$836,8,0),"")</f>
        <v/>
      </c>
      <c r="J10" s="20"/>
      <c r="K10" s="19" t="str">
        <f>IFERROR(VLOOKUP(B10,'03. THIẾT BỊ'!$B$1:$S$836,10,0),"")</f>
        <v/>
      </c>
      <c r="L10" s="20" t="str">
        <f>IFERROR(VLOOKUP(B10,'03. THIẾT BỊ'!$B$1:$S$836,11,0),"")</f>
        <v/>
      </c>
      <c r="M10" s="22" t="str">
        <f>IFERROR(VLOOKUP(B10,'03. THIẾT BỊ'!$B$1:$S$836,12,0),"")</f>
        <v/>
      </c>
      <c r="N10" s="20" t="str">
        <f>IFERROR(VLOOKUP(B10,'03. THIẾT BỊ'!$B$1:$S$836,13,0),"")</f>
        <v/>
      </c>
      <c r="O10" s="22" t="str">
        <f>IFERROR(VLOOKUP(B10,'03. THIẾT BỊ'!$B$1:$S$836,14,0),"")</f>
        <v/>
      </c>
      <c r="P10" s="25" t="str">
        <f>IFERROR(VLOOKUP(B10,'03. THIẾT BỊ'!$B$1:$S$836,15,0),"")</f>
        <v/>
      </c>
      <c r="Q10" s="19" t="str">
        <f>IFERROR(VLOOKUP(B10,'03. THIẾT BỊ'!$B$1:$S$836,16,0),"")</f>
        <v/>
      </c>
      <c r="R10" s="20" t="str">
        <f>IFERROR(VLOOKUP(B10,'03. THIẾT BỊ'!$B$1:$S$836,17,0),"")</f>
        <v/>
      </c>
      <c r="S10" s="20" t="str">
        <f>IFERROR(VLOOKUP(B10,'03. THIẾT BỊ'!$B$1:$S$836,18,0),"")</f>
        <v/>
      </c>
      <c r="T10" s="611"/>
    </row>
    <row r="11" customHeight="1" spans="1:20">
      <c r="A11" s="14" t="s">
        <v>290</v>
      </c>
      <c r="B11" s="15" t="s">
        <v>301</v>
      </c>
      <c r="C11" s="14">
        <f>COUNTA(B12:B23)</f>
        <v>10</v>
      </c>
      <c r="D11" s="17"/>
      <c r="E11" s="17" t="str">
        <f>IFERROR(VLOOKUP(B11,'03. THIẾT BỊ'!$B$1:$S$836,4,0),"")</f>
        <v/>
      </c>
      <c r="F11" s="17"/>
      <c r="G11" s="18"/>
      <c r="H11" s="18"/>
      <c r="I11" s="14"/>
      <c r="J11" s="15"/>
      <c r="K11" s="14"/>
      <c r="L11" s="17"/>
      <c r="M11" s="16"/>
      <c r="N11" s="17"/>
      <c r="O11" s="16"/>
      <c r="P11" s="17"/>
      <c r="Q11" s="18"/>
      <c r="R11" s="17"/>
      <c r="S11" s="17"/>
      <c r="T11" s="609"/>
    </row>
    <row r="12" customHeight="1" spans="1:20">
      <c r="A12" s="19">
        <v>1</v>
      </c>
      <c r="B12" s="20" t="s">
        <v>3591</v>
      </c>
      <c r="C12" s="612">
        <f>IFERROR(VLOOKUP(B12,'03. THIẾT BỊ'!$B$1:$S$836,2,0),"")</f>
        <v>0</v>
      </c>
      <c r="D12" s="24" t="str">
        <f>IFERROR(VLOOKUP(B12,'03. THIẾT BỊ'!$B$1:$S$836,3,0),"")</f>
        <v>A23-BDU-005</v>
      </c>
      <c r="E12" s="20" t="str">
        <f>IFERROR(VLOOKUP(B12,'03. THIẾT BỊ'!$B$1:$S$836,4,0),"")</f>
        <v>MUA MỚI</v>
      </c>
      <c r="F12" s="20" t="str">
        <f>IFERROR(VLOOKUP(B12,'03. THIẾT BỊ'!$B$1:$S$836,5,0),"")</f>
        <v>Búa đục bê tông</v>
      </c>
      <c r="G12" s="101" t="s">
        <v>6468</v>
      </c>
      <c r="H12" s="19" t="str">
        <f>IFERROR(VLOOKUP(B12,'03. THIẾT BỊ'!$B$1:$S$836,7,0),"")</f>
        <v>CGTC DP</v>
      </c>
      <c r="I12" s="610">
        <f>IFERROR(VLOOKUP(B12,'03. THIẾT BỊ'!$B$1:$S$836,8,0),"")</f>
        <v>45545</v>
      </c>
      <c r="J12" s="25"/>
      <c r="K12" s="19" t="str">
        <f>IFERROR(VLOOKUP(B12,'03. THIẾT BỊ'!$B$1:$S$836,10,0),"")</f>
        <v>Bình thường</v>
      </c>
      <c r="L12" s="25" t="str">
        <f>IFERROR(VLOOKUP(B12,'03. THIẾT BỊ'!$B$1:$S$836,11,0),"")</f>
        <v>Đầu tư mới</v>
      </c>
      <c r="M12" s="24">
        <f>IFERROR(VLOOKUP(B12,'03. THIẾT BỊ'!$B$1:$S$836,12,0),"")</f>
        <v>0</v>
      </c>
      <c r="N12" s="25" t="str">
        <f>IFERROR(VLOOKUP(B12,'03. THIẾT BỊ'!$B$1:$S$836,13,0),"")</f>
        <v>TRUNG QUỐC</v>
      </c>
      <c r="O12" s="24" t="str">
        <f>IFERROR(VLOOKUP(B12,'03. THIẾT BỊ'!$B$1:$S$836,14,0),"")</f>
        <v>ETD2000</v>
      </c>
      <c r="P12" s="25" t="str">
        <f>IFERROR(VLOOKUP(B12,'03. THIẾT BỊ'!$B$1:$S$836,15,0),"")</f>
        <v>TRUNG QUỐC</v>
      </c>
      <c r="Q12" s="23">
        <f>IFERROR(VLOOKUP(B12,'03. THIẾT BỊ'!$B$1:$S$836,16,0),"")</f>
        <v>2024</v>
      </c>
      <c r="R12" s="25">
        <f>IFERROR(VLOOKUP(B12,'03. THIẾT BỊ'!$B$1:$S$836,17,0),"")</f>
        <v>0</v>
      </c>
      <c r="S12" s="25" t="str">
        <f>IFERROR(VLOOKUP(B12,'03. THIẾT BỊ'!$B$1:$S$836,18,0),"")</f>
        <v>CNP1500D14HB1</v>
      </c>
      <c r="T12" s="611"/>
    </row>
    <row r="13" customHeight="1" spans="1:20">
      <c r="A13" s="23">
        <f t="shared" ref="A13:A21" si="0">A12+1</f>
        <v>2</v>
      </c>
      <c r="B13" s="25" t="s">
        <v>3722</v>
      </c>
      <c r="C13" s="612">
        <f>IFERROR(VLOOKUP(B13,'03. THIẾT BỊ'!$B$1:$S$836,2,0),"")</f>
        <v>0</v>
      </c>
      <c r="D13" s="24" t="str">
        <f>IFERROR(VLOOKUP(B13,'03. THIẾT BỊ'!$B$1:$S$836,3,0),"")</f>
        <v>A24-BDU-001</v>
      </c>
      <c r="E13" s="20" t="str">
        <f>IFERROR(VLOOKUP(B13,'03. THIẾT BỊ'!$B$1:$S$836,4,0),"")</f>
        <v>ĐQSD</v>
      </c>
      <c r="F13" s="20" t="str">
        <f>IFERROR(VLOOKUP(B13,'03. THIẾT BỊ'!$B$1:$S$836,5,0),"")</f>
        <v>Búa đục bê tông</v>
      </c>
      <c r="G13" s="101" t="s">
        <v>6468</v>
      </c>
      <c r="H13" s="19" t="str">
        <f>IFERROR(VLOOKUP(B13,'03. THIẾT BỊ'!$B$1:$S$836,7,0),"")</f>
        <v>CGTC LP</v>
      </c>
      <c r="I13" s="610">
        <f>IFERROR(VLOOKUP(B13,'03. THIẾT BỊ'!$B$1:$S$836,8,0),"")</f>
        <v>0</v>
      </c>
      <c r="J13" s="25"/>
      <c r="K13" s="19" t="str">
        <f>IFERROR(VLOOKUP(B13,'03. THIẾT BỊ'!$B$1:$S$836,10,0),"")</f>
        <v>Bình thường</v>
      </c>
      <c r="L13" s="25">
        <f>IFERROR(VLOOKUP(B13,'03. THIẾT BỊ'!$B$1:$S$836,11,0),"")</f>
        <v>0</v>
      </c>
      <c r="M13" s="24" t="str">
        <f>IFERROR(VLOOKUP(B13,'03. THIẾT BỊ'!$B$1:$S$836,12,0),"")</f>
        <v>Hư (xưởng SC)</v>
      </c>
      <c r="N13" s="25" t="str">
        <f>IFERROR(VLOOKUP(B13,'03. THIẾT BỊ'!$B$1:$S$836,13,0),"")</f>
        <v>TRUNG QUỐC</v>
      </c>
      <c r="O13" s="24">
        <f>IFERROR(VLOOKUP(B13,'03. THIẾT BỊ'!$B$1:$S$836,14,0),"")</f>
        <v>0</v>
      </c>
      <c r="P13" s="25" t="str">
        <f>IFERROR(VLOOKUP(B13,'03. THIẾT BỊ'!$B$1:$S$836,15,0),"")</f>
        <v>TRUNG QUỐC</v>
      </c>
      <c r="Q13" s="23">
        <f>IFERROR(VLOOKUP(B13,'03. THIẾT BỊ'!$B$1:$S$836,16,0),"")</f>
        <v>0</v>
      </c>
      <c r="R13" s="25">
        <f>IFERROR(VLOOKUP(B13,'03. THIẾT BỊ'!$B$1:$S$836,17,0),"")</f>
        <v>0</v>
      </c>
      <c r="S13" s="25">
        <f>IFERROR(VLOOKUP(B13,'03. THIẾT BỊ'!$B$1:$S$836,18,0),"")</f>
        <v>0</v>
      </c>
      <c r="T13" s="611"/>
    </row>
    <row r="14" customHeight="1" spans="1:20">
      <c r="A14" s="23">
        <f t="shared" si="0"/>
        <v>3</v>
      </c>
      <c r="B14" s="20" t="s">
        <v>3725</v>
      </c>
      <c r="C14" s="612">
        <f>IFERROR(VLOOKUP(B14,'03. THIẾT BỊ'!$B$1:$S$836,2,0),"")</f>
        <v>0</v>
      </c>
      <c r="D14" s="24" t="str">
        <f>IFERROR(VLOOKUP(B14,'03. THIẾT BỊ'!$B$1:$S$836,3,0),"")</f>
        <v>A24-BDU-004</v>
      </c>
      <c r="E14" s="20" t="str">
        <f>IFERROR(VLOOKUP(B14,'03. THIẾT BỊ'!$B$1:$S$836,4,0),"")</f>
        <v>MUA MỚI</v>
      </c>
      <c r="F14" s="20" t="str">
        <f>IFERROR(VLOOKUP(B14,'03. THIẾT BỊ'!$B$1:$S$836,5,0),"")</f>
        <v>Búa đục bê tông</v>
      </c>
      <c r="G14" s="101" t="s">
        <v>6468</v>
      </c>
      <c r="H14" s="19" t="str">
        <f>IFERROR(VLOOKUP(B14,'03. THIẾT BỊ'!$B$1:$S$836,7,0),"")</f>
        <v>CGTC LP</v>
      </c>
      <c r="I14" s="610" t="str">
        <f>IFERROR(VLOOKUP(B14,'03. THIẾT BỊ'!$B$1:$S$836,8,0),"")</f>
        <v>20/09/2024</v>
      </c>
      <c r="J14" s="25"/>
      <c r="K14" s="19" t="str">
        <f>IFERROR(VLOOKUP(B14,'03. THIẾT BỊ'!$B$1:$S$836,10,0),"")</f>
        <v>Bình thường</v>
      </c>
      <c r="L14" s="25" t="str">
        <f>IFERROR(VLOOKUP(B14,'03. THIẾT BỊ'!$B$1:$S$836,11,0),"")</f>
        <v>Đầu tư mới</v>
      </c>
      <c r="M14" s="24">
        <f>IFERROR(VLOOKUP(B14,'03. THIẾT BỊ'!$B$1:$S$836,12,0),"")</f>
        <v>0</v>
      </c>
      <c r="N14" s="25" t="str">
        <f>IFERROR(VLOOKUP(B14,'03. THIẾT BỊ'!$B$1:$S$836,13,0),"")</f>
        <v>TRUNG QUỐC</v>
      </c>
      <c r="O14" s="24" t="str">
        <f>IFERROR(VLOOKUP(B14,'03. THIẾT BỊ'!$B$1:$S$836,14,0),"")</f>
        <v>EDT2000</v>
      </c>
      <c r="P14" s="25" t="str">
        <f>IFERROR(VLOOKUP(B14,'03. THIẾT BỊ'!$B$1:$S$836,15,0),"")</f>
        <v>TRUNG QUỐC</v>
      </c>
      <c r="Q14" s="23">
        <f>IFERROR(VLOOKUP(B14,'03. THIẾT BỊ'!$B$1:$S$836,16,0),"")</f>
        <v>2024</v>
      </c>
      <c r="R14" s="25">
        <f>IFERROR(VLOOKUP(B14,'03. THIẾT BỊ'!$B$1:$S$836,17,0),"")</f>
        <v>0</v>
      </c>
      <c r="S14" s="25" t="str">
        <f>IFERROR(VLOOKUP(B14,'03. THIẾT BỊ'!$B$1:$S$836,18,0),"")</f>
        <v>CNC 162D14HB1</v>
      </c>
      <c r="T14" s="41"/>
    </row>
    <row r="15" customHeight="1" spans="1:20">
      <c r="A15" s="23">
        <f t="shared" si="0"/>
        <v>4</v>
      </c>
      <c r="B15" s="20" t="s">
        <v>3730</v>
      </c>
      <c r="C15" s="612">
        <f>IFERROR(VLOOKUP(B15,'03. THIẾT BỊ'!$B$1:$S$836,2,0),"")</f>
        <v>0</v>
      </c>
      <c r="D15" s="24" t="str">
        <f>IFERROR(VLOOKUP(B15,'03. THIẾT BỊ'!$B$1:$S$836,3,0),"")</f>
        <v>A24-BDU-006</v>
      </c>
      <c r="E15" s="20" t="str">
        <f>IFERROR(VLOOKUP(B15,'03. THIẾT BỊ'!$B$1:$S$836,4,0),"")</f>
        <v>MUA MỚI</v>
      </c>
      <c r="F15" s="20" t="str">
        <f>IFERROR(VLOOKUP(B15,'03. THIẾT BỊ'!$B$1:$S$836,5,0),"")</f>
        <v>Búa đục bê tông</v>
      </c>
      <c r="G15" s="101" t="s">
        <v>6468</v>
      </c>
      <c r="H15" s="19" t="str">
        <f>IFERROR(VLOOKUP(B15,'03. THIẾT BỊ'!$B$1:$S$836,7,0),"")</f>
        <v>CGTC LP</v>
      </c>
      <c r="I15" s="610" t="str">
        <f>IFERROR(VLOOKUP(B15,'03. THIẾT BỊ'!$B$1:$S$836,8,0),"")</f>
        <v>20/03/2025</v>
      </c>
      <c r="J15" s="25"/>
      <c r="K15" s="19" t="str">
        <f>IFERROR(VLOOKUP(B15,'03. THIẾT BỊ'!$B$1:$S$836,10,0),"")</f>
        <v>Bình thường</v>
      </c>
      <c r="L15" s="25" t="str">
        <f>IFERROR(VLOOKUP(B15,'03. THIẾT BỊ'!$B$1:$S$836,11,0),"")</f>
        <v>Đầu tư mới</v>
      </c>
      <c r="M15" s="24">
        <f>IFERROR(VLOOKUP(B15,'03. THIẾT BỊ'!$B$1:$S$836,12,0),"")</f>
        <v>0</v>
      </c>
      <c r="N15" s="25" t="str">
        <f>IFERROR(VLOOKUP(B15,'03. THIẾT BỊ'!$B$1:$S$836,13,0),"")</f>
        <v>FURUKAWA</v>
      </c>
      <c r="O15" s="24" t="str">
        <f>IFERROR(VLOOKUP(B15,'03. THIẾT BỊ'!$B$1:$S$836,14,0),"")</f>
        <v>FXJ275/ZB10154</v>
      </c>
      <c r="P15" s="25" t="str">
        <f>IFERROR(VLOOKUP(B15,'03. THIẾT BỊ'!$B$1:$S$836,15,0),"")</f>
        <v>NHẬT BẢN</v>
      </c>
      <c r="Q15" s="23">
        <f>IFERROR(VLOOKUP(B15,'03. THIẾT BỊ'!$B$1:$S$836,16,0),"")</f>
        <v>2016</v>
      </c>
      <c r="R15" s="25">
        <f>IFERROR(VLOOKUP(B15,'03. THIẾT BỊ'!$B$1:$S$836,17,0),"")</f>
        <v>0</v>
      </c>
      <c r="S15" s="25">
        <f>IFERROR(VLOOKUP(B15,'03. THIẾT BỊ'!$B$1:$S$836,18,0),"")</f>
        <v>1892</v>
      </c>
      <c r="T15" s="41"/>
    </row>
    <row r="16" customHeight="1" spans="1:20">
      <c r="A16" s="23">
        <f t="shared" si="0"/>
        <v>5</v>
      </c>
      <c r="B16" s="25" t="s">
        <v>3832</v>
      </c>
      <c r="C16" s="612">
        <f>IFERROR(VLOOKUP(B16,'03. THIẾT BỊ'!$B$1:$S$836,2,0),"")</f>
        <v>0</v>
      </c>
      <c r="D16" s="24" t="str">
        <f>IFERROR(VLOOKUP(B16,'03. THIẾT BỊ'!$B$1:$S$836,3,0),"")</f>
        <v>A22-BDU-002</v>
      </c>
      <c r="E16" s="20" t="str">
        <f>IFERROR(VLOOKUP(B16,'03. THIẾT BỊ'!$B$1:$S$836,4,0),"")</f>
        <v>ĐQSD</v>
      </c>
      <c r="F16" s="20" t="str">
        <f>IFERROR(VLOOKUP(B16,'03. THIẾT BỊ'!$B$1:$S$836,5,0),"")</f>
        <v>Búa đục bê tông</v>
      </c>
      <c r="G16" s="101" t="s">
        <v>6468</v>
      </c>
      <c r="H16" s="19" t="str">
        <f>IFERROR(VLOOKUP(B16,'03. THIẾT BỊ'!$B$1:$S$836,7,0),"")</f>
        <v>CGTC AD</v>
      </c>
      <c r="I16" s="610">
        <f>IFERROR(VLOOKUP(B16,'03. THIẾT BỊ'!$B$1:$S$836,8,0),"")</f>
        <v>0</v>
      </c>
      <c r="J16" s="25"/>
      <c r="K16" s="19" t="str">
        <f>IFERROR(VLOOKUP(B16,'03. THIẾT BỊ'!$B$1:$S$836,10,0),"")</f>
        <v>Bình thường</v>
      </c>
      <c r="L16" s="25">
        <f>IFERROR(VLOOKUP(B16,'03. THIẾT BỊ'!$B$1:$S$836,11,0),"")</f>
        <v>0</v>
      </c>
      <c r="M16" s="24">
        <f>IFERROR(VLOOKUP(B16,'03. THIẾT BỊ'!$B$1:$S$836,12,0),"")</f>
        <v>0</v>
      </c>
      <c r="N16" s="25" t="str">
        <f>IFERROR(VLOOKUP(B16,'03. THIẾT BỊ'!$B$1:$S$836,13,0),"")</f>
        <v>TRUNG QUỐC</v>
      </c>
      <c r="O16" s="24">
        <f>IFERROR(VLOOKUP(B16,'03. THIẾT BỊ'!$B$1:$S$836,14,0),"")</f>
        <v>0</v>
      </c>
      <c r="P16" s="25" t="str">
        <f>IFERROR(VLOOKUP(B16,'03. THIẾT BỊ'!$B$1:$S$836,15,0),"")</f>
        <v>TRUNG QUỐC</v>
      </c>
      <c r="Q16" s="23">
        <f>IFERROR(VLOOKUP(B16,'03. THIẾT BỊ'!$B$1:$S$836,16,0),"")</f>
        <v>0</v>
      </c>
      <c r="R16" s="25">
        <f>IFERROR(VLOOKUP(B16,'03. THIẾT BỊ'!$B$1:$S$836,17,0),"")</f>
        <v>0</v>
      </c>
      <c r="S16" s="25">
        <f>IFERROR(VLOOKUP(B16,'03. THIẾT BỊ'!$B$1:$S$836,18,0),"")</f>
        <v>0</v>
      </c>
      <c r="T16" s="41"/>
    </row>
    <row r="17" customHeight="1" spans="1:20">
      <c r="A17" s="23">
        <f t="shared" si="0"/>
        <v>6</v>
      </c>
      <c r="B17" s="25" t="s">
        <v>3834</v>
      </c>
      <c r="C17" s="612">
        <f>IFERROR(VLOOKUP(B17,'03. THIẾT BỊ'!$B$1:$S$836,2,0),"")</f>
        <v>0</v>
      </c>
      <c r="D17" s="24" t="str">
        <f>IFERROR(VLOOKUP(B17,'03. THIẾT BỊ'!$B$1:$S$836,3,0),"")</f>
        <v>A22-BDU-003</v>
      </c>
      <c r="E17" s="20" t="str">
        <f>IFERROR(VLOOKUP(B17,'03. THIẾT BỊ'!$B$1:$S$836,4,0),"")</f>
        <v>ĐQSD</v>
      </c>
      <c r="F17" s="20" t="str">
        <f>IFERROR(VLOOKUP(B17,'03. THIẾT BỊ'!$B$1:$S$836,5,0),"")</f>
        <v>Búa đục bê tông</v>
      </c>
      <c r="G17" s="101" t="s">
        <v>6468</v>
      </c>
      <c r="H17" s="19" t="str">
        <f>IFERROR(VLOOKUP(B17,'03. THIẾT BỊ'!$B$1:$S$836,7,0),"")</f>
        <v>CGTC AD</v>
      </c>
      <c r="I17" s="610" t="str">
        <f>IFERROR(VLOOKUP(B17,'03. THIẾT BỊ'!$B$1:$S$836,8,0),"")</f>
        <v>26/06/2024</v>
      </c>
      <c r="J17" s="25"/>
      <c r="K17" s="19" t="str">
        <f>IFERROR(VLOOKUP(B17,'03. THIẾT BỊ'!$B$1:$S$836,10,0),"")</f>
        <v>Bình thường</v>
      </c>
      <c r="L17" s="25">
        <f>IFERROR(VLOOKUP(B17,'03. THIẾT BỊ'!$B$1:$S$836,11,0),"")</f>
        <v>0</v>
      </c>
      <c r="M17" s="24">
        <f>IFERROR(VLOOKUP(B17,'03. THIẾT BỊ'!$B$1:$S$836,12,0),"")</f>
        <v>0</v>
      </c>
      <c r="N17" s="25" t="str">
        <f>IFERROR(VLOOKUP(B17,'03. THIẾT BỊ'!$B$1:$S$836,13,0),"")</f>
        <v>TRUNG QUỐC</v>
      </c>
      <c r="O17" s="24" t="str">
        <f>IFERROR(VLOOKUP(B17,'03. THIẾT BỊ'!$B$1:$S$836,14,0),"")</f>
        <v>EDT</v>
      </c>
      <c r="P17" s="25" t="str">
        <f>IFERROR(VLOOKUP(B17,'03. THIẾT BỊ'!$B$1:$S$836,15,0),"")</f>
        <v>TRUNG QUỐC</v>
      </c>
      <c r="Q17" s="23">
        <f>IFERROR(VLOOKUP(B17,'03. THIẾT BỊ'!$B$1:$S$836,16,0),"")</f>
        <v>2024</v>
      </c>
      <c r="R17" s="25" t="str">
        <f>IFERROR(VLOOKUP(B17,'03. THIẾT BỊ'!$B$1:$S$836,17,0),"")</f>
        <v>Đường kính đinh: 135mm</v>
      </c>
      <c r="S17" s="25" t="str">
        <f>IFERROR(VLOOKUP(B17,'03. THIẾT BỊ'!$B$1:$S$836,18,0),"")</f>
        <v>CNB 0051 E52HB1</v>
      </c>
      <c r="T17" s="41"/>
    </row>
    <row r="18" customHeight="1" spans="1:20">
      <c r="A18" s="23">
        <f t="shared" si="0"/>
        <v>7</v>
      </c>
      <c r="B18" s="20" t="s">
        <v>3840</v>
      </c>
      <c r="C18" s="612">
        <f>IFERROR(VLOOKUP(B18,'03. THIẾT BỊ'!$B$1:$S$836,2,0),"")</f>
        <v>0</v>
      </c>
      <c r="D18" s="24" t="str">
        <f>IFERROR(VLOOKUP(B18,'03. THIẾT BỊ'!$B$1:$S$836,3,0),"")</f>
        <v>A22-BDU-004</v>
      </c>
      <c r="E18" s="20" t="str">
        <f>IFERROR(VLOOKUP(B18,'03. THIẾT BỊ'!$B$1:$S$836,4,0),"")</f>
        <v>MUA MỚI</v>
      </c>
      <c r="F18" s="20" t="str">
        <f>IFERROR(VLOOKUP(B18,'03. THIẾT BỊ'!$B$1:$S$836,5,0),"")</f>
        <v>Búa đục bê tông</v>
      </c>
      <c r="G18" s="101" t="s">
        <v>6468</v>
      </c>
      <c r="H18" s="19" t="str">
        <f>IFERROR(VLOOKUP(B18,'03. THIẾT BỊ'!$B$1:$S$836,7,0),"")</f>
        <v>CGTC AD</v>
      </c>
      <c r="I18" s="610" t="str">
        <f>IFERROR(VLOOKUP(B18,'03. THIẾT BỊ'!$B$1:$S$836,8,0),"")</f>
        <v>28/05/2025</v>
      </c>
      <c r="J18" s="25"/>
      <c r="K18" s="19" t="str">
        <f>IFERROR(VLOOKUP(B18,'03. THIẾT BỊ'!$B$1:$S$836,10,0),"")</f>
        <v>Bình thường</v>
      </c>
      <c r="L18" s="25" t="str">
        <f>IFERROR(VLOOKUP(B18,'03. THIẾT BỊ'!$B$1:$S$836,11,0),"")</f>
        <v>Đầu tư mới (ĐQSD)</v>
      </c>
      <c r="M18" s="24">
        <f>IFERROR(VLOOKUP(B18,'03. THIẾT BỊ'!$B$1:$S$836,12,0),"")</f>
        <v>0</v>
      </c>
      <c r="N18" s="25" t="str">
        <f>IFERROR(VLOOKUP(B18,'03. THIẾT BỊ'!$B$1:$S$836,13,0),"")</f>
        <v>FURUKAWA</v>
      </c>
      <c r="O18" s="24" t="str">
        <f>IFERROR(VLOOKUP(B18,'03. THIẾT BỊ'!$B$1:$S$836,14,0),"")</f>
        <v>F22</v>
      </c>
      <c r="P18" s="25" t="str">
        <f>IFERROR(VLOOKUP(B18,'03. THIẾT BỊ'!$B$1:$S$836,15,0),"")</f>
        <v>NHẬT BẢN</v>
      </c>
      <c r="Q18" s="23">
        <f>IFERROR(VLOOKUP(B18,'03. THIẾT BỊ'!$B$1:$S$836,16,0),"")</f>
        <v>0</v>
      </c>
      <c r="R18" s="25">
        <f>IFERROR(VLOOKUP(B18,'03. THIẾT BỊ'!$B$1:$S$836,17,0),"")</f>
        <v>0</v>
      </c>
      <c r="S18" s="25" t="str">
        <f>IFERROR(VLOOKUP(B18,'03. THIẾT BỊ'!$B$1:$S$836,18,0),"")</f>
        <v>F22-01</v>
      </c>
      <c r="T18" s="41"/>
    </row>
    <row r="19" customHeight="1" spans="1:20">
      <c r="A19" s="23">
        <f t="shared" si="0"/>
        <v>8</v>
      </c>
      <c r="B19" s="20" t="s">
        <v>3844</v>
      </c>
      <c r="C19" s="613">
        <f>IFERROR(VLOOKUP(B19,'03. THIẾT BỊ'!$B$1:$S$836,2,0),"")</f>
        <v>0</v>
      </c>
      <c r="D19" s="24" t="str">
        <f>IFERROR(VLOOKUP(B19,'03. THIẾT BỊ'!$B$1:$S$836,3,0),"")</f>
        <v>A22-BDU-005</v>
      </c>
      <c r="E19" s="20" t="str">
        <f>IFERROR(VLOOKUP(B19,'03. THIẾT BỊ'!$B$1:$S$836,4,0),"")</f>
        <v>MUA MỚI</v>
      </c>
      <c r="F19" s="20" t="str">
        <f>IFERROR(VLOOKUP(B19,'03. THIẾT BỊ'!$B$1:$S$836,5,0),"")</f>
        <v>Búa đục bê tông</v>
      </c>
      <c r="G19" s="101" t="s">
        <v>6468</v>
      </c>
      <c r="H19" s="19" t="str">
        <f>IFERROR(VLOOKUP(B19,'03. THIẾT BỊ'!$B$1:$S$836,7,0),"")</f>
        <v>CGTC AD</v>
      </c>
      <c r="I19" s="610" t="str">
        <f>IFERROR(VLOOKUP(B19,'03. THIẾT BỊ'!$B$1:$S$836,8,0),"")</f>
        <v>28/05/2025</v>
      </c>
      <c r="J19" s="25"/>
      <c r="K19" s="19" t="str">
        <f>IFERROR(VLOOKUP(B19,'03. THIẾT BỊ'!$B$1:$S$836,10,0),"")</f>
        <v>Bình thường</v>
      </c>
      <c r="L19" s="25" t="str">
        <f>IFERROR(VLOOKUP(B19,'03. THIẾT BỊ'!$B$1:$S$836,11,0),"")</f>
        <v>Đầu tư mới (ĐQSD)</v>
      </c>
      <c r="M19" s="24">
        <f>IFERROR(VLOOKUP(B19,'03. THIẾT BỊ'!$B$1:$S$836,12,0),"")</f>
        <v>0</v>
      </c>
      <c r="N19" s="25" t="str">
        <f>IFERROR(VLOOKUP(B19,'03. THIẾT BỊ'!$B$1:$S$836,13,0),"")</f>
        <v>FURUKAWA</v>
      </c>
      <c r="O19" s="24" t="str">
        <f>IFERROR(VLOOKUP(B19,'03. THIẾT BỊ'!$B$1:$S$836,14,0),"")</f>
        <v>F22</v>
      </c>
      <c r="P19" s="25" t="str">
        <f>IFERROR(VLOOKUP(B19,'03. THIẾT BỊ'!$B$1:$S$836,15,0),"")</f>
        <v>NHẬT BẢN</v>
      </c>
      <c r="Q19" s="23">
        <f>IFERROR(VLOOKUP(B19,'03. THIẾT BỊ'!$B$1:$S$836,16,0),"")</f>
        <v>0</v>
      </c>
      <c r="R19" s="25">
        <f>IFERROR(VLOOKUP(B19,'03. THIẾT BỊ'!$B$1:$S$836,17,0),"")</f>
        <v>0</v>
      </c>
      <c r="S19" s="25" t="str">
        <f>IFERROR(VLOOKUP(B19,'03. THIẾT BỊ'!$B$1:$S$836,18,0),"")</f>
        <v>F22-02</v>
      </c>
      <c r="T19" s="41"/>
    </row>
    <row r="20" customHeight="1" spans="1:20">
      <c r="A20" s="23">
        <f t="shared" si="0"/>
        <v>9</v>
      </c>
      <c r="B20" s="20" t="s">
        <v>3847</v>
      </c>
      <c r="C20" s="613">
        <f>IFERROR(VLOOKUP(B20,'03. THIẾT BỊ'!$B$1:$S$836,2,0),"")</f>
        <v>0</v>
      </c>
      <c r="D20" s="24" t="str">
        <f>IFERROR(VLOOKUP(B20,'03. THIẾT BỊ'!$B$1:$S$836,3,0),"")</f>
        <v>A22-BDU-006</v>
      </c>
      <c r="E20" s="20" t="str">
        <f>IFERROR(VLOOKUP(B20,'03. THIẾT BỊ'!$B$1:$S$836,4,0),"")</f>
        <v>MUA MỚI</v>
      </c>
      <c r="F20" s="20" t="str">
        <f>IFERROR(VLOOKUP(B20,'03. THIẾT BỊ'!$B$1:$S$836,5,0),"")</f>
        <v>Búa đục bê tông</v>
      </c>
      <c r="G20" s="101" t="s">
        <v>6468</v>
      </c>
      <c r="H20" s="19" t="str">
        <f>IFERROR(VLOOKUP(B20,'03. THIẾT BỊ'!$B$1:$S$836,7,0),"")</f>
        <v>CGTC AD</v>
      </c>
      <c r="I20" s="610" t="str">
        <f>IFERROR(VLOOKUP(B20,'03. THIẾT BỊ'!$B$1:$S$836,8,0),"")</f>
        <v>30/07/2025</v>
      </c>
      <c r="J20" s="25"/>
      <c r="K20" s="19" t="str">
        <f>IFERROR(VLOOKUP(B20,'03. THIẾT BỊ'!$B$1:$S$836,10,0),"")</f>
        <v>Bình thường</v>
      </c>
      <c r="L20" s="25" t="str">
        <f>IFERROR(VLOOKUP(B20,'03. THIẾT BỊ'!$B$1:$S$836,11,0),"")</f>
        <v>Đầu tư mới (ĐQSD)</v>
      </c>
      <c r="M20" s="24">
        <f>IFERROR(VLOOKUP(B20,'03. THIẾT BỊ'!$B$1:$S$836,12,0),"")</f>
        <v>0</v>
      </c>
      <c r="N20" s="25" t="str">
        <f>IFERROR(VLOOKUP(B20,'03. THIẾT BỊ'!$B$1:$S$836,13,0),"")</f>
        <v>FURUKAWA</v>
      </c>
      <c r="O20" s="24" t="str">
        <f>IFERROR(VLOOKUP(B20,'03. THIẾT BỊ'!$B$1:$S$836,14,0),"")</f>
        <v>F22</v>
      </c>
      <c r="P20" s="25" t="str">
        <f>IFERROR(VLOOKUP(B20,'03. THIẾT BỊ'!$B$1:$S$836,15,0),"")</f>
        <v>NHẬT BẢN</v>
      </c>
      <c r="Q20" s="23">
        <f>IFERROR(VLOOKUP(B20,'03. THIẾT BỊ'!$B$1:$S$836,16,0),"")</f>
        <v>0</v>
      </c>
      <c r="R20" s="25">
        <f>IFERROR(VLOOKUP(B20,'03. THIẾT BỊ'!$B$1:$S$836,17,0),"")</f>
        <v>0</v>
      </c>
      <c r="S20" s="25" t="str">
        <f>IFERROR(VLOOKUP(B20,'03. THIẾT BỊ'!$B$1:$S$836,18,0),"")</f>
        <v>F22-03</v>
      </c>
      <c r="T20" s="41"/>
    </row>
    <row r="21" customHeight="1" spans="1:20">
      <c r="A21" s="23">
        <f t="shared" si="0"/>
        <v>10</v>
      </c>
      <c r="B21" s="20" t="s">
        <v>3851</v>
      </c>
      <c r="C21" s="613">
        <f>IFERROR(VLOOKUP(B21,'03. THIẾT BỊ'!$B$1:$S$836,2,0),"")</f>
        <v>0</v>
      </c>
      <c r="D21" s="24">
        <f>IFERROR(VLOOKUP(B21,'03. THIẾT BỊ'!$B$1:$S$836,3,0),"")</f>
        <v>0</v>
      </c>
      <c r="E21" s="20" t="str">
        <f>IFERROR(VLOOKUP(B21,'03. THIẾT BỊ'!$B$1:$S$836,4,0),"")</f>
        <v>MUA MỚI</v>
      </c>
      <c r="F21" s="20" t="str">
        <f>IFERROR(VLOOKUP(B21,'03. THIẾT BỊ'!$B$1:$S$836,5,0),"")</f>
        <v>Búa đục bê tông</v>
      </c>
      <c r="G21" s="101" t="s">
        <v>6468</v>
      </c>
      <c r="H21" s="19" t="str">
        <f>IFERROR(VLOOKUP(B21,'03. THIẾT BỊ'!$B$1:$S$836,7,0),"")</f>
        <v>CGTC AD</v>
      </c>
      <c r="I21" s="610">
        <f>IFERROR(VLOOKUP(B21,'03. THIẾT BỊ'!$B$1:$S$836,8,0),"")</f>
        <v>0</v>
      </c>
      <c r="J21" s="25"/>
      <c r="K21" s="19" t="str">
        <f>IFERROR(VLOOKUP(B21,'03. THIẾT BỊ'!$B$1:$S$836,10,0),"")</f>
        <v>Bình thường</v>
      </c>
      <c r="L21" s="25" t="str">
        <f>IFERROR(VLOOKUP(B21,'03. THIẾT BỊ'!$B$1:$S$836,11,0),"")</f>
        <v>TB sử dụng lâu ngày cập nhật bổ sung</v>
      </c>
      <c r="M21" s="24">
        <f>IFERROR(VLOOKUP(B21,'03. THIẾT BỊ'!$B$1:$S$836,12,0),"")</f>
        <v>0</v>
      </c>
      <c r="N21" s="25">
        <f>IFERROR(VLOOKUP(B21,'03. THIẾT BỊ'!$B$1:$S$836,13,0),"")</f>
        <v>0</v>
      </c>
      <c r="O21" s="24" t="str">
        <f>IFERROR(VLOOKUP(B21,'03. THIẾT BỊ'!$B$1:$S$836,14,0),"")</f>
        <v>T2000S</v>
      </c>
      <c r="P21" s="25">
        <f>IFERROR(VLOOKUP(B21,'03. THIẾT BỊ'!$B$1:$S$836,15,0),"")</f>
        <v>0</v>
      </c>
      <c r="Q21" s="23">
        <f>IFERROR(VLOOKUP(B21,'03. THIẾT BỊ'!$B$1:$S$836,16,0),"")</f>
        <v>0</v>
      </c>
      <c r="R21" s="25">
        <f>IFERROR(VLOOKUP(B21,'03. THIẾT BỊ'!$B$1:$S$836,17,0),"")</f>
        <v>0</v>
      </c>
      <c r="S21" s="25">
        <f>IFERROR(VLOOKUP(B21,'03. THIẾT BỊ'!$B$1:$S$836,18,0),"")</f>
        <v>0</v>
      </c>
      <c r="T21" s="41"/>
    </row>
    <row r="22" hidden="1" customHeight="1" spans="1:20">
      <c r="A22" s="19"/>
      <c r="B22" s="20"/>
      <c r="C22" s="613" t="str">
        <f>IFERROR(VLOOKUP(B22,'03. THIẾT BỊ'!$B$1:$S$836,2,0),"")</f>
        <v/>
      </c>
      <c r="D22" s="24" t="str">
        <f>IFERROR(VLOOKUP(B22,'03. THIẾT BỊ'!$B$1:$S$836,3,0),"")</f>
        <v/>
      </c>
      <c r="E22" s="20" t="str">
        <f>IFERROR(VLOOKUP(B22,'03. THIẾT BỊ'!$B$1:$S$836,4,0),"")</f>
        <v/>
      </c>
      <c r="F22" s="20" t="str">
        <f>IFERROR(VLOOKUP(B22,'03. THIẾT BỊ'!$B$1:$S$836,5,0),"")</f>
        <v/>
      </c>
      <c r="G22" s="101" t="s">
        <v>6468</v>
      </c>
      <c r="H22" s="19" t="str">
        <f>IFERROR(VLOOKUP(B22,'03. THIẾT BỊ'!$B$1:$S$836,7,0),"")</f>
        <v/>
      </c>
      <c r="I22" s="610" t="str">
        <f>IFERROR(VLOOKUP(B22,'03. THIẾT BỊ'!$B$1:$S$836,8,0),"")</f>
        <v/>
      </c>
      <c r="J22" s="25"/>
      <c r="K22" s="19" t="str">
        <f>IFERROR(VLOOKUP(B22,'03. THIẾT BỊ'!$B$1:$S$836,10,0),"")</f>
        <v/>
      </c>
      <c r="L22" s="25" t="str">
        <f>IFERROR(VLOOKUP(B22,'03. THIẾT BỊ'!$B$1:$S$836,11,0),"")</f>
        <v/>
      </c>
      <c r="M22" s="24" t="str">
        <f>IFERROR(VLOOKUP(B22,'03. THIẾT BỊ'!$B$1:$S$836,12,0),"")</f>
        <v/>
      </c>
      <c r="N22" s="25" t="str">
        <f>IFERROR(VLOOKUP(B22,'03. THIẾT BỊ'!$B$1:$S$836,13,0),"")</f>
        <v/>
      </c>
      <c r="O22" s="24" t="str">
        <f>IFERROR(VLOOKUP(B22,'03. THIẾT BỊ'!$B$1:$S$836,14,0),"")</f>
        <v/>
      </c>
      <c r="P22" s="25" t="str">
        <f>IFERROR(VLOOKUP(B22,'03. THIẾT BỊ'!$B$1:$S$836,15,0),"")</f>
        <v/>
      </c>
      <c r="Q22" s="23" t="str">
        <f>IFERROR(VLOOKUP(B22,'03. THIẾT BỊ'!$B$1:$S$836,16,0),"")</f>
        <v/>
      </c>
      <c r="R22" s="25" t="str">
        <f>IFERROR(VLOOKUP(B22,'03. THIẾT BỊ'!$B$1:$S$836,17,0),"")</f>
        <v/>
      </c>
      <c r="S22" s="25" t="str">
        <f>IFERROR(VLOOKUP(B22,'03. THIẾT BỊ'!$B$1:$S$836,18,0),"")</f>
        <v/>
      </c>
      <c r="T22" s="611"/>
    </row>
    <row r="23" hidden="1" customHeight="1" spans="1:20">
      <c r="A23" s="19"/>
      <c r="B23" s="20"/>
      <c r="C23" s="613" t="str">
        <f>IFERROR(VLOOKUP(B23,'03. THIẾT BỊ'!$B$1:$S$836,2,0),"")</f>
        <v/>
      </c>
      <c r="D23" s="24" t="str">
        <f>IFERROR(VLOOKUP(B23,'03. THIẾT BỊ'!$B$1:$S$836,3,0),"")</f>
        <v/>
      </c>
      <c r="E23" s="20" t="str">
        <f>IFERROR(VLOOKUP(B23,'03. THIẾT BỊ'!$B$1:$S$836,4,0),"")</f>
        <v/>
      </c>
      <c r="F23" s="20" t="str">
        <f>IFERROR(VLOOKUP(B23,'03. THIẾT BỊ'!$B$1:$S$836,5,0),"")</f>
        <v/>
      </c>
      <c r="G23" s="101" t="s">
        <v>6468</v>
      </c>
      <c r="H23" s="19" t="str">
        <f>IFERROR(VLOOKUP(B23,'03. THIẾT BỊ'!$B$1:$S$836,7,0),"")</f>
        <v/>
      </c>
      <c r="I23" s="610" t="str">
        <f>IFERROR(VLOOKUP(B23,'03. THIẾT BỊ'!$B$1:$S$836,8,0),"")</f>
        <v/>
      </c>
      <c r="J23" s="25"/>
      <c r="K23" s="19" t="str">
        <f>IFERROR(VLOOKUP(B23,'03. THIẾT BỊ'!$B$1:$S$836,10,0),"")</f>
        <v/>
      </c>
      <c r="L23" s="25" t="str">
        <f>IFERROR(VLOOKUP(B23,'03. THIẾT BỊ'!$B$1:$S$836,11,0),"")</f>
        <v/>
      </c>
      <c r="M23" s="24" t="str">
        <f>IFERROR(VLOOKUP(B23,'03. THIẾT BỊ'!$B$1:$S$836,12,0),"")</f>
        <v/>
      </c>
      <c r="N23" s="25" t="str">
        <f>IFERROR(VLOOKUP(B23,'03. THIẾT BỊ'!$B$1:$S$836,13,0),"")</f>
        <v/>
      </c>
      <c r="O23" s="24" t="str">
        <f>IFERROR(VLOOKUP(B23,'03. THIẾT BỊ'!$B$1:$S$836,14,0),"")</f>
        <v/>
      </c>
      <c r="P23" s="25" t="str">
        <f>IFERROR(VLOOKUP(B23,'03. THIẾT BỊ'!$B$1:$S$836,15,0),"")</f>
        <v/>
      </c>
      <c r="Q23" s="23" t="str">
        <f>IFERROR(VLOOKUP(B23,'03. THIẾT BỊ'!$B$1:$S$836,16,0),"")</f>
        <v/>
      </c>
      <c r="R23" s="25" t="str">
        <f>IFERROR(VLOOKUP(B23,'03. THIẾT BỊ'!$B$1:$S$836,17,0),"")</f>
        <v/>
      </c>
      <c r="S23" s="25" t="str">
        <f>IFERROR(VLOOKUP(B23,'03. THIẾT BỊ'!$B$1:$S$836,18,0),"")</f>
        <v/>
      </c>
      <c r="T23" s="611"/>
    </row>
    <row r="24" customHeight="1" spans="1:20">
      <c r="A24" s="14" t="s">
        <v>290</v>
      </c>
      <c r="B24" s="15" t="s">
        <v>6469</v>
      </c>
      <c r="C24" s="14">
        <f>COUNTA(B25:B30)</f>
        <v>4</v>
      </c>
      <c r="D24" s="17" t="str">
        <f>IFERROR(VLOOKUP(B24,'03. THIẾT BỊ'!$B$1:$S$836,3,0),"")</f>
        <v/>
      </c>
      <c r="E24" s="17" t="str">
        <f>IFERROR(VLOOKUP(B24,'03. THIẾT BỊ'!$B$1:$S$836,4,0),"")</f>
        <v/>
      </c>
      <c r="F24" s="17" t="str">
        <f>IFERROR(VLOOKUP(B24,'03. THIẾT BỊ'!$B$1:$S$836,5,0),"")</f>
        <v/>
      </c>
      <c r="G24" s="18" t="s">
        <v>6468</v>
      </c>
      <c r="H24" s="18" t="str">
        <f>IFERROR(VLOOKUP(B24,'03. THIẾT BỊ'!$B$1:$S$836,7,0),"")</f>
        <v/>
      </c>
      <c r="I24" s="14" t="str">
        <f>IFERROR(VLOOKUP(B24,'03. THIẾT BỊ'!$B$1:$S$836,8,0),"")</f>
        <v/>
      </c>
      <c r="J24" s="15"/>
      <c r="K24" s="14" t="str">
        <f>IFERROR(VLOOKUP(B24,'03. THIẾT BỊ'!$B$1:$S$836,10,0),"")</f>
        <v/>
      </c>
      <c r="L24" s="17" t="str">
        <f>IFERROR(VLOOKUP(B24,'03. THIẾT BỊ'!$B$1:$S$836,11,0),"")</f>
        <v/>
      </c>
      <c r="M24" s="16" t="str">
        <f>IFERROR(VLOOKUP(B24,'03. THIẾT BỊ'!$B$1:$S$836,12,0),"")</f>
        <v/>
      </c>
      <c r="N24" s="17" t="str">
        <f>IFERROR(VLOOKUP(B24,'03. THIẾT BỊ'!$B$1:$S$836,13,0),"")</f>
        <v/>
      </c>
      <c r="O24" s="16" t="str">
        <f>IFERROR(VLOOKUP(B24,'03. THIẾT BỊ'!$B$1:$S$836,14,0),"")</f>
        <v/>
      </c>
      <c r="P24" s="17" t="str">
        <f>IFERROR(VLOOKUP(B24,'03. THIẾT BỊ'!$B$1:$S$836,15,0),"")</f>
        <v/>
      </c>
      <c r="Q24" s="18" t="str">
        <f>IFERROR(VLOOKUP(B24,'03. THIẾT BỊ'!$B$1:$S$836,16,0),"")</f>
        <v/>
      </c>
      <c r="R24" s="17" t="str">
        <f>IFERROR(VLOOKUP(B24,'03. THIẾT BỊ'!$B$1:$S$836,17,0),"")</f>
        <v/>
      </c>
      <c r="S24" s="17" t="str">
        <f>IFERROR(VLOOKUP(B24,'03. THIẾT BỊ'!$B$1:$S$836,18,0),"")</f>
        <v/>
      </c>
      <c r="T24" s="609"/>
    </row>
    <row r="25" customHeight="1" spans="1:20">
      <c r="A25" s="23">
        <v>1</v>
      </c>
      <c r="B25" s="20" t="s">
        <v>3596</v>
      </c>
      <c r="C25" s="613">
        <f>IFERROR(VLOOKUP(B25,'03. THIẾT BỊ'!$B$1:$S$836,2,0),"")</f>
        <v>0</v>
      </c>
      <c r="D25" s="24" t="str">
        <f>IFERROR(VLOOKUP(B25,'03. THIẾT BỊ'!$B$1:$S$836,3,0),"")</f>
        <v>A23-CMĐ-001</v>
      </c>
      <c r="E25" s="20" t="str">
        <f>IFERROR(VLOOKUP(B25,'03. THIẾT BỊ'!$B$1:$S$836,4,0),"")</f>
        <v>ĐQSD</v>
      </c>
      <c r="F25" s="20" t="str">
        <f>IFERROR(VLOOKUP(B25,'03. THIẾT BỊ'!$B$1:$S$836,5,0),"")</f>
        <v>Cần dài M.Đào Sumitomo (16m)</v>
      </c>
      <c r="G25" s="101" t="s">
        <v>6468</v>
      </c>
      <c r="H25" s="19" t="str">
        <f>IFERROR(VLOOKUP(B25,'03. THIẾT BỊ'!$B$1:$S$836,7,0),"")</f>
        <v>CGTC DP</v>
      </c>
      <c r="I25" s="610">
        <f>IFERROR(VLOOKUP(B25,'03. THIẾT BỊ'!$B$1:$S$836,8,0),"")</f>
        <v>0</v>
      </c>
      <c r="J25" s="25"/>
      <c r="K25" s="19" t="str">
        <f>IFERROR(VLOOKUP(B25,'03. THIẾT BỊ'!$B$1:$S$836,10,0),"")</f>
        <v>Bình thường</v>
      </c>
      <c r="L25" s="25">
        <f>IFERROR(VLOOKUP(B25,'03. THIẾT BỊ'!$B$1:$S$836,11,0),"")</f>
        <v>0</v>
      </c>
      <c r="M25" s="24">
        <f>IFERROR(VLOOKUP(B25,'03. THIẾT BỊ'!$B$1:$S$836,12,0),"")</f>
        <v>0</v>
      </c>
      <c r="N25" s="25" t="str">
        <f>IFERROR(VLOOKUP(B25,'03. THIẾT BỊ'!$B$1:$S$836,13,0),"")</f>
        <v>TRUNG QUỐC</v>
      </c>
      <c r="O25" s="24" t="str">
        <f>IFERROR(VLOOKUP(B25,'03. THIẾT BỊ'!$B$1:$S$836,14,0),"")</f>
        <v>16m</v>
      </c>
      <c r="P25" s="25" t="str">
        <f>IFERROR(VLOOKUP(B25,'03. THIẾT BỊ'!$B$1:$S$836,15,0),"")</f>
        <v>TRUNG QUỐC</v>
      </c>
      <c r="Q25" s="23">
        <f>IFERROR(VLOOKUP(B25,'03. THIẾT BỊ'!$B$1:$S$836,16,0),"")</f>
        <v>0</v>
      </c>
      <c r="R25" s="25">
        <f>IFERROR(VLOOKUP(B25,'03. THIẾT BỊ'!$B$1:$S$836,17,0),"")</f>
        <v>0</v>
      </c>
      <c r="S25" s="25">
        <f>IFERROR(VLOOKUP(B25,'03. THIẾT BỊ'!$B$1:$S$836,18,0),"")</f>
        <v>0</v>
      </c>
      <c r="T25" s="611"/>
    </row>
    <row r="26" customHeight="1" spans="1:20">
      <c r="A26" s="19">
        <v>2</v>
      </c>
      <c r="B26" s="20" t="s">
        <v>3600</v>
      </c>
      <c r="C26" s="613">
        <f>IFERROR(VLOOKUP(B26,'03. THIẾT BỊ'!$B$1:$S$836,2,0),"")</f>
        <v>0</v>
      </c>
      <c r="D26" s="24" t="str">
        <f>IFERROR(VLOOKUP(B26,'03. THIẾT BỊ'!$B$1:$S$836,3,0),"")</f>
        <v>A23-CMĐ-002</v>
      </c>
      <c r="E26" s="20" t="str">
        <f>IFERROR(VLOOKUP(B26,'03. THIẾT BỊ'!$B$1:$S$836,4,0),"")</f>
        <v>ĐQSD</v>
      </c>
      <c r="F26" s="20" t="str">
        <f>IFERROR(VLOOKUP(B26,'03. THIẾT BỊ'!$B$1:$S$836,5,0),"")</f>
        <v>Cần dài M.Đào Kobeco (18m)</v>
      </c>
      <c r="G26" s="101" t="s">
        <v>6468</v>
      </c>
      <c r="H26" s="19" t="str">
        <f>IFERROR(VLOOKUP(B26,'03. THIẾT BỊ'!$B$1:$S$836,7,0),"")</f>
        <v>CGTC DP</v>
      </c>
      <c r="I26" s="610">
        <f>IFERROR(VLOOKUP(B26,'03. THIẾT BỊ'!$B$1:$S$836,8,0),"")</f>
        <v>0</v>
      </c>
      <c r="J26" s="25"/>
      <c r="K26" s="19" t="str">
        <f>IFERROR(VLOOKUP(B26,'03. THIẾT BỊ'!$B$1:$S$836,10,0),"")</f>
        <v>Bình thường</v>
      </c>
      <c r="L26" s="25">
        <f>IFERROR(VLOOKUP(B26,'03. THIẾT BỊ'!$B$1:$S$836,11,0),"")</f>
        <v>0</v>
      </c>
      <c r="M26" s="24">
        <f>IFERROR(VLOOKUP(B26,'03. THIẾT BỊ'!$B$1:$S$836,12,0),"")</f>
        <v>0</v>
      </c>
      <c r="N26" s="25" t="str">
        <f>IFERROR(VLOOKUP(B26,'03. THIẾT BỊ'!$B$1:$S$836,13,0),"")</f>
        <v>TRUNG QUỐC</v>
      </c>
      <c r="O26" s="24" t="str">
        <f>IFERROR(VLOOKUP(B26,'03. THIẾT BỊ'!$B$1:$S$836,14,0),"")</f>
        <v>18m</v>
      </c>
      <c r="P26" s="25" t="str">
        <f>IFERROR(VLOOKUP(B26,'03. THIẾT BỊ'!$B$1:$S$836,15,0),"")</f>
        <v>TRUNG QUỐC</v>
      </c>
      <c r="Q26" s="23">
        <f>IFERROR(VLOOKUP(B26,'03. THIẾT BỊ'!$B$1:$S$836,16,0),"")</f>
        <v>0</v>
      </c>
      <c r="R26" s="25">
        <f>IFERROR(VLOOKUP(B26,'03. THIẾT BỊ'!$B$1:$S$836,17,0),"")</f>
        <v>0</v>
      </c>
      <c r="S26" s="25">
        <f>IFERROR(VLOOKUP(B26,'03. THIẾT BỊ'!$B$1:$S$836,18,0),"")</f>
        <v>0</v>
      </c>
      <c r="T26" s="41"/>
    </row>
    <row r="27" customHeight="1" spans="1:20">
      <c r="A27" s="23">
        <v>3</v>
      </c>
      <c r="B27" s="20" t="s">
        <v>3825</v>
      </c>
      <c r="C27" s="613" t="str">
        <f>IFERROR(VLOOKUP(B27,'03. THIẾT BỊ'!$B$1:$S$836,2,0),"")</f>
        <v>CHT-CMĐ-002</v>
      </c>
      <c r="D27" s="24" t="str">
        <f>IFERROR(VLOOKUP(B27,'03. THIẾT BỊ'!$B$1:$S$836,3,0),"")</f>
        <v>A22-CMĐ-003</v>
      </c>
      <c r="E27" s="20" t="str">
        <f>IFERROR(VLOOKUP(B27,'03. THIẾT BỊ'!$B$1:$S$836,4,0),"")</f>
        <v>ĐQSD</v>
      </c>
      <c r="F27" s="20" t="str">
        <f>IFERROR(VLOOKUP(B27,'03. THIẾT BỊ'!$B$1:$S$836,5,0),"")</f>
        <v>Cần dài M.Đào Sumitomo (16m)</v>
      </c>
      <c r="G27" s="101" t="s">
        <v>6468</v>
      </c>
      <c r="H27" s="19" t="str">
        <f>IFERROR(VLOOKUP(B27,'03. THIẾT BỊ'!$B$1:$S$836,7,0),"")</f>
        <v>CGTC AD</v>
      </c>
      <c r="I27" s="610"/>
      <c r="J27" s="25"/>
      <c r="K27" s="19" t="str">
        <f>IFERROR(VLOOKUP(B27,'03. THIẾT BỊ'!$B$1:$S$836,10,0),"")</f>
        <v>Bình thường</v>
      </c>
      <c r="L27" s="25">
        <f>IFERROR(VLOOKUP(B27,'03. THIẾT BỊ'!$B$1:$S$836,11,0),"")</f>
        <v>0</v>
      </c>
      <c r="M27" s="24">
        <f>IFERROR(VLOOKUP(B27,'03. THIẾT BỊ'!$B$1:$S$836,12,0),"")</f>
        <v>0</v>
      </c>
      <c r="N27" s="25" t="str">
        <f>IFERROR(VLOOKUP(B27,'03. THIẾT BỊ'!$B$1:$S$836,13,0),"")</f>
        <v>TRUNG QUỐC</v>
      </c>
      <c r="O27" s="24" t="str">
        <f>IFERROR(VLOOKUP(B27,'03. THIẾT BỊ'!$B$1:$S$836,14,0),"")</f>
        <v>16m</v>
      </c>
      <c r="P27" s="25" t="str">
        <f>IFERROR(VLOOKUP(B27,'03. THIẾT BỊ'!$B$1:$S$836,15,0),"")</f>
        <v>TRUNG QUỐC</v>
      </c>
      <c r="Q27" s="23">
        <f>IFERROR(VLOOKUP(B27,'03. THIẾT BỊ'!$B$1:$S$836,16,0),"")</f>
        <v>0</v>
      </c>
      <c r="R27" s="25">
        <f>IFERROR(VLOOKUP(B27,'03. THIẾT BỊ'!$B$1:$S$836,17,0),"")</f>
        <v>0</v>
      </c>
      <c r="S27" s="25">
        <f>IFERROR(VLOOKUP(B27,'03. THIẾT BỊ'!$B$1:$S$836,18,0),"")</f>
        <v>0</v>
      </c>
      <c r="T27" s="41"/>
    </row>
    <row r="28" customHeight="1" spans="1:20">
      <c r="A28" s="19">
        <v>4</v>
      </c>
      <c r="B28" s="20" t="s">
        <v>3827</v>
      </c>
      <c r="C28" s="613">
        <f>IFERROR(VLOOKUP(B28,'03. THIẾT BỊ'!$B$1:$S$836,2,0),"")</f>
        <v>0</v>
      </c>
      <c r="D28" s="24" t="str">
        <f>IFERROR(VLOOKUP(B28,'03. THIẾT BỊ'!$B$1:$S$836,3,0),"")</f>
        <v>A22-CMĐ-004</v>
      </c>
      <c r="E28" s="20" t="str">
        <f>IFERROR(VLOOKUP(B28,'03. THIẾT BỊ'!$B$1:$S$836,4,0),"")</f>
        <v>ĐQSD</v>
      </c>
      <c r="F28" s="20" t="str">
        <f>IFERROR(VLOOKUP(B28,'03. THIẾT BỊ'!$B$1:$S$836,5,0),"")</f>
        <v>Cần dài M.Đào Doosan (12m)</v>
      </c>
      <c r="G28" s="101" t="s">
        <v>6468</v>
      </c>
      <c r="H28" s="19" t="str">
        <f>IFERROR(VLOOKUP(B28,'03. THIẾT BỊ'!$B$1:$S$836,7,0),"")</f>
        <v>CGTC AD</v>
      </c>
      <c r="I28" s="610"/>
      <c r="J28" s="25"/>
      <c r="K28" s="19" t="str">
        <f>IFERROR(VLOOKUP(B28,'03. THIẾT BỊ'!$B$1:$S$836,10,0),"")</f>
        <v>Hư hỏng</v>
      </c>
      <c r="L28" s="25">
        <f>IFERROR(VLOOKUP(B28,'03. THIẾT BỊ'!$B$1:$S$836,11,0),"")</f>
        <v>0</v>
      </c>
      <c r="M28" s="24" t="str">
        <f>IFERROR(VLOOKUP(B28,'03. THIẾT BỊ'!$B$1:$S$836,12,0),"")</f>
        <v>Đang ở XSC</v>
      </c>
      <c r="N28" s="25" t="str">
        <f>IFERROR(VLOOKUP(B28,'03. THIẾT BỊ'!$B$1:$S$836,13,0),"")</f>
        <v>TRUNG QUỐC</v>
      </c>
      <c r="O28" s="24" t="str">
        <f>IFERROR(VLOOKUP(B28,'03. THIẾT BỊ'!$B$1:$S$836,14,0),"")</f>
        <v>12m</v>
      </c>
      <c r="P28" s="25" t="str">
        <f>IFERROR(VLOOKUP(B28,'03. THIẾT BỊ'!$B$1:$S$836,15,0),"")</f>
        <v>TRUNG QUỐC</v>
      </c>
      <c r="Q28" s="23">
        <f>IFERROR(VLOOKUP(B28,'03. THIẾT BỊ'!$B$1:$S$836,16,0),"")</f>
        <v>0</v>
      </c>
      <c r="R28" s="25">
        <f>IFERROR(VLOOKUP(B28,'03. THIẾT BỊ'!$B$1:$S$836,17,0),"")</f>
        <v>0</v>
      </c>
      <c r="S28" s="25">
        <f>IFERROR(VLOOKUP(B28,'03. THIẾT BỊ'!$B$1:$S$836,18,0),"")</f>
        <v>0</v>
      </c>
      <c r="T28" s="41"/>
    </row>
    <row r="29" ht="13.8" spans="1:20">
      <c r="C29" s="613" t="str">
        <f>IFERROR(VLOOKUP(B29,'03. THIẾT BỊ'!$B$1:$S$836,2,0),"")</f>
        <v/>
      </c>
      <c r="D29" s="24" t="str">
        <f>IFERROR(VLOOKUP(B29,'03. THIẾT BỊ'!$B$1:$S$836,3,0),"")</f>
        <v/>
      </c>
      <c r="E29" s="20" t="str">
        <f>IFERROR(VLOOKUP(B29,'03. THIẾT BỊ'!$B$1:$S$836,4,0),"")</f>
        <v/>
      </c>
      <c r="F29" s="20" t="str">
        <f>IFERROR(VLOOKUP(B29,'03. THIẾT BỊ'!$B$1:$S$836,5,0),"")</f>
        <v/>
      </c>
      <c r="G29" s="101" t="s">
        <v>6468</v>
      </c>
      <c r="H29" s="19" t="str">
        <f>IFERROR(VLOOKUP(B29,'03. THIẾT BỊ'!$B$1:$S$836,7,0),"")</f>
        <v/>
      </c>
      <c r="I29" s="610" t="str">
        <f>IFERROR(VLOOKUP(B29,'03. THIẾT BỊ'!$B$1:$S$836,8,0),"")</f>
        <v/>
      </c>
      <c r="J29" s="25"/>
      <c r="K29" s="19" t="str">
        <f>IFERROR(VLOOKUP(B29,'03. THIẾT BỊ'!$B$1:$S$836,10,0),"")</f>
        <v/>
      </c>
      <c r="L29" s="25" t="str">
        <f>IFERROR(VLOOKUP(B29,'03. THIẾT BỊ'!$B$1:$S$836,11,0),"")</f>
        <v/>
      </c>
      <c r="M29" s="24" t="str">
        <f>IFERROR(VLOOKUP(B29,'03. THIẾT BỊ'!$B$1:$S$836,12,0),"")</f>
        <v/>
      </c>
      <c r="N29" s="25" t="str">
        <f>IFERROR(VLOOKUP(B29,'03. THIẾT BỊ'!$B$1:$S$836,13,0),"")</f>
        <v/>
      </c>
      <c r="O29" s="24" t="str">
        <f>IFERROR(VLOOKUP(B29,'03. THIẾT BỊ'!$B$1:$S$836,14,0),"")</f>
        <v/>
      </c>
      <c r="P29" s="25" t="str">
        <f>IFERROR(VLOOKUP(B29,'03. THIẾT BỊ'!$B$1:$S$836,15,0),"")</f>
        <v/>
      </c>
      <c r="Q29" s="23" t="str">
        <f>IFERROR(VLOOKUP(B29,'03. THIẾT BỊ'!$B$1:$S$836,16,0),"")</f>
        <v/>
      </c>
      <c r="R29" s="25" t="str">
        <f>IFERROR(VLOOKUP(B29,'03. THIẾT BỊ'!$B$1:$S$836,17,0),"")</f>
        <v/>
      </c>
      <c r="S29" s="25" t="str">
        <f>IFERROR(VLOOKUP(B29,'03. THIẾT BỊ'!$B$1:$S$836,18,0),"")</f>
        <v/>
      </c>
    </row>
    <row r="30" ht="13.8" spans="1:20">
      <c r="C30" s="613" t="str">
        <f>IFERROR(VLOOKUP(B30,'03. THIẾT BỊ'!$B$1:$S$836,2,0),"")</f>
        <v/>
      </c>
      <c r="D30" s="24" t="str">
        <f>IFERROR(VLOOKUP(B30,'03. THIẾT BỊ'!$B$1:$S$836,3,0),"")</f>
        <v/>
      </c>
      <c r="E30" s="20" t="str">
        <f>IFERROR(VLOOKUP(B30,'03. THIẾT BỊ'!$B$1:$S$836,4,0),"")</f>
        <v/>
      </c>
      <c r="F30" s="20" t="str">
        <f>IFERROR(VLOOKUP(B30,'03. THIẾT BỊ'!$B$1:$S$836,5,0),"")</f>
        <v/>
      </c>
      <c r="G30" s="101" t="s">
        <v>6468</v>
      </c>
      <c r="H30" s="19" t="str">
        <f>IFERROR(VLOOKUP(B30,'03. THIẾT BỊ'!$B$1:$S$836,7,0),"")</f>
        <v/>
      </c>
      <c r="I30" s="610" t="str">
        <f>IFERROR(VLOOKUP(B30,'03. THIẾT BỊ'!$B$1:$S$836,8,0),"")</f>
        <v/>
      </c>
      <c r="J30" s="25"/>
      <c r="K30" s="19" t="str">
        <f>IFERROR(VLOOKUP(B30,'03. THIẾT BỊ'!$B$1:$S$836,10,0),"")</f>
        <v/>
      </c>
      <c r="L30" s="25" t="str">
        <f>IFERROR(VLOOKUP(B30,'03. THIẾT BỊ'!$B$1:$S$836,11,0),"")</f>
        <v/>
      </c>
      <c r="M30" s="24" t="str">
        <f>IFERROR(VLOOKUP(B30,'03. THIẾT BỊ'!$B$1:$S$836,12,0),"")</f>
        <v/>
      </c>
      <c r="N30" s="25" t="str">
        <f>IFERROR(VLOOKUP(B30,'03. THIẾT BỊ'!$B$1:$S$836,13,0),"")</f>
        <v/>
      </c>
      <c r="O30" s="24" t="str">
        <f>IFERROR(VLOOKUP(B30,'03. THIẾT BỊ'!$B$1:$S$836,14,0),"")</f>
        <v/>
      </c>
      <c r="P30" s="25" t="str">
        <f>IFERROR(VLOOKUP(B30,'03. THIẾT BỊ'!$B$1:$S$836,15,0),"")</f>
        <v/>
      </c>
      <c r="Q30" s="23" t="str">
        <f>IFERROR(VLOOKUP(B30,'03. THIẾT BỊ'!$B$1:$S$836,16,0),"")</f>
        <v/>
      </c>
      <c r="R30" s="25" t="str">
        <f>IFERROR(VLOOKUP(B30,'03. THIẾT BỊ'!$B$1:$S$836,17,0),"")</f>
        <v/>
      </c>
      <c r="S30" s="25" t="str">
        <f>IFERROR(VLOOKUP(B30,'03. THIẾT BỊ'!$B$1:$S$836,18,0),"")</f>
        <v/>
      </c>
    </row>
    <row r="31" customHeight="1" spans="1:20">
      <c r="A31" s="14" t="s">
        <v>290</v>
      </c>
      <c r="B31" s="15" t="s">
        <v>6470</v>
      </c>
      <c r="C31" s="14">
        <f>COUNTA(B32:B37)</f>
        <v>4</v>
      </c>
      <c r="D31" s="17" t="str">
        <f>IFERROR(VLOOKUP(B31,'03. THIẾT BỊ'!$B$1:$S$836,3,0),"")</f>
        <v/>
      </c>
      <c r="E31" s="17" t="str">
        <f>IFERROR(VLOOKUP(B31,'03. THIẾT BỊ'!$B$1:$S$836,4,0),"")</f>
        <v/>
      </c>
      <c r="F31" s="17" t="str">
        <f>IFERROR(VLOOKUP(B31,'03. THIẾT BỊ'!$B$1:$S$836,5,0),"")</f>
        <v/>
      </c>
      <c r="G31" s="18" t="s">
        <v>6468</v>
      </c>
      <c r="H31" s="18" t="str">
        <f>IFERROR(VLOOKUP(B31,'03. THIẾT BỊ'!$B$1:$S$836,7,0),"")</f>
        <v/>
      </c>
      <c r="I31" s="14" t="str">
        <f>IFERROR(VLOOKUP(B31,'03. THIẾT BỊ'!$B$1:$S$836,8,0),"")</f>
        <v/>
      </c>
      <c r="J31" s="15"/>
      <c r="K31" s="14" t="str">
        <f>IFERROR(VLOOKUP(B31,'03. THIẾT BỊ'!$B$1:$S$836,10,0),"")</f>
        <v/>
      </c>
      <c r="L31" s="17" t="str">
        <f>IFERROR(VLOOKUP(B31,'03. THIẾT BỊ'!$B$1:$S$836,11,0),"")</f>
        <v/>
      </c>
      <c r="M31" s="16" t="str">
        <f>IFERROR(VLOOKUP(B31,'03. THIẾT BỊ'!$B$1:$S$836,12,0),"")</f>
        <v/>
      </c>
      <c r="N31" s="17" t="str">
        <f>IFERROR(VLOOKUP(B31,'03. THIẾT BỊ'!$B$1:$S$836,13,0),"")</f>
        <v/>
      </c>
      <c r="O31" s="16" t="str">
        <f>IFERROR(VLOOKUP(B31,'03. THIẾT BỊ'!$B$1:$S$836,14,0),"")</f>
        <v/>
      </c>
      <c r="P31" s="17" t="str">
        <f>IFERROR(VLOOKUP(B31,'03. THIẾT BỊ'!$B$1:$S$836,15,0),"")</f>
        <v/>
      </c>
      <c r="Q31" s="18" t="str">
        <f>IFERROR(VLOOKUP(B31,'03. THIẾT BỊ'!$B$1:$S$836,16,0),"")</f>
        <v/>
      </c>
      <c r="R31" s="17" t="str">
        <f>IFERROR(VLOOKUP(B31,'03. THIẾT BỊ'!$B$1:$S$836,17,0),"")</f>
        <v/>
      </c>
      <c r="S31" s="17" t="str">
        <f>IFERROR(VLOOKUP(B31,'03. THIẾT BỊ'!$B$1:$S$836,18,0),"")</f>
        <v/>
      </c>
      <c r="T31" s="609"/>
    </row>
    <row r="32" customHeight="1" spans="1:20">
      <c r="A32" s="23">
        <v>1</v>
      </c>
      <c r="B32" s="20" t="s">
        <v>3604</v>
      </c>
      <c r="C32" s="613">
        <f>IFERROR(VLOOKUP(B32,'03. THIẾT BỊ'!$B$1:$S$836,2,0),"")</f>
        <v>0</v>
      </c>
      <c r="D32" s="24" t="str">
        <f>IFERROR(VLOOKUP(B32,'03. THIẾT BỊ'!$B$1:$S$836,3,0),"")</f>
        <v>A23-ĐTL-001</v>
      </c>
      <c r="E32" s="20" t="str">
        <f>IFERROR(VLOOKUP(B32,'03. THIẾT BỊ'!$B$1:$S$836,4,0),"")</f>
        <v>ĐQSD</v>
      </c>
      <c r="F32" s="20" t="str">
        <f>IFERROR(VLOOKUP(B32,'03. THIẾT BỊ'!$B$1:$S$836,5,0),"")</f>
        <v>Đầm taluy (Đầm rung thủy lực)</v>
      </c>
      <c r="G32" s="101" t="s">
        <v>6468</v>
      </c>
      <c r="H32" s="19" t="str">
        <f>IFERROR(VLOOKUP(B32,'03. THIẾT BỊ'!$B$1:$S$836,7,0),"")</f>
        <v>CGTC DP</v>
      </c>
      <c r="I32" s="610">
        <f>IFERROR(VLOOKUP(B32,'03. THIẾT BỊ'!$B$1:$S$836,8,0),"")</f>
        <v>0</v>
      </c>
      <c r="J32" s="25"/>
      <c r="K32" s="19" t="str">
        <f>IFERROR(VLOOKUP(B32,'03. THIẾT BỊ'!$B$1:$S$836,10,0),"")</f>
        <v>Bình thường</v>
      </c>
      <c r="L32" s="25">
        <f>IFERROR(VLOOKUP(B32,'03. THIẾT BỊ'!$B$1:$S$836,11,0),"")</f>
        <v>0</v>
      </c>
      <c r="M32" s="24">
        <f>IFERROR(VLOOKUP(B32,'03. THIẾT BỊ'!$B$1:$S$836,12,0),"")</f>
        <v>0</v>
      </c>
      <c r="N32" s="25" t="str">
        <f>IFERROR(VLOOKUP(B32,'03. THIẾT BỊ'!$B$1:$S$836,13,0),"")</f>
        <v>TRUNG QUỐC</v>
      </c>
      <c r="O32" s="24" t="str">
        <f>IFERROR(VLOOKUP(B32,'03. THIẾT BỊ'!$B$1:$S$836,14,0),"")</f>
        <v>Taluy</v>
      </c>
      <c r="P32" s="25" t="str">
        <f>IFERROR(VLOOKUP(B32,'03. THIẾT BỊ'!$B$1:$S$836,15,0),"")</f>
        <v>TRUNG QUỐC</v>
      </c>
      <c r="Q32" s="23">
        <f>IFERROR(VLOOKUP(B32,'03. THIẾT BỊ'!$B$1:$S$836,16,0),"")</f>
        <v>0</v>
      </c>
      <c r="R32" s="25">
        <f>IFERROR(VLOOKUP(B32,'03. THIẾT BỊ'!$B$1:$S$836,17,0),"")</f>
        <v>0</v>
      </c>
      <c r="S32" s="25">
        <f>IFERROR(VLOOKUP(B32,'03. THIẾT BỊ'!$B$1:$S$836,18,0),"")</f>
        <v>0</v>
      </c>
      <c r="T32" s="611"/>
    </row>
    <row r="33" customHeight="1" spans="1:20">
      <c r="A33" s="19">
        <v>2</v>
      </c>
      <c r="B33" s="20" t="s">
        <v>3735</v>
      </c>
      <c r="C33" s="613">
        <f>IFERROR(VLOOKUP(B33,'03. THIẾT BỊ'!$B$1:$S$836,2,0),"")</f>
        <v>0</v>
      </c>
      <c r="D33" s="24" t="str">
        <f>IFERROR(VLOOKUP(B33,'03. THIẾT BỊ'!$B$1:$S$836,3,0),"")</f>
        <v>A24-ĐTL-002</v>
      </c>
      <c r="E33" s="20" t="str">
        <f>IFERROR(VLOOKUP(B33,'03. THIẾT BỊ'!$B$1:$S$836,4,0),"")</f>
        <v>ĐQSD</v>
      </c>
      <c r="F33" s="20" t="str">
        <f>IFERROR(VLOOKUP(B33,'03. THIẾT BỊ'!$B$1:$S$836,5,0),"")</f>
        <v>Đầm taluy (Đầm rung thủy lực)</v>
      </c>
      <c r="G33" s="101" t="s">
        <v>6468</v>
      </c>
      <c r="H33" s="19" t="str">
        <f>IFERROR(VLOOKUP(B33,'03. THIẾT BỊ'!$B$1:$S$836,7,0),"")</f>
        <v>CGTC LP</v>
      </c>
      <c r="I33" s="610">
        <f>IFERROR(VLOOKUP(B33,'03. THIẾT BỊ'!$B$1:$S$836,8,0),"")</f>
        <v>0</v>
      </c>
      <c r="J33" s="25"/>
      <c r="K33" s="19" t="str">
        <f>IFERROR(VLOOKUP(B33,'03. THIẾT BỊ'!$B$1:$S$836,10,0),"")</f>
        <v>Bình thường</v>
      </c>
      <c r="L33" s="25">
        <f>IFERROR(VLOOKUP(B33,'03. THIẾT BỊ'!$B$1:$S$836,11,0),"")</f>
        <v>0</v>
      </c>
      <c r="M33" s="24" t="str">
        <f>IFERROR(VLOOKUP(B33,'03. THIẾT BỊ'!$B$1:$S$836,12,0),"")</f>
        <v>Kho vật tư Lumphat</v>
      </c>
      <c r="N33" s="25" t="str">
        <f>IFERROR(VLOOKUP(B33,'03. THIẾT BỊ'!$B$1:$S$836,13,0),"")</f>
        <v>TRUNG QUỐC</v>
      </c>
      <c r="O33" s="24" t="str">
        <f>IFERROR(VLOOKUP(B33,'03. THIẾT BỊ'!$B$1:$S$836,14,0),"")</f>
        <v>Taluy</v>
      </c>
      <c r="P33" s="25" t="str">
        <f>IFERROR(VLOOKUP(B33,'03. THIẾT BỊ'!$B$1:$S$836,15,0),"")</f>
        <v>TRUNG QUỐC</v>
      </c>
      <c r="Q33" s="23">
        <f>IFERROR(VLOOKUP(B33,'03. THIẾT BỊ'!$B$1:$S$836,16,0),"")</f>
        <v>0</v>
      </c>
      <c r="R33" s="25">
        <f>IFERROR(VLOOKUP(B33,'03. THIẾT BỊ'!$B$1:$S$836,17,0),"")</f>
        <v>0</v>
      </c>
      <c r="S33" s="25">
        <f>IFERROR(VLOOKUP(B33,'03. THIẾT BỊ'!$B$1:$S$836,18,0),"")</f>
        <v>0</v>
      </c>
      <c r="T33" s="41"/>
    </row>
    <row r="34" customHeight="1" spans="1:20">
      <c r="A34" s="23">
        <v>3</v>
      </c>
      <c r="B34" s="20" t="s">
        <v>3854</v>
      </c>
      <c r="C34" s="613">
        <f>IFERROR(VLOOKUP(B34,'03. THIẾT BỊ'!$B$1:$S$836,2,0),"")</f>
        <v>0</v>
      </c>
      <c r="D34" s="24" t="str">
        <f>IFERROR(VLOOKUP(B34,'03. THIẾT BỊ'!$B$1:$S$836,3,0),"")</f>
        <v>A22-ĐTL-003</v>
      </c>
      <c r="E34" s="20" t="str">
        <f>IFERROR(VLOOKUP(B34,'03. THIẾT BỊ'!$B$1:$S$836,4,0),"")</f>
        <v>ĐQSD</v>
      </c>
      <c r="F34" s="20" t="str">
        <f>IFERROR(VLOOKUP(B34,'03. THIẾT BỊ'!$B$1:$S$836,5,0),"")</f>
        <v>Đầm taluy (Đầm rung thủy lực)</v>
      </c>
      <c r="G34" s="101" t="s">
        <v>6468</v>
      </c>
      <c r="H34" s="19" t="str">
        <f>IFERROR(VLOOKUP(B34,'03. THIẾT BỊ'!$B$1:$S$836,7,0),"")</f>
        <v>CGTC AD</v>
      </c>
      <c r="I34" s="610">
        <f>IFERROR(VLOOKUP(B34,'03. THIẾT BỊ'!$B$1:$S$836,8,0),"")</f>
        <v>0</v>
      </c>
      <c r="J34" s="25"/>
      <c r="K34" s="19" t="str">
        <f>IFERROR(VLOOKUP(B34,'03. THIẾT BỊ'!$B$1:$S$836,10,0),"")</f>
        <v>Bình thường</v>
      </c>
      <c r="L34" s="25">
        <f>IFERROR(VLOOKUP(B34,'03. THIẾT BỊ'!$B$1:$S$836,11,0),"")</f>
        <v>0</v>
      </c>
      <c r="M34" s="24">
        <f>IFERROR(VLOOKUP(B34,'03. THIẾT BỊ'!$B$1:$S$836,12,0),"")</f>
        <v>0</v>
      </c>
      <c r="N34" s="25" t="str">
        <f>IFERROR(VLOOKUP(B34,'03. THIẾT BỊ'!$B$1:$S$836,13,0),"")</f>
        <v>TRUNG QUỐC</v>
      </c>
      <c r="O34" s="24" t="str">
        <f>IFERROR(VLOOKUP(B34,'03. THIẾT BỊ'!$B$1:$S$836,14,0),"")</f>
        <v>Taluy</v>
      </c>
      <c r="P34" s="25" t="str">
        <f>IFERROR(VLOOKUP(B34,'03. THIẾT BỊ'!$B$1:$S$836,15,0),"")</f>
        <v>TRUNG QUỐC</v>
      </c>
      <c r="Q34" s="23">
        <f>IFERROR(VLOOKUP(B34,'03. THIẾT BỊ'!$B$1:$S$836,16,0),"")</f>
        <v>0</v>
      </c>
      <c r="R34" s="25">
        <f>IFERROR(VLOOKUP(B34,'03. THIẾT BỊ'!$B$1:$S$836,17,0),"")</f>
        <v>0</v>
      </c>
      <c r="S34" s="25">
        <f>IFERROR(VLOOKUP(B34,'03. THIẾT BỊ'!$B$1:$S$836,18,0),"")</f>
        <v>0</v>
      </c>
      <c r="T34" s="41"/>
    </row>
    <row r="35" customHeight="1" spans="1:20">
      <c r="A35" s="19">
        <v>4</v>
      </c>
      <c r="B35" s="20" t="s">
        <v>3856</v>
      </c>
      <c r="C35" s="613">
        <f>IFERROR(VLOOKUP(B35,'03. THIẾT BỊ'!$B$1:$S$836,2,0),"")</f>
        <v>0</v>
      </c>
      <c r="D35" s="24" t="str">
        <f>IFERROR(VLOOKUP(B35,'03. THIẾT BỊ'!$B$1:$S$836,3,0),"")</f>
        <v>A22-ĐTL-004</v>
      </c>
      <c r="E35" s="20" t="str">
        <f>IFERROR(VLOOKUP(B35,'03. THIẾT BỊ'!$B$1:$S$836,4,0),"")</f>
        <v>MUA MỚI</v>
      </c>
      <c r="F35" s="20" t="str">
        <f>IFERROR(VLOOKUP(B35,'03. THIẾT BỊ'!$B$1:$S$836,5,0),"")</f>
        <v>Đầm taluy (Đầm rung thủy lực)</v>
      </c>
      <c r="G35" s="101" t="s">
        <v>6468</v>
      </c>
      <c r="H35" s="19" t="str">
        <f>IFERROR(VLOOKUP(B35,'03. THIẾT BỊ'!$B$1:$S$836,7,0),"")</f>
        <v>CGTC AD</v>
      </c>
      <c r="I35" s="610">
        <f>IFERROR(VLOOKUP(B35,'03. THIẾT BỊ'!$B$1:$S$836,8,0),"")</f>
        <v>45452</v>
      </c>
      <c r="J35" s="25"/>
      <c r="K35" s="19" t="str">
        <f>IFERROR(VLOOKUP(B35,'03. THIẾT BỊ'!$B$1:$S$836,10,0),"")</f>
        <v>Bình thường</v>
      </c>
      <c r="L35" s="25" t="str">
        <f>IFERROR(VLOOKUP(B35,'03. THIẾT BỊ'!$B$1:$S$836,11,0),"")</f>
        <v>Đầu tư mới</v>
      </c>
      <c r="M35" s="24">
        <f>IFERROR(VLOOKUP(B35,'03. THIẾT BỊ'!$B$1:$S$836,12,0),"")</f>
        <v>0</v>
      </c>
      <c r="N35" s="25" t="str">
        <f>IFERROR(VLOOKUP(B35,'03. THIẾT BỊ'!$B$1:$S$836,13,0),"")</f>
        <v>EVERDIGM</v>
      </c>
      <c r="O35" s="24" t="str">
        <f>IFERROR(VLOOKUP(B35,'03. THIẾT BỊ'!$B$1:$S$836,14,0),"")</f>
        <v>EPC15PA</v>
      </c>
      <c r="P35" s="25" t="str">
        <f>IFERROR(VLOOKUP(B35,'03. THIẾT BỊ'!$B$1:$S$836,15,0),"")</f>
        <v>HÀN QUỐC</v>
      </c>
      <c r="Q35" s="23">
        <f>IFERROR(VLOOKUP(B35,'03. THIẾT BỊ'!$B$1:$S$836,16,0),"")</f>
        <v>2021</v>
      </c>
      <c r="R35" s="25" t="str">
        <f>IFERROR(VLOOKUP(B35,'03. THIẾT BỊ'!$B$1:$S$836,17,0),"")</f>
        <v>6.4 TẤN- 740x1050mm</v>
      </c>
      <c r="S35" s="25" t="str">
        <f>IFERROR(VLOOKUP(B35,'03. THIẾT BỊ'!$B$1:$S$836,18,0),"")</f>
        <v>15-H245</v>
      </c>
      <c r="T35" s="41"/>
    </row>
    <row r="36" customHeight="1" spans="1:20">
      <c r="A36" s="614"/>
      <c r="B36" s="41"/>
      <c r="C36" s="613" t="str">
        <f>IFERROR(VLOOKUP(B36,'03. THIẾT BỊ'!$B$1:$S$836,2,0),"")</f>
        <v/>
      </c>
      <c r="D36" s="24" t="str">
        <f>IFERROR(VLOOKUP(B36,'03. THIẾT BỊ'!$B$1:$S$836,3,0),"")</f>
        <v/>
      </c>
      <c r="E36" s="20" t="str">
        <f>IFERROR(VLOOKUP(B36,'03. THIẾT BỊ'!$B$1:$S$836,4,0),"")</f>
        <v/>
      </c>
      <c r="F36" s="20" t="str">
        <f>IFERROR(VLOOKUP(B36,'03. THIẾT BỊ'!$B$1:$S$836,5,0),"")</f>
        <v/>
      </c>
      <c r="G36" s="101" t="s">
        <v>6468</v>
      </c>
      <c r="H36" s="19" t="str">
        <f>IFERROR(VLOOKUP(B36,'03. THIẾT BỊ'!$B$1:$S$836,7,0),"")</f>
        <v/>
      </c>
      <c r="I36" s="610" t="str">
        <f>IFERROR(VLOOKUP(B36,'03. THIẾT BỊ'!$B$1:$S$836,8,0),"")</f>
        <v/>
      </c>
      <c r="J36" s="25"/>
      <c r="K36" s="19" t="str">
        <f>IFERROR(VLOOKUP(B36,'03. THIẾT BỊ'!$B$1:$S$836,10,0),"")</f>
        <v/>
      </c>
      <c r="L36" s="25" t="str">
        <f>IFERROR(VLOOKUP(B36,'03. THIẾT BỊ'!$B$1:$S$836,11,0),"")</f>
        <v/>
      </c>
      <c r="M36" s="24" t="str">
        <f>IFERROR(VLOOKUP(B36,'03. THIẾT BỊ'!$B$1:$S$836,12,0),"")</f>
        <v/>
      </c>
      <c r="N36" s="25" t="str">
        <f>IFERROR(VLOOKUP(B36,'03. THIẾT BỊ'!$B$1:$S$836,13,0),"")</f>
        <v/>
      </c>
      <c r="O36" s="24" t="str">
        <f>IFERROR(VLOOKUP(B36,'03. THIẾT BỊ'!$B$1:$S$836,14,0),"")</f>
        <v/>
      </c>
      <c r="P36" s="25" t="str">
        <f>IFERROR(VLOOKUP(B36,'03. THIẾT BỊ'!$B$1:$S$836,15,0),"")</f>
        <v/>
      </c>
      <c r="Q36" s="23" t="str">
        <f>IFERROR(VLOOKUP(B36,'03. THIẾT BỊ'!$B$1:$S$836,16,0),"")</f>
        <v/>
      </c>
      <c r="R36" s="25" t="str">
        <f>IFERROR(VLOOKUP(B36,'03. THIẾT BỊ'!$B$1:$S$836,17,0),"")</f>
        <v/>
      </c>
      <c r="S36" s="25" t="str">
        <f>IFERROR(VLOOKUP(B36,'03. THIẾT BỊ'!$B$1:$S$836,18,0),"")</f>
        <v/>
      </c>
      <c r="T36" s="611"/>
    </row>
    <row r="37" customHeight="1" spans="1:20">
      <c r="A37" s="614"/>
      <c r="B37" s="41"/>
      <c r="C37" s="613" t="str">
        <f>IFERROR(VLOOKUP(B37,'03. THIẾT BỊ'!$B$1:$S$836,2,0),"")</f>
        <v/>
      </c>
      <c r="D37" s="24" t="str">
        <f>IFERROR(VLOOKUP(B37,'03. THIẾT BỊ'!$B$1:$S$836,3,0),"")</f>
        <v/>
      </c>
      <c r="E37" s="20" t="str">
        <f>IFERROR(VLOOKUP(B37,'03. THIẾT BỊ'!$B$1:$S$836,4,0),"")</f>
        <v/>
      </c>
      <c r="F37" s="20" t="str">
        <f>IFERROR(VLOOKUP(B37,'03. THIẾT BỊ'!$B$1:$S$836,5,0),"")</f>
        <v/>
      </c>
      <c r="G37" s="101" t="s">
        <v>6468</v>
      </c>
      <c r="H37" s="19" t="str">
        <f>IFERROR(VLOOKUP(B37,'03. THIẾT BỊ'!$B$1:$S$836,7,0),"")</f>
        <v/>
      </c>
      <c r="I37" s="610" t="str">
        <f>IFERROR(VLOOKUP(B37,'03. THIẾT BỊ'!$B$1:$S$836,8,0),"")</f>
        <v/>
      </c>
      <c r="J37" s="25"/>
      <c r="K37" s="19" t="str">
        <f>IFERROR(VLOOKUP(B37,'03. THIẾT BỊ'!$B$1:$S$836,10,0),"")</f>
        <v/>
      </c>
      <c r="L37" s="25" t="str">
        <f>IFERROR(VLOOKUP(B37,'03. THIẾT BỊ'!$B$1:$S$836,11,0),"")</f>
        <v/>
      </c>
      <c r="M37" s="24" t="str">
        <f>IFERROR(VLOOKUP(B37,'03. THIẾT BỊ'!$B$1:$S$836,12,0),"")</f>
        <v/>
      </c>
      <c r="N37" s="25" t="str">
        <f>IFERROR(VLOOKUP(B37,'03. THIẾT BỊ'!$B$1:$S$836,13,0),"")</f>
        <v/>
      </c>
      <c r="O37" s="24" t="str">
        <f>IFERROR(VLOOKUP(B37,'03. THIẾT BỊ'!$B$1:$S$836,14,0),"")</f>
        <v/>
      </c>
      <c r="P37" s="25" t="str">
        <f>IFERROR(VLOOKUP(B37,'03. THIẾT BỊ'!$B$1:$S$836,15,0),"")</f>
        <v/>
      </c>
      <c r="Q37" s="23" t="str">
        <f>IFERROR(VLOOKUP(B37,'03. THIẾT BỊ'!$B$1:$S$836,16,0),"")</f>
        <v/>
      </c>
      <c r="R37" s="25" t="str">
        <f>IFERROR(VLOOKUP(B37,'03. THIẾT BỊ'!$B$1:$S$836,17,0),"")</f>
        <v/>
      </c>
      <c r="S37" s="25" t="str">
        <f>IFERROR(VLOOKUP(B37,'03. THIẾT BỊ'!$B$1:$S$836,18,0),"")</f>
        <v/>
      </c>
      <c r="T37" s="611"/>
    </row>
    <row r="38" customHeight="1" spans="1:20">
      <c r="A38" s="14" t="s">
        <v>290</v>
      </c>
      <c r="B38" s="15" t="s">
        <v>6471</v>
      </c>
      <c r="C38" s="14">
        <f>COUNTA(B39:B136)</f>
        <v>97</v>
      </c>
      <c r="D38" s="17" t="str">
        <f>IFERROR(VLOOKUP(B38,'03. THIẾT BỊ'!$B$1:$S$836,3,0),"")</f>
        <v/>
      </c>
      <c r="E38" s="17" t="str">
        <f>IFERROR(VLOOKUP(B38,'03. THIẾT BỊ'!$B$1:$S$836,4,0),"")</f>
        <v/>
      </c>
      <c r="F38" s="17" t="str">
        <f>IFERROR(VLOOKUP(B38,'03. THIẾT BỊ'!$B$1:$S$836,5,0),"")</f>
        <v/>
      </c>
      <c r="G38" s="18" t="s">
        <v>6468</v>
      </c>
      <c r="H38" s="18" t="str">
        <f>IFERROR(VLOOKUP(B38,'03. THIẾT BỊ'!$B$1:$S$836,7,0),"")</f>
        <v/>
      </c>
      <c r="I38" s="14" t="str">
        <f>IFERROR(VLOOKUP(B38,'03. THIẾT BỊ'!$B$1:$S$836,8,0),"")</f>
        <v/>
      </c>
      <c r="J38" s="15"/>
      <c r="K38" s="14" t="str">
        <f>IFERROR(VLOOKUP(B38,'03. THIẾT BỊ'!$B$1:$S$836,10,0),"")</f>
        <v/>
      </c>
      <c r="L38" s="17" t="str">
        <f>IFERROR(VLOOKUP(B38,'03. THIẾT BỊ'!$B$1:$S$836,11,0),"")</f>
        <v/>
      </c>
      <c r="M38" s="16" t="str">
        <f>IFERROR(VLOOKUP(B38,'03. THIẾT BỊ'!$B$1:$S$836,12,0),"")</f>
        <v/>
      </c>
      <c r="N38" s="17" t="str">
        <f>IFERROR(VLOOKUP(B38,'03. THIẾT BỊ'!$B$1:$S$836,13,0),"")</f>
        <v/>
      </c>
      <c r="O38" s="16" t="str">
        <f>IFERROR(VLOOKUP(B38,'03. THIẾT BỊ'!$B$1:$S$836,14,0),"")</f>
        <v/>
      </c>
      <c r="P38" s="17" t="str">
        <f>IFERROR(VLOOKUP(B38,'03. THIẾT BỊ'!$B$1:$S$836,15,0),"")</f>
        <v/>
      </c>
      <c r="Q38" s="18" t="str">
        <f>IFERROR(VLOOKUP(B38,'03. THIẾT BỊ'!$B$1:$S$836,16,0),"")</f>
        <v/>
      </c>
      <c r="R38" s="17" t="str">
        <f>IFERROR(VLOOKUP(B38,'03. THIẾT BỊ'!$B$1:$S$836,17,0),"")</f>
        <v/>
      </c>
      <c r="S38" s="17" t="str">
        <f>IFERROR(VLOOKUP(B38,'03. THIẾT BỊ'!$B$1:$S$836,18,0),"")</f>
        <v/>
      </c>
      <c r="T38" s="609"/>
    </row>
    <row r="39" customHeight="1" spans="1:20">
      <c r="A39" s="19">
        <v>1</v>
      </c>
      <c r="B39" s="20" t="s">
        <v>3607</v>
      </c>
      <c r="C39" s="613">
        <f>IFERROR(VLOOKUP(B39,'03. THIẾT BỊ'!$B$1:$S$836,2,0),"")</f>
        <v>0</v>
      </c>
      <c r="D39" s="24" t="str">
        <f>IFERROR(VLOOKUP(B39,'03. THIẾT BỊ'!$B$1:$S$836,3,0),"")</f>
        <v>A23-GĐH-007</v>
      </c>
      <c r="E39" s="20" t="str">
        <f>IFERROR(VLOOKUP(B39,'03. THIẾT BỊ'!$B$1:$S$836,4,0),"")</f>
        <v>ĐQSD</v>
      </c>
      <c r="F39" s="20" t="str">
        <f>IFERROR(VLOOKUP(B39,'03. THIẾT BỊ'!$B$1:$S$836,5,0),"")</f>
        <v>Gàu định hình M0.6</v>
      </c>
      <c r="G39" s="101" t="s">
        <v>6468</v>
      </c>
      <c r="H39" s="19" t="str">
        <f>IFERROR(VLOOKUP(B39,'03. THIẾT BỊ'!$B$1:$S$836,7,0),"")</f>
        <v>CGTC DP</v>
      </c>
      <c r="I39" s="610" t="str">
        <f>IFERROR(VLOOKUP(B39,'03. THIẾT BỊ'!$B$1:$S$836,8,0),"")</f>
        <v>13/07/2024</v>
      </c>
      <c r="J39" s="25"/>
      <c r="K39" s="19" t="str">
        <f>IFERROR(VLOOKUP(B39,'03. THIẾT BỊ'!$B$1:$S$836,10,0),"")</f>
        <v>Bình thường</v>
      </c>
      <c r="L39" s="25">
        <f>IFERROR(VLOOKUP(B39,'03. THIẾT BỊ'!$B$1:$S$836,11,0),"")</f>
        <v>0</v>
      </c>
      <c r="M39" s="24">
        <f>IFERROR(VLOOKUP(B39,'03. THIẾT BỊ'!$B$1:$S$836,12,0),"")</f>
        <v>0</v>
      </c>
      <c r="N39" s="25" t="str">
        <f>IFERROR(VLOOKUP(B39,'03. THIẾT BỊ'!$B$1:$S$836,13,0),"")</f>
        <v>THACO AGRI</v>
      </c>
      <c r="O39" s="24" t="str">
        <f>IFERROR(VLOOKUP(B39,'03. THIẾT BỊ'!$B$1:$S$836,14,0),"")</f>
        <v>M0.6</v>
      </c>
      <c r="P39" s="25" t="str">
        <f>IFERROR(VLOOKUP(B39,'03. THIẾT BỊ'!$B$1:$S$836,15,0),"")</f>
        <v>CK-CGH</v>
      </c>
      <c r="Q39" s="23">
        <f>IFERROR(VLOOKUP(B39,'03. THIẾT BỊ'!$B$1:$S$836,16,0),"")</f>
        <v>2024</v>
      </c>
      <c r="R39" s="25" t="str">
        <f>IFERROR(VLOOKUP(B39,'03. THIẾT BỊ'!$B$1:$S$836,17,0),"")</f>
        <v>700x200x500</v>
      </c>
      <c r="S39" s="25">
        <f>IFERROR(VLOOKUP(B39,'03. THIẾT BỊ'!$B$1:$S$836,18,0),"")</f>
        <v>0</v>
      </c>
      <c r="T39" s="611"/>
    </row>
    <row r="40" customHeight="1" spans="1:20">
      <c r="A40" s="23">
        <f t="shared" ref="A40:A105" si="1">A39+1</f>
        <v>2</v>
      </c>
      <c r="B40" s="20" t="s">
        <v>3615</v>
      </c>
      <c r="C40" s="613">
        <f>IFERROR(VLOOKUP(B40,'03. THIẾT BỊ'!$B$1:$S$836,2,0),"")</f>
        <v>0</v>
      </c>
      <c r="D40" s="24" t="str">
        <f>IFERROR(VLOOKUP(B40,'03. THIẾT BỊ'!$B$1:$S$836,3,0),"")</f>
        <v>A23-GĐH-010</v>
      </c>
      <c r="E40" s="20" t="str">
        <f>IFERROR(VLOOKUP(B40,'03. THIẾT BỊ'!$B$1:$S$836,4,0),"")</f>
        <v>ĐQSD</v>
      </c>
      <c r="F40" s="20" t="str">
        <f>IFERROR(VLOOKUP(B40,'03. THIẾT BỊ'!$B$1:$S$836,5,0),"")</f>
        <v>Gàu định hình M1</v>
      </c>
      <c r="G40" s="101" t="s">
        <v>6468</v>
      </c>
      <c r="H40" s="19" t="str">
        <f>IFERROR(VLOOKUP(B40,'03. THIẾT BỊ'!$B$1:$S$836,7,0),"")</f>
        <v>CGTC DP</v>
      </c>
      <c r="I40" s="610" t="str">
        <f>IFERROR(VLOOKUP(B40,'03. THIẾT BỊ'!$B$1:$S$836,8,0),"")</f>
        <v>13/07/2024</v>
      </c>
      <c r="J40" s="25"/>
      <c r="K40" s="19" t="str">
        <f>IFERROR(VLOOKUP(B40,'03. THIẾT BỊ'!$B$1:$S$836,10,0),"")</f>
        <v>Bình thường</v>
      </c>
      <c r="L40" s="25">
        <f>IFERROR(VLOOKUP(B40,'03. THIẾT BỊ'!$B$1:$S$836,11,0),"")</f>
        <v>0</v>
      </c>
      <c r="M40" s="24">
        <f>IFERROR(VLOOKUP(B40,'03. THIẾT BỊ'!$B$1:$S$836,12,0),"")</f>
        <v>0</v>
      </c>
      <c r="N40" s="25" t="str">
        <f>IFERROR(VLOOKUP(B40,'03. THIẾT BỊ'!$B$1:$S$836,13,0),"")</f>
        <v>THACO AGRI</v>
      </c>
      <c r="O40" s="24" t="str">
        <f>IFERROR(VLOOKUP(B40,'03. THIẾT BỊ'!$B$1:$S$836,14,0),"")</f>
        <v>M1</v>
      </c>
      <c r="P40" s="25" t="str">
        <f>IFERROR(VLOOKUP(B40,'03. THIẾT BỊ'!$B$1:$S$836,15,0),"")</f>
        <v>CK-CGH</v>
      </c>
      <c r="Q40" s="23">
        <f>IFERROR(VLOOKUP(B40,'03. THIẾT BỊ'!$B$1:$S$836,16,0),"")</f>
        <v>2024</v>
      </c>
      <c r="R40" s="25" t="str">
        <f>IFERROR(VLOOKUP(B40,'03. THIẾT BỊ'!$B$1:$S$836,17,0),"")</f>
        <v>12x30x80</v>
      </c>
      <c r="S40" s="25">
        <f>IFERROR(VLOOKUP(B40,'03. THIẾT BỊ'!$B$1:$S$836,18,0),"")</f>
        <v>0</v>
      </c>
      <c r="T40" s="611"/>
    </row>
    <row r="41" customHeight="1" spans="1:20">
      <c r="A41" s="23">
        <f t="shared" si="1"/>
        <v>3</v>
      </c>
      <c r="B41" s="20" t="s">
        <v>3620</v>
      </c>
      <c r="C41" s="613">
        <f>IFERROR(VLOOKUP(B41,'03. THIẾT BỊ'!$B$1:$S$836,2,0),"")</f>
        <v>0</v>
      </c>
      <c r="D41" s="24" t="str">
        <f>IFERROR(VLOOKUP(B41,'03. THIẾT BỊ'!$B$1:$S$836,3,0),"")</f>
        <v>A23-GĐH-017</v>
      </c>
      <c r="E41" s="20" t="str">
        <f>IFERROR(VLOOKUP(B41,'03. THIẾT BỊ'!$B$1:$S$836,4,0),"")</f>
        <v>ĐQSD</v>
      </c>
      <c r="F41" s="20" t="str">
        <f>IFERROR(VLOOKUP(B41,'03. THIẾT BỊ'!$B$1:$S$836,5,0),"")</f>
        <v>Gàu định hình M0.6 (Cải tiến)</v>
      </c>
      <c r="G41" s="101" t="s">
        <v>6468</v>
      </c>
      <c r="H41" s="19" t="str">
        <f>IFERROR(VLOOKUP(B41,'03. THIẾT BỊ'!$B$1:$S$836,7,0),"")</f>
        <v>CGTC DP</v>
      </c>
      <c r="I41" s="610">
        <f>IFERROR(VLOOKUP(B41,'03. THIẾT BỊ'!$B$1:$S$836,8,0),"")</f>
        <v>45634</v>
      </c>
      <c r="J41" s="25"/>
      <c r="K41" s="19" t="str">
        <f>IFERROR(VLOOKUP(B41,'03. THIẾT BỊ'!$B$1:$S$836,10,0),"")</f>
        <v>Bình thường</v>
      </c>
      <c r="L41" s="25">
        <f>IFERROR(VLOOKUP(B41,'03. THIẾT BỊ'!$B$1:$S$836,11,0),"")</f>
        <v>0</v>
      </c>
      <c r="M41" s="24">
        <f>IFERROR(VLOOKUP(B41,'03. THIẾT BỊ'!$B$1:$S$836,12,0),"")</f>
        <v>0</v>
      </c>
      <c r="N41" s="25" t="str">
        <f>IFERROR(VLOOKUP(B41,'03. THIẾT BỊ'!$B$1:$S$836,13,0),"")</f>
        <v>THACO AGRI</v>
      </c>
      <c r="O41" s="24" t="str">
        <f>IFERROR(VLOOKUP(B41,'03. THIẾT BỊ'!$B$1:$S$836,14,0),"")</f>
        <v>M0.6</v>
      </c>
      <c r="P41" s="25" t="str">
        <f>IFERROR(VLOOKUP(B41,'03. THIẾT BỊ'!$B$1:$S$836,15,0),"")</f>
        <v>CK-CGH</v>
      </c>
      <c r="Q41" s="23">
        <f>IFERROR(VLOOKUP(B41,'03. THIẾT BỊ'!$B$1:$S$836,16,0),"")</f>
        <v>2024</v>
      </c>
      <c r="R41" s="25" t="str">
        <f>IFERROR(VLOOKUP(B41,'03. THIẾT BỊ'!$B$1:$S$836,17,0),"")</f>
        <v>800x800x200</v>
      </c>
      <c r="S41" s="25">
        <f>IFERROR(VLOOKUP(B41,'03. THIẾT BỊ'!$B$1:$S$836,18,0),"")</f>
        <v>0</v>
      </c>
      <c r="T41" s="611"/>
    </row>
    <row r="42" customHeight="1" spans="1:20">
      <c r="A42" s="23">
        <f t="shared" si="1"/>
        <v>4</v>
      </c>
      <c r="B42" s="20" t="s">
        <v>3624</v>
      </c>
      <c r="C42" s="613">
        <f>IFERROR(VLOOKUP(B42,'03. THIẾT BỊ'!$B$1:$S$836,2,0),"")</f>
        <v>0</v>
      </c>
      <c r="D42" s="24" t="str">
        <f>IFERROR(VLOOKUP(B42,'03. THIẾT BỊ'!$B$1:$S$836,3,0),"")</f>
        <v>A23-GĐH-018</v>
      </c>
      <c r="E42" s="20" t="str">
        <f>IFERROR(VLOOKUP(B42,'03. THIẾT BỊ'!$B$1:$S$836,4,0),"")</f>
        <v>ĐQSD</v>
      </c>
      <c r="F42" s="20" t="str">
        <f>IFERROR(VLOOKUP(B42,'03. THIẾT BỊ'!$B$1:$S$836,5,0),"")</f>
        <v>Gàu định hình M0.6 (Cải tiến)</v>
      </c>
      <c r="G42" s="101" t="s">
        <v>6468</v>
      </c>
      <c r="H42" s="19" t="str">
        <f>IFERROR(VLOOKUP(B42,'03. THIẾT BỊ'!$B$1:$S$836,7,0),"")</f>
        <v>CGTC DP</v>
      </c>
      <c r="I42" s="610">
        <f>IFERROR(VLOOKUP(B42,'03. THIẾT BỊ'!$B$1:$S$836,8,0),"")</f>
        <v>45634</v>
      </c>
      <c r="J42" s="25"/>
      <c r="K42" s="19" t="str">
        <f>IFERROR(VLOOKUP(B42,'03. THIẾT BỊ'!$B$1:$S$836,10,0),"")</f>
        <v>Bình thường</v>
      </c>
      <c r="L42" s="25">
        <f>IFERROR(VLOOKUP(B42,'03. THIẾT BỊ'!$B$1:$S$836,11,0),"")</f>
        <v>0</v>
      </c>
      <c r="M42" s="24">
        <f>IFERROR(VLOOKUP(B42,'03. THIẾT BỊ'!$B$1:$S$836,12,0),"")</f>
        <v>0</v>
      </c>
      <c r="N42" s="25" t="str">
        <f>IFERROR(VLOOKUP(B42,'03. THIẾT BỊ'!$B$1:$S$836,13,0),"")</f>
        <v>THACO AGRI</v>
      </c>
      <c r="O42" s="24" t="str">
        <f>IFERROR(VLOOKUP(B42,'03. THIẾT BỊ'!$B$1:$S$836,14,0),"")</f>
        <v>M0.6</v>
      </c>
      <c r="P42" s="25" t="str">
        <f>IFERROR(VLOOKUP(B42,'03. THIẾT BỊ'!$B$1:$S$836,15,0),"")</f>
        <v>CK-CGH</v>
      </c>
      <c r="Q42" s="23">
        <f>IFERROR(VLOOKUP(B42,'03. THIẾT BỊ'!$B$1:$S$836,16,0),"")</f>
        <v>2024</v>
      </c>
      <c r="R42" s="25" t="str">
        <f>IFERROR(VLOOKUP(B42,'03. THIẾT BỊ'!$B$1:$S$836,17,0),"")</f>
        <v>800x800x200</v>
      </c>
      <c r="S42" s="25">
        <f>IFERROR(VLOOKUP(B42,'03. THIẾT BỊ'!$B$1:$S$836,18,0),"")</f>
        <v>0</v>
      </c>
      <c r="T42" s="611"/>
    </row>
    <row r="43" customHeight="1" spans="1:20">
      <c r="A43" s="23">
        <f t="shared" si="1"/>
        <v>5</v>
      </c>
      <c r="B43" s="20" t="s">
        <v>3626</v>
      </c>
      <c r="C43" s="613">
        <f>IFERROR(VLOOKUP(B43,'03. THIẾT BỊ'!$B$1:$S$836,2,0),"")</f>
        <v>0</v>
      </c>
      <c r="D43" s="24" t="str">
        <f>IFERROR(VLOOKUP(B43,'03. THIẾT BỊ'!$B$1:$S$836,3,0),"")</f>
        <v>A23-GĐH-019</v>
      </c>
      <c r="E43" s="20" t="str">
        <f>IFERROR(VLOOKUP(B43,'03. THIẾT BỊ'!$B$1:$S$836,4,0),"")</f>
        <v>ĐQSD</v>
      </c>
      <c r="F43" s="20" t="str">
        <f>IFERROR(VLOOKUP(B43,'03. THIẾT BỊ'!$B$1:$S$836,5,0),"")</f>
        <v>Gàu định hình M0.6 (Cải tiến)</v>
      </c>
      <c r="G43" s="101" t="s">
        <v>6468</v>
      </c>
      <c r="H43" s="19" t="str">
        <f>IFERROR(VLOOKUP(B43,'03. THIẾT BỊ'!$B$1:$S$836,7,0),"")</f>
        <v>CGTC DP</v>
      </c>
      <c r="I43" s="610">
        <f>IFERROR(VLOOKUP(B43,'03. THIẾT BỊ'!$B$1:$S$836,8,0),"")</f>
        <v>45634</v>
      </c>
      <c r="J43" s="25"/>
      <c r="K43" s="19" t="str">
        <f>IFERROR(VLOOKUP(B43,'03. THIẾT BỊ'!$B$1:$S$836,10,0),"")</f>
        <v>Bình thường</v>
      </c>
      <c r="L43" s="25">
        <f>IFERROR(VLOOKUP(B43,'03. THIẾT BỊ'!$B$1:$S$836,11,0),"")</f>
        <v>0</v>
      </c>
      <c r="M43" s="24">
        <f>IFERROR(VLOOKUP(B43,'03. THIẾT BỊ'!$B$1:$S$836,12,0),"")</f>
        <v>0</v>
      </c>
      <c r="N43" s="25" t="str">
        <f>IFERROR(VLOOKUP(B43,'03. THIẾT BỊ'!$B$1:$S$836,13,0),"")</f>
        <v>THACO AGRI</v>
      </c>
      <c r="O43" s="24" t="str">
        <f>IFERROR(VLOOKUP(B43,'03. THIẾT BỊ'!$B$1:$S$836,14,0),"")</f>
        <v>M0.6</v>
      </c>
      <c r="P43" s="25" t="str">
        <f>IFERROR(VLOOKUP(B43,'03. THIẾT BỊ'!$B$1:$S$836,15,0),"")</f>
        <v>CK-CGH</v>
      </c>
      <c r="Q43" s="23">
        <f>IFERROR(VLOOKUP(B43,'03. THIẾT BỊ'!$B$1:$S$836,16,0),"")</f>
        <v>2024</v>
      </c>
      <c r="R43" s="25" t="str">
        <f>IFERROR(VLOOKUP(B43,'03. THIẾT BỊ'!$B$1:$S$836,17,0),"")</f>
        <v>800x800x200</v>
      </c>
      <c r="S43" s="25">
        <f>IFERROR(VLOOKUP(B43,'03. THIẾT BỊ'!$B$1:$S$836,18,0),"")</f>
        <v>0</v>
      </c>
      <c r="T43" s="611"/>
    </row>
    <row r="44" customHeight="1" spans="1:20">
      <c r="A44" s="23">
        <f t="shared" si="1"/>
        <v>6</v>
      </c>
      <c r="B44" s="20" t="s">
        <v>3628</v>
      </c>
      <c r="C44" s="613">
        <f>IFERROR(VLOOKUP(B44,'03. THIẾT BỊ'!$B$1:$S$836,2,0),"")</f>
        <v>0</v>
      </c>
      <c r="D44" s="24" t="str">
        <f>IFERROR(VLOOKUP(B44,'03. THIẾT BỊ'!$B$1:$S$836,3,0),"")</f>
        <v>A23-GĐH-020</v>
      </c>
      <c r="E44" s="20" t="str">
        <f>IFERROR(VLOOKUP(B44,'03. THIẾT BỊ'!$B$1:$S$836,4,0),"")</f>
        <v>ĐQSD</v>
      </c>
      <c r="F44" s="20" t="str">
        <f>IFERROR(VLOOKUP(B44,'03. THIẾT BỊ'!$B$1:$S$836,5,0),"")</f>
        <v>Gàu định hình M0.6 (Cải tiến)</v>
      </c>
      <c r="G44" s="101" t="s">
        <v>6468</v>
      </c>
      <c r="H44" s="19" t="str">
        <f>IFERROR(VLOOKUP(B44,'03. THIẾT BỊ'!$B$1:$S$836,7,0),"")</f>
        <v>CGTC DP</v>
      </c>
      <c r="I44" s="610">
        <f>IFERROR(VLOOKUP(B44,'03. THIẾT BỊ'!$B$1:$S$836,8,0),"")</f>
        <v>45634</v>
      </c>
      <c r="J44" s="25"/>
      <c r="K44" s="19" t="str">
        <f>IFERROR(VLOOKUP(B44,'03. THIẾT BỊ'!$B$1:$S$836,10,0),"")</f>
        <v>Bình thường</v>
      </c>
      <c r="L44" s="25">
        <f>IFERROR(VLOOKUP(B44,'03. THIẾT BỊ'!$B$1:$S$836,11,0),"")</f>
        <v>0</v>
      </c>
      <c r="M44" s="24">
        <f>IFERROR(VLOOKUP(B44,'03. THIẾT BỊ'!$B$1:$S$836,12,0),"")</f>
        <v>0</v>
      </c>
      <c r="N44" s="25" t="str">
        <f>IFERROR(VLOOKUP(B44,'03. THIẾT BỊ'!$B$1:$S$836,13,0),"")</f>
        <v>THACO AGRI</v>
      </c>
      <c r="O44" s="24" t="str">
        <f>IFERROR(VLOOKUP(B44,'03. THIẾT BỊ'!$B$1:$S$836,14,0),"")</f>
        <v>M0.6</v>
      </c>
      <c r="P44" s="25" t="str">
        <f>IFERROR(VLOOKUP(B44,'03. THIẾT BỊ'!$B$1:$S$836,15,0),"")</f>
        <v>CK-CGH</v>
      </c>
      <c r="Q44" s="23">
        <f>IFERROR(VLOOKUP(B44,'03. THIẾT BỊ'!$B$1:$S$836,16,0),"")</f>
        <v>2024</v>
      </c>
      <c r="R44" s="25" t="str">
        <f>IFERROR(VLOOKUP(B44,'03. THIẾT BỊ'!$B$1:$S$836,17,0),"")</f>
        <v>800x800x200</v>
      </c>
      <c r="S44" s="25">
        <f>IFERROR(VLOOKUP(B44,'03. THIẾT BỊ'!$B$1:$S$836,18,0),"")</f>
        <v>0</v>
      </c>
      <c r="T44" s="611"/>
    </row>
    <row r="45" customHeight="1" spans="1:20">
      <c r="A45" s="23">
        <f t="shared" si="1"/>
        <v>7</v>
      </c>
      <c r="B45" s="20" t="s">
        <v>3630</v>
      </c>
      <c r="C45" s="613">
        <f>IFERROR(VLOOKUP(B45,'03. THIẾT BỊ'!$B$1:$S$836,2,0),"")</f>
        <v>0</v>
      </c>
      <c r="D45" s="24" t="str">
        <f>IFERROR(VLOOKUP(B45,'03. THIẾT BỊ'!$B$1:$S$836,3,0),"")</f>
        <v>A23-GĐH-021</v>
      </c>
      <c r="E45" s="20" t="str">
        <f>IFERROR(VLOOKUP(B45,'03. THIẾT BỊ'!$B$1:$S$836,4,0),"")</f>
        <v>ĐQSD</v>
      </c>
      <c r="F45" s="20" t="str">
        <f>IFERROR(VLOOKUP(B45,'03. THIẾT BỊ'!$B$1:$S$836,5,0),"")</f>
        <v>Gàu định hình đào mương thoát nước</v>
      </c>
      <c r="G45" s="101" t="s">
        <v>6468</v>
      </c>
      <c r="H45" s="19" t="str">
        <f>IFERROR(VLOOKUP(B45,'03. THIẾT BỊ'!$B$1:$S$836,7,0),"")</f>
        <v>CGTC DP</v>
      </c>
      <c r="I45" s="610" t="str">
        <f>IFERROR(VLOOKUP(B45,'03. THIẾT BỊ'!$B$1:$S$836,8,0),"")</f>
        <v>16/08/2024</v>
      </c>
      <c r="J45" s="25"/>
      <c r="K45" s="19" t="str">
        <f>IFERROR(VLOOKUP(B45,'03. THIẾT BỊ'!$B$1:$S$836,10,0),"")</f>
        <v>Bình thường</v>
      </c>
      <c r="L45" s="25">
        <f>IFERROR(VLOOKUP(B45,'03. THIẾT BỊ'!$B$1:$S$836,11,0),"")</f>
        <v>0</v>
      </c>
      <c r="M45" s="24">
        <f>IFERROR(VLOOKUP(B45,'03. THIẾT BỊ'!$B$1:$S$836,12,0),"")</f>
        <v>0</v>
      </c>
      <c r="N45" s="25" t="str">
        <f>IFERROR(VLOOKUP(B45,'03. THIẾT BỊ'!$B$1:$S$836,13,0),"")</f>
        <v>THACO AGRI</v>
      </c>
      <c r="O45" s="24">
        <f>IFERROR(VLOOKUP(B45,'03. THIẾT BỊ'!$B$1:$S$836,14,0),"")</f>
        <v>0</v>
      </c>
      <c r="P45" s="25" t="str">
        <f>IFERROR(VLOOKUP(B45,'03. THIẾT BỊ'!$B$1:$S$836,15,0),"")</f>
        <v>CK-CGH</v>
      </c>
      <c r="Q45" s="23">
        <f>IFERROR(VLOOKUP(B45,'03. THIẾT BỊ'!$B$1:$S$836,16,0),"")</f>
        <v>2024</v>
      </c>
      <c r="R45" s="25" t="str">
        <f>IFERROR(VLOOKUP(B45,'03. THIẾT BỊ'!$B$1:$S$836,17,0),"")</f>
        <v>200x200x400</v>
      </c>
      <c r="S45" s="25">
        <f>IFERROR(VLOOKUP(B45,'03. THIẾT BỊ'!$B$1:$S$836,18,0),"")</f>
        <v>0</v>
      </c>
      <c r="T45" s="611"/>
    </row>
    <row r="46" customHeight="1" spans="1:20">
      <c r="A46" s="23">
        <f t="shared" si="1"/>
        <v>8</v>
      </c>
      <c r="B46" s="20" t="s">
        <v>3634</v>
      </c>
      <c r="C46" s="613">
        <f>IFERROR(VLOOKUP(B46,'03. THIẾT BỊ'!$B$1:$S$836,2,0),"")</f>
        <v>0</v>
      </c>
      <c r="D46" s="24" t="str">
        <f>IFERROR(VLOOKUP(B46,'03. THIẾT BỊ'!$B$1:$S$836,3,0),"")</f>
        <v>A23-GĐH-022</v>
      </c>
      <c r="E46" s="20" t="str">
        <f>IFERROR(VLOOKUP(B46,'03. THIẾT BỊ'!$B$1:$S$836,4,0),"")</f>
        <v>ĐQSD</v>
      </c>
      <c r="F46" s="20" t="str">
        <f>IFERROR(VLOOKUP(B46,'03. THIẾT BỊ'!$B$1:$S$836,5,0),"")</f>
        <v>Gàu định hình đào mương thoát nước</v>
      </c>
      <c r="G46" s="101" t="s">
        <v>6468</v>
      </c>
      <c r="H46" s="19" t="str">
        <f>IFERROR(VLOOKUP(B46,'03. THIẾT BỊ'!$B$1:$S$836,7,0),"")</f>
        <v>CGTC DP</v>
      </c>
      <c r="I46" s="610" t="str">
        <f>IFERROR(VLOOKUP(B46,'03. THIẾT BỊ'!$B$1:$S$836,8,0),"")</f>
        <v>16/08/2024</v>
      </c>
      <c r="J46" s="25"/>
      <c r="K46" s="19" t="str">
        <f>IFERROR(VLOOKUP(B46,'03. THIẾT BỊ'!$B$1:$S$836,10,0),"")</f>
        <v>Bình thường</v>
      </c>
      <c r="L46" s="25">
        <f>IFERROR(VLOOKUP(B46,'03. THIẾT BỊ'!$B$1:$S$836,11,0),"")</f>
        <v>0</v>
      </c>
      <c r="M46" s="24">
        <f>IFERROR(VLOOKUP(B46,'03. THIẾT BỊ'!$B$1:$S$836,12,0),"")</f>
        <v>0</v>
      </c>
      <c r="N46" s="25" t="str">
        <f>IFERROR(VLOOKUP(B46,'03. THIẾT BỊ'!$B$1:$S$836,13,0),"")</f>
        <v>THACO AGRI</v>
      </c>
      <c r="O46" s="24">
        <f>IFERROR(VLOOKUP(B46,'03. THIẾT BỊ'!$B$1:$S$836,14,0),"")</f>
        <v>0</v>
      </c>
      <c r="P46" s="25" t="str">
        <f>IFERROR(VLOOKUP(B46,'03. THIẾT BỊ'!$B$1:$S$836,15,0),"")</f>
        <v>CK-CGH</v>
      </c>
      <c r="Q46" s="23">
        <f>IFERROR(VLOOKUP(B46,'03. THIẾT BỊ'!$B$1:$S$836,16,0),"")</f>
        <v>2024</v>
      </c>
      <c r="R46" s="25" t="str">
        <f>IFERROR(VLOOKUP(B46,'03. THIẾT BỊ'!$B$1:$S$836,17,0),"")</f>
        <v>200x350x400</v>
      </c>
      <c r="S46" s="25">
        <f>IFERROR(VLOOKUP(B46,'03. THIẾT BỊ'!$B$1:$S$836,18,0),"")</f>
        <v>0</v>
      </c>
      <c r="T46" s="611"/>
    </row>
    <row r="47" customHeight="1" spans="1:20">
      <c r="A47" s="23">
        <f t="shared" si="1"/>
        <v>9</v>
      </c>
      <c r="B47" s="20" t="s">
        <v>3637</v>
      </c>
      <c r="C47" s="613">
        <f>IFERROR(VLOOKUP(B47,'03. THIẾT BỊ'!$B$1:$S$836,2,0),"")</f>
        <v>0</v>
      </c>
      <c r="D47" s="24" t="str">
        <f>IFERROR(VLOOKUP(B47,'03. THIẾT BỊ'!$B$1:$S$836,3,0),"")</f>
        <v>A23-GĐH-023</v>
      </c>
      <c r="E47" s="20" t="str">
        <f>IFERROR(VLOOKUP(B47,'03. THIẾT BỊ'!$B$1:$S$836,4,0),"")</f>
        <v>ĐQSD</v>
      </c>
      <c r="F47" s="20" t="str">
        <f>IFERROR(VLOOKUP(B47,'03. THIẾT BỊ'!$B$1:$S$836,5,0),"")</f>
        <v>Gàu định hình đào mương thoát nước</v>
      </c>
      <c r="G47" s="101" t="s">
        <v>6468</v>
      </c>
      <c r="H47" s="19" t="str">
        <f>IFERROR(VLOOKUP(B47,'03. THIẾT BỊ'!$B$1:$S$836,7,0),"")</f>
        <v>CGTC DP</v>
      </c>
      <c r="I47" s="610" t="str">
        <f>IFERROR(VLOOKUP(B47,'03. THIẾT BỊ'!$B$1:$S$836,8,0),"")</f>
        <v>16/08/2024</v>
      </c>
      <c r="J47" s="25"/>
      <c r="K47" s="19" t="str">
        <f>IFERROR(VLOOKUP(B47,'03. THIẾT BỊ'!$B$1:$S$836,10,0),"")</f>
        <v>Bình thường</v>
      </c>
      <c r="L47" s="25">
        <f>IFERROR(VLOOKUP(B47,'03. THIẾT BỊ'!$B$1:$S$836,11,0),"")</f>
        <v>0</v>
      </c>
      <c r="M47" s="24">
        <f>IFERROR(VLOOKUP(B47,'03. THIẾT BỊ'!$B$1:$S$836,12,0),"")</f>
        <v>0</v>
      </c>
      <c r="N47" s="25" t="str">
        <f>IFERROR(VLOOKUP(B47,'03. THIẾT BỊ'!$B$1:$S$836,13,0),"")</f>
        <v>THACO AGRI</v>
      </c>
      <c r="O47" s="24">
        <f>IFERROR(VLOOKUP(B47,'03. THIẾT BỊ'!$B$1:$S$836,14,0),"")</f>
        <v>0</v>
      </c>
      <c r="P47" s="25" t="str">
        <f>IFERROR(VLOOKUP(B47,'03. THIẾT BỊ'!$B$1:$S$836,15,0),"")</f>
        <v>CK-CGH</v>
      </c>
      <c r="Q47" s="23">
        <f>IFERROR(VLOOKUP(B47,'03. THIẾT BỊ'!$B$1:$S$836,16,0),"")</f>
        <v>2024</v>
      </c>
      <c r="R47" s="25" t="str">
        <f>IFERROR(VLOOKUP(B47,'03. THIẾT BỊ'!$B$1:$S$836,17,0),"")</f>
        <v>350x200x400</v>
      </c>
      <c r="S47" s="25">
        <f>IFERROR(VLOOKUP(B47,'03. THIẾT BỊ'!$B$1:$S$836,18,0),"")</f>
        <v>0</v>
      </c>
      <c r="T47" s="611"/>
    </row>
    <row r="48" customHeight="1" spans="1:20">
      <c r="A48" s="23">
        <f t="shared" si="1"/>
        <v>10</v>
      </c>
      <c r="B48" s="20" t="s">
        <v>3640</v>
      </c>
      <c r="C48" s="613">
        <f>IFERROR(VLOOKUP(B48,'03. THIẾT BỊ'!$B$1:$S$836,2,0),"")</f>
        <v>0</v>
      </c>
      <c r="D48" s="24" t="str">
        <f>IFERROR(VLOOKUP(B48,'03. THIẾT BỊ'!$B$1:$S$836,3,0),"")</f>
        <v>A23-GĐH-024</v>
      </c>
      <c r="E48" s="20" t="str">
        <f>IFERROR(VLOOKUP(B48,'03. THIẾT BỊ'!$B$1:$S$836,4,0),"")</f>
        <v>ĐQSD</v>
      </c>
      <c r="F48" s="20" t="str">
        <f>IFERROR(VLOOKUP(B48,'03. THIẾT BỊ'!$B$1:$S$836,5,0),"")</f>
        <v>Gàu định hình đào mương thoát nước</v>
      </c>
      <c r="G48" s="101" t="s">
        <v>6468</v>
      </c>
      <c r="H48" s="19" t="str">
        <f>IFERROR(VLOOKUP(B48,'03. THIẾT BỊ'!$B$1:$S$836,7,0),"")</f>
        <v>CGTC DP</v>
      </c>
      <c r="I48" s="610" t="str">
        <f>IFERROR(VLOOKUP(B48,'03. THIẾT BỊ'!$B$1:$S$836,8,0),"")</f>
        <v>16/08/2024</v>
      </c>
      <c r="J48" s="25"/>
      <c r="K48" s="19" t="str">
        <f>IFERROR(VLOOKUP(B48,'03. THIẾT BỊ'!$B$1:$S$836,10,0),"")</f>
        <v>Bình thường</v>
      </c>
      <c r="L48" s="25">
        <f>IFERROR(VLOOKUP(B48,'03. THIẾT BỊ'!$B$1:$S$836,11,0),"")</f>
        <v>0</v>
      </c>
      <c r="M48" s="24">
        <f>IFERROR(VLOOKUP(B48,'03. THIẾT BỊ'!$B$1:$S$836,12,0),"")</f>
        <v>0</v>
      </c>
      <c r="N48" s="25" t="str">
        <f>IFERROR(VLOOKUP(B48,'03. THIẾT BỊ'!$B$1:$S$836,13,0),"")</f>
        <v>THACO AGRI</v>
      </c>
      <c r="O48" s="24">
        <f>IFERROR(VLOOKUP(B48,'03. THIẾT BỊ'!$B$1:$S$836,14,0),"")</f>
        <v>0</v>
      </c>
      <c r="P48" s="25" t="str">
        <f>IFERROR(VLOOKUP(B48,'03. THIẾT BỊ'!$B$1:$S$836,15,0),"")</f>
        <v>CK-CGH</v>
      </c>
      <c r="Q48" s="23">
        <f>IFERROR(VLOOKUP(B48,'03. THIẾT BỊ'!$B$1:$S$836,16,0),"")</f>
        <v>2024</v>
      </c>
      <c r="R48" s="25" t="str">
        <f>IFERROR(VLOOKUP(B48,'03. THIẾT BỊ'!$B$1:$S$836,17,0),"")</f>
        <v>350x200x400</v>
      </c>
      <c r="S48" s="25">
        <f>IFERROR(VLOOKUP(B48,'03. THIẾT BỊ'!$B$1:$S$836,18,0),"")</f>
        <v>0</v>
      </c>
      <c r="T48" s="611"/>
    </row>
    <row r="49" customHeight="1" spans="1:20">
      <c r="A49" s="23">
        <f t="shared" si="1"/>
        <v>11</v>
      </c>
      <c r="B49" s="20" t="s">
        <v>3642</v>
      </c>
      <c r="C49" s="613">
        <f>IFERROR(VLOOKUP(B49,'03. THIẾT BỊ'!$B$1:$S$836,2,0),"")</f>
        <v>0</v>
      </c>
      <c r="D49" s="24" t="str">
        <f>IFERROR(VLOOKUP(B49,'03. THIẾT BỊ'!$B$1:$S$836,3,0),"")</f>
        <v>A23-GĐH-025</v>
      </c>
      <c r="E49" s="20" t="str">
        <f>IFERROR(VLOOKUP(B49,'03. THIẾT BỊ'!$B$1:$S$836,4,0),"")</f>
        <v>ĐQSD</v>
      </c>
      <c r="F49" s="20" t="str">
        <f>IFERROR(VLOOKUP(B49,'03. THIẾT BỊ'!$B$1:$S$836,5,0),"")</f>
        <v>Gàu định hình đào mương thoát nước</v>
      </c>
      <c r="G49" s="101" t="s">
        <v>6468</v>
      </c>
      <c r="H49" s="19" t="str">
        <f>IFERROR(VLOOKUP(B49,'03. THIẾT BỊ'!$B$1:$S$836,7,0),"")</f>
        <v>CGTC DP</v>
      </c>
      <c r="I49" s="610" t="str">
        <f>IFERROR(VLOOKUP(B49,'03. THIẾT BỊ'!$B$1:$S$836,8,0),"")</f>
        <v>16/08/2024</v>
      </c>
      <c r="J49" s="25"/>
      <c r="K49" s="19" t="str">
        <f>IFERROR(VLOOKUP(B49,'03. THIẾT BỊ'!$B$1:$S$836,10,0),"")</f>
        <v>Bình thường</v>
      </c>
      <c r="L49" s="25">
        <f>IFERROR(VLOOKUP(B49,'03. THIẾT BỊ'!$B$1:$S$836,11,0),"")</f>
        <v>0</v>
      </c>
      <c r="M49" s="24">
        <f>IFERROR(VLOOKUP(B49,'03. THIẾT BỊ'!$B$1:$S$836,12,0),"")</f>
        <v>0</v>
      </c>
      <c r="N49" s="25" t="str">
        <f>IFERROR(VLOOKUP(B49,'03. THIẾT BỊ'!$B$1:$S$836,13,0),"")</f>
        <v>THACO AGRI</v>
      </c>
      <c r="O49" s="24">
        <f>IFERROR(VLOOKUP(B49,'03. THIẾT BỊ'!$B$1:$S$836,14,0),"")</f>
        <v>0</v>
      </c>
      <c r="P49" s="25" t="str">
        <f>IFERROR(VLOOKUP(B49,'03. THIẾT BỊ'!$B$1:$S$836,15,0),"")</f>
        <v>CK-CGH</v>
      </c>
      <c r="Q49" s="23">
        <f>IFERROR(VLOOKUP(B49,'03. THIẾT BỊ'!$B$1:$S$836,16,0),"")</f>
        <v>2024</v>
      </c>
      <c r="R49" s="25" t="str">
        <f>IFERROR(VLOOKUP(B49,'03. THIẾT BỊ'!$B$1:$S$836,17,0),"")</f>
        <v>350x200x400</v>
      </c>
      <c r="S49" s="25">
        <f>IFERROR(VLOOKUP(B49,'03. THIẾT BỊ'!$B$1:$S$836,18,0),"")</f>
        <v>0</v>
      </c>
      <c r="T49" s="611"/>
    </row>
    <row r="50" customHeight="1" spans="1:20">
      <c r="A50" s="23">
        <f t="shared" si="1"/>
        <v>12</v>
      </c>
      <c r="B50" s="20" t="s">
        <v>3644</v>
      </c>
      <c r="C50" s="613">
        <f>IFERROR(VLOOKUP(B50,'03. THIẾT BỊ'!$B$1:$S$836,2,0),"")</f>
        <v>0</v>
      </c>
      <c r="D50" s="24" t="str">
        <f>IFERROR(VLOOKUP(B50,'03. THIẾT BỊ'!$B$1:$S$836,3,0),"")</f>
        <v>A23-GĐH-028</v>
      </c>
      <c r="E50" s="20" t="str">
        <f>IFERROR(VLOOKUP(B50,'03. THIẾT BỊ'!$B$1:$S$836,4,0),"")</f>
        <v>ĐQSD</v>
      </c>
      <c r="F50" s="20" t="str">
        <f>IFERROR(VLOOKUP(B50,'03. THIẾT BỊ'!$B$1:$S$836,5,0),"")</f>
        <v>Gàu định hình đào mương thoát nước</v>
      </c>
      <c r="G50" s="101" t="s">
        <v>6468</v>
      </c>
      <c r="H50" s="19" t="str">
        <f>IFERROR(VLOOKUP(B50,'03. THIẾT BỊ'!$B$1:$S$836,7,0),"")</f>
        <v>CGTC DP</v>
      </c>
      <c r="I50" s="610" t="str">
        <f>IFERROR(VLOOKUP(B50,'03. THIẾT BỊ'!$B$1:$S$836,8,0),"")</f>
        <v>17/08/2024</v>
      </c>
      <c r="J50" s="25"/>
      <c r="K50" s="19" t="str">
        <f>IFERROR(VLOOKUP(B50,'03. THIẾT BỊ'!$B$1:$S$836,10,0),"")</f>
        <v>Bình thường</v>
      </c>
      <c r="L50" s="25">
        <f>IFERROR(VLOOKUP(B50,'03. THIẾT BỊ'!$B$1:$S$836,11,0),"")</f>
        <v>0</v>
      </c>
      <c r="M50" s="24">
        <f>IFERROR(VLOOKUP(B50,'03. THIẾT BỊ'!$B$1:$S$836,12,0),"")</f>
        <v>0</v>
      </c>
      <c r="N50" s="25" t="str">
        <f>IFERROR(VLOOKUP(B50,'03. THIẾT BỊ'!$B$1:$S$836,13,0),"")</f>
        <v>THACO AGRI</v>
      </c>
      <c r="O50" s="24">
        <f>IFERROR(VLOOKUP(B50,'03. THIẾT BỊ'!$B$1:$S$836,14,0),"")</f>
        <v>0</v>
      </c>
      <c r="P50" s="25" t="str">
        <f>IFERROR(VLOOKUP(B50,'03. THIẾT BỊ'!$B$1:$S$836,15,0),"")</f>
        <v>CK-CGH</v>
      </c>
      <c r="Q50" s="23">
        <f>IFERROR(VLOOKUP(B50,'03. THIẾT BỊ'!$B$1:$S$836,16,0),"")</f>
        <v>2024</v>
      </c>
      <c r="R50" s="25" t="str">
        <f>IFERROR(VLOOKUP(B50,'03. THIẾT BỊ'!$B$1:$S$836,17,0),"")</f>
        <v>1200x1000x400</v>
      </c>
      <c r="S50" s="25">
        <f>IFERROR(VLOOKUP(B50,'03. THIẾT BỊ'!$B$1:$S$836,18,0),"")</f>
        <v>0</v>
      </c>
      <c r="T50" s="611"/>
    </row>
    <row r="51" customHeight="1" spans="1:20">
      <c r="A51" s="23">
        <f t="shared" si="1"/>
        <v>13</v>
      </c>
      <c r="B51" s="20" t="s">
        <v>3648</v>
      </c>
      <c r="C51" s="613">
        <f>IFERROR(VLOOKUP(B51,'03. THIẾT BỊ'!$B$1:$S$836,2,0),"")</f>
        <v>0</v>
      </c>
      <c r="D51" s="24" t="str">
        <f>IFERROR(VLOOKUP(B51,'03. THIẾT BỊ'!$B$1:$S$836,3,0),"")</f>
        <v>A23-GĐH-031</v>
      </c>
      <c r="E51" s="20" t="str">
        <f>IFERROR(VLOOKUP(B51,'03. THIẾT BỊ'!$B$1:$S$836,4,0),"")</f>
        <v>ĐQSD</v>
      </c>
      <c r="F51" s="20" t="str">
        <f>IFERROR(VLOOKUP(B51,'03. THIẾT BỊ'!$B$1:$S$836,5,0),"")</f>
        <v>Gàu định hình đào mương thoát nước</v>
      </c>
      <c r="G51" s="101" t="s">
        <v>6468</v>
      </c>
      <c r="H51" s="19" t="str">
        <f>IFERROR(VLOOKUP(B51,'03. THIẾT BỊ'!$B$1:$S$836,7,0),"")</f>
        <v>CGTC DP</v>
      </c>
      <c r="I51" s="610">
        <f>IFERROR(VLOOKUP(B51,'03. THIẾT BỊ'!$B$1:$S$836,8,0),"")</f>
        <v>45360</v>
      </c>
      <c r="J51" s="25"/>
      <c r="K51" s="19" t="str">
        <f>IFERROR(VLOOKUP(B51,'03. THIẾT BỊ'!$B$1:$S$836,10,0),"")</f>
        <v>Bình thường</v>
      </c>
      <c r="L51" s="25">
        <f>IFERROR(VLOOKUP(B51,'03. THIẾT BỊ'!$B$1:$S$836,11,0),"")</f>
        <v>0</v>
      </c>
      <c r="M51" s="24">
        <f>IFERROR(VLOOKUP(B51,'03. THIẾT BỊ'!$B$1:$S$836,12,0),"")</f>
        <v>0</v>
      </c>
      <c r="N51" s="25" t="str">
        <f>IFERROR(VLOOKUP(B51,'03. THIẾT BỊ'!$B$1:$S$836,13,0),"")</f>
        <v>THACO AGRI</v>
      </c>
      <c r="O51" s="24">
        <f>IFERROR(VLOOKUP(B51,'03. THIẾT BỊ'!$B$1:$S$836,14,0),"")</f>
        <v>0</v>
      </c>
      <c r="P51" s="25" t="str">
        <f>IFERROR(VLOOKUP(B51,'03. THIẾT BỊ'!$B$1:$S$836,15,0),"")</f>
        <v>CK-CGH</v>
      </c>
      <c r="Q51" s="23">
        <f>IFERROR(VLOOKUP(B51,'03. THIẾT BỊ'!$B$1:$S$836,16,0),"")</f>
        <v>2024</v>
      </c>
      <c r="R51" s="25" t="str">
        <f>IFERROR(VLOOKUP(B51,'03. THIẾT BỊ'!$B$1:$S$836,17,0),"")</f>
        <v>350x200x400</v>
      </c>
      <c r="S51" s="25">
        <f>IFERROR(VLOOKUP(B51,'03. THIẾT BỊ'!$B$1:$S$836,18,0),"")</f>
        <v>0</v>
      </c>
      <c r="T51" s="611"/>
    </row>
    <row r="52" customHeight="1" spans="1:20">
      <c r="A52" s="23">
        <f t="shared" si="1"/>
        <v>14</v>
      </c>
      <c r="B52" s="20" t="s">
        <v>3650</v>
      </c>
      <c r="C52" s="613">
        <f>IFERROR(VLOOKUP(B52,'03. THIẾT BỊ'!$B$1:$S$836,2,0),"")</f>
        <v>0</v>
      </c>
      <c r="D52" s="24" t="str">
        <f>IFERROR(VLOOKUP(B52,'03. THIẾT BỊ'!$B$1:$S$836,3,0),"")</f>
        <v>A23-GĐH-032</v>
      </c>
      <c r="E52" s="20" t="str">
        <f>IFERROR(VLOOKUP(B52,'03. THIẾT BỊ'!$B$1:$S$836,4,0),"")</f>
        <v>ĐQSD</v>
      </c>
      <c r="F52" s="20" t="str">
        <f>IFERROR(VLOOKUP(B52,'03. THIẾT BỊ'!$B$1:$S$836,5,0),"")</f>
        <v>Gàu định hình đào mương thoát nước</v>
      </c>
      <c r="G52" s="101" t="s">
        <v>6468</v>
      </c>
      <c r="H52" s="19" t="str">
        <f>IFERROR(VLOOKUP(B52,'03. THIẾT BỊ'!$B$1:$S$836,7,0),"")</f>
        <v>CGTC DP</v>
      </c>
      <c r="I52" s="610">
        <f>IFERROR(VLOOKUP(B52,'03. THIẾT BỊ'!$B$1:$S$836,8,0),"")</f>
        <v>45360</v>
      </c>
      <c r="J52" s="25"/>
      <c r="K52" s="19" t="str">
        <f>IFERROR(VLOOKUP(B52,'03. THIẾT BỊ'!$B$1:$S$836,10,0),"")</f>
        <v>Bình thường</v>
      </c>
      <c r="L52" s="25">
        <f>IFERROR(VLOOKUP(B52,'03. THIẾT BỊ'!$B$1:$S$836,11,0),"")</f>
        <v>0</v>
      </c>
      <c r="M52" s="24">
        <f>IFERROR(VLOOKUP(B52,'03. THIẾT BỊ'!$B$1:$S$836,12,0),"")</f>
        <v>0</v>
      </c>
      <c r="N52" s="25" t="str">
        <f>IFERROR(VLOOKUP(B52,'03. THIẾT BỊ'!$B$1:$S$836,13,0),"")</f>
        <v>THACO AGRI</v>
      </c>
      <c r="O52" s="24">
        <f>IFERROR(VLOOKUP(B52,'03. THIẾT BỊ'!$B$1:$S$836,14,0),"")</f>
        <v>0</v>
      </c>
      <c r="P52" s="25" t="str">
        <f>IFERROR(VLOOKUP(B52,'03. THIẾT BỊ'!$B$1:$S$836,15,0),"")</f>
        <v>CK-CGH</v>
      </c>
      <c r="Q52" s="23">
        <f>IFERROR(VLOOKUP(B52,'03. THIẾT BỊ'!$B$1:$S$836,16,0),"")</f>
        <v>2024</v>
      </c>
      <c r="R52" s="25" t="str">
        <f>IFERROR(VLOOKUP(B52,'03. THIẾT BỊ'!$B$1:$S$836,17,0),"")</f>
        <v>350x200x400</v>
      </c>
      <c r="S52" s="25">
        <f>IFERROR(VLOOKUP(B52,'03. THIẾT BỊ'!$B$1:$S$836,18,0),"")</f>
        <v>0</v>
      </c>
      <c r="T52" s="611"/>
    </row>
    <row r="53" customHeight="1" spans="1:20">
      <c r="A53" s="23">
        <f t="shared" si="1"/>
        <v>15</v>
      </c>
      <c r="B53" s="20" t="s">
        <v>3652</v>
      </c>
      <c r="C53" s="613">
        <f>IFERROR(VLOOKUP(B53,'03. THIẾT BỊ'!$B$1:$S$836,2,0),"")</f>
        <v>0</v>
      </c>
      <c r="D53" s="24" t="str">
        <f>IFERROR(VLOOKUP(B53,'03. THIẾT BỊ'!$B$1:$S$836,3,0),"")</f>
        <v>A23-GĐH-033</v>
      </c>
      <c r="E53" s="20" t="str">
        <f>IFERROR(VLOOKUP(B53,'03. THIẾT BỊ'!$B$1:$S$836,4,0),"")</f>
        <v>ĐQSD</v>
      </c>
      <c r="F53" s="20" t="str">
        <f>IFERROR(VLOOKUP(B53,'03. THIẾT BỊ'!$B$1:$S$836,5,0),"")</f>
        <v>Gàu định hình đào mương thoát nước</v>
      </c>
      <c r="G53" s="101" t="s">
        <v>6468</v>
      </c>
      <c r="H53" s="19" t="str">
        <f>IFERROR(VLOOKUP(B53,'03. THIẾT BỊ'!$B$1:$S$836,7,0),"")</f>
        <v>CGTC DP</v>
      </c>
      <c r="I53" s="610">
        <f>IFERROR(VLOOKUP(B53,'03. THIẾT BỊ'!$B$1:$S$836,8,0),"")</f>
        <v>45360</v>
      </c>
      <c r="J53" s="25"/>
      <c r="K53" s="19" t="str">
        <f>IFERROR(VLOOKUP(B53,'03. THIẾT BỊ'!$B$1:$S$836,10,0),"")</f>
        <v>Bình thường</v>
      </c>
      <c r="L53" s="25">
        <f>IFERROR(VLOOKUP(B53,'03. THIẾT BỊ'!$B$1:$S$836,11,0),"")</f>
        <v>0</v>
      </c>
      <c r="M53" s="24">
        <f>IFERROR(VLOOKUP(B53,'03. THIẾT BỊ'!$B$1:$S$836,12,0),"")</f>
        <v>0</v>
      </c>
      <c r="N53" s="25" t="str">
        <f>IFERROR(VLOOKUP(B53,'03. THIẾT BỊ'!$B$1:$S$836,13,0),"")</f>
        <v>THACO AGRI</v>
      </c>
      <c r="O53" s="24">
        <f>IFERROR(VLOOKUP(B53,'03. THIẾT BỊ'!$B$1:$S$836,14,0),"")</f>
        <v>0</v>
      </c>
      <c r="P53" s="25" t="str">
        <f>IFERROR(VLOOKUP(B53,'03. THIẾT BỊ'!$B$1:$S$836,15,0),"")</f>
        <v>CK-CGH</v>
      </c>
      <c r="Q53" s="23">
        <f>IFERROR(VLOOKUP(B53,'03. THIẾT BỊ'!$B$1:$S$836,16,0),"")</f>
        <v>2024</v>
      </c>
      <c r="R53" s="25" t="str">
        <f>IFERROR(VLOOKUP(B53,'03. THIẾT BỊ'!$B$1:$S$836,17,0),"")</f>
        <v>350x200x400</v>
      </c>
      <c r="S53" s="25">
        <f>IFERROR(VLOOKUP(B53,'03. THIẾT BỊ'!$B$1:$S$836,18,0),"")</f>
        <v>0</v>
      </c>
      <c r="T53" s="611"/>
    </row>
    <row r="54" customHeight="1" spans="1:20">
      <c r="A54" s="23">
        <f t="shared" si="1"/>
        <v>16</v>
      </c>
      <c r="B54" s="20" t="s">
        <v>3654</v>
      </c>
      <c r="C54" s="613">
        <f>IFERROR(VLOOKUP(B54,'03. THIẾT BỊ'!$B$1:$S$836,2,0),"")</f>
        <v>0</v>
      </c>
      <c r="D54" s="24" t="str">
        <f>IFERROR(VLOOKUP(B54,'03. THIẾT BỊ'!$B$1:$S$836,3,0),"")</f>
        <v>A24-GĐH-043</v>
      </c>
      <c r="E54" s="20" t="str">
        <f>IFERROR(VLOOKUP(B54,'03. THIẾT BỊ'!$B$1:$S$836,4,0),"")</f>
        <v>ĐQSD</v>
      </c>
      <c r="F54" s="20" t="str">
        <f>IFERROR(VLOOKUP(B54,'03. THIẾT BỊ'!$B$1:$S$836,5,0),"")</f>
        <v>Gàu định hình đào mương lô M1 (cải tiến)</v>
      </c>
      <c r="G54" s="101" t="s">
        <v>6468</v>
      </c>
      <c r="H54" s="19" t="str">
        <f>IFERROR(VLOOKUP(B54,'03. THIẾT BỊ'!$B$1:$S$836,7,0),"")</f>
        <v>CGTC DP</v>
      </c>
      <c r="I54" s="610" t="str">
        <f>IFERROR(VLOOKUP(B54,'03. THIẾT BỊ'!$B$1:$S$836,8,0),"")</f>
        <v>23/10/2024</v>
      </c>
      <c r="J54" s="25"/>
      <c r="K54" s="19" t="str">
        <f>IFERROR(VLOOKUP(B54,'03. THIẾT BỊ'!$B$1:$S$836,10,0),"")</f>
        <v>Bình thường</v>
      </c>
      <c r="L54" s="25">
        <f>IFERROR(VLOOKUP(B54,'03. THIẾT BỊ'!$B$1:$S$836,11,0),"")</f>
        <v>0</v>
      </c>
      <c r="M54" s="24">
        <f>IFERROR(VLOOKUP(B54,'03. THIẾT BỊ'!$B$1:$S$836,12,0),"")</f>
        <v>0</v>
      </c>
      <c r="N54" s="25" t="str">
        <f>IFERROR(VLOOKUP(B54,'03. THIẾT BỊ'!$B$1:$S$836,13,0),"")</f>
        <v>THACO AGRI</v>
      </c>
      <c r="O54" s="24" t="str">
        <f>IFERROR(VLOOKUP(B54,'03. THIẾT BỊ'!$B$1:$S$836,14,0),"")</f>
        <v>M1</v>
      </c>
      <c r="P54" s="25" t="str">
        <f>IFERROR(VLOOKUP(B54,'03. THIẾT BỊ'!$B$1:$S$836,15,0),"")</f>
        <v>CK-CGH</v>
      </c>
      <c r="Q54" s="23">
        <f>IFERROR(VLOOKUP(B54,'03. THIẾT BỊ'!$B$1:$S$836,16,0),"")</f>
        <v>2024</v>
      </c>
      <c r="R54" s="25" t="str">
        <f>IFERROR(VLOOKUP(B54,'03. THIẾT BỊ'!$B$1:$S$836,17,0),"")</f>
        <v>1200x400x1050</v>
      </c>
      <c r="S54" s="25">
        <f>IFERROR(VLOOKUP(B54,'03. THIẾT BỊ'!$B$1:$S$836,18,0),"")</f>
        <v>0</v>
      </c>
      <c r="T54" s="611"/>
    </row>
    <row r="55" customHeight="1" spans="1:20">
      <c r="A55" s="23">
        <f t="shared" si="1"/>
        <v>17</v>
      </c>
      <c r="B55" s="20" t="s">
        <v>3659</v>
      </c>
      <c r="C55" s="613">
        <f>IFERROR(VLOOKUP(B55,'03. THIẾT BỊ'!$B$1:$S$836,2,0),"")</f>
        <v>0</v>
      </c>
      <c r="D55" s="24" t="str">
        <f>IFERROR(VLOOKUP(B55,'03. THIẾT BỊ'!$B$1:$S$836,3,0),"")</f>
        <v>A24-GĐH-044</v>
      </c>
      <c r="E55" s="20" t="str">
        <f>IFERROR(VLOOKUP(B55,'03. THIẾT BỊ'!$B$1:$S$836,4,0),"")</f>
        <v>ĐQSD</v>
      </c>
      <c r="F55" s="20" t="str">
        <f>IFERROR(VLOOKUP(B55,'03. THIẾT BỊ'!$B$1:$S$836,5,0),"")</f>
        <v>Gàu định hình đào mương lô M1 (cải tiến)</v>
      </c>
      <c r="G55" s="101" t="s">
        <v>6468</v>
      </c>
      <c r="H55" s="19" t="str">
        <f>IFERROR(VLOOKUP(B55,'03. THIẾT BỊ'!$B$1:$S$836,7,0),"")</f>
        <v>CGTC DP</v>
      </c>
      <c r="I55" s="610" t="str">
        <f>IFERROR(VLOOKUP(B55,'03. THIẾT BỊ'!$B$1:$S$836,8,0),"")</f>
        <v>23/10/2024</v>
      </c>
      <c r="J55" s="25"/>
      <c r="K55" s="19" t="str">
        <f>IFERROR(VLOOKUP(B55,'03. THIẾT BỊ'!$B$1:$S$836,10,0),"")</f>
        <v>Bình thường</v>
      </c>
      <c r="L55" s="25">
        <f>IFERROR(VLOOKUP(B55,'03. THIẾT BỊ'!$B$1:$S$836,11,0),"")</f>
        <v>0</v>
      </c>
      <c r="M55" s="24">
        <f>IFERROR(VLOOKUP(B55,'03. THIẾT BỊ'!$B$1:$S$836,12,0),"")</f>
        <v>0</v>
      </c>
      <c r="N55" s="25" t="str">
        <f>IFERROR(VLOOKUP(B55,'03. THIẾT BỊ'!$B$1:$S$836,13,0),"")</f>
        <v>THACO AGRI</v>
      </c>
      <c r="O55" s="24" t="str">
        <f>IFERROR(VLOOKUP(B55,'03. THIẾT BỊ'!$B$1:$S$836,14,0),"")</f>
        <v>M1</v>
      </c>
      <c r="P55" s="25" t="str">
        <f>IFERROR(VLOOKUP(B55,'03. THIẾT BỊ'!$B$1:$S$836,15,0),"")</f>
        <v>CK-CGH</v>
      </c>
      <c r="Q55" s="23">
        <f>IFERROR(VLOOKUP(B55,'03. THIẾT BỊ'!$B$1:$S$836,16,0),"")</f>
        <v>2024</v>
      </c>
      <c r="R55" s="25" t="str">
        <f>IFERROR(VLOOKUP(B55,'03. THIẾT BỊ'!$B$1:$S$836,17,0),"")</f>
        <v>1200x400x1050</v>
      </c>
      <c r="S55" s="25">
        <f>IFERROR(VLOOKUP(B55,'03. THIẾT BỊ'!$B$1:$S$836,18,0),"")</f>
        <v>0</v>
      </c>
      <c r="T55" s="611"/>
    </row>
    <row r="56" customHeight="1" spans="1:20">
      <c r="A56" s="23">
        <f t="shared" si="1"/>
        <v>18</v>
      </c>
      <c r="B56" s="20" t="s">
        <v>3661</v>
      </c>
      <c r="C56" s="613">
        <f>IFERROR(VLOOKUP(B56,'03. THIẾT BỊ'!$B$1:$S$836,2,0),"")</f>
        <v>0</v>
      </c>
      <c r="D56" s="24" t="str">
        <f>IFERROR(VLOOKUP(B56,'03. THIẾT BỊ'!$B$1:$S$836,3,0),"")</f>
        <v>A24-GĐH-051</v>
      </c>
      <c r="E56" s="20" t="str">
        <f>IFERROR(VLOOKUP(B56,'03. THIẾT BỊ'!$B$1:$S$836,4,0),"")</f>
        <v>ĐQSD</v>
      </c>
      <c r="F56" s="20" t="str">
        <f>IFERROR(VLOOKUP(B56,'03. THIẾT BỊ'!$B$1:$S$836,5,0),"")</f>
        <v>Gàu định hình đào mương lô M1 (cải tiến)</v>
      </c>
      <c r="G56" s="101" t="s">
        <v>6468</v>
      </c>
      <c r="H56" s="19" t="str">
        <f>IFERROR(VLOOKUP(B56,'03. THIẾT BỊ'!$B$1:$S$836,7,0),"")</f>
        <v>CGTC DP</v>
      </c>
      <c r="I56" s="610" t="str">
        <f>IFERROR(VLOOKUP(B56,'03. THIẾT BỊ'!$B$1:$S$836,8,0),"")</f>
        <v>23/10/2024</v>
      </c>
      <c r="J56" s="25"/>
      <c r="K56" s="19" t="str">
        <f>IFERROR(VLOOKUP(B56,'03. THIẾT BỊ'!$B$1:$S$836,10,0),"")</f>
        <v>Bình thường</v>
      </c>
      <c r="L56" s="25">
        <f>IFERROR(VLOOKUP(B56,'03. THIẾT BỊ'!$B$1:$S$836,11,0),"")</f>
        <v>0</v>
      </c>
      <c r="M56" s="24">
        <f>IFERROR(VLOOKUP(B56,'03. THIẾT BỊ'!$B$1:$S$836,12,0),"")</f>
        <v>0</v>
      </c>
      <c r="N56" s="25" t="str">
        <f>IFERROR(VLOOKUP(B56,'03. THIẾT BỊ'!$B$1:$S$836,13,0),"")</f>
        <v>THACO AGRI</v>
      </c>
      <c r="O56" s="24" t="str">
        <f>IFERROR(VLOOKUP(B56,'03. THIẾT BỊ'!$B$1:$S$836,14,0),"")</f>
        <v>M1</v>
      </c>
      <c r="P56" s="25" t="str">
        <f>IFERROR(VLOOKUP(B56,'03. THIẾT BỊ'!$B$1:$S$836,15,0),"")</f>
        <v>CK-CGH</v>
      </c>
      <c r="Q56" s="23">
        <f>IFERROR(VLOOKUP(B56,'03. THIẾT BỊ'!$B$1:$S$836,16,0),"")</f>
        <v>2024</v>
      </c>
      <c r="R56" s="25" t="str">
        <f>IFERROR(VLOOKUP(B56,'03. THIẾT BỊ'!$B$1:$S$836,17,0),"")</f>
        <v>1200x400x1050</v>
      </c>
      <c r="S56" s="25">
        <f>IFERROR(VLOOKUP(B56,'03. THIẾT BỊ'!$B$1:$S$836,18,0),"")</f>
        <v>0</v>
      </c>
      <c r="T56" s="611"/>
    </row>
    <row r="57" customHeight="1" spans="1:20">
      <c r="A57" s="23">
        <f t="shared" si="1"/>
        <v>19</v>
      </c>
      <c r="B57" s="20" t="s">
        <v>3663</v>
      </c>
      <c r="C57" s="613">
        <f>IFERROR(VLOOKUP(B57,'03. THIẾT BỊ'!$B$1:$S$836,2,0),"")</f>
        <v>0</v>
      </c>
      <c r="D57" s="24" t="str">
        <f>IFERROR(VLOOKUP(B57,'03. THIẾT BỊ'!$B$1:$S$836,3,0),"")</f>
        <v>A24-GĐH-052</v>
      </c>
      <c r="E57" s="20" t="str">
        <f>IFERROR(VLOOKUP(B57,'03. THIẾT BỊ'!$B$1:$S$836,4,0),"")</f>
        <v>ĐQSD</v>
      </c>
      <c r="F57" s="20" t="str">
        <f>IFERROR(VLOOKUP(B57,'03. THIẾT BỊ'!$B$1:$S$836,5,0),"")</f>
        <v>Gàu định hình đào mương lô M1 (cải tiến)</v>
      </c>
      <c r="G57" s="101" t="s">
        <v>6468</v>
      </c>
      <c r="H57" s="19" t="str">
        <f>IFERROR(VLOOKUP(B57,'03. THIẾT BỊ'!$B$1:$S$836,7,0),"")</f>
        <v>CGTC DP</v>
      </c>
      <c r="I57" s="610" t="str">
        <f>IFERROR(VLOOKUP(B57,'03. THIẾT BỊ'!$B$1:$S$836,8,0),"")</f>
        <v>23/10/2024</v>
      </c>
      <c r="J57" s="25"/>
      <c r="K57" s="19" t="str">
        <f>IFERROR(VLOOKUP(B57,'03. THIẾT BỊ'!$B$1:$S$836,10,0),"")</f>
        <v>Bình thường</v>
      </c>
      <c r="L57" s="25">
        <f>IFERROR(VLOOKUP(B57,'03. THIẾT BỊ'!$B$1:$S$836,11,0),"")</f>
        <v>0</v>
      </c>
      <c r="M57" s="24">
        <f>IFERROR(VLOOKUP(B57,'03. THIẾT BỊ'!$B$1:$S$836,12,0),"")</f>
        <v>0</v>
      </c>
      <c r="N57" s="25" t="str">
        <f>IFERROR(VLOOKUP(B57,'03. THIẾT BỊ'!$B$1:$S$836,13,0),"")</f>
        <v>THACO AGRI</v>
      </c>
      <c r="O57" s="24" t="str">
        <f>IFERROR(VLOOKUP(B57,'03. THIẾT BỊ'!$B$1:$S$836,14,0),"")</f>
        <v>M1</v>
      </c>
      <c r="P57" s="25" t="str">
        <f>IFERROR(VLOOKUP(B57,'03. THIẾT BỊ'!$B$1:$S$836,15,0),"")</f>
        <v>CK-CGH</v>
      </c>
      <c r="Q57" s="23">
        <f>IFERROR(VLOOKUP(B57,'03. THIẾT BỊ'!$B$1:$S$836,16,0),"")</f>
        <v>2024</v>
      </c>
      <c r="R57" s="25" t="str">
        <f>IFERROR(VLOOKUP(B57,'03. THIẾT BỊ'!$B$1:$S$836,17,0),"")</f>
        <v>1200x400x1050</v>
      </c>
      <c r="S57" s="25">
        <f>IFERROR(VLOOKUP(B57,'03. THIẾT BỊ'!$B$1:$S$836,18,0),"")</f>
        <v>0</v>
      </c>
      <c r="T57" s="611"/>
    </row>
    <row r="58" customHeight="1" spans="1:20">
      <c r="A58" s="23">
        <f t="shared" si="1"/>
        <v>20</v>
      </c>
      <c r="B58" s="20" t="s">
        <v>3665</v>
      </c>
      <c r="C58" s="613">
        <f>IFERROR(VLOOKUP(B58,'03. THIẾT BỊ'!$B$1:$S$836,2,0),"")</f>
        <v>0</v>
      </c>
      <c r="D58" s="24" t="str">
        <f>IFERROR(VLOOKUP(B58,'03. THIẾT BỊ'!$B$1:$S$836,3,0),"")</f>
        <v>A24-GĐH-053</v>
      </c>
      <c r="E58" s="20" t="str">
        <f>IFERROR(VLOOKUP(B58,'03. THIẾT BỊ'!$B$1:$S$836,4,0),"")</f>
        <v>ĐQSD</v>
      </c>
      <c r="F58" s="20" t="str">
        <f>IFERROR(VLOOKUP(B58,'03. THIẾT BỊ'!$B$1:$S$836,5,0),"")</f>
        <v>Gàu định hình đào mương lô M1 (cải tiến)</v>
      </c>
      <c r="G58" s="101" t="s">
        <v>6468</v>
      </c>
      <c r="H58" s="19" t="str">
        <f>IFERROR(VLOOKUP(B58,'03. THIẾT BỊ'!$B$1:$S$836,7,0),"")</f>
        <v>CGTC DP</v>
      </c>
      <c r="I58" s="610" t="str">
        <f>IFERROR(VLOOKUP(B58,'03. THIẾT BỊ'!$B$1:$S$836,8,0),"")</f>
        <v>23/10/2024</v>
      </c>
      <c r="J58" s="25"/>
      <c r="K58" s="19" t="str">
        <f>IFERROR(VLOOKUP(B58,'03. THIẾT BỊ'!$B$1:$S$836,10,0),"")</f>
        <v>Bình thường</v>
      </c>
      <c r="L58" s="25">
        <f>IFERROR(VLOOKUP(B58,'03. THIẾT BỊ'!$B$1:$S$836,11,0),"")</f>
        <v>0</v>
      </c>
      <c r="M58" s="24">
        <f>IFERROR(VLOOKUP(B58,'03. THIẾT BỊ'!$B$1:$S$836,12,0),"")</f>
        <v>0</v>
      </c>
      <c r="N58" s="25" t="str">
        <f>IFERROR(VLOOKUP(B58,'03. THIẾT BỊ'!$B$1:$S$836,13,0),"")</f>
        <v>THACO AGRI</v>
      </c>
      <c r="O58" s="24" t="str">
        <f>IFERROR(VLOOKUP(B58,'03. THIẾT BỊ'!$B$1:$S$836,14,0),"")</f>
        <v>M1</v>
      </c>
      <c r="P58" s="25" t="str">
        <f>IFERROR(VLOOKUP(B58,'03. THIẾT BỊ'!$B$1:$S$836,15,0),"")</f>
        <v>CK-CGH</v>
      </c>
      <c r="Q58" s="23">
        <f>IFERROR(VLOOKUP(B58,'03. THIẾT BỊ'!$B$1:$S$836,16,0),"")</f>
        <v>2024</v>
      </c>
      <c r="R58" s="25" t="str">
        <f>IFERROR(VLOOKUP(B58,'03. THIẾT BỊ'!$B$1:$S$836,17,0),"")</f>
        <v>1200x400x1050</v>
      </c>
      <c r="S58" s="25">
        <f>IFERROR(VLOOKUP(B58,'03. THIẾT BỊ'!$B$1:$S$836,18,0),"")</f>
        <v>0</v>
      </c>
      <c r="T58" s="611"/>
    </row>
    <row r="59" customHeight="1" spans="1:20">
      <c r="A59" s="23">
        <f t="shared" si="1"/>
        <v>21</v>
      </c>
      <c r="B59" s="20" t="s">
        <v>3667</v>
      </c>
      <c r="C59" s="613">
        <f>IFERROR(VLOOKUP(B59,'03. THIẾT BỊ'!$B$1:$S$836,2,0),"")</f>
        <v>0</v>
      </c>
      <c r="D59" s="24" t="str">
        <f>IFERROR(VLOOKUP(B59,'03. THIẾT BỊ'!$B$1:$S$836,3,0),"")</f>
        <v>A23-GĐH-069</v>
      </c>
      <c r="E59" s="20" t="str">
        <f>IFERROR(VLOOKUP(B59,'03. THIẾT BỊ'!$B$1:$S$836,4,0),"")</f>
        <v>ĐQSD</v>
      </c>
      <c r="F59" s="20" t="str">
        <f>IFERROR(VLOOKUP(B59,'03. THIẾT BỊ'!$B$1:$S$836,5,0),"")</f>
        <v>Gàu định hình đào mương thửa M1</v>
      </c>
      <c r="G59" s="101" t="s">
        <v>6468</v>
      </c>
      <c r="H59" s="19" t="str">
        <f>IFERROR(VLOOKUP(B59,'03. THIẾT BỊ'!$B$1:$S$836,7,0),"")</f>
        <v>CGTC DP</v>
      </c>
      <c r="I59" s="610">
        <f>IFERROR(VLOOKUP(B59,'03. THIẾT BỊ'!$B$1:$S$836,8,0),"")</f>
        <v>45751</v>
      </c>
      <c r="J59" s="25"/>
      <c r="K59" s="19" t="str">
        <f>IFERROR(VLOOKUP(B59,'03. THIẾT BỊ'!$B$1:$S$836,10,0),"")</f>
        <v>Bình thường</v>
      </c>
      <c r="L59" s="25">
        <f>IFERROR(VLOOKUP(B59,'03. THIẾT BỊ'!$B$1:$S$836,11,0),"")</f>
        <v>0</v>
      </c>
      <c r="M59" s="24">
        <f>IFERROR(VLOOKUP(B59,'03. THIẾT BỊ'!$B$1:$S$836,12,0),"")</f>
        <v>0</v>
      </c>
      <c r="N59" s="25" t="str">
        <f>IFERROR(VLOOKUP(B59,'03. THIẾT BỊ'!$B$1:$S$836,13,0),"")</f>
        <v>THACO AGRI</v>
      </c>
      <c r="O59" s="24" t="str">
        <f>IFERROR(VLOOKUP(B59,'03. THIẾT BỊ'!$B$1:$S$836,14,0),"")</f>
        <v>M1</v>
      </c>
      <c r="P59" s="25" t="str">
        <f>IFERROR(VLOOKUP(B59,'03. THIẾT BỊ'!$B$1:$S$836,15,0),"")</f>
        <v>CK-CGH</v>
      </c>
      <c r="Q59" s="23">
        <f>IFERROR(VLOOKUP(B59,'03. THIẾT BỊ'!$B$1:$S$836,16,0),"")</f>
        <v>2025</v>
      </c>
      <c r="R59" s="25" t="str">
        <f>IFERROR(VLOOKUP(B59,'03. THIẾT BỊ'!$B$1:$S$836,17,0),"")</f>
        <v>1200x400x1200</v>
      </c>
      <c r="S59" s="25">
        <f>IFERROR(VLOOKUP(B59,'03. THIẾT BỊ'!$B$1:$S$836,18,0),"")</f>
        <v>0</v>
      </c>
      <c r="T59" s="611"/>
    </row>
    <row r="60" customHeight="1" spans="1:20">
      <c r="A60" s="23">
        <f t="shared" si="1"/>
        <v>22</v>
      </c>
      <c r="B60" s="20" t="s">
        <v>3671</v>
      </c>
      <c r="C60" s="613">
        <f>IFERROR(VLOOKUP(B60,'03. THIẾT BỊ'!$B$1:$S$836,2,0),"")</f>
        <v>0</v>
      </c>
      <c r="D60" s="24" t="str">
        <f>IFERROR(VLOOKUP(B60,'03. THIẾT BỊ'!$B$1:$S$836,3,0),"")</f>
        <v>A23-GĐH-070</v>
      </c>
      <c r="E60" s="20" t="str">
        <f>IFERROR(VLOOKUP(B60,'03. THIẾT BỊ'!$B$1:$S$836,4,0),"")</f>
        <v>ĐQSD</v>
      </c>
      <c r="F60" s="20" t="str">
        <f>IFERROR(VLOOKUP(B60,'03. THIẾT BỊ'!$B$1:$S$836,5,0),"")</f>
        <v>Gàu định hình đào mương thửa M1</v>
      </c>
      <c r="G60" s="101" t="s">
        <v>6468</v>
      </c>
      <c r="H60" s="19" t="str">
        <f>IFERROR(VLOOKUP(B60,'03. THIẾT BỊ'!$B$1:$S$836,7,0),"")</f>
        <v>CGTC DP</v>
      </c>
      <c r="I60" s="610">
        <f>IFERROR(VLOOKUP(B60,'03. THIẾT BỊ'!$B$1:$S$836,8,0),"")</f>
        <v>45751</v>
      </c>
      <c r="J60" s="25"/>
      <c r="K60" s="19" t="str">
        <f>IFERROR(VLOOKUP(B60,'03. THIẾT BỊ'!$B$1:$S$836,10,0),"")</f>
        <v>Bình thường</v>
      </c>
      <c r="L60" s="25">
        <f>IFERROR(VLOOKUP(B60,'03. THIẾT BỊ'!$B$1:$S$836,11,0),"")</f>
        <v>0</v>
      </c>
      <c r="M60" s="24">
        <f>IFERROR(VLOOKUP(B60,'03. THIẾT BỊ'!$B$1:$S$836,12,0),"")</f>
        <v>0</v>
      </c>
      <c r="N60" s="25" t="str">
        <f>IFERROR(VLOOKUP(B60,'03. THIẾT BỊ'!$B$1:$S$836,13,0),"")</f>
        <v>THACO AGRI</v>
      </c>
      <c r="O60" s="24" t="str">
        <f>IFERROR(VLOOKUP(B60,'03. THIẾT BỊ'!$B$1:$S$836,14,0),"")</f>
        <v>M1</v>
      </c>
      <c r="P60" s="25" t="str">
        <f>IFERROR(VLOOKUP(B60,'03. THIẾT BỊ'!$B$1:$S$836,15,0),"")</f>
        <v>CK-CGH</v>
      </c>
      <c r="Q60" s="23">
        <f>IFERROR(VLOOKUP(B60,'03. THIẾT BỊ'!$B$1:$S$836,16,0),"")</f>
        <v>2025</v>
      </c>
      <c r="R60" s="25" t="str">
        <f>IFERROR(VLOOKUP(B60,'03. THIẾT BỊ'!$B$1:$S$836,17,0),"")</f>
        <v>1200x400x1200</v>
      </c>
      <c r="S60" s="25">
        <f>IFERROR(VLOOKUP(B60,'03. THIẾT BỊ'!$B$1:$S$836,18,0),"")</f>
        <v>0</v>
      </c>
      <c r="T60" s="611"/>
    </row>
    <row r="61" customHeight="1" spans="1:20">
      <c r="A61" s="23">
        <f t="shared" si="1"/>
        <v>23</v>
      </c>
      <c r="B61" s="20" t="s">
        <v>3673</v>
      </c>
      <c r="C61" s="613">
        <f>IFERROR(VLOOKUP(B61,'03. THIẾT BỊ'!$B$1:$S$836,2,0),"")</f>
        <v>0</v>
      </c>
      <c r="D61" s="24" t="str">
        <f>IFERROR(VLOOKUP(B61,'03. THIẾT BỊ'!$B$1:$S$836,3,0),"")</f>
        <v>A23-GĐH-071</v>
      </c>
      <c r="E61" s="20" t="str">
        <f>IFERROR(VLOOKUP(B61,'03. THIẾT BỊ'!$B$1:$S$836,4,0),"")</f>
        <v>ĐQSD</v>
      </c>
      <c r="F61" s="20" t="str">
        <f>IFERROR(VLOOKUP(B61,'03. THIẾT BỊ'!$B$1:$S$836,5,0),"")</f>
        <v>Gàu định hình đào mương thửa M1</v>
      </c>
      <c r="G61" s="101" t="s">
        <v>6468</v>
      </c>
      <c r="H61" s="19" t="str">
        <f>IFERROR(VLOOKUP(B61,'03. THIẾT BỊ'!$B$1:$S$836,7,0),"")</f>
        <v>CGTC DP</v>
      </c>
      <c r="I61" s="610">
        <f>IFERROR(VLOOKUP(B61,'03. THIẾT BỊ'!$B$1:$S$836,8,0),"")</f>
        <v>45842</v>
      </c>
      <c r="J61" s="25"/>
      <c r="K61" s="19" t="str">
        <f>IFERROR(VLOOKUP(B61,'03. THIẾT BỊ'!$B$1:$S$836,10,0),"")</f>
        <v>Bình thường</v>
      </c>
      <c r="L61" s="25">
        <f>IFERROR(VLOOKUP(B61,'03. THIẾT BỊ'!$B$1:$S$836,11,0),"")</f>
        <v>0</v>
      </c>
      <c r="M61" s="24">
        <f>IFERROR(VLOOKUP(B61,'03. THIẾT BỊ'!$B$1:$S$836,12,0),"")</f>
        <v>0</v>
      </c>
      <c r="N61" s="25" t="str">
        <f>IFERROR(VLOOKUP(B61,'03. THIẾT BỊ'!$B$1:$S$836,13,0),"")</f>
        <v>THACO AGRI</v>
      </c>
      <c r="O61" s="24" t="str">
        <f>IFERROR(VLOOKUP(B61,'03. THIẾT BỊ'!$B$1:$S$836,14,0),"")</f>
        <v>M1</v>
      </c>
      <c r="P61" s="25" t="str">
        <f>IFERROR(VLOOKUP(B61,'03. THIẾT BỊ'!$B$1:$S$836,15,0),"")</f>
        <v>CK-CGH</v>
      </c>
      <c r="Q61" s="23">
        <f>IFERROR(VLOOKUP(B61,'03. THIẾT BỊ'!$B$1:$S$836,16,0),"")</f>
        <v>2025</v>
      </c>
      <c r="R61" s="25" t="str">
        <f>IFERROR(VLOOKUP(B61,'03. THIẾT BỊ'!$B$1:$S$836,17,0),"")</f>
        <v>1200x400x1200</v>
      </c>
      <c r="S61" s="25">
        <f>IFERROR(VLOOKUP(B61,'03. THIẾT BỊ'!$B$1:$S$836,18,0),"")</f>
        <v>0</v>
      </c>
      <c r="T61" s="611"/>
    </row>
    <row r="62" customHeight="1" spans="1:20">
      <c r="A62" s="23">
        <f t="shared" si="1"/>
        <v>24</v>
      </c>
      <c r="B62" s="20" t="s">
        <v>3675</v>
      </c>
      <c r="C62" s="613">
        <f>IFERROR(VLOOKUP(B62,'03. THIẾT BỊ'!$B$1:$S$836,2,0),"")</f>
        <v>0</v>
      </c>
      <c r="D62" s="24" t="str">
        <f>IFERROR(VLOOKUP(B62,'03. THIẾT BỊ'!$B$1:$S$836,3,0),"")</f>
        <v>A23-GĐH-072</v>
      </c>
      <c r="E62" s="20" t="str">
        <f>IFERROR(VLOOKUP(B62,'03. THIẾT BỊ'!$B$1:$S$836,4,0),"")</f>
        <v>ĐQSD</v>
      </c>
      <c r="F62" s="20" t="str">
        <f>IFERROR(VLOOKUP(B62,'03. THIẾT BỊ'!$B$1:$S$836,5,0),"")</f>
        <v>Gàu định hình đào mương thửa M1</v>
      </c>
      <c r="G62" s="101" t="s">
        <v>6468</v>
      </c>
      <c r="H62" s="19" t="str">
        <f>IFERROR(VLOOKUP(B62,'03. THIẾT BỊ'!$B$1:$S$836,7,0),"")</f>
        <v>CGTC DP</v>
      </c>
      <c r="I62" s="610">
        <f>IFERROR(VLOOKUP(B62,'03. THIẾT BỊ'!$B$1:$S$836,8,0),"")</f>
        <v>45842</v>
      </c>
      <c r="J62" s="25"/>
      <c r="K62" s="19" t="str">
        <f>IFERROR(VLOOKUP(B62,'03. THIẾT BỊ'!$B$1:$S$836,10,0),"")</f>
        <v>Bình thường</v>
      </c>
      <c r="L62" s="25">
        <f>IFERROR(VLOOKUP(B62,'03. THIẾT BỊ'!$B$1:$S$836,11,0),"")</f>
        <v>0</v>
      </c>
      <c r="M62" s="24">
        <f>IFERROR(VLOOKUP(B62,'03. THIẾT BỊ'!$B$1:$S$836,12,0),"")</f>
        <v>0</v>
      </c>
      <c r="N62" s="25" t="str">
        <f>IFERROR(VLOOKUP(B62,'03. THIẾT BỊ'!$B$1:$S$836,13,0),"")</f>
        <v>THACO AGRI</v>
      </c>
      <c r="O62" s="24" t="str">
        <f>IFERROR(VLOOKUP(B62,'03. THIẾT BỊ'!$B$1:$S$836,14,0),"")</f>
        <v>M1</v>
      </c>
      <c r="P62" s="25" t="str">
        <f>IFERROR(VLOOKUP(B62,'03. THIẾT BỊ'!$B$1:$S$836,15,0),"")</f>
        <v>CK-CGH</v>
      </c>
      <c r="Q62" s="23">
        <f>IFERROR(VLOOKUP(B62,'03. THIẾT BỊ'!$B$1:$S$836,16,0),"")</f>
        <v>2025</v>
      </c>
      <c r="R62" s="25" t="str">
        <f>IFERROR(VLOOKUP(B62,'03. THIẾT BỊ'!$B$1:$S$836,17,0),"")</f>
        <v>1200x400x1200</v>
      </c>
      <c r="S62" s="25">
        <f>IFERROR(VLOOKUP(B62,'03. THIẾT BỊ'!$B$1:$S$836,18,0),"")</f>
        <v>0</v>
      </c>
      <c r="T62" s="611"/>
    </row>
    <row r="63" customHeight="1" spans="1:20">
      <c r="A63" s="23">
        <f t="shared" si="1"/>
        <v>25</v>
      </c>
      <c r="B63" s="20" t="s">
        <v>3677</v>
      </c>
      <c r="C63" s="613">
        <f>IFERROR(VLOOKUP(B63,'03. THIẾT BỊ'!$B$1:$S$836,2,0),"")</f>
        <v>0</v>
      </c>
      <c r="D63" s="24" t="str">
        <f>IFERROR(VLOOKUP(B63,'03. THIẾT BỊ'!$B$1:$S$836,3,0),"")</f>
        <v>A23-GĐH-073</v>
      </c>
      <c r="E63" s="20" t="str">
        <f>IFERROR(VLOOKUP(B63,'03. THIẾT BỊ'!$B$1:$S$836,4,0),"")</f>
        <v>ĐQSD</v>
      </c>
      <c r="F63" s="20" t="str">
        <f>IFERROR(VLOOKUP(B63,'03. THIẾT BỊ'!$B$1:$S$836,5,0),"")</f>
        <v>Gàu định hình đào mương thửa M1</v>
      </c>
      <c r="G63" s="101" t="s">
        <v>6468</v>
      </c>
      <c r="H63" s="19" t="str">
        <f>IFERROR(VLOOKUP(B63,'03. THIẾT BỊ'!$B$1:$S$836,7,0),"")</f>
        <v>CGTC DP</v>
      </c>
      <c r="I63" s="610">
        <f>IFERROR(VLOOKUP(B63,'03. THIẾT BỊ'!$B$1:$S$836,8,0),"")</f>
        <v>45842</v>
      </c>
      <c r="J63" s="25"/>
      <c r="K63" s="19" t="str">
        <f>IFERROR(VLOOKUP(B63,'03. THIẾT BỊ'!$B$1:$S$836,10,0),"")</f>
        <v>Bình thường</v>
      </c>
      <c r="L63" s="25">
        <f>IFERROR(VLOOKUP(B63,'03. THIẾT BỊ'!$B$1:$S$836,11,0),"")</f>
        <v>0</v>
      </c>
      <c r="M63" s="24">
        <f>IFERROR(VLOOKUP(B63,'03. THIẾT BỊ'!$B$1:$S$836,12,0),"")</f>
        <v>0</v>
      </c>
      <c r="N63" s="25" t="str">
        <f>IFERROR(VLOOKUP(B63,'03. THIẾT BỊ'!$B$1:$S$836,13,0),"")</f>
        <v>THACO AGRI</v>
      </c>
      <c r="O63" s="24" t="str">
        <f>IFERROR(VLOOKUP(B63,'03. THIẾT BỊ'!$B$1:$S$836,14,0),"")</f>
        <v>M1</v>
      </c>
      <c r="P63" s="25" t="str">
        <f>IFERROR(VLOOKUP(B63,'03. THIẾT BỊ'!$B$1:$S$836,15,0),"")</f>
        <v>CK-CGH</v>
      </c>
      <c r="Q63" s="23">
        <f>IFERROR(VLOOKUP(B63,'03. THIẾT BỊ'!$B$1:$S$836,16,0),"")</f>
        <v>2025</v>
      </c>
      <c r="R63" s="25" t="str">
        <f>IFERROR(VLOOKUP(B63,'03. THIẾT BỊ'!$B$1:$S$836,17,0),"")</f>
        <v>1200x400x1200</v>
      </c>
      <c r="S63" s="25">
        <f>IFERROR(VLOOKUP(B63,'03. THIẾT BỊ'!$B$1:$S$836,18,0),"")</f>
        <v>0</v>
      </c>
      <c r="T63" s="611"/>
    </row>
    <row r="64" customHeight="1" spans="1:20">
      <c r="A64" s="23">
        <f t="shared" si="1"/>
        <v>26</v>
      </c>
      <c r="B64" s="20" t="s">
        <v>3679</v>
      </c>
      <c r="C64" s="613">
        <f>IFERROR(VLOOKUP(B64,'03. THIẾT BỊ'!$B$1:$S$836,2,0),"")</f>
        <v>0</v>
      </c>
      <c r="D64" s="24" t="str">
        <f>IFERROR(VLOOKUP(B64,'03. THIẾT BỊ'!$B$1:$S$836,3,0),"")</f>
        <v>A23-GĐH-074</v>
      </c>
      <c r="E64" s="20" t="str">
        <f>IFERROR(VLOOKUP(B64,'03. THIẾT BỊ'!$B$1:$S$836,4,0),"")</f>
        <v>ĐQSD</v>
      </c>
      <c r="F64" s="20" t="str">
        <f>IFERROR(VLOOKUP(B64,'03. THIẾT BỊ'!$B$1:$S$836,5,0),"")</f>
        <v>Gàu định hình đào mương thửa M1</v>
      </c>
      <c r="G64" s="101" t="s">
        <v>6468</v>
      </c>
      <c r="H64" s="19" t="str">
        <f>IFERROR(VLOOKUP(B64,'03. THIẾT BỊ'!$B$1:$S$836,7,0),"")</f>
        <v>CGTC DP</v>
      </c>
      <c r="I64" s="610">
        <f>IFERROR(VLOOKUP(B64,'03. THIẾT BỊ'!$B$1:$S$836,8,0),"")</f>
        <v>45842</v>
      </c>
      <c r="J64" s="25"/>
      <c r="K64" s="19" t="str">
        <f>IFERROR(VLOOKUP(B64,'03. THIẾT BỊ'!$B$1:$S$836,10,0),"")</f>
        <v>Bình thường</v>
      </c>
      <c r="L64" s="25">
        <f>IFERROR(VLOOKUP(B64,'03. THIẾT BỊ'!$B$1:$S$836,11,0),"")</f>
        <v>0</v>
      </c>
      <c r="M64" s="24">
        <f>IFERROR(VLOOKUP(B64,'03. THIẾT BỊ'!$B$1:$S$836,12,0),"")</f>
        <v>0</v>
      </c>
      <c r="N64" s="25" t="str">
        <f>IFERROR(VLOOKUP(B64,'03. THIẾT BỊ'!$B$1:$S$836,13,0),"")</f>
        <v>THACO AGRI</v>
      </c>
      <c r="O64" s="24" t="str">
        <f>IFERROR(VLOOKUP(B64,'03. THIẾT BỊ'!$B$1:$S$836,14,0),"")</f>
        <v>M1</v>
      </c>
      <c r="P64" s="25" t="str">
        <f>IFERROR(VLOOKUP(B64,'03. THIẾT BỊ'!$B$1:$S$836,15,0),"")</f>
        <v>CK-CGH</v>
      </c>
      <c r="Q64" s="23">
        <f>IFERROR(VLOOKUP(B64,'03. THIẾT BỊ'!$B$1:$S$836,16,0),"")</f>
        <v>2025</v>
      </c>
      <c r="R64" s="25" t="str">
        <f>IFERROR(VLOOKUP(B64,'03. THIẾT BỊ'!$B$1:$S$836,17,0),"")</f>
        <v>1200x400x1200</v>
      </c>
      <c r="S64" s="25">
        <f>IFERROR(VLOOKUP(B64,'03. THIẾT BỊ'!$B$1:$S$836,18,0),"")</f>
        <v>0</v>
      </c>
      <c r="T64" s="611"/>
    </row>
    <row r="65" customHeight="1" spans="1:20">
      <c r="A65" s="23">
        <f t="shared" si="1"/>
        <v>27</v>
      </c>
      <c r="B65" s="20" t="s">
        <v>3681</v>
      </c>
      <c r="C65" s="613">
        <f>IFERROR(VLOOKUP(B65,'03. THIẾT BỊ'!$B$1:$S$836,2,0),"")</f>
        <v>0</v>
      </c>
      <c r="D65" s="24" t="str">
        <f>IFERROR(VLOOKUP(B65,'03. THIẾT BỊ'!$B$1:$S$836,3,0),"")</f>
        <v>A23-GĐH-075</v>
      </c>
      <c r="E65" s="20" t="str">
        <f>IFERROR(VLOOKUP(B65,'03. THIẾT BỊ'!$B$1:$S$836,4,0),"")</f>
        <v>ĐQSD</v>
      </c>
      <c r="F65" s="20" t="str">
        <f>IFERROR(VLOOKUP(B65,'03. THIẾT BỊ'!$B$1:$S$836,5,0),"")</f>
        <v>Gàu định hình đào mương thửa M1</v>
      </c>
      <c r="G65" s="101" t="s">
        <v>6468</v>
      </c>
      <c r="H65" s="19" t="str">
        <f>IFERROR(VLOOKUP(B65,'03. THIẾT BỊ'!$B$1:$S$836,7,0),"")</f>
        <v>CGTC DP</v>
      </c>
      <c r="I65" s="610" t="str">
        <f>IFERROR(VLOOKUP(B65,'03. THIẾT BỊ'!$B$1:$S$836,8,0),"")</f>
        <v>13/05/2025</v>
      </c>
      <c r="J65" s="25"/>
      <c r="K65" s="19" t="str">
        <f>IFERROR(VLOOKUP(B65,'03. THIẾT BỊ'!$B$1:$S$836,10,0),"")</f>
        <v>Bình thường</v>
      </c>
      <c r="L65" s="25">
        <f>IFERROR(VLOOKUP(B65,'03. THIẾT BỊ'!$B$1:$S$836,11,0),"")</f>
        <v>0</v>
      </c>
      <c r="M65" s="24">
        <f>IFERROR(VLOOKUP(B65,'03. THIẾT BỊ'!$B$1:$S$836,12,0),"")</f>
        <v>0</v>
      </c>
      <c r="N65" s="25" t="str">
        <f>IFERROR(VLOOKUP(B65,'03. THIẾT BỊ'!$B$1:$S$836,13,0),"")</f>
        <v>THACO AGRI</v>
      </c>
      <c r="O65" s="24" t="str">
        <f>IFERROR(VLOOKUP(B65,'03. THIẾT BỊ'!$B$1:$S$836,14,0),"")</f>
        <v>M1</v>
      </c>
      <c r="P65" s="25" t="str">
        <f>IFERROR(VLOOKUP(B65,'03. THIẾT BỊ'!$B$1:$S$836,15,0),"")</f>
        <v>CK-CGH</v>
      </c>
      <c r="Q65" s="23">
        <f>IFERROR(VLOOKUP(B65,'03. THIẾT BỊ'!$B$1:$S$836,16,0),"")</f>
        <v>2025</v>
      </c>
      <c r="R65" s="25" t="str">
        <f>IFERROR(VLOOKUP(B65,'03. THIẾT BỊ'!$B$1:$S$836,17,0),"")</f>
        <v>1200x400x1200</v>
      </c>
      <c r="S65" s="25">
        <f>IFERROR(VLOOKUP(B65,'03. THIẾT BỊ'!$B$1:$S$836,18,0),"")</f>
        <v>0</v>
      </c>
      <c r="T65" s="611"/>
    </row>
    <row r="66" customHeight="1" spans="1:20">
      <c r="A66" s="23">
        <f t="shared" si="1"/>
        <v>28</v>
      </c>
      <c r="B66" s="20" t="s">
        <v>3684</v>
      </c>
      <c r="C66" s="613">
        <f>IFERROR(VLOOKUP(B66,'03. THIẾT BỊ'!$B$1:$S$836,2,0),"")</f>
        <v>0</v>
      </c>
      <c r="D66" s="24" t="str">
        <f>IFERROR(VLOOKUP(B66,'03. THIẾT BỊ'!$B$1:$S$836,3,0),"")</f>
        <v>A23-GĐH-076</v>
      </c>
      <c r="E66" s="20" t="str">
        <f>IFERROR(VLOOKUP(B66,'03. THIẾT BỊ'!$B$1:$S$836,4,0),"")</f>
        <v>ĐQSD</v>
      </c>
      <c r="F66" s="20" t="str">
        <f>IFERROR(VLOOKUP(B66,'03. THIẾT BỊ'!$B$1:$S$836,5,0),"")</f>
        <v>Gàu định hình đào mương thửa M1</v>
      </c>
      <c r="G66" s="101" t="s">
        <v>6468</v>
      </c>
      <c r="H66" s="19" t="str">
        <f>IFERROR(VLOOKUP(B66,'03. THIẾT BỊ'!$B$1:$S$836,7,0),"")</f>
        <v>CGTC DP</v>
      </c>
      <c r="I66" s="610" t="str">
        <f>IFERROR(VLOOKUP(B66,'03. THIẾT BỊ'!$B$1:$S$836,8,0),"")</f>
        <v>13/05/2025</v>
      </c>
      <c r="J66" s="25"/>
      <c r="K66" s="19" t="str">
        <f>IFERROR(VLOOKUP(B66,'03. THIẾT BỊ'!$B$1:$S$836,10,0),"")</f>
        <v>Bình thường</v>
      </c>
      <c r="L66" s="25">
        <f>IFERROR(VLOOKUP(B66,'03. THIẾT BỊ'!$B$1:$S$836,11,0),"")</f>
        <v>0</v>
      </c>
      <c r="M66" s="24">
        <f>IFERROR(VLOOKUP(B66,'03. THIẾT BỊ'!$B$1:$S$836,12,0),"")</f>
        <v>0</v>
      </c>
      <c r="N66" s="25" t="str">
        <f>IFERROR(VLOOKUP(B66,'03. THIẾT BỊ'!$B$1:$S$836,13,0),"")</f>
        <v>THACO AGRI</v>
      </c>
      <c r="O66" s="24" t="str">
        <f>IFERROR(VLOOKUP(B66,'03. THIẾT BỊ'!$B$1:$S$836,14,0),"")</f>
        <v>M1</v>
      </c>
      <c r="P66" s="25" t="str">
        <f>IFERROR(VLOOKUP(B66,'03. THIẾT BỊ'!$B$1:$S$836,15,0),"")</f>
        <v>CK-CGH</v>
      </c>
      <c r="Q66" s="23">
        <f>IFERROR(VLOOKUP(B66,'03. THIẾT BỊ'!$B$1:$S$836,16,0),"")</f>
        <v>2025</v>
      </c>
      <c r="R66" s="25" t="str">
        <f>IFERROR(VLOOKUP(B66,'03. THIẾT BỊ'!$B$1:$S$836,17,0),"")</f>
        <v>1200x400x1200</v>
      </c>
      <c r="S66" s="25">
        <f>IFERROR(VLOOKUP(B66,'03. THIẾT BỊ'!$B$1:$S$836,18,0),"")</f>
        <v>0</v>
      </c>
      <c r="T66" s="611"/>
    </row>
    <row r="67" customHeight="1" spans="1:20">
      <c r="A67" s="23">
        <f t="shared" si="1"/>
        <v>29</v>
      </c>
      <c r="B67" s="20" t="s">
        <v>3686</v>
      </c>
      <c r="C67" s="613">
        <f>IFERROR(VLOOKUP(B67,'03. THIẾT BỊ'!$B$1:$S$836,2,0),"")</f>
        <v>0</v>
      </c>
      <c r="D67" s="24" t="str">
        <f>IFERROR(VLOOKUP(B67,'03. THIẾT BỊ'!$B$1:$S$836,3,0),"")</f>
        <v>A23-GĐH-077</v>
      </c>
      <c r="E67" s="20" t="str">
        <f>IFERROR(VLOOKUP(B67,'03. THIẾT BỊ'!$B$1:$S$836,4,0),"")</f>
        <v>ĐQSD</v>
      </c>
      <c r="F67" s="20" t="str">
        <f>IFERROR(VLOOKUP(B67,'03. THIẾT BỊ'!$B$1:$S$836,5,0),"")</f>
        <v>Gàu định hình đào mương thửa M1</v>
      </c>
      <c r="G67" s="101" t="s">
        <v>6468</v>
      </c>
      <c r="H67" s="19" t="str">
        <f>IFERROR(VLOOKUP(B67,'03. THIẾT BỊ'!$B$1:$S$836,7,0),"")</f>
        <v>CGTC DP</v>
      </c>
      <c r="I67" s="610" t="str">
        <f>IFERROR(VLOOKUP(B67,'03. THIẾT BỊ'!$B$1:$S$836,8,0),"")</f>
        <v>13/05/2025</v>
      </c>
      <c r="J67" s="25"/>
      <c r="K67" s="19" t="str">
        <f>IFERROR(VLOOKUP(B67,'03. THIẾT BỊ'!$B$1:$S$836,10,0),"")</f>
        <v>Bình thường</v>
      </c>
      <c r="L67" s="25">
        <f>IFERROR(VLOOKUP(B67,'03. THIẾT BỊ'!$B$1:$S$836,11,0),"")</f>
        <v>0</v>
      </c>
      <c r="M67" s="24">
        <f>IFERROR(VLOOKUP(B67,'03. THIẾT BỊ'!$B$1:$S$836,12,0),"")</f>
        <v>0</v>
      </c>
      <c r="N67" s="25" t="str">
        <f>IFERROR(VLOOKUP(B67,'03. THIẾT BỊ'!$B$1:$S$836,13,0),"")</f>
        <v>THACO AGRI</v>
      </c>
      <c r="O67" s="24" t="str">
        <f>IFERROR(VLOOKUP(B67,'03. THIẾT BỊ'!$B$1:$S$836,14,0),"")</f>
        <v>M1</v>
      </c>
      <c r="P67" s="25" t="str">
        <f>IFERROR(VLOOKUP(B67,'03. THIẾT BỊ'!$B$1:$S$836,15,0),"")</f>
        <v>CK-CGH</v>
      </c>
      <c r="Q67" s="23">
        <f>IFERROR(VLOOKUP(B67,'03. THIẾT BỊ'!$B$1:$S$836,16,0),"")</f>
        <v>2025</v>
      </c>
      <c r="R67" s="25" t="str">
        <f>IFERROR(VLOOKUP(B67,'03. THIẾT BỊ'!$B$1:$S$836,17,0),"")</f>
        <v>1200x400x1200</v>
      </c>
      <c r="S67" s="25">
        <f>IFERROR(VLOOKUP(B67,'03. THIẾT BỊ'!$B$1:$S$836,18,0),"")</f>
        <v>0</v>
      </c>
      <c r="T67" s="611"/>
    </row>
    <row r="68" customHeight="1" spans="1:20">
      <c r="A68" s="23">
        <f t="shared" si="1"/>
        <v>30</v>
      </c>
      <c r="B68" s="20" t="s">
        <v>3688</v>
      </c>
      <c r="C68" s="613">
        <f>IFERROR(VLOOKUP(B68,'03. THIẾT BỊ'!$B$1:$S$836,2,0),"")</f>
        <v>0</v>
      </c>
      <c r="D68" s="24" t="str">
        <f>IFERROR(VLOOKUP(B68,'03. THIẾT BỊ'!$B$1:$S$836,3,0),"")</f>
        <v>A23-GĐH-078</v>
      </c>
      <c r="E68" s="20" t="str">
        <f>IFERROR(VLOOKUP(B68,'03. THIẾT BỊ'!$B$1:$S$836,4,0),"")</f>
        <v>ĐQSD</v>
      </c>
      <c r="F68" s="20" t="str">
        <f>IFERROR(VLOOKUP(B68,'03. THIẾT BỊ'!$B$1:$S$836,5,0),"")</f>
        <v>Gàu định hình đào mương thửa M1</v>
      </c>
      <c r="G68" s="101" t="s">
        <v>6468</v>
      </c>
      <c r="H68" s="19" t="str">
        <f>IFERROR(VLOOKUP(B68,'03. THIẾT BỊ'!$B$1:$S$836,7,0),"")</f>
        <v>CGTC DP</v>
      </c>
      <c r="I68" s="610" t="str">
        <f>IFERROR(VLOOKUP(B68,'03. THIẾT BỊ'!$B$1:$S$836,8,0),"")</f>
        <v>13/05/2025</v>
      </c>
      <c r="J68" s="25"/>
      <c r="K68" s="19" t="str">
        <f>IFERROR(VLOOKUP(B68,'03. THIẾT BỊ'!$B$1:$S$836,10,0),"")</f>
        <v>Bình thường</v>
      </c>
      <c r="L68" s="25">
        <f>IFERROR(VLOOKUP(B68,'03. THIẾT BỊ'!$B$1:$S$836,11,0),"")</f>
        <v>0</v>
      </c>
      <c r="M68" s="24">
        <f>IFERROR(VLOOKUP(B68,'03. THIẾT BỊ'!$B$1:$S$836,12,0),"")</f>
        <v>0</v>
      </c>
      <c r="N68" s="25" t="str">
        <f>IFERROR(VLOOKUP(B68,'03. THIẾT BỊ'!$B$1:$S$836,13,0),"")</f>
        <v>THACO AGRI</v>
      </c>
      <c r="O68" s="24" t="str">
        <f>IFERROR(VLOOKUP(B68,'03. THIẾT BỊ'!$B$1:$S$836,14,0),"")</f>
        <v>M1</v>
      </c>
      <c r="P68" s="25" t="str">
        <f>IFERROR(VLOOKUP(B68,'03. THIẾT BỊ'!$B$1:$S$836,15,0),"")</f>
        <v>CK-CGH</v>
      </c>
      <c r="Q68" s="23">
        <f>IFERROR(VLOOKUP(B68,'03. THIẾT BỊ'!$B$1:$S$836,16,0),"")</f>
        <v>2025</v>
      </c>
      <c r="R68" s="25" t="str">
        <f>IFERROR(VLOOKUP(B68,'03. THIẾT BỊ'!$B$1:$S$836,17,0),"")</f>
        <v>1200x400x1200</v>
      </c>
      <c r="S68" s="25">
        <f>IFERROR(VLOOKUP(B68,'03. THIẾT BỊ'!$B$1:$S$836,18,0),"")</f>
        <v>0</v>
      </c>
      <c r="T68" s="611"/>
    </row>
    <row r="69" customHeight="1" spans="1:20">
      <c r="A69" s="23">
        <f t="shared" si="1"/>
        <v>31</v>
      </c>
      <c r="B69" s="20" t="s">
        <v>3690</v>
      </c>
      <c r="C69" s="613">
        <f>IFERROR(VLOOKUP(B69,'03. THIẾT BỊ'!$B$1:$S$836,2,0),"")</f>
        <v>0</v>
      </c>
      <c r="D69" s="24" t="str">
        <f>IFERROR(VLOOKUP(B69,'03. THIẾT BỊ'!$B$1:$S$836,3,0),"")</f>
        <v>A23-GĐH-091</v>
      </c>
      <c r="E69" s="20" t="str">
        <f>IFERROR(VLOOKUP(B69,'03. THIẾT BỊ'!$B$1:$S$836,4,0),"")</f>
        <v>ĐQSD</v>
      </c>
      <c r="F69" s="20" t="str">
        <f>IFERROR(VLOOKUP(B69,'03. THIẾT BỊ'!$B$1:$S$836,5,0),"")</f>
        <v>Gàu định hình đào mương M1.2</v>
      </c>
      <c r="G69" s="101" t="s">
        <v>6468</v>
      </c>
      <c r="H69" s="19" t="str">
        <f>IFERROR(VLOOKUP(B69,'03. THIẾT BỊ'!$B$1:$S$836,7,0),"")</f>
        <v>CGTC DP</v>
      </c>
      <c r="I69" s="610" t="str">
        <f>IFERROR(VLOOKUP(B69,'03. THIẾT BỊ'!$B$1:$S$836,8,0),"")</f>
        <v>31/05/2025</v>
      </c>
      <c r="J69" s="25"/>
      <c r="K69" s="19" t="str">
        <f>IFERROR(VLOOKUP(B69,'03. THIẾT BỊ'!$B$1:$S$836,10,0),"")</f>
        <v>Bình thường</v>
      </c>
      <c r="L69" s="25">
        <f>IFERROR(VLOOKUP(B69,'03. THIẾT BỊ'!$B$1:$S$836,11,0),"")</f>
        <v>0</v>
      </c>
      <c r="M69" s="24">
        <f>IFERROR(VLOOKUP(B69,'03. THIẾT BỊ'!$B$1:$S$836,12,0),"")</f>
        <v>0</v>
      </c>
      <c r="N69" s="25" t="str">
        <f>IFERROR(VLOOKUP(B69,'03. THIẾT BỊ'!$B$1:$S$836,13,0),"")</f>
        <v>THACO AGRI</v>
      </c>
      <c r="O69" s="24" t="str">
        <f>IFERROR(VLOOKUP(B69,'03. THIẾT BỊ'!$B$1:$S$836,14,0),"")</f>
        <v>M1.2</v>
      </c>
      <c r="P69" s="25" t="str">
        <f>IFERROR(VLOOKUP(B69,'03. THIẾT BỊ'!$B$1:$S$836,15,0),"")</f>
        <v>CK-CGH</v>
      </c>
      <c r="Q69" s="23">
        <f>IFERROR(VLOOKUP(B69,'03. THIẾT BỊ'!$B$1:$S$836,16,0),"")</f>
        <v>2025</v>
      </c>
      <c r="R69" s="25" t="str">
        <f>IFERROR(VLOOKUP(B69,'03. THIẾT BỊ'!$B$1:$S$836,17,0),"")</f>
        <v>1200x400x1200</v>
      </c>
      <c r="S69" s="25">
        <f>IFERROR(VLOOKUP(B69,'03. THIẾT BỊ'!$B$1:$S$836,18,0),"")</f>
        <v>0</v>
      </c>
      <c r="T69" s="611"/>
    </row>
    <row r="70" customHeight="1" spans="1:20">
      <c r="A70" s="23">
        <f t="shared" si="1"/>
        <v>32</v>
      </c>
      <c r="B70" s="20" t="s">
        <v>3695</v>
      </c>
      <c r="C70" s="613">
        <f>IFERROR(VLOOKUP(B70,'03. THIẾT BỊ'!$B$1:$S$836,2,0),"")</f>
        <v>0</v>
      </c>
      <c r="D70" s="24" t="str">
        <f>IFERROR(VLOOKUP(B70,'03. THIẾT BỊ'!$B$1:$S$836,3,0),"")</f>
        <v>A23-GĐH-092</v>
      </c>
      <c r="E70" s="20" t="str">
        <f>IFERROR(VLOOKUP(B70,'03. THIẾT BỊ'!$B$1:$S$836,4,0),"")</f>
        <v>ĐQSD</v>
      </c>
      <c r="F70" s="20" t="str">
        <f>IFERROR(VLOOKUP(B70,'03. THIẾT BỊ'!$B$1:$S$836,5,0),"")</f>
        <v>Gàu định hình đào mương M1.2</v>
      </c>
      <c r="G70" s="101" t="s">
        <v>6468</v>
      </c>
      <c r="H70" s="19" t="str">
        <f>IFERROR(VLOOKUP(B70,'03. THIẾT BỊ'!$B$1:$S$836,7,0),"")</f>
        <v>CGTC DP</v>
      </c>
      <c r="I70" s="610" t="str">
        <f>IFERROR(VLOOKUP(B70,'03. THIẾT BỊ'!$B$1:$S$836,8,0),"")</f>
        <v>31/05/2025</v>
      </c>
      <c r="J70" s="25"/>
      <c r="K70" s="19" t="str">
        <f>IFERROR(VLOOKUP(B70,'03. THIẾT BỊ'!$B$1:$S$836,10,0),"")</f>
        <v>Bình thường</v>
      </c>
      <c r="L70" s="25">
        <f>IFERROR(VLOOKUP(B70,'03. THIẾT BỊ'!$B$1:$S$836,11,0),"")</f>
        <v>0</v>
      </c>
      <c r="M70" s="24">
        <f>IFERROR(VLOOKUP(B70,'03. THIẾT BỊ'!$B$1:$S$836,12,0),"")</f>
        <v>0</v>
      </c>
      <c r="N70" s="25" t="str">
        <f>IFERROR(VLOOKUP(B70,'03. THIẾT BỊ'!$B$1:$S$836,13,0),"")</f>
        <v>THACO AGRI</v>
      </c>
      <c r="O70" s="24" t="str">
        <f>IFERROR(VLOOKUP(B70,'03. THIẾT BỊ'!$B$1:$S$836,14,0),"")</f>
        <v>M1.2</v>
      </c>
      <c r="P70" s="25" t="str">
        <f>IFERROR(VLOOKUP(B70,'03. THIẾT BỊ'!$B$1:$S$836,15,0),"")</f>
        <v>CK-CGH</v>
      </c>
      <c r="Q70" s="23">
        <f>IFERROR(VLOOKUP(B70,'03. THIẾT BỊ'!$B$1:$S$836,16,0),"")</f>
        <v>2025</v>
      </c>
      <c r="R70" s="25" t="str">
        <f>IFERROR(VLOOKUP(B70,'03. THIẾT BỊ'!$B$1:$S$836,17,0),"")</f>
        <v>1200x400x1200</v>
      </c>
      <c r="S70" s="25">
        <f>IFERROR(VLOOKUP(B70,'03. THIẾT BỊ'!$B$1:$S$836,18,0),"")</f>
        <v>0</v>
      </c>
      <c r="T70" s="611"/>
    </row>
    <row r="71" customHeight="1" spans="1:20">
      <c r="A71" s="23">
        <f t="shared" si="1"/>
        <v>33</v>
      </c>
      <c r="B71" s="20" t="s">
        <v>3738</v>
      </c>
      <c r="C71" s="613">
        <f>IFERROR(VLOOKUP(B71,'03. THIẾT BỊ'!$B$1:$S$836,2,0),"")</f>
        <v>0</v>
      </c>
      <c r="D71" s="24" t="str">
        <f>IFERROR(VLOOKUP(B71,'03. THIẾT BỊ'!$B$1:$S$836,3,0),"")</f>
        <v>A24-GĐH-001</v>
      </c>
      <c r="E71" s="20" t="str">
        <f>IFERROR(VLOOKUP(B71,'03. THIẾT BỊ'!$B$1:$S$836,4,0),"")</f>
        <v>ĐQSD</v>
      </c>
      <c r="F71" s="20" t="str">
        <f>IFERROR(VLOOKUP(B71,'03. THIẾT BỊ'!$B$1:$S$836,5,0),"")</f>
        <v>Gàu định hình M2</v>
      </c>
      <c r="G71" s="101" t="s">
        <v>6468</v>
      </c>
      <c r="H71" s="19" t="str">
        <f>IFERROR(VLOOKUP(B71,'03. THIẾT BỊ'!$B$1:$S$836,7,0),"")</f>
        <v>CGTC LP</v>
      </c>
      <c r="I71" s="610" t="str">
        <f>IFERROR(VLOOKUP(B71,'03. THIẾT BỊ'!$B$1:$S$836,8,0),"")</f>
        <v>26/07/2024</v>
      </c>
      <c r="J71" s="25"/>
      <c r="K71" s="19" t="str">
        <f>IFERROR(VLOOKUP(B71,'03. THIẾT BỊ'!$B$1:$S$836,10,0),"")</f>
        <v>Bình thường</v>
      </c>
      <c r="L71" s="25" t="str">
        <f>IFERROR(VLOOKUP(B71,'03. THIẾT BỊ'!$B$1:$S$836,11,0),"")</f>
        <v>Giao về Ban XDCB</v>
      </c>
      <c r="M71" s="24">
        <f>IFERROR(VLOOKUP(B71,'03. THIẾT BỊ'!$B$1:$S$836,12,0),"")</f>
        <v>0</v>
      </c>
      <c r="N71" s="25" t="str">
        <f>IFERROR(VLOOKUP(B71,'03. THIẾT BỊ'!$B$1:$S$836,13,0),"")</f>
        <v>THACO AGRI</v>
      </c>
      <c r="O71" s="24" t="str">
        <f>IFERROR(VLOOKUP(B71,'03. THIẾT BỊ'!$B$1:$S$836,14,0),"")</f>
        <v>M2</v>
      </c>
      <c r="P71" s="25" t="str">
        <f>IFERROR(VLOOKUP(B71,'03. THIẾT BỊ'!$B$1:$S$836,15,0),"")</f>
        <v>CK-CGH</v>
      </c>
      <c r="Q71" s="23">
        <f>IFERROR(VLOOKUP(B71,'03. THIẾT BỊ'!$B$1:$S$836,16,0),"")</f>
        <v>2024</v>
      </c>
      <c r="R71" s="25" t="str">
        <f>IFERROR(VLOOKUP(B71,'03. THIẾT BỊ'!$B$1:$S$836,17,0),"")</f>
        <v>M2</v>
      </c>
      <c r="S71" s="25">
        <f>IFERROR(VLOOKUP(B71,'03. THIẾT BỊ'!$B$1:$S$836,18,0),"")</f>
        <v>0</v>
      </c>
      <c r="T71" s="41"/>
    </row>
    <row r="72" customHeight="1" spans="1:20">
      <c r="A72" s="23">
        <f t="shared" si="1"/>
        <v>34</v>
      </c>
      <c r="B72" s="20" t="s">
        <v>3742</v>
      </c>
      <c r="C72" s="613">
        <f>IFERROR(VLOOKUP(B72,'03. THIẾT BỊ'!$B$1:$S$836,2,0),"")</f>
        <v>0</v>
      </c>
      <c r="D72" s="24" t="str">
        <f>IFERROR(VLOOKUP(B72,'03. THIẾT BỊ'!$B$1:$S$836,3,0),"")</f>
        <v>A24-GĐH-002</v>
      </c>
      <c r="E72" s="20" t="str">
        <f>IFERROR(VLOOKUP(B72,'03. THIẾT BỊ'!$B$1:$S$836,4,0),"")</f>
        <v>ĐQSD</v>
      </c>
      <c r="F72" s="20" t="str">
        <f>IFERROR(VLOOKUP(B72,'03. THIẾT BỊ'!$B$1:$S$836,5,0),"")</f>
        <v>Gàu định hình M0.6</v>
      </c>
      <c r="G72" s="101" t="s">
        <v>6468</v>
      </c>
      <c r="H72" s="19" t="str">
        <f>IFERROR(VLOOKUP(B72,'03. THIẾT BỊ'!$B$1:$S$836,7,0),"")</f>
        <v>CGTC LP</v>
      </c>
      <c r="I72" s="610" t="str">
        <f>IFERROR(VLOOKUP(B72,'03. THIẾT BỊ'!$B$1:$S$836,8,0),"")</f>
        <v>29/07/2024</v>
      </c>
      <c r="J72" s="25"/>
      <c r="K72" s="19" t="str">
        <f>IFERROR(VLOOKUP(B72,'03. THIẾT BỊ'!$B$1:$S$836,10,0),"")</f>
        <v>Bình thường</v>
      </c>
      <c r="L72" s="25" t="str">
        <f>IFERROR(VLOOKUP(B72,'03. THIẾT BỊ'!$B$1:$S$836,11,0),"")</f>
        <v>Giao về Ban XDCB</v>
      </c>
      <c r="M72" s="24">
        <f>IFERROR(VLOOKUP(B72,'03. THIẾT BỊ'!$B$1:$S$836,12,0),"")</f>
        <v>0</v>
      </c>
      <c r="N72" s="25" t="str">
        <f>IFERROR(VLOOKUP(B72,'03. THIẾT BỊ'!$B$1:$S$836,13,0),"")</f>
        <v>THACO AGRI</v>
      </c>
      <c r="O72" s="24" t="str">
        <f>IFERROR(VLOOKUP(B72,'03. THIẾT BỊ'!$B$1:$S$836,14,0),"")</f>
        <v>M0.6</v>
      </c>
      <c r="P72" s="25" t="str">
        <f>IFERROR(VLOOKUP(B72,'03. THIẾT BỊ'!$B$1:$S$836,15,0),"")</f>
        <v>CK-CGH</v>
      </c>
      <c r="Q72" s="23">
        <f>IFERROR(VLOOKUP(B72,'03. THIẾT BỊ'!$B$1:$S$836,16,0),"")</f>
        <v>2024</v>
      </c>
      <c r="R72" s="25" t="str">
        <f>IFERROR(VLOOKUP(B72,'03. THIẾT BỊ'!$B$1:$S$836,17,0),"")</f>
        <v>700x200x500</v>
      </c>
      <c r="S72" s="25">
        <f>IFERROR(VLOOKUP(B72,'03. THIẾT BỊ'!$B$1:$S$836,18,0),"")</f>
        <v>0</v>
      </c>
      <c r="T72" s="41"/>
    </row>
    <row r="73" customHeight="1" spans="1:20">
      <c r="A73" s="23">
        <f t="shared" si="1"/>
        <v>35</v>
      </c>
      <c r="B73" s="20" t="s">
        <v>3745</v>
      </c>
      <c r="C73" s="613">
        <f>IFERROR(VLOOKUP(B73,'03. THIẾT BỊ'!$B$1:$S$836,2,0),"")</f>
        <v>0</v>
      </c>
      <c r="D73" s="24" t="str">
        <f>IFERROR(VLOOKUP(B73,'03. THIẾT BỊ'!$B$1:$S$836,3,0),"")</f>
        <v>A24-GĐH-003</v>
      </c>
      <c r="E73" s="20" t="str">
        <f>IFERROR(VLOOKUP(B73,'03. THIẾT BỊ'!$B$1:$S$836,4,0),"")</f>
        <v>ĐQSD</v>
      </c>
      <c r="F73" s="20" t="str">
        <f>IFERROR(VLOOKUP(B73,'03. THIẾT BỊ'!$B$1:$S$836,5,0),"")</f>
        <v>Gàu định hình M0.6</v>
      </c>
      <c r="G73" s="101" t="s">
        <v>6468</v>
      </c>
      <c r="H73" s="19" t="str">
        <f>IFERROR(VLOOKUP(B73,'03. THIẾT BỊ'!$B$1:$S$836,7,0),"")</f>
        <v>CGTC LP</v>
      </c>
      <c r="I73" s="610" t="str">
        <f>IFERROR(VLOOKUP(B73,'03. THIẾT BỊ'!$B$1:$S$836,8,0),"")</f>
        <v>29/07/2024</v>
      </c>
      <c r="J73" s="25"/>
      <c r="K73" s="19" t="str">
        <f>IFERROR(VLOOKUP(B73,'03. THIẾT BỊ'!$B$1:$S$836,10,0),"")</f>
        <v>Bình thường</v>
      </c>
      <c r="L73" s="25" t="str">
        <f>IFERROR(VLOOKUP(B73,'03. THIẾT BỊ'!$B$1:$S$836,11,0),"")</f>
        <v>Giao về Ban XDCB</v>
      </c>
      <c r="M73" s="24">
        <f>IFERROR(VLOOKUP(B73,'03. THIẾT BỊ'!$B$1:$S$836,12,0),"")</f>
        <v>0</v>
      </c>
      <c r="N73" s="25" t="str">
        <f>IFERROR(VLOOKUP(B73,'03. THIẾT BỊ'!$B$1:$S$836,13,0),"")</f>
        <v>THACO AGRI</v>
      </c>
      <c r="O73" s="24" t="str">
        <f>IFERROR(VLOOKUP(B73,'03. THIẾT BỊ'!$B$1:$S$836,14,0),"")</f>
        <v>M0.6</v>
      </c>
      <c r="P73" s="25" t="str">
        <f>IFERROR(VLOOKUP(B73,'03. THIẾT BỊ'!$B$1:$S$836,15,0),"")</f>
        <v>CK-CGH</v>
      </c>
      <c r="Q73" s="23">
        <f>IFERROR(VLOOKUP(B73,'03. THIẾT BỊ'!$B$1:$S$836,16,0),"")</f>
        <v>2024</v>
      </c>
      <c r="R73" s="25" t="str">
        <f>IFERROR(VLOOKUP(B73,'03. THIẾT BỊ'!$B$1:$S$836,17,0),"")</f>
        <v>700x200x500</v>
      </c>
      <c r="S73" s="25">
        <f>IFERROR(VLOOKUP(B73,'03. THIẾT BỊ'!$B$1:$S$836,18,0),"")</f>
        <v>0</v>
      </c>
      <c r="T73" s="41"/>
    </row>
    <row r="74" customHeight="1" spans="1:20">
      <c r="A74" s="23">
        <f t="shared" si="1"/>
        <v>36</v>
      </c>
      <c r="B74" s="20" t="s">
        <v>3747</v>
      </c>
      <c r="C74" s="613">
        <f>IFERROR(VLOOKUP(B74,'03. THIẾT BỊ'!$B$1:$S$836,2,0),"")</f>
        <v>0</v>
      </c>
      <c r="D74" s="24" t="str">
        <f>IFERROR(VLOOKUP(B74,'03. THIẾT BỊ'!$B$1:$S$836,3,0),"")</f>
        <v>A24-GĐH-004</v>
      </c>
      <c r="E74" s="20" t="str">
        <f>IFERROR(VLOOKUP(B74,'03. THIẾT BỊ'!$B$1:$S$836,4,0),"")</f>
        <v>ĐQSD</v>
      </c>
      <c r="F74" s="20" t="str">
        <f>IFERROR(VLOOKUP(B74,'03. THIẾT BỊ'!$B$1:$S$836,5,0),"")</f>
        <v>Gàu định hình M0.6</v>
      </c>
      <c r="G74" s="101" t="s">
        <v>6468</v>
      </c>
      <c r="H74" s="19" t="str">
        <f>IFERROR(VLOOKUP(B74,'03. THIẾT BỊ'!$B$1:$S$836,7,0),"")</f>
        <v>CGTC LP</v>
      </c>
      <c r="I74" s="610" t="str">
        <f>IFERROR(VLOOKUP(B74,'03. THIẾT BỊ'!$B$1:$S$836,8,0),"")</f>
        <v>29/07/2024</v>
      </c>
      <c r="J74" s="25"/>
      <c r="K74" s="19" t="str">
        <f>IFERROR(VLOOKUP(B74,'03. THIẾT BỊ'!$B$1:$S$836,10,0),"")</f>
        <v>Bình thường</v>
      </c>
      <c r="L74" s="25" t="str">
        <f>IFERROR(VLOOKUP(B74,'03. THIẾT BỊ'!$B$1:$S$836,11,0),"")</f>
        <v>Giao về Ban XDCB</v>
      </c>
      <c r="M74" s="24">
        <f>IFERROR(VLOOKUP(B74,'03. THIẾT BỊ'!$B$1:$S$836,12,0),"")</f>
        <v>0</v>
      </c>
      <c r="N74" s="25" t="str">
        <f>IFERROR(VLOOKUP(B74,'03. THIẾT BỊ'!$B$1:$S$836,13,0),"")</f>
        <v>THACO AGRI</v>
      </c>
      <c r="O74" s="24" t="str">
        <f>IFERROR(VLOOKUP(B74,'03. THIẾT BỊ'!$B$1:$S$836,14,0),"")</f>
        <v>M0.6</v>
      </c>
      <c r="P74" s="25" t="str">
        <f>IFERROR(VLOOKUP(B74,'03. THIẾT BỊ'!$B$1:$S$836,15,0),"")</f>
        <v>CK-CGH</v>
      </c>
      <c r="Q74" s="23">
        <f>IFERROR(VLOOKUP(B74,'03. THIẾT BỊ'!$B$1:$S$836,16,0),"")</f>
        <v>2024</v>
      </c>
      <c r="R74" s="25" t="str">
        <f>IFERROR(VLOOKUP(B74,'03. THIẾT BỊ'!$B$1:$S$836,17,0),"")</f>
        <v>700x200x500</v>
      </c>
      <c r="S74" s="25">
        <f>IFERROR(VLOOKUP(B74,'03. THIẾT BỊ'!$B$1:$S$836,18,0),"")</f>
        <v>0</v>
      </c>
      <c r="T74" s="41"/>
    </row>
    <row r="75" customHeight="1" spans="1:20">
      <c r="A75" s="23">
        <f t="shared" si="1"/>
        <v>37</v>
      </c>
      <c r="B75" s="20" t="s">
        <v>3749</v>
      </c>
      <c r="C75" s="613">
        <f>IFERROR(VLOOKUP(B75,'03. THIẾT BỊ'!$B$1:$S$836,2,0),"")</f>
        <v>0</v>
      </c>
      <c r="D75" s="24" t="str">
        <f>IFERROR(VLOOKUP(B75,'03. THIẾT BỊ'!$B$1:$S$836,3,0),"")</f>
        <v>A24-GĐH-005</v>
      </c>
      <c r="E75" s="20" t="str">
        <f>IFERROR(VLOOKUP(B75,'03. THIẾT BỊ'!$B$1:$S$836,4,0),"")</f>
        <v>ĐQSD</v>
      </c>
      <c r="F75" s="20" t="str">
        <f>IFERROR(VLOOKUP(B75,'03. THIẾT BỊ'!$B$1:$S$836,5,0),"")</f>
        <v>Gàu định hình M0.6</v>
      </c>
      <c r="G75" s="101" t="s">
        <v>6468</v>
      </c>
      <c r="H75" s="19" t="str">
        <f>IFERROR(VLOOKUP(B75,'03. THIẾT BỊ'!$B$1:$S$836,7,0),"")</f>
        <v>CGTC LP</v>
      </c>
      <c r="I75" s="610" t="str">
        <f>IFERROR(VLOOKUP(B75,'03. THIẾT BỊ'!$B$1:$S$836,8,0),"")</f>
        <v>29/07/2024</v>
      </c>
      <c r="J75" s="25"/>
      <c r="K75" s="19" t="str">
        <f>IFERROR(VLOOKUP(B75,'03. THIẾT BỊ'!$B$1:$S$836,10,0),"")</f>
        <v>Bình thường</v>
      </c>
      <c r="L75" s="25" t="str">
        <f>IFERROR(VLOOKUP(B75,'03. THIẾT BỊ'!$B$1:$S$836,11,0),"")</f>
        <v>Giao về Ban XDCB</v>
      </c>
      <c r="M75" s="24">
        <f>IFERROR(VLOOKUP(B75,'03. THIẾT BỊ'!$B$1:$S$836,12,0),"")</f>
        <v>0</v>
      </c>
      <c r="N75" s="25" t="str">
        <f>IFERROR(VLOOKUP(B75,'03. THIẾT BỊ'!$B$1:$S$836,13,0),"")</f>
        <v>THACO AGRI</v>
      </c>
      <c r="O75" s="24" t="str">
        <f>IFERROR(VLOOKUP(B75,'03. THIẾT BỊ'!$B$1:$S$836,14,0),"")</f>
        <v>M0.6</v>
      </c>
      <c r="P75" s="25" t="str">
        <f>IFERROR(VLOOKUP(B75,'03. THIẾT BỊ'!$B$1:$S$836,15,0),"")</f>
        <v>CK-CGH</v>
      </c>
      <c r="Q75" s="23">
        <f>IFERROR(VLOOKUP(B75,'03. THIẾT BỊ'!$B$1:$S$836,16,0),"")</f>
        <v>2024</v>
      </c>
      <c r="R75" s="25" t="str">
        <f>IFERROR(VLOOKUP(B75,'03. THIẾT BỊ'!$B$1:$S$836,17,0),"")</f>
        <v>700x200x500</v>
      </c>
      <c r="S75" s="25">
        <f>IFERROR(VLOOKUP(B75,'03. THIẾT BỊ'!$B$1:$S$836,18,0),"")</f>
        <v>0</v>
      </c>
      <c r="T75" s="41"/>
    </row>
    <row r="76" customHeight="1" spans="1:20">
      <c r="A76" s="23">
        <f t="shared" si="1"/>
        <v>38</v>
      </c>
      <c r="B76" s="20" t="s">
        <v>3751</v>
      </c>
      <c r="C76" s="613">
        <f>IFERROR(VLOOKUP(B76,'03. THIẾT BỊ'!$B$1:$S$836,2,0),"")</f>
        <v>0</v>
      </c>
      <c r="D76" s="24" t="str">
        <f>IFERROR(VLOOKUP(B76,'03. THIẾT BỊ'!$B$1:$S$836,3,0),"")</f>
        <v>A24-GĐH-006</v>
      </c>
      <c r="E76" s="20" t="str">
        <f>IFERROR(VLOOKUP(B76,'03. THIẾT BỊ'!$B$1:$S$836,4,0),"")</f>
        <v>ĐQSD</v>
      </c>
      <c r="F76" s="20" t="str">
        <f>IFERROR(VLOOKUP(B76,'03. THIẾT BỊ'!$B$1:$S$836,5,0),"")</f>
        <v>Gàu định hình M0.6</v>
      </c>
      <c r="G76" s="101" t="s">
        <v>6468</v>
      </c>
      <c r="H76" s="19" t="str">
        <f>IFERROR(VLOOKUP(B76,'03. THIẾT BỊ'!$B$1:$S$836,7,0),"")</f>
        <v>CGTC LP</v>
      </c>
      <c r="I76" s="610" t="str">
        <f>IFERROR(VLOOKUP(B76,'03. THIẾT BỊ'!$B$1:$S$836,8,0),"")</f>
        <v>29/07/2024</v>
      </c>
      <c r="J76" s="25"/>
      <c r="K76" s="19" t="str">
        <f>IFERROR(VLOOKUP(B76,'03. THIẾT BỊ'!$B$1:$S$836,10,0),"")</f>
        <v>Bình thường</v>
      </c>
      <c r="L76" s="25" t="str">
        <f>IFERROR(VLOOKUP(B76,'03. THIẾT BỊ'!$B$1:$S$836,11,0),"")</f>
        <v>Giao về Ban XDCB</v>
      </c>
      <c r="M76" s="24">
        <f>IFERROR(VLOOKUP(B76,'03. THIẾT BỊ'!$B$1:$S$836,12,0),"")</f>
        <v>0</v>
      </c>
      <c r="N76" s="25" t="str">
        <f>IFERROR(VLOOKUP(B76,'03. THIẾT BỊ'!$B$1:$S$836,13,0),"")</f>
        <v>THACO AGRI</v>
      </c>
      <c r="O76" s="24" t="str">
        <f>IFERROR(VLOOKUP(B76,'03. THIẾT BỊ'!$B$1:$S$836,14,0),"")</f>
        <v>M0.6</v>
      </c>
      <c r="P76" s="25" t="str">
        <f>IFERROR(VLOOKUP(B76,'03. THIẾT BỊ'!$B$1:$S$836,15,0),"")</f>
        <v>CK-CGH</v>
      </c>
      <c r="Q76" s="23">
        <f>IFERROR(VLOOKUP(B76,'03. THIẾT BỊ'!$B$1:$S$836,16,0),"")</f>
        <v>2024</v>
      </c>
      <c r="R76" s="25" t="str">
        <f>IFERROR(VLOOKUP(B76,'03. THIẾT BỊ'!$B$1:$S$836,17,0),"")</f>
        <v>700x200x500</v>
      </c>
      <c r="S76" s="25">
        <f>IFERROR(VLOOKUP(B76,'03. THIẾT BỊ'!$B$1:$S$836,18,0),"")</f>
        <v>0</v>
      </c>
      <c r="T76" s="41"/>
    </row>
    <row r="77" customHeight="1" spans="1:20">
      <c r="A77" s="23">
        <f t="shared" si="1"/>
        <v>39</v>
      </c>
      <c r="B77" s="20" t="s">
        <v>3753</v>
      </c>
      <c r="C77" s="613">
        <f>IFERROR(VLOOKUP(B77,'03. THIẾT BỊ'!$B$1:$S$836,2,0),"")</f>
        <v>0</v>
      </c>
      <c r="D77" s="24" t="str">
        <f>IFERROR(VLOOKUP(B77,'03. THIẾT BỊ'!$B$1:$S$836,3,0),"")</f>
        <v>A24-GĐH-008</v>
      </c>
      <c r="E77" s="20" t="str">
        <f>IFERROR(VLOOKUP(B77,'03. THIẾT BỊ'!$B$1:$S$836,4,0),"")</f>
        <v>ĐQSD</v>
      </c>
      <c r="F77" s="20" t="str">
        <f>IFERROR(VLOOKUP(B77,'03. THIẾT BỊ'!$B$1:$S$836,5,0),"")</f>
        <v>Gàu định hình M0.8</v>
      </c>
      <c r="G77" s="101" t="s">
        <v>6468</v>
      </c>
      <c r="H77" s="19" t="str">
        <f>IFERROR(VLOOKUP(B77,'03. THIẾT BỊ'!$B$1:$S$836,7,0),"")</f>
        <v>CGTC LP</v>
      </c>
      <c r="I77" s="610" t="str">
        <f>IFERROR(VLOOKUP(B77,'03. THIẾT BỊ'!$B$1:$S$836,8,0),"")</f>
        <v>29/07/2024</v>
      </c>
      <c r="J77" s="25"/>
      <c r="K77" s="19" t="str">
        <f>IFERROR(VLOOKUP(B77,'03. THIẾT BỊ'!$B$1:$S$836,10,0),"")</f>
        <v>Bình thường</v>
      </c>
      <c r="L77" s="25" t="str">
        <f>IFERROR(VLOOKUP(B77,'03. THIẾT BỊ'!$B$1:$S$836,11,0),"")</f>
        <v>Giao về Ban XDCB</v>
      </c>
      <c r="M77" s="24">
        <f>IFERROR(VLOOKUP(B77,'03. THIẾT BỊ'!$B$1:$S$836,12,0),"")</f>
        <v>0</v>
      </c>
      <c r="N77" s="25" t="str">
        <f>IFERROR(VLOOKUP(B77,'03. THIẾT BỊ'!$B$1:$S$836,13,0),"")</f>
        <v>THACO AGRI</v>
      </c>
      <c r="O77" s="24" t="str">
        <f>IFERROR(VLOOKUP(B77,'03. THIẾT BỊ'!$B$1:$S$836,14,0),"")</f>
        <v>M0.8</v>
      </c>
      <c r="P77" s="25" t="str">
        <f>IFERROR(VLOOKUP(B77,'03. THIẾT BỊ'!$B$1:$S$836,15,0),"")</f>
        <v>CK-CGH</v>
      </c>
      <c r="Q77" s="23">
        <f>IFERROR(VLOOKUP(B77,'03. THIẾT BỊ'!$B$1:$S$836,16,0),"")</f>
        <v>2024</v>
      </c>
      <c r="R77" s="25" t="str">
        <f>IFERROR(VLOOKUP(B77,'03. THIẾT BỊ'!$B$1:$S$836,17,0),"")</f>
        <v>1000x300x550</v>
      </c>
      <c r="S77" s="25">
        <f>IFERROR(VLOOKUP(B77,'03. THIẾT BỊ'!$B$1:$S$836,18,0),"")</f>
        <v>0</v>
      </c>
      <c r="T77" s="41"/>
    </row>
    <row r="78" customHeight="1" spans="1:20">
      <c r="A78" s="23">
        <f t="shared" si="1"/>
        <v>40</v>
      </c>
      <c r="B78" s="20" t="s">
        <v>3758</v>
      </c>
      <c r="C78" s="613">
        <f>IFERROR(VLOOKUP(B78,'03. THIẾT BỊ'!$B$1:$S$836,2,0),"")</f>
        <v>0</v>
      </c>
      <c r="D78" s="24" t="str">
        <f>IFERROR(VLOOKUP(B78,'03. THIẾT BỊ'!$B$1:$S$836,3,0),"")</f>
        <v>A24-GĐH-009</v>
      </c>
      <c r="E78" s="20" t="str">
        <f>IFERROR(VLOOKUP(B78,'03. THIẾT BỊ'!$B$1:$S$836,4,0),"")</f>
        <v>ĐQSD</v>
      </c>
      <c r="F78" s="20" t="str">
        <f>IFERROR(VLOOKUP(B78,'03. THIẾT BỊ'!$B$1:$S$836,5,0),"")</f>
        <v>Gàu định hình M0.8</v>
      </c>
      <c r="G78" s="101" t="s">
        <v>6468</v>
      </c>
      <c r="H78" s="19" t="str">
        <f>IFERROR(VLOOKUP(B78,'03. THIẾT BỊ'!$B$1:$S$836,7,0),"")</f>
        <v>CGTC LP</v>
      </c>
      <c r="I78" s="610" t="str">
        <f>IFERROR(VLOOKUP(B78,'03. THIẾT BỊ'!$B$1:$S$836,8,0),"")</f>
        <v>29/07/2024</v>
      </c>
      <c r="J78" s="25"/>
      <c r="K78" s="19" t="str">
        <f>IFERROR(VLOOKUP(B78,'03. THIẾT BỊ'!$B$1:$S$836,10,0),"")</f>
        <v>Bình thường</v>
      </c>
      <c r="L78" s="25" t="str">
        <f>IFERROR(VLOOKUP(B78,'03. THIẾT BỊ'!$B$1:$S$836,11,0),"")</f>
        <v>Giao về Ban XDCB</v>
      </c>
      <c r="M78" s="24">
        <f>IFERROR(VLOOKUP(B78,'03. THIẾT BỊ'!$B$1:$S$836,12,0),"")</f>
        <v>0</v>
      </c>
      <c r="N78" s="25" t="str">
        <f>IFERROR(VLOOKUP(B78,'03. THIẾT BỊ'!$B$1:$S$836,13,0),"")</f>
        <v>THACO AGRI</v>
      </c>
      <c r="O78" s="24" t="str">
        <f>IFERROR(VLOOKUP(B78,'03. THIẾT BỊ'!$B$1:$S$836,14,0),"")</f>
        <v>M0.8</v>
      </c>
      <c r="P78" s="25" t="str">
        <f>IFERROR(VLOOKUP(B78,'03. THIẾT BỊ'!$B$1:$S$836,15,0),"")</f>
        <v>CK-CGH</v>
      </c>
      <c r="Q78" s="23">
        <f>IFERROR(VLOOKUP(B78,'03. THIẾT BỊ'!$B$1:$S$836,16,0),"")</f>
        <v>2024</v>
      </c>
      <c r="R78" s="25" t="str">
        <f>IFERROR(VLOOKUP(B78,'03. THIẾT BỊ'!$B$1:$S$836,17,0),"")</f>
        <v>1000x300x550</v>
      </c>
      <c r="S78" s="25">
        <f>IFERROR(VLOOKUP(B78,'03. THIẾT BỊ'!$B$1:$S$836,18,0),"")</f>
        <v>0</v>
      </c>
      <c r="T78" s="41"/>
    </row>
    <row r="79" customHeight="1" spans="1:20">
      <c r="A79" s="23">
        <f t="shared" si="1"/>
        <v>41</v>
      </c>
      <c r="B79" s="20" t="s">
        <v>3760</v>
      </c>
      <c r="C79" s="613">
        <f>IFERROR(VLOOKUP(B79,'03. THIẾT BỊ'!$B$1:$S$836,2,0),"")</f>
        <v>0</v>
      </c>
      <c r="D79" s="24" t="str">
        <f>IFERROR(VLOOKUP(B79,'03. THIẾT BỊ'!$B$1:$S$836,3,0),"")</f>
        <v>A24-GĐH-011</v>
      </c>
      <c r="E79" s="20" t="str">
        <f>IFERROR(VLOOKUP(B79,'03. THIẾT BỊ'!$B$1:$S$836,4,0),"")</f>
        <v>ĐQSD</v>
      </c>
      <c r="F79" s="20" t="str">
        <f>IFERROR(VLOOKUP(B79,'03. THIẾT BỊ'!$B$1:$S$836,5,0),"")</f>
        <v>Gàu định hình M1</v>
      </c>
      <c r="G79" s="101" t="s">
        <v>6468</v>
      </c>
      <c r="H79" s="19" t="str">
        <f>IFERROR(VLOOKUP(B79,'03. THIẾT BỊ'!$B$1:$S$836,7,0),"")</f>
        <v>CGTC LP</v>
      </c>
      <c r="I79" s="610" t="str">
        <f>IFERROR(VLOOKUP(B79,'03. THIẾT BỊ'!$B$1:$S$836,8,0),"")</f>
        <v>22/08/2024</v>
      </c>
      <c r="J79" s="25"/>
      <c r="K79" s="19" t="str">
        <f>IFERROR(VLOOKUP(B79,'03. THIẾT BỊ'!$B$1:$S$836,10,0),"")</f>
        <v>Bình thường</v>
      </c>
      <c r="L79" s="25" t="str">
        <f>IFERROR(VLOOKUP(B79,'03. THIẾT BỊ'!$B$1:$S$836,11,0),"")</f>
        <v>Giao về Ban XDCB</v>
      </c>
      <c r="M79" s="24">
        <f>IFERROR(VLOOKUP(B79,'03. THIẾT BỊ'!$B$1:$S$836,12,0),"")</f>
        <v>0</v>
      </c>
      <c r="N79" s="25" t="str">
        <f>IFERROR(VLOOKUP(B79,'03. THIẾT BỊ'!$B$1:$S$836,13,0),"")</f>
        <v>THACO AGRI</v>
      </c>
      <c r="O79" s="24" t="str">
        <f>IFERROR(VLOOKUP(B79,'03. THIẾT BỊ'!$B$1:$S$836,14,0),"")</f>
        <v>M1</v>
      </c>
      <c r="P79" s="25" t="str">
        <f>IFERROR(VLOOKUP(B79,'03. THIẾT BỊ'!$B$1:$S$836,15,0),"")</f>
        <v>CK-CGH</v>
      </c>
      <c r="Q79" s="23">
        <f>IFERROR(VLOOKUP(B79,'03. THIẾT BỊ'!$B$1:$S$836,16,0),"")</f>
        <v>2024</v>
      </c>
      <c r="R79" s="25" t="str">
        <f>IFERROR(VLOOKUP(B79,'03. THIẾT BỊ'!$B$1:$S$836,17,0),"")</f>
        <v>120x30x80</v>
      </c>
      <c r="S79" s="25">
        <f>IFERROR(VLOOKUP(B79,'03. THIẾT BỊ'!$B$1:$S$836,18,0),"")</f>
        <v>0</v>
      </c>
      <c r="T79" s="41"/>
    </row>
    <row r="80" customHeight="1" spans="1:20">
      <c r="A80" s="23">
        <f t="shared" si="1"/>
        <v>42</v>
      </c>
      <c r="B80" s="20" t="s">
        <v>3764</v>
      </c>
      <c r="C80" s="613">
        <f>IFERROR(VLOOKUP(B80,'03. THIẾT BỊ'!$B$1:$S$836,2,0),"")</f>
        <v>0</v>
      </c>
      <c r="D80" s="24" t="str">
        <f>IFERROR(VLOOKUP(B80,'03. THIẾT BỊ'!$B$1:$S$836,3,0),"")</f>
        <v>A24-GĐH-012</v>
      </c>
      <c r="E80" s="20" t="str">
        <f>IFERROR(VLOOKUP(B80,'03. THIẾT BỊ'!$B$1:$S$836,4,0),"")</f>
        <v>ĐQSD</v>
      </c>
      <c r="F80" s="20" t="str">
        <f>IFERROR(VLOOKUP(B80,'03. THIẾT BỊ'!$B$1:$S$836,5,0),"")</f>
        <v>Gàu định hình M1</v>
      </c>
      <c r="G80" s="101" t="s">
        <v>6468</v>
      </c>
      <c r="H80" s="19" t="str">
        <f>IFERROR(VLOOKUP(B80,'03. THIẾT BỊ'!$B$1:$S$836,7,0),"")</f>
        <v>CGTC LP</v>
      </c>
      <c r="I80" s="610" t="str">
        <f>IFERROR(VLOOKUP(B80,'03. THIẾT BỊ'!$B$1:$S$836,8,0),"")</f>
        <v>22/08/2024</v>
      </c>
      <c r="J80" s="25"/>
      <c r="K80" s="19" t="str">
        <f>IFERROR(VLOOKUP(B80,'03. THIẾT BỊ'!$B$1:$S$836,10,0),"")</f>
        <v>Bình thường</v>
      </c>
      <c r="L80" s="25" t="str">
        <f>IFERROR(VLOOKUP(B80,'03. THIẾT BỊ'!$B$1:$S$836,11,0),"")</f>
        <v>Giao về Ban XDCB</v>
      </c>
      <c r="M80" s="24">
        <f>IFERROR(VLOOKUP(B80,'03. THIẾT BỊ'!$B$1:$S$836,12,0),"")</f>
        <v>0</v>
      </c>
      <c r="N80" s="25" t="str">
        <f>IFERROR(VLOOKUP(B80,'03. THIẾT BỊ'!$B$1:$S$836,13,0),"")</f>
        <v>THACO AGRI</v>
      </c>
      <c r="O80" s="24" t="str">
        <f>IFERROR(VLOOKUP(B80,'03. THIẾT BỊ'!$B$1:$S$836,14,0),"")</f>
        <v>M1</v>
      </c>
      <c r="P80" s="25" t="str">
        <f>IFERROR(VLOOKUP(B80,'03. THIẾT BỊ'!$B$1:$S$836,15,0),"")</f>
        <v>CK-CGH</v>
      </c>
      <c r="Q80" s="23">
        <f>IFERROR(VLOOKUP(B80,'03. THIẾT BỊ'!$B$1:$S$836,16,0),"")</f>
        <v>2024</v>
      </c>
      <c r="R80" s="25" t="str">
        <f>IFERROR(VLOOKUP(B80,'03. THIẾT BỊ'!$B$1:$S$836,17,0),"")</f>
        <v>120x30x80</v>
      </c>
      <c r="S80" s="25">
        <f>IFERROR(VLOOKUP(B80,'03. THIẾT BỊ'!$B$1:$S$836,18,0),"")</f>
        <v>0</v>
      </c>
      <c r="T80" s="41"/>
    </row>
    <row r="81" customHeight="1" spans="1:20">
      <c r="A81" s="23">
        <f t="shared" si="1"/>
        <v>43</v>
      </c>
      <c r="B81" s="20" t="s">
        <v>3766</v>
      </c>
      <c r="C81" s="613">
        <f>IFERROR(VLOOKUP(B81,'03. THIẾT BỊ'!$B$1:$S$836,2,0),"")</f>
        <v>0</v>
      </c>
      <c r="D81" s="24" t="str">
        <f>IFERROR(VLOOKUP(B81,'03. THIẾT BỊ'!$B$1:$S$836,3,0),"")</f>
        <v>A24-GĐH-013</v>
      </c>
      <c r="E81" s="20" t="str">
        <f>IFERROR(VLOOKUP(B81,'03. THIẾT BỊ'!$B$1:$S$836,4,0),"")</f>
        <v>ĐQSD</v>
      </c>
      <c r="F81" s="20" t="str">
        <f>IFERROR(VLOOKUP(B81,'03. THIẾT BỊ'!$B$1:$S$836,5,0),"")</f>
        <v>Gàu định hình M1.5</v>
      </c>
      <c r="G81" s="101" t="s">
        <v>6468</v>
      </c>
      <c r="H81" s="19" t="str">
        <f>IFERROR(VLOOKUP(B81,'03. THIẾT BỊ'!$B$1:$S$836,7,0),"")</f>
        <v>CGTC LP</v>
      </c>
      <c r="I81" s="610">
        <f>IFERROR(VLOOKUP(B81,'03. THIẾT BỊ'!$B$1:$S$836,8,0),"")</f>
        <v>45542</v>
      </c>
      <c r="J81" s="25"/>
      <c r="K81" s="19" t="str">
        <f>IFERROR(VLOOKUP(B81,'03. THIẾT BỊ'!$B$1:$S$836,10,0),"")</f>
        <v>Bình thường</v>
      </c>
      <c r="L81" s="25" t="str">
        <f>IFERROR(VLOOKUP(B81,'03. THIẾT BỊ'!$B$1:$S$836,11,0),"")</f>
        <v>Giao về Ban XDCB</v>
      </c>
      <c r="M81" s="24">
        <f>IFERROR(VLOOKUP(B81,'03. THIẾT BỊ'!$B$1:$S$836,12,0),"")</f>
        <v>0</v>
      </c>
      <c r="N81" s="25" t="str">
        <f>IFERROR(VLOOKUP(B81,'03. THIẾT BỊ'!$B$1:$S$836,13,0),"")</f>
        <v>THACO AGRI</v>
      </c>
      <c r="O81" s="24" t="str">
        <f>IFERROR(VLOOKUP(B81,'03. THIẾT BỊ'!$B$1:$S$836,14,0),"")</f>
        <v>M1.5</v>
      </c>
      <c r="P81" s="25" t="str">
        <f>IFERROR(VLOOKUP(B81,'03. THIẾT BỊ'!$B$1:$S$836,15,0),"")</f>
        <v>CK-CGH</v>
      </c>
      <c r="Q81" s="23">
        <f>IFERROR(VLOOKUP(B81,'03. THIẾT BỊ'!$B$1:$S$836,16,0),"")</f>
        <v>2024</v>
      </c>
      <c r="R81" s="25" t="str">
        <f>IFERROR(VLOOKUP(B81,'03. THIẾT BỊ'!$B$1:$S$836,17,0),"")</f>
        <v>1800x400x1200</v>
      </c>
      <c r="S81" s="25">
        <f>IFERROR(VLOOKUP(B81,'03. THIẾT BỊ'!$B$1:$S$836,18,0),"")</f>
        <v>0</v>
      </c>
      <c r="T81" s="41"/>
    </row>
    <row r="82" customHeight="1" spans="1:20">
      <c r="A82" s="23">
        <f t="shared" si="1"/>
        <v>44</v>
      </c>
      <c r="B82" s="20" t="s">
        <v>3771</v>
      </c>
      <c r="C82" s="613">
        <f>IFERROR(VLOOKUP(B82,'03. THIẾT BỊ'!$B$1:$S$836,2,0),"")</f>
        <v>0</v>
      </c>
      <c r="D82" s="24" t="str">
        <f>IFERROR(VLOOKUP(B82,'03. THIẾT BỊ'!$B$1:$S$836,3,0),"")</f>
        <v>A24-GĐH-015</v>
      </c>
      <c r="E82" s="20" t="str">
        <f>IFERROR(VLOOKUP(B82,'03. THIẾT BỊ'!$B$1:$S$836,4,0),"")</f>
        <v>ĐQSD</v>
      </c>
      <c r="F82" s="20" t="str">
        <f>IFERROR(VLOOKUP(B82,'03. THIẾT BỊ'!$B$1:$S$836,5,0),"")</f>
        <v>Gàu định hình M3</v>
      </c>
      <c r="G82" s="101" t="s">
        <v>6468</v>
      </c>
      <c r="H82" s="19" t="str">
        <f>IFERROR(VLOOKUP(B82,'03. THIẾT BỊ'!$B$1:$S$836,7,0),"")</f>
        <v>CGTC LP</v>
      </c>
      <c r="I82" s="610" t="str">
        <f>IFERROR(VLOOKUP(B82,'03. THIẾT BỊ'!$B$1:$S$836,8,0),"")</f>
        <v>22/08/2024</v>
      </c>
      <c r="J82" s="25"/>
      <c r="K82" s="19" t="str">
        <f>IFERROR(VLOOKUP(B82,'03. THIẾT BỊ'!$B$1:$S$836,10,0),"")</f>
        <v>Bình thường</v>
      </c>
      <c r="L82" s="25" t="str">
        <f>IFERROR(VLOOKUP(B82,'03. THIẾT BỊ'!$B$1:$S$836,11,0),"")</f>
        <v>Giao về Ban XDCB</v>
      </c>
      <c r="M82" s="24">
        <f>IFERROR(VLOOKUP(B82,'03. THIẾT BỊ'!$B$1:$S$836,12,0),"")</f>
        <v>0</v>
      </c>
      <c r="N82" s="25" t="str">
        <f>IFERROR(VLOOKUP(B82,'03. THIẾT BỊ'!$B$1:$S$836,13,0),"")</f>
        <v>THACO AGRI</v>
      </c>
      <c r="O82" s="24" t="str">
        <f>IFERROR(VLOOKUP(B82,'03. THIẾT BỊ'!$B$1:$S$836,14,0),"")</f>
        <v>M3</v>
      </c>
      <c r="P82" s="25" t="str">
        <f>IFERROR(VLOOKUP(B82,'03. THIẾT BỊ'!$B$1:$S$836,15,0),"")</f>
        <v>CK-CGH</v>
      </c>
      <c r="Q82" s="23">
        <f>IFERROR(VLOOKUP(B82,'03. THIẾT BỊ'!$B$1:$S$836,16,0),"")</f>
        <v>2024</v>
      </c>
      <c r="R82" s="25" t="str">
        <f>IFERROR(VLOOKUP(B82,'03. THIẾT BỊ'!$B$1:$S$836,17,0),"")</f>
        <v>3000x950x1800</v>
      </c>
      <c r="S82" s="25">
        <f>IFERROR(VLOOKUP(B82,'03. THIẾT BỊ'!$B$1:$S$836,18,0),"")</f>
        <v>0</v>
      </c>
      <c r="T82" s="41"/>
    </row>
    <row r="83" customHeight="1" spans="1:20">
      <c r="A83" s="23">
        <f t="shared" si="1"/>
        <v>45</v>
      </c>
      <c r="B83" s="20" t="s">
        <v>3776</v>
      </c>
      <c r="C83" s="613">
        <f>IFERROR(VLOOKUP(B83,'03. THIẾT BỊ'!$B$1:$S$836,2,0),"")</f>
        <v>0</v>
      </c>
      <c r="D83" s="24" t="str">
        <f>IFERROR(VLOOKUP(B83,'03. THIẾT BỊ'!$B$1:$S$836,3,0),"")</f>
        <v>A24-GĐH-016</v>
      </c>
      <c r="E83" s="20" t="str">
        <f>IFERROR(VLOOKUP(B83,'03. THIẾT BỊ'!$B$1:$S$836,4,0),"")</f>
        <v>ĐQSD</v>
      </c>
      <c r="F83" s="20" t="str">
        <f>IFERROR(VLOOKUP(B83,'03. THIẾT BỊ'!$B$1:$S$836,5,0),"")</f>
        <v>Gàu định hình M3</v>
      </c>
      <c r="G83" s="101" t="s">
        <v>6468</v>
      </c>
      <c r="H83" s="19" t="str">
        <f>IFERROR(VLOOKUP(B83,'03. THIẾT BỊ'!$B$1:$S$836,7,0),"")</f>
        <v>CGTC LP</v>
      </c>
      <c r="I83" s="610" t="str">
        <f>IFERROR(VLOOKUP(B83,'03. THIẾT BỊ'!$B$1:$S$836,8,0),"")</f>
        <v>22/08/2024</v>
      </c>
      <c r="J83" s="25"/>
      <c r="K83" s="19" t="str">
        <f>IFERROR(VLOOKUP(B83,'03. THIẾT BỊ'!$B$1:$S$836,10,0),"")</f>
        <v>Bình thường</v>
      </c>
      <c r="L83" s="25" t="str">
        <f>IFERROR(VLOOKUP(B83,'03. THIẾT BỊ'!$B$1:$S$836,11,0),"")</f>
        <v>Giao về Ban XDCB</v>
      </c>
      <c r="M83" s="24">
        <f>IFERROR(VLOOKUP(B83,'03. THIẾT BỊ'!$B$1:$S$836,12,0),"")</f>
        <v>0</v>
      </c>
      <c r="N83" s="25" t="str">
        <f>IFERROR(VLOOKUP(B83,'03. THIẾT BỊ'!$B$1:$S$836,13,0),"")</f>
        <v>THACO AGRI</v>
      </c>
      <c r="O83" s="24" t="str">
        <f>IFERROR(VLOOKUP(B83,'03. THIẾT BỊ'!$B$1:$S$836,14,0),"")</f>
        <v>M3</v>
      </c>
      <c r="P83" s="25" t="str">
        <f>IFERROR(VLOOKUP(B83,'03. THIẾT BỊ'!$B$1:$S$836,15,0),"")</f>
        <v>CK-CGH</v>
      </c>
      <c r="Q83" s="23">
        <f>IFERROR(VLOOKUP(B83,'03. THIẾT BỊ'!$B$1:$S$836,16,0),"")</f>
        <v>2024</v>
      </c>
      <c r="R83" s="25" t="str">
        <f>IFERROR(VLOOKUP(B83,'03. THIẾT BỊ'!$B$1:$S$836,17,0),"")</f>
        <v>3000x950x1800</v>
      </c>
      <c r="S83" s="25">
        <f>IFERROR(VLOOKUP(B83,'03. THIẾT BỊ'!$B$1:$S$836,18,0),"")</f>
        <v>0</v>
      </c>
      <c r="T83" s="41"/>
    </row>
    <row r="84" customHeight="1" spans="1:20">
      <c r="A84" s="23">
        <f t="shared" si="1"/>
        <v>46</v>
      </c>
      <c r="B84" s="20" t="s">
        <v>3778</v>
      </c>
      <c r="C84" s="613">
        <f>IFERROR(VLOOKUP(B84,'03. THIẾT BỊ'!$B$1:$S$836,2,0),"")</f>
        <v>0</v>
      </c>
      <c r="D84" s="24" t="str">
        <f>IFERROR(VLOOKUP(B84,'03. THIẾT BỊ'!$B$1:$S$836,3,0),"")</f>
        <v>A24-GĐH-059</v>
      </c>
      <c r="E84" s="20" t="str">
        <f>IFERROR(VLOOKUP(B84,'03. THIẾT BỊ'!$B$1:$S$836,4,0),"")</f>
        <v>ĐQSD</v>
      </c>
      <c r="F84" s="20" t="str">
        <f>IFERROR(VLOOKUP(B84,'03. THIẾT BỊ'!$B$1:$S$836,5,0),"")</f>
        <v>Gàu định hình đảo mương thửa</v>
      </c>
      <c r="G84" s="101" t="s">
        <v>6468</v>
      </c>
      <c r="H84" s="19" t="str">
        <f>IFERROR(VLOOKUP(B84,'03. THIẾT BỊ'!$B$1:$S$836,7,0),"")</f>
        <v>CGTC LP</v>
      </c>
      <c r="I84" s="610">
        <f>IFERROR(VLOOKUP(B84,'03. THIẾT BỊ'!$B$1:$S$836,8,0),"")</f>
        <v>45993</v>
      </c>
      <c r="J84" s="25"/>
      <c r="K84" s="19" t="str">
        <f>IFERROR(VLOOKUP(B84,'03. THIẾT BỊ'!$B$1:$S$836,10,0),"")</f>
        <v>Bình thường</v>
      </c>
      <c r="L84" s="25" t="str">
        <f>IFERROR(VLOOKUP(B84,'03. THIẾT BỊ'!$B$1:$S$836,11,0),"")</f>
        <v>Giao về Ban XDCB</v>
      </c>
      <c r="M84" s="24">
        <f>IFERROR(VLOOKUP(B84,'03. THIẾT BỊ'!$B$1:$S$836,12,0),"")</f>
        <v>0</v>
      </c>
      <c r="N84" s="25" t="str">
        <f>IFERROR(VLOOKUP(B84,'03. THIẾT BỊ'!$B$1:$S$836,13,0),"")</f>
        <v>THACO AGRI</v>
      </c>
      <c r="O84" s="24">
        <f>IFERROR(VLOOKUP(B84,'03. THIẾT BỊ'!$B$1:$S$836,14,0),"")</f>
        <v>0</v>
      </c>
      <c r="P84" s="25" t="str">
        <f>IFERROR(VLOOKUP(B84,'03. THIẾT BỊ'!$B$1:$S$836,15,0),"")</f>
        <v>CK-CGH</v>
      </c>
      <c r="Q84" s="23">
        <f>IFERROR(VLOOKUP(B84,'03. THIẾT BỊ'!$B$1:$S$836,16,0),"")</f>
        <v>2025</v>
      </c>
      <c r="R84" s="25" t="str">
        <f>IFERROR(VLOOKUP(B84,'03. THIẾT BỊ'!$B$1:$S$836,17,0),"")</f>
        <v>1200x200x1200</v>
      </c>
      <c r="S84" s="25">
        <f>IFERROR(VLOOKUP(B84,'03. THIẾT BỊ'!$B$1:$S$836,18,0),"")</f>
        <v>0</v>
      </c>
      <c r="T84" s="41"/>
    </row>
    <row r="85" customHeight="1" spans="1:20">
      <c r="A85" s="23">
        <f t="shared" si="1"/>
        <v>47</v>
      </c>
      <c r="B85" s="20" t="s">
        <v>3782</v>
      </c>
      <c r="C85" s="613">
        <f>IFERROR(VLOOKUP(B85,'03. THIẾT BỊ'!$B$1:$S$836,2,0),"")</f>
        <v>0</v>
      </c>
      <c r="D85" s="24" t="str">
        <f>IFERROR(VLOOKUP(B85,'03. THIẾT BỊ'!$B$1:$S$836,3,0),"")</f>
        <v>A24-GĐH-060</v>
      </c>
      <c r="E85" s="20" t="str">
        <f>IFERROR(VLOOKUP(B85,'03. THIẾT BỊ'!$B$1:$S$836,4,0),"")</f>
        <v>ĐQSD</v>
      </c>
      <c r="F85" s="20" t="str">
        <f>IFERROR(VLOOKUP(B85,'03. THIẾT BỊ'!$B$1:$S$836,5,0),"")</f>
        <v>Gàu định hình đảo mương thửa</v>
      </c>
      <c r="G85" s="101" t="s">
        <v>6468</v>
      </c>
      <c r="H85" s="19" t="str">
        <f>IFERROR(VLOOKUP(B85,'03. THIẾT BỊ'!$B$1:$S$836,7,0),"")</f>
        <v>CGTC LP</v>
      </c>
      <c r="I85" s="610">
        <f>IFERROR(VLOOKUP(B85,'03. THIẾT BỊ'!$B$1:$S$836,8,0),"")</f>
        <v>45993</v>
      </c>
      <c r="J85" s="25"/>
      <c r="K85" s="19" t="str">
        <f>IFERROR(VLOOKUP(B85,'03. THIẾT BỊ'!$B$1:$S$836,10,0),"")</f>
        <v>Bình thường</v>
      </c>
      <c r="L85" s="25" t="str">
        <f>IFERROR(VLOOKUP(B85,'03. THIẾT BỊ'!$B$1:$S$836,11,0),"")</f>
        <v>Giao về Ban XDCB</v>
      </c>
      <c r="M85" s="24">
        <f>IFERROR(VLOOKUP(B85,'03. THIẾT BỊ'!$B$1:$S$836,12,0),"")</f>
        <v>0</v>
      </c>
      <c r="N85" s="25" t="str">
        <f>IFERROR(VLOOKUP(B85,'03. THIẾT BỊ'!$B$1:$S$836,13,0),"")</f>
        <v>THACO AGRI</v>
      </c>
      <c r="O85" s="24">
        <f>IFERROR(VLOOKUP(B85,'03. THIẾT BỊ'!$B$1:$S$836,14,0),"")</f>
        <v>0</v>
      </c>
      <c r="P85" s="25" t="str">
        <f>IFERROR(VLOOKUP(B85,'03. THIẾT BỊ'!$B$1:$S$836,15,0),"")</f>
        <v>CK-CGH</v>
      </c>
      <c r="Q85" s="23">
        <f>IFERROR(VLOOKUP(B85,'03. THIẾT BỊ'!$B$1:$S$836,16,0),"")</f>
        <v>2025</v>
      </c>
      <c r="R85" s="25" t="str">
        <f>IFERROR(VLOOKUP(B85,'03. THIẾT BỊ'!$B$1:$S$836,17,0),"")</f>
        <v>1200x200x1200</v>
      </c>
      <c r="S85" s="25">
        <f>IFERROR(VLOOKUP(B85,'03. THIẾT BỊ'!$B$1:$S$836,18,0),"")</f>
        <v>0</v>
      </c>
      <c r="T85" s="41"/>
    </row>
    <row r="86" customHeight="1" spans="1:20">
      <c r="A86" s="23">
        <f t="shared" si="1"/>
        <v>48</v>
      </c>
      <c r="B86" s="20" t="s">
        <v>3784</v>
      </c>
      <c r="C86" s="613">
        <f>IFERROR(VLOOKUP(B86,'03. THIẾT BỊ'!$B$1:$S$836,2,0),"")</f>
        <v>0</v>
      </c>
      <c r="D86" s="24" t="str">
        <f>IFERROR(VLOOKUP(B86,'03. THIẾT BỊ'!$B$1:$S$836,3,0),"")</f>
        <v>A24-GĐH-061</v>
      </c>
      <c r="E86" s="20" t="str">
        <f>IFERROR(VLOOKUP(B86,'03. THIẾT BỊ'!$B$1:$S$836,4,0),"")</f>
        <v>ĐQSD</v>
      </c>
      <c r="F86" s="20" t="str">
        <f>IFERROR(VLOOKUP(B86,'03. THIẾT BỊ'!$B$1:$S$836,5,0),"")</f>
        <v>Gàu định hình đảo mương thửa</v>
      </c>
      <c r="G86" s="101" t="s">
        <v>6468</v>
      </c>
      <c r="H86" s="19" t="str">
        <f>IFERROR(VLOOKUP(B86,'03. THIẾT BỊ'!$B$1:$S$836,7,0),"")</f>
        <v>CGTC LP</v>
      </c>
      <c r="I86" s="610">
        <f>IFERROR(VLOOKUP(B86,'03. THIẾT BỊ'!$B$1:$S$836,8,0),"")</f>
        <v>45993</v>
      </c>
      <c r="J86" s="25"/>
      <c r="K86" s="19" t="str">
        <f>IFERROR(VLOOKUP(B86,'03. THIẾT BỊ'!$B$1:$S$836,10,0),"")</f>
        <v>Bình thường</v>
      </c>
      <c r="L86" s="25" t="str">
        <f>IFERROR(VLOOKUP(B86,'03. THIẾT BỊ'!$B$1:$S$836,11,0),"")</f>
        <v>Giao về Ban XDCB</v>
      </c>
      <c r="M86" s="24">
        <f>IFERROR(VLOOKUP(B86,'03. THIẾT BỊ'!$B$1:$S$836,12,0),"")</f>
        <v>0</v>
      </c>
      <c r="N86" s="25" t="str">
        <f>IFERROR(VLOOKUP(B86,'03. THIẾT BỊ'!$B$1:$S$836,13,0),"")</f>
        <v>THACO AGRI</v>
      </c>
      <c r="O86" s="24">
        <f>IFERROR(VLOOKUP(B86,'03. THIẾT BỊ'!$B$1:$S$836,14,0),"")</f>
        <v>0</v>
      </c>
      <c r="P86" s="25" t="str">
        <f>IFERROR(VLOOKUP(B86,'03. THIẾT BỊ'!$B$1:$S$836,15,0),"")</f>
        <v>CK-CGH</v>
      </c>
      <c r="Q86" s="23">
        <f>IFERROR(VLOOKUP(B86,'03. THIẾT BỊ'!$B$1:$S$836,16,0),"")</f>
        <v>2025</v>
      </c>
      <c r="R86" s="25" t="str">
        <f>IFERROR(VLOOKUP(B86,'03. THIẾT BỊ'!$B$1:$S$836,17,0),"")</f>
        <v>1200x200x1200</v>
      </c>
      <c r="S86" s="25">
        <f>IFERROR(VLOOKUP(B86,'03. THIẾT BỊ'!$B$1:$S$836,18,0),"")</f>
        <v>0</v>
      </c>
      <c r="T86" s="41"/>
    </row>
    <row r="87" customHeight="1" spans="1:20">
      <c r="A87" s="23">
        <f t="shared" si="1"/>
        <v>49</v>
      </c>
      <c r="B87" s="20" t="s">
        <v>3786</v>
      </c>
      <c r="C87" s="613">
        <f>IFERROR(VLOOKUP(B87,'03. THIẾT BỊ'!$B$1:$S$836,2,0),"")</f>
        <v>0</v>
      </c>
      <c r="D87" s="24" t="str">
        <f>IFERROR(VLOOKUP(B87,'03. THIẾT BỊ'!$B$1:$S$836,3,0),"")</f>
        <v>A24-GĐH-062</v>
      </c>
      <c r="E87" s="20" t="str">
        <f>IFERROR(VLOOKUP(B87,'03. THIẾT BỊ'!$B$1:$S$836,4,0),"")</f>
        <v>ĐQSD</v>
      </c>
      <c r="F87" s="20" t="str">
        <f>IFERROR(VLOOKUP(B87,'03. THIẾT BỊ'!$B$1:$S$836,5,0),"")</f>
        <v>Gàu định hình đảo mương thửa</v>
      </c>
      <c r="G87" s="101" t="s">
        <v>6468</v>
      </c>
      <c r="H87" s="19" t="str">
        <f>IFERROR(VLOOKUP(B87,'03. THIẾT BỊ'!$B$1:$S$836,7,0),"")</f>
        <v>CGTC LP</v>
      </c>
      <c r="I87" s="610">
        <f>IFERROR(VLOOKUP(B87,'03. THIẾT BỊ'!$B$1:$S$836,8,0),"")</f>
        <v>45993</v>
      </c>
      <c r="J87" s="25"/>
      <c r="K87" s="19" t="str">
        <f>IFERROR(VLOOKUP(B87,'03. THIẾT BỊ'!$B$1:$S$836,10,0),"")</f>
        <v>Bình thường</v>
      </c>
      <c r="L87" s="25" t="str">
        <f>IFERROR(VLOOKUP(B87,'03. THIẾT BỊ'!$B$1:$S$836,11,0),"")</f>
        <v>Giao về Ban XDCB</v>
      </c>
      <c r="M87" s="24">
        <f>IFERROR(VLOOKUP(B87,'03. THIẾT BỊ'!$B$1:$S$836,12,0),"")</f>
        <v>0</v>
      </c>
      <c r="N87" s="25" t="str">
        <f>IFERROR(VLOOKUP(B87,'03. THIẾT BỊ'!$B$1:$S$836,13,0),"")</f>
        <v>THACO AGRI</v>
      </c>
      <c r="O87" s="24">
        <f>IFERROR(VLOOKUP(B87,'03. THIẾT BỊ'!$B$1:$S$836,14,0),"")</f>
        <v>0</v>
      </c>
      <c r="P87" s="25" t="str">
        <f>IFERROR(VLOOKUP(B87,'03. THIẾT BỊ'!$B$1:$S$836,15,0),"")</f>
        <v>CK-CGH</v>
      </c>
      <c r="Q87" s="23">
        <f>IFERROR(VLOOKUP(B87,'03. THIẾT BỊ'!$B$1:$S$836,16,0),"")</f>
        <v>2025</v>
      </c>
      <c r="R87" s="25" t="str">
        <f>IFERROR(VLOOKUP(B87,'03. THIẾT BỊ'!$B$1:$S$836,17,0),"")</f>
        <v>1200x200x1200</v>
      </c>
      <c r="S87" s="25">
        <f>IFERROR(VLOOKUP(B87,'03. THIẾT BỊ'!$B$1:$S$836,18,0),"")</f>
        <v>0</v>
      </c>
      <c r="T87" s="41"/>
    </row>
    <row r="88" customHeight="1" spans="1:20">
      <c r="A88" s="23">
        <f t="shared" si="1"/>
        <v>50</v>
      </c>
      <c r="B88" s="20" t="s">
        <v>3788</v>
      </c>
      <c r="C88" s="613">
        <f>IFERROR(VLOOKUP(B88,'03. THIẾT BỊ'!$B$1:$S$836,2,0),"")</f>
        <v>0</v>
      </c>
      <c r="D88" s="24" t="str">
        <f>IFERROR(VLOOKUP(B88,'03. THIẾT BỊ'!$B$1:$S$836,3,0),"")</f>
        <v>A24-GĐH-063</v>
      </c>
      <c r="E88" s="20" t="str">
        <f>IFERROR(VLOOKUP(B88,'03. THIẾT BỊ'!$B$1:$S$836,4,0),"")</f>
        <v>ĐQSD</v>
      </c>
      <c r="F88" s="20" t="str">
        <f>IFERROR(VLOOKUP(B88,'03. THIẾT BỊ'!$B$1:$S$836,5,0),"")</f>
        <v>Gàu định hình đảo mương thửa</v>
      </c>
      <c r="G88" s="101" t="s">
        <v>6468</v>
      </c>
      <c r="H88" s="19" t="str">
        <f>IFERROR(VLOOKUP(B88,'03. THIẾT BỊ'!$B$1:$S$836,7,0),"")</f>
        <v>CGTC LP</v>
      </c>
      <c r="I88" s="610">
        <f>IFERROR(VLOOKUP(B88,'03. THIẾT BỊ'!$B$1:$S$836,8,0),"")</f>
        <v>45993</v>
      </c>
      <c r="J88" s="25"/>
      <c r="K88" s="19" t="str">
        <f>IFERROR(VLOOKUP(B88,'03. THIẾT BỊ'!$B$1:$S$836,10,0),"")</f>
        <v>Bình thường</v>
      </c>
      <c r="L88" s="25" t="str">
        <f>IFERROR(VLOOKUP(B88,'03. THIẾT BỊ'!$B$1:$S$836,11,0),"")</f>
        <v>Giao về Ban XDCB</v>
      </c>
      <c r="M88" s="24">
        <f>IFERROR(VLOOKUP(B88,'03. THIẾT BỊ'!$B$1:$S$836,12,0),"")</f>
        <v>0</v>
      </c>
      <c r="N88" s="25" t="str">
        <f>IFERROR(VLOOKUP(B88,'03. THIẾT BỊ'!$B$1:$S$836,13,0),"")</f>
        <v>THACO AGRI</v>
      </c>
      <c r="O88" s="24">
        <f>IFERROR(VLOOKUP(B88,'03. THIẾT BỊ'!$B$1:$S$836,14,0),"")</f>
        <v>0</v>
      </c>
      <c r="P88" s="25" t="str">
        <f>IFERROR(VLOOKUP(B88,'03. THIẾT BỊ'!$B$1:$S$836,15,0),"")</f>
        <v>CK-CGH</v>
      </c>
      <c r="Q88" s="23">
        <f>IFERROR(VLOOKUP(B88,'03. THIẾT BỊ'!$B$1:$S$836,16,0),"")</f>
        <v>2025</v>
      </c>
      <c r="R88" s="25" t="str">
        <f>IFERROR(VLOOKUP(B88,'03. THIẾT BỊ'!$B$1:$S$836,17,0),"")</f>
        <v>1200x200x1200</v>
      </c>
      <c r="S88" s="25">
        <f>IFERROR(VLOOKUP(B88,'03. THIẾT BỊ'!$B$1:$S$836,18,0),"")</f>
        <v>0</v>
      </c>
      <c r="T88" s="41"/>
    </row>
    <row r="89" customHeight="1" spans="1:20">
      <c r="A89" s="23">
        <f t="shared" si="1"/>
        <v>51</v>
      </c>
      <c r="B89" s="20" t="s">
        <v>3790</v>
      </c>
      <c r="C89" s="613">
        <f>IFERROR(VLOOKUP(B89,'03. THIẾT BỊ'!$B$1:$S$836,2,0),"")</f>
        <v>0</v>
      </c>
      <c r="D89" s="24" t="str">
        <f>IFERROR(VLOOKUP(B89,'03. THIẾT BỊ'!$B$1:$S$836,3,0),"")</f>
        <v>A24-GĐH-064</v>
      </c>
      <c r="E89" s="20" t="str">
        <f>IFERROR(VLOOKUP(B89,'03. THIẾT BỊ'!$B$1:$S$836,4,0),"")</f>
        <v>ĐQSD</v>
      </c>
      <c r="F89" s="20" t="str">
        <f>IFERROR(VLOOKUP(B89,'03. THIẾT BỊ'!$B$1:$S$836,5,0),"")</f>
        <v>Gàu định hình đảo mương lô</v>
      </c>
      <c r="G89" s="101" t="s">
        <v>6468</v>
      </c>
      <c r="H89" s="19" t="str">
        <f>IFERROR(VLOOKUP(B89,'03. THIẾT BỊ'!$B$1:$S$836,7,0),"")</f>
        <v>CGTC LP</v>
      </c>
      <c r="I89" s="610">
        <f>IFERROR(VLOOKUP(B89,'03. THIẾT BỊ'!$B$1:$S$836,8,0),"")</f>
        <v>45993</v>
      </c>
      <c r="J89" s="25"/>
      <c r="K89" s="19" t="str">
        <f>IFERROR(VLOOKUP(B89,'03. THIẾT BỊ'!$B$1:$S$836,10,0),"")</f>
        <v>Bình thường</v>
      </c>
      <c r="L89" s="25" t="str">
        <f>IFERROR(VLOOKUP(B89,'03. THIẾT BỊ'!$B$1:$S$836,11,0),"")</f>
        <v>Giao về Ban XDCB</v>
      </c>
      <c r="M89" s="24">
        <f>IFERROR(VLOOKUP(B89,'03. THIẾT BỊ'!$B$1:$S$836,12,0),"")</f>
        <v>0</v>
      </c>
      <c r="N89" s="25" t="str">
        <f>IFERROR(VLOOKUP(B89,'03. THIẾT BỊ'!$B$1:$S$836,13,0),"")</f>
        <v>THACO AGRI</v>
      </c>
      <c r="O89" s="24">
        <f>IFERROR(VLOOKUP(B89,'03. THIẾT BỊ'!$B$1:$S$836,14,0),"")</f>
        <v>0</v>
      </c>
      <c r="P89" s="25" t="str">
        <f>IFERROR(VLOOKUP(B89,'03. THIẾT BỊ'!$B$1:$S$836,15,0),"")</f>
        <v>CK-CGH</v>
      </c>
      <c r="Q89" s="23">
        <f>IFERROR(VLOOKUP(B89,'03. THIẾT BỊ'!$B$1:$S$836,16,0),"")</f>
        <v>2025</v>
      </c>
      <c r="R89" s="25" t="str">
        <f>IFERROR(VLOOKUP(B89,'03. THIẾT BỊ'!$B$1:$S$836,17,0),"")</f>
        <v>2000x200x2000</v>
      </c>
      <c r="S89" s="25">
        <f>IFERROR(VLOOKUP(B89,'03. THIẾT BỊ'!$B$1:$S$836,18,0),"")</f>
        <v>0</v>
      </c>
      <c r="T89" s="41"/>
    </row>
    <row r="90" customHeight="1" spans="1:20">
      <c r="A90" s="23">
        <f t="shared" si="1"/>
        <v>52</v>
      </c>
      <c r="B90" s="20" t="s">
        <v>3794</v>
      </c>
      <c r="C90" s="613">
        <f>IFERROR(VLOOKUP(B90,'03. THIẾT BỊ'!$B$1:$S$836,2,0),"")</f>
        <v>0</v>
      </c>
      <c r="D90" s="24" t="str">
        <f>IFERROR(VLOOKUP(B90,'03. THIẾT BỊ'!$B$1:$S$836,3,0),"")</f>
        <v>A24-GĐH-069</v>
      </c>
      <c r="E90" s="20" t="str">
        <f>IFERROR(VLOOKUP(B90,'03. THIẾT BỊ'!$B$1:$S$836,4,0),"")</f>
        <v>ĐQSD</v>
      </c>
      <c r="F90" s="20" t="str">
        <f>IFERROR(VLOOKUP(B90,'03. THIẾT BỊ'!$B$1:$S$836,5,0),"")</f>
        <v>Gàu định hình đào mương M1.2</v>
      </c>
      <c r="G90" s="101" t="s">
        <v>6468</v>
      </c>
      <c r="H90" s="19" t="str">
        <f>IFERROR(VLOOKUP(B90,'03. THIẾT BỊ'!$B$1:$S$836,7,0),"")</f>
        <v>CGTC LP</v>
      </c>
      <c r="I90" s="610" t="str">
        <f>IFERROR(VLOOKUP(B90,'03. THIẾT BỊ'!$B$1:$S$836,8,0),"")</f>
        <v>19/05/2025</v>
      </c>
      <c r="J90" s="25"/>
      <c r="K90" s="19" t="str">
        <f>IFERROR(VLOOKUP(B90,'03. THIẾT BỊ'!$B$1:$S$836,10,0),"")</f>
        <v>Bình thường</v>
      </c>
      <c r="L90" s="25" t="str">
        <f>IFERROR(VLOOKUP(B90,'03. THIẾT BỊ'!$B$1:$S$836,11,0),"")</f>
        <v>Giao về Ban XDCB</v>
      </c>
      <c r="M90" s="24">
        <f>IFERROR(VLOOKUP(B90,'03. THIẾT BỊ'!$B$1:$S$836,12,0),"")</f>
        <v>0</v>
      </c>
      <c r="N90" s="25" t="str">
        <f>IFERROR(VLOOKUP(B90,'03. THIẾT BỊ'!$B$1:$S$836,13,0),"")</f>
        <v>THACO AGRI</v>
      </c>
      <c r="O90" s="24" t="str">
        <f>IFERROR(VLOOKUP(B90,'03. THIẾT BỊ'!$B$1:$S$836,14,0),"")</f>
        <v>M1.2</v>
      </c>
      <c r="P90" s="25" t="str">
        <f>IFERROR(VLOOKUP(B90,'03. THIẾT BỊ'!$B$1:$S$836,15,0),"")</f>
        <v>CK-CGH</v>
      </c>
      <c r="Q90" s="23">
        <f>IFERROR(VLOOKUP(B90,'03. THIẾT BỊ'!$B$1:$S$836,16,0),"")</f>
        <v>2025</v>
      </c>
      <c r="R90" s="25" t="str">
        <f>IFERROR(VLOOKUP(B90,'03. THIẾT BỊ'!$B$1:$S$836,17,0),"")</f>
        <v>1200x400x1200</v>
      </c>
      <c r="S90" s="25">
        <f>IFERROR(VLOOKUP(B90,'03. THIẾT BỊ'!$B$1:$S$836,18,0),"")</f>
        <v>0</v>
      </c>
      <c r="T90" s="41"/>
    </row>
    <row r="91" customHeight="1" spans="1:20">
      <c r="A91" s="23">
        <f t="shared" si="1"/>
        <v>53</v>
      </c>
      <c r="B91" s="20" t="s">
        <v>3797</v>
      </c>
      <c r="C91" s="613">
        <f>IFERROR(VLOOKUP(B91,'03. THIẾT BỊ'!$B$1:$S$836,2,0),"")</f>
        <v>0</v>
      </c>
      <c r="D91" s="24" t="str">
        <f>IFERROR(VLOOKUP(B91,'03. THIẾT BỊ'!$B$1:$S$836,3,0),"")</f>
        <v>A24-GDH-073</v>
      </c>
      <c r="E91" s="20" t="str">
        <f>IFERROR(VLOOKUP(B91,'03. THIẾT BỊ'!$B$1:$S$836,4,0),"")</f>
        <v>ĐQSD</v>
      </c>
      <c r="F91" s="20" t="str">
        <f>IFERROR(VLOOKUP(B91,'03. THIẾT BỊ'!$B$1:$S$836,5,0),"")</f>
        <v>Gàu định hình đào mương M1.2</v>
      </c>
      <c r="G91" s="101" t="s">
        <v>6468</v>
      </c>
      <c r="H91" s="19" t="str">
        <f>IFERROR(VLOOKUP(B91,'03. THIẾT BỊ'!$B$1:$S$836,7,0),"")</f>
        <v>CGTC LP</v>
      </c>
      <c r="I91" s="610" t="str">
        <f>IFERROR(VLOOKUP(B91,'03. THIẾT BỊ'!$B$1:$S$836,8,0),"")</f>
        <v>31/05/2025</v>
      </c>
      <c r="J91" s="25"/>
      <c r="K91" s="19" t="str">
        <f>IFERROR(VLOOKUP(B91,'03. THIẾT BỊ'!$B$1:$S$836,10,0),"")</f>
        <v>Bình thường</v>
      </c>
      <c r="L91" s="25" t="str">
        <f>IFERROR(VLOOKUP(B91,'03. THIẾT BỊ'!$B$1:$S$836,11,0),"")</f>
        <v>Giao về Ban XDCB</v>
      </c>
      <c r="M91" s="24">
        <f>IFERROR(VLOOKUP(B91,'03. THIẾT BỊ'!$B$1:$S$836,12,0),"")</f>
        <v>0</v>
      </c>
      <c r="N91" s="25" t="str">
        <f>IFERROR(VLOOKUP(B91,'03. THIẾT BỊ'!$B$1:$S$836,13,0),"")</f>
        <v>THACO AGRI</v>
      </c>
      <c r="O91" s="24" t="str">
        <f>IFERROR(VLOOKUP(B91,'03. THIẾT BỊ'!$B$1:$S$836,14,0),"")</f>
        <v>M1.2</v>
      </c>
      <c r="P91" s="25" t="str">
        <f>IFERROR(VLOOKUP(B91,'03. THIẾT BỊ'!$B$1:$S$836,15,0),"")</f>
        <v>CK-CGH</v>
      </c>
      <c r="Q91" s="23">
        <f>IFERROR(VLOOKUP(B91,'03. THIẾT BỊ'!$B$1:$S$836,16,0),"")</f>
        <v>2025</v>
      </c>
      <c r="R91" s="25" t="str">
        <f>IFERROR(VLOOKUP(B91,'03. THIẾT BỊ'!$B$1:$S$836,17,0),"")</f>
        <v>1200x400x1200</v>
      </c>
      <c r="S91" s="25">
        <f>IFERROR(VLOOKUP(B91,'03. THIẾT BỊ'!$B$1:$S$836,18,0),"")</f>
        <v>0</v>
      </c>
      <c r="T91" s="41"/>
    </row>
    <row r="92" customHeight="1" spans="1:20">
      <c r="A92" s="23">
        <f t="shared" si="1"/>
        <v>54</v>
      </c>
      <c r="B92" s="20" t="s">
        <v>3799</v>
      </c>
      <c r="C92" s="613">
        <f>IFERROR(VLOOKUP(B92,'03. THIẾT BỊ'!$B$1:$S$836,2,0),"")</f>
        <v>0</v>
      </c>
      <c r="D92" s="24" t="str">
        <f>IFERROR(VLOOKUP(B92,'03. THIẾT BỊ'!$B$1:$S$836,3,0),"")</f>
        <v>A24-GDH-074</v>
      </c>
      <c r="E92" s="20" t="str">
        <f>IFERROR(VLOOKUP(B92,'03. THIẾT BỊ'!$B$1:$S$836,4,0),"")</f>
        <v>ĐQSD</v>
      </c>
      <c r="F92" s="20" t="str">
        <f>IFERROR(VLOOKUP(B92,'03. THIẾT BỊ'!$B$1:$S$836,5,0),"")</f>
        <v>Gàu định hình đào mương M1.2</v>
      </c>
      <c r="G92" s="101" t="s">
        <v>6468</v>
      </c>
      <c r="H92" s="19" t="str">
        <f>IFERROR(VLOOKUP(B92,'03. THIẾT BỊ'!$B$1:$S$836,7,0),"")</f>
        <v>CGTC LP</v>
      </c>
      <c r="I92" s="610" t="str">
        <f>IFERROR(VLOOKUP(B92,'03. THIẾT BỊ'!$B$1:$S$836,8,0),"")</f>
        <v>31/05/2025</v>
      </c>
      <c r="J92" s="25"/>
      <c r="K92" s="19" t="str">
        <f>IFERROR(VLOOKUP(B92,'03. THIẾT BỊ'!$B$1:$S$836,10,0),"")</f>
        <v>Bình thường</v>
      </c>
      <c r="L92" s="25" t="str">
        <f>IFERROR(VLOOKUP(B92,'03. THIẾT BỊ'!$B$1:$S$836,11,0),"")</f>
        <v>Giao về Ban XDCB</v>
      </c>
      <c r="M92" s="24">
        <f>IFERROR(VLOOKUP(B92,'03. THIẾT BỊ'!$B$1:$S$836,12,0),"")</f>
        <v>0</v>
      </c>
      <c r="N92" s="25" t="str">
        <f>IFERROR(VLOOKUP(B92,'03. THIẾT BỊ'!$B$1:$S$836,13,0),"")</f>
        <v>THACO AGRI</v>
      </c>
      <c r="O92" s="24" t="str">
        <f>IFERROR(VLOOKUP(B92,'03. THIẾT BỊ'!$B$1:$S$836,14,0),"")</f>
        <v>M1.2</v>
      </c>
      <c r="P92" s="25" t="str">
        <f>IFERROR(VLOOKUP(B92,'03. THIẾT BỊ'!$B$1:$S$836,15,0),"")</f>
        <v>CK-CGH</v>
      </c>
      <c r="Q92" s="23">
        <f>IFERROR(VLOOKUP(B92,'03. THIẾT BỊ'!$B$1:$S$836,16,0),"")</f>
        <v>2025</v>
      </c>
      <c r="R92" s="25" t="str">
        <f>IFERROR(VLOOKUP(B92,'03. THIẾT BỊ'!$B$1:$S$836,17,0),"")</f>
        <v>1200x400x1200</v>
      </c>
      <c r="S92" s="25">
        <f>IFERROR(VLOOKUP(B92,'03. THIẾT BỊ'!$B$1:$S$836,18,0),"")</f>
        <v>0</v>
      </c>
      <c r="T92" s="41"/>
    </row>
    <row r="93" customHeight="1" spans="1:20">
      <c r="A93" s="23">
        <f t="shared" si="1"/>
        <v>55</v>
      </c>
      <c r="B93" s="20" t="s">
        <v>3801</v>
      </c>
      <c r="C93" s="613">
        <f>IFERROR(VLOOKUP(B93,'03. THIẾT BỊ'!$B$1:$S$836,2,0),"")</f>
        <v>0</v>
      </c>
      <c r="D93" s="24" t="str">
        <f>IFERROR(VLOOKUP(B93,'03. THIẾT BỊ'!$B$1:$S$836,3,0),"")</f>
        <v>A24-GDH-075</v>
      </c>
      <c r="E93" s="20" t="str">
        <f>IFERROR(VLOOKUP(B93,'03. THIẾT BỊ'!$B$1:$S$836,4,0),"")</f>
        <v>ĐQSD</v>
      </c>
      <c r="F93" s="20" t="str">
        <f>IFERROR(VLOOKUP(B93,'03. THIẾT BỊ'!$B$1:$S$836,5,0),"")</f>
        <v>Gàu định hình đào mương M1.2</v>
      </c>
      <c r="G93" s="101" t="s">
        <v>6468</v>
      </c>
      <c r="H93" s="19" t="str">
        <f>IFERROR(VLOOKUP(B93,'03. THIẾT BỊ'!$B$1:$S$836,7,0),"")</f>
        <v>CGTC LP</v>
      </c>
      <c r="I93" s="610" t="str">
        <f>IFERROR(VLOOKUP(B93,'03. THIẾT BỊ'!$B$1:$S$836,8,0),"")</f>
        <v>31/05/2025</v>
      </c>
      <c r="J93" s="25"/>
      <c r="K93" s="19" t="str">
        <f>IFERROR(VLOOKUP(B93,'03. THIẾT BỊ'!$B$1:$S$836,10,0),"")</f>
        <v>Bình thường</v>
      </c>
      <c r="L93" s="25" t="str">
        <f>IFERROR(VLOOKUP(B93,'03. THIẾT BỊ'!$B$1:$S$836,11,0),"")</f>
        <v>Giao về Ban XDCB</v>
      </c>
      <c r="M93" s="24">
        <f>IFERROR(VLOOKUP(B93,'03. THIẾT BỊ'!$B$1:$S$836,12,0),"")</f>
        <v>0</v>
      </c>
      <c r="N93" s="25" t="str">
        <f>IFERROR(VLOOKUP(B93,'03. THIẾT BỊ'!$B$1:$S$836,13,0),"")</f>
        <v>THACO AGRI</v>
      </c>
      <c r="O93" s="24" t="str">
        <f>IFERROR(VLOOKUP(B93,'03. THIẾT BỊ'!$B$1:$S$836,14,0),"")</f>
        <v>M1.2</v>
      </c>
      <c r="P93" s="25" t="str">
        <f>IFERROR(VLOOKUP(B93,'03. THIẾT BỊ'!$B$1:$S$836,15,0),"")</f>
        <v>CK-CGH</v>
      </c>
      <c r="Q93" s="23">
        <f>IFERROR(VLOOKUP(B93,'03. THIẾT BỊ'!$B$1:$S$836,16,0),"")</f>
        <v>2025</v>
      </c>
      <c r="R93" s="25" t="str">
        <f>IFERROR(VLOOKUP(B93,'03. THIẾT BỊ'!$B$1:$S$836,17,0),"")</f>
        <v>1200x400x1200</v>
      </c>
      <c r="S93" s="25">
        <f>IFERROR(VLOOKUP(B93,'03. THIẾT BỊ'!$B$1:$S$836,18,0),"")</f>
        <v>0</v>
      </c>
      <c r="T93" s="41"/>
    </row>
    <row r="94" customHeight="1" spans="1:20">
      <c r="A94" s="23">
        <f t="shared" si="1"/>
        <v>56</v>
      </c>
      <c r="B94" s="20" t="s">
        <v>3803</v>
      </c>
      <c r="C94" s="613">
        <f>IFERROR(VLOOKUP(B94,'03. THIẾT BỊ'!$B$1:$S$836,2,0),"")</f>
        <v>0</v>
      </c>
      <c r="D94" s="24" t="str">
        <f>IFERROR(VLOOKUP(B94,'03. THIẾT BỊ'!$B$1:$S$836,3,0),"")</f>
        <v>A24-GDH-076</v>
      </c>
      <c r="E94" s="20" t="str">
        <f>IFERROR(VLOOKUP(B94,'03. THIẾT BỊ'!$B$1:$S$836,4,0),"")</f>
        <v>ĐQSD</v>
      </c>
      <c r="F94" s="20" t="str">
        <f>IFERROR(VLOOKUP(B94,'03. THIẾT BỊ'!$B$1:$S$836,5,0),"")</f>
        <v>Gàu định hình đào mương M1.2</v>
      </c>
      <c r="G94" s="101" t="s">
        <v>6468</v>
      </c>
      <c r="H94" s="19" t="str">
        <f>IFERROR(VLOOKUP(B94,'03. THIẾT BỊ'!$B$1:$S$836,7,0),"")</f>
        <v>CGTC LP</v>
      </c>
      <c r="I94" s="610" t="str">
        <f>IFERROR(VLOOKUP(B94,'03. THIẾT BỊ'!$B$1:$S$836,8,0),"")</f>
        <v>31/05/2025</v>
      </c>
      <c r="J94" s="25"/>
      <c r="K94" s="19" t="str">
        <f>IFERROR(VLOOKUP(B94,'03. THIẾT BỊ'!$B$1:$S$836,10,0),"")</f>
        <v>Bình thường</v>
      </c>
      <c r="L94" s="25" t="str">
        <f>IFERROR(VLOOKUP(B94,'03. THIẾT BỊ'!$B$1:$S$836,11,0),"")</f>
        <v>Giao về Ban XDCB</v>
      </c>
      <c r="M94" s="24">
        <f>IFERROR(VLOOKUP(B94,'03. THIẾT BỊ'!$B$1:$S$836,12,0),"")</f>
        <v>0</v>
      </c>
      <c r="N94" s="25" t="str">
        <f>IFERROR(VLOOKUP(B94,'03. THIẾT BỊ'!$B$1:$S$836,13,0),"")</f>
        <v>THACO AGRI</v>
      </c>
      <c r="O94" s="24" t="str">
        <f>IFERROR(VLOOKUP(B94,'03. THIẾT BỊ'!$B$1:$S$836,14,0),"")</f>
        <v>M1.2</v>
      </c>
      <c r="P94" s="25" t="str">
        <f>IFERROR(VLOOKUP(B94,'03. THIẾT BỊ'!$B$1:$S$836,15,0),"")</f>
        <v>CK-CGH</v>
      </c>
      <c r="Q94" s="23">
        <f>IFERROR(VLOOKUP(B94,'03. THIẾT BỊ'!$B$1:$S$836,16,0),"")</f>
        <v>2025</v>
      </c>
      <c r="R94" s="25" t="str">
        <f>IFERROR(VLOOKUP(B94,'03. THIẾT BỊ'!$B$1:$S$836,17,0),"")</f>
        <v>1200x400x1200</v>
      </c>
      <c r="S94" s="25">
        <f>IFERROR(VLOOKUP(B94,'03. THIẾT BỊ'!$B$1:$S$836,18,0),"")</f>
        <v>0</v>
      </c>
      <c r="T94" s="41"/>
    </row>
    <row r="95" customHeight="1" spans="1:20">
      <c r="A95" s="23">
        <f t="shared" si="1"/>
        <v>57</v>
      </c>
      <c r="B95" s="20" t="s">
        <v>3690</v>
      </c>
      <c r="C95" s="613">
        <f>IFERROR(VLOOKUP(B95,'03. THIẾT BỊ'!$B$1:$S$836,2,0),"")</f>
        <v>0</v>
      </c>
      <c r="D95" s="24" t="str">
        <f>IFERROR(VLOOKUP(B95,'03. THIẾT BỊ'!$B$1:$S$836,3,0),"")</f>
        <v>A23-GĐH-091</v>
      </c>
      <c r="E95" s="20" t="str">
        <f>IFERROR(VLOOKUP(B95,'03. THIẾT BỊ'!$B$1:$S$836,4,0),"")</f>
        <v>ĐQSD</v>
      </c>
      <c r="F95" s="20" t="str">
        <f>IFERROR(VLOOKUP(B95,'03. THIẾT BỊ'!$B$1:$S$836,5,0),"")</f>
        <v>Gàu định hình đào mương M1.2</v>
      </c>
      <c r="G95" s="101" t="s">
        <v>6468</v>
      </c>
      <c r="H95" s="19" t="str">
        <f>IFERROR(VLOOKUP(B95,'03. THIẾT BỊ'!$B$1:$S$836,7,0),"")</f>
        <v>CGTC DP</v>
      </c>
      <c r="I95" s="610" t="str">
        <f>IFERROR(VLOOKUP(B95,'03. THIẾT BỊ'!$B$1:$S$836,8,0),"")</f>
        <v>31/05/2025</v>
      </c>
      <c r="J95" s="25"/>
      <c r="K95" s="19" t="str">
        <f>IFERROR(VLOOKUP(B95,'03. THIẾT BỊ'!$B$1:$S$836,10,0),"")</f>
        <v>Bình thường</v>
      </c>
      <c r="L95" s="25">
        <f>IFERROR(VLOOKUP(B95,'03. THIẾT BỊ'!$B$1:$S$836,11,0),"")</f>
        <v>0</v>
      </c>
      <c r="M95" s="24">
        <f>IFERROR(VLOOKUP(B95,'03. THIẾT BỊ'!$B$1:$S$836,12,0),"")</f>
        <v>0</v>
      </c>
      <c r="N95" s="25" t="str">
        <f>IFERROR(VLOOKUP(B95,'03. THIẾT BỊ'!$B$1:$S$836,13,0),"")</f>
        <v>THACO AGRI</v>
      </c>
      <c r="O95" s="24" t="str">
        <f>IFERROR(VLOOKUP(B95,'03. THIẾT BỊ'!$B$1:$S$836,14,0),"")</f>
        <v>M1.2</v>
      </c>
      <c r="P95" s="25" t="str">
        <f>IFERROR(VLOOKUP(B95,'03. THIẾT BỊ'!$B$1:$S$836,15,0),"")</f>
        <v>CK-CGH</v>
      </c>
      <c r="Q95" s="23">
        <f>IFERROR(VLOOKUP(B95,'03. THIẾT BỊ'!$B$1:$S$836,16,0),"")</f>
        <v>2025</v>
      </c>
      <c r="R95" s="25" t="str">
        <f>IFERROR(VLOOKUP(B95,'03. THIẾT BỊ'!$B$1:$S$836,17,0),"")</f>
        <v>1200x400x1200</v>
      </c>
      <c r="S95" s="25">
        <f>IFERROR(VLOOKUP(B95,'03. THIẾT BỊ'!$B$1:$S$836,18,0),"")</f>
        <v>0</v>
      </c>
      <c r="T95" s="41"/>
    </row>
    <row r="96" customHeight="1" spans="1:20">
      <c r="A96" s="23">
        <f t="shared" si="1"/>
        <v>58</v>
      </c>
      <c r="B96" s="20" t="s">
        <v>3695</v>
      </c>
      <c r="C96" s="613">
        <f>IFERROR(VLOOKUP(B96,'03. THIẾT BỊ'!$B$1:$S$836,2,0),"")</f>
        <v>0</v>
      </c>
      <c r="D96" s="24" t="str">
        <f>IFERROR(VLOOKUP(B96,'03. THIẾT BỊ'!$B$1:$S$836,3,0),"")</f>
        <v>A23-GĐH-092</v>
      </c>
      <c r="E96" s="20" t="str">
        <f>IFERROR(VLOOKUP(B96,'03. THIẾT BỊ'!$B$1:$S$836,4,0),"")</f>
        <v>ĐQSD</v>
      </c>
      <c r="F96" s="20" t="str">
        <f>IFERROR(VLOOKUP(B96,'03. THIẾT BỊ'!$B$1:$S$836,5,0),"")</f>
        <v>Gàu định hình đào mương M1.2</v>
      </c>
      <c r="G96" s="101" t="s">
        <v>6468</v>
      </c>
      <c r="H96" s="19" t="str">
        <f>IFERROR(VLOOKUP(B96,'03. THIẾT BỊ'!$B$1:$S$836,7,0),"")</f>
        <v>CGTC DP</v>
      </c>
      <c r="I96" s="610" t="str">
        <f>IFERROR(VLOOKUP(B96,'03. THIẾT BỊ'!$B$1:$S$836,8,0),"")</f>
        <v>31/05/2025</v>
      </c>
      <c r="J96" s="25"/>
      <c r="K96" s="19" t="str">
        <f>IFERROR(VLOOKUP(B96,'03. THIẾT BỊ'!$B$1:$S$836,10,0),"")</f>
        <v>Bình thường</v>
      </c>
      <c r="L96" s="25">
        <f>IFERROR(VLOOKUP(B96,'03. THIẾT BỊ'!$B$1:$S$836,11,0),"")</f>
        <v>0</v>
      </c>
      <c r="M96" s="24">
        <f>IFERROR(VLOOKUP(B96,'03. THIẾT BỊ'!$B$1:$S$836,12,0),"")</f>
        <v>0</v>
      </c>
      <c r="N96" s="25" t="str">
        <f>IFERROR(VLOOKUP(B96,'03. THIẾT BỊ'!$B$1:$S$836,13,0),"")</f>
        <v>THACO AGRI</v>
      </c>
      <c r="O96" s="24" t="str">
        <f>IFERROR(VLOOKUP(B96,'03. THIẾT BỊ'!$B$1:$S$836,14,0),"")</f>
        <v>M1.2</v>
      </c>
      <c r="P96" s="25" t="str">
        <f>IFERROR(VLOOKUP(B96,'03. THIẾT BỊ'!$B$1:$S$836,15,0),"")</f>
        <v>CK-CGH</v>
      </c>
      <c r="Q96" s="23">
        <f>IFERROR(VLOOKUP(B96,'03. THIẾT BỊ'!$B$1:$S$836,16,0),"")</f>
        <v>2025</v>
      </c>
      <c r="R96" s="25" t="str">
        <f>IFERROR(VLOOKUP(B96,'03. THIẾT BỊ'!$B$1:$S$836,17,0),"")</f>
        <v>1200x400x1200</v>
      </c>
      <c r="S96" s="25">
        <f>IFERROR(VLOOKUP(B96,'03. THIẾT BỊ'!$B$1:$S$836,18,0),"")</f>
        <v>0</v>
      </c>
      <c r="T96" s="41"/>
    </row>
    <row r="97" customHeight="1" spans="1:20">
      <c r="A97" s="23">
        <f t="shared" si="1"/>
        <v>59</v>
      </c>
      <c r="B97" s="20" t="s">
        <v>3805</v>
      </c>
      <c r="C97" s="613">
        <f>IFERROR(VLOOKUP(B97,'03. THIẾT BỊ'!$B$1:$S$836,2,0),"")</f>
        <v>0</v>
      </c>
      <c r="D97" s="24" t="str">
        <f>IFERROR(VLOOKUP(B97,'03. THIẾT BỊ'!$B$1:$S$836,3,0),"")</f>
        <v>A24-GĐH-083</v>
      </c>
      <c r="E97" s="20" t="str">
        <f>IFERROR(VLOOKUP(B97,'03. THIẾT BỊ'!$B$1:$S$836,4,0),"")</f>
        <v>ĐQSD</v>
      </c>
      <c r="F97" s="20" t="str">
        <f>IFERROR(VLOOKUP(B97,'03. THIẾT BỊ'!$B$1:$S$836,5,0),"")</f>
        <v>Gàu định hình đào mương M1.2</v>
      </c>
      <c r="G97" s="101" t="s">
        <v>6468</v>
      </c>
      <c r="H97" s="19" t="str">
        <f>IFERROR(VLOOKUP(B97,'03. THIẾT BỊ'!$B$1:$S$836,7,0),"")</f>
        <v>CGTC LP</v>
      </c>
      <c r="I97" s="610" t="str">
        <f>IFERROR(VLOOKUP(B97,'03. THIẾT BỊ'!$B$1:$S$836,8,0),"")</f>
        <v>26/01/2026</v>
      </c>
      <c r="J97" s="25"/>
      <c r="K97" s="19" t="str">
        <f>IFERROR(VLOOKUP(B97,'03. THIẾT BỊ'!$B$1:$S$836,10,0),"")</f>
        <v>Bình thường</v>
      </c>
      <c r="L97" s="25" t="str">
        <f>IFERROR(VLOOKUP(B97,'03. THIẾT BỊ'!$B$1:$S$836,11,0),"")</f>
        <v>Giao về Ban XDCB</v>
      </c>
      <c r="M97" s="24">
        <f>IFERROR(VLOOKUP(B97,'03. THIẾT BỊ'!$B$1:$S$836,12,0),"")</f>
        <v>0</v>
      </c>
      <c r="N97" s="25">
        <f>IFERROR(VLOOKUP(B97,'03. THIẾT BỊ'!$B$1:$S$836,13,0),"")</f>
        <v>0</v>
      </c>
      <c r="O97" s="24">
        <f>IFERROR(VLOOKUP(B97,'03. THIẾT BỊ'!$B$1:$S$836,14,0),"")</f>
        <v>0</v>
      </c>
      <c r="P97" s="25">
        <f>IFERROR(VLOOKUP(B97,'03. THIẾT BỊ'!$B$1:$S$836,15,0),"")</f>
        <v>0</v>
      </c>
      <c r="Q97" s="23">
        <f>IFERROR(VLOOKUP(B97,'03. THIẾT BỊ'!$B$1:$S$836,16,0),"")</f>
        <v>0</v>
      </c>
      <c r="R97" s="25">
        <f>IFERROR(VLOOKUP(B97,'03. THIẾT BỊ'!$B$1:$S$836,17,0),"")</f>
        <v>0</v>
      </c>
      <c r="S97" s="25">
        <f>IFERROR(VLOOKUP(B97,'03. THIẾT BỊ'!$B$1:$S$836,18,0),"")</f>
        <v>0</v>
      </c>
      <c r="T97" s="41"/>
    </row>
    <row r="98" customHeight="1" spans="1:20">
      <c r="A98" s="23">
        <f t="shared" si="1"/>
        <v>60</v>
      </c>
      <c r="B98" s="20" t="s">
        <v>3807</v>
      </c>
      <c r="C98" s="613">
        <f>IFERROR(VLOOKUP(B98,'03. THIẾT BỊ'!$B$1:$S$836,2,0),"")</f>
        <v>0</v>
      </c>
      <c r="D98" s="24" t="str">
        <f>IFERROR(VLOOKUP(B98,'03. THIẾT BỊ'!$B$1:$S$836,3,0),"")</f>
        <v>A24-GĐH-084</v>
      </c>
      <c r="E98" s="20" t="str">
        <f>IFERROR(VLOOKUP(B98,'03. THIẾT BỊ'!$B$1:$S$836,4,0),"")</f>
        <v>ĐQSD</v>
      </c>
      <c r="F98" s="20" t="str">
        <f>IFERROR(VLOOKUP(B98,'03. THIẾT BỊ'!$B$1:$S$836,5,0),"")</f>
        <v>Gàu định hình đào mương M1.2</v>
      </c>
      <c r="G98" s="101" t="s">
        <v>6468</v>
      </c>
      <c r="H98" s="19" t="str">
        <f>IFERROR(VLOOKUP(B98,'03. THIẾT BỊ'!$B$1:$S$836,7,0),"")</f>
        <v>CGTC LP</v>
      </c>
      <c r="I98" s="610" t="str">
        <f>IFERROR(VLOOKUP(B98,'03. THIẾT BỊ'!$B$1:$S$836,8,0),"")</f>
        <v>26/01/2026</v>
      </c>
      <c r="J98" s="25"/>
      <c r="K98" s="19" t="str">
        <f>IFERROR(VLOOKUP(B98,'03. THIẾT BỊ'!$B$1:$S$836,10,0),"")</f>
        <v>Bình thường</v>
      </c>
      <c r="L98" s="25" t="str">
        <f>IFERROR(VLOOKUP(B98,'03. THIẾT BỊ'!$B$1:$S$836,11,0),"")</f>
        <v>Giao về Ban XDCB</v>
      </c>
      <c r="M98" s="24">
        <f>IFERROR(VLOOKUP(B98,'03. THIẾT BỊ'!$B$1:$S$836,12,0),"")</f>
        <v>0</v>
      </c>
      <c r="N98" s="25">
        <f>IFERROR(VLOOKUP(B98,'03. THIẾT BỊ'!$B$1:$S$836,13,0),"")</f>
        <v>0</v>
      </c>
      <c r="O98" s="24">
        <f>IFERROR(VLOOKUP(B98,'03. THIẾT BỊ'!$B$1:$S$836,14,0),"")</f>
        <v>0</v>
      </c>
      <c r="P98" s="25">
        <f>IFERROR(VLOOKUP(B98,'03. THIẾT BỊ'!$B$1:$S$836,15,0),"")</f>
        <v>0</v>
      </c>
      <c r="Q98" s="23">
        <f>IFERROR(VLOOKUP(B98,'03. THIẾT BỊ'!$B$1:$S$836,16,0),"")</f>
        <v>0</v>
      </c>
      <c r="R98" s="25">
        <f>IFERROR(VLOOKUP(B98,'03. THIẾT BỊ'!$B$1:$S$836,17,0),"")</f>
        <v>0</v>
      </c>
      <c r="S98" s="25">
        <f>IFERROR(VLOOKUP(B98,'03. THIẾT BỊ'!$B$1:$S$836,18,0),"")</f>
        <v>0</v>
      </c>
      <c r="T98" s="41"/>
    </row>
    <row r="99" customHeight="1" spans="1:20">
      <c r="A99" s="23">
        <f t="shared" si="1"/>
        <v>61</v>
      </c>
      <c r="B99" s="20" t="s">
        <v>3809</v>
      </c>
      <c r="C99" s="613">
        <f>IFERROR(VLOOKUP(B99,'03. THIẾT BỊ'!$B$1:$S$836,2,0),"")</f>
        <v>0</v>
      </c>
      <c r="D99" s="24" t="str">
        <f>IFERROR(VLOOKUP(B99,'03. THIẾT BỊ'!$B$1:$S$836,3,0),"")</f>
        <v>A24-GĐH-085</v>
      </c>
      <c r="E99" s="20" t="str">
        <f>IFERROR(VLOOKUP(B99,'03. THIẾT BỊ'!$B$1:$S$836,4,0),"")</f>
        <v>ĐQSD</v>
      </c>
      <c r="F99" s="20" t="str">
        <f>IFERROR(VLOOKUP(B99,'03. THIẾT BỊ'!$B$1:$S$836,5,0),"")</f>
        <v>Gàu định hình đào mương M1.2</v>
      </c>
      <c r="G99" s="101" t="s">
        <v>6468</v>
      </c>
      <c r="H99" s="19" t="str">
        <f>IFERROR(VLOOKUP(B99,'03. THIẾT BỊ'!$B$1:$S$836,7,0),"")</f>
        <v>CGTC LP</v>
      </c>
      <c r="I99" s="610" t="str">
        <f>IFERROR(VLOOKUP(B99,'03. THIẾT BỊ'!$B$1:$S$836,8,0),"")</f>
        <v>26/01/2026</v>
      </c>
      <c r="J99" s="25"/>
      <c r="K99" s="19" t="str">
        <f>IFERROR(VLOOKUP(B99,'03. THIẾT BỊ'!$B$1:$S$836,10,0),"")</f>
        <v>Bình thường</v>
      </c>
      <c r="L99" s="25" t="str">
        <f>IFERROR(VLOOKUP(B99,'03. THIẾT BỊ'!$B$1:$S$836,11,0),"")</f>
        <v>Giao về Ban XDCB</v>
      </c>
      <c r="M99" s="24">
        <f>IFERROR(VLOOKUP(B99,'03. THIẾT BỊ'!$B$1:$S$836,12,0),"")</f>
        <v>0</v>
      </c>
      <c r="N99" s="25">
        <f>IFERROR(VLOOKUP(B99,'03. THIẾT BỊ'!$B$1:$S$836,13,0),"")</f>
        <v>0</v>
      </c>
      <c r="O99" s="24">
        <f>IFERROR(VLOOKUP(B99,'03. THIẾT BỊ'!$B$1:$S$836,14,0),"")</f>
        <v>0</v>
      </c>
      <c r="P99" s="25">
        <f>IFERROR(VLOOKUP(B99,'03. THIẾT BỊ'!$B$1:$S$836,15,0),"")</f>
        <v>0</v>
      </c>
      <c r="Q99" s="23">
        <f>IFERROR(VLOOKUP(B99,'03. THIẾT BỊ'!$B$1:$S$836,16,0),"")</f>
        <v>0</v>
      </c>
      <c r="R99" s="25">
        <f>IFERROR(VLOOKUP(B99,'03. THIẾT BỊ'!$B$1:$S$836,17,0),"")</f>
        <v>0</v>
      </c>
      <c r="S99" s="25">
        <f>IFERROR(VLOOKUP(B99,'03. THIẾT BỊ'!$B$1:$S$836,18,0),"")</f>
        <v>0</v>
      </c>
      <c r="T99" s="41"/>
    </row>
    <row r="100" customHeight="1" spans="1:20">
      <c r="A100" s="23">
        <f t="shared" si="1"/>
        <v>62</v>
      </c>
      <c r="B100" s="20" t="s">
        <v>3811</v>
      </c>
      <c r="C100" s="613">
        <f>IFERROR(VLOOKUP(B100,'03. THIẾT BỊ'!$B$1:$S$836,2,0),"")</f>
        <v>0</v>
      </c>
      <c r="D100" s="24" t="str">
        <f>IFERROR(VLOOKUP(B100,'03. THIẾT BỊ'!$B$1:$S$836,3,0),"")</f>
        <v>A24-GĐH-086</v>
      </c>
      <c r="E100" s="20" t="str">
        <f>IFERROR(VLOOKUP(B100,'03. THIẾT BỊ'!$B$1:$S$836,4,0),"")</f>
        <v>ĐQSD</v>
      </c>
      <c r="F100" s="20" t="str">
        <f>IFERROR(VLOOKUP(B100,'03. THIẾT BỊ'!$B$1:$S$836,5,0),"")</f>
        <v>Gàu định hình đào mương M1.2</v>
      </c>
      <c r="G100" s="101" t="s">
        <v>6468</v>
      </c>
      <c r="H100" s="19" t="str">
        <f>IFERROR(VLOOKUP(B100,'03. THIẾT BỊ'!$B$1:$S$836,7,0),"")</f>
        <v>CGTC LP</v>
      </c>
      <c r="I100" s="610" t="str">
        <f>IFERROR(VLOOKUP(B100,'03. THIẾT BỊ'!$B$1:$S$836,8,0),"")</f>
        <v>26/01/2026</v>
      </c>
      <c r="J100" s="25"/>
      <c r="K100" s="19" t="str">
        <f>IFERROR(VLOOKUP(B100,'03. THIẾT BỊ'!$B$1:$S$836,10,0),"")</f>
        <v>Bình thường</v>
      </c>
      <c r="L100" s="25" t="str">
        <f>IFERROR(VLOOKUP(B100,'03. THIẾT BỊ'!$B$1:$S$836,11,0),"")</f>
        <v>Giao về Ban XDCB</v>
      </c>
      <c r="M100" s="24">
        <f>IFERROR(VLOOKUP(B100,'03. THIẾT BỊ'!$B$1:$S$836,12,0),"")</f>
        <v>0</v>
      </c>
      <c r="N100" s="25">
        <f>IFERROR(VLOOKUP(B100,'03. THIẾT BỊ'!$B$1:$S$836,13,0),"")</f>
        <v>0</v>
      </c>
      <c r="O100" s="24">
        <f>IFERROR(VLOOKUP(B100,'03. THIẾT BỊ'!$B$1:$S$836,14,0),"")</f>
        <v>0</v>
      </c>
      <c r="P100" s="25">
        <f>IFERROR(VLOOKUP(B100,'03. THIẾT BỊ'!$B$1:$S$836,15,0),"")</f>
        <v>0</v>
      </c>
      <c r="Q100" s="23">
        <f>IFERROR(VLOOKUP(B100,'03. THIẾT BỊ'!$B$1:$S$836,16,0),"")</f>
        <v>0</v>
      </c>
      <c r="R100" s="25">
        <f>IFERROR(VLOOKUP(B100,'03. THIẾT BỊ'!$B$1:$S$836,17,0),"")</f>
        <v>0</v>
      </c>
      <c r="S100" s="25">
        <f>IFERROR(VLOOKUP(B100,'03. THIẾT BỊ'!$B$1:$S$836,18,0),"")</f>
        <v>0</v>
      </c>
      <c r="T100" s="41"/>
    </row>
    <row r="101" customHeight="1" spans="1:20">
      <c r="A101" s="23">
        <f t="shared" si="1"/>
        <v>63</v>
      </c>
      <c r="B101" s="20" t="s">
        <v>3813</v>
      </c>
      <c r="C101" s="613">
        <f>IFERROR(VLOOKUP(B101,'03. THIẾT BỊ'!$B$1:$S$836,2,0),"")</f>
        <v>0</v>
      </c>
      <c r="D101" s="24" t="str">
        <f>IFERROR(VLOOKUP(B101,'03. THIẾT BỊ'!$B$1:$S$836,3,0),"")</f>
        <v>A24-GĐH-087</v>
      </c>
      <c r="E101" s="20" t="str">
        <f>IFERROR(VLOOKUP(B101,'03. THIẾT BỊ'!$B$1:$S$836,4,0),"")</f>
        <v>ĐQSD</v>
      </c>
      <c r="F101" s="20" t="str">
        <f>IFERROR(VLOOKUP(B101,'03. THIẾT BỊ'!$B$1:$S$836,5,0),"")</f>
        <v>Gàu định hình đào mương M1.2</v>
      </c>
      <c r="G101" s="101" t="s">
        <v>6468</v>
      </c>
      <c r="H101" s="19" t="str">
        <f>IFERROR(VLOOKUP(B101,'03. THIẾT BỊ'!$B$1:$S$836,7,0),"")</f>
        <v>CGTC LP</v>
      </c>
      <c r="I101" s="610" t="str">
        <f>IFERROR(VLOOKUP(B101,'03. THIẾT BỊ'!$B$1:$S$836,8,0),"")</f>
        <v>26/01/2026</v>
      </c>
      <c r="J101" s="25"/>
      <c r="K101" s="19" t="str">
        <f>IFERROR(VLOOKUP(B101,'03. THIẾT BỊ'!$B$1:$S$836,10,0),"")</f>
        <v>Bình thường</v>
      </c>
      <c r="L101" s="25" t="str">
        <f>IFERROR(VLOOKUP(B101,'03. THIẾT BỊ'!$B$1:$S$836,11,0),"")</f>
        <v>Giao về Ban XDCB</v>
      </c>
      <c r="M101" s="24">
        <f>IFERROR(VLOOKUP(B101,'03. THIẾT BỊ'!$B$1:$S$836,12,0),"")</f>
        <v>0</v>
      </c>
      <c r="N101" s="25">
        <f>IFERROR(VLOOKUP(B101,'03. THIẾT BỊ'!$B$1:$S$836,13,0),"")</f>
        <v>0</v>
      </c>
      <c r="O101" s="24">
        <f>IFERROR(VLOOKUP(B101,'03. THIẾT BỊ'!$B$1:$S$836,14,0),"")</f>
        <v>0</v>
      </c>
      <c r="P101" s="25">
        <f>IFERROR(VLOOKUP(B101,'03. THIẾT BỊ'!$B$1:$S$836,15,0),"")</f>
        <v>0</v>
      </c>
      <c r="Q101" s="23">
        <f>IFERROR(VLOOKUP(B101,'03. THIẾT BỊ'!$B$1:$S$836,16,0),"")</f>
        <v>0</v>
      </c>
      <c r="R101" s="25">
        <f>IFERROR(VLOOKUP(B101,'03. THIẾT BỊ'!$B$1:$S$836,17,0),"")</f>
        <v>0</v>
      </c>
      <c r="S101" s="25">
        <f>IFERROR(VLOOKUP(B101,'03. THIẾT BỊ'!$B$1:$S$836,18,0),"")</f>
        <v>0</v>
      </c>
      <c r="T101" s="41"/>
    </row>
    <row r="102" customHeight="1" spans="1:20">
      <c r="A102" s="23">
        <f t="shared" si="1"/>
        <v>64</v>
      </c>
      <c r="B102" s="20" t="s">
        <v>3815</v>
      </c>
      <c r="C102" s="613">
        <f>IFERROR(VLOOKUP(B102,'03. THIẾT BỊ'!$B$1:$S$836,2,0),"")</f>
        <v>0</v>
      </c>
      <c r="D102" s="24" t="str">
        <f>IFERROR(VLOOKUP(B102,'03. THIẾT BỊ'!$B$1:$S$836,3,0),"")</f>
        <v>A24-GĐH-088</v>
      </c>
      <c r="E102" s="20" t="str">
        <f>IFERROR(VLOOKUP(B102,'03. THIẾT BỊ'!$B$1:$S$836,4,0),"")</f>
        <v>ĐQSD</v>
      </c>
      <c r="F102" s="20" t="str">
        <f>IFERROR(VLOOKUP(B102,'03. THIẾT BỊ'!$B$1:$S$836,5,0),"")</f>
        <v>Gàu định hình đào mương M1.2</v>
      </c>
      <c r="G102" s="101" t="s">
        <v>6468</v>
      </c>
      <c r="H102" s="19" t="str">
        <f>IFERROR(VLOOKUP(B102,'03. THIẾT BỊ'!$B$1:$S$836,7,0),"")</f>
        <v>CGTC LP</v>
      </c>
      <c r="I102" s="610" t="str">
        <f>IFERROR(VLOOKUP(B102,'03. THIẾT BỊ'!$B$1:$S$836,8,0),"")</f>
        <v>26/01/2026</v>
      </c>
      <c r="J102" s="25"/>
      <c r="K102" s="19" t="str">
        <f>IFERROR(VLOOKUP(B102,'03. THIẾT BỊ'!$B$1:$S$836,10,0),"")</f>
        <v>Bình thường</v>
      </c>
      <c r="L102" s="25" t="str">
        <f>IFERROR(VLOOKUP(B102,'03. THIẾT BỊ'!$B$1:$S$836,11,0),"")</f>
        <v>Giao về Ban XDCB</v>
      </c>
      <c r="M102" s="24">
        <f>IFERROR(VLOOKUP(B102,'03. THIẾT BỊ'!$B$1:$S$836,12,0),"")</f>
        <v>0</v>
      </c>
      <c r="N102" s="25">
        <f>IFERROR(VLOOKUP(B102,'03. THIẾT BỊ'!$B$1:$S$836,13,0),"")</f>
        <v>0</v>
      </c>
      <c r="O102" s="24">
        <f>IFERROR(VLOOKUP(B102,'03. THIẾT BỊ'!$B$1:$S$836,14,0),"")</f>
        <v>0</v>
      </c>
      <c r="P102" s="25">
        <f>IFERROR(VLOOKUP(B102,'03. THIẾT BỊ'!$B$1:$S$836,15,0),"")</f>
        <v>0</v>
      </c>
      <c r="Q102" s="23">
        <f>IFERROR(VLOOKUP(B102,'03. THIẾT BỊ'!$B$1:$S$836,16,0),"")</f>
        <v>0</v>
      </c>
      <c r="R102" s="25">
        <f>IFERROR(VLOOKUP(B102,'03. THIẾT BỊ'!$B$1:$S$836,17,0),"")</f>
        <v>0</v>
      </c>
      <c r="S102" s="25">
        <f>IFERROR(VLOOKUP(B102,'03. THIẾT BỊ'!$B$1:$S$836,18,0),"")</f>
        <v>0</v>
      </c>
      <c r="T102" s="41"/>
    </row>
    <row r="103" customHeight="1" spans="1:20">
      <c r="A103" s="23">
        <f t="shared" si="1"/>
        <v>65</v>
      </c>
      <c r="B103" s="20" t="s">
        <v>3817</v>
      </c>
      <c r="C103" s="613">
        <f>IFERROR(VLOOKUP(B103,'03. THIẾT BỊ'!$B$1:$S$836,2,0),"")</f>
        <v>0</v>
      </c>
      <c r="D103" s="24" t="str">
        <f>IFERROR(VLOOKUP(B103,'03. THIẾT BỊ'!$B$1:$S$836,3,0),"")</f>
        <v>A24-GĐH-089</v>
      </c>
      <c r="E103" s="20" t="str">
        <f>IFERROR(VLOOKUP(B103,'03. THIẾT BỊ'!$B$1:$S$836,4,0),"")</f>
        <v>ĐQSD</v>
      </c>
      <c r="F103" s="20" t="str">
        <f>IFERROR(VLOOKUP(B103,'03. THIẾT BỊ'!$B$1:$S$836,5,0),"")</f>
        <v>Gàu định hình đào mương M1.2</v>
      </c>
      <c r="G103" s="101" t="s">
        <v>6468</v>
      </c>
      <c r="H103" s="19" t="str">
        <f>IFERROR(VLOOKUP(B103,'03. THIẾT BỊ'!$B$1:$S$836,7,0),"")</f>
        <v>CGTC LP</v>
      </c>
      <c r="I103" s="610" t="str">
        <f>IFERROR(VLOOKUP(B103,'03. THIẾT BỊ'!$B$1:$S$836,8,0),"")</f>
        <v>26/01/2026</v>
      </c>
      <c r="J103" s="25"/>
      <c r="K103" s="19" t="str">
        <f>IFERROR(VLOOKUP(B103,'03. THIẾT BỊ'!$B$1:$S$836,10,0),"")</f>
        <v>Bình thường</v>
      </c>
      <c r="L103" s="25" t="str">
        <f>IFERROR(VLOOKUP(B103,'03. THIẾT BỊ'!$B$1:$S$836,11,0),"")</f>
        <v>Giao về Ban XDCB</v>
      </c>
      <c r="M103" s="24">
        <f>IFERROR(VLOOKUP(B103,'03. THIẾT BỊ'!$B$1:$S$836,12,0),"")</f>
        <v>0</v>
      </c>
      <c r="N103" s="25">
        <f>IFERROR(VLOOKUP(B103,'03. THIẾT BỊ'!$B$1:$S$836,13,0),"")</f>
        <v>0</v>
      </c>
      <c r="O103" s="24">
        <f>IFERROR(VLOOKUP(B103,'03. THIẾT BỊ'!$B$1:$S$836,14,0),"")</f>
        <v>0</v>
      </c>
      <c r="P103" s="25">
        <f>IFERROR(VLOOKUP(B103,'03. THIẾT BỊ'!$B$1:$S$836,15,0),"")</f>
        <v>0</v>
      </c>
      <c r="Q103" s="23">
        <f>IFERROR(VLOOKUP(B103,'03. THIẾT BỊ'!$B$1:$S$836,16,0),"")</f>
        <v>0</v>
      </c>
      <c r="R103" s="25">
        <f>IFERROR(VLOOKUP(B103,'03. THIẾT BỊ'!$B$1:$S$836,17,0),"")</f>
        <v>0</v>
      </c>
      <c r="S103" s="25">
        <f>IFERROR(VLOOKUP(B103,'03. THIẾT BỊ'!$B$1:$S$836,18,0),"")</f>
        <v>0</v>
      </c>
      <c r="T103" s="41"/>
    </row>
    <row r="104" customHeight="1" spans="1:20">
      <c r="A104" s="23">
        <f t="shared" si="1"/>
        <v>66</v>
      </c>
      <c r="B104" s="20" t="s">
        <v>3697</v>
      </c>
      <c r="C104" s="613">
        <f>IFERROR(VLOOKUP(B104,'03. THIẾT BỊ'!$B$1:$S$836,2,0),"")</f>
        <v>0</v>
      </c>
      <c r="D104" s="24" t="str">
        <f>IFERROR(VLOOKUP(B104,'03. THIẾT BỊ'!$B$1:$S$836,3,0),"")</f>
        <v>A23-GĐH-093</v>
      </c>
      <c r="E104" s="20" t="str">
        <f>IFERROR(VLOOKUP(B104,'03. THIẾT BỊ'!$B$1:$S$836,4,0),"")</f>
        <v>ĐQSD</v>
      </c>
      <c r="F104" s="20" t="str">
        <f>IFERROR(VLOOKUP(B104,'03. THIẾT BỊ'!$B$1:$S$836,5,0),"")</f>
        <v>Gàu định hình đào mương M1</v>
      </c>
      <c r="G104" s="101" t="s">
        <v>6468</v>
      </c>
      <c r="H104" s="19" t="str">
        <f>IFERROR(VLOOKUP(B104,'03. THIẾT BỊ'!$B$1:$S$836,7,0),"")</f>
        <v>CGTC DP</v>
      </c>
      <c r="I104" s="610" t="str">
        <f>IFERROR(VLOOKUP(B104,'03. THIẾT BỊ'!$B$1:$S$836,8,0),"")</f>
        <v>30/01/2026</v>
      </c>
      <c r="J104" s="25"/>
      <c r="K104" s="19" t="str">
        <f>IFERROR(VLOOKUP(B104,'03. THIẾT BỊ'!$B$1:$S$836,10,0),"")</f>
        <v>Bình thường</v>
      </c>
      <c r="L104" s="25">
        <f>IFERROR(VLOOKUP(B104,'03. THIẾT BỊ'!$B$1:$S$836,11,0),"")</f>
        <v>0</v>
      </c>
      <c r="M104" s="24">
        <f>IFERROR(VLOOKUP(B104,'03. THIẾT BỊ'!$B$1:$S$836,12,0),"")</f>
        <v>0</v>
      </c>
      <c r="N104" s="25" t="str">
        <f>IFERROR(VLOOKUP(B104,'03. THIẾT BỊ'!$B$1:$S$836,13,0),"")</f>
        <v>THACO AGRI</v>
      </c>
      <c r="O104" s="24" t="str">
        <f>IFERROR(VLOOKUP(B104,'03. THIẾT BỊ'!$B$1:$S$836,14,0),"")</f>
        <v>M1.2</v>
      </c>
      <c r="P104" s="25" t="str">
        <f>IFERROR(VLOOKUP(B104,'03. THIẾT BỊ'!$B$1:$S$836,15,0),"")</f>
        <v>CK-CGH</v>
      </c>
      <c r="Q104" s="23">
        <f>IFERROR(VLOOKUP(B104,'03. THIẾT BỊ'!$B$1:$S$836,16,0),"")</f>
        <v>2025</v>
      </c>
      <c r="R104" s="25" t="str">
        <f>IFERROR(VLOOKUP(B104,'03. THIẾT BỊ'!$B$1:$S$836,17,0),"")</f>
        <v>1200x400x1200</v>
      </c>
      <c r="S104" s="25">
        <f>IFERROR(VLOOKUP(B104,'03. THIẾT BỊ'!$B$1:$S$836,18,0),"")</f>
        <v>0</v>
      </c>
      <c r="T104" s="41"/>
    </row>
    <row r="105" customHeight="1" spans="1:20">
      <c r="A105" s="23">
        <f t="shared" si="1"/>
        <v>67</v>
      </c>
      <c r="B105" s="20" t="s">
        <v>3701</v>
      </c>
      <c r="C105" s="613">
        <f>IFERROR(VLOOKUP(B105,'03. THIẾT BỊ'!$B$1:$S$836,2,0),"")</f>
        <v>0</v>
      </c>
      <c r="D105" s="24" t="str">
        <f>IFERROR(VLOOKUP(B105,'03. THIẾT BỊ'!$B$1:$S$836,3,0),"")</f>
        <v>A23-GĐH-094</v>
      </c>
      <c r="E105" s="20" t="str">
        <f>IFERROR(VLOOKUP(B105,'03. THIẾT BỊ'!$B$1:$S$836,4,0),"")</f>
        <v>ĐQSD</v>
      </c>
      <c r="F105" s="20" t="str">
        <f>IFERROR(VLOOKUP(B105,'03. THIẾT BỊ'!$B$1:$S$836,5,0),"")</f>
        <v>Gàu định hình đào mương M1</v>
      </c>
      <c r="G105" s="101" t="s">
        <v>6468</v>
      </c>
      <c r="H105" s="19" t="str">
        <f>IFERROR(VLOOKUP(B105,'03. THIẾT BỊ'!$B$1:$S$836,7,0),"")</f>
        <v>CGTC DP</v>
      </c>
      <c r="I105" s="610" t="str">
        <f>IFERROR(VLOOKUP(B105,'03. THIẾT BỊ'!$B$1:$S$836,8,0),"")</f>
        <v>30/01/2026</v>
      </c>
      <c r="J105" s="25"/>
      <c r="K105" s="19" t="str">
        <f>IFERROR(VLOOKUP(B105,'03. THIẾT BỊ'!$B$1:$S$836,10,0),"")</f>
        <v>Bình thường</v>
      </c>
      <c r="L105" s="25">
        <f>IFERROR(VLOOKUP(B105,'03. THIẾT BỊ'!$B$1:$S$836,11,0),"")</f>
        <v>0</v>
      </c>
      <c r="M105" s="24">
        <f>IFERROR(VLOOKUP(B105,'03. THIẾT BỊ'!$B$1:$S$836,12,0),"")</f>
        <v>0</v>
      </c>
      <c r="N105" s="25" t="str">
        <f>IFERROR(VLOOKUP(B105,'03. THIẾT BỊ'!$B$1:$S$836,13,0),"")</f>
        <v>THACO AGRI</v>
      </c>
      <c r="O105" s="24" t="str">
        <f>IFERROR(VLOOKUP(B105,'03. THIẾT BỊ'!$B$1:$S$836,14,0),"")</f>
        <v>M1.2</v>
      </c>
      <c r="P105" s="25" t="str">
        <f>IFERROR(VLOOKUP(B105,'03. THIẾT BỊ'!$B$1:$S$836,15,0),"")</f>
        <v>CK-CGH</v>
      </c>
      <c r="Q105" s="23">
        <f>IFERROR(VLOOKUP(B105,'03. THIẾT BỊ'!$B$1:$S$836,16,0),"")</f>
        <v>2025</v>
      </c>
      <c r="R105" s="25" t="str">
        <f>IFERROR(VLOOKUP(B105,'03. THIẾT BỊ'!$B$1:$S$836,17,0),"")</f>
        <v>1200x400x1200</v>
      </c>
      <c r="S105" s="25">
        <f>IFERROR(VLOOKUP(B105,'03. THIẾT BỊ'!$B$1:$S$836,18,0),"")</f>
        <v>0</v>
      </c>
      <c r="T105" s="41"/>
    </row>
    <row r="106" customHeight="1" spans="1:20">
      <c r="A106" s="23">
        <f>A94+1</f>
        <v>57</v>
      </c>
      <c r="B106" s="20" t="s">
        <v>4289</v>
      </c>
      <c r="C106" s="613">
        <f>IFERROR(VLOOKUP(B106,'03. THIẾT BỊ'!$B$1:$S$836,2,0),"")</f>
        <v>0</v>
      </c>
      <c r="D106" s="24" t="str">
        <f>IFERROR(VLOOKUP(B106,'03. THIẾT BỊ'!$B$1:$S$836,3,0),"")</f>
        <v>A23-GĐH-083</v>
      </c>
      <c r="E106" s="20" t="str">
        <f>IFERROR(VLOOKUP(B106,'03. THIẾT BỊ'!$B$1:$S$836,4,0),"")</f>
        <v>ĐQSD</v>
      </c>
      <c r="F106" s="20" t="str">
        <f>IFERROR(VLOOKUP(B106,'03. THIẾT BỊ'!$B$1:$S$836,5,0),"")</f>
        <v>Gàu định hình đào mương thoát nước</v>
      </c>
      <c r="G106" s="101" t="s">
        <v>6468</v>
      </c>
      <c r="H106" s="19" t="str">
        <f>IFERROR(VLOOKUP(B106,'03. THIẾT BỊ'!$B$1:$S$836,7,0),"")</f>
        <v>XN Chuối DP1</v>
      </c>
      <c r="I106" s="610" t="str">
        <f>IFERROR(VLOOKUP(B106,'03. THIẾT BỊ'!$B$1:$S$836,8,0),"")</f>
        <v>19/05/2025</v>
      </c>
      <c r="J106" s="25"/>
      <c r="K106" s="19" t="str">
        <f>IFERROR(VLOOKUP(B106,'03. THIẾT BỊ'!$B$1:$S$836,10,0),"")</f>
        <v>Bình thường</v>
      </c>
      <c r="L106" s="25">
        <f>IFERROR(VLOOKUP(B106,'03. THIẾT BỊ'!$B$1:$S$836,11,0),"")</f>
        <v>0</v>
      </c>
      <c r="M106" s="24" t="str">
        <f>IFERROR(VLOOKUP(B106,'03. THIẾT BỊ'!$B$1:$S$836,12,0),"")</f>
        <v>Gia công mới</v>
      </c>
      <c r="N106" s="25" t="str">
        <f>IFERROR(VLOOKUP(B106,'03. THIẾT BỊ'!$B$1:$S$836,13,0),"")</f>
        <v>THACO AGRI</v>
      </c>
      <c r="O106" s="24">
        <f>IFERROR(VLOOKUP(B106,'03. THIẾT BỊ'!$B$1:$S$836,14,0),"")</f>
        <v>0</v>
      </c>
      <c r="P106" s="25" t="str">
        <f>IFERROR(VLOOKUP(B106,'03. THIẾT BỊ'!$B$1:$S$836,15,0),"")</f>
        <v>CK-CGH</v>
      </c>
      <c r="Q106" s="23">
        <f>IFERROR(VLOOKUP(B106,'03. THIẾT BỊ'!$B$1:$S$836,16,0),"")</f>
        <v>2025</v>
      </c>
      <c r="R106" s="25" t="str">
        <f>IFERROR(VLOOKUP(B106,'03. THIẾT BỊ'!$B$1:$S$836,17,0),"")</f>
        <v>350x200x400</v>
      </c>
      <c r="S106" s="25">
        <f>IFERROR(VLOOKUP(B106,'03. THIẾT BỊ'!$B$1:$S$836,18,0),"")</f>
        <v>0</v>
      </c>
      <c r="T106" s="41"/>
    </row>
    <row r="107" customHeight="1" spans="1:20">
      <c r="A107" s="23">
        <f t="shared" ref="A107:A135" si="2">A106+1</f>
        <v>58</v>
      </c>
      <c r="B107" s="20" t="s">
        <v>4291</v>
      </c>
      <c r="C107" s="613">
        <f>IFERROR(VLOOKUP(B107,'03. THIẾT BỊ'!$B$1:$S$836,2,0),"")</f>
        <v>0</v>
      </c>
      <c r="D107" s="24" t="str">
        <f>IFERROR(VLOOKUP(B107,'03. THIẾT BỊ'!$B$1:$S$836,3,0),"")</f>
        <v>A23-GĐH-084</v>
      </c>
      <c r="E107" s="20" t="str">
        <f>IFERROR(VLOOKUP(B107,'03. THIẾT BỊ'!$B$1:$S$836,4,0),"")</f>
        <v>ĐQSD</v>
      </c>
      <c r="F107" s="20" t="str">
        <f>IFERROR(VLOOKUP(B107,'03. THIẾT BỊ'!$B$1:$S$836,5,0),"")</f>
        <v>Gàu định hình đào mương thoát nước</v>
      </c>
      <c r="G107" s="101" t="s">
        <v>6468</v>
      </c>
      <c r="H107" s="19" t="str">
        <f>IFERROR(VLOOKUP(B107,'03. THIẾT BỊ'!$B$1:$S$836,7,0),"")</f>
        <v>XN Chuối DP1</v>
      </c>
      <c r="I107" s="610" t="str">
        <f>IFERROR(VLOOKUP(B107,'03. THIẾT BỊ'!$B$1:$S$836,8,0),"")</f>
        <v>19/05/2025</v>
      </c>
      <c r="J107" s="25"/>
      <c r="K107" s="19" t="str">
        <f>IFERROR(VLOOKUP(B107,'03. THIẾT BỊ'!$B$1:$S$836,10,0),"")</f>
        <v>Bình thường</v>
      </c>
      <c r="L107" s="25">
        <f>IFERROR(VLOOKUP(B107,'03. THIẾT BỊ'!$B$1:$S$836,11,0),"")</f>
        <v>0</v>
      </c>
      <c r="M107" s="24" t="str">
        <f>IFERROR(VLOOKUP(B107,'03. THIẾT BỊ'!$B$1:$S$836,12,0),"")</f>
        <v>Gia công mới</v>
      </c>
      <c r="N107" s="25" t="str">
        <f>IFERROR(VLOOKUP(B107,'03. THIẾT BỊ'!$B$1:$S$836,13,0),"")</f>
        <v>THACO AGRI</v>
      </c>
      <c r="O107" s="24">
        <f>IFERROR(VLOOKUP(B107,'03. THIẾT BỊ'!$B$1:$S$836,14,0),"")</f>
        <v>0</v>
      </c>
      <c r="P107" s="25" t="str">
        <f>IFERROR(VLOOKUP(B107,'03. THIẾT BỊ'!$B$1:$S$836,15,0),"")</f>
        <v>CK-CGH</v>
      </c>
      <c r="Q107" s="23">
        <f>IFERROR(VLOOKUP(B107,'03. THIẾT BỊ'!$B$1:$S$836,16,0),"")</f>
        <v>2025</v>
      </c>
      <c r="R107" s="25" t="str">
        <f>IFERROR(VLOOKUP(B107,'03. THIẾT BỊ'!$B$1:$S$836,17,0),"")</f>
        <v>350x200x400</v>
      </c>
      <c r="S107" s="25">
        <f>IFERROR(VLOOKUP(B107,'03. THIẾT BỊ'!$B$1:$S$836,18,0),"")</f>
        <v>0</v>
      </c>
      <c r="T107" s="41"/>
    </row>
    <row r="108" customHeight="1" spans="1:20">
      <c r="A108" s="23">
        <f t="shared" si="2"/>
        <v>59</v>
      </c>
      <c r="B108" s="20" t="s">
        <v>4293</v>
      </c>
      <c r="C108" s="613">
        <f>IFERROR(VLOOKUP(B108,'03. THIẾT BỊ'!$B$1:$S$836,2,0),"")</f>
        <v>0</v>
      </c>
      <c r="D108" s="24" t="str">
        <f>IFERROR(VLOOKUP(B108,'03. THIẾT BỊ'!$B$1:$S$836,3,0),"")</f>
        <v>A23-GĐH-085</v>
      </c>
      <c r="E108" s="20" t="str">
        <f>IFERROR(VLOOKUP(B108,'03. THIẾT BỊ'!$B$1:$S$836,4,0),"")</f>
        <v>ĐQSD</v>
      </c>
      <c r="F108" s="20" t="str">
        <f>IFERROR(VLOOKUP(B108,'03. THIẾT BỊ'!$B$1:$S$836,5,0),"")</f>
        <v>Gàu định hình đào mương thoát nước</v>
      </c>
      <c r="G108" s="101" t="s">
        <v>6468</v>
      </c>
      <c r="H108" s="19" t="str">
        <f>IFERROR(VLOOKUP(B108,'03. THIẾT BỊ'!$B$1:$S$836,7,0),"")</f>
        <v>XN Chuối DP1</v>
      </c>
      <c r="I108" s="610" t="str">
        <f>IFERROR(VLOOKUP(B108,'03. THIẾT BỊ'!$B$1:$S$836,8,0),"")</f>
        <v>19/05/2025</v>
      </c>
      <c r="J108" s="25"/>
      <c r="K108" s="19" t="str">
        <f>IFERROR(VLOOKUP(B108,'03. THIẾT BỊ'!$B$1:$S$836,10,0),"")</f>
        <v>Bình thường</v>
      </c>
      <c r="L108" s="25">
        <f>IFERROR(VLOOKUP(B108,'03. THIẾT BỊ'!$B$1:$S$836,11,0),"")</f>
        <v>0</v>
      </c>
      <c r="M108" s="24" t="str">
        <f>IFERROR(VLOOKUP(B108,'03. THIẾT BỊ'!$B$1:$S$836,12,0),"")</f>
        <v>Gia công mới</v>
      </c>
      <c r="N108" s="25" t="str">
        <f>IFERROR(VLOOKUP(B108,'03. THIẾT BỊ'!$B$1:$S$836,13,0),"")</f>
        <v>THACO AGRI</v>
      </c>
      <c r="O108" s="24">
        <f>IFERROR(VLOOKUP(B108,'03. THIẾT BỊ'!$B$1:$S$836,14,0),"")</f>
        <v>0</v>
      </c>
      <c r="P108" s="25" t="str">
        <f>IFERROR(VLOOKUP(B108,'03. THIẾT BỊ'!$B$1:$S$836,15,0),"")</f>
        <v>CK-CGH</v>
      </c>
      <c r="Q108" s="23">
        <f>IFERROR(VLOOKUP(B108,'03. THIẾT BỊ'!$B$1:$S$836,16,0),"")</f>
        <v>2025</v>
      </c>
      <c r="R108" s="25" t="str">
        <f>IFERROR(VLOOKUP(B108,'03. THIẾT BỊ'!$B$1:$S$836,17,0),"")</f>
        <v>350x200x400</v>
      </c>
      <c r="S108" s="25">
        <f>IFERROR(VLOOKUP(B108,'03. THIẾT BỊ'!$B$1:$S$836,18,0),"")</f>
        <v>0</v>
      </c>
      <c r="T108" s="41"/>
    </row>
    <row r="109" customHeight="1" spans="1:20">
      <c r="A109" s="23">
        <f t="shared" si="2"/>
        <v>60</v>
      </c>
      <c r="B109" s="20" t="s">
        <v>4295</v>
      </c>
      <c r="C109" s="613">
        <f>IFERROR(VLOOKUP(B109,'03. THIẾT BỊ'!$B$1:$S$836,2,0),"")</f>
        <v>0</v>
      </c>
      <c r="D109" s="24" t="str">
        <f>IFERROR(VLOOKUP(B109,'03. THIẾT BỊ'!$B$1:$S$836,3,0),"")</f>
        <v>A23-GĐH-086</v>
      </c>
      <c r="E109" s="20" t="str">
        <f>IFERROR(VLOOKUP(B109,'03. THIẾT BỊ'!$B$1:$S$836,4,0),"")</f>
        <v>ĐQSD</v>
      </c>
      <c r="F109" s="20" t="str">
        <f>IFERROR(VLOOKUP(B109,'03. THIẾT BỊ'!$B$1:$S$836,5,0),"")</f>
        <v>Gàu định hình đào mương thoát nước</v>
      </c>
      <c r="G109" s="101" t="s">
        <v>6468</v>
      </c>
      <c r="H109" s="19" t="str">
        <f>IFERROR(VLOOKUP(B109,'03. THIẾT BỊ'!$B$1:$S$836,7,0),"")</f>
        <v>XN Chuối DP1</v>
      </c>
      <c r="I109" s="610" t="str">
        <f>IFERROR(VLOOKUP(B109,'03. THIẾT BỊ'!$B$1:$S$836,8,0),"")</f>
        <v>19/05/2025</v>
      </c>
      <c r="J109" s="25"/>
      <c r="K109" s="19" t="str">
        <f>IFERROR(VLOOKUP(B109,'03. THIẾT BỊ'!$B$1:$S$836,10,0),"")</f>
        <v>Bình thường</v>
      </c>
      <c r="L109" s="25">
        <f>IFERROR(VLOOKUP(B109,'03. THIẾT BỊ'!$B$1:$S$836,11,0),"")</f>
        <v>0</v>
      </c>
      <c r="M109" s="24" t="str">
        <f>IFERROR(VLOOKUP(B109,'03. THIẾT BỊ'!$B$1:$S$836,12,0),"")</f>
        <v>Gia công mới</v>
      </c>
      <c r="N109" s="25" t="str">
        <f>IFERROR(VLOOKUP(B109,'03. THIẾT BỊ'!$B$1:$S$836,13,0),"")</f>
        <v>THACO AGRI</v>
      </c>
      <c r="O109" s="24">
        <f>IFERROR(VLOOKUP(B109,'03. THIẾT BỊ'!$B$1:$S$836,14,0),"")</f>
        <v>0</v>
      </c>
      <c r="P109" s="25" t="str">
        <f>IFERROR(VLOOKUP(B109,'03. THIẾT BỊ'!$B$1:$S$836,15,0),"")</f>
        <v>CK-CGH</v>
      </c>
      <c r="Q109" s="23">
        <f>IFERROR(VLOOKUP(B109,'03. THIẾT BỊ'!$B$1:$S$836,16,0),"")</f>
        <v>2025</v>
      </c>
      <c r="R109" s="25" t="str">
        <f>IFERROR(VLOOKUP(B109,'03. THIẾT BỊ'!$B$1:$S$836,17,0),"")</f>
        <v>350x200x400</v>
      </c>
      <c r="S109" s="25">
        <f>IFERROR(VLOOKUP(B109,'03. THIẾT BỊ'!$B$1:$S$836,18,0),"")</f>
        <v>0</v>
      </c>
      <c r="T109" s="41"/>
    </row>
    <row r="110" customHeight="1" spans="1:20">
      <c r="A110" s="23">
        <f t="shared" si="2"/>
        <v>61</v>
      </c>
      <c r="B110" s="20" t="s">
        <v>4297</v>
      </c>
      <c r="C110" s="613">
        <f>IFERROR(VLOOKUP(B110,'03. THIẾT BỊ'!$B$1:$S$836,2,0),"")</f>
        <v>0</v>
      </c>
      <c r="D110" s="24" t="str">
        <f>IFERROR(VLOOKUP(B110,'03. THIẾT BỊ'!$B$1:$S$836,3,0),"")</f>
        <v>A23-GĐH-087</v>
      </c>
      <c r="E110" s="20" t="str">
        <f>IFERROR(VLOOKUP(B110,'03. THIẾT BỊ'!$B$1:$S$836,4,0),"")</f>
        <v>ĐQSD</v>
      </c>
      <c r="F110" s="20" t="str">
        <f>IFERROR(VLOOKUP(B110,'03. THIẾT BỊ'!$B$1:$S$836,5,0),"")</f>
        <v>Gàu định hình đào mương thoát nước</v>
      </c>
      <c r="G110" s="101" t="s">
        <v>6468</v>
      </c>
      <c r="H110" s="19" t="str">
        <f>IFERROR(VLOOKUP(B110,'03. THIẾT BỊ'!$B$1:$S$836,7,0),"")</f>
        <v>XN Chuối DP1</v>
      </c>
      <c r="I110" s="610" t="str">
        <f>IFERROR(VLOOKUP(B110,'03. THIẾT BỊ'!$B$1:$S$836,8,0),"")</f>
        <v>19/05/2025</v>
      </c>
      <c r="J110" s="25"/>
      <c r="K110" s="19" t="str">
        <f>IFERROR(VLOOKUP(B110,'03. THIẾT BỊ'!$B$1:$S$836,10,0),"")</f>
        <v>Bình thường</v>
      </c>
      <c r="L110" s="25">
        <f>IFERROR(VLOOKUP(B110,'03. THIẾT BỊ'!$B$1:$S$836,11,0),"")</f>
        <v>0</v>
      </c>
      <c r="M110" s="24" t="str">
        <f>IFERROR(VLOOKUP(B110,'03. THIẾT BỊ'!$B$1:$S$836,12,0),"")</f>
        <v>Gia công mới</v>
      </c>
      <c r="N110" s="25" t="str">
        <f>IFERROR(VLOOKUP(B110,'03. THIẾT BỊ'!$B$1:$S$836,13,0),"")</f>
        <v>THACO AGRI</v>
      </c>
      <c r="O110" s="24">
        <f>IFERROR(VLOOKUP(B110,'03. THIẾT BỊ'!$B$1:$S$836,14,0),"")</f>
        <v>0</v>
      </c>
      <c r="P110" s="25" t="str">
        <f>IFERROR(VLOOKUP(B110,'03. THIẾT BỊ'!$B$1:$S$836,15,0),"")</f>
        <v>CK-CGH</v>
      </c>
      <c r="Q110" s="23">
        <f>IFERROR(VLOOKUP(B110,'03. THIẾT BỊ'!$B$1:$S$836,16,0),"")</f>
        <v>2025</v>
      </c>
      <c r="R110" s="25" t="str">
        <f>IFERROR(VLOOKUP(B110,'03. THIẾT BỊ'!$B$1:$S$836,17,0),"")</f>
        <v>350x200x400</v>
      </c>
      <c r="S110" s="25">
        <f>IFERROR(VLOOKUP(B110,'03. THIẾT BỊ'!$B$1:$S$836,18,0),"")</f>
        <v>0</v>
      </c>
      <c r="T110" s="41"/>
    </row>
    <row r="111" customHeight="1" spans="1:20">
      <c r="A111" s="23">
        <f t="shared" si="2"/>
        <v>62</v>
      </c>
      <c r="B111" s="20" t="s">
        <v>4299</v>
      </c>
      <c r="C111" s="613">
        <f>IFERROR(VLOOKUP(B111,'03. THIẾT BỊ'!$B$1:$S$836,2,0),"")</f>
        <v>0</v>
      </c>
      <c r="D111" s="24" t="str">
        <f>IFERROR(VLOOKUP(B111,'03. THIẾT BỊ'!$B$1:$S$836,3,0),"")</f>
        <v>A23-GĐH-088</v>
      </c>
      <c r="E111" s="20" t="str">
        <f>IFERROR(VLOOKUP(B111,'03. THIẾT BỊ'!$B$1:$S$836,4,0),"")</f>
        <v>ĐQSD</v>
      </c>
      <c r="F111" s="20" t="str">
        <f>IFERROR(VLOOKUP(B111,'03. THIẾT BỊ'!$B$1:$S$836,5,0),"")</f>
        <v>Gàu định hình đào mương thoát nước</v>
      </c>
      <c r="G111" s="101" t="s">
        <v>6468</v>
      </c>
      <c r="H111" s="19" t="str">
        <f>IFERROR(VLOOKUP(B111,'03. THIẾT BỊ'!$B$1:$S$836,7,0),"")</f>
        <v>XN Chuối DP1</v>
      </c>
      <c r="I111" s="610" t="str">
        <f>IFERROR(VLOOKUP(B111,'03. THIẾT BỊ'!$B$1:$S$836,8,0),"")</f>
        <v>19/05/2025</v>
      </c>
      <c r="J111" s="25"/>
      <c r="K111" s="19" t="str">
        <f>IFERROR(VLOOKUP(B111,'03. THIẾT BỊ'!$B$1:$S$836,10,0),"")</f>
        <v>Bình thường</v>
      </c>
      <c r="L111" s="25">
        <f>IFERROR(VLOOKUP(B111,'03. THIẾT BỊ'!$B$1:$S$836,11,0),"")</f>
        <v>0</v>
      </c>
      <c r="M111" s="24" t="str">
        <f>IFERROR(VLOOKUP(B111,'03. THIẾT BỊ'!$B$1:$S$836,12,0),"")</f>
        <v>Gia công mới</v>
      </c>
      <c r="N111" s="25" t="str">
        <f>IFERROR(VLOOKUP(B111,'03. THIẾT BỊ'!$B$1:$S$836,13,0),"")</f>
        <v>THACO AGRI</v>
      </c>
      <c r="O111" s="24">
        <f>IFERROR(VLOOKUP(B111,'03. THIẾT BỊ'!$B$1:$S$836,14,0),"")</f>
        <v>0</v>
      </c>
      <c r="P111" s="25" t="str">
        <f>IFERROR(VLOOKUP(B111,'03. THIẾT BỊ'!$B$1:$S$836,15,0),"")</f>
        <v>CK-CGH</v>
      </c>
      <c r="Q111" s="23">
        <f>IFERROR(VLOOKUP(B111,'03. THIẾT BỊ'!$B$1:$S$836,16,0),"")</f>
        <v>2025</v>
      </c>
      <c r="R111" s="25" t="str">
        <f>IFERROR(VLOOKUP(B111,'03. THIẾT BỊ'!$B$1:$S$836,17,0),"")</f>
        <v>350x200x400</v>
      </c>
      <c r="S111" s="25">
        <f>IFERROR(VLOOKUP(B111,'03. THIẾT BỊ'!$B$1:$S$836,18,0),"")</f>
        <v>0</v>
      </c>
      <c r="T111" s="41"/>
    </row>
    <row r="112" customHeight="1" spans="1:20">
      <c r="A112" s="23">
        <f t="shared" si="2"/>
        <v>63</v>
      </c>
      <c r="B112" s="20" t="s">
        <v>4423</v>
      </c>
      <c r="C112" s="613">
        <f>IFERROR(VLOOKUP(B112,'03. THIẾT BỊ'!$B$1:$S$836,2,0),"")</f>
        <v>0</v>
      </c>
      <c r="D112" s="24" t="str">
        <f>IFERROR(VLOOKUP(B112,'03. THIẾT BỊ'!$B$1:$S$836,3,0),"")</f>
        <v>A23-GĐH-089</v>
      </c>
      <c r="E112" s="20" t="str">
        <f>IFERROR(VLOOKUP(B112,'03. THIẾT BỊ'!$B$1:$S$836,4,0),"")</f>
        <v>ĐQSD</v>
      </c>
      <c r="F112" s="20" t="str">
        <f>IFERROR(VLOOKUP(B112,'03. THIẾT BỊ'!$B$1:$S$836,5,0),"")</f>
        <v>Gàu định hình đào mương thoát nước</v>
      </c>
      <c r="G112" s="101" t="s">
        <v>6468</v>
      </c>
      <c r="H112" s="19" t="str">
        <f>IFERROR(VLOOKUP(B112,'03. THIẾT BỊ'!$B$1:$S$836,7,0),"")</f>
        <v>XN Chuối DP2</v>
      </c>
      <c r="I112" s="610" t="str">
        <f>IFERROR(VLOOKUP(B112,'03. THIẾT BỊ'!$B$1:$S$836,8,0),"")</f>
        <v>19/05/2025</v>
      </c>
      <c r="J112" s="25"/>
      <c r="K112" s="19" t="str">
        <f>IFERROR(VLOOKUP(B112,'03. THIẾT BỊ'!$B$1:$S$836,10,0),"")</f>
        <v>Bình thường</v>
      </c>
      <c r="L112" s="25">
        <f>IFERROR(VLOOKUP(B112,'03. THIẾT BỊ'!$B$1:$S$836,11,0),"")</f>
        <v>0</v>
      </c>
      <c r="M112" s="24" t="str">
        <f>IFERROR(VLOOKUP(B112,'03. THIẾT BỊ'!$B$1:$S$836,12,0),"")</f>
        <v>Gia công mới</v>
      </c>
      <c r="N112" s="25" t="str">
        <f>IFERROR(VLOOKUP(B112,'03. THIẾT BỊ'!$B$1:$S$836,13,0),"")</f>
        <v>THACO AGRI</v>
      </c>
      <c r="O112" s="24">
        <f>IFERROR(VLOOKUP(B112,'03. THIẾT BỊ'!$B$1:$S$836,14,0),"")</f>
        <v>0</v>
      </c>
      <c r="P112" s="25" t="str">
        <f>IFERROR(VLOOKUP(B112,'03. THIẾT BỊ'!$B$1:$S$836,15,0),"")</f>
        <v>CK-CGH</v>
      </c>
      <c r="Q112" s="23">
        <f>IFERROR(VLOOKUP(B112,'03. THIẾT BỊ'!$B$1:$S$836,16,0),"")</f>
        <v>2025</v>
      </c>
      <c r="R112" s="25" t="str">
        <f>IFERROR(VLOOKUP(B112,'03. THIẾT BỊ'!$B$1:$S$836,17,0),"")</f>
        <v>350x200x400</v>
      </c>
      <c r="S112" s="25">
        <f>IFERROR(VLOOKUP(B112,'03. THIẾT BỊ'!$B$1:$S$836,18,0),"")</f>
        <v>0</v>
      </c>
      <c r="T112" s="41"/>
    </row>
    <row r="113" customHeight="1" spans="1:20">
      <c r="A113" s="23">
        <f t="shared" si="2"/>
        <v>64</v>
      </c>
      <c r="B113" s="20" t="s">
        <v>4425</v>
      </c>
      <c r="C113" s="613">
        <f>IFERROR(VLOOKUP(B113,'03. THIẾT BỊ'!$B$1:$S$836,2,0),"")</f>
        <v>0</v>
      </c>
      <c r="D113" s="24" t="str">
        <f>IFERROR(VLOOKUP(B113,'03. THIẾT BỊ'!$B$1:$S$836,3,0),"")</f>
        <v>A23-GĐH-090</v>
      </c>
      <c r="E113" s="20" t="str">
        <f>IFERROR(VLOOKUP(B113,'03. THIẾT BỊ'!$B$1:$S$836,4,0),"")</f>
        <v>ĐQSD</v>
      </c>
      <c r="F113" s="20" t="str">
        <f>IFERROR(VLOOKUP(B113,'03. THIẾT BỊ'!$B$1:$S$836,5,0),"")</f>
        <v>Gàu định hình đào mương thoát nước</v>
      </c>
      <c r="G113" s="101" t="s">
        <v>6468</v>
      </c>
      <c r="H113" s="19" t="str">
        <f>IFERROR(VLOOKUP(B113,'03. THIẾT BỊ'!$B$1:$S$836,7,0),"")</f>
        <v>XN Chuối DP2</v>
      </c>
      <c r="I113" s="610" t="str">
        <f>IFERROR(VLOOKUP(B113,'03. THIẾT BỊ'!$B$1:$S$836,8,0),"")</f>
        <v>19/05/2025</v>
      </c>
      <c r="J113" s="25"/>
      <c r="K113" s="19" t="str">
        <f>IFERROR(VLOOKUP(B113,'03. THIẾT BỊ'!$B$1:$S$836,10,0),"")</f>
        <v>Bình thường</v>
      </c>
      <c r="L113" s="25">
        <f>IFERROR(VLOOKUP(B113,'03. THIẾT BỊ'!$B$1:$S$836,11,0),"")</f>
        <v>0</v>
      </c>
      <c r="M113" s="24" t="str">
        <f>IFERROR(VLOOKUP(B113,'03. THIẾT BỊ'!$B$1:$S$836,12,0),"")</f>
        <v>Gia công mới</v>
      </c>
      <c r="N113" s="25" t="str">
        <f>IFERROR(VLOOKUP(B113,'03. THIẾT BỊ'!$B$1:$S$836,13,0),"")</f>
        <v>THACO AGRI</v>
      </c>
      <c r="O113" s="24">
        <f>IFERROR(VLOOKUP(B113,'03. THIẾT BỊ'!$B$1:$S$836,14,0),"")</f>
        <v>0</v>
      </c>
      <c r="P113" s="25" t="str">
        <f>IFERROR(VLOOKUP(B113,'03. THIẾT BỊ'!$B$1:$S$836,15,0),"")</f>
        <v>CK-CGH</v>
      </c>
      <c r="Q113" s="23">
        <f>IFERROR(VLOOKUP(B113,'03. THIẾT BỊ'!$B$1:$S$836,16,0),"")</f>
        <v>2025</v>
      </c>
      <c r="R113" s="25" t="str">
        <f>IFERROR(VLOOKUP(B113,'03. THIẾT BỊ'!$B$1:$S$836,17,0),"")</f>
        <v>350x200x400</v>
      </c>
      <c r="S113" s="25">
        <f>IFERROR(VLOOKUP(B113,'03. THIẾT BỊ'!$B$1:$S$836,18,0),"")</f>
        <v>0</v>
      </c>
      <c r="T113" s="41"/>
    </row>
    <row r="114" customHeight="1" spans="1:20">
      <c r="A114" s="23">
        <f t="shared" si="2"/>
        <v>65</v>
      </c>
      <c r="B114" s="20" t="s">
        <v>4677</v>
      </c>
      <c r="C114" s="613">
        <f>IFERROR(VLOOKUP(B114,'03. THIẾT BỊ'!$B$1:$S$836,2,0),"")</f>
        <v>0</v>
      </c>
      <c r="D114" s="24" t="str">
        <f>IFERROR(VLOOKUP(B114,'03. THIẾT BỊ'!$B$1:$S$836,3,0),"")</f>
        <v>A23-GĐH-079</v>
      </c>
      <c r="E114" s="20" t="str">
        <f>IFERROR(VLOOKUP(B114,'03. THIẾT BỊ'!$B$1:$S$836,4,0),"")</f>
        <v>ĐQSD</v>
      </c>
      <c r="F114" s="20" t="str">
        <f>IFERROR(VLOOKUP(B114,'03. THIẾT BỊ'!$B$1:$S$836,5,0),"")</f>
        <v>Gàu định hình đào mương thoát nước</v>
      </c>
      <c r="G114" s="101" t="s">
        <v>6468</v>
      </c>
      <c r="H114" s="19" t="str">
        <f>IFERROR(VLOOKUP(B114,'03. THIẾT BỊ'!$B$1:$S$836,7,0),"")</f>
        <v>XN Chuối DP3</v>
      </c>
      <c r="I114" s="610" t="str">
        <f>IFERROR(VLOOKUP(B114,'03. THIẾT BỊ'!$B$1:$S$836,8,0),"")</f>
        <v>15/05/2025</v>
      </c>
      <c r="J114" s="25"/>
      <c r="K114" s="19" t="str">
        <f>IFERROR(VLOOKUP(B114,'03. THIẾT BỊ'!$B$1:$S$836,10,0),"")</f>
        <v>Bình thường</v>
      </c>
      <c r="L114" s="25">
        <f>IFERROR(VLOOKUP(B114,'03. THIẾT BỊ'!$B$1:$S$836,11,0),"")</f>
        <v>0</v>
      </c>
      <c r="M114" s="24">
        <f>IFERROR(VLOOKUP(B114,'03. THIẾT BỊ'!$B$1:$S$836,12,0),"")</f>
        <v>0</v>
      </c>
      <c r="N114" s="25" t="str">
        <f>IFERROR(VLOOKUP(B114,'03. THIẾT BỊ'!$B$1:$S$836,13,0),"")</f>
        <v>THACO AGRI</v>
      </c>
      <c r="O114" s="24">
        <f>IFERROR(VLOOKUP(B114,'03. THIẾT BỊ'!$B$1:$S$836,14,0),"")</f>
        <v>0</v>
      </c>
      <c r="P114" s="25" t="str">
        <f>IFERROR(VLOOKUP(B114,'03. THIẾT BỊ'!$B$1:$S$836,15,0),"")</f>
        <v>CK-CGH</v>
      </c>
      <c r="Q114" s="23">
        <f>IFERROR(VLOOKUP(B114,'03. THIẾT BỊ'!$B$1:$S$836,16,0),"")</f>
        <v>2025</v>
      </c>
      <c r="R114" s="25" t="str">
        <f>IFERROR(VLOOKUP(B114,'03. THIẾT BỊ'!$B$1:$S$836,17,0),"")</f>
        <v>350x200x400</v>
      </c>
      <c r="S114" s="25">
        <f>IFERROR(VLOOKUP(B114,'03. THIẾT BỊ'!$B$1:$S$836,18,0),"")</f>
        <v>0</v>
      </c>
      <c r="T114" s="615"/>
    </row>
    <row r="115" customHeight="1" spans="1:20">
      <c r="A115" s="23">
        <f t="shared" si="2"/>
        <v>66</v>
      </c>
      <c r="B115" s="20" t="s">
        <v>4681</v>
      </c>
      <c r="C115" s="613">
        <f>IFERROR(VLOOKUP(B115,'03. THIẾT BỊ'!$B$1:$S$836,2,0),"")</f>
        <v>0</v>
      </c>
      <c r="D115" s="24" t="str">
        <f>IFERROR(VLOOKUP(B115,'03. THIẾT BỊ'!$B$1:$S$836,3,0),"")</f>
        <v>A23-GĐH-080</v>
      </c>
      <c r="E115" s="20" t="str">
        <f>IFERROR(VLOOKUP(B115,'03. THIẾT BỊ'!$B$1:$S$836,4,0),"")</f>
        <v>ĐQSD</v>
      </c>
      <c r="F115" s="20" t="str">
        <f>IFERROR(VLOOKUP(B115,'03. THIẾT BỊ'!$B$1:$S$836,5,0),"")</f>
        <v>Gàu định hình đào mương thoát nước</v>
      </c>
      <c r="G115" s="101" t="s">
        <v>6468</v>
      </c>
      <c r="H115" s="19" t="str">
        <f>IFERROR(VLOOKUP(B115,'03. THIẾT BỊ'!$B$1:$S$836,7,0),"")</f>
        <v>XN Chuối DP3</v>
      </c>
      <c r="I115" s="610" t="str">
        <f>IFERROR(VLOOKUP(B115,'03. THIẾT BỊ'!$B$1:$S$836,8,0),"")</f>
        <v>15/05/2025</v>
      </c>
      <c r="J115" s="25"/>
      <c r="K115" s="19" t="str">
        <f>IFERROR(VLOOKUP(B115,'03. THIẾT BỊ'!$B$1:$S$836,10,0),"")</f>
        <v>Bình thường</v>
      </c>
      <c r="L115" s="25">
        <f>IFERROR(VLOOKUP(B115,'03. THIẾT BỊ'!$B$1:$S$836,11,0),"")</f>
        <v>0</v>
      </c>
      <c r="M115" s="24">
        <f>IFERROR(VLOOKUP(B115,'03. THIẾT BỊ'!$B$1:$S$836,12,0),"")</f>
        <v>0</v>
      </c>
      <c r="N115" s="25" t="str">
        <f>IFERROR(VLOOKUP(B115,'03. THIẾT BỊ'!$B$1:$S$836,13,0),"")</f>
        <v>THACO AGRI</v>
      </c>
      <c r="O115" s="24">
        <f>IFERROR(VLOOKUP(B115,'03. THIẾT BỊ'!$B$1:$S$836,14,0),"")</f>
        <v>0</v>
      </c>
      <c r="P115" s="25" t="str">
        <f>IFERROR(VLOOKUP(B115,'03. THIẾT BỊ'!$B$1:$S$836,15,0),"")</f>
        <v>CK-CGH</v>
      </c>
      <c r="Q115" s="23">
        <f>IFERROR(VLOOKUP(B115,'03. THIẾT BỊ'!$B$1:$S$836,16,0),"")</f>
        <v>2025</v>
      </c>
      <c r="R115" s="25" t="str">
        <f>IFERROR(VLOOKUP(B115,'03. THIẾT BỊ'!$B$1:$S$836,17,0),"")</f>
        <v>350x200x400</v>
      </c>
      <c r="S115" s="25">
        <f>IFERROR(VLOOKUP(B115,'03. THIẾT BỊ'!$B$1:$S$836,18,0),"")</f>
        <v>0</v>
      </c>
      <c r="T115" s="615"/>
    </row>
    <row r="116" customHeight="1" spans="1:20">
      <c r="A116" s="23">
        <f t="shared" si="2"/>
        <v>67</v>
      </c>
      <c r="B116" s="20" t="s">
        <v>4683</v>
      </c>
      <c r="C116" s="613">
        <f>IFERROR(VLOOKUP(B116,'03. THIẾT BỊ'!$B$1:$S$836,2,0),"")</f>
        <v>0</v>
      </c>
      <c r="D116" s="24" t="str">
        <f>IFERROR(VLOOKUP(B116,'03. THIẾT BỊ'!$B$1:$S$836,3,0),"")</f>
        <v>A23-GĐH-081</v>
      </c>
      <c r="E116" s="20" t="str">
        <f>IFERROR(VLOOKUP(B116,'03. THIẾT BỊ'!$B$1:$S$836,4,0),"")</f>
        <v>ĐQSD</v>
      </c>
      <c r="F116" s="20" t="str">
        <f>IFERROR(VLOOKUP(B116,'03. THIẾT BỊ'!$B$1:$S$836,5,0),"")</f>
        <v>Gàu định hình đào mương thoát nước</v>
      </c>
      <c r="G116" s="101" t="s">
        <v>6468</v>
      </c>
      <c r="H116" s="19" t="str">
        <f>IFERROR(VLOOKUP(B116,'03. THIẾT BỊ'!$B$1:$S$836,7,0),"")</f>
        <v>XN Chuối DP3</v>
      </c>
      <c r="I116" s="610" t="str">
        <f>IFERROR(VLOOKUP(B116,'03. THIẾT BỊ'!$B$1:$S$836,8,0),"")</f>
        <v>15/05/2025</v>
      </c>
      <c r="J116" s="25"/>
      <c r="K116" s="19" t="str">
        <f>IFERROR(VLOOKUP(B116,'03. THIẾT BỊ'!$B$1:$S$836,10,0),"")</f>
        <v>Bình thường</v>
      </c>
      <c r="L116" s="25">
        <f>IFERROR(VLOOKUP(B116,'03. THIẾT BỊ'!$B$1:$S$836,11,0),"")</f>
        <v>0</v>
      </c>
      <c r="M116" s="24">
        <f>IFERROR(VLOOKUP(B116,'03. THIẾT BỊ'!$B$1:$S$836,12,0),"")</f>
        <v>0</v>
      </c>
      <c r="N116" s="25" t="str">
        <f>IFERROR(VLOOKUP(B116,'03. THIẾT BỊ'!$B$1:$S$836,13,0),"")</f>
        <v>THACO AGRI</v>
      </c>
      <c r="O116" s="24">
        <f>IFERROR(VLOOKUP(B116,'03. THIẾT BỊ'!$B$1:$S$836,14,0),"")</f>
        <v>0</v>
      </c>
      <c r="P116" s="25" t="str">
        <f>IFERROR(VLOOKUP(B116,'03. THIẾT BỊ'!$B$1:$S$836,15,0),"")</f>
        <v>CK-CGH</v>
      </c>
      <c r="Q116" s="23">
        <f>IFERROR(VLOOKUP(B116,'03. THIẾT BỊ'!$B$1:$S$836,16,0),"")</f>
        <v>2025</v>
      </c>
      <c r="R116" s="25" t="str">
        <f>IFERROR(VLOOKUP(B116,'03. THIẾT BỊ'!$B$1:$S$836,17,0),"")</f>
        <v>350x200x400</v>
      </c>
      <c r="S116" s="25">
        <f>IFERROR(VLOOKUP(B116,'03. THIẾT BỊ'!$B$1:$S$836,18,0),"")</f>
        <v>0</v>
      </c>
      <c r="T116" s="615"/>
    </row>
    <row r="117" customHeight="1" spans="1:20">
      <c r="A117" s="23">
        <f t="shared" si="2"/>
        <v>68</v>
      </c>
      <c r="B117" s="20" t="s">
        <v>4685</v>
      </c>
      <c r="C117" s="613">
        <f>IFERROR(VLOOKUP(B117,'03. THIẾT BỊ'!$B$1:$S$836,2,0),"")</f>
        <v>0</v>
      </c>
      <c r="D117" s="24" t="str">
        <f>IFERROR(VLOOKUP(B117,'03. THIẾT BỊ'!$B$1:$S$836,3,0),"")</f>
        <v>A23-GĐH-082</v>
      </c>
      <c r="E117" s="20" t="str">
        <f>IFERROR(VLOOKUP(B117,'03. THIẾT BỊ'!$B$1:$S$836,4,0),"")</f>
        <v>ĐQSD</v>
      </c>
      <c r="F117" s="20" t="str">
        <f>IFERROR(VLOOKUP(B117,'03. THIẾT BỊ'!$B$1:$S$836,5,0),"")</f>
        <v>Gàu định hình đào mương thoát nước</v>
      </c>
      <c r="G117" s="101" t="s">
        <v>6468</v>
      </c>
      <c r="H117" s="19" t="str">
        <f>IFERROR(VLOOKUP(B117,'03. THIẾT BỊ'!$B$1:$S$836,7,0),"")</f>
        <v>XN Chuối DP3</v>
      </c>
      <c r="I117" s="610" t="str">
        <f>IFERROR(VLOOKUP(B117,'03. THIẾT BỊ'!$B$1:$S$836,8,0),"")</f>
        <v>15/05/2025</v>
      </c>
      <c r="J117" s="25"/>
      <c r="K117" s="19" t="str">
        <f>IFERROR(VLOOKUP(B117,'03. THIẾT BỊ'!$B$1:$S$836,10,0),"")</f>
        <v>Bình thường</v>
      </c>
      <c r="L117" s="25">
        <f>IFERROR(VLOOKUP(B117,'03. THIẾT BỊ'!$B$1:$S$836,11,0),"")</f>
        <v>0</v>
      </c>
      <c r="M117" s="24">
        <f>IFERROR(VLOOKUP(B117,'03. THIẾT BỊ'!$B$1:$S$836,12,0),"")</f>
        <v>0</v>
      </c>
      <c r="N117" s="25" t="str">
        <f>IFERROR(VLOOKUP(B117,'03. THIẾT BỊ'!$B$1:$S$836,13,0),"")</f>
        <v>THACO AGRI</v>
      </c>
      <c r="O117" s="24">
        <f>IFERROR(VLOOKUP(B117,'03. THIẾT BỊ'!$B$1:$S$836,14,0),"")</f>
        <v>0</v>
      </c>
      <c r="P117" s="25" t="str">
        <f>IFERROR(VLOOKUP(B117,'03. THIẾT BỊ'!$B$1:$S$836,15,0),"")</f>
        <v>CK-CGH</v>
      </c>
      <c r="Q117" s="23">
        <f>IFERROR(VLOOKUP(B117,'03. THIẾT BỊ'!$B$1:$S$836,16,0),"")</f>
        <v>2025</v>
      </c>
      <c r="R117" s="25" t="str">
        <f>IFERROR(VLOOKUP(B117,'03. THIẾT BỊ'!$B$1:$S$836,17,0),"")</f>
        <v>350x200x400</v>
      </c>
      <c r="S117" s="25">
        <f>IFERROR(VLOOKUP(B117,'03. THIẾT BỊ'!$B$1:$S$836,18,0),"")</f>
        <v>0</v>
      </c>
      <c r="T117" s="615"/>
    </row>
    <row r="118" customHeight="1" spans="1:20">
      <c r="A118" s="23">
        <f t="shared" si="2"/>
        <v>69</v>
      </c>
      <c r="B118" s="20" t="s">
        <v>4813</v>
      </c>
      <c r="C118" s="613">
        <f>IFERROR(VLOOKUP(B118,'03. THIẾT BỊ'!$B$1:$S$836,2,0),"")</f>
        <v>0</v>
      </c>
      <c r="D118" s="24" t="str">
        <f>IFERROR(VLOOKUP(B118,'03. THIẾT BỊ'!$B$1:$S$836,3,0),"")</f>
        <v>A24-GĐH-065</v>
      </c>
      <c r="E118" s="20" t="str">
        <f>IFERROR(VLOOKUP(B118,'03. THIẾT BỊ'!$B$1:$S$836,4,0),"")</f>
        <v>ĐQSD</v>
      </c>
      <c r="F118" s="20" t="str">
        <f>IFERROR(VLOOKUP(B118,'03. THIẾT BỊ'!$B$1:$S$836,5,0),"")</f>
        <v>Gàu định hình đào mương thoát nước</v>
      </c>
      <c r="G118" s="101" t="s">
        <v>6468</v>
      </c>
      <c r="H118" s="19" t="str">
        <f>IFERROR(VLOOKUP(B118,'03. THIẾT BỊ'!$B$1:$S$836,7,0),"")</f>
        <v>XN Chuối LP1</v>
      </c>
      <c r="I118" s="610" t="str">
        <f>IFERROR(VLOOKUP(B118,'03. THIẾT BỊ'!$B$1:$S$836,8,0),"")</f>
        <v>15/05/2025</v>
      </c>
      <c r="J118" s="25"/>
      <c r="K118" s="19" t="str">
        <f>IFERROR(VLOOKUP(B118,'03. THIẾT BỊ'!$B$1:$S$836,10,0),"")</f>
        <v>Bình thường</v>
      </c>
      <c r="L118" s="25" t="str">
        <f>IFERROR(VLOOKUP(B118,'03. THIẾT BỊ'!$B$1:$S$836,11,0),"")</f>
        <v>GC mới</v>
      </c>
      <c r="M118" s="24">
        <f>IFERROR(VLOOKUP(B118,'03. THIẾT BỊ'!$B$1:$S$836,12,0),"")</f>
        <v>0</v>
      </c>
      <c r="N118" s="25" t="str">
        <f>IFERROR(VLOOKUP(B118,'03. THIẾT BỊ'!$B$1:$S$836,13,0),"")</f>
        <v>THACO AGRI</v>
      </c>
      <c r="O118" s="24">
        <f>IFERROR(VLOOKUP(B118,'03. THIẾT BỊ'!$B$1:$S$836,14,0),"")</f>
        <v>0</v>
      </c>
      <c r="P118" s="25" t="str">
        <f>IFERROR(VLOOKUP(B118,'03. THIẾT BỊ'!$B$1:$S$836,15,0),"")</f>
        <v>CK-CGH</v>
      </c>
      <c r="Q118" s="23">
        <f>IFERROR(VLOOKUP(B118,'03. THIẾT BỊ'!$B$1:$S$836,16,0),"")</f>
        <v>0</v>
      </c>
      <c r="R118" s="25" t="str">
        <f>IFERROR(VLOOKUP(B118,'03. THIẾT BỊ'!$B$1:$S$836,17,0),"")</f>
        <v>350x200x400</v>
      </c>
      <c r="S118" s="25">
        <f>IFERROR(VLOOKUP(B118,'03. THIẾT BỊ'!$B$1:$S$836,18,0),"")</f>
        <v>0</v>
      </c>
      <c r="T118" s="41"/>
    </row>
    <row r="119" customHeight="1" spans="1:20">
      <c r="A119" s="23">
        <f t="shared" si="2"/>
        <v>70</v>
      </c>
      <c r="B119" s="20" t="s">
        <v>4815</v>
      </c>
      <c r="C119" s="613">
        <f>IFERROR(VLOOKUP(B119,'03. THIẾT BỊ'!$B$1:$S$836,2,0),"")</f>
        <v>0</v>
      </c>
      <c r="D119" s="24" t="str">
        <f>IFERROR(VLOOKUP(B119,'03. THIẾT BỊ'!$B$1:$S$836,3,0),"")</f>
        <v>A24-GĐH-066</v>
      </c>
      <c r="E119" s="20" t="str">
        <f>IFERROR(VLOOKUP(B119,'03. THIẾT BỊ'!$B$1:$S$836,4,0),"")</f>
        <v>ĐQSD</v>
      </c>
      <c r="F119" s="20" t="str">
        <f>IFERROR(VLOOKUP(B119,'03. THIẾT BỊ'!$B$1:$S$836,5,0),"")</f>
        <v>Gàu định hình đào mương thoát nước</v>
      </c>
      <c r="G119" s="101" t="s">
        <v>6468</v>
      </c>
      <c r="H119" s="19" t="str">
        <f>IFERROR(VLOOKUP(B119,'03. THIẾT BỊ'!$B$1:$S$836,7,0),"")</f>
        <v>XN Chuối LP1</v>
      </c>
      <c r="I119" s="610" t="str">
        <f>IFERROR(VLOOKUP(B119,'03. THIẾT BỊ'!$B$1:$S$836,8,0),"")</f>
        <v>15/05/2025</v>
      </c>
      <c r="J119" s="25"/>
      <c r="K119" s="19" t="str">
        <f>IFERROR(VLOOKUP(B119,'03. THIẾT BỊ'!$B$1:$S$836,10,0),"")</f>
        <v>Bình thường</v>
      </c>
      <c r="L119" s="25" t="str">
        <f>IFERROR(VLOOKUP(B119,'03. THIẾT BỊ'!$B$1:$S$836,11,0),"")</f>
        <v>GC mới</v>
      </c>
      <c r="M119" s="24">
        <f>IFERROR(VLOOKUP(B119,'03. THIẾT BỊ'!$B$1:$S$836,12,0),"")</f>
        <v>0</v>
      </c>
      <c r="N119" s="25" t="str">
        <f>IFERROR(VLOOKUP(B119,'03. THIẾT BỊ'!$B$1:$S$836,13,0),"")</f>
        <v>THACO AGRI</v>
      </c>
      <c r="O119" s="24">
        <f>IFERROR(VLOOKUP(B119,'03. THIẾT BỊ'!$B$1:$S$836,14,0),"")</f>
        <v>0</v>
      </c>
      <c r="P119" s="25" t="str">
        <f>IFERROR(VLOOKUP(B119,'03. THIẾT BỊ'!$B$1:$S$836,15,0),"")</f>
        <v>CK-CGH</v>
      </c>
      <c r="Q119" s="23">
        <f>IFERROR(VLOOKUP(B119,'03. THIẾT BỊ'!$B$1:$S$836,16,0),"")</f>
        <v>0</v>
      </c>
      <c r="R119" s="25" t="str">
        <f>IFERROR(VLOOKUP(B119,'03. THIẾT BỊ'!$B$1:$S$836,17,0),"")</f>
        <v>350x200x400</v>
      </c>
      <c r="S119" s="25">
        <f>IFERROR(VLOOKUP(B119,'03. THIẾT BỊ'!$B$1:$S$836,18,0),"")</f>
        <v>0</v>
      </c>
      <c r="T119" s="41"/>
    </row>
    <row r="120" ht="14.25" customHeight="1" spans="1:20">
      <c r="A120" s="23">
        <f t="shared" si="2"/>
        <v>71</v>
      </c>
      <c r="B120" s="20" t="s">
        <v>4817</v>
      </c>
      <c r="C120" s="613">
        <f>IFERROR(VLOOKUP(B120,'03. THIẾT BỊ'!$B$1:$S$836,2,0),"")</f>
        <v>0</v>
      </c>
      <c r="D120" s="24" t="str">
        <f>IFERROR(VLOOKUP(B120,'03. THIẾT BỊ'!$B$1:$S$836,3,0),"")</f>
        <v>A24-GDH-077</v>
      </c>
      <c r="E120" s="20" t="str">
        <f>IFERROR(VLOOKUP(B120,'03. THIẾT BỊ'!$B$1:$S$836,4,0),"")</f>
        <v>ĐQSD</v>
      </c>
      <c r="F120" s="20" t="str">
        <f>IFERROR(VLOOKUP(B120,'03. THIẾT BỊ'!$B$1:$S$836,5,0),"")</f>
        <v>Gàu định hình đào mương thoát nước</v>
      </c>
      <c r="G120" s="101" t="s">
        <v>6468</v>
      </c>
      <c r="H120" s="19" t="str">
        <f>IFERROR(VLOOKUP(B120,'03. THIẾT BỊ'!$B$1:$S$836,7,0),"")</f>
        <v>XN Chuối LP1</v>
      </c>
      <c r="I120" s="610">
        <f>IFERROR(VLOOKUP(B120,'03. THIẾT BỊ'!$B$1:$S$836,8,0),"")</f>
        <v>45694</v>
      </c>
      <c r="J120" s="25"/>
      <c r="K120" s="19" t="str">
        <f>IFERROR(VLOOKUP(B120,'03. THIẾT BỊ'!$B$1:$S$836,10,0),"")</f>
        <v>Bình thường</v>
      </c>
      <c r="L120" s="25" t="str">
        <f>IFERROR(VLOOKUP(B120,'03. THIẾT BỊ'!$B$1:$S$836,11,0),"")</f>
        <v>GC mới</v>
      </c>
      <c r="M120" s="24">
        <f>IFERROR(VLOOKUP(B120,'03. THIẾT BỊ'!$B$1:$S$836,12,0),"")</f>
        <v>0</v>
      </c>
      <c r="N120" s="25" t="str">
        <f>IFERROR(VLOOKUP(B120,'03. THIẾT BỊ'!$B$1:$S$836,13,0),"")</f>
        <v>THACO AGRI</v>
      </c>
      <c r="O120" s="24">
        <f>IFERROR(VLOOKUP(B120,'03. THIẾT BỊ'!$B$1:$S$836,14,0),"")</f>
        <v>0</v>
      </c>
      <c r="P120" s="25" t="str">
        <f>IFERROR(VLOOKUP(B120,'03. THIẾT BỊ'!$B$1:$S$836,15,0),"")</f>
        <v>CK-CGH</v>
      </c>
      <c r="Q120" s="23">
        <f>IFERROR(VLOOKUP(B120,'03. THIẾT BỊ'!$B$1:$S$836,16,0),"")</f>
        <v>0</v>
      </c>
      <c r="R120" s="25" t="str">
        <f>IFERROR(VLOOKUP(B120,'03. THIẾT BỊ'!$B$1:$S$836,17,0),"")</f>
        <v>350x200x400</v>
      </c>
      <c r="S120" s="25">
        <f>IFERROR(VLOOKUP(B120,'03. THIẾT BỊ'!$B$1:$S$836,18,0),"")</f>
        <v>0</v>
      </c>
      <c r="T120" s="41"/>
    </row>
    <row r="121" ht="14.25" customHeight="1" spans="1:20">
      <c r="A121" s="23">
        <f t="shared" si="2"/>
        <v>72</v>
      </c>
      <c r="B121" s="20" t="s">
        <v>4819</v>
      </c>
      <c r="C121" s="613">
        <f>IFERROR(VLOOKUP(B121,'03. THIẾT BỊ'!$B$1:$S$836,2,0),"")</f>
        <v>0</v>
      </c>
      <c r="D121" s="24" t="str">
        <f>IFERROR(VLOOKUP(B121,'03. THIẾT BỊ'!$B$1:$S$836,3,0),"")</f>
        <v>A24-GDH-078</v>
      </c>
      <c r="E121" s="20" t="str">
        <f>IFERROR(VLOOKUP(B121,'03. THIẾT BỊ'!$B$1:$S$836,4,0),"")</f>
        <v>ĐQSD</v>
      </c>
      <c r="F121" s="20" t="str">
        <f>IFERROR(VLOOKUP(B121,'03. THIẾT BỊ'!$B$1:$S$836,5,0),"")</f>
        <v>Gàu định hình đào mương thoát nước</v>
      </c>
      <c r="G121" s="101" t="s">
        <v>6468</v>
      </c>
      <c r="H121" s="19" t="str">
        <f>IFERROR(VLOOKUP(B121,'03. THIẾT BỊ'!$B$1:$S$836,7,0),"")</f>
        <v>XN Chuối LP1</v>
      </c>
      <c r="I121" s="610">
        <f>IFERROR(VLOOKUP(B121,'03. THIẾT BỊ'!$B$1:$S$836,8,0),"")</f>
        <v>45694</v>
      </c>
      <c r="J121" s="25"/>
      <c r="K121" s="19" t="str">
        <f>IFERROR(VLOOKUP(B121,'03. THIẾT BỊ'!$B$1:$S$836,10,0),"")</f>
        <v>Bình thường</v>
      </c>
      <c r="L121" s="25" t="str">
        <f>IFERROR(VLOOKUP(B121,'03. THIẾT BỊ'!$B$1:$S$836,11,0),"")</f>
        <v>GC mới</v>
      </c>
      <c r="M121" s="24">
        <f>IFERROR(VLOOKUP(B121,'03. THIẾT BỊ'!$B$1:$S$836,12,0),"")</f>
        <v>0</v>
      </c>
      <c r="N121" s="25" t="str">
        <f>IFERROR(VLOOKUP(B121,'03. THIẾT BỊ'!$B$1:$S$836,13,0),"")</f>
        <v>THACO AGRI</v>
      </c>
      <c r="O121" s="24">
        <f>IFERROR(VLOOKUP(B121,'03. THIẾT BỊ'!$B$1:$S$836,14,0),"")</f>
        <v>0</v>
      </c>
      <c r="P121" s="25" t="str">
        <f>IFERROR(VLOOKUP(B121,'03. THIẾT BỊ'!$B$1:$S$836,15,0),"")</f>
        <v>CK-CGH</v>
      </c>
      <c r="Q121" s="23">
        <f>IFERROR(VLOOKUP(B121,'03. THIẾT BỊ'!$B$1:$S$836,16,0),"")</f>
        <v>0</v>
      </c>
      <c r="R121" s="25" t="str">
        <f>IFERROR(VLOOKUP(B121,'03. THIẾT BỊ'!$B$1:$S$836,17,0),"")</f>
        <v>350x200x400</v>
      </c>
      <c r="S121" s="25">
        <f>IFERROR(VLOOKUP(B121,'03. THIẾT BỊ'!$B$1:$S$836,18,0),"")</f>
        <v>0</v>
      </c>
      <c r="T121" s="41"/>
    </row>
    <row r="122" customHeight="1" spans="1:20">
      <c r="A122" s="23">
        <f t="shared" si="2"/>
        <v>73</v>
      </c>
      <c r="B122" s="20" t="s">
        <v>4821</v>
      </c>
      <c r="C122" s="613">
        <f>IFERROR(VLOOKUP(B122,'03. THIẾT BỊ'!$B$1:$S$836,2,0),"")</f>
        <v>0</v>
      </c>
      <c r="D122" s="24" t="str">
        <f>IFERROR(VLOOKUP(B122,'03. THIẾT BỊ'!$B$1:$S$836,3,0),"")</f>
        <v>A24-GĐH-079</v>
      </c>
      <c r="E122" s="20" t="str">
        <f>IFERROR(VLOOKUP(B122,'03. THIẾT BỊ'!$B$1:$S$836,4,0),"")</f>
        <v>ĐQSD</v>
      </c>
      <c r="F122" s="20" t="str">
        <f>IFERROR(VLOOKUP(B122,'03. THIẾT BỊ'!$B$1:$S$836,5,0),"")</f>
        <v>Gàu định hình đào mương thoát nước</v>
      </c>
      <c r="G122" s="101" t="s">
        <v>6468</v>
      </c>
      <c r="H122" s="19" t="str">
        <f>IFERROR(VLOOKUP(B122,'03. THIẾT BỊ'!$B$1:$S$836,7,0),"")</f>
        <v>XN Chuối LP1</v>
      </c>
      <c r="I122" s="610">
        <f>IFERROR(VLOOKUP(B122,'03. THIẾT BỊ'!$B$1:$S$836,8,0),"")</f>
        <v>45694</v>
      </c>
      <c r="J122" s="25"/>
      <c r="K122" s="19" t="str">
        <f>IFERROR(VLOOKUP(B122,'03. THIẾT BỊ'!$B$1:$S$836,10,0),"")</f>
        <v>Bình thường</v>
      </c>
      <c r="L122" s="25" t="str">
        <f>IFERROR(VLOOKUP(B122,'03. THIẾT BỊ'!$B$1:$S$836,11,0),"")</f>
        <v>GC mới</v>
      </c>
      <c r="M122" s="24">
        <f>IFERROR(VLOOKUP(B122,'03. THIẾT BỊ'!$B$1:$S$836,12,0),"")</f>
        <v>0</v>
      </c>
      <c r="N122" s="25" t="str">
        <f>IFERROR(VLOOKUP(B122,'03. THIẾT BỊ'!$B$1:$S$836,13,0),"")</f>
        <v>THACO AGRI</v>
      </c>
      <c r="O122" s="24">
        <f>IFERROR(VLOOKUP(B122,'03. THIẾT BỊ'!$B$1:$S$836,14,0),"")</f>
        <v>0</v>
      </c>
      <c r="P122" s="25" t="str">
        <f>IFERROR(VLOOKUP(B122,'03. THIẾT BỊ'!$B$1:$S$836,15,0),"")</f>
        <v>CK-CGH</v>
      </c>
      <c r="Q122" s="23">
        <f>IFERROR(VLOOKUP(B122,'03. THIẾT BỊ'!$B$1:$S$836,16,0),"")</f>
        <v>0</v>
      </c>
      <c r="R122" s="25" t="str">
        <f>IFERROR(VLOOKUP(B122,'03. THIẾT BỊ'!$B$1:$S$836,17,0),"")</f>
        <v>350x200x400</v>
      </c>
      <c r="S122" s="25">
        <f>IFERROR(VLOOKUP(B122,'03. THIẾT BỊ'!$B$1:$S$836,18,0),"")</f>
        <v>0</v>
      </c>
      <c r="T122" s="41"/>
    </row>
    <row r="123" customHeight="1" spans="1:20">
      <c r="A123" s="23">
        <f t="shared" si="2"/>
        <v>74</v>
      </c>
      <c r="B123" s="20" t="s">
        <v>4823</v>
      </c>
      <c r="C123" s="613">
        <f>IFERROR(VLOOKUP(B123,'03. THIẾT BỊ'!$B$1:$S$836,2,0),"")</f>
        <v>0</v>
      </c>
      <c r="D123" s="24" t="str">
        <f>IFERROR(VLOOKUP(B123,'03. THIẾT BỊ'!$B$1:$S$836,3,0),"")</f>
        <v>A24-GĐH-080</v>
      </c>
      <c r="E123" s="20" t="str">
        <f>IFERROR(VLOOKUP(B123,'03. THIẾT BỊ'!$B$1:$S$836,4,0),"")</f>
        <v>ĐQSD</v>
      </c>
      <c r="F123" s="20" t="str">
        <f>IFERROR(VLOOKUP(B123,'03. THIẾT BỊ'!$B$1:$S$836,5,0),"")</f>
        <v>Gàu định hình đào mương thoát nước</v>
      </c>
      <c r="G123" s="101" t="s">
        <v>6468</v>
      </c>
      <c r="H123" s="19" t="str">
        <f>IFERROR(VLOOKUP(B123,'03. THIẾT BỊ'!$B$1:$S$836,7,0),"")</f>
        <v>XN Chuối LP1</v>
      </c>
      <c r="I123" s="610">
        <f>IFERROR(VLOOKUP(B123,'03. THIẾT BỊ'!$B$1:$S$836,8,0),"")</f>
        <v>45694</v>
      </c>
      <c r="J123" s="25"/>
      <c r="K123" s="19" t="str">
        <f>IFERROR(VLOOKUP(B123,'03. THIẾT BỊ'!$B$1:$S$836,10,0),"")</f>
        <v>Bình thường</v>
      </c>
      <c r="L123" s="25" t="str">
        <f>IFERROR(VLOOKUP(B123,'03. THIẾT BỊ'!$B$1:$S$836,11,0),"")</f>
        <v>GC mới</v>
      </c>
      <c r="M123" s="24">
        <f>IFERROR(VLOOKUP(B123,'03. THIẾT BỊ'!$B$1:$S$836,12,0),"")</f>
        <v>0</v>
      </c>
      <c r="N123" s="25" t="str">
        <f>IFERROR(VLOOKUP(B123,'03. THIẾT BỊ'!$B$1:$S$836,13,0),"")</f>
        <v>THACO AGRI</v>
      </c>
      <c r="O123" s="24">
        <f>IFERROR(VLOOKUP(B123,'03. THIẾT BỊ'!$B$1:$S$836,14,0),"")</f>
        <v>0</v>
      </c>
      <c r="P123" s="25" t="str">
        <f>IFERROR(VLOOKUP(B123,'03. THIẾT BỊ'!$B$1:$S$836,15,0),"")</f>
        <v>CK-CGH</v>
      </c>
      <c r="Q123" s="23">
        <f>IFERROR(VLOOKUP(B123,'03. THIẾT BỊ'!$B$1:$S$836,16,0),"")</f>
        <v>0</v>
      </c>
      <c r="R123" s="25" t="str">
        <f>IFERROR(VLOOKUP(B123,'03. THIẾT BỊ'!$B$1:$S$836,17,0),"")</f>
        <v>350x200x400</v>
      </c>
      <c r="S123" s="25">
        <f>IFERROR(VLOOKUP(B123,'03. THIẾT BỊ'!$B$1:$S$836,18,0),"")</f>
        <v>0</v>
      </c>
      <c r="T123" s="41"/>
    </row>
    <row r="124" customHeight="1" spans="1:20">
      <c r="A124" s="23">
        <f t="shared" si="2"/>
        <v>75</v>
      </c>
      <c r="B124" s="20" t="s">
        <v>4825</v>
      </c>
      <c r="C124" s="613">
        <f>IFERROR(VLOOKUP(B124,'03. THIẾT BỊ'!$B$1:$S$836,2,0),"")</f>
        <v>0</v>
      </c>
      <c r="D124" s="24" t="str">
        <f>IFERROR(VLOOKUP(B124,'03. THIẾT BỊ'!$B$1:$S$836,3,0),"")</f>
        <v>A24-GĐH-081</v>
      </c>
      <c r="E124" s="20" t="str">
        <f>IFERROR(VLOOKUP(B124,'03. THIẾT BỊ'!$B$1:$S$836,4,0),"")</f>
        <v>ĐQSD</v>
      </c>
      <c r="F124" s="20" t="str">
        <f>IFERROR(VLOOKUP(B124,'03. THIẾT BỊ'!$B$1:$S$836,5,0),"")</f>
        <v>Gàu định hình đào mương thoát nước</v>
      </c>
      <c r="G124" s="101" t="s">
        <v>6468</v>
      </c>
      <c r="H124" s="19" t="str">
        <f>IFERROR(VLOOKUP(B124,'03. THIẾT BỊ'!$B$1:$S$836,7,0),"")</f>
        <v>XN Chuối LP1</v>
      </c>
      <c r="I124" s="610">
        <f>IFERROR(VLOOKUP(B124,'03. THIẾT BỊ'!$B$1:$S$836,8,0),"")</f>
        <v>45694</v>
      </c>
      <c r="J124" s="25"/>
      <c r="K124" s="19" t="str">
        <f>IFERROR(VLOOKUP(B124,'03. THIẾT BỊ'!$B$1:$S$836,10,0),"")</f>
        <v>Bình thường</v>
      </c>
      <c r="L124" s="25" t="str">
        <f>IFERROR(VLOOKUP(B124,'03. THIẾT BỊ'!$B$1:$S$836,11,0),"")</f>
        <v>GC mới</v>
      </c>
      <c r="M124" s="24">
        <f>IFERROR(VLOOKUP(B124,'03. THIẾT BỊ'!$B$1:$S$836,12,0),"")</f>
        <v>0</v>
      </c>
      <c r="N124" s="25" t="str">
        <f>IFERROR(VLOOKUP(B124,'03. THIẾT BỊ'!$B$1:$S$836,13,0),"")</f>
        <v>THACO AGRI</v>
      </c>
      <c r="O124" s="24">
        <f>IFERROR(VLOOKUP(B124,'03. THIẾT BỊ'!$B$1:$S$836,14,0),"")</f>
        <v>0</v>
      </c>
      <c r="P124" s="25" t="str">
        <f>IFERROR(VLOOKUP(B124,'03. THIẾT BỊ'!$B$1:$S$836,15,0),"")</f>
        <v>CK-CGH</v>
      </c>
      <c r="Q124" s="23">
        <f>IFERROR(VLOOKUP(B124,'03. THIẾT BỊ'!$B$1:$S$836,16,0),"")</f>
        <v>0</v>
      </c>
      <c r="R124" s="25" t="str">
        <f>IFERROR(VLOOKUP(B124,'03. THIẾT BỊ'!$B$1:$S$836,17,0),"")</f>
        <v>350x200x400</v>
      </c>
      <c r="S124" s="25">
        <f>IFERROR(VLOOKUP(B124,'03. THIẾT BỊ'!$B$1:$S$836,18,0),"")</f>
        <v>0</v>
      </c>
      <c r="T124" s="41"/>
    </row>
    <row r="125" customHeight="1" spans="1:20">
      <c r="A125" s="23">
        <f t="shared" si="2"/>
        <v>76</v>
      </c>
      <c r="B125" s="20" t="s">
        <v>4827</v>
      </c>
      <c r="C125" s="613">
        <f>IFERROR(VLOOKUP(B125,'03. THIẾT BỊ'!$B$1:$S$836,2,0),"")</f>
        <v>0</v>
      </c>
      <c r="D125" s="24" t="str">
        <f>IFERROR(VLOOKUP(B125,'03. THIẾT BỊ'!$B$1:$S$836,3,0),"")</f>
        <v>A24-GĐH-082</v>
      </c>
      <c r="E125" s="20" t="str">
        <f>IFERROR(VLOOKUP(B125,'03. THIẾT BỊ'!$B$1:$S$836,4,0),"")</f>
        <v>ĐQSD</v>
      </c>
      <c r="F125" s="20" t="str">
        <f>IFERROR(VLOOKUP(B125,'03. THIẾT BỊ'!$B$1:$S$836,5,0),"")</f>
        <v>Gàu định hình đào mương thoát nước</v>
      </c>
      <c r="G125" s="101" t="s">
        <v>6468</v>
      </c>
      <c r="H125" s="19" t="str">
        <f>IFERROR(VLOOKUP(B125,'03. THIẾT BỊ'!$B$1:$S$836,7,0),"")</f>
        <v>XN Chuối LP1</v>
      </c>
      <c r="I125" s="610">
        <f>IFERROR(VLOOKUP(B125,'03. THIẾT BỊ'!$B$1:$S$836,8,0),"")</f>
        <v>45694</v>
      </c>
      <c r="J125" s="25"/>
      <c r="K125" s="19" t="str">
        <f>IFERROR(VLOOKUP(B125,'03. THIẾT BỊ'!$B$1:$S$836,10,0),"")</f>
        <v>Bình thường</v>
      </c>
      <c r="L125" s="25" t="str">
        <f>IFERROR(VLOOKUP(B125,'03. THIẾT BỊ'!$B$1:$S$836,11,0),"")</f>
        <v>GC mới</v>
      </c>
      <c r="M125" s="24">
        <f>IFERROR(VLOOKUP(B125,'03. THIẾT BỊ'!$B$1:$S$836,12,0),"")</f>
        <v>0</v>
      </c>
      <c r="N125" s="25" t="str">
        <f>IFERROR(VLOOKUP(B125,'03. THIẾT BỊ'!$B$1:$S$836,13,0),"")</f>
        <v>THACO AGRI</v>
      </c>
      <c r="O125" s="24">
        <f>IFERROR(VLOOKUP(B125,'03. THIẾT BỊ'!$B$1:$S$836,14,0),"")</f>
        <v>0</v>
      </c>
      <c r="P125" s="25" t="str">
        <f>IFERROR(VLOOKUP(B125,'03. THIẾT BỊ'!$B$1:$S$836,15,0),"")</f>
        <v>CK-CGH</v>
      </c>
      <c r="Q125" s="23">
        <f>IFERROR(VLOOKUP(B125,'03. THIẾT BỊ'!$B$1:$S$836,16,0),"")</f>
        <v>0</v>
      </c>
      <c r="R125" s="25" t="str">
        <f>IFERROR(VLOOKUP(B125,'03. THIẾT BỊ'!$B$1:$S$836,17,0),"")</f>
        <v>350x200x400</v>
      </c>
      <c r="S125" s="25">
        <f>IFERROR(VLOOKUP(B125,'03. THIẾT BỊ'!$B$1:$S$836,18,0),"")</f>
        <v>0</v>
      </c>
      <c r="T125" s="41"/>
    </row>
    <row r="126" customHeight="1" spans="1:20">
      <c r="A126" s="23">
        <f t="shared" si="2"/>
        <v>77</v>
      </c>
      <c r="B126" s="20" t="s">
        <v>4851</v>
      </c>
      <c r="C126" s="613">
        <f>IFERROR(VLOOKUP(B126,'03. THIẾT BỊ'!$B$1:$S$836,2,0),"")</f>
        <v>0</v>
      </c>
      <c r="D126" s="24" t="str">
        <f>IFERROR(VLOOKUP(B126,'03. THIẾT BỊ'!$B$1:$S$836,3,0),"")</f>
        <v>A24-GĐH-001</v>
      </c>
      <c r="E126" s="20" t="str">
        <f>IFERROR(VLOOKUP(B126,'03. THIẾT BỊ'!$B$1:$S$836,4,0),"")</f>
        <v>ĐQSD</v>
      </c>
      <c r="F126" s="20" t="str">
        <f>IFERROR(VLOOKUP(B126,'03. THIẾT BỊ'!$B$1:$S$836,5,0),"")</f>
        <v>Gàu định hình đào mương thoát nước</v>
      </c>
      <c r="G126" s="101" t="s">
        <v>6468</v>
      </c>
      <c r="H126" s="19" t="str">
        <f>IFERROR(VLOOKUP(B126,'03. THIẾT BỊ'!$B$1:$S$836,7,0),"")</f>
        <v>XN Chuối LP3</v>
      </c>
      <c r="I126" s="610" t="str">
        <f>IFERROR(VLOOKUP(B126,'03. THIẾT BỊ'!$B$1:$S$836,8,0),"")</f>
        <v>25/09/2024</v>
      </c>
      <c r="J126" s="25"/>
      <c r="K126" s="19" t="str">
        <f>IFERROR(VLOOKUP(B126,'03. THIẾT BỊ'!$B$1:$S$836,10,0),"")</f>
        <v>Bình thường</v>
      </c>
      <c r="L126" s="25">
        <f>IFERROR(VLOOKUP(B126,'03. THIẾT BỊ'!$B$1:$S$836,11,0),"")</f>
        <v>0</v>
      </c>
      <c r="M126" s="24">
        <f>IFERROR(VLOOKUP(B126,'03. THIẾT BỊ'!$B$1:$S$836,12,0),"")</f>
        <v>0</v>
      </c>
      <c r="N126" s="25" t="str">
        <f>IFERROR(VLOOKUP(B126,'03. THIẾT BỊ'!$B$1:$S$836,13,0),"")</f>
        <v>THACO AGRI</v>
      </c>
      <c r="O126" s="24">
        <f>IFERROR(VLOOKUP(B126,'03. THIẾT BỊ'!$B$1:$S$836,14,0),"")</f>
        <v>0</v>
      </c>
      <c r="P126" s="25" t="str">
        <f>IFERROR(VLOOKUP(B126,'03. THIẾT BỊ'!$B$1:$S$836,15,0),"")</f>
        <v>CK-CGH</v>
      </c>
      <c r="Q126" s="23">
        <f>IFERROR(VLOOKUP(B126,'03. THIẾT BỊ'!$B$1:$S$836,16,0),"")</f>
        <v>2024</v>
      </c>
      <c r="R126" s="25" t="str">
        <f>IFERROR(VLOOKUP(B126,'03. THIẾT BỊ'!$B$1:$S$836,17,0),"")</f>
        <v>350x200x400</v>
      </c>
      <c r="S126" s="25">
        <f>IFERROR(VLOOKUP(B126,'03. THIẾT BỊ'!$B$1:$S$836,18,0),"")</f>
        <v>0</v>
      </c>
      <c r="T126" s="41"/>
    </row>
    <row r="127" customHeight="1" spans="1:20">
      <c r="A127" s="23">
        <f t="shared" si="2"/>
        <v>78</v>
      </c>
      <c r="B127" s="20" t="s">
        <v>4854</v>
      </c>
      <c r="C127" s="613">
        <f>IFERROR(VLOOKUP(B127,'03. THIẾT BỊ'!$B$1:$S$836,2,0),"")</f>
        <v>0</v>
      </c>
      <c r="D127" s="24" t="str">
        <f>IFERROR(VLOOKUP(B127,'03. THIẾT BỊ'!$B$1:$S$836,3,0),"")</f>
        <v>A24-GĐH-002</v>
      </c>
      <c r="E127" s="20" t="str">
        <f>IFERROR(VLOOKUP(B127,'03. THIẾT BỊ'!$B$1:$S$836,4,0),"")</f>
        <v>ĐQSD</v>
      </c>
      <c r="F127" s="20" t="str">
        <f>IFERROR(VLOOKUP(B127,'03. THIẾT BỊ'!$B$1:$S$836,5,0),"")</f>
        <v>Gàu định hình đào mương thoát nước</v>
      </c>
      <c r="G127" s="101" t="s">
        <v>6468</v>
      </c>
      <c r="H127" s="19" t="str">
        <f>IFERROR(VLOOKUP(B127,'03. THIẾT BỊ'!$B$1:$S$836,7,0),"")</f>
        <v>XN Chuối LP3</v>
      </c>
      <c r="I127" s="610" t="str">
        <f>IFERROR(VLOOKUP(B127,'03. THIẾT BỊ'!$B$1:$S$836,8,0),"")</f>
        <v>25/09/2024</v>
      </c>
      <c r="J127" s="25"/>
      <c r="K127" s="19" t="str">
        <f>IFERROR(VLOOKUP(B127,'03. THIẾT BỊ'!$B$1:$S$836,10,0),"")</f>
        <v>Bình thường</v>
      </c>
      <c r="L127" s="25">
        <f>IFERROR(VLOOKUP(B127,'03. THIẾT BỊ'!$B$1:$S$836,11,0),"")</f>
        <v>0</v>
      </c>
      <c r="M127" s="24">
        <f>IFERROR(VLOOKUP(B127,'03. THIẾT BỊ'!$B$1:$S$836,12,0),"")</f>
        <v>0</v>
      </c>
      <c r="N127" s="25" t="str">
        <f>IFERROR(VLOOKUP(B127,'03. THIẾT BỊ'!$B$1:$S$836,13,0),"")</f>
        <v>THACO AGRI</v>
      </c>
      <c r="O127" s="24">
        <f>IFERROR(VLOOKUP(B127,'03. THIẾT BỊ'!$B$1:$S$836,14,0),"")</f>
        <v>0</v>
      </c>
      <c r="P127" s="25" t="str">
        <f>IFERROR(VLOOKUP(B127,'03. THIẾT BỊ'!$B$1:$S$836,15,0),"")</f>
        <v>CK-CGH</v>
      </c>
      <c r="Q127" s="23">
        <f>IFERROR(VLOOKUP(B127,'03. THIẾT BỊ'!$B$1:$S$836,16,0),"")</f>
        <v>2024</v>
      </c>
      <c r="R127" s="25" t="str">
        <f>IFERROR(VLOOKUP(B127,'03. THIẾT BỊ'!$B$1:$S$836,17,0),"")</f>
        <v>500x200x700</v>
      </c>
      <c r="S127" s="25">
        <f>IFERROR(VLOOKUP(B127,'03. THIẾT BỊ'!$B$1:$S$836,18,0),"")</f>
        <v>0</v>
      </c>
      <c r="T127" s="41"/>
    </row>
    <row r="128" customHeight="1" spans="1:20">
      <c r="A128" s="23">
        <f t="shared" si="2"/>
        <v>79</v>
      </c>
      <c r="B128" s="20" t="s">
        <v>4856</v>
      </c>
      <c r="C128" s="613">
        <f>IFERROR(VLOOKUP(B128,'03. THIẾT BỊ'!$B$1:$S$836,2,0),"")</f>
        <v>0</v>
      </c>
      <c r="D128" s="24" t="str">
        <f>IFERROR(VLOOKUP(B128,'03. THIẾT BỊ'!$B$1:$S$836,3,0),"")</f>
        <v>A24-GĐH-003</v>
      </c>
      <c r="E128" s="20" t="str">
        <f>IFERROR(VLOOKUP(B128,'03. THIẾT BỊ'!$B$1:$S$836,4,0),"")</f>
        <v>ĐQSD</v>
      </c>
      <c r="F128" s="20" t="str">
        <f>IFERROR(VLOOKUP(B128,'03. THIẾT BỊ'!$B$1:$S$836,5,0),"")</f>
        <v>Gàu định hình đào mương thoát nước</v>
      </c>
      <c r="G128" s="101" t="s">
        <v>6468</v>
      </c>
      <c r="H128" s="19" t="str">
        <f>IFERROR(VLOOKUP(B128,'03. THIẾT BỊ'!$B$1:$S$836,7,0),"")</f>
        <v>XN Chuối LP3</v>
      </c>
      <c r="I128" s="610" t="str">
        <f>IFERROR(VLOOKUP(B128,'03. THIẾT BỊ'!$B$1:$S$836,8,0),"")</f>
        <v>25/09/2024</v>
      </c>
      <c r="J128" s="25"/>
      <c r="K128" s="19" t="str">
        <f>IFERROR(VLOOKUP(B128,'03. THIẾT BỊ'!$B$1:$S$836,10,0),"")</f>
        <v>Bình thường</v>
      </c>
      <c r="L128" s="25">
        <f>IFERROR(VLOOKUP(B128,'03. THIẾT BỊ'!$B$1:$S$836,11,0),"")</f>
        <v>0</v>
      </c>
      <c r="M128" s="24">
        <f>IFERROR(VLOOKUP(B128,'03. THIẾT BỊ'!$B$1:$S$836,12,0),"")</f>
        <v>0</v>
      </c>
      <c r="N128" s="25" t="str">
        <f>IFERROR(VLOOKUP(B128,'03. THIẾT BỊ'!$B$1:$S$836,13,0),"")</f>
        <v>THACO AGRI</v>
      </c>
      <c r="O128" s="24">
        <f>IFERROR(VLOOKUP(B128,'03. THIẾT BỊ'!$B$1:$S$836,14,0),"")</f>
        <v>0</v>
      </c>
      <c r="P128" s="25" t="str">
        <f>IFERROR(VLOOKUP(B128,'03. THIẾT BỊ'!$B$1:$S$836,15,0),"")</f>
        <v>CK-CGH</v>
      </c>
      <c r="Q128" s="23">
        <f>IFERROR(VLOOKUP(B128,'03. THIẾT BỊ'!$B$1:$S$836,16,0),"")</f>
        <v>2024</v>
      </c>
      <c r="R128" s="25" t="str">
        <f>IFERROR(VLOOKUP(B128,'03. THIẾT BỊ'!$B$1:$S$836,17,0),"")</f>
        <v>500x200x700</v>
      </c>
      <c r="S128" s="25">
        <f>IFERROR(VLOOKUP(B128,'03. THIẾT BỊ'!$B$1:$S$836,18,0),"")</f>
        <v>0</v>
      </c>
      <c r="T128" s="41"/>
    </row>
    <row r="129" customHeight="1" spans="1:20">
      <c r="A129" s="23">
        <f t="shared" si="2"/>
        <v>80</v>
      </c>
      <c r="B129" s="20" t="s">
        <v>4857</v>
      </c>
      <c r="C129" s="613">
        <f>IFERROR(VLOOKUP(B129,'03. THIẾT BỊ'!$B$1:$S$836,2,0),"")</f>
        <v>0</v>
      </c>
      <c r="D129" s="24" t="str">
        <f>IFERROR(VLOOKUP(B129,'03. THIẾT BỊ'!$B$1:$S$836,3,0),"")</f>
        <v>A24-GĐH-070</v>
      </c>
      <c r="E129" s="20" t="str">
        <f>IFERROR(VLOOKUP(B129,'03. THIẾT BỊ'!$B$1:$S$836,4,0),"")</f>
        <v>ĐQSD</v>
      </c>
      <c r="F129" s="20" t="str">
        <f>IFERROR(VLOOKUP(B129,'03. THIẾT BỊ'!$B$1:$S$836,5,0),"")</f>
        <v>Gàu định hình đào mương thoát nước</v>
      </c>
      <c r="G129" s="101" t="s">
        <v>6468</v>
      </c>
      <c r="H129" s="19" t="str">
        <f>IFERROR(VLOOKUP(B129,'03. THIẾT BỊ'!$B$1:$S$836,7,0),"")</f>
        <v>XN Chuối LP3</v>
      </c>
      <c r="I129" s="610" t="str">
        <f>IFERROR(VLOOKUP(B129,'03. THIẾT BỊ'!$B$1:$S$836,8,0),"")</f>
        <v>28/05/2025</v>
      </c>
      <c r="J129" s="25"/>
      <c r="K129" s="19" t="str">
        <f>IFERROR(VLOOKUP(B129,'03. THIẾT BỊ'!$B$1:$S$836,10,0),"")</f>
        <v>Bình thường</v>
      </c>
      <c r="L129" s="25">
        <f>IFERROR(VLOOKUP(B129,'03. THIẾT BỊ'!$B$1:$S$836,11,0),"")</f>
        <v>0</v>
      </c>
      <c r="M129" s="24">
        <f>IFERROR(VLOOKUP(B129,'03. THIẾT BỊ'!$B$1:$S$836,12,0),"")</f>
        <v>0</v>
      </c>
      <c r="N129" s="25" t="str">
        <f>IFERROR(VLOOKUP(B129,'03. THIẾT BỊ'!$B$1:$S$836,13,0),"")</f>
        <v>THACO AGRI</v>
      </c>
      <c r="O129" s="24">
        <f>IFERROR(VLOOKUP(B129,'03. THIẾT BỊ'!$B$1:$S$836,14,0),"")</f>
        <v>0</v>
      </c>
      <c r="P129" s="25" t="str">
        <f>IFERROR(VLOOKUP(B129,'03. THIẾT BỊ'!$B$1:$S$836,15,0),"")</f>
        <v>CK-CGH</v>
      </c>
      <c r="Q129" s="23">
        <f>IFERROR(VLOOKUP(B129,'03. THIẾT BỊ'!$B$1:$S$836,16,0),"")</f>
        <v>2025</v>
      </c>
      <c r="R129" s="25" t="str">
        <f>IFERROR(VLOOKUP(B129,'03. THIẾT BỊ'!$B$1:$S$836,17,0),"")</f>
        <v>350*200*407</v>
      </c>
      <c r="S129" s="25">
        <f>IFERROR(VLOOKUP(B129,'03. THIẾT BỊ'!$B$1:$S$836,18,0),"")</f>
        <v>0</v>
      </c>
      <c r="T129" s="41"/>
    </row>
    <row r="130" customHeight="1" spans="1:20">
      <c r="A130" s="23">
        <f t="shared" si="2"/>
        <v>81</v>
      </c>
      <c r="B130" s="20" t="s">
        <v>4860</v>
      </c>
      <c r="C130" s="613">
        <f>IFERROR(VLOOKUP(B130,'03. THIẾT BỊ'!$B$1:$S$836,2,0),"")</f>
        <v>0</v>
      </c>
      <c r="D130" s="24" t="str">
        <f>IFERROR(VLOOKUP(B130,'03. THIẾT BỊ'!$B$1:$S$836,3,0),"")</f>
        <v>A24-GĐH-071</v>
      </c>
      <c r="E130" s="20" t="str">
        <f>IFERROR(VLOOKUP(B130,'03. THIẾT BỊ'!$B$1:$S$836,4,0),"")</f>
        <v>ĐQSD</v>
      </c>
      <c r="F130" s="20" t="str">
        <f>IFERROR(VLOOKUP(B130,'03. THIẾT BỊ'!$B$1:$S$836,5,0),"")</f>
        <v>Gàu định hình đào mương thoát nước</v>
      </c>
      <c r="G130" s="101" t="s">
        <v>6468</v>
      </c>
      <c r="H130" s="19" t="str">
        <f>IFERROR(VLOOKUP(B130,'03. THIẾT BỊ'!$B$1:$S$836,7,0),"")</f>
        <v>XN Chuối LP3</v>
      </c>
      <c r="I130" s="610" t="str">
        <f>IFERROR(VLOOKUP(B130,'03. THIẾT BỊ'!$B$1:$S$836,8,0),"")</f>
        <v>28/05/2025</v>
      </c>
      <c r="J130" s="25"/>
      <c r="K130" s="19" t="str">
        <f>IFERROR(VLOOKUP(B130,'03. THIẾT BỊ'!$B$1:$S$836,10,0),"")</f>
        <v>Bình thường</v>
      </c>
      <c r="L130" s="25">
        <f>IFERROR(VLOOKUP(B130,'03. THIẾT BỊ'!$B$1:$S$836,11,0),"")</f>
        <v>0</v>
      </c>
      <c r="M130" s="24">
        <f>IFERROR(VLOOKUP(B130,'03. THIẾT BỊ'!$B$1:$S$836,12,0),"")</f>
        <v>0</v>
      </c>
      <c r="N130" s="25" t="str">
        <f>IFERROR(VLOOKUP(B130,'03. THIẾT BỊ'!$B$1:$S$836,13,0),"")</f>
        <v>THACO AGRI</v>
      </c>
      <c r="O130" s="24">
        <f>IFERROR(VLOOKUP(B130,'03. THIẾT BỊ'!$B$1:$S$836,14,0),"")</f>
        <v>0</v>
      </c>
      <c r="P130" s="25" t="str">
        <f>IFERROR(VLOOKUP(B130,'03. THIẾT BỊ'!$B$1:$S$836,15,0),"")</f>
        <v>CK-CGH</v>
      </c>
      <c r="Q130" s="23">
        <f>IFERROR(VLOOKUP(B130,'03. THIẾT BỊ'!$B$1:$S$836,16,0),"")</f>
        <v>2025</v>
      </c>
      <c r="R130" s="25" t="str">
        <f>IFERROR(VLOOKUP(B130,'03. THIẾT BỊ'!$B$1:$S$836,17,0),"")</f>
        <v>350*200*407</v>
      </c>
      <c r="S130" s="25">
        <f>IFERROR(VLOOKUP(B130,'03. THIẾT BỊ'!$B$1:$S$836,18,0),"")</f>
        <v>0</v>
      </c>
      <c r="T130" s="41"/>
    </row>
    <row r="131" customHeight="1" spans="1:20">
      <c r="A131" s="23">
        <f t="shared" si="2"/>
        <v>82</v>
      </c>
      <c r="B131" s="20" t="s">
        <v>4862</v>
      </c>
      <c r="C131" s="613">
        <f>IFERROR(VLOOKUP(B131,'03. THIẾT BỊ'!$B$1:$S$836,2,0),"")</f>
        <v>0</v>
      </c>
      <c r="D131" s="24" t="str">
        <f>IFERROR(VLOOKUP(B131,'03. THIẾT BỊ'!$B$1:$S$836,3,0),"")</f>
        <v>A24-GĐH-072</v>
      </c>
      <c r="E131" s="20" t="str">
        <f>IFERROR(VLOOKUP(B131,'03. THIẾT BỊ'!$B$1:$S$836,4,0),"")</f>
        <v>ĐQSD</v>
      </c>
      <c r="F131" s="20" t="str">
        <f>IFERROR(VLOOKUP(B131,'03. THIẾT BỊ'!$B$1:$S$836,5,0),"")</f>
        <v>Gàu định hình đào mương thoát nước</v>
      </c>
      <c r="G131" s="101" t="s">
        <v>6468</v>
      </c>
      <c r="H131" s="19" t="str">
        <f>IFERROR(VLOOKUP(B131,'03. THIẾT BỊ'!$B$1:$S$836,7,0),"")</f>
        <v>XN Chuối LP3</v>
      </c>
      <c r="I131" s="610" t="str">
        <f>IFERROR(VLOOKUP(B131,'03. THIẾT BỊ'!$B$1:$S$836,8,0),"")</f>
        <v>28/05/2025</v>
      </c>
      <c r="J131" s="25"/>
      <c r="K131" s="19" t="str">
        <f>IFERROR(VLOOKUP(B131,'03. THIẾT BỊ'!$B$1:$S$836,10,0),"")</f>
        <v>Bình thường</v>
      </c>
      <c r="L131" s="25">
        <f>IFERROR(VLOOKUP(B131,'03. THIẾT BỊ'!$B$1:$S$836,11,0),"")</f>
        <v>0</v>
      </c>
      <c r="M131" s="24">
        <f>IFERROR(VLOOKUP(B131,'03. THIẾT BỊ'!$B$1:$S$836,12,0),"")</f>
        <v>0</v>
      </c>
      <c r="N131" s="25" t="str">
        <f>IFERROR(VLOOKUP(B131,'03. THIẾT BỊ'!$B$1:$S$836,13,0),"")</f>
        <v>THACO AGRI</v>
      </c>
      <c r="O131" s="24">
        <f>IFERROR(VLOOKUP(B131,'03. THIẾT BỊ'!$B$1:$S$836,14,0),"")</f>
        <v>0</v>
      </c>
      <c r="P131" s="25" t="str">
        <f>IFERROR(VLOOKUP(B131,'03. THIẾT BỊ'!$B$1:$S$836,15,0),"")</f>
        <v>CK-CGH</v>
      </c>
      <c r="Q131" s="23">
        <f>IFERROR(VLOOKUP(B131,'03. THIẾT BỊ'!$B$1:$S$836,16,0),"")</f>
        <v>2025</v>
      </c>
      <c r="R131" s="25" t="str">
        <f>IFERROR(VLOOKUP(B131,'03. THIẾT BỊ'!$B$1:$S$836,17,0),"")</f>
        <v>350*200*407</v>
      </c>
      <c r="S131" s="25">
        <f>IFERROR(VLOOKUP(B131,'03. THIẾT BỊ'!$B$1:$S$836,18,0),"")</f>
        <v>0</v>
      </c>
      <c r="T131" s="41"/>
    </row>
    <row r="132" customHeight="1" spans="1:20">
      <c r="A132" s="23">
        <f t="shared" si="2"/>
        <v>83</v>
      </c>
      <c r="B132" s="20" t="s">
        <v>4279</v>
      </c>
      <c r="C132" s="613">
        <f>IFERROR(VLOOKUP(B132,'03. THIẾT BỊ'!$B$1:$S$836,2,0),"")</f>
        <v>0</v>
      </c>
      <c r="D132" s="24" t="str">
        <f>IFERROR(VLOOKUP(B132,'03. THIẾT BỊ'!$B$1:$S$836,3,0),"")</f>
        <v>A23-GMĐ-001</v>
      </c>
      <c r="E132" s="20" t="str">
        <f>IFERROR(VLOOKUP(B132,'03. THIẾT BỊ'!$B$1:$S$836,4,0),"")</f>
        <v>ĐQSD</v>
      </c>
      <c r="F132" s="20" t="str">
        <f>IFERROR(VLOOKUP(B132,'03. THIẾT BỊ'!$B$1:$S$836,5,0),"")</f>
        <v>Gàu máy đào 05 (50*100*100cm)</v>
      </c>
      <c r="G132" s="101" t="s">
        <v>6468</v>
      </c>
      <c r="H132" s="19" t="str">
        <f>IFERROR(VLOOKUP(B132,'03. THIẾT BỊ'!$B$1:$S$836,7,0),"")</f>
        <v>XN Chuối DP1</v>
      </c>
      <c r="I132" s="610" t="str">
        <f>IFERROR(VLOOKUP(B132,'03. THIẾT BỊ'!$B$1:$S$836,8,0),"")</f>
        <v>19/04/2024</v>
      </c>
      <c r="J132" s="25"/>
      <c r="K132" s="19" t="str">
        <f>IFERROR(VLOOKUP(B132,'03. THIẾT BỊ'!$B$1:$S$836,10,0),"")</f>
        <v>Bình thường</v>
      </c>
      <c r="L132" s="25">
        <f>IFERROR(VLOOKUP(B132,'03. THIẾT BỊ'!$B$1:$S$836,11,0),"")</f>
        <v>0</v>
      </c>
      <c r="M132" s="24">
        <f>IFERROR(VLOOKUP(B132,'03. THIẾT BỊ'!$B$1:$S$836,12,0),"")</f>
        <v>0</v>
      </c>
      <c r="N132" s="25" t="str">
        <f>IFERROR(VLOOKUP(B132,'03. THIẾT BỊ'!$B$1:$S$836,13,0),"")</f>
        <v>THACO AGRI</v>
      </c>
      <c r="O132" s="24">
        <f>IFERROR(VLOOKUP(B132,'03. THIẾT BỊ'!$B$1:$S$836,14,0),"")</f>
        <v>0</v>
      </c>
      <c r="P132" s="25" t="str">
        <f>IFERROR(VLOOKUP(B132,'03. THIẾT BỊ'!$B$1:$S$836,15,0),"")</f>
        <v>CK-CGH</v>
      </c>
      <c r="Q132" s="23">
        <f>IFERROR(VLOOKUP(B132,'03. THIẾT BỊ'!$B$1:$S$836,16,0),"")</f>
        <v>0</v>
      </c>
      <c r="R132" s="25">
        <f>IFERROR(VLOOKUP(B132,'03. THIẾT BỊ'!$B$1:$S$836,17,0),"")</f>
        <v>0</v>
      </c>
      <c r="S132" s="25">
        <f>IFERROR(VLOOKUP(B132,'03. THIẾT BỊ'!$B$1:$S$836,18,0),"")</f>
        <v>0</v>
      </c>
      <c r="T132" s="41"/>
    </row>
    <row r="133" customHeight="1" spans="1:20">
      <c r="A133" s="23">
        <f t="shared" si="2"/>
        <v>84</v>
      </c>
      <c r="B133" s="20" t="s">
        <v>4283</v>
      </c>
      <c r="C133" s="613">
        <f>IFERROR(VLOOKUP(B133,'03. THIẾT BỊ'!$B$1:$S$836,2,0),"")</f>
        <v>0</v>
      </c>
      <c r="D133" s="24" t="str">
        <f>IFERROR(VLOOKUP(B133,'03. THIẾT BỊ'!$B$1:$S$836,3,0),"")</f>
        <v>A23-GMĐ-002</v>
      </c>
      <c r="E133" s="20" t="str">
        <f>IFERROR(VLOOKUP(B133,'03. THIẾT BỊ'!$B$1:$S$836,4,0),"")</f>
        <v>ĐQSD</v>
      </c>
      <c r="F133" s="20" t="str">
        <f>IFERROR(VLOOKUP(B133,'03. THIẾT BỊ'!$B$1:$S$836,5,0),"")</f>
        <v>Gàu máy đào 05 (50*100*150cm)</v>
      </c>
      <c r="G133" s="101" t="s">
        <v>6468</v>
      </c>
      <c r="H133" s="19" t="str">
        <f>IFERROR(VLOOKUP(B133,'03. THIẾT BỊ'!$B$1:$S$836,7,0),"")</f>
        <v>XN Chuối DP1</v>
      </c>
      <c r="I133" s="610" t="str">
        <f>IFERROR(VLOOKUP(B133,'03. THIẾT BỊ'!$B$1:$S$836,8,0),"")</f>
        <v>19/04/2024</v>
      </c>
      <c r="J133" s="25"/>
      <c r="K133" s="19" t="str">
        <f>IFERROR(VLOOKUP(B133,'03. THIẾT BỊ'!$B$1:$S$836,10,0),"")</f>
        <v>Bình thường</v>
      </c>
      <c r="L133" s="25">
        <f>IFERROR(VLOOKUP(B133,'03. THIẾT BỊ'!$B$1:$S$836,11,0),"")</f>
        <v>0</v>
      </c>
      <c r="M133" s="24">
        <f>IFERROR(VLOOKUP(B133,'03. THIẾT BỊ'!$B$1:$S$836,12,0),"")</f>
        <v>0</v>
      </c>
      <c r="N133" s="25" t="str">
        <f>IFERROR(VLOOKUP(B133,'03. THIẾT BỊ'!$B$1:$S$836,13,0),"")</f>
        <v>THACO AGRI</v>
      </c>
      <c r="O133" s="24">
        <f>IFERROR(VLOOKUP(B133,'03. THIẾT BỊ'!$B$1:$S$836,14,0),"")</f>
        <v>0</v>
      </c>
      <c r="P133" s="25" t="str">
        <f>IFERROR(VLOOKUP(B133,'03. THIẾT BỊ'!$B$1:$S$836,15,0),"")</f>
        <v>CK-CGH</v>
      </c>
      <c r="Q133" s="23">
        <f>IFERROR(VLOOKUP(B133,'03. THIẾT BỊ'!$B$1:$S$836,16,0),"")</f>
        <v>0</v>
      </c>
      <c r="R133" s="25">
        <f>IFERROR(VLOOKUP(B133,'03. THIẾT BỊ'!$B$1:$S$836,17,0),"")</f>
        <v>0</v>
      </c>
      <c r="S133" s="25">
        <f>IFERROR(VLOOKUP(B133,'03. THIẾT BỊ'!$B$1:$S$836,18,0),"")</f>
        <v>0</v>
      </c>
      <c r="T133" s="41"/>
    </row>
    <row r="134" customHeight="1" spans="1:20">
      <c r="A134" s="23">
        <f t="shared" si="2"/>
        <v>85</v>
      </c>
      <c r="B134" s="20" t="s">
        <v>4286</v>
      </c>
      <c r="C134" s="613">
        <f>IFERROR(VLOOKUP(B134,'03. THIẾT BỊ'!$B$1:$S$836,2,0),"")</f>
        <v>0</v>
      </c>
      <c r="D134" s="24" t="str">
        <f>IFERROR(VLOOKUP(B134,'03. THIẾT BỊ'!$B$1:$S$836,3,0),"")</f>
        <v>A23-GMĐ-003</v>
      </c>
      <c r="E134" s="20" t="str">
        <f>IFERROR(VLOOKUP(B134,'03. THIẾT BỊ'!$B$1:$S$836,4,0),"")</f>
        <v>ĐQSD</v>
      </c>
      <c r="F134" s="20" t="str">
        <f>IFERROR(VLOOKUP(B134,'03. THIẾT BỊ'!$B$1:$S$836,5,0),"")</f>
        <v>Gàu máy đào 03 (40*80*100cm)</v>
      </c>
      <c r="G134" s="101" t="s">
        <v>6468</v>
      </c>
      <c r="H134" s="19" t="str">
        <f>IFERROR(VLOOKUP(B134,'03. THIẾT BỊ'!$B$1:$S$836,7,0),"")</f>
        <v>XN Chuối DP1</v>
      </c>
      <c r="I134" s="610" t="str">
        <f>IFERROR(VLOOKUP(B134,'03. THIẾT BỊ'!$B$1:$S$836,8,0),"")</f>
        <v>19/04/2024</v>
      </c>
      <c r="J134" s="25"/>
      <c r="K134" s="19" t="str">
        <f>IFERROR(VLOOKUP(B134,'03. THIẾT BỊ'!$B$1:$S$836,10,0),"")</f>
        <v>Bình thường</v>
      </c>
      <c r="L134" s="25">
        <f>IFERROR(VLOOKUP(B134,'03. THIẾT BỊ'!$B$1:$S$836,11,0),"")</f>
        <v>0</v>
      </c>
      <c r="M134" s="24">
        <f>IFERROR(VLOOKUP(B134,'03. THIẾT BỊ'!$B$1:$S$836,12,0),"")</f>
        <v>0</v>
      </c>
      <c r="N134" s="25" t="str">
        <f>IFERROR(VLOOKUP(B134,'03. THIẾT BỊ'!$B$1:$S$836,13,0),"")</f>
        <v>THACO AGRI</v>
      </c>
      <c r="O134" s="24">
        <f>IFERROR(VLOOKUP(B134,'03. THIẾT BỊ'!$B$1:$S$836,14,0),"")</f>
        <v>0</v>
      </c>
      <c r="P134" s="25" t="str">
        <f>IFERROR(VLOOKUP(B134,'03. THIẾT BỊ'!$B$1:$S$836,15,0),"")</f>
        <v>CK-CGH</v>
      </c>
      <c r="Q134" s="23">
        <f>IFERROR(VLOOKUP(B134,'03. THIẾT BỊ'!$B$1:$S$836,16,0),"")</f>
        <v>0</v>
      </c>
      <c r="R134" s="25">
        <f>IFERROR(VLOOKUP(B134,'03. THIẾT BỊ'!$B$1:$S$836,17,0),"")</f>
        <v>0</v>
      </c>
      <c r="S134" s="25">
        <f>IFERROR(VLOOKUP(B134,'03. THIẾT BỊ'!$B$1:$S$836,18,0),"")</f>
        <v>0</v>
      </c>
      <c r="T134" s="41"/>
    </row>
    <row r="135" customHeight="1" spans="1:20">
      <c r="A135" s="23">
        <f t="shared" si="2"/>
        <v>86</v>
      </c>
      <c r="B135" s="20" t="s">
        <v>4941</v>
      </c>
      <c r="C135" s="613">
        <f>IFERROR(VLOOKUP(B135,'03. THIẾT BỊ'!$B$1:$S$836,2,0),"")</f>
        <v>0</v>
      </c>
      <c r="D135" s="24" t="str">
        <f>IFERROR(VLOOKUP(B135,'03. THIẾT BỊ'!$B$1:$S$836,3,0),"")</f>
        <v>A24-GMĐ-001</v>
      </c>
      <c r="E135" s="20" t="str">
        <f>IFERROR(VLOOKUP(B135,'03. THIẾT BỊ'!$B$1:$S$836,4,0),"")</f>
        <v>ĐQSD</v>
      </c>
      <c r="F135" s="20" t="str">
        <f>IFERROR(VLOOKUP(B135,'03. THIẾT BỊ'!$B$1:$S$836,5,0),"")</f>
        <v>Gàu máy đào 05 gia công quy cách 1M</v>
      </c>
      <c r="G135" s="101" t="s">
        <v>6468</v>
      </c>
      <c r="H135" s="19" t="str">
        <f>IFERROR(VLOOKUP(B135,'03. THIẾT BỊ'!$B$1:$S$836,7,0),"")</f>
        <v>XN Chuối LP3</v>
      </c>
      <c r="I135" s="610" t="str">
        <f>IFERROR(VLOOKUP(B135,'03. THIẾT BỊ'!$B$1:$S$836,8,0),"")</f>
        <v>19/04/2024</v>
      </c>
      <c r="J135" s="25"/>
      <c r="K135" s="19" t="str">
        <f>IFERROR(VLOOKUP(B135,'03. THIẾT BỊ'!$B$1:$S$836,10,0),"")</f>
        <v>Bình thường</v>
      </c>
      <c r="L135" s="25">
        <f>IFERROR(VLOOKUP(B135,'03. THIẾT BỊ'!$B$1:$S$836,11,0),"")</f>
        <v>0</v>
      </c>
      <c r="M135" s="24" t="str">
        <f>IFERROR(VLOOKUP(B135,'03. THIẾT BỊ'!$B$1:$S$836,12,0),"")</f>
        <v>Gia công mới</v>
      </c>
      <c r="N135" s="25" t="str">
        <f>IFERROR(VLOOKUP(B135,'03. THIẾT BỊ'!$B$1:$S$836,13,0),"")</f>
        <v>THACO AGRI</v>
      </c>
      <c r="O135" s="24">
        <f>IFERROR(VLOOKUP(B135,'03. THIẾT BỊ'!$B$1:$S$836,14,0),"")</f>
        <v>0</v>
      </c>
      <c r="P135" s="25" t="str">
        <f>IFERROR(VLOOKUP(B135,'03. THIẾT BỊ'!$B$1:$S$836,15,0),"")</f>
        <v>CK-CGH</v>
      </c>
      <c r="Q135" s="23">
        <f>IFERROR(VLOOKUP(B135,'03. THIẾT BỊ'!$B$1:$S$836,16,0),"")</f>
        <v>0</v>
      </c>
      <c r="R135" s="25" t="str">
        <f>IFERROR(VLOOKUP(B135,'03. THIẾT BỊ'!$B$1:$S$836,17,0),"")</f>
        <v>DxRxC: 1.5m*0.7m*1.3m</v>
      </c>
      <c r="S135" s="25">
        <f>IFERROR(VLOOKUP(B135,'03. THIẾT BỊ'!$B$1:$S$836,18,0),"")</f>
        <v>0</v>
      </c>
      <c r="T135" s="41"/>
    </row>
    <row r="136" ht="13.8" spans="1:20">
      <c r="C136" s="613" t="str">
        <f>IFERROR(VLOOKUP(B136,'03. THIẾT BỊ'!$B$1:$S$836,2,0),"")</f>
        <v/>
      </c>
      <c r="D136" s="24" t="str">
        <f>IFERROR(VLOOKUP(B136,'03. THIẾT BỊ'!$B$1:$S$836,3,0),"")</f>
        <v/>
      </c>
      <c r="E136" s="20" t="str">
        <f>IFERROR(VLOOKUP(B136,'03. THIẾT BỊ'!$B$1:$S$836,4,0),"")</f>
        <v/>
      </c>
      <c r="F136" s="20" t="str">
        <f>IFERROR(VLOOKUP(B136,'03. THIẾT BỊ'!$B$1:$S$836,5,0),"")</f>
        <v/>
      </c>
      <c r="G136" s="101" t="s">
        <v>6468</v>
      </c>
      <c r="H136" s="19" t="str">
        <f>IFERROR(VLOOKUP(B136,'03. THIẾT BỊ'!$B$1:$S$836,7,0),"")</f>
        <v/>
      </c>
      <c r="I136" s="610" t="str">
        <f>IFERROR(VLOOKUP(B136,'03. THIẾT BỊ'!$B$1:$S$836,8,0),"")</f>
        <v/>
      </c>
      <c r="J136" s="25"/>
      <c r="K136" s="19" t="str">
        <f>IFERROR(VLOOKUP(B136,'03. THIẾT BỊ'!$B$1:$S$836,10,0),"")</f>
        <v/>
      </c>
      <c r="L136" s="25" t="str">
        <f>IFERROR(VLOOKUP(B136,'03. THIẾT BỊ'!$B$1:$S$836,11,0),"")</f>
        <v/>
      </c>
      <c r="M136" s="24" t="str">
        <f>IFERROR(VLOOKUP(B136,'03. THIẾT BỊ'!$B$1:$S$836,12,0),"")</f>
        <v/>
      </c>
      <c r="N136" s="25" t="str">
        <f>IFERROR(VLOOKUP(B136,'03. THIẾT BỊ'!$B$1:$S$836,13,0),"")</f>
        <v/>
      </c>
      <c r="O136" s="24" t="str">
        <f>IFERROR(VLOOKUP(B136,'03. THIẾT BỊ'!$B$1:$S$836,14,0),"")</f>
        <v/>
      </c>
      <c r="P136" s="25" t="str">
        <f>IFERROR(VLOOKUP(B136,'03. THIẾT BỊ'!$B$1:$S$836,15,0),"")</f>
        <v/>
      </c>
      <c r="Q136" s="23" t="str">
        <f>IFERROR(VLOOKUP(B136,'03. THIẾT BỊ'!$B$1:$S$836,16,0),"")</f>
        <v/>
      </c>
      <c r="R136" s="25" t="str">
        <f>IFERROR(VLOOKUP(B136,'03. THIẾT BỊ'!$B$1:$S$836,17,0),"")</f>
        <v/>
      </c>
      <c r="S136" s="25" t="str">
        <f>IFERROR(VLOOKUP(B136,'03. THIẾT BỊ'!$B$1:$S$836,18,0),"")</f>
        <v/>
      </c>
    </row>
    <row r="137" ht="13.8" hidden="1" spans="1:20">
      <c r="C137" s="613" t="str">
        <f>IFERROR(VLOOKUP(B137,'03. THIẾT BỊ'!$B$1:$S$836,2,0),"")</f>
        <v/>
      </c>
      <c r="D137" s="24" t="str">
        <f>IFERROR(VLOOKUP(B137,'03. THIẾT BỊ'!$B$1:$S$836,3,0),"")</f>
        <v/>
      </c>
      <c r="E137" s="20" t="str">
        <f>IFERROR(VLOOKUP(B137,'03. THIẾT BỊ'!$B$1:$S$836,4,0),"")</f>
        <v/>
      </c>
      <c r="F137" s="20" t="str">
        <f>IFERROR(VLOOKUP(B137,'03. THIẾT BỊ'!$B$1:$S$836,5,0),"")</f>
        <v/>
      </c>
      <c r="G137" s="101" t="s">
        <v>6468</v>
      </c>
      <c r="H137" s="19" t="str">
        <f>IFERROR(VLOOKUP(B137,'03. THIẾT BỊ'!$B$1:$S$836,7,0),"")</f>
        <v/>
      </c>
      <c r="I137" s="610" t="str">
        <f>IFERROR(VLOOKUP(B137,'03. THIẾT BỊ'!$B$1:$S$836,8,0),"")</f>
        <v/>
      </c>
      <c r="J137" s="25"/>
      <c r="K137" s="19" t="str">
        <f>IFERROR(VLOOKUP(B137,'03. THIẾT BỊ'!$B$1:$S$836,10,0),"")</f>
        <v/>
      </c>
      <c r="L137" s="25" t="str">
        <f>IFERROR(VLOOKUP(B137,'03. THIẾT BỊ'!$B$1:$S$836,11,0),"")</f>
        <v/>
      </c>
      <c r="M137" s="24" t="str">
        <f>IFERROR(VLOOKUP(B137,'03. THIẾT BỊ'!$B$1:$S$836,12,0),"")</f>
        <v/>
      </c>
      <c r="N137" s="25" t="str">
        <f>IFERROR(VLOOKUP(B137,'03. THIẾT BỊ'!$B$1:$S$836,13,0),"")</f>
        <v/>
      </c>
      <c r="O137" s="24" t="str">
        <f>IFERROR(VLOOKUP(B137,'03. THIẾT BỊ'!$B$1:$S$836,14,0),"")</f>
        <v/>
      </c>
      <c r="P137" s="25" t="str">
        <f>IFERROR(VLOOKUP(B137,'03. THIẾT BỊ'!$B$1:$S$836,15,0),"")</f>
        <v/>
      </c>
      <c r="Q137" s="23" t="str">
        <f>IFERROR(VLOOKUP(B137,'03. THIẾT BỊ'!$B$1:$S$836,16,0),"")</f>
        <v/>
      </c>
      <c r="R137" s="25" t="str">
        <f>IFERROR(VLOOKUP(B137,'03. THIẾT BỊ'!$B$1:$S$836,17,0),"")</f>
        <v/>
      </c>
      <c r="S137" s="25" t="str">
        <f>IFERROR(VLOOKUP(B137,'03. THIẾT BỊ'!$B$1:$S$836,18,0),"")</f>
        <v/>
      </c>
    </row>
    <row r="138" ht="13.8" hidden="1" spans="1:20">
      <c r="C138" s="613" t="str">
        <f>IFERROR(VLOOKUP(B138,'03. THIẾT BỊ'!$B$1:$S$836,2,0),"")</f>
        <v/>
      </c>
      <c r="D138" s="24" t="str">
        <f>IFERROR(VLOOKUP(B138,'03. THIẾT BỊ'!$B$1:$S$836,3,0),"")</f>
        <v/>
      </c>
      <c r="E138" s="20" t="str">
        <f>IFERROR(VLOOKUP(B138,'03. THIẾT BỊ'!$B$1:$S$836,4,0),"")</f>
        <v/>
      </c>
      <c r="F138" s="20" t="str">
        <f>IFERROR(VLOOKUP(B138,'03. THIẾT BỊ'!$B$1:$S$836,5,0),"")</f>
        <v/>
      </c>
      <c r="G138" s="101" t="s">
        <v>6468</v>
      </c>
      <c r="H138" s="19" t="str">
        <f>IFERROR(VLOOKUP(B138,'03. THIẾT BỊ'!$B$1:$S$836,7,0),"")</f>
        <v/>
      </c>
      <c r="I138" s="610" t="str">
        <f>IFERROR(VLOOKUP(B138,'03. THIẾT BỊ'!$B$1:$S$836,8,0),"")</f>
        <v/>
      </c>
      <c r="J138" s="25"/>
      <c r="K138" s="19" t="str">
        <f>IFERROR(VLOOKUP(B138,'03. THIẾT BỊ'!$B$1:$S$836,10,0),"")</f>
        <v/>
      </c>
      <c r="L138" s="25" t="str">
        <f>IFERROR(VLOOKUP(B138,'03. THIẾT BỊ'!$B$1:$S$836,11,0),"")</f>
        <v/>
      </c>
      <c r="M138" s="24" t="str">
        <f>IFERROR(VLOOKUP(B138,'03. THIẾT BỊ'!$B$1:$S$836,12,0),"")</f>
        <v/>
      </c>
      <c r="N138" s="25" t="str">
        <f>IFERROR(VLOOKUP(B138,'03. THIẾT BỊ'!$B$1:$S$836,13,0),"")</f>
        <v/>
      </c>
      <c r="O138" s="24" t="str">
        <f>IFERROR(VLOOKUP(B138,'03. THIẾT BỊ'!$B$1:$S$836,14,0),"")</f>
        <v/>
      </c>
      <c r="P138" s="25" t="str">
        <f>IFERROR(VLOOKUP(B138,'03. THIẾT BỊ'!$B$1:$S$836,15,0),"")</f>
        <v/>
      </c>
      <c r="Q138" s="23" t="str">
        <f>IFERROR(VLOOKUP(B138,'03. THIẾT BỊ'!$B$1:$S$836,16,0),"")</f>
        <v/>
      </c>
      <c r="R138" s="25" t="str">
        <f>IFERROR(VLOOKUP(B138,'03. THIẾT BỊ'!$B$1:$S$836,17,0),"")</f>
        <v/>
      </c>
      <c r="S138" s="25" t="str">
        <f>IFERROR(VLOOKUP(B138,'03. THIẾT BỊ'!$B$1:$S$836,18,0),"")</f>
        <v/>
      </c>
    </row>
    <row r="139" ht="13.8" hidden="1" spans="1:20">
      <c r="C139" s="613" t="str">
        <f>IFERROR(VLOOKUP(B139,'03. THIẾT BỊ'!$B$1:$S$836,2,0),"")</f>
        <v/>
      </c>
      <c r="D139" s="24" t="str">
        <f>IFERROR(VLOOKUP(B139,'03. THIẾT BỊ'!$B$1:$S$836,3,0),"")</f>
        <v/>
      </c>
      <c r="E139" s="20" t="str">
        <f>IFERROR(VLOOKUP(B139,'03. THIẾT BỊ'!$B$1:$S$836,4,0),"")</f>
        <v/>
      </c>
      <c r="F139" s="20" t="str">
        <f>IFERROR(VLOOKUP(B139,'03. THIẾT BỊ'!$B$1:$S$836,5,0),"")</f>
        <v/>
      </c>
      <c r="G139" s="101" t="s">
        <v>6468</v>
      </c>
      <c r="H139" s="19" t="str">
        <f>IFERROR(VLOOKUP(B139,'03. THIẾT BỊ'!$B$1:$S$836,7,0),"")</f>
        <v/>
      </c>
      <c r="I139" s="610" t="str">
        <f>IFERROR(VLOOKUP(B139,'03. THIẾT BỊ'!$B$1:$S$836,8,0),"")</f>
        <v/>
      </c>
      <c r="J139" s="25"/>
      <c r="K139" s="19" t="str">
        <f>IFERROR(VLOOKUP(B139,'03. THIẾT BỊ'!$B$1:$S$836,10,0),"")</f>
        <v/>
      </c>
      <c r="L139" s="25" t="str">
        <f>IFERROR(VLOOKUP(B139,'03. THIẾT BỊ'!$B$1:$S$836,11,0),"")</f>
        <v/>
      </c>
      <c r="M139" s="24" t="str">
        <f>IFERROR(VLOOKUP(B139,'03. THIẾT BỊ'!$B$1:$S$836,12,0),"")</f>
        <v/>
      </c>
      <c r="N139" s="25" t="str">
        <f>IFERROR(VLOOKUP(B139,'03. THIẾT BỊ'!$B$1:$S$836,13,0),"")</f>
        <v/>
      </c>
      <c r="O139" s="24" t="str">
        <f>IFERROR(VLOOKUP(B139,'03. THIẾT BỊ'!$B$1:$S$836,14,0),"")</f>
        <v/>
      </c>
      <c r="P139" s="25" t="str">
        <f>IFERROR(VLOOKUP(B139,'03. THIẾT BỊ'!$B$1:$S$836,15,0),"")</f>
        <v/>
      </c>
      <c r="Q139" s="23" t="str">
        <f>IFERROR(VLOOKUP(B139,'03. THIẾT BỊ'!$B$1:$S$836,16,0),"")</f>
        <v/>
      </c>
      <c r="R139" s="25" t="str">
        <f>IFERROR(VLOOKUP(B139,'03. THIẾT BỊ'!$B$1:$S$836,17,0),"")</f>
        <v/>
      </c>
      <c r="S139" s="25" t="str">
        <f>IFERROR(VLOOKUP(B139,'03. THIẾT BỊ'!$B$1:$S$836,18,0),"")</f>
        <v/>
      </c>
    </row>
    <row r="140" ht="13.8" hidden="1" spans="1:20">
      <c r="C140" s="613" t="str">
        <f>IFERROR(VLOOKUP(B140,'03. THIẾT BỊ'!$B$1:$S$836,2,0),"")</f>
        <v/>
      </c>
      <c r="D140" s="24" t="str">
        <f>IFERROR(VLOOKUP(B140,'03. THIẾT BỊ'!$B$1:$S$836,3,0),"")</f>
        <v/>
      </c>
      <c r="E140" s="20" t="str">
        <f>IFERROR(VLOOKUP(B140,'03. THIẾT BỊ'!$B$1:$S$836,4,0),"")</f>
        <v/>
      </c>
      <c r="F140" s="20" t="str">
        <f>IFERROR(VLOOKUP(B140,'03. THIẾT BỊ'!$B$1:$S$836,5,0),"")</f>
        <v/>
      </c>
      <c r="G140" s="101" t="s">
        <v>6468</v>
      </c>
      <c r="H140" s="19" t="str">
        <f>IFERROR(VLOOKUP(B140,'03. THIẾT BỊ'!$B$1:$S$836,7,0),"")</f>
        <v/>
      </c>
      <c r="I140" s="610" t="str">
        <f>IFERROR(VLOOKUP(B140,'03. THIẾT BỊ'!$B$1:$S$836,8,0),"")</f>
        <v/>
      </c>
      <c r="J140" s="25"/>
      <c r="K140" s="19" t="str">
        <f>IFERROR(VLOOKUP(B140,'03. THIẾT BỊ'!$B$1:$S$836,10,0),"")</f>
        <v/>
      </c>
      <c r="L140" s="25" t="str">
        <f>IFERROR(VLOOKUP(B140,'03. THIẾT BỊ'!$B$1:$S$836,11,0),"")</f>
        <v/>
      </c>
      <c r="M140" s="24" t="str">
        <f>IFERROR(VLOOKUP(B140,'03. THIẾT BỊ'!$B$1:$S$836,12,0),"")</f>
        <v/>
      </c>
      <c r="N140" s="25" t="str">
        <f>IFERROR(VLOOKUP(B140,'03. THIẾT BỊ'!$B$1:$S$836,13,0),"")</f>
        <v/>
      </c>
      <c r="O140" s="24" t="str">
        <f>IFERROR(VLOOKUP(B140,'03. THIẾT BỊ'!$B$1:$S$836,14,0),"")</f>
        <v/>
      </c>
      <c r="P140" s="25" t="str">
        <f>IFERROR(VLOOKUP(B140,'03. THIẾT BỊ'!$B$1:$S$836,15,0),"")</f>
        <v/>
      </c>
      <c r="Q140" s="23" t="str">
        <f>IFERROR(VLOOKUP(B140,'03. THIẾT BỊ'!$B$1:$S$836,16,0),"")</f>
        <v/>
      </c>
      <c r="R140" s="25" t="str">
        <f>IFERROR(VLOOKUP(B140,'03. THIẾT BỊ'!$B$1:$S$836,17,0),"")</f>
        <v/>
      </c>
      <c r="S140" s="25" t="str">
        <f>IFERROR(VLOOKUP(B140,'03. THIẾT BỊ'!$B$1:$S$836,18,0),"")</f>
        <v/>
      </c>
    </row>
    <row r="141" customHeight="1" spans="1:20">
      <c r="A141" s="14" t="s">
        <v>290</v>
      </c>
      <c r="B141" s="15" t="s">
        <v>6472</v>
      </c>
      <c r="C141" s="14">
        <f>COUNTA(B142:B144)</f>
        <v>2</v>
      </c>
      <c r="D141" s="17" t="str">
        <f>IFERROR(VLOOKUP(B141,'03. THIẾT BỊ'!$B$1:$S$836,3,0),"")</f>
        <v/>
      </c>
      <c r="E141" s="17" t="str">
        <f>IFERROR(VLOOKUP(B141,'03. THIẾT BỊ'!$B$1:$S$836,4,0),"")</f>
        <v/>
      </c>
      <c r="F141" s="17" t="str">
        <f>IFERROR(VLOOKUP(B141,'03. THIẾT BỊ'!$B$1:$S$836,5,0),"")</f>
        <v/>
      </c>
      <c r="G141" s="18" t="s">
        <v>6468</v>
      </c>
      <c r="H141" s="18" t="str">
        <f>IFERROR(VLOOKUP(B141,'03. THIẾT BỊ'!$B$1:$S$836,7,0),"")</f>
        <v/>
      </c>
      <c r="I141" s="14" t="str">
        <f>IFERROR(VLOOKUP(B141,'03. THIẾT BỊ'!$B$1:$S$836,8,0),"")</f>
        <v/>
      </c>
      <c r="J141" s="15"/>
      <c r="K141" s="14" t="str">
        <f>IFERROR(VLOOKUP(B141,'03. THIẾT BỊ'!$B$1:$S$836,10,0),"")</f>
        <v/>
      </c>
      <c r="L141" s="17" t="str">
        <f>IFERROR(VLOOKUP(B141,'03. THIẾT BỊ'!$B$1:$S$836,11,0),"")</f>
        <v/>
      </c>
      <c r="M141" s="16" t="str">
        <f>IFERROR(VLOOKUP(B141,'03. THIẾT BỊ'!$B$1:$S$836,12,0),"")</f>
        <v/>
      </c>
      <c r="N141" s="17" t="str">
        <f>IFERROR(VLOOKUP(B141,'03. THIẾT BỊ'!$B$1:$S$836,13,0),"")</f>
        <v/>
      </c>
      <c r="O141" s="16" t="str">
        <f>IFERROR(VLOOKUP(B141,'03. THIẾT BỊ'!$B$1:$S$836,14,0),"")</f>
        <v/>
      </c>
      <c r="P141" s="17" t="str">
        <f>IFERROR(VLOOKUP(B141,'03. THIẾT BỊ'!$B$1:$S$836,15,0),"")</f>
        <v/>
      </c>
      <c r="Q141" s="18" t="str">
        <f>IFERROR(VLOOKUP(B141,'03. THIẾT BỊ'!$B$1:$S$836,16,0),"")</f>
        <v/>
      </c>
      <c r="R141" s="17" t="str">
        <f>IFERROR(VLOOKUP(B141,'03. THIẾT BỊ'!$B$1:$S$836,17,0),"")</f>
        <v/>
      </c>
      <c r="S141" s="17" t="str">
        <f>IFERROR(VLOOKUP(B141,'03. THIẾT BỊ'!$B$1:$S$836,18,0),"")</f>
        <v/>
      </c>
      <c r="T141" s="609"/>
    </row>
    <row r="142" customHeight="1" spans="1:20">
      <c r="A142" s="19">
        <v>1</v>
      </c>
      <c r="B142" s="20" t="s">
        <v>3822</v>
      </c>
      <c r="C142" s="613" t="str">
        <f>IFERROR(VLOOKUP(B142,'03. THIẾT BỊ'!$B$1:$S$836,2,0),"")</f>
        <v>CHT-TCĐ-001</v>
      </c>
      <c r="D142" s="24" t="str">
        <f>IFERROR(VLOOKUP(B142,'03. THIẾT BỊ'!$B$1:$S$836,3,0),"")</f>
        <v>A22-TCĐ-001</v>
      </c>
      <c r="E142" s="20" t="str">
        <f>IFERROR(VLOOKUP(B142,'03. THIẾT BỊ'!$B$1:$S$836,4,0),"")</f>
        <v>ĐQSD</v>
      </c>
      <c r="F142" s="20" t="str">
        <f>IFERROR(VLOOKUP(B142,'03. THIẾT BỊ'!$B$1:$S$836,5,0),"")</f>
        <v>Trống cào đá</v>
      </c>
      <c r="G142" s="101" t="s">
        <v>6468</v>
      </c>
      <c r="H142" s="19" t="str">
        <f>IFERROR(VLOOKUP(B142,'03. THIẾT BỊ'!$B$1:$S$836,7,0),"")</f>
        <v>CGTC AD</v>
      </c>
      <c r="I142" s="610">
        <f>IFERROR(VLOOKUP(B142,'03. THIẾT BỊ'!$B$1:$S$836,8,0),"")</f>
        <v>0</v>
      </c>
      <c r="J142" s="25"/>
      <c r="K142" s="19" t="str">
        <f>IFERROR(VLOOKUP(B142,'03. THIẾT BỊ'!$B$1:$S$836,10,0),"")</f>
        <v>Bình thường</v>
      </c>
      <c r="L142" s="25">
        <f>IFERROR(VLOOKUP(B142,'03. THIẾT BỊ'!$B$1:$S$836,11,0),"")</f>
        <v>0</v>
      </c>
      <c r="M142" s="24">
        <f>IFERROR(VLOOKUP(B142,'03. THIẾT BỊ'!$B$1:$S$836,12,0),"")</f>
        <v>0</v>
      </c>
      <c r="N142" s="25" t="str">
        <f>IFERROR(VLOOKUP(B142,'03. THIẾT BỊ'!$B$1:$S$836,13,0),"")</f>
        <v>TRUNG QUỐC</v>
      </c>
      <c r="O142" s="24">
        <f>IFERROR(VLOOKUP(B142,'03. THIẾT BỊ'!$B$1:$S$836,14,0),"")</f>
        <v>0</v>
      </c>
      <c r="P142" s="25" t="str">
        <f>IFERROR(VLOOKUP(B142,'03. THIẾT BỊ'!$B$1:$S$836,15,0),"")</f>
        <v>TRUNG QUỐC</v>
      </c>
      <c r="Q142" s="23">
        <f>IFERROR(VLOOKUP(B142,'03. THIẾT BỊ'!$B$1:$S$836,16,0),"")</f>
        <v>0</v>
      </c>
      <c r="R142" s="25">
        <f>IFERROR(VLOOKUP(B142,'03. THIẾT BỊ'!$B$1:$S$836,17,0),"")</f>
        <v>0</v>
      </c>
      <c r="S142" s="25">
        <f>IFERROR(VLOOKUP(B142,'03. THIẾT BỊ'!$B$1:$S$836,18,0),"")</f>
        <v>0</v>
      </c>
      <c r="T142" s="41"/>
    </row>
    <row r="143" customHeight="1" spans="1:20">
      <c r="A143" s="23">
        <v>2</v>
      </c>
      <c r="B143" s="20" t="s">
        <v>3862</v>
      </c>
      <c r="C143" s="613" t="str">
        <f>IFERROR(VLOOKUP(B143,'03. THIẾT BỊ'!$B$1:$S$836,2,0),"")</f>
        <v>XAD-RMD-001(XA2-RMĐ-001)</v>
      </c>
      <c r="D143" s="24" t="str">
        <f>IFERROR(VLOOKUP(B143,'03. THIẾT BỊ'!$B$1:$S$836,3,0),"")</f>
        <v>A22-RMĐ-001</v>
      </c>
      <c r="E143" s="20" t="str">
        <f>IFERROR(VLOOKUP(B143,'03. THIẾT BỊ'!$B$1:$S$836,4,0),"")</f>
        <v>ĐQSD</v>
      </c>
      <c r="F143" s="20" t="str">
        <f>IFERROR(VLOOKUP(B143,'03. THIẾT BỊ'!$B$1:$S$836,5,0),"")</f>
        <v>Rơ mooc vận chuyển M.đào 03</v>
      </c>
      <c r="G143" s="101" t="s">
        <v>6468</v>
      </c>
      <c r="H143" s="19" t="str">
        <f>IFERROR(VLOOKUP(B143,'03. THIẾT BỊ'!$B$1:$S$836,7,0),"")</f>
        <v>CGTC AD</v>
      </c>
      <c r="I143" s="610" t="str">
        <f>IFERROR(VLOOKUP(B143,'03. THIẾT BỊ'!$B$1:$S$836,8,0),"")</f>
        <v>28/06/2024</v>
      </c>
      <c r="J143" s="25"/>
      <c r="K143" s="19" t="str">
        <f>IFERROR(VLOOKUP(B143,'03. THIẾT BỊ'!$B$1:$S$836,10,0),"")</f>
        <v>Bình thường</v>
      </c>
      <c r="L143" s="25" t="str">
        <f>IFERROR(VLOOKUP(B143,'03. THIẾT BỊ'!$B$1:$S$836,11,0),"")</f>
        <v>- Điều chuyển từ XN chuối AD ngày 28/06/2024</v>
      </c>
      <c r="M143" s="24">
        <f>IFERROR(VLOOKUP(B143,'03. THIẾT BỊ'!$B$1:$S$836,12,0),"")</f>
        <v>0</v>
      </c>
      <c r="N143" s="25" t="str">
        <f>IFERROR(VLOOKUP(B143,'03. THIẾT BỊ'!$B$1:$S$836,13,0),"")</f>
        <v>THACO AGRI</v>
      </c>
      <c r="O143" s="24">
        <f>IFERROR(VLOOKUP(B143,'03. THIẾT BỊ'!$B$1:$S$836,14,0),"")</f>
        <v>0</v>
      </c>
      <c r="P143" s="25" t="str">
        <f>IFERROR(VLOOKUP(B143,'03. THIẾT BỊ'!$B$1:$S$836,15,0),"")</f>
        <v>CK-CGH</v>
      </c>
      <c r="Q143" s="23">
        <f>IFERROR(VLOOKUP(B143,'03. THIẾT BỊ'!$B$1:$S$836,16,0),"")</f>
        <v>0</v>
      </c>
      <c r="R143" s="25">
        <f>IFERROR(VLOOKUP(B143,'03. THIẾT BỊ'!$B$1:$S$836,17,0),"")</f>
        <v>0</v>
      </c>
      <c r="S143" s="25">
        <f>IFERROR(VLOOKUP(B143,'03. THIẾT BỊ'!$B$1:$S$836,18,0),"")</f>
        <v>0</v>
      </c>
      <c r="T143" s="41"/>
    </row>
    <row r="144" ht="13.8" spans="1:20">
      <c r="C144" s="613" t="str">
        <f>IFERROR(VLOOKUP(B144,'03. THIẾT BỊ'!$B$1:$S$836,2,0),"")</f>
        <v/>
      </c>
      <c r="D144" s="24" t="str">
        <f>IFERROR(VLOOKUP(B144,'03. THIẾT BỊ'!$B$1:$S$836,3,0),"")</f>
        <v/>
      </c>
      <c r="E144" s="20" t="str">
        <f>IFERROR(VLOOKUP(B144,'03. THIẾT BỊ'!$B$1:$S$836,4,0),"")</f>
        <v/>
      </c>
      <c r="F144" s="20" t="str">
        <f>IFERROR(VLOOKUP(B144,'03. THIẾT BỊ'!$B$1:$S$836,5,0),"")</f>
        <v/>
      </c>
      <c r="G144" s="101" t="s">
        <v>6468</v>
      </c>
      <c r="H144" s="19" t="str">
        <f>IFERROR(VLOOKUP(B144,'03. THIẾT BỊ'!$B$1:$S$836,7,0),"")</f>
        <v/>
      </c>
      <c r="I144" s="610" t="str">
        <f>IFERROR(VLOOKUP(B144,'03. THIẾT BỊ'!$B$1:$S$836,8,0),"")</f>
        <v/>
      </c>
      <c r="J144" s="25"/>
      <c r="K144" s="19" t="str">
        <f>IFERROR(VLOOKUP(B144,'03. THIẾT BỊ'!$B$1:$S$836,10,0),"")</f>
        <v/>
      </c>
      <c r="L144" s="25" t="str">
        <f>IFERROR(VLOOKUP(B144,'03. THIẾT BỊ'!$B$1:$S$836,11,0),"")</f>
        <v/>
      </c>
      <c r="M144" s="24" t="str">
        <f>IFERROR(VLOOKUP(B144,'03. THIẾT BỊ'!$B$1:$S$836,12,0),"")</f>
        <v/>
      </c>
      <c r="N144" s="25" t="str">
        <f>IFERROR(VLOOKUP(B144,'03. THIẾT BỊ'!$B$1:$S$836,13,0),"")</f>
        <v/>
      </c>
      <c r="O144" s="24" t="str">
        <f>IFERROR(VLOOKUP(B144,'03. THIẾT BỊ'!$B$1:$S$836,14,0),"")</f>
        <v/>
      </c>
      <c r="P144" s="25" t="str">
        <f>IFERROR(VLOOKUP(B144,'03. THIẾT BỊ'!$B$1:$S$836,15,0),"")</f>
        <v/>
      </c>
      <c r="Q144" s="23" t="str">
        <f>IFERROR(VLOOKUP(B144,'03. THIẾT BỊ'!$B$1:$S$836,16,0),"")</f>
        <v/>
      </c>
      <c r="R144" s="25" t="str">
        <f>IFERROR(VLOOKUP(B144,'03. THIẾT BỊ'!$B$1:$S$836,17,0),"")</f>
        <v/>
      </c>
      <c r="S144" s="25" t="str">
        <f>IFERROR(VLOOKUP(B144,'03. THIẾT BỊ'!$B$1:$S$836,18,0),"")</f>
        <v/>
      </c>
    </row>
    <row r="145" ht="13.8" hidden="1" spans="1:20">
      <c r="C145" s="613" t="str">
        <f>IFERROR(VLOOKUP(B145,'03. THIẾT BỊ'!$B$1:$S$836,2,0),"")</f>
        <v/>
      </c>
      <c r="D145" s="24" t="str">
        <f>IFERROR(VLOOKUP(B145,'03. THIẾT BỊ'!$B$1:$S$836,3,0),"")</f>
        <v/>
      </c>
      <c r="E145" s="20" t="str">
        <f>IFERROR(VLOOKUP(B145,'03. THIẾT BỊ'!$B$1:$S$836,4,0),"")</f>
        <v/>
      </c>
      <c r="F145" s="20" t="str">
        <f>IFERROR(VLOOKUP(B145,'03. THIẾT BỊ'!$B$1:$S$836,5,0),"")</f>
        <v/>
      </c>
      <c r="G145" s="101" t="s">
        <v>6468</v>
      </c>
      <c r="H145" s="19" t="str">
        <f>IFERROR(VLOOKUP(B145,'03. THIẾT BỊ'!$B$1:$S$836,7,0),"")</f>
        <v/>
      </c>
      <c r="I145" s="610" t="str">
        <f>IFERROR(VLOOKUP(B145,'03. THIẾT BỊ'!$B$1:$S$836,8,0),"")</f>
        <v/>
      </c>
      <c r="J145" s="25"/>
      <c r="K145" s="19" t="str">
        <f>IFERROR(VLOOKUP(B145,'03. THIẾT BỊ'!$B$1:$S$836,10,0),"")</f>
        <v/>
      </c>
      <c r="L145" s="25" t="str">
        <f>IFERROR(VLOOKUP(B145,'03. THIẾT BỊ'!$B$1:$S$836,11,0),"")</f>
        <v/>
      </c>
      <c r="M145" s="24" t="str">
        <f>IFERROR(VLOOKUP(B145,'03. THIẾT BỊ'!$B$1:$S$836,12,0),"")</f>
        <v/>
      </c>
      <c r="N145" s="25" t="str">
        <f>IFERROR(VLOOKUP(B145,'03. THIẾT BỊ'!$B$1:$S$836,13,0),"")</f>
        <v/>
      </c>
      <c r="O145" s="24" t="str">
        <f>IFERROR(VLOOKUP(B145,'03. THIẾT BỊ'!$B$1:$S$836,14,0),"")</f>
        <v/>
      </c>
      <c r="P145" s="25" t="str">
        <f>IFERROR(VLOOKUP(B145,'03. THIẾT BỊ'!$B$1:$S$836,15,0),"")</f>
        <v/>
      </c>
      <c r="Q145" s="23" t="str">
        <f>IFERROR(VLOOKUP(B145,'03. THIẾT BỊ'!$B$1:$S$836,16,0),"")</f>
        <v/>
      </c>
      <c r="R145" s="25" t="str">
        <f>IFERROR(VLOOKUP(B145,'03. THIẾT BỊ'!$B$1:$S$836,17,0),"")</f>
        <v/>
      </c>
      <c r="S145" s="25" t="str">
        <f>IFERROR(VLOOKUP(B145,'03. THIẾT BỊ'!$B$1:$S$836,18,0),"")</f>
        <v/>
      </c>
    </row>
    <row r="146" ht="13.8" hidden="1" spans="1:20">
      <c r="C146" s="613" t="str">
        <f>IFERROR(VLOOKUP(B146,'03. THIẾT BỊ'!$B$1:$S$836,2,0),"")</f>
        <v/>
      </c>
      <c r="D146" s="24" t="str">
        <f>IFERROR(VLOOKUP(B146,'03. THIẾT BỊ'!$B$1:$S$836,3,0),"")</f>
        <v/>
      </c>
      <c r="E146" s="20" t="str">
        <f>IFERROR(VLOOKUP(B146,'03. THIẾT BỊ'!$B$1:$S$836,4,0),"")</f>
        <v/>
      </c>
      <c r="F146" s="20" t="str">
        <f>IFERROR(VLOOKUP(B146,'03. THIẾT BỊ'!$B$1:$S$836,5,0),"")</f>
        <v/>
      </c>
      <c r="G146" s="101" t="s">
        <v>6468</v>
      </c>
      <c r="H146" s="19" t="str">
        <f>IFERROR(VLOOKUP(B146,'03. THIẾT BỊ'!$B$1:$S$836,7,0),"")</f>
        <v/>
      </c>
      <c r="I146" s="610" t="str">
        <f>IFERROR(VLOOKUP(B146,'03. THIẾT BỊ'!$B$1:$S$836,8,0),"")</f>
        <v/>
      </c>
      <c r="J146" s="25"/>
      <c r="K146" s="19" t="str">
        <f>IFERROR(VLOOKUP(B146,'03. THIẾT BỊ'!$B$1:$S$836,10,0),"")</f>
        <v/>
      </c>
      <c r="L146" s="25" t="str">
        <f>IFERROR(VLOOKUP(B146,'03. THIẾT BỊ'!$B$1:$S$836,11,0),"")</f>
        <v/>
      </c>
      <c r="M146" s="24" t="str">
        <f>IFERROR(VLOOKUP(B146,'03. THIẾT BỊ'!$B$1:$S$836,12,0),"")</f>
        <v/>
      </c>
      <c r="N146" s="25" t="str">
        <f>IFERROR(VLOOKUP(B146,'03. THIẾT BỊ'!$B$1:$S$836,13,0),"")</f>
        <v/>
      </c>
      <c r="O146" s="24" t="str">
        <f>IFERROR(VLOOKUP(B146,'03. THIẾT BỊ'!$B$1:$S$836,14,0),"")</f>
        <v/>
      </c>
      <c r="P146" s="25" t="str">
        <f>IFERROR(VLOOKUP(B146,'03. THIẾT BỊ'!$B$1:$S$836,15,0),"")</f>
        <v/>
      </c>
      <c r="Q146" s="23" t="str">
        <f>IFERROR(VLOOKUP(B146,'03. THIẾT BỊ'!$B$1:$S$836,16,0),"")</f>
        <v/>
      </c>
      <c r="R146" s="25" t="str">
        <f>IFERROR(VLOOKUP(B146,'03. THIẾT BỊ'!$B$1:$S$836,17,0),"")</f>
        <v/>
      </c>
      <c r="S146" s="25" t="str">
        <f>IFERROR(VLOOKUP(B146,'03. THIẾT BỊ'!$B$1:$S$836,18,0),"")</f>
        <v/>
      </c>
    </row>
    <row r="147" hidden="1" customHeight="1" spans="1:20">
      <c r="A147" s="23"/>
      <c r="B147" s="20"/>
      <c r="C147" s="613" t="str">
        <f>IFERROR(VLOOKUP(B147,'03. THIẾT BỊ'!$B$1:$S$836,2,0),"")</f>
        <v/>
      </c>
      <c r="D147" s="24" t="str">
        <f>IFERROR(VLOOKUP(B147,'03. THIẾT BỊ'!$B$1:$S$836,3,0),"")</f>
        <v/>
      </c>
      <c r="E147" s="20" t="str">
        <f>IFERROR(VLOOKUP(B147,'03. THIẾT BỊ'!$B$1:$S$836,4,0),"")</f>
        <v/>
      </c>
      <c r="F147" s="20" t="str">
        <f>IFERROR(VLOOKUP(B147,'03. THIẾT BỊ'!$B$1:$S$836,5,0),"")</f>
        <v/>
      </c>
      <c r="G147" s="101" t="s">
        <v>6468</v>
      </c>
      <c r="H147" s="19" t="str">
        <f>IFERROR(VLOOKUP(B147,'03. THIẾT BỊ'!$B$1:$S$836,7,0),"")</f>
        <v/>
      </c>
      <c r="I147" s="610" t="str">
        <f>IFERROR(VLOOKUP(B147,'03. THIẾT BỊ'!$B$1:$S$836,8,0),"")</f>
        <v/>
      </c>
      <c r="J147" s="25"/>
      <c r="K147" s="19" t="str">
        <f>IFERROR(VLOOKUP(B147,'03. THIẾT BỊ'!$B$1:$S$836,10,0),"")</f>
        <v/>
      </c>
      <c r="L147" s="25" t="str">
        <f>IFERROR(VLOOKUP(B147,'03. THIẾT BỊ'!$B$1:$S$836,11,0),"")</f>
        <v/>
      </c>
      <c r="M147" s="24" t="str">
        <f>IFERROR(VLOOKUP(B147,'03. THIẾT BỊ'!$B$1:$S$836,12,0),"")</f>
        <v/>
      </c>
      <c r="N147" s="25" t="str">
        <f>IFERROR(VLOOKUP(B147,'03. THIẾT BỊ'!$B$1:$S$836,13,0),"")</f>
        <v/>
      </c>
      <c r="O147" s="24" t="str">
        <f>IFERROR(VLOOKUP(B147,'03. THIẾT BỊ'!$B$1:$S$836,14,0),"")</f>
        <v/>
      </c>
      <c r="P147" s="25" t="str">
        <f>IFERROR(VLOOKUP(B147,'03. THIẾT BỊ'!$B$1:$S$836,15,0),"")</f>
        <v/>
      </c>
      <c r="Q147" s="23" t="str">
        <f>IFERROR(VLOOKUP(B147,'03. THIẾT BỊ'!$B$1:$S$836,16,0),"")</f>
        <v/>
      </c>
      <c r="R147" s="25" t="str">
        <f>IFERROR(VLOOKUP(B147,'03. THIẾT BỊ'!$B$1:$S$836,17,0),"")</f>
        <v/>
      </c>
      <c r="S147" s="25" t="str">
        <f>IFERROR(VLOOKUP(B147,'03. THIẾT BỊ'!$B$1:$S$836,18,0),"")</f>
        <v/>
      </c>
      <c r="T147" s="41"/>
    </row>
    <row r="148" customHeight="1" spans="1:20">
      <c r="A148" s="602" t="s">
        <v>3866</v>
      </c>
      <c r="B148" s="603" t="s">
        <v>6473</v>
      </c>
      <c r="C148" s="616">
        <f>SUM(C149,C163,C170,C182,C191,C199,C213,C223,C235,C256,C266,C275,C283,C302,C310,C314,C323,C333,C338,C366,C397,C411,C416,C437,C443,C451,C472,C517,C583,C644,C657,C676,C689,C718,C727,C741,C745,C753,C763,C772,C808)</f>
        <v>535</v>
      </c>
      <c r="D148" s="617" t="str">
        <f>IFERROR(VLOOKUP(B148,'03. THIẾT BỊ'!$B$1:$S$836,3,0),"")</f>
        <v/>
      </c>
      <c r="E148" s="20" t="str">
        <f>IFERROR(VLOOKUP(B148,'03. THIẾT BỊ'!$B$1:$S$836,4,0),"")</f>
        <v/>
      </c>
      <c r="F148" s="618" t="str">
        <f>IFERROR(VLOOKUP(B148,'03. THIẾT BỊ'!$B$1:$S$836,5,0),"")</f>
        <v/>
      </c>
      <c r="G148" s="619" t="s">
        <v>6468</v>
      </c>
      <c r="H148" s="620" t="str">
        <f>IFERROR(VLOOKUP(B148,'03. THIẾT BỊ'!$B$1:$S$836,7,0),"")</f>
        <v/>
      </c>
      <c r="I148" s="621" t="str">
        <f>IFERROR(VLOOKUP(B148,'03. THIẾT BỊ'!$B$1:$S$836,8,0),"")</f>
        <v/>
      </c>
      <c r="J148" s="618"/>
      <c r="K148" s="620" t="str">
        <f>IFERROR(VLOOKUP(B148,'03. THIẾT BỊ'!$B$1:$S$836,10,0),"")</f>
        <v/>
      </c>
      <c r="L148" s="618" t="str">
        <f>IFERROR(VLOOKUP(B148,'03. THIẾT BỊ'!$B$1:$S$836,11,0),"")</f>
        <v/>
      </c>
      <c r="M148" s="617" t="str">
        <f>IFERROR(VLOOKUP(B148,'03. THIẾT BỊ'!$B$1:$S$836,12,0),"")</f>
        <v/>
      </c>
      <c r="N148" s="618" t="str">
        <f>IFERROR(VLOOKUP(B148,'03. THIẾT BỊ'!$B$1:$S$836,13,0),"")</f>
        <v/>
      </c>
      <c r="O148" s="617" t="str">
        <f>IFERROR(VLOOKUP(B148,'03. THIẾT BỊ'!$B$1:$S$836,14,0),"")</f>
        <v/>
      </c>
      <c r="P148" s="618" t="str">
        <f>IFERROR(VLOOKUP(B148,'03. THIẾT BỊ'!$B$1:$S$836,15,0),"")</f>
        <v/>
      </c>
      <c r="Q148" s="620" t="str">
        <f>IFERROR(VLOOKUP(B148,'03. THIẾT BỊ'!$B$1:$S$836,16,0),"")</f>
        <v/>
      </c>
      <c r="R148" s="618" t="str">
        <f>IFERROR(VLOOKUP(B148,'03. THIẾT BỊ'!$B$1:$S$836,17,0),"")</f>
        <v/>
      </c>
      <c r="S148" s="618" t="str">
        <f>IFERROR(VLOOKUP(B148,'03. THIẾT BỊ'!$B$1:$S$836,18,0),"")</f>
        <v/>
      </c>
      <c r="T148" s="608"/>
    </row>
    <row r="149" customHeight="1" spans="1:20">
      <c r="A149" s="14" t="s">
        <v>290</v>
      </c>
      <c r="B149" s="15" t="s">
        <v>6474</v>
      </c>
      <c r="C149" s="14">
        <f>COUNTA(B150:B162)</f>
        <v>11</v>
      </c>
      <c r="D149" s="17" t="str">
        <f>IFERROR(VLOOKUP(B149,'03. THIẾT BỊ'!$B$1:$S$836,3,0),"")</f>
        <v/>
      </c>
      <c r="E149" s="20" t="str">
        <f>IFERROR(VLOOKUP(B149,'03. THIẾT BỊ'!$B$1:$S$836,4,0),"")</f>
        <v/>
      </c>
      <c r="F149" s="17" t="str">
        <f>IFERROR(VLOOKUP(B149,'03. THIẾT BỊ'!$B$1:$S$836,5,0),"")</f>
        <v/>
      </c>
      <c r="G149" s="18" t="s">
        <v>6468</v>
      </c>
      <c r="H149" s="18" t="str">
        <f>IFERROR(VLOOKUP(B149,'03. THIẾT BỊ'!$B$1:$S$836,7,0),"")</f>
        <v/>
      </c>
      <c r="I149" s="14" t="str">
        <f>IFERROR(VLOOKUP(B149,'03. THIẾT BỊ'!$B$1:$S$836,8,0),"")</f>
        <v/>
      </c>
      <c r="J149" s="15"/>
      <c r="K149" s="14" t="str">
        <f>IFERROR(VLOOKUP(B149,'03. THIẾT BỊ'!$B$1:$S$836,10,0),"")</f>
        <v/>
      </c>
      <c r="L149" s="17" t="str">
        <f>IFERROR(VLOOKUP(B149,'03. THIẾT BỊ'!$B$1:$S$836,11,0),"")</f>
        <v/>
      </c>
      <c r="M149" s="16" t="str">
        <f>IFERROR(VLOOKUP(B149,'03. THIẾT BỊ'!$B$1:$S$836,12,0),"")</f>
        <v/>
      </c>
      <c r="N149" s="17" t="str">
        <f>IFERROR(VLOOKUP(B149,'03. THIẾT BỊ'!$B$1:$S$836,13,0),"")</f>
        <v/>
      </c>
      <c r="O149" s="16" t="str">
        <f>IFERROR(VLOOKUP(B149,'03. THIẾT BỊ'!$B$1:$S$836,14,0),"")</f>
        <v/>
      </c>
      <c r="P149" s="17" t="str">
        <f>IFERROR(VLOOKUP(B149,'03. THIẾT BỊ'!$B$1:$S$836,15,0),"")</f>
        <v/>
      </c>
      <c r="Q149" s="18" t="str">
        <f>IFERROR(VLOOKUP(B149,'03. THIẾT BỊ'!$B$1:$S$836,16,0),"")</f>
        <v/>
      </c>
      <c r="R149" s="17" t="str">
        <f>IFERROR(VLOOKUP(B149,'03. THIẾT BỊ'!$B$1:$S$836,17,0),"")</f>
        <v/>
      </c>
      <c r="S149" s="17" t="str">
        <f>IFERROR(VLOOKUP(B149,'03. THIẾT BỊ'!$B$1:$S$836,18,0),"")</f>
        <v/>
      </c>
      <c r="T149" s="609"/>
    </row>
    <row r="150" customHeight="1" spans="1:20">
      <c r="A150" s="19">
        <v>1</v>
      </c>
      <c r="B150" s="20" t="s">
        <v>3872</v>
      </c>
      <c r="C150" s="613" t="str">
        <f>IFERROR(VLOOKUP(B150,'03. THIẾT BỊ'!$B$1:$S$836,2,0),"")</f>
        <v>C3C 10</v>
      </c>
      <c r="D150" s="24" t="str">
        <f>IFERROR(VLOOKUP(B150,'03. THIẾT BỊ'!$B$1:$S$836,3,0),"")</f>
        <v>A23-CCH-001</v>
      </c>
      <c r="E150" s="20" t="str">
        <f>IFERROR(VLOOKUP(B150,'03. THIẾT BỊ'!$B$1:$S$836,4,0),"")</f>
        <v>ĐQSD</v>
      </c>
      <c r="F150" s="20" t="str">
        <f>IFERROR(VLOOKUP(B150,'03. THIẾT BỊ'!$B$1:$S$836,5,0),"")</f>
        <v>Thiết bị cày 3 chảo</v>
      </c>
      <c r="G150" s="101" t="s">
        <v>6468</v>
      </c>
      <c r="H150" s="19" t="str">
        <f>IFERROR(VLOOKUP(B150,'03. THIẾT BỊ'!$B$1:$S$836,7,0),"")</f>
        <v>CGLĐ DP</v>
      </c>
      <c r="I150" s="610">
        <f>IFERROR(VLOOKUP(B150,'03. THIẾT BỊ'!$B$1:$S$836,8,0),"")</f>
        <v>0</v>
      </c>
      <c r="J150" s="25"/>
      <c r="K150" s="19" t="str">
        <f>IFERROR(VLOOKUP(B150,'03. THIẾT BỊ'!$B$1:$S$836,10,0),"")</f>
        <v>Bình thường</v>
      </c>
      <c r="L150" s="25">
        <f>IFERROR(VLOOKUP(B150,'03. THIẾT BỊ'!$B$1:$S$836,11,0),"")</f>
        <v>0</v>
      </c>
      <c r="M150" s="24">
        <f>IFERROR(VLOOKUP(B150,'03. THIẾT BỊ'!$B$1:$S$836,12,0),"")</f>
        <v>0</v>
      </c>
      <c r="N150" s="25" t="str">
        <f>IFERROR(VLOOKUP(B150,'03. THIẾT BỊ'!$B$1:$S$836,13,0),"")</f>
        <v>TRUNG QUỐC</v>
      </c>
      <c r="O150" s="24" t="str">
        <f>IFERROR(VLOOKUP(B150,'03. THIẾT BỊ'!$B$1:$S$836,14,0),"")</f>
        <v>3 chảo</v>
      </c>
      <c r="P150" s="25" t="str">
        <f>IFERROR(VLOOKUP(B150,'03. THIẾT BỊ'!$B$1:$S$836,15,0),"")</f>
        <v>TRUNG QUỐC</v>
      </c>
      <c r="Q150" s="23">
        <f>IFERROR(VLOOKUP(B150,'03. THIẾT BỊ'!$B$1:$S$836,16,0),"")</f>
        <v>0</v>
      </c>
      <c r="R150" s="25">
        <f>IFERROR(VLOOKUP(B150,'03. THIẾT BỊ'!$B$1:$S$836,17,0),"")</f>
        <v>0</v>
      </c>
      <c r="S150" s="25">
        <f>IFERROR(VLOOKUP(B150,'03. THIẾT BỊ'!$B$1:$S$836,18,0),"")</f>
        <v>0</v>
      </c>
      <c r="T150" s="41"/>
    </row>
    <row r="151" customHeight="1" spans="1:20">
      <c r="A151" s="19">
        <f t="shared" ref="A151:A160" si="3">A150+1</f>
        <v>2</v>
      </c>
      <c r="B151" s="20" t="s">
        <v>3876</v>
      </c>
      <c r="C151" s="613" t="str">
        <f>IFERROR(VLOOKUP(B151,'03. THIẾT BỊ'!$B$1:$S$836,2,0),"")</f>
        <v>C3C 11</v>
      </c>
      <c r="D151" s="24" t="str">
        <f>IFERROR(VLOOKUP(B151,'03. THIẾT BỊ'!$B$1:$S$836,3,0),"")</f>
        <v>A23-CCH-002</v>
      </c>
      <c r="E151" s="20" t="str">
        <f>IFERROR(VLOOKUP(B151,'03. THIẾT BỊ'!$B$1:$S$836,4,0),"")</f>
        <v>ĐQSD</v>
      </c>
      <c r="F151" s="20" t="str">
        <f>IFERROR(VLOOKUP(B151,'03. THIẾT BỊ'!$B$1:$S$836,5,0),"")</f>
        <v>Thiết bị cày 3 chảo</v>
      </c>
      <c r="G151" s="101" t="s">
        <v>6468</v>
      </c>
      <c r="H151" s="19" t="str">
        <f>IFERROR(VLOOKUP(B151,'03. THIẾT BỊ'!$B$1:$S$836,7,0),"")</f>
        <v>CGLĐ DP</v>
      </c>
      <c r="I151" s="610">
        <f>IFERROR(VLOOKUP(B151,'03. THIẾT BỊ'!$B$1:$S$836,8,0),"")</f>
        <v>0</v>
      </c>
      <c r="J151" s="25"/>
      <c r="K151" s="19" t="str">
        <f>IFERROR(VLOOKUP(B151,'03. THIẾT BỊ'!$B$1:$S$836,10,0),"")</f>
        <v>Bình thường</v>
      </c>
      <c r="L151" s="25">
        <f>IFERROR(VLOOKUP(B151,'03. THIẾT BỊ'!$B$1:$S$836,11,0),"")</f>
        <v>0</v>
      </c>
      <c r="M151" s="24">
        <f>IFERROR(VLOOKUP(B151,'03. THIẾT BỊ'!$B$1:$S$836,12,0),"")</f>
        <v>0</v>
      </c>
      <c r="N151" s="25" t="str">
        <f>IFERROR(VLOOKUP(B151,'03. THIẾT BỊ'!$B$1:$S$836,13,0),"")</f>
        <v>TRUNG QUỐC</v>
      </c>
      <c r="O151" s="24" t="str">
        <f>IFERROR(VLOOKUP(B151,'03. THIẾT BỊ'!$B$1:$S$836,14,0),"")</f>
        <v>3 chảo</v>
      </c>
      <c r="P151" s="25" t="str">
        <f>IFERROR(VLOOKUP(B151,'03. THIẾT BỊ'!$B$1:$S$836,15,0),"")</f>
        <v>TRUNG QUỐC</v>
      </c>
      <c r="Q151" s="23">
        <f>IFERROR(VLOOKUP(B151,'03. THIẾT BỊ'!$B$1:$S$836,16,0),"")</f>
        <v>0</v>
      </c>
      <c r="R151" s="25">
        <f>IFERROR(VLOOKUP(B151,'03. THIẾT BỊ'!$B$1:$S$836,17,0),"")</f>
        <v>0</v>
      </c>
      <c r="S151" s="25">
        <f>IFERROR(VLOOKUP(B151,'03. THIẾT BỊ'!$B$1:$S$836,18,0),"")</f>
        <v>0</v>
      </c>
      <c r="T151" s="41"/>
    </row>
    <row r="152" customHeight="1" spans="1:20">
      <c r="A152" s="19">
        <f t="shared" si="3"/>
        <v>3</v>
      </c>
      <c r="B152" s="20" t="s">
        <v>3879</v>
      </c>
      <c r="C152" s="613" t="str">
        <f>IFERROR(VLOOKUP(B152,'03. THIẾT BỊ'!$B$1:$S$836,2,0),"")</f>
        <v>C3C 12</v>
      </c>
      <c r="D152" s="24" t="str">
        <f>IFERROR(VLOOKUP(B152,'03. THIẾT BỊ'!$B$1:$S$836,3,0),"")</f>
        <v>A23-CCH-003</v>
      </c>
      <c r="E152" s="20" t="str">
        <f>IFERROR(VLOOKUP(B152,'03. THIẾT BỊ'!$B$1:$S$836,4,0),"")</f>
        <v>ĐQSD</v>
      </c>
      <c r="F152" s="20" t="str">
        <f>IFERROR(VLOOKUP(B152,'03. THIẾT BỊ'!$B$1:$S$836,5,0),"")</f>
        <v>Thiết bị cày 3 chảo</v>
      </c>
      <c r="G152" s="101" t="s">
        <v>6468</v>
      </c>
      <c r="H152" s="19" t="str">
        <f>IFERROR(VLOOKUP(B152,'03. THIẾT BỊ'!$B$1:$S$836,7,0),"")</f>
        <v>CGLĐ DP</v>
      </c>
      <c r="I152" s="610">
        <f>IFERROR(VLOOKUP(B152,'03. THIẾT BỊ'!$B$1:$S$836,8,0),"")</f>
        <v>0</v>
      </c>
      <c r="J152" s="25"/>
      <c r="K152" s="19" t="str">
        <f>IFERROR(VLOOKUP(B152,'03. THIẾT BỊ'!$B$1:$S$836,10,0),"")</f>
        <v>Bình thường</v>
      </c>
      <c r="L152" s="25">
        <f>IFERROR(VLOOKUP(B152,'03. THIẾT BỊ'!$B$1:$S$836,11,0),"")</f>
        <v>0</v>
      </c>
      <c r="M152" s="24">
        <f>IFERROR(VLOOKUP(B152,'03. THIẾT BỊ'!$B$1:$S$836,12,0),"")</f>
        <v>0</v>
      </c>
      <c r="N152" s="25" t="str">
        <f>IFERROR(VLOOKUP(B152,'03. THIẾT BỊ'!$B$1:$S$836,13,0),"")</f>
        <v>TRUNG QUỐC</v>
      </c>
      <c r="O152" s="24" t="str">
        <f>IFERROR(VLOOKUP(B152,'03. THIẾT BỊ'!$B$1:$S$836,14,0),"")</f>
        <v>3 chảo</v>
      </c>
      <c r="P152" s="25" t="str">
        <f>IFERROR(VLOOKUP(B152,'03. THIẾT BỊ'!$B$1:$S$836,15,0),"")</f>
        <v>TRUNG QUỐC</v>
      </c>
      <c r="Q152" s="23">
        <f>IFERROR(VLOOKUP(B152,'03. THIẾT BỊ'!$B$1:$S$836,16,0),"")</f>
        <v>0</v>
      </c>
      <c r="R152" s="25">
        <f>IFERROR(VLOOKUP(B152,'03. THIẾT BỊ'!$B$1:$S$836,17,0),"")</f>
        <v>0</v>
      </c>
      <c r="S152" s="25">
        <f>IFERROR(VLOOKUP(B152,'03. THIẾT BỊ'!$B$1:$S$836,18,0),"")</f>
        <v>0</v>
      </c>
      <c r="T152" s="41"/>
    </row>
    <row r="153" customHeight="1" spans="1:20">
      <c r="A153" s="19">
        <f t="shared" si="3"/>
        <v>4</v>
      </c>
      <c r="B153" s="20" t="s">
        <v>4070</v>
      </c>
      <c r="C153" s="613" t="str">
        <f>IFERROR(VLOOKUP(B153,'03. THIẾT BỊ'!$B$1:$S$836,2,0),"")</f>
        <v>CNN-CCH-010</v>
      </c>
      <c r="D153" s="24" t="str">
        <f>IFERROR(VLOOKUP(B153,'03. THIẾT BỊ'!$B$1:$S$836,3,0),"")</f>
        <v>A24-CCH-004</v>
      </c>
      <c r="E153" s="20" t="str">
        <f>IFERROR(VLOOKUP(B153,'03. THIẾT BỊ'!$B$1:$S$836,4,0),"")</f>
        <v>ĐQSD</v>
      </c>
      <c r="F153" s="20" t="str">
        <f>IFERROR(VLOOKUP(B153,'03. THIẾT BỊ'!$B$1:$S$836,5,0),"")</f>
        <v>Thiết Bị Cày 3 Chảo</v>
      </c>
      <c r="G153" s="101" t="s">
        <v>6468</v>
      </c>
      <c r="H153" s="19" t="str">
        <f>IFERROR(VLOOKUP(B153,'03. THIẾT BỊ'!$B$1:$S$836,7,0),"")</f>
        <v>CGLĐ LP</v>
      </c>
      <c r="I153" s="610">
        <f>IFERROR(VLOOKUP(B153,'03. THIẾT BỊ'!$B$1:$S$836,8,0),"")</f>
        <v>0</v>
      </c>
      <c r="J153" s="25"/>
      <c r="K153" s="19" t="str">
        <f>IFERROR(VLOOKUP(B153,'03. THIẾT BỊ'!$B$1:$S$836,10,0),"")</f>
        <v>Bình thường</v>
      </c>
      <c r="L153" s="25">
        <f>IFERROR(VLOOKUP(B153,'03. THIẾT BỊ'!$B$1:$S$836,11,0),"")</f>
        <v>0</v>
      </c>
      <c r="M153" s="24">
        <f>IFERROR(VLOOKUP(B153,'03. THIẾT BỊ'!$B$1:$S$836,12,0),"")</f>
        <v>0</v>
      </c>
      <c r="N153" s="25" t="str">
        <f>IFERROR(VLOOKUP(B153,'03. THIẾT BỊ'!$B$1:$S$836,13,0),"")</f>
        <v>CAMBODIA</v>
      </c>
      <c r="O153" s="24" t="str">
        <f>IFERROR(VLOOKUP(B153,'03. THIẾT BỊ'!$B$1:$S$836,14,0),"")</f>
        <v>3 chảo</v>
      </c>
      <c r="P153" s="25" t="str">
        <f>IFERROR(VLOOKUP(B153,'03. THIẾT BỊ'!$B$1:$S$836,15,0),"")</f>
        <v>CAMBODIA</v>
      </c>
      <c r="Q153" s="23">
        <f>IFERROR(VLOOKUP(B153,'03. THIẾT BỊ'!$B$1:$S$836,16,0),"")</f>
        <v>0</v>
      </c>
      <c r="R153" s="25">
        <f>IFERROR(VLOOKUP(B153,'03. THIẾT BỊ'!$B$1:$S$836,17,0),"")</f>
        <v>0</v>
      </c>
      <c r="S153" s="25">
        <f>IFERROR(VLOOKUP(B153,'03. THIẾT BỊ'!$B$1:$S$836,18,0),"")</f>
        <v>0</v>
      </c>
      <c r="T153" s="41"/>
    </row>
    <row r="154" customHeight="1" spans="1:20">
      <c r="A154" s="19">
        <f t="shared" si="3"/>
        <v>5</v>
      </c>
      <c r="B154" s="20" t="s">
        <v>4074</v>
      </c>
      <c r="C154" s="613" t="str">
        <f>IFERROR(VLOOKUP(B154,'03. THIẾT BỊ'!$B$1:$S$836,2,0),"")</f>
        <v>CNN-CCH-011</v>
      </c>
      <c r="D154" s="24" t="str">
        <f>IFERROR(VLOOKUP(B154,'03. THIẾT BỊ'!$B$1:$S$836,3,0),"")</f>
        <v>A24-CCH-005</v>
      </c>
      <c r="E154" s="20" t="str">
        <f>IFERROR(VLOOKUP(B154,'03. THIẾT BỊ'!$B$1:$S$836,4,0),"")</f>
        <v>ĐQSD</v>
      </c>
      <c r="F154" s="20" t="str">
        <f>IFERROR(VLOOKUP(B154,'03. THIẾT BỊ'!$B$1:$S$836,5,0),"")</f>
        <v>Thiết Bị Cày 3 Chảo</v>
      </c>
      <c r="G154" s="101" t="s">
        <v>6468</v>
      </c>
      <c r="H154" s="19" t="str">
        <f>IFERROR(VLOOKUP(B154,'03. THIẾT BỊ'!$B$1:$S$836,7,0),"")</f>
        <v>CGLĐ LP</v>
      </c>
      <c r="I154" s="610">
        <f>IFERROR(VLOOKUP(B154,'03. THIẾT BỊ'!$B$1:$S$836,8,0),"")</f>
        <v>0</v>
      </c>
      <c r="J154" s="25"/>
      <c r="K154" s="19" t="str">
        <f>IFERROR(VLOOKUP(B154,'03. THIẾT BỊ'!$B$1:$S$836,10,0),"")</f>
        <v>Bình thường</v>
      </c>
      <c r="L154" s="25">
        <f>IFERROR(VLOOKUP(B154,'03. THIẾT BỊ'!$B$1:$S$836,11,0),"")</f>
        <v>0</v>
      </c>
      <c r="M154" s="24">
        <f>IFERROR(VLOOKUP(B154,'03. THIẾT BỊ'!$B$1:$S$836,12,0),"")</f>
        <v>0</v>
      </c>
      <c r="N154" s="25" t="str">
        <f>IFERROR(VLOOKUP(B154,'03. THIẾT BỊ'!$B$1:$S$836,13,0),"")</f>
        <v>CAMBODIA</v>
      </c>
      <c r="O154" s="24" t="str">
        <f>IFERROR(VLOOKUP(B154,'03. THIẾT BỊ'!$B$1:$S$836,14,0),"")</f>
        <v>3 chảo</v>
      </c>
      <c r="P154" s="25" t="str">
        <f>IFERROR(VLOOKUP(B154,'03. THIẾT BỊ'!$B$1:$S$836,15,0),"")</f>
        <v>CAMBODIA</v>
      </c>
      <c r="Q154" s="23">
        <f>IFERROR(VLOOKUP(B154,'03. THIẾT BỊ'!$B$1:$S$836,16,0),"")</f>
        <v>0</v>
      </c>
      <c r="R154" s="25">
        <f>IFERROR(VLOOKUP(B154,'03. THIẾT BỊ'!$B$1:$S$836,17,0),"")</f>
        <v>0</v>
      </c>
      <c r="S154" s="25">
        <f>IFERROR(VLOOKUP(B154,'03. THIẾT BỊ'!$B$1:$S$836,18,0),"")</f>
        <v>0</v>
      </c>
      <c r="T154" s="41"/>
    </row>
    <row r="155" customHeight="1" spans="1:20">
      <c r="A155" s="19">
        <f t="shared" si="3"/>
        <v>6</v>
      </c>
      <c r="B155" s="20" t="s">
        <v>4077</v>
      </c>
      <c r="C155" s="613" t="str">
        <f>IFERROR(VLOOKUP(B155,'03. THIẾT BỊ'!$B$1:$S$836,2,0),"")</f>
        <v>CNN-CCH-012</v>
      </c>
      <c r="D155" s="24" t="str">
        <f>IFERROR(VLOOKUP(B155,'03. THIẾT BỊ'!$B$1:$S$836,3,0),"")</f>
        <v>A24-CCH-006</v>
      </c>
      <c r="E155" s="20" t="str">
        <f>IFERROR(VLOOKUP(B155,'03. THIẾT BỊ'!$B$1:$S$836,4,0),"")</f>
        <v>ĐQSD</v>
      </c>
      <c r="F155" s="20" t="str">
        <f>IFERROR(VLOOKUP(B155,'03. THIẾT BỊ'!$B$1:$S$836,5,0),"")</f>
        <v>Thiết Bị Cày 3 Chảo</v>
      </c>
      <c r="G155" s="101" t="s">
        <v>6468</v>
      </c>
      <c r="H155" s="19" t="str">
        <f>IFERROR(VLOOKUP(B155,'03. THIẾT BỊ'!$B$1:$S$836,7,0),"")</f>
        <v>CGLĐ LP</v>
      </c>
      <c r="I155" s="610">
        <f>IFERROR(VLOOKUP(B155,'03. THIẾT BỊ'!$B$1:$S$836,8,0),"")</f>
        <v>0</v>
      </c>
      <c r="J155" s="25"/>
      <c r="K155" s="19" t="str">
        <f>IFERROR(VLOOKUP(B155,'03. THIẾT BỊ'!$B$1:$S$836,10,0),"")</f>
        <v>Bình thường</v>
      </c>
      <c r="L155" s="25">
        <f>IFERROR(VLOOKUP(B155,'03. THIẾT BỊ'!$B$1:$S$836,11,0),"")</f>
        <v>0</v>
      </c>
      <c r="M155" s="24">
        <f>IFERROR(VLOOKUP(B155,'03. THIẾT BỊ'!$B$1:$S$836,12,0),"")</f>
        <v>0</v>
      </c>
      <c r="N155" s="25" t="str">
        <f>IFERROR(VLOOKUP(B155,'03. THIẾT BỊ'!$B$1:$S$836,13,0),"")</f>
        <v>CAMBODIA</v>
      </c>
      <c r="O155" s="24" t="str">
        <f>IFERROR(VLOOKUP(B155,'03. THIẾT BỊ'!$B$1:$S$836,14,0),"")</f>
        <v>3 chảo</v>
      </c>
      <c r="P155" s="25" t="str">
        <f>IFERROR(VLOOKUP(B155,'03. THIẾT BỊ'!$B$1:$S$836,15,0),"")</f>
        <v>CAMBODIA</v>
      </c>
      <c r="Q155" s="23">
        <f>IFERROR(VLOOKUP(B155,'03. THIẾT BỊ'!$B$1:$S$836,16,0),"")</f>
        <v>0</v>
      </c>
      <c r="R155" s="25">
        <f>IFERROR(VLOOKUP(B155,'03. THIẾT BỊ'!$B$1:$S$836,17,0),"")</f>
        <v>0</v>
      </c>
      <c r="S155" s="25">
        <f>IFERROR(VLOOKUP(B155,'03. THIẾT BỊ'!$B$1:$S$836,18,0),"")</f>
        <v>0</v>
      </c>
      <c r="T155" s="41"/>
    </row>
    <row r="156" customHeight="1" spans="1:20">
      <c r="A156" s="19">
        <f t="shared" si="3"/>
        <v>7</v>
      </c>
      <c r="B156" s="20" t="s">
        <v>4170</v>
      </c>
      <c r="C156" s="613" t="str">
        <f>IFERROR(VLOOKUP(B156,'03. THIẾT BỊ'!$B$1:$S$836,2,0),"")</f>
        <v>CNN-CCH-004</v>
      </c>
      <c r="D156" s="24" t="str">
        <f>IFERROR(VLOOKUP(B156,'03. THIẾT BỊ'!$B$1:$S$836,3,0),"")</f>
        <v>A22-CCH-007</v>
      </c>
      <c r="E156" s="20" t="str">
        <f>IFERROR(VLOOKUP(B156,'03. THIẾT BỊ'!$B$1:$S$836,4,0),"")</f>
        <v>ĐQSD</v>
      </c>
      <c r="F156" s="20" t="str">
        <f>IFERROR(VLOOKUP(B156,'03. THIẾT BỊ'!$B$1:$S$836,5,0),"")</f>
        <v>Thiết Bị Cày 3 Chảo</v>
      </c>
      <c r="G156" s="101" t="s">
        <v>6468</v>
      </c>
      <c r="H156" s="19" t="str">
        <f>IFERROR(VLOOKUP(B156,'03. THIẾT BỊ'!$B$1:$S$836,7,0),"")</f>
        <v>XN Bò AD</v>
      </c>
      <c r="I156" s="610">
        <f>IFERROR(VLOOKUP(B156,'03. THIẾT BỊ'!$B$1:$S$836,8,0),"")</f>
        <v>0</v>
      </c>
      <c r="J156" s="25"/>
      <c r="K156" s="19" t="str">
        <f>IFERROR(VLOOKUP(B156,'03. THIẾT BỊ'!$B$1:$S$836,10,0),"")</f>
        <v>Bình thường</v>
      </c>
      <c r="L156" s="25">
        <f>IFERROR(VLOOKUP(B156,'03. THIẾT BỊ'!$B$1:$S$836,11,0),"")</f>
        <v>0</v>
      </c>
      <c r="M156" s="24">
        <f>IFERROR(VLOOKUP(B156,'03. THIẾT BỊ'!$B$1:$S$836,12,0),"")</f>
        <v>0</v>
      </c>
      <c r="N156" s="25" t="str">
        <f>IFERROR(VLOOKUP(B156,'03. THIẾT BỊ'!$B$1:$S$836,13,0),"")</f>
        <v>CAMBODIA</v>
      </c>
      <c r="O156" s="24" t="str">
        <f>IFERROR(VLOOKUP(B156,'03. THIẾT BỊ'!$B$1:$S$836,14,0),"")</f>
        <v>3 chảo</v>
      </c>
      <c r="P156" s="25" t="str">
        <f>IFERROR(VLOOKUP(B156,'03. THIẾT BỊ'!$B$1:$S$836,15,0),"")</f>
        <v>CAMBODIA</v>
      </c>
      <c r="Q156" s="23">
        <f>IFERROR(VLOOKUP(B156,'03. THIẾT BỊ'!$B$1:$S$836,16,0),"")</f>
        <v>0</v>
      </c>
      <c r="R156" s="25">
        <f>IFERROR(VLOOKUP(B156,'03. THIẾT BỊ'!$B$1:$S$836,17,0),"")</f>
        <v>0</v>
      </c>
      <c r="S156" s="25">
        <f>IFERROR(VLOOKUP(B156,'03. THIẾT BỊ'!$B$1:$S$836,18,0),"")</f>
        <v>0</v>
      </c>
      <c r="T156" s="41"/>
    </row>
    <row r="157" customHeight="1" spans="1:20">
      <c r="A157" s="19">
        <f t="shared" si="3"/>
        <v>8</v>
      </c>
      <c r="B157" s="20" t="s">
        <v>4172</v>
      </c>
      <c r="C157" s="613" t="str">
        <f>IFERROR(VLOOKUP(B157,'03. THIẾT BỊ'!$B$1:$S$836,2,0),"")</f>
        <v>CNN-CCH-005</v>
      </c>
      <c r="D157" s="24" t="str">
        <f>IFERROR(VLOOKUP(B157,'03. THIẾT BỊ'!$B$1:$S$836,3,0),"")</f>
        <v>A22-CCH-008</v>
      </c>
      <c r="E157" s="20" t="str">
        <f>IFERROR(VLOOKUP(B157,'03. THIẾT BỊ'!$B$1:$S$836,4,0),"")</f>
        <v>ĐQSD</v>
      </c>
      <c r="F157" s="20" t="str">
        <f>IFERROR(VLOOKUP(B157,'03. THIẾT BỊ'!$B$1:$S$836,5,0),"")</f>
        <v>Thiết Bị Cày 3 Chảo</v>
      </c>
      <c r="G157" s="101" t="s">
        <v>6468</v>
      </c>
      <c r="H157" s="19" t="str">
        <f>IFERROR(VLOOKUP(B157,'03. THIẾT BỊ'!$B$1:$S$836,7,0),"")</f>
        <v>XN Bò AD</v>
      </c>
      <c r="I157" s="610">
        <f>IFERROR(VLOOKUP(B157,'03. THIẾT BỊ'!$B$1:$S$836,8,0),"")</f>
        <v>0</v>
      </c>
      <c r="J157" s="25"/>
      <c r="K157" s="19" t="str">
        <f>IFERROR(VLOOKUP(B157,'03. THIẾT BỊ'!$B$1:$S$836,10,0),"")</f>
        <v>Bình thường</v>
      </c>
      <c r="L157" s="25">
        <f>IFERROR(VLOOKUP(B157,'03. THIẾT BỊ'!$B$1:$S$836,11,0),"")</f>
        <v>0</v>
      </c>
      <c r="M157" s="24">
        <f>IFERROR(VLOOKUP(B157,'03. THIẾT BỊ'!$B$1:$S$836,12,0),"")</f>
        <v>0</v>
      </c>
      <c r="N157" s="25" t="str">
        <f>IFERROR(VLOOKUP(B157,'03. THIẾT BỊ'!$B$1:$S$836,13,0),"")</f>
        <v>CAMBODIA</v>
      </c>
      <c r="O157" s="24" t="str">
        <f>IFERROR(VLOOKUP(B157,'03. THIẾT BỊ'!$B$1:$S$836,14,0),"")</f>
        <v>3 chảo</v>
      </c>
      <c r="P157" s="25" t="str">
        <f>IFERROR(VLOOKUP(B157,'03. THIẾT BỊ'!$B$1:$S$836,15,0),"")</f>
        <v>CAMBODIA</v>
      </c>
      <c r="Q157" s="23">
        <f>IFERROR(VLOOKUP(B157,'03. THIẾT BỊ'!$B$1:$S$836,16,0),"")</f>
        <v>0</v>
      </c>
      <c r="R157" s="25">
        <f>IFERROR(VLOOKUP(B157,'03. THIẾT BỊ'!$B$1:$S$836,17,0),"")</f>
        <v>0</v>
      </c>
      <c r="S157" s="25">
        <f>IFERROR(VLOOKUP(B157,'03. THIẾT BỊ'!$B$1:$S$836,18,0),"")</f>
        <v>0</v>
      </c>
      <c r="T157" s="41"/>
    </row>
    <row r="158" customHeight="1" spans="1:20">
      <c r="A158" s="19">
        <f t="shared" si="3"/>
        <v>9</v>
      </c>
      <c r="B158" s="20" t="s">
        <v>4174</v>
      </c>
      <c r="C158" s="613" t="str">
        <f>IFERROR(VLOOKUP(B158,'03. THIẾT BỊ'!$B$1:$S$836,2,0),"")</f>
        <v>CNN-CCH-006</v>
      </c>
      <c r="D158" s="24" t="str">
        <f>IFERROR(VLOOKUP(B158,'03. THIẾT BỊ'!$B$1:$S$836,3,0),"")</f>
        <v>A22-CCH-009</v>
      </c>
      <c r="E158" s="20" t="str">
        <f>IFERROR(VLOOKUP(B158,'03. THIẾT BỊ'!$B$1:$S$836,4,0),"")</f>
        <v>ĐQSD</v>
      </c>
      <c r="F158" s="20" t="str">
        <f>IFERROR(VLOOKUP(B158,'03. THIẾT BỊ'!$B$1:$S$836,5,0),"")</f>
        <v>Thiết Bị Cày 3 Chảo</v>
      </c>
      <c r="G158" s="101" t="s">
        <v>6468</v>
      </c>
      <c r="H158" s="19" t="str">
        <f>IFERROR(VLOOKUP(B158,'03. THIẾT BỊ'!$B$1:$S$836,7,0),"")</f>
        <v>XN Bò AD</v>
      </c>
      <c r="I158" s="610">
        <f>IFERROR(VLOOKUP(B158,'03. THIẾT BỊ'!$B$1:$S$836,8,0),"")</f>
        <v>0</v>
      </c>
      <c r="J158" s="25"/>
      <c r="K158" s="19" t="str">
        <f>IFERROR(VLOOKUP(B158,'03. THIẾT BỊ'!$B$1:$S$836,10,0),"")</f>
        <v>Bình thường</v>
      </c>
      <c r="L158" s="25" t="str">
        <f>IFERROR(VLOOKUP(B158,'03. THIẾT BỊ'!$B$1:$S$836,11,0),"")</f>
        <v>XNB sử dụng</v>
      </c>
      <c r="M158" s="24">
        <f>IFERROR(VLOOKUP(B158,'03. THIẾT BỊ'!$B$1:$S$836,12,0),"")</f>
        <v>0</v>
      </c>
      <c r="N158" s="25" t="str">
        <f>IFERROR(VLOOKUP(B158,'03. THIẾT BỊ'!$B$1:$S$836,13,0),"")</f>
        <v>CAMBODIA</v>
      </c>
      <c r="O158" s="24" t="str">
        <f>IFERROR(VLOOKUP(B158,'03. THIẾT BỊ'!$B$1:$S$836,14,0),"")</f>
        <v>3 chảo</v>
      </c>
      <c r="P158" s="25" t="str">
        <f>IFERROR(VLOOKUP(B158,'03. THIẾT BỊ'!$B$1:$S$836,15,0),"")</f>
        <v>CAMBODIA</v>
      </c>
      <c r="Q158" s="23">
        <f>IFERROR(VLOOKUP(B158,'03. THIẾT BỊ'!$B$1:$S$836,16,0),"")</f>
        <v>0</v>
      </c>
      <c r="R158" s="25">
        <f>IFERROR(VLOOKUP(B158,'03. THIẾT BỊ'!$B$1:$S$836,17,0),"")</f>
        <v>0</v>
      </c>
      <c r="S158" s="25">
        <f>IFERROR(VLOOKUP(B158,'03. THIẾT BỊ'!$B$1:$S$836,18,0),"")</f>
        <v>0</v>
      </c>
      <c r="T158" s="41"/>
    </row>
    <row r="159" customHeight="1" spans="1:20">
      <c r="A159" s="19">
        <f t="shared" si="3"/>
        <v>10</v>
      </c>
      <c r="B159" s="20" t="s">
        <v>4071</v>
      </c>
      <c r="C159" s="613" t="str">
        <f>IFERROR(VLOOKUP(B159,'03. THIẾT BỊ'!$B$1:$S$836,2,0),"")</f>
        <v>CNN-CCH-007</v>
      </c>
      <c r="D159" s="24" t="str">
        <f>IFERROR(VLOOKUP(B159,'03. THIẾT BỊ'!$B$1:$S$836,3,0),"")</f>
        <v>A22-CCH-010</v>
      </c>
      <c r="E159" s="20" t="str">
        <f>IFERROR(VLOOKUP(B159,'03. THIẾT BỊ'!$B$1:$S$836,4,0),"")</f>
        <v>ĐQSD</v>
      </c>
      <c r="F159" s="20" t="str">
        <f>IFERROR(VLOOKUP(B159,'03. THIẾT BỊ'!$B$1:$S$836,5,0),"")</f>
        <v>Thiết Bị Cày 3 Chảo</v>
      </c>
      <c r="G159" s="101" t="s">
        <v>6468</v>
      </c>
      <c r="H159" s="19" t="str">
        <f>IFERROR(VLOOKUP(B159,'03. THIẾT BỊ'!$B$1:$S$836,7,0),"")</f>
        <v>XN Bò AD</v>
      </c>
      <c r="I159" s="610">
        <f>IFERROR(VLOOKUP(B159,'03. THIẾT BỊ'!$B$1:$S$836,8,0),"")</f>
        <v>0</v>
      </c>
      <c r="J159" s="25"/>
      <c r="K159" s="19" t="str">
        <f>IFERROR(VLOOKUP(B159,'03. THIẾT BỊ'!$B$1:$S$836,10,0),"")</f>
        <v>Bình thường</v>
      </c>
      <c r="L159" s="25">
        <f>IFERROR(VLOOKUP(B159,'03. THIẾT BỊ'!$B$1:$S$836,11,0),"")</f>
        <v>0</v>
      </c>
      <c r="M159" s="24">
        <f>IFERROR(VLOOKUP(B159,'03. THIẾT BỊ'!$B$1:$S$836,12,0),"")</f>
        <v>0</v>
      </c>
      <c r="N159" s="25" t="str">
        <f>IFERROR(VLOOKUP(B159,'03. THIẾT BỊ'!$B$1:$S$836,13,0),"")</f>
        <v>CAMBODIA</v>
      </c>
      <c r="O159" s="24" t="str">
        <f>IFERROR(VLOOKUP(B159,'03. THIẾT BỊ'!$B$1:$S$836,14,0),"")</f>
        <v>3 chảo</v>
      </c>
      <c r="P159" s="25" t="str">
        <f>IFERROR(VLOOKUP(B159,'03. THIẾT BỊ'!$B$1:$S$836,15,0),"")</f>
        <v>CAMBODIA</v>
      </c>
      <c r="Q159" s="23">
        <f>IFERROR(VLOOKUP(B159,'03. THIẾT BỊ'!$B$1:$S$836,16,0),"")</f>
        <v>0</v>
      </c>
      <c r="R159" s="25">
        <f>IFERROR(VLOOKUP(B159,'03. THIẾT BỊ'!$B$1:$S$836,17,0),"")</f>
        <v>0</v>
      </c>
      <c r="S159" s="25">
        <f>IFERROR(VLOOKUP(B159,'03. THIẾT BỊ'!$B$1:$S$836,18,0),"")</f>
        <v>0</v>
      </c>
      <c r="T159" s="41"/>
    </row>
    <row r="160" customHeight="1" spans="1:20">
      <c r="A160" s="19">
        <f t="shared" si="3"/>
        <v>11</v>
      </c>
      <c r="B160" s="20" t="s">
        <v>5189</v>
      </c>
      <c r="C160" s="613" t="str">
        <f>IFERROR(VLOOKUP(B160,'03. THIẾT BỊ'!$B$1:$S$836,2,0),"")</f>
        <v>CNN-CCH-011</v>
      </c>
      <c r="D160" s="24" t="str">
        <f>IFERROR(VLOOKUP(B160,'03. THIẾT BỊ'!$B$1:$S$836,3,0),"")</f>
        <v>A22-CCH-011</v>
      </c>
      <c r="E160" s="20" t="str">
        <f>IFERROR(VLOOKUP(B160,'03. THIẾT BỊ'!$B$1:$S$836,4,0),"")</f>
        <v>ĐQSD</v>
      </c>
      <c r="F160" s="20" t="str">
        <f>IFERROR(VLOOKUP(B160,'03. THIẾT BỊ'!$B$1:$S$836,5,0),"")</f>
        <v>Thiết Bị Cày 3 Chảo</v>
      </c>
      <c r="G160" s="101" t="s">
        <v>6468</v>
      </c>
      <c r="H160" s="19" t="str">
        <f>IFERROR(VLOOKUP(B160,'03. THIẾT BỊ'!$B$1:$S$836,7,0),"")</f>
        <v>Xoài AD</v>
      </c>
      <c r="I160" s="610" t="str">
        <f>IFERROR(VLOOKUP(B160,'03. THIẾT BỊ'!$B$1:$S$836,8,0),"")</f>
        <v>22/12/2025</v>
      </c>
      <c r="J160" s="25"/>
      <c r="K160" s="19" t="str">
        <f>IFERROR(VLOOKUP(B160,'03. THIẾT BỊ'!$B$1:$S$836,10,0),"")</f>
        <v>Bình thường</v>
      </c>
      <c r="L160" s="25" t="str">
        <f>IFERROR(VLOOKUP(B160,'03. THIẾT BỊ'!$B$1:$S$836,11,0),"")</f>
        <v>CGLĐ DP Đchuyen ngày 22/12/2025</v>
      </c>
      <c r="M160" s="24">
        <f>IFERROR(VLOOKUP(B160,'03. THIẾT BỊ'!$B$1:$S$836,12,0),"")</f>
        <v>0</v>
      </c>
      <c r="N160" s="25" t="str">
        <f>IFERROR(VLOOKUP(B160,'03. THIẾT BỊ'!$B$1:$S$836,13,0),"")</f>
        <v>CAMBODIA</v>
      </c>
      <c r="O160" s="24" t="str">
        <f>IFERROR(VLOOKUP(B160,'03. THIẾT BỊ'!$B$1:$S$836,14,0),"")</f>
        <v>3 chảo</v>
      </c>
      <c r="P160" s="25" t="str">
        <f>IFERROR(VLOOKUP(B160,'03. THIẾT BỊ'!$B$1:$S$836,15,0),"")</f>
        <v>CAMBODIA</v>
      </c>
      <c r="Q160" s="23">
        <f>IFERROR(VLOOKUP(B160,'03. THIẾT BỊ'!$B$1:$S$836,16,0),"")</f>
        <v>0</v>
      </c>
      <c r="R160" s="25">
        <f>IFERROR(VLOOKUP(B160,'03. THIẾT BỊ'!$B$1:$S$836,17,0),"")</f>
        <v>0</v>
      </c>
      <c r="S160" s="25">
        <f>IFERROR(VLOOKUP(B160,'03. THIẾT BỊ'!$B$1:$S$836,18,0),"")</f>
        <v>0</v>
      </c>
      <c r="T160" s="41"/>
    </row>
    <row r="161" customHeight="1" spans="1:20">
      <c r="A161" s="19"/>
      <c r="B161" s="20"/>
      <c r="C161" s="613" t="str">
        <f>IFERROR(VLOOKUP(B161,'03. THIẾT BỊ'!$B$1:$S$836,2,0),"")</f>
        <v/>
      </c>
      <c r="D161" s="24" t="str">
        <f>IFERROR(VLOOKUP(B161,'03. THIẾT BỊ'!$B$1:$S$836,3,0),"")</f>
        <v/>
      </c>
      <c r="E161" s="20" t="str">
        <f>IFERROR(VLOOKUP(B161,'03. THIẾT BỊ'!$B$1:$S$836,4,0),"")</f>
        <v/>
      </c>
      <c r="F161" s="20" t="str">
        <f>IFERROR(VLOOKUP(B161,'03. THIẾT BỊ'!$B$1:$S$836,5,0),"")</f>
        <v/>
      </c>
      <c r="G161" s="101" t="s">
        <v>6468</v>
      </c>
      <c r="H161" s="19" t="str">
        <f>IFERROR(VLOOKUP(B161,'03. THIẾT BỊ'!$B$1:$S$836,7,0),"")</f>
        <v/>
      </c>
      <c r="I161" s="610" t="str">
        <f>IFERROR(VLOOKUP(B161,'03. THIẾT BỊ'!$B$1:$S$836,8,0),"")</f>
        <v/>
      </c>
      <c r="J161" s="25"/>
      <c r="K161" s="19" t="str">
        <f>IFERROR(VLOOKUP(B161,'03. THIẾT BỊ'!$B$1:$S$836,10,0),"")</f>
        <v/>
      </c>
      <c r="L161" s="25" t="str">
        <f>IFERROR(VLOOKUP(B161,'03. THIẾT BỊ'!$B$1:$S$836,11,0),"")</f>
        <v/>
      </c>
      <c r="M161" s="24" t="str">
        <f>IFERROR(VLOOKUP(B161,'03. THIẾT BỊ'!$B$1:$S$836,12,0),"")</f>
        <v/>
      </c>
      <c r="N161" s="25" t="str">
        <f>IFERROR(VLOOKUP(B161,'03. THIẾT BỊ'!$B$1:$S$836,13,0),"")</f>
        <v/>
      </c>
      <c r="O161" s="24" t="str">
        <f>IFERROR(VLOOKUP(B161,'03. THIẾT BỊ'!$B$1:$S$836,14,0),"")</f>
        <v/>
      </c>
      <c r="P161" s="25" t="str">
        <f>IFERROR(VLOOKUP(B161,'03. THIẾT BỊ'!$B$1:$S$836,15,0),"")</f>
        <v/>
      </c>
      <c r="Q161" s="23" t="str">
        <f>IFERROR(VLOOKUP(B161,'03. THIẾT BỊ'!$B$1:$S$836,16,0),"")</f>
        <v/>
      </c>
      <c r="R161" s="25" t="str">
        <f>IFERROR(VLOOKUP(B161,'03. THIẾT BỊ'!$B$1:$S$836,17,0),"")</f>
        <v/>
      </c>
      <c r="S161" s="25" t="str">
        <f>IFERROR(VLOOKUP(B161,'03. THIẾT BỊ'!$B$1:$S$836,18,0),"")</f>
        <v/>
      </c>
      <c r="T161" s="41"/>
    </row>
    <row r="162" customHeight="1" spans="1:20">
      <c r="A162" s="19"/>
      <c r="B162" s="20"/>
      <c r="C162" s="613" t="str">
        <f>IFERROR(VLOOKUP(B162,'03. THIẾT BỊ'!$B$1:$S$836,2,0),"")</f>
        <v/>
      </c>
      <c r="D162" s="24" t="str">
        <f>IFERROR(VLOOKUP(B162,'03. THIẾT BỊ'!$B$1:$S$836,3,0),"")</f>
        <v/>
      </c>
      <c r="E162" s="20" t="str">
        <f>IFERROR(VLOOKUP(B162,'03. THIẾT BỊ'!$B$1:$S$836,4,0),"")</f>
        <v/>
      </c>
      <c r="F162" s="20" t="str">
        <f>IFERROR(VLOOKUP(B162,'03. THIẾT BỊ'!$B$1:$S$836,5,0),"")</f>
        <v/>
      </c>
      <c r="G162" s="101" t="s">
        <v>6468</v>
      </c>
      <c r="H162" s="19" t="str">
        <f>IFERROR(VLOOKUP(B162,'03. THIẾT BỊ'!$B$1:$S$836,7,0),"")</f>
        <v/>
      </c>
      <c r="I162" s="610" t="str">
        <f>IFERROR(VLOOKUP(B162,'03. THIẾT BỊ'!$B$1:$S$836,8,0),"")</f>
        <v/>
      </c>
      <c r="J162" s="25"/>
      <c r="K162" s="19" t="str">
        <f>IFERROR(VLOOKUP(B162,'03. THIẾT BỊ'!$B$1:$S$836,10,0),"")</f>
        <v/>
      </c>
      <c r="L162" s="25" t="str">
        <f>IFERROR(VLOOKUP(B162,'03. THIẾT BỊ'!$B$1:$S$836,11,0),"")</f>
        <v/>
      </c>
      <c r="M162" s="24" t="str">
        <f>IFERROR(VLOOKUP(B162,'03. THIẾT BỊ'!$B$1:$S$836,12,0),"")</f>
        <v/>
      </c>
      <c r="N162" s="25" t="str">
        <f>IFERROR(VLOOKUP(B162,'03. THIẾT BỊ'!$B$1:$S$836,13,0),"")</f>
        <v/>
      </c>
      <c r="O162" s="24" t="str">
        <f>IFERROR(VLOOKUP(B162,'03. THIẾT BỊ'!$B$1:$S$836,14,0),"")</f>
        <v/>
      </c>
      <c r="P162" s="25" t="str">
        <f>IFERROR(VLOOKUP(B162,'03. THIẾT BỊ'!$B$1:$S$836,15,0),"")</f>
        <v/>
      </c>
      <c r="Q162" s="23" t="str">
        <f>IFERROR(VLOOKUP(B162,'03. THIẾT BỊ'!$B$1:$S$836,16,0),"")</f>
        <v/>
      </c>
      <c r="R162" s="25" t="str">
        <f>IFERROR(VLOOKUP(B162,'03. THIẾT BỊ'!$B$1:$S$836,17,0),"")</f>
        <v/>
      </c>
      <c r="S162" s="25" t="str">
        <f>IFERROR(VLOOKUP(B162,'03. THIẾT BỊ'!$B$1:$S$836,18,0),"")</f>
        <v/>
      </c>
      <c r="T162" s="41"/>
    </row>
    <row r="163" customHeight="1" spans="1:20">
      <c r="A163" s="14" t="s">
        <v>290</v>
      </c>
      <c r="B163" s="15" t="s">
        <v>6475</v>
      </c>
      <c r="C163" s="14">
        <f>COUNTA(B164:B167)</f>
        <v>3</v>
      </c>
      <c r="D163" s="17" t="str">
        <f>IFERROR(VLOOKUP(B163,'03. THIẾT BỊ'!$B$1:$S$836,3,0),"")</f>
        <v/>
      </c>
      <c r="E163" s="20" t="str">
        <f>IFERROR(VLOOKUP(B163,'03. THIẾT BỊ'!$B$1:$S$836,4,0),"")</f>
        <v/>
      </c>
      <c r="F163" s="17" t="str">
        <f>IFERROR(VLOOKUP(B163,'03. THIẾT BỊ'!$B$1:$S$836,5,0),"")</f>
        <v/>
      </c>
      <c r="G163" s="18" t="s">
        <v>6468</v>
      </c>
      <c r="H163" s="18" t="str">
        <f>IFERROR(VLOOKUP(B163,'03. THIẾT BỊ'!$B$1:$S$836,7,0),"")</f>
        <v/>
      </c>
      <c r="I163" s="14" t="str">
        <f>IFERROR(VLOOKUP(B163,'03. THIẾT BỊ'!$B$1:$S$836,8,0),"")</f>
        <v/>
      </c>
      <c r="J163" s="15"/>
      <c r="K163" s="14" t="str">
        <f>IFERROR(VLOOKUP(B163,'03. THIẾT BỊ'!$B$1:$S$836,10,0),"")</f>
        <v/>
      </c>
      <c r="L163" s="17" t="str">
        <f>IFERROR(VLOOKUP(B163,'03. THIẾT BỊ'!$B$1:$S$836,11,0),"")</f>
        <v/>
      </c>
      <c r="M163" s="16" t="str">
        <f>IFERROR(VLOOKUP(B163,'03. THIẾT BỊ'!$B$1:$S$836,12,0),"")</f>
        <v/>
      </c>
      <c r="N163" s="17" t="str">
        <f>IFERROR(VLOOKUP(B163,'03. THIẾT BỊ'!$B$1:$S$836,13,0),"")</f>
        <v/>
      </c>
      <c r="O163" s="16" t="str">
        <f>IFERROR(VLOOKUP(B163,'03. THIẾT BỊ'!$B$1:$S$836,14,0),"")</f>
        <v/>
      </c>
      <c r="P163" s="17" t="str">
        <f>IFERROR(VLOOKUP(B163,'03. THIẾT BỊ'!$B$1:$S$836,15,0),"")</f>
        <v/>
      </c>
      <c r="Q163" s="18" t="str">
        <f>IFERROR(VLOOKUP(B163,'03. THIẾT BỊ'!$B$1:$S$836,16,0),"")</f>
        <v/>
      </c>
      <c r="R163" s="17" t="str">
        <f>IFERROR(VLOOKUP(B163,'03. THIẾT BỊ'!$B$1:$S$836,17,0),"")</f>
        <v/>
      </c>
      <c r="S163" s="17" t="str">
        <f>IFERROR(VLOOKUP(B163,'03. THIẾT BỊ'!$B$1:$S$836,18,0),"")</f>
        <v/>
      </c>
      <c r="T163" s="609"/>
    </row>
    <row r="164" customHeight="1" spans="1:20">
      <c r="A164" s="19">
        <v>1</v>
      </c>
      <c r="B164" s="20" t="s">
        <v>4018</v>
      </c>
      <c r="C164" s="613">
        <f>IFERROR(VLOOKUP(B164,'03. THIẾT BỊ'!$B$1:$S$836,2,0),"")</f>
        <v>0</v>
      </c>
      <c r="D164" s="24" t="str">
        <f>IFERROR(VLOOKUP(B164,'03. THIẾT BỊ'!$B$1:$S$836,3,0),"")</f>
        <v>A23-CCH-013</v>
      </c>
      <c r="E164" s="20" t="str">
        <f>IFERROR(VLOOKUP(B164,'03. THIẾT BỊ'!$B$1:$S$836,4,0),"")</f>
        <v>MUA MỚI</v>
      </c>
      <c r="F164" s="20" t="str">
        <f>IFERROR(VLOOKUP(B164,'03. THIẾT BỊ'!$B$1:$S$836,5,0),"")</f>
        <v>Thiết bị cày 4 chảo</v>
      </c>
      <c r="G164" s="101" t="s">
        <v>6468</v>
      </c>
      <c r="H164" s="19" t="str">
        <f>IFERROR(VLOOKUP(B164,'03. THIẾT BỊ'!$B$1:$S$836,7,0),"")</f>
        <v>CGLĐ DP</v>
      </c>
      <c r="I164" s="610">
        <f>IFERROR(VLOOKUP(B164,'03. THIẾT BỊ'!$B$1:$S$836,8,0),"")</f>
        <v>45811</v>
      </c>
      <c r="J164" s="25"/>
      <c r="K164" s="19" t="str">
        <f>IFERROR(VLOOKUP(B164,'03. THIẾT BỊ'!$B$1:$S$836,10,0),"")</f>
        <v>Bình thường</v>
      </c>
      <c r="L164" s="25" t="str">
        <f>IFERROR(VLOOKUP(B164,'03. THIẾT BỊ'!$B$1:$S$836,11,0),"")</f>
        <v>Đầu tư mới</v>
      </c>
      <c r="M164" s="24">
        <f>IFERROR(VLOOKUP(B164,'03. THIẾT BỊ'!$B$1:$S$836,12,0),"")</f>
        <v>0</v>
      </c>
      <c r="N164" s="25" t="str">
        <f>IFERROR(VLOOKUP(B164,'03. THIẾT BỊ'!$B$1:$S$836,13,0),"")</f>
        <v>KUBOTA</v>
      </c>
      <c r="O164" s="24" t="str">
        <f>IFERROR(VLOOKUP(B164,'03. THIẾT BỊ'!$B$1:$S$836,14,0),"")</f>
        <v>4 CHẢO</v>
      </c>
      <c r="P164" s="25" t="str">
        <f>IFERROR(VLOOKUP(B164,'03. THIẾT BỊ'!$B$1:$S$836,15,0),"")</f>
        <v>CAMBODIA</v>
      </c>
      <c r="Q164" s="23">
        <f>IFERROR(VLOOKUP(B164,'03. THIẾT BỊ'!$B$1:$S$836,16,0),"")</f>
        <v>0</v>
      </c>
      <c r="R164" s="25">
        <f>IFERROR(VLOOKUP(B164,'03. THIẾT BỊ'!$B$1:$S$836,17,0),"")</f>
        <v>0</v>
      </c>
      <c r="S164" s="25">
        <f>IFERROR(VLOOKUP(B164,'03. THIẾT BỊ'!$B$1:$S$836,18,0),"")</f>
        <v>0</v>
      </c>
      <c r="T164" s="41"/>
    </row>
    <row r="165" customHeight="1" spans="1:20">
      <c r="A165" s="19">
        <v>2</v>
      </c>
      <c r="B165" s="20" t="s">
        <v>4021</v>
      </c>
      <c r="C165" s="613">
        <f>IFERROR(VLOOKUP(B165,'03. THIẾT BỊ'!$B$1:$S$836,2,0),"")</f>
        <v>0</v>
      </c>
      <c r="D165" s="24" t="str">
        <f>IFERROR(VLOOKUP(B165,'03. THIẾT BỊ'!$B$1:$S$836,3,0),"")</f>
        <v>A23-CCH-014</v>
      </c>
      <c r="E165" s="20" t="str">
        <f>IFERROR(VLOOKUP(B165,'03. THIẾT BỊ'!$B$1:$S$836,4,0),"")</f>
        <v>MUA MỚI</v>
      </c>
      <c r="F165" s="20" t="str">
        <f>IFERROR(VLOOKUP(B165,'03. THIẾT BỊ'!$B$1:$S$836,5,0),"")</f>
        <v>Thiết bị cày 4 chảo</v>
      </c>
      <c r="G165" s="101" t="s">
        <v>6468</v>
      </c>
      <c r="H165" s="19" t="str">
        <f>IFERROR(VLOOKUP(B165,'03. THIẾT BỊ'!$B$1:$S$836,7,0),"")</f>
        <v>CGLĐ DP</v>
      </c>
      <c r="I165" s="610">
        <f>IFERROR(VLOOKUP(B165,'03. THIẾT BỊ'!$B$1:$S$836,8,0),"")</f>
        <v>45811</v>
      </c>
      <c r="J165" s="25"/>
      <c r="K165" s="19" t="str">
        <f>IFERROR(VLOOKUP(B165,'03. THIẾT BỊ'!$B$1:$S$836,10,0),"")</f>
        <v>Bình thường</v>
      </c>
      <c r="L165" s="25" t="str">
        <f>IFERROR(VLOOKUP(B165,'03. THIẾT BỊ'!$B$1:$S$836,11,0),"")</f>
        <v>Đầu tư mới</v>
      </c>
      <c r="M165" s="24">
        <f>IFERROR(VLOOKUP(B165,'03. THIẾT BỊ'!$B$1:$S$836,12,0),"")</f>
        <v>0</v>
      </c>
      <c r="N165" s="25" t="str">
        <f>IFERROR(VLOOKUP(B165,'03. THIẾT BỊ'!$B$1:$S$836,13,0),"")</f>
        <v>KUBOTA</v>
      </c>
      <c r="O165" s="24" t="str">
        <f>IFERROR(VLOOKUP(B165,'03. THIẾT BỊ'!$B$1:$S$836,14,0),"")</f>
        <v>4 CHẢO</v>
      </c>
      <c r="P165" s="25" t="str">
        <f>IFERROR(VLOOKUP(B165,'03. THIẾT BỊ'!$B$1:$S$836,15,0),"")</f>
        <v>CAMBODIA</v>
      </c>
      <c r="Q165" s="23">
        <f>IFERROR(VLOOKUP(B165,'03. THIẾT BỊ'!$B$1:$S$836,16,0),"")</f>
        <v>0</v>
      </c>
      <c r="R165" s="25">
        <f>IFERROR(VLOOKUP(B165,'03. THIẾT BỊ'!$B$1:$S$836,17,0),"")</f>
        <v>0</v>
      </c>
      <c r="S165" s="25">
        <f>IFERROR(VLOOKUP(B165,'03. THIẾT BỊ'!$B$1:$S$836,18,0),"")</f>
        <v>0</v>
      </c>
      <c r="T165" s="41"/>
    </row>
    <row r="166" customHeight="1" spans="1:20">
      <c r="A166" s="19">
        <v>3</v>
      </c>
      <c r="B166" s="20" t="s">
        <v>4148</v>
      </c>
      <c r="C166" s="613">
        <f>IFERROR(VLOOKUP(B166,'03. THIẾT BỊ'!$B$1:$S$836,2,0),"")</f>
        <v>0</v>
      </c>
      <c r="D166" s="24" t="str">
        <f>IFERROR(VLOOKUP(B166,'03. THIẾT BỊ'!$B$1:$S$836,3,0),"")</f>
        <v>A24-CCH-015</v>
      </c>
      <c r="E166" s="20" t="str">
        <f>IFERROR(VLOOKUP(B166,'03. THIẾT BỊ'!$B$1:$S$836,4,0),"")</f>
        <v>MUA MỚI</v>
      </c>
      <c r="F166" s="20" t="str">
        <f>IFERROR(VLOOKUP(B166,'03. THIẾT BỊ'!$B$1:$S$836,5,0),"")</f>
        <v>Thiết bị cày 4 chảo</v>
      </c>
      <c r="G166" s="101" t="s">
        <v>6468</v>
      </c>
      <c r="H166" s="19" t="str">
        <f>IFERROR(VLOOKUP(B166,'03. THIẾT BỊ'!$B$1:$S$836,7,0),"")</f>
        <v>CGLĐ LP</v>
      </c>
      <c r="I166" s="610">
        <f>IFERROR(VLOOKUP(B166,'03. THIẾT BỊ'!$B$1:$S$836,8,0),"")</f>
        <v>45811</v>
      </c>
      <c r="J166" s="25"/>
      <c r="K166" s="19" t="str">
        <f>IFERROR(VLOOKUP(B166,'03. THIẾT BỊ'!$B$1:$S$836,10,0),"")</f>
        <v>Bình thường</v>
      </c>
      <c r="L166" s="25" t="str">
        <f>IFERROR(VLOOKUP(B166,'03. THIẾT BỊ'!$B$1:$S$836,11,0),"")</f>
        <v>Đầu tư mới</v>
      </c>
      <c r="M166" s="24">
        <f>IFERROR(VLOOKUP(B166,'03. THIẾT BỊ'!$B$1:$S$836,12,0),"")</f>
        <v>0</v>
      </c>
      <c r="N166" s="25" t="str">
        <f>IFERROR(VLOOKUP(B166,'03. THIẾT BỊ'!$B$1:$S$836,13,0),"")</f>
        <v>KUBOTA</v>
      </c>
      <c r="O166" s="24" t="str">
        <f>IFERROR(VLOOKUP(B166,'03. THIẾT BỊ'!$B$1:$S$836,14,0),"")</f>
        <v>4 CHẢO</v>
      </c>
      <c r="P166" s="25" t="str">
        <f>IFERROR(VLOOKUP(B166,'03. THIẾT BỊ'!$B$1:$S$836,15,0),"")</f>
        <v>CAMBODIA</v>
      </c>
      <c r="Q166" s="23">
        <f>IFERROR(VLOOKUP(B166,'03. THIẾT BỊ'!$B$1:$S$836,16,0),"")</f>
        <v>2025</v>
      </c>
      <c r="R166" s="25">
        <f>IFERROR(VLOOKUP(B166,'03. THIẾT BỊ'!$B$1:$S$836,17,0),"")</f>
        <v>0</v>
      </c>
      <c r="S166" s="25">
        <f>IFERROR(VLOOKUP(B166,'03. THIẾT BỊ'!$B$1:$S$836,18,0),"")</f>
        <v>0</v>
      </c>
      <c r="T166" s="41"/>
    </row>
    <row r="167" customHeight="1" spans="1:20">
      <c r="A167" s="19"/>
      <c r="B167" s="20"/>
      <c r="C167" s="613" t="str">
        <f>IFERROR(VLOOKUP(B167,'03. THIẾT BỊ'!$B$1:$S$836,2,0),"")</f>
        <v/>
      </c>
      <c r="D167" s="24" t="str">
        <f>IFERROR(VLOOKUP(B167,'03. THIẾT BỊ'!$B$1:$S$836,3,0),"")</f>
        <v/>
      </c>
      <c r="E167" s="20" t="str">
        <f>IFERROR(VLOOKUP(B167,'03. THIẾT BỊ'!$B$1:$S$836,4,0),"")</f>
        <v/>
      </c>
      <c r="F167" s="20" t="str">
        <f>IFERROR(VLOOKUP(B167,'03. THIẾT BỊ'!$B$1:$S$836,5,0),"")</f>
        <v/>
      </c>
      <c r="G167" s="101" t="s">
        <v>6468</v>
      </c>
      <c r="H167" s="19" t="str">
        <f>IFERROR(VLOOKUP(B167,'03. THIẾT BỊ'!$B$1:$S$836,7,0),"")</f>
        <v/>
      </c>
      <c r="I167" s="610" t="str">
        <f>IFERROR(VLOOKUP(B167,'03. THIẾT BỊ'!$B$1:$S$836,8,0),"")</f>
        <v/>
      </c>
      <c r="J167" s="25"/>
      <c r="K167" s="19" t="str">
        <f>IFERROR(VLOOKUP(B167,'03. THIẾT BỊ'!$B$1:$S$836,10,0),"")</f>
        <v/>
      </c>
      <c r="L167" s="25" t="str">
        <f>IFERROR(VLOOKUP(B167,'03. THIẾT BỊ'!$B$1:$S$836,11,0),"")</f>
        <v/>
      </c>
      <c r="M167" s="24" t="str">
        <f>IFERROR(VLOOKUP(B167,'03. THIẾT BỊ'!$B$1:$S$836,12,0),"")</f>
        <v/>
      </c>
      <c r="N167" s="25" t="str">
        <f>IFERROR(VLOOKUP(B167,'03. THIẾT BỊ'!$B$1:$S$836,13,0),"")</f>
        <v/>
      </c>
      <c r="O167" s="24" t="str">
        <f>IFERROR(VLOOKUP(B167,'03. THIẾT BỊ'!$B$1:$S$836,14,0),"")</f>
        <v/>
      </c>
      <c r="P167" s="25" t="str">
        <f>IFERROR(VLOOKUP(B167,'03. THIẾT BỊ'!$B$1:$S$836,15,0),"")</f>
        <v/>
      </c>
      <c r="Q167" s="23" t="str">
        <f>IFERROR(VLOOKUP(B167,'03. THIẾT BỊ'!$B$1:$S$836,16,0),"")</f>
        <v/>
      </c>
      <c r="R167" s="25" t="str">
        <f>IFERROR(VLOOKUP(B167,'03. THIẾT BỊ'!$B$1:$S$836,17,0),"")</f>
        <v/>
      </c>
      <c r="S167" s="25" t="str">
        <f>IFERROR(VLOOKUP(B167,'03. THIẾT BỊ'!$B$1:$S$836,18,0),"")</f>
        <v/>
      </c>
      <c r="T167" s="41"/>
    </row>
    <row r="168" hidden="1" customHeight="1" spans="1:20">
      <c r="A168" s="19"/>
      <c r="B168" s="20"/>
      <c r="C168" s="613" t="str">
        <f>IFERROR(VLOOKUP(B168,'03. THIẾT BỊ'!$B$1:$S$836,2,0),"")</f>
        <v/>
      </c>
      <c r="D168" s="24" t="str">
        <f>IFERROR(VLOOKUP(B168,'03. THIẾT BỊ'!$B$1:$S$836,3,0),"")</f>
        <v/>
      </c>
      <c r="E168" s="20" t="str">
        <f>IFERROR(VLOOKUP(B168,'03. THIẾT BỊ'!$B$1:$S$836,4,0),"")</f>
        <v/>
      </c>
      <c r="F168" s="20" t="str">
        <f>IFERROR(VLOOKUP(B168,'03. THIẾT BỊ'!$B$1:$S$836,5,0),"")</f>
        <v/>
      </c>
      <c r="G168" s="101" t="s">
        <v>6468</v>
      </c>
      <c r="H168" s="19" t="str">
        <f>IFERROR(VLOOKUP(B168,'03. THIẾT BỊ'!$B$1:$S$836,7,0),"")</f>
        <v/>
      </c>
      <c r="I168" s="610" t="str">
        <f>IFERROR(VLOOKUP(B168,'03. THIẾT BỊ'!$B$1:$S$836,8,0),"")</f>
        <v/>
      </c>
      <c r="J168" s="25"/>
      <c r="K168" s="19" t="str">
        <f>IFERROR(VLOOKUP(B168,'03. THIẾT BỊ'!$B$1:$S$836,10,0),"")</f>
        <v/>
      </c>
      <c r="L168" s="25" t="str">
        <f>IFERROR(VLOOKUP(B168,'03. THIẾT BỊ'!$B$1:$S$836,11,0),"")</f>
        <v/>
      </c>
      <c r="M168" s="24" t="str">
        <f>IFERROR(VLOOKUP(B168,'03. THIẾT BỊ'!$B$1:$S$836,12,0),"")</f>
        <v/>
      </c>
      <c r="N168" s="25" t="str">
        <f>IFERROR(VLOOKUP(B168,'03. THIẾT BỊ'!$B$1:$S$836,13,0),"")</f>
        <v/>
      </c>
      <c r="O168" s="24" t="str">
        <f>IFERROR(VLOOKUP(B168,'03. THIẾT BỊ'!$B$1:$S$836,14,0),"")</f>
        <v/>
      </c>
      <c r="P168" s="25" t="str">
        <f>IFERROR(VLOOKUP(B168,'03. THIẾT BỊ'!$B$1:$S$836,15,0),"")</f>
        <v/>
      </c>
      <c r="Q168" s="23" t="str">
        <f>IFERROR(VLOOKUP(B168,'03. THIẾT BỊ'!$B$1:$S$836,16,0),"")</f>
        <v/>
      </c>
      <c r="R168" s="25" t="str">
        <f>IFERROR(VLOOKUP(B168,'03. THIẾT BỊ'!$B$1:$S$836,17,0),"")</f>
        <v/>
      </c>
      <c r="S168" s="25" t="str">
        <f>IFERROR(VLOOKUP(B168,'03. THIẾT BỊ'!$B$1:$S$836,18,0),"")</f>
        <v/>
      </c>
      <c r="T168" s="41"/>
    </row>
    <row r="169" hidden="1" customHeight="1" spans="1:20">
      <c r="A169" s="19"/>
      <c r="B169" s="20"/>
      <c r="C169" s="613" t="str">
        <f>IFERROR(VLOOKUP(B169,'03. THIẾT BỊ'!$B$1:$S$836,2,0),"")</f>
        <v/>
      </c>
      <c r="D169" s="24" t="str">
        <f>IFERROR(VLOOKUP(B169,'03. THIẾT BỊ'!$B$1:$S$836,3,0),"")</f>
        <v/>
      </c>
      <c r="E169" s="20" t="str">
        <f>IFERROR(VLOOKUP(B169,'03. THIẾT BỊ'!$B$1:$S$836,4,0),"")</f>
        <v/>
      </c>
      <c r="F169" s="20" t="str">
        <f>IFERROR(VLOOKUP(B169,'03. THIẾT BỊ'!$B$1:$S$836,5,0),"")</f>
        <v/>
      </c>
      <c r="G169" s="101" t="s">
        <v>6468</v>
      </c>
      <c r="H169" s="19" t="str">
        <f>IFERROR(VLOOKUP(B169,'03. THIẾT BỊ'!$B$1:$S$836,7,0),"")</f>
        <v/>
      </c>
      <c r="I169" s="610" t="str">
        <f>IFERROR(VLOOKUP(B169,'03. THIẾT BỊ'!$B$1:$S$836,8,0),"")</f>
        <v/>
      </c>
      <c r="J169" s="25"/>
      <c r="K169" s="19" t="str">
        <f>IFERROR(VLOOKUP(B169,'03. THIẾT BỊ'!$B$1:$S$836,10,0),"")</f>
        <v/>
      </c>
      <c r="L169" s="25" t="str">
        <f>IFERROR(VLOOKUP(B169,'03. THIẾT BỊ'!$B$1:$S$836,11,0),"")</f>
        <v/>
      </c>
      <c r="M169" s="24" t="str">
        <f>IFERROR(VLOOKUP(B169,'03. THIẾT BỊ'!$B$1:$S$836,12,0),"")</f>
        <v/>
      </c>
      <c r="N169" s="25" t="str">
        <f>IFERROR(VLOOKUP(B169,'03. THIẾT BỊ'!$B$1:$S$836,13,0),"")</f>
        <v/>
      </c>
      <c r="O169" s="24" t="str">
        <f>IFERROR(VLOOKUP(B169,'03. THIẾT BỊ'!$B$1:$S$836,14,0),"")</f>
        <v/>
      </c>
      <c r="P169" s="25" t="str">
        <f>IFERROR(VLOOKUP(B169,'03. THIẾT BỊ'!$B$1:$S$836,15,0),"")</f>
        <v/>
      </c>
      <c r="Q169" s="23" t="str">
        <f>IFERROR(VLOOKUP(B169,'03. THIẾT BỊ'!$B$1:$S$836,16,0),"")</f>
        <v/>
      </c>
      <c r="R169" s="25" t="str">
        <f>IFERROR(VLOOKUP(B169,'03. THIẾT BỊ'!$B$1:$S$836,17,0),"")</f>
        <v/>
      </c>
      <c r="S169" s="25" t="str">
        <f>IFERROR(VLOOKUP(B169,'03. THIẾT BỊ'!$B$1:$S$836,18,0),"")</f>
        <v/>
      </c>
      <c r="T169" s="41"/>
    </row>
    <row r="170" customHeight="1" spans="1:20">
      <c r="A170" s="14" t="s">
        <v>290</v>
      </c>
      <c r="B170" s="15" t="s">
        <v>6476</v>
      </c>
      <c r="C170" s="14">
        <f>COUNTA(B171:B181)</f>
        <v>9</v>
      </c>
      <c r="D170" s="17" t="str">
        <f>IFERROR(VLOOKUP(B170,'03. THIẾT BỊ'!$B$1:$S$836,3,0),"")</f>
        <v/>
      </c>
      <c r="E170" s="20" t="str">
        <f>IFERROR(VLOOKUP(B170,'03. THIẾT BỊ'!$B$1:$S$836,4,0),"")</f>
        <v/>
      </c>
      <c r="F170" s="17" t="str">
        <f>IFERROR(VLOOKUP(B170,'03. THIẾT BỊ'!$B$1:$S$836,5,0),"")</f>
        <v/>
      </c>
      <c r="G170" s="18" t="s">
        <v>6468</v>
      </c>
      <c r="H170" s="18" t="str">
        <f>IFERROR(VLOOKUP(B170,'03. THIẾT BỊ'!$B$1:$S$836,7,0),"")</f>
        <v/>
      </c>
      <c r="I170" s="14" t="str">
        <f>IFERROR(VLOOKUP(B170,'03. THIẾT BỊ'!$B$1:$S$836,8,0),"")</f>
        <v/>
      </c>
      <c r="J170" s="15"/>
      <c r="K170" s="14" t="str">
        <f>IFERROR(VLOOKUP(B170,'03. THIẾT BỊ'!$B$1:$S$836,10,0),"")</f>
        <v/>
      </c>
      <c r="L170" s="17" t="str">
        <f>IFERROR(VLOOKUP(B170,'03. THIẾT BỊ'!$B$1:$S$836,11,0),"")</f>
        <v/>
      </c>
      <c r="M170" s="16" t="str">
        <f>IFERROR(VLOOKUP(B170,'03. THIẾT BỊ'!$B$1:$S$836,12,0),"")</f>
        <v/>
      </c>
      <c r="N170" s="17" t="str">
        <f>IFERROR(VLOOKUP(B170,'03. THIẾT BỊ'!$B$1:$S$836,13,0),"")</f>
        <v/>
      </c>
      <c r="O170" s="16" t="str">
        <f>IFERROR(VLOOKUP(B170,'03. THIẾT BỊ'!$B$1:$S$836,14,0),"")</f>
        <v/>
      </c>
      <c r="P170" s="17" t="str">
        <f>IFERROR(VLOOKUP(B170,'03. THIẾT BỊ'!$B$1:$S$836,15,0),"")</f>
        <v/>
      </c>
      <c r="Q170" s="18" t="str">
        <f>IFERROR(VLOOKUP(B170,'03. THIẾT BỊ'!$B$1:$S$836,16,0),"")</f>
        <v/>
      </c>
      <c r="R170" s="17" t="str">
        <f>IFERROR(VLOOKUP(B170,'03. THIẾT BỊ'!$B$1:$S$836,17,0),"")</f>
        <v/>
      </c>
      <c r="S170" s="17" t="str">
        <f>IFERROR(VLOOKUP(B170,'03. THIẾT BỊ'!$B$1:$S$836,18,0),"")</f>
        <v/>
      </c>
      <c r="T170" s="609"/>
    </row>
    <row r="171" customHeight="1" spans="1:20">
      <c r="A171" s="19">
        <v>1</v>
      </c>
      <c r="B171" s="20" t="s">
        <v>3882</v>
      </c>
      <c r="C171" s="613" t="str">
        <f>IFERROR(VLOOKUP(B171,'03. THIẾT BỊ'!$B$1:$S$836,2,0),"")</f>
        <v>B7C01</v>
      </c>
      <c r="D171" s="24" t="str">
        <f>IFERROR(VLOOKUP(B171,'03. THIẾT BỊ'!$B$1:$S$836,3,0),"")</f>
        <v>A23-BUA-001</v>
      </c>
      <c r="E171" s="20" t="str">
        <f>IFERROR(VLOOKUP(B171,'03. THIẾT BỊ'!$B$1:$S$836,4,0),"")</f>
        <v>ĐQSD</v>
      </c>
      <c r="F171" s="20" t="str">
        <f>IFERROR(VLOOKUP(B171,'03. THIẾT BỊ'!$B$1:$S$836,5,0),"")</f>
        <v>Thiết bị bừa 7 chảo</v>
      </c>
      <c r="G171" s="101" t="s">
        <v>6468</v>
      </c>
      <c r="H171" s="19" t="str">
        <f>IFERROR(VLOOKUP(B171,'03. THIẾT BỊ'!$B$1:$S$836,7,0),"")</f>
        <v>CGLĐ DP</v>
      </c>
      <c r="I171" s="610">
        <f>IFERROR(VLOOKUP(B171,'03. THIẾT BỊ'!$B$1:$S$836,8,0),"")</f>
        <v>0</v>
      </c>
      <c r="J171" s="25"/>
      <c r="K171" s="19" t="str">
        <f>IFERROR(VLOOKUP(B171,'03. THIẾT BỊ'!$B$1:$S$836,10,0),"")</f>
        <v>Bình thường</v>
      </c>
      <c r="L171" s="25">
        <f>IFERROR(VLOOKUP(B171,'03. THIẾT BỊ'!$B$1:$S$836,11,0),"")</f>
        <v>0</v>
      </c>
      <c r="M171" s="24">
        <f>IFERROR(VLOOKUP(B171,'03. THIẾT BỊ'!$B$1:$S$836,12,0),"")</f>
        <v>0</v>
      </c>
      <c r="N171" s="25" t="str">
        <f>IFERROR(VLOOKUP(B171,'03. THIẾT BỊ'!$B$1:$S$836,13,0),"")</f>
        <v>TRUNG QUỐC</v>
      </c>
      <c r="O171" s="24" t="str">
        <f>IFERROR(VLOOKUP(B171,'03. THIẾT BỊ'!$B$1:$S$836,14,0),"")</f>
        <v>7 chảo</v>
      </c>
      <c r="P171" s="25" t="str">
        <f>IFERROR(VLOOKUP(B171,'03. THIẾT BỊ'!$B$1:$S$836,15,0),"")</f>
        <v>TRUNG QUỐC</v>
      </c>
      <c r="Q171" s="23">
        <f>IFERROR(VLOOKUP(B171,'03. THIẾT BỊ'!$B$1:$S$836,16,0),"")</f>
        <v>0</v>
      </c>
      <c r="R171" s="25">
        <f>IFERROR(VLOOKUP(B171,'03. THIẾT BỊ'!$B$1:$S$836,17,0),"")</f>
        <v>0</v>
      </c>
      <c r="S171" s="25">
        <f>IFERROR(VLOOKUP(B171,'03. THIẾT BỊ'!$B$1:$S$836,18,0),"")</f>
        <v>0</v>
      </c>
      <c r="T171" s="41"/>
    </row>
    <row r="172" customHeight="1" spans="1:20">
      <c r="A172" s="19">
        <f t="shared" ref="A172:A179" si="4">A171+1</f>
        <v>2</v>
      </c>
      <c r="B172" s="20" t="s">
        <v>3887</v>
      </c>
      <c r="C172" s="613" t="str">
        <f>IFERROR(VLOOKUP(B172,'03. THIẾT BỊ'!$B$1:$S$836,2,0),"")</f>
        <v>B7C02</v>
      </c>
      <c r="D172" s="24" t="str">
        <f>IFERROR(VLOOKUP(B172,'03. THIẾT BỊ'!$B$1:$S$836,3,0),"")</f>
        <v>A23-BUA-002</v>
      </c>
      <c r="E172" s="20" t="str">
        <f>IFERROR(VLOOKUP(B172,'03. THIẾT BỊ'!$B$1:$S$836,4,0),"")</f>
        <v>ĐQSD</v>
      </c>
      <c r="F172" s="20" t="str">
        <f>IFERROR(VLOOKUP(B172,'03. THIẾT BỊ'!$B$1:$S$836,5,0),"")</f>
        <v>Thiết bị bừa 7 chảo</v>
      </c>
      <c r="G172" s="101" t="s">
        <v>6468</v>
      </c>
      <c r="H172" s="19" t="str">
        <f>IFERROR(VLOOKUP(B172,'03. THIẾT BỊ'!$B$1:$S$836,7,0),"")</f>
        <v>CGLĐ DP</v>
      </c>
      <c r="I172" s="610">
        <f>IFERROR(VLOOKUP(B172,'03. THIẾT BỊ'!$B$1:$S$836,8,0),"")</f>
        <v>0</v>
      </c>
      <c r="J172" s="25"/>
      <c r="K172" s="19" t="str">
        <f>IFERROR(VLOOKUP(B172,'03. THIẾT BỊ'!$B$1:$S$836,10,0),"")</f>
        <v>Bình thường</v>
      </c>
      <c r="L172" s="25">
        <f>IFERROR(VLOOKUP(B172,'03. THIẾT BỊ'!$B$1:$S$836,11,0),"")</f>
        <v>0</v>
      </c>
      <c r="M172" s="24">
        <f>IFERROR(VLOOKUP(B172,'03. THIẾT BỊ'!$B$1:$S$836,12,0),"")</f>
        <v>0</v>
      </c>
      <c r="N172" s="25" t="str">
        <f>IFERROR(VLOOKUP(B172,'03. THIẾT BỊ'!$B$1:$S$836,13,0),"")</f>
        <v>TRUNG QUỐC</v>
      </c>
      <c r="O172" s="24" t="str">
        <f>IFERROR(VLOOKUP(B172,'03. THIẾT BỊ'!$B$1:$S$836,14,0),"")</f>
        <v>7 chảo</v>
      </c>
      <c r="P172" s="25" t="str">
        <f>IFERROR(VLOOKUP(B172,'03. THIẾT BỊ'!$B$1:$S$836,15,0),"")</f>
        <v>TRUNG QUỐC</v>
      </c>
      <c r="Q172" s="23">
        <f>IFERROR(VLOOKUP(B172,'03. THIẾT BỊ'!$B$1:$S$836,16,0),"")</f>
        <v>0</v>
      </c>
      <c r="R172" s="25">
        <f>IFERROR(VLOOKUP(B172,'03. THIẾT BỊ'!$B$1:$S$836,17,0),"")</f>
        <v>0</v>
      </c>
      <c r="S172" s="25">
        <f>IFERROR(VLOOKUP(B172,'03. THIẾT BỊ'!$B$1:$S$836,18,0),"")</f>
        <v>0</v>
      </c>
      <c r="T172" s="41"/>
    </row>
    <row r="173" customHeight="1" spans="1:20">
      <c r="A173" s="19">
        <f t="shared" si="4"/>
        <v>3</v>
      </c>
      <c r="B173" s="20" t="s">
        <v>4081</v>
      </c>
      <c r="C173" s="613" t="str">
        <f>IFERROR(VLOOKUP(B173,'03. THIẾT BỊ'!$B$1:$S$836,2,0),"")</f>
        <v>CNN-BUA-007</v>
      </c>
      <c r="D173" s="24" t="str">
        <f>IFERROR(VLOOKUP(B173,'03. THIẾT BỊ'!$B$1:$S$836,3,0),"")</f>
        <v>A22-BUA-010</v>
      </c>
      <c r="E173" s="20" t="str">
        <f>IFERROR(VLOOKUP(B173,'03. THIẾT BỊ'!$B$1:$S$836,4,0),"")</f>
        <v>ĐQSD</v>
      </c>
      <c r="F173" s="20" t="str">
        <f>IFERROR(VLOOKUP(B173,'03. THIẾT BỊ'!$B$1:$S$836,5,0),"")</f>
        <v>Thiết bị bừa 7 chảo</v>
      </c>
      <c r="G173" s="101" t="s">
        <v>6468</v>
      </c>
      <c r="H173" s="19" t="str">
        <f>IFERROR(VLOOKUP(B173,'03. THIẾT BỊ'!$B$1:$S$836,7,0),"")</f>
        <v>XN Bò AD</v>
      </c>
      <c r="I173" s="610">
        <f>IFERROR(VLOOKUP(B173,'03. THIẾT BỊ'!$B$1:$S$836,8,0),"")</f>
        <v>0</v>
      </c>
      <c r="J173" s="25"/>
      <c r="K173" s="19" t="str">
        <f>IFERROR(VLOOKUP(B173,'03. THIẾT BỊ'!$B$1:$S$836,10,0),"")</f>
        <v>Bình thường</v>
      </c>
      <c r="L173" s="25">
        <f>IFERROR(VLOOKUP(B173,'03. THIẾT BỊ'!$B$1:$S$836,11,0),"")</f>
        <v>0</v>
      </c>
      <c r="M173" s="24">
        <f>IFERROR(VLOOKUP(B173,'03. THIẾT BỊ'!$B$1:$S$836,12,0),"")</f>
        <v>0</v>
      </c>
      <c r="N173" s="25" t="str">
        <f>IFERROR(VLOOKUP(B173,'03. THIẾT BỊ'!$B$1:$S$836,13,0),"")</f>
        <v>CAMBODIA</v>
      </c>
      <c r="O173" s="24" t="str">
        <f>IFERROR(VLOOKUP(B173,'03. THIẾT BỊ'!$B$1:$S$836,14,0),"")</f>
        <v>7 chảo</v>
      </c>
      <c r="P173" s="25" t="str">
        <f>IFERROR(VLOOKUP(B173,'03. THIẾT BỊ'!$B$1:$S$836,15,0),"")</f>
        <v>CAMBODIA</v>
      </c>
      <c r="Q173" s="23">
        <f>IFERROR(VLOOKUP(B173,'03. THIẾT BỊ'!$B$1:$S$836,16,0),"")</f>
        <v>0</v>
      </c>
      <c r="R173" s="25">
        <f>IFERROR(VLOOKUP(B173,'03. THIẾT BỊ'!$B$1:$S$836,17,0),"")</f>
        <v>0</v>
      </c>
      <c r="S173" s="25">
        <f>IFERROR(VLOOKUP(B173,'03. THIẾT BỊ'!$B$1:$S$836,18,0),"")</f>
        <v>0</v>
      </c>
      <c r="T173" s="41"/>
    </row>
    <row r="174" customHeight="1" spans="1:20">
      <c r="A174" s="19">
        <f t="shared" si="4"/>
        <v>4</v>
      </c>
      <c r="B174" s="20" t="s">
        <v>3890</v>
      </c>
      <c r="C174" s="613">
        <f>IFERROR(VLOOKUP(B174,'03. THIẾT BỊ'!$B$1:$S$836,2,0),"")</f>
        <v>0</v>
      </c>
      <c r="D174" s="24" t="str">
        <f>IFERROR(VLOOKUP(B174,'03. THIẾT BỊ'!$B$1:$S$836,3,0),"")</f>
        <v>A23-BUA-017</v>
      </c>
      <c r="E174" s="20" t="str">
        <f>IFERROR(VLOOKUP(B174,'03. THIẾT BỊ'!$B$1:$S$836,4,0),"")</f>
        <v>MUA MỚI</v>
      </c>
      <c r="F174" s="20" t="str">
        <f>IFERROR(VLOOKUP(B174,'03. THIẾT BỊ'!$B$1:$S$836,5,0),"")</f>
        <v>Thiết bị bừa 7 chảo</v>
      </c>
      <c r="G174" s="101" t="s">
        <v>6468</v>
      </c>
      <c r="H174" s="19" t="str">
        <f>IFERROR(VLOOKUP(B174,'03. THIẾT BỊ'!$B$1:$S$836,7,0),"")</f>
        <v>CGLĐ DP</v>
      </c>
      <c r="I174" s="610" t="str">
        <f>IFERROR(VLOOKUP(B174,'03. THIẾT BỊ'!$B$1:$S$836,8,0),"")</f>
        <v>22/01/2026</v>
      </c>
      <c r="J174" s="25"/>
      <c r="K174" s="19" t="str">
        <f>IFERROR(VLOOKUP(B174,'03. THIẾT BỊ'!$B$1:$S$836,10,0),"")</f>
        <v>Bình thường</v>
      </c>
      <c r="L174" s="25" t="str">
        <f>IFERROR(VLOOKUP(B174,'03. THIẾT BỊ'!$B$1:$S$836,11,0),"")</f>
        <v>Đầu tư mới </v>
      </c>
      <c r="M174" s="24">
        <f>IFERROR(VLOOKUP(B174,'03. THIẾT BỊ'!$B$1:$S$836,12,0),"")</f>
        <v>0</v>
      </c>
      <c r="N174" s="25" t="str">
        <f>IFERROR(VLOOKUP(B174,'03. THIẾT BỊ'!$B$1:$S$836,13,0),"")</f>
        <v>CMT</v>
      </c>
      <c r="O174" s="24" t="str">
        <f>IFERROR(VLOOKUP(B174,'03. THIẾT BỊ'!$B$1:$S$836,14,0),"")</f>
        <v>MTD 27-10</v>
      </c>
      <c r="P174" s="25" t="str">
        <f>IFERROR(VLOOKUP(B174,'03. THIẾT BỊ'!$B$1:$S$836,15,0),"")</f>
        <v>THÁI LAN</v>
      </c>
      <c r="Q174" s="23">
        <f>IFERROR(VLOOKUP(B174,'03. THIẾT BỊ'!$B$1:$S$836,16,0),"")</f>
        <v>2025</v>
      </c>
      <c r="R174" s="25" t="str">
        <f>IFERROR(VLOOKUP(B174,'03. THIẾT BỊ'!$B$1:$S$836,17,0),"")</f>
        <v>Đ.kính chảo: 600mm</v>
      </c>
      <c r="S174" s="25" t="str">
        <f>IFERROR(VLOOKUP(B174,'03. THIẾT BỊ'!$B$1:$S$836,18,0),"")</f>
        <v>F1/021183</v>
      </c>
      <c r="T174" s="41"/>
    </row>
    <row r="175" customHeight="1" spans="1:20">
      <c r="A175" s="19">
        <f t="shared" si="4"/>
        <v>5</v>
      </c>
      <c r="B175" s="20" t="s">
        <v>3897</v>
      </c>
      <c r="C175" s="613" t="str">
        <f>IFERROR(VLOOKUP(B175,'03. THIẾT BỊ'!$B$1:$S$836,2,0),"")</f>
        <v>B8C03</v>
      </c>
      <c r="D175" s="24" t="str">
        <f>IFERROR(VLOOKUP(B175,'03. THIẾT BỊ'!$B$1:$S$836,3,0),"")</f>
        <v>A23-BUA-003</v>
      </c>
      <c r="E175" s="20" t="str">
        <f>IFERROR(VLOOKUP(B175,'03. THIẾT BỊ'!$B$1:$S$836,4,0),"")</f>
        <v>ĐQSD</v>
      </c>
      <c r="F175" s="20" t="str">
        <f>IFERROR(VLOOKUP(B175,'03. THIẾT BỊ'!$B$1:$S$836,5,0),"")</f>
        <v>Thiết bị bừa 8 chảo</v>
      </c>
      <c r="G175" s="101" t="s">
        <v>6468</v>
      </c>
      <c r="H175" s="19" t="str">
        <f>IFERROR(VLOOKUP(B175,'03. THIẾT BỊ'!$B$1:$S$836,7,0),"")</f>
        <v>CGLĐ DP</v>
      </c>
      <c r="I175" s="610">
        <f>IFERROR(VLOOKUP(B175,'03. THIẾT BỊ'!$B$1:$S$836,8,0),"")</f>
        <v>0</v>
      </c>
      <c r="J175" s="25"/>
      <c r="K175" s="19" t="str">
        <f>IFERROR(VLOOKUP(B175,'03. THIẾT BỊ'!$B$1:$S$836,10,0),"")</f>
        <v>Bình thường</v>
      </c>
      <c r="L175" s="25">
        <f>IFERROR(VLOOKUP(B175,'03. THIẾT BỊ'!$B$1:$S$836,11,0),"")</f>
        <v>0</v>
      </c>
      <c r="M175" s="24">
        <f>IFERROR(VLOOKUP(B175,'03. THIẾT BỊ'!$B$1:$S$836,12,0),"")</f>
        <v>0</v>
      </c>
      <c r="N175" s="25" t="str">
        <f>IFERROR(VLOOKUP(B175,'03. THIẾT BỊ'!$B$1:$S$836,13,0),"")</f>
        <v>TRUNG QUỐC</v>
      </c>
      <c r="O175" s="24" t="str">
        <f>IFERROR(VLOOKUP(B175,'03. THIẾT BỊ'!$B$1:$S$836,14,0),"")</f>
        <v>8 chảo</v>
      </c>
      <c r="P175" s="25" t="str">
        <f>IFERROR(VLOOKUP(B175,'03. THIẾT BỊ'!$B$1:$S$836,15,0),"")</f>
        <v>TRUNG QUỐC</v>
      </c>
      <c r="Q175" s="23">
        <f>IFERROR(VLOOKUP(B175,'03. THIẾT BỊ'!$B$1:$S$836,16,0),"")</f>
        <v>0</v>
      </c>
      <c r="R175" s="25">
        <f>IFERROR(VLOOKUP(B175,'03. THIẾT BỊ'!$B$1:$S$836,17,0),"")</f>
        <v>0</v>
      </c>
      <c r="S175" s="25">
        <f>IFERROR(VLOOKUP(B175,'03. THIẾT BỊ'!$B$1:$S$836,18,0),"")</f>
        <v>0</v>
      </c>
      <c r="T175" s="41"/>
    </row>
    <row r="176" customHeight="1" spans="1:20">
      <c r="A176" s="19">
        <f t="shared" si="4"/>
        <v>6</v>
      </c>
      <c r="B176" s="20" t="s">
        <v>4179</v>
      </c>
      <c r="C176" s="613" t="str">
        <f>IFERROR(VLOOKUP(B176,'03. THIẾT BỊ'!$B$1:$S$836,2,0),"")</f>
        <v>CNN-BUA-005</v>
      </c>
      <c r="D176" s="24" t="str">
        <f>IFERROR(VLOOKUP(B176,'03. THIẾT BỊ'!$B$1:$S$836,3,0),"")</f>
        <v>A22-BUA-008</v>
      </c>
      <c r="E176" s="20" t="str">
        <f>IFERROR(VLOOKUP(B176,'03. THIẾT BỊ'!$B$1:$S$836,4,0),"")</f>
        <v>ĐQSD</v>
      </c>
      <c r="F176" s="20" t="str">
        <f>IFERROR(VLOOKUP(B176,'03. THIẾT BỊ'!$B$1:$S$836,5,0),"")</f>
        <v>Thiết bị bừa 8 chảo</v>
      </c>
      <c r="G176" s="101" t="s">
        <v>6468</v>
      </c>
      <c r="H176" s="19" t="str">
        <f>IFERROR(VLOOKUP(B176,'03. THIẾT BỊ'!$B$1:$S$836,7,0),"")</f>
        <v>XN Bò AD</v>
      </c>
      <c r="I176" s="610">
        <f>IFERROR(VLOOKUP(B176,'03. THIẾT BỊ'!$B$1:$S$836,8,0),"")</f>
        <v>0</v>
      </c>
      <c r="J176" s="25"/>
      <c r="K176" s="19" t="str">
        <f>IFERROR(VLOOKUP(B176,'03. THIẾT BỊ'!$B$1:$S$836,10,0),"")</f>
        <v>Bình thường</v>
      </c>
      <c r="L176" s="25">
        <f>IFERROR(VLOOKUP(B176,'03. THIẾT BỊ'!$B$1:$S$836,11,0),"")</f>
        <v>0</v>
      </c>
      <c r="M176" s="24">
        <f>IFERROR(VLOOKUP(B176,'03. THIẾT BỊ'!$B$1:$S$836,12,0),"")</f>
        <v>0</v>
      </c>
      <c r="N176" s="25" t="str">
        <f>IFERROR(VLOOKUP(B176,'03. THIẾT BỊ'!$B$1:$S$836,13,0),"")</f>
        <v>CAMBODIA</v>
      </c>
      <c r="O176" s="24" t="str">
        <f>IFERROR(VLOOKUP(B176,'03. THIẾT BỊ'!$B$1:$S$836,14,0),"")</f>
        <v>8 chảo</v>
      </c>
      <c r="P176" s="25" t="str">
        <f>IFERROR(VLOOKUP(B176,'03. THIẾT BỊ'!$B$1:$S$836,15,0),"")</f>
        <v>CAMBODIA</v>
      </c>
      <c r="Q176" s="23">
        <f>IFERROR(VLOOKUP(B176,'03. THIẾT BỊ'!$B$1:$S$836,16,0),"")</f>
        <v>0</v>
      </c>
      <c r="R176" s="25">
        <f>IFERROR(VLOOKUP(B176,'03. THIẾT BỊ'!$B$1:$S$836,17,0),"")</f>
        <v>0</v>
      </c>
      <c r="S176" s="25">
        <f>IFERROR(VLOOKUP(B176,'03. THIẾT BỊ'!$B$1:$S$836,18,0),"")</f>
        <v>0</v>
      </c>
      <c r="T176" s="41"/>
    </row>
    <row r="177" customHeight="1" spans="1:20">
      <c r="A177" s="19">
        <f t="shared" si="4"/>
        <v>7</v>
      </c>
      <c r="B177" s="20" t="s">
        <v>4085</v>
      </c>
      <c r="C177" s="613" t="str">
        <f>IFERROR(VLOOKUP(B177,'03. THIẾT BỊ'!$B$1:$S$836,2,0),"")</f>
        <v>CNN-BUA-006</v>
      </c>
      <c r="D177" s="24" t="str">
        <f>IFERROR(VLOOKUP(B177,'03. THIẾT BỊ'!$B$1:$S$836,3,0),"")</f>
        <v>A22-BUA-009</v>
      </c>
      <c r="E177" s="20" t="str">
        <f>IFERROR(VLOOKUP(B177,'03. THIẾT BỊ'!$B$1:$S$836,4,0),"")</f>
        <v>ĐQSD</v>
      </c>
      <c r="F177" s="20" t="str">
        <f>IFERROR(VLOOKUP(B177,'03. THIẾT BỊ'!$B$1:$S$836,5,0),"")</f>
        <v>Thiết bị bừa 8 chảo</v>
      </c>
      <c r="G177" s="101" t="s">
        <v>6468</v>
      </c>
      <c r="H177" s="19" t="str">
        <f>IFERROR(VLOOKUP(B177,'03. THIẾT BỊ'!$B$1:$S$836,7,0),"")</f>
        <v>XN Bò AD</v>
      </c>
      <c r="I177" s="610">
        <f>IFERROR(VLOOKUP(B177,'03. THIẾT BỊ'!$B$1:$S$836,8,0),"")</f>
        <v>0</v>
      </c>
      <c r="J177" s="25"/>
      <c r="K177" s="19" t="str">
        <f>IFERROR(VLOOKUP(B177,'03. THIẾT BỊ'!$B$1:$S$836,10,0),"")</f>
        <v>Bình thường</v>
      </c>
      <c r="L177" s="25">
        <f>IFERROR(VLOOKUP(B177,'03. THIẾT BỊ'!$B$1:$S$836,11,0),"")</f>
        <v>0</v>
      </c>
      <c r="M177" s="24">
        <f>IFERROR(VLOOKUP(B177,'03. THIẾT BỊ'!$B$1:$S$836,12,0),"")</f>
        <v>0</v>
      </c>
      <c r="N177" s="25" t="str">
        <f>IFERROR(VLOOKUP(B177,'03. THIẾT BỊ'!$B$1:$S$836,13,0),"")</f>
        <v>CAMBODIA</v>
      </c>
      <c r="O177" s="24" t="str">
        <f>IFERROR(VLOOKUP(B177,'03. THIẾT BỊ'!$B$1:$S$836,14,0),"")</f>
        <v>8 chảo</v>
      </c>
      <c r="P177" s="25" t="str">
        <f>IFERROR(VLOOKUP(B177,'03. THIẾT BỊ'!$B$1:$S$836,15,0),"")</f>
        <v>CAMBODIA</v>
      </c>
      <c r="Q177" s="23">
        <f>IFERROR(VLOOKUP(B177,'03. THIẾT BỊ'!$B$1:$S$836,16,0),"")</f>
        <v>0</v>
      </c>
      <c r="R177" s="25">
        <f>IFERROR(VLOOKUP(B177,'03. THIẾT BỊ'!$B$1:$S$836,17,0),"")</f>
        <v>0</v>
      </c>
      <c r="S177" s="25">
        <f>IFERROR(VLOOKUP(B177,'03. THIẾT BỊ'!$B$1:$S$836,18,0),"")</f>
        <v>0</v>
      </c>
      <c r="T177" s="41"/>
    </row>
    <row r="178" customHeight="1" spans="1:20">
      <c r="A178" s="19">
        <f t="shared" si="4"/>
        <v>8</v>
      </c>
      <c r="B178" s="20" t="s">
        <v>4080</v>
      </c>
      <c r="C178" s="613" t="str">
        <f>IFERROR(VLOOKUP(B178,'03. THIẾT BỊ'!$B$1:$S$836,2,0),"")</f>
        <v>CNN-BUA-010</v>
      </c>
      <c r="D178" s="24" t="str">
        <f>IFERROR(VLOOKUP(B178,'03. THIẾT BỊ'!$B$1:$S$836,3,0),"")</f>
        <v>A24-BUA-005</v>
      </c>
      <c r="E178" s="20" t="str">
        <f>IFERROR(VLOOKUP(B178,'03. THIẾT BỊ'!$B$1:$S$836,4,0),"")</f>
        <v>ĐQSD</v>
      </c>
      <c r="F178" s="20" t="str">
        <f>IFERROR(VLOOKUP(B178,'03. THIẾT BỊ'!$B$1:$S$836,5,0),"")</f>
        <v>Thiết Bị Bừa 8 Chảo</v>
      </c>
      <c r="G178" s="101" t="s">
        <v>6468</v>
      </c>
      <c r="H178" s="19" t="str">
        <f>IFERROR(VLOOKUP(B178,'03. THIẾT BỊ'!$B$1:$S$836,7,0),"")</f>
        <v>CGLĐ LP</v>
      </c>
      <c r="I178" s="610">
        <f>IFERROR(VLOOKUP(B178,'03. THIẾT BỊ'!$B$1:$S$836,8,0),"")</f>
        <v>0</v>
      </c>
      <c r="J178" s="25"/>
      <c r="K178" s="19" t="str">
        <f>IFERROR(VLOOKUP(B178,'03. THIẾT BỊ'!$B$1:$S$836,10,0),"")</f>
        <v>Bình thường</v>
      </c>
      <c r="L178" s="25">
        <f>IFERROR(VLOOKUP(B178,'03. THIẾT BỊ'!$B$1:$S$836,11,0),"")</f>
        <v>0</v>
      </c>
      <c r="M178" s="24">
        <f>IFERROR(VLOOKUP(B178,'03. THIẾT BỊ'!$B$1:$S$836,12,0),"")</f>
        <v>0</v>
      </c>
      <c r="N178" s="25" t="str">
        <f>IFERROR(VLOOKUP(B178,'03. THIẾT BỊ'!$B$1:$S$836,13,0),"")</f>
        <v>CAMBODIA</v>
      </c>
      <c r="O178" s="24" t="str">
        <f>IFERROR(VLOOKUP(B178,'03. THIẾT BỊ'!$B$1:$S$836,14,0),"")</f>
        <v>8 chảo</v>
      </c>
      <c r="P178" s="25" t="str">
        <f>IFERROR(VLOOKUP(B178,'03. THIẾT BỊ'!$B$1:$S$836,15,0),"")</f>
        <v>CAMBODIA</v>
      </c>
      <c r="Q178" s="23">
        <f>IFERROR(VLOOKUP(B178,'03. THIẾT BỊ'!$B$1:$S$836,16,0),"")</f>
        <v>0</v>
      </c>
      <c r="R178" s="25">
        <f>IFERROR(VLOOKUP(B178,'03. THIẾT BỊ'!$B$1:$S$836,17,0),"")</f>
        <v>0</v>
      </c>
      <c r="S178" s="25">
        <f>IFERROR(VLOOKUP(B178,'03. THIẾT BỊ'!$B$1:$S$836,18,0),"")</f>
        <v>0</v>
      </c>
      <c r="T178" s="41"/>
    </row>
    <row r="179" customHeight="1" spans="1:20">
      <c r="A179" s="19">
        <f t="shared" si="4"/>
        <v>9</v>
      </c>
      <c r="B179" s="20" t="s">
        <v>3999</v>
      </c>
      <c r="C179" s="613" t="str">
        <f>IFERROR(VLOOKUP(B179,'03. THIẾT BỊ'!$B$1:$S$836,2,0),"")</f>
        <v>CNN-BUA-004</v>
      </c>
      <c r="D179" s="24" t="str">
        <f>IFERROR(VLOOKUP(B179,'03. THIẾT BỊ'!$B$1:$S$836,3,0),"")</f>
        <v>A22-BUA-007</v>
      </c>
      <c r="E179" s="20" t="str">
        <f>IFERROR(VLOOKUP(B179,'03. THIẾT BỊ'!$B$1:$S$836,4,0),"")</f>
        <v>ĐQSD</v>
      </c>
      <c r="F179" s="20" t="str">
        <f>IFERROR(VLOOKUP(B179,'03. THIẾT BỊ'!$B$1:$S$836,5,0),"")</f>
        <v>Thiết bị bừa 9 chảo</v>
      </c>
      <c r="G179" s="101" t="s">
        <v>6468</v>
      </c>
      <c r="H179" s="19" t="str">
        <f>IFERROR(VLOOKUP(B179,'03. THIẾT BỊ'!$B$1:$S$836,7,0),"")</f>
        <v>CGLĐ DP</v>
      </c>
      <c r="I179" s="610" t="str">
        <f>IFERROR(VLOOKUP(B179,'03. THIẾT BỊ'!$B$1:$S$836,8,0),"")</f>
        <v>15/08/2024</v>
      </c>
      <c r="J179" s="25"/>
      <c r="K179" s="19" t="str">
        <f>IFERROR(VLOOKUP(B179,'03. THIẾT BỊ'!$B$1:$S$836,10,0),"")</f>
        <v>Bình thường</v>
      </c>
      <c r="L179" s="25" t="str">
        <f>IFERROR(VLOOKUP(B179,'03. THIẾT BỊ'!$B$1:$S$836,11,0),"")</f>
        <v>CGLĐ AD đ.chuyển qua ngày 15.08.2024</v>
      </c>
      <c r="M179" s="24">
        <f>IFERROR(VLOOKUP(B179,'03. THIẾT BỊ'!$B$1:$S$836,12,0),"")</f>
        <v>0</v>
      </c>
      <c r="N179" s="25">
        <f>IFERROR(VLOOKUP(B179,'03. THIẾT BỊ'!$B$1:$S$836,13,0),"")</f>
        <v>0</v>
      </c>
      <c r="O179" s="24" t="str">
        <f>IFERROR(VLOOKUP(B179,'03. THIẾT BỊ'!$B$1:$S$836,14,0),"")</f>
        <v>9 chảo</v>
      </c>
      <c r="P179" s="25" t="str">
        <f>IFERROR(VLOOKUP(B179,'03. THIẾT BỊ'!$B$1:$S$836,15,0),"")</f>
        <v>-</v>
      </c>
      <c r="Q179" s="23">
        <f>IFERROR(VLOOKUP(B179,'03. THIẾT BỊ'!$B$1:$S$836,16,0),"")</f>
        <v>0</v>
      </c>
      <c r="R179" s="25">
        <f>IFERROR(VLOOKUP(B179,'03. THIẾT BỊ'!$B$1:$S$836,17,0),"")</f>
        <v>0</v>
      </c>
      <c r="S179" s="25">
        <f>IFERROR(VLOOKUP(B179,'03. THIẾT BỊ'!$B$1:$S$836,18,0),"")</f>
        <v>0</v>
      </c>
      <c r="T179" s="41"/>
    </row>
    <row r="180" customHeight="1" spans="1:20">
      <c r="A180" s="19"/>
      <c r="B180" s="20"/>
      <c r="C180" s="613" t="str">
        <f>IFERROR(VLOOKUP(B180,'03. THIẾT BỊ'!$B$1:$S$836,2,0),"")</f>
        <v/>
      </c>
      <c r="D180" s="24" t="str">
        <f>IFERROR(VLOOKUP(B180,'03. THIẾT BỊ'!$B$1:$S$836,3,0),"")</f>
        <v/>
      </c>
      <c r="E180" s="20" t="str">
        <f>IFERROR(VLOOKUP(B180,'03. THIẾT BỊ'!$B$1:$S$836,4,0),"")</f>
        <v/>
      </c>
      <c r="F180" s="20" t="str">
        <f>IFERROR(VLOOKUP(B180,'03. THIẾT BỊ'!$B$1:$S$836,5,0),"")</f>
        <v/>
      </c>
      <c r="G180" s="101" t="s">
        <v>6468</v>
      </c>
      <c r="H180" s="19" t="str">
        <f>IFERROR(VLOOKUP(B180,'03. THIẾT BỊ'!$B$1:$S$836,7,0),"")</f>
        <v/>
      </c>
      <c r="I180" s="610" t="str">
        <f>IFERROR(VLOOKUP(B180,'03. THIẾT BỊ'!$B$1:$S$836,8,0),"")</f>
        <v/>
      </c>
      <c r="J180" s="25"/>
      <c r="K180" s="19" t="str">
        <f>IFERROR(VLOOKUP(B180,'03. THIẾT BỊ'!$B$1:$S$836,10,0),"")</f>
        <v/>
      </c>
      <c r="L180" s="25" t="str">
        <f>IFERROR(VLOOKUP(B180,'03. THIẾT BỊ'!$B$1:$S$836,11,0),"")</f>
        <v/>
      </c>
      <c r="M180" s="24" t="str">
        <f>IFERROR(VLOOKUP(B180,'03. THIẾT BỊ'!$B$1:$S$836,12,0),"")</f>
        <v/>
      </c>
      <c r="N180" s="25" t="str">
        <f>IFERROR(VLOOKUP(B180,'03. THIẾT BỊ'!$B$1:$S$836,13,0),"")</f>
        <v/>
      </c>
      <c r="O180" s="24" t="str">
        <f>IFERROR(VLOOKUP(B180,'03. THIẾT BỊ'!$B$1:$S$836,14,0),"")</f>
        <v/>
      </c>
      <c r="P180" s="25" t="str">
        <f>IFERROR(VLOOKUP(B180,'03. THIẾT BỊ'!$B$1:$S$836,15,0),"")</f>
        <v/>
      </c>
      <c r="Q180" s="23" t="str">
        <f>IFERROR(VLOOKUP(B180,'03. THIẾT BỊ'!$B$1:$S$836,16,0),"")</f>
        <v/>
      </c>
      <c r="R180" s="25" t="str">
        <f>IFERROR(VLOOKUP(B180,'03. THIẾT BỊ'!$B$1:$S$836,17,0),"")</f>
        <v/>
      </c>
      <c r="S180" s="25" t="str">
        <f>IFERROR(VLOOKUP(B180,'03. THIẾT BỊ'!$B$1:$S$836,18,0),"")</f>
        <v/>
      </c>
      <c r="T180" s="41"/>
    </row>
    <row r="181" customHeight="1" spans="1:20">
      <c r="A181" s="19"/>
      <c r="B181" s="20"/>
      <c r="C181" s="613" t="str">
        <f>IFERROR(VLOOKUP(B181,'03. THIẾT BỊ'!$B$1:$S$836,2,0),"")</f>
        <v/>
      </c>
      <c r="D181" s="24" t="str">
        <f>IFERROR(VLOOKUP(B181,'03. THIẾT BỊ'!$B$1:$S$836,3,0),"")</f>
        <v/>
      </c>
      <c r="E181" s="20" t="str">
        <f>IFERROR(VLOOKUP(B181,'03. THIẾT BỊ'!$B$1:$S$836,4,0),"")</f>
        <v/>
      </c>
      <c r="F181" s="20" t="str">
        <f>IFERROR(VLOOKUP(B181,'03. THIẾT BỊ'!$B$1:$S$836,5,0),"")</f>
        <v/>
      </c>
      <c r="G181" s="101" t="s">
        <v>6468</v>
      </c>
      <c r="H181" s="19" t="str">
        <f>IFERROR(VLOOKUP(B181,'03. THIẾT BỊ'!$B$1:$S$836,7,0),"")</f>
        <v/>
      </c>
      <c r="I181" s="610" t="str">
        <f>IFERROR(VLOOKUP(B181,'03. THIẾT BỊ'!$B$1:$S$836,8,0),"")</f>
        <v/>
      </c>
      <c r="J181" s="25"/>
      <c r="K181" s="19" t="str">
        <f>IFERROR(VLOOKUP(B181,'03. THIẾT BỊ'!$B$1:$S$836,10,0),"")</f>
        <v/>
      </c>
      <c r="L181" s="25" t="str">
        <f>IFERROR(VLOOKUP(B181,'03. THIẾT BỊ'!$B$1:$S$836,11,0),"")</f>
        <v/>
      </c>
      <c r="M181" s="24" t="str">
        <f>IFERROR(VLOOKUP(B181,'03. THIẾT BỊ'!$B$1:$S$836,12,0),"")</f>
        <v/>
      </c>
      <c r="N181" s="25" t="str">
        <f>IFERROR(VLOOKUP(B181,'03. THIẾT BỊ'!$B$1:$S$836,13,0),"")</f>
        <v/>
      </c>
      <c r="O181" s="24" t="str">
        <f>IFERROR(VLOOKUP(B181,'03. THIẾT BỊ'!$B$1:$S$836,14,0),"")</f>
        <v/>
      </c>
      <c r="P181" s="25" t="str">
        <f>IFERROR(VLOOKUP(B181,'03. THIẾT BỊ'!$B$1:$S$836,15,0),"")</f>
        <v/>
      </c>
      <c r="Q181" s="23" t="str">
        <f>IFERROR(VLOOKUP(B181,'03. THIẾT BỊ'!$B$1:$S$836,16,0),"")</f>
        <v/>
      </c>
      <c r="R181" s="25" t="str">
        <f>IFERROR(VLOOKUP(B181,'03. THIẾT BỊ'!$B$1:$S$836,17,0),"")</f>
        <v/>
      </c>
      <c r="S181" s="25" t="str">
        <f>IFERROR(VLOOKUP(B181,'03. THIẾT BỊ'!$B$1:$S$836,18,0),"")</f>
        <v/>
      </c>
      <c r="T181" s="41"/>
    </row>
    <row r="182" customHeight="1" spans="1:20">
      <c r="A182" s="14" t="s">
        <v>290</v>
      </c>
      <c r="B182" s="15" t="s">
        <v>6477</v>
      </c>
      <c r="C182" s="14">
        <f>COUNTA(B183:B190)</f>
        <v>5</v>
      </c>
      <c r="D182" s="17" t="str">
        <f>IFERROR(VLOOKUP(B182,'03. THIẾT BỊ'!$B$1:$S$836,3,0),"")</f>
        <v/>
      </c>
      <c r="E182" s="20" t="str">
        <f>IFERROR(VLOOKUP(B182,'03. THIẾT BỊ'!$B$1:$S$836,4,0),"")</f>
        <v/>
      </c>
      <c r="F182" s="17" t="str">
        <f>IFERROR(VLOOKUP(B182,'03. THIẾT BỊ'!$B$1:$S$836,5,0),"")</f>
        <v/>
      </c>
      <c r="G182" s="18" t="s">
        <v>6468</v>
      </c>
      <c r="H182" s="18" t="str">
        <f>IFERROR(VLOOKUP(B182,'03. THIẾT BỊ'!$B$1:$S$836,7,0),"")</f>
        <v/>
      </c>
      <c r="I182" s="14" t="str">
        <f>IFERROR(VLOOKUP(B182,'03. THIẾT BỊ'!$B$1:$S$836,8,0),"")</f>
        <v/>
      </c>
      <c r="J182" s="15"/>
      <c r="K182" s="14" t="str">
        <f>IFERROR(VLOOKUP(B182,'03. THIẾT BỊ'!$B$1:$S$836,10,0),"")</f>
        <v/>
      </c>
      <c r="L182" s="17" t="str">
        <f>IFERROR(VLOOKUP(B182,'03. THIẾT BỊ'!$B$1:$S$836,11,0),"")</f>
        <v/>
      </c>
      <c r="M182" s="16" t="str">
        <f>IFERROR(VLOOKUP(B182,'03. THIẾT BỊ'!$B$1:$S$836,12,0),"")</f>
        <v/>
      </c>
      <c r="N182" s="17" t="str">
        <f>IFERROR(VLOOKUP(B182,'03. THIẾT BỊ'!$B$1:$S$836,13,0),"")</f>
        <v/>
      </c>
      <c r="O182" s="16" t="str">
        <f>IFERROR(VLOOKUP(B182,'03. THIẾT BỊ'!$B$1:$S$836,14,0),"")</f>
        <v/>
      </c>
      <c r="P182" s="17" t="str">
        <f>IFERROR(VLOOKUP(B182,'03. THIẾT BỊ'!$B$1:$S$836,15,0),"")</f>
        <v/>
      </c>
      <c r="Q182" s="18" t="str">
        <f>IFERROR(VLOOKUP(B182,'03. THIẾT BỊ'!$B$1:$S$836,16,0),"")</f>
        <v/>
      </c>
      <c r="R182" s="17" t="str">
        <f>IFERROR(VLOOKUP(B182,'03. THIẾT BỊ'!$B$1:$S$836,17,0),"")</f>
        <v/>
      </c>
      <c r="S182" s="17" t="str">
        <f>IFERROR(VLOOKUP(B182,'03. THIẾT BỊ'!$B$1:$S$836,18,0),"")</f>
        <v/>
      </c>
      <c r="T182" s="609"/>
    </row>
    <row r="183" customHeight="1" spans="1:20">
      <c r="A183" s="19">
        <v>1</v>
      </c>
      <c r="B183" s="20" t="s">
        <v>3962</v>
      </c>
      <c r="C183" s="613" t="str">
        <f>IFERROR(VLOOKUP(B183,'03. THIẾT BỊ'!$B$1:$S$836,2,0),"")</f>
        <v>Mới</v>
      </c>
      <c r="D183" s="24" t="str">
        <f>IFERROR(VLOOKUP(B183,'03. THIẾT BỊ'!$B$1:$S$836,3,0),"")</f>
        <v>A23-BUA-011</v>
      </c>
      <c r="E183" s="20" t="str">
        <f>IFERROR(VLOOKUP(B183,'03. THIẾT BỊ'!$B$1:$S$836,4,0),"")</f>
        <v>MUA MỚI</v>
      </c>
      <c r="F183" s="20" t="str">
        <f>IFERROR(VLOOKUP(B183,'03. THIẾT BỊ'!$B$1:$S$836,5,0),"")</f>
        <v>Thiết bị bừa 24 chảo</v>
      </c>
      <c r="G183" s="101" t="s">
        <v>6468</v>
      </c>
      <c r="H183" s="19" t="str">
        <f>IFERROR(VLOOKUP(B183,'03. THIẾT BỊ'!$B$1:$S$836,7,0),"")</f>
        <v>CGLĐ DP</v>
      </c>
      <c r="I183" s="610" t="str">
        <f>IFERROR(VLOOKUP(B183,'03. THIẾT BỊ'!$B$1:$S$836,8,0),"")</f>
        <v>28/02/2024</v>
      </c>
      <c r="J183" s="25"/>
      <c r="K183" s="19" t="str">
        <f>IFERROR(VLOOKUP(B183,'03. THIẾT BỊ'!$B$1:$S$836,10,0),"")</f>
        <v>Bình thường</v>
      </c>
      <c r="L183" s="25">
        <f>IFERROR(VLOOKUP(B183,'03. THIẾT BỊ'!$B$1:$S$836,11,0),"")</f>
        <v>0</v>
      </c>
      <c r="M183" s="24">
        <f>IFERROR(VLOOKUP(B183,'03. THIẾT BỊ'!$B$1:$S$836,12,0),"")</f>
        <v>0</v>
      </c>
      <c r="N183" s="25" t="str">
        <f>IFERROR(VLOOKUP(B183,'03. THIẾT BỊ'!$B$1:$S$836,13,0),"")</f>
        <v>INRODA</v>
      </c>
      <c r="O183" s="24" t="str">
        <f>IFERROR(VLOOKUP(B183,'03. THIẾT BỊ'!$B$1:$S$836,14,0),"")</f>
        <v>GASP30235</v>
      </c>
      <c r="P183" s="25" t="str">
        <f>IFERROR(VLOOKUP(B183,'03. THIẾT BỊ'!$B$1:$S$836,15,0),"")</f>
        <v>BRAZIL</v>
      </c>
      <c r="Q183" s="23">
        <f>IFERROR(VLOOKUP(B183,'03. THIẾT BỊ'!$B$1:$S$836,16,0),"")</f>
        <v>2024</v>
      </c>
      <c r="R183" s="25">
        <f>IFERROR(VLOOKUP(B183,'03. THIẾT BỊ'!$B$1:$S$836,17,0),"")</f>
        <v>0</v>
      </c>
      <c r="S183" s="25">
        <f>IFERROR(VLOOKUP(B183,'03. THIẾT BỊ'!$B$1:$S$836,18,0),"")</f>
        <v>0</v>
      </c>
      <c r="T183" s="41"/>
    </row>
    <row r="184" customHeight="1" spans="1:20">
      <c r="A184" s="19">
        <v>2</v>
      </c>
      <c r="B184" s="20" t="s">
        <v>3968</v>
      </c>
      <c r="C184" s="613" t="str">
        <f>IFERROR(VLOOKUP(B184,'03. THIẾT BỊ'!$B$1:$S$836,2,0),"")</f>
        <v>Mới</v>
      </c>
      <c r="D184" s="24" t="str">
        <f>IFERROR(VLOOKUP(B184,'03. THIẾT BỊ'!$B$1:$S$836,3,0),"")</f>
        <v>A23-BUA-014</v>
      </c>
      <c r="E184" s="20" t="str">
        <f>IFERROR(VLOOKUP(B184,'03. THIẾT BỊ'!$B$1:$S$836,4,0),"")</f>
        <v>MUA MỚI</v>
      </c>
      <c r="F184" s="20" t="str">
        <f>IFERROR(VLOOKUP(B184,'03. THIẾT BỊ'!$B$1:$S$836,5,0),"")</f>
        <v>Thiết bị bừa 24 chảo</v>
      </c>
      <c r="G184" s="101" t="s">
        <v>6468</v>
      </c>
      <c r="H184" s="19" t="str">
        <f>IFERROR(VLOOKUP(B184,'03. THIẾT BỊ'!$B$1:$S$836,7,0),"")</f>
        <v>CGLĐ DP</v>
      </c>
      <c r="I184" s="610" t="str">
        <f>IFERROR(VLOOKUP(B184,'03. THIẾT BỊ'!$B$1:$S$836,8,0),"")</f>
        <v>26/07/2024</v>
      </c>
      <c r="J184" s="25"/>
      <c r="K184" s="19" t="str">
        <f>IFERROR(VLOOKUP(B184,'03. THIẾT BỊ'!$B$1:$S$836,10,0),"")</f>
        <v>Bình thường</v>
      </c>
      <c r="L184" s="25">
        <f>IFERROR(VLOOKUP(B184,'03. THIẾT BỊ'!$B$1:$S$836,11,0),"")</f>
        <v>0</v>
      </c>
      <c r="M184" s="24">
        <f>IFERROR(VLOOKUP(B184,'03. THIẾT BỊ'!$B$1:$S$836,12,0),"")</f>
        <v>0</v>
      </c>
      <c r="N184" s="25" t="str">
        <f>IFERROR(VLOOKUP(B184,'03. THIẾT BỊ'!$B$1:$S$836,13,0),"")</f>
        <v>INRODA</v>
      </c>
      <c r="O184" s="24" t="str">
        <f>IFERROR(VLOOKUP(B184,'03. THIẾT BỊ'!$B$1:$S$836,14,0),"")</f>
        <v>GASP30235</v>
      </c>
      <c r="P184" s="25" t="str">
        <f>IFERROR(VLOOKUP(B184,'03. THIẾT BỊ'!$B$1:$S$836,15,0),"")</f>
        <v>BRAZIL</v>
      </c>
      <c r="Q184" s="23">
        <f>IFERROR(VLOOKUP(B184,'03. THIẾT BỊ'!$B$1:$S$836,16,0),"")</f>
        <v>2024</v>
      </c>
      <c r="R184" s="25">
        <f>IFERROR(VLOOKUP(B184,'03. THIẾT BỊ'!$B$1:$S$836,17,0),"")</f>
        <v>0</v>
      </c>
      <c r="S184" s="25">
        <f>IFERROR(VLOOKUP(B184,'03. THIẾT BỊ'!$B$1:$S$836,18,0),"")</f>
        <v>3453785</v>
      </c>
      <c r="T184" s="41"/>
    </row>
    <row r="185" customHeight="1" spans="1:20">
      <c r="A185" s="19">
        <v>3</v>
      </c>
      <c r="B185" s="20" t="s">
        <v>4088</v>
      </c>
      <c r="C185" s="613" t="str">
        <f>IFERROR(VLOOKUP(B185,'03. THIẾT BỊ'!$B$1:$S$836,2,0),"")</f>
        <v>CNN-BUA-012</v>
      </c>
      <c r="D185" s="24" t="str">
        <f>IFERROR(VLOOKUP(B185,'03. THIẾT BỊ'!$B$1:$S$836,3,0),"")</f>
        <v>A24-BUA-012</v>
      </c>
      <c r="E185" s="20" t="str">
        <f>IFERROR(VLOOKUP(B185,'03. THIẾT BỊ'!$B$1:$S$836,4,0),"")</f>
        <v>MUA MỚI</v>
      </c>
      <c r="F185" s="20" t="str">
        <f>IFERROR(VLOOKUP(B185,'03. THIẾT BỊ'!$B$1:$S$836,5,0),"")</f>
        <v>Thiết bị bừa 24 chảo</v>
      </c>
      <c r="G185" s="101" t="s">
        <v>6468</v>
      </c>
      <c r="H185" s="19" t="str">
        <f>IFERROR(VLOOKUP(B185,'03. THIẾT BỊ'!$B$1:$S$836,7,0),"")</f>
        <v>CGLĐ LP</v>
      </c>
      <c r="I185" s="610" t="str">
        <f>IFERROR(VLOOKUP(B185,'03. THIẾT BỊ'!$B$1:$S$836,8,0),"")</f>
        <v>28/02/2024</v>
      </c>
      <c r="J185" s="25"/>
      <c r="K185" s="19" t="str">
        <f>IFERROR(VLOOKUP(B185,'03. THIẾT BỊ'!$B$1:$S$836,10,0),"")</f>
        <v>Bình thường</v>
      </c>
      <c r="L185" s="25" t="str">
        <f>IFERROR(VLOOKUP(B185,'03. THIẾT BỊ'!$B$1:$S$836,11,0),"")</f>
        <v>MỚI</v>
      </c>
      <c r="M185" s="24">
        <f>IFERROR(VLOOKUP(B185,'03. THIẾT BỊ'!$B$1:$S$836,12,0),"")</f>
        <v>0</v>
      </c>
      <c r="N185" s="25" t="str">
        <f>IFERROR(VLOOKUP(B185,'03. THIẾT BỊ'!$B$1:$S$836,13,0),"")</f>
        <v>CAMBODIA</v>
      </c>
      <c r="O185" s="24" t="str">
        <f>IFERROR(VLOOKUP(B185,'03. THIẾT BỊ'!$B$1:$S$836,14,0),"")</f>
        <v>24 chảo</v>
      </c>
      <c r="P185" s="25" t="str">
        <f>IFERROR(VLOOKUP(B185,'03. THIẾT BỊ'!$B$1:$S$836,15,0),"")</f>
        <v>CAMBODIA</v>
      </c>
      <c r="Q185" s="23">
        <f>IFERROR(VLOOKUP(B185,'03. THIẾT BỊ'!$B$1:$S$836,16,0),"")</f>
        <v>0</v>
      </c>
      <c r="R185" s="25">
        <f>IFERROR(VLOOKUP(B185,'03. THIẾT BỊ'!$B$1:$S$836,17,0),"")</f>
        <v>0</v>
      </c>
      <c r="S185" s="25">
        <f>IFERROR(VLOOKUP(B185,'03. THIẾT BỊ'!$B$1:$S$836,18,0),"")</f>
        <v>0</v>
      </c>
      <c r="T185" s="41"/>
    </row>
    <row r="186" customHeight="1" spans="1:20">
      <c r="A186" s="19">
        <v>4</v>
      </c>
      <c r="B186" s="20" t="s">
        <v>5537</v>
      </c>
      <c r="C186" s="613">
        <f>IFERROR(VLOOKUP(B186,'03. THIẾT BỊ'!$B$1:$S$836,2,0),"")</f>
        <v>0</v>
      </c>
      <c r="D186" s="24" t="str">
        <f>IFERROR(VLOOKUP(B186,'03. THIẾT BỊ'!$B$1:$S$836,3,0),"")</f>
        <v>A22-BUA-002</v>
      </c>
      <c r="E186" s="20" t="str">
        <f>IFERROR(VLOOKUP(B186,'03. THIẾT BỊ'!$B$1:$S$836,4,0),"")</f>
        <v>MUA MỚI</v>
      </c>
      <c r="F186" s="20" t="str">
        <f>IFERROR(VLOOKUP(B186,'03. THIẾT BỊ'!$B$1:$S$836,5,0),"")</f>
        <v>Thiết bị bừa 24 chảo</v>
      </c>
      <c r="G186" s="101" t="s">
        <v>6468</v>
      </c>
      <c r="H186" s="19" t="str">
        <f>IFERROR(VLOOKUP(B186,'03. THIẾT BỊ'!$B$1:$S$836,7,0),"")</f>
        <v>XN Bò AD</v>
      </c>
      <c r="I186" s="610" t="str">
        <f>IFERROR(VLOOKUP(B186,'03. THIẾT BỊ'!$B$1:$S$836,8,0),"")</f>
        <v>26/07/2024</v>
      </c>
      <c r="J186" s="25"/>
      <c r="K186" s="19" t="str">
        <f>IFERROR(VLOOKUP(B186,'03. THIẾT BỊ'!$B$1:$S$836,10,0),"")</f>
        <v>Bình thường</v>
      </c>
      <c r="L186" s="25">
        <f>IFERROR(VLOOKUP(B186,'03. THIẾT BỊ'!$B$1:$S$836,11,0),"")</f>
        <v>0</v>
      </c>
      <c r="M186" s="24" t="str">
        <f>IFERROR(VLOOKUP(B186,'03. THIẾT BỊ'!$B$1:$S$836,12,0),"")</f>
        <v>Đầu tư mới</v>
      </c>
      <c r="N186" s="25" t="str">
        <f>IFERROR(VLOOKUP(B186,'03. THIẾT BỊ'!$B$1:$S$836,13,0),"")</f>
        <v>INRODA</v>
      </c>
      <c r="O186" s="24" t="str">
        <f>IFERROR(VLOOKUP(B186,'03. THIẾT BỊ'!$B$1:$S$836,14,0),"")</f>
        <v>GASP24235</v>
      </c>
      <c r="P186" s="25" t="str">
        <f>IFERROR(VLOOKUP(B186,'03. THIẾT BỊ'!$B$1:$S$836,15,0),"")</f>
        <v>BRAZIL</v>
      </c>
      <c r="Q186" s="23">
        <f>IFERROR(VLOOKUP(B186,'03. THIẾT BỊ'!$B$1:$S$836,16,0),"")</f>
        <v>2024</v>
      </c>
      <c r="R186" s="25">
        <f>IFERROR(VLOOKUP(B186,'03. THIẾT BỊ'!$B$1:$S$836,17,0),"")</f>
        <v>0</v>
      </c>
      <c r="S186" s="25">
        <f>IFERROR(VLOOKUP(B186,'03. THIẾT BỊ'!$B$1:$S$836,18,0),"")</f>
        <v>3453782</v>
      </c>
      <c r="T186" s="41"/>
    </row>
    <row r="187" customHeight="1" spans="1:20">
      <c r="A187" s="19">
        <v>5</v>
      </c>
      <c r="B187" s="20" t="s">
        <v>5540</v>
      </c>
      <c r="C187" s="613">
        <f>IFERROR(VLOOKUP(B187,'03. THIẾT BỊ'!$B$1:$S$836,2,0),"")</f>
        <v>0</v>
      </c>
      <c r="D187" s="24" t="str">
        <f>IFERROR(VLOOKUP(B187,'03. THIẾT BỊ'!$B$1:$S$836,3,0),"")</f>
        <v>A22-BUA-003</v>
      </c>
      <c r="E187" s="20" t="str">
        <f>IFERROR(VLOOKUP(B187,'03. THIẾT BỊ'!$B$1:$S$836,4,0),"")</f>
        <v>MUA MỚI</v>
      </c>
      <c r="F187" s="20" t="str">
        <f>IFERROR(VLOOKUP(B187,'03. THIẾT BỊ'!$B$1:$S$836,5,0),"")</f>
        <v>Thiết bị bừa 24 chảo</v>
      </c>
      <c r="G187" s="101" t="s">
        <v>6468</v>
      </c>
      <c r="H187" s="19" t="str">
        <f>IFERROR(VLOOKUP(B187,'03. THIẾT BỊ'!$B$1:$S$836,7,0),"")</f>
        <v>XN Bò AD</v>
      </c>
      <c r="I187" s="610">
        <f>IFERROR(VLOOKUP(B187,'03. THIẾT BỊ'!$B$1:$S$836,8,0),"")</f>
        <v>45789</v>
      </c>
      <c r="J187" s="25"/>
      <c r="K187" s="19" t="str">
        <f>IFERROR(VLOOKUP(B187,'03. THIẾT BỊ'!$B$1:$S$836,10,0),"")</f>
        <v>Bình thường</v>
      </c>
      <c r="L187" s="25">
        <f>IFERROR(VLOOKUP(B187,'03. THIẾT BỊ'!$B$1:$S$836,11,0),"")</f>
        <v>0</v>
      </c>
      <c r="M187" s="24" t="str">
        <f>IFERROR(VLOOKUP(B187,'03. THIẾT BỊ'!$B$1:$S$836,12,0),"")</f>
        <v>Đầu tư mới</v>
      </c>
      <c r="N187" s="25">
        <f>IFERROR(VLOOKUP(B187,'03. THIẾT BỊ'!$B$1:$S$836,13,0),"")</f>
        <v>0</v>
      </c>
      <c r="O187" s="24">
        <f>IFERROR(VLOOKUP(B187,'03. THIẾT BỊ'!$B$1:$S$836,14,0),"")</f>
        <v>0</v>
      </c>
      <c r="P187" s="25" t="str">
        <f>IFERROR(VLOOKUP(B187,'03. THIẾT BỊ'!$B$1:$S$836,15,0),"")</f>
        <v>TRUNG QUỐC</v>
      </c>
      <c r="Q187" s="23">
        <f>IFERROR(VLOOKUP(B187,'03. THIẾT BỊ'!$B$1:$S$836,16,0),"")</f>
        <v>2025</v>
      </c>
      <c r="R187" s="25">
        <f>IFERROR(VLOOKUP(B187,'03. THIẾT BỊ'!$B$1:$S$836,17,0),"")</f>
        <v>0</v>
      </c>
      <c r="S187" s="25">
        <f>IFERROR(VLOOKUP(B187,'03. THIẾT BỊ'!$B$1:$S$836,18,0),"")</f>
        <v>0</v>
      </c>
      <c r="T187" s="20"/>
    </row>
    <row r="188" customHeight="1" spans="1:20">
      <c r="A188" s="324"/>
      <c r="B188" s="41"/>
      <c r="C188" s="613"/>
      <c r="D188" s="24"/>
      <c r="E188" s="20" t="str">
        <f>IFERROR(VLOOKUP(B188,'03. THIẾT BỊ'!$B$1:$S$836,4,0),"")</f>
        <v/>
      </c>
      <c r="F188" s="20"/>
      <c r="G188" s="101"/>
      <c r="H188" s="19"/>
      <c r="I188" s="610"/>
      <c r="J188" s="25"/>
      <c r="K188" s="19"/>
      <c r="L188" s="25"/>
      <c r="M188" s="24"/>
      <c r="N188" s="25"/>
      <c r="O188" s="24"/>
      <c r="P188" s="25"/>
      <c r="Q188" s="23"/>
      <c r="R188" s="25"/>
      <c r="S188" s="25"/>
      <c r="T188" s="41"/>
    </row>
    <row r="189" customHeight="1" spans="1:20">
      <c r="A189" s="324"/>
      <c r="B189" s="41"/>
      <c r="C189" s="613"/>
      <c r="D189" s="24"/>
      <c r="E189" s="20" t="str">
        <f>IFERROR(VLOOKUP(B189,'03. THIẾT BỊ'!$B$1:$S$836,4,0),"")</f>
        <v/>
      </c>
      <c r="F189" s="20"/>
      <c r="G189" s="101"/>
      <c r="H189" s="19"/>
      <c r="I189" s="610"/>
      <c r="J189" s="25"/>
      <c r="K189" s="19"/>
      <c r="L189" s="25"/>
      <c r="M189" s="24"/>
      <c r="N189" s="25"/>
      <c r="O189" s="24"/>
      <c r="P189" s="25"/>
      <c r="Q189" s="23"/>
      <c r="R189" s="25"/>
      <c r="S189" s="25"/>
      <c r="T189" s="41"/>
    </row>
    <row r="190" customHeight="1" spans="1:20">
      <c r="A190" s="324"/>
      <c r="B190" s="41"/>
      <c r="C190" s="613" t="str">
        <f>IFERROR(VLOOKUP(B190,'03. THIẾT BỊ'!$B$1:$S$836,2,0),"")</f>
        <v/>
      </c>
      <c r="D190" s="24" t="str">
        <f>IFERROR(VLOOKUP(B190,'03. THIẾT BỊ'!$B$1:$S$836,3,0),"")</f>
        <v/>
      </c>
      <c r="E190" s="20" t="str">
        <f>IFERROR(VLOOKUP(B190,'03. THIẾT BỊ'!$B$1:$S$836,4,0),"")</f>
        <v/>
      </c>
      <c r="F190" s="20" t="str">
        <f>IFERROR(VLOOKUP(B190,'03. THIẾT BỊ'!$B$1:$S$836,5,0),"")</f>
        <v/>
      </c>
      <c r="G190" s="101" t="s">
        <v>6468</v>
      </c>
      <c r="H190" s="19" t="str">
        <f>IFERROR(VLOOKUP(B190,'03. THIẾT BỊ'!$B$1:$S$836,7,0),"")</f>
        <v/>
      </c>
      <c r="I190" s="610" t="str">
        <f>IFERROR(VLOOKUP(B190,'03. THIẾT BỊ'!$B$1:$S$836,8,0),"")</f>
        <v/>
      </c>
      <c r="J190" s="25"/>
      <c r="K190" s="19" t="str">
        <f>IFERROR(VLOOKUP(B190,'03. THIẾT BỊ'!$B$1:$S$836,10,0),"")</f>
        <v/>
      </c>
      <c r="L190" s="25" t="str">
        <f>IFERROR(VLOOKUP(B190,'03. THIẾT BỊ'!$B$1:$S$836,11,0),"")</f>
        <v/>
      </c>
      <c r="M190" s="24" t="str">
        <f>IFERROR(VLOOKUP(B190,'03. THIẾT BỊ'!$B$1:$S$836,12,0),"")</f>
        <v/>
      </c>
      <c r="N190" s="25" t="str">
        <f>IFERROR(VLOOKUP(B190,'03. THIẾT BỊ'!$B$1:$S$836,13,0),"")</f>
        <v/>
      </c>
      <c r="O190" s="24" t="str">
        <f>IFERROR(VLOOKUP(B190,'03. THIẾT BỊ'!$B$1:$S$836,14,0),"")</f>
        <v/>
      </c>
      <c r="P190" s="25" t="str">
        <f>IFERROR(VLOOKUP(B190,'03. THIẾT BỊ'!$B$1:$S$836,15,0),"")</f>
        <v/>
      </c>
      <c r="Q190" s="23" t="str">
        <f>IFERROR(VLOOKUP(B190,'03. THIẾT BỊ'!$B$1:$S$836,16,0),"")</f>
        <v/>
      </c>
      <c r="R190" s="25" t="str">
        <f>IFERROR(VLOOKUP(B190,'03. THIẾT BỊ'!$B$1:$S$836,17,0),"")</f>
        <v/>
      </c>
      <c r="S190" s="25" t="str">
        <f>IFERROR(VLOOKUP(B190,'03. THIẾT BỊ'!$B$1:$S$836,18,0),"")</f>
        <v/>
      </c>
      <c r="T190" s="41"/>
    </row>
    <row r="191" customHeight="1" spans="1:20">
      <c r="A191" s="14" t="s">
        <v>290</v>
      </c>
      <c r="B191" s="15" t="s">
        <v>6478</v>
      </c>
      <c r="C191" s="14">
        <f>COUNTA(B192:B198)</f>
        <v>6</v>
      </c>
      <c r="D191" s="17" t="str">
        <f>IFERROR(VLOOKUP(B191,'03. THIẾT BỊ'!$B$1:$S$836,3,0),"")</f>
        <v/>
      </c>
      <c r="E191" s="20" t="str">
        <f>IFERROR(VLOOKUP(B191,'03. THIẾT BỊ'!$B$1:$S$836,4,0),"")</f>
        <v/>
      </c>
      <c r="F191" s="17" t="str">
        <f>IFERROR(VLOOKUP(B191,'03. THIẾT BỊ'!$B$1:$S$836,5,0),"")</f>
        <v/>
      </c>
      <c r="G191" s="18" t="s">
        <v>6468</v>
      </c>
      <c r="H191" s="18" t="str">
        <f>IFERROR(VLOOKUP(B191,'03. THIẾT BỊ'!$B$1:$S$836,7,0),"")</f>
        <v/>
      </c>
      <c r="I191" s="14" t="str">
        <f>IFERROR(VLOOKUP(B191,'03. THIẾT BỊ'!$B$1:$S$836,8,0),"")</f>
        <v/>
      </c>
      <c r="J191" s="15"/>
      <c r="K191" s="14" t="str">
        <f>IFERROR(VLOOKUP(B191,'03. THIẾT BỊ'!$B$1:$S$836,10,0),"")</f>
        <v/>
      </c>
      <c r="L191" s="17" t="str">
        <f>IFERROR(VLOOKUP(B191,'03. THIẾT BỊ'!$B$1:$S$836,11,0),"")</f>
        <v/>
      </c>
      <c r="M191" s="16" t="str">
        <f>IFERROR(VLOOKUP(B191,'03. THIẾT BỊ'!$B$1:$S$836,12,0),"")</f>
        <v/>
      </c>
      <c r="N191" s="17" t="str">
        <f>IFERROR(VLOOKUP(B191,'03. THIẾT BỊ'!$B$1:$S$836,13,0),"")</f>
        <v/>
      </c>
      <c r="O191" s="16" t="str">
        <f>IFERROR(VLOOKUP(B191,'03. THIẾT BỊ'!$B$1:$S$836,14,0),"")</f>
        <v/>
      </c>
      <c r="P191" s="17" t="str">
        <f>IFERROR(VLOOKUP(B191,'03. THIẾT BỊ'!$B$1:$S$836,15,0),"")</f>
        <v/>
      </c>
      <c r="Q191" s="18" t="str">
        <f>IFERROR(VLOOKUP(B191,'03. THIẾT BỊ'!$B$1:$S$836,16,0),"")</f>
        <v/>
      </c>
      <c r="R191" s="17" t="str">
        <f>IFERROR(VLOOKUP(B191,'03. THIẾT BỊ'!$B$1:$S$836,17,0),"")</f>
        <v/>
      </c>
      <c r="S191" s="17" t="str">
        <f>IFERROR(VLOOKUP(B191,'03. THIẾT BỊ'!$B$1:$S$836,18,0),"")</f>
        <v/>
      </c>
      <c r="T191" s="609"/>
    </row>
    <row r="192" customHeight="1" spans="1:20">
      <c r="A192" s="19">
        <v>1</v>
      </c>
      <c r="B192" s="20" t="s">
        <v>3970</v>
      </c>
      <c r="C192" s="613" t="str">
        <f>IFERROR(VLOOKUP(B192,'03. THIẾT BỊ'!$B$1:$S$836,2,0),"")</f>
        <v>Mới</v>
      </c>
      <c r="D192" s="24" t="str">
        <f>IFERROR(VLOOKUP(B192,'03. THIẾT BỊ'!$B$1:$S$836,3,0),"")</f>
        <v>A23-BUA-015</v>
      </c>
      <c r="E192" s="20" t="str">
        <f>IFERROR(VLOOKUP(B192,'03. THIẾT BỊ'!$B$1:$S$836,4,0),"")</f>
        <v>MUA MỚI</v>
      </c>
      <c r="F192" s="20" t="str">
        <f>IFERROR(VLOOKUP(B192,'03. THIẾT BỊ'!$B$1:$S$836,5,0),"")</f>
        <v>Thiết bị bừa 30 chảo</v>
      </c>
      <c r="G192" s="101" t="s">
        <v>6468</v>
      </c>
      <c r="H192" s="19" t="str">
        <f>IFERROR(VLOOKUP(B192,'03. THIẾT BỊ'!$B$1:$S$836,7,0),"")</f>
        <v>CGLĐ DP</v>
      </c>
      <c r="I192" s="610" t="str">
        <f>IFERROR(VLOOKUP(B192,'03. THIẾT BỊ'!$B$1:$S$836,8,0),"")</f>
        <v>26/07/2024</v>
      </c>
      <c r="J192" s="25"/>
      <c r="K192" s="19" t="str">
        <f>IFERROR(VLOOKUP(B192,'03. THIẾT BỊ'!$B$1:$S$836,10,0),"")</f>
        <v>Bình thường</v>
      </c>
      <c r="L192" s="25">
        <f>IFERROR(VLOOKUP(B192,'03. THIẾT BỊ'!$B$1:$S$836,11,0),"")</f>
        <v>0</v>
      </c>
      <c r="M192" s="24">
        <f>IFERROR(VLOOKUP(B192,'03. THIẾT BỊ'!$B$1:$S$836,12,0),"")</f>
        <v>0</v>
      </c>
      <c r="N192" s="25" t="str">
        <f>IFERROR(VLOOKUP(B192,'03. THIẾT BỊ'!$B$1:$S$836,13,0),"")</f>
        <v>INRODA</v>
      </c>
      <c r="O192" s="24" t="str">
        <f>IFERROR(VLOOKUP(B192,'03. THIẾT BỊ'!$B$1:$S$836,14,0),"")</f>
        <v>GASP30235</v>
      </c>
      <c r="P192" s="25" t="str">
        <f>IFERROR(VLOOKUP(B192,'03. THIẾT BỊ'!$B$1:$S$836,15,0),"")</f>
        <v>BRAZIL</v>
      </c>
      <c r="Q192" s="23">
        <f>IFERROR(VLOOKUP(B192,'03. THIẾT BỊ'!$B$1:$S$836,16,0),"")</f>
        <v>2024</v>
      </c>
      <c r="R192" s="25">
        <f>IFERROR(VLOOKUP(B192,'03. THIẾT BỊ'!$B$1:$S$836,17,0),"")</f>
        <v>0</v>
      </c>
      <c r="S192" s="25">
        <f>IFERROR(VLOOKUP(B192,'03. THIẾT BỊ'!$B$1:$S$836,18,0),"")</f>
        <v>3453784</v>
      </c>
      <c r="T192" s="41"/>
    </row>
    <row r="193" customHeight="1" spans="1:20">
      <c r="A193" s="19">
        <f t="shared" ref="A193:A197" si="5">A192+1</f>
        <v>2</v>
      </c>
      <c r="B193" s="20" t="s">
        <v>4134</v>
      </c>
      <c r="C193" s="613">
        <f>IFERROR(VLOOKUP(B193,'03. THIẾT BỊ'!$B$1:$S$836,2,0),"")</f>
        <v>0</v>
      </c>
      <c r="D193" s="24" t="str">
        <f>IFERROR(VLOOKUP(B193,'03. THIẾT BỊ'!$B$1:$S$836,3,0),"")</f>
        <v>A24-BUA-016</v>
      </c>
      <c r="E193" s="20" t="str">
        <f>IFERROR(VLOOKUP(B193,'03. THIẾT BỊ'!$B$1:$S$836,4,0),"")</f>
        <v>MUA MỚI</v>
      </c>
      <c r="F193" s="20" t="str">
        <f>IFERROR(VLOOKUP(B193,'03. THIẾT BỊ'!$B$1:$S$836,5,0),"")</f>
        <v>Thiết bị bừa 30 chảo</v>
      </c>
      <c r="G193" s="101" t="s">
        <v>6468</v>
      </c>
      <c r="H193" s="19" t="str">
        <f>IFERROR(VLOOKUP(B193,'03. THIẾT BỊ'!$B$1:$S$836,7,0),"")</f>
        <v>CGLĐ LP</v>
      </c>
      <c r="I193" s="610" t="str">
        <f>IFERROR(VLOOKUP(B193,'03. THIẾT BỊ'!$B$1:$S$836,8,0),"")</f>
        <v>26/07/2024</v>
      </c>
      <c r="J193" s="25"/>
      <c r="K193" s="19" t="str">
        <f>IFERROR(VLOOKUP(B193,'03. THIẾT BỊ'!$B$1:$S$836,10,0),"")</f>
        <v>Bình thường</v>
      </c>
      <c r="L193" s="25" t="str">
        <f>IFERROR(VLOOKUP(B193,'03. THIẾT BỊ'!$B$1:$S$836,11,0),"")</f>
        <v>Gia công mới</v>
      </c>
      <c r="M193" s="24">
        <f>IFERROR(VLOOKUP(B193,'03. THIẾT BỊ'!$B$1:$S$836,12,0),"")</f>
        <v>0</v>
      </c>
      <c r="N193" s="25" t="str">
        <f>IFERROR(VLOOKUP(B193,'03. THIẾT BỊ'!$B$1:$S$836,13,0),"")</f>
        <v>INRODA</v>
      </c>
      <c r="O193" s="24" t="str">
        <f>IFERROR(VLOOKUP(B193,'03. THIẾT BỊ'!$B$1:$S$836,14,0),"")</f>
        <v>GASP24235</v>
      </c>
      <c r="P193" s="25" t="str">
        <f>IFERROR(VLOOKUP(B193,'03. THIẾT BỊ'!$B$1:$S$836,15,0),"")</f>
        <v>BRAZIL</v>
      </c>
      <c r="Q193" s="23">
        <f>IFERROR(VLOOKUP(B193,'03. THIẾT BỊ'!$B$1:$S$836,16,0),"")</f>
        <v>2024</v>
      </c>
      <c r="R193" s="25">
        <f>IFERROR(VLOOKUP(B193,'03. THIẾT BỊ'!$B$1:$S$836,17,0),"")</f>
        <v>0</v>
      </c>
      <c r="S193" s="25">
        <f>IFERROR(VLOOKUP(B193,'03. THIẾT BỊ'!$B$1:$S$836,18,0),"")</f>
        <v>3453783</v>
      </c>
      <c r="T193" s="41" t="s">
        <v>290</v>
      </c>
    </row>
    <row r="194" customHeight="1" spans="1:20">
      <c r="A194" s="19">
        <f t="shared" si="5"/>
        <v>3</v>
      </c>
      <c r="B194" s="20" t="s">
        <v>4084</v>
      </c>
      <c r="C194" s="613" t="str">
        <f>IFERROR(VLOOKUP(B194,'03. THIẾT BỊ'!$B$1:$S$836,2,0),"")</f>
        <v>CNN-BUA-009</v>
      </c>
      <c r="D194" s="24" t="str">
        <f>IFERROR(VLOOKUP(B194,'03. THIẾT BỊ'!$B$1:$S$836,3,0),"")</f>
        <v>A24-BUA-006</v>
      </c>
      <c r="E194" s="20" t="str">
        <f>IFERROR(VLOOKUP(B194,'03. THIẾT BỊ'!$B$1:$S$836,4,0),"")</f>
        <v>MUA MỚI</v>
      </c>
      <c r="F194" s="20" t="str">
        <f>IFERROR(VLOOKUP(B194,'03. THIẾT BỊ'!$B$1:$S$836,5,0),"")</f>
        <v>Thiết Bị Bừa 32 Chảo</v>
      </c>
      <c r="G194" s="101" t="s">
        <v>6468</v>
      </c>
      <c r="H194" s="19" t="str">
        <f>IFERROR(VLOOKUP(B194,'03. THIẾT BỊ'!$B$1:$S$836,7,0),"")</f>
        <v>CGLĐ LP</v>
      </c>
      <c r="I194" s="610">
        <f>IFERROR(VLOOKUP(B194,'03. THIẾT BỊ'!$B$1:$S$836,8,0),"")</f>
        <v>0</v>
      </c>
      <c r="J194" s="25"/>
      <c r="K194" s="19" t="str">
        <f>IFERROR(VLOOKUP(B194,'03. THIẾT BỊ'!$B$1:$S$836,10,0),"")</f>
        <v>Bình thường</v>
      </c>
      <c r="L194" s="25">
        <f>IFERROR(VLOOKUP(B194,'03. THIẾT BỊ'!$B$1:$S$836,11,0),"")</f>
        <v>0</v>
      </c>
      <c r="M194" s="24">
        <f>IFERROR(VLOOKUP(B194,'03. THIẾT BỊ'!$B$1:$S$836,12,0),"")</f>
        <v>0</v>
      </c>
      <c r="N194" s="25" t="str">
        <f>IFERROR(VLOOKUP(B194,'03. THIẾT BỊ'!$B$1:$S$836,13,0),"")</f>
        <v>CAMBODIA</v>
      </c>
      <c r="O194" s="24" t="str">
        <f>IFERROR(VLOOKUP(B194,'03. THIẾT BỊ'!$B$1:$S$836,14,0),"")</f>
        <v>32 chảo</v>
      </c>
      <c r="P194" s="25" t="str">
        <f>IFERROR(VLOOKUP(B194,'03. THIẾT BỊ'!$B$1:$S$836,15,0),"")</f>
        <v>CAMBODIA</v>
      </c>
      <c r="Q194" s="23">
        <f>IFERROR(VLOOKUP(B194,'03. THIẾT BỊ'!$B$1:$S$836,16,0),"")</f>
        <v>0</v>
      </c>
      <c r="R194" s="25">
        <f>IFERROR(VLOOKUP(B194,'03. THIẾT BỊ'!$B$1:$S$836,17,0),"")</f>
        <v>0</v>
      </c>
      <c r="S194" s="25">
        <f>IFERROR(VLOOKUP(B194,'03. THIẾT BỊ'!$B$1:$S$836,18,0),"")</f>
        <v>0</v>
      </c>
      <c r="T194" s="41"/>
    </row>
    <row r="195" ht="13.8" spans="1:20">
      <c r="A195" s="19">
        <f t="shared" si="5"/>
        <v>4</v>
      </c>
      <c r="B195" s="20" t="s">
        <v>5533</v>
      </c>
      <c r="C195" s="613" t="str">
        <f>IFERROR(VLOOKUP(B195,'03. THIẾT BỊ'!$B$1:$S$836,2,0),"")</f>
        <v>B32C04</v>
      </c>
      <c r="D195" s="24" t="str">
        <f>IFERROR(VLOOKUP(B195,'03. THIẾT BỊ'!$B$1:$S$836,3,0),"")</f>
        <v>A22-BUA-001</v>
      </c>
      <c r="E195" s="20" t="str">
        <f>IFERROR(VLOOKUP(B195,'03. THIẾT BỊ'!$B$1:$S$836,4,0),"")</f>
        <v>MUA MỚI</v>
      </c>
      <c r="F195" s="20" t="str">
        <f>IFERROR(VLOOKUP(B195,'03. THIẾT BỊ'!$B$1:$S$836,5,0),"")</f>
        <v>Thiết bị bừa 32 chảo</v>
      </c>
      <c r="G195" s="101" t="s">
        <v>6468</v>
      </c>
      <c r="H195" s="19" t="str">
        <f>IFERROR(VLOOKUP(B195,'03. THIẾT BỊ'!$B$1:$S$836,7,0),"")</f>
        <v>XN Bò AD</v>
      </c>
      <c r="I195" s="610">
        <f>IFERROR(VLOOKUP(B195,'03. THIẾT BỊ'!$B$1:$S$836,8,0),"")</f>
        <v>45294</v>
      </c>
      <c r="J195" s="25"/>
      <c r="K195" s="19" t="str">
        <f>IFERROR(VLOOKUP(B195,'03. THIẾT BỊ'!$B$1:$S$836,10,0),"")</f>
        <v>Bình thường</v>
      </c>
      <c r="L195" s="25">
        <f>IFERROR(VLOOKUP(B195,'03. THIẾT BỊ'!$B$1:$S$836,11,0),"")</f>
        <v>0</v>
      </c>
      <c r="M195" s="24" t="str">
        <f>IFERROR(VLOOKUP(B195,'03. THIẾT BỊ'!$B$1:$S$836,12,0),"")</f>
        <v>Đầu tư mới</v>
      </c>
      <c r="N195" s="25" t="str">
        <f>IFERROR(VLOOKUP(B195,'03. THIẾT BỊ'!$B$1:$S$836,13,0),"")</f>
        <v>NILE</v>
      </c>
      <c r="O195" s="24" t="str">
        <f>IFERROR(VLOOKUP(B195,'03. THIẾT BỊ'!$B$1:$S$836,14,0),"")</f>
        <v>N680A</v>
      </c>
      <c r="P195" s="25" t="str">
        <f>IFERROR(VLOOKUP(B195,'03. THIẾT BỊ'!$B$1:$S$836,15,0),"")</f>
        <v>TRUNG QUỐC</v>
      </c>
      <c r="Q195" s="23">
        <f>IFERROR(VLOOKUP(B195,'03. THIẾT BỊ'!$B$1:$S$836,16,0),"")</f>
        <v>0</v>
      </c>
      <c r="R195" s="25">
        <f>IFERROR(VLOOKUP(B195,'03. THIẾT BỊ'!$B$1:$S$836,17,0),"")</f>
        <v>0</v>
      </c>
      <c r="S195" s="25">
        <f>IFERROR(VLOOKUP(B195,'03. THIẾT BỊ'!$B$1:$S$836,18,0),"")</f>
        <v>0</v>
      </c>
      <c r="T195" s="41"/>
    </row>
    <row r="196" customHeight="1" spans="1:20">
      <c r="A196" s="19">
        <f t="shared" si="5"/>
        <v>5</v>
      </c>
      <c r="B196" s="20" t="s">
        <v>4183</v>
      </c>
      <c r="C196" s="613" t="str">
        <f>IFERROR(VLOOKUP(B196,'03. THIẾT BỊ'!$B$1:$S$836,2,0),"")</f>
        <v>CNN-BUA-008(B36C 01 NN-KLH)</v>
      </c>
      <c r="D196" s="24" t="str">
        <f>IFERROR(VLOOKUP(B196,'03. THIẾT BỊ'!$B$1:$S$836,3,0),"")</f>
        <v>A22-BUA-013</v>
      </c>
      <c r="E196" s="20" t="str">
        <f>IFERROR(VLOOKUP(B196,'03. THIẾT BỊ'!$B$1:$S$836,4,0),"")</f>
        <v>ĐQSD</v>
      </c>
      <c r="F196" s="20" t="str">
        <f>IFERROR(VLOOKUP(B196,'03. THIẾT BỊ'!$B$1:$S$836,5,0),"")</f>
        <v>Thiết bị bừa 36 chảo</v>
      </c>
      <c r="G196" s="101" t="s">
        <v>6468</v>
      </c>
      <c r="H196" s="19" t="str">
        <f>IFERROR(VLOOKUP(B196,'03. THIẾT BỊ'!$B$1:$S$836,7,0),"")</f>
        <v>XN Bò AD</v>
      </c>
      <c r="I196" s="610">
        <f>IFERROR(VLOOKUP(B196,'03. THIẾT BỊ'!$B$1:$S$836,8,0),"")</f>
        <v>0</v>
      </c>
      <c r="J196" s="25"/>
      <c r="K196" s="19" t="str">
        <f>IFERROR(VLOOKUP(B196,'03. THIẾT BỊ'!$B$1:$S$836,10,0),"")</f>
        <v>Bình thường</v>
      </c>
      <c r="L196" s="25">
        <f>IFERROR(VLOOKUP(B196,'03. THIẾT BỊ'!$B$1:$S$836,11,0),"")</f>
        <v>0</v>
      </c>
      <c r="M196" s="24">
        <f>IFERROR(VLOOKUP(B196,'03. THIẾT BỊ'!$B$1:$S$836,12,0),"")</f>
        <v>0</v>
      </c>
      <c r="N196" s="25" t="str">
        <f>IFERROR(VLOOKUP(B196,'03. THIẾT BỊ'!$B$1:$S$836,13,0),"")</f>
        <v>CAMBODIA</v>
      </c>
      <c r="O196" s="24" t="str">
        <f>IFERROR(VLOOKUP(B196,'03. THIẾT BỊ'!$B$1:$S$836,14,0),"")</f>
        <v>36 chảo</v>
      </c>
      <c r="P196" s="25" t="str">
        <f>IFERROR(VLOOKUP(B196,'03. THIẾT BỊ'!$B$1:$S$836,15,0),"")</f>
        <v>CAMBODIA</v>
      </c>
      <c r="Q196" s="23">
        <f>IFERROR(VLOOKUP(B196,'03. THIẾT BỊ'!$B$1:$S$836,16,0),"")</f>
        <v>0</v>
      </c>
      <c r="R196" s="25">
        <f>IFERROR(VLOOKUP(B196,'03. THIẾT BỊ'!$B$1:$S$836,17,0),"")</f>
        <v>0</v>
      </c>
      <c r="S196" s="25">
        <f>IFERROR(VLOOKUP(B196,'03. THIẾT BỊ'!$B$1:$S$836,18,0),"")</f>
        <v>0</v>
      </c>
      <c r="T196" s="41"/>
    </row>
    <row r="197" customHeight="1" spans="1:20">
      <c r="A197" s="19">
        <f t="shared" si="5"/>
        <v>6</v>
      </c>
      <c r="B197" s="20" t="s">
        <v>5542</v>
      </c>
      <c r="C197" s="613">
        <f>IFERROR(VLOOKUP(B197,'03. THIẾT BỊ'!$B$1:$S$836,2,0),"")</f>
        <v>0</v>
      </c>
      <c r="D197" s="24" t="str">
        <f>IFERROR(VLOOKUP(B197,'03. THIẾT BỊ'!$B$1:$S$836,3,0),"")</f>
        <v>A22-BUA-004</v>
      </c>
      <c r="E197" s="20" t="str">
        <f>IFERROR(VLOOKUP(B197,'03. THIẾT BỊ'!$B$1:$S$836,4,0),"")</f>
        <v>MUA MỚI</v>
      </c>
      <c r="F197" s="20" t="str">
        <f>IFERROR(VLOOKUP(B197,'03. THIẾT BỊ'!$B$1:$S$836,5,0),"")</f>
        <v>Thiết bị bừa 32 chảo</v>
      </c>
      <c r="G197" s="101" t="s">
        <v>6468</v>
      </c>
      <c r="H197" s="19" t="str">
        <f>IFERROR(VLOOKUP(B197,'03. THIẾT BỊ'!$B$1:$S$836,7,0),"")</f>
        <v>XN Bò AD</v>
      </c>
      <c r="I197" s="610">
        <f>IFERROR(VLOOKUP(B197,'03. THIẾT BỊ'!$B$1:$S$836,8,0),"")</f>
        <v>45789</v>
      </c>
      <c r="J197" s="25"/>
      <c r="K197" s="19" t="str">
        <f>IFERROR(VLOOKUP(B197,'03. THIẾT BỊ'!$B$1:$S$836,10,0),"")</f>
        <v>Bình thường</v>
      </c>
      <c r="L197" s="25">
        <f>IFERROR(VLOOKUP(B197,'03. THIẾT BỊ'!$B$1:$S$836,11,0),"")</f>
        <v>0</v>
      </c>
      <c r="M197" s="24" t="str">
        <f>IFERROR(VLOOKUP(B197,'03. THIẾT BỊ'!$B$1:$S$836,12,0),"")</f>
        <v>Đầu tư mới</v>
      </c>
      <c r="N197" s="25">
        <f>IFERROR(VLOOKUP(B197,'03. THIẾT BỊ'!$B$1:$S$836,13,0),"")</f>
        <v>0</v>
      </c>
      <c r="O197" s="24">
        <f>IFERROR(VLOOKUP(B197,'03. THIẾT BỊ'!$B$1:$S$836,14,0),"")</f>
        <v>0</v>
      </c>
      <c r="P197" s="25" t="str">
        <f>IFERROR(VLOOKUP(B197,'03. THIẾT BỊ'!$B$1:$S$836,15,0),"")</f>
        <v>TRUNG QUỐC</v>
      </c>
      <c r="Q197" s="23">
        <f>IFERROR(VLOOKUP(B197,'03. THIẾT BỊ'!$B$1:$S$836,16,0),"")</f>
        <v>2025</v>
      </c>
      <c r="R197" s="25">
        <f>IFERROR(VLOOKUP(B197,'03. THIẾT BỊ'!$B$1:$S$836,17,0),"")</f>
        <v>0</v>
      </c>
      <c r="S197" s="25">
        <f>IFERROR(VLOOKUP(B197,'03. THIẾT BỊ'!$B$1:$S$836,18,0),"")</f>
        <v>0</v>
      </c>
      <c r="T197" s="20"/>
    </row>
    <row r="198" customHeight="1" spans="1:20">
      <c r="A198" s="324"/>
      <c r="B198" s="41"/>
      <c r="C198" s="613" t="str">
        <f>IFERROR(VLOOKUP(B198,'03. THIẾT BỊ'!$B$1:$S$836,2,0),"")</f>
        <v/>
      </c>
      <c r="D198" s="24" t="str">
        <f>IFERROR(VLOOKUP(B198,'03. THIẾT BỊ'!$B$1:$S$836,3,0),"")</f>
        <v/>
      </c>
      <c r="E198" s="20" t="str">
        <f>IFERROR(VLOOKUP(B198,'03. THIẾT BỊ'!$B$1:$S$836,4,0),"")</f>
        <v/>
      </c>
      <c r="F198" s="20" t="str">
        <f>IFERROR(VLOOKUP(B198,'03. THIẾT BỊ'!$B$1:$S$836,5,0),"")</f>
        <v/>
      </c>
      <c r="G198" s="101" t="s">
        <v>6468</v>
      </c>
      <c r="H198" s="19" t="str">
        <f>IFERROR(VLOOKUP(B198,'03. THIẾT BỊ'!$B$1:$S$836,7,0),"")</f>
        <v/>
      </c>
      <c r="I198" s="610" t="str">
        <f>IFERROR(VLOOKUP(B198,'03. THIẾT BỊ'!$B$1:$S$836,8,0),"")</f>
        <v/>
      </c>
      <c r="J198" s="25"/>
      <c r="K198" s="19" t="str">
        <f>IFERROR(VLOOKUP(B198,'03. THIẾT BỊ'!$B$1:$S$836,10,0),"")</f>
        <v/>
      </c>
      <c r="L198" s="25" t="str">
        <f>IFERROR(VLOOKUP(B198,'03. THIẾT BỊ'!$B$1:$S$836,11,0),"")</f>
        <v/>
      </c>
      <c r="M198" s="24" t="str">
        <f>IFERROR(VLOOKUP(B198,'03. THIẾT BỊ'!$B$1:$S$836,12,0),"")</f>
        <v/>
      </c>
      <c r="N198" s="25" t="str">
        <f>IFERROR(VLOOKUP(B198,'03. THIẾT BỊ'!$B$1:$S$836,13,0),"")</f>
        <v/>
      </c>
      <c r="O198" s="24" t="str">
        <f>IFERROR(VLOOKUP(B198,'03. THIẾT BỊ'!$B$1:$S$836,14,0),"")</f>
        <v/>
      </c>
      <c r="P198" s="25" t="str">
        <f>IFERROR(VLOOKUP(B198,'03. THIẾT BỊ'!$B$1:$S$836,15,0),"")</f>
        <v/>
      </c>
      <c r="Q198" s="23" t="str">
        <f>IFERROR(VLOOKUP(B198,'03. THIẾT BỊ'!$B$1:$S$836,16,0),"")</f>
        <v/>
      </c>
      <c r="R198" s="25" t="str">
        <f>IFERROR(VLOOKUP(B198,'03. THIẾT BỊ'!$B$1:$S$836,17,0),"")</f>
        <v/>
      </c>
      <c r="S198" s="25" t="str">
        <f>IFERROR(VLOOKUP(B198,'03. THIẾT BỊ'!$B$1:$S$836,18,0),"")</f>
        <v/>
      </c>
      <c r="T198" s="41"/>
    </row>
    <row r="199" customHeight="1" spans="1:20">
      <c r="A199" s="14" t="s">
        <v>290</v>
      </c>
      <c r="B199" s="15" t="s">
        <v>6479</v>
      </c>
      <c r="C199" s="14">
        <f>COUNTA(B200:B209)</f>
        <v>9</v>
      </c>
      <c r="D199" s="17" t="str">
        <f>IFERROR(VLOOKUP(B199,'03. THIẾT BỊ'!$B$1:$S$836,3,0),"")</f>
        <v/>
      </c>
      <c r="E199" s="20" t="str">
        <f>IFERROR(VLOOKUP(B199,'03. THIẾT BỊ'!$B$1:$S$836,4,0),"")</f>
        <v/>
      </c>
      <c r="F199" s="17" t="str">
        <f>IFERROR(VLOOKUP(B199,'03. THIẾT BỊ'!$B$1:$S$836,5,0),"")</f>
        <v/>
      </c>
      <c r="G199" s="18" t="s">
        <v>6468</v>
      </c>
      <c r="H199" s="18" t="str">
        <f>IFERROR(VLOOKUP(B199,'03. THIẾT BỊ'!$B$1:$S$836,7,0),"")</f>
        <v/>
      </c>
      <c r="I199" s="14" t="str">
        <f>IFERROR(VLOOKUP(B199,'03. THIẾT BỊ'!$B$1:$S$836,8,0),"")</f>
        <v/>
      </c>
      <c r="J199" s="15"/>
      <c r="K199" s="14" t="str">
        <f>IFERROR(VLOOKUP(B199,'03. THIẾT BỊ'!$B$1:$S$836,10,0),"")</f>
        <v/>
      </c>
      <c r="L199" s="17" t="str">
        <f>IFERROR(VLOOKUP(B199,'03. THIẾT BỊ'!$B$1:$S$836,11,0),"")</f>
        <v/>
      </c>
      <c r="M199" s="16" t="str">
        <f>IFERROR(VLOOKUP(B199,'03. THIẾT BỊ'!$B$1:$S$836,12,0),"")</f>
        <v/>
      </c>
      <c r="N199" s="17" t="str">
        <f>IFERROR(VLOOKUP(B199,'03. THIẾT BỊ'!$B$1:$S$836,13,0),"")</f>
        <v/>
      </c>
      <c r="O199" s="16" t="str">
        <f>IFERROR(VLOOKUP(B199,'03. THIẾT BỊ'!$B$1:$S$836,14,0),"")</f>
        <v/>
      </c>
      <c r="P199" s="17" t="str">
        <f>IFERROR(VLOOKUP(B199,'03. THIẾT BỊ'!$B$1:$S$836,15,0),"")</f>
        <v/>
      </c>
      <c r="Q199" s="18" t="str">
        <f>IFERROR(VLOOKUP(B199,'03. THIẾT BỊ'!$B$1:$S$836,16,0),"")</f>
        <v/>
      </c>
      <c r="R199" s="17" t="str">
        <f>IFERROR(VLOOKUP(B199,'03. THIẾT BỊ'!$B$1:$S$836,17,0),"")</f>
        <v/>
      </c>
      <c r="S199" s="17" t="str">
        <f>IFERROR(VLOOKUP(B199,'03. THIẾT BỊ'!$B$1:$S$836,18,0),"")</f>
        <v/>
      </c>
      <c r="T199" s="609"/>
    </row>
    <row r="200" customHeight="1" spans="1:20">
      <c r="A200" s="19">
        <v>1</v>
      </c>
      <c r="B200" s="20" t="s">
        <v>3901</v>
      </c>
      <c r="C200" s="613" t="str">
        <f>IFERROR(VLOOKUP(B200,'03. THIẾT BỊ'!$B$1:$S$836,2,0),"")</f>
        <v>P2M2 01</v>
      </c>
      <c r="D200" s="24" t="str">
        <f>IFERROR(VLOOKUP(B200,'03. THIẾT BỊ'!$B$1:$S$836,3,0),"")</f>
        <v>A23-XOI-001</v>
      </c>
      <c r="E200" s="20" t="str">
        <f>IFERROR(VLOOKUP(B200,'03. THIẾT BỊ'!$B$1:$S$836,4,0),"")</f>
        <v>ĐQSD</v>
      </c>
      <c r="F200" s="20" t="str">
        <f>IFERROR(VLOOKUP(B200,'03. THIẾT BỊ'!$B$1:$S$836,5,0),"")</f>
        <v>Thiết bị xới đất 2.2m</v>
      </c>
      <c r="G200" s="101" t="s">
        <v>6468</v>
      </c>
      <c r="H200" s="19" t="str">
        <f>IFERROR(VLOOKUP(B200,'03. THIẾT BỊ'!$B$1:$S$836,7,0),"")</f>
        <v>CGLĐ DP</v>
      </c>
      <c r="I200" s="610">
        <f>IFERROR(VLOOKUP(B200,'03. THIẾT BỊ'!$B$1:$S$836,8,0),"")</f>
        <v>0</v>
      </c>
      <c r="J200" s="25"/>
      <c r="K200" s="19" t="str">
        <f>IFERROR(VLOOKUP(B200,'03. THIẾT BỊ'!$B$1:$S$836,10,0),"")</f>
        <v>Bình thường</v>
      </c>
      <c r="L200" s="25">
        <f>IFERROR(VLOOKUP(B200,'03. THIẾT BỊ'!$B$1:$S$836,11,0),"")</f>
        <v>0</v>
      </c>
      <c r="M200" s="24">
        <f>IFERROR(VLOOKUP(B200,'03. THIẾT BỊ'!$B$1:$S$836,12,0),"")</f>
        <v>0</v>
      </c>
      <c r="N200" s="25" t="str">
        <f>IFERROR(VLOOKUP(B200,'03. THIẾT BỊ'!$B$1:$S$836,13,0),"")</f>
        <v>TRUNG QUỐC</v>
      </c>
      <c r="O200" s="24" t="str">
        <f>IFERROR(VLOOKUP(B200,'03. THIẾT BỊ'!$B$1:$S$836,14,0),"")</f>
        <v>2.2m</v>
      </c>
      <c r="P200" s="25" t="str">
        <f>IFERROR(VLOOKUP(B200,'03. THIẾT BỊ'!$B$1:$S$836,15,0),"")</f>
        <v>TRUNG QUỐC</v>
      </c>
      <c r="Q200" s="23">
        <f>IFERROR(VLOOKUP(B200,'03. THIẾT BỊ'!$B$1:$S$836,16,0),"")</f>
        <v>0</v>
      </c>
      <c r="R200" s="25">
        <f>IFERROR(VLOOKUP(B200,'03. THIẾT BỊ'!$B$1:$S$836,17,0),"")</f>
        <v>0</v>
      </c>
      <c r="S200" s="25">
        <f>IFERROR(VLOOKUP(B200,'03. THIẾT BỊ'!$B$1:$S$836,18,0),"")</f>
        <v>0</v>
      </c>
      <c r="T200" s="41"/>
    </row>
    <row r="201" customHeight="1" spans="1:20">
      <c r="A201" s="19">
        <f t="shared" ref="A201:A208" si="6">A200+1</f>
        <v>2</v>
      </c>
      <c r="B201" s="20" t="s">
        <v>3905</v>
      </c>
      <c r="C201" s="613" t="str">
        <f>IFERROR(VLOOKUP(B201,'03. THIẾT BỊ'!$B$1:$S$836,2,0),"")</f>
        <v>P2M2 02</v>
      </c>
      <c r="D201" s="24" t="str">
        <f>IFERROR(VLOOKUP(B201,'03. THIẾT BỊ'!$B$1:$S$836,3,0),"")</f>
        <v>A23-XOI-002</v>
      </c>
      <c r="E201" s="20" t="str">
        <f>IFERROR(VLOOKUP(B201,'03. THIẾT BỊ'!$B$1:$S$836,4,0),"")</f>
        <v>ĐQSD</v>
      </c>
      <c r="F201" s="20" t="str">
        <f>IFERROR(VLOOKUP(B201,'03. THIẾT BỊ'!$B$1:$S$836,5,0),"")</f>
        <v>Thiết bị xới đất 2.2m</v>
      </c>
      <c r="G201" s="101" t="s">
        <v>6468</v>
      </c>
      <c r="H201" s="19" t="str">
        <f>IFERROR(VLOOKUP(B201,'03. THIẾT BỊ'!$B$1:$S$836,7,0),"")</f>
        <v>CGLĐ DP</v>
      </c>
      <c r="I201" s="610">
        <f>IFERROR(VLOOKUP(B201,'03. THIẾT BỊ'!$B$1:$S$836,8,0),"")</f>
        <v>0</v>
      </c>
      <c r="J201" s="25"/>
      <c r="K201" s="19" t="str">
        <f>IFERROR(VLOOKUP(B201,'03. THIẾT BỊ'!$B$1:$S$836,10,0),"")</f>
        <v>Hư hỏng</v>
      </c>
      <c r="L201" s="25">
        <f>IFERROR(VLOOKUP(B201,'03. THIẾT BỊ'!$B$1:$S$836,11,0),"")</f>
        <v>0</v>
      </c>
      <c r="M201" s="24">
        <f>IFERROR(VLOOKUP(B201,'03. THIẾT BỊ'!$B$1:$S$836,12,0),"")</f>
        <v>0</v>
      </c>
      <c r="N201" s="25" t="str">
        <f>IFERROR(VLOOKUP(B201,'03. THIẾT BỊ'!$B$1:$S$836,13,0),"")</f>
        <v>TRUNG QUỐC</v>
      </c>
      <c r="O201" s="24" t="str">
        <f>IFERROR(VLOOKUP(B201,'03. THIẾT BỊ'!$B$1:$S$836,14,0),"")</f>
        <v>2.2m</v>
      </c>
      <c r="P201" s="25" t="str">
        <f>IFERROR(VLOOKUP(B201,'03. THIẾT BỊ'!$B$1:$S$836,15,0),"")</f>
        <v>TRUNG QUỐC</v>
      </c>
      <c r="Q201" s="23">
        <f>IFERROR(VLOOKUP(B201,'03. THIẾT BỊ'!$B$1:$S$836,16,0),"")</f>
        <v>0</v>
      </c>
      <c r="R201" s="25">
        <f>IFERROR(VLOOKUP(B201,'03. THIẾT BỊ'!$B$1:$S$836,17,0),"")</f>
        <v>0</v>
      </c>
      <c r="S201" s="25">
        <f>IFERROR(VLOOKUP(B201,'03. THIẾT BỊ'!$B$1:$S$836,18,0),"")</f>
        <v>0</v>
      </c>
      <c r="T201" s="41"/>
    </row>
    <row r="202" customHeight="1" spans="1:20">
      <c r="A202" s="19">
        <f t="shared" si="6"/>
        <v>3</v>
      </c>
      <c r="B202" s="20" t="s">
        <v>3992</v>
      </c>
      <c r="C202" s="613" t="str">
        <f>IFERROR(VLOOKUP(B202,'03. THIẾT BỊ'!$B$1:$S$836,2,0),"")</f>
        <v>CNN-XOI-006(P2M2 06 NN - KLH)</v>
      </c>
      <c r="D202" s="24" t="str">
        <f>IFERROR(VLOOKUP(B202,'03. THIẾT BỊ'!$B$1:$S$836,3,0),"")</f>
        <v>A22-XOI-007</v>
      </c>
      <c r="E202" s="20" t="str">
        <f>IFERROR(VLOOKUP(B202,'03. THIẾT BỊ'!$B$1:$S$836,4,0),"")</f>
        <v>ĐQSD</v>
      </c>
      <c r="F202" s="20" t="str">
        <f>IFERROR(VLOOKUP(B202,'03. THIẾT BỊ'!$B$1:$S$836,5,0),"")</f>
        <v>Thiết bị xới đất 2.2m</v>
      </c>
      <c r="G202" s="101" t="s">
        <v>6468</v>
      </c>
      <c r="H202" s="19" t="str">
        <f>IFERROR(VLOOKUP(B202,'03. THIẾT BỊ'!$B$1:$S$836,7,0),"")</f>
        <v>CGLĐ DP</v>
      </c>
      <c r="I202" s="610" t="str">
        <f>IFERROR(VLOOKUP(B202,'03. THIẾT BỊ'!$B$1:$S$836,8,0),"")</f>
        <v>15/08/2024</v>
      </c>
      <c r="J202" s="25"/>
      <c r="K202" s="19" t="str">
        <f>IFERROR(VLOOKUP(B202,'03. THIẾT BỊ'!$B$1:$S$836,10,0),"")</f>
        <v>Bình thường</v>
      </c>
      <c r="L202" s="25" t="str">
        <f>IFERROR(VLOOKUP(B202,'03. THIẾT BỊ'!$B$1:$S$836,11,0),"")</f>
        <v>CGLĐ AD đ.chuyển qua ngày 15.08.2024</v>
      </c>
      <c r="M202" s="24">
        <f>IFERROR(VLOOKUP(B202,'03. THIẾT BỊ'!$B$1:$S$836,12,0),"")</f>
        <v>0</v>
      </c>
      <c r="N202" s="25" t="str">
        <f>IFERROR(VLOOKUP(B202,'03. THIẾT BỊ'!$B$1:$S$836,13,0),"")</f>
        <v>TRUNG QUỐC</v>
      </c>
      <c r="O202" s="24" t="str">
        <f>IFERROR(VLOOKUP(B202,'03. THIẾT BỊ'!$B$1:$S$836,14,0),"")</f>
        <v>2.2m</v>
      </c>
      <c r="P202" s="25" t="str">
        <f>IFERROR(VLOOKUP(B202,'03. THIẾT BỊ'!$B$1:$S$836,15,0),"")</f>
        <v>TRUNG QUỐC</v>
      </c>
      <c r="Q202" s="23">
        <f>IFERROR(VLOOKUP(B202,'03. THIẾT BỊ'!$B$1:$S$836,16,0),"")</f>
        <v>0</v>
      </c>
      <c r="R202" s="25">
        <f>IFERROR(VLOOKUP(B202,'03. THIẾT BỊ'!$B$1:$S$836,17,0),"")</f>
        <v>0</v>
      </c>
      <c r="S202" s="25">
        <f>IFERROR(VLOOKUP(B202,'03. THIẾT BỊ'!$B$1:$S$836,18,0),"")</f>
        <v>0</v>
      </c>
      <c r="T202" s="41"/>
    </row>
    <row r="203" customHeight="1" spans="1:20">
      <c r="A203" s="19">
        <f t="shared" si="6"/>
        <v>4</v>
      </c>
      <c r="B203" s="20" t="s">
        <v>3997</v>
      </c>
      <c r="C203" s="613">
        <f>IFERROR(VLOOKUP(B203,'03. THIẾT BỊ'!$B$1:$S$836,2,0),"")</f>
        <v>0</v>
      </c>
      <c r="D203" s="24" t="str">
        <f>IFERROR(VLOOKUP(B203,'03. THIẾT BỊ'!$B$1:$S$836,3,0),"")</f>
        <v>A23-XOI-009</v>
      </c>
      <c r="E203" s="20" t="str">
        <f>IFERROR(VLOOKUP(B203,'03. THIẾT BỊ'!$B$1:$S$836,4,0),"")</f>
        <v>MUA MỚI</v>
      </c>
      <c r="F203" s="20" t="str">
        <f>IFERROR(VLOOKUP(B203,'03. THIẾT BỊ'!$B$1:$S$836,5,0),"")</f>
        <v>Thiết bị xới đất 2.2m</v>
      </c>
      <c r="G203" s="101" t="s">
        <v>6468</v>
      </c>
      <c r="H203" s="19" t="str">
        <f>IFERROR(VLOOKUP(B203,'03. THIẾT BỊ'!$B$1:$S$836,7,0),"")</f>
        <v>CGLĐ DP</v>
      </c>
      <c r="I203" s="610">
        <f>IFERROR(VLOOKUP(B203,'03. THIẾT BỊ'!$B$1:$S$836,8,0),"")</f>
        <v>45424</v>
      </c>
      <c r="J203" s="25"/>
      <c r="K203" s="19" t="str">
        <f>IFERROR(VLOOKUP(B203,'03. THIẾT BỊ'!$B$1:$S$836,10,0),"")</f>
        <v>Bình thường</v>
      </c>
      <c r="L203" s="25" t="str">
        <f>IFERROR(VLOOKUP(B203,'03. THIẾT BỊ'!$B$1:$S$836,11,0),"")</f>
        <v>Đầu tư mới</v>
      </c>
      <c r="M203" s="24">
        <f>IFERROR(VLOOKUP(B203,'03. THIẾT BỊ'!$B$1:$S$836,12,0),"")</f>
        <v>0</v>
      </c>
      <c r="N203" s="25" t="str">
        <f>IFERROR(VLOOKUP(B203,'03. THIẾT BỊ'!$B$1:$S$836,13,0),"")</f>
        <v>TRUNG QUỐC</v>
      </c>
      <c r="O203" s="24" t="str">
        <f>IFERROR(VLOOKUP(B203,'03. THIẾT BỊ'!$B$1:$S$836,14,0),"")</f>
        <v>2.2m</v>
      </c>
      <c r="P203" s="25" t="str">
        <f>IFERROR(VLOOKUP(B203,'03. THIẾT BỊ'!$B$1:$S$836,15,0),"")</f>
        <v>TRUNG QUỐC</v>
      </c>
      <c r="Q203" s="23">
        <f>IFERROR(VLOOKUP(B203,'03. THIẾT BỊ'!$B$1:$S$836,16,0),"")</f>
        <v>0</v>
      </c>
      <c r="R203" s="25">
        <f>IFERROR(VLOOKUP(B203,'03. THIẾT BỊ'!$B$1:$S$836,17,0),"")</f>
        <v>0</v>
      </c>
      <c r="S203" s="25">
        <f>IFERROR(VLOOKUP(B203,'03. THIẾT BỊ'!$B$1:$S$836,18,0),"")</f>
        <v>0</v>
      </c>
      <c r="T203" s="41"/>
    </row>
    <row r="204" customHeight="1" spans="1:20">
      <c r="A204" s="19">
        <f t="shared" si="6"/>
        <v>5</v>
      </c>
      <c r="B204" s="20" t="s">
        <v>4091</v>
      </c>
      <c r="C204" s="613" t="str">
        <f>IFERROR(VLOOKUP(B204,'03. THIẾT BỊ'!$B$1:$S$836,2,0),"")</f>
        <v>CNN-XOI-006</v>
      </c>
      <c r="D204" s="24" t="str">
        <f>IFERROR(VLOOKUP(B204,'03. THIẾT BỊ'!$B$1:$S$836,3,0),"")</f>
        <v>A24-XOI-004</v>
      </c>
      <c r="E204" s="20" t="str">
        <f>IFERROR(VLOOKUP(B204,'03. THIẾT BỊ'!$B$1:$S$836,4,0),"")</f>
        <v>ĐQSD</v>
      </c>
      <c r="F204" s="20" t="str">
        <f>IFERROR(VLOOKUP(B204,'03. THIẾT BỊ'!$B$1:$S$836,5,0),"")</f>
        <v>Thiết bị xới đất 2.2m</v>
      </c>
      <c r="G204" s="101" t="s">
        <v>6468</v>
      </c>
      <c r="H204" s="19" t="str">
        <f>IFERROR(VLOOKUP(B204,'03. THIẾT BỊ'!$B$1:$S$836,7,0),"")</f>
        <v>CGLĐ LP</v>
      </c>
      <c r="I204" s="610">
        <f>IFERROR(VLOOKUP(B204,'03. THIẾT BỊ'!$B$1:$S$836,8,0),"")</f>
        <v>0</v>
      </c>
      <c r="J204" s="25"/>
      <c r="K204" s="19" t="str">
        <f>IFERROR(VLOOKUP(B204,'03. THIẾT BỊ'!$B$1:$S$836,10,0),"")</f>
        <v>Bình thường</v>
      </c>
      <c r="L204" s="25">
        <f>IFERROR(VLOOKUP(B204,'03. THIẾT BỊ'!$B$1:$S$836,11,0),"")</f>
        <v>0</v>
      </c>
      <c r="M204" s="24">
        <f>IFERROR(VLOOKUP(B204,'03. THIẾT BỊ'!$B$1:$S$836,12,0),"")</f>
        <v>0</v>
      </c>
      <c r="N204" s="25" t="str">
        <f>IFERROR(VLOOKUP(B204,'03. THIẾT BỊ'!$B$1:$S$836,13,0),"")</f>
        <v>CAMBODIA</v>
      </c>
      <c r="O204" s="24" t="str">
        <f>IFERROR(VLOOKUP(B204,'03. THIẾT BỊ'!$B$1:$S$836,14,0),"")</f>
        <v>2.2m</v>
      </c>
      <c r="P204" s="25" t="str">
        <f>IFERROR(VLOOKUP(B204,'03. THIẾT BỊ'!$B$1:$S$836,15,0),"")</f>
        <v>CAMBODIA</v>
      </c>
      <c r="Q204" s="23">
        <f>IFERROR(VLOOKUP(B204,'03. THIẾT BỊ'!$B$1:$S$836,16,0),"")</f>
        <v>0</v>
      </c>
      <c r="R204" s="25">
        <f>IFERROR(VLOOKUP(B204,'03. THIẾT BỊ'!$B$1:$S$836,17,0),"")</f>
        <v>0</v>
      </c>
      <c r="S204" s="25">
        <f>IFERROR(VLOOKUP(B204,'03. THIẾT BỊ'!$B$1:$S$836,18,0),"")</f>
        <v>0</v>
      </c>
      <c r="T204" s="41"/>
    </row>
    <row r="205" customHeight="1" spans="1:20">
      <c r="A205" s="19">
        <f t="shared" si="6"/>
        <v>6</v>
      </c>
      <c r="B205" s="38" t="s">
        <v>4112</v>
      </c>
      <c r="C205" s="613" t="str">
        <f>IFERROR(VLOOKUP(B205,'03. THIẾT BỊ'!$B$1:$S$836,2,0),"")</f>
        <v>P2M2 03</v>
      </c>
      <c r="D205" s="24" t="str">
        <f>IFERROR(VLOOKUP(B205,'03. THIẾT BỊ'!$B$1:$S$836,3,0),"")</f>
        <v>A24-XOI-003</v>
      </c>
      <c r="E205" s="20" t="str">
        <f>IFERROR(VLOOKUP(B205,'03. THIẾT BỊ'!$B$1:$S$836,4,0),"")</f>
        <v>ĐQSD</v>
      </c>
      <c r="F205" s="20" t="str">
        <f>IFERROR(VLOOKUP(B205,'03. THIẾT BỊ'!$B$1:$S$836,5,0),"")</f>
        <v>Thiết bị xới đất 2.2m</v>
      </c>
      <c r="G205" s="101" t="s">
        <v>6468</v>
      </c>
      <c r="H205" s="19" t="str">
        <f>IFERROR(VLOOKUP(B205,'03. THIẾT BỊ'!$B$1:$S$836,7,0),"")</f>
        <v>CGLĐ LP</v>
      </c>
      <c r="I205" s="610">
        <f>IFERROR(VLOOKUP(B205,'03. THIẾT BỊ'!$B$1:$S$836,8,0),"")</f>
        <v>0</v>
      </c>
      <c r="J205" s="25"/>
      <c r="K205" s="19" t="str">
        <f>IFERROR(VLOOKUP(B205,'03. THIẾT BỊ'!$B$1:$S$836,10,0),"")</f>
        <v>Bình thường</v>
      </c>
      <c r="L205" s="25">
        <f>IFERROR(VLOOKUP(B205,'03. THIẾT BỊ'!$B$1:$S$836,11,0),"")</f>
        <v>0</v>
      </c>
      <c r="M205" s="24">
        <f>IFERROR(VLOOKUP(B205,'03. THIẾT BỊ'!$B$1:$S$836,12,0),"")</f>
        <v>0</v>
      </c>
      <c r="N205" s="25" t="str">
        <f>IFERROR(VLOOKUP(B205,'03. THIẾT BỊ'!$B$1:$S$836,13,0),"")</f>
        <v>CAMBODIA</v>
      </c>
      <c r="O205" s="24" t="str">
        <f>IFERROR(VLOOKUP(B205,'03. THIẾT BỊ'!$B$1:$S$836,14,0),"")</f>
        <v>2.2m</v>
      </c>
      <c r="P205" s="25" t="str">
        <f>IFERROR(VLOOKUP(B205,'03. THIẾT BỊ'!$B$1:$S$836,15,0),"")</f>
        <v>CAMBODIA</v>
      </c>
      <c r="Q205" s="23">
        <f>IFERROR(VLOOKUP(B205,'03. THIẾT BỊ'!$B$1:$S$836,16,0),"")</f>
        <v>0</v>
      </c>
      <c r="R205" s="25">
        <f>IFERROR(VLOOKUP(B205,'03. THIẾT BỊ'!$B$1:$S$836,17,0),"")</f>
        <v>0</v>
      </c>
      <c r="S205" s="25">
        <f>IFERROR(VLOOKUP(B205,'03. THIẾT BỊ'!$B$1:$S$836,18,0),"")</f>
        <v>0</v>
      </c>
      <c r="T205" s="622"/>
    </row>
    <row r="206" customHeight="1" spans="1:20">
      <c r="A206" s="19">
        <f t="shared" si="6"/>
        <v>7</v>
      </c>
      <c r="B206" s="38" t="s">
        <v>4115</v>
      </c>
      <c r="C206" s="613">
        <f>IFERROR(VLOOKUP(B206,'03. THIẾT BỊ'!$B$1:$S$836,2,0),"")</f>
        <v>0</v>
      </c>
      <c r="D206" s="24" t="str">
        <f>IFERROR(VLOOKUP(B206,'03. THIẾT BỊ'!$B$1:$S$836,3,0),"")</f>
        <v>A24-XOI-009</v>
      </c>
      <c r="E206" s="20" t="str">
        <f>IFERROR(VLOOKUP(B206,'03. THIẾT BỊ'!$B$1:$S$836,4,0),"")</f>
        <v>MUA MỚI</v>
      </c>
      <c r="F206" s="20" t="str">
        <f>IFERROR(VLOOKUP(B206,'03. THIẾT BỊ'!$B$1:$S$836,5,0),"")</f>
        <v>Thiết bị xới đất 2.2m</v>
      </c>
      <c r="G206" s="101" t="s">
        <v>6468</v>
      </c>
      <c r="H206" s="19" t="str">
        <f>IFERROR(VLOOKUP(B206,'03. THIẾT BỊ'!$B$1:$S$836,7,0),"")</f>
        <v>CGLĐ LP</v>
      </c>
      <c r="I206" s="610">
        <f>IFERROR(VLOOKUP(B206,'03. THIẾT BỊ'!$B$1:$S$836,8,0),"")</f>
        <v>45424</v>
      </c>
      <c r="J206" s="25"/>
      <c r="K206" s="19" t="str">
        <f>IFERROR(VLOOKUP(B206,'03. THIẾT BỊ'!$B$1:$S$836,10,0),"")</f>
        <v>Bình thường</v>
      </c>
      <c r="L206" s="25" t="str">
        <f>IFERROR(VLOOKUP(B206,'03. THIẾT BỊ'!$B$1:$S$836,11,0),"")</f>
        <v>Đầu tư mới</v>
      </c>
      <c r="M206" s="24">
        <f>IFERROR(VLOOKUP(B206,'03. THIẾT BỊ'!$B$1:$S$836,12,0),"")</f>
        <v>0</v>
      </c>
      <c r="N206" s="25" t="str">
        <f>IFERROR(VLOOKUP(B206,'03. THIẾT BỊ'!$B$1:$S$836,13,0),"")</f>
        <v>CAMBODIA</v>
      </c>
      <c r="O206" s="24" t="str">
        <f>IFERROR(VLOOKUP(B206,'03. THIẾT BỊ'!$B$1:$S$836,14,0),"")</f>
        <v>2.2m</v>
      </c>
      <c r="P206" s="25" t="str">
        <f>IFERROR(VLOOKUP(B206,'03. THIẾT BỊ'!$B$1:$S$836,15,0),"")</f>
        <v>CAMBODIA</v>
      </c>
      <c r="Q206" s="23">
        <f>IFERROR(VLOOKUP(B206,'03. THIẾT BỊ'!$B$1:$S$836,16,0),"")</f>
        <v>0</v>
      </c>
      <c r="R206" s="25">
        <f>IFERROR(VLOOKUP(B206,'03. THIẾT BỊ'!$B$1:$S$836,17,0),"")</f>
        <v>0</v>
      </c>
      <c r="S206" s="25">
        <f>IFERROR(VLOOKUP(B206,'03. THIẾT BỊ'!$B$1:$S$836,18,0),"")</f>
        <v>0</v>
      </c>
      <c r="T206" s="622"/>
    </row>
    <row r="207" customHeight="1" spans="1:20">
      <c r="A207" s="19">
        <f t="shared" si="6"/>
        <v>8</v>
      </c>
      <c r="B207" s="20" t="s">
        <v>4092</v>
      </c>
      <c r="C207" s="613">
        <f>IFERROR(VLOOKUP(B207,'03. THIẾT BỊ'!$B$1:$S$836,2,0),"")</f>
        <v>0</v>
      </c>
      <c r="D207" s="24" t="str">
        <f>IFERROR(VLOOKUP(B207,'03. THIẾT BỊ'!$B$1:$S$836,3,0),"")</f>
        <v>A22-XOI-006</v>
      </c>
      <c r="E207" s="20" t="str">
        <f>IFERROR(VLOOKUP(B207,'03. THIẾT BỊ'!$B$1:$S$836,4,0),"")</f>
        <v>ĐQSD</v>
      </c>
      <c r="F207" s="20" t="str">
        <f>IFERROR(VLOOKUP(B207,'03. THIẾT BỊ'!$B$1:$S$836,5,0),"")</f>
        <v>Thiết bị xới đất 2.2m</v>
      </c>
      <c r="G207" s="101" t="s">
        <v>6468</v>
      </c>
      <c r="H207" s="19" t="str">
        <f>IFERROR(VLOOKUP(B207,'03. THIẾT BỊ'!$B$1:$S$836,7,0),"")</f>
        <v>XN Bò AD</v>
      </c>
      <c r="I207" s="610">
        <f>IFERROR(VLOOKUP(B207,'03. THIẾT BỊ'!$B$1:$S$836,8,0),"")</f>
        <v>44927</v>
      </c>
      <c r="J207" s="25"/>
      <c r="K207" s="19" t="str">
        <f>IFERROR(VLOOKUP(B207,'03. THIẾT BỊ'!$B$1:$S$836,10,0),"")</f>
        <v>Bình thường</v>
      </c>
      <c r="L207" s="25">
        <f>IFERROR(VLOOKUP(B207,'03. THIẾT BỊ'!$B$1:$S$836,11,0),"")</f>
        <v>0</v>
      </c>
      <c r="M207" s="24">
        <f>IFERROR(VLOOKUP(B207,'03. THIẾT BỊ'!$B$1:$S$836,12,0),"")</f>
        <v>0</v>
      </c>
      <c r="N207" s="25" t="str">
        <f>IFERROR(VLOOKUP(B207,'03. THIẾT BỊ'!$B$1:$S$836,13,0),"")</f>
        <v>CAMBODIA</v>
      </c>
      <c r="O207" s="24" t="str">
        <f>IFERROR(VLOOKUP(B207,'03. THIẾT BỊ'!$B$1:$S$836,14,0),"")</f>
        <v>2.2m</v>
      </c>
      <c r="P207" s="25" t="str">
        <f>IFERROR(VLOOKUP(B207,'03. THIẾT BỊ'!$B$1:$S$836,15,0),"")</f>
        <v>CAMBODIA</v>
      </c>
      <c r="Q207" s="23">
        <f>IFERROR(VLOOKUP(B207,'03. THIẾT BỊ'!$B$1:$S$836,16,0),"")</f>
        <v>0</v>
      </c>
      <c r="R207" s="25">
        <f>IFERROR(VLOOKUP(B207,'03. THIẾT BỊ'!$B$1:$S$836,17,0),"")</f>
        <v>0</v>
      </c>
      <c r="S207" s="25">
        <f>IFERROR(VLOOKUP(B207,'03. THIẾT BỊ'!$B$1:$S$836,18,0),"")</f>
        <v>0</v>
      </c>
      <c r="T207" s="41"/>
    </row>
    <row r="208" customHeight="1" spans="1:20">
      <c r="A208" s="19">
        <f t="shared" si="6"/>
        <v>9</v>
      </c>
      <c r="B208" s="20" t="s">
        <v>5160</v>
      </c>
      <c r="C208" s="613" t="str">
        <f>IFERROR(VLOOKUP(B208,'03. THIẾT BỊ'!$B$1:$S$836,2,0),"")</f>
        <v>CNN-XOI-005(P2M2 05 NN-KLH)</v>
      </c>
      <c r="D208" s="24" t="str">
        <f>IFERROR(VLOOKUP(B208,'03. THIẾT BỊ'!$B$1:$S$836,3,0),"")</f>
        <v>A22-XOI-001</v>
      </c>
      <c r="E208" s="20" t="str">
        <f>IFERROR(VLOOKUP(B208,'03. THIẾT BỊ'!$B$1:$S$836,4,0),"")</f>
        <v>ĐQSD</v>
      </c>
      <c r="F208" s="20" t="str">
        <f>IFERROR(VLOOKUP(B208,'03. THIẾT BỊ'!$B$1:$S$836,5,0),"")</f>
        <v>Thiết bị xới đất 2.2m</v>
      </c>
      <c r="G208" s="101" t="s">
        <v>6468</v>
      </c>
      <c r="H208" s="19" t="str">
        <f>IFERROR(VLOOKUP(B208,'03. THIẾT BỊ'!$B$1:$S$836,7,0),"")</f>
        <v>Xoài AD</v>
      </c>
      <c r="I208" s="610" t="str">
        <f>IFERROR(VLOOKUP(B208,'03. THIẾT BỊ'!$B$1:$S$836,8,0),"")</f>
        <v>25/02/2024</v>
      </c>
      <c r="J208" s="25"/>
      <c r="K208" s="19" t="str">
        <f>IFERROR(VLOOKUP(B208,'03. THIẾT BỊ'!$B$1:$S$836,10,0),"")</f>
        <v>Bình thường</v>
      </c>
      <c r="L208" s="25" t="str">
        <f>IFERROR(VLOOKUP(B208,'03. THIẾT BỊ'!$B$1:$S$836,11,0),"")</f>
        <v>CGLD AD chuyển qa</v>
      </c>
      <c r="M208" s="24">
        <f>IFERROR(VLOOKUP(B208,'03. THIẾT BỊ'!$B$1:$S$836,12,0),"")</f>
        <v>0</v>
      </c>
      <c r="N208" s="25" t="str">
        <f>IFERROR(VLOOKUP(B208,'03. THIẾT BỊ'!$B$1:$S$836,13,0),"")</f>
        <v>CAMBODIA</v>
      </c>
      <c r="O208" s="24" t="str">
        <f>IFERROR(VLOOKUP(B208,'03. THIẾT BỊ'!$B$1:$S$836,14,0),"")</f>
        <v>2.2m</v>
      </c>
      <c r="P208" s="25" t="str">
        <f>IFERROR(VLOOKUP(B208,'03. THIẾT BỊ'!$B$1:$S$836,15,0),"")</f>
        <v>CK-CGH</v>
      </c>
      <c r="Q208" s="23">
        <f>IFERROR(VLOOKUP(B208,'03. THIẾT BỊ'!$B$1:$S$836,16,0),"")</f>
        <v>0</v>
      </c>
      <c r="R208" s="25">
        <f>IFERROR(VLOOKUP(B208,'03. THIẾT BỊ'!$B$1:$S$836,17,0),"")</f>
        <v>0</v>
      </c>
      <c r="S208" s="25">
        <f>IFERROR(VLOOKUP(B208,'03. THIẾT BỊ'!$B$1:$S$836,18,0),"")</f>
        <v>0</v>
      </c>
      <c r="T208" s="615"/>
    </row>
    <row r="209" customHeight="1" spans="1:20">
      <c r="A209" s="324"/>
      <c r="B209" s="41"/>
      <c r="C209" s="613" t="str">
        <f>IFERROR(VLOOKUP(B209,'03. THIẾT BỊ'!$B$1:$S$836,2,0),"")</f>
        <v/>
      </c>
      <c r="D209" s="24" t="str">
        <f>IFERROR(VLOOKUP(B209,'03. THIẾT BỊ'!$B$1:$S$836,3,0),"")</f>
        <v/>
      </c>
      <c r="E209" s="20" t="str">
        <f>IFERROR(VLOOKUP(B209,'03. THIẾT BỊ'!$B$1:$S$836,4,0),"")</f>
        <v/>
      </c>
      <c r="F209" s="20" t="str">
        <f>IFERROR(VLOOKUP(B209,'03. THIẾT BỊ'!$B$1:$S$836,5,0),"")</f>
        <v/>
      </c>
      <c r="G209" s="101" t="s">
        <v>6468</v>
      </c>
      <c r="H209" s="19" t="str">
        <f>IFERROR(VLOOKUP(B209,'03. THIẾT BỊ'!$B$1:$S$836,7,0),"")</f>
        <v/>
      </c>
      <c r="I209" s="610" t="str">
        <f>IFERROR(VLOOKUP(B209,'03. THIẾT BỊ'!$B$1:$S$836,8,0),"")</f>
        <v/>
      </c>
      <c r="J209" s="25"/>
      <c r="K209" s="19" t="str">
        <f>IFERROR(VLOOKUP(B209,'03. THIẾT BỊ'!$B$1:$S$836,10,0),"")</f>
        <v/>
      </c>
      <c r="L209" s="25" t="str">
        <f>IFERROR(VLOOKUP(B209,'03. THIẾT BỊ'!$B$1:$S$836,11,0),"")</f>
        <v/>
      </c>
      <c r="M209" s="24" t="str">
        <f>IFERROR(VLOOKUP(B209,'03. THIẾT BỊ'!$B$1:$S$836,12,0),"")</f>
        <v/>
      </c>
      <c r="N209" s="25" t="str">
        <f>IFERROR(VLOOKUP(B209,'03. THIẾT BỊ'!$B$1:$S$836,13,0),"")</f>
        <v/>
      </c>
      <c r="O209" s="24" t="str">
        <f>IFERROR(VLOOKUP(B209,'03. THIẾT BỊ'!$B$1:$S$836,14,0),"")</f>
        <v/>
      </c>
      <c r="P209" s="25" t="str">
        <f>IFERROR(VLOOKUP(B209,'03. THIẾT BỊ'!$B$1:$S$836,15,0),"")</f>
        <v/>
      </c>
      <c r="Q209" s="23" t="str">
        <f>IFERROR(VLOOKUP(B209,'03. THIẾT BỊ'!$B$1:$S$836,16,0),"")</f>
        <v/>
      </c>
      <c r="R209" s="25" t="str">
        <f>IFERROR(VLOOKUP(B209,'03. THIẾT BỊ'!$B$1:$S$836,17,0),"")</f>
        <v/>
      </c>
      <c r="S209" s="25" t="str">
        <f>IFERROR(VLOOKUP(B209,'03. THIẾT BỊ'!$B$1:$S$836,18,0),"")</f>
        <v/>
      </c>
      <c r="T209" s="41"/>
    </row>
    <row r="210" hidden="1" customHeight="1" spans="1:20">
      <c r="A210" s="324"/>
      <c r="B210" s="41"/>
      <c r="C210" s="613" t="str">
        <f>IFERROR(VLOOKUP(B210,'03. THIẾT BỊ'!$B$1:$S$836,2,0),"")</f>
        <v/>
      </c>
      <c r="D210" s="24" t="str">
        <f>IFERROR(VLOOKUP(B210,'03. THIẾT BỊ'!$B$1:$S$836,3,0),"")</f>
        <v/>
      </c>
      <c r="E210" s="20" t="str">
        <f>IFERROR(VLOOKUP(B210,'03. THIẾT BỊ'!$B$1:$S$836,4,0),"")</f>
        <v/>
      </c>
      <c r="F210" s="20" t="str">
        <f>IFERROR(VLOOKUP(B210,'03. THIẾT BỊ'!$B$1:$S$836,5,0),"")</f>
        <v/>
      </c>
      <c r="G210" s="101" t="s">
        <v>6468</v>
      </c>
      <c r="H210" s="19" t="str">
        <f>IFERROR(VLOOKUP(B210,'03. THIẾT BỊ'!$B$1:$S$836,7,0),"")</f>
        <v/>
      </c>
      <c r="I210" s="610" t="str">
        <f>IFERROR(VLOOKUP(B210,'03. THIẾT BỊ'!$B$1:$S$836,8,0),"")</f>
        <v/>
      </c>
      <c r="J210" s="25"/>
      <c r="K210" s="19" t="str">
        <f>IFERROR(VLOOKUP(B210,'03. THIẾT BỊ'!$B$1:$S$836,10,0),"")</f>
        <v/>
      </c>
      <c r="L210" s="25" t="str">
        <f>IFERROR(VLOOKUP(B210,'03. THIẾT BỊ'!$B$1:$S$836,11,0),"")</f>
        <v/>
      </c>
      <c r="M210" s="24" t="str">
        <f>IFERROR(VLOOKUP(B210,'03. THIẾT BỊ'!$B$1:$S$836,12,0),"")</f>
        <v/>
      </c>
      <c r="N210" s="25" t="str">
        <f>IFERROR(VLOOKUP(B210,'03. THIẾT BỊ'!$B$1:$S$836,13,0),"")</f>
        <v/>
      </c>
      <c r="O210" s="24" t="str">
        <f>IFERROR(VLOOKUP(B210,'03. THIẾT BỊ'!$B$1:$S$836,14,0),"")</f>
        <v/>
      </c>
      <c r="P210" s="25" t="str">
        <f>IFERROR(VLOOKUP(B210,'03. THIẾT BỊ'!$B$1:$S$836,15,0),"")</f>
        <v/>
      </c>
      <c r="Q210" s="23" t="str">
        <f>IFERROR(VLOOKUP(B210,'03. THIẾT BỊ'!$B$1:$S$836,16,0),"")</f>
        <v/>
      </c>
      <c r="R210" s="25" t="str">
        <f>IFERROR(VLOOKUP(B210,'03. THIẾT BỊ'!$B$1:$S$836,17,0),"")</f>
        <v/>
      </c>
      <c r="S210" s="25" t="str">
        <f>IFERROR(VLOOKUP(B210,'03. THIẾT BỊ'!$B$1:$S$836,18,0),"")</f>
        <v/>
      </c>
      <c r="T210" s="41"/>
    </row>
    <row r="211" hidden="1" customHeight="1" spans="1:20">
      <c r="A211" s="324"/>
      <c r="B211" s="41"/>
      <c r="C211" s="613" t="str">
        <f>IFERROR(VLOOKUP(B211,'03. THIẾT BỊ'!$B$1:$S$836,2,0),"")</f>
        <v/>
      </c>
      <c r="D211" s="24" t="str">
        <f>IFERROR(VLOOKUP(B211,'03. THIẾT BỊ'!$B$1:$S$836,3,0),"")</f>
        <v/>
      </c>
      <c r="E211" s="20" t="str">
        <f>IFERROR(VLOOKUP(B211,'03. THIẾT BỊ'!$B$1:$S$836,4,0),"")</f>
        <v/>
      </c>
      <c r="F211" s="20" t="str">
        <f>IFERROR(VLOOKUP(B211,'03. THIẾT BỊ'!$B$1:$S$836,5,0),"")</f>
        <v/>
      </c>
      <c r="G211" s="101" t="s">
        <v>6468</v>
      </c>
      <c r="H211" s="19" t="str">
        <f>IFERROR(VLOOKUP(B211,'03. THIẾT BỊ'!$B$1:$S$836,7,0),"")</f>
        <v/>
      </c>
      <c r="I211" s="610" t="str">
        <f>IFERROR(VLOOKUP(B211,'03. THIẾT BỊ'!$B$1:$S$836,8,0),"")</f>
        <v/>
      </c>
      <c r="J211" s="25"/>
      <c r="K211" s="19" t="str">
        <f>IFERROR(VLOOKUP(B211,'03. THIẾT BỊ'!$B$1:$S$836,10,0),"")</f>
        <v/>
      </c>
      <c r="L211" s="25" t="str">
        <f>IFERROR(VLOOKUP(B211,'03. THIẾT BỊ'!$B$1:$S$836,11,0),"")</f>
        <v/>
      </c>
      <c r="M211" s="24" t="str">
        <f>IFERROR(VLOOKUP(B211,'03. THIẾT BỊ'!$B$1:$S$836,12,0),"")</f>
        <v/>
      </c>
      <c r="N211" s="25" t="str">
        <f>IFERROR(VLOOKUP(B211,'03. THIẾT BỊ'!$B$1:$S$836,13,0),"")</f>
        <v/>
      </c>
      <c r="O211" s="24" t="str">
        <f>IFERROR(VLOOKUP(B211,'03. THIẾT BỊ'!$B$1:$S$836,14,0),"")</f>
        <v/>
      </c>
      <c r="P211" s="25" t="str">
        <f>IFERROR(VLOOKUP(B211,'03. THIẾT BỊ'!$B$1:$S$836,15,0),"")</f>
        <v/>
      </c>
      <c r="Q211" s="23" t="str">
        <f>IFERROR(VLOOKUP(B211,'03. THIẾT BỊ'!$B$1:$S$836,16,0),"")</f>
        <v/>
      </c>
      <c r="R211" s="25" t="str">
        <f>IFERROR(VLOOKUP(B211,'03. THIẾT BỊ'!$B$1:$S$836,17,0),"")</f>
        <v/>
      </c>
      <c r="S211" s="25" t="str">
        <f>IFERROR(VLOOKUP(B211,'03. THIẾT BỊ'!$B$1:$S$836,18,0),"")</f>
        <v/>
      </c>
      <c r="T211" s="41"/>
    </row>
    <row r="212" hidden="1" customHeight="1" spans="1:20">
      <c r="A212" s="324"/>
      <c r="B212" s="41"/>
      <c r="C212" s="613" t="str">
        <f>IFERROR(VLOOKUP(B212,'03. THIẾT BỊ'!$B$1:$S$836,2,0),"")</f>
        <v/>
      </c>
      <c r="D212" s="24" t="str">
        <f>IFERROR(VLOOKUP(B212,'03. THIẾT BỊ'!$B$1:$S$836,3,0),"")</f>
        <v/>
      </c>
      <c r="E212" s="20" t="str">
        <f>IFERROR(VLOOKUP(B212,'03. THIẾT BỊ'!$B$1:$S$836,4,0),"")</f>
        <v/>
      </c>
      <c r="F212" s="20" t="str">
        <f>IFERROR(VLOOKUP(B212,'03. THIẾT BỊ'!$B$1:$S$836,5,0),"")</f>
        <v/>
      </c>
      <c r="G212" s="101" t="s">
        <v>6468</v>
      </c>
      <c r="H212" s="19" t="str">
        <f>IFERROR(VLOOKUP(B212,'03. THIẾT BỊ'!$B$1:$S$836,7,0),"")</f>
        <v/>
      </c>
      <c r="I212" s="610" t="str">
        <f>IFERROR(VLOOKUP(B212,'03. THIẾT BỊ'!$B$1:$S$836,8,0),"")</f>
        <v/>
      </c>
      <c r="J212" s="25"/>
      <c r="K212" s="19" t="str">
        <f>IFERROR(VLOOKUP(B212,'03. THIẾT BỊ'!$B$1:$S$836,10,0),"")</f>
        <v/>
      </c>
      <c r="L212" s="25" t="str">
        <f>IFERROR(VLOOKUP(B212,'03. THIẾT BỊ'!$B$1:$S$836,11,0),"")</f>
        <v/>
      </c>
      <c r="M212" s="24" t="str">
        <f>IFERROR(VLOOKUP(B212,'03. THIẾT BỊ'!$B$1:$S$836,12,0),"")</f>
        <v/>
      </c>
      <c r="N212" s="25" t="str">
        <f>IFERROR(VLOOKUP(B212,'03. THIẾT BỊ'!$B$1:$S$836,13,0),"")</f>
        <v/>
      </c>
      <c r="O212" s="24" t="str">
        <f>IFERROR(VLOOKUP(B212,'03. THIẾT BỊ'!$B$1:$S$836,14,0),"")</f>
        <v/>
      </c>
      <c r="P212" s="25" t="str">
        <f>IFERROR(VLOOKUP(B212,'03. THIẾT BỊ'!$B$1:$S$836,15,0),"")</f>
        <v/>
      </c>
      <c r="Q212" s="23" t="str">
        <f>IFERROR(VLOOKUP(B212,'03. THIẾT BỊ'!$B$1:$S$836,16,0),"")</f>
        <v/>
      </c>
      <c r="R212" s="25" t="str">
        <f>IFERROR(VLOOKUP(B212,'03. THIẾT BỊ'!$B$1:$S$836,17,0),"")</f>
        <v/>
      </c>
      <c r="S212" s="25" t="str">
        <f>IFERROR(VLOOKUP(B212,'03. THIẾT BỊ'!$B$1:$S$836,18,0),"")</f>
        <v/>
      </c>
      <c r="T212" s="41"/>
    </row>
    <row r="213" customHeight="1" spans="1:20">
      <c r="A213" s="14" t="s">
        <v>290</v>
      </c>
      <c r="B213" s="15" t="s">
        <v>6480</v>
      </c>
      <c r="C213" s="14">
        <f>COUNTA(B214:B222)</f>
        <v>8</v>
      </c>
      <c r="D213" s="17" t="str">
        <f>IFERROR(VLOOKUP(B213,'03. THIẾT BỊ'!$B$1:$S$836,3,0),"")</f>
        <v/>
      </c>
      <c r="E213" s="20" t="str">
        <f>IFERROR(VLOOKUP(B213,'03. THIẾT BỊ'!$B$1:$S$836,4,0),"")</f>
        <v/>
      </c>
      <c r="F213" s="17" t="str">
        <f>IFERROR(VLOOKUP(B213,'03. THIẾT BỊ'!$B$1:$S$836,5,0),"")</f>
        <v/>
      </c>
      <c r="G213" s="18" t="s">
        <v>6468</v>
      </c>
      <c r="H213" s="18" t="str">
        <f>IFERROR(VLOOKUP(B213,'03. THIẾT BỊ'!$B$1:$S$836,7,0),"")</f>
        <v/>
      </c>
      <c r="I213" s="14" t="str">
        <f>IFERROR(VLOOKUP(B213,'03. THIẾT BỊ'!$B$1:$S$836,8,0),"")</f>
        <v/>
      </c>
      <c r="J213" s="15"/>
      <c r="K213" s="14" t="str">
        <f>IFERROR(VLOOKUP(B213,'03. THIẾT BỊ'!$B$1:$S$836,10,0),"")</f>
        <v/>
      </c>
      <c r="L213" s="17" t="str">
        <f>IFERROR(VLOOKUP(B213,'03. THIẾT BỊ'!$B$1:$S$836,11,0),"")</f>
        <v/>
      </c>
      <c r="M213" s="16" t="str">
        <f>IFERROR(VLOOKUP(B213,'03. THIẾT BỊ'!$B$1:$S$836,12,0),"")</f>
        <v/>
      </c>
      <c r="N213" s="17" t="str">
        <f>IFERROR(VLOOKUP(B213,'03. THIẾT BỊ'!$B$1:$S$836,13,0),"")</f>
        <v/>
      </c>
      <c r="O213" s="16" t="str">
        <f>IFERROR(VLOOKUP(B213,'03. THIẾT BỊ'!$B$1:$S$836,14,0),"")</f>
        <v/>
      </c>
      <c r="P213" s="17" t="str">
        <f>IFERROR(VLOOKUP(B213,'03. THIẾT BỊ'!$B$1:$S$836,15,0),"")</f>
        <v/>
      </c>
      <c r="Q213" s="18" t="str">
        <f>IFERROR(VLOOKUP(B213,'03. THIẾT BỊ'!$B$1:$S$836,16,0),"")</f>
        <v/>
      </c>
      <c r="R213" s="17" t="str">
        <f>IFERROR(VLOOKUP(B213,'03. THIẾT BỊ'!$B$1:$S$836,17,0),"")</f>
        <v/>
      </c>
      <c r="S213" s="17" t="str">
        <f>IFERROR(VLOOKUP(B213,'03. THIẾT BỊ'!$B$1:$S$836,18,0),"")</f>
        <v/>
      </c>
      <c r="T213" s="609"/>
    </row>
    <row r="214" customHeight="1" spans="1:20">
      <c r="A214" s="19">
        <v>1</v>
      </c>
      <c r="B214" s="20" t="s">
        <v>3940</v>
      </c>
      <c r="C214" s="613" t="str">
        <f>IFERROR(VLOOKUP(B214,'03. THIẾT BỊ'!$B$1:$S$836,2,0),"")</f>
        <v>XDP-PVO-001</v>
      </c>
      <c r="D214" s="24" t="str">
        <f>IFERROR(VLOOKUP(B214,'03. THIẾT BỊ'!$B$1:$S$836,3,0),"")</f>
        <v>A23-RVO-001</v>
      </c>
      <c r="E214" s="20" t="str">
        <f>IFERROR(VLOOKUP(B214,'03. THIẾT BỊ'!$B$1:$S$836,4,0),"")</f>
        <v>ĐQSD</v>
      </c>
      <c r="F214" s="20" t="str">
        <f>IFERROR(VLOOKUP(B214,'03. THIẾT BỊ'!$B$1:$S$836,5,0),"")</f>
        <v>Thiết bị phun vôi/rải vô cơ</v>
      </c>
      <c r="G214" s="101" t="s">
        <v>6468</v>
      </c>
      <c r="H214" s="19" t="str">
        <f>IFERROR(VLOOKUP(B214,'03. THIẾT BỊ'!$B$1:$S$836,7,0),"")</f>
        <v>CGLĐ DP</v>
      </c>
      <c r="I214" s="610">
        <f>IFERROR(VLOOKUP(B214,'03. THIẾT BỊ'!$B$1:$S$836,8,0),"")</f>
        <v>0</v>
      </c>
      <c r="J214" s="25"/>
      <c r="K214" s="19" t="str">
        <f>IFERROR(VLOOKUP(B214,'03. THIẾT BỊ'!$B$1:$S$836,10,0),"")</f>
        <v>Bình thường</v>
      </c>
      <c r="L214" s="25">
        <f>IFERROR(VLOOKUP(B214,'03. THIẾT BỊ'!$B$1:$S$836,11,0),"")</f>
        <v>0</v>
      </c>
      <c r="M214" s="24">
        <f>IFERROR(VLOOKUP(B214,'03. THIẾT BỊ'!$B$1:$S$836,12,0),"")</f>
        <v>0</v>
      </c>
      <c r="N214" s="25" t="str">
        <f>IFERROR(VLOOKUP(B214,'03. THIẾT BỊ'!$B$1:$S$836,13,0),"")</f>
        <v>TRUNG QUỐC</v>
      </c>
      <c r="O214" s="24">
        <f>IFERROR(VLOOKUP(B214,'03. THIẾT BỊ'!$B$1:$S$836,14,0),"")</f>
        <v>0</v>
      </c>
      <c r="P214" s="25" t="str">
        <f>IFERROR(VLOOKUP(B214,'03. THIẾT BỊ'!$B$1:$S$836,15,0),"")</f>
        <v>TRUNG QUỐC</v>
      </c>
      <c r="Q214" s="23">
        <f>IFERROR(VLOOKUP(B214,'03. THIẾT BỊ'!$B$1:$S$836,16,0),"")</f>
        <v>0</v>
      </c>
      <c r="R214" s="25">
        <f>IFERROR(VLOOKUP(B214,'03. THIẾT BỊ'!$B$1:$S$836,17,0),"")</f>
        <v>0</v>
      </c>
      <c r="S214" s="25">
        <f>IFERROR(VLOOKUP(B214,'03. THIẾT BỊ'!$B$1:$S$836,18,0),"")</f>
        <v>0</v>
      </c>
      <c r="T214" s="41"/>
    </row>
    <row r="215" customHeight="1" spans="1:20">
      <c r="A215" s="19">
        <v>2</v>
      </c>
      <c r="B215" s="20" t="s">
        <v>4106</v>
      </c>
      <c r="C215" s="613">
        <f>IFERROR(VLOOKUP(B215,'03. THIẾT BỊ'!$B$1:$S$836,2,0),"")</f>
        <v>0</v>
      </c>
      <c r="D215" s="24" t="str">
        <f>IFERROR(VLOOKUP(B215,'03. THIẾT BỊ'!$B$1:$S$836,3,0),"")</f>
        <v>A24-RVO-003</v>
      </c>
      <c r="E215" s="20" t="str">
        <f>IFERROR(VLOOKUP(B215,'03. THIẾT BỊ'!$B$1:$S$836,4,0),"")</f>
        <v>ĐQSD</v>
      </c>
      <c r="F215" s="20" t="str">
        <f>IFERROR(VLOOKUP(B215,'03. THIẾT BỊ'!$B$1:$S$836,5,0),"")</f>
        <v>Thiết bị phun vôi/rải vô cơ</v>
      </c>
      <c r="G215" s="101" t="s">
        <v>6468</v>
      </c>
      <c r="H215" s="19" t="str">
        <f>IFERROR(VLOOKUP(B215,'03. THIẾT BỊ'!$B$1:$S$836,7,0),"")</f>
        <v>CGLĐ LP</v>
      </c>
      <c r="I215" s="610">
        <f>IFERROR(VLOOKUP(B215,'03. THIẾT BỊ'!$B$1:$S$836,8,0),"")</f>
        <v>45446</v>
      </c>
      <c r="J215" s="25"/>
      <c r="K215" s="19" t="str">
        <f>IFERROR(VLOOKUP(B215,'03. THIẾT BỊ'!$B$1:$S$836,10,0),"")</f>
        <v>Bình thường</v>
      </c>
      <c r="L215" s="25" t="str">
        <f>IFERROR(VLOOKUP(B215,'03. THIẾT BỊ'!$B$1:$S$836,11,0),"")</f>
        <v>XNB chuyển qua</v>
      </c>
      <c r="M215" s="24">
        <f>IFERROR(VLOOKUP(B215,'03. THIẾT BỊ'!$B$1:$S$836,12,0),"")</f>
        <v>0</v>
      </c>
      <c r="N215" s="25" t="str">
        <f>IFERROR(VLOOKUP(B215,'03. THIẾT BỊ'!$B$1:$S$836,13,0),"")</f>
        <v>CAMBODIA</v>
      </c>
      <c r="O215" s="24">
        <f>IFERROR(VLOOKUP(B215,'03. THIẾT BỊ'!$B$1:$S$836,14,0),"")</f>
        <v>0</v>
      </c>
      <c r="P215" s="25" t="str">
        <f>IFERROR(VLOOKUP(B215,'03. THIẾT BỊ'!$B$1:$S$836,15,0),"")</f>
        <v>CAMBODIA</v>
      </c>
      <c r="Q215" s="23">
        <f>IFERROR(VLOOKUP(B215,'03. THIẾT BỊ'!$B$1:$S$836,16,0),"")</f>
        <v>0</v>
      </c>
      <c r="R215" s="25">
        <f>IFERROR(VLOOKUP(B215,'03. THIẾT BỊ'!$B$1:$S$836,17,0),"")</f>
        <v>0</v>
      </c>
      <c r="S215" s="25">
        <f>IFERROR(VLOOKUP(B215,'03. THIẾT BỊ'!$B$1:$S$836,18,0),"")</f>
        <v>0</v>
      </c>
      <c r="T215" s="41"/>
    </row>
    <row r="216" customHeight="1" spans="1:20">
      <c r="A216" s="19">
        <f t="shared" ref="A216:A218" si="7">A215+1</f>
        <v>3</v>
      </c>
      <c r="B216" s="20" t="s">
        <v>4188</v>
      </c>
      <c r="C216" s="613" t="str">
        <f>IFERROR(VLOOKUP(B216,'03. THIẾT BỊ'!$B$1:$S$836,2,0),"")</f>
        <v>CNN-XOI-007(P2M2 06 NN-KLH)</v>
      </c>
      <c r="D216" s="24" t="str">
        <f>IFERROR(VLOOKUP(B216,'03. THIẾT BỊ'!$B$1:$S$836,3,0),"")</f>
        <v>A22-RVO-004</v>
      </c>
      <c r="E216" s="20" t="str">
        <f>IFERROR(VLOOKUP(B216,'03. THIẾT BỊ'!$B$1:$S$836,4,0),"")</f>
        <v>ĐQSD</v>
      </c>
      <c r="F216" s="20" t="str">
        <f>IFERROR(VLOOKUP(B216,'03. THIẾT BỊ'!$B$1:$S$836,5,0),"")</f>
        <v>Thiết bị phun vôi/rải vô cơ</v>
      </c>
      <c r="G216" s="101" t="s">
        <v>6468</v>
      </c>
      <c r="H216" s="19" t="str">
        <f>IFERROR(VLOOKUP(B216,'03. THIẾT BỊ'!$B$1:$S$836,7,0),"")</f>
        <v>XN Bò AD</v>
      </c>
      <c r="I216" s="610">
        <f>IFERROR(VLOOKUP(B216,'03. THIẾT BỊ'!$B$1:$S$836,8,0),"")</f>
        <v>0</v>
      </c>
      <c r="J216" s="25"/>
      <c r="K216" s="19" t="str">
        <f>IFERROR(VLOOKUP(B216,'03. THIẾT BỊ'!$B$1:$S$836,10,0),"")</f>
        <v>Bình thường</v>
      </c>
      <c r="L216" s="25">
        <f>IFERROR(VLOOKUP(B216,'03. THIẾT BỊ'!$B$1:$S$836,11,0),"")</f>
        <v>0</v>
      </c>
      <c r="M216" s="24">
        <f>IFERROR(VLOOKUP(B216,'03. THIẾT BỊ'!$B$1:$S$836,12,0),"")</f>
        <v>0</v>
      </c>
      <c r="N216" s="25" t="str">
        <f>IFERROR(VLOOKUP(B216,'03. THIẾT BỊ'!$B$1:$S$836,13,0),"")</f>
        <v>CAMBODIA</v>
      </c>
      <c r="O216" s="24">
        <f>IFERROR(VLOOKUP(B216,'03. THIẾT BỊ'!$B$1:$S$836,14,0),"")</f>
        <v>0</v>
      </c>
      <c r="P216" s="25" t="str">
        <f>IFERROR(VLOOKUP(B216,'03. THIẾT BỊ'!$B$1:$S$836,15,0),"")</f>
        <v>CAMBODIA</v>
      </c>
      <c r="Q216" s="23">
        <f>IFERROR(VLOOKUP(B216,'03. THIẾT BỊ'!$B$1:$S$836,16,0),"")</f>
        <v>0</v>
      </c>
      <c r="R216" s="25">
        <f>IFERROR(VLOOKUP(B216,'03. THIẾT BỊ'!$B$1:$S$836,17,0),"")</f>
        <v>0</v>
      </c>
      <c r="S216" s="25">
        <f>IFERROR(VLOOKUP(B216,'03. THIẾT BỊ'!$B$1:$S$836,18,0),"")</f>
        <v>0</v>
      </c>
      <c r="T216" s="41"/>
    </row>
    <row r="217" customHeight="1" spans="1:20">
      <c r="A217" s="19">
        <f t="shared" si="7"/>
        <v>4</v>
      </c>
      <c r="B217" s="20" t="s">
        <v>3944</v>
      </c>
      <c r="C217" s="613">
        <f>IFERROR(VLOOKUP(B217,'03. THIẾT BỊ'!$B$1:$S$836,2,0),"")</f>
        <v>0</v>
      </c>
      <c r="D217" s="24" t="str">
        <f>IFERROR(VLOOKUP(B217,'03. THIẾT BỊ'!$B$1:$S$836,3,0),"")</f>
        <v>A23-RVO-005</v>
      </c>
      <c r="E217" s="20" t="str">
        <f>IFERROR(VLOOKUP(B217,'03. THIẾT BỊ'!$B$1:$S$836,4,0),"")</f>
        <v>MUA MỚI</v>
      </c>
      <c r="F217" s="20" t="str">
        <f>IFERROR(VLOOKUP(B217,'03. THIẾT BỊ'!$B$1:$S$836,5,0),"")</f>
        <v>Thiết bị phun vôi/rải vô cơ</v>
      </c>
      <c r="G217" s="101" t="s">
        <v>6468</v>
      </c>
      <c r="H217" s="19" t="str">
        <f>IFERROR(VLOOKUP(B217,'03. THIẾT BỊ'!$B$1:$S$836,7,0),"")</f>
        <v>CGLĐ DP</v>
      </c>
      <c r="I217" s="610">
        <f>IFERROR(VLOOKUP(B217,'03. THIẾT BỊ'!$B$1:$S$836,8,0),"")</f>
        <v>46054</v>
      </c>
      <c r="J217" s="25"/>
      <c r="K217" s="19" t="str">
        <f>IFERROR(VLOOKUP(B217,'03. THIẾT BỊ'!$B$1:$S$836,10,0),"")</f>
        <v>Bình thường</v>
      </c>
      <c r="M217" s="24">
        <f>IFERROR(VLOOKUP(B217,'03. THIẾT BỊ'!$B$1:$S$836,12,0),"")</f>
        <v>0</v>
      </c>
      <c r="N217" s="25" t="str">
        <f>IFERROR(VLOOKUP(B217,'03. THIẾT BỊ'!$B$1:$S$836,13,0),"")</f>
        <v>SHAKTIMAN</v>
      </c>
      <c r="O217" s="24" t="str">
        <f>IFERROR(VLOOKUP(B217,'03. THIẾT BỊ'!$B$1:$S$836,14,0),"")</f>
        <v>SFB-1000DD</v>
      </c>
      <c r="P217" s="25" t="str">
        <f>IFERROR(VLOOKUP(B217,'03. THIẾT BỊ'!$B$1:$S$836,15,0),"")</f>
        <v>INDIA</v>
      </c>
      <c r="Q217" s="23">
        <f>IFERROR(VLOOKUP(B217,'03. THIẾT BỊ'!$B$1:$S$836,16,0),"")</f>
        <v>2024</v>
      </c>
      <c r="R217" s="25">
        <f>IFERROR(VLOOKUP(B217,'03. THIẾT BỊ'!$B$1:$S$836,17,0),"")</f>
        <v>0</v>
      </c>
      <c r="S217" s="25" t="str">
        <f>IFERROR(VLOOKUP(B217,'03. THIẾT BỊ'!$B$1:$S$836,18,0),"")</f>
        <v>BACE112101901</v>
      </c>
      <c r="T217" s="41"/>
    </row>
    <row r="218" customHeight="1" spans="1:20">
      <c r="A218" s="19">
        <f t="shared" si="7"/>
        <v>5</v>
      </c>
      <c r="B218" s="20" t="s">
        <v>4109</v>
      </c>
      <c r="C218" s="613">
        <v>5.6</v>
      </c>
      <c r="D218" s="24" t="str">
        <f>IFERROR(VLOOKUP(B218,'03. THIẾT BỊ'!$B$1:$S$836,3,0),"")</f>
        <v>A23-RVO-006</v>
      </c>
      <c r="E218" s="20" t="str">
        <f>IFERROR(VLOOKUP(B218,'03. THIẾT BỊ'!$B$1:$S$836,4,0),"")</f>
        <v>MUA MỚI</v>
      </c>
      <c r="F218" s="20" t="str">
        <f>IFERROR(VLOOKUP(B218,'03. THIẾT BỊ'!$B$1:$S$836,5,0),"")</f>
        <v>Thiết bị phun vôi/rải vô cơ</v>
      </c>
      <c r="G218" s="101" t="s">
        <v>6468</v>
      </c>
      <c r="H218" s="19" t="str">
        <f>IFERROR(VLOOKUP(B218,'03. THIẾT BỊ'!$B$1:$S$836,7,0),"")</f>
        <v>CGLĐ LP</v>
      </c>
      <c r="I218" s="610">
        <f>IFERROR(VLOOKUP(B218,'03. THIẾT BỊ'!$B$1:$S$836,8,0),"")</f>
        <v>46054</v>
      </c>
      <c r="J218" s="25"/>
      <c r="K218" s="19" t="str">
        <f>IFERROR(VLOOKUP(B218,'03. THIẾT BỊ'!$B$1:$S$836,10,0),"")</f>
        <v>Bình thường</v>
      </c>
      <c r="L218" s="25">
        <f>IFERROR(VLOOKUP(B218,'03. THIẾT BỊ'!$B$1:$S$836,11,0),"")</f>
        <v>0</v>
      </c>
      <c r="M218" s="24">
        <f>IFERROR(VLOOKUP(B218,'03. THIẾT BỊ'!$B$1:$S$836,12,0),"")</f>
        <v>0</v>
      </c>
      <c r="N218" s="25" t="str">
        <f>IFERROR(VLOOKUP(B218,'03. THIẾT BỊ'!$B$1:$S$836,13,0),"")</f>
        <v>SHAKTIMAN</v>
      </c>
      <c r="O218" s="24" t="str">
        <f>IFERROR(VLOOKUP(B218,'03. THIẾT BỊ'!$B$1:$S$836,14,0),"")</f>
        <v>SFB-1000DD</v>
      </c>
      <c r="P218" s="25" t="str">
        <f>IFERROR(VLOOKUP(B218,'03. THIẾT BỊ'!$B$1:$S$836,15,0),"")</f>
        <v>INDIA</v>
      </c>
      <c r="Q218" s="23">
        <f>IFERROR(VLOOKUP(B218,'03. THIẾT BỊ'!$B$1:$S$836,16,0),"")</f>
        <v>2024</v>
      </c>
      <c r="R218" s="25">
        <f>IFERROR(VLOOKUP(B218,'03. THIẾT BỊ'!$B$1:$S$836,17,0),"")</f>
        <v>0</v>
      </c>
      <c r="S218" s="25" t="str">
        <f>IFERROR(VLOOKUP(B218,'03. THIẾT BỊ'!$B$1:$S$836,18,0),"")</f>
        <v>BACE112101899</v>
      </c>
      <c r="T218" s="41"/>
    </row>
    <row r="219" customHeight="1" spans="1:20">
      <c r="A219" s="19">
        <f>A216+1</f>
        <v>4</v>
      </c>
      <c r="B219" s="20" t="s">
        <v>5429</v>
      </c>
      <c r="C219" s="613">
        <f>IFERROR(VLOOKUP(B219,'03. THIẾT BỊ'!$B$1:$S$836,2,0),"")</f>
        <v>0</v>
      </c>
      <c r="D219" s="24" t="str">
        <f>IFERROR(VLOOKUP(B219,'03. THIẾT BỊ'!$B$1:$S$836,3,0),"")</f>
        <v>A22-RVO-001</v>
      </c>
      <c r="E219" s="20" t="str">
        <f>IFERROR(VLOOKUP(B219,'03. THIẾT BỊ'!$B$1:$S$836,4,0),"")</f>
        <v>ĐQSD</v>
      </c>
      <c r="F219" s="20" t="str">
        <f>IFERROR(VLOOKUP(B219,'03. THIẾT BỊ'!$B$1:$S$836,5,0),"")</f>
        <v>Thiết bị phun vôi/rải vô cơ</v>
      </c>
      <c r="G219" s="101" t="s">
        <v>6468</v>
      </c>
      <c r="H219" s="19" t="str">
        <f>IFERROR(VLOOKUP(B219,'03. THIẾT BỊ'!$B$1:$S$836,7,0),"")</f>
        <v>XN Bò AD</v>
      </c>
      <c r="I219" s="610">
        <f>IFERROR(VLOOKUP(B219,'03. THIẾT BỊ'!$B$1:$S$836,8,0),"")</f>
        <v>0</v>
      </c>
      <c r="J219" s="25"/>
      <c r="K219" s="19" t="str">
        <f>IFERROR(VLOOKUP(B219,'03. THIẾT BỊ'!$B$1:$S$836,10,0),"")</f>
        <v>Bình thường</v>
      </c>
      <c r="L219" s="25">
        <f>IFERROR(VLOOKUP(B217,'03. THIẾT BỊ'!$B$1:$S$836,11,0),"")</f>
        <v>0</v>
      </c>
      <c r="M219" s="24">
        <f>IFERROR(VLOOKUP(B219,'03. THIẾT BỊ'!$B$1:$S$836,12,0),"")</f>
        <v>0</v>
      </c>
      <c r="N219" s="25" t="str">
        <f>IFERROR(VLOOKUP(B219,'03. THIẾT BỊ'!$B$1:$S$836,13,0),"")</f>
        <v>THACO AGRI</v>
      </c>
      <c r="O219" s="24">
        <f>IFERROR(VLOOKUP(B219,'03. THIẾT BỊ'!$B$1:$S$836,14,0),"")</f>
        <v>0</v>
      </c>
      <c r="P219" s="25" t="str">
        <f>IFERROR(VLOOKUP(B219,'03. THIẾT BỊ'!$B$1:$S$836,15,0),"")</f>
        <v>CK-CGH</v>
      </c>
      <c r="Q219" s="23">
        <f>IFERROR(VLOOKUP(B219,'03. THIẾT BỊ'!$B$1:$S$836,16,0),"")</f>
        <v>0</v>
      </c>
      <c r="R219" s="25">
        <f>IFERROR(VLOOKUP(B219,'03. THIẾT BỊ'!$B$1:$S$836,17,0),"")</f>
        <v>0</v>
      </c>
      <c r="S219" s="25">
        <f>IFERROR(VLOOKUP(B219,'03. THIẾT BỊ'!$B$1:$S$836,18,0),"")</f>
        <v>0</v>
      </c>
      <c r="T219" s="41"/>
    </row>
    <row r="220" customHeight="1" spans="1:20">
      <c r="A220" s="19">
        <f t="shared" ref="A220:A221" si="8">A219+1</f>
        <v>5</v>
      </c>
      <c r="B220" s="20" t="s">
        <v>5431</v>
      </c>
      <c r="C220" s="613">
        <f>IFERROR(VLOOKUP(B220,'03. THIẾT BỊ'!$B$1:$S$836,2,0),"")</f>
        <v>0</v>
      </c>
      <c r="D220" s="24" t="str">
        <f>IFERROR(VLOOKUP(B220,'03. THIẾT BỊ'!$B$1:$S$836,3,0),"")</f>
        <v>A22-RVO-002</v>
      </c>
      <c r="E220" s="20" t="str">
        <f>IFERROR(VLOOKUP(B220,'03. THIẾT BỊ'!$B$1:$S$836,4,0),"")</f>
        <v>MUA MỚI</v>
      </c>
      <c r="F220" s="20" t="str">
        <f>IFERROR(VLOOKUP(B220,'03. THIẾT BỊ'!$B$1:$S$836,5,0),"")</f>
        <v>Thiết bị phun vôi/rải vô cơ</v>
      </c>
      <c r="G220" s="101" t="s">
        <v>6468</v>
      </c>
      <c r="H220" s="19" t="str">
        <f>IFERROR(VLOOKUP(B220,'03. THIẾT BỊ'!$B$1:$S$836,7,0),"")</f>
        <v>XN Bò AD</v>
      </c>
      <c r="I220" s="610">
        <f>IFERROR(VLOOKUP(B220,'03. THIẾT BỊ'!$B$1:$S$836,8,0),"")</f>
        <v>0</v>
      </c>
      <c r="J220" s="25"/>
      <c r="K220" s="19" t="str">
        <f>IFERROR(VLOOKUP(B220,'03. THIẾT BỊ'!$B$1:$S$836,10,0),"")</f>
        <v>Bình thường</v>
      </c>
      <c r="L220" s="25">
        <f>IFERROR(VLOOKUP(B220,'03. THIẾT BỊ'!$B$1:$S$836,11,0),"")</f>
        <v>0</v>
      </c>
      <c r="M220" s="24">
        <f>IFERROR(VLOOKUP(B220,'03. THIẾT BỊ'!$B$1:$S$836,12,0),"")</f>
        <v>0</v>
      </c>
      <c r="N220" s="25" t="str">
        <f>IFERROR(VLOOKUP(B220,'03. THIẾT BỊ'!$B$1:$S$836,13,0),"")</f>
        <v>THACO AGRI</v>
      </c>
      <c r="O220" s="24">
        <f>IFERROR(VLOOKUP(B220,'03. THIẾT BỊ'!$B$1:$S$836,14,0),"")</f>
        <v>0</v>
      </c>
      <c r="P220" s="25" t="str">
        <f>IFERROR(VLOOKUP(B220,'03. THIẾT BỊ'!$B$1:$S$836,15,0),"")</f>
        <v>CK-CGH</v>
      </c>
      <c r="Q220" s="23">
        <f>IFERROR(VLOOKUP(B220,'03. THIẾT BỊ'!$B$1:$S$836,16,0),"")</f>
        <v>0</v>
      </c>
      <c r="R220" s="25">
        <f>IFERROR(VLOOKUP(B220,'03. THIẾT BỊ'!$B$1:$S$836,17,0),"")</f>
        <v>0</v>
      </c>
      <c r="S220" s="25">
        <f>IFERROR(VLOOKUP(B220,'03. THIẾT BỊ'!$B$1:$S$836,18,0),"")</f>
        <v>0</v>
      </c>
      <c r="T220" s="41"/>
    </row>
    <row r="221" customHeight="1" spans="1:20">
      <c r="A221" s="19">
        <f t="shared" si="8"/>
        <v>6</v>
      </c>
      <c r="B221" s="20" t="s">
        <v>5433</v>
      </c>
      <c r="C221" s="613">
        <f>IFERROR(VLOOKUP(B221,'03. THIẾT BỊ'!$B$1:$S$836,2,0),"")</f>
        <v>0</v>
      </c>
      <c r="D221" s="24" t="str">
        <f>IFERROR(VLOOKUP(B221,'03. THIẾT BỊ'!$B$1:$S$836,3,0),"")</f>
        <v>A22-RVO-003</v>
      </c>
      <c r="E221" s="20" t="str">
        <f>IFERROR(VLOOKUP(B221,'03. THIẾT BỊ'!$B$1:$S$836,4,0),"")</f>
        <v>MUA MỚI</v>
      </c>
      <c r="F221" s="20" t="str">
        <f>IFERROR(VLOOKUP(B221,'03. THIẾT BỊ'!$B$1:$S$836,5,0),"")</f>
        <v>Thiết bị phun vôi/rải vô cơ</v>
      </c>
      <c r="G221" s="101" t="s">
        <v>6468</v>
      </c>
      <c r="H221" s="19" t="str">
        <f>IFERROR(VLOOKUP(B221,'03. THIẾT BỊ'!$B$1:$S$836,7,0),"")</f>
        <v>XN Bò AD</v>
      </c>
      <c r="I221" s="610">
        <f>IFERROR(VLOOKUP(B221,'03. THIẾT BỊ'!$B$1:$S$836,8,0),"")</f>
        <v>45785</v>
      </c>
      <c r="J221" s="25"/>
      <c r="K221" s="19" t="str">
        <f>IFERROR(VLOOKUP(B221,'03. THIẾT BỊ'!$B$1:$S$836,10,0),"")</f>
        <v>Bình thường</v>
      </c>
      <c r="L221" s="25">
        <f>IFERROR(VLOOKUP(B221,'03. THIẾT BỊ'!$B$1:$S$836,11,0),"")</f>
        <v>0</v>
      </c>
      <c r="M221" s="24">
        <f>IFERROR(VLOOKUP(B221,'03. THIẾT BỊ'!$B$1:$S$836,12,0),"")</f>
        <v>0</v>
      </c>
      <c r="N221" s="25" t="str">
        <f>IFERROR(VLOOKUP(B221,'03. THIẾT BỊ'!$B$1:$S$836,13,0),"")</f>
        <v>THACO INDUSTRIES</v>
      </c>
      <c r="O221" s="24" t="str">
        <f>IFERROR(VLOOKUP(B221,'03. THIẾT BỊ'!$B$1:$S$836,14,0),"")</f>
        <v>0.8M3</v>
      </c>
      <c r="P221" s="25" t="str">
        <f>IFERROR(VLOOKUP(B221,'03. THIẾT BỊ'!$B$1:$S$836,15,0),"")</f>
        <v>CHU LAI</v>
      </c>
      <c r="Q221" s="23">
        <f>IFERROR(VLOOKUP(B221,'03. THIẾT BỊ'!$B$1:$S$836,16,0),"")</f>
        <v>2025</v>
      </c>
      <c r="R221" s="25">
        <f>IFERROR(VLOOKUP(B221,'03. THIẾT BỊ'!$B$1:$S$836,17,0),"")</f>
        <v>0</v>
      </c>
      <c r="S221" s="25">
        <f>IFERROR(VLOOKUP(B221,'03. THIẾT BỊ'!$B$1:$S$836,18,0),"")</f>
        <v>0</v>
      </c>
      <c r="T221" s="41"/>
    </row>
    <row r="222" customHeight="1" spans="1:20">
      <c r="A222" s="324"/>
      <c r="B222" s="41"/>
      <c r="C222" s="613" t="str">
        <f>IFERROR(VLOOKUP(B222,'03. THIẾT BỊ'!$B$1:$S$836,2,0),"")</f>
        <v/>
      </c>
      <c r="D222" s="24" t="str">
        <f>IFERROR(VLOOKUP(B222,'03. THIẾT BỊ'!$B$1:$S$836,3,0),"")</f>
        <v/>
      </c>
      <c r="E222" s="20" t="str">
        <f>IFERROR(VLOOKUP(B222,'03. THIẾT BỊ'!$B$1:$S$836,4,0),"")</f>
        <v/>
      </c>
      <c r="F222" s="20" t="str">
        <f>IFERROR(VLOOKUP(B222,'03. THIẾT BỊ'!$B$1:$S$836,5,0),"")</f>
        <v/>
      </c>
      <c r="G222" s="101" t="s">
        <v>6468</v>
      </c>
      <c r="H222" s="19" t="str">
        <f>IFERROR(VLOOKUP(B222,'03. THIẾT BỊ'!$B$1:$S$836,7,0),"")</f>
        <v/>
      </c>
      <c r="I222" s="610" t="str">
        <f>IFERROR(VLOOKUP(B222,'03. THIẾT BỊ'!$B$1:$S$836,8,0),"")</f>
        <v/>
      </c>
      <c r="J222" s="25"/>
      <c r="K222" s="19" t="str">
        <f>IFERROR(VLOOKUP(B222,'03. THIẾT BỊ'!$B$1:$S$836,10,0),"")</f>
        <v/>
      </c>
      <c r="L222" s="25" t="str">
        <f>IFERROR(VLOOKUP(B222,'03. THIẾT BỊ'!$B$1:$S$836,11,0),"")</f>
        <v/>
      </c>
      <c r="M222" s="24" t="str">
        <f>IFERROR(VLOOKUP(B222,'03. THIẾT BỊ'!$B$1:$S$836,12,0),"")</f>
        <v/>
      </c>
      <c r="N222" s="25" t="str">
        <f>IFERROR(VLOOKUP(B222,'03. THIẾT BỊ'!$B$1:$S$836,13,0),"")</f>
        <v/>
      </c>
      <c r="O222" s="24" t="str">
        <f>IFERROR(VLOOKUP(B222,'03. THIẾT BỊ'!$B$1:$S$836,14,0),"")</f>
        <v/>
      </c>
      <c r="P222" s="25" t="str">
        <f>IFERROR(VLOOKUP(B222,'03. THIẾT BỊ'!$B$1:$S$836,15,0),"")</f>
        <v/>
      </c>
      <c r="Q222" s="23" t="str">
        <f>IFERROR(VLOOKUP(B222,'03. THIẾT BỊ'!$B$1:$S$836,16,0),"")</f>
        <v/>
      </c>
      <c r="R222" s="25" t="str">
        <f>IFERROR(VLOOKUP(B222,'03. THIẾT BỊ'!$B$1:$S$836,17,0),"")</f>
        <v/>
      </c>
      <c r="S222" s="25" t="str">
        <f>IFERROR(VLOOKUP(B222,'03. THIẾT BỊ'!$B$1:$S$836,18,0),"")</f>
        <v/>
      </c>
      <c r="T222" s="41"/>
    </row>
    <row r="223" customHeight="1" spans="1:20">
      <c r="A223" s="14" t="s">
        <v>290</v>
      </c>
      <c r="B223" s="15" t="s">
        <v>6481</v>
      </c>
      <c r="C223" s="14">
        <f>COUNTA(B224:B234)</f>
        <v>10</v>
      </c>
      <c r="D223" s="17" t="str">
        <f>IFERROR(VLOOKUP(B223,'03. THIẾT BỊ'!$B$1:$S$836,3,0),"")</f>
        <v/>
      </c>
      <c r="E223" s="20" t="str">
        <f>IFERROR(VLOOKUP(B223,'03. THIẾT BỊ'!$B$1:$S$836,4,0),"")</f>
        <v/>
      </c>
      <c r="F223" s="17" t="str">
        <f>IFERROR(VLOOKUP(B223,'03. THIẾT BỊ'!$B$1:$S$836,5,0),"")</f>
        <v/>
      </c>
      <c r="G223" s="18" t="s">
        <v>6468</v>
      </c>
      <c r="H223" s="18" t="str">
        <f>IFERROR(VLOOKUP(B223,'03. THIẾT BỊ'!$B$1:$S$836,7,0),"")</f>
        <v/>
      </c>
      <c r="I223" s="14" t="str">
        <f>IFERROR(VLOOKUP(B223,'03. THIẾT BỊ'!$B$1:$S$836,8,0),"")</f>
        <v/>
      </c>
      <c r="J223" s="15"/>
      <c r="K223" s="14" t="str">
        <f>IFERROR(VLOOKUP(B223,'03. THIẾT BỊ'!$B$1:$S$836,10,0),"")</f>
        <v/>
      </c>
      <c r="L223" s="17" t="str">
        <f>IFERROR(VLOOKUP(B223,'03. THIẾT BỊ'!$B$1:$S$836,11,0),"")</f>
        <v/>
      </c>
      <c r="M223" s="16" t="str">
        <f>IFERROR(VLOOKUP(B223,'03. THIẾT BỊ'!$B$1:$S$836,12,0),"")</f>
        <v/>
      </c>
      <c r="N223" s="17" t="str">
        <f>IFERROR(VLOOKUP(B223,'03. THIẾT BỊ'!$B$1:$S$836,13,0),"")</f>
        <v/>
      </c>
      <c r="O223" s="16" t="str">
        <f>IFERROR(VLOOKUP(B223,'03. THIẾT BỊ'!$B$1:$S$836,14,0),"")</f>
        <v/>
      </c>
      <c r="P223" s="17" t="str">
        <f>IFERROR(VLOOKUP(B223,'03. THIẾT BỊ'!$B$1:$S$836,15,0),"")</f>
        <v/>
      </c>
      <c r="Q223" s="18" t="str">
        <f>IFERROR(VLOOKUP(B223,'03. THIẾT BỊ'!$B$1:$S$836,16,0),"")</f>
        <v/>
      </c>
      <c r="R223" s="17" t="str">
        <f>IFERROR(VLOOKUP(B223,'03. THIẾT BỊ'!$B$1:$S$836,17,0),"")</f>
        <v/>
      </c>
      <c r="S223" s="17" t="str">
        <f>IFERROR(VLOOKUP(B223,'03. THIẾT BỊ'!$B$1:$S$836,18,0),"")</f>
        <v/>
      </c>
      <c r="T223" s="609"/>
    </row>
    <row r="224" customHeight="1" spans="1:20">
      <c r="A224" s="19">
        <v>1</v>
      </c>
      <c r="B224" s="20" t="s">
        <v>4003</v>
      </c>
      <c r="C224" s="613">
        <f>IFERROR(VLOOKUP(B224,'03. THIẾT BỊ'!$B$1:$S$836,2,0),"")</f>
        <v>0</v>
      </c>
      <c r="D224" s="24" t="str">
        <f>IFERROR(VLOOKUP(B224,'03. THIẾT BỊ'!$B$1:$S$836,3,0),"")</f>
        <v>A23-DTR-001</v>
      </c>
      <c r="E224" s="20" t="str">
        <f>IFERROR(VLOOKUP(B224,'03. THIẾT BỊ'!$B$1:$S$836,4,0),"")</f>
        <v>ĐQSD</v>
      </c>
      <c r="F224" s="20" t="str">
        <f>IFERROR(VLOOKUP(B224,'03. THIẾT BỊ'!$B$1:$S$836,5,0),"")</f>
        <v>Thiết bị tạo rãnh ống tưới</v>
      </c>
      <c r="G224" s="101" t="s">
        <v>6468</v>
      </c>
      <c r="H224" s="19" t="str">
        <f>IFERROR(VLOOKUP(B224,'03. THIẾT BỊ'!$B$1:$S$836,7,0),"")</f>
        <v>CGLĐ DP</v>
      </c>
      <c r="I224" s="610" t="str">
        <f>IFERROR(VLOOKUP(B224,'03. THIẾT BỊ'!$B$1:$S$836,8,0),"")</f>
        <v>26/11/2024</v>
      </c>
      <c r="J224" s="25"/>
      <c r="K224" s="19" t="str">
        <f>IFERROR(VLOOKUP(B224,'03. THIẾT BỊ'!$B$1:$S$836,10,0),"")</f>
        <v>Bình thường</v>
      </c>
      <c r="L224" s="25" t="str">
        <f>IFERROR(VLOOKUP(B224,'03. THIẾT BỊ'!$B$1:$S$836,11,0),"")</f>
        <v>Gia công mới</v>
      </c>
      <c r="M224" s="24">
        <f>IFERROR(VLOOKUP(B224,'03. THIẾT BỊ'!$B$1:$S$836,12,0),"")</f>
        <v>0</v>
      </c>
      <c r="N224" s="25" t="str">
        <f>IFERROR(VLOOKUP(B224,'03. THIẾT BỊ'!$B$1:$S$836,13,0),"")</f>
        <v>THACO AGRI</v>
      </c>
      <c r="O224" s="24" t="str">
        <f>IFERROR(VLOOKUP(B224,'03. THIẾT BỊ'!$B$1:$S$836,14,0),"")</f>
        <v>CK-DTR-01</v>
      </c>
      <c r="P224" s="25" t="str">
        <f>IFERROR(VLOOKUP(B224,'03. THIẾT BỊ'!$B$1:$S$836,15,0),"")</f>
        <v>CK-CGH</v>
      </c>
      <c r="Q224" s="23">
        <f>IFERROR(VLOOKUP(B224,'03. THIẾT BỊ'!$B$1:$S$836,16,0),"")</f>
        <v>0</v>
      </c>
      <c r="R224" s="25">
        <f>IFERROR(VLOOKUP(B224,'03. THIẾT BỊ'!$B$1:$S$836,17,0),"")</f>
        <v>0</v>
      </c>
      <c r="S224" s="25">
        <f>IFERROR(VLOOKUP(B224,'03. THIẾT BỊ'!$B$1:$S$836,18,0),"")</f>
        <v>0</v>
      </c>
      <c r="T224" s="41"/>
    </row>
    <row r="225" customHeight="1" spans="1:20">
      <c r="A225" s="19">
        <f t="shared" ref="A225:A233" si="9">A224+1</f>
        <v>2</v>
      </c>
      <c r="B225" s="20" t="s">
        <v>4009</v>
      </c>
      <c r="C225" s="613">
        <f>IFERROR(VLOOKUP(B225,'03. THIẾT BỊ'!$B$1:$S$836,2,0),"")</f>
        <v>0</v>
      </c>
      <c r="D225" s="24" t="str">
        <f>IFERROR(VLOOKUP(B225,'03. THIẾT BỊ'!$B$1:$S$836,3,0),"")</f>
        <v>A23-DTR-002</v>
      </c>
      <c r="E225" s="20" t="str">
        <f>IFERROR(VLOOKUP(B225,'03. THIẾT BỊ'!$B$1:$S$836,4,0),"")</f>
        <v>ĐQSD</v>
      </c>
      <c r="F225" s="20" t="str">
        <f>IFERROR(VLOOKUP(B225,'03. THIẾT BỊ'!$B$1:$S$836,5,0),"")</f>
        <v>Thiết bị tạo rãnh ống tưới</v>
      </c>
      <c r="G225" s="101" t="s">
        <v>6468</v>
      </c>
      <c r="H225" s="19" t="str">
        <f>IFERROR(VLOOKUP(B225,'03. THIẾT BỊ'!$B$1:$S$836,7,0),"")</f>
        <v>CGLĐ DP</v>
      </c>
      <c r="I225" s="610" t="str">
        <f>IFERROR(VLOOKUP(B225,'03. THIẾT BỊ'!$B$1:$S$836,8,0),"")</f>
        <v>25/12/2024</v>
      </c>
      <c r="J225" s="25"/>
      <c r="K225" s="19" t="str">
        <f>IFERROR(VLOOKUP(B225,'03. THIẾT BỊ'!$B$1:$S$836,10,0),"")</f>
        <v>Bình thường</v>
      </c>
      <c r="L225" s="25" t="str">
        <f>IFERROR(VLOOKUP(B225,'03. THIẾT BỊ'!$B$1:$S$836,11,0),"")</f>
        <v>Gia công mới</v>
      </c>
      <c r="M225" s="24">
        <f>IFERROR(VLOOKUP(B225,'03. THIẾT BỊ'!$B$1:$S$836,12,0),"")</f>
        <v>0</v>
      </c>
      <c r="N225" s="25" t="str">
        <f>IFERROR(VLOOKUP(B225,'03. THIẾT BỊ'!$B$1:$S$836,13,0),"")</f>
        <v>THACO AGRI</v>
      </c>
      <c r="O225" s="24" t="str">
        <f>IFERROR(VLOOKUP(B225,'03. THIẾT BỊ'!$B$1:$S$836,14,0),"")</f>
        <v>CK-DTR-02</v>
      </c>
      <c r="P225" s="25" t="str">
        <f>IFERROR(VLOOKUP(B225,'03. THIẾT BỊ'!$B$1:$S$836,15,0),"")</f>
        <v>CK-CGH</v>
      </c>
      <c r="Q225" s="23">
        <f>IFERROR(VLOOKUP(B225,'03. THIẾT BỊ'!$B$1:$S$836,16,0),"")</f>
        <v>0</v>
      </c>
      <c r="R225" s="25" t="str">
        <f>IFERROR(VLOOKUP(B225,'03. THIẾT BỊ'!$B$1:$S$836,17,0),"")</f>
        <v>2x2.7x1.1</v>
      </c>
      <c r="S225" s="25">
        <f>IFERROR(VLOOKUP(B225,'03. THIẾT BỊ'!$B$1:$S$836,18,0),"")</f>
        <v>0</v>
      </c>
      <c r="T225" s="41"/>
    </row>
    <row r="226" customHeight="1" spans="1:20">
      <c r="A226" s="19">
        <f t="shared" si="9"/>
        <v>3</v>
      </c>
      <c r="B226" s="20" t="s">
        <v>4014</v>
      </c>
      <c r="C226" s="613">
        <f>IFERROR(VLOOKUP(B226,'03. THIẾT BỊ'!$B$1:$S$836,2,0),"")</f>
        <v>0</v>
      </c>
      <c r="D226" s="24" t="str">
        <f>IFERROR(VLOOKUP(B226,'03. THIẾT BỊ'!$B$1:$S$836,3,0),"")</f>
        <v>A23-DTR-003</v>
      </c>
      <c r="E226" s="20" t="str">
        <f>IFERROR(VLOOKUP(B226,'03. THIẾT BỊ'!$B$1:$S$836,4,0),"")</f>
        <v>ĐQSD</v>
      </c>
      <c r="F226" s="20" t="str">
        <f>IFERROR(VLOOKUP(B226,'03. THIẾT BỊ'!$B$1:$S$836,5,0),"")</f>
        <v>Thiết bị tạo rãnh ống tưới</v>
      </c>
      <c r="G226" s="101" t="s">
        <v>6468</v>
      </c>
      <c r="H226" s="19" t="str">
        <f>IFERROR(VLOOKUP(B226,'03. THIẾT BỊ'!$B$1:$S$836,7,0),"")</f>
        <v>CGLĐ DP</v>
      </c>
      <c r="I226" s="610" t="str">
        <f>IFERROR(VLOOKUP(B226,'03. THIẾT BỊ'!$B$1:$S$836,8,0),"")</f>
        <v>22/04/2025</v>
      </c>
      <c r="J226" s="25"/>
      <c r="K226" s="19" t="str">
        <f>IFERROR(VLOOKUP(B226,'03. THIẾT BỊ'!$B$1:$S$836,10,0),"")</f>
        <v>Bình thường</v>
      </c>
      <c r="L226" s="25" t="str">
        <f>IFERROR(VLOOKUP(B226,'03. THIẾT BỊ'!$B$1:$S$836,11,0),"")</f>
        <v>Gia công mới</v>
      </c>
      <c r="M226" s="24">
        <f>IFERROR(VLOOKUP(B226,'03. THIẾT BỊ'!$B$1:$S$836,12,0),"")</f>
        <v>0</v>
      </c>
      <c r="N226" s="25" t="str">
        <f>IFERROR(VLOOKUP(B226,'03. THIẾT BỊ'!$B$1:$S$836,13,0),"")</f>
        <v>THACO AGRI</v>
      </c>
      <c r="O226" s="24" t="str">
        <f>IFERROR(VLOOKUP(B226,'03. THIẾT BỊ'!$B$1:$S$836,14,0),"")</f>
        <v>CK-DTR-05</v>
      </c>
      <c r="P226" s="25" t="str">
        <f>IFERROR(VLOOKUP(B226,'03. THIẾT BỊ'!$B$1:$S$836,15,0),"")</f>
        <v>CK-CGH</v>
      </c>
      <c r="Q226" s="23">
        <f>IFERROR(VLOOKUP(B226,'03. THIẾT BỊ'!$B$1:$S$836,16,0),"")</f>
        <v>0</v>
      </c>
      <c r="R226" s="25">
        <f>IFERROR(VLOOKUP(B226,'03. THIẾT BỊ'!$B$1:$S$836,17,0),"")</f>
        <v>0</v>
      </c>
      <c r="S226" s="25">
        <f>IFERROR(VLOOKUP(B226,'03. THIẾT BỊ'!$B$1:$S$836,18,0),"")</f>
        <v>0</v>
      </c>
      <c r="T226" s="41"/>
    </row>
    <row r="227" customHeight="1" spans="1:20">
      <c r="A227" s="19">
        <f t="shared" si="9"/>
        <v>4</v>
      </c>
      <c r="B227" s="20" t="s">
        <v>4150</v>
      </c>
      <c r="C227" s="613">
        <f>IFERROR(VLOOKUP(B227,'03. THIẾT BỊ'!$B$1:$S$836,2,0),"")</f>
        <v>0</v>
      </c>
      <c r="D227" s="24" t="str">
        <f>IFERROR(VLOOKUP(B227,'03. THIẾT BỊ'!$B$1:$S$836,3,0),"")</f>
        <v>A24-DTR-001</v>
      </c>
      <c r="E227" s="20" t="str">
        <f>IFERROR(VLOOKUP(B227,'03. THIẾT BỊ'!$B$1:$S$836,4,0),"")</f>
        <v>ĐQSD</v>
      </c>
      <c r="F227" s="20" t="str">
        <f>IFERROR(VLOOKUP(B227,'03. THIẾT BỊ'!$B$1:$S$836,5,0),"")</f>
        <v>Thiết bị tạo rãnh ống tưới</v>
      </c>
      <c r="G227" s="101" t="s">
        <v>6468</v>
      </c>
      <c r="H227" s="19" t="str">
        <f>IFERROR(VLOOKUP(B227,'03. THIẾT BỊ'!$B$1:$S$836,7,0),"")</f>
        <v>CGLĐ LP</v>
      </c>
      <c r="I227" s="610" t="str">
        <f>IFERROR(VLOOKUP(B227,'03. THIẾT BỊ'!$B$1:$S$836,8,0),"")</f>
        <v>18/04/2025</v>
      </c>
      <c r="J227" s="25"/>
      <c r="K227" s="19" t="str">
        <f>IFERROR(VLOOKUP(B227,'03. THIẾT BỊ'!$B$1:$S$836,10,0),"")</f>
        <v>Bình thường</v>
      </c>
      <c r="L227" s="25" t="str">
        <f>IFERROR(VLOOKUP(B227,'03. THIẾT BỊ'!$B$1:$S$836,11,0),"")</f>
        <v>Gia công mới</v>
      </c>
      <c r="M227" s="24">
        <f>IFERROR(VLOOKUP(B227,'03. THIẾT BỊ'!$B$1:$S$836,12,0),"")</f>
        <v>0</v>
      </c>
      <c r="N227" s="25" t="str">
        <f>IFERROR(VLOOKUP(B227,'03. THIẾT BỊ'!$B$1:$S$836,13,0),"")</f>
        <v>THACO AGRI</v>
      </c>
      <c r="O227" s="24" t="str">
        <f>IFERROR(VLOOKUP(B227,'03. THIẾT BỊ'!$B$1:$S$836,14,0),"")</f>
        <v>CK-DTR-03</v>
      </c>
      <c r="P227" s="25" t="str">
        <f>IFERROR(VLOOKUP(B227,'03. THIẾT BỊ'!$B$1:$S$836,15,0),"")</f>
        <v>CK-CGH</v>
      </c>
      <c r="Q227" s="23">
        <f>IFERROR(VLOOKUP(B227,'03. THIẾT BỊ'!$B$1:$S$836,16,0),"")</f>
        <v>2025</v>
      </c>
      <c r="R227" s="25">
        <f>IFERROR(VLOOKUP(B227,'03. THIẾT BỊ'!$B$1:$S$836,17,0),"")</f>
        <v>0</v>
      </c>
      <c r="S227" s="25">
        <f>IFERROR(VLOOKUP(B227,'03. THIẾT BỊ'!$B$1:$S$836,18,0),"")</f>
        <v>0</v>
      </c>
      <c r="T227" s="41"/>
    </row>
    <row r="228" customHeight="1" spans="1:20">
      <c r="A228" s="19">
        <f t="shared" si="9"/>
        <v>5</v>
      </c>
      <c r="B228" s="20" t="s">
        <v>4154</v>
      </c>
      <c r="C228" s="613">
        <f>IFERROR(VLOOKUP(B228,'03. THIẾT BỊ'!$B$1:$S$836,2,0),"")</f>
        <v>0</v>
      </c>
      <c r="D228" s="24" t="str">
        <f>IFERROR(VLOOKUP(B228,'03. THIẾT BỊ'!$B$1:$S$836,3,0),"")</f>
        <v>A24-DTR-002</v>
      </c>
      <c r="E228" s="20" t="str">
        <f>IFERROR(VLOOKUP(B228,'03. THIẾT BỊ'!$B$1:$S$836,4,0),"")</f>
        <v>ĐQSD</v>
      </c>
      <c r="F228" s="20" t="str">
        <f>IFERROR(VLOOKUP(B228,'03. THIẾT BỊ'!$B$1:$S$836,5,0),"")</f>
        <v>Thiết bị tạo rãnh ống tưới</v>
      </c>
      <c r="G228" s="101" t="s">
        <v>6468</v>
      </c>
      <c r="H228" s="19" t="str">
        <f>IFERROR(VLOOKUP(B228,'03. THIẾT BỊ'!$B$1:$S$836,7,0),"")</f>
        <v>CGLĐ LP</v>
      </c>
      <c r="I228" s="610" t="str">
        <f>IFERROR(VLOOKUP(B228,'03. THIẾT BỊ'!$B$1:$S$836,8,0),"")</f>
        <v>18/04/2025</v>
      </c>
      <c r="J228" s="25"/>
      <c r="K228" s="19" t="str">
        <f>IFERROR(VLOOKUP(B228,'03. THIẾT BỊ'!$B$1:$S$836,10,0),"")</f>
        <v>Bình thường</v>
      </c>
      <c r="L228" s="25" t="str">
        <f>IFERROR(VLOOKUP(B228,'03. THIẾT BỊ'!$B$1:$S$836,11,0),"")</f>
        <v>Gia công mới</v>
      </c>
      <c r="M228" s="24">
        <f>IFERROR(VLOOKUP(B228,'03. THIẾT BỊ'!$B$1:$S$836,12,0),"")</f>
        <v>0</v>
      </c>
      <c r="N228" s="25" t="str">
        <f>IFERROR(VLOOKUP(B228,'03. THIẾT BỊ'!$B$1:$S$836,13,0),"")</f>
        <v>THACO AGRI</v>
      </c>
      <c r="O228" s="24" t="str">
        <f>IFERROR(VLOOKUP(B228,'03. THIẾT BỊ'!$B$1:$S$836,14,0),"")</f>
        <v>CK-DTR-04</v>
      </c>
      <c r="P228" s="25" t="str">
        <f>IFERROR(VLOOKUP(B228,'03. THIẾT BỊ'!$B$1:$S$836,15,0),"")</f>
        <v>CK-CGH</v>
      </c>
      <c r="Q228" s="23">
        <f>IFERROR(VLOOKUP(B228,'03. THIẾT BỊ'!$B$1:$S$836,16,0),"")</f>
        <v>2025</v>
      </c>
      <c r="R228" s="25">
        <f>IFERROR(VLOOKUP(B228,'03. THIẾT BỊ'!$B$1:$S$836,17,0),"")</f>
        <v>0</v>
      </c>
      <c r="S228" s="25">
        <f>IFERROR(VLOOKUP(B228,'03. THIẾT BỊ'!$B$1:$S$836,18,0),"")</f>
        <v>0</v>
      </c>
      <c r="T228" s="41"/>
    </row>
    <row r="229" customHeight="1" spans="1:20">
      <c r="A229" s="19">
        <f t="shared" si="9"/>
        <v>6</v>
      </c>
      <c r="B229" s="20" t="s">
        <v>4059</v>
      </c>
      <c r="C229" s="613">
        <f>IFERROR(VLOOKUP(B229,'03. THIẾT BỊ'!$B$1:$S$836,2,0),"")</f>
        <v>0</v>
      </c>
      <c r="D229" s="24" t="str">
        <f>IFERROR(VLOOKUP(B229,'03. THIẾT BỊ'!$B$1:$S$836,3,0),"")</f>
        <v>A23-DRT-001</v>
      </c>
      <c r="E229" s="20" t="str">
        <f>IFERROR(VLOOKUP(B229,'03. THIẾT BỊ'!$B$1:$S$836,4,0),"")</f>
        <v>MUA MỚI</v>
      </c>
      <c r="F229" s="20" t="str">
        <f>IFERROR(VLOOKUP(B229,'03. THIẾT BỊ'!$B$1:$S$836,5,0),"")</f>
        <v>Thiết bị đào rãnh đặt ống tưới</v>
      </c>
      <c r="G229" s="101" t="s">
        <v>6468</v>
      </c>
      <c r="H229" s="19" t="str">
        <f>IFERROR(VLOOKUP(B229,'03. THIẾT BỊ'!$B$1:$S$836,7,0),"")</f>
        <v>CGLĐ DP</v>
      </c>
      <c r="I229" s="610" t="str">
        <f>IFERROR(VLOOKUP(B229,'03. THIẾT BỊ'!$B$1:$S$836,8,0),"")</f>
        <v>15/07/2025</v>
      </c>
      <c r="J229" s="25"/>
      <c r="K229" s="19" t="str">
        <f>IFERROR(VLOOKUP(B229,'03. THIẾT BỊ'!$B$1:$S$836,10,0),"")</f>
        <v>Bình thường</v>
      </c>
      <c r="L229" s="25" t="str">
        <f>IFERROR(VLOOKUP(B229,'03. THIẾT BỊ'!$B$1:$S$836,11,0),"")</f>
        <v>Đầu tư mới</v>
      </c>
      <c r="M229" s="24">
        <f>IFERROR(VLOOKUP(B229,'03. THIẾT BỊ'!$B$1:$S$836,12,0),"")</f>
        <v>0</v>
      </c>
      <c r="N229" s="25" t="str">
        <f>IFERROR(VLOOKUP(B229,'03. THIẾT BỊ'!$B$1:$S$836,13,0),"")</f>
        <v>THACO INDUSTRY</v>
      </c>
      <c r="O229" s="24" t="str">
        <f>IFERROR(VLOOKUP(B229,'03. THIẾT BỊ'!$B$1:$S$836,14,0),"")</f>
        <v>Đĩa quay</v>
      </c>
      <c r="P229" s="25" t="str">
        <f>IFERROR(VLOOKUP(B229,'03. THIẾT BỊ'!$B$1:$S$836,15,0),"")</f>
        <v>TRUNG QUỐC</v>
      </c>
      <c r="Q229" s="23">
        <f>IFERROR(VLOOKUP(B229,'03. THIẾT BỊ'!$B$1:$S$836,16,0),"")</f>
        <v>2025</v>
      </c>
      <c r="R229" s="25">
        <f>IFERROR(VLOOKUP(B229,'03. THIẾT BỊ'!$B$1:$S$836,17,0),"")</f>
        <v>0</v>
      </c>
      <c r="S229" s="25" t="str">
        <f>IFERROR(VLOOKUP(B229,'03. THIẾT BỊ'!$B$1:$S$836,18,0),"")</f>
        <v>DTR1</v>
      </c>
      <c r="T229" s="41"/>
    </row>
    <row r="230" customHeight="1" spans="1:20">
      <c r="A230" s="19">
        <f t="shared" si="9"/>
        <v>7</v>
      </c>
      <c r="B230" s="20" t="s">
        <v>4064</v>
      </c>
      <c r="C230" s="613">
        <f>IFERROR(VLOOKUP(B230,'03. THIẾT BỊ'!$B$1:$S$836,2,0),"")</f>
        <v>0</v>
      </c>
      <c r="D230" s="24" t="str">
        <f>IFERROR(VLOOKUP(B230,'03. THIẾT BỊ'!$B$1:$S$836,3,0),"")</f>
        <v>A23-DRT-002</v>
      </c>
      <c r="E230" s="20" t="str">
        <f>IFERROR(VLOOKUP(B230,'03. THIẾT BỊ'!$B$1:$S$836,4,0),"")</f>
        <v>MUA MỚI</v>
      </c>
      <c r="F230" s="20" t="str">
        <f>IFERROR(VLOOKUP(B230,'03. THIẾT BỊ'!$B$1:$S$836,5,0),"")</f>
        <v>Thiết bị đào rãnh đặt ống tưới</v>
      </c>
      <c r="G230" s="101" t="s">
        <v>6468</v>
      </c>
      <c r="H230" s="19" t="str">
        <f>IFERROR(VLOOKUP(B230,'03. THIẾT BỊ'!$B$1:$S$836,7,0),"")</f>
        <v>CGLĐ DP</v>
      </c>
      <c r="I230" s="610" t="str">
        <f>IFERROR(VLOOKUP(B230,'03. THIẾT BỊ'!$B$1:$S$836,8,0),"")</f>
        <v>15/07/2025</v>
      </c>
      <c r="J230" s="25"/>
      <c r="K230" s="19" t="str">
        <f>IFERROR(VLOOKUP(B230,'03. THIẾT BỊ'!$B$1:$S$836,10,0),"")</f>
        <v>Bình thường</v>
      </c>
      <c r="L230" s="25" t="str">
        <f>IFERROR(VLOOKUP(B230,'03. THIẾT BỊ'!$B$1:$S$836,11,0),"")</f>
        <v>Đầu tư mới</v>
      </c>
      <c r="M230" s="24">
        <f>IFERROR(VLOOKUP(B230,'03. THIẾT BỊ'!$B$1:$S$836,12,0),"")</f>
        <v>0</v>
      </c>
      <c r="N230" s="25" t="str">
        <f>IFERROR(VLOOKUP(B230,'03. THIẾT BỊ'!$B$1:$S$836,13,0),"")</f>
        <v>THACO INDUSTRY</v>
      </c>
      <c r="O230" s="24" t="str">
        <f>IFERROR(VLOOKUP(B230,'03. THIẾT BỊ'!$B$1:$S$836,14,0),"")</f>
        <v>Đĩa quay</v>
      </c>
      <c r="P230" s="25" t="str">
        <f>IFERROR(VLOOKUP(B230,'03. THIẾT BỊ'!$B$1:$S$836,15,0),"")</f>
        <v>TRUNG QUỐC</v>
      </c>
      <c r="Q230" s="23">
        <f>IFERROR(VLOOKUP(B230,'03. THIẾT BỊ'!$B$1:$S$836,16,0),"")</f>
        <v>2025</v>
      </c>
      <c r="R230" s="25">
        <f>IFERROR(VLOOKUP(B230,'03. THIẾT BỊ'!$B$1:$S$836,17,0),"")</f>
        <v>0</v>
      </c>
      <c r="S230" s="25" t="str">
        <f>IFERROR(VLOOKUP(B230,'03. THIẾT BỊ'!$B$1:$S$836,18,0),"")</f>
        <v>DTR2</v>
      </c>
      <c r="T230" s="41"/>
    </row>
    <row r="231" customHeight="1" spans="1:20">
      <c r="A231" s="19">
        <f t="shared" si="9"/>
        <v>8</v>
      </c>
      <c r="B231" s="20" t="s">
        <v>4067</v>
      </c>
      <c r="C231" s="613">
        <f>IFERROR(VLOOKUP(B231,'03. THIẾT BỊ'!$B$1:$S$836,2,0),"")</f>
        <v>0</v>
      </c>
      <c r="D231" s="24" t="str">
        <f>IFERROR(VLOOKUP(B231,'03. THIẾT BỊ'!$B$1:$S$836,3,0),"")</f>
        <v>A23-DRT-003</v>
      </c>
      <c r="E231" s="20" t="str">
        <f>IFERROR(VLOOKUP(B231,'03. THIẾT BỊ'!$B$1:$S$836,4,0),"")</f>
        <v>MUA MỚI</v>
      </c>
      <c r="F231" s="20" t="str">
        <f>IFERROR(VLOOKUP(B231,'03. THIẾT BỊ'!$B$1:$S$836,5,0),"")</f>
        <v>Thiết bị đào rãnh đặt ống tưới</v>
      </c>
      <c r="G231" s="101" t="s">
        <v>6468</v>
      </c>
      <c r="H231" s="19" t="str">
        <f>IFERROR(VLOOKUP(B231,'03. THIẾT BỊ'!$B$1:$S$836,7,0),"")</f>
        <v>CGLĐ DP</v>
      </c>
      <c r="I231" s="610" t="str">
        <f>IFERROR(VLOOKUP(B231,'03. THIẾT BỊ'!$B$1:$S$836,8,0),"")</f>
        <v>15/07/2025</v>
      </c>
      <c r="J231" s="25"/>
      <c r="K231" s="19" t="str">
        <f>IFERROR(VLOOKUP(B231,'03. THIẾT BỊ'!$B$1:$S$836,10,0),"")</f>
        <v>Bình thường</v>
      </c>
      <c r="L231" s="25" t="str">
        <f>IFERROR(VLOOKUP(B231,'03. THIẾT BỊ'!$B$1:$S$836,11,0),"")</f>
        <v>Đầu tư mới</v>
      </c>
      <c r="M231" s="24">
        <f>IFERROR(VLOOKUP(B231,'03. THIẾT BỊ'!$B$1:$S$836,12,0),"")</f>
        <v>0</v>
      </c>
      <c r="N231" s="25" t="str">
        <f>IFERROR(VLOOKUP(B231,'03. THIẾT BỊ'!$B$1:$S$836,13,0),"")</f>
        <v>THACO INDUSTRY</v>
      </c>
      <c r="O231" s="24" t="str">
        <f>IFERROR(VLOOKUP(B231,'03. THIẾT BỊ'!$B$1:$S$836,14,0),"")</f>
        <v>Đĩa quay</v>
      </c>
      <c r="P231" s="25" t="str">
        <f>IFERROR(VLOOKUP(B231,'03. THIẾT BỊ'!$B$1:$S$836,15,0),"")</f>
        <v>TRUNG QUỐC</v>
      </c>
      <c r="Q231" s="23">
        <f>IFERROR(VLOOKUP(B231,'03. THIẾT BỊ'!$B$1:$S$836,16,0),"")</f>
        <v>2025</v>
      </c>
      <c r="R231" s="25">
        <f>IFERROR(VLOOKUP(B231,'03. THIẾT BỊ'!$B$1:$S$836,17,0),"")</f>
        <v>0</v>
      </c>
      <c r="S231" s="25" t="str">
        <f>IFERROR(VLOOKUP(B231,'03. THIẾT BỊ'!$B$1:$S$836,18,0),"")</f>
        <v>DTR4</v>
      </c>
      <c r="T231" s="41"/>
    </row>
    <row r="232" customHeight="1" spans="1:20">
      <c r="A232" s="19">
        <f t="shared" si="9"/>
        <v>9</v>
      </c>
      <c r="B232" s="20" t="s">
        <v>4157</v>
      </c>
      <c r="C232" s="613">
        <f>IFERROR(VLOOKUP(B232,'03. THIẾT BỊ'!$B$1:$S$836,2,0),"")</f>
        <v>0</v>
      </c>
      <c r="D232" s="24" t="str">
        <f>IFERROR(VLOOKUP(B232,'03. THIẾT BỊ'!$B$1:$S$836,3,0),"")</f>
        <v>A24-DRT-001</v>
      </c>
      <c r="E232" s="20" t="str">
        <f>IFERROR(VLOOKUP(B232,'03. THIẾT BỊ'!$B$1:$S$836,4,0),"")</f>
        <v>ĐQSD</v>
      </c>
      <c r="F232" s="20" t="str">
        <f>IFERROR(VLOOKUP(B232,'03. THIẾT BỊ'!$B$1:$S$836,5,0),"")</f>
        <v>Thiết bị đào rãnh đặt ống tưới</v>
      </c>
      <c r="G232" s="101" t="s">
        <v>6468</v>
      </c>
      <c r="H232" s="19" t="str">
        <f>IFERROR(VLOOKUP(B232,'03. THIẾT BỊ'!$B$1:$S$836,7,0),"")</f>
        <v>CGLĐ LP</v>
      </c>
      <c r="I232" s="610" t="str">
        <f>IFERROR(VLOOKUP(B232,'03. THIẾT BỊ'!$B$1:$S$836,8,0),"")</f>
        <v>15/07/2025</v>
      </c>
      <c r="J232" s="25"/>
      <c r="K232" s="19" t="str">
        <f>IFERROR(VLOOKUP(B232,'03. THIẾT BỊ'!$B$1:$S$836,10,0),"")</f>
        <v>Bình thường</v>
      </c>
      <c r="L232" s="25" t="str">
        <f>IFERROR(VLOOKUP(B232,'03. THIẾT BỊ'!$B$1:$S$836,11,0),"")</f>
        <v>Đầu tư mới</v>
      </c>
      <c r="M232" s="24">
        <f>IFERROR(VLOOKUP(B232,'03. THIẾT BỊ'!$B$1:$S$836,12,0),"")</f>
        <v>0</v>
      </c>
      <c r="N232" s="25" t="str">
        <f>IFERROR(VLOOKUP(B232,'03. THIẾT BỊ'!$B$1:$S$836,13,0),"")</f>
        <v>THACO INDUSTRY</v>
      </c>
      <c r="O232" s="24" t="str">
        <f>IFERROR(VLOOKUP(B232,'03. THIẾT BỊ'!$B$1:$S$836,14,0),"")</f>
        <v>Đĩa quay</v>
      </c>
      <c r="P232" s="25" t="str">
        <f>IFERROR(VLOOKUP(B232,'03. THIẾT BỊ'!$B$1:$S$836,15,0),"")</f>
        <v>TRUNG QUỐC</v>
      </c>
      <c r="Q232" s="23">
        <f>IFERROR(VLOOKUP(B232,'03. THIẾT BỊ'!$B$1:$S$836,16,0),"")</f>
        <v>2025</v>
      </c>
      <c r="R232" s="25">
        <f>IFERROR(VLOOKUP(B232,'03. THIẾT BỊ'!$B$1:$S$836,17,0),"")</f>
        <v>0</v>
      </c>
      <c r="S232" s="25" t="str">
        <f>IFERROR(VLOOKUP(B232,'03. THIẾT BỊ'!$B$1:$S$836,18,0),"")</f>
        <v>DTR3</v>
      </c>
      <c r="T232" s="41"/>
    </row>
    <row r="233" customHeight="1" spans="1:20">
      <c r="A233" s="19">
        <f t="shared" si="9"/>
        <v>10</v>
      </c>
      <c r="B233" s="20" t="s">
        <v>4160</v>
      </c>
      <c r="C233" s="613">
        <f>IFERROR(VLOOKUP(B233,'03. THIẾT BỊ'!$B$1:$S$836,2,0),"")</f>
        <v>0</v>
      </c>
      <c r="D233" s="24" t="str">
        <f>IFERROR(VLOOKUP(B233,'03. THIẾT BỊ'!$B$1:$S$836,3,0),"")</f>
        <v>A24-DRT-002</v>
      </c>
      <c r="E233" s="20" t="str">
        <f>IFERROR(VLOOKUP(B233,'03. THIẾT BỊ'!$B$1:$S$836,4,0),"")</f>
        <v>ĐQSD</v>
      </c>
      <c r="F233" s="20" t="str">
        <f>IFERROR(VLOOKUP(B233,'03. THIẾT BỊ'!$B$1:$S$836,5,0),"")</f>
        <v>Thiết bị đào rãnh đặt ống tưới</v>
      </c>
      <c r="G233" s="101" t="s">
        <v>6468</v>
      </c>
      <c r="H233" s="19" t="str">
        <f>IFERROR(VLOOKUP(B233,'03. THIẾT BỊ'!$B$1:$S$836,7,0),"")</f>
        <v>CGLĐ LP</v>
      </c>
      <c r="I233" s="610" t="str">
        <f>IFERROR(VLOOKUP(B233,'03. THIẾT BỊ'!$B$1:$S$836,8,0),"")</f>
        <v>15/07/2025</v>
      </c>
      <c r="J233" s="25"/>
      <c r="K233" s="19" t="str">
        <f>IFERROR(VLOOKUP(B233,'03. THIẾT BỊ'!$B$1:$S$836,10,0),"")</f>
        <v>Bình thường</v>
      </c>
      <c r="L233" s="25" t="str">
        <f>IFERROR(VLOOKUP(B233,'03. THIẾT BỊ'!$B$1:$S$836,11,0),"")</f>
        <v>Đầu tư mới</v>
      </c>
      <c r="M233" s="24">
        <f>IFERROR(VLOOKUP(B233,'03. THIẾT BỊ'!$B$1:$S$836,12,0),"")</f>
        <v>0</v>
      </c>
      <c r="N233" s="25" t="str">
        <f>IFERROR(VLOOKUP(B233,'03. THIẾT BỊ'!$B$1:$S$836,13,0),"")</f>
        <v>THACO INDUSTRY</v>
      </c>
      <c r="O233" s="24" t="str">
        <f>IFERROR(VLOOKUP(B233,'03. THIẾT BỊ'!$B$1:$S$836,14,0),"")</f>
        <v>Đĩa quay</v>
      </c>
      <c r="P233" s="25" t="str">
        <f>IFERROR(VLOOKUP(B233,'03. THIẾT BỊ'!$B$1:$S$836,15,0),"")</f>
        <v>TRUNG QUỐC</v>
      </c>
      <c r="Q233" s="23">
        <f>IFERROR(VLOOKUP(B233,'03. THIẾT BỊ'!$B$1:$S$836,16,0),"")</f>
        <v>2025</v>
      </c>
      <c r="R233" s="25">
        <f>IFERROR(VLOOKUP(B233,'03. THIẾT BỊ'!$B$1:$S$836,17,0),"")</f>
        <v>0</v>
      </c>
      <c r="S233" s="25" t="str">
        <f>IFERROR(VLOOKUP(B233,'03. THIẾT BỊ'!$B$1:$S$836,18,0),"")</f>
        <v>DTR5</v>
      </c>
      <c r="T233" s="41"/>
    </row>
    <row r="234" customHeight="1" spans="1:20">
      <c r="A234" s="19"/>
      <c r="B234" s="20"/>
      <c r="C234" s="613" t="str">
        <f>IFERROR(VLOOKUP(B234,'03. THIẾT BỊ'!$B$1:$S$836,2,0),"")</f>
        <v/>
      </c>
      <c r="D234" s="24" t="str">
        <f>IFERROR(VLOOKUP(B234,'03. THIẾT BỊ'!$B$1:$S$836,3,0),"")</f>
        <v/>
      </c>
      <c r="E234" s="20" t="str">
        <f>IFERROR(VLOOKUP(B234,'03. THIẾT BỊ'!$B$1:$S$836,4,0),"")</f>
        <v/>
      </c>
      <c r="F234" s="20" t="str">
        <f>IFERROR(VLOOKUP(B234,'03. THIẾT BỊ'!$B$1:$S$836,5,0),"")</f>
        <v/>
      </c>
      <c r="G234" s="101" t="s">
        <v>6468</v>
      </c>
      <c r="H234" s="19" t="str">
        <f>IFERROR(VLOOKUP(B234,'03. THIẾT BỊ'!$B$1:$S$836,7,0),"")</f>
        <v/>
      </c>
      <c r="I234" s="610" t="str">
        <f>IFERROR(VLOOKUP(B234,'03. THIẾT BỊ'!$B$1:$S$836,8,0),"")</f>
        <v/>
      </c>
      <c r="J234" s="25"/>
      <c r="K234" s="19" t="str">
        <f>IFERROR(VLOOKUP(B234,'03. THIẾT BỊ'!$B$1:$S$836,10,0),"")</f>
        <v/>
      </c>
      <c r="L234" s="25" t="str">
        <f>IFERROR(VLOOKUP(B234,'03. THIẾT BỊ'!$B$1:$S$836,11,0),"")</f>
        <v/>
      </c>
      <c r="M234" s="24" t="str">
        <f>IFERROR(VLOOKUP(B234,'03. THIẾT BỊ'!$B$1:$S$836,12,0),"")</f>
        <v/>
      </c>
      <c r="N234" s="25" t="str">
        <f>IFERROR(VLOOKUP(B234,'03. THIẾT BỊ'!$B$1:$S$836,13,0),"")</f>
        <v/>
      </c>
      <c r="O234" s="24" t="str">
        <f>IFERROR(VLOOKUP(B234,'03. THIẾT BỊ'!$B$1:$S$836,14,0),"")</f>
        <v/>
      </c>
      <c r="P234" s="25" t="str">
        <f>IFERROR(VLOOKUP(B234,'03. THIẾT BỊ'!$B$1:$S$836,15,0),"")</f>
        <v/>
      </c>
      <c r="Q234" s="23" t="str">
        <f>IFERROR(VLOOKUP(B234,'03. THIẾT BỊ'!$B$1:$S$836,16,0),"")</f>
        <v/>
      </c>
      <c r="R234" s="25" t="str">
        <f>IFERROR(VLOOKUP(B234,'03. THIẾT BỊ'!$B$1:$S$836,17,0),"")</f>
        <v/>
      </c>
      <c r="S234" s="25" t="str">
        <f>IFERROR(VLOOKUP(B234,'03. THIẾT BỊ'!$B$1:$S$836,18,0),"")</f>
        <v/>
      </c>
      <c r="T234" s="41"/>
    </row>
    <row r="235" customHeight="1" spans="1:20">
      <c r="A235" s="14" t="s">
        <v>290</v>
      </c>
      <c r="B235" s="15" t="s">
        <v>6482</v>
      </c>
      <c r="C235" s="14">
        <f>COUNTA(B236:B255)</f>
        <v>18</v>
      </c>
      <c r="D235" s="17" t="str">
        <f>IFERROR(VLOOKUP(B235,'03. THIẾT BỊ'!$B$1:$S$836,3,0),"")</f>
        <v/>
      </c>
      <c r="E235" s="20" t="str">
        <f>IFERROR(VLOOKUP(B235,'03. THIẾT BỊ'!$B$1:$S$836,4,0),"")</f>
        <v/>
      </c>
      <c r="F235" s="17" t="str">
        <f>IFERROR(VLOOKUP(B235,'03. THIẾT BỊ'!$B$1:$S$836,5,0),"")</f>
        <v/>
      </c>
      <c r="G235" s="18" t="s">
        <v>6468</v>
      </c>
      <c r="H235" s="18" t="str">
        <f>IFERROR(VLOOKUP(B235,'03. THIẾT BỊ'!$B$1:$S$836,7,0),"")</f>
        <v/>
      </c>
      <c r="I235" s="14" t="str">
        <f>IFERROR(VLOOKUP(B235,'03. THIẾT BỊ'!$B$1:$S$836,8,0),"")</f>
        <v/>
      </c>
      <c r="J235" s="15"/>
      <c r="K235" s="14" t="str">
        <f>IFERROR(VLOOKUP(B235,'03. THIẾT BỊ'!$B$1:$S$836,10,0),"")</f>
        <v/>
      </c>
      <c r="L235" s="17" t="str">
        <f>IFERROR(VLOOKUP(B235,'03. THIẾT BỊ'!$B$1:$S$836,11,0),"")</f>
        <v/>
      </c>
      <c r="M235" s="16" t="str">
        <f>IFERROR(VLOOKUP(B235,'03. THIẾT BỊ'!$B$1:$S$836,12,0),"")</f>
        <v/>
      </c>
      <c r="N235" s="17" t="str">
        <f>IFERROR(VLOOKUP(B235,'03. THIẾT BỊ'!$B$1:$S$836,13,0),"")</f>
        <v/>
      </c>
      <c r="O235" s="16" t="str">
        <f>IFERROR(VLOOKUP(B235,'03. THIẾT BỊ'!$B$1:$S$836,14,0),"")</f>
        <v/>
      </c>
      <c r="P235" s="17" t="str">
        <f>IFERROR(VLOOKUP(B235,'03. THIẾT BỊ'!$B$1:$S$836,15,0),"")</f>
        <v/>
      </c>
      <c r="Q235" s="18" t="str">
        <f>IFERROR(VLOOKUP(B235,'03. THIẾT BỊ'!$B$1:$S$836,16,0),"")</f>
        <v/>
      </c>
      <c r="R235" s="17" t="str">
        <f>IFERROR(VLOOKUP(B235,'03. THIẾT BỊ'!$B$1:$S$836,17,0),"")</f>
        <v/>
      </c>
      <c r="S235" s="17" t="str">
        <f>IFERROR(VLOOKUP(B235,'03. THIẾT BỊ'!$B$1:$S$836,18,0),"")</f>
        <v/>
      </c>
      <c r="T235" s="609"/>
    </row>
    <row r="236" customHeight="1" spans="1:20">
      <c r="A236" s="19">
        <v>1</v>
      </c>
      <c r="B236" s="20" t="s">
        <v>4036</v>
      </c>
      <c r="C236" s="613">
        <f>IFERROR(VLOOKUP(B236,'03. THIẾT BỊ'!$B$1:$S$836,2,0),"")</f>
        <v>0</v>
      </c>
      <c r="D236" s="24" t="str">
        <f>IFERROR(VLOOKUP(B236,'03. THIẾT BỊ'!$B$1:$S$836,3,0),"")</f>
        <v>A23-DXP-001</v>
      </c>
      <c r="E236" s="20" t="str">
        <f>IFERROR(VLOOKUP(B236,'03. THIẾT BỊ'!$B$1:$S$836,4,0),"")</f>
        <v>ĐQSD</v>
      </c>
      <c r="F236" s="20" t="str">
        <f>IFERROR(VLOOKUP(B236,'03. THIẾT BỊ'!$B$1:$S$836,5,0),"")</f>
        <v>Thiết bị xới phân</v>
      </c>
      <c r="G236" s="101" t="s">
        <v>6468</v>
      </c>
      <c r="H236" s="19" t="str">
        <f>IFERROR(VLOOKUP(B236,'03. THIẾT BỊ'!$B$1:$S$836,7,0),"")</f>
        <v>CGLĐ DP</v>
      </c>
      <c r="I236" s="610" t="str">
        <f>IFERROR(VLOOKUP(B236,'03. THIẾT BỊ'!$B$1:$S$836,8,0),"")</f>
        <v>29/03/2025</v>
      </c>
      <c r="J236" s="25"/>
      <c r="K236" s="19" t="str">
        <f>IFERROR(VLOOKUP(B236,'03. THIẾT BỊ'!$B$1:$S$836,10,0),"")</f>
        <v>Bình thường</v>
      </c>
      <c r="L236" s="25" t="str">
        <f>IFERROR(VLOOKUP(B236,'03. THIẾT BỊ'!$B$1:$S$836,11,0),"")</f>
        <v>Gia công mới</v>
      </c>
      <c r="M236" s="24">
        <f>IFERROR(VLOOKUP(B236,'03. THIẾT BỊ'!$B$1:$S$836,12,0),"")</f>
        <v>0</v>
      </c>
      <c r="N236" s="25" t="str">
        <f>IFERROR(VLOOKUP(B236,'03. THIẾT BỊ'!$B$1:$S$836,13,0),"")</f>
        <v>THACO AGRI</v>
      </c>
      <c r="O236" s="24" t="str">
        <f>IFERROR(VLOOKUP(B236,'03. THIẾT BỊ'!$B$1:$S$836,14,0),"")</f>
        <v>CK-DXP-01</v>
      </c>
      <c r="P236" s="25" t="str">
        <f>IFERROR(VLOOKUP(B236,'03. THIẾT BỊ'!$B$1:$S$836,15,0),"")</f>
        <v>CAMBODIA</v>
      </c>
      <c r="Q236" s="23">
        <f>IFERROR(VLOOKUP(B236,'03. THIẾT BỊ'!$B$1:$S$836,16,0),"")</f>
        <v>2025</v>
      </c>
      <c r="R236" s="25" t="str">
        <f>IFERROR(VLOOKUP(B236,'03. THIẾT BỊ'!$B$1:$S$836,17,0),"")</f>
        <v>3.5x1x3.6</v>
      </c>
      <c r="S236" s="25">
        <f>IFERROR(VLOOKUP(B236,'03. THIẾT BỊ'!$B$1:$S$836,18,0),"")</f>
        <v>0</v>
      </c>
      <c r="T236" s="41"/>
    </row>
    <row r="237" customHeight="1" spans="1:20">
      <c r="A237" s="19">
        <f t="shared" ref="A237:A254" si="10">A236+1</f>
        <v>2</v>
      </c>
      <c r="B237" s="20" t="s">
        <v>4042</v>
      </c>
      <c r="C237" s="613">
        <f>IFERROR(VLOOKUP(B237,'03. THIẾT BỊ'!$B$1:$S$836,2,0),"")</f>
        <v>0</v>
      </c>
      <c r="D237" s="24" t="str">
        <f>IFERROR(VLOOKUP(B237,'03. THIẾT BỊ'!$B$1:$S$836,3,0),"")</f>
        <v>A22-DRP-001</v>
      </c>
      <c r="E237" s="20" t="str">
        <f>IFERROR(VLOOKUP(B237,'03. THIẾT BỊ'!$B$1:$S$836,4,0),"")</f>
        <v>MUA MỚI</v>
      </c>
      <c r="F237" s="20" t="str">
        <f>IFERROR(VLOOKUP(B237,'03. THIẾT BỊ'!$B$1:$S$836,5,0),"")</f>
        <v>Dàn rải phân (10m3)</v>
      </c>
      <c r="G237" s="101" t="s">
        <v>6468</v>
      </c>
      <c r="H237" s="19" t="str">
        <f>IFERROR(VLOOKUP(B237,'03. THIẾT BỊ'!$B$1:$S$836,7,0),"")</f>
        <v>CGLĐ DP</v>
      </c>
      <c r="I237" s="610">
        <f>IFERROR(VLOOKUP(B237,'03. THIẾT BỊ'!$B$1:$S$836,8,0),"")</f>
        <v>45964</v>
      </c>
      <c r="J237" s="25"/>
      <c r="K237" s="19" t="str">
        <f>IFERROR(VLOOKUP(B237,'03. THIẾT BỊ'!$B$1:$S$836,10,0),"")</f>
        <v>Bình thường</v>
      </c>
      <c r="L237" s="25" t="str">
        <f>IFERROR(VLOOKUP(B237,'03. THIẾT BỊ'!$B$1:$S$836,11,0),"")</f>
        <v>Đầu tư mới</v>
      </c>
      <c r="M237" s="24">
        <f>IFERROR(VLOOKUP(B237,'03. THIẾT BỊ'!$B$1:$S$836,12,0),"")</f>
        <v>0</v>
      </c>
      <c r="N237" s="25" t="str">
        <f>IFERROR(VLOOKUP(B237,'03. THIẾT BỊ'!$B$1:$S$836,13,0),"")</f>
        <v>THACO INDUSTRY</v>
      </c>
      <c r="O237" s="24" t="str">
        <f>IFERROR(VLOOKUP(B237,'03. THIẾT BỊ'!$B$1:$S$836,14,0),"")</f>
        <v>10M3</v>
      </c>
      <c r="P237" s="25" t="str">
        <f>IFERROR(VLOOKUP(B237,'03. THIẾT BỊ'!$B$1:$S$836,15,0),"")</f>
        <v>CHU LAI</v>
      </c>
      <c r="Q237" s="23">
        <f>IFERROR(VLOOKUP(B237,'03. THIẾT BỊ'!$B$1:$S$836,16,0),"")</f>
        <v>2025</v>
      </c>
      <c r="R237" s="25">
        <f>IFERROR(VLOOKUP(B237,'03. THIẾT BỊ'!$B$1:$S$836,17,0),"")</f>
        <v>7</v>
      </c>
      <c r="S237" s="25">
        <f>IFERROR(VLOOKUP(B237,'03. THIẾT BỊ'!$B$1:$S$836,18,0),"")</f>
        <v>0</v>
      </c>
      <c r="T237" s="41"/>
    </row>
    <row r="238" customHeight="1" spans="1:20">
      <c r="A238" s="19">
        <f t="shared" si="10"/>
        <v>3</v>
      </c>
      <c r="B238" s="20" t="s">
        <v>4212</v>
      </c>
      <c r="C238" s="613">
        <f>IFERROR(VLOOKUP(B238,'03. THIẾT BỊ'!$B$1:$S$836,2,0),"")</f>
        <v>0</v>
      </c>
      <c r="D238" s="24" t="str">
        <f>IFERROR(VLOOKUP(B238,'03. THIẾT BỊ'!$B$1:$S$836,3,0),"")</f>
        <v>A22-DRP-002</v>
      </c>
      <c r="E238" s="20" t="str">
        <f>IFERROR(VLOOKUP(B238,'03. THIẾT BỊ'!$B$1:$S$836,4,0),"")</f>
        <v>MUA MỚI</v>
      </c>
      <c r="F238" s="20" t="str">
        <f>IFERROR(VLOOKUP(B238,'03. THIẾT BỊ'!$B$1:$S$836,5,0),"")</f>
        <v>Dàn rải phân (10m3)</v>
      </c>
      <c r="G238" s="101" t="s">
        <v>6468</v>
      </c>
      <c r="H238" s="19" t="str">
        <f>IFERROR(VLOOKUP(B238,'03. THIẾT BỊ'!$B$1:$S$836,7,0),"")</f>
        <v>XN Bò AD</v>
      </c>
      <c r="I238" s="610">
        <f>IFERROR(VLOOKUP(B238,'03. THIẾT BỊ'!$B$1:$S$836,8,0),"")</f>
        <v>45968</v>
      </c>
      <c r="J238" s="25"/>
      <c r="K238" s="19" t="str">
        <f>IFERROR(VLOOKUP(B238,'03. THIẾT BỊ'!$B$1:$S$836,10,0),"")</f>
        <v>Bình thường</v>
      </c>
      <c r="L238" s="25" t="str">
        <f>IFERROR(VLOOKUP(B238,'03. THIẾT BỊ'!$B$1:$S$836,11,0),"")</f>
        <v>Điều chuyển qua XNB  ngày 29.11.2025</v>
      </c>
      <c r="M238" s="24">
        <f>IFERROR(VLOOKUP(B238,'03. THIẾT BỊ'!$B$1:$S$836,12,0),"")</f>
        <v>0</v>
      </c>
      <c r="N238" s="25" t="str">
        <f>IFERROR(VLOOKUP(B238,'03. THIẾT BỊ'!$B$1:$S$836,13,0),"")</f>
        <v>THACO INDUSTRIES</v>
      </c>
      <c r="O238" s="24" t="str">
        <f>IFERROR(VLOOKUP(B238,'03. THIẾT BỊ'!$B$1:$S$836,14,0),"")</f>
        <v>10M3</v>
      </c>
      <c r="P238" s="25" t="str">
        <f>IFERROR(VLOOKUP(B238,'03. THIẾT BỊ'!$B$1:$S$836,15,0),"")</f>
        <v>CHU LAI</v>
      </c>
      <c r="Q238" s="23">
        <f>IFERROR(VLOOKUP(B238,'03. THIẾT BỊ'!$B$1:$S$836,16,0),"")</f>
        <v>2025</v>
      </c>
      <c r="R238" s="25">
        <f>IFERROR(VLOOKUP(B238,'03. THIẾT BỊ'!$B$1:$S$836,17,0),"")</f>
        <v>0</v>
      </c>
      <c r="S238" s="25">
        <f>IFERROR(VLOOKUP(B238,'03. THIẾT BỊ'!$B$1:$S$836,18,0),"")</f>
        <v>45701</v>
      </c>
      <c r="T238" s="41"/>
    </row>
    <row r="239" customHeight="1" spans="1:20">
      <c r="A239" s="19">
        <f t="shared" si="10"/>
        <v>4</v>
      </c>
      <c r="B239" s="20" t="s">
        <v>4166</v>
      </c>
      <c r="C239" s="613">
        <f>IFERROR(VLOOKUP(B239,'03. THIẾT BỊ'!$B$1:$S$836,2,0),"")</f>
        <v>0</v>
      </c>
      <c r="D239" s="24" t="str">
        <f>IFERROR(VLOOKUP(B239,'03. THIẾT BỊ'!$B$1:$S$836,3,0),"")</f>
        <v>A24-DRP-003</v>
      </c>
      <c r="E239" s="20" t="str">
        <f>IFERROR(VLOOKUP(B239,'03. THIẾT BỊ'!$B$1:$S$836,4,0),"")</f>
        <v>ĐQSD</v>
      </c>
      <c r="F239" s="20" t="str">
        <f>IFERROR(VLOOKUP(B239,'03. THIẾT BỊ'!$B$1:$S$836,5,0),"")</f>
        <v>Dàn rải phân (10m3)</v>
      </c>
      <c r="G239" s="101" t="s">
        <v>6468</v>
      </c>
      <c r="H239" s="19" t="str">
        <f>IFERROR(VLOOKUP(B239,'03. THIẾT BỊ'!$B$1:$S$836,7,0),"")</f>
        <v>CGLĐ LP</v>
      </c>
      <c r="I239" s="610" t="str">
        <f>IFERROR(VLOOKUP(B239,'03. THIẾT BỊ'!$B$1:$S$836,8,0),"")</f>
        <v>18/11/2025</v>
      </c>
      <c r="J239" s="25"/>
      <c r="K239" s="19" t="str">
        <f>IFERROR(VLOOKUP(B239,'03. THIẾT BỊ'!$B$1:$S$836,10,0),"")</f>
        <v>Bình thường</v>
      </c>
      <c r="L239" s="25">
        <f>IFERROR(VLOOKUP(B239,'03. THIẾT BỊ'!$B$1:$S$836,11,0),"")</f>
        <v>0</v>
      </c>
      <c r="M239" s="24">
        <f>IFERROR(VLOOKUP(B239,'03. THIẾT BỊ'!$B$1:$S$836,12,0),"")</f>
        <v>0</v>
      </c>
      <c r="N239" s="25" t="str">
        <f>IFERROR(VLOOKUP(B239,'03. THIẾT BỊ'!$B$1:$S$836,13,0),"")</f>
        <v>THACO INDUSTRIES</v>
      </c>
      <c r="O239" s="24">
        <f>IFERROR(VLOOKUP(B239,'03. THIẾT BỊ'!$B$1:$S$836,14,0),"")</f>
        <v>0</v>
      </c>
      <c r="P239" s="25" t="str">
        <f>IFERROR(VLOOKUP(B239,'03. THIẾT BỊ'!$B$1:$S$836,15,0),"")</f>
        <v>CHU LAI</v>
      </c>
      <c r="Q239" s="23">
        <f>IFERROR(VLOOKUP(B239,'03. THIẾT BỊ'!$B$1:$S$836,16,0),"")</f>
        <v>2025</v>
      </c>
      <c r="R239" s="25" t="str">
        <f>IFERROR(VLOOKUP(B239,'03. THIẾT BỊ'!$B$1:$S$836,17,0),"")</f>
        <v>RMFNUU109ASC001753</v>
      </c>
      <c r="S239" s="25">
        <f>IFERROR(VLOOKUP(B239,'03. THIẾT BỊ'!$B$1:$S$836,18,0),"")</f>
        <v>14</v>
      </c>
      <c r="T239" s="41"/>
    </row>
    <row r="240" customHeight="1" spans="1:20">
      <c r="A240" s="19">
        <f t="shared" si="10"/>
        <v>5</v>
      </c>
      <c r="B240" s="20" t="s">
        <v>4048</v>
      </c>
      <c r="C240" s="613">
        <f>IFERROR(VLOOKUP(B240,'03. THIẾT BỊ'!$B$1:$S$836,2,0),"")</f>
        <v>0</v>
      </c>
      <c r="D240" s="24" t="str">
        <f>IFERROR(VLOOKUP(B240,'03. THIẾT BỊ'!$B$1:$S$836,3,0),"")</f>
        <v>A24-DRP-004</v>
      </c>
      <c r="E240" s="20" t="str">
        <f>IFERROR(VLOOKUP(B240,'03. THIẾT BỊ'!$B$1:$S$836,4,0),"")</f>
        <v>MUA MỚI</v>
      </c>
      <c r="F240" s="20" t="str">
        <f>IFERROR(VLOOKUP(B240,'03. THIẾT BỊ'!$B$1:$S$836,5,0),"")</f>
        <v>Dàn rải phân (10m3)</v>
      </c>
      <c r="G240" s="101" t="s">
        <v>6468</v>
      </c>
      <c r="H240" s="19" t="str">
        <f>IFERROR(VLOOKUP(B240,'03. THIẾT BỊ'!$B$1:$S$836,7,0),"")</f>
        <v>CGLĐ DP</v>
      </c>
      <c r="I240" s="610" t="str">
        <f>IFERROR(VLOOKUP(B240,'03. THIẾT BỊ'!$B$1:$S$836,8,0),"")</f>
        <v>18/11/2025</v>
      </c>
      <c r="J240" s="25"/>
      <c r="K240" s="19" t="str">
        <f>IFERROR(VLOOKUP(B240,'03. THIẾT BỊ'!$B$1:$S$836,10,0),"")</f>
        <v>Bình thường</v>
      </c>
      <c r="L240" s="25" t="str">
        <f>IFERROR(VLOOKUP(B240,'03. THIẾT BỊ'!$B$1:$S$836,11,0),"")</f>
        <v>Đầu tư mới</v>
      </c>
      <c r="M240" s="24">
        <f>IFERROR(VLOOKUP(B240,'03. THIẾT BỊ'!$B$1:$S$836,12,0),"")</f>
        <v>0</v>
      </c>
      <c r="N240" s="25" t="str">
        <f>IFERROR(VLOOKUP(B240,'03. THIẾT BỊ'!$B$1:$S$836,13,0),"")</f>
        <v>THACO INDUSTRY</v>
      </c>
      <c r="O240" s="24" t="str">
        <f>IFERROR(VLOOKUP(B240,'03. THIẾT BỊ'!$B$1:$S$836,14,0),"")</f>
        <v>10M3</v>
      </c>
      <c r="P240" s="25" t="str">
        <f>IFERROR(VLOOKUP(B240,'03. THIẾT BỊ'!$B$1:$S$836,15,0),"")</f>
        <v>CHU LAI</v>
      </c>
      <c r="Q240" s="23">
        <f>IFERROR(VLOOKUP(B240,'03. THIẾT BỊ'!$B$1:$S$836,16,0),"")</f>
        <v>2025</v>
      </c>
      <c r="R240" s="25" t="str">
        <f>IFERROR(VLOOKUP(B240,'03. THIẾT BỊ'!$B$1:$S$836,17,0),"")</f>
        <v>RMFNUU109ASC001754</v>
      </c>
      <c r="S240" s="25">
        <f>IFERROR(VLOOKUP(B240,'03. THIẾT BỊ'!$B$1:$S$836,18,0),"")</f>
        <v>16</v>
      </c>
      <c r="T240" s="41"/>
    </row>
    <row r="241" customHeight="1" spans="1:20">
      <c r="A241" s="19">
        <f t="shared" si="10"/>
        <v>6</v>
      </c>
      <c r="B241" s="20" t="s">
        <v>4052</v>
      </c>
      <c r="C241" s="613">
        <f>IFERROR(VLOOKUP(B241,'03. THIẾT BỊ'!$B$1:$S$836,2,0),"")</f>
        <v>0</v>
      </c>
      <c r="D241" s="24" t="str">
        <f>IFERROR(VLOOKUP(B241,'03. THIẾT BỊ'!$B$1:$S$836,3,0),"")</f>
        <v>A23-DRP-005</v>
      </c>
      <c r="E241" s="20" t="str">
        <f>IFERROR(VLOOKUP(B241,'03. THIẾT BỊ'!$B$1:$S$836,4,0),"")</f>
        <v>MUA MỚI</v>
      </c>
      <c r="F241" s="20" t="str">
        <f>IFERROR(VLOOKUP(B241,'03. THIẾT BỊ'!$B$1:$S$836,5,0),"")</f>
        <v>Dàn rải phân (10m3)</v>
      </c>
      <c r="G241" s="101" t="s">
        <v>6468</v>
      </c>
      <c r="H241" s="19" t="str">
        <f>IFERROR(VLOOKUP(B241,'03. THIẾT BỊ'!$B$1:$S$836,7,0),"")</f>
        <v>CGLĐ DP</v>
      </c>
      <c r="I241" s="610">
        <f>IFERROR(VLOOKUP(B241,'03. THIẾT BỊ'!$B$1:$S$836,8,0),"")</f>
        <v>45789</v>
      </c>
      <c r="J241" s="25"/>
      <c r="K241" s="19" t="str">
        <f>IFERROR(VLOOKUP(B241,'03. THIẾT BỊ'!$B$1:$S$836,10,0),"")</f>
        <v>Bình thường</v>
      </c>
      <c r="L241" s="25" t="str">
        <f>IFERROR(VLOOKUP(B241,'03. THIẾT BỊ'!$B$1:$S$836,11,0),"")</f>
        <v>Đầu tư mới</v>
      </c>
      <c r="M241" s="24">
        <f>IFERROR(VLOOKUP(B241,'03. THIẾT BỊ'!$B$1:$S$836,12,0),"")</f>
        <v>0</v>
      </c>
      <c r="N241" s="25" t="str">
        <f>IFERROR(VLOOKUP(B241,'03. THIẾT BỊ'!$B$1:$S$836,13,0),"")</f>
        <v>THACO INDUSTRY</v>
      </c>
      <c r="O241" s="24" t="str">
        <f>IFERROR(VLOOKUP(B241,'03. THIẾT BỊ'!$B$1:$S$836,14,0),"")</f>
        <v>10M3</v>
      </c>
      <c r="P241" s="25" t="str">
        <f>IFERROR(VLOOKUP(B241,'03. THIẾT BỊ'!$B$1:$S$836,15,0),"")</f>
        <v>CHU LAI</v>
      </c>
      <c r="Q241" s="23">
        <f>IFERROR(VLOOKUP(B241,'03. THIẾT BỊ'!$B$1:$S$836,16,0),"")</f>
        <v>2025</v>
      </c>
      <c r="R241" s="25" t="str">
        <f>IFERROR(VLOOKUP(B241,'03. THIẾT BỊ'!$B$1:$S$836,17,0),"")</f>
        <v>RMFNU109ASC001755</v>
      </c>
      <c r="S241" s="25">
        <f>IFERROR(VLOOKUP(B241,'03. THIẾT BỊ'!$B$1:$S$836,18,0),"")</f>
        <v>18</v>
      </c>
      <c r="T241" s="41"/>
    </row>
    <row r="242" customHeight="1" spans="1:20">
      <c r="A242" s="19">
        <f t="shared" si="10"/>
        <v>7</v>
      </c>
      <c r="B242" s="20" t="s">
        <v>4055</v>
      </c>
      <c r="C242" s="613">
        <f>IFERROR(VLOOKUP(B242,'03. THIẾT BỊ'!$B$1:$S$836,2,0),"")</f>
        <v>0</v>
      </c>
      <c r="D242" s="24" t="str">
        <f>IFERROR(VLOOKUP(B242,'03. THIẾT BỊ'!$B$1:$S$836,3,0),"")</f>
        <v>A22-DRP-0.03</v>
      </c>
      <c r="E242" s="20" t="str">
        <f>IFERROR(VLOOKUP(B242,'03. THIẾT BỊ'!$B$1:$S$836,4,0),"")</f>
        <v>MUA MỚI</v>
      </c>
      <c r="F242" s="20" t="str">
        <f>IFERROR(VLOOKUP(B242,'03. THIẾT BỊ'!$B$1:$S$836,5,0),"")</f>
        <v>Dàn rải phân (10m3)</v>
      </c>
      <c r="G242" s="101" t="s">
        <v>6468</v>
      </c>
      <c r="H242" s="19" t="str">
        <f>IFERROR(VLOOKUP(B242,'03. THIẾT BỊ'!$B$1:$S$836,7,0),"")</f>
        <v>CGLĐ DP</v>
      </c>
      <c r="I242" s="610" t="str">
        <f>IFERROR(VLOOKUP(B242,'03. THIẾT BỊ'!$B$1:$S$836,8,0),"")</f>
        <v>17/03/2026</v>
      </c>
      <c r="J242" s="25"/>
      <c r="K242" s="19" t="str">
        <f>IFERROR(VLOOKUP(B242,'03. THIẾT BỊ'!$B$1:$S$836,10,0),"")</f>
        <v>Bình thường</v>
      </c>
      <c r="L242" s="25" t="str">
        <f>IFERROR(VLOOKUP(B242,'03. THIẾT BỊ'!$B$1:$S$836,11,0),"")</f>
        <v>Đầu tư mới</v>
      </c>
      <c r="M242" s="24">
        <f>IFERROR(VLOOKUP(B242,'03. THIẾT BỊ'!$B$1:$S$836,12,0),"")</f>
        <v>0</v>
      </c>
      <c r="N242" s="25" t="str">
        <f>IFERROR(VLOOKUP(B242,'03. THIẾT BỊ'!$B$1:$S$836,13,0),"")</f>
        <v>THACO INDUSTRY</v>
      </c>
      <c r="O242" s="24" t="str">
        <f>IFERROR(VLOOKUP(B242,'03. THIẾT BỊ'!$B$1:$S$836,14,0),"")</f>
        <v>10M3</v>
      </c>
      <c r="P242" s="25" t="str">
        <f>IFERROR(VLOOKUP(B242,'03. THIẾT BỊ'!$B$1:$S$836,15,0),"")</f>
        <v>CHU LAI</v>
      </c>
      <c r="Q242" s="23">
        <f>IFERROR(VLOOKUP(B242,'03. THIẾT BỊ'!$B$1:$S$836,16,0),"")</f>
        <v>2025</v>
      </c>
      <c r="R242" s="25" t="str">
        <f>IFERROR(VLOOKUP(B242,'03. THIẾT BỊ'!$B$1:$S$836,17,0),"")</f>
        <v>RMFNU109ATC002205</v>
      </c>
      <c r="S242" s="25">
        <f>IFERROR(VLOOKUP(B242,'03. THIẾT BỊ'!$B$1:$S$836,18,0),"")</f>
        <v>19</v>
      </c>
      <c r="T242" s="41"/>
    </row>
    <row r="243" customHeight="1" spans="1:20">
      <c r="A243" s="19">
        <f t="shared" si="10"/>
        <v>8</v>
      </c>
      <c r="B243" s="20" t="s">
        <v>5545</v>
      </c>
      <c r="C243" s="613">
        <f>IFERROR(VLOOKUP(B243,'03. THIẾT BỊ'!$B$1:$S$836,2,0),"")</f>
        <v>0</v>
      </c>
      <c r="D243" s="24" t="str">
        <f>IFERROR(VLOOKUP(B243,'03. THIẾT BỊ'!$B$1:$S$836,3,0),"")</f>
        <v>A22-DTP-001</v>
      </c>
      <c r="E243" s="20" t="str">
        <f>IFERROR(VLOOKUP(B243,'03. THIẾT BỊ'!$B$1:$S$836,4,0),"")</f>
        <v>MUA MỚI</v>
      </c>
      <c r="F243" s="20" t="str">
        <f>IFERROR(VLOOKUP(B243,'03. THIẾT BỊ'!$B$1:$S$836,5,0),"")</f>
        <v>Thiết bị tung phân hữu cơ</v>
      </c>
      <c r="G243" s="101" t="s">
        <v>6468</v>
      </c>
      <c r="H243" s="19" t="str">
        <f>IFERROR(VLOOKUP(B243,'03. THIẾT BỊ'!$B$1:$S$836,7,0),"")</f>
        <v>XN Bò AD</v>
      </c>
      <c r="I243" s="610">
        <f>IFERROR(VLOOKUP(B243,'03. THIẾT BỊ'!$B$1:$S$836,8,0),"")</f>
        <v>0</v>
      </c>
      <c r="J243" s="25"/>
      <c r="K243" s="19" t="str">
        <f>IFERROR(VLOOKUP(B243,'03. THIẾT BỊ'!$B$1:$S$836,10,0),"")</f>
        <v>Bình thường</v>
      </c>
      <c r="L243" s="25">
        <f>IFERROR(VLOOKUP(B243,'03. THIẾT BỊ'!$B$1:$S$836,11,0),"")</f>
        <v>0</v>
      </c>
      <c r="M243" s="24" t="str">
        <f>IFERROR(VLOOKUP(B243,'03. THIẾT BỊ'!$B$1:$S$836,12,0),"")</f>
        <v>Đầu tư mới</v>
      </c>
      <c r="N243" s="25" t="str">
        <f>IFERROR(VLOOKUP(B243,'03. THIẾT BỊ'!$B$1:$S$836,13,0),"")</f>
        <v>THACO INDUSTRIES</v>
      </c>
      <c r="O243" s="24" t="str">
        <f>IFERROR(VLOOKUP(B243,'03. THIẾT BỊ'!$B$1:$S$836,14,0),"")</f>
        <v>10M3</v>
      </c>
      <c r="P243" s="25" t="str">
        <f>IFERROR(VLOOKUP(B243,'03. THIẾT BỊ'!$B$1:$S$836,15,0),"")</f>
        <v>VIỆT NAM</v>
      </c>
      <c r="Q243" s="23">
        <f>IFERROR(VLOOKUP(B243,'03. THIẾT BỊ'!$B$1:$S$836,16,0),"")</f>
        <v>2023</v>
      </c>
      <c r="R243" s="25">
        <f>IFERROR(VLOOKUP(B243,'03. THIẾT BỊ'!$B$1:$S$836,17,0),"")</f>
        <v>0</v>
      </c>
      <c r="S243" s="25">
        <f>IFERROR(VLOOKUP(B243,'03. THIẾT BỊ'!$B$1:$S$836,18,0),"")</f>
        <v>0</v>
      </c>
      <c r="T243" s="41"/>
    </row>
    <row r="244" customHeight="1" spans="1:20">
      <c r="A244" s="19">
        <f t="shared" si="10"/>
        <v>9</v>
      </c>
      <c r="B244" s="20" t="s">
        <v>5548</v>
      </c>
      <c r="C244" s="613">
        <f>IFERROR(VLOOKUP(B244,'03. THIẾT BỊ'!$B$1:$S$836,2,0),"")</f>
        <v>0</v>
      </c>
      <c r="D244" s="24" t="str">
        <f>IFERROR(VLOOKUP(B244,'03. THIẾT BỊ'!$B$1:$S$836,3,0),"")</f>
        <v>A22-DTP-002</v>
      </c>
      <c r="E244" s="20" t="str">
        <f>IFERROR(VLOOKUP(B244,'03. THIẾT BỊ'!$B$1:$S$836,4,0),"")</f>
        <v>MUA MỚI</v>
      </c>
      <c r="F244" s="20" t="str">
        <f>IFERROR(VLOOKUP(B244,'03. THIẾT BỊ'!$B$1:$S$836,5,0),"")</f>
        <v>Thiết bị tung phân hữu cơ</v>
      </c>
      <c r="G244" s="101" t="s">
        <v>6468</v>
      </c>
      <c r="H244" s="19" t="str">
        <f>IFERROR(VLOOKUP(B244,'03. THIẾT BỊ'!$B$1:$S$836,7,0),"")</f>
        <v>XN Bò AD</v>
      </c>
      <c r="I244" s="610">
        <f>IFERROR(VLOOKUP(B244,'03. THIẾT BỊ'!$B$1:$S$836,8,0),"")</f>
        <v>45455</v>
      </c>
      <c r="J244" s="25"/>
      <c r="K244" s="19" t="str">
        <f>IFERROR(VLOOKUP(B244,'03. THIẾT BỊ'!$B$1:$S$836,10,0),"")</f>
        <v>Bình thường</v>
      </c>
      <c r="L244" s="25">
        <f>IFERROR(VLOOKUP(B244,'03. THIẾT BỊ'!$B$1:$S$836,11,0),"")</f>
        <v>0</v>
      </c>
      <c r="M244" s="24" t="str">
        <f>IFERROR(VLOOKUP(B244,'03. THIẾT BỊ'!$B$1:$S$836,12,0),"")</f>
        <v>Đầu tư mới</v>
      </c>
      <c r="N244" s="25" t="str">
        <f>IFERROR(VLOOKUP(B244,'03. THIẾT BỊ'!$B$1:$S$836,13,0),"")</f>
        <v>THACO INDUSTRIES</v>
      </c>
      <c r="O244" s="24" t="str">
        <f>IFERROR(VLOOKUP(B244,'03. THIẾT BỊ'!$B$1:$S$836,14,0),"")</f>
        <v>10M3</v>
      </c>
      <c r="P244" s="25" t="str">
        <f>IFERROR(VLOOKUP(B244,'03. THIẾT BỊ'!$B$1:$S$836,15,0),"")</f>
        <v>VIỆT NAM</v>
      </c>
      <c r="Q244" s="23">
        <f>IFERROR(VLOOKUP(B244,'03. THIẾT BỊ'!$B$1:$S$836,16,0),"")</f>
        <v>2024</v>
      </c>
      <c r="R244" s="25" t="str">
        <f>IFERROR(VLOOKUP(B244,'03. THIẾT BỊ'!$B$1:$S$836,17,0),"")</f>
        <v>&gt;= 90HP</v>
      </c>
      <c r="S244" s="25">
        <f>IFERROR(VLOOKUP(B244,'03. THIẾT BỊ'!$B$1:$S$836,18,0),"")</f>
        <v>0</v>
      </c>
      <c r="T244" s="41"/>
    </row>
    <row r="245" ht="27" customHeight="1" spans="1:20">
      <c r="A245" s="19">
        <f t="shared" si="10"/>
        <v>10</v>
      </c>
      <c r="B245" s="38" t="s">
        <v>5650</v>
      </c>
      <c r="C245" s="22" t="str">
        <f>IFERROR(VLOOKUP(B245,'03. THIẾT BỊ'!$B$1:$S$836,2,0),"")</f>
        <v>CK-TBBPX-01</v>
      </c>
      <c r="D245" s="24" t="str">
        <f>IFERROR(VLOOKUP(B245,'03. THIẾT BỊ'!$B$1:$S$836,3,0),"")</f>
        <v>A22-TBR-001</v>
      </c>
      <c r="E245" s="20" t="str">
        <f>IFERROR(VLOOKUP(B245,'03. THIẾT BỊ'!$B$1:$S$836,4,0),"")</f>
        <v>ĐQSD</v>
      </c>
      <c r="F245" s="20" t="str">
        <f>IFERROR(VLOOKUP(B245,'03. THIẾT BỊ'!$B$1:$S$836,5,0),"")</f>
        <v>Thiết bị rãi phân hữu cơ</v>
      </c>
      <c r="G245" s="101" t="s">
        <v>6468</v>
      </c>
      <c r="H245" s="19" t="str">
        <f>IFERROR(VLOOKUP(B245,'03. THIẾT BỊ'!$B$1:$S$836,7,0),"")</f>
        <v>XN Bò AD</v>
      </c>
      <c r="I245" s="610" t="str">
        <f>IFERROR(VLOOKUP(B245,'03. THIẾT BỊ'!$B$1:$S$836,8,0),"")</f>
        <v>16/09/2024</v>
      </c>
      <c r="J245" s="25"/>
      <c r="K245" s="19" t="str">
        <f>IFERROR(VLOOKUP(B245,'03. THIẾT BỊ'!$B$1:$S$836,10,0),"")</f>
        <v>Bình thường</v>
      </c>
      <c r="L245" s="25">
        <f>IFERROR(VLOOKUP(B245,'03. THIẾT BỊ'!$B$1:$S$836,11,0),"")</f>
        <v>0</v>
      </c>
      <c r="M245" s="24" t="str">
        <f>IFERROR(VLOOKUP(B245,'03. THIẾT BỊ'!$B$1:$S$836,12,0),"")</f>
        <v>Gia công mới</v>
      </c>
      <c r="N245" s="25" t="str">
        <f>IFERROR(VLOOKUP(B245,'03. THIẾT BỊ'!$B$1:$S$836,13,0),"")</f>
        <v>THACO AGRI</v>
      </c>
      <c r="O245" s="24" t="str">
        <f>IFERROR(VLOOKUP(B245,'03. THIẾT BỊ'!$B$1:$S$836,14,0),"")</f>
        <v>CK-TBBPX-01</v>
      </c>
      <c r="P245" s="25" t="str">
        <f>IFERROR(VLOOKUP(B245,'03. THIẾT BỊ'!$B$1:$S$836,15,0),"")</f>
        <v>CK-CGH</v>
      </c>
      <c r="Q245" s="23">
        <f>IFERROR(VLOOKUP(B245,'03. THIẾT BỊ'!$B$1:$S$836,16,0),"")</f>
        <v>0</v>
      </c>
      <c r="R245" s="25" t="str">
        <f>IFERROR(VLOOKUP(B245,'03. THIẾT BỊ'!$B$1:$S$836,17,0),"")</f>
        <v>3.5x2.2x2.15 (DxRxC)</v>
      </c>
      <c r="S245" s="25">
        <f>IFERROR(VLOOKUP(B245,'03. THIẾT BỊ'!$B$1:$S$836,18,0),"")</f>
        <v>0</v>
      </c>
      <c r="T245" s="41"/>
    </row>
    <row r="246" ht="27" customHeight="1" spans="1:20">
      <c r="A246" s="19">
        <f t="shared" si="10"/>
        <v>11</v>
      </c>
      <c r="B246" s="38" t="s">
        <v>5665</v>
      </c>
      <c r="C246" s="613">
        <f>IFERROR(VLOOKUP(B246,'03. THIẾT BỊ'!$B$1:$S$836,2,0),"")</f>
        <v>0</v>
      </c>
      <c r="D246" s="24">
        <f>IFERROR(VLOOKUP(B246,'03. THIẾT BỊ'!$B$1:$S$836,3,0),"")</f>
        <v>0</v>
      </c>
      <c r="E246" s="20" t="str">
        <f>IFERROR(VLOOKUP(B246,'03. THIẾT BỊ'!$B$1:$S$836,4,0),"")</f>
        <v>ĐQSD</v>
      </c>
      <c r="F246" s="20" t="str">
        <f>IFERROR(VLOOKUP(B246,'03. THIẾT BỊ'!$B$1:$S$836,5,0),"")</f>
        <v>Thiết bị xới đảo phân</v>
      </c>
      <c r="G246" s="101" t="s">
        <v>6468</v>
      </c>
      <c r="H246" s="19" t="str">
        <f>IFERROR(VLOOKUP(B246,'03. THIẾT BỊ'!$B$1:$S$836,7,0),"")</f>
        <v>XN Bò AD</v>
      </c>
      <c r="I246" s="610" t="str">
        <f>IFERROR(VLOOKUP(B246,'03. THIẾT BỊ'!$B$1:$S$836,8,0),"")</f>
        <v>29/08/2024</v>
      </c>
      <c r="J246" s="25"/>
      <c r="K246" s="19" t="str">
        <f>IFERROR(VLOOKUP(B246,'03. THIẾT BỊ'!$B$1:$S$836,10,0),"")</f>
        <v>Bình thường</v>
      </c>
      <c r="L246" s="25">
        <f>IFERROR(VLOOKUP(B246,'03. THIẾT BỊ'!$B$1:$S$836,11,0),"")</f>
        <v>0</v>
      </c>
      <c r="M246" s="24" t="str">
        <f>IFERROR(VLOOKUP(B246,'03. THIẾT BỊ'!$B$1:$S$836,12,0),"")</f>
        <v>Gia công mới</v>
      </c>
      <c r="N246" s="25" t="str">
        <f>IFERROR(VLOOKUP(B246,'03. THIẾT BỊ'!$B$1:$S$836,13,0),"")</f>
        <v>THACO INDUSTRIES</v>
      </c>
      <c r="O246" s="24">
        <f>IFERROR(VLOOKUP(B246,'03. THIẾT BỊ'!$B$1:$S$836,14,0),"")</f>
        <v>0</v>
      </c>
      <c r="P246" s="25" t="str">
        <f>IFERROR(VLOOKUP(B246,'03. THIẾT BỊ'!$B$1:$S$836,15,0),"")</f>
        <v>CHULAI</v>
      </c>
      <c r="Q246" s="23">
        <f>IFERROR(VLOOKUP(B246,'03. THIẾT BỊ'!$B$1:$S$836,16,0),"")</f>
        <v>2024</v>
      </c>
      <c r="R246" s="25">
        <f>IFERROR(VLOOKUP(B246,'03. THIẾT BỊ'!$B$1:$S$836,17,0),"")</f>
        <v>0</v>
      </c>
      <c r="S246" s="25">
        <f>IFERROR(VLOOKUP(B246,'03. THIẾT BỊ'!$B$1:$S$836,18,0),"")</f>
        <v>0</v>
      </c>
      <c r="T246" s="41"/>
    </row>
    <row r="247" customHeight="1" spans="1:20">
      <c r="A247" s="19">
        <f t="shared" si="10"/>
        <v>12</v>
      </c>
      <c r="B247" s="20" t="s">
        <v>5426</v>
      </c>
      <c r="C247" s="613">
        <f>IFERROR(VLOOKUP(B247,'03. THIẾT BỊ'!$B$1:$S$836,2,0),"")</f>
        <v>0</v>
      </c>
      <c r="D247" s="24" t="str">
        <f>IFERROR(VLOOKUP(B247,'03. THIẾT BỊ'!$B$1:$S$836,3,0),"")</f>
        <v>A22-MRP-001</v>
      </c>
      <c r="E247" s="20" t="str">
        <f>IFERROR(VLOOKUP(B247,'03. THIẾT BỊ'!$B$1:$S$836,4,0),"")</f>
        <v>ĐQSD</v>
      </c>
      <c r="F247" s="20" t="str">
        <f>IFERROR(VLOOKUP(B247,'03. THIẾT BỊ'!$B$1:$S$836,5,0),"")</f>
        <v>Thiết bị rải phân chuồng</v>
      </c>
      <c r="G247" s="101" t="s">
        <v>6468</v>
      </c>
      <c r="H247" s="19" t="str">
        <f>IFERROR(VLOOKUP(B247,'03. THIẾT BỊ'!$B$1:$S$836,7,0),"")</f>
        <v>XN Bò AD</v>
      </c>
      <c r="I247" s="610">
        <f>IFERROR(VLOOKUP(B247,'03. THIẾT BỊ'!$B$1:$S$836,8,0),"")</f>
        <v>0</v>
      </c>
      <c r="J247" s="25"/>
      <c r="K247" s="19" t="str">
        <f>IFERROR(VLOOKUP(B247,'03. THIẾT BỊ'!$B$1:$S$836,10,0),"")</f>
        <v>Bình thường</v>
      </c>
      <c r="L247" s="25">
        <f>IFERROR(VLOOKUP(B247,'03. THIẾT BỊ'!$B$1:$S$836,11,0),"")</f>
        <v>0</v>
      </c>
      <c r="M247" s="24">
        <f>IFERROR(VLOOKUP(B247,'03. THIẾT BỊ'!$B$1:$S$836,12,0),"")</f>
        <v>0</v>
      </c>
      <c r="N247" s="25" t="str">
        <f>IFERROR(VLOOKUP(B247,'03. THIẾT BỊ'!$B$1:$S$836,13,0),"")</f>
        <v>THACO AGRI</v>
      </c>
      <c r="O247" s="24">
        <f>IFERROR(VLOOKUP(B247,'03. THIẾT BỊ'!$B$1:$S$836,14,0),"")</f>
        <v>0</v>
      </c>
      <c r="P247" s="25" t="str">
        <f>IFERROR(VLOOKUP(B247,'03. THIẾT BỊ'!$B$1:$S$836,15,0),"")</f>
        <v>CK-CGH</v>
      </c>
      <c r="Q247" s="23">
        <f>IFERROR(VLOOKUP(B247,'03. THIẾT BỊ'!$B$1:$S$836,16,0),"")</f>
        <v>0</v>
      </c>
      <c r="R247" s="25">
        <f>IFERROR(VLOOKUP(B247,'03. THIẾT BỊ'!$B$1:$S$836,17,0),"")</f>
        <v>0</v>
      </c>
      <c r="S247" s="25">
        <f>IFERROR(VLOOKUP(B247,'03. THIẾT BỊ'!$B$1:$S$836,18,0),"")</f>
        <v>0</v>
      </c>
      <c r="T247" s="41"/>
    </row>
    <row r="248" customHeight="1" spans="1:20">
      <c r="A248" s="19">
        <f t="shared" si="10"/>
        <v>13</v>
      </c>
      <c r="B248" s="20" t="s">
        <v>5441</v>
      </c>
      <c r="C248" s="613">
        <f>IFERROR(VLOOKUP(B248,'03. THIẾT BỊ'!$B$1:$S$836,2,0),"")</f>
        <v>0</v>
      </c>
      <c r="D248" s="24" t="str">
        <f>IFERROR(VLOOKUP(B248,'03. THIẾT BỊ'!$B$1:$S$836,3,0),"")</f>
        <v>A22-MDP-001</v>
      </c>
      <c r="E248" s="20" t="str">
        <f>IFERROR(VLOOKUP(B248,'03. THIẾT BỊ'!$B$1:$S$836,4,0),"")</f>
        <v>ĐQSD</v>
      </c>
      <c r="F248" s="20" t="str">
        <f>IFERROR(VLOOKUP(B248,'03. THIẾT BỊ'!$B$1:$S$836,5,0),"")</f>
        <v>Máy đảo trộn phân hữu cơ</v>
      </c>
      <c r="G248" s="101" t="s">
        <v>6468</v>
      </c>
      <c r="H248" s="19" t="str">
        <f>IFERROR(VLOOKUP(B248,'03. THIẾT BỊ'!$B$1:$S$836,7,0),"")</f>
        <v>XN Bò AD</v>
      </c>
      <c r="I248" s="610">
        <f>IFERROR(VLOOKUP(B248,'03. THIẾT BỊ'!$B$1:$S$836,8,0),"")</f>
        <v>0</v>
      </c>
      <c r="J248" s="25"/>
      <c r="K248" s="19" t="str">
        <f>IFERROR(VLOOKUP(B248,'03. THIẾT BỊ'!$B$1:$S$836,10,0),"")</f>
        <v>Bình thường</v>
      </c>
      <c r="L248" s="25">
        <f>IFERROR(VLOOKUP(B248,'03. THIẾT BỊ'!$B$1:$S$836,11,0),"")</f>
        <v>0</v>
      </c>
      <c r="M248" s="24">
        <f>IFERROR(VLOOKUP(B248,'03. THIẾT BỊ'!$B$1:$S$836,12,0),"")</f>
        <v>0</v>
      </c>
      <c r="N248" s="25" t="str">
        <f>IFERROR(VLOOKUP(B248,'03. THIẾT BỊ'!$B$1:$S$836,13,0),"")</f>
        <v>THACO AGRI</v>
      </c>
      <c r="O248" s="24">
        <f>IFERROR(VLOOKUP(B248,'03. THIẾT BỊ'!$B$1:$S$836,14,0),"")</f>
        <v>0</v>
      </c>
      <c r="P248" s="25" t="str">
        <f>IFERROR(VLOOKUP(B248,'03. THIẾT BỊ'!$B$1:$S$836,15,0),"")</f>
        <v>CK-CGH</v>
      </c>
      <c r="Q248" s="23">
        <f>IFERROR(VLOOKUP(B248,'03. THIẾT BỊ'!$B$1:$S$836,16,0),"")</f>
        <v>0</v>
      </c>
      <c r="R248" s="25">
        <f>IFERROR(VLOOKUP(B248,'03. THIẾT BỊ'!$B$1:$S$836,17,0),"")</f>
        <v>0</v>
      </c>
      <c r="S248" s="25">
        <f>IFERROR(VLOOKUP(B248,'03. THIẾT BỊ'!$B$1:$S$836,18,0),"")</f>
        <v>0</v>
      </c>
      <c r="T248" s="41"/>
    </row>
    <row r="249" customHeight="1" spans="1:20">
      <c r="A249" s="19">
        <f t="shared" si="10"/>
        <v>14</v>
      </c>
      <c r="B249" s="20" t="s">
        <v>5444</v>
      </c>
      <c r="C249" s="613">
        <f>IFERROR(VLOOKUP(B249,'03. THIẾT BỊ'!$B$1:$S$836,2,0),"")</f>
        <v>0</v>
      </c>
      <c r="D249" s="24" t="str">
        <f>IFERROR(VLOOKUP(B249,'03. THIẾT BỊ'!$B$1:$S$836,3,0),"")</f>
        <v>A22-RPC-001</v>
      </c>
      <c r="E249" s="20" t="str">
        <f>IFERROR(VLOOKUP(B249,'03. THIẾT BỊ'!$B$1:$S$836,4,0),"")</f>
        <v>ĐQSD</v>
      </c>
      <c r="F249" s="20" t="str">
        <f>IFERROR(VLOOKUP(B249,'03. THIẾT BỊ'!$B$1:$S$836,5,0),"")</f>
        <v>Rải phân chuồng</v>
      </c>
      <c r="G249" s="101" t="s">
        <v>6468</v>
      </c>
      <c r="H249" s="19" t="str">
        <f>IFERROR(VLOOKUP(B249,'03. THIẾT BỊ'!$B$1:$S$836,7,0),"")</f>
        <v>XN Bò AD</v>
      </c>
      <c r="I249" s="610">
        <f>IFERROR(VLOOKUP(B249,'03. THIẾT BỊ'!$B$1:$S$836,8,0),"")</f>
        <v>0</v>
      </c>
      <c r="J249" s="25"/>
      <c r="K249" s="19" t="str">
        <f>IFERROR(VLOOKUP(B249,'03. THIẾT BỊ'!$B$1:$S$836,10,0),"")</f>
        <v>Bình thường</v>
      </c>
      <c r="L249" s="25">
        <f>IFERROR(VLOOKUP(B249,'03. THIẾT BỊ'!$B$1:$S$836,11,0),"")</f>
        <v>0</v>
      </c>
      <c r="M249" s="24">
        <f>IFERROR(VLOOKUP(B249,'03. THIẾT BỊ'!$B$1:$S$836,12,0),"")</f>
        <v>0</v>
      </c>
      <c r="N249" s="25" t="str">
        <f>IFERROR(VLOOKUP(B249,'03. THIẾT BỊ'!$B$1:$S$836,13,0),"")</f>
        <v>THACO AGRI</v>
      </c>
      <c r="O249" s="24">
        <f>IFERROR(VLOOKUP(B249,'03. THIẾT BỊ'!$B$1:$S$836,14,0),"")</f>
        <v>0</v>
      </c>
      <c r="P249" s="25" t="str">
        <f>IFERROR(VLOOKUP(B249,'03. THIẾT BỊ'!$B$1:$S$836,15,0),"")</f>
        <v>CK-CGH</v>
      </c>
      <c r="Q249" s="23">
        <f>IFERROR(VLOOKUP(B249,'03. THIẾT BỊ'!$B$1:$S$836,16,0),"")</f>
        <v>0</v>
      </c>
      <c r="R249" s="25">
        <f>IFERROR(VLOOKUP(B249,'03. THIẾT BỊ'!$B$1:$S$836,17,0),"")</f>
        <v>0</v>
      </c>
      <c r="S249" s="25">
        <f>IFERROR(VLOOKUP(B249,'03. THIẾT BỊ'!$B$1:$S$836,18,0),"")</f>
        <v>0</v>
      </c>
      <c r="T249" s="41"/>
    </row>
    <row r="250" ht="13.8" spans="1:20">
      <c r="A250" s="19">
        <f t="shared" si="10"/>
        <v>15</v>
      </c>
      <c r="B250" s="20" t="s">
        <v>5655</v>
      </c>
      <c r="C250" s="613">
        <f>IFERROR(VLOOKUP(B250,'03. THIẾT BỊ'!$B$1:$S$836,2,0),"")</f>
        <v>0</v>
      </c>
      <c r="D250" s="24" t="str">
        <f>IFERROR(VLOOKUP(B250,'03. THIẾT BỊ'!$B$1:$S$836,3,0),"")</f>
        <v>A22-RP4-001</v>
      </c>
      <c r="E250" s="20" t="str">
        <f>IFERROR(VLOOKUP(B250,'03. THIẾT BỊ'!$B$1:$S$836,4,0),"")</f>
        <v>ĐQSD</v>
      </c>
      <c r="F250" s="20" t="str">
        <f>IFERROR(VLOOKUP(B250,'03. THIẾT BỊ'!$B$1:$S$836,5,0),"")</f>
        <v>Thiết bị rải phân hữu cơ 4 hàng</v>
      </c>
      <c r="G250" s="101" t="s">
        <v>6468</v>
      </c>
      <c r="H250" s="19" t="str">
        <f>IFERROR(VLOOKUP(B250,'03. THIẾT BỊ'!$B$1:$S$836,7,0),"")</f>
        <v>XN Bò AD</v>
      </c>
      <c r="I250" s="610">
        <f>IFERROR(VLOOKUP(B250,'03. THIẾT BỊ'!$B$1:$S$836,8,0),"")</f>
        <v>45814</v>
      </c>
      <c r="J250" s="25"/>
      <c r="K250" s="19" t="str">
        <f>IFERROR(VLOOKUP(B250,'03. THIẾT BỊ'!$B$1:$S$836,10,0),"")</f>
        <v>Bình thường</v>
      </c>
      <c r="L250" s="25">
        <f>IFERROR(VLOOKUP(B250,'03. THIẾT BỊ'!$B$1:$S$836,11,0),"")</f>
        <v>0</v>
      </c>
      <c r="M250" s="24" t="str">
        <f>IFERROR(VLOOKUP(B250,'03. THIẾT BỊ'!$B$1:$S$836,12,0),"")</f>
        <v>Đ.chuyen từ Eahleo sang KM</v>
      </c>
      <c r="N250" s="25" t="str">
        <f>IFERROR(VLOOKUP(B250,'03. THIẾT BỊ'!$B$1:$S$836,13,0),"")</f>
        <v>THÀNH ĐẠT</v>
      </c>
      <c r="O250" s="24" t="str">
        <f>IFERROR(VLOOKUP(B250,'03. THIẾT BỊ'!$B$1:$S$836,14,0),"")</f>
        <v>4 HÀNG</v>
      </c>
      <c r="P250" s="25" t="str">
        <f>IFERROR(VLOOKUP(B250,'03. THIẾT BỊ'!$B$1:$S$836,15,0),"")</f>
        <v>VIỆ̣T NAM</v>
      </c>
      <c r="Q250" s="23">
        <f>IFERROR(VLOOKUP(B250,'03. THIẾT BỊ'!$B$1:$S$836,16,0),"")</f>
        <v>2024</v>
      </c>
      <c r="R250" s="25">
        <f>IFERROR(VLOOKUP(B250,'03. THIẾT BỊ'!$B$1:$S$836,17,0),"")</f>
        <v>0</v>
      </c>
      <c r="S250" s="25" t="str">
        <f>IFERROR(VLOOKUP(B250,'03. THIẾT BỊ'!$B$1:$S$836,18,0),"")</f>
        <v>RP4-01</v>
      </c>
      <c r="T250" s="41"/>
    </row>
    <row r="251" ht="13.8" spans="1:20">
      <c r="A251" s="19">
        <f t="shared" si="10"/>
        <v>16</v>
      </c>
      <c r="B251" s="20" t="s">
        <v>5662</v>
      </c>
      <c r="C251" s="613">
        <f>IFERROR(VLOOKUP(B251,'03. THIẾT BỊ'!$B$1:$S$836,2,0),"")</f>
        <v>0</v>
      </c>
      <c r="D251" s="24" t="str">
        <f>IFERROR(VLOOKUP(B251,'03. THIẾT BỊ'!$B$1:$S$836,3,0),"")</f>
        <v>A22-RP4-002</v>
      </c>
      <c r="E251" s="20" t="str">
        <f>IFERROR(VLOOKUP(B251,'03. THIẾT BỊ'!$B$1:$S$836,4,0),"")</f>
        <v>ĐQSD</v>
      </c>
      <c r="F251" s="20" t="str">
        <f>IFERROR(VLOOKUP(B251,'03. THIẾT BỊ'!$B$1:$S$836,5,0),"")</f>
        <v>Thiết bị rải phân hữu cơ 4 hàng</v>
      </c>
      <c r="G251" s="101" t="s">
        <v>6468</v>
      </c>
      <c r="H251" s="19" t="str">
        <f>IFERROR(VLOOKUP(B251,'03. THIẾT BỊ'!$B$1:$S$836,7,0),"")</f>
        <v>XN Bò AD</v>
      </c>
      <c r="I251" s="610">
        <f>IFERROR(VLOOKUP(B251,'03. THIẾT BỊ'!$B$1:$S$836,8,0),"")</f>
        <v>45814</v>
      </c>
      <c r="J251" s="25"/>
      <c r="K251" s="19" t="str">
        <f>IFERROR(VLOOKUP(B251,'03. THIẾT BỊ'!$B$1:$S$836,10,0),"")</f>
        <v>Bình thường</v>
      </c>
      <c r="L251" s="25">
        <f>IFERROR(VLOOKUP(B251,'03. THIẾT BỊ'!$B$1:$S$836,11,0),"")</f>
        <v>0</v>
      </c>
      <c r="M251" s="24" t="str">
        <f>IFERROR(VLOOKUP(B251,'03. THIẾT BỊ'!$B$1:$S$836,12,0),"")</f>
        <v>Đ.chuyen từ Eahleo sang KM</v>
      </c>
      <c r="N251" s="25" t="str">
        <f>IFERROR(VLOOKUP(B251,'03. THIẾT BỊ'!$B$1:$S$836,13,0),"")</f>
        <v>THÀNH ĐẠT</v>
      </c>
      <c r="O251" s="24" t="str">
        <f>IFERROR(VLOOKUP(B251,'03. THIẾT BỊ'!$B$1:$S$836,14,0),"")</f>
        <v>4 HÀNG</v>
      </c>
      <c r="P251" s="25" t="str">
        <f>IFERROR(VLOOKUP(B251,'03. THIẾT BỊ'!$B$1:$S$836,15,0),"")</f>
        <v>VIỆ̣T NAM</v>
      </c>
      <c r="Q251" s="23">
        <f>IFERROR(VLOOKUP(B251,'03. THIẾT BỊ'!$B$1:$S$836,16,0),"")</f>
        <v>2024</v>
      </c>
      <c r="R251" s="25">
        <f>IFERROR(VLOOKUP(B251,'03. THIẾT BỊ'!$B$1:$S$836,17,0),"")</f>
        <v>0</v>
      </c>
      <c r="S251" s="25" t="str">
        <f>IFERROR(VLOOKUP(B251,'03. THIẾT BỊ'!$B$1:$S$836,18,0),"")</f>
        <v>RP4-02</v>
      </c>
      <c r="T251" s="41"/>
    </row>
    <row r="252" ht="13.8" spans="1:20">
      <c r="A252" s="19">
        <f t="shared" si="10"/>
        <v>17</v>
      </c>
      <c r="B252" s="20" t="s">
        <v>5726</v>
      </c>
      <c r="C252" s="613">
        <f>IFERROR(VLOOKUP(B252,'03. THIẾT BỊ'!$B$1:$S$836,2,0),"")</f>
        <v>0</v>
      </c>
      <c r="D252" s="24" t="str">
        <f>IFERROR(VLOOKUP(B252,'03. THIẾT BỊ'!$B$1:$S$836,3,0),"")</f>
        <v>A22-RBP-001</v>
      </c>
      <c r="E252" s="20" t="str">
        <f>IFERROR(VLOOKUP(B252,'03. THIẾT BỊ'!$B$1:$S$836,4,0),"")</f>
        <v>MUA MỚI</v>
      </c>
      <c r="F252" s="20" t="str">
        <f>IFERROR(VLOOKUP(B252,'03. THIẾT BỊ'!$B$1:$S$836,5,0),"")</f>
        <v>Thiết bị rạch hàng bón phân vô cơ (6 hàng)</v>
      </c>
      <c r="G252" s="101" t="s">
        <v>6468</v>
      </c>
      <c r="H252" s="19" t="str">
        <f>IFERROR(VLOOKUP(B252,'03. THIẾT BỊ'!$B$1:$S$836,7,0),"")</f>
        <v>XN Bò AD</v>
      </c>
      <c r="I252" s="610" t="str">
        <f>IFERROR(VLOOKUP(B252,'03. THIẾT BỊ'!$B$1:$S$836,8,0),"")</f>
        <v>15/09/2025</v>
      </c>
      <c r="J252" s="25"/>
      <c r="K252" s="19" t="str">
        <f>IFERROR(VLOOKUP(B252,'03. THIẾT BỊ'!$B$1:$S$836,10,0),"")</f>
        <v>Bình thường</v>
      </c>
      <c r="L252" s="25">
        <f>IFERROR(VLOOKUP(B252,'03. THIẾT BỊ'!$B$1:$S$836,11,0),"")</f>
        <v>0</v>
      </c>
      <c r="M252" s="24" t="str">
        <f>IFERROR(VLOOKUP(B252,'03. THIẾT BỊ'!$B$1:$S$836,12,0),"")</f>
        <v>Đầu tư mới</v>
      </c>
      <c r="N252" s="25" t="str">
        <f>IFERROR(VLOOKUP(B252,'03. THIẾT BỊ'!$B$1:$S$836,13,0),"")</f>
        <v>THACO INDUSTRIES</v>
      </c>
      <c r="O252" s="24">
        <f>IFERROR(VLOOKUP(B252,'03. THIẾT BỊ'!$B$1:$S$836,14,0),"")</f>
        <v>0</v>
      </c>
      <c r="P252" s="25" t="str">
        <f>IFERROR(VLOOKUP(B252,'03. THIẾT BỊ'!$B$1:$S$836,15,0),"")</f>
        <v>CHU LAI</v>
      </c>
      <c r="Q252" s="23">
        <f>IFERROR(VLOOKUP(B252,'03. THIẾT BỊ'!$B$1:$S$836,16,0),"")</f>
        <v>2025</v>
      </c>
      <c r="R252" s="25">
        <f>IFERROR(VLOOKUP(B252,'03. THIẾT BỊ'!$B$1:$S$836,17,0),"")</f>
        <v>0</v>
      </c>
      <c r="S252" s="25">
        <f>IFERROR(VLOOKUP(B252,'03. THIẾT BỊ'!$B$1:$S$836,18,0),"")</f>
        <v>0</v>
      </c>
      <c r="T252" s="41"/>
    </row>
    <row r="253" ht="13.8" spans="1:20">
      <c r="A253" s="19">
        <f t="shared" si="10"/>
        <v>18</v>
      </c>
      <c r="B253" s="20" t="s">
        <v>5728</v>
      </c>
      <c r="C253" s="613">
        <f>IFERROR(VLOOKUP(B253,'03. THIẾT BỊ'!$B$1:$S$836,2,0),"")</f>
        <v>0</v>
      </c>
      <c r="D253" s="24" t="str">
        <f>IFERROR(VLOOKUP(B253,'03. THIẾT BỊ'!$B$1:$S$836,3,0),"")</f>
        <v>A22-RBP-002</v>
      </c>
      <c r="E253" s="20" t="str">
        <f>IFERROR(VLOOKUP(B253,'03. THIẾT BỊ'!$B$1:$S$836,4,0),"")</f>
        <v>MUA MỚI</v>
      </c>
      <c r="F253" s="20" t="str">
        <f>IFERROR(VLOOKUP(B253,'03. THIẾT BỊ'!$B$1:$S$836,5,0),"")</f>
        <v>Thiết bị rạch hàng bón phân vô cơ (6 hàng)</v>
      </c>
      <c r="G253" s="101" t="s">
        <v>6468</v>
      </c>
      <c r="H253" s="19" t="str">
        <f>IFERROR(VLOOKUP(B253,'03. THIẾT BỊ'!$B$1:$S$836,7,0),"")</f>
        <v>XN Bò AD</v>
      </c>
      <c r="I253" s="610" t="str">
        <f>IFERROR(VLOOKUP(B253,'03. THIẾT BỊ'!$B$1:$S$836,8,0),"")</f>
        <v>15/09/2025</v>
      </c>
      <c r="J253" s="25"/>
      <c r="K253" s="19" t="str">
        <f>IFERROR(VLOOKUP(B253,'03. THIẾT BỊ'!$B$1:$S$836,10,0),"")</f>
        <v>Bình thường</v>
      </c>
      <c r="L253" s="25">
        <f>IFERROR(VLOOKUP(B253,'03. THIẾT BỊ'!$B$1:$S$836,11,0),"")</f>
        <v>0</v>
      </c>
      <c r="M253" s="24" t="str">
        <f>IFERROR(VLOOKUP(B253,'03. THIẾT BỊ'!$B$1:$S$836,12,0),"")</f>
        <v>Đầu tư mới</v>
      </c>
      <c r="N253" s="25" t="str">
        <f>IFERROR(VLOOKUP(B253,'03. THIẾT BỊ'!$B$1:$S$836,13,0),"")</f>
        <v>THACO INDUSTRIES</v>
      </c>
      <c r="O253" s="24">
        <f>IFERROR(VLOOKUP(B253,'03. THIẾT BỊ'!$B$1:$S$836,14,0),"")</f>
        <v>0</v>
      </c>
      <c r="P253" s="25" t="str">
        <f>IFERROR(VLOOKUP(B253,'03. THIẾT BỊ'!$B$1:$S$836,15,0),"")</f>
        <v>CHU LAI</v>
      </c>
      <c r="Q253" s="23">
        <f>IFERROR(VLOOKUP(B253,'03. THIẾT BỊ'!$B$1:$S$836,16,0),"")</f>
        <v>2025</v>
      </c>
      <c r="R253" s="25">
        <f>IFERROR(VLOOKUP(B253,'03. THIẾT BỊ'!$B$1:$S$836,17,0),"")</f>
        <v>0</v>
      </c>
      <c r="S253" s="25">
        <f>IFERROR(VLOOKUP(B253,'03. THIẾT BỊ'!$B$1:$S$836,18,0),"")</f>
        <v>0</v>
      </c>
      <c r="T253" s="41"/>
    </row>
    <row r="254" ht="13.8" spans="1:20">
      <c r="A254" s="19">
        <f t="shared" si="10"/>
        <v>19</v>
      </c>
      <c r="B254" s="20"/>
      <c r="C254" s="613" t="str">
        <f>IFERROR(VLOOKUP(B254,'03. THIẾT BỊ'!$B$1:$S$836,2,0),"")</f>
        <v/>
      </c>
      <c r="D254" s="24" t="str">
        <f>IFERROR(VLOOKUP(B254,'03. THIẾT BỊ'!$B$1:$S$836,3,0),"")</f>
        <v/>
      </c>
      <c r="E254" s="20" t="str">
        <f>IFERROR(VLOOKUP(B254,'03. THIẾT BỊ'!$B$1:$S$836,4,0),"")</f>
        <v/>
      </c>
      <c r="F254" s="20" t="str">
        <f>IFERROR(VLOOKUP(B254,'03. THIẾT BỊ'!$B$1:$S$836,5,0),"")</f>
        <v/>
      </c>
      <c r="G254" s="101" t="s">
        <v>6468</v>
      </c>
      <c r="H254" s="19" t="str">
        <f>IFERROR(VLOOKUP(B254,'03. THIẾT BỊ'!$B$1:$S$836,7,0),"")</f>
        <v/>
      </c>
      <c r="I254" s="610" t="str">
        <f>IFERROR(VLOOKUP(B254,'03. THIẾT BỊ'!$B$1:$S$836,8,0),"")</f>
        <v/>
      </c>
      <c r="J254" s="25"/>
      <c r="K254" s="19" t="str">
        <f>IFERROR(VLOOKUP(B254,'03. THIẾT BỊ'!$B$1:$S$836,10,0),"")</f>
        <v/>
      </c>
      <c r="L254" s="25" t="str">
        <f>IFERROR(VLOOKUP(B254,'03. THIẾT BỊ'!$B$1:$S$836,11,0),"")</f>
        <v/>
      </c>
      <c r="M254" s="24" t="str">
        <f>IFERROR(VLOOKUP(B254,'03. THIẾT BỊ'!$B$1:$S$836,12,0),"")</f>
        <v/>
      </c>
      <c r="N254" s="25" t="str">
        <f>IFERROR(VLOOKUP(B254,'03. THIẾT BỊ'!$B$1:$S$836,13,0),"")</f>
        <v/>
      </c>
      <c r="O254" s="24" t="str">
        <f>IFERROR(VLOOKUP(B254,'03. THIẾT BỊ'!$B$1:$S$836,14,0),"")</f>
        <v/>
      </c>
      <c r="P254" s="25" t="str">
        <f>IFERROR(VLOOKUP(B254,'03. THIẾT BỊ'!$B$1:$S$836,15,0),"")</f>
        <v/>
      </c>
      <c r="Q254" s="23" t="str">
        <f>IFERROR(VLOOKUP(B254,'03. THIẾT BỊ'!$B$1:$S$836,16,0),"")</f>
        <v/>
      </c>
      <c r="R254" s="25" t="str">
        <f>IFERROR(VLOOKUP(B254,'03. THIẾT BỊ'!$B$1:$S$836,17,0),"")</f>
        <v/>
      </c>
      <c r="S254" s="25" t="str">
        <f>IFERROR(VLOOKUP(B254,'03. THIẾT BỊ'!$B$1:$S$836,18,0),"")</f>
        <v/>
      </c>
      <c r="T254" s="41"/>
    </row>
    <row r="255" ht="13.8" spans="1:20">
      <c r="A255" s="19"/>
      <c r="B255" s="20"/>
      <c r="C255" s="613" t="str">
        <f>IFERROR(VLOOKUP(B255,'03. THIẾT BỊ'!$B$1:$S$836,2,0),"")</f>
        <v/>
      </c>
      <c r="D255" s="24" t="str">
        <f>IFERROR(VLOOKUP(B255,'03. THIẾT BỊ'!$B$1:$S$836,3,0),"")</f>
        <v/>
      </c>
      <c r="E255" s="20" t="str">
        <f>IFERROR(VLOOKUP(B255,'03. THIẾT BỊ'!$B$1:$S$836,4,0),"")</f>
        <v/>
      </c>
      <c r="F255" s="20" t="str">
        <f>IFERROR(VLOOKUP(B255,'03. THIẾT BỊ'!$B$1:$S$836,5,0),"")</f>
        <v/>
      </c>
      <c r="G255" s="101" t="s">
        <v>6468</v>
      </c>
      <c r="H255" s="19" t="str">
        <f>IFERROR(VLOOKUP(B255,'03. THIẾT BỊ'!$B$1:$S$836,7,0),"")</f>
        <v/>
      </c>
      <c r="I255" s="610" t="str">
        <f>IFERROR(VLOOKUP(B255,'03. THIẾT BỊ'!$B$1:$S$836,8,0),"")</f>
        <v/>
      </c>
      <c r="J255" s="25"/>
      <c r="K255" s="19" t="str">
        <f>IFERROR(VLOOKUP(B255,'03. THIẾT BỊ'!$B$1:$S$836,10,0),"")</f>
        <v/>
      </c>
      <c r="L255" s="25" t="str">
        <f>IFERROR(VLOOKUP(B255,'03. THIẾT BỊ'!$B$1:$S$836,11,0),"")</f>
        <v/>
      </c>
      <c r="M255" s="24" t="str">
        <f>IFERROR(VLOOKUP(B255,'03. THIẾT BỊ'!$B$1:$S$836,12,0),"")</f>
        <v/>
      </c>
      <c r="N255" s="25" t="str">
        <f>IFERROR(VLOOKUP(B255,'03. THIẾT BỊ'!$B$1:$S$836,13,0),"")</f>
        <v/>
      </c>
      <c r="O255" s="24" t="str">
        <f>IFERROR(VLOOKUP(B255,'03. THIẾT BỊ'!$B$1:$S$836,14,0),"")</f>
        <v/>
      </c>
      <c r="P255" s="25" t="str">
        <f>IFERROR(VLOOKUP(B255,'03. THIẾT BỊ'!$B$1:$S$836,15,0),"")</f>
        <v/>
      </c>
      <c r="Q255" s="23" t="str">
        <f>IFERROR(VLOOKUP(B255,'03. THIẾT BỊ'!$B$1:$S$836,16,0),"")</f>
        <v/>
      </c>
      <c r="R255" s="25" t="str">
        <f>IFERROR(VLOOKUP(B255,'03. THIẾT BỊ'!$B$1:$S$836,17,0),"")</f>
        <v/>
      </c>
      <c r="S255" s="25" t="str">
        <f>IFERROR(VLOOKUP(B255,'03. THIẾT BỊ'!$B$1:$S$836,18,0),"")</f>
        <v/>
      </c>
    </row>
    <row r="256" customHeight="1" spans="1:20">
      <c r="A256" s="14" t="s">
        <v>290</v>
      </c>
      <c r="B256" s="15" t="s">
        <v>6483</v>
      </c>
      <c r="C256" s="14">
        <f>COUNTA(B257:B262)</f>
        <v>5</v>
      </c>
      <c r="D256" s="17" t="str">
        <f>IFERROR(VLOOKUP(B256,'03. THIẾT BỊ'!$B$1:$S$836,3,0),"")</f>
        <v/>
      </c>
      <c r="E256" s="20" t="str">
        <f>IFERROR(VLOOKUP(B256,'03. THIẾT BỊ'!$B$1:$S$836,4,0),"")</f>
        <v/>
      </c>
      <c r="F256" s="17" t="str">
        <f>IFERROR(VLOOKUP(B256,'03. THIẾT BỊ'!$B$1:$S$836,5,0),"")</f>
        <v/>
      </c>
      <c r="G256" s="18" t="s">
        <v>6468</v>
      </c>
      <c r="H256" s="18" t="str">
        <f>IFERROR(VLOOKUP(B256,'03. THIẾT BỊ'!$B$1:$S$836,7,0),"")</f>
        <v/>
      </c>
      <c r="I256" s="14" t="str">
        <f>IFERROR(VLOOKUP(B256,'03. THIẾT BỊ'!$B$1:$S$836,8,0),"")</f>
        <v/>
      </c>
      <c r="J256" s="15"/>
      <c r="K256" s="14" t="str">
        <f>IFERROR(VLOOKUP(B256,'03. THIẾT BỊ'!$B$1:$S$836,10,0),"")</f>
        <v/>
      </c>
      <c r="L256" s="17" t="str">
        <f>IFERROR(VLOOKUP(B256,'03. THIẾT BỊ'!$B$1:$S$836,11,0),"")</f>
        <v/>
      </c>
      <c r="M256" s="16" t="str">
        <f>IFERROR(VLOOKUP(B256,'03. THIẾT BỊ'!$B$1:$S$836,12,0),"")</f>
        <v/>
      </c>
      <c r="N256" s="17" t="str">
        <f>IFERROR(VLOOKUP(B256,'03. THIẾT BỊ'!$B$1:$S$836,13,0),"")</f>
        <v/>
      </c>
      <c r="O256" s="16" t="str">
        <f>IFERROR(VLOOKUP(B256,'03. THIẾT BỊ'!$B$1:$S$836,14,0),"")</f>
        <v/>
      </c>
      <c r="P256" s="17" t="str">
        <f>IFERROR(VLOOKUP(B256,'03. THIẾT BỊ'!$B$1:$S$836,15,0),"")</f>
        <v/>
      </c>
      <c r="Q256" s="18" t="str">
        <f>IFERROR(VLOOKUP(B256,'03. THIẾT BỊ'!$B$1:$S$836,16,0),"")</f>
        <v/>
      </c>
      <c r="R256" s="17" t="str">
        <f>IFERROR(VLOOKUP(B256,'03. THIẾT BỊ'!$B$1:$S$836,17,0),"")</f>
        <v/>
      </c>
      <c r="S256" s="17" t="str">
        <f>IFERROR(VLOOKUP(B256,'03. THIẾT BỊ'!$B$1:$S$836,18,0),"")</f>
        <v/>
      </c>
      <c r="T256" s="609"/>
    </row>
    <row r="257" customHeight="1" spans="1:20">
      <c r="A257" s="19">
        <v>1</v>
      </c>
      <c r="B257" s="20" t="s">
        <v>3982</v>
      </c>
      <c r="C257" s="613">
        <f>IFERROR(VLOOKUP(B257,'03. THIẾT BỊ'!$B$1:$S$836,2,0),"")</f>
        <v>0</v>
      </c>
      <c r="D257" s="24" t="str">
        <f>IFERROR(VLOOKUP(B257,'03. THIẾT BỊ'!$B$1:$S$836,3,0),"")</f>
        <v>A23-BLT-001</v>
      </c>
      <c r="E257" s="20" t="str">
        <f>IFERROR(VLOOKUP(B257,'03. THIẾT BỊ'!$B$1:$S$836,4,0),"")</f>
        <v>ĐQSD</v>
      </c>
      <c r="F257" s="20" t="str">
        <f>IFERROR(VLOOKUP(B257,'03. THIẾT BỊ'!$B$1:$S$836,5,0),"")</f>
        <v>Bộ bánh lồng thép</v>
      </c>
      <c r="G257" s="101" t="s">
        <v>6468</v>
      </c>
      <c r="H257" s="19" t="str">
        <f>IFERROR(VLOOKUP(B257,'03. THIẾT BỊ'!$B$1:$S$836,7,0),"")</f>
        <v>CGLĐ DP</v>
      </c>
      <c r="I257" s="610">
        <f>IFERROR(VLOOKUP(B257,'03. THIẾT BỊ'!$B$1:$S$836,8,0),"")</f>
        <v>45419</v>
      </c>
      <c r="J257" s="25"/>
      <c r="K257" s="19" t="str">
        <f>IFERROR(VLOOKUP(B257,'03. THIẾT BỊ'!$B$1:$S$836,10,0),"")</f>
        <v>Bình thường</v>
      </c>
      <c r="L257" s="25" t="str">
        <f>IFERROR(VLOOKUP(B257,'03. THIẾT BỊ'!$B$1:$S$836,11,0),"")</f>
        <v>Cơ khí KLH gia công mới</v>
      </c>
      <c r="M257" s="24">
        <f>IFERROR(VLOOKUP(B257,'03. THIẾT BỊ'!$B$1:$S$836,12,0),"")</f>
        <v>0</v>
      </c>
      <c r="N257" s="25" t="str">
        <f>IFERROR(VLOOKUP(B257,'03. THIẾT BỊ'!$B$1:$S$836,13,0),"")</f>
        <v>THACO AGRI</v>
      </c>
      <c r="O257" s="24" t="str">
        <f>IFERROR(VLOOKUP(B257,'03. THIẾT BỊ'!$B$1:$S$836,14,0),"")</f>
        <v>JDR100-D160</v>
      </c>
      <c r="P257" s="25" t="str">
        <f>IFERROR(VLOOKUP(B257,'03. THIẾT BỊ'!$B$1:$S$836,15,0),"")</f>
        <v>CK-CGH</v>
      </c>
      <c r="Q257" s="23">
        <f>IFERROR(VLOOKUP(B257,'03. THIẾT BỊ'!$B$1:$S$836,16,0),"")</f>
        <v>2024</v>
      </c>
      <c r="R257" s="25" t="str">
        <f>IFERROR(VLOOKUP(B257,'03. THIẾT BỊ'!$B$1:$S$836,17,0),"")</f>
        <v>Đường kính 1.59xRộng 1.3m/cái</v>
      </c>
      <c r="S257" s="25">
        <f>IFERROR(VLOOKUP(B257,'03. THIẾT BỊ'!$B$1:$S$836,18,0),"")</f>
        <v>0</v>
      </c>
      <c r="T257" s="41"/>
    </row>
    <row r="258" customHeight="1" spans="1:20">
      <c r="A258" s="19">
        <f t="shared" ref="A258:A261" si="11">A257+1</f>
        <v>2</v>
      </c>
      <c r="B258" s="20" t="s">
        <v>3987</v>
      </c>
      <c r="C258" s="613">
        <f>IFERROR(VLOOKUP(B258,'03. THIẾT BỊ'!$B$1:$S$836,2,0),"")</f>
        <v>0</v>
      </c>
      <c r="D258" s="24" t="str">
        <f>IFERROR(VLOOKUP(B258,'03. THIẾT BỊ'!$B$1:$S$836,3,0),"")</f>
        <v>A23-BLT-004</v>
      </c>
      <c r="E258" s="20" t="str">
        <f>IFERROR(VLOOKUP(B258,'03. THIẾT BỊ'!$B$1:$S$836,4,0),"")</f>
        <v>ĐQSD</v>
      </c>
      <c r="F258" s="20" t="str">
        <f>IFERROR(VLOOKUP(B258,'03. THIẾT BỊ'!$B$1:$S$836,5,0),"")</f>
        <v>Bộ bánh lồng thép</v>
      </c>
      <c r="G258" s="101" t="s">
        <v>6468</v>
      </c>
      <c r="H258" s="19" t="str">
        <f>IFERROR(VLOOKUP(B258,'03. THIẾT BỊ'!$B$1:$S$836,7,0),"")</f>
        <v>CGLĐ DP</v>
      </c>
      <c r="I258" s="610" t="str">
        <f>IFERROR(VLOOKUP(B258,'03. THIẾT BỊ'!$B$1:$S$836,8,0),"")</f>
        <v>19/07/2024</v>
      </c>
      <c r="J258" s="25"/>
      <c r="K258" s="19" t="str">
        <f>IFERROR(VLOOKUP(B258,'03. THIẾT BỊ'!$B$1:$S$836,10,0),"")</f>
        <v>Bình thường</v>
      </c>
      <c r="L258" s="25" t="str">
        <f>IFERROR(VLOOKUP(B258,'03. THIẾT BỊ'!$B$1:$S$836,11,0),"")</f>
        <v>Cơ khí KLH gia công mới</v>
      </c>
      <c r="M258" s="24">
        <f>IFERROR(VLOOKUP(B258,'03. THIẾT BỊ'!$B$1:$S$836,12,0),"")</f>
        <v>0</v>
      </c>
      <c r="N258" s="25" t="str">
        <f>IFERROR(VLOOKUP(B258,'03. THIẾT BỊ'!$B$1:$S$836,13,0),"")</f>
        <v>THACO AGRI</v>
      </c>
      <c r="O258" s="24" t="str">
        <f>IFERROR(VLOOKUP(B258,'03. THIẾT BỊ'!$B$1:$S$836,14,0),"")</f>
        <v>FDR100-D150</v>
      </c>
      <c r="P258" s="25" t="str">
        <f>IFERROR(VLOOKUP(B258,'03. THIẾT BỊ'!$B$1:$S$836,15,0),"")</f>
        <v>CK-CGH</v>
      </c>
      <c r="Q258" s="23">
        <f>IFERROR(VLOOKUP(B258,'03. THIẾT BỊ'!$B$1:$S$836,16,0),"")</f>
        <v>2024</v>
      </c>
      <c r="R258" s="25" t="str">
        <f>IFERROR(VLOOKUP(B258,'03. THIẾT BỊ'!$B$1:$S$836,17,0),"")</f>
        <v>ĐK: 1.49m x Rộng 1.1m/cái</v>
      </c>
      <c r="S258" s="25">
        <f>IFERROR(VLOOKUP(B258,'03. THIẾT BỊ'!$B$1:$S$836,18,0),"")</f>
        <v>0</v>
      </c>
      <c r="T258" s="41"/>
    </row>
    <row r="259" customHeight="1" spans="1:20">
      <c r="A259" s="19">
        <f t="shared" si="11"/>
        <v>3</v>
      </c>
      <c r="B259" s="20" t="s">
        <v>4126</v>
      </c>
      <c r="C259" s="613">
        <f>IFERROR(VLOOKUP(B259,'03. THIẾT BỊ'!$B$1:$S$836,2,0),"")</f>
        <v>0</v>
      </c>
      <c r="D259" s="24" t="str">
        <f>IFERROR(VLOOKUP(B259,'03. THIẾT BỊ'!$B$1:$S$836,3,0),"")</f>
        <v>A24-BLT-002</v>
      </c>
      <c r="E259" s="20" t="str">
        <f>IFERROR(VLOOKUP(B259,'03. THIẾT BỊ'!$B$1:$S$836,4,0),"")</f>
        <v>ĐQSD</v>
      </c>
      <c r="F259" s="20" t="str">
        <f>IFERROR(VLOOKUP(B259,'03. THIẾT BỊ'!$B$1:$S$836,5,0),"")</f>
        <v>Bộ bánh lồng thép</v>
      </c>
      <c r="G259" s="101" t="s">
        <v>6468</v>
      </c>
      <c r="H259" s="19" t="str">
        <f>IFERROR(VLOOKUP(B259,'03. THIẾT BỊ'!$B$1:$S$836,7,0),"")</f>
        <v>CGLĐ LP</v>
      </c>
      <c r="I259" s="610">
        <f>IFERROR(VLOOKUP(B259,'03. THIẾT BỊ'!$B$1:$S$836,8,0),"")</f>
        <v>45633</v>
      </c>
      <c r="J259" s="25"/>
      <c r="K259" s="19" t="str">
        <f>IFERROR(VLOOKUP(B259,'03. THIẾT BỊ'!$B$1:$S$836,10,0),"")</f>
        <v>Bình thường</v>
      </c>
      <c r="L259" s="25" t="str">
        <f>IFERROR(VLOOKUP(B259,'03. THIẾT BỊ'!$B$1:$S$836,11,0),"")</f>
        <v>Cơ khí KLH gia công mới</v>
      </c>
      <c r="M259" s="24">
        <f>IFERROR(VLOOKUP(B259,'03. THIẾT BỊ'!$B$1:$S$836,12,0),"")</f>
        <v>0</v>
      </c>
      <c r="N259" s="25" t="str">
        <f>IFERROR(VLOOKUP(B259,'03. THIẾT BỊ'!$B$1:$S$836,13,0),"")</f>
        <v>THACO AGRI</v>
      </c>
      <c r="O259" s="24" t="str">
        <f>IFERROR(VLOOKUP(B259,'03. THIẾT BỊ'!$B$1:$S$836,14,0),"")</f>
        <v>JDR100-D150</v>
      </c>
      <c r="P259" s="25" t="str">
        <f>IFERROR(VLOOKUP(B259,'03. THIẾT BỊ'!$B$1:$S$836,15,0),"")</f>
        <v>CK-CGH</v>
      </c>
      <c r="Q259" s="23">
        <f>IFERROR(VLOOKUP(B259,'03. THIẾT BỊ'!$B$1:$S$836,16,0),"")</f>
        <v>2024</v>
      </c>
      <c r="R259" s="25" t="str">
        <f>IFERROR(VLOOKUP(B259,'03. THIẾT BỊ'!$B$1:$S$836,17,0),"")</f>
        <v>Đường kính 1.49xRộng 1.3m/cái</v>
      </c>
      <c r="S259" s="25">
        <f>IFERROR(VLOOKUP(B259,'03. THIẾT BỊ'!$B$1:$S$836,18,0),"")</f>
        <v>0</v>
      </c>
      <c r="T259" s="41"/>
    </row>
    <row r="260" customHeight="1" spans="1:20">
      <c r="A260" s="19">
        <f t="shared" si="11"/>
        <v>4</v>
      </c>
      <c r="B260" s="20" t="s">
        <v>4130</v>
      </c>
      <c r="C260" s="613">
        <f>IFERROR(VLOOKUP(B260,'03. THIẾT BỊ'!$B$1:$S$836,2,0),"")</f>
        <v>0</v>
      </c>
      <c r="D260" s="24" t="str">
        <f>IFERROR(VLOOKUP(B260,'03. THIẾT BỊ'!$B$1:$S$836,3,0),"")</f>
        <v>A24-BLT-001</v>
      </c>
      <c r="E260" s="20" t="str">
        <f>IFERROR(VLOOKUP(B260,'03. THIẾT BỊ'!$B$1:$S$836,4,0),"")</f>
        <v>ĐQSD</v>
      </c>
      <c r="F260" s="20" t="str">
        <f>IFERROR(VLOOKUP(B260,'03. THIẾT BỊ'!$B$1:$S$836,5,0),"")</f>
        <v>Bộ bánh lồng thép</v>
      </c>
      <c r="G260" s="101" t="s">
        <v>6468</v>
      </c>
      <c r="H260" s="19" t="str">
        <f>IFERROR(VLOOKUP(B260,'03. THIẾT BỊ'!$B$1:$S$836,7,0),"")</f>
        <v>CGLĐ LP</v>
      </c>
      <c r="I260" s="610" t="str">
        <f>IFERROR(VLOOKUP(B260,'03. THIẾT BỊ'!$B$1:$S$836,8,0),"")</f>
        <v>25/07/2024</v>
      </c>
      <c r="J260" s="25"/>
      <c r="K260" s="19" t="str">
        <f>IFERROR(VLOOKUP(B260,'03. THIẾT BỊ'!$B$1:$S$836,10,0),"")</f>
        <v>Bình thường</v>
      </c>
      <c r="L260" s="25" t="str">
        <f>IFERROR(VLOOKUP(B260,'03. THIẾT BỊ'!$B$1:$S$836,11,0),"")</f>
        <v>Cơ khí KLH gia công mới</v>
      </c>
      <c r="M260" s="24">
        <f>IFERROR(VLOOKUP(B260,'03. THIẾT BỊ'!$B$1:$S$836,12,0),"")</f>
        <v>0</v>
      </c>
      <c r="N260" s="25" t="str">
        <f>IFERROR(VLOOKUP(B260,'03. THIẾT BỊ'!$B$1:$S$836,13,0),"")</f>
        <v>THACO AGRI</v>
      </c>
      <c r="O260" s="24" t="str">
        <f>IFERROR(VLOOKUP(B260,'03. THIẾT BỊ'!$B$1:$S$836,14,0),"")</f>
        <v>FDR100-D150</v>
      </c>
      <c r="P260" s="25" t="str">
        <f>IFERROR(VLOOKUP(B260,'03. THIẾT BỊ'!$B$1:$S$836,15,0),"")</f>
        <v>CK-CGH</v>
      </c>
      <c r="Q260" s="23">
        <f>IFERROR(VLOOKUP(B260,'03. THIẾT BỊ'!$B$1:$S$836,16,0),"")</f>
        <v>2024</v>
      </c>
      <c r="R260" s="25" t="str">
        <f>IFERROR(VLOOKUP(B260,'03. THIẾT BỊ'!$B$1:$S$836,17,0),"")</f>
        <v>Đường kính 1.49xRộng 1.1m/cái</v>
      </c>
      <c r="S260" s="25">
        <f>IFERROR(VLOOKUP(B260,'03. THIẾT BỊ'!$B$1:$S$836,18,0),"")</f>
        <v>0</v>
      </c>
      <c r="T260" s="41"/>
    </row>
    <row r="261" customHeight="1" spans="1:20">
      <c r="A261" s="19">
        <f t="shared" si="11"/>
        <v>5</v>
      </c>
      <c r="B261" s="20" t="s">
        <v>4748</v>
      </c>
      <c r="C261" s="613">
        <f>IFERROR(VLOOKUP(B261,'03. THIẾT BỊ'!$B$1:$S$836,2,0),"")</f>
        <v>0</v>
      </c>
      <c r="D261" s="24" t="str">
        <f>IFERROR(VLOOKUP(B261,'03. THIẾT BỊ'!$B$1:$S$836,3,0),"")</f>
        <v>A24-BLT-003</v>
      </c>
      <c r="E261" s="20" t="str">
        <f>IFERROR(VLOOKUP(B261,'03. THIẾT BỊ'!$B$1:$S$836,4,0),"")</f>
        <v>ĐQSD</v>
      </c>
      <c r="F261" s="20" t="str">
        <f>IFERROR(VLOOKUP(B261,'03. THIẾT BỊ'!$B$1:$S$836,5,0),"")</f>
        <v>Bộ bánh lồng thép</v>
      </c>
      <c r="G261" s="101" t="s">
        <v>6468</v>
      </c>
      <c r="H261" s="19" t="str">
        <f>IFERROR(VLOOKUP(B261,'03. THIẾT BỊ'!$B$1:$S$836,7,0),"")</f>
        <v>XN Chuối LP1</v>
      </c>
      <c r="I261" s="610" t="str">
        <f>IFERROR(VLOOKUP(B261,'03. THIẾT BỊ'!$B$1:$S$836,8,0),"")</f>
        <v>18/08/2024</v>
      </c>
      <c r="J261" s="25"/>
      <c r="K261" s="19" t="str">
        <f>IFERROR(VLOOKUP(B261,'03. THIẾT BỊ'!$B$1:$S$836,10,0),"")</f>
        <v>Bình thường</v>
      </c>
      <c r="L261" s="25" t="str">
        <f>IFERROR(VLOOKUP(B261,'03. THIẾT BỊ'!$B$1:$S$836,11,0),"")</f>
        <v>X.CK gia công</v>
      </c>
      <c r="M261" s="24">
        <f>IFERROR(VLOOKUP(B261,'03. THIẾT BỊ'!$B$1:$S$836,12,0),"")</f>
        <v>0</v>
      </c>
      <c r="N261" s="25" t="str">
        <f>IFERROR(VLOOKUP(B261,'03. THIẾT BỊ'!$B$1:$S$836,13,0),"")</f>
        <v>THACO AGRI</v>
      </c>
      <c r="O261" s="24" t="str">
        <f>IFERROR(VLOOKUP(B261,'03. THIẾT BỊ'!$B$1:$S$836,14,0),"")</f>
        <v>CLE-D85-R35</v>
      </c>
      <c r="P261" s="25" t="str">
        <f>IFERROR(VLOOKUP(B261,'03. THIẾT BỊ'!$B$1:$S$836,15,0),"")</f>
        <v>CK-CGH</v>
      </c>
      <c r="Q261" s="23">
        <f>IFERROR(VLOOKUP(B261,'03. THIẾT BỊ'!$B$1:$S$836,16,0),"")</f>
        <v>2024</v>
      </c>
      <c r="R261" s="25" t="str">
        <f>IFERROR(VLOOKUP(B261,'03. THIẾT BỊ'!$B$1:$S$836,17,0),"")</f>
        <v>D850xR350/Cái</v>
      </c>
      <c r="S261" s="25">
        <f>IFERROR(VLOOKUP(B261,'03. THIẾT BỊ'!$B$1:$S$836,18,0),"")</f>
        <v>0</v>
      </c>
      <c r="T261" s="41"/>
    </row>
    <row r="262" ht="13.8" spans="1:20">
      <c r="C262" s="613" t="str">
        <f>IFERROR(VLOOKUP(B262,'03. THIẾT BỊ'!$B$1:$S$836,2,0),"")</f>
        <v/>
      </c>
      <c r="D262" s="24" t="str">
        <f>IFERROR(VLOOKUP(B262,'03. THIẾT BỊ'!$B$1:$S$836,3,0),"")</f>
        <v/>
      </c>
      <c r="E262" s="20" t="str">
        <f>IFERROR(VLOOKUP(B262,'03. THIẾT BỊ'!$B$1:$S$836,4,0),"")</f>
        <v/>
      </c>
      <c r="F262" s="20" t="str">
        <f>IFERROR(VLOOKUP(B262,'03. THIẾT BỊ'!$B$1:$S$836,5,0),"")</f>
        <v/>
      </c>
      <c r="G262" s="101" t="s">
        <v>6468</v>
      </c>
      <c r="H262" s="19" t="str">
        <f>IFERROR(VLOOKUP(B262,'03. THIẾT BỊ'!$B$1:$S$836,7,0),"")</f>
        <v/>
      </c>
      <c r="I262" s="610" t="str">
        <f>IFERROR(VLOOKUP(B262,'03. THIẾT BỊ'!$B$1:$S$836,8,0),"")</f>
        <v/>
      </c>
      <c r="J262" s="25"/>
      <c r="K262" s="19" t="str">
        <f>IFERROR(VLOOKUP(B262,'03. THIẾT BỊ'!$B$1:$S$836,10,0),"")</f>
        <v/>
      </c>
      <c r="L262" s="25" t="str">
        <f>IFERROR(VLOOKUP(B262,'03. THIẾT BỊ'!$B$1:$S$836,11,0),"")</f>
        <v/>
      </c>
      <c r="M262" s="24" t="str">
        <f>IFERROR(VLOOKUP(B262,'03. THIẾT BỊ'!$B$1:$S$836,12,0),"")</f>
        <v/>
      </c>
      <c r="N262" s="25" t="str">
        <f>IFERROR(VLOOKUP(B262,'03. THIẾT BỊ'!$B$1:$S$836,13,0),"")</f>
        <v/>
      </c>
      <c r="O262" s="24" t="str">
        <f>IFERROR(VLOOKUP(B262,'03. THIẾT BỊ'!$B$1:$S$836,14,0),"")</f>
        <v/>
      </c>
      <c r="P262" s="25" t="str">
        <f>IFERROR(VLOOKUP(B262,'03. THIẾT BỊ'!$B$1:$S$836,15,0),"")</f>
        <v/>
      </c>
      <c r="Q262" s="23" t="str">
        <f>IFERROR(VLOOKUP(B262,'03. THIẾT BỊ'!$B$1:$S$836,16,0),"")</f>
        <v/>
      </c>
      <c r="R262" s="25" t="str">
        <f>IFERROR(VLOOKUP(B262,'03. THIẾT BỊ'!$B$1:$S$836,17,0),"")</f>
        <v/>
      </c>
      <c r="S262" s="25" t="str">
        <f>IFERROR(VLOOKUP(B262,'03. THIẾT BỊ'!$B$1:$S$836,18,0),"")</f>
        <v/>
      </c>
    </row>
    <row r="263" ht="13.8" hidden="1" spans="1:20">
      <c r="C263" s="613" t="str">
        <f>IFERROR(VLOOKUP(B263,'03. THIẾT BỊ'!$B$1:$S$836,2,0),"")</f>
        <v/>
      </c>
      <c r="D263" s="24" t="str">
        <f>IFERROR(VLOOKUP(B263,'03. THIẾT BỊ'!$B$1:$S$836,3,0),"")</f>
        <v/>
      </c>
      <c r="E263" s="20" t="str">
        <f>IFERROR(VLOOKUP(B263,'03. THIẾT BỊ'!$B$1:$S$836,4,0),"")</f>
        <v/>
      </c>
      <c r="F263" s="20" t="str">
        <f>IFERROR(VLOOKUP(B263,'03. THIẾT BỊ'!$B$1:$S$836,5,0),"")</f>
        <v/>
      </c>
      <c r="G263" s="101" t="s">
        <v>6468</v>
      </c>
      <c r="H263" s="19" t="str">
        <f>IFERROR(VLOOKUP(B263,'03. THIẾT BỊ'!$B$1:$S$836,7,0),"")</f>
        <v/>
      </c>
      <c r="I263" s="610" t="str">
        <f>IFERROR(VLOOKUP(B263,'03. THIẾT BỊ'!$B$1:$S$836,8,0),"")</f>
        <v/>
      </c>
      <c r="J263" s="25"/>
      <c r="K263" s="19" t="str">
        <f>IFERROR(VLOOKUP(B263,'03. THIẾT BỊ'!$B$1:$S$836,10,0),"")</f>
        <v/>
      </c>
      <c r="L263" s="25" t="str">
        <f>IFERROR(VLOOKUP(B263,'03. THIẾT BỊ'!$B$1:$S$836,11,0),"")</f>
        <v/>
      </c>
      <c r="M263" s="24" t="str">
        <f>IFERROR(VLOOKUP(B263,'03. THIẾT BỊ'!$B$1:$S$836,12,0),"")</f>
        <v/>
      </c>
      <c r="N263" s="25" t="str">
        <f>IFERROR(VLOOKUP(B263,'03. THIẾT BỊ'!$B$1:$S$836,13,0),"")</f>
        <v/>
      </c>
      <c r="O263" s="24" t="str">
        <f>IFERROR(VLOOKUP(B263,'03. THIẾT BỊ'!$B$1:$S$836,14,0),"")</f>
        <v/>
      </c>
      <c r="P263" s="25" t="str">
        <f>IFERROR(VLOOKUP(B263,'03. THIẾT BỊ'!$B$1:$S$836,15,0),"")</f>
        <v/>
      </c>
      <c r="Q263" s="23" t="str">
        <f>IFERROR(VLOOKUP(B263,'03. THIẾT BỊ'!$B$1:$S$836,16,0),"")</f>
        <v/>
      </c>
      <c r="R263" s="25" t="str">
        <f>IFERROR(VLOOKUP(B263,'03. THIẾT BỊ'!$B$1:$S$836,17,0),"")</f>
        <v/>
      </c>
      <c r="S263" s="25" t="str">
        <f>IFERROR(VLOOKUP(B263,'03. THIẾT BỊ'!$B$1:$S$836,18,0),"")</f>
        <v/>
      </c>
    </row>
    <row r="264" ht="13.8" hidden="1" spans="1:20">
      <c r="C264" s="613" t="str">
        <f>IFERROR(VLOOKUP(B264,'03. THIẾT BỊ'!$B$1:$S$836,2,0),"")</f>
        <v/>
      </c>
      <c r="D264" s="24" t="str">
        <f>IFERROR(VLOOKUP(B264,'03. THIẾT BỊ'!$B$1:$S$836,3,0),"")</f>
        <v/>
      </c>
      <c r="E264" s="20" t="str">
        <f>IFERROR(VLOOKUP(B264,'03. THIẾT BỊ'!$B$1:$S$836,4,0),"")</f>
        <v/>
      </c>
      <c r="F264" s="20" t="str">
        <f>IFERROR(VLOOKUP(B264,'03. THIẾT BỊ'!$B$1:$S$836,5,0),"")</f>
        <v/>
      </c>
      <c r="G264" s="101" t="s">
        <v>6468</v>
      </c>
      <c r="H264" s="19" t="str">
        <f>IFERROR(VLOOKUP(B264,'03. THIẾT BỊ'!$B$1:$S$836,7,0),"")</f>
        <v/>
      </c>
      <c r="I264" s="610" t="str">
        <f>IFERROR(VLOOKUP(B264,'03. THIẾT BỊ'!$B$1:$S$836,8,0),"")</f>
        <v/>
      </c>
      <c r="J264" s="25"/>
      <c r="K264" s="19" t="str">
        <f>IFERROR(VLOOKUP(B264,'03. THIẾT BỊ'!$B$1:$S$836,10,0),"")</f>
        <v/>
      </c>
      <c r="L264" s="25" t="str">
        <f>IFERROR(VLOOKUP(B264,'03. THIẾT BỊ'!$B$1:$S$836,11,0),"")</f>
        <v/>
      </c>
      <c r="M264" s="24" t="str">
        <f>IFERROR(VLOOKUP(B264,'03. THIẾT BỊ'!$B$1:$S$836,12,0),"")</f>
        <v/>
      </c>
      <c r="N264" s="25" t="str">
        <f>IFERROR(VLOOKUP(B264,'03. THIẾT BỊ'!$B$1:$S$836,13,0),"")</f>
        <v/>
      </c>
      <c r="O264" s="24" t="str">
        <f>IFERROR(VLOOKUP(B264,'03. THIẾT BỊ'!$B$1:$S$836,14,0),"")</f>
        <v/>
      </c>
      <c r="P264" s="25" t="str">
        <f>IFERROR(VLOOKUP(B264,'03. THIẾT BỊ'!$B$1:$S$836,15,0),"")</f>
        <v/>
      </c>
      <c r="Q264" s="23" t="str">
        <f>IFERROR(VLOOKUP(B264,'03. THIẾT BỊ'!$B$1:$S$836,16,0),"")</f>
        <v/>
      </c>
      <c r="R264" s="25" t="str">
        <f>IFERROR(VLOOKUP(B264,'03. THIẾT BỊ'!$B$1:$S$836,17,0),"")</f>
        <v/>
      </c>
      <c r="S264" s="25" t="str">
        <f>IFERROR(VLOOKUP(B264,'03. THIẾT BỊ'!$B$1:$S$836,18,0),"")</f>
        <v/>
      </c>
    </row>
    <row r="265" ht="13.8" hidden="1" spans="1:20">
      <c r="C265" s="613" t="str">
        <f>IFERROR(VLOOKUP(B265,'03. THIẾT BỊ'!$B$1:$S$836,2,0),"")</f>
        <v/>
      </c>
      <c r="D265" s="24" t="str">
        <f>IFERROR(VLOOKUP(B265,'03. THIẾT BỊ'!$B$1:$S$836,3,0),"")</f>
        <v/>
      </c>
      <c r="E265" s="20" t="str">
        <f>IFERROR(VLOOKUP(B265,'03. THIẾT BỊ'!$B$1:$S$836,4,0),"")</f>
        <v/>
      </c>
      <c r="F265" s="20" t="str">
        <f>IFERROR(VLOOKUP(B265,'03. THIẾT BỊ'!$B$1:$S$836,5,0),"")</f>
        <v/>
      </c>
      <c r="G265" s="101" t="s">
        <v>6468</v>
      </c>
      <c r="H265" s="19" t="str">
        <f>IFERROR(VLOOKUP(B265,'03. THIẾT BỊ'!$B$1:$S$836,7,0),"")</f>
        <v/>
      </c>
      <c r="I265" s="610" t="str">
        <f>IFERROR(VLOOKUP(B265,'03. THIẾT BỊ'!$B$1:$S$836,8,0),"")</f>
        <v/>
      </c>
      <c r="J265" s="25"/>
      <c r="K265" s="19" t="str">
        <f>IFERROR(VLOOKUP(B265,'03. THIẾT BỊ'!$B$1:$S$836,10,0),"")</f>
        <v/>
      </c>
      <c r="L265" s="25" t="str">
        <f>IFERROR(VLOOKUP(B265,'03. THIẾT BỊ'!$B$1:$S$836,11,0),"")</f>
        <v/>
      </c>
      <c r="M265" s="24" t="str">
        <f>IFERROR(VLOOKUP(B265,'03. THIẾT BỊ'!$B$1:$S$836,12,0),"")</f>
        <v/>
      </c>
      <c r="N265" s="25" t="str">
        <f>IFERROR(VLOOKUP(B265,'03. THIẾT BỊ'!$B$1:$S$836,13,0),"")</f>
        <v/>
      </c>
      <c r="O265" s="24" t="str">
        <f>IFERROR(VLOOKUP(B265,'03. THIẾT BỊ'!$B$1:$S$836,14,0),"")</f>
        <v/>
      </c>
      <c r="P265" s="25" t="str">
        <f>IFERROR(VLOOKUP(B265,'03. THIẾT BỊ'!$B$1:$S$836,15,0),"")</f>
        <v/>
      </c>
      <c r="Q265" s="23" t="str">
        <f>IFERROR(VLOOKUP(B265,'03. THIẾT BỊ'!$B$1:$S$836,16,0),"")</f>
        <v/>
      </c>
      <c r="R265" s="25" t="str">
        <f>IFERROR(VLOOKUP(B265,'03. THIẾT BỊ'!$B$1:$S$836,17,0),"")</f>
        <v/>
      </c>
      <c r="S265" s="25" t="str">
        <f>IFERROR(VLOOKUP(B265,'03. THIẾT BỊ'!$B$1:$S$836,18,0),"")</f>
        <v/>
      </c>
    </row>
    <row r="266" customHeight="1" spans="1:20">
      <c r="A266" s="14" t="s">
        <v>290</v>
      </c>
      <c r="B266" s="15" t="s">
        <v>6484</v>
      </c>
      <c r="C266" s="14">
        <f>COUNTA(B267:B271)</f>
        <v>4</v>
      </c>
      <c r="D266" s="17" t="str">
        <f>IFERROR(VLOOKUP(B266,'03. THIẾT BỊ'!$B$1:$S$836,3,0),"")</f>
        <v/>
      </c>
      <c r="E266" s="20" t="str">
        <f>IFERROR(VLOOKUP(B266,'03. THIẾT BỊ'!$B$1:$S$836,4,0),"")</f>
        <v/>
      </c>
      <c r="F266" s="17" t="str">
        <f>IFERROR(VLOOKUP(B266,'03. THIẾT BỊ'!$B$1:$S$836,5,0),"")</f>
        <v/>
      </c>
      <c r="G266" s="18" t="s">
        <v>6468</v>
      </c>
      <c r="H266" s="18" t="str">
        <f>IFERROR(VLOOKUP(B266,'03. THIẾT BỊ'!$B$1:$S$836,7,0),"")</f>
        <v/>
      </c>
      <c r="I266" s="14" t="str">
        <f>IFERROR(VLOOKUP(B266,'03. THIẾT BỊ'!$B$1:$S$836,8,0),"")</f>
        <v/>
      </c>
      <c r="J266" s="15"/>
      <c r="K266" s="14" t="str">
        <f>IFERROR(VLOOKUP(B266,'03. THIẾT BỊ'!$B$1:$S$836,10,0),"")</f>
        <v/>
      </c>
      <c r="L266" s="17" t="str">
        <f>IFERROR(VLOOKUP(B266,'03. THIẾT BỊ'!$B$1:$S$836,11,0),"")</f>
        <v/>
      </c>
      <c r="M266" s="16" t="str">
        <f>IFERROR(VLOOKUP(B266,'03. THIẾT BỊ'!$B$1:$S$836,12,0),"")</f>
        <v/>
      </c>
      <c r="N266" s="17" t="str">
        <f>IFERROR(VLOOKUP(B266,'03. THIẾT BỊ'!$B$1:$S$836,13,0),"")</f>
        <v/>
      </c>
      <c r="O266" s="16" t="str">
        <f>IFERROR(VLOOKUP(B266,'03. THIẾT BỊ'!$B$1:$S$836,14,0),"")</f>
        <v/>
      </c>
      <c r="P266" s="17" t="str">
        <f>IFERROR(VLOOKUP(B266,'03. THIẾT BỊ'!$B$1:$S$836,15,0),"")</f>
        <v/>
      </c>
      <c r="Q266" s="18" t="str">
        <f>IFERROR(VLOOKUP(B266,'03. THIẾT BỊ'!$B$1:$S$836,16,0),"")</f>
        <v/>
      </c>
      <c r="R266" s="17" t="str">
        <f>IFERROR(VLOOKUP(B266,'03. THIẾT BỊ'!$B$1:$S$836,17,0),"")</f>
        <v/>
      </c>
      <c r="S266" s="17" t="str">
        <f>IFERROR(VLOOKUP(B266,'03. THIẾT BỊ'!$B$1:$S$836,18,0),"")</f>
        <v/>
      </c>
      <c r="T266" s="609"/>
    </row>
    <row r="267" customHeight="1" spans="1:20">
      <c r="A267" s="19">
        <v>1</v>
      </c>
      <c r="B267" s="20" t="s">
        <v>3915</v>
      </c>
      <c r="C267" s="613" t="str">
        <f>IFERROR(VLOOKUP(B267,'03. THIẾT BỊ'!$B$1:$S$836,2,0),"")</f>
        <v>XDP-VMU-001</v>
      </c>
      <c r="D267" s="24" t="str">
        <f>IFERROR(VLOOKUP(B267,'03. THIẾT BỊ'!$B$1:$S$836,3,0),"")</f>
        <v>A23-VMU-001</v>
      </c>
      <c r="E267" s="20" t="str">
        <f>IFERROR(VLOOKUP(B267,'03. THIẾT BỊ'!$B$1:$S$836,4,0),"")</f>
        <v>ĐQSD</v>
      </c>
      <c r="F267" s="20" t="str">
        <f>IFERROR(VLOOKUP(B267,'03. THIẾT BỊ'!$B$1:$S$836,5,0),"")</f>
        <v>Thiết bị vét mương 2 đĩa quay</v>
      </c>
      <c r="G267" s="101" t="s">
        <v>6468</v>
      </c>
      <c r="H267" s="19" t="str">
        <f>IFERROR(VLOOKUP(B267,'03. THIẾT BỊ'!$B$1:$S$836,7,0),"")</f>
        <v>CGLĐ DP</v>
      </c>
      <c r="I267" s="610">
        <f>IFERROR(VLOOKUP(B267,'03. THIẾT BỊ'!$B$1:$S$836,8,0),"")</f>
        <v>0</v>
      </c>
      <c r="J267" s="25"/>
      <c r="K267" s="19" t="str">
        <f>IFERROR(VLOOKUP(B267,'03. THIẾT BỊ'!$B$1:$S$836,10,0),"")</f>
        <v>Bình thường</v>
      </c>
      <c r="L267" s="25">
        <f>IFERROR(VLOOKUP(B267,'03. THIẾT BỊ'!$B$1:$S$836,11,0),"")</f>
        <v>0</v>
      </c>
      <c r="M267" s="24">
        <f>IFERROR(VLOOKUP(B267,'03. THIẾT BỊ'!$B$1:$S$836,12,0),"")</f>
        <v>0</v>
      </c>
      <c r="N267" s="25" t="str">
        <f>IFERROR(VLOOKUP(B267,'03. THIẾT BỊ'!$B$1:$S$836,13,0),"")</f>
        <v>TRUNG QUỐC</v>
      </c>
      <c r="O267" s="24" t="str">
        <f>IFERROR(VLOOKUP(B267,'03. THIẾT BỊ'!$B$1:$S$836,14,0),"")</f>
        <v>2 đĩa quay</v>
      </c>
      <c r="P267" s="25" t="str">
        <f>IFERROR(VLOOKUP(B267,'03. THIẾT BỊ'!$B$1:$S$836,15,0),"")</f>
        <v>TRUNG QUỐC</v>
      </c>
      <c r="Q267" s="23">
        <f>IFERROR(VLOOKUP(B267,'03. THIẾT BỊ'!$B$1:$S$836,16,0),"")</f>
        <v>0</v>
      </c>
      <c r="R267" s="25">
        <f>IFERROR(VLOOKUP(B267,'03. THIẾT BỊ'!$B$1:$S$836,17,0),"")</f>
        <v>0</v>
      </c>
      <c r="S267" s="25">
        <f>IFERROR(VLOOKUP(B267,'03. THIẾT BỊ'!$B$1:$S$836,18,0),"")</f>
        <v>0</v>
      </c>
      <c r="T267" s="41"/>
    </row>
    <row r="268" customHeight="1" spans="1:20">
      <c r="A268" s="19">
        <f t="shared" ref="A268:A270" si="12">A267+1</f>
        <v>2</v>
      </c>
      <c r="B268" s="20" t="s">
        <v>4094</v>
      </c>
      <c r="C268" s="613" t="str">
        <f>IFERROR(VLOOKUP(B268,'03. THIẾT BỊ'!$B$1:$S$836,2,0),"")</f>
        <v>CNN-VMU-005</v>
      </c>
      <c r="D268" s="24" t="str">
        <f>IFERROR(VLOOKUP(B268,'03. THIẾT BỊ'!$B$1:$S$836,3,0),"")</f>
        <v>A24-VMU-002</v>
      </c>
      <c r="E268" s="20" t="str">
        <f>IFERROR(VLOOKUP(B268,'03. THIẾT BỊ'!$B$1:$S$836,4,0),"")</f>
        <v>ĐQSD</v>
      </c>
      <c r="F268" s="20" t="str">
        <f>IFERROR(VLOOKUP(B268,'03. THIẾT BỊ'!$B$1:$S$836,5,0),"")</f>
        <v>Thiết bị vét mương 2 đĩa quay</v>
      </c>
      <c r="G268" s="101" t="s">
        <v>6468</v>
      </c>
      <c r="H268" s="19" t="str">
        <f>IFERROR(VLOOKUP(B268,'03. THIẾT BỊ'!$B$1:$S$836,7,0),"")</f>
        <v>CGLĐ LP</v>
      </c>
      <c r="I268" s="610">
        <f>IFERROR(VLOOKUP(B268,'03. THIẾT BỊ'!$B$1:$S$836,8,0),"")</f>
        <v>0</v>
      </c>
      <c r="J268" s="25"/>
      <c r="K268" s="19" t="str">
        <f>IFERROR(VLOOKUP(B268,'03. THIẾT BỊ'!$B$1:$S$836,10,0),"")</f>
        <v>Bình thường</v>
      </c>
      <c r="L268" s="25">
        <f>IFERROR(VLOOKUP(B268,'03. THIẾT BỊ'!$B$1:$S$836,11,0),"")</f>
        <v>0</v>
      </c>
      <c r="M268" s="24">
        <f>IFERROR(VLOOKUP(B268,'03. THIẾT BỊ'!$B$1:$S$836,12,0),"")</f>
        <v>0</v>
      </c>
      <c r="N268" s="25" t="str">
        <f>IFERROR(VLOOKUP(B268,'03. THIẾT BỊ'!$B$1:$S$836,13,0),"")</f>
        <v>CAMBODIA</v>
      </c>
      <c r="O268" s="24" t="str">
        <f>IFERROR(VLOOKUP(B268,'03. THIẾT BỊ'!$B$1:$S$836,14,0),"")</f>
        <v>2 đĩa  quay</v>
      </c>
      <c r="P268" s="25" t="str">
        <f>IFERROR(VLOOKUP(B268,'03. THIẾT BỊ'!$B$1:$S$836,15,0),"")</f>
        <v>CAMBODIA</v>
      </c>
      <c r="Q268" s="23">
        <f>IFERROR(VLOOKUP(B268,'03. THIẾT BỊ'!$B$1:$S$836,16,0),"")</f>
        <v>0</v>
      </c>
      <c r="R268" s="25">
        <f>IFERROR(VLOOKUP(B268,'03. THIẾT BỊ'!$B$1:$S$836,17,0),"")</f>
        <v>0</v>
      </c>
      <c r="S268" s="25">
        <f>IFERROR(VLOOKUP(B268,'03. THIẾT BỊ'!$B$1:$S$836,18,0),"")</f>
        <v>0</v>
      </c>
      <c r="T268" s="41"/>
    </row>
    <row r="269" customHeight="1" spans="1:20">
      <c r="A269" s="19">
        <f t="shared" si="12"/>
        <v>3</v>
      </c>
      <c r="B269" s="20" t="s">
        <v>4191</v>
      </c>
      <c r="C269" s="613" t="str">
        <f>IFERROR(VLOOKUP(B269,'03. THIẾT BỊ'!$B$1:$S$836,2,0),"")</f>
        <v>CNN-VMU-001</v>
      </c>
      <c r="D269" s="24" t="str">
        <f>IFERROR(VLOOKUP(B269,'03. THIẾT BỊ'!$B$1:$S$836,3,0),"")</f>
        <v>A22-VMU-003</v>
      </c>
      <c r="E269" s="20" t="str">
        <f>IFERROR(VLOOKUP(B269,'03. THIẾT BỊ'!$B$1:$S$836,4,0),"")</f>
        <v>ĐQSD</v>
      </c>
      <c r="F269" s="20" t="str">
        <f>IFERROR(VLOOKUP(B269,'03. THIẾT BỊ'!$B$1:$S$836,5,0),"")</f>
        <v>Thiết bị đào mương DBR 75/32-540</v>
      </c>
      <c r="G269" s="101" t="s">
        <v>6468</v>
      </c>
      <c r="H269" s="19" t="str">
        <f>IFERROR(VLOOKUP(B269,'03. THIẾT BỊ'!$B$1:$S$836,7,0),"")</f>
        <v>XN Bò AD</v>
      </c>
      <c r="I269" s="610">
        <f>IFERROR(VLOOKUP(B269,'03. THIẾT BỊ'!$B$1:$S$836,8,0),"")</f>
        <v>0</v>
      </c>
      <c r="J269" s="25"/>
      <c r="K269" s="19" t="str">
        <f>IFERROR(VLOOKUP(B269,'03. THIẾT BỊ'!$B$1:$S$836,10,0),"")</f>
        <v>Bình thường</v>
      </c>
      <c r="L269" s="25">
        <f>IFERROR(VLOOKUP(B269,'03. THIẾT BỊ'!$B$1:$S$836,11,0),"")</f>
        <v>0</v>
      </c>
      <c r="M269" s="24">
        <f>IFERROR(VLOOKUP(B269,'03. THIẾT BỊ'!$B$1:$S$836,12,0),"")</f>
        <v>0</v>
      </c>
      <c r="N269" s="25" t="str">
        <f>IFERROR(VLOOKUP(B269,'03. THIẾT BỊ'!$B$1:$S$836,13,0),"")</f>
        <v>CAMBODIA</v>
      </c>
      <c r="O269" s="24" t="str">
        <f>IFERROR(VLOOKUP(B269,'03. THIẾT BỊ'!$B$1:$S$836,14,0),"")</f>
        <v>DBR</v>
      </c>
      <c r="P269" s="25" t="str">
        <f>IFERROR(VLOOKUP(B269,'03. THIẾT BỊ'!$B$1:$S$836,15,0),"")</f>
        <v>CAMBODIA</v>
      </c>
      <c r="Q269" s="23">
        <f>IFERROR(VLOOKUP(B269,'03. THIẾT BỊ'!$B$1:$S$836,16,0),"")</f>
        <v>0</v>
      </c>
      <c r="R269" s="25">
        <f>IFERROR(VLOOKUP(B269,'03. THIẾT BỊ'!$B$1:$S$836,17,0),"")</f>
        <v>0</v>
      </c>
      <c r="S269" s="25">
        <f>IFERROR(VLOOKUP(B269,'03. THIẾT BỊ'!$B$1:$S$836,18,0),"")</f>
        <v>0</v>
      </c>
      <c r="T269" s="41"/>
    </row>
    <row r="270" customHeight="1" spans="1:20">
      <c r="A270" s="19">
        <f t="shared" si="12"/>
        <v>4</v>
      </c>
      <c r="B270" s="20" t="s">
        <v>4195</v>
      </c>
      <c r="C270" s="613" t="str">
        <f>IFERROR(VLOOKUP(B270,'03. THIẾT BỊ'!$B$1:$S$836,2,0),"")</f>
        <v>CNN-VMU-002</v>
      </c>
      <c r="D270" s="24" t="str">
        <f>IFERROR(VLOOKUP(B270,'03. THIẾT BỊ'!$B$1:$S$836,3,0),"")</f>
        <v>A22-VMU-004</v>
      </c>
      <c r="E270" s="20" t="str">
        <f>IFERROR(VLOOKUP(B270,'03. THIẾT BỊ'!$B$1:$S$836,4,0),"")</f>
        <v>ĐQSD</v>
      </c>
      <c r="F270" s="20" t="str">
        <f>IFERROR(VLOOKUP(B270,'03. THIẾT BỊ'!$B$1:$S$836,5,0),"")</f>
        <v>Thiết bị đào mương DBR 75/32-540</v>
      </c>
      <c r="G270" s="101" t="s">
        <v>6468</v>
      </c>
      <c r="H270" s="19" t="str">
        <f>IFERROR(VLOOKUP(B270,'03. THIẾT BỊ'!$B$1:$S$836,7,0),"")</f>
        <v>XN Bò AD</v>
      </c>
      <c r="I270" s="610">
        <f>IFERROR(VLOOKUP(B270,'03. THIẾT BỊ'!$B$1:$S$836,8,0),"")</f>
        <v>0</v>
      </c>
      <c r="J270" s="25"/>
      <c r="K270" s="19" t="str">
        <f>IFERROR(VLOOKUP(B270,'03. THIẾT BỊ'!$B$1:$S$836,10,0),"")</f>
        <v>Bình thường</v>
      </c>
      <c r="L270" s="25">
        <f>IFERROR(VLOOKUP(B270,'03. THIẾT BỊ'!$B$1:$S$836,11,0),"")</f>
        <v>0</v>
      </c>
      <c r="M270" s="24">
        <f>IFERROR(VLOOKUP(B270,'03. THIẾT BỊ'!$B$1:$S$836,12,0),"")</f>
        <v>0</v>
      </c>
      <c r="N270" s="25" t="str">
        <f>IFERROR(VLOOKUP(B270,'03. THIẾT BỊ'!$B$1:$S$836,13,0),"")</f>
        <v>CAMBODIA</v>
      </c>
      <c r="O270" s="24" t="str">
        <f>IFERROR(VLOOKUP(B270,'03. THIẾT BỊ'!$B$1:$S$836,14,0),"")</f>
        <v>DBR</v>
      </c>
      <c r="P270" s="25" t="str">
        <f>IFERROR(VLOOKUP(B270,'03. THIẾT BỊ'!$B$1:$S$836,15,0),"")</f>
        <v>CAMBODIA</v>
      </c>
      <c r="Q270" s="23">
        <f>IFERROR(VLOOKUP(B270,'03. THIẾT BỊ'!$B$1:$S$836,16,0),"")</f>
        <v>0</v>
      </c>
      <c r="R270" s="25">
        <f>IFERROR(VLOOKUP(B270,'03. THIẾT BỊ'!$B$1:$S$836,17,0),"")</f>
        <v>0</v>
      </c>
      <c r="S270" s="25">
        <f>IFERROR(VLOOKUP(B270,'03. THIẾT BỊ'!$B$1:$S$836,18,0),"")</f>
        <v>0</v>
      </c>
      <c r="T270" s="41"/>
    </row>
    <row r="271" customHeight="1" spans="1:20">
      <c r="A271" s="324"/>
      <c r="B271" s="41"/>
      <c r="C271" s="613" t="str">
        <f>IFERROR(VLOOKUP(B271,'03. THIẾT BỊ'!$B$1:$S$836,2,0),"")</f>
        <v/>
      </c>
      <c r="D271" s="24" t="str">
        <f>IFERROR(VLOOKUP(B271,'03. THIẾT BỊ'!$B$1:$S$836,3,0),"")</f>
        <v/>
      </c>
      <c r="E271" s="20" t="str">
        <f>IFERROR(VLOOKUP(B271,'03. THIẾT BỊ'!$B$1:$S$836,4,0),"")</f>
        <v/>
      </c>
      <c r="F271" s="20" t="str">
        <f>IFERROR(VLOOKUP(B271,'03. THIẾT BỊ'!$B$1:$S$836,5,0),"")</f>
        <v/>
      </c>
      <c r="G271" s="101" t="s">
        <v>6468</v>
      </c>
      <c r="H271" s="19" t="str">
        <f>IFERROR(VLOOKUP(B271,'03. THIẾT BỊ'!$B$1:$S$836,7,0),"")</f>
        <v/>
      </c>
      <c r="I271" s="610" t="str">
        <f>IFERROR(VLOOKUP(B271,'03. THIẾT BỊ'!$B$1:$S$836,8,0),"")</f>
        <v/>
      </c>
      <c r="J271" s="25"/>
      <c r="K271" s="19" t="str">
        <f>IFERROR(VLOOKUP(B271,'03. THIẾT BỊ'!$B$1:$S$836,10,0),"")</f>
        <v/>
      </c>
      <c r="L271" s="25" t="str">
        <f>IFERROR(VLOOKUP(B271,'03. THIẾT BỊ'!$B$1:$S$836,11,0),"")</f>
        <v/>
      </c>
      <c r="M271" s="24" t="str">
        <f>IFERROR(VLOOKUP(B271,'03. THIẾT BỊ'!$B$1:$S$836,12,0),"")</f>
        <v/>
      </c>
      <c r="N271" s="25" t="str">
        <f>IFERROR(VLOOKUP(B271,'03. THIẾT BỊ'!$B$1:$S$836,13,0),"")</f>
        <v/>
      </c>
      <c r="O271" s="24" t="str">
        <f>IFERROR(VLOOKUP(B271,'03. THIẾT BỊ'!$B$1:$S$836,14,0),"")</f>
        <v/>
      </c>
      <c r="P271" s="25" t="str">
        <f>IFERROR(VLOOKUP(B271,'03. THIẾT BỊ'!$B$1:$S$836,15,0),"")</f>
        <v/>
      </c>
      <c r="Q271" s="23" t="str">
        <f>IFERROR(VLOOKUP(B271,'03. THIẾT BỊ'!$B$1:$S$836,16,0),"")</f>
        <v/>
      </c>
      <c r="R271" s="25" t="str">
        <f>IFERROR(VLOOKUP(B271,'03. THIẾT BỊ'!$B$1:$S$836,17,0),"")</f>
        <v/>
      </c>
      <c r="S271" s="25" t="str">
        <f>IFERROR(VLOOKUP(B271,'03. THIẾT BỊ'!$B$1:$S$836,18,0),"")</f>
        <v/>
      </c>
      <c r="T271" s="41"/>
    </row>
    <row r="272" hidden="1" customHeight="1" spans="1:20">
      <c r="A272" s="324"/>
      <c r="B272" s="41"/>
      <c r="C272" s="613" t="str">
        <f>IFERROR(VLOOKUP(B272,'03. THIẾT BỊ'!$B$1:$S$836,2,0),"")</f>
        <v/>
      </c>
      <c r="D272" s="24" t="str">
        <f>IFERROR(VLOOKUP(B272,'03. THIẾT BỊ'!$B$1:$S$836,3,0),"")</f>
        <v/>
      </c>
      <c r="E272" s="20" t="str">
        <f>IFERROR(VLOOKUP(B272,'03. THIẾT BỊ'!$B$1:$S$836,4,0),"")</f>
        <v/>
      </c>
      <c r="F272" s="20" t="str">
        <f>IFERROR(VLOOKUP(B272,'03. THIẾT BỊ'!$B$1:$S$836,5,0),"")</f>
        <v/>
      </c>
      <c r="G272" s="101" t="s">
        <v>6468</v>
      </c>
      <c r="H272" s="19" t="str">
        <f>IFERROR(VLOOKUP(B272,'03. THIẾT BỊ'!$B$1:$S$836,7,0),"")</f>
        <v/>
      </c>
      <c r="I272" s="610" t="str">
        <f>IFERROR(VLOOKUP(B272,'03. THIẾT BỊ'!$B$1:$S$836,8,0),"")</f>
        <v/>
      </c>
      <c r="J272" s="25"/>
      <c r="K272" s="19" t="str">
        <f>IFERROR(VLOOKUP(B272,'03. THIẾT BỊ'!$B$1:$S$836,10,0),"")</f>
        <v/>
      </c>
      <c r="L272" s="25" t="str">
        <f>IFERROR(VLOOKUP(B272,'03. THIẾT BỊ'!$B$1:$S$836,11,0),"")</f>
        <v/>
      </c>
      <c r="M272" s="24" t="str">
        <f>IFERROR(VLOOKUP(B272,'03. THIẾT BỊ'!$B$1:$S$836,12,0),"")</f>
        <v/>
      </c>
      <c r="N272" s="25" t="str">
        <f>IFERROR(VLOOKUP(B272,'03. THIẾT BỊ'!$B$1:$S$836,13,0),"")</f>
        <v/>
      </c>
      <c r="O272" s="24" t="str">
        <f>IFERROR(VLOOKUP(B272,'03. THIẾT BỊ'!$B$1:$S$836,14,0),"")</f>
        <v/>
      </c>
      <c r="P272" s="25" t="str">
        <f>IFERROR(VLOOKUP(B272,'03. THIẾT BỊ'!$B$1:$S$836,15,0),"")</f>
        <v/>
      </c>
      <c r="Q272" s="23" t="str">
        <f>IFERROR(VLOOKUP(B272,'03. THIẾT BỊ'!$B$1:$S$836,16,0),"")</f>
        <v/>
      </c>
      <c r="R272" s="25" t="str">
        <f>IFERROR(VLOOKUP(B272,'03. THIẾT BỊ'!$B$1:$S$836,17,0),"")</f>
        <v/>
      </c>
      <c r="S272" s="25" t="str">
        <f>IFERROR(VLOOKUP(B272,'03. THIẾT BỊ'!$B$1:$S$836,18,0),"")</f>
        <v/>
      </c>
      <c r="T272" s="41"/>
    </row>
    <row r="273" hidden="1" customHeight="1" spans="1:20">
      <c r="A273" s="324"/>
      <c r="B273" s="41"/>
      <c r="C273" s="613" t="str">
        <f>IFERROR(VLOOKUP(B273,'03. THIẾT BỊ'!$B$1:$S$836,2,0),"")</f>
        <v/>
      </c>
      <c r="D273" s="24" t="str">
        <f>IFERROR(VLOOKUP(B273,'03. THIẾT BỊ'!$B$1:$S$836,3,0),"")</f>
        <v/>
      </c>
      <c r="E273" s="20" t="str">
        <f>IFERROR(VLOOKUP(B273,'03. THIẾT BỊ'!$B$1:$S$836,4,0),"")</f>
        <v/>
      </c>
      <c r="F273" s="20" t="str">
        <f>IFERROR(VLOOKUP(B273,'03. THIẾT BỊ'!$B$1:$S$836,5,0),"")</f>
        <v/>
      </c>
      <c r="G273" s="101" t="s">
        <v>6468</v>
      </c>
      <c r="H273" s="19" t="str">
        <f>IFERROR(VLOOKUP(B273,'03. THIẾT BỊ'!$B$1:$S$836,7,0),"")</f>
        <v/>
      </c>
      <c r="I273" s="610" t="str">
        <f>IFERROR(VLOOKUP(B273,'03. THIẾT BỊ'!$B$1:$S$836,8,0),"")</f>
        <v/>
      </c>
      <c r="J273" s="25"/>
      <c r="K273" s="19" t="str">
        <f>IFERROR(VLOOKUP(B273,'03. THIẾT BỊ'!$B$1:$S$836,10,0),"")</f>
        <v/>
      </c>
      <c r="L273" s="25" t="str">
        <f>IFERROR(VLOOKUP(B273,'03. THIẾT BỊ'!$B$1:$S$836,11,0),"")</f>
        <v/>
      </c>
      <c r="M273" s="24" t="str">
        <f>IFERROR(VLOOKUP(B273,'03. THIẾT BỊ'!$B$1:$S$836,12,0),"")</f>
        <v/>
      </c>
      <c r="N273" s="25" t="str">
        <f>IFERROR(VLOOKUP(B273,'03. THIẾT BỊ'!$B$1:$S$836,13,0),"")</f>
        <v/>
      </c>
      <c r="O273" s="24" t="str">
        <f>IFERROR(VLOOKUP(B273,'03. THIẾT BỊ'!$B$1:$S$836,14,0),"")</f>
        <v/>
      </c>
      <c r="P273" s="25" t="str">
        <f>IFERROR(VLOOKUP(B273,'03. THIẾT BỊ'!$B$1:$S$836,15,0),"")</f>
        <v/>
      </c>
      <c r="Q273" s="23" t="str">
        <f>IFERROR(VLOOKUP(B273,'03. THIẾT BỊ'!$B$1:$S$836,16,0),"")</f>
        <v/>
      </c>
      <c r="R273" s="25" t="str">
        <f>IFERROR(VLOOKUP(B273,'03. THIẾT BỊ'!$B$1:$S$836,17,0),"")</f>
        <v/>
      </c>
      <c r="S273" s="25" t="str">
        <f>IFERROR(VLOOKUP(B273,'03. THIẾT BỊ'!$B$1:$S$836,18,0),"")</f>
        <v/>
      </c>
      <c r="T273" s="41"/>
    </row>
    <row r="274" hidden="1" customHeight="1" spans="1:20">
      <c r="A274" s="324"/>
      <c r="B274" s="41"/>
      <c r="C274" s="613" t="str">
        <f>IFERROR(VLOOKUP(B274,'03. THIẾT BỊ'!$B$1:$S$836,2,0),"")</f>
        <v/>
      </c>
      <c r="D274" s="24" t="str">
        <f>IFERROR(VLOOKUP(B274,'03. THIẾT BỊ'!$B$1:$S$836,3,0),"")</f>
        <v/>
      </c>
      <c r="E274" s="20" t="str">
        <f>IFERROR(VLOOKUP(B274,'03. THIẾT BỊ'!$B$1:$S$836,4,0),"")</f>
        <v/>
      </c>
      <c r="F274" s="20" t="str">
        <f>IFERROR(VLOOKUP(B274,'03. THIẾT BỊ'!$B$1:$S$836,5,0),"")</f>
        <v/>
      </c>
      <c r="G274" s="101" t="s">
        <v>6468</v>
      </c>
      <c r="H274" s="19" t="str">
        <f>IFERROR(VLOOKUP(B274,'03. THIẾT BỊ'!$B$1:$S$836,7,0),"")</f>
        <v/>
      </c>
      <c r="I274" s="610" t="str">
        <f>IFERROR(VLOOKUP(B274,'03. THIẾT BỊ'!$B$1:$S$836,8,0),"")</f>
        <v/>
      </c>
      <c r="J274" s="25"/>
      <c r="K274" s="19" t="str">
        <f>IFERROR(VLOOKUP(B274,'03. THIẾT BỊ'!$B$1:$S$836,10,0),"")</f>
        <v/>
      </c>
      <c r="L274" s="25" t="str">
        <f>IFERROR(VLOOKUP(B274,'03. THIẾT BỊ'!$B$1:$S$836,11,0),"")</f>
        <v/>
      </c>
      <c r="M274" s="24" t="str">
        <f>IFERROR(VLOOKUP(B274,'03. THIẾT BỊ'!$B$1:$S$836,12,0),"")</f>
        <v/>
      </c>
      <c r="N274" s="25" t="str">
        <f>IFERROR(VLOOKUP(B274,'03. THIẾT BỊ'!$B$1:$S$836,13,0),"")</f>
        <v/>
      </c>
      <c r="O274" s="24" t="str">
        <f>IFERROR(VLOOKUP(B274,'03. THIẾT BỊ'!$B$1:$S$836,14,0),"")</f>
        <v/>
      </c>
      <c r="P274" s="25" t="str">
        <f>IFERROR(VLOOKUP(B274,'03. THIẾT BỊ'!$B$1:$S$836,15,0),"")</f>
        <v/>
      </c>
      <c r="Q274" s="23" t="str">
        <f>IFERROR(VLOOKUP(B274,'03. THIẾT BỊ'!$B$1:$S$836,16,0),"")</f>
        <v/>
      </c>
      <c r="R274" s="25" t="str">
        <f>IFERROR(VLOOKUP(B274,'03. THIẾT BỊ'!$B$1:$S$836,17,0),"")</f>
        <v/>
      </c>
      <c r="S274" s="25" t="str">
        <f>IFERROR(VLOOKUP(B274,'03. THIẾT BỊ'!$B$1:$S$836,18,0),"")</f>
        <v/>
      </c>
      <c r="T274" s="41"/>
    </row>
    <row r="275" customHeight="1" spans="1:20">
      <c r="A275" s="14" t="s">
        <v>290</v>
      </c>
      <c r="B275" s="15" t="s">
        <v>6485</v>
      </c>
      <c r="C275" s="14">
        <f>COUNTA(B276:B279)</f>
        <v>3</v>
      </c>
      <c r="D275" s="17" t="str">
        <f>IFERROR(VLOOKUP(B275,'03. THIẾT BỊ'!$B$1:$S$836,3,0),"")</f>
        <v/>
      </c>
      <c r="E275" s="20" t="str">
        <f>IFERROR(VLOOKUP(B275,'03. THIẾT BỊ'!$B$1:$S$836,4,0),"")</f>
        <v/>
      </c>
      <c r="F275" s="17" t="str">
        <f>IFERROR(VLOOKUP(B275,'03. THIẾT BỊ'!$B$1:$S$836,5,0),"")</f>
        <v/>
      </c>
      <c r="G275" s="18" t="s">
        <v>6468</v>
      </c>
      <c r="H275" s="18" t="str">
        <f>IFERROR(VLOOKUP(B275,'03. THIẾT BỊ'!$B$1:$S$836,7,0),"")</f>
        <v/>
      </c>
      <c r="I275" s="14" t="str">
        <f>IFERROR(VLOOKUP(B275,'03. THIẾT BỊ'!$B$1:$S$836,8,0),"")</f>
        <v/>
      </c>
      <c r="J275" s="15"/>
      <c r="K275" s="14" t="str">
        <f>IFERROR(VLOOKUP(B275,'03. THIẾT BỊ'!$B$1:$S$836,10,0),"")</f>
        <v/>
      </c>
      <c r="L275" s="17" t="str">
        <f>IFERROR(VLOOKUP(B275,'03. THIẾT BỊ'!$B$1:$S$836,11,0),"")</f>
        <v/>
      </c>
      <c r="M275" s="16" t="str">
        <f>IFERROR(VLOOKUP(B275,'03. THIẾT BỊ'!$B$1:$S$836,12,0),"")</f>
        <v/>
      </c>
      <c r="N275" s="17" t="str">
        <f>IFERROR(VLOOKUP(B275,'03. THIẾT BỊ'!$B$1:$S$836,13,0),"")</f>
        <v/>
      </c>
      <c r="O275" s="16" t="str">
        <f>IFERROR(VLOOKUP(B275,'03. THIẾT BỊ'!$B$1:$S$836,14,0),"")</f>
        <v/>
      </c>
      <c r="P275" s="17" t="str">
        <f>IFERROR(VLOOKUP(B275,'03. THIẾT BỊ'!$B$1:$S$836,15,0),"")</f>
        <v/>
      </c>
      <c r="Q275" s="18" t="str">
        <f>IFERROR(VLOOKUP(B275,'03. THIẾT BỊ'!$B$1:$S$836,16,0),"")</f>
        <v/>
      </c>
      <c r="R275" s="17" t="str">
        <f>IFERROR(VLOOKUP(B275,'03. THIẾT BỊ'!$B$1:$S$836,17,0),"")</f>
        <v/>
      </c>
      <c r="S275" s="17" t="str">
        <f>IFERROR(VLOOKUP(B275,'03. THIẾT BỊ'!$B$1:$S$836,18,0),"")</f>
        <v/>
      </c>
      <c r="T275" s="609"/>
    </row>
    <row r="276" customHeight="1" spans="1:20">
      <c r="A276" s="19">
        <v>1</v>
      </c>
      <c r="B276" s="20" t="s">
        <v>3908</v>
      </c>
      <c r="C276" s="613" t="str">
        <f>IFERROR(VLOOKUP(B276,'03. THIẾT BỊ'!$B$1:$S$836,2,0),"")</f>
        <v>XDP-VLU-001</v>
      </c>
      <c r="D276" s="24" t="str">
        <f>IFERROR(VLOOKUP(B276,'03. THIẾT BỊ'!$B$1:$S$836,3,0),"")</f>
        <v>A23-VLU-001</v>
      </c>
      <c r="E276" s="20" t="str">
        <f>IFERROR(VLOOKUP(B276,'03. THIẾT BỊ'!$B$1:$S$836,4,0),"")</f>
        <v>ĐQSD</v>
      </c>
      <c r="F276" s="20" t="str">
        <f>IFERROR(VLOOKUP(B276,'03. THIẾT BỊ'!$B$1:$S$836,5,0),"")</f>
        <v>Thiết bị lên luống 2 chảo</v>
      </c>
      <c r="G276" s="101" t="s">
        <v>6468</v>
      </c>
      <c r="H276" s="19" t="str">
        <f>IFERROR(VLOOKUP(B276,'03. THIẾT BỊ'!$B$1:$S$836,7,0),"")</f>
        <v>CGLĐ DP</v>
      </c>
      <c r="I276" s="610">
        <f>IFERROR(VLOOKUP(B276,'03. THIẾT BỊ'!$B$1:$S$836,8,0),"")</f>
        <v>0</v>
      </c>
      <c r="J276" s="25"/>
      <c r="K276" s="19" t="str">
        <f>IFERROR(VLOOKUP(B276,'03. THIẾT BỊ'!$B$1:$S$836,10,0),"")</f>
        <v>Bình thường</v>
      </c>
      <c r="L276" s="25">
        <f>IFERROR(VLOOKUP(B276,'03. THIẾT BỊ'!$B$1:$S$836,11,0),"")</f>
        <v>0</v>
      </c>
      <c r="M276" s="24">
        <f>IFERROR(VLOOKUP(B276,'03. THIẾT BỊ'!$B$1:$S$836,12,0),"")</f>
        <v>0</v>
      </c>
      <c r="N276" s="25" t="str">
        <f>IFERROR(VLOOKUP(B276,'03. THIẾT BỊ'!$B$1:$S$836,13,0),"")</f>
        <v>TRUNG QUỐC</v>
      </c>
      <c r="O276" s="24" t="str">
        <f>IFERROR(VLOOKUP(B276,'03. THIẾT BỊ'!$B$1:$S$836,14,0),"")</f>
        <v>2 chảo</v>
      </c>
      <c r="P276" s="25" t="str">
        <f>IFERROR(VLOOKUP(B276,'03. THIẾT BỊ'!$B$1:$S$836,15,0),"")</f>
        <v>TRUNG QUỐC</v>
      </c>
      <c r="Q276" s="23">
        <f>IFERROR(VLOOKUP(B276,'03. THIẾT BỊ'!$B$1:$S$836,16,0),"")</f>
        <v>0</v>
      </c>
      <c r="R276" s="25">
        <f>IFERROR(VLOOKUP(B276,'03. THIẾT BỊ'!$B$1:$S$836,17,0),"")</f>
        <v>0</v>
      </c>
      <c r="S276" s="25">
        <f>IFERROR(VLOOKUP(B276,'03. THIẾT BỊ'!$B$1:$S$836,18,0),"")</f>
        <v>0</v>
      </c>
      <c r="T276" s="41"/>
    </row>
    <row r="277" customHeight="1" spans="1:20">
      <c r="A277" s="19">
        <v>2</v>
      </c>
      <c r="B277" s="20" t="s">
        <v>4201</v>
      </c>
      <c r="C277" s="613" t="str">
        <f>IFERROR(VLOOKUP(B277,'03. THIẾT BỊ'!$B$1:$S$836,2,0),"")</f>
        <v>CNN-L2C-001</v>
      </c>
      <c r="D277" s="24" t="str">
        <f>IFERROR(VLOOKUP(B277,'03. THIẾT BỊ'!$B$1:$S$836,3,0),"")</f>
        <v>A22-VLU-002</v>
      </c>
      <c r="E277" s="20" t="str">
        <f>IFERROR(VLOOKUP(B277,'03. THIẾT BỊ'!$B$1:$S$836,4,0),"")</f>
        <v>ĐQSD</v>
      </c>
      <c r="F277" s="20" t="str">
        <f>IFERROR(VLOOKUP(B277,'03. THIẾT BỊ'!$B$1:$S$836,5,0),"")</f>
        <v>Thiết bị lên luống 2 chảo</v>
      </c>
      <c r="G277" s="101" t="s">
        <v>6468</v>
      </c>
      <c r="H277" s="19" t="str">
        <f>IFERROR(VLOOKUP(B277,'03. THIẾT BỊ'!$B$1:$S$836,7,0),"")</f>
        <v>XN Bò AD</v>
      </c>
      <c r="I277" s="610">
        <f>IFERROR(VLOOKUP(B277,'03. THIẾT BỊ'!$B$1:$S$836,8,0),"")</f>
        <v>0</v>
      </c>
      <c r="J277" s="25"/>
      <c r="K277" s="19" t="str">
        <f>IFERROR(VLOOKUP(B277,'03. THIẾT BỊ'!$B$1:$S$836,10,0),"")</f>
        <v>Bình thường</v>
      </c>
      <c r="L277" s="25">
        <f>IFERROR(VLOOKUP(B277,'03. THIẾT BỊ'!$B$1:$S$836,11,0),"")</f>
        <v>0</v>
      </c>
      <c r="M277" s="24">
        <f>IFERROR(VLOOKUP(B277,'03. THIẾT BỊ'!$B$1:$S$836,12,0),"")</f>
        <v>0</v>
      </c>
      <c r="N277" s="25" t="str">
        <f>IFERROR(VLOOKUP(B277,'03. THIẾT BỊ'!$B$1:$S$836,13,0),"")</f>
        <v>CAMBODIA</v>
      </c>
      <c r="O277" s="24" t="str">
        <f>IFERROR(VLOOKUP(B277,'03. THIẾT BỊ'!$B$1:$S$836,14,0),"")</f>
        <v>2 chảo</v>
      </c>
      <c r="P277" s="25" t="str">
        <f>IFERROR(VLOOKUP(B277,'03. THIẾT BỊ'!$B$1:$S$836,15,0),"")</f>
        <v>CAMBODIA</v>
      </c>
      <c r="Q277" s="23">
        <f>IFERROR(VLOOKUP(B277,'03. THIẾT BỊ'!$B$1:$S$836,16,0),"")</f>
        <v>0</v>
      </c>
      <c r="R277" s="25">
        <f>IFERROR(VLOOKUP(B277,'03. THIẾT BỊ'!$B$1:$S$836,17,0),"")</f>
        <v>0</v>
      </c>
      <c r="S277" s="25">
        <f>IFERROR(VLOOKUP(B277,'03. THIẾT BỊ'!$B$1:$S$836,18,0),"")</f>
        <v>0</v>
      </c>
      <c r="T277" s="41"/>
    </row>
    <row r="278" customHeight="1" spans="1:20">
      <c r="A278" s="19">
        <v>3</v>
      </c>
      <c r="B278" s="20" t="s">
        <v>4204</v>
      </c>
      <c r="C278" s="613" t="str">
        <f>IFERROR(VLOOKUP(B278,'03. THIẾT BỊ'!$B$1:$S$836,2,0),"")</f>
        <v>CNN-LLD-001</v>
      </c>
      <c r="D278" s="24" t="str">
        <f>IFERROR(VLOOKUP(B278,'03. THIẾT BỊ'!$B$1:$S$836,3,0),"")</f>
        <v>A22-VLU-003</v>
      </c>
      <c r="E278" s="20" t="str">
        <f>IFERROR(VLOOKUP(B278,'03. THIẾT BỊ'!$B$1:$S$836,4,0),"")</f>
        <v>ĐQSD</v>
      </c>
      <c r="F278" s="20" t="str">
        <f>IFERROR(VLOOKUP(B278,'03. THIẾT BỊ'!$B$1:$S$836,5,0),"")</f>
        <v>Thiết bị lên luống dứa</v>
      </c>
      <c r="G278" s="101" t="s">
        <v>6468</v>
      </c>
      <c r="H278" s="19" t="str">
        <f>IFERROR(VLOOKUP(B278,'03. THIẾT BỊ'!$B$1:$S$836,7,0),"")</f>
        <v>XN Bò AD</v>
      </c>
      <c r="I278" s="610">
        <f>IFERROR(VLOOKUP(B278,'03. THIẾT BỊ'!$B$1:$S$836,8,0),"")</f>
        <v>0</v>
      </c>
      <c r="J278" s="25"/>
      <c r="K278" s="19" t="str">
        <f>IFERROR(VLOOKUP(B278,'03. THIẾT BỊ'!$B$1:$S$836,10,0),"")</f>
        <v>Bình thường</v>
      </c>
      <c r="L278" s="25">
        <f>IFERROR(VLOOKUP(B278,'03. THIẾT BỊ'!$B$1:$S$836,11,0),"")</f>
        <v>0</v>
      </c>
      <c r="M278" s="24">
        <f>IFERROR(VLOOKUP(B278,'03. THIẾT BỊ'!$B$1:$S$836,12,0),"")</f>
        <v>0</v>
      </c>
      <c r="N278" s="25" t="str">
        <f>IFERROR(VLOOKUP(B278,'03. THIẾT BỊ'!$B$1:$S$836,13,0),"")</f>
        <v>CAMBODIA</v>
      </c>
      <c r="O278" s="24">
        <f>IFERROR(VLOOKUP(B278,'03. THIẾT BỊ'!$B$1:$S$836,14,0),"")</f>
        <v>0</v>
      </c>
      <c r="P278" s="25" t="str">
        <f>IFERROR(VLOOKUP(B278,'03. THIẾT BỊ'!$B$1:$S$836,15,0),"")</f>
        <v>CAMBODIA</v>
      </c>
      <c r="Q278" s="23">
        <f>IFERROR(VLOOKUP(B278,'03. THIẾT BỊ'!$B$1:$S$836,16,0),"")</f>
        <v>0</v>
      </c>
      <c r="R278" s="25">
        <f>IFERROR(VLOOKUP(B278,'03. THIẾT BỊ'!$B$1:$S$836,17,0),"")</f>
        <v>0</v>
      </c>
      <c r="S278" s="25">
        <f>IFERROR(VLOOKUP(B278,'03. THIẾT BỊ'!$B$1:$S$836,18,0),"")</f>
        <v>0</v>
      </c>
      <c r="T278" s="41"/>
    </row>
    <row r="279" customHeight="1" spans="1:20">
      <c r="A279" s="324"/>
      <c r="B279" s="41"/>
      <c r="C279" s="613" t="str">
        <f>IFERROR(VLOOKUP(B279,'03. THIẾT BỊ'!$B$1:$S$836,2,0),"")</f>
        <v/>
      </c>
      <c r="D279" s="24" t="str">
        <f>IFERROR(VLOOKUP(B279,'03. THIẾT BỊ'!$B$1:$S$836,3,0),"")</f>
        <v/>
      </c>
      <c r="E279" s="20" t="str">
        <f>IFERROR(VLOOKUP(B279,'03. THIẾT BỊ'!$B$1:$S$836,4,0),"")</f>
        <v/>
      </c>
      <c r="F279" s="20" t="str">
        <f>IFERROR(VLOOKUP(B279,'03. THIẾT BỊ'!$B$1:$S$836,5,0),"")</f>
        <v/>
      </c>
      <c r="G279" s="101" t="s">
        <v>6468</v>
      </c>
      <c r="H279" s="19" t="str">
        <f>IFERROR(VLOOKUP(B279,'03. THIẾT BỊ'!$B$1:$S$836,7,0),"")</f>
        <v/>
      </c>
      <c r="I279" s="610" t="str">
        <f>IFERROR(VLOOKUP(B279,'03. THIẾT BỊ'!$B$1:$S$836,8,0),"")</f>
        <v/>
      </c>
      <c r="J279" s="25"/>
      <c r="K279" s="19" t="str">
        <f>IFERROR(VLOOKUP(B279,'03. THIẾT BỊ'!$B$1:$S$836,10,0),"")</f>
        <v/>
      </c>
      <c r="L279" s="25" t="str">
        <f>IFERROR(VLOOKUP(B279,'03. THIẾT BỊ'!$B$1:$S$836,11,0),"")</f>
        <v/>
      </c>
      <c r="M279" s="24" t="str">
        <f>IFERROR(VLOOKUP(B279,'03. THIẾT BỊ'!$B$1:$S$836,12,0),"")</f>
        <v/>
      </c>
      <c r="N279" s="25" t="str">
        <f>IFERROR(VLOOKUP(B279,'03. THIẾT BỊ'!$B$1:$S$836,13,0),"")</f>
        <v/>
      </c>
      <c r="O279" s="24" t="str">
        <f>IFERROR(VLOOKUP(B279,'03. THIẾT BỊ'!$B$1:$S$836,14,0),"")</f>
        <v/>
      </c>
      <c r="P279" s="25" t="str">
        <f>IFERROR(VLOOKUP(B279,'03. THIẾT BỊ'!$B$1:$S$836,15,0),"")</f>
        <v/>
      </c>
      <c r="Q279" s="23" t="str">
        <f>IFERROR(VLOOKUP(B279,'03. THIẾT BỊ'!$B$1:$S$836,16,0),"")</f>
        <v/>
      </c>
      <c r="R279" s="25" t="str">
        <f>IFERROR(VLOOKUP(B279,'03. THIẾT BỊ'!$B$1:$S$836,17,0),"")</f>
        <v/>
      </c>
      <c r="S279" s="25" t="str">
        <f>IFERROR(VLOOKUP(B279,'03. THIẾT BỊ'!$B$1:$S$836,18,0),"")</f>
        <v/>
      </c>
      <c r="T279" s="41"/>
    </row>
    <row r="280" hidden="1" customHeight="1" spans="1:20">
      <c r="A280" s="324"/>
      <c r="B280" s="41"/>
      <c r="C280" s="613" t="str">
        <f>IFERROR(VLOOKUP(B280,'03. THIẾT BỊ'!$B$1:$S$836,2,0),"")</f>
        <v/>
      </c>
      <c r="D280" s="24" t="str">
        <f>IFERROR(VLOOKUP(B280,'03. THIẾT BỊ'!$B$1:$S$836,3,0),"")</f>
        <v/>
      </c>
      <c r="E280" s="20" t="str">
        <f>IFERROR(VLOOKUP(B280,'03. THIẾT BỊ'!$B$1:$S$836,4,0),"")</f>
        <v/>
      </c>
      <c r="F280" s="20" t="str">
        <f>IFERROR(VLOOKUP(B280,'03. THIẾT BỊ'!$B$1:$S$836,5,0),"")</f>
        <v/>
      </c>
      <c r="G280" s="101" t="s">
        <v>6468</v>
      </c>
      <c r="H280" s="19" t="str">
        <f>IFERROR(VLOOKUP(B280,'03. THIẾT BỊ'!$B$1:$S$836,7,0),"")</f>
        <v/>
      </c>
      <c r="I280" s="610" t="str">
        <f>IFERROR(VLOOKUP(B280,'03. THIẾT BỊ'!$B$1:$S$836,8,0),"")</f>
        <v/>
      </c>
      <c r="J280" s="25"/>
      <c r="K280" s="19" t="str">
        <f>IFERROR(VLOOKUP(B280,'03. THIẾT BỊ'!$B$1:$S$836,10,0),"")</f>
        <v/>
      </c>
      <c r="L280" s="25" t="str">
        <f>IFERROR(VLOOKUP(B280,'03. THIẾT BỊ'!$B$1:$S$836,11,0),"")</f>
        <v/>
      </c>
      <c r="M280" s="24" t="str">
        <f>IFERROR(VLOOKUP(B280,'03. THIẾT BỊ'!$B$1:$S$836,12,0),"")</f>
        <v/>
      </c>
      <c r="N280" s="25" t="str">
        <f>IFERROR(VLOOKUP(B280,'03. THIẾT BỊ'!$B$1:$S$836,13,0),"")</f>
        <v/>
      </c>
      <c r="O280" s="24" t="str">
        <f>IFERROR(VLOOKUP(B280,'03. THIẾT BỊ'!$B$1:$S$836,14,0),"")</f>
        <v/>
      </c>
      <c r="P280" s="25" t="str">
        <f>IFERROR(VLOOKUP(B280,'03. THIẾT BỊ'!$B$1:$S$836,15,0),"")</f>
        <v/>
      </c>
      <c r="Q280" s="23" t="str">
        <f>IFERROR(VLOOKUP(B280,'03. THIẾT BỊ'!$B$1:$S$836,16,0),"")</f>
        <v/>
      </c>
      <c r="R280" s="25" t="str">
        <f>IFERROR(VLOOKUP(B280,'03. THIẾT BỊ'!$B$1:$S$836,17,0),"")</f>
        <v/>
      </c>
      <c r="S280" s="25" t="str">
        <f>IFERROR(VLOOKUP(B280,'03. THIẾT BỊ'!$B$1:$S$836,18,0),"")</f>
        <v/>
      </c>
      <c r="T280" s="41"/>
    </row>
    <row r="281" hidden="1" customHeight="1" spans="1:20">
      <c r="A281" s="324"/>
      <c r="B281" s="41"/>
      <c r="C281" s="613" t="str">
        <f>IFERROR(VLOOKUP(B281,'03. THIẾT BỊ'!$B$1:$S$836,2,0),"")</f>
        <v/>
      </c>
      <c r="D281" s="24" t="str">
        <f>IFERROR(VLOOKUP(B281,'03. THIẾT BỊ'!$B$1:$S$836,3,0),"")</f>
        <v/>
      </c>
      <c r="E281" s="20" t="str">
        <f>IFERROR(VLOOKUP(B281,'03. THIẾT BỊ'!$B$1:$S$836,4,0),"")</f>
        <v/>
      </c>
      <c r="F281" s="20" t="str">
        <f>IFERROR(VLOOKUP(B281,'03. THIẾT BỊ'!$B$1:$S$836,5,0),"")</f>
        <v/>
      </c>
      <c r="G281" s="101" t="s">
        <v>6468</v>
      </c>
      <c r="H281" s="19" t="str">
        <f>IFERROR(VLOOKUP(B281,'03. THIẾT BỊ'!$B$1:$S$836,7,0),"")</f>
        <v/>
      </c>
      <c r="I281" s="610" t="str">
        <f>IFERROR(VLOOKUP(B281,'03. THIẾT BỊ'!$B$1:$S$836,8,0),"")</f>
        <v/>
      </c>
      <c r="J281" s="25"/>
      <c r="K281" s="19" t="str">
        <f>IFERROR(VLOOKUP(B281,'03. THIẾT BỊ'!$B$1:$S$836,10,0),"")</f>
        <v/>
      </c>
      <c r="L281" s="25" t="str">
        <f>IFERROR(VLOOKUP(B281,'03. THIẾT BỊ'!$B$1:$S$836,11,0),"")</f>
        <v/>
      </c>
      <c r="M281" s="24" t="str">
        <f>IFERROR(VLOOKUP(B281,'03. THIẾT BỊ'!$B$1:$S$836,12,0),"")</f>
        <v/>
      </c>
      <c r="N281" s="25" t="str">
        <f>IFERROR(VLOOKUP(B281,'03. THIẾT BỊ'!$B$1:$S$836,13,0),"")</f>
        <v/>
      </c>
      <c r="O281" s="24" t="str">
        <f>IFERROR(VLOOKUP(B281,'03. THIẾT BỊ'!$B$1:$S$836,14,0),"")</f>
        <v/>
      </c>
      <c r="P281" s="25" t="str">
        <f>IFERROR(VLOOKUP(B281,'03. THIẾT BỊ'!$B$1:$S$836,15,0),"")</f>
        <v/>
      </c>
      <c r="Q281" s="23" t="str">
        <f>IFERROR(VLOOKUP(B281,'03. THIẾT BỊ'!$B$1:$S$836,16,0),"")</f>
        <v/>
      </c>
      <c r="R281" s="25" t="str">
        <f>IFERROR(VLOOKUP(B281,'03. THIẾT BỊ'!$B$1:$S$836,17,0),"")</f>
        <v/>
      </c>
      <c r="S281" s="25" t="str">
        <f>IFERROR(VLOOKUP(B281,'03. THIẾT BỊ'!$B$1:$S$836,18,0),"")</f>
        <v/>
      </c>
      <c r="T281" s="41"/>
    </row>
    <row r="282" hidden="1" customHeight="1" spans="1:20">
      <c r="A282" s="324"/>
      <c r="B282" s="41"/>
      <c r="C282" s="613" t="str">
        <f>IFERROR(VLOOKUP(B282,'03. THIẾT BỊ'!$B$1:$S$836,2,0),"")</f>
        <v/>
      </c>
      <c r="D282" s="24" t="str">
        <f>IFERROR(VLOOKUP(B282,'03. THIẾT BỊ'!$B$1:$S$836,3,0),"")</f>
        <v/>
      </c>
      <c r="E282" s="20" t="str">
        <f>IFERROR(VLOOKUP(B282,'03. THIẾT BỊ'!$B$1:$S$836,4,0),"")</f>
        <v/>
      </c>
      <c r="F282" s="20" t="str">
        <f>IFERROR(VLOOKUP(B282,'03. THIẾT BỊ'!$B$1:$S$836,5,0),"")</f>
        <v/>
      </c>
      <c r="G282" s="101" t="s">
        <v>6468</v>
      </c>
      <c r="H282" s="19" t="str">
        <f>IFERROR(VLOOKUP(B282,'03. THIẾT BỊ'!$B$1:$S$836,7,0),"")</f>
        <v/>
      </c>
      <c r="I282" s="610" t="str">
        <f>IFERROR(VLOOKUP(B282,'03. THIẾT BỊ'!$B$1:$S$836,8,0),"")</f>
        <v/>
      </c>
      <c r="J282" s="25"/>
      <c r="K282" s="19" t="str">
        <f>IFERROR(VLOOKUP(B282,'03. THIẾT BỊ'!$B$1:$S$836,10,0),"")</f>
        <v/>
      </c>
      <c r="L282" s="25" t="str">
        <f>IFERROR(VLOOKUP(B282,'03. THIẾT BỊ'!$B$1:$S$836,11,0),"")</f>
        <v/>
      </c>
      <c r="M282" s="24" t="str">
        <f>IFERROR(VLOOKUP(B282,'03. THIẾT BỊ'!$B$1:$S$836,12,0),"")</f>
        <v/>
      </c>
      <c r="N282" s="25" t="str">
        <f>IFERROR(VLOOKUP(B282,'03. THIẾT BỊ'!$B$1:$S$836,13,0),"")</f>
        <v/>
      </c>
      <c r="O282" s="24" t="str">
        <f>IFERROR(VLOOKUP(B282,'03. THIẾT BỊ'!$B$1:$S$836,14,0),"")</f>
        <v/>
      </c>
      <c r="P282" s="25" t="str">
        <f>IFERROR(VLOOKUP(B282,'03. THIẾT BỊ'!$B$1:$S$836,15,0),"")</f>
        <v/>
      </c>
      <c r="Q282" s="23" t="str">
        <f>IFERROR(VLOOKUP(B282,'03. THIẾT BỊ'!$B$1:$S$836,16,0),"")</f>
        <v/>
      </c>
      <c r="R282" s="25" t="str">
        <f>IFERROR(VLOOKUP(B282,'03. THIẾT BỊ'!$B$1:$S$836,17,0),"")</f>
        <v/>
      </c>
      <c r="S282" s="25" t="str">
        <f>IFERROR(VLOOKUP(B282,'03. THIẾT BỊ'!$B$1:$S$836,18,0),"")</f>
        <v/>
      </c>
      <c r="T282" s="41"/>
    </row>
    <row r="283" customHeight="1" spans="1:20">
      <c r="A283" s="14" t="s">
        <v>290</v>
      </c>
      <c r="B283" s="15" t="s">
        <v>6486</v>
      </c>
      <c r="C283" s="14">
        <f>COUNTA(B284:B301)</f>
        <v>16</v>
      </c>
      <c r="D283" s="17" t="str">
        <f>IFERROR(VLOOKUP(B283,'03. THIẾT BỊ'!$B$1:$S$836,3,0),"")</f>
        <v/>
      </c>
      <c r="E283" s="20" t="str">
        <f>IFERROR(VLOOKUP(B283,'03. THIẾT BỊ'!$B$1:$S$836,4,0),"")</f>
        <v/>
      </c>
      <c r="F283" s="17" t="str">
        <f>IFERROR(VLOOKUP(B283,'03. THIẾT BỊ'!$B$1:$S$836,5,0),"")</f>
        <v/>
      </c>
      <c r="G283" s="18" t="s">
        <v>6468</v>
      </c>
      <c r="H283" s="18" t="str">
        <f>IFERROR(VLOOKUP(B283,'03. THIẾT BỊ'!$B$1:$S$836,7,0),"")</f>
        <v/>
      </c>
      <c r="I283" s="14" t="str">
        <f>IFERROR(VLOOKUP(B283,'03. THIẾT BỊ'!$B$1:$S$836,8,0),"")</f>
        <v/>
      </c>
      <c r="J283" s="15"/>
      <c r="K283" s="14" t="str">
        <f>IFERROR(VLOOKUP(B283,'03. THIẾT BỊ'!$B$1:$S$836,10,0),"")</f>
        <v/>
      </c>
      <c r="L283" s="17" t="str">
        <f>IFERROR(VLOOKUP(B283,'03. THIẾT BỊ'!$B$1:$S$836,11,0),"")</f>
        <v/>
      </c>
      <c r="M283" s="16" t="str">
        <f>IFERROR(VLOOKUP(B283,'03. THIẾT BỊ'!$B$1:$S$836,12,0),"")</f>
        <v/>
      </c>
      <c r="N283" s="17" t="str">
        <f>IFERROR(VLOOKUP(B283,'03. THIẾT BỊ'!$B$1:$S$836,13,0),"")</f>
        <v/>
      </c>
      <c r="O283" s="16" t="str">
        <f>IFERROR(VLOOKUP(B283,'03. THIẾT BỊ'!$B$1:$S$836,14,0),"")</f>
        <v/>
      </c>
      <c r="P283" s="17" t="str">
        <f>IFERROR(VLOOKUP(B283,'03. THIẾT BỊ'!$B$1:$S$836,15,0),"")</f>
        <v/>
      </c>
      <c r="Q283" s="18" t="str">
        <f>IFERROR(VLOOKUP(B283,'03. THIẾT BỊ'!$B$1:$S$836,16,0),"")</f>
        <v/>
      </c>
      <c r="R283" s="17" t="str">
        <f>IFERROR(VLOOKUP(B283,'03. THIẾT BỊ'!$B$1:$S$836,17,0),"")</f>
        <v/>
      </c>
      <c r="S283" s="17" t="str">
        <f>IFERROR(VLOOKUP(B283,'03. THIẾT BỊ'!$B$1:$S$836,18,0),"")</f>
        <v/>
      </c>
      <c r="T283" s="609"/>
    </row>
    <row r="284" customHeight="1" spans="1:20">
      <c r="A284" s="19">
        <v>1</v>
      </c>
      <c r="B284" s="20" t="s">
        <v>3928</v>
      </c>
      <c r="C284" s="613" t="str">
        <f>IFERROR(VLOOKUP(B284,'03. THIẾT BỊ'!$B$1:$S$836,2,0),"")</f>
        <v>XDP-RLT-001</v>
      </c>
      <c r="D284" s="24" t="str">
        <f>IFERROR(VLOOKUP(B284,'03. THIẾT BỊ'!$B$1:$S$836,3,0),"")</f>
        <v>A23-RLT-001</v>
      </c>
      <c r="E284" s="20" t="str">
        <f>IFERROR(VLOOKUP(B284,'03. THIẾT BỊ'!$B$1:$S$836,4,0),"")</f>
        <v>ĐQSD</v>
      </c>
      <c r="F284" s="20" t="str">
        <f>IFERROR(VLOOKUP(B284,'03. THIẾT BỊ'!$B$1:$S$836,5,0),"")</f>
        <v>Thiết bị rạch định vị hàng trồng 2 lưỡi</v>
      </c>
      <c r="G284" s="101" t="s">
        <v>6468</v>
      </c>
      <c r="H284" s="19" t="str">
        <f>IFERROR(VLOOKUP(B284,'03. THIẾT BỊ'!$B$1:$S$836,7,0),"")</f>
        <v>CGLĐ DP</v>
      </c>
      <c r="I284" s="610">
        <f>IFERROR(VLOOKUP(B284,'03. THIẾT BỊ'!$B$1:$S$836,8,0),"")</f>
        <v>0</v>
      </c>
      <c r="J284" s="25"/>
      <c r="K284" s="19" t="str">
        <f>IFERROR(VLOOKUP(B284,'03. THIẾT BỊ'!$B$1:$S$836,10,0),"")</f>
        <v>Bình thường</v>
      </c>
      <c r="L284" s="25">
        <f>IFERROR(VLOOKUP(B284,'03. THIẾT BỊ'!$B$1:$S$836,11,0),"")</f>
        <v>0</v>
      </c>
      <c r="M284" s="24">
        <f>IFERROR(VLOOKUP(B284,'03. THIẾT BỊ'!$B$1:$S$836,12,0),"")</f>
        <v>0</v>
      </c>
      <c r="N284" s="25" t="str">
        <f>IFERROR(VLOOKUP(B284,'03. THIẾT BỊ'!$B$1:$S$836,13,0),"")</f>
        <v>THACO AGRI</v>
      </c>
      <c r="O284" s="24" t="str">
        <f>IFERROR(VLOOKUP(B284,'03. THIẾT BỊ'!$B$1:$S$836,14,0),"")</f>
        <v>2 lưỡi</v>
      </c>
      <c r="P284" s="25" t="str">
        <f>IFERROR(VLOOKUP(B284,'03. THIẾT BỊ'!$B$1:$S$836,15,0),"")</f>
        <v>CK-CGH</v>
      </c>
      <c r="Q284" s="23">
        <f>IFERROR(VLOOKUP(B284,'03. THIẾT BỊ'!$B$1:$S$836,16,0),"")</f>
        <v>0</v>
      </c>
      <c r="R284" s="25">
        <f>IFERROR(VLOOKUP(B284,'03. THIẾT BỊ'!$B$1:$S$836,17,0),"")</f>
        <v>0</v>
      </c>
      <c r="S284" s="25">
        <f>IFERROR(VLOOKUP(B284,'03. THIẾT BỊ'!$B$1:$S$836,18,0),"")</f>
        <v>0</v>
      </c>
      <c r="T284" s="41"/>
    </row>
    <row r="285" customHeight="1" spans="1:20">
      <c r="A285" s="19">
        <f t="shared" ref="A285:A290" si="13">A284+1</f>
        <v>2</v>
      </c>
      <c r="B285" s="20" t="s">
        <v>3933</v>
      </c>
      <c r="C285" s="613" t="str">
        <f>IFERROR(VLOOKUP(B285,'03. THIẾT BỊ'!$B$1:$S$836,2,0),"")</f>
        <v>XDP-RLT-002</v>
      </c>
      <c r="D285" s="24" t="str">
        <f>IFERROR(VLOOKUP(B285,'03. THIẾT BỊ'!$B$1:$S$836,3,0),"")</f>
        <v>A23-RLT-002</v>
      </c>
      <c r="E285" s="20" t="str">
        <f>IFERROR(VLOOKUP(B285,'03. THIẾT BỊ'!$B$1:$S$836,4,0),"")</f>
        <v>ĐQSD</v>
      </c>
      <c r="F285" s="20" t="str">
        <f>IFERROR(VLOOKUP(B285,'03. THIẾT BỊ'!$B$1:$S$836,5,0),"")</f>
        <v>Thiết bị rạch định vị hàng trồng 2 lưỡi</v>
      </c>
      <c r="G285" s="101" t="s">
        <v>6468</v>
      </c>
      <c r="H285" s="19" t="str">
        <f>IFERROR(VLOOKUP(B285,'03. THIẾT BỊ'!$B$1:$S$836,7,0),"")</f>
        <v>CGLĐ DP</v>
      </c>
      <c r="I285" s="610">
        <f>IFERROR(VLOOKUP(B285,'03. THIẾT BỊ'!$B$1:$S$836,8,0),"")</f>
        <v>0</v>
      </c>
      <c r="J285" s="25"/>
      <c r="K285" s="19" t="str">
        <f>IFERROR(VLOOKUP(B285,'03. THIẾT BỊ'!$B$1:$S$836,10,0),"")</f>
        <v>Bình thường</v>
      </c>
      <c r="L285" s="25">
        <f>IFERROR(VLOOKUP(B285,'03. THIẾT BỊ'!$B$1:$S$836,11,0),"")</f>
        <v>0</v>
      </c>
      <c r="M285" s="24">
        <f>IFERROR(VLOOKUP(B285,'03. THIẾT BỊ'!$B$1:$S$836,12,0),"")</f>
        <v>0</v>
      </c>
      <c r="N285" s="25" t="str">
        <f>IFERROR(VLOOKUP(B285,'03. THIẾT BỊ'!$B$1:$S$836,13,0),"")</f>
        <v>THACO AGRI</v>
      </c>
      <c r="O285" s="24" t="str">
        <f>IFERROR(VLOOKUP(B285,'03. THIẾT BỊ'!$B$1:$S$836,14,0),"")</f>
        <v>2 lưỡi</v>
      </c>
      <c r="P285" s="25" t="str">
        <f>IFERROR(VLOOKUP(B285,'03. THIẾT BỊ'!$B$1:$S$836,15,0),"")</f>
        <v>CK-CGH</v>
      </c>
      <c r="Q285" s="23">
        <f>IFERROR(VLOOKUP(B285,'03. THIẾT BỊ'!$B$1:$S$836,16,0),"")</f>
        <v>0</v>
      </c>
      <c r="R285" s="25">
        <f>IFERROR(VLOOKUP(B285,'03. THIẾT BỊ'!$B$1:$S$836,17,0),"")</f>
        <v>0</v>
      </c>
      <c r="S285" s="25">
        <f>IFERROR(VLOOKUP(B285,'03. THIẾT BỊ'!$B$1:$S$836,18,0),"")</f>
        <v>0</v>
      </c>
      <c r="T285" s="41"/>
    </row>
    <row r="286" customHeight="1" spans="1:20">
      <c r="A286" s="19">
        <f t="shared" si="13"/>
        <v>3</v>
      </c>
      <c r="B286" s="20" t="s">
        <v>3977</v>
      </c>
      <c r="C286" s="613" t="str">
        <f>IFERROR(VLOOKUP(B286,'03. THIẾT BỊ'!$B$1:$S$836,2,0),"")</f>
        <v>CNN-TTC-001</v>
      </c>
      <c r="D286" s="24" t="str">
        <f>IFERROR(VLOOKUP(B286,'03. THIẾT BỊ'!$B$1:$S$836,3,0),"")</f>
        <v>A23-RLT-005</v>
      </c>
      <c r="E286" s="20" t="str">
        <f>IFERROR(VLOOKUP(B286,'03. THIẾT BỊ'!$B$1:$S$836,4,0),"")</f>
        <v>ĐQSD</v>
      </c>
      <c r="F286" s="20" t="str">
        <f>IFERROR(VLOOKUP(B286,'03. THIẾT BỊ'!$B$1:$S$836,5,0),"")</f>
        <v>Thiết bị rạch định vị hàng trồng 2 lưỡi</v>
      </c>
      <c r="G286" s="101" t="s">
        <v>6468</v>
      </c>
      <c r="H286" s="19" t="str">
        <f>IFERROR(VLOOKUP(B286,'03. THIẾT BỊ'!$B$1:$S$836,7,0),"")</f>
        <v>CGLĐ DP</v>
      </c>
      <c r="I286" s="610" t="str">
        <f>IFERROR(VLOOKUP(B286,'03. THIẾT BỊ'!$B$1:$S$836,8,0),"")</f>
        <v>27/05/2024</v>
      </c>
      <c r="J286" s="25"/>
      <c r="K286" s="19" t="str">
        <f>IFERROR(VLOOKUP(B286,'03. THIẾT BỊ'!$B$1:$S$836,10,0),"")</f>
        <v>Bình thường</v>
      </c>
      <c r="L286" s="25" t="str">
        <f>IFERROR(VLOOKUP(B286,'03. THIẾT BỊ'!$B$1:$S$836,11,0),"")</f>
        <v>CGLĐ AD CHUYỂN QUA</v>
      </c>
      <c r="M286" s="24">
        <f>IFERROR(VLOOKUP(B286,'03. THIẾT BỊ'!$B$1:$S$836,12,0),"")</f>
        <v>0</v>
      </c>
      <c r="N286" s="25" t="str">
        <f>IFERROR(VLOOKUP(B286,'03. THIẾT BỊ'!$B$1:$S$836,13,0),"")</f>
        <v>THACO AGRI</v>
      </c>
      <c r="O286" s="24">
        <f>IFERROR(VLOOKUP(B286,'03. THIẾT BỊ'!$B$1:$S$836,14,0),"")</f>
        <v>0</v>
      </c>
      <c r="P286" s="25" t="str">
        <f>IFERROR(VLOOKUP(B286,'03. THIẾT BỊ'!$B$1:$S$836,15,0),"")</f>
        <v>CK-CGH</v>
      </c>
      <c r="Q286" s="23">
        <f>IFERROR(VLOOKUP(B286,'03. THIẾT BỊ'!$B$1:$S$836,16,0),"")</f>
        <v>0</v>
      </c>
      <c r="R286" s="25">
        <f>IFERROR(VLOOKUP(B286,'03. THIẾT BỊ'!$B$1:$S$836,17,0),"")</f>
        <v>0</v>
      </c>
      <c r="S286" s="25">
        <f>IFERROR(VLOOKUP(B286,'03. THIẾT BỊ'!$B$1:$S$836,18,0),"")</f>
        <v>0</v>
      </c>
      <c r="T286" s="41"/>
    </row>
    <row r="287" customHeight="1" spans="1:20">
      <c r="A287" s="19">
        <f t="shared" si="13"/>
        <v>4</v>
      </c>
      <c r="B287" s="20" t="s">
        <v>4101</v>
      </c>
      <c r="C287" s="613" t="str">
        <f>IFERROR(VLOOKUP(B287,'03. THIẾT BỊ'!$B$1:$S$836,2,0),"")</f>
        <v>CNN-TTC -002</v>
      </c>
      <c r="D287" s="24" t="str">
        <f>IFERROR(VLOOKUP(B287,'03. THIẾT BỊ'!$B$1:$S$836,3,0),"")</f>
        <v>A24-RLT-003</v>
      </c>
      <c r="E287" s="20" t="str">
        <f>IFERROR(VLOOKUP(B287,'03. THIẾT BỊ'!$B$1:$S$836,4,0),"")</f>
        <v>ĐQSD</v>
      </c>
      <c r="F287" s="20" t="str">
        <f>IFERROR(VLOOKUP(B287,'03. THIẾT BỊ'!$B$1:$S$836,5,0),"")</f>
        <v>Thiết bị rạch định vị hàng trồng 2 lưỡi</v>
      </c>
      <c r="G287" s="101" t="s">
        <v>6468</v>
      </c>
      <c r="H287" s="19" t="str">
        <f>IFERROR(VLOOKUP(B287,'03. THIẾT BỊ'!$B$1:$S$836,7,0),"")</f>
        <v>CGLĐ LP</v>
      </c>
      <c r="I287" s="610">
        <f>IFERROR(VLOOKUP(B287,'03. THIẾT BỊ'!$B$1:$S$836,8,0),"")</f>
        <v>0</v>
      </c>
      <c r="J287" s="25"/>
      <c r="K287" s="19" t="str">
        <f>IFERROR(VLOOKUP(B287,'03. THIẾT BỊ'!$B$1:$S$836,10,0),"")</f>
        <v>Bình thường</v>
      </c>
      <c r="L287" s="25">
        <f>IFERROR(VLOOKUP(B287,'03. THIẾT BỊ'!$B$1:$S$836,11,0),"")</f>
        <v>0</v>
      </c>
      <c r="M287" s="24">
        <f>IFERROR(VLOOKUP(B287,'03. THIẾT BỊ'!$B$1:$S$836,12,0),"")</f>
        <v>0</v>
      </c>
      <c r="N287" s="25" t="str">
        <f>IFERROR(VLOOKUP(B287,'03. THIẾT BỊ'!$B$1:$S$836,13,0),"")</f>
        <v>CAMBODIA</v>
      </c>
      <c r="O287" s="24">
        <f>IFERROR(VLOOKUP(B287,'03. THIẾT BỊ'!$B$1:$S$836,14,0),"")</f>
        <v>0</v>
      </c>
      <c r="P287" s="25" t="str">
        <f>IFERROR(VLOOKUP(B287,'03. THIẾT BỊ'!$B$1:$S$836,15,0),"")</f>
        <v>CAMBODIA</v>
      </c>
      <c r="Q287" s="23">
        <f>IFERROR(VLOOKUP(B287,'03. THIẾT BỊ'!$B$1:$S$836,16,0),"")</f>
        <v>0</v>
      </c>
      <c r="R287" s="25">
        <f>IFERROR(VLOOKUP(B287,'03. THIẾT BỊ'!$B$1:$S$836,17,0),"")</f>
        <v>0</v>
      </c>
      <c r="S287" s="25">
        <f>IFERROR(VLOOKUP(B287,'03. THIẾT BỊ'!$B$1:$S$836,18,0),"")</f>
        <v>0</v>
      </c>
      <c r="T287" s="41"/>
    </row>
    <row r="288" customHeight="1" spans="1:20">
      <c r="A288" s="19">
        <f t="shared" si="13"/>
        <v>5</v>
      </c>
      <c r="B288" s="20" t="s">
        <v>4198</v>
      </c>
      <c r="C288" s="613" t="str">
        <f>IFERROR(VLOOKUP(B288,'03. THIẾT BỊ'!$B$1:$S$836,2,0),"")</f>
        <v>CNN-TTR-001</v>
      </c>
      <c r="D288" s="24" t="str">
        <f>IFERROR(VLOOKUP(B288,'03. THIẾT BỊ'!$B$1:$S$836,3,0),"")</f>
        <v>A22-RLT-004</v>
      </c>
      <c r="E288" s="20" t="str">
        <f>IFERROR(VLOOKUP(B288,'03. THIẾT BỊ'!$B$1:$S$836,4,0),"")</f>
        <v>ĐQSD</v>
      </c>
      <c r="F288" s="20" t="str">
        <f>IFERROR(VLOOKUP(B288,'03. THIẾT BỊ'!$B$1:$S$836,5,0),"")</f>
        <v>Thiết bị rạch định vị hàng trồng 2 lưỡi</v>
      </c>
      <c r="G288" s="101" t="s">
        <v>6468</v>
      </c>
      <c r="H288" s="19" t="str">
        <f>IFERROR(VLOOKUP(B288,'03. THIẾT BỊ'!$B$1:$S$836,7,0),"")</f>
        <v>XN Bò AD</v>
      </c>
      <c r="I288" s="610">
        <f>IFERROR(VLOOKUP(B288,'03. THIẾT BỊ'!$B$1:$S$836,8,0),"")</f>
        <v>0</v>
      </c>
      <c r="J288" s="25"/>
      <c r="K288" s="19" t="str">
        <f>IFERROR(VLOOKUP(B288,'03. THIẾT BỊ'!$B$1:$S$836,10,0),"")</f>
        <v>Bình thường</v>
      </c>
      <c r="L288" s="25">
        <f>IFERROR(VLOOKUP(B288,'03. THIẾT BỊ'!$B$1:$S$836,11,0),"")</f>
        <v>0</v>
      </c>
      <c r="M288" s="24">
        <f>IFERROR(VLOOKUP(B288,'03. THIẾT BỊ'!$B$1:$S$836,12,0),"")</f>
        <v>0</v>
      </c>
      <c r="N288" s="25" t="str">
        <f>IFERROR(VLOOKUP(B288,'03. THIẾT BỊ'!$B$1:$S$836,13,0),"")</f>
        <v>CAMBODIA</v>
      </c>
      <c r="O288" s="24">
        <f>IFERROR(VLOOKUP(B288,'03. THIẾT BỊ'!$B$1:$S$836,14,0),"")</f>
        <v>0</v>
      </c>
      <c r="P288" s="25" t="str">
        <f>IFERROR(VLOOKUP(B288,'03. THIẾT BỊ'!$B$1:$S$836,15,0),"")</f>
        <v>CAMBODIA</v>
      </c>
      <c r="Q288" s="23">
        <f>IFERROR(VLOOKUP(B288,'03. THIẾT BỊ'!$B$1:$S$836,16,0),"")</f>
        <v>0</v>
      </c>
      <c r="R288" s="25">
        <f>IFERROR(VLOOKUP(B288,'03. THIẾT BỊ'!$B$1:$S$836,17,0),"")</f>
        <v>0</v>
      </c>
      <c r="S288" s="25">
        <f>IFERROR(VLOOKUP(B288,'03. THIẾT BỊ'!$B$1:$S$836,18,0),"")</f>
        <v>0</v>
      </c>
      <c r="T288" s="41"/>
    </row>
    <row r="289" ht="27" customHeight="1" spans="1:20">
      <c r="A289" s="19">
        <f t="shared" si="13"/>
        <v>6</v>
      </c>
      <c r="B289" s="20" t="s">
        <v>3936</v>
      </c>
      <c r="C289" s="613">
        <f>IFERROR(VLOOKUP(B289,'03. THIẾT BỊ'!$B$1:$S$836,2,0),"")</f>
        <v>0</v>
      </c>
      <c r="D289" s="24" t="str">
        <f>IFERROR(VLOOKUP(B289,'03. THIẾT BỊ'!$B$1:$S$836,3,0),"")</f>
        <v>A23-RLT-006</v>
      </c>
      <c r="E289" s="20" t="str">
        <f>IFERROR(VLOOKUP(B289,'03. THIẾT BỊ'!$B$1:$S$836,4,0),"")</f>
        <v>ĐQSD</v>
      </c>
      <c r="F289" s="20" t="str">
        <f>IFERROR(VLOOKUP(B289,'03. THIẾT BỊ'!$B$1:$S$836,5,0),"")</f>
        <v>Thiết bị rạch định vị hàng trồng 2 lưỡi</v>
      </c>
      <c r="G289" s="101" t="s">
        <v>6468</v>
      </c>
      <c r="H289" s="19" t="str">
        <f>IFERROR(VLOOKUP(B289,'03. THIẾT BỊ'!$B$1:$S$836,7,0),"")</f>
        <v>CGLĐ DP</v>
      </c>
      <c r="I289" s="610">
        <f>IFERROR(VLOOKUP(B289,'03. THIẾT BỊ'!$B$1:$S$836,8,0),"")</f>
        <v>46176</v>
      </c>
      <c r="J289" s="25"/>
      <c r="K289" s="19" t="str">
        <f>IFERROR(VLOOKUP(B289,'03. THIẾT BỊ'!$B$1:$S$836,10,0),"")</f>
        <v>Bình thường</v>
      </c>
      <c r="L289" s="25" t="str">
        <f>IFERROR(VLOOKUP(B289,'03. THIẾT BỊ'!$B$1:$S$836,11,0),"")</f>
        <v>Gia công mới</v>
      </c>
      <c r="M289" s="24">
        <f>IFERROR(VLOOKUP(B289,'03. THIẾT BỊ'!$B$1:$S$836,12,0),"")</f>
        <v>0</v>
      </c>
      <c r="N289" s="25" t="str">
        <f>IFERROR(VLOOKUP(B289,'03. THIẾT BỊ'!$B$1:$S$836,13,0),"")</f>
        <v>THACO AGRI</v>
      </c>
      <c r="O289" s="24" t="str">
        <f>IFERROR(VLOOKUP(B289,'03. THIẾT BỊ'!$B$1:$S$836,14,0),"")</f>
        <v>2 lưỡi</v>
      </c>
      <c r="P289" s="25" t="str">
        <f>IFERROR(VLOOKUP(B289,'03. THIẾT BỊ'!$B$1:$S$836,15,0),"")</f>
        <v>CK-CGH</v>
      </c>
      <c r="Q289" s="23">
        <f>IFERROR(VLOOKUP(B289,'03. THIẾT BỊ'!$B$1:$S$836,16,0),"")</f>
        <v>0</v>
      </c>
      <c r="R289" s="25">
        <f>IFERROR(VLOOKUP(B289,'03. THIẾT BỊ'!$B$1:$S$836,17,0),"")</f>
        <v>0</v>
      </c>
      <c r="S289" s="25">
        <f>IFERROR(VLOOKUP(B289,'03. THIẾT BỊ'!$B$1:$S$836,18,0),"")</f>
        <v>0</v>
      </c>
      <c r="T289" s="41"/>
    </row>
    <row r="290" ht="27" customHeight="1" spans="1:20">
      <c r="A290" s="19">
        <f t="shared" si="13"/>
        <v>7</v>
      </c>
      <c r="B290" s="20" t="s">
        <v>3938</v>
      </c>
      <c r="C290" s="613">
        <f>IFERROR(VLOOKUP(B290,'03. THIẾT BỊ'!$B$1:$S$836,2,0),"")</f>
        <v>0</v>
      </c>
      <c r="D290" s="24" t="str">
        <f>IFERROR(VLOOKUP(B290,'03. THIẾT BỊ'!$B$1:$S$836,3,0),"")</f>
        <v>A24-RLT-007</v>
      </c>
      <c r="E290" s="20" t="str">
        <f>IFERROR(VLOOKUP(B290,'03. THIẾT BỊ'!$B$1:$S$836,4,0),"")</f>
        <v>ĐQSD</v>
      </c>
      <c r="F290" s="20" t="str">
        <f>IFERROR(VLOOKUP(B290,'03. THIẾT BỊ'!$B$1:$S$836,5,0),"")</f>
        <v>Thiết bị rạch định vị hàng trồng 2 lưỡi</v>
      </c>
      <c r="G290" s="101" t="s">
        <v>6468</v>
      </c>
      <c r="H290" s="19" t="str">
        <f>IFERROR(VLOOKUP(B290,'03. THIẾT BỊ'!$B$1:$S$836,7,0),"")</f>
        <v>CGLĐ DP</v>
      </c>
      <c r="I290" s="610">
        <f>IFERROR(VLOOKUP(B290,'03. THIẾT BỊ'!$B$1:$S$836,8,0),"")</f>
        <v>46176</v>
      </c>
      <c r="J290" s="25"/>
      <c r="K290" s="19" t="str">
        <f>IFERROR(VLOOKUP(B290,'03. THIẾT BỊ'!$B$1:$S$836,10,0),"")</f>
        <v>Bình thường</v>
      </c>
      <c r="L290" s="25" t="str">
        <f>IFERROR(VLOOKUP(B290,'03. THIẾT BỊ'!$B$1:$S$836,11,0),"")</f>
        <v>Gia công mới</v>
      </c>
      <c r="M290" s="24">
        <f>IFERROR(VLOOKUP(B290,'03. THIẾT BỊ'!$B$1:$S$836,12,0),"")</f>
        <v>0</v>
      </c>
      <c r="N290" s="25" t="str">
        <f>IFERROR(VLOOKUP(B290,'03. THIẾT BỊ'!$B$1:$S$836,13,0),"")</f>
        <v>THACO AGRI</v>
      </c>
      <c r="O290" s="24" t="str">
        <f>IFERROR(VLOOKUP(B290,'03. THIẾT BỊ'!$B$1:$S$836,14,0),"")</f>
        <v>2 lưỡi</v>
      </c>
      <c r="P290" s="25" t="str">
        <f>IFERROR(VLOOKUP(B290,'03. THIẾT BỊ'!$B$1:$S$836,15,0),"")</f>
        <v>CK-CGH</v>
      </c>
      <c r="Q290" s="23">
        <f>IFERROR(VLOOKUP(B290,'03. THIẾT BỊ'!$B$1:$S$836,16,0),"")</f>
        <v>0</v>
      </c>
      <c r="R290" s="25">
        <f>IFERROR(VLOOKUP(B290,'03. THIẾT BỊ'!$B$1:$S$836,17,0),"")</f>
        <v>0</v>
      </c>
      <c r="S290" s="25">
        <f>IFERROR(VLOOKUP(B290,'03. THIẾT BỊ'!$B$1:$S$836,18,0),"")</f>
        <v>0</v>
      </c>
      <c r="T290" s="41"/>
    </row>
    <row r="291" ht="27" customHeight="1" spans="1:20">
      <c r="A291" s="19">
        <f>A288+1</f>
        <v>6</v>
      </c>
      <c r="B291" s="38" t="s">
        <v>5668</v>
      </c>
      <c r="C291" s="613">
        <f>IFERROR(VLOOKUP(B291,'03. THIẾT BỊ'!$B$1:$S$836,2,0),"")</f>
        <v>0</v>
      </c>
      <c r="D291" s="24" t="str">
        <f>IFERROR(VLOOKUP(B291,'03. THIẾT BỊ'!$B$1:$S$836,3,0),"")</f>
        <v>A22-RLT-001</v>
      </c>
      <c r="E291" s="20" t="str">
        <f>IFERROR(VLOOKUP(B291,'03. THIẾT BỊ'!$B$1:$S$836,4,0),"")</f>
        <v>ĐQSD</v>
      </c>
      <c r="F291" s="20" t="str">
        <f>IFERROR(VLOOKUP(B291,'03. THIẾT BỊ'!$B$1:$S$836,5,0),"")</f>
        <v>Thiết bị rạch luống trồng cỏ (6 hàng)</v>
      </c>
      <c r="G291" s="101" t="s">
        <v>6468</v>
      </c>
      <c r="H291" s="19" t="str">
        <f>IFERROR(VLOOKUP(B291,'03. THIẾT BỊ'!$B$1:$S$836,7,0),"")</f>
        <v>XN Bò AD</v>
      </c>
      <c r="I291" s="610" t="str">
        <f>IFERROR(VLOOKUP(B291,'03. THIẾT BỊ'!$B$1:$S$836,8,0),"")</f>
        <v>17/02/2025</v>
      </c>
      <c r="J291" s="25"/>
      <c r="K291" s="19" t="str">
        <f>IFERROR(VLOOKUP(B291,'03. THIẾT BỊ'!$B$1:$S$836,10,0),"")</f>
        <v>Bình thường</v>
      </c>
      <c r="L291" s="25">
        <f>IFERROR(VLOOKUP(B291,'03. THIẾT BỊ'!$B$1:$S$836,11,0),"")</f>
        <v>0</v>
      </c>
      <c r="M291" s="24" t="str">
        <f>IFERROR(VLOOKUP(B291,'03. THIẾT BỊ'!$B$1:$S$836,12,0),"")</f>
        <v>Gia công mới</v>
      </c>
      <c r="N291" s="25" t="str">
        <f>IFERROR(VLOOKUP(B291,'03. THIẾT BỊ'!$B$1:$S$836,13,0),"")</f>
        <v>THACO AGRI</v>
      </c>
      <c r="O291" s="24" t="str">
        <f>IFERROR(VLOOKUP(B291,'03. THIẾT BỊ'!$B$1:$S$836,14,0),"")</f>
        <v>6 hàng</v>
      </c>
      <c r="P291" s="25" t="str">
        <f>IFERROR(VLOOKUP(B291,'03. THIẾT BỊ'!$B$1:$S$836,15,0),"")</f>
        <v>CK-CGH</v>
      </c>
      <c r="Q291" s="23">
        <f>IFERROR(VLOOKUP(B291,'03. THIẾT BỊ'!$B$1:$S$836,16,0),"")</f>
        <v>0</v>
      </c>
      <c r="R291" s="25">
        <f>IFERROR(VLOOKUP(B291,'03. THIẾT BỊ'!$B$1:$S$836,17,0),"")</f>
        <v>0</v>
      </c>
      <c r="S291" s="25">
        <f>IFERROR(VLOOKUP(B291,'03. THIẾT BỊ'!$B$1:$S$836,18,0),"")</f>
        <v>0</v>
      </c>
      <c r="T291" s="41"/>
    </row>
    <row r="292" ht="24.75" customHeight="1" spans="1:20">
      <c r="A292" s="19">
        <f t="shared" ref="A292:A299" si="14">A291+1</f>
        <v>7</v>
      </c>
      <c r="B292" s="20" t="s">
        <v>5671</v>
      </c>
      <c r="C292" s="613">
        <f>IFERROR(VLOOKUP(B292,'03. THIẾT BỊ'!$B$1:$S$836,2,0),"")</f>
        <v>0</v>
      </c>
      <c r="D292" s="24" t="str">
        <f>IFERROR(VLOOKUP(B292,'03. THIẾT BỊ'!$B$1:$S$836,3,0),"")</f>
        <v>A22-RLT-002</v>
      </c>
      <c r="E292" s="20" t="str">
        <f>IFERROR(VLOOKUP(B292,'03. THIẾT BỊ'!$B$1:$S$836,4,0),"")</f>
        <v>ĐQSD</v>
      </c>
      <c r="F292" s="20" t="str">
        <f>IFERROR(VLOOKUP(B292,'03. THIẾT BỊ'!$B$1:$S$836,5,0),"")</f>
        <v>Thiết bị rạch luống trồng cỏ (4 hàng)</v>
      </c>
      <c r="G292" s="101" t="s">
        <v>6468</v>
      </c>
      <c r="H292" s="19" t="str">
        <f>IFERROR(VLOOKUP(B292,'03. THIẾT BỊ'!$B$1:$S$836,7,0),"")</f>
        <v>XN Bò AD</v>
      </c>
      <c r="I292" s="610" t="str">
        <f>IFERROR(VLOOKUP(B292,'03. THIẾT BỊ'!$B$1:$S$836,8,0),"")</f>
        <v>29/03/2025</v>
      </c>
      <c r="J292" s="25"/>
      <c r="K292" s="19" t="str">
        <f>IFERROR(VLOOKUP(B292,'03. THIẾT BỊ'!$B$1:$S$836,10,0),"")</f>
        <v>Bình thường</v>
      </c>
      <c r="L292" s="25">
        <f>IFERROR(VLOOKUP(B292,'03. THIẾT BỊ'!$B$1:$S$836,11,0),"")</f>
        <v>0</v>
      </c>
      <c r="M292" s="24" t="str">
        <f>IFERROR(VLOOKUP(B292,'03. THIẾT BỊ'!$B$1:$S$836,12,0),"")</f>
        <v>Gia công mới</v>
      </c>
      <c r="N292" s="25" t="str">
        <f>IFERROR(VLOOKUP(B292,'03. THIẾT BỊ'!$B$1:$S$836,13,0),"")</f>
        <v>THACO AGRI</v>
      </c>
      <c r="O292" s="24" t="str">
        <f>IFERROR(VLOOKUP(B292,'03. THIẾT BỊ'!$B$1:$S$836,14,0),"")</f>
        <v>CK-DTC-03</v>
      </c>
      <c r="P292" s="25" t="str">
        <f>IFERROR(VLOOKUP(B292,'03. THIẾT BỊ'!$B$1:$S$836,15,0),"")</f>
        <v>CK-CGH</v>
      </c>
      <c r="Q292" s="23">
        <f>IFERROR(VLOOKUP(B292,'03. THIẾT BỊ'!$B$1:$S$836,16,0),"")</f>
        <v>2025</v>
      </c>
      <c r="R292" s="25" t="str">
        <f>IFERROR(VLOOKUP(B292,'03. THIẾT BỊ'!$B$1:$S$836,17,0),"")</f>
        <v>3.6x2.7x1.34</v>
      </c>
      <c r="S292" s="25">
        <f>IFERROR(VLOOKUP(B292,'03. THIẾT BỊ'!$B$1:$S$836,18,0),"")</f>
        <v>3</v>
      </c>
      <c r="T292" s="41"/>
    </row>
    <row r="293" ht="24.75" customHeight="1" spans="1:20">
      <c r="A293" s="19">
        <f t="shared" si="14"/>
        <v>8</v>
      </c>
      <c r="B293" s="20" t="s">
        <v>5674</v>
      </c>
      <c r="C293" s="613">
        <f>IFERROR(VLOOKUP(B293,'03. THIẾT BỊ'!$B$1:$S$836,2,0),"")</f>
        <v>0</v>
      </c>
      <c r="D293" s="24" t="str">
        <f>IFERROR(VLOOKUP(B293,'03. THIẾT BỊ'!$B$1:$S$836,3,0),"")</f>
        <v>A22-RLT-003</v>
      </c>
      <c r="E293" s="20" t="str">
        <f>IFERROR(VLOOKUP(B293,'03. THIẾT BỊ'!$B$1:$S$836,4,0),"")</f>
        <v>ĐQSD</v>
      </c>
      <c r="F293" s="20" t="str">
        <f>IFERROR(VLOOKUP(B293,'03. THIẾT BỊ'!$B$1:$S$836,5,0),"")</f>
        <v>Thiết bị rạch luống trồng cỏ (4 hàng)</v>
      </c>
      <c r="G293" s="101" t="s">
        <v>6468</v>
      </c>
      <c r="H293" s="19" t="str">
        <f>IFERROR(VLOOKUP(B293,'03. THIẾT BỊ'!$B$1:$S$836,7,0),"")</f>
        <v>XN Bò AD</v>
      </c>
      <c r="I293" s="610">
        <f>IFERROR(VLOOKUP(B293,'03. THIẾT BỊ'!$B$1:$S$836,8,0),"")</f>
        <v>45692</v>
      </c>
      <c r="J293" s="25"/>
      <c r="K293" s="19" t="str">
        <f>IFERROR(VLOOKUP(B293,'03. THIẾT BỊ'!$B$1:$S$836,10,0),"")</f>
        <v>Bình thường</v>
      </c>
      <c r="L293" s="25">
        <f>IFERROR(VLOOKUP(B293,'03. THIẾT BỊ'!$B$1:$S$836,11,0),"")</f>
        <v>0</v>
      </c>
      <c r="M293" s="24" t="str">
        <f>IFERROR(VLOOKUP(B293,'03. THIẾT BỊ'!$B$1:$S$836,12,0),"")</f>
        <v>Gia công mới</v>
      </c>
      <c r="N293" s="25" t="str">
        <f>IFERROR(VLOOKUP(B293,'03. THIẾT BỊ'!$B$1:$S$836,13,0),"")</f>
        <v>THACO AGRI</v>
      </c>
      <c r="O293" s="24" t="str">
        <f>IFERROR(VLOOKUP(B293,'03. THIẾT BỊ'!$B$1:$S$836,14,0),"")</f>
        <v>CK-DTC-04</v>
      </c>
      <c r="P293" s="25" t="str">
        <f>IFERROR(VLOOKUP(B293,'03. THIẾT BỊ'!$B$1:$S$836,15,0),"")</f>
        <v>CK-CGH</v>
      </c>
      <c r="Q293" s="23">
        <f>IFERROR(VLOOKUP(B293,'03. THIẾT BỊ'!$B$1:$S$836,16,0),"")</f>
        <v>2025</v>
      </c>
      <c r="R293" s="25" t="str">
        <f>IFERROR(VLOOKUP(B293,'03. THIẾT BỊ'!$B$1:$S$836,17,0),"")</f>
        <v>3.6x2.7x1.34</v>
      </c>
      <c r="S293" s="25">
        <f>IFERROR(VLOOKUP(B293,'03. THIẾT BỊ'!$B$1:$S$836,18,0),"")</f>
        <v>0</v>
      </c>
      <c r="T293" s="41"/>
    </row>
    <row r="294" ht="26.25" customHeight="1" spans="1:20">
      <c r="A294" s="19">
        <f t="shared" si="14"/>
        <v>9</v>
      </c>
      <c r="B294" s="20" t="s">
        <v>5677</v>
      </c>
      <c r="C294" s="613">
        <f>IFERROR(VLOOKUP(B294,'03. THIẾT BỊ'!$B$1:$S$836,2,0),"")</f>
        <v>0</v>
      </c>
      <c r="D294" s="24" t="str">
        <f>IFERROR(VLOOKUP(B294,'03. THIẾT BỊ'!$B$1:$S$836,3,0),"")</f>
        <v>A22-RLT-004</v>
      </c>
      <c r="E294" s="20" t="str">
        <f>IFERROR(VLOOKUP(B294,'03. THIẾT BỊ'!$B$1:$S$836,4,0),"")</f>
        <v>ĐQSD</v>
      </c>
      <c r="F294" s="20" t="str">
        <f>IFERROR(VLOOKUP(B294,'03. THIẾT BỊ'!$B$1:$S$836,5,0),"")</f>
        <v>Thiết bị rạch luống trồng cỏ (4 hàng)</v>
      </c>
      <c r="G294" s="101" t="s">
        <v>6468</v>
      </c>
      <c r="H294" s="19" t="str">
        <f>IFERROR(VLOOKUP(B294,'03. THIẾT BỊ'!$B$1:$S$836,7,0),"")</f>
        <v>XN Bò AD</v>
      </c>
      <c r="I294" s="610" t="str">
        <f>IFERROR(VLOOKUP(B294,'03. THIẾT BỊ'!$B$1:$S$836,8,0),"")</f>
        <v>21/06/2025</v>
      </c>
      <c r="J294" s="25"/>
      <c r="K294" s="19" t="str">
        <f>IFERROR(VLOOKUP(B294,'03. THIẾT BỊ'!$B$1:$S$836,10,0),"")</f>
        <v>Bình thường</v>
      </c>
      <c r="L294" s="25">
        <f>IFERROR(VLOOKUP(B294,'03. THIẾT BỊ'!$B$1:$S$836,11,0),"")</f>
        <v>0</v>
      </c>
      <c r="M294" s="24" t="str">
        <f>IFERROR(VLOOKUP(B294,'03. THIẾT BỊ'!$B$1:$S$836,12,0),"")</f>
        <v>Gia công mới</v>
      </c>
      <c r="N294" s="25" t="str">
        <f>IFERROR(VLOOKUP(B294,'03. THIẾT BỊ'!$B$1:$S$836,13,0),"")</f>
        <v>THACO AGRI</v>
      </c>
      <c r="O294" s="24" t="str">
        <f>IFERROR(VLOOKUP(B294,'03. THIẾT BỊ'!$B$1:$S$836,14,0),"")</f>
        <v>CK-DTC-05</v>
      </c>
      <c r="P294" s="25" t="str">
        <f>IFERROR(VLOOKUP(B294,'03. THIẾT BỊ'!$B$1:$S$836,15,0),"")</f>
        <v>CK-CGH</v>
      </c>
      <c r="Q294" s="23">
        <f>IFERROR(VLOOKUP(B294,'03. THIẾT BỊ'!$B$1:$S$836,16,0),"")</f>
        <v>2025</v>
      </c>
      <c r="R294" s="25" t="str">
        <f>IFERROR(VLOOKUP(B294,'03. THIẾT BỊ'!$B$1:$S$836,17,0),"")</f>
        <v>3.6x2.7x1.34</v>
      </c>
      <c r="S294" s="25">
        <f>IFERROR(VLOOKUP(B294,'03. THIẾT BỊ'!$B$1:$S$836,18,0),"")</f>
        <v>0</v>
      </c>
      <c r="T294" s="41"/>
    </row>
    <row r="295" customHeight="1" spans="1:20">
      <c r="A295" s="19">
        <f t="shared" si="14"/>
        <v>10</v>
      </c>
      <c r="B295" s="20" t="s">
        <v>5447</v>
      </c>
      <c r="C295" s="613">
        <f>IFERROR(VLOOKUP(B295,'03. THIẾT BỊ'!$B$1:$S$836,2,0),"")</f>
        <v>0</v>
      </c>
      <c r="D295" s="24" t="str">
        <f>IFERROR(VLOOKUP(B295,'03. THIẾT BỊ'!$B$1:$S$836,3,0),"")</f>
        <v>A22-CRL-001</v>
      </c>
      <c r="E295" s="20" t="str">
        <f>IFERROR(VLOOKUP(B295,'03. THIẾT BỊ'!$B$1:$S$836,4,0),"")</f>
        <v>ĐQSD</v>
      </c>
      <c r="F295" s="20" t="str">
        <f>IFERROR(VLOOKUP(B295,'03. THIẾT BỊ'!$B$1:$S$836,5,0),"")</f>
        <v>Cày rạch luống 4 rãnh</v>
      </c>
      <c r="G295" s="101" t="s">
        <v>6468</v>
      </c>
      <c r="H295" s="19" t="str">
        <f>IFERROR(VLOOKUP(B295,'03. THIẾT BỊ'!$B$1:$S$836,7,0),"")</f>
        <v>XN Bò AD</v>
      </c>
      <c r="I295" s="610">
        <f>IFERROR(VLOOKUP(B295,'03. THIẾT BỊ'!$B$1:$S$836,8,0),"")</f>
        <v>0</v>
      </c>
      <c r="J295" s="25"/>
      <c r="K295" s="19" t="str">
        <f>IFERROR(VLOOKUP(B295,'03. THIẾT BỊ'!$B$1:$S$836,10,0),"")</f>
        <v>Bình thường</v>
      </c>
      <c r="L295" s="25">
        <f>IFERROR(VLOOKUP(B295,'03. THIẾT BỊ'!$B$1:$S$836,11,0),"")</f>
        <v>0</v>
      </c>
      <c r="M295" s="24">
        <f>IFERROR(VLOOKUP(B295,'03. THIẾT BỊ'!$B$1:$S$836,12,0),"")</f>
        <v>0</v>
      </c>
      <c r="N295" s="25" t="str">
        <f>IFERROR(VLOOKUP(B295,'03. THIẾT BỊ'!$B$1:$S$836,13,0),"")</f>
        <v>THACO AGRI</v>
      </c>
      <c r="O295" s="24" t="str">
        <f>IFERROR(VLOOKUP(B295,'03. THIẾT BỊ'!$B$1:$S$836,14,0),"")</f>
        <v>4 rãnh</v>
      </c>
      <c r="P295" s="25" t="str">
        <f>IFERROR(VLOOKUP(B295,'03. THIẾT BỊ'!$B$1:$S$836,15,0),"")</f>
        <v>CK-CGH</v>
      </c>
      <c r="Q295" s="23">
        <f>IFERROR(VLOOKUP(B295,'03. THIẾT BỊ'!$B$1:$S$836,16,0),"")</f>
        <v>0</v>
      </c>
      <c r="R295" s="25">
        <f>IFERROR(VLOOKUP(B295,'03. THIẾT BỊ'!$B$1:$S$836,17,0),"")</f>
        <v>0</v>
      </c>
      <c r="S295" s="25">
        <f>IFERROR(VLOOKUP(B295,'03. THIẾT BỊ'!$B$1:$S$836,18,0),"")</f>
        <v>0</v>
      </c>
      <c r="T295" s="41"/>
    </row>
    <row r="296" customHeight="1" spans="1:20">
      <c r="A296" s="19">
        <f t="shared" si="14"/>
        <v>11</v>
      </c>
      <c r="B296" s="20" t="s">
        <v>5451</v>
      </c>
      <c r="C296" s="613">
        <f>IFERROR(VLOOKUP(B296,'03. THIẾT BỊ'!$B$1:$S$836,2,0),"")</f>
        <v>0</v>
      </c>
      <c r="D296" s="24" t="str">
        <f>IFERROR(VLOOKUP(B296,'03. THIẾT BỊ'!$B$1:$S$836,3,0),"")</f>
        <v>A22-CRL-002</v>
      </c>
      <c r="E296" s="20" t="str">
        <f>IFERROR(VLOOKUP(B296,'03. THIẾT BỊ'!$B$1:$S$836,4,0),"")</f>
        <v>ĐQSD</v>
      </c>
      <c r="F296" s="20" t="str">
        <f>IFERROR(VLOOKUP(B296,'03. THIẾT BỊ'!$B$1:$S$836,5,0),"")</f>
        <v>Cày rạch luống 2 rãnh</v>
      </c>
      <c r="G296" s="101" t="s">
        <v>6468</v>
      </c>
      <c r="H296" s="19" t="str">
        <f>IFERROR(VLOOKUP(B296,'03. THIẾT BỊ'!$B$1:$S$836,7,0),"")</f>
        <v>XN Bò AD</v>
      </c>
      <c r="I296" s="610">
        <f>IFERROR(VLOOKUP(B296,'03. THIẾT BỊ'!$B$1:$S$836,8,0),"")</f>
        <v>0</v>
      </c>
      <c r="J296" s="25"/>
      <c r="K296" s="19" t="str">
        <f>IFERROR(VLOOKUP(B296,'03. THIẾT BỊ'!$B$1:$S$836,10,0),"")</f>
        <v>Bình thường</v>
      </c>
      <c r="L296" s="25">
        <f>IFERROR(VLOOKUP(B296,'03. THIẾT BỊ'!$B$1:$S$836,11,0),"")</f>
        <v>0</v>
      </c>
      <c r="M296" s="24">
        <f>IFERROR(VLOOKUP(B296,'03. THIẾT BỊ'!$B$1:$S$836,12,0),"")</f>
        <v>0</v>
      </c>
      <c r="N296" s="25" t="str">
        <f>IFERROR(VLOOKUP(B296,'03. THIẾT BỊ'!$B$1:$S$836,13,0),"")</f>
        <v>THACO AGRI</v>
      </c>
      <c r="O296" s="24" t="str">
        <f>IFERROR(VLOOKUP(B296,'03. THIẾT BỊ'!$B$1:$S$836,14,0),"")</f>
        <v>2 rãnh</v>
      </c>
      <c r="P296" s="25" t="str">
        <f>IFERROR(VLOOKUP(B296,'03. THIẾT BỊ'!$B$1:$S$836,15,0),"")</f>
        <v>CK-CGH</v>
      </c>
      <c r="Q296" s="23">
        <f>IFERROR(VLOOKUP(B296,'03. THIẾT BỊ'!$B$1:$S$836,16,0),"")</f>
        <v>0</v>
      </c>
      <c r="R296" s="25">
        <f>IFERROR(VLOOKUP(B296,'03. THIẾT BỊ'!$B$1:$S$836,17,0),"")</f>
        <v>0</v>
      </c>
      <c r="S296" s="25">
        <f>IFERROR(VLOOKUP(B296,'03. THIẾT BỊ'!$B$1:$S$836,18,0),"")</f>
        <v>0</v>
      </c>
      <c r="T296" s="41"/>
    </row>
    <row r="297" customHeight="1" spans="1:20">
      <c r="A297" s="19">
        <f t="shared" si="14"/>
        <v>12</v>
      </c>
      <c r="B297" s="20" t="s">
        <v>4023</v>
      </c>
      <c r="C297" s="613">
        <f>IFERROR(VLOOKUP(B297,'03. THIẾT BỊ'!$B$1:$S$836,2,0),"")</f>
        <v>0</v>
      </c>
      <c r="D297" s="24" t="str">
        <f>IFERROR(VLOOKUP(B297,'03. THIẾT BỊ'!$B$1:$S$836,3,0),"")</f>
        <v>A23-RTC-001</v>
      </c>
      <c r="E297" s="20" t="str">
        <f>IFERROR(VLOOKUP(B297,'03. THIẾT BỊ'!$B$1:$S$836,4,0),"")</f>
        <v>ĐQSD</v>
      </c>
      <c r="F297" s="20" t="str">
        <f>IFERROR(VLOOKUP(B297,'03. THIẾT BỊ'!$B$1:$S$836,5,0),"")</f>
        <v>Thiết bị rạch luống trồng chuối</v>
      </c>
      <c r="G297" s="101" t="s">
        <v>6468</v>
      </c>
      <c r="H297" s="19" t="str">
        <f>IFERROR(VLOOKUP(B297,'03. THIẾT BỊ'!$B$1:$S$836,7,0),"")</f>
        <v>CGLĐ DP</v>
      </c>
      <c r="I297" s="610" t="str">
        <f>IFERROR(VLOOKUP(B297,'03. THIẾT BỊ'!$B$1:$S$836,8,0),"")</f>
        <v>13/05/2025</v>
      </c>
      <c r="J297" s="25"/>
      <c r="K297" s="19" t="str">
        <f>IFERROR(VLOOKUP(B297,'03. THIẾT BỊ'!$B$1:$S$836,10,0),"")</f>
        <v>Bình thường</v>
      </c>
      <c r="L297" s="25" t="str">
        <f>IFERROR(VLOOKUP(B297,'03. THIẾT BỊ'!$B$1:$S$836,11,0),"")</f>
        <v>Gia công mới</v>
      </c>
      <c r="M297" s="24">
        <f>IFERROR(VLOOKUP(B297,'03. THIẾT BỊ'!$B$1:$S$836,12,0),"")</f>
        <v>0</v>
      </c>
      <c r="N297" s="25" t="str">
        <f>IFERROR(VLOOKUP(B297,'03. THIẾT BỊ'!$B$1:$S$836,13,0),"")</f>
        <v>THACO AGRI</v>
      </c>
      <c r="O297" s="24" t="str">
        <f>IFERROR(VLOOKUP(B297,'03. THIẾT BỊ'!$B$1:$S$836,14,0),"")</f>
        <v>CK-DTC-01</v>
      </c>
      <c r="P297" s="25" t="str">
        <f>IFERROR(VLOOKUP(B297,'03. THIẾT BỊ'!$B$1:$S$836,15,0),"")</f>
        <v>CAMBODIA</v>
      </c>
      <c r="Q297" s="23">
        <f>IFERROR(VLOOKUP(B297,'03. THIẾT BỊ'!$B$1:$S$836,16,0),"")</f>
        <v>2025</v>
      </c>
      <c r="R297" s="25">
        <f>IFERROR(VLOOKUP(B297,'03. THIẾT BỊ'!$B$1:$S$836,17,0),"")</f>
        <v>0</v>
      </c>
      <c r="S297" s="25">
        <f>IFERROR(VLOOKUP(B297,'03. THIẾT BỊ'!$B$1:$S$836,18,0),"")</f>
        <v>0</v>
      </c>
      <c r="T297" s="41"/>
    </row>
    <row r="298" ht="13.8" spans="1:20">
      <c r="A298" s="19">
        <f t="shared" si="14"/>
        <v>13</v>
      </c>
      <c r="B298" s="20" t="s">
        <v>4027</v>
      </c>
      <c r="C298" s="613">
        <f>IFERROR(VLOOKUP(B298,'03. THIẾT BỊ'!$B$1:$S$836,2,0),"")</f>
        <v>0</v>
      </c>
      <c r="D298" s="24" t="str">
        <f>IFERROR(VLOOKUP(B298,'03. THIẾT BỊ'!$B$1:$S$836,3,0),"")</f>
        <v>A23-RTC-002</v>
      </c>
      <c r="E298" s="20" t="str">
        <f>IFERROR(VLOOKUP(B298,'03. THIẾT BỊ'!$B$1:$S$836,4,0),"")</f>
        <v>ĐQSD</v>
      </c>
      <c r="F298" s="20" t="str">
        <f>IFERROR(VLOOKUP(B298,'03. THIẾT BỊ'!$B$1:$S$836,5,0),"")</f>
        <v>Thiết bị rạch luống trồng chuối</v>
      </c>
      <c r="G298" s="101" t="s">
        <v>6468</v>
      </c>
      <c r="H298" s="19" t="str">
        <f>IFERROR(VLOOKUP(B298,'03. THIẾT BỊ'!$B$1:$S$836,7,0),"")</f>
        <v>CGLĐ DP</v>
      </c>
      <c r="I298" s="610">
        <f>IFERROR(VLOOKUP(B298,'03. THIẾT BỊ'!$B$1:$S$836,8,0),"")</f>
        <v>46002</v>
      </c>
      <c r="J298" s="25"/>
      <c r="K298" s="19" t="str">
        <f>IFERROR(VLOOKUP(B298,'03. THIẾT BỊ'!$B$1:$S$836,10,0),"")</f>
        <v>Bình thường</v>
      </c>
      <c r="L298" s="25" t="str">
        <f>IFERROR(VLOOKUP(B298,'03. THIẾT BỊ'!$B$1:$S$836,11,0),"")</f>
        <v>Gia công mới</v>
      </c>
      <c r="M298" s="24">
        <f>IFERROR(VLOOKUP(B298,'03. THIẾT BỊ'!$B$1:$S$836,12,0),"")</f>
        <v>0</v>
      </c>
      <c r="N298" s="25" t="str">
        <f>IFERROR(VLOOKUP(B298,'03. THIẾT BỊ'!$B$1:$S$836,13,0),"")</f>
        <v>THACO AGRI</v>
      </c>
      <c r="O298" s="24" t="str">
        <f>IFERROR(VLOOKUP(B298,'03. THIẾT BỊ'!$B$1:$S$836,14,0),"")</f>
        <v>CK-DTC-02</v>
      </c>
      <c r="P298" s="25" t="str">
        <f>IFERROR(VLOOKUP(B298,'03. THIẾT BỊ'!$B$1:$S$836,15,0),"")</f>
        <v>CAMBODIA</v>
      </c>
      <c r="Q298" s="23">
        <f>IFERROR(VLOOKUP(B298,'03. THIẾT BỊ'!$B$1:$S$836,16,0),"")</f>
        <v>2025</v>
      </c>
      <c r="R298" s="25">
        <f>IFERROR(VLOOKUP(B298,'03. THIẾT BỊ'!$B$1:$S$836,17,0),"")</f>
        <v>0</v>
      </c>
      <c r="S298" s="25">
        <f>IFERROR(VLOOKUP(B298,'03. THIẾT BỊ'!$B$1:$S$836,18,0),"")</f>
        <v>0</v>
      </c>
      <c r="T298" s="41"/>
    </row>
    <row r="299" ht="13.8" spans="1:20">
      <c r="A299" s="19">
        <f t="shared" si="14"/>
        <v>14</v>
      </c>
      <c r="B299" s="20" t="s">
        <v>4163</v>
      </c>
      <c r="C299" s="613">
        <f>IFERROR(VLOOKUP(B299,'03. THIẾT BỊ'!$B$1:$S$836,2,0),"")</f>
        <v>0</v>
      </c>
      <c r="D299" s="24" t="str">
        <f>IFERROR(VLOOKUP(B299,'03. THIẾT BỊ'!$B$1:$S$836,3,0),"")</f>
        <v>A24-RTC-001</v>
      </c>
      <c r="E299" s="20" t="str">
        <f>IFERROR(VLOOKUP(B299,'03. THIẾT BỊ'!$B$1:$S$836,4,0),"")</f>
        <v>ĐQSD</v>
      </c>
      <c r="F299" s="20" t="str">
        <f>IFERROR(VLOOKUP(B299,'03. THIẾT BỊ'!$B$1:$S$836,5,0),"")</f>
        <v>Thiết bị rạch luống trồng chuối</v>
      </c>
      <c r="G299" s="101" t="s">
        <v>6468</v>
      </c>
      <c r="H299" s="19" t="str">
        <f>IFERROR(VLOOKUP(B299,'03. THIẾT BỊ'!$B$1:$S$836,7,0),"")</f>
        <v>CGLĐ LP</v>
      </c>
      <c r="I299" s="610">
        <f>IFERROR(VLOOKUP(B299,'03. THIẾT BỊ'!$B$1:$S$836,8,0),"")</f>
        <v>46002</v>
      </c>
      <c r="J299" s="25"/>
      <c r="K299" s="19" t="str">
        <f>IFERROR(VLOOKUP(B299,'03. THIẾT BỊ'!$B$1:$S$836,10,0),"")</f>
        <v>Bình thường</v>
      </c>
      <c r="L299" s="25" t="str">
        <f>IFERROR(VLOOKUP(B299,'03. THIẾT BỊ'!$B$1:$S$836,11,0),"")</f>
        <v>Đầu tư mới</v>
      </c>
      <c r="M299" s="24">
        <f>IFERROR(VLOOKUP(B299,'03. THIẾT BỊ'!$B$1:$S$836,12,0),"")</f>
        <v>0</v>
      </c>
      <c r="N299" s="25" t="str">
        <f>IFERROR(VLOOKUP(B299,'03. THIẾT BỊ'!$B$1:$S$836,13,0),"")</f>
        <v>THACO AGRI</v>
      </c>
      <c r="O299" s="24" t="str">
        <f>IFERROR(VLOOKUP(B299,'03. THIẾT BỊ'!$B$1:$S$836,14,0),"")</f>
        <v>CK-DTC-03</v>
      </c>
      <c r="P299" s="25" t="str">
        <f>IFERROR(VLOOKUP(B299,'03. THIẾT BỊ'!$B$1:$S$836,15,0),"")</f>
        <v>CAMBODIA</v>
      </c>
      <c r="Q299" s="23">
        <f>IFERROR(VLOOKUP(B299,'03. THIẾT BỊ'!$B$1:$S$836,16,0),"")</f>
        <v>2025</v>
      </c>
      <c r="R299" s="25">
        <f>IFERROR(VLOOKUP(B299,'03. THIẾT BỊ'!$B$1:$S$836,17,0),"")</f>
        <v>0</v>
      </c>
      <c r="S299" s="25">
        <f>IFERROR(VLOOKUP(B299,'03. THIẾT BỊ'!$B$1:$S$836,18,0),"")</f>
        <v>0</v>
      </c>
      <c r="T299" s="41"/>
    </row>
    <row r="300" ht="13.8" spans="1:20">
      <c r="C300" s="613" t="str">
        <f>IFERROR(VLOOKUP(B300,'03. THIẾT BỊ'!$B$1:$S$836,2,0),"")</f>
        <v/>
      </c>
      <c r="D300" s="24" t="str">
        <f>IFERROR(VLOOKUP(B300,'03. THIẾT BỊ'!$B$1:$S$836,3,0),"")</f>
        <v/>
      </c>
      <c r="E300" s="20" t="str">
        <f>IFERROR(VLOOKUP(B300,'03. THIẾT BỊ'!$B$1:$S$836,4,0),"")</f>
        <v/>
      </c>
      <c r="F300" s="20" t="str">
        <f>IFERROR(VLOOKUP(B300,'03. THIẾT BỊ'!$B$1:$S$836,5,0),"")</f>
        <v/>
      </c>
      <c r="G300" s="101" t="s">
        <v>6468</v>
      </c>
      <c r="H300" s="19" t="str">
        <f>IFERROR(VLOOKUP(B300,'03. THIẾT BỊ'!$B$1:$S$836,7,0),"")</f>
        <v/>
      </c>
      <c r="I300" s="610" t="str">
        <f>IFERROR(VLOOKUP(B300,'03. THIẾT BỊ'!$B$1:$S$836,8,0),"")</f>
        <v/>
      </c>
      <c r="J300" s="25"/>
      <c r="K300" s="19" t="str">
        <f>IFERROR(VLOOKUP(B300,'03. THIẾT BỊ'!$B$1:$S$836,10,0),"")</f>
        <v/>
      </c>
      <c r="L300" s="25" t="str">
        <f>IFERROR(VLOOKUP(B300,'03. THIẾT BỊ'!$B$1:$S$836,11,0),"")</f>
        <v/>
      </c>
      <c r="M300" s="24" t="str">
        <f>IFERROR(VLOOKUP(B300,'03. THIẾT BỊ'!$B$1:$S$836,12,0),"")</f>
        <v/>
      </c>
      <c r="N300" s="25" t="str">
        <f>IFERROR(VLOOKUP(B300,'03. THIẾT BỊ'!$B$1:$S$836,13,0),"")</f>
        <v/>
      </c>
      <c r="O300" s="24" t="str">
        <f>IFERROR(VLOOKUP(B300,'03. THIẾT BỊ'!$B$1:$S$836,14,0),"")</f>
        <v/>
      </c>
      <c r="P300" s="25" t="str">
        <f>IFERROR(VLOOKUP(B300,'03. THIẾT BỊ'!$B$1:$S$836,15,0),"")</f>
        <v/>
      </c>
      <c r="Q300" s="23" t="str">
        <f>IFERROR(VLOOKUP(B300,'03. THIẾT BỊ'!$B$1:$S$836,16,0),"")</f>
        <v/>
      </c>
      <c r="R300" s="25" t="str">
        <f>IFERROR(VLOOKUP(B300,'03. THIẾT BỊ'!$B$1:$S$836,17,0),"")</f>
        <v/>
      </c>
      <c r="S300" s="25" t="str">
        <f>IFERROR(VLOOKUP(B300,'03. THIẾT BỊ'!$B$1:$S$836,18,0),"")</f>
        <v/>
      </c>
    </row>
    <row r="301" ht="13.8" spans="1:20">
      <c r="C301" s="613" t="str">
        <f>IFERROR(VLOOKUP(B301,'03. THIẾT BỊ'!$B$1:$S$836,2,0),"")</f>
        <v/>
      </c>
      <c r="D301" s="24" t="str">
        <f>IFERROR(VLOOKUP(B301,'03. THIẾT BỊ'!$B$1:$S$836,3,0),"")</f>
        <v/>
      </c>
      <c r="E301" s="20" t="str">
        <f>IFERROR(VLOOKUP(B301,'03. THIẾT BỊ'!$B$1:$S$836,4,0),"")</f>
        <v/>
      </c>
      <c r="F301" s="20" t="str">
        <f>IFERROR(VLOOKUP(B301,'03. THIẾT BỊ'!$B$1:$S$836,5,0),"")</f>
        <v/>
      </c>
      <c r="G301" s="101" t="s">
        <v>6468</v>
      </c>
      <c r="H301" s="19" t="str">
        <f>IFERROR(VLOOKUP(B301,'03. THIẾT BỊ'!$B$1:$S$836,7,0),"")</f>
        <v/>
      </c>
      <c r="I301" s="610" t="str">
        <f>IFERROR(VLOOKUP(B301,'03. THIẾT BỊ'!$B$1:$S$836,8,0),"")</f>
        <v/>
      </c>
      <c r="J301" s="25"/>
      <c r="K301" s="19" t="str">
        <f>IFERROR(VLOOKUP(B301,'03. THIẾT BỊ'!$B$1:$S$836,10,0),"")</f>
        <v/>
      </c>
      <c r="L301" s="25" t="str">
        <f>IFERROR(VLOOKUP(B301,'03. THIẾT BỊ'!$B$1:$S$836,11,0),"")</f>
        <v/>
      </c>
      <c r="M301" s="24" t="str">
        <f>IFERROR(VLOOKUP(B301,'03. THIẾT BỊ'!$B$1:$S$836,12,0),"")</f>
        <v/>
      </c>
      <c r="N301" s="25" t="str">
        <f>IFERROR(VLOOKUP(B301,'03. THIẾT BỊ'!$B$1:$S$836,13,0),"")</f>
        <v/>
      </c>
      <c r="O301" s="24" t="str">
        <f>IFERROR(VLOOKUP(B301,'03. THIẾT BỊ'!$B$1:$S$836,14,0),"")</f>
        <v/>
      </c>
      <c r="P301" s="25" t="str">
        <f>IFERROR(VLOOKUP(B301,'03. THIẾT BỊ'!$B$1:$S$836,15,0),"")</f>
        <v/>
      </c>
      <c r="Q301" s="23" t="str">
        <f>IFERROR(VLOOKUP(B301,'03. THIẾT BỊ'!$B$1:$S$836,16,0),"")</f>
        <v/>
      </c>
      <c r="R301" s="25" t="str">
        <f>IFERROR(VLOOKUP(B301,'03. THIẾT BỊ'!$B$1:$S$836,17,0),"")</f>
        <v/>
      </c>
      <c r="S301" s="25" t="str">
        <f>IFERROR(VLOOKUP(B301,'03. THIẾT BỊ'!$B$1:$S$836,18,0),"")</f>
        <v/>
      </c>
    </row>
    <row r="302" customHeight="1" spans="1:20">
      <c r="A302" s="14" t="s">
        <v>290</v>
      </c>
      <c r="B302" s="15" t="s">
        <v>6487</v>
      </c>
      <c r="C302" s="14">
        <f>COUNTA(B303:B305)</f>
        <v>2</v>
      </c>
      <c r="D302" s="17" t="str">
        <f>IFERROR(VLOOKUP(B302,'03. THIẾT BỊ'!$B$1:$S$836,3,0),"")</f>
        <v/>
      </c>
      <c r="E302" s="20" t="str">
        <f>IFERROR(VLOOKUP(B302,'03. THIẾT BỊ'!$B$1:$S$836,4,0),"")</f>
        <v/>
      </c>
      <c r="F302" s="17" t="str">
        <f>IFERROR(VLOOKUP(B302,'03. THIẾT BỊ'!$B$1:$S$836,5,0),"")</f>
        <v/>
      </c>
      <c r="G302" s="18" t="s">
        <v>6468</v>
      </c>
      <c r="H302" s="18" t="str">
        <f>IFERROR(VLOOKUP(B302,'03. THIẾT BỊ'!$B$1:$S$836,7,0),"")</f>
        <v/>
      </c>
      <c r="I302" s="14" t="str">
        <f>IFERROR(VLOOKUP(B302,'03. THIẾT BỊ'!$B$1:$S$836,8,0),"")</f>
        <v/>
      </c>
      <c r="J302" s="15"/>
      <c r="K302" s="14" t="str">
        <f>IFERROR(VLOOKUP(B302,'03. THIẾT BỊ'!$B$1:$S$836,10,0),"")</f>
        <v/>
      </c>
      <c r="L302" s="17" t="str">
        <f>IFERROR(VLOOKUP(B302,'03. THIẾT BỊ'!$B$1:$S$836,11,0),"")</f>
        <v/>
      </c>
      <c r="M302" s="16" t="str">
        <f>IFERROR(VLOOKUP(B302,'03. THIẾT BỊ'!$B$1:$S$836,12,0),"")</f>
        <v/>
      </c>
      <c r="N302" s="17" t="str">
        <f>IFERROR(VLOOKUP(B302,'03. THIẾT BỊ'!$B$1:$S$836,13,0),"")</f>
        <v/>
      </c>
      <c r="O302" s="16" t="str">
        <f>IFERROR(VLOOKUP(B302,'03. THIẾT BỊ'!$B$1:$S$836,14,0),"")</f>
        <v/>
      </c>
      <c r="P302" s="17" t="str">
        <f>IFERROR(VLOOKUP(B302,'03. THIẾT BỊ'!$B$1:$S$836,15,0),"")</f>
        <v/>
      </c>
      <c r="Q302" s="18" t="str">
        <f>IFERROR(VLOOKUP(B302,'03. THIẾT BỊ'!$B$1:$S$836,16,0),"")</f>
        <v/>
      </c>
      <c r="R302" s="17" t="str">
        <f>IFERROR(VLOOKUP(B302,'03. THIẾT BỊ'!$B$1:$S$836,17,0),"")</f>
        <v/>
      </c>
      <c r="S302" s="17" t="str">
        <f>IFERROR(VLOOKUP(B302,'03. THIẾT BỊ'!$B$1:$S$836,18,0),"")</f>
        <v/>
      </c>
      <c r="T302" s="609"/>
    </row>
    <row r="303" ht="14.25" customHeight="1" spans="1:20">
      <c r="A303" s="19">
        <v>1</v>
      </c>
      <c r="B303" s="20" t="s">
        <v>5563</v>
      </c>
      <c r="C303" s="613">
        <f>IFERROR(VLOOKUP(B303,'03. THIẾT BỊ'!$B$1:$S$836,2,0),"")</f>
        <v>0</v>
      </c>
      <c r="D303" s="24" t="str">
        <f>IFERROR(VLOOKUP(B303,'03. THIẾT BỊ'!$B$1:$S$836,3,0),"")</f>
        <v>A22-TBT-001</v>
      </c>
      <c r="E303" s="20" t="str">
        <f>IFERROR(VLOOKUP(B303,'03. THIẾT BỊ'!$B$1:$S$836,4,0),"")</f>
        <v>ĐQSD</v>
      </c>
      <c r="F303" s="20" t="str">
        <f>IFERROR(VLOOKUP(B303,'03. THIẾT BỊ'!$B$1:$S$836,5,0),"")</f>
        <v>Thiết bị trồng bắp</v>
      </c>
      <c r="G303" s="101" t="s">
        <v>6468</v>
      </c>
      <c r="H303" s="19" t="str">
        <f>IFERROR(VLOOKUP(B303,'03. THIẾT BỊ'!$B$1:$S$836,7,0),"")</f>
        <v>XN Bò AD</v>
      </c>
      <c r="I303" s="610" t="str">
        <f>IFERROR(VLOOKUP(B303,'03. THIẾT BỊ'!$B$1:$S$836,8,0),"")</f>
        <v>24/04/2024</v>
      </c>
      <c r="J303" s="25"/>
      <c r="K303" s="19" t="str">
        <f>IFERROR(VLOOKUP(B303,'03. THIẾT BỊ'!$B$1:$S$836,10,0),"")</f>
        <v>Bình thường</v>
      </c>
      <c r="L303" s="25">
        <f>IFERROR(VLOOKUP(B303,'03. THIẾT BỊ'!$B$1:$S$836,11,0),"")</f>
        <v>0</v>
      </c>
      <c r="M303" s="24" t="str">
        <f>IFERROR(VLOOKUP(B303,'03. THIẾT BỊ'!$B$1:$S$836,12,0),"")</f>
        <v>Đã qua SD</v>
      </c>
      <c r="N303" s="25" t="str">
        <f>IFERROR(VLOOKUP(B303,'03. THIẾT BỊ'!$B$1:$S$836,13,0),"")</f>
        <v>THACO AGRI</v>
      </c>
      <c r="O303" s="24">
        <f>IFERROR(VLOOKUP(B303,'03. THIẾT BỊ'!$B$1:$S$836,14,0),"")</f>
        <v>0</v>
      </c>
      <c r="P303" s="25" t="str">
        <f>IFERROR(VLOOKUP(B303,'03. THIẾT BỊ'!$B$1:$S$836,15,0),"")</f>
        <v>THACO</v>
      </c>
      <c r="Q303" s="23">
        <f>IFERROR(VLOOKUP(B303,'03. THIẾT BỊ'!$B$1:$S$836,16,0),"")</f>
        <v>0</v>
      </c>
      <c r="R303" s="25">
        <f>IFERROR(VLOOKUP(B303,'03. THIẾT BỊ'!$B$1:$S$836,17,0),"")</f>
        <v>0</v>
      </c>
      <c r="S303" s="25">
        <f>IFERROR(VLOOKUP(B303,'03. THIẾT BỊ'!$B$1:$S$836,18,0),"")</f>
        <v>0</v>
      </c>
      <c r="T303" s="41"/>
    </row>
    <row r="304" ht="27" customHeight="1" spans="1:20">
      <c r="A304" s="19">
        <v>2</v>
      </c>
      <c r="B304" s="38" t="s">
        <v>5699</v>
      </c>
      <c r="C304" s="613">
        <f>IFERROR(VLOOKUP(B304,'03. THIẾT BỊ'!$B$1:$S$836,2,0),"")</f>
        <v>0</v>
      </c>
      <c r="D304" s="24" t="str">
        <f>IFERROR(VLOOKUP(B304,'03. THIẾT BỊ'!$B$1:$S$836,3,0),"")</f>
        <v>A22-CCB-001</v>
      </c>
      <c r="E304" s="20" t="str">
        <f>IFERROR(VLOOKUP(B304,'03. THIẾT BỊ'!$B$1:$S$836,4,0),"")</f>
        <v>ĐQSD</v>
      </c>
      <c r="F304" s="20" t="str">
        <f>IFERROR(VLOOKUP(B304,'03. THIẾT BỊ'!$B$1:$S$836,5,0),"")</f>
        <v>Thiết bị cày chăm bắp</v>
      </c>
      <c r="G304" s="101" t="s">
        <v>6468</v>
      </c>
      <c r="H304" s="19" t="str">
        <f>IFERROR(VLOOKUP(B304,'03. THIẾT BỊ'!$B$1:$S$836,7,0),"")</f>
        <v>XN Bò AD</v>
      </c>
      <c r="I304" s="610" t="str">
        <f>IFERROR(VLOOKUP(B304,'03. THIẾT BỊ'!$B$1:$S$836,8,0),"")</f>
        <v>27/05/2025</v>
      </c>
      <c r="J304" s="25"/>
      <c r="K304" s="19" t="str">
        <f>IFERROR(VLOOKUP(B304,'03. THIẾT BỊ'!$B$1:$S$836,10,0),"")</f>
        <v>Bình thường</v>
      </c>
      <c r="L304" s="25">
        <f>IFERROR(VLOOKUP(B304,'03. THIẾT BỊ'!$B$1:$S$836,11,0),"")</f>
        <v>0</v>
      </c>
      <c r="M304" s="24" t="str">
        <f>IFERROR(VLOOKUP(B304,'03. THIẾT BỊ'!$B$1:$S$836,12,0),"")</f>
        <v>Gia công mới</v>
      </c>
      <c r="N304" s="25" t="str">
        <f>IFERROR(VLOOKUP(B304,'03. THIẾT BỊ'!$B$1:$S$836,13,0),"")</f>
        <v>THACO AGRI</v>
      </c>
      <c r="O304" s="24" t="str">
        <f>IFERROR(VLOOKUP(B304,'03. THIẾT BỊ'!$B$1:$S$836,14,0),"")</f>
        <v>CK-DX-01</v>
      </c>
      <c r="P304" s="25" t="str">
        <f>IFERROR(VLOOKUP(B304,'03. THIẾT BỊ'!$B$1:$S$836,15,0),"")</f>
        <v>CK-CGH</v>
      </c>
      <c r="Q304" s="23">
        <f>IFERROR(VLOOKUP(B304,'03. THIẾT BỊ'!$B$1:$S$836,16,0),"")</f>
        <v>2025</v>
      </c>
      <c r="R304" s="25" t="str">
        <f>IFERROR(VLOOKUP(B304,'03. THIẾT BỊ'!$B$1:$S$836,17,0),"")</f>
        <v>1.4x0.9x1.1</v>
      </c>
      <c r="S304" s="25">
        <f>IFERROR(VLOOKUP(B304,'03. THIẾT BỊ'!$B$1:$S$836,18,0),"")</f>
        <v>0</v>
      </c>
      <c r="T304" s="41"/>
    </row>
    <row r="305" ht="13.8" spans="1:20">
      <c r="C305" s="613" t="str">
        <f>IFERROR(VLOOKUP(B305,'03. THIẾT BỊ'!$B$1:$S$836,2,0),"")</f>
        <v/>
      </c>
      <c r="D305" s="24" t="str">
        <f>IFERROR(VLOOKUP(B305,'03. THIẾT BỊ'!$B$1:$S$836,3,0),"")</f>
        <v/>
      </c>
      <c r="E305" s="20" t="str">
        <f>IFERROR(VLOOKUP(B305,'03. THIẾT BỊ'!$B$1:$S$836,4,0),"")</f>
        <v/>
      </c>
      <c r="F305" s="20" t="str">
        <f>IFERROR(VLOOKUP(B305,'03. THIẾT BỊ'!$B$1:$S$836,5,0),"")</f>
        <v/>
      </c>
      <c r="G305" s="101" t="s">
        <v>6468</v>
      </c>
      <c r="H305" s="19" t="str">
        <f>IFERROR(VLOOKUP(B305,'03. THIẾT BỊ'!$B$1:$S$836,7,0),"")</f>
        <v/>
      </c>
      <c r="I305" s="610" t="str">
        <f>IFERROR(VLOOKUP(B305,'03. THIẾT BỊ'!$B$1:$S$836,8,0),"")</f>
        <v/>
      </c>
      <c r="J305" s="25"/>
      <c r="K305" s="19" t="str">
        <f>IFERROR(VLOOKUP(B305,'03. THIẾT BỊ'!$B$1:$S$836,10,0),"")</f>
        <v/>
      </c>
      <c r="L305" s="25" t="str">
        <f>IFERROR(VLOOKUP(B305,'03. THIẾT BỊ'!$B$1:$S$836,11,0),"")</f>
        <v/>
      </c>
      <c r="M305" s="24" t="str">
        <f>IFERROR(VLOOKUP(B305,'03. THIẾT BỊ'!$B$1:$S$836,12,0),"")</f>
        <v/>
      </c>
      <c r="N305" s="25" t="str">
        <f>IFERROR(VLOOKUP(B305,'03. THIẾT BỊ'!$B$1:$S$836,13,0),"")</f>
        <v/>
      </c>
      <c r="O305" s="24" t="str">
        <f>IFERROR(VLOOKUP(B305,'03. THIẾT BỊ'!$B$1:$S$836,14,0),"")</f>
        <v/>
      </c>
      <c r="P305" s="25" t="str">
        <f>IFERROR(VLOOKUP(B305,'03. THIẾT BỊ'!$B$1:$S$836,15,0),"")</f>
        <v/>
      </c>
      <c r="Q305" s="23" t="str">
        <f>IFERROR(VLOOKUP(B305,'03. THIẾT BỊ'!$B$1:$S$836,16,0),"")</f>
        <v/>
      </c>
      <c r="R305" s="25" t="str">
        <f>IFERROR(VLOOKUP(B305,'03. THIẾT BỊ'!$B$1:$S$836,17,0),"")</f>
        <v/>
      </c>
      <c r="S305" s="25" t="str">
        <f>IFERROR(VLOOKUP(B305,'03. THIẾT BỊ'!$B$1:$S$836,18,0),"")</f>
        <v/>
      </c>
    </row>
    <row r="306" hidden="1" customHeight="1" spans="1:20">
      <c r="A306" s="324"/>
      <c r="B306" s="41"/>
      <c r="C306" s="613" t="str">
        <f>IFERROR(VLOOKUP(B306,'03. THIẾT BỊ'!$B$1:$S$836,2,0),"")</f>
        <v/>
      </c>
      <c r="D306" s="24" t="str">
        <f>IFERROR(VLOOKUP(B306,'03. THIẾT BỊ'!$B$1:$S$836,3,0),"")</f>
        <v/>
      </c>
      <c r="E306" s="20" t="str">
        <f>IFERROR(VLOOKUP(B306,'03. THIẾT BỊ'!$B$1:$S$836,4,0),"")</f>
        <v/>
      </c>
      <c r="F306" s="20" t="str">
        <f>IFERROR(VLOOKUP(B306,'03. THIẾT BỊ'!$B$1:$S$836,5,0),"")</f>
        <v/>
      </c>
      <c r="G306" s="101" t="s">
        <v>6468</v>
      </c>
      <c r="H306" s="19" t="str">
        <f>IFERROR(VLOOKUP(B306,'03. THIẾT BỊ'!$B$1:$S$836,7,0),"")</f>
        <v/>
      </c>
      <c r="I306" s="610" t="str">
        <f>IFERROR(VLOOKUP(B306,'03. THIẾT BỊ'!$B$1:$S$836,8,0),"")</f>
        <v/>
      </c>
      <c r="J306" s="25"/>
      <c r="K306" s="19" t="str">
        <f>IFERROR(VLOOKUP(B306,'03. THIẾT BỊ'!$B$1:$S$836,10,0),"")</f>
        <v/>
      </c>
      <c r="L306" s="25" t="str">
        <f>IFERROR(VLOOKUP(B306,'03. THIẾT BỊ'!$B$1:$S$836,11,0),"")</f>
        <v/>
      </c>
      <c r="M306" s="24" t="str">
        <f>IFERROR(VLOOKUP(B306,'03. THIẾT BỊ'!$B$1:$S$836,12,0),"")</f>
        <v/>
      </c>
      <c r="N306" s="25" t="str">
        <f>IFERROR(VLOOKUP(B306,'03. THIẾT BỊ'!$B$1:$S$836,13,0),"")</f>
        <v/>
      </c>
      <c r="O306" s="24" t="str">
        <f>IFERROR(VLOOKUP(B306,'03. THIẾT BỊ'!$B$1:$S$836,14,0),"")</f>
        <v/>
      </c>
      <c r="P306" s="25" t="str">
        <f>IFERROR(VLOOKUP(B306,'03. THIẾT BỊ'!$B$1:$S$836,15,0),"")</f>
        <v/>
      </c>
      <c r="Q306" s="23" t="str">
        <f>IFERROR(VLOOKUP(B306,'03. THIẾT BỊ'!$B$1:$S$836,16,0),"")</f>
        <v/>
      </c>
      <c r="R306" s="25" t="str">
        <f>IFERROR(VLOOKUP(B306,'03. THIẾT BỊ'!$B$1:$S$836,17,0),"")</f>
        <v/>
      </c>
      <c r="S306" s="25" t="str">
        <f>IFERROR(VLOOKUP(B306,'03. THIẾT BỊ'!$B$1:$S$836,18,0),"")</f>
        <v/>
      </c>
      <c r="T306" s="41"/>
    </row>
    <row r="307" hidden="1" customHeight="1" spans="1:20">
      <c r="A307" s="324"/>
      <c r="B307" s="41"/>
      <c r="C307" s="613" t="str">
        <f>IFERROR(VLOOKUP(B307,'03. THIẾT BỊ'!$B$1:$S$836,2,0),"")</f>
        <v/>
      </c>
      <c r="D307" s="24" t="str">
        <f>IFERROR(VLOOKUP(B307,'03. THIẾT BỊ'!$B$1:$S$836,3,0),"")</f>
        <v/>
      </c>
      <c r="E307" s="20" t="str">
        <f>IFERROR(VLOOKUP(B307,'03. THIẾT BỊ'!$B$1:$S$836,4,0),"")</f>
        <v/>
      </c>
      <c r="F307" s="20" t="str">
        <f>IFERROR(VLOOKUP(B307,'03. THIẾT BỊ'!$B$1:$S$836,5,0),"")</f>
        <v/>
      </c>
      <c r="G307" s="101" t="s">
        <v>6468</v>
      </c>
      <c r="H307" s="19" t="str">
        <f>IFERROR(VLOOKUP(B307,'03. THIẾT BỊ'!$B$1:$S$836,7,0),"")</f>
        <v/>
      </c>
      <c r="I307" s="610" t="str">
        <f>IFERROR(VLOOKUP(B307,'03. THIẾT BỊ'!$B$1:$S$836,8,0),"")</f>
        <v/>
      </c>
      <c r="J307" s="25"/>
      <c r="K307" s="19" t="str">
        <f>IFERROR(VLOOKUP(B307,'03. THIẾT BỊ'!$B$1:$S$836,10,0),"")</f>
        <v/>
      </c>
      <c r="L307" s="25" t="str">
        <f>IFERROR(VLOOKUP(B307,'03. THIẾT BỊ'!$B$1:$S$836,11,0),"")</f>
        <v/>
      </c>
      <c r="M307" s="24" t="str">
        <f>IFERROR(VLOOKUP(B307,'03. THIẾT BỊ'!$B$1:$S$836,12,0),"")</f>
        <v/>
      </c>
      <c r="N307" s="25" t="str">
        <f>IFERROR(VLOOKUP(B307,'03. THIẾT BỊ'!$B$1:$S$836,13,0),"")</f>
        <v/>
      </c>
      <c r="O307" s="24" t="str">
        <f>IFERROR(VLOOKUP(B307,'03. THIẾT BỊ'!$B$1:$S$836,14,0),"")</f>
        <v/>
      </c>
      <c r="P307" s="25" t="str">
        <f>IFERROR(VLOOKUP(B307,'03. THIẾT BỊ'!$B$1:$S$836,15,0),"")</f>
        <v/>
      </c>
      <c r="Q307" s="23" t="str">
        <f>IFERROR(VLOOKUP(B307,'03. THIẾT BỊ'!$B$1:$S$836,16,0),"")</f>
        <v/>
      </c>
      <c r="R307" s="25" t="str">
        <f>IFERROR(VLOOKUP(B307,'03. THIẾT BỊ'!$B$1:$S$836,17,0),"")</f>
        <v/>
      </c>
      <c r="S307" s="25" t="str">
        <f>IFERROR(VLOOKUP(B307,'03. THIẾT BỊ'!$B$1:$S$836,18,0),"")</f>
        <v/>
      </c>
      <c r="T307" s="41"/>
    </row>
    <row r="308" hidden="1" customHeight="1" spans="1:20">
      <c r="A308" s="324"/>
      <c r="B308" s="41"/>
      <c r="C308" s="613" t="str">
        <f>IFERROR(VLOOKUP(B308,'03. THIẾT BỊ'!$B$1:$S$836,2,0),"")</f>
        <v/>
      </c>
      <c r="D308" s="24" t="str">
        <f>IFERROR(VLOOKUP(B308,'03. THIẾT BỊ'!$B$1:$S$836,3,0),"")</f>
        <v/>
      </c>
      <c r="E308" s="20" t="str">
        <f>IFERROR(VLOOKUP(B308,'03. THIẾT BỊ'!$B$1:$S$836,4,0),"")</f>
        <v/>
      </c>
      <c r="F308" s="20" t="str">
        <f>IFERROR(VLOOKUP(B308,'03. THIẾT BỊ'!$B$1:$S$836,5,0),"")</f>
        <v/>
      </c>
      <c r="G308" s="101" t="s">
        <v>6468</v>
      </c>
      <c r="H308" s="19" t="str">
        <f>IFERROR(VLOOKUP(B308,'03. THIẾT BỊ'!$B$1:$S$836,7,0),"")</f>
        <v/>
      </c>
      <c r="I308" s="610" t="str">
        <f>IFERROR(VLOOKUP(B308,'03. THIẾT BỊ'!$B$1:$S$836,8,0),"")</f>
        <v/>
      </c>
      <c r="J308" s="25"/>
      <c r="K308" s="19" t="str">
        <f>IFERROR(VLOOKUP(B308,'03. THIẾT BỊ'!$B$1:$S$836,10,0),"")</f>
        <v/>
      </c>
      <c r="L308" s="25" t="str">
        <f>IFERROR(VLOOKUP(B308,'03. THIẾT BỊ'!$B$1:$S$836,11,0),"")</f>
        <v/>
      </c>
      <c r="M308" s="24" t="str">
        <f>IFERROR(VLOOKUP(B308,'03. THIẾT BỊ'!$B$1:$S$836,12,0),"")</f>
        <v/>
      </c>
      <c r="N308" s="25" t="str">
        <f>IFERROR(VLOOKUP(B308,'03. THIẾT BỊ'!$B$1:$S$836,13,0),"")</f>
        <v/>
      </c>
      <c r="O308" s="24" t="str">
        <f>IFERROR(VLOOKUP(B308,'03. THIẾT BỊ'!$B$1:$S$836,14,0),"")</f>
        <v/>
      </c>
      <c r="P308" s="25" t="str">
        <f>IFERROR(VLOOKUP(B308,'03. THIẾT BỊ'!$B$1:$S$836,15,0),"")</f>
        <v/>
      </c>
      <c r="Q308" s="23" t="str">
        <f>IFERROR(VLOOKUP(B308,'03. THIẾT BỊ'!$B$1:$S$836,16,0),"")</f>
        <v/>
      </c>
      <c r="R308" s="25" t="str">
        <f>IFERROR(VLOOKUP(B308,'03. THIẾT BỊ'!$B$1:$S$836,17,0),"")</f>
        <v/>
      </c>
      <c r="S308" s="25" t="str">
        <f>IFERROR(VLOOKUP(B308,'03. THIẾT BỊ'!$B$1:$S$836,18,0),"")</f>
        <v/>
      </c>
      <c r="T308" s="41"/>
    </row>
    <row r="309" hidden="1" customHeight="1" spans="1:20">
      <c r="A309" s="324"/>
      <c r="B309" s="41"/>
      <c r="C309" s="613" t="str">
        <f>IFERROR(VLOOKUP(B309,'03. THIẾT BỊ'!$B$1:$S$836,2,0),"")</f>
        <v/>
      </c>
      <c r="D309" s="24" t="str">
        <f>IFERROR(VLOOKUP(B309,'03. THIẾT BỊ'!$B$1:$S$836,3,0),"")</f>
        <v/>
      </c>
      <c r="E309" s="20" t="str">
        <f>IFERROR(VLOOKUP(B309,'03. THIẾT BỊ'!$B$1:$S$836,4,0),"")</f>
        <v/>
      </c>
      <c r="F309" s="20" t="str">
        <f>IFERROR(VLOOKUP(B309,'03. THIẾT BỊ'!$B$1:$S$836,5,0),"")</f>
        <v/>
      </c>
      <c r="G309" s="101" t="s">
        <v>6468</v>
      </c>
      <c r="H309" s="19" t="str">
        <f>IFERROR(VLOOKUP(B309,'03. THIẾT BỊ'!$B$1:$S$836,7,0),"")</f>
        <v/>
      </c>
      <c r="I309" s="610" t="str">
        <f>IFERROR(VLOOKUP(B309,'03. THIẾT BỊ'!$B$1:$S$836,8,0),"")</f>
        <v/>
      </c>
      <c r="J309" s="25"/>
      <c r="K309" s="19" t="str">
        <f>IFERROR(VLOOKUP(B309,'03. THIẾT BỊ'!$B$1:$S$836,10,0),"")</f>
        <v/>
      </c>
      <c r="L309" s="25" t="str">
        <f>IFERROR(VLOOKUP(B309,'03. THIẾT BỊ'!$B$1:$S$836,11,0),"")</f>
        <v/>
      </c>
      <c r="M309" s="24" t="str">
        <f>IFERROR(VLOOKUP(B309,'03. THIẾT BỊ'!$B$1:$S$836,12,0),"")</f>
        <v/>
      </c>
      <c r="N309" s="25" t="str">
        <f>IFERROR(VLOOKUP(B309,'03. THIẾT BỊ'!$B$1:$S$836,13,0),"")</f>
        <v/>
      </c>
      <c r="O309" s="24" t="str">
        <f>IFERROR(VLOOKUP(B309,'03. THIẾT BỊ'!$B$1:$S$836,14,0),"")</f>
        <v/>
      </c>
      <c r="P309" s="25" t="str">
        <f>IFERROR(VLOOKUP(B309,'03. THIẾT BỊ'!$B$1:$S$836,15,0),"")</f>
        <v/>
      </c>
      <c r="Q309" s="23" t="str">
        <f>IFERROR(VLOOKUP(B309,'03. THIẾT BỊ'!$B$1:$S$836,16,0),"")</f>
        <v/>
      </c>
      <c r="R309" s="25" t="str">
        <f>IFERROR(VLOOKUP(B309,'03. THIẾT BỊ'!$B$1:$S$836,17,0),"")</f>
        <v/>
      </c>
      <c r="S309" s="25" t="str">
        <f>IFERROR(VLOOKUP(B309,'03. THIẾT BỊ'!$B$1:$S$836,18,0),"")</f>
        <v/>
      </c>
      <c r="T309" s="41"/>
    </row>
    <row r="310" customHeight="1" spans="1:20">
      <c r="A310" s="14" t="s">
        <v>290</v>
      </c>
      <c r="B310" s="15" t="s">
        <v>6488</v>
      </c>
      <c r="C310" s="14">
        <f>COUNTA(B311:B313)</f>
        <v>1</v>
      </c>
      <c r="D310" s="17" t="str">
        <f>IFERROR(VLOOKUP(B310,'03. THIẾT BỊ'!$B$1:$S$836,3,0),"")</f>
        <v/>
      </c>
      <c r="E310" s="20" t="str">
        <f>IFERROR(VLOOKUP(B310,'03. THIẾT BỊ'!$B$1:$S$836,4,0),"")</f>
        <v/>
      </c>
      <c r="F310" s="17" t="str">
        <f>IFERROR(VLOOKUP(B310,'03. THIẾT BỊ'!$B$1:$S$836,5,0),"")</f>
        <v/>
      </c>
      <c r="G310" s="18" t="s">
        <v>6468</v>
      </c>
      <c r="H310" s="18" t="str">
        <f>IFERROR(VLOOKUP(B310,'03. THIẾT BỊ'!$B$1:$S$836,7,0),"")</f>
        <v/>
      </c>
      <c r="I310" s="14" t="str">
        <f>IFERROR(VLOOKUP(B310,'03. THIẾT BỊ'!$B$1:$S$836,8,0),"")</f>
        <v/>
      </c>
      <c r="J310" s="15"/>
      <c r="K310" s="14" t="str">
        <f>IFERROR(VLOOKUP(B310,'03. THIẾT BỊ'!$B$1:$S$836,10,0),"")</f>
        <v/>
      </c>
      <c r="L310" s="17" t="str">
        <f>IFERROR(VLOOKUP(B310,'03. THIẾT BỊ'!$B$1:$S$836,11,0),"")</f>
        <v/>
      </c>
      <c r="M310" s="16" t="str">
        <f>IFERROR(VLOOKUP(B310,'03. THIẾT BỊ'!$B$1:$S$836,12,0),"")</f>
        <v/>
      </c>
      <c r="N310" s="17" t="str">
        <f>IFERROR(VLOOKUP(B310,'03. THIẾT BỊ'!$B$1:$S$836,13,0),"")</f>
        <v/>
      </c>
      <c r="O310" s="16" t="str">
        <f>IFERROR(VLOOKUP(B310,'03. THIẾT BỊ'!$B$1:$S$836,14,0),"")</f>
        <v/>
      </c>
      <c r="P310" s="17" t="str">
        <f>IFERROR(VLOOKUP(B310,'03. THIẾT BỊ'!$B$1:$S$836,15,0),"")</f>
        <v/>
      </c>
      <c r="Q310" s="18" t="str">
        <f>IFERROR(VLOOKUP(B310,'03. THIẾT BỊ'!$B$1:$S$836,16,0),"")</f>
        <v/>
      </c>
      <c r="R310" s="17" t="str">
        <f>IFERROR(VLOOKUP(B310,'03. THIẾT BỊ'!$B$1:$S$836,17,0),"")</f>
        <v/>
      </c>
      <c r="S310" s="17" t="str">
        <f>IFERROR(VLOOKUP(B310,'03. THIẾT BỊ'!$B$1:$S$836,18,0),"")</f>
        <v/>
      </c>
      <c r="T310" s="609"/>
    </row>
    <row r="311" customHeight="1" spans="1:20">
      <c r="A311" s="19">
        <v>1</v>
      </c>
      <c r="B311" s="20" t="s">
        <v>3972</v>
      </c>
      <c r="C311" s="613">
        <f>IFERROR(VLOOKUP(B311,'03. THIẾT BỊ'!$B$1:$S$836,2,0),"")</f>
        <v>0</v>
      </c>
      <c r="D311" s="24" t="str">
        <f>IFERROR(VLOOKUP(B311,'03. THIẾT BỊ'!$B$1:$S$836,3,0),"")</f>
        <v>A23-TKH-001</v>
      </c>
      <c r="E311" s="20" t="str">
        <f>IFERROR(VLOOKUP(B311,'03. THIẾT BỊ'!$B$1:$S$836,4,0),"")</f>
        <v>ĐQSD</v>
      </c>
      <c r="F311" s="20" t="str">
        <f>IFERROR(VLOOKUP(B311,'03. THIẾT BỊ'!$B$1:$S$836,5,0),"")</f>
        <v>Thiết bị khai hoang dạng con lăn gai</v>
      </c>
      <c r="G311" s="101" t="s">
        <v>6468</v>
      </c>
      <c r="H311" s="19" t="str">
        <f>IFERROR(VLOOKUP(B311,'03. THIẾT BỊ'!$B$1:$S$836,7,0),"")</f>
        <v>CGLĐ DP</v>
      </c>
      <c r="I311" s="610" t="str">
        <f>IFERROR(VLOOKUP(B311,'03. THIẾT BỊ'!$B$1:$S$836,8,0),"")</f>
        <v>28/05/2024</v>
      </c>
      <c r="J311" s="25"/>
      <c r="K311" s="19" t="str">
        <f>IFERROR(VLOOKUP(B311,'03. THIẾT BỊ'!$B$1:$S$836,10,0),"")</f>
        <v>Bình thường</v>
      </c>
      <c r="L311" s="25">
        <f>IFERROR(VLOOKUP(B311,'03. THIẾT BỊ'!$B$1:$S$836,11,0),"")</f>
        <v>0</v>
      </c>
      <c r="M311" s="24">
        <f>IFERROR(VLOOKUP(B311,'03. THIẾT BỊ'!$B$1:$S$836,12,0),"")</f>
        <v>0</v>
      </c>
      <c r="N311" s="25" t="str">
        <f>IFERROR(VLOOKUP(B311,'03. THIẾT BỊ'!$B$1:$S$836,13,0),"")</f>
        <v>THACO AGRI</v>
      </c>
      <c r="O311" s="24">
        <f>IFERROR(VLOOKUP(B311,'03. THIẾT BỊ'!$B$1:$S$836,14,0),"")</f>
        <v>0</v>
      </c>
      <c r="P311" s="25" t="str">
        <f>IFERROR(VLOOKUP(B311,'03. THIẾT BỊ'!$B$1:$S$836,15,0),"")</f>
        <v>CK-CGH</v>
      </c>
      <c r="Q311" s="23">
        <f>IFERROR(VLOOKUP(B311,'03. THIẾT BỊ'!$B$1:$S$836,16,0),"")</f>
        <v>0</v>
      </c>
      <c r="R311" s="25" t="str">
        <f>IFERROR(VLOOKUP(B311,'03. THIẾT BỊ'!$B$1:$S$836,17,0),"")</f>
        <v>10x6x0.4m</v>
      </c>
      <c r="S311" s="25">
        <f>IFERROR(VLOOKUP(B311,'03. THIẾT BỊ'!$B$1:$S$836,18,0),"")</f>
        <v>0</v>
      </c>
      <c r="T311" s="41"/>
    </row>
    <row r="312" customHeight="1" spans="1:20">
      <c r="A312" s="19"/>
      <c r="B312" s="20"/>
      <c r="C312" s="613" t="str">
        <f>IFERROR(VLOOKUP(B312,'03. THIẾT BỊ'!$B$1:$S$836,2,0),"")</f>
        <v/>
      </c>
      <c r="D312" s="24" t="str">
        <f>IFERROR(VLOOKUP(B312,'03. THIẾT BỊ'!$B$1:$S$836,3,0),"")</f>
        <v/>
      </c>
      <c r="E312" s="20" t="str">
        <f>IFERROR(VLOOKUP(B312,'03. THIẾT BỊ'!$B$1:$S$836,4,0),"")</f>
        <v/>
      </c>
      <c r="F312" s="20" t="str">
        <f>IFERROR(VLOOKUP(B312,'03. THIẾT BỊ'!$B$1:$S$836,5,0),"")</f>
        <v/>
      </c>
      <c r="G312" s="101" t="s">
        <v>6468</v>
      </c>
      <c r="H312" s="19" t="str">
        <f>IFERROR(VLOOKUP(B312,'03. THIẾT BỊ'!$B$1:$S$836,7,0),"")</f>
        <v/>
      </c>
      <c r="I312" s="610" t="str">
        <f>IFERROR(VLOOKUP(B312,'03. THIẾT BỊ'!$B$1:$S$836,8,0),"")</f>
        <v/>
      </c>
      <c r="J312" s="25"/>
      <c r="K312" s="19" t="str">
        <f>IFERROR(VLOOKUP(B312,'03. THIẾT BỊ'!$B$1:$S$836,10,0),"")</f>
        <v/>
      </c>
      <c r="L312" s="25" t="str">
        <f>IFERROR(VLOOKUP(B312,'03. THIẾT BỊ'!$B$1:$S$836,11,0),"")</f>
        <v/>
      </c>
      <c r="M312" s="24" t="str">
        <f>IFERROR(VLOOKUP(B312,'03. THIẾT BỊ'!$B$1:$S$836,12,0),"")</f>
        <v/>
      </c>
      <c r="N312" s="25" t="str">
        <f>IFERROR(VLOOKUP(B312,'03. THIẾT BỊ'!$B$1:$S$836,13,0),"")</f>
        <v/>
      </c>
      <c r="O312" s="24" t="str">
        <f>IFERROR(VLOOKUP(B312,'03. THIẾT BỊ'!$B$1:$S$836,14,0),"")</f>
        <v/>
      </c>
      <c r="P312" s="25" t="str">
        <f>IFERROR(VLOOKUP(B312,'03. THIẾT BỊ'!$B$1:$S$836,15,0),"")</f>
        <v/>
      </c>
      <c r="Q312" s="23" t="str">
        <f>IFERROR(VLOOKUP(B312,'03. THIẾT BỊ'!$B$1:$S$836,16,0),"")</f>
        <v/>
      </c>
      <c r="R312" s="25" t="str">
        <f>IFERROR(VLOOKUP(B312,'03. THIẾT BỊ'!$B$1:$S$836,17,0),"")</f>
        <v/>
      </c>
      <c r="S312" s="25" t="str">
        <f>IFERROR(VLOOKUP(B312,'03. THIẾT BỊ'!$B$1:$S$836,18,0),"")</f>
        <v/>
      </c>
      <c r="T312" s="41"/>
    </row>
    <row r="313" customHeight="1" spans="1:20">
      <c r="A313" s="19"/>
      <c r="B313" s="20"/>
      <c r="C313" s="613" t="str">
        <f>IFERROR(VLOOKUP(B313,'03. THIẾT BỊ'!$B$1:$S$836,2,0),"")</f>
        <v/>
      </c>
      <c r="D313" s="24" t="str">
        <f>IFERROR(VLOOKUP(B313,'03. THIẾT BỊ'!$B$1:$S$836,3,0),"")</f>
        <v/>
      </c>
      <c r="E313" s="20" t="str">
        <f>IFERROR(VLOOKUP(B313,'03. THIẾT BỊ'!$B$1:$S$836,4,0),"")</f>
        <v/>
      </c>
      <c r="F313" s="20" t="str">
        <f>IFERROR(VLOOKUP(B313,'03. THIẾT BỊ'!$B$1:$S$836,5,0),"")</f>
        <v/>
      </c>
      <c r="G313" s="101" t="s">
        <v>6468</v>
      </c>
      <c r="H313" s="19" t="str">
        <f>IFERROR(VLOOKUP(B313,'03. THIẾT BỊ'!$B$1:$S$836,7,0),"")</f>
        <v/>
      </c>
      <c r="I313" s="610" t="str">
        <f>IFERROR(VLOOKUP(B313,'03. THIẾT BỊ'!$B$1:$S$836,8,0),"")</f>
        <v/>
      </c>
      <c r="J313" s="25"/>
      <c r="K313" s="19" t="str">
        <f>IFERROR(VLOOKUP(B313,'03. THIẾT BỊ'!$B$1:$S$836,10,0),"")</f>
        <v/>
      </c>
      <c r="L313" s="25" t="str">
        <f>IFERROR(VLOOKUP(B313,'03. THIẾT BỊ'!$B$1:$S$836,11,0),"")</f>
        <v/>
      </c>
      <c r="M313" s="24" t="str">
        <f>IFERROR(VLOOKUP(B313,'03. THIẾT BỊ'!$B$1:$S$836,12,0),"")</f>
        <v/>
      </c>
      <c r="N313" s="25" t="str">
        <f>IFERROR(VLOOKUP(B313,'03. THIẾT BỊ'!$B$1:$S$836,13,0),"")</f>
        <v/>
      </c>
      <c r="O313" s="24" t="str">
        <f>IFERROR(VLOOKUP(B313,'03. THIẾT BỊ'!$B$1:$S$836,14,0),"")</f>
        <v/>
      </c>
      <c r="P313" s="25" t="str">
        <f>IFERROR(VLOOKUP(B313,'03. THIẾT BỊ'!$B$1:$S$836,15,0),"")</f>
        <v/>
      </c>
      <c r="Q313" s="23" t="str">
        <f>IFERROR(VLOOKUP(B313,'03. THIẾT BỊ'!$B$1:$S$836,16,0),"")</f>
        <v/>
      </c>
      <c r="R313" s="25" t="str">
        <f>IFERROR(VLOOKUP(B313,'03. THIẾT BỊ'!$B$1:$S$836,17,0),"")</f>
        <v/>
      </c>
      <c r="S313" s="25" t="str">
        <f>IFERROR(VLOOKUP(B313,'03. THIẾT BỊ'!$B$1:$S$836,18,0),"")</f>
        <v/>
      </c>
      <c r="T313" s="41"/>
    </row>
    <row r="314" customHeight="1" spans="1:20">
      <c r="A314" s="14" t="s">
        <v>290</v>
      </c>
      <c r="B314" s="15" t="s">
        <v>6489</v>
      </c>
      <c r="C314" s="14">
        <f>COUNTA(B315:B319)</f>
        <v>4</v>
      </c>
      <c r="D314" s="17" t="str">
        <f>IFERROR(VLOOKUP(B314,'03. THIẾT BỊ'!$B$1:$S$836,3,0),"")</f>
        <v/>
      </c>
      <c r="E314" s="20" t="str">
        <f>IFERROR(VLOOKUP(B314,'03. THIẾT BỊ'!$B$1:$S$836,4,0),"")</f>
        <v/>
      </c>
      <c r="F314" s="17" t="str">
        <f>IFERROR(VLOOKUP(B314,'03. THIẾT BỊ'!$B$1:$S$836,5,0),"")</f>
        <v/>
      </c>
      <c r="G314" s="18" t="s">
        <v>6468</v>
      </c>
      <c r="H314" s="18" t="str">
        <f>IFERROR(VLOOKUP(B314,'03. THIẾT BỊ'!$B$1:$S$836,7,0),"")</f>
        <v/>
      </c>
      <c r="I314" s="14" t="str">
        <f>IFERROR(VLOOKUP(B314,'03. THIẾT BỊ'!$B$1:$S$836,8,0),"")</f>
        <v/>
      </c>
      <c r="J314" s="15"/>
      <c r="K314" s="14" t="str">
        <f>IFERROR(VLOOKUP(B314,'03. THIẾT BỊ'!$B$1:$S$836,10,0),"")</f>
        <v/>
      </c>
      <c r="L314" s="17" t="str">
        <f>IFERROR(VLOOKUP(B314,'03. THIẾT BỊ'!$B$1:$S$836,11,0),"")</f>
        <v/>
      </c>
      <c r="M314" s="16" t="str">
        <f>IFERROR(VLOOKUP(B314,'03. THIẾT BỊ'!$B$1:$S$836,12,0),"")</f>
        <v/>
      </c>
      <c r="N314" s="17" t="str">
        <f>IFERROR(VLOOKUP(B314,'03. THIẾT BỊ'!$B$1:$S$836,13,0),"")</f>
        <v/>
      </c>
      <c r="O314" s="16" t="str">
        <f>IFERROR(VLOOKUP(B314,'03. THIẾT BỊ'!$B$1:$S$836,14,0),"")</f>
        <v/>
      </c>
      <c r="P314" s="17" t="str">
        <f>IFERROR(VLOOKUP(B314,'03. THIẾT BỊ'!$B$1:$S$836,15,0),"")</f>
        <v/>
      </c>
      <c r="Q314" s="18" t="str">
        <f>IFERROR(VLOOKUP(B314,'03. THIẾT BỊ'!$B$1:$S$836,16,0),"")</f>
        <v/>
      </c>
      <c r="R314" s="17" t="str">
        <f>IFERROR(VLOOKUP(B314,'03. THIẾT BỊ'!$B$1:$S$836,17,0),"")</f>
        <v/>
      </c>
      <c r="S314" s="17" t="str">
        <f>IFERROR(VLOOKUP(B314,'03. THIẾT BỊ'!$B$1:$S$836,18,0),"")</f>
        <v/>
      </c>
      <c r="T314" s="609"/>
    </row>
    <row r="315" customHeight="1" spans="1:20">
      <c r="A315" s="19">
        <v>1</v>
      </c>
      <c r="B315" s="20" t="s">
        <v>5483</v>
      </c>
      <c r="C315" s="613">
        <f>IFERROR(VLOOKUP(B315,'03. THIẾT BỊ'!$B$1:$S$836,2,0),"")</f>
        <v>0</v>
      </c>
      <c r="D315" s="24" t="str">
        <f>IFERROR(VLOOKUP(B315,'03. THIẾT BỊ'!$B$1:$S$836,3,0),"")</f>
        <v>A22-GKM-001</v>
      </c>
      <c r="E315" s="20" t="str">
        <f>IFERROR(VLOOKUP(B315,'03. THIẾT BỊ'!$B$1:$S$836,4,0),"")</f>
        <v>ĐQSD</v>
      </c>
      <c r="F315" s="20" t="str">
        <f>IFERROR(VLOOKUP(B315,'03. THIẾT BỊ'!$B$1:$S$836,5,0),"")</f>
        <v>Thiết bị khoan mẹ</v>
      </c>
      <c r="G315" s="101" t="s">
        <v>6468</v>
      </c>
      <c r="H315" s="19" t="str">
        <f>IFERROR(VLOOKUP(B315,'03. THIẾT BỊ'!$B$1:$S$836,7,0),"")</f>
        <v>XN Bò AD</v>
      </c>
      <c r="I315" s="610">
        <f>IFERROR(VLOOKUP(B315,'03. THIẾT BỊ'!$B$1:$S$836,8,0),"")</f>
        <v>0</v>
      </c>
      <c r="J315" s="25"/>
      <c r="K315" s="19" t="str">
        <f>IFERROR(VLOOKUP(B315,'03. THIẾT BỊ'!$B$1:$S$836,10,0),"")</f>
        <v>Bình thường</v>
      </c>
      <c r="L315" s="25">
        <f>IFERROR(VLOOKUP(B315,'03. THIẾT BỊ'!$B$1:$S$836,11,0),"")</f>
        <v>0</v>
      </c>
      <c r="M315" s="24" t="str">
        <f>IFERROR(VLOOKUP(B315,'03. THIẾT BỊ'!$B$1:$S$836,12,0),"")</f>
        <v>Gia công mới</v>
      </c>
      <c r="N315" s="25" t="str">
        <f>IFERROR(VLOOKUP(B315,'03. THIẾT BỊ'!$B$1:$S$836,13,0),"")</f>
        <v>THACO AGRI</v>
      </c>
      <c r="O315" s="24">
        <f>IFERROR(VLOOKUP(B315,'03. THIẾT BỊ'!$B$1:$S$836,14,0),"")</f>
        <v>0</v>
      </c>
      <c r="P315" s="25" t="str">
        <f>IFERROR(VLOOKUP(B315,'03. THIẾT BỊ'!$B$1:$S$836,15,0),"")</f>
        <v>CK-CGH</v>
      </c>
      <c r="Q315" s="23">
        <f>IFERROR(VLOOKUP(B315,'03. THIẾT BỊ'!$B$1:$S$836,16,0),"")</f>
        <v>0</v>
      </c>
      <c r="R315" s="25">
        <f>IFERROR(VLOOKUP(B315,'03. THIẾT BỊ'!$B$1:$S$836,17,0),"")</f>
        <v>0</v>
      </c>
      <c r="S315" s="25">
        <f>IFERROR(VLOOKUP(B315,'03. THIẾT BỊ'!$B$1:$S$836,18,0),"")</f>
        <v>0</v>
      </c>
      <c r="T315" s="41"/>
    </row>
    <row r="316" ht="33.75" customHeight="1" spans="1:20">
      <c r="A316" s="19">
        <v>2</v>
      </c>
      <c r="B316" s="20" t="s">
        <v>5486</v>
      </c>
      <c r="C316" s="613" t="str">
        <f>IFERROR(VLOOKUP(B316,'03. THIẾT BỊ'!$B$1:$S$836,2,0),"")</f>
        <v>CK-DKL-02</v>
      </c>
      <c r="D316" s="24" t="str">
        <f>IFERROR(VLOOKUP(B316,'03. THIẾT BỊ'!$B$1:$S$836,3,0),"")</f>
        <v>A22-DKL-001</v>
      </c>
      <c r="E316" s="20" t="str">
        <f>IFERROR(VLOOKUP(B316,'03. THIẾT BỊ'!$B$1:$S$836,4,0),"")</f>
        <v>ĐQSD</v>
      </c>
      <c r="F316" s="20" t="str">
        <f>IFERROR(VLOOKUP(B316,'03. THIẾT BỊ'!$B$1:$S$836,5,0),"")</f>
        <v>Thiết bị khoan lỗ</v>
      </c>
      <c r="G316" s="101" t="s">
        <v>6468</v>
      </c>
      <c r="H316" s="19" t="str">
        <f>IFERROR(VLOOKUP(B316,'03. THIẾT BỊ'!$B$1:$S$836,7,0),"")</f>
        <v>XN Bò AD</v>
      </c>
      <c r="I316" s="610" t="str">
        <f>IFERROR(VLOOKUP(B316,'03. THIẾT BỊ'!$B$1:$S$836,8,0),"")</f>
        <v>15/04/2024</v>
      </c>
      <c r="J316" s="25"/>
      <c r="K316" s="19" t="str">
        <f>IFERROR(VLOOKUP(B316,'03. THIẾT BỊ'!$B$1:$S$836,10,0),"")</f>
        <v>Hư hỏng</v>
      </c>
      <c r="L316" s="25">
        <f>IFERROR(VLOOKUP(B316,'03. THIẾT BỊ'!$B$1:$S$836,11,0),"")</f>
        <v>0</v>
      </c>
      <c r="M316" s="24" t="str">
        <f>IFERROR(VLOOKUP(B316,'03. THIẾT BỊ'!$B$1:$S$836,12,0),"")</f>
        <v>Gia công mới</v>
      </c>
      <c r="N316" s="25" t="str">
        <f>IFERROR(VLOOKUP(B316,'03. THIẾT BỊ'!$B$1:$S$836,13,0),"")</f>
        <v>THACO AGRI</v>
      </c>
      <c r="O316" s="24">
        <f>IFERROR(VLOOKUP(B316,'03. THIẾT BỊ'!$B$1:$S$836,14,0),"")</f>
        <v>0</v>
      </c>
      <c r="P316" s="25" t="str">
        <f>IFERROR(VLOOKUP(B316,'03. THIẾT BỊ'!$B$1:$S$836,15,0),"")</f>
        <v>CK-CGH</v>
      </c>
      <c r="Q316" s="23">
        <f>IFERROR(VLOOKUP(B316,'03. THIẾT BỊ'!$B$1:$S$836,16,0),"")</f>
        <v>0</v>
      </c>
      <c r="R316" s="25" t="str">
        <f>IFERROR(VLOOKUP(B316,'03. THIẾT BỊ'!$B$1:$S$836,17,0),"")</f>
        <v>DxRxC: 2.5m*0.8m*2.5m
1 bộ TB kèm cardang và mũi khoan phi 800*800mm</v>
      </c>
      <c r="S316" s="25">
        <f>IFERROR(VLOOKUP(B316,'03. THIẾT BỊ'!$B$1:$S$836,18,0),"")</f>
        <v>0</v>
      </c>
      <c r="T316" s="41"/>
    </row>
    <row r="317" customHeight="1" spans="1:20">
      <c r="A317" s="19">
        <v>3</v>
      </c>
      <c r="B317" s="20" t="s">
        <v>5491</v>
      </c>
      <c r="C317" s="613">
        <f>IFERROR(VLOOKUP(B317,'03. THIẾT BỊ'!$B$1:$S$836,2,0),"")</f>
        <v>0</v>
      </c>
      <c r="D317" s="24">
        <f>IFERROR(VLOOKUP(B317,'03. THIẾT BỊ'!$B$1:$S$836,3,0),"")</f>
        <v>0</v>
      </c>
      <c r="E317" s="20" t="str">
        <f>IFERROR(VLOOKUP(B317,'03. THIẾT BỊ'!$B$1:$S$836,4,0),"")</f>
        <v>ĐQSD</v>
      </c>
      <c r="F317" s="20" t="str">
        <f>IFERROR(VLOOKUP(B317,'03. THIẾT BỊ'!$B$1:$S$836,5,0),"")</f>
        <v>Thiết bị khoan lỗ</v>
      </c>
      <c r="G317" s="101" t="s">
        <v>6468</v>
      </c>
      <c r="H317" s="19" t="str">
        <f>IFERROR(VLOOKUP(B317,'03. THIẾT BỊ'!$B$1:$S$836,7,0),"")</f>
        <v>XN Bò AD</v>
      </c>
      <c r="I317" s="610" t="str">
        <f>IFERROR(VLOOKUP(B317,'03. THIẾT BỊ'!$B$1:$S$836,8,0),"")</f>
        <v>17/06/2024</v>
      </c>
      <c r="J317" s="25"/>
      <c r="K317" s="19" t="str">
        <f>IFERROR(VLOOKUP(B317,'03. THIẾT BỊ'!$B$1:$S$836,10,0),"")</f>
        <v>Bình thường</v>
      </c>
      <c r="L317" s="25">
        <f>IFERROR(VLOOKUP(B317,'03. THIẾT BỊ'!$B$1:$S$836,11,0),"")</f>
        <v>0</v>
      </c>
      <c r="M317" s="24" t="str">
        <f>IFERROR(VLOOKUP(B317,'03. THIẾT BỊ'!$B$1:$S$836,12,0),"")</f>
        <v>Đã qua SD</v>
      </c>
      <c r="N317" s="25" t="str">
        <f>IFERROR(VLOOKUP(B317,'03. THIẾT BỊ'!$B$1:$S$836,13,0),"")</f>
        <v>THACO AGRI</v>
      </c>
      <c r="O317" s="24">
        <f>IFERROR(VLOOKUP(B317,'03. THIẾT BỊ'!$B$1:$S$836,14,0),"")</f>
        <v>0</v>
      </c>
      <c r="P317" s="25" t="str">
        <f>IFERROR(VLOOKUP(B317,'03. THIẾT BỊ'!$B$1:$S$836,15,0),"")</f>
        <v>CK-CGH</v>
      </c>
      <c r="Q317" s="23">
        <f>IFERROR(VLOOKUP(B317,'03. THIẾT BỊ'!$B$1:$S$836,16,0),"")</f>
        <v>0</v>
      </c>
      <c r="R317" s="25">
        <f>IFERROR(VLOOKUP(B317,'03. THIẾT BỊ'!$B$1:$S$836,17,0),"")</f>
        <v>0</v>
      </c>
      <c r="S317" s="25">
        <f>IFERROR(VLOOKUP(B317,'03. THIẾT BỊ'!$B$1:$S$836,18,0),"")</f>
        <v>0</v>
      </c>
      <c r="T317" s="41"/>
    </row>
    <row r="318" customHeight="1" spans="1:20">
      <c r="A318" s="19">
        <v>4</v>
      </c>
      <c r="B318" s="20" t="s">
        <v>3953</v>
      </c>
      <c r="C318" s="613" t="str">
        <f>IFERROR(VLOOKUP(B318,'03. THIẾT BỊ'!$B$1:$S$836,2,0),"")</f>
        <v>XDP-KHO-001</v>
      </c>
      <c r="D318" s="24" t="str">
        <f>IFERROR(VLOOKUP(B318,'03. THIẾT BỊ'!$B$1:$S$836,3,0),"")</f>
        <v>A23-KHO-001</v>
      </c>
      <c r="E318" s="20" t="str">
        <f>IFERROR(VLOOKUP(B318,'03. THIẾT BỊ'!$B$1:$S$836,4,0),"")</f>
        <v>ĐQSD</v>
      </c>
      <c r="F318" s="20" t="str">
        <f>IFERROR(VLOOKUP(B318,'03. THIẾT BỊ'!$B$1:$S$836,5,0),"")</f>
        <v>Thiết bị khoan hố</v>
      </c>
      <c r="G318" s="101" t="s">
        <v>6468</v>
      </c>
      <c r="H318" s="19" t="str">
        <f>IFERROR(VLOOKUP(B318,'03. THIẾT BỊ'!$B$1:$S$836,7,0),"")</f>
        <v>CGLĐ DP</v>
      </c>
      <c r="I318" s="610">
        <f>IFERROR(VLOOKUP(B318,'03. THIẾT BỊ'!$B$1:$S$836,8,0),"")</f>
        <v>0</v>
      </c>
      <c r="J318" s="25"/>
      <c r="K318" s="19" t="str">
        <f>IFERROR(VLOOKUP(B318,'03. THIẾT BỊ'!$B$1:$S$836,10,0),"")</f>
        <v>Bình thường</v>
      </c>
      <c r="L318" s="25">
        <f>IFERROR(VLOOKUP(B318,'03. THIẾT BỊ'!$B$1:$S$836,11,0),"")</f>
        <v>0</v>
      </c>
      <c r="M318" s="24">
        <f>IFERROR(VLOOKUP(B318,'03. THIẾT BỊ'!$B$1:$S$836,12,0),"")</f>
        <v>0</v>
      </c>
      <c r="N318" s="25" t="str">
        <f>IFERROR(VLOOKUP(B318,'03. THIẾT BỊ'!$B$1:$S$836,13,0),"")</f>
        <v>THACO AGRI</v>
      </c>
      <c r="O318" s="24">
        <f>IFERROR(VLOOKUP(B318,'03. THIẾT BỊ'!$B$1:$S$836,14,0),"")</f>
        <v>0</v>
      </c>
      <c r="P318" s="25" t="str">
        <f>IFERROR(VLOOKUP(B318,'03. THIẾT BỊ'!$B$1:$S$836,15,0),"")</f>
        <v>CK-CGH</v>
      </c>
      <c r="Q318" s="23">
        <f>IFERROR(VLOOKUP(B318,'03. THIẾT BỊ'!$B$1:$S$836,16,0),"")</f>
        <v>0</v>
      </c>
      <c r="R318" s="25">
        <f>IFERROR(VLOOKUP(B318,'03. THIẾT BỊ'!$B$1:$S$836,17,0),"")</f>
        <v>0</v>
      </c>
      <c r="S318" s="25">
        <f>IFERROR(VLOOKUP(B318,'03. THIẾT BỊ'!$B$1:$S$836,18,0),"")</f>
        <v>0</v>
      </c>
      <c r="T318" s="41"/>
    </row>
    <row r="319" customHeight="1" spans="1:20">
      <c r="A319" s="324"/>
      <c r="B319" s="41"/>
      <c r="C319" s="613" t="str">
        <f>IFERROR(VLOOKUP(B319,'03. THIẾT BỊ'!$B$1:$S$836,2,0),"")</f>
        <v/>
      </c>
      <c r="D319" s="24" t="str">
        <f>IFERROR(VLOOKUP(B319,'03. THIẾT BỊ'!$B$1:$S$836,3,0),"")</f>
        <v/>
      </c>
      <c r="E319" s="20" t="str">
        <f>IFERROR(VLOOKUP(B319,'03. THIẾT BỊ'!$B$1:$S$836,4,0),"")</f>
        <v/>
      </c>
      <c r="F319" s="20" t="str">
        <f>IFERROR(VLOOKUP(B319,'03. THIẾT BỊ'!$B$1:$S$836,5,0),"")</f>
        <v/>
      </c>
      <c r="G319" s="101" t="s">
        <v>6468</v>
      </c>
      <c r="H319" s="19" t="str">
        <f>IFERROR(VLOOKUP(B319,'03. THIẾT BỊ'!$B$1:$S$836,7,0),"")</f>
        <v/>
      </c>
      <c r="I319" s="610" t="str">
        <f>IFERROR(VLOOKUP(B319,'03. THIẾT BỊ'!$B$1:$S$836,8,0),"")</f>
        <v/>
      </c>
      <c r="J319" s="25"/>
      <c r="K319" s="19" t="str">
        <f>IFERROR(VLOOKUP(B319,'03. THIẾT BỊ'!$B$1:$S$836,10,0),"")</f>
        <v/>
      </c>
      <c r="L319" s="25" t="str">
        <f>IFERROR(VLOOKUP(B319,'03. THIẾT BỊ'!$B$1:$S$836,11,0),"")</f>
        <v/>
      </c>
      <c r="M319" s="24" t="str">
        <f>IFERROR(VLOOKUP(B319,'03. THIẾT BỊ'!$B$1:$S$836,12,0),"")</f>
        <v/>
      </c>
      <c r="N319" s="25" t="str">
        <f>IFERROR(VLOOKUP(B319,'03. THIẾT BỊ'!$B$1:$S$836,13,0),"")</f>
        <v/>
      </c>
      <c r="O319" s="24" t="str">
        <f>IFERROR(VLOOKUP(B319,'03. THIẾT BỊ'!$B$1:$S$836,14,0),"")</f>
        <v/>
      </c>
      <c r="P319" s="25" t="str">
        <f>IFERROR(VLOOKUP(B319,'03. THIẾT BỊ'!$B$1:$S$836,15,0),"")</f>
        <v/>
      </c>
      <c r="Q319" s="23" t="str">
        <f>IFERROR(VLOOKUP(B319,'03. THIẾT BỊ'!$B$1:$S$836,16,0),"")</f>
        <v/>
      </c>
      <c r="R319" s="25" t="str">
        <f>IFERROR(VLOOKUP(B319,'03. THIẾT BỊ'!$B$1:$S$836,17,0),"")</f>
        <v/>
      </c>
      <c r="S319" s="25" t="str">
        <f>IFERROR(VLOOKUP(B319,'03. THIẾT BỊ'!$B$1:$S$836,18,0),"")</f>
        <v/>
      </c>
      <c r="T319" s="41"/>
    </row>
    <row r="320" hidden="1" customHeight="1" spans="1:20">
      <c r="A320" s="324"/>
      <c r="B320" s="41"/>
      <c r="C320" s="613" t="str">
        <f>IFERROR(VLOOKUP(B320,'03. THIẾT BỊ'!$B$1:$S$836,2,0),"")</f>
        <v/>
      </c>
      <c r="D320" s="24" t="str">
        <f>IFERROR(VLOOKUP(B320,'03. THIẾT BỊ'!$B$1:$S$836,3,0),"")</f>
        <v/>
      </c>
      <c r="E320" s="20" t="str">
        <f>IFERROR(VLOOKUP(B320,'03. THIẾT BỊ'!$B$1:$S$836,4,0),"")</f>
        <v/>
      </c>
      <c r="F320" s="20" t="str">
        <f>IFERROR(VLOOKUP(B320,'03. THIẾT BỊ'!$B$1:$S$836,5,0),"")</f>
        <v/>
      </c>
      <c r="G320" s="101" t="s">
        <v>6468</v>
      </c>
      <c r="H320" s="19" t="str">
        <f>IFERROR(VLOOKUP(B320,'03. THIẾT BỊ'!$B$1:$S$836,7,0),"")</f>
        <v/>
      </c>
      <c r="I320" s="610" t="str">
        <f>IFERROR(VLOOKUP(B320,'03. THIẾT BỊ'!$B$1:$S$836,8,0),"")</f>
        <v/>
      </c>
      <c r="J320" s="25"/>
      <c r="K320" s="19" t="str">
        <f>IFERROR(VLOOKUP(B320,'03. THIẾT BỊ'!$B$1:$S$836,10,0),"")</f>
        <v/>
      </c>
      <c r="L320" s="25" t="str">
        <f>IFERROR(VLOOKUP(B320,'03. THIẾT BỊ'!$B$1:$S$836,11,0),"")</f>
        <v/>
      </c>
      <c r="M320" s="24" t="str">
        <f>IFERROR(VLOOKUP(B320,'03. THIẾT BỊ'!$B$1:$S$836,12,0),"")</f>
        <v/>
      </c>
      <c r="N320" s="25" t="str">
        <f>IFERROR(VLOOKUP(B320,'03. THIẾT BỊ'!$B$1:$S$836,13,0),"")</f>
        <v/>
      </c>
      <c r="O320" s="24" t="str">
        <f>IFERROR(VLOOKUP(B320,'03. THIẾT BỊ'!$B$1:$S$836,14,0),"")</f>
        <v/>
      </c>
      <c r="P320" s="25" t="str">
        <f>IFERROR(VLOOKUP(B320,'03. THIẾT BỊ'!$B$1:$S$836,15,0),"")</f>
        <v/>
      </c>
      <c r="Q320" s="23" t="str">
        <f>IFERROR(VLOOKUP(B320,'03. THIẾT BỊ'!$B$1:$S$836,16,0),"")</f>
        <v/>
      </c>
      <c r="R320" s="25" t="str">
        <f>IFERROR(VLOOKUP(B320,'03. THIẾT BỊ'!$B$1:$S$836,17,0),"")</f>
        <v/>
      </c>
      <c r="S320" s="25" t="str">
        <f>IFERROR(VLOOKUP(B320,'03. THIẾT BỊ'!$B$1:$S$836,18,0),"")</f>
        <v/>
      </c>
      <c r="T320" s="41"/>
    </row>
    <row r="321" hidden="1" customHeight="1" spans="1:20">
      <c r="A321" s="324"/>
      <c r="B321" s="41"/>
      <c r="C321" s="613" t="str">
        <f>IFERROR(VLOOKUP(B321,'03. THIẾT BỊ'!$B$1:$S$836,2,0),"")</f>
        <v/>
      </c>
      <c r="D321" s="24" t="str">
        <f>IFERROR(VLOOKUP(B321,'03. THIẾT BỊ'!$B$1:$S$836,3,0),"")</f>
        <v/>
      </c>
      <c r="E321" s="20" t="str">
        <f>IFERROR(VLOOKUP(B321,'03. THIẾT BỊ'!$B$1:$S$836,4,0),"")</f>
        <v/>
      </c>
      <c r="F321" s="20" t="str">
        <f>IFERROR(VLOOKUP(B321,'03. THIẾT BỊ'!$B$1:$S$836,5,0),"")</f>
        <v/>
      </c>
      <c r="G321" s="101" t="s">
        <v>6468</v>
      </c>
      <c r="H321" s="19" t="str">
        <f>IFERROR(VLOOKUP(B321,'03. THIẾT BỊ'!$B$1:$S$836,7,0),"")</f>
        <v/>
      </c>
      <c r="I321" s="610" t="str">
        <f>IFERROR(VLOOKUP(B321,'03. THIẾT BỊ'!$B$1:$S$836,8,0),"")</f>
        <v/>
      </c>
      <c r="J321" s="25"/>
      <c r="K321" s="19" t="str">
        <f>IFERROR(VLOOKUP(B321,'03. THIẾT BỊ'!$B$1:$S$836,10,0),"")</f>
        <v/>
      </c>
      <c r="L321" s="25" t="str">
        <f>IFERROR(VLOOKUP(B321,'03. THIẾT BỊ'!$B$1:$S$836,11,0),"")</f>
        <v/>
      </c>
      <c r="M321" s="24" t="str">
        <f>IFERROR(VLOOKUP(B321,'03. THIẾT BỊ'!$B$1:$S$836,12,0),"")</f>
        <v/>
      </c>
      <c r="N321" s="25" t="str">
        <f>IFERROR(VLOOKUP(B321,'03. THIẾT BỊ'!$B$1:$S$836,13,0),"")</f>
        <v/>
      </c>
      <c r="O321" s="24" t="str">
        <f>IFERROR(VLOOKUP(B321,'03. THIẾT BỊ'!$B$1:$S$836,14,0),"")</f>
        <v/>
      </c>
      <c r="P321" s="25" t="str">
        <f>IFERROR(VLOOKUP(B321,'03. THIẾT BỊ'!$B$1:$S$836,15,0),"")</f>
        <v/>
      </c>
      <c r="Q321" s="23" t="str">
        <f>IFERROR(VLOOKUP(B321,'03. THIẾT BỊ'!$B$1:$S$836,16,0),"")</f>
        <v/>
      </c>
      <c r="R321" s="25" t="str">
        <f>IFERROR(VLOOKUP(B321,'03. THIẾT BỊ'!$B$1:$S$836,17,0),"")</f>
        <v/>
      </c>
      <c r="S321" s="25" t="str">
        <f>IFERROR(VLOOKUP(B321,'03. THIẾT BỊ'!$B$1:$S$836,18,0),"")</f>
        <v/>
      </c>
      <c r="T321" s="41"/>
    </row>
    <row r="322" hidden="1" customHeight="1" spans="1:20">
      <c r="A322" s="324"/>
      <c r="B322" s="41"/>
      <c r="C322" s="613" t="str">
        <f>IFERROR(VLOOKUP(B322,'03. THIẾT BỊ'!$B$1:$S$836,2,0),"")</f>
        <v/>
      </c>
      <c r="D322" s="24" t="str">
        <f>IFERROR(VLOOKUP(B322,'03. THIẾT BỊ'!$B$1:$S$836,3,0),"")</f>
        <v/>
      </c>
      <c r="E322" s="20" t="str">
        <f>IFERROR(VLOOKUP(B322,'03. THIẾT BỊ'!$B$1:$S$836,4,0),"")</f>
        <v/>
      </c>
      <c r="F322" s="20" t="str">
        <f>IFERROR(VLOOKUP(B322,'03. THIẾT BỊ'!$B$1:$S$836,5,0),"")</f>
        <v/>
      </c>
      <c r="G322" s="101" t="s">
        <v>6468</v>
      </c>
      <c r="H322" s="19" t="str">
        <f>IFERROR(VLOOKUP(B322,'03. THIẾT BỊ'!$B$1:$S$836,7,0),"")</f>
        <v/>
      </c>
      <c r="I322" s="610" t="str">
        <f>IFERROR(VLOOKUP(B322,'03. THIẾT BỊ'!$B$1:$S$836,8,0),"")</f>
        <v/>
      </c>
      <c r="J322" s="25"/>
      <c r="K322" s="19" t="str">
        <f>IFERROR(VLOOKUP(B322,'03. THIẾT BỊ'!$B$1:$S$836,10,0),"")</f>
        <v/>
      </c>
      <c r="L322" s="25" t="str">
        <f>IFERROR(VLOOKUP(B322,'03. THIẾT BỊ'!$B$1:$S$836,11,0),"")</f>
        <v/>
      </c>
      <c r="M322" s="24" t="str">
        <f>IFERROR(VLOOKUP(B322,'03. THIẾT BỊ'!$B$1:$S$836,12,0),"")</f>
        <v/>
      </c>
      <c r="N322" s="25" t="str">
        <f>IFERROR(VLOOKUP(B322,'03. THIẾT BỊ'!$B$1:$S$836,13,0),"")</f>
        <v/>
      </c>
      <c r="O322" s="24" t="str">
        <f>IFERROR(VLOOKUP(B322,'03. THIẾT BỊ'!$B$1:$S$836,14,0),"")</f>
        <v/>
      </c>
      <c r="P322" s="25" t="str">
        <f>IFERROR(VLOOKUP(B322,'03. THIẾT BỊ'!$B$1:$S$836,15,0),"")</f>
        <v/>
      </c>
      <c r="Q322" s="23" t="str">
        <f>IFERROR(VLOOKUP(B322,'03. THIẾT BỊ'!$B$1:$S$836,16,0),"")</f>
        <v/>
      </c>
      <c r="R322" s="25" t="str">
        <f>IFERROR(VLOOKUP(B322,'03. THIẾT BỊ'!$B$1:$S$836,17,0),"")</f>
        <v/>
      </c>
      <c r="S322" s="25" t="str">
        <f>IFERROR(VLOOKUP(B322,'03. THIẾT BỊ'!$B$1:$S$836,18,0),"")</f>
        <v/>
      </c>
      <c r="T322" s="41"/>
    </row>
    <row r="323" customHeight="1" spans="1:20">
      <c r="A323" s="14" t="s">
        <v>290</v>
      </c>
      <c r="B323" s="15" t="s">
        <v>6490</v>
      </c>
      <c r="C323" s="14">
        <f>COUNTA(B324:B332)</f>
        <v>8</v>
      </c>
      <c r="D323" s="17" t="str">
        <f>IFERROR(VLOOKUP(B323,'03. THIẾT BỊ'!$B$1:$S$836,3,0),"")</f>
        <v/>
      </c>
      <c r="E323" s="20" t="str">
        <f>IFERROR(VLOOKUP(B323,'03. THIẾT BỊ'!$B$1:$S$836,4,0),"")</f>
        <v/>
      </c>
      <c r="F323" s="17" t="str">
        <f>IFERROR(VLOOKUP(B323,'03. THIẾT BỊ'!$B$1:$S$836,5,0),"")</f>
        <v/>
      </c>
      <c r="G323" s="18" t="s">
        <v>6468</v>
      </c>
      <c r="H323" s="18" t="str">
        <f>IFERROR(VLOOKUP(B323,'03. THIẾT BỊ'!$B$1:$S$836,7,0),"")</f>
        <v/>
      </c>
      <c r="I323" s="14" t="str">
        <f>IFERROR(VLOOKUP(B323,'03. THIẾT BỊ'!$B$1:$S$836,8,0),"")</f>
        <v/>
      </c>
      <c r="J323" s="15"/>
      <c r="K323" s="14" t="str">
        <f>IFERROR(VLOOKUP(B323,'03. THIẾT BỊ'!$B$1:$S$836,10,0),"")</f>
        <v/>
      </c>
      <c r="L323" s="17" t="str">
        <f>IFERROR(VLOOKUP(B323,'03. THIẾT BỊ'!$B$1:$S$836,11,0),"")</f>
        <v/>
      </c>
      <c r="M323" s="16" t="str">
        <f>IFERROR(VLOOKUP(B323,'03. THIẾT BỊ'!$B$1:$S$836,12,0),"")</f>
        <v/>
      </c>
      <c r="N323" s="17" t="str">
        <f>IFERROR(VLOOKUP(B323,'03. THIẾT BỊ'!$B$1:$S$836,13,0),"")</f>
        <v/>
      </c>
      <c r="O323" s="16" t="str">
        <f>IFERROR(VLOOKUP(B323,'03. THIẾT BỊ'!$B$1:$S$836,14,0),"")</f>
        <v/>
      </c>
      <c r="P323" s="17" t="str">
        <f>IFERROR(VLOOKUP(B323,'03. THIẾT BỊ'!$B$1:$S$836,15,0),"")</f>
        <v/>
      </c>
      <c r="Q323" s="18" t="str">
        <f>IFERROR(VLOOKUP(B323,'03. THIẾT BỊ'!$B$1:$S$836,16,0),"")</f>
        <v/>
      </c>
      <c r="R323" s="17" t="str">
        <f>IFERROR(VLOOKUP(B323,'03. THIẾT BỊ'!$B$1:$S$836,17,0),"")</f>
        <v/>
      </c>
      <c r="S323" s="17" t="str">
        <f>IFERROR(VLOOKUP(B323,'03. THIẾT BỊ'!$B$1:$S$836,18,0),"")</f>
        <v/>
      </c>
      <c r="T323" s="609"/>
    </row>
    <row r="324" customHeight="1" spans="1:20">
      <c r="A324" s="19">
        <v>1</v>
      </c>
      <c r="B324" s="20" t="s">
        <v>3920</v>
      </c>
      <c r="C324" s="613" t="str">
        <f>IFERROR(VLOOKUP(B324,'03. THIẾT BỊ'!$B$1:$S$836,2,0),"")</f>
        <v>XDP-CNA-001</v>
      </c>
      <c r="D324" s="24" t="str">
        <f>IFERROR(VLOOKUP(B324,'03. THIẾT BỊ'!$B$1:$S$836,3,0),"")</f>
        <v>A23-CNA-001</v>
      </c>
      <c r="E324" s="20" t="str">
        <f>IFERROR(VLOOKUP(B324,'03. THIẾT BỊ'!$B$1:$S$836,4,0),"")</f>
        <v>ĐQSD</v>
      </c>
      <c r="F324" s="20" t="str">
        <f>IFERROR(VLOOKUP(B324,'03. THIẾT BỊ'!$B$1:$S$836,5,0),"")</f>
        <v>Thiết bị cày ngầm 3 trụ</v>
      </c>
      <c r="G324" s="101" t="s">
        <v>6468</v>
      </c>
      <c r="H324" s="19" t="str">
        <f>IFERROR(VLOOKUP(B324,'03. THIẾT BỊ'!$B$1:$S$836,7,0),"")</f>
        <v>CGLĐ DP</v>
      </c>
      <c r="I324" s="610">
        <f>IFERROR(VLOOKUP(B324,'03. THIẾT BỊ'!$B$1:$S$836,8,0),"")</f>
        <v>0</v>
      </c>
      <c r="J324" s="25"/>
      <c r="K324" s="19" t="str">
        <f>IFERROR(VLOOKUP(B324,'03. THIẾT BỊ'!$B$1:$S$836,10,0),"")</f>
        <v>Bình thường</v>
      </c>
      <c r="L324" s="25">
        <f>IFERROR(VLOOKUP(B324,'03. THIẾT BỊ'!$B$1:$S$836,11,0),"")</f>
        <v>0</v>
      </c>
      <c r="M324" s="24">
        <f>IFERROR(VLOOKUP(B324,'03. THIẾT BỊ'!$B$1:$S$836,12,0),"")</f>
        <v>0</v>
      </c>
      <c r="N324" s="25" t="str">
        <f>IFERROR(VLOOKUP(B324,'03. THIẾT BỊ'!$B$1:$S$836,13,0),"")</f>
        <v>TRUNG QUỐC</v>
      </c>
      <c r="O324" s="24" t="str">
        <f>IFERROR(VLOOKUP(B324,'03. THIẾT BỊ'!$B$1:$S$836,14,0),"")</f>
        <v>3 trụ</v>
      </c>
      <c r="P324" s="25" t="str">
        <f>IFERROR(VLOOKUP(B324,'03. THIẾT BỊ'!$B$1:$S$836,15,0),"")</f>
        <v>TRUNG QUỐC</v>
      </c>
      <c r="Q324" s="23">
        <f>IFERROR(VLOOKUP(B324,'03. THIẾT BỊ'!$B$1:$S$836,16,0),"")</f>
        <v>0</v>
      </c>
      <c r="R324" s="25">
        <f>IFERROR(VLOOKUP(B324,'03. THIẾT BỊ'!$B$1:$S$836,17,0),"")</f>
        <v>0</v>
      </c>
      <c r="S324" s="25">
        <f>IFERROR(VLOOKUP(B324,'03. THIẾT BỊ'!$B$1:$S$836,18,0),"")</f>
        <v>0</v>
      </c>
      <c r="T324" s="41"/>
    </row>
    <row r="325" customHeight="1" spans="1:20">
      <c r="A325" s="19">
        <f t="shared" ref="A325:A331" si="15">A324+1</f>
        <v>2</v>
      </c>
      <c r="B325" s="20" t="s">
        <v>4098</v>
      </c>
      <c r="C325" s="613" t="str">
        <f>IFERROR(VLOOKUP(B325,'03. THIẾT BỊ'!$B$1:$S$836,2,0),"")</f>
        <v>CNN-CAN-003</v>
      </c>
      <c r="D325" s="24" t="str">
        <f>IFERROR(VLOOKUP(B325,'03. THIẾT BỊ'!$B$1:$S$836,3,0),"")</f>
        <v>A24-CNA-002</v>
      </c>
      <c r="E325" s="20" t="str">
        <f>IFERROR(VLOOKUP(B325,'03. THIẾT BỊ'!$B$1:$S$836,4,0),"")</f>
        <v>ĐQSD</v>
      </c>
      <c r="F325" s="20" t="str">
        <f>IFERROR(VLOOKUP(B325,'03. THIẾT BỊ'!$B$1:$S$836,5,0),"")</f>
        <v>Thiết bị cày ngầm 3 trụ</v>
      </c>
      <c r="G325" s="101" t="s">
        <v>6468</v>
      </c>
      <c r="H325" s="19" t="str">
        <f>IFERROR(VLOOKUP(B325,'03. THIẾT BỊ'!$B$1:$S$836,7,0),"")</f>
        <v>CGLĐ LP</v>
      </c>
      <c r="I325" s="610">
        <f>IFERROR(VLOOKUP(B325,'03. THIẾT BỊ'!$B$1:$S$836,8,0),"")</f>
        <v>0</v>
      </c>
      <c r="J325" s="25"/>
      <c r="K325" s="19" t="str">
        <f>IFERROR(VLOOKUP(B325,'03. THIẾT BỊ'!$B$1:$S$836,10,0),"")</f>
        <v>Bình thường</v>
      </c>
      <c r="L325" s="25">
        <f>IFERROR(VLOOKUP(B325,'03. THIẾT BỊ'!$B$1:$S$836,11,0),"")</f>
        <v>0</v>
      </c>
      <c r="M325" s="24">
        <f>IFERROR(VLOOKUP(B325,'03. THIẾT BỊ'!$B$1:$S$836,12,0),"")</f>
        <v>0</v>
      </c>
      <c r="N325" s="25" t="str">
        <f>IFERROR(VLOOKUP(B325,'03. THIẾT BỊ'!$B$1:$S$836,13,0),"")</f>
        <v>CAMBODIA</v>
      </c>
      <c r="O325" s="24" t="str">
        <f>IFERROR(VLOOKUP(B325,'03. THIẾT BỊ'!$B$1:$S$836,14,0),"")</f>
        <v>3 trụ</v>
      </c>
      <c r="P325" s="25" t="str">
        <f>IFERROR(VLOOKUP(B325,'03. THIẾT BỊ'!$B$1:$S$836,15,0),"")</f>
        <v>CAMBODIA</v>
      </c>
      <c r="Q325" s="23">
        <f>IFERROR(VLOOKUP(B325,'03. THIẾT BỊ'!$B$1:$S$836,16,0),"")</f>
        <v>0</v>
      </c>
      <c r="R325" s="25">
        <f>IFERROR(VLOOKUP(B325,'03. THIẾT BỊ'!$B$1:$S$836,17,0),"")</f>
        <v>0</v>
      </c>
      <c r="S325" s="25">
        <f>IFERROR(VLOOKUP(B325,'03. THIẾT BỊ'!$B$1:$S$836,18,0),"")</f>
        <v>0</v>
      </c>
      <c r="T325" s="41"/>
    </row>
    <row r="326" customHeight="1" spans="1:20">
      <c r="A326" s="19">
        <f t="shared" si="15"/>
        <v>3</v>
      </c>
      <c r="B326" s="38" t="s">
        <v>4117</v>
      </c>
      <c r="C326" s="613" t="str">
        <f>IFERROR(VLOOKUP(B326,'03. THIẾT BỊ'!$B$1:$S$836,2,0),"")</f>
        <v>CK-DCN-01</v>
      </c>
      <c r="D326" s="24" t="str">
        <f>IFERROR(VLOOKUP(B326,'03. THIẾT BỊ'!$B$1:$S$836,3,0),"")</f>
        <v>A24-CNA-004</v>
      </c>
      <c r="E326" s="20" t="str">
        <f>IFERROR(VLOOKUP(B326,'03. THIẾT BỊ'!$B$1:$S$836,4,0),"")</f>
        <v>ĐQSD</v>
      </c>
      <c r="F326" s="20" t="str">
        <f>IFERROR(VLOOKUP(B326,'03. THIẾT BỊ'!$B$1:$S$836,5,0),"")</f>
        <v>Thiết bị cày ngầm 3 trụ</v>
      </c>
      <c r="G326" s="101" t="s">
        <v>6468</v>
      </c>
      <c r="H326" s="19" t="str">
        <f>IFERROR(VLOOKUP(B326,'03. THIẾT BỊ'!$B$1:$S$836,7,0),"")</f>
        <v>CGLĐ LP</v>
      </c>
      <c r="I326" s="610">
        <f>IFERROR(VLOOKUP(B326,'03. THIẾT BỊ'!$B$1:$S$836,8,0),"")</f>
        <v>45570</v>
      </c>
      <c r="J326" s="25"/>
      <c r="K326" s="19" t="str">
        <f>IFERROR(VLOOKUP(B326,'03. THIẾT BỊ'!$B$1:$S$836,10,0),"")</f>
        <v>Bình thường</v>
      </c>
      <c r="L326" s="25" t="str">
        <f>IFERROR(VLOOKUP(B326,'03. THIẾT BỊ'!$B$1:$S$836,11,0),"")</f>
        <v>Gia công mới</v>
      </c>
      <c r="M326" s="24">
        <f>IFERROR(VLOOKUP(B326,'03. THIẾT BỊ'!$B$1:$S$836,12,0),"")</f>
        <v>0</v>
      </c>
      <c r="N326" s="25" t="str">
        <f>IFERROR(VLOOKUP(B326,'03. THIẾT BỊ'!$B$1:$S$836,13,0),"")</f>
        <v>CAMBODIA</v>
      </c>
      <c r="O326" s="24" t="str">
        <f>IFERROR(VLOOKUP(B326,'03. THIẾT BỊ'!$B$1:$S$836,14,0),"")</f>
        <v>3 trụ</v>
      </c>
      <c r="P326" s="25" t="str">
        <f>IFERROR(VLOOKUP(B326,'03. THIẾT BỊ'!$B$1:$S$836,15,0),"")</f>
        <v>CAMBODIA</v>
      </c>
      <c r="Q326" s="23">
        <f>IFERROR(VLOOKUP(B326,'03. THIẾT BỊ'!$B$1:$S$836,16,0),"")</f>
        <v>0</v>
      </c>
      <c r="R326" s="25" t="str">
        <f>IFERROR(VLOOKUP(B326,'03. THIẾT BỊ'!$B$1:$S$836,17,0),"")</f>
        <v>1.4*1.8*1.6</v>
      </c>
      <c r="S326" s="25">
        <f>IFERROR(VLOOKUP(B326,'03. THIẾT BỊ'!$B$1:$S$836,18,0),"")</f>
        <v>0</v>
      </c>
      <c r="T326" s="622"/>
    </row>
    <row r="327" customHeight="1" spans="1:20">
      <c r="A327" s="19">
        <f t="shared" si="15"/>
        <v>4</v>
      </c>
      <c r="B327" s="20" t="s">
        <v>4197</v>
      </c>
      <c r="C327" s="613" t="str">
        <f>IFERROR(VLOOKUP(B327,'03. THIẾT BỊ'!$B$1:$S$836,2,0),"")</f>
        <v>CNN-CNA-001</v>
      </c>
      <c r="D327" s="24" t="str">
        <f>IFERROR(VLOOKUP(B327,'03. THIẾT BỊ'!$B$1:$S$836,3,0),"")</f>
        <v>A22-CNA-003</v>
      </c>
      <c r="E327" s="20" t="str">
        <f>IFERROR(VLOOKUP(B327,'03. THIẾT BỊ'!$B$1:$S$836,4,0),"")</f>
        <v>ĐQSD</v>
      </c>
      <c r="F327" s="20" t="str">
        <f>IFERROR(VLOOKUP(B327,'03. THIẾT BỊ'!$B$1:$S$836,5,0),"")</f>
        <v>Thiết bị cày ngầm 3 trụ</v>
      </c>
      <c r="G327" s="101" t="s">
        <v>6468</v>
      </c>
      <c r="H327" s="19" t="str">
        <f>IFERROR(VLOOKUP(B327,'03. THIẾT BỊ'!$B$1:$S$836,7,0),"")</f>
        <v>XN Bò AD</v>
      </c>
      <c r="I327" s="610">
        <f>IFERROR(VLOOKUP(B327,'03. THIẾT BỊ'!$B$1:$S$836,8,0),"")</f>
        <v>0</v>
      </c>
      <c r="J327" s="25"/>
      <c r="K327" s="19" t="str">
        <f>IFERROR(VLOOKUP(B327,'03. THIẾT BỊ'!$B$1:$S$836,10,0),"")</f>
        <v>Bình thường</v>
      </c>
      <c r="L327" s="25">
        <f>IFERROR(VLOOKUP(B327,'03. THIẾT BỊ'!$B$1:$S$836,11,0),"")</f>
        <v>0</v>
      </c>
      <c r="M327" s="24">
        <f>IFERROR(VLOOKUP(B327,'03. THIẾT BỊ'!$B$1:$S$836,12,0),"")</f>
        <v>0</v>
      </c>
      <c r="N327" s="25" t="str">
        <f>IFERROR(VLOOKUP(B327,'03. THIẾT BỊ'!$B$1:$S$836,13,0),"")</f>
        <v>CAMBODIA</v>
      </c>
      <c r="O327" s="24" t="str">
        <f>IFERROR(VLOOKUP(B327,'03. THIẾT BỊ'!$B$1:$S$836,14,0),"")</f>
        <v>3 trụ</v>
      </c>
      <c r="P327" s="25" t="str">
        <f>IFERROR(VLOOKUP(B327,'03. THIẾT BỊ'!$B$1:$S$836,15,0),"")</f>
        <v>CAMBODIA</v>
      </c>
      <c r="Q327" s="23">
        <f>IFERROR(VLOOKUP(B327,'03. THIẾT BỊ'!$B$1:$S$836,16,0),"")</f>
        <v>0</v>
      </c>
      <c r="R327" s="25">
        <f>IFERROR(VLOOKUP(B327,'03. THIẾT BỊ'!$B$1:$S$836,17,0),"")</f>
        <v>0</v>
      </c>
      <c r="S327" s="25">
        <f>IFERROR(VLOOKUP(B327,'03. THIẾT BỊ'!$B$1:$S$836,18,0),"")</f>
        <v>0</v>
      </c>
      <c r="T327" s="41"/>
    </row>
    <row r="328" customHeight="1" spans="1:20">
      <c r="A328" s="19">
        <f t="shared" si="15"/>
        <v>5</v>
      </c>
      <c r="B328" s="20" t="s">
        <v>4117</v>
      </c>
      <c r="C328" s="613" t="str">
        <f>IFERROR(VLOOKUP(B328,'03. THIẾT BỊ'!$B$1:$S$836,2,0),"")</f>
        <v>CK-DCN-01</v>
      </c>
      <c r="D328" s="24" t="str">
        <f>IFERROR(VLOOKUP(B328,'03. THIẾT BỊ'!$B$1:$S$836,3,0),"")</f>
        <v>A24-CNA-004</v>
      </c>
      <c r="E328" s="20" t="str">
        <f>IFERROR(VLOOKUP(B328,'03. THIẾT BỊ'!$B$1:$S$836,4,0),"")</f>
        <v>ĐQSD</v>
      </c>
      <c r="F328" s="20" t="str">
        <f>IFERROR(VLOOKUP(B328,'03. THIẾT BỊ'!$B$1:$S$836,5,0),"")</f>
        <v>Thiết bị cày ngầm 3 trụ</v>
      </c>
      <c r="G328" s="101" t="s">
        <v>6468</v>
      </c>
      <c r="H328" s="19" t="str">
        <f>IFERROR(VLOOKUP(B328,'03. THIẾT BỊ'!$B$1:$S$836,7,0),"")</f>
        <v>CGLĐ LP</v>
      </c>
      <c r="I328" s="610">
        <f>IFERROR(VLOOKUP(B328,'03. THIẾT BỊ'!$B$1:$S$836,8,0),"")</f>
        <v>45570</v>
      </c>
      <c r="J328" s="25"/>
      <c r="K328" s="19" t="str">
        <f>IFERROR(VLOOKUP(B328,'03. THIẾT BỊ'!$B$1:$S$836,10,0),"")</f>
        <v>Bình thường</v>
      </c>
      <c r="L328" s="25" t="str">
        <f>IFERROR(VLOOKUP(B328,'03. THIẾT BỊ'!$B$1:$S$836,11,0),"")</f>
        <v>Gia công mới</v>
      </c>
      <c r="M328" s="24">
        <f>IFERROR(VLOOKUP(B328,'03. THIẾT BỊ'!$B$1:$S$836,12,0),"")</f>
        <v>0</v>
      </c>
      <c r="N328" s="25" t="str">
        <f>IFERROR(VLOOKUP(B328,'03. THIẾT BỊ'!$B$1:$S$836,13,0),"")</f>
        <v>CAMBODIA</v>
      </c>
      <c r="O328" s="24" t="str">
        <f>IFERROR(VLOOKUP(B328,'03. THIẾT BỊ'!$B$1:$S$836,14,0),"")</f>
        <v>3 trụ</v>
      </c>
      <c r="P328" s="25" t="str">
        <f>IFERROR(VLOOKUP(B328,'03. THIẾT BỊ'!$B$1:$S$836,15,0),"")</f>
        <v>CAMBODIA</v>
      </c>
      <c r="Q328" s="23">
        <f>IFERROR(VLOOKUP(B328,'03. THIẾT BỊ'!$B$1:$S$836,16,0),"")</f>
        <v>0</v>
      </c>
      <c r="R328" s="25" t="str">
        <f>IFERROR(VLOOKUP(B328,'03. THIẾT BỊ'!$B$1:$S$836,17,0),"")</f>
        <v>1.4*1.8*1.6</v>
      </c>
      <c r="S328" s="25">
        <f>IFERROR(VLOOKUP(B328,'03. THIẾT BỊ'!$B$1:$S$836,18,0),"")</f>
        <v>0</v>
      </c>
      <c r="T328" s="41"/>
    </row>
    <row r="329" customHeight="1" spans="1:20">
      <c r="A329" s="19">
        <f t="shared" si="15"/>
        <v>6</v>
      </c>
      <c r="B329" s="20" t="s">
        <v>3923</v>
      </c>
      <c r="C329" s="613">
        <f>IFERROR(VLOOKUP(B329,'03. THIẾT BỊ'!$B$1:$S$836,2,0),"")</f>
        <v>0</v>
      </c>
      <c r="D329" s="24" t="str">
        <f>IFERROR(VLOOKUP(B329,'03. THIẾT BỊ'!$B$1:$S$836,3,0),"")</f>
        <v>A23-CNA-005</v>
      </c>
      <c r="E329" s="20" t="str">
        <f>IFERROR(VLOOKUP(B329,'03. THIẾT BỊ'!$B$1:$S$836,4,0),"")</f>
        <v>ĐQSD</v>
      </c>
      <c r="F329" s="20" t="str">
        <f>IFERROR(VLOOKUP(B329,'03. THIẾT BỊ'!$B$1:$S$836,5,0),"")</f>
        <v>Thiết bị cày ngầm 3 trụ</v>
      </c>
      <c r="G329" s="101" t="s">
        <v>6468</v>
      </c>
      <c r="H329" s="19" t="str">
        <f>IFERROR(VLOOKUP(B329,'03. THIẾT BỊ'!$B$1:$S$836,7,0),"")</f>
        <v>CGLĐ DP</v>
      </c>
      <c r="I329" s="610" t="str">
        <f>IFERROR(VLOOKUP(B329,'03. THIẾT BỊ'!$B$1:$S$836,8,0),"")</f>
        <v>25/12/2025</v>
      </c>
      <c r="J329" s="25"/>
      <c r="K329" s="19" t="str">
        <f>IFERROR(VLOOKUP(B329,'03. THIẾT BỊ'!$B$1:$S$836,10,0),"")</f>
        <v>Bình thường</v>
      </c>
      <c r="L329" s="25" t="str">
        <f>IFERROR(VLOOKUP(B329,'03. THIẾT BỊ'!$B$1:$S$836,11,0),"")</f>
        <v>Gia công mới</v>
      </c>
      <c r="M329" s="24">
        <f>IFERROR(VLOOKUP(B329,'03. THIẾT BỊ'!$B$1:$S$836,12,0),"")</f>
        <v>0</v>
      </c>
      <c r="N329" s="25" t="str">
        <f>IFERROR(VLOOKUP(B329,'03. THIẾT BỊ'!$B$1:$S$836,13,0),"")</f>
        <v>THACO AGRI</v>
      </c>
      <c r="O329" s="24">
        <f>IFERROR(VLOOKUP(B329,'03. THIẾT BỊ'!$B$1:$S$836,14,0),"")</f>
        <v>0</v>
      </c>
      <c r="P329" s="25">
        <f>IFERROR(VLOOKUP(B329,'03. THIẾT BỊ'!$B$1:$S$836,15,0),"")</f>
        <v>0</v>
      </c>
      <c r="Q329" s="23">
        <f>IFERROR(VLOOKUP(B329,'03. THIẾT BỊ'!$B$1:$S$836,16,0),"")</f>
        <v>0</v>
      </c>
      <c r="R329" s="25">
        <f>IFERROR(VLOOKUP(B329,'03. THIẾT BỊ'!$B$1:$S$836,17,0),"")</f>
        <v>0</v>
      </c>
      <c r="S329" s="25">
        <f>IFERROR(VLOOKUP(B329,'03. THIẾT BỊ'!$B$1:$S$836,18,0),"")</f>
        <v>0</v>
      </c>
      <c r="T329" s="41"/>
    </row>
    <row r="330" customHeight="1" spans="1:20">
      <c r="A330" s="19">
        <f t="shared" si="15"/>
        <v>7</v>
      </c>
      <c r="B330" s="20" t="s">
        <v>4121</v>
      </c>
      <c r="C330" s="613">
        <f>IFERROR(VLOOKUP(B330,'03. THIẾT BỊ'!$B$1:$S$836,2,0),"")</f>
        <v>0</v>
      </c>
      <c r="D330" s="24" t="str">
        <f>IFERROR(VLOOKUP(B330,'03. THIẾT BỊ'!$B$1:$S$836,3,0),"")</f>
        <v>A24-CNA-006</v>
      </c>
      <c r="E330" s="20" t="str">
        <f>IFERROR(VLOOKUP(B330,'03. THIẾT BỊ'!$B$1:$S$836,4,0),"")</f>
        <v>ĐQSD</v>
      </c>
      <c r="F330" s="20" t="str">
        <f>IFERROR(VLOOKUP(B330,'03. THIẾT BỊ'!$B$1:$S$836,5,0),"")</f>
        <v>Thiết bị cày ngầm 3 trụ</v>
      </c>
      <c r="G330" s="101" t="s">
        <v>6468</v>
      </c>
      <c r="H330" s="19" t="str">
        <f>IFERROR(VLOOKUP(B330,'03. THIẾT BỊ'!$B$1:$S$836,7,0),"")</f>
        <v>CGLĐ LP</v>
      </c>
      <c r="I330" s="610" t="str">
        <f>IFERROR(VLOOKUP(B330,'03. THIẾT BỊ'!$B$1:$S$836,8,0),"")</f>
        <v>25/12/2025</v>
      </c>
      <c r="J330" s="25"/>
      <c r="K330" s="19" t="str">
        <f>IFERROR(VLOOKUP(B330,'03. THIẾT BỊ'!$B$1:$S$836,10,0),"")</f>
        <v>Bình thường</v>
      </c>
      <c r="L330" s="25" t="str">
        <f>IFERROR(VLOOKUP(B330,'03. THIẾT BỊ'!$B$1:$S$836,11,0),"")</f>
        <v>Gia công mới</v>
      </c>
      <c r="M330" s="24">
        <f>IFERROR(VLOOKUP(B330,'03. THIẾT BỊ'!$B$1:$S$836,12,0),"")</f>
        <v>0</v>
      </c>
      <c r="N330" s="25" t="str">
        <f>IFERROR(VLOOKUP(B330,'03. THIẾT BỊ'!$B$1:$S$836,13,0),"")</f>
        <v>THACO AGRI</v>
      </c>
      <c r="O330" s="24">
        <f>IFERROR(VLOOKUP(B330,'03. THIẾT BỊ'!$B$1:$S$836,14,0),"")</f>
        <v>0</v>
      </c>
      <c r="P330" s="25">
        <f>IFERROR(VLOOKUP(B330,'03. THIẾT BỊ'!$B$1:$S$836,15,0),"")</f>
        <v>0</v>
      </c>
      <c r="Q330" s="23">
        <f>IFERROR(VLOOKUP(B330,'03. THIẾT BỊ'!$B$1:$S$836,16,0),"")</f>
        <v>0</v>
      </c>
      <c r="R330" s="25">
        <f>IFERROR(VLOOKUP(B330,'03. THIẾT BỊ'!$B$1:$S$836,17,0),"")</f>
        <v>0</v>
      </c>
      <c r="S330" s="25">
        <f>IFERROR(VLOOKUP(B330,'03. THIẾT BỊ'!$B$1:$S$836,18,0),"")</f>
        <v>0</v>
      </c>
      <c r="T330" s="41"/>
    </row>
    <row r="331" customHeight="1" spans="1:20">
      <c r="A331" s="19">
        <f t="shared" si="15"/>
        <v>8</v>
      </c>
      <c r="B331" s="20" t="s">
        <v>4123</v>
      </c>
      <c r="C331" s="613">
        <f>IFERROR(VLOOKUP(B331,'03. THIẾT BỊ'!$B$1:$S$836,2,0),"")</f>
        <v>0</v>
      </c>
      <c r="D331" s="24" t="str">
        <f>IFERROR(VLOOKUP(B331,'03. THIẾT BỊ'!$B$1:$S$836,3,0),"")</f>
        <v>A24-CNA-007</v>
      </c>
      <c r="E331" s="20" t="str">
        <f>IFERROR(VLOOKUP(B331,'03. THIẾT BỊ'!$B$1:$S$836,4,0),"")</f>
        <v>ĐQSD</v>
      </c>
      <c r="F331" s="20" t="str">
        <f>IFERROR(VLOOKUP(B331,'03. THIẾT BỊ'!$B$1:$S$836,5,0),"")</f>
        <v>Thiết bị cày ngầm 3 trụ</v>
      </c>
      <c r="G331" s="101" t="s">
        <v>6468</v>
      </c>
      <c r="H331" s="19" t="str">
        <f>IFERROR(VLOOKUP(B331,'03. THIẾT BỊ'!$B$1:$S$836,7,0),"")</f>
        <v>CGLĐ LP</v>
      </c>
      <c r="I331" s="610" t="str">
        <f>IFERROR(VLOOKUP(B331,'03. THIẾT BỊ'!$B$1:$S$836,8,0),"")</f>
        <v>21/04/2026</v>
      </c>
      <c r="J331" s="25"/>
      <c r="K331" s="19" t="str">
        <f>IFERROR(VLOOKUP(B331,'03. THIẾT BỊ'!$B$1:$S$836,10,0),"")</f>
        <v>Bình thường</v>
      </c>
      <c r="L331" s="25" t="str">
        <f>IFERROR(VLOOKUP(B331,'03. THIẾT BỊ'!$B$1:$S$836,11,0),"")</f>
        <v>Gia công mới</v>
      </c>
      <c r="M331" s="24">
        <f>IFERROR(VLOOKUP(B331,'03. THIẾT BỊ'!$B$1:$S$836,12,0),"")</f>
        <v>0</v>
      </c>
      <c r="N331" s="25">
        <f>IFERROR(VLOOKUP(B331,'03. THIẾT BỊ'!$B$1:$S$836,13,0),"")</f>
        <v>0</v>
      </c>
      <c r="O331" s="24">
        <f>IFERROR(VLOOKUP(B331,'03. THIẾT BỊ'!$B$1:$S$836,14,0),"")</f>
        <v>0</v>
      </c>
      <c r="P331" s="25">
        <f>IFERROR(VLOOKUP(B331,'03. THIẾT BỊ'!$B$1:$S$836,15,0),"")</f>
        <v>0</v>
      </c>
      <c r="Q331" s="23">
        <f>IFERROR(VLOOKUP(B331,'03. THIẾT BỊ'!$B$1:$S$836,16,0),"")</f>
        <v>0</v>
      </c>
      <c r="R331" s="25">
        <f>IFERROR(VLOOKUP(B331,'03. THIẾT BỊ'!$B$1:$S$836,17,0),"")</f>
        <v>0</v>
      </c>
      <c r="S331" s="25">
        <f>IFERROR(VLOOKUP(B331,'03. THIẾT BỊ'!$B$1:$S$836,18,0),"")</f>
        <v>0</v>
      </c>
      <c r="T331" s="41"/>
    </row>
    <row r="332" customHeight="1" spans="1:20">
      <c r="A332" s="324"/>
      <c r="B332" s="41"/>
      <c r="C332" s="613" t="str">
        <f>IFERROR(VLOOKUP(B332,'03. THIẾT BỊ'!$B$1:$S$836,2,0),"")</f>
        <v/>
      </c>
      <c r="D332" s="24" t="str">
        <f>IFERROR(VLOOKUP(B332,'03. THIẾT BỊ'!$B$1:$S$836,3,0),"")</f>
        <v/>
      </c>
      <c r="E332" s="20" t="str">
        <f>IFERROR(VLOOKUP(B332,'03. THIẾT BỊ'!$B$1:$S$836,4,0),"")</f>
        <v/>
      </c>
      <c r="F332" s="20" t="str">
        <f>IFERROR(VLOOKUP(B332,'03. THIẾT BỊ'!$B$1:$S$836,5,0),"")</f>
        <v/>
      </c>
      <c r="G332" s="101" t="s">
        <v>6468</v>
      </c>
      <c r="H332" s="19" t="str">
        <f>IFERROR(VLOOKUP(B332,'03. THIẾT BỊ'!$B$1:$S$836,7,0),"")</f>
        <v/>
      </c>
      <c r="I332" s="610" t="str">
        <f>IFERROR(VLOOKUP(B332,'03. THIẾT BỊ'!$B$1:$S$836,8,0),"")</f>
        <v/>
      </c>
      <c r="J332" s="25"/>
      <c r="K332" s="19" t="str">
        <f>IFERROR(VLOOKUP(B332,'03. THIẾT BỊ'!$B$1:$S$836,10,0),"")</f>
        <v/>
      </c>
      <c r="L332" s="25" t="str">
        <f>IFERROR(VLOOKUP(B332,'03. THIẾT BỊ'!$B$1:$S$836,11,0),"")</f>
        <v/>
      </c>
      <c r="M332" s="24" t="str">
        <f>IFERROR(VLOOKUP(B332,'03. THIẾT BỊ'!$B$1:$S$836,12,0),"")</f>
        <v/>
      </c>
      <c r="N332" s="25" t="str">
        <f>IFERROR(VLOOKUP(B332,'03. THIẾT BỊ'!$B$1:$S$836,13,0),"")</f>
        <v/>
      </c>
      <c r="O332" s="24" t="str">
        <f>IFERROR(VLOOKUP(B332,'03. THIẾT BỊ'!$B$1:$S$836,14,0),"")</f>
        <v/>
      </c>
      <c r="P332" s="25" t="str">
        <f>IFERROR(VLOOKUP(B332,'03. THIẾT BỊ'!$B$1:$S$836,15,0),"")</f>
        <v/>
      </c>
      <c r="Q332" s="23" t="str">
        <f>IFERROR(VLOOKUP(B332,'03. THIẾT BỊ'!$B$1:$S$836,16,0),"")</f>
        <v/>
      </c>
      <c r="R332" s="25" t="str">
        <f>IFERROR(VLOOKUP(B332,'03. THIẾT BỊ'!$B$1:$S$836,17,0),"")</f>
        <v/>
      </c>
      <c r="S332" s="25" t="str">
        <f>IFERROR(VLOOKUP(B332,'03. THIẾT BỊ'!$B$1:$S$836,18,0),"")</f>
        <v/>
      </c>
      <c r="T332" s="41"/>
    </row>
    <row r="333" customHeight="1" spans="1:20">
      <c r="A333" s="14" t="s">
        <v>290</v>
      </c>
      <c r="B333" s="15" t="s">
        <v>6491</v>
      </c>
      <c r="C333" s="14">
        <f>COUNTA(B334:B337)</f>
        <v>3</v>
      </c>
      <c r="D333" s="17" t="str">
        <f>IFERROR(VLOOKUP(B333,'03. THIẾT BỊ'!$B$1:$S$836,3,0),"")</f>
        <v/>
      </c>
      <c r="E333" s="20" t="str">
        <f>IFERROR(VLOOKUP(B333,'03. THIẾT BỊ'!$B$1:$S$836,4,0),"")</f>
        <v/>
      </c>
      <c r="F333" s="17" t="str">
        <f>IFERROR(VLOOKUP(B333,'03. THIẾT BỊ'!$B$1:$S$836,5,0),"")</f>
        <v/>
      </c>
      <c r="G333" s="18" t="s">
        <v>6468</v>
      </c>
      <c r="H333" s="18" t="str">
        <f>IFERROR(VLOOKUP(B333,'03. THIẾT BỊ'!$B$1:$S$836,7,0),"")</f>
        <v/>
      </c>
      <c r="I333" s="14" t="str">
        <f>IFERROR(VLOOKUP(B333,'03. THIẾT BỊ'!$B$1:$S$836,8,0),"")</f>
        <v/>
      </c>
      <c r="J333" s="15"/>
      <c r="K333" s="14" t="str">
        <f>IFERROR(VLOOKUP(B333,'03. THIẾT BỊ'!$B$1:$S$836,10,0),"")</f>
        <v/>
      </c>
      <c r="L333" s="17" t="str">
        <f>IFERROR(VLOOKUP(B333,'03. THIẾT BỊ'!$B$1:$S$836,11,0),"")</f>
        <v/>
      </c>
      <c r="M333" s="16" t="str">
        <f>IFERROR(VLOOKUP(B333,'03. THIẾT BỊ'!$B$1:$S$836,12,0),"")</f>
        <v/>
      </c>
      <c r="N333" s="17" t="str">
        <f>IFERROR(VLOOKUP(B333,'03. THIẾT BỊ'!$B$1:$S$836,13,0),"")</f>
        <v/>
      </c>
      <c r="O333" s="16" t="str">
        <f>IFERROR(VLOOKUP(B333,'03. THIẾT BỊ'!$B$1:$S$836,14,0),"")</f>
        <v/>
      </c>
      <c r="P333" s="17" t="str">
        <f>IFERROR(VLOOKUP(B333,'03. THIẾT BỊ'!$B$1:$S$836,15,0),"")</f>
        <v/>
      </c>
      <c r="Q333" s="18" t="str">
        <f>IFERROR(VLOOKUP(B333,'03. THIẾT BỊ'!$B$1:$S$836,16,0),"")</f>
        <v/>
      </c>
      <c r="R333" s="17" t="str">
        <f>IFERROR(VLOOKUP(B333,'03. THIẾT BỊ'!$B$1:$S$836,17,0),"")</f>
        <v/>
      </c>
      <c r="S333" s="17" t="str">
        <f>IFERROR(VLOOKUP(B333,'03. THIẾT BỊ'!$B$1:$S$836,18,0),"")</f>
        <v/>
      </c>
      <c r="T333" s="609"/>
    </row>
    <row r="334" customHeight="1" spans="1:20">
      <c r="A334" s="19">
        <v>1</v>
      </c>
      <c r="B334" s="20" t="s">
        <v>3957</v>
      </c>
      <c r="C334" s="613">
        <f>IFERROR(VLOOKUP(B334,'03. THIẾT BỊ'!$B$1:$S$836,2,0),"")</f>
        <v>0</v>
      </c>
      <c r="D334" s="24" t="str">
        <f>IFERROR(VLOOKUP(B334,'03. THIẾT BỊ'!$B$1:$S$836,3,0),"")</f>
        <v>A23-TBG-001</v>
      </c>
      <c r="E334" s="20" t="str">
        <f>IFERROR(VLOOKUP(B334,'03. THIẾT BỊ'!$B$1:$S$836,4,0),"")</f>
        <v>ĐQSD</v>
      </c>
      <c r="F334" s="20" t="str">
        <f>IFERROR(VLOOKUP(B334,'03. THIẾT BỊ'!$B$1:$S$836,5,0),"")</f>
        <v>Thiết bị gom gốc gắn máy kéo</v>
      </c>
      <c r="G334" s="101" t="s">
        <v>6468</v>
      </c>
      <c r="H334" s="19" t="str">
        <f>IFERROR(VLOOKUP(B334,'03. THIẾT BỊ'!$B$1:$S$836,7,0),"")</f>
        <v>CGLĐ DP</v>
      </c>
      <c r="I334" s="610" t="str">
        <f>IFERROR(VLOOKUP(B334,'03. THIẾT BỊ'!$B$1:$S$836,8,0),"")</f>
        <v>23/12/2023</v>
      </c>
      <c r="J334" s="25"/>
      <c r="K334" s="19" t="str">
        <f>IFERROR(VLOOKUP(B334,'03. THIẾT BỊ'!$B$1:$S$836,10,0),"")</f>
        <v>Bình thường</v>
      </c>
      <c r="L334" s="25" t="str">
        <f>IFERROR(VLOOKUP(B334,'03. THIẾT BỊ'!$B$1:$S$836,11,0),"")</f>
        <v>Xưởng CK bàn giao</v>
      </c>
      <c r="M334" s="24">
        <f>IFERROR(VLOOKUP(B334,'03. THIẾT BỊ'!$B$1:$S$836,12,0),"")</f>
        <v>0</v>
      </c>
      <c r="N334" s="25" t="str">
        <f>IFERROR(VLOOKUP(B334,'03. THIẾT BỊ'!$B$1:$S$836,13,0),"")</f>
        <v>THACO AGRI</v>
      </c>
      <c r="O334" s="24">
        <f>IFERROR(VLOOKUP(B334,'03. THIẾT BỊ'!$B$1:$S$836,14,0),"")</f>
        <v>0</v>
      </c>
      <c r="P334" s="25" t="str">
        <f>IFERROR(VLOOKUP(B334,'03. THIẾT BỊ'!$B$1:$S$836,15,0),"")</f>
        <v>CK-CGH</v>
      </c>
      <c r="Q334" s="23">
        <f>IFERROR(VLOOKUP(B334,'03. THIẾT BỊ'!$B$1:$S$836,16,0),"")</f>
        <v>0</v>
      </c>
      <c r="R334" s="25" t="str">
        <f>IFERROR(VLOOKUP(B334,'03. THIẾT BỊ'!$B$1:$S$836,17,0),"")</f>
        <v>1.8x3x1.5</v>
      </c>
      <c r="S334" s="25">
        <f>IFERROR(VLOOKUP(B334,'03. THIẾT BỊ'!$B$1:$S$836,18,0),"")</f>
        <v>0</v>
      </c>
      <c r="T334" s="41"/>
    </row>
    <row r="335" customHeight="1" spans="1:20">
      <c r="A335" s="19">
        <v>2</v>
      </c>
      <c r="B335" s="20" t="s">
        <v>4104</v>
      </c>
      <c r="C335" s="613">
        <f>IFERROR(VLOOKUP(B335,'03. THIẾT BỊ'!$B$1:$S$836,2,0),"")</f>
        <v>0</v>
      </c>
      <c r="D335" s="24" t="str">
        <f>IFERROR(VLOOKUP(B335,'03. THIẾT BỊ'!$B$1:$S$836,3,0),"")</f>
        <v>A24-TBG-002</v>
      </c>
      <c r="E335" s="20" t="str">
        <f>IFERROR(VLOOKUP(B335,'03. THIẾT BỊ'!$B$1:$S$836,4,0),"")</f>
        <v>ĐQSD</v>
      </c>
      <c r="F335" s="20" t="str">
        <f>IFERROR(VLOOKUP(B335,'03. THIẾT BỊ'!$B$1:$S$836,5,0),"")</f>
        <v>Thiết bị gom gốc gắn máy kéo</v>
      </c>
      <c r="G335" s="101" t="s">
        <v>6468</v>
      </c>
      <c r="H335" s="19" t="str">
        <f>IFERROR(VLOOKUP(B335,'03. THIẾT BỊ'!$B$1:$S$836,7,0),"")</f>
        <v>CGLĐ LP</v>
      </c>
      <c r="I335" s="610" t="str">
        <f>IFERROR(VLOOKUP(B335,'03. THIẾT BỊ'!$B$1:$S$836,8,0),"")</f>
        <v>23/12/2023</v>
      </c>
      <c r="J335" s="25"/>
      <c r="K335" s="19" t="str">
        <f>IFERROR(VLOOKUP(B335,'03. THIẾT BỊ'!$B$1:$S$836,10,0),"")</f>
        <v>Bình thường</v>
      </c>
      <c r="L335" s="25" t="str">
        <f>IFERROR(VLOOKUP(B335,'03. THIẾT BỊ'!$B$1:$S$836,11,0),"")</f>
        <v>Xưởng CK bàn giao</v>
      </c>
      <c r="M335" s="24">
        <f>IFERROR(VLOOKUP(B335,'03. THIẾT BỊ'!$B$1:$S$836,12,0),"")</f>
        <v>0</v>
      </c>
      <c r="N335" s="25" t="str">
        <f>IFERROR(VLOOKUP(B335,'03. THIẾT BỊ'!$B$1:$S$836,13,0),"")</f>
        <v>THACO AGRI</v>
      </c>
      <c r="O335" s="24">
        <f>IFERROR(VLOOKUP(B335,'03. THIẾT BỊ'!$B$1:$S$836,14,0),"")</f>
        <v>0</v>
      </c>
      <c r="P335" s="25" t="str">
        <f>IFERROR(VLOOKUP(B335,'03. THIẾT BỊ'!$B$1:$S$836,15,0),"")</f>
        <v>CK-CGH</v>
      </c>
      <c r="Q335" s="23">
        <f>IFERROR(VLOOKUP(B335,'03. THIẾT BỊ'!$B$1:$S$836,16,0),"")</f>
        <v>0</v>
      </c>
      <c r="R335" s="25" t="str">
        <f>IFERROR(VLOOKUP(B335,'03. THIẾT BỊ'!$B$1:$S$836,17,0),"")</f>
        <v>1.8x3x1.5</v>
      </c>
      <c r="S335" s="25">
        <f>IFERROR(VLOOKUP(B335,'03. THIẾT BỊ'!$B$1:$S$836,18,0),"")</f>
        <v>0</v>
      </c>
      <c r="T335" s="41"/>
    </row>
    <row r="336" customHeight="1" spans="1:20">
      <c r="A336" s="19">
        <v>3</v>
      </c>
      <c r="B336" s="20" t="s">
        <v>6492</v>
      </c>
      <c r="C336" s="613" t="str">
        <f>IFERROR(VLOOKUP(B336,'03. THIẾT BỊ'!$B$1:$S$836,2,0),"")</f>
        <v/>
      </c>
      <c r="D336" s="24" t="str">
        <f>IFERROR(VLOOKUP(B336,'03. THIẾT BỊ'!$B$1:$S$836,3,0),"")</f>
        <v/>
      </c>
      <c r="E336" s="20" t="str">
        <f>IFERROR(VLOOKUP(B336,'03. THIẾT BỊ'!$B$1:$S$836,4,0),"")</f>
        <v/>
      </c>
      <c r="F336" s="20" t="str">
        <f>IFERROR(VLOOKUP(B336,'03. THIẾT BỊ'!$B$1:$S$836,5,0),"")</f>
        <v/>
      </c>
      <c r="G336" s="101" t="s">
        <v>6468</v>
      </c>
      <c r="H336" s="19" t="str">
        <f>IFERROR(VLOOKUP(B336,'03. THIẾT BỊ'!$B$1:$S$836,7,0),"")</f>
        <v/>
      </c>
      <c r="I336" s="610" t="str">
        <f>IFERROR(VLOOKUP(B336,'03. THIẾT BỊ'!$B$1:$S$836,8,0),"")</f>
        <v/>
      </c>
      <c r="J336" s="25"/>
      <c r="K336" s="19" t="str">
        <f>IFERROR(VLOOKUP(B336,'03. THIẾT BỊ'!$B$1:$S$836,10,0),"")</f>
        <v/>
      </c>
      <c r="L336" s="25" t="str">
        <f>IFERROR(VLOOKUP(B336,'03. THIẾT BỊ'!$B$1:$S$836,11,0),"")</f>
        <v/>
      </c>
      <c r="M336" s="24" t="str">
        <f>IFERROR(VLOOKUP(B336,'03. THIẾT BỊ'!$B$1:$S$836,12,0),"")</f>
        <v/>
      </c>
      <c r="N336" s="25" t="str">
        <f>IFERROR(VLOOKUP(B336,'03. THIẾT BỊ'!$B$1:$S$836,13,0),"")</f>
        <v/>
      </c>
      <c r="O336" s="24" t="str">
        <f>IFERROR(VLOOKUP(B336,'03. THIẾT BỊ'!$B$1:$S$836,14,0),"")</f>
        <v/>
      </c>
      <c r="P336" s="25" t="str">
        <f>IFERROR(VLOOKUP(B336,'03. THIẾT BỊ'!$B$1:$S$836,15,0),"")</f>
        <v/>
      </c>
      <c r="Q336" s="23" t="str">
        <f>IFERROR(VLOOKUP(B336,'03. THIẾT BỊ'!$B$1:$S$836,16,0),"")</f>
        <v/>
      </c>
      <c r="R336" s="25" t="str">
        <f>IFERROR(VLOOKUP(B336,'03. THIẾT BỊ'!$B$1:$S$836,17,0),"")</f>
        <v/>
      </c>
      <c r="S336" s="25" t="str">
        <f>IFERROR(VLOOKUP(B336,'03. THIẾT BỊ'!$B$1:$S$836,18,0),"")</f>
        <v/>
      </c>
      <c r="T336" s="41"/>
    </row>
    <row r="337" customHeight="1" spans="1:20">
      <c r="A337" s="19"/>
      <c r="B337" s="20"/>
      <c r="C337" s="613" t="str">
        <f>IFERROR(VLOOKUP(B337,'03. THIẾT BỊ'!$B$1:$S$836,2,0),"")</f>
        <v/>
      </c>
      <c r="D337" s="24" t="str">
        <f>IFERROR(VLOOKUP(B337,'03. THIẾT BỊ'!$B$1:$S$836,3,0),"")</f>
        <v/>
      </c>
      <c r="E337" s="20" t="str">
        <f>IFERROR(VLOOKUP(B337,'03. THIẾT BỊ'!$B$1:$S$836,4,0),"")</f>
        <v/>
      </c>
      <c r="F337" s="20" t="str">
        <f>IFERROR(VLOOKUP(B337,'03. THIẾT BỊ'!$B$1:$S$836,5,0),"")</f>
        <v/>
      </c>
      <c r="G337" s="101" t="s">
        <v>6468</v>
      </c>
      <c r="H337" s="19" t="str">
        <f>IFERROR(VLOOKUP(B337,'03. THIẾT BỊ'!$B$1:$S$836,7,0),"")</f>
        <v/>
      </c>
      <c r="I337" s="610" t="str">
        <f>IFERROR(VLOOKUP(B337,'03. THIẾT BỊ'!$B$1:$S$836,8,0),"")</f>
        <v/>
      </c>
      <c r="J337" s="25"/>
      <c r="K337" s="19" t="str">
        <f>IFERROR(VLOOKUP(B337,'03. THIẾT BỊ'!$B$1:$S$836,10,0),"")</f>
        <v/>
      </c>
      <c r="L337" s="25" t="str">
        <f>IFERROR(VLOOKUP(B337,'03. THIẾT BỊ'!$B$1:$S$836,11,0),"")</f>
        <v/>
      </c>
      <c r="M337" s="24" t="str">
        <f>IFERROR(VLOOKUP(B337,'03. THIẾT BỊ'!$B$1:$S$836,12,0),"")</f>
        <v/>
      </c>
      <c r="N337" s="25" t="str">
        <f>IFERROR(VLOOKUP(B337,'03. THIẾT BỊ'!$B$1:$S$836,13,0),"")</f>
        <v/>
      </c>
      <c r="O337" s="24" t="str">
        <f>IFERROR(VLOOKUP(B337,'03. THIẾT BỊ'!$B$1:$S$836,14,0),"")</f>
        <v/>
      </c>
      <c r="P337" s="25" t="str">
        <f>IFERROR(VLOOKUP(B337,'03. THIẾT BỊ'!$B$1:$S$836,15,0),"")</f>
        <v/>
      </c>
      <c r="Q337" s="23" t="str">
        <f>IFERROR(VLOOKUP(B337,'03. THIẾT BỊ'!$B$1:$S$836,16,0),"")</f>
        <v/>
      </c>
      <c r="R337" s="25" t="str">
        <f>IFERROR(VLOOKUP(B337,'03. THIẾT BỊ'!$B$1:$S$836,17,0),"")</f>
        <v/>
      </c>
      <c r="S337" s="25" t="str">
        <f>IFERROR(VLOOKUP(B337,'03. THIẾT BỊ'!$B$1:$S$836,18,0),"")</f>
        <v/>
      </c>
      <c r="T337" s="41"/>
    </row>
    <row r="338" customHeight="1" spans="1:20">
      <c r="A338" s="14" t="s">
        <v>290</v>
      </c>
      <c r="B338" s="15" t="s">
        <v>6493</v>
      </c>
      <c r="C338" s="14">
        <f>COUNTA(B339:B363)</f>
        <v>24</v>
      </c>
      <c r="D338" s="17" t="str">
        <f>IFERROR(VLOOKUP(B338,'03. THIẾT BỊ'!$B$1:$S$836,3,0),"")</f>
        <v/>
      </c>
      <c r="E338" s="20" t="str">
        <f>IFERROR(VLOOKUP(B338,'03. THIẾT BỊ'!$B$1:$S$836,4,0),"")</f>
        <v/>
      </c>
      <c r="F338" s="17" t="str">
        <f>IFERROR(VLOOKUP(B338,'03. THIẾT BỊ'!$B$1:$S$836,5,0),"")</f>
        <v/>
      </c>
      <c r="G338" s="18" t="s">
        <v>6468</v>
      </c>
      <c r="H338" s="18" t="str">
        <f>IFERROR(VLOOKUP(B338,'03. THIẾT BỊ'!$B$1:$S$836,7,0),"")</f>
        <v/>
      </c>
      <c r="I338" s="14" t="str">
        <f>IFERROR(VLOOKUP(B338,'03. THIẾT BỊ'!$B$1:$S$836,8,0),"")</f>
        <v/>
      </c>
      <c r="J338" s="15"/>
      <c r="K338" s="14" t="str">
        <f>IFERROR(VLOOKUP(B338,'03. THIẾT BỊ'!$B$1:$S$836,10,0),"")</f>
        <v/>
      </c>
      <c r="L338" s="17" t="str">
        <f>IFERROR(VLOOKUP(B338,'03. THIẾT BỊ'!$B$1:$S$836,11,0),"")</f>
        <v/>
      </c>
      <c r="M338" s="16" t="str">
        <f>IFERROR(VLOOKUP(B338,'03. THIẾT BỊ'!$B$1:$S$836,12,0),"")</f>
        <v/>
      </c>
      <c r="N338" s="17" t="str">
        <f>IFERROR(VLOOKUP(B338,'03. THIẾT BỊ'!$B$1:$S$836,13,0),"")</f>
        <v/>
      </c>
      <c r="O338" s="16" t="str">
        <f>IFERROR(VLOOKUP(B338,'03. THIẾT BỊ'!$B$1:$S$836,14,0),"")</f>
        <v/>
      </c>
      <c r="P338" s="17" t="str">
        <f>IFERROR(VLOOKUP(B338,'03. THIẾT BỊ'!$B$1:$S$836,15,0),"")</f>
        <v/>
      </c>
      <c r="Q338" s="18" t="str">
        <f>IFERROR(VLOOKUP(B338,'03. THIẾT BỊ'!$B$1:$S$836,16,0),"")</f>
        <v/>
      </c>
      <c r="R338" s="17" t="str">
        <f>IFERROR(VLOOKUP(B338,'03. THIẾT BỊ'!$B$1:$S$836,17,0),"")</f>
        <v/>
      </c>
      <c r="S338" s="17" t="str">
        <f>IFERROR(VLOOKUP(B338,'03. THIẾT BỊ'!$B$1:$S$836,18,0),"")</f>
        <v/>
      </c>
      <c r="T338" s="609"/>
    </row>
    <row r="339" customHeight="1" spans="1:20">
      <c r="A339" s="19">
        <v>1</v>
      </c>
      <c r="B339" s="20" t="s">
        <v>4143</v>
      </c>
      <c r="C339" s="613">
        <f>IFERROR(VLOOKUP(B339,'03. THIẾT BỊ'!$B$1:$S$836,2,0),"")</f>
        <v>0</v>
      </c>
      <c r="D339" s="24" t="str">
        <f>IFERROR(VLOOKUP(B339,'03. THIẾT BỊ'!$B$1:$S$836,3,0),"")</f>
        <v>A24-C1B-002</v>
      </c>
      <c r="E339" s="20" t="str">
        <f>IFERROR(VLOOKUP(B339,'03. THIẾT BỊ'!$B$1:$S$836,4,0),"")</f>
        <v>ĐQSD</v>
      </c>
      <c r="F339" s="20" t="str">
        <f>IFERROR(VLOOKUP(B339,'03. THIẾT BỊ'!$B$1:$S$836,5,0),"")</f>
        <v>Thiết bị cắt cỏ 1 bên </v>
      </c>
      <c r="G339" s="101" t="s">
        <v>6468</v>
      </c>
      <c r="H339" s="19" t="str">
        <f>IFERROR(VLOOKUP(B339,'03. THIẾT BỊ'!$B$1:$S$836,7,0),"")</f>
        <v>CGLĐ LP</v>
      </c>
      <c r="I339" s="610" t="str">
        <f>IFERROR(VLOOKUP(B339,'03. THIẾT BỊ'!$B$1:$S$836,8,0),"")</f>
        <v>14/01/2025</v>
      </c>
      <c r="J339" s="25"/>
      <c r="K339" s="19" t="str">
        <f>IFERROR(VLOOKUP(B339,'03. THIẾT BỊ'!$B$1:$S$836,10,0),"")</f>
        <v>Bình thường</v>
      </c>
      <c r="L339" s="25" t="str">
        <f>IFERROR(VLOOKUP(B339,'03. THIẾT BỊ'!$B$1:$S$836,11,0),"")</f>
        <v>Đầu tư mới</v>
      </c>
      <c r="M339" s="24">
        <f>IFERROR(VLOOKUP(B339,'03. THIẾT BỊ'!$B$1:$S$836,12,0),"")</f>
        <v>0</v>
      </c>
      <c r="N339" s="25" t="str">
        <f>IFERROR(VLOOKUP(B339,'03. THIẾT BỊ'!$B$1:$S$836,13,0),"")</f>
        <v>GATTINI</v>
      </c>
      <c r="O339" s="24" t="str">
        <f>IFERROR(VLOOKUP(B339,'03. THIẾT BỊ'!$B$1:$S$836,14,0),"")</f>
        <v>Flail Mower 1800mm</v>
      </c>
      <c r="P339" s="25" t="str">
        <f>IFERROR(VLOOKUP(B339,'03. THIẾT BỊ'!$B$1:$S$836,15,0),"")</f>
        <v>CHINA</v>
      </c>
      <c r="Q339" s="23">
        <f>IFERROR(VLOOKUP(B339,'03. THIẾT BỊ'!$B$1:$S$836,16,0),"")</f>
        <v>2024</v>
      </c>
      <c r="R339" s="25">
        <f>IFERROR(VLOOKUP(B339,'03. THIẾT BỊ'!$B$1:$S$836,17,0),"")</f>
        <v>0</v>
      </c>
      <c r="S339" s="25">
        <f>IFERROR(VLOOKUP(B339,'03. THIẾT BỊ'!$B$1:$S$836,18,0),"")</f>
        <v>202400390003</v>
      </c>
      <c r="T339" s="41"/>
    </row>
    <row r="340" customHeight="1" spans="1:20">
      <c r="A340" s="19">
        <f t="shared" ref="A340:A352" si="16">A339+1</f>
        <v>2</v>
      </c>
      <c r="B340" s="20" t="s">
        <v>5184</v>
      </c>
      <c r="C340" s="613" t="str">
        <f>IFERROR(VLOOKUP(B340,'03. THIẾT BỊ'!$B$1:$S$836,2,0),"")</f>
        <v>CNN-C1B-001</v>
      </c>
      <c r="D340" s="24" t="str">
        <f>IFERROR(VLOOKUP(B340,'03. THIẾT BỊ'!$B$1:$S$836,3,0),"")</f>
        <v>A23-C1B-001</v>
      </c>
      <c r="E340" s="20" t="str">
        <f>IFERROR(VLOOKUP(B340,'03. THIẾT BỊ'!$B$1:$S$836,4,0),"")</f>
        <v>ĐQSD</v>
      </c>
      <c r="F340" s="20" t="str">
        <f>IFERROR(VLOOKUP(B340,'03. THIẾT BỊ'!$B$1:$S$836,5,0),"")</f>
        <v>Thiết bị cắt cỏ 1 bên </v>
      </c>
      <c r="G340" s="101" t="s">
        <v>6468</v>
      </c>
      <c r="H340" s="19" t="str">
        <f>IFERROR(VLOOKUP(B340,'03. THIẾT BỊ'!$B$1:$S$836,7,0),"")</f>
        <v>Xoài AD</v>
      </c>
      <c r="I340" s="610" t="str">
        <f>IFERROR(VLOOKUP(B340,'03. THIẾT BỊ'!$B$1:$S$836,8,0),"")</f>
        <v>14/01/2025</v>
      </c>
      <c r="J340" s="25"/>
      <c r="K340" s="19" t="str">
        <f>IFERROR(VLOOKUP(B340,'03. THIẾT BỊ'!$B$1:$S$836,10,0),"")</f>
        <v>Bình thường</v>
      </c>
      <c r="L340" s="25" t="str">
        <f>IFERROR(VLOOKUP(B340,'03. THIẾT BỊ'!$B$1:$S$836,11,0),"")</f>
        <v>CGLĐ DP đchuyen 16/04/2025</v>
      </c>
      <c r="M340" s="24" t="str">
        <f>IFERROR(VLOOKUP(B340,'03. THIẾT BỊ'!$B$1:$S$836,12,0),"")</f>
        <v>Đầu tư mới</v>
      </c>
      <c r="N340" s="25" t="str">
        <f>IFERROR(VLOOKUP(B340,'03. THIẾT BỊ'!$B$1:$S$836,13,0),"")</f>
        <v>GATTINI</v>
      </c>
      <c r="O340" s="24" t="str">
        <f>IFERROR(VLOOKUP(B340,'03. THIẾT BỊ'!$B$1:$S$836,14,0),"")</f>
        <v>BCRLI180</v>
      </c>
      <c r="P340" s="25" t="str">
        <f>IFERROR(VLOOKUP(B340,'03. THIẾT BỊ'!$B$1:$S$836,15,0),"")</f>
        <v>CHINA</v>
      </c>
      <c r="Q340" s="23">
        <f>IFERROR(VLOOKUP(B340,'03. THIẾT BỊ'!$B$1:$S$836,16,0),"")</f>
        <v>2024</v>
      </c>
      <c r="R340" s="25">
        <f>IFERROR(VLOOKUP(B340,'03. THIẾT BỊ'!$B$1:$S$836,17,0),"")</f>
        <v>0</v>
      </c>
      <c r="S340" s="25">
        <f>IFERROR(VLOOKUP(B340,'03. THIẾT BỊ'!$B$1:$S$836,18,0),"")</f>
        <v>202400390001</v>
      </c>
      <c r="T340" s="41"/>
    </row>
    <row r="341" customHeight="1" spans="1:20">
      <c r="A341" s="19">
        <f t="shared" si="16"/>
        <v>3</v>
      </c>
      <c r="B341" s="20" t="s">
        <v>5094</v>
      </c>
      <c r="C341" s="613" t="str">
        <f>IFERROR(VLOOKUP(B341,'03. THIẾT BỊ'!$B$1:$S$836,2,0),"")</f>
        <v>CC02</v>
      </c>
      <c r="D341" s="24" t="str">
        <f>IFERROR(VLOOKUP(B341,'03. THIẾT BỊ'!$B$1:$S$836,3,0),"")</f>
        <v>A22-CCO-001</v>
      </c>
      <c r="E341" s="20" t="str">
        <f>IFERROR(VLOOKUP(B341,'03. THIẾT BỊ'!$B$1:$S$836,4,0),"")</f>
        <v>ĐQSD</v>
      </c>
      <c r="F341" s="20" t="str">
        <f>IFERROR(VLOOKUP(B341,'03. THIẾT BỊ'!$B$1:$S$836,5,0),"")</f>
        <v>Thiết bị phay cỏ</v>
      </c>
      <c r="G341" s="101" t="s">
        <v>6468</v>
      </c>
      <c r="H341" s="19" t="str">
        <f>IFERROR(VLOOKUP(B341,'03. THIẾT BỊ'!$B$1:$S$836,7,0),"")</f>
        <v>Xoài AD</v>
      </c>
      <c r="I341" s="610">
        <f>IFERROR(VLOOKUP(B341,'03. THIẾT BỊ'!$B$1:$S$836,8,0),"")</f>
        <v>0</v>
      </c>
      <c r="J341" s="25"/>
      <c r="K341" s="19" t="str">
        <f>IFERROR(VLOOKUP(B341,'03. THIẾT BỊ'!$B$1:$S$836,10,0),"")</f>
        <v>Bình thường</v>
      </c>
      <c r="L341" s="25">
        <f>IFERROR(VLOOKUP(B341,'03. THIẾT BỊ'!$B$1:$S$836,11,0),"")</f>
        <v>0</v>
      </c>
      <c r="M341" s="24">
        <f>IFERROR(VLOOKUP(B341,'03. THIẾT BỊ'!$B$1:$S$836,12,0),"")</f>
        <v>0</v>
      </c>
      <c r="N341" s="25" t="str">
        <f>IFERROR(VLOOKUP(B341,'03. THIẾT BỊ'!$B$1:$S$836,13,0),"")</f>
        <v>CAMBODIA</v>
      </c>
      <c r="O341" s="24" t="str">
        <f>IFERROR(VLOOKUP(B341,'03. THIẾT BỊ'!$B$1:$S$836,14,0),"")</f>
        <v>SM140</v>
      </c>
      <c r="P341" s="25" t="str">
        <f>IFERROR(VLOOKUP(B341,'03. THIẾT BỊ'!$B$1:$S$836,15,0),"")</f>
        <v>CAMBODIA</v>
      </c>
      <c r="Q341" s="23">
        <f>IFERROR(VLOOKUP(B341,'03. THIẾT BỊ'!$B$1:$S$836,16,0),"")</f>
        <v>0</v>
      </c>
      <c r="R341" s="25">
        <f>IFERROR(VLOOKUP(B341,'03. THIẾT BỊ'!$B$1:$S$836,17,0),"")</f>
        <v>0</v>
      </c>
      <c r="S341" s="25" t="str">
        <f>IFERROR(VLOOKUP(B341,'03. THIẾT BỊ'!$B$1:$S$836,18,0),"")</f>
        <v>SM140</v>
      </c>
      <c r="T341" s="615"/>
    </row>
    <row r="342" customHeight="1" spans="1:20">
      <c r="A342" s="19">
        <f t="shared" si="16"/>
        <v>4</v>
      </c>
      <c r="B342" s="20" t="s">
        <v>5099</v>
      </c>
      <c r="C342" s="613" t="str">
        <f>IFERROR(VLOOKUP(B342,'03. THIẾT BỊ'!$B$1:$S$836,2,0),"")</f>
        <v>CC03</v>
      </c>
      <c r="D342" s="24" t="str">
        <f>IFERROR(VLOOKUP(B342,'03. THIẾT BỊ'!$B$1:$S$836,3,0),"")</f>
        <v>A22-CCO-002</v>
      </c>
      <c r="E342" s="20" t="str">
        <f>IFERROR(VLOOKUP(B342,'03. THIẾT BỊ'!$B$1:$S$836,4,0),"")</f>
        <v>ĐQSD</v>
      </c>
      <c r="F342" s="20" t="str">
        <f>IFERROR(VLOOKUP(B342,'03. THIẾT BỊ'!$B$1:$S$836,5,0),"")</f>
        <v>Thiết bị phay cỏ</v>
      </c>
      <c r="G342" s="101" t="s">
        <v>6468</v>
      </c>
      <c r="H342" s="19" t="str">
        <f>IFERROR(VLOOKUP(B342,'03. THIẾT BỊ'!$B$1:$S$836,7,0),"")</f>
        <v>Xoài AD</v>
      </c>
      <c r="I342" s="610">
        <f>IFERROR(VLOOKUP(B342,'03. THIẾT BỊ'!$B$1:$S$836,8,0),"")</f>
        <v>0</v>
      </c>
      <c r="J342" s="25"/>
      <c r="K342" s="19" t="str">
        <f>IFERROR(VLOOKUP(B342,'03. THIẾT BỊ'!$B$1:$S$836,10,0),"")</f>
        <v>Bình thường</v>
      </c>
      <c r="L342" s="25">
        <f>IFERROR(VLOOKUP(B342,'03. THIẾT BỊ'!$B$1:$S$836,11,0),"")</f>
        <v>0</v>
      </c>
      <c r="M342" s="24">
        <f>IFERROR(VLOOKUP(B342,'03. THIẾT BỊ'!$B$1:$S$836,12,0),"")</f>
        <v>0</v>
      </c>
      <c r="N342" s="25" t="str">
        <f>IFERROR(VLOOKUP(B342,'03. THIẾT BỊ'!$B$1:$S$836,13,0),"")</f>
        <v>CAMBODIA</v>
      </c>
      <c r="O342" s="24" t="str">
        <f>IFERROR(VLOOKUP(B342,'03. THIẾT BỊ'!$B$1:$S$836,14,0),"")</f>
        <v>SM140</v>
      </c>
      <c r="P342" s="25" t="str">
        <f>IFERROR(VLOOKUP(B342,'03. THIẾT BỊ'!$B$1:$S$836,15,0),"")</f>
        <v>CAMBODIA</v>
      </c>
      <c r="Q342" s="23">
        <f>IFERROR(VLOOKUP(B342,'03. THIẾT BỊ'!$B$1:$S$836,16,0),"")</f>
        <v>0</v>
      </c>
      <c r="R342" s="25">
        <f>IFERROR(VLOOKUP(B342,'03. THIẾT BỊ'!$B$1:$S$836,17,0),"")</f>
        <v>0</v>
      </c>
      <c r="S342" s="25" t="str">
        <f>IFERROR(VLOOKUP(B342,'03. THIẾT BỊ'!$B$1:$S$836,18,0),"")</f>
        <v>SM140</v>
      </c>
      <c r="T342" s="615"/>
    </row>
    <row r="343" customHeight="1" spans="1:20">
      <c r="A343" s="19">
        <f t="shared" si="16"/>
        <v>5</v>
      </c>
      <c r="B343" s="20" t="s">
        <v>4766</v>
      </c>
      <c r="C343" s="613">
        <f>IFERROR(VLOOKUP(B343,'03. THIẾT BỊ'!$B$1:$S$836,2,0),"")</f>
        <v>0</v>
      </c>
      <c r="D343" s="24">
        <f>IFERROR(VLOOKUP(B343,'03. THIẾT BỊ'!$B$1:$S$836,3,0),"")</f>
        <v>0</v>
      </c>
      <c r="E343" s="20" t="str">
        <f>IFERROR(VLOOKUP(B343,'03. THIẾT BỊ'!$B$1:$S$836,4,0),"")</f>
        <v>ĐQSD</v>
      </c>
      <c r="F343" s="20" t="str">
        <f>IFERROR(VLOOKUP(B343,'03. THIẾT BỊ'!$B$1:$S$836,5,0),"")</f>
        <v>Thiết bị phay cỏ 1.5m</v>
      </c>
      <c r="G343" s="101" t="s">
        <v>6468</v>
      </c>
      <c r="H343" s="19" t="str">
        <f>IFERROR(VLOOKUP(B343,'03. THIẾT BỊ'!$B$1:$S$836,7,0),"")</f>
        <v>XN Chuối LP1</v>
      </c>
      <c r="I343" s="610">
        <f>IFERROR(VLOOKUP(B343,'03. THIẾT BỊ'!$B$1:$S$836,8,0),"")</f>
        <v>45332</v>
      </c>
      <c r="J343" s="25"/>
      <c r="K343" s="19" t="str">
        <f>IFERROR(VLOOKUP(B343,'03. THIẾT BỊ'!$B$1:$S$836,10,0),"")</f>
        <v>Bình thường</v>
      </c>
      <c r="L343" s="25" t="str">
        <f>IFERROR(VLOOKUP(B343,'03. THIẾT BỊ'!$B$1:$S$836,11,0),"")</f>
        <v>GC mới</v>
      </c>
      <c r="M343" s="24">
        <f>IFERROR(VLOOKUP(B343,'03. THIẾT BỊ'!$B$1:$S$836,12,0),"")</f>
        <v>0</v>
      </c>
      <c r="N343" s="25" t="str">
        <f>IFERROR(VLOOKUP(B343,'03. THIẾT BỊ'!$B$1:$S$836,13,0),"")</f>
        <v>THACO AGRI</v>
      </c>
      <c r="O343" s="24" t="str">
        <f>IFERROR(VLOOKUP(B343,'03. THIẾT BỊ'!$B$1:$S$836,14,0),"")</f>
        <v>CK-MPC-03</v>
      </c>
      <c r="P343" s="25" t="str">
        <f>IFERROR(VLOOKUP(B343,'03. THIẾT BỊ'!$B$1:$S$836,15,0),"")</f>
        <v>CK-CGH</v>
      </c>
      <c r="Q343" s="23">
        <f>IFERROR(VLOOKUP(B343,'03. THIẾT BỊ'!$B$1:$S$836,16,0),"")</f>
        <v>2024</v>
      </c>
      <c r="R343" s="25" t="str">
        <f>IFERROR(VLOOKUP(B343,'03. THIẾT BỊ'!$B$1:$S$836,17,0),"")</f>
        <v>1.7x1.5x1m</v>
      </c>
      <c r="S343" s="25">
        <f>IFERROR(VLOOKUP(B343,'03. THIẾT BỊ'!$B$1:$S$836,18,0),"")</f>
        <v>0</v>
      </c>
      <c r="T343" s="41"/>
    </row>
    <row r="344" customHeight="1" spans="1:20">
      <c r="A344" s="19">
        <f t="shared" si="16"/>
        <v>6</v>
      </c>
      <c r="B344" s="20" t="s">
        <v>4846</v>
      </c>
      <c r="C344" s="613" t="str">
        <f>IFERROR(VLOOKUP(B344,'03. THIẾT BỊ'!$B$1:$S$836,2,0),"")</f>
        <v>CK-DPC-01</v>
      </c>
      <c r="D344" s="24" t="str">
        <f>IFERROR(VLOOKUP(B344,'03. THIẾT BỊ'!$B$1:$S$836,3,0),"")</f>
        <v>A24-DPC-002</v>
      </c>
      <c r="E344" s="20" t="str">
        <f>IFERROR(VLOOKUP(B344,'03. THIẾT BỊ'!$B$1:$S$836,4,0),"")</f>
        <v>ĐQSD</v>
      </c>
      <c r="F344" s="20" t="str">
        <f>IFERROR(VLOOKUP(B344,'03. THIẾT BỊ'!$B$1:$S$836,5,0),"")</f>
        <v>Thiết bị phay cỏ 1.5m</v>
      </c>
      <c r="G344" s="101" t="s">
        <v>6468</v>
      </c>
      <c r="H344" s="19" t="str">
        <f>IFERROR(VLOOKUP(B344,'03. THIẾT BỊ'!$B$1:$S$836,7,0),"")</f>
        <v>XN Chuối LP3</v>
      </c>
      <c r="I344" s="610">
        <f>IFERROR(VLOOKUP(B344,'03. THIẾT BỊ'!$B$1:$S$836,8,0),"")</f>
        <v>45057</v>
      </c>
      <c r="J344" s="25"/>
      <c r="K344" s="19" t="str">
        <f>IFERROR(VLOOKUP(B344,'03. THIẾT BỊ'!$B$1:$S$836,10,0),"")</f>
        <v>Bình thường</v>
      </c>
      <c r="L344" s="25">
        <f>IFERROR(VLOOKUP(B344,'03. THIẾT BỊ'!$B$1:$S$836,11,0),"")</f>
        <v>0</v>
      </c>
      <c r="M344" s="24" t="str">
        <f>IFERROR(VLOOKUP(B344,'03. THIẾT BỊ'!$B$1:$S$836,12,0),"")</f>
        <v>Kèm trục cardang 1m</v>
      </c>
      <c r="N344" s="25" t="str">
        <f>IFERROR(VLOOKUP(B344,'03. THIẾT BỊ'!$B$1:$S$836,13,0),"")</f>
        <v>THACO AGRI</v>
      </c>
      <c r="O344" s="24">
        <f>IFERROR(VLOOKUP(B344,'03. THIẾT BỊ'!$B$1:$S$836,14,0),"")</f>
        <v>0</v>
      </c>
      <c r="P344" s="25" t="str">
        <f>IFERROR(VLOOKUP(B344,'03. THIẾT BỊ'!$B$1:$S$836,15,0),"")</f>
        <v>CK-CGH</v>
      </c>
      <c r="Q344" s="23">
        <f>IFERROR(VLOOKUP(B344,'03. THIẾT BỊ'!$B$1:$S$836,16,0),"")</f>
        <v>0</v>
      </c>
      <c r="R344" s="25" t="str">
        <f>IFERROR(VLOOKUP(B344,'03. THIẾT BỊ'!$B$1:$S$836,17,0),"")</f>
        <v>1.5*1.5*0.9m</v>
      </c>
      <c r="S344" s="25">
        <f>IFERROR(VLOOKUP(B344,'03. THIẾT BỊ'!$B$1:$S$836,18,0),"")</f>
        <v>0</v>
      </c>
      <c r="T344" s="41"/>
    </row>
    <row r="345" customHeight="1" spans="1:20">
      <c r="A345" s="19">
        <f t="shared" si="16"/>
        <v>7</v>
      </c>
      <c r="B345" s="20" t="s">
        <v>5571</v>
      </c>
      <c r="C345" s="613" t="str">
        <f>IFERROR(VLOOKUP(B345,'03. THIẾT BỊ'!$B$1:$S$836,2,0),"")</f>
        <v>CK-DPC-02</v>
      </c>
      <c r="D345" s="24" t="str">
        <f>IFERROR(VLOOKUP(B345,'03. THIẾT BỊ'!$B$1:$S$836,3,0),"")</f>
        <v>A22-DPC-001</v>
      </c>
      <c r="E345" s="20" t="str">
        <f>IFERROR(VLOOKUP(B345,'03. THIẾT BỊ'!$B$1:$S$836,4,0),"")</f>
        <v>ĐQSD</v>
      </c>
      <c r="F345" s="20" t="str">
        <f>IFERROR(VLOOKUP(B345,'03. THIẾT BỊ'!$B$1:$S$836,5,0),"")</f>
        <v>Thiết bị phay cỏ 1.5m</v>
      </c>
      <c r="G345" s="101" t="s">
        <v>6468</v>
      </c>
      <c r="H345" s="19" t="str">
        <f>IFERROR(VLOOKUP(B345,'03. THIẾT BỊ'!$B$1:$S$836,7,0),"")</f>
        <v>XN Bò AD</v>
      </c>
      <c r="I345" s="610">
        <f>IFERROR(VLOOKUP(B345,'03. THIẾT BỊ'!$B$1:$S$836,8,0),"")</f>
        <v>45356</v>
      </c>
      <c r="J345" s="25"/>
      <c r="K345" s="19" t="str">
        <f>IFERROR(VLOOKUP(B345,'03. THIẾT BỊ'!$B$1:$S$836,10,0),"")</f>
        <v>Bình thường</v>
      </c>
      <c r="L345" s="25">
        <f>IFERROR(VLOOKUP(B345,'03. THIẾT BỊ'!$B$1:$S$836,11,0),"")</f>
        <v>0</v>
      </c>
      <c r="M345" s="24" t="str">
        <f>IFERROR(VLOOKUP(B345,'03. THIẾT BỊ'!$B$1:$S$836,12,0),"")</f>
        <v>Gia công mới</v>
      </c>
      <c r="N345" s="25" t="str">
        <f>IFERROR(VLOOKUP(B345,'03. THIẾT BỊ'!$B$1:$S$836,13,0),"")</f>
        <v>THACO AGRI</v>
      </c>
      <c r="O345" s="24" t="str">
        <f>IFERROR(VLOOKUP(B345,'03. THIẾT BỊ'!$B$1:$S$836,14,0),"")</f>
        <v>1.5m</v>
      </c>
      <c r="P345" s="25" t="str">
        <f>IFERROR(VLOOKUP(B345,'03. THIẾT BỊ'!$B$1:$S$836,15,0),"")</f>
        <v>THACO</v>
      </c>
      <c r="Q345" s="23">
        <f>IFERROR(VLOOKUP(B345,'03. THIẾT BỊ'!$B$1:$S$836,16,0),"")</f>
        <v>0</v>
      </c>
      <c r="R345" s="25" t="str">
        <f>IFERROR(VLOOKUP(B345,'03. THIẾT BỊ'!$B$1:$S$836,17,0),"")</f>
        <v>1.5*1.5m</v>
      </c>
      <c r="S345" s="25">
        <f>IFERROR(VLOOKUP(B345,'03. THIẾT BỊ'!$B$1:$S$836,18,0),"")</f>
        <v>0</v>
      </c>
      <c r="T345" s="41"/>
    </row>
    <row r="346" customHeight="1" spans="1:20">
      <c r="A346" s="19">
        <f t="shared" si="16"/>
        <v>8</v>
      </c>
      <c r="B346" s="20" t="s">
        <v>5576</v>
      </c>
      <c r="C346" s="613" t="str">
        <f>IFERROR(VLOOKUP(B346,'03. THIẾT BỊ'!$B$1:$S$836,2,0),"")</f>
        <v>CK-DP-01</v>
      </c>
      <c r="D346" s="24" t="str">
        <f>IFERROR(VLOOKUP(B346,'03. THIẾT BỊ'!$B$1:$S$836,3,0),"")</f>
        <v>A22-DPC-002</v>
      </c>
      <c r="E346" s="20" t="str">
        <f>IFERROR(VLOOKUP(B346,'03. THIẾT BỊ'!$B$1:$S$836,4,0),"")</f>
        <v>ĐQSD</v>
      </c>
      <c r="F346" s="20" t="str">
        <f>IFERROR(VLOOKUP(B346,'03. THIẾT BỊ'!$B$1:$S$836,5,0),"")</f>
        <v>Thiết bị phay cỏ (2 luống)</v>
      </c>
      <c r="G346" s="101" t="s">
        <v>6468</v>
      </c>
      <c r="H346" s="19" t="str">
        <f>IFERROR(VLOOKUP(B346,'03. THIẾT BỊ'!$B$1:$S$836,7,0),"")</f>
        <v>XN Bò AD</v>
      </c>
      <c r="I346" s="610" t="str">
        <f>IFERROR(VLOOKUP(B346,'03. THIẾT BỊ'!$B$1:$S$836,8,0),"")</f>
        <v>29/07/2024</v>
      </c>
      <c r="J346" s="25"/>
      <c r="K346" s="19" t="str">
        <f>IFERROR(VLOOKUP(B346,'03. THIẾT BỊ'!$B$1:$S$836,10,0),"")</f>
        <v>Bình thường</v>
      </c>
      <c r="L346" s="25">
        <f>IFERROR(VLOOKUP(B346,'03. THIẾT BỊ'!$B$1:$S$836,11,0),"")</f>
        <v>0</v>
      </c>
      <c r="M346" s="24" t="str">
        <f>IFERROR(VLOOKUP(B346,'03. THIẾT BỊ'!$B$1:$S$836,12,0),"")</f>
        <v>Gia công mới</v>
      </c>
      <c r="N346" s="25" t="str">
        <f>IFERROR(VLOOKUP(B346,'03. THIẾT BỊ'!$B$1:$S$836,13,0),"")</f>
        <v>THACO AGRI</v>
      </c>
      <c r="O346" s="24" t="str">
        <f>IFERROR(VLOOKUP(B346,'03. THIẾT BỊ'!$B$1:$S$836,14,0),"")</f>
        <v>2 luống</v>
      </c>
      <c r="P346" s="25" t="str">
        <f>IFERROR(VLOOKUP(B346,'03. THIẾT BỊ'!$B$1:$S$836,15,0),"")</f>
        <v>THACOAGRI</v>
      </c>
      <c r="Q346" s="23">
        <f>IFERROR(VLOOKUP(B346,'03. THIẾT BỊ'!$B$1:$S$836,16,0),"")</f>
        <v>2024</v>
      </c>
      <c r="R346" s="25" t="str">
        <f>IFERROR(VLOOKUP(B346,'03. THIẾT BỊ'!$B$1:$S$836,17,0),"")</f>
        <v>2100x800x1100(mm)</v>
      </c>
      <c r="S346" s="25" t="str">
        <f>IFERROR(VLOOKUP(B346,'03. THIẾT BỊ'!$B$1:$S$836,18,0),"")</f>
        <v>Bề rộng luống phay 500mm</v>
      </c>
      <c r="T346" s="41"/>
    </row>
    <row r="347" customHeight="1" spans="1:20">
      <c r="A347" s="19">
        <f t="shared" si="16"/>
        <v>9</v>
      </c>
      <c r="B347" s="20" t="s">
        <v>5583</v>
      </c>
      <c r="C347" s="613" t="str">
        <f>IFERROR(VLOOKUP(B347,'03. THIẾT BỊ'!$B$1:$S$836,2,0),"")</f>
        <v>CK-MPC-04</v>
      </c>
      <c r="D347" s="24" t="str">
        <f>IFERROR(VLOOKUP(B347,'03. THIẾT BỊ'!$B$1:$S$836,3,0),"")</f>
        <v>A22-DPC-003</v>
      </c>
      <c r="E347" s="20" t="str">
        <f>IFERROR(VLOOKUP(B347,'03. THIẾT BỊ'!$B$1:$S$836,4,0),"")</f>
        <v>ĐQSD</v>
      </c>
      <c r="F347" s="20" t="str">
        <f>IFERROR(VLOOKUP(B347,'03. THIẾT BỊ'!$B$1:$S$836,5,0),"")</f>
        <v>Thiết bị phay cỏ 1.5m</v>
      </c>
      <c r="G347" s="101" t="s">
        <v>6468</v>
      </c>
      <c r="H347" s="19" t="str">
        <f>IFERROR(VLOOKUP(B347,'03. THIẾT BỊ'!$B$1:$S$836,7,0),"")</f>
        <v>XN Bò AD</v>
      </c>
      <c r="I347" s="610">
        <f>IFERROR(VLOOKUP(B347,'03. THIẾT BỊ'!$B$1:$S$836,8,0),"")</f>
        <v>0</v>
      </c>
      <c r="J347" s="25"/>
      <c r="K347" s="19" t="str">
        <f>IFERROR(VLOOKUP(B347,'03. THIẾT BỊ'!$B$1:$S$836,10,0),"")</f>
        <v>Bình thường</v>
      </c>
      <c r="L347" s="25">
        <f>IFERROR(VLOOKUP(B347,'03. THIẾT BỊ'!$B$1:$S$836,11,0),"")</f>
        <v>0</v>
      </c>
      <c r="M347" s="24" t="str">
        <f>IFERROR(VLOOKUP(B347,'03. THIẾT BỊ'!$B$1:$S$836,12,0),"")</f>
        <v>Gia công mới</v>
      </c>
      <c r="N347" s="25" t="str">
        <f>IFERROR(VLOOKUP(B347,'03. THIẾT BỊ'!$B$1:$S$836,13,0),"")</f>
        <v>THACO AGRI</v>
      </c>
      <c r="O347" s="24" t="str">
        <f>IFERROR(VLOOKUP(B347,'03. THIẾT BỊ'!$B$1:$S$836,14,0),"")</f>
        <v>CK-MPC-04</v>
      </c>
      <c r="P347" s="25" t="str">
        <f>IFERROR(VLOOKUP(B347,'03. THIẾT BỊ'!$B$1:$S$836,15,0),"")</f>
        <v>CK-CGH</v>
      </c>
      <c r="Q347" s="23">
        <f>IFERROR(VLOOKUP(B347,'03. THIẾT BỊ'!$B$1:$S$836,16,0),"")</f>
        <v>2024</v>
      </c>
      <c r="R347" s="25" t="str">
        <f>IFERROR(VLOOKUP(B347,'03. THIẾT BỊ'!$B$1:$S$836,17,0),"")</f>
        <v>1.4x1.4x1</v>
      </c>
      <c r="S347" s="25">
        <f>IFERROR(VLOOKUP(B347,'03. THIẾT BỊ'!$B$1:$S$836,18,0),"")</f>
        <v>0</v>
      </c>
      <c r="T347" s="41"/>
    </row>
    <row r="348" customHeight="1" spans="1:20">
      <c r="A348" s="19">
        <f t="shared" si="16"/>
        <v>10</v>
      </c>
      <c r="B348" s="20" t="s">
        <v>5587</v>
      </c>
      <c r="C348" s="613">
        <f>IFERROR(VLOOKUP(B348,'03. THIẾT BỊ'!$B$1:$S$836,2,0),"")</f>
        <v>0</v>
      </c>
      <c r="D348" s="24" t="str">
        <f>IFERROR(VLOOKUP(B348,'03. THIẾT BỊ'!$B$1:$S$836,3,0),"")</f>
        <v>A22-DPC-004</v>
      </c>
      <c r="E348" s="20" t="str">
        <f>IFERROR(VLOOKUP(B348,'03. THIẾT BỊ'!$B$1:$S$836,4,0),"")</f>
        <v>ĐQSD</v>
      </c>
      <c r="F348" s="20" t="str">
        <f>IFERROR(VLOOKUP(B348,'03. THIẾT BỊ'!$B$1:$S$836,5,0),"")</f>
        <v>Thiết bị phay cỏ 1.5m</v>
      </c>
      <c r="G348" s="101" t="s">
        <v>6468</v>
      </c>
      <c r="H348" s="19" t="str">
        <f>IFERROR(VLOOKUP(B348,'03. THIẾT BỊ'!$B$1:$S$836,7,0),"")</f>
        <v>XN Bò AD</v>
      </c>
      <c r="I348" s="610" t="str">
        <f>IFERROR(VLOOKUP(B348,'03. THIẾT BỊ'!$B$1:$S$836,8,0),"")</f>
        <v>17/12/2025</v>
      </c>
      <c r="J348" s="25"/>
      <c r="K348" s="19" t="str">
        <f>IFERROR(VLOOKUP(B348,'03. THIẾT BỊ'!$B$1:$S$836,10,0),"")</f>
        <v>Bình thường</v>
      </c>
      <c r="L348" s="25">
        <f>IFERROR(VLOOKUP(B348,'03. THIẾT BỊ'!$B$1:$S$836,11,0),"")</f>
        <v>0</v>
      </c>
      <c r="M348" s="24" t="str">
        <f>IFERROR(VLOOKUP(B348,'03. THIẾT BỊ'!$B$1:$S$836,12,0),"")</f>
        <v>Gia công mới</v>
      </c>
      <c r="N348" s="25" t="str">
        <f>IFERROR(VLOOKUP(B348,'03. THIẾT BỊ'!$B$1:$S$836,13,0),"")</f>
        <v>THACO AGRI</v>
      </c>
      <c r="O348" s="24" t="str">
        <f>IFERROR(VLOOKUP(B348,'03. THIẾT BỊ'!$B$1:$S$836,14,0),"")</f>
        <v>CK-MPC-05</v>
      </c>
      <c r="P348" s="25" t="str">
        <f>IFERROR(VLOOKUP(B348,'03. THIẾT BỊ'!$B$1:$S$836,15,0),"")</f>
        <v>CK-CGH</v>
      </c>
      <c r="Q348" s="23">
        <f>IFERROR(VLOOKUP(B348,'03. THIẾT BỊ'!$B$1:$S$836,16,0),"")</f>
        <v>2025</v>
      </c>
      <c r="R348" s="25" t="str">
        <f>IFERROR(VLOOKUP(B348,'03. THIẾT BỊ'!$B$1:$S$836,17,0),"")</f>
        <v>1.4x1.4x1</v>
      </c>
      <c r="S348" s="25">
        <f>IFERROR(VLOOKUP(B348,'03. THIẾT BỊ'!$B$1:$S$836,18,0),"")</f>
        <v>0</v>
      </c>
      <c r="T348" s="41"/>
    </row>
    <row r="349" customHeight="1" spans="1:20">
      <c r="A349" s="19">
        <f t="shared" si="16"/>
        <v>11</v>
      </c>
      <c r="B349" s="20" t="s">
        <v>5591</v>
      </c>
      <c r="C349" s="613">
        <f>IFERROR(VLOOKUP(B349,'03. THIẾT BỊ'!$B$1:$S$836,2,0),"")</f>
        <v>0</v>
      </c>
      <c r="D349" s="24" t="str">
        <f>IFERROR(VLOOKUP(B349,'03. THIẾT BỊ'!$B$1:$S$836,3,0),"")</f>
        <v>A22-DPC-005</v>
      </c>
      <c r="E349" s="20" t="str">
        <f>IFERROR(VLOOKUP(B349,'03. THIẾT BỊ'!$B$1:$S$836,4,0),"")</f>
        <v>ĐQSD</v>
      </c>
      <c r="F349" s="20" t="str">
        <f>IFERROR(VLOOKUP(B349,'03. THIẾT BỊ'!$B$1:$S$836,5,0),"")</f>
        <v>Thiết bị phay cỏ 1.5m</v>
      </c>
      <c r="G349" s="101" t="s">
        <v>6468</v>
      </c>
      <c r="H349" s="19" t="str">
        <f>IFERROR(VLOOKUP(B349,'03. THIẾT BỊ'!$B$1:$S$836,7,0),"")</f>
        <v>XN Bò AD</v>
      </c>
      <c r="I349" s="610" t="str">
        <f>IFERROR(VLOOKUP(B349,'03. THIẾT BỊ'!$B$1:$S$836,8,0),"")</f>
        <v>17/12/2025</v>
      </c>
      <c r="J349" s="25"/>
      <c r="K349" s="19" t="str">
        <f>IFERROR(VLOOKUP(B349,'03. THIẾT BỊ'!$B$1:$S$836,10,0),"")</f>
        <v>Bình thường</v>
      </c>
      <c r="L349" s="25">
        <f>IFERROR(VLOOKUP(B349,'03. THIẾT BỊ'!$B$1:$S$836,11,0),"")</f>
        <v>0</v>
      </c>
      <c r="M349" s="24" t="str">
        <f>IFERROR(VLOOKUP(B349,'03. THIẾT BỊ'!$B$1:$S$836,12,0),"")</f>
        <v>Gia công mới</v>
      </c>
      <c r="N349" s="25" t="str">
        <f>IFERROR(VLOOKUP(B349,'03. THIẾT BỊ'!$B$1:$S$836,13,0),"")</f>
        <v>THACO AGRI</v>
      </c>
      <c r="O349" s="24" t="str">
        <f>IFERROR(VLOOKUP(B349,'03. THIẾT BỊ'!$B$1:$S$836,14,0),"")</f>
        <v>CK-MPC-06</v>
      </c>
      <c r="P349" s="25" t="str">
        <f>IFERROR(VLOOKUP(B349,'03. THIẾT BỊ'!$B$1:$S$836,15,0),"")</f>
        <v>CK-CGH</v>
      </c>
      <c r="Q349" s="23">
        <f>IFERROR(VLOOKUP(B349,'03. THIẾT BỊ'!$B$1:$S$836,16,0),"")</f>
        <v>2025</v>
      </c>
      <c r="R349" s="25" t="str">
        <f>IFERROR(VLOOKUP(B349,'03. THIẾT BỊ'!$B$1:$S$836,17,0),"")</f>
        <v>1.4x1.4x1</v>
      </c>
      <c r="S349" s="25">
        <f>IFERROR(VLOOKUP(B349,'03. THIẾT BỊ'!$B$1:$S$836,18,0),"")</f>
        <v>0</v>
      </c>
      <c r="T349" s="41"/>
    </row>
    <row r="350" customHeight="1" spans="1:20">
      <c r="A350" s="19">
        <f t="shared" si="16"/>
        <v>12</v>
      </c>
      <c r="B350" s="20" t="s">
        <v>5594</v>
      </c>
      <c r="C350" s="613">
        <f>IFERROR(VLOOKUP(B350,'03. THIẾT BỊ'!$B$1:$S$836,2,0),"")</f>
        <v>0</v>
      </c>
      <c r="D350" s="24" t="str">
        <f>IFERROR(VLOOKUP(B350,'03. THIẾT BỊ'!$B$1:$S$836,3,0),"")</f>
        <v>A22-DPC-006</v>
      </c>
      <c r="E350" s="20" t="str">
        <f>IFERROR(VLOOKUP(B350,'03. THIẾT BỊ'!$B$1:$S$836,4,0),"")</f>
        <v>ĐQSD</v>
      </c>
      <c r="F350" s="20" t="str">
        <f>IFERROR(VLOOKUP(B350,'03. THIẾT BỊ'!$B$1:$S$836,5,0),"")</f>
        <v>Thiết bị phay cỏ 1.5m</v>
      </c>
      <c r="G350" s="101" t="s">
        <v>6468</v>
      </c>
      <c r="H350" s="19" t="str">
        <f>IFERROR(VLOOKUP(B350,'03. THIẾT BỊ'!$B$1:$S$836,7,0),"")</f>
        <v>XN Bò AD</v>
      </c>
      <c r="I350" s="610" t="str">
        <f>IFERROR(VLOOKUP(B350,'03. THIẾT BỊ'!$B$1:$S$836,8,0),"")</f>
        <v>17/12/2025</v>
      </c>
      <c r="J350" s="25"/>
      <c r="K350" s="19" t="str">
        <f>IFERROR(VLOOKUP(B350,'03. THIẾT BỊ'!$B$1:$S$836,10,0),"")</f>
        <v>Bình thường</v>
      </c>
      <c r="L350" s="25">
        <f>IFERROR(VLOOKUP(B350,'03. THIẾT BỊ'!$B$1:$S$836,11,0),"")</f>
        <v>0</v>
      </c>
      <c r="M350" s="24" t="str">
        <f>IFERROR(VLOOKUP(B350,'03. THIẾT BỊ'!$B$1:$S$836,12,0),"")</f>
        <v>Gia công mới</v>
      </c>
      <c r="N350" s="25" t="str">
        <f>IFERROR(VLOOKUP(B350,'03. THIẾT BỊ'!$B$1:$S$836,13,0),"")</f>
        <v>THACO AGRI</v>
      </c>
      <c r="O350" s="24" t="str">
        <f>IFERROR(VLOOKUP(B350,'03. THIẾT BỊ'!$B$1:$S$836,14,0),"")</f>
        <v>CK-MPC-07</v>
      </c>
      <c r="P350" s="25" t="str">
        <f>IFERROR(VLOOKUP(B350,'03. THIẾT BỊ'!$B$1:$S$836,15,0),"")</f>
        <v>CK-CGH</v>
      </c>
      <c r="Q350" s="23">
        <f>IFERROR(VLOOKUP(B350,'03. THIẾT BỊ'!$B$1:$S$836,16,0),"")</f>
        <v>2025</v>
      </c>
      <c r="R350" s="25" t="str">
        <f>IFERROR(VLOOKUP(B350,'03. THIẾT BỊ'!$B$1:$S$836,17,0),"")</f>
        <v>1.4x1.4x1</v>
      </c>
      <c r="S350" s="25">
        <f>IFERROR(VLOOKUP(B350,'03. THIẾT BỊ'!$B$1:$S$836,18,0),"")</f>
        <v>0</v>
      </c>
      <c r="T350" s="41"/>
    </row>
    <row r="351" customHeight="1" spans="1:20">
      <c r="A351" s="19">
        <f t="shared" si="16"/>
        <v>13</v>
      </c>
      <c r="B351" s="20" t="s">
        <v>5597</v>
      </c>
      <c r="C351" s="613">
        <f>IFERROR(VLOOKUP(B351,'03. THIẾT BỊ'!$B$1:$S$836,2,0),"")</f>
        <v>0</v>
      </c>
      <c r="D351" s="24" t="str">
        <f>IFERROR(VLOOKUP(B351,'03. THIẾT BỊ'!$B$1:$S$836,3,0),"")</f>
        <v>A22-DPC-007</v>
      </c>
      <c r="E351" s="20" t="str">
        <f>IFERROR(VLOOKUP(B351,'03. THIẾT BỊ'!$B$1:$S$836,4,0),"")</f>
        <v>ĐQSD</v>
      </c>
      <c r="F351" s="20" t="str">
        <f>IFERROR(VLOOKUP(B351,'03. THIẾT BỊ'!$B$1:$S$836,5,0),"")</f>
        <v>Thiết bị phay cỏ 1.5m</v>
      </c>
      <c r="G351" s="101" t="s">
        <v>6468</v>
      </c>
      <c r="H351" s="19" t="str">
        <f>IFERROR(VLOOKUP(B351,'03. THIẾT BỊ'!$B$1:$S$836,7,0),"")</f>
        <v>XN Bò AD</v>
      </c>
      <c r="I351" s="610" t="str">
        <f>IFERROR(VLOOKUP(B351,'03. THIẾT BỊ'!$B$1:$S$836,8,0),"")</f>
        <v>17/12/2025</v>
      </c>
      <c r="J351" s="25"/>
      <c r="K351" s="19" t="str">
        <f>IFERROR(VLOOKUP(B351,'03. THIẾT BỊ'!$B$1:$S$836,10,0),"")</f>
        <v>Bình thường</v>
      </c>
      <c r="L351" s="25">
        <f>IFERROR(VLOOKUP(B351,'03. THIẾT BỊ'!$B$1:$S$836,11,0),"")</f>
        <v>0</v>
      </c>
      <c r="M351" s="24" t="str">
        <f>IFERROR(VLOOKUP(B351,'03. THIẾT BỊ'!$B$1:$S$836,12,0),"")</f>
        <v>Gia công mới</v>
      </c>
      <c r="N351" s="25" t="str">
        <f>IFERROR(VLOOKUP(B351,'03. THIẾT BỊ'!$B$1:$S$836,13,0),"")</f>
        <v>THACO AGRI</v>
      </c>
      <c r="O351" s="24" t="str">
        <f>IFERROR(VLOOKUP(B351,'03. THIẾT BỊ'!$B$1:$S$836,14,0),"")</f>
        <v>CK-MPC-08</v>
      </c>
      <c r="P351" s="25" t="str">
        <f>IFERROR(VLOOKUP(B351,'03. THIẾT BỊ'!$B$1:$S$836,15,0),"")</f>
        <v>CK-CGH</v>
      </c>
      <c r="Q351" s="23">
        <f>IFERROR(VLOOKUP(B351,'03. THIẾT BỊ'!$B$1:$S$836,16,0),"")</f>
        <v>2025</v>
      </c>
      <c r="R351" s="25" t="str">
        <f>IFERROR(VLOOKUP(B351,'03. THIẾT BỊ'!$B$1:$S$836,17,0),"")</f>
        <v>1.4x1.4x1</v>
      </c>
      <c r="S351" s="25">
        <f>IFERROR(VLOOKUP(B351,'03. THIẾT BỊ'!$B$1:$S$836,18,0),"")</f>
        <v>0</v>
      </c>
      <c r="T351" s="41"/>
    </row>
    <row r="352" customHeight="1" spans="1:20">
      <c r="A352" s="19">
        <f t="shared" si="16"/>
        <v>14</v>
      </c>
      <c r="B352" s="20" t="s">
        <v>5600</v>
      </c>
      <c r="C352" s="613">
        <f>IFERROR(VLOOKUP(B352,'03. THIẾT BỊ'!$B$1:$S$836,2,0),"")</f>
        <v>0</v>
      </c>
      <c r="D352" s="24" t="str">
        <f>IFERROR(VLOOKUP(B352,'03. THIẾT BỊ'!$B$1:$S$836,3,0),"")</f>
        <v>A22-DPC-008</v>
      </c>
      <c r="E352" s="20" t="str">
        <f>IFERROR(VLOOKUP(B352,'03. THIẾT BỊ'!$B$1:$S$836,4,0),"")</f>
        <v>ĐQSD</v>
      </c>
      <c r="F352" s="20" t="str">
        <f>IFERROR(VLOOKUP(B352,'03. THIẾT BỊ'!$B$1:$S$836,5,0),"")</f>
        <v>Thiết bị phay cỏ 1.5m</v>
      </c>
      <c r="G352" s="101" t="s">
        <v>6468</v>
      </c>
      <c r="H352" s="19" t="str">
        <f>IFERROR(VLOOKUP(B352,'03. THIẾT BỊ'!$B$1:$S$836,7,0),"")</f>
        <v>XN Bò AD</v>
      </c>
      <c r="I352" s="610" t="str">
        <f>IFERROR(VLOOKUP(B352,'03. THIẾT BỊ'!$B$1:$S$836,8,0),"")</f>
        <v>17/12/2025</v>
      </c>
      <c r="J352" s="25"/>
      <c r="K352" s="19" t="str">
        <f>IFERROR(VLOOKUP(B352,'03. THIẾT BỊ'!$B$1:$S$836,10,0),"")</f>
        <v>Bình thường</v>
      </c>
      <c r="L352" s="25">
        <f>IFERROR(VLOOKUP(B352,'03. THIẾT BỊ'!$B$1:$S$836,11,0),"")</f>
        <v>0</v>
      </c>
      <c r="M352" s="24" t="str">
        <f>IFERROR(VLOOKUP(B352,'03. THIẾT BỊ'!$B$1:$S$836,12,0),"")</f>
        <v>Gia công mới</v>
      </c>
      <c r="N352" s="25" t="str">
        <f>IFERROR(VLOOKUP(B352,'03. THIẾT BỊ'!$B$1:$S$836,13,0),"")</f>
        <v>THACO AGRI</v>
      </c>
      <c r="O352" s="24" t="str">
        <f>IFERROR(VLOOKUP(B352,'03. THIẾT BỊ'!$B$1:$S$836,14,0),"")</f>
        <v>CK-MPC-09</v>
      </c>
      <c r="P352" s="25" t="str">
        <f>IFERROR(VLOOKUP(B352,'03. THIẾT BỊ'!$B$1:$S$836,15,0),"")</f>
        <v>CK-CGH</v>
      </c>
      <c r="Q352" s="23">
        <f>IFERROR(VLOOKUP(B352,'03. THIẾT BỊ'!$B$1:$S$836,16,0),"")</f>
        <v>2025</v>
      </c>
      <c r="R352" s="25" t="str">
        <f>IFERROR(VLOOKUP(B352,'03. THIẾT BỊ'!$B$1:$S$836,17,0),"")</f>
        <v>1.4x1.4x1</v>
      </c>
      <c r="S352" s="25">
        <f>IFERROR(VLOOKUP(B352,'03. THIẾT BỊ'!$B$1:$S$836,18,0),"")</f>
        <v>0</v>
      </c>
      <c r="T352" s="41"/>
    </row>
    <row r="353" customHeight="1" spans="1:20">
      <c r="A353" s="19">
        <f>A346+1</f>
        <v>9</v>
      </c>
      <c r="B353" s="20" t="s">
        <v>4687</v>
      </c>
      <c r="C353" s="613" t="str">
        <f>IFERROR(VLOOKUP(B353,'03. THIẾT BỊ'!$B$1:$S$836,2,0),"")</f>
        <v>CC01NNKLH</v>
      </c>
      <c r="D353" s="24" t="str">
        <f>IFERROR(VLOOKUP(B353,'03. THIẾT BỊ'!$B$1:$S$836,3,0),"")</f>
        <v>A23-TBC-001</v>
      </c>
      <c r="E353" s="20" t="str">
        <f>IFERROR(VLOOKUP(B353,'03. THIẾT BỊ'!$B$1:$S$836,4,0),"")</f>
        <v>ĐQSD</v>
      </c>
      <c r="F353" s="20" t="str">
        <f>IFERROR(VLOOKUP(B353,'03. THIẾT BỊ'!$B$1:$S$836,5,0),"")</f>
        <v>Thiết bị cắt cỏ</v>
      </c>
      <c r="G353" s="101" t="s">
        <v>6468</v>
      </c>
      <c r="H353" s="19" t="str">
        <f>IFERROR(VLOOKUP(B353,'03. THIẾT BỊ'!$B$1:$S$836,7,0),"")</f>
        <v>XN Chuối DP3</v>
      </c>
      <c r="I353" s="610" t="str">
        <f>IFERROR(VLOOKUP(B353,'03. THIẾT BỊ'!$B$1:$S$836,8,0),"")</f>
        <v>26/06/2025</v>
      </c>
      <c r="J353" s="25"/>
      <c r="K353" s="19" t="str">
        <f>IFERROR(VLOOKUP(B353,'03. THIẾT BỊ'!$B$1:$S$836,10,0),"")</f>
        <v>Bình thường</v>
      </c>
      <c r="L353" s="25" t="str">
        <f>IFERROR(VLOOKUP(B353,'03. THIẾT BỊ'!$B$1:$S$836,11,0),"")</f>
        <v>CGLĐ DP bàn giao ngày 26/06/2025</v>
      </c>
      <c r="M353" s="24">
        <f>IFERROR(VLOOKUP(B353,'03. THIẾT BỊ'!$B$1:$S$836,12,0),"")</f>
        <v>0</v>
      </c>
      <c r="N353" s="25" t="str">
        <f>IFERROR(VLOOKUP(B353,'03. THIẾT BỊ'!$B$1:$S$836,13,0),"")</f>
        <v>AIO</v>
      </c>
      <c r="O353" s="24" t="str">
        <f>IFERROR(VLOOKUP(B353,'03. THIẾT BỊ'!$B$1:$S$836,14,0),"")</f>
        <v>AIO-CC01</v>
      </c>
      <c r="P353" s="25" t="str">
        <f>IFERROR(VLOOKUP(B353,'03. THIẾT BỊ'!$B$1:$S$836,15,0),"")</f>
        <v>CAMBODIA</v>
      </c>
      <c r="Q353" s="23">
        <f>IFERROR(VLOOKUP(B353,'03. THIẾT BỊ'!$B$1:$S$836,16,0),"")</f>
        <v>0</v>
      </c>
      <c r="R353" s="25">
        <f>IFERROR(VLOOKUP(B353,'03. THIẾT BỊ'!$B$1:$S$836,17,0),"")</f>
        <v>0</v>
      </c>
      <c r="S353" s="25" t="str">
        <f>IFERROR(VLOOKUP(B353,'03. THIẾT BỊ'!$B$1:$S$836,18,0),"")</f>
        <v>AIO-CC01</v>
      </c>
      <c r="T353" s="41"/>
    </row>
    <row r="354" ht="27" customHeight="1" spans="1:20">
      <c r="A354" s="19">
        <f t="shared" ref="A354:A362" si="17">A353+1</f>
        <v>10</v>
      </c>
      <c r="B354" s="38" t="s">
        <v>5634</v>
      </c>
      <c r="C354" s="613" t="str">
        <f>IFERROR(VLOOKUP(B354,'03. THIẾT BỊ'!$B$1:$S$836,2,0),"")</f>
        <v>CK-DCC-01</v>
      </c>
      <c r="D354" s="24" t="str">
        <f>IFERROR(VLOOKUP(B354,'03. THIẾT BỊ'!$B$1:$S$836,3,0),"")</f>
        <v>A22-CĐQ-001</v>
      </c>
      <c r="E354" s="20" t="str">
        <f>IFERROR(VLOOKUP(B354,'03. THIẾT BỊ'!$B$1:$S$836,4,0),"")</f>
        <v>ĐQSD</v>
      </c>
      <c r="F354" s="20" t="str">
        <f>IFERROR(VLOOKUP(B354,'03. THIẾT BỊ'!$B$1:$S$836,5,0),"")</f>
        <v>Thiết bị cắt cỏ đĩa quay</v>
      </c>
      <c r="G354" s="101" t="s">
        <v>6468</v>
      </c>
      <c r="H354" s="19" t="str">
        <f>IFERROR(VLOOKUP(B354,'03. THIẾT BỊ'!$B$1:$S$836,7,0),"")</f>
        <v>XN Bò AD</v>
      </c>
      <c r="I354" s="610">
        <f>IFERROR(VLOOKUP(B354,'03. THIẾT BỊ'!$B$1:$S$836,8,0),"")</f>
        <v>45391</v>
      </c>
      <c r="J354" s="25"/>
      <c r="K354" s="19" t="str">
        <f>IFERROR(VLOOKUP(B354,'03. THIẾT BỊ'!$B$1:$S$836,10,0),"")</f>
        <v>Bình thường</v>
      </c>
      <c r="L354" s="25">
        <f>IFERROR(VLOOKUP(B354,'03. THIẾT BỊ'!$B$1:$S$836,11,0),"")</f>
        <v>0</v>
      </c>
      <c r="M354" s="24" t="str">
        <f>IFERROR(VLOOKUP(B354,'03. THIẾT BỊ'!$B$1:$S$836,12,0),"")</f>
        <v>Gia công mới</v>
      </c>
      <c r="N354" s="25" t="str">
        <f>IFERROR(VLOOKUP(B354,'03. THIẾT BỊ'!$B$1:$S$836,13,0),"")</f>
        <v>THACO AGRI</v>
      </c>
      <c r="O354" s="24" t="str">
        <f>IFERROR(VLOOKUP(B354,'03. THIẾT BỊ'!$B$1:$S$836,14,0),"")</f>
        <v>Đĩa quay</v>
      </c>
      <c r="P354" s="25" t="str">
        <f>IFERROR(VLOOKUP(B354,'03. THIẾT BỊ'!$B$1:$S$836,15,0),"")</f>
        <v>CK-CGH</v>
      </c>
      <c r="Q354" s="23">
        <f>IFERROR(VLOOKUP(B354,'03. THIẾT BỊ'!$B$1:$S$836,16,0),"")</f>
        <v>2024</v>
      </c>
      <c r="R354" s="25" t="str">
        <f>IFERROR(VLOOKUP(B354,'03. THIẾT BỊ'!$B$1:$S$836,17,0),"")</f>
        <v>2x2.3x1.4</v>
      </c>
      <c r="S354" s="25">
        <f>IFERROR(VLOOKUP(B354,'03. THIẾT BỊ'!$B$1:$S$836,18,0),"")</f>
        <v>0</v>
      </c>
      <c r="T354" s="41"/>
    </row>
    <row r="355" ht="27" customHeight="1" spans="1:20">
      <c r="A355" s="19">
        <f t="shared" si="17"/>
        <v>11</v>
      </c>
      <c r="B355" s="38" t="s">
        <v>5638</v>
      </c>
      <c r="C355" s="613" t="str">
        <f>IFERROR(VLOOKUP(B355,'03. THIẾT BỊ'!$B$1:$S$836,2,0),"")</f>
        <v>CK-DCC-02</v>
      </c>
      <c r="D355" s="24" t="str">
        <f>IFERROR(VLOOKUP(B355,'03. THIẾT BỊ'!$B$1:$S$836,3,0),"")</f>
        <v>A22-CĐQ-002</v>
      </c>
      <c r="E355" s="20" t="str">
        <f>IFERROR(VLOOKUP(B355,'03. THIẾT BỊ'!$B$1:$S$836,4,0),"")</f>
        <v>ĐQSD</v>
      </c>
      <c r="F355" s="20" t="str">
        <f>IFERROR(VLOOKUP(B355,'03. THIẾT BỊ'!$B$1:$S$836,5,0),"")</f>
        <v>Thiết bị cắt cỏ đĩa quay</v>
      </c>
      <c r="G355" s="101" t="s">
        <v>6468</v>
      </c>
      <c r="H355" s="19" t="str">
        <f>IFERROR(VLOOKUP(B355,'03. THIẾT BỊ'!$B$1:$S$836,7,0),"")</f>
        <v>XN Bò AD</v>
      </c>
      <c r="I355" s="610" t="str">
        <f>IFERROR(VLOOKUP(B355,'03. THIẾT BỊ'!$B$1:$S$836,8,0),"")</f>
        <v>31/10/2024</v>
      </c>
      <c r="J355" s="25"/>
      <c r="K355" s="19" t="str">
        <f>IFERROR(VLOOKUP(B355,'03. THIẾT BỊ'!$B$1:$S$836,10,0),"")</f>
        <v>Bình thường</v>
      </c>
      <c r="L355" s="25">
        <f>IFERROR(VLOOKUP(B355,'03. THIẾT BỊ'!$B$1:$S$836,11,0),"")</f>
        <v>0</v>
      </c>
      <c r="M355" s="24" t="str">
        <f>IFERROR(VLOOKUP(B355,'03. THIẾT BỊ'!$B$1:$S$836,12,0),"")</f>
        <v>Gia công mới</v>
      </c>
      <c r="N355" s="25" t="str">
        <f>IFERROR(VLOOKUP(B355,'03. THIẾT BỊ'!$B$1:$S$836,13,0),"")</f>
        <v>THACO AGRI</v>
      </c>
      <c r="O355" s="24" t="str">
        <f>IFERROR(VLOOKUP(B355,'03. THIẾT BỊ'!$B$1:$S$836,14,0),"")</f>
        <v>Đĩa quay</v>
      </c>
      <c r="P355" s="25" t="str">
        <f>IFERROR(VLOOKUP(B355,'03. THIẾT BỊ'!$B$1:$S$836,15,0),"")</f>
        <v>CK-CGH</v>
      </c>
      <c r="Q355" s="23">
        <f>IFERROR(VLOOKUP(B355,'03. THIẾT BỊ'!$B$1:$S$836,16,0),"")</f>
        <v>0</v>
      </c>
      <c r="R355" s="25">
        <f>IFERROR(VLOOKUP(B355,'03. THIẾT BỊ'!$B$1:$S$836,17,0),"")</f>
        <v>0</v>
      </c>
      <c r="S355" s="25">
        <f>IFERROR(VLOOKUP(B355,'03. THIẾT BỊ'!$B$1:$S$836,18,0),"")</f>
        <v>0</v>
      </c>
      <c r="T355" s="41"/>
    </row>
    <row r="356" ht="27" customHeight="1" spans="1:20">
      <c r="A356" s="19">
        <f t="shared" si="17"/>
        <v>12</v>
      </c>
      <c r="B356" s="38" t="s">
        <v>5642</v>
      </c>
      <c r="C356" s="613" t="str">
        <f>IFERROR(VLOOKUP(B356,'03. THIẾT BỊ'!$B$1:$S$836,2,0),"")</f>
        <v>CK-DCC-03</v>
      </c>
      <c r="D356" s="24" t="str">
        <f>IFERROR(VLOOKUP(B356,'03. THIẾT BỊ'!$B$1:$S$836,3,0),"")</f>
        <v>A22-CĐQ-003</v>
      </c>
      <c r="E356" s="20" t="str">
        <f>IFERROR(VLOOKUP(B356,'03. THIẾT BỊ'!$B$1:$S$836,4,0),"")</f>
        <v>ĐQSD</v>
      </c>
      <c r="F356" s="20" t="str">
        <f>IFERROR(VLOOKUP(B356,'03. THIẾT BỊ'!$B$1:$S$836,5,0),"")</f>
        <v>Thiết bị cắt cỏ đĩa quay</v>
      </c>
      <c r="G356" s="101" t="s">
        <v>6468</v>
      </c>
      <c r="H356" s="19" t="str">
        <f>IFERROR(VLOOKUP(B356,'03. THIẾT BỊ'!$B$1:$S$836,7,0),"")</f>
        <v>XN Bò AD</v>
      </c>
      <c r="I356" s="610" t="str">
        <f>IFERROR(VLOOKUP(B356,'03. THIẾT BỊ'!$B$1:$S$836,8,0),"")</f>
        <v>13/11/2024</v>
      </c>
      <c r="J356" s="25"/>
      <c r="K356" s="19" t="str">
        <f>IFERROR(VLOOKUP(B356,'03. THIẾT BỊ'!$B$1:$S$836,10,0),"")</f>
        <v>Bình thường</v>
      </c>
      <c r="L356" s="25">
        <f>IFERROR(VLOOKUP(B356,'03. THIẾT BỊ'!$B$1:$S$836,11,0),"")</f>
        <v>0</v>
      </c>
      <c r="M356" s="24" t="str">
        <f>IFERROR(VLOOKUP(B356,'03. THIẾT BỊ'!$B$1:$S$836,12,0),"")</f>
        <v>Gia công mới</v>
      </c>
      <c r="N356" s="25" t="str">
        <f>IFERROR(VLOOKUP(B356,'03. THIẾT BỊ'!$B$1:$S$836,13,0),"")</f>
        <v>THACO AGRI</v>
      </c>
      <c r="O356" s="24" t="str">
        <f>IFERROR(VLOOKUP(B356,'03. THIẾT BỊ'!$B$1:$S$836,14,0),"")</f>
        <v>CK-DCC-03</v>
      </c>
      <c r="P356" s="25" t="str">
        <f>IFERROR(VLOOKUP(B356,'03. THIẾT BỊ'!$B$1:$S$836,15,0),"")</f>
        <v>CK-CGH</v>
      </c>
      <c r="Q356" s="23">
        <f>IFERROR(VLOOKUP(B356,'03. THIẾT BỊ'!$B$1:$S$836,16,0),"")</f>
        <v>2024</v>
      </c>
      <c r="R356" s="25" t="str">
        <f>IFERROR(VLOOKUP(B356,'03. THIẾT BỊ'!$B$1:$S$836,17,0),"")</f>
        <v>2x2.3x1.4m</v>
      </c>
      <c r="S356" s="25">
        <f>IFERROR(VLOOKUP(B356,'03. THIẾT BỊ'!$B$1:$S$836,18,0),"")</f>
        <v>0</v>
      </c>
      <c r="T356" s="41"/>
    </row>
    <row r="357" ht="27" customHeight="1" spans="1:20">
      <c r="A357" s="19">
        <f t="shared" si="17"/>
        <v>13</v>
      </c>
      <c r="B357" s="38" t="s">
        <v>5647</v>
      </c>
      <c r="C357" s="613">
        <f>IFERROR(VLOOKUP(B357,'03. THIẾT BỊ'!$B$1:$S$836,2,0),"")</f>
        <v>0</v>
      </c>
      <c r="D357" s="24" t="str">
        <f>IFERROR(VLOOKUP(B357,'03. THIẾT BỊ'!$B$1:$S$836,3,0),"")</f>
        <v>A22-CĐQ-004</v>
      </c>
      <c r="E357" s="20" t="str">
        <f>IFERROR(VLOOKUP(B357,'03. THIẾT BỊ'!$B$1:$S$836,4,0),"")</f>
        <v>ĐQSD</v>
      </c>
      <c r="F357" s="20" t="str">
        <f>IFERROR(VLOOKUP(B357,'03. THIẾT BỊ'!$B$1:$S$836,5,0),"")</f>
        <v>Thiết bị cắt cỏ đĩa quay</v>
      </c>
      <c r="G357" s="101" t="s">
        <v>6468</v>
      </c>
      <c r="H357" s="19" t="str">
        <f>IFERROR(VLOOKUP(B357,'03. THIẾT BỊ'!$B$1:$S$836,7,0),"")</f>
        <v>XN Bò AD</v>
      </c>
      <c r="I357" s="610">
        <f>IFERROR(VLOOKUP(B357,'03. THIẾT BỊ'!$B$1:$S$836,8,0),"")</f>
        <v>45424</v>
      </c>
      <c r="J357" s="25"/>
      <c r="K357" s="19" t="str">
        <f>IFERROR(VLOOKUP(B357,'03. THIẾT BỊ'!$B$1:$S$836,10,0),"")</f>
        <v>Bình thường</v>
      </c>
      <c r="L357" s="25">
        <f>IFERROR(VLOOKUP(B357,'03. THIẾT BỊ'!$B$1:$S$836,11,0),"")</f>
        <v>0</v>
      </c>
      <c r="M357" s="24" t="str">
        <f>IFERROR(VLOOKUP(B357,'03. THIẾT BỊ'!$B$1:$S$836,12,0),"")</f>
        <v>Gia công mới</v>
      </c>
      <c r="N357" s="25" t="str">
        <f>IFERROR(VLOOKUP(B357,'03. THIẾT BỊ'!$B$1:$S$836,13,0),"")</f>
        <v>THACO AGRI</v>
      </c>
      <c r="O357" s="24" t="str">
        <f>IFERROR(VLOOKUP(B357,'03. THIẾT BỊ'!$B$1:$S$836,14,0),"")</f>
        <v>CK-DCC-CLT-01</v>
      </c>
      <c r="P357" s="25" t="str">
        <f>IFERROR(VLOOKUP(B357,'03. THIẾT BỊ'!$B$1:$S$836,15,0),"")</f>
        <v>CK-CGH</v>
      </c>
      <c r="Q357" s="23">
        <f>IFERROR(VLOOKUP(B357,'03. THIẾT BỊ'!$B$1:$S$836,16,0),"")</f>
        <v>2024</v>
      </c>
      <c r="R357" s="25">
        <f>IFERROR(VLOOKUP(B357,'03. THIẾT BỊ'!$B$1:$S$836,17,0),"")</f>
        <v>0</v>
      </c>
      <c r="S357" s="25">
        <f>IFERROR(VLOOKUP(B357,'03. THIẾT BỊ'!$B$1:$S$836,18,0),"")</f>
        <v>0</v>
      </c>
      <c r="T357" s="41"/>
    </row>
    <row r="358" ht="23.25" customHeight="1" spans="1:20">
      <c r="A358" s="19">
        <f t="shared" si="17"/>
        <v>14</v>
      </c>
      <c r="B358" s="20" t="s">
        <v>5455</v>
      </c>
      <c r="C358" s="613">
        <f>IFERROR(VLOOKUP(B358,'03. THIẾT BỊ'!$B$1:$S$836,2,0),"")</f>
        <v>0</v>
      </c>
      <c r="D358" s="24" t="str">
        <f>IFERROR(VLOOKUP(B358,'03. THIẾT BỊ'!$B$1:$S$836,3,0),"")</f>
        <v>A22-CCG-001</v>
      </c>
      <c r="E358" s="20" t="str">
        <f>IFERROR(VLOOKUP(B358,'03. THIẾT BỊ'!$B$1:$S$836,4,0),"")</f>
        <v>ĐQSD</v>
      </c>
      <c r="F358" s="20" t="str">
        <f>IFERROR(VLOOKUP(B358,'03. THIẾT BỊ'!$B$1:$S$836,5,0),"")</f>
        <v>Cắt cỏ gốc</v>
      </c>
      <c r="G358" s="101" t="s">
        <v>6468</v>
      </c>
      <c r="H358" s="19" t="str">
        <f>IFERROR(VLOOKUP(B358,'03. THIẾT BỊ'!$B$1:$S$836,7,0),"")</f>
        <v>XN Bò AD</v>
      </c>
      <c r="I358" s="610">
        <f>IFERROR(VLOOKUP(B358,'03. THIẾT BỊ'!$B$1:$S$836,8,0),"")</f>
        <v>0</v>
      </c>
      <c r="J358" s="25"/>
      <c r="K358" s="19" t="str">
        <f>IFERROR(VLOOKUP(B358,'03. THIẾT BỊ'!$B$1:$S$836,10,0),"")</f>
        <v>Bình thường</v>
      </c>
      <c r="L358" s="25">
        <f>IFERROR(VLOOKUP(B358,'03. THIẾT BỊ'!$B$1:$S$836,11,0),"")</f>
        <v>0</v>
      </c>
      <c r="M358" s="24">
        <f>IFERROR(VLOOKUP(B358,'03. THIẾT BỊ'!$B$1:$S$836,12,0),"")</f>
        <v>0</v>
      </c>
      <c r="N358" s="25" t="str">
        <f>IFERROR(VLOOKUP(B358,'03. THIẾT BỊ'!$B$1:$S$836,13,0),"")</f>
        <v>THACO AGRI</v>
      </c>
      <c r="O358" s="24">
        <f>IFERROR(VLOOKUP(B358,'03. THIẾT BỊ'!$B$1:$S$836,14,0),"")</f>
        <v>0</v>
      </c>
      <c r="P358" s="25" t="str">
        <f>IFERROR(VLOOKUP(B358,'03. THIẾT BỊ'!$B$1:$S$836,15,0),"")</f>
        <v>CK-CGH</v>
      </c>
      <c r="Q358" s="23">
        <f>IFERROR(VLOOKUP(B358,'03. THIẾT BỊ'!$B$1:$S$836,16,0),"")</f>
        <v>0</v>
      </c>
      <c r="R358" s="25">
        <f>IFERROR(VLOOKUP(B358,'03. THIẾT BỊ'!$B$1:$S$836,17,0),"")</f>
        <v>0</v>
      </c>
      <c r="S358" s="25">
        <f>IFERROR(VLOOKUP(B358,'03. THIẾT BỊ'!$B$1:$S$836,18,0),"")</f>
        <v>0</v>
      </c>
      <c r="T358" s="41"/>
    </row>
    <row r="359" ht="23.25" customHeight="1" spans="1:20">
      <c r="A359" s="19">
        <f t="shared" si="17"/>
        <v>15</v>
      </c>
      <c r="B359" s="20" t="s">
        <v>5458</v>
      </c>
      <c r="C359" s="613">
        <f>IFERROR(VLOOKUP(B359,'03. THIẾT BỊ'!$B$1:$S$836,2,0),"")</f>
        <v>0</v>
      </c>
      <c r="D359" s="24" t="str">
        <f>IFERROR(VLOOKUP(B359,'03. THIẾT BỊ'!$B$1:$S$836,3,0),"")</f>
        <v>A22-CCG-002</v>
      </c>
      <c r="E359" s="20" t="str">
        <f>IFERROR(VLOOKUP(B359,'03. THIẾT BỊ'!$B$1:$S$836,4,0),"")</f>
        <v>ĐQSD</v>
      </c>
      <c r="F359" s="20" t="str">
        <f>IFERROR(VLOOKUP(B359,'03. THIẾT BỊ'!$B$1:$S$836,5,0),"")</f>
        <v>Cắt cỏ gốc</v>
      </c>
      <c r="G359" s="101" t="s">
        <v>6468</v>
      </c>
      <c r="H359" s="19" t="str">
        <f>IFERROR(VLOOKUP(B359,'03. THIẾT BỊ'!$B$1:$S$836,7,0),"")</f>
        <v>XN Bò AD</v>
      </c>
      <c r="I359" s="610">
        <f>IFERROR(VLOOKUP(B359,'03. THIẾT BỊ'!$B$1:$S$836,8,0),"")</f>
        <v>0</v>
      </c>
      <c r="J359" s="25"/>
      <c r="K359" s="19" t="str">
        <f>IFERROR(VLOOKUP(B359,'03. THIẾT BỊ'!$B$1:$S$836,10,0),"")</f>
        <v>Hư hỏng</v>
      </c>
      <c r="L359" s="25">
        <f>IFERROR(VLOOKUP(B359,'03. THIẾT BỊ'!$B$1:$S$836,11,0),"")</f>
        <v>0</v>
      </c>
      <c r="M359" s="24">
        <f>IFERROR(VLOOKUP(B359,'03. THIẾT BỊ'!$B$1:$S$836,12,0),"")</f>
        <v>0</v>
      </c>
      <c r="N359" s="25" t="str">
        <f>IFERROR(VLOOKUP(B359,'03. THIẾT BỊ'!$B$1:$S$836,13,0),"")</f>
        <v>THACO AGRI</v>
      </c>
      <c r="O359" s="24">
        <f>IFERROR(VLOOKUP(B359,'03. THIẾT BỊ'!$B$1:$S$836,14,0),"")</f>
        <v>0</v>
      </c>
      <c r="P359" s="25" t="str">
        <f>IFERROR(VLOOKUP(B359,'03. THIẾT BỊ'!$B$1:$S$836,15,0),"")</f>
        <v>CK-CGH</v>
      </c>
      <c r="Q359" s="23">
        <f>IFERROR(VLOOKUP(B359,'03. THIẾT BỊ'!$B$1:$S$836,16,0),"")</f>
        <v>0</v>
      </c>
      <c r="R359" s="25">
        <f>IFERROR(VLOOKUP(B359,'03. THIẾT BỊ'!$B$1:$S$836,17,0),"")</f>
        <v>0</v>
      </c>
      <c r="S359" s="25">
        <f>IFERROR(VLOOKUP(B359,'03. THIẾT BỊ'!$B$1:$S$836,18,0),"")</f>
        <v>0</v>
      </c>
      <c r="T359" s="41"/>
    </row>
    <row r="360" ht="63" customHeight="1" spans="1:20">
      <c r="A360" s="19">
        <f t="shared" si="17"/>
        <v>16</v>
      </c>
      <c r="B360" s="38" t="s">
        <v>5623</v>
      </c>
      <c r="C360" s="613">
        <f>IFERROR(VLOOKUP(B360,'03. THIẾT BỊ'!$B$1:$S$836,2,0),"")</f>
        <v>0</v>
      </c>
      <c r="D360" s="24" t="str">
        <f>IFERROR(VLOOKUP(B360,'03. THIẾT BỊ'!$B$1:$S$836,3,0),"")</f>
        <v>A22-DCC-001</v>
      </c>
      <c r="E360" s="20" t="str">
        <f>IFERROR(VLOOKUP(B360,'03. THIẾT BỊ'!$B$1:$S$836,4,0),"")</f>
        <v>MUA MỚI</v>
      </c>
      <c r="F360" s="20" t="str">
        <f>IFERROR(VLOOKUP(B360,'03. THIẾT BỊ'!$B$1:$S$836,5,0),"")</f>
        <v>Thiết bị cắt cỏ - Mower</v>
      </c>
      <c r="G360" s="101" t="s">
        <v>6468</v>
      </c>
      <c r="H360" s="19" t="str">
        <f>IFERROR(VLOOKUP(B360,'03. THIẾT BỊ'!$B$1:$S$836,7,0),"")</f>
        <v>XN Bò AD</v>
      </c>
      <c r="I360" s="610" t="str">
        <f>IFERROR(VLOOKUP(B360,'03. THIẾT BỊ'!$B$1:$S$836,8,0),"")</f>
        <v>18/06/2024</v>
      </c>
      <c r="J360" s="25"/>
      <c r="K360" s="19" t="str">
        <f>IFERROR(VLOOKUP(B360,'03. THIẾT BỊ'!$B$1:$S$836,10,0),"")</f>
        <v>Bình thường</v>
      </c>
      <c r="L360" s="25">
        <f>IFERROR(VLOOKUP(B360,'03. THIẾT BỊ'!$B$1:$S$836,11,0),"")</f>
        <v>0</v>
      </c>
      <c r="M360" s="24" t="str">
        <f>IFERROR(VLOOKUP(B360,'03. THIẾT BỊ'!$B$1:$S$836,12,0),"")</f>
        <v>Đầu tư mới</v>
      </c>
      <c r="N360" s="25" t="str">
        <f>IFERROR(VLOOKUP(B360,'03. THIẾT BỊ'!$B$1:$S$836,13,0),"")</f>
        <v>TRUNG QUỐC</v>
      </c>
      <c r="O360" s="24" t="str">
        <f>IFERROR(VLOOKUP(B360,'03. THIẾT BỊ'!$B$1:$S$836,14,0),"")</f>
        <v>Mower</v>
      </c>
      <c r="P360" s="25" t="str">
        <f>IFERROR(VLOOKUP(B360,'03. THIẾT BỊ'!$B$1:$S$836,15,0),"")</f>
        <v>TRUNG QUỐC</v>
      </c>
      <c r="Q360" s="23">
        <f>IFERROR(VLOOKUP(B360,'03. THIẾT BỊ'!$B$1:$S$836,16,0),"")</f>
        <v>2024</v>
      </c>
      <c r="R360" s="25" t="str">
        <f>IFERROR(VLOOKUP(B360,'03. THIẾT BỊ'!$B$1:$S$836,17,0),"")</f>
        <v>Bề rộng cắt cỏ 185-3210cm
Chiều rộng tạo hàng cỏ sau khi cắt 80-90cm
Công suất 60-90HP</v>
      </c>
      <c r="S360" s="25">
        <f>IFERROR(VLOOKUP(B360,'03. THIẾT BỊ'!$B$1:$S$836,18,0),"")</f>
        <v>0</v>
      </c>
      <c r="T360" s="41"/>
    </row>
    <row r="361" ht="63" customHeight="1" spans="1:20">
      <c r="A361" s="19">
        <f t="shared" si="17"/>
        <v>17</v>
      </c>
      <c r="B361" s="38" t="s">
        <v>5628</v>
      </c>
      <c r="C361" s="613">
        <f>IFERROR(VLOOKUP(B361,'03. THIẾT BỊ'!$B$1:$S$836,2,0),"")</f>
        <v>0</v>
      </c>
      <c r="D361" s="24" t="str">
        <f>IFERROR(VLOOKUP(B361,'03. THIẾT BỊ'!$B$1:$S$836,3,0),"")</f>
        <v>A22-DCC-002</v>
      </c>
      <c r="E361" s="20" t="str">
        <f>IFERROR(VLOOKUP(B361,'03. THIẾT BỊ'!$B$1:$S$836,4,0),"")</f>
        <v>MUA MỚI</v>
      </c>
      <c r="F361" s="20" t="str">
        <f>IFERROR(VLOOKUP(B361,'03. THIẾT BỊ'!$B$1:$S$836,5,0),"")</f>
        <v>Thiết bị cắt cỏ - Mower</v>
      </c>
      <c r="G361" s="101" t="s">
        <v>6468</v>
      </c>
      <c r="H361" s="19" t="str">
        <f>IFERROR(VLOOKUP(B361,'03. THIẾT BỊ'!$B$1:$S$836,7,0),"")</f>
        <v>XN Bò AD</v>
      </c>
      <c r="I361" s="610" t="str">
        <f>IFERROR(VLOOKUP(B361,'03. THIẾT BỊ'!$B$1:$S$836,8,0),"")</f>
        <v>21/10/2024</v>
      </c>
      <c r="J361" s="25"/>
      <c r="K361" s="19" t="str">
        <f>IFERROR(VLOOKUP(B361,'03. THIẾT BỊ'!$B$1:$S$836,10,0),"")</f>
        <v>Bình thường</v>
      </c>
      <c r="L361" s="25">
        <f>IFERROR(VLOOKUP(B361,'03. THIẾT BỊ'!$B$1:$S$836,11,0),"")</f>
        <v>0</v>
      </c>
      <c r="M361" s="24" t="str">
        <f>IFERROR(VLOOKUP(B361,'03. THIẾT BỊ'!$B$1:$S$836,12,0),"")</f>
        <v>Đầu tư mới</v>
      </c>
      <c r="N361" s="25" t="str">
        <f>IFERROR(VLOOKUP(B361,'03. THIẾT BỊ'!$B$1:$S$836,13,0),"")</f>
        <v>TRUNG QUỐC</v>
      </c>
      <c r="O361" s="24" t="str">
        <f>IFERROR(VLOOKUP(B361,'03. THIẾT BỊ'!$B$1:$S$836,14,0),"")</f>
        <v>Mower</v>
      </c>
      <c r="P361" s="25" t="str">
        <f>IFERROR(VLOOKUP(B361,'03. THIẾT BỊ'!$B$1:$S$836,15,0),"")</f>
        <v>TRUNG QUỐC</v>
      </c>
      <c r="Q361" s="23">
        <f>IFERROR(VLOOKUP(B361,'03. THIẾT BỊ'!$B$1:$S$836,16,0),"")</f>
        <v>2024</v>
      </c>
      <c r="R361" s="25" t="str">
        <f>IFERROR(VLOOKUP(B361,'03. THIẾT BỊ'!$B$1:$S$836,17,0),"")</f>
        <v>Bề rộng cắt cỏ 185-3210cm
Chiều rộng tạo hàng cỏ sau khi cắt 80-90cm
Công suất 60-90HP</v>
      </c>
      <c r="S361" s="25">
        <f>IFERROR(VLOOKUP(B361,'03. THIẾT BỊ'!$B$1:$S$836,18,0),"")</f>
        <v>0</v>
      </c>
      <c r="T361" s="41"/>
    </row>
    <row r="362" ht="29.25" customHeight="1" spans="1:20">
      <c r="A362" s="19">
        <f t="shared" si="17"/>
        <v>18</v>
      </c>
      <c r="B362" s="20" t="s">
        <v>5619</v>
      </c>
      <c r="C362" s="613" t="str">
        <f>IFERROR(VLOOKUP(B362,'03. THIẾT BỊ'!$B$1:$S$836,2,0),"")</f>
        <v>CK-DXC-01</v>
      </c>
      <c r="D362" s="24" t="str">
        <f>IFERROR(VLOOKUP(B362,'03. THIẾT BỊ'!$B$1:$S$836,3,0),"")</f>
        <v>A22-DXC-001</v>
      </c>
      <c r="E362" s="20" t="str">
        <f>IFERROR(VLOOKUP(B362,'03. THIẾT BỊ'!$B$1:$S$836,4,0),"")</f>
        <v>ĐQSD</v>
      </c>
      <c r="F362" s="20" t="str">
        <f>IFERROR(VLOOKUP(B362,'03. THIẾT BỊ'!$B$1:$S$836,5,0),"")</f>
        <v>Thiết bị xới cỏ</v>
      </c>
      <c r="G362" s="101" t="s">
        <v>6468</v>
      </c>
      <c r="H362" s="19" t="str">
        <f>IFERROR(VLOOKUP(B362,'03. THIẾT BỊ'!$B$1:$S$836,7,0),"")</f>
        <v>XN Bò AD</v>
      </c>
      <c r="I362" s="610">
        <f>IFERROR(VLOOKUP(B362,'03. THIẾT BỊ'!$B$1:$S$836,8,0),"")</f>
        <v>45515</v>
      </c>
      <c r="J362" s="25"/>
      <c r="K362" s="19" t="str">
        <f>IFERROR(VLOOKUP(B362,'03. THIẾT BỊ'!$B$1:$S$836,10,0),"")</f>
        <v>Bình thường</v>
      </c>
      <c r="L362" s="25">
        <f>IFERROR(VLOOKUP(B362,'03. THIẾT BỊ'!$B$1:$S$836,11,0),"")</f>
        <v>0</v>
      </c>
      <c r="M362" s="24" t="str">
        <f>IFERROR(VLOOKUP(B362,'03. THIẾT BỊ'!$B$1:$S$836,12,0),"")</f>
        <v>Gia công mới</v>
      </c>
      <c r="N362" s="25" t="str">
        <f>IFERROR(VLOOKUP(B362,'03. THIẾT BỊ'!$B$1:$S$836,13,0),"")</f>
        <v>THACO AGRI</v>
      </c>
      <c r="O362" s="24" t="str">
        <f>IFERROR(VLOOKUP(B362,'03. THIẾT BỊ'!$B$1:$S$836,14,0),"")</f>
        <v>CK-DXC-01</v>
      </c>
      <c r="P362" s="25" t="str">
        <f>IFERROR(VLOOKUP(B362,'03. THIẾT BỊ'!$B$1:$S$836,15,0),"")</f>
        <v>CK-CGH</v>
      </c>
      <c r="Q362" s="23">
        <f>IFERROR(VLOOKUP(B362,'03. THIẾT BỊ'!$B$1:$S$836,16,0),"")</f>
        <v>2024</v>
      </c>
      <c r="R362" s="25" t="str">
        <f>IFERROR(VLOOKUP(B362,'03. THIẾT BỊ'!$B$1:$S$836,17,0),"")</f>
        <v>3x3x1,4m</v>
      </c>
      <c r="S362" s="25">
        <f>IFERROR(VLOOKUP(B362,'03. THIẾT BỊ'!$B$1:$S$836,18,0),"")</f>
        <v>0</v>
      </c>
      <c r="T362" s="41"/>
    </row>
    <row r="363" customHeight="1" spans="1:20">
      <c r="A363" s="19"/>
      <c r="B363" s="20"/>
      <c r="C363" s="613" t="str">
        <f>IFERROR(VLOOKUP(B363,'03. THIẾT BỊ'!$B$1:$S$836,2,0),"")</f>
        <v/>
      </c>
      <c r="D363" s="24" t="str">
        <f>IFERROR(VLOOKUP(B363,'03. THIẾT BỊ'!$B$1:$S$836,3,0),"")</f>
        <v/>
      </c>
      <c r="E363" s="20" t="str">
        <f>IFERROR(VLOOKUP(B363,'03. THIẾT BỊ'!$B$1:$S$836,4,0),"")</f>
        <v/>
      </c>
      <c r="F363" s="20" t="str">
        <f>IFERROR(VLOOKUP(B363,'03. THIẾT BỊ'!$B$1:$S$836,5,0),"")</f>
        <v/>
      </c>
      <c r="G363" s="101" t="s">
        <v>6468</v>
      </c>
      <c r="H363" s="19" t="str">
        <f>IFERROR(VLOOKUP(B363,'03. THIẾT BỊ'!$B$1:$S$836,7,0),"")</f>
        <v/>
      </c>
      <c r="I363" s="610" t="str">
        <f>IFERROR(VLOOKUP(B363,'03. THIẾT BỊ'!$B$1:$S$836,8,0),"")</f>
        <v/>
      </c>
      <c r="J363" s="25"/>
      <c r="K363" s="19" t="str">
        <f>IFERROR(VLOOKUP(B363,'03. THIẾT BỊ'!$B$1:$S$836,10,0),"")</f>
        <v/>
      </c>
      <c r="L363" s="25" t="str">
        <f>IFERROR(VLOOKUP(B363,'03. THIẾT BỊ'!$B$1:$S$836,11,0),"")</f>
        <v/>
      </c>
      <c r="M363" s="24" t="str">
        <f>IFERROR(VLOOKUP(B363,'03. THIẾT BỊ'!$B$1:$S$836,12,0),"")</f>
        <v/>
      </c>
      <c r="N363" s="25" t="str">
        <f>IFERROR(VLOOKUP(B363,'03. THIẾT BỊ'!$B$1:$S$836,13,0),"")</f>
        <v/>
      </c>
      <c r="O363" s="24" t="str">
        <f>IFERROR(VLOOKUP(B363,'03. THIẾT BỊ'!$B$1:$S$836,14,0),"")</f>
        <v/>
      </c>
      <c r="P363" s="25" t="str">
        <f>IFERROR(VLOOKUP(B363,'03. THIẾT BỊ'!$B$1:$S$836,15,0),"")</f>
        <v/>
      </c>
      <c r="Q363" s="23" t="str">
        <f>IFERROR(VLOOKUP(B363,'03. THIẾT BỊ'!$B$1:$S$836,16,0),"")</f>
        <v/>
      </c>
      <c r="R363" s="25" t="str">
        <f>IFERROR(VLOOKUP(B363,'03. THIẾT BỊ'!$B$1:$S$836,17,0),"")</f>
        <v/>
      </c>
      <c r="S363" s="25" t="str">
        <f>IFERROR(VLOOKUP(B363,'03. THIẾT BỊ'!$B$1:$S$836,18,0),"")</f>
        <v/>
      </c>
      <c r="T363" s="615"/>
    </row>
    <row r="364" hidden="1" customHeight="1" spans="1:20">
      <c r="A364" s="19"/>
      <c r="B364" s="20"/>
      <c r="C364" s="613" t="str">
        <f>IFERROR(VLOOKUP(B364,'03. THIẾT BỊ'!$B$1:$S$836,2,0),"")</f>
        <v/>
      </c>
      <c r="D364" s="24" t="str">
        <f>IFERROR(VLOOKUP(B364,'03. THIẾT BỊ'!$B$1:$S$836,3,0),"")</f>
        <v/>
      </c>
      <c r="E364" s="20" t="str">
        <f>IFERROR(VLOOKUP(B364,'03. THIẾT BỊ'!$B$1:$S$836,4,0),"")</f>
        <v/>
      </c>
      <c r="F364" s="20" t="str">
        <f>IFERROR(VLOOKUP(B364,'03. THIẾT BỊ'!$B$1:$S$836,5,0),"")</f>
        <v/>
      </c>
      <c r="G364" s="101" t="s">
        <v>6468</v>
      </c>
      <c r="H364" s="19" t="str">
        <f>IFERROR(VLOOKUP(B364,'03. THIẾT BỊ'!$B$1:$S$836,7,0),"")</f>
        <v/>
      </c>
      <c r="I364" s="610" t="str">
        <f>IFERROR(VLOOKUP(B364,'03. THIẾT BỊ'!$B$1:$S$836,8,0),"")</f>
        <v/>
      </c>
      <c r="J364" s="25"/>
      <c r="K364" s="19" t="str">
        <f>IFERROR(VLOOKUP(B364,'03. THIẾT BỊ'!$B$1:$S$836,10,0),"")</f>
        <v/>
      </c>
      <c r="L364" s="25" t="str">
        <f>IFERROR(VLOOKUP(B364,'03. THIẾT BỊ'!$B$1:$S$836,11,0),"")</f>
        <v/>
      </c>
      <c r="M364" s="24" t="str">
        <f>IFERROR(VLOOKUP(B364,'03. THIẾT BỊ'!$B$1:$S$836,12,0),"")</f>
        <v/>
      </c>
      <c r="N364" s="25" t="str">
        <f>IFERROR(VLOOKUP(B364,'03. THIẾT BỊ'!$B$1:$S$836,13,0),"")</f>
        <v/>
      </c>
      <c r="O364" s="24" t="str">
        <f>IFERROR(VLOOKUP(B364,'03. THIẾT BỊ'!$B$1:$S$836,14,0),"")</f>
        <v/>
      </c>
      <c r="P364" s="25" t="str">
        <f>IFERROR(VLOOKUP(B364,'03. THIẾT BỊ'!$B$1:$S$836,15,0),"")</f>
        <v/>
      </c>
      <c r="Q364" s="23" t="str">
        <f>IFERROR(VLOOKUP(B364,'03. THIẾT BỊ'!$B$1:$S$836,16,0),"")</f>
        <v/>
      </c>
      <c r="R364" s="25" t="str">
        <f>IFERROR(VLOOKUP(B364,'03. THIẾT BỊ'!$B$1:$S$836,17,0),"")</f>
        <v/>
      </c>
      <c r="S364" s="25" t="str">
        <f>IFERROR(VLOOKUP(B364,'03. THIẾT BỊ'!$B$1:$S$836,18,0),"")</f>
        <v/>
      </c>
      <c r="T364" s="615"/>
    </row>
    <row r="365" hidden="1" customHeight="1" spans="1:20">
      <c r="A365" s="19"/>
      <c r="B365" s="20"/>
      <c r="C365" s="613" t="str">
        <f>IFERROR(VLOOKUP(B365,'03. THIẾT BỊ'!$B$1:$S$836,2,0),"")</f>
        <v/>
      </c>
      <c r="D365" s="24" t="str">
        <f>IFERROR(VLOOKUP(B365,'03. THIẾT BỊ'!$B$1:$S$836,3,0),"")</f>
        <v/>
      </c>
      <c r="E365" s="20" t="str">
        <f>IFERROR(VLOOKUP(B365,'03. THIẾT BỊ'!$B$1:$S$836,4,0),"")</f>
        <v/>
      </c>
      <c r="F365" s="20" t="str">
        <f>IFERROR(VLOOKUP(B365,'03. THIẾT BỊ'!$B$1:$S$836,5,0),"")</f>
        <v/>
      </c>
      <c r="G365" s="101" t="s">
        <v>6468</v>
      </c>
      <c r="H365" s="19" t="str">
        <f>IFERROR(VLOOKUP(B365,'03. THIẾT BỊ'!$B$1:$S$836,7,0),"")</f>
        <v/>
      </c>
      <c r="I365" s="610" t="str">
        <f>IFERROR(VLOOKUP(B365,'03. THIẾT BỊ'!$B$1:$S$836,8,0),"")</f>
        <v/>
      </c>
      <c r="J365" s="25"/>
      <c r="K365" s="19" t="str">
        <f>IFERROR(VLOOKUP(B365,'03. THIẾT BỊ'!$B$1:$S$836,10,0),"")</f>
        <v/>
      </c>
      <c r="L365" s="25" t="str">
        <f>IFERROR(VLOOKUP(B365,'03. THIẾT BỊ'!$B$1:$S$836,11,0),"")</f>
        <v/>
      </c>
      <c r="M365" s="24" t="str">
        <f>IFERROR(VLOOKUP(B365,'03. THIẾT BỊ'!$B$1:$S$836,12,0),"")</f>
        <v/>
      </c>
      <c r="N365" s="25" t="str">
        <f>IFERROR(VLOOKUP(B365,'03. THIẾT BỊ'!$B$1:$S$836,13,0),"")</f>
        <v/>
      </c>
      <c r="O365" s="24" t="str">
        <f>IFERROR(VLOOKUP(B365,'03. THIẾT BỊ'!$B$1:$S$836,14,0),"")</f>
        <v/>
      </c>
      <c r="P365" s="25" t="str">
        <f>IFERROR(VLOOKUP(B365,'03. THIẾT BỊ'!$B$1:$S$836,15,0),"")</f>
        <v/>
      </c>
      <c r="Q365" s="23" t="str">
        <f>IFERROR(VLOOKUP(B365,'03. THIẾT BỊ'!$B$1:$S$836,16,0),"")</f>
        <v/>
      </c>
      <c r="R365" s="25" t="str">
        <f>IFERROR(VLOOKUP(B365,'03. THIẾT BỊ'!$B$1:$S$836,17,0),"")</f>
        <v/>
      </c>
      <c r="S365" s="25" t="str">
        <f>IFERROR(VLOOKUP(B365,'03. THIẾT BỊ'!$B$1:$S$836,18,0),"")</f>
        <v/>
      </c>
      <c r="T365" s="615"/>
    </row>
    <row r="366" customHeight="1" spans="1:20">
      <c r="A366" s="14" t="s">
        <v>290</v>
      </c>
      <c r="B366" s="15" t="s">
        <v>6494</v>
      </c>
      <c r="C366" s="14">
        <f>COUNTA(B367:B393)</f>
        <v>26</v>
      </c>
      <c r="D366" s="17" t="str">
        <f>IFERROR(VLOOKUP(B366,'03. THIẾT BỊ'!$B$1:$S$836,3,0),"")</f>
        <v/>
      </c>
      <c r="E366" s="20" t="str">
        <f>IFERROR(VLOOKUP(B366,'03. THIẾT BỊ'!$B$1:$S$836,4,0),"")</f>
        <v/>
      </c>
      <c r="F366" s="17" t="str">
        <f>IFERROR(VLOOKUP(B366,'03. THIẾT BỊ'!$B$1:$S$836,5,0),"")</f>
        <v/>
      </c>
      <c r="G366" s="18" t="s">
        <v>6468</v>
      </c>
      <c r="H366" s="18" t="str">
        <f>IFERROR(VLOOKUP(B366,'03. THIẾT BỊ'!$B$1:$S$836,7,0),"")</f>
        <v/>
      </c>
      <c r="I366" s="14" t="str">
        <f>IFERROR(VLOOKUP(B366,'03. THIẾT BỊ'!$B$1:$S$836,8,0),"")</f>
        <v/>
      </c>
      <c r="J366" s="15"/>
      <c r="K366" s="14" t="str">
        <f>IFERROR(VLOOKUP(B366,'03. THIẾT BỊ'!$B$1:$S$836,10,0),"")</f>
        <v/>
      </c>
      <c r="L366" s="17" t="str">
        <f>IFERROR(VLOOKUP(B366,'03. THIẾT BỊ'!$B$1:$S$836,11,0),"")</f>
        <v/>
      </c>
      <c r="M366" s="16" t="str">
        <f>IFERROR(VLOOKUP(B366,'03. THIẾT BỊ'!$B$1:$S$836,12,0),"")</f>
        <v/>
      </c>
      <c r="N366" s="17" t="str">
        <f>IFERROR(VLOOKUP(B366,'03. THIẾT BỊ'!$B$1:$S$836,13,0),"")</f>
        <v/>
      </c>
      <c r="O366" s="16" t="str">
        <f>IFERROR(VLOOKUP(B366,'03. THIẾT BỊ'!$B$1:$S$836,14,0),"")</f>
        <v/>
      </c>
      <c r="P366" s="17" t="str">
        <f>IFERROR(VLOOKUP(B366,'03. THIẾT BỊ'!$B$1:$S$836,15,0),"")</f>
        <v/>
      </c>
      <c r="Q366" s="18" t="str">
        <f>IFERROR(VLOOKUP(B366,'03. THIẾT BỊ'!$B$1:$S$836,16,0),"")</f>
        <v/>
      </c>
      <c r="R366" s="17" t="str">
        <f>IFERROR(VLOOKUP(B366,'03. THIẾT BỊ'!$B$1:$S$836,17,0),"")</f>
        <v/>
      </c>
      <c r="S366" s="17" t="str">
        <f>IFERROR(VLOOKUP(B366,'03. THIẾT BỊ'!$B$1:$S$836,18,0),"")</f>
        <v/>
      </c>
      <c r="T366" s="609"/>
    </row>
    <row r="367" customHeight="1" spans="1:20">
      <c r="A367" s="19">
        <v>1</v>
      </c>
      <c r="B367" s="20" t="s">
        <v>4218</v>
      </c>
      <c r="C367" s="613" t="str">
        <f>IFERROR(VLOOKUP(B367,'03. THIẾT BỊ'!$B$1:$S$836,2,0),"")</f>
        <v>RMC 02- VC KLH</v>
      </c>
      <c r="D367" s="24" t="str">
        <f>IFERROR(VLOOKUP(B367,'03. THIẾT BỊ'!$B$1:$S$836,3,0),"")</f>
        <v>A23-RMC-001</v>
      </c>
      <c r="E367" s="20" t="str">
        <f>IFERROR(VLOOKUP(B367,'03. THIẾT BỊ'!$B$1:$S$836,4,0),"")</f>
        <v>ĐQSD</v>
      </c>
      <c r="F367" s="20" t="str">
        <f>IFERROR(VLOOKUP(B367,'03. THIẾT BỊ'!$B$1:$S$836,5,0),"")</f>
        <v>Rơ mooc thu hoạch</v>
      </c>
      <c r="G367" s="101" t="s">
        <v>6468</v>
      </c>
      <c r="H367" s="19" t="str">
        <f>IFERROR(VLOOKUP(B367,'03. THIẾT BỊ'!$B$1:$S$836,7,0),"")</f>
        <v>XN Chuối DP1</v>
      </c>
      <c r="I367" s="610">
        <f>IFERROR(VLOOKUP(B367,'03. THIẾT BỊ'!$B$1:$S$836,8,0),"")</f>
        <v>0</v>
      </c>
      <c r="J367" s="25"/>
      <c r="K367" s="19" t="str">
        <f>IFERROR(VLOOKUP(B367,'03. THIẾT BỊ'!$B$1:$S$836,10,0),"")</f>
        <v>Bình thường</v>
      </c>
      <c r="L367" s="25">
        <f>IFERROR(VLOOKUP(B367,'03. THIẾT BỊ'!$B$1:$S$836,11,0),"")</f>
        <v>0</v>
      </c>
      <c r="M367" s="24">
        <f>IFERROR(VLOOKUP(B367,'03. THIẾT BỊ'!$B$1:$S$836,12,0),"")</f>
        <v>0</v>
      </c>
      <c r="N367" s="25" t="str">
        <f>IFERROR(VLOOKUP(B367,'03. THIẾT BỊ'!$B$1:$S$836,13,0),"")</f>
        <v>THACO AGRI</v>
      </c>
      <c r="O367" s="24">
        <f>IFERROR(VLOOKUP(B367,'03. THIẾT BỊ'!$B$1:$S$836,14,0),"")</f>
        <v>0</v>
      </c>
      <c r="P367" s="25" t="str">
        <f>IFERROR(VLOOKUP(B367,'03. THIẾT BỊ'!$B$1:$S$836,15,0),"")</f>
        <v>CK-CGH</v>
      </c>
      <c r="Q367" s="23">
        <f>IFERROR(VLOOKUP(B367,'03. THIẾT BỊ'!$B$1:$S$836,16,0),"")</f>
        <v>0</v>
      </c>
      <c r="R367" s="25">
        <f>IFERROR(VLOOKUP(B367,'03. THIẾT BỊ'!$B$1:$S$836,17,0),"")</f>
        <v>0</v>
      </c>
      <c r="S367" s="25">
        <f>IFERROR(VLOOKUP(B367,'03. THIẾT BỊ'!$B$1:$S$836,18,0),"")</f>
        <v>44</v>
      </c>
      <c r="T367" s="41"/>
    </row>
    <row r="368" customHeight="1" spans="1:20">
      <c r="A368" s="19">
        <f t="shared" ref="A368:A392" si="18">A367+1</f>
        <v>2</v>
      </c>
      <c r="B368" s="20" t="s">
        <v>4220</v>
      </c>
      <c r="C368" s="613" t="str">
        <f>IFERROR(VLOOKUP(B368,'03. THIẾT BỊ'!$B$1:$S$836,2,0),"")</f>
        <v>RMC 03- VC KLH</v>
      </c>
      <c r="D368" s="24" t="str">
        <f>IFERROR(VLOOKUP(B368,'03. THIẾT BỊ'!$B$1:$S$836,3,0),"")</f>
        <v>A23-RMC-002</v>
      </c>
      <c r="E368" s="20" t="str">
        <f>IFERROR(VLOOKUP(B368,'03. THIẾT BỊ'!$B$1:$S$836,4,0),"")</f>
        <v>ĐQSD</v>
      </c>
      <c r="F368" s="20" t="str">
        <f>IFERROR(VLOOKUP(B368,'03. THIẾT BỊ'!$B$1:$S$836,5,0),"")</f>
        <v>Rơ mooc thu hoạch</v>
      </c>
      <c r="G368" s="101" t="s">
        <v>6468</v>
      </c>
      <c r="H368" s="19" t="str">
        <f>IFERROR(VLOOKUP(B368,'03. THIẾT BỊ'!$B$1:$S$836,7,0),"")</f>
        <v>XN Chuối DP1</v>
      </c>
      <c r="I368" s="610">
        <f>IFERROR(VLOOKUP(B368,'03. THIẾT BỊ'!$B$1:$S$836,8,0),"")</f>
        <v>0</v>
      </c>
      <c r="J368" s="25"/>
      <c r="K368" s="19" t="str">
        <f>IFERROR(VLOOKUP(B368,'03. THIẾT BỊ'!$B$1:$S$836,10,0),"")</f>
        <v>Bình thường</v>
      </c>
      <c r="L368" s="25">
        <f>IFERROR(VLOOKUP(B368,'03. THIẾT BỊ'!$B$1:$S$836,11,0),"")</f>
        <v>0</v>
      </c>
      <c r="M368" s="24">
        <f>IFERROR(VLOOKUP(B368,'03. THIẾT BỊ'!$B$1:$S$836,12,0),"")</f>
        <v>0</v>
      </c>
      <c r="N368" s="25" t="str">
        <f>IFERROR(VLOOKUP(B368,'03. THIẾT BỊ'!$B$1:$S$836,13,0),"")</f>
        <v>THACO AGRI</v>
      </c>
      <c r="O368" s="24">
        <f>IFERROR(VLOOKUP(B368,'03. THIẾT BỊ'!$B$1:$S$836,14,0),"")</f>
        <v>0</v>
      </c>
      <c r="P368" s="25" t="str">
        <f>IFERROR(VLOOKUP(B368,'03. THIẾT BỊ'!$B$1:$S$836,15,0),"")</f>
        <v>CK-CGH</v>
      </c>
      <c r="Q368" s="23">
        <f>IFERROR(VLOOKUP(B368,'03. THIẾT BỊ'!$B$1:$S$836,16,0),"")</f>
        <v>0</v>
      </c>
      <c r="R368" s="25">
        <f>IFERROR(VLOOKUP(B368,'03. THIẾT BỊ'!$B$1:$S$836,17,0),"")</f>
        <v>0</v>
      </c>
      <c r="S368" s="25">
        <f>IFERROR(VLOOKUP(B368,'03. THIẾT BỊ'!$B$1:$S$836,18,0),"")</f>
        <v>40</v>
      </c>
      <c r="T368" s="41"/>
    </row>
    <row r="369" customHeight="1" spans="1:20">
      <c r="A369" s="19">
        <f t="shared" si="18"/>
        <v>3</v>
      </c>
      <c r="B369" s="20" t="s">
        <v>4223</v>
      </c>
      <c r="C369" s="613" t="str">
        <f>IFERROR(VLOOKUP(B369,'03. THIẾT BỊ'!$B$1:$S$836,2,0),"")</f>
        <v>XA2-RMC-004</v>
      </c>
      <c r="D369" s="24">
        <f>IFERROR(VLOOKUP(B369,'03. THIẾT BỊ'!$B$1:$S$836,3,0),"")</f>
        <v>0</v>
      </c>
      <c r="E369" s="20" t="str">
        <f>IFERROR(VLOOKUP(B369,'03. THIẾT BỊ'!$B$1:$S$836,4,0),"")</f>
        <v>ĐQSD</v>
      </c>
      <c r="F369" s="20" t="str">
        <f>IFERROR(VLOOKUP(B369,'03. THIẾT BỊ'!$B$1:$S$836,5,0),"")</f>
        <v>Rơ mooc thu hoạch</v>
      </c>
      <c r="G369" s="101" t="s">
        <v>6468</v>
      </c>
      <c r="H369" s="19" t="str">
        <f>IFERROR(VLOOKUP(B369,'03. THIẾT BỊ'!$B$1:$S$836,7,0),"")</f>
        <v>XN Chuối DP1</v>
      </c>
      <c r="I369" s="610">
        <f>IFERROR(VLOOKUP(B369,'03. THIẾT BỊ'!$B$1:$S$836,8,0),"")</f>
        <v>0</v>
      </c>
      <c r="J369" s="25"/>
      <c r="K369" s="19" t="str">
        <f>IFERROR(VLOOKUP(B369,'03. THIẾT BỊ'!$B$1:$S$836,10,0),"")</f>
        <v>Bình thường</v>
      </c>
      <c r="L369" s="25" t="str">
        <f>IFERROR(VLOOKUP(B369,'03. THIẾT BỊ'!$B$1:$S$836,11,0),"")</f>
        <v>AD2 điều chuyển ngày 23/02/2025</v>
      </c>
      <c r="M369" s="24">
        <f>IFERROR(VLOOKUP(B369,'03. THIẾT BỊ'!$B$1:$S$836,12,0),"")</f>
        <v>0</v>
      </c>
      <c r="N369" s="25" t="str">
        <f>IFERROR(VLOOKUP(B369,'03. THIẾT BỊ'!$B$1:$S$836,13,0),"")</f>
        <v>THACO AGRI</v>
      </c>
      <c r="O369" s="24">
        <f>IFERROR(VLOOKUP(B369,'03. THIẾT BỊ'!$B$1:$S$836,14,0),"")</f>
        <v>0</v>
      </c>
      <c r="P369" s="25" t="str">
        <f>IFERROR(VLOOKUP(B369,'03. THIẾT BỊ'!$B$1:$S$836,15,0),"")</f>
        <v>CK-CGH</v>
      </c>
      <c r="Q369" s="23">
        <f>IFERROR(VLOOKUP(B369,'03. THIẾT BỊ'!$B$1:$S$836,16,0),"")</f>
        <v>0</v>
      </c>
      <c r="R369" s="25">
        <f>IFERROR(VLOOKUP(B369,'03. THIẾT BỊ'!$B$1:$S$836,17,0),"")</f>
        <v>0</v>
      </c>
      <c r="S369" s="25">
        <f>IFERROR(VLOOKUP(B369,'03. THIẾT BỊ'!$B$1:$S$836,18,0),"")</f>
        <v>0</v>
      </c>
      <c r="T369" s="41"/>
    </row>
    <row r="370" customHeight="1" spans="1:20">
      <c r="A370" s="19">
        <f t="shared" si="18"/>
        <v>4</v>
      </c>
      <c r="B370" s="20" t="s">
        <v>4389</v>
      </c>
      <c r="C370" s="613" t="str">
        <f>IFERROR(VLOOKUP(B370,'03. THIẾT BỊ'!$B$1:$S$836,2,0),"")</f>
        <v>RMC 04-VC KLH</v>
      </c>
      <c r="D370" s="24" t="str">
        <f>IFERROR(VLOOKUP(B370,'03. THIẾT BỊ'!$B$1:$S$836,3,0),"")</f>
        <v>A23-RMC-002</v>
      </c>
      <c r="E370" s="20" t="str">
        <f>IFERROR(VLOOKUP(B370,'03. THIẾT BỊ'!$B$1:$S$836,4,0),"")</f>
        <v>ĐQSD</v>
      </c>
      <c r="F370" s="20" t="str">
        <f>IFERROR(VLOOKUP(B370,'03. THIẾT BỊ'!$B$1:$S$836,5,0),"")</f>
        <v>Rơ mooc thu hoạch</v>
      </c>
      <c r="G370" s="101" t="s">
        <v>6468</v>
      </c>
      <c r="H370" s="19" t="str">
        <f>IFERROR(VLOOKUP(B370,'03. THIẾT BỊ'!$B$1:$S$836,7,0),"")</f>
        <v>XN Chuối DP2</v>
      </c>
      <c r="I370" s="610">
        <f>IFERROR(VLOOKUP(B370,'03. THIẾT BỊ'!$B$1:$S$836,8,0),"")</f>
        <v>0</v>
      </c>
      <c r="J370" s="25"/>
      <c r="K370" s="19" t="str">
        <f>IFERROR(VLOOKUP(B370,'03. THIẾT BỊ'!$B$1:$S$836,10,0),"")</f>
        <v>Bình thường</v>
      </c>
      <c r="L370" s="25">
        <f>IFERROR(VLOOKUP(B370,'03. THIẾT BỊ'!$B$1:$S$836,11,0),"")</f>
        <v>0</v>
      </c>
      <c r="M370" s="24">
        <f>IFERROR(VLOOKUP(B370,'03. THIẾT BỊ'!$B$1:$S$836,12,0),"")</f>
        <v>0</v>
      </c>
      <c r="N370" s="25" t="str">
        <f>IFERROR(VLOOKUP(B370,'03. THIẾT BỊ'!$B$1:$S$836,13,0),"")</f>
        <v>THACO AGRI</v>
      </c>
      <c r="O370" s="24">
        <f>IFERROR(VLOOKUP(B370,'03. THIẾT BỊ'!$B$1:$S$836,14,0),"")</f>
        <v>0</v>
      </c>
      <c r="P370" s="25" t="str">
        <f>IFERROR(VLOOKUP(B370,'03. THIẾT BỊ'!$B$1:$S$836,15,0),"")</f>
        <v>CK-CGH</v>
      </c>
      <c r="Q370" s="23">
        <f>IFERROR(VLOOKUP(B370,'03. THIẾT BỊ'!$B$1:$S$836,16,0),"")</f>
        <v>0</v>
      </c>
      <c r="R370" s="25">
        <f>IFERROR(VLOOKUP(B370,'03. THIẾT BỊ'!$B$1:$S$836,17,0),"")</f>
        <v>0</v>
      </c>
      <c r="S370" s="25">
        <f>IFERROR(VLOOKUP(B370,'03. THIẾT BỊ'!$B$1:$S$836,18,0),"")</f>
        <v>40</v>
      </c>
      <c r="T370" s="615"/>
    </row>
    <row r="371" customHeight="1" spans="1:20">
      <c r="A371" s="19">
        <f t="shared" si="18"/>
        <v>5</v>
      </c>
      <c r="B371" s="20" t="s">
        <v>4391</v>
      </c>
      <c r="C371" s="613" t="str">
        <f>IFERROR(VLOOKUP(B371,'03. THIẾT BỊ'!$B$1:$S$836,2,0),"")</f>
        <v>RMC 05-VC KLH</v>
      </c>
      <c r="D371" s="24" t="str">
        <f>IFERROR(VLOOKUP(B371,'03. THIẾT BỊ'!$B$1:$S$836,3,0),"")</f>
        <v>A23-RMC-003</v>
      </c>
      <c r="E371" s="20" t="str">
        <f>IFERROR(VLOOKUP(B371,'03. THIẾT BỊ'!$B$1:$S$836,4,0),"")</f>
        <v>ĐQSD</v>
      </c>
      <c r="F371" s="20" t="str">
        <f>IFERROR(VLOOKUP(B371,'03. THIẾT BỊ'!$B$1:$S$836,5,0),"")</f>
        <v>Rơ mooc thu hoạch</v>
      </c>
      <c r="G371" s="101" t="s">
        <v>6468</v>
      </c>
      <c r="H371" s="19" t="str">
        <f>IFERROR(VLOOKUP(B371,'03. THIẾT BỊ'!$B$1:$S$836,7,0),"")</f>
        <v>XN Chuối DP2</v>
      </c>
      <c r="I371" s="610">
        <f>IFERROR(VLOOKUP(B371,'03. THIẾT BỊ'!$B$1:$S$836,8,0),"")</f>
        <v>0</v>
      </c>
      <c r="J371" s="25"/>
      <c r="K371" s="19" t="str">
        <f>IFERROR(VLOOKUP(B371,'03. THIẾT BỊ'!$B$1:$S$836,10,0),"")</f>
        <v>Bình thường</v>
      </c>
      <c r="L371" s="25">
        <f>IFERROR(VLOOKUP(B371,'03. THIẾT BỊ'!$B$1:$S$836,11,0),"")</f>
        <v>0</v>
      </c>
      <c r="M371" s="24">
        <f>IFERROR(VLOOKUP(B371,'03. THIẾT BỊ'!$B$1:$S$836,12,0),"")</f>
        <v>0</v>
      </c>
      <c r="N371" s="25" t="str">
        <f>IFERROR(VLOOKUP(B371,'03. THIẾT BỊ'!$B$1:$S$836,13,0),"")</f>
        <v>THACO AGRI</v>
      </c>
      <c r="O371" s="24">
        <f>IFERROR(VLOOKUP(B371,'03. THIẾT BỊ'!$B$1:$S$836,14,0),"")</f>
        <v>0</v>
      </c>
      <c r="P371" s="25" t="str">
        <f>IFERROR(VLOOKUP(B371,'03. THIẾT BỊ'!$B$1:$S$836,15,0),"")</f>
        <v>CK-CGH</v>
      </c>
      <c r="Q371" s="23">
        <f>IFERROR(VLOOKUP(B371,'03. THIẾT BỊ'!$B$1:$S$836,16,0),"")</f>
        <v>0</v>
      </c>
      <c r="R371" s="25">
        <f>IFERROR(VLOOKUP(B371,'03. THIẾT BỊ'!$B$1:$S$836,17,0),"")</f>
        <v>0</v>
      </c>
      <c r="S371" s="25">
        <f>IFERROR(VLOOKUP(B371,'03. THIẾT BỊ'!$B$1:$S$836,18,0),"")</f>
        <v>40</v>
      </c>
      <c r="T371" s="615"/>
    </row>
    <row r="372" customHeight="1" spans="1:20">
      <c r="A372" s="19">
        <f t="shared" si="18"/>
        <v>6</v>
      </c>
      <c r="B372" s="20" t="s">
        <v>4394</v>
      </c>
      <c r="C372" s="613" t="str">
        <f>IFERROR(VLOOKUP(B372,'03. THIẾT BỊ'!$B$1:$S$836,2,0),"")</f>
        <v>RMC 06-VC KLH</v>
      </c>
      <c r="D372" s="24" t="str">
        <f>IFERROR(VLOOKUP(B372,'03. THIẾT BỊ'!$B$1:$S$836,3,0),"")</f>
        <v>A23-RMC-004</v>
      </c>
      <c r="E372" s="20" t="str">
        <f>IFERROR(VLOOKUP(B372,'03. THIẾT BỊ'!$B$1:$S$836,4,0),"")</f>
        <v>ĐQSD</v>
      </c>
      <c r="F372" s="20" t="str">
        <f>IFERROR(VLOOKUP(B372,'03. THIẾT BỊ'!$B$1:$S$836,5,0),"")</f>
        <v>Rơ mooc thu hoạch</v>
      </c>
      <c r="G372" s="101" t="s">
        <v>6468</v>
      </c>
      <c r="H372" s="19" t="str">
        <f>IFERROR(VLOOKUP(B372,'03. THIẾT BỊ'!$B$1:$S$836,7,0),"")</f>
        <v>XN Chuối DP2</v>
      </c>
      <c r="I372" s="610">
        <f>IFERROR(VLOOKUP(B372,'03. THIẾT BỊ'!$B$1:$S$836,8,0),"")</f>
        <v>0</v>
      </c>
      <c r="J372" s="25"/>
      <c r="K372" s="19" t="str">
        <f>IFERROR(VLOOKUP(B372,'03. THIẾT BỊ'!$B$1:$S$836,10,0),"")</f>
        <v>Bình thường</v>
      </c>
      <c r="L372" s="25">
        <f>IFERROR(VLOOKUP(B372,'03. THIẾT BỊ'!$B$1:$S$836,11,0),"")</f>
        <v>0</v>
      </c>
      <c r="M372" s="24">
        <f>IFERROR(VLOOKUP(B372,'03. THIẾT BỊ'!$B$1:$S$836,12,0),"")</f>
        <v>0</v>
      </c>
      <c r="N372" s="25" t="str">
        <f>IFERROR(VLOOKUP(B372,'03. THIẾT BỊ'!$B$1:$S$836,13,0),"")</f>
        <v>THACO AGRI</v>
      </c>
      <c r="O372" s="24">
        <f>IFERROR(VLOOKUP(B372,'03. THIẾT BỊ'!$B$1:$S$836,14,0),"")</f>
        <v>0</v>
      </c>
      <c r="P372" s="25" t="str">
        <f>IFERROR(VLOOKUP(B372,'03. THIẾT BỊ'!$B$1:$S$836,15,0),"")</f>
        <v>CK-CGH</v>
      </c>
      <c r="Q372" s="23">
        <f>IFERROR(VLOOKUP(B372,'03. THIẾT BỊ'!$B$1:$S$836,16,0),"")</f>
        <v>0</v>
      </c>
      <c r="R372" s="25">
        <f>IFERROR(VLOOKUP(B372,'03. THIẾT BỊ'!$B$1:$S$836,17,0),"")</f>
        <v>0</v>
      </c>
      <c r="S372" s="25">
        <f>IFERROR(VLOOKUP(B372,'03. THIẾT BỊ'!$B$1:$S$836,18,0),"")</f>
        <v>40</v>
      </c>
      <c r="T372" s="615"/>
    </row>
    <row r="373" customHeight="1" spans="1:20">
      <c r="A373" s="19">
        <f t="shared" si="18"/>
        <v>7</v>
      </c>
      <c r="B373" s="20" t="s">
        <v>4397</v>
      </c>
      <c r="C373" s="613" t="str">
        <f>IFERROR(VLOOKUP(B373,'03. THIẾT BỊ'!$B$1:$S$836,2,0),"")</f>
        <v>RMC 08-VC KLH</v>
      </c>
      <c r="D373" s="24" t="str">
        <f>IFERROR(VLOOKUP(B373,'03. THIẾT BỊ'!$B$1:$S$836,3,0),"")</f>
        <v>A23-RMC-005</v>
      </c>
      <c r="E373" s="20" t="str">
        <f>IFERROR(VLOOKUP(B373,'03. THIẾT BỊ'!$B$1:$S$836,4,0),"")</f>
        <v>ĐQSD</v>
      </c>
      <c r="F373" s="20" t="str">
        <f>IFERROR(VLOOKUP(B373,'03. THIẾT BỊ'!$B$1:$S$836,5,0),"")</f>
        <v>Rơ mooc thu hoạch</v>
      </c>
      <c r="G373" s="101" t="s">
        <v>6468</v>
      </c>
      <c r="H373" s="19" t="str">
        <f>IFERROR(VLOOKUP(B373,'03. THIẾT BỊ'!$B$1:$S$836,7,0),"")</f>
        <v>XN Chuối DP2</v>
      </c>
      <c r="I373" s="610">
        <f>IFERROR(VLOOKUP(B373,'03. THIẾT BỊ'!$B$1:$S$836,8,0),"")</f>
        <v>0</v>
      </c>
      <c r="J373" s="25"/>
      <c r="K373" s="19" t="str">
        <f>IFERROR(VLOOKUP(B373,'03. THIẾT BỊ'!$B$1:$S$836,10,0),"")</f>
        <v>Bình thường</v>
      </c>
      <c r="L373" s="25">
        <f>IFERROR(VLOOKUP(B373,'03. THIẾT BỊ'!$B$1:$S$836,11,0),"")</f>
        <v>0</v>
      </c>
      <c r="M373" s="24">
        <f>IFERROR(VLOOKUP(B373,'03. THIẾT BỊ'!$B$1:$S$836,12,0),"")</f>
        <v>0</v>
      </c>
      <c r="N373" s="25" t="str">
        <f>IFERROR(VLOOKUP(B373,'03. THIẾT BỊ'!$B$1:$S$836,13,0),"")</f>
        <v>THACO AGRI</v>
      </c>
      <c r="O373" s="24">
        <f>IFERROR(VLOOKUP(B373,'03. THIẾT BỊ'!$B$1:$S$836,14,0),"")</f>
        <v>0</v>
      </c>
      <c r="P373" s="25" t="str">
        <f>IFERROR(VLOOKUP(B373,'03. THIẾT BỊ'!$B$1:$S$836,15,0),"")</f>
        <v>CK-CGH</v>
      </c>
      <c r="Q373" s="23">
        <f>IFERROR(VLOOKUP(B373,'03. THIẾT BỊ'!$B$1:$S$836,16,0),"")</f>
        <v>0</v>
      </c>
      <c r="R373" s="25">
        <f>IFERROR(VLOOKUP(B373,'03. THIẾT BỊ'!$B$1:$S$836,17,0),"")</f>
        <v>0</v>
      </c>
      <c r="S373" s="25">
        <f>IFERROR(VLOOKUP(B373,'03. THIẾT BỊ'!$B$1:$S$836,18,0),"")</f>
        <v>44</v>
      </c>
      <c r="T373" s="615"/>
    </row>
    <row r="374" customHeight="1" spans="1:20">
      <c r="A374" s="19">
        <f t="shared" si="18"/>
        <v>8</v>
      </c>
      <c r="B374" s="20" t="s">
        <v>4571</v>
      </c>
      <c r="C374" s="613" t="str">
        <f>IFERROR(VLOOKUP(B374,'03. THIẾT BỊ'!$B$1:$S$836,2,0),"")</f>
        <v>RMC 74-VC KLH</v>
      </c>
      <c r="D374" s="24" t="str">
        <f>IFERROR(VLOOKUP(B374,'03. THIẾT BỊ'!$B$1:$S$836,3,0),"")</f>
        <v>A23-RMC-006</v>
      </c>
      <c r="E374" s="20" t="str">
        <f>IFERROR(VLOOKUP(B374,'03. THIẾT BỊ'!$B$1:$S$836,4,0),"")</f>
        <v>ĐQSD</v>
      </c>
      <c r="F374" s="20" t="str">
        <f>IFERROR(VLOOKUP(B374,'03. THIẾT BỊ'!$B$1:$S$836,5,0),"")</f>
        <v>Rơ mooc thu hoạch</v>
      </c>
      <c r="G374" s="101" t="s">
        <v>6468</v>
      </c>
      <c r="H374" s="19" t="str">
        <f>IFERROR(VLOOKUP(B374,'03. THIẾT BỊ'!$B$1:$S$836,7,0),"")</f>
        <v>XN Chuối DP3</v>
      </c>
      <c r="I374" s="610">
        <f>IFERROR(VLOOKUP(B374,'03. THIẾT BỊ'!$B$1:$S$836,8,0),"")</f>
        <v>0</v>
      </c>
      <c r="J374" s="25"/>
      <c r="K374" s="19" t="str">
        <f>IFERROR(VLOOKUP(B374,'03. THIẾT BỊ'!$B$1:$S$836,10,0),"")</f>
        <v>Bình thường</v>
      </c>
      <c r="L374" s="25">
        <f>IFERROR(VLOOKUP(B374,'03. THIẾT BỊ'!$B$1:$S$836,11,0),"")</f>
        <v>0</v>
      </c>
      <c r="M374" s="24">
        <f>IFERROR(VLOOKUP(B374,'03. THIẾT BỊ'!$B$1:$S$836,12,0),"")</f>
        <v>0</v>
      </c>
      <c r="N374" s="25" t="str">
        <f>IFERROR(VLOOKUP(B374,'03. THIẾT BỊ'!$B$1:$S$836,13,0),"")</f>
        <v>THACO AGRI</v>
      </c>
      <c r="O374" s="24">
        <f>IFERROR(VLOOKUP(B374,'03. THIẾT BỊ'!$B$1:$S$836,14,0),"")</f>
        <v>0</v>
      </c>
      <c r="P374" s="25" t="str">
        <f>IFERROR(VLOOKUP(B374,'03. THIẾT BỊ'!$B$1:$S$836,15,0),"")</f>
        <v>CK-CGH</v>
      </c>
      <c r="Q374" s="23">
        <f>IFERROR(VLOOKUP(B374,'03. THIẾT BỊ'!$B$1:$S$836,16,0),"")</f>
        <v>0</v>
      </c>
      <c r="R374" s="25">
        <f>IFERROR(VLOOKUP(B374,'03. THIẾT BỊ'!$B$1:$S$836,17,0),"")</f>
        <v>0</v>
      </c>
      <c r="S374" s="25">
        <f>IFERROR(VLOOKUP(B374,'03. THIẾT BỊ'!$B$1:$S$836,18,0),"")</f>
        <v>44</v>
      </c>
      <c r="T374" s="615"/>
    </row>
    <row r="375" customHeight="1" spans="1:20">
      <c r="A375" s="19">
        <f t="shared" si="18"/>
        <v>9</v>
      </c>
      <c r="B375" s="20" t="s">
        <v>4574</v>
      </c>
      <c r="C375" s="613" t="str">
        <f>IFERROR(VLOOKUP(B375,'03. THIẾT BỊ'!$B$1:$S$836,2,0),"")</f>
        <v>RMC 73-VC KLH</v>
      </c>
      <c r="D375" s="24" t="str">
        <f>IFERROR(VLOOKUP(B375,'03. THIẾT BỊ'!$B$1:$S$836,3,0),"")</f>
        <v>A23-RMC-008</v>
      </c>
      <c r="E375" s="20" t="str">
        <f>IFERROR(VLOOKUP(B375,'03. THIẾT BỊ'!$B$1:$S$836,4,0),"")</f>
        <v>ĐQSD</v>
      </c>
      <c r="F375" s="20" t="str">
        <f>IFERROR(VLOOKUP(B375,'03. THIẾT BỊ'!$B$1:$S$836,5,0),"")</f>
        <v>Rơ mooc thu hoạch</v>
      </c>
      <c r="G375" s="101" t="s">
        <v>6468</v>
      </c>
      <c r="H375" s="19" t="str">
        <f>IFERROR(VLOOKUP(B375,'03. THIẾT BỊ'!$B$1:$S$836,7,0),"")</f>
        <v>XN Chuối DP3</v>
      </c>
      <c r="I375" s="610">
        <f>IFERROR(VLOOKUP(B375,'03. THIẾT BỊ'!$B$1:$S$836,8,0),"")</f>
        <v>0</v>
      </c>
      <c r="J375" s="25"/>
      <c r="K375" s="19" t="str">
        <f>IFERROR(VLOOKUP(B375,'03. THIẾT BỊ'!$B$1:$S$836,10,0),"")</f>
        <v>Bình thường</v>
      </c>
      <c r="L375" s="25">
        <f>IFERROR(VLOOKUP(B375,'03. THIẾT BỊ'!$B$1:$S$836,11,0),"")</f>
        <v>0</v>
      </c>
      <c r="M375" s="24">
        <f>IFERROR(VLOOKUP(B375,'03. THIẾT BỊ'!$B$1:$S$836,12,0),"")</f>
        <v>0</v>
      </c>
      <c r="N375" s="25" t="str">
        <f>IFERROR(VLOOKUP(B375,'03. THIẾT BỊ'!$B$1:$S$836,13,0),"")</f>
        <v>THACO AGRI</v>
      </c>
      <c r="O375" s="24">
        <f>IFERROR(VLOOKUP(B375,'03. THIẾT BỊ'!$B$1:$S$836,14,0),"")</f>
        <v>0</v>
      </c>
      <c r="P375" s="25" t="str">
        <f>IFERROR(VLOOKUP(B375,'03. THIẾT BỊ'!$B$1:$S$836,15,0),"")</f>
        <v>CK-CGH</v>
      </c>
      <c r="Q375" s="23">
        <f>IFERROR(VLOOKUP(B375,'03. THIẾT BỊ'!$B$1:$S$836,16,0),"")</f>
        <v>0</v>
      </c>
      <c r="R375" s="25">
        <f>IFERROR(VLOOKUP(B375,'03. THIẾT BỊ'!$B$1:$S$836,17,0),"")</f>
        <v>0</v>
      </c>
      <c r="S375" s="25">
        <f>IFERROR(VLOOKUP(B375,'03. THIẾT BỊ'!$B$1:$S$836,18,0),"")</f>
        <v>44</v>
      </c>
      <c r="T375" s="615"/>
    </row>
    <row r="376" customHeight="1" spans="1:20">
      <c r="A376" s="19">
        <f t="shared" si="18"/>
        <v>10</v>
      </c>
      <c r="B376" s="20" t="s">
        <v>4577</v>
      </c>
      <c r="C376" s="613" t="str">
        <f>IFERROR(VLOOKUP(B376,'03. THIẾT BỊ'!$B$1:$S$836,2,0),"")</f>
        <v>RMC 91-VC KLH</v>
      </c>
      <c r="D376" s="24" t="str">
        <f>IFERROR(VLOOKUP(B376,'03. THIẾT BỊ'!$B$1:$S$836,3,0),"")</f>
        <v>A23-RMC-009</v>
      </c>
      <c r="E376" s="20" t="str">
        <f>IFERROR(VLOOKUP(B376,'03. THIẾT BỊ'!$B$1:$S$836,4,0),"")</f>
        <v>ĐQSD</v>
      </c>
      <c r="F376" s="20" t="str">
        <f>IFERROR(VLOOKUP(B376,'03. THIẾT BỊ'!$B$1:$S$836,5,0),"")</f>
        <v>Rơ mooc thu hoạch</v>
      </c>
      <c r="G376" s="101" t="s">
        <v>6468</v>
      </c>
      <c r="H376" s="19" t="str">
        <f>IFERROR(VLOOKUP(B376,'03. THIẾT BỊ'!$B$1:$S$836,7,0),"")</f>
        <v>XN Chuối DP3</v>
      </c>
      <c r="I376" s="610">
        <f>IFERROR(VLOOKUP(B376,'03. THIẾT BỊ'!$B$1:$S$836,8,0),"")</f>
        <v>0</v>
      </c>
      <c r="J376" s="25"/>
      <c r="K376" s="19" t="str">
        <f>IFERROR(VLOOKUP(B376,'03. THIẾT BỊ'!$B$1:$S$836,10,0),"")</f>
        <v>Bình thường</v>
      </c>
      <c r="L376" s="25">
        <f>IFERROR(VLOOKUP(B376,'03. THIẾT BỊ'!$B$1:$S$836,11,0),"")</f>
        <v>0</v>
      </c>
      <c r="M376" s="24">
        <f>IFERROR(VLOOKUP(B376,'03. THIẾT BỊ'!$B$1:$S$836,12,0),"")</f>
        <v>0</v>
      </c>
      <c r="N376" s="25" t="str">
        <f>IFERROR(VLOOKUP(B376,'03. THIẾT BỊ'!$B$1:$S$836,13,0),"")</f>
        <v>THACO AGRI</v>
      </c>
      <c r="O376" s="24">
        <f>IFERROR(VLOOKUP(B376,'03. THIẾT BỊ'!$B$1:$S$836,14,0),"")</f>
        <v>0</v>
      </c>
      <c r="P376" s="25" t="str">
        <f>IFERROR(VLOOKUP(B376,'03. THIẾT BỊ'!$B$1:$S$836,15,0),"")</f>
        <v>CK-CGH</v>
      </c>
      <c r="Q376" s="23">
        <f>IFERROR(VLOOKUP(B376,'03. THIẾT BỊ'!$B$1:$S$836,16,0),"")</f>
        <v>0</v>
      </c>
      <c r="R376" s="25">
        <f>IFERROR(VLOOKUP(B376,'03. THIẾT BỊ'!$B$1:$S$836,17,0),"")</f>
        <v>0</v>
      </c>
      <c r="S376" s="25">
        <f>IFERROR(VLOOKUP(B376,'03. THIẾT BỊ'!$B$1:$S$836,18,0),"")</f>
        <v>50</v>
      </c>
      <c r="T376" s="615"/>
    </row>
    <row r="377" customHeight="1" spans="1:20">
      <c r="A377" s="19">
        <f t="shared" si="18"/>
        <v>11</v>
      </c>
      <c r="B377" s="20" t="s">
        <v>4579</v>
      </c>
      <c r="C377" s="613" t="str">
        <f>IFERROR(VLOOKUP(B377,'03. THIẾT BỊ'!$B$1:$S$836,2,0),"")</f>
        <v>RMC 93-VC KLH</v>
      </c>
      <c r="D377" s="24" t="str">
        <f>IFERROR(VLOOKUP(B377,'03. THIẾT BỊ'!$B$1:$S$836,3,0),"")</f>
        <v>A23-RMC-010</v>
      </c>
      <c r="E377" s="20" t="str">
        <f>IFERROR(VLOOKUP(B377,'03. THIẾT BỊ'!$B$1:$S$836,4,0),"")</f>
        <v>ĐQSD</v>
      </c>
      <c r="F377" s="20" t="str">
        <f>IFERROR(VLOOKUP(B377,'03. THIẾT BỊ'!$B$1:$S$836,5,0),"")</f>
        <v>Rơ mooc thu hoạch</v>
      </c>
      <c r="G377" s="101" t="s">
        <v>6468</v>
      </c>
      <c r="H377" s="19" t="str">
        <f>IFERROR(VLOOKUP(B377,'03. THIẾT BỊ'!$B$1:$S$836,7,0),"")</f>
        <v>XN Chuối DP3</v>
      </c>
      <c r="I377" s="610">
        <f>IFERROR(VLOOKUP(B377,'03. THIẾT BỊ'!$B$1:$S$836,8,0),"")</f>
        <v>0</v>
      </c>
      <c r="J377" s="25"/>
      <c r="K377" s="19" t="str">
        <f>IFERROR(VLOOKUP(B377,'03. THIẾT BỊ'!$B$1:$S$836,10,0),"")</f>
        <v>Bình thường</v>
      </c>
      <c r="L377" s="25">
        <f>IFERROR(VLOOKUP(B377,'03. THIẾT BỊ'!$B$1:$S$836,11,0),"")</f>
        <v>0</v>
      </c>
      <c r="M377" s="24">
        <f>IFERROR(VLOOKUP(B377,'03. THIẾT BỊ'!$B$1:$S$836,12,0),"")</f>
        <v>0</v>
      </c>
      <c r="N377" s="25" t="str">
        <f>IFERROR(VLOOKUP(B377,'03. THIẾT BỊ'!$B$1:$S$836,13,0),"")</f>
        <v>THACO AGRI</v>
      </c>
      <c r="O377" s="24">
        <f>IFERROR(VLOOKUP(B377,'03. THIẾT BỊ'!$B$1:$S$836,14,0),"")</f>
        <v>0</v>
      </c>
      <c r="P377" s="25" t="str">
        <f>IFERROR(VLOOKUP(B377,'03. THIẾT BỊ'!$B$1:$S$836,15,0),"")</f>
        <v>CK-CGH</v>
      </c>
      <c r="Q377" s="23">
        <f>IFERROR(VLOOKUP(B377,'03. THIẾT BỊ'!$B$1:$S$836,16,0),"")</f>
        <v>0</v>
      </c>
      <c r="R377" s="25">
        <f>IFERROR(VLOOKUP(B377,'03. THIẾT BỊ'!$B$1:$S$836,17,0),"")</f>
        <v>0</v>
      </c>
      <c r="S377" s="25">
        <f>IFERROR(VLOOKUP(B377,'03. THIẾT BỊ'!$B$1:$S$836,18,0),"")</f>
        <v>44</v>
      </c>
      <c r="T377" s="615"/>
    </row>
    <row r="378" customHeight="1" spans="1:20">
      <c r="A378" s="19">
        <f t="shared" si="18"/>
        <v>12</v>
      </c>
      <c r="B378" s="20" t="s">
        <v>4715</v>
      </c>
      <c r="C378" s="613" t="str">
        <f>IFERROR(VLOOKUP(B378,'03. THIẾT BỊ'!$B$1:$S$836,2,0),"")</f>
        <v>LP4-RMC-004</v>
      </c>
      <c r="D378" s="24" t="str">
        <f>IFERROR(VLOOKUP(B378,'03. THIẾT BỊ'!$B$1:$S$836,3,0),"")</f>
        <v>A24-RMC-003</v>
      </c>
      <c r="E378" s="20" t="str">
        <f>IFERROR(VLOOKUP(B378,'03. THIẾT BỊ'!$B$1:$S$836,4,0),"")</f>
        <v>ĐQSD</v>
      </c>
      <c r="F378" s="20" t="str">
        <f>IFERROR(VLOOKUP(B378,'03. THIẾT BỊ'!$B$1:$S$836,5,0),"")</f>
        <v>Rơ mooc thu hoạch</v>
      </c>
      <c r="G378" s="101" t="s">
        <v>6468</v>
      </c>
      <c r="H378" s="19" t="str">
        <f>IFERROR(VLOOKUP(B378,'03. THIẾT BỊ'!$B$1:$S$836,7,0),"")</f>
        <v>XN Chuối LP1</v>
      </c>
      <c r="I378" s="610" t="str">
        <f>IFERROR(VLOOKUP(B378,'03. THIẾT BỊ'!$B$1:$S$836,8,0),"")</f>
        <v>16/07/2024</v>
      </c>
      <c r="J378" s="25"/>
      <c r="K378" s="19" t="str">
        <f>IFERROR(VLOOKUP(B378,'03. THIẾT BỊ'!$B$1:$S$836,10,0),"")</f>
        <v>Bình thường</v>
      </c>
      <c r="L378" s="25" t="str">
        <f>IFERROR(VLOOKUP(B378,'03. THIẾT BỊ'!$B$1:$S$836,11,0),"")</f>
        <v>Đ.chuyển từ XN LP4 ngày 16/07/2024</v>
      </c>
      <c r="M378" s="24">
        <f>IFERROR(VLOOKUP(B378,'03. THIẾT BỊ'!$B$1:$S$836,12,0),"")</f>
        <v>0</v>
      </c>
      <c r="N378" s="25" t="str">
        <f>IFERROR(VLOOKUP(B378,'03. THIẾT BỊ'!$B$1:$S$836,13,0),"")</f>
        <v>THACO AGRI</v>
      </c>
      <c r="O378" s="24">
        <f>IFERROR(VLOOKUP(B378,'03. THIẾT BỊ'!$B$1:$S$836,14,0),"")</f>
        <v>0</v>
      </c>
      <c r="P378" s="25" t="str">
        <f>IFERROR(VLOOKUP(B378,'03. THIẾT BỊ'!$B$1:$S$836,15,0),"")</f>
        <v>CK-CGH</v>
      </c>
      <c r="Q378" s="23">
        <f>IFERROR(VLOOKUP(B378,'03. THIẾT BỊ'!$B$1:$S$836,16,0),"")</f>
        <v>0</v>
      </c>
      <c r="R378" s="25">
        <f>IFERROR(VLOOKUP(B378,'03. THIẾT BỊ'!$B$1:$S$836,17,0),"")</f>
        <v>0</v>
      </c>
      <c r="S378" s="25">
        <f>IFERROR(VLOOKUP(B378,'03. THIẾT BỊ'!$B$1:$S$836,18,0),"")</f>
        <v>0</v>
      </c>
      <c r="T378" s="41"/>
    </row>
    <row r="379" customHeight="1" spans="1:20">
      <c r="A379" s="19">
        <f t="shared" si="18"/>
        <v>13</v>
      </c>
      <c r="B379" s="20" t="s">
        <v>4719</v>
      </c>
      <c r="C379" s="613" t="str">
        <f>IFERROR(VLOOKUP(B379,'03. THIẾT BỊ'!$B$1:$S$836,2,0),"")</f>
        <v>LP4-RMC-001</v>
      </c>
      <c r="D379" s="24" t="str">
        <f>IFERROR(VLOOKUP(B379,'03. THIẾT BỊ'!$B$1:$S$836,3,0),"")</f>
        <v>A24-RMC-001</v>
      </c>
      <c r="E379" s="20" t="str">
        <f>IFERROR(VLOOKUP(B379,'03. THIẾT BỊ'!$B$1:$S$836,4,0),"")</f>
        <v>ĐQSD</v>
      </c>
      <c r="F379" s="20" t="str">
        <f>IFERROR(VLOOKUP(B379,'03. THIẾT BỊ'!$B$1:$S$836,5,0),"")</f>
        <v>Rơ mooc thu hoạch</v>
      </c>
      <c r="G379" s="101" t="s">
        <v>6468</v>
      </c>
      <c r="H379" s="19" t="str">
        <f>IFERROR(VLOOKUP(B379,'03. THIẾT BỊ'!$B$1:$S$836,7,0),"")</f>
        <v>XN Chuối LP1</v>
      </c>
      <c r="I379" s="610" t="str">
        <f>IFERROR(VLOOKUP(B379,'03. THIẾT BỊ'!$B$1:$S$836,8,0),"")</f>
        <v>26/09/2024</v>
      </c>
      <c r="J379" s="25"/>
      <c r="K379" s="19" t="str">
        <f>IFERROR(VLOOKUP(B379,'03. THIẾT BỊ'!$B$1:$S$836,10,0),"")</f>
        <v>Bình thường</v>
      </c>
      <c r="L379" s="25" t="str">
        <f>IFERROR(VLOOKUP(B379,'03. THIẾT BỊ'!$B$1:$S$836,11,0),"")</f>
        <v>Đ.chuyển từ XN LP4 ngày 26/09/2024</v>
      </c>
      <c r="M379" s="24">
        <f>IFERROR(VLOOKUP(B379,'03. THIẾT BỊ'!$B$1:$S$836,12,0),"")</f>
        <v>0</v>
      </c>
      <c r="N379" s="25" t="str">
        <f>IFERROR(VLOOKUP(B379,'03. THIẾT BỊ'!$B$1:$S$836,13,0),"")</f>
        <v>THACO AGRI</v>
      </c>
      <c r="O379" s="24">
        <f>IFERROR(VLOOKUP(B379,'03. THIẾT BỊ'!$B$1:$S$836,14,0),"")</f>
        <v>0</v>
      </c>
      <c r="P379" s="25" t="str">
        <f>IFERROR(VLOOKUP(B379,'03. THIẾT BỊ'!$B$1:$S$836,15,0),"")</f>
        <v>CK-CGH</v>
      </c>
      <c r="Q379" s="23">
        <f>IFERROR(VLOOKUP(B379,'03. THIẾT BỊ'!$B$1:$S$836,16,0),"")</f>
        <v>0</v>
      </c>
      <c r="R379" s="25">
        <f>IFERROR(VLOOKUP(B379,'03. THIẾT BỊ'!$B$1:$S$836,17,0),"")</f>
        <v>0</v>
      </c>
      <c r="S379" s="25">
        <f>IFERROR(VLOOKUP(B379,'03. THIẾT BỊ'!$B$1:$S$836,18,0),"")</f>
        <v>0</v>
      </c>
      <c r="T379" s="41"/>
    </row>
    <row r="380" customHeight="1" spans="1:20">
      <c r="A380" s="19">
        <f t="shared" si="18"/>
        <v>14</v>
      </c>
      <c r="B380" s="20" t="s">
        <v>4724</v>
      </c>
      <c r="C380" s="613" t="str">
        <f>IFERROR(VLOOKUP(B380,'03. THIẾT BỊ'!$B$1:$S$836,2,0),"")</f>
        <v>XAD-RMC-019(XA2-RMC-006)</v>
      </c>
      <c r="D380" s="24" t="str">
        <f>IFERROR(VLOOKUP(B380,'03. THIẾT BỊ'!$B$1:$S$836,3,0),"")</f>
        <v>A22-RMC-006</v>
      </c>
      <c r="E380" s="20" t="str">
        <f>IFERROR(VLOOKUP(B380,'03. THIẾT BỊ'!$B$1:$S$836,4,0),"")</f>
        <v>ĐQSD</v>
      </c>
      <c r="F380" s="20" t="str">
        <f>IFERROR(VLOOKUP(B380,'03. THIẾT BỊ'!$B$1:$S$836,5,0),"")</f>
        <v>Rơ mooc thu hoạch</v>
      </c>
      <c r="G380" s="101" t="s">
        <v>6468</v>
      </c>
      <c r="H380" s="19" t="str">
        <f>IFERROR(VLOOKUP(B380,'03. THIẾT BỊ'!$B$1:$S$836,7,0),"")</f>
        <v>XN Chuối LP1</v>
      </c>
      <c r="I380" s="610" t="str">
        <f>IFERROR(VLOOKUP(B380,'03. THIẾT BỊ'!$B$1:$S$836,8,0),"")</f>
        <v>17/02/2025</v>
      </c>
      <c r="J380" s="25"/>
      <c r="K380" s="19" t="str">
        <f>IFERROR(VLOOKUP(B380,'03. THIẾT BỊ'!$B$1:$S$836,10,0),"")</f>
        <v>Bình thường</v>
      </c>
      <c r="L380" s="25" t="str">
        <f>IFERROR(VLOOKUP(B380,'03. THIẾT BỊ'!$B$1:$S$836,11,0),"")</f>
        <v>Đ.chuyển từ XN AD ngày 17/02/2025</v>
      </c>
      <c r="M380" s="24">
        <f>IFERROR(VLOOKUP(B380,'03. THIẾT BỊ'!$B$1:$S$836,12,0),"")</f>
        <v>0</v>
      </c>
      <c r="N380" s="25" t="str">
        <f>IFERROR(VLOOKUP(B380,'03. THIẾT BỊ'!$B$1:$S$836,13,0),"")</f>
        <v>THACO AGRI</v>
      </c>
      <c r="O380" s="24">
        <f>IFERROR(VLOOKUP(B380,'03. THIẾT BỊ'!$B$1:$S$836,14,0),"")</f>
        <v>0</v>
      </c>
      <c r="P380" s="25" t="str">
        <f>IFERROR(VLOOKUP(B380,'03. THIẾT BỊ'!$B$1:$S$836,15,0),"")</f>
        <v>CK-CGH</v>
      </c>
      <c r="Q380" s="23">
        <f>IFERROR(VLOOKUP(B380,'03. THIẾT BỊ'!$B$1:$S$836,16,0),"")</f>
        <v>0</v>
      </c>
      <c r="R380" s="25">
        <f>IFERROR(VLOOKUP(B380,'03. THIẾT BỊ'!$B$1:$S$836,17,0),"")</f>
        <v>0</v>
      </c>
      <c r="S380" s="25" t="str">
        <f>IFERROR(VLOOKUP(B380,'03. THIẾT BỊ'!$B$1:$S$836,18,0),"")</f>
        <v>40 BUỒNG</v>
      </c>
      <c r="T380" s="41"/>
    </row>
    <row r="381" customHeight="1" spans="1:20">
      <c r="A381" s="19">
        <f t="shared" si="18"/>
        <v>15</v>
      </c>
      <c r="B381" s="20" t="s">
        <v>4864</v>
      </c>
      <c r="C381" s="613" t="str">
        <f>IFERROR(VLOOKUP(B381,'03. THIẾT BỊ'!$B$1:$S$836,2,0),"")</f>
        <v>LP3-RMC-001</v>
      </c>
      <c r="D381" s="24" t="str">
        <f>IFERROR(VLOOKUP(B381,'03. THIẾT BỊ'!$B$1:$S$836,3,0),"")</f>
        <v>A24-RMC-001</v>
      </c>
      <c r="E381" s="20" t="str">
        <f>IFERROR(VLOOKUP(B381,'03. THIẾT BỊ'!$B$1:$S$836,4,0),"")</f>
        <v>ĐQSD</v>
      </c>
      <c r="F381" s="20" t="str">
        <f>IFERROR(VLOOKUP(B381,'03. THIẾT BỊ'!$B$1:$S$836,5,0),"")</f>
        <v>Rơ mooc thu hoạch</v>
      </c>
      <c r="G381" s="101" t="s">
        <v>6468</v>
      </c>
      <c r="H381" s="19" t="str">
        <f>IFERROR(VLOOKUP(B381,'03. THIẾT BỊ'!$B$1:$S$836,7,0),"")</f>
        <v>XN Chuối LP3</v>
      </c>
      <c r="I381" s="610">
        <f>IFERROR(VLOOKUP(B381,'03. THIẾT BỊ'!$B$1:$S$836,8,0),"")</f>
        <v>0</v>
      </c>
      <c r="J381" s="25"/>
      <c r="K381" s="19" t="str">
        <f>IFERROR(VLOOKUP(B381,'03. THIẾT BỊ'!$B$1:$S$836,10,0),"")</f>
        <v>Bình thường</v>
      </c>
      <c r="L381" s="25">
        <f>IFERROR(VLOOKUP(B381,'03. THIẾT BỊ'!$B$1:$S$836,11,0),"")</f>
        <v>0</v>
      </c>
      <c r="M381" s="24">
        <f>IFERROR(VLOOKUP(B381,'03. THIẾT BỊ'!$B$1:$S$836,12,0),"")</f>
        <v>0</v>
      </c>
      <c r="N381" s="25" t="str">
        <f>IFERROR(VLOOKUP(B381,'03. THIẾT BỊ'!$B$1:$S$836,13,0),"")</f>
        <v>THACO AGRI</v>
      </c>
      <c r="O381" s="24">
        <f>IFERROR(VLOOKUP(B381,'03. THIẾT BỊ'!$B$1:$S$836,14,0),"")</f>
        <v>0</v>
      </c>
      <c r="P381" s="25" t="str">
        <f>IFERROR(VLOOKUP(B381,'03. THIẾT BỊ'!$B$1:$S$836,15,0),"")</f>
        <v>CK-CGH</v>
      </c>
      <c r="Q381" s="23">
        <f>IFERROR(VLOOKUP(B381,'03. THIẾT BỊ'!$B$1:$S$836,16,0),"")</f>
        <v>0</v>
      </c>
      <c r="R381" s="25">
        <f>IFERROR(VLOOKUP(B381,'03. THIẾT BỊ'!$B$1:$S$836,17,0),"")</f>
        <v>0</v>
      </c>
      <c r="S381" s="25">
        <f>IFERROR(VLOOKUP(B381,'03. THIẾT BỊ'!$B$1:$S$836,18,0),"")</f>
        <v>0</v>
      </c>
      <c r="T381" s="41"/>
    </row>
    <row r="382" ht="16.5" customHeight="1" spans="1:20">
      <c r="A382" s="19">
        <f t="shared" si="18"/>
        <v>16</v>
      </c>
      <c r="B382" s="20" t="s">
        <v>4866</v>
      </c>
      <c r="C382" s="613" t="str">
        <f>IFERROR(VLOOKUP(B382,'03. THIẾT BỊ'!$B$1:$S$836,2,0),"")</f>
        <v>LP3-RMC-002</v>
      </c>
      <c r="D382" s="24" t="str">
        <f>IFERROR(VLOOKUP(B382,'03. THIẾT BỊ'!$B$1:$S$836,3,0),"")</f>
        <v>A24-RMC-002</v>
      </c>
      <c r="E382" s="20" t="str">
        <f>IFERROR(VLOOKUP(B382,'03. THIẾT BỊ'!$B$1:$S$836,4,0),"")</f>
        <v>ĐQSD</v>
      </c>
      <c r="F382" s="20" t="str">
        <f>IFERROR(VLOOKUP(B382,'03. THIẾT BỊ'!$B$1:$S$836,5,0),"")</f>
        <v>Rơ mooc thu hoạch</v>
      </c>
      <c r="G382" s="101" t="s">
        <v>6468</v>
      </c>
      <c r="H382" s="19" t="str">
        <f>IFERROR(VLOOKUP(B382,'03. THIẾT BỊ'!$B$1:$S$836,7,0),"")</f>
        <v>XN Chuối LP3</v>
      </c>
      <c r="I382" s="610">
        <f>IFERROR(VLOOKUP(B382,'03. THIẾT BỊ'!$B$1:$S$836,8,0),"")</f>
        <v>0</v>
      </c>
      <c r="J382" s="25"/>
      <c r="K382" s="19" t="str">
        <f>IFERROR(VLOOKUP(B382,'03. THIẾT BỊ'!$B$1:$S$836,10,0),"")</f>
        <v>Bình thường</v>
      </c>
      <c r="L382" s="25">
        <f>IFERROR(VLOOKUP(B382,'03. THIẾT BỊ'!$B$1:$S$836,11,0),"")</f>
        <v>0</v>
      </c>
      <c r="M382" s="24">
        <f>IFERROR(VLOOKUP(B382,'03. THIẾT BỊ'!$B$1:$S$836,12,0),"")</f>
        <v>0</v>
      </c>
      <c r="N382" s="25" t="str">
        <f>IFERROR(VLOOKUP(B382,'03. THIẾT BỊ'!$B$1:$S$836,13,0),"")</f>
        <v>THACO AGRI</v>
      </c>
      <c r="O382" s="24">
        <f>IFERROR(VLOOKUP(B382,'03. THIẾT BỊ'!$B$1:$S$836,14,0),"")</f>
        <v>0</v>
      </c>
      <c r="P382" s="25" t="str">
        <f>IFERROR(VLOOKUP(B382,'03. THIẾT BỊ'!$B$1:$S$836,15,0),"")</f>
        <v>CK-CGH</v>
      </c>
      <c r="Q382" s="23">
        <f>IFERROR(VLOOKUP(B382,'03. THIẾT BỊ'!$B$1:$S$836,16,0),"")</f>
        <v>0</v>
      </c>
      <c r="R382" s="25">
        <f>IFERROR(VLOOKUP(B382,'03. THIẾT BỊ'!$B$1:$S$836,17,0),"")</f>
        <v>0</v>
      </c>
      <c r="S382" s="25">
        <f>IFERROR(VLOOKUP(B382,'03. THIẾT BỊ'!$B$1:$S$836,18,0),"")</f>
        <v>0</v>
      </c>
      <c r="T382" s="41"/>
    </row>
    <row r="383" customHeight="1" spans="1:20">
      <c r="A383" s="19">
        <f t="shared" si="18"/>
        <v>17</v>
      </c>
      <c r="B383" s="20" t="s">
        <v>4869</v>
      </c>
      <c r="C383" s="613" t="str">
        <f>IFERROR(VLOOKUP(B383,'03. THIẾT BỊ'!$B$1:$S$836,2,0),"")</f>
        <v>LP3-RMC-003</v>
      </c>
      <c r="D383" s="24" t="str">
        <f>IFERROR(VLOOKUP(B383,'03. THIẾT BỊ'!$B$1:$S$836,3,0),"")</f>
        <v>A24-RMC-003</v>
      </c>
      <c r="E383" s="20" t="str">
        <f>IFERROR(VLOOKUP(B383,'03. THIẾT BỊ'!$B$1:$S$836,4,0),"")</f>
        <v>ĐQSD</v>
      </c>
      <c r="F383" s="20" t="str">
        <f>IFERROR(VLOOKUP(B383,'03. THIẾT BỊ'!$B$1:$S$836,5,0),"")</f>
        <v>Rơ mooc thu hoạch</v>
      </c>
      <c r="G383" s="101" t="s">
        <v>6468</v>
      </c>
      <c r="H383" s="19" t="str">
        <f>IFERROR(VLOOKUP(B383,'03. THIẾT BỊ'!$B$1:$S$836,7,0),"")</f>
        <v>XN Chuối LP3</v>
      </c>
      <c r="I383" s="610">
        <f>IFERROR(VLOOKUP(B383,'03. THIẾT BỊ'!$B$1:$S$836,8,0),"")</f>
        <v>0</v>
      </c>
      <c r="J383" s="25"/>
      <c r="K383" s="19" t="str">
        <f>IFERROR(VLOOKUP(B383,'03. THIẾT BỊ'!$B$1:$S$836,10,0),"")</f>
        <v>Bình thường</v>
      </c>
      <c r="L383" s="25">
        <f>IFERROR(VLOOKUP(B383,'03. THIẾT BỊ'!$B$1:$S$836,11,0),"")</f>
        <v>0</v>
      </c>
      <c r="M383" s="24">
        <f>IFERROR(VLOOKUP(B383,'03. THIẾT BỊ'!$B$1:$S$836,12,0),"")</f>
        <v>0</v>
      </c>
      <c r="N383" s="25" t="str">
        <f>IFERROR(VLOOKUP(B383,'03. THIẾT BỊ'!$B$1:$S$836,13,0),"")</f>
        <v>THACO AGRI</v>
      </c>
      <c r="O383" s="24">
        <f>IFERROR(VLOOKUP(B383,'03. THIẾT BỊ'!$B$1:$S$836,14,0),"")</f>
        <v>0</v>
      </c>
      <c r="P383" s="25" t="str">
        <f>IFERROR(VLOOKUP(B383,'03. THIẾT BỊ'!$B$1:$S$836,15,0),"")</f>
        <v>CK-CGH</v>
      </c>
      <c r="Q383" s="23">
        <f>IFERROR(VLOOKUP(B383,'03. THIẾT BỊ'!$B$1:$S$836,16,0),"")</f>
        <v>0</v>
      </c>
      <c r="R383" s="25">
        <f>IFERROR(VLOOKUP(B383,'03. THIẾT BỊ'!$B$1:$S$836,17,0),"")</f>
        <v>0</v>
      </c>
      <c r="S383" s="25">
        <f>IFERROR(VLOOKUP(B383,'03. THIẾT BỊ'!$B$1:$S$836,18,0),"")</f>
        <v>0</v>
      </c>
      <c r="T383" s="41"/>
    </row>
    <row r="384" customHeight="1" spans="1:20">
      <c r="A384" s="19">
        <f t="shared" si="18"/>
        <v>18</v>
      </c>
      <c r="B384" s="20" t="s">
        <v>4871</v>
      </c>
      <c r="C384" s="613" t="str">
        <f>IFERROR(VLOOKUP(B384,'03. THIẾT BỊ'!$B$1:$S$836,2,0),"")</f>
        <v>LP3-RMC-004</v>
      </c>
      <c r="D384" s="24" t="str">
        <f>IFERROR(VLOOKUP(B384,'03. THIẾT BỊ'!$B$1:$S$836,3,0),"")</f>
        <v>A24-RMC-004</v>
      </c>
      <c r="E384" s="20" t="str">
        <f>IFERROR(VLOOKUP(B384,'03. THIẾT BỊ'!$B$1:$S$836,4,0),"")</f>
        <v>ĐQSD</v>
      </c>
      <c r="F384" s="20" t="str">
        <f>IFERROR(VLOOKUP(B384,'03. THIẾT BỊ'!$B$1:$S$836,5,0),"")</f>
        <v>Rơ mooc thu hoạch</v>
      </c>
      <c r="G384" s="101" t="s">
        <v>6468</v>
      </c>
      <c r="H384" s="19" t="str">
        <f>IFERROR(VLOOKUP(B384,'03. THIẾT BỊ'!$B$1:$S$836,7,0),"")</f>
        <v>XN Chuối LP3</v>
      </c>
      <c r="I384" s="610">
        <f>IFERROR(VLOOKUP(B384,'03. THIẾT BỊ'!$B$1:$S$836,8,0),"")</f>
        <v>0</v>
      </c>
      <c r="J384" s="25"/>
      <c r="K384" s="19" t="str">
        <f>IFERROR(VLOOKUP(B384,'03. THIẾT BỊ'!$B$1:$S$836,10,0),"")</f>
        <v>Bình thường</v>
      </c>
      <c r="L384" s="25">
        <f>IFERROR(VLOOKUP(B384,'03. THIẾT BỊ'!$B$1:$S$836,11,0),"")</f>
        <v>0</v>
      </c>
      <c r="M384" s="24">
        <f>IFERROR(VLOOKUP(B384,'03. THIẾT BỊ'!$B$1:$S$836,12,0),"")</f>
        <v>0</v>
      </c>
      <c r="N384" s="25" t="str">
        <f>IFERROR(VLOOKUP(B384,'03. THIẾT BỊ'!$B$1:$S$836,13,0),"")</f>
        <v>THACO AGRI</v>
      </c>
      <c r="O384" s="24">
        <f>IFERROR(VLOOKUP(B384,'03. THIẾT BỊ'!$B$1:$S$836,14,0),"")</f>
        <v>0</v>
      </c>
      <c r="P384" s="25" t="str">
        <f>IFERROR(VLOOKUP(B384,'03. THIẾT BỊ'!$B$1:$S$836,15,0),"")</f>
        <v>CK-CGH</v>
      </c>
      <c r="Q384" s="23">
        <f>IFERROR(VLOOKUP(B384,'03. THIẾT BỊ'!$B$1:$S$836,16,0),"")</f>
        <v>0</v>
      </c>
      <c r="R384" s="25">
        <f>IFERROR(VLOOKUP(B384,'03. THIẾT BỊ'!$B$1:$S$836,17,0),"")</f>
        <v>0</v>
      </c>
      <c r="S384" s="25">
        <f>IFERROR(VLOOKUP(B384,'03. THIẾT BỊ'!$B$1:$S$836,18,0),"")</f>
        <v>0</v>
      </c>
      <c r="T384" s="41"/>
    </row>
    <row r="385" customHeight="1" spans="1:20">
      <c r="A385" s="19">
        <f t="shared" si="18"/>
        <v>19</v>
      </c>
      <c r="B385" s="20" t="s">
        <v>4874</v>
      </c>
      <c r="C385" s="613" t="str">
        <f>IFERROR(VLOOKUP(B385,'03. THIẾT BỊ'!$B$1:$S$836,2,0),"")</f>
        <v>LP1-RMC-001</v>
      </c>
      <c r="D385" s="24" t="str">
        <f>IFERROR(VLOOKUP(B385,'03. THIẾT BỊ'!$B$1:$S$836,3,0),"")</f>
        <v>A24-RMC-005</v>
      </c>
      <c r="E385" s="20" t="str">
        <f>IFERROR(VLOOKUP(B385,'03. THIẾT BỊ'!$B$1:$S$836,4,0),"")</f>
        <v>ĐQSD</v>
      </c>
      <c r="F385" s="20" t="str">
        <f>IFERROR(VLOOKUP(B385,'03. THIẾT BỊ'!$B$1:$S$836,5,0),"")</f>
        <v>Rơ mooc thu hoạch</v>
      </c>
      <c r="G385" s="101" t="s">
        <v>6468</v>
      </c>
      <c r="H385" s="19" t="str">
        <f>IFERROR(VLOOKUP(B385,'03. THIẾT BỊ'!$B$1:$S$836,7,0),"")</f>
        <v>XN Chuối LP3</v>
      </c>
      <c r="I385" s="610">
        <f>IFERROR(VLOOKUP(B385,'03. THIẾT BỊ'!$B$1:$S$836,8,0),"")</f>
        <v>0</v>
      </c>
      <c r="J385" s="25"/>
      <c r="K385" s="19" t="str">
        <f>IFERROR(VLOOKUP(B385,'03. THIẾT BỊ'!$B$1:$S$836,10,0),"")</f>
        <v>Bình thường</v>
      </c>
      <c r="L385" s="25">
        <f>IFERROR(VLOOKUP(B385,'03. THIẾT BỊ'!$B$1:$S$836,11,0),"")</f>
        <v>0</v>
      </c>
      <c r="M385" s="24">
        <f>IFERROR(VLOOKUP(B385,'03. THIẾT BỊ'!$B$1:$S$836,12,0),"")</f>
        <v>0</v>
      </c>
      <c r="N385" s="25" t="str">
        <f>IFERROR(VLOOKUP(B385,'03. THIẾT BỊ'!$B$1:$S$836,13,0),"")</f>
        <v>THACO AGRI</v>
      </c>
      <c r="O385" s="24">
        <f>IFERROR(VLOOKUP(B385,'03. THIẾT BỊ'!$B$1:$S$836,14,0),"")</f>
        <v>0</v>
      </c>
      <c r="P385" s="25" t="str">
        <f>IFERROR(VLOOKUP(B385,'03. THIẾT BỊ'!$B$1:$S$836,15,0),"")</f>
        <v>CK-CGH</v>
      </c>
      <c r="Q385" s="23">
        <f>IFERROR(VLOOKUP(B385,'03. THIẾT BỊ'!$B$1:$S$836,16,0),"")</f>
        <v>0</v>
      </c>
      <c r="R385" s="25">
        <f>IFERROR(VLOOKUP(B385,'03. THIẾT BỊ'!$B$1:$S$836,17,0),"")</f>
        <v>0</v>
      </c>
      <c r="S385" s="25" t="str">
        <f>IFERROR(VLOOKUP(B385,'03. THIẾT BỊ'!$B$1:$S$836,18,0),"")</f>
        <v>44 buồng</v>
      </c>
      <c r="T385" s="41"/>
    </row>
    <row r="386" customHeight="1" spans="1:20">
      <c r="A386" s="19">
        <f t="shared" si="18"/>
        <v>20</v>
      </c>
      <c r="B386" s="20" t="s">
        <v>4877</v>
      </c>
      <c r="C386" s="613" t="str">
        <f>IFERROR(VLOOKUP(B386,'03. THIẾT BỊ'!$B$1:$S$836,2,0),"")</f>
        <v>RMC 77-VC KLH(XD3-RMC-003)</v>
      </c>
      <c r="D386" s="24" t="str">
        <f>IFERROR(VLOOKUP(B386,'03. THIẾT BỊ'!$B$1:$S$836,3,0),"")</f>
        <v>A24-RMC-006</v>
      </c>
      <c r="E386" s="20" t="str">
        <f>IFERROR(VLOOKUP(B386,'03. THIẾT BỊ'!$B$1:$S$836,4,0),"")</f>
        <v>ĐQSD</v>
      </c>
      <c r="F386" s="20" t="str">
        <f>IFERROR(VLOOKUP(B386,'03. THIẾT BỊ'!$B$1:$S$836,5,0),"")</f>
        <v>Rơ mooc thu hoạch</v>
      </c>
      <c r="G386" s="101" t="s">
        <v>6468</v>
      </c>
      <c r="H386" s="19" t="str">
        <f>IFERROR(VLOOKUP(B386,'03. THIẾT BỊ'!$B$1:$S$836,7,0),"")</f>
        <v>XN Chuối LP3</v>
      </c>
      <c r="I386" s="610">
        <f>IFERROR(VLOOKUP(B386,'03. THIẾT BỊ'!$B$1:$S$836,8,0),"")</f>
        <v>0</v>
      </c>
      <c r="J386" s="25"/>
      <c r="K386" s="19" t="str">
        <f>IFERROR(VLOOKUP(B386,'03. THIẾT BỊ'!$B$1:$S$836,10,0),"")</f>
        <v>Bình thường</v>
      </c>
      <c r="L386" s="25">
        <f>IFERROR(VLOOKUP(B386,'03. THIẾT BỊ'!$B$1:$S$836,11,0),"")</f>
        <v>0</v>
      </c>
      <c r="M386" s="24">
        <f>IFERROR(VLOOKUP(B386,'03. THIẾT BỊ'!$B$1:$S$836,12,0),"")</f>
        <v>0</v>
      </c>
      <c r="N386" s="25" t="str">
        <f>IFERROR(VLOOKUP(B386,'03. THIẾT BỊ'!$B$1:$S$836,13,0),"")</f>
        <v>THACO AGRI</v>
      </c>
      <c r="O386" s="24">
        <f>IFERROR(VLOOKUP(B386,'03. THIẾT BỊ'!$B$1:$S$836,14,0),"")</f>
        <v>0</v>
      </c>
      <c r="P386" s="25" t="str">
        <f>IFERROR(VLOOKUP(B386,'03. THIẾT BỊ'!$B$1:$S$836,15,0),"")</f>
        <v>CK-CGH</v>
      </c>
      <c r="Q386" s="23">
        <f>IFERROR(VLOOKUP(B386,'03. THIẾT BỊ'!$B$1:$S$836,16,0),"")</f>
        <v>0</v>
      </c>
      <c r="R386" s="25">
        <f>IFERROR(VLOOKUP(B386,'03. THIẾT BỊ'!$B$1:$S$836,17,0),"")</f>
        <v>0</v>
      </c>
      <c r="S386" s="25" t="str">
        <f>IFERROR(VLOOKUP(B386,'03. THIẾT BỊ'!$B$1:$S$836,18,0),"")</f>
        <v>44 buồng</v>
      </c>
      <c r="T386" s="615"/>
    </row>
    <row r="387" customHeight="1" spans="1:20">
      <c r="A387" s="19">
        <f t="shared" si="18"/>
        <v>21</v>
      </c>
      <c r="B387" s="20" t="s">
        <v>5047</v>
      </c>
      <c r="C387" s="613" t="str">
        <f>IFERROR(VLOOKUP(B387,'03. THIẾT BỊ'!$B$1:$S$836,2,0),"")</f>
        <v>LP4-RMC-002</v>
      </c>
      <c r="D387" s="24" t="str">
        <f>IFERROR(VLOOKUP(B387,'03. THIẾT BỊ'!$B$1:$S$836,3,0),"")</f>
        <v>A24-RMC-002</v>
      </c>
      <c r="E387" s="20">
        <f>IFERROR(VLOOKUP(B387,'03. THIẾT BỊ'!$B$1:$S$836,4,0),"")</f>
        <v>0</v>
      </c>
      <c r="F387" s="20" t="str">
        <f>IFERROR(VLOOKUP(B387,'03. THIẾT BỊ'!$B$1:$S$836,5,0),"")</f>
        <v>Rơ mooc thu hoạch</v>
      </c>
      <c r="G387" s="101" t="s">
        <v>6468</v>
      </c>
      <c r="H387" s="19" t="str">
        <f>IFERROR(VLOOKUP(B387,'03. THIẾT BỊ'!$B$1:$S$836,7,0),"")</f>
        <v>XN Chuối LP4</v>
      </c>
      <c r="I387" s="610">
        <f>IFERROR(VLOOKUP(B387,'03. THIẾT BỊ'!$B$1:$S$836,8,0),"")</f>
        <v>0</v>
      </c>
      <c r="J387" s="25"/>
      <c r="K387" s="19" t="str">
        <f>IFERROR(VLOOKUP(B387,'03. THIẾT BỊ'!$B$1:$S$836,10,0),"")</f>
        <v>Bình thường</v>
      </c>
      <c r="L387" s="25">
        <f>IFERROR(VLOOKUP(B387,'03. THIẾT BỊ'!$B$1:$S$836,11,0),"")</f>
        <v>0</v>
      </c>
      <c r="M387" s="24">
        <f>IFERROR(VLOOKUP(B387,'03. THIẾT BỊ'!$B$1:$S$836,12,0),"")</f>
        <v>0</v>
      </c>
      <c r="N387" s="25" t="str">
        <f>IFERROR(VLOOKUP(B387,'03. THIẾT BỊ'!$B$1:$S$836,13,0),"")</f>
        <v>THACO AGRI</v>
      </c>
      <c r="O387" s="24">
        <f>IFERROR(VLOOKUP(B387,'03. THIẾT BỊ'!$B$1:$S$836,14,0),"")</f>
        <v>0</v>
      </c>
      <c r="P387" s="25" t="str">
        <f>IFERROR(VLOOKUP(B387,'03. THIẾT BỊ'!$B$1:$S$836,15,0),"")</f>
        <v>CK-CGH</v>
      </c>
      <c r="Q387" s="23">
        <f>IFERROR(VLOOKUP(B387,'03. THIẾT BỊ'!$B$1:$S$836,16,0),"")</f>
        <v>0</v>
      </c>
      <c r="R387" s="25">
        <f>IFERROR(VLOOKUP(B387,'03. THIẾT BỊ'!$B$1:$S$836,17,0),"")</f>
        <v>0</v>
      </c>
      <c r="S387" s="25">
        <f>IFERROR(VLOOKUP(B387,'03. THIẾT BỊ'!$B$1:$S$836,18,0),"")</f>
        <v>0</v>
      </c>
      <c r="T387" s="41"/>
    </row>
    <row r="388" customHeight="1" spans="1:20">
      <c r="A388" s="19">
        <f t="shared" si="18"/>
        <v>22</v>
      </c>
      <c r="B388" s="20" t="s">
        <v>5124</v>
      </c>
      <c r="C388" s="613" t="str">
        <f>IFERROR(VLOOKUP(B388,'03. THIẾT BỊ'!$B$1:$S$836,2,0),"")</f>
        <v>RMC01</v>
      </c>
      <c r="D388" s="24" t="str">
        <f>IFERROR(VLOOKUP(B388,'03. THIẾT BỊ'!$B$1:$S$836,3,0),"")</f>
        <v>A22-RMC-001</v>
      </c>
      <c r="E388" s="20" t="str">
        <f>IFERROR(VLOOKUP(B388,'03. THIẾT BỊ'!$B$1:$S$836,4,0),"")</f>
        <v>ĐQSD</v>
      </c>
      <c r="F388" s="20" t="str">
        <f>IFERROR(VLOOKUP(B388,'03. THIẾT BỊ'!$B$1:$S$836,5,0),"")</f>
        <v>Rơ mooc thu hoạch xoài</v>
      </c>
      <c r="G388" s="101" t="s">
        <v>6468</v>
      </c>
      <c r="H388" s="19" t="str">
        <f>IFERROR(VLOOKUP(B388,'03. THIẾT BỊ'!$B$1:$S$836,7,0),"")</f>
        <v>Xoài AD</v>
      </c>
      <c r="I388" s="610">
        <f>IFERROR(VLOOKUP(B388,'03. THIẾT BỊ'!$B$1:$S$836,8,0),"")</f>
        <v>0</v>
      </c>
      <c r="J388" s="25"/>
      <c r="K388" s="19" t="str">
        <f>IFERROR(VLOOKUP(B388,'03. THIẾT BỊ'!$B$1:$S$836,10,0),"")</f>
        <v>Bình thường</v>
      </c>
      <c r="L388" s="25">
        <f>IFERROR(VLOOKUP(B388,'03. THIẾT BỊ'!$B$1:$S$836,11,0),"")</f>
        <v>0</v>
      </c>
      <c r="M388" s="24">
        <f>IFERROR(VLOOKUP(B388,'03. THIẾT BỊ'!$B$1:$S$836,12,0),"")</f>
        <v>0</v>
      </c>
      <c r="N388" s="25" t="str">
        <f>IFERROR(VLOOKUP(B388,'03. THIẾT BỊ'!$B$1:$S$836,13,0),"")</f>
        <v>THACO AGRI</v>
      </c>
      <c r="O388" s="24">
        <f>IFERROR(VLOOKUP(B388,'03. THIẾT BỊ'!$B$1:$S$836,14,0),"")</f>
        <v>0</v>
      </c>
      <c r="P388" s="25" t="str">
        <f>IFERROR(VLOOKUP(B388,'03. THIẾT BỊ'!$B$1:$S$836,15,0),"")</f>
        <v>CK-CGH</v>
      </c>
      <c r="Q388" s="23">
        <f>IFERROR(VLOOKUP(B388,'03. THIẾT BỊ'!$B$1:$S$836,16,0),"")</f>
        <v>0</v>
      </c>
      <c r="R388" s="25">
        <f>IFERROR(VLOOKUP(B388,'03. THIẾT BỊ'!$B$1:$S$836,17,0),"")</f>
        <v>0</v>
      </c>
      <c r="S388" s="25">
        <f>IFERROR(VLOOKUP(B388,'03. THIẾT BỊ'!$B$1:$S$836,18,0),"")</f>
        <v>0</v>
      </c>
      <c r="T388" s="615"/>
    </row>
    <row r="389" customHeight="1" spans="1:20">
      <c r="A389" s="19">
        <f t="shared" si="18"/>
        <v>23</v>
      </c>
      <c r="B389" s="20" t="s">
        <v>5330</v>
      </c>
      <c r="C389" s="613" t="str">
        <f>IFERROR(VLOOKUP(B389,'03. THIẾT BỊ'!$B$1:$S$836,2,0),"")</f>
        <v>XD3-RMC-002</v>
      </c>
      <c r="D389" s="24">
        <f>IFERROR(VLOOKUP(B389,'03. THIẾT BỊ'!$B$1:$S$836,3,0),"")</f>
        <v>0</v>
      </c>
      <c r="E389" s="20" t="str">
        <f>IFERROR(VLOOKUP(B389,'03. THIẾT BỊ'!$B$1:$S$836,4,0),"")</f>
        <v>ĐQSD</v>
      </c>
      <c r="F389" s="20" t="str">
        <f>IFERROR(VLOOKUP(B389,'03. THIẾT BỊ'!$B$1:$S$836,5,0),"")</f>
        <v>Rơ mooc thu hoạch</v>
      </c>
      <c r="G389" s="101" t="s">
        <v>6468</v>
      </c>
      <c r="H389" s="19" t="str">
        <f>IFERROR(VLOOKUP(B389,'03. THIẾT BỊ'!$B$1:$S$836,7,0),"")</f>
        <v>XN Bò AD</v>
      </c>
      <c r="I389" s="610">
        <f>IFERROR(VLOOKUP(B389,'03. THIẾT BỊ'!$B$1:$S$836,8,0),"")</f>
        <v>45545</v>
      </c>
      <c r="J389" s="25"/>
      <c r="K389" s="19" t="str">
        <f>IFERROR(VLOOKUP(B389,'03. THIẾT BỊ'!$B$1:$S$836,10,0),"")</f>
        <v>Hư hỏng</v>
      </c>
      <c r="L389" s="1108" t="str">
        <f>IFERROR(VLOOKUP(B389,'03. THIẾT BỊ'!$B$1:$S$836,11,0),"")</f>
        <v>- Đ,chuyển từ XN DP3 09.10.2024</v>
      </c>
      <c r="M389" s="24">
        <f>IFERROR(VLOOKUP(B389,'03. THIẾT BỊ'!$B$1:$S$836,12,0),"")</f>
        <v>0</v>
      </c>
      <c r="N389" s="25" t="str">
        <f>IFERROR(VLOOKUP(B389,'03. THIẾT BỊ'!$B$1:$S$836,13,0),"")</f>
        <v>THACO AGRI</v>
      </c>
      <c r="O389" s="24" t="str">
        <f>IFERROR(VLOOKUP(B389,'03. THIẾT BỊ'!$B$1:$S$836,14,0),"")</f>
        <v>RM thu hoạch</v>
      </c>
      <c r="P389" s="25" t="str">
        <f>IFERROR(VLOOKUP(B389,'03. THIẾT BỊ'!$B$1:$S$836,15,0),"")</f>
        <v>CK-CGH</v>
      </c>
      <c r="Q389" s="23">
        <f>IFERROR(VLOOKUP(B389,'03. THIẾT BỊ'!$B$1:$S$836,16,0),"")</f>
        <v>0</v>
      </c>
      <c r="R389" s="25">
        <f>IFERROR(VLOOKUP(B389,'03. THIẾT BỊ'!$B$1:$S$836,17,0),"")</f>
        <v>0</v>
      </c>
      <c r="S389" s="25">
        <f>IFERROR(VLOOKUP(B389,'03. THIẾT BỊ'!$B$1:$S$836,18,0),"")</f>
        <v>0</v>
      </c>
      <c r="T389" s="41"/>
    </row>
    <row r="390" customHeight="1" spans="1:20">
      <c r="A390" s="19">
        <f t="shared" si="18"/>
        <v>24</v>
      </c>
      <c r="B390" s="20" t="s">
        <v>5334</v>
      </c>
      <c r="C390" s="613" t="str">
        <f>IFERROR(VLOOKUP(B390,'03. THIẾT BỊ'!$B$1:$S$836,2,0),"")</f>
        <v>XD3-RMC-007</v>
      </c>
      <c r="D390" s="24">
        <f>IFERROR(VLOOKUP(B390,'03. THIẾT BỊ'!$B$1:$S$836,3,0),"")</f>
        <v>0</v>
      </c>
      <c r="E390" s="20" t="str">
        <f>IFERROR(VLOOKUP(B390,'03. THIẾT BỊ'!$B$1:$S$836,4,0),"")</f>
        <v>ĐQSD</v>
      </c>
      <c r="F390" s="20" t="str">
        <f>IFERROR(VLOOKUP(B390,'03. THIẾT BỊ'!$B$1:$S$836,5,0),"")</f>
        <v>Rơ mooc thu hoạch</v>
      </c>
      <c r="G390" s="101" t="s">
        <v>6468</v>
      </c>
      <c r="H390" s="19" t="str">
        <f>IFERROR(VLOOKUP(B390,'03. THIẾT BỊ'!$B$1:$S$836,7,0),"")</f>
        <v>XN Bò AD</v>
      </c>
      <c r="I390" s="610">
        <f>IFERROR(VLOOKUP(B390,'03. THIẾT BỊ'!$B$1:$S$836,8,0),"")</f>
        <v>45545</v>
      </c>
      <c r="J390" s="25"/>
      <c r="K390" s="19" t="str">
        <f>IFERROR(VLOOKUP(B390,'03. THIẾT BỊ'!$B$1:$S$836,10,0),"")</f>
        <v>Hư hỏng</v>
      </c>
      <c r="L390" s="1108" t="str">
        <f>IFERROR(VLOOKUP(B390,'03. THIẾT BỊ'!$B$1:$S$836,11,0),"")</f>
        <v>- Đ,chuyển từ XN DP3 09.10.2024</v>
      </c>
      <c r="M390" s="24">
        <f>IFERROR(VLOOKUP(B390,'03. THIẾT BỊ'!$B$1:$S$836,12,0),"")</f>
        <v>0</v>
      </c>
      <c r="N390" s="25" t="str">
        <f>IFERROR(VLOOKUP(B390,'03. THIẾT BỊ'!$B$1:$S$836,13,0),"")</f>
        <v>THACO AGRI</v>
      </c>
      <c r="O390" s="24" t="str">
        <f>IFERROR(VLOOKUP(B390,'03. THIẾT BỊ'!$B$1:$S$836,14,0),"")</f>
        <v>RM thu hoạch</v>
      </c>
      <c r="P390" s="25" t="str">
        <f>IFERROR(VLOOKUP(B390,'03. THIẾT BỊ'!$B$1:$S$836,15,0),"")</f>
        <v>CK-CGH</v>
      </c>
      <c r="Q390" s="23">
        <f>IFERROR(VLOOKUP(B390,'03. THIẾT BỊ'!$B$1:$S$836,16,0),"")</f>
        <v>0</v>
      </c>
      <c r="R390" s="25">
        <f>IFERROR(VLOOKUP(B390,'03. THIẾT BỊ'!$B$1:$S$836,17,0),"")</f>
        <v>0</v>
      </c>
      <c r="S390" s="25">
        <f>IFERROR(VLOOKUP(B390,'03. THIẾT BỊ'!$B$1:$S$836,18,0),"")</f>
        <v>0</v>
      </c>
      <c r="T390" s="41"/>
    </row>
    <row r="391" customHeight="1" spans="1:20">
      <c r="A391" s="19">
        <f t="shared" si="18"/>
        <v>25</v>
      </c>
      <c r="B391" s="20" t="s">
        <v>5336</v>
      </c>
      <c r="C391" s="613" t="str">
        <f>IFERROR(VLOOKUP(B391,'03. THIẾT BỊ'!$B$1:$S$836,2,0),"")</f>
        <v>XA2-RMC-008</v>
      </c>
      <c r="D391" s="24">
        <f>IFERROR(VLOOKUP(B391,'03. THIẾT BỊ'!$B$1:$S$836,3,0),"")</f>
        <v>0</v>
      </c>
      <c r="E391" s="20" t="str">
        <f>IFERROR(VLOOKUP(B391,'03. THIẾT BỊ'!$B$1:$S$836,4,0),"")</f>
        <v>ĐQSD</v>
      </c>
      <c r="F391" s="20" t="str">
        <f>IFERROR(VLOOKUP(B391,'03. THIẾT BỊ'!$B$1:$S$836,5,0),"")</f>
        <v>Rơ mooc thu hoạch</v>
      </c>
      <c r="G391" s="101" t="s">
        <v>6468</v>
      </c>
      <c r="H391" s="19" t="str">
        <f>IFERROR(VLOOKUP(B391,'03. THIẾT BỊ'!$B$1:$S$836,7,0),"")</f>
        <v>XN Bò AD</v>
      </c>
      <c r="I391" s="610">
        <f>IFERROR(VLOOKUP(B391,'03. THIẾT BỊ'!$B$1:$S$836,8,0),"")</f>
        <v>45545</v>
      </c>
      <c r="J391" s="25"/>
      <c r="K391" s="19" t="str">
        <f>IFERROR(VLOOKUP(B391,'03. THIẾT BỊ'!$B$1:$S$836,10,0),"")</f>
        <v>Hư hỏng</v>
      </c>
      <c r="L391" s="1108" t="str">
        <f>IFERROR(VLOOKUP(B391,'03. THIẾT BỊ'!$B$1:$S$836,11,0),"")</f>
        <v>- Đ,chuyển từ XN AD2 09.10.2024</v>
      </c>
      <c r="M391" s="24">
        <f>IFERROR(VLOOKUP(B391,'03. THIẾT BỊ'!$B$1:$S$836,12,0),"")</f>
        <v>0</v>
      </c>
      <c r="N391" s="25" t="str">
        <f>IFERROR(VLOOKUP(B391,'03. THIẾT BỊ'!$B$1:$S$836,13,0),"")</f>
        <v>THACO AGRI</v>
      </c>
      <c r="O391" s="24" t="str">
        <f>IFERROR(VLOOKUP(B391,'03. THIẾT BỊ'!$B$1:$S$836,14,0),"")</f>
        <v>RM thu hoạch</v>
      </c>
      <c r="P391" s="25" t="str">
        <f>IFERROR(VLOOKUP(B391,'03. THIẾT BỊ'!$B$1:$S$836,15,0),"")</f>
        <v>CK-CGH</v>
      </c>
      <c r="Q391" s="23">
        <f>IFERROR(VLOOKUP(B391,'03. THIẾT BỊ'!$B$1:$S$836,16,0),"")</f>
        <v>0</v>
      </c>
      <c r="R391" s="25">
        <f>IFERROR(VLOOKUP(B391,'03. THIẾT BỊ'!$B$1:$S$836,17,0),"")</f>
        <v>0</v>
      </c>
      <c r="S391" s="25">
        <f>IFERROR(VLOOKUP(B391,'03. THIẾT BỊ'!$B$1:$S$836,18,0),"")</f>
        <v>0</v>
      </c>
      <c r="T391" s="41"/>
    </row>
    <row r="392" customHeight="1" spans="1:20">
      <c r="A392" s="19">
        <f t="shared" si="18"/>
        <v>26</v>
      </c>
      <c r="B392" s="20" t="s">
        <v>3868</v>
      </c>
      <c r="C392" s="613" t="str">
        <f>IFERROR(VLOOKUP(B392,'03. THIẾT BỊ'!$B$1:$S$836,2,0),"")</f>
        <v>RMC 88 - VC KLH</v>
      </c>
      <c r="D392" s="24" t="str">
        <f>IFERROR(VLOOKUP(B392,'03. THIẾT BỊ'!$B$1:$S$836,3,0),"")</f>
        <v>A23-RMC-001</v>
      </c>
      <c r="E392" s="20" t="str">
        <f>IFERROR(VLOOKUP(B392,'03. THIẾT BỊ'!$B$1:$S$836,4,0),"")</f>
        <v>ĐQSD</v>
      </c>
      <c r="F392" s="20" t="str">
        <f>IFERROR(VLOOKUP(B392,'03. THIẾT BỊ'!$B$1:$S$836,5,0),"")</f>
        <v>Rơ mooc thu hoạch</v>
      </c>
      <c r="G392" s="101" t="s">
        <v>6468</v>
      </c>
      <c r="H392" s="19" t="str">
        <f>IFERROR(VLOOKUP(B392,'03. THIẾT BỊ'!$B$1:$S$836,7,0),"")</f>
        <v>CGLĐ DP</v>
      </c>
      <c r="I392" s="610">
        <f>IFERROR(VLOOKUP(B392,'03. THIẾT BỊ'!$B$1:$S$836,8,0),"")</f>
        <v>0</v>
      </c>
      <c r="J392" s="25"/>
      <c r="K392" s="19" t="str">
        <f>IFERROR(VLOOKUP(B392,'03. THIẾT BỊ'!$B$1:$S$836,10,0),"")</f>
        <v>Bình thường</v>
      </c>
      <c r="L392" s="25">
        <f>IFERROR(VLOOKUP(B392,'03. THIẾT BỊ'!$B$1:$S$836,11,0),"")</f>
        <v>0</v>
      </c>
      <c r="M392" s="24">
        <f>IFERROR(VLOOKUP(B392,'03. THIẾT BỊ'!$B$1:$S$836,12,0),"")</f>
        <v>0</v>
      </c>
      <c r="N392" s="25" t="str">
        <f>IFERROR(VLOOKUP(B392,'03. THIẾT BỊ'!$B$1:$S$836,13,0),"")</f>
        <v>THACO AGRI</v>
      </c>
      <c r="O392" s="24">
        <f>IFERROR(VLOOKUP(B392,'03. THIẾT BỊ'!$B$1:$S$836,14,0),"")</f>
        <v>0</v>
      </c>
      <c r="P392" s="25" t="str">
        <f>IFERROR(VLOOKUP(B392,'03. THIẾT BỊ'!$B$1:$S$836,15,0),"")</f>
        <v>CK-CGH</v>
      </c>
      <c r="Q392" s="23">
        <f>IFERROR(VLOOKUP(B392,'03. THIẾT BỊ'!$B$1:$S$836,16,0),"")</f>
        <v>0</v>
      </c>
      <c r="R392" s="25">
        <f>IFERROR(VLOOKUP(B392,'03. THIẾT BỊ'!$B$1:$S$836,17,0),"")</f>
        <v>0</v>
      </c>
      <c r="S392" s="25" t="str">
        <f>IFERROR(VLOOKUP(B392,'03. THIẾT BỊ'!$B$1:$S$836,18,0),"")</f>
        <v>2m3</v>
      </c>
      <c r="T392" s="41"/>
    </row>
    <row r="393" customHeight="1" spans="1:20">
      <c r="A393" s="19"/>
      <c r="B393" s="20"/>
      <c r="C393" s="613" t="str">
        <f>IFERROR(VLOOKUP(B393,'03. THIẾT BỊ'!$B$1:$S$836,2,0),"")</f>
        <v/>
      </c>
      <c r="D393" s="24" t="str">
        <f>IFERROR(VLOOKUP(B393,'03. THIẾT BỊ'!$B$1:$S$836,3,0),"")</f>
        <v/>
      </c>
      <c r="E393" s="20" t="str">
        <f>IFERROR(VLOOKUP(B393,'03. THIẾT BỊ'!$B$1:$S$836,4,0),"")</f>
        <v/>
      </c>
      <c r="F393" s="20" t="str">
        <f>IFERROR(VLOOKUP(B393,'03. THIẾT BỊ'!$B$1:$S$836,5,0),"")</f>
        <v/>
      </c>
      <c r="G393" s="101" t="s">
        <v>6468</v>
      </c>
      <c r="H393" s="19" t="str">
        <f>IFERROR(VLOOKUP(B393,'03. THIẾT BỊ'!$B$1:$S$836,7,0),"")</f>
        <v/>
      </c>
      <c r="I393" s="610" t="str">
        <f>IFERROR(VLOOKUP(B393,'03. THIẾT BỊ'!$B$1:$S$836,8,0),"")</f>
        <v/>
      </c>
      <c r="J393" s="25"/>
      <c r="K393" s="19" t="str">
        <f>IFERROR(VLOOKUP(B393,'03. THIẾT BỊ'!$B$1:$S$836,10,0),"")</f>
        <v/>
      </c>
      <c r="L393" s="25" t="str">
        <f>IFERROR(VLOOKUP(B393,'03. THIẾT BỊ'!$B$1:$S$836,11,0),"")</f>
        <v/>
      </c>
      <c r="M393" s="24" t="str">
        <f>IFERROR(VLOOKUP(B393,'03. THIẾT BỊ'!$B$1:$S$836,12,0),"")</f>
        <v/>
      </c>
      <c r="N393" s="25" t="str">
        <f>IFERROR(VLOOKUP(B393,'03. THIẾT BỊ'!$B$1:$S$836,13,0),"")</f>
        <v/>
      </c>
      <c r="O393" s="24" t="str">
        <f>IFERROR(VLOOKUP(B393,'03. THIẾT BỊ'!$B$1:$S$836,14,0),"")</f>
        <v/>
      </c>
      <c r="P393" s="25" t="str">
        <f>IFERROR(VLOOKUP(B393,'03. THIẾT BỊ'!$B$1:$S$836,15,0),"")</f>
        <v/>
      </c>
      <c r="Q393" s="23" t="str">
        <f>IFERROR(VLOOKUP(B393,'03. THIẾT BỊ'!$B$1:$S$836,16,0),"")</f>
        <v/>
      </c>
      <c r="R393" s="25" t="str">
        <f>IFERROR(VLOOKUP(B393,'03. THIẾT BỊ'!$B$1:$S$836,17,0),"")</f>
        <v/>
      </c>
      <c r="S393" s="25" t="str">
        <f>IFERROR(VLOOKUP(B393,'03. THIẾT BỊ'!$B$1:$S$836,18,0),"")</f>
        <v/>
      </c>
      <c r="T393" s="41"/>
    </row>
    <row r="394" hidden="1" customHeight="1" spans="1:20">
      <c r="A394" s="19"/>
      <c r="B394" s="20"/>
      <c r="C394" s="613" t="str">
        <f>IFERROR(VLOOKUP(B394,'03. THIẾT BỊ'!$B$1:$S$836,2,0),"")</f>
        <v/>
      </c>
      <c r="D394" s="24" t="str">
        <f>IFERROR(VLOOKUP(B394,'03. THIẾT BỊ'!$B$1:$S$836,3,0),"")</f>
        <v/>
      </c>
      <c r="E394" s="20" t="str">
        <f>IFERROR(VLOOKUP(B394,'03. THIẾT BỊ'!$B$1:$S$836,4,0),"")</f>
        <v/>
      </c>
      <c r="F394" s="20" t="str">
        <f>IFERROR(VLOOKUP(B394,'03. THIẾT BỊ'!$B$1:$S$836,5,0),"")</f>
        <v/>
      </c>
      <c r="G394" s="101" t="s">
        <v>6468</v>
      </c>
      <c r="H394" s="19" t="str">
        <f>IFERROR(VLOOKUP(B394,'03. THIẾT BỊ'!$B$1:$S$836,7,0),"")</f>
        <v/>
      </c>
      <c r="I394" s="610" t="str">
        <f>IFERROR(VLOOKUP(B394,'03. THIẾT BỊ'!$B$1:$S$836,8,0),"")</f>
        <v/>
      </c>
      <c r="J394" s="25"/>
      <c r="K394" s="19" t="str">
        <f>IFERROR(VLOOKUP(B394,'03. THIẾT BỊ'!$B$1:$S$836,10,0),"")</f>
        <v/>
      </c>
      <c r="L394" s="25" t="str">
        <f>IFERROR(VLOOKUP(B394,'03. THIẾT BỊ'!$B$1:$S$836,11,0),"")</f>
        <v/>
      </c>
      <c r="M394" s="24" t="str">
        <f>IFERROR(VLOOKUP(B394,'03. THIẾT BỊ'!$B$1:$S$836,12,0),"")</f>
        <v/>
      </c>
      <c r="N394" s="25" t="str">
        <f>IFERROR(VLOOKUP(B394,'03. THIẾT BỊ'!$B$1:$S$836,13,0),"")</f>
        <v/>
      </c>
      <c r="O394" s="24" t="str">
        <f>IFERROR(VLOOKUP(B394,'03. THIẾT BỊ'!$B$1:$S$836,14,0),"")</f>
        <v/>
      </c>
      <c r="P394" s="25" t="str">
        <f>IFERROR(VLOOKUP(B394,'03. THIẾT BỊ'!$B$1:$S$836,15,0),"")</f>
        <v/>
      </c>
      <c r="Q394" s="23" t="str">
        <f>IFERROR(VLOOKUP(B394,'03. THIẾT BỊ'!$B$1:$S$836,16,0),"")</f>
        <v/>
      </c>
      <c r="R394" s="25" t="str">
        <f>IFERROR(VLOOKUP(B394,'03. THIẾT BỊ'!$B$1:$S$836,17,0),"")</f>
        <v/>
      </c>
      <c r="S394" s="25" t="str">
        <f>IFERROR(VLOOKUP(B394,'03. THIẾT BỊ'!$B$1:$S$836,18,0),"")</f>
        <v/>
      </c>
      <c r="T394" s="41"/>
    </row>
    <row r="395" hidden="1" customHeight="1" spans="1:20">
      <c r="A395" s="19"/>
      <c r="B395" s="20"/>
      <c r="C395" s="613" t="str">
        <f>IFERROR(VLOOKUP(B395,'03. THIẾT BỊ'!$B$1:$S$836,2,0),"")</f>
        <v/>
      </c>
      <c r="D395" s="24" t="str">
        <f>IFERROR(VLOOKUP(B395,'03. THIẾT BỊ'!$B$1:$S$836,3,0),"")</f>
        <v/>
      </c>
      <c r="E395" s="20" t="str">
        <f>IFERROR(VLOOKUP(B395,'03. THIẾT BỊ'!$B$1:$S$836,4,0),"")</f>
        <v/>
      </c>
      <c r="F395" s="20" t="str">
        <f>IFERROR(VLOOKUP(B395,'03. THIẾT BỊ'!$B$1:$S$836,5,0),"")</f>
        <v/>
      </c>
      <c r="G395" s="101" t="s">
        <v>6468</v>
      </c>
      <c r="H395" s="19" t="str">
        <f>IFERROR(VLOOKUP(B395,'03. THIẾT BỊ'!$B$1:$S$836,7,0),"")</f>
        <v/>
      </c>
      <c r="I395" s="610" t="str">
        <f>IFERROR(VLOOKUP(B395,'03. THIẾT BỊ'!$B$1:$S$836,8,0),"")</f>
        <v/>
      </c>
      <c r="J395" s="25"/>
      <c r="K395" s="19" t="str">
        <f>IFERROR(VLOOKUP(B395,'03. THIẾT BỊ'!$B$1:$S$836,10,0),"")</f>
        <v/>
      </c>
      <c r="L395" s="25" t="str">
        <f>IFERROR(VLOOKUP(B395,'03. THIẾT BỊ'!$B$1:$S$836,11,0),"")</f>
        <v/>
      </c>
      <c r="M395" s="24" t="str">
        <f>IFERROR(VLOOKUP(B395,'03. THIẾT BỊ'!$B$1:$S$836,12,0),"")</f>
        <v/>
      </c>
      <c r="N395" s="25" t="str">
        <f>IFERROR(VLOOKUP(B395,'03. THIẾT BỊ'!$B$1:$S$836,13,0),"")</f>
        <v/>
      </c>
      <c r="O395" s="24" t="str">
        <f>IFERROR(VLOOKUP(B395,'03. THIẾT BỊ'!$B$1:$S$836,14,0),"")</f>
        <v/>
      </c>
      <c r="P395" s="25" t="str">
        <f>IFERROR(VLOOKUP(B395,'03. THIẾT BỊ'!$B$1:$S$836,15,0),"")</f>
        <v/>
      </c>
      <c r="Q395" s="23" t="str">
        <f>IFERROR(VLOOKUP(B395,'03. THIẾT BỊ'!$B$1:$S$836,16,0),"")</f>
        <v/>
      </c>
      <c r="R395" s="25" t="str">
        <f>IFERROR(VLOOKUP(B395,'03. THIẾT BỊ'!$B$1:$S$836,17,0),"")</f>
        <v/>
      </c>
      <c r="S395" s="25" t="str">
        <f>IFERROR(VLOOKUP(B395,'03. THIẾT BỊ'!$B$1:$S$836,18,0),"")</f>
        <v/>
      </c>
      <c r="T395" s="41"/>
    </row>
    <row r="396" ht="13.8" hidden="1" spans="1:20">
      <c r="C396" s="613" t="str">
        <f>IFERROR(VLOOKUP(B396,'03. THIẾT BỊ'!$B$1:$S$836,2,0),"")</f>
        <v/>
      </c>
      <c r="D396" s="24" t="str">
        <f>IFERROR(VLOOKUP(B396,'03. THIẾT BỊ'!$B$1:$S$836,3,0),"")</f>
        <v/>
      </c>
      <c r="E396" s="20" t="str">
        <f>IFERROR(VLOOKUP(B396,'03. THIẾT BỊ'!$B$1:$S$836,4,0),"")</f>
        <v/>
      </c>
      <c r="F396" s="20" t="str">
        <f>IFERROR(VLOOKUP(B396,'03. THIẾT BỊ'!$B$1:$S$836,5,0),"")</f>
        <v/>
      </c>
      <c r="G396" s="101" t="s">
        <v>6468</v>
      </c>
      <c r="H396" s="19" t="str">
        <f>IFERROR(VLOOKUP(B396,'03. THIẾT BỊ'!$B$1:$S$836,7,0),"")</f>
        <v/>
      </c>
      <c r="I396" s="610" t="str">
        <f>IFERROR(VLOOKUP(B396,'03. THIẾT BỊ'!$B$1:$S$836,8,0),"")</f>
        <v/>
      </c>
      <c r="J396" s="25"/>
      <c r="K396" s="19" t="str">
        <f>IFERROR(VLOOKUP(B396,'03. THIẾT BỊ'!$B$1:$S$836,10,0),"")</f>
        <v/>
      </c>
      <c r="L396" s="25" t="str">
        <f>IFERROR(VLOOKUP(B396,'03. THIẾT BỊ'!$B$1:$S$836,11,0),"")</f>
        <v/>
      </c>
      <c r="M396" s="24" t="str">
        <f>IFERROR(VLOOKUP(B396,'03. THIẾT BỊ'!$B$1:$S$836,12,0),"")</f>
        <v/>
      </c>
      <c r="N396" s="25" t="str">
        <f>IFERROR(VLOOKUP(B396,'03. THIẾT BỊ'!$B$1:$S$836,13,0),"")</f>
        <v/>
      </c>
      <c r="O396" s="24" t="str">
        <f>IFERROR(VLOOKUP(B396,'03. THIẾT BỊ'!$B$1:$S$836,14,0),"")</f>
        <v/>
      </c>
      <c r="P396" s="25" t="str">
        <f>IFERROR(VLOOKUP(B396,'03. THIẾT BỊ'!$B$1:$S$836,15,0),"")</f>
        <v/>
      </c>
      <c r="Q396" s="23" t="str">
        <f>IFERROR(VLOOKUP(B396,'03. THIẾT BỊ'!$B$1:$S$836,16,0),"")</f>
        <v/>
      </c>
      <c r="R396" s="25" t="str">
        <f>IFERROR(VLOOKUP(B396,'03. THIẾT BỊ'!$B$1:$S$836,17,0),"")</f>
        <v/>
      </c>
      <c r="S396" s="25" t="str">
        <f>IFERROR(VLOOKUP(B396,'03. THIẾT BỊ'!$B$1:$S$836,18,0),"")</f>
        <v/>
      </c>
    </row>
    <row r="397" customHeight="1" spans="1:20">
      <c r="A397" s="14" t="s">
        <v>290</v>
      </c>
      <c r="B397" s="15" t="s">
        <v>6495</v>
      </c>
      <c r="C397" s="14">
        <f>COUNTA(B398:B410)</f>
        <v>11</v>
      </c>
      <c r="D397" s="17" t="str">
        <f>IFERROR(VLOOKUP(B397,'03. THIẾT BỊ'!$B$1:$S$836,3,0),"")</f>
        <v/>
      </c>
      <c r="E397" s="20" t="str">
        <f>IFERROR(VLOOKUP(B397,'03. THIẾT BỊ'!$B$1:$S$836,4,0),"")</f>
        <v/>
      </c>
      <c r="F397" s="17" t="str">
        <f>IFERROR(VLOOKUP(B397,'03. THIẾT BỊ'!$B$1:$S$836,5,0),"")</f>
        <v/>
      </c>
      <c r="G397" s="18" t="s">
        <v>6468</v>
      </c>
      <c r="H397" s="18" t="str">
        <f>IFERROR(VLOOKUP(B397,'03. THIẾT BỊ'!$B$1:$S$836,7,0),"")</f>
        <v/>
      </c>
      <c r="I397" s="14" t="str">
        <f>IFERROR(VLOOKUP(B397,'03. THIẾT BỊ'!$B$1:$S$836,8,0),"")</f>
        <v/>
      </c>
      <c r="J397" s="15"/>
      <c r="K397" s="14" t="str">
        <f>IFERROR(VLOOKUP(B397,'03. THIẾT BỊ'!$B$1:$S$836,10,0),"")</f>
        <v/>
      </c>
      <c r="L397" s="17" t="str">
        <f>IFERROR(VLOOKUP(B397,'03. THIẾT BỊ'!$B$1:$S$836,11,0),"")</f>
        <v/>
      </c>
      <c r="M397" s="16" t="str">
        <f>IFERROR(VLOOKUP(B397,'03. THIẾT BỊ'!$B$1:$S$836,12,0),"")</f>
        <v/>
      </c>
      <c r="N397" s="17" t="str">
        <f>IFERROR(VLOOKUP(B397,'03. THIẾT BỊ'!$B$1:$S$836,13,0),"")</f>
        <v/>
      </c>
      <c r="O397" s="16" t="str">
        <f>IFERROR(VLOOKUP(B397,'03. THIẾT BỊ'!$B$1:$S$836,14,0),"")</f>
        <v/>
      </c>
      <c r="P397" s="17" t="str">
        <f>IFERROR(VLOOKUP(B397,'03. THIẾT BỊ'!$B$1:$S$836,15,0),"")</f>
        <v/>
      </c>
      <c r="Q397" s="18" t="str">
        <f>IFERROR(VLOOKUP(B397,'03. THIẾT BỊ'!$B$1:$S$836,16,0),"")</f>
        <v/>
      </c>
      <c r="R397" s="17" t="str">
        <f>IFERROR(VLOOKUP(B397,'03. THIẾT BỊ'!$B$1:$S$836,17,0),"")</f>
        <v/>
      </c>
      <c r="S397" s="17" t="str">
        <f>IFERROR(VLOOKUP(B397,'03. THIẾT BỊ'!$B$1:$S$836,18,0),"")</f>
        <v/>
      </c>
      <c r="T397" s="609"/>
    </row>
    <row r="398" customHeight="1" spans="1:20">
      <c r="A398" s="19">
        <v>1</v>
      </c>
      <c r="B398" s="20" t="s">
        <v>4400</v>
      </c>
      <c r="C398" s="613" t="str">
        <f>IFERROR(VLOOKUP(B398,'03. THIẾT BỊ'!$B$1:$S$836,2,0),"")</f>
        <v>RMC 90-VC KLH</v>
      </c>
      <c r="D398" s="24" t="str">
        <f>IFERROR(VLOOKUP(B398,'03. THIẾT BỊ'!$B$1:$S$836,3,0),"")</f>
        <v>A23-RMB-001</v>
      </c>
      <c r="E398" s="20" t="str">
        <f>IFERROR(VLOOKUP(B398,'03. THIẾT BỊ'!$B$1:$S$836,4,0),"")</f>
        <v>ĐQSD</v>
      </c>
      <c r="F398" s="20" t="str">
        <f>IFERROR(VLOOKUP(B398,'03. THIẾT BỊ'!$B$1:$S$836,5,0),"")</f>
        <v>Rơ mooc thùng ben</v>
      </c>
      <c r="G398" s="101" t="s">
        <v>6468</v>
      </c>
      <c r="H398" s="19" t="str">
        <f>IFERROR(VLOOKUP(B398,'03. THIẾT BỊ'!$B$1:$S$836,7,0),"")</f>
        <v>XN Chuối DP2</v>
      </c>
      <c r="I398" s="610">
        <f>IFERROR(VLOOKUP(B398,'03. THIẾT BỊ'!$B$1:$S$836,8,0),"")</f>
        <v>0</v>
      </c>
      <c r="J398" s="25"/>
      <c r="K398" s="19" t="str">
        <f>IFERROR(VLOOKUP(B398,'03. THIẾT BỊ'!$B$1:$S$836,10,0),"")</f>
        <v>Bình thường</v>
      </c>
      <c r="L398" s="25">
        <f>IFERROR(VLOOKUP(B398,'03. THIẾT BỊ'!$B$1:$S$836,11,0),"")</f>
        <v>0</v>
      </c>
      <c r="M398" s="24">
        <f>IFERROR(VLOOKUP(B398,'03. THIẾT BỊ'!$B$1:$S$836,12,0),"")</f>
        <v>0</v>
      </c>
      <c r="N398" s="25" t="str">
        <f>IFERROR(VLOOKUP(B398,'03. THIẾT BỊ'!$B$1:$S$836,13,0),"")</f>
        <v>THACO AGRI</v>
      </c>
      <c r="O398" s="24">
        <f>IFERROR(VLOOKUP(B398,'03. THIẾT BỊ'!$B$1:$S$836,14,0),"")</f>
        <v>0</v>
      </c>
      <c r="P398" s="25" t="str">
        <f>IFERROR(VLOOKUP(B398,'03. THIẾT BỊ'!$B$1:$S$836,15,0),"")</f>
        <v>CK-CGH</v>
      </c>
      <c r="Q398" s="23">
        <f>IFERROR(VLOOKUP(B398,'03. THIẾT BỊ'!$B$1:$S$836,16,0),"")</f>
        <v>0</v>
      </c>
      <c r="R398" s="25">
        <f>IFERROR(VLOOKUP(B398,'03. THIẾT BỊ'!$B$1:$S$836,17,0),"")</f>
        <v>0</v>
      </c>
      <c r="S398" s="25" t="str">
        <f>IFERROR(VLOOKUP(B398,'03. THIẾT BỊ'!$B$1:$S$836,18,0),"")</f>
        <v>Thùng ben 2m3</v>
      </c>
      <c r="T398" s="615"/>
    </row>
    <row r="399" customHeight="1" spans="1:20">
      <c r="A399" s="19">
        <f t="shared" ref="A399:A408" si="19">A398+1</f>
        <v>2</v>
      </c>
      <c r="B399" s="20" t="s">
        <v>4404</v>
      </c>
      <c r="C399" s="613" t="str">
        <f>IFERROR(VLOOKUP(B399,'03. THIẾT BỊ'!$B$1:$S$836,2,0),"")</f>
        <v>RMC 91-VC KLH</v>
      </c>
      <c r="D399" s="24" t="str">
        <f>IFERROR(VLOOKUP(B399,'03. THIẾT BỊ'!$B$1:$S$836,3,0),"")</f>
        <v>A23-RMB-002</v>
      </c>
      <c r="E399" s="20" t="str">
        <f>IFERROR(VLOOKUP(B399,'03. THIẾT BỊ'!$B$1:$S$836,4,0),"")</f>
        <v>ĐQSD</v>
      </c>
      <c r="F399" s="20" t="str">
        <f>IFERROR(VLOOKUP(B399,'03. THIẾT BỊ'!$B$1:$S$836,5,0),"")</f>
        <v>Rơ mooc thùng ben</v>
      </c>
      <c r="G399" s="101" t="s">
        <v>6468</v>
      </c>
      <c r="H399" s="19" t="str">
        <f>IFERROR(VLOOKUP(B399,'03. THIẾT BỊ'!$B$1:$S$836,7,0),"")</f>
        <v>XN Chuối DP2</v>
      </c>
      <c r="I399" s="610">
        <f>IFERROR(VLOOKUP(B399,'03. THIẾT BỊ'!$B$1:$S$836,8,0),"")</f>
        <v>0</v>
      </c>
      <c r="J399" s="25"/>
      <c r="K399" s="19" t="str">
        <f>IFERROR(VLOOKUP(B399,'03. THIẾT BỊ'!$B$1:$S$836,10,0),"")</f>
        <v>Bình thường</v>
      </c>
      <c r="L399" s="25">
        <f>IFERROR(VLOOKUP(B399,'03. THIẾT BỊ'!$B$1:$S$836,11,0),"")</f>
        <v>0</v>
      </c>
      <c r="M399" s="24">
        <f>IFERROR(VLOOKUP(B399,'03. THIẾT BỊ'!$B$1:$S$836,12,0),"")</f>
        <v>0</v>
      </c>
      <c r="N399" s="25" t="str">
        <f>IFERROR(VLOOKUP(B399,'03. THIẾT BỊ'!$B$1:$S$836,13,0),"")</f>
        <v>THACO AGRI</v>
      </c>
      <c r="O399" s="24">
        <f>IFERROR(VLOOKUP(B399,'03. THIẾT BỊ'!$B$1:$S$836,14,0),"")</f>
        <v>0</v>
      </c>
      <c r="P399" s="25" t="str">
        <f>IFERROR(VLOOKUP(B399,'03. THIẾT BỊ'!$B$1:$S$836,15,0),"")</f>
        <v>CK-CGH</v>
      </c>
      <c r="Q399" s="23">
        <f>IFERROR(VLOOKUP(B399,'03. THIẾT BỊ'!$B$1:$S$836,16,0),"")</f>
        <v>0</v>
      </c>
      <c r="R399" s="25">
        <f>IFERROR(VLOOKUP(B399,'03. THIẾT BỊ'!$B$1:$S$836,17,0),"")</f>
        <v>0</v>
      </c>
      <c r="S399" s="25" t="str">
        <f>IFERROR(VLOOKUP(B399,'03. THIẾT BỊ'!$B$1:$S$836,18,0),"")</f>
        <v>Thùng ben 2m3</v>
      </c>
      <c r="T399" s="615"/>
    </row>
    <row r="400" customHeight="1" spans="1:20">
      <c r="A400" s="19">
        <f t="shared" si="19"/>
        <v>3</v>
      </c>
      <c r="B400" s="20" t="s">
        <v>4582</v>
      </c>
      <c r="C400" s="613" t="str">
        <f>IFERROR(VLOOKUP(B400,'03. THIẾT BỊ'!$B$1:$S$836,2,0),"")</f>
        <v>RMC 83-VC KLH</v>
      </c>
      <c r="D400" s="24" t="str">
        <f>IFERROR(VLOOKUP(B400,'03. THIẾT BỊ'!$B$1:$S$836,3,0),"")</f>
        <v>A23-RMB-001</v>
      </c>
      <c r="E400" s="20" t="str">
        <f>IFERROR(VLOOKUP(B400,'03. THIẾT BỊ'!$B$1:$S$836,4,0),"")</f>
        <v>ĐQSD</v>
      </c>
      <c r="F400" s="20" t="str">
        <f>IFERROR(VLOOKUP(B400,'03. THIẾT BỊ'!$B$1:$S$836,5,0),"")</f>
        <v>Rơ mooc thùng ben</v>
      </c>
      <c r="G400" s="101" t="s">
        <v>6468</v>
      </c>
      <c r="H400" s="19" t="str">
        <f>IFERROR(VLOOKUP(B400,'03. THIẾT BỊ'!$B$1:$S$836,7,0),"")</f>
        <v>XN Chuối DP3</v>
      </c>
      <c r="I400" s="610">
        <f>IFERROR(VLOOKUP(B400,'03. THIẾT BỊ'!$B$1:$S$836,8,0),"")</f>
        <v>0</v>
      </c>
      <c r="J400" s="25"/>
      <c r="K400" s="19" t="str">
        <f>IFERROR(VLOOKUP(B400,'03. THIẾT BỊ'!$B$1:$S$836,10,0),"")</f>
        <v>Bình thường</v>
      </c>
      <c r="L400" s="25">
        <f>IFERROR(VLOOKUP(B400,'03. THIẾT BỊ'!$B$1:$S$836,11,0),"")</f>
        <v>0</v>
      </c>
      <c r="M400" s="24">
        <f>IFERROR(VLOOKUP(B400,'03. THIẾT BỊ'!$B$1:$S$836,12,0),"")</f>
        <v>0</v>
      </c>
      <c r="N400" s="25" t="str">
        <f>IFERROR(VLOOKUP(B400,'03. THIẾT BỊ'!$B$1:$S$836,13,0),"")</f>
        <v>THACO AGRI</v>
      </c>
      <c r="O400" s="24">
        <f>IFERROR(VLOOKUP(B400,'03. THIẾT BỊ'!$B$1:$S$836,14,0),"")</f>
        <v>0</v>
      </c>
      <c r="P400" s="25" t="str">
        <f>IFERROR(VLOOKUP(B400,'03. THIẾT BỊ'!$B$1:$S$836,15,0),"")</f>
        <v>CK-CGH</v>
      </c>
      <c r="Q400" s="23">
        <f>IFERROR(VLOOKUP(B400,'03. THIẾT BỊ'!$B$1:$S$836,16,0),"")</f>
        <v>0</v>
      </c>
      <c r="R400" s="25">
        <f>IFERROR(VLOOKUP(B400,'03. THIẾT BỊ'!$B$1:$S$836,17,0),"")</f>
        <v>0</v>
      </c>
      <c r="S400" s="25" t="str">
        <f>IFERROR(VLOOKUP(B400,'03. THIẾT BỊ'!$B$1:$S$836,18,0),"")</f>
        <v>Thùng ben 2m3</v>
      </c>
      <c r="T400" s="615"/>
    </row>
    <row r="401" customHeight="1" spans="1:20">
      <c r="A401" s="19">
        <f t="shared" si="19"/>
        <v>4</v>
      </c>
      <c r="B401" s="20" t="s">
        <v>4584</v>
      </c>
      <c r="C401" s="613" t="str">
        <f>IFERROR(VLOOKUP(B401,'03. THIẾT BỊ'!$B$1:$S$836,2,0),"")</f>
        <v>RMC 85-VC KLH</v>
      </c>
      <c r="D401" s="24" t="str">
        <f>IFERROR(VLOOKUP(B401,'03. THIẾT BỊ'!$B$1:$S$836,3,0),"")</f>
        <v>A23-RMB-003</v>
      </c>
      <c r="E401" s="20" t="str">
        <f>IFERROR(VLOOKUP(B401,'03. THIẾT BỊ'!$B$1:$S$836,4,0),"")</f>
        <v>ĐQSD</v>
      </c>
      <c r="F401" s="20" t="str">
        <f>IFERROR(VLOOKUP(B401,'03. THIẾT BỊ'!$B$1:$S$836,5,0),"")</f>
        <v>Rơ mooc thùng ben</v>
      </c>
      <c r="G401" s="101" t="s">
        <v>6468</v>
      </c>
      <c r="H401" s="19" t="str">
        <f>IFERROR(VLOOKUP(B401,'03. THIẾT BỊ'!$B$1:$S$836,7,0),"")</f>
        <v>XN Chuối DP3</v>
      </c>
      <c r="I401" s="610">
        <f>IFERROR(VLOOKUP(B401,'03. THIẾT BỊ'!$B$1:$S$836,8,0),"")</f>
        <v>0</v>
      </c>
      <c r="J401" s="25"/>
      <c r="K401" s="19" t="str">
        <f>IFERROR(VLOOKUP(B401,'03. THIẾT BỊ'!$B$1:$S$836,10,0),"")</f>
        <v>Bình thường</v>
      </c>
      <c r="L401" s="25">
        <f>IFERROR(VLOOKUP(B401,'03. THIẾT BỊ'!$B$1:$S$836,11,0),"")</f>
        <v>0</v>
      </c>
      <c r="M401" s="24">
        <f>IFERROR(VLOOKUP(B401,'03. THIẾT BỊ'!$B$1:$S$836,12,0),"")</f>
        <v>0</v>
      </c>
      <c r="N401" s="25" t="str">
        <f>IFERROR(VLOOKUP(B401,'03. THIẾT BỊ'!$B$1:$S$836,13,0),"")</f>
        <v>THACO AGRI</v>
      </c>
      <c r="O401" s="24">
        <f>IFERROR(VLOOKUP(B401,'03. THIẾT BỊ'!$B$1:$S$836,14,0),"")</f>
        <v>0</v>
      </c>
      <c r="P401" s="25" t="str">
        <f>IFERROR(VLOOKUP(B401,'03. THIẾT BỊ'!$B$1:$S$836,15,0),"")</f>
        <v>CK-CGH</v>
      </c>
      <c r="Q401" s="23">
        <f>IFERROR(VLOOKUP(B401,'03. THIẾT BỊ'!$B$1:$S$836,16,0),"")</f>
        <v>0</v>
      </c>
      <c r="R401" s="25">
        <f>IFERROR(VLOOKUP(B401,'03. THIẾT BỊ'!$B$1:$S$836,17,0),"")</f>
        <v>0</v>
      </c>
      <c r="S401" s="25" t="str">
        <f>IFERROR(VLOOKUP(B401,'03. THIẾT BỊ'!$B$1:$S$836,18,0),"")</f>
        <v>Thùng ben 2m3</v>
      </c>
      <c r="T401" s="615"/>
    </row>
    <row r="402" customHeight="1" spans="1:20">
      <c r="A402" s="19">
        <f t="shared" si="19"/>
        <v>5</v>
      </c>
      <c r="B402" s="20" t="s">
        <v>4587</v>
      </c>
      <c r="C402" s="613" t="str">
        <f>IFERROR(VLOOKUP(B402,'03. THIẾT BỊ'!$B$1:$S$836,2,0),"")</f>
        <v>RMC 86-VC KLH</v>
      </c>
      <c r="D402" s="24" t="str">
        <f>IFERROR(VLOOKUP(B402,'03. THIẾT BỊ'!$B$1:$S$836,3,0),"")</f>
        <v>A23-RMB-005</v>
      </c>
      <c r="E402" s="20" t="str">
        <f>IFERROR(VLOOKUP(B402,'03. THIẾT BỊ'!$B$1:$S$836,4,0),"")</f>
        <v>ĐQSD</v>
      </c>
      <c r="F402" s="20" t="str">
        <f>IFERROR(VLOOKUP(B402,'03. THIẾT BỊ'!$B$1:$S$836,5,0),"")</f>
        <v>Rơ mooc thùng ben</v>
      </c>
      <c r="G402" s="101" t="s">
        <v>6468</v>
      </c>
      <c r="H402" s="19" t="str">
        <f>IFERROR(VLOOKUP(B402,'03. THIẾT BỊ'!$B$1:$S$836,7,0),"")</f>
        <v>XN Chuối DP3</v>
      </c>
      <c r="I402" s="610">
        <f>IFERROR(VLOOKUP(B402,'03. THIẾT BỊ'!$B$1:$S$836,8,0),"")</f>
        <v>0</v>
      </c>
      <c r="J402" s="25"/>
      <c r="K402" s="19" t="str">
        <f>IFERROR(VLOOKUP(B402,'03. THIẾT BỊ'!$B$1:$S$836,10,0),"")</f>
        <v>Bình thường</v>
      </c>
      <c r="L402" s="25">
        <f>IFERROR(VLOOKUP(B402,'03. THIẾT BỊ'!$B$1:$S$836,11,0),"")</f>
        <v>0</v>
      </c>
      <c r="M402" s="24">
        <f>IFERROR(VLOOKUP(B402,'03. THIẾT BỊ'!$B$1:$S$836,12,0),"")</f>
        <v>0</v>
      </c>
      <c r="N402" s="25" t="str">
        <f>IFERROR(VLOOKUP(B402,'03. THIẾT BỊ'!$B$1:$S$836,13,0),"")</f>
        <v>THACO AGRI</v>
      </c>
      <c r="O402" s="24">
        <f>IFERROR(VLOOKUP(B402,'03. THIẾT BỊ'!$B$1:$S$836,14,0),"")</f>
        <v>0</v>
      </c>
      <c r="P402" s="25" t="str">
        <f>IFERROR(VLOOKUP(B402,'03. THIẾT BỊ'!$B$1:$S$836,15,0),"")</f>
        <v>CK-CGH</v>
      </c>
      <c r="Q402" s="23">
        <f>IFERROR(VLOOKUP(B402,'03. THIẾT BỊ'!$B$1:$S$836,16,0),"")</f>
        <v>0</v>
      </c>
      <c r="R402" s="25">
        <f>IFERROR(VLOOKUP(B402,'03. THIẾT BỊ'!$B$1:$S$836,17,0),"")</f>
        <v>0</v>
      </c>
      <c r="S402" s="25" t="str">
        <f>IFERROR(VLOOKUP(B402,'03. THIẾT BỊ'!$B$1:$S$836,18,0),"")</f>
        <v>thùng ben 2m3</v>
      </c>
      <c r="T402" s="615"/>
    </row>
    <row r="403" customHeight="1" spans="1:20">
      <c r="A403" s="19">
        <f t="shared" si="19"/>
        <v>6</v>
      </c>
      <c r="B403" s="20" t="s">
        <v>4591</v>
      </c>
      <c r="C403" s="613" t="str">
        <f>IFERROR(VLOOKUP(B403,'03. THIẾT BỊ'!$B$1:$S$836,2,0),"")</f>
        <v>RMC 87-VC KLH</v>
      </c>
      <c r="D403" s="24" t="str">
        <f>IFERROR(VLOOKUP(B403,'03. THIẾT BỊ'!$B$1:$S$836,3,0),"")</f>
        <v>A23-RMB-006</v>
      </c>
      <c r="E403" s="20" t="str">
        <f>IFERROR(VLOOKUP(B403,'03. THIẾT BỊ'!$B$1:$S$836,4,0),"")</f>
        <v>ĐQSD</v>
      </c>
      <c r="F403" s="20" t="str">
        <f>IFERROR(VLOOKUP(B403,'03. THIẾT BỊ'!$B$1:$S$836,5,0),"")</f>
        <v>Rơ mooc thùng ben</v>
      </c>
      <c r="G403" s="101" t="s">
        <v>6468</v>
      </c>
      <c r="H403" s="19" t="str">
        <f>IFERROR(VLOOKUP(B403,'03. THIẾT BỊ'!$B$1:$S$836,7,0),"")</f>
        <v>XN Chuối DP3</v>
      </c>
      <c r="I403" s="610">
        <f>IFERROR(VLOOKUP(B403,'03. THIẾT BỊ'!$B$1:$S$836,8,0),"")</f>
        <v>0</v>
      </c>
      <c r="J403" s="25"/>
      <c r="K403" s="19" t="str">
        <f>IFERROR(VLOOKUP(B403,'03. THIẾT BỊ'!$B$1:$S$836,10,0),"")</f>
        <v>Bình thường</v>
      </c>
      <c r="L403" s="25">
        <f>IFERROR(VLOOKUP(B403,'03. THIẾT BỊ'!$B$1:$S$836,11,0),"")</f>
        <v>0</v>
      </c>
      <c r="M403" s="24">
        <f>IFERROR(VLOOKUP(B403,'03. THIẾT BỊ'!$B$1:$S$836,12,0),"")</f>
        <v>0</v>
      </c>
      <c r="N403" s="25" t="str">
        <f>IFERROR(VLOOKUP(B403,'03. THIẾT BỊ'!$B$1:$S$836,13,0),"")</f>
        <v>THACO AGRI</v>
      </c>
      <c r="O403" s="24">
        <f>IFERROR(VLOOKUP(B403,'03. THIẾT BỊ'!$B$1:$S$836,14,0),"")</f>
        <v>0</v>
      </c>
      <c r="P403" s="25" t="str">
        <f>IFERROR(VLOOKUP(B403,'03. THIẾT BỊ'!$B$1:$S$836,15,0),"")</f>
        <v>CK-CGH</v>
      </c>
      <c r="Q403" s="23">
        <f>IFERROR(VLOOKUP(B403,'03. THIẾT BỊ'!$B$1:$S$836,16,0),"")</f>
        <v>0</v>
      </c>
      <c r="R403" s="25">
        <f>IFERROR(VLOOKUP(B403,'03. THIẾT BỊ'!$B$1:$S$836,17,0),"")</f>
        <v>0</v>
      </c>
      <c r="S403" s="25" t="str">
        <f>IFERROR(VLOOKUP(B403,'03. THIẾT BỊ'!$B$1:$S$836,18,0),"")</f>
        <v>thùng ben 2m3</v>
      </c>
      <c r="T403" s="615"/>
    </row>
    <row r="404" customHeight="1" spans="1:20">
      <c r="A404" s="19">
        <f t="shared" si="19"/>
        <v>7</v>
      </c>
      <c r="B404" s="38" t="s">
        <v>4907</v>
      </c>
      <c r="C404" s="613" t="str">
        <f>IFERROR(VLOOKUP(B404,'03. THIẾT BỊ'!$B$1:$S$836,2,0),"")</f>
        <v>RMC 84-VC KLH(XD3-RMB-004)</v>
      </c>
      <c r="D404" s="24" t="str">
        <f>IFERROR(VLOOKUP(B404,'03. THIẾT BỊ'!$B$1:$S$836,3,0),"")</f>
        <v>A23-RMB-004</v>
      </c>
      <c r="E404" s="20" t="str">
        <f>IFERROR(VLOOKUP(B404,'03. THIẾT BỊ'!$B$1:$S$836,4,0),"")</f>
        <v>ĐQSD</v>
      </c>
      <c r="F404" s="20" t="str">
        <f>IFERROR(VLOOKUP(B404,'03. THIẾT BỊ'!$B$1:$S$836,5,0),"")</f>
        <v>Rơ mooc thùng ben</v>
      </c>
      <c r="G404" s="101" t="s">
        <v>6468</v>
      </c>
      <c r="H404" s="19" t="str">
        <f>IFERROR(VLOOKUP(B404,'03. THIẾT BỊ'!$B$1:$S$836,7,0),"")</f>
        <v>XN Chuối LP3</v>
      </c>
      <c r="I404" s="610">
        <f>IFERROR(VLOOKUP(B404,'03. THIẾT BỊ'!$B$1:$S$836,8,0),"")</f>
        <v>45750</v>
      </c>
      <c r="J404" s="25"/>
      <c r="K404" s="19" t="str">
        <f>IFERROR(VLOOKUP(B404,'03. THIẾT BỊ'!$B$1:$S$836,10,0),"")</f>
        <v>Bình thường</v>
      </c>
      <c r="L404" s="25" t="str">
        <f>IFERROR(VLOOKUP(B404,'03. THIẾT BỊ'!$B$1:$S$836,11,0),"")</f>
        <v>đ.Chuyen từ Xn LP3 sang 04/03/2025</v>
      </c>
      <c r="M404" s="24">
        <f>IFERROR(VLOOKUP(B404,'03. THIẾT BỊ'!$B$1:$S$836,12,0),"")</f>
        <v>0</v>
      </c>
      <c r="N404" s="25" t="str">
        <f>IFERROR(VLOOKUP(B404,'03. THIẾT BỊ'!$B$1:$S$836,13,0),"")</f>
        <v>THACO AGRI</v>
      </c>
      <c r="O404" s="24">
        <f>IFERROR(VLOOKUP(B404,'03. THIẾT BỊ'!$B$1:$S$836,14,0),"")</f>
        <v>0</v>
      </c>
      <c r="P404" s="25" t="str">
        <f>IFERROR(VLOOKUP(B404,'03. THIẾT BỊ'!$B$1:$S$836,15,0),"")</f>
        <v>CK-CGH</v>
      </c>
      <c r="Q404" s="23">
        <f>IFERROR(VLOOKUP(B404,'03. THIẾT BỊ'!$B$1:$S$836,16,0),"")</f>
        <v>0</v>
      </c>
      <c r="R404" s="25">
        <f>IFERROR(VLOOKUP(B404,'03. THIẾT BỊ'!$B$1:$S$836,17,0),"")</f>
        <v>0</v>
      </c>
      <c r="S404" s="25" t="str">
        <f>IFERROR(VLOOKUP(B404,'03. THIẾT BỊ'!$B$1:$S$836,18,0),"")</f>
        <v>thùng ben 2m3</v>
      </c>
      <c r="T404" s="623"/>
    </row>
    <row r="405" customHeight="1" spans="1:20">
      <c r="A405" s="19">
        <f t="shared" si="19"/>
        <v>8</v>
      </c>
      <c r="B405" s="20" t="s">
        <v>5050</v>
      </c>
      <c r="C405" s="613" t="str">
        <f>IFERROR(VLOOKUP(B405,'03. THIẾT BỊ'!$B$1:$S$836,2,0),"")</f>
        <v>LP4-RMB-003</v>
      </c>
      <c r="D405" s="24" t="str">
        <f>IFERROR(VLOOKUP(B405,'03. THIẾT BỊ'!$B$1:$S$836,3,0),"")</f>
        <v>A24-RMB-001</v>
      </c>
      <c r="E405" s="20">
        <f>IFERROR(VLOOKUP(B405,'03. THIẾT BỊ'!$B$1:$S$836,4,0),"")</f>
        <v>0</v>
      </c>
      <c r="F405" s="20" t="str">
        <f>IFERROR(VLOOKUP(B405,'03. THIẾT BỊ'!$B$1:$S$836,5,0),"")</f>
        <v>Rơ mooc thùng Ben</v>
      </c>
      <c r="G405" s="101" t="s">
        <v>6468</v>
      </c>
      <c r="H405" s="19" t="str">
        <f>IFERROR(VLOOKUP(B405,'03. THIẾT BỊ'!$B$1:$S$836,7,0),"")</f>
        <v>XN Chuối LP4</v>
      </c>
      <c r="I405" s="610">
        <f>IFERROR(VLOOKUP(B405,'03. THIẾT BỊ'!$B$1:$S$836,8,0),"")</f>
        <v>0</v>
      </c>
      <c r="J405" s="25"/>
      <c r="K405" s="19" t="str">
        <f>IFERROR(VLOOKUP(B405,'03. THIẾT BỊ'!$B$1:$S$836,10,0),"")</f>
        <v>Bình thường</v>
      </c>
      <c r="L405" s="25">
        <f>IFERROR(VLOOKUP(B405,'03. THIẾT BỊ'!$B$1:$S$836,11,0),"")</f>
        <v>0</v>
      </c>
      <c r="M405" s="24">
        <f>IFERROR(VLOOKUP(B405,'03. THIẾT BỊ'!$B$1:$S$836,12,0),"")</f>
        <v>0</v>
      </c>
      <c r="N405" s="25" t="str">
        <f>IFERROR(VLOOKUP(B405,'03. THIẾT BỊ'!$B$1:$S$836,13,0),"")</f>
        <v>THACO AGRI</v>
      </c>
      <c r="O405" s="24">
        <f>IFERROR(VLOOKUP(B405,'03. THIẾT BỊ'!$B$1:$S$836,14,0),"")</f>
        <v>0</v>
      </c>
      <c r="P405" s="25" t="str">
        <f>IFERROR(VLOOKUP(B405,'03. THIẾT BỊ'!$B$1:$S$836,15,0),"")</f>
        <v>CK-CGH</v>
      </c>
      <c r="Q405" s="23">
        <f>IFERROR(VLOOKUP(B405,'03. THIẾT BỊ'!$B$1:$S$836,16,0),"")</f>
        <v>0</v>
      </c>
      <c r="R405" s="25">
        <f>IFERROR(VLOOKUP(B405,'03. THIẾT BỊ'!$B$1:$S$836,17,0),"")</f>
        <v>0</v>
      </c>
      <c r="S405" s="25">
        <f>IFERROR(VLOOKUP(B405,'03. THIẾT BỊ'!$B$1:$S$836,18,0),"")</f>
        <v>0</v>
      </c>
      <c r="T405" s="41"/>
    </row>
    <row r="406" customHeight="1" spans="1:20">
      <c r="A406" s="19">
        <f t="shared" si="19"/>
        <v>9</v>
      </c>
      <c r="B406" s="20" t="s">
        <v>5054</v>
      </c>
      <c r="C406" s="613">
        <f>IFERROR(VLOOKUP(B406,'03. THIẾT BỊ'!$B$1:$S$836,2,0),"")</f>
        <v>0</v>
      </c>
      <c r="D406" s="24" t="str">
        <f>IFERROR(VLOOKUP(B406,'03. THIẾT BỊ'!$B$1:$S$836,3,0),"")</f>
        <v>A24-RMB-002</v>
      </c>
      <c r="E406" s="20">
        <f>IFERROR(VLOOKUP(B406,'03. THIẾT BỊ'!$B$1:$S$836,4,0),"")</f>
        <v>0</v>
      </c>
      <c r="F406" s="20" t="str">
        <f>IFERROR(VLOOKUP(B406,'03. THIẾT BỊ'!$B$1:$S$836,5,0),"")</f>
        <v>Rơ mooc thùng ben</v>
      </c>
      <c r="G406" s="101" t="s">
        <v>6468</v>
      </c>
      <c r="H406" s="19" t="str">
        <f>IFERROR(VLOOKUP(B406,'03. THIẾT BỊ'!$B$1:$S$836,7,0),"")</f>
        <v>XN Chuối LP4</v>
      </c>
      <c r="I406" s="610">
        <f>IFERROR(VLOOKUP(B406,'03. THIẾT BỊ'!$B$1:$S$836,8,0),"")</f>
        <v>0</v>
      </c>
      <c r="J406" s="25"/>
      <c r="K406" s="19" t="str">
        <f>IFERROR(VLOOKUP(B406,'03. THIẾT BỊ'!$B$1:$S$836,10,0),"")</f>
        <v>Bình thường</v>
      </c>
      <c r="L406" s="25">
        <f>IFERROR(VLOOKUP(B406,'03. THIẾT BỊ'!$B$1:$S$836,11,0),"")</f>
        <v>0</v>
      </c>
      <c r="M406" s="24">
        <f>IFERROR(VLOOKUP(B406,'03. THIẾT BỊ'!$B$1:$S$836,12,0),"")</f>
        <v>0</v>
      </c>
      <c r="N406" s="25" t="str">
        <f>IFERROR(VLOOKUP(B406,'03. THIẾT BỊ'!$B$1:$S$836,13,0),"")</f>
        <v>THACO AGRI</v>
      </c>
      <c r="O406" s="24">
        <f>IFERROR(VLOOKUP(B406,'03. THIẾT BỊ'!$B$1:$S$836,14,0),"")</f>
        <v>0</v>
      </c>
      <c r="P406" s="25" t="str">
        <f>IFERROR(VLOOKUP(B406,'03. THIẾT BỊ'!$B$1:$S$836,15,0),"")</f>
        <v>CK-CGH</v>
      </c>
      <c r="Q406" s="23">
        <f>IFERROR(VLOOKUP(B406,'03. THIẾT BỊ'!$B$1:$S$836,16,0),"")</f>
        <v>0</v>
      </c>
      <c r="R406" s="25">
        <f>IFERROR(VLOOKUP(B406,'03. THIẾT BỊ'!$B$1:$S$836,17,0),"")</f>
        <v>0</v>
      </c>
      <c r="S406" s="25">
        <f>IFERROR(VLOOKUP(B406,'03. THIẾT BỊ'!$B$1:$S$836,18,0),"")</f>
        <v>0</v>
      </c>
      <c r="T406" s="41"/>
    </row>
    <row r="407" customHeight="1" spans="1:20">
      <c r="A407" s="19">
        <f t="shared" si="19"/>
        <v>10</v>
      </c>
      <c r="B407" s="20" t="s">
        <v>5339</v>
      </c>
      <c r="C407" s="613">
        <f>IFERROR(VLOOKUP(B407,'03. THIẾT BỊ'!$B$1:$S$836,2,0),"")</f>
        <v>0</v>
      </c>
      <c r="D407" s="24" t="str">
        <f>IFERROR(VLOOKUP(B407,'03. THIẾT BỊ'!$B$1:$S$836,3,0),"")</f>
        <v>A22-RMB-001</v>
      </c>
      <c r="E407" s="20" t="str">
        <f>IFERROR(VLOOKUP(B407,'03. THIẾT BỊ'!$B$1:$S$836,4,0),"")</f>
        <v>ĐQSD</v>
      </c>
      <c r="F407" s="20" t="str">
        <f>IFERROR(VLOOKUP(B407,'03. THIẾT BỊ'!$B$1:$S$836,5,0),"")</f>
        <v>Rơ mooc thùng ben</v>
      </c>
      <c r="G407" s="101" t="s">
        <v>6468</v>
      </c>
      <c r="H407" s="19" t="str">
        <f>IFERROR(VLOOKUP(B407,'03. THIẾT BỊ'!$B$1:$S$836,7,0),"")</f>
        <v>XN Bò AD</v>
      </c>
      <c r="I407" s="610">
        <f>IFERROR(VLOOKUP(B407,'03. THIẾT BỊ'!$B$1:$S$836,8,0),"")</f>
        <v>0</v>
      </c>
      <c r="J407" s="25"/>
      <c r="K407" s="19" t="str">
        <f>IFERROR(VLOOKUP(B407,'03. THIẾT BỊ'!$B$1:$S$836,10,0),"")</f>
        <v>Bình thường</v>
      </c>
      <c r="L407" s="25">
        <f>IFERROR(VLOOKUP(B407,'03. THIẾT BỊ'!$B$1:$S$836,11,0),"")</f>
        <v>0</v>
      </c>
      <c r="M407" s="24">
        <f>IFERROR(VLOOKUP(B407,'03. THIẾT BỊ'!$B$1:$S$836,12,0),"")</f>
        <v>0</v>
      </c>
      <c r="N407" s="25" t="str">
        <f>IFERROR(VLOOKUP(B407,'03. THIẾT BỊ'!$B$1:$S$836,13,0),"")</f>
        <v>THACO AGRI</v>
      </c>
      <c r="O407" s="24" t="str">
        <f>IFERROR(VLOOKUP(B407,'03. THIẾT BỊ'!$B$1:$S$836,14,0),"")</f>
        <v>RM thùng ben</v>
      </c>
      <c r="P407" s="25" t="str">
        <f>IFERROR(VLOOKUP(B407,'03. THIẾT BỊ'!$B$1:$S$836,15,0),"")</f>
        <v>CK-CGH</v>
      </c>
      <c r="Q407" s="23">
        <f>IFERROR(VLOOKUP(B407,'03. THIẾT BỊ'!$B$1:$S$836,16,0),"")</f>
        <v>0</v>
      </c>
      <c r="R407" s="25">
        <f>IFERROR(VLOOKUP(B407,'03. THIẾT BỊ'!$B$1:$S$836,17,0),"")</f>
        <v>0</v>
      </c>
      <c r="S407" s="25">
        <f>IFERROR(VLOOKUP(B407,'03. THIẾT BỊ'!$B$1:$S$836,18,0),"")</f>
        <v>0</v>
      </c>
      <c r="T407" s="41"/>
    </row>
    <row r="408" customHeight="1" spans="1:20">
      <c r="A408" s="19">
        <f t="shared" si="19"/>
        <v>11</v>
      </c>
      <c r="B408" s="20" t="s">
        <v>5342</v>
      </c>
      <c r="C408" s="613">
        <f>IFERROR(VLOOKUP(B408,'03. THIẾT BỊ'!$B$1:$S$836,2,0),"")</f>
        <v>0</v>
      </c>
      <c r="D408" s="24" t="str">
        <f>IFERROR(VLOOKUP(B408,'03. THIẾT BỊ'!$B$1:$S$836,3,0),"")</f>
        <v>A22-RMB-002</v>
      </c>
      <c r="E408" s="20" t="str">
        <f>IFERROR(VLOOKUP(B408,'03. THIẾT BỊ'!$B$1:$S$836,4,0),"")</f>
        <v>ĐQSD</v>
      </c>
      <c r="F408" s="20" t="str">
        <f>IFERROR(VLOOKUP(B408,'03. THIẾT BỊ'!$B$1:$S$836,5,0),"")</f>
        <v>Rơ mooc thùng ben</v>
      </c>
      <c r="G408" s="101" t="s">
        <v>6468</v>
      </c>
      <c r="H408" s="19" t="str">
        <f>IFERROR(VLOOKUP(B408,'03. THIẾT BỊ'!$B$1:$S$836,7,0),"")</f>
        <v>XN Bò AD</v>
      </c>
      <c r="I408" s="610">
        <f>IFERROR(VLOOKUP(B408,'03. THIẾT BỊ'!$B$1:$S$836,8,0),"")</f>
        <v>0</v>
      </c>
      <c r="J408" s="25"/>
      <c r="K408" s="19" t="str">
        <f>IFERROR(VLOOKUP(B408,'03. THIẾT BỊ'!$B$1:$S$836,10,0),"")</f>
        <v>Bình thường</v>
      </c>
      <c r="L408" s="25">
        <f>IFERROR(VLOOKUP(B408,'03. THIẾT BỊ'!$B$1:$S$836,11,0),"")</f>
        <v>0</v>
      </c>
      <c r="M408" s="24">
        <f>IFERROR(VLOOKUP(B408,'03. THIẾT BỊ'!$B$1:$S$836,12,0),"")</f>
        <v>0</v>
      </c>
      <c r="N408" s="25" t="str">
        <f>IFERROR(VLOOKUP(B408,'03. THIẾT BỊ'!$B$1:$S$836,13,0),"")</f>
        <v>THACO AGRI</v>
      </c>
      <c r="O408" s="24" t="str">
        <f>IFERROR(VLOOKUP(B408,'03. THIẾT BỊ'!$B$1:$S$836,14,0),"")</f>
        <v>RM thùng ben</v>
      </c>
      <c r="P408" s="25" t="str">
        <f>IFERROR(VLOOKUP(B408,'03. THIẾT BỊ'!$B$1:$S$836,15,0),"")</f>
        <v>CK-CGH</v>
      </c>
      <c r="Q408" s="23">
        <f>IFERROR(VLOOKUP(B408,'03. THIẾT BỊ'!$B$1:$S$836,16,0),"")</f>
        <v>0</v>
      </c>
      <c r="R408" s="25">
        <f>IFERROR(VLOOKUP(B408,'03. THIẾT BỊ'!$B$1:$S$836,17,0),"")</f>
        <v>0</v>
      </c>
      <c r="S408" s="25">
        <f>IFERROR(VLOOKUP(B408,'03. THIẾT BỊ'!$B$1:$S$836,18,0),"")</f>
        <v>0</v>
      </c>
      <c r="T408" s="41"/>
    </row>
    <row r="409" ht="13.8" spans="1:20">
      <c r="C409" s="613" t="str">
        <f>IFERROR(VLOOKUP(B409,'03. THIẾT BỊ'!$B$1:$S$836,2,0),"")</f>
        <v/>
      </c>
      <c r="D409" s="24" t="str">
        <f>IFERROR(VLOOKUP(B409,'03. THIẾT BỊ'!$B$1:$S$836,3,0),"")</f>
        <v/>
      </c>
      <c r="E409" s="20" t="str">
        <f>IFERROR(VLOOKUP(B409,'03. THIẾT BỊ'!$B$1:$S$836,4,0),"")</f>
        <v/>
      </c>
      <c r="F409" s="20" t="str">
        <f>IFERROR(VLOOKUP(B409,'03. THIẾT BỊ'!$B$1:$S$836,5,0),"")</f>
        <v/>
      </c>
      <c r="G409" s="101" t="s">
        <v>6468</v>
      </c>
      <c r="H409" s="19" t="str">
        <f>IFERROR(VLOOKUP(B409,'03. THIẾT BỊ'!$B$1:$S$836,7,0),"")</f>
        <v/>
      </c>
      <c r="I409" s="610" t="str">
        <f>IFERROR(VLOOKUP(B409,'03. THIẾT BỊ'!$B$1:$S$836,8,0),"")</f>
        <v/>
      </c>
      <c r="J409" s="25"/>
      <c r="K409" s="19" t="str">
        <f>IFERROR(VLOOKUP(B409,'03. THIẾT BỊ'!$B$1:$S$836,10,0),"")</f>
        <v/>
      </c>
      <c r="L409" s="25" t="str">
        <f>IFERROR(VLOOKUP(B409,'03. THIẾT BỊ'!$B$1:$S$836,11,0),"")</f>
        <v/>
      </c>
      <c r="M409" s="24" t="str">
        <f>IFERROR(VLOOKUP(B409,'03. THIẾT BỊ'!$B$1:$S$836,12,0),"")</f>
        <v/>
      </c>
      <c r="N409" s="25" t="str">
        <f>IFERROR(VLOOKUP(B409,'03. THIẾT BỊ'!$B$1:$S$836,13,0),"")</f>
        <v/>
      </c>
      <c r="O409" s="24" t="str">
        <f>IFERROR(VLOOKUP(B409,'03. THIẾT BỊ'!$B$1:$S$836,14,0),"")</f>
        <v/>
      </c>
      <c r="P409" s="25" t="str">
        <f>IFERROR(VLOOKUP(B409,'03. THIẾT BỊ'!$B$1:$S$836,15,0),"")</f>
        <v/>
      </c>
      <c r="Q409" s="23" t="str">
        <f>IFERROR(VLOOKUP(B409,'03. THIẾT BỊ'!$B$1:$S$836,16,0),"")</f>
        <v/>
      </c>
      <c r="R409" s="25" t="str">
        <f>IFERROR(VLOOKUP(B409,'03. THIẾT BỊ'!$B$1:$S$836,17,0),"")</f>
        <v/>
      </c>
      <c r="S409" s="25" t="str">
        <f>IFERROR(VLOOKUP(B409,'03. THIẾT BỊ'!$B$1:$S$836,18,0),"")</f>
        <v/>
      </c>
    </row>
    <row r="410" ht="13.8" spans="1:20">
      <c r="C410" s="613" t="str">
        <f>IFERROR(VLOOKUP(B410,'03. THIẾT BỊ'!$B$1:$S$836,2,0),"")</f>
        <v/>
      </c>
      <c r="D410" s="24" t="str">
        <f>IFERROR(VLOOKUP(B410,'03. THIẾT BỊ'!$B$1:$S$836,3,0),"")</f>
        <v/>
      </c>
      <c r="E410" s="20" t="str">
        <f>IFERROR(VLOOKUP(B410,'03. THIẾT BỊ'!$B$1:$S$836,4,0),"")</f>
        <v/>
      </c>
      <c r="F410" s="20" t="str">
        <f>IFERROR(VLOOKUP(B410,'03. THIẾT BỊ'!$B$1:$S$836,5,0),"")</f>
        <v/>
      </c>
      <c r="G410" s="101" t="s">
        <v>6468</v>
      </c>
      <c r="H410" s="19" t="str">
        <f>IFERROR(VLOOKUP(B410,'03. THIẾT BỊ'!$B$1:$S$836,7,0),"")</f>
        <v/>
      </c>
      <c r="I410" s="610" t="str">
        <f>IFERROR(VLOOKUP(B410,'03. THIẾT BỊ'!$B$1:$S$836,8,0),"")</f>
        <v/>
      </c>
      <c r="J410" s="25"/>
      <c r="K410" s="19" t="str">
        <f>IFERROR(VLOOKUP(B410,'03. THIẾT BỊ'!$B$1:$S$836,10,0),"")</f>
        <v/>
      </c>
      <c r="L410" s="25" t="str">
        <f>IFERROR(VLOOKUP(B410,'03. THIẾT BỊ'!$B$1:$S$836,11,0),"")</f>
        <v/>
      </c>
      <c r="M410" s="24" t="str">
        <f>IFERROR(VLOOKUP(B410,'03. THIẾT BỊ'!$B$1:$S$836,12,0),"")</f>
        <v/>
      </c>
      <c r="N410" s="25" t="str">
        <f>IFERROR(VLOOKUP(B410,'03. THIẾT BỊ'!$B$1:$S$836,13,0),"")</f>
        <v/>
      </c>
      <c r="O410" s="24" t="str">
        <f>IFERROR(VLOOKUP(B410,'03. THIẾT BỊ'!$B$1:$S$836,14,0),"")</f>
        <v/>
      </c>
      <c r="P410" s="25" t="str">
        <f>IFERROR(VLOOKUP(B410,'03. THIẾT BỊ'!$B$1:$S$836,15,0),"")</f>
        <v/>
      </c>
      <c r="Q410" s="23" t="str">
        <f>IFERROR(VLOOKUP(B410,'03. THIẾT BỊ'!$B$1:$S$836,16,0),"")</f>
        <v/>
      </c>
      <c r="R410" s="25" t="str">
        <f>IFERROR(VLOOKUP(B410,'03. THIẾT BỊ'!$B$1:$S$836,17,0),"")</f>
        <v/>
      </c>
      <c r="S410" s="25" t="str">
        <f>IFERROR(VLOOKUP(B410,'03. THIẾT BỊ'!$B$1:$S$836,18,0),"")</f>
        <v/>
      </c>
    </row>
    <row r="411" customHeight="1" spans="1:20">
      <c r="A411" s="14" t="s">
        <v>290</v>
      </c>
      <c r="B411" s="15" t="s">
        <v>6496</v>
      </c>
      <c r="C411" s="14">
        <f>COUNTA(B412:B415)</f>
        <v>3</v>
      </c>
      <c r="D411" s="17" t="str">
        <f>IFERROR(VLOOKUP(B411,'03. THIẾT BỊ'!$B$1:$S$836,3,0),"")</f>
        <v/>
      </c>
      <c r="E411" s="20" t="str">
        <f>IFERROR(VLOOKUP(B411,'03. THIẾT BỊ'!$B$1:$S$836,4,0),"")</f>
        <v/>
      </c>
      <c r="F411" s="17" t="str">
        <f>IFERROR(VLOOKUP(B411,'03. THIẾT BỊ'!$B$1:$S$836,5,0),"")</f>
        <v/>
      </c>
      <c r="G411" s="18" t="s">
        <v>6468</v>
      </c>
      <c r="H411" s="18" t="str">
        <f>IFERROR(VLOOKUP(B411,'03. THIẾT BỊ'!$B$1:$S$836,7,0),"")</f>
        <v/>
      </c>
      <c r="I411" s="14" t="str">
        <f>IFERROR(VLOOKUP(B411,'03. THIẾT BỊ'!$B$1:$S$836,8,0),"")</f>
        <v/>
      </c>
      <c r="J411" s="15"/>
      <c r="K411" s="14" t="str">
        <f>IFERROR(VLOOKUP(B411,'03. THIẾT BỊ'!$B$1:$S$836,10,0),"")</f>
        <v/>
      </c>
      <c r="L411" s="17" t="str">
        <f>IFERROR(VLOOKUP(B411,'03. THIẾT BỊ'!$B$1:$S$836,11,0),"")</f>
        <v/>
      </c>
      <c r="M411" s="16" t="str">
        <f>IFERROR(VLOOKUP(B411,'03. THIẾT BỊ'!$B$1:$S$836,12,0),"")</f>
        <v/>
      </c>
      <c r="N411" s="17" t="str">
        <f>IFERROR(VLOOKUP(B411,'03. THIẾT BỊ'!$B$1:$S$836,13,0),"")</f>
        <v/>
      </c>
      <c r="O411" s="16" t="str">
        <f>IFERROR(VLOOKUP(B411,'03. THIẾT BỊ'!$B$1:$S$836,14,0),"")</f>
        <v/>
      </c>
      <c r="P411" s="17" t="str">
        <f>IFERROR(VLOOKUP(B411,'03. THIẾT BỊ'!$B$1:$S$836,15,0),"")</f>
        <v/>
      </c>
      <c r="Q411" s="18" t="str">
        <f>IFERROR(VLOOKUP(B411,'03. THIẾT BỊ'!$B$1:$S$836,16,0),"")</f>
        <v/>
      </c>
      <c r="R411" s="17" t="str">
        <f>IFERROR(VLOOKUP(B411,'03. THIẾT BỊ'!$B$1:$S$836,17,0),"")</f>
        <v/>
      </c>
      <c r="S411" s="17" t="str">
        <f>IFERROR(VLOOKUP(B411,'03. THIẾT BỊ'!$B$1:$S$836,18,0),"")</f>
        <v/>
      </c>
      <c r="T411" s="609"/>
    </row>
    <row r="412" customHeight="1" spans="1:20">
      <c r="A412" s="19">
        <v>1</v>
      </c>
      <c r="B412" s="20" t="s">
        <v>4911</v>
      </c>
      <c r="C412" s="613" t="str">
        <f>IFERROR(VLOOKUP(B412,'03. THIẾT BỊ'!$B$1:$S$836,2,0),"")</f>
        <v>CK-RMRP-002</v>
      </c>
      <c r="D412" s="24" t="str">
        <f>IFERROR(VLOOKUP(B412,'03. THIẾT BỊ'!$B$1:$S$836,3,0),"")</f>
        <v>A24-RMR-001</v>
      </c>
      <c r="E412" s="20" t="str">
        <f>IFERROR(VLOOKUP(B412,'03. THIẾT BỊ'!$B$1:$S$836,4,0),"")</f>
        <v>ĐQSD</v>
      </c>
      <c r="F412" s="20" t="str">
        <f>IFERROR(VLOOKUP(B412,'03. THIẾT BỊ'!$B$1:$S$836,5,0),"")</f>
        <v>Rơ mooc thùng ben rải phân hữu cơ</v>
      </c>
      <c r="G412" s="101" t="s">
        <v>6468</v>
      </c>
      <c r="H412" s="19" t="str">
        <f>IFERROR(VLOOKUP(B412,'03. THIẾT BỊ'!$B$1:$S$836,7,0),"")</f>
        <v>XN Chuối LP3</v>
      </c>
      <c r="I412" s="610">
        <f>IFERROR(VLOOKUP(B412,'03. THIẾT BỊ'!$B$1:$S$836,8,0),"")</f>
        <v>0</v>
      </c>
      <c r="J412" s="25"/>
      <c r="K412" s="19" t="str">
        <f>IFERROR(VLOOKUP(B412,'03. THIẾT BỊ'!$B$1:$S$836,10,0),"")</f>
        <v>Bình thường</v>
      </c>
      <c r="L412" s="25">
        <f>IFERROR(VLOOKUP(B412,'03. THIẾT BỊ'!$B$1:$S$836,11,0),"")</f>
        <v>0</v>
      </c>
      <c r="M412" s="24" t="str">
        <f>IFERROR(VLOOKUP(B412,'03. THIẾT BỊ'!$B$1:$S$836,12,0),"")</f>
        <v>Rải phân bò</v>
      </c>
      <c r="N412" s="25" t="str">
        <f>IFERROR(VLOOKUP(B412,'03. THIẾT BỊ'!$B$1:$S$836,13,0),"")</f>
        <v>THACO AGRI</v>
      </c>
      <c r="O412" s="24">
        <f>IFERROR(VLOOKUP(B412,'03. THIẾT BỊ'!$B$1:$S$836,14,0),"")</f>
        <v>0</v>
      </c>
      <c r="P412" s="25" t="str">
        <f>IFERROR(VLOOKUP(B412,'03. THIẾT BỊ'!$B$1:$S$836,15,0),"")</f>
        <v>CK-CGH</v>
      </c>
      <c r="Q412" s="23">
        <f>IFERROR(VLOOKUP(B412,'03. THIẾT BỊ'!$B$1:$S$836,16,0),"")</f>
        <v>0</v>
      </c>
      <c r="R412" s="25" t="str">
        <f>IFERROR(VLOOKUP(B412,'03. THIẾT BỊ'!$B$1:$S$836,17,0),"")</f>
        <v>4.5**1.5m</v>
      </c>
      <c r="S412" s="25" t="str">
        <f>IFERROR(VLOOKUP(B412,'03. THIẾT BỊ'!$B$1:$S$836,18,0),"")</f>
        <v>Rải phân bò</v>
      </c>
      <c r="T412" s="41"/>
    </row>
    <row r="413" customHeight="1" spans="1:20">
      <c r="A413" s="19">
        <v>2</v>
      </c>
      <c r="B413" s="20" t="s">
        <v>4613</v>
      </c>
      <c r="C413" s="613" t="str">
        <f>IFERROR(VLOOKUP(B413,'03. THIẾT BỊ'!$B$1:$S$836,2,0),"")</f>
        <v>CK-RMRP-01(CNN-RMR-001)</v>
      </c>
      <c r="D413" s="24" t="str">
        <f>IFERROR(VLOOKUP(B413,'03. THIẾT BỊ'!$B$1:$S$836,3,0),"")</f>
        <v>A23-RMR-001</v>
      </c>
      <c r="E413" s="20" t="str">
        <f>IFERROR(VLOOKUP(B413,'03. THIẾT BỊ'!$B$1:$S$836,4,0),"")</f>
        <v>ĐQSD</v>
      </c>
      <c r="F413" s="20" t="str">
        <f>IFERROR(VLOOKUP(B413,'03. THIẾT BỊ'!$B$1:$S$836,5,0),"")</f>
        <v>Rơ mooc thùng ben rải phân hữu cơ</v>
      </c>
      <c r="G413" s="101" t="s">
        <v>6468</v>
      </c>
      <c r="H413" s="19" t="str">
        <f>IFERROR(VLOOKUP(B413,'03. THIẾT BỊ'!$B$1:$S$836,7,0),"")</f>
        <v>XN Chuối DP3</v>
      </c>
      <c r="I413" s="610" t="str">
        <f>IFERROR(VLOOKUP(B413,'03. THIẾT BỊ'!$B$1:$S$836,8,0),"")</f>
        <v>29/11/2023</v>
      </c>
      <c r="J413" s="25"/>
      <c r="K413" s="19" t="str">
        <f>IFERROR(VLOOKUP(B413,'03. THIẾT BỊ'!$B$1:$S$836,10,0),"")</f>
        <v>Bình thường</v>
      </c>
      <c r="L413" s="25" t="str">
        <f>IFERROR(VLOOKUP(B413,'03. THIẾT BỊ'!$B$1:$S$836,11,0),"")</f>
        <v>CGLĐ DP đ.chuyen qua ngày 19/08/2025</v>
      </c>
      <c r="M413" s="24">
        <f>IFERROR(VLOOKUP(B413,'03. THIẾT BỊ'!$B$1:$S$836,12,0),"")</f>
        <v>0</v>
      </c>
      <c r="N413" s="25" t="str">
        <f>IFERROR(VLOOKUP(B413,'03. THIẾT BỊ'!$B$1:$S$836,13,0),"")</f>
        <v>THACO AGRI</v>
      </c>
      <c r="O413" s="24">
        <f>IFERROR(VLOOKUP(B413,'03. THIẾT BỊ'!$B$1:$S$836,14,0),"")</f>
        <v>0</v>
      </c>
      <c r="P413" s="25" t="str">
        <f>IFERROR(VLOOKUP(B413,'03. THIẾT BỊ'!$B$1:$S$836,15,0),"")</f>
        <v>CK-CGH</v>
      </c>
      <c r="Q413" s="23">
        <f>IFERROR(VLOOKUP(B413,'03. THIẾT BỊ'!$B$1:$S$836,16,0),"")</f>
        <v>0</v>
      </c>
      <c r="R413" s="25" t="str">
        <f>IFERROR(VLOOKUP(B413,'03. THIẾT BỊ'!$B$1:$S$836,17,0),"")</f>
        <v>4.5x2x1.5</v>
      </c>
      <c r="S413" s="25" t="str">
        <f>IFERROR(VLOOKUP(B413,'03. THIẾT BỊ'!$B$1:$S$836,18,0),"")</f>
        <v>Kèm trục ben(xy lanh phi 160mm)</v>
      </c>
      <c r="T413" s="41"/>
    </row>
    <row r="414" customHeight="1" spans="1:20">
      <c r="A414" s="19">
        <v>3</v>
      </c>
      <c r="B414" s="20" t="s">
        <v>4730</v>
      </c>
      <c r="C414" s="613">
        <f>IFERROR(VLOOKUP(B414,'03. THIẾT BỊ'!$B$1:$S$836,2,0),"")</f>
        <v>0</v>
      </c>
      <c r="D414" s="24" t="str">
        <f>IFERROR(VLOOKUP(B414,'03. THIẾT BỊ'!$B$1:$S$836,3,0),"")</f>
        <v>A24-RMR-001</v>
      </c>
      <c r="E414" s="20" t="str">
        <f>IFERROR(VLOOKUP(B414,'03. THIẾT BỊ'!$B$1:$S$836,4,0),"")</f>
        <v>ĐQSD</v>
      </c>
      <c r="F414" s="20" t="str">
        <f>IFERROR(VLOOKUP(B414,'03. THIẾT BỊ'!$B$1:$S$836,5,0),"")</f>
        <v>Rơ mooc ben rải phân</v>
      </c>
      <c r="G414" s="101" t="s">
        <v>6468</v>
      </c>
      <c r="H414" s="19" t="str">
        <f>IFERROR(VLOOKUP(B414,'03. THIẾT BỊ'!$B$1:$S$836,7,0),"")</f>
        <v>XN Chuối LP1</v>
      </c>
      <c r="I414" s="610">
        <f>IFERROR(VLOOKUP(B414,'03. THIẾT BỊ'!$B$1:$S$836,8,0),"")</f>
        <v>45359</v>
      </c>
      <c r="J414" s="25"/>
      <c r="K414" s="19" t="str">
        <f>IFERROR(VLOOKUP(B414,'03. THIẾT BỊ'!$B$1:$S$836,10,0),"")</f>
        <v>Bình thường</v>
      </c>
      <c r="L414" s="25" t="str">
        <f>IFERROR(VLOOKUP(B414,'03. THIẾT BỊ'!$B$1:$S$836,11,0),"")</f>
        <v>X.CK gia công</v>
      </c>
      <c r="M414" s="24">
        <f>IFERROR(VLOOKUP(B414,'03. THIẾT BỊ'!$B$1:$S$836,12,0),"")</f>
        <v>0</v>
      </c>
      <c r="N414" s="25" t="str">
        <f>IFERROR(VLOOKUP(B414,'03. THIẾT BỊ'!$B$1:$S$836,13,0),"")</f>
        <v>THACO AGRI</v>
      </c>
      <c r="O414" s="24">
        <f>IFERROR(VLOOKUP(B414,'03. THIẾT BỊ'!$B$1:$S$836,14,0),"")</f>
        <v>0</v>
      </c>
      <c r="P414" s="25" t="str">
        <f>IFERROR(VLOOKUP(B414,'03. THIẾT BỊ'!$B$1:$S$836,15,0),"")</f>
        <v>CK-CGH</v>
      </c>
      <c r="Q414" s="23">
        <f>IFERROR(VLOOKUP(B414,'03. THIẾT BỊ'!$B$1:$S$836,16,0),"")</f>
        <v>0</v>
      </c>
      <c r="R414" s="25" t="str">
        <f>IFERROR(VLOOKUP(B414,'03. THIẾT BỊ'!$B$1:$S$836,17,0),"")</f>
        <v>Dài4m Rộng 2.4mx Cao 1.5m</v>
      </c>
      <c r="S414" s="25">
        <f>IFERROR(VLOOKUP(B414,'03. THIẾT BỊ'!$B$1:$S$836,18,0),"")</f>
        <v>0</v>
      </c>
      <c r="T414" s="41"/>
    </row>
    <row r="415" ht="13.8" spans="1:20">
      <c r="C415" s="613" t="str">
        <f>IFERROR(VLOOKUP(B415,'03. THIẾT BỊ'!$B$1:$S$836,2,0),"")</f>
        <v/>
      </c>
      <c r="D415" s="24" t="str">
        <f>IFERROR(VLOOKUP(B415,'03. THIẾT BỊ'!$B$1:$S$836,3,0),"")</f>
        <v/>
      </c>
      <c r="E415" s="20" t="str">
        <f>IFERROR(VLOOKUP(B415,'03. THIẾT BỊ'!$B$1:$S$836,4,0),"")</f>
        <v/>
      </c>
      <c r="F415" s="20" t="str">
        <f>IFERROR(VLOOKUP(B415,'03. THIẾT BỊ'!$B$1:$S$836,5,0),"")</f>
        <v/>
      </c>
      <c r="G415" s="101" t="s">
        <v>6468</v>
      </c>
      <c r="H415" s="19" t="str">
        <f>IFERROR(VLOOKUP(B415,'03. THIẾT BỊ'!$B$1:$S$836,7,0),"")</f>
        <v/>
      </c>
      <c r="I415" s="610" t="str">
        <f>IFERROR(VLOOKUP(B415,'03. THIẾT BỊ'!$B$1:$S$836,8,0),"")</f>
        <v/>
      </c>
      <c r="J415" s="25"/>
      <c r="K415" s="19" t="str">
        <f>IFERROR(VLOOKUP(B415,'03. THIẾT BỊ'!$B$1:$S$836,10,0),"")</f>
        <v/>
      </c>
      <c r="L415" s="25" t="str">
        <f>IFERROR(VLOOKUP(B415,'03. THIẾT BỊ'!$B$1:$S$836,11,0),"")</f>
        <v/>
      </c>
      <c r="M415" s="24" t="str">
        <f>IFERROR(VLOOKUP(B415,'03. THIẾT BỊ'!$B$1:$S$836,12,0),"")</f>
        <v/>
      </c>
      <c r="N415" s="25" t="str">
        <f>IFERROR(VLOOKUP(B415,'03. THIẾT BỊ'!$B$1:$S$836,13,0),"")</f>
        <v/>
      </c>
      <c r="O415" s="24" t="str">
        <f>IFERROR(VLOOKUP(B415,'03. THIẾT BỊ'!$B$1:$S$836,14,0),"")</f>
        <v/>
      </c>
      <c r="P415" s="25" t="str">
        <f>IFERROR(VLOOKUP(B415,'03. THIẾT BỊ'!$B$1:$S$836,15,0),"")</f>
        <v/>
      </c>
      <c r="Q415" s="23" t="str">
        <f>IFERROR(VLOOKUP(B415,'03. THIẾT BỊ'!$B$1:$S$836,16,0),"")</f>
        <v/>
      </c>
      <c r="R415" s="25" t="str">
        <f>IFERROR(VLOOKUP(B415,'03. THIẾT BỊ'!$B$1:$S$836,17,0),"")</f>
        <v/>
      </c>
      <c r="S415" s="25" t="str">
        <f>IFERROR(VLOOKUP(B415,'03. THIẾT BỊ'!$B$1:$S$836,18,0),"")</f>
        <v/>
      </c>
    </row>
    <row r="416" customHeight="1" spans="1:20">
      <c r="A416" s="14" t="s">
        <v>290</v>
      </c>
      <c r="B416" s="15" t="s">
        <v>6497</v>
      </c>
      <c r="C416" s="14">
        <f>COUNTA(B417:B436)</f>
        <v>18</v>
      </c>
      <c r="D416" s="17" t="str">
        <f>IFERROR(VLOOKUP(B416,'03. THIẾT BỊ'!$B$1:$S$836,3,0),"")</f>
        <v/>
      </c>
      <c r="E416" s="20" t="str">
        <f>IFERROR(VLOOKUP(B416,'03. THIẾT BỊ'!$B$1:$S$836,4,0),"")</f>
        <v/>
      </c>
      <c r="F416" s="17" t="str">
        <f>IFERROR(VLOOKUP(B416,'03. THIẾT BỊ'!$B$1:$S$836,5,0),"")</f>
        <v/>
      </c>
      <c r="G416" s="18" t="s">
        <v>6468</v>
      </c>
      <c r="H416" s="18" t="str">
        <f>IFERROR(VLOOKUP(B416,'03. THIẾT BỊ'!$B$1:$S$836,7,0),"")</f>
        <v/>
      </c>
      <c r="I416" s="14" t="str">
        <f>IFERROR(VLOOKUP(B416,'03. THIẾT BỊ'!$B$1:$S$836,8,0),"")</f>
        <v/>
      </c>
      <c r="J416" s="15"/>
      <c r="K416" s="14" t="str">
        <f>IFERROR(VLOOKUP(B416,'03. THIẾT BỊ'!$B$1:$S$836,10,0),"")</f>
        <v/>
      </c>
      <c r="L416" s="17" t="str">
        <f>IFERROR(VLOOKUP(B416,'03. THIẾT BỊ'!$B$1:$S$836,11,0),"")</f>
        <v/>
      </c>
      <c r="M416" s="16" t="str">
        <f>IFERROR(VLOOKUP(B416,'03. THIẾT BỊ'!$B$1:$S$836,12,0),"")</f>
        <v/>
      </c>
      <c r="N416" s="17" t="str">
        <f>IFERROR(VLOOKUP(B416,'03. THIẾT BỊ'!$B$1:$S$836,13,0),"")</f>
        <v/>
      </c>
      <c r="O416" s="16" t="str">
        <f>IFERROR(VLOOKUP(B416,'03. THIẾT BỊ'!$B$1:$S$836,14,0),"")</f>
        <v/>
      </c>
      <c r="P416" s="17" t="str">
        <f>IFERROR(VLOOKUP(B416,'03. THIẾT BỊ'!$B$1:$S$836,15,0),"")</f>
        <v/>
      </c>
      <c r="Q416" s="18" t="str">
        <f>IFERROR(VLOOKUP(B416,'03. THIẾT BỊ'!$B$1:$S$836,16,0),"")</f>
        <v/>
      </c>
      <c r="R416" s="17" t="str">
        <f>IFERROR(VLOOKUP(B416,'03. THIẾT BỊ'!$B$1:$S$836,17,0),"")</f>
        <v/>
      </c>
      <c r="S416" s="17" t="str">
        <f>IFERROR(VLOOKUP(B416,'03. THIẾT BỊ'!$B$1:$S$836,18,0),"")</f>
        <v/>
      </c>
      <c r="T416" s="609"/>
    </row>
    <row r="417" customHeight="1" spans="1:20">
      <c r="A417" s="19">
        <v>1</v>
      </c>
      <c r="B417" s="20" t="s">
        <v>4418</v>
      </c>
      <c r="C417" s="613" t="str">
        <f>IFERROR(VLOOKUP(B417,'03. THIẾT BỊ'!$B$1:$S$836,2,0),"")</f>
        <v>CK-RML-09(XB1-RML-007)</v>
      </c>
      <c r="D417" s="24" t="str">
        <f>IFERROR(VLOOKUP(B417,'03. THIẾT BỊ'!$B$1:$S$836,3,0),"")</f>
        <v>A23-RML-001</v>
      </c>
      <c r="E417" s="20" t="str">
        <f>IFERROR(VLOOKUP(B417,'03. THIẾT BỊ'!$B$1:$S$836,4,0),"")</f>
        <v>ĐQSD</v>
      </c>
      <c r="F417" s="20" t="str">
        <f>IFERROR(VLOOKUP(B417,'03. THIẾT BỊ'!$B$1:$S$836,5,0),"")</f>
        <v>Rơ mooc lưới</v>
      </c>
      <c r="G417" s="101" t="s">
        <v>6468</v>
      </c>
      <c r="H417" s="19" t="str">
        <f>IFERROR(VLOOKUP(B417,'03. THIẾT BỊ'!$B$1:$S$836,7,0),"")</f>
        <v>XN Chuối DP2</v>
      </c>
      <c r="I417" s="610">
        <f>IFERROR(VLOOKUP(B417,'03. THIẾT BỊ'!$B$1:$S$836,8,0),"")</f>
        <v>45297</v>
      </c>
      <c r="J417" s="25"/>
      <c r="K417" s="19" t="str">
        <f>IFERROR(VLOOKUP(B417,'03. THIẾT BỊ'!$B$1:$S$836,10,0),"")</f>
        <v>Bình thường</v>
      </c>
      <c r="L417" s="25">
        <f>IFERROR(VLOOKUP(B417,'03. THIẾT BỊ'!$B$1:$S$836,11,0),"")</f>
        <v>0</v>
      </c>
      <c r="M417" s="24" t="str">
        <f>IFERROR(VLOOKUP(B417,'03. THIẾT BỊ'!$B$1:$S$836,12,0),"")</f>
        <v>Cải tạo từ Rơ mooc thu hoạch</v>
      </c>
      <c r="N417" s="25" t="str">
        <f>IFERROR(VLOOKUP(B417,'03. THIẾT BỊ'!$B$1:$S$836,13,0),"")</f>
        <v>THACO AGRI</v>
      </c>
      <c r="O417" s="24">
        <f>IFERROR(VLOOKUP(B417,'03. THIẾT BỊ'!$B$1:$S$836,14,0),"")</f>
        <v>0</v>
      </c>
      <c r="P417" s="25" t="str">
        <f>IFERROR(VLOOKUP(B417,'03. THIẾT BỊ'!$B$1:$S$836,15,0),"")</f>
        <v>CK-CGH</v>
      </c>
      <c r="Q417" s="23">
        <f>IFERROR(VLOOKUP(B417,'03. THIẾT BỊ'!$B$1:$S$836,16,0),"")</f>
        <v>0</v>
      </c>
      <c r="R417" s="25" t="str">
        <f>IFERROR(VLOOKUP(B417,'03. THIẾT BỊ'!$B$1:$S$836,17,0),"")</f>
        <v>DxRxC: 5.5m*2.5m*2.4m</v>
      </c>
      <c r="S417" s="25">
        <f>IFERROR(VLOOKUP(B417,'03. THIẾT BỊ'!$B$1:$S$836,18,0),"")</f>
        <v>0</v>
      </c>
      <c r="T417" s="41"/>
    </row>
    <row r="418" customHeight="1" spans="1:20">
      <c r="A418" s="19">
        <f t="shared" ref="A418:A434" si="20">A417+1</f>
        <v>2</v>
      </c>
      <c r="B418" s="20" t="s">
        <v>4734</v>
      </c>
      <c r="C418" s="613" t="str">
        <f>IFERROR(VLOOKUP(B418,'03. THIẾT BỊ'!$B$1:$S$836,2,0),"")</f>
        <v>XA2-RML-001</v>
      </c>
      <c r="D418" s="24">
        <f>IFERROR(VLOOKUP(B418,'03. THIẾT BỊ'!$B$1:$S$836,3,0),"")</f>
        <v>0</v>
      </c>
      <c r="E418" s="20" t="str">
        <f>IFERROR(VLOOKUP(B418,'03. THIẾT BỊ'!$B$1:$S$836,4,0),"")</f>
        <v>ĐQSD</v>
      </c>
      <c r="F418" s="20" t="str">
        <f>IFERROR(VLOOKUP(B418,'03. THIẾT BỊ'!$B$1:$S$836,5,0),"")</f>
        <v>Rơ mooc lưới</v>
      </c>
      <c r="G418" s="101" t="s">
        <v>6468</v>
      </c>
      <c r="H418" s="19" t="str">
        <f>IFERROR(VLOOKUP(B418,'03. THIẾT BỊ'!$B$1:$S$836,7,0),"")</f>
        <v>XN Chuối LP1</v>
      </c>
      <c r="I418" s="610" t="str">
        <f>IFERROR(VLOOKUP(B418,'03. THIẾT BỊ'!$B$1:$S$836,8,0),"")</f>
        <v>17/02/2025</v>
      </c>
      <c r="J418" s="25"/>
      <c r="K418" s="19" t="str">
        <f>IFERROR(VLOOKUP(B418,'03. THIẾT BỊ'!$B$1:$S$836,10,0),"")</f>
        <v>Bình thường</v>
      </c>
      <c r="L418" s="25" t="str">
        <f>IFERROR(VLOOKUP(B418,'03. THIẾT BỊ'!$B$1:$S$836,11,0),"")</f>
        <v>Đ.chuyển từ XN AD ngày 17/02/2025</v>
      </c>
      <c r="M418" s="24" t="str">
        <f>IFERROR(VLOOKUP(B418,'03. THIẾT BỊ'!$B$1:$S$836,12,0),"")</f>
        <v>CK GIAO QUA (CK-TML-07)</v>
      </c>
      <c r="N418" s="25" t="str">
        <f>IFERROR(VLOOKUP(B418,'03. THIẾT BỊ'!$B$1:$S$836,13,0),"")</f>
        <v>THACO AGRI</v>
      </c>
      <c r="O418" s="24">
        <f>IFERROR(VLOOKUP(B418,'03. THIẾT BỊ'!$B$1:$S$836,14,0),"")</f>
        <v>0</v>
      </c>
      <c r="P418" s="25" t="str">
        <f>IFERROR(VLOOKUP(B418,'03. THIẾT BỊ'!$B$1:$S$836,15,0),"")</f>
        <v>CK-CGH</v>
      </c>
      <c r="Q418" s="23">
        <f>IFERROR(VLOOKUP(B418,'03. THIẾT BỊ'!$B$1:$S$836,16,0),"")</f>
        <v>0</v>
      </c>
      <c r="R418" s="25" t="str">
        <f>IFERROR(VLOOKUP(B418,'03. THIẾT BỊ'!$B$1:$S$836,17,0),"")</f>
        <v>5.5*2.5*2.4</v>
      </c>
      <c r="S418" s="25">
        <f>IFERROR(VLOOKUP(B418,'03. THIẾT BỊ'!$B$1:$S$836,18,0),"")</f>
        <v>0</v>
      </c>
      <c r="T418" s="41"/>
    </row>
    <row r="419" customHeight="1" spans="1:20">
      <c r="A419" s="19">
        <f t="shared" si="20"/>
        <v>3</v>
      </c>
      <c r="B419" s="20" t="s">
        <v>5102</v>
      </c>
      <c r="C419" s="613" t="str">
        <f>IFERROR(VLOOKUP(B419,'03. THIẾT BỊ'!$B$1:$S$836,2,0),"")</f>
        <v>CK-RML-013</v>
      </c>
      <c r="D419" s="24" t="str">
        <f>IFERROR(VLOOKUP(B419,'03. THIẾT BỊ'!$B$1:$S$836,3,0),"")</f>
        <v>A22-RML-001</v>
      </c>
      <c r="E419" s="20" t="str">
        <f>IFERROR(VLOOKUP(B419,'03. THIẾT BỊ'!$B$1:$S$836,4,0),"")</f>
        <v>ĐQSD</v>
      </c>
      <c r="F419" s="20" t="str">
        <f>IFERROR(VLOOKUP(B419,'03. THIẾT BỊ'!$B$1:$S$836,5,0),"")</f>
        <v>Rơ mooc lưới</v>
      </c>
      <c r="G419" s="101" t="s">
        <v>6468</v>
      </c>
      <c r="H419" s="19" t="str">
        <f>IFERROR(VLOOKUP(B419,'03. THIẾT BỊ'!$B$1:$S$836,7,0),"")</f>
        <v>Xoài AD</v>
      </c>
      <c r="I419" s="610">
        <f>IFERROR(VLOOKUP(B419,'03. THIẾT BỊ'!$B$1:$S$836,8,0),"")</f>
        <v>0</v>
      </c>
      <c r="J419" s="25"/>
      <c r="K419" s="19" t="str">
        <f>IFERROR(VLOOKUP(B419,'03. THIẾT BỊ'!$B$1:$S$836,10,0),"")</f>
        <v>Bình thường</v>
      </c>
      <c r="L419" s="25">
        <f>IFERROR(VLOOKUP(B419,'03. THIẾT BỊ'!$B$1:$S$836,11,0),"")</f>
        <v>0</v>
      </c>
      <c r="M419" s="24">
        <f>IFERROR(VLOOKUP(B419,'03. THIẾT BỊ'!$B$1:$S$836,12,0),"")</f>
        <v>0</v>
      </c>
      <c r="N419" s="25" t="str">
        <f>IFERROR(VLOOKUP(B419,'03. THIẾT BỊ'!$B$1:$S$836,13,0),"")</f>
        <v>THACO AGRI</v>
      </c>
      <c r="O419" s="24">
        <f>IFERROR(VLOOKUP(B419,'03. THIẾT BỊ'!$B$1:$S$836,14,0),"")</f>
        <v>0</v>
      </c>
      <c r="P419" s="25" t="str">
        <f>IFERROR(VLOOKUP(B419,'03. THIẾT BỊ'!$B$1:$S$836,15,0),"")</f>
        <v>CK-CGH</v>
      </c>
      <c r="Q419" s="23">
        <f>IFERROR(VLOOKUP(B419,'03. THIẾT BỊ'!$B$1:$S$836,16,0),"")</f>
        <v>0</v>
      </c>
      <c r="R419" s="25">
        <f>IFERROR(VLOOKUP(B419,'03. THIẾT BỊ'!$B$1:$S$836,17,0),"")</f>
        <v>0</v>
      </c>
      <c r="S419" s="25">
        <f>IFERROR(VLOOKUP(B419,'03. THIẾT BỊ'!$B$1:$S$836,18,0),"")</f>
        <v>0</v>
      </c>
      <c r="T419" s="615"/>
    </row>
    <row r="420" customHeight="1" spans="1:20">
      <c r="A420" s="19">
        <f t="shared" si="20"/>
        <v>4</v>
      </c>
      <c r="B420" s="20" t="s">
        <v>5105</v>
      </c>
      <c r="C420" s="613" t="str">
        <f>IFERROR(VLOOKUP(B420,'03. THIẾT BỊ'!$B$1:$S$836,2,0),"")</f>
        <v>CK-RML-014</v>
      </c>
      <c r="D420" s="24" t="str">
        <f>IFERROR(VLOOKUP(B420,'03. THIẾT BỊ'!$B$1:$S$836,3,0),"")</f>
        <v>A22-RML-002</v>
      </c>
      <c r="E420" s="20" t="str">
        <f>IFERROR(VLOOKUP(B420,'03. THIẾT BỊ'!$B$1:$S$836,4,0),"")</f>
        <v>ĐQSD</v>
      </c>
      <c r="F420" s="20" t="str">
        <f>IFERROR(VLOOKUP(B420,'03. THIẾT BỊ'!$B$1:$S$836,5,0),"")</f>
        <v>Rơ mooc lưới</v>
      </c>
      <c r="G420" s="101" t="s">
        <v>6468</v>
      </c>
      <c r="H420" s="19" t="str">
        <f>IFERROR(VLOOKUP(B420,'03. THIẾT BỊ'!$B$1:$S$836,7,0),"")</f>
        <v>Xoài AD</v>
      </c>
      <c r="I420" s="610">
        <f>IFERROR(VLOOKUP(B420,'03. THIẾT BỊ'!$B$1:$S$836,8,0),"")</f>
        <v>0</v>
      </c>
      <c r="J420" s="25"/>
      <c r="K420" s="19" t="str">
        <f>IFERROR(VLOOKUP(B420,'03. THIẾT BỊ'!$B$1:$S$836,10,0),"")</f>
        <v>Bình thường</v>
      </c>
      <c r="L420" s="25">
        <f>IFERROR(VLOOKUP(B420,'03. THIẾT BỊ'!$B$1:$S$836,11,0),"")</f>
        <v>0</v>
      </c>
      <c r="M420" s="24">
        <f>IFERROR(VLOOKUP(B420,'03. THIẾT BỊ'!$B$1:$S$836,12,0),"")</f>
        <v>0</v>
      </c>
      <c r="N420" s="25" t="str">
        <f>IFERROR(VLOOKUP(B420,'03. THIẾT BỊ'!$B$1:$S$836,13,0),"")</f>
        <v>THACO AGRI</v>
      </c>
      <c r="O420" s="24">
        <f>IFERROR(VLOOKUP(B420,'03. THIẾT BỊ'!$B$1:$S$836,14,0),"")</f>
        <v>0</v>
      </c>
      <c r="P420" s="25" t="str">
        <f>IFERROR(VLOOKUP(B420,'03. THIẾT BỊ'!$B$1:$S$836,15,0),"")</f>
        <v>CK-CGH</v>
      </c>
      <c r="Q420" s="23">
        <f>IFERROR(VLOOKUP(B420,'03. THIẾT BỊ'!$B$1:$S$836,16,0),"")</f>
        <v>0</v>
      </c>
      <c r="R420" s="25">
        <f>IFERROR(VLOOKUP(B420,'03. THIẾT BỊ'!$B$1:$S$836,17,0),"")</f>
        <v>0</v>
      </c>
      <c r="S420" s="25">
        <f>IFERROR(VLOOKUP(B420,'03. THIẾT BỊ'!$B$1:$S$836,18,0),"")</f>
        <v>0</v>
      </c>
      <c r="T420" s="615"/>
    </row>
    <row r="421" customHeight="1" spans="1:20">
      <c r="A421" s="19">
        <f t="shared" si="20"/>
        <v>5</v>
      </c>
      <c r="B421" s="20" t="s">
        <v>5108</v>
      </c>
      <c r="C421" s="613" t="str">
        <f>IFERROR(VLOOKUP(B421,'03. THIẾT BỊ'!$B$1:$S$836,2,0),"")</f>
        <v>CK-RMX-01</v>
      </c>
      <c r="D421" s="24" t="str">
        <f>IFERROR(VLOOKUP(B421,'03. THIẾT BỊ'!$B$1:$S$836,3,0),"")</f>
        <v>A22-RML-003</v>
      </c>
      <c r="E421" s="20" t="str">
        <f>IFERROR(VLOOKUP(B421,'03. THIẾT BỊ'!$B$1:$S$836,4,0),"")</f>
        <v>ĐQSD</v>
      </c>
      <c r="F421" s="20" t="str">
        <f>IFERROR(VLOOKUP(B421,'03. THIẾT BỊ'!$B$1:$S$836,5,0),"")</f>
        <v>Rơ mooc lưới</v>
      </c>
      <c r="G421" s="101" t="s">
        <v>6468</v>
      </c>
      <c r="H421" s="19" t="str">
        <f>IFERROR(VLOOKUP(B421,'03. THIẾT BỊ'!$B$1:$S$836,7,0),"")</f>
        <v>Xoài AD</v>
      </c>
      <c r="I421" s="610" t="str">
        <f>IFERROR(VLOOKUP(B421,'03. THIẾT BỊ'!$B$1:$S$836,8,0),"")</f>
        <v>13/01/2025</v>
      </c>
      <c r="J421" s="25"/>
      <c r="K421" s="19" t="str">
        <f>IFERROR(VLOOKUP(B421,'03. THIẾT BỊ'!$B$1:$S$836,10,0),"")</f>
        <v>Bình thường</v>
      </c>
      <c r="L421" s="25">
        <f>IFERROR(VLOOKUP(B421,'03. THIẾT BỊ'!$B$1:$S$836,11,0),"")</f>
        <v>0</v>
      </c>
      <c r="M421" s="24" t="str">
        <f>IFERROR(VLOOKUP(B421,'03. THIẾT BỊ'!$B$1:$S$836,12,0),"")</f>
        <v>Gia công mới</v>
      </c>
      <c r="N421" s="25" t="str">
        <f>IFERROR(VLOOKUP(B421,'03. THIẾT BỊ'!$B$1:$S$836,13,0),"")</f>
        <v>THACO AGRI</v>
      </c>
      <c r="O421" s="24">
        <f>IFERROR(VLOOKUP(B421,'03. THIẾT BỊ'!$B$1:$S$836,14,0),"")</f>
        <v>0</v>
      </c>
      <c r="P421" s="25" t="str">
        <f>IFERROR(VLOOKUP(B421,'03. THIẾT BỊ'!$B$1:$S$836,15,0),"")</f>
        <v>CK-CGH</v>
      </c>
      <c r="Q421" s="23">
        <f>IFERROR(VLOOKUP(B421,'03. THIẾT BỊ'!$B$1:$S$836,16,0),"")</f>
        <v>0</v>
      </c>
      <c r="R421" s="25" t="str">
        <f>IFERROR(VLOOKUP(B421,'03. THIẾT BỊ'!$B$1:$S$836,17,0),"")</f>
        <v>4.5x2.6x2m</v>
      </c>
      <c r="S421" s="25">
        <f>IFERROR(VLOOKUP(B421,'03. THIẾT BỊ'!$B$1:$S$836,18,0),"")</f>
        <v>0</v>
      </c>
      <c r="T421" s="615"/>
    </row>
    <row r="422" customHeight="1" spans="1:20">
      <c r="A422" s="19">
        <f t="shared" si="20"/>
        <v>6</v>
      </c>
      <c r="B422" s="20" t="s">
        <v>5113</v>
      </c>
      <c r="C422" s="613" t="str">
        <f>IFERROR(VLOOKUP(B422,'03. THIẾT BỊ'!$B$1:$S$836,2,0),"")</f>
        <v>CK-RMX-02</v>
      </c>
      <c r="D422" s="24" t="str">
        <f>IFERROR(VLOOKUP(B422,'03. THIẾT BỊ'!$B$1:$S$836,3,0),"")</f>
        <v>A22-RML-004</v>
      </c>
      <c r="E422" s="20" t="str">
        <f>IFERROR(VLOOKUP(B422,'03. THIẾT BỊ'!$B$1:$S$836,4,0),"")</f>
        <v>ĐQSD</v>
      </c>
      <c r="F422" s="20" t="str">
        <f>IFERROR(VLOOKUP(B422,'03. THIẾT BỊ'!$B$1:$S$836,5,0),"")</f>
        <v>Rơ mooc lưới</v>
      </c>
      <c r="G422" s="101" t="s">
        <v>6468</v>
      </c>
      <c r="H422" s="19" t="str">
        <f>IFERROR(VLOOKUP(B422,'03. THIẾT BỊ'!$B$1:$S$836,7,0),"")</f>
        <v>Xoài AD</v>
      </c>
      <c r="I422" s="610" t="str">
        <f>IFERROR(VLOOKUP(B422,'03. THIẾT BỊ'!$B$1:$S$836,8,0),"")</f>
        <v>13/01/2025</v>
      </c>
      <c r="J422" s="25"/>
      <c r="K422" s="19" t="str">
        <f>IFERROR(VLOOKUP(B422,'03. THIẾT BỊ'!$B$1:$S$836,10,0),"")</f>
        <v>Bình thường</v>
      </c>
      <c r="L422" s="25">
        <f>IFERROR(VLOOKUP(B422,'03. THIẾT BỊ'!$B$1:$S$836,11,0),"")</f>
        <v>0</v>
      </c>
      <c r="M422" s="24" t="str">
        <f>IFERROR(VLOOKUP(B422,'03. THIẾT BỊ'!$B$1:$S$836,12,0),"")</f>
        <v>Gia công mới</v>
      </c>
      <c r="N422" s="25" t="str">
        <f>IFERROR(VLOOKUP(B422,'03. THIẾT BỊ'!$B$1:$S$836,13,0),"")</f>
        <v>THACO AGRI</v>
      </c>
      <c r="O422" s="24">
        <f>IFERROR(VLOOKUP(B422,'03. THIẾT BỊ'!$B$1:$S$836,14,0),"")</f>
        <v>0</v>
      </c>
      <c r="P422" s="25" t="str">
        <f>IFERROR(VLOOKUP(B422,'03. THIẾT BỊ'!$B$1:$S$836,15,0),"")</f>
        <v>CK-CGH</v>
      </c>
      <c r="Q422" s="23">
        <f>IFERROR(VLOOKUP(B422,'03. THIẾT BỊ'!$B$1:$S$836,16,0),"")</f>
        <v>0</v>
      </c>
      <c r="R422" s="25" t="str">
        <f>IFERROR(VLOOKUP(B422,'03. THIẾT BỊ'!$B$1:$S$836,17,0),"")</f>
        <v>4.5x2.6x2m</v>
      </c>
      <c r="S422" s="25">
        <f>IFERROR(VLOOKUP(B422,'03. THIẾT BỊ'!$B$1:$S$836,18,0),"")</f>
        <v>0</v>
      </c>
      <c r="T422" s="615"/>
    </row>
    <row r="423" customHeight="1" spans="1:20">
      <c r="A423" s="19">
        <f t="shared" si="20"/>
        <v>7</v>
      </c>
      <c r="B423" s="20" t="s">
        <v>5116</v>
      </c>
      <c r="C423" s="613">
        <f>IFERROR(VLOOKUP(B423,'03. THIẾT BỊ'!$B$1:$S$836,2,0),"")</f>
        <v>0</v>
      </c>
      <c r="D423" s="24" t="str">
        <f>IFERROR(VLOOKUP(B423,'03. THIẾT BỊ'!$B$1:$S$836,3,0),"")</f>
        <v>A22-RML-005</v>
      </c>
      <c r="E423" s="20" t="str">
        <f>IFERROR(VLOOKUP(B423,'03. THIẾT BỊ'!$B$1:$S$836,4,0),"")</f>
        <v>ĐQSD</v>
      </c>
      <c r="F423" s="20" t="str">
        <f>IFERROR(VLOOKUP(B423,'03. THIẾT BỊ'!$B$1:$S$836,5,0),"")</f>
        <v>Rơ mooc lưới</v>
      </c>
      <c r="G423" s="101" t="s">
        <v>6468</v>
      </c>
      <c r="H423" s="19">
        <f>IFERROR(VLOOKUP(B423,'03. THIẾT BỊ'!$B$1:$S$836,7,0),"")</f>
        <v>0</v>
      </c>
      <c r="I423" s="610">
        <f>IFERROR(VLOOKUP(B423,'03. THIẾT BỊ'!$B$1:$S$836,8,0),"")</f>
        <v>0</v>
      </c>
      <c r="J423" s="25"/>
      <c r="K423" s="19">
        <f>IFERROR(VLOOKUP(B423,'03. THIẾT BỊ'!$B$1:$S$836,10,0),"")</f>
        <v>0</v>
      </c>
      <c r="L423" s="25">
        <f>IFERROR(VLOOKUP(B423,'03. THIẾT BỊ'!$B$1:$S$836,11,0),"")</f>
        <v>0</v>
      </c>
      <c r="M423" s="24" t="str">
        <f>IFERROR(VLOOKUP(B423,'03. THIẾT BỊ'!$B$1:$S$836,12,0),"")</f>
        <v>Gia công mới</v>
      </c>
      <c r="N423" s="25" t="str">
        <f>IFERROR(VLOOKUP(B423,'03. THIẾT BỊ'!$B$1:$S$836,13,0),"")</f>
        <v>THACO AGRI</v>
      </c>
      <c r="O423" s="24">
        <f>IFERROR(VLOOKUP(B423,'03. THIẾT BỊ'!$B$1:$S$836,14,0),"")</f>
        <v>0</v>
      </c>
      <c r="P423" s="25" t="str">
        <f>IFERROR(VLOOKUP(B423,'03. THIẾT BỊ'!$B$1:$S$836,15,0),"")</f>
        <v>CK-CGH</v>
      </c>
      <c r="Q423" s="23">
        <f>IFERROR(VLOOKUP(B423,'03. THIẾT BỊ'!$B$1:$S$836,16,0),"")</f>
        <v>0</v>
      </c>
      <c r="R423" s="25" t="str">
        <f>IFERROR(VLOOKUP(B423,'03. THIẾT BỊ'!$B$1:$S$836,17,0),"")</f>
        <v>4.5x2.6x2m</v>
      </c>
      <c r="S423" s="25">
        <f>IFERROR(VLOOKUP(B423,'03. THIẾT BỊ'!$B$1:$S$836,18,0),"")</f>
        <v>0</v>
      </c>
      <c r="T423" s="615"/>
    </row>
    <row r="424" customHeight="1" spans="1:20">
      <c r="A424" s="19">
        <f t="shared" si="20"/>
        <v>8</v>
      </c>
      <c r="B424" s="20" t="s">
        <v>5118</v>
      </c>
      <c r="C424" s="613">
        <f>IFERROR(VLOOKUP(B424,'03. THIẾT BỊ'!$B$1:$S$836,2,0),"")</f>
        <v>0</v>
      </c>
      <c r="D424" s="24" t="str">
        <f>IFERROR(VLOOKUP(B424,'03. THIẾT BỊ'!$B$1:$S$836,3,0),"")</f>
        <v>A22-RML-006</v>
      </c>
      <c r="E424" s="20" t="str">
        <f>IFERROR(VLOOKUP(B424,'03. THIẾT BỊ'!$B$1:$S$836,4,0),"")</f>
        <v>ĐQSD</v>
      </c>
      <c r="F424" s="20" t="str">
        <f>IFERROR(VLOOKUP(B424,'03. THIẾT BỊ'!$B$1:$S$836,5,0),"")</f>
        <v>Rơ mooc lưới</v>
      </c>
      <c r="G424" s="101" t="s">
        <v>6468</v>
      </c>
      <c r="H424" s="19">
        <f>IFERROR(VLOOKUP(B424,'03. THIẾT BỊ'!$B$1:$S$836,7,0),"")</f>
        <v>0</v>
      </c>
      <c r="I424" s="610">
        <f>IFERROR(VLOOKUP(B424,'03. THIẾT BỊ'!$B$1:$S$836,8,0),"")</f>
        <v>0</v>
      </c>
      <c r="J424" s="25"/>
      <c r="K424" s="19">
        <f>IFERROR(VLOOKUP(B424,'03. THIẾT BỊ'!$B$1:$S$836,10,0),"")</f>
        <v>0</v>
      </c>
      <c r="L424" s="25">
        <f>IFERROR(VLOOKUP(B424,'03. THIẾT BỊ'!$B$1:$S$836,11,0),"")</f>
        <v>0</v>
      </c>
      <c r="M424" s="24" t="str">
        <f>IFERROR(VLOOKUP(B424,'03. THIẾT BỊ'!$B$1:$S$836,12,0),"")</f>
        <v>Gia công mới</v>
      </c>
      <c r="N424" s="25" t="str">
        <f>IFERROR(VLOOKUP(B424,'03. THIẾT BỊ'!$B$1:$S$836,13,0),"")</f>
        <v>THACO AGRI</v>
      </c>
      <c r="O424" s="24">
        <f>IFERROR(VLOOKUP(B424,'03. THIẾT BỊ'!$B$1:$S$836,14,0),"")</f>
        <v>0</v>
      </c>
      <c r="P424" s="25" t="str">
        <f>IFERROR(VLOOKUP(B424,'03. THIẾT BỊ'!$B$1:$S$836,15,0),"")</f>
        <v>CK-CGH</v>
      </c>
      <c r="Q424" s="23">
        <f>IFERROR(VLOOKUP(B424,'03. THIẾT BỊ'!$B$1:$S$836,16,0),"")</f>
        <v>0</v>
      </c>
      <c r="R424" s="25" t="str">
        <f>IFERROR(VLOOKUP(B424,'03. THIẾT BỊ'!$B$1:$S$836,17,0),"")</f>
        <v>4.5x2.6x2m</v>
      </c>
      <c r="S424" s="25">
        <f>IFERROR(VLOOKUP(B424,'03. THIẾT BỊ'!$B$1:$S$836,18,0),"")</f>
        <v>0</v>
      </c>
      <c r="T424" s="615"/>
    </row>
    <row r="425" customHeight="1" spans="1:20">
      <c r="A425" s="19">
        <f t="shared" si="20"/>
        <v>9</v>
      </c>
      <c r="B425" s="20" t="s">
        <v>5120</v>
      </c>
      <c r="C425" s="613">
        <f>IFERROR(VLOOKUP(B425,'03. THIẾT BỊ'!$B$1:$S$836,2,0),"")</f>
        <v>0</v>
      </c>
      <c r="D425" s="24" t="str">
        <f>IFERROR(VLOOKUP(B425,'03. THIẾT BỊ'!$B$1:$S$836,3,0),"")</f>
        <v>A22-RML-007</v>
      </c>
      <c r="E425" s="20" t="str">
        <f>IFERROR(VLOOKUP(B425,'03. THIẾT BỊ'!$B$1:$S$836,4,0),"")</f>
        <v>ĐQSD</v>
      </c>
      <c r="F425" s="20" t="str">
        <f>IFERROR(VLOOKUP(B425,'03. THIẾT BỊ'!$B$1:$S$836,5,0),"")</f>
        <v>Rơ mooc lưới</v>
      </c>
      <c r="G425" s="101" t="s">
        <v>6468</v>
      </c>
      <c r="H425" s="19">
        <f>IFERROR(VLOOKUP(B425,'03. THIẾT BỊ'!$B$1:$S$836,7,0),"")</f>
        <v>0</v>
      </c>
      <c r="I425" s="610">
        <f>IFERROR(VLOOKUP(B425,'03. THIẾT BỊ'!$B$1:$S$836,8,0),"")</f>
        <v>0</v>
      </c>
      <c r="J425" s="25"/>
      <c r="K425" s="19">
        <f>IFERROR(VLOOKUP(B425,'03. THIẾT BỊ'!$B$1:$S$836,10,0),"")</f>
        <v>0</v>
      </c>
      <c r="L425" s="25">
        <f>IFERROR(VLOOKUP(B425,'03. THIẾT BỊ'!$B$1:$S$836,11,0),"")</f>
        <v>0</v>
      </c>
      <c r="M425" s="24" t="str">
        <f>IFERROR(VLOOKUP(B425,'03. THIẾT BỊ'!$B$1:$S$836,12,0),"")</f>
        <v>Gia công mới</v>
      </c>
      <c r="N425" s="25" t="str">
        <f>IFERROR(VLOOKUP(B425,'03. THIẾT BỊ'!$B$1:$S$836,13,0),"")</f>
        <v>THACO AGRI</v>
      </c>
      <c r="O425" s="24">
        <f>IFERROR(VLOOKUP(B425,'03. THIẾT BỊ'!$B$1:$S$836,14,0),"")</f>
        <v>0</v>
      </c>
      <c r="P425" s="25" t="str">
        <f>IFERROR(VLOOKUP(B425,'03. THIẾT BỊ'!$B$1:$S$836,15,0),"")</f>
        <v>CK-CGH</v>
      </c>
      <c r="Q425" s="23">
        <f>IFERROR(VLOOKUP(B425,'03. THIẾT BỊ'!$B$1:$S$836,16,0),"")</f>
        <v>0</v>
      </c>
      <c r="R425" s="25" t="str">
        <f>IFERROR(VLOOKUP(B425,'03. THIẾT BỊ'!$B$1:$S$836,17,0),"")</f>
        <v>4.5x2.6x2m</v>
      </c>
      <c r="S425" s="25">
        <f>IFERROR(VLOOKUP(B425,'03. THIẾT BỊ'!$B$1:$S$836,18,0),"")</f>
        <v>0</v>
      </c>
      <c r="T425" s="615"/>
    </row>
    <row r="426" customHeight="1" spans="1:20">
      <c r="A426" s="19">
        <f t="shared" si="20"/>
        <v>10</v>
      </c>
      <c r="B426" s="20" t="s">
        <v>5122</v>
      </c>
      <c r="C426" s="613">
        <f>IFERROR(VLOOKUP(B426,'03. THIẾT BỊ'!$B$1:$S$836,2,0),"")</f>
        <v>0</v>
      </c>
      <c r="D426" s="24" t="str">
        <f>IFERROR(VLOOKUP(B426,'03. THIẾT BỊ'!$B$1:$S$836,3,0),"")</f>
        <v>A22-RML-008</v>
      </c>
      <c r="E426" s="20" t="str">
        <f>IFERROR(VLOOKUP(B426,'03. THIẾT BỊ'!$B$1:$S$836,4,0),"")</f>
        <v>ĐQSD</v>
      </c>
      <c r="F426" s="20" t="str">
        <f>IFERROR(VLOOKUP(B426,'03. THIẾT BỊ'!$B$1:$S$836,5,0),"")</f>
        <v>Rơ mooc lưới</v>
      </c>
      <c r="G426" s="101" t="s">
        <v>6468</v>
      </c>
      <c r="H426" s="19">
        <f>IFERROR(VLOOKUP(B426,'03. THIẾT BỊ'!$B$1:$S$836,7,0),"")</f>
        <v>0</v>
      </c>
      <c r="I426" s="610">
        <f>IFERROR(VLOOKUP(B426,'03. THIẾT BỊ'!$B$1:$S$836,8,0),"")</f>
        <v>0</v>
      </c>
      <c r="J426" s="25"/>
      <c r="K426" s="19">
        <f>IFERROR(VLOOKUP(B426,'03. THIẾT BỊ'!$B$1:$S$836,10,0),"")</f>
        <v>0</v>
      </c>
      <c r="L426" s="25">
        <f>IFERROR(VLOOKUP(B426,'03. THIẾT BỊ'!$B$1:$S$836,11,0),"")</f>
        <v>0</v>
      </c>
      <c r="M426" s="24" t="str">
        <f>IFERROR(VLOOKUP(B426,'03. THIẾT BỊ'!$B$1:$S$836,12,0),"")</f>
        <v>Gia công mới</v>
      </c>
      <c r="N426" s="25" t="str">
        <f>IFERROR(VLOOKUP(B426,'03. THIẾT BỊ'!$B$1:$S$836,13,0),"")</f>
        <v>THACO AGRI</v>
      </c>
      <c r="O426" s="24">
        <f>IFERROR(VLOOKUP(B426,'03. THIẾT BỊ'!$B$1:$S$836,14,0),"")</f>
        <v>0</v>
      </c>
      <c r="P426" s="25" t="str">
        <f>IFERROR(VLOOKUP(B426,'03. THIẾT BỊ'!$B$1:$S$836,15,0),"")</f>
        <v>CK-CGH</v>
      </c>
      <c r="Q426" s="23">
        <f>IFERROR(VLOOKUP(B426,'03. THIẾT BỊ'!$B$1:$S$836,16,0),"")</f>
        <v>0</v>
      </c>
      <c r="R426" s="25" t="str">
        <f>IFERROR(VLOOKUP(B426,'03. THIẾT BỊ'!$B$1:$S$836,17,0),"")</f>
        <v>4.5x2.6x2m</v>
      </c>
      <c r="S426" s="25">
        <f>IFERROR(VLOOKUP(B426,'03. THIẾT BỊ'!$B$1:$S$836,18,0),"")</f>
        <v>0</v>
      </c>
      <c r="T426" s="615"/>
    </row>
    <row r="427" customHeight="1" spans="1:20">
      <c r="A427" s="19">
        <f t="shared" si="20"/>
        <v>11</v>
      </c>
      <c r="B427" s="20" t="s">
        <v>5201</v>
      </c>
      <c r="C427" s="613" t="str">
        <f>IFERROR(VLOOKUP(B427,'03. THIẾT BỊ'!$B$1:$S$836,2,0),"")</f>
        <v>CK-RML-06</v>
      </c>
      <c r="D427" s="24" t="str">
        <f>IFERROR(VLOOKUP(B427,'03. THIẾT BỊ'!$B$1:$S$836,3,0),"")</f>
        <v>A23-RML-001</v>
      </c>
      <c r="E427" s="20" t="str">
        <f>IFERROR(VLOOKUP(B427,'03. THIẾT BỊ'!$B$1:$S$836,4,0),"")</f>
        <v>ĐQSD</v>
      </c>
      <c r="F427" s="20" t="str">
        <f>IFERROR(VLOOKUP(B427,'03. THIẾT BỊ'!$B$1:$S$836,5,0),"")</f>
        <v>Rơ mooc lưới</v>
      </c>
      <c r="G427" s="101" t="s">
        <v>6468</v>
      </c>
      <c r="H427" s="19" t="str">
        <f>IFERROR(VLOOKUP(B427,'03. THIẾT BỊ'!$B$1:$S$836,7,0),"")</f>
        <v>Xoài DP</v>
      </c>
      <c r="I427" s="610">
        <f>IFERROR(VLOOKUP(B427,'03. THIẾT BỊ'!$B$1:$S$836,8,0),"")</f>
        <v>45383</v>
      </c>
      <c r="J427" s="25"/>
      <c r="K427" s="19" t="str">
        <f>IFERROR(VLOOKUP(B427,'03. THIẾT BỊ'!$B$1:$S$836,10,0),"")</f>
        <v>Bình thường</v>
      </c>
      <c r="L427" s="25">
        <f>IFERROR(VLOOKUP(B427,'03. THIẾT BỊ'!$B$1:$S$836,11,0),"")</f>
        <v>0</v>
      </c>
      <c r="M427" s="24">
        <f>IFERROR(VLOOKUP(B427,'03. THIẾT BỊ'!$B$1:$S$836,12,0),"")</f>
        <v>0</v>
      </c>
      <c r="N427" s="25" t="str">
        <f>IFERROR(VLOOKUP(B427,'03. THIẾT BỊ'!$B$1:$S$836,13,0),"")</f>
        <v>THACO AGRI</v>
      </c>
      <c r="O427" s="24">
        <f>IFERROR(VLOOKUP(B427,'03. THIẾT BỊ'!$B$1:$S$836,14,0),"")</f>
        <v>0</v>
      </c>
      <c r="P427" s="25" t="str">
        <f>IFERROR(VLOOKUP(B427,'03. THIẾT BỊ'!$B$1:$S$836,15,0),"")</f>
        <v>CK-CGH</v>
      </c>
      <c r="Q427" s="23">
        <f>IFERROR(VLOOKUP(B427,'03. THIẾT BỊ'!$B$1:$S$836,16,0),"")</f>
        <v>0</v>
      </c>
      <c r="R427" s="25" t="str">
        <f>IFERROR(VLOOKUP(B427,'03. THIẾT BỊ'!$B$1:$S$836,17,0),"")</f>
        <v>5,5x2.5x2.4</v>
      </c>
      <c r="S427" s="25">
        <f>IFERROR(VLOOKUP(B427,'03. THIẾT BỊ'!$B$1:$S$836,18,0),"")</f>
        <v>0</v>
      </c>
      <c r="T427" s="615"/>
    </row>
    <row r="428" customHeight="1" spans="1:20">
      <c r="A428" s="19">
        <f t="shared" si="20"/>
        <v>12</v>
      </c>
      <c r="B428" s="20" t="s">
        <v>5205</v>
      </c>
      <c r="C428" s="613" t="str">
        <f>IFERROR(VLOOKUP(B428,'03. THIẾT BỊ'!$B$1:$S$836,2,0),"")</f>
        <v>CK-RML-010</v>
      </c>
      <c r="D428" s="24" t="str">
        <f>IFERROR(VLOOKUP(B428,'03. THIẾT BỊ'!$B$1:$S$836,3,0),"")</f>
        <v>A23-RML-002</v>
      </c>
      <c r="E428" s="20" t="str">
        <f>IFERROR(VLOOKUP(B428,'03. THIẾT BỊ'!$B$1:$S$836,4,0),"")</f>
        <v>ĐQSD</v>
      </c>
      <c r="F428" s="20" t="str">
        <f>IFERROR(VLOOKUP(B428,'03. THIẾT BỊ'!$B$1:$S$836,5,0),"")</f>
        <v>Rơ mooc lưới</v>
      </c>
      <c r="G428" s="101" t="s">
        <v>6468</v>
      </c>
      <c r="H428" s="19" t="str">
        <f>IFERROR(VLOOKUP(B428,'03. THIẾT BỊ'!$B$1:$S$836,7,0),"")</f>
        <v>Xoài DP</v>
      </c>
      <c r="I428" s="610">
        <f>IFERROR(VLOOKUP(B428,'03. THIẾT BỊ'!$B$1:$S$836,8,0),"")</f>
        <v>45383</v>
      </c>
      <c r="J428" s="25"/>
      <c r="K428" s="19" t="str">
        <f>IFERROR(VLOOKUP(B428,'03. THIẾT BỊ'!$B$1:$S$836,10,0),"")</f>
        <v>Bình thường</v>
      </c>
      <c r="L428" s="25">
        <f>IFERROR(VLOOKUP(B428,'03. THIẾT BỊ'!$B$1:$S$836,11,0),"")</f>
        <v>0</v>
      </c>
      <c r="M428" s="24">
        <f>IFERROR(VLOOKUP(B428,'03. THIẾT BỊ'!$B$1:$S$836,12,0),"")</f>
        <v>0</v>
      </c>
      <c r="N428" s="25" t="str">
        <f>IFERROR(VLOOKUP(B428,'03. THIẾT BỊ'!$B$1:$S$836,13,0),"")</f>
        <v>THACO AGRI</v>
      </c>
      <c r="O428" s="24">
        <f>IFERROR(VLOOKUP(B428,'03. THIẾT BỊ'!$B$1:$S$836,14,0),"")</f>
        <v>0</v>
      </c>
      <c r="P428" s="25" t="str">
        <f>IFERROR(VLOOKUP(B428,'03. THIẾT BỊ'!$B$1:$S$836,15,0),"")</f>
        <v>CK-CGH</v>
      </c>
      <c r="Q428" s="23">
        <f>IFERROR(VLOOKUP(B428,'03. THIẾT BỊ'!$B$1:$S$836,16,0),"")</f>
        <v>0</v>
      </c>
      <c r="R428" s="25" t="str">
        <f>IFERROR(VLOOKUP(B428,'03. THIẾT BỊ'!$B$1:$S$836,17,0),"")</f>
        <v>5,5x2.5x2.4</v>
      </c>
      <c r="S428" s="25">
        <f>IFERROR(VLOOKUP(B428,'03. THIẾT BỊ'!$B$1:$S$836,18,0),"")</f>
        <v>0</v>
      </c>
      <c r="T428" s="615"/>
    </row>
    <row r="429" customHeight="1" spans="1:20">
      <c r="A429" s="19">
        <f t="shared" si="20"/>
        <v>13</v>
      </c>
      <c r="B429" s="20" t="s">
        <v>5344</v>
      </c>
      <c r="C429" s="613">
        <f>IFERROR(VLOOKUP(B429,'03. THIẾT BỊ'!$B$1:$S$836,2,0),"")</f>
        <v>0</v>
      </c>
      <c r="D429" s="24">
        <f>IFERROR(VLOOKUP(B429,'03. THIẾT BỊ'!$B$1:$S$836,3,0),"")</f>
        <v>0</v>
      </c>
      <c r="E429" s="20" t="str">
        <f>IFERROR(VLOOKUP(B429,'03. THIẾT BỊ'!$B$1:$S$836,4,0),"")</f>
        <v>ĐQSD</v>
      </c>
      <c r="F429" s="20" t="str">
        <f>IFERROR(VLOOKUP(B429,'03. THIẾT BỊ'!$B$1:$S$836,5,0),"")</f>
        <v>Rơ mooc lưới</v>
      </c>
      <c r="G429" s="101" t="s">
        <v>6468</v>
      </c>
      <c r="H429" s="19" t="str">
        <f>IFERROR(VLOOKUP(B429,'03. THIẾT BỊ'!$B$1:$S$836,7,0),"")</f>
        <v>XN Bò AD</v>
      </c>
      <c r="I429" s="610">
        <f>IFERROR(VLOOKUP(B429,'03. THIẾT BỊ'!$B$1:$S$836,8,0),"")</f>
        <v>0</v>
      </c>
      <c r="J429" s="25"/>
      <c r="K429" s="19" t="str">
        <f>IFERROR(VLOOKUP(B429,'03. THIẾT BỊ'!$B$1:$S$836,10,0),"")</f>
        <v>Bình thường</v>
      </c>
      <c r="L429" s="25">
        <f>IFERROR(VLOOKUP(B429,'03. THIẾT BỊ'!$B$1:$S$836,11,0),"")</f>
        <v>0</v>
      </c>
      <c r="M429" s="24">
        <f>IFERROR(VLOOKUP(B429,'03. THIẾT BỊ'!$B$1:$S$836,12,0),"")</f>
        <v>0</v>
      </c>
      <c r="N429" s="25" t="str">
        <f>IFERROR(VLOOKUP(B429,'03. THIẾT BỊ'!$B$1:$S$836,13,0),"")</f>
        <v>THACO AGRI</v>
      </c>
      <c r="O429" s="24" t="str">
        <f>IFERROR(VLOOKUP(B429,'03. THIẾT BỊ'!$B$1:$S$836,14,0),"")</f>
        <v>RM lưới</v>
      </c>
      <c r="P429" s="25" t="str">
        <f>IFERROR(VLOOKUP(B429,'03. THIẾT BỊ'!$B$1:$S$836,15,0),"")</f>
        <v>CK-CGH</v>
      </c>
      <c r="Q429" s="23">
        <f>IFERROR(VLOOKUP(B429,'03. THIẾT BỊ'!$B$1:$S$836,16,0),"")</f>
        <v>0</v>
      </c>
      <c r="R429" s="25">
        <f>IFERROR(VLOOKUP(B429,'03. THIẾT BỊ'!$B$1:$S$836,17,0),"")</f>
        <v>0</v>
      </c>
      <c r="S429" s="25">
        <f>IFERROR(VLOOKUP(B429,'03. THIẾT BỊ'!$B$1:$S$836,18,0),"")</f>
        <v>0</v>
      </c>
      <c r="T429" s="41"/>
    </row>
    <row r="430" customHeight="1" spans="1:20">
      <c r="A430" s="19">
        <f t="shared" si="20"/>
        <v>14</v>
      </c>
      <c r="B430" s="20" t="s">
        <v>4607</v>
      </c>
      <c r="C430" s="613" t="str">
        <f>IFERROR(VLOOKUP(B430,'03. THIẾT BỊ'!$B$1:$S$836,2,0),"")</f>
        <v>XB1-RML-002</v>
      </c>
      <c r="D430" s="24">
        <f>IFERROR(VLOOKUP(B430,'03. THIẾT BỊ'!$B$1:$S$836,3,0),"")</f>
        <v>0</v>
      </c>
      <c r="E430" s="20" t="str">
        <f>IFERROR(VLOOKUP(B430,'03. THIẾT BỊ'!$B$1:$S$836,4,0),"")</f>
        <v>ĐQSD</v>
      </c>
      <c r="F430" s="20" t="str">
        <f>IFERROR(VLOOKUP(B430,'03. THIẾT BỊ'!$B$1:$S$836,5,0),"")</f>
        <v>Rơ mooc lưới</v>
      </c>
      <c r="G430" s="101" t="s">
        <v>6468</v>
      </c>
      <c r="H430" s="19" t="str">
        <f>IFERROR(VLOOKUP(B430,'03. THIẾT BỊ'!$B$1:$S$836,7,0),"")</f>
        <v>XN Chuối DP3</v>
      </c>
      <c r="I430" s="610" t="str">
        <f>IFERROR(VLOOKUP(B430,'03. THIẾT BỊ'!$B$1:$S$836,8,0),"")</f>
        <v>19/08/2025</v>
      </c>
      <c r="J430" s="25"/>
      <c r="K430" s="19" t="str">
        <f>IFERROR(VLOOKUP(B430,'03. THIẾT BỊ'!$B$1:$S$836,10,0),"")</f>
        <v>Bình thường</v>
      </c>
      <c r="L430" s="25" t="str">
        <f>IFERROR(VLOOKUP(B430,'03. THIẾT BỊ'!$B$1:$S$836,11,0),"")</f>
        <v>XNB Bàn giao DP3 ngày 19/08/2025</v>
      </c>
      <c r="M430" s="24">
        <f>IFERROR(VLOOKUP(B430,'03. THIẾT BỊ'!$B$1:$S$836,12,0),"")</f>
        <v>0</v>
      </c>
      <c r="N430" s="25" t="str">
        <f>IFERROR(VLOOKUP(B430,'03. THIẾT BỊ'!$B$1:$S$836,13,0),"")</f>
        <v>THACO AGRI</v>
      </c>
      <c r="O430" s="24" t="str">
        <f>IFERROR(VLOOKUP(B430,'03. THIẾT BỊ'!$B$1:$S$836,14,0),"")</f>
        <v>RM lưới</v>
      </c>
      <c r="P430" s="25" t="str">
        <f>IFERROR(VLOOKUP(B430,'03. THIẾT BỊ'!$B$1:$S$836,15,0),"")</f>
        <v>CK-CGH</v>
      </c>
      <c r="Q430" s="23">
        <f>IFERROR(VLOOKUP(B430,'03. THIẾT BỊ'!$B$1:$S$836,16,0),"")</f>
        <v>0</v>
      </c>
      <c r="R430" s="25">
        <f>IFERROR(VLOOKUP(B430,'03. THIẾT BỊ'!$B$1:$S$836,17,0),"")</f>
        <v>0</v>
      </c>
      <c r="S430" s="25">
        <f>IFERROR(VLOOKUP(B430,'03. THIẾT BỊ'!$B$1:$S$836,18,0),"")</f>
        <v>0</v>
      </c>
      <c r="T430" s="41"/>
    </row>
    <row r="431" customHeight="1" spans="1:20">
      <c r="A431" s="19">
        <f t="shared" si="20"/>
        <v>15</v>
      </c>
      <c r="B431" s="20" t="s">
        <v>5345</v>
      </c>
      <c r="C431" s="613">
        <f>IFERROR(VLOOKUP(B431,'03. THIẾT BỊ'!$B$1:$S$836,2,0),"")</f>
        <v>0</v>
      </c>
      <c r="D431" s="24">
        <f>IFERROR(VLOOKUP(B431,'03. THIẾT BỊ'!$B$1:$S$836,3,0),"")</f>
        <v>0</v>
      </c>
      <c r="E431" s="20" t="str">
        <f>IFERROR(VLOOKUP(B431,'03. THIẾT BỊ'!$B$1:$S$836,4,0),"")</f>
        <v>ĐQSD</v>
      </c>
      <c r="F431" s="20" t="str">
        <f>IFERROR(VLOOKUP(B431,'03. THIẾT BỊ'!$B$1:$S$836,5,0),"")</f>
        <v>Rơ mooc lưới</v>
      </c>
      <c r="G431" s="101" t="s">
        <v>6468</v>
      </c>
      <c r="H431" s="19" t="str">
        <f>IFERROR(VLOOKUP(B431,'03. THIẾT BỊ'!$B$1:$S$836,7,0),"")</f>
        <v>XN Bò AD</v>
      </c>
      <c r="I431" s="610">
        <f>IFERROR(VLOOKUP(B431,'03. THIẾT BỊ'!$B$1:$S$836,8,0),"")</f>
        <v>0</v>
      </c>
      <c r="J431" s="25"/>
      <c r="K431" s="19" t="str">
        <f>IFERROR(VLOOKUP(B431,'03. THIẾT BỊ'!$B$1:$S$836,10,0),"")</f>
        <v>Bình thường</v>
      </c>
      <c r="L431" s="25">
        <f>IFERROR(VLOOKUP(B431,'03. THIẾT BỊ'!$B$1:$S$836,11,0),"")</f>
        <v>0</v>
      </c>
      <c r="M431" s="24">
        <f>IFERROR(VLOOKUP(B431,'03. THIẾT BỊ'!$B$1:$S$836,12,0),"")</f>
        <v>0</v>
      </c>
      <c r="N431" s="25" t="str">
        <f>IFERROR(VLOOKUP(B431,'03. THIẾT BỊ'!$B$1:$S$836,13,0),"")</f>
        <v>THACO AGRI</v>
      </c>
      <c r="O431" s="24" t="str">
        <f>IFERROR(VLOOKUP(B431,'03. THIẾT BỊ'!$B$1:$S$836,14,0),"")</f>
        <v>RM lưới</v>
      </c>
      <c r="P431" s="25" t="str">
        <f>IFERROR(VLOOKUP(B431,'03. THIẾT BỊ'!$B$1:$S$836,15,0),"")</f>
        <v>CK-CGH</v>
      </c>
      <c r="Q431" s="23">
        <f>IFERROR(VLOOKUP(B431,'03. THIẾT BỊ'!$B$1:$S$836,16,0),"")</f>
        <v>0</v>
      </c>
      <c r="R431" s="25">
        <f>IFERROR(VLOOKUP(B431,'03. THIẾT BỊ'!$B$1:$S$836,17,0),"")</f>
        <v>0</v>
      </c>
      <c r="S431" s="25">
        <f>IFERROR(VLOOKUP(B431,'03. THIẾT BỊ'!$B$1:$S$836,18,0),"")</f>
        <v>0</v>
      </c>
      <c r="T431" s="41"/>
    </row>
    <row r="432" customHeight="1" spans="1:20">
      <c r="A432" s="19">
        <f t="shared" si="20"/>
        <v>16</v>
      </c>
      <c r="B432" s="20" t="s">
        <v>5346</v>
      </c>
      <c r="C432" s="613">
        <f>IFERROR(VLOOKUP(B432,'03. THIẾT BỊ'!$B$1:$S$836,2,0),"")</f>
        <v>0</v>
      </c>
      <c r="D432" s="24">
        <f>IFERROR(VLOOKUP(B432,'03. THIẾT BỊ'!$B$1:$S$836,3,0),"")</f>
        <v>0</v>
      </c>
      <c r="E432" s="20" t="str">
        <f>IFERROR(VLOOKUP(B432,'03. THIẾT BỊ'!$B$1:$S$836,4,0),"")</f>
        <v>ĐQSD</v>
      </c>
      <c r="F432" s="20" t="str">
        <f>IFERROR(VLOOKUP(B432,'03. THIẾT BỊ'!$B$1:$S$836,5,0),"")</f>
        <v>Rơ mooc lưới</v>
      </c>
      <c r="G432" s="101" t="s">
        <v>6468</v>
      </c>
      <c r="H432" s="19" t="str">
        <f>IFERROR(VLOOKUP(B432,'03. THIẾT BỊ'!$B$1:$S$836,7,0),"")</f>
        <v>XN Bò AD</v>
      </c>
      <c r="I432" s="610">
        <f>IFERROR(VLOOKUP(B432,'03. THIẾT BỊ'!$B$1:$S$836,8,0),"")</f>
        <v>0</v>
      </c>
      <c r="J432" s="25"/>
      <c r="K432" s="19" t="str">
        <f>IFERROR(VLOOKUP(B432,'03. THIẾT BỊ'!$B$1:$S$836,10,0),"")</f>
        <v>Bình thường</v>
      </c>
      <c r="L432" s="25">
        <f>IFERROR(VLOOKUP(B432,'03. THIẾT BỊ'!$B$1:$S$836,11,0),"")</f>
        <v>0</v>
      </c>
      <c r="M432" s="24">
        <f>IFERROR(VLOOKUP(B432,'03. THIẾT BỊ'!$B$1:$S$836,12,0),"")</f>
        <v>0</v>
      </c>
      <c r="N432" s="25" t="str">
        <f>IFERROR(VLOOKUP(B432,'03. THIẾT BỊ'!$B$1:$S$836,13,0),"")</f>
        <v>THACO AGRI</v>
      </c>
      <c r="O432" s="24" t="str">
        <f>IFERROR(VLOOKUP(B432,'03. THIẾT BỊ'!$B$1:$S$836,14,0),"")</f>
        <v>RM lưới</v>
      </c>
      <c r="P432" s="25" t="str">
        <f>IFERROR(VLOOKUP(B432,'03. THIẾT BỊ'!$B$1:$S$836,15,0),"")</f>
        <v>CK-CGH</v>
      </c>
      <c r="Q432" s="23">
        <f>IFERROR(VLOOKUP(B432,'03. THIẾT BỊ'!$B$1:$S$836,16,0),"")</f>
        <v>0</v>
      </c>
      <c r="R432" s="25">
        <f>IFERROR(VLOOKUP(B432,'03. THIẾT BỊ'!$B$1:$S$836,17,0),"")</f>
        <v>0</v>
      </c>
      <c r="S432" s="25">
        <f>IFERROR(VLOOKUP(B432,'03. THIẾT BỊ'!$B$1:$S$836,18,0),"")</f>
        <v>0</v>
      </c>
      <c r="T432" s="41"/>
    </row>
    <row r="433" customHeight="1" spans="1:20">
      <c r="A433" s="19">
        <f t="shared" si="20"/>
        <v>17</v>
      </c>
      <c r="B433" s="20" t="s">
        <v>5347</v>
      </c>
      <c r="C433" s="613">
        <f>IFERROR(VLOOKUP(B433,'03. THIẾT BỊ'!$B$1:$S$836,2,0),"")</f>
        <v>0</v>
      </c>
      <c r="D433" s="24">
        <f>IFERROR(VLOOKUP(B433,'03. THIẾT BỊ'!$B$1:$S$836,3,0),"")</f>
        <v>0</v>
      </c>
      <c r="E433" s="20" t="str">
        <f>IFERROR(VLOOKUP(B433,'03. THIẾT BỊ'!$B$1:$S$836,4,0),"")</f>
        <v>ĐQSD</v>
      </c>
      <c r="F433" s="20" t="str">
        <f>IFERROR(VLOOKUP(B433,'03. THIẾT BỊ'!$B$1:$S$836,5,0),"")</f>
        <v>Rơ mooc lưới</v>
      </c>
      <c r="G433" s="101" t="s">
        <v>6468</v>
      </c>
      <c r="H433" s="19" t="str">
        <f>IFERROR(VLOOKUP(B433,'03. THIẾT BỊ'!$B$1:$S$836,7,0),"")</f>
        <v>XN Bò AD</v>
      </c>
      <c r="I433" s="610">
        <f>IFERROR(VLOOKUP(B433,'03. THIẾT BỊ'!$B$1:$S$836,8,0),"")</f>
        <v>0</v>
      </c>
      <c r="J433" s="25"/>
      <c r="K433" s="19" t="str">
        <f>IFERROR(VLOOKUP(B433,'03. THIẾT BỊ'!$B$1:$S$836,10,0),"")</f>
        <v>Bình thường</v>
      </c>
      <c r="L433" s="25">
        <f>IFERROR(VLOOKUP(B433,'03. THIẾT BỊ'!$B$1:$S$836,11,0),"")</f>
        <v>0</v>
      </c>
      <c r="M433" s="24">
        <f>IFERROR(VLOOKUP(B433,'03. THIẾT BỊ'!$B$1:$S$836,12,0),"")</f>
        <v>0</v>
      </c>
      <c r="N433" s="25" t="str">
        <f>IFERROR(VLOOKUP(B433,'03. THIẾT BỊ'!$B$1:$S$836,13,0),"")</f>
        <v>THACO AGRI</v>
      </c>
      <c r="O433" s="24" t="str">
        <f>IFERROR(VLOOKUP(B433,'03. THIẾT BỊ'!$B$1:$S$836,14,0),"")</f>
        <v>RM lưới</v>
      </c>
      <c r="P433" s="25" t="str">
        <f>IFERROR(VLOOKUP(B433,'03. THIẾT BỊ'!$B$1:$S$836,15,0),"")</f>
        <v>CK-CGH</v>
      </c>
      <c r="Q433" s="23">
        <f>IFERROR(VLOOKUP(B433,'03. THIẾT BỊ'!$B$1:$S$836,16,0),"")</f>
        <v>0</v>
      </c>
      <c r="R433" s="25">
        <f>IFERROR(VLOOKUP(B433,'03. THIẾT BỊ'!$B$1:$S$836,17,0),"")</f>
        <v>0</v>
      </c>
      <c r="S433" s="25">
        <f>IFERROR(VLOOKUP(B433,'03. THIẾT BỊ'!$B$1:$S$836,18,0),"")</f>
        <v>0</v>
      </c>
      <c r="T433" s="41"/>
    </row>
    <row r="434" customHeight="1" spans="1:20">
      <c r="A434" s="19">
        <f t="shared" si="20"/>
        <v>18</v>
      </c>
      <c r="B434" s="20" t="s">
        <v>5348</v>
      </c>
      <c r="C434" s="613">
        <f>IFERROR(VLOOKUP(B434,'03. THIẾT BỊ'!$B$1:$S$836,2,0),"")</f>
        <v>0</v>
      </c>
      <c r="D434" s="24">
        <f>IFERROR(VLOOKUP(B434,'03. THIẾT BỊ'!$B$1:$S$836,3,0),"")</f>
        <v>0</v>
      </c>
      <c r="E434" s="20" t="str">
        <f>IFERROR(VLOOKUP(B434,'03. THIẾT BỊ'!$B$1:$S$836,4,0),"")</f>
        <v>ĐQSD</v>
      </c>
      <c r="F434" s="20" t="str">
        <f>IFERROR(VLOOKUP(B434,'03. THIẾT BỊ'!$B$1:$S$836,5,0),"")</f>
        <v>Rơ mooc lưới</v>
      </c>
      <c r="G434" s="101" t="s">
        <v>6468</v>
      </c>
      <c r="H434" s="19" t="str">
        <f>IFERROR(VLOOKUP(B434,'03. THIẾT BỊ'!$B$1:$S$836,7,0),"")</f>
        <v>XN Bò AD</v>
      </c>
      <c r="I434" s="610">
        <f>IFERROR(VLOOKUP(B434,'03. THIẾT BỊ'!$B$1:$S$836,8,0),"")</f>
        <v>0</v>
      </c>
      <c r="J434" s="25"/>
      <c r="K434" s="19" t="str">
        <f>IFERROR(VLOOKUP(B434,'03. THIẾT BỊ'!$B$1:$S$836,10,0),"")</f>
        <v>Bình thường</v>
      </c>
      <c r="L434" s="25">
        <f>IFERROR(VLOOKUP(B434,'03. THIẾT BỊ'!$B$1:$S$836,11,0),"")</f>
        <v>0</v>
      </c>
      <c r="M434" s="24">
        <f>IFERROR(VLOOKUP(B434,'03. THIẾT BỊ'!$B$1:$S$836,12,0),"")</f>
        <v>0</v>
      </c>
      <c r="N434" s="25" t="str">
        <f>IFERROR(VLOOKUP(B434,'03. THIẾT BỊ'!$B$1:$S$836,13,0),"")</f>
        <v>THACO AGRI</v>
      </c>
      <c r="O434" s="24" t="str">
        <f>IFERROR(VLOOKUP(B434,'03. THIẾT BỊ'!$B$1:$S$836,14,0),"")</f>
        <v>RM lưới</v>
      </c>
      <c r="P434" s="25" t="str">
        <f>IFERROR(VLOOKUP(B434,'03. THIẾT BỊ'!$B$1:$S$836,15,0),"")</f>
        <v>CK-CGH</v>
      </c>
      <c r="Q434" s="23">
        <f>IFERROR(VLOOKUP(B434,'03. THIẾT BỊ'!$B$1:$S$836,16,0),"")</f>
        <v>0</v>
      </c>
      <c r="R434" s="25">
        <f>IFERROR(VLOOKUP(B434,'03. THIẾT BỊ'!$B$1:$S$836,17,0),"")</f>
        <v>0</v>
      </c>
      <c r="S434" s="25">
        <f>IFERROR(VLOOKUP(B434,'03. THIẾT BỊ'!$B$1:$S$836,18,0),"")</f>
        <v>0</v>
      </c>
      <c r="T434" s="41"/>
    </row>
    <row r="435" ht="13.8" spans="1:20">
      <c r="C435" s="613" t="str">
        <f>IFERROR(VLOOKUP(B435,'03. THIẾT BỊ'!$B$1:$S$836,2,0),"")</f>
        <v/>
      </c>
      <c r="D435" s="24" t="str">
        <f>IFERROR(VLOOKUP(B435,'03. THIẾT BỊ'!$B$1:$S$836,3,0),"")</f>
        <v/>
      </c>
      <c r="E435" s="20" t="str">
        <f>IFERROR(VLOOKUP(B435,'03. THIẾT BỊ'!$B$1:$S$836,4,0),"")</f>
        <v/>
      </c>
      <c r="F435" s="20" t="str">
        <f>IFERROR(VLOOKUP(B435,'03. THIẾT BỊ'!$B$1:$S$836,5,0),"")</f>
        <v/>
      </c>
      <c r="G435" s="101" t="s">
        <v>6468</v>
      </c>
      <c r="H435" s="19" t="str">
        <f>IFERROR(VLOOKUP(B435,'03. THIẾT BỊ'!$B$1:$S$836,7,0),"")</f>
        <v/>
      </c>
      <c r="I435" s="610" t="str">
        <f>IFERROR(VLOOKUP(B435,'03. THIẾT BỊ'!$B$1:$S$836,8,0),"")</f>
        <v/>
      </c>
      <c r="J435" s="25"/>
      <c r="K435" s="19" t="str">
        <f>IFERROR(VLOOKUP(B435,'03. THIẾT BỊ'!$B$1:$S$836,10,0),"")</f>
        <v/>
      </c>
      <c r="L435" s="25" t="str">
        <f>IFERROR(VLOOKUP(B435,'03. THIẾT BỊ'!$B$1:$S$836,11,0),"")</f>
        <v/>
      </c>
      <c r="M435" s="24" t="str">
        <f>IFERROR(VLOOKUP(B435,'03. THIẾT BỊ'!$B$1:$S$836,12,0),"")</f>
        <v/>
      </c>
      <c r="N435" s="25" t="str">
        <f>IFERROR(VLOOKUP(B435,'03. THIẾT BỊ'!$B$1:$S$836,13,0),"")</f>
        <v/>
      </c>
      <c r="O435" s="24" t="str">
        <f>IFERROR(VLOOKUP(B435,'03. THIẾT BỊ'!$B$1:$S$836,14,0),"")</f>
        <v/>
      </c>
      <c r="P435" s="25" t="str">
        <f>IFERROR(VLOOKUP(B435,'03. THIẾT BỊ'!$B$1:$S$836,15,0),"")</f>
        <v/>
      </c>
      <c r="Q435" s="23" t="str">
        <f>IFERROR(VLOOKUP(B435,'03. THIẾT BỊ'!$B$1:$S$836,16,0),"")</f>
        <v/>
      </c>
      <c r="R435" s="25" t="str">
        <f>IFERROR(VLOOKUP(B435,'03. THIẾT BỊ'!$B$1:$S$836,17,0),"")</f>
        <v/>
      </c>
      <c r="S435" s="25" t="str">
        <f>IFERROR(VLOOKUP(B435,'03. THIẾT BỊ'!$B$1:$S$836,18,0),"")</f>
        <v/>
      </c>
    </row>
    <row r="436" ht="13.8" spans="1:20">
      <c r="C436" s="613" t="str">
        <f>IFERROR(VLOOKUP(B436,'03. THIẾT BỊ'!$B$1:$S$836,2,0),"")</f>
        <v/>
      </c>
      <c r="D436" s="24" t="str">
        <f>IFERROR(VLOOKUP(B436,'03. THIẾT BỊ'!$B$1:$S$836,3,0),"")</f>
        <v/>
      </c>
      <c r="E436" s="20" t="str">
        <f>IFERROR(VLOOKUP(B436,'03. THIẾT BỊ'!$B$1:$S$836,4,0),"")</f>
        <v/>
      </c>
      <c r="F436" s="20" t="str">
        <f>IFERROR(VLOOKUP(B436,'03. THIẾT BỊ'!$B$1:$S$836,5,0),"")</f>
        <v/>
      </c>
      <c r="G436" s="101" t="s">
        <v>6468</v>
      </c>
      <c r="H436" s="19" t="str">
        <f>IFERROR(VLOOKUP(B436,'03. THIẾT BỊ'!$B$1:$S$836,7,0),"")</f>
        <v/>
      </c>
      <c r="I436" s="610" t="str">
        <f>IFERROR(VLOOKUP(B436,'03. THIẾT BỊ'!$B$1:$S$836,8,0),"")</f>
        <v/>
      </c>
      <c r="J436" s="25"/>
      <c r="K436" s="19" t="str">
        <f>IFERROR(VLOOKUP(B436,'03. THIẾT BỊ'!$B$1:$S$836,10,0),"")</f>
        <v/>
      </c>
      <c r="L436" s="25" t="str">
        <f>IFERROR(VLOOKUP(B436,'03. THIẾT BỊ'!$B$1:$S$836,11,0),"")</f>
        <v/>
      </c>
      <c r="M436" s="24" t="str">
        <f>IFERROR(VLOOKUP(B436,'03. THIẾT BỊ'!$B$1:$S$836,12,0),"")</f>
        <v/>
      </c>
      <c r="N436" s="25" t="str">
        <f>IFERROR(VLOOKUP(B436,'03. THIẾT BỊ'!$B$1:$S$836,13,0),"")</f>
        <v/>
      </c>
      <c r="O436" s="24" t="str">
        <f>IFERROR(VLOOKUP(B436,'03. THIẾT BỊ'!$B$1:$S$836,14,0),"")</f>
        <v/>
      </c>
      <c r="P436" s="25" t="str">
        <f>IFERROR(VLOOKUP(B436,'03. THIẾT BỊ'!$B$1:$S$836,15,0),"")</f>
        <v/>
      </c>
      <c r="Q436" s="23" t="str">
        <f>IFERROR(VLOOKUP(B436,'03. THIẾT BỊ'!$B$1:$S$836,16,0),"")</f>
        <v/>
      </c>
      <c r="R436" s="25" t="str">
        <f>IFERROR(VLOOKUP(B436,'03. THIẾT BỊ'!$B$1:$S$836,17,0),"")</f>
        <v/>
      </c>
      <c r="S436" s="25" t="str">
        <f>IFERROR(VLOOKUP(B436,'03. THIẾT BỊ'!$B$1:$S$836,18,0),"")</f>
        <v/>
      </c>
    </row>
    <row r="437" customHeight="1" spans="1:20">
      <c r="A437" s="14" t="s">
        <v>290</v>
      </c>
      <c r="B437" s="15" t="s">
        <v>6498</v>
      </c>
      <c r="C437" s="14">
        <f>COUNTA(B438:B440)</f>
        <v>2</v>
      </c>
      <c r="D437" s="17" t="str">
        <f>IFERROR(VLOOKUP(B437,'03. THIẾT BỊ'!$B$1:$S$836,3,0),"")</f>
        <v/>
      </c>
      <c r="E437" s="20" t="str">
        <f>IFERROR(VLOOKUP(B437,'03. THIẾT BỊ'!$B$1:$S$836,4,0),"")</f>
        <v/>
      </c>
      <c r="F437" s="17" t="str">
        <f>IFERROR(VLOOKUP(B437,'03. THIẾT BỊ'!$B$1:$S$836,5,0),"")</f>
        <v/>
      </c>
      <c r="G437" s="18" t="s">
        <v>6468</v>
      </c>
      <c r="H437" s="18" t="str">
        <f>IFERROR(VLOOKUP(B437,'03. THIẾT BỊ'!$B$1:$S$836,7,0),"")</f>
        <v/>
      </c>
      <c r="I437" s="14" t="str">
        <f>IFERROR(VLOOKUP(B437,'03. THIẾT BỊ'!$B$1:$S$836,8,0),"")</f>
        <v/>
      </c>
      <c r="J437" s="15"/>
      <c r="K437" s="14" t="str">
        <f>IFERROR(VLOOKUP(B437,'03. THIẾT BỊ'!$B$1:$S$836,10,0),"")</f>
        <v/>
      </c>
      <c r="L437" s="17" t="str">
        <f>IFERROR(VLOOKUP(B437,'03. THIẾT BỊ'!$B$1:$S$836,11,0),"")</f>
        <v/>
      </c>
      <c r="M437" s="16" t="str">
        <f>IFERROR(VLOOKUP(B437,'03. THIẾT BỊ'!$B$1:$S$836,12,0),"")</f>
        <v/>
      </c>
      <c r="N437" s="17" t="str">
        <f>IFERROR(VLOOKUP(B437,'03. THIẾT BỊ'!$B$1:$S$836,13,0),"")</f>
        <v/>
      </c>
      <c r="O437" s="16" t="str">
        <f>IFERROR(VLOOKUP(B437,'03. THIẾT BỊ'!$B$1:$S$836,14,0),"")</f>
        <v/>
      </c>
      <c r="P437" s="17" t="str">
        <f>IFERROR(VLOOKUP(B437,'03. THIẾT BỊ'!$B$1:$S$836,15,0),"")</f>
        <v/>
      </c>
      <c r="Q437" s="18" t="str">
        <f>IFERROR(VLOOKUP(B437,'03. THIẾT BỊ'!$B$1:$S$836,16,0),"")</f>
        <v/>
      </c>
      <c r="R437" s="17" t="str">
        <f>IFERROR(VLOOKUP(B437,'03. THIẾT BỊ'!$B$1:$S$836,17,0),"")</f>
        <v/>
      </c>
      <c r="S437" s="17" t="str">
        <f>IFERROR(VLOOKUP(B437,'03. THIẾT BỊ'!$B$1:$S$836,18,0),"")</f>
        <v/>
      </c>
      <c r="T437" s="609"/>
    </row>
    <row r="438" customHeight="1" spans="1:20">
      <c r="A438" s="19">
        <v>1</v>
      </c>
      <c r="B438" s="20" t="s">
        <v>5177</v>
      </c>
      <c r="C438" s="613">
        <f>IFERROR(VLOOKUP(B438,'03. THIẾT BỊ'!$B$1:$S$836,2,0),"")</f>
        <v>0</v>
      </c>
      <c r="D438" s="24" t="str">
        <f>IFERROR(VLOOKUP(B438,'03. THIẾT BỊ'!$B$1:$S$836,3,0),"")</f>
        <v>A22-MLB-001</v>
      </c>
      <c r="E438" s="20" t="str">
        <f>IFERROR(VLOOKUP(B438,'03. THIẾT BỊ'!$B$1:$S$836,4,0),"")</f>
        <v>ĐQSD</v>
      </c>
      <c r="F438" s="20" t="str">
        <f>IFERROR(VLOOKUP(B438,'03. THIẾT BỊ'!$B$1:$S$836,5,0),"")</f>
        <v>Rơ mooc lưới ben</v>
      </c>
      <c r="G438" s="101" t="s">
        <v>6468</v>
      </c>
      <c r="H438" s="19" t="str">
        <f>IFERROR(VLOOKUP(B438,'03. THIẾT BỊ'!$B$1:$S$836,7,0),"")</f>
        <v>Xoài AD</v>
      </c>
      <c r="I438" s="610" t="str">
        <f>IFERROR(VLOOKUP(B438,'03. THIẾT BỊ'!$B$1:$S$836,8,0),"")</f>
        <v>17/09/2024</v>
      </c>
      <c r="J438" s="25"/>
      <c r="K438" s="19" t="str">
        <f>IFERROR(VLOOKUP(B438,'03. THIẾT BỊ'!$B$1:$S$836,10,0),"")</f>
        <v>Bình thường</v>
      </c>
      <c r="L438" s="25">
        <f>IFERROR(VLOOKUP(B438,'03. THIẾT BỊ'!$B$1:$S$836,11,0),"")</f>
        <v>0</v>
      </c>
      <c r="M438" s="24" t="str">
        <f>IFERROR(VLOOKUP(B438,'03. THIẾT BỊ'!$B$1:$S$836,12,0),"")</f>
        <v>Gia công mới</v>
      </c>
      <c r="N438" s="25" t="str">
        <f>IFERROR(VLOOKUP(B438,'03. THIẾT BỊ'!$B$1:$S$836,13,0),"")</f>
        <v>THACO AGRI</v>
      </c>
      <c r="O438" s="24" t="str">
        <f>IFERROR(VLOOKUP(B438,'03. THIẾT BỊ'!$B$1:$S$836,14,0),"")</f>
        <v>CK-MLB-01</v>
      </c>
      <c r="P438" s="25" t="str">
        <f>IFERROR(VLOOKUP(B438,'03. THIẾT BỊ'!$B$1:$S$836,15,0),"")</f>
        <v>X.CGH</v>
      </c>
      <c r="Q438" s="23">
        <f>IFERROR(VLOOKUP(B438,'03. THIẾT BỊ'!$B$1:$S$836,16,0),"")</f>
        <v>2024</v>
      </c>
      <c r="R438" s="25" t="str">
        <f>IFERROR(VLOOKUP(B438,'03. THIẾT BỊ'!$B$1:$S$836,17,0),"")</f>
        <v>5.4x2x2.5</v>
      </c>
      <c r="S438" s="25">
        <f>IFERROR(VLOOKUP(B438,'03. THIẾT BỊ'!$B$1:$S$836,18,0),"")</f>
        <v>0</v>
      </c>
      <c r="T438" s="615"/>
    </row>
    <row r="439" customHeight="1" spans="1:20">
      <c r="A439" s="19">
        <v>2</v>
      </c>
      <c r="B439" s="20" t="s">
        <v>5353</v>
      </c>
      <c r="C439" s="613">
        <f>IFERROR(VLOOKUP(B439,'03. THIẾT BỊ'!$B$1:$S$836,2,0),"")</f>
        <v>0</v>
      </c>
      <c r="D439" s="24" t="str">
        <f>IFERROR(VLOOKUP(B439,'03. THIẾT BỊ'!$B$1:$S$836,3,0),"")</f>
        <v>A22-MLB-002</v>
      </c>
      <c r="E439" s="20" t="str">
        <f>IFERROR(VLOOKUP(B439,'03. THIẾT BỊ'!$B$1:$S$836,4,0),"")</f>
        <v>ĐQSD</v>
      </c>
      <c r="F439" s="20" t="str">
        <f>IFERROR(VLOOKUP(B439,'03. THIẾT BỊ'!$B$1:$S$836,5,0),"")</f>
        <v>Rơ mooc lưới ben</v>
      </c>
      <c r="G439" s="101" t="s">
        <v>6468</v>
      </c>
      <c r="H439" s="19" t="str">
        <f>IFERROR(VLOOKUP(B439,'03. THIẾT BỊ'!$B$1:$S$836,7,0),"")</f>
        <v>XN Bò AD</v>
      </c>
      <c r="I439" s="610">
        <f>IFERROR(VLOOKUP(B439,'03. THIẾT BỊ'!$B$1:$S$836,8,0),"")</f>
        <v>45392</v>
      </c>
      <c r="J439" s="25"/>
      <c r="K439" s="19" t="str">
        <f>IFERROR(VLOOKUP(B439,'03. THIẾT BỊ'!$B$1:$S$836,10,0),"")</f>
        <v>Bình thường</v>
      </c>
      <c r="L439" s="25">
        <f>IFERROR(VLOOKUP(B439,'03. THIẾT BỊ'!$B$1:$S$836,11,0),"")</f>
        <v>0</v>
      </c>
      <c r="M439" s="24">
        <f>IFERROR(VLOOKUP(B439,'03. THIẾT BỊ'!$B$1:$S$836,12,0),"")</f>
        <v>0</v>
      </c>
      <c r="N439" s="25" t="str">
        <f>IFERROR(VLOOKUP(B439,'03. THIẾT BỊ'!$B$1:$S$836,13,0),"")</f>
        <v>THACO AGRI</v>
      </c>
      <c r="O439" s="24" t="str">
        <f>IFERROR(VLOOKUP(B439,'03. THIẾT BỊ'!$B$1:$S$836,14,0),"")</f>
        <v>RM lưới</v>
      </c>
      <c r="P439" s="25" t="str">
        <f>IFERROR(VLOOKUP(B439,'03. THIẾT BỊ'!$B$1:$S$836,15,0),"")</f>
        <v>CK-CGH</v>
      </c>
      <c r="Q439" s="23">
        <f>IFERROR(VLOOKUP(B439,'03. THIẾT BỊ'!$B$1:$S$836,16,0),"")</f>
        <v>2024</v>
      </c>
      <c r="R439" s="25" t="str">
        <f>IFERROR(VLOOKUP(B439,'03. THIẾT BỊ'!$B$1:$S$836,17,0),"")</f>
        <v>3.9x2.3x2.5</v>
      </c>
      <c r="S439" s="25">
        <f>IFERROR(VLOOKUP(B439,'03. THIẾT BỊ'!$B$1:$S$836,18,0),"")</f>
        <v>0</v>
      </c>
      <c r="T439" s="41"/>
    </row>
    <row r="440" ht="13.8" spans="1:20">
      <c r="C440" s="613" t="str">
        <f>IFERROR(VLOOKUP(B440,'03. THIẾT BỊ'!$B$1:$S$836,2,0),"")</f>
        <v/>
      </c>
      <c r="D440" s="24" t="str">
        <f>IFERROR(VLOOKUP(B440,'03. THIẾT BỊ'!$B$1:$S$836,3,0),"")</f>
        <v/>
      </c>
      <c r="E440" s="20" t="str">
        <f>IFERROR(VLOOKUP(B440,'03. THIẾT BỊ'!$B$1:$S$836,4,0),"")</f>
        <v/>
      </c>
      <c r="F440" s="20" t="str">
        <f>IFERROR(VLOOKUP(B440,'03. THIẾT BỊ'!$B$1:$S$836,5,0),"")</f>
        <v/>
      </c>
      <c r="G440" s="101" t="s">
        <v>6468</v>
      </c>
      <c r="H440" s="19" t="str">
        <f>IFERROR(VLOOKUP(B440,'03. THIẾT BỊ'!$B$1:$S$836,7,0),"")</f>
        <v/>
      </c>
      <c r="I440" s="610" t="str">
        <f>IFERROR(VLOOKUP(B440,'03. THIẾT BỊ'!$B$1:$S$836,8,0),"")</f>
        <v/>
      </c>
      <c r="J440" s="25"/>
      <c r="K440" s="19" t="str">
        <f>IFERROR(VLOOKUP(B440,'03. THIẾT BỊ'!$B$1:$S$836,10,0),"")</f>
        <v/>
      </c>
      <c r="L440" s="25" t="str">
        <f>IFERROR(VLOOKUP(B440,'03. THIẾT BỊ'!$B$1:$S$836,11,0),"")</f>
        <v/>
      </c>
      <c r="M440" s="24" t="str">
        <f>IFERROR(VLOOKUP(B440,'03. THIẾT BỊ'!$B$1:$S$836,12,0),"")</f>
        <v/>
      </c>
      <c r="N440" s="25" t="str">
        <f>IFERROR(VLOOKUP(B440,'03. THIẾT BỊ'!$B$1:$S$836,13,0),"")</f>
        <v/>
      </c>
      <c r="O440" s="24" t="str">
        <f>IFERROR(VLOOKUP(B440,'03. THIẾT BỊ'!$B$1:$S$836,14,0),"")</f>
        <v/>
      </c>
      <c r="P440" s="25" t="str">
        <f>IFERROR(VLOOKUP(B440,'03. THIẾT BỊ'!$B$1:$S$836,15,0),"")</f>
        <v/>
      </c>
      <c r="Q440" s="23" t="str">
        <f>IFERROR(VLOOKUP(B440,'03. THIẾT BỊ'!$B$1:$S$836,16,0),"")</f>
        <v/>
      </c>
      <c r="R440" s="25" t="str">
        <f>IFERROR(VLOOKUP(B440,'03. THIẾT BỊ'!$B$1:$S$836,17,0),"")</f>
        <v/>
      </c>
      <c r="S440" s="25" t="str">
        <f>IFERROR(VLOOKUP(B440,'03. THIẾT BỊ'!$B$1:$S$836,18,0),"")</f>
        <v/>
      </c>
    </row>
    <row r="441" ht="13.8" hidden="1" spans="1:20">
      <c r="C441" s="613" t="str">
        <f>IFERROR(VLOOKUP(B441,'03. THIẾT BỊ'!$B$1:$S$836,2,0),"")</f>
        <v/>
      </c>
      <c r="D441" s="24" t="str">
        <f>IFERROR(VLOOKUP(B441,'03. THIẾT BỊ'!$B$1:$S$836,3,0),"")</f>
        <v/>
      </c>
      <c r="E441" s="20" t="str">
        <f>IFERROR(VLOOKUP(B441,'03. THIẾT BỊ'!$B$1:$S$836,4,0),"")</f>
        <v/>
      </c>
      <c r="F441" s="20" t="str">
        <f>IFERROR(VLOOKUP(B441,'03. THIẾT BỊ'!$B$1:$S$836,5,0),"")</f>
        <v/>
      </c>
      <c r="G441" s="101" t="s">
        <v>6468</v>
      </c>
      <c r="H441" s="19" t="str">
        <f>IFERROR(VLOOKUP(B441,'03. THIẾT BỊ'!$B$1:$S$836,7,0),"")</f>
        <v/>
      </c>
      <c r="I441" s="610" t="str">
        <f>IFERROR(VLOOKUP(B441,'03. THIẾT BỊ'!$B$1:$S$836,8,0),"")</f>
        <v/>
      </c>
      <c r="J441" s="25"/>
      <c r="K441" s="19" t="str">
        <f>IFERROR(VLOOKUP(B441,'03. THIẾT BỊ'!$B$1:$S$836,10,0),"")</f>
        <v/>
      </c>
      <c r="L441" s="25" t="str">
        <f>IFERROR(VLOOKUP(B441,'03. THIẾT BỊ'!$B$1:$S$836,11,0),"")</f>
        <v/>
      </c>
      <c r="M441" s="24" t="str">
        <f>IFERROR(VLOOKUP(B441,'03. THIẾT BỊ'!$B$1:$S$836,12,0),"")</f>
        <v/>
      </c>
      <c r="N441" s="25" t="str">
        <f>IFERROR(VLOOKUP(B441,'03. THIẾT BỊ'!$B$1:$S$836,13,0),"")</f>
        <v/>
      </c>
      <c r="O441" s="24" t="str">
        <f>IFERROR(VLOOKUP(B441,'03. THIẾT BỊ'!$B$1:$S$836,14,0),"")</f>
        <v/>
      </c>
      <c r="P441" s="25" t="str">
        <f>IFERROR(VLOOKUP(B441,'03. THIẾT BỊ'!$B$1:$S$836,15,0),"")</f>
        <v/>
      </c>
      <c r="Q441" s="23" t="str">
        <f>IFERROR(VLOOKUP(B441,'03. THIẾT BỊ'!$B$1:$S$836,16,0),"")</f>
        <v/>
      </c>
      <c r="R441" s="25" t="str">
        <f>IFERROR(VLOOKUP(B441,'03. THIẾT BỊ'!$B$1:$S$836,17,0),"")</f>
        <v/>
      </c>
      <c r="S441" s="25" t="str">
        <f>IFERROR(VLOOKUP(B441,'03. THIẾT BỊ'!$B$1:$S$836,18,0),"")</f>
        <v/>
      </c>
    </row>
    <row r="442" ht="13.8" hidden="1" spans="1:20">
      <c r="C442" s="613" t="str">
        <f>IFERROR(VLOOKUP(B442,'03. THIẾT BỊ'!$B$1:$S$836,2,0),"")</f>
        <v/>
      </c>
      <c r="D442" s="24" t="str">
        <f>IFERROR(VLOOKUP(B442,'03. THIẾT BỊ'!$B$1:$S$836,3,0),"")</f>
        <v/>
      </c>
      <c r="E442" s="20" t="str">
        <f>IFERROR(VLOOKUP(B442,'03. THIẾT BỊ'!$B$1:$S$836,4,0),"")</f>
        <v/>
      </c>
      <c r="F442" s="20" t="str">
        <f>IFERROR(VLOOKUP(B442,'03. THIẾT BỊ'!$B$1:$S$836,5,0),"")</f>
        <v/>
      </c>
      <c r="G442" s="101" t="s">
        <v>6468</v>
      </c>
      <c r="H442" s="19" t="str">
        <f>IFERROR(VLOOKUP(B442,'03. THIẾT BỊ'!$B$1:$S$836,7,0),"")</f>
        <v/>
      </c>
      <c r="I442" s="610" t="str">
        <f>IFERROR(VLOOKUP(B442,'03. THIẾT BỊ'!$B$1:$S$836,8,0),"")</f>
        <v/>
      </c>
      <c r="J442" s="25"/>
      <c r="K442" s="19" t="str">
        <f>IFERROR(VLOOKUP(B442,'03. THIẾT BỊ'!$B$1:$S$836,10,0),"")</f>
        <v/>
      </c>
      <c r="L442" s="25" t="str">
        <f>IFERROR(VLOOKUP(B442,'03. THIẾT BỊ'!$B$1:$S$836,11,0),"")</f>
        <v/>
      </c>
      <c r="M442" s="24" t="str">
        <f>IFERROR(VLOOKUP(B442,'03. THIẾT BỊ'!$B$1:$S$836,12,0),"")</f>
        <v/>
      </c>
      <c r="N442" s="25" t="str">
        <f>IFERROR(VLOOKUP(B442,'03. THIẾT BỊ'!$B$1:$S$836,13,0),"")</f>
        <v/>
      </c>
      <c r="O442" s="24" t="str">
        <f>IFERROR(VLOOKUP(B442,'03. THIẾT BỊ'!$B$1:$S$836,14,0),"")</f>
        <v/>
      </c>
      <c r="P442" s="25" t="str">
        <f>IFERROR(VLOOKUP(B442,'03. THIẾT BỊ'!$B$1:$S$836,15,0),"")</f>
        <v/>
      </c>
      <c r="Q442" s="23" t="str">
        <f>IFERROR(VLOOKUP(B442,'03. THIẾT BỊ'!$B$1:$S$836,16,0),"")</f>
        <v/>
      </c>
      <c r="R442" s="25" t="str">
        <f>IFERROR(VLOOKUP(B442,'03. THIẾT BỊ'!$B$1:$S$836,17,0),"")</f>
        <v/>
      </c>
      <c r="S442" s="25" t="str">
        <f>IFERROR(VLOOKUP(B442,'03. THIẾT BỊ'!$B$1:$S$836,18,0),"")</f>
        <v/>
      </c>
    </row>
    <row r="443" customHeight="1" spans="1:20">
      <c r="A443" s="14" t="s">
        <v>290</v>
      </c>
      <c r="B443" s="15" t="s">
        <v>6499</v>
      </c>
      <c r="C443" s="14">
        <f>COUNTA(B444:B450)</f>
        <v>5</v>
      </c>
      <c r="D443" s="17" t="str">
        <f>IFERROR(VLOOKUP(B443,'03. THIẾT BỊ'!$B$1:$S$836,3,0),"")</f>
        <v/>
      </c>
      <c r="E443" s="20" t="str">
        <f>IFERROR(VLOOKUP(B443,'03. THIẾT BỊ'!$B$1:$S$836,4,0),"")</f>
        <v/>
      </c>
      <c r="F443" s="17" t="str">
        <f>IFERROR(VLOOKUP(B443,'03. THIẾT BỊ'!$B$1:$S$836,5,0),"")</f>
        <v/>
      </c>
      <c r="G443" s="18" t="s">
        <v>6468</v>
      </c>
      <c r="H443" s="18" t="str">
        <f>IFERROR(VLOOKUP(B443,'03. THIẾT BỊ'!$B$1:$S$836,7,0),"")</f>
        <v/>
      </c>
      <c r="I443" s="14" t="str">
        <f>IFERROR(VLOOKUP(B443,'03. THIẾT BỊ'!$B$1:$S$836,8,0),"")</f>
        <v/>
      </c>
      <c r="J443" s="15"/>
      <c r="K443" s="14" t="str">
        <f>IFERROR(VLOOKUP(B443,'03. THIẾT BỊ'!$B$1:$S$836,10,0),"")</f>
        <v/>
      </c>
      <c r="L443" s="17" t="str">
        <f>IFERROR(VLOOKUP(B443,'03. THIẾT BỊ'!$B$1:$S$836,11,0),"")</f>
        <v/>
      </c>
      <c r="M443" s="16" t="str">
        <f>IFERROR(VLOOKUP(B443,'03. THIẾT BỊ'!$B$1:$S$836,12,0),"")</f>
        <v/>
      </c>
      <c r="N443" s="17" t="str">
        <f>IFERROR(VLOOKUP(B443,'03. THIẾT BỊ'!$B$1:$S$836,13,0),"")</f>
        <v/>
      </c>
      <c r="O443" s="16" t="str">
        <f>IFERROR(VLOOKUP(B443,'03. THIẾT BỊ'!$B$1:$S$836,14,0),"")</f>
        <v/>
      </c>
      <c r="P443" s="17" t="str">
        <f>IFERROR(VLOOKUP(B443,'03. THIẾT BỊ'!$B$1:$S$836,15,0),"")</f>
        <v/>
      </c>
      <c r="Q443" s="18" t="str">
        <f>IFERROR(VLOOKUP(B443,'03. THIẾT BỊ'!$B$1:$S$836,16,0),"")</f>
        <v/>
      </c>
      <c r="R443" s="17" t="str">
        <f>IFERROR(VLOOKUP(B443,'03. THIẾT BỊ'!$B$1:$S$836,17,0),"")</f>
        <v/>
      </c>
      <c r="S443" s="17" t="str">
        <f>IFERROR(VLOOKUP(B443,'03. THIẾT BỊ'!$B$1:$S$836,18,0),"")</f>
        <v/>
      </c>
      <c r="T443" s="609"/>
    </row>
    <row r="444" customHeight="1" spans="1:20">
      <c r="A444" s="19">
        <v>1</v>
      </c>
      <c r="B444" s="20" t="s">
        <v>5323</v>
      </c>
      <c r="C444" s="613">
        <f>IFERROR(VLOOKUP(B444,'03. THIẾT BỊ'!$B$1:$S$836,2,0),"")</f>
        <v>0</v>
      </c>
      <c r="D444" s="24">
        <f>IFERROR(VLOOKUP(B444,'03. THIẾT BỊ'!$B$1:$S$836,3,0),"")</f>
        <v>0</v>
      </c>
      <c r="E444" s="20" t="str">
        <f>IFERROR(VLOOKUP(B444,'03. THIẾT BỊ'!$B$1:$S$836,4,0),"")</f>
        <v>ĐQSD</v>
      </c>
      <c r="F444" s="20" t="str">
        <f>IFERROR(VLOOKUP(B444,'03. THIẾT BỊ'!$B$1:$S$836,5,0),"")</f>
        <v>Rơ mooc thùng</v>
      </c>
      <c r="G444" s="101" t="s">
        <v>6468</v>
      </c>
      <c r="H444" s="19" t="str">
        <f>IFERROR(VLOOKUP(B444,'03. THIẾT BỊ'!$B$1:$S$836,7,0),"")</f>
        <v>XN Bò AD</v>
      </c>
      <c r="I444" s="610">
        <f>IFERROR(VLOOKUP(B444,'03. THIẾT BỊ'!$B$1:$S$836,8,0),"")</f>
        <v>0</v>
      </c>
      <c r="J444" s="25"/>
      <c r="K444" s="19" t="str">
        <f>IFERROR(VLOOKUP(B444,'03. THIẾT BỊ'!$B$1:$S$836,10,0),"")</f>
        <v>Bình thường</v>
      </c>
      <c r="L444" s="25">
        <f>IFERROR(VLOOKUP(B444,'03. THIẾT BỊ'!$B$1:$S$836,11,0),"")</f>
        <v>0</v>
      </c>
      <c r="M444" s="24">
        <f>IFERROR(VLOOKUP(B444,'03. THIẾT BỊ'!$B$1:$S$836,12,0),"")</f>
        <v>0</v>
      </c>
      <c r="N444" s="25" t="str">
        <f>IFERROR(VLOOKUP(B444,'03. THIẾT BỊ'!$B$1:$S$836,13,0),"")</f>
        <v>THACO AGRI</v>
      </c>
      <c r="O444" s="24" t="str">
        <f>IFERROR(VLOOKUP(B444,'03. THIẾT BỊ'!$B$1:$S$836,14,0),"")</f>
        <v>RM thùng</v>
      </c>
      <c r="P444" s="25" t="str">
        <f>IFERROR(VLOOKUP(B444,'03. THIẾT BỊ'!$B$1:$S$836,15,0),"")</f>
        <v>CK-CGH</v>
      </c>
      <c r="Q444" s="23">
        <f>IFERROR(VLOOKUP(B444,'03. THIẾT BỊ'!$B$1:$S$836,16,0),"")</f>
        <v>0</v>
      </c>
      <c r="R444" s="25">
        <f>IFERROR(VLOOKUP(B444,'03. THIẾT BỊ'!$B$1:$S$836,17,0),"")</f>
        <v>0</v>
      </c>
      <c r="S444" s="25">
        <f>IFERROR(VLOOKUP(B444,'03. THIẾT BỊ'!$B$1:$S$836,18,0),"")</f>
        <v>0</v>
      </c>
      <c r="T444" s="41"/>
    </row>
    <row r="445" customHeight="1" spans="1:20">
      <c r="A445" s="19">
        <f t="shared" ref="A445:A448" si="21">A444+1</f>
        <v>2</v>
      </c>
      <c r="B445" s="20" t="s">
        <v>5325</v>
      </c>
      <c r="C445" s="613">
        <f>IFERROR(VLOOKUP(B445,'03. THIẾT BỊ'!$B$1:$S$836,2,0),"")</f>
        <v>0</v>
      </c>
      <c r="D445" s="24">
        <f>IFERROR(VLOOKUP(B445,'03. THIẾT BỊ'!$B$1:$S$836,3,0),"")</f>
        <v>0</v>
      </c>
      <c r="E445" s="20" t="str">
        <f>IFERROR(VLOOKUP(B445,'03. THIẾT BỊ'!$B$1:$S$836,4,0),"")</f>
        <v>ĐQSD</v>
      </c>
      <c r="F445" s="20" t="str">
        <f>IFERROR(VLOOKUP(B445,'03. THIẾT BỊ'!$B$1:$S$836,5,0),"")</f>
        <v>Rơ mooc thùng</v>
      </c>
      <c r="G445" s="101" t="s">
        <v>6468</v>
      </c>
      <c r="H445" s="19" t="str">
        <f>IFERROR(VLOOKUP(B445,'03. THIẾT BỊ'!$B$1:$S$836,7,0),"")</f>
        <v>XN Bò AD</v>
      </c>
      <c r="I445" s="610">
        <f>IFERROR(VLOOKUP(B445,'03. THIẾT BỊ'!$B$1:$S$836,8,0),"")</f>
        <v>0</v>
      </c>
      <c r="J445" s="25"/>
      <c r="K445" s="19" t="str">
        <f>IFERROR(VLOOKUP(B445,'03. THIẾT BỊ'!$B$1:$S$836,10,0),"")</f>
        <v>Bình thường</v>
      </c>
      <c r="L445" s="25">
        <f>IFERROR(VLOOKUP(B445,'03. THIẾT BỊ'!$B$1:$S$836,11,0),"")</f>
        <v>0</v>
      </c>
      <c r="M445" s="24">
        <f>IFERROR(VLOOKUP(B445,'03. THIẾT BỊ'!$B$1:$S$836,12,0),"")</f>
        <v>0</v>
      </c>
      <c r="N445" s="25" t="str">
        <f>IFERROR(VLOOKUP(B445,'03. THIẾT BỊ'!$B$1:$S$836,13,0),"")</f>
        <v>THACO AGRI</v>
      </c>
      <c r="O445" s="24" t="str">
        <f>IFERROR(VLOOKUP(B445,'03. THIẾT BỊ'!$B$1:$S$836,14,0),"")</f>
        <v>RM thùng</v>
      </c>
      <c r="P445" s="25" t="str">
        <f>IFERROR(VLOOKUP(B445,'03. THIẾT BỊ'!$B$1:$S$836,15,0),"")</f>
        <v>CK-CGH</v>
      </c>
      <c r="Q445" s="23">
        <f>IFERROR(VLOOKUP(B445,'03. THIẾT BỊ'!$B$1:$S$836,16,0),"")</f>
        <v>0</v>
      </c>
      <c r="R445" s="25">
        <f>IFERROR(VLOOKUP(B445,'03. THIẾT BỊ'!$B$1:$S$836,17,0),"")</f>
        <v>0</v>
      </c>
      <c r="S445" s="25">
        <f>IFERROR(VLOOKUP(B445,'03. THIẾT BỊ'!$B$1:$S$836,18,0),"")</f>
        <v>0</v>
      </c>
      <c r="T445" s="41"/>
    </row>
    <row r="446" customHeight="1" spans="1:20">
      <c r="A446" s="19">
        <f t="shared" si="21"/>
        <v>3</v>
      </c>
      <c r="B446" s="20" t="s">
        <v>5326</v>
      </c>
      <c r="C446" s="613">
        <f>IFERROR(VLOOKUP(B446,'03. THIẾT BỊ'!$B$1:$S$836,2,0),"")</f>
        <v>0</v>
      </c>
      <c r="D446" s="24">
        <f>IFERROR(VLOOKUP(B446,'03. THIẾT BỊ'!$B$1:$S$836,3,0),"")</f>
        <v>0</v>
      </c>
      <c r="E446" s="20" t="str">
        <f>IFERROR(VLOOKUP(B446,'03. THIẾT BỊ'!$B$1:$S$836,4,0),"")</f>
        <v>ĐQSD</v>
      </c>
      <c r="F446" s="20" t="str">
        <f>IFERROR(VLOOKUP(B446,'03. THIẾT BỊ'!$B$1:$S$836,5,0),"")</f>
        <v>Rơ mooc thùng</v>
      </c>
      <c r="G446" s="101" t="s">
        <v>6468</v>
      </c>
      <c r="H446" s="19" t="str">
        <f>IFERROR(VLOOKUP(B446,'03. THIẾT BỊ'!$B$1:$S$836,7,0),"")</f>
        <v>XN Bò AD</v>
      </c>
      <c r="I446" s="610">
        <f>IFERROR(VLOOKUP(B446,'03. THIẾT BỊ'!$B$1:$S$836,8,0),"")</f>
        <v>0</v>
      </c>
      <c r="J446" s="25"/>
      <c r="K446" s="19" t="str">
        <f>IFERROR(VLOOKUP(B446,'03. THIẾT BỊ'!$B$1:$S$836,10,0),"")</f>
        <v>Bình thường</v>
      </c>
      <c r="L446" s="25">
        <f>IFERROR(VLOOKUP(B446,'03. THIẾT BỊ'!$B$1:$S$836,11,0),"")</f>
        <v>0</v>
      </c>
      <c r="M446" s="24">
        <f>IFERROR(VLOOKUP(B446,'03. THIẾT BỊ'!$B$1:$S$836,12,0),"")</f>
        <v>0</v>
      </c>
      <c r="N446" s="25" t="str">
        <f>IFERROR(VLOOKUP(B446,'03. THIẾT BỊ'!$B$1:$S$836,13,0),"")</f>
        <v>THACO AGRI</v>
      </c>
      <c r="O446" s="24" t="str">
        <f>IFERROR(VLOOKUP(B446,'03. THIẾT BỊ'!$B$1:$S$836,14,0),"")</f>
        <v>RM thùng</v>
      </c>
      <c r="P446" s="25" t="str">
        <f>IFERROR(VLOOKUP(B446,'03. THIẾT BỊ'!$B$1:$S$836,15,0),"")</f>
        <v>CK-CGH</v>
      </c>
      <c r="Q446" s="23">
        <f>IFERROR(VLOOKUP(B446,'03. THIẾT BỊ'!$B$1:$S$836,16,0),"")</f>
        <v>0</v>
      </c>
      <c r="R446" s="25">
        <f>IFERROR(VLOOKUP(B446,'03. THIẾT BỊ'!$B$1:$S$836,17,0),"")</f>
        <v>0</v>
      </c>
      <c r="S446" s="25">
        <f>IFERROR(VLOOKUP(B446,'03. THIẾT BỊ'!$B$1:$S$836,18,0),"")</f>
        <v>0</v>
      </c>
      <c r="T446" s="41"/>
    </row>
    <row r="447" customHeight="1" spans="1:20">
      <c r="A447" s="19">
        <f t="shared" si="21"/>
        <v>4</v>
      </c>
      <c r="B447" s="20" t="s">
        <v>5327</v>
      </c>
      <c r="C447" s="613">
        <f>IFERROR(VLOOKUP(B447,'03. THIẾT BỊ'!$B$1:$S$836,2,0),"")</f>
        <v>0</v>
      </c>
      <c r="D447" s="24">
        <f>IFERROR(VLOOKUP(B447,'03. THIẾT BỊ'!$B$1:$S$836,3,0),"")</f>
        <v>0</v>
      </c>
      <c r="E447" s="20" t="str">
        <f>IFERROR(VLOOKUP(B447,'03. THIẾT BỊ'!$B$1:$S$836,4,0),"")</f>
        <v>ĐQSD</v>
      </c>
      <c r="F447" s="20" t="str">
        <f>IFERROR(VLOOKUP(B447,'03. THIẾT BỊ'!$B$1:$S$836,5,0),"")</f>
        <v>Rơ mooc thùng</v>
      </c>
      <c r="G447" s="101" t="s">
        <v>6468</v>
      </c>
      <c r="H447" s="19" t="str">
        <f>IFERROR(VLOOKUP(B447,'03. THIẾT BỊ'!$B$1:$S$836,7,0),"")</f>
        <v>XN Bò AD</v>
      </c>
      <c r="I447" s="610">
        <f>IFERROR(VLOOKUP(B447,'03. THIẾT BỊ'!$B$1:$S$836,8,0),"")</f>
        <v>0</v>
      </c>
      <c r="J447" s="25"/>
      <c r="K447" s="19" t="str">
        <f>IFERROR(VLOOKUP(B447,'03. THIẾT BỊ'!$B$1:$S$836,10,0),"")</f>
        <v>Bình thường</v>
      </c>
      <c r="L447" s="25">
        <f>IFERROR(VLOOKUP(B447,'03. THIẾT BỊ'!$B$1:$S$836,11,0),"")</f>
        <v>0</v>
      </c>
      <c r="M447" s="24">
        <f>IFERROR(VLOOKUP(B447,'03. THIẾT BỊ'!$B$1:$S$836,12,0),"")</f>
        <v>0</v>
      </c>
      <c r="N447" s="25" t="str">
        <f>IFERROR(VLOOKUP(B447,'03. THIẾT BỊ'!$B$1:$S$836,13,0),"")</f>
        <v>THACO AGRI</v>
      </c>
      <c r="O447" s="24" t="str">
        <f>IFERROR(VLOOKUP(B447,'03. THIẾT BỊ'!$B$1:$S$836,14,0),"")</f>
        <v>RM thùng</v>
      </c>
      <c r="P447" s="25" t="str">
        <f>IFERROR(VLOOKUP(B447,'03. THIẾT BỊ'!$B$1:$S$836,15,0),"")</f>
        <v>CK-CGH</v>
      </c>
      <c r="Q447" s="23">
        <f>IFERROR(VLOOKUP(B447,'03. THIẾT BỊ'!$B$1:$S$836,16,0),"")</f>
        <v>0</v>
      </c>
      <c r="R447" s="25">
        <f>IFERROR(VLOOKUP(B447,'03. THIẾT BỊ'!$B$1:$S$836,17,0),"")</f>
        <v>0</v>
      </c>
      <c r="S447" s="25">
        <f>IFERROR(VLOOKUP(B447,'03. THIẾT BỊ'!$B$1:$S$836,18,0),"")</f>
        <v>0</v>
      </c>
      <c r="T447" s="41"/>
    </row>
    <row r="448" customHeight="1" spans="1:20">
      <c r="A448" s="19">
        <f t="shared" si="21"/>
        <v>5</v>
      </c>
      <c r="B448" s="20" t="s">
        <v>5328</v>
      </c>
      <c r="C448" s="613">
        <f>IFERROR(VLOOKUP(B448,'03. THIẾT BỊ'!$B$1:$S$836,2,0),"")</f>
        <v>0</v>
      </c>
      <c r="D448" s="24">
        <f>IFERROR(VLOOKUP(B448,'03. THIẾT BỊ'!$B$1:$S$836,3,0),"")</f>
        <v>0</v>
      </c>
      <c r="E448" s="20" t="str">
        <f>IFERROR(VLOOKUP(B448,'03. THIẾT BỊ'!$B$1:$S$836,4,0),"")</f>
        <v>ĐQSD</v>
      </c>
      <c r="F448" s="20" t="str">
        <f>IFERROR(VLOOKUP(B448,'03. THIẾT BỊ'!$B$1:$S$836,5,0),"")</f>
        <v>Rơ mooc đi cùng shibaura</v>
      </c>
      <c r="G448" s="101" t="s">
        <v>6468</v>
      </c>
      <c r="H448" s="19" t="str">
        <f>IFERROR(VLOOKUP(B448,'03. THIẾT BỊ'!$B$1:$S$836,7,0),"")</f>
        <v>XN Bò AD</v>
      </c>
      <c r="I448" s="610">
        <f>IFERROR(VLOOKUP(B448,'03. THIẾT BỊ'!$B$1:$S$836,8,0),"")</f>
        <v>0</v>
      </c>
      <c r="J448" s="25"/>
      <c r="K448" s="19" t="str">
        <f>IFERROR(VLOOKUP(B448,'03. THIẾT BỊ'!$B$1:$S$836,10,0),"")</f>
        <v>Bình thường</v>
      </c>
      <c r="L448" s="25">
        <f>IFERROR(VLOOKUP(B448,'03. THIẾT BỊ'!$B$1:$S$836,11,0),"")</f>
        <v>0</v>
      </c>
      <c r="M448" s="24">
        <f>IFERROR(VLOOKUP(B448,'03. THIẾT BỊ'!$B$1:$S$836,12,0),"")</f>
        <v>0</v>
      </c>
      <c r="N448" s="25" t="str">
        <f>IFERROR(VLOOKUP(B448,'03. THIẾT BỊ'!$B$1:$S$836,13,0),"")</f>
        <v>THACO AGRI</v>
      </c>
      <c r="O448" s="24">
        <f>IFERROR(VLOOKUP(B448,'03. THIẾT BỊ'!$B$1:$S$836,14,0),"")</f>
        <v>0</v>
      </c>
      <c r="P448" s="25" t="str">
        <f>IFERROR(VLOOKUP(B448,'03. THIẾT BỊ'!$B$1:$S$836,15,0),"")</f>
        <v>CK-CGH</v>
      </c>
      <c r="Q448" s="23">
        <f>IFERROR(VLOOKUP(B448,'03. THIẾT BỊ'!$B$1:$S$836,16,0),"")</f>
        <v>0</v>
      </c>
      <c r="R448" s="25">
        <f>IFERROR(VLOOKUP(B448,'03. THIẾT BỊ'!$B$1:$S$836,17,0),"")</f>
        <v>0</v>
      </c>
      <c r="S448" s="25">
        <f>IFERROR(VLOOKUP(B448,'03. THIẾT BỊ'!$B$1:$S$836,18,0),"")</f>
        <v>0</v>
      </c>
      <c r="T448" s="41"/>
    </row>
    <row r="449" ht="13.8" spans="1:20">
      <c r="C449" s="613" t="str">
        <f>IFERROR(VLOOKUP(B449,'03. THIẾT BỊ'!$B$1:$S$836,2,0),"")</f>
        <v/>
      </c>
      <c r="D449" s="24" t="str">
        <f>IFERROR(VLOOKUP(B449,'03. THIẾT BỊ'!$B$1:$S$836,3,0),"")</f>
        <v/>
      </c>
      <c r="E449" s="20" t="str">
        <f>IFERROR(VLOOKUP(B449,'03. THIẾT BỊ'!$B$1:$S$836,4,0),"")</f>
        <v/>
      </c>
      <c r="F449" s="20" t="str">
        <f>IFERROR(VLOOKUP(B449,'03. THIẾT BỊ'!$B$1:$S$836,5,0),"")</f>
        <v/>
      </c>
      <c r="G449" s="101" t="s">
        <v>6468</v>
      </c>
      <c r="H449" s="19" t="str">
        <f>IFERROR(VLOOKUP(B449,'03. THIẾT BỊ'!$B$1:$S$836,7,0),"")</f>
        <v/>
      </c>
      <c r="I449" s="610" t="str">
        <f>IFERROR(VLOOKUP(B449,'03. THIẾT BỊ'!$B$1:$S$836,8,0),"")</f>
        <v/>
      </c>
      <c r="J449" s="25"/>
      <c r="K449" s="19" t="str">
        <f>IFERROR(VLOOKUP(B449,'03. THIẾT BỊ'!$B$1:$S$836,10,0),"")</f>
        <v/>
      </c>
      <c r="L449" s="25" t="str">
        <f>IFERROR(VLOOKUP(B449,'03. THIẾT BỊ'!$B$1:$S$836,11,0),"")</f>
        <v/>
      </c>
      <c r="M449" s="24" t="str">
        <f>IFERROR(VLOOKUP(B449,'03. THIẾT BỊ'!$B$1:$S$836,12,0),"")</f>
        <v/>
      </c>
      <c r="N449" s="25" t="str">
        <f>IFERROR(VLOOKUP(B449,'03. THIẾT BỊ'!$B$1:$S$836,13,0),"")</f>
        <v/>
      </c>
      <c r="O449" s="24" t="str">
        <f>IFERROR(VLOOKUP(B449,'03. THIẾT BỊ'!$B$1:$S$836,14,0),"")</f>
        <v/>
      </c>
      <c r="P449" s="25" t="str">
        <f>IFERROR(VLOOKUP(B449,'03. THIẾT BỊ'!$B$1:$S$836,15,0),"")</f>
        <v/>
      </c>
      <c r="Q449" s="23" t="str">
        <f>IFERROR(VLOOKUP(B449,'03. THIẾT BỊ'!$B$1:$S$836,16,0),"")</f>
        <v/>
      </c>
      <c r="R449" s="25" t="str">
        <f>IFERROR(VLOOKUP(B449,'03. THIẾT BỊ'!$B$1:$S$836,17,0),"")</f>
        <v/>
      </c>
      <c r="S449" s="25" t="str">
        <f>IFERROR(VLOOKUP(B449,'03. THIẾT BỊ'!$B$1:$S$836,18,0),"")</f>
        <v/>
      </c>
    </row>
    <row r="450" ht="13.8" spans="1:20">
      <c r="C450" s="613" t="str">
        <f>IFERROR(VLOOKUP(B450,'03. THIẾT BỊ'!$B$1:$S$836,2,0),"")</f>
        <v/>
      </c>
      <c r="D450" s="24" t="str">
        <f>IFERROR(VLOOKUP(B450,'03. THIẾT BỊ'!$B$1:$S$836,3,0),"")</f>
        <v/>
      </c>
      <c r="E450" s="20" t="str">
        <f>IFERROR(VLOOKUP(B450,'03. THIẾT BỊ'!$B$1:$S$836,4,0),"")</f>
        <v/>
      </c>
      <c r="F450" s="20" t="str">
        <f>IFERROR(VLOOKUP(B450,'03. THIẾT BỊ'!$B$1:$S$836,5,0),"")</f>
        <v/>
      </c>
      <c r="G450" s="101" t="s">
        <v>6468</v>
      </c>
      <c r="H450" s="19" t="str">
        <f>IFERROR(VLOOKUP(B450,'03. THIẾT BỊ'!$B$1:$S$836,7,0),"")</f>
        <v/>
      </c>
      <c r="I450" s="610" t="str">
        <f>IFERROR(VLOOKUP(B450,'03. THIẾT BỊ'!$B$1:$S$836,8,0),"")</f>
        <v/>
      </c>
      <c r="J450" s="25"/>
      <c r="K450" s="19" t="str">
        <f>IFERROR(VLOOKUP(B450,'03. THIẾT BỊ'!$B$1:$S$836,10,0),"")</f>
        <v/>
      </c>
      <c r="L450" s="25" t="str">
        <f>IFERROR(VLOOKUP(B450,'03. THIẾT BỊ'!$B$1:$S$836,11,0),"")</f>
        <v/>
      </c>
      <c r="M450" s="24" t="str">
        <f>IFERROR(VLOOKUP(B450,'03. THIẾT BỊ'!$B$1:$S$836,12,0),"")</f>
        <v/>
      </c>
      <c r="N450" s="25" t="str">
        <f>IFERROR(VLOOKUP(B450,'03. THIẾT BỊ'!$B$1:$S$836,13,0),"")</f>
        <v/>
      </c>
      <c r="O450" s="24" t="str">
        <f>IFERROR(VLOOKUP(B450,'03. THIẾT BỊ'!$B$1:$S$836,14,0),"")</f>
        <v/>
      </c>
      <c r="P450" s="25" t="str">
        <f>IFERROR(VLOOKUP(B450,'03. THIẾT BỊ'!$B$1:$S$836,15,0),"")</f>
        <v/>
      </c>
      <c r="Q450" s="23" t="str">
        <f>IFERROR(VLOOKUP(B450,'03. THIẾT BỊ'!$B$1:$S$836,16,0),"")</f>
        <v/>
      </c>
      <c r="R450" s="25" t="str">
        <f>IFERROR(VLOOKUP(B450,'03. THIẾT BỊ'!$B$1:$S$836,17,0),"")</f>
        <v/>
      </c>
      <c r="S450" s="25" t="str">
        <f>IFERROR(VLOOKUP(B450,'03. THIẾT BỊ'!$B$1:$S$836,18,0),"")</f>
        <v/>
      </c>
    </row>
    <row r="451" customHeight="1" spans="1:20">
      <c r="A451" s="14" t="s">
        <v>290</v>
      </c>
      <c r="B451" s="15" t="s">
        <v>6500</v>
      </c>
      <c r="C451" s="14">
        <f>COUNTA(B452:B469)</f>
        <v>17</v>
      </c>
      <c r="D451" s="17" t="str">
        <f>IFERROR(VLOOKUP(B451,'03. THIẾT BỊ'!$B$1:$S$836,3,0),"")</f>
        <v/>
      </c>
      <c r="E451" s="20" t="str">
        <f>IFERROR(VLOOKUP(B451,'03. THIẾT BỊ'!$B$1:$S$836,4,0),"")</f>
        <v/>
      </c>
      <c r="F451" s="17" t="str">
        <f>IFERROR(VLOOKUP(B451,'03. THIẾT BỊ'!$B$1:$S$836,5,0),"")</f>
        <v/>
      </c>
      <c r="G451" s="18" t="s">
        <v>6468</v>
      </c>
      <c r="H451" s="18" t="str">
        <f>IFERROR(VLOOKUP(B451,'03. THIẾT BỊ'!$B$1:$S$836,7,0),"")</f>
        <v/>
      </c>
      <c r="I451" s="14" t="str">
        <f>IFERROR(VLOOKUP(B451,'03. THIẾT BỊ'!$B$1:$S$836,8,0),"")</f>
        <v/>
      </c>
      <c r="J451" s="15"/>
      <c r="K451" s="14" t="str">
        <f>IFERROR(VLOOKUP(B451,'03. THIẾT BỊ'!$B$1:$S$836,10,0),"")</f>
        <v/>
      </c>
      <c r="L451" s="17" t="str">
        <f>IFERROR(VLOOKUP(B451,'03. THIẾT BỊ'!$B$1:$S$836,11,0),"")</f>
        <v/>
      </c>
      <c r="M451" s="16" t="str">
        <f>IFERROR(VLOOKUP(B451,'03. THIẾT BỊ'!$B$1:$S$836,12,0),"")</f>
        <v/>
      </c>
      <c r="N451" s="17" t="str">
        <f>IFERROR(VLOOKUP(B451,'03. THIẾT BỊ'!$B$1:$S$836,13,0),"")</f>
        <v/>
      </c>
      <c r="O451" s="16" t="str">
        <f>IFERROR(VLOOKUP(B451,'03. THIẾT BỊ'!$B$1:$S$836,14,0),"")</f>
        <v/>
      </c>
      <c r="P451" s="17" t="str">
        <f>IFERROR(VLOOKUP(B451,'03. THIẾT BỊ'!$B$1:$S$836,15,0),"")</f>
        <v/>
      </c>
      <c r="Q451" s="18" t="str">
        <f>IFERROR(VLOOKUP(B451,'03. THIẾT BỊ'!$B$1:$S$836,16,0),"")</f>
        <v/>
      </c>
      <c r="R451" s="17" t="str">
        <f>IFERROR(VLOOKUP(B451,'03. THIẾT BỊ'!$B$1:$S$836,17,0),"")</f>
        <v/>
      </c>
      <c r="S451" s="17" t="str">
        <f>IFERROR(VLOOKUP(B451,'03. THIẾT BỊ'!$B$1:$S$836,18,0),"")</f>
        <v/>
      </c>
      <c r="T451" s="609"/>
    </row>
    <row r="452" customHeight="1" spans="1:20">
      <c r="A452" s="19">
        <v>1</v>
      </c>
      <c r="B452" s="20" t="s">
        <v>4226</v>
      </c>
      <c r="C452" s="613">
        <f>IFERROR(VLOOKUP(B452,'03. THIẾT BỊ'!$B$1:$S$836,2,0),"")</f>
        <v>0</v>
      </c>
      <c r="D452" s="24">
        <f>IFERROR(VLOOKUP(B452,'03. THIẾT BỊ'!$B$1:$S$836,3,0),"")</f>
        <v>0</v>
      </c>
      <c r="E452" s="20" t="str">
        <f>IFERROR(VLOOKUP(B452,'03. THIẾT BỊ'!$B$1:$S$836,4,0),"")</f>
        <v>ĐQSD</v>
      </c>
      <c r="F452" s="20" t="str">
        <f>IFERROR(VLOOKUP(B452,'03. THIẾT BỊ'!$B$1:$S$836,5,0),"")</f>
        <v>Rơ mooc kéo máy băm</v>
      </c>
      <c r="G452" s="101" t="s">
        <v>6468</v>
      </c>
      <c r="H452" s="19" t="str">
        <f>IFERROR(VLOOKUP(B452,'03. THIẾT BỊ'!$B$1:$S$836,7,0),"")</f>
        <v>XN Chuối DP1</v>
      </c>
      <c r="I452" s="610">
        <f>IFERROR(VLOOKUP(B452,'03. THIẾT BỊ'!$B$1:$S$836,8,0),"")</f>
        <v>0</v>
      </c>
      <c r="J452" s="25"/>
      <c r="K452" s="19" t="str">
        <f>IFERROR(VLOOKUP(B452,'03. THIẾT BỊ'!$B$1:$S$836,10,0),"")</f>
        <v>Bình thường</v>
      </c>
      <c r="L452" s="25">
        <f>IFERROR(VLOOKUP(B452,'03. THIẾT BỊ'!$B$1:$S$836,11,0),"")</f>
        <v>0</v>
      </c>
      <c r="M452" s="24">
        <f>IFERROR(VLOOKUP(B452,'03. THIẾT BỊ'!$B$1:$S$836,12,0),"")</f>
        <v>0</v>
      </c>
      <c r="N452" s="25" t="str">
        <f>IFERROR(VLOOKUP(B452,'03. THIẾT BỊ'!$B$1:$S$836,13,0),"")</f>
        <v>THACO AGRI</v>
      </c>
      <c r="O452" s="24">
        <f>IFERROR(VLOOKUP(B452,'03. THIẾT BỊ'!$B$1:$S$836,14,0),"")</f>
        <v>0</v>
      </c>
      <c r="P452" s="25" t="str">
        <f>IFERROR(VLOOKUP(B452,'03. THIẾT BỊ'!$B$1:$S$836,15,0),"")</f>
        <v>CK-CGH</v>
      </c>
      <c r="Q452" s="23">
        <f>IFERROR(VLOOKUP(B452,'03. THIẾT BỊ'!$B$1:$S$836,16,0),"")</f>
        <v>0</v>
      </c>
      <c r="R452" s="25">
        <f>IFERROR(VLOOKUP(B452,'03. THIẾT BỊ'!$B$1:$S$836,17,0),"")</f>
        <v>0</v>
      </c>
      <c r="S452" s="25">
        <f>IFERROR(VLOOKUP(B452,'03. THIẾT BỊ'!$B$1:$S$836,18,0),"")</f>
        <v>0</v>
      </c>
      <c r="T452" s="41"/>
    </row>
    <row r="453" customHeight="1" spans="1:20">
      <c r="A453" s="19">
        <f t="shared" ref="A453:A468" si="22">A452+1</f>
        <v>2</v>
      </c>
      <c r="B453" s="20" t="s">
        <v>6501</v>
      </c>
      <c r="C453" s="613" t="str">
        <f>IFERROR(VLOOKUP(B453,'03. THIẾT BỊ'!$B$1:$S$836,2,0),"")</f>
        <v/>
      </c>
      <c r="D453" s="24" t="str">
        <f>IFERROR(VLOOKUP(B453,'03. THIẾT BỊ'!$B$1:$S$836,3,0),"")</f>
        <v/>
      </c>
      <c r="E453" s="20" t="str">
        <f>IFERROR(VLOOKUP(B453,'03. THIẾT BỊ'!$B$1:$S$836,4,0),"")</f>
        <v/>
      </c>
      <c r="F453" s="20" t="str">
        <f>IFERROR(VLOOKUP(B453,'03. THIẾT BỊ'!$B$1:$S$836,5,0),"")</f>
        <v/>
      </c>
      <c r="G453" s="101" t="s">
        <v>6468</v>
      </c>
      <c r="H453" s="19" t="str">
        <f>IFERROR(VLOOKUP(B453,'03. THIẾT BỊ'!$B$1:$S$836,7,0),"")</f>
        <v/>
      </c>
      <c r="I453" s="610" t="str">
        <f>IFERROR(VLOOKUP(B453,'03. THIẾT BỊ'!$B$1:$S$836,8,0),"")</f>
        <v/>
      </c>
      <c r="J453" s="25"/>
      <c r="K453" s="19" t="str">
        <f>IFERROR(VLOOKUP(B453,'03. THIẾT BỊ'!$B$1:$S$836,10,0),"")</f>
        <v/>
      </c>
      <c r="L453" s="25" t="str">
        <f>IFERROR(VLOOKUP(B453,'03. THIẾT BỊ'!$B$1:$S$836,11,0),"")</f>
        <v/>
      </c>
      <c r="M453" s="24" t="str">
        <f>IFERROR(VLOOKUP(B453,'03. THIẾT BỊ'!$B$1:$S$836,12,0),"")</f>
        <v/>
      </c>
      <c r="N453" s="25" t="str">
        <f>IFERROR(VLOOKUP(B453,'03. THIẾT BỊ'!$B$1:$S$836,13,0),"")</f>
        <v/>
      </c>
      <c r="O453" s="24" t="str">
        <f>IFERROR(VLOOKUP(B453,'03. THIẾT BỊ'!$B$1:$S$836,14,0),"")</f>
        <v/>
      </c>
      <c r="P453" s="25" t="str">
        <f>IFERROR(VLOOKUP(B453,'03. THIẾT BỊ'!$B$1:$S$836,15,0),"")</f>
        <v/>
      </c>
      <c r="Q453" s="23" t="str">
        <f>IFERROR(VLOOKUP(B453,'03. THIẾT BỊ'!$B$1:$S$836,16,0),"")</f>
        <v/>
      </c>
      <c r="R453" s="25" t="str">
        <f>IFERROR(VLOOKUP(B453,'03. THIẾT BỊ'!$B$1:$S$836,17,0),"")</f>
        <v/>
      </c>
      <c r="S453" s="25" t="str">
        <f>IFERROR(VLOOKUP(B453,'03. THIẾT BỊ'!$B$1:$S$836,18,0),"")</f>
        <v/>
      </c>
      <c r="T453" s="615"/>
    </row>
    <row r="454" customHeight="1" spans="1:20">
      <c r="A454" s="19">
        <f t="shared" si="22"/>
        <v>3</v>
      </c>
      <c r="B454" s="20" t="s">
        <v>4411</v>
      </c>
      <c r="C454" s="613">
        <f>IFERROR(VLOOKUP(B454,'03. THIẾT BỊ'!$B$1:$S$836,2,0),"")</f>
        <v>0</v>
      </c>
      <c r="D454" s="24" t="str">
        <f>IFERROR(VLOOKUP(B454,'03. THIẾT BỊ'!$B$1:$S$836,3,0),"")</f>
        <v>A23-RMG-001</v>
      </c>
      <c r="E454" s="20" t="str">
        <f>IFERROR(VLOOKUP(B454,'03. THIẾT BỊ'!$B$1:$S$836,4,0),"")</f>
        <v>ĐQSD</v>
      </c>
      <c r="F454" s="20" t="str">
        <f>IFERROR(VLOOKUP(B454,'03. THIẾT BỊ'!$B$1:$S$836,5,0),"")</f>
        <v>Rơ mooc chở giống</v>
      </c>
      <c r="G454" s="101" t="s">
        <v>6468</v>
      </c>
      <c r="H454" s="19" t="str">
        <f>IFERROR(VLOOKUP(B454,'03. THIẾT BỊ'!$B$1:$S$836,7,0),"")</f>
        <v>XN Chuối DP2</v>
      </c>
      <c r="I454" s="610">
        <f>IFERROR(VLOOKUP(B454,'03. THIẾT BỊ'!$B$1:$S$836,8,0),"")</f>
        <v>0</v>
      </c>
      <c r="J454" s="25"/>
      <c r="K454" s="19" t="str">
        <f>IFERROR(VLOOKUP(B454,'03. THIẾT BỊ'!$B$1:$S$836,10,0),"")</f>
        <v>Bình thường</v>
      </c>
      <c r="L454" s="25" t="str">
        <f>IFERROR(VLOOKUP(B454,'03. THIẾT BỊ'!$B$1:$S$836,11,0),"")</f>
        <v>CGLĐ DP ĐCHUYỂN NGÀY 28.01.2026</v>
      </c>
      <c r="M454" s="24">
        <f>IFERROR(VLOOKUP(B454,'03. THIẾT BỊ'!$B$1:$S$836,12,0),"")</f>
        <v>0</v>
      </c>
      <c r="N454" s="25" t="str">
        <f>IFERROR(VLOOKUP(B454,'03. THIẾT BỊ'!$B$1:$S$836,13,0),"")</f>
        <v>THACO AGRI</v>
      </c>
      <c r="O454" s="24">
        <f>IFERROR(VLOOKUP(B454,'03. THIẾT BỊ'!$B$1:$S$836,14,0),"")</f>
        <v>0</v>
      </c>
      <c r="P454" s="25" t="str">
        <f>IFERROR(VLOOKUP(B454,'03. THIẾT BỊ'!$B$1:$S$836,15,0),"")</f>
        <v>CK-CGH</v>
      </c>
      <c r="Q454" s="23">
        <f>IFERROR(VLOOKUP(B454,'03. THIẾT BỊ'!$B$1:$S$836,16,0),"")</f>
        <v>0</v>
      </c>
      <c r="R454" s="25">
        <f>IFERROR(VLOOKUP(B454,'03. THIẾT BỊ'!$B$1:$S$836,17,0),"")</f>
        <v>0</v>
      </c>
      <c r="S454" s="25" t="str">
        <f>IFERROR(VLOOKUP(B454,'03. THIẾT BỊ'!$B$1:$S$836,18,0),"")</f>
        <v>44 buồng</v>
      </c>
      <c r="T454" s="622"/>
    </row>
    <row r="455" customHeight="1" spans="1:20">
      <c r="A455" s="19">
        <f t="shared" si="22"/>
        <v>4</v>
      </c>
      <c r="B455" s="20" t="s">
        <v>4903</v>
      </c>
      <c r="C455" s="613">
        <f>IFERROR(VLOOKUP(B455,'03. THIẾT BỊ'!$B$1:$S$836,2,0),"")</f>
        <v>0</v>
      </c>
      <c r="D455" s="24" t="str">
        <f>IFERROR(VLOOKUP(B455,'03. THIẾT BỊ'!$B$1:$S$836,3,0),"")</f>
        <v>A24-RMG-001</v>
      </c>
      <c r="E455" s="20" t="str">
        <f>IFERROR(VLOOKUP(B455,'03. THIẾT BỊ'!$B$1:$S$836,4,0),"")</f>
        <v>ĐQSD</v>
      </c>
      <c r="F455" s="20" t="str">
        <f>IFERROR(VLOOKUP(B455,'03. THIẾT BỊ'!$B$1:$S$836,5,0),"")</f>
        <v>Rơ mooc chở giống</v>
      </c>
      <c r="G455" s="101" t="s">
        <v>6468</v>
      </c>
      <c r="H455" s="19" t="str">
        <f>IFERROR(VLOOKUP(B455,'03. THIẾT BỊ'!$B$1:$S$836,7,0),"")</f>
        <v>XN Chuối LP3</v>
      </c>
      <c r="I455" s="610">
        <f>IFERROR(VLOOKUP(B455,'03. THIẾT BỊ'!$B$1:$S$836,8,0),"")</f>
        <v>0</v>
      </c>
      <c r="J455" s="25"/>
      <c r="K455" s="19" t="str">
        <f>IFERROR(VLOOKUP(B455,'03. THIẾT BỊ'!$B$1:$S$836,10,0),"")</f>
        <v>Bình thường</v>
      </c>
      <c r="L455" s="25">
        <f>IFERROR(VLOOKUP(B455,'03. THIẾT BỊ'!$B$1:$S$836,11,0),"")</f>
        <v>0</v>
      </c>
      <c r="M455" s="24" t="str">
        <f>IFERROR(VLOOKUP(B455,'03. THIẾT BỊ'!$B$1:$S$836,12,0),"")</f>
        <v>Chở giống</v>
      </c>
      <c r="N455" s="25" t="str">
        <f>IFERROR(VLOOKUP(B455,'03. THIẾT BỊ'!$B$1:$S$836,13,0),"")</f>
        <v>THACO AGRI</v>
      </c>
      <c r="O455" s="24">
        <f>IFERROR(VLOOKUP(B455,'03. THIẾT BỊ'!$B$1:$S$836,14,0),"")</f>
        <v>0</v>
      </c>
      <c r="P455" s="25" t="str">
        <f>IFERROR(VLOOKUP(B455,'03. THIẾT BỊ'!$B$1:$S$836,15,0),"")</f>
        <v>CK-CGH</v>
      </c>
      <c r="Q455" s="23">
        <f>IFERROR(VLOOKUP(B455,'03. THIẾT BỊ'!$B$1:$S$836,16,0),"")</f>
        <v>0</v>
      </c>
      <c r="R455" s="25" t="str">
        <f>IFERROR(VLOOKUP(B455,'03. THIẾT BỊ'!$B$1:$S$836,17,0),"")</f>
        <v>6.8*2.*2.2m</v>
      </c>
      <c r="S455" s="25" t="str">
        <f>IFERROR(VLOOKUP(B455,'03. THIẾT BỊ'!$B$1:$S$836,18,0),"")</f>
        <v>Chở giống</v>
      </c>
      <c r="T455" s="41"/>
    </row>
    <row r="456" customHeight="1" spans="1:20">
      <c r="A456" s="19">
        <f t="shared" si="22"/>
        <v>5</v>
      </c>
      <c r="B456" s="20" t="s">
        <v>4276</v>
      </c>
      <c r="C456" s="613">
        <f>IFERROR(VLOOKUP(B456,'03. THIẾT BỊ'!$B$1:$S$836,2,0),"")</f>
        <v>0</v>
      </c>
      <c r="D456" s="24" t="str">
        <f>IFERROR(VLOOKUP(B456,'03. THIẾT BỊ'!$B$1:$S$836,3,0),"")</f>
        <v>A23-RMĐ-001</v>
      </c>
      <c r="E456" s="20" t="str">
        <f>IFERROR(VLOOKUP(B456,'03. THIẾT BỊ'!$B$1:$S$836,4,0),"")</f>
        <v>ĐQSD</v>
      </c>
      <c r="F456" s="20" t="str">
        <f>IFERROR(VLOOKUP(B456,'03. THIẾT BỊ'!$B$1:$S$836,5,0),"")</f>
        <v>Rơ mooc vận chuyển M.đào 03</v>
      </c>
      <c r="G456" s="101" t="s">
        <v>6468</v>
      </c>
      <c r="H456" s="19" t="str">
        <f>IFERROR(VLOOKUP(B456,'03. THIẾT BỊ'!$B$1:$S$836,7,0),"")</f>
        <v>XN Chuối DP1</v>
      </c>
      <c r="I456" s="610" t="str">
        <f>IFERROR(VLOOKUP(B456,'03. THIẾT BỊ'!$B$1:$S$836,8,0),"")</f>
        <v>23/04/2024</v>
      </c>
      <c r="J456" s="25"/>
      <c r="K456" s="19" t="str">
        <f>IFERROR(VLOOKUP(B456,'03. THIẾT BỊ'!$B$1:$S$836,10,0),"")</f>
        <v>Bình thường</v>
      </c>
      <c r="L456" s="25">
        <f>IFERROR(VLOOKUP(B456,'03. THIẾT BỊ'!$B$1:$S$836,11,0),"")</f>
        <v>0</v>
      </c>
      <c r="M456" s="24">
        <f>IFERROR(VLOOKUP(B456,'03. THIẾT BỊ'!$B$1:$S$836,12,0),"")</f>
        <v>0</v>
      </c>
      <c r="N456" s="25" t="str">
        <f>IFERROR(VLOOKUP(B456,'03. THIẾT BỊ'!$B$1:$S$836,13,0),"")</f>
        <v>THACO AGRI</v>
      </c>
      <c r="O456" s="24">
        <f>IFERROR(VLOOKUP(B456,'03. THIẾT BỊ'!$B$1:$S$836,14,0),"")</f>
        <v>0</v>
      </c>
      <c r="P456" s="25" t="str">
        <f>IFERROR(VLOOKUP(B456,'03. THIẾT BỊ'!$B$1:$S$836,15,0),"")</f>
        <v>CK-CGH</v>
      </c>
      <c r="Q456" s="23">
        <f>IFERROR(VLOOKUP(B456,'03. THIẾT BỊ'!$B$1:$S$836,16,0),"")</f>
        <v>0</v>
      </c>
      <c r="R456" s="25" t="str">
        <f>IFERROR(VLOOKUP(B456,'03. THIẾT BỊ'!$B$1:$S$836,17,0),"")</f>
        <v>DxRxC: 6.1x2.4x0.9m</v>
      </c>
      <c r="S456" s="25">
        <f>IFERROR(VLOOKUP(B456,'03. THIẾT BỊ'!$B$1:$S$836,18,0),"")</f>
        <v>0</v>
      </c>
      <c r="T456" s="41"/>
    </row>
    <row r="457" customHeight="1" spans="1:20">
      <c r="A457" s="19">
        <f t="shared" si="22"/>
        <v>6</v>
      </c>
      <c r="B457" s="20" t="s">
        <v>3950</v>
      </c>
      <c r="C457" s="613" t="str">
        <f>IFERROR(VLOOKUP(B457,'03. THIẾT BỊ'!$B$1:$S$836,2,0),"")</f>
        <v>XDP-RMC-002</v>
      </c>
      <c r="D457" s="24" t="str">
        <f>IFERROR(VLOOKUP(B457,'03. THIẾT BỊ'!$B$1:$S$836,3,0),"")</f>
        <v>A23-RMĐ-001</v>
      </c>
      <c r="E457" s="20" t="str">
        <f>IFERROR(VLOOKUP(B457,'03. THIẾT BỊ'!$B$1:$S$836,4,0),"")</f>
        <v>ĐQSD</v>
      </c>
      <c r="F457" s="20" t="str">
        <f>IFERROR(VLOOKUP(B457,'03. THIẾT BỊ'!$B$1:$S$836,5,0),"")</f>
        <v>Rơ mooc vận chuyển M.đào 03</v>
      </c>
      <c r="G457" s="101" t="s">
        <v>6468</v>
      </c>
      <c r="H457" s="19" t="str">
        <f>IFERROR(VLOOKUP(B457,'03. THIẾT BỊ'!$B$1:$S$836,7,0),"")</f>
        <v>CGLĐ DP</v>
      </c>
      <c r="I457" s="610">
        <f>IFERROR(VLOOKUP(B457,'03. THIẾT BỊ'!$B$1:$S$836,8,0),"")</f>
        <v>0</v>
      </c>
      <c r="J457" s="25"/>
      <c r="K457" s="19" t="str">
        <f>IFERROR(VLOOKUP(B457,'03. THIẾT BỊ'!$B$1:$S$836,10,0),"")</f>
        <v>Bình thường</v>
      </c>
      <c r="L457" s="25">
        <f>IFERROR(VLOOKUP(B457,'03. THIẾT BỊ'!$B$1:$S$836,11,0),"")</f>
        <v>0</v>
      </c>
      <c r="M457" s="24">
        <f>IFERROR(VLOOKUP(B457,'03. THIẾT BỊ'!$B$1:$S$836,12,0),"")</f>
        <v>0</v>
      </c>
      <c r="N457" s="25" t="str">
        <f>IFERROR(VLOOKUP(B457,'03. THIẾT BỊ'!$B$1:$S$836,13,0),"")</f>
        <v>THACO AGRI</v>
      </c>
      <c r="O457" s="24">
        <f>IFERROR(VLOOKUP(B457,'03. THIẾT BỊ'!$B$1:$S$836,14,0),"")</f>
        <v>0</v>
      </c>
      <c r="P457" s="25">
        <f>IFERROR(VLOOKUP(B457,'03. THIẾT BỊ'!$B$1:$S$836,15,0),"")</f>
        <v>0</v>
      </c>
      <c r="Q457" s="23">
        <f>IFERROR(VLOOKUP(B457,'03. THIẾT BỊ'!$B$1:$S$836,16,0),"")</f>
        <v>0</v>
      </c>
      <c r="R457" s="25">
        <f>IFERROR(VLOOKUP(B457,'03. THIẾT BỊ'!$B$1:$S$836,17,0),"")</f>
        <v>0</v>
      </c>
      <c r="S457" s="25">
        <f>IFERROR(VLOOKUP(B457,'03. THIẾT BỊ'!$B$1:$S$836,18,0),"")</f>
        <v>0</v>
      </c>
      <c r="T457" s="41"/>
    </row>
    <row r="458" customHeight="1" spans="1:20">
      <c r="A458" s="19">
        <f t="shared" si="22"/>
        <v>7</v>
      </c>
      <c r="B458" s="20" t="s">
        <v>4606</v>
      </c>
      <c r="C458" s="613" t="str">
        <f>IFERROR(VLOOKUP(B458,'03. THIẾT BỊ'!$B$1:$S$836,2,0),"")</f>
        <v>CNN-RMĐ-001</v>
      </c>
      <c r="D458" s="24" t="str">
        <f>IFERROR(VLOOKUP(B458,'03. THIẾT BỊ'!$B$1:$S$836,3,0),"")</f>
        <v>A23-RMĐ-001</v>
      </c>
      <c r="E458" s="20" t="str">
        <f>IFERROR(VLOOKUP(B458,'03. THIẾT BỊ'!$B$1:$S$836,4,0),"")</f>
        <v>ĐQSD</v>
      </c>
      <c r="F458" s="20" t="str">
        <f>IFERROR(VLOOKUP(B458,'03. THIẾT BỊ'!$B$1:$S$836,5,0),"")</f>
        <v>Rơ mooc vận chuyển M.đào 03</v>
      </c>
      <c r="G458" s="101" t="s">
        <v>6468</v>
      </c>
      <c r="H458" s="19" t="str">
        <f>IFERROR(VLOOKUP(B458,'03. THIẾT BỊ'!$B$1:$S$836,7,0),"")</f>
        <v>XN Chuối DP3</v>
      </c>
      <c r="I458" s="610">
        <f>IFERROR(VLOOKUP(B458,'03. THIẾT BỊ'!$B$1:$S$836,8,0),"")</f>
        <v>0</v>
      </c>
      <c r="J458" s="25"/>
      <c r="K458" s="19" t="str">
        <f>IFERROR(VLOOKUP(B458,'03. THIẾT BỊ'!$B$1:$S$836,10,0),"")</f>
        <v>Bình thường</v>
      </c>
      <c r="L458" s="25">
        <f>IFERROR(VLOOKUP(B458,'03. THIẾT BỊ'!$B$1:$S$836,11,0),"")</f>
        <v>0</v>
      </c>
      <c r="M458" s="24">
        <f>IFERROR(VLOOKUP(B458,'03. THIẾT BỊ'!$B$1:$S$836,12,0),"")</f>
        <v>0</v>
      </c>
      <c r="N458" s="25" t="str">
        <f>IFERROR(VLOOKUP(B458,'03. THIẾT BỊ'!$B$1:$S$836,13,0),"")</f>
        <v>THACO AGRI</v>
      </c>
      <c r="O458" s="24">
        <f>IFERROR(VLOOKUP(B458,'03. THIẾT BỊ'!$B$1:$S$836,14,0),"")</f>
        <v>0</v>
      </c>
      <c r="P458" s="25" t="str">
        <f>IFERROR(VLOOKUP(B458,'03. THIẾT BỊ'!$B$1:$S$836,15,0),"")</f>
        <v>CK-CGH</v>
      </c>
      <c r="Q458" s="23">
        <f>IFERROR(VLOOKUP(B458,'03. THIẾT BỊ'!$B$1:$S$836,16,0),"")</f>
        <v>0</v>
      </c>
      <c r="R458" s="25" t="str">
        <f>IFERROR(VLOOKUP(B458,'03. THIẾT BỊ'!$B$1:$S$836,17,0),"")</f>
        <v>DxRxC: 6.1x2.4x0.9m</v>
      </c>
      <c r="S458" s="25">
        <f>IFERROR(VLOOKUP(B458,'03. THIẾT BỊ'!$B$1:$S$836,18,0),"")</f>
        <v>0</v>
      </c>
      <c r="T458" s="615"/>
    </row>
    <row r="459" customHeight="1" spans="1:20">
      <c r="A459" s="19">
        <f t="shared" si="22"/>
        <v>8</v>
      </c>
      <c r="B459" s="20" t="s">
        <v>4882</v>
      </c>
      <c r="C459" s="613" t="str">
        <f>IFERROR(VLOOKUP(B459,'03. THIẾT BỊ'!$B$1:$S$836,2,0),"")</f>
        <v>LP3-RMC-005</v>
      </c>
      <c r="D459" s="24" t="str">
        <f>IFERROR(VLOOKUP(B459,'03. THIẾT BỊ'!$B$1:$S$836,3,0),"")</f>
        <v>A24-RMĐ-001</v>
      </c>
      <c r="E459" s="20" t="str">
        <f>IFERROR(VLOOKUP(B459,'03. THIẾT BỊ'!$B$1:$S$836,4,0),"")</f>
        <v>ĐQSD</v>
      </c>
      <c r="F459" s="20" t="str">
        <f>IFERROR(VLOOKUP(B459,'03. THIẾT BỊ'!$B$1:$S$836,5,0),"")</f>
        <v>Rơ mooc vận chuyển M.Đào 03</v>
      </c>
      <c r="G459" s="101" t="s">
        <v>6468</v>
      </c>
      <c r="H459" s="19" t="str">
        <f>IFERROR(VLOOKUP(B459,'03. THIẾT BỊ'!$B$1:$S$836,7,0),"")</f>
        <v>XN Chuối LP3</v>
      </c>
      <c r="I459" s="610">
        <f>IFERROR(VLOOKUP(B459,'03. THIẾT BỊ'!$B$1:$S$836,8,0),"")</f>
        <v>0</v>
      </c>
      <c r="J459" s="25"/>
      <c r="K459" s="19" t="str">
        <f>IFERROR(VLOOKUP(B459,'03. THIẾT BỊ'!$B$1:$S$836,10,0),"")</f>
        <v>Bình thường</v>
      </c>
      <c r="L459" s="25">
        <f>IFERROR(VLOOKUP(B459,'03. THIẾT BỊ'!$B$1:$S$836,11,0),"")</f>
        <v>0</v>
      </c>
      <c r="M459" s="24">
        <f>IFERROR(VLOOKUP(B459,'03. THIẾT BỊ'!$B$1:$S$836,12,0),"")</f>
        <v>0</v>
      </c>
      <c r="N459" s="25" t="str">
        <f>IFERROR(VLOOKUP(B459,'03. THIẾT BỊ'!$B$1:$S$836,13,0),"")</f>
        <v>THACO AGRI</v>
      </c>
      <c r="O459" s="24">
        <f>IFERROR(VLOOKUP(B459,'03. THIẾT BỊ'!$B$1:$S$836,14,0),"")</f>
        <v>0</v>
      </c>
      <c r="P459" s="25" t="str">
        <f>IFERROR(VLOOKUP(B459,'03. THIẾT BỊ'!$B$1:$S$836,15,0),"")</f>
        <v>CK-CGH</v>
      </c>
      <c r="Q459" s="23">
        <f>IFERROR(VLOOKUP(B459,'03. THIẾT BỊ'!$B$1:$S$836,16,0),"")</f>
        <v>0</v>
      </c>
      <c r="R459" s="25">
        <f>IFERROR(VLOOKUP(B459,'03. THIẾT BỊ'!$B$1:$S$836,17,0),"")</f>
        <v>0</v>
      </c>
      <c r="S459" s="25">
        <f>IFERROR(VLOOKUP(B459,'03. THIẾT BỊ'!$B$1:$S$836,18,0),"")</f>
        <v>0</v>
      </c>
      <c r="T459" s="41"/>
    </row>
    <row r="460" customHeight="1" spans="1:20">
      <c r="A460" s="19">
        <f t="shared" si="22"/>
        <v>9</v>
      </c>
      <c r="B460" s="20" t="s">
        <v>4743</v>
      </c>
      <c r="C460" s="613" t="str">
        <f>IFERROR(VLOOKUP(B460,'03. THIẾT BỊ'!$B$1:$S$836,2,0),"")</f>
        <v>LP4-RMC-003</v>
      </c>
      <c r="D460" s="24" t="str">
        <f>IFERROR(VLOOKUP(B460,'03. THIẾT BỊ'!$B$1:$S$836,3,0),"")</f>
        <v>A24-RMĐ-001</v>
      </c>
      <c r="E460" s="20" t="str">
        <f>IFERROR(VLOOKUP(B460,'03. THIẾT BỊ'!$B$1:$S$836,4,0),"")</f>
        <v>ĐQSD</v>
      </c>
      <c r="F460" s="20" t="str">
        <f>IFERROR(VLOOKUP(B460,'03. THIẾT BỊ'!$B$1:$S$836,5,0),"")</f>
        <v>Rơ mooc vận chuyển M.đào 03</v>
      </c>
      <c r="G460" s="101" t="s">
        <v>6468</v>
      </c>
      <c r="H460" s="19" t="str">
        <f>IFERROR(VLOOKUP(B460,'03. THIẾT BỊ'!$B$1:$S$836,7,0),"")</f>
        <v>XN Chuối LP1</v>
      </c>
      <c r="I460" s="610" t="str">
        <f>IFERROR(VLOOKUP(B460,'03. THIẾT BỊ'!$B$1:$S$836,8,0),"")</f>
        <v>28/06/2025</v>
      </c>
      <c r="J460" s="25"/>
      <c r="K460" s="19" t="str">
        <f>IFERROR(VLOOKUP(B460,'03. THIẾT BỊ'!$B$1:$S$836,10,0),"")</f>
        <v>Bình thường</v>
      </c>
      <c r="L460" s="25" t="str">
        <f>IFERROR(VLOOKUP(B460,'03. THIẾT BỊ'!$B$1:$S$836,11,0),"")</f>
        <v>Đ.chuyển từ XN LP4 ngày 28/06/2024</v>
      </c>
      <c r="M460" s="24">
        <f>IFERROR(VLOOKUP(B460,'03. THIẾT BỊ'!$B$1:$S$836,12,0),"")</f>
        <v>0</v>
      </c>
      <c r="N460" s="25" t="str">
        <f>IFERROR(VLOOKUP(B460,'03. THIẾT BỊ'!$B$1:$S$836,13,0),"")</f>
        <v>THACO AGRI</v>
      </c>
      <c r="O460" s="24">
        <f>IFERROR(VLOOKUP(B460,'03. THIẾT BỊ'!$B$1:$S$836,14,0),"")</f>
        <v>0</v>
      </c>
      <c r="P460" s="25" t="str">
        <f>IFERROR(VLOOKUP(B460,'03. THIẾT BỊ'!$B$1:$S$836,15,0),"")</f>
        <v>CK-CGH</v>
      </c>
      <c r="Q460" s="23">
        <f>IFERROR(VLOOKUP(B460,'03. THIẾT BỊ'!$B$1:$S$836,16,0),"")</f>
        <v>0</v>
      </c>
      <c r="R460" s="25">
        <f>IFERROR(VLOOKUP(B460,'03. THIẾT BỊ'!$B$1:$S$836,17,0),"")</f>
        <v>0</v>
      </c>
      <c r="S460" s="25">
        <f>IFERROR(VLOOKUP(B460,'03. THIẾT BỊ'!$B$1:$S$836,18,0),"")</f>
        <v>0</v>
      </c>
      <c r="T460" s="41"/>
    </row>
    <row r="461" customHeight="1" spans="1:20">
      <c r="A461" s="19">
        <f t="shared" si="22"/>
        <v>10</v>
      </c>
      <c r="B461" s="20" t="s">
        <v>5356</v>
      </c>
      <c r="C461" s="613">
        <f>IFERROR(VLOOKUP(B461,'03. THIẾT BỊ'!$B$1:$S$836,2,0),"")</f>
        <v>0</v>
      </c>
      <c r="D461" s="24" t="str">
        <f>IFERROR(VLOOKUP(B461,'03. THIẾT BỊ'!$B$1:$S$836,3,0),"")</f>
        <v>A22-RMD-001</v>
      </c>
      <c r="E461" s="20" t="str">
        <f>IFERROR(VLOOKUP(B461,'03. THIẾT BỊ'!$B$1:$S$836,4,0),"")</f>
        <v>ĐQSD</v>
      </c>
      <c r="F461" s="20" t="str">
        <f>IFERROR(VLOOKUP(B461,'03. THIẾT BỊ'!$B$1:$S$836,5,0),"")</f>
        <v>Rơ mooc vận chuyển M.đào 03</v>
      </c>
      <c r="G461" s="101" t="s">
        <v>6468</v>
      </c>
      <c r="H461" s="19" t="str">
        <f>IFERROR(VLOOKUP(B461,'03. THIẾT BỊ'!$B$1:$S$836,7,0),"")</f>
        <v>XN Bò AD</v>
      </c>
      <c r="I461" s="610">
        <f>IFERROR(VLOOKUP(B461,'03. THIẾT BỊ'!$B$1:$S$836,8,0),"")</f>
        <v>0</v>
      </c>
      <c r="J461" s="25"/>
      <c r="K461" s="19" t="str">
        <f>IFERROR(VLOOKUP(B461,'03. THIẾT BỊ'!$B$1:$S$836,10,0),"")</f>
        <v>Bình thường</v>
      </c>
      <c r="L461" s="25">
        <f>IFERROR(VLOOKUP(B461,'03. THIẾT BỊ'!$B$1:$S$836,11,0),"")</f>
        <v>0</v>
      </c>
      <c r="M461" s="24">
        <f>IFERROR(VLOOKUP(B461,'03. THIẾT BỊ'!$B$1:$S$836,12,0),"")</f>
        <v>0</v>
      </c>
      <c r="N461" s="25" t="str">
        <f>IFERROR(VLOOKUP(B461,'03. THIẾT BỊ'!$B$1:$S$836,13,0),"")</f>
        <v>THACO AGRI</v>
      </c>
      <c r="O461" s="24" t="str">
        <f>IFERROR(VLOOKUP(B461,'03. THIẾT BỊ'!$B$1:$S$836,14,0),"")</f>
        <v>RM lưới ben</v>
      </c>
      <c r="P461" s="25" t="str">
        <f>IFERROR(VLOOKUP(B461,'03. THIẾT BỊ'!$B$1:$S$836,15,0),"")</f>
        <v>CK-CGH</v>
      </c>
      <c r="Q461" s="23">
        <f>IFERROR(VLOOKUP(B461,'03. THIẾT BỊ'!$B$1:$S$836,16,0),"")</f>
        <v>0</v>
      </c>
      <c r="R461" s="25">
        <f>IFERROR(VLOOKUP(B461,'03. THIẾT BỊ'!$B$1:$S$836,17,0),"")</f>
        <v>0</v>
      </c>
      <c r="S461" s="25">
        <f>IFERROR(VLOOKUP(B461,'03. THIẾT BỊ'!$B$1:$S$836,18,0),"")</f>
        <v>0</v>
      </c>
      <c r="T461" s="41"/>
    </row>
    <row r="462" customHeight="1" spans="1:20">
      <c r="A462" s="19">
        <f t="shared" si="22"/>
        <v>11</v>
      </c>
      <c r="B462" s="20" t="s">
        <v>4417</v>
      </c>
      <c r="C462" s="613">
        <f>IFERROR(VLOOKUP(B462,'03. THIẾT BỊ'!$B$1:$S$836,2,0),"")</f>
        <v>0</v>
      </c>
      <c r="D462" s="24" t="str">
        <f>IFERROR(VLOOKUP(B462,'03. THIẾT BỊ'!$B$1:$S$836,3,0),"")</f>
        <v>A23-RMĐ-001</v>
      </c>
      <c r="E462" s="20" t="str">
        <f>IFERROR(VLOOKUP(B462,'03. THIẾT BỊ'!$B$1:$S$836,4,0),"")</f>
        <v>ĐQSD</v>
      </c>
      <c r="F462" s="20" t="str">
        <f>IFERROR(VLOOKUP(B462,'03. THIẾT BỊ'!$B$1:$S$836,5,0),"")</f>
        <v>Rơ mooc vận chuyển M.đào 03</v>
      </c>
      <c r="G462" s="101" t="s">
        <v>6468</v>
      </c>
      <c r="H462" s="19" t="str">
        <f>IFERROR(VLOOKUP(B462,'03. THIẾT BỊ'!$B$1:$S$836,7,0),"")</f>
        <v>XN Chuối DP2</v>
      </c>
      <c r="I462" s="610">
        <f>IFERROR(VLOOKUP(B462,'03. THIẾT BỊ'!$B$1:$S$836,8,0),"")</f>
        <v>0</v>
      </c>
      <c r="J462" s="25"/>
      <c r="K462" s="19" t="str">
        <f>IFERROR(VLOOKUP(B462,'03. THIẾT BỊ'!$B$1:$S$836,10,0),"")</f>
        <v>Bình thường</v>
      </c>
      <c r="L462" s="25">
        <f>IFERROR(VLOOKUP(B462,'03. THIẾT BỊ'!$B$1:$S$836,11,0),"")</f>
        <v>0</v>
      </c>
      <c r="M462" s="24">
        <f>IFERROR(VLOOKUP(B462,'03. THIẾT BỊ'!$B$1:$S$836,12,0),"")</f>
        <v>0</v>
      </c>
      <c r="N462" s="25" t="str">
        <f>IFERROR(VLOOKUP(B462,'03. THIẾT BỊ'!$B$1:$S$836,13,0),"")</f>
        <v>THACO AGRI</v>
      </c>
      <c r="O462" s="24">
        <f>IFERROR(VLOOKUP(B462,'03. THIẾT BỊ'!$B$1:$S$836,14,0),"")</f>
        <v>0</v>
      </c>
      <c r="P462" s="25" t="str">
        <f>IFERROR(VLOOKUP(B462,'03. THIẾT BỊ'!$B$1:$S$836,15,0),"")</f>
        <v>CK-CGH</v>
      </c>
      <c r="Q462" s="23">
        <f>IFERROR(VLOOKUP(B462,'03. THIẾT BỊ'!$B$1:$S$836,16,0),"")</f>
        <v>0</v>
      </c>
      <c r="R462" s="25">
        <f>IFERROR(VLOOKUP(B462,'03. THIẾT BỊ'!$B$1:$S$836,17,0),"")</f>
        <v>0</v>
      </c>
      <c r="S462" s="25">
        <f>IFERROR(VLOOKUP(B462,'03. THIẾT BỊ'!$B$1:$S$836,18,0),"")</f>
        <v>0</v>
      </c>
      <c r="T462" s="622"/>
    </row>
    <row r="463" customHeight="1" spans="1:20">
      <c r="A463" s="19">
        <f t="shared" si="22"/>
        <v>12</v>
      </c>
      <c r="B463" s="20" t="s">
        <v>4738</v>
      </c>
      <c r="C463" s="613" t="str">
        <f>IFERROR(VLOOKUP(B463,'03. THIẾT BỊ'!$B$1:$S$836,2,0),"")</f>
        <v>XA2-RMX-001</v>
      </c>
      <c r="D463" s="24" t="str">
        <f>IFERROR(VLOOKUP(B463,'03. THIẾT BỊ'!$B$1:$S$836,3,0),"")</f>
        <v>A22-RMX-001</v>
      </c>
      <c r="E463" s="20" t="str">
        <f>IFERROR(VLOOKUP(B463,'03. THIẾT BỊ'!$B$1:$S$836,4,0),"")</f>
        <v>ĐQSD</v>
      </c>
      <c r="F463" s="20" t="str">
        <f>IFERROR(VLOOKUP(B463,'03. THIẾT BỊ'!$B$1:$S$836,5,0),"")</f>
        <v>Rơ mooc chở xốp</v>
      </c>
      <c r="G463" s="101" t="s">
        <v>6468</v>
      </c>
      <c r="H463" s="19" t="str">
        <f>IFERROR(VLOOKUP(B463,'03. THIẾT BỊ'!$B$1:$S$836,7,0),"")</f>
        <v>XN Chuối LP1</v>
      </c>
      <c r="I463" s="610" t="str">
        <f>IFERROR(VLOOKUP(B463,'03. THIẾT BỊ'!$B$1:$S$836,8,0),"")</f>
        <v>22/02/2025</v>
      </c>
      <c r="J463" s="25"/>
      <c r="K463" s="19" t="str">
        <f>IFERROR(VLOOKUP(B463,'03. THIẾT BỊ'!$B$1:$S$836,10,0),"")</f>
        <v>Bình thường</v>
      </c>
      <c r="L463" s="25" t="str">
        <f>IFERROR(VLOOKUP(B463,'03. THIẾT BỊ'!$B$1:$S$836,11,0),"")</f>
        <v>Đ.chuyển từ XN AD ngày 22/02/2025</v>
      </c>
      <c r="M463" s="24">
        <f>IFERROR(VLOOKUP(B463,'03. THIẾT BỊ'!$B$1:$S$836,12,0),"")</f>
        <v>0</v>
      </c>
      <c r="N463" s="25" t="str">
        <f>IFERROR(VLOOKUP(B463,'03. THIẾT BỊ'!$B$1:$S$836,13,0),"")</f>
        <v>THACO AGRI</v>
      </c>
      <c r="O463" s="24">
        <f>IFERROR(VLOOKUP(B463,'03. THIẾT BỊ'!$B$1:$S$836,14,0),"")</f>
        <v>0</v>
      </c>
      <c r="P463" s="25" t="str">
        <f>IFERROR(VLOOKUP(B463,'03. THIẾT BỊ'!$B$1:$S$836,15,0),"")</f>
        <v>CK-CGH</v>
      </c>
      <c r="Q463" s="23">
        <f>IFERROR(VLOOKUP(B463,'03. THIẾT BỊ'!$B$1:$S$836,16,0),"")</f>
        <v>0</v>
      </c>
      <c r="R463" s="25">
        <f>IFERROR(VLOOKUP(B463,'03. THIẾT BỊ'!$B$1:$S$836,17,0),"")</f>
        <v>0</v>
      </c>
      <c r="S463" s="25">
        <f>IFERROR(VLOOKUP(B463,'03. THIẾT BỊ'!$B$1:$S$836,18,0),"")</f>
        <v>0</v>
      </c>
      <c r="T463" s="41"/>
    </row>
    <row r="464" customHeight="1" spans="1:20">
      <c r="A464" s="19">
        <f t="shared" si="22"/>
        <v>13</v>
      </c>
      <c r="B464" s="20" t="s">
        <v>5127</v>
      </c>
      <c r="C464" s="613" t="str">
        <f>IFERROR(VLOOKUP(B464,'03. THIẾT BỊ'!$B$1:$S$836,2,0),"")</f>
        <v>RMC02</v>
      </c>
      <c r="D464" s="24" t="str">
        <f>IFERROR(VLOOKUP(B464,'03. THIẾT BỊ'!$B$1:$S$836,3,0),"")</f>
        <v>A22-RNB-001</v>
      </c>
      <c r="E464" s="20" t="str">
        <f>IFERROR(VLOOKUP(B464,'03. THIẾT BỊ'!$B$1:$S$836,4,0),"")</f>
        <v>ĐQSD</v>
      </c>
      <c r="F464" s="20" t="str">
        <f>IFERROR(VLOOKUP(B464,'03. THIẾT BỊ'!$B$1:$S$836,5,0),"")</f>
        <v>Rơ mooc chở bồn phun thuốc</v>
      </c>
      <c r="G464" s="101" t="s">
        <v>6468</v>
      </c>
      <c r="H464" s="19" t="str">
        <f>IFERROR(VLOOKUP(B464,'03. THIẾT BỊ'!$B$1:$S$836,7,0),"")</f>
        <v>Xoài AD</v>
      </c>
      <c r="I464" s="610">
        <f>IFERROR(VLOOKUP(B464,'03. THIẾT BỊ'!$B$1:$S$836,8,0),"")</f>
        <v>0</v>
      </c>
      <c r="J464" s="25"/>
      <c r="K464" s="19" t="str">
        <f>IFERROR(VLOOKUP(B464,'03. THIẾT BỊ'!$B$1:$S$836,10,0),"")</f>
        <v>Bình thường</v>
      </c>
      <c r="L464" s="25">
        <f>IFERROR(VLOOKUP(B464,'03. THIẾT BỊ'!$B$1:$S$836,11,0),"")</f>
        <v>0</v>
      </c>
      <c r="M464" s="24">
        <f>IFERROR(VLOOKUP(B464,'03. THIẾT BỊ'!$B$1:$S$836,12,0),"")</f>
        <v>0</v>
      </c>
      <c r="N464" s="25" t="str">
        <f>IFERROR(VLOOKUP(B464,'03. THIẾT BỊ'!$B$1:$S$836,13,0),"")</f>
        <v>THACO AGRI</v>
      </c>
      <c r="O464" s="24">
        <f>IFERROR(VLOOKUP(B464,'03. THIẾT BỊ'!$B$1:$S$836,14,0),"")</f>
        <v>0</v>
      </c>
      <c r="P464" s="25" t="str">
        <f>IFERROR(VLOOKUP(B464,'03. THIẾT BỊ'!$B$1:$S$836,15,0),"")</f>
        <v>CK-CGH</v>
      </c>
      <c r="Q464" s="23">
        <f>IFERROR(VLOOKUP(B464,'03. THIẾT BỊ'!$B$1:$S$836,16,0),"")</f>
        <v>0</v>
      </c>
      <c r="R464" s="25">
        <f>IFERROR(VLOOKUP(B464,'03. THIẾT BỊ'!$B$1:$S$836,17,0),"")</f>
        <v>0</v>
      </c>
      <c r="S464" s="25">
        <f>IFERROR(VLOOKUP(B464,'03. THIẾT BỊ'!$B$1:$S$836,18,0),"")</f>
        <v>0</v>
      </c>
      <c r="T464" s="615"/>
    </row>
    <row r="465" customHeight="1" spans="1:20">
      <c r="A465" s="19">
        <f t="shared" si="22"/>
        <v>14</v>
      </c>
      <c r="B465" s="20" t="s">
        <v>5130</v>
      </c>
      <c r="C465" s="613" t="str">
        <f>IFERROR(VLOOKUP(B465,'03. THIẾT BỊ'!$B$1:$S$836,2,0),"")</f>
        <v>RMC03</v>
      </c>
      <c r="D465" s="24" t="str">
        <f>IFERROR(VLOOKUP(B465,'03. THIẾT BỊ'!$B$1:$S$836,3,0),"")</f>
        <v>A22-RNB-002</v>
      </c>
      <c r="E465" s="20" t="str">
        <f>IFERROR(VLOOKUP(B465,'03. THIẾT BỊ'!$B$1:$S$836,4,0),"")</f>
        <v>ĐQSD</v>
      </c>
      <c r="F465" s="20" t="str">
        <f>IFERROR(VLOOKUP(B465,'03. THIẾT BỊ'!$B$1:$S$836,5,0),"")</f>
        <v>Rơ mooc chở bồn phun thuốc</v>
      </c>
      <c r="G465" s="101" t="s">
        <v>6468</v>
      </c>
      <c r="H465" s="19" t="str">
        <f>IFERROR(VLOOKUP(B465,'03. THIẾT BỊ'!$B$1:$S$836,7,0),"")</f>
        <v>Xoài AD</v>
      </c>
      <c r="I465" s="610">
        <f>IFERROR(VLOOKUP(B465,'03. THIẾT BỊ'!$B$1:$S$836,8,0),"")</f>
        <v>0</v>
      </c>
      <c r="J465" s="25"/>
      <c r="K465" s="19" t="str">
        <f>IFERROR(VLOOKUP(B465,'03. THIẾT BỊ'!$B$1:$S$836,10,0),"")</f>
        <v>Bình thường</v>
      </c>
      <c r="L465" s="25">
        <f>IFERROR(VLOOKUP(B465,'03. THIẾT BỊ'!$B$1:$S$836,11,0),"")</f>
        <v>0</v>
      </c>
      <c r="M465" s="24">
        <f>IFERROR(VLOOKUP(B465,'03. THIẾT BỊ'!$B$1:$S$836,12,0),"")</f>
        <v>0</v>
      </c>
      <c r="N465" s="25" t="str">
        <f>IFERROR(VLOOKUP(B465,'03. THIẾT BỊ'!$B$1:$S$836,13,0),"")</f>
        <v>THACO AGRI</v>
      </c>
      <c r="O465" s="24">
        <f>IFERROR(VLOOKUP(B465,'03. THIẾT BỊ'!$B$1:$S$836,14,0),"")</f>
        <v>0</v>
      </c>
      <c r="P465" s="25" t="str">
        <f>IFERROR(VLOOKUP(B465,'03. THIẾT BỊ'!$B$1:$S$836,15,0),"")</f>
        <v>CK-CGH</v>
      </c>
      <c r="Q465" s="23">
        <f>IFERROR(VLOOKUP(B465,'03. THIẾT BỊ'!$B$1:$S$836,16,0),"")</f>
        <v>0</v>
      </c>
      <c r="R465" s="25">
        <f>IFERROR(VLOOKUP(B465,'03. THIẾT BỊ'!$B$1:$S$836,17,0),"")</f>
        <v>0</v>
      </c>
      <c r="S465" s="25">
        <f>IFERROR(VLOOKUP(B465,'03. THIẾT BỊ'!$B$1:$S$836,18,0),"")</f>
        <v>0</v>
      </c>
      <c r="T465" s="615"/>
    </row>
    <row r="466" customHeight="1" spans="1:20">
      <c r="A466" s="19">
        <f t="shared" si="22"/>
        <v>15</v>
      </c>
      <c r="B466" s="20" t="s">
        <v>5133</v>
      </c>
      <c r="C466" s="613">
        <f>IFERROR(VLOOKUP(B466,'03. THIẾT BỊ'!$B$1:$S$836,2,0),"")</f>
        <v>0</v>
      </c>
      <c r="D466" s="24" t="str">
        <f>IFERROR(VLOOKUP(B466,'03. THIẾT BỊ'!$B$1:$S$836,3,0),"")</f>
        <v>A22-RNB-003</v>
      </c>
      <c r="E466" s="20" t="str">
        <f>IFERROR(VLOOKUP(B466,'03. THIẾT BỊ'!$B$1:$S$836,4,0),"")</f>
        <v>ĐQSD</v>
      </c>
      <c r="F466" s="20" t="str">
        <f>IFERROR(VLOOKUP(B466,'03. THIẾT BỊ'!$B$1:$S$836,5,0),"")</f>
        <v>Rơ mooc chở bồn phun thuốc</v>
      </c>
      <c r="G466" s="101" t="s">
        <v>6468</v>
      </c>
      <c r="H466" s="19" t="str">
        <f>IFERROR(VLOOKUP(B466,'03. THIẾT BỊ'!$B$1:$S$836,7,0),"")</f>
        <v>Xoài AD</v>
      </c>
      <c r="I466" s="610">
        <f>IFERROR(VLOOKUP(B466,'03. THIẾT BỊ'!$B$1:$S$836,8,0),"")</f>
        <v>45636</v>
      </c>
      <c r="J466" s="25"/>
      <c r="K466" s="19" t="str">
        <f>IFERROR(VLOOKUP(B466,'03. THIẾT BỊ'!$B$1:$S$836,10,0),"")</f>
        <v>Bình thường</v>
      </c>
      <c r="L466" s="25">
        <f>IFERROR(VLOOKUP(B466,'03. THIẾT BỊ'!$B$1:$S$836,11,0),"")</f>
        <v>0</v>
      </c>
      <c r="M466" s="24">
        <f>IFERROR(VLOOKUP(B466,'03. THIẾT BỊ'!$B$1:$S$836,12,0),"")</f>
        <v>0</v>
      </c>
      <c r="N466" s="25" t="str">
        <f>IFERROR(VLOOKUP(B466,'03. THIẾT BỊ'!$B$1:$S$836,13,0),"")</f>
        <v>THACO AGRI</v>
      </c>
      <c r="O466" s="24">
        <f>IFERROR(VLOOKUP(B466,'03. THIẾT BỊ'!$B$1:$S$836,14,0),"")</f>
        <v>0</v>
      </c>
      <c r="P466" s="25" t="str">
        <f>IFERROR(VLOOKUP(B466,'03. THIẾT BỊ'!$B$1:$S$836,15,0),"")</f>
        <v>CK-CGH</v>
      </c>
      <c r="Q466" s="23">
        <f>IFERROR(VLOOKUP(B466,'03. THIẾT BỊ'!$B$1:$S$836,16,0),"")</f>
        <v>2024</v>
      </c>
      <c r="R466" s="25" t="str">
        <f>IFERROR(VLOOKUP(B466,'03. THIẾT BỊ'!$B$1:$S$836,17,0),"")</f>
        <v>3x2.1x2.1m</v>
      </c>
      <c r="S466" s="25" t="str">
        <f>IFERROR(VLOOKUP(B466,'03. THIẾT BỊ'!$B$1:$S$836,18,0),"")</f>
        <v>Kèm bồn 2000L</v>
      </c>
      <c r="T466" s="615"/>
    </row>
    <row r="467" customHeight="1" spans="1:20">
      <c r="A467" s="19">
        <f t="shared" si="22"/>
        <v>16</v>
      </c>
      <c r="B467" s="34" t="s">
        <v>5137</v>
      </c>
      <c r="C467" s="613">
        <f>IFERROR(VLOOKUP(B467,'03. THIẾT BỊ'!$B$1:$S$836,2,0),"")</f>
        <v>0</v>
      </c>
      <c r="D467" s="24" t="str">
        <f>IFERROR(VLOOKUP(B467,'03. THIẾT BỊ'!$B$1:$S$836,3,0),"")</f>
        <v>A22-RNB-004</v>
      </c>
      <c r="E467" s="20" t="str">
        <f>IFERROR(VLOOKUP(B467,'03. THIẾT BỊ'!$B$1:$S$836,4,0),"")</f>
        <v>ĐQSD</v>
      </c>
      <c r="F467" s="20" t="str">
        <f>IFERROR(VLOOKUP(B467,'03. THIẾT BỊ'!$B$1:$S$836,5,0),"")</f>
        <v>Rơ mooc chở bồn phun thuốc</v>
      </c>
      <c r="G467" s="101" t="s">
        <v>6468</v>
      </c>
      <c r="H467" s="19" t="str">
        <f>IFERROR(VLOOKUP(B467,'03. THIẾT BỊ'!$B$1:$S$836,7,0),"")</f>
        <v>Xoài AD</v>
      </c>
      <c r="I467" s="610" t="str">
        <f>IFERROR(VLOOKUP(B467,'03. THIẾT BỊ'!$B$1:$S$836,8,0),"")</f>
        <v>25/12/2024</v>
      </c>
      <c r="J467" s="25"/>
      <c r="K467" s="19" t="str">
        <f>IFERROR(VLOOKUP(B467,'03. THIẾT BỊ'!$B$1:$S$836,10,0),"")</f>
        <v>Bình thường</v>
      </c>
      <c r="L467" s="25">
        <f>IFERROR(VLOOKUP(B467,'03. THIẾT BỊ'!$B$1:$S$836,11,0),"")</f>
        <v>0</v>
      </c>
      <c r="M467" s="24">
        <f>IFERROR(VLOOKUP(B467,'03. THIẾT BỊ'!$B$1:$S$836,12,0),"")</f>
        <v>0</v>
      </c>
      <c r="N467" s="25" t="str">
        <f>IFERROR(VLOOKUP(B467,'03. THIẾT BỊ'!$B$1:$S$836,13,0),"")</f>
        <v>THACO AGRI</v>
      </c>
      <c r="O467" s="24">
        <f>IFERROR(VLOOKUP(B467,'03. THIẾT BỊ'!$B$1:$S$836,14,0),"")</f>
        <v>0</v>
      </c>
      <c r="P467" s="25" t="str">
        <f>IFERROR(VLOOKUP(B467,'03. THIẾT BỊ'!$B$1:$S$836,15,0),"")</f>
        <v>CK-CGH</v>
      </c>
      <c r="Q467" s="23">
        <f>IFERROR(VLOOKUP(B467,'03. THIẾT BỊ'!$B$1:$S$836,16,0),"")</f>
        <v>2024</v>
      </c>
      <c r="R467" s="25" t="str">
        <f>IFERROR(VLOOKUP(B467,'03. THIẾT BỊ'!$B$1:$S$836,17,0),"")</f>
        <v>3.2X2.2X2.3m</v>
      </c>
      <c r="S467" s="25">
        <f>IFERROR(VLOOKUP(B467,'03. THIẾT BỊ'!$B$1:$S$836,18,0),"")</f>
        <v>0</v>
      </c>
      <c r="T467" s="615"/>
    </row>
    <row r="468" customHeight="1" spans="1:20">
      <c r="A468" s="19">
        <f t="shared" si="22"/>
        <v>17</v>
      </c>
      <c r="B468" s="20" t="s">
        <v>5180</v>
      </c>
      <c r="C468" s="613">
        <f>IFERROR(VLOOKUP(B468,'03. THIẾT BỊ'!$B$1:$S$836,2,0),"")</f>
        <v>0</v>
      </c>
      <c r="D468" s="24" t="str">
        <f>IFERROR(VLOOKUP(B468,'03. THIẾT BỊ'!$B$1:$S$836,3,0),"")</f>
        <v>A22-CPP-001</v>
      </c>
      <c r="E468" s="20" t="str">
        <f>IFERROR(VLOOKUP(B468,'03. THIẾT BỊ'!$B$1:$S$836,4,0),"")</f>
        <v>ĐQSD</v>
      </c>
      <c r="F468" s="20" t="str">
        <f>IFERROR(VLOOKUP(B468,'03. THIẾT BỊ'!$B$1:$S$836,5,0),"")</f>
        <v>TB chở phụ phẩm</v>
      </c>
      <c r="G468" s="101" t="s">
        <v>6468</v>
      </c>
      <c r="H468" s="19" t="str">
        <f>IFERROR(VLOOKUP(B468,'03. THIẾT BỊ'!$B$1:$S$836,7,0),"")</f>
        <v>Xoài AD</v>
      </c>
      <c r="I468" s="610" t="str">
        <f>IFERROR(VLOOKUP(B468,'03. THIẾT BỊ'!$B$1:$S$836,8,0),"")</f>
        <v>25/09/2024</v>
      </c>
      <c r="J468" s="25"/>
      <c r="K468" s="19" t="str">
        <f>IFERROR(VLOOKUP(B468,'03. THIẾT BỊ'!$B$1:$S$836,10,0),"")</f>
        <v>Bình thường</v>
      </c>
      <c r="L468" s="25">
        <f>IFERROR(VLOOKUP(B468,'03. THIẾT BỊ'!$B$1:$S$836,11,0),"")</f>
        <v>0</v>
      </c>
      <c r="M468" s="24" t="str">
        <f>IFERROR(VLOOKUP(B468,'03. THIẾT BỊ'!$B$1:$S$836,12,0),"")</f>
        <v>Gia công mới</v>
      </c>
      <c r="N468" s="25" t="str">
        <f>IFERROR(VLOOKUP(B468,'03. THIẾT BỊ'!$B$1:$S$836,13,0),"")</f>
        <v>THACO AGRI</v>
      </c>
      <c r="O468" s="24" t="str">
        <f>IFERROR(VLOOKUP(B468,'03. THIẾT BỊ'!$B$1:$S$836,14,0),"")</f>
        <v>CGH</v>
      </c>
      <c r="P468" s="25" t="str">
        <f>IFERROR(VLOOKUP(B468,'03. THIẾT BỊ'!$B$1:$S$836,15,0),"")</f>
        <v>CK-CGH</v>
      </c>
      <c r="Q468" s="23">
        <f>IFERROR(VLOOKUP(B468,'03. THIẾT BỊ'!$B$1:$S$836,16,0),"")</f>
        <v>2024</v>
      </c>
      <c r="R468" s="25" t="str">
        <f>IFERROR(VLOOKUP(B468,'03. THIẾT BỊ'!$B$1:$S$836,17,0),"")</f>
        <v>2.3x0.65x1.05 (DxRxC)</v>
      </c>
      <c r="S468" s="25">
        <f>IFERROR(VLOOKUP(B468,'03. THIẾT BỊ'!$B$1:$S$836,18,0),"")</f>
        <v>0</v>
      </c>
      <c r="T468" s="615"/>
    </row>
    <row r="469" ht="13.8" spans="1:20">
      <c r="C469" s="613" t="str">
        <f>IFERROR(VLOOKUP(B469,'03. THIẾT BỊ'!$B$1:$S$836,2,0),"")</f>
        <v/>
      </c>
      <c r="D469" s="24" t="str">
        <f>IFERROR(VLOOKUP(B469,'03. THIẾT BỊ'!$B$1:$S$836,3,0),"")</f>
        <v/>
      </c>
      <c r="E469" s="20" t="str">
        <f>IFERROR(VLOOKUP(B469,'03. THIẾT BỊ'!$B$1:$S$836,4,0),"")</f>
        <v/>
      </c>
      <c r="F469" s="20" t="str">
        <f>IFERROR(VLOOKUP(B469,'03. THIẾT BỊ'!$B$1:$S$836,5,0),"")</f>
        <v/>
      </c>
      <c r="G469" s="101" t="s">
        <v>6468</v>
      </c>
      <c r="H469" s="19" t="str">
        <f>IFERROR(VLOOKUP(B469,'03. THIẾT BỊ'!$B$1:$S$836,7,0),"")</f>
        <v/>
      </c>
      <c r="I469" s="610" t="str">
        <f>IFERROR(VLOOKUP(B469,'03. THIẾT BỊ'!$B$1:$S$836,8,0),"")</f>
        <v/>
      </c>
      <c r="J469" s="25"/>
      <c r="K469" s="19" t="str">
        <f>IFERROR(VLOOKUP(B469,'03. THIẾT BỊ'!$B$1:$S$836,10,0),"")</f>
        <v/>
      </c>
      <c r="L469" s="25" t="str">
        <f>IFERROR(VLOOKUP(B469,'03. THIẾT BỊ'!$B$1:$S$836,11,0),"")</f>
        <v/>
      </c>
      <c r="M469" s="24" t="str">
        <f>IFERROR(VLOOKUP(B469,'03. THIẾT BỊ'!$B$1:$S$836,12,0),"")</f>
        <v/>
      </c>
      <c r="N469" s="25" t="str">
        <f>IFERROR(VLOOKUP(B469,'03. THIẾT BỊ'!$B$1:$S$836,13,0),"")</f>
        <v/>
      </c>
      <c r="O469" s="24" t="str">
        <f>IFERROR(VLOOKUP(B469,'03. THIẾT BỊ'!$B$1:$S$836,14,0),"")</f>
        <v/>
      </c>
      <c r="P469" s="25" t="str">
        <f>IFERROR(VLOOKUP(B469,'03. THIẾT BỊ'!$B$1:$S$836,15,0),"")</f>
        <v/>
      </c>
      <c r="Q469" s="23" t="str">
        <f>IFERROR(VLOOKUP(B469,'03. THIẾT BỊ'!$B$1:$S$836,16,0),"")</f>
        <v/>
      </c>
      <c r="R469" s="25" t="str">
        <f>IFERROR(VLOOKUP(B469,'03. THIẾT BỊ'!$B$1:$S$836,17,0),"")</f>
        <v/>
      </c>
      <c r="S469" s="25" t="str">
        <f>IFERROR(VLOOKUP(B469,'03. THIẾT BỊ'!$B$1:$S$836,18,0),"")</f>
        <v/>
      </c>
    </row>
    <row r="470" ht="13.8" hidden="1" spans="1:20">
      <c r="C470" s="613" t="str">
        <f>IFERROR(VLOOKUP(B470,'03. THIẾT BỊ'!$B$1:$S$836,2,0),"")</f>
        <v/>
      </c>
      <c r="D470" s="24" t="str">
        <f>IFERROR(VLOOKUP(B470,'03. THIẾT BỊ'!$B$1:$S$836,3,0),"")</f>
        <v/>
      </c>
      <c r="E470" s="20" t="str">
        <f>IFERROR(VLOOKUP(B470,'03. THIẾT BỊ'!$B$1:$S$836,4,0),"")</f>
        <v/>
      </c>
      <c r="F470" s="20" t="str">
        <f>IFERROR(VLOOKUP(B470,'03. THIẾT BỊ'!$B$1:$S$836,5,0),"")</f>
        <v/>
      </c>
      <c r="G470" s="101" t="s">
        <v>6468</v>
      </c>
      <c r="H470" s="19" t="str">
        <f>IFERROR(VLOOKUP(B470,'03. THIẾT BỊ'!$B$1:$S$836,7,0),"")</f>
        <v/>
      </c>
      <c r="I470" s="610" t="str">
        <f>IFERROR(VLOOKUP(B470,'03. THIẾT BỊ'!$B$1:$S$836,8,0),"")</f>
        <v/>
      </c>
      <c r="J470" s="25"/>
      <c r="K470" s="19" t="str">
        <f>IFERROR(VLOOKUP(B470,'03. THIẾT BỊ'!$B$1:$S$836,10,0),"")</f>
        <v/>
      </c>
      <c r="L470" s="25" t="str">
        <f>IFERROR(VLOOKUP(B470,'03. THIẾT BỊ'!$B$1:$S$836,11,0),"")</f>
        <v/>
      </c>
      <c r="M470" s="24" t="str">
        <f>IFERROR(VLOOKUP(B470,'03. THIẾT BỊ'!$B$1:$S$836,12,0),"")</f>
        <v/>
      </c>
      <c r="N470" s="25" t="str">
        <f>IFERROR(VLOOKUP(B470,'03. THIẾT BỊ'!$B$1:$S$836,13,0),"")</f>
        <v/>
      </c>
      <c r="O470" s="24" t="str">
        <f>IFERROR(VLOOKUP(B470,'03. THIẾT BỊ'!$B$1:$S$836,14,0),"")</f>
        <v/>
      </c>
      <c r="P470" s="25" t="str">
        <f>IFERROR(VLOOKUP(B470,'03. THIẾT BỊ'!$B$1:$S$836,15,0),"")</f>
        <v/>
      </c>
      <c r="Q470" s="23" t="str">
        <f>IFERROR(VLOOKUP(B470,'03. THIẾT BỊ'!$B$1:$S$836,16,0),"")</f>
        <v/>
      </c>
      <c r="R470" s="25" t="str">
        <f>IFERROR(VLOOKUP(B470,'03. THIẾT BỊ'!$B$1:$S$836,17,0),"")</f>
        <v/>
      </c>
      <c r="S470" s="25" t="str">
        <f>IFERROR(VLOOKUP(B470,'03. THIẾT BỊ'!$B$1:$S$836,18,0),"")</f>
        <v/>
      </c>
    </row>
    <row r="471" ht="13.8" hidden="1" spans="1:20">
      <c r="C471" s="613" t="str">
        <f>IFERROR(VLOOKUP(B471,'03. THIẾT BỊ'!$B$1:$S$836,2,0),"")</f>
        <v/>
      </c>
      <c r="D471" s="24" t="str">
        <f>IFERROR(VLOOKUP(B471,'03. THIẾT BỊ'!$B$1:$S$836,3,0),"")</f>
        <v/>
      </c>
      <c r="E471" s="20" t="str">
        <f>IFERROR(VLOOKUP(B471,'03. THIẾT BỊ'!$B$1:$S$836,4,0),"")</f>
        <v/>
      </c>
      <c r="F471" s="20" t="str">
        <f>IFERROR(VLOOKUP(B471,'03. THIẾT BỊ'!$B$1:$S$836,5,0),"")</f>
        <v/>
      </c>
      <c r="G471" s="101" t="s">
        <v>6468</v>
      </c>
      <c r="H471" s="19" t="str">
        <f>IFERROR(VLOOKUP(B471,'03. THIẾT BỊ'!$B$1:$S$836,7,0),"")</f>
        <v/>
      </c>
      <c r="I471" s="610" t="str">
        <f>IFERROR(VLOOKUP(B471,'03. THIẾT BỊ'!$B$1:$S$836,8,0),"")</f>
        <v/>
      </c>
      <c r="J471" s="25"/>
      <c r="K471" s="19" t="str">
        <f>IFERROR(VLOOKUP(B471,'03. THIẾT BỊ'!$B$1:$S$836,10,0),"")</f>
        <v/>
      </c>
      <c r="L471" s="25" t="str">
        <f>IFERROR(VLOOKUP(B471,'03. THIẾT BỊ'!$B$1:$S$836,11,0),"")</f>
        <v/>
      </c>
      <c r="M471" s="24" t="str">
        <f>IFERROR(VLOOKUP(B471,'03. THIẾT BỊ'!$B$1:$S$836,12,0),"")</f>
        <v/>
      </c>
      <c r="N471" s="25" t="str">
        <f>IFERROR(VLOOKUP(B471,'03. THIẾT BỊ'!$B$1:$S$836,13,0),"")</f>
        <v/>
      </c>
      <c r="O471" s="24" t="str">
        <f>IFERROR(VLOOKUP(B471,'03. THIẾT BỊ'!$B$1:$S$836,14,0),"")</f>
        <v/>
      </c>
      <c r="P471" s="25" t="str">
        <f>IFERROR(VLOOKUP(B471,'03. THIẾT BỊ'!$B$1:$S$836,15,0),"")</f>
        <v/>
      </c>
      <c r="Q471" s="23" t="str">
        <f>IFERROR(VLOOKUP(B471,'03. THIẾT BỊ'!$B$1:$S$836,16,0),"")</f>
        <v/>
      </c>
      <c r="R471" s="25" t="str">
        <f>IFERROR(VLOOKUP(B471,'03. THIẾT BỊ'!$B$1:$S$836,17,0),"")</f>
        <v/>
      </c>
      <c r="S471" s="25" t="str">
        <f>IFERROR(VLOOKUP(B471,'03. THIẾT BỊ'!$B$1:$S$836,18,0),"")</f>
        <v/>
      </c>
    </row>
    <row r="472" customHeight="1" spans="1:20">
      <c r="A472" s="14" t="s">
        <v>290</v>
      </c>
      <c r="B472" s="15" t="s">
        <v>6502</v>
      </c>
      <c r="C472" s="14">
        <f>COUNTA(B473:B512)</f>
        <v>39</v>
      </c>
      <c r="D472" s="17" t="str">
        <f>IFERROR(VLOOKUP(B472,'03. THIẾT BỊ'!$B$1:$S$836,3,0),"")</f>
        <v/>
      </c>
      <c r="E472" s="20" t="str">
        <f>IFERROR(VLOOKUP(B472,'03. THIẾT BỊ'!$B$1:$S$836,4,0),"")</f>
        <v/>
      </c>
      <c r="F472" s="17" t="str">
        <f>IFERROR(VLOOKUP(B472,'03. THIẾT BỊ'!$B$1:$S$836,5,0),"")</f>
        <v/>
      </c>
      <c r="G472" s="18" t="s">
        <v>6468</v>
      </c>
      <c r="H472" s="18" t="str">
        <f>IFERROR(VLOOKUP(B472,'03. THIẾT BỊ'!$B$1:$S$836,7,0),"")</f>
        <v/>
      </c>
      <c r="I472" s="14" t="str">
        <f>IFERROR(VLOOKUP(B472,'03. THIẾT BỊ'!$B$1:$S$836,8,0),"")</f>
        <v/>
      </c>
      <c r="J472" s="15"/>
      <c r="K472" s="14" t="str">
        <f>IFERROR(VLOOKUP(B472,'03. THIẾT BỊ'!$B$1:$S$836,10,0),"")</f>
        <v/>
      </c>
      <c r="L472" s="17" t="str">
        <f>IFERROR(VLOOKUP(B472,'03. THIẾT BỊ'!$B$1:$S$836,11,0),"")</f>
        <v/>
      </c>
      <c r="M472" s="16" t="str">
        <f>IFERROR(VLOOKUP(B472,'03. THIẾT BỊ'!$B$1:$S$836,12,0),"")</f>
        <v/>
      </c>
      <c r="N472" s="17" t="str">
        <f>IFERROR(VLOOKUP(B472,'03. THIẾT BỊ'!$B$1:$S$836,13,0),"")</f>
        <v/>
      </c>
      <c r="O472" s="16" t="str">
        <f>IFERROR(VLOOKUP(B472,'03. THIẾT BỊ'!$B$1:$S$836,14,0),"")</f>
        <v/>
      </c>
      <c r="P472" s="17" t="str">
        <f>IFERROR(VLOOKUP(B472,'03. THIẾT BỊ'!$B$1:$S$836,15,0),"")</f>
        <v/>
      </c>
      <c r="Q472" s="18" t="str">
        <f>IFERROR(VLOOKUP(B472,'03. THIẾT BỊ'!$B$1:$S$836,16,0),"")</f>
        <v/>
      </c>
      <c r="R472" s="17" t="str">
        <f>IFERROR(VLOOKUP(B472,'03. THIẾT BỊ'!$B$1:$S$836,17,0),"")</f>
        <v/>
      </c>
      <c r="S472" s="17" t="str">
        <f>IFERROR(VLOOKUP(B472,'03. THIẾT BỊ'!$B$1:$S$836,18,0),"")</f>
        <v/>
      </c>
      <c r="T472" s="609"/>
    </row>
    <row r="473" customHeight="1" spans="1:20">
      <c r="A473" s="19">
        <v>1</v>
      </c>
      <c r="B473" s="20" t="s">
        <v>4251</v>
      </c>
      <c r="C473" s="613" t="str">
        <f>IFERROR(VLOOKUP(B473,'03. THIẾT BỊ'!$B$1:$S$836,2,0),"")</f>
        <v>CK-MXM-01</v>
      </c>
      <c r="D473" s="24" t="str">
        <f>IFERROR(VLOOKUP(B473,'03. THIẾT BỊ'!$B$1:$S$836,3,0),"")</f>
        <v>A23-MXM-001</v>
      </c>
      <c r="E473" s="20" t="str">
        <f>IFERROR(VLOOKUP(B473,'03. THIẾT BỊ'!$B$1:$S$836,4,0),"")</f>
        <v>ĐQSD</v>
      </c>
      <c r="F473" s="20" t="str">
        <f>IFERROR(VLOOKUP(B473,'03. THIẾT BỊ'!$B$1:$S$836,5,0),"")</f>
        <v>Rơ mooc gắn sau xe máy</v>
      </c>
      <c r="G473" s="101" t="s">
        <v>6468</v>
      </c>
      <c r="H473" s="19" t="str">
        <f>IFERROR(VLOOKUP(B473,'03. THIẾT BỊ'!$B$1:$S$836,7,0),"")</f>
        <v>XN Chuối DP1</v>
      </c>
      <c r="I473" s="610" t="str">
        <f>IFERROR(VLOOKUP(B473,'03. THIẾT BỊ'!$B$1:$S$836,8,0),"")</f>
        <v>24/01/2024</v>
      </c>
      <c r="J473" s="25"/>
      <c r="K473" s="19" t="str">
        <f>IFERROR(VLOOKUP(B473,'03. THIẾT BỊ'!$B$1:$S$836,10,0),"")</f>
        <v>Bình thường</v>
      </c>
      <c r="L473" s="25">
        <f>IFERROR(VLOOKUP(B473,'03. THIẾT BỊ'!$B$1:$S$836,11,0),"")</f>
        <v>0</v>
      </c>
      <c r="M473" s="24">
        <f>IFERROR(VLOOKUP(B473,'03. THIẾT BỊ'!$B$1:$S$836,12,0),"")</f>
        <v>0</v>
      </c>
      <c r="N473" s="25" t="str">
        <f>IFERROR(VLOOKUP(B473,'03. THIẾT BỊ'!$B$1:$S$836,13,0),"")</f>
        <v>THACO AGRI</v>
      </c>
      <c r="O473" s="24">
        <f>IFERROR(VLOOKUP(B473,'03. THIẾT BỊ'!$B$1:$S$836,14,0),"")</f>
        <v>0</v>
      </c>
      <c r="P473" s="25" t="str">
        <f>IFERROR(VLOOKUP(B473,'03. THIẾT BỊ'!$B$1:$S$836,15,0),"")</f>
        <v>CK-CGH</v>
      </c>
      <c r="Q473" s="23">
        <f>IFERROR(VLOOKUP(B473,'03. THIẾT BỊ'!$B$1:$S$836,16,0),"")</f>
        <v>0</v>
      </c>
      <c r="R473" s="25" t="str">
        <f>IFERROR(VLOOKUP(B473,'03. THIẾT BỊ'!$B$1:$S$836,17,0),"")</f>
        <v>DxRxC: 3x1.6x1.2m</v>
      </c>
      <c r="S473" s="25">
        <f>IFERROR(VLOOKUP(B473,'03. THIẾT BỊ'!$B$1:$S$836,18,0),"")</f>
        <v>0</v>
      </c>
      <c r="T473" s="41"/>
    </row>
    <row r="474" customHeight="1" spans="1:20">
      <c r="A474" s="19">
        <f t="shared" ref="A474:A511" si="23">A473+1</f>
        <v>2</v>
      </c>
      <c r="B474" s="20" t="s">
        <v>4255</v>
      </c>
      <c r="C474" s="613" t="str">
        <f>IFERROR(VLOOKUP(B474,'03. THIẾT BỊ'!$B$1:$S$836,2,0),"")</f>
        <v>CK-MXM-02</v>
      </c>
      <c r="D474" s="24" t="str">
        <f>IFERROR(VLOOKUP(B474,'03. THIẾT BỊ'!$B$1:$S$836,3,0),"")</f>
        <v>A23-MXM-002</v>
      </c>
      <c r="E474" s="20" t="str">
        <f>IFERROR(VLOOKUP(B474,'03. THIẾT BỊ'!$B$1:$S$836,4,0),"")</f>
        <v>ĐQSD</v>
      </c>
      <c r="F474" s="20" t="str">
        <f>IFERROR(VLOOKUP(B474,'03. THIẾT BỊ'!$B$1:$S$836,5,0),"")</f>
        <v>Rơ mooc gắn sau xe máy</v>
      </c>
      <c r="G474" s="101" t="s">
        <v>6468</v>
      </c>
      <c r="H474" s="19" t="str">
        <f>IFERROR(VLOOKUP(B474,'03. THIẾT BỊ'!$B$1:$S$836,7,0),"")</f>
        <v>XN Chuối DP1</v>
      </c>
      <c r="I474" s="610" t="str">
        <f>IFERROR(VLOOKUP(B474,'03. THIẾT BỊ'!$B$1:$S$836,8,0),"")</f>
        <v>24/01/2024</v>
      </c>
      <c r="J474" s="25"/>
      <c r="K474" s="19" t="str">
        <f>IFERROR(VLOOKUP(B474,'03. THIẾT BỊ'!$B$1:$S$836,10,0),"")</f>
        <v>Bình thường</v>
      </c>
      <c r="L474" s="25">
        <f>IFERROR(VLOOKUP(B474,'03. THIẾT BỊ'!$B$1:$S$836,11,0),"")</f>
        <v>0</v>
      </c>
      <c r="M474" s="24">
        <f>IFERROR(VLOOKUP(B474,'03. THIẾT BỊ'!$B$1:$S$836,12,0),"")</f>
        <v>0</v>
      </c>
      <c r="N474" s="25" t="str">
        <f>IFERROR(VLOOKUP(B474,'03. THIẾT BỊ'!$B$1:$S$836,13,0),"")</f>
        <v>THACO AGRI</v>
      </c>
      <c r="O474" s="24">
        <f>IFERROR(VLOOKUP(B474,'03. THIẾT BỊ'!$B$1:$S$836,14,0),"")</f>
        <v>0</v>
      </c>
      <c r="P474" s="25" t="str">
        <f>IFERROR(VLOOKUP(B474,'03. THIẾT BỊ'!$B$1:$S$836,15,0),"")</f>
        <v>CK-CGH</v>
      </c>
      <c r="Q474" s="23">
        <f>IFERROR(VLOOKUP(B474,'03. THIẾT BỊ'!$B$1:$S$836,16,0),"")</f>
        <v>0</v>
      </c>
      <c r="R474" s="25" t="str">
        <f>IFERROR(VLOOKUP(B474,'03. THIẾT BỊ'!$B$1:$S$836,17,0),"")</f>
        <v>DxRxC: 3x1.6x1.2m</v>
      </c>
      <c r="S474" s="25">
        <f>IFERROR(VLOOKUP(B474,'03. THIẾT BỊ'!$B$1:$S$836,18,0),"")</f>
        <v>0</v>
      </c>
      <c r="T474" s="41"/>
    </row>
    <row r="475" customHeight="1" spans="1:20">
      <c r="A475" s="19">
        <f t="shared" si="23"/>
        <v>3</v>
      </c>
      <c r="B475" s="20" t="s">
        <v>4258</v>
      </c>
      <c r="C475" s="613" t="str">
        <f>IFERROR(VLOOKUP(B475,'03. THIẾT BỊ'!$B$1:$S$836,2,0),"")</f>
        <v>CK-MXM-03</v>
      </c>
      <c r="D475" s="24" t="str">
        <f>IFERROR(VLOOKUP(B475,'03. THIẾT BỊ'!$B$1:$S$836,3,0),"")</f>
        <v>A23-MXM-003</v>
      </c>
      <c r="E475" s="20" t="str">
        <f>IFERROR(VLOOKUP(B475,'03. THIẾT BỊ'!$B$1:$S$836,4,0),"")</f>
        <v>ĐQSD</v>
      </c>
      <c r="F475" s="20" t="str">
        <f>IFERROR(VLOOKUP(B475,'03. THIẾT BỊ'!$B$1:$S$836,5,0),"")</f>
        <v>Rơ mooc gắn sau xe máy</v>
      </c>
      <c r="G475" s="101" t="s">
        <v>6468</v>
      </c>
      <c r="H475" s="19" t="str">
        <f>IFERROR(VLOOKUP(B475,'03. THIẾT BỊ'!$B$1:$S$836,7,0),"")</f>
        <v>XN Chuối DP1</v>
      </c>
      <c r="I475" s="610" t="str">
        <f>IFERROR(VLOOKUP(B475,'03. THIẾT BỊ'!$B$1:$S$836,8,0),"")</f>
        <v>24/01/2024</v>
      </c>
      <c r="J475" s="25"/>
      <c r="K475" s="19" t="str">
        <f>IFERROR(VLOOKUP(B475,'03. THIẾT BỊ'!$B$1:$S$836,10,0),"")</f>
        <v>Bình thường</v>
      </c>
      <c r="L475" s="25">
        <f>IFERROR(VLOOKUP(B475,'03. THIẾT BỊ'!$B$1:$S$836,11,0),"")</f>
        <v>0</v>
      </c>
      <c r="M475" s="24">
        <f>IFERROR(VLOOKUP(B475,'03. THIẾT BỊ'!$B$1:$S$836,12,0),"")</f>
        <v>0</v>
      </c>
      <c r="N475" s="25" t="str">
        <f>IFERROR(VLOOKUP(B475,'03. THIẾT BỊ'!$B$1:$S$836,13,0),"")</f>
        <v>THACO AGRI</v>
      </c>
      <c r="O475" s="24">
        <f>IFERROR(VLOOKUP(B475,'03. THIẾT BỊ'!$B$1:$S$836,14,0),"")</f>
        <v>0</v>
      </c>
      <c r="P475" s="25" t="str">
        <f>IFERROR(VLOOKUP(B475,'03. THIẾT BỊ'!$B$1:$S$836,15,0),"")</f>
        <v>CK-CGH</v>
      </c>
      <c r="Q475" s="23">
        <f>IFERROR(VLOOKUP(B475,'03. THIẾT BỊ'!$B$1:$S$836,16,0),"")</f>
        <v>0</v>
      </c>
      <c r="R475" s="25" t="str">
        <f>IFERROR(VLOOKUP(B475,'03. THIẾT BỊ'!$B$1:$S$836,17,0),"")</f>
        <v>DxRxC: 3x1.6x1.2m</v>
      </c>
      <c r="S475" s="25">
        <f>IFERROR(VLOOKUP(B475,'03. THIẾT BỊ'!$B$1:$S$836,18,0),"")</f>
        <v>0</v>
      </c>
      <c r="T475" s="41"/>
    </row>
    <row r="476" customHeight="1" spans="1:20">
      <c r="A476" s="19">
        <f t="shared" si="23"/>
        <v>4</v>
      </c>
      <c r="B476" s="20" t="s">
        <v>4261</v>
      </c>
      <c r="C476" s="613" t="str">
        <f>IFERROR(VLOOKUP(B476,'03. THIẾT BỊ'!$B$1:$S$836,2,0),"")</f>
        <v>CK-MXM-04</v>
      </c>
      <c r="D476" s="24" t="str">
        <f>IFERROR(VLOOKUP(B476,'03. THIẾT BỊ'!$B$1:$S$836,3,0),"")</f>
        <v>A23-MXM-004</v>
      </c>
      <c r="E476" s="20" t="str">
        <f>IFERROR(VLOOKUP(B476,'03. THIẾT BỊ'!$B$1:$S$836,4,0),"")</f>
        <v>ĐQSD</v>
      </c>
      <c r="F476" s="20" t="str">
        <f>IFERROR(VLOOKUP(B476,'03. THIẾT BỊ'!$B$1:$S$836,5,0),"")</f>
        <v>Rơ mooc gắn sau xe máy</v>
      </c>
      <c r="G476" s="101" t="s">
        <v>6468</v>
      </c>
      <c r="H476" s="19" t="str">
        <f>IFERROR(VLOOKUP(B476,'03. THIẾT BỊ'!$B$1:$S$836,7,0),"")</f>
        <v>XN Chuối DP1</v>
      </c>
      <c r="I476" s="610" t="str">
        <f>IFERROR(VLOOKUP(B476,'03. THIẾT BỊ'!$B$1:$S$836,8,0),"")</f>
        <v>24/01/2024</v>
      </c>
      <c r="J476" s="25"/>
      <c r="K476" s="19" t="str">
        <f>IFERROR(VLOOKUP(B476,'03. THIẾT BỊ'!$B$1:$S$836,10,0),"")</f>
        <v>Bình thường</v>
      </c>
      <c r="L476" s="25">
        <f>IFERROR(VLOOKUP(B476,'03. THIẾT BỊ'!$B$1:$S$836,11,0),"")</f>
        <v>0</v>
      </c>
      <c r="M476" s="24">
        <f>IFERROR(VLOOKUP(B476,'03. THIẾT BỊ'!$B$1:$S$836,12,0),"")</f>
        <v>0</v>
      </c>
      <c r="N476" s="25" t="str">
        <f>IFERROR(VLOOKUP(B476,'03. THIẾT BỊ'!$B$1:$S$836,13,0),"")</f>
        <v>THACO AGRI</v>
      </c>
      <c r="O476" s="24">
        <f>IFERROR(VLOOKUP(B476,'03. THIẾT BỊ'!$B$1:$S$836,14,0),"")</f>
        <v>0</v>
      </c>
      <c r="P476" s="25" t="str">
        <f>IFERROR(VLOOKUP(B476,'03. THIẾT BỊ'!$B$1:$S$836,15,0),"")</f>
        <v>CK-CGH</v>
      </c>
      <c r="Q476" s="23">
        <f>IFERROR(VLOOKUP(B476,'03. THIẾT BỊ'!$B$1:$S$836,16,0),"")</f>
        <v>0</v>
      </c>
      <c r="R476" s="25" t="str">
        <f>IFERROR(VLOOKUP(B476,'03. THIẾT BỊ'!$B$1:$S$836,17,0),"")</f>
        <v>DxRxC: 3x1.6x1.2m</v>
      </c>
      <c r="S476" s="25">
        <f>IFERROR(VLOOKUP(B476,'03. THIẾT BỊ'!$B$1:$S$836,18,0),"")</f>
        <v>0</v>
      </c>
      <c r="T476" s="41"/>
    </row>
    <row r="477" customHeight="1" spans="1:20">
      <c r="A477" s="19">
        <f t="shared" si="23"/>
        <v>5</v>
      </c>
      <c r="B477" s="20" t="s">
        <v>4264</v>
      </c>
      <c r="C477" s="613" t="str">
        <f>IFERROR(VLOOKUP(B477,'03. THIẾT BỊ'!$B$1:$S$836,2,0),"")</f>
        <v>CK-MXM-05</v>
      </c>
      <c r="D477" s="24" t="str">
        <f>IFERROR(VLOOKUP(B477,'03. THIẾT BỊ'!$B$1:$S$836,3,0),"")</f>
        <v>A23-MXM-005</v>
      </c>
      <c r="E477" s="20" t="str">
        <f>IFERROR(VLOOKUP(B477,'03. THIẾT BỊ'!$B$1:$S$836,4,0),"")</f>
        <v>ĐQSD</v>
      </c>
      <c r="F477" s="20" t="str">
        <f>IFERROR(VLOOKUP(B477,'03. THIẾT BỊ'!$B$1:$S$836,5,0),"")</f>
        <v>Rơ mooc gắn sau xe máy</v>
      </c>
      <c r="G477" s="101" t="s">
        <v>6468</v>
      </c>
      <c r="H477" s="19" t="str">
        <f>IFERROR(VLOOKUP(B477,'03. THIẾT BỊ'!$B$1:$S$836,7,0),"")</f>
        <v>XN Chuối DP1</v>
      </c>
      <c r="I477" s="610" t="str">
        <f>IFERROR(VLOOKUP(B477,'03. THIẾT BỊ'!$B$1:$S$836,8,0),"")</f>
        <v>24/01/2024</v>
      </c>
      <c r="J477" s="25"/>
      <c r="K477" s="19" t="str">
        <f>IFERROR(VLOOKUP(B477,'03. THIẾT BỊ'!$B$1:$S$836,10,0),"")</f>
        <v>Bình thường</v>
      </c>
      <c r="L477" s="25">
        <f>IFERROR(VLOOKUP(B477,'03. THIẾT BỊ'!$B$1:$S$836,11,0),"")</f>
        <v>0</v>
      </c>
      <c r="M477" s="24">
        <f>IFERROR(VLOOKUP(B477,'03. THIẾT BỊ'!$B$1:$S$836,12,0),"")</f>
        <v>0</v>
      </c>
      <c r="N477" s="25" t="str">
        <f>IFERROR(VLOOKUP(B477,'03. THIẾT BỊ'!$B$1:$S$836,13,0),"")</f>
        <v>THACO AGRI</v>
      </c>
      <c r="O477" s="24">
        <f>IFERROR(VLOOKUP(B477,'03. THIẾT BỊ'!$B$1:$S$836,14,0),"")</f>
        <v>0</v>
      </c>
      <c r="P477" s="25" t="str">
        <f>IFERROR(VLOOKUP(B477,'03. THIẾT BỊ'!$B$1:$S$836,15,0),"")</f>
        <v>CK-CGH</v>
      </c>
      <c r="Q477" s="23">
        <f>IFERROR(VLOOKUP(B477,'03. THIẾT BỊ'!$B$1:$S$836,16,0),"")</f>
        <v>0</v>
      </c>
      <c r="R477" s="25" t="str">
        <f>IFERROR(VLOOKUP(B477,'03. THIẾT BỊ'!$B$1:$S$836,17,0),"")</f>
        <v>DxRxC: 3x1.6x1.2m</v>
      </c>
      <c r="S477" s="25">
        <f>IFERROR(VLOOKUP(B477,'03. THIẾT BỊ'!$B$1:$S$836,18,0),"")</f>
        <v>0</v>
      </c>
      <c r="T477" s="41"/>
    </row>
    <row r="478" customHeight="1" spans="1:20">
      <c r="A478" s="19">
        <f t="shared" si="23"/>
        <v>6</v>
      </c>
      <c r="B478" s="20" t="s">
        <v>4267</v>
      </c>
      <c r="C478" s="613" t="str">
        <f>IFERROR(VLOOKUP(B478,'03. THIẾT BỊ'!$B$1:$S$836,2,0),"")</f>
        <v>CK-MXM-06</v>
      </c>
      <c r="D478" s="24" t="str">
        <f>IFERROR(VLOOKUP(B478,'03. THIẾT BỊ'!$B$1:$S$836,3,0),"")</f>
        <v>A23-MXM-006</v>
      </c>
      <c r="E478" s="20" t="str">
        <f>IFERROR(VLOOKUP(B478,'03. THIẾT BỊ'!$B$1:$S$836,4,0),"")</f>
        <v>ĐQSD</v>
      </c>
      <c r="F478" s="20" t="str">
        <f>IFERROR(VLOOKUP(B478,'03. THIẾT BỊ'!$B$1:$S$836,5,0),"")</f>
        <v>Rơ mooc gắn sau xe máy</v>
      </c>
      <c r="G478" s="101" t="s">
        <v>6468</v>
      </c>
      <c r="H478" s="19" t="str">
        <f>IFERROR(VLOOKUP(B478,'03. THIẾT BỊ'!$B$1:$S$836,7,0),"")</f>
        <v>XN Chuối DP1</v>
      </c>
      <c r="I478" s="610" t="str">
        <f>IFERROR(VLOOKUP(B478,'03. THIẾT BỊ'!$B$1:$S$836,8,0),"")</f>
        <v>24/01/2024</v>
      </c>
      <c r="J478" s="25"/>
      <c r="K478" s="19" t="str">
        <f>IFERROR(VLOOKUP(B478,'03. THIẾT BỊ'!$B$1:$S$836,10,0),"")</f>
        <v>Bình thường</v>
      </c>
      <c r="L478" s="25">
        <f>IFERROR(VLOOKUP(B478,'03. THIẾT BỊ'!$B$1:$S$836,11,0),"")</f>
        <v>0</v>
      </c>
      <c r="M478" s="24">
        <f>IFERROR(VLOOKUP(B478,'03. THIẾT BỊ'!$B$1:$S$836,12,0),"")</f>
        <v>0</v>
      </c>
      <c r="N478" s="25" t="str">
        <f>IFERROR(VLOOKUP(B478,'03. THIẾT BỊ'!$B$1:$S$836,13,0),"")</f>
        <v>THACO AGRI</v>
      </c>
      <c r="O478" s="24">
        <f>IFERROR(VLOOKUP(B478,'03. THIẾT BỊ'!$B$1:$S$836,14,0),"")</f>
        <v>0</v>
      </c>
      <c r="P478" s="25" t="str">
        <f>IFERROR(VLOOKUP(B478,'03. THIẾT BỊ'!$B$1:$S$836,15,0),"")</f>
        <v>CK-CGH</v>
      </c>
      <c r="Q478" s="23">
        <f>IFERROR(VLOOKUP(B478,'03. THIẾT BỊ'!$B$1:$S$836,16,0),"")</f>
        <v>0</v>
      </c>
      <c r="R478" s="25" t="str">
        <f>IFERROR(VLOOKUP(B478,'03. THIẾT BỊ'!$B$1:$S$836,17,0),"")</f>
        <v>DxRxC: 3x1.6x1.2m</v>
      </c>
      <c r="S478" s="25">
        <f>IFERROR(VLOOKUP(B478,'03. THIẾT BỊ'!$B$1:$S$836,18,0),"")</f>
        <v>0</v>
      </c>
      <c r="T478" s="41"/>
    </row>
    <row r="479" customHeight="1" spans="1:20">
      <c r="A479" s="19">
        <f t="shared" si="23"/>
        <v>7</v>
      </c>
      <c r="B479" s="20" t="s">
        <v>4270</v>
      </c>
      <c r="C479" s="613" t="str">
        <f>IFERROR(VLOOKUP(B479,'03. THIẾT BỊ'!$B$1:$S$836,2,0),"")</f>
        <v>CK-MXM-07</v>
      </c>
      <c r="D479" s="24" t="str">
        <f>IFERROR(VLOOKUP(B479,'03. THIẾT BỊ'!$B$1:$S$836,3,0),"")</f>
        <v>A23-MXM-007</v>
      </c>
      <c r="E479" s="20" t="str">
        <f>IFERROR(VLOOKUP(B479,'03. THIẾT BỊ'!$B$1:$S$836,4,0),"")</f>
        <v>ĐQSD</v>
      </c>
      <c r="F479" s="20" t="str">
        <f>IFERROR(VLOOKUP(B479,'03. THIẾT BỊ'!$B$1:$S$836,5,0),"")</f>
        <v>Rơ mooc gắn sau xe máy</v>
      </c>
      <c r="G479" s="101" t="s">
        <v>6468</v>
      </c>
      <c r="H479" s="19" t="str">
        <f>IFERROR(VLOOKUP(B479,'03. THIẾT BỊ'!$B$1:$S$836,7,0),"")</f>
        <v>XN Chuối DP1</v>
      </c>
      <c r="I479" s="610" t="str">
        <f>IFERROR(VLOOKUP(B479,'03. THIẾT BỊ'!$B$1:$S$836,8,0),"")</f>
        <v>24/01/2024</v>
      </c>
      <c r="J479" s="25"/>
      <c r="K479" s="19" t="str">
        <f>IFERROR(VLOOKUP(B479,'03. THIẾT BỊ'!$B$1:$S$836,10,0),"")</f>
        <v>Bình thường</v>
      </c>
      <c r="L479" s="25">
        <f>IFERROR(VLOOKUP(B479,'03. THIẾT BỊ'!$B$1:$S$836,11,0),"")</f>
        <v>0</v>
      </c>
      <c r="M479" s="24">
        <f>IFERROR(VLOOKUP(B479,'03. THIẾT BỊ'!$B$1:$S$836,12,0),"")</f>
        <v>0</v>
      </c>
      <c r="N479" s="25" t="str">
        <f>IFERROR(VLOOKUP(B479,'03. THIẾT BỊ'!$B$1:$S$836,13,0),"")</f>
        <v>THACO AGRI</v>
      </c>
      <c r="O479" s="24">
        <f>IFERROR(VLOOKUP(B479,'03. THIẾT BỊ'!$B$1:$S$836,14,0),"")</f>
        <v>0</v>
      </c>
      <c r="P479" s="25" t="str">
        <f>IFERROR(VLOOKUP(B479,'03. THIẾT BỊ'!$B$1:$S$836,15,0),"")</f>
        <v>CK-CGH</v>
      </c>
      <c r="Q479" s="23">
        <f>IFERROR(VLOOKUP(B479,'03. THIẾT BỊ'!$B$1:$S$836,16,0),"")</f>
        <v>0</v>
      </c>
      <c r="R479" s="25" t="str">
        <f>IFERROR(VLOOKUP(B479,'03. THIẾT BỊ'!$B$1:$S$836,17,0),"")</f>
        <v>DxRxC: 3x1.6x1.2m</v>
      </c>
      <c r="S479" s="25">
        <f>IFERROR(VLOOKUP(B479,'03. THIẾT BỊ'!$B$1:$S$836,18,0),"")</f>
        <v>0</v>
      </c>
      <c r="T479" s="41"/>
    </row>
    <row r="480" customHeight="1" spans="1:20">
      <c r="A480" s="19">
        <f t="shared" si="23"/>
        <v>8</v>
      </c>
      <c r="B480" s="20" t="s">
        <v>4273</v>
      </c>
      <c r="C480" s="613">
        <f>IFERROR(VLOOKUP(B480,'03. THIẾT BỊ'!$B$1:$S$836,2,0),"")</f>
        <v>0</v>
      </c>
      <c r="D480" s="24" t="str">
        <f>IFERROR(VLOOKUP(B480,'03. THIẾT BỊ'!$B$1:$S$836,3,0),"")</f>
        <v>A22-MXM-004</v>
      </c>
      <c r="E480" s="20" t="str">
        <f>IFERROR(VLOOKUP(B480,'03. THIẾT BỊ'!$B$1:$S$836,4,0),"")</f>
        <v>ĐQSD</v>
      </c>
      <c r="F480" s="20" t="str">
        <f>IFERROR(VLOOKUP(B480,'03. THIẾT BỊ'!$B$1:$S$836,5,0),"")</f>
        <v>Rơ mooc gắn sau xe máy </v>
      </c>
      <c r="G480" s="101" t="s">
        <v>6468</v>
      </c>
      <c r="H480" s="19" t="str">
        <f>IFERROR(VLOOKUP(B480,'03. THIẾT BỊ'!$B$1:$S$836,7,0),"")</f>
        <v>XN Chuối DP1</v>
      </c>
      <c r="I480" s="610">
        <f>IFERROR(VLOOKUP(B480,'03. THIẾT BỊ'!$B$1:$S$836,8,0),"")</f>
        <v>0</v>
      </c>
      <c r="J480" s="25"/>
      <c r="K480" s="19" t="str">
        <f>IFERROR(VLOOKUP(B480,'03. THIẾT BỊ'!$B$1:$S$836,10,0),"")</f>
        <v>Bình thường</v>
      </c>
      <c r="L480" s="25" t="str">
        <f>IFERROR(VLOOKUP(B480,'03. THIẾT BỊ'!$B$1:$S$836,11,0),"")</f>
        <v>Đ.chuyen từ XN AD ngày 28/02/2025</v>
      </c>
      <c r="M480" s="24">
        <f>IFERROR(VLOOKUP(B480,'03. THIẾT BỊ'!$B$1:$S$836,12,0),"")</f>
        <v>0</v>
      </c>
      <c r="N480" s="25" t="str">
        <f>IFERROR(VLOOKUP(B480,'03. THIẾT BỊ'!$B$1:$S$836,13,0),"")</f>
        <v>THACO AGRI</v>
      </c>
      <c r="O480" s="24">
        <f>IFERROR(VLOOKUP(B480,'03. THIẾT BỊ'!$B$1:$S$836,14,0),"")</f>
        <v>0</v>
      </c>
      <c r="P480" s="25" t="str">
        <f>IFERROR(VLOOKUP(B480,'03. THIẾT BỊ'!$B$1:$S$836,15,0),"")</f>
        <v>CK-CGH</v>
      </c>
      <c r="Q480" s="23">
        <f>IFERROR(VLOOKUP(B480,'03. THIẾT BỊ'!$B$1:$S$836,16,0),"")</f>
        <v>0</v>
      </c>
      <c r="R480" s="25">
        <f>IFERROR(VLOOKUP(B480,'03. THIẾT BỊ'!$B$1:$S$836,17,0),"")</f>
        <v>0</v>
      </c>
      <c r="S480" s="25">
        <f>IFERROR(VLOOKUP(B480,'03. THIẾT BỊ'!$B$1:$S$836,18,0),"")</f>
        <v>0</v>
      </c>
      <c r="T480" s="41"/>
    </row>
    <row r="481" customHeight="1" spans="1:20">
      <c r="A481" s="19">
        <f t="shared" si="23"/>
        <v>9</v>
      </c>
      <c r="B481" s="20" t="s">
        <v>4471</v>
      </c>
      <c r="C481" s="613">
        <f>IFERROR(VLOOKUP(B481,'03. THIẾT BỊ'!$B$1:$S$836,2,0),"")</f>
        <v>0</v>
      </c>
      <c r="D481" s="24" t="str">
        <f>IFERROR(VLOOKUP(B481,'03. THIẾT BỊ'!$B$1:$S$836,3,0),"")</f>
        <v>A23-MXM-008</v>
      </c>
      <c r="E481" s="20" t="str">
        <f>IFERROR(VLOOKUP(B481,'03. THIẾT BỊ'!$B$1:$S$836,4,0),"")</f>
        <v>ĐQSD</v>
      </c>
      <c r="F481" s="20" t="str">
        <f>IFERROR(VLOOKUP(B481,'03. THIẾT BỊ'!$B$1:$S$836,5,0),"")</f>
        <v>Rơ mooc gắn sau xe máy</v>
      </c>
      <c r="G481" s="101" t="s">
        <v>6468</v>
      </c>
      <c r="H481" s="19" t="str">
        <f>IFERROR(VLOOKUP(B481,'03. THIẾT BỊ'!$B$1:$S$836,7,0),"")</f>
        <v>XN Chuối DP2</v>
      </c>
      <c r="I481" s="610">
        <f>IFERROR(VLOOKUP(B481,'03. THIẾT BỊ'!$B$1:$S$836,8,0),"")</f>
        <v>0</v>
      </c>
      <c r="J481" s="25"/>
      <c r="K481" s="19" t="str">
        <f>IFERROR(VLOOKUP(B481,'03. THIẾT BỊ'!$B$1:$S$836,10,0),"")</f>
        <v>Bình thường</v>
      </c>
      <c r="L481" s="25">
        <f>IFERROR(VLOOKUP(B481,'03. THIẾT BỊ'!$B$1:$S$836,11,0),"")</f>
        <v>0</v>
      </c>
      <c r="M481" s="24">
        <f>IFERROR(VLOOKUP(B481,'03. THIẾT BỊ'!$B$1:$S$836,12,0),"")</f>
        <v>0</v>
      </c>
      <c r="N481" s="25" t="str">
        <f>IFERROR(VLOOKUP(B481,'03. THIẾT BỊ'!$B$1:$S$836,13,0),"")</f>
        <v>THACO AGRI</v>
      </c>
      <c r="O481" s="24">
        <f>IFERROR(VLOOKUP(B481,'03. THIẾT BỊ'!$B$1:$S$836,14,0),"")</f>
        <v>0</v>
      </c>
      <c r="P481" s="25" t="str">
        <f>IFERROR(VLOOKUP(B481,'03. THIẾT BỊ'!$B$1:$S$836,15,0),"")</f>
        <v>CK-CGH</v>
      </c>
      <c r="Q481" s="23">
        <f>IFERROR(VLOOKUP(B481,'03. THIẾT BỊ'!$B$1:$S$836,16,0),"")</f>
        <v>0</v>
      </c>
      <c r="R481" s="25">
        <f>IFERROR(VLOOKUP(B481,'03. THIẾT BỊ'!$B$1:$S$836,17,0),"")</f>
        <v>0</v>
      </c>
      <c r="S481" s="25">
        <f>IFERROR(VLOOKUP(B481,'03. THIẾT BỊ'!$B$1:$S$836,18,0),"")</f>
        <v>0</v>
      </c>
      <c r="T481" s="41"/>
    </row>
    <row r="482" customHeight="1" spans="1:20">
      <c r="A482" s="19">
        <f t="shared" si="23"/>
        <v>10</v>
      </c>
      <c r="B482" s="20" t="s">
        <v>4473</v>
      </c>
      <c r="C482" s="613">
        <f>IFERROR(VLOOKUP(B482,'03. THIẾT BỊ'!$B$1:$S$836,2,0),"")</f>
        <v>0</v>
      </c>
      <c r="D482" s="24" t="str">
        <f>IFERROR(VLOOKUP(B482,'03. THIẾT BỊ'!$B$1:$S$836,3,0),"")</f>
        <v>A23-MXM-009</v>
      </c>
      <c r="E482" s="20" t="str">
        <f>IFERROR(VLOOKUP(B482,'03. THIẾT BỊ'!$B$1:$S$836,4,0),"")</f>
        <v>ĐQSD</v>
      </c>
      <c r="F482" s="20" t="str">
        <f>IFERROR(VLOOKUP(B482,'03. THIẾT BỊ'!$B$1:$S$836,5,0),"")</f>
        <v>Rơ mooc gắn sau xe máy</v>
      </c>
      <c r="G482" s="101" t="s">
        <v>6468</v>
      </c>
      <c r="H482" s="19" t="str">
        <f>IFERROR(VLOOKUP(B482,'03. THIẾT BỊ'!$B$1:$S$836,7,0),"")</f>
        <v>XN Chuối DP2</v>
      </c>
      <c r="I482" s="610">
        <f>IFERROR(VLOOKUP(B482,'03. THIẾT BỊ'!$B$1:$S$836,8,0),"")</f>
        <v>0</v>
      </c>
      <c r="J482" s="25"/>
      <c r="K482" s="19" t="str">
        <f>IFERROR(VLOOKUP(B482,'03. THIẾT BỊ'!$B$1:$S$836,10,0),"")</f>
        <v>Bình thường</v>
      </c>
      <c r="L482" s="25">
        <f>IFERROR(VLOOKUP(B482,'03. THIẾT BỊ'!$B$1:$S$836,11,0),"")</f>
        <v>0</v>
      </c>
      <c r="M482" s="24">
        <f>IFERROR(VLOOKUP(B482,'03. THIẾT BỊ'!$B$1:$S$836,12,0),"")</f>
        <v>0</v>
      </c>
      <c r="N482" s="25" t="str">
        <f>IFERROR(VLOOKUP(B482,'03. THIẾT BỊ'!$B$1:$S$836,13,0),"")</f>
        <v>THACO AGRI</v>
      </c>
      <c r="O482" s="24">
        <f>IFERROR(VLOOKUP(B482,'03. THIẾT BỊ'!$B$1:$S$836,14,0),"")</f>
        <v>0</v>
      </c>
      <c r="P482" s="25" t="str">
        <f>IFERROR(VLOOKUP(B482,'03. THIẾT BỊ'!$B$1:$S$836,15,0),"")</f>
        <v>CK-CGH</v>
      </c>
      <c r="Q482" s="23">
        <f>IFERROR(VLOOKUP(B482,'03. THIẾT BỊ'!$B$1:$S$836,16,0),"")</f>
        <v>0</v>
      </c>
      <c r="R482" s="25">
        <f>IFERROR(VLOOKUP(B482,'03. THIẾT BỊ'!$B$1:$S$836,17,0),"")</f>
        <v>0</v>
      </c>
      <c r="S482" s="25">
        <f>IFERROR(VLOOKUP(B482,'03. THIẾT BỊ'!$B$1:$S$836,18,0),"")</f>
        <v>0</v>
      </c>
      <c r="T482" s="41"/>
    </row>
    <row r="483" customHeight="1" spans="1:20">
      <c r="A483" s="19">
        <f t="shared" si="23"/>
        <v>11</v>
      </c>
      <c r="B483" s="20" t="s">
        <v>4475</v>
      </c>
      <c r="C483" s="613">
        <f>IFERROR(VLOOKUP(B483,'03. THIẾT BỊ'!$B$1:$S$836,2,0),"")</f>
        <v>0</v>
      </c>
      <c r="D483" s="24" t="str">
        <f>IFERROR(VLOOKUP(B483,'03. THIẾT BỊ'!$B$1:$S$836,3,0),"")</f>
        <v>A23-MXM-010</v>
      </c>
      <c r="E483" s="20" t="str">
        <f>IFERROR(VLOOKUP(B483,'03. THIẾT BỊ'!$B$1:$S$836,4,0),"")</f>
        <v>ĐQSD</v>
      </c>
      <c r="F483" s="20" t="str">
        <f>IFERROR(VLOOKUP(B483,'03. THIẾT BỊ'!$B$1:$S$836,5,0),"")</f>
        <v>Rơ mooc gắn sau xe máy</v>
      </c>
      <c r="G483" s="101" t="s">
        <v>6468</v>
      </c>
      <c r="H483" s="19" t="str">
        <f>IFERROR(VLOOKUP(B483,'03. THIẾT BỊ'!$B$1:$S$836,7,0),"")</f>
        <v>XN Chuối DP2</v>
      </c>
      <c r="I483" s="610">
        <f>IFERROR(VLOOKUP(B483,'03. THIẾT BỊ'!$B$1:$S$836,8,0),"")</f>
        <v>0</v>
      </c>
      <c r="J483" s="25"/>
      <c r="K483" s="19" t="str">
        <f>IFERROR(VLOOKUP(B483,'03. THIẾT BỊ'!$B$1:$S$836,10,0),"")</f>
        <v>Bình thường</v>
      </c>
      <c r="L483" s="25">
        <f>IFERROR(VLOOKUP(B483,'03. THIẾT BỊ'!$B$1:$S$836,11,0),"")</f>
        <v>0</v>
      </c>
      <c r="M483" s="24">
        <f>IFERROR(VLOOKUP(B483,'03. THIẾT BỊ'!$B$1:$S$836,12,0),"")</f>
        <v>0</v>
      </c>
      <c r="N483" s="25" t="str">
        <f>IFERROR(VLOOKUP(B483,'03. THIẾT BỊ'!$B$1:$S$836,13,0),"")</f>
        <v>THACO AGRI</v>
      </c>
      <c r="O483" s="24">
        <f>IFERROR(VLOOKUP(B483,'03. THIẾT BỊ'!$B$1:$S$836,14,0),"")</f>
        <v>0</v>
      </c>
      <c r="P483" s="25" t="str">
        <f>IFERROR(VLOOKUP(B483,'03. THIẾT BỊ'!$B$1:$S$836,15,0),"")</f>
        <v>CK-CGH</v>
      </c>
      <c r="Q483" s="23">
        <f>IFERROR(VLOOKUP(B483,'03. THIẾT BỊ'!$B$1:$S$836,16,0),"")</f>
        <v>0</v>
      </c>
      <c r="R483" s="25">
        <f>IFERROR(VLOOKUP(B483,'03. THIẾT BỊ'!$B$1:$S$836,17,0),"")</f>
        <v>0</v>
      </c>
      <c r="S483" s="25">
        <f>IFERROR(VLOOKUP(B483,'03. THIẾT BỊ'!$B$1:$S$836,18,0),"")</f>
        <v>0</v>
      </c>
      <c r="T483" s="41"/>
    </row>
    <row r="484" customHeight="1" spans="1:20">
      <c r="A484" s="19">
        <f t="shared" si="23"/>
        <v>12</v>
      </c>
      <c r="B484" s="20" t="s">
        <v>4477</v>
      </c>
      <c r="C484" s="613">
        <f>IFERROR(VLOOKUP(B484,'03. THIẾT BỊ'!$B$1:$S$836,2,0),"")</f>
        <v>0</v>
      </c>
      <c r="D484" s="24" t="str">
        <f>IFERROR(VLOOKUP(B484,'03. THIẾT BỊ'!$B$1:$S$836,3,0),"")</f>
        <v>A23-MXM-011</v>
      </c>
      <c r="E484" s="20" t="str">
        <f>IFERROR(VLOOKUP(B484,'03. THIẾT BỊ'!$B$1:$S$836,4,0),"")</f>
        <v>ĐQSD</v>
      </c>
      <c r="F484" s="20" t="str">
        <f>IFERROR(VLOOKUP(B484,'03. THIẾT BỊ'!$B$1:$S$836,5,0),"")</f>
        <v>Rơ mooc gắn sau xe máy</v>
      </c>
      <c r="G484" s="101" t="s">
        <v>6468</v>
      </c>
      <c r="H484" s="19" t="str">
        <f>IFERROR(VLOOKUP(B484,'03. THIẾT BỊ'!$B$1:$S$836,7,0),"")</f>
        <v>XN Chuối DP2</v>
      </c>
      <c r="I484" s="610">
        <f>IFERROR(VLOOKUP(B484,'03. THIẾT BỊ'!$B$1:$S$836,8,0),"")</f>
        <v>0</v>
      </c>
      <c r="J484" s="25"/>
      <c r="K484" s="19" t="str">
        <f>IFERROR(VLOOKUP(B484,'03. THIẾT BỊ'!$B$1:$S$836,10,0),"")</f>
        <v>Bình thường</v>
      </c>
      <c r="L484" s="25">
        <f>IFERROR(VLOOKUP(B484,'03. THIẾT BỊ'!$B$1:$S$836,11,0),"")</f>
        <v>0</v>
      </c>
      <c r="M484" s="24">
        <f>IFERROR(VLOOKUP(B484,'03. THIẾT BỊ'!$B$1:$S$836,12,0),"")</f>
        <v>0</v>
      </c>
      <c r="N484" s="25" t="str">
        <f>IFERROR(VLOOKUP(B484,'03. THIẾT BỊ'!$B$1:$S$836,13,0),"")</f>
        <v>THACO AGRI</v>
      </c>
      <c r="O484" s="24">
        <f>IFERROR(VLOOKUP(B484,'03. THIẾT BỊ'!$B$1:$S$836,14,0),"")</f>
        <v>0</v>
      </c>
      <c r="P484" s="25" t="str">
        <f>IFERROR(VLOOKUP(B484,'03. THIẾT BỊ'!$B$1:$S$836,15,0),"")</f>
        <v>CK-CGH</v>
      </c>
      <c r="Q484" s="23">
        <f>IFERROR(VLOOKUP(B484,'03. THIẾT BỊ'!$B$1:$S$836,16,0),"")</f>
        <v>0</v>
      </c>
      <c r="R484" s="25">
        <f>IFERROR(VLOOKUP(B484,'03. THIẾT BỊ'!$B$1:$S$836,17,0),"")</f>
        <v>0</v>
      </c>
      <c r="S484" s="25">
        <f>IFERROR(VLOOKUP(B484,'03. THIẾT BỊ'!$B$1:$S$836,18,0),"")</f>
        <v>0</v>
      </c>
      <c r="T484" s="41"/>
    </row>
    <row r="485" customHeight="1" spans="1:20">
      <c r="A485" s="19">
        <f t="shared" si="23"/>
        <v>13</v>
      </c>
      <c r="B485" s="20" t="s">
        <v>4479</v>
      </c>
      <c r="C485" s="613">
        <f>IFERROR(VLOOKUP(B485,'03. THIẾT BỊ'!$B$1:$S$836,2,0),"")</f>
        <v>0</v>
      </c>
      <c r="D485" s="24" t="str">
        <f>IFERROR(VLOOKUP(B485,'03. THIẾT BỊ'!$B$1:$S$836,3,0),"")</f>
        <v>A23-MXM-012</v>
      </c>
      <c r="E485" s="20" t="str">
        <f>IFERROR(VLOOKUP(B485,'03. THIẾT BỊ'!$B$1:$S$836,4,0),"")</f>
        <v>ĐQSD</v>
      </c>
      <c r="F485" s="20" t="str">
        <f>IFERROR(VLOOKUP(B485,'03. THIẾT BỊ'!$B$1:$S$836,5,0),"")</f>
        <v>Rơ mooc gắn sau xe máy</v>
      </c>
      <c r="G485" s="101" t="s">
        <v>6468</v>
      </c>
      <c r="H485" s="19" t="str">
        <f>IFERROR(VLOOKUP(B485,'03. THIẾT BỊ'!$B$1:$S$836,7,0),"")</f>
        <v>XN Chuối DP2</v>
      </c>
      <c r="I485" s="610">
        <f>IFERROR(VLOOKUP(B485,'03. THIẾT BỊ'!$B$1:$S$836,8,0),"")</f>
        <v>0</v>
      </c>
      <c r="J485" s="25"/>
      <c r="K485" s="19" t="str">
        <f>IFERROR(VLOOKUP(B485,'03. THIẾT BỊ'!$B$1:$S$836,10,0),"")</f>
        <v>Bình thường</v>
      </c>
      <c r="L485" s="25">
        <f>IFERROR(VLOOKUP(B485,'03. THIẾT BỊ'!$B$1:$S$836,11,0),"")</f>
        <v>0</v>
      </c>
      <c r="M485" s="24">
        <f>IFERROR(VLOOKUP(B485,'03. THIẾT BỊ'!$B$1:$S$836,12,0),"")</f>
        <v>0</v>
      </c>
      <c r="N485" s="25" t="str">
        <f>IFERROR(VLOOKUP(B485,'03. THIẾT BỊ'!$B$1:$S$836,13,0),"")</f>
        <v>THACO AGRI</v>
      </c>
      <c r="O485" s="24">
        <f>IFERROR(VLOOKUP(B485,'03. THIẾT BỊ'!$B$1:$S$836,14,0),"")</f>
        <v>0</v>
      </c>
      <c r="P485" s="25" t="str">
        <f>IFERROR(VLOOKUP(B485,'03. THIẾT BỊ'!$B$1:$S$836,15,0),"")</f>
        <v>CK-CGH</v>
      </c>
      <c r="Q485" s="23">
        <f>IFERROR(VLOOKUP(B485,'03. THIẾT BỊ'!$B$1:$S$836,16,0),"")</f>
        <v>0</v>
      </c>
      <c r="R485" s="25">
        <f>IFERROR(VLOOKUP(B485,'03. THIẾT BỊ'!$B$1:$S$836,17,0),"")</f>
        <v>0</v>
      </c>
      <c r="S485" s="25">
        <f>IFERROR(VLOOKUP(B485,'03. THIẾT BỊ'!$B$1:$S$836,18,0),"")</f>
        <v>0</v>
      </c>
      <c r="T485" s="41"/>
    </row>
    <row r="486" customHeight="1" spans="1:20">
      <c r="A486" s="19">
        <f t="shared" si="23"/>
        <v>14</v>
      </c>
      <c r="B486" s="20" t="s">
        <v>4481</v>
      </c>
      <c r="C486" s="613">
        <f>IFERROR(VLOOKUP(B486,'03. THIẾT BỊ'!$B$1:$S$836,2,0),"")</f>
        <v>0</v>
      </c>
      <c r="D486" s="24" t="str">
        <f>IFERROR(VLOOKUP(B486,'03. THIẾT BỊ'!$B$1:$S$836,3,0),"")</f>
        <v>A23-MXM-013</v>
      </c>
      <c r="E486" s="20" t="str">
        <f>IFERROR(VLOOKUP(B486,'03. THIẾT BỊ'!$B$1:$S$836,4,0),"")</f>
        <v>ĐQSD</v>
      </c>
      <c r="F486" s="20" t="str">
        <f>IFERROR(VLOOKUP(B486,'03. THIẾT BỊ'!$B$1:$S$836,5,0),"")</f>
        <v>Rơ mooc gắn sau xe máy</v>
      </c>
      <c r="G486" s="101" t="s">
        <v>6468</v>
      </c>
      <c r="H486" s="19" t="str">
        <f>IFERROR(VLOOKUP(B486,'03. THIẾT BỊ'!$B$1:$S$836,7,0),"")</f>
        <v>XN Chuối DP2</v>
      </c>
      <c r="I486" s="610">
        <f>IFERROR(VLOOKUP(B486,'03. THIẾT BỊ'!$B$1:$S$836,8,0),"")</f>
        <v>0</v>
      </c>
      <c r="J486" s="25"/>
      <c r="K486" s="19" t="str">
        <f>IFERROR(VLOOKUP(B486,'03. THIẾT BỊ'!$B$1:$S$836,10,0),"")</f>
        <v>Bình thường</v>
      </c>
      <c r="L486" s="25">
        <f>IFERROR(VLOOKUP(B486,'03. THIẾT BỊ'!$B$1:$S$836,11,0),"")</f>
        <v>0</v>
      </c>
      <c r="M486" s="24">
        <f>IFERROR(VLOOKUP(B486,'03. THIẾT BỊ'!$B$1:$S$836,12,0),"")</f>
        <v>0</v>
      </c>
      <c r="N486" s="25" t="str">
        <f>IFERROR(VLOOKUP(B486,'03. THIẾT BỊ'!$B$1:$S$836,13,0),"")</f>
        <v>THACO AGRI</v>
      </c>
      <c r="O486" s="24">
        <f>IFERROR(VLOOKUP(B486,'03. THIẾT BỊ'!$B$1:$S$836,14,0),"")</f>
        <v>0</v>
      </c>
      <c r="P486" s="25" t="str">
        <f>IFERROR(VLOOKUP(B486,'03. THIẾT BỊ'!$B$1:$S$836,15,0),"")</f>
        <v>CK-CGH</v>
      </c>
      <c r="Q486" s="23">
        <f>IFERROR(VLOOKUP(B486,'03. THIẾT BỊ'!$B$1:$S$836,16,0),"")</f>
        <v>0</v>
      </c>
      <c r="R486" s="25">
        <f>IFERROR(VLOOKUP(B486,'03. THIẾT BỊ'!$B$1:$S$836,17,0),"")</f>
        <v>0</v>
      </c>
      <c r="S486" s="25">
        <f>IFERROR(VLOOKUP(B486,'03. THIẾT BỊ'!$B$1:$S$836,18,0),"")</f>
        <v>0</v>
      </c>
      <c r="T486" s="41"/>
    </row>
    <row r="487" customHeight="1" spans="1:20">
      <c r="A487" s="19">
        <f t="shared" si="23"/>
        <v>15</v>
      </c>
      <c r="B487" s="20" t="s">
        <v>4483</v>
      </c>
      <c r="C487" s="613">
        <f>IFERROR(VLOOKUP(B487,'03. THIẾT BỊ'!$B$1:$S$836,2,0),"")</f>
        <v>0</v>
      </c>
      <c r="D487" s="24" t="str">
        <f>IFERROR(VLOOKUP(B487,'03. THIẾT BỊ'!$B$1:$S$836,3,0),"")</f>
        <v>A23-MXM-014</v>
      </c>
      <c r="E487" s="20" t="str">
        <f>IFERROR(VLOOKUP(B487,'03. THIẾT BỊ'!$B$1:$S$836,4,0),"")</f>
        <v>ĐQSD</v>
      </c>
      <c r="F487" s="20" t="str">
        <f>IFERROR(VLOOKUP(B487,'03. THIẾT BỊ'!$B$1:$S$836,5,0),"")</f>
        <v>Rơ mooc gắn sau xe máy</v>
      </c>
      <c r="G487" s="101" t="s">
        <v>6468</v>
      </c>
      <c r="H487" s="19" t="str">
        <f>IFERROR(VLOOKUP(B487,'03. THIẾT BỊ'!$B$1:$S$836,7,0),"")</f>
        <v>XN Chuối DP2</v>
      </c>
      <c r="I487" s="610">
        <f>IFERROR(VLOOKUP(B487,'03. THIẾT BỊ'!$B$1:$S$836,8,0),"")</f>
        <v>0</v>
      </c>
      <c r="J487" s="25"/>
      <c r="K487" s="19" t="str">
        <f>IFERROR(VLOOKUP(B487,'03. THIẾT BỊ'!$B$1:$S$836,10,0),"")</f>
        <v>Bình thường</v>
      </c>
      <c r="L487" s="25">
        <f>IFERROR(VLOOKUP(B487,'03. THIẾT BỊ'!$B$1:$S$836,11,0),"")</f>
        <v>0</v>
      </c>
      <c r="M487" s="24">
        <f>IFERROR(VLOOKUP(B487,'03. THIẾT BỊ'!$B$1:$S$836,12,0),"")</f>
        <v>0</v>
      </c>
      <c r="N487" s="25" t="str">
        <f>IFERROR(VLOOKUP(B487,'03. THIẾT BỊ'!$B$1:$S$836,13,0),"")</f>
        <v>THACO AGRI</v>
      </c>
      <c r="O487" s="24">
        <f>IFERROR(VLOOKUP(B487,'03. THIẾT BỊ'!$B$1:$S$836,14,0),"")</f>
        <v>0</v>
      </c>
      <c r="P487" s="25" t="str">
        <f>IFERROR(VLOOKUP(B487,'03. THIẾT BỊ'!$B$1:$S$836,15,0),"")</f>
        <v>CK-CGH</v>
      </c>
      <c r="Q487" s="23">
        <f>IFERROR(VLOOKUP(B487,'03. THIẾT BỊ'!$B$1:$S$836,16,0),"")</f>
        <v>0</v>
      </c>
      <c r="R487" s="25">
        <f>IFERROR(VLOOKUP(B487,'03. THIẾT BỊ'!$B$1:$S$836,17,0),"")</f>
        <v>0</v>
      </c>
      <c r="S487" s="25">
        <f>IFERROR(VLOOKUP(B487,'03. THIẾT BỊ'!$B$1:$S$836,18,0),"")</f>
        <v>0</v>
      </c>
      <c r="T487" s="41"/>
    </row>
    <row r="488" customHeight="1" spans="1:20">
      <c r="A488" s="19">
        <f t="shared" si="23"/>
        <v>16</v>
      </c>
      <c r="B488" s="20" t="s">
        <v>4485</v>
      </c>
      <c r="C488" s="613">
        <f>IFERROR(VLOOKUP(B488,'03. THIẾT BỊ'!$B$1:$S$836,2,0),"")</f>
        <v>0</v>
      </c>
      <c r="D488" s="24" t="str">
        <f>IFERROR(VLOOKUP(B488,'03. THIẾT BỊ'!$B$1:$S$836,3,0),"")</f>
        <v>A23-MXM-015</v>
      </c>
      <c r="E488" s="20" t="str">
        <f>IFERROR(VLOOKUP(B488,'03. THIẾT BỊ'!$B$1:$S$836,4,0),"")</f>
        <v>ĐQSD</v>
      </c>
      <c r="F488" s="20" t="str">
        <f>IFERROR(VLOOKUP(B488,'03. THIẾT BỊ'!$B$1:$S$836,5,0),"")</f>
        <v>Rơ mooc gắn sau xe máy</v>
      </c>
      <c r="G488" s="101" t="s">
        <v>6468</v>
      </c>
      <c r="H488" s="19" t="str">
        <f>IFERROR(VLOOKUP(B488,'03. THIẾT BỊ'!$B$1:$S$836,7,0),"")</f>
        <v>XN Chuối DP2</v>
      </c>
      <c r="I488" s="610">
        <f>IFERROR(VLOOKUP(B488,'03. THIẾT BỊ'!$B$1:$S$836,8,0),"")</f>
        <v>0</v>
      </c>
      <c r="J488" s="25"/>
      <c r="K488" s="19" t="str">
        <f>IFERROR(VLOOKUP(B488,'03. THIẾT BỊ'!$B$1:$S$836,10,0),"")</f>
        <v>Bình thường</v>
      </c>
      <c r="L488" s="25">
        <f>IFERROR(VLOOKUP(B488,'03. THIẾT BỊ'!$B$1:$S$836,11,0),"")</f>
        <v>0</v>
      </c>
      <c r="M488" s="24">
        <f>IFERROR(VLOOKUP(B488,'03. THIẾT BỊ'!$B$1:$S$836,12,0),"")</f>
        <v>0</v>
      </c>
      <c r="N488" s="25" t="str">
        <f>IFERROR(VLOOKUP(B488,'03. THIẾT BỊ'!$B$1:$S$836,13,0),"")</f>
        <v>THACO AGRI</v>
      </c>
      <c r="O488" s="24">
        <f>IFERROR(VLOOKUP(B488,'03. THIẾT BỊ'!$B$1:$S$836,14,0),"")</f>
        <v>0</v>
      </c>
      <c r="P488" s="25" t="str">
        <f>IFERROR(VLOOKUP(B488,'03. THIẾT BỊ'!$B$1:$S$836,15,0),"")</f>
        <v>CK-CGH</v>
      </c>
      <c r="Q488" s="23">
        <f>IFERROR(VLOOKUP(B488,'03. THIẾT BỊ'!$B$1:$S$836,16,0),"")</f>
        <v>0</v>
      </c>
      <c r="R488" s="25">
        <f>IFERROR(VLOOKUP(B488,'03. THIẾT BỊ'!$B$1:$S$836,17,0),"")</f>
        <v>0</v>
      </c>
      <c r="S488" s="25">
        <f>IFERROR(VLOOKUP(B488,'03. THIẾT BỊ'!$B$1:$S$836,18,0),"")</f>
        <v>0</v>
      </c>
      <c r="T488" s="41"/>
    </row>
    <row r="489" customHeight="1" spans="1:20">
      <c r="A489" s="19">
        <f t="shared" si="23"/>
        <v>17</v>
      </c>
      <c r="B489" s="20" t="s">
        <v>4594</v>
      </c>
      <c r="C489" s="613">
        <f>IFERROR(VLOOKUP(B489,'03. THIẾT BỊ'!$B$1:$S$836,2,0),"")</f>
        <v>0</v>
      </c>
      <c r="D489" s="24" t="str">
        <f>IFERROR(VLOOKUP(B489,'03. THIẾT BỊ'!$B$1:$S$836,3,0),"")</f>
        <v>A23-MXM-016</v>
      </c>
      <c r="E489" s="20" t="str">
        <f>IFERROR(VLOOKUP(B489,'03. THIẾT BỊ'!$B$1:$S$836,4,0),"")</f>
        <v>ĐQSD</v>
      </c>
      <c r="F489" s="20" t="str">
        <f>IFERROR(VLOOKUP(B489,'03. THIẾT BỊ'!$B$1:$S$836,5,0),"")</f>
        <v>Rơ mooc gắn sau xe máy</v>
      </c>
      <c r="G489" s="101" t="s">
        <v>6468</v>
      </c>
      <c r="H489" s="19" t="str">
        <f>IFERROR(VLOOKUP(B489,'03. THIẾT BỊ'!$B$1:$S$836,7,0),"")</f>
        <v>XN Chuối DP3</v>
      </c>
      <c r="I489" s="610">
        <f>IFERROR(VLOOKUP(B489,'03. THIẾT BỊ'!$B$1:$S$836,8,0),"")</f>
        <v>0</v>
      </c>
      <c r="J489" s="25"/>
      <c r="K489" s="19" t="str">
        <f>IFERROR(VLOOKUP(B489,'03. THIẾT BỊ'!$B$1:$S$836,10,0),"")</f>
        <v>Bình thường</v>
      </c>
      <c r="L489" s="25">
        <f>IFERROR(VLOOKUP(B489,'03. THIẾT BỊ'!$B$1:$S$836,11,0),"")</f>
        <v>0</v>
      </c>
      <c r="M489" s="24">
        <f>IFERROR(VLOOKUP(B489,'03. THIẾT BỊ'!$B$1:$S$836,12,0),"")</f>
        <v>0</v>
      </c>
      <c r="N489" s="25" t="str">
        <f>IFERROR(VLOOKUP(B489,'03. THIẾT BỊ'!$B$1:$S$836,13,0),"")</f>
        <v>THACO AGRI</v>
      </c>
      <c r="O489" s="24">
        <f>IFERROR(VLOOKUP(B489,'03. THIẾT BỊ'!$B$1:$S$836,14,0),"")</f>
        <v>0</v>
      </c>
      <c r="P489" s="25" t="str">
        <f>IFERROR(VLOOKUP(B489,'03. THIẾT BỊ'!$B$1:$S$836,15,0),"")</f>
        <v>CK-CGH</v>
      </c>
      <c r="Q489" s="23">
        <f>IFERROR(VLOOKUP(B489,'03. THIẾT BỊ'!$B$1:$S$836,16,0),"")</f>
        <v>0</v>
      </c>
      <c r="R489" s="25">
        <f>IFERROR(VLOOKUP(B489,'03. THIẾT BỊ'!$B$1:$S$836,17,0),"")</f>
        <v>0</v>
      </c>
      <c r="S489" s="25">
        <f>IFERROR(VLOOKUP(B489,'03. THIẾT BỊ'!$B$1:$S$836,18,0),"")</f>
        <v>0</v>
      </c>
      <c r="T489" s="615"/>
    </row>
    <row r="490" customHeight="1" spans="1:20">
      <c r="A490" s="19">
        <f t="shared" si="23"/>
        <v>18</v>
      </c>
      <c r="B490" s="20" t="s">
        <v>4596</v>
      </c>
      <c r="C490" s="613">
        <f>IFERROR(VLOOKUP(B490,'03. THIẾT BỊ'!$B$1:$S$836,2,0),"")</f>
        <v>0</v>
      </c>
      <c r="D490" s="24" t="str">
        <f>IFERROR(VLOOKUP(B490,'03. THIẾT BỊ'!$B$1:$S$836,3,0),"")</f>
        <v>A23-MXM-017</v>
      </c>
      <c r="E490" s="20" t="str">
        <f>IFERROR(VLOOKUP(B490,'03. THIẾT BỊ'!$B$1:$S$836,4,0),"")</f>
        <v>ĐQSD</v>
      </c>
      <c r="F490" s="20" t="str">
        <f>IFERROR(VLOOKUP(B490,'03. THIẾT BỊ'!$B$1:$S$836,5,0),"")</f>
        <v>Rơ mooc gắn sau xe máy</v>
      </c>
      <c r="G490" s="101" t="s">
        <v>6468</v>
      </c>
      <c r="H490" s="19" t="str">
        <f>IFERROR(VLOOKUP(B490,'03. THIẾT BỊ'!$B$1:$S$836,7,0),"")</f>
        <v>XN Chuối DP3</v>
      </c>
      <c r="I490" s="610">
        <f>IFERROR(VLOOKUP(B490,'03. THIẾT BỊ'!$B$1:$S$836,8,0),"")</f>
        <v>0</v>
      </c>
      <c r="J490" s="25"/>
      <c r="K490" s="19" t="str">
        <f>IFERROR(VLOOKUP(B490,'03. THIẾT BỊ'!$B$1:$S$836,10,0),"")</f>
        <v>Bình thường</v>
      </c>
      <c r="L490" s="25">
        <f>IFERROR(VLOOKUP(B490,'03. THIẾT BỊ'!$B$1:$S$836,11,0),"")</f>
        <v>0</v>
      </c>
      <c r="M490" s="24">
        <f>IFERROR(VLOOKUP(B490,'03. THIẾT BỊ'!$B$1:$S$836,12,0),"")</f>
        <v>0</v>
      </c>
      <c r="N490" s="25" t="str">
        <f>IFERROR(VLOOKUP(B490,'03. THIẾT BỊ'!$B$1:$S$836,13,0),"")</f>
        <v>THACO AGRI</v>
      </c>
      <c r="O490" s="24">
        <f>IFERROR(VLOOKUP(B490,'03. THIẾT BỊ'!$B$1:$S$836,14,0),"")</f>
        <v>0</v>
      </c>
      <c r="P490" s="25" t="str">
        <f>IFERROR(VLOOKUP(B490,'03. THIẾT BỊ'!$B$1:$S$836,15,0),"")</f>
        <v>CK-CGH</v>
      </c>
      <c r="Q490" s="23">
        <f>IFERROR(VLOOKUP(B490,'03. THIẾT BỊ'!$B$1:$S$836,16,0),"")</f>
        <v>0</v>
      </c>
      <c r="R490" s="25">
        <f>IFERROR(VLOOKUP(B490,'03. THIẾT BỊ'!$B$1:$S$836,17,0),"")</f>
        <v>0</v>
      </c>
      <c r="S490" s="25">
        <f>IFERROR(VLOOKUP(B490,'03. THIẾT BỊ'!$B$1:$S$836,18,0),"")</f>
        <v>0</v>
      </c>
      <c r="T490" s="615"/>
    </row>
    <row r="491" customHeight="1" spans="1:20">
      <c r="A491" s="19">
        <f t="shared" si="23"/>
        <v>19</v>
      </c>
      <c r="B491" s="20" t="s">
        <v>4598</v>
      </c>
      <c r="C491" s="613">
        <f>IFERROR(VLOOKUP(B491,'03. THIẾT BỊ'!$B$1:$S$836,2,0),"")</f>
        <v>0</v>
      </c>
      <c r="D491" s="24" t="str">
        <f>IFERROR(VLOOKUP(B491,'03. THIẾT BỊ'!$B$1:$S$836,3,0),"")</f>
        <v>A23-MXM-018</v>
      </c>
      <c r="E491" s="20" t="str">
        <f>IFERROR(VLOOKUP(B491,'03. THIẾT BỊ'!$B$1:$S$836,4,0),"")</f>
        <v>ĐQSD</v>
      </c>
      <c r="F491" s="20" t="str">
        <f>IFERROR(VLOOKUP(B491,'03. THIẾT BỊ'!$B$1:$S$836,5,0),"")</f>
        <v>Rơ mooc gắn sau xe máy</v>
      </c>
      <c r="G491" s="101" t="s">
        <v>6468</v>
      </c>
      <c r="H491" s="19" t="str">
        <f>IFERROR(VLOOKUP(B491,'03. THIẾT BỊ'!$B$1:$S$836,7,0),"")</f>
        <v>XN Chuối DP3</v>
      </c>
      <c r="I491" s="610">
        <f>IFERROR(VLOOKUP(B491,'03. THIẾT BỊ'!$B$1:$S$836,8,0),"")</f>
        <v>0</v>
      </c>
      <c r="J491" s="25"/>
      <c r="K491" s="19" t="str">
        <f>IFERROR(VLOOKUP(B491,'03. THIẾT BỊ'!$B$1:$S$836,10,0),"")</f>
        <v>Bình thường</v>
      </c>
      <c r="L491" s="25">
        <f>IFERROR(VLOOKUP(B491,'03. THIẾT BỊ'!$B$1:$S$836,11,0),"")</f>
        <v>0</v>
      </c>
      <c r="M491" s="24">
        <f>IFERROR(VLOOKUP(B491,'03. THIẾT BỊ'!$B$1:$S$836,12,0),"")</f>
        <v>0</v>
      </c>
      <c r="N491" s="25" t="str">
        <f>IFERROR(VLOOKUP(B491,'03. THIẾT BỊ'!$B$1:$S$836,13,0),"")</f>
        <v>THACO AGRI</v>
      </c>
      <c r="O491" s="24">
        <f>IFERROR(VLOOKUP(B491,'03. THIẾT BỊ'!$B$1:$S$836,14,0),"")</f>
        <v>0</v>
      </c>
      <c r="P491" s="25" t="str">
        <f>IFERROR(VLOOKUP(B491,'03. THIẾT BỊ'!$B$1:$S$836,15,0),"")</f>
        <v>CK-CGH</v>
      </c>
      <c r="Q491" s="23">
        <f>IFERROR(VLOOKUP(B491,'03. THIẾT BỊ'!$B$1:$S$836,16,0),"")</f>
        <v>0</v>
      </c>
      <c r="R491" s="25">
        <f>IFERROR(VLOOKUP(B491,'03. THIẾT BỊ'!$B$1:$S$836,17,0),"")</f>
        <v>0</v>
      </c>
      <c r="S491" s="25">
        <f>IFERROR(VLOOKUP(B491,'03. THIẾT BỊ'!$B$1:$S$836,18,0),"")</f>
        <v>0</v>
      </c>
      <c r="T491" s="615"/>
    </row>
    <row r="492" customHeight="1" spans="1:20">
      <c r="A492" s="19">
        <f t="shared" si="23"/>
        <v>20</v>
      </c>
      <c r="B492" s="20" t="s">
        <v>4600</v>
      </c>
      <c r="C492" s="613">
        <f>IFERROR(VLOOKUP(B492,'03. THIẾT BỊ'!$B$1:$S$836,2,0),"")</f>
        <v>0</v>
      </c>
      <c r="D492" s="24" t="str">
        <f>IFERROR(VLOOKUP(B492,'03. THIẾT BỊ'!$B$1:$S$836,3,0),"")</f>
        <v>A23-MXM-019</v>
      </c>
      <c r="E492" s="20" t="str">
        <f>IFERROR(VLOOKUP(B492,'03. THIẾT BỊ'!$B$1:$S$836,4,0),"")</f>
        <v>ĐQSD</v>
      </c>
      <c r="F492" s="20" t="str">
        <f>IFERROR(VLOOKUP(B492,'03. THIẾT BỊ'!$B$1:$S$836,5,0),"")</f>
        <v>Rơ mooc gắn sau xe máy</v>
      </c>
      <c r="G492" s="101" t="s">
        <v>6468</v>
      </c>
      <c r="H492" s="19" t="str">
        <f>IFERROR(VLOOKUP(B492,'03. THIẾT BỊ'!$B$1:$S$836,7,0),"")</f>
        <v>XN Chuối DP3</v>
      </c>
      <c r="I492" s="610">
        <f>IFERROR(VLOOKUP(B492,'03. THIẾT BỊ'!$B$1:$S$836,8,0),"")</f>
        <v>0</v>
      </c>
      <c r="J492" s="25"/>
      <c r="K492" s="19" t="str">
        <f>IFERROR(VLOOKUP(B492,'03. THIẾT BỊ'!$B$1:$S$836,10,0),"")</f>
        <v>Bình thường</v>
      </c>
      <c r="L492" s="25">
        <f>IFERROR(VLOOKUP(B492,'03. THIẾT BỊ'!$B$1:$S$836,11,0),"")</f>
        <v>0</v>
      </c>
      <c r="M492" s="24">
        <f>IFERROR(VLOOKUP(B492,'03. THIẾT BỊ'!$B$1:$S$836,12,0),"")</f>
        <v>0</v>
      </c>
      <c r="N492" s="25" t="str">
        <f>IFERROR(VLOOKUP(B492,'03. THIẾT BỊ'!$B$1:$S$836,13,0),"")</f>
        <v>THACO AGRI</v>
      </c>
      <c r="O492" s="24">
        <f>IFERROR(VLOOKUP(B492,'03. THIẾT BỊ'!$B$1:$S$836,14,0),"")</f>
        <v>0</v>
      </c>
      <c r="P492" s="25" t="str">
        <f>IFERROR(VLOOKUP(B492,'03. THIẾT BỊ'!$B$1:$S$836,15,0),"")</f>
        <v>CK-CGH</v>
      </c>
      <c r="Q492" s="23">
        <f>IFERROR(VLOOKUP(B492,'03. THIẾT BỊ'!$B$1:$S$836,16,0),"")</f>
        <v>0</v>
      </c>
      <c r="R492" s="25">
        <f>IFERROR(VLOOKUP(B492,'03. THIẾT BỊ'!$B$1:$S$836,17,0),"")</f>
        <v>0</v>
      </c>
      <c r="S492" s="25">
        <f>IFERROR(VLOOKUP(B492,'03. THIẾT BỊ'!$B$1:$S$836,18,0),"")</f>
        <v>0</v>
      </c>
      <c r="T492" s="615"/>
    </row>
    <row r="493" customHeight="1" spans="1:20">
      <c r="A493" s="19">
        <f t="shared" si="23"/>
        <v>21</v>
      </c>
      <c r="B493" s="20" t="s">
        <v>4602</v>
      </c>
      <c r="C493" s="613">
        <f>IFERROR(VLOOKUP(B493,'03. THIẾT BỊ'!$B$1:$S$836,2,0),"")</f>
        <v>0</v>
      </c>
      <c r="D493" s="24" t="str">
        <f>IFERROR(VLOOKUP(B493,'03. THIẾT BỊ'!$B$1:$S$836,3,0),"")</f>
        <v>A23-MXM-020</v>
      </c>
      <c r="E493" s="20" t="str">
        <f>IFERROR(VLOOKUP(B493,'03. THIẾT BỊ'!$B$1:$S$836,4,0),"")</f>
        <v>ĐQSD</v>
      </c>
      <c r="F493" s="20" t="str">
        <f>IFERROR(VLOOKUP(B493,'03. THIẾT BỊ'!$B$1:$S$836,5,0),"")</f>
        <v>Rơ mooc gắn sau xe máy</v>
      </c>
      <c r="G493" s="101" t="s">
        <v>6468</v>
      </c>
      <c r="H493" s="19" t="str">
        <f>IFERROR(VLOOKUP(B493,'03. THIẾT BỊ'!$B$1:$S$836,7,0),"")</f>
        <v>XN Chuối DP3</v>
      </c>
      <c r="I493" s="610">
        <f>IFERROR(VLOOKUP(B493,'03. THIẾT BỊ'!$B$1:$S$836,8,0),"")</f>
        <v>0</v>
      </c>
      <c r="J493" s="25"/>
      <c r="K493" s="19" t="str">
        <f>IFERROR(VLOOKUP(B493,'03. THIẾT BỊ'!$B$1:$S$836,10,0),"")</f>
        <v>Bình thường</v>
      </c>
      <c r="L493" s="25">
        <f>IFERROR(VLOOKUP(B493,'03. THIẾT BỊ'!$B$1:$S$836,11,0),"")</f>
        <v>0</v>
      </c>
      <c r="M493" s="24">
        <f>IFERROR(VLOOKUP(B493,'03. THIẾT BỊ'!$B$1:$S$836,12,0),"")</f>
        <v>0</v>
      </c>
      <c r="N493" s="25" t="str">
        <f>IFERROR(VLOOKUP(B493,'03. THIẾT BỊ'!$B$1:$S$836,13,0),"")</f>
        <v>THACO AGRI</v>
      </c>
      <c r="O493" s="24">
        <f>IFERROR(VLOOKUP(B493,'03. THIẾT BỊ'!$B$1:$S$836,14,0),"")</f>
        <v>0</v>
      </c>
      <c r="P493" s="25" t="str">
        <f>IFERROR(VLOOKUP(B493,'03. THIẾT BỊ'!$B$1:$S$836,15,0),"")</f>
        <v>CK-CGH</v>
      </c>
      <c r="Q493" s="23">
        <f>IFERROR(VLOOKUP(B493,'03. THIẾT BỊ'!$B$1:$S$836,16,0),"")</f>
        <v>0</v>
      </c>
      <c r="R493" s="25">
        <f>IFERROR(VLOOKUP(B493,'03. THIẾT BỊ'!$B$1:$S$836,17,0),"")</f>
        <v>0</v>
      </c>
      <c r="S493" s="25">
        <f>IFERROR(VLOOKUP(B493,'03. THIẾT BỊ'!$B$1:$S$836,18,0),"")</f>
        <v>0</v>
      </c>
      <c r="T493" s="615"/>
    </row>
    <row r="494" customHeight="1" spans="1:20">
      <c r="A494" s="19">
        <f t="shared" si="23"/>
        <v>22</v>
      </c>
      <c r="B494" s="20" t="s">
        <v>4604</v>
      </c>
      <c r="C494" s="613">
        <f>IFERROR(VLOOKUP(B494,'03. THIẾT BỊ'!$B$1:$S$836,2,0),"")</f>
        <v>0</v>
      </c>
      <c r="D494" s="24" t="str">
        <f>IFERROR(VLOOKUP(B494,'03. THIẾT BỊ'!$B$1:$S$836,3,0),"")</f>
        <v>A23-MXM-021</v>
      </c>
      <c r="E494" s="20" t="str">
        <f>IFERROR(VLOOKUP(B494,'03. THIẾT BỊ'!$B$1:$S$836,4,0),"")</f>
        <v>ĐQSD</v>
      </c>
      <c r="F494" s="20" t="str">
        <f>IFERROR(VLOOKUP(B494,'03. THIẾT BỊ'!$B$1:$S$836,5,0),"")</f>
        <v>Rơ mooc gắn sau xe máy</v>
      </c>
      <c r="G494" s="101" t="s">
        <v>6468</v>
      </c>
      <c r="H494" s="19" t="str">
        <f>IFERROR(VLOOKUP(B494,'03. THIẾT BỊ'!$B$1:$S$836,7,0),"")</f>
        <v>XN Chuối DP3</v>
      </c>
      <c r="I494" s="610">
        <f>IFERROR(VLOOKUP(B494,'03. THIẾT BỊ'!$B$1:$S$836,8,0),"")</f>
        <v>0</v>
      </c>
      <c r="J494" s="25"/>
      <c r="K494" s="19" t="str">
        <f>IFERROR(VLOOKUP(B494,'03. THIẾT BỊ'!$B$1:$S$836,10,0),"")</f>
        <v>Bình thường</v>
      </c>
      <c r="L494" s="25">
        <f>IFERROR(VLOOKUP(B494,'03. THIẾT BỊ'!$B$1:$S$836,11,0),"")</f>
        <v>0</v>
      </c>
      <c r="M494" s="24">
        <f>IFERROR(VLOOKUP(B494,'03. THIẾT BỊ'!$B$1:$S$836,12,0),"")</f>
        <v>0</v>
      </c>
      <c r="N494" s="25" t="str">
        <f>IFERROR(VLOOKUP(B494,'03. THIẾT BỊ'!$B$1:$S$836,13,0),"")</f>
        <v>THACO AGRI</v>
      </c>
      <c r="O494" s="24">
        <f>IFERROR(VLOOKUP(B494,'03. THIẾT BỊ'!$B$1:$S$836,14,0),"")</f>
        <v>0</v>
      </c>
      <c r="P494" s="25" t="str">
        <f>IFERROR(VLOOKUP(B494,'03. THIẾT BỊ'!$B$1:$S$836,15,0),"")</f>
        <v>CK-CGH</v>
      </c>
      <c r="Q494" s="23">
        <f>IFERROR(VLOOKUP(B494,'03. THIẾT BỊ'!$B$1:$S$836,16,0),"")</f>
        <v>0</v>
      </c>
      <c r="R494" s="25">
        <f>IFERROR(VLOOKUP(B494,'03. THIẾT BỊ'!$B$1:$S$836,17,0),"")</f>
        <v>0</v>
      </c>
      <c r="S494" s="25">
        <f>IFERROR(VLOOKUP(B494,'03. THIẾT BỊ'!$B$1:$S$836,18,0),"")</f>
        <v>0</v>
      </c>
      <c r="T494" s="615"/>
    </row>
    <row r="495" customHeight="1" spans="1:20">
      <c r="A495" s="19">
        <f t="shared" si="23"/>
        <v>23</v>
      </c>
      <c r="B495" s="20" t="s">
        <v>4753</v>
      </c>
      <c r="C495" s="613">
        <f>IFERROR(VLOOKUP(B495,'03. THIẾT BỊ'!$B$1:$S$836,2,0),"")</f>
        <v>0</v>
      </c>
      <c r="D495" s="24" t="str">
        <f>IFERROR(VLOOKUP(B495,'03. THIẾT BỊ'!$B$1:$S$836,3,0),"")</f>
        <v>A24-MXM-009</v>
      </c>
      <c r="E495" s="20" t="str">
        <f>IFERROR(VLOOKUP(B495,'03. THIẾT BỊ'!$B$1:$S$836,4,0),"")</f>
        <v>ĐQSD</v>
      </c>
      <c r="F495" s="20" t="str">
        <f>IFERROR(VLOOKUP(B495,'03. THIẾT BỊ'!$B$1:$S$836,5,0),"")</f>
        <v>Rơ mooc gắn sau xe máy </v>
      </c>
      <c r="G495" s="101" t="s">
        <v>6468</v>
      </c>
      <c r="H495" s="19" t="str">
        <f>IFERROR(VLOOKUP(B495,'03. THIẾT BỊ'!$B$1:$S$836,7,0),"")</f>
        <v>XN Chuối LP1</v>
      </c>
      <c r="I495" s="610" t="str">
        <f>IFERROR(VLOOKUP(B495,'03. THIẾT BỊ'!$B$1:$S$836,8,0),"")</f>
        <v>16/07/2024</v>
      </c>
      <c r="J495" s="25"/>
      <c r="K495" s="19" t="str">
        <f>IFERROR(VLOOKUP(B495,'03. THIẾT BỊ'!$B$1:$S$836,10,0),"")</f>
        <v>Bình thường</v>
      </c>
      <c r="L495" s="25" t="str">
        <f>IFERROR(VLOOKUP(B495,'03. THIẾT BỊ'!$B$1:$S$836,11,0),"")</f>
        <v>Đ.chuyển từ XN LP4 ngày 16/07/2024</v>
      </c>
      <c r="M495" s="24">
        <f>IFERROR(VLOOKUP(B495,'03. THIẾT BỊ'!$B$1:$S$836,12,0),"")</f>
        <v>0</v>
      </c>
      <c r="N495" s="25" t="str">
        <f>IFERROR(VLOOKUP(B495,'03. THIẾT BỊ'!$B$1:$S$836,13,0),"")</f>
        <v>THACO AGRI</v>
      </c>
      <c r="O495" s="24">
        <f>IFERROR(VLOOKUP(B495,'03. THIẾT BỊ'!$B$1:$S$836,14,0),"")</f>
        <v>0</v>
      </c>
      <c r="P495" s="25" t="str">
        <f>IFERROR(VLOOKUP(B495,'03. THIẾT BỊ'!$B$1:$S$836,15,0),"")</f>
        <v>CK-CGH</v>
      </c>
      <c r="Q495" s="23">
        <f>IFERROR(VLOOKUP(B495,'03. THIẾT BỊ'!$B$1:$S$836,16,0),"")</f>
        <v>0</v>
      </c>
      <c r="R495" s="25">
        <f>IFERROR(VLOOKUP(B495,'03. THIẾT BỊ'!$B$1:$S$836,17,0),"")</f>
        <v>0</v>
      </c>
      <c r="S495" s="25">
        <f>IFERROR(VLOOKUP(B495,'03. THIẾT BỊ'!$B$1:$S$836,18,0),"")</f>
        <v>0</v>
      </c>
      <c r="T495" s="41"/>
    </row>
    <row r="496" customHeight="1" spans="1:20">
      <c r="A496" s="19">
        <f t="shared" si="23"/>
        <v>24</v>
      </c>
      <c r="B496" s="20" t="s">
        <v>4755</v>
      </c>
      <c r="C496" s="613" t="str">
        <f>IFERROR(VLOOKUP(B496,'03. THIẾT BỊ'!$B$1:$S$836,2,0),"")</f>
        <v>XA2-MXM-001</v>
      </c>
      <c r="D496" s="24" t="str">
        <f>IFERROR(VLOOKUP(B496,'03. THIẾT BỊ'!$B$1:$S$836,3,0),"")</f>
        <v>A22-MXM-001</v>
      </c>
      <c r="E496" s="20" t="str">
        <f>IFERROR(VLOOKUP(B496,'03. THIẾT BỊ'!$B$1:$S$836,4,0),"")</f>
        <v>ĐQSD</v>
      </c>
      <c r="F496" s="20" t="str">
        <f>IFERROR(VLOOKUP(B496,'03. THIẾT BỊ'!$B$1:$S$836,5,0),"")</f>
        <v>Rơ mooc gắn sau xe máy </v>
      </c>
      <c r="G496" s="101" t="s">
        <v>6468</v>
      </c>
      <c r="H496" s="19" t="str">
        <f>IFERROR(VLOOKUP(B496,'03. THIẾT BỊ'!$B$1:$S$836,7,0),"")</f>
        <v>XN Chuối LP1</v>
      </c>
      <c r="I496" s="610" t="str">
        <f>IFERROR(VLOOKUP(B496,'03. THIẾT BỊ'!$B$1:$S$836,8,0),"")</f>
        <v>20/02/2025</v>
      </c>
      <c r="J496" s="25"/>
      <c r="K496" s="19" t="str">
        <f>IFERROR(VLOOKUP(B496,'03. THIẾT BỊ'!$B$1:$S$836,10,0),"")</f>
        <v>Bình thường</v>
      </c>
      <c r="L496" s="25" t="str">
        <f>IFERROR(VLOOKUP(B496,'03. THIẾT BỊ'!$B$1:$S$836,11,0),"")</f>
        <v>Đ.chuyển từ XN AD2 ngày 20/02/2025</v>
      </c>
      <c r="M496" s="24">
        <f>IFERROR(VLOOKUP(B496,'03. THIẾT BỊ'!$B$1:$S$836,12,0),"")</f>
        <v>0</v>
      </c>
      <c r="N496" s="25" t="str">
        <f>IFERROR(VLOOKUP(B496,'03. THIẾT BỊ'!$B$1:$S$836,13,0),"")</f>
        <v>THACO AGRI</v>
      </c>
      <c r="O496" s="24">
        <f>IFERROR(VLOOKUP(B496,'03. THIẾT BỊ'!$B$1:$S$836,14,0),"")</f>
        <v>0</v>
      </c>
      <c r="P496" s="25" t="str">
        <f>IFERROR(VLOOKUP(B496,'03. THIẾT BỊ'!$B$1:$S$836,15,0),"")</f>
        <v>CK-CGH</v>
      </c>
      <c r="Q496" s="23">
        <f>IFERROR(VLOOKUP(B496,'03. THIẾT BỊ'!$B$1:$S$836,16,0),"")</f>
        <v>0</v>
      </c>
      <c r="R496" s="25">
        <f>IFERROR(VLOOKUP(B496,'03. THIẾT BỊ'!$B$1:$S$836,17,0),"")</f>
        <v>0</v>
      </c>
      <c r="S496" s="25">
        <f>IFERROR(VLOOKUP(B496,'03. THIẾT BỊ'!$B$1:$S$836,18,0),"")</f>
        <v>0</v>
      </c>
      <c r="T496" s="41"/>
    </row>
    <row r="497" customHeight="1" spans="1:20">
      <c r="A497" s="19">
        <f t="shared" si="23"/>
        <v>25</v>
      </c>
      <c r="B497" s="20" t="s">
        <v>4760</v>
      </c>
      <c r="C497" s="613" t="str">
        <f>IFERROR(VLOOKUP(B497,'03. THIẾT BỊ'!$B$1:$S$836,2,0),"")</f>
        <v>XA2-MXM-002</v>
      </c>
      <c r="D497" s="24" t="str">
        <f>IFERROR(VLOOKUP(B497,'03. THIẾT BỊ'!$B$1:$S$836,3,0),"")</f>
        <v>A22-MXM-002</v>
      </c>
      <c r="E497" s="20" t="str">
        <f>IFERROR(VLOOKUP(B497,'03. THIẾT BỊ'!$B$1:$S$836,4,0),"")</f>
        <v>ĐQSD</v>
      </c>
      <c r="F497" s="20" t="str">
        <f>IFERROR(VLOOKUP(B497,'03. THIẾT BỊ'!$B$1:$S$836,5,0),"")</f>
        <v>Rơ mooc gắn sau xe máy </v>
      </c>
      <c r="G497" s="101" t="s">
        <v>6468</v>
      </c>
      <c r="H497" s="19" t="str">
        <f>IFERROR(VLOOKUP(B497,'03. THIẾT BỊ'!$B$1:$S$836,7,0),"")</f>
        <v>XN Chuối LP1</v>
      </c>
      <c r="I497" s="610" t="str">
        <f>IFERROR(VLOOKUP(B497,'03. THIẾT BỊ'!$B$1:$S$836,8,0),"")</f>
        <v>20/02/2025</v>
      </c>
      <c r="J497" s="25"/>
      <c r="K497" s="19" t="str">
        <f>IFERROR(VLOOKUP(B497,'03. THIẾT BỊ'!$B$1:$S$836,10,0),"")</f>
        <v>Bình thường</v>
      </c>
      <c r="L497" s="25" t="str">
        <f>IFERROR(VLOOKUP(B497,'03. THIẾT BỊ'!$B$1:$S$836,11,0),"")</f>
        <v>Đ.chuyển từ XN AD2 ngày 20/02/2025</v>
      </c>
      <c r="M497" s="24">
        <f>IFERROR(VLOOKUP(B497,'03. THIẾT BỊ'!$B$1:$S$836,12,0),"")</f>
        <v>0</v>
      </c>
      <c r="N497" s="25" t="str">
        <f>IFERROR(VLOOKUP(B497,'03. THIẾT BỊ'!$B$1:$S$836,13,0),"")</f>
        <v>THACO AGRI</v>
      </c>
      <c r="O497" s="24">
        <f>IFERROR(VLOOKUP(B497,'03. THIẾT BỊ'!$B$1:$S$836,14,0),"")</f>
        <v>0</v>
      </c>
      <c r="P497" s="25" t="str">
        <f>IFERROR(VLOOKUP(B497,'03. THIẾT BỊ'!$B$1:$S$836,15,0),"")</f>
        <v>CK-CGH</v>
      </c>
      <c r="Q497" s="23">
        <f>IFERROR(VLOOKUP(B497,'03. THIẾT BỊ'!$B$1:$S$836,16,0),"")</f>
        <v>0</v>
      </c>
      <c r="R497" s="25">
        <f>IFERROR(VLOOKUP(B497,'03. THIẾT BỊ'!$B$1:$S$836,17,0),"")</f>
        <v>0</v>
      </c>
      <c r="S497" s="25">
        <f>IFERROR(VLOOKUP(B497,'03. THIẾT BỊ'!$B$1:$S$836,18,0),"")</f>
        <v>0</v>
      </c>
      <c r="T497" s="41"/>
    </row>
    <row r="498" customHeight="1" spans="1:20">
      <c r="A498" s="19">
        <f t="shared" si="23"/>
        <v>26</v>
      </c>
      <c r="B498" s="20" t="s">
        <v>4763</v>
      </c>
      <c r="C498" s="613" t="str">
        <f>IFERROR(VLOOKUP(B498,'03. THIẾT BỊ'!$B$1:$S$836,2,0),"")</f>
        <v>XA2-MXM-003</v>
      </c>
      <c r="D498" s="24" t="str">
        <f>IFERROR(VLOOKUP(B498,'03. THIẾT BỊ'!$B$1:$S$836,3,0),"")</f>
        <v>A22-MXM-003</v>
      </c>
      <c r="E498" s="20" t="str">
        <f>IFERROR(VLOOKUP(B498,'03. THIẾT BỊ'!$B$1:$S$836,4,0),"")</f>
        <v>ĐQSD</v>
      </c>
      <c r="F498" s="20" t="str">
        <f>IFERROR(VLOOKUP(B498,'03. THIẾT BỊ'!$B$1:$S$836,5,0),"")</f>
        <v>Rơ mooc gắn sau xe máy </v>
      </c>
      <c r="G498" s="101" t="s">
        <v>6468</v>
      </c>
      <c r="H498" s="19" t="str">
        <f>IFERROR(VLOOKUP(B498,'03. THIẾT BỊ'!$B$1:$S$836,7,0),"")</f>
        <v>XN Chuối LP1</v>
      </c>
      <c r="I498" s="610" t="str">
        <f>IFERROR(VLOOKUP(B498,'03. THIẾT BỊ'!$B$1:$S$836,8,0),"")</f>
        <v>20/02/2025</v>
      </c>
      <c r="J498" s="25"/>
      <c r="K498" s="19" t="str">
        <f>IFERROR(VLOOKUP(B498,'03. THIẾT BỊ'!$B$1:$S$836,10,0),"")</f>
        <v>Bình thường</v>
      </c>
      <c r="L498" s="25" t="str">
        <f>IFERROR(VLOOKUP(B498,'03. THIẾT BỊ'!$B$1:$S$836,11,0),"")</f>
        <v>Đ.chuyển từ XN AD2 ngày 20/02/2025</v>
      </c>
      <c r="M498" s="24">
        <f>IFERROR(VLOOKUP(B498,'03. THIẾT BỊ'!$B$1:$S$836,12,0),"")</f>
        <v>0</v>
      </c>
      <c r="N498" s="25" t="str">
        <f>IFERROR(VLOOKUP(B498,'03. THIẾT BỊ'!$B$1:$S$836,13,0),"")</f>
        <v>THACO AGRI</v>
      </c>
      <c r="O498" s="24">
        <f>IFERROR(VLOOKUP(B498,'03. THIẾT BỊ'!$B$1:$S$836,14,0),"")</f>
        <v>0</v>
      </c>
      <c r="P498" s="25" t="str">
        <f>IFERROR(VLOOKUP(B498,'03. THIẾT BỊ'!$B$1:$S$836,15,0),"")</f>
        <v>CK-CGH</v>
      </c>
      <c r="Q498" s="23">
        <f>IFERROR(VLOOKUP(B498,'03. THIẾT BỊ'!$B$1:$S$836,16,0),"")</f>
        <v>0</v>
      </c>
      <c r="R498" s="25">
        <f>IFERROR(VLOOKUP(B498,'03. THIẾT BỊ'!$B$1:$S$836,17,0),"")</f>
        <v>0</v>
      </c>
      <c r="S498" s="25">
        <f>IFERROR(VLOOKUP(B498,'03. THIẾT BỊ'!$B$1:$S$836,18,0),"")</f>
        <v>0</v>
      </c>
      <c r="T498" s="41"/>
    </row>
    <row r="499" customHeight="1" spans="1:20">
      <c r="A499" s="19">
        <f t="shared" si="23"/>
        <v>27</v>
      </c>
      <c r="B499" s="20" t="s">
        <v>4915</v>
      </c>
      <c r="C499" s="613" t="str">
        <f>IFERROR(VLOOKUP(B499,'03. THIẾT BỊ'!$B$1:$S$836,2,0),"")</f>
        <v>CK-MXM-33 </v>
      </c>
      <c r="D499" s="24" t="str">
        <f>IFERROR(VLOOKUP(B499,'03. THIẾT BỊ'!$B$1:$S$836,3,0),"")</f>
        <v>A24-MXM-001</v>
      </c>
      <c r="E499" s="20" t="str">
        <f>IFERROR(VLOOKUP(B499,'03. THIẾT BỊ'!$B$1:$S$836,4,0),"")</f>
        <v>ĐQSD</v>
      </c>
      <c r="F499" s="20" t="str">
        <f>IFERROR(VLOOKUP(B499,'03. THIẾT BỊ'!$B$1:$S$836,5,0),"")</f>
        <v>Rơ mooc gắn sau xe máy </v>
      </c>
      <c r="G499" s="101" t="s">
        <v>6468</v>
      </c>
      <c r="H499" s="19" t="str">
        <f>IFERROR(VLOOKUP(B499,'03. THIẾT BỊ'!$B$1:$S$836,7,0),"")</f>
        <v>XN Chuối LP3</v>
      </c>
      <c r="I499" s="610" t="str">
        <f>IFERROR(VLOOKUP(B499,'03. THIẾT BỊ'!$B$1:$S$836,8,0),"")</f>
        <v>26/04/2024</v>
      </c>
      <c r="J499" s="25"/>
      <c r="K499" s="19" t="str">
        <f>IFERROR(VLOOKUP(B499,'03. THIẾT BỊ'!$B$1:$S$836,10,0),"")</f>
        <v>Bình thường</v>
      </c>
      <c r="L499" s="25">
        <f>IFERROR(VLOOKUP(B499,'03. THIẾT BỊ'!$B$1:$S$836,11,0),"")</f>
        <v>0</v>
      </c>
      <c r="M499" s="24" t="str">
        <f>IFERROR(VLOOKUP(B499,'03. THIẾT BỊ'!$B$1:$S$836,12,0),"")</f>
        <v>Gia công mới</v>
      </c>
      <c r="N499" s="25" t="str">
        <f>IFERROR(VLOOKUP(B499,'03. THIẾT BỊ'!$B$1:$S$836,13,0),"")</f>
        <v>THACO AGRI</v>
      </c>
      <c r="O499" s="24">
        <f>IFERROR(VLOOKUP(B499,'03. THIẾT BỊ'!$B$1:$S$836,14,0),"")</f>
        <v>0</v>
      </c>
      <c r="P499" s="25" t="str">
        <f>IFERROR(VLOOKUP(B499,'03. THIẾT BỊ'!$B$1:$S$836,15,0),"")</f>
        <v>CK-CGH</v>
      </c>
      <c r="Q499" s="23">
        <f>IFERROR(VLOOKUP(B499,'03. THIẾT BỊ'!$B$1:$S$836,16,0),"")</f>
        <v>0</v>
      </c>
      <c r="R499" s="25" t="str">
        <f>IFERROR(VLOOKUP(B499,'03. THIẾT BỊ'!$B$1:$S$836,17,0),"")</f>
        <v>DxRxC: 3m*1.6m*1.2m</v>
      </c>
      <c r="S499" s="25">
        <f>IFERROR(VLOOKUP(B499,'03. THIẾT BỊ'!$B$1:$S$836,18,0),"")</f>
        <v>0</v>
      </c>
      <c r="T499" s="41"/>
    </row>
    <row r="500" customHeight="1" spans="1:20">
      <c r="A500" s="19">
        <f t="shared" si="23"/>
        <v>28</v>
      </c>
      <c r="B500" s="20" t="s">
        <v>4920</v>
      </c>
      <c r="C500" s="613" t="str">
        <f>IFERROR(VLOOKUP(B500,'03. THIẾT BỊ'!$B$1:$S$836,2,0),"")</f>
        <v>CK-MXM-34</v>
      </c>
      <c r="D500" s="24" t="str">
        <f>IFERROR(VLOOKUP(B500,'03. THIẾT BỊ'!$B$1:$S$836,3,0),"")</f>
        <v>A24-MXM-002</v>
      </c>
      <c r="E500" s="20" t="str">
        <f>IFERROR(VLOOKUP(B500,'03. THIẾT BỊ'!$B$1:$S$836,4,0),"")</f>
        <v>ĐQSD</v>
      </c>
      <c r="F500" s="20" t="str">
        <f>IFERROR(VLOOKUP(B500,'03. THIẾT BỊ'!$B$1:$S$836,5,0),"")</f>
        <v>Rơ mooc gắn sau xe máy </v>
      </c>
      <c r="G500" s="101" t="s">
        <v>6468</v>
      </c>
      <c r="H500" s="19" t="str">
        <f>IFERROR(VLOOKUP(B500,'03. THIẾT BỊ'!$B$1:$S$836,7,0),"")</f>
        <v>XN Chuối LP3</v>
      </c>
      <c r="I500" s="610" t="str">
        <f>IFERROR(VLOOKUP(B500,'03. THIẾT BỊ'!$B$1:$S$836,8,0),"")</f>
        <v>26/04/2024</v>
      </c>
      <c r="J500" s="25"/>
      <c r="K500" s="19" t="str">
        <f>IFERROR(VLOOKUP(B500,'03. THIẾT BỊ'!$B$1:$S$836,10,0),"")</f>
        <v>Bình thường</v>
      </c>
      <c r="L500" s="25">
        <f>IFERROR(VLOOKUP(B500,'03. THIẾT BỊ'!$B$1:$S$836,11,0),"")</f>
        <v>0</v>
      </c>
      <c r="M500" s="24" t="str">
        <f>IFERROR(VLOOKUP(B500,'03. THIẾT BỊ'!$B$1:$S$836,12,0),"")</f>
        <v>Gia công mới</v>
      </c>
      <c r="N500" s="25" t="str">
        <f>IFERROR(VLOOKUP(B500,'03. THIẾT BỊ'!$B$1:$S$836,13,0),"")</f>
        <v>THACO AGRI</v>
      </c>
      <c r="O500" s="24">
        <f>IFERROR(VLOOKUP(B500,'03. THIẾT BỊ'!$B$1:$S$836,14,0),"")</f>
        <v>0</v>
      </c>
      <c r="P500" s="25" t="str">
        <f>IFERROR(VLOOKUP(B500,'03. THIẾT BỊ'!$B$1:$S$836,15,0),"")</f>
        <v>CK-CGH</v>
      </c>
      <c r="Q500" s="23">
        <f>IFERROR(VLOOKUP(B500,'03. THIẾT BỊ'!$B$1:$S$836,16,0),"")</f>
        <v>0</v>
      </c>
      <c r="R500" s="25" t="str">
        <f>IFERROR(VLOOKUP(B500,'03. THIẾT BỊ'!$B$1:$S$836,17,0),"")</f>
        <v>DxRxC: 3m*1.6m*1.2m</v>
      </c>
      <c r="S500" s="25">
        <f>IFERROR(VLOOKUP(B500,'03. THIẾT BỊ'!$B$1:$S$836,18,0),"")</f>
        <v>0</v>
      </c>
      <c r="T500" s="41"/>
    </row>
    <row r="501" customHeight="1" spans="1:20">
      <c r="A501" s="19">
        <f t="shared" si="23"/>
        <v>29</v>
      </c>
      <c r="B501" s="20" t="s">
        <v>4923</v>
      </c>
      <c r="C501" s="613" t="str">
        <f>IFERROR(VLOOKUP(B501,'03. THIẾT BỊ'!$B$1:$S$836,2,0),"")</f>
        <v>CK-MXM-35</v>
      </c>
      <c r="D501" s="24" t="str">
        <f>IFERROR(VLOOKUP(B501,'03. THIẾT BỊ'!$B$1:$S$836,3,0),"")</f>
        <v>A24-MXM-003</v>
      </c>
      <c r="E501" s="20" t="str">
        <f>IFERROR(VLOOKUP(B501,'03. THIẾT BỊ'!$B$1:$S$836,4,0),"")</f>
        <v>ĐQSD</v>
      </c>
      <c r="F501" s="20" t="str">
        <f>IFERROR(VLOOKUP(B501,'03. THIẾT BỊ'!$B$1:$S$836,5,0),"")</f>
        <v>Rơ mooc gắn sau xe máy </v>
      </c>
      <c r="G501" s="101" t="s">
        <v>6468</v>
      </c>
      <c r="H501" s="19" t="str">
        <f>IFERROR(VLOOKUP(B501,'03. THIẾT BỊ'!$B$1:$S$836,7,0),"")</f>
        <v>XN Chuối LP3</v>
      </c>
      <c r="I501" s="610" t="str">
        <f>IFERROR(VLOOKUP(B501,'03. THIẾT BỊ'!$B$1:$S$836,8,0),"")</f>
        <v>26/04/2024</v>
      </c>
      <c r="J501" s="25"/>
      <c r="K501" s="19" t="str">
        <f>IFERROR(VLOOKUP(B501,'03. THIẾT BỊ'!$B$1:$S$836,10,0),"")</f>
        <v>Bình thường</v>
      </c>
      <c r="L501" s="25">
        <f>IFERROR(VLOOKUP(B501,'03. THIẾT BỊ'!$B$1:$S$836,11,0),"")</f>
        <v>0</v>
      </c>
      <c r="M501" s="24" t="str">
        <f>IFERROR(VLOOKUP(B501,'03. THIẾT BỊ'!$B$1:$S$836,12,0),"")</f>
        <v>Gia công mới</v>
      </c>
      <c r="N501" s="25" t="str">
        <f>IFERROR(VLOOKUP(B501,'03. THIẾT BỊ'!$B$1:$S$836,13,0),"")</f>
        <v>THACO AGRI</v>
      </c>
      <c r="O501" s="24">
        <f>IFERROR(VLOOKUP(B501,'03. THIẾT BỊ'!$B$1:$S$836,14,0),"")</f>
        <v>0</v>
      </c>
      <c r="P501" s="25" t="str">
        <f>IFERROR(VLOOKUP(B501,'03. THIẾT BỊ'!$B$1:$S$836,15,0),"")</f>
        <v>CK-CGH</v>
      </c>
      <c r="Q501" s="23">
        <f>IFERROR(VLOOKUP(B501,'03. THIẾT BỊ'!$B$1:$S$836,16,0),"")</f>
        <v>0</v>
      </c>
      <c r="R501" s="25" t="str">
        <f>IFERROR(VLOOKUP(B501,'03. THIẾT BỊ'!$B$1:$S$836,17,0),"")</f>
        <v>DxRxC: 3m*1.6m*1.2m</v>
      </c>
      <c r="S501" s="25">
        <f>IFERROR(VLOOKUP(B501,'03. THIẾT BỊ'!$B$1:$S$836,18,0),"")</f>
        <v>0</v>
      </c>
      <c r="T501" s="41"/>
    </row>
    <row r="502" customHeight="1" spans="1:20">
      <c r="A502" s="19">
        <f t="shared" si="23"/>
        <v>30</v>
      </c>
      <c r="B502" s="20" t="s">
        <v>4926</v>
      </c>
      <c r="C502" s="613" t="str">
        <f>IFERROR(VLOOKUP(B502,'03. THIẾT BỊ'!$B$1:$S$836,2,0),"")</f>
        <v>CK-MXM-36</v>
      </c>
      <c r="D502" s="24" t="str">
        <f>IFERROR(VLOOKUP(B502,'03. THIẾT BỊ'!$B$1:$S$836,3,0),"")</f>
        <v>A24-MXM-004</v>
      </c>
      <c r="E502" s="20" t="str">
        <f>IFERROR(VLOOKUP(B502,'03. THIẾT BỊ'!$B$1:$S$836,4,0),"")</f>
        <v>ĐQSD</v>
      </c>
      <c r="F502" s="20" t="str">
        <f>IFERROR(VLOOKUP(B502,'03. THIẾT BỊ'!$B$1:$S$836,5,0),"")</f>
        <v>Rơ mooc gắn sau xe máy </v>
      </c>
      <c r="G502" s="101" t="s">
        <v>6468</v>
      </c>
      <c r="H502" s="19" t="str">
        <f>IFERROR(VLOOKUP(B502,'03. THIẾT BỊ'!$B$1:$S$836,7,0),"")</f>
        <v>XN Chuối LP3</v>
      </c>
      <c r="I502" s="610" t="str">
        <f>IFERROR(VLOOKUP(B502,'03. THIẾT BỊ'!$B$1:$S$836,8,0),"")</f>
        <v>26/04/2024</v>
      </c>
      <c r="J502" s="25"/>
      <c r="K502" s="19" t="str">
        <f>IFERROR(VLOOKUP(B502,'03. THIẾT BỊ'!$B$1:$S$836,10,0),"")</f>
        <v>Bình thường</v>
      </c>
      <c r="L502" s="25">
        <f>IFERROR(VLOOKUP(B502,'03. THIẾT BỊ'!$B$1:$S$836,11,0),"")</f>
        <v>0</v>
      </c>
      <c r="M502" s="24" t="str">
        <f>IFERROR(VLOOKUP(B502,'03. THIẾT BỊ'!$B$1:$S$836,12,0),"")</f>
        <v>Gia công mới</v>
      </c>
      <c r="N502" s="25" t="str">
        <f>IFERROR(VLOOKUP(B502,'03. THIẾT BỊ'!$B$1:$S$836,13,0),"")</f>
        <v>THACO AGRI</v>
      </c>
      <c r="O502" s="24">
        <f>IFERROR(VLOOKUP(B502,'03. THIẾT BỊ'!$B$1:$S$836,14,0),"")</f>
        <v>0</v>
      </c>
      <c r="P502" s="25" t="str">
        <f>IFERROR(VLOOKUP(B502,'03. THIẾT BỊ'!$B$1:$S$836,15,0),"")</f>
        <v>CK-CGH</v>
      </c>
      <c r="Q502" s="23">
        <f>IFERROR(VLOOKUP(B502,'03. THIẾT BỊ'!$B$1:$S$836,16,0),"")</f>
        <v>0</v>
      </c>
      <c r="R502" s="25" t="str">
        <f>IFERROR(VLOOKUP(B502,'03. THIẾT BỊ'!$B$1:$S$836,17,0),"")</f>
        <v>DxRxC: 3m*1.6m*1.2m</v>
      </c>
      <c r="S502" s="25">
        <f>IFERROR(VLOOKUP(B502,'03. THIẾT BỊ'!$B$1:$S$836,18,0),"")</f>
        <v>0</v>
      </c>
      <c r="T502" s="41"/>
    </row>
    <row r="503" customHeight="1" spans="1:20">
      <c r="A503" s="19">
        <f t="shared" si="23"/>
        <v>31</v>
      </c>
      <c r="B503" s="20" t="s">
        <v>4929</v>
      </c>
      <c r="C503" s="613" t="str">
        <f>IFERROR(VLOOKUP(B503,'03. THIẾT BỊ'!$B$1:$S$836,2,0),"")</f>
        <v>CK-MXM-37</v>
      </c>
      <c r="D503" s="24" t="str">
        <f>IFERROR(VLOOKUP(B503,'03. THIẾT BỊ'!$B$1:$S$836,3,0),"")</f>
        <v>A24-MXM-005</v>
      </c>
      <c r="E503" s="20" t="str">
        <f>IFERROR(VLOOKUP(B503,'03. THIẾT BỊ'!$B$1:$S$836,4,0),"")</f>
        <v>ĐQSD</v>
      </c>
      <c r="F503" s="20" t="str">
        <f>IFERROR(VLOOKUP(B503,'03. THIẾT BỊ'!$B$1:$S$836,5,0),"")</f>
        <v>Rơ mooc gắn sau xe máy </v>
      </c>
      <c r="G503" s="101" t="s">
        <v>6468</v>
      </c>
      <c r="H503" s="19" t="str">
        <f>IFERROR(VLOOKUP(B503,'03. THIẾT BỊ'!$B$1:$S$836,7,0),"")</f>
        <v>XN Chuối LP3</v>
      </c>
      <c r="I503" s="610" t="str">
        <f>IFERROR(VLOOKUP(B503,'03. THIẾT BỊ'!$B$1:$S$836,8,0),"")</f>
        <v>26/04/2024</v>
      </c>
      <c r="J503" s="25"/>
      <c r="K503" s="19" t="str">
        <f>IFERROR(VLOOKUP(B503,'03. THIẾT BỊ'!$B$1:$S$836,10,0),"")</f>
        <v>Bình thường</v>
      </c>
      <c r="L503" s="25">
        <f>IFERROR(VLOOKUP(B503,'03. THIẾT BỊ'!$B$1:$S$836,11,0),"")</f>
        <v>0</v>
      </c>
      <c r="M503" s="24" t="str">
        <f>IFERROR(VLOOKUP(B503,'03. THIẾT BỊ'!$B$1:$S$836,12,0),"")</f>
        <v>Gia công mới</v>
      </c>
      <c r="N503" s="25" t="str">
        <f>IFERROR(VLOOKUP(B503,'03. THIẾT BỊ'!$B$1:$S$836,13,0),"")</f>
        <v>THACO AGRI</v>
      </c>
      <c r="O503" s="24">
        <f>IFERROR(VLOOKUP(B503,'03. THIẾT BỊ'!$B$1:$S$836,14,0),"")</f>
        <v>0</v>
      </c>
      <c r="P503" s="25" t="str">
        <f>IFERROR(VLOOKUP(B503,'03. THIẾT BỊ'!$B$1:$S$836,15,0),"")</f>
        <v>CK-CGH</v>
      </c>
      <c r="Q503" s="23">
        <f>IFERROR(VLOOKUP(B503,'03. THIẾT BỊ'!$B$1:$S$836,16,0),"")</f>
        <v>0</v>
      </c>
      <c r="R503" s="25" t="str">
        <f>IFERROR(VLOOKUP(B503,'03. THIẾT BỊ'!$B$1:$S$836,17,0),"")</f>
        <v>DxRxC: 3m*1.6m*1.2m</v>
      </c>
      <c r="S503" s="25">
        <f>IFERROR(VLOOKUP(B503,'03. THIẾT BỊ'!$B$1:$S$836,18,0),"")</f>
        <v>0</v>
      </c>
      <c r="T503" s="41"/>
    </row>
    <row r="504" customHeight="1" spans="1:20">
      <c r="A504" s="19">
        <f t="shared" si="23"/>
        <v>32</v>
      </c>
      <c r="B504" s="20" t="s">
        <v>4932</v>
      </c>
      <c r="C504" s="613" t="str">
        <f>IFERROR(VLOOKUP(B504,'03. THIẾT BỊ'!$B$1:$S$836,2,0),"")</f>
        <v>CK-MXM-38</v>
      </c>
      <c r="D504" s="24" t="str">
        <f>IFERROR(VLOOKUP(B504,'03. THIẾT BỊ'!$B$1:$S$836,3,0),"")</f>
        <v>A24-MXM-006</v>
      </c>
      <c r="E504" s="20" t="str">
        <f>IFERROR(VLOOKUP(B504,'03. THIẾT BỊ'!$B$1:$S$836,4,0),"")</f>
        <v>ĐQSD</v>
      </c>
      <c r="F504" s="20" t="str">
        <f>IFERROR(VLOOKUP(B504,'03. THIẾT BỊ'!$B$1:$S$836,5,0),"")</f>
        <v>Rơ mooc gắn sau xe máy </v>
      </c>
      <c r="G504" s="101" t="s">
        <v>6468</v>
      </c>
      <c r="H504" s="19" t="str">
        <f>IFERROR(VLOOKUP(B504,'03. THIẾT BỊ'!$B$1:$S$836,7,0),"")</f>
        <v>XN Chuối LP3</v>
      </c>
      <c r="I504" s="610" t="str">
        <f>IFERROR(VLOOKUP(B504,'03. THIẾT BỊ'!$B$1:$S$836,8,0),"")</f>
        <v>26/04/2024</v>
      </c>
      <c r="J504" s="25"/>
      <c r="K504" s="19" t="str">
        <f>IFERROR(VLOOKUP(B504,'03. THIẾT BỊ'!$B$1:$S$836,10,0),"")</f>
        <v>Bình thường</v>
      </c>
      <c r="L504" s="25">
        <f>IFERROR(VLOOKUP(B504,'03. THIẾT BỊ'!$B$1:$S$836,11,0),"")</f>
        <v>0</v>
      </c>
      <c r="M504" s="24" t="str">
        <f>IFERROR(VLOOKUP(B504,'03. THIẾT BỊ'!$B$1:$S$836,12,0),"")</f>
        <v>Gia công mới</v>
      </c>
      <c r="N504" s="25" t="str">
        <f>IFERROR(VLOOKUP(B504,'03. THIẾT BỊ'!$B$1:$S$836,13,0),"")</f>
        <v>THACO AGRI</v>
      </c>
      <c r="O504" s="24">
        <f>IFERROR(VLOOKUP(B504,'03. THIẾT BỊ'!$B$1:$S$836,14,0),"")</f>
        <v>0</v>
      </c>
      <c r="P504" s="25" t="str">
        <f>IFERROR(VLOOKUP(B504,'03. THIẾT BỊ'!$B$1:$S$836,15,0),"")</f>
        <v>CK-CGH</v>
      </c>
      <c r="Q504" s="23">
        <f>IFERROR(VLOOKUP(B504,'03. THIẾT BỊ'!$B$1:$S$836,16,0),"")</f>
        <v>0</v>
      </c>
      <c r="R504" s="25" t="str">
        <f>IFERROR(VLOOKUP(B504,'03. THIẾT BỊ'!$B$1:$S$836,17,0),"")</f>
        <v>DxRxC: 3m*1.6m*1.2m</v>
      </c>
      <c r="S504" s="25">
        <f>IFERROR(VLOOKUP(B504,'03. THIẾT BỊ'!$B$1:$S$836,18,0),"")</f>
        <v>0</v>
      </c>
      <c r="T504" s="41"/>
    </row>
    <row r="505" customHeight="1" spans="1:20">
      <c r="A505" s="19">
        <f t="shared" si="23"/>
        <v>33</v>
      </c>
      <c r="B505" s="20" t="s">
        <v>4935</v>
      </c>
      <c r="C505" s="613" t="str">
        <f>IFERROR(VLOOKUP(B505,'03. THIẾT BỊ'!$B$1:$S$836,2,0),"")</f>
        <v>CK-MXM-39</v>
      </c>
      <c r="D505" s="24" t="str">
        <f>IFERROR(VLOOKUP(B505,'03. THIẾT BỊ'!$B$1:$S$836,3,0),"")</f>
        <v>A24-MXM-007</v>
      </c>
      <c r="E505" s="20" t="str">
        <f>IFERROR(VLOOKUP(B505,'03. THIẾT BỊ'!$B$1:$S$836,4,0),"")</f>
        <v>ĐQSD</v>
      </c>
      <c r="F505" s="20" t="str">
        <f>IFERROR(VLOOKUP(B505,'03. THIẾT BỊ'!$B$1:$S$836,5,0),"")</f>
        <v>Rơ mooc gắn sau xe máy </v>
      </c>
      <c r="G505" s="101" t="s">
        <v>6468</v>
      </c>
      <c r="H505" s="19" t="str">
        <f>IFERROR(VLOOKUP(B505,'03. THIẾT BỊ'!$B$1:$S$836,7,0),"")</f>
        <v>XN Chuối LP3</v>
      </c>
      <c r="I505" s="610" t="str">
        <f>IFERROR(VLOOKUP(B505,'03. THIẾT BỊ'!$B$1:$S$836,8,0),"")</f>
        <v>26/04/2024</v>
      </c>
      <c r="J505" s="25"/>
      <c r="K505" s="19" t="str">
        <f>IFERROR(VLOOKUP(B505,'03. THIẾT BỊ'!$B$1:$S$836,10,0),"")</f>
        <v>Bình thường</v>
      </c>
      <c r="L505" s="25">
        <f>IFERROR(VLOOKUP(B505,'03. THIẾT BỊ'!$B$1:$S$836,11,0),"")</f>
        <v>0</v>
      </c>
      <c r="M505" s="24" t="str">
        <f>IFERROR(VLOOKUP(B505,'03. THIẾT BỊ'!$B$1:$S$836,12,0),"")</f>
        <v>Gia công mới</v>
      </c>
      <c r="N505" s="25" t="str">
        <f>IFERROR(VLOOKUP(B505,'03. THIẾT BỊ'!$B$1:$S$836,13,0),"")</f>
        <v>THACO AGRI</v>
      </c>
      <c r="O505" s="24">
        <f>IFERROR(VLOOKUP(B505,'03. THIẾT BỊ'!$B$1:$S$836,14,0),"")</f>
        <v>0</v>
      </c>
      <c r="P505" s="25" t="str">
        <f>IFERROR(VLOOKUP(B505,'03. THIẾT BỊ'!$B$1:$S$836,15,0),"")</f>
        <v>CK-CGH</v>
      </c>
      <c r="Q505" s="23">
        <f>IFERROR(VLOOKUP(B505,'03. THIẾT BỊ'!$B$1:$S$836,16,0),"")</f>
        <v>0</v>
      </c>
      <c r="R505" s="25" t="str">
        <f>IFERROR(VLOOKUP(B505,'03. THIẾT BỊ'!$B$1:$S$836,17,0),"")</f>
        <v>DxRxC: 3m*1.6m*1.2m</v>
      </c>
      <c r="S505" s="25">
        <f>IFERROR(VLOOKUP(B505,'03. THIẾT BỊ'!$B$1:$S$836,18,0),"")</f>
        <v>0</v>
      </c>
      <c r="T505" s="41"/>
    </row>
    <row r="506" customHeight="1" spans="1:20">
      <c r="A506" s="19">
        <f t="shared" si="23"/>
        <v>34</v>
      </c>
      <c r="B506" s="20" t="s">
        <v>4938</v>
      </c>
      <c r="C506" s="613" t="str">
        <f>IFERROR(VLOOKUP(B506,'03. THIẾT BỊ'!$B$1:$S$836,2,0),"")</f>
        <v>CK-MXM-40</v>
      </c>
      <c r="D506" s="24" t="str">
        <f>IFERROR(VLOOKUP(B506,'03. THIẾT BỊ'!$B$1:$S$836,3,0),"")</f>
        <v>A24-MXM-008</v>
      </c>
      <c r="E506" s="20" t="str">
        <f>IFERROR(VLOOKUP(B506,'03. THIẾT BỊ'!$B$1:$S$836,4,0),"")</f>
        <v>ĐQSD</v>
      </c>
      <c r="F506" s="20" t="str">
        <f>IFERROR(VLOOKUP(B506,'03. THIẾT BỊ'!$B$1:$S$836,5,0),"")</f>
        <v>Rơ mooc gắn sau xe máy </v>
      </c>
      <c r="G506" s="101" t="s">
        <v>6468</v>
      </c>
      <c r="H506" s="19" t="str">
        <f>IFERROR(VLOOKUP(B506,'03. THIẾT BỊ'!$B$1:$S$836,7,0),"")</f>
        <v>XN Chuối LP3</v>
      </c>
      <c r="I506" s="610" t="str">
        <f>IFERROR(VLOOKUP(B506,'03. THIẾT BỊ'!$B$1:$S$836,8,0),"")</f>
        <v>26/04/2024</v>
      </c>
      <c r="J506" s="25"/>
      <c r="K506" s="19" t="str">
        <f>IFERROR(VLOOKUP(B506,'03. THIẾT BỊ'!$B$1:$S$836,10,0),"")</f>
        <v>Bình thường</v>
      </c>
      <c r="L506" s="25">
        <f>IFERROR(VLOOKUP(B506,'03. THIẾT BỊ'!$B$1:$S$836,11,0),"")</f>
        <v>0</v>
      </c>
      <c r="M506" s="24" t="str">
        <f>IFERROR(VLOOKUP(B506,'03. THIẾT BỊ'!$B$1:$S$836,12,0),"")</f>
        <v>Gia công mới</v>
      </c>
      <c r="N506" s="25" t="str">
        <f>IFERROR(VLOOKUP(B506,'03. THIẾT BỊ'!$B$1:$S$836,13,0),"")</f>
        <v>THACO AGRI</v>
      </c>
      <c r="O506" s="24">
        <f>IFERROR(VLOOKUP(B506,'03. THIẾT BỊ'!$B$1:$S$836,14,0),"")</f>
        <v>0</v>
      </c>
      <c r="P506" s="25" t="str">
        <f>IFERROR(VLOOKUP(B506,'03. THIẾT BỊ'!$B$1:$S$836,15,0),"")</f>
        <v>CK-CGH</v>
      </c>
      <c r="Q506" s="23">
        <f>IFERROR(VLOOKUP(B506,'03. THIẾT BỊ'!$B$1:$S$836,16,0),"")</f>
        <v>0</v>
      </c>
      <c r="R506" s="25" t="str">
        <f>IFERROR(VLOOKUP(B506,'03. THIẾT BỊ'!$B$1:$S$836,17,0),"")</f>
        <v>DxRxC: 3m*1.6m*1.2m</v>
      </c>
      <c r="S506" s="25">
        <f>IFERROR(VLOOKUP(B506,'03. THIẾT BỊ'!$B$1:$S$836,18,0),"")</f>
        <v>0</v>
      </c>
      <c r="T506" s="41"/>
    </row>
    <row r="507" customHeight="1" spans="1:20">
      <c r="A507" s="19">
        <f t="shared" si="23"/>
        <v>35</v>
      </c>
      <c r="B507" s="20" t="s">
        <v>5056</v>
      </c>
      <c r="C507" s="613">
        <f>IFERROR(VLOOKUP(B507,'03. THIẾT BỊ'!$B$1:$S$836,2,0),"")</f>
        <v>0</v>
      </c>
      <c r="D507" s="24" t="str">
        <f>IFERROR(VLOOKUP(B507,'03. THIẾT BỊ'!$B$1:$S$836,3,0),"")</f>
        <v>A24-MXM-010</v>
      </c>
      <c r="E507" s="20">
        <f>IFERROR(VLOOKUP(B507,'03. THIẾT BỊ'!$B$1:$S$836,4,0),"")</f>
        <v>0</v>
      </c>
      <c r="F507" s="20" t="str">
        <f>IFERROR(VLOOKUP(B507,'03. THIẾT BỊ'!$B$1:$S$836,5,0),"")</f>
        <v>Rơ mooc gắn sau xe máy </v>
      </c>
      <c r="G507" s="101" t="s">
        <v>6468</v>
      </c>
      <c r="H507" s="19" t="str">
        <f>IFERROR(VLOOKUP(B507,'03. THIẾT BỊ'!$B$1:$S$836,7,0),"")</f>
        <v>XN Chuối LP4</v>
      </c>
      <c r="I507" s="610">
        <f>IFERROR(VLOOKUP(B507,'03. THIẾT BỊ'!$B$1:$S$836,8,0),"")</f>
        <v>0</v>
      </c>
      <c r="J507" s="25"/>
      <c r="K507" s="19" t="str">
        <f>IFERROR(VLOOKUP(B507,'03. THIẾT BỊ'!$B$1:$S$836,10,0),"")</f>
        <v>Bình thường</v>
      </c>
      <c r="L507" s="25">
        <f>IFERROR(VLOOKUP(B507,'03. THIẾT BỊ'!$B$1:$S$836,11,0),"")</f>
        <v>0</v>
      </c>
      <c r="M507" s="24">
        <f>IFERROR(VLOOKUP(B507,'03. THIẾT BỊ'!$B$1:$S$836,12,0),"")</f>
        <v>0</v>
      </c>
      <c r="N507" s="25" t="str">
        <f>IFERROR(VLOOKUP(B507,'03. THIẾT BỊ'!$B$1:$S$836,13,0),"")</f>
        <v>THACO AGRI</v>
      </c>
      <c r="O507" s="24">
        <f>IFERROR(VLOOKUP(B507,'03. THIẾT BỊ'!$B$1:$S$836,14,0),"")</f>
        <v>0</v>
      </c>
      <c r="P507" s="25" t="str">
        <f>IFERROR(VLOOKUP(B507,'03. THIẾT BỊ'!$B$1:$S$836,15,0),"")</f>
        <v>CK-CGH</v>
      </c>
      <c r="Q507" s="23">
        <f>IFERROR(VLOOKUP(B507,'03. THIẾT BỊ'!$B$1:$S$836,16,0),"")</f>
        <v>0</v>
      </c>
      <c r="R507" s="25">
        <f>IFERROR(VLOOKUP(B507,'03. THIẾT BỊ'!$B$1:$S$836,17,0),"")</f>
        <v>0</v>
      </c>
      <c r="S507" s="25">
        <f>IFERROR(VLOOKUP(B507,'03. THIẾT BỊ'!$B$1:$S$836,18,0),"")</f>
        <v>0</v>
      </c>
      <c r="T507" s="41"/>
    </row>
    <row r="508" customHeight="1" spans="1:20">
      <c r="A508" s="19">
        <f t="shared" si="23"/>
        <v>36</v>
      </c>
      <c r="B508" s="20" t="s">
        <v>5058</v>
      </c>
      <c r="C508" s="613">
        <f>IFERROR(VLOOKUP(B508,'03. THIẾT BỊ'!$B$1:$S$836,2,0),"")</f>
        <v>0</v>
      </c>
      <c r="D508" s="24" t="str">
        <f>IFERROR(VLOOKUP(B508,'03. THIẾT BỊ'!$B$1:$S$836,3,0),"")</f>
        <v>A24-MXM-011</v>
      </c>
      <c r="E508" s="20">
        <f>IFERROR(VLOOKUP(B508,'03. THIẾT BỊ'!$B$1:$S$836,4,0),"")</f>
        <v>0</v>
      </c>
      <c r="F508" s="20" t="str">
        <f>IFERROR(VLOOKUP(B508,'03. THIẾT BỊ'!$B$1:$S$836,5,0),"")</f>
        <v>Rơ mooc gắn sau xe máy </v>
      </c>
      <c r="G508" s="101" t="s">
        <v>6468</v>
      </c>
      <c r="H508" s="19" t="str">
        <f>IFERROR(VLOOKUP(B508,'03. THIẾT BỊ'!$B$1:$S$836,7,0),"")</f>
        <v>XN Chuối LP4</v>
      </c>
      <c r="I508" s="610">
        <f>IFERROR(VLOOKUP(B508,'03. THIẾT BỊ'!$B$1:$S$836,8,0),"")</f>
        <v>0</v>
      </c>
      <c r="J508" s="25"/>
      <c r="K508" s="19" t="str">
        <f>IFERROR(VLOOKUP(B508,'03. THIẾT BỊ'!$B$1:$S$836,10,0),"")</f>
        <v>Bình thường</v>
      </c>
      <c r="L508" s="25">
        <f>IFERROR(VLOOKUP(B508,'03. THIẾT BỊ'!$B$1:$S$836,11,0),"")</f>
        <v>0</v>
      </c>
      <c r="M508" s="24">
        <f>IFERROR(VLOOKUP(B508,'03. THIẾT BỊ'!$B$1:$S$836,12,0),"")</f>
        <v>0</v>
      </c>
      <c r="N508" s="25" t="str">
        <f>IFERROR(VLOOKUP(B508,'03. THIẾT BỊ'!$B$1:$S$836,13,0),"")</f>
        <v>THACO AGRI</v>
      </c>
      <c r="O508" s="24">
        <f>IFERROR(VLOOKUP(B508,'03. THIẾT BỊ'!$B$1:$S$836,14,0),"")</f>
        <v>0</v>
      </c>
      <c r="P508" s="25" t="str">
        <f>IFERROR(VLOOKUP(B508,'03. THIẾT BỊ'!$B$1:$S$836,15,0),"")</f>
        <v>CK-CGH</v>
      </c>
      <c r="Q508" s="23">
        <f>IFERROR(VLOOKUP(B508,'03. THIẾT BỊ'!$B$1:$S$836,16,0),"")</f>
        <v>0</v>
      </c>
      <c r="R508" s="25">
        <f>IFERROR(VLOOKUP(B508,'03. THIẾT BỊ'!$B$1:$S$836,17,0),"")</f>
        <v>0</v>
      </c>
      <c r="S508" s="25">
        <f>IFERROR(VLOOKUP(B508,'03. THIẾT BỊ'!$B$1:$S$836,18,0),"")</f>
        <v>0</v>
      </c>
      <c r="T508" s="41"/>
    </row>
    <row r="509" customHeight="1" spans="1:20">
      <c r="A509" s="19">
        <f t="shared" si="23"/>
        <v>37</v>
      </c>
      <c r="B509" s="20" t="s">
        <v>5060</v>
      </c>
      <c r="C509" s="613">
        <f>IFERROR(VLOOKUP(B509,'03. THIẾT BỊ'!$B$1:$S$836,2,0),"")</f>
        <v>0</v>
      </c>
      <c r="D509" s="24" t="str">
        <f>IFERROR(VLOOKUP(B509,'03. THIẾT BỊ'!$B$1:$S$836,3,0),"")</f>
        <v>A24-MXM-012</v>
      </c>
      <c r="E509" s="20">
        <f>IFERROR(VLOOKUP(B509,'03. THIẾT BỊ'!$B$1:$S$836,4,0),"")</f>
        <v>0</v>
      </c>
      <c r="F509" s="20" t="str">
        <f>IFERROR(VLOOKUP(B509,'03. THIẾT BỊ'!$B$1:$S$836,5,0),"")</f>
        <v>Rơ mooc gắn sau xe máy </v>
      </c>
      <c r="G509" s="101" t="s">
        <v>6468</v>
      </c>
      <c r="H509" s="19" t="str">
        <f>IFERROR(VLOOKUP(B509,'03. THIẾT BỊ'!$B$1:$S$836,7,0),"")</f>
        <v>XN Chuối LP4</v>
      </c>
      <c r="I509" s="610">
        <f>IFERROR(VLOOKUP(B509,'03. THIẾT BỊ'!$B$1:$S$836,8,0),"")</f>
        <v>0</v>
      </c>
      <c r="J509" s="25"/>
      <c r="K509" s="19" t="str">
        <f>IFERROR(VLOOKUP(B509,'03. THIẾT BỊ'!$B$1:$S$836,10,0),"")</f>
        <v>Bình thường</v>
      </c>
      <c r="L509" s="25">
        <f>IFERROR(VLOOKUP(B509,'03. THIẾT BỊ'!$B$1:$S$836,11,0),"")</f>
        <v>0</v>
      </c>
      <c r="M509" s="24">
        <f>IFERROR(VLOOKUP(B509,'03. THIẾT BỊ'!$B$1:$S$836,12,0),"")</f>
        <v>0</v>
      </c>
      <c r="N509" s="25" t="str">
        <f>IFERROR(VLOOKUP(B509,'03. THIẾT BỊ'!$B$1:$S$836,13,0),"")</f>
        <v>THACO AGRI</v>
      </c>
      <c r="O509" s="24">
        <f>IFERROR(VLOOKUP(B509,'03. THIẾT BỊ'!$B$1:$S$836,14,0),"")</f>
        <v>0</v>
      </c>
      <c r="P509" s="25" t="str">
        <f>IFERROR(VLOOKUP(B509,'03. THIẾT BỊ'!$B$1:$S$836,15,0),"")</f>
        <v>CK-CGH</v>
      </c>
      <c r="Q509" s="23">
        <f>IFERROR(VLOOKUP(B509,'03. THIẾT BỊ'!$B$1:$S$836,16,0),"")</f>
        <v>0</v>
      </c>
      <c r="R509" s="25">
        <f>IFERROR(VLOOKUP(B509,'03. THIẾT BỊ'!$B$1:$S$836,17,0),"")</f>
        <v>0</v>
      </c>
      <c r="S509" s="25">
        <f>IFERROR(VLOOKUP(B509,'03. THIẾT BỊ'!$B$1:$S$836,18,0),"")</f>
        <v>0</v>
      </c>
      <c r="T509" s="41"/>
    </row>
    <row r="510" customHeight="1" spans="1:20">
      <c r="A510" s="19">
        <f t="shared" si="23"/>
        <v>38</v>
      </c>
      <c r="B510" s="20" t="s">
        <v>5691</v>
      </c>
      <c r="C510" s="613" t="str">
        <f>IFERROR(VLOOKUP(B510,'03. THIẾT BỊ'!$B$1:$S$836,2,0),"")</f>
        <v>XA2-MXM-005</v>
      </c>
      <c r="D510" s="24" t="str">
        <f>IFERROR(VLOOKUP(B510,'03. THIẾT BỊ'!$B$1:$S$836,3,0),"")</f>
        <v>A22-MXM-005</v>
      </c>
      <c r="E510" s="20" t="str">
        <f>IFERROR(VLOOKUP(B510,'03. THIẾT BỊ'!$B$1:$S$836,4,0),"")</f>
        <v>ĐQSD</v>
      </c>
      <c r="F510" s="20" t="str">
        <f>IFERROR(VLOOKUP(B510,'03. THIẾT BỊ'!$B$1:$S$836,5,0),"")</f>
        <v>Rơ mooc gắn sau xe máy </v>
      </c>
      <c r="G510" s="101" t="s">
        <v>6468</v>
      </c>
      <c r="H510" s="19" t="str">
        <f>IFERROR(VLOOKUP(B510,'03. THIẾT BỊ'!$B$1:$S$836,7,0),"")</f>
        <v>XN Bò AD</v>
      </c>
      <c r="I510" s="610">
        <f>IFERROR(VLOOKUP(B510,'03. THIẾT BỊ'!$B$1:$S$836,8,0),"")</f>
        <v>45719</v>
      </c>
      <c r="J510" s="25"/>
      <c r="K510" s="19" t="str">
        <f>IFERROR(VLOOKUP(B510,'03. THIẾT BỊ'!$B$1:$S$836,10,0),"")</f>
        <v>Bình thường</v>
      </c>
      <c r="L510" s="25" t="str">
        <f>IFERROR(VLOOKUP(B510,'03. THIẾT BỊ'!$B$1:$S$836,11,0),"")</f>
        <v>Đ.chuyen từ XN AD2 ngày 03/03/2025</v>
      </c>
      <c r="M510" s="24">
        <f>IFERROR(VLOOKUP(B510,'03. THIẾT BỊ'!$B$1:$S$836,12,0),"")</f>
        <v>0</v>
      </c>
      <c r="N510" s="25" t="str">
        <f>IFERROR(VLOOKUP(B510,'03. THIẾT BỊ'!$B$1:$S$836,13,0),"")</f>
        <v>THACO AGRI</v>
      </c>
      <c r="O510" s="24">
        <f>IFERROR(VLOOKUP(B510,'03. THIẾT BỊ'!$B$1:$S$836,14,0),"")</f>
        <v>0</v>
      </c>
      <c r="P510" s="25" t="str">
        <f>IFERROR(VLOOKUP(B510,'03. THIẾT BỊ'!$B$1:$S$836,15,0),"")</f>
        <v>CK-CGH</v>
      </c>
      <c r="Q510" s="23">
        <f>IFERROR(VLOOKUP(B510,'03. THIẾT BỊ'!$B$1:$S$836,16,0),"")</f>
        <v>0</v>
      </c>
      <c r="R510" s="25">
        <f>IFERROR(VLOOKUP(B510,'03. THIẾT BỊ'!$B$1:$S$836,17,0),"")</f>
        <v>0</v>
      </c>
      <c r="S510" s="25">
        <f>IFERROR(VLOOKUP(B510,'03. THIẾT BỊ'!$B$1:$S$836,18,0),"")</f>
        <v>0</v>
      </c>
      <c r="T510" s="41"/>
    </row>
    <row r="511" customHeight="1" spans="1:20">
      <c r="A511" s="19">
        <f t="shared" si="23"/>
        <v>39</v>
      </c>
      <c r="B511" s="20" t="s">
        <v>5695</v>
      </c>
      <c r="C511" s="613" t="str">
        <f>IFERROR(VLOOKUP(B511,'03. THIẾT BỊ'!$B$1:$S$836,2,0),"")</f>
        <v>XA2-MXM-006</v>
      </c>
      <c r="D511" s="24" t="str">
        <f>IFERROR(VLOOKUP(B511,'03. THIẾT BỊ'!$B$1:$S$836,3,0),"")</f>
        <v>A22-MXM-006</v>
      </c>
      <c r="E511" s="20" t="str">
        <f>IFERROR(VLOOKUP(B511,'03. THIẾT BỊ'!$B$1:$S$836,4,0),"")</f>
        <v>ĐQSD</v>
      </c>
      <c r="F511" s="20" t="str">
        <f>IFERROR(VLOOKUP(B511,'03. THIẾT BỊ'!$B$1:$S$836,5,0),"")</f>
        <v>Rơ mooc gắn sau xe máy </v>
      </c>
      <c r="G511" s="101" t="s">
        <v>6468</v>
      </c>
      <c r="H511" s="19" t="str">
        <f>IFERROR(VLOOKUP(B511,'03. THIẾT BỊ'!$B$1:$S$836,7,0),"")</f>
        <v>XN Bò AD</v>
      </c>
      <c r="I511" s="610" t="str">
        <f>IFERROR(VLOOKUP(B511,'03. THIẾT BỊ'!$B$1:$S$836,8,0),"")</f>
        <v>29/03/2025</v>
      </c>
      <c r="J511" s="25"/>
      <c r="K511" s="19" t="str">
        <f>IFERROR(VLOOKUP(B511,'03. THIẾT BỊ'!$B$1:$S$836,10,0),"")</f>
        <v>Bình thường</v>
      </c>
      <c r="L511" s="25" t="str">
        <f>IFERROR(VLOOKUP(B511,'03. THIẾT BỊ'!$B$1:$S$836,11,0),"")</f>
        <v>Đ.chuyen từ XN AD2 ngày 29/03/2025</v>
      </c>
      <c r="M511" s="24">
        <f>IFERROR(VLOOKUP(B511,'03. THIẾT BỊ'!$B$1:$S$836,12,0),"")</f>
        <v>0</v>
      </c>
      <c r="N511" s="25" t="str">
        <f>IFERROR(VLOOKUP(B511,'03. THIẾT BỊ'!$B$1:$S$836,13,0),"")</f>
        <v>THACO AGRI</v>
      </c>
      <c r="O511" s="24">
        <f>IFERROR(VLOOKUP(B511,'03. THIẾT BỊ'!$B$1:$S$836,14,0),"")</f>
        <v>0</v>
      </c>
      <c r="P511" s="25" t="str">
        <f>IFERROR(VLOOKUP(B511,'03. THIẾT BỊ'!$B$1:$S$836,15,0),"")</f>
        <v>CK-CGH</v>
      </c>
      <c r="Q511" s="23">
        <f>IFERROR(VLOOKUP(B511,'03. THIẾT BỊ'!$B$1:$S$836,16,0),"")</f>
        <v>0</v>
      </c>
      <c r="R511" s="25">
        <f>IFERROR(VLOOKUP(B511,'03. THIẾT BỊ'!$B$1:$S$836,17,0),"")</f>
        <v>0</v>
      </c>
      <c r="S511" s="25">
        <f>IFERROR(VLOOKUP(B511,'03. THIẾT BỊ'!$B$1:$S$836,18,0),"")</f>
        <v>0</v>
      </c>
      <c r="T511" s="41"/>
    </row>
    <row r="512" ht="13.8" spans="1:20">
      <c r="A512" s="19"/>
      <c r="C512" s="613" t="str">
        <f>IFERROR(VLOOKUP(B512,'03. THIẾT BỊ'!$B$1:$S$836,2,0),"")</f>
        <v/>
      </c>
      <c r="D512" s="24" t="str">
        <f>IFERROR(VLOOKUP(B512,'03. THIẾT BỊ'!$B$1:$S$836,3,0),"")</f>
        <v/>
      </c>
      <c r="E512" s="20" t="str">
        <f>IFERROR(VLOOKUP(B512,'03. THIẾT BỊ'!$B$1:$S$836,4,0),"")</f>
        <v/>
      </c>
      <c r="F512" s="20" t="str">
        <f>IFERROR(VLOOKUP(B512,'03. THIẾT BỊ'!$B$1:$S$836,5,0),"")</f>
        <v/>
      </c>
      <c r="G512" s="101" t="s">
        <v>6468</v>
      </c>
      <c r="H512" s="19" t="str">
        <f>IFERROR(VLOOKUP(B512,'03. THIẾT BỊ'!$B$1:$S$836,7,0),"")</f>
        <v/>
      </c>
      <c r="I512" s="610" t="str">
        <f>IFERROR(VLOOKUP(B512,'03. THIẾT BỊ'!$B$1:$S$836,8,0),"")</f>
        <v/>
      </c>
      <c r="J512" s="25"/>
      <c r="K512" s="19" t="str">
        <f>IFERROR(VLOOKUP(B512,'03. THIẾT BỊ'!$B$1:$S$836,10,0),"")</f>
        <v/>
      </c>
      <c r="L512" s="25" t="str">
        <f>IFERROR(VLOOKUP(B512,'03. THIẾT BỊ'!$B$1:$S$836,11,0),"")</f>
        <v/>
      </c>
      <c r="M512" s="24" t="str">
        <f>IFERROR(VLOOKUP(B512,'03. THIẾT BỊ'!$B$1:$S$836,12,0),"")</f>
        <v/>
      </c>
      <c r="N512" s="25" t="str">
        <f>IFERROR(VLOOKUP(B512,'03. THIẾT BỊ'!$B$1:$S$836,13,0),"")</f>
        <v/>
      </c>
      <c r="O512" s="24" t="str">
        <f>IFERROR(VLOOKUP(B512,'03. THIẾT BỊ'!$B$1:$S$836,14,0),"")</f>
        <v/>
      </c>
      <c r="P512" s="25" t="str">
        <f>IFERROR(VLOOKUP(B512,'03. THIẾT BỊ'!$B$1:$S$836,15,0),"")</f>
        <v/>
      </c>
      <c r="Q512" s="23" t="str">
        <f>IFERROR(VLOOKUP(B512,'03. THIẾT BỊ'!$B$1:$S$836,16,0),"")</f>
        <v/>
      </c>
      <c r="R512" s="25" t="str">
        <f>IFERROR(VLOOKUP(B512,'03. THIẾT BỊ'!$B$1:$S$836,17,0),"")</f>
        <v/>
      </c>
      <c r="S512" s="25" t="str">
        <f>IFERROR(VLOOKUP(B512,'03. THIẾT BỊ'!$B$1:$S$836,18,0),"")</f>
        <v/>
      </c>
    </row>
    <row r="513" ht="13.8" hidden="1" spans="1:20">
      <c r="C513" s="613" t="str">
        <f>IFERROR(VLOOKUP(B513,'03. THIẾT BỊ'!$B$1:$S$836,2,0),"")</f>
        <v/>
      </c>
      <c r="D513" s="24" t="str">
        <f>IFERROR(VLOOKUP(B513,'03. THIẾT BỊ'!$B$1:$S$836,3,0),"")</f>
        <v/>
      </c>
      <c r="E513" s="20" t="str">
        <f>IFERROR(VLOOKUP(B513,'03. THIẾT BỊ'!$B$1:$S$836,4,0),"")</f>
        <v/>
      </c>
      <c r="F513" s="20" t="str">
        <f>IFERROR(VLOOKUP(B513,'03. THIẾT BỊ'!$B$1:$S$836,5,0),"")</f>
        <v/>
      </c>
      <c r="G513" s="101" t="s">
        <v>6468</v>
      </c>
      <c r="H513" s="19" t="str">
        <f>IFERROR(VLOOKUP(B513,'03. THIẾT BỊ'!$B$1:$S$836,7,0),"")</f>
        <v/>
      </c>
      <c r="I513" s="610" t="str">
        <f>IFERROR(VLOOKUP(B513,'03. THIẾT BỊ'!$B$1:$S$836,8,0),"")</f>
        <v/>
      </c>
      <c r="J513" s="25"/>
      <c r="K513" s="19" t="str">
        <f>IFERROR(VLOOKUP(B513,'03. THIẾT BỊ'!$B$1:$S$836,10,0),"")</f>
        <v/>
      </c>
      <c r="L513" s="25" t="str">
        <f>IFERROR(VLOOKUP(B513,'03. THIẾT BỊ'!$B$1:$S$836,11,0),"")</f>
        <v/>
      </c>
      <c r="M513" s="24" t="str">
        <f>IFERROR(VLOOKUP(B513,'03. THIẾT BỊ'!$B$1:$S$836,12,0),"")</f>
        <v/>
      </c>
      <c r="N513" s="25" t="str">
        <f>IFERROR(VLOOKUP(B513,'03. THIẾT BỊ'!$B$1:$S$836,13,0),"")</f>
        <v/>
      </c>
      <c r="O513" s="24" t="str">
        <f>IFERROR(VLOOKUP(B513,'03. THIẾT BỊ'!$B$1:$S$836,14,0),"")</f>
        <v/>
      </c>
      <c r="P513" s="25" t="str">
        <f>IFERROR(VLOOKUP(B513,'03. THIẾT BỊ'!$B$1:$S$836,15,0),"")</f>
        <v/>
      </c>
      <c r="Q513" s="23" t="str">
        <f>IFERROR(VLOOKUP(B513,'03. THIẾT BỊ'!$B$1:$S$836,16,0),"")</f>
        <v/>
      </c>
      <c r="R513" s="25" t="str">
        <f>IFERROR(VLOOKUP(B513,'03. THIẾT BỊ'!$B$1:$S$836,17,0),"")</f>
        <v/>
      </c>
      <c r="S513" s="25" t="str">
        <f>IFERROR(VLOOKUP(B513,'03. THIẾT BỊ'!$B$1:$S$836,18,0),"")</f>
        <v/>
      </c>
    </row>
    <row r="514" ht="13.8" hidden="1" spans="1:20">
      <c r="C514" s="613" t="str">
        <f>IFERROR(VLOOKUP(B514,'03. THIẾT BỊ'!$B$1:$S$836,2,0),"")</f>
        <v/>
      </c>
      <c r="D514" s="24" t="str">
        <f>IFERROR(VLOOKUP(B514,'03. THIẾT BỊ'!$B$1:$S$836,3,0),"")</f>
        <v/>
      </c>
      <c r="E514" s="20" t="str">
        <f>IFERROR(VLOOKUP(B514,'03. THIẾT BỊ'!$B$1:$S$836,4,0),"")</f>
        <v/>
      </c>
      <c r="F514" s="20" t="str">
        <f>IFERROR(VLOOKUP(B514,'03. THIẾT BỊ'!$B$1:$S$836,5,0),"")</f>
        <v/>
      </c>
      <c r="G514" s="101" t="s">
        <v>6468</v>
      </c>
      <c r="H514" s="19" t="str">
        <f>IFERROR(VLOOKUP(B514,'03. THIẾT BỊ'!$B$1:$S$836,7,0),"")</f>
        <v/>
      </c>
      <c r="I514" s="610" t="str">
        <f>IFERROR(VLOOKUP(B514,'03. THIẾT BỊ'!$B$1:$S$836,8,0),"")</f>
        <v/>
      </c>
      <c r="J514" s="25"/>
      <c r="K514" s="19" t="str">
        <f>IFERROR(VLOOKUP(B514,'03. THIẾT BỊ'!$B$1:$S$836,10,0),"")</f>
        <v/>
      </c>
      <c r="L514" s="25" t="str">
        <f>IFERROR(VLOOKUP(B514,'03. THIẾT BỊ'!$B$1:$S$836,11,0),"")</f>
        <v/>
      </c>
      <c r="M514" s="24" t="str">
        <f>IFERROR(VLOOKUP(B514,'03. THIẾT BỊ'!$B$1:$S$836,12,0),"")</f>
        <v/>
      </c>
      <c r="N514" s="25" t="str">
        <f>IFERROR(VLOOKUP(B514,'03. THIẾT BỊ'!$B$1:$S$836,13,0),"")</f>
        <v/>
      </c>
      <c r="O514" s="24" t="str">
        <f>IFERROR(VLOOKUP(B514,'03. THIẾT BỊ'!$B$1:$S$836,14,0),"")</f>
        <v/>
      </c>
      <c r="P514" s="25" t="str">
        <f>IFERROR(VLOOKUP(B514,'03. THIẾT BỊ'!$B$1:$S$836,15,0),"")</f>
        <v/>
      </c>
      <c r="Q514" s="23" t="str">
        <f>IFERROR(VLOOKUP(B514,'03. THIẾT BỊ'!$B$1:$S$836,16,0),"")</f>
        <v/>
      </c>
      <c r="R514" s="25" t="str">
        <f>IFERROR(VLOOKUP(B514,'03. THIẾT BỊ'!$B$1:$S$836,17,0),"")</f>
        <v/>
      </c>
      <c r="S514" s="25" t="str">
        <f>IFERROR(VLOOKUP(B514,'03. THIẾT BỊ'!$B$1:$S$836,18,0),"")</f>
        <v/>
      </c>
    </row>
    <row r="515" ht="13.8" hidden="1" spans="1:20">
      <c r="C515" s="613" t="str">
        <f>IFERROR(VLOOKUP(B515,'03. THIẾT BỊ'!$B$1:$S$836,2,0),"")</f>
        <v/>
      </c>
      <c r="D515" s="24" t="str">
        <f>IFERROR(VLOOKUP(B515,'03. THIẾT BỊ'!$B$1:$S$836,3,0),"")</f>
        <v/>
      </c>
      <c r="E515" s="20" t="str">
        <f>IFERROR(VLOOKUP(B515,'03. THIẾT BỊ'!$B$1:$S$836,4,0),"")</f>
        <v/>
      </c>
      <c r="F515" s="20" t="str">
        <f>IFERROR(VLOOKUP(B515,'03. THIẾT BỊ'!$B$1:$S$836,5,0),"")</f>
        <v/>
      </c>
      <c r="G515" s="101" t="s">
        <v>6468</v>
      </c>
      <c r="H515" s="19" t="str">
        <f>IFERROR(VLOOKUP(B515,'03. THIẾT BỊ'!$B$1:$S$836,7,0),"")</f>
        <v/>
      </c>
      <c r="I515" s="610" t="str">
        <f>IFERROR(VLOOKUP(B515,'03. THIẾT BỊ'!$B$1:$S$836,8,0),"")</f>
        <v/>
      </c>
      <c r="J515" s="25"/>
      <c r="K515" s="19" t="str">
        <f>IFERROR(VLOOKUP(B515,'03. THIẾT BỊ'!$B$1:$S$836,10,0),"")</f>
        <v/>
      </c>
      <c r="L515" s="25" t="str">
        <f>IFERROR(VLOOKUP(B515,'03. THIẾT BỊ'!$B$1:$S$836,11,0),"")</f>
        <v/>
      </c>
      <c r="M515" s="24" t="str">
        <f>IFERROR(VLOOKUP(B515,'03. THIẾT BỊ'!$B$1:$S$836,12,0),"")</f>
        <v/>
      </c>
      <c r="N515" s="25" t="str">
        <f>IFERROR(VLOOKUP(B515,'03. THIẾT BỊ'!$B$1:$S$836,13,0),"")</f>
        <v/>
      </c>
      <c r="O515" s="24" t="str">
        <f>IFERROR(VLOOKUP(B515,'03. THIẾT BỊ'!$B$1:$S$836,14,0),"")</f>
        <v/>
      </c>
      <c r="P515" s="25" t="str">
        <f>IFERROR(VLOOKUP(B515,'03. THIẾT BỊ'!$B$1:$S$836,15,0),"")</f>
        <v/>
      </c>
      <c r="Q515" s="23" t="str">
        <f>IFERROR(VLOOKUP(B515,'03. THIẾT BỊ'!$B$1:$S$836,16,0),"")</f>
        <v/>
      </c>
      <c r="R515" s="25" t="str">
        <f>IFERROR(VLOOKUP(B515,'03. THIẾT BỊ'!$B$1:$S$836,17,0),"")</f>
        <v/>
      </c>
      <c r="S515" s="25" t="str">
        <f>IFERROR(VLOOKUP(B515,'03. THIẾT BỊ'!$B$1:$S$836,18,0),"")</f>
        <v/>
      </c>
    </row>
    <row r="516" ht="13.8" hidden="1" spans="1:20">
      <c r="C516" s="613" t="str">
        <f>IFERROR(VLOOKUP(B516,'03. THIẾT BỊ'!$B$1:$S$836,2,0),"")</f>
        <v/>
      </c>
      <c r="D516" s="24" t="str">
        <f>IFERROR(VLOOKUP(B516,'03. THIẾT BỊ'!$B$1:$S$836,3,0),"")</f>
        <v/>
      </c>
      <c r="E516" s="20" t="str">
        <f>IFERROR(VLOOKUP(B516,'03. THIẾT BỊ'!$B$1:$S$836,4,0),"")</f>
        <v/>
      </c>
      <c r="F516" s="20" t="str">
        <f>IFERROR(VLOOKUP(B516,'03. THIẾT BỊ'!$B$1:$S$836,5,0),"")</f>
        <v/>
      </c>
      <c r="G516" s="101" t="s">
        <v>6468</v>
      </c>
      <c r="H516" s="19" t="str">
        <f>IFERROR(VLOOKUP(B516,'03. THIẾT BỊ'!$B$1:$S$836,7,0),"")</f>
        <v/>
      </c>
      <c r="I516" s="610" t="str">
        <f>IFERROR(VLOOKUP(B516,'03. THIẾT BỊ'!$B$1:$S$836,8,0),"")</f>
        <v/>
      </c>
      <c r="J516" s="25"/>
      <c r="K516" s="19" t="str">
        <f>IFERROR(VLOOKUP(B516,'03. THIẾT BỊ'!$B$1:$S$836,10,0),"")</f>
        <v/>
      </c>
      <c r="L516" s="25" t="str">
        <f>IFERROR(VLOOKUP(B516,'03. THIẾT BỊ'!$B$1:$S$836,11,0),"")</f>
        <v/>
      </c>
      <c r="M516" s="24" t="str">
        <f>IFERROR(VLOOKUP(B516,'03. THIẾT BỊ'!$B$1:$S$836,12,0),"")</f>
        <v/>
      </c>
      <c r="N516" s="25" t="str">
        <f>IFERROR(VLOOKUP(B516,'03. THIẾT BỊ'!$B$1:$S$836,13,0),"")</f>
        <v/>
      </c>
      <c r="O516" s="24" t="str">
        <f>IFERROR(VLOOKUP(B516,'03. THIẾT BỊ'!$B$1:$S$836,14,0),"")</f>
        <v/>
      </c>
      <c r="P516" s="25" t="str">
        <f>IFERROR(VLOOKUP(B516,'03. THIẾT BỊ'!$B$1:$S$836,15,0),"")</f>
        <v/>
      </c>
      <c r="Q516" s="23" t="str">
        <f>IFERROR(VLOOKUP(B516,'03. THIẾT BỊ'!$B$1:$S$836,16,0),"")</f>
        <v/>
      </c>
      <c r="R516" s="25" t="str">
        <f>IFERROR(VLOOKUP(B516,'03. THIẾT BỊ'!$B$1:$S$836,17,0),"")</f>
        <v/>
      </c>
      <c r="S516" s="25" t="str">
        <f>IFERROR(VLOOKUP(B516,'03. THIẾT BỊ'!$B$1:$S$836,18,0),"")</f>
        <v/>
      </c>
    </row>
    <row r="517" customHeight="1" spans="1:20">
      <c r="A517" s="14" t="s">
        <v>290</v>
      </c>
      <c r="B517" s="15" t="s">
        <v>6503</v>
      </c>
      <c r="C517" s="14">
        <f>COUNTA(B518:B582)</f>
        <v>62</v>
      </c>
      <c r="D517" s="17" t="str">
        <f>IFERROR(VLOOKUP(B517,'03. THIẾT BỊ'!$B$1:$S$836,3,0),"")</f>
        <v/>
      </c>
      <c r="E517" s="20" t="str">
        <f>IFERROR(VLOOKUP(B517,'03. THIẾT BỊ'!$B$1:$S$836,4,0),"")</f>
        <v/>
      </c>
      <c r="F517" s="17" t="str">
        <f>IFERROR(VLOOKUP(B517,'03. THIẾT BỊ'!$B$1:$S$836,5,0),"")</f>
        <v/>
      </c>
      <c r="G517" s="18" t="s">
        <v>6468</v>
      </c>
      <c r="H517" s="18" t="str">
        <f>IFERROR(VLOOKUP(B517,'03. THIẾT BỊ'!$B$1:$S$836,7,0),"")</f>
        <v/>
      </c>
      <c r="I517" s="14" t="str">
        <f>IFERROR(VLOOKUP(B517,'03. THIẾT BỊ'!$B$1:$S$836,8,0),"")</f>
        <v/>
      </c>
      <c r="J517" s="15"/>
      <c r="K517" s="14" t="str">
        <f>IFERROR(VLOOKUP(B517,'03. THIẾT BỊ'!$B$1:$S$836,10,0),"")</f>
        <v/>
      </c>
      <c r="L517" s="17" t="str">
        <f>IFERROR(VLOOKUP(B517,'03. THIẾT BỊ'!$B$1:$S$836,11,0),"")</f>
        <v/>
      </c>
      <c r="M517" s="16" t="str">
        <f>IFERROR(VLOOKUP(B517,'03. THIẾT BỊ'!$B$1:$S$836,12,0),"")</f>
        <v/>
      </c>
      <c r="N517" s="17" t="str">
        <f>IFERROR(VLOOKUP(B517,'03. THIẾT BỊ'!$B$1:$S$836,13,0),"")</f>
        <v/>
      </c>
      <c r="O517" s="16" t="str">
        <f>IFERROR(VLOOKUP(B517,'03. THIẾT BỊ'!$B$1:$S$836,14,0),"")</f>
        <v/>
      </c>
      <c r="P517" s="17" t="str">
        <f>IFERROR(VLOOKUP(B517,'03. THIẾT BỊ'!$B$1:$S$836,15,0),"")</f>
        <v/>
      </c>
      <c r="Q517" s="18" t="str">
        <f>IFERROR(VLOOKUP(B517,'03. THIẾT BỊ'!$B$1:$S$836,16,0),"")</f>
        <v/>
      </c>
      <c r="R517" s="17" t="str">
        <f>IFERROR(VLOOKUP(B517,'03. THIẾT BỊ'!$B$1:$S$836,17,0),"")</f>
        <v/>
      </c>
      <c r="S517" s="17" t="str">
        <f>IFERROR(VLOOKUP(B517,'03. THIẾT BỊ'!$B$1:$S$836,18,0),"")</f>
        <v/>
      </c>
      <c r="T517" s="609"/>
    </row>
    <row r="518" customHeight="1" spans="1:20">
      <c r="A518" s="19">
        <v>1</v>
      </c>
      <c r="B518" s="20" t="s">
        <v>4313</v>
      </c>
      <c r="C518" s="613">
        <f>IFERROR(VLOOKUP(B518,'03. THIẾT BỊ'!$B$1:$S$836,2,0),"")</f>
        <v>0</v>
      </c>
      <c r="D518" s="24" t="str">
        <f>IFERROR(VLOOKUP(B518,'03. THIẾT BỊ'!$B$1:$S$836,3,0),"")</f>
        <v>A23-MKC-004</v>
      </c>
      <c r="E518" s="20" t="str">
        <f>IFERROR(VLOOKUP(B518,'03. THIẾT BỊ'!$B$1:$S$836,4,0),"")</f>
        <v>ĐQSD</v>
      </c>
      <c r="F518" s="20" t="str">
        <f>IFERROR(VLOOKUP(B518,'03. THIẾT BỊ'!$B$1:$S$836,5,0),"")</f>
        <v>Máy kéo chuối (Xăng)</v>
      </c>
      <c r="G518" s="101" t="s">
        <v>6468</v>
      </c>
      <c r="H518" s="19" t="str">
        <f>IFERROR(VLOOKUP(B518,'03. THIẾT BỊ'!$B$1:$S$836,7,0),"")</f>
        <v>XN Chuối DP1</v>
      </c>
      <c r="I518" s="610">
        <f>IFERROR(VLOOKUP(B518,'03. THIẾT BỊ'!$B$1:$S$836,8,0),"")</f>
        <v>45933</v>
      </c>
      <c r="J518" s="25"/>
      <c r="K518" s="19" t="str">
        <f>IFERROR(VLOOKUP(B518,'03. THIẾT BỊ'!$B$1:$S$836,10,0),"")</f>
        <v>Bình thường</v>
      </c>
      <c r="L518" s="25">
        <f>IFERROR(VLOOKUP(B518,'03. THIẾT BỊ'!$B$1:$S$836,11,0),"")</f>
        <v>0</v>
      </c>
      <c r="M518" s="24">
        <f>IFERROR(VLOOKUP(B518,'03. THIẾT BỊ'!$B$1:$S$836,12,0),"")</f>
        <v>0</v>
      </c>
      <c r="N518" s="25" t="str">
        <f>IFERROR(VLOOKUP(B518,'03. THIẾT BỊ'!$B$1:$S$836,13,0),"")</f>
        <v>DREAM</v>
      </c>
      <c r="O518" s="24" t="str">
        <f>IFERROR(VLOOKUP(B518,'03. THIẾT BỊ'!$B$1:$S$836,14,0),"")</f>
        <v>CGH-MKC-DREAM</v>
      </c>
      <c r="P518" s="25" t="str">
        <f>IFERROR(VLOOKUP(B518,'03. THIẾT BỊ'!$B$1:$S$836,15,0),"")</f>
        <v>CK-CGH</v>
      </c>
      <c r="Q518" s="23">
        <f>IFERROR(VLOOKUP(B518,'03. THIẾT BỊ'!$B$1:$S$836,16,0),"")</f>
        <v>2025</v>
      </c>
      <c r="R518" s="25">
        <f>IFERROR(VLOOKUP(B518,'03. THIẾT BỊ'!$B$1:$S$836,17,0),"")</f>
        <v>0</v>
      </c>
      <c r="S518" s="25">
        <f>IFERROR(VLOOKUP(B518,'03. THIẾT BỊ'!$B$1:$S$836,18,0),"")</f>
        <v>10</v>
      </c>
      <c r="T518" s="41">
        <v>0.56</v>
      </c>
    </row>
    <row r="519" customHeight="1" spans="1:20">
      <c r="A519" s="19">
        <f t="shared" ref="A519:A530" si="24">A518+1</f>
        <v>2</v>
      </c>
      <c r="B519" s="20" t="s">
        <v>4319</v>
      </c>
      <c r="C519" s="613">
        <f>IFERROR(VLOOKUP(B519,'03. THIẾT BỊ'!$B$1:$S$836,2,0),"")</f>
        <v>0</v>
      </c>
      <c r="D519" s="24" t="str">
        <f>IFERROR(VLOOKUP(B519,'03. THIẾT BỊ'!$B$1:$S$836,3,0),"")</f>
        <v>A23-MKC-005</v>
      </c>
      <c r="E519" s="20" t="str">
        <f>IFERROR(VLOOKUP(B519,'03. THIẾT BỊ'!$B$1:$S$836,4,0),"")</f>
        <v>ĐQSD</v>
      </c>
      <c r="F519" s="20" t="str">
        <f>IFERROR(VLOOKUP(B519,'03. THIẾT BỊ'!$B$1:$S$836,5,0),"")</f>
        <v>Máy kéo chuối (Xăng)</v>
      </c>
      <c r="G519" s="101" t="s">
        <v>6468</v>
      </c>
      <c r="H519" s="19" t="str">
        <f>IFERROR(VLOOKUP(B519,'03. THIẾT BỊ'!$B$1:$S$836,7,0),"")</f>
        <v>XN Chuối DP1</v>
      </c>
      <c r="I519" s="610">
        <f>IFERROR(VLOOKUP(B519,'03. THIẾT BỊ'!$B$1:$S$836,8,0),"")</f>
        <v>45933</v>
      </c>
      <c r="J519" s="25"/>
      <c r="K519" s="19" t="str">
        <f>IFERROR(VLOOKUP(B519,'03. THIẾT BỊ'!$B$1:$S$836,10,0),"")</f>
        <v>Bình thường</v>
      </c>
      <c r="L519" s="25">
        <f>IFERROR(VLOOKUP(B519,'03. THIẾT BỊ'!$B$1:$S$836,11,0),"")</f>
        <v>0</v>
      </c>
      <c r="M519" s="24">
        <f>IFERROR(VLOOKUP(B519,'03. THIẾT BỊ'!$B$1:$S$836,12,0),"")</f>
        <v>0</v>
      </c>
      <c r="N519" s="25" t="str">
        <f>IFERROR(VLOOKUP(B519,'03. THIẾT BỊ'!$B$1:$S$836,13,0),"")</f>
        <v>DREAM</v>
      </c>
      <c r="O519" s="24" t="str">
        <f>IFERROR(VLOOKUP(B519,'03. THIẾT BỊ'!$B$1:$S$836,14,0),"")</f>
        <v>CGH-MKC-DREAM</v>
      </c>
      <c r="P519" s="25" t="str">
        <f>IFERROR(VLOOKUP(B519,'03. THIẾT BỊ'!$B$1:$S$836,15,0),"")</f>
        <v>CK-CGH</v>
      </c>
      <c r="Q519" s="23">
        <f>IFERROR(VLOOKUP(B519,'03. THIẾT BỊ'!$B$1:$S$836,16,0),"")</f>
        <v>2025</v>
      </c>
      <c r="R519" s="25">
        <f>IFERROR(VLOOKUP(B519,'03. THIẾT BỊ'!$B$1:$S$836,17,0),"")</f>
        <v>0</v>
      </c>
      <c r="S519" s="25">
        <f>IFERROR(VLOOKUP(B519,'03. THIẾT BỊ'!$B$1:$S$836,18,0),"")</f>
        <v>11</v>
      </c>
      <c r="T519" s="41">
        <v>0.56</v>
      </c>
    </row>
    <row r="520" customHeight="1" spans="1:20">
      <c r="A520" s="19">
        <f t="shared" si="24"/>
        <v>3</v>
      </c>
      <c r="B520" s="20" t="s">
        <v>4321</v>
      </c>
      <c r="C520" s="613">
        <f>IFERROR(VLOOKUP(B520,'03. THIẾT BỊ'!$B$1:$S$836,2,0),"")</f>
        <v>0</v>
      </c>
      <c r="D520" s="24" t="str">
        <f>IFERROR(VLOOKUP(B520,'03. THIẾT BỊ'!$B$1:$S$836,3,0),"")</f>
        <v>A23-MKC-007</v>
      </c>
      <c r="E520" s="20" t="str">
        <f>IFERROR(VLOOKUP(B520,'03. THIẾT BỊ'!$B$1:$S$836,4,0),"")</f>
        <v>ĐQSD</v>
      </c>
      <c r="F520" s="20" t="str">
        <f>IFERROR(VLOOKUP(B520,'03. THIẾT BỊ'!$B$1:$S$836,5,0),"")</f>
        <v>Máy kéo chuối (Xăng)</v>
      </c>
      <c r="G520" s="101" t="s">
        <v>6468</v>
      </c>
      <c r="H520" s="19" t="str">
        <f>IFERROR(VLOOKUP(B520,'03. THIẾT BỊ'!$B$1:$S$836,7,0),"")</f>
        <v>XN Chuối DP1</v>
      </c>
      <c r="I520" s="610" t="str">
        <f>IFERROR(VLOOKUP(B520,'03. THIẾT BỊ'!$B$1:$S$836,8,0),"")</f>
        <v>20/03/2025</v>
      </c>
      <c r="J520" s="25"/>
      <c r="K520" s="19" t="str">
        <f>IFERROR(VLOOKUP(B520,'03. THIẾT BỊ'!$B$1:$S$836,10,0),"")</f>
        <v>Bình thường</v>
      </c>
      <c r="L520" s="25">
        <f>IFERROR(VLOOKUP(B520,'03. THIẾT BỊ'!$B$1:$S$836,11,0),"")</f>
        <v>0</v>
      </c>
      <c r="M520" s="24" t="str">
        <f>IFERROR(VLOOKUP(B520,'03. THIẾT BỊ'!$B$1:$S$836,12,0),"")</f>
        <v>Gia công mới</v>
      </c>
      <c r="N520" s="25" t="str">
        <f>IFERROR(VLOOKUP(B520,'03. THIẾT BỊ'!$B$1:$S$836,13,0),"")</f>
        <v>DREAM</v>
      </c>
      <c r="O520" s="24" t="str">
        <f>IFERROR(VLOOKUP(B520,'03. THIẾT BỊ'!$B$1:$S$836,14,0),"")</f>
        <v>CGH-MKC-DREAM</v>
      </c>
      <c r="P520" s="25" t="str">
        <f>IFERROR(VLOOKUP(B520,'03. THIẾT BỊ'!$B$1:$S$836,15,0),"")</f>
        <v>CK-CGH</v>
      </c>
      <c r="Q520" s="23">
        <f>IFERROR(VLOOKUP(B520,'03. THIẾT BỊ'!$B$1:$S$836,16,0),"")</f>
        <v>2024</v>
      </c>
      <c r="R520" s="25" t="str">
        <f>IFERROR(VLOOKUP(B520,'03. THIẾT BỊ'!$B$1:$S$836,17,0),"")</f>
        <v>9.25HP</v>
      </c>
      <c r="S520" s="25" t="str">
        <f>IFERROR(VLOOKUP(B520,'03. THIẾT BỊ'!$B$1:$S$836,18,0),"")</f>
        <v>13L05694</v>
      </c>
      <c r="T520" s="41">
        <v>0.56</v>
      </c>
    </row>
    <row r="521" customHeight="1" spans="1:20">
      <c r="A521" s="19">
        <f t="shared" si="24"/>
        <v>4</v>
      </c>
      <c r="B521" s="20" t="s">
        <v>4325</v>
      </c>
      <c r="C521" s="613">
        <f>IFERROR(VLOOKUP(B521,'03. THIẾT BỊ'!$B$1:$S$836,2,0),"")</f>
        <v>0</v>
      </c>
      <c r="D521" s="24" t="str">
        <f>IFERROR(VLOOKUP(B521,'03. THIẾT BỊ'!$B$1:$S$836,3,0),"")</f>
        <v>A23-MKC-008</v>
      </c>
      <c r="E521" s="20" t="str">
        <f>IFERROR(VLOOKUP(B521,'03. THIẾT BỊ'!$B$1:$S$836,4,0),"")</f>
        <v>ĐQSD</v>
      </c>
      <c r="F521" s="20" t="str">
        <f>IFERROR(VLOOKUP(B521,'03. THIẾT BỊ'!$B$1:$S$836,5,0),"")</f>
        <v>Máy kéo chuối (Xăng)</v>
      </c>
      <c r="G521" s="101" t="s">
        <v>6468</v>
      </c>
      <c r="H521" s="19" t="str">
        <f>IFERROR(VLOOKUP(B521,'03. THIẾT BỊ'!$B$1:$S$836,7,0),"")</f>
        <v>XN Chuối DP1</v>
      </c>
      <c r="I521" s="610">
        <f>IFERROR(VLOOKUP(B521,'03. THIẾT BỊ'!$B$1:$S$836,8,0),"")</f>
        <v>45995</v>
      </c>
      <c r="J521" s="25"/>
      <c r="K521" s="19" t="str">
        <f>IFERROR(VLOOKUP(B521,'03. THIẾT BỊ'!$B$1:$S$836,10,0),"")</f>
        <v>Bình thường</v>
      </c>
      <c r="L521" s="25">
        <f>IFERROR(VLOOKUP(B521,'03. THIẾT BỊ'!$B$1:$S$836,11,0),"")</f>
        <v>0</v>
      </c>
      <c r="M521" s="24" t="str">
        <f>IFERROR(VLOOKUP(B521,'03. THIẾT BỊ'!$B$1:$S$836,12,0),"")</f>
        <v>Gia công mới</v>
      </c>
      <c r="N521" s="25" t="str">
        <f>IFERROR(VLOOKUP(B521,'03. THIẾT BỊ'!$B$1:$S$836,13,0),"")</f>
        <v>DREAM</v>
      </c>
      <c r="O521" s="24" t="str">
        <f>IFERROR(VLOOKUP(B521,'03. THIẾT BỊ'!$B$1:$S$836,14,0),"")</f>
        <v>CGH-MKC-DREAM</v>
      </c>
      <c r="P521" s="25" t="str">
        <f>IFERROR(VLOOKUP(B521,'03. THIẾT BỊ'!$B$1:$S$836,15,0),"")</f>
        <v>CK-CGH</v>
      </c>
      <c r="Q521" s="23">
        <f>IFERROR(VLOOKUP(B521,'03. THIẾT BỊ'!$B$1:$S$836,16,0),"")</f>
        <v>2025</v>
      </c>
      <c r="R521" s="25" t="str">
        <f>IFERROR(VLOOKUP(B521,'03. THIẾT BỊ'!$B$1:$S$836,17,0),"")</f>
        <v>9.25HP</v>
      </c>
      <c r="S521" s="25" t="str">
        <f>IFERROR(VLOOKUP(B521,'03. THIẾT BỊ'!$B$1:$S$836,18,0),"")</f>
        <v>11h02011A</v>
      </c>
      <c r="T521" s="41">
        <v>0.56</v>
      </c>
    </row>
    <row r="522" customHeight="1" spans="1:20">
      <c r="A522" s="19">
        <f t="shared" si="24"/>
        <v>5</v>
      </c>
      <c r="B522" s="20" t="s">
        <v>4328</v>
      </c>
      <c r="C522" s="613">
        <f>IFERROR(VLOOKUP(B522,'03. THIẾT BỊ'!$B$1:$S$836,2,0),"")</f>
        <v>0</v>
      </c>
      <c r="D522" s="24" t="str">
        <f>IFERROR(VLOOKUP(B522,'03. THIẾT BỊ'!$B$1:$S$836,3,0),"")</f>
        <v>A23-MKC-014</v>
      </c>
      <c r="E522" s="20" t="str">
        <f>IFERROR(VLOOKUP(B522,'03. THIẾT BỊ'!$B$1:$S$836,4,0),"")</f>
        <v>ĐQSD</v>
      </c>
      <c r="F522" s="20" t="str">
        <f>IFERROR(VLOOKUP(B522,'03. THIẾT BỊ'!$B$1:$S$836,5,0),"")</f>
        <v>Máy kéo chuối (Xăng)</v>
      </c>
      <c r="G522" s="101" t="s">
        <v>6468</v>
      </c>
      <c r="H522" s="19" t="str">
        <f>IFERROR(VLOOKUP(B522,'03. THIẾT BỊ'!$B$1:$S$836,7,0),"")</f>
        <v>XN Chuối DP1</v>
      </c>
      <c r="I522" s="610" t="str">
        <f>IFERROR(VLOOKUP(B522,'03. THIẾT BỊ'!$B$1:$S$836,8,0),"")</f>
        <v>19/06/2025</v>
      </c>
      <c r="J522" s="25"/>
      <c r="K522" s="19" t="str">
        <f>IFERROR(VLOOKUP(B522,'03. THIẾT BỊ'!$B$1:$S$836,10,0),"")</f>
        <v>Bình thường</v>
      </c>
      <c r="L522" s="25">
        <f>IFERROR(VLOOKUP(B522,'03. THIẾT BỊ'!$B$1:$S$836,11,0),"")</f>
        <v>0</v>
      </c>
      <c r="M522" s="24" t="str">
        <f>IFERROR(VLOOKUP(B522,'03. THIẾT BỊ'!$B$1:$S$836,12,0),"")</f>
        <v>Gia công mới</v>
      </c>
      <c r="N522" s="25" t="str">
        <f>IFERROR(VLOOKUP(B522,'03. THIẾT BỊ'!$B$1:$S$836,13,0),"")</f>
        <v>DREAM</v>
      </c>
      <c r="O522" s="24" t="str">
        <f>IFERROR(VLOOKUP(B522,'03. THIẾT BỊ'!$B$1:$S$836,14,0),"")</f>
        <v>CGH-MKC-DREAM</v>
      </c>
      <c r="P522" s="25" t="str">
        <f>IFERROR(VLOOKUP(B522,'03. THIẾT BỊ'!$B$1:$S$836,15,0),"")</f>
        <v>CK-CGH</v>
      </c>
      <c r="Q522" s="23">
        <f>IFERROR(VLOOKUP(B522,'03. THIẾT BỊ'!$B$1:$S$836,16,0),"")</f>
        <v>2025</v>
      </c>
      <c r="R522" s="25" t="str">
        <f>IFERROR(VLOOKUP(B522,'03. THIẾT BỊ'!$B$1:$S$836,17,0),"")</f>
        <v>9.25HP</v>
      </c>
      <c r="S522" s="25">
        <f>IFERROR(VLOOKUP(B522,'03. THIẾT BỊ'!$B$1:$S$836,18,0),"")</f>
        <v>0</v>
      </c>
      <c r="T522" s="41">
        <v>0.56</v>
      </c>
    </row>
    <row r="523" ht="13.8" spans="1:20">
      <c r="A523" s="19">
        <f t="shared" si="24"/>
        <v>6</v>
      </c>
      <c r="B523" s="20" t="s">
        <v>4331</v>
      </c>
      <c r="C523" s="613">
        <f>IFERROR(VLOOKUP(B523,'03. THIẾT BỊ'!$B$1:$S$836,2,0),"")</f>
        <v>0</v>
      </c>
      <c r="D523" s="24" t="str">
        <f>IFERROR(VLOOKUP(B523,'03. THIẾT BỊ'!$B$1:$S$836,3,0),"")</f>
        <v>A23-MKC-015</v>
      </c>
      <c r="E523" s="20" t="str">
        <f>IFERROR(VLOOKUP(B523,'03. THIẾT BỊ'!$B$1:$S$836,4,0),"")</f>
        <v>ĐQSD</v>
      </c>
      <c r="F523" s="20" t="str">
        <f>IFERROR(VLOOKUP(B523,'03. THIẾT BỊ'!$B$1:$S$836,5,0),"")</f>
        <v>Máy kéo chuối (Xăng)</v>
      </c>
      <c r="G523" s="101" t="s">
        <v>6468</v>
      </c>
      <c r="H523" s="19" t="str">
        <f>IFERROR(VLOOKUP(B523,'03. THIẾT BỊ'!$B$1:$S$836,7,0),"")</f>
        <v>XN Chuối DP1</v>
      </c>
      <c r="I523" s="610" t="str">
        <f>IFERROR(VLOOKUP(B523,'03. THIẾT BỊ'!$B$1:$S$836,8,0),"")</f>
        <v>25/08/2025</v>
      </c>
      <c r="J523" s="25"/>
      <c r="K523" s="19" t="str">
        <f>IFERROR(VLOOKUP(B523,'03. THIẾT BỊ'!$B$1:$S$836,10,0),"")</f>
        <v>Bình thường</v>
      </c>
      <c r="L523" s="25">
        <f>IFERROR(VLOOKUP(B523,'03. THIẾT BỊ'!$B$1:$S$836,11,0),"")</f>
        <v>0</v>
      </c>
      <c r="M523" s="24" t="str">
        <f>IFERROR(VLOOKUP(B523,'03. THIẾT BỊ'!$B$1:$S$836,12,0),"")</f>
        <v>Gia công mới</v>
      </c>
      <c r="N523" s="25" t="str">
        <f>IFERROR(VLOOKUP(B523,'03. THIẾT BỊ'!$B$1:$S$836,13,0),"")</f>
        <v>DREAM</v>
      </c>
      <c r="O523" s="24" t="str">
        <f>IFERROR(VLOOKUP(B523,'03. THIẾT BỊ'!$B$1:$S$836,14,0),"")</f>
        <v>XKC-11</v>
      </c>
      <c r="P523" s="25" t="str">
        <f>IFERROR(VLOOKUP(B523,'03. THIẾT BỊ'!$B$1:$S$836,15,0),"")</f>
        <v>CK-CGH</v>
      </c>
      <c r="Q523" s="23">
        <f>IFERROR(VLOOKUP(B523,'03. THIẾT BỊ'!$B$1:$S$836,16,0),"")</f>
        <v>2025</v>
      </c>
      <c r="R523" s="25" t="str">
        <f>IFERROR(VLOOKUP(B523,'03. THIẾT BỊ'!$B$1:$S$836,17,0),"")</f>
        <v>9.25HP</v>
      </c>
      <c r="S523" s="25">
        <f>IFERROR(VLOOKUP(B523,'03. THIẾT BỊ'!$B$1:$S$836,18,0),"")</f>
        <v>11</v>
      </c>
    </row>
    <row r="524" ht="13.8" spans="1:20">
      <c r="A524" s="19">
        <f t="shared" si="24"/>
        <v>7</v>
      </c>
      <c r="B524" s="20" t="s">
        <v>4334</v>
      </c>
      <c r="C524" s="613">
        <f>IFERROR(VLOOKUP(B524,'03. THIẾT BỊ'!$B$1:$S$836,2,0),"")</f>
        <v>0</v>
      </c>
      <c r="D524" s="24" t="str">
        <f>IFERROR(VLOOKUP(B524,'03. THIẾT BỊ'!$B$1:$S$836,3,0),"")</f>
        <v>A23-MKC-018</v>
      </c>
      <c r="E524" s="20" t="str">
        <f>IFERROR(VLOOKUP(B524,'03. THIẾT BỊ'!$B$1:$S$836,4,0),"")</f>
        <v>ĐQSD</v>
      </c>
      <c r="F524" s="20" t="str">
        <f>IFERROR(VLOOKUP(B524,'03. THIẾT BỊ'!$B$1:$S$836,5,0),"")</f>
        <v>Máy kéo chuối (Xăng)</v>
      </c>
      <c r="G524" s="101" t="s">
        <v>6468</v>
      </c>
      <c r="H524" s="19" t="str">
        <f>IFERROR(VLOOKUP(B524,'03. THIẾT BỊ'!$B$1:$S$836,7,0),"")</f>
        <v>XN Chuối DP1</v>
      </c>
      <c r="I524" s="610" t="str">
        <f>IFERROR(VLOOKUP(B524,'03. THIẾT BỊ'!$B$1:$S$836,8,0),"")</f>
        <v>25/08/2025</v>
      </c>
      <c r="J524" s="25"/>
      <c r="K524" s="19" t="str">
        <f>IFERROR(VLOOKUP(B524,'03. THIẾT BỊ'!$B$1:$S$836,10,0),"")</f>
        <v>Bình thường</v>
      </c>
      <c r="L524" s="25">
        <f>IFERROR(VLOOKUP(B524,'03. THIẾT BỊ'!$B$1:$S$836,11,0),"")</f>
        <v>0</v>
      </c>
      <c r="M524" s="24" t="str">
        <f>IFERROR(VLOOKUP(B524,'03. THIẾT BỊ'!$B$1:$S$836,12,0),"")</f>
        <v>Gia công mới</v>
      </c>
      <c r="N524" s="25" t="str">
        <f>IFERROR(VLOOKUP(B524,'03. THIẾT BỊ'!$B$1:$S$836,13,0),"")</f>
        <v>DREAM</v>
      </c>
      <c r="O524" s="24" t="str">
        <f>IFERROR(VLOOKUP(B524,'03. THIẾT BỊ'!$B$1:$S$836,14,0),"")</f>
        <v>XKC-11</v>
      </c>
      <c r="P524" s="25" t="str">
        <f>IFERROR(VLOOKUP(B524,'03. THIẾT BỊ'!$B$1:$S$836,15,0),"")</f>
        <v>CK-CGH</v>
      </c>
      <c r="Q524" s="23">
        <f>IFERROR(VLOOKUP(B524,'03. THIẾT BỊ'!$B$1:$S$836,16,0),"")</f>
        <v>2025</v>
      </c>
      <c r="R524" s="25" t="str">
        <f>IFERROR(VLOOKUP(B524,'03. THIẾT BỊ'!$B$1:$S$836,17,0),"")</f>
        <v>9.25HP</v>
      </c>
      <c r="S524" s="25">
        <f>IFERROR(VLOOKUP(B524,'03. THIẾT BỊ'!$B$1:$S$836,18,0),"")</f>
        <v>11</v>
      </c>
    </row>
    <row r="525" customHeight="1" spans="1:20">
      <c r="A525" s="19">
        <f t="shared" si="24"/>
        <v>8</v>
      </c>
      <c r="B525" s="20" t="s">
        <v>4336</v>
      </c>
      <c r="C525" s="613">
        <f>IFERROR(VLOOKUP(B525,'03. THIẾT BỊ'!$B$1:$S$836,2,0),"")</f>
        <v>0</v>
      </c>
      <c r="D525" s="24" t="str">
        <f>IFERROR(VLOOKUP(B525,'03. THIẾT BỊ'!$B$1:$S$836,3,0),"")</f>
        <v>A23-MKC-019</v>
      </c>
      <c r="E525" s="20" t="str">
        <f>IFERROR(VLOOKUP(B525,'03. THIẾT BỊ'!$B$1:$S$836,4,0),"")</f>
        <v>ĐQSD</v>
      </c>
      <c r="F525" s="20" t="str">
        <f>IFERROR(VLOOKUP(B525,'03. THIẾT BỊ'!$B$1:$S$836,5,0),"")</f>
        <v>Máy kéo chuối (Xăng)</v>
      </c>
      <c r="G525" s="101" t="s">
        <v>6468</v>
      </c>
      <c r="H525" s="19" t="str">
        <f>IFERROR(VLOOKUP(B525,'03. THIẾT BỊ'!$B$1:$S$836,7,0),"")</f>
        <v>XN Chuối DP1</v>
      </c>
      <c r="I525" s="610">
        <f>IFERROR(VLOOKUP(B525,'03. THIẾT BỊ'!$B$1:$S$836,8,0),"")</f>
        <v>45906</v>
      </c>
      <c r="J525" s="25"/>
      <c r="K525" s="19" t="str">
        <f>IFERROR(VLOOKUP(B525,'03. THIẾT BỊ'!$B$1:$S$836,10,0),"")</f>
        <v>Bình thường</v>
      </c>
      <c r="L525" s="25" t="str">
        <f>IFERROR(VLOOKUP(B525,'03. THIẾT BỊ'!$B$1:$S$836,11,0),"")</f>
        <v>Gc mới</v>
      </c>
      <c r="M525" s="24" t="str">
        <f>IFERROR(VLOOKUP(B525,'03. THIẾT BỊ'!$B$1:$S$836,12,0),"")</f>
        <v>Gia công mới</v>
      </c>
      <c r="N525" s="25" t="str">
        <f>IFERROR(VLOOKUP(B525,'03. THIẾT BỊ'!$B$1:$S$836,13,0),"")</f>
        <v>DREAM</v>
      </c>
      <c r="O525" s="24" t="str">
        <f>IFERROR(VLOOKUP(B525,'03. THIẾT BỊ'!$B$1:$S$836,14,0),"")</f>
        <v>XKC-16</v>
      </c>
      <c r="P525" s="25" t="str">
        <f>IFERROR(VLOOKUP(B525,'03. THIẾT BỊ'!$B$1:$S$836,15,0),"")</f>
        <v>CK-CGH</v>
      </c>
      <c r="Q525" s="23">
        <f>IFERROR(VLOOKUP(B525,'03. THIẾT BỊ'!$B$1:$S$836,16,0),"")</f>
        <v>2025</v>
      </c>
      <c r="R525" s="25" t="str">
        <f>IFERROR(VLOOKUP(B525,'03. THIẾT BỊ'!$B$1:$S$836,17,0),"")</f>
        <v>9,5 HP</v>
      </c>
      <c r="S525" s="25">
        <f>IFERROR(VLOOKUP(B525,'03. THIẾT BỊ'!$B$1:$S$836,18,0),"")</f>
        <v>18</v>
      </c>
    </row>
    <row r="526" customHeight="1" spans="1:20">
      <c r="A526" s="19">
        <f t="shared" si="24"/>
        <v>9</v>
      </c>
      <c r="B526" s="20" t="s">
        <v>4344</v>
      </c>
      <c r="C526" s="613">
        <f>IFERROR(VLOOKUP(B526,'03. THIẾT BỊ'!$B$1:$S$836,2,0),"")</f>
        <v>0</v>
      </c>
      <c r="D526" s="24" t="str">
        <f>IFERROR(VLOOKUP(B526,'03. THIẾT BỊ'!$B$1:$S$836,3,0),"")</f>
        <v>A23-MKC-026</v>
      </c>
      <c r="E526" s="20" t="str">
        <f>IFERROR(VLOOKUP(B526,'03. THIẾT BỊ'!$B$1:$S$836,4,0),"")</f>
        <v>ĐQSD</v>
      </c>
      <c r="F526" s="20" t="str">
        <f>IFERROR(VLOOKUP(B526,'03. THIẾT BỊ'!$B$1:$S$836,5,0),"")</f>
        <v>Máy kéo chuối (Xăng)</v>
      </c>
      <c r="G526" s="101" t="s">
        <v>6468</v>
      </c>
      <c r="H526" s="19" t="str">
        <f>IFERROR(VLOOKUP(B526,'03. THIẾT BỊ'!$B$1:$S$836,7,0),"")</f>
        <v>XN Chuối DP1</v>
      </c>
      <c r="I526" s="610" t="str">
        <f>IFERROR(VLOOKUP(B526,'03. THIẾT BỊ'!$B$1:$S$836,8,0),"")</f>
        <v>13/10/2025</v>
      </c>
      <c r="J526" s="25"/>
      <c r="K526" s="19" t="str">
        <f>IFERROR(VLOOKUP(B526,'03. THIẾT BỊ'!$B$1:$S$836,10,0),"")</f>
        <v>Bình thường</v>
      </c>
      <c r="L526" s="25">
        <f>IFERROR(VLOOKUP(B526,'03. THIẾT BỊ'!$B$1:$S$836,11,0),"")</f>
        <v>0</v>
      </c>
      <c r="M526" s="24" t="str">
        <f>IFERROR(VLOOKUP(B526,'03. THIẾT BỊ'!$B$1:$S$836,12,0),"")</f>
        <v>Gia công mới</v>
      </c>
      <c r="N526" s="25" t="str">
        <f>IFERROR(VLOOKUP(B526,'03. THIẾT BỊ'!$B$1:$S$836,13,0),"")</f>
        <v>DREAM</v>
      </c>
      <c r="O526" s="24" t="str">
        <f>IFERROR(VLOOKUP(B526,'03. THIẾT BỊ'!$B$1:$S$836,14,0),"")</f>
        <v>XKC-30</v>
      </c>
      <c r="P526" s="25" t="str">
        <f>IFERROR(VLOOKUP(B526,'03. THIẾT BỊ'!$B$1:$S$836,15,0),"")</f>
        <v>CK-CGH</v>
      </c>
      <c r="Q526" s="23">
        <f>IFERROR(VLOOKUP(B526,'03. THIẾT BỊ'!$B$1:$S$836,16,0),"")</f>
        <v>2025</v>
      </c>
      <c r="R526" s="25">
        <f>IFERROR(VLOOKUP(B526,'03. THIẾT BỊ'!$B$1:$S$836,17,0),"")</f>
        <v>0</v>
      </c>
      <c r="S526" s="25">
        <f>IFERROR(VLOOKUP(B526,'03. THIẾT BỊ'!$B$1:$S$836,18,0),"")</f>
        <v>0</v>
      </c>
    </row>
    <row r="527" customHeight="1" spans="1:20">
      <c r="A527" s="19">
        <f t="shared" si="24"/>
        <v>10</v>
      </c>
      <c r="B527" s="20" t="s">
        <v>4348</v>
      </c>
      <c r="C527" s="613">
        <f>IFERROR(VLOOKUP(B527,'03. THIẾT BỊ'!$B$1:$S$836,2,0),"")</f>
        <v>0</v>
      </c>
      <c r="D527" s="24" t="str">
        <f>IFERROR(VLOOKUP(B527,'03. THIẾT BỊ'!$B$1:$S$836,3,0),"")</f>
        <v>A23-MKC-028</v>
      </c>
      <c r="E527" s="20" t="str">
        <f>IFERROR(VLOOKUP(B527,'03. THIẾT BỊ'!$B$1:$S$836,4,0),"")</f>
        <v>ĐQSD</v>
      </c>
      <c r="F527" s="20" t="str">
        <f>IFERROR(VLOOKUP(B527,'03. THIẾT BỊ'!$B$1:$S$836,5,0),"")</f>
        <v>Máy kéo chuối (Xăng)</v>
      </c>
      <c r="G527" s="101" t="s">
        <v>6468</v>
      </c>
      <c r="H527" s="19" t="str">
        <f>IFERROR(VLOOKUP(B527,'03. THIẾT BỊ'!$B$1:$S$836,7,0),"")</f>
        <v>XN Chuối DP1</v>
      </c>
      <c r="I527" s="610" t="str">
        <f>IFERROR(VLOOKUP(B527,'03. THIẾT BỊ'!$B$1:$S$836,8,0),"")</f>
        <v>29/09/2025</v>
      </c>
      <c r="J527" s="25"/>
      <c r="K527" s="19" t="str">
        <f>IFERROR(VLOOKUP(B527,'03. THIẾT BỊ'!$B$1:$S$836,10,0),"")</f>
        <v>Bình thường</v>
      </c>
      <c r="L527" s="25">
        <f>IFERROR(VLOOKUP(B527,'03. THIẾT BỊ'!$B$1:$S$836,11,0),"")</f>
        <v>0</v>
      </c>
      <c r="M527" s="24" t="str">
        <f>IFERROR(VLOOKUP(B527,'03. THIẾT BỊ'!$B$1:$S$836,12,0),"")</f>
        <v>Gia công mới</v>
      </c>
      <c r="N527" s="25" t="str">
        <f>IFERROR(VLOOKUP(B527,'03. THIẾT BỊ'!$B$1:$S$836,13,0),"")</f>
        <v>DREAM</v>
      </c>
      <c r="O527" s="24" t="str">
        <f>IFERROR(VLOOKUP(B527,'03. THIẾT BỊ'!$B$1:$S$836,14,0),"")</f>
        <v>XKC-28</v>
      </c>
      <c r="P527" s="25" t="str">
        <f>IFERROR(VLOOKUP(B527,'03. THIẾT BỊ'!$B$1:$S$836,15,0),"")</f>
        <v>CK-CGH</v>
      </c>
      <c r="Q527" s="23">
        <f>IFERROR(VLOOKUP(B527,'03. THIẾT BỊ'!$B$1:$S$836,16,0),"")</f>
        <v>2025</v>
      </c>
      <c r="R527" s="25">
        <f>IFERROR(VLOOKUP(B527,'03. THIẾT BỊ'!$B$1:$S$836,17,0),"")</f>
        <v>0</v>
      </c>
      <c r="S527" s="25">
        <f>IFERROR(VLOOKUP(B527,'03. THIẾT BỊ'!$B$1:$S$836,18,0),"")</f>
        <v>0</v>
      </c>
    </row>
    <row r="528" customHeight="1" spans="1:20">
      <c r="A528" s="19">
        <f t="shared" si="24"/>
        <v>11</v>
      </c>
      <c r="B528" s="20" t="s">
        <v>4352</v>
      </c>
      <c r="C528" s="613">
        <f>IFERROR(VLOOKUP(B528,'03. THIẾT BỊ'!$B$1:$S$836,2,0),"")</f>
        <v>0</v>
      </c>
      <c r="D528" s="24" t="str">
        <f>IFERROR(VLOOKUP(B528,'03. THIẾT BỊ'!$B$1:$S$836,3,0),"")</f>
        <v>A23-MKC-030</v>
      </c>
      <c r="E528" s="20" t="str">
        <f>IFERROR(VLOOKUP(B528,'03. THIẾT BỊ'!$B$1:$S$836,4,0),"")</f>
        <v>ĐQSD</v>
      </c>
      <c r="F528" s="20" t="str">
        <f>IFERROR(VLOOKUP(B528,'03. THIẾT BỊ'!$B$1:$S$836,5,0),"")</f>
        <v>Máy kéo chuối (Xăng)</v>
      </c>
      <c r="G528" s="101" t="s">
        <v>6468</v>
      </c>
      <c r="H528" s="19" t="str">
        <f>IFERROR(VLOOKUP(B528,'03. THIẾT BỊ'!$B$1:$S$836,7,0),"")</f>
        <v>XN Chuối DP1</v>
      </c>
      <c r="I528" s="610" t="str">
        <f>IFERROR(VLOOKUP(B528,'03. THIẾT BỊ'!$B$1:$S$836,8,0),"")</f>
        <v>20/10/2025</v>
      </c>
      <c r="J528" s="25"/>
      <c r="K528" s="19" t="str">
        <f>IFERROR(VLOOKUP(B528,'03. THIẾT BỊ'!$B$1:$S$836,10,0),"")</f>
        <v>Bình thường</v>
      </c>
      <c r="L528" s="25">
        <f>IFERROR(VLOOKUP(B528,'03. THIẾT BỊ'!$B$1:$S$836,11,0),"")</f>
        <v>0</v>
      </c>
      <c r="M528" s="24" t="str">
        <f>IFERROR(VLOOKUP(B528,'03. THIẾT BỊ'!$B$1:$S$836,12,0),"")</f>
        <v>Gia công mới</v>
      </c>
      <c r="N528" s="25" t="str">
        <f>IFERROR(VLOOKUP(B528,'03. THIẾT BỊ'!$B$1:$S$836,13,0),"")</f>
        <v>DREAM</v>
      </c>
      <c r="O528" s="24" t="str">
        <f>IFERROR(VLOOKUP(B528,'03. THIẾT BỊ'!$B$1:$S$836,14,0),"")</f>
        <v>XKC-033</v>
      </c>
      <c r="P528" s="25" t="str">
        <f>IFERROR(VLOOKUP(B528,'03. THIẾT BỊ'!$B$1:$S$836,15,0),"")</f>
        <v>CK-CGH</v>
      </c>
      <c r="Q528" s="23">
        <f>IFERROR(VLOOKUP(B528,'03. THIẾT BỊ'!$B$1:$S$836,16,0),"")</f>
        <v>2025</v>
      </c>
      <c r="R528" s="25">
        <f>IFERROR(VLOOKUP(B528,'03. THIẾT BỊ'!$B$1:$S$836,17,0),"")</f>
        <v>0</v>
      </c>
      <c r="S528" s="25">
        <f>IFERROR(VLOOKUP(B528,'03. THIẾT BỊ'!$B$1:$S$836,18,0),"")</f>
        <v>0</v>
      </c>
    </row>
    <row r="529" customHeight="1" spans="1:20">
      <c r="A529" s="19">
        <f t="shared" si="24"/>
        <v>12</v>
      </c>
      <c r="B529" s="20" t="s">
        <v>4356</v>
      </c>
      <c r="C529" s="613">
        <f>IFERROR(VLOOKUP(B529,'03. THIẾT BỊ'!$B$1:$S$836,2,0),"")</f>
        <v>0</v>
      </c>
      <c r="D529" s="24" t="str">
        <f>IFERROR(VLOOKUP(B529,'03. THIẾT BỊ'!$B$1:$S$836,3,0),"")</f>
        <v>A23-MKC-034</v>
      </c>
      <c r="E529" s="20" t="str">
        <f>IFERROR(VLOOKUP(B529,'03. THIẾT BỊ'!$B$1:$S$836,4,0),"")</f>
        <v>ĐQSD</v>
      </c>
      <c r="F529" s="20" t="str">
        <f>IFERROR(VLOOKUP(B529,'03. THIẾT BỊ'!$B$1:$S$836,5,0),"")</f>
        <v>Máy kéo chuối (Xăng)</v>
      </c>
      <c r="G529" s="101" t="s">
        <v>6468</v>
      </c>
      <c r="H529" s="19" t="str">
        <f>IFERROR(VLOOKUP(B529,'03. THIẾT BỊ'!$B$1:$S$836,7,0),"")</f>
        <v>XN Chuối DP1</v>
      </c>
      <c r="I529" s="610">
        <f>IFERROR(VLOOKUP(B529,'03. THIẾT BỊ'!$B$1:$S$836,8,0),"")</f>
        <v>45758</v>
      </c>
      <c r="J529" s="25"/>
      <c r="K529" s="19" t="str">
        <f>IFERROR(VLOOKUP(B529,'03. THIẾT BỊ'!$B$1:$S$836,10,0),"")</f>
        <v>Bình thường</v>
      </c>
      <c r="L529" s="25">
        <f>IFERROR(VLOOKUP(B529,'03. THIẾT BỊ'!$B$1:$S$836,11,0),"")</f>
        <v>0</v>
      </c>
      <c r="M529" s="24" t="str">
        <f>IFERROR(VLOOKUP(B529,'03. THIẾT BỊ'!$B$1:$S$836,12,0),"")</f>
        <v>Gia công mới</v>
      </c>
      <c r="N529" s="25" t="str">
        <f>IFERROR(VLOOKUP(B529,'03. THIẾT BỊ'!$B$1:$S$836,13,0),"")</f>
        <v>DREAM</v>
      </c>
      <c r="O529" s="24" t="str">
        <f>IFERROR(VLOOKUP(B529,'03. THIẾT BỊ'!$B$1:$S$836,14,0),"")</f>
        <v>XKC-39</v>
      </c>
      <c r="P529" s="25" t="str">
        <f>IFERROR(VLOOKUP(B529,'03. THIẾT BỊ'!$B$1:$S$836,15,0),"")</f>
        <v>CK-CGH</v>
      </c>
      <c r="Q529" s="23">
        <f>IFERROR(VLOOKUP(B529,'03. THIẾT BỊ'!$B$1:$S$836,16,0),"")</f>
        <v>2025</v>
      </c>
      <c r="R529" s="25">
        <f>IFERROR(VLOOKUP(B529,'03. THIẾT BỊ'!$B$1:$S$836,17,0),"")</f>
        <v>0</v>
      </c>
      <c r="S529" s="25">
        <f>IFERROR(VLOOKUP(B529,'03. THIẾT BỊ'!$B$1:$S$836,18,0),"")</f>
        <v>0</v>
      </c>
    </row>
    <row r="530" customHeight="1" spans="1:20">
      <c r="A530" s="19">
        <f t="shared" si="24"/>
        <v>13</v>
      </c>
      <c r="B530" s="20" t="s">
        <v>4359</v>
      </c>
      <c r="C530" s="613">
        <f>IFERROR(VLOOKUP(B530,'03. THIẾT BỊ'!$B$1:$S$836,2,0),"")</f>
        <v>0</v>
      </c>
      <c r="D530" s="24" t="str">
        <f>IFERROR(VLOOKUP(B530,'03. THIẾT BỊ'!$B$1:$S$836,3,0),"")</f>
        <v>A23-MKC-040</v>
      </c>
      <c r="E530" s="20" t="str">
        <f>IFERROR(VLOOKUP(B530,'03. THIẾT BỊ'!$B$1:$S$836,4,0),"")</f>
        <v>ĐQSD</v>
      </c>
      <c r="F530" s="20" t="str">
        <f>IFERROR(VLOOKUP(B530,'03. THIẾT BỊ'!$B$1:$S$836,5,0),"")</f>
        <v>Máy kéo chuối (Xăng)</v>
      </c>
      <c r="G530" s="101" t="s">
        <v>6468</v>
      </c>
      <c r="H530" s="19" t="str">
        <f>IFERROR(VLOOKUP(B530,'03. THIẾT BỊ'!$B$1:$S$836,7,0),"")</f>
        <v>XN Chuối DP1</v>
      </c>
      <c r="I530" s="610">
        <f>IFERROR(VLOOKUP(B530,'03. THIẾT BỊ'!$B$1:$S$836,8,0),"")</f>
        <v>45912</v>
      </c>
      <c r="J530" s="25"/>
      <c r="K530" s="19" t="str">
        <f>IFERROR(VLOOKUP(B530,'03. THIẾT BỊ'!$B$1:$S$836,10,0),"")</f>
        <v>Bình thường</v>
      </c>
      <c r="L530" s="25">
        <f>IFERROR(VLOOKUP(B530,'03. THIẾT BỊ'!$B$1:$S$836,11,0),"")</f>
        <v>0</v>
      </c>
      <c r="M530" s="24" t="str">
        <f>IFERROR(VLOOKUP(B530,'03. THIẾT BỊ'!$B$1:$S$836,12,0),"")</f>
        <v>Gia công mới</v>
      </c>
      <c r="N530" s="25" t="str">
        <f>IFERROR(VLOOKUP(B530,'03. THIẾT BỊ'!$B$1:$S$836,13,0),"")</f>
        <v>DREAM</v>
      </c>
      <c r="O530" s="24" t="str">
        <f>IFERROR(VLOOKUP(B530,'03. THIẾT BỊ'!$B$1:$S$836,14,0),"")</f>
        <v>XKC-46</v>
      </c>
      <c r="P530" s="25" t="str">
        <f>IFERROR(VLOOKUP(B530,'03. THIẾT BỊ'!$B$1:$S$836,15,0),"")</f>
        <v>CK-CGH</v>
      </c>
      <c r="Q530" s="23">
        <f>IFERROR(VLOOKUP(B530,'03. THIẾT BỊ'!$B$1:$S$836,16,0),"")</f>
        <v>2025</v>
      </c>
      <c r="R530" s="25">
        <f>IFERROR(VLOOKUP(B530,'03. THIẾT BỊ'!$B$1:$S$836,17,0),"")</f>
        <v>0</v>
      </c>
      <c r="S530" s="25">
        <f>IFERROR(VLOOKUP(B530,'03. THIẾT BỊ'!$B$1:$S$836,18,0),"")</f>
        <v>0</v>
      </c>
    </row>
    <row r="531" customHeight="1" spans="1:20">
      <c r="A531" s="19">
        <f>A528+1</f>
        <v>12</v>
      </c>
      <c r="B531" s="20" t="s">
        <v>4492</v>
      </c>
      <c r="C531" s="613" t="str">
        <f>IFERROR(VLOOKUP(B531,'03. THIẾT BỊ'!$B$1:$S$836,2,0),"")</f>
        <v>CK-XKC-05</v>
      </c>
      <c r="D531" s="24" t="str">
        <f>IFERROR(VLOOKUP(B531,'03. THIẾT BỊ'!$B$1:$S$836,3,0),"")</f>
        <v>A23-MKC-001</v>
      </c>
      <c r="E531" s="20" t="str">
        <f>IFERROR(VLOOKUP(B531,'03. THIẾT BỊ'!$B$1:$S$836,4,0),"")</f>
        <v>ĐQSD</v>
      </c>
      <c r="F531" s="20" t="str">
        <f>IFERROR(VLOOKUP(B531,'03. THIẾT BỊ'!$B$1:$S$836,5,0),"")</f>
        <v>Máy kéo chuối (Xăng)</v>
      </c>
      <c r="G531" s="101" t="s">
        <v>6468</v>
      </c>
      <c r="H531" s="19" t="str">
        <f>IFERROR(VLOOKUP(B531,'03. THIẾT BỊ'!$B$1:$S$836,7,0),"")</f>
        <v>XN Chuối DP2</v>
      </c>
      <c r="I531" s="610">
        <f>IFERROR(VLOOKUP(B531,'03. THIẾT BỊ'!$B$1:$S$836,8,0),"")</f>
        <v>45574</v>
      </c>
      <c r="J531" s="25"/>
      <c r="K531" s="19" t="str">
        <f>IFERROR(VLOOKUP(B531,'03. THIẾT BỊ'!$B$1:$S$836,10,0),"")</f>
        <v>Bình thường</v>
      </c>
      <c r="L531" s="25">
        <f>IFERROR(VLOOKUP(B531,'03. THIẾT BỊ'!$B$1:$S$836,11,0),"")</f>
        <v>0</v>
      </c>
      <c r="M531" s="24">
        <f>IFERROR(VLOOKUP(B531,'03. THIẾT BỊ'!$B$1:$S$836,12,0),"")</f>
        <v>0</v>
      </c>
      <c r="N531" s="25" t="str">
        <f>IFERROR(VLOOKUP(B531,'03. THIẾT BỊ'!$B$1:$S$836,13,0),"")</f>
        <v>DREAM</v>
      </c>
      <c r="O531" s="24" t="str">
        <f>IFERROR(VLOOKUP(B531,'03. THIẾT BỊ'!$B$1:$S$836,14,0),"")</f>
        <v>CGH-MKC-DREAM</v>
      </c>
      <c r="P531" s="25" t="str">
        <f>IFERROR(VLOOKUP(B531,'03. THIẾT BỊ'!$B$1:$S$836,15,0),"")</f>
        <v>CK-CGH</v>
      </c>
      <c r="Q531" s="23">
        <f>IFERROR(VLOOKUP(B531,'03. THIẾT BỊ'!$B$1:$S$836,16,0),"")</f>
        <v>2024</v>
      </c>
      <c r="R531" s="25" t="str">
        <f>IFERROR(VLOOKUP(B531,'03. THIẾT BỊ'!$B$1:$S$836,17,0),"")</f>
        <v>9.25HP</v>
      </c>
      <c r="S531" s="25" t="str">
        <f>IFERROR(VLOOKUP(B531,'03. THIẾT BỊ'!$B$1:$S$836,18,0),"")</f>
        <v>10H05075</v>
      </c>
      <c r="T531" s="41">
        <v>0.56</v>
      </c>
    </row>
    <row r="532" customHeight="1" spans="1:20">
      <c r="A532" s="19">
        <f t="shared" ref="A532:A541" si="25">A531+1</f>
        <v>13</v>
      </c>
      <c r="B532" s="20" t="s">
        <v>4496</v>
      </c>
      <c r="C532" s="613" t="str">
        <f>IFERROR(VLOOKUP(B532,'03. THIẾT BỊ'!$B$1:$S$836,2,0),"")</f>
        <v>CK-XKC-07</v>
      </c>
      <c r="D532" s="24" t="str">
        <f>IFERROR(VLOOKUP(B532,'03. THIẾT BỊ'!$B$1:$S$836,3,0),"")</f>
        <v>A23-MKC-003</v>
      </c>
      <c r="E532" s="20" t="str">
        <f>IFERROR(VLOOKUP(B532,'03. THIẾT BỊ'!$B$1:$S$836,4,0),"")</f>
        <v>ĐQSD</v>
      </c>
      <c r="F532" s="20" t="str">
        <f>IFERROR(VLOOKUP(B532,'03. THIẾT BỊ'!$B$1:$S$836,5,0),"")</f>
        <v>Máy kéo chuối (Xăng)</v>
      </c>
      <c r="G532" s="101" t="s">
        <v>6468</v>
      </c>
      <c r="H532" s="19" t="str">
        <f>IFERROR(VLOOKUP(B532,'03. THIẾT BỊ'!$B$1:$S$836,7,0),"")</f>
        <v>XN Chuối DP2</v>
      </c>
      <c r="I532" s="610" t="str">
        <f>IFERROR(VLOOKUP(B532,'03. THIẾT BỊ'!$B$1:$S$836,8,0),"")</f>
        <v>19/11/2024</v>
      </c>
      <c r="J532" s="25"/>
      <c r="K532" s="19" t="str">
        <f>IFERROR(VLOOKUP(B532,'03. THIẾT BỊ'!$B$1:$S$836,10,0),"")</f>
        <v>Bình thường</v>
      </c>
      <c r="L532" s="25">
        <f>IFERROR(VLOOKUP(B532,'03. THIẾT BỊ'!$B$1:$S$836,11,0),"")</f>
        <v>0</v>
      </c>
      <c r="M532" s="24">
        <f>IFERROR(VLOOKUP(B532,'03. THIẾT BỊ'!$B$1:$S$836,12,0),"")</f>
        <v>0</v>
      </c>
      <c r="N532" s="25" t="str">
        <f>IFERROR(VLOOKUP(B532,'03. THIẾT BỊ'!$B$1:$S$836,13,0),"")</f>
        <v>DREAM</v>
      </c>
      <c r="O532" s="24" t="str">
        <f>IFERROR(VLOOKUP(B532,'03. THIẾT BỊ'!$B$1:$S$836,14,0),"")</f>
        <v>CGH-MKC-DREAM</v>
      </c>
      <c r="P532" s="25" t="str">
        <f>IFERROR(VLOOKUP(B532,'03. THIẾT BỊ'!$B$1:$S$836,15,0),"")</f>
        <v>CK-CGH</v>
      </c>
      <c r="Q532" s="23">
        <f>IFERROR(VLOOKUP(B532,'03. THIẾT BỊ'!$B$1:$S$836,16,0),"")</f>
        <v>2024</v>
      </c>
      <c r="R532" s="25" t="str">
        <f>IFERROR(VLOOKUP(B532,'03. THIẾT BỊ'!$B$1:$S$836,17,0),"")</f>
        <v>9.25HP</v>
      </c>
      <c r="S532" s="25" t="str">
        <f>IFERROR(VLOOKUP(B532,'03. THIẾT BỊ'!$B$1:$S$836,18,0),"")</f>
        <v>10D66471</v>
      </c>
      <c r="T532" s="41">
        <v>0.56</v>
      </c>
    </row>
    <row r="533" customHeight="1" spans="1:20">
      <c r="A533" s="19">
        <f t="shared" si="25"/>
        <v>14</v>
      </c>
      <c r="B533" s="20" t="s">
        <v>4501</v>
      </c>
      <c r="C533" s="613" t="str">
        <f>IFERROR(VLOOKUP(B533,'03. THIẾT BỊ'!$B$1:$S$836,2,0),"")</f>
        <v>CK-XKC-17</v>
      </c>
      <c r="D533" s="24" t="str">
        <f>IFERROR(VLOOKUP(B533,'03. THIẾT BỊ'!$B$1:$S$836,3,0),"")</f>
        <v>A23-MKC-009</v>
      </c>
      <c r="E533" s="20" t="str">
        <f>IFERROR(VLOOKUP(B533,'03. THIẾT BỊ'!$B$1:$S$836,4,0),"")</f>
        <v>ĐQSD</v>
      </c>
      <c r="F533" s="20" t="str">
        <f>IFERROR(VLOOKUP(B533,'03. THIẾT BỊ'!$B$1:$S$836,5,0),"")</f>
        <v>Máy kéo chuối (Xăng)</v>
      </c>
      <c r="G533" s="101" t="s">
        <v>6468</v>
      </c>
      <c r="H533" s="19" t="str">
        <f>IFERROR(VLOOKUP(B533,'03. THIẾT BỊ'!$B$1:$S$836,7,0),"")</f>
        <v>XN Chuối DP2</v>
      </c>
      <c r="I533" s="610">
        <f>IFERROR(VLOOKUP(B533,'03. THIẾT BỊ'!$B$1:$S$836,8,0),"")</f>
        <v>45995</v>
      </c>
      <c r="J533" s="25"/>
      <c r="K533" s="19" t="str">
        <f>IFERROR(VLOOKUP(B533,'03. THIẾT BỊ'!$B$1:$S$836,10,0),"")</f>
        <v>Bình thường</v>
      </c>
      <c r="L533" s="25">
        <f>IFERROR(VLOOKUP(B533,'03. THIẾT BỊ'!$B$1:$S$836,11,0),"")</f>
        <v>0</v>
      </c>
      <c r="M533" s="24">
        <f>IFERROR(VLOOKUP(B533,'03. THIẾT BỊ'!$B$1:$S$836,12,0),"")</f>
        <v>0</v>
      </c>
      <c r="N533" s="25" t="str">
        <f>IFERROR(VLOOKUP(B533,'03. THIẾT BỊ'!$B$1:$S$836,13,0),"")</f>
        <v>DREAM</v>
      </c>
      <c r="O533" s="24" t="str">
        <f>IFERROR(VLOOKUP(B533,'03. THIẾT BỊ'!$B$1:$S$836,14,0),"")</f>
        <v>CGH-MKC-DREAM</v>
      </c>
      <c r="P533" s="25" t="str">
        <f>IFERROR(VLOOKUP(B533,'03. THIẾT BỊ'!$B$1:$S$836,15,0),"")</f>
        <v>CK-CGH</v>
      </c>
      <c r="Q533" s="23">
        <f>IFERROR(VLOOKUP(B533,'03. THIẾT BỊ'!$B$1:$S$836,16,0),"")</f>
        <v>2025</v>
      </c>
      <c r="R533" s="25" t="str">
        <f>IFERROR(VLOOKUP(B533,'03. THIẾT BỊ'!$B$1:$S$836,17,0),"")</f>
        <v>9.25HP</v>
      </c>
      <c r="S533" s="25" t="str">
        <f>IFERROR(VLOOKUP(B533,'03. THIẾT BỊ'!$B$1:$S$836,18,0),"")</f>
        <v>Mất sm</v>
      </c>
      <c r="T533" s="41">
        <v>0.56</v>
      </c>
    </row>
    <row r="534" customHeight="1" spans="1:20">
      <c r="A534" s="19">
        <f t="shared" si="25"/>
        <v>15</v>
      </c>
      <c r="B534" s="20" t="s">
        <v>4505</v>
      </c>
      <c r="C534" s="613" t="str">
        <f>IFERROR(VLOOKUP(B534,'03. THIẾT BỊ'!$B$1:$S$836,2,0),"")</f>
        <v>CK-XKC-18</v>
      </c>
      <c r="D534" s="24" t="str">
        <f>IFERROR(VLOOKUP(B534,'03. THIẾT BỊ'!$B$1:$S$836,3,0),"")</f>
        <v>A23-MKC-010</v>
      </c>
      <c r="E534" s="20" t="str">
        <f>IFERROR(VLOOKUP(B534,'03. THIẾT BỊ'!$B$1:$S$836,4,0),"")</f>
        <v>ĐQSD</v>
      </c>
      <c r="F534" s="20" t="str">
        <f>IFERROR(VLOOKUP(B534,'03. THIẾT BỊ'!$B$1:$S$836,5,0),"")</f>
        <v>Máy kéo chuối (Xăng)</v>
      </c>
      <c r="G534" s="101" t="s">
        <v>6468</v>
      </c>
      <c r="H534" s="19" t="str">
        <f>IFERROR(VLOOKUP(B534,'03. THIẾT BỊ'!$B$1:$S$836,7,0),"")</f>
        <v>XN Chuối DP2</v>
      </c>
      <c r="I534" s="610">
        <f>IFERROR(VLOOKUP(B534,'03. THIẾT BỊ'!$B$1:$S$836,8,0),"")</f>
        <v>45995</v>
      </c>
      <c r="J534" s="25"/>
      <c r="K534" s="19" t="str">
        <f>IFERROR(VLOOKUP(B534,'03. THIẾT BỊ'!$B$1:$S$836,10,0),"")</f>
        <v>Bình thường</v>
      </c>
      <c r="L534" s="25">
        <f>IFERROR(VLOOKUP(B534,'03. THIẾT BỊ'!$B$1:$S$836,11,0),"")</f>
        <v>0</v>
      </c>
      <c r="M534" s="24">
        <f>IFERROR(VLOOKUP(B534,'03. THIẾT BỊ'!$B$1:$S$836,12,0),"")</f>
        <v>0</v>
      </c>
      <c r="N534" s="25" t="str">
        <f>IFERROR(VLOOKUP(B534,'03. THIẾT BỊ'!$B$1:$S$836,13,0),"")</f>
        <v>DREAM</v>
      </c>
      <c r="O534" s="24" t="str">
        <f>IFERROR(VLOOKUP(B534,'03. THIẾT BỊ'!$B$1:$S$836,14,0),"")</f>
        <v>CGH-MKC-DREAM</v>
      </c>
      <c r="P534" s="25" t="str">
        <f>IFERROR(VLOOKUP(B534,'03. THIẾT BỊ'!$B$1:$S$836,15,0),"")</f>
        <v>CK-CGH</v>
      </c>
      <c r="Q534" s="23">
        <f>IFERROR(VLOOKUP(B534,'03. THIẾT BỊ'!$B$1:$S$836,16,0),"")</f>
        <v>2025</v>
      </c>
      <c r="R534" s="25" t="str">
        <f>IFERROR(VLOOKUP(B534,'03. THIẾT BỊ'!$B$1:$S$836,17,0),"")</f>
        <v>9.25HP</v>
      </c>
      <c r="S534" s="25" t="str">
        <f>IFERROR(VLOOKUP(B534,'03. THIẾT BỊ'!$B$1:$S$836,18,0),"")</f>
        <v>09H71220</v>
      </c>
      <c r="T534" s="41">
        <v>0.56</v>
      </c>
    </row>
    <row r="535" customHeight="1" spans="1:20">
      <c r="A535" s="19">
        <f t="shared" si="25"/>
        <v>16</v>
      </c>
      <c r="B535" s="20" t="s">
        <v>4509</v>
      </c>
      <c r="C535" s="613">
        <f>IFERROR(VLOOKUP(B535,'03. THIẾT BỊ'!$B$1:$S$836,2,0),"")</f>
        <v>0</v>
      </c>
      <c r="D535" s="24" t="str">
        <f>IFERROR(VLOOKUP(B535,'03. THIẾT BỊ'!$B$1:$S$836,3,0),"")</f>
        <v>A23-MKC-024</v>
      </c>
      <c r="E535" s="20" t="str">
        <f>IFERROR(VLOOKUP(B535,'03. THIẾT BỊ'!$B$1:$S$836,4,0),"")</f>
        <v>ĐQSD</v>
      </c>
      <c r="F535" s="20" t="str">
        <f>IFERROR(VLOOKUP(B535,'03. THIẾT BỊ'!$B$1:$S$836,5,0),"")</f>
        <v>Máy kéo chuối (Xăng)</v>
      </c>
      <c r="G535" s="101" t="s">
        <v>6468</v>
      </c>
      <c r="H535" s="19" t="str">
        <f>IFERROR(VLOOKUP(B535,'03. THIẾT BỊ'!$B$1:$S$836,7,0),"")</f>
        <v>XN Chuối DP2</v>
      </c>
      <c r="I535" s="610" t="str">
        <f>IFERROR(VLOOKUP(B535,'03. THIẾT BỊ'!$B$1:$S$836,8,0),"")</f>
        <v>25/09/2025</v>
      </c>
      <c r="J535" s="25"/>
      <c r="K535" s="19" t="str">
        <f>IFERROR(VLOOKUP(B535,'03. THIẾT BỊ'!$B$1:$S$836,10,0),"")</f>
        <v>Bình thường</v>
      </c>
      <c r="L535" s="25">
        <f>IFERROR(VLOOKUP(B535,'03. THIẾT BỊ'!$B$1:$S$836,11,0),"")</f>
        <v>0</v>
      </c>
      <c r="M535" s="24" t="str">
        <f>IFERROR(VLOOKUP(B535,'03. THIẾT BỊ'!$B$1:$S$836,12,0),"")</f>
        <v>Gia công mới</v>
      </c>
      <c r="N535" s="25" t="str">
        <f>IFERROR(VLOOKUP(B535,'03. THIẾT BỊ'!$B$1:$S$836,13,0),"")</f>
        <v>DREAM</v>
      </c>
      <c r="O535" s="24" t="str">
        <f>IFERROR(VLOOKUP(B535,'03. THIẾT BỊ'!$B$1:$S$836,14,0),"")</f>
        <v>XKC-25</v>
      </c>
      <c r="P535" s="25" t="str">
        <f>IFERROR(VLOOKUP(B535,'03. THIẾT BỊ'!$B$1:$S$836,15,0),"")</f>
        <v>CK-CGH</v>
      </c>
      <c r="Q535" s="23">
        <f>IFERROR(VLOOKUP(B535,'03. THIẾT BỊ'!$B$1:$S$836,16,0),"")</f>
        <v>2025</v>
      </c>
      <c r="R535" s="25" t="str">
        <f>IFERROR(VLOOKUP(B535,'03. THIẾT BỊ'!$B$1:$S$836,17,0),"")</f>
        <v>9.25HP</v>
      </c>
      <c r="S535" s="25">
        <f>IFERROR(VLOOKUP(B535,'03. THIẾT BỊ'!$B$1:$S$836,18,0),"")</f>
        <v>25</v>
      </c>
      <c r="T535" s="41">
        <v>0.56</v>
      </c>
    </row>
    <row r="536" customHeight="1" spans="1:20">
      <c r="A536" s="19">
        <f t="shared" si="25"/>
        <v>17</v>
      </c>
      <c r="B536" s="20" t="s">
        <v>4513</v>
      </c>
      <c r="C536" s="613">
        <f>IFERROR(VLOOKUP(B536,'03. THIẾT BỊ'!$B$1:$S$836,2,0),"")</f>
        <v>0</v>
      </c>
      <c r="D536" s="24" t="str">
        <f>IFERROR(VLOOKUP(B536,'03. THIẾT BỊ'!$B$1:$S$836,3,0),"")</f>
        <v>A23-MKC-025</v>
      </c>
      <c r="E536" s="20" t="str">
        <f>IFERROR(VLOOKUP(B536,'03. THIẾT BỊ'!$B$1:$S$836,4,0),"")</f>
        <v>ĐQSD</v>
      </c>
      <c r="F536" s="20" t="str">
        <f>IFERROR(VLOOKUP(B536,'03. THIẾT BỊ'!$B$1:$S$836,5,0),"")</f>
        <v>Máy kéo chuối (Xăng)</v>
      </c>
      <c r="G536" s="101" t="s">
        <v>6468</v>
      </c>
      <c r="H536" s="19" t="str">
        <f>IFERROR(VLOOKUP(B536,'03. THIẾT BỊ'!$B$1:$S$836,7,0),"")</f>
        <v>XN Chuối DP2</v>
      </c>
      <c r="I536" s="610" t="str">
        <f>IFERROR(VLOOKUP(B536,'03. THIẾT BỊ'!$B$1:$S$836,8,0),"")</f>
        <v>25/09/2025</v>
      </c>
      <c r="J536" s="25"/>
      <c r="K536" s="19" t="str">
        <f>IFERROR(VLOOKUP(B536,'03. THIẾT BỊ'!$B$1:$S$836,10,0),"")</f>
        <v>Bình thường</v>
      </c>
      <c r="L536" s="25">
        <f>IFERROR(VLOOKUP(B536,'03. THIẾT BỊ'!$B$1:$S$836,11,0),"")</f>
        <v>0</v>
      </c>
      <c r="M536" s="24" t="str">
        <f>IFERROR(VLOOKUP(B536,'03. THIẾT BỊ'!$B$1:$S$836,12,0),"")</f>
        <v>Gia công mới</v>
      </c>
      <c r="N536" s="25" t="str">
        <f>IFERROR(VLOOKUP(B536,'03. THIẾT BỊ'!$B$1:$S$836,13,0),"")</f>
        <v>DREAM</v>
      </c>
      <c r="O536" s="24" t="str">
        <f>IFERROR(VLOOKUP(B536,'03. THIẾT BỊ'!$B$1:$S$836,14,0),"")</f>
        <v>XKC-27</v>
      </c>
      <c r="P536" s="25" t="str">
        <f>IFERROR(VLOOKUP(B536,'03. THIẾT BỊ'!$B$1:$S$836,15,0),"")</f>
        <v>CK-CGH</v>
      </c>
      <c r="Q536" s="23">
        <f>IFERROR(VLOOKUP(B536,'03. THIẾT BỊ'!$B$1:$S$836,16,0),"")</f>
        <v>2025</v>
      </c>
      <c r="R536" s="25" t="str">
        <f>IFERROR(VLOOKUP(B536,'03. THIẾT BỊ'!$B$1:$S$836,17,0),"")</f>
        <v>9.25HP</v>
      </c>
      <c r="S536" s="25">
        <f>IFERROR(VLOOKUP(B536,'03. THIẾT BỊ'!$B$1:$S$836,18,0),"")</f>
        <v>27</v>
      </c>
      <c r="T536" s="41">
        <v>0.56</v>
      </c>
    </row>
    <row r="537" customHeight="1" spans="1:20">
      <c r="A537" s="19">
        <f t="shared" si="25"/>
        <v>18</v>
      </c>
      <c r="B537" s="20" t="s">
        <v>4516</v>
      </c>
      <c r="C537" s="613">
        <f>IFERROR(VLOOKUP(B537,'03. THIẾT BỊ'!$B$1:$S$836,2,0),"")</f>
        <v>0</v>
      </c>
      <c r="D537" s="24" t="str">
        <f>IFERROR(VLOOKUP(B537,'03. THIẾT BỊ'!$B$1:$S$836,3,0),"")</f>
        <v>A23-MKC-032</v>
      </c>
      <c r="E537" s="20" t="str">
        <f>IFERROR(VLOOKUP(B537,'03. THIẾT BỊ'!$B$1:$S$836,4,0),"")</f>
        <v>ĐQSD</v>
      </c>
      <c r="F537" s="20" t="str">
        <f>IFERROR(VLOOKUP(B537,'03. THIẾT BỊ'!$B$1:$S$836,5,0),"")</f>
        <v>Máy kéo chuối (Xăng)</v>
      </c>
      <c r="G537" s="101" t="s">
        <v>6468</v>
      </c>
      <c r="H537" s="19" t="str">
        <f>IFERROR(VLOOKUP(B537,'03. THIẾT BỊ'!$B$1:$S$836,7,0),"")</f>
        <v>XN Chuối DP2</v>
      </c>
      <c r="I537" s="610" t="str">
        <f>IFERROR(VLOOKUP(B537,'03. THIẾT BỊ'!$B$1:$S$836,8,0),"")</f>
        <v>27/10/2025</v>
      </c>
      <c r="J537" s="25"/>
      <c r="K537" s="19" t="str">
        <f>IFERROR(VLOOKUP(B537,'03. THIẾT BỊ'!$B$1:$S$836,10,0),"")</f>
        <v>Bình thường</v>
      </c>
      <c r="L537" s="25">
        <f>IFERROR(VLOOKUP(B537,'03. THIẾT BỊ'!$B$1:$S$836,11,0),"")</f>
        <v>0</v>
      </c>
      <c r="M537" s="24" t="str">
        <f>IFERROR(VLOOKUP(B537,'03. THIẾT BỊ'!$B$1:$S$836,12,0),"")</f>
        <v>Gia công mới</v>
      </c>
      <c r="N537" s="25" t="str">
        <f>IFERROR(VLOOKUP(B537,'03. THIẾT BỊ'!$B$1:$S$836,13,0),"")</f>
        <v>DREAM</v>
      </c>
      <c r="O537" s="24" t="str">
        <f>IFERROR(VLOOKUP(B537,'03. THIẾT BỊ'!$B$1:$S$836,14,0),"")</f>
        <v>XKC-37</v>
      </c>
      <c r="P537" s="25" t="str">
        <f>IFERROR(VLOOKUP(B537,'03. THIẾT BỊ'!$B$1:$S$836,15,0),"")</f>
        <v>CK-CGH</v>
      </c>
      <c r="Q537" s="23">
        <f>IFERROR(VLOOKUP(B537,'03. THIẾT BỊ'!$B$1:$S$836,16,0),"")</f>
        <v>2025</v>
      </c>
      <c r="R537" s="25" t="str">
        <f>IFERROR(VLOOKUP(B537,'03. THIẾT BỊ'!$B$1:$S$836,17,0),"")</f>
        <v>9.25HP</v>
      </c>
      <c r="S537" s="25">
        <f>IFERROR(VLOOKUP(B537,'03. THIẾT BỊ'!$B$1:$S$836,18,0),"")</f>
        <v>0</v>
      </c>
      <c r="T537" s="41">
        <v>0.56</v>
      </c>
    </row>
    <row r="538" customHeight="1" spans="1:20">
      <c r="A538" s="19">
        <f t="shared" si="25"/>
        <v>19</v>
      </c>
      <c r="B538" s="20" t="s">
        <v>4520</v>
      </c>
      <c r="C538" s="613">
        <f>IFERROR(VLOOKUP(B538,'03. THIẾT BỊ'!$B$1:$S$836,2,0),"")</f>
        <v>0</v>
      </c>
      <c r="D538" s="24" t="str">
        <f>IFERROR(VLOOKUP(B538,'03. THIẾT BỊ'!$B$1:$S$836,3,0),"")</f>
        <v>A23-MKC-036</v>
      </c>
      <c r="E538" s="20" t="str">
        <f>IFERROR(VLOOKUP(B538,'03. THIẾT BỊ'!$B$1:$S$836,4,0),"")</f>
        <v>ĐQSD</v>
      </c>
      <c r="F538" s="20" t="str">
        <f>IFERROR(VLOOKUP(B538,'03. THIẾT BỊ'!$B$1:$S$836,5,0),"")</f>
        <v>Máy kéo chuối (Xăng)</v>
      </c>
      <c r="G538" s="101" t="s">
        <v>6468</v>
      </c>
      <c r="H538" s="19" t="str">
        <f>IFERROR(VLOOKUP(B538,'03. THIẾT BỊ'!$B$1:$S$836,7,0),"")</f>
        <v>XN Chuối DP2</v>
      </c>
      <c r="I538" s="610">
        <f>IFERROR(VLOOKUP(B538,'03. THIẾT BỊ'!$B$1:$S$836,8,0),"")</f>
        <v>45880</v>
      </c>
      <c r="J538" s="25"/>
      <c r="K538" s="19" t="str">
        <f>IFERROR(VLOOKUP(B538,'03. THIẾT BỊ'!$B$1:$S$836,10,0),"")</f>
        <v>Bình thường</v>
      </c>
      <c r="L538" s="25">
        <f>IFERROR(VLOOKUP(B538,'03. THIẾT BỊ'!$B$1:$S$836,11,0),"")</f>
        <v>0</v>
      </c>
      <c r="M538" s="24" t="str">
        <f>IFERROR(VLOOKUP(B538,'03. THIẾT BỊ'!$B$1:$S$836,12,0),"")</f>
        <v>Gia công mới</v>
      </c>
      <c r="N538" s="25" t="str">
        <f>IFERROR(VLOOKUP(B538,'03. THIẾT BỊ'!$B$1:$S$836,13,0),"")</f>
        <v>DREAM</v>
      </c>
      <c r="O538" s="24" t="str">
        <f>IFERROR(VLOOKUP(B538,'03. THIẾT BỊ'!$B$1:$S$836,14,0),"")</f>
        <v>XKC-42</v>
      </c>
      <c r="P538" s="25" t="str">
        <f>IFERROR(VLOOKUP(B538,'03. THIẾT BỊ'!$B$1:$S$836,15,0),"")</f>
        <v>CK-CGH</v>
      </c>
      <c r="Q538" s="23">
        <f>IFERROR(VLOOKUP(B538,'03. THIẾT BỊ'!$B$1:$S$836,16,0),"")</f>
        <v>2025</v>
      </c>
      <c r="R538" s="25" t="str">
        <f>IFERROR(VLOOKUP(B538,'03. THIẾT BỊ'!$B$1:$S$836,17,0),"")</f>
        <v>9.25HP</v>
      </c>
      <c r="S538" s="25">
        <f>IFERROR(VLOOKUP(B538,'03. THIẾT BỊ'!$B$1:$S$836,18,0),"")</f>
        <v>0</v>
      </c>
      <c r="T538" s="41">
        <v>0.56</v>
      </c>
    </row>
    <row r="539" customHeight="1" spans="1:20">
      <c r="A539" s="19">
        <f t="shared" si="25"/>
        <v>20</v>
      </c>
      <c r="B539" s="20" t="s">
        <v>4523</v>
      </c>
      <c r="C539" s="613">
        <f>IFERROR(VLOOKUP(B539,'03. THIẾT BỊ'!$B$1:$S$836,2,0),"")</f>
        <v>0</v>
      </c>
      <c r="D539" s="24" t="str">
        <f>IFERROR(VLOOKUP(B539,'03. THIẾT BỊ'!$B$1:$S$836,3,0),"")</f>
        <v>A23-MKC-037</v>
      </c>
      <c r="E539" s="20" t="str">
        <f>IFERROR(VLOOKUP(B539,'03. THIẾT BỊ'!$B$1:$S$836,4,0),"")</f>
        <v>ĐQSD</v>
      </c>
      <c r="F539" s="20" t="str">
        <f>IFERROR(VLOOKUP(B539,'03. THIẾT BỊ'!$B$1:$S$836,5,0),"")</f>
        <v>Máy kéo chuối (Xăng)</v>
      </c>
      <c r="G539" s="101" t="s">
        <v>6468</v>
      </c>
      <c r="H539" s="19" t="str">
        <f>IFERROR(VLOOKUP(B539,'03. THIẾT BỊ'!$B$1:$S$836,7,0),"")</f>
        <v>XN Chuối DP2</v>
      </c>
      <c r="I539" s="610" t="str">
        <f>IFERROR(VLOOKUP(B539,'03. THIẾT BỊ'!$B$1:$S$836,8,0),"")</f>
        <v>20/11/2025</v>
      </c>
      <c r="J539" s="25"/>
      <c r="K539" s="19" t="str">
        <f>IFERROR(VLOOKUP(B539,'03. THIẾT BỊ'!$B$1:$S$836,10,0),"")</f>
        <v>Bình thường</v>
      </c>
      <c r="L539" s="25">
        <f>IFERROR(VLOOKUP(B539,'03. THIẾT BỊ'!$B$1:$S$836,11,0),"")</f>
        <v>0</v>
      </c>
      <c r="M539" s="24" t="str">
        <f>IFERROR(VLOOKUP(B539,'03. THIẾT BỊ'!$B$1:$S$836,12,0),"")</f>
        <v>Gia công mới</v>
      </c>
      <c r="N539" s="25" t="str">
        <f>IFERROR(VLOOKUP(B539,'03. THIẾT BỊ'!$B$1:$S$836,13,0),"")</f>
        <v>DREAM</v>
      </c>
      <c r="O539" s="24" t="str">
        <f>IFERROR(VLOOKUP(B539,'03. THIẾT BỊ'!$B$1:$S$836,14,0),"")</f>
        <v>XKC-43</v>
      </c>
      <c r="P539" s="25" t="str">
        <f>IFERROR(VLOOKUP(B539,'03. THIẾT BỊ'!$B$1:$S$836,15,0),"")</f>
        <v>CK-CGH</v>
      </c>
      <c r="Q539" s="23">
        <f>IFERROR(VLOOKUP(B539,'03. THIẾT BỊ'!$B$1:$S$836,16,0),"")</f>
        <v>2025</v>
      </c>
      <c r="R539" s="25" t="str">
        <f>IFERROR(VLOOKUP(B539,'03. THIẾT BỊ'!$B$1:$S$836,17,0),"")</f>
        <v>9.25HP</v>
      </c>
      <c r="S539" s="25">
        <f>IFERROR(VLOOKUP(B539,'03. THIẾT BỊ'!$B$1:$S$836,18,0),"")</f>
        <v>0</v>
      </c>
      <c r="T539" s="41">
        <v>0.56</v>
      </c>
    </row>
    <row r="540" customHeight="1" spans="1:20">
      <c r="A540" s="19">
        <f t="shared" si="25"/>
        <v>21</v>
      </c>
      <c r="B540" s="20" t="s">
        <v>4527</v>
      </c>
      <c r="C540" s="613">
        <f>IFERROR(VLOOKUP(B540,'03. THIẾT BỊ'!$B$1:$S$836,2,0),"")</f>
        <v>0</v>
      </c>
      <c r="D540" s="24" t="str">
        <f>IFERROR(VLOOKUP(B540,'03. THIẾT BỊ'!$B$1:$S$836,3,0),"")</f>
        <v>A23-MKC-038</v>
      </c>
      <c r="E540" s="20" t="str">
        <f>IFERROR(VLOOKUP(B540,'03. THIẾT BỊ'!$B$1:$S$836,4,0),"")</f>
        <v>ĐQSD</v>
      </c>
      <c r="F540" s="20" t="str">
        <f>IFERROR(VLOOKUP(B540,'03. THIẾT BỊ'!$B$1:$S$836,5,0),"")</f>
        <v>Máy kéo chuối (Xăng)</v>
      </c>
      <c r="G540" s="101" t="s">
        <v>6468</v>
      </c>
      <c r="H540" s="19" t="str">
        <f>IFERROR(VLOOKUP(B540,'03. THIẾT BỊ'!$B$1:$S$836,7,0),"")</f>
        <v>XN Chuối DP2</v>
      </c>
      <c r="I540" s="610">
        <f>IFERROR(VLOOKUP(B540,'03. THIẾT BỊ'!$B$1:$S$836,8,0),"")</f>
        <v>45759</v>
      </c>
      <c r="J540" s="25"/>
      <c r="K540" s="19" t="str">
        <f>IFERROR(VLOOKUP(B540,'03. THIẾT BỊ'!$B$1:$S$836,10,0),"")</f>
        <v>Bình thường</v>
      </c>
      <c r="L540" s="25">
        <f>IFERROR(VLOOKUP(B540,'03. THIẾT BỊ'!$B$1:$S$836,11,0),"")</f>
        <v>0</v>
      </c>
      <c r="M540" s="24" t="str">
        <f>IFERROR(VLOOKUP(B540,'03. THIẾT BỊ'!$B$1:$S$836,12,0),"")</f>
        <v>Gia công mới</v>
      </c>
      <c r="N540" s="25" t="str">
        <f>IFERROR(VLOOKUP(B540,'03. THIẾT BỊ'!$B$1:$S$836,13,0),"")</f>
        <v>DREAM</v>
      </c>
      <c r="O540" s="24" t="str">
        <f>IFERROR(VLOOKUP(B540,'03. THIẾT BỊ'!$B$1:$S$836,14,0),"")</f>
        <v>XKC-44</v>
      </c>
      <c r="P540" s="25" t="str">
        <f>IFERROR(VLOOKUP(B540,'03. THIẾT BỊ'!$B$1:$S$836,15,0),"")</f>
        <v>CK-CGH</v>
      </c>
      <c r="Q540" s="23">
        <f>IFERROR(VLOOKUP(B540,'03. THIẾT BỊ'!$B$1:$S$836,16,0),"")</f>
        <v>2025</v>
      </c>
      <c r="R540" s="25" t="str">
        <f>IFERROR(VLOOKUP(B540,'03. THIẾT BỊ'!$B$1:$S$836,17,0),"")</f>
        <v>9.25HP</v>
      </c>
      <c r="S540" s="25">
        <f>IFERROR(VLOOKUP(B540,'03. THIẾT BỊ'!$B$1:$S$836,18,0),"")</f>
        <v>0</v>
      </c>
      <c r="T540" s="41">
        <v>0.56</v>
      </c>
    </row>
    <row r="541" customHeight="1" spans="1:20">
      <c r="A541" s="19">
        <f t="shared" si="25"/>
        <v>22</v>
      </c>
      <c r="B541" s="20" t="s">
        <v>4530</v>
      </c>
      <c r="C541" s="613">
        <f>IFERROR(VLOOKUP(B541,'03. THIẾT BỊ'!$B$1:$S$836,2,0),"")</f>
        <v>0</v>
      </c>
      <c r="D541" s="24" t="str">
        <f>IFERROR(VLOOKUP(B541,'03. THIẾT BỊ'!$B$1:$S$836,3,0),"")</f>
        <v>A23-MKC-039</v>
      </c>
      <c r="E541" s="20" t="str">
        <f>IFERROR(VLOOKUP(B541,'03. THIẾT BỊ'!$B$1:$S$836,4,0),"")</f>
        <v>ĐQSD</v>
      </c>
      <c r="F541" s="20" t="str">
        <f>IFERROR(VLOOKUP(B541,'03. THIẾT BỊ'!$B$1:$S$836,5,0),"")</f>
        <v>Máy kéo chuối (Xăng)</v>
      </c>
      <c r="G541" s="101" t="s">
        <v>6468</v>
      </c>
      <c r="H541" s="19" t="str">
        <f>IFERROR(VLOOKUP(B541,'03. THIẾT BỊ'!$B$1:$S$836,7,0),"")</f>
        <v>XN Chuối DP2</v>
      </c>
      <c r="I541" s="610">
        <f>IFERROR(VLOOKUP(B541,'03. THIẾT BỊ'!$B$1:$S$836,8,0),"")</f>
        <v>45759</v>
      </c>
      <c r="J541" s="25"/>
      <c r="K541" s="19" t="str">
        <f>IFERROR(VLOOKUP(B541,'03. THIẾT BỊ'!$B$1:$S$836,10,0),"")</f>
        <v>Bình thường</v>
      </c>
      <c r="L541" s="25">
        <f>IFERROR(VLOOKUP(B541,'03. THIẾT BỊ'!$B$1:$S$836,11,0),"")</f>
        <v>0</v>
      </c>
      <c r="M541" s="24" t="str">
        <f>IFERROR(VLOOKUP(B541,'03. THIẾT BỊ'!$B$1:$S$836,12,0),"")</f>
        <v>Gia công mới</v>
      </c>
      <c r="N541" s="25" t="str">
        <f>IFERROR(VLOOKUP(B541,'03. THIẾT BỊ'!$B$1:$S$836,13,0),"")</f>
        <v>DREAM</v>
      </c>
      <c r="O541" s="24" t="str">
        <f>IFERROR(VLOOKUP(B541,'03. THIẾT BỊ'!$B$1:$S$836,14,0),"")</f>
        <v>XKC-45</v>
      </c>
      <c r="P541" s="25" t="str">
        <f>IFERROR(VLOOKUP(B541,'03. THIẾT BỊ'!$B$1:$S$836,15,0),"")</f>
        <v>CK-CGH</v>
      </c>
      <c r="Q541" s="23">
        <f>IFERROR(VLOOKUP(B541,'03. THIẾT BỊ'!$B$1:$S$836,16,0),"")</f>
        <v>2025</v>
      </c>
      <c r="R541" s="25" t="str">
        <f>IFERROR(VLOOKUP(B541,'03. THIẾT BỊ'!$B$1:$S$836,17,0),"")</f>
        <v>9.25HP</v>
      </c>
      <c r="S541" s="25">
        <f>IFERROR(VLOOKUP(B541,'03. THIẾT BỊ'!$B$1:$S$836,18,0),"")</f>
        <v>0</v>
      </c>
      <c r="T541" s="41">
        <v>0.56</v>
      </c>
    </row>
    <row r="542" customHeight="1" spans="1:20">
      <c r="A542" s="19">
        <f>A536+1</f>
        <v>18</v>
      </c>
      <c r="B542" s="20" t="s">
        <v>4630</v>
      </c>
      <c r="C542" s="613">
        <f>IFERROR(VLOOKUP(B542,'03. THIẾT BỊ'!$B$1:$S$836,2,0),"")</f>
        <v>0</v>
      </c>
      <c r="D542" s="24" t="str">
        <f>IFERROR(VLOOKUP(B542,'03. THIẾT BỊ'!$B$1:$S$836,3,0),"")</f>
        <v>A23-MKC-006</v>
      </c>
      <c r="E542" s="20" t="str">
        <f>IFERROR(VLOOKUP(B542,'03. THIẾT BỊ'!$B$1:$S$836,4,0),"")</f>
        <v>ĐQSD</v>
      </c>
      <c r="F542" s="20" t="str">
        <f>IFERROR(VLOOKUP(B542,'03. THIẾT BỊ'!$B$1:$S$836,5,0),"")</f>
        <v>Máy kéo chuối (Xăng)</v>
      </c>
      <c r="G542" s="101" t="s">
        <v>6468</v>
      </c>
      <c r="H542" s="19" t="str">
        <f>IFERROR(VLOOKUP(B542,'03. THIẾT BỊ'!$B$1:$S$836,7,0),"")</f>
        <v>XN Chuối DP3</v>
      </c>
      <c r="I542" s="610" t="str">
        <f>IFERROR(VLOOKUP(B542,'03. THIẾT BỊ'!$B$1:$S$836,8,0),"")</f>
        <v>20/03/2025</v>
      </c>
      <c r="J542" s="25"/>
      <c r="K542" s="19" t="str">
        <f>IFERROR(VLOOKUP(B542,'03. THIẾT BỊ'!$B$1:$S$836,10,0),"")</f>
        <v>Bình thường</v>
      </c>
      <c r="L542" s="25">
        <f>IFERROR(VLOOKUP(B542,'03. THIẾT BỊ'!$B$1:$S$836,11,0),"")</f>
        <v>0</v>
      </c>
      <c r="M542" s="24">
        <f>IFERROR(VLOOKUP(B542,'03. THIẾT BỊ'!$B$1:$S$836,12,0),"")</f>
        <v>0</v>
      </c>
      <c r="N542" s="25" t="str">
        <f>IFERROR(VLOOKUP(B542,'03. THIẾT BỊ'!$B$1:$S$836,13,0),"")</f>
        <v>THACO AGRI</v>
      </c>
      <c r="O542" s="24" t="str">
        <f>IFERROR(VLOOKUP(B542,'03. THIẾT BỊ'!$B$1:$S$836,14,0),"")</f>
        <v>CGH-MKC-DREAM</v>
      </c>
      <c r="P542" s="25" t="str">
        <f>IFERROR(VLOOKUP(B542,'03. THIẾT BỊ'!$B$1:$S$836,15,0),"")</f>
        <v>CK-CGH</v>
      </c>
      <c r="Q542" s="23">
        <f>IFERROR(VLOOKUP(B542,'03. THIẾT BỊ'!$B$1:$S$836,16,0),"")</f>
        <v>2025</v>
      </c>
      <c r="R542" s="25" t="str">
        <f>IFERROR(VLOOKUP(B542,'03. THIẾT BỊ'!$B$1:$S$836,17,0),"")</f>
        <v>9.25HP</v>
      </c>
      <c r="S542" s="25" t="str">
        <f>IFERROR(VLOOKUP(B542,'03. THIẾT BỊ'!$B$1:$S$836,18,0),"")</f>
        <v>Mất</v>
      </c>
      <c r="T542" s="41">
        <v>0.56</v>
      </c>
    </row>
    <row r="543" customHeight="1" spans="1:20">
      <c r="A543" s="19">
        <f t="shared" ref="A543:A555" si="26">A542+1</f>
        <v>19</v>
      </c>
      <c r="B543" s="20" t="s">
        <v>4633</v>
      </c>
      <c r="C543" s="613">
        <f>IFERROR(VLOOKUP(B543,'03. THIẾT BỊ'!$B$1:$S$836,2,0),"")</f>
        <v>0</v>
      </c>
      <c r="D543" s="24" t="str">
        <f>IFERROR(VLOOKUP(B543,'03. THIẾT BỊ'!$B$1:$S$836,3,0),"")</f>
        <v>A23-MKC-013</v>
      </c>
      <c r="E543" s="20" t="str">
        <f>IFERROR(VLOOKUP(B543,'03. THIẾT BỊ'!$B$1:$S$836,4,0),"")</f>
        <v>ĐQSD</v>
      </c>
      <c r="F543" s="20" t="str">
        <f>IFERROR(VLOOKUP(B543,'03. THIẾT BỊ'!$B$1:$S$836,5,0),"")</f>
        <v>Máy kéo chuối (Xăng)</v>
      </c>
      <c r="G543" s="101" t="s">
        <v>6468</v>
      </c>
      <c r="H543" s="19" t="str">
        <f>IFERROR(VLOOKUP(B543,'03. THIẾT BỊ'!$B$1:$S$836,7,0),"")</f>
        <v>XN Chuối DP3</v>
      </c>
      <c r="I543" s="610" t="str">
        <f>IFERROR(VLOOKUP(B543,'03. THIẾT BỊ'!$B$1:$S$836,8,0),"")</f>
        <v>13/06/2025</v>
      </c>
      <c r="J543" s="25"/>
      <c r="K543" s="19" t="str">
        <f>IFERROR(VLOOKUP(B543,'03. THIẾT BỊ'!$B$1:$S$836,10,0),"")</f>
        <v>Bình thường</v>
      </c>
      <c r="L543" s="25">
        <f>IFERROR(VLOOKUP(B543,'03. THIẾT BỊ'!$B$1:$S$836,11,0),"")</f>
        <v>0</v>
      </c>
      <c r="M543" s="24">
        <f>IFERROR(VLOOKUP(B543,'03. THIẾT BỊ'!$B$1:$S$836,12,0),"")</f>
        <v>0</v>
      </c>
      <c r="N543" s="25" t="str">
        <f>IFERROR(VLOOKUP(B543,'03. THIẾT BỊ'!$B$1:$S$836,13,0),"")</f>
        <v>THACO AGRI</v>
      </c>
      <c r="O543" s="24" t="str">
        <f>IFERROR(VLOOKUP(B543,'03. THIẾT BỊ'!$B$1:$S$836,14,0),"")</f>
        <v>CGH-MKC-DREAM</v>
      </c>
      <c r="P543" s="25" t="str">
        <f>IFERROR(VLOOKUP(B543,'03. THIẾT BỊ'!$B$1:$S$836,15,0),"")</f>
        <v>CK-CGH</v>
      </c>
      <c r="Q543" s="23">
        <f>IFERROR(VLOOKUP(B543,'03. THIẾT BỊ'!$B$1:$S$836,16,0),"")</f>
        <v>2025</v>
      </c>
      <c r="R543" s="25" t="str">
        <f>IFERROR(VLOOKUP(B543,'03. THIẾT BỊ'!$B$1:$S$836,17,0),"")</f>
        <v>9.25HP</v>
      </c>
      <c r="S543" s="25">
        <f>IFERROR(VLOOKUP(B543,'03. THIẾT BỊ'!$B$1:$S$836,18,0),"")</f>
        <v>0</v>
      </c>
      <c r="T543" s="41">
        <v>0.56</v>
      </c>
    </row>
    <row r="544" customHeight="1" spans="1:20">
      <c r="A544" s="19">
        <f t="shared" si="26"/>
        <v>20</v>
      </c>
      <c r="B544" s="20" t="s">
        <v>4635</v>
      </c>
      <c r="C544" s="613">
        <f>IFERROR(VLOOKUP(B544,'03. THIẾT BỊ'!$B$1:$S$836,2,0),"")</f>
        <v>0</v>
      </c>
      <c r="D544" s="24" t="str">
        <f>IFERROR(VLOOKUP(B544,'03. THIẾT BỊ'!$B$1:$S$836,3,0),"")</f>
        <v>A23-MKC-012</v>
      </c>
      <c r="E544" s="20" t="str">
        <f>IFERROR(VLOOKUP(B544,'03. THIẾT BỊ'!$B$1:$S$836,4,0),"")</f>
        <v>ĐQSD</v>
      </c>
      <c r="F544" s="20" t="str">
        <f>IFERROR(VLOOKUP(B544,'03. THIẾT BỊ'!$B$1:$S$836,5,0),"")</f>
        <v>Máy kéo chuối (Xăng)</v>
      </c>
      <c r="G544" s="101" t="s">
        <v>6468</v>
      </c>
      <c r="H544" s="19" t="str">
        <f>IFERROR(VLOOKUP(B544,'03. THIẾT BỊ'!$B$1:$S$836,7,0),"")</f>
        <v>XN Chuối DP3</v>
      </c>
      <c r="I544" s="610" t="str">
        <f>IFERROR(VLOOKUP(B544,'03. THIẾT BỊ'!$B$1:$S$836,8,0),"")</f>
        <v>13/06/2025</v>
      </c>
      <c r="J544" s="25"/>
      <c r="K544" s="19" t="str">
        <f>IFERROR(VLOOKUP(B544,'03. THIẾT BỊ'!$B$1:$S$836,10,0),"")</f>
        <v>Bình thường</v>
      </c>
      <c r="L544" s="25">
        <f>IFERROR(VLOOKUP(B544,'03. THIẾT BỊ'!$B$1:$S$836,11,0),"")</f>
        <v>0</v>
      </c>
      <c r="M544" s="24">
        <f>IFERROR(VLOOKUP(B544,'03. THIẾT BỊ'!$B$1:$S$836,12,0),"")</f>
        <v>0</v>
      </c>
      <c r="N544" s="25" t="str">
        <f>IFERROR(VLOOKUP(B544,'03. THIẾT BỊ'!$B$1:$S$836,13,0),"")</f>
        <v>THACO AGRI</v>
      </c>
      <c r="O544" s="24" t="str">
        <f>IFERROR(VLOOKUP(B544,'03. THIẾT BỊ'!$B$1:$S$836,14,0),"")</f>
        <v>CGH-MKC-DREAM</v>
      </c>
      <c r="P544" s="25" t="str">
        <f>IFERROR(VLOOKUP(B544,'03. THIẾT BỊ'!$B$1:$S$836,15,0),"")</f>
        <v>CK-CGH</v>
      </c>
      <c r="Q544" s="23">
        <f>IFERROR(VLOOKUP(B544,'03. THIẾT BỊ'!$B$1:$S$836,16,0),"")</f>
        <v>2025</v>
      </c>
      <c r="R544" s="25" t="str">
        <f>IFERROR(VLOOKUP(B544,'03. THIẾT BỊ'!$B$1:$S$836,17,0),"")</f>
        <v>9.25HP</v>
      </c>
      <c r="S544" s="25">
        <f>IFERROR(VLOOKUP(B544,'03. THIẾT BỊ'!$B$1:$S$836,18,0),"")</f>
        <v>0</v>
      </c>
      <c r="T544" s="41">
        <v>0.56</v>
      </c>
    </row>
    <row r="545" customHeight="1" spans="1:20">
      <c r="A545" s="19">
        <f t="shared" si="26"/>
        <v>21</v>
      </c>
      <c r="B545" s="20" t="s">
        <v>4637</v>
      </c>
      <c r="C545" s="613">
        <f>IFERROR(VLOOKUP(B545,'03. THIẾT BỊ'!$B$1:$S$836,2,0),"")</f>
        <v>0</v>
      </c>
      <c r="D545" s="24" t="str">
        <f>IFERROR(VLOOKUP(B545,'03. THIẾT BỊ'!$B$1:$S$836,3,0),"")</f>
        <v>A23-MKC-016</v>
      </c>
      <c r="E545" s="20" t="str">
        <f>IFERROR(VLOOKUP(B545,'03. THIẾT BỊ'!$B$1:$S$836,4,0),"")</f>
        <v>ĐQSD</v>
      </c>
      <c r="F545" s="20" t="str">
        <f>IFERROR(VLOOKUP(B545,'03. THIẾT BỊ'!$B$1:$S$836,5,0),"")</f>
        <v>Máy kéo chuối (Xăng)</v>
      </c>
      <c r="G545" s="101" t="s">
        <v>6468</v>
      </c>
      <c r="H545" s="19" t="str">
        <f>IFERROR(VLOOKUP(B545,'03. THIẾT BỊ'!$B$1:$S$836,7,0),"")</f>
        <v>XN Chuối DP3</v>
      </c>
      <c r="I545" s="610" t="str">
        <f>IFERROR(VLOOKUP(B545,'03. THIẾT BỊ'!$B$1:$S$836,8,0),"")</f>
        <v>25/08/2025</v>
      </c>
      <c r="J545" s="25"/>
      <c r="K545" s="19" t="str">
        <f>IFERROR(VLOOKUP(B545,'03. THIẾT BỊ'!$B$1:$S$836,10,0),"")</f>
        <v>Bình thường</v>
      </c>
      <c r="L545" s="25">
        <f>IFERROR(VLOOKUP(B545,'03. THIẾT BỊ'!$B$1:$S$836,11,0),"")</f>
        <v>0</v>
      </c>
      <c r="M545" s="24">
        <f>IFERROR(VLOOKUP(B545,'03. THIẾT BỊ'!$B$1:$S$836,12,0),"")</f>
        <v>0</v>
      </c>
      <c r="N545" s="25" t="str">
        <f>IFERROR(VLOOKUP(B545,'03. THIẾT BỊ'!$B$1:$S$836,13,0),"")</f>
        <v>THACO AGRI</v>
      </c>
      <c r="O545" s="24" t="str">
        <f>IFERROR(VLOOKUP(B545,'03. THIẾT BỊ'!$B$1:$S$836,14,0),"")</f>
        <v>XKC-12</v>
      </c>
      <c r="P545" s="25" t="str">
        <f>IFERROR(VLOOKUP(B545,'03. THIẾT BỊ'!$B$1:$S$836,15,0),"")</f>
        <v>CK-CGH</v>
      </c>
      <c r="Q545" s="23">
        <f>IFERROR(VLOOKUP(B545,'03. THIẾT BỊ'!$B$1:$S$836,16,0),"")</f>
        <v>2025</v>
      </c>
      <c r="R545" s="25" t="str">
        <f>IFERROR(VLOOKUP(B545,'03. THIẾT BỊ'!$B$1:$S$836,17,0),"")</f>
        <v>9.25HP</v>
      </c>
      <c r="S545" s="25">
        <f>IFERROR(VLOOKUP(B545,'03. THIẾT BỊ'!$B$1:$S$836,18,0),"")</f>
        <v>12</v>
      </c>
      <c r="T545" s="41">
        <v>0.56</v>
      </c>
    </row>
    <row r="546" customHeight="1" spans="1:20">
      <c r="A546" s="19">
        <f t="shared" si="26"/>
        <v>22</v>
      </c>
      <c r="B546" s="20" t="s">
        <v>4640</v>
      </c>
      <c r="C546" s="613">
        <f>IFERROR(VLOOKUP(B546,'03. THIẾT BỊ'!$B$1:$S$836,2,0),"")</f>
        <v>0</v>
      </c>
      <c r="D546" s="24" t="str">
        <f>IFERROR(VLOOKUP(B546,'03. THIẾT BỊ'!$B$1:$S$836,3,0),"")</f>
        <v>A23-MKC-017</v>
      </c>
      <c r="E546" s="20" t="str">
        <f>IFERROR(VLOOKUP(B546,'03. THIẾT BỊ'!$B$1:$S$836,4,0),"")</f>
        <v>ĐQSD</v>
      </c>
      <c r="F546" s="20" t="str">
        <f>IFERROR(VLOOKUP(B546,'03. THIẾT BỊ'!$B$1:$S$836,5,0),"")</f>
        <v>Máy kéo chuối (Xăng)</v>
      </c>
      <c r="G546" s="101" t="s">
        <v>6468</v>
      </c>
      <c r="H546" s="19" t="str">
        <f>IFERROR(VLOOKUP(B546,'03. THIẾT BỊ'!$B$1:$S$836,7,0),"")</f>
        <v>XN Chuối DP3</v>
      </c>
      <c r="I546" s="610" t="str">
        <f>IFERROR(VLOOKUP(B546,'03. THIẾT BỊ'!$B$1:$S$836,8,0),"")</f>
        <v>25/08/2025</v>
      </c>
      <c r="J546" s="25"/>
      <c r="K546" s="19" t="str">
        <f>IFERROR(VLOOKUP(B546,'03. THIẾT BỊ'!$B$1:$S$836,10,0),"")</f>
        <v>Bình thường</v>
      </c>
      <c r="L546" s="25">
        <f>IFERROR(VLOOKUP(B546,'03. THIẾT BỊ'!$B$1:$S$836,11,0),"")</f>
        <v>0</v>
      </c>
      <c r="M546" s="24">
        <f>IFERROR(VLOOKUP(B546,'03. THIẾT BỊ'!$B$1:$S$836,12,0),"")</f>
        <v>0</v>
      </c>
      <c r="N546" s="25" t="str">
        <f>IFERROR(VLOOKUP(B546,'03. THIẾT BỊ'!$B$1:$S$836,13,0),"")</f>
        <v>THACO AGRI</v>
      </c>
      <c r="O546" s="24" t="str">
        <f>IFERROR(VLOOKUP(B546,'03. THIẾT BỊ'!$B$1:$S$836,14,0),"")</f>
        <v>XKC-13</v>
      </c>
      <c r="P546" s="25" t="str">
        <f>IFERROR(VLOOKUP(B546,'03. THIẾT BỊ'!$B$1:$S$836,15,0),"")</f>
        <v>CK-CGH</v>
      </c>
      <c r="Q546" s="23">
        <f>IFERROR(VLOOKUP(B546,'03. THIẾT BỊ'!$B$1:$S$836,16,0),"")</f>
        <v>2025</v>
      </c>
      <c r="R546" s="25" t="str">
        <f>IFERROR(VLOOKUP(B546,'03. THIẾT BỊ'!$B$1:$S$836,17,0),"")</f>
        <v>9.25HP</v>
      </c>
      <c r="S546" s="25">
        <f>IFERROR(VLOOKUP(B546,'03. THIẾT BỊ'!$B$1:$S$836,18,0),"")</f>
        <v>13</v>
      </c>
      <c r="T546" s="41">
        <v>0.56</v>
      </c>
    </row>
    <row r="547" customHeight="1" spans="1:20">
      <c r="A547" s="19">
        <f t="shared" si="26"/>
        <v>23</v>
      </c>
      <c r="B547" s="20" t="s">
        <v>4643</v>
      </c>
      <c r="C547" s="613">
        <f>IFERROR(VLOOKUP(B547,'03. THIẾT BỊ'!$B$1:$S$836,2,0),"")</f>
        <v>0</v>
      </c>
      <c r="D547" s="24" t="str">
        <f>IFERROR(VLOOKUP(B547,'03. THIẾT BỊ'!$B$1:$S$836,3,0),"")</f>
        <v>A23-MKC-020</v>
      </c>
      <c r="E547" s="20" t="str">
        <f>IFERROR(VLOOKUP(B547,'03. THIẾT BỊ'!$B$1:$S$836,4,0),"")</f>
        <v>ĐQSD</v>
      </c>
      <c r="F547" s="20" t="str">
        <f>IFERROR(VLOOKUP(B547,'03. THIẾT BỊ'!$B$1:$S$836,5,0),"")</f>
        <v>Máy kéo chuối (Xăng)</v>
      </c>
      <c r="G547" s="101" t="s">
        <v>6468</v>
      </c>
      <c r="H547" s="19" t="str">
        <f>IFERROR(VLOOKUP(B547,'03. THIẾT BỊ'!$B$1:$S$836,7,0),"")</f>
        <v>XN Chuối DP3</v>
      </c>
      <c r="I547" s="610">
        <f>IFERROR(VLOOKUP(B547,'03. THIẾT BỊ'!$B$1:$S$836,8,0),"")</f>
        <v>45909</v>
      </c>
      <c r="J547" s="25"/>
      <c r="K547" s="19" t="str">
        <f>IFERROR(VLOOKUP(B547,'03. THIẾT BỊ'!$B$1:$S$836,10,0),"")</f>
        <v>Bình thường</v>
      </c>
      <c r="L547" s="25">
        <f>IFERROR(VLOOKUP(B547,'03. THIẾT BỊ'!$B$1:$S$836,11,0),"")</f>
        <v>0</v>
      </c>
      <c r="M547" s="24">
        <f>IFERROR(VLOOKUP(B547,'03. THIẾT BỊ'!$B$1:$S$836,12,0),"")</f>
        <v>0</v>
      </c>
      <c r="N547" s="25" t="str">
        <f>IFERROR(VLOOKUP(B547,'03. THIẾT BỊ'!$B$1:$S$836,13,0),"")</f>
        <v>THACO AGRI</v>
      </c>
      <c r="O547" s="24" t="str">
        <f>IFERROR(VLOOKUP(B547,'03. THIẾT BỊ'!$B$1:$S$836,14,0),"")</f>
        <v>XKC-13</v>
      </c>
      <c r="P547" s="25" t="str">
        <f>IFERROR(VLOOKUP(B547,'03. THIẾT BỊ'!$B$1:$S$836,15,0),"")</f>
        <v>CK-CGH</v>
      </c>
      <c r="Q547" s="23">
        <f>IFERROR(VLOOKUP(B547,'03. THIẾT BỊ'!$B$1:$S$836,16,0),"")</f>
        <v>2025</v>
      </c>
      <c r="R547" s="25" t="str">
        <f>IFERROR(VLOOKUP(B547,'03. THIẾT BỊ'!$B$1:$S$836,17,0),"")</f>
        <v>9,5 HP</v>
      </c>
      <c r="S547" s="25">
        <f>IFERROR(VLOOKUP(B547,'03. THIẾT BỊ'!$B$1:$S$836,18,0),"")</f>
        <v>0</v>
      </c>
      <c r="T547" s="41">
        <v>0.56</v>
      </c>
    </row>
    <row r="548" customHeight="1" spans="1:20">
      <c r="A548" s="19">
        <f t="shared" si="26"/>
        <v>24</v>
      </c>
      <c r="B548" s="20" t="s">
        <v>4645</v>
      </c>
      <c r="C548" s="613">
        <f>IFERROR(VLOOKUP(B548,'03. THIẾT BỊ'!$B$1:$S$836,2,0),"")</f>
        <v>0</v>
      </c>
      <c r="D548" s="24" t="str">
        <f>IFERROR(VLOOKUP(B548,'03. THIẾT BỊ'!$B$1:$S$836,3,0),"")</f>
        <v>A23-MKC-021</v>
      </c>
      <c r="E548" s="20" t="str">
        <f>IFERROR(VLOOKUP(B548,'03. THIẾT BỊ'!$B$1:$S$836,4,0),"")</f>
        <v>ĐQSD</v>
      </c>
      <c r="F548" s="20" t="str">
        <f>IFERROR(VLOOKUP(B548,'03. THIẾT BỊ'!$B$1:$S$836,5,0),"")</f>
        <v>Máy kéo chuối (Xăng)</v>
      </c>
      <c r="G548" s="101" t="s">
        <v>6468</v>
      </c>
      <c r="H548" s="19" t="str">
        <f>IFERROR(VLOOKUP(B548,'03. THIẾT BỊ'!$B$1:$S$836,7,0),"")</f>
        <v>XN Chuối DP3</v>
      </c>
      <c r="I548" s="610" t="str">
        <f>IFERROR(VLOOKUP(B548,'03. THIẾT BỊ'!$B$1:$S$836,8,0),"")</f>
        <v>17/09/2025</v>
      </c>
      <c r="J548" s="25"/>
      <c r="K548" s="19" t="str">
        <f>IFERROR(VLOOKUP(B548,'03. THIẾT BỊ'!$B$1:$S$836,10,0),"")</f>
        <v>Bình thường</v>
      </c>
      <c r="L548" s="25">
        <f>IFERROR(VLOOKUP(B548,'03. THIẾT BỊ'!$B$1:$S$836,11,0),"")</f>
        <v>0</v>
      </c>
      <c r="M548" s="24">
        <f>IFERROR(VLOOKUP(B548,'03. THIẾT BỊ'!$B$1:$S$836,12,0),"")</f>
        <v>0</v>
      </c>
      <c r="N548" s="25" t="str">
        <f>IFERROR(VLOOKUP(B548,'03. THIẾT BỊ'!$B$1:$S$836,13,0),"")</f>
        <v>THACO AGRI</v>
      </c>
      <c r="O548" s="24" t="str">
        <f>IFERROR(VLOOKUP(B548,'03. THIẾT BỊ'!$B$1:$S$836,14,0),"")</f>
        <v>XKC-23</v>
      </c>
      <c r="P548" s="25" t="str">
        <f>IFERROR(VLOOKUP(B548,'03. THIẾT BỊ'!$B$1:$S$836,15,0),"")</f>
        <v>CK-CGH</v>
      </c>
      <c r="Q548" s="23">
        <f>IFERROR(VLOOKUP(B548,'03. THIẾT BỊ'!$B$1:$S$836,16,0),"")</f>
        <v>2025</v>
      </c>
      <c r="R548" s="25" t="str">
        <f>IFERROR(VLOOKUP(B548,'03. THIẾT BỊ'!$B$1:$S$836,17,0),"")</f>
        <v>9,5 HP</v>
      </c>
      <c r="S548" s="25">
        <f>IFERROR(VLOOKUP(B548,'03. THIẾT BỊ'!$B$1:$S$836,18,0),"")</f>
        <v>0</v>
      </c>
      <c r="T548" s="41">
        <v>0.56</v>
      </c>
    </row>
    <row r="549" customHeight="1" spans="1:20">
      <c r="A549" s="19">
        <f t="shared" si="26"/>
        <v>25</v>
      </c>
      <c r="B549" s="20" t="s">
        <v>4649</v>
      </c>
      <c r="C549" s="613">
        <f>IFERROR(VLOOKUP(B549,'03. THIẾT BỊ'!$B$1:$S$836,2,0),"")</f>
        <v>0</v>
      </c>
      <c r="D549" s="24" t="str">
        <f>IFERROR(VLOOKUP(B549,'03. THIẾT BỊ'!$B$1:$S$836,3,0),"")</f>
        <v>A23-MKC-027</v>
      </c>
      <c r="E549" s="20" t="str">
        <f>IFERROR(VLOOKUP(B549,'03. THIẾT BỊ'!$B$1:$S$836,4,0),"")</f>
        <v>MUA MỚI</v>
      </c>
      <c r="F549" s="20" t="str">
        <f>IFERROR(VLOOKUP(B549,'03. THIẾT BỊ'!$B$1:$S$836,5,0),"")</f>
        <v>Máy kéo chuối (Điện)</v>
      </c>
      <c r="G549" s="101" t="s">
        <v>6468</v>
      </c>
      <c r="H549" s="19" t="str">
        <f>IFERROR(VLOOKUP(B549,'03. THIẾT BỊ'!$B$1:$S$836,7,0),"")</f>
        <v>XN Chuối DP3</v>
      </c>
      <c r="I549" s="610">
        <f>IFERROR(VLOOKUP(B549,'03. THIẾT BỊ'!$B$1:$S$836,8,0),"")</f>
        <v>45818</v>
      </c>
      <c r="J549" s="25"/>
      <c r="K549" s="19" t="str">
        <f>IFERROR(VLOOKUP(B549,'03. THIẾT BỊ'!$B$1:$S$836,10,0),"")</f>
        <v>Bình thường</v>
      </c>
      <c r="L549" s="25">
        <f>IFERROR(VLOOKUP(B549,'03. THIẾT BỊ'!$B$1:$S$836,11,0),"")</f>
        <v>0</v>
      </c>
      <c r="M549" s="24">
        <f>IFERROR(VLOOKUP(B549,'03. THIẾT BỊ'!$B$1:$S$836,12,0),"")</f>
        <v>0</v>
      </c>
      <c r="N549" s="25" t="str">
        <f>IFERROR(VLOOKUP(B549,'03. THIẾT BỊ'!$B$1:$S$836,13,0),"")</f>
        <v>THACO AGRI</v>
      </c>
      <c r="O549" s="24">
        <f>IFERROR(VLOOKUP(B549,'03. THIẾT BỊ'!$B$1:$S$836,14,0),"")</f>
        <v>0</v>
      </c>
      <c r="P549" s="25" t="str">
        <f>IFERROR(VLOOKUP(B549,'03. THIẾT BỊ'!$B$1:$S$836,15,0),"")</f>
        <v>CK-CGH</v>
      </c>
      <c r="Q549" s="23">
        <f>IFERROR(VLOOKUP(B549,'03. THIẾT BỊ'!$B$1:$S$836,16,0),"")</f>
        <v>2025</v>
      </c>
      <c r="R549" s="25" t="str">
        <f>IFERROR(VLOOKUP(B549,'03. THIẾT BỊ'!$B$1:$S$836,17,0),"")</f>
        <v>1500W</v>
      </c>
      <c r="S549" s="25" t="str">
        <f>IFERROR(VLOOKUP(B549,'03. THIẾT BỊ'!$B$1:$S$836,18,0),"")</f>
        <v>60A-4CÁI</v>
      </c>
      <c r="T549" s="41">
        <v>0.56</v>
      </c>
    </row>
    <row r="550" customHeight="1" spans="1:20">
      <c r="A550" s="19">
        <f t="shared" si="26"/>
        <v>26</v>
      </c>
      <c r="B550" s="20" t="s">
        <v>4654</v>
      </c>
      <c r="C550" s="613">
        <f>IFERROR(VLOOKUP(B550,'03. THIẾT BỊ'!$B$1:$S$836,2,0),"")</f>
        <v>0</v>
      </c>
      <c r="D550" s="24" t="str">
        <f>IFERROR(VLOOKUP(B550,'03. THIẾT BỊ'!$B$1:$S$836,3,0),"")</f>
        <v>A23-MKC-023</v>
      </c>
      <c r="E550" s="20" t="str">
        <f>IFERROR(VLOOKUP(B550,'03. THIẾT BỊ'!$B$1:$S$836,4,0),"")</f>
        <v>ĐQSD</v>
      </c>
      <c r="F550" s="20" t="str">
        <f>IFERROR(VLOOKUP(B550,'03. THIẾT BỊ'!$B$1:$S$836,5,0),"")</f>
        <v>Máy kéo chuối (Xăng)</v>
      </c>
      <c r="G550" s="101" t="s">
        <v>6468</v>
      </c>
      <c r="H550" s="19" t="str">
        <f>IFERROR(VLOOKUP(B550,'03. THIẾT BỊ'!$B$1:$S$836,7,0),"")</f>
        <v>XN Chuối DP3</v>
      </c>
      <c r="I550" s="610">
        <f>IFERROR(VLOOKUP(B550,'03. THIẾT BỊ'!$B$1:$S$836,8,0),"")</f>
        <v>45818</v>
      </c>
      <c r="J550" s="25"/>
      <c r="K550" s="19" t="str">
        <f>IFERROR(VLOOKUP(B550,'03. THIẾT BỊ'!$B$1:$S$836,10,0),"")</f>
        <v>Bình thường</v>
      </c>
      <c r="L550" s="25">
        <f>IFERROR(VLOOKUP(B550,'03. THIẾT BỊ'!$B$1:$S$836,11,0),"")</f>
        <v>0</v>
      </c>
      <c r="M550" s="24">
        <f>IFERROR(VLOOKUP(B550,'03. THIẾT BỊ'!$B$1:$S$836,12,0),"")</f>
        <v>0</v>
      </c>
      <c r="N550" s="25" t="str">
        <f>IFERROR(VLOOKUP(B550,'03. THIẾT BỊ'!$B$1:$S$836,13,0),"")</f>
        <v>THACO AGRI</v>
      </c>
      <c r="O550" s="24" t="str">
        <f>IFERROR(VLOOKUP(B550,'03. THIẾT BỊ'!$B$1:$S$836,14,0),"")</f>
        <v>XKC-26</v>
      </c>
      <c r="P550" s="25" t="str">
        <f>IFERROR(VLOOKUP(B550,'03. THIẾT BỊ'!$B$1:$S$836,15,0),"")</f>
        <v>CK-CGH</v>
      </c>
      <c r="Q550" s="23">
        <f>IFERROR(VLOOKUP(B550,'03. THIẾT BỊ'!$B$1:$S$836,16,0),"")</f>
        <v>2025</v>
      </c>
      <c r="R550" s="25">
        <f>IFERROR(VLOOKUP(B550,'03. THIẾT BỊ'!$B$1:$S$836,17,0),"")</f>
        <v>0</v>
      </c>
      <c r="S550" s="25">
        <f>IFERROR(VLOOKUP(B550,'03. THIẾT BỊ'!$B$1:$S$836,18,0),"")</f>
        <v>0</v>
      </c>
      <c r="T550" s="41">
        <v>0.56</v>
      </c>
    </row>
    <row r="551" customHeight="1" spans="1:20">
      <c r="A551" s="19">
        <f t="shared" si="26"/>
        <v>27</v>
      </c>
      <c r="B551" s="20" t="s">
        <v>4657</v>
      </c>
      <c r="C551" s="613">
        <f>IFERROR(VLOOKUP(B551,'03. THIẾT BỊ'!$B$1:$S$836,2,0),"")</f>
        <v>0</v>
      </c>
      <c r="D551" s="24" t="str">
        <f>IFERROR(VLOOKUP(B551,'03. THIẾT BỊ'!$B$1:$S$836,3,0),"")</f>
        <v>A23-MKC-029</v>
      </c>
      <c r="E551" s="20" t="str">
        <f>IFERROR(VLOOKUP(B551,'03. THIẾT BỊ'!$B$1:$S$836,4,0),"")</f>
        <v>ĐQSD</v>
      </c>
      <c r="F551" s="20" t="str">
        <f>IFERROR(VLOOKUP(B551,'03. THIẾT BỊ'!$B$1:$S$836,5,0),"")</f>
        <v>Máy kéo chuối (Xăng)</v>
      </c>
      <c r="G551" s="101" t="s">
        <v>6468</v>
      </c>
      <c r="H551" s="19" t="str">
        <f>IFERROR(VLOOKUP(B551,'03. THIẾT BỊ'!$B$1:$S$836,7,0),"")</f>
        <v>XN Chuối DP3</v>
      </c>
      <c r="I551" s="610" t="str">
        <f>IFERROR(VLOOKUP(B551,'03. THIẾT BỊ'!$B$1:$S$836,8,0),"")</f>
        <v>13/10/2025</v>
      </c>
      <c r="J551" s="25"/>
      <c r="K551" s="19" t="str">
        <f>IFERROR(VLOOKUP(B551,'03. THIẾT BỊ'!$B$1:$S$836,10,0),"")</f>
        <v>Bình thường</v>
      </c>
      <c r="L551" s="25">
        <f>IFERROR(VLOOKUP(B551,'03. THIẾT BỊ'!$B$1:$S$836,11,0),"")</f>
        <v>0</v>
      </c>
      <c r="M551" s="24">
        <f>IFERROR(VLOOKUP(B551,'03. THIẾT BỊ'!$B$1:$S$836,12,0),"")</f>
        <v>0</v>
      </c>
      <c r="N551" s="25" t="str">
        <f>IFERROR(VLOOKUP(B551,'03. THIẾT BỊ'!$B$1:$S$836,13,0),"")</f>
        <v>THACO AGRI</v>
      </c>
      <c r="O551" s="24" t="str">
        <f>IFERROR(VLOOKUP(B551,'03. THIẾT BỊ'!$B$1:$S$836,14,0),"")</f>
        <v>XKC-31</v>
      </c>
      <c r="P551" s="25" t="str">
        <f>IFERROR(VLOOKUP(B551,'03. THIẾT BỊ'!$B$1:$S$836,15,0),"")</f>
        <v>CK-CGH</v>
      </c>
      <c r="Q551" s="23">
        <f>IFERROR(VLOOKUP(B551,'03. THIẾT BỊ'!$B$1:$S$836,16,0),"")</f>
        <v>2025</v>
      </c>
      <c r="R551" s="25">
        <f>IFERROR(VLOOKUP(B551,'03. THIẾT BỊ'!$B$1:$S$836,17,0),"")</f>
        <v>0</v>
      </c>
      <c r="S551" s="25">
        <f>IFERROR(VLOOKUP(B551,'03. THIẾT BỊ'!$B$1:$S$836,18,0),"")</f>
        <v>0</v>
      </c>
      <c r="T551" s="41">
        <v>0.56</v>
      </c>
    </row>
    <row r="552" customHeight="1" spans="1:20">
      <c r="A552" s="19">
        <f t="shared" si="26"/>
        <v>28</v>
      </c>
      <c r="B552" s="20" t="s">
        <v>4660</v>
      </c>
      <c r="C552" s="613">
        <f>IFERROR(VLOOKUP(B552,'03. THIẾT BỊ'!$B$1:$S$836,2,0),"")</f>
        <v>0</v>
      </c>
      <c r="D552" s="24" t="str">
        <f>IFERROR(VLOOKUP(B552,'03. THIẾT BỊ'!$B$1:$S$836,3,0),"")</f>
        <v>A23-MKC-031</v>
      </c>
      <c r="E552" s="20" t="str">
        <f>IFERROR(VLOOKUP(B552,'03. THIẾT BỊ'!$B$1:$S$836,4,0),"")</f>
        <v>ĐQSD</v>
      </c>
      <c r="F552" s="20" t="str">
        <f>IFERROR(VLOOKUP(B552,'03. THIẾT BỊ'!$B$1:$S$836,5,0),"")</f>
        <v>Máy kéo chuối (Xăng)</v>
      </c>
      <c r="G552" s="101" t="s">
        <v>6468</v>
      </c>
      <c r="H552" s="19" t="str">
        <f>IFERROR(VLOOKUP(B552,'03. THIẾT BỊ'!$B$1:$S$836,7,0),"")</f>
        <v>XN Chuối DP3</v>
      </c>
      <c r="I552" s="610" t="str">
        <f>IFERROR(VLOOKUP(B552,'03. THIẾT BỊ'!$B$1:$S$836,8,0),"")</f>
        <v>20/10/2025</v>
      </c>
      <c r="J552" s="25"/>
      <c r="K552" s="19" t="str">
        <f>IFERROR(VLOOKUP(B552,'03. THIẾT BỊ'!$B$1:$S$836,10,0),"")</f>
        <v>Bình thường</v>
      </c>
      <c r="L552" s="25">
        <f>IFERROR(VLOOKUP(B552,'03. THIẾT BỊ'!$B$1:$S$836,11,0),"")</f>
        <v>0</v>
      </c>
      <c r="M552" s="24">
        <f>IFERROR(VLOOKUP(B552,'03. THIẾT BỊ'!$B$1:$S$836,12,0),"")</f>
        <v>0</v>
      </c>
      <c r="N552" s="25" t="str">
        <f>IFERROR(VLOOKUP(B552,'03. THIẾT BỊ'!$B$1:$S$836,13,0),"")</f>
        <v>THACO AGRI</v>
      </c>
      <c r="O552" s="24" t="str">
        <f>IFERROR(VLOOKUP(B552,'03. THIẾT BỊ'!$B$1:$S$836,14,0),"")</f>
        <v>XKC-034</v>
      </c>
      <c r="P552" s="25" t="str">
        <f>IFERROR(VLOOKUP(B552,'03. THIẾT BỊ'!$B$1:$S$836,15,0),"")</f>
        <v>CK-CGH</v>
      </c>
      <c r="Q552" s="23">
        <f>IFERROR(VLOOKUP(B552,'03. THIẾT BỊ'!$B$1:$S$836,16,0),"")</f>
        <v>2025</v>
      </c>
      <c r="R552" s="25">
        <f>IFERROR(VLOOKUP(B552,'03. THIẾT BỊ'!$B$1:$S$836,17,0),"")</f>
        <v>0</v>
      </c>
      <c r="S552" s="25">
        <f>IFERROR(VLOOKUP(B552,'03. THIẾT BỊ'!$B$1:$S$836,18,0),"")</f>
        <v>0</v>
      </c>
      <c r="T552" s="41">
        <v>0.56</v>
      </c>
    </row>
    <row r="553" customHeight="1" spans="1:20">
      <c r="A553" s="19">
        <f t="shared" si="26"/>
        <v>29</v>
      </c>
      <c r="B553" s="20" t="s">
        <v>4663</v>
      </c>
      <c r="C553" s="613">
        <f>IFERROR(VLOOKUP(B553,'03. THIẾT BỊ'!$B$1:$S$836,2,0),"")</f>
        <v>0</v>
      </c>
      <c r="D553" s="24" t="str">
        <f>IFERROR(VLOOKUP(B553,'03. THIẾT BỊ'!$B$1:$S$836,3,0),"")</f>
        <v>A23-MKC-033</v>
      </c>
      <c r="E553" s="20" t="str">
        <f>IFERROR(VLOOKUP(B553,'03. THIẾT BỊ'!$B$1:$S$836,4,0),"")</f>
        <v>ĐQSD</v>
      </c>
      <c r="F553" s="20" t="str">
        <f>IFERROR(VLOOKUP(B553,'03. THIẾT BỊ'!$B$1:$S$836,5,0),"")</f>
        <v>Máy kéo chuối (Xăng)</v>
      </c>
      <c r="G553" s="101" t="s">
        <v>6468</v>
      </c>
      <c r="H553" s="19" t="str">
        <f>IFERROR(VLOOKUP(B553,'03. THIẾT BỊ'!$B$1:$S$836,7,0),"")</f>
        <v>XN Chuối DP3</v>
      </c>
      <c r="I553" s="610" t="str">
        <f>IFERROR(VLOOKUP(B553,'03. THIẾT BỊ'!$B$1:$S$836,8,0),"")</f>
        <v>31/10/2025</v>
      </c>
      <c r="J553" s="25"/>
      <c r="K553" s="19" t="str">
        <f>IFERROR(VLOOKUP(B553,'03. THIẾT BỊ'!$B$1:$S$836,10,0),"")</f>
        <v>Bình thường</v>
      </c>
      <c r="L553" s="25">
        <f>IFERROR(VLOOKUP(B553,'03. THIẾT BỊ'!$B$1:$S$836,11,0),"")</f>
        <v>0</v>
      </c>
      <c r="M553" s="24">
        <f>IFERROR(VLOOKUP(B553,'03. THIẾT BỊ'!$B$1:$S$836,12,0),"")</f>
        <v>0</v>
      </c>
      <c r="N553" s="25" t="str">
        <f>IFERROR(VLOOKUP(B553,'03. THIẾT BỊ'!$B$1:$S$836,13,0),"")</f>
        <v>THACO AGRI</v>
      </c>
      <c r="O553" s="24" t="str">
        <f>IFERROR(VLOOKUP(B553,'03. THIẾT BỊ'!$B$1:$S$836,14,0),"")</f>
        <v>XKC-38</v>
      </c>
      <c r="P553" s="25" t="str">
        <f>IFERROR(VLOOKUP(B553,'03. THIẾT BỊ'!$B$1:$S$836,15,0),"")</f>
        <v>CK-CGH</v>
      </c>
      <c r="Q553" s="23">
        <f>IFERROR(VLOOKUP(B553,'03. THIẾT BỊ'!$B$1:$S$836,16,0),"")</f>
        <v>2025</v>
      </c>
      <c r="R553" s="25">
        <f>IFERROR(VLOOKUP(B553,'03. THIẾT BỊ'!$B$1:$S$836,17,0),"")</f>
        <v>0</v>
      </c>
      <c r="S553" s="25">
        <f>IFERROR(VLOOKUP(B553,'03. THIẾT BỊ'!$B$1:$S$836,18,0),"")</f>
        <v>0</v>
      </c>
      <c r="T553" s="41">
        <v>0.56</v>
      </c>
    </row>
    <row r="554" customHeight="1" spans="1:20">
      <c r="A554" s="19">
        <f t="shared" si="26"/>
        <v>30</v>
      </c>
      <c r="B554" s="20" t="s">
        <v>4666</v>
      </c>
      <c r="C554" s="613">
        <f>IFERROR(VLOOKUP(B554,'03. THIẾT BỊ'!$B$1:$S$836,2,0),"")</f>
        <v>0</v>
      </c>
      <c r="D554" s="24" t="str">
        <f>IFERROR(VLOOKUP(B554,'03. THIẾT BỊ'!$B$1:$S$836,3,0),"")</f>
        <v>A23-MKC-035</v>
      </c>
      <c r="E554" s="20" t="str">
        <f>IFERROR(VLOOKUP(B554,'03. THIẾT BỊ'!$B$1:$S$836,4,0),"")</f>
        <v>ĐQSD</v>
      </c>
      <c r="F554" s="20" t="str">
        <f>IFERROR(VLOOKUP(B554,'03. THIẾT BỊ'!$B$1:$S$836,5,0),"")</f>
        <v>Máy kéo chuối (Xăng)</v>
      </c>
      <c r="G554" s="101" t="s">
        <v>6468</v>
      </c>
      <c r="H554" s="19" t="str">
        <f>IFERROR(VLOOKUP(B554,'03. THIẾT BỊ'!$B$1:$S$836,7,0),"")</f>
        <v>XN Chuối DP3</v>
      </c>
      <c r="I554" s="610">
        <f>IFERROR(VLOOKUP(B554,'03. THIẾT BỊ'!$B$1:$S$836,8,0),"")</f>
        <v>45819</v>
      </c>
      <c r="J554" s="25"/>
      <c r="K554" s="19" t="str">
        <f>IFERROR(VLOOKUP(B554,'03. THIẾT BỊ'!$B$1:$S$836,10,0),"")</f>
        <v>Bình thường</v>
      </c>
      <c r="L554" s="25">
        <f>IFERROR(VLOOKUP(B554,'03. THIẾT BỊ'!$B$1:$S$836,11,0),"")</f>
        <v>0</v>
      </c>
      <c r="M554" s="24">
        <f>IFERROR(VLOOKUP(B554,'03. THIẾT BỊ'!$B$1:$S$836,12,0),"")</f>
        <v>0</v>
      </c>
      <c r="N554" s="25" t="str">
        <f>IFERROR(VLOOKUP(B554,'03. THIẾT BỊ'!$B$1:$S$836,13,0),"")</f>
        <v>THACO AGRI</v>
      </c>
      <c r="O554" s="24" t="str">
        <f>IFERROR(VLOOKUP(B554,'03. THIẾT BỊ'!$B$1:$S$836,14,0),"")</f>
        <v>XKC-40</v>
      </c>
      <c r="P554" s="25" t="str">
        <f>IFERROR(VLOOKUP(B554,'03. THIẾT BỊ'!$B$1:$S$836,15,0),"")</f>
        <v>CK-CGH</v>
      </c>
      <c r="Q554" s="23">
        <f>IFERROR(VLOOKUP(B554,'03. THIẾT BỊ'!$B$1:$S$836,16,0),"")</f>
        <v>2025</v>
      </c>
      <c r="R554" s="25">
        <f>IFERROR(VLOOKUP(B554,'03. THIẾT BỊ'!$B$1:$S$836,17,0),"")</f>
        <v>0</v>
      </c>
      <c r="S554" s="25">
        <f>IFERROR(VLOOKUP(B554,'03. THIẾT BỊ'!$B$1:$S$836,18,0),"")</f>
        <v>0</v>
      </c>
      <c r="T554" s="41">
        <v>0.56</v>
      </c>
    </row>
    <row r="555" customHeight="1" spans="1:20">
      <c r="A555" s="19">
        <f t="shared" si="26"/>
        <v>31</v>
      </c>
      <c r="B555" s="20" t="s">
        <v>4669</v>
      </c>
      <c r="C555" s="613">
        <f>IFERROR(VLOOKUP(B555,'03. THIẾT BỊ'!$B$1:$S$836,2,0),"")</f>
        <v>0</v>
      </c>
      <c r="D555" s="24" t="str">
        <f>IFERROR(VLOOKUP(B555,'03. THIẾT BỊ'!$B$1:$S$836,3,0),"")</f>
        <v>A23-MKC-041</v>
      </c>
      <c r="E555" s="20" t="str">
        <f>IFERROR(VLOOKUP(B555,'03. THIẾT BỊ'!$B$1:$S$836,4,0),"")</f>
        <v>ĐQSD</v>
      </c>
      <c r="F555" s="20" t="str">
        <f>IFERROR(VLOOKUP(B555,'03. THIẾT BỊ'!$B$1:$S$836,5,0),"")</f>
        <v>Máy kéo chuối (Xăng)</v>
      </c>
      <c r="G555" s="101" t="s">
        <v>6468</v>
      </c>
      <c r="H555" s="19" t="str">
        <f>IFERROR(VLOOKUP(B555,'03. THIẾT BỊ'!$B$1:$S$836,7,0),"")</f>
        <v>XN Chuối DP3</v>
      </c>
      <c r="I555" s="610">
        <f>IFERROR(VLOOKUP(B555,'03. THIẾT BỊ'!$B$1:$S$836,8,0),"")</f>
        <v>46004</v>
      </c>
      <c r="J555" s="25"/>
      <c r="K555" s="19" t="str">
        <f>IFERROR(VLOOKUP(B555,'03. THIẾT BỊ'!$B$1:$S$836,10,0),"")</f>
        <v>Bình thường</v>
      </c>
      <c r="L555" s="25">
        <f>IFERROR(VLOOKUP(B555,'03. THIẾT BỊ'!$B$1:$S$836,11,0),"")</f>
        <v>0</v>
      </c>
      <c r="M555" s="24">
        <f>IFERROR(VLOOKUP(B555,'03. THIẾT BỊ'!$B$1:$S$836,12,0),"")</f>
        <v>0</v>
      </c>
      <c r="N555" s="25" t="str">
        <f>IFERROR(VLOOKUP(B555,'03. THIẾT BỊ'!$B$1:$S$836,13,0),"")</f>
        <v>THACO AGRI</v>
      </c>
      <c r="O555" s="24" t="str">
        <f>IFERROR(VLOOKUP(B555,'03. THIẾT BỊ'!$B$1:$S$836,14,0),"")</f>
        <v>XKC-47</v>
      </c>
      <c r="P555" s="25" t="str">
        <f>IFERROR(VLOOKUP(B555,'03. THIẾT BỊ'!$B$1:$S$836,15,0),"")</f>
        <v>CK-CGH</v>
      </c>
      <c r="Q555" s="23">
        <f>IFERROR(VLOOKUP(B555,'03. THIẾT BỊ'!$B$1:$S$836,16,0),"")</f>
        <v>2025</v>
      </c>
      <c r="R555" s="25" t="str">
        <f>IFERROR(VLOOKUP(B555,'03. THIẾT BỊ'!$B$1:$S$836,17,0),"")</f>
        <v>9.5HP</v>
      </c>
      <c r="S555" s="25">
        <f>IFERROR(VLOOKUP(B555,'03. THIẾT BỊ'!$B$1:$S$836,18,0),"")</f>
        <v>47</v>
      </c>
      <c r="T555" s="41">
        <v>0.56</v>
      </c>
    </row>
    <row r="556" customHeight="1" spans="1:20">
      <c r="A556" s="19">
        <f>A548+1</f>
        <v>25</v>
      </c>
      <c r="B556" s="20" t="s">
        <v>4769</v>
      </c>
      <c r="C556" s="613">
        <f>IFERROR(VLOOKUP(B556,'03. THIẾT BỊ'!$B$1:$S$836,2,0),"")</f>
        <v>0</v>
      </c>
      <c r="D556" s="24" t="str">
        <f>IFERROR(VLOOKUP(B556,'03. THIẾT BỊ'!$B$1:$S$836,3,0),"")</f>
        <v>A24-MKC-004</v>
      </c>
      <c r="E556" s="20" t="str">
        <f>IFERROR(VLOOKUP(B556,'03. THIẾT BỊ'!$B$1:$S$836,4,0),"")</f>
        <v>ĐQSD</v>
      </c>
      <c r="F556" s="20" t="str">
        <f>IFERROR(VLOOKUP(B556,'03. THIẾT BỊ'!$B$1:$S$836,5,0),"")</f>
        <v>Máy kéo chuối (Xăng)</v>
      </c>
      <c r="G556" s="101" t="s">
        <v>6468</v>
      </c>
      <c r="H556" s="19" t="str">
        <f>IFERROR(VLOOKUP(B556,'03. THIẾT BỊ'!$B$1:$S$836,7,0),"")</f>
        <v>XN Chuối LP1</v>
      </c>
      <c r="I556" s="610" t="str">
        <f>IFERROR(VLOOKUP(B556,'03. THIẾT BỊ'!$B$1:$S$836,8,0),"")</f>
        <v>24/01/2025</v>
      </c>
      <c r="J556" s="25"/>
      <c r="K556" s="19" t="str">
        <f>IFERROR(VLOOKUP(B556,'03. THIẾT BỊ'!$B$1:$S$836,10,0),"")</f>
        <v>Bình thường</v>
      </c>
      <c r="L556" s="25" t="str">
        <f>IFERROR(VLOOKUP(B556,'03. THIẾT BỊ'!$B$1:$S$836,11,0),"")</f>
        <v>GC mới</v>
      </c>
      <c r="M556" s="24">
        <f>IFERROR(VLOOKUP(B556,'03. THIẾT BỊ'!$B$1:$S$836,12,0),"")</f>
        <v>0</v>
      </c>
      <c r="N556" s="25" t="str">
        <f>IFERROR(VLOOKUP(B556,'03. THIẾT BỊ'!$B$1:$S$836,13,0),"")</f>
        <v>THACO AGRI</v>
      </c>
      <c r="O556" s="24" t="str">
        <f>IFERROR(VLOOKUP(B556,'03. THIẾT BỊ'!$B$1:$S$836,14,0),"")</f>
        <v>CGH-MKC-DREAM</v>
      </c>
      <c r="P556" s="25" t="str">
        <f>IFERROR(VLOOKUP(B556,'03. THIẾT BỊ'!$B$1:$S$836,15,0),"")</f>
        <v>CK-CGH</v>
      </c>
      <c r="Q556" s="23">
        <f>IFERROR(VLOOKUP(B556,'03. THIẾT BỊ'!$B$1:$S$836,16,0),"")</f>
        <v>2025</v>
      </c>
      <c r="R556" s="25" t="str">
        <f>IFERROR(VLOOKUP(B556,'03. THIẾT BỊ'!$B$1:$S$836,17,0),"")</f>
        <v>9.25HP</v>
      </c>
      <c r="S556" s="25" t="str">
        <f>IFERROR(VLOOKUP(B556,'03. THIẾT BỊ'!$B$1:$S$836,18,0),"")</f>
        <v>14C04017</v>
      </c>
      <c r="T556" s="41">
        <v>0.56</v>
      </c>
    </row>
    <row r="557" customHeight="1" spans="1:20">
      <c r="A557" s="19">
        <f t="shared" ref="A557:A566" si="27">A556+1</f>
        <v>26</v>
      </c>
      <c r="B557" s="20" t="s">
        <v>4773</v>
      </c>
      <c r="C557" s="613">
        <f>IFERROR(VLOOKUP(B557,'03. THIẾT BỊ'!$B$1:$S$836,2,0),"")</f>
        <v>0</v>
      </c>
      <c r="D557" s="24" t="str">
        <f>IFERROR(VLOOKUP(B557,'03. THIẾT BỊ'!$B$1:$S$836,3,0),"")</f>
        <v>A24-MKC-007</v>
      </c>
      <c r="E557" s="20" t="str">
        <f>IFERROR(VLOOKUP(B557,'03. THIẾT BỊ'!$B$1:$S$836,4,0),"")</f>
        <v>ĐQSD</v>
      </c>
      <c r="F557" s="20" t="str">
        <f>IFERROR(VLOOKUP(B557,'03. THIẾT BỊ'!$B$1:$S$836,5,0),"")</f>
        <v>Máy kéo chuối (Xăng)</v>
      </c>
      <c r="G557" s="101" t="s">
        <v>6468</v>
      </c>
      <c r="H557" s="19" t="str">
        <f>IFERROR(VLOOKUP(B557,'03. THIẾT BỊ'!$B$1:$S$836,7,0),"")</f>
        <v>XN Chuối LP1</v>
      </c>
      <c r="I557" s="610" t="str">
        <f>IFERROR(VLOOKUP(B557,'03. THIẾT BỊ'!$B$1:$S$836,8,0),"")</f>
        <v>20/03/2025</v>
      </c>
      <c r="J557" s="25"/>
      <c r="K557" s="19" t="str">
        <f>IFERROR(VLOOKUP(B557,'03. THIẾT BỊ'!$B$1:$S$836,10,0),"")</f>
        <v>Bình thường</v>
      </c>
      <c r="L557" s="25" t="str">
        <f>IFERROR(VLOOKUP(B557,'03. THIẾT BỊ'!$B$1:$S$836,11,0),"")</f>
        <v>GC mới</v>
      </c>
      <c r="M557" s="24">
        <f>IFERROR(VLOOKUP(B557,'03. THIẾT BỊ'!$B$1:$S$836,12,0),"")</f>
        <v>0</v>
      </c>
      <c r="N557" s="25" t="str">
        <f>IFERROR(VLOOKUP(B557,'03. THIẾT BỊ'!$B$1:$S$836,13,0),"")</f>
        <v>THACO AGRI</v>
      </c>
      <c r="O557" s="24" t="str">
        <f>IFERROR(VLOOKUP(B557,'03. THIẾT BỊ'!$B$1:$S$836,14,0),"")</f>
        <v>CGH-MKC-DREAM</v>
      </c>
      <c r="P557" s="25" t="str">
        <f>IFERROR(VLOOKUP(B557,'03. THIẾT BỊ'!$B$1:$S$836,15,0),"")</f>
        <v>CK-CGH</v>
      </c>
      <c r="Q557" s="23">
        <f>IFERROR(VLOOKUP(B557,'03. THIẾT BỊ'!$B$1:$S$836,16,0),"")</f>
        <v>2025</v>
      </c>
      <c r="R557" s="25" t="str">
        <f>IFERROR(VLOOKUP(B557,'03. THIẾT BỊ'!$B$1:$S$836,17,0),"")</f>
        <v>9.25HP</v>
      </c>
      <c r="S557" s="25" t="str">
        <f>IFERROR(VLOOKUP(B557,'03. THIẾT BỊ'!$B$1:$S$836,18,0),"")</f>
        <v>09G72821</v>
      </c>
      <c r="T557" s="41">
        <v>0.56</v>
      </c>
    </row>
    <row r="558" customHeight="1" spans="1:20">
      <c r="A558" s="19">
        <f t="shared" si="27"/>
        <v>27</v>
      </c>
      <c r="B558" s="20" t="s">
        <v>4776</v>
      </c>
      <c r="C558" s="613">
        <f>IFERROR(VLOOKUP(B558,'03. THIẾT BỊ'!$B$1:$S$836,2,0),"")</f>
        <v>0</v>
      </c>
      <c r="D558" s="24" t="str">
        <f>IFERROR(VLOOKUP(B558,'03. THIẾT BỊ'!$B$1:$S$836,3,0),"")</f>
        <v>A24-MKC-010</v>
      </c>
      <c r="E558" s="20" t="str">
        <f>IFERROR(VLOOKUP(B558,'03. THIẾT BỊ'!$B$1:$S$836,4,0),"")</f>
        <v>ĐQSD</v>
      </c>
      <c r="F558" s="20" t="str">
        <f>IFERROR(VLOOKUP(B558,'03. THIẾT BỊ'!$B$1:$S$836,5,0),"")</f>
        <v>Máy kéo chuối (Xăng)</v>
      </c>
      <c r="G558" s="101" t="s">
        <v>6468</v>
      </c>
      <c r="H558" s="19" t="str">
        <f>IFERROR(VLOOKUP(B558,'03. THIẾT BỊ'!$B$1:$S$836,7,0),"")</f>
        <v>XN Chuối LP1</v>
      </c>
      <c r="I558" s="610" t="str">
        <f>IFERROR(VLOOKUP(B558,'03. THIẾT BỊ'!$B$1:$S$836,8,0),"")</f>
        <v>19/06/2025</v>
      </c>
      <c r="J558" s="25"/>
      <c r="K558" s="19" t="str">
        <f>IFERROR(VLOOKUP(B558,'03. THIẾT BỊ'!$B$1:$S$836,10,0),"")</f>
        <v>Bình thường</v>
      </c>
      <c r="L558" s="25" t="str">
        <f>IFERROR(VLOOKUP(B558,'03. THIẾT BỊ'!$B$1:$S$836,11,0),"")</f>
        <v>GC mới</v>
      </c>
      <c r="M558" s="24">
        <f>IFERROR(VLOOKUP(B558,'03. THIẾT BỊ'!$B$1:$S$836,12,0),"")</f>
        <v>0</v>
      </c>
      <c r="N558" s="25" t="str">
        <f>IFERROR(VLOOKUP(B558,'03. THIẾT BỊ'!$B$1:$S$836,13,0),"")</f>
        <v>THACO AGRI</v>
      </c>
      <c r="O558" s="24">
        <f>IFERROR(VLOOKUP(B558,'03. THIẾT BỊ'!$B$1:$S$836,14,0),"")</f>
        <v>0</v>
      </c>
      <c r="P558" s="25" t="str">
        <f>IFERROR(VLOOKUP(B558,'03. THIẾT BỊ'!$B$1:$S$836,15,0),"")</f>
        <v>CK-CGH</v>
      </c>
      <c r="Q558" s="23">
        <f>IFERROR(VLOOKUP(B558,'03. THIẾT BỊ'!$B$1:$S$836,16,0),"")</f>
        <v>2025</v>
      </c>
      <c r="R558" s="25">
        <f>IFERROR(VLOOKUP(B558,'03. THIẾT BỊ'!$B$1:$S$836,17,0),"")</f>
        <v>0</v>
      </c>
      <c r="S558" s="25">
        <f>IFERROR(VLOOKUP(B558,'03. THIẾT BỊ'!$B$1:$S$836,18,0),"")</f>
        <v>0</v>
      </c>
      <c r="T558" s="41">
        <v>0.56</v>
      </c>
    </row>
    <row r="559" customHeight="1" spans="1:20">
      <c r="A559" s="19">
        <f t="shared" si="27"/>
        <v>28</v>
      </c>
      <c r="B559" s="20" t="s">
        <v>4778</v>
      </c>
      <c r="C559" s="613">
        <f>IFERROR(VLOOKUP(B559,'03. THIẾT BỊ'!$B$1:$S$836,2,0),"")</f>
        <v>0</v>
      </c>
      <c r="D559" s="24" t="str">
        <f>IFERROR(VLOOKUP(B559,'03. THIẾT BỊ'!$B$1:$S$836,3,0),"")</f>
        <v>A24-MKC-012</v>
      </c>
      <c r="E559" s="20" t="str">
        <f>IFERROR(VLOOKUP(B559,'03. THIẾT BỊ'!$B$1:$S$836,4,0),"")</f>
        <v>ĐQSD</v>
      </c>
      <c r="F559" s="20" t="str">
        <f>IFERROR(VLOOKUP(B559,'03. THIẾT BỊ'!$B$1:$S$836,5,0),"")</f>
        <v>Máy kéo chuối (Xăng)</v>
      </c>
      <c r="G559" s="101" t="s">
        <v>6468</v>
      </c>
      <c r="H559" s="19" t="str">
        <f>IFERROR(VLOOKUP(B559,'03. THIẾT BỊ'!$B$1:$S$836,7,0),"")</f>
        <v>XN Chuối LP1</v>
      </c>
      <c r="I559" s="610">
        <f>IFERROR(VLOOKUP(B559,'03. THIẾT BỊ'!$B$1:$S$836,8,0),"")</f>
        <v>45725</v>
      </c>
      <c r="J559" s="25"/>
      <c r="K559" s="19" t="str">
        <f>IFERROR(VLOOKUP(B559,'03. THIẾT BỊ'!$B$1:$S$836,10,0),"")</f>
        <v>Bình thường</v>
      </c>
      <c r="L559" s="25" t="str">
        <f>IFERROR(VLOOKUP(B559,'03. THIẾT BỊ'!$B$1:$S$836,11,0),"")</f>
        <v>GC mới</v>
      </c>
      <c r="M559" s="24">
        <f>IFERROR(VLOOKUP(B559,'03. THIẾT BỊ'!$B$1:$S$836,12,0),"")</f>
        <v>0</v>
      </c>
      <c r="N559" s="25" t="str">
        <f>IFERROR(VLOOKUP(B559,'03. THIẾT BỊ'!$B$1:$S$836,13,0),"")</f>
        <v>THACO AGRI</v>
      </c>
      <c r="O559" s="24" t="str">
        <f>IFERROR(VLOOKUP(B559,'03. THIẾT BỊ'!$B$1:$S$836,14,0),"")</f>
        <v>XKC-016</v>
      </c>
      <c r="P559" s="25" t="str">
        <f>IFERROR(VLOOKUP(B559,'03. THIẾT BỊ'!$B$1:$S$836,15,0),"")</f>
        <v>CK-CGH</v>
      </c>
      <c r="Q559" s="23">
        <f>IFERROR(VLOOKUP(B559,'03. THIẾT BỊ'!$B$1:$S$836,16,0),"")</f>
        <v>2025</v>
      </c>
      <c r="R559" s="25">
        <f>IFERROR(VLOOKUP(B559,'03. THIẾT BỊ'!$B$1:$S$836,17,0),"")</f>
        <v>0</v>
      </c>
      <c r="S559" s="25">
        <f>IFERROR(VLOOKUP(B559,'03. THIẾT BỊ'!$B$1:$S$836,18,0),"")</f>
        <v>16</v>
      </c>
      <c r="T559" s="41">
        <v>0.56</v>
      </c>
    </row>
    <row r="560" customHeight="1" spans="1:20">
      <c r="A560" s="19">
        <f t="shared" si="27"/>
        <v>29</v>
      </c>
      <c r="B560" s="20" t="s">
        <v>4781</v>
      </c>
      <c r="C560" s="613">
        <f>IFERROR(VLOOKUP(B560,'03. THIẾT BỊ'!$B$1:$S$836,2,0),"")</f>
        <v>0</v>
      </c>
      <c r="D560" s="24" t="str">
        <f>IFERROR(VLOOKUP(B560,'03. THIẾT BỊ'!$B$1:$S$836,3,0),"")</f>
        <v>A24-MKC-013</v>
      </c>
      <c r="E560" s="20" t="str">
        <f>IFERROR(VLOOKUP(B560,'03. THIẾT BỊ'!$B$1:$S$836,4,0),"")</f>
        <v>ĐQSD</v>
      </c>
      <c r="F560" s="20" t="str">
        <f>IFERROR(VLOOKUP(B560,'03. THIẾT BỊ'!$B$1:$S$836,5,0),"")</f>
        <v>Máy kéo chuối (Xăng)</v>
      </c>
      <c r="G560" s="101" t="s">
        <v>6468</v>
      </c>
      <c r="H560" s="19" t="str">
        <f>IFERROR(VLOOKUP(B560,'03. THIẾT BỊ'!$B$1:$S$836,7,0),"")</f>
        <v>XN Chuối LP1</v>
      </c>
      <c r="I560" s="610">
        <f>IFERROR(VLOOKUP(B560,'03. THIẾT BỊ'!$B$1:$S$836,8,0),"")</f>
        <v>45725</v>
      </c>
      <c r="J560" s="25"/>
      <c r="K560" s="19" t="str">
        <f>IFERROR(VLOOKUP(B560,'03. THIẾT BỊ'!$B$1:$S$836,10,0),"")</f>
        <v>Bình thường</v>
      </c>
      <c r="L560" s="25" t="str">
        <f>IFERROR(VLOOKUP(B560,'03. THIẾT BỊ'!$B$1:$S$836,11,0),"")</f>
        <v>GC mới</v>
      </c>
      <c r="M560" s="24">
        <f>IFERROR(VLOOKUP(B560,'03. THIẾT BỊ'!$B$1:$S$836,12,0),"")</f>
        <v>0</v>
      </c>
      <c r="N560" s="25" t="str">
        <f>IFERROR(VLOOKUP(B560,'03. THIẾT BỊ'!$B$1:$S$836,13,0),"")</f>
        <v>THACO AGRI</v>
      </c>
      <c r="O560" s="24" t="str">
        <f>IFERROR(VLOOKUP(B560,'03. THIẾT BỊ'!$B$1:$S$836,14,0),"")</f>
        <v>XKC-016</v>
      </c>
      <c r="P560" s="25" t="str">
        <f>IFERROR(VLOOKUP(B560,'03. THIẾT BỊ'!$B$1:$S$836,15,0),"")</f>
        <v>CK-CGH</v>
      </c>
      <c r="Q560" s="23">
        <f>IFERROR(VLOOKUP(B560,'03. THIẾT BỊ'!$B$1:$S$836,16,0),"")</f>
        <v>2025</v>
      </c>
      <c r="R560" s="25">
        <f>IFERROR(VLOOKUP(B560,'03. THIẾT BỊ'!$B$1:$S$836,17,0),"")</f>
        <v>0</v>
      </c>
      <c r="S560" s="25">
        <f>IFERROR(VLOOKUP(B560,'03. THIẾT BỊ'!$B$1:$S$836,18,0),"")</f>
        <v>17</v>
      </c>
      <c r="T560" s="41">
        <v>0.56</v>
      </c>
    </row>
    <row r="561" customHeight="1" spans="1:20">
      <c r="A561" s="19">
        <f t="shared" si="27"/>
        <v>30</v>
      </c>
      <c r="B561" s="20" t="s">
        <v>4783</v>
      </c>
      <c r="C561" s="613">
        <f>IFERROR(VLOOKUP(B561,'03. THIẾT BỊ'!$B$1:$S$836,2,0),"")</f>
        <v>0</v>
      </c>
      <c r="D561" s="24" t="str">
        <f>IFERROR(VLOOKUP(B561,'03. THIẾT BỊ'!$B$1:$S$836,3,0),"")</f>
        <v>A24-MKC-014</v>
      </c>
      <c r="E561" s="20" t="str">
        <f>IFERROR(VLOOKUP(B561,'03. THIẾT BỊ'!$B$1:$S$836,4,0),"")</f>
        <v>ĐQSD</v>
      </c>
      <c r="F561" s="20" t="str">
        <f>IFERROR(VLOOKUP(B561,'03. THIẾT BỊ'!$B$1:$S$836,5,0),"")</f>
        <v>Máy kéo chuối (Xăng)</v>
      </c>
      <c r="G561" s="101" t="s">
        <v>6468</v>
      </c>
      <c r="H561" s="19" t="str">
        <f>IFERROR(VLOOKUP(B561,'03. THIẾT BỊ'!$B$1:$S$836,7,0),"")</f>
        <v>XN Chuối LP1</v>
      </c>
      <c r="I561" s="610">
        <f>IFERROR(VLOOKUP(B561,'03. THIẾT BỊ'!$B$1:$S$836,8,0),"")</f>
        <v>45878</v>
      </c>
      <c r="J561" s="25"/>
      <c r="K561" s="19" t="str">
        <f>IFERROR(VLOOKUP(B561,'03. THIẾT BỊ'!$B$1:$S$836,10,0),"")</f>
        <v>Bình thường</v>
      </c>
      <c r="L561" s="25" t="str">
        <f>IFERROR(VLOOKUP(B561,'03. THIẾT BỊ'!$B$1:$S$836,11,0),"")</f>
        <v>GC mới</v>
      </c>
      <c r="M561" s="24">
        <f>IFERROR(VLOOKUP(B561,'03. THIẾT BỊ'!$B$1:$S$836,12,0),"")</f>
        <v>0</v>
      </c>
      <c r="N561" s="25" t="str">
        <f>IFERROR(VLOOKUP(B561,'03. THIẾT BỊ'!$B$1:$S$836,13,0),"")</f>
        <v>THACO AGRI</v>
      </c>
      <c r="O561" s="24" t="str">
        <f>IFERROR(VLOOKUP(B561,'03. THIẾT BỊ'!$B$1:$S$836,14,0),"")</f>
        <v>XKC-20</v>
      </c>
      <c r="P561" s="25" t="str">
        <f>IFERROR(VLOOKUP(B561,'03. THIẾT BỊ'!$B$1:$S$836,15,0),"")</f>
        <v>CK-CGH</v>
      </c>
      <c r="Q561" s="23">
        <f>IFERROR(VLOOKUP(B561,'03. THIẾT BỊ'!$B$1:$S$836,16,0),"")</f>
        <v>2025</v>
      </c>
      <c r="R561" s="25">
        <f>IFERROR(VLOOKUP(B561,'03. THIẾT BỊ'!$B$1:$S$836,17,0),"")</f>
        <v>0</v>
      </c>
      <c r="S561" s="25">
        <f>IFERROR(VLOOKUP(B561,'03. THIẾT BỊ'!$B$1:$S$836,18,0),"")</f>
        <v>0</v>
      </c>
      <c r="T561" s="41">
        <v>0.56</v>
      </c>
    </row>
    <row r="562" customHeight="1" spans="1:20">
      <c r="A562" s="19">
        <f t="shared" si="27"/>
        <v>31</v>
      </c>
      <c r="B562" s="20" t="s">
        <v>4786</v>
      </c>
      <c r="C562" s="613">
        <f>IFERROR(VLOOKUP(B562,'03. THIẾT BỊ'!$B$1:$S$836,2,0),"")</f>
        <v>0</v>
      </c>
      <c r="D562" s="24" t="str">
        <f>IFERROR(VLOOKUP(B562,'03. THIẾT BỊ'!$B$1:$S$836,3,0),"")</f>
        <v>A24-MKC-016</v>
      </c>
      <c r="E562" s="20" t="str">
        <f>IFERROR(VLOOKUP(B562,'03. THIẾT BỊ'!$B$1:$S$836,4,0),"")</f>
        <v>ĐQSD</v>
      </c>
      <c r="F562" s="20" t="str">
        <f>IFERROR(VLOOKUP(B562,'03. THIẾT BỊ'!$B$1:$S$836,5,0),"")</f>
        <v>Máy kéo chuối (Xăng)</v>
      </c>
      <c r="G562" s="101" t="s">
        <v>6468</v>
      </c>
      <c r="H562" s="19" t="str">
        <f>IFERROR(VLOOKUP(B562,'03. THIẾT BỊ'!$B$1:$S$836,7,0),"")</f>
        <v>XN Chuối LP1</v>
      </c>
      <c r="I562" s="610" t="str">
        <f>IFERROR(VLOOKUP(B562,'03. THIẾT BỊ'!$B$1:$S$836,8,0),"")</f>
        <v>17/09/2025</v>
      </c>
      <c r="J562" s="25"/>
      <c r="K562" s="19" t="str">
        <f>IFERROR(VLOOKUP(B562,'03. THIẾT BỊ'!$B$1:$S$836,10,0),"")</f>
        <v>Bình thường</v>
      </c>
      <c r="L562" s="25" t="str">
        <f>IFERROR(VLOOKUP(B562,'03. THIẾT BỊ'!$B$1:$S$836,11,0),"")</f>
        <v>GC mới</v>
      </c>
      <c r="M562" s="24">
        <f>IFERROR(VLOOKUP(B562,'03. THIẾT BỊ'!$B$1:$S$836,12,0),"")</f>
        <v>0</v>
      </c>
      <c r="N562" s="25" t="str">
        <f>IFERROR(VLOOKUP(B562,'03. THIẾT BỊ'!$B$1:$S$836,13,0),"")</f>
        <v>THACO AGRI</v>
      </c>
      <c r="O562" s="24" t="str">
        <f>IFERROR(VLOOKUP(B562,'03. THIẾT BỊ'!$B$1:$S$836,14,0),"")</f>
        <v>XKC-21</v>
      </c>
      <c r="P562" s="25" t="str">
        <f>IFERROR(VLOOKUP(B562,'03. THIẾT BỊ'!$B$1:$S$836,15,0),"")</f>
        <v>CK-CGH</v>
      </c>
      <c r="Q562" s="23">
        <f>IFERROR(VLOOKUP(B562,'03. THIẾT BỊ'!$B$1:$S$836,16,0),"")</f>
        <v>2025</v>
      </c>
      <c r="R562" s="25">
        <f>IFERROR(VLOOKUP(B562,'03. THIẾT BỊ'!$B$1:$S$836,17,0),"")</f>
        <v>0</v>
      </c>
      <c r="S562" s="25">
        <f>IFERROR(VLOOKUP(B562,'03. THIẾT BỊ'!$B$1:$S$836,18,0),"")</f>
        <v>0</v>
      </c>
      <c r="T562" s="41">
        <v>0.56</v>
      </c>
    </row>
    <row r="563" customHeight="1" spans="1:20">
      <c r="A563" s="19">
        <f t="shared" si="27"/>
        <v>32</v>
      </c>
      <c r="B563" s="20" t="s">
        <v>4789</v>
      </c>
      <c r="C563" s="613" t="str">
        <f>IFERROR(VLOOKUP(B563,'03. THIẾT BỊ'!$B$1:$S$836,2,0),"")</f>
        <v>XD1-MKC-009</v>
      </c>
      <c r="D563" s="24" t="str">
        <f>IFERROR(VLOOKUP(B563,'03. THIẾT BỊ'!$B$1:$S$836,3,0),"")</f>
        <v>A23-MKC-022</v>
      </c>
      <c r="E563" s="20" t="str">
        <f>IFERROR(VLOOKUP(B563,'03. THIẾT BỊ'!$B$1:$S$836,4,0),"")</f>
        <v>ĐQSD</v>
      </c>
      <c r="F563" s="20" t="str">
        <f>IFERROR(VLOOKUP(B563,'03. THIẾT BỊ'!$B$1:$S$836,5,0),"")</f>
        <v>Máy kéo chuối (Xăng)</v>
      </c>
      <c r="G563" s="101" t="s">
        <v>6468</v>
      </c>
      <c r="H563" s="19" t="str">
        <f>IFERROR(VLOOKUP(B563,'03. THIẾT BỊ'!$B$1:$S$836,7,0),"")</f>
        <v>XN Chuối LP1</v>
      </c>
      <c r="I563" s="610">
        <f>IFERROR(VLOOKUP(B563,'03. THIẾT BỊ'!$B$1:$S$836,8,0),"")</f>
        <v>45726</v>
      </c>
      <c r="J563" s="25"/>
      <c r="K563" s="19" t="str">
        <f>IFERROR(VLOOKUP(B563,'03. THIẾT BỊ'!$B$1:$S$836,10,0),"")</f>
        <v>Bình thường</v>
      </c>
      <c r="L563" s="25" t="str">
        <f>IFERROR(VLOOKUP(B563,'03. THIẾT BỊ'!$B$1:$S$836,11,0),"")</f>
        <v>Đchuyen từ DP1 ngày 03/10/2025</v>
      </c>
      <c r="M563" s="24">
        <f>IFERROR(VLOOKUP(B563,'03. THIẾT BỊ'!$B$1:$S$836,12,0),"")</f>
        <v>0</v>
      </c>
      <c r="N563" s="25" t="str">
        <f>IFERROR(VLOOKUP(B563,'03. THIẾT BỊ'!$B$1:$S$836,13,0),"")</f>
        <v>DREAM</v>
      </c>
      <c r="O563" s="24" t="str">
        <f>IFERROR(VLOOKUP(B563,'03. THIẾT BỊ'!$B$1:$S$836,14,0),"")</f>
        <v>XKC-24</v>
      </c>
      <c r="P563" s="25" t="str">
        <f>IFERROR(VLOOKUP(B563,'03. THIẾT BỊ'!$B$1:$S$836,15,0),"")</f>
        <v>CK-CGH</v>
      </c>
      <c r="Q563" s="23">
        <f>IFERROR(VLOOKUP(B563,'03. THIẾT BỊ'!$B$1:$S$836,16,0),"")</f>
        <v>2025</v>
      </c>
      <c r="R563" s="25">
        <f>IFERROR(VLOOKUP(B563,'03. THIẾT BỊ'!$B$1:$S$836,17,0),"")</f>
        <v>0</v>
      </c>
      <c r="S563" s="25">
        <f>IFERROR(VLOOKUP(B563,'03. THIẾT BỊ'!$B$1:$S$836,18,0),"")</f>
        <v>0</v>
      </c>
      <c r="T563" s="41">
        <v>0.56</v>
      </c>
    </row>
    <row r="564" customHeight="1" spans="1:20">
      <c r="A564" s="19">
        <f t="shared" si="27"/>
        <v>33</v>
      </c>
      <c r="B564" s="20" t="s">
        <v>4791</v>
      </c>
      <c r="C564" s="613">
        <f>IFERROR(VLOOKUP(B564,'03. THIẾT BỊ'!$B$1:$S$836,2,0),"")</f>
        <v>0</v>
      </c>
      <c r="D564" s="24" t="str">
        <f>IFERROR(VLOOKUP(B564,'03. THIẾT BỊ'!$B$1:$S$836,3,0),"")</f>
        <v>A24-MKC-019</v>
      </c>
      <c r="E564" s="20" t="str">
        <f>IFERROR(VLOOKUP(B564,'03. THIẾT BỊ'!$B$1:$S$836,4,0),"")</f>
        <v>ĐQSD</v>
      </c>
      <c r="F564" s="20" t="str">
        <f>IFERROR(VLOOKUP(B564,'03. THIẾT BỊ'!$B$1:$S$836,5,0),"")</f>
        <v>Máy kéo chuối (Xăng)</v>
      </c>
      <c r="G564" s="101" t="s">
        <v>6468</v>
      </c>
      <c r="H564" s="19" t="str">
        <f>IFERROR(VLOOKUP(B564,'03. THIẾT BỊ'!$B$1:$S$836,7,0),"")</f>
        <v>XN Chuối LP1</v>
      </c>
      <c r="I564" s="610" t="str">
        <f>IFERROR(VLOOKUP(B564,'03. THIẾT BỊ'!$B$1:$S$836,8,0),"")</f>
        <v>16/10/2025</v>
      </c>
      <c r="J564" s="25"/>
      <c r="K564" s="19" t="str">
        <f>IFERROR(VLOOKUP(B564,'03. THIẾT BỊ'!$B$1:$S$836,10,0),"")</f>
        <v>Bình thường</v>
      </c>
      <c r="L564" s="25" t="str">
        <f>IFERROR(VLOOKUP(B564,'03. THIẾT BỊ'!$B$1:$S$836,11,0),"")</f>
        <v>GC mới</v>
      </c>
      <c r="M564" s="24">
        <f>IFERROR(VLOOKUP(B564,'03. THIẾT BỊ'!$B$1:$S$836,12,0),"")</f>
        <v>0</v>
      </c>
      <c r="N564" s="25" t="str">
        <f>IFERROR(VLOOKUP(B564,'03. THIẾT BỊ'!$B$1:$S$836,13,0),"")</f>
        <v>DREAM</v>
      </c>
      <c r="O564" s="24" t="str">
        <f>IFERROR(VLOOKUP(B564,'03. THIẾT BỊ'!$B$1:$S$836,14,0),"")</f>
        <v>XKC-32</v>
      </c>
      <c r="P564" s="25" t="str">
        <f>IFERROR(VLOOKUP(B564,'03. THIẾT BỊ'!$B$1:$S$836,15,0),"")</f>
        <v>CK-CGH</v>
      </c>
      <c r="Q564" s="23">
        <f>IFERROR(VLOOKUP(B564,'03. THIẾT BỊ'!$B$1:$S$836,16,0),"")</f>
        <v>2025</v>
      </c>
      <c r="R564" s="25">
        <f>IFERROR(VLOOKUP(B564,'03. THIẾT BỊ'!$B$1:$S$836,17,0),"")</f>
        <v>0</v>
      </c>
      <c r="S564" s="25">
        <f>IFERROR(VLOOKUP(B564,'03. THIẾT BỊ'!$B$1:$S$836,18,0),"")</f>
        <v>0</v>
      </c>
      <c r="T564" s="41">
        <v>0.56</v>
      </c>
    </row>
    <row r="565" customHeight="1" spans="1:20">
      <c r="A565" s="19">
        <f t="shared" si="27"/>
        <v>34</v>
      </c>
      <c r="B565" s="20" t="s">
        <v>4795</v>
      </c>
      <c r="C565" s="613">
        <f>IFERROR(VLOOKUP(B565,'03. THIẾT BỊ'!$B$1:$S$836,2,0),"")</f>
        <v>0</v>
      </c>
      <c r="D565" s="24" t="str">
        <f>IFERROR(VLOOKUP(B565,'03. THIẾT BỊ'!$B$1:$S$836,3,0),"")</f>
        <v>A24-MKC-020</v>
      </c>
      <c r="E565" s="20" t="str">
        <f>IFERROR(VLOOKUP(B565,'03. THIẾT BỊ'!$B$1:$S$836,4,0),"")</f>
        <v>ĐQSD</v>
      </c>
      <c r="F565" s="20" t="str">
        <f>IFERROR(VLOOKUP(B565,'03. THIẾT BỊ'!$B$1:$S$836,5,0),"")</f>
        <v>Máy kéo chuối (Xăng)</v>
      </c>
      <c r="G565" s="101" t="s">
        <v>6468</v>
      </c>
      <c r="H565" s="19" t="str">
        <f>IFERROR(VLOOKUP(B565,'03. THIẾT BỊ'!$B$1:$S$836,7,0),"")</f>
        <v>XN Chuối LP1</v>
      </c>
      <c r="I565" s="610" t="str">
        <f>IFERROR(VLOOKUP(B565,'03. THIẾT BỊ'!$B$1:$S$836,8,0),"")</f>
        <v>21/10/2025</v>
      </c>
      <c r="J565" s="25"/>
      <c r="K565" s="19" t="str">
        <f>IFERROR(VLOOKUP(B565,'03. THIẾT BỊ'!$B$1:$S$836,10,0),"")</f>
        <v>Bình thường</v>
      </c>
      <c r="L565" s="25" t="str">
        <f>IFERROR(VLOOKUP(B565,'03. THIẾT BỊ'!$B$1:$S$836,11,0),"")</f>
        <v>GC mới</v>
      </c>
      <c r="M565" s="24">
        <f>IFERROR(VLOOKUP(B565,'03. THIẾT BỊ'!$B$1:$S$836,12,0),"")</f>
        <v>0</v>
      </c>
      <c r="N565" s="25" t="str">
        <f>IFERROR(VLOOKUP(B565,'03. THIẾT BỊ'!$B$1:$S$836,13,0),"")</f>
        <v>DREAM</v>
      </c>
      <c r="O565" s="24" t="str">
        <f>IFERROR(VLOOKUP(B565,'03. THIẾT BỊ'!$B$1:$S$836,14,0),"")</f>
        <v>XKC-35</v>
      </c>
      <c r="P565" s="25" t="str">
        <f>IFERROR(VLOOKUP(B565,'03. THIẾT BỊ'!$B$1:$S$836,15,0),"")</f>
        <v>CK-CGH</v>
      </c>
      <c r="Q565" s="23">
        <f>IFERROR(VLOOKUP(B565,'03. THIẾT BỊ'!$B$1:$S$836,16,0),"")</f>
        <v>2025</v>
      </c>
      <c r="R565" s="25">
        <f>IFERROR(VLOOKUP(B565,'03. THIẾT BỊ'!$B$1:$S$836,17,0),"")</f>
        <v>0</v>
      </c>
      <c r="S565" s="25">
        <f>IFERROR(VLOOKUP(B565,'03. THIẾT BỊ'!$B$1:$S$836,18,0),"")</f>
        <v>0</v>
      </c>
      <c r="T565" s="41">
        <v>0.56</v>
      </c>
    </row>
    <row r="566" customHeight="1" spans="1:20">
      <c r="A566" s="19">
        <f t="shared" si="27"/>
        <v>35</v>
      </c>
      <c r="B566" s="20" t="s">
        <v>4799</v>
      </c>
      <c r="C566" s="613">
        <f>IFERROR(VLOOKUP(B566,'03. THIẾT BỊ'!$B$1:$S$836,2,0),"")</f>
        <v>0</v>
      </c>
      <c r="D566" s="24" t="str">
        <f>IFERROR(VLOOKUP(B566,'03. THIẾT BỊ'!$B$1:$S$836,3,0),"")</f>
        <v>A24-MKC-021</v>
      </c>
      <c r="E566" s="20" t="str">
        <f>IFERROR(VLOOKUP(B566,'03. THIẾT BỊ'!$B$1:$S$836,4,0),"")</f>
        <v>ĐQSD</v>
      </c>
      <c r="F566" s="20" t="str">
        <f>IFERROR(VLOOKUP(B566,'03. THIẾT BỊ'!$B$1:$S$836,5,0),"")</f>
        <v>Máy kéo chuối (Xăng)</v>
      </c>
      <c r="G566" s="101" t="s">
        <v>6468</v>
      </c>
      <c r="H566" s="19" t="str">
        <f>IFERROR(VLOOKUP(B566,'03. THIẾT BỊ'!$B$1:$S$836,7,0),"")</f>
        <v>XN Chuối LP1</v>
      </c>
      <c r="I566" s="610" t="str">
        <f>IFERROR(VLOOKUP(B566,'03. THIẾT BỊ'!$B$1:$S$836,8,0),"")</f>
        <v>21/10/2025</v>
      </c>
      <c r="J566" s="25"/>
      <c r="K566" s="19" t="str">
        <f>IFERROR(VLOOKUP(B566,'03. THIẾT BỊ'!$B$1:$S$836,10,0),"")</f>
        <v>Bình thường</v>
      </c>
      <c r="L566" s="25" t="str">
        <f>IFERROR(VLOOKUP(B566,'03. THIẾT BỊ'!$B$1:$S$836,11,0),"")</f>
        <v>GC mới</v>
      </c>
      <c r="M566" s="24">
        <f>IFERROR(VLOOKUP(B566,'03. THIẾT BỊ'!$B$1:$S$836,12,0),"")</f>
        <v>0</v>
      </c>
      <c r="N566" s="25" t="str">
        <f>IFERROR(VLOOKUP(B566,'03. THIẾT BỊ'!$B$1:$S$836,13,0),"")</f>
        <v>DREAM</v>
      </c>
      <c r="O566" s="24" t="str">
        <f>IFERROR(VLOOKUP(B566,'03. THIẾT BỊ'!$B$1:$S$836,14,0),"")</f>
        <v>XKC-36</v>
      </c>
      <c r="P566" s="25" t="str">
        <f>IFERROR(VLOOKUP(B566,'03. THIẾT BỊ'!$B$1:$S$836,15,0),"")</f>
        <v>CK-CGH</v>
      </c>
      <c r="Q566" s="23">
        <f>IFERROR(VLOOKUP(B566,'03. THIẾT BỊ'!$B$1:$S$836,16,0),"")</f>
        <v>2025</v>
      </c>
      <c r="R566" s="25">
        <f>IFERROR(VLOOKUP(B566,'03. THIẾT BỊ'!$B$1:$S$836,17,0),"")</f>
        <v>0</v>
      </c>
      <c r="S566" s="25">
        <f>IFERROR(VLOOKUP(B566,'03. THIẾT BỊ'!$B$1:$S$836,18,0),"")</f>
        <v>0</v>
      </c>
      <c r="T566" s="41">
        <v>0.56</v>
      </c>
    </row>
    <row r="567" customHeight="1" spans="1:20">
      <c r="A567" s="19">
        <f>A562+1</f>
        <v>32</v>
      </c>
      <c r="B567" s="20" t="s">
        <v>4945</v>
      </c>
      <c r="C567" s="613" t="str">
        <f>IFERROR(VLOOKUP(B567,'03. THIẾT BỊ'!$B$1:$S$836,2,0),"")</f>
        <v>CK-XKC-02</v>
      </c>
      <c r="D567" s="24" t="str">
        <f>IFERROR(VLOOKUP(B567,'03. THIẾT BỊ'!$B$1:$S$836,3,0),"")</f>
        <v>A24-MKC-001</v>
      </c>
      <c r="E567" s="20" t="str">
        <f>IFERROR(VLOOKUP(B567,'03. THIẾT BỊ'!$B$1:$S$836,4,0),"")</f>
        <v>ĐQSD</v>
      </c>
      <c r="F567" s="20" t="str">
        <f>IFERROR(VLOOKUP(B567,'03. THIẾT BỊ'!$B$1:$S$836,5,0),"")</f>
        <v>Máy kéo chuối (Xăng)</v>
      </c>
      <c r="G567" s="101" t="s">
        <v>6468</v>
      </c>
      <c r="H567" s="19" t="str">
        <f>IFERROR(VLOOKUP(B567,'03. THIẾT BỊ'!$B$1:$S$836,7,0),"")</f>
        <v>XN Chuối LP3</v>
      </c>
      <c r="I567" s="610">
        <f>IFERROR(VLOOKUP(B567,'03. THIẾT BỊ'!$B$1:$S$836,8,0),"")</f>
        <v>45359</v>
      </c>
      <c r="J567" s="25"/>
      <c r="K567" s="19" t="str">
        <f>IFERROR(VLOOKUP(B567,'03. THIẾT BỊ'!$B$1:$S$836,10,0),"")</f>
        <v>Bình thường</v>
      </c>
      <c r="L567" s="25">
        <f>IFERROR(VLOOKUP(B567,'03. THIẾT BỊ'!$B$1:$S$836,11,0),"")</f>
        <v>0</v>
      </c>
      <c r="M567" s="24" t="str">
        <f>IFERROR(VLOOKUP(B567,'03. THIẾT BỊ'!$B$1:$S$836,12,0),"")</f>
        <v>Gia công mới</v>
      </c>
      <c r="N567" s="25" t="str">
        <f>IFERROR(VLOOKUP(B567,'03. THIẾT BỊ'!$B$1:$S$836,13,0),"")</f>
        <v>DREAM</v>
      </c>
      <c r="O567" s="24" t="str">
        <f>IFERROR(VLOOKUP(B567,'03. THIẾT BỊ'!$B$1:$S$836,14,0),"")</f>
        <v>CGH-MKC-DREAM</v>
      </c>
      <c r="P567" s="25" t="str">
        <f>IFERROR(VLOOKUP(B567,'03. THIẾT BỊ'!$B$1:$S$836,15,0),"")</f>
        <v>CK-CGH</v>
      </c>
      <c r="Q567" s="23">
        <f>IFERROR(VLOOKUP(B567,'03. THIẾT BỊ'!$B$1:$S$836,16,0),"")</f>
        <v>2024</v>
      </c>
      <c r="R567" s="25" t="str">
        <f>IFERROR(VLOOKUP(B567,'03. THIẾT BỊ'!$B$1:$S$836,17,0),"")</f>
        <v>125CC-9.25HP</v>
      </c>
      <c r="S567" s="25">
        <f>IFERROR(VLOOKUP(B567,'03. THIẾT BỊ'!$B$1:$S$836,18,0),"")</f>
        <v>0</v>
      </c>
      <c r="T567" s="41">
        <v>0.56</v>
      </c>
    </row>
    <row r="568" customHeight="1" spans="1:20">
      <c r="A568" s="19">
        <f t="shared" ref="A568:A579" si="28">A567+1</f>
        <v>33</v>
      </c>
      <c r="B568" s="20" t="s">
        <v>4949</v>
      </c>
      <c r="C568" s="613" t="str">
        <f>IFERROR(VLOOKUP(B568,'03. THIẾT BỊ'!$B$1:$S$836,2,0),"")</f>
        <v>CK-XKC-03</v>
      </c>
      <c r="D568" s="24" t="str">
        <f>IFERROR(VLOOKUP(B568,'03. THIẾT BỊ'!$B$1:$S$836,3,0),"")</f>
        <v>A24-MKC-002</v>
      </c>
      <c r="E568" s="20" t="str">
        <f>IFERROR(VLOOKUP(B568,'03. THIẾT BỊ'!$B$1:$S$836,4,0),"")</f>
        <v>ĐQSD</v>
      </c>
      <c r="F568" s="20" t="str">
        <f>IFERROR(VLOOKUP(B568,'03. THIẾT BỊ'!$B$1:$S$836,5,0),"")</f>
        <v>Máy kéo chuối (Xăng)</v>
      </c>
      <c r="G568" s="101" t="s">
        <v>6468</v>
      </c>
      <c r="H568" s="19" t="str">
        <f>IFERROR(VLOOKUP(B568,'03. THIẾT BỊ'!$B$1:$S$836,7,0),"")</f>
        <v>XN Chuối LP3</v>
      </c>
      <c r="I568" s="610" t="str">
        <f>IFERROR(VLOOKUP(B568,'03. THIẾT BỊ'!$B$1:$S$836,8,0),"")</f>
        <v>27/08/2024</v>
      </c>
      <c r="J568" s="25"/>
      <c r="K568" s="19" t="str">
        <f>IFERROR(VLOOKUP(B568,'03. THIẾT BỊ'!$B$1:$S$836,10,0),"")</f>
        <v>Bình thường</v>
      </c>
      <c r="L568" s="25">
        <f>IFERROR(VLOOKUP(B568,'03. THIẾT BỊ'!$B$1:$S$836,11,0),"")</f>
        <v>0</v>
      </c>
      <c r="M568" s="24" t="str">
        <f>IFERROR(VLOOKUP(B568,'03. THIẾT BỊ'!$B$1:$S$836,12,0),"")</f>
        <v>Gia công mới</v>
      </c>
      <c r="N568" s="25" t="str">
        <f>IFERROR(VLOOKUP(B568,'03. THIẾT BỊ'!$B$1:$S$836,13,0),"")</f>
        <v>DREAM</v>
      </c>
      <c r="O568" s="24" t="str">
        <f>IFERROR(VLOOKUP(B568,'03. THIẾT BỊ'!$B$1:$S$836,14,0),"")</f>
        <v>CGH-MKC-DREAM</v>
      </c>
      <c r="P568" s="25" t="str">
        <f>IFERROR(VLOOKUP(B568,'03. THIẾT BỊ'!$B$1:$S$836,15,0),"")</f>
        <v>CK-CGH</v>
      </c>
      <c r="Q568" s="23">
        <f>IFERROR(VLOOKUP(B568,'03. THIẾT BỊ'!$B$1:$S$836,16,0),"")</f>
        <v>2024</v>
      </c>
      <c r="R568" s="25" t="str">
        <f>IFERROR(VLOOKUP(B568,'03. THIẾT BỊ'!$B$1:$S$836,17,0),"")</f>
        <v>125CC-9.25HP</v>
      </c>
      <c r="S568" s="25" t="str">
        <f>IFERROR(VLOOKUP(B568,'03. THIẾT BỊ'!$B$1:$S$836,18,0),"")</f>
        <v>11F06426</v>
      </c>
      <c r="T568" s="41">
        <v>0.56</v>
      </c>
    </row>
    <row r="569" customHeight="1" spans="1:20">
      <c r="A569" s="19">
        <f t="shared" si="28"/>
        <v>34</v>
      </c>
      <c r="B569" s="20" t="s">
        <v>4954</v>
      </c>
      <c r="C569" s="613">
        <f>IFERROR(VLOOKUP(B569,'03. THIẾT BỊ'!$B$1:$S$836,2,0),"")</f>
        <v>0</v>
      </c>
      <c r="D569" s="24" t="str">
        <f>IFERROR(VLOOKUP(B569,'03. THIẾT BỊ'!$B$1:$S$836,3,0),"")</f>
        <v>A24-MKC-003</v>
      </c>
      <c r="E569" s="20" t="str">
        <f>IFERROR(VLOOKUP(B569,'03. THIẾT BỊ'!$B$1:$S$836,4,0),"")</f>
        <v>ĐQSD</v>
      </c>
      <c r="F569" s="20" t="str">
        <f>IFERROR(VLOOKUP(B569,'03. THIẾT BỊ'!$B$1:$S$836,5,0),"")</f>
        <v>Máy kéo chuối (Xăng)</v>
      </c>
      <c r="G569" s="101" t="s">
        <v>6468</v>
      </c>
      <c r="H569" s="19" t="str">
        <f>IFERROR(VLOOKUP(B569,'03. THIẾT BỊ'!$B$1:$S$836,7,0),"")</f>
        <v>XN Chuối LP3</v>
      </c>
      <c r="I569" s="610" t="str">
        <f>IFERROR(VLOOKUP(B569,'03. THIẾT BỊ'!$B$1:$S$836,8,0),"")</f>
        <v>23/10/2024</v>
      </c>
      <c r="J569" s="25"/>
      <c r="K569" s="19" t="str">
        <f>IFERROR(VLOOKUP(B569,'03. THIẾT BỊ'!$B$1:$S$836,10,0),"")</f>
        <v>Bình thường</v>
      </c>
      <c r="L569" s="25">
        <f>IFERROR(VLOOKUP(B569,'03. THIẾT BỊ'!$B$1:$S$836,11,0),"")</f>
        <v>0</v>
      </c>
      <c r="M569" s="24" t="str">
        <f>IFERROR(VLOOKUP(B569,'03. THIẾT BỊ'!$B$1:$S$836,12,0),"")</f>
        <v>Gia công mới</v>
      </c>
      <c r="N569" s="25" t="str">
        <f>IFERROR(VLOOKUP(B569,'03. THIẾT BỊ'!$B$1:$S$836,13,0),"")</f>
        <v>DREAM</v>
      </c>
      <c r="O569" s="24" t="str">
        <f>IFERROR(VLOOKUP(B569,'03. THIẾT BỊ'!$B$1:$S$836,14,0),"")</f>
        <v>CGH-MKC-DREAM</v>
      </c>
      <c r="P569" s="25" t="str">
        <f>IFERROR(VLOOKUP(B569,'03. THIẾT BỊ'!$B$1:$S$836,15,0),"")</f>
        <v>CK-CGH</v>
      </c>
      <c r="Q569" s="23">
        <f>IFERROR(VLOOKUP(B569,'03. THIẾT BỊ'!$B$1:$S$836,16,0),"")</f>
        <v>2024</v>
      </c>
      <c r="R569" s="25" t="str">
        <f>IFERROR(VLOOKUP(B569,'03. THIẾT BỊ'!$B$1:$S$836,17,0),"")</f>
        <v>125CC-9.25HP</v>
      </c>
      <c r="S569" s="25" t="str">
        <f>IFERROR(VLOOKUP(B569,'03. THIẾT BỊ'!$B$1:$S$836,18,0),"")</f>
        <v>13F05237</v>
      </c>
      <c r="T569" s="41">
        <v>0.56</v>
      </c>
    </row>
    <row r="570" customHeight="1" spans="1:20">
      <c r="A570" s="19">
        <f t="shared" si="28"/>
        <v>35</v>
      </c>
      <c r="B570" s="20" t="s">
        <v>4957</v>
      </c>
      <c r="C570" s="613" t="str">
        <f>IFERROR(VLOOKUP(B570,'03. THIẾT BỊ'!$B$1:$S$836,2,0),"")</f>
        <v>CK-MKC-08</v>
      </c>
      <c r="D570" s="24" t="str">
        <f>IFERROR(VLOOKUP(B570,'03. THIẾT BỊ'!$B$1:$S$836,3,0),"")</f>
        <v>A24-MKC-004</v>
      </c>
      <c r="E570" s="20" t="str">
        <f>IFERROR(VLOOKUP(B570,'03. THIẾT BỊ'!$B$1:$S$836,4,0),"")</f>
        <v>ĐQSD</v>
      </c>
      <c r="F570" s="20" t="str">
        <f>IFERROR(VLOOKUP(B570,'03. THIẾT BỊ'!$B$1:$S$836,5,0),"")</f>
        <v>Máy kéo chuối (Xăng)</v>
      </c>
      <c r="G570" s="101" t="s">
        <v>6468</v>
      </c>
      <c r="H570" s="19" t="str">
        <f>IFERROR(VLOOKUP(B570,'03. THIẾT BỊ'!$B$1:$S$836,7,0),"")</f>
        <v>XN Chuối LP3</v>
      </c>
      <c r="I570" s="610" t="str">
        <f>IFERROR(VLOOKUP(B570,'03. THIẾT BỊ'!$B$1:$S$836,8,0),"")</f>
        <v>21/11/2024</v>
      </c>
      <c r="J570" s="25"/>
      <c r="K570" s="19" t="str">
        <f>IFERROR(VLOOKUP(B570,'03. THIẾT BỊ'!$B$1:$S$836,10,0),"")</f>
        <v>Bình thường</v>
      </c>
      <c r="L570" s="25">
        <f>IFERROR(VLOOKUP(B570,'03. THIẾT BỊ'!$B$1:$S$836,11,0),"")</f>
        <v>0</v>
      </c>
      <c r="M570" s="24" t="str">
        <f>IFERROR(VLOOKUP(B570,'03. THIẾT BỊ'!$B$1:$S$836,12,0),"")</f>
        <v>Gia công mới</v>
      </c>
      <c r="N570" s="25" t="str">
        <f>IFERROR(VLOOKUP(B570,'03. THIẾT BỊ'!$B$1:$S$836,13,0),"")</f>
        <v>DREAM</v>
      </c>
      <c r="O570" s="24" t="str">
        <f>IFERROR(VLOOKUP(B570,'03. THIẾT BỊ'!$B$1:$S$836,14,0),"")</f>
        <v>CGH-MKC-DREAM</v>
      </c>
      <c r="P570" s="25" t="str">
        <f>IFERROR(VLOOKUP(B570,'03. THIẾT BỊ'!$B$1:$S$836,15,0),"")</f>
        <v>CK-CGH</v>
      </c>
      <c r="Q570" s="23">
        <f>IFERROR(VLOOKUP(B570,'03. THIẾT BỊ'!$B$1:$S$836,16,0),"")</f>
        <v>2024</v>
      </c>
      <c r="R570" s="25" t="str">
        <f>IFERROR(VLOOKUP(B570,'03. THIẾT BỊ'!$B$1:$S$836,17,0),"")</f>
        <v>125CC-9.25HP</v>
      </c>
      <c r="S570" s="25" t="str">
        <f>IFERROR(VLOOKUP(B570,'03. THIẾT BỊ'!$B$1:$S$836,18,0),"")</f>
        <v>2D01842</v>
      </c>
      <c r="T570" s="41">
        <v>0.56</v>
      </c>
    </row>
    <row r="571" ht="28.5" customHeight="1" spans="1:20">
      <c r="A571" s="19">
        <f t="shared" si="28"/>
        <v>36</v>
      </c>
      <c r="B571" s="20" t="s">
        <v>4961</v>
      </c>
      <c r="C571" s="22" t="str">
        <f>IFERROR(VLOOKUP(B571,'03. THIẾT BỊ'!$B$1:$S$836,2,0),"")</f>
        <v>XD3-MKC-001</v>
      </c>
      <c r="D571" s="24" t="str">
        <f>IFERROR(VLOOKUP(B571,'03. THIẾT BỊ'!$B$1:$S$836,3,0),"")</f>
        <v>A24-MKC-005</v>
      </c>
      <c r="E571" s="20" t="str">
        <f>IFERROR(VLOOKUP(B571,'03. THIẾT BỊ'!$B$1:$S$836,4,0),"")</f>
        <v>ĐQSD</v>
      </c>
      <c r="F571" s="20" t="str">
        <f>IFERROR(VLOOKUP(B571,'03. THIẾT BỊ'!$B$1:$S$836,5,0),"")</f>
        <v>Máy kéo chuối (Xăng)</v>
      </c>
      <c r="G571" s="101" t="s">
        <v>6468</v>
      </c>
      <c r="H571" s="19" t="str">
        <f>IFERROR(VLOOKUP(B571,'03. THIẾT BỊ'!$B$1:$S$836,7,0),"")</f>
        <v>XN Chuối LP3</v>
      </c>
      <c r="I571" s="610" t="str">
        <f>IFERROR(VLOOKUP(B571,'03. THIẾT BỊ'!$B$1:$S$836,8,0),"")</f>
        <v>27/08/2024</v>
      </c>
      <c r="J571" s="25"/>
      <c r="K571" s="19" t="str">
        <f>IFERROR(VLOOKUP(B571,'03. THIẾT BỊ'!$B$1:$S$836,10,0),"")</f>
        <v>Bình thường</v>
      </c>
      <c r="L571" s="25" t="str">
        <f>IFERROR(VLOOKUP(B571,'03. THIẾT BỊ'!$B$1:$S$836,11,0),"")</f>
        <v>-DP3 dchuyen sang LP3 ngày 21/11/2024</v>
      </c>
      <c r="M571" s="24" t="str">
        <f>IFERROR(VLOOKUP(B571,'03. THIẾT BỊ'!$B$1:$S$836,12,0),"")</f>
        <v>Gia công mới</v>
      </c>
      <c r="N571" s="25" t="str">
        <f>IFERROR(VLOOKUP(B571,'03. THIẾT BỊ'!$B$1:$S$836,13,0),"")</f>
        <v>DREAM</v>
      </c>
      <c r="O571" s="24" t="str">
        <f>IFERROR(VLOOKUP(B571,'03. THIẾT BỊ'!$B$1:$S$836,14,0),"")</f>
        <v>CGH-MKC-DREAM</v>
      </c>
      <c r="P571" s="25" t="str">
        <f>IFERROR(VLOOKUP(B571,'03. THIẾT BỊ'!$B$1:$S$836,15,0),"")</f>
        <v>CK-CGH</v>
      </c>
      <c r="Q571" s="23">
        <f>IFERROR(VLOOKUP(B571,'03. THIẾT BỊ'!$B$1:$S$836,16,0),"")</f>
        <v>2024</v>
      </c>
      <c r="R571" s="25" t="str">
        <f>IFERROR(VLOOKUP(B571,'03. THIẾT BỊ'!$B$1:$S$836,17,0),"")</f>
        <v>125cc</v>
      </c>
      <c r="S571" s="25" t="str">
        <f>IFERROR(VLOOKUP(B571,'03. THIẾT BỊ'!$B$1:$S$836,18,0),"")</f>
        <v>lốc cũ: 12A07675
lốc mới 14.03.2025: 09G72821</v>
      </c>
      <c r="T571" s="41">
        <v>0.56</v>
      </c>
    </row>
    <row r="572" customHeight="1" spans="1:20">
      <c r="A572" s="19">
        <f t="shared" si="28"/>
        <v>37</v>
      </c>
      <c r="B572" s="20" t="s">
        <v>4968</v>
      </c>
      <c r="C572" s="613">
        <f>IFERROR(VLOOKUP(B572,'03. THIẾT BỊ'!$B$1:$S$836,2,0),"")</f>
        <v>0</v>
      </c>
      <c r="D572" s="24" t="str">
        <f>IFERROR(VLOOKUP(B572,'03. THIẾT BỊ'!$B$1:$S$836,3,0),"")</f>
        <v>A24-MKC-006</v>
      </c>
      <c r="E572" s="20" t="str">
        <f>IFERROR(VLOOKUP(B572,'03. THIẾT BỊ'!$B$1:$S$836,4,0),"")</f>
        <v>ĐQSD</v>
      </c>
      <c r="F572" s="20" t="str">
        <f>IFERROR(VLOOKUP(B572,'03. THIẾT BỊ'!$B$1:$S$836,5,0),"")</f>
        <v>Máy kéo chuối (Xăng)</v>
      </c>
      <c r="G572" s="101" t="s">
        <v>6468</v>
      </c>
      <c r="H572" s="19" t="str">
        <f>IFERROR(VLOOKUP(B572,'03. THIẾT BỊ'!$B$1:$S$836,7,0),"")</f>
        <v>XN Chuối LP3</v>
      </c>
      <c r="I572" s="610">
        <f>IFERROR(VLOOKUP(B572,'03. THIẾT BỊ'!$B$1:$S$836,8,0),"")</f>
        <v>45933</v>
      </c>
      <c r="J572" s="25"/>
      <c r="K572" s="19" t="str">
        <f>IFERROR(VLOOKUP(B572,'03. THIẾT BỊ'!$B$1:$S$836,10,0),"")</f>
        <v>Bình thường</v>
      </c>
      <c r="L572" s="25">
        <f>IFERROR(VLOOKUP(B572,'03. THIẾT BỊ'!$B$1:$S$836,11,0),"")</f>
        <v>0</v>
      </c>
      <c r="M572" s="24" t="str">
        <f>IFERROR(VLOOKUP(B572,'03. THIẾT BỊ'!$B$1:$S$836,12,0),"")</f>
        <v>Gia công mới</v>
      </c>
      <c r="N572" s="25" t="str">
        <f>IFERROR(VLOOKUP(B572,'03. THIẾT BỊ'!$B$1:$S$836,13,0),"")</f>
        <v>DREAM</v>
      </c>
      <c r="O572" s="24" t="str">
        <f>IFERROR(VLOOKUP(B572,'03. THIẾT BỊ'!$B$1:$S$836,14,0),"")</f>
        <v>CGH-MKC-DREAM</v>
      </c>
      <c r="P572" s="25" t="str">
        <f>IFERROR(VLOOKUP(B572,'03. THIẾT BỊ'!$B$1:$S$836,15,0),"")</f>
        <v>CK-CGH</v>
      </c>
      <c r="Q572" s="23">
        <f>IFERROR(VLOOKUP(B572,'03. THIẾT BỊ'!$B$1:$S$836,16,0),"")</f>
        <v>2025</v>
      </c>
      <c r="R572" s="25" t="str">
        <f>IFERROR(VLOOKUP(B572,'03. THIẾT BỊ'!$B$1:$S$836,17,0),"")</f>
        <v>125cc</v>
      </c>
      <c r="S572" s="25" t="str">
        <f>IFERROR(VLOOKUP(B572,'03. THIẾT BỊ'!$B$1:$S$836,18,0),"")</f>
        <v>12K06124</v>
      </c>
      <c r="T572" s="41">
        <v>0.56</v>
      </c>
    </row>
    <row r="573" customHeight="1" spans="1:20">
      <c r="A573" s="19">
        <f t="shared" si="28"/>
        <v>38</v>
      </c>
      <c r="B573" s="20" t="s">
        <v>4971</v>
      </c>
      <c r="C573" s="613">
        <f>IFERROR(VLOOKUP(B573,'03. THIẾT BỊ'!$B$1:$S$836,2,0),"")</f>
        <v>0</v>
      </c>
      <c r="D573" s="24" t="str">
        <f>IFERROR(VLOOKUP(B573,'03. THIẾT BỊ'!$B$1:$S$836,3,0),"")</f>
        <v>A24-MKC-009</v>
      </c>
      <c r="E573" s="20" t="str">
        <f>IFERROR(VLOOKUP(B573,'03. THIẾT BỊ'!$B$1:$S$836,4,0),"")</f>
        <v>ĐQSD</v>
      </c>
      <c r="F573" s="20" t="str">
        <f>IFERROR(VLOOKUP(B573,'03. THIẾT BỊ'!$B$1:$S$836,5,0),"")</f>
        <v>Máy kéo chuối (Xăng)</v>
      </c>
      <c r="G573" s="101" t="s">
        <v>6468</v>
      </c>
      <c r="H573" s="19" t="str">
        <f>IFERROR(VLOOKUP(B573,'03. THIẾT BỊ'!$B$1:$S$836,7,0),"")</f>
        <v>XN Chuối LP3</v>
      </c>
      <c r="I573" s="610" t="str">
        <f>IFERROR(VLOOKUP(B573,'03. THIẾT BỊ'!$B$1:$S$836,8,0),"")</f>
        <v>15/06/2025</v>
      </c>
      <c r="J573" s="25"/>
      <c r="K573" s="19" t="str">
        <f>IFERROR(VLOOKUP(B573,'03. THIẾT BỊ'!$B$1:$S$836,10,0),"")</f>
        <v>Bình thường</v>
      </c>
      <c r="L573" s="25">
        <f>IFERROR(VLOOKUP(B573,'03. THIẾT BỊ'!$B$1:$S$836,11,0),"")</f>
        <v>0</v>
      </c>
      <c r="M573" s="24" t="str">
        <f>IFERROR(VLOOKUP(B573,'03. THIẾT BỊ'!$B$1:$S$836,12,0),"")</f>
        <v>Gia công mới</v>
      </c>
      <c r="N573" s="25" t="str">
        <f>IFERROR(VLOOKUP(B573,'03. THIẾT BỊ'!$B$1:$S$836,13,0),"")</f>
        <v>DREAM</v>
      </c>
      <c r="O573" s="24" t="str">
        <f>IFERROR(VLOOKUP(B573,'03. THIẾT BỊ'!$B$1:$S$836,14,0),"")</f>
        <v>CGH-MKC-DREAM</v>
      </c>
      <c r="P573" s="25" t="str">
        <f>IFERROR(VLOOKUP(B573,'03. THIẾT BỊ'!$B$1:$S$836,15,0),"")</f>
        <v>CK-CGH</v>
      </c>
      <c r="Q573" s="23">
        <f>IFERROR(VLOOKUP(B573,'03. THIẾT BỊ'!$B$1:$S$836,16,0),"")</f>
        <v>2025</v>
      </c>
      <c r="R573" s="25" t="str">
        <f>IFERROR(VLOOKUP(B573,'03. THIẾT BỊ'!$B$1:$S$836,17,0),"")</f>
        <v>125cc</v>
      </c>
      <c r="S573" s="25">
        <f>IFERROR(VLOOKUP(B573,'03. THIẾT BỊ'!$B$1:$S$836,18,0),"")</f>
        <v>0</v>
      </c>
      <c r="T573" s="41">
        <v>0.56</v>
      </c>
    </row>
    <row r="574" customHeight="1" spans="1:20">
      <c r="A574" s="19">
        <f t="shared" si="28"/>
        <v>39</v>
      </c>
      <c r="B574" s="20" t="s">
        <v>4974</v>
      </c>
      <c r="C574" s="613">
        <f>IFERROR(VLOOKUP(B574,'03. THIẾT BỊ'!$B$1:$S$836,2,0),"")</f>
        <v>0</v>
      </c>
      <c r="D574" s="24" t="str">
        <f>IFERROR(VLOOKUP(B574,'03. THIẾT BỊ'!$B$1:$S$836,3,0),"")</f>
        <v>A24-MKC-008</v>
      </c>
      <c r="E574" s="20" t="str">
        <f>IFERROR(VLOOKUP(B574,'03. THIẾT BỊ'!$B$1:$S$836,4,0),"")</f>
        <v>ĐQSD</v>
      </c>
      <c r="F574" s="20" t="str">
        <f>IFERROR(VLOOKUP(B574,'03. THIẾT BỊ'!$B$1:$S$836,5,0),"")</f>
        <v>Máy kéo chuối (Xăng)</v>
      </c>
      <c r="G574" s="101" t="s">
        <v>6468</v>
      </c>
      <c r="H574" s="19" t="str">
        <f>IFERROR(VLOOKUP(B574,'03. THIẾT BỊ'!$B$1:$S$836,7,0),"")</f>
        <v>XN Chuối LP3</v>
      </c>
      <c r="I574" s="610" t="str">
        <f>IFERROR(VLOOKUP(B574,'03. THIẾT BỊ'!$B$1:$S$836,8,0),"")</f>
        <v>15/06/2025</v>
      </c>
      <c r="J574" s="25"/>
      <c r="K574" s="19" t="str">
        <f>IFERROR(VLOOKUP(B574,'03. THIẾT BỊ'!$B$1:$S$836,10,0),"")</f>
        <v>Bình thường</v>
      </c>
      <c r="L574" s="25">
        <f>IFERROR(VLOOKUP(B574,'03. THIẾT BỊ'!$B$1:$S$836,11,0),"")</f>
        <v>0</v>
      </c>
      <c r="M574" s="24" t="str">
        <f>IFERROR(VLOOKUP(B574,'03. THIẾT BỊ'!$B$1:$S$836,12,0),"")</f>
        <v>Gia công mới</v>
      </c>
      <c r="N574" s="25" t="str">
        <f>IFERROR(VLOOKUP(B574,'03. THIẾT BỊ'!$B$1:$S$836,13,0),"")</f>
        <v>DREAM</v>
      </c>
      <c r="O574" s="24" t="str">
        <f>IFERROR(VLOOKUP(B574,'03. THIẾT BỊ'!$B$1:$S$836,14,0),"")</f>
        <v>CGH-MKC-DREAM</v>
      </c>
      <c r="P574" s="25" t="str">
        <f>IFERROR(VLOOKUP(B574,'03. THIẾT BỊ'!$B$1:$S$836,15,0),"")</f>
        <v>CK-CGH</v>
      </c>
      <c r="Q574" s="23">
        <f>IFERROR(VLOOKUP(B574,'03. THIẾT BỊ'!$B$1:$S$836,16,0),"")</f>
        <v>2025</v>
      </c>
      <c r="R574" s="25" t="str">
        <f>IFERROR(VLOOKUP(B574,'03. THIẾT BỊ'!$B$1:$S$836,17,0),"")</f>
        <v>125cc</v>
      </c>
      <c r="S574" s="25">
        <f>IFERROR(VLOOKUP(B574,'03. THIẾT BỊ'!$B$1:$S$836,18,0),"")</f>
        <v>0</v>
      </c>
      <c r="T574" s="41">
        <v>0.56</v>
      </c>
    </row>
    <row r="575" ht="13.8" spans="1:20">
      <c r="A575" s="19">
        <f t="shared" si="28"/>
        <v>40</v>
      </c>
      <c r="B575" s="20" t="s">
        <v>4976</v>
      </c>
      <c r="C575" s="613">
        <f>IFERROR(VLOOKUP(B575,'03. THIẾT BỊ'!$B$1:$S$836,2,0),"")</f>
        <v>0</v>
      </c>
      <c r="D575" s="24" t="str">
        <f>IFERROR(VLOOKUP(B575,'03. THIẾT BỊ'!$B$1:$S$836,3,0),"")</f>
        <v>A24-MKC-011</v>
      </c>
      <c r="E575" s="20" t="str">
        <f>IFERROR(VLOOKUP(B575,'03. THIẾT BỊ'!$B$1:$S$836,4,0),"")</f>
        <v>ĐQSD</v>
      </c>
      <c r="F575" s="20" t="str">
        <f>IFERROR(VLOOKUP(B575,'03. THIẾT BỊ'!$B$1:$S$836,5,0),"")</f>
        <v>Máy kéo chuối (Xăng)</v>
      </c>
      <c r="G575" s="101" t="s">
        <v>6468</v>
      </c>
      <c r="H575" s="19" t="str">
        <f>IFERROR(VLOOKUP(B575,'03. THIẾT BỊ'!$B$1:$S$836,7,0),"")</f>
        <v>XN Chuối LP3</v>
      </c>
      <c r="I575" s="610" t="str">
        <f>IFERROR(VLOOKUP(B575,'03. THIẾT BỊ'!$B$1:$S$836,8,0),"")</f>
        <v>25/08/2025</v>
      </c>
      <c r="J575" s="25"/>
      <c r="K575" s="19" t="str">
        <f>IFERROR(VLOOKUP(B575,'03. THIẾT BỊ'!$B$1:$S$836,10,0),"")</f>
        <v>Bình thường</v>
      </c>
      <c r="L575" s="25">
        <f>IFERROR(VLOOKUP(B575,'03. THIẾT BỊ'!$B$1:$S$836,11,0),"")</f>
        <v>0</v>
      </c>
      <c r="M575" s="24" t="str">
        <f>IFERROR(VLOOKUP(B575,'03. THIẾT BỊ'!$B$1:$S$836,12,0),"")</f>
        <v>Gia công mới</v>
      </c>
      <c r="N575" s="25" t="str">
        <f>IFERROR(VLOOKUP(B575,'03. THIẾT BỊ'!$B$1:$S$836,13,0),"")</f>
        <v>DREAM</v>
      </c>
      <c r="O575" s="24" t="str">
        <f>IFERROR(VLOOKUP(B575,'03. THIẾT BỊ'!$B$1:$S$836,14,0),"")</f>
        <v>XKC-14</v>
      </c>
      <c r="P575" s="25" t="str">
        <f>IFERROR(VLOOKUP(B575,'03. THIẾT BỊ'!$B$1:$S$836,15,0),"")</f>
        <v>CK-CGH</v>
      </c>
      <c r="Q575" s="23">
        <f>IFERROR(VLOOKUP(B575,'03. THIẾT BỊ'!$B$1:$S$836,16,0),"")</f>
        <v>2025</v>
      </c>
      <c r="R575" s="25" t="str">
        <f>IFERROR(VLOOKUP(B575,'03. THIẾT BỊ'!$B$1:$S$836,17,0),"")</f>
        <v>125cc</v>
      </c>
      <c r="S575" s="25">
        <f>IFERROR(VLOOKUP(B575,'03. THIẾT BỊ'!$B$1:$S$836,18,0),"")</f>
        <v>14</v>
      </c>
      <c r="T575" s="41">
        <v>0.56</v>
      </c>
    </row>
    <row r="576" ht="13.8" spans="1:20">
      <c r="A576" s="19">
        <f t="shared" si="28"/>
        <v>41</v>
      </c>
      <c r="B576" s="20" t="s">
        <v>4979</v>
      </c>
      <c r="C576" s="613">
        <f>IFERROR(VLOOKUP(B576,'03. THIẾT BỊ'!$B$1:$S$836,2,0),"")</f>
        <v>0</v>
      </c>
      <c r="D576" s="24" t="str">
        <f>IFERROR(VLOOKUP(B576,'03. THIẾT BỊ'!$B$1:$S$836,3,0),"")</f>
        <v>A24-MKC-015</v>
      </c>
      <c r="E576" s="20" t="str">
        <f>IFERROR(VLOOKUP(B576,'03. THIẾT BỊ'!$B$1:$S$836,4,0),"")</f>
        <v>ĐQSD</v>
      </c>
      <c r="F576" s="20" t="str">
        <f>IFERROR(VLOOKUP(B576,'03. THIẾT BỊ'!$B$1:$S$836,5,0),"")</f>
        <v>Máy kéo chuối (Xăng)</v>
      </c>
      <c r="G576" s="101" t="s">
        <v>6468</v>
      </c>
      <c r="H576" s="19" t="str">
        <f>IFERROR(VLOOKUP(B576,'03. THIẾT BỊ'!$B$1:$S$836,7,0),"")</f>
        <v>XN Chuối LP3</v>
      </c>
      <c r="I576" s="610" t="str">
        <f>IFERROR(VLOOKUP(B576,'03. THIẾT BỊ'!$B$1:$S$836,8,0),"")</f>
        <v>15/09/2025</v>
      </c>
      <c r="J576" s="25"/>
      <c r="K576" s="19" t="str">
        <f>IFERROR(VLOOKUP(B576,'03. THIẾT BỊ'!$B$1:$S$836,10,0),"")</f>
        <v>Bình thường</v>
      </c>
      <c r="L576" s="25">
        <f>IFERROR(VLOOKUP(B576,'03. THIẾT BỊ'!$B$1:$S$836,11,0),"")</f>
        <v>0</v>
      </c>
      <c r="M576" s="24" t="str">
        <f>IFERROR(VLOOKUP(B576,'03. THIẾT BỊ'!$B$1:$S$836,12,0),"")</f>
        <v>Gia công mới</v>
      </c>
      <c r="N576" s="25" t="str">
        <f>IFERROR(VLOOKUP(B576,'03. THIẾT BỊ'!$B$1:$S$836,13,0),"")</f>
        <v>DREAM</v>
      </c>
      <c r="O576" s="24" t="str">
        <f>IFERROR(VLOOKUP(B576,'03. THIẾT BỊ'!$B$1:$S$836,14,0),"")</f>
        <v>XKC-22</v>
      </c>
      <c r="P576" s="25" t="str">
        <f>IFERROR(VLOOKUP(B576,'03. THIẾT BỊ'!$B$1:$S$836,15,0),"")</f>
        <v>CK-CGH</v>
      </c>
      <c r="Q576" s="23">
        <f>IFERROR(VLOOKUP(B576,'03. THIẾT BỊ'!$B$1:$S$836,16,0),"")</f>
        <v>2025</v>
      </c>
      <c r="R576" s="25" t="str">
        <f>IFERROR(VLOOKUP(B576,'03. THIẾT BỊ'!$B$1:$S$836,17,0),"")</f>
        <v>125cc</v>
      </c>
      <c r="S576" s="25">
        <f>IFERROR(VLOOKUP(B576,'03. THIẾT BỊ'!$B$1:$S$836,18,0),"")</f>
        <v>0</v>
      </c>
      <c r="T576" s="41">
        <v>0.56</v>
      </c>
    </row>
    <row r="577" ht="13.8" spans="1:20">
      <c r="A577" s="19">
        <f t="shared" si="28"/>
        <v>42</v>
      </c>
      <c r="B577" s="20" t="s">
        <v>4983</v>
      </c>
      <c r="C577" s="613">
        <f>IFERROR(VLOOKUP(B577,'03. THIẾT BỊ'!$B$1:$S$836,2,0),"")</f>
        <v>0</v>
      </c>
      <c r="D577" s="24" t="str">
        <f>IFERROR(VLOOKUP(B577,'03. THIẾT BỊ'!$B$1:$S$836,3,0),"")</f>
        <v>A24-MKC-017</v>
      </c>
      <c r="E577" s="20" t="str">
        <f>IFERROR(VLOOKUP(B577,'03. THIẾT BỊ'!$B$1:$S$836,4,0),"")</f>
        <v>ĐQSD</v>
      </c>
      <c r="F577" s="20" t="str">
        <f>IFERROR(VLOOKUP(B577,'03. THIẾT BỊ'!$B$1:$S$836,5,0),"")</f>
        <v>Máy kéo chuối (Xăng)</v>
      </c>
      <c r="G577" s="101" t="s">
        <v>6468</v>
      </c>
      <c r="H577" s="19" t="str">
        <f>IFERROR(VLOOKUP(B577,'03. THIẾT BỊ'!$B$1:$S$836,7,0),"")</f>
        <v>XN Chuối LP3</v>
      </c>
      <c r="I577" s="610">
        <f>IFERROR(VLOOKUP(B577,'03. THIẾT BỊ'!$B$1:$S$836,8,0),"")</f>
        <v>45848</v>
      </c>
      <c r="J577" s="25"/>
      <c r="K577" s="19" t="str">
        <f>IFERROR(VLOOKUP(B577,'03. THIẾT BỊ'!$B$1:$S$836,10,0),"")</f>
        <v>Bình thường</v>
      </c>
      <c r="L577" s="25">
        <f>IFERROR(VLOOKUP(B577,'03. THIẾT BỊ'!$B$1:$S$836,11,0),"")</f>
        <v>0</v>
      </c>
      <c r="M577" s="24" t="str">
        <f>IFERROR(VLOOKUP(B577,'03. THIẾT BỊ'!$B$1:$S$836,12,0),"")</f>
        <v>Gia công mới</v>
      </c>
      <c r="N577" s="25" t="str">
        <f>IFERROR(VLOOKUP(B577,'03. THIẾT BỊ'!$B$1:$S$836,13,0),"")</f>
        <v>DREAM</v>
      </c>
      <c r="O577" s="24" t="str">
        <f>IFERROR(VLOOKUP(B577,'03. THIẾT BỊ'!$B$1:$S$836,14,0),"")</f>
        <v>XKC-29</v>
      </c>
      <c r="P577" s="25" t="str">
        <f>IFERROR(VLOOKUP(B577,'03. THIẾT BỊ'!$B$1:$S$836,15,0),"")</f>
        <v>CK-CGH</v>
      </c>
      <c r="Q577" s="23">
        <f>IFERROR(VLOOKUP(B577,'03. THIẾT BỊ'!$B$1:$S$836,16,0),"")</f>
        <v>2025</v>
      </c>
      <c r="R577" s="25" t="str">
        <f>IFERROR(VLOOKUP(B577,'03. THIẾT BỊ'!$B$1:$S$836,17,0),"")</f>
        <v>125cc</v>
      </c>
      <c r="S577" s="25">
        <f>IFERROR(VLOOKUP(B577,'03. THIẾT BỊ'!$B$1:$S$836,18,0),"")</f>
        <v>0</v>
      </c>
      <c r="T577" s="41">
        <v>0.56</v>
      </c>
    </row>
    <row r="578" ht="13.8" spans="1:20">
      <c r="A578" s="19">
        <f t="shared" si="28"/>
        <v>43</v>
      </c>
      <c r="B578" s="20" t="s">
        <v>4986</v>
      </c>
      <c r="C578" s="613">
        <f>IFERROR(VLOOKUP(B578,'03. THIẾT BỊ'!$B$1:$S$836,2,0),"")</f>
        <v>0</v>
      </c>
      <c r="D578" s="24" t="str">
        <f>IFERROR(VLOOKUP(B578,'03. THIẾT BỊ'!$B$1:$S$836,3,0),"")</f>
        <v>A24-MKC-018</v>
      </c>
      <c r="E578" s="20" t="str">
        <f>IFERROR(VLOOKUP(B578,'03. THIẾT BỊ'!$B$1:$S$836,4,0),"")</f>
        <v>ĐQSD</v>
      </c>
      <c r="F578" s="20" t="str">
        <f>IFERROR(VLOOKUP(B578,'03. THIẾT BỊ'!$B$1:$S$836,5,0),"")</f>
        <v>Máy kéo chuối (Điện)</v>
      </c>
      <c r="G578" s="101" t="s">
        <v>6468</v>
      </c>
      <c r="H578" s="19" t="str">
        <f>IFERROR(VLOOKUP(B578,'03. THIẾT BỊ'!$B$1:$S$836,7,0),"")</f>
        <v>XN Chuối LP3</v>
      </c>
      <c r="I578" s="610" t="str">
        <f>IFERROR(VLOOKUP(B578,'03. THIẾT BỊ'!$B$1:$S$836,8,0),"")</f>
        <v>29/10/2025</v>
      </c>
      <c r="J578" s="25"/>
      <c r="K578" s="19" t="str">
        <f>IFERROR(VLOOKUP(B578,'03. THIẾT BỊ'!$B$1:$S$836,10,0),"")</f>
        <v>Bình thường</v>
      </c>
      <c r="L578" s="25">
        <f>IFERROR(VLOOKUP(B578,'03. THIẾT BỊ'!$B$1:$S$836,11,0),"")</f>
        <v>0</v>
      </c>
      <c r="M578" s="24" t="str">
        <f>IFERROR(VLOOKUP(B578,'03. THIẾT BỊ'!$B$1:$S$836,12,0),"")</f>
        <v>Gia công mới</v>
      </c>
      <c r="N578" s="25" t="str">
        <f>IFERROR(VLOOKUP(B578,'03. THIẾT BỊ'!$B$1:$S$836,13,0),"")</f>
        <v>ĐC ĐIỆN</v>
      </c>
      <c r="O578" s="24">
        <f>IFERROR(VLOOKUP(B578,'03. THIẾT BỊ'!$B$1:$S$836,14,0),"")</f>
        <v>0</v>
      </c>
      <c r="P578" s="25">
        <f>IFERROR(VLOOKUP(B578,'03. THIẾT BỊ'!$B$1:$S$836,15,0),"")</f>
        <v>0</v>
      </c>
      <c r="Q578" s="23">
        <f>IFERROR(VLOOKUP(B578,'03. THIẾT BỊ'!$B$1:$S$836,16,0),"")</f>
        <v>2025</v>
      </c>
      <c r="R578" s="25" t="str">
        <f>IFERROR(VLOOKUP(B578,'03. THIẾT BỊ'!$B$1:$S$836,17,0),"")</f>
        <v>1500W</v>
      </c>
      <c r="S578" s="25" t="str">
        <f>IFERROR(VLOOKUP(B578,'03. THIẾT BỊ'!$B$1:$S$836,18,0),"")</f>
        <v>60A-4CÁI</v>
      </c>
      <c r="T578" s="41">
        <v>0.56</v>
      </c>
    </row>
    <row r="579" ht="13.8" spans="1:20">
      <c r="A579" s="19">
        <f t="shared" si="28"/>
        <v>44</v>
      </c>
      <c r="B579" s="20" t="s">
        <v>4990</v>
      </c>
      <c r="C579" s="613">
        <f>IFERROR(VLOOKUP(B579,'03. THIẾT BỊ'!$B$1:$S$836,2,0),"")</f>
        <v>0</v>
      </c>
      <c r="D579" s="24" t="str">
        <f>IFERROR(VLOOKUP(B579,'03. THIẾT BỊ'!$B$1:$S$836,3,0),"")</f>
        <v>A24-MKC-022</v>
      </c>
      <c r="E579" s="20" t="str">
        <f>IFERROR(VLOOKUP(B579,'03. THIẾT BỊ'!$B$1:$S$836,4,0),"")</f>
        <v>ĐQSD</v>
      </c>
      <c r="F579" s="20" t="str">
        <f>IFERROR(VLOOKUP(B579,'03. THIẾT BỊ'!$B$1:$S$836,5,0),"")</f>
        <v>Máy kéo chuối (Xăng)</v>
      </c>
      <c r="G579" s="101" t="s">
        <v>6468</v>
      </c>
      <c r="H579" s="19" t="str">
        <f>IFERROR(VLOOKUP(B579,'03. THIẾT BỊ'!$B$1:$S$836,7,0),"")</f>
        <v>XN Chuối LP3</v>
      </c>
      <c r="I579" s="610">
        <f>IFERROR(VLOOKUP(B579,'03. THIẾT BỊ'!$B$1:$S$836,8,0),"")</f>
        <v>45880</v>
      </c>
      <c r="J579" s="25"/>
      <c r="K579" s="19" t="str">
        <f>IFERROR(VLOOKUP(B579,'03. THIẾT BỊ'!$B$1:$S$836,10,0),"")</f>
        <v>Bình thường</v>
      </c>
      <c r="L579" s="25">
        <f>IFERROR(VLOOKUP(B579,'03. THIẾT BỊ'!$B$1:$S$836,11,0),"")</f>
        <v>0</v>
      </c>
      <c r="M579" s="24" t="str">
        <f>IFERROR(VLOOKUP(B579,'03. THIẾT BỊ'!$B$1:$S$836,12,0),"")</f>
        <v>Gia công mới</v>
      </c>
      <c r="N579" s="25" t="str">
        <f>IFERROR(VLOOKUP(B579,'03. THIẾT BỊ'!$B$1:$S$836,13,0),"")</f>
        <v>DREAM</v>
      </c>
      <c r="O579" s="24" t="str">
        <f>IFERROR(VLOOKUP(B579,'03. THIẾT BỊ'!$B$1:$S$836,14,0),"")</f>
        <v>XKC-41</v>
      </c>
      <c r="P579" s="25" t="str">
        <f>IFERROR(VLOOKUP(B579,'03. THIẾT BỊ'!$B$1:$S$836,15,0),"")</f>
        <v>CK-CGH</v>
      </c>
      <c r="Q579" s="23">
        <f>IFERROR(VLOOKUP(B579,'03. THIẾT BỊ'!$B$1:$S$836,16,0),"")</f>
        <v>2025</v>
      </c>
      <c r="R579" s="25" t="str">
        <f>IFERROR(VLOOKUP(B579,'03. THIẾT BỊ'!$B$1:$S$836,17,0),"")</f>
        <v>125cc</v>
      </c>
      <c r="S579" s="25">
        <f>IFERROR(VLOOKUP(B579,'03. THIẾT BỊ'!$B$1:$S$836,18,0),"")</f>
        <v>0</v>
      </c>
      <c r="T579" s="41">
        <v>0.56</v>
      </c>
    </row>
    <row r="580" ht="13.8" spans="1:20">
      <c r="C580" s="613" t="str">
        <f>IFERROR(VLOOKUP(B580,'03. THIẾT BỊ'!$B$1:$S$836,2,0),"")</f>
        <v/>
      </c>
      <c r="D580" s="24" t="str">
        <f>IFERROR(VLOOKUP(B580,'03. THIẾT BỊ'!$B$1:$S$836,3,0),"")</f>
        <v/>
      </c>
      <c r="E580" s="20" t="str">
        <f>IFERROR(VLOOKUP(B580,'03. THIẾT BỊ'!$B$1:$S$836,4,0),"")</f>
        <v/>
      </c>
      <c r="F580" s="20" t="str">
        <f>IFERROR(VLOOKUP(B580,'03. THIẾT BỊ'!$B$1:$S$836,5,0),"")</f>
        <v/>
      </c>
      <c r="G580" s="101" t="s">
        <v>6468</v>
      </c>
      <c r="H580" s="19" t="str">
        <f>IFERROR(VLOOKUP(B580,'03. THIẾT BỊ'!$B$1:$S$836,7,0),"")</f>
        <v/>
      </c>
      <c r="I580" s="610" t="str">
        <f>IFERROR(VLOOKUP(B580,'03. THIẾT BỊ'!$B$1:$S$836,8,0),"")</f>
        <v/>
      </c>
      <c r="J580" s="25"/>
      <c r="K580" s="19" t="str">
        <f>IFERROR(VLOOKUP(B580,'03. THIẾT BỊ'!$B$1:$S$836,10,0),"")</f>
        <v/>
      </c>
      <c r="L580" s="25" t="str">
        <f>IFERROR(VLOOKUP(B580,'03. THIẾT BỊ'!$B$1:$S$836,11,0),"")</f>
        <v/>
      </c>
      <c r="M580" s="24" t="str">
        <f>IFERROR(VLOOKUP(B580,'03. THIẾT BỊ'!$B$1:$S$836,12,0),"")</f>
        <v/>
      </c>
      <c r="N580" s="25" t="str">
        <f>IFERROR(VLOOKUP(B580,'03. THIẾT BỊ'!$B$1:$S$836,13,0),"")</f>
        <v/>
      </c>
      <c r="O580" s="24" t="str">
        <f>IFERROR(VLOOKUP(B580,'03. THIẾT BỊ'!$B$1:$S$836,14,0),"")</f>
        <v/>
      </c>
      <c r="P580" s="25" t="str">
        <f>IFERROR(VLOOKUP(B580,'03. THIẾT BỊ'!$B$1:$S$836,15,0),"")</f>
        <v/>
      </c>
      <c r="Q580" s="23" t="str">
        <f>IFERROR(VLOOKUP(B580,'03. THIẾT BỊ'!$B$1:$S$836,16,0),"")</f>
        <v/>
      </c>
      <c r="R580" s="25" t="str">
        <f>IFERROR(VLOOKUP(B580,'03. THIẾT BỊ'!$B$1:$S$836,17,0),"")</f>
        <v/>
      </c>
      <c r="S580" s="25" t="str">
        <f>IFERROR(VLOOKUP(B580,'03. THIẾT BỊ'!$B$1:$S$836,18,0),"")</f>
        <v/>
      </c>
    </row>
    <row r="581" ht="13.8" spans="1:20">
      <c r="C581" s="613" t="str">
        <f>IFERROR(VLOOKUP(B581,'03. THIẾT BỊ'!$B$1:$S$836,2,0),"")</f>
        <v/>
      </c>
      <c r="D581" s="24" t="str">
        <f>IFERROR(VLOOKUP(B581,'03. THIẾT BỊ'!$B$1:$S$836,3,0),"")</f>
        <v/>
      </c>
      <c r="E581" s="20" t="str">
        <f>IFERROR(VLOOKUP(B581,'03. THIẾT BỊ'!$B$1:$S$836,4,0),"")</f>
        <v/>
      </c>
      <c r="F581" s="20" t="str">
        <f>IFERROR(VLOOKUP(B581,'03. THIẾT BỊ'!$B$1:$S$836,5,0),"")</f>
        <v/>
      </c>
      <c r="G581" s="101" t="s">
        <v>6468</v>
      </c>
      <c r="H581" s="19" t="str">
        <f>IFERROR(VLOOKUP(B581,'03. THIẾT BỊ'!$B$1:$S$836,7,0),"")</f>
        <v/>
      </c>
      <c r="I581" s="610" t="str">
        <f>IFERROR(VLOOKUP(B581,'03. THIẾT BỊ'!$B$1:$S$836,8,0),"")</f>
        <v/>
      </c>
      <c r="J581" s="25"/>
      <c r="K581" s="19" t="str">
        <f>IFERROR(VLOOKUP(B581,'03. THIẾT BỊ'!$B$1:$S$836,10,0),"")</f>
        <v/>
      </c>
      <c r="L581" s="25" t="str">
        <f>IFERROR(VLOOKUP(B581,'03. THIẾT BỊ'!$B$1:$S$836,11,0),"")</f>
        <v/>
      </c>
      <c r="M581" s="24" t="str">
        <f>IFERROR(VLOOKUP(B581,'03. THIẾT BỊ'!$B$1:$S$836,12,0),"")</f>
        <v/>
      </c>
      <c r="N581" s="25" t="str">
        <f>IFERROR(VLOOKUP(B581,'03. THIẾT BỊ'!$B$1:$S$836,13,0),"")</f>
        <v/>
      </c>
      <c r="O581" s="24" t="str">
        <f>IFERROR(VLOOKUP(B581,'03. THIẾT BỊ'!$B$1:$S$836,14,0),"")</f>
        <v/>
      </c>
      <c r="P581" s="25" t="str">
        <f>IFERROR(VLOOKUP(B581,'03. THIẾT BỊ'!$B$1:$S$836,15,0),"")</f>
        <v/>
      </c>
      <c r="Q581" s="23" t="str">
        <f>IFERROR(VLOOKUP(B581,'03. THIẾT BỊ'!$B$1:$S$836,16,0),"")</f>
        <v/>
      </c>
      <c r="R581" s="25" t="str">
        <f>IFERROR(VLOOKUP(B581,'03. THIẾT BỊ'!$B$1:$S$836,17,0),"")</f>
        <v/>
      </c>
      <c r="S581" s="25" t="str">
        <f>IFERROR(VLOOKUP(B581,'03. THIẾT BỊ'!$B$1:$S$836,18,0),"")</f>
        <v/>
      </c>
    </row>
    <row r="582" ht="13.8" spans="1:20">
      <c r="C582" s="613" t="str">
        <f>IFERROR(VLOOKUP(B582,'03. THIẾT BỊ'!$B$1:$S$836,2,0),"")</f>
        <v/>
      </c>
      <c r="D582" s="24" t="str">
        <f>IFERROR(VLOOKUP(B582,'03. THIẾT BỊ'!$B$1:$S$836,3,0),"")</f>
        <v/>
      </c>
      <c r="E582" s="20" t="str">
        <f>IFERROR(VLOOKUP(B582,'03. THIẾT BỊ'!$B$1:$S$836,4,0),"")</f>
        <v/>
      </c>
      <c r="F582" s="20" t="str">
        <f>IFERROR(VLOOKUP(B582,'03. THIẾT BỊ'!$B$1:$S$836,5,0),"")</f>
        <v/>
      </c>
      <c r="G582" s="101" t="s">
        <v>6468</v>
      </c>
      <c r="H582" s="19" t="str">
        <f>IFERROR(VLOOKUP(B582,'03. THIẾT BỊ'!$B$1:$S$836,7,0),"")</f>
        <v/>
      </c>
      <c r="I582" s="610" t="str">
        <f>IFERROR(VLOOKUP(B582,'03. THIẾT BỊ'!$B$1:$S$836,8,0),"")</f>
        <v/>
      </c>
      <c r="J582" s="25"/>
      <c r="K582" s="19" t="str">
        <f>IFERROR(VLOOKUP(B582,'03. THIẾT BỊ'!$B$1:$S$836,10,0),"")</f>
        <v/>
      </c>
      <c r="L582" s="25" t="str">
        <f>IFERROR(VLOOKUP(B582,'03. THIẾT BỊ'!$B$1:$S$836,11,0),"")</f>
        <v/>
      </c>
      <c r="M582" s="24" t="str">
        <f>IFERROR(VLOOKUP(B582,'03. THIẾT BỊ'!$B$1:$S$836,12,0),"")</f>
        <v/>
      </c>
      <c r="N582" s="25" t="str">
        <f>IFERROR(VLOOKUP(B582,'03. THIẾT BỊ'!$B$1:$S$836,13,0),"")</f>
        <v/>
      </c>
      <c r="O582" s="24" t="str">
        <f>IFERROR(VLOOKUP(B582,'03. THIẾT BỊ'!$B$1:$S$836,14,0),"")</f>
        <v/>
      </c>
      <c r="P582" s="25" t="str">
        <f>IFERROR(VLOOKUP(B582,'03. THIẾT BỊ'!$B$1:$S$836,15,0),"")</f>
        <v/>
      </c>
      <c r="Q582" s="23" t="str">
        <f>IFERROR(VLOOKUP(B582,'03. THIẾT BỊ'!$B$1:$S$836,16,0),"")</f>
        <v/>
      </c>
      <c r="R582" s="25" t="str">
        <f>IFERROR(VLOOKUP(B582,'03. THIẾT BỊ'!$B$1:$S$836,17,0),"")</f>
        <v/>
      </c>
      <c r="S582" s="25" t="str">
        <f>IFERROR(VLOOKUP(B582,'03. THIẾT BỊ'!$B$1:$S$836,18,0),"")</f>
        <v/>
      </c>
    </row>
    <row r="583" customHeight="1" spans="1:20">
      <c r="A583" s="14" t="s">
        <v>290</v>
      </c>
      <c r="B583" s="15" t="s">
        <v>6504</v>
      </c>
      <c r="C583" s="14">
        <f>COUNTA(B584:B641)</f>
        <v>57</v>
      </c>
      <c r="D583" s="17" t="str">
        <f>IFERROR(VLOOKUP(B583,'03. THIẾT BỊ'!$B$1:$S$836,3,0),"")</f>
        <v/>
      </c>
      <c r="E583" s="20" t="str">
        <f>IFERROR(VLOOKUP(B583,'03. THIẾT BỊ'!$B$1:$S$836,4,0),"")</f>
        <v/>
      </c>
      <c r="F583" s="17" t="str">
        <f>IFERROR(VLOOKUP(B583,'03. THIẾT BỊ'!$B$1:$S$836,5,0),"")</f>
        <v/>
      </c>
      <c r="G583" s="18" t="s">
        <v>6468</v>
      </c>
      <c r="H583" s="18" t="str">
        <f>IFERROR(VLOOKUP(B583,'03. THIẾT BỊ'!$B$1:$S$836,7,0),"")</f>
        <v/>
      </c>
      <c r="I583" s="14" t="str">
        <f>IFERROR(VLOOKUP(B583,'03. THIẾT BỊ'!$B$1:$S$836,8,0),"")</f>
        <v/>
      </c>
      <c r="J583" s="15"/>
      <c r="K583" s="14" t="str">
        <f>IFERROR(VLOOKUP(B583,'03. THIẾT BỊ'!$B$1:$S$836,10,0),"")</f>
        <v/>
      </c>
      <c r="L583" s="17" t="str">
        <f>IFERROR(VLOOKUP(B583,'03. THIẾT BỊ'!$B$1:$S$836,11,0),"")</f>
        <v/>
      </c>
      <c r="M583" s="16" t="str">
        <f>IFERROR(VLOOKUP(B583,'03. THIẾT BỊ'!$B$1:$S$836,12,0),"")</f>
        <v/>
      </c>
      <c r="N583" s="17" t="str">
        <f>IFERROR(VLOOKUP(B583,'03. THIẾT BỊ'!$B$1:$S$836,13,0),"")</f>
        <v/>
      </c>
      <c r="O583" s="16" t="str">
        <f>IFERROR(VLOOKUP(B583,'03. THIẾT BỊ'!$B$1:$S$836,14,0),"")</f>
        <v/>
      </c>
      <c r="P583" s="17" t="str">
        <f>IFERROR(VLOOKUP(B583,'03. THIẾT BỊ'!$B$1:$S$836,15,0),"")</f>
        <v/>
      </c>
      <c r="Q583" s="18" t="str">
        <f>IFERROR(VLOOKUP(B583,'03. THIẾT BỊ'!$B$1:$S$836,16,0),"")</f>
        <v/>
      </c>
      <c r="R583" s="17" t="str">
        <f>IFERROR(VLOOKUP(B583,'03. THIẾT BỊ'!$B$1:$S$836,17,0),"")</f>
        <v/>
      </c>
      <c r="S583" s="17" t="str">
        <f>IFERROR(VLOOKUP(B583,'03. THIẾT BỊ'!$B$1:$S$836,18,0),"")</f>
        <v/>
      </c>
      <c r="T583" s="609"/>
    </row>
    <row r="584" customHeight="1" spans="1:20">
      <c r="A584" s="19">
        <v>1</v>
      </c>
      <c r="B584" s="20" t="s">
        <v>4228</v>
      </c>
      <c r="C584" s="613">
        <f>IFERROR(VLOOKUP(B584,'03. THIẾT BỊ'!$B$1:$S$836,2,0),"")</f>
        <v>0</v>
      </c>
      <c r="D584" s="24" t="str">
        <f>IFERROR(VLOOKUP(B584,'03. THIẾT BỊ'!$B$1:$S$836,3,0),"")</f>
        <v>A23-MCA-001</v>
      </c>
      <c r="E584" s="20" t="str">
        <f>IFERROR(VLOOKUP(B584,'03. THIẾT BỊ'!$B$1:$S$836,4,0),"")</f>
        <v>ĐQSD</v>
      </c>
      <c r="F584" s="20" t="str">
        <f>IFERROR(VLOOKUP(B584,'03. THIẾT BỊ'!$B$1:$S$836,5,0),"")</f>
        <v>Máy cao áp phun thuốc</v>
      </c>
      <c r="G584" s="101" t="s">
        <v>6468</v>
      </c>
      <c r="H584" s="19" t="str">
        <f>IFERROR(VLOOKUP(B584,'03. THIẾT BỊ'!$B$1:$S$836,7,0),"")</f>
        <v>XN Chuối DP1</v>
      </c>
      <c r="I584" s="610">
        <f>IFERROR(VLOOKUP(B584,'03. THIẾT BỊ'!$B$1:$S$836,8,0),"")</f>
        <v>0</v>
      </c>
      <c r="J584" s="25"/>
      <c r="K584" s="19" t="str">
        <f>IFERROR(VLOOKUP(B584,'03. THIẾT BỊ'!$B$1:$S$836,10,0),"")</f>
        <v>Bình thường</v>
      </c>
      <c r="L584" s="25">
        <f>IFERROR(VLOOKUP(B584,'03. THIẾT BỊ'!$B$1:$S$836,11,0),"")</f>
        <v>0</v>
      </c>
      <c r="M584" s="24">
        <f>IFERROR(VLOOKUP(B584,'03. THIẾT BỊ'!$B$1:$S$836,12,0),"")</f>
        <v>0</v>
      </c>
      <c r="N584" s="25" t="str">
        <f>IFERROR(VLOOKUP(B584,'03. THIẾT BỊ'!$B$1:$S$836,13,0),"")</f>
        <v>CAMBODIA</v>
      </c>
      <c r="O584" s="24">
        <f>IFERROR(VLOOKUP(B584,'03. THIẾT BỊ'!$B$1:$S$836,14,0),"")</f>
        <v>0</v>
      </c>
      <c r="P584" s="25" t="str">
        <f>IFERROR(VLOOKUP(B584,'03. THIẾT BỊ'!$B$1:$S$836,15,0),"")</f>
        <v>CAMBODIA</v>
      </c>
      <c r="Q584" s="23">
        <f>IFERROR(VLOOKUP(B584,'03. THIẾT BỊ'!$B$1:$S$836,16,0),"")</f>
        <v>0</v>
      </c>
      <c r="R584" s="25">
        <f>IFERROR(VLOOKUP(B584,'03. THIẾT BỊ'!$B$1:$S$836,17,0),"")</f>
        <v>0</v>
      </c>
      <c r="S584" s="25">
        <f>IFERROR(VLOOKUP(B584,'03. THIẾT BỊ'!$B$1:$S$836,18,0),"")</f>
        <v>0</v>
      </c>
      <c r="T584" s="41"/>
    </row>
    <row r="585" customHeight="1" spans="1:20">
      <c r="A585" s="19">
        <f t="shared" ref="A585:A640" si="29">A584+1</f>
        <v>2</v>
      </c>
      <c r="B585" s="20" t="s">
        <v>4230</v>
      </c>
      <c r="C585" s="613">
        <f>IFERROR(VLOOKUP(B585,'03. THIẾT BỊ'!$B$1:$S$836,2,0),"")</f>
        <v>0</v>
      </c>
      <c r="D585" s="24" t="str">
        <f>IFERROR(VLOOKUP(B585,'03. THIẾT BỊ'!$B$1:$S$836,3,0),"")</f>
        <v>A23-MCA-002</v>
      </c>
      <c r="E585" s="20" t="str">
        <f>IFERROR(VLOOKUP(B585,'03. THIẾT BỊ'!$B$1:$S$836,4,0),"")</f>
        <v>ĐQSD</v>
      </c>
      <c r="F585" s="20" t="str">
        <f>IFERROR(VLOOKUP(B585,'03. THIẾT BỊ'!$B$1:$S$836,5,0),"")</f>
        <v>Máy cao áp phun thuốc</v>
      </c>
      <c r="G585" s="101" t="s">
        <v>6468</v>
      </c>
      <c r="H585" s="19" t="str">
        <f>IFERROR(VLOOKUP(B585,'03. THIẾT BỊ'!$B$1:$S$836,7,0),"")</f>
        <v>XN Chuối DP1</v>
      </c>
      <c r="I585" s="610">
        <f>IFERROR(VLOOKUP(B585,'03. THIẾT BỊ'!$B$1:$S$836,8,0),"")</f>
        <v>0</v>
      </c>
      <c r="J585" s="25"/>
      <c r="K585" s="19" t="str">
        <f>IFERROR(VLOOKUP(B585,'03. THIẾT BỊ'!$B$1:$S$836,10,0),"")</f>
        <v>Bình thường</v>
      </c>
      <c r="L585" s="25">
        <f>IFERROR(VLOOKUP(B585,'03. THIẾT BỊ'!$B$1:$S$836,11,0),"")</f>
        <v>0</v>
      </c>
      <c r="M585" s="24">
        <f>IFERROR(VLOOKUP(B585,'03. THIẾT BỊ'!$B$1:$S$836,12,0),"")</f>
        <v>0</v>
      </c>
      <c r="N585" s="25" t="str">
        <f>IFERROR(VLOOKUP(B585,'03. THIẾT BỊ'!$B$1:$S$836,13,0),"")</f>
        <v>CAMBODIA</v>
      </c>
      <c r="O585" s="24">
        <f>IFERROR(VLOOKUP(B585,'03. THIẾT BỊ'!$B$1:$S$836,14,0),"")</f>
        <v>0</v>
      </c>
      <c r="P585" s="25" t="str">
        <f>IFERROR(VLOOKUP(B585,'03. THIẾT BỊ'!$B$1:$S$836,15,0),"")</f>
        <v>CAMBODIA</v>
      </c>
      <c r="Q585" s="23">
        <f>IFERROR(VLOOKUP(B585,'03. THIẾT BỊ'!$B$1:$S$836,16,0),"")</f>
        <v>0</v>
      </c>
      <c r="R585" s="25">
        <f>IFERROR(VLOOKUP(B585,'03. THIẾT BỊ'!$B$1:$S$836,17,0),"")</f>
        <v>0</v>
      </c>
      <c r="S585" s="25">
        <f>IFERROR(VLOOKUP(B585,'03. THIẾT BỊ'!$B$1:$S$836,18,0),"")</f>
        <v>0</v>
      </c>
      <c r="T585" s="41"/>
    </row>
    <row r="586" customHeight="1" spans="1:20">
      <c r="A586" s="19">
        <f t="shared" si="29"/>
        <v>3</v>
      </c>
      <c r="B586" s="20" t="s">
        <v>4232</v>
      </c>
      <c r="C586" s="613">
        <f>IFERROR(VLOOKUP(B586,'03. THIẾT BỊ'!$B$1:$S$836,2,0),"")</f>
        <v>0</v>
      </c>
      <c r="D586" s="24" t="str">
        <f>IFERROR(VLOOKUP(B586,'03. THIẾT BỊ'!$B$1:$S$836,3,0),"")</f>
        <v>A23-MCA-003</v>
      </c>
      <c r="E586" s="20" t="str">
        <f>IFERROR(VLOOKUP(B586,'03. THIẾT BỊ'!$B$1:$S$836,4,0),"")</f>
        <v>ĐQSD</v>
      </c>
      <c r="F586" s="20" t="str">
        <f>IFERROR(VLOOKUP(B586,'03. THIẾT BỊ'!$B$1:$S$836,5,0),"")</f>
        <v>Máy cao áp phun thuốc</v>
      </c>
      <c r="G586" s="101" t="s">
        <v>6468</v>
      </c>
      <c r="H586" s="19" t="str">
        <f>IFERROR(VLOOKUP(B586,'03. THIẾT BỊ'!$B$1:$S$836,7,0),"")</f>
        <v>XN Chuối DP1</v>
      </c>
      <c r="I586" s="610">
        <f>IFERROR(VLOOKUP(B586,'03. THIẾT BỊ'!$B$1:$S$836,8,0),"")</f>
        <v>0</v>
      </c>
      <c r="J586" s="25"/>
      <c r="K586" s="19" t="str">
        <f>IFERROR(VLOOKUP(B586,'03. THIẾT BỊ'!$B$1:$S$836,10,0),"")</f>
        <v>Bình thường</v>
      </c>
      <c r="L586" s="25">
        <f>IFERROR(VLOOKUP(B586,'03. THIẾT BỊ'!$B$1:$S$836,11,0),"")</f>
        <v>0</v>
      </c>
      <c r="M586" s="24">
        <f>IFERROR(VLOOKUP(B586,'03. THIẾT BỊ'!$B$1:$S$836,12,0),"")</f>
        <v>0</v>
      </c>
      <c r="N586" s="25" t="str">
        <f>IFERROR(VLOOKUP(B586,'03. THIẾT BỊ'!$B$1:$S$836,13,0),"")</f>
        <v>CAMBODIA</v>
      </c>
      <c r="O586" s="24">
        <f>IFERROR(VLOOKUP(B586,'03. THIẾT BỊ'!$B$1:$S$836,14,0),"")</f>
        <v>0</v>
      </c>
      <c r="P586" s="25" t="str">
        <f>IFERROR(VLOOKUP(B586,'03. THIẾT BỊ'!$B$1:$S$836,15,0),"")</f>
        <v>CAMBODIA</v>
      </c>
      <c r="Q586" s="23">
        <f>IFERROR(VLOOKUP(B586,'03. THIẾT BỊ'!$B$1:$S$836,16,0),"")</f>
        <v>0</v>
      </c>
      <c r="R586" s="25">
        <f>IFERROR(VLOOKUP(B586,'03. THIẾT BỊ'!$B$1:$S$836,17,0),"")</f>
        <v>0</v>
      </c>
      <c r="S586" s="25">
        <f>IFERROR(VLOOKUP(B586,'03. THIẾT BỊ'!$B$1:$S$836,18,0),"")</f>
        <v>0</v>
      </c>
      <c r="T586" s="41"/>
    </row>
    <row r="587" customHeight="1" spans="1:20">
      <c r="A587" s="19">
        <f t="shared" si="29"/>
        <v>4</v>
      </c>
      <c r="B587" s="20" t="s">
        <v>4234</v>
      </c>
      <c r="C587" s="613">
        <f>IFERROR(VLOOKUP(B587,'03. THIẾT BỊ'!$B$1:$S$836,2,0),"")</f>
        <v>0</v>
      </c>
      <c r="D587" s="24" t="str">
        <f>IFERROR(VLOOKUP(B587,'03. THIẾT BỊ'!$B$1:$S$836,3,0),"")</f>
        <v>A23-MCA-004</v>
      </c>
      <c r="E587" s="20" t="str">
        <f>IFERROR(VLOOKUP(B587,'03. THIẾT BỊ'!$B$1:$S$836,4,0),"")</f>
        <v>ĐQSD</v>
      </c>
      <c r="F587" s="20" t="str">
        <f>IFERROR(VLOOKUP(B587,'03. THIẾT BỊ'!$B$1:$S$836,5,0),"")</f>
        <v>Máy cao áp phun thuốc</v>
      </c>
      <c r="G587" s="101" t="s">
        <v>6468</v>
      </c>
      <c r="H587" s="19" t="str">
        <f>IFERROR(VLOOKUP(B587,'03. THIẾT BỊ'!$B$1:$S$836,7,0),"")</f>
        <v>XN Chuối DP1</v>
      </c>
      <c r="I587" s="610">
        <f>IFERROR(VLOOKUP(B587,'03. THIẾT BỊ'!$B$1:$S$836,8,0),"")</f>
        <v>0</v>
      </c>
      <c r="J587" s="25"/>
      <c r="K587" s="19" t="str">
        <f>IFERROR(VLOOKUP(B587,'03. THIẾT BỊ'!$B$1:$S$836,10,0),"")</f>
        <v>Bình thường</v>
      </c>
      <c r="L587" s="25">
        <f>IFERROR(VLOOKUP(B587,'03. THIẾT BỊ'!$B$1:$S$836,11,0),"")</f>
        <v>0</v>
      </c>
      <c r="M587" s="24">
        <f>IFERROR(VLOOKUP(B587,'03. THIẾT BỊ'!$B$1:$S$836,12,0),"")</f>
        <v>0</v>
      </c>
      <c r="N587" s="25" t="str">
        <f>IFERROR(VLOOKUP(B587,'03. THIẾT BỊ'!$B$1:$S$836,13,0),"")</f>
        <v>CAMBODIA</v>
      </c>
      <c r="O587" s="24">
        <f>IFERROR(VLOOKUP(B587,'03. THIẾT BỊ'!$B$1:$S$836,14,0),"")</f>
        <v>0</v>
      </c>
      <c r="P587" s="25" t="str">
        <f>IFERROR(VLOOKUP(B587,'03. THIẾT BỊ'!$B$1:$S$836,15,0),"")</f>
        <v>CAMBODIA</v>
      </c>
      <c r="Q587" s="23">
        <f>IFERROR(VLOOKUP(B587,'03. THIẾT BỊ'!$B$1:$S$836,16,0),"")</f>
        <v>0</v>
      </c>
      <c r="R587" s="25">
        <f>IFERROR(VLOOKUP(B587,'03. THIẾT BỊ'!$B$1:$S$836,17,0),"")</f>
        <v>0</v>
      </c>
      <c r="S587" s="25">
        <f>IFERROR(VLOOKUP(B587,'03. THIẾT BỊ'!$B$1:$S$836,18,0),"")</f>
        <v>0</v>
      </c>
      <c r="T587" s="41"/>
    </row>
    <row r="588" customHeight="1" spans="1:20">
      <c r="A588" s="19">
        <f t="shared" si="29"/>
        <v>5</v>
      </c>
      <c r="B588" s="20" t="s">
        <v>4236</v>
      </c>
      <c r="C588" s="613">
        <f>IFERROR(VLOOKUP(B588,'03. THIẾT BỊ'!$B$1:$S$836,2,0),"")</f>
        <v>0</v>
      </c>
      <c r="D588" s="24" t="str">
        <f>IFERROR(VLOOKUP(B588,'03. THIẾT BỊ'!$B$1:$S$836,3,0),"")</f>
        <v>A23-MCA-005</v>
      </c>
      <c r="E588" s="20" t="str">
        <f>IFERROR(VLOOKUP(B588,'03. THIẾT BỊ'!$B$1:$S$836,4,0),"")</f>
        <v>ĐQSD</v>
      </c>
      <c r="F588" s="20" t="str">
        <f>IFERROR(VLOOKUP(B588,'03. THIẾT BỊ'!$B$1:$S$836,5,0),"")</f>
        <v>Máy cao áp phun thuốc</v>
      </c>
      <c r="G588" s="101" t="s">
        <v>6468</v>
      </c>
      <c r="H588" s="19" t="str">
        <f>IFERROR(VLOOKUP(B588,'03. THIẾT BỊ'!$B$1:$S$836,7,0),"")</f>
        <v>XN Chuối DP1</v>
      </c>
      <c r="I588" s="610">
        <f>IFERROR(VLOOKUP(B588,'03. THIẾT BỊ'!$B$1:$S$836,8,0),"")</f>
        <v>0</v>
      </c>
      <c r="J588" s="25"/>
      <c r="K588" s="19" t="str">
        <f>IFERROR(VLOOKUP(B588,'03. THIẾT BỊ'!$B$1:$S$836,10,0),"")</f>
        <v>Bình thường</v>
      </c>
      <c r="L588" s="25">
        <f>IFERROR(VLOOKUP(B588,'03. THIẾT BỊ'!$B$1:$S$836,11,0),"")</f>
        <v>0</v>
      </c>
      <c r="M588" s="24">
        <f>IFERROR(VLOOKUP(B588,'03. THIẾT BỊ'!$B$1:$S$836,12,0),"")</f>
        <v>0</v>
      </c>
      <c r="N588" s="25" t="str">
        <f>IFERROR(VLOOKUP(B588,'03. THIẾT BỊ'!$B$1:$S$836,13,0),"")</f>
        <v>CAMBODIA</v>
      </c>
      <c r="O588" s="24">
        <f>IFERROR(VLOOKUP(B588,'03. THIẾT BỊ'!$B$1:$S$836,14,0),"")</f>
        <v>0</v>
      </c>
      <c r="P588" s="25" t="str">
        <f>IFERROR(VLOOKUP(B588,'03. THIẾT BỊ'!$B$1:$S$836,15,0),"")</f>
        <v>CAMBODIA</v>
      </c>
      <c r="Q588" s="23">
        <f>IFERROR(VLOOKUP(B588,'03. THIẾT BỊ'!$B$1:$S$836,16,0),"")</f>
        <v>0</v>
      </c>
      <c r="R588" s="25">
        <f>IFERROR(VLOOKUP(B588,'03. THIẾT BỊ'!$B$1:$S$836,17,0),"")</f>
        <v>0</v>
      </c>
      <c r="S588" s="25">
        <f>IFERROR(VLOOKUP(B588,'03. THIẾT BỊ'!$B$1:$S$836,18,0),"")</f>
        <v>0</v>
      </c>
      <c r="T588" s="41"/>
    </row>
    <row r="589" customHeight="1" spans="1:20">
      <c r="A589" s="19">
        <f t="shared" si="29"/>
        <v>6</v>
      </c>
      <c r="B589" s="20" t="s">
        <v>4238</v>
      </c>
      <c r="C589" s="613">
        <f>IFERROR(VLOOKUP(B589,'03. THIẾT BỊ'!$B$1:$S$836,2,0),"")</f>
        <v>0</v>
      </c>
      <c r="D589" s="24" t="str">
        <f>IFERROR(VLOOKUP(B589,'03. THIẾT BỊ'!$B$1:$S$836,3,0),"")</f>
        <v>A23-MCA-006</v>
      </c>
      <c r="E589" s="20" t="str">
        <f>IFERROR(VLOOKUP(B589,'03. THIẾT BỊ'!$B$1:$S$836,4,0),"")</f>
        <v>ĐQSD</v>
      </c>
      <c r="F589" s="20" t="str">
        <f>IFERROR(VLOOKUP(B589,'03. THIẾT BỊ'!$B$1:$S$836,5,0),"")</f>
        <v>Máy cao áp phun thuốc</v>
      </c>
      <c r="G589" s="101" t="s">
        <v>6468</v>
      </c>
      <c r="H589" s="19" t="str">
        <f>IFERROR(VLOOKUP(B589,'03. THIẾT BỊ'!$B$1:$S$836,7,0),"")</f>
        <v>XN Chuối DP1</v>
      </c>
      <c r="I589" s="610">
        <f>IFERROR(VLOOKUP(B589,'03. THIẾT BỊ'!$B$1:$S$836,8,0),"")</f>
        <v>0</v>
      </c>
      <c r="J589" s="25"/>
      <c r="K589" s="19" t="str">
        <f>IFERROR(VLOOKUP(B589,'03. THIẾT BỊ'!$B$1:$S$836,10,0),"")</f>
        <v>Bình thường</v>
      </c>
      <c r="L589" s="25">
        <f>IFERROR(VLOOKUP(B589,'03. THIẾT BỊ'!$B$1:$S$836,11,0),"")</f>
        <v>0</v>
      </c>
      <c r="M589" s="24">
        <f>IFERROR(VLOOKUP(B589,'03. THIẾT BỊ'!$B$1:$S$836,12,0),"")</f>
        <v>0</v>
      </c>
      <c r="N589" s="25" t="str">
        <f>IFERROR(VLOOKUP(B589,'03. THIẾT BỊ'!$B$1:$S$836,13,0),"")</f>
        <v>CAMBODIA</v>
      </c>
      <c r="O589" s="24">
        <f>IFERROR(VLOOKUP(B589,'03. THIẾT BỊ'!$B$1:$S$836,14,0),"")</f>
        <v>0</v>
      </c>
      <c r="P589" s="25" t="str">
        <f>IFERROR(VLOOKUP(B589,'03. THIẾT BỊ'!$B$1:$S$836,15,0),"")</f>
        <v>CAMBODIA</v>
      </c>
      <c r="Q589" s="23">
        <f>IFERROR(VLOOKUP(B589,'03. THIẾT BỊ'!$B$1:$S$836,16,0),"")</f>
        <v>0</v>
      </c>
      <c r="R589" s="25">
        <f>IFERROR(VLOOKUP(B589,'03. THIẾT BỊ'!$B$1:$S$836,17,0),"")</f>
        <v>0</v>
      </c>
      <c r="S589" s="25">
        <f>IFERROR(VLOOKUP(B589,'03. THIẾT BỊ'!$B$1:$S$836,18,0),"")</f>
        <v>0</v>
      </c>
      <c r="T589" s="41"/>
    </row>
    <row r="590" customHeight="1" spans="1:20">
      <c r="A590" s="19">
        <f t="shared" si="29"/>
        <v>7</v>
      </c>
      <c r="B590" s="20" t="s">
        <v>4240</v>
      </c>
      <c r="C590" s="613">
        <f>IFERROR(VLOOKUP(B590,'03. THIẾT BỊ'!$B$1:$S$836,2,0),"")</f>
        <v>0</v>
      </c>
      <c r="D590" s="24" t="str">
        <f>IFERROR(VLOOKUP(B590,'03. THIẾT BỊ'!$B$1:$S$836,3,0),"")</f>
        <v>A23-MCA-007</v>
      </c>
      <c r="E590" s="20" t="str">
        <f>IFERROR(VLOOKUP(B590,'03. THIẾT BỊ'!$B$1:$S$836,4,0),"")</f>
        <v>ĐQSD</v>
      </c>
      <c r="F590" s="20" t="str">
        <f>IFERROR(VLOOKUP(B590,'03. THIẾT BỊ'!$B$1:$S$836,5,0),"")</f>
        <v>Máy cao áp phun thuốc</v>
      </c>
      <c r="G590" s="101" t="s">
        <v>6468</v>
      </c>
      <c r="H590" s="19" t="str">
        <f>IFERROR(VLOOKUP(B590,'03. THIẾT BỊ'!$B$1:$S$836,7,0),"")</f>
        <v>XN Chuối DP1</v>
      </c>
      <c r="I590" s="610">
        <f>IFERROR(VLOOKUP(B590,'03. THIẾT BỊ'!$B$1:$S$836,8,0),"")</f>
        <v>0</v>
      </c>
      <c r="J590" s="25"/>
      <c r="K590" s="19" t="str">
        <f>IFERROR(VLOOKUP(B590,'03. THIẾT BỊ'!$B$1:$S$836,10,0),"")</f>
        <v>Bình thường</v>
      </c>
      <c r="L590" s="25">
        <f>IFERROR(VLOOKUP(B590,'03. THIẾT BỊ'!$B$1:$S$836,11,0),"")</f>
        <v>0</v>
      </c>
      <c r="M590" s="24">
        <f>IFERROR(VLOOKUP(B590,'03. THIẾT BỊ'!$B$1:$S$836,12,0),"")</f>
        <v>0</v>
      </c>
      <c r="N590" s="25" t="str">
        <f>IFERROR(VLOOKUP(B590,'03. THIẾT BỊ'!$B$1:$S$836,13,0),"")</f>
        <v>CAMBODIA</v>
      </c>
      <c r="O590" s="24">
        <f>IFERROR(VLOOKUP(B590,'03. THIẾT BỊ'!$B$1:$S$836,14,0),"")</f>
        <v>0</v>
      </c>
      <c r="P590" s="25" t="str">
        <f>IFERROR(VLOOKUP(B590,'03. THIẾT BỊ'!$B$1:$S$836,15,0),"")</f>
        <v>CAMBODIA</v>
      </c>
      <c r="Q590" s="23">
        <f>IFERROR(VLOOKUP(B590,'03. THIẾT BỊ'!$B$1:$S$836,16,0),"")</f>
        <v>0</v>
      </c>
      <c r="R590" s="25">
        <f>IFERROR(VLOOKUP(B590,'03. THIẾT BỊ'!$B$1:$S$836,17,0),"")</f>
        <v>0</v>
      </c>
      <c r="S590" s="25">
        <f>IFERROR(VLOOKUP(B590,'03. THIẾT BỊ'!$B$1:$S$836,18,0),"")</f>
        <v>0</v>
      </c>
      <c r="T590" s="41"/>
    </row>
    <row r="591" customHeight="1" spans="1:20">
      <c r="A591" s="19">
        <f t="shared" si="29"/>
        <v>8</v>
      </c>
      <c r="B591" s="20" t="s">
        <v>4242</v>
      </c>
      <c r="C591" s="613">
        <f>IFERROR(VLOOKUP(B591,'03. THIẾT BỊ'!$B$1:$S$836,2,0),"")</f>
        <v>0</v>
      </c>
      <c r="D591" s="24" t="str">
        <f>IFERROR(VLOOKUP(B591,'03. THIẾT BỊ'!$B$1:$S$836,3,0),"")</f>
        <v>A23-MCA-008</v>
      </c>
      <c r="E591" s="20" t="str">
        <f>IFERROR(VLOOKUP(B591,'03. THIẾT BỊ'!$B$1:$S$836,4,0),"")</f>
        <v>ĐQSD</v>
      </c>
      <c r="F591" s="20" t="str">
        <f>IFERROR(VLOOKUP(B591,'03. THIẾT BỊ'!$B$1:$S$836,5,0),"")</f>
        <v>Máy cao áp phun thuốc</v>
      </c>
      <c r="G591" s="101" t="s">
        <v>6468</v>
      </c>
      <c r="H591" s="19" t="str">
        <f>IFERROR(VLOOKUP(B591,'03. THIẾT BỊ'!$B$1:$S$836,7,0),"")</f>
        <v>XN Chuối DP1</v>
      </c>
      <c r="I591" s="610">
        <f>IFERROR(VLOOKUP(B591,'03. THIẾT BỊ'!$B$1:$S$836,8,0),"")</f>
        <v>0</v>
      </c>
      <c r="J591" s="25"/>
      <c r="K591" s="19" t="str">
        <f>IFERROR(VLOOKUP(B591,'03. THIẾT BỊ'!$B$1:$S$836,10,0),"")</f>
        <v>Bình thường</v>
      </c>
      <c r="L591" s="25">
        <f>IFERROR(VLOOKUP(B591,'03. THIẾT BỊ'!$B$1:$S$836,11,0),"")</f>
        <v>0</v>
      </c>
      <c r="M591" s="24">
        <f>IFERROR(VLOOKUP(B591,'03. THIẾT BỊ'!$B$1:$S$836,12,0),"")</f>
        <v>0</v>
      </c>
      <c r="N591" s="25" t="str">
        <f>IFERROR(VLOOKUP(B591,'03. THIẾT BỊ'!$B$1:$S$836,13,0),"")</f>
        <v>CAMBODIA</v>
      </c>
      <c r="O591" s="24">
        <f>IFERROR(VLOOKUP(B591,'03. THIẾT BỊ'!$B$1:$S$836,14,0),"")</f>
        <v>0</v>
      </c>
      <c r="P591" s="25" t="str">
        <f>IFERROR(VLOOKUP(B591,'03. THIẾT BỊ'!$B$1:$S$836,15,0),"")</f>
        <v>CAMBODIA</v>
      </c>
      <c r="Q591" s="23">
        <f>IFERROR(VLOOKUP(B591,'03. THIẾT BỊ'!$B$1:$S$836,16,0),"")</f>
        <v>0</v>
      </c>
      <c r="R591" s="25">
        <f>IFERROR(VLOOKUP(B591,'03. THIẾT BỊ'!$B$1:$S$836,17,0),"")</f>
        <v>0</v>
      </c>
      <c r="S591" s="25">
        <f>IFERROR(VLOOKUP(B591,'03. THIẾT BỊ'!$B$1:$S$836,18,0),"")</f>
        <v>0</v>
      </c>
      <c r="T591" s="41"/>
    </row>
    <row r="592" customHeight="1" spans="1:20">
      <c r="A592" s="19">
        <f t="shared" si="29"/>
        <v>9</v>
      </c>
      <c r="B592" s="20" t="s">
        <v>4244</v>
      </c>
      <c r="C592" s="613">
        <f>IFERROR(VLOOKUP(B592,'03. THIẾT BỊ'!$B$1:$S$836,2,0),"")</f>
        <v>0</v>
      </c>
      <c r="D592" s="24" t="str">
        <f>IFERROR(VLOOKUP(B592,'03. THIẾT BỊ'!$B$1:$S$836,3,0),"")</f>
        <v>A23-MCA-009</v>
      </c>
      <c r="E592" s="20" t="str">
        <f>IFERROR(VLOOKUP(B592,'03. THIẾT BỊ'!$B$1:$S$836,4,0),"")</f>
        <v>ĐQSD</v>
      </c>
      <c r="F592" s="20" t="str">
        <f>IFERROR(VLOOKUP(B592,'03. THIẾT BỊ'!$B$1:$S$836,5,0),"")</f>
        <v>Máy cao áp phun thuốc</v>
      </c>
      <c r="G592" s="101" t="s">
        <v>6468</v>
      </c>
      <c r="H592" s="19" t="str">
        <f>IFERROR(VLOOKUP(B592,'03. THIẾT BỊ'!$B$1:$S$836,7,0),"")</f>
        <v>XN Chuối DP1</v>
      </c>
      <c r="I592" s="610">
        <f>IFERROR(VLOOKUP(B592,'03. THIẾT BỊ'!$B$1:$S$836,8,0),"")</f>
        <v>0</v>
      </c>
      <c r="J592" s="25"/>
      <c r="K592" s="19" t="str">
        <f>IFERROR(VLOOKUP(B592,'03. THIẾT BỊ'!$B$1:$S$836,10,0),"")</f>
        <v>Bình thường</v>
      </c>
      <c r="L592" s="25">
        <f>IFERROR(VLOOKUP(B592,'03. THIẾT BỊ'!$B$1:$S$836,11,0),"")</f>
        <v>0</v>
      </c>
      <c r="M592" s="24">
        <f>IFERROR(VLOOKUP(B592,'03. THIẾT BỊ'!$B$1:$S$836,12,0),"")</f>
        <v>0</v>
      </c>
      <c r="N592" s="25" t="str">
        <f>IFERROR(VLOOKUP(B592,'03. THIẾT BỊ'!$B$1:$S$836,13,0),"")</f>
        <v>CAMBODIA</v>
      </c>
      <c r="O592" s="24">
        <f>IFERROR(VLOOKUP(B592,'03. THIẾT BỊ'!$B$1:$S$836,14,0),"")</f>
        <v>0</v>
      </c>
      <c r="P592" s="25" t="str">
        <f>IFERROR(VLOOKUP(B592,'03. THIẾT BỊ'!$B$1:$S$836,15,0),"")</f>
        <v>CAMBODIA</v>
      </c>
      <c r="Q592" s="23">
        <f>IFERROR(VLOOKUP(B592,'03. THIẾT BỊ'!$B$1:$S$836,16,0),"")</f>
        <v>0</v>
      </c>
      <c r="R592" s="25">
        <f>IFERROR(VLOOKUP(B592,'03. THIẾT BỊ'!$B$1:$S$836,17,0),"")</f>
        <v>0</v>
      </c>
      <c r="S592" s="25">
        <f>IFERROR(VLOOKUP(B592,'03. THIẾT BỊ'!$B$1:$S$836,18,0),"")</f>
        <v>0</v>
      </c>
      <c r="T592" s="41"/>
    </row>
    <row r="593" customHeight="1" spans="1:20">
      <c r="A593" s="19">
        <f t="shared" si="29"/>
        <v>10</v>
      </c>
      <c r="B593" s="20" t="s">
        <v>4427</v>
      </c>
      <c r="C593" s="613">
        <f>IFERROR(VLOOKUP(B593,'03. THIẾT BỊ'!$B$1:$S$836,2,0),"")</f>
        <v>0</v>
      </c>
      <c r="D593" s="24">
        <f>IFERROR(VLOOKUP(B593,'03. THIẾT BỊ'!$B$1:$S$836,3,0),"")</f>
        <v>0</v>
      </c>
      <c r="E593" s="20" t="str">
        <f>IFERROR(VLOOKUP(B593,'03. THIẾT BỊ'!$B$1:$S$836,4,0),"")</f>
        <v>ĐQSD</v>
      </c>
      <c r="F593" s="20" t="str">
        <f>IFERROR(VLOOKUP(B593,'03. THIẾT BỊ'!$B$1:$S$836,5,0),"")</f>
        <v>Máy cao áp phun thuốc</v>
      </c>
      <c r="G593" s="101" t="s">
        <v>6468</v>
      </c>
      <c r="H593" s="19" t="str">
        <f>IFERROR(VLOOKUP(B593,'03. THIẾT BỊ'!$B$1:$S$836,7,0),"")</f>
        <v>XN Chuối DP2</v>
      </c>
      <c r="I593" s="610">
        <f>IFERROR(VLOOKUP(B593,'03. THIẾT BỊ'!$B$1:$S$836,8,0),"")</f>
        <v>0</v>
      </c>
      <c r="J593" s="25"/>
      <c r="K593" s="19" t="str">
        <f>IFERROR(VLOOKUP(B593,'03. THIẾT BỊ'!$B$1:$S$836,10,0),"")</f>
        <v>Bình thường</v>
      </c>
      <c r="L593" s="25">
        <f>IFERROR(VLOOKUP(B593,'03. THIẾT BỊ'!$B$1:$S$836,11,0),"")</f>
        <v>0</v>
      </c>
      <c r="M593" s="24" t="str">
        <f>IFERROR(VLOOKUP(B593,'03. THIẾT BỊ'!$B$1:$S$836,12,0),"")</f>
        <v>Phun nấm lá, Rệp, Vi sinh</v>
      </c>
      <c r="N593" s="25" t="str">
        <f>IFERROR(VLOOKUP(B593,'03. THIẾT BỊ'!$B$1:$S$836,13,0),"")</f>
        <v>CAMBODIA</v>
      </c>
      <c r="O593" s="24" t="str">
        <f>IFERROR(VLOOKUP(B593,'03. THIẾT BỊ'!$B$1:$S$836,14,0),"")</f>
        <v>NILE N-680A</v>
      </c>
      <c r="P593" s="25" t="str">
        <f>IFERROR(VLOOKUP(B593,'03. THIẾT BỊ'!$B$1:$S$836,15,0),"")</f>
        <v>CAMBODIA</v>
      </c>
      <c r="Q593" s="23">
        <f>IFERROR(VLOOKUP(B593,'03. THIẾT BỊ'!$B$1:$S$836,16,0),"")</f>
        <v>0</v>
      </c>
      <c r="R593" s="25" t="str">
        <f>IFERROR(VLOOKUP(B593,'03. THIẾT BỊ'!$B$1:$S$836,17,0),"")</f>
        <v>7.5HP</v>
      </c>
      <c r="S593" s="25">
        <f>IFERROR(VLOOKUP(B593,'03. THIẾT BỊ'!$B$1:$S$836,18,0),"")</f>
        <v>0</v>
      </c>
      <c r="T593" s="41"/>
    </row>
    <row r="594" customHeight="1" spans="1:20">
      <c r="A594" s="19">
        <f t="shared" si="29"/>
        <v>11</v>
      </c>
      <c r="B594" s="20" t="s">
        <v>4430</v>
      </c>
      <c r="C594" s="613">
        <f>IFERROR(VLOOKUP(B594,'03. THIẾT BỊ'!$B$1:$S$836,2,0),"")</f>
        <v>0</v>
      </c>
      <c r="D594" s="24">
        <f>IFERROR(VLOOKUP(B594,'03. THIẾT BỊ'!$B$1:$S$836,3,0),"")</f>
        <v>0</v>
      </c>
      <c r="E594" s="20" t="str">
        <f>IFERROR(VLOOKUP(B594,'03. THIẾT BỊ'!$B$1:$S$836,4,0),"")</f>
        <v>ĐQSD</v>
      </c>
      <c r="F594" s="20" t="str">
        <f>IFERROR(VLOOKUP(B594,'03. THIẾT BỊ'!$B$1:$S$836,5,0),"")</f>
        <v>Máy cao áp phun thuốc</v>
      </c>
      <c r="G594" s="101" t="s">
        <v>6468</v>
      </c>
      <c r="H594" s="19" t="str">
        <f>IFERROR(VLOOKUP(B594,'03. THIẾT BỊ'!$B$1:$S$836,7,0),"")</f>
        <v>XN Chuối DP2</v>
      </c>
      <c r="I594" s="610">
        <f>IFERROR(VLOOKUP(B594,'03. THIẾT BỊ'!$B$1:$S$836,8,0),"")</f>
        <v>0</v>
      </c>
      <c r="J594" s="25"/>
      <c r="K594" s="19" t="str">
        <f>IFERROR(VLOOKUP(B594,'03. THIẾT BỊ'!$B$1:$S$836,10,0),"")</f>
        <v>Bình thường</v>
      </c>
      <c r="L594" s="25">
        <f>IFERROR(VLOOKUP(B594,'03. THIẾT BỊ'!$B$1:$S$836,11,0),"")</f>
        <v>0</v>
      </c>
      <c r="M594" s="24" t="str">
        <f>IFERROR(VLOOKUP(B594,'03. THIẾT BỊ'!$B$1:$S$836,12,0),"")</f>
        <v>Phun nấm lá, Rệp, Vi sinh</v>
      </c>
      <c r="N594" s="25" t="str">
        <f>IFERROR(VLOOKUP(B594,'03. THIẾT BỊ'!$B$1:$S$836,13,0),"")</f>
        <v>CAMBODIA</v>
      </c>
      <c r="O594" s="24" t="str">
        <f>IFERROR(VLOOKUP(B594,'03. THIẾT BỊ'!$B$1:$S$836,14,0),"")</f>
        <v>NILE N-680A</v>
      </c>
      <c r="P594" s="25" t="str">
        <f>IFERROR(VLOOKUP(B594,'03. THIẾT BỊ'!$B$1:$S$836,15,0),"")</f>
        <v>CAMBODIA</v>
      </c>
      <c r="Q594" s="23">
        <f>IFERROR(VLOOKUP(B594,'03. THIẾT BỊ'!$B$1:$S$836,16,0),"")</f>
        <v>0</v>
      </c>
      <c r="R594" s="25" t="str">
        <f>IFERROR(VLOOKUP(B594,'03. THIẾT BỊ'!$B$1:$S$836,17,0),"")</f>
        <v>7.5HP</v>
      </c>
      <c r="S594" s="25">
        <f>IFERROR(VLOOKUP(B594,'03. THIẾT BỊ'!$B$1:$S$836,18,0),"")</f>
        <v>0</v>
      </c>
      <c r="T594" s="41"/>
    </row>
    <row r="595" customHeight="1" spans="1:20">
      <c r="A595" s="19">
        <f t="shared" si="29"/>
        <v>12</v>
      </c>
      <c r="B595" s="20" t="s">
        <v>4431</v>
      </c>
      <c r="C595" s="613">
        <f>IFERROR(VLOOKUP(B595,'03. THIẾT BỊ'!$B$1:$S$836,2,0),"")</f>
        <v>0</v>
      </c>
      <c r="D595" s="24">
        <f>IFERROR(VLOOKUP(B595,'03. THIẾT BỊ'!$B$1:$S$836,3,0),"")</f>
        <v>0</v>
      </c>
      <c r="E595" s="20" t="str">
        <f>IFERROR(VLOOKUP(B595,'03. THIẾT BỊ'!$B$1:$S$836,4,0),"")</f>
        <v>ĐQSD</v>
      </c>
      <c r="F595" s="20" t="str">
        <f>IFERROR(VLOOKUP(B595,'03. THIẾT BỊ'!$B$1:$S$836,5,0),"")</f>
        <v>Máy cao áp phun thuốc</v>
      </c>
      <c r="G595" s="101" t="s">
        <v>6468</v>
      </c>
      <c r="H595" s="19" t="str">
        <f>IFERROR(VLOOKUP(B595,'03. THIẾT BỊ'!$B$1:$S$836,7,0),"")</f>
        <v>XN Chuối DP2</v>
      </c>
      <c r="I595" s="610">
        <f>IFERROR(VLOOKUP(B595,'03. THIẾT BỊ'!$B$1:$S$836,8,0),"")</f>
        <v>0</v>
      </c>
      <c r="J595" s="25"/>
      <c r="K595" s="19" t="str">
        <f>IFERROR(VLOOKUP(B595,'03. THIẾT BỊ'!$B$1:$S$836,10,0),"")</f>
        <v>Bình thường</v>
      </c>
      <c r="L595" s="25">
        <f>IFERROR(VLOOKUP(B595,'03. THIẾT BỊ'!$B$1:$S$836,11,0),"")</f>
        <v>0</v>
      </c>
      <c r="M595" s="24" t="str">
        <f>IFERROR(VLOOKUP(B595,'03. THIẾT BỊ'!$B$1:$S$836,12,0),"")</f>
        <v>Phun thuốc bảo quản, xử lý rệp sáp</v>
      </c>
      <c r="N595" s="25" t="str">
        <f>IFERROR(VLOOKUP(B595,'03. THIẾT BỊ'!$B$1:$S$836,13,0),"")</f>
        <v>CAMBODIA</v>
      </c>
      <c r="O595" s="24" t="str">
        <f>IFERROR(VLOOKUP(B595,'03. THIẾT BỊ'!$B$1:$S$836,14,0),"")</f>
        <v>MR-48</v>
      </c>
      <c r="P595" s="25" t="str">
        <f>IFERROR(VLOOKUP(B595,'03. THIẾT BỊ'!$B$1:$S$836,15,0),"")</f>
        <v>CAMBODIA</v>
      </c>
      <c r="Q595" s="23">
        <f>IFERROR(VLOOKUP(B595,'03. THIẾT BỊ'!$B$1:$S$836,16,0),"")</f>
        <v>0</v>
      </c>
      <c r="R595" s="25" t="str">
        <f>IFERROR(VLOOKUP(B595,'03. THIẾT BỊ'!$B$1:$S$836,17,0),"")</f>
        <v>3HP</v>
      </c>
      <c r="S595" s="25">
        <f>IFERROR(VLOOKUP(B595,'03. THIẾT BỊ'!$B$1:$S$836,18,0),"")</f>
        <v>0</v>
      </c>
      <c r="T595" s="41"/>
    </row>
    <row r="596" customHeight="1" spans="1:20">
      <c r="A596" s="19">
        <f t="shared" si="29"/>
        <v>13</v>
      </c>
      <c r="B596" s="20" t="s">
        <v>4435</v>
      </c>
      <c r="C596" s="613">
        <f>IFERROR(VLOOKUP(B596,'03. THIẾT BỊ'!$B$1:$S$836,2,0),"")</f>
        <v>0</v>
      </c>
      <c r="D596" s="24">
        <f>IFERROR(VLOOKUP(B596,'03. THIẾT BỊ'!$B$1:$S$836,3,0),"")</f>
        <v>0</v>
      </c>
      <c r="E596" s="20" t="str">
        <f>IFERROR(VLOOKUP(B596,'03. THIẾT BỊ'!$B$1:$S$836,4,0),"")</f>
        <v>ĐQSD</v>
      </c>
      <c r="F596" s="20" t="str">
        <f>IFERROR(VLOOKUP(B596,'03. THIẾT BỊ'!$B$1:$S$836,5,0),"")</f>
        <v>Máy cao áp phun thuốc</v>
      </c>
      <c r="G596" s="101" t="s">
        <v>6468</v>
      </c>
      <c r="H596" s="19" t="str">
        <f>IFERROR(VLOOKUP(B596,'03. THIẾT BỊ'!$B$1:$S$836,7,0),"")</f>
        <v>XN Chuối DP2</v>
      </c>
      <c r="I596" s="610">
        <f>IFERROR(VLOOKUP(B596,'03. THIẾT BỊ'!$B$1:$S$836,8,0),"")</f>
        <v>0</v>
      </c>
      <c r="J596" s="25"/>
      <c r="K596" s="19" t="str">
        <f>IFERROR(VLOOKUP(B596,'03. THIẾT BỊ'!$B$1:$S$836,10,0),"")</f>
        <v>Bình thường</v>
      </c>
      <c r="L596" s="25">
        <f>IFERROR(VLOOKUP(B596,'03. THIẾT BỊ'!$B$1:$S$836,11,0),"")</f>
        <v>0</v>
      </c>
      <c r="M596" s="24" t="str">
        <f>IFERROR(VLOOKUP(B596,'03. THIẾT BỊ'!$B$1:$S$836,12,0),"")</f>
        <v>phun thuốc bảo quản, xử lý rệp sáp</v>
      </c>
      <c r="N596" s="25" t="str">
        <f>IFERROR(VLOOKUP(B596,'03. THIẾT BỊ'!$B$1:$S$836,13,0),"")</f>
        <v>CAMBODIA</v>
      </c>
      <c r="O596" s="24" t="str">
        <f>IFERROR(VLOOKUP(B596,'03. THIẾT BỊ'!$B$1:$S$836,14,0),"")</f>
        <v>MR-48</v>
      </c>
      <c r="P596" s="25" t="str">
        <f>IFERROR(VLOOKUP(B596,'03. THIẾT BỊ'!$B$1:$S$836,15,0),"")</f>
        <v>CAMBODIA</v>
      </c>
      <c r="Q596" s="23">
        <f>IFERROR(VLOOKUP(B596,'03. THIẾT BỊ'!$B$1:$S$836,16,0),"")</f>
        <v>0</v>
      </c>
      <c r="R596" s="25" t="str">
        <f>IFERROR(VLOOKUP(B596,'03. THIẾT BỊ'!$B$1:$S$836,17,0),"")</f>
        <v>3HP</v>
      </c>
      <c r="S596" s="25">
        <f>IFERROR(VLOOKUP(B596,'03. THIẾT BỊ'!$B$1:$S$836,18,0),"")</f>
        <v>0</v>
      </c>
      <c r="T596" s="41"/>
    </row>
    <row r="597" customHeight="1" spans="1:20">
      <c r="A597" s="19">
        <f t="shared" si="29"/>
        <v>14</v>
      </c>
      <c r="B597" s="20" t="s">
        <v>4437</v>
      </c>
      <c r="C597" s="613">
        <f>IFERROR(VLOOKUP(B597,'03. THIẾT BỊ'!$B$1:$S$836,2,0),"")</f>
        <v>0</v>
      </c>
      <c r="D597" s="24">
        <f>IFERROR(VLOOKUP(B597,'03. THIẾT BỊ'!$B$1:$S$836,3,0),"")</f>
        <v>0</v>
      </c>
      <c r="E597" s="20" t="str">
        <f>IFERROR(VLOOKUP(B597,'03. THIẾT BỊ'!$B$1:$S$836,4,0),"")</f>
        <v>ĐQSD</v>
      </c>
      <c r="F597" s="20" t="str">
        <f>IFERROR(VLOOKUP(B597,'03. THIẾT BỊ'!$B$1:$S$836,5,0),"")</f>
        <v>Máy cao áp phun thuốc</v>
      </c>
      <c r="G597" s="101" t="s">
        <v>6468</v>
      </c>
      <c r="H597" s="19" t="str">
        <f>IFERROR(VLOOKUP(B597,'03. THIẾT BỊ'!$B$1:$S$836,7,0),"")</f>
        <v>XN Chuối DP2</v>
      </c>
      <c r="I597" s="610">
        <f>IFERROR(VLOOKUP(B597,'03. THIẾT BỊ'!$B$1:$S$836,8,0),"")</f>
        <v>0</v>
      </c>
      <c r="J597" s="25"/>
      <c r="K597" s="19" t="str">
        <f>IFERROR(VLOOKUP(B597,'03. THIẾT BỊ'!$B$1:$S$836,10,0),"")</f>
        <v>Bình thường</v>
      </c>
      <c r="L597" s="25">
        <f>IFERROR(VLOOKUP(B597,'03. THIẾT BỊ'!$B$1:$S$836,11,0),"")</f>
        <v>0</v>
      </c>
      <c r="M597" s="24" t="str">
        <f>IFERROR(VLOOKUP(B597,'03. THIẾT BỊ'!$B$1:$S$836,12,0),"")</f>
        <v>phun thuốc bảo quản, xử lý rệp sáp</v>
      </c>
      <c r="N597" s="25" t="str">
        <f>IFERROR(VLOOKUP(B597,'03. THIẾT BỊ'!$B$1:$S$836,13,0),"")</f>
        <v>CAMBODIA</v>
      </c>
      <c r="O597" s="24" t="str">
        <f>IFERROR(VLOOKUP(B597,'03. THIẾT BỊ'!$B$1:$S$836,14,0),"")</f>
        <v>MR-48</v>
      </c>
      <c r="P597" s="25" t="str">
        <f>IFERROR(VLOOKUP(B597,'03. THIẾT BỊ'!$B$1:$S$836,15,0),"")</f>
        <v>CAMBODIA</v>
      </c>
      <c r="Q597" s="23">
        <f>IFERROR(VLOOKUP(B597,'03. THIẾT BỊ'!$B$1:$S$836,16,0),"")</f>
        <v>0</v>
      </c>
      <c r="R597" s="25" t="str">
        <f>IFERROR(VLOOKUP(B597,'03. THIẾT BỊ'!$B$1:$S$836,17,0),"")</f>
        <v>3HP</v>
      </c>
      <c r="S597" s="25">
        <f>IFERROR(VLOOKUP(B597,'03. THIẾT BỊ'!$B$1:$S$836,18,0),"")</f>
        <v>0</v>
      </c>
      <c r="T597" s="41"/>
    </row>
    <row r="598" customHeight="1" spans="1:20">
      <c r="A598" s="19">
        <f t="shared" si="29"/>
        <v>15</v>
      </c>
      <c r="B598" s="20" t="s">
        <v>4438</v>
      </c>
      <c r="C598" s="613">
        <f>IFERROR(VLOOKUP(B598,'03. THIẾT BỊ'!$B$1:$S$836,2,0),"")</f>
        <v>0</v>
      </c>
      <c r="D598" s="24">
        <f>IFERROR(VLOOKUP(B598,'03. THIẾT BỊ'!$B$1:$S$836,3,0),"")</f>
        <v>0</v>
      </c>
      <c r="E598" s="20" t="str">
        <f>IFERROR(VLOOKUP(B598,'03. THIẾT BỊ'!$B$1:$S$836,4,0),"")</f>
        <v>ĐQSD</v>
      </c>
      <c r="F598" s="20" t="str">
        <f>IFERROR(VLOOKUP(B598,'03. THIẾT BỊ'!$B$1:$S$836,5,0),"")</f>
        <v>Máy cao áp phun thuốc</v>
      </c>
      <c r="G598" s="101" t="s">
        <v>6468</v>
      </c>
      <c r="H598" s="19" t="str">
        <f>IFERROR(VLOOKUP(B598,'03. THIẾT BỊ'!$B$1:$S$836,7,0),"")</f>
        <v>XN Chuối DP2</v>
      </c>
      <c r="I598" s="610">
        <f>IFERROR(VLOOKUP(B598,'03. THIẾT BỊ'!$B$1:$S$836,8,0),"")</f>
        <v>0</v>
      </c>
      <c r="J598" s="25"/>
      <c r="K598" s="19" t="str">
        <f>IFERROR(VLOOKUP(B598,'03. THIẾT BỊ'!$B$1:$S$836,10,0),"")</f>
        <v>Bình thường</v>
      </c>
      <c r="L598" s="25">
        <f>IFERROR(VLOOKUP(B598,'03. THIẾT BỊ'!$B$1:$S$836,11,0),"")</f>
        <v>0</v>
      </c>
      <c r="M598" s="24" t="str">
        <f>IFERROR(VLOOKUP(B598,'03. THIẾT BỊ'!$B$1:$S$836,12,0),"")</f>
        <v>Phun nấm lá, Rệp, Vi sinh, thuốc BVTV</v>
      </c>
      <c r="N598" s="25" t="str">
        <f>IFERROR(VLOOKUP(B598,'03. THIẾT BỊ'!$B$1:$S$836,13,0),"")</f>
        <v>CAMBODIA</v>
      </c>
      <c r="O598" s="24" t="str">
        <f>IFERROR(VLOOKUP(B598,'03. THIẾT BỊ'!$B$1:$S$836,14,0),"")</f>
        <v>MR-48</v>
      </c>
      <c r="P598" s="25" t="str">
        <f>IFERROR(VLOOKUP(B598,'03. THIẾT BỊ'!$B$1:$S$836,15,0),"")</f>
        <v>CAMBODIA</v>
      </c>
      <c r="Q598" s="23">
        <f>IFERROR(VLOOKUP(B598,'03. THIẾT BỊ'!$B$1:$S$836,16,0),"")</f>
        <v>0</v>
      </c>
      <c r="R598" s="25" t="str">
        <f>IFERROR(VLOOKUP(B598,'03. THIẾT BỊ'!$B$1:$S$836,17,0),"")</f>
        <v>3HP</v>
      </c>
      <c r="S598" s="25">
        <f>IFERROR(VLOOKUP(B598,'03. THIẾT BỊ'!$B$1:$S$836,18,0),"")</f>
        <v>0</v>
      </c>
      <c r="T598" s="41"/>
    </row>
    <row r="599" customHeight="1" spans="1:20">
      <c r="A599" s="19">
        <f t="shared" si="29"/>
        <v>16</v>
      </c>
      <c r="B599" s="20" t="s">
        <v>4440</v>
      </c>
      <c r="C599" s="613">
        <f>IFERROR(VLOOKUP(B599,'03. THIẾT BỊ'!$B$1:$S$836,2,0),"")</f>
        <v>0</v>
      </c>
      <c r="D599" s="24">
        <f>IFERROR(VLOOKUP(B599,'03. THIẾT BỊ'!$B$1:$S$836,3,0),"")</f>
        <v>0</v>
      </c>
      <c r="E599" s="20" t="str">
        <f>IFERROR(VLOOKUP(B599,'03. THIẾT BỊ'!$B$1:$S$836,4,0),"")</f>
        <v>ĐQSD</v>
      </c>
      <c r="F599" s="20" t="str">
        <f>IFERROR(VLOOKUP(B599,'03. THIẾT BỊ'!$B$1:$S$836,5,0),"")</f>
        <v>Máy cao áp phun thuốc</v>
      </c>
      <c r="G599" s="101" t="s">
        <v>6468</v>
      </c>
      <c r="H599" s="19" t="str">
        <f>IFERROR(VLOOKUP(B599,'03. THIẾT BỊ'!$B$1:$S$836,7,0),"")</f>
        <v>XN Chuối DP2</v>
      </c>
      <c r="I599" s="610">
        <f>IFERROR(VLOOKUP(B599,'03. THIẾT BỊ'!$B$1:$S$836,8,0),"")</f>
        <v>0</v>
      </c>
      <c r="J599" s="25"/>
      <c r="K599" s="19" t="str">
        <f>IFERROR(VLOOKUP(B599,'03. THIẾT BỊ'!$B$1:$S$836,10,0),"")</f>
        <v>Bình thường</v>
      </c>
      <c r="L599" s="25">
        <f>IFERROR(VLOOKUP(B599,'03. THIẾT BỊ'!$B$1:$S$836,11,0),"")</f>
        <v>0</v>
      </c>
      <c r="M599" s="24" t="str">
        <f>IFERROR(VLOOKUP(B599,'03. THIẾT BỊ'!$B$1:$S$836,12,0),"")</f>
        <v>Phun nấm lá, Rệp, Vi sinh, thuốc BVTV</v>
      </c>
      <c r="N599" s="25" t="str">
        <f>IFERROR(VLOOKUP(B599,'03. THIẾT BỊ'!$B$1:$S$836,13,0),"")</f>
        <v>CAMBODIA</v>
      </c>
      <c r="O599" s="24" t="str">
        <f>IFERROR(VLOOKUP(B599,'03. THIẾT BỊ'!$B$1:$S$836,14,0),"")</f>
        <v>MR-28</v>
      </c>
      <c r="P599" s="25" t="str">
        <f>IFERROR(VLOOKUP(B599,'03. THIẾT BỊ'!$B$1:$S$836,15,0),"")</f>
        <v>CAMBODIA</v>
      </c>
      <c r="Q599" s="23">
        <f>IFERROR(VLOOKUP(B599,'03. THIẾT BỊ'!$B$1:$S$836,16,0),"")</f>
        <v>0</v>
      </c>
      <c r="R599" s="25" t="str">
        <f>IFERROR(VLOOKUP(B599,'03. THIẾT BỊ'!$B$1:$S$836,17,0),"")</f>
        <v>1.5HP</v>
      </c>
      <c r="S599" s="25">
        <f>IFERROR(VLOOKUP(B599,'03. THIẾT BỊ'!$B$1:$S$836,18,0),"")</f>
        <v>0</v>
      </c>
      <c r="T599" s="41"/>
    </row>
    <row r="600" customHeight="1" spans="1:20">
      <c r="A600" s="19">
        <f t="shared" si="29"/>
        <v>17</v>
      </c>
      <c r="B600" s="20" t="s">
        <v>4443</v>
      </c>
      <c r="C600" s="613">
        <f>IFERROR(VLOOKUP(B600,'03. THIẾT BỊ'!$B$1:$S$836,2,0),"")</f>
        <v>0</v>
      </c>
      <c r="D600" s="24">
        <f>IFERROR(VLOOKUP(B600,'03. THIẾT BỊ'!$B$1:$S$836,3,0),"")</f>
        <v>0</v>
      </c>
      <c r="E600" s="20" t="str">
        <f>IFERROR(VLOOKUP(B600,'03. THIẾT BỊ'!$B$1:$S$836,4,0),"")</f>
        <v>ĐQSD</v>
      </c>
      <c r="F600" s="20" t="str">
        <f>IFERROR(VLOOKUP(B600,'03. THIẾT BỊ'!$B$1:$S$836,5,0),"")</f>
        <v>Máy cao áp phun thuốc</v>
      </c>
      <c r="G600" s="101" t="s">
        <v>6468</v>
      </c>
      <c r="H600" s="19" t="str">
        <f>IFERROR(VLOOKUP(B600,'03. THIẾT BỊ'!$B$1:$S$836,7,0),"")</f>
        <v>XN Chuối DP2</v>
      </c>
      <c r="I600" s="610" t="str">
        <f>IFERROR(VLOOKUP(B600,'03. THIẾT BỊ'!$B$1:$S$836,8,0),"")</f>
        <v>20/12/2024</v>
      </c>
      <c r="J600" s="25"/>
      <c r="K600" s="19" t="str">
        <f>IFERROR(VLOOKUP(B600,'03. THIẾT BỊ'!$B$1:$S$836,10,0),"")</f>
        <v>Bình thường</v>
      </c>
      <c r="L600" s="25">
        <f>IFERROR(VLOOKUP(B600,'03. THIẾT BỊ'!$B$1:$S$836,11,0),"")</f>
        <v>0</v>
      </c>
      <c r="M600" s="24" t="str">
        <f>IFERROR(VLOOKUP(B600,'03. THIẾT BỊ'!$B$1:$S$836,12,0),"")</f>
        <v>XĐG</v>
      </c>
      <c r="N600" s="25" t="str">
        <f>IFERROR(VLOOKUP(B600,'03. THIẾT BỊ'!$B$1:$S$836,13,0),"")</f>
        <v>CAMBODIA</v>
      </c>
      <c r="O600" s="24" t="str">
        <f>IFERROR(VLOOKUP(B600,'03. THIẾT BỊ'!$B$1:$S$836,14,0),"")</f>
        <v>KB-530 + Motor</v>
      </c>
      <c r="P600" s="25" t="str">
        <f>IFERROR(VLOOKUP(B600,'03. THIẾT BỊ'!$B$1:$S$836,15,0),"")</f>
        <v>CAMBODIA</v>
      </c>
      <c r="Q600" s="23">
        <f>IFERROR(VLOOKUP(B600,'03. THIẾT BỊ'!$B$1:$S$836,16,0),"")</f>
        <v>0</v>
      </c>
      <c r="R600" s="25" t="str">
        <f>IFERROR(VLOOKUP(B600,'03. THIẾT BỊ'!$B$1:$S$836,17,0),"")</f>
        <v>2HP</v>
      </c>
      <c r="S600" s="25">
        <f>IFERROR(VLOOKUP(B600,'03. THIẾT BỊ'!$B$1:$S$836,18,0),"")</f>
        <v>0</v>
      </c>
      <c r="T600" s="41"/>
    </row>
    <row r="601" customHeight="1" spans="1:20">
      <c r="A601" s="19">
        <f t="shared" si="29"/>
        <v>18</v>
      </c>
      <c r="B601" s="20" t="s">
        <v>4448</v>
      </c>
      <c r="C601" s="613">
        <f>IFERROR(VLOOKUP(B601,'03. THIẾT BỊ'!$B$1:$S$836,2,0),"")</f>
        <v>0</v>
      </c>
      <c r="D601" s="24">
        <f>IFERROR(VLOOKUP(B601,'03. THIẾT BỊ'!$B$1:$S$836,3,0),"")</f>
        <v>0</v>
      </c>
      <c r="E601" s="20" t="str">
        <f>IFERROR(VLOOKUP(B601,'03. THIẾT BỊ'!$B$1:$S$836,4,0),"")</f>
        <v>ĐQSD</v>
      </c>
      <c r="F601" s="20" t="str">
        <f>IFERROR(VLOOKUP(B601,'03. THIẾT BỊ'!$B$1:$S$836,5,0),"")</f>
        <v>Máy cao áp phun thuốc</v>
      </c>
      <c r="G601" s="101" t="s">
        <v>6468</v>
      </c>
      <c r="H601" s="19" t="str">
        <f>IFERROR(VLOOKUP(B601,'03. THIẾT BỊ'!$B$1:$S$836,7,0),"")</f>
        <v>XN Chuối DP2</v>
      </c>
      <c r="I601" s="610" t="str">
        <f>IFERROR(VLOOKUP(B601,'03. THIẾT BỊ'!$B$1:$S$836,8,0),"")</f>
        <v>20/12/2024</v>
      </c>
      <c r="J601" s="25"/>
      <c r="K601" s="19" t="str">
        <f>IFERROR(VLOOKUP(B601,'03. THIẾT BỊ'!$B$1:$S$836,10,0),"")</f>
        <v>Bình thường</v>
      </c>
      <c r="L601" s="25">
        <f>IFERROR(VLOOKUP(B601,'03. THIẾT BỊ'!$B$1:$S$836,11,0),"")</f>
        <v>0</v>
      </c>
      <c r="M601" s="24" t="str">
        <f>IFERROR(VLOOKUP(B601,'03. THIẾT BỊ'!$B$1:$S$836,12,0),"")</f>
        <v>XĐG</v>
      </c>
      <c r="N601" s="25" t="str">
        <f>IFERROR(VLOOKUP(B601,'03. THIẾT BỊ'!$B$1:$S$836,13,0),"")</f>
        <v>CAMBODIA</v>
      </c>
      <c r="O601" s="24" t="str">
        <f>IFERROR(VLOOKUP(B601,'03. THIẾT BỊ'!$B$1:$S$836,14,0),"")</f>
        <v>KB-530 + Motor</v>
      </c>
      <c r="P601" s="25" t="str">
        <f>IFERROR(VLOOKUP(B601,'03. THIẾT BỊ'!$B$1:$S$836,15,0),"")</f>
        <v>CAMBODIA</v>
      </c>
      <c r="Q601" s="23">
        <f>IFERROR(VLOOKUP(B601,'03. THIẾT BỊ'!$B$1:$S$836,16,0),"")</f>
        <v>0</v>
      </c>
      <c r="R601" s="25" t="str">
        <f>IFERROR(VLOOKUP(B601,'03. THIẾT BỊ'!$B$1:$S$836,17,0),"")</f>
        <v>2HP</v>
      </c>
      <c r="S601" s="25">
        <f>IFERROR(VLOOKUP(B601,'03. THIẾT BỊ'!$B$1:$S$836,18,0),"")</f>
        <v>0</v>
      </c>
      <c r="T601" s="41"/>
    </row>
    <row r="602" customHeight="1" spans="1:20">
      <c r="A602" s="19">
        <f t="shared" si="29"/>
        <v>19</v>
      </c>
      <c r="B602" s="20" t="s">
        <v>4449</v>
      </c>
      <c r="C602" s="613">
        <f>IFERROR(VLOOKUP(B602,'03. THIẾT BỊ'!$B$1:$S$836,2,0),"")</f>
        <v>0</v>
      </c>
      <c r="D602" s="24">
        <f>IFERROR(VLOOKUP(B602,'03. THIẾT BỊ'!$B$1:$S$836,3,0),"")</f>
        <v>0</v>
      </c>
      <c r="E602" s="20" t="str">
        <f>IFERROR(VLOOKUP(B602,'03. THIẾT BỊ'!$B$1:$S$836,4,0),"")</f>
        <v>ĐQSD</v>
      </c>
      <c r="F602" s="20" t="str">
        <f>IFERROR(VLOOKUP(B602,'03. THIẾT BỊ'!$B$1:$S$836,5,0),"")</f>
        <v>Máy cao áp phun thuốc</v>
      </c>
      <c r="G602" s="101" t="s">
        <v>6468</v>
      </c>
      <c r="H602" s="19" t="str">
        <f>IFERROR(VLOOKUP(B602,'03. THIẾT BỊ'!$B$1:$S$836,7,0),"")</f>
        <v>XN Chuối DP2</v>
      </c>
      <c r="I602" s="610" t="str">
        <f>IFERROR(VLOOKUP(B602,'03. THIẾT BỊ'!$B$1:$S$836,8,0),"")</f>
        <v>20/12/2024</v>
      </c>
      <c r="J602" s="25"/>
      <c r="K602" s="19" t="str">
        <f>IFERROR(VLOOKUP(B602,'03. THIẾT BỊ'!$B$1:$S$836,10,0),"")</f>
        <v>Bình thường</v>
      </c>
      <c r="L602" s="25">
        <f>IFERROR(VLOOKUP(B602,'03. THIẾT BỊ'!$B$1:$S$836,11,0),"")</f>
        <v>0</v>
      </c>
      <c r="M602" s="24" t="str">
        <f>IFERROR(VLOOKUP(B602,'03. THIẾT BỊ'!$B$1:$S$836,12,0),"")</f>
        <v>XĐG</v>
      </c>
      <c r="N602" s="25" t="str">
        <f>IFERROR(VLOOKUP(B602,'03. THIẾT BỊ'!$B$1:$S$836,13,0),"")</f>
        <v>CAMBODIA</v>
      </c>
      <c r="O602" s="24" t="str">
        <f>IFERROR(VLOOKUP(B602,'03. THIẾT BỊ'!$B$1:$S$836,14,0),"")</f>
        <v>KB-530 + Motor</v>
      </c>
      <c r="P602" s="25" t="str">
        <f>IFERROR(VLOOKUP(B602,'03. THIẾT BỊ'!$B$1:$S$836,15,0),"")</f>
        <v>CAMBODIA</v>
      </c>
      <c r="Q602" s="23">
        <f>IFERROR(VLOOKUP(B602,'03. THIẾT BỊ'!$B$1:$S$836,16,0),"")</f>
        <v>0</v>
      </c>
      <c r="R602" s="25" t="str">
        <f>IFERROR(VLOOKUP(B602,'03. THIẾT BỊ'!$B$1:$S$836,17,0),"")</f>
        <v>2HP</v>
      </c>
      <c r="S602" s="25">
        <f>IFERROR(VLOOKUP(B602,'03. THIẾT BỊ'!$B$1:$S$836,18,0),"")</f>
        <v>0</v>
      </c>
      <c r="T602" s="41"/>
    </row>
    <row r="603" customHeight="1" spans="1:20">
      <c r="A603" s="19">
        <f t="shared" si="29"/>
        <v>20</v>
      </c>
      <c r="B603" s="20" t="s">
        <v>4450</v>
      </c>
      <c r="C603" s="613">
        <f>IFERROR(VLOOKUP(B603,'03. THIẾT BỊ'!$B$1:$S$836,2,0),"")</f>
        <v>0</v>
      </c>
      <c r="D603" s="24">
        <f>IFERROR(VLOOKUP(B603,'03. THIẾT BỊ'!$B$1:$S$836,3,0),"")</f>
        <v>0</v>
      </c>
      <c r="E603" s="20" t="str">
        <f>IFERROR(VLOOKUP(B603,'03. THIẾT BỊ'!$B$1:$S$836,4,0),"")</f>
        <v>ĐQSD</v>
      </c>
      <c r="F603" s="20" t="str">
        <f>IFERROR(VLOOKUP(B603,'03. THIẾT BỊ'!$B$1:$S$836,5,0),"")</f>
        <v>Máy cao áp phun thuốc</v>
      </c>
      <c r="G603" s="101" t="s">
        <v>6468</v>
      </c>
      <c r="H603" s="19" t="str">
        <f>IFERROR(VLOOKUP(B603,'03. THIẾT BỊ'!$B$1:$S$836,7,0),"")</f>
        <v>XN Chuối DP2</v>
      </c>
      <c r="I603" s="610" t="str">
        <f>IFERROR(VLOOKUP(B603,'03. THIẾT BỊ'!$B$1:$S$836,8,0),"")</f>
        <v>20/12/2024</v>
      </c>
      <c r="J603" s="25"/>
      <c r="K603" s="19" t="str">
        <f>IFERROR(VLOOKUP(B603,'03. THIẾT BỊ'!$B$1:$S$836,10,0),"")</f>
        <v>Bình thường</v>
      </c>
      <c r="L603" s="25">
        <f>IFERROR(VLOOKUP(B603,'03. THIẾT BỊ'!$B$1:$S$836,11,0),"")</f>
        <v>0</v>
      </c>
      <c r="M603" s="24" t="str">
        <f>IFERROR(VLOOKUP(B603,'03. THIẾT BỊ'!$B$1:$S$836,12,0),"")</f>
        <v>XĐG</v>
      </c>
      <c r="N603" s="25" t="str">
        <f>IFERROR(VLOOKUP(B603,'03. THIẾT BỊ'!$B$1:$S$836,13,0),"")</f>
        <v>CAMBODIA</v>
      </c>
      <c r="O603" s="24" t="str">
        <f>IFERROR(VLOOKUP(B603,'03. THIẾT BỊ'!$B$1:$S$836,14,0),"")</f>
        <v>KB-530 + Motor</v>
      </c>
      <c r="P603" s="25" t="str">
        <f>IFERROR(VLOOKUP(B603,'03. THIẾT BỊ'!$B$1:$S$836,15,0),"")</f>
        <v>CAMBODIA</v>
      </c>
      <c r="Q603" s="23">
        <f>IFERROR(VLOOKUP(B603,'03. THIẾT BỊ'!$B$1:$S$836,16,0),"")</f>
        <v>0</v>
      </c>
      <c r="R603" s="25" t="str">
        <f>IFERROR(VLOOKUP(B603,'03. THIẾT BỊ'!$B$1:$S$836,17,0),"")</f>
        <v>2HP</v>
      </c>
      <c r="S603" s="25">
        <f>IFERROR(VLOOKUP(B603,'03. THIẾT BỊ'!$B$1:$S$836,18,0),"")</f>
        <v>0</v>
      </c>
      <c r="T603" s="41"/>
    </row>
    <row r="604" customHeight="1" spans="1:20">
      <c r="A604" s="19">
        <f t="shared" si="29"/>
        <v>21</v>
      </c>
      <c r="B604" s="20" t="s">
        <v>4451</v>
      </c>
      <c r="C604" s="613">
        <f>IFERROR(VLOOKUP(B604,'03. THIẾT BỊ'!$B$1:$S$836,2,0),"")</f>
        <v>0</v>
      </c>
      <c r="D604" s="24">
        <f>IFERROR(VLOOKUP(B604,'03. THIẾT BỊ'!$B$1:$S$836,3,0),"")</f>
        <v>0</v>
      </c>
      <c r="E604" s="20" t="str">
        <f>IFERROR(VLOOKUP(B604,'03. THIẾT BỊ'!$B$1:$S$836,4,0),"")</f>
        <v>ĐQSD</v>
      </c>
      <c r="F604" s="20" t="str">
        <f>IFERROR(VLOOKUP(B604,'03. THIẾT BỊ'!$B$1:$S$836,5,0),"")</f>
        <v>Máy cao áp phun thuốc</v>
      </c>
      <c r="G604" s="101" t="s">
        <v>6468</v>
      </c>
      <c r="H604" s="19" t="str">
        <f>IFERROR(VLOOKUP(B604,'03. THIẾT BỊ'!$B$1:$S$836,7,0),"")</f>
        <v>XN Chuối DP2</v>
      </c>
      <c r="I604" s="610" t="str">
        <f>IFERROR(VLOOKUP(B604,'03. THIẾT BỊ'!$B$1:$S$836,8,0),"")</f>
        <v>20/12/2024</v>
      </c>
      <c r="J604" s="25"/>
      <c r="K604" s="19" t="str">
        <f>IFERROR(VLOOKUP(B604,'03. THIẾT BỊ'!$B$1:$S$836,10,0),"")</f>
        <v>Bình thường</v>
      </c>
      <c r="L604" s="25">
        <f>IFERROR(VLOOKUP(B604,'03. THIẾT BỊ'!$B$1:$S$836,11,0),"")</f>
        <v>0</v>
      </c>
      <c r="M604" s="24" t="str">
        <f>IFERROR(VLOOKUP(B604,'03. THIẾT BỊ'!$B$1:$S$836,12,0),"")</f>
        <v>Các NT</v>
      </c>
      <c r="N604" s="25" t="str">
        <f>IFERROR(VLOOKUP(B604,'03. THIẾT BỊ'!$B$1:$S$836,13,0),"")</f>
        <v>CAMBODIA</v>
      </c>
      <c r="O604" s="24" t="str">
        <f>IFERROR(VLOOKUP(B604,'03. THIẾT BỊ'!$B$1:$S$836,14,0),"")</f>
        <v>KB-80</v>
      </c>
      <c r="P604" s="25" t="str">
        <f>IFERROR(VLOOKUP(B604,'03. THIẾT BỊ'!$B$1:$S$836,15,0),"")</f>
        <v>CAMBODIA</v>
      </c>
      <c r="Q604" s="23">
        <f>IFERROR(VLOOKUP(B604,'03. THIẾT BỊ'!$B$1:$S$836,16,0),"")</f>
        <v>0</v>
      </c>
      <c r="R604" s="25" t="str">
        <f>IFERROR(VLOOKUP(B604,'03. THIẾT BỊ'!$B$1:$S$836,17,0),"")</f>
        <v>7.5HP</v>
      </c>
      <c r="S604" s="25">
        <f>IFERROR(VLOOKUP(B604,'03. THIẾT BỊ'!$B$1:$S$836,18,0),"")</f>
        <v>0</v>
      </c>
      <c r="T604" s="41"/>
    </row>
    <row r="605" customHeight="1" spans="1:20">
      <c r="A605" s="19">
        <f t="shared" si="29"/>
        <v>22</v>
      </c>
      <c r="B605" s="20" t="s">
        <v>4454</v>
      </c>
      <c r="C605" s="613">
        <f>IFERROR(VLOOKUP(B605,'03. THIẾT BỊ'!$B$1:$S$836,2,0),"")</f>
        <v>0</v>
      </c>
      <c r="D605" s="24">
        <f>IFERROR(VLOOKUP(B605,'03. THIẾT BỊ'!$B$1:$S$836,3,0),"")</f>
        <v>0</v>
      </c>
      <c r="E605" s="20" t="str">
        <f>IFERROR(VLOOKUP(B605,'03. THIẾT BỊ'!$B$1:$S$836,4,0),"")</f>
        <v>ĐQSD</v>
      </c>
      <c r="F605" s="20" t="str">
        <f>IFERROR(VLOOKUP(B605,'03. THIẾT BỊ'!$B$1:$S$836,5,0),"")</f>
        <v>Máy cao áp phun thuốc</v>
      </c>
      <c r="G605" s="101" t="s">
        <v>6468</v>
      </c>
      <c r="H605" s="19" t="str">
        <f>IFERROR(VLOOKUP(B605,'03. THIẾT BỊ'!$B$1:$S$836,7,0),"")</f>
        <v>XN Chuối DP2</v>
      </c>
      <c r="I605" s="610" t="str">
        <f>IFERROR(VLOOKUP(B605,'03. THIẾT BỊ'!$B$1:$S$836,8,0),"")</f>
        <v>20/12/2024</v>
      </c>
      <c r="J605" s="25"/>
      <c r="K605" s="19" t="str">
        <f>IFERROR(VLOOKUP(B605,'03. THIẾT BỊ'!$B$1:$S$836,10,0),"")</f>
        <v>Bình thường</v>
      </c>
      <c r="L605" s="25">
        <f>IFERROR(VLOOKUP(B605,'03. THIẾT BỊ'!$B$1:$S$836,11,0),"")</f>
        <v>0</v>
      </c>
      <c r="M605" s="24" t="str">
        <f>IFERROR(VLOOKUP(B605,'03. THIẾT BỊ'!$B$1:$S$836,12,0),"")</f>
        <v>Các NT</v>
      </c>
      <c r="N605" s="25" t="str">
        <f>IFERROR(VLOOKUP(B605,'03. THIẾT BỊ'!$B$1:$S$836,13,0),"")</f>
        <v>CAMBODIA</v>
      </c>
      <c r="O605" s="24" t="str">
        <f>IFERROR(VLOOKUP(B605,'03. THIẾT BỊ'!$B$1:$S$836,14,0),"")</f>
        <v>KB-80</v>
      </c>
      <c r="P605" s="25" t="str">
        <f>IFERROR(VLOOKUP(B605,'03. THIẾT BỊ'!$B$1:$S$836,15,0),"")</f>
        <v>CAMBODIA</v>
      </c>
      <c r="Q605" s="23">
        <f>IFERROR(VLOOKUP(B605,'03. THIẾT BỊ'!$B$1:$S$836,16,0),"")</f>
        <v>0</v>
      </c>
      <c r="R605" s="25" t="str">
        <f>IFERROR(VLOOKUP(B605,'03. THIẾT BỊ'!$B$1:$S$836,17,0),"")</f>
        <v>7.5HP</v>
      </c>
      <c r="S605" s="25">
        <f>IFERROR(VLOOKUP(B605,'03. THIẾT BỊ'!$B$1:$S$836,18,0),"")</f>
        <v>0</v>
      </c>
      <c r="T605" s="41"/>
    </row>
    <row r="606" customHeight="1" spans="1:20">
      <c r="A606" s="19">
        <f t="shared" si="29"/>
        <v>23</v>
      </c>
      <c r="B606" s="20" t="s">
        <v>4455</v>
      </c>
      <c r="C606" s="613">
        <f>IFERROR(VLOOKUP(B606,'03. THIẾT BỊ'!$B$1:$S$836,2,0),"")</f>
        <v>0</v>
      </c>
      <c r="D606" s="24">
        <f>IFERROR(VLOOKUP(B606,'03. THIẾT BỊ'!$B$1:$S$836,3,0),"")</f>
        <v>0</v>
      </c>
      <c r="E606" s="20" t="str">
        <f>IFERROR(VLOOKUP(B606,'03. THIẾT BỊ'!$B$1:$S$836,4,0),"")</f>
        <v>ĐQSD</v>
      </c>
      <c r="F606" s="20" t="str">
        <f>IFERROR(VLOOKUP(B606,'03. THIẾT BỊ'!$B$1:$S$836,5,0),"")</f>
        <v>Máy cao áp phun thuốc</v>
      </c>
      <c r="G606" s="101" t="s">
        <v>6468</v>
      </c>
      <c r="H606" s="19" t="str">
        <f>IFERROR(VLOOKUP(B606,'03. THIẾT BỊ'!$B$1:$S$836,7,0),"")</f>
        <v>XN Chuối DP2</v>
      </c>
      <c r="I606" s="610" t="str">
        <f>IFERROR(VLOOKUP(B606,'03. THIẾT BỊ'!$B$1:$S$836,8,0),"")</f>
        <v>20/12/2024</v>
      </c>
      <c r="J606" s="25"/>
      <c r="K606" s="19" t="str">
        <f>IFERROR(VLOOKUP(B606,'03. THIẾT BỊ'!$B$1:$S$836,10,0),"")</f>
        <v>Bình thường</v>
      </c>
      <c r="L606" s="25">
        <f>IFERROR(VLOOKUP(B606,'03. THIẾT BỊ'!$B$1:$S$836,11,0),"")</f>
        <v>0</v>
      </c>
      <c r="M606" s="24" t="str">
        <f>IFERROR(VLOOKUP(B606,'03. THIẾT BỊ'!$B$1:$S$836,12,0),"")</f>
        <v>Các NT</v>
      </c>
      <c r="N606" s="25" t="str">
        <f>IFERROR(VLOOKUP(B606,'03. THIẾT BỊ'!$B$1:$S$836,13,0),"")</f>
        <v>CAMBODIA</v>
      </c>
      <c r="O606" s="24" t="str">
        <f>IFERROR(VLOOKUP(B606,'03. THIẾT BỊ'!$B$1:$S$836,14,0),"")</f>
        <v>KB-80</v>
      </c>
      <c r="P606" s="25" t="str">
        <f>IFERROR(VLOOKUP(B606,'03. THIẾT BỊ'!$B$1:$S$836,15,0),"")</f>
        <v>CAMBODIA</v>
      </c>
      <c r="Q606" s="23">
        <f>IFERROR(VLOOKUP(B606,'03. THIẾT BỊ'!$B$1:$S$836,16,0),"")</f>
        <v>0</v>
      </c>
      <c r="R606" s="25" t="str">
        <f>IFERROR(VLOOKUP(B606,'03. THIẾT BỊ'!$B$1:$S$836,17,0),"")</f>
        <v>7.5HP</v>
      </c>
      <c r="S606" s="25">
        <f>IFERROR(VLOOKUP(B606,'03. THIẾT BỊ'!$B$1:$S$836,18,0),"")</f>
        <v>0</v>
      </c>
      <c r="T606" s="41"/>
    </row>
    <row r="607" customHeight="1" spans="1:20">
      <c r="A607" s="19">
        <f t="shared" si="29"/>
        <v>24</v>
      </c>
      <c r="B607" s="20" t="s">
        <v>4456</v>
      </c>
      <c r="C607" s="613">
        <f>IFERROR(VLOOKUP(B607,'03. THIẾT BỊ'!$B$1:$S$836,2,0),"")</f>
        <v>0</v>
      </c>
      <c r="D607" s="24">
        <f>IFERROR(VLOOKUP(B607,'03. THIẾT BỊ'!$B$1:$S$836,3,0),"")</f>
        <v>0</v>
      </c>
      <c r="E607" s="20" t="str">
        <f>IFERROR(VLOOKUP(B607,'03. THIẾT BỊ'!$B$1:$S$836,4,0),"")</f>
        <v>ĐQSD</v>
      </c>
      <c r="F607" s="20" t="str">
        <f>IFERROR(VLOOKUP(B607,'03. THIẾT BỊ'!$B$1:$S$836,5,0),"")</f>
        <v>Máy cao áp phun thuốc</v>
      </c>
      <c r="G607" s="101" t="s">
        <v>6468</v>
      </c>
      <c r="H607" s="19" t="str">
        <f>IFERROR(VLOOKUP(B607,'03. THIẾT BỊ'!$B$1:$S$836,7,0),"")</f>
        <v>XN Chuối DP2</v>
      </c>
      <c r="I607" s="610" t="str">
        <f>IFERROR(VLOOKUP(B607,'03. THIẾT BỊ'!$B$1:$S$836,8,0),"")</f>
        <v>20/12/2024</v>
      </c>
      <c r="J607" s="25"/>
      <c r="K607" s="19" t="str">
        <f>IFERROR(VLOOKUP(B607,'03. THIẾT BỊ'!$B$1:$S$836,10,0),"")</f>
        <v>Bình thường</v>
      </c>
      <c r="L607" s="25">
        <f>IFERROR(VLOOKUP(B607,'03. THIẾT BỊ'!$B$1:$S$836,11,0),"")</f>
        <v>0</v>
      </c>
      <c r="M607" s="24" t="str">
        <f>IFERROR(VLOOKUP(B607,'03. THIẾT BỊ'!$B$1:$S$836,12,0),"")</f>
        <v>Các NT</v>
      </c>
      <c r="N607" s="25" t="str">
        <f>IFERROR(VLOOKUP(B607,'03. THIẾT BỊ'!$B$1:$S$836,13,0),"")</f>
        <v>CAMBODIA</v>
      </c>
      <c r="O607" s="24" t="str">
        <f>IFERROR(VLOOKUP(B607,'03. THIẾT BỊ'!$B$1:$S$836,14,0),"")</f>
        <v>KB-80</v>
      </c>
      <c r="P607" s="25" t="str">
        <f>IFERROR(VLOOKUP(B607,'03. THIẾT BỊ'!$B$1:$S$836,15,0),"")</f>
        <v>CAMBODIA</v>
      </c>
      <c r="Q607" s="23">
        <f>IFERROR(VLOOKUP(B607,'03. THIẾT BỊ'!$B$1:$S$836,16,0),"")</f>
        <v>0</v>
      </c>
      <c r="R607" s="25" t="str">
        <f>IFERROR(VLOOKUP(B607,'03. THIẾT BỊ'!$B$1:$S$836,17,0),"")</f>
        <v>7.5HP</v>
      </c>
      <c r="S607" s="25">
        <f>IFERROR(VLOOKUP(B607,'03. THIẾT BỊ'!$B$1:$S$836,18,0),"")</f>
        <v>0</v>
      </c>
      <c r="T607" s="41"/>
    </row>
    <row r="608" customHeight="1" spans="1:20">
      <c r="A608" s="19">
        <f t="shared" si="29"/>
        <v>25</v>
      </c>
      <c r="B608" s="20" t="s">
        <v>4457</v>
      </c>
      <c r="C608" s="613">
        <f>IFERROR(VLOOKUP(B608,'03. THIẾT BỊ'!$B$1:$S$836,2,0),"")</f>
        <v>0</v>
      </c>
      <c r="D608" s="24">
        <f>IFERROR(VLOOKUP(B608,'03. THIẾT BỊ'!$B$1:$S$836,3,0),"")</f>
        <v>0</v>
      </c>
      <c r="E608" s="20" t="str">
        <f>IFERROR(VLOOKUP(B608,'03. THIẾT BỊ'!$B$1:$S$836,4,0),"")</f>
        <v>ĐQSD</v>
      </c>
      <c r="F608" s="20" t="str">
        <f>IFERROR(VLOOKUP(B608,'03. THIẾT BỊ'!$B$1:$S$836,5,0),"")</f>
        <v>Máy cao áp phun thuốc</v>
      </c>
      <c r="G608" s="101" t="s">
        <v>6468</v>
      </c>
      <c r="H608" s="19" t="str">
        <f>IFERROR(VLOOKUP(B608,'03. THIẾT BỊ'!$B$1:$S$836,7,0),"")</f>
        <v>XN Chuối DP2</v>
      </c>
      <c r="I608" s="610">
        <f>IFERROR(VLOOKUP(B608,'03. THIẾT BỊ'!$B$1:$S$836,8,0),"")</f>
        <v>45809</v>
      </c>
      <c r="J608" s="25"/>
      <c r="K608" s="19" t="str">
        <f>IFERROR(VLOOKUP(B608,'03. THIẾT BỊ'!$B$1:$S$836,10,0),"")</f>
        <v>Bình thường</v>
      </c>
      <c r="L608" s="25">
        <f>IFERROR(VLOOKUP(B608,'03. THIẾT BỊ'!$B$1:$S$836,11,0),"")</f>
        <v>0</v>
      </c>
      <c r="M608" s="24" t="str">
        <f>IFERROR(VLOOKUP(B608,'03. THIẾT BỊ'!$B$1:$S$836,12,0),"")</f>
        <v>Phun nấm lá, Rệp, Vi sinh, thuốc BVTV</v>
      </c>
      <c r="N608" s="25" t="str">
        <f>IFERROR(VLOOKUP(B608,'03. THIẾT BỊ'!$B$1:$S$836,13,0),"")</f>
        <v>CAMBODIA</v>
      </c>
      <c r="O608" s="24" t="str">
        <f>IFERROR(VLOOKUP(B608,'03. THIẾT BỊ'!$B$1:$S$836,14,0),"")</f>
        <v>1.5HP</v>
      </c>
      <c r="P608" s="25" t="str">
        <f>IFERROR(VLOOKUP(B608,'03. THIẾT BỊ'!$B$1:$S$836,15,0),"")</f>
        <v>CAMBODIA</v>
      </c>
      <c r="Q608" s="23">
        <f>IFERROR(VLOOKUP(B608,'03. THIẾT BỊ'!$B$1:$S$836,16,0),"")</f>
        <v>0</v>
      </c>
      <c r="R608" s="25" t="str">
        <f>IFERROR(VLOOKUP(B608,'03. THIẾT BỊ'!$B$1:$S$836,17,0),"")</f>
        <v>1.5HP</v>
      </c>
      <c r="S608" s="25">
        <f>IFERROR(VLOOKUP(B608,'03. THIẾT BỊ'!$B$1:$S$836,18,0),"")</f>
        <v>0</v>
      </c>
      <c r="T608" s="41"/>
    </row>
    <row r="609" customHeight="1" spans="1:20">
      <c r="A609" s="19">
        <f t="shared" si="29"/>
        <v>26</v>
      </c>
      <c r="B609" s="20" t="s">
        <v>4458</v>
      </c>
      <c r="C609" s="613">
        <f>IFERROR(VLOOKUP(B609,'03. THIẾT BỊ'!$B$1:$S$836,2,0),"")</f>
        <v>0</v>
      </c>
      <c r="D609" s="24">
        <f>IFERROR(VLOOKUP(B609,'03. THIẾT BỊ'!$B$1:$S$836,3,0),"")</f>
        <v>0</v>
      </c>
      <c r="E609" s="20" t="str">
        <f>IFERROR(VLOOKUP(B609,'03. THIẾT BỊ'!$B$1:$S$836,4,0),"")</f>
        <v>ĐQSD</v>
      </c>
      <c r="F609" s="20" t="str">
        <f>IFERROR(VLOOKUP(B609,'03. THIẾT BỊ'!$B$1:$S$836,5,0),"")</f>
        <v>Máy cao áp phun thuốc</v>
      </c>
      <c r="G609" s="101" t="s">
        <v>6468</v>
      </c>
      <c r="H609" s="19" t="str">
        <f>IFERROR(VLOOKUP(B609,'03. THIẾT BỊ'!$B$1:$S$836,7,0),"")</f>
        <v>XN Chuối DP2</v>
      </c>
      <c r="I609" s="610">
        <f>IFERROR(VLOOKUP(B609,'03. THIẾT BỊ'!$B$1:$S$836,8,0),"")</f>
        <v>45809</v>
      </c>
      <c r="J609" s="25"/>
      <c r="K609" s="19" t="str">
        <f>IFERROR(VLOOKUP(B609,'03. THIẾT BỊ'!$B$1:$S$836,10,0),"")</f>
        <v>Bình thường</v>
      </c>
      <c r="L609" s="25">
        <f>IFERROR(VLOOKUP(B609,'03. THIẾT BỊ'!$B$1:$S$836,11,0),"")</f>
        <v>0</v>
      </c>
      <c r="M609" s="24" t="str">
        <f>IFERROR(VLOOKUP(B609,'03. THIẾT BỊ'!$B$1:$S$836,12,0),"")</f>
        <v>Phun nấm lá, Rệp, Vi sinh, thuốc BVTV</v>
      </c>
      <c r="N609" s="25" t="str">
        <f>IFERROR(VLOOKUP(B609,'03. THIẾT BỊ'!$B$1:$S$836,13,0),"")</f>
        <v>CAMBODIA</v>
      </c>
      <c r="O609" s="24" t="str">
        <f>IFERROR(VLOOKUP(B609,'03. THIẾT BỊ'!$B$1:$S$836,14,0),"")</f>
        <v>1.5HP</v>
      </c>
      <c r="P609" s="25" t="str">
        <f>IFERROR(VLOOKUP(B609,'03. THIẾT BỊ'!$B$1:$S$836,15,0),"")</f>
        <v>CAMBODIA</v>
      </c>
      <c r="Q609" s="23">
        <f>IFERROR(VLOOKUP(B609,'03. THIẾT BỊ'!$B$1:$S$836,16,0),"")</f>
        <v>0</v>
      </c>
      <c r="R609" s="25" t="str">
        <f>IFERROR(VLOOKUP(B609,'03. THIẾT BỊ'!$B$1:$S$836,17,0),"")</f>
        <v>1.5HP</v>
      </c>
      <c r="S609" s="25">
        <f>IFERROR(VLOOKUP(B609,'03. THIẾT BỊ'!$B$1:$S$836,18,0),"")</f>
        <v>0</v>
      </c>
      <c r="T609" s="41"/>
    </row>
    <row r="610" customHeight="1" spans="1:20">
      <c r="A610" s="19">
        <f t="shared" si="29"/>
        <v>27</v>
      </c>
      <c r="B610" s="20" t="s">
        <v>4459</v>
      </c>
      <c r="C610" s="613">
        <f>IFERROR(VLOOKUP(B610,'03. THIẾT BỊ'!$B$1:$S$836,2,0),"")</f>
        <v>0</v>
      </c>
      <c r="D610" s="24">
        <f>IFERROR(VLOOKUP(B610,'03. THIẾT BỊ'!$B$1:$S$836,3,0),"")</f>
        <v>0</v>
      </c>
      <c r="E610" s="20" t="str">
        <f>IFERROR(VLOOKUP(B610,'03. THIẾT BỊ'!$B$1:$S$836,4,0),"")</f>
        <v>ĐQSD</v>
      </c>
      <c r="F610" s="20" t="str">
        <f>IFERROR(VLOOKUP(B610,'03. THIẾT BỊ'!$B$1:$S$836,5,0),"")</f>
        <v>Máy cao áp phun thuốc</v>
      </c>
      <c r="G610" s="101" t="s">
        <v>6468</v>
      </c>
      <c r="H610" s="19" t="str">
        <f>IFERROR(VLOOKUP(B610,'03. THIẾT BỊ'!$B$1:$S$836,7,0),"")</f>
        <v>XN Chuối DP2</v>
      </c>
      <c r="I610" s="610">
        <f>IFERROR(VLOOKUP(B610,'03. THIẾT BỊ'!$B$1:$S$836,8,0),"")</f>
        <v>45809</v>
      </c>
      <c r="J610" s="25"/>
      <c r="K610" s="19" t="str">
        <f>IFERROR(VLOOKUP(B610,'03. THIẾT BỊ'!$B$1:$S$836,10,0),"")</f>
        <v>Bình thường</v>
      </c>
      <c r="L610" s="25">
        <f>IFERROR(VLOOKUP(B610,'03. THIẾT BỊ'!$B$1:$S$836,11,0),"")</f>
        <v>0</v>
      </c>
      <c r="M610" s="24" t="str">
        <f>IFERROR(VLOOKUP(B610,'03. THIẾT BỊ'!$B$1:$S$836,12,0),"")</f>
        <v>Phun nấm lá, Rệp, Vi sinh, thuốc BVTV</v>
      </c>
      <c r="N610" s="25" t="str">
        <f>IFERROR(VLOOKUP(B610,'03. THIẾT BỊ'!$B$1:$S$836,13,0),"")</f>
        <v>CAMBODIA</v>
      </c>
      <c r="O610" s="24" t="str">
        <f>IFERROR(VLOOKUP(B610,'03. THIẾT BỊ'!$B$1:$S$836,14,0),"")</f>
        <v>1.5HP</v>
      </c>
      <c r="P610" s="25" t="str">
        <f>IFERROR(VLOOKUP(B610,'03. THIẾT BỊ'!$B$1:$S$836,15,0),"")</f>
        <v>CAMBODIA</v>
      </c>
      <c r="Q610" s="23">
        <f>IFERROR(VLOOKUP(B610,'03. THIẾT BỊ'!$B$1:$S$836,16,0),"")</f>
        <v>0</v>
      </c>
      <c r="R610" s="25" t="str">
        <f>IFERROR(VLOOKUP(B610,'03. THIẾT BỊ'!$B$1:$S$836,17,0),"")</f>
        <v>1.5HP</v>
      </c>
      <c r="S610" s="25">
        <f>IFERROR(VLOOKUP(B610,'03. THIẾT BỊ'!$B$1:$S$836,18,0),"")</f>
        <v>0</v>
      </c>
      <c r="T610" s="41"/>
    </row>
    <row r="611" customHeight="1" spans="1:20">
      <c r="A611" s="19">
        <f t="shared" si="29"/>
        <v>28</v>
      </c>
      <c r="B611" s="20" t="s">
        <v>4460</v>
      </c>
      <c r="C611" s="613">
        <f>IFERROR(VLOOKUP(B611,'03. THIẾT BỊ'!$B$1:$S$836,2,0),"")</f>
        <v>0</v>
      </c>
      <c r="D611" s="24">
        <f>IFERROR(VLOOKUP(B611,'03. THIẾT BỊ'!$B$1:$S$836,3,0),"")</f>
        <v>0</v>
      </c>
      <c r="E611" s="20" t="str">
        <f>IFERROR(VLOOKUP(B611,'03. THIẾT BỊ'!$B$1:$S$836,4,0),"")</f>
        <v>ĐQSD</v>
      </c>
      <c r="F611" s="20" t="str">
        <f>IFERROR(VLOOKUP(B611,'03. THIẾT BỊ'!$B$1:$S$836,5,0),"")</f>
        <v>Máy cao áp phun thuốc</v>
      </c>
      <c r="G611" s="101" t="s">
        <v>6468</v>
      </c>
      <c r="H611" s="19" t="str">
        <f>IFERROR(VLOOKUP(B611,'03. THIẾT BỊ'!$B$1:$S$836,7,0),"")</f>
        <v>XN Chuối DP2</v>
      </c>
      <c r="I611" s="610">
        <f>IFERROR(VLOOKUP(B611,'03. THIẾT BỊ'!$B$1:$S$836,8,0),"")</f>
        <v>45809</v>
      </c>
      <c r="J611" s="25"/>
      <c r="K611" s="19" t="str">
        <f>IFERROR(VLOOKUP(B611,'03. THIẾT BỊ'!$B$1:$S$836,10,0),"")</f>
        <v>Bình thường</v>
      </c>
      <c r="L611" s="25">
        <f>IFERROR(VLOOKUP(B611,'03. THIẾT BỊ'!$B$1:$S$836,11,0),"")</f>
        <v>0</v>
      </c>
      <c r="M611" s="24" t="str">
        <f>IFERROR(VLOOKUP(B611,'03. THIẾT BỊ'!$B$1:$S$836,12,0),"")</f>
        <v>Phun nấm lá, Rệp, Vi sinh, thuốc BVTV</v>
      </c>
      <c r="N611" s="25" t="str">
        <f>IFERROR(VLOOKUP(B611,'03. THIẾT BỊ'!$B$1:$S$836,13,0),"")</f>
        <v>CAMBODIA</v>
      </c>
      <c r="O611" s="24" t="str">
        <f>IFERROR(VLOOKUP(B611,'03. THIẾT BỊ'!$B$1:$S$836,14,0),"")</f>
        <v>1.5HP</v>
      </c>
      <c r="P611" s="25" t="str">
        <f>IFERROR(VLOOKUP(B611,'03. THIẾT BỊ'!$B$1:$S$836,15,0),"")</f>
        <v>CAMBODIA</v>
      </c>
      <c r="Q611" s="23">
        <f>IFERROR(VLOOKUP(B611,'03. THIẾT BỊ'!$B$1:$S$836,16,0),"")</f>
        <v>0</v>
      </c>
      <c r="R611" s="25" t="str">
        <f>IFERROR(VLOOKUP(B611,'03. THIẾT BỊ'!$B$1:$S$836,17,0),"")</f>
        <v>1.5HP</v>
      </c>
      <c r="S611" s="25">
        <f>IFERROR(VLOOKUP(B611,'03. THIẾT BỊ'!$B$1:$S$836,18,0),"")</f>
        <v>0</v>
      </c>
      <c r="T611" s="41"/>
    </row>
    <row r="612" customHeight="1" spans="1:20">
      <c r="A612" s="19">
        <f t="shared" si="29"/>
        <v>29</v>
      </c>
      <c r="B612" s="38" t="s">
        <v>4539</v>
      </c>
      <c r="C612" s="613">
        <f>IFERROR(VLOOKUP(B612,'03. THIẾT BỊ'!$B$1:$S$836,2,0),"")</f>
        <v>0</v>
      </c>
      <c r="D612" s="24">
        <f>IFERROR(VLOOKUP(B612,'03. THIẾT BỊ'!$B$1:$S$836,3,0),"")</f>
        <v>0</v>
      </c>
      <c r="E612" s="20" t="str">
        <f>IFERROR(VLOOKUP(B612,'03. THIẾT BỊ'!$B$1:$S$836,4,0),"")</f>
        <v>ĐQSD</v>
      </c>
      <c r="F612" s="20" t="str">
        <f>IFERROR(VLOOKUP(B612,'03. THIẾT BỊ'!$B$1:$S$836,5,0),"")</f>
        <v>Máy cao áp phun thuốc</v>
      </c>
      <c r="G612" s="101" t="s">
        <v>6468</v>
      </c>
      <c r="H612" s="19" t="str">
        <f>IFERROR(VLOOKUP(B612,'03. THIẾT BỊ'!$B$1:$S$836,7,0),"")</f>
        <v>XN Chuối DP3</v>
      </c>
      <c r="I612" s="610">
        <f>IFERROR(VLOOKUP(B612,'03. THIẾT BỊ'!$B$1:$S$836,8,0),"")</f>
        <v>0</v>
      </c>
      <c r="J612" s="25"/>
      <c r="K612" s="19" t="str">
        <f>IFERROR(VLOOKUP(B612,'03. THIẾT BỊ'!$B$1:$S$836,10,0),"")</f>
        <v>Bình thường</v>
      </c>
      <c r="L612" s="25">
        <f>IFERROR(VLOOKUP(B612,'03. THIẾT BỊ'!$B$1:$S$836,11,0),"")</f>
        <v>0</v>
      </c>
      <c r="M612" s="24" t="str">
        <f>IFERROR(VLOOKUP(B612,'03. THIẾT BỊ'!$B$1:$S$836,12,0),"")</f>
        <v>XĐG</v>
      </c>
      <c r="N612" s="25" t="str">
        <f>IFERROR(VLOOKUP(B612,'03. THIẾT BỊ'!$B$1:$S$836,13,0),"")</f>
        <v>CAMBODIA</v>
      </c>
      <c r="O612" s="24" t="str">
        <f>IFERROR(VLOOKUP(B612,'03. THIẾT BỊ'!$B$1:$S$836,14,0),"")</f>
        <v>3HP</v>
      </c>
      <c r="P612" s="25" t="str">
        <f>IFERROR(VLOOKUP(B612,'03. THIẾT BỊ'!$B$1:$S$836,15,0),"")</f>
        <v>CAMBODIA</v>
      </c>
      <c r="Q612" s="23">
        <f>IFERROR(VLOOKUP(B612,'03. THIẾT BỊ'!$B$1:$S$836,16,0),"")</f>
        <v>0</v>
      </c>
      <c r="R612" s="25" t="str">
        <f>IFERROR(VLOOKUP(B612,'03. THIẾT BỊ'!$B$1:$S$836,17,0),"")</f>
        <v>3HP</v>
      </c>
      <c r="S612" s="25">
        <f>IFERROR(VLOOKUP(B612,'03. THIẾT BỊ'!$B$1:$S$836,18,0),"")</f>
        <v>0</v>
      </c>
      <c r="T612" s="622"/>
    </row>
    <row r="613" customHeight="1" spans="1:20">
      <c r="A613" s="19">
        <f t="shared" si="29"/>
        <v>30</v>
      </c>
      <c r="B613" s="38" t="s">
        <v>4540</v>
      </c>
      <c r="C613" s="613">
        <f>IFERROR(VLOOKUP(B613,'03. THIẾT BỊ'!$B$1:$S$836,2,0),"")</f>
        <v>0</v>
      </c>
      <c r="D613" s="24">
        <f>IFERROR(VLOOKUP(B613,'03. THIẾT BỊ'!$B$1:$S$836,3,0),"")</f>
        <v>0</v>
      </c>
      <c r="E613" s="20" t="str">
        <f>IFERROR(VLOOKUP(B613,'03. THIẾT BỊ'!$B$1:$S$836,4,0),"")</f>
        <v>ĐQSD</v>
      </c>
      <c r="F613" s="20" t="str">
        <f>IFERROR(VLOOKUP(B613,'03. THIẾT BỊ'!$B$1:$S$836,5,0),"")</f>
        <v>Máy cao áp phun thuốc</v>
      </c>
      <c r="G613" s="101" t="s">
        <v>6468</v>
      </c>
      <c r="H613" s="19" t="str">
        <f>IFERROR(VLOOKUP(B613,'03. THIẾT BỊ'!$B$1:$S$836,7,0),"")</f>
        <v>XN Chuối DP3</v>
      </c>
      <c r="I613" s="610">
        <f>IFERROR(VLOOKUP(B613,'03. THIẾT BỊ'!$B$1:$S$836,8,0),"")</f>
        <v>0</v>
      </c>
      <c r="J613" s="25"/>
      <c r="K613" s="19" t="str">
        <f>IFERROR(VLOOKUP(B613,'03. THIẾT BỊ'!$B$1:$S$836,10,0),"")</f>
        <v>Bình thường</v>
      </c>
      <c r="L613" s="25">
        <f>IFERROR(VLOOKUP(B613,'03. THIẾT BỊ'!$B$1:$S$836,11,0),"")</f>
        <v>0</v>
      </c>
      <c r="M613" s="24" t="str">
        <f>IFERROR(VLOOKUP(B613,'03. THIẾT BỊ'!$B$1:$S$836,12,0),"")</f>
        <v>XĐG</v>
      </c>
      <c r="N613" s="25" t="str">
        <f>IFERROR(VLOOKUP(B613,'03. THIẾT BỊ'!$B$1:$S$836,13,0),"")</f>
        <v>CAMBODIA</v>
      </c>
      <c r="O613" s="24" t="str">
        <f>IFERROR(VLOOKUP(B613,'03. THIẾT BỊ'!$B$1:$S$836,14,0),"")</f>
        <v>3HP</v>
      </c>
      <c r="P613" s="25" t="str">
        <f>IFERROR(VLOOKUP(B613,'03. THIẾT BỊ'!$B$1:$S$836,15,0),"")</f>
        <v>CAMBODIA</v>
      </c>
      <c r="Q613" s="23">
        <f>IFERROR(VLOOKUP(B613,'03. THIẾT BỊ'!$B$1:$S$836,16,0),"")</f>
        <v>0</v>
      </c>
      <c r="R613" s="25" t="str">
        <f>IFERROR(VLOOKUP(B613,'03. THIẾT BỊ'!$B$1:$S$836,17,0),"")</f>
        <v>3HP</v>
      </c>
      <c r="S613" s="25">
        <f>IFERROR(VLOOKUP(B613,'03. THIẾT BỊ'!$B$1:$S$836,18,0),"")</f>
        <v>0</v>
      </c>
      <c r="T613" s="622"/>
    </row>
    <row r="614" customHeight="1" spans="1:20">
      <c r="A614" s="19">
        <f t="shared" si="29"/>
        <v>31</v>
      </c>
      <c r="B614" s="38" t="s">
        <v>4541</v>
      </c>
      <c r="C614" s="613">
        <f>IFERROR(VLOOKUP(B614,'03. THIẾT BỊ'!$B$1:$S$836,2,0),"")</f>
        <v>0</v>
      </c>
      <c r="D614" s="24">
        <f>IFERROR(VLOOKUP(B614,'03. THIẾT BỊ'!$B$1:$S$836,3,0),"")</f>
        <v>0</v>
      </c>
      <c r="E614" s="20" t="str">
        <f>IFERROR(VLOOKUP(B614,'03. THIẾT BỊ'!$B$1:$S$836,4,0),"")</f>
        <v>ĐQSD</v>
      </c>
      <c r="F614" s="20" t="str">
        <f>IFERROR(VLOOKUP(B614,'03. THIẾT BỊ'!$B$1:$S$836,5,0),"")</f>
        <v>Máy cao áp phun thuốc</v>
      </c>
      <c r="G614" s="101" t="s">
        <v>6468</v>
      </c>
      <c r="H614" s="19" t="str">
        <f>IFERROR(VLOOKUP(B614,'03. THIẾT BỊ'!$B$1:$S$836,7,0),"")</f>
        <v>XN Chuối DP3</v>
      </c>
      <c r="I614" s="610">
        <f>IFERROR(VLOOKUP(B614,'03. THIẾT BỊ'!$B$1:$S$836,8,0),"")</f>
        <v>0</v>
      </c>
      <c r="J614" s="25"/>
      <c r="K614" s="19" t="str">
        <f>IFERROR(VLOOKUP(B614,'03. THIẾT BỊ'!$B$1:$S$836,10,0),"")</f>
        <v>Bình thường</v>
      </c>
      <c r="L614" s="25">
        <f>IFERROR(VLOOKUP(B614,'03. THIẾT BỊ'!$B$1:$S$836,11,0),"")</f>
        <v>0</v>
      </c>
      <c r="M614" s="24" t="str">
        <f>IFERROR(VLOOKUP(B614,'03. THIẾT BỊ'!$B$1:$S$836,12,0),"")</f>
        <v>XĐG</v>
      </c>
      <c r="N614" s="25" t="str">
        <f>IFERROR(VLOOKUP(B614,'03. THIẾT BỊ'!$B$1:$S$836,13,0),"")</f>
        <v>CAMBODIA</v>
      </c>
      <c r="O614" s="24" t="str">
        <f>IFERROR(VLOOKUP(B614,'03. THIẾT BỊ'!$B$1:$S$836,14,0),"")</f>
        <v>3HP</v>
      </c>
      <c r="P614" s="25" t="str">
        <f>IFERROR(VLOOKUP(B614,'03. THIẾT BỊ'!$B$1:$S$836,15,0),"")</f>
        <v>CAMBODIA</v>
      </c>
      <c r="Q614" s="23">
        <f>IFERROR(VLOOKUP(B614,'03. THIẾT BỊ'!$B$1:$S$836,16,0),"")</f>
        <v>0</v>
      </c>
      <c r="R614" s="25" t="str">
        <f>IFERROR(VLOOKUP(B614,'03. THIẾT BỊ'!$B$1:$S$836,17,0),"")</f>
        <v>3HP</v>
      </c>
      <c r="S614" s="25">
        <f>IFERROR(VLOOKUP(B614,'03. THIẾT BỊ'!$B$1:$S$836,18,0),"")</f>
        <v>0</v>
      </c>
      <c r="T614" s="622"/>
    </row>
    <row r="615" customHeight="1" spans="1:20">
      <c r="A615" s="19">
        <f t="shared" si="29"/>
        <v>32</v>
      </c>
      <c r="B615" s="38" t="s">
        <v>4542</v>
      </c>
      <c r="C615" s="613">
        <f>IFERROR(VLOOKUP(B615,'03. THIẾT BỊ'!$B$1:$S$836,2,0),"")</f>
        <v>0</v>
      </c>
      <c r="D615" s="24">
        <f>IFERROR(VLOOKUP(B615,'03. THIẾT BỊ'!$B$1:$S$836,3,0),"")</f>
        <v>0</v>
      </c>
      <c r="E615" s="20" t="str">
        <f>IFERROR(VLOOKUP(B615,'03. THIẾT BỊ'!$B$1:$S$836,4,0),"")</f>
        <v>ĐQSD</v>
      </c>
      <c r="F615" s="20" t="str">
        <f>IFERROR(VLOOKUP(B615,'03. THIẾT BỊ'!$B$1:$S$836,5,0),"")</f>
        <v>Máy cao áp phun thuốc</v>
      </c>
      <c r="G615" s="101" t="s">
        <v>6468</v>
      </c>
      <c r="H615" s="19" t="str">
        <f>IFERROR(VLOOKUP(B615,'03. THIẾT BỊ'!$B$1:$S$836,7,0),"")</f>
        <v>XN Chuối DP3</v>
      </c>
      <c r="I615" s="610">
        <f>IFERROR(VLOOKUP(B615,'03. THIẾT BỊ'!$B$1:$S$836,8,0),"")</f>
        <v>0</v>
      </c>
      <c r="J615" s="25"/>
      <c r="K615" s="19" t="str">
        <f>IFERROR(VLOOKUP(B615,'03. THIẾT BỊ'!$B$1:$S$836,10,0),"")</f>
        <v>Bình thường</v>
      </c>
      <c r="L615" s="25">
        <f>IFERROR(VLOOKUP(B615,'03. THIẾT BỊ'!$B$1:$S$836,11,0),"")</f>
        <v>0</v>
      </c>
      <c r="M615" s="24" t="str">
        <f>IFERROR(VLOOKUP(B615,'03. THIẾT BỊ'!$B$1:$S$836,12,0),"")</f>
        <v>XĐG</v>
      </c>
      <c r="N615" s="25" t="str">
        <f>IFERROR(VLOOKUP(B615,'03. THIẾT BỊ'!$B$1:$S$836,13,0),"")</f>
        <v>CAMBODIA</v>
      </c>
      <c r="O615" s="24" t="str">
        <f>IFERROR(VLOOKUP(B615,'03. THIẾT BỊ'!$B$1:$S$836,14,0),"")</f>
        <v>3HP</v>
      </c>
      <c r="P615" s="25" t="str">
        <f>IFERROR(VLOOKUP(B615,'03. THIẾT BỊ'!$B$1:$S$836,15,0),"")</f>
        <v>CAMBODIA</v>
      </c>
      <c r="Q615" s="23">
        <f>IFERROR(VLOOKUP(B615,'03. THIẾT BỊ'!$B$1:$S$836,16,0),"")</f>
        <v>0</v>
      </c>
      <c r="R615" s="25" t="str">
        <f>IFERROR(VLOOKUP(B615,'03. THIẾT BỊ'!$B$1:$S$836,17,0),"")</f>
        <v>3HP</v>
      </c>
      <c r="S615" s="25">
        <f>IFERROR(VLOOKUP(B615,'03. THIẾT BỊ'!$B$1:$S$836,18,0),"")</f>
        <v>0</v>
      </c>
      <c r="T615" s="622"/>
    </row>
    <row r="616" customHeight="1" spans="1:20">
      <c r="A616" s="19">
        <f t="shared" si="29"/>
        <v>33</v>
      </c>
      <c r="B616" s="38" t="s">
        <v>4543</v>
      </c>
      <c r="C616" s="613">
        <f>IFERROR(VLOOKUP(B616,'03. THIẾT BỊ'!$B$1:$S$836,2,0),"")</f>
        <v>0</v>
      </c>
      <c r="D616" s="24">
        <f>IFERROR(VLOOKUP(B616,'03. THIẾT BỊ'!$B$1:$S$836,3,0),"")</f>
        <v>0</v>
      </c>
      <c r="E616" s="20" t="str">
        <f>IFERROR(VLOOKUP(B616,'03. THIẾT BỊ'!$B$1:$S$836,4,0),"")</f>
        <v>ĐQSD</v>
      </c>
      <c r="F616" s="20" t="str">
        <f>IFERROR(VLOOKUP(B616,'03. THIẾT BỊ'!$B$1:$S$836,5,0),"")</f>
        <v>Máy cao áp phun thuốc</v>
      </c>
      <c r="G616" s="101" t="s">
        <v>6468</v>
      </c>
      <c r="H616" s="19" t="str">
        <f>IFERROR(VLOOKUP(B616,'03. THIẾT BỊ'!$B$1:$S$836,7,0),"")</f>
        <v>XN Chuối DP3</v>
      </c>
      <c r="I616" s="610">
        <f>IFERROR(VLOOKUP(B616,'03. THIẾT BỊ'!$B$1:$S$836,8,0),"")</f>
        <v>0</v>
      </c>
      <c r="J616" s="25"/>
      <c r="K616" s="19" t="str">
        <f>IFERROR(VLOOKUP(B616,'03. THIẾT BỊ'!$B$1:$S$836,10,0),"")</f>
        <v>Bình thường</v>
      </c>
      <c r="L616" s="25">
        <f>IFERROR(VLOOKUP(B616,'03. THIẾT BỊ'!$B$1:$S$836,11,0),"")</f>
        <v>0</v>
      </c>
      <c r="M616" s="24" t="str">
        <f>IFERROR(VLOOKUP(B616,'03. THIẾT BỊ'!$B$1:$S$836,12,0),"")</f>
        <v>Ntr phun bệnh chuối</v>
      </c>
      <c r="N616" s="25" t="str">
        <f>IFERROR(VLOOKUP(B616,'03. THIẾT BỊ'!$B$1:$S$836,13,0),"")</f>
        <v>CAMBODIA</v>
      </c>
      <c r="O616" s="24" t="str">
        <f>IFERROR(VLOOKUP(B616,'03. THIẾT BỊ'!$B$1:$S$836,14,0),"")</f>
        <v>3HP</v>
      </c>
      <c r="P616" s="25" t="str">
        <f>IFERROR(VLOOKUP(B616,'03. THIẾT BỊ'!$B$1:$S$836,15,0),"")</f>
        <v>CAMBODIA</v>
      </c>
      <c r="Q616" s="23">
        <f>IFERROR(VLOOKUP(B616,'03. THIẾT BỊ'!$B$1:$S$836,16,0),"")</f>
        <v>0</v>
      </c>
      <c r="R616" s="25" t="str">
        <f>IFERROR(VLOOKUP(B616,'03. THIẾT BỊ'!$B$1:$S$836,17,0),"")</f>
        <v>3HP</v>
      </c>
      <c r="S616" s="25">
        <f>IFERROR(VLOOKUP(B616,'03. THIẾT BỊ'!$B$1:$S$836,18,0),"")</f>
        <v>0</v>
      </c>
      <c r="T616" s="622"/>
    </row>
    <row r="617" customHeight="1" spans="1:20">
      <c r="A617" s="19">
        <f t="shared" si="29"/>
        <v>34</v>
      </c>
      <c r="B617" s="38" t="s">
        <v>4545</v>
      </c>
      <c r="C617" s="613">
        <f>IFERROR(VLOOKUP(B617,'03. THIẾT BỊ'!$B$1:$S$836,2,0),"")</f>
        <v>0</v>
      </c>
      <c r="D617" s="24">
        <f>IFERROR(VLOOKUP(B617,'03. THIẾT BỊ'!$B$1:$S$836,3,0),"")</f>
        <v>0</v>
      </c>
      <c r="E617" s="20" t="str">
        <f>IFERROR(VLOOKUP(B617,'03. THIẾT BỊ'!$B$1:$S$836,4,0),"")</f>
        <v>ĐQSD</v>
      </c>
      <c r="F617" s="20" t="str">
        <f>IFERROR(VLOOKUP(B617,'03. THIẾT BỊ'!$B$1:$S$836,5,0),"")</f>
        <v>Máy cao áp phun thuốc</v>
      </c>
      <c r="G617" s="101" t="s">
        <v>6468</v>
      </c>
      <c r="H617" s="19" t="str">
        <f>IFERROR(VLOOKUP(B617,'03. THIẾT BỊ'!$B$1:$S$836,7,0),"")</f>
        <v>XN Chuối DP3</v>
      </c>
      <c r="I617" s="610">
        <f>IFERROR(VLOOKUP(B617,'03. THIẾT BỊ'!$B$1:$S$836,8,0),"")</f>
        <v>0</v>
      </c>
      <c r="J617" s="25"/>
      <c r="K617" s="19" t="str">
        <f>IFERROR(VLOOKUP(B617,'03. THIẾT BỊ'!$B$1:$S$836,10,0),"")</f>
        <v>Bình thường</v>
      </c>
      <c r="L617" s="25">
        <f>IFERROR(VLOOKUP(B617,'03. THIẾT BỊ'!$B$1:$S$836,11,0),"")</f>
        <v>0</v>
      </c>
      <c r="M617" s="24" t="str">
        <f>IFERROR(VLOOKUP(B617,'03. THIẾT BỊ'!$B$1:$S$836,12,0),"")</f>
        <v>Ntr phun bệnh chuối</v>
      </c>
      <c r="N617" s="25" t="str">
        <f>IFERROR(VLOOKUP(B617,'03. THIẾT BỊ'!$B$1:$S$836,13,0),"")</f>
        <v>CAMBODIA</v>
      </c>
      <c r="O617" s="24" t="str">
        <f>IFERROR(VLOOKUP(B617,'03. THIẾT BỊ'!$B$1:$S$836,14,0),"")</f>
        <v>3HP</v>
      </c>
      <c r="P617" s="25" t="str">
        <f>IFERROR(VLOOKUP(B617,'03. THIẾT BỊ'!$B$1:$S$836,15,0),"")</f>
        <v>CAMBODIA</v>
      </c>
      <c r="Q617" s="23">
        <f>IFERROR(VLOOKUP(B617,'03. THIẾT BỊ'!$B$1:$S$836,16,0),"")</f>
        <v>0</v>
      </c>
      <c r="R617" s="25" t="str">
        <f>IFERROR(VLOOKUP(B617,'03. THIẾT BỊ'!$B$1:$S$836,17,0),"")</f>
        <v>3HP</v>
      </c>
      <c r="S617" s="25">
        <f>IFERROR(VLOOKUP(B617,'03. THIẾT BỊ'!$B$1:$S$836,18,0),"")</f>
        <v>0</v>
      </c>
      <c r="T617" s="622"/>
    </row>
    <row r="618" customHeight="1" spans="1:20">
      <c r="A618" s="19">
        <f t="shared" si="29"/>
        <v>35</v>
      </c>
      <c r="B618" s="38" t="s">
        <v>4546</v>
      </c>
      <c r="C618" s="613">
        <f>IFERROR(VLOOKUP(B618,'03. THIẾT BỊ'!$B$1:$S$836,2,0),"")</f>
        <v>0</v>
      </c>
      <c r="D618" s="24">
        <f>IFERROR(VLOOKUP(B618,'03. THIẾT BỊ'!$B$1:$S$836,3,0),"")</f>
        <v>0</v>
      </c>
      <c r="E618" s="20" t="str">
        <f>IFERROR(VLOOKUP(B618,'03. THIẾT BỊ'!$B$1:$S$836,4,0),"")</f>
        <v>ĐQSD</v>
      </c>
      <c r="F618" s="20" t="str">
        <f>IFERROR(VLOOKUP(B618,'03. THIẾT BỊ'!$B$1:$S$836,5,0),"")</f>
        <v>Máy cao áp phun thuốc</v>
      </c>
      <c r="G618" s="101" t="s">
        <v>6468</v>
      </c>
      <c r="H618" s="19" t="str">
        <f>IFERROR(VLOOKUP(B618,'03. THIẾT BỊ'!$B$1:$S$836,7,0),"")</f>
        <v>XN Chuối DP3</v>
      </c>
      <c r="I618" s="610">
        <f>IFERROR(VLOOKUP(B618,'03. THIẾT BỊ'!$B$1:$S$836,8,0),"")</f>
        <v>0</v>
      </c>
      <c r="J618" s="25"/>
      <c r="K618" s="19" t="str">
        <f>IFERROR(VLOOKUP(B618,'03. THIẾT BỊ'!$B$1:$S$836,10,0),"")</f>
        <v>Bình thường</v>
      </c>
      <c r="L618" s="25">
        <f>IFERROR(VLOOKUP(B618,'03. THIẾT BỊ'!$B$1:$S$836,11,0),"")</f>
        <v>0</v>
      </c>
      <c r="M618" s="24" t="str">
        <f>IFERROR(VLOOKUP(B618,'03. THIẾT BỊ'!$B$1:$S$836,12,0),"")</f>
        <v>Ntr phun bệnh chuối</v>
      </c>
      <c r="N618" s="25" t="str">
        <f>IFERROR(VLOOKUP(B618,'03. THIẾT BỊ'!$B$1:$S$836,13,0),"")</f>
        <v>CAMBODIA</v>
      </c>
      <c r="O618" s="24" t="str">
        <f>IFERROR(VLOOKUP(B618,'03. THIẾT BỊ'!$B$1:$S$836,14,0),"")</f>
        <v>3HP</v>
      </c>
      <c r="P618" s="25" t="str">
        <f>IFERROR(VLOOKUP(B618,'03. THIẾT BỊ'!$B$1:$S$836,15,0),"")</f>
        <v>CAMBODIA</v>
      </c>
      <c r="Q618" s="23">
        <f>IFERROR(VLOOKUP(B618,'03. THIẾT BỊ'!$B$1:$S$836,16,0),"")</f>
        <v>0</v>
      </c>
      <c r="R618" s="25" t="str">
        <f>IFERROR(VLOOKUP(B618,'03. THIẾT BỊ'!$B$1:$S$836,17,0),"")</f>
        <v>3HP</v>
      </c>
      <c r="S618" s="25">
        <f>IFERROR(VLOOKUP(B618,'03. THIẾT BỊ'!$B$1:$S$836,18,0),"")</f>
        <v>0</v>
      </c>
      <c r="T618" s="622"/>
    </row>
    <row r="619" customHeight="1" spans="1:20">
      <c r="A619" s="19">
        <f t="shared" si="29"/>
        <v>36</v>
      </c>
      <c r="B619" s="38" t="s">
        <v>4547</v>
      </c>
      <c r="C619" s="613">
        <f>IFERROR(VLOOKUP(B619,'03. THIẾT BỊ'!$B$1:$S$836,2,0),"")</f>
        <v>0</v>
      </c>
      <c r="D619" s="24">
        <f>IFERROR(VLOOKUP(B619,'03. THIẾT BỊ'!$B$1:$S$836,3,0),"")</f>
        <v>0</v>
      </c>
      <c r="E619" s="20" t="str">
        <f>IFERROR(VLOOKUP(B619,'03. THIẾT BỊ'!$B$1:$S$836,4,0),"")</f>
        <v>ĐQSD</v>
      </c>
      <c r="F619" s="20" t="str">
        <f>IFERROR(VLOOKUP(B619,'03. THIẾT BỊ'!$B$1:$S$836,5,0),"")</f>
        <v>Máy cao áp phun thuốc</v>
      </c>
      <c r="G619" s="101" t="s">
        <v>6468</v>
      </c>
      <c r="H619" s="19" t="str">
        <f>IFERROR(VLOOKUP(B619,'03. THIẾT BỊ'!$B$1:$S$836,7,0),"")</f>
        <v>XN Chuối DP3</v>
      </c>
      <c r="I619" s="610">
        <f>IFERROR(VLOOKUP(B619,'03. THIẾT BỊ'!$B$1:$S$836,8,0),"")</f>
        <v>0</v>
      </c>
      <c r="J619" s="25"/>
      <c r="K619" s="19" t="str">
        <f>IFERROR(VLOOKUP(B619,'03. THIẾT BỊ'!$B$1:$S$836,10,0),"")</f>
        <v>Bình thường</v>
      </c>
      <c r="L619" s="25">
        <f>IFERROR(VLOOKUP(B619,'03. THIẾT BỊ'!$B$1:$S$836,11,0),"")</f>
        <v>0</v>
      </c>
      <c r="M619" s="24" t="str">
        <f>IFERROR(VLOOKUP(B619,'03. THIẾT BỊ'!$B$1:$S$836,12,0),"")</f>
        <v>Ntr phun bệnh chuối</v>
      </c>
      <c r="N619" s="25" t="str">
        <f>IFERROR(VLOOKUP(B619,'03. THIẾT BỊ'!$B$1:$S$836,13,0),"")</f>
        <v>CAMBODIA</v>
      </c>
      <c r="O619" s="24" t="str">
        <f>IFERROR(VLOOKUP(B619,'03. THIẾT BỊ'!$B$1:$S$836,14,0),"")</f>
        <v>3HP</v>
      </c>
      <c r="P619" s="25" t="str">
        <f>IFERROR(VLOOKUP(B619,'03. THIẾT BỊ'!$B$1:$S$836,15,0),"")</f>
        <v>CAMBODIA</v>
      </c>
      <c r="Q619" s="23">
        <f>IFERROR(VLOOKUP(B619,'03. THIẾT BỊ'!$B$1:$S$836,16,0),"")</f>
        <v>0</v>
      </c>
      <c r="R619" s="25" t="str">
        <f>IFERROR(VLOOKUP(B619,'03. THIẾT BỊ'!$B$1:$S$836,17,0),"")</f>
        <v>3HP</v>
      </c>
      <c r="S619" s="25">
        <f>IFERROR(VLOOKUP(B619,'03. THIẾT BỊ'!$B$1:$S$836,18,0),"")</f>
        <v>0</v>
      </c>
      <c r="T619" s="622"/>
    </row>
    <row r="620" customHeight="1" spans="1:20">
      <c r="A620" s="19">
        <f t="shared" si="29"/>
        <v>37</v>
      </c>
      <c r="B620" s="38" t="s">
        <v>4548</v>
      </c>
      <c r="C620" s="613">
        <f>IFERROR(VLOOKUP(B620,'03. THIẾT BỊ'!$B$1:$S$836,2,0),"")</f>
        <v>0</v>
      </c>
      <c r="D620" s="24">
        <f>IFERROR(VLOOKUP(B620,'03. THIẾT BỊ'!$B$1:$S$836,3,0),"")</f>
        <v>0</v>
      </c>
      <c r="E620" s="20" t="str">
        <f>IFERROR(VLOOKUP(B620,'03. THIẾT BỊ'!$B$1:$S$836,4,0),"")</f>
        <v>ĐQSD</v>
      </c>
      <c r="F620" s="20" t="str">
        <f>IFERROR(VLOOKUP(B620,'03. THIẾT BỊ'!$B$1:$S$836,5,0),"")</f>
        <v>Máy cao áp phun thuốc</v>
      </c>
      <c r="G620" s="101" t="s">
        <v>6468</v>
      </c>
      <c r="H620" s="19" t="str">
        <f>IFERROR(VLOOKUP(B620,'03. THIẾT BỊ'!$B$1:$S$836,7,0),"")</f>
        <v>XN Chuối DP3</v>
      </c>
      <c r="I620" s="610">
        <f>IFERROR(VLOOKUP(B620,'03. THIẾT BỊ'!$B$1:$S$836,8,0),"")</f>
        <v>0</v>
      </c>
      <c r="J620" s="25"/>
      <c r="K620" s="19" t="str">
        <f>IFERROR(VLOOKUP(B620,'03. THIẾT BỊ'!$B$1:$S$836,10,0),"")</f>
        <v>Bình thường</v>
      </c>
      <c r="L620" s="25">
        <f>IFERROR(VLOOKUP(B620,'03. THIẾT BỊ'!$B$1:$S$836,11,0),"")</f>
        <v>0</v>
      </c>
      <c r="M620" s="24" t="str">
        <f>IFERROR(VLOOKUP(B620,'03. THIẾT BỊ'!$B$1:$S$836,12,0),"")</f>
        <v>Ntr phun bệnh chuối</v>
      </c>
      <c r="N620" s="25" t="str">
        <f>IFERROR(VLOOKUP(B620,'03. THIẾT BỊ'!$B$1:$S$836,13,0),"")</f>
        <v>CAMBODIA</v>
      </c>
      <c r="O620" s="24" t="str">
        <f>IFERROR(VLOOKUP(B620,'03. THIẾT BỊ'!$B$1:$S$836,14,0),"")</f>
        <v>3HP</v>
      </c>
      <c r="P620" s="25" t="str">
        <f>IFERROR(VLOOKUP(B620,'03. THIẾT BỊ'!$B$1:$S$836,15,0),"")</f>
        <v>CAMBODIA</v>
      </c>
      <c r="Q620" s="23">
        <f>IFERROR(VLOOKUP(B620,'03. THIẾT BỊ'!$B$1:$S$836,16,0),"")</f>
        <v>0</v>
      </c>
      <c r="R620" s="25" t="str">
        <f>IFERROR(VLOOKUP(B620,'03. THIẾT BỊ'!$B$1:$S$836,17,0),"")</f>
        <v>3HP</v>
      </c>
      <c r="S620" s="25">
        <f>IFERROR(VLOOKUP(B620,'03. THIẾT BỊ'!$B$1:$S$836,18,0),"")</f>
        <v>0</v>
      </c>
      <c r="T620" s="622"/>
    </row>
    <row r="621" customHeight="1" spans="1:20">
      <c r="A621" s="19">
        <f t="shared" si="29"/>
        <v>38</v>
      </c>
      <c r="B621" s="38" t="s">
        <v>4549</v>
      </c>
      <c r="C621" s="613">
        <f>IFERROR(VLOOKUP(B621,'03. THIẾT BỊ'!$B$1:$S$836,2,0),"")</f>
        <v>0</v>
      </c>
      <c r="D621" s="24">
        <f>IFERROR(VLOOKUP(B621,'03. THIẾT BỊ'!$B$1:$S$836,3,0),"")</f>
        <v>0</v>
      </c>
      <c r="E621" s="20" t="str">
        <f>IFERROR(VLOOKUP(B621,'03. THIẾT BỊ'!$B$1:$S$836,4,0),"")</f>
        <v>ĐQSD</v>
      </c>
      <c r="F621" s="20" t="str">
        <f>IFERROR(VLOOKUP(B621,'03. THIẾT BỊ'!$B$1:$S$836,5,0),"")</f>
        <v>Máy cao áp phun thuốc</v>
      </c>
      <c r="G621" s="101" t="s">
        <v>6468</v>
      </c>
      <c r="H621" s="19" t="str">
        <f>IFERROR(VLOOKUP(B621,'03. THIẾT BỊ'!$B$1:$S$836,7,0),"")</f>
        <v>XN Chuối DP3</v>
      </c>
      <c r="I621" s="610">
        <f>IFERROR(VLOOKUP(B621,'03. THIẾT BỊ'!$B$1:$S$836,8,0),"")</f>
        <v>0</v>
      </c>
      <c r="J621" s="25"/>
      <c r="K621" s="19" t="str">
        <f>IFERROR(VLOOKUP(B621,'03. THIẾT BỊ'!$B$1:$S$836,10,0),"")</f>
        <v>Bình thường</v>
      </c>
      <c r="L621" s="25">
        <f>IFERROR(VLOOKUP(B621,'03. THIẾT BỊ'!$B$1:$S$836,11,0),"")</f>
        <v>0</v>
      </c>
      <c r="M621" s="24" t="str">
        <f>IFERROR(VLOOKUP(B621,'03. THIẾT BỊ'!$B$1:$S$836,12,0),"")</f>
        <v>Ntr phun bệnh chuối</v>
      </c>
      <c r="N621" s="25" t="str">
        <f>IFERROR(VLOOKUP(B621,'03. THIẾT BỊ'!$B$1:$S$836,13,0),"")</f>
        <v>CAMBODIA</v>
      </c>
      <c r="O621" s="24" t="str">
        <f>IFERROR(VLOOKUP(B621,'03. THIẾT BỊ'!$B$1:$S$836,14,0),"")</f>
        <v>3HP</v>
      </c>
      <c r="P621" s="25" t="str">
        <f>IFERROR(VLOOKUP(B621,'03. THIẾT BỊ'!$B$1:$S$836,15,0),"")</f>
        <v>CAMBODIA</v>
      </c>
      <c r="Q621" s="23">
        <f>IFERROR(VLOOKUP(B621,'03. THIẾT BỊ'!$B$1:$S$836,16,0),"")</f>
        <v>0</v>
      </c>
      <c r="R621" s="25" t="str">
        <f>IFERROR(VLOOKUP(B621,'03. THIẾT BỊ'!$B$1:$S$836,17,0),"")</f>
        <v>3HP</v>
      </c>
      <c r="S621" s="25">
        <f>IFERROR(VLOOKUP(B621,'03. THIẾT BỊ'!$B$1:$S$836,18,0),"")</f>
        <v>0</v>
      </c>
      <c r="T621" s="622"/>
    </row>
    <row r="622" customHeight="1" spans="1:20">
      <c r="A622" s="19">
        <f t="shared" si="29"/>
        <v>39</v>
      </c>
      <c r="B622" s="38" t="s">
        <v>4550</v>
      </c>
      <c r="C622" s="613">
        <f>IFERROR(VLOOKUP(B622,'03. THIẾT BỊ'!$B$1:$S$836,2,0),"")</f>
        <v>0</v>
      </c>
      <c r="D622" s="24">
        <f>IFERROR(VLOOKUP(B622,'03. THIẾT BỊ'!$B$1:$S$836,3,0),"")</f>
        <v>0</v>
      </c>
      <c r="E622" s="20" t="str">
        <f>IFERROR(VLOOKUP(B622,'03. THIẾT BỊ'!$B$1:$S$836,4,0),"")</f>
        <v>ĐQSD</v>
      </c>
      <c r="F622" s="20" t="str">
        <f>IFERROR(VLOOKUP(B622,'03. THIẾT BỊ'!$B$1:$S$836,5,0),"")</f>
        <v>Máy cao áp phun thuốc</v>
      </c>
      <c r="G622" s="101" t="s">
        <v>6468</v>
      </c>
      <c r="H622" s="19" t="str">
        <f>IFERROR(VLOOKUP(B622,'03. THIẾT BỊ'!$B$1:$S$836,7,0),"")</f>
        <v>XN Chuối DP3</v>
      </c>
      <c r="I622" s="610">
        <f>IFERROR(VLOOKUP(B622,'03. THIẾT BỊ'!$B$1:$S$836,8,0),"")</f>
        <v>0</v>
      </c>
      <c r="J622" s="25"/>
      <c r="K622" s="19" t="str">
        <f>IFERROR(VLOOKUP(B622,'03. THIẾT BỊ'!$B$1:$S$836,10,0),"")</f>
        <v>Bình thường</v>
      </c>
      <c r="L622" s="25">
        <f>IFERROR(VLOOKUP(B622,'03. THIẾT BỊ'!$B$1:$S$836,11,0),"")</f>
        <v>0</v>
      </c>
      <c r="M622" s="24">
        <f>IFERROR(VLOOKUP(B622,'03. THIẾT BỊ'!$B$1:$S$836,12,0),"")</f>
        <v>0</v>
      </c>
      <c r="N622" s="25" t="str">
        <f>IFERROR(VLOOKUP(B622,'03. THIẾT BỊ'!$B$1:$S$836,13,0),"")</f>
        <v>CAMBODIA</v>
      </c>
      <c r="O622" s="24" t="str">
        <f>IFERROR(VLOOKUP(B622,'03. THIẾT BỊ'!$B$1:$S$836,14,0),"")</f>
        <v>1.5HP</v>
      </c>
      <c r="P622" s="25" t="str">
        <f>IFERROR(VLOOKUP(B622,'03. THIẾT BỊ'!$B$1:$S$836,15,0),"")</f>
        <v>CAMBODIA</v>
      </c>
      <c r="Q622" s="23">
        <f>IFERROR(VLOOKUP(B622,'03. THIẾT BỊ'!$B$1:$S$836,16,0),"")</f>
        <v>0</v>
      </c>
      <c r="R622" s="25" t="str">
        <f>IFERROR(VLOOKUP(B622,'03. THIẾT BỊ'!$B$1:$S$836,17,0),"")</f>
        <v>1.5HP</v>
      </c>
      <c r="S622" s="25">
        <f>IFERROR(VLOOKUP(B622,'03. THIẾT BỊ'!$B$1:$S$836,18,0),"")</f>
        <v>0</v>
      </c>
      <c r="T622" s="622"/>
    </row>
    <row r="623" customHeight="1" spans="1:20">
      <c r="A623" s="19">
        <f t="shared" si="29"/>
        <v>40</v>
      </c>
      <c r="B623" s="38" t="s">
        <v>4551</v>
      </c>
      <c r="C623" s="613">
        <f>IFERROR(VLOOKUP(B623,'03. THIẾT BỊ'!$B$1:$S$836,2,0),"")</f>
        <v>0</v>
      </c>
      <c r="D623" s="24">
        <f>IFERROR(VLOOKUP(B623,'03. THIẾT BỊ'!$B$1:$S$836,3,0),"")</f>
        <v>0</v>
      </c>
      <c r="E623" s="20" t="str">
        <f>IFERROR(VLOOKUP(B623,'03. THIẾT BỊ'!$B$1:$S$836,4,0),"")</f>
        <v>ĐQSD</v>
      </c>
      <c r="F623" s="20" t="str">
        <f>IFERROR(VLOOKUP(B623,'03. THIẾT BỊ'!$B$1:$S$836,5,0),"")</f>
        <v>Máy cao áp phun thuốc</v>
      </c>
      <c r="G623" s="101" t="s">
        <v>6468</v>
      </c>
      <c r="H623" s="19" t="str">
        <f>IFERROR(VLOOKUP(B623,'03. THIẾT BỊ'!$B$1:$S$836,7,0),"")</f>
        <v>XN Chuối DP3</v>
      </c>
      <c r="I623" s="610">
        <f>IFERROR(VLOOKUP(B623,'03. THIẾT BỊ'!$B$1:$S$836,8,0),"")</f>
        <v>0</v>
      </c>
      <c r="J623" s="25"/>
      <c r="K623" s="19" t="str">
        <f>IFERROR(VLOOKUP(B623,'03. THIẾT BỊ'!$B$1:$S$836,10,0),"")</f>
        <v>Bình thường</v>
      </c>
      <c r="L623" s="25">
        <f>IFERROR(VLOOKUP(B623,'03. THIẾT BỊ'!$B$1:$S$836,11,0),"")</f>
        <v>0</v>
      </c>
      <c r="M623" s="24">
        <f>IFERROR(VLOOKUP(B623,'03. THIẾT BỊ'!$B$1:$S$836,12,0),"")</f>
        <v>0</v>
      </c>
      <c r="N623" s="25" t="str">
        <f>IFERROR(VLOOKUP(B623,'03. THIẾT BỊ'!$B$1:$S$836,13,0),"")</f>
        <v>CAMBODIA</v>
      </c>
      <c r="O623" s="24" t="str">
        <f>IFERROR(VLOOKUP(B623,'03. THIẾT BỊ'!$B$1:$S$836,14,0),"")</f>
        <v>1.5HP</v>
      </c>
      <c r="P623" s="25" t="str">
        <f>IFERROR(VLOOKUP(B623,'03. THIẾT BỊ'!$B$1:$S$836,15,0),"")</f>
        <v>CAMBODIA</v>
      </c>
      <c r="Q623" s="23">
        <f>IFERROR(VLOOKUP(B623,'03. THIẾT BỊ'!$B$1:$S$836,16,0),"")</f>
        <v>0</v>
      </c>
      <c r="R623" s="25" t="str">
        <f>IFERROR(VLOOKUP(B623,'03. THIẾT BỊ'!$B$1:$S$836,17,0),"")</f>
        <v>1.5HP</v>
      </c>
      <c r="S623" s="25">
        <f>IFERROR(VLOOKUP(B623,'03. THIẾT BỊ'!$B$1:$S$836,18,0),"")</f>
        <v>0</v>
      </c>
      <c r="T623" s="622"/>
    </row>
    <row r="624" customHeight="1" spans="1:20">
      <c r="A624" s="19">
        <f t="shared" si="29"/>
        <v>41</v>
      </c>
      <c r="B624" s="38" t="s">
        <v>4552</v>
      </c>
      <c r="C624" s="613">
        <f>IFERROR(VLOOKUP(B624,'03. THIẾT BỊ'!$B$1:$S$836,2,0),"")</f>
        <v>0</v>
      </c>
      <c r="D624" s="24">
        <f>IFERROR(VLOOKUP(B624,'03. THIẾT BỊ'!$B$1:$S$836,3,0),"")</f>
        <v>0</v>
      </c>
      <c r="E624" s="20" t="str">
        <f>IFERROR(VLOOKUP(B624,'03. THIẾT BỊ'!$B$1:$S$836,4,0),"")</f>
        <v>ĐQSD</v>
      </c>
      <c r="F624" s="20" t="str">
        <f>IFERROR(VLOOKUP(B624,'03. THIẾT BỊ'!$B$1:$S$836,5,0),"")</f>
        <v>Máy cao áp phun thuốc</v>
      </c>
      <c r="G624" s="101" t="s">
        <v>6468</v>
      </c>
      <c r="H624" s="19" t="str">
        <f>IFERROR(VLOOKUP(B624,'03. THIẾT BỊ'!$B$1:$S$836,7,0),"")</f>
        <v>XN Chuối DP3</v>
      </c>
      <c r="I624" s="610">
        <f>IFERROR(VLOOKUP(B624,'03. THIẾT BỊ'!$B$1:$S$836,8,0),"")</f>
        <v>0</v>
      </c>
      <c r="J624" s="25"/>
      <c r="K624" s="19" t="str">
        <f>IFERROR(VLOOKUP(B624,'03. THIẾT BỊ'!$B$1:$S$836,10,0),"")</f>
        <v>Bình thường</v>
      </c>
      <c r="L624" s="25">
        <f>IFERROR(VLOOKUP(B624,'03. THIẾT BỊ'!$B$1:$S$836,11,0),"")</f>
        <v>0</v>
      </c>
      <c r="M624" s="24">
        <f>IFERROR(VLOOKUP(B624,'03. THIẾT BỊ'!$B$1:$S$836,12,0),"")</f>
        <v>0</v>
      </c>
      <c r="N624" s="25" t="str">
        <f>IFERROR(VLOOKUP(B624,'03. THIẾT BỊ'!$B$1:$S$836,13,0),"")</f>
        <v>CAMBODIA</v>
      </c>
      <c r="O624" s="24" t="str">
        <f>IFERROR(VLOOKUP(B624,'03. THIẾT BỊ'!$B$1:$S$836,14,0),"")</f>
        <v>1.5HP</v>
      </c>
      <c r="P624" s="25" t="str">
        <f>IFERROR(VLOOKUP(B624,'03. THIẾT BỊ'!$B$1:$S$836,15,0),"")</f>
        <v>CAMBODIA</v>
      </c>
      <c r="Q624" s="23">
        <f>IFERROR(VLOOKUP(B624,'03. THIẾT BỊ'!$B$1:$S$836,16,0),"")</f>
        <v>0</v>
      </c>
      <c r="R624" s="25" t="str">
        <f>IFERROR(VLOOKUP(B624,'03. THIẾT BỊ'!$B$1:$S$836,17,0),"")</f>
        <v>1.5HP</v>
      </c>
      <c r="S624" s="25">
        <f>IFERROR(VLOOKUP(B624,'03. THIẾT BỊ'!$B$1:$S$836,18,0),"")</f>
        <v>0</v>
      </c>
      <c r="T624" s="622"/>
    </row>
    <row r="625" customHeight="1" spans="1:20">
      <c r="A625" s="19">
        <f t="shared" si="29"/>
        <v>42</v>
      </c>
      <c r="B625" s="38" t="s">
        <v>4553</v>
      </c>
      <c r="C625" s="613">
        <f>IFERROR(VLOOKUP(B625,'03. THIẾT BỊ'!$B$1:$S$836,2,0),"")</f>
        <v>0</v>
      </c>
      <c r="D625" s="24">
        <f>IFERROR(VLOOKUP(B625,'03. THIẾT BỊ'!$B$1:$S$836,3,0),"")</f>
        <v>0</v>
      </c>
      <c r="E625" s="20" t="str">
        <f>IFERROR(VLOOKUP(B625,'03. THIẾT BỊ'!$B$1:$S$836,4,0),"")</f>
        <v>ĐQSD</v>
      </c>
      <c r="F625" s="20" t="str">
        <f>IFERROR(VLOOKUP(B625,'03. THIẾT BỊ'!$B$1:$S$836,5,0),"")</f>
        <v>Máy cao áp phun thuốc</v>
      </c>
      <c r="G625" s="101" t="s">
        <v>6468</v>
      </c>
      <c r="H625" s="19" t="str">
        <f>IFERROR(VLOOKUP(B625,'03. THIẾT BỊ'!$B$1:$S$836,7,0),"")</f>
        <v>XN Chuối DP3</v>
      </c>
      <c r="I625" s="610">
        <f>IFERROR(VLOOKUP(B625,'03. THIẾT BỊ'!$B$1:$S$836,8,0),"")</f>
        <v>0</v>
      </c>
      <c r="J625" s="25"/>
      <c r="K625" s="19" t="str">
        <f>IFERROR(VLOOKUP(B625,'03. THIẾT BỊ'!$B$1:$S$836,10,0),"")</f>
        <v>Bình thường</v>
      </c>
      <c r="L625" s="25">
        <f>IFERROR(VLOOKUP(B625,'03. THIẾT BỊ'!$B$1:$S$836,11,0),"")</f>
        <v>0</v>
      </c>
      <c r="M625" s="24">
        <f>IFERROR(VLOOKUP(B625,'03. THIẾT BỊ'!$B$1:$S$836,12,0),"")</f>
        <v>0</v>
      </c>
      <c r="N625" s="25" t="str">
        <f>IFERROR(VLOOKUP(B625,'03. THIẾT BỊ'!$B$1:$S$836,13,0),"")</f>
        <v>CAMBODIA</v>
      </c>
      <c r="O625" s="24" t="str">
        <f>IFERROR(VLOOKUP(B625,'03. THIẾT BỊ'!$B$1:$S$836,14,0),"")</f>
        <v>1.5HP</v>
      </c>
      <c r="P625" s="25" t="str">
        <f>IFERROR(VLOOKUP(B625,'03. THIẾT BỊ'!$B$1:$S$836,15,0),"")</f>
        <v>CAMBODIA</v>
      </c>
      <c r="Q625" s="23">
        <f>IFERROR(VLOOKUP(B625,'03. THIẾT BỊ'!$B$1:$S$836,16,0),"")</f>
        <v>0</v>
      </c>
      <c r="R625" s="25" t="str">
        <f>IFERROR(VLOOKUP(B625,'03. THIẾT BỊ'!$B$1:$S$836,17,0),"")</f>
        <v>1.5HP</v>
      </c>
      <c r="S625" s="25">
        <f>IFERROR(VLOOKUP(B625,'03. THIẾT BỊ'!$B$1:$S$836,18,0),"")</f>
        <v>0</v>
      </c>
      <c r="T625" s="622"/>
    </row>
    <row r="626" customHeight="1" spans="1:20">
      <c r="A626" s="19">
        <f t="shared" si="29"/>
        <v>43</v>
      </c>
      <c r="B626" s="38" t="s">
        <v>4554</v>
      </c>
      <c r="C626" s="613">
        <f>IFERROR(VLOOKUP(B626,'03. THIẾT BỊ'!$B$1:$S$836,2,0),"")</f>
        <v>0</v>
      </c>
      <c r="D626" s="24">
        <f>IFERROR(VLOOKUP(B626,'03. THIẾT BỊ'!$B$1:$S$836,3,0),"")</f>
        <v>0</v>
      </c>
      <c r="E626" s="20" t="str">
        <f>IFERROR(VLOOKUP(B626,'03. THIẾT BỊ'!$B$1:$S$836,4,0),"")</f>
        <v>ĐQSD</v>
      </c>
      <c r="F626" s="20" t="str">
        <f>IFERROR(VLOOKUP(B626,'03. THIẾT BỊ'!$B$1:$S$836,5,0),"")</f>
        <v>Máy cao áp phun thuốc</v>
      </c>
      <c r="G626" s="101" t="s">
        <v>6468</v>
      </c>
      <c r="H626" s="19" t="str">
        <f>IFERROR(VLOOKUP(B626,'03. THIẾT BỊ'!$B$1:$S$836,7,0),"")</f>
        <v>XN Chuối DP3</v>
      </c>
      <c r="I626" s="610">
        <f>IFERROR(VLOOKUP(B626,'03. THIẾT BỊ'!$B$1:$S$836,8,0),"")</f>
        <v>0</v>
      </c>
      <c r="J626" s="25"/>
      <c r="K626" s="19" t="str">
        <f>IFERROR(VLOOKUP(B626,'03. THIẾT BỊ'!$B$1:$S$836,10,0),"")</f>
        <v>Bình thường</v>
      </c>
      <c r="L626" s="25">
        <f>IFERROR(VLOOKUP(B626,'03. THIẾT BỊ'!$B$1:$S$836,11,0),"")</f>
        <v>0</v>
      </c>
      <c r="M626" s="24">
        <f>IFERROR(VLOOKUP(B626,'03. THIẾT BỊ'!$B$1:$S$836,12,0),"")</f>
        <v>0</v>
      </c>
      <c r="N626" s="25" t="str">
        <f>IFERROR(VLOOKUP(B626,'03. THIẾT BỊ'!$B$1:$S$836,13,0),"")</f>
        <v>CAMBODIA</v>
      </c>
      <c r="O626" s="24" t="str">
        <f>IFERROR(VLOOKUP(B626,'03. THIẾT BỊ'!$B$1:$S$836,14,0),"")</f>
        <v>1.5HP</v>
      </c>
      <c r="P626" s="25" t="str">
        <f>IFERROR(VLOOKUP(B626,'03. THIẾT BỊ'!$B$1:$S$836,15,0),"")</f>
        <v>CAMBODIA</v>
      </c>
      <c r="Q626" s="23">
        <f>IFERROR(VLOOKUP(B626,'03. THIẾT BỊ'!$B$1:$S$836,16,0),"")</f>
        <v>0</v>
      </c>
      <c r="R626" s="25" t="str">
        <f>IFERROR(VLOOKUP(B626,'03. THIẾT BỊ'!$B$1:$S$836,17,0),"")</f>
        <v>1.5HP</v>
      </c>
      <c r="S626" s="25">
        <f>IFERROR(VLOOKUP(B626,'03. THIẾT BỊ'!$B$1:$S$836,18,0),"")</f>
        <v>0</v>
      </c>
      <c r="T626" s="622"/>
    </row>
    <row r="627" customHeight="1" spans="1:20">
      <c r="A627" s="19">
        <f t="shared" si="29"/>
        <v>44</v>
      </c>
      <c r="B627" s="38" t="s">
        <v>4555</v>
      </c>
      <c r="C627" s="613">
        <f>IFERROR(VLOOKUP(B627,'03. THIẾT BỊ'!$B$1:$S$836,2,0),"")</f>
        <v>0</v>
      </c>
      <c r="D627" s="24">
        <f>IFERROR(VLOOKUP(B627,'03. THIẾT BỊ'!$B$1:$S$836,3,0),"")</f>
        <v>0</v>
      </c>
      <c r="E627" s="20" t="str">
        <f>IFERROR(VLOOKUP(B627,'03. THIẾT BỊ'!$B$1:$S$836,4,0),"")</f>
        <v>ĐQSD</v>
      </c>
      <c r="F627" s="20" t="str">
        <f>IFERROR(VLOOKUP(B627,'03. THIẾT BỊ'!$B$1:$S$836,5,0),"")</f>
        <v>Máy cao áp phun thuốc</v>
      </c>
      <c r="G627" s="101" t="s">
        <v>6468</v>
      </c>
      <c r="H627" s="19" t="str">
        <f>IFERROR(VLOOKUP(B627,'03. THIẾT BỊ'!$B$1:$S$836,7,0),"")</f>
        <v>XN Chuối DP3</v>
      </c>
      <c r="I627" s="610">
        <f>IFERROR(VLOOKUP(B627,'03. THIẾT BỊ'!$B$1:$S$836,8,0),"")</f>
        <v>0</v>
      </c>
      <c r="J627" s="25"/>
      <c r="K627" s="19" t="str">
        <f>IFERROR(VLOOKUP(B627,'03. THIẾT BỊ'!$B$1:$S$836,10,0),"")</f>
        <v>Bình thường</v>
      </c>
      <c r="L627" s="25">
        <f>IFERROR(VLOOKUP(B627,'03. THIẾT BỊ'!$B$1:$S$836,11,0),"")</f>
        <v>0</v>
      </c>
      <c r="M627" s="24">
        <f>IFERROR(VLOOKUP(B627,'03. THIẾT BỊ'!$B$1:$S$836,12,0),"")</f>
        <v>0</v>
      </c>
      <c r="N627" s="25" t="str">
        <f>IFERROR(VLOOKUP(B627,'03. THIẾT BỊ'!$B$1:$S$836,13,0),"")</f>
        <v>CAMBODIA</v>
      </c>
      <c r="O627" s="24" t="str">
        <f>IFERROR(VLOOKUP(B627,'03. THIẾT BỊ'!$B$1:$S$836,14,0),"")</f>
        <v>1.5HP</v>
      </c>
      <c r="P627" s="25" t="str">
        <f>IFERROR(VLOOKUP(B627,'03. THIẾT BỊ'!$B$1:$S$836,15,0),"")</f>
        <v>CAMBODIA</v>
      </c>
      <c r="Q627" s="23">
        <f>IFERROR(VLOOKUP(B627,'03. THIẾT BỊ'!$B$1:$S$836,16,0),"")</f>
        <v>0</v>
      </c>
      <c r="R627" s="25" t="str">
        <f>IFERROR(VLOOKUP(B627,'03. THIẾT BỊ'!$B$1:$S$836,17,0),"")</f>
        <v>1.5HP</v>
      </c>
      <c r="S627" s="25">
        <f>IFERROR(VLOOKUP(B627,'03. THIẾT BỊ'!$B$1:$S$836,18,0),"")</f>
        <v>0</v>
      </c>
      <c r="T627" s="622"/>
    </row>
    <row r="628" customHeight="1" spans="1:20">
      <c r="A628" s="19">
        <f t="shared" si="29"/>
        <v>45</v>
      </c>
      <c r="B628" s="38" t="s">
        <v>4556</v>
      </c>
      <c r="C628" s="613">
        <f>IFERROR(VLOOKUP(B628,'03. THIẾT BỊ'!$B$1:$S$836,2,0),"")</f>
        <v>0</v>
      </c>
      <c r="D628" s="24">
        <f>IFERROR(VLOOKUP(B628,'03. THIẾT BỊ'!$B$1:$S$836,3,0),"")</f>
        <v>0</v>
      </c>
      <c r="E628" s="20" t="str">
        <f>IFERROR(VLOOKUP(B628,'03. THIẾT BỊ'!$B$1:$S$836,4,0),"")</f>
        <v>ĐQSD</v>
      </c>
      <c r="F628" s="20" t="str">
        <f>IFERROR(VLOOKUP(B628,'03. THIẾT BỊ'!$B$1:$S$836,5,0),"")</f>
        <v>Máy cao áp phun thuốc</v>
      </c>
      <c r="G628" s="101" t="s">
        <v>6468</v>
      </c>
      <c r="H628" s="19" t="str">
        <f>IFERROR(VLOOKUP(B628,'03. THIẾT BỊ'!$B$1:$S$836,7,0),"")</f>
        <v>XN Chuối DP3</v>
      </c>
      <c r="I628" s="610">
        <f>IFERROR(VLOOKUP(B628,'03. THIẾT BỊ'!$B$1:$S$836,8,0),"")</f>
        <v>0</v>
      </c>
      <c r="J628" s="25"/>
      <c r="K628" s="19" t="str">
        <f>IFERROR(VLOOKUP(B628,'03. THIẾT BỊ'!$B$1:$S$836,10,0),"")</f>
        <v>Bình thường</v>
      </c>
      <c r="L628" s="25">
        <f>IFERROR(VLOOKUP(B628,'03. THIẾT BỊ'!$B$1:$S$836,11,0),"")</f>
        <v>0</v>
      </c>
      <c r="M628" s="24">
        <f>IFERROR(VLOOKUP(B628,'03. THIẾT BỊ'!$B$1:$S$836,12,0),"")</f>
        <v>0</v>
      </c>
      <c r="N628" s="25" t="str">
        <f>IFERROR(VLOOKUP(B628,'03. THIẾT BỊ'!$B$1:$S$836,13,0),"")</f>
        <v>CAMBODIA</v>
      </c>
      <c r="O628" s="24" t="str">
        <f>IFERROR(VLOOKUP(B628,'03. THIẾT BỊ'!$B$1:$S$836,14,0),"")</f>
        <v>7HP</v>
      </c>
      <c r="P628" s="25" t="str">
        <f>IFERROR(VLOOKUP(B628,'03. THIẾT BỊ'!$B$1:$S$836,15,0),"")</f>
        <v>CAMBODIA</v>
      </c>
      <c r="Q628" s="23">
        <f>IFERROR(VLOOKUP(B628,'03. THIẾT BỊ'!$B$1:$S$836,16,0),"")</f>
        <v>0</v>
      </c>
      <c r="R628" s="25">
        <f>IFERROR(VLOOKUP(B628,'03. THIẾT BỊ'!$B$1:$S$836,17,0),"")</f>
        <v>0</v>
      </c>
      <c r="S628" s="25">
        <f>IFERROR(VLOOKUP(B628,'03. THIẾT BỊ'!$B$1:$S$836,18,0),"")</f>
        <v>0</v>
      </c>
      <c r="T628" s="622"/>
    </row>
    <row r="629" customHeight="1" spans="1:20">
      <c r="A629" s="19">
        <f t="shared" si="29"/>
        <v>46</v>
      </c>
      <c r="B629" s="34" t="s">
        <v>5140</v>
      </c>
      <c r="C629" s="613" t="str">
        <f>IFERROR(VLOOKUP(B629,'03. THIẾT BỊ'!$B$1:$S$836,2,0),"")</f>
        <v>CC-2805</v>
      </c>
      <c r="D629" s="24" t="str">
        <f>IFERROR(VLOOKUP(B629,'03. THIẾT BỊ'!$B$1:$S$836,3,0),"")</f>
        <v>A22-MCA-001</v>
      </c>
      <c r="E629" s="20" t="str">
        <f>IFERROR(VLOOKUP(B629,'03. THIẾT BỊ'!$B$1:$S$836,4,0),"")</f>
        <v>ĐQSD</v>
      </c>
      <c r="F629" s="20" t="str">
        <f>IFERROR(VLOOKUP(B629,'03. THIẾT BỊ'!$B$1:$S$836,5,0),"")</f>
        <v>Máy cao áp phun thuốc</v>
      </c>
      <c r="G629" s="101" t="s">
        <v>6468</v>
      </c>
      <c r="H629" s="19" t="str">
        <f>IFERROR(VLOOKUP(B629,'03. THIẾT BỊ'!$B$1:$S$836,7,0),"")</f>
        <v>Xoài AD</v>
      </c>
      <c r="I629" s="610">
        <f>IFERROR(VLOOKUP(B629,'03. THIẾT BỊ'!$B$1:$S$836,8,0),"")</f>
        <v>0</v>
      </c>
      <c r="J629" s="25"/>
      <c r="K629" s="19" t="str">
        <f>IFERROR(VLOOKUP(B629,'03. THIẾT BỊ'!$B$1:$S$836,10,0),"")</f>
        <v>Bình thường</v>
      </c>
      <c r="L629" s="25">
        <f>IFERROR(VLOOKUP(B629,'03. THIẾT BỊ'!$B$1:$S$836,11,0),"")</f>
        <v>0</v>
      </c>
      <c r="M629" s="24">
        <f>IFERROR(VLOOKUP(B629,'03. THIẾT BỊ'!$B$1:$S$836,12,0),"")</f>
        <v>0</v>
      </c>
      <c r="N629" s="25" t="str">
        <f>IFERROR(VLOOKUP(B629,'03. THIẾT BỊ'!$B$1:$S$836,13,0),"")</f>
        <v>CAMBODIA</v>
      </c>
      <c r="O629" s="24" t="str">
        <f>IFERROR(VLOOKUP(B629,'03. THIẾT BỊ'!$B$1:$S$836,14,0),"")</f>
        <v>3.5HP</v>
      </c>
      <c r="P629" s="25" t="str">
        <f>IFERROR(VLOOKUP(B629,'03. THIẾT BỊ'!$B$1:$S$836,15,0),"")</f>
        <v>CAMBODIA</v>
      </c>
      <c r="Q629" s="23">
        <f>IFERROR(VLOOKUP(B629,'03. THIẾT BỊ'!$B$1:$S$836,16,0),"")</f>
        <v>0</v>
      </c>
      <c r="R629" s="25">
        <f>IFERROR(VLOOKUP(B629,'03. THIẾT BỊ'!$B$1:$S$836,17,0),"")</f>
        <v>0</v>
      </c>
      <c r="S629" s="25">
        <f>IFERROR(VLOOKUP(B629,'03. THIẾT BỊ'!$B$1:$S$836,18,0),"")</f>
        <v>0</v>
      </c>
      <c r="T629" s="615"/>
    </row>
    <row r="630" customHeight="1" spans="1:20">
      <c r="A630" s="19">
        <f t="shared" si="29"/>
        <v>47</v>
      </c>
      <c r="B630" s="34" t="s">
        <v>5144</v>
      </c>
      <c r="C630" s="613">
        <f>IFERROR(VLOOKUP(B630,'03. THIẾT BỊ'!$B$1:$S$836,2,0),"")</f>
        <v>0</v>
      </c>
      <c r="D630" s="24" t="str">
        <f>IFERROR(VLOOKUP(B630,'03. THIẾT BỊ'!$B$1:$S$836,3,0),"")</f>
        <v>A22-MCA-002</v>
      </c>
      <c r="E630" s="20" t="str">
        <f>IFERROR(VLOOKUP(B630,'03. THIẾT BỊ'!$B$1:$S$836,4,0),"")</f>
        <v>ĐQSD</v>
      </c>
      <c r="F630" s="20" t="str">
        <f>IFERROR(VLOOKUP(B630,'03. THIẾT BỊ'!$B$1:$S$836,5,0),"")</f>
        <v>Máy cao áp phun thuốc</v>
      </c>
      <c r="G630" s="101" t="s">
        <v>6468</v>
      </c>
      <c r="H630" s="19" t="str">
        <f>IFERROR(VLOOKUP(B630,'03. THIẾT BỊ'!$B$1:$S$836,7,0),"")</f>
        <v>Xoài AD</v>
      </c>
      <c r="I630" s="610">
        <f>IFERROR(VLOOKUP(B630,'03. THIẾT BỊ'!$B$1:$S$836,8,0),"")</f>
        <v>0</v>
      </c>
      <c r="J630" s="25"/>
      <c r="K630" s="19" t="str">
        <f>IFERROR(VLOOKUP(B630,'03. THIẾT BỊ'!$B$1:$S$836,10,0),"")</f>
        <v>Bình thường</v>
      </c>
      <c r="L630" s="25">
        <f>IFERROR(VLOOKUP(B630,'03. THIẾT BỊ'!$B$1:$S$836,11,0),"")</f>
        <v>0</v>
      </c>
      <c r="M630" s="24">
        <f>IFERROR(VLOOKUP(B630,'03. THIẾT BỊ'!$B$1:$S$836,12,0),"")</f>
        <v>0</v>
      </c>
      <c r="N630" s="25" t="str">
        <f>IFERROR(VLOOKUP(B630,'03. THIẾT BỊ'!$B$1:$S$836,13,0),"")</f>
        <v>CAMBODIA</v>
      </c>
      <c r="O630" s="24" t="str">
        <f>IFERROR(VLOOKUP(B630,'03. THIẾT BỊ'!$B$1:$S$836,14,0),"")</f>
        <v>7HP</v>
      </c>
      <c r="P630" s="25" t="str">
        <f>IFERROR(VLOOKUP(B630,'03. THIẾT BỊ'!$B$1:$S$836,15,0),"")</f>
        <v>CAMBODIA</v>
      </c>
      <c r="Q630" s="23">
        <f>IFERROR(VLOOKUP(B630,'03. THIẾT BỊ'!$B$1:$S$836,16,0),"")</f>
        <v>0</v>
      </c>
      <c r="R630" s="25">
        <f>IFERROR(VLOOKUP(B630,'03. THIẾT BỊ'!$B$1:$S$836,17,0),"")</f>
        <v>0</v>
      </c>
      <c r="S630" s="25">
        <f>IFERROR(VLOOKUP(B630,'03. THIẾT BỊ'!$B$1:$S$836,18,0),"")</f>
        <v>0</v>
      </c>
      <c r="T630" s="615"/>
    </row>
    <row r="631" customHeight="1" spans="1:20">
      <c r="A631" s="19">
        <f t="shared" si="29"/>
        <v>48</v>
      </c>
      <c r="B631" s="34" t="s">
        <v>5146</v>
      </c>
      <c r="C631" s="613" t="str">
        <f>IFERROR(VLOOKUP(B631,'03. THIẾT BỊ'!$B$1:$S$836,2,0),"")</f>
        <v>AD2-BAL-001</v>
      </c>
      <c r="D631" s="24" t="str">
        <f>IFERROR(VLOOKUP(B631,'03. THIẾT BỊ'!$B$1:$S$836,3,0),"")</f>
        <v>A22-MCA-003</v>
      </c>
      <c r="E631" s="20" t="str">
        <f>IFERROR(VLOOKUP(B631,'03. THIẾT BỊ'!$B$1:$S$836,4,0),"")</f>
        <v>ĐQSD</v>
      </c>
      <c r="F631" s="20" t="str">
        <f>IFERROR(VLOOKUP(B631,'03. THIẾT BỊ'!$B$1:$S$836,5,0),"")</f>
        <v>Máy cao áp phun thuốc</v>
      </c>
      <c r="G631" s="101" t="s">
        <v>6468</v>
      </c>
      <c r="H631" s="19" t="str">
        <f>IFERROR(VLOOKUP(B631,'03. THIẾT BỊ'!$B$1:$S$836,7,0),"")</f>
        <v>Xoài AD</v>
      </c>
      <c r="I631" s="610">
        <f>IFERROR(VLOOKUP(B631,'03. THIẾT BỊ'!$B$1:$S$836,8,0),"")</f>
        <v>0</v>
      </c>
      <c r="J631" s="25"/>
      <c r="K631" s="19" t="str">
        <f>IFERROR(VLOOKUP(B631,'03. THIẾT BỊ'!$B$1:$S$836,10,0),"")</f>
        <v>Bình thường</v>
      </c>
      <c r="L631" s="25">
        <f>IFERROR(VLOOKUP(B631,'03. THIẾT BỊ'!$B$1:$S$836,11,0),"")</f>
        <v>0</v>
      </c>
      <c r="M631" s="24" t="str">
        <f>IFERROR(VLOOKUP(B631,'03. THIẾT BỊ'!$B$1:$S$836,12,0),"")</f>
        <v>Mới cấp</v>
      </c>
      <c r="N631" s="25" t="str">
        <f>IFERROR(VLOOKUP(B631,'03. THIẾT BỊ'!$B$1:$S$836,13,0),"")</f>
        <v>CAMBODIA</v>
      </c>
      <c r="O631" s="24" t="str">
        <f>IFERROR(VLOOKUP(B631,'03. THIẾT BỊ'!$B$1:$S$836,14,0),"")</f>
        <v>3.5HP</v>
      </c>
      <c r="P631" s="25" t="str">
        <f>IFERROR(VLOOKUP(B631,'03. THIẾT BỊ'!$B$1:$S$836,15,0),"")</f>
        <v>CAMBODIA</v>
      </c>
      <c r="Q631" s="23">
        <f>IFERROR(VLOOKUP(B631,'03. THIẾT BỊ'!$B$1:$S$836,16,0),"")</f>
        <v>0</v>
      </c>
      <c r="R631" s="25">
        <f>IFERROR(VLOOKUP(B631,'03. THIẾT BỊ'!$B$1:$S$836,17,0),"")</f>
        <v>0</v>
      </c>
      <c r="S631" s="25">
        <f>IFERROR(VLOOKUP(B631,'03. THIẾT BỊ'!$B$1:$S$836,18,0),"")</f>
        <v>0</v>
      </c>
      <c r="T631" s="615"/>
    </row>
    <row r="632" customHeight="1" spans="1:20">
      <c r="A632" s="19">
        <f t="shared" si="29"/>
        <v>49</v>
      </c>
      <c r="B632" s="34" t="s">
        <v>5150</v>
      </c>
      <c r="C632" s="613" t="str">
        <f>IFERROR(VLOOKUP(B632,'03. THIẾT BỊ'!$B$1:$S$836,2,0),"")</f>
        <v>AD2-BAL-002</v>
      </c>
      <c r="D632" s="24" t="str">
        <f>IFERROR(VLOOKUP(B632,'03. THIẾT BỊ'!$B$1:$S$836,3,0),"")</f>
        <v>A22-MCA-004</v>
      </c>
      <c r="E632" s="20" t="str">
        <f>IFERROR(VLOOKUP(B632,'03. THIẾT BỊ'!$B$1:$S$836,4,0),"")</f>
        <v>ĐQSD</v>
      </c>
      <c r="F632" s="20" t="str">
        <f>IFERROR(VLOOKUP(B632,'03. THIẾT BỊ'!$B$1:$S$836,5,0),"")</f>
        <v>Máy cao áp phun thuốc</v>
      </c>
      <c r="G632" s="101" t="s">
        <v>6468</v>
      </c>
      <c r="H632" s="19" t="str">
        <f>IFERROR(VLOOKUP(B632,'03. THIẾT BỊ'!$B$1:$S$836,7,0),"")</f>
        <v>Xoài AD</v>
      </c>
      <c r="I632" s="610">
        <f>IFERROR(VLOOKUP(B632,'03. THIẾT BỊ'!$B$1:$S$836,8,0),"")</f>
        <v>0</v>
      </c>
      <c r="J632" s="25"/>
      <c r="K632" s="19" t="str">
        <f>IFERROR(VLOOKUP(B632,'03. THIẾT BỊ'!$B$1:$S$836,10,0),"")</f>
        <v>Bình thường</v>
      </c>
      <c r="L632" s="25">
        <f>IFERROR(VLOOKUP(B632,'03. THIẾT BỊ'!$B$1:$S$836,11,0),"")</f>
        <v>0</v>
      </c>
      <c r="M632" s="24">
        <f>IFERROR(VLOOKUP(B632,'03. THIẾT BỊ'!$B$1:$S$836,12,0),"")</f>
        <v>0</v>
      </c>
      <c r="N632" s="25" t="str">
        <f>IFERROR(VLOOKUP(B632,'03. THIẾT BỊ'!$B$1:$S$836,13,0),"")</f>
        <v>CAMBODIA</v>
      </c>
      <c r="O632" s="24" t="str">
        <f>IFERROR(VLOOKUP(B632,'03. THIẾT BỊ'!$B$1:$S$836,14,0),"")</f>
        <v>3.5HP</v>
      </c>
      <c r="P632" s="25" t="str">
        <f>IFERROR(VLOOKUP(B632,'03. THIẾT BỊ'!$B$1:$S$836,15,0),"")</f>
        <v>CAMBODIA</v>
      </c>
      <c r="Q632" s="23">
        <f>IFERROR(VLOOKUP(B632,'03. THIẾT BỊ'!$B$1:$S$836,16,0),"")</f>
        <v>0</v>
      </c>
      <c r="R632" s="25">
        <f>IFERROR(VLOOKUP(B632,'03. THIẾT BỊ'!$B$1:$S$836,17,0),"")</f>
        <v>0</v>
      </c>
      <c r="S632" s="25">
        <f>IFERROR(VLOOKUP(B632,'03. THIẾT BỊ'!$B$1:$S$836,18,0),"")</f>
        <v>0</v>
      </c>
      <c r="T632" s="615"/>
    </row>
    <row r="633" customHeight="1" spans="1:20">
      <c r="A633" s="19">
        <f t="shared" si="29"/>
        <v>50</v>
      </c>
      <c r="B633" s="34" t="s">
        <v>5153</v>
      </c>
      <c r="C633" s="613" t="str">
        <f>IFERROR(VLOOKUP(B633,'03. THIẾT BỊ'!$B$1:$S$836,2,0),"")</f>
        <v>AD2-BAL-003</v>
      </c>
      <c r="D633" s="24" t="str">
        <f>IFERROR(VLOOKUP(B633,'03. THIẾT BỊ'!$B$1:$S$836,3,0),"")</f>
        <v>A22-MCA-005</v>
      </c>
      <c r="E633" s="20" t="str">
        <f>IFERROR(VLOOKUP(B633,'03. THIẾT BỊ'!$B$1:$S$836,4,0),"")</f>
        <v>ĐQSD</v>
      </c>
      <c r="F633" s="20" t="str">
        <f>IFERROR(VLOOKUP(B633,'03. THIẾT BỊ'!$B$1:$S$836,5,0),"")</f>
        <v>Máy cao áp phun thuốc</v>
      </c>
      <c r="G633" s="101" t="s">
        <v>6468</v>
      </c>
      <c r="H633" s="19" t="str">
        <f>IFERROR(VLOOKUP(B633,'03. THIẾT BỊ'!$B$1:$S$836,7,0),"")</f>
        <v>Xoài AD</v>
      </c>
      <c r="I633" s="610">
        <f>IFERROR(VLOOKUP(B633,'03. THIẾT BỊ'!$B$1:$S$836,8,0),"")</f>
        <v>0</v>
      </c>
      <c r="J633" s="25"/>
      <c r="K633" s="19" t="str">
        <f>IFERROR(VLOOKUP(B633,'03. THIẾT BỊ'!$B$1:$S$836,10,0),"")</f>
        <v>Bình thường</v>
      </c>
      <c r="L633" s="25">
        <f>IFERROR(VLOOKUP(B633,'03. THIẾT BỊ'!$B$1:$S$836,11,0),"")</f>
        <v>0</v>
      </c>
      <c r="M633" s="24">
        <f>IFERROR(VLOOKUP(B633,'03. THIẾT BỊ'!$B$1:$S$836,12,0),"")</f>
        <v>0</v>
      </c>
      <c r="N633" s="25" t="str">
        <f>IFERROR(VLOOKUP(B633,'03. THIẾT BỊ'!$B$1:$S$836,13,0),"")</f>
        <v>CAMBODIA</v>
      </c>
      <c r="O633" s="24" t="str">
        <f>IFERROR(VLOOKUP(B633,'03. THIẾT BỊ'!$B$1:$S$836,14,0),"")</f>
        <v>3.5HP</v>
      </c>
      <c r="P633" s="25" t="str">
        <f>IFERROR(VLOOKUP(B633,'03. THIẾT BỊ'!$B$1:$S$836,15,0),"")</f>
        <v>CAMBODIA</v>
      </c>
      <c r="Q633" s="23">
        <f>IFERROR(VLOOKUP(B633,'03. THIẾT BỊ'!$B$1:$S$836,16,0),"")</f>
        <v>0</v>
      </c>
      <c r="R633" s="25">
        <f>IFERROR(VLOOKUP(B633,'03. THIẾT BỊ'!$B$1:$S$836,17,0),"")</f>
        <v>0</v>
      </c>
      <c r="S633" s="25">
        <f>IFERROR(VLOOKUP(B633,'03. THIẾT BỊ'!$B$1:$S$836,18,0),"")</f>
        <v>0</v>
      </c>
      <c r="T633" s="615"/>
    </row>
    <row r="634" customHeight="1" spans="1:20">
      <c r="A634" s="19">
        <f t="shared" si="29"/>
        <v>51</v>
      </c>
      <c r="B634" s="20" t="s">
        <v>5208</v>
      </c>
      <c r="C634" s="613">
        <f>IFERROR(VLOOKUP(B634,'03. THIẾT BỊ'!$B$1:$S$836,2,0),"")</f>
        <v>0</v>
      </c>
      <c r="D634" s="24" t="str">
        <f>IFERROR(VLOOKUP(B634,'03. THIẾT BỊ'!$B$1:$S$836,3,0),"")</f>
        <v>A23-MCA-001</v>
      </c>
      <c r="E634" s="20" t="str">
        <f>IFERROR(VLOOKUP(B634,'03. THIẾT BỊ'!$B$1:$S$836,4,0),"")</f>
        <v>ĐQSD</v>
      </c>
      <c r="F634" s="20" t="str">
        <f>IFERROR(VLOOKUP(B634,'03. THIẾT BỊ'!$B$1:$S$836,5,0),"")</f>
        <v>Máy cao áp phun thuốc</v>
      </c>
      <c r="G634" s="101" t="s">
        <v>6468</v>
      </c>
      <c r="H634" s="19" t="str">
        <f>IFERROR(VLOOKUP(B634,'03. THIẾT BỊ'!$B$1:$S$836,7,0),"")</f>
        <v>Xoài DP</v>
      </c>
      <c r="I634" s="610">
        <f>IFERROR(VLOOKUP(B634,'03. THIẾT BỊ'!$B$1:$S$836,8,0),"")</f>
        <v>0</v>
      </c>
      <c r="J634" s="25"/>
      <c r="K634" s="19" t="str">
        <f>IFERROR(VLOOKUP(B634,'03. THIẾT BỊ'!$B$1:$S$836,10,0),"")</f>
        <v>Bình thường</v>
      </c>
      <c r="L634" s="25">
        <f>IFERROR(VLOOKUP(B634,'03. THIẾT BỊ'!$B$1:$S$836,11,0),"")</f>
        <v>0</v>
      </c>
      <c r="M634" s="24">
        <f>IFERROR(VLOOKUP(B634,'03. THIẾT BỊ'!$B$1:$S$836,12,0),"")</f>
        <v>0</v>
      </c>
      <c r="N634" s="25" t="str">
        <f>IFERROR(VLOOKUP(B634,'03. THIẾT BỊ'!$B$1:$S$836,13,0),"")</f>
        <v>CAMBODIA</v>
      </c>
      <c r="O634" s="24" t="str">
        <f>IFERROR(VLOOKUP(B634,'03. THIẾT BỊ'!$B$1:$S$836,14,0),"")</f>
        <v>3HP</v>
      </c>
      <c r="P634" s="25" t="str">
        <f>IFERROR(VLOOKUP(B634,'03. THIẾT BỊ'!$B$1:$S$836,15,0),"")</f>
        <v>CAMBODIA</v>
      </c>
      <c r="Q634" s="23">
        <f>IFERROR(VLOOKUP(B634,'03. THIẾT BỊ'!$B$1:$S$836,16,0),"")</f>
        <v>0</v>
      </c>
      <c r="R634" s="25" t="str">
        <f>IFERROR(VLOOKUP(B634,'03. THIẾT BỊ'!$B$1:$S$836,17,0),"")</f>
        <v>3HP</v>
      </c>
      <c r="S634" s="25">
        <f>IFERROR(VLOOKUP(B634,'03. THIẾT BỊ'!$B$1:$S$836,18,0),"")</f>
        <v>0</v>
      </c>
      <c r="T634" s="615"/>
    </row>
    <row r="635" customHeight="1" spans="1:20">
      <c r="A635" s="19">
        <f t="shared" si="29"/>
        <v>52</v>
      </c>
      <c r="B635" s="20" t="s">
        <v>5209</v>
      </c>
      <c r="C635" s="613">
        <f>IFERROR(VLOOKUP(B635,'03. THIẾT BỊ'!$B$1:$S$836,2,0),"")</f>
        <v>0</v>
      </c>
      <c r="D635" s="24" t="str">
        <f>IFERROR(VLOOKUP(B635,'03. THIẾT BỊ'!$B$1:$S$836,3,0),"")</f>
        <v>A23-MCA-002</v>
      </c>
      <c r="E635" s="20" t="str">
        <f>IFERROR(VLOOKUP(B635,'03. THIẾT BỊ'!$B$1:$S$836,4,0),"")</f>
        <v>ĐQSD</v>
      </c>
      <c r="F635" s="20" t="str">
        <f>IFERROR(VLOOKUP(B635,'03. THIẾT BỊ'!$B$1:$S$836,5,0),"")</f>
        <v>Máy cao áp phun thuốc</v>
      </c>
      <c r="G635" s="101" t="s">
        <v>6468</v>
      </c>
      <c r="H635" s="19" t="str">
        <f>IFERROR(VLOOKUP(B635,'03. THIẾT BỊ'!$B$1:$S$836,7,0),"")</f>
        <v>Xoài DP</v>
      </c>
      <c r="I635" s="610">
        <f>IFERROR(VLOOKUP(B635,'03. THIẾT BỊ'!$B$1:$S$836,8,0),"")</f>
        <v>0</v>
      </c>
      <c r="J635" s="25"/>
      <c r="K635" s="19" t="str">
        <f>IFERROR(VLOOKUP(B635,'03. THIẾT BỊ'!$B$1:$S$836,10,0),"")</f>
        <v>Bình thường</v>
      </c>
      <c r="L635" s="25">
        <f>IFERROR(VLOOKUP(B635,'03. THIẾT BỊ'!$B$1:$S$836,11,0),"")</f>
        <v>0</v>
      </c>
      <c r="M635" s="24">
        <f>IFERROR(VLOOKUP(B635,'03. THIẾT BỊ'!$B$1:$S$836,12,0),"")</f>
        <v>0</v>
      </c>
      <c r="N635" s="25" t="str">
        <f>IFERROR(VLOOKUP(B635,'03. THIẾT BỊ'!$B$1:$S$836,13,0),"")</f>
        <v>CAMBODIA</v>
      </c>
      <c r="O635" s="24" t="str">
        <f>IFERROR(VLOOKUP(B635,'03. THIẾT BỊ'!$B$1:$S$836,14,0),"")</f>
        <v>3HP</v>
      </c>
      <c r="P635" s="25" t="str">
        <f>IFERROR(VLOOKUP(B635,'03. THIẾT BỊ'!$B$1:$S$836,15,0),"")</f>
        <v>CAMBODIA</v>
      </c>
      <c r="Q635" s="23">
        <f>IFERROR(VLOOKUP(B635,'03. THIẾT BỊ'!$B$1:$S$836,16,0),"")</f>
        <v>0</v>
      </c>
      <c r="R635" s="25" t="str">
        <f>IFERROR(VLOOKUP(B635,'03. THIẾT BỊ'!$B$1:$S$836,17,0),"")</f>
        <v>3HP</v>
      </c>
      <c r="S635" s="25">
        <f>IFERROR(VLOOKUP(B635,'03. THIẾT BỊ'!$B$1:$S$836,18,0),"")</f>
        <v>0</v>
      </c>
      <c r="T635" s="615"/>
    </row>
    <row r="636" customHeight="1" spans="1:20">
      <c r="A636" s="19">
        <f t="shared" si="29"/>
        <v>53</v>
      </c>
      <c r="B636" s="20" t="s">
        <v>5210</v>
      </c>
      <c r="C636" s="613">
        <f>IFERROR(VLOOKUP(B636,'03. THIẾT BỊ'!$B$1:$S$836,2,0),"")</f>
        <v>0</v>
      </c>
      <c r="D636" s="24" t="str">
        <f>IFERROR(VLOOKUP(B636,'03. THIẾT BỊ'!$B$1:$S$836,3,0),"")</f>
        <v>A23-MCA-001</v>
      </c>
      <c r="E636" s="20" t="str">
        <f>IFERROR(VLOOKUP(B636,'03. THIẾT BỊ'!$B$1:$S$836,4,0),"")</f>
        <v>ĐQSD</v>
      </c>
      <c r="F636" s="20" t="str">
        <f>IFERROR(VLOOKUP(B636,'03. THIẾT BỊ'!$B$1:$S$836,5,0),"")</f>
        <v>Máy cao áp phun thuốc</v>
      </c>
      <c r="G636" s="101" t="s">
        <v>6468</v>
      </c>
      <c r="H636" s="19" t="str">
        <f>IFERROR(VLOOKUP(B636,'03. THIẾT BỊ'!$B$1:$S$836,7,0),"")</f>
        <v>Xoài DP</v>
      </c>
      <c r="I636" s="610">
        <f>IFERROR(VLOOKUP(B636,'03. THIẾT BỊ'!$B$1:$S$836,8,0),"")</f>
        <v>0</v>
      </c>
      <c r="J636" s="25"/>
      <c r="K636" s="19" t="str">
        <f>IFERROR(VLOOKUP(B636,'03. THIẾT BỊ'!$B$1:$S$836,10,0),"")</f>
        <v>Bình thường</v>
      </c>
      <c r="L636" s="25" t="str">
        <f>IFERROR(VLOOKUP(B636,'03. THIẾT BỊ'!$B$1:$S$836,11,0),"")</f>
        <v>Nhãn DP Đã Đ.chuyển sang Xoài DP 06.08.2024</v>
      </c>
      <c r="M636" s="24">
        <f>IFERROR(VLOOKUP(B636,'03. THIẾT BỊ'!$B$1:$S$836,12,0),"")</f>
        <v>0</v>
      </c>
      <c r="N636" s="25" t="str">
        <f>IFERROR(VLOOKUP(B636,'03. THIẾT BỊ'!$B$1:$S$836,13,0),"")</f>
        <v>CAMBODIA</v>
      </c>
      <c r="O636" s="24" t="str">
        <f>IFERROR(VLOOKUP(B636,'03. THIẾT BỊ'!$B$1:$S$836,14,0),"")</f>
        <v>3HP</v>
      </c>
      <c r="P636" s="25" t="str">
        <f>IFERROR(VLOOKUP(B636,'03. THIẾT BỊ'!$B$1:$S$836,15,0),"")</f>
        <v>CAMBODIA</v>
      </c>
      <c r="Q636" s="23">
        <f>IFERROR(VLOOKUP(B636,'03. THIẾT BỊ'!$B$1:$S$836,16,0),"")</f>
        <v>0</v>
      </c>
      <c r="R636" s="25" t="str">
        <f>IFERROR(VLOOKUP(B636,'03. THIẾT BỊ'!$B$1:$S$836,17,0),"")</f>
        <v>3HP</v>
      </c>
      <c r="S636" s="25">
        <f>IFERROR(VLOOKUP(B636,'03. THIẾT BỊ'!$B$1:$S$836,18,0),"")</f>
        <v>0</v>
      </c>
      <c r="T636" s="615"/>
    </row>
    <row r="637" customHeight="1" spans="1:20">
      <c r="A637" s="19">
        <f t="shared" si="29"/>
        <v>54</v>
      </c>
      <c r="B637" s="20" t="s">
        <v>5212</v>
      </c>
      <c r="C637" s="613">
        <f>IFERROR(VLOOKUP(B637,'03. THIẾT BỊ'!$B$1:$S$836,2,0),"")</f>
        <v>0</v>
      </c>
      <c r="D637" s="24" t="str">
        <f>IFERROR(VLOOKUP(B637,'03. THIẾT BỊ'!$B$1:$S$836,3,0),"")</f>
        <v>A23-MCA-002</v>
      </c>
      <c r="E637" s="20" t="str">
        <f>IFERROR(VLOOKUP(B637,'03. THIẾT BỊ'!$B$1:$S$836,4,0),"")</f>
        <v>ĐQSD</v>
      </c>
      <c r="F637" s="20" t="str">
        <f>IFERROR(VLOOKUP(B637,'03. THIẾT BỊ'!$B$1:$S$836,5,0),"")</f>
        <v>Máy cao áp phun thuốc</v>
      </c>
      <c r="G637" s="101" t="s">
        <v>6468</v>
      </c>
      <c r="H637" s="19" t="str">
        <f>IFERROR(VLOOKUP(B637,'03. THIẾT BỊ'!$B$1:$S$836,7,0),"")</f>
        <v>Xoài DP</v>
      </c>
      <c r="I637" s="610">
        <f>IFERROR(VLOOKUP(B637,'03. THIẾT BỊ'!$B$1:$S$836,8,0),"")</f>
        <v>0</v>
      </c>
      <c r="J637" s="25"/>
      <c r="K637" s="19" t="str">
        <f>IFERROR(VLOOKUP(B637,'03. THIẾT BỊ'!$B$1:$S$836,10,0),"")</f>
        <v>Bình thường</v>
      </c>
      <c r="L637" s="25" t="str">
        <f>IFERROR(VLOOKUP(B637,'03. THIẾT BỊ'!$B$1:$S$836,11,0),"")</f>
        <v>Nhãn DP Đã Đ.chuyển sang Xoài DP 06.08.2024</v>
      </c>
      <c r="M637" s="24">
        <f>IFERROR(VLOOKUP(B637,'03. THIẾT BỊ'!$B$1:$S$836,12,0),"")</f>
        <v>0</v>
      </c>
      <c r="N637" s="25" t="str">
        <f>IFERROR(VLOOKUP(B637,'03. THIẾT BỊ'!$B$1:$S$836,13,0),"")</f>
        <v>CAMBODIA</v>
      </c>
      <c r="O637" s="24" t="str">
        <f>IFERROR(VLOOKUP(B637,'03. THIẾT BỊ'!$B$1:$S$836,14,0),"")</f>
        <v>3HP</v>
      </c>
      <c r="P637" s="25" t="str">
        <f>IFERROR(VLOOKUP(B637,'03. THIẾT BỊ'!$B$1:$S$836,15,0),"")</f>
        <v>CAMBODIA</v>
      </c>
      <c r="Q637" s="23">
        <f>IFERROR(VLOOKUP(B637,'03. THIẾT BỊ'!$B$1:$S$836,16,0),"")</f>
        <v>0</v>
      </c>
      <c r="R637" s="25" t="str">
        <f>IFERROR(VLOOKUP(B637,'03. THIẾT BỊ'!$B$1:$S$836,17,0),"")</f>
        <v>3HP</v>
      </c>
      <c r="S637" s="25">
        <f>IFERROR(VLOOKUP(B637,'03. THIẾT BỊ'!$B$1:$S$836,18,0),"")</f>
        <v>0</v>
      </c>
      <c r="T637" s="615"/>
    </row>
    <row r="638" customHeight="1" spans="1:20">
      <c r="A638" s="19">
        <f t="shared" si="29"/>
        <v>55</v>
      </c>
      <c r="B638" s="20" t="s">
        <v>5525</v>
      </c>
      <c r="C638" s="613">
        <f>IFERROR(VLOOKUP(B638,'03. THIẾT BỊ'!$B$1:$S$836,2,0),"")</f>
        <v>0</v>
      </c>
      <c r="D638" s="24">
        <f>IFERROR(VLOOKUP(B638,'03. THIẾT BỊ'!$B$1:$S$836,3,0),"")</f>
        <v>0</v>
      </c>
      <c r="E638" s="20" t="str">
        <f>IFERROR(VLOOKUP(B638,'03. THIẾT BỊ'!$B$1:$S$836,4,0),"")</f>
        <v>ĐQSD</v>
      </c>
      <c r="F638" s="20" t="str">
        <f>IFERROR(VLOOKUP(B638,'03. THIẾT BỊ'!$B$1:$S$836,5,0),"")</f>
        <v>Máy cao áp phun thuốc</v>
      </c>
      <c r="G638" s="101" t="s">
        <v>6468</v>
      </c>
      <c r="H638" s="19" t="str">
        <f>IFERROR(VLOOKUP(B638,'03. THIẾT BỊ'!$B$1:$S$836,7,0),"")</f>
        <v>XN Bò AD</v>
      </c>
      <c r="I638" s="610">
        <f>IFERROR(VLOOKUP(B638,'03. THIẾT BỊ'!$B$1:$S$836,8,0),"")</f>
        <v>45514</v>
      </c>
      <c r="J638" s="25"/>
      <c r="K638" s="19" t="str">
        <f>IFERROR(VLOOKUP(B638,'03. THIẾT BỊ'!$B$1:$S$836,10,0),"")</f>
        <v>Bình thường</v>
      </c>
      <c r="L638" s="25">
        <f>IFERROR(VLOOKUP(B638,'03. THIẾT BỊ'!$B$1:$S$836,11,0),"")</f>
        <v>0</v>
      </c>
      <c r="M638" s="24" t="str">
        <f>IFERROR(VLOOKUP(B638,'03. THIẾT BỊ'!$B$1:$S$836,12,0),"")</f>
        <v>Đầu tư mới</v>
      </c>
      <c r="N638" s="25" t="str">
        <f>IFERROR(VLOOKUP(B638,'03. THIẾT BỊ'!$B$1:$S$836,13,0),"")</f>
        <v>NILE</v>
      </c>
      <c r="O638" s="24" t="str">
        <f>IFERROR(VLOOKUP(B638,'03. THIẾT BỊ'!$B$1:$S$836,14,0),"")</f>
        <v>N680A</v>
      </c>
      <c r="P638" s="25" t="str">
        <f>IFERROR(VLOOKUP(B638,'03. THIẾT BỊ'!$B$1:$S$836,15,0),"")</f>
        <v>TRUNG QUỐC</v>
      </c>
      <c r="Q638" s="23">
        <f>IFERROR(VLOOKUP(B638,'03. THIẾT BỊ'!$B$1:$S$836,16,0),"")</f>
        <v>0</v>
      </c>
      <c r="R638" s="25">
        <f>IFERROR(VLOOKUP(B638,'03. THIẾT BỊ'!$B$1:$S$836,17,0),"")</f>
        <v>0</v>
      </c>
      <c r="S638" s="25" t="str">
        <f>IFERROR(VLOOKUP(B638,'03. THIẾT BỊ'!$B$1:$S$836,18,0),"")</f>
        <v>N680A-240014</v>
      </c>
      <c r="T638" s="41"/>
    </row>
    <row r="639" customHeight="1" spans="1:20">
      <c r="A639" s="19">
        <f t="shared" si="29"/>
        <v>56</v>
      </c>
      <c r="B639" s="20" t="s">
        <v>5529</v>
      </c>
      <c r="C639" s="613">
        <f>IFERROR(VLOOKUP(B639,'03. THIẾT BỊ'!$B$1:$S$836,2,0),"")</f>
        <v>0</v>
      </c>
      <c r="D639" s="24">
        <f>IFERROR(VLOOKUP(B639,'03. THIẾT BỊ'!$B$1:$S$836,3,0),"")</f>
        <v>0</v>
      </c>
      <c r="E639" s="20" t="str">
        <f>IFERROR(VLOOKUP(B639,'03. THIẾT BỊ'!$B$1:$S$836,4,0),"")</f>
        <v>ĐQSD</v>
      </c>
      <c r="F639" s="20" t="str">
        <f>IFERROR(VLOOKUP(B639,'03. THIẾT BỊ'!$B$1:$S$836,5,0),"")</f>
        <v>Máy cao áp phun thuốc</v>
      </c>
      <c r="G639" s="101" t="s">
        <v>6468</v>
      </c>
      <c r="H639" s="19" t="str">
        <f>IFERROR(VLOOKUP(B639,'03. THIẾT BỊ'!$B$1:$S$836,7,0),"")</f>
        <v>XN Bò AD</v>
      </c>
      <c r="I639" s="610">
        <f>IFERROR(VLOOKUP(B639,'03. THIẾT BỊ'!$B$1:$S$836,8,0),"")</f>
        <v>45514</v>
      </c>
      <c r="J639" s="25"/>
      <c r="K639" s="19" t="str">
        <f>IFERROR(VLOOKUP(B639,'03. THIẾT BỊ'!$B$1:$S$836,10,0),"")</f>
        <v>Bình thường</v>
      </c>
      <c r="L639" s="25">
        <f>IFERROR(VLOOKUP(B639,'03. THIẾT BỊ'!$B$1:$S$836,11,0),"")</f>
        <v>0</v>
      </c>
      <c r="M639" s="24" t="str">
        <f>IFERROR(VLOOKUP(B639,'03. THIẾT BỊ'!$B$1:$S$836,12,0),"")</f>
        <v>Đầu tư mới</v>
      </c>
      <c r="N639" s="25" t="str">
        <f>IFERROR(VLOOKUP(B639,'03. THIẾT BỊ'!$B$1:$S$836,13,0),"")</f>
        <v>NILE</v>
      </c>
      <c r="O639" s="24" t="str">
        <f>IFERROR(VLOOKUP(B639,'03. THIẾT BỊ'!$B$1:$S$836,14,0),"")</f>
        <v>N680A</v>
      </c>
      <c r="P639" s="25" t="str">
        <f>IFERROR(VLOOKUP(B639,'03. THIẾT BỊ'!$B$1:$S$836,15,0),"")</f>
        <v>TRUNG QUỐC</v>
      </c>
      <c r="Q639" s="23">
        <f>IFERROR(VLOOKUP(B639,'03. THIẾT BỊ'!$B$1:$S$836,16,0),"")</f>
        <v>0</v>
      </c>
      <c r="R639" s="25">
        <f>IFERROR(VLOOKUP(B639,'03. THIẾT BỊ'!$B$1:$S$836,17,0),"")</f>
        <v>0</v>
      </c>
      <c r="S639" s="25" t="str">
        <f>IFERROR(VLOOKUP(B639,'03. THIẾT BỊ'!$B$1:$S$836,18,0),"")</f>
        <v>N680A-240012</v>
      </c>
      <c r="T639" s="41"/>
    </row>
    <row r="640" customHeight="1" spans="1:20">
      <c r="A640" s="19">
        <f t="shared" si="29"/>
        <v>57</v>
      </c>
      <c r="B640" s="20" t="s">
        <v>5531</v>
      </c>
      <c r="C640" s="613">
        <f>IFERROR(VLOOKUP(B640,'03. THIẾT BỊ'!$B$1:$S$836,2,0),"")</f>
        <v>0</v>
      </c>
      <c r="D640" s="24">
        <f>IFERROR(VLOOKUP(B640,'03. THIẾT BỊ'!$B$1:$S$836,3,0),"")</f>
        <v>0</v>
      </c>
      <c r="E640" s="20" t="str">
        <f>IFERROR(VLOOKUP(B640,'03. THIẾT BỊ'!$B$1:$S$836,4,0),"")</f>
        <v>ĐQSD</v>
      </c>
      <c r="F640" s="20" t="str">
        <f>IFERROR(VLOOKUP(B640,'03. THIẾT BỊ'!$B$1:$S$836,5,0),"")</f>
        <v>Máy cao áp phun thuốc</v>
      </c>
      <c r="G640" s="101" t="s">
        <v>6468</v>
      </c>
      <c r="H640" s="19" t="str">
        <f>IFERROR(VLOOKUP(B640,'03. THIẾT BỊ'!$B$1:$S$836,7,0),"")</f>
        <v>XN Bò AD</v>
      </c>
      <c r="I640" s="610">
        <f>IFERROR(VLOOKUP(B640,'03. THIẾT BỊ'!$B$1:$S$836,8,0),"")</f>
        <v>45514</v>
      </c>
      <c r="J640" s="25"/>
      <c r="K640" s="19" t="str">
        <f>IFERROR(VLOOKUP(B640,'03. THIẾT BỊ'!$B$1:$S$836,10,0),"")</f>
        <v>Bình thường</v>
      </c>
      <c r="L640" s="25">
        <f>IFERROR(VLOOKUP(B640,'03. THIẾT BỊ'!$B$1:$S$836,11,0),"")</f>
        <v>0</v>
      </c>
      <c r="M640" s="24" t="str">
        <f>IFERROR(VLOOKUP(B640,'03. THIẾT BỊ'!$B$1:$S$836,12,0),"")</f>
        <v>Đầu tư mới</v>
      </c>
      <c r="N640" s="25" t="str">
        <f>IFERROR(VLOOKUP(B640,'03. THIẾT BỊ'!$B$1:$S$836,13,0),"")</f>
        <v>NILE</v>
      </c>
      <c r="O640" s="24" t="str">
        <f>IFERROR(VLOOKUP(B640,'03. THIẾT BỊ'!$B$1:$S$836,14,0),"")</f>
        <v>N680A</v>
      </c>
      <c r="P640" s="25" t="str">
        <f>IFERROR(VLOOKUP(B640,'03. THIẾT BỊ'!$B$1:$S$836,15,0),"")</f>
        <v>TRUNG QUỐC</v>
      </c>
      <c r="Q640" s="23">
        <f>IFERROR(VLOOKUP(B640,'03. THIẾT BỊ'!$B$1:$S$836,16,0),"")</f>
        <v>0</v>
      </c>
      <c r="R640" s="25">
        <f>IFERROR(VLOOKUP(B640,'03. THIẾT BỊ'!$B$1:$S$836,17,0),"")</f>
        <v>0</v>
      </c>
      <c r="S640" s="25" t="str">
        <f>IFERROR(VLOOKUP(B640,'03. THIẾT BỊ'!$B$1:$S$836,18,0),"")</f>
        <v>N680A-240010</v>
      </c>
      <c r="T640" s="41"/>
    </row>
    <row r="641" ht="13.8" spans="1:20">
      <c r="C641" s="613" t="str">
        <f>IFERROR(VLOOKUP(B641,'03. THIẾT BỊ'!$B$1:$S$836,2,0),"")</f>
        <v/>
      </c>
      <c r="D641" s="24" t="str">
        <f>IFERROR(VLOOKUP(B641,'03. THIẾT BỊ'!$B$1:$S$836,3,0),"")</f>
        <v/>
      </c>
      <c r="E641" s="20" t="str">
        <f>IFERROR(VLOOKUP(B641,'03. THIẾT BỊ'!$B$1:$S$836,4,0),"")</f>
        <v/>
      </c>
      <c r="F641" s="20" t="str">
        <f>IFERROR(VLOOKUP(B641,'03. THIẾT BỊ'!$B$1:$S$836,5,0),"")</f>
        <v/>
      </c>
      <c r="G641" s="101" t="s">
        <v>6468</v>
      </c>
      <c r="H641" s="19" t="str">
        <f>IFERROR(VLOOKUP(B641,'03. THIẾT BỊ'!$B$1:$S$836,7,0),"")</f>
        <v/>
      </c>
      <c r="I641" s="610" t="str">
        <f>IFERROR(VLOOKUP(B641,'03. THIẾT BỊ'!$B$1:$S$836,8,0),"")</f>
        <v/>
      </c>
      <c r="J641" s="25"/>
      <c r="K641" s="19" t="str">
        <f>IFERROR(VLOOKUP(B641,'03. THIẾT BỊ'!$B$1:$S$836,10,0),"")</f>
        <v/>
      </c>
      <c r="L641" s="25" t="str">
        <f>IFERROR(VLOOKUP(B641,'03. THIẾT BỊ'!$B$1:$S$836,11,0),"")</f>
        <v/>
      </c>
      <c r="M641" s="24" t="str">
        <f>IFERROR(VLOOKUP(B641,'03. THIẾT BỊ'!$B$1:$S$836,12,0),"")</f>
        <v/>
      </c>
      <c r="N641" s="25" t="str">
        <f>IFERROR(VLOOKUP(B641,'03. THIẾT BỊ'!$B$1:$S$836,13,0),"")</f>
        <v/>
      </c>
      <c r="O641" s="24" t="str">
        <f>IFERROR(VLOOKUP(B641,'03. THIẾT BỊ'!$B$1:$S$836,14,0),"")</f>
        <v/>
      </c>
      <c r="P641" s="25" t="str">
        <f>IFERROR(VLOOKUP(B641,'03. THIẾT BỊ'!$B$1:$S$836,15,0),"")</f>
        <v/>
      </c>
      <c r="Q641" s="23" t="str">
        <f>IFERROR(VLOOKUP(B641,'03. THIẾT BỊ'!$B$1:$S$836,16,0),"")</f>
        <v/>
      </c>
      <c r="R641" s="25" t="str">
        <f>IFERROR(VLOOKUP(B641,'03. THIẾT BỊ'!$B$1:$S$836,17,0),"")</f>
        <v/>
      </c>
      <c r="S641" s="25" t="str">
        <f>IFERROR(VLOOKUP(B641,'03. THIẾT BỊ'!$B$1:$S$836,18,0),"")</f>
        <v/>
      </c>
    </row>
    <row r="642" ht="13.8" hidden="1" spans="1:20">
      <c r="C642" s="613" t="str">
        <f>IFERROR(VLOOKUP(B642,'03. THIẾT BỊ'!$B$1:$S$836,2,0),"")</f>
        <v/>
      </c>
      <c r="D642" s="24" t="str">
        <f>IFERROR(VLOOKUP(B642,'03. THIẾT BỊ'!$B$1:$S$836,3,0),"")</f>
        <v/>
      </c>
      <c r="E642" s="20" t="str">
        <f>IFERROR(VLOOKUP(B642,'03. THIẾT BỊ'!$B$1:$S$836,4,0),"")</f>
        <v/>
      </c>
      <c r="F642" s="20" t="str">
        <f>IFERROR(VLOOKUP(B642,'03. THIẾT BỊ'!$B$1:$S$836,5,0),"")</f>
        <v/>
      </c>
      <c r="G642" s="101" t="s">
        <v>6468</v>
      </c>
      <c r="H642" s="19" t="str">
        <f>IFERROR(VLOOKUP(B642,'03. THIẾT BỊ'!$B$1:$S$836,7,0),"")</f>
        <v/>
      </c>
      <c r="I642" s="610" t="str">
        <f>IFERROR(VLOOKUP(B642,'03. THIẾT BỊ'!$B$1:$S$836,8,0),"")</f>
        <v/>
      </c>
      <c r="J642" s="25"/>
      <c r="K642" s="19" t="str">
        <f>IFERROR(VLOOKUP(B642,'03. THIẾT BỊ'!$B$1:$S$836,10,0),"")</f>
        <v/>
      </c>
      <c r="L642" s="25" t="str">
        <f>IFERROR(VLOOKUP(B642,'03. THIẾT BỊ'!$B$1:$S$836,11,0),"")</f>
        <v/>
      </c>
      <c r="M642" s="24" t="str">
        <f>IFERROR(VLOOKUP(B642,'03. THIẾT BỊ'!$B$1:$S$836,12,0),"")</f>
        <v/>
      </c>
      <c r="N642" s="25" t="str">
        <f>IFERROR(VLOOKUP(B642,'03. THIẾT BỊ'!$B$1:$S$836,13,0),"")</f>
        <v/>
      </c>
      <c r="O642" s="24" t="str">
        <f>IFERROR(VLOOKUP(B642,'03. THIẾT BỊ'!$B$1:$S$836,14,0),"")</f>
        <v/>
      </c>
      <c r="P642" s="25" t="str">
        <f>IFERROR(VLOOKUP(B642,'03. THIẾT BỊ'!$B$1:$S$836,15,0),"")</f>
        <v/>
      </c>
      <c r="Q642" s="23" t="str">
        <f>IFERROR(VLOOKUP(B642,'03. THIẾT BỊ'!$B$1:$S$836,16,0),"")</f>
        <v/>
      </c>
      <c r="R642" s="25" t="str">
        <f>IFERROR(VLOOKUP(B642,'03. THIẾT BỊ'!$B$1:$S$836,17,0),"")</f>
        <v/>
      </c>
      <c r="S642" s="25" t="str">
        <f>IFERROR(VLOOKUP(B642,'03. THIẾT BỊ'!$B$1:$S$836,18,0),"")</f>
        <v/>
      </c>
    </row>
    <row r="643" ht="13.8" hidden="1" spans="1:20">
      <c r="C643" s="613" t="str">
        <f>IFERROR(VLOOKUP(B643,'03. THIẾT BỊ'!$B$1:$S$836,2,0),"")</f>
        <v/>
      </c>
      <c r="D643" s="24" t="str">
        <f>IFERROR(VLOOKUP(B643,'03. THIẾT BỊ'!$B$1:$S$836,3,0),"")</f>
        <v/>
      </c>
      <c r="E643" s="20" t="str">
        <f>IFERROR(VLOOKUP(B643,'03. THIẾT BỊ'!$B$1:$S$836,4,0),"")</f>
        <v/>
      </c>
      <c r="F643" s="20" t="str">
        <f>IFERROR(VLOOKUP(B643,'03. THIẾT BỊ'!$B$1:$S$836,5,0),"")</f>
        <v/>
      </c>
      <c r="G643" s="101" t="s">
        <v>6468</v>
      </c>
      <c r="H643" s="19" t="str">
        <f>IFERROR(VLOOKUP(B643,'03. THIẾT BỊ'!$B$1:$S$836,7,0),"")</f>
        <v/>
      </c>
      <c r="I643" s="610" t="str">
        <f>IFERROR(VLOOKUP(B643,'03. THIẾT BỊ'!$B$1:$S$836,8,0),"")</f>
        <v/>
      </c>
      <c r="J643" s="25"/>
      <c r="K643" s="19" t="str">
        <f>IFERROR(VLOOKUP(B643,'03. THIẾT BỊ'!$B$1:$S$836,10,0),"")</f>
        <v/>
      </c>
      <c r="L643" s="25" t="str">
        <f>IFERROR(VLOOKUP(B643,'03. THIẾT BỊ'!$B$1:$S$836,11,0),"")</f>
        <v/>
      </c>
      <c r="M643" s="24" t="str">
        <f>IFERROR(VLOOKUP(B643,'03. THIẾT BỊ'!$B$1:$S$836,12,0),"")</f>
        <v/>
      </c>
      <c r="N643" s="25" t="str">
        <f>IFERROR(VLOOKUP(B643,'03. THIẾT BỊ'!$B$1:$S$836,13,0),"")</f>
        <v/>
      </c>
      <c r="O643" s="24" t="str">
        <f>IFERROR(VLOOKUP(B643,'03. THIẾT BỊ'!$B$1:$S$836,14,0),"")</f>
        <v/>
      </c>
      <c r="P643" s="25" t="str">
        <f>IFERROR(VLOOKUP(B643,'03. THIẾT BỊ'!$B$1:$S$836,15,0),"")</f>
        <v/>
      </c>
      <c r="Q643" s="23" t="str">
        <f>IFERROR(VLOOKUP(B643,'03. THIẾT BỊ'!$B$1:$S$836,16,0),"")</f>
        <v/>
      </c>
      <c r="R643" s="25" t="str">
        <f>IFERROR(VLOOKUP(B643,'03. THIẾT BỊ'!$B$1:$S$836,17,0),"")</f>
        <v/>
      </c>
      <c r="S643" s="25" t="str">
        <f>IFERROR(VLOOKUP(B643,'03. THIẾT BỊ'!$B$1:$S$836,18,0),"")</f>
        <v/>
      </c>
    </row>
    <row r="644" customHeight="1" spans="1:20">
      <c r="A644" s="14" t="s">
        <v>290</v>
      </c>
      <c r="B644" s="15" t="s">
        <v>6505</v>
      </c>
      <c r="C644" s="14">
        <f>COUNTA(B645:B656)</f>
        <v>10</v>
      </c>
      <c r="D644" s="17" t="str">
        <f>IFERROR(VLOOKUP(B644,'03. THIẾT BỊ'!$B$1:$S$836,3,0),"")</f>
        <v/>
      </c>
      <c r="E644" s="20" t="str">
        <f>IFERROR(VLOOKUP(B644,'03. THIẾT BỊ'!$B$1:$S$836,4,0),"")</f>
        <v/>
      </c>
      <c r="F644" s="17" t="str">
        <f>IFERROR(VLOOKUP(B644,'03. THIẾT BỊ'!$B$1:$S$836,5,0),"")</f>
        <v/>
      </c>
      <c r="G644" s="18" t="s">
        <v>6468</v>
      </c>
      <c r="H644" s="18" t="str">
        <f>IFERROR(VLOOKUP(B644,'03. THIẾT BỊ'!$B$1:$S$836,7,0),"")</f>
        <v/>
      </c>
      <c r="I644" s="14" t="str">
        <f>IFERROR(VLOOKUP(B644,'03. THIẾT BỊ'!$B$1:$S$836,8,0),"")</f>
        <v/>
      </c>
      <c r="J644" s="15"/>
      <c r="K644" s="14" t="str">
        <f>IFERROR(VLOOKUP(B644,'03. THIẾT BỊ'!$B$1:$S$836,10,0),"")</f>
        <v/>
      </c>
      <c r="L644" s="17" t="str">
        <f>IFERROR(VLOOKUP(B644,'03. THIẾT BỊ'!$B$1:$S$836,11,0),"")</f>
        <v/>
      </c>
      <c r="M644" s="16" t="str">
        <f>IFERROR(VLOOKUP(B644,'03. THIẾT BỊ'!$B$1:$S$836,12,0),"")</f>
        <v/>
      </c>
      <c r="N644" s="17" t="str">
        <f>IFERROR(VLOOKUP(B644,'03. THIẾT BỊ'!$B$1:$S$836,13,0),"")</f>
        <v/>
      </c>
      <c r="O644" s="16" t="str">
        <f>IFERROR(VLOOKUP(B644,'03. THIẾT BỊ'!$B$1:$S$836,14,0),"")</f>
        <v/>
      </c>
      <c r="P644" s="17" t="str">
        <f>IFERROR(VLOOKUP(B644,'03. THIẾT BỊ'!$B$1:$S$836,15,0),"")</f>
        <v/>
      </c>
      <c r="Q644" s="18" t="str">
        <f>IFERROR(VLOOKUP(B644,'03. THIẾT BỊ'!$B$1:$S$836,16,0),"")</f>
        <v/>
      </c>
      <c r="R644" s="17" t="str">
        <f>IFERROR(VLOOKUP(B644,'03. THIẾT BỊ'!$B$1:$S$836,17,0),"")</f>
        <v/>
      </c>
      <c r="S644" s="17" t="str">
        <f>IFERROR(VLOOKUP(B644,'03. THIẾT BỊ'!$B$1:$S$836,18,0),"")</f>
        <v/>
      </c>
      <c r="T644" s="609"/>
    </row>
    <row r="645" customHeight="1" spans="1:20">
      <c r="A645" s="19">
        <v>1</v>
      </c>
      <c r="B645" s="20" t="s">
        <v>5065</v>
      </c>
      <c r="C645" s="613" t="str">
        <f>IFERROR(VLOOKUP(B645,'03. THIẾT BỊ'!$B$1:$S$836,2,0),"")</f>
        <v>RT140DI-19080180</v>
      </c>
      <c r="D645" s="24" t="str">
        <f>IFERROR(VLOOKUP(B645,'03. THIẾT BỊ'!$B$1:$S$836,3,0),"")</f>
        <v>A22-MNO-001</v>
      </c>
      <c r="E645" s="20" t="str">
        <f>IFERROR(VLOOKUP(B645,'03. THIẾT BỊ'!$B$1:$S$836,4,0),"")</f>
        <v>ĐQSD</v>
      </c>
      <c r="F645" s="20" t="str">
        <f>IFERROR(VLOOKUP(B645,'03. THIẾT BỊ'!$B$1:$S$836,5,0),"")</f>
        <v>Máy nổ 140</v>
      </c>
      <c r="G645" s="101" t="s">
        <v>6468</v>
      </c>
      <c r="H645" s="19" t="str">
        <f>IFERROR(VLOOKUP(B645,'03. THIẾT BỊ'!$B$1:$S$836,7,0),"")</f>
        <v>Xoài AD</v>
      </c>
      <c r="I645" s="610">
        <f>IFERROR(VLOOKUP(B645,'03. THIẾT BỊ'!$B$1:$S$836,8,0),"")</f>
        <v>0</v>
      </c>
      <c r="J645" s="25"/>
      <c r="K645" s="19" t="str">
        <f>IFERROR(VLOOKUP(B645,'03. THIẾT BỊ'!$B$1:$S$836,10,0),"")</f>
        <v>Bình thường</v>
      </c>
      <c r="L645" s="25">
        <f>IFERROR(VLOOKUP(B645,'03. THIẾT BỊ'!$B$1:$S$836,11,0),"")</f>
        <v>0</v>
      </c>
      <c r="M645" s="24">
        <f>IFERROR(VLOOKUP(B645,'03. THIẾT BỊ'!$B$1:$S$836,12,0),"")</f>
        <v>0</v>
      </c>
      <c r="N645" s="25" t="str">
        <f>IFERROR(VLOOKUP(B645,'03. THIẾT BỊ'!$B$1:$S$836,13,0),"")</f>
        <v>CAMBODIA</v>
      </c>
      <c r="O645" s="24">
        <f>IFERROR(VLOOKUP(B645,'03. THIẾT BỊ'!$B$1:$S$836,14,0),"")</f>
        <v>140</v>
      </c>
      <c r="P645" s="25" t="str">
        <f>IFERROR(VLOOKUP(B645,'03. THIẾT BỊ'!$B$1:$S$836,15,0),"")</f>
        <v>CAMBODIA</v>
      </c>
      <c r="Q645" s="23">
        <f>IFERROR(VLOOKUP(B645,'03. THIẾT BỊ'!$B$1:$S$836,16,0),"")</f>
        <v>0</v>
      </c>
      <c r="R645" s="25">
        <f>IFERROR(VLOOKUP(B645,'03. THIẾT BỊ'!$B$1:$S$836,17,0),"")</f>
        <v>0</v>
      </c>
      <c r="S645" s="25">
        <f>IFERROR(VLOOKUP(B645,'03. THIẾT BỊ'!$B$1:$S$836,18,0),"")</f>
        <v>0</v>
      </c>
      <c r="T645" s="615">
        <v>2</v>
      </c>
    </row>
    <row r="646" customHeight="1" spans="1:20">
      <c r="A646" s="19">
        <v>2</v>
      </c>
      <c r="B646" s="20" t="s">
        <v>5070</v>
      </c>
      <c r="C646" s="613" t="str">
        <f>IFERROR(VLOOKUP(B646,'03. THIẾT BỊ'!$B$1:$S$836,2,0),"")</f>
        <v>RT140-KH13091019</v>
      </c>
      <c r="D646" s="24" t="str">
        <f>IFERROR(VLOOKUP(B646,'03. THIẾT BỊ'!$B$1:$S$836,3,0),"")</f>
        <v>A22-MNO-002</v>
      </c>
      <c r="E646" s="20" t="str">
        <f>IFERROR(VLOOKUP(B646,'03. THIẾT BỊ'!$B$1:$S$836,4,0),"")</f>
        <v>ĐQSD</v>
      </c>
      <c r="F646" s="20" t="str">
        <f>IFERROR(VLOOKUP(B646,'03. THIẾT BỊ'!$B$1:$S$836,5,0),"")</f>
        <v>Máy nổ 140</v>
      </c>
      <c r="G646" s="101" t="s">
        <v>6468</v>
      </c>
      <c r="H646" s="19" t="str">
        <f>IFERROR(VLOOKUP(B646,'03. THIẾT BỊ'!$B$1:$S$836,7,0),"")</f>
        <v>Xoài AD</v>
      </c>
      <c r="I646" s="610">
        <f>IFERROR(VLOOKUP(B646,'03. THIẾT BỊ'!$B$1:$S$836,8,0),"")</f>
        <v>0</v>
      </c>
      <c r="J646" s="25"/>
      <c r="K646" s="19" t="str">
        <f>IFERROR(VLOOKUP(B646,'03. THIẾT BỊ'!$B$1:$S$836,10,0),"")</f>
        <v>Bình thường</v>
      </c>
      <c r="L646" s="25">
        <f>IFERROR(VLOOKUP(B646,'03. THIẾT BỊ'!$B$1:$S$836,11,0),"")</f>
        <v>0</v>
      </c>
      <c r="M646" s="24">
        <f>IFERROR(VLOOKUP(B646,'03. THIẾT BỊ'!$B$1:$S$836,12,0),"")</f>
        <v>0</v>
      </c>
      <c r="N646" s="25" t="str">
        <f>IFERROR(VLOOKUP(B646,'03. THIẾT BỊ'!$B$1:$S$836,13,0),"")</f>
        <v>CAMBODIA</v>
      </c>
      <c r="O646" s="24">
        <f>IFERROR(VLOOKUP(B646,'03. THIẾT BỊ'!$B$1:$S$836,14,0),"")</f>
        <v>140</v>
      </c>
      <c r="P646" s="25" t="str">
        <f>IFERROR(VLOOKUP(B646,'03. THIẾT BỊ'!$B$1:$S$836,15,0),"")</f>
        <v>CAMBODIA</v>
      </c>
      <c r="Q646" s="23">
        <f>IFERROR(VLOOKUP(B646,'03. THIẾT BỊ'!$B$1:$S$836,16,0),"")</f>
        <v>0</v>
      </c>
      <c r="R646" s="25">
        <f>IFERROR(VLOOKUP(B646,'03. THIẾT BỊ'!$B$1:$S$836,17,0),"")</f>
        <v>0</v>
      </c>
      <c r="S646" s="25">
        <f>IFERROR(VLOOKUP(B646,'03. THIẾT BỊ'!$B$1:$S$836,18,0),"")</f>
        <v>0</v>
      </c>
      <c r="T646" s="615">
        <v>2</v>
      </c>
    </row>
    <row r="647" customHeight="1" spans="1:20">
      <c r="A647" s="19">
        <v>3</v>
      </c>
      <c r="B647" s="20" t="s">
        <v>5073</v>
      </c>
      <c r="C647" s="613">
        <f>IFERROR(VLOOKUP(B647,'03. THIẾT BỊ'!$B$1:$S$836,2,0),"")</f>
        <v>282102260096</v>
      </c>
      <c r="D647" s="24" t="str">
        <f>IFERROR(VLOOKUP(B647,'03. THIẾT BỊ'!$B$1:$S$836,3,0),"")</f>
        <v>A22-MNO-003</v>
      </c>
      <c r="E647" s="20" t="str">
        <f>IFERROR(VLOOKUP(B647,'03. THIẾT BỊ'!$B$1:$S$836,4,0),"")</f>
        <v>ĐQSD</v>
      </c>
      <c r="F647" s="20" t="str">
        <f>IFERROR(VLOOKUP(B647,'03. THIẾT BỊ'!$B$1:$S$836,5,0),"")</f>
        <v>Máy nổ D8</v>
      </c>
      <c r="G647" s="101" t="s">
        <v>6468</v>
      </c>
      <c r="H647" s="19" t="str">
        <f>IFERROR(VLOOKUP(B647,'03. THIẾT BỊ'!$B$1:$S$836,7,0),"")</f>
        <v>Xoài AD</v>
      </c>
      <c r="I647" s="610">
        <f>IFERROR(VLOOKUP(B647,'03. THIẾT BỊ'!$B$1:$S$836,8,0),"")</f>
        <v>0</v>
      </c>
      <c r="J647" s="25"/>
      <c r="K647" s="19" t="str">
        <f>IFERROR(VLOOKUP(B647,'03. THIẾT BỊ'!$B$1:$S$836,10,0),"")</f>
        <v>Bình thường</v>
      </c>
      <c r="L647" s="25">
        <f>IFERROR(VLOOKUP(B647,'03. THIẾT BỊ'!$B$1:$S$836,11,0),"")</f>
        <v>0</v>
      </c>
      <c r="M647" s="24">
        <f>IFERROR(VLOOKUP(B647,'03. THIẾT BỊ'!$B$1:$S$836,12,0),"")</f>
        <v>0</v>
      </c>
      <c r="N647" s="25" t="str">
        <f>IFERROR(VLOOKUP(B647,'03. THIẾT BỊ'!$B$1:$S$836,13,0),"")</f>
        <v>CAMBODIA</v>
      </c>
      <c r="O647" s="24" t="str">
        <f>IFERROR(VLOOKUP(B647,'03. THIẾT BỊ'!$B$1:$S$836,14,0),"")</f>
        <v>D8</v>
      </c>
      <c r="P647" s="25" t="str">
        <f>IFERROR(VLOOKUP(B647,'03. THIẾT BỊ'!$B$1:$S$836,15,0),"")</f>
        <v>CAMBODIA</v>
      </c>
      <c r="Q647" s="23">
        <f>IFERROR(VLOOKUP(B647,'03. THIẾT BỊ'!$B$1:$S$836,16,0),"")</f>
        <v>0</v>
      </c>
      <c r="R647" s="25">
        <f>IFERROR(VLOOKUP(B647,'03. THIẾT BỊ'!$B$1:$S$836,17,0),"")</f>
        <v>0</v>
      </c>
      <c r="S647" s="25">
        <f>IFERROR(VLOOKUP(B647,'03. THIẾT BỊ'!$B$1:$S$836,18,0),"")</f>
        <v>0</v>
      </c>
      <c r="T647" s="615">
        <v>3</v>
      </c>
    </row>
    <row r="648" customHeight="1" spans="1:20">
      <c r="A648" s="19">
        <v>4</v>
      </c>
      <c r="B648" s="20" t="s">
        <v>5077</v>
      </c>
      <c r="C648" s="613">
        <f>IFERROR(VLOOKUP(B648,'03. THIẾT BỊ'!$B$1:$S$836,2,0),"")</f>
        <v>281903220106</v>
      </c>
      <c r="D648" s="24" t="str">
        <f>IFERROR(VLOOKUP(B648,'03. THIẾT BỊ'!$B$1:$S$836,3,0),"")</f>
        <v>A22-MNO-004</v>
      </c>
      <c r="E648" s="20" t="str">
        <f>IFERROR(VLOOKUP(B648,'03. THIẾT BỊ'!$B$1:$S$836,4,0),"")</f>
        <v>ĐQSD</v>
      </c>
      <c r="F648" s="20" t="str">
        <f>IFERROR(VLOOKUP(B648,'03. THIẾT BỊ'!$B$1:$S$836,5,0),"")</f>
        <v>Máy nổ D8</v>
      </c>
      <c r="G648" s="101" t="s">
        <v>6468</v>
      </c>
      <c r="H648" s="19" t="str">
        <f>IFERROR(VLOOKUP(B648,'03. THIẾT BỊ'!$B$1:$S$836,7,0),"")</f>
        <v>Xoài AD</v>
      </c>
      <c r="I648" s="610">
        <f>IFERROR(VLOOKUP(B648,'03. THIẾT BỊ'!$B$1:$S$836,8,0),"")</f>
        <v>0</v>
      </c>
      <c r="J648" s="25"/>
      <c r="K648" s="19" t="str">
        <f>IFERROR(VLOOKUP(B648,'03. THIẾT BỊ'!$B$1:$S$836,10,0),"")</f>
        <v>Bình thường</v>
      </c>
      <c r="L648" s="25">
        <f>IFERROR(VLOOKUP(B648,'03. THIẾT BỊ'!$B$1:$S$836,11,0),"")</f>
        <v>0</v>
      </c>
      <c r="M648" s="24">
        <f>IFERROR(VLOOKUP(B648,'03. THIẾT BỊ'!$B$1:$S$836,12,0),"")</f>
        <v>0</v>
      </c>
      <c r="N648" s="25" t="str">
        <f>IFERROR(VLOOKUP(B648,'03. THIẾT BỊ'!$B$1:$S$836,13,0),"")</f>
        <v>CAMBODIA</v>
      </c>
      <c r="O648" s="24" t="str">
        <f>IFERROR(VLOOKUP(B648,'03. THIẾT BỊ'!$B$1:$S$836,14,0),"")</f>
        <v>D8</v>
      </c>
      <c r="P648" s="25" t="str">
        <f>IFERROR(VLOOKUP(B648,'03. THIẾT BỊ'!$B$1:$S$836,15,0),"")</f>
        <v>CAMBODIA</v>
      </c>
      <c r="Q648" s="23">
        <f>IFERROR(VLOOKUP(B648,'03. THIẾT BỊ'!$B$1:$S$836,16,0),"")</f>
        <v>0</v>
      </c>
      <c r="R648" s="25">
        <f>IFERROR(VLOOKUP(B648,'03. THIẾT BỊ'!$B$1:$S$836,17,0),"")</f>
        <v>0</v>
      </c>
      <c r="S648" s="25">
        <f>IFERROR(VLOOKUP(B648,'03. THIẾT BỊ'!$B$1:$S$836,18,0),"")</f>
        <v>0</v>
      </c>
      <c r="T648" s="615">
        <v>3</v>
      </c>
    </row>
    <row r="649" customHeight="1" spans="1:20">
      <c r="A649" s="19">
        <v>5</v>
      </c>
      <c r="B649" s="20" t="s">
        <v>5079</v>
      </c>
      <c r="C649" s="613">
        <f>IFERROR(VLOOKUP(B649,'03. THIẾT BỊ'!$B$1:$S$836,2,0),"")</f>
        <v>0</v>
      </c>
      <c r="D649" s="24" t="str">
        <f>IFERROR(VLOOKUP(B649,'03. THIẾT BỊ'!$B$1:$S$836,3,0),"")</f>
        <v>A22-MNO-005</v>
      </c>
      <c r="E649" s="20" t="str">
        <f>IFERROR(VLOOKUP(B649,'03. THIẾT BỊ'!$B$1:$S$836,4,0),"")</f>
        <v>ĐQSD</v>
      </c>
      <c r="F649" s="20" t="str">
        <f>IFERROR(VLOOKUP(B649,'03. THIẾT BỊ'!$B$1:$S$836,5,0),"")</f>
        <v>Máy nổ D8</v>
      </c>
      <c r="G649" s="101" t="s">
        <v>6468</v>
      </c>
      <c r="H649" s="19" t="str">
        <f>IFERROR(VLOOKUP(B649,'03. THIẾT BỊ'!$B$1:$S$836,7,0),"")</f>
        <v>Xoài AD</v>
      </c>
      <c r="I649" s="610">
        <f>IFERROR(VLOOKUP(B649,'03. THIẾT BỊ'!$B$1:$S$836,8,0),"")</f>
        <v>0</v>
      </c>
      <c r="J649" s="25"/>
      <c r="K649" s="19" t="str">
        <f>IFERROR(VLOOKUP(B649,'03. THIẾT BỊ'!$B$1:$S$836,10,0),"")</f>
        <v>Bình thường</v>
      </c>
      <c r="L649" s="25">
        <f>IFERROR(VLOOKUP(B649,'03. THIẾT BỊ'!$B$1:$S$836,11,0),"")</f>
        <v>0</v>
      </c>
      <c r="M649" s="24">
        <f>IFERROR(VLOOKUP(B649,'03. THIẾT BỊ'!$B$1:$S$836,12,0),"")</f>
        <v>0</v>
      </c>
      <c r="N649" s="25" t="str">
        <f>IFERROR(VLOOKUP(B649,'03. THIẾT BỊ'!$B$1:$S$836,13,0),"")</f>
        <v>CAMBODIA</v>
      </c>
      <c r="O649" s="24" t="str">
        <f>IFERROR(VLOOKUP(B649,'03. THIẾT BỊ'!$B$1:$S$836,14,0),"")</f>
        <v>D8</v>
      </c>
      <c r="P649" s="25" t="str">
        <f>IFERROR(VLOOKUP(B649,'03. THIẾT BỊ'!$B$1:$S$836,15,0),"")</f>
        <v>CAMBODIA</v>
      </c>
      <c r="Q649" s="23">
        <f>IFERROR(VLOOKUP(B649,'03. THIẾT BỊ'!$B$1:$S$836,16,0),"")</f>
        <v>0</v>
      </c>
      <c r="R649" s="25">
        <f>IFERROR(VLOOKUP(B649,'03. THIẾT BỊ'!$B$1:$S$836,17,0),"")</f>
        <v>0</v>
      </c>
      <c r="S649" s="25">
        <f>IFERROR(VLOOKUP(B649,'03. THIẾT BỊ'!$B$1:$S$836,18,0),"")</f>
        <v>0</v>
      </c>
      <c r="T649" s="615">
        <v>3</v>
      </c>
    </row>
    <row r="650" customHeight="1" spans="1:20">
      <c r="A650" s="19">
        <v>6</v>
      </c>
      <c r="B650" s="20" t="s">
        <v>5081</v>
      </c>
      <c r="C650" s="613">
        <f>IFERROR(VLOOKUP(B650,'03. THIẾT BỊ'!$B$1:$S$836,2,0),"")</f>
        <v>0</v>
      </c>
      <c r="D650" s="24" t="str">
        <f>IFERROR(VLOOKUP(B650,'03. THIẾT BỊ'!$B$1:$S$836,3,0),"")</f>
        <v>A22-MNO-006</v>
      </c>
      <c r="E650" s="20" t="str">
        <f>IFERROR(VLOOKUP(B650,'03. THIẾT BỊ'!$B$1:$S$836,4,0),"")</f>
        <v>ĐQSD</v>
      </c>
      <c r="F650" s="20" t="str">
        <f>IFERROR(VLOOKUP(B650,'03. THIẾT BỊ'!$B$1:$S$836,5,0),"")</f>
        <v>Máy nổ D8</v>
      </c>
      <c r="G650" s="101" t="s">
        <v>6468</v>
      </c>
      <c r="H650" s="19" t="str">
        <f>IFERROR(VLOOKUP(B650,'03. THIẾT BỊ'!$B$1:$S$836,7,0),"")</f>
        <v>Xoài AD</v>
      </c>
      <c r="I650" s="610">
        <f>IFERROR(VLOOKUP(B650,'03. THIẾT BỊ'!$B$1:$S$836,8,0),"")</f>
        <v>0</v>
      </c>
      <c r="J650" s="25"/>
      <c r="K650" s="19" t="str">
        <f>IFERROR(VLOOKUP(B650,'03. THIẾT BỊ'!$B$1:$S$836,10,0),"")</f>
        <v>Bình thường</v>
      </c>
      <c r="L650" s="25">
        <f>IFERROR(VLOOKUP(B650,'03. THIẾT BỊ'!$B$1:$S$836,11,0),"")</f>
        <v>0</v>
      </c>
      <c r="M650" s="24">
        <f>IFERROR(VLOOKUP(B650,'03. THIẾT BỊ'!$B$1:$S$836,12,0),"")</f>
        <v>0</v>
      </c>
      <c r="N650" s="25" t="str">
        <f>IFERROR(VLOOKUP(B650,'03. THIẾT BỊ'!$B$1:$S$836,13,0),"")</f>
        <v>CAMBODIA</v>
      </c>
      <c r="O650" s="24" t="str">
        <f>IFERROR(VLOOKUP(B650,'03. THIẾT BỊ'!$B$1:$S$836,14,0),"")</f>
        <v>D8</v>
      </c>
      <c r="P650" s="25" t="str">
        <f>IFERROR(VLOOKUP(B650,'03. THIẾT BỊ'!$B$1:$S$836,15,0),"")</f>
        <v>CAMBODIA</v>
      </c>
      <c r="Q650" s="23">
        <f>IFERROR(VLOOKUP(B650,'03. THIẾT BỊ'!$B$1:$S$836,16,0),"")</f>
        <v>0</v>
      </c>
      <c r="R650" s="25">
        <f>IFERROR(VLOOKUP(B650,'03. THIẾT BỊ'!$B$1:$S$836,17,0),"")</f>
        <v>0</v>
      </c>
      <c r="S650" s="25">
        <f>IFERROR(VLOOKUP(B650,'03. THIẾT BỊ'!$B$1:$S$836,18,0),"")</f>
        <v>0</v>
      </c>
      <c r="T650" s="615">
        <v>3</v>
      </c>
    </row>
    <row r="651" customHeight="1" spans="1:20">
      <c r="A651" s="19">
        <v>7</v>
      </c>
      <c r="B651" s="20" t="s">
        <v>5083</v>
      </c>
      <c r="C651" s="613" t="str">
        <f>IFERROR(VLOOKUP(B651,'03. THIẾT BỊ'!$B$1:$S$836,2,0),"")</f>
        <v>CAT-MNO-005</v>
      </c>
      <c r="D651" s="24" t="str">
        <f>IFERROR(VLOOKUP(B651,'03. THIẾT BỊ'!$B$1:$S$836,3,0),"")</f>
        <v>A22-MNO-007</v>
      </c>
      <c r="E651" s="20" t="str">
        <f>IFERROR(VLOOKUP(B651,'03. THIẾT BỊ'!$B$1:$S$836,4,0),"")</f>
        <v>ĐQSD</v>
      </c>
      <c r="F651" s="20" t="str">
        <f>IFERROR(VLOOKUP(B651,'03. THIẾT BỊ'!$B$1:$S$836,5,0),"")</f>
        <v>Máy nổ D8</v>
      </c>
      <c r="G651" s="101" t="s">
        <v>6468</v>
      </c>
      <c r="H651" s="19" t="str">
        <f>IFERROR(VLOOKUP(B651,'03. THIẾT BỊ'!$B$1:$S$836,7,0),"")</f>
        <v>Xoài AD</v>
      </c>
      <c r="I651" s="610">
        <f>IFERROR(VLOOKUP(B651,'03. THIẾT BỊ'!$B$1:$S$836,8,0),"")</f>
        <v>0</v>
      </c>
      <c r="J651" s="25"/>
      <c r="K651" s="19" t="str">
        <f>IFERROR(VLOOKUP(B651,'03. THIẾT BỊ'!$B$1:$S$836,10,0),"")</f>
        <v>Bình thường</v>
      </c>
      <c r="L651" s="25">
        <f>IFERROR(VLOOKUP(B651,'03. THIẾT BỊ'!$B$1:$S$836,11,0),"")</f>
        <v>0</v>
      </c>
      <c r="M651" s="24">
        <f>IFERROR(VLOOKUP(B651,'03. THIẾT BỊ'!$B$1:$S$836,12,0),"")</f>
        <v>0</v>
      </c>
      <c r="N651" s="25" t="str">
        <f>IFERROR(VLOOKUP(B651,'03. THIẾT BỊ'!$B$1:$S$836,13,0),"")</f>
        <v>CAMBODIA</v>
      </c>
      <c r="O651" s="24" t="str">
        <f>IFERROR(VLOOKUP(B651,'03. THIẾT BỊ'!$B$1:$S$836,14,0),"")</f>
        <v>D8</v>
      </c>
      <c r="P651" s="25" t="str">
        <f>IFERROR(VLOOKUP(B651,'03. THIẾT BỊ'!$B$1:$S$836,15,0),"")</f>
        <v>CAMBODIA</v>
      </c>
      <c r="Q651" s="23">
        <f>IFERROR(VLOOKUP(B651,'03. THIẾT BỊ'!$B$1:$S$836,16,0),"")</f>
        <v>0</v>
      </c>
      <c r="R651" s="25">
        <f>IFERROR(VLOOKUP(B651,'03. THIẾT BỊ'!$B$1:$S$836,17,0),"")</f>
        <v>0</v>
      </c>
      <c r="S651" s="25">
        <f>IFERROR(VLOOKUP(B651,'03. THIẾT BỊ'!$B$1:$S$836,18,0),"")</f>
        <v>0</v>
      </c>
      <c r="T651" s="615">
        <v>3</v>
      </c>
    </row>
    <row r="652" customHeight="1" spans="1:20">
      <c r="A652" s="19">
        <v>8</v>
      </c>
      <c r="B652" s="20" t="s">
        <v>5086</v>
      </c>
      <c r="C652" s="613" t="str">
        <f>IFERROR(VLOOKUP(B652,'03. THIẾT BỊ'!$B$1:$S$836,2,0),"")</f>
        <v>CAT-MNO-006</v>
      </c>
      <c r="D652" s="24" t="str">
        <f>IFERROR(VLOOKUP(B652,'03. THIẾT BỊ'!$B$1:$S$836,3,0),"")</f>
        <v>A22-MNO-008</v>
      </c>
      <c r="E652" s="20" t="str">
        <f>IFERROR(VLOOKUP(B652,'03. THIẾT BỊ'!$B$1:$S$836,4,0),"")</f>
        <v>ĐQSD</v>
      </c>
      <c r="F652" s="20" t="str">
        <f>IFERROR(VLOOKUP(B652,'03. THIẾT BỊ'!$B$1:$S$836,5,0),"")</f>
        <v>Máy nổ D8</v>
      </c>
      <c r="G652" s="101" t="s">
        <v>6468</v>
      </c>
      <c r="H652" s="19" t="str">
        <f>IFERROR(VLOOKUP(B652,'03. THIẾT BỊ'!$B$1:$S$836,7,0),"")</f>
        <v>Xoài AD</v>
      </c>
      <c r="I652" s="610">
        <f>IFERROR(VLOOKUP(B652,'03. THIẾT BỊ'!$B$1:$S$836,8,0),"")</f>
        <v>0</v>
      </c>
      <c r="J652" s="25"/>
      <c r="K652" s="19" t="str">
        <f>IFERROR(VLOOKUP(B652,'03. THIẾT BỊ'!$B$1:$S$836,10,0),"")</f>
        <v>Bình thường</v>
      </c>
      <c r="L652" s="25">
        <f>IFERROR(VLOOKUP(B652,'03. THIẾT BỊ'!$B$1:$S$836,11,0),"")</f>
        <v>0</v>
      </c>
      <c r="M652" s="24">
        <f>IFERROR(VLOOKUP(B652,'03. THIẾT BỊ'!$B$1:$S$836,12,0),"")</f>
        <v>0</v>
      </c>
      <c r="N652" s="25" t="str">
        <f>IFERROR(VLOOKUP(B652,'03. THIẾT BỊ'!$B$1:$S$836,13,0),"")</f>
        <v>CAMBODIA</v>
      </c>
      <c r="O652" s="24" t="str">
        <f>IFERROR(VLOOKUP(B652,'03. THIẾT BỊ'!$B$1:$S$836,14,0),"")</f>
        <v>D8</v>
      </c>
      <c r="P652" s="25" t="str">
        <f>IFERROR(VLOOKUP(B652,'03. THIẾT BỊ'!$B$1:$S$836,15,0),"")</f>
        <v>CAMBODIA</v>
      </c>
      <c r="Q652" s="23">
        <f>IFERROR(VLOOKUP(B652,'03. THIẾT BỊ'!$B$1:$S$836,16,0),"")</f>
        <v>0</v>
      </c>
      <c r="R652" s="25">
        <f>IFERROR(VLOOKUP(B652,'03. THIẾT BỊ'!$B$1:$S$836,17,0),"")</f>
        <v>0</v>
      </c>
      <c r="S652" s="25">
        <f>IFERROR(VLOOKUP(B652,'03. THIẾT BỊ'!$B$1:$S$836,18,0),"")</f>
        <v>0</v>
      </c>
      <c r="T652" s="615">
        <v>3</v>
      </c>
    </row>
    <row r="653" customHeight="1" spans="1:20">
      <c r="A653" s="19">
        <v>9</v>
      </c>
      <c r="B653" s="20" t="s">
        <v>5089</v>
      </c>
      <c r="C653" s="613" t="str">
        <f>IFERROR(VLOOKUP(B653,'03. THIẾT BỊ'!$B$1:$S$836,2,0),"")</f>
        <v>XXA-MNO-009</v>
      </c>
      <c r="D653" s="24" t="str">
        <f>IFERROR(VLOOKUP(B653,'03. THIẾT BỊ'!$B$1:$S$836,3,0),"")</f>
        <v>A22-MNO-009</v>
      </c>
      <c r="E653" s="20" t="str">
        <f>IFERROR(VLOOKUP(B653,'03. THIẾT BỊ'!$B$1:$S$836,4,0),"")</f>
        <v>ĐQSD</v>
      </c>
      <c r="F653" s="20" t="str">
        <f>IFERROR(VLOOKUP(B653,'03. THIẾT BỊ'!$B$1:$S$836,5,0),"")</f>
        <v>Máy nổ D8</v>
      </c>
      <c r="G653" s="101" t="s">
        <v>6468</v>
      </c>
      <c r="H653" s="19" t="str">
        <f>IFERROR(VLOOKUP(B653,'03. THIẾT BỊ'!$B$1:$S$836,7,0),"")</f>
        <v>Xoài AD</v>
      </c>
      <c r="I653" s="610">
        <f>IFERROR(VLOOKUP(B653,'03. THIẾT BỊ'!$B$1:$S$836,8,0),"")</f>
        <v>0</v>
      </c>
      <c r="J653" s="25"/>
      <c r="K653" s="19" t="str">
        <f>IFERROR(VLOOKUP(B653,'03. THIẾT BỊ'!$B$1:$S$836,10,0),"")</f>
        <v>Bình thường</v>
      </c>
      <c r="L653" s="25">
        <f>IFERROR(VLOOKUP(B653,'03. THIẾT BỊ'!$B$1:$S$836,11,0),"")</f>
        <v>0</v>
      </c>
      <c r="M653" s="24">
        <f>IFERROR(VLOOKUP(B653,'03. THIẾT BỊ'!$B$1:$S$836,12,0),"")</f>
        <v>0</v>
      </c>
      <c r="N653" s="25" t="str">
        <f>IFERROR(VLOOKUP(B653,'03. THIẾT BỊ'!$B$1:$S$836,13,0),"")</f>
        <v>CAMBODIA</v>
      </c>
      <c r="O653" s="24" t="str">
        <f>IFERROR(VLOOKUP(B653,'03. THIẾT BỊ'!$B$1:$S$836,14,0),"")</f>
        <v>D8</v>
      </c>
      <c r="P653" s="25" t="str">
        <f>IFERROR(VLOOKUP(B653,'03. THIẾT BỊ'!$B$1:$S$836,15,0),"")</f>
        <v>CAMBODIA</v>
      </c>
      <c r="Q653" s="23">
        <f>IFERROR(VLOOKUP(B653,'03. THIẾT BỊ'!$B$1:$S$836,16,0),"")</f>
        <v>0</v>
      </c>
      <c r="R653" s="25">
        <f>IFERROR(VLOOKUP(B653,'03. THIẾT BỊ'!$B$1:$S$836,17,0),"")</f>
        <v>0</v>
      </c>
      <c r="S653" s="25">
        <f>IFERROR(VLOOKUP(B653,'03. THIẾT BỊ'!$B$1:$S$836,18,0),"")</f>
        <v>281906170429</v>
      </c>
      <c r="T653" s="615">
        <v>3</v>
      </c>
    </row>
    <row r="654" customHeight="1" spans="1:20">
      <c r="A654" s="19">
        <v>10</v>
      </c>
      <c r="B654" s="20" t="s">
        <v>5092</v>
      </c>
      <c r="C654" s="613">
        <f>IFERROR(VLOOKUP(B654,'03. THIẾT BỊ'!$B$1:$S$836,2,0),"")</f>
        <v>0</v>
      </c>
      <c r="D654" s="24" t="str">
        <f>IFERROR(VLOOKUP(B654,'03. THIẾT BỊ'!$B$1:$S$836,3,0),"")</f>
        <v>A22-MNO-010</v>
      </c>
      <c r="E654" s="20" t="str">
        <f>IFERROR(VLOOKUP(B654,'03. THIẾT BỊ'!$B$1:$S$836,4,0),"")</f>
        <v>ĐQSD</v>
      </c>
      <c r="F654" s="20" t="str">
        <f>IFERROR(VLOOKUP(B654,'03. THIẾT BỊ'!$B$1:$S$836,5,0),"")</f>
        <v>Máy nổ D8</v>
      </c>
      <c r="G654" s="101" t="s">
        <v>6468</v>
      </c>
      <c r="H654" s="19" t="str">
        <f>IFERROR(VLOOKUP(B654,'03. THIẾT BỊ'!$B$1:$S$836,7,0),"")</f>
        <v>Xoài AD</v>
      </c>
      <c r="I654" s="610">
        <f>IFERROR(VLOOKUP(B654,'03. THIẾT BỊ'!$B$1:$S$836,8,0),"")</f>
        <v>0</v>
      </c>
      <c r="J654" s="25"/>
      <c r="K654" s="19" t="str">
        <f>IFERROR(VLOOKUP(B654,'03. THIẾT BỊ'!$B$1:$S$836,10,0),"")</f>
        <v>Bình thường</v>
      </c>
      <c r="L654" s="25">
        <f>IFERROR(VLOOKUP(B654,'03. THIẾT BỊ'!$B$1:$S$836,11,0),"")</f>
        <v>0</v>
      </c>
      <c r="M654" s="24">
        <f>IFERROR(VLOOKUP(B654,'03. THIẾT BỊ'!$B$1:$S$836,12,0),"")</f>
        <v>0</v>
      </c>
      <c r="N654" s="25" t="str">
        <f>IFERROR(VLOOKUP(B654,'03. THIẾT BỊ'!$B$1:$S$836,13,0),"")</f>
        <v>CAMBODIA</v>
      </c>
      <c r="O654" s="24" t="str">
        <f>IFERROR(VLOOKUP(B654,'03. THIẾT BỊ'!$B$1:$S$836,14,0),"")</f>
        <v>D8</v>
      </c>
      <c r="P654" s="25" t="str">
        <f>IFERROR(VLOOKUP(B654,'03. THIẾT BỊ'!$B$1:$S$836,15,0),"")</f>
        <v>CAMBODIA</v>
      </c>
      <c r="Q654" s="23">
        <f>IFERROR(VLOOKUP(B654,'03. THIẾT BỊ'!$B$1:$S$836,16,0),"")</f>
        <v>0</v>
      </c>
      <c r="R654" s="25">
        <f>IFERROR(VLOOKUP(B654,'03. THIẾT BỊ'!$B$1:$S$836,17,0),"")</f>
        <v>0</v>
      </c>
      <c r="S654" s="25">
        <f>IFERROR(VLOOKUP(B654,'03. THIẾT BỊ'!$B$1:$S$836,18,0),"")</f>
        <v>0</v>
      </c>
      <c r="T654" s="615">
        <v>3</v>
      </c>
    </row>
    <row r="655" customHeight="1" spans="1:20">
      <c r="A655" s="19"/>
      <c r="B655" s="20"/>
      <c r="C655" s="613" t="str">
        <f>IFERROR(VLOOKUP(B655,'03. THIẾT BỊ'!$B$1:$S$836,2,0),"")</f>
        <v/>
      </c>
      <c r="D655" s="24" t="str">
        <f>IFERROR(VLOOKUP(B655,'03. THIẾT BỊ'!$B$1:$S$836,3,0),"")</f>
        <v/>
      </c>
      <c r="E655" s="20" t="str">
        <f>IFERROR(VLOOKUP(B655,'03. THIẾT BỊ'!$B$1:$S$836,4,0),"")</f>
        <v/>
      </c>
      <c r="F655" s="20" t="str">
        <f>IFERROR(VLOOKUP(B655,'03. THIẾT BỊ'!$B$1:$S$836,5,0),"")</f>
        <v/>
      </c>
      <c r="G655" s="101" t="s">
        <v>6468</v>
      </c>
      <c r="H655" s="19" t="str">
        <f>IFERROR(VLOOKUP(B655,'03. THIẾT BỊ'!$B$1:$S$836,7,0),"")</f>
        <v/>
      </c>
      <c r="I655" s="610" t="str">
        <f>IFERROR(VLOOKUP(B655,'03. THIẾT BỊ'!$B$1:$S$836,8,0),"")</f>
        <v/>
      </c>
      <c r="J655" s="25"/>
      <c r="K655" s="19" t="str">
        <f>IFERROR(VLOOKUP(B655,'03. THIẾT BỊ'!$B$1:$S$836,10,0),"")</f>
        <v/>
      </c>
      <c r="L655" s="25" t="str">
        <f>IFERROR(VLOOKUP(B655,'03. THIẾT BỊ'!$B$1:$S$836,11,0),"")</f>
        <v/>
      </c>
      <c r="M655" s="24" t="str">
        <f>IFERROR(VLOOKUP(B655,'03. THIẾT BỊ'!$B$1:$S$836,12,0),"")</f>
        <v/>
      </c>
      <c r="N655" s="25" t="str">
        <f>IFERROR(VLOOKUP(B655,'03. THIẾT BỊ'!$B$1:$S$836,13,0),"")</f>
        <v/>
      </c>
      <c r="O655" s="24" t="str">
        <f>IFERROR(VLOOKUP(B655,'03. THIẾT BỊ'!$B$1:$S$836,14,0),"")</f>
        <v/>
      </c>
      <c r="P655" s="25" t="str">
        <f>IFERROR(VLOOKUP(B655,'03. THIẾT BỊ'!$B$1:$S$836,15,0),"")</f>
        <v/>
      </c>
      <c r="Q655" s="23" t="str">
        <f>IFERROR(VLOOKUP(B655,'03. THIẾT BỊ'!$B$1:$S$836,16,0),"")</f>
        <v/>
      </c>
      <c r="R655" s="25" t="str">
        <f>IFERROR(VLOOKUP(B655,'03. THIẾT BỊ'!$B$1:$S$836,17,0),"")</f>
        <v/>
      </c>
      <c r="S655" s="25" t="str">
        <f>IFERROR(VLOOKUP(B655,'03. THIẾT BỊ'!$B$1:$S$836,18,0),"")</f>
        <v/>
      </c>
      <c r="T655" s="41"/>
    </row>
    <row r="656" customHeight="1" spans="1:20">
      <c r="A656" s="19"/>
      <c r="B656" s="20"/>
      <c r="C656" s="613" t="str">
        <f>IFERROR(VLOOKUP(B656,'03. THIẾT BỊ'!$B$1:$S$836,2,0),"")</f>
        <v/>
      </c>
      <c r="D656" s="24" t="str">
        <f>IFERROR(VLOOKUP(B656,'03. THIẾT BỊ'!$B$1:$S$836,3,0),"")</f>
        <v/>
      </c>
      <c r="E656" s="20" t="str">
        <f>IFERROR(VLOOKUP(B656,'03. THIẾT BỊ'!$B$1:$S$836,4,0),"")</f>
        <v/>
      </c>
      <c r="F656" s="20" t="str">
        <f>IFERROR(VLOOKUP(B656,'03. THIẾT BỊ'!$B$1:$S$836,5,0),"")</f>
        <v/>
      </c>
      <c r="G656" s="101" t="s">
        <v>6468</v>
      </c>
      <c r="H656" s="19" t="str">
        <f>IFERROR(VLOOKUP(B656,'03. THIẾT BỊ'!$B$1:$S$836,7,0),"")</f>
        <v/>
      </c>
      <c r="I656" s="610" t="str">
        <f>IFERROR(VLOOKUP(B656,'03. THIẾT BỊ'!$B$1:$S$836,8,0),"")</f>
        <v/>
      </c>
      <c r="J656" s="25"/>
      <c r="K656" s="19" t="str">
        <f>IFERROR(VLOOKUP(B656,'03. THIẾT BỊ'!$B$1:$S$836,10,0),"")</f>
        <v/>
      </c>
      <c r="L656" s="25" t="str">
        <f>IFERROR(VLOOKUP(B656,'03. THIẾT BỊ'!$B$1:$S$836,11,0),"")</f>
        <v/>
      </c>
      <c r="M656" s="24" t="str">
        <f>IFERROR(VLOOKUP(B656,'03. THIẾT BỊ'!$B$1:$S$836,12,0),"")</f>
        <v/>
      </c>
      <c r="N656" s="25" t="str">
        <f>IFERROR(VLOOKUP(B656,'03. THIẾT BỊ'!$B$1:$S$836,13,0),"")</f>
        <v/>
      </c>
      <c r="O656" s="24" t="str">
        <f>IFERROR(VLOOKUP(B656,'03. THIẾT BỊ'!$B$1:$S$836,14,0),"")</f>
        <v/>
      </c>
      <c r="P656" s="25" t="str">
        <f>IFERROR(VLOOKUP(B656,'03. THIẾT BỊ'!$B$1:$S$836,15,0),"")</f>
        <v/>
      </c>
      <c r="Q656" s="23" t="str">
        <f>IFERROR(VLOOKUP(B656,'03. THIẾT BỊ'!$B$1:$S$836,16,0),"")</f>
        <v/>
      </c>
      <c r="R656" s="25" t="str">
        <f>IFERROR(VLOOKUP(B656,'03. THIẾT BỊ'!$B$1:$S$836,17,0),"")</f>
        <v/>
      </c>
      <c r="S656" s="25" t="str">
        <f>IFERROR(VLOOKUP(B656,'03. THIẾT BỊ'!$B$1:$S$836,18,0),"")</f>
        <v/>
      </c>
      <c r="T656" s="41"/>
    </row>
    <row r="657" customHeight="1" spans="1:20">
      <c r="A657" s="14" t="s">
        <v>290</v>
      </c>
      <c r="B657" s="15" t="s">
        <v>6506</v>
      </c>
      <c r="C657" s="14">
        <f>COUNTA(B658:B672)</f>
        <v>15</v>
      </c>
      <c r="D657" s="17" t="str">
        <f>IFERROR(VLOOKUP(B657,'03. THIẾT BỊ'!$B$1:$S$836,3,0),"")</f>
        <v/>
      </c>
      <c r="E657" s="20" t="str">
        <f>IFERROR(VLOOKUP(B657,'03. THIẾT BỊ'!$B$1:$S$836,4,0),"")</f>
        <v/>
      </c>
      <c r="F657" s="17" t="str">
        <f>IFERROR(VLOOKUP(B657,'03. THIẾT BỊ'!$B$1:$S$836,5,0),"")</f>
        <v/>
      </c>
      <c r="G657" s="18" t="s">
        <v>6468</v>
      </c>
      <c r="H657" s="18" t="str">
        <f>IFERROR(VLOOKUP(B657,'03. THIẾT BỊ'!$B$1:$S$836,7,0),"")</f>
        <v/>
      </c>
      <c r="I657" s="14" t="str">
        <f>IFERROR(VLOOKUP(B657,'03. THIẾT BỊ'!$B$1:$S$836,8,0),"")</f>
        <v/>
      </c>
      <c r="J657" s="15"/>
      <c r="K657" s="14" t="str">
        <f>IFERROR(VLOOKUP(B657,'03. THIẾT BỊ'!$B$1:$S$836,10,0),"")</f>
        <v/>
      </c>
      <c r="L657" s="17" t="str">
        <f>IFERROR(VLOOKUP(B657,'03. THIẾT BỊ'!$B$1:$S$836,11,0),"")</f>
        <v/>
      </c>
      <c r="M657" s="16" t="str">
        <f>IFERROR(VLOOKUP(B657,'03. THIẾT BỊ'!$B$1:$S$836,12,0),"")</f>
        <v/>
      </c>
      <c r="N657" s="17" t="str">
        <f>IFERROR(VLOOKUP(B657,'03. THIẾT BỊ'!$B$1:$S$836,13,0),"")</f>
        <v/>
      </c>
      <c r="O657" s="16" t="str">
        <f>IFERROR(VLOOKUP(B657,'03. THIẾT BỊ'!$B$1:$S$836,14,0),"")</f>
        <v/>
      </c>
      <c r="P657" s="17" t="str">
        <f>IFERROR(VLOOKUP(B657,'03. THIẾT BỊ'!$B$1:$S$836,15,0),"")</f>
        <v/>
      </c>
      <c r="Q657" s="18" t="str">
        <f>IFERROR(VLOOKUP(B657,'03. THIẾT BỊ'!$B$1:$S$836,16,0),"")</f>
        <v/>
      </c>
      <c r="R657" s="17" t="str">
        <f>IFERROR(VLOOKUP(B657,'03. THIẾT BỊ'!$B$1:$S$836,17,0),"")</f>
        <v/>
      </c>
      <c r="S657" s="17" t="str">
        <f>IFERROR(VLOOKUP(B657,'03. THIẾT BỊ'!$B$1:$S$836,18,0),"")</f>
        <v/>
      </c>
      <c r="T657" s="609"/>
    </row>
    <row r="658" customHeight="1" spans="1:20">
      <c r="A658" s="19">
        <v>1</v>
      </c>
      <c r="B658" s="38" t="s">
        <v>4558</v>
      </c>
      <c r="C658" s="613">
        <f>IFERROR(VLOOKUP(B658,'03. THIẾT BỊ'!$B$1:$S$836,2,0),"")</f>
        <v>0</v>
      </c>
      <c r="D658" s="24">
        <f>IFERROR(VLOOKUP(B658,'03. THIẾT BỊ'!$B$1:$S$836,3,0),"")</f>
        <v>0</v>
      </c>
      <c r="E658" s="20" t="str">
        <f>IFERROR(VLOOKUP(B658,'03. THIẾT BỊ'!$B$1:$S$836,4,0),"")</f>
        <v>MUA MỚI</v>
      </c>
      <c r="F658" s="20" t="str">
        <f>IFERROR(VLOOKUP(B658,'03. THIẾT BỊ'!$B$1:$S$836,5,0),"")</f>
        <v>Máy phun thuốc RELOAD 7045</v>
      </c>
      <c r="G658" s="101" t="s">
        <v>6468</v>
      </c>
      <c r="H658" s="19" t="str">
        <f>IFERROR(VLOOKUP(B658,'03. THIẾT BỊ'!$B$1:$S$836,7,0),"")</f>
        <v>XN Chuối DP3</v>
      </c>
      <c r="I658" s="610">
        <f>IFERROR(VLOOKUP(B658,'03. THIẾT BỊ'!$B$1:$S$836,8,0),"")</f>
        <v>0</v>
      </c>
      <c r="J658" s="25"/>
      <c r="K658" s="19" t="str">
        <f>IFERROR(VLOOKUP(B658,'03. THIẾT BỊ'!$B$1:$S$836,10,0),"")</f>
        <v>Bình thường</v>
      </c>
      <c r="L658" s="25">
        <f>IFERROR(VLOOKUP(B658,'03. THIẾT BỊ'!$B$1:$S$836,11,0),"")</f>
        <v>0</v>
      </c>
      <c r="M658" s="24">
        <f>IFERROR(VLOOKUP(B658,'03. THIẾT BỊ'!$B$1:$S$836,12,0),"")</f>
        <v>0</v>
      </c>
      <c r="N658" s="25" t="str">
        <f>IFERROR(VLOOKUP(B658,'03. THIẾT BỊ'!$B$1:$S$836,13,0),"")</f>
        <v>RELOAD</v>
      </c>
      <c r="O658" s="24">
        <f>IFERROR(VLOOKUP(B658,'03. THIẾT BỊ'!$B$1:$S$836,14,0),"")</f>
        <v>7045</v>
      </c>
      <c r="P658" s="25" t="str">
        <f>IFERROR(VLOOKUP(B658,'03. THIẾT BỊ'!$B$1:$S$836,15,0),"")</f>
        <v>VIETNAM</v>
      </c>
      <c r="Q658" s="23">
        <f>IFERROR(VLOOKUP(B658,'03. THIẾT BỊ'!$B$1:$S$836,16,0),"")</f>
        <v>2025</v>
      </c>
      <c r="R658" s="25" t="str">
        <f>IFERROR(VLOOKUP(B658,'03. THIẾT BỊ'!$B$1:$S$836,17,0),"")</f>
        <v>7 Hp</v>
      </c>
      <c r="S658" s="25" t="str">
        <f>IFERROR(VLOOKUP(B658,'03. THIẾT BỊ'!$B$1:$S$836,18,0),"")</f>
        <v>H0058772</v>
      </c>
      <c r="T658" s="622"/>
    </row>
    <row r="659" customHeight="1" spans="1:20">
      <c r="A659" s="19">
        <f t="shared" ref="A659:A668" si="30">A658+1</f>
        <v>2</v>
      </c>
      <c r="B659" s="38" t="s">
        <v>4560</v>
      </c>
      <c r="C659" s="613">
        <f>IFERROR(VLOOKUP(B659,'03. THIẾT BỊ'!$B$1:$S$836,2,0),"")</f>
        <v>0</v>
      </c>
      <c r="D659" s="24">
        <f>IFERROR(VLOOKUP(B659,'03. THIẾT BỊ'!$B$1:$S$836,3,0),"")</f>
        <v>0</v>
      </c>
      <c r="E659" s="20" t="str">
        <f>IFERROR(VLOOKUP(B659,'03. THIẾT BỊ'!$B$1:$S$836,4,0),"")</f>
        <v>MUA MỚI</v>
      </c>
      <c r="F659" s="20" t="str">
        <f>IFERROR(VLOOKUP(B659,'03. THIẾT BỊ'!$B$1:$S$836,5,0),"")</f>
        <v>Máy phun thuốc RELOAD 7045</v>
      </c>
      <c r="G659" s="101" t="s">
        <v>6468</v>
      </c>
      <c r="H659" s="19" t="str">
        <f>IFERROR(VLOOKUP(B659,'03. THIẾT BỊ'!$B$1:$S$836,7,0),"")</f>
        <v>XN Chuối DP3</v>
      </c>
      <c r="I659" s="610">
        <f>IFERROR(VLOOKUP(B659,'03. THIẾT BỊ'!$B$1:$S$836,8,0),"")</f>
        <v>0</v>
      </c>
      <c r="J659" s="25"/>
      <c r="K659" s="19" t="str">
        <f>IFERROR(VLOOKUP(B659,'03. THIẾT BỊ'!$B$1:$S$836,10,0),"")</f>
        <v>Bình thường</v>
      </c>
      <c r="L659" s="25">
        <f>IFERROR(VLOOKUP(B659,'03. THIẾT BỊ'!$B$1:$S$836,11,0),"")</f>
        <v>0</v>
      </c>
      <c r="M659" s="24">
        <f>IFERROR(VLOOKUP(B659,'03. THIẾT BỊ'!$B$1:$S$836,12,0),"")</f>
        <v>0</v>
      </c>
      <c r="N659" s="25" t="str">
        <f>IFERROR(VLOOKUP(B659,'03. THIẾT BỊ'!$B$1:$S$836,13,0),"")</f>
        <v>RELOAD</v>
      </c>
      <c r="O659" s="24">
        <f>IFERROR(VLOOKUP(B659,'03. THIẾT BỊ'!$B$1:$S$836,14,0),"")</f>
        <v>7045</v>
      </c>
      <c r="P659" s="25" t="str">
        <f>IFERROR(VLOOKUP(B659,'03. THIẾT BỊ'!$B$1:$S$836,15,0),"")</f>
        <v>VIETNAM</v>
      </c>
      <c r="Q659" s="23">
        <f>IFERROR(VLOOKUP(B659,'03. THIẾT BỊ'!$B$1:$S$836,16,0),"")</f>
        <v>2025</v>
      </c>
      <c r="R659" s="25" t="str">
        <f>IFERROR(VLOOKUP(B659,'03. THIẾT BỊ'!$B$1:$S$836,17,0),"")</f>
        <v>7 Hp</v>
      </c>
      <c r="S659" s="25" t="str">
        <f>IFERROR(VLOOKUP(B659,'03. THIẾT BỊ'!$B$1:$S$836,18,0),"")</f>
        <v>H0058807</v>
      </c>
      <c r="T659" s="622"/>
    </row>
    <row r="660" customHeight="1" spans="1:20">
      <c r="A660" s="19">
        <f t="shared" si="30"/>
        <v>3</v>
      </c>
      <c r="B660" s="38" t="s">
        <v>4562</v>
      </c>
      <c r="C660" s="613">
        <f>IFERROR(VLOOKUP(B660,'03. THIẾT BỊ'!$B$1:$S$836,2,0),"")</f>
        <v>0</v>
      </c>
      <c r="D660" s="24">
        <f>IFERROR(VLOOKUP(B660,'03. THIẾT BỊ'!$B$1:$S$836,3,0),"")</f>
        <v>0</v>
      </c>
      <c r="E660" s="20" t="str">
        <f>IFERROR(VLOOKUP(B660,'03. THIẾT BỊ'!$B$1:$S$836,4,0),"")</f>
        <v>MUA MỚI</v>
      </c>
      <c r="F660" s="20" t="str">
        <f>IFERROR(VLOOKUP(B660,'03. THIẾT BỊ'!$B$1:$S$836,5,0),"")</f>
        <v>Máy phun thuốc RELOAD 7045</v>
      </c>
      <c r="G660" s="101" t="s">
        <v>6468</v>
      </c>
      <c r="H660" s="19" t="str">
        <f>IFERROR(VLOOKUP(B660,'03. THIẾT BỊ'!$B$1:$S$836,7,0),"")</f>
        <v>XN Chuối DP3</v>
      </c>
      <c r="I660" s="610">
        <f>IFERROR(VLOOKUP(B660,'03. THIẾT BỊ'!$B$1:$S$836,8,0),"")</f>
        <v>0</v>
      </c>
      <c r="J660" s="25"/>
      <c r="K660" s="19" t="str">
        <f>IFERROR(VLOOKUP(B660,'03. THIẾT BỊ'!$B$1:$S$836,10,0),"")</f>
        <v>Bình thường</v>
      </c>
      <c r="L660" s="25">
        <f>IFERROR(VLOOKUP(B660,'03. THIẾT BỊ'!$B$1:$S$836,11,0),"")</f>
        <v>0</v>
      </c>
      <c r="M660" s="24">
        <f>IFERROR(VLOOKUP(B660,'03. THIẾT BỊ'!$B$1:$S$836,12,0),"")</f>
        <v>0</v>
      </c>
      <c r="N660" s="25" t="str">
        <f>IFERROR(VLOOKUP(B660,'03. THIẾT BỊ'!$B$1:$S$836,13,0),"")</f>
        <v>RELOAD</v>
      </c>
      <c r="O660" s="24">
        <f>IFERROR(VLOOKUP(B660,'03. THIẾT BỊ'!$B$1:$S$836,14,0),"")</f>
        <v>7045</v>
      </c>
      <c r="P660" s="25" t="str">
        <f>IFERROR(VLOOKUP(B660,'03. THIẾT BỊ'!$B$1:$S$836,15,0),"")</f>
        <v>VIETNAM</v>
      </c>
      <c r="Q660" s="23">
        <f>IFERROR(VLOOKUP(B660,'03. THIẾT BỊ'!$B$1:$S$836,16,0),"")</f>
        <v>2025</v>
      </c>
      <c r="R660" s="25" t="str">
        <f>IFERROR(VLOOKUP(B660,'03. THIẾT BỊ'!$B$1:$S$836,17,0),"")</f>
        <v>7 Hp</v>
      </c>
      <c r="S660" s="25" t="str">
        <f>IFERROR(VLOOKUP(B660,'03. THIẾT BỊ'!$B$1:$S$836,18,0),"")</f>
        <v>H0058809</v>
      </c>
      <c r="T660" s="622"/>
    </row>
    <row r="661" customHeight="1" spans="1:20">
      <c r="A661" s="19">
        <f t="shared" si="30"/>
        <v>4</v>
      </c>
      <c r="B661" s="38" t="s">
        <v>4564</v>
      </c>
      <c r="C661" s="613">
        <f>IFERROR(VLOOKUP(B661,'03. THIẾT BỊ'!$B$1:$S$836,2,0),"")</f>
        <v>0</v>
      </c>
      <c r="D661" s="24">
        <f>IFERROR(VLOOKUP(B661,'03. THIẾT BỊ'!$B$1:$S$836,3,0),"")</f>
        <v>0</v>
      </c>
      <c r="E661" s="20" t="str">
        <f>IFERROR(VLOOKUP(B661,'03. THIẾT BỊ'!$B$1:$S$836,4,0),"")</f>
        <v>MUA MỚI</v>
      </c>
      <c r="F661" s="20" t="str">
        <f>IFERROR(VLOOKUP(B661,'03. THIẾT BỊ'!$B$1:$S$836,5,0),"")</f>
        <v>Máy phun thuốc RELOAD 7045</v>
      </c>
      <c r="G661" s="101" t="s">
        <v>6468</v>
      </c>
      <c r="H661" s="19" t="str">
        <f>IFERROR(VLOOKUP(B661,'03. THIẾT BỊ'!$B$1:$S$836,7,0),"")</f>
        <v>XN Chuối DP3</v>
      </c>
      <c r="I661" s="610">
        <f>IFERROR(VLOOKUP(B661,'03. THIẾT BỊ'!$B$1:$S$836,8,0),"")</f>
        <v>0</v>
      </c>
      <c r="J661" s="25"/>
      <c r="K661" s="19" t="str">
        <f>IFERROR(VLOOKUP(B661,'03. THIẾT BỊ'!$B$1:$S$836,10,0),"")</f>
        <v>Bình thường</v>
      </c>
      <c r="L661" s="25">
        <f>IFERROR(VLOOKUP(B661,'03. THIẾT BỊ'!$B$1:$S$836,11,0),"")</f>
        <v>0</v>
      </c>
      <c r="M661" s="24">
        <f>IFERROR(VLOOKUP(B661,'03. THIẾT BỊ'!$B$1:$S$836,12,0),"")</f>
        <v>0</v>
      </c>
      <c r="N661" s="25" t="str">
        <f>IFERROR(VLOOKUP(B661,'03. THIẾT BỊ'!$B$1:$S$836,13,0),"")</f>
        <v>RELOAD</v>
      </c>
      <c r="O661" s="24">
        <f>IFERROR(VLOOKUP(B661,'03. THIẾT BỊ'!$B$1:$S$836,14,0),"")</f>
        <v>7045</v>
      </c>
      <c r="P661" s="25" t="str">
        <f>IFERROR(VLOOKUP(B661,'03. THIẾT BỊ'!$B$1:$S$836,15,0),"")</f>
        <v>VIETNAM</v>
      </c>
      <c r="Q661" s="23">
        <f>IFERROR(VLOOKUP(B661,'03. THIẾT BỊ'!$B$1:$S$836,16,0),"")</f>
        <v>2025</v>
      </c>
      <c r="R661" s="25" t="str">
        <f>IFERROR(VLOOKUP(B661,'03. THIẾT BỊ'!$B$1:$S$836,17,0),"")</f>
        <v>7 Hp</v>
      </c>
      <c r="S661" s="25" t="str">
        <f>IFERROR(VLOOKUP(B661,'03. THIẾT BỊ'!$B$1:$S$836,18,0),"")</f>
        <v>H0058817</v>
      </c>
      <c r="T661" s="622"/>
    </row>
    <row r="662" customHeight="1" spans="1:20">
      <c r="A662" s="19">
        <f t="shared" si="30"/>
        <v>5</v>
      </c>
      <c r="B662" s="38" t="s">
        <v>4566</v>
      </c>
      <c r="C662" s="613">
        <f>IFERROR(VLOOKUP(B662,'03. THIẾT BỊ'!$B$1:$S$836,2,0),"")</f>
        <v>0</v>
      </c>
      <c r="D662" s="24">
        <f>IFERROR(VLOOKUP(B662,'03. THIẾT BỊ'!$B$1:$S$836,3,0),"")</f>
        <v>0</v>
      </c>
      <c r="E662" s="20" t="str">
        <f>IFERROR(VLOOKUP(B662,'03. THIẾT BỊ'!$B$1:$S$836,4,0),"")</f>
        <v>MUA MỚI</v>
      </c>
      <c r="F662" s="20" t="str">
        <f>IFERROR(VLOOKUP(B662,'03. THIẾT BỊ'!$B$1:$S$836,5,0),"")</f>
        <v>Máy phun thuốc RELOAD 7045</v>
      </c>
      <c r="G662" s="101" t="s">
        <v>6468</v>
      </c>
      <c r="H662" s="19" t="str">
        <f>IFERROR(VLOOKUP(B662,'03. THIẾT BỊ'!$B$1:$S$836,7,0),"")</f>
        <v>XN Chuối DP3</v>
      </c>
      <c r="I662" s="610">
        <f>IFERROR(VLOOKUP(B662,'03. THIẾT BỊ'!$B$1:$S$836,8,0),"")</f>
        <v>0</v>
      </c>
      <c r="J662" s="25"/>
      <c r="K662" s="19" t="str">
        <f>IFERROR(VLOOKUP(B662,'03. THIẾT BỊ'!$B$1:$S$836,10,0),"")</f>
        <v>Bình thường</v>
      </c>
      <c r="L662" s="25">
        <f>IFERROR(VLOOKUP(B662,'03. THIẾT BỊ'!$B$1:$S$836,11,0),"")</f>
        <v>0</v>
      </c>
      <c r="M662" s="24">
        <f>IFERROR(VLOOKUP(B662,'03. THIẾT BỊ'!$B$1:$S$836,12,0),"")</f>
        <v>0</v>
      </c>
      <c r="N662" s="25" t="str">
        <f>IFERROR(VLOOKUP(B662,'03. THIẾT BỊ'!$B$1:$S$836,13,0),"")</f>
        <v>RELOAD</v>
      </c>
      <c r="O662" s="24">
        <f>IFERROR(VLOOKUP(B662,'03. THIẾT BỊ'!$B$1:$S$836,14,0),"")</f>
        <v>7045</v>
      </c>
      <c r="P662" s="25" t="str">
        <f>IFERROR(VLOOKUP(B662,'03. THIẾT BỊ'!$B$1:$S$836,15,0),"")</f>
        <v>VIETNAM</v>
      </c>
      <c r="Q662" s="23">
        <f>IFERROR(VLOOKUP(B662,'03. THIẾT BỊ'!$B$1:$S$836,16,0),"")</f>
        <v>2025</v>
      </c>
      <c r="R662" s="25" t="str">
        <f>IFERROR(VLOOKUP(B662,'03. THIẾT BỊ'!$B$1:$S$836,17,0),"")</f>
        <v>7 Hp</v>
      </c>
      <c r="S662" s="25" t="str">
        <f>IFERROR(VLOOKUP(B662,'03. THIẾT BỊ'!$B$1:$S$836,18,0),"")</f>
        <v>H0058822</v>
      </c>
      <c r="T662" s="622"/>
    </row>
    <row r="663" customHeight="1" spans="1:20">
      <c r="A663" s="19">
        <f t="shared" si="30"/>
        <v>6</v>
      </c>
      <c r="B663" s="20" t="s">
        <v>4829</v>
      </c>
      <c r="C663" s="613">
        <f>IFERROR(VLOOKUP(B663,'03. THIẾT BỊ'!$B$1:$S$836,2,0),"")</f>
        <v>0</v>
      </c>
      <c r="D663" s="24">
        <f>IFERROR(VLOOKUP(B663,'03. THIẾT BỊ'!$B$1:$S$836,3,0),"")</f>
        <v>0</v>
      </c>
      <c r="E663" s="20" t="str">
        <f>IFERROR(VLOOKUP(B663,'03. THIẾT BỊ'!$B$1:$S$836,4,0),"")</f>
        <v>MUA MỚI</v>
      </c>
      <c r="F663" s="20" t="str">
        <f>IFERROR(VLOOKUP(B663,'03. THIẾT BỊ'!$B$1:$S$836,5,0),"")</f>
        <v>Máy phun thuốc RELOAD 7045</v>
      </c>
      <c r="G663" s="101" t="s">
        <v>6468</v>
      </c>
      <c r="H663" s="19" t="str">
        <f>IFERROR(VLOOKUP(B663,'03. THIẾT BỊ'!$B$1:$S$836,7,0),"")</f>
        <v>XN Chuối LP1</v>
      </c>
      <c r="I663" s="610">
        <f>IFERROR(VLOOKUP(B663,'03. THIẾT BỊ'!$B$1:$S$836,8,0),"")</f>
        <v>45723</v>
      </c>
      <c r="J663" s="25"/>
      <c r="K663" s="19" t="str">
        <f>IFERROR(VLOOKUP(B663,'03. THIẾT BỊ'!$B$1:$S$836,10,0),"")</f>
        <v>Bình thường</v>
      </c>
      <c r="L663" s="25">
        <f>IFERROR(VLOOKUP(B663,'03. THIẾT BỊ'!$B$1:$S$836,11,0),"")</f>
        <v>0</v>
      </c>
      <c r="M663" s="24">
        <f>IFERROR(VLOOKUP(B663,'03. THIẾT BỊ'!$B$1:$S$836,12,0),"")</f>
        <v>0</v>
      </c>
      <c r="N663" s="25" t="str">
        <f>IFERROR(VLOOKUP(B663,'03. THIẾT BỊ'!$B$1:$S$836,13,0),"")</f>
        <v>RELOAD</v>
      </c>
      <c r="O663" s="24">
        <f>IFERROR(VLOOKUP(B663,'03. THIẾT BỊ'!$B$1:$S$836,14,0),"")</f>
        <v>7045</v>
      </c>
      <c r="P663" s="25" t="str">
        <f>IFERROR(VLOOKUP(B663,'03. THIẾT BỊ'!$B$1:$S$836,15,0),"")</f>
        <v>VIETNAM</v>
      </c>
      <c r="Q663" s="23">
        <f>IFERROR(VLOOKUP(B663,'03. THIẾT BỊ'!$B$1:$S$836,16,0),"")</f>
        <v>2025</v>
      </c>
      <c r="R663" s="25" t="str">
        <f>IFERROR(VLOOKUP(B663,'03. THIẾT BỊ'!$B$1:$S$836,17,0),"")</f>
        <v>7 Hp</v>
      </c>
      <c r="S663" s="25" t="str">
        <f>IFERROR(VLOOKUP(B663,'03. THIẾT BỊ'!$B$1:$S$836,18,0),"")</f>
        <v>H0058741</v>
      </c>
      <c r="T663" s="41"/>
    </row>
    <row r="664" customHeight="1" spans="1:20">
      <c r="A664" s="19">
        <f t="shared" si="30"/>
        <v>7</v>
      </c>
      <c r="B664" s="20" t="s">
        <v>4831</v>
      </c>
      <c r="C664" s="613">
        <f>IFERROR(VLOOKUP(B664,'03. THIẾT BỊ'!$B$1:$S$836,2,0),"")</f>
        <v>0</v>
      </c>
      <c r="D664" s="24">
        <f>IFERROR(VLOOKUP(B664,'03. THIẾT BỊ'!$B$1:$S$836,3,0),"")</f>
        <v>0</v>
      </c>
      <c r="E664" s="20" t="str">
        <f>IFERROR(VLOOKUP(B664,'03. THIẾT BỊ'!$B$1:$S$836,4,0),"")</f>
        <v>MUA MỚI</v>
      </c>
      <c r="F664" s="20" t="str">
        <f>IFERROR(VLOOKUP(B664,'03. THIẾT BỊ'!$B$1:$S$836,5,0),"")</f>
        <v>Máy phun thuốc RELOAD 7045</v>
      </c>
      <c r="G664" s="101" t="s">
        <v>6468</v>
      </c>
      <c r="H664" s="19" t="str">
        <f>IFERROR(VLOOKUP(B664,'03. THIẾT BỊ'!$B$1:$S$836,7,0),"")</f>
        <v>XN Chuối LP1</v>
      </c>
      <c r="I664" s="610">
        <f>IFERROR(VLOOKUP(B664,'03. THIẾT BỊ'!$B$1:$S$836,8,0),"")</f>
        <v>45723</v>
      </c>
      <c r="J664" s="25"/>
      <c r="K664" s="19" t="str">
        <f>IFERROR(VLOOKUP(B664,'03. THIẾT BỊ'!$B$1:$S$836,10,0),"")</f>
        <v>Bình thường</v>
      </c>
      <c r="L664" s="25">
        <f>IFERROR(VLOOKUP(B664,'03. THIẾT BỊ'!$B$1:$S$836,11,0),"")</f>
        <v>0</v>
      </c>
      <c r="M664" s="24">
        <f>IFERROR(VLOOKUP(B664,'03. THIẾT BỊ'!$B$1:$S$836,12,0),"")</f>
        <v>0</v>
      </c>
      <c r="N664" s="25" t="str">
        <f>IFERROR(VLOOKUP(B664,'03. THIẾT BỊ'!$B$1:$S$836,13,0),"")</f>
        <v>RELOAD</v>
      </c>
      <c r="O664" s="24">
        <f>IFERROR(VLOOKUP(B664,'03. THIẾT BỊ'!$B$1:$S$836,14,0),"")</f>
        <v>7045</v>
      </c>
      <c r="P664" s="25" t="str">
        <f>IFERROR(VLOOKUP(B664,'03. THIẾT BỊ'!$B$1:$S$836,15,0),"")</f>
        <v>VIETNAM</v>
      </c>
      <c r="Q664" s="23">
        <f>IFERROR(VLOOKUP(B664,'03. THIẾT BỊ'!$B$1:$S$836,16,0),"")</f>
        <v>2025</v>
      </c>
      <c r="R664" s="25" t="str">
        <f>IFERROR(VLOOKUP(B664,'03. THIẾT BỊ'!$B$1:$S$836,17,0),"")</f>
        <v>7 Hp</v>
      </c>
      <c r="S664" s="25" t="str">
        <f>IFERROR(VLOOKUP(B664,'03. THIẾT BỊ'!$B$1:$S$836,18,0),"")</f>
        <v>H0058808</v>
      </c>
      <c r="T664" s="41"/>
    </row>
    <row r="665" customHeight="1" spans="1:20">
      <c r="A665" s="19">
        <f t="shared" si="30"/>
        <v>8</v>
      </c>
      <c r="B665" s="20" t="s">
        <v>4833</v>
      </c>
      <c r="C665" s="613">
        <f>IFERROR(VLOOKUP(B665,'03. THIẾT BỊ'!$B$1:$S$836,2,0),"")</f>
        <v>0</v>
      </c>
      <c r="D665" s="24">
        <f>IFERROR(VLOOKUP(B665,'03. THIẾT BỊ'!$B$1:$S$836,3,0),"")</f>
        <v>0</v>
      </c>
      <c r="E665" s="20" t="str">
        <f>IFERROR(VLOOKUP(B665,'03. THIẾT BỊ'!$B$1:$S$836,4,0),"")</f>
        <v>MUA MỚI</v>
      </c>
      <c r="F665" s="20" t="str">
        <f>IFERROR(VLOOKUP(B665,'03. THIẾT BỊ'!$B$1:$S$836,5,0),"")</f>
        <v>Máy phun thuốc RELOAD 7045</v>
      </c>
      <c r="G665" s="101" t="s">
        <v>6468</v>
      </c>
      <c r="H665" s="19" t="str">
        <f>IFERROR(VLOOKUP(B665,'03. THIẾT BỊ'!$B$1:$S$836,7,0),"")</f>
        <v>XN Chuối LP1</v>
      </c>
      <c r="I665" s="610">
        <f>IFERROR(VLOOKUP(B665,'03. THIẾT BỊ'!$B$1:$S$836,8,0),"")</f>
        <v>45723</v>
      </c>
      <c r="J665" s="25"/>
      <c r="K665" s="19" t="str">
        <f>IFERROR(VLOOKUP(B665,'03. THIẾT BỊ'!$B$1:$S$836,10,0),"")</f>
        <v>Bình thường</v>
      </c>
      <c r="L665" s="25">
        <f>IFERROR(VLOOKUP(B665,'03. THIẾT BỊ'!$B$1:$S$836,11,0),"")</f>
        <v>0</v>
      </c>
      <c r="M665" s="24">
        <f>IFERROR(VLOOKUP(B665,'03. THIẾT BỊ'!$B$1:$S$836,12,0),"")</f>
        <v>0</v>
      </c>
      <c r="N665" s="25" t="str">
        <f>IFERROR(VLOOKUP(B665,'03. THIẾT BỊ'!$B$1:$S$836,13,0),"")</f>
        <v>RELOAD</v>
      </c>
      <c r="O665" s="24">
        <f>IFERROR(VLOOKUP(B665,'03. THIẾT BỊ'!$B$1:$S$836,14,0),"")</f>
        <v>7045</v>
      </c>
      <c r="P665" s="25" t="str">
        <f>IFERROR(VLOOKUP(B665,'03. THIẾT BỊ'!$B$1:$S$836,15,0),"")</f>
        <v>VIETNAM</v>
      </c>
      <c r="Q665" s="23">
        <f>IFERROR(VLOOKUP(B665,'03. THIẾT BỊ'!$B$1:$S$836,16,0),"")</f>
        <v>2025</v>
      </c>
      <c r="R665" s="25" t="str">
        <f>IFERROR(VLOOKUP(B665,'03. THIẾT BỊ'!$B$1:$S$836,17,0),"")</f>
        <v>7 Hp</v>
      </c>
      <c r="S665" s="25" t="str">
        <f>IFERROR(VLOOKUP(B665,'03. THIẾT BỊ'!$B$1:$S$836,18,0),"")</f>
        <v>H0058778</v>
      </c>
      <c r="T665" s="41"/>
    </row>
    <row r="666" customHeight="1" spans="1:20">
      <c r="A666" s="19">
        <f t="shared" si="30"/>
        <v>9</v>
      </c>
      <c r="B666" s="20" t="s">
        <v>4835</v>
      </c>
      <c r="C666" s="613">
        <f>IFERROR(VLOOKUP(B666,'03. THIẾT BỊ'!$B$1:$S$836,2,0),"")</f>
        <v>0</v>
      </c>
      <c r="D666" s="24">
        <f>IFERROR(VLOOKUP(B666,'03. THIẾT BỊ'!$B$1:$S$836,3,0),"")</f>
        <v>0</v>
      </c>
      <c r="E666" s="20" t="str">
        <f>IFERROR(VLOOKUP(B666,'03. THIẾT BỊ'!$B$1:$S$836,4,0),"")</f>
        <v>MUA MỚI</v>
      </c>
      <c r="F666" s="20" t="str">
        <f>IFERROR(VLOOKUP(B666,'03. THIẾT BỊ'!$B$1:$S$836,5,0),"")</f>
        <v>Máy phun thuốc RELOAD 7045</v>
      </c>
      <c r="G666" s="101" t="s">
        <v>6468</v>
      </c>
      <c r="H666" s="19" t="str">
        <f>IFERROR(VLOOKUP(B666,'03. THIẾT BỊ'!$B$1:$S$836,7,0),"")</f>
        <v>XN Chuối LP1</v>
      </c>
      <c r="I666" s="610">
        <f>IFERROR(VLOOKUP(B666,'03. THIẾT BỊ'!$B$1:$S$836,8,0),"")</f>
        <v>45723</v>
      </c>
      <c r="J666" s="25"/>
      <c r="K666" s="19" t="str">
        <f>IFERROR(VLOOKUP(B666,'03. THIẾT BỊ'!$B$1:$S$836,10,0),"")</f>
        <v>Bình thường</v>
      </c>
      <c r="L666" s="25">
        <f>IFERROR(VLOOKUP(B666,'03. THIẾT BỊ'!$B$1:$S$836,11,0),"")</f>
        <v>0</v>
      </c>
      <c r="M666" s="24">
        <f>IFERROR(VLOOKUP(B666,'03. THIẾT BỊ'!$B$1:$S$836,12,0),"")</f>
        <v>0</v>
      </c>
      <c r="N666" s="25" t="str">
        <f>IFERROR(VLOOKUP(B666,'03. THIẾT BỊ'!$B$1:$S$836,13,0),"")</f>
        <v>RELOAD</v>
      </c>
      <c r="O666" s="24">
        <f>IFERROR(VLOOKUP(B666,'03. THIẾT BỊ'!$B$1:$S$836,14,0),"")</f>
        <v>7045</v>
      </c>
      <c r="P666" s="25" t="str">
        <f>IFERROR(VLOOKUP(B666,'03. THIẾT BỊ'!$B$1:$S$836,15,0),"")</f>
        <v>VIETNAM</v>
      </c>
      <c r="Q666" s="23">
        <f>IFERROR(VLOOKUP(B666,'03. THIẾT BỊ'!$B$1:$S$836,16,0),"")</f>
        <v>2025</v>
      </c>
      <c r="R666" s="25" t="str">
        <f>IFERROR(VLOOKUP(B666,'03. THIẾT BỊ'!$B$1:$S$836,17,0),"")</f>
        <v>7 Hp</v>
      </c>
      <c r="S666" s="25" t="str">
        <f>IFERROR(VLOOKUP(B666,'03. THIẾT BỊ'!$B$1:$S$836,18,0),"")</f>
        <v>H0058732</v>
      </c>
      <c r="T666" s="41"/>
    </row>
    <row r="667" customHeight="1" spans="1:20">
      <c r="A667" s="19">
        <f t="shared" si="30"/>
        <v>10</v>
      </c>
      <c r="B667" s="20" t="s">
        <v>5036</v>
      </c>
      <c r="C667" s="613">
        <f>IFERROR(VLOOKUP(B667,'03. THIẾT BỊ'!$B$1:$S$836,2,0),"")</f>
        <v>0</v>
      </c>
      <c r="D667" s="24">
        <f>IFERROR(VLOOKUP(B667,'03. THIẾT BỊ'!$B$1:$S$836,3,0),"")</f>
        <v>0</v>
      </c>
      <c r="E667" s="20" t="str">
        <f>IFERROR(VLOOKUP(B667,'03. THIẾT BỊ'!$B$1:$S$836,4,0),"")</f>
        <v>MUA MỚI</v>
      </c>
      <c r="F667" s="20" t="str">
        <f>IFERROR(VLOOKUP(B667,'03. THIẾT BỊ'!$B$1:$S$836,5,0),"")</f>
        <v>Máy phun thuốc RELOAD 7045</v>
      </c>
      <c r="G667" s="101" t="s">
        <v>6468</v>
      </c>
      <c r="H667" s="19" t="str">
        <f>IFERROR(VLOOKUP(B667,'03. THIẾT BỊ'!$B$1:$S$836,7,0),"")</f>
        <v>XN Chuối LP3</v>
      </c>
      <c r="I667" s="610">
        <f>IFERROR(VLOOKUP(B667,'03. THIẾT BỊ'!$B$1:$S$836,8,0),"")</f>
        <v>46357</v>
      </c>
      <c r="J667" s="25"/>
      <c r="K667" s="19" t="str">
        <f>IFERROR(VLOOKUP(B667,'03. THIẾT BỊ'!$B$1:$S$836,10,0),"")</f>
        <v>Bình thường</v>
      </c>
      <c r="L667" s="25">
        <f>IFERROR(VLOOKUP(B667,'03. THIẾT BỊ'!$B$1:$S$836,11,0),"")</f>
        <v>0</v>
      </c>
      <c r="M667" s="24">
        <f>IFERROR(VLOOKUP(B667,'03. THIẾT BỊ'!$B$1:$S$836,12,0),"")</f>
        <v>0</v>
      </c>
      <c r="N667" s="25" t="str">
        <f>IFERROR(VLOOKUP(B667,'03. THIẾT BỊ'!$B$1:$S$836,13,0),"")</f>
        <v>RELOAD</v>
      </c>
      <c r="O667" s="24">
        <f>IFERROR(VLOOKUP(B667,'03. THIẾT BỊ'!$B$1:$S$836,14,0),"")</f>
        <v>7045</v>
      </c>
      <c r="P667" s="25" t="str">
        <f>IFERROR(VLOOKUP(B667,'03. THIẾT BỊ'!$B$1:$S$836,15,0),"")</f>
        <v>VIETNAM</v>
      </c>
      <c r="Q667" s="23">
        <f>IFERROR(VLOOKUP(B667,'03. THIẾT BỊ'!$B$1:$S$836,16,0),"")</f>
        <v>2025</v>
      </c>
      <c r="R667" s="25" t="str">
        <f>IFERROR(VLOOKUP(B667,'03. THIẾT BỊ'!$B$1:$S$836,17,0),"")</f>
        <v>7 Hp</v>
      </c>
      <c r="S667" s="25" t="str">
        <f>IFERROR(VLOOKUP(B667,'03. THIẾT BỊ'!$B$1:$S$836,18,0),"")</f>
        <v>2412094A0021</v>
      </c>
      <c r="T667" s="41"/>
    </row>
    <row r="668" customHeight="1" spans="1:20">
      <c r="A668" s="19">
        <f t="shared" si="30"/>
        <v>11</v>
      </c>
      <c r="B668" s="20" t="s">
        <v>5038</v>
      </c>
      <c r="C668" s="613">
        <f>IFERROR(VLOOKUP(B668,'03. THIẾT BỊ'!$B$1:$S$836,2,0),"")</f>
        <v>0</v>
      </c>
      <c r="D668" s="24">
        <f>IFERROR(VLOOKUP(B668,'03. THIẾT BỊ'!$B$1:$S$836,3,0),"")</f>
        <v>0</v>
      </c>
      <c r="E668" s="20" t="str">
        <f>IFERROR(VLOOKUP(B668,'03. THIẾT BỊ'!$B$1:$S$836,4,0),"")</f>
        <v>MUA MỚI</v>
      </c>
      <c r="F668" s="20" t="str">
        <f>IFERROR(VLOOKUP(B668,'03. THIẾT BỊ'!$B$1:$S$836,5,0),"")</f>
        <v>Máy phun thuốc RELOAD 7045</v>
      </c>
      <c r="G668" s="101" t="s">
        <v>6468</v>
      </c>
      <c r="H668" s="19" t="str">
        <f>IFERROR(VLOOKUP(B668,'03. THIẾT BỊ'!$B$1:$S$836,7,0),"")</f>
        <v>XN Chuối LP3</v>
      </c>
      <c r="I668" s="610">
        <f>IFERROR(VLOOKUP(B668,'03. THIẾT BỊ'!$B$1:$S$836,8,0),"")</f>
        <v>46357</v>
      </c>
      <c r="J668" s="25"/>
      <c r="K668" s="19" t="str">
        <f>IFERROR(VLOOKUP(B668,'03. THIẾT BỊ'!$B$1:$S$836,10,0),"")</f>
        <v>Bình thường</v>
      </c>
      <c r="L668" s="25">
        <f>IFERROR(VLOOKUP(B668,'03. THIẾT BỊ'!$B$1:$S$836,11,0),"")</f>
        <v>0</v>
      </c>
      <c r="M668" s="24">
        <f>IFERROR(VLOOKUP(B668,'03. THIẾT BỊ'!$B$1:$S$836,12,0),"")</f>
        <v>0</v>
      </c>
      <c r="N668" s="25" t="str">
        <f>IFERROR(VLOOKUP(B668,'03. THIẾT BỊ'!$B$1:$S$836,13,0),"")</f>
        <v>RELOAD</v>
      </c>
      <c r="O668" s="24">
        <f>IFERROR(VLOOKUP(B668,'03. THIẾT BỊ'!$B$1:$S$836,14,0),"")</f>
        <v>7045</v>
      </c>
      <c r="P668" s="25" t="str">
        <f>IFERROR(VLOOKUP(B668,'03. THIẾT BỊ'!$B$1:$S$836,15,0),"")</f>
        <v>VIETNAM</v>
      </c>
      <c r="Q668" s="23">
        <f>IFERROR(VLOOKUP(B668,'03. THIẾT BỊ'!$B$1:$S$836,16,0),"")</f>
        <v>2025</v>
      </c>
      <c r="R668" s="25" t="str">
        <f>IFERROR(VLOOKUP(B668,'03. THIẾT BỊ'!$B$1:$S$836,17,0),"")</f>
        <v>7 Hp</v>
      </c>
      <c r="S668" s="25" t="str">
        <f>IFERROR(VLOOKUP(B668,'03. THIẾT BỊ'!$B$1:$S$836,18,0),"")</f>
        <v>2412094A0014</v>
      </c>
      <c r="T668" s="41"/>
    </row>
    <row r="669" customHeight="1" spans="1:20">
      <c r="A669" s="19">
        <f>A666+1</f>
        <v>10</v>
      </c>
      <c r="B669" s="20" t="s">
        <v>4378</v>
      </c>
      <c r="C669" s="613">
        <f>IFERROR(VLOOKUP(B669,'03. THIẾT BỊ'!$B$1:$S$836,2,0),"")</f>
        <v>0</v>
      </c>
      <c r="D669" s="24">
        <f>IFERROR(VLOOKUP(B669,'03. THIẾT BỊ'!$B$1:$S$836,3,0),"")</f>
        <v>0</v>
      </c>
      <c r="E669" s="20" t="str">
        <f>IFERROR(VLOOKUP(B669,'03. THIẾT BỊ'!$B$1:$S$836,4,0),"")</f>
        <v>MUA MỚI</v>
      </c>
      <c r="F669" s="20" t="str">
        <f>IFERROR(VLOOKUP(B669,'03. THIẾT BỊ'!$B$1:$S$836,5,0),"")</f>
        <v>Máy phun thuốc RELOAD 7045</v>
      </c>
      <c r="G669" s="101" t="s">
        <v>6468</v>
      </c>
      <c r="H669" s="19" t="str">
        <f>IFERROR(VLOOKUP(B669,'03. THIẾT BỊ'!$B$1:$S$836,7,0),"")</f>
        <v>XN Chuối DP1</v>
      </c>
      <c r="I669" s="610">
        <f>IFERROR(VLOOKUP(B669,'03. THIẾT BỊ'!$B$1:$S$836,8,0),"")</f>
        <v>45884</v>
      </c>
      <c r="J669" s="25"/>
      <c r="K669" s="19" t="str">
        <f>IFERROR(VLOOKUP(B669,'03. THIẾT BỊ'!$B$1:$S$836,10,0),"")</f>
        <v>Bình thường</v>
      </c>
      <c r="L669" s="25">
        <f>IFERROR(VLOOKUP(B669,'03. THIẾT BỊ'!$B$1:$S$836,11,0),"")</f>
        <v>0</v>
      </c>
      <c r="M669" s="24">
        <f>IFERROR(VLOOKUP(B669,'03. THIẾT BỊ'!$B$1:$S$836,12,0),"")</f>
        <v>0</v>
      </c>
      <c r="N669" s="25" t="str">
        <f>IFERROR(VLOOKUP(B669,'03. THIẾT BỊ'!$B$1:$S$836,13,0),"")</f>
        <v>RELOAD</v>
      </c>
      <c r="O669" s="24">
        <f>IFERROR(VLOOKUP(B669,'03. THIẾT BỊ'!$B$1:$S$836,14,0),"")</f>
        <v>7045</v>
      </c>
      <c r="P669" s="25" t="str">
        <f>IFERROR(VLOOKUP(B669,'03. THIẾT BỊ'!$B$1:$S$836,15,0),"")</f>
        <v>VIETNAM</v>
      </c>
      <c r="Q669" s="23">
        <f>IFERROR(VLOOKUP(B669,'03. THIẾT BỊ'!$B$1:$S$836,16,0),"")</f>
        <v>2025</v>
      </c>
      <c r="R669" s="25" t="str">
        <f>IFERROR(VLOOKUP(B669,'03. THIẾT BỊ'!$B$1:$S$836,17,0),"")</f>
        <v>7 Hp</v>
      </c>
      <c r="S669" s="25" t="str">
        <f>IFERROR(VLOOKUP(B669,'03. THIẾT BỊ'!$B$1:$S$836,18,0),"")</f>
        <v>H0058740</v>
      </c>
      <c r="T669" s="41"/>
    </row>
    <row r="670" customHeight="1" spans="1:20">
      <c r="A670" s="19">
        <f t="shared" ref="A670:A672" si="31">A669+1</f>
        <v>11</v>
      </c>
      <c r="B670" s="20" t="s">
        <v>4382</v>
      </c>
      <c r="C670" s="613">
        <f>IFERROR(VLOOKUP(B670,'03. THIẾT BỊ'!$B$1:$S$836,2,0),"")</f>
        <v>0</v>
      </c>
      <c r="D670" s="24">
        <f>IFERROR(VLOOKUP(B670,'03. THIẾT BỊ'!$B$1:$S$836,3,0),"")</f>
        <v>0</v>
      </c>
      <c r="E670" s="20" t="str">
        <f>IFERROR(VLOOKUP(B670,'03. THIẾT BỊ'!$B$1:$S$836,4,0),"")</f>
        <v>MUA MỚI</v>
      </c>
      <c r="F670" s="20" t="str">
        <f>IFERROR(VLOOKUP(B670,'03. THIẾT BỊ'!$B$1:$S$836,5,0),"")</f>
        <v>Máy phun thuốc RELOAD 7045</v>
      </c>
      <c r="G670" s="101" t="s">
        <v>6468</v>
      </c>
      <c r="H670" s="19" t="str">
        <f>IFERROR(VLOOKUP(B670,'03. THIẾT BỊ'!$B$1:$S$836,7,0),"")</f>
        <v>XN Chuối DP1</v>
      </c>
      <c r="I670" s="610">
        <f>IFERROR(VLOOKUP(B670,'03. THIẾT BỊ'!$B$1:$S$836,8,0),"")</f>
        <v>45884</v>
      </c>
      <c r="J670" s="25"/>
      <c r="K670" s="19" t="str">
        <f>IFERROR(VLOOKUP(B670,'03. THIẾT BỊ'!$B$1:$S$836,10,0),"")</f>
        <v>Bình thường</v>
      </c>
      <c r="L670" s="25">
        <f>IFERROR(VLOOKUP(B670,'03. THIẾT BỊ'!$B$1:$S$836,11,0),"")</f>
        <v>0</v>
      </c>
      <c r="M670" s="24">
        <f>IFERROR(VLOOKUP(B670,'03. THIẾT BỊ'!$B$1:$S$836,12,0),"")</f>
        <v>0</v>
      </c>
      <c r="N670" s="25" t="str">
        <f>IFERROR(VLOOKUP(B670,'03. THIẾT BỊ'!$B$1:$S$836,13,0),"")</f>
        <v>RELOAD</v>
      </c>
      <c r="O670" s="24">
        <f>IFERROR(VLOOKUP(B670,'03. THIẾT BỊ'!$B$1:$S$836,14,0),"")</f>
        <v>7045</v>
      </c>
      <c r="P670" s="25" t="str">
        <f>IFERROR(VLOOKUP(B670,'03. THIẾT BỊ'!$B$1:$S$836,15,0),"")</f>
        <v>VIETNAM</v>
      </c>
      <c r="Q670" s="23">
        <f>IFERROR(VLOOKUP(B670,'03. THIẾT BỊ'!$B$1:$S$836,16,0),"")</f>
        <v>2025</v>
      </c>
      <c r="R670" s="25" t="str">
        <f>IFERROR(VLOOKUP(B670,'03. THIẾT BỊ'!$B$1:$S$836,17,0),"")</f>
        <v>7 Hp</v>
      </c>
      <c r="S670" s="25" t="str">
        <f>IFERROR(VLOOKUP(B670,'03. THIẾT BỊ'!$B$1:$S$836,18,0),"")</f>
        <v>H0058744</v>
      </c>
      <c r="T670" s="41"/>
    </row>
    <row r="671" customHeight="1" spans="1:20">
      <c r="A671" s="19">
        <f t="shared" si="31"/>
        <v>12</v>
      </c>
      <c r="B671" s="20" t="s">
        <v>4384</v>
      </c>
      <c r="C671" s="613">
        <f>IFERROR(VLOOKUP(B671,'03. THIẾT BỊ'!$B$1:$S$836,2,0),"")</f>
        <v>0</v>
      </c>
      <c r="D671" s="24">
        <f>IFERROR(VLOOKUP(B671,'03. THIẾT BỊ'!$B$1:$S$836,3,0),"")</f>
        <v>0</v>
      </c>
      <c r="E671" s="20" t="str">
        <f>IFERROR(VLOOKUP(B671,'03. THIẾT BỊ'!$B$1:$S$836,4,0),"")</f>
        <v>MUA MỚI</v>
      </c>
      <c r="F671" s="20" t="str">
        <f>IFERROR(VLOOKUP(B671,'03. THIẾT BỊ'!$B$1:$S$836,5,0),"")</f>
        <v>Máy phun thuốc RELOAD 7045</v>
      </c>
      <c r="G671" s="101" t="s">
        <v>6468</v>
      </c>
      <c r="H671" s="19" t="str">
        <f>IFERROR(VLOOKUP(B671,'03. THIẾT BỊ'!$B$1:$S$836,7,0),"")</f>
        <v>XN Chuối DP1</v>
      </c>
      <c r="I671" s="610">
        <f>IFERROR(VLOOKUP(B671,'03. THIẾT BỊ'!$B$1:$S$836,8,0),"")</f>
        <v>45884</v>
      </c>
      <c r="J671" s="25"/>
      <c r="K671" s="19" t="str">
        <f>IFERROR(VLOOKUP(B671,'03. THIẾT BỊ'!$B$1:$S$836,10,0),"")</f>
        <v>Bình thường</v>
      </c>
      <c r="L671" s="25">
        <f>IFERROR(VLOOKUP(B671,'03. THIẾT BỊ'!$B$1:$S$836,11,0),"")</f>
        <v>0</v>
      </c>
      <c r="M671" s="24">
        <f>IFERROR(VLOOKUP(B671,'03. THIẾT BỊ'!$B$1:$S$836,12,0),"")</f>
        <v>0</v>
      </c>
      <c r="N671" s="25" t="str">
        <f>IFERROR(VLOOKUP(B671,'03. THIẾT BỊ'!$B$1:$S$836,13,0),"")</f>
        <v>RELOAD</v>
      </c>
      <c r="O671" s="24">
        <f>IFERROR(VLOOKUP(B671,'03. THIẾT BỊ'!$B$1:$S$836,14,0),"")</f>
        <v>7045</v>
      </c>
      <c r="P671" s="25" t="str">
        <f>IFERROR(VLOOKUP(B671,'03. THIẾT BỊ'!$B$1:$S$836,15,0),"")</f>
        <v>VIETNAM</v>
      </c>
      <c r="Q671" s="23">
        <f>IFERROR(VLOOKUP(B671,'03. THIẾT BỊ'!$B$1:$S$836,16,0),"")</f>
        <v>2025</v>
      </c>
      <c r="R671" s="25" t="str">
        <f>IFERROR(VLOOKUP(B671,'03. THIẾT BỊ'!$B$1:$S$836,17,0),"")</f>
        <v>7 Hp</v>
      </c>
      <c r="S671" s="25" t="str">
        <f>IFERROR(VLOOKUP(B671,'03. THIẾT BỊ'!$B$1:$S$836,18,0),"")</f>
        <v>H0058759</v>
      </c>
      <c r="T671" s="41"/>
    </row>
    <row r="672" customHeight="1" spans="1:20">
      <c r="A672" s="19">
        <f t="shared" si="31"/>
        <v>13</v>
      </c>
      <c r="B672" s="20" t="s">
        <v>4386</v>
      </c>
      <c r="C672" s="613">
        <f>IFERROR(VLOOKUP(B672,'03. THIẾT BỊ'!$B$1:$S$836,2,0),"")</f>
        <v>0</v>
      </c>
      <c r="D672" s="24">
        <f>IFERROR(VLOOKUP(B672,'03. THIẾT BỊ'!$B$1:$S$836,3,0),"")</f>
        <v>0</v>
      </c>
      <c r="E672" s="20" t="str">
        <f>IFERROR(VLOOKUP(B672,'03. THIẾT BỊ'!$B$1:$S$836,4,0),"")</f>
        <v>MUA MỚI</v>
      </c>
      <c r="F672" s="20" t="str">
        <f>IFERROR(VLOOKUP(B672,'03. THIẾT BỊ'!$B$1:$S$836,5,0),"")</f>
        <v>Máy phun thuốc RELOAD 7045</v>
      </c>
      <c r="G672" s="101" t="s">
        <v>6468</v>
      </c>
      <c r="H672" s="19" t="str">
        <f>IFERROR(VLOOKUP(B672,'03. THIẾT BỊ'!$B$1:$S$836,7,0),"")</f>
        <v>XN Chuối DP1</v>
      </c>
      <c r="I672" s="610">
        <f>IFERROR(VLOOKUP(B672,'03. THIẾT BỊ'!$B$1:$S$836,8,0),"")</f>
        <v>45884</v>
      </c>
      <c r="J672" s="25"/>
      <c r="K672" s="19" t="str">
        <f>IFERROR(VLOOKUP(B672,'03. THIẾT BỊ'!$B$1:$S$836,10,0),"")</f>
        <v>Bình thường</v>
      </c>
      <c r="L672" s="25">
        <f>IFERROR(VLOOKUP(B672,'03. THIẾT BỊ'!$B$1:$S$836,11,0),"")</f>
        <v>0</v>
      </c>
      <c r="M672" s="24">
        <f>IFERROR(VLOOKUP(B672,'03. THIẾT BỊ'!$B$1:$S$836,12,0),"")</f>
        <v>0</v>
      </c>
      <c r="N672" s="25" t="str">
        <f>IFERROR(VLOOKUP(B672,'03. THIẾT BỊ'!$B$1:$S$836,13,0),"")</f>
        <v>RELOAD</v>
      </c>
      <c r="O672" s="24">
        <f>IFERROR(VLOOKUP(B672,'03. THIẾT BỊ'!$B$1:$S$836,14,0),"")</f>
        <v>7045</v>
      </c>
      <c r="P672" s="25" t="str">
        <f>IFERROR(VLOOKUP(B672,'03. THIẾT BỊ'!$B$1:$S$836,15,0),"")</f>
        <v>VIETNAM</v>
      </c>
      <c r="Q672" s="23">
        <f>IFERROR(VLOOKUP(B672,'03. THIẾT BỊ'!$B$1:$S$836,16,0),"")</f>
        <v>2025</v>
      </c>
      <c r="R672" s="25" t="str">
        <f>IFERROR(VLOOKUP(B672,'03. THIẾT BỊ'!$B$1:$S$836,17,0),"")</f>
        <v>7 Hp</v>
      </c>
      <c r="S672" s="25" t="str">
        <f>IFERROR(VLOOKUP(B672,'03. THIẾT BỊ'!$B$1:$S$836,18,0),"")</f>
        <v>H0058786</v>
      </c>
      <c r="T672" s="41"/>
    </row>
    <row r="673" hidden="1" customHeight="1" spans="1:20">
      <c r="A673" s="19"/>
      <c r="B673" s="20"/>
      <c r="C673" s="613" t="str">
        <f>IFERROR(VLOOKUP(B673,'03. THIẾT BỊ'!$B$1:$S$836,2,0),"")</f>
        <v/>
      </c>
      <c r="D673" s="24" t="str">
        <f>IFERROR(VLOOKUP(B673,'03. THIẾT BỊ'!$B$1:$S$836,3,0),"")</f>
        <v/>
      </c>
      <c r="E673" s="20" t="str">
        <f>IFERROR(VLOOKUP(B673,'03. THIẾT BỊ'!$B$1:$S$836,4,0),"")</f>
        <v/>
      </c>
      <c r="F673" s="20" t="str">
        <f>IFERROR(VLOOKUP(B673,'03. THIẾT BỊ'!$B$1:$S$836,5,0),"")</f>
        <v/>
      </c>
      <c r="G673" s="101" t="s">
        <v>6468</v>
      </c>
      <c r="H673" s="19" t="str">
        <f>IFERROR(VLOOKUP(B673,'03. THIẾT BỊ'!$B$1:$S$836,7,0),"")</f>
        <v/>
      </c>
      <c r="I673" s="610" t="str">
        <f>IFERROR(VLOOKUP(B673,'03. THIẾT BỊ'!$B$1:$S$836,8,0),"")</f>
        <v/>
      </c>
      <c r="J673" s="25"/>
      <c r="K673" s="19" t="str">
        <f>IFERROR(VLOOKUP(B673,'03. THIẾT BỊ'!$B$1:$S$836,10,0),"")</f>
        <v/>
      </c>
      <c r="L673" s="25" t="str">
        <f>IFERROR(VLOOKUP(B673,'03. THIẾT BỊ'!$B$1:$S$836,11,0),"")</f>
        <v/>
      </c>
      <c r="M673" s="24" t="str">
        <f>IFERROR(VLOOKUP(B673,'03. THIẾT BỊ'!$B$1:$S$836,12,0),"")</f>
        <v/>
      </c>
      <c r="N673" s="25" t="str">
        <f>IFERROR(VLOOKUP(B673,'03. THIẾT BỊ'!$B$1:$S$836,13,0),"")</f>
        <v/>
      </c>
      <c r="O673" s="24" t="str">
        <f>IFERROR(VLOOKUP(B673,'03. THIẾT BỊ'!$B$1:$S$836,14,0),"")</f>
        <v/>
      </c>
      <c r="P673" s="25" t="str">
        <f>IFERROR(VLOOKUP(B673,'03. THIẾT BỊ'!$B$1:$S$836,15,0),"")</f>
        <v/>
      </c>
      <c r="Q673" s="23" t="str">
        <f>IFERROR(VLOOKUP(B673,'03. THIẾT BỊ'!$B$1:$S$836,16,0),"")</f>
        <v/>
      </c>
      <c r="R673" s="25" t="str">
        <f>IFERROR(VLOOKUP(B673,'03. THIẾT BỊ'!$B$1:$S$836,17,0),"")</f>
        <v/>
      </c>
      <c r="S673" s="25" t="str">
        <f>IFERROR(VLOOKUP(B673,'03. THIẾT BỊ'!$B$1:$S$836,18,0),"")</f>
        <v/>
      </c>
      <c r="T673" s="41"/>
    </row>
    <row r="674" ht="13.8" hidden="1" spans="1:20">
      <c r="C674" s="613" t="str">
        <f>IFERROR(VLOOKUP(B674,'03. THIẾT BỊ'!$B$1:$S$836,2,0),"")</f>
        <v/>
      </c>
      <c r="D674" s="24" t="str">
        <f>IFERROR(VLOOKUP(B674,'03. THIẾT BỊ'!$B$1:$S$836,3,0),"")</f>
        <v/>
      </c>
      <c r="E674" s="20" t="str">
        <f>IFERROR(VLOOKUP(B674,'03. THIẾT BỊ'!$B$1:$S$836,4,0),"")</f>
        <v/>
      </c>
      <c r="F674" s="20" t="str">
        <f>IFERROR(VLOOKUP(B674,'03. THIẾT BỊ'!$B$1:$S$836,5,0),"")</f>
        <v/>
      </c>
      <c r="G674" s="101" t="s">
        <v>6468</v>
      </c>
      <c r="H674" s="19" t="str">
        <f>IFERROR(VLOOKUP(B674,'03. THIẾT BỊ'!$B$1:$S$836,7,0),"")</f>
        <v/>
      </c>
      <c r="I674" s="610" t="str">
        <f>IFERROR(VLOOKUP(B674,'03. THIẾT BỊ'!$B$1:$S$836,8,0),"")</f>
        <v/>
      </c>
      <c r="J674" s="25"/>
      <c r="K674" s="19" t="str">
        <f>IFERROR(VLOOKUP(B674,'03. THIẾT BỊ'!$B$1:$S$836,10,0),"")</f>
        <v/>
      </c>
      <c r="L674" s="25" t="str">
        <f>IFERROR(VLOOKUP(B674,'03. THIẾT BỊ'!$B$1:$S$836,11,0),"")</f>
        <v/>
      </c>
      <c r="M674" s="24" t="str">
        <f>IFERROR(VLOOKUP(B674,'03. THIẾT BỊ'!$B$1:$S$836,12,0),"")</f>
        <v/>
      </c>
      <c r="N674" s="25" t="str">
        <f>IFERROR(VLOOKUP(B674,'03. THIẾT BỊ'!$B$1:$S$836,13,0),"")</f>
        <v/>
      </c>
      <c r="O674" s="24" t="str">
        <f>IFERROR(VLOOKUP(B674,'03. THIẾT BỊ'!$B$1:$S$836,14,0),"")</f>
        <v/>
      </c>
      <c r="P674" s="25" t="str">
        <f>IFERROR(VLOOKUP(B674,'03. THIẾT BỊ'!$B$1:$S$836,15,0),"")</f>
        <v/>
      </c>
      <c r="Q674" s="23" t="str">
        <f>IFERROR(VLOOKUP(B674,'03. THIẾT BỊ'!$B$1:$S$836,16,0),"")</f>
        <v/>
      </c>
      <c r="R674" s="25" t="str">
        <f>IFERROR(VLOOKUP(B674,'03. THIẾT BỊ'!$B$1:$S$836,17,0),"")</f>
        <v/>
      </c>
      <c r="S674" s="25" t="str">
        <f>IFERROR(VLOOKUP(B674,'03. THIẾT BỊ'!$B$1:$S$836,18,0),"")</f>
        <v/>
      </c>
    </row>
    <row r="675" ht="13.8" hidden="1" spans="1:20">
      <c r="C675" s="613" t="str">
        <f>IFERROR(VLOOKUP(B675,'03. THIẾT BỊ'!$B$1:$S$836,2,0),"")</f>
        <v/>
      </c>
      <c r="D675" s="24" t="str">
        <f>IFERROR(VLOOKUP(B675,'03. THIẾT BỊ'!$B$1:$S$836,3,0),"")</f>
        <v/>
      </c>
      <c r="E675" s="20" t="str">
        <f>IFERROR(VLOOKUP(B675,'03. THIẾT BỊ'!$B$1:$S$836,4,0),"")</f>
        <v/>
      </c>
      <c r="F675" s="20" t="str">
        <f>IFERROR(VLOOKUP(B675,'03. THIẾT BỊ'!$B$1:$S$836,5,0),"")</f>
        <v/>
      </c>
      <c r="G675" s="101" t="s">
        <v>6468</v>
      </c>
      <c r="H675" s="19" t="str">
        <f>IFERROR(VLOOKUP(B675,'03. THIẾT BỊ'!$B$1:$S$836,7,0),"")</f>
        <v/>
      </c>
      <c r="I675" s="610" t="str">
        <f>IFERROR(VLOOKUP(B675,'03. THIẾT BỊ'!$B$1:$S$836,8,0),"")</f>
        <v/>
      </c>
      <c r="J675" s="25"/>
      <c r="K675" s="19" t="str">
        <f>IFERROR(VLOOKUP(B675,'03. THIẾT BỊ'!$B$1:$S$836,10,0),"")</f>
        <v/>
      </c>
      <c r="L675" s="25" t="str">
        <f>IFERROR(VLOOKUP(B675,'03. THIẾT BỊ'!$B$1:$S$836,11,0),"")</f>
        <v/>
      </c>
      <c r="M675" s="24" t="str">
        <f>IFERROR(VLOOKUP(B675,'03. THIẾT BỊ'!$B$1:$S$836,12,0),"")</f>
        <v/>
      </c>
      <c r="N675" s="25" t="str">
        <f>IFERROR(VLOOKUP(B675,'03. THIẾT BỊ'!$B$1:$S$836,13,0),"")</f>
        <v/>
      </c>
      <c r="O675" s="24" t="str">
        <f>IFERROR(VLOOKUP(B675,'03. THIẾT BỊ'!$B$1:$S$836,14,0),"")</f>
        <v/>
      </c>
      <c r="P675" s="25" t="str">
        <f>IFERROR(VLOOKUP(B675,'03. THIẾT BỊ'!$B$1:$S$836,15,0),"")</f>
        <v/>
      </c>
      <c r="Q675" s="23" t="str">
        <f>IFERROR(VLOOKUP(B675,'03. THIẾT BỊ'!$B$1:$S$836,16,0),"")</f>
        <v/>
      </c>
      <c r="R675" s="25" t="str">
        <f>IFERROR(VLOOKUP(B675,'03. THIẾT BỊ'!$B$1:$S$836,17,0),"")</f>
        <v/>
      </c>
      <c r="S675" s="25" t="str">
        <f>IFERROR(VLOOKUP(B675,'03. THIẾT BỊ'!$B$1:$S$836,18,0),"")</f>
        <v/>
      </c>
    </row>
    <row r="676" customHeight="1" spans="1:20">
      <c r="A676" s="14" t="s">
        <v>290</v>
      </c>
      <c r="B676" s="15" t="s">
        <v>6507</v>
      </c>
      <c r="C676" s="14">
        <f>COUNTA(B677:B685)</f>
        <v>8</v>
      </c>
      <c r="D676" s="17" t="str">
        <f>IFERROR(VLOOKUP(B676,'03. THIẾT BỊ'!$B$1:$S$836,3,0),"")</f>
        <v/>
      </c>
      <c r="E676" s="20" t="str">
        <f>IFERROR(VLOOKUP(B676,'03. THIẾT BỊ'!$B$1:$S$836,4,0),"")</f>
        <v/>
      </c>
      <c r="F676" s="17" t="str">
        <f>IFERROR(VLOOKUP(B676,'03. THIẾT BỊ'!$B$1:$S$836,5,0),"")</f>
        <v/>
      </c>
      <c r="G676" s="18" t="s">
        <v>6468</v>
      </c>
      <c r="H676" s="18" t="str">
        <f>IFERROR(VLOOKUP(B676,'03. THIẾT BỊ'!$B$1:$S$836,7,0),"")</f>
        <v/>
      </c>
      <c r="I676" s="14" t="str">
        <f>IFERROR(VLOOKUP(B676,'03. THIẾT BỊ'!$B$1:$S$836,8,0),"")</f>
        <v/>
      </c>
      <c r="J676" s="15"/>
      <c r="K676" s="14" t="str">
        <f>IFERROR(VLOOKUP(B676,'03. THIẾT BỊ'!$B$1:$S$836,10,0),"")</f>
        <v/>
      </c>
      <c r="L676" s="17" t="str">
        <f>IFERROR(VLOOKUP(B676,'03. THIẾT BỊ'!$B$1:$S$836,11,0),"")</f>
        <v/>
      </c>
      <c r="M676" s="16" t="str">
        <f>IFERROR(VLOOKUP(B676,'03. THIẾT BỊ'!$B$1:$S$836,12,0),"")</f>
        <v/>
      </c>
      <c r="N676" s="17" t="str">
        <f>IFERROR(VLOOKUP(B676,'03. THIẾT BỊ'!$B$1:$S$836,13,0),"")</f>
        <v/>
      </c>
      <c r="O676" s="16" t="str">
        <f>IFERROR(VLOOKUP(B676,'03. THIẾT BỊ'!$B$1:$S$836,14,0),"")</f>
        <v/>
      </c>
      <c r="P676" s="17" t="str">
        <f>IFERROR(VLOOKUP(B676,'03. THIẾT BỊ'!$B$1:$S$836,15,0),"")</f>
        <v/>
      </c>
      <c r="Q676" s="18" t="str">
        <f>IFERROR(VLOOKUP(B676,'03. THIẾT BỊ'!$B$1:$S$836,16,0),"")</f>
        <v/>
      </c>
      <c r="R676" s="17" t="str">
        <f>IFERROR(VLOOKUP(B676,'03. THIẾT BỊ'!$B$1:$S$836,17,0),"")</f>
        <v/>
      </c>
      <c r="S676" s="17" t="str">
        <f>IFERROR(VLOOKUP(B676,'03. THIẾT BỊ'!$B$1:$S$836,18,0),"")</f>
        <v/>
      </c>
      <c r="T676" s="609"/>
    </row>
    <row r="677" customHeight="1" spans="1:20">
      <c r="A677" s="19">
        <v>1</v>
      </c>
      <c r="B677" s="20" t="s">
        <v>4709</v>
      </c>
      <c r="C677" s="613">
        <f>IFERROR(VLOOKUP(B677,'03. THIẾT BỊ'!$B$1:$S$836,2,0),"")</f>
        <v>0</v>
      </c>
      <c r="D677" s="24" t="str">
        <f>IFERROR(VLOOKUP(B677,'03. THIẾT BỊ'!$B$1:$S$836,3,0),"")</f>
        <v>A24-MCO-001</v>
      </c>
      <c r="E677" s="20" t="str">
        <f>IFERROR(VLOOKUP(B677,'03. THIẾT BỊ'!$B$1:$S$836,4,0),"")</f>
        <v>ĐQSD</v>
      </c>
      <c r="F677" s="20" t="str">
        <f>IFERROR(VLOOKUP(B677,'03. THIẾT BỊ'!$B$1:$S$836,5,0),"")</f>
        <v>Máy cuộn cỏ (gắn sau máy kéo)</v>
      </c>
      <c r="G677" s="101" t="s">
        <v>6468</v>
      </c>
      <c r="H677" s="19" t="str">
        <f>IFERROR(VLOOKUP(B677,'03. THIẾT BỊ'!$B$1:$S$836,7,0),"")</f>
        <v>XN Chuối LP1</v>
      </c>
      <c r="I677" s="610">
        <f>IFERROR(VLOOKUP(B677,'03. THIẾT BỊ'!$B$1:$S$836,8,0),"")</f>
        <v>45363</v>
      </c>
      <c r="J677" s="25"/>
      <c r="K677" s="19" t="str">
        <f>IFERROR(VLOOKUP(B677,'03. THIẾT BỊ'!$B$1:$S$836,10,0),"")</f>
        <v>Bình thường</v>
      </c>
      <c r="L677" s="25">
        <f>IFERROR(VLOOKUP(B677,'03. THIẾT BỊ'!$B$1:$S$836,11,0),"")</f>
        <v>0</v>
      </c>
      <c r="M677" s="24">
        <f>IFERROR(VLOOKUP(B677,'03. THIẾT BỊ'!$B$1:$S$836,12,0),"")</f>
        <v>0</v>
      </c>
      <c r="N677" s="25" t="str">
        <f>IFERROR(VLOOKUP(B677,'03. THIẾT BỊ'!$B$1:$S$836,13,0),"")</f>
        <v>TAMICO-S</v>
      </c>
      <c r="O677" s="24" t="str">
        <f>IFERROR(VLOOKUP(B677,'03. THIẾT BỊ'!$B$1:$S$836,14,0),"")</f>
        <v>YTAMI</v>
      </c>
      <c r="P677" s="25" t="str">
        <f>IFERROR(VLOOKUP(B677,'03. THIẾT BỊ'!$B$1:$S$836,15,0),"")</f>
        <v>TRUNG QUỐC</v>
      </c>
      <c r="Q677" s="23">
        <f>IFERROR(VLOOKUP(B677,'03. THIẾT BỊ'!$B$1:$S$836,16,0),"")</f>
        <v>2023</v>
      </c>
      <c r="R677" s="25">
        <f>IFERROR(VLOOKUP(B677,'03. THIẾT BỊ'!$B$1:$S$836,17,0),"")</f>
        <v>0</v>
      </c>
      <c r="S677" s="25">
        <f>IFERROR(VLOOKUP(B677,'03. THIẾT BỊ'!$B$1:$S$836,18,0),"")</f>
        <v>0</v>
      </c>
      <c r="T677" s="41"/>
    </row>
    <row r="678" customHeight="1" spans="1:20">
      <c r="A678" s="19">
        <f t="shared" ref="A678:A684" si="32">A677+1</f>
        <v>2</v>
      </c>
      <c r="B678" s="34" t="s">
        <v>5156</v>
      </c>
      <c r="C678" s="613">
        <f>IFERROR(VLOOKUP(B678,'03. THIẾT BỊ'!$B$1:$S$836,2,0),"")</f>
        <v>0</v>
      </c>
      <c r="D678" s="24" t="str">
        <f>IFERROR(VLOOKUP(B678,'03. THIẾT BỊ'!$B$1:$S$836,3,0),"")</f>
        <v>A22-CT-0194</v>
      </c>
      <c r="E678" s="20" t="str">
        <f>IFERROR(VLOOKUP(B678,'03. THIẾT BỊ'!$B$1:$S$836,4,0),"")</f>
        <v>ĐQSD</v>
      </c>
      <c r="F678" s="20" t="str">
        <f>IFERROR(VLOOKUP(B678,'03. THIẾT BỊ'!$B$1:$S$836,5,0),"")</f>
        <v>Máy cuộn cỏ (gắn sau máy kéo)</v>
      </c>
      <c r="G678" s="101" t="s">
        <v>6468</v>
      </c>
      <c r="H678" s="19" t="str">
        <f>IFERROR(VLOOKUP(B678,'03. THIẾT BỊ'!$B$1:$S$836,7,0),"")</f>
        <v>Xoài AD</v>
      </c>
      <c r="I678" s="610" t="str">
        <f>IFERROR(VLOOKUP(B678,'03. THIẾT BỊ'!$B$1:$S$836,8,0),"")</f>
        <v>28/02/2024</v>
      </c>
      <c r="J678" s="25"/>
      <c r="K678" s="19" t="str">
        <f>IFERROR(VLOOKUP(B678,'03. THIẾT BỊ'!$B$1:$S$836,10,0),"")</f>
        <v>Bình thường</v>
      </c>
      <c r="L678" s="25">
        <f>IFERROR(VLOOKUP(B678,'03. THIẾT BỊ'!$B$1:$S$836,11,0),"")</f>
        <v>0</v>
      </c>
      <c r="M678" s="24">
        <f>IFERROR(VLOOKUP(B678,'03. THIẾT BỊ'!$B$1:$S$836,12,0),"")</f>
        <v>0</v>
      </c>
      <c r="N678" s="25" t="str">
        <f>IFERROR(VLOOKUP(B678,'03. THIẾT BỊ'!$B$1:$S$836,13,0),"")</f>
        <v>TAMICO-S</v>
      </c>
      <c r="O678" s="24" t="str">
        <f>IFERROR(VLOOKUP(B678,'03. THIẾT BỊ'!$B$1:$S$836,14,0),"")</f>
        <v>YTAMI</v>
      </c>
      <c r="P678" s="25" t="str">
        <f>IFERROR(VLOOKUP(B678,'03. THIẾT BỊ'!$B$1:$S$836,15,0),"")</f>
        <v>VIỆT NAM</v>
      </c>
      <c r="Q678" s="23">
        <f>IFERROR(VLOOKUP(B678,'03. THIẾT BỊ'!$B$1:$S$836,16,0),"")</f>
        <v>2024</v>
      </c>
      <c r="R678" s="25" t="str">
        <f>IFERROR(VLOOKUP(B678,'03. THIẾT BỊ'!$B$1:$S$836,17,0),"")</f>
        <v>20-50HP</v>
      </c>
      <c r="S678" s="25">
        <f>IFERROR(VLOOKUP(B678,'03. THIẾT BỊ'!$B$1:$S$836,18,0),"")</f>
        <v>14290</v>
      </c>
      <c r="T678" s="615"/>
    </row>
    <row r="679" customHeight="1" spans="1:20">
      <c r="A679" s="19">
        <f t="shared" si="32"/>
        <v>3</v>
      </c>
      <c r="B679" s="34" t="s">
        <v>5159</v>
      </c>
      <c r="C679" s="613">
        <f>IFERROR(VLOOKUP(B679,'03. THIẾT BỊ'!$B$1:$S$836,2,0),"")</f>
        <v>0</v>
      </c>
      <c r="D679" s="24" t="str">
        <f>IFERROR(VLOOKUP(B679,'03. THIẾT BỊ'!$B$1:$S$836,3,0),"")</f>
        <v>A22-CT-0194</v>
      </c>
      <c r="E679" s="20" t="str">
        <f>IFERROR(VLOOKUP(B679,'03. THIẾT BỊ'!$B$1:$S$836,4,0),"")</f>
        <v>ĐQSD</v>
      </c>
      <c r="F679" s="20" t="str">
        <f>IFERROR(VLOOKUP(B679,'03. THIẾT BỊ'!$B$1:$S$836,5,0),"")</f>
        <v>Máy cuộn cỏ (gắn sau máy kéo)</v>
      </c>
      <c r="G679" s="101" t="s">
        <v>6468</v>
      </c>
      <c r="H679" s="19" t="str">
        <f>IFERROR(VLOOKUP(B679,'03. THIẾT BỊ'!$B$1:$S$836,7,0),"")</f>
        <v>Xoài AD</v>
      </c>
      <c r="I679" s="610">
        <f>IFERROR(VLOOKUP(B679,'03. THIẾT BỊ'!$B$1:$S$836,8,0),"")</f>
        <v>45572</v>
      </c>
      <c r="J679" s="25"/>
      <c r="K679" s="19" t="str">
        <f>IFERROR(VLOOKUP(B679,'03. THIẾT BỊ'!$B$1:$S$836,10,0),"")</f>
        <v>Bình thường</v>
      </c>
      <c r="L679" s="25">
        <f>IFERROR(VLOOKUP(B679,'03. THIẾT BỊ'!$B$1:$S$836,11,0),"")</f>
        <v>0</v>
      </c>
      <c r="M679" s="24">
        <f>IFERROR(VLOOKUP(B679,'03. THIẾT BỊ'!$B$1:$S$836,12,0),"")</f>
        <v>0</v>
      </c>
      <c r="N679" s="25" t="str">
        <f>IFERROR(VLOOKUP(B679,'03. THIẾT BỊ'!$B$1:$S$836,13,0),"")</f>
        <v>TAMICO-S</v>
      </c>
      <c r="O679" s="24" t="str">
        <f>IFERROR(VLOOKUP(B679,'03. THIẾT BỊ'!$B$1:$S$836,14,0),"")</f>
        <v>YTAMI</v>
      </c>
      <c r="P679" s="25" t="str">
        <f>IFERROR(VLOOKUP(B679,'03. THIẾT BỊ'!$B$1:$S$836,15,0),"")</f>
        <v>VIỆT NAM</v>
      </c>
      <c r="Q679" s="23">
        <f>IFERROR(VLOOKUP(B679,'03. THIẾT BỊ'!$B$1:$S$836,16,0),"")</f>
        <v>2024</v>
      </c>
      <c r="R679" s="25" t="str">
        <f>IFERROR(VLOOKUP(B679,'03. THIẾT BỊ'!$B$1:$S$836,17,0),"")</f>
        <v>20-50HP</v>
      </c>
      <c r="S679" s="25">
        <f>IFERROR(VLOOKUP(B679,'03. THIẾT BỊ'!$B$1:$S$836,18,0),"")</f>
        <v>630745</v>
      </c>
      <c r="T679" s="615"/>
    </row>
    <row r="680" customHeight="1" spans="1:20">
      <c r="A680" s="19">
        <f t="shared" si="32"/>
        <v>4</v>
      </c>
      <c r="B680" s="20" t="s">
        <v>5496</v>
      </c>
      <c r="C680" s="613">
        <f>IFERROR(VLOOKUP(B680,'03. THIẾT BỊ'!$B$1:$S$836,2,0),"")</f>
        <v>0</v>
      </c>
      <c r="D680" s="24" t="str">
        <f>IFERROR(VLOOKUP(B680,'03. THIẾT BỊ'!$B$1:$S$836,3,0),"")</f>
        <v>ATM-A22-0128</v>
      </c>
      <c r="E680" s="20" t="str">
        <f>IFERROR(VLOOKUP(B680,'03. THIẾT BỊ'!$B$1:$S$836,4,0),"")</f>
        <v>ĐQSD</v>
      </c>
      <c r="F680" s="20" t="str">
        <f>IFERROR(VLOOKUP(B680,'03. THIẾT BỊ'!$B$1:$S$836,5,0),"")</f>
        <v>Máy cuộn cỏ (gắn sau máy kéo)</v>
      </c>
      <c r="G680" s="101" t="s">
        <v>6468</v>
      </c>
      <c r="H680" s="19" t="str">
        <f>IFERROR(VLOOKUP(B680,'03. THIẾT BỊ'!$B$1:$S$836,7,0),"")</f>
        <v>XN Bò AD</v>
      </c>
      <c r="I680" s="610">
        <f>IFERROR(VLOOKUP(B680,'03. THIẾT BỊ'!$B$1:$S$836,8,0),"")</f>
        <v>45413</v>
      </c>
      <c r="J680" s="25"/>
      <c r="K680" s="19" t="str">
        <f>IFERROR(VLOOKUP(B680,'03. THIẾT BỊ'!$B$1:$S$836,10,0),"")</f>
        <v>Bình thường</v>
      </c>
      <c r="L680" s="25">
        <f>IFERROR(VLOOKUP(B680,'03. THIẾT BỊ'!$B$1:$S$836,11,0),"")</f>
        <v>0</v>
      </c>
      <c r="M680" s="24" t="str">
        <f>IFERROR(VLOOKUP(B680,'03. THIẾT BỊ'!$B$1:$S$836,12,0),"")</f>
        <v>Đầu tư mới</v>
      </c>
      <c r="N680" s="25" t="str">
        <f>IFERROR(VLOOKUP(B680,'03. THIẾT BỊ'!$B$1:$S$836,13,0),"")</f>
        <v>TAMICO-S</v>
      </c>
      <c r="O680" s="24" t="str">
        <f>IFERROR(VLOOKUP(B680,'03. THIẾT BỊ'!$B$1:$S$836,14,0),"")</f>
        <v>YTAMI</v>
      </c>
      <c r="P680" s="25" t="str">
        <f>IFERROR(VLOOKUP(B680,'03. THIẾT BỊ'!$B$1:$S$836,15,0),"")</f>
        <v>TRUNG QUỐC</v>
      </c>
      <c r="Q680" s="23">
        <f>IFERROR(VLOOKUP(B680,'03. THIẾT BỊ'!$B$1:$S$836,16,0),"")</f>
        <v>2023</v>
      </c>
      <c r="R680" s="1108" t="str">
        <f>IFERROR(VLOOKUP(B680,'03. THIẾT BỊ'!$B$1:$S$836,17,0),"")</f>
        <v>- Công suất: 20-50HP
- YTAMI_0870</v>
      </c>
      <c r="S680" s="25" t="str">
        <f>IFERROR(VLOOKUP(B680,'03. THIẾT BỊ'!$B$1:$S$836,18,0),"")</f>
        <v>YTAMI-MRB0870-03/CB-14290</v>
      </c>
      <c r="T680" s="41"/>
    </row>
    <row r="681" customHeight="1" spans="1:20">
      <c r="A681" s="19">
        <f t="shared" si="32"/>
        <v>5</v>
      </c>
      <c r="B681" s="20" t="s">
        <v>5501</v>
      </c>
      <c r="C681" s="613">
        <f>IFERROR(VLOOKUP(B681,'03. THIẾT BỊ'!$B$1:$S$836,2,0),"")</f>
        <v>0</v>
      </c>
      <c r="D681" s="24" t="str">
        <f>IFERROR(VLOOKUP(B681,'03. THIẾT BỊ'!$B$1:$S$836,3,0),"")</f>
        <v>A22-MCO-002</v>
      </c>
      <c r="E681" s="20" t="str">
        <f>IFERROR(VLOOKUP(B681,'03. THIẾT BỊ'!$B$1:$S$836,4,0),"")</f>
        <v>ĐQSD</v>
      </c>
      <c r="F681" s="20" t="str">
        <f>IFERROR(VLOOKUP(B681,'03. THIẾT BỊ'!$B$1:$S$836,5,0),"")</f>
        <v>Máy cuộn cỏ (gắn sau máy kéo)</v>
      </c>
      <c r="G681" s="101" t="s">
        <v>6468</v>
      </c>
      <c r="H681" s="19" t="str">
        <f>IFERROR(VLOOKUP(B681,'03. THIẾT BỊ'!$B$1:$S$836,7,0),"")</f>
        <v>XN Bò AD</v>
      </c>
      <c r="I681" s="610" t="str">
        <f>IFERROR(VLOOKUP(B681,'03. THIẾT BỊ'!$B$1:$S$836,8,0),"")</f>
        <v>16/07/2024</v>
      </c>
      <c r="J681" s="25"/>
      <c r="K681" s="19" t="str">
        <f>IFERROR(VLOOKUP(B681,'03. THIẾT BỊ'!$B$1:$S$836,10,0),"")</f>
        <v>Bình thường</v>
      </c>
      <c r="L681" s="25">
        <f>IFERROR(VLOOKUP(B681,'03. THIẾT BỊ'!$B$1:$S$836,11,0),"")</f>
        <v>0</v>
      </c>
      <c r="M681" s="24" t="str">
        <f>IFERROR(VLOOKUP(B681,'03. THIẾT BỊ'!$B$1:$S$836,12,0),"")</f>
        <v>Đầu tư mới</v>
      </c>
      <c r="N681" s="25" t="str">
        <f>IFERROR(VLOOKUP(B681,'03. THIẾT BỊ'!$B$1:$S$836,13,0),"")</f>
        <v>TAMICO-S</v>
      </c>
      <c r="O681" s="24" t="str">
        <f>IFERROR(VLOOKUP(B681,'03. THIẾT BỊ'!$B$1:$S$836,14,0),"")</f>
        <v>YTAMI</v>
      </c>
      <c r="P681" s="25" t="str">
        <f>IFERROR(VLOOKUP(B681,'03. THIẾT BỊ'!$B$1:$S$836,15,0),"")</f>
        <v>TRUNG QUỐC</v>
      </c>
      <c r="Q681" s="23">
        <f>IFERROR(VLOOKUP(B681,'03. THIẾT BỊ'!$B$1:$S$836,16,0),"")</f>
        <v>2023</v>
      </c>
      <c r="R681" s="1108" t="str">
        <f>IFERROR(VLOOKUP(B681,'03. THIẾT BỊ'!$B$1:$S$836,17,0),"")</f>
        <v>- Công suất: 20-50HP
- YTAMI_0870</v>
      </c>
      <c r="S681" s="25">
        <f>IFERROR(VLOOKUP(B681,'03. THIẾT BỊ'!$B$1:$S$836,18,0),"")</f>
        <v>631513</v>
      </c>
      <c r="T681" s="41"/>
    </row>
    <row r="682" customHeight="1" spans="1:20">
      <c r="A682" s="19">
        <f t="shared" si="32"/>
        <v>6</v>
      </c>
      <c r="B682" s="20" t="s">
        <v>5503</v>
      </c>
      <c r="C682" s="613">
        <f>IFERROR(VLOOKUP(B682,'03. THIẾT BỊ'!$B$1:$S$836,2,0),"")</f>
        <v>0</v>
      </c>
      <c r="D682" s="24" t="str">
        <f>IFERROR(VLOOKUP(B682,'03. THIẾT BỊ'!$B$1:$S$836,3,0),"")</f>
        <v>A22-MCO-003</v>
      </c>
      <c r="E682" s="20" t="str">
        <f>IFERROR(VLOOKUP(B682,'03. THIẾT BỊ'!$B$1:$S$836,4,0),"")</f>
        <v>ĐQSD</v>
      </c>
      <c r="F682" s="20" t="str">
        <f>IFERROR(VLOOKUP(B682,'03. THIẾT BỊ'!$B$1:$S$836,5,0),"")</f>
        <v>Máy cuộn cỏ (gắn sau máy kéo)</v>
      </c>
      <c r="G682" s="101" t="s">
        <v>6468</v>
      </c>
      <c r="H682" s="19" t="str">
        <f>IFERROR(VLOOKUP(B682,'03. THIẾT BỊ'!$B$1:$S$836,7,0),"")</f>
        <v>XN Bò AD</v>
      </c>
      <c r="I682" s="610" t="str">
        <f>IFERROR(VLOOKUP(B682,'03. THIẾT BỊ'!$B$1:$S$836,8,0),"")</f>
        <v>29/07/2024</v>
      </c>
      <c r="J682" s="25"/>
      <c r="K682" s="19" t="str">
        <f>IFERROR(VLOOKUP(B682,'03. THIẾT BỊ'!$B$1:$S$836,10,0),"")</f>
        <v>Hư hỏng</v>
      </c>
      <c r="L682" s="25">
        <f>IFERROR(VLOOKUP(B682,'03. THIẾT BỊ'!$B$1:$S$836,11,0),"")</f>
        <v>0</v>
      </c>
      <c r="M682" s="24" t="str">
        <f>IFERROR(VLOOKUP(B682,'03. THIẾT BỊ'!$B$1:$S$836,12,0),"")</f>
        <v>Đầu tư mới</v>
      </c>
      <c r="N682" s="25" t="str">
        <f>IFERROR(VLOOKUP(B682,'03. THIẾT BỊ'!$B$1:$S$836,13,0),"")</f>
        <v>TAMICO-S</v>
      </c>
      <c r="O682" s="24" t="str">
        <f>IFERROR(VLOOKUP(B682,'03. THIẾT BỊ'!$B$1:$S$836,14,0),"")</f>
        <v>YTAMI</v>
      </c>
      <c r="P682" s="25" t="str">
        <f>IFERROR(VLOOKUP(B682,'03. THIẾT BỊ'!$B$1:$S$836,15,0),"")</f>
        <v>TRUNG QUỐC</v>
      </c>
      <c r="Q682" s="23">
        <f>IFERROR(VLOOKUP(B682,'03. THIẾT BỊ'!$B$1:$S$836,16,0),"")</f>
        <v>2023</v>
      </c>
      <c r="R682" s="1108" t="str">
        <f>IFERROR(VLOOKUP(B682,'03. THIẾT BỊ'!$B$1:$S$836,17,0),"")</f>
        <v>- Công suất: 20-50HP
- YTAMI_0870</v>
      </c>
      <c r="S682" s="25">
        <f>IFERROR(VLOOKUP(B682,'03. THIẾT BỊ'!$B$1:$S$836,18,0),"")</f>
        <v>631514</v>
      </c>
      <c r="T682" s="41"/>
    </row>
    <row r="683" customHeight="1" spans="1:20">
      <c r="A683" s="19">
        <f t="shared" si="32"/>
        <v>7</v>
      </c>
      <c r="B683" s="20" t="s">
        <v>5505</v>
      </c>
      <c r="C683" s="613">
        <f>IFERROR(VLOOKUP(B683,'03. THIẾT BỊ'!$B$1:$S$836,2,0),"")</f>
        <v>0</v>
      </c>
      <c r="D683" s="24" t="str">
        <f>IFERROR(VLOOKUP(B683,'03. THIẾT BỊ'!$B$1:$S$836,3,0),"")</f>
        <v>A22-MCO-004</v>
      </c>
      <c r="E683" s="20" t="str">
        <f>IFERROR(VLOOKUP(B683,'03. THIẾT BỊ'!$B$1:$S$836,4,0),"")</f>
        <v>ĐQSD</v>
      </c>
      <c r="F683" s="20" t="str">
        <f>IFERROR(VLOOKUP(B683,'03. THIẾT BỊ'!$B$1:$S$836,5,0),"")</f>
        <v>Máy cuộn cỏ (gắn sau máy kéo)</v>
      </c>
      <c r="G683" s="101" t="s">
        <v>6468</v>
      </c>
      <c r="H683" s="19" t="str">
        <f>IFERROR(VLOOKUP(B683,'03. THIẾT BỊ'!$B$1:$S$836,7,0),"")</f>
        <v>XN Bò AD</v>
      </c>
      <c r="I683" s="610" t="str">
        <f>IFERROR(VLOOKUP(B683,'03. THIẾT BỊ'!$B$1:$S$836,8,0),"")</f>
        <v>28/08/2024</v>
      </c>
      <c r="J683" s="25"/>
      <c r="K683" s="19" t="str">
        <f>IFERROR(VLOOKUP(B683,'03. THIẾT BỊ'!$B$1:$S$836,10,0),"")</f>
        <v>Bình thường</v>
      </c>
      <c r="L683" s="25">
        <f>IFERROR(VLOOKUP(B683,'03. THIẾT BỊ'!$B$1:$S$836,11,0),"")</f>
        <v>0</v>
      </c>
      <c r="M683" s="24" t="str">
        <f>IFERROR(VLOOKUP(B683,'03. THIẾT BỊ'!$B$1:$S$836,12,0),"")</f>
        <v>Đầu tư mới</v>
      </c>
      <c r="N683" s="25" t="str">
        <f>IFERROR(VLOOKUP(B683,'03. THIẾT BỊ'!$B$1:$S$836,13,0),"")</f>
        <v>TAMICO-S</v>
      </c>
      <c r="O683" s="24" t="str">
        <f>IFERROR(VLOOKUP(B683,'03. THIẾT BỊ'!$B$1:$S$836,14,0),"")</f>
        <v>YTAMI</v>
      </c>
      <c r="P683" s="25" t="str">
        <f>IFERROR(VLOOKUP(B683,'03. THIẾT BỊ'!$B$1:$S$836,15,0),"")</f>
        <v>TRUNG QUỐC</v>
      </c>
      <c r="Q683" s="23">
        <f>IFERROR(VLOOKUP(B683,'03. THIẾT BỊ'!$B$1:$S$836,16,0),"")</f>
        <v>2024</v>
      </c>
      <c r="R683" s="1108" t="str">
        <f>IFERROR(VLOOKUP(B683,'03. THIẾT BỊ'!$B$1:$S$836,17,0),"")</f>
        <v>- Công suất: 20-50HP
- YTAMI_0870</v>
      </c>
      <c r="S683" s="25">
        <f>IFERROR(VLOOKUP(B683,'03. THIẾT BỊ'!$B$1:$S$836,18,0),"")</f>
        <v>631512</v>
      </c>
      <c r="T683" s="624"/>
    </row>
    <row r="684" customHeight="1" spans="1:20">
      <c r="A684" s="19">
        <f t="shared" si="32"/>
        <v>8</v>
      </c>
      <c r="B684" s="20" t="s">
        <v>5508</v>
      </c>
      <c r="C684" s="613" t="str">
        <f>IFERROR(VLOOKUP(B684,'03. THIẾT BỊ'!$B$1:$S$836,2,0),"")</f>
        <v>XXA-MCO-003</v>
      </c>
      <c r="D684" s="24" t="str">
        <f>IFERROR(VLOOKUP(B684,'03. THIẾT BỊ'!$B$1:$S$836,3,0),"")</f>
        <v>A22-CT-0194</v>
      </c>
      <c r="E684" s="20" t="str">
        <f>IFERROR(VLOOKUP(B684,'03. THIẾT BỊ'!$B$1:$S$836,4,0),"")</f>
        <v>ĐQSD</v>
      </c>
      <c r="F684" s="20" t="str">
        <f>IFERROR(VLOOKUP(B684,'03. THIẾT BỊ'!$B$1:$S$836,5,0),"")</f>
        <v>Máy cuộn cỏ (gắn sau máy kéo)</v>
      </c>
      <c r="G684" s="101" t="s">
        <v>6468</v>
      </c>
      <c r="H684" s="19" t="str">
        <f>IFERROR(VLOOKUP(B684,'03. THIẾT BỊ'!$B$1:$S$836,7,0),"")</f>
        <v>XN Bò AD</v>
      </c>
      <c r="I684" s="610" t="str">
        <f>IFERROR(VLOOKUP(B684,'03. THIẾT BỊ'!$B$1:$S$836,8,0),"")</f>
        <v>21/12/2024</v>
      </c>
      <c r="J684" s="25"/>
      <c r="K684" s="19" t="str">
        <f>IFERROR(VLOOKUP(B684,'03. THIẾT BỊ'!$B$1:$S$836,10,0),"")</f>
        <v>Hư hỏng</v>
      </c>
      <c r="L684" s="25" t="str">
        <f>IFERROR(VLOOKUP(B684,'03. THIẾT BỊ'!$B$1:$S$836,11,0),"")</f>
        <v>XN Xoài AD đ.chuyen 21/12/2024</v>
      </c>
      <c r="M684" s="24" t="str">
        <f>IFERROR(VLOOKUP(B684,'03. THIẾT BỊ'!$B$1:$S$836,12,0),"")</f>
        <v>Đã qua SD</v>
      </c>
      <c r="N684" s="25" t="str">
        <f>IFERROR(VLOOKUP(B684,'03. THIẾT BỊ'!$B$1:$S$836,13,0),"")</f>
        <v>TAMICO-S</v>
      </c>
      <c r="O684" s="24" t="str">
        <f>IFERROR(VLOOKUP(B684,'03. THIẾT BỊ'!$B$1:$S$836,14,0),"")</f>
        <v>YTAMI</v>
      </c>
      <c r="P684" s="25" t="str">
        <f>IFERROR(VLOOKUP(B684,'03. THIẾT BỊ'!$B$1:$S$836,15,0),"")</f>
        <v>VIỆT NAM</v>
      </c>
      <c r="Q684" s="23">
        <f>IFERROR(VLOOKUP(B684,'03. THIẾT BỊ'!$B$1:$S$836,16,0),"")</f>
        <v>2024</v>
      </c>
      <c r="R684" s="25" t="str">
        <f>IFERROR(VLOOKUP(B684,'03. THIẾT BỊ'!$B$1:$S$836,17,0),"")</f>
        <v>20-50HP</v>
      </c>
      <c r="S684" s="25">
        <f>IFERROR(VLOOKUP(B684,'03. THIẾT BỊ'!$B$1:$S$836,18,0),"")</f>
        <v>631511</v>
      </c>
      <c r="T684" s="615"/>
    </row>
    <row r="685" ht="13.8" spans="1:20">
      <c r="C685" s="613" t="str">
        <f>IFERROR(VLOOKUP(B685,'03. THIẾT BỊ'!$B$1:$S$836,2,0),"")</f>
        <v/>
      </c>
      <c r="D685" s="24" t="str">
        <f>IFERROR(VLOOKUP(B685,'03. THIẾT BỊ'!$B$1:$S$836,3,0),"")</f>
        <v/>
      </c>
      <c r="E685" s="20" t="str">
        <f>IFERROR(VLOOKUP(B685,'03. THIẾT BỊ'!$B$1:$S$836,4,0),"")</f>
        <v/>
      </c>
      <c r="F685" s="20" t="str">
        <f>IFERROR(VLOOKUP(B685,'03. THIẾT BỊ'!$B$1:$S$836,5,0),"")</f>
        <v/>
      </c>
      <c r="G685" s="101" t="s">
        <v>6468</v>
      </c>
      <c r="H685" s="19" t="str">
        <f>IFERROR(VLOOKUP(B685,'03. THIẾT BỊ'!$B$1:$S$836,7,0),"")</f>
        <v/>
      </c>
      <c r="I685" s="610" t="str">
        <f>IFERROR(VLOOKUP(B685,'03. THIẾT BỊ'!$B$1:$S$836,8,0),"")</f>
        <v/>
      </c>
      <c r="J685" s="25"/>
      <c r="K685" s="19" t="str">
        <f>IFERROR(VLOOKUP(B685,'03. THIẾT BỊ'!$B$1:$S$836,10,0),"")</f>
        <v/>
      </c>
      <c r="L685" s="25" t="str">
        <f>IFERROR(VLOOKUP(B685,'03. THIẾT BỊ'!$B$1:$S$836,11,0),"")</f>
        <v/>
      </c>
      <c r="M685" s="24" t="str">
        <f>IFERROR(VLOOKUP(B685,'03. THIẾT BỊ'!$B$1:$S$836,12,0),"")</f>
        <v/>
      </c>
      <c r="N685" s="25" t="str">
        <f>IFERROR(VLOOKUP(B685,'03. THIẾT BỊ'!$B$1:$S$836,13,0),"")</f>
        <v/>
      </c>
      <c r="O685" s="24" t="str">
        <f>IFERROR(VLOOKUP(B685,'03. THIẾT BỊ'!$B$1:$S$836,14,0),"")</f>
        <v/>
      </c>
      <c r="P685" s="25" t="str">
        <f>IFERROR(VLOOKUP(B685,'03. THIẾT BỊ'!$B$1:$S$836,15,0),"")</f>
        <v/>
      </c>
      <c r="Q685" s="23" t="str">
        <f>IFERROR(VLOOKUP(B685,'03. THIẾT BỊ'!$B$1:$S$836,16,0),"")</f>
        <v/>
      </c>
      <c r="R685" s="25" t="str">
        <f>IFERROR(VLOOKUP(B685,'03. THIẾT BỊ'!$B$1:$S$836,17,0),"")</f>
        <v/>
      </c>
      <c r="S685" s="25" t="str">
        <f>IFERROR(VLOOKUP(B685,'03. THIẾT BỊ'!$B$1:$S$836,18,0),"")</f>
        <v/>
      </c>
    </row>
    <row r="686" ht="13.8" hidden="1" spans="1:20">
      <c r="C686" s="613" t="str">
        <f>IFERROR(VLOOKUP(B686,'03. THIẾT BỊ'!$B$1:$S$836,2,0),"")</f>
        <v/>
      </c>
      <c r="D686" s="24" t="str">
        <f>IFERROR(VLOOKUP(B686,'03. THIẾT BỊ'!$B$1:$S$836,3,0),"")</f>
        <v/>
      </c>
      <c r="E686" s="20" t="str">
        <f>IFERROR(VLOOKUP(B686,'03. THIẾT BỊ'!$B$1:$S$836,4,0),"")</f>
        <v/>
      </c>
      <c r="F686" s="20" t="str">
        <f>IFERROR(VLOOKUP(B686,'03. THIẾT BỊ'!$B$1:$S$836,5,0),"")</f>
        <v/>
      </c>
      <c r="G686" s="101" t="s">
        <v>6468</v>
      </c>
      <c r="H686" s="19" t="str">
        <f>IFERROR(VLOOKUP(B686,'03. THIẾT BỊ'!$B$1:$S$836,7,0),"")</f>
        <v/>
      </c>
      <c r="I686" s="610" t="str">
        <f>IFERROR(VLOOKUP(B686,'03. THIẾT BỊ'!$B$1:$S$836,8,0),"")</f>
        <v/>
      </c>
      <c r="J686" s="25"/>
      <c r="K686" s="19" t="str">
        <f>IFERROR(VLOOKUP(B686,'03. THIẾT BỊ'!$B$1:$S$836,10,0),"")</f>
        <v/>
      </c>
      <c r="L686" s="25" t="str">
        <f>IFERROR(VLOOKUP(B686,'03. THIẾT BỊ'!$B$1:$S$836,11,0),"")</f>
        <v/>
      </c>
      <c r="M686" s="24" t="str">
        <f>IFERROR(VLOOKUP(B686,'03. THIẾT BỊ'!$B$1:$S$836,12,0),"")</f>
        <v/>
      </c>
      <c r="N686" s="25" t="str">
        <f>IFERROR(VLOOKUP(B686,'03. THIẾT BỊ'!$B$1:$S$836,13,0),"")</f>
        <v/>
      </c>
      <c r="O686" s="24" t="str">
        <f>IFERROR(VLOOKUP(B686,'03. THIẾT BỊ'!$B$1:$S$836,14,0),"")</f>
        <v/>
      </c>
      <c r="P686" s="25" t="str">
        <f>IFERROR(VLOOKUP(B686,'03. THIẾT BỊ'!$B$1:$S$836,15,0),"")</f>
        <v/>
      </c>
      <c r="Q686" s="23" t="str">
        <f>IFERROR(VLOOKUP(B686,'03. THIẾT BỊ'!$B$1:$S$836,16,0),"")</f>
        <v/>
      </c>
      <c r="R686" s="25" t="str">
        <f>IFERROR(VLOOKUP(B686,'03. THIẾT BỊ'!$B$1:$S$836,17,0),"")</f>
        <v/>
      </c>
      <c r="S686" s="25" t="str">
        <f>IFERROR(VLOOKUP(B686,'03. THIẾT BỊ'!$B$1:$S$836,18,0),"")</f>
        <v/>
      </c>
    </row>
    <row r="687" ht="13.8" hidden="1" spans="1:20">
      <c r="C687" s="613" t="str">
        <f>IFERROR(VLOOKUP(B687,'03. THIẾT BỊ'!$B$1:$S$836,2,0),"")</f>
        <v/>
      </c>
      <c r="D687" s="24" t="str">
        <f>IFERROR(VLOOKUP(B687,'03. THIẾT BỊ'!$B$1:$S$836,3,0),"")</f>
        <v/>
      </c>
      <c r="E687" s="20" t="str">
        <f>IFERROR(VLOOKUP(B687,'03. THIẾT BỊ'!$B$1:$S$836,4,0),"")</f>
        <v/>
      </c>
      <c r="F687" s="20" t="str">
        <f>IFERROR(VLOOKUP(B687,'03. THIẾT BỊ'!$B$1:$S$836,5,0),"")</f>
        <v/>
      </c>
      <c r="G687" s="101" t="s">
        <v>6468</v>
      </c>
      <c r="H687" s="19" t="str">
        <f>IFERROR(VLOOKUP(B687,'03. THIẾT BỊ'!$B$1:$S$836,7,0),"")</f>
        <v/>
      </c>
      <c r="I687" s="610" t="str">
        <f>IFERROR(VLOOKUP(B687,'03. THIẾT BỊ'!$B$1:$S$836,8,0),"")</f>
        <v/>
      </c>
      <c r="J687" s="25"/>
      <c r="K687" s="19" t="str">
        <f>IFERROR(VLOOKUP(B687,'03. THIẾT BỊ'!$B$1:$S$836,10,0),"")</f>
        <v/>
      </c>
      <c r="L687" s="25" t="str">
        <f>IFERROR(VLOOKUP(B687,'03. THIẾT BỊ'!$B$1:$S$836,11,0),"")</f>
        <v/>
      </c>
      <c r="M687" s="24" t="str">
        <f>IFERROR(VLOOKUP(B687,'03. THIẾT BỊ'!$B$1:$S$836,12,0),"")</f>
        <v/>
      </c>
      <c r="N687" s="25" t="str">
        <f>IFERROR(VLOOKUP(B687,'03. THIẾT BỊ'!$B$1:$S$836,13,0),"")</f>
        <v/>
      </c>
      <c r="O687" s="24" t="str">
        <f>IFERROR(VLOOKUP(B687,'03. THIẾT BỊ'!$B$1:$S$836,14,0),"")</f>
        <v/>
      </c>
      <c r="P687" s="25" t="str">
        <f>IFERROR(VLOOKUP(B687,'03. THIẾT BỊ'!$B$1:$S$836,15,0),"")</f>
        <v/>
      </c>
      <c r="Q687" s="23" t="str">
        <f>IFERROR(VLOOKUP(B687,'03. THIẾT BỊ'!$B$1:$S$836,16,0),"")</f>
        <v/>
      </c>
      <c r="R687" s="25" t="str">
        <f>IFERROR(VLOOKUP(B687,'03. THIẾT BỊ'!$B$1:$S$836,17,0),"")</f>
        <v/>
      </c>
      <c r="S687" s="25" t="str">
        <f>IFERROR(VLOOKUP(B687,'03. THIẾT BỊ'!$B$1:$S$836,18,0),"")</f>
        <v/>
      </c>
    </row>
    <row r="688" ht="13.8" hidden="1" spans="1:20">
      <c r="C688" s="613" t="str">
        <f>IFERROR(VLOOKUP(B688,'03. THIẾT BỊ'!$B$1:$S$836,2,0),"")</f>
        <v/>
      </c>
      <c r="D688" s="24" t="str">
        <f>IFERROR(VLOOKUP(B688,'03. THIẾT BỊ'!$B$1:$S$836,3,0),"")</f>
        <v/>
      </c>
      <c r="E688" s="20" t="str">
        <f>IFERROR(VLOOKUP(B688,'03. THIẾT BỊ'!$B$1:$S$836,4,0),"")</f>
        <v/>
      </c>
      <c r="F688" s="20" t="str">
        <f>IFERROR(VLOOKUP(B688,'03. THIẾT BỊ'!$B$1:$S$836,5,0),"")</f>
        <v/>
      </c>
      <c r="G688" s="101" t="s">
        <v>6468</v>
      </c>
      <c r="H688" s="19" t="str">
        <f>IFERROR(VLOOKUP(B688,'03. THIẾT BỊ'!$B$1:$S$836,7,0),"")</f>
        <v/>
      </c>
      <c r="I688" s="610" t="str">
        <f>IFERROR(VLOOKUP(B688,'03. THIẾT BỊ'!$B$1:$S$836,8,0),"")</f>
        <v/>
      </c>
      <c r="J688" s="25"/>
      <c r="K688" s="19" t="str">
        <f>IFERROR(VLOOKUP(B688,'03. THIẾT BỊ'!$B$1:$S$836,10,0),"")</f>
        <v/>
      </c>
      <c r="L688" s="25" t="str">
        <f>IFERROR(VLOOKUP(B688,'03. THIẾT BỊ'!$B$1:$S$836,11,0),"")</f>
        <v/>
      </c>
      <c r="M688" s="24" t="str">
        <f>IFERROR(VLOOKUP(B688,'03. THIẾT BỊ'!$B$1:$S$836,12,0),"")</f>
        <v/>
      </c>
      <c r="N688" s="25" t="str">
        <f>IFERROR(VLOOKUP(B688,'03. THIẾT BỊ'!$B$1:$S$836,13,0),"")</f>
        <v/>
      </c>
      <c r="O688" s="24" t="str">
        <f>IFERROR(VLOOKUP(B688,'03. THIẾT BỊ'!$B$1:$S$836,14,0),"")</f>
        <v/>
      </c>
      <c r="P688" s="25" t="str">
        <f>IFERROR(VLOOKUP(B688,'03. THIẾT BỊ'!$B$1:$S$836,15,0),"")</f>
        <v/>
      </c>
      <c r="Q688" s="23" t="str">
        <f>IFERROR(VLOOKUP(B688,'03. THIẾT BỊ'!$B$1:$S$836,16,0),"")</f>
        <v/>
      </c>
      <c r="R688" s="25" t="str">
        <f>IFERROR(VLOOKUP(B688,'03. THIẾT BỊ'!$B$1:$S$836,17,0),"")</f>
        <v/>
      </c>
      <c r="S688" s="25" t="str">
        <f>IFERROR(VLOOKUP(B688,'03. THIẾT BỊ'!$B$1:$S$836,18,0),"")</f>
        <v/>
      </c>
    </row>
    <row r="689" customHeight="1" spans="1:20">
      <c r="A689" s="14" t="s">
        <v>290</v>
      </c>
      <c r="B689" s="15" t="s">
        <v>5568</v>
      </c>
      <c r="C689" s="14">
        <f>COUNTA(B690:B717)</f>
        <v>26</v>
      </c>
      <c r="D689" s="17" t="str">
        <f>IFERROR(VLOOKUP(B689,'03. THIẾT BỊ'!$B$1:$S$836,3,0),"")</f>
        <v/>
      </c>
      <c r="E689" s="20" t="str">
        <f>IFERROR(VLOOKUP(B689,'03. THIẾT BỊ'!$B$1:$S$836,4,0),"")</f>
        <v/>
      </c>
      <c r="F689" s="17" t="str">
        <f>IFERROR(VLOOKUP(B689,'03. THIẾT BỊ'!$B$1:$S$836,5,0),"")</f>
        <v/>
      </c>
      <c r="G689" s="18" t="s">
        <v>6468</v>
      </c>
      <c r="H689" s="18" t="str">
        <f>IFERROR(VLOOKUP(B689,'03. THIẾT BỊ'!$B$1:$S$836,7,0),"")</f>
        <v/>
      </c>
      <c r="I689" s="14" t="str">
        <f>IFERROR(VLOOKUP(B689,'03. THIẾT BỊ'!$B$1:$S$836,8,0),"")</f>
        <v/>
      </c>
      <c r="J689" s="15"/>
      <c r="K689" s="14" t="str">
        <f>IFERROR(VLOOKUP(B689,'03. THIẾT BỊ'!$B$1:$S$836,10,0),"")</f>
        <v/>
      </c>
      <c r="L689" s="17" t="str">
        <f>IFERROR(VLOOKUP(B689,'03. THIẾT BỊ'!$B$1:$S$836,11,0),"")</f>
        <v/>
      </c>
      <c r="M689" s="16" t="str">
        <f>IFERROR(VLOOKUP(B689,'03. THIẾT BỊ'!$B$1:$S$836,12,0),"")</f>
        <v/>
      </c>
      <c r="N689" s="17" t="str">
        <f>IFERROR(VLOOKUP(B689,'03. THIẾT BỊ'!$B$1:$S$836,13,0),"")</f>
        <v/>
      </c>
      <c r="O689" s="16" t="str">
        <f>IFERROR(VLOOKUP(B689,'03. THIẾT BỊ'!$B$1:$S$836,14,0),"")</f>
        <v/>
      </c>
      <c r="P689" s="17" t="str">
        <f>IFERROR(VLOOKUP(B689,'03. THIẾT BỊ'!$B$1:$S$836,15,0),"")</f>
        <v/>
      </c>
      <c r="Q689" s="18" t="str">
        <f>IFERROR(VLOOKUP(B689,'03. THIẾT BỊ'!$B$1:$S$836,16,0),"")</f>
        <v/>
      </c>
      <c r="R689" s="17" t="str">
        <f>IFERROR(VLOOKUP(B689,'03. THIẾT BỊ'!$B$1:$S$836,17,0),"")</f>
        <v/>
      </c>
      <c r="S689" s="17" t="str">
        <f>IFERROR(VLOOKUP(B689,'03. THIẾT BỊ'!$B$1:$S$836,18,0),"")</f>
        <v/>
      </c>
      <c r="T689" s="609"/>
    </row>
    <row r="690" customHeight="1" spans="1:20">
      <c r="A690" s="19">
        <v>1</v>
      </c>
      <c r="B690" s="20" t="s">
        <v>4368</v>
      </c>
      <c r="C690" s="613" t="str">
        <f>IFERROR(VLOOKUP(B690,'03. THIẾT BỊ'!$B$1:$S$836,2,0),"")</f>
        <v>XD2-MBC-001</v>
      </c>
      <c r="D690" s="24">
        <f>IFERROR(VLOOKUP(B690,'03. THIẾT BỊ'!$B$1:$S$836,3,0),"")</f>
        <v>0</v>
      </c>
      <c r="E690" s="20" t="str">
        <f>IFERROR(VLOOKUP(B690,'03. THIẾT BỊ'!$B$1:$S$836,4,0),"")</f>
        <v>ĐQSD</v>
      </c>
      <c r="F690" s="20" t="str">
        <f>IFERROR(VLOOKUP(B690,'03. THIẾT BỊ'!$B$1:$S$836,5,0),"")</f>
        <v>Máy băm công nghiệp cố định 15Kw</v>
      </c>
      <c r="G690" s="101" t="s">
        <v>6468</v>
      </c>
      <c r="H690" s="19" t="str">
        <f>IFERROR(VLOOKUP(B690,'03. THIẾT BỊ'!$B$1:$S$836,7,0),"")</f>
        <v>XN Chuối DP1</v>
      </c>
      <c r="I690" s="610" t="str">
        <f>IFERROR(VLOOKUP(B690,'03. THIẾT BỊ'!$B$1:$S$836,8,0),"")</f>
        <v>24/08/2024</v>
      </c>
      <c r="J690" s="25"/>
      <c r="K690" s="19" t="str">
        <f>IFERROR(VLOOKUP(B690,'03. THIẾT BỊ'!$B$1:$S$836,10,0),"")</f>
        <v>Bình thường</v>
      </c>
      <c r="L690" s="25" t="str">
        <f>IFERROR(VLOOKUP(B690,'03. THIẾT BỊ'!$B$1:$S$836,11,0),"")</f>
        <v>-Đ.chuyển từ DP2 kèm KDP-MFD-021</v>
      </c>
      <c r="M690" s="24" t="str">
        <f>IFERROR(VLOOKUP(B690,'03. THIẾT BỊ'!$B$1:$S$836,12,0),"")</f>
        <v>Gia công mới</v>
      </c>
      <c r="N690" s="25" t="str">
        <f>IFERROR(VLOOKUP(B690,'03. THIẾT BỊ'!$B$1:$S$836,13,0),"")</f>
        <v>THACO AGRI</v>
      </c>
      <c r="O690" s="24" t="str">
        <f>IFERROR(VLOOKUP(B690,'03. THIẾT BỊ'!$B$1:$S$836,14,0),"")</f>
        <v>15Kw</v>
      </c>
      <c r="P690" s="25" t="str">
        <f>IFERROR(VLOOKUP(B690,'03. THIẾT BỊ'!$B$1:$S$836,15,0),"")</f>
        <v>CK-CGH</v>
      </c>
      <c r="Q690" s="23">
        <f>IFERROR(VLOOKUP(B690,'03. THIẾT BỊ'!$B$1:$S$836,16,0),"")</f>
        <v>0</v>
      </c>
      <c r="R690" s="25">
        <f>IFERROR(VLOOKUP(B690,'03. THIẾT BỊ'!$B$1:$S$836,17,0),"")</f>
        <v>0</v>
      </c>
      <c r="S690" s="25">
        <f>IFERROR(VLOOKUP(B690,'03. THIẾT BỊ'!$B$1:$S$836,18,0),"")</f>
        <v>0</v>
      </c>
      <c r="T690" s="41"/>
    </row>
    <row r="691" customHeight="1" spans="1:20">
      <c r="A691" s="19">
        <f t="shared" ref="A691:A715" si="33">A690+1</f>
        <v>2</v>
      </c>
      <c r="B691" s="20" t="s">
        <v>4374</v>
      </c>
      <c r="C691" s="613" t="str">
        <f>IFERROR(VLOOKUP(B691,'03. THIẾT BỊ'!$B$1:$S$836,2,0),"")</f>
        <v>CK-MB-24</v>
      </c>
      <c r="D691" s="24" t="str">
        <f>IFERROR(VLOOKUP(B691,'03. THIẾT BỊ'!$B$1:$S$836,3,0),"")</f>
        <v>A23-MBC-003</v>
      </c>
      <c r="E691" s="20" t="str">
        <f>IFERROR(VLOOKUP(B691,'03. THIẾT BỊ'!$B$1:$S$836,4,0),"")</f>
        <v>ĐQSD</v>
      </c>
      <c r="F691" s="20" t="str">
        <f>IFERROR(VLOOKUP(B691,'03. THIẾT BỊ'!$B$1:$S$836,5,0),"")</f>
        <v>Máy băm cố định</v>
      </c>
      <c r="G691" s="101" t="s">
        <v>6468</v>
      </c>
      <c r="H691" s="19" t="str">
        <f>IFERROR(VLOOKUP(B691,'03. THIẾT BỊ'!$B$1:$S$836,7,0),"")</f>
        <v>XN Chuối DP1</v>
      </c>
      <c r="I691" s="610" t="str">
        <f>IFERROR(VLOOKUP(B691,'03. THIẾT BỊ'!$B$1:$S$836,8,0),"")</f>
        <v>25/12/2024</v>
      </c>
      <c r="J691" s="25"/>
      <c r="K691" s="19" t="str">
        <f>IFERROR(VLOOKUP(B691,'03. THIẾT BỊ'!$B$1:$S$836,10,0),"")</f>
        <v>Bình thường</v>
      </c>
      <c r="L691" s="25">
        <f>IFERROR(VLOOKUP(B691,'03. THIẾT BỊ'!$B$1:$S$836,11,0),"")</f>
        <v>0</v>
      </c>
      <c r="M691" s="24">
        <f>IFERROR(VLOOKUP(B691,'03. THIẾT BỊ'!$B$1:$S$836,12,0),"")</f>
        <v>0</v>
      </c>
      <c r="N691" s="25" t="str">
        <f>IFERROR(VLOOKUP(B691,'03. THIẾT BỊ'!$B$1:$S$836,13,0),"")</f>
        <v>THACO AGRI</v>
      </c>
      <c r="O691" s="24">
        <f>IFERROR(VLOOKUP(B691,'03. THIẾT BỊ'!$B$1:$S$836,14,0),"")</f>
        <v>0</v>
      </c>
      <c r="P691" s="25" t="str">
        <f>IFERROR(VLOOKUP(B691,'03. THIẾT BỊ'!$B$1:$S$836,15,0),"")</f>
        <v>CK-CGH</v>
      </c>
      <c r="Q691" s="23">
        <f>IFERROR(VLOOKUP(B691,'03. THIẾT BỊ'!$B$1:$S$836,16,0),"")</f>
        <v>0</v>
      </c>
      <c r="R691" s="25">
        <f>IFERROR(VLOOKUP(B691,'03. THIẾT BỊ'!$B$1:$S$836,17,0),"")</f>
        <v>0</v>
      </c>
      <c r="S691" s="25">
        <f>IFERROR(VLOOKUP(B691,'03. THIẾT BỊ'!$B$1:$S$836,18,0),"")</f>
        <v>0</v>
      </c>
      <c r="T691" s="41"/>
    </row>
    <row r="692" customHeight="1" spans="1:20">
      <c r="A692" s="19">
        <f t="shared" si="33"/>
        <v>3</v>
      </c>
      <c r="B692" s="20" t="s">
        <v>4461</v>
      </c>
      <c r="C692" s="613" t="str">
        <f>IFERROR(VLOOKUP(B692,'03. THIẾT BỊ'!$B$1:$S$836,2,0),"")</f>
        <v>CK-MB-22</v>
      </c>
      <c r="D692" s="24" t="str">
        <f>IFERROR(VLOOKUP(B692,'03. THIẾT BỊ'!$B$1:$S$836,3,0),"")</f>
        <v>A23-MBC-005</v>
      </c>
      <c r="E692" s="20" t="str">
        <f>IFERROR(VLOOKUP(B692,'03. THIẾT BỊ'!$B$1:$S$836,4,0),"")</f>
        <v>ĐQSD</v>
      </c>
      <c r="F692" s="20" t="str">
        <f>IFERROR(VLOOKUP(B692,'03. THIẾT BỊ'!$B$1:$S$836,5,0),"")</f>
        <v>Máy băm cố định</v>
      </c>
      <c r="G692" s="101" t="s">
        <v>6468</v>
      </c>
      <c r="H692" s="19" t="str">
        <f>IFERROR(VLOOKUP(B692,'03. THIẾT BỊ'!$B$1:$S$836,7,0),"")</f>
        <v>XN Chuối DP2</v>
      </c>
      <c r="I692" s="610">
        <f>IFERROR(VLOOKUP(B692,'03. THIẾT BỊ'!$B$1:$S$836,8,0),"")</f>
        <v>45547</v>
      </c>
      <c r="J692" s="25"/>
      <c r="K692" s="19" t="str">
        <f>IFERROR(VLOOKUP(B692,'03. THIẾT BỊ'!$B$1:$S$836,10,0),"")</f>
        <v>Bình thường</v>
      </c>
      <c r="L692" s="25">
        <f>IFERROR(VLOOKUP(B692,'03. THIẾT BỊ'!$B$1:$S$836,11,0),"")</f>
        <v>0</v>
      </c>
      <c r="M692" s="24">
        <f>IFERROR(VLOOKUP(B692,'03. THIẾT BỊ'!$B$1:$S$836,12,0),"")</f>
        <v>0</v>
      </c>
      <c r="N692" s="25" t="str">
        <f>IFERROR(VLOOKUP(B692,'03. THIẾT BỊ'!$B$1:$S$836,13,0),"")</f>
        <v>THACO AGRI</v>
      </c>
      <c r="O692" s="24" t="str">
        <f>IFERROR(VLOOKUP(B692,'03. THIẾT BỊ'!$B$1:$S$836,14,0),"")</f>
        <v>CK-MB-22</v>
      </c>
      <c r="P692" s="25" t="str">
        <f>IFERROR(VLOOKUP(B692,'03. THIẾT BỊ'!$B$1:$S$836,15,0),"")</f>
        <v>CK-CGH</v>
      </c>
      <c r="Q692" s="23">
        <f>IFERROR(VLOOKUP(B692,'03. THIẾT BỊ'!$B$1:$S$836,16,0),"")</f>
        <v>2024</v>
      </c>
      <c r="R692" s="25" t="str">
        <f>IFERROR(VLOOKUP(B692,'03. THIẾT BỊ'!$B$1:$S$836,17,0),"")</f>
        <v>Đ.CƠ điện 380v</v>
      </c>
      <c r="S692" s="25">
        <f>IFERROR(VLOOKUP(B692,'03. THIẾT BỊ'!$B$1:$S$836,18,0),"")</f>
        <v>0</v>
      </c>
      <c r="T692" s="41"/>
    </row>
    <row r="693" customHeight="1" spans="1:20">
      <c r="A693" s="19">
        <f t="shared" si="33"/>
        <v>4</v>
      </c>
      <c r="B693" s="20" t="s">
        <v>4465</v>
      </c>
      <c r="C693" s="613">
        <f>IFERROR(VLOOKUP(B693,'03. THIẾT BỊ'!$B$1:$S$836,2,0),"")</f>
        <v>0</v>
      </c>
      <c r="D693" s="24" t="str">
        <f>IFERROR(VLOOKUP(B693,'03. THIẾT BỊ'!$B$1:$S$836,3,0),"")</f>
        <v>A23-MBC-006</v>
      </c>
      <c r="E693" s="20" t="str">
        <f>IFERROR(VLOOKUP(B693,'03. THIẾT BỊ'!$B$1:$S$836,4,0),"")</f>
        <v>ĐQSD</v>
      </c>
      <c r="F693" s="20" t="str">
        <f>IFERROR(VLOOKUP(B693,'03. THIẾT BỊ'!$B$1:$S$836,5,0),"")</f>
        <v>Máy băm cố định</v>
      </c>
      <c r="G693" s="101" t="s">
        <v>6468</v>
      </c>
      <c r="H693" s="19" t="str">
        <f>IFERROR(VLOOKUP(B693,'03. THIẾT BỊ'!$B$1:$S$836,7,0),"")</f>
        <v>XN Chuối DP2</v>
      </c>
      <c r="I693" s="610" t="str">
        <f>IFERROR(VLOOKUP(B693,'03. THIẾT BỊ'!$B$1:$S$836,8,0),"")</f>
        <v>29/09/2025</v>
      </c>
      <c r="J693" s="25"/>
      <c r="K693" s="19" t="str">
        <f>IFERROR(VLOOKUP(B693,'03. THIẾT BỊ'!$B$1:$S$836,10,0),"")</f>
        <v>Bình thường</v>
      </c>
      <c r="L693" s="25">
        <f>IFERROR(VLOOKUP(B693,'03. THIẾT BỊ'!$B$1:$S$836,11,0),"")</f>
        <v>0</v>
      </c>
      <c r="M693" s="24">
        <f>IFERROR(VLOOKUP(B693,'03. THIẾT BỊ'!$B$1:$S$836,12,0),"")</f>
        <v>0</v>
      </c>
      <c r="N693" s="25" t="str">
        <f>IFERROR(VLOOKUP(B693,'03. THIẾT BỊ'!$B$1:$S$836,13,0),"")</f>
        <v>THACO AGRI</v>
      </c>
      <c r="O693" s="24" t="str">
        <f>IFERROR(VLOOKUP(B693,'03. THIẾT BỊ'!$B$1:$S$836,14,0),"")</f>
        <v>CK-MB-22</v>
      </c>
      <c r="P693" s="25" t="str">
        <f>IFERROR(VLOOKUP(B693,'03. THIẾT BỊ'!$B$1:$S$836,15,0),"")</f>
        <v>CK-CGH</v>
      </c>
      <c r="Q693" s="23">
        <f>IFERROR(VLOOKUP(B693,'03. THIẾT BỊ'!$B$1:$S$836,16,0),"")</f>
        <v>2025</v>
      </c>
      <c r="R693" s="25" t="str">
        <f>IFERROR(VLOOKUP(B693,'03. THIẾT BỊ'!$B$1:$S$836,17,0),"")</f>
        <v>2,25x0,8x3,7m</v>
      </c>
      <c r="S693" s="25">
        <f>IFERROR(VLOOKUP(B693,'03. THIẾT BỊ'!$B$1:$S$836,18,0),"")</f>
        <v>0</v>
      </c>
      <c r="T693" s="41"/>
    </row>
    <row r="694" customHeight="1" spans="1:20">
      <c r="A694" s="19">
        <f t="shared" si="33"/>
        <v>5</v>
      </c>
      <c r="B694" s="20" t="s">
        <v>4468</v>
      </c>
      <c r="C694" s="613">
        <f>IFERROR(VLOOKUP(B694,'03. THIẾT BỊ'!$B$1:$S$836,2,0),"")</f>
        <v>0</v>
      </c>
      <c r="D694" s="24" t="str">
        <f>IFERROR(VLOOKUP(B694,'03. THIẾT BỊ'!$B$1:$S$836,3,0),"")</f>
        <v>A23-MBC-007</v>
      </c>
      <c r="E694" s="20" t="str">
        <f>IFERROR(VLOOKUP(B694,'03. THIẾT BỊ'!$B$1:$S$836,4,0),"")</f>
        <v>ĐQSD</v>
      </c>
      <c r="F694" s="20" t="str">
        <f>IFERROR(VLOOKUP(B694,'03. THIẾT BỊ'!$B$1:$S$836,5,0),"")</f>
        <v>Máy băm cố định</v>
      </c>
      <c r="G694" s="101" t="s">
        <v>6468</v>
      </c>
      <c r="H694" s="19" t="str">
        <f>IFERROR(VLOOKUP(B694,'03. THIẾT BỊ'!$B$1:$S$836,7,0),"")</f>
        <v>XN Chuối DP2</v>
      </c>
      <c r="I694" s="610" t="str">
        <f>IFERROR(VLOOKUP(B694,'03. THIẾT BỊ'!$B$1:$S$836,8,0),"")</f>
        <v>26/11/2025</v>
      </c>
      <c r="J694" s="25"/>
      <c r="K694" s="19" t="str">
        <f>IFERROR(VLOOKUP(B694,'03. THIẾT BỊ'!$B$1:$S$836,10,0),"")</f>
        <v>Bình thường</v>
      </c>
      <c r="L694" s="25">
        <f>IFERROR(VLOOKUP(B694,'03. THIẾT BỊ'!$B$1:$S$836,11,0),"")</f>
        <v>0</v>
      </c>
      <c r="M694" s="24">
        <f>IFERROR(VLOOKUP(B694,'03. THIẾT BỊ'!$B$1:$S$836,12,0),"")</f>
        <v>0</v>
      </c>
      <c r="N694" s="25" t="str">
        <f>IFERROR(VLOOKUP(B694,'03. THIẾT BỊ'!$B$1:$S$836,13,0),"")</f>
        <v>THACO AGRI</v>
      </c>
      <c r="O694" s="24">
        <f>IFERROR(VLOOKUP(B694,'03. THIẾT BỊ'!$B$1:$S$836,14,0),"")</f>
        <v>0</v>
      </c>
      <c r="P694" s="25">
        <f>IFERROR(VLOOKUP(B694,'03. THIẾT BỊ'!$B$1:$S$836,15,0),"")</f>
        <v>0</v>
      </c>
      <c r="Q694" s="23">
        <f>IFERROR(VLOOKUP(B694,'03. THIẾT BỊ'!$B$1:$S$836,16,0),"")</f>
        <v>0</v>
      </c>
      <c r="R694" s="25">
        <f>IFERROR(VLOOKUP(B694,'03. THIẾT BỊ'!$B$1:$S$836,17,0),"")</f>
        <v>0</v>
      </c>
      <c r="S694" s="25">
        <f>IFERROR(VLOOKUP(B694,'03. THIẾT BỊ'!$B$1:$S$836,18,0),"")</f>
        <v>0</v>
      </c>
      <c r="T694" s="41"/>
    </row>
    <row r="695" customHeight="1" spans="1:20">
      <c r="A695" s="19">
        <f t="shared" si="33"/>
        <v>6</v>
      </c>
      <c r="B695" s="20" t="s">
        <v>4620</v>
      </c>
      <c r="C695" s="613" t="str">
        <f>IFERROR(VLOOKUP(B695,'03. THIẾT BỊ'!$B$1:$S$836,2,0),"")</f>
        <v>CK-MB-23</v>
      </c>
      <c r="D695" s="24" t="str">
        <f>IFERROR(VLOOKUP(B695,'03. THIẾT BỊ'!$B$1:$S$836,3,0),"")</f>
        <v>A23-MBC-001</v>
      </c>
      <c r="E695" s="20" t="str">
        <f>IFERROR(VLOOKUP(B695,'03. THIẾT BỊ'!$B$1:$S$836,4,0),"")</f>
        <v>ĐQSD</v>
      </c>
      <c r="F695" s="20" t="str">
        <f>IFERROR(VLOOKUP(B695,'03. THIẾT BỊ'!$B$1:$S$836,5,0),"")</f>
        <v>Máy băm cố định</v>
      </c>
      <c r="G695" s="101" t="s">
        <v>6468</v>
      </c>
      <c r="H695" s="19" t="str">
        <f>IFERROR(VLOOKUP(B695,'03. THIẾT BỊ'!$B$1:$S$836,7,0),"")</f>
        <v>XN Chuối DP3</v>
      </c>
      <c r="I695" s="610">
        <f>IFERROR(VLOOKUP(B695,'03. THIẾT BỊ'!$B$1:$S$836,8,0),"")</f>
        <v>45638</v>
      </c>
      <c r="J695" s="25"/>
      <c r="K695" s="19" t="str">
        <f>IFERROR(VLOOKUP(B695,'03. THIẾT BỊ'!$B$1:$S$836,10,0),"")</f>
        <v>Bình thường</v>
      </c>
      <c r="L695" s="25">
        <f>IFERROR(VLOOKUP(B695,'03. THIẾT BỊ'!$B$1:$S$836,11,0),"")</f>
        <v>0</v>
      </c>
      <c r="M695" s="24">
        <f>IFERROR(VLOOKUP(B695,'03. THIẾT BỊ'!$B$1:$S$836,12,0),"")</f>
        <v>0</v>
      </c>
      <c r="N695" s="25" t="str">
        <f>IFERROR(VLOOKUP(B695,'03. THIẾT BỊ'!$B$1:$S$836,13,0),"")</f>
        <v>THACO AGRI</v>
      </c>
      <c r="O695" s="24" t="str">
        <f>IFERROR(VLOOKUP(B695,'03. THIẾT BỊ'!$B$1:$S$836,14,0),"")</f>
        <v>CK-MB-23</v>
      </c>
      <c r="P695" s="25" t="str">
        <f>IFERROR(VLOOKUP(B695,'03. THIẾT BỊ'!$B$1:$S$836,15,0),"")</f>
        <v>CK-CGH</v>
      </c>
      <c r="Q695" s="23">
        <f>IFERROR(VLOOKUP(B695,'03. THIẾT BỊ'!$B$1:$S$836,16,0),"")</f>
        <v>2024</v>
      </c>
      <c r="R695" s="25" t="str">
        <f>IFERROR(VLOOKUP(B695,'03. THIẾT BỊ'!$B$1:$S$836,17,0),"")</f>
        <v>đcơ điện 380v</v>
      </c>
      <c r="S695" s="25">
        <f>IFERROR(VLOOKUP(B695,'03. THIẾT BỊ'!$B$1:$S$836,18,0),"")</f>
        <v>0</v>
      </c>
      <c r="T695" s="615"/>
    </row>
    <row r="696" customHeight="1" spans="1:20">
      <c r="A696" s="19">
        <f t="shared" si="33"/>
        <v>7</v>
      </c>
      <c r="B696" s="20" t="s">
        <v>4624</v>
      </c>
      <c r="C696" s="613" t="str">
        <f>IFERROR(VLOOKUP(B696,'03. THIẾT BỊ'!$B$1:$S$836,2,0),"")</f>
        <v>XB1-MBC -017</v>
      </c>
      <c r="D696" s="24" t="str">
        <f>IFERROR(VLOOKUP(B696,'03. THIẾT BỊ'!$B$1:$S$836,3,0),"")</f>
        <v>A23-MBC-002</v>
      </c>
      <c r="E696" s="20" t="str">
        <f>IFERROR(VLOOKUP(B696,'03. THIẾT BỊ'!$B$1:$S$836,4,0),"")</f>
        <v>ĐQSD</v>
      </c>
      <c r="F696" s="20" t="str">
        <f>IFERROR(VLOOKUP(B696,'03. THIẾT BỊ'!$B$1:$S$836,5,0),"")</f>
        <v>Máy băm cố định</v>
      </c>
      <c r="G696" s="101" t="s">
        <v>6468</v>
      </c>
      <c r="H696" s="19" t="str">
        <f>IFERROR(VLOOKUP(B696,'03. THIẾT BỊ'!$B$1:$S$836,7,0),"")</f>
        <v>XN Chuối DP3</v>
      </c>
      <c r="I696" s="610" t="str">
        <f>IFERROR(VLOOKUP(B696,'03. THIẾT BỊ'!$B$1:$S$836,8,0),"")</f>
        <v>26/08/2025</v>
      </c>
      <c r="J696" s="25"/>
      <c r="K696" s="19" t="str">
        <f>IFERROR(VLOOKUP(B696,'03. THIẾT BỊ'!$B$1:$S$836,10,0),"")</f>
        <v>Bình thường</v>
      </c>
      <c r="L696" s="25">
        <f>IFERROR(VLOOKUP(B696,'03. THIẾT BỊ'!$B$1:$S$836,11,0),"")</f>
        <v>0</v>
      </c>
      <c r="M696" s="24" t="str">
        <f>IFERROR(VLOOKUP(B696,'03. THIẾT BỊ'!$B$1:$S$836,12,0),"")</f>
        <v>Gia công lại</v>
      </c>
      <c r="N696" s="25" t="str">
        <f>IFERROR(VLOOKUP(B696,'03. THIẾT BỊ'!$B$1:$S$836,13,0),"")</f>
        <v>THACO AGRI</v>
      </c>
      <c r="O696" s="24" t="str">
        <f>IFERROR(VLOOKUP(B696,'03. THIẾT BỊ'!$B$1:$S$836,14,0),"")</f>
        <v>CK-MB</v>
      </c>
      <c r="P696" s="25" t="str">
        <f>IFERROR(VLOOKUP(B696,'03. THIẾT BỊ'!$B$1:$S$836,15,0),"")</f>
        <v>CK-CGH</v>
      </c>
      <c r="Q696" s="23">
        <f>IFERROR(VLOOKUP(B696,'03. THIẾT BỊ'!$B$1:$S$836,16,0),"")</f>
        <v>2025</v>
      </c>
      <c r="R696" s="25">
        <f>IFERROR(VLOOKUP(B696,'03. THIẾT BỊ'!$B$1:$S$836,17,0),"")</f>
        <v>0</v>
      </c>
      <c r="S696" s="25">
        <f>IFERROR(VLOOKUP(B696,'03. THIẾT BỊ'!$B$1:$S$836,18,0),"")</f>
        <v>0</v>
      </c>
      <c r="T696" s="615"/>
    </row>
    <row r="697" customHeight="1" spans="1:20">
      <c r="A697" s="19">
        <f t="shared" si="33"/>
        <v>8</v>
      </c>
      <c r="B697" s="20" t="s">
        <v>5006</v>
      </c>
      <c r="C697" s="613" t="str">
        <f>IFERROR(VLOOKUP(B697,'03. THIẾT BỊ'!$B$1:$S$836,2,0),"")</f>
        <v>XD3-MBC-001 (CK-MB15)</v>
      </c>
      <c r="D697" s="24">
        <f>IFERROR(VLOOKUP(B697,'03. THIẾT BỊ'!$B$1:$S$836,3,0),"")</f>
        <v>0</v>
      </c>
      <c r="E697" s="20" t="str">
        <f>IFERROR(VLOOKUP(B697,'03. THIẾT BỊ'!$B$1:$S$836,4,0),"")</f>
        <v>ĐQSD</v>
      </c>
      <c r="F697" s="20" t="str">
        <f>IFERROR(VLOOKUP(B697,'03. THIẾT BỊ'!$B$1:$S$836,5,0),"")</f>
        <v>Máy băm công nghiệp cố định 30Kw</v>
      </c>
      <c r="G697" s="101" t="s">
        <v>6468</v>
      </c>
      <c r="H697" s="19" t="str">
        <f>IFERROR(VLOOKUP(B697,'03. THIẾT BỊ'!$B$1:$S$836,7,0),"")</f>
        <v>XN Chuối LP3</v>
      </c>
      <c r="I697" s="610" t="str">
        <f>IFERROR(VLOOKUP(B697,'03. THIẾT BỊ'!$B$1:$S$836,8,0),"")</f>
        <v>24/08/2024</v>
      </c>
      <c r="J697" s="25"/>
      <c r="K697" s="19" t="str">
        <f>IFERROR(VLOOKUP(B697,'03. THIẾT BỊ'!$B$1:$S$836,10,0),"")</f>
        <v>Bình thường</v>
      </c>
      <c r="L697" s="25" t="str">
        <f>IFERROR(VLOOKUP(B697,'03. THIẾT BỊ'!$B$1:$S$836,11,0),"")</f>
        <v>Kèm XD3-RMK-001</v>
      </c>
      <c r="M697" s="24" t="str">
        <f>IFERROR(VLOOKUP(B697,'03. THIẾT BỊ'!$B$1:$S$836,12,0),"")</f>
        <v>Đã qua SD</v>
      </c>
      <c r="N697" s="25" t="str">
        <f>IFERROR(VLOOKUP(B697,'03. THIẾT BỊ'!$B$1:$S$836,13,0),"")</f>
        <v>THACO AGRI</v>
      </c>
      <c r="O697" s="24" t="str">
        <f>IFERROR(VLOOKUP(B697,'03. THIẾT BỊ'!$B$1:$S$836,14,0),"")</f>
        <v>30KW</v>
      </c>
      <c r="P697" s="25" t="str">
        <f>IFERROR(VLOOKUP(B697,'03. THIẾT BỊ'!$B$1:$S$836,15,0),"")</f>
        <v>CK-CGH</v>
      </c>
      <c r="Q697" s="23">
        <f>IFERROR(VLOOKUP(B697,'03. THIẾT BỊ'!$B$1:$S$836,16,0),"")</f>
        <v>0</v>
      </c>
      <c r="R697" s="25" t="str">
        <f>IFERROR(VLOOKUP(B697,'03. THIẾT BỊ'!$B$1:$S$836,17,0),"")</f>
        <v>3 dao băm, motor 30kw</v>
      </c>
      <c r="S697" s="25">
        <f>IFERROR(VLOOKUP(B697,'03. THIẾT BỊ'!$B$1:$S$836,18,0),"")</f>
        <v>0</v>
      </c>
      <c r="T697" s="41"/>
    </row>
    <row r="698" customHeight="1" spans="1:20">
      <c r="A698" s="19">
        <f t="shared" si="33"/>
        <v>9</v>
      </c>
      <c r="B698" s="20" t="s">
        <v>5013</v>
      </c>
      <c r="C698" s="613" t="str">
        <f>IFERROR(VLOOKUP(B698,'03. THIẾT BỊ'!$B$1:$S$836,2,0),"")</f>
        <v>XD3-MBC-002 (CK-MB16)</v>
      </c>
      <c r="D698" s="24">
        <f>IFERROR(VLOOKUP(B698,'03. THIẾT BỊ'!$B$1:$S$836,3,0),"")</f>
        <v>0</v>
      </c>
      <c r="E698" s="20" t="str">
        <f>IFERROR(VLOOKUP(B698,'03. THIẾT BỊ'!$B$1:$S$836,4,0),"")</f>
        <v>ĐQSD</v>
      </c>
      <c r="F698" s="20" t="str">
        <f>IFERROR(VLOOKUP(B698,'03. THIẾT BỊ'!$B$1:$S$836,5,0),"")</f>
        <v>Máy băm công nghiệp cố định 30Kw</v>
      </c>
      <c r="G698" s="101" t="s">
        <v>6468</v>
      </c>
      <c r="H698" s="19" t="str">
        <f>IFERROR(VLOOKUP(B698,'03. THIẾT BỊ'!$B$1:$S$836,7,0),"")</f>
        <v>XN Chuối LP3</v>
      </c>
      <c r="I698" s="610" t="str">
        <f>IFERROR(VLOOKUP(B698,'03. THIẾT BỊ'!$B$1:$S$836,8,0),"")</f>
        <v>24/08/2024</v>
      </c>
      <c r="J698" s="25"/>
      <c r="K698" s="19" t="str">
        <f>IFERROR(VLOOKUP(B698,'03. THIẾT BỊ'!$B$1:$S$836,10,0),"")</f>
        <v>Bình thường</v>
      </c>
      <c r="L698" s="25">
        <f>IFERROR(VLOOKUP(B698,'03. THIẾT BỊ'!$B$1:$S$836,11,0),"")</f>
        <v>0</v>
      </c>
      <c r="M698" s="24" t="str">
        <f>IFERROR(VLOOKUP(B698,'03. THIẾT BỊ'!$B$1:$S$836,12,0),"")</f>
        <v>Đã qua SD</v>
      </c>
      <c r="N698" s="25" t="str">
        <f>IFERROR(VLOOKUP(B698,'03. THIẾT BỊ'!$B$1:$S$836,13,0),"")</f>
        <v>THACO AGRI</v>
      </c>
      <c r="O698" s="24" t="str">
        <f>IFERROR(VLOOKUP(B698,'03. THIẾT BỊ'!$B$1:$S$836,14,0),"")</f>
        <v>30KW</v>
      </c>
      <c r="P698" s="25" t="str">
        <f>IFERROR(VLOOKUP(B698,'03. THIẾT BỊ'!$B$1:$S$836,15,0),"")</f>
        <v>CK-CGH</v>
      </c>
      <c r="Q698" s="23">
        <f>IFERROR(VLOOKUP(B698,'03. THIẾT BỊ'!$B$1:$S$836,16,0),"")</f>
        <v>0</v>
      </c>
      <c r="R698" s="25" t="str">
        <f>IFERROR(VLOOKUP(B698,'03. THIẾT BỊ'!$B$1:$S$836,17,0),"")</f>
        <v>3 dao băm, motor 30kw</v>
      </c>
      <c r="S698" s="25">
        <f>IFERROR(VLOOKUP(B698,'03. THIẾT BỊ'!$B$1:$S$836,18,0),"")</f>
        <v>0</v>
      </c>
      <c r="T698" s="41"/>
    </row>
    <row r="699" customHeight="1" spans="1:20">
      <c r="A699" s="19">
        <f t="shared" si="33"/>
        <v>10</v>
      </c>
      <c r="B699" s="20" t="s">
        <v>5015</v>
      </c>
      <c r="C699" s="613" t="str">
        <f>IFERROR(VLOOKUP(B699,'03. THIẾT BỊ'!$B$1:$S$836,2,0),"")</f>
        <v>XD2-MBC-002</v>
      </c>
      <c r="D699" s="24">
        <f>IFERROR(VLOOKUP(B699,'03. THIẾT BỊ'!$B$1:$S$836,3,0),"")</f>
        <v>0</v>
      </c>
      <c r="E699" s="20" t="str">
        <f>IFERROR(VLOOKUP(B699,'03. THIẾT BỊ'!$B$1:$S$836,4,0),"")</f>
        <v>ĐQSD</v>
      </c>
      <c r="F699" s="20" t="str">
        <f>IFERROR(VLOOKUP(B699,'03. THIẾT BỊ'!$B$1:$S$836,5,0),"")</f>
        <v>Máy băm công nghiệp cố định 15Kw</v>
      </c>
      <c r="G699" s="101" t="s">
        <v>6468</v>
      </c>
      <c r="H699" s="19" t="str">
        <f>IFERROR(VLOOKUP(B699,'03. THIẾT BỊ'!$B$1:$S$836,7,0),"")</f>
        <v>XN Chuối LP3</v>
      </c>
      <c r="I699" s="610" t="str">
        <f>IFERROR(VLOOKUP(B699,'03. THIẾT BỊ'!$B$1:$S$836,8,0),"")</f>
        <v>24/08/2024</v>
      </c>
      <c r="J699" s="25"/>
      <c r="K699" s="19" t="str">
        <f>IFERROR(VLOOKUP(B699,'03. THIẾT BỊ'!$B$1:$S$836,10,0),"")</f>
        <v>Bình thường</v>
      </c>
      <c r="L699" s="25">
        <f>IFERROR(VLOOKUP(B699,'03. THIẾT BỊ'!$B$1:$S$836,11,0),"")</f>
        <v>0</v>
      </c>
      <c r="M699" s="24" t="str">
        <f>IFERROR(VLOOKUP(B699,'03. THIẾT BỊ'!$B$1:$S$836,12,0),"")</f>
        <v>Đã qua SD</v>
      </c>
      <c r="N699" s="25" t="str">
        <f>IFERROR(VLOOKUP(B699,'03. THIẾT BỊ'!$B$1:$S$836,13,0),"")</f>
        <v>THACO AGRI</v>
      </c>
      <c r="O699" s="24" t="str">
        <f>IFERROR(VLOOKUP(B699,'03. THIẾT BỊ'!$B$1:$S$836,14,0),"")</f>
        <v>15KW</v>
      </c>
      <c r="P699" s="25" t="str">
        <f>IFERROR(VLOOKUP(B699,'03. THIẾT BỊ'!$B$1:$S$836,15,0),"")</f>
        <v>CK-CGH</v>
      </c>
      <c r="Q699" s="23">
        <f>IFERROR(VLOOKUP(B699,'03. THIẾT BỊ'!$B$1:$S$836,16,0),"")</f>
        <v>2023</v>
      </c>
      <c r="R699" s="25" t="str">
        <f>IFERROR(VLOOKUP(B699,'03. THIẾT BỊ'!$B$1:$S$836,17,0),"")</f>
        <v>3 dao băm, motor 15kw</v>
      </c>
      <c r="S699" s="25">
        <f>IFERROR(VLOOKUP(B699,'03. THIẾT BỊ'!$B$1:$S$836,18,0),"")</f>
        <v>0</v>
      </c>
      <c r="T699" s="41"/>
    </row>
    <row r="700" ht="13.8" spans="1:20">
      <c r="A700" s="19">
        <f t="shared" si="33"/>
        <v>11</v>
      </c>
      <c r="B700" s="20" t="s">
        <v>5019</v>
      </c>
      <c r="C700" s="613" t="str">
        <f>IFERROR(VLOOKUP(B700,'03. THIẾT BỊ'!$B$1:$S$836,2,0),"")</f>
        <v>XB1-MBC -019</v>
      </c>
      <c r="D700" s="24" t="str">
        <f>IFERROR(VLOOKUP(B700,'03. THIẾT BỊ'!$B$1:$S$836,3,0),"")</f>
        <v>A24-MBC-005</v>
      </c>
      <c r="E700" s="20" t="str">
        <f>IFERROR(VLOOKUP(B700,'03. THIẾT BỊ'!$B$1:$S$836,4,0),"")</f>
        <v>ĐQSD</v>
      </c>
      <c r="F700" s="20" t="str">
        <f>IFERROR(VLOOKUP(B700,'03. THIẾT BỊ'!$B$1:$S$836,5,0),"")</f>
        <v>Máy băm cố định</v>
      </c>
      <c r="G700" s="101" t="s">
        <v>6468</v>
      </c>
      <c r="H700" s="19" t="str">
        <f>IFERROR(VLOOKUP(B700,'03. THIẾT BỊ'!$B$1:$S$836,7,0),"")</f>
        <v>XN Chuối LP3</v>
      </c>
      <c r="I700" s="610" t="str">
        <f>IFERROR(VLOOKUP(B700,'03. THIẾT BỊ'!$B$1:$S$836,8,0),"")</f>
        <v>14/08/2025</v>
      </c>
      <c r="J700" s="25"/>
      <c r="K700" s="19" t="str">
        <f>IFERROR(VLOOKUP(B700,'03. THIẾT BỊ'!$B$1:$S$836,10,0),"")</f>
        <v>Bình thường</v>
      </c>
      <c r="L700" s="25" t="str">
        <f>IFERROR(VLOOKUP(B700,'03. THIẾT BỊ'!$B$1:$S$836,11,0),"")</f>
        <v>`</v>
      </c>
      <c r="M700" s="24" t="str">
        <f>IFERROR(VLOOKUP(B700,'03. THIẾT BỊ'!$B$1:$S$836,12,0),"")</f>
        <v>Gia công lại</v>
      </c>
      <c r="N700" s="25" t="str">
        <f>IFERROR(VLOOKUP(B700,'03. THIẾT BỊ'!$B$1:$S$836,13,0),"")</f>
        <v>THACO AGRI</v>
      </c>
      <c r="O700" s="24" t="str">
        <f>IFERROR(VLOOKUP(B700,'03. THIẾT BỊ'!$B$1:$S$836,14,0),"")</f>
        <v>CK-MB-19 </v>
      </c>
      <c r="P700" s="25" t="str">
        <f>IFERROR(VLOOKUP(B700,'03. THIẾT BỊ'!$B$1:$S$836,15,0),"")</f>
        <v>CK-CGH</v>
      </c>
      <c r="Q700" s="23">
        <f>IFERROR(VLOOKUP(B700,'03. THIẾT BỊ'!$B$1:$S$836,16,0),"")</f>
        <v>2025</v>
      </c>
      <c r="R700" s="25">
        <f>IFERROR(VLOOKUP(B700,'03. THIẾT BỊ'!$B$1:$S$836,17,0),"")</f>
        <v>0</v>
      </c>
      <c r="S700" s="25">
        <f>IFERROR(VLOOKUP(B700,'03. THIẾT BỊ'!$B$1:$S$836,18,0),"")</f>
        <v>0</v>
      </c>
    </row>
    <row r="701" customHeight="1" spans="1:20">
      <c r="A701" s="19">
        <f t="shared" si="33"/>
        <v>12</v>
      </c>
      <c r="B701" s="20" t="s">
        <v>5025</v>
      </c>
      <c r="C701" s="613">
        <f>IFERROR(VLOOKUP(B701,'03. THIẾT BỊ'!$B$1:$S$836,2,0),"")</f>
        <v>0</v>
      </c>
      <c r="D701" s="24" t="str">
        <f>IFERROR(VLOOKUP(B701,'03. THIẾT BỊ'!$B$1:$S$836,3,0),"")</f>
        <v>A24-MBC-007</v>
      </c>
      <c r="E701" s="20" t="str">
        <f>IFERROR(VLOOKUP(B701,'03. THIẾT BỊ'!$B$1:$S$836,4,0),"")</f>
        <v>ĐQSD</v>
      </c>
      <c r="F701" s="20" t="str">
        <f>IFERROR(VLOOKUP(B701,'03. THIẾT BỊ'!$B$1:$S$836,5,0),"")</f>
        <v>Máy băm cố định</v>
      </c>
      <c r="G701" s="101" t="s">
        <v>6468</v>
      </c>
      <c r="H701" s="19" t="str">
        <f>IFERROR(VLOOKUP(B701,'03. THIẾT BỊ'!$B$1:$S$836,7,0),"")</f>
        <v>XN Chuối LP3</v>
      </c>
      <c r="I701" s="610" t="str">
        <f>IFERROR(VLOOKUP(B701,'03. THIẾT BỊ'!$B$1:$S$836,8,0),"")</f>
        <v>27/11/2025</v>
      </c>
      <c r="J701" s="25"/>
      <c r="K701" s="19" t="str">
        <f>IFERROR(VLOOKUP(B701,'03. THIẾT BỊ'!$B$1:$S$836,10,0),"")</f>
        <v>Bình thường</v>
      </c>
      <c r="L701" s="25">
        <f>IFERROR(VLOOKUP(B701,'03. THIẾT BỊ'!$B$1:$S$836,11,0),"")</f>
        <v>0</v>
      </c>
      <c r="M701" s="24" t="str">
        <f>IFERROR(VLOOKUP(B701,'03. THIẾT BỊ'!$B$1:$S$836,12,0),"")</f>
        <v>Gia công mới</v>
      </c>
      <c r="N701" s="25">
        <f>IFERROR(VLOOKUP(B701,'03. THIẾT BỊ'!$B$1:$S$836,13,0),"")</f>
        <v>0</v>
      </c>
      <c r="O701" s="24">
        <f>IFERROR(VLOOKUP(B701,'03. THIẾT BỊ'!$B$1:$S$836,14,0),"")</f>
        <v>0</v>
      </c>
      <c r="P701" s="25">
        <f>IFERROR(VLOOKUP(B701,'03. THIẾT BỊ'!$B$1:$S$836,15,0),"")</f>
        <v>0</v>
      </c>
      <c r="Q701" s="23">
        <f>IFERROR(VLOOKUP(B701,'03. THIẾT BỊ'!$B$1:$S$836,16,0),"")</f>
        <v>0</v>
      </c>
      <c r="R701" s="25">
        <f>IFERROR(VLOOKUP(B701,'03. THIẾT BỊ'!$B$1:$S$836,17,0),"")</f>
        <v>0</v>
      </c>
      <c r="S701" s="25">
        <f>IFERROR(VLOOKUP(B701,'03. THIẾT BỊ'!$B$1:$S$836,18,0),"")</f>
        <v>0</v>
      </c>
    </row>
    <row r="702" customHeight="1" spans="1:20">
      <c r="A702" s="19">
        <f t="shared" si="33"/>
        <v>13</v>
      </c>
      <c r="B702" s="20" t="s">
        <v>4837</v>
      </c>
      <c r="C702" s="613">
        <f>IFERROR(VLOOKUP(B702,'03. THIẾT BỊ'!$B$1:$S$836,2,0),"")</f>
        <v>0</v>
      </c>
      <c r="D702" s="24" t="str">
        <f>IFERROR(VLOOKUP(B702,'03. THIẾT BỊ'!$B$1:$S$836,3,0),"")</f>
        <v>A24-MBC-006</v>
      </c>
      <c r="E702" s="20" t="str">
        <f>IFERROR(VLOOKUP(B702,'03. THIẾT BỊ'!$B$1:$S$836,4,0),"")</f>
        <v>ĐQSD</v>
      </c>
      <c r="F702" s="20" t="str">
        <f>IFERROR(VLOOKUP(B702,'03. THIẾT BỊ'!$B$1:$S$836,5,0),"")</f>
        <v>Máy băm cố định</v>
      </c>
      <c r="G702" s="101" t="s">
        <v>6468</v>
      </c>
      <c r="H702" s="19" t="str">
        <f>IFERROR(VLOOKUP(B702,'03. THIẾT BỊ'!$B$1:$S$836,7,0),"")</f>
        <v>XN Chuối LP1</v>
      </c>
      <c r="I702" s="610">
        <f>IFERROR(VLOOKUP(B702,'03. THIẾT BỊ'!$B$1:$S$836,8,0),"")</f>
        <v>45905</v>
      </c>
      <c r="J702" s="25"/>
      <c r="K702" s="19" t="str">
        <f>IFERROR(VLOOKUP(B702,'03. THIẾT BỊ'!$B$1:$S$836,10,0),"")</f>
        <v>Bình thường</v>
      </c>
      <c r="L702" s="25" t="str">
        <f>IFERROR(VLOOKUP(B702,'03. THIẾT BỊ'!$B$1:$S$836,11,0),"")</f>
        <v>GC mới</v>
      </c>
      <c r="M702" s="24">
        <f>IFERROR(VLOOKUP(B702,'03. THIẾT BỊ'!$B$1:$S$836,12,0),"")</f>
        <v>0</v>
      </c>
      <c r="N702" s="25" t="str">
        <f>IFERROR(VLOOKUP(B702,'03. THIẾT BỊ'!$B$1:$S$836,13,0),"")</f>
        <v>THACO AGRI</v>
      </c>
      <c r="O702" s="24" t="str">
        <f>IFERROR(VLOOKUP(B702,'03. THIẾT BỊ'!$B$1:$S$836,14,0),"")</f>
        <v>CK-MB</v>
      </c>
      <c r="P702" s="25" t="str">
        <f>IFERROR(VLOOKUP(B702,'03. THIẾT BỊ'!$B$1:$S$836,15,0),"")</f>
        <v>VIETNAM</v>
      </c>
      <c r="Q702" s="23">
        <f>IFERROR(VLOOKUP(B702,'03. THIẾT BỊ'!$B$1:$S$836,16,0),"")</f>
        <v>2025</v>
      </c>
      <c r="R702" s="25">
        <f>IFERROR(VLOOKUP(B702,'03. THIẾT BỊ'!$B$1:$S$836,17,0),"")</f>
        <v>0</v>
      </c>
      <c r="S702" s="25">
        <f>IFERROR(VLOOKUP(B702,'03. THIẾT BỊ'!$B$1:$S$836,18,0),"")</f>
        <v>0</v>
      </c>
    </row>
    <row r="703" customHeight="1" spans="1:20">
      <c r="A703" s="19">
        <f t="shared" si="33"/>
        <v>14</v>
      </c>
      <c r="B703" s="25" t="s">
        <v>5298</v>
      </c>
      <c r="C703" s="613">
        <f>IFERROR(VLOOKUP(B703,'03. THIẾT BỊ'!$B$1:$S$836,2,0),"")</f>
        <v>0</v>
      </c>
      <c r="D703" s="24" t="str">
        <f>IFERROR(VLOOKUP(B703,'03. THIẾT BỊ'!$B$1:$S$836,3,0),"")</f>
        <v>A22-MBC-001</v>
      </c>
      <c r="E703" s="20" t="str">
        <f>IFERROR(VLOOKUP(B703,'03. THIẾT BỊ'!$B$1:$S$836,4,0),"")</f>
        <v>ĐQSD</v>
      </c>
      <c r="F703" s="20" t="str">
        <f>IFERROR(VLOOKUP(B703,'03. THIẾT BỊ'!$B$1:$S$836,5,0),"")</f>
        <v>Máy băm cỏ cố định</v>
      </c>
      <c r="G703" s="101" t="s">
        <v>6468</v>
      </c>
      <c r="H703" s="19" t="str">
        <f>IFERROR(VLOOKUP(B703,'03. THIẾT BỊ'!$B$1:$S$836,7,0),"")</f>
        <v>XN Bò AD</v>
      </c>
      <c r="I703" s="610">
        <f>IFERROR(VLOOKUP(B703,'03. THIẾT BỊ'!$B$1:$S$836,8,0),"")</f>
        <v>0</v>
      </c>
      <c r="J703" s="25"/>
      <c r="K703" s="19" t="str">
        <f>IFERROR(VLOOKUP(B703,'03. THIẾT BỊ'!$B$1:$S$836,10,0),"")</f>
        <v>Bình thường</v>
      </c>
      <c r="L703" s="25">
        <f>IFERROR(VLOOKUP(B703,'03. THIẾT BỊ'!$B$1:$S$836,11,0),"")</f>
        <v>0</v>
      </c>
      <c r="M703" s="24">
        <f>IFERROR(VLOOKUP(B703,'03. THIẾT BỊ'!$B$1:$S$836,12,0),"")</f>
        <v>0</v>
      </c>
      <c r="N703" s="25" t="str">
        <f>IFERROR(VLOOKUP(B703,'03. THIẾT BỊ'!$B$1:$S$836,13,0),"")</f>
        <v>THACO AGRI</v>
      </c>
      <c r="O703" s="24" t="str">
        <f>IFERROR(VLOOKUP(B703,'03. THIẾT BỊ'!$B$1:$S$836,14,0),"")</f>
        <v>Cố định</v>
      </c>
      <c r="P703" s="25" t="str">
        <f>IFERROR(VLOOKUP(B703,'03. THIẾT BỊ'!$B$1:$S$836,15,0),"")</f>
        <v>CK-CGH</v>
      </c>
      <c r="Q703" s="23">
        <f>IFERROR(VLOOKUP(B703,'03. THIẾT BỊ'!$B$1:$S$836,16,0),"")</f>
        <v>0</v>
      </c>
      <c r="R703" s="25">
        <f>IFERROR(VLOOKUP(B703,'03. THIẾT BỊ'!$B$1:$S$836,17,0),"")</f>
        <v>0</v>
      </c>
      <c r="S703" s="25">
        <f>IFERROR(VLOOKUP(B703,'03. THIẾT BỊ'!$B$1:$S$836,18,0),"")</f>
        <v>0</v>
      </c>
      <c r="T703" s="41"/>
    </row>
    <row r="704" customHeight="1" spans="1:20">
      <c r="A704" s="19">
        <f t="shared" si="33"/>
        <v>15</v>
      </c>
      <c r="B704" s="25" t="s">
        <v>5302</v>
      </c>
      <c r="C704" s="613">
        <f>IFERROR(VLOOKUP(B704,'03. THIẾT BỊ'!$B$1:$S$836,2,0),"")</f>
        <v>0</v>
      </c>
      <c r="D704" s="24" t="str">
        <f>IFERROR(VLOOKUP(B704,'03. THIẾT BỊ'!$B$1:$S$836,3,0),"")</f>
        <v>A22-MBC-002</v>
      </c>
      <c r="E704" s="20" t="str">
        <f>IFERROR(VLOOKUP(B704,'03. THIẾT BỊ'!$B$1:$S$836,4,0),"")</f>
        <v>ĐQSD</v>
      </c>
      <c r="F704" s="20" t="str">
        <f>IFERROR(VLOOKUP(B704,'03. THIẾT BỊ'!$B$1:$S$836,5,0),"")</f>
        <v>Máy băm cỏ cố định</v>
      </c>
      <c r="G704" s="101" t="s">
        <v>6468</v>
      </c>
      <c r="H704" s="19" t="str">
        <f>IFERROR(VLOOKUP(B704,'03. THIẾT BỊ'!$B$1:$S$836,7,0),"")</f>
        <v>XN Bò AD</v>
      </c>
      <c r="I704" s="610">
        <f>IFERROR(VLOOKUP(B704,'03. THIẾT BỊ'!$B$1:$S$836,8,0),"")</f>
        <v>0</v>
      </c>
      <c r="J704" s="25"/>
      <c r="K704" s="19" t="str">
        <f>IFERROR(VLOOKUP(B704,'03. THIẾT BỊ'!$B$1:$S$836,10,0),"")</f>
        <v>Bình thường</v>
      </c>
      <c r="L704" s="25">
        <f>IFERROR(VLOOKUP(B704,'03. THIẾT BỊ'!$B$1:$S$836,11,0),"")</f>
        <v>0</v>
      </c>
      <c r="M704" s="24">
        <f>IFERROR(VLOOKUP(B704,'03. THIẾT BỊ'!$B$1:$S$836,12,0),"")</f>
        <v>0</v>
      </c>
      <c r="N704" s="25" t="str">
        <f>IFERROR(VLOOKUP(B704,'03. THIẾT BỊ'!$B$1:$S$836,13,0),"")</f>
        <v>THACO AGRI</v>
      </c>
      <c r="O704" s="24" t="str">
        <f>IFERROR(VLOOKUP(B704,'03. THIẾT BỊ'!$B$1:$S$836,14,0),"")</f>
        <v>Cố định</v>
      </c>
      <c r="P704" s="25" t="str">
        <f>IFERROR(VLOOKUP(B704,'03. THIẾT BỊ'!$B$1:$S$836,15,0),"")</f>
        <v>CK-CGH</v>
      </c>
      <c r="Q704" s="23">
        <f>IFERROR(VLOOKUP(B704,'03. THIẾT BỊ'!$B$1:$S$836,16,0),"")</f>
        <v>0</v>
      </c>
      <c r="R704" s="25">
        <f>IFERROR(VLOOKUP(B704,'03. THIẾT BỊ'!$B$1:$S$836,17,0),"")</f>
        <v>0</v>
      </c>
      <c r="S704" s="25">
        <f>IFERROR(VLOOKUP(B704,'03. THIẾT BỊ'!$B$1:$S$836,18,0),"")</f>
        <v>0</v>
      </c>
      <c r="T704" s="41"/>
    </row>
    <row r="705" customHeight="1" spans="1:20">
      <c r="A705" s="19">
        <f t="shared" si="33"/>
        <v>16</v>
      </c>
      <c r="B705" s="25" t="s">
        <v>5304</v>
      </c>
      <c r="C705" s="613">
        <f>IFERROR(VLOOKUP(B705,'03. THIẾT BỊ'!$B$1:$S$836,2,0),"")</f>
        <v>0</v>
      </c>
      <c r="D705" s="24" t="str">
        <f>IFERROR(VLOOKUP(B705,'03. THIẾT BỊ'!$B$1:$S$836,3,0),"")</f>
        <v>A22-MBC-003</v>
      </c>
      <c r="E705" s="20" t="str">
        <f>IFERROR(VLOOKUP(B705,'03. THIẾT BỊ'!$B$1:$S$836,4,0),"")</f>
        <v>ĐQSD</v>
      </c>
      <c r="F705" s="20" t="str">
        <f>IFERROR(VLOOKUP(B705,'03. THIẾT BỊ'!$B$1:$S$836,5,0),"")</f>
        <v>Máy băm cỏ cố định</v>
      </c>
      <c r="G705" s="101" t="s">
        <v>6468</v>
      </c>
      <c r="H705" s="19" t="str">
        <f>IFERROR(VLOOKUP(B705,'03. THIẾT BỊ'!$B$1:$S$836,7,0),"")</f>
        <v>XN Bò AD</v>
      </c>
      <c r="I705" s="610">
        <f>IFERROR(VLOOKUP(B705,'03. THIẾT BỊ'!$B$1:$S$836,8,0),"")</f>
        <v>0</v>
      </c>
      <c r="J705" s="25"/>
      <c r="K705" s="19" t="str">
        <f>IFERROR(VLOOKUP(B705,'03. THIẾT BỊ'!$B$1:$S$836,10,0),"")</f>
        <v>Bình thường</v>
      </c>
      <c r="L705" s="25">
        <f>IFERROR(VLOOKUP(B705,'03. THIẾT BỊ'!$B$1:$S$836,11,0),"")</f>
        <v>0</v>
      </c>
      <c r="M705" s="24">
        <f>IFERROR(VLOOKUP(B705,'03. THIẾT BỊ'!$B$1:$S$836,12,0),"")</f>
        <v>0</v>
      </c>
      <c r="N705" s="25" t="str">
        <f>IFERROR(VLOOKUP(B705,'03. THIẾT BỊ'!$B$1:$S$836,13,0),"")</f>
        <v>THACO AGRI</v>
      </c>
      <c r="O705" s="24" t="str">
        <f>IFERROR(VLOOKUP(B705,'03. THIẾT BỊ'!$B$1:$S$836,14,0),"")</f>
        <v>Cố định</v>
      </c>
      <c r="P705" s="25" t="str">
        <f>IFERROR(VLOOKUP(B705,'03. THIẾT BỊ'!$B$1:$S$836,15,0),"")</f>
        <v>CK-CGH</v>
      </c>
      <c r="Q705" s="23">
        <f>IFERROR(VLOOKUP(B705,'03. THIẾT BỊ'!$B$1:$S$836,16,0),"")</f>
        <v>0</v>
      </c>
      <c r="R705" s="25">
        <f>IFERROR(VLOOKUP(B705,'03. THIẾT BỊ'!$B$1:$S$836,17,0),"")</f>
        <v>0</v>
      </c>
      <c r="S705" s="25">
        <f>IFERROR(VLOOKUP(B705,'03. THIẾT BỊ'!$B$1:$S$836,18,0),"")</f>
        <v>0</v>
      </c>
      <c r="T705" s="41"/>
    </row>
    <row r="706" customHeight="1" spans="1:20">
      <c r="A706" s="19">
        <f t="shared" si="33"/>
        <v>17</v>
      </c>
      <c r="B706" s="25" t="s">
        <v>5306</v>
      </c>
      <c r="C706" s="613">
        <f>IFERROR(VLOOKUP(B706,'03. THIẾT BỊ'!$B$1:$S$836,2,0),"")</f>
        <v>0</v>
      </c>
      <c r="D706" s="24" t="str">
        <f>IFERROR(VLOOKUP(B706,'03. THIẾT BỊ'!$B$1:$S$836,3,0),"")</f>
        <v>A22-MBC-004</v>
      </c>
      <c r="E706" s="20" t="str">
        <f>IFERROR(VLOOKUP(B706,'03. THIẾT BỊ'!$B$1:$S$836,4,0),"")</f>
        <v>ĐQSD</v>
      </c>
      <c r="F706" s="20" t="str">
        <f>IFERROR(VLOOKUP(B706,'03. THIẾT BỊ'!$B$1:$S$836,5,0),"")</f>
        <v>Máy băm cỏ cố định</v>
      </c>
      <c r="G706" s="101" t="s">
        <v>6468</v>
      </c>
      <c r="H706" s="19" t="str">
        <f>IFERROR(VLOOKUP(B706,'03. THIẾT BỊ'!$B$1:$S$836,7,0),"")</f>
        <v>XN Bò AD</v>
      </c>
      <c r="I706" s="610">
        <f>IFERROR(VLOOKUP(B706,'03. THIẾT BỊ'!$B$1:$S$836,8,0),"")</f>
        <v>0</v>
      </c>
      <c r="J706" s="25"/>
      <c r="K706" s="19" t="str">
        <f>IFERROR(VLOOKUP(B706,'03. THIẾT BỊ'!$B$1:$S$836,10,0),"")</f>
        <v>Bình thường</v>
      </c>
      <c r="L706" s="25">
        <f>IFERROR(VLOOKUP(B706,'03. THIẾT BỊ'!$B$1:$S$836,11,0),"")</f>
        <v>0</v>
      </c>
      <c r="M706" s="24">
        <f>IFERROR(VLOOKUP(B706,'03. THIẾT BỊ'!$B$1:$S$836,12,0),"")</f>
        <v>0</v>
      </c>
      <c r="N706" s="25" t="str">
        <f>IFERROR(VLOOKUP(B706,'03. THIẾT BỊ'!$B$1:$S$836,13,0),"")</f>
        <v>THACO AGRI</v>
      </c>
      <c r="O706" s="24" t="str">
        <f>IFERROR(VLOOKUP(B706,'03. THIẾT BỊ'!$B$1:$S$836,14,0),"")</f>
        <v>Cố định</v>
      </c>
      <c r="P706" s="25" t="str">
        <f>IFERROR(VLOOKUP(B706,'03. THIẾT BỊ'!$B$1:$S$836,15,0),"")</f>
        <v>CK-CGH</v>
      </c>
      <c r="Q706" s="23">
        <f>IFERROR(VLOOKUP(B706,'03. THIẾT BỊ'!$B$1:$S$836,16,0),"")</f>
        <v>0</v>
      </c>
      <c r="R706" s="25">
        <f>IFERROR(VLOOKUP(B706,'03. THIẾT BỊ'!$B$1:$S$836,17,0),"")</f>
        <v>0</v>
      </c>
      <c r="S706" s="25">
        <f>IFERROR(VLOOKUP(B706,'03. THIẾT BỊ'!$B$1:$S$836,18,0),"")</f>
        <v>0</v>
      </c>
      <c r="T706" s="41"/>
    </row>
    <row r="707" customHeight="1" spans="1:20">
      <c r="A707" s="19">
        <f t="shared" si="33"/>
        <v>18</v>
      </c>
      <c r="B707" s="25" t="s">
        <v>5308</v>
      </c>
      <c r="C707" s="613">
        <f>IFERROR(VLOOKUP(B707,'03. THIẾT BỊ'!$B$1:$S$836,2,0),"")</f>
        <v>0</v>
      </c>
      <c r="D707" s="24" t="str">
        <f>IFERROR(VLOOKUP(B707,'03. THIẾT BỊ'!$B$1:$S$836,3,0),"")</f>
        <v>A22-MBC-006</v>
      </c>
      <c r="E707" s="20" t="str">
        <f>IFERROR(VLOOKUP(B707,'03. THIẾT BỊ'!$B$1:$S$836,4,0),"")</f>
        <v>ĐQSD</v>
      </c>
      <c r="F707" s="20" t="str">
        <f>IFERROR(VLOOKUP(B707,'03. THIẾT BỊ'!$B$1:$S$836,5,0),"")</f>
        <v>Máy băm cỏ cố định</v>
      </c>
      <c r="G707" s="101" t="s">
        <v>6468</v>
      </c>
      <c r="H707" s="19" t="str">
        <f>IFERROR(VLOOKUP(B707,'03. THIẾT BỊ'!$B$1:$S$836,7,0),"")</f>
        <v>XN Bò AD</v>
      </c>
      <c r="I707" s="610">
        <f>IFERROR(VLOOKUP(B707,'03. THIẾT BỊ'!$B$1:$S$836,8,0),"")</f>
        <v>0</v>
      </c>
      <c r="J707" s="25"/>
      <c r="K707" s="19" t="str">
        <f>IFERROR(VLOOKUP(B707,'03. THIẾT BỊ'!$B$1:$S$836,10,0),"")</f>
        <v>Bình thường</v>
      </c>
      <c r="L707" s="25">
        <f>IFERROR(VLOOKUP(B707,'03. THIẾT BỊ'!$B$1:$S$836,11,0),"")</f>
        <v>0</v>
      </c>
      <c r="M707" s="24">
        <f>IFERROR(VLOOKUP(B707,'03. THIẾT BỊ'!$B$1:$S$836,12,0),"")</f>
        <v>0</v>
      </c>
      <c r="N707" s="25" t="str">
        <f>IFERROR(VLOOKUP(B707,'03. THIẾT BỊ'!$B$1:$S$836,13,0),"")</f>
        <v>THACO AGRI</v>
      </c>
      <c r="O707" s="24" t="str">
        <f>IFERROR(VLOOKUP(B707,'03. THIẾT BỊ'!$B$1:$S$836,14,0),"")</f>
        <v>Cố định</v>
      </c>
      <c r="P707" s="25" t="str">
        <f>IFERROR(VLOOKUP(B707,'03. THIẾT BỊ'!$B$1:$S$836,15,0),"")</f>
        <v>CK-CGH</v>
      </c>
      <c r="Q707" s="23">
        <f>IFERROR(VLOOKUP(B707,'03. THIẾT BỊ'!$B$1:$S$836,16,0),"")</f>
        <v>0</v>
      </c>
      <c r="R707" s="25">
        <f>IFERROR(VLOOKUP(B707,'03. THIẾT BỊ'!$B$1:$S$836,17,0),"")</f>
        <v>0</v>
      </c>
      <c r="S707" s="25">
        <f>IFERROR(VLOOKUP(B707,'03. THIẾT BỊ'!$B$1:$S$836,18,0),"")</f>
        <v>0</v>
      </c>
      <c r="T707" s="41"/>
    </row>
    <row r="708" customHeight="1" spans="1:20">
      <c r="A708" s="19">
        <f t="shared" si="33"/>
        <v>19</v>
      </c>
      <c r="B708" s="20" t="s">
        <v>5020</v>
      </c>
      <c r="C708" s="613" t="str">
        <f>IFERROR(VLOOKUP(B708,'03. THIẾT BỊ'!$B$1:$S$836,2,0),"")</f>
        <v>XD2-MBC-004</v>
      </c>
      <c r="D708" s="24" t="str">
        <f>IFERROR(VLOOKUP(B708,'03. THIẾT BỊ'!$B$1:$S$836,3,0),"")</f>
        <v>A23-MBC-004</v>
      </c>
      <c r="E708" s="20" t="str">
        <f>IFERROR(VLOOKUP(B708,'03. THIẾT BỊ'!$B$1:$S$836,4,0),"")</f>
        <v>ĐQSD</v>
      </c>
      <c r="F708" s="20" t="str">
        <f>IFERROR(VLOOKUP(B708,'03. THIẾT BỊ'!$B$1:$S$836,5,0),"")</f>
        <v>Máy băm cố định</v>
      </c>
      <c r="G708" s="101" t="s">
        <v>6468</v>
      </c>
      <c r="H708" s="19" t="str">
        <f>IFERROR(VLOOKUP(B708,'03. THIẾT BỊ'!$B$1:$S$836,7,0),"")</f>
        <v>XN Chuối DP2</v>
      </c>
      <c r="I708" s="610">
        <f>IFERROR(VLOOKUP(B708,'03. THIẾT BỊ'!$B$1:$S$836,8,0),"")</f>
        <v>45666</v>
      </c>
      <c r="J708" s="25"/>
      <c r="K708" s="19" t="str">
        <f>IFERROR(VLOOKUP(B708,'03. THIẾT BỊ'!$B$1:$S$836,10,0),"")</f>
        <v>Bình thường</v>
      </c>
      <c r="L708" s="25">
        <f>IFERROR(VLOOKUP(B708,'03. THIẾT BỊ'!$B$1:$S$836,11,0),"")</f>
        <v>0</v>
      </c>
      <c r="M708" s="24">
        <f>IFERROR(VLOOKUP(B708,'03. THIẾT BỊ'!$B$1:$S$836,12,0),"")</f>
        <v>0</v>
      </c>
      <c r="N708" s="25" t="str">
        <f>IFERROR(VLOOKUP(B708,'03. THIẾT BỊ'!$B$1:$S$836,13,0),"")</f>
        <v>THACO AGRI</v>
      </c>
      <c r="O708" s="24" t="str">
        <f>IFERROR(VLOOKUP(B708,'03. THIẾT BỊ'!$B$1:$S$836,14,0),"")</f>
        <v>CK-MB-22</v>
      </c>
      <c r="P708" s="25" t="str">
        <f>IFERROR(VLOOKUP(B708,'03. THIẾT BỊ'!$B$1:$S$836,15,0),"")</f>
        <v>CK-CGH</v>
      </c>
      <c r="Q708" s="23">
        <f>IFERROR(VLOOKUP(B708,'03. THIẾT BỊ'!$B$1:$S$836,16,0),"")</f>
        <v>2024</v>
      </c>
      <c r="R708" s="25" t="str">
        <f>IFERROR(VLOOKUP(B708,'03. THIẾT BỊ'!$B$1:$S$836,17,0),"")</f>
        <v>2,25x0,8x3,7m</v>
      </c>
      <c r="S708" s="25">
        <f>IFERROR(VLOOKUP(B708,'03. THIẾT BỊ'!$B$1:$S$836,18,0),"")</f>
        <v>0</v>
      </c>
      <c r="T708" s="41"/>
    </row>
    <row r="709" customHeight="1" spans="1:20">
      <c r="A709" s="19">
        <f t="shared" si="33"/>
        <v>20</v>
      </c>
      <c r="B709" s="25" t="s">
        <v>5312</v>
      </c>
      <c r="C709" s="613">
        <f>IFERROR(VLOOKUP(B709,'03. THIẾT BỊ'!$B$1:$S$836,2,0),"")</f>
        <v>0</v>
      </c>
      <c r="D709" s="24" t="str">
        <f>IFERROR(VLOOKUP(B709,'03. THIẾT BỊ'!$B$1:$S$836,3,0),"")</f>
        <v>A22-MBD-001</v>
      </c>
      <c r="E709" s="20" t="str">
        <f>IFERROR(VLOOKUP(B709,'03. THIẾT BỊ'!$B$1:$S$836,4,0),"")</f>
        <v>ĐQSD</v>
      </c>
      <c r="F709" s="20" t="str">
        <f>IFERROR(VLOOKUP(B709,'03. THIẾT BỊ'!$B$1:$S$836,5,0),"")</f>
        <v>Máy băm cỏ di động</v>
      </c>
      <c r="G709" s="101" t="s">
        <v>6468</v>
      </c>
      <c r="H709" s="19" t="str">
        <f>IFERROR(VLOOKUP(B709,'03. THIẾT BỊ'!$B$1:$S$836,7,0),"")</f>
        <v>XN Bò AD</v>
      </c>
      <c r="I709" s="610">
        <f>IFERROR(VLOOKUP(B709,'03. THIẾT BỊ'!$B$1:$S$836,8,0),"")</f>
        <v>0</v>
      </c>
      <c r="J709" s="25"/>
      <c r="K709" s="19" t="str">
        <f>IFERROR(VLOOKUP(B709,'03. THIẾT BỊ'!$B$1:$S$836,10,0),"")</f>
        <v>Bình thường</v>
      </c>
      <c r="L709" s="25">
        <f>IFERROR(VLOOKUP(B709,'03. THIẾT BỊ'!$B$1:$S$836,11,0),"")</f>
        <v>0</v>
      </c>
      <c r="M709" s="24">
        <f>IFERROR(VLOOKUP(B709,'03. THIẾT BỊ'!$B$1:$S$836,12,0),"")</f>
        <v>0</v>
      </c>
      <c r="N709" s="25" t="str">
        <f>IFERROR(VLOOKUP(B709,'03. THIẾT BỊ'!$B$1:$S$836,13,0),"")</f>
        <v>THACO AGRI</v>
      </c>
      <c r="O709" s="24" t="str">
        <f>IFERROR(VLOOKUP(B709,'03. THIẾT BỊ'!$B$1:$S$836,14,0),"")</f>
        <v>Di động</v>
      </c>
      <c r="P709" s="25" t="str">
        <f>IFERROR(VLOOKUP(B709,'03. THIẾT BỊ'!$B$1:$S$836,15,0),"")</f>
        <v>CK-CGH</v>
      </c>
      <c r="Q709" s="23">
        <f>IFERROR(VLOOKUP(B709,'03. THIẾT BỊ'!$B$1:$S$836,16,0),"")</f>
        <v>0</v>
      </c>
      <c r="R709" s="25">
        <f>IFERROR(VLOOKUP(B709,'03. THIẾT BỊ'!$B$1:$S$836,17,0),"")</f>
        <v>0</v>
      </c>
      <c r="S709" s="25">
        <f>IFERROR(VLOOKUP(B709,'03. THIẾT BỊ'!$B$1:$S$836,18,0),"")</f>
        <v>0</v>
      </c>
      <c r="T709" s="41"/>
    </row>
    <row r="710" customHeight="1" spans="1:20">
      <c r="A710" s="19">
        <f t="shared" si="33"/>
        <v>21</v>
      </c>
      <c r="B710" s="25" t="s">
        <v>5316</v>
      </c>
      <c r="C710" s="613">
        <f>IFERROR(VLOOKUP(B710,'03. THIẾT BỊ'!$B$1:$S$836,2,0),"")</f>
        <v>0</v>
      </c>
      <c r="D710" s="24" t="str">
        <f>IFERROR(VLOOKUP(B710,'03. THIẾT BỊ'!$B$1:$S$836,3,0),"")</f>
        <v>A22-MBD-002</v>
      </c>
      <c r="E710" s="20" t="str">
        <f>IFERROR(VLOOKUP(B710,'03. THIẾT BỊ'!$B$1:$S$836,4,0),"")</f>
        <v>ĐQSD</v>
      </c>
      <c r="F710" s="20" t="str">
        <f>IFERROR(VLOOKUP(B710,'03. THIẾT BỊ'!$B$1:$S$836,5,0),"")</f>
        <v>Máy băm cỏ di động</v>
      </c>
      <c r="G710" s="101" t="s">
        <v>6468</v>
      </c>
      <c r="H710" s="19" t="str">
        <f>IFERROR(VLOOKUP(B710,'03. THIẾT BỊ'!$B$1:$S$836,7,0),"")</f>
        <v>XN Bò AD</v>
      </c>
      <c r="I710" s="610">
        <f>IFERROR(VLOOKUP(B710,'03. THIẾT BỊ'!$B$1:$S$836,8,0),"")</f>
        <v>0</v>
      </c>
      <c r="J710" s="25"/>
      <c r="K710" s="19" t="str">
        <f>IFERROR(VLOOKUP(B710,'03. THIẾT BỊ'!$B$1:$S$836,10,0),"")</f>
        <v>Bình thường</v>
      </c>
      <c r="L710" s="25">
        <f>IFERROR(VLOOKUP(B710,'03. THIẾT BỊ'!$B$1:$S$836,11,0),"")</f>
        <v>0</v>
      </c>
      <c r="M710" s="24">
        <f>IFERROR(VLOOKUP(B710,'03. THIẾT BỊ'!$B$1:$S$836,12,0),"")</f>
        <v>0</v>
      </c>
      <c r="N710" s="25" t="str">
        <f>IFERROR(VLOOKUP(B710,'03. THIẾT BỊ'!$B$1:$S$836,13,0),"")</f>
        <v>THACO AGRI</v>
      </c>
      <c r="O710" s="24" t="str">
        <f>IFERROR(VLOOKUP(B710,'03. THIẾT BỊ'!$B$1:$S$836,14,0),"")</f>
        <v>Di động</v>
      </c>
      <c r="P710" s="25" t="str">
        <f>IFERROR(VLOOKUP(B710,'03. THIẾT BỊ'!$B$1:$S$836,15,0),"")</f>
        <v>CK-CGH</v>
      </c>
      <c r="Q710" s="23">
        <f>IFERROR(VLOOKUP(B710,'03. THIẾT BỊ'!$B$1:$S$836,16,0),"")</f>
        <v>0</v>
      </c>
      <c r="R710" s="25">
        <f>IFERROR(VLOOKUP(B710,'03. THIẾT BỊ'!$B$1:$S$836,17,0),"")</f>
        <v>0</v>
      </c>
      <c r="S710" s="25">
        <f>IFERROR(VLOOKUP(B710,'03. THIẾT BỊ'!$B$1:$S$836,18,0),"")</f>
        <v>0</v>
      </c>
      <c r="T710" s="41"/>
    </row>
    <row r="711" customHeight="1" spans="1:20">
      <c r="A711" s="19">
        <f t="shared" si="33"/>
        <v>22</v>
      </c>
      <c r="B711" s="25" t="s">
        <v>5273</v>
      </c>
      <c r="C711" s="613">
        <f>IFERROR(VLOOKUP(B711,'03. THIẾT BỊ'!$B$1:$S$836,2,0),"")</f>
        <v>0</v>
      </c>
      <c r="D711" s="24" t="str">
        <f>IFERROR(VLOOKUP(B711,'03. THIẾT BỊ'!$B$1:$S$836,3,0),"")</f>
        <v>A22-MBG-001</v>
      </c>
      <c r="E711" s="20" t="str">
        <f>IFERROR(VLOOKUP(B711,'03. THIẾT BỊ'!$B$1:$S$836,4,0),"")</f>
        <v>MUA MỚI</v>
      </c>
      <c r="F711" s="20" t="str">
        <f>IFERROR(VLOOKUP(B711,'03. THIẾT BỊ'!$B$1:$S$836,5,0),"")</f>
        <v>Máy băm gỗ DIESEL-VMECH</v>
      </c>
      <c r="G711" s="101" t="s">
        <v>6468</v>
      </c>
      <c r="H711" s="19" t="str">
        <f>IFERROR(VLOOKUP(B711,'03. THIẾT BỊ'!$B$1:$S$836,7,0),"")</f>
        <v>XN Bò AD</v>
      </c>
      <c r="I711" s="610">
        <f>IFERROR(VLOOKUP(B711,'03. THIẾT BỊ'!$B$1:$S$836,8,0),"")</f>
        <v>45292</v>
      </c>
      <c r="J711" s="25"/>
      <c r="K711" s="19" t="str">
        <f>IFERROR(VLOOKUP(B711,'03. THIẾT BỊ'!$B$1:$S$836,10,0),"")</f>
        <v>Bình thường</v>
      </c>
      <c r="L711" s="25">
        <f>IFERROR(VLOOKUP(B711,'03. THIẾT BỊ'!$B$1:$S$836,11,0),"")</f>
        <v>0</v>
      </c>
      <c r="M711" s="24">
        <f>IFERROR(VLOOKUP(B711,'03. THIẾT BỊ'!$B$1:$S$836,12,0),"")</f>
        <v>0</v>
      </c>
      <c r="N711" s="25" t="str">
        <f>IFERROR(VLOOKUP(B711,'03. THIẾT BỊ'!$B$1:$S$836,13,0),"")</f>
        <v>CAMBODIA</v>
      </c>
      <c r="O711" s="24">
        <f>IFERROR(VLOOKUP(B711,'03. THIẾT BỊ'!$B$1:$S$836,14,0),"")</f>
        <v>0</v>
      </c>
      <c r="P711" s="25" t="str">
        <f>IFERROR(VLOOKUP(B711,'03. THIẾT BỊ'!$B$1:$S$836,15,0),"")</f>
        <v>CAMBODIA</v>
      </c>
      <c r="Q711" s="23">
        <f>IFERROR(VLOOKUP(B711,'03. THIẾT BỊ'!$B$1:$S$836,16,0),"")</f>
        <v>0</v>
      </c>
      <c r="R711" s="25">
        <f>IFERROR(VLOOKUP(B711,'03. THIẾT BỊ'!$B$1:$S$836,17,0),"")</f>
        <v>0</v>
      </c>
      <c r="S711" s="25">
        <f>IFERROR(VLOOKUP(B711,'03. THIẾT BỊ'!$B$1:$S$836,18,0),"")</f>
        <v>0</v>
      </c>
      <c r="T711" s="41"/>
    </row>
    <row r="712" ht="30" customHeight="1" spans="1:20">
      <c r="A712" s="19">
        <f t="shared" si="33"/>
        <v>23</v>
      </c>
      <c r="B712" s="25" t="s">
        <v>5276</v>
      </c>
      <c r="C712" s="613">
        <f>IFERROR(VLOOKUP(B712,'03. THIẾT BỊ'!$B$1:$S$836,2,0),"")</f>
        <v>0</v>
      </c>
      <c r="D712" s="24" t="str">
        <f>IFERROR(VLOOKUP(B712,'03. THIẾT BỊ'!$B$1:$S$836,3,0),"")</f>
        <v>A22-MBG-002</v>
      </c>
      <c r="E712" s="20" t="str">
        <f>IFERROR(VLOOKUP(B712,'03. THIẾT BỊ'!$B$1:$S$836,4,0),"")</f>
        <v>ĐQSD</v>
      </c>
      <c r="F712" s="20" t="str">
        <f>IFERROR(VLOOKUP(B712,'03. THIẾT BỊ'!$B$1:$S$836,5,0),"")</f>
        <v>Máy băm gỗ cố định 185KW</v>
      </c>
      <c r="G712" s="101" t="s">
        <v>6468</v>
      </c>
      <c r="H712" s="19" t="str">
        <f>IFERROR(VLOOKUP(B712,'03. THIẾT BỊ'!$B$1:$S$836,7,0),"")</f>
        <v>XN Bò AD</v>
      </c>
      <c r="I712" s="610">
        <f>IFERROR(VLOOKUP(B712,'03. THIẾT BỊ'!$B$1:$S$836,8,0),"")</f>
        <v>45391</v>
      </c>
      <c r="J712" s="25"/>
      <c r="K712" s="19" t="str">
        <f>IFERROR(VLOOKUP(B712,'03. THIẾT BỊ'!$B$1:$S$836,10,0),"")</f>
        <v>Bình thường</v>
      </c>
      <c r="L712" s="25">
        <f>IFERROR(VLOOKUP(B712,'03. THIẾT BỊ'!$B$1:$S$836,11,0),"")</f>
        <v>0</v>
      </c>
      <c r="M712" s="24" t="str">
        <f>IFERROR(VLOOKUP(B712,'03. THIẾT BỊ'!$B$1:$S$836,12,0),"")</f>
        <v>Gia công mới</v>
      </c>
      <c r="N712" s="25" t="str">
        <f>IFERROR(VLOOKUP(B712,'03. THIẾT BỊ'!$B$1:$S$836,13,0),"")</f>
        <v>THACO AGRI</v>
      </c>
      <c r="O712" s="24" t="str">
        <f>IFERROR(VLOOKUP(B712,'03. THIẾT BỊ'!$B$1:$S$836,14,0),"")</f>
        <v>CK-MBG-01</v>
      </c>
      <c r="P712" s="25" t="str">
        <f>IFERROR(VLOOKUP(B712,'03. THIẾT BỊ'!$B$1:$S$836,15,0),"")</f>
        <v>CK-CGH</v>
      </c>
      <c r="Q712" s="23">
        <f>IFERROR(VLOOKUP(B712,'03. THIẾT BỊ'!$B$1:$S$836,16,0),"")</f>
        <v>2024</v>
      </c>
      <c r="R712" s="25" t="str">
        <f>IFERROR(VLOOKUP(B712,'03. THIẾT BỊ'!$B$1:$S$836,17,0),"")</f>
        <v>3x3x2.4, 8 dao băm, motor 185 KW
-380V</v>
      </c>
      <c r="S712" s="25">
        <f>IFERROR(VLOOKUP(B712,'03. THIẾT BỊ'!$B$1:$S$836,18,0),"")</f>
        <v>0</v>
      </c>
      <c r="T712" s="41"/>
    </row>
    <row r="713" customHeight="1" spans="1:20">
      <c r="A713" s="19">
        <f t="shared" si="33"/>
        <v>24</v>
      </c>
      <c r="B713" s="25" t="s">
        <v>5281</v>
      </c>
      <c r="C713" s="613">
        <f>IFERROR(VLOOKUP(B713,'03. THIẾT BỊ'!$B$1:$S$836,2,0),"")</f>
        <v>0</v>
      </c>
      <c r="D713" s="24" t="str">
        <f>IFERROR(VLOOKUP(B713,'03. THIẾT BỊ'!$B$1:$S$836,3,0),"")</f>
        <v>A22-MBG-003</v>
      </c>
      <c r="E713" s="20" t="str">
        <f>IFERROR(VLOOKUP(B713,'03. THIẾT BỊ'!$B$1:$S$836,4,0),"")</f>
        <v>ĐQSD</v>
      </c>
      <c r="F713" s="20" t="str">
        <f>IFERROR(VLOOKUP(B713,'03. THIẾT BỊ'!$B$1:$S$836,5,0),"")</f>
        <v>Máy băm gỗ</v>
      </c>
      <c r="G713" s="101" t="s">
        <v>6468</v>
      </c>
      <c r="H713" s="19" t="str">
        <f>IFERROR(VLOOKUP(B713,'03. THIẾT BỊ'!$B$1:$S$836,7,0),"")</f>
        <v>XN Bò AD</v>
      </c>
      <c r="I713" s="610" t="str">
        <f>IFERROR(VLOOKUP(B713,'03. THIẾT BỊ'!$B$1:$S$836,8,0),"")</f>
        <v>14/10/2024</v>
      </c>
      <c r="J713" s="25"/>
      <c r="K713" s="19" t="str">
        <f>IFERROR(VLOOKUP(B713,'03. THIẾT BỊ'!$B$1:$S$836,10,0),"")</f>
        <v>Bình thường</v>
      </c>
      <c r="L713" s="25">
        <f>IFERROR(VLOOKUP(B713,'03. THIẾT BỊ'!$B$1:$S$836,11,0),"")</f>
        <v>0</v>
      </c>
      <c r="M713" s="24" t="str">
        <f>IFERROR(VLOOKUP(B713,'03. THIẾT BỊ'!$B$1:$S$836,12,0),"")</f>
        <v>Mới</v>
      </c>
      <c r="N713" s="25" t="str">
        <f>IFERROR(VLOOKUP(B713,'03. THIẾT BỊ'!$B$1:$S$836,13,0),"")</f>
        <v>WEHAI</v>
      </c>
      <c r="O713" s="24" t="str">
        <f>IFERROR(VLOOKUP(B713,'03. THIẾT BỊ'!$B$1:$S$836,14,0),"")</f>
        <v>WP10D238E200</v>
      </c>
      <c r="P713" s="25" t="str">
        <f>IFERROR(VLOOKUP(B713,'03. THIẾT BỊ'!$B$1:$S$836,15,0),"")</f>
        <v>TRUNG QUỐC</v>
      </c>
      <c r="Q713" s="23">
        <f>IFERROR(VLOOKUP(B713,'03. THIẾT BỊ'!$B$1:$S$836,16,0),"")</f>
        <v>2024</v>
      </c>
      <c r="R713" s="25">
        <f>IFERROR(VLOOKUP(B713,'03. THIẾT BỊ'!$B$1:$S$836,17,0),"")</f>
        <v>0</v>
      </c>
      <c r="S713" s="25" t="str">
        <f>IFERROR(VLOOKUP(B713,'03. THIẾT BỊ'!$B$1:$S$836,18,0),"")</f>
        <v>1624C014353</v>
      </c>
      <c r="T713" s="41"/>
    </row>
    <row r="714" customHeight="1" spans="1:20">
      <c r="A714" s="19">
        <f t="shared" si="33"/>
        <v>25</v>
      </c>
      <c r="B714" s="20" t="s">
        <v>5565</v>
      </c>
      <c r="C714" s="613" t="str">
        <f>IFERROR(VLOOKUP(B714,'03. THIẾT BỊ'!$B$1:$S$836,2,0),"")</f>
        <v>CK-MB-19</v>
      </c>
      <c r="D714" s="24" t="str">
        <f>IFERROR(VLOOKUP(B714,'03. THIẾT BỊ'!$B$1:$S$836,3,0),"")</f>
        <v>A22-TBB-001</v>
      </c>
      <c r="E714" s="20" t="str">
        <f>IFERROR(VLOOKUP(B714,'03. THIẾT BỊ'!$B$1:$S$836,4,0),"")</f>
        <v>ĐQSD</v>
      </c>
      <c r="F714" s="20" t="str">
        <f>IFERROR(VLOOKUP(B714,'03. THIẾT BỊ'!$B$1:$S$836,5,0),"")</f>
        <v>Máy băm công nghiệp</v>
      </c>
      <c r="G714" s="101" t="s">
        <v>6468</v>
      </c>
      <c r="H714" s="19" t="str">
        <f>IFERROR(VLOOKUP(B714,'03. THIẾT BỊ'!$B$1:$S$836,7,0),"")</f>
        <v>XN Bò AD</v>
      </c>
      <c r="I714" s="610" t="str">
        <f>IFERROR(VLOOKUP(B714,'03. THIẾT BỊ'!$B$1:$S$836,8,0),"")</f>
        <v>17/04/2024</v>
      </c>
      <c r="J714" s="25"/>
      <c r="K714" s="19" t="str">
        <f>IFERROR(VLOOKUP(B714,'03. THIẾT BỊ'!$B$1:$S$836,10,0),"")</f>
        <v>Bình thường</v>
      </c>
      <c r="L714" s="25">
        <f>IFERROR(VLOOKUP(B714,'03. THIẾT BỊ'!$B$1:$S$836,11,0),"")</f>
        <v>0</v>
      </c>
      <c r="M714" s="24" t="str">
        <f>IFERROR(VLOOKUP(B714,'03. THIẾT BỊ'!$B$1:$S$836,12,0),"")</f>
        <v>Gia công mới</v>
      </c>
      <c r="N714" s="25" t="str">
        <f>IFERROR(VLOOKUP(B714,'03. THIẾT BỊ'!$B$1:$S$836,13,0),"")</f>
        <v>THACO AGRI</v>
      </c>
      <c r="O714" s="24">
        <f>IFERROR(VLOOKUP(B714,'03. THIẾT BỊ'!$B$1:$S$836,14,0),"")</f>
        <v>0</v>
      </c>
      <c r="P714" s="25" t="str">
        <f>IFERROR(VLOOKUP(B714,'03. THIẾT BỊ'!$B$1:$S$836,15,0),"")</f>
        <v>THACO</v>
      </c>
      <c r="Q714" s="23">
        <f>IFERROR(VLOOKUP(B714,'03. THIẾT BỊ'!$B$1:$S$836,16,0),"")</f>
        <v>0</v>
      </c>
      <c r="R714" s="25" t="str">
        <f>IFERROR(VLOOKUP(B714,'03. THIẾT BỊ'!$B$1:$S$836,17,0),"")</f>
        <v>DxRxC: 2.5m*1.8m*3m</v>
      </c>
      <c r="S714" s="25">
        <f>IFERROR(VLOOKUP(B714,'03. THIẾT BỊ'!$B$1:$S$836,18,0),"")</f>
        <v>0</v>
      </c>
      <c r="T714" s="41"/>
    </row>
    <row r="715" ht="13.8" spans="1:20">
      <c r="A715" s="19">
        <f t="shared" si="33"/>
        <v>26</v>
      </c>
      <c r="B715" s="20" t="s">
        <v>4624</v>
      </c>
      <c r="C715" s="613" t="str">
        <f>IFERROR(VLOOKUP(B715,'03. THIẾT BỊ'!$B$1:$S$836,2,0),"")</f>
        <v>XB1-MBC -017</v>
      </c>
      <c r="D715" s="24" t="str">
        <f>IFERROR(VLOOKUP(B715,'03. THIẾT BỊ'!$B$1:$S$836,3,0),"")</f>
        <v>A23-MBC-002</v>
      </c>
      <c r="E715" s="20" t="str">
        <f>IFERROR(VLOOKUP(B715,'03. THIẾT BỊ'!$B$1:$S$836,4,0),"")</f>
        <v>ĐQSD</v>
      </c>
      <c r="F715" s="20" t="str">
        <f>IFERROR(VLOOKUP(B715,'03. THIẾT BỊ'!$B$1:$S$836,5,0),"")</f>
        <v>Máy băm cố định</v>
      </c>
      <c r="G715" s="101" t="s">
        <v>6468</v>
      </c>
      <c r="H715" s="19" t="str">
        <f>IFERROR(VLOOKUP(B715,'03. THIẾT BỊ'!$B$1:$S$836,7,0),"")</f>
        <v>XN Chuối DP3</v>
      </c>
      <c r="I715" s="610" t="str">
        <f>IFERROR(VLOOKUP(B715,'03. THIẾT BỊ'!$B$1:$S$836,8,0),"")</f>
        <v>26/08/2025</v>
      </c>
      <c r="J715" s="25"/>
      <c r="K715" s="19" t="str">
        <f>IFERROR(VLOOKUP(B715,'03. THIẾT BỊ'!$B$1:$S$836,10,0),"")</f>
        <v>Bình thường</v>
      </c>
      <c r="L715" s="25">
        <f>IFERROR(VLOOKUP(B715,'03. THIẾT BỊ'!$B$1:$S$836,11,0),"")</f>
        <v>0</v>
      </c>
      <c r="M715" s="24" t="str">
        <f>IFERROR(VLOOKUP(B715,'03. THIẾT BỊ'!$B$1:$S$836,12,0),"")</f>
        <v>Gia công lại</v>
      </c>
      <c r="N715" s="25" t="str">
        <f>IFERROR(VLOOKUP(B715,'03. THIẾT BỊ'!$B$1:$S$836,13,0),"")</f>
        <v>THACO AGRI</v>
      </c>
      <c r="O715" s="24" t="str">
        <f>IFERROR(VLOOKUP(B715,'03. THIẾT BỊ'!$B$1:$S$836,14,0),"")</f>
        <v>CK-MB</v>
      </c>
      <c r="P715" s="25" t="str">
        <f>IFERROR(VLOOKUP(B715,'03. THIẾT BỊ'!$B$1:$S$836,15,0),"")</f>
        <v>CK-CGH</v>
      </c>
      <c r="Q715" s="23">
        <f>IFERROR(VLOOKUP(B715,'03. THIẾT BỊ'!$B$1:$S$836,16,0),"")</f>
        <v>2025</v>
      </c>
      <c r="R715" s="25">
        <f>IFERROR(VLOOKUP(B715,'03. THIẾT BỊ'!$B$1:$S$836,17,0),"")</f>
        <v>0</v>
      </c>
      <c r="S715" s="25">
        <f>IFERROR(VLOOKUP(B715,'03. THIẾT BỊ'!$B$1:$S$836,18,0),"")</f>
        <v>0</v>
      </c>
    </row>
    <row r="716" ht="13.8" spans="1:20">
      <c r="E716" s="20" t="str">
        <f>IFERROR(VLOOKUP(B716,'03. THIẾT BỊ'!$B$1:$S$836,4,0),"")</f>
        <v/>
      </c>
    </row>
    <row r="717" ht="13.8" spans="1:20">
      <c r="C717" s="613" t="str">
        <f>IFERROR(VLOOKUP(B717,'03. THIẾT BỊ'!$B$1:$S$836,2,0),"")</f>
        <v/>
      </c>
      <c r="D717" s="24" t="str">
        <f>IFERROR(VLOOKUP(B717,'03. THIẾT BỊ'!$B$1:$S$836,3,0),"")</f>
        <v/>
      </c>
      <c r="E717" s="20" t="str">
        <f>IFERROR(VLOOKUP(B717,'03. THIẾT BỊ'!$B$1:$S$836,4,0),"")</f>
        <v/>
      </c>
      <c r="F717" s="20" t="str">
        <f>IFERROR(VLOOKUP(B717,'03. THIẾT BỊ'!$B$1:$S$836,5,0),"")</f>
        <v/>
      </c>
      <c r="G717" s="101" t="s">
        <v>6468</v>
      </c>
      <c r="H717" s="19" t="str">
        <f>IFERROR(VLOOKUP(B717,'03. THIẾT BỊ'!$B$1:$S$836,7,0),"")</f>
        <v/>
      </c>
      <c r="I717" s="610" t="str">
        <f>IFERROR(VLOOKUP(B717,'03. THIẾT BỊ'!$B$1:$S$836,8,0),"")</f>
        <v/>
      </c>
      <c r="J717" s="25"/>
      <c r="K717" s="19" t="str">
        <f>IFERROR(VLOOKUP(B717,'03. THIẾT BỊ'!$B$1:$S$836,10,0),"")</f>
        <v/>
      </c>
      <c r="L717" s="25" t="str">
        <f>IFERROR(VLOOKUP(B717,'03. THIẾT BỊ'!$B$1:$S$836,11,0),"")</f>
        <v/>
      </c>
      <c r="M717" s="24" t="str">
        <f>IFERROR(VLOOKUP(B717,'03. THIẾT BỊ'!$B$1:$S$836,12,0),"")</f>
        <v/>
      </c>
      <c r="N717" s="25" t="str">
        <f>IFERROR(VLOOKUP(B717,'03. THIẾT BỊ'!$B$1:$S$836,13,0),"")</f>
        <v/>
      </c>
      <c r="O717" s="24" t="str">
        <f>IFERROR(VLOOKUP(B717,'03. THIẾT BỊ'!$B$1:$S$836,14,0),"")</f>
        <v/>
      </c>
      <c r="P717" s="25" t="str">
        <f>IFERROR(VLOOKUP(B717,'03. THIẾT BỊ'!$B$1:$S$836,15,0),"")</f>
        <v/>
      </c>
      <c r="Q717" s="23" t="str">
        <f>IFERROR(VLOOKUP(B717,'03. THIẾT BỊ'!$B$1:$S$836,16,0),"")</f>
        <v/>
      </c>
      <c r="R717" s="25" t="str">
        <f>IFERROR(VLOOKUP(B717,'03. THIẾT BỊ'!$B$1:$S$836,17,0),"")</f>
        <v/>
      </c>
      <c r="S717" s="25" t="str">
        <f>IFERROR(VLOOKUP(B717,'03. THIẾT BỊ'!$B$1:$S$836,18,0),"")</f>
        <v/>
      </c>
    </row>
    <row r="718" customHeight="1" spans="1:20">
      <c r="A718" s="14" t="s">
        <v>290</v>
      </c>
      <c r="B718" s="15" t="s">
        <v>6508</v>
      </c>
      <c r="C718" s="14">
        <f>COUNTA(B719:B726)</f>
        <v>6</v>
      </c>
      <c r="D718" s="17" t="str">
        <f>IFERROR(VLOOKUP(B718,'03. THIẾT BỊ'!$B$1:$S$836,3,0),"")</f>
        <v/>
      </c>
      <c r="E718" s="20" t="str">
        <f>IFERROR(VLOOKUP(B718,'03. THIẾT BỊ'!$B$1:$S$836,4,0),"")</f>
        <v/>
      </c>
      <c r="F718" s="17" t="str">
        <f>IFERROR(VLOOKUP(B718,'03. THIẾT BỊ'!$B$1:$S$836,5,0),"")</f>
        <v/>
      </c>
      <c r="G718" s="18" t="s">
        <v>6468</v>
      </c>
      <c r="H718" s="18" t="str">
        <f>IFERROR(VLOOKUP(B718,'03. THIẾT BỊ'!$B$1:$S$836,7,0),"")</f>
        <v/>
      </c>
      <c r="I718" s="14" t="str">
        <f>IFERROR(VLOOKUP(B718,'03. THIẾT BỊ'!$B$1:$S$836,8,0),"")</f>
        <v/>
      </c>
      <c r="J718" s="15"/>
      <c r="K718" s="14" t="str">
        <f>IFERROR(VLOOKUP(B718,'03. THIẾT BỊ'!$B$1:$S$836,10,0),"")</f>
        <v/>
      </c>
      <c r="L718" s="17" t="str">
        <f>IFERROR(VLOOKUP(B718,'03. THIẾT BỊ'!$B$1:$S$836,11,0),"")</f>
        <v/>
      </c>
      <c r="M718" s="16" t="str">
        <f>IFERROR(VLOOKUP(B718,'03. THIẾT BỊ'!$B$1:$S$836,12,0),"")</f>
        <v/>
      </c>
      <c r="N718" s="17" t="str">
        <f>IFERROR(VLOOKUP(B718,'03. THIẾT BỊ'!$B$1:$S$836,13,0),"")</f>
        <v/>
      </c>
      <c r="O718" s="16" t="str">
        <f>IFERROR(VLOOKUP(B718,'03. THIẾT BỊ'!$B$1:$S$836,14,0),"")</f>
        <v/>
      </c>
      <c r="P718" s="17" t="str">
        <f>IFERROR(VLOOKUP(B718,'03. THIẾT BỊ'!$B$1:$S$836,15,0),"")</f>
        <v/>
      </c>
      <c r="Q718" s="18" t="str">
        <f>IFERROR(VLOOKUP(B718,'03. THIẾT BỊ'!$B$1:$S$836,16,0),"")</f>
        <v/>
      </c>
      <c r="R718" s="17" t="str">
        <f>IFERROR(VLOOKUP(B718,'03. THIẾT BỊ'!$B$1:$S$836,17,0),"")</f>
        <v/>
      </c>
      <c r="S718" s="17" t="str">
        <f>IFERROR(VLOOKUP(B718,'03. THIẾT BỊ'!$B$1:$S$836,18,0),"")</f>
        <v/>
      </c>
      <c r="T718" s="609"/>
    </row>
    <row r="719" customHeight="1" spans="1:20">
      <c r="A719" s="19">
        <v>1</v>
      </c>
      <c r="B719" s="20" t="s">
        <v>4407</v>
      </c>
      <c r="C719" s="613" t="str">
        <f>IFERROR(VLOOKUP(B719,'03. THIẾT BỊ'!$B$1:$S$836,2,0),"")</f>
        <v>SPT09</v>
      </c>
      <c r="D719" s="24" t="str">
        <f>IFERROR(VLOOKUP(B719,'03. THIẾT BỊ'!$B$1:$S$836,3,0),"")</f>
        <v>A23-SPT-002</v>
      </c>
      <c r="E719" s="20" t="str">
        <f>IFERROR(VLOOKUP(B719,'03. THIẾT BỊ'!$B$1:$S$836,4,0),"")</f>
        <v>ĐQSD</v>
      </c>
      <c r="F719" s="20" t="str">
        <f>IFERROR(VLOOKUP(B719,'03. THIẾT BỊ'!$B$1:$S$836,5,0),"")</f>
        <v>Súng phun thuốc Hansung</v>
      </c>
      <c r="G719" s="101" t="s">
        <v>6468</v>
      </c>
      <c r="H719" s="19" t="str">
        <f>IFERROR(VLOOKUP(B719,'03. THIẾT BỊ'!$B$1:$S$836,7,0),"")</f>
        <v>XN Chuối DP2</v>
      </c>
      <c r="I719" s="610">
        <f>IFERROR(VLOOKUP(B719,'03. THIẾT BỊ'!$B$1:$S$836,8,0),"")</f>
        <v>0</v>
      </c>
      <c r="J719" s="25"/>
      <c r="K719" s="19" t="str">
        <f>IFERROR(VLOOKUP(B719,'03. THIẾT BỊ'!$B$1:$S$836,10,0),"")</f>
        <v>Bình thường</v>
      </c>
      <c r="L719" s="25">
        <f>IFERROR(VLOOKUP(B719,'03. THIẾT BỊ'!$B$1:$S$836,11,0),"")</f>
        <v>0</v>
      </c>
      <c r="M719" s="24">
        <f>IFERROR(VLOOKUP(B719,'03. THIẾT BỊ'!$B$1:$S$836,12,0),"")</f>
        <v>0</v>
      </c>
      <c r="N719" s="25" t="str">
        <f>IFERROR(VLOOKUP(B719,'03. THIẾT BỊ'!$B$1:$S$836,13,0),"")</f>
        <v>THACO AGRI</v>
      </c>
      <c r="O719" s="24" t="str">
        <f>IFERROR(VLOOKUP(B719,'03. THIẾT BỊ'!$B$1:$S$836,14,0),"")</f>
        <v>HANSUNG</v>
      </c>
      <c r="P719" s="25" t="str">
        <f>IFERROR(VLOOKUP(B719,'03. THIẾT BỊ'!$B$1:$S$836,15,0),"")</f>
        <v>CK-CGH</v>
      </c>
      <c r="Q719" s="23">
        <f>IFERROR(VLOOKUP(B719,'03. THIẾT BỊ'!$B$1:$S$836,16,0),"")</f>
        <v>0</v>
      </c>
      <c r="R719" s="25">
        <f>IFERROR(VLOOKUP(B719,'03. THIẾT BỊ'!$B$1:$S$836,17,0),"")</f>
        <v>0</v>
      </c>
      <c r="S719" s="25" t="str">
        <f>IFERROR(VLOOKUP(B719,'03. THIẾT BỊ'!$B$1:$S$836,18,0),"")</f>
        <v>HS128-DK335</v>
      </c>
      <c r="T719" s="622">
        <v>8.47</v>
      </c>
    </row>
    <row r="720" customHeight="1" spans="1:20">
      <c r="A720" s="19">
        <f t="shared" ref="A720:A724" si="34">A719+1</f>
        <v>2</v>
      </c>
      <c r="B720" s="38" t="s">
        <v>4246</v>
      </c>
      <c r="C720" s="613" t="str">
        <f>IFERROR(VLOOKUP(B720,'03. THIẾT BỊ'!$B$1:$S$836,2,0),"")</f>
        <v>SPT003(XD3-SPT-002)</v>
      </c>
      <c r="D720" s="24" t="str">
        <f>IFERROR(VLOOKUP(B720,'03. THIẾT BỊ'!$B$1:$S$836,3,0),"")</f>
        <v>A23-SPT-001</v>
      </c>
      <c r="E720" s="20" t="str">
        <f>IFERROR(VLOOKUP(B720,'03. THIẾT BỊ'!$B$1:$S$836,4,0),"")</f>
        <v>ĐQSD</v>
      </c>
      <c r="F720" s="20" t="str">
        <f>IFERROR(VLOOKUP(B720,'03. THIẾT BỊ'!$B$1:$S$836,5,0),"")</f>
        <v>Súng phun thuốc Hansung</v>
      </c>
      <c r="G720" s="101" t="s">
        <v>6468</v>
      </c>
      <c r="H720" s="19" t="str">
        <f>IFERROR(VLOOKUP(B720,'03. THIẾT BỊ'!$B$1:$S$836,7,0),"")</f>
        <v>XN Chuối DP1</v>
      </c>
      <c r="I720" s="610">
        <f>IFERROR(VLOOKUP(B720,'03. THIẾT BỊ'!$B$1:$S$836,8,0),"")</f>
        <v>45446</v>
      </c>
      <c r="J720" s="25"/>
      <c r="K720" s="19" t="str">
        <f>IFERROR(VLOOKUP(B720,'03. THIẾT BỊ'!$B$1:$S$836,10,0),"")</f>
        <v>Bình thường</v>
      </c>
      <c r="L720" s="25">
        <f>IFERROR(VLOOKUP(B720,'03. THIẾT BỊ'!$B$1:$S$836,11,0),"")</f>
        <v>0</v>
      </c>
      <c r="M720" s="24">
        <f>IFERROR(VLOOKUP(B720,'03. THIẾT BỊ'!$B$1:$S$836,12,0),"")</f>
        <v>0</v>
      </c>
      <c r="N720" s="25" t="str">
        <f>IFERROR(VLOOKUP(B720,'03. THIẾT BỊ'!$B$1:$S$836,13,0),"")</f>
        <v>HÀN QUỐC</v>
      </c>
      <c r="O720" s="24" t="str">
        <f>IFERROR(VLOOKUP(B720,'03. THIẾT BỊ'!$B$1:$S$836,14,0),"")</f>
        <v>HANSUNG</v>
      </c>
      <c r="P720" s="25" t="str">
        <f>IFERROR(VLOOKUP(B720,'03. THIẾT BỊ'!$B$1:$S$836,15,0),"")</f>
        <v>HÀN QUỐC</v>
      </c>
      <c r="Q720" s="23">
        <f>IFERROR(VLOOKUP(B720,'03. THIẾT BỊ'!$B$1:$S$836,16,0),"")</f>
        <v>0</v>
      </c>
      <c r="R720" s="25">
        <f>IFERROR(VLOOKUP(B720,'03. THIẾT BỊ'!$B$1:$S$836,17,0),"")</f>
        <v>0</v>
      </c>
      <c r="S720" s="25" t="str">
        <f>IFERROR(VLOOKUP(B720,'03. THIẾT BỊ'!$B$1:$S$836,18,0),"")</f>
        <v>HS128-TK317</v>
      </c>
      <c r="T720" s="622">
        <v>8.47</v>
      </c>
    </row>
    <row r="721" customHeight="1" spans="1:20">
      <c r="A721" s="19">
        <f t="shared" si="34"/>
        <v>3</v>
      </c>
      <c r="B721" s="38" t="s">
        <v>4568</v>
      </c>
      <c r="C721" s="613" t="str">
        <f>IFERROR(VLOOKUP(B721,'03. THIẾT BỊ'!$B$1:$S$836,2,0),"")</f>
        <v>SPT002</v>
      </c>
      <c r="D721" s="24" t="str">
        <f>IFERROR(VLOOKUP(B721,'03. THIẾT BỊ'!$B$1:$S$836,3,0),"")</f>
        <v>A23-SPT-001</v>
      </c>
      <c r="E721" s="20" t="str">
        <f>IFERROR(VLOOKUP(B721,'03. THIẾT BỊ'!$B$1:$S$836,4,0),"")</f>
        <v>ĐQSD</v>
      </c>
      <c r="F721" s="20" t="str">
        <f>IFERROR(VLOOKUP(B721,'03. THIẾT BỊ'!$B$1:$S$836,5,0),"")</f>
        <v>Súng phun thuốc Hansung</v>
      </c>
      <c r="G721" s="101" t="s">
        <v>6468</v>
      </c>
      <c r="H721" s="19" t="str">
        <f>IFERROR(VLOOKUP(B721,'03. THIẾT BỊ'!$B$1:$S$836,7,0),"")</f>
        <v>XN Chuối DP3</v>
      </c>
      <c r="I721" s="610">
        <f>IFERROR(VLOOKUP(B721,'03. THIẾT BỊ'!$B$1:$S$836,8,0),"")</f>
        <v>0</v>
      </c>
      <c r="J721" s="25"/>
      <c r="K721" s="19" t="str">
        <f>IFERROR(VLOOKUP(B721,'03. THIẾT BỊ'!$B$1:$S$836,10,0),"")</f>
        <v>Bình thường</v>
      </c>
      <c r="L721" s="25">
        <f>IFERROR(VLOOKUP(B721,'03. THIẾT BỊ'!$B$1:$S$836,11,0),"")</f>
        <v>0</v>
      </c>
      <c r="M721" s="24">
        <f>IFERROR(VLOOKUP(B721,'03. THIẾT BỊ'!$B$1:$S$836,12,0),"")</f>
        <v>0</v>
      </c>
      <c r="N721" s="25" t="str">
        <f>IFERROR(VLOOKUP(B721,'03. THIẾT BỊ'!$B$1:$S$836,13,0),"")</f>
        <v>HANSUNG</v>
      </c>
      <c r="O721" s="24" t="str">
        <f>IFERROR(VLOOKUP(B721,'03. THIẾT BỊ'!$B$1:$S$836,14,0),"")</f>
        <v>THACO</v>
      </c>
      <c r="P721" s="25" t="str">
        <f>IFERROR(VLOOKUP(B721,'03. THIẾT BỊ'!$B$1:$S$836,15,0),"")</f>
        <v>HÀN QUỐC</v>
      </c>
      <c r="Q721" s="23">
        <f>IFERROR(VLOOKUP(B721,'03. THIẾT BỊ'!$B$1:$S$836,16,0),"")</f>
        <v>0</v>
      </c>
      <c r="R721" s="25">
        <f>IFERROR(VLOOKUP(B721,'03. THIẾT BỊ'!$B$1:$S$836,17,0),"")</f>
        <v>0</v>
      </c>
      <c r="S721" s="25" t="str">
        <f>IFERROR(VLOOKUP(B721,'03. THIẾT BỊ'!$B$1:$S$836,18,0),"")</f>
        <v>HS 128-DP342</v>
      </c>
      <c r="T721" s="622">
        <v>8.47</v>
      </c>
    </row>
    <row r="722" customHeight="1" spans="1:20">
      <c r="A722" s="19">
        <f t="shared" si="34"/>
        <v>4</v>
      </c>
      <c r="B722" s="20" t="s">
        <v>4808</v>
      </c>
      <c r="C722" s="613" t="str">
        <f>IFERROR(VLOOKUP(B722,'03. THIẾT BỊ'!$B$1:$S$836,2,0),"")</f>
        <v>LP4-SPT-001</v>
      </c>
      <c r="D722" s="24" t="str">
        <f>IFERROR(VLOOKUP(B722,'03. THIẾT BỊ'!$B$1:$S$836,3,0),"")</f>
        <v>A24-SPT-001</v>
      </c>
      <c r="E722" s="20" t="str">
        <f>IFERROR(VLOOKUP(B722,'03. THIẾT BỊ'!$B$1:$S$836,4,0),"")</f>
        <v>ĐQSD</v>
      </c>
      <c r="F722" s="20" t="str">
        <f>IFERROR(VLOOKUP(B722,'03. THIẾT BỊ'!$B$1:$S$836,5,0),"")</f>
        <v>Súng phun thuốc Hansung</v>
      </c>
      <c r="G722" s="101" t="s">
        <v>6468</v>
      </c>
      <c r="H722" s="19" t="str">
        <f>IFERROR(VLOOKUP(B722,'03. THIẾT BỊ'!$B$1:$S$836,7,0),"")</f>
        <v>XN Chuối LP1</v>
      </c>
      <c r="I722" s="610" t="str">
        <f>IFERROR(VLOOKUP(B722,'03. THIẾT BỊ'!$B$1:$S$836,8,0),"")</f>
        <v>22/11/2024</v>
      </c>
      <c r="J722" s="25"/>
      <c r="K722" s="19" t="str">
        <f>IFERROR(VLOOKUP(B722,'03. THIẾT BỊ'!$B$1:$S$836,10,0),"")</f>
        <v>Bình thường</v>
      </c>
      <c r="L722" s="25" t="str">
        <f>IFERROR(VLOOKUP(B722,'03. THIẾT BỊ'!$B$1:$S$836,11,0),"")</f>
        <v>Đ.chuyển từ XN LP4 ngày 22/11/2024</v>
      </c>
      <c r="M722" s="24">
        <f>IFERROR(VLOOKUP(B722,'03. THIẾT BỊ'!$B$1:$S$836,12,0),"")</f>
        <v>0</v>
      </c>
      <c r="N722" s="25" t="str">
        <f>IFERROR(VLOOKUP(B722,'03. THIẾT BỊ'!$B$1:$S$836,13,0),"")</f>
        <v>HÀN QUỐC</v>
      </c>
      <c r="O722" s="24" t="str">
        <f>IFERROR(VLOOKUP(B722,'03. THIẾT BỊ'!$B$1:$S$836,14,0),"")</f>
        <v>HANSUNG</v>
      </c>
      <c r="P722" s="25" t="str">
        <f>IFERROR(VLOOKUP(B722,'03. THIẾT BỊ'!$B$1:$S$836,15,0),"")</f>
        <v>HÀN QUỐC</v>
      </c>
      <c r="Q722" s="23">
        <f>IFERROR(VLOOKUP(B722,'03. THIẾT BỊ'!$B$1:$S$836,16,0),"")</f>
        <v>0</v>
      </c>
      <c r="R722" s="25">
        <f>IFERROR(VLOOKUP(B722,'03. THIẾT BỊ'!$B$1:$S$836,17,0),"")</f>
        <v>0</v>
      </c>
      <c r="S722" s="25">
        <f>IFERROR(VLOOKUP(B722,'03. THIẾT BỊ'!$B$1:$S$836,18,0),"")</f>
        <v>0</v>
      </c>
      <c r="T722" s="622">
        <v>8.47</v>
      </c>
    </row>
    <row r="723" customHeight="1" spans="1:20">
      <c r="A723" s="19">
        <f t="shared" si="34"/>
        <v>5</v>
      </c>
      <c r="B723" s="20" t="s">
        <v>4895</v>
      </c>
      <c r="C723" s="613" t="str">
        <f>IFERROR(VLOOKUP(B723,'03. THIẾT BỊ'!$B$1:$S$836,2,0),"")</f>
        <v>LP1-SPT-001(SPT05)</v>
      </c>
      <c r="D723" s="24" t="str">
        <f>IFERROR(VLOOKUP(B723,'03. THIẾT BỊ'!$B$1:$S$836,3,0),"")</f>
        <v>A24-SPT-001</v>
      </c>
      <c r="E723" s="20" t="str">
        <f>IFERROR(VLOOKUP(B723,'03. THIẾT BỊ'!$B$1:$S$836,4,0),"")</f>
        <v>ĐQSD</v>
      </c>
      <c r="F723" s="20" t="str">
        <f>IFERROR(VLOOKUP(B723,'03. THIẾT BỊ'!$B$1:$S$836,5,0),"")</f>
        <v>Súng phun thuốc Hansung</v>
      </c>
      <c r="G723" s="101" t="s">
        <v>6468</v>
      </c>
      <c r="H723" s="19" t="str">
        <f>IFERROR(VLOOKUP(B723,'03. THIẾT BỊ'!$B$1:$S$836,7,0),"")</f>
        <v>XN Chuối LP3</v>
      </c>
      <c r="I723" s="610">
        <f>IFERROR(VLOOKUP(B723,'03. THIẾT BỊ'!$B$1:$S$836,8,0),"")</f>
        <v>0</v>
      </c>
      <c r="J723" s="25"/>
      <c r="K723" s="19" t="str">
        <f>IFERROR(VLOOKUP(B723,'03. THIẾT BỊ'!$B$1:$S$836,10,0),"")</f>
        <v>Bình thường</v>
      </c>
      <c r="L723" s="25">
        <f>IFERROR(VLOOKUP(B723,'03. THIẾT BỊ'!$B$1:$S$836,11,0),"")</f>
        <v>0</v>
      </c>
      <c r="M723" s="24">
        <f>IFERROR(VLOOKUP(B723,'03. THIẾT BỊ'!$B$1:$S$836,12,0),"")</f>
        <v>0</v>
      </c>
      <c r="N723" s="25" t="str">
        <f>IFERROR(VLOOKUP(B723,'03. THIẾT BỊ'!$B$1:$S$836,13,0),"")</f>
        <v>HÀN QUỐC</v>
      </c>
      <c r="O723" s="24" t="str">
        <f>IFERROR(VLOOKUP(B723,'03. THIẾT BỊ'!$B$1:$S$836,14,0),"")</f>
        <v>HANSUNG</v>
      </c>
      <c r="P723" s="25" t="str">
        <f>IFERROR(VLOOKUP(B723,'03. THIẾT BỊ'!$B$1:$S$836,15,0),"")</f>
        <v>HÀN QUỐC</v>
      </c>
      <c r="Q723" s="23">
        <f>IFERROR(VLOOKUP(B723,'03. THIẾT BỊ'!$B$1:$S$836,16,0),"")</f>
        <v>0</v>
      </c>
      <c r="R723" s="25">
        <f>IFERROR(VLOOKUP(B723,'03. THIẾT BỊ'!$B$1:$S$836,17,0),"")</f>
        <v>0</v>
      </c>
      <c r="S723" s="25" t="str">
        <f>IFERROR(VLOOKUP(B723,'03. THIẾT BỊ'!$B$1:$S$836,18,0),"")</f>
        <v>HS128-NS305</v>
      </c>
      <c r="T723" s="622">
        <v>8.47</v>
      </c>
    </row>
    <row r="724" customHeight="1" spans="1:20">
      <c r="A724" s="19">
        <f t="shared" si="34"/>
        <v>6</v>
      </c>
      <c r="B724" s="20" t="s">
        <v>4898</v>
      </c>
      <c r="C724" s="613" t="str">
        <f>IFERROR(VLOOKUP(B724,'03. THIẾT BỊ'!$B$1:$S$836,2,0),"")</f>
        <v>XAD-SPT-004(SPT10)</v>
      </c>
      <c r="D724" s="24" t="str">
        <f>IFERROR(VLOOKUP(B724,'03. THIẾT BỊ'!$B$1:$S$836,3,0),"")</f>
        <v>A22-SPT-002</v>
      </c>
      <c r="E724" s="20" t="str">
        <f>IFERROR(VLOOKUP(B724,'03. THIẾT BỊ'!$B$1:$S$836,4,0),"")</f>
        <v>ĐQSD</v>
      </c>
      <c r="F724" s="20" t="str">
        <f>IFERROR(VLOOKUP(B724,'03. THIẾT BỊ'!$B$1:$S$836,5,0),"")</f>
        <v>Súng phun thuốc Hansung</v>
      </c>
      <c r="G724" s="101" t="s">
        <v>6468</v>
      </c>
      <c r="H724" s="19" t="str">
        <f>IFERROR(VLOOKUP(B724,'03. THIẾT BỊ'!$B$1:$S$836,7,0),"")</f>
        <v>XN Chuối LP3</v>
      </c>
      <c r="I724" s="610">
        <f>IFERROR(VLOOKUP(B724,'03. THIẾT BỊ'!$B$1:$S$836,8,0),"")</f>
        <v>0</v>
      </c>
      <c r="J724" s="25"/>
      <c r="K724" s="19" t="str">
        <f>IFERROR(VLOOKUP(B724,'03. THIẾT BỊ'!$B$1:$S$836,10,0),"")</f>
        <v>Bình thường</v>
      </c>
      <c r="L724" s="25" t="str">
        <f>IFERROR(VLOOKUP(B724,'03. THIẾT BỊ'!$B$1:$S$836,11,0),"")</f>
        <v>Đ.chuyển từ AD2 20/11/2024</v>
      </c>
      <c r="M724" s="24">
        <f>IFERROR(VLOOKUP(B724,'03. THIẾT BỊ'!$B$1:$S$836,12,0),"")</f>
        <v>0</v>
      </c>
      <c r="N724" s="25" t="str">
        <f>IFERROR(VLOOKUP(B724,'03. THIẾT BỊ'!$B$1:$S$836,13,0),"")</f>
        <v>HÀN QUỐC</v>
      </c>
      <c r="O724" s="24" t="str">
        <f>IFERROR(VLOOKUP(B724,'03. THIẾT BỊ'!$B$1:$S$836,14,0),"")</f>
        <v>HANSUNG</v>
      </c>
      <c r="P724" s="25" t="str">
        <f>IFERROR(VLOOKUP(B724,'03. THIẾT BỊ'!$B$1:$S$836,15,0),"")</f>
        <v>HÀN QUỐC</v>
      </c>
      <c r="Q724" s="23">
        <f>IFERROR(VLOOKUP(B724,'03. THIẾT BỊ'!$B$1:$S$836,16,0),"")</f>
        <v>0</v>
      </c>
      <c r="R724" s="25">
        <f>IFERROR(VLOOKUP(B724,'03. THIẾT BỊ'!$B$1:$S$836,17,0),"")</f>
        <v>0</v>
      </c>
      <c r="S724" s="25" t="str">
        <f>IFERROR(VLOOKUP(B724,'03. THIẾT BỊ'!$B$1:$S$836,18,0),"")</f>
        <v>HS128-DP343</v>
      </c>
      <c r="T724" s="622">
        <v>8.47</v>
      </c>
    </row>
    <row r="725" ht="13.8" spans="1:20">
      <c r="C725" s="613" t="str">
        <f>IFERROR(VLOOKUP(B725,'03. THIẾT BỊ'!$B$1:$S$836,2,0),"")</f>
        <v/>
      </c>
      <c r="D725" s="24" t="str">
        <f>IFERROR(VLOOKUP(B725,'03. THIẾT BỊ'!$B$1:$S$836,3,0),"")</f>
        <v/>
      </c>
      <c r="E725" s="20" t="str">
        <f>IFERROR(VLOOKUP(B725,'03. THIẾT BỊ'!$B$1:$S$836,4,0),"")</f>
        <v/>
      </c>
      <c r="F725" s="20" t="str">
        <f>IFERROR(VLOOKUP(B725,'03. THIẾT BỊ'!$B$1:$S$836,5,0),"")</f>
        <v/>
      </c>
      <c r="G725" s="101" t="s">
        <v>6468</v>
      </c>
      <c r="H725" s="19" t="str">
        <f>IFERROR(VLOOKUP(B725,'03. THIẾT BỊ'!$B$1:$S$836,7,0),"")</f>
        <v/>
      </c>
      <c r="I725" s="610" t="str">
        <f>IFERROR(VLOOKUP(B725,'03. THIẾT BỊ'!$B$1:$S$836,8,0),"")</f>
        <v/>
      </c>
      <c r="J725" s="25"/>
      <c r="K725" s="19" t="str">
        <f>IFERROR(VLOOKUP(B725,'03. THIẾT BỊ'!$B$1:$S$836,10,0),"")</f>
        <v/>
      </c>
      <c r="L725" s="25" t="str">
        <f>IFERROR(VLOOKUP(B725,'03. THIẾT BỊ'!$B$1:$S$836,11,0),"")</f>
        <v/>
      </c>
      <c r="M725" s="24" t="str">
        <f>IFERROR(VLOOKUP(B725,'03. THIẾT BỊ'!$B$1:$S$836,12,0),"")</f>
        <v/>
      </c>
      <c r="N725" s="25" t="str">
        <f>IFERROR(VLOOKUP(B725,'03. THIẾT BỊ'!$B$1:$S$836,13,0),"")</f>
        <v/>
      </c>
      <c r="O725" s="24" t="str">
        <f>IFERROR(VLOOKUP(B725,'03. THIẾT BỊ'!$B$1:$S$836,14,0),"")</f>
        <v/>
      </c>
      <c r="P725" s="25" t="str">
        <f>IFERROR(VLOOKUP(B725,'03. THIẾT BỊ'!$B$1:$S$836,15,0),"")</f>
        <v/>
      </c>
      <c r="Q725" s="23" t="str">
        <f>IFERROR(VLOOKUP(B725,'03. THIẾT BỊ'!$B$1:$S$836,16,0),"")</f>
        <v/>
      </c>
      <c r="R725" s="25" t="str">
        <f>IFERROR(VLOOKUP(B725,'03. THIẾT BỊ'!$B$1:$S$836,17,0),"")</f>
        <v/>
      </c>
      <c r="S725" s="25" t="str">
        <f>IFERROR(VLOOKUP(B725,'03. THIẾT BỊ'!$B$1:$S$836,18,0),"")</f>
        <v/>
      </c>
    </row>
    <row r="726" ht="13.8" spans="1:20">
      <c r="C726" s="613" t="str">
        <f>IFERROR(VLOOKUP(B726,'03. THIẾT BỊ'!$B$1:$S$836,2,0),"")</f>
        <v/>
      </c>
      <c r="D726" s="24" t="str">
        <f>IFERROR(VLOOKUP(B726,'03. THIẾT BỊ'!$B$1:$S$836,3,0),"")</f>
        <v/>
      </c>
      <c r="E726" s="20" t="str">
        <f>IFERROR(VLOOKUP(B726,'03. THIẾT BỊ'!$B$1:$S$836,4,0),"")</f>
        <v/>
      </c>
      <c r="F726" s="20" t="str">
        <f>IFERROR(VLOOKUP(B726,'03. THIẾT BỊ'!$B$1:$S$836,5,0),"")</f>
        <v/>
      </c>
      <c r="G726" s="101" t="s">
        <v>6468</v>
      </c>
      <c r="H726" s="19" t="str">
        <f>IFERROR(VLOOKUP(B726,'03. THIẾT BỊ'!$B$1:$S$836,7,0),"")</f>
        <v/>
      </c>
      <c r="I726" s="610" t="str">
        <f>IFERROR(VLOOKUP(B726,'03. THIẾT BỊ'!$B$1:$S$836,8,0),"")</f>
        <v/>
      </c>
      <c r="J726" s="25"/>
      <c r="K726" s="19" t="str">
        <f>IFERROR(VLOOKUP(B726,'03. THIẾT BỊ'!$B$1:$S$836,10,0),"")</f>
        <v/>
      </c>
      <c r="L726" s="25" t="str">
        <f>IFERROR(VLOOKUP(B726,'03. THIẾT BỊ'!$B$1:$S$836,11,0),"")</f>
        <v/>
      </c>
      <c r="M726" s="24" t="str">
        <f>IFERROR(VLOOKUP(B726,'03. THIẾT BỊ'!$B$1:$S$836,12,0),"")</f>
        <v/>
      </c>
      <c r="N726" s="25" t="str">
        <f>IFERROR(VLOOKUP(B726,'03. THIẾT BỊ'!$B$1:$S$836,13,0),"")</f>
        <v/>
      </c>
      <c r="O726" s="24" t="str">
        <f>IFERROR(VLOOKUP(B726,'03. THIẾT BỊ'!$B$1:$S$836,14,0),"")</f>
        <v/>
      </c>
      <c r="P726" s="25" t="str">
        <f>IFERROR(VLOOKUP(B726,'03. THIẾT BỊ'!$B$1:$S$836,15,0),"")</f>
        <v/>
      </c>
      <c r="Q726" s="23" t="str">
        <f>IFERROR(VLOOKUP(B726,'03. THIẾT BỊ'!$B$1:$S$836,16,0),"")</f>
        <v/>
      </c>
      <c r="R726" s="25" t="str">
        <f>IFERROR(VLOOKUP(B726,'03. THIẾT BỊ'!$B$1:$S$836,17,0),"")</f>
        <v/>
      </c>
      <c r="S726" s="25" t="str">
        <f>IFERROR(VLOOKUP(B726,'03. THIẾT BỊ'!$B$1:$S$836,18,0),"")</f>
        <v/>
      </c>
    </row>
    <row r="727" customHeight="1" spans="1:20">
      <c r="A727" s="14" t="s">
        <v>290</v>
      </c>
      <c r="B727" s="15" t="s">
        <v>6509</v>
      </c>
      <c r="C727" s="14">
        <f>COUNTA(B728:B740)</f>
        <v>12</v>
      </c>
      <c r="D727" s="17" t="str">
        <f>IFERROR(VLOOKUP(B727,'03. THIẾT BỊ'!$B$1:$S$836,3,0),"")</f>
        <v/>
      </c>
      <c r="E727" s="20" t="str">
        <f>IFERROR(VLOOKUP(B727,'03. THIẾT BỊ'!$B$1:$S$836,4,0),"")</f>
        <v/>
      </c>
      <c r="F727" s="17" t="str">
        <f>IFERROR(VLOOKUP(B727,'03. THIẾT BỊ'!$B$1:$S$836,5,0),"")</f>
        <v/>
      </c>
      <c r="G727" s="18" t="s">
        <v>6468</v>
      </c>
      <c r="H727" s="18" t="str">
        <f>IFERROR(VLOOKUP(B727,'03. THIẾT BỊ'!$B$1:$S$836,7,0),"")</f>
        <v/>
      </c>
      <c r="I727" s="14" t="str">
        <f>IFERROR(VLOOKUP(B727,'03. THIẾT BỊ'!$B$1:$S$836,8,0),"")</f>
        <v/>
      </c>
      <c r="J727" s="15"/>
      <c r="K727" s="14" t="str">
        <f>IFERROR(VLOOKUP(B727,'03. THIẾT BỊ'!$B$1:$S$836,10,0),"")</f>
        <v/>
      </c>
      <c r="L727" s="17" t="str">
        <f>IFERROR(VLOOKUP(B727,'03. THIẾT BỊ'!$B$1:$S$836,11,0),"")</f>
        <v/>
      </c>
      <c r="M727" s="16" t="str">
        <f>IFERROR(VLOOKUP(B727,'03. THIẾT BỊ'!$B$1:$S$836,12,0),"")</f>
        <v/>
      </c>
      <c r="N727" s="17" t="str">
        <f>IFERROR(VLOOKUP(B727,'03. THIẾT BỊ'!$B$1:$S$836,13,0),"")</f>
        <v/>
      </c>
      <c r="O727" s="16" t="str">
        <f>IFERROR(VLOOKUP(B727,'03. THIẾT BỊ'!$B$1:$S$836,14,0),"")</f>
        <v/>
      </c>
      <c r="P727" s="17" t="str">
        <f>IFERROR(VLOOKUP(B727,'03. THIẾT BỊ'!$B$1:$S$836,15,0),"")</f>
        <v/>
      </c>
      <c r="Q727" s="18" t="str">
        <f>IFERROR(VLOOKUP(B727,'03. THIẾT BỊ'!$B$1:$S$836,16,0),"")</f>
        <v/>
      </c>
      <c r="R727" s="17" t="str">
        <f>IFERROR(VLOOKUP(B727,'03. THIẾT BỊ'!$B$1:$S$836,17,0),"")</f>
        <v/>
      </c>
      <c r="S727" s="17" t="str">
        <f>IFERROR(VLOOKUP(B727,'03. THIẾT BỊ'!$B$1:$S$836,18,0),"")</f>
        <v/>
      </c>
      <c r="T727" s="609"/>
    </row>
    <row r="728" customHeight="1" spans="1:20">
      <c r="A728" s="19">
        <v>1</v>
      </c>
      <c r="B728" s="25" t="s">
        <v>5215</v>
      </c>
      <c r="C728" s="613">
        <f>IFERROR(VLOOKUP(B728,'03. THIẾT BỊ'!$B$1:$S$836,2,0),"")</f>
        <v>0</v>
      </c>
      <c r="D728" s="24" t="str">
        <f>IFERROR(VLOOKUP(B728,'03. THIẾT BỊ'!$B$1:$S$836,3,0),"")</f>
        <v>A22-THC-001</v>
      </c>
      <c r="E728" s="20" t="str">
        <f>IFERROR(VLOOKUP(B728,'03. THIẾT BỊ'!$B$1:$S$836,4,0),"")</f>
        <v>MUA MỚI</v>
      </c>
      <c r="F728" s="20" t="str">
        <f>IFERROR(VLOOKUP(B728,'03. THIẾT BỊ'!$B$1:$S$836,5,0),"")</f>
        <v>Thiết bị thu hoạch cỏ CHALLENGER II</v>
      </c>
      <c r="G728" s="101" t="s">
        <v>6468</v>
      </c>
      <c r="H728" s="19" t="str">
        <f>IFERROR(VLOOKUP(B728,'03. THIẾT BỊ'!$B$1:$S$836,7,0),"")</f>
        <v>XN Bò AD</v>
      </c>
      <c r="I728" s="610">
        <f>IFERROR(VLOOKUP(B728,'03. THIẾT BỊ'!$B$1:$S$836,8,0),"")</f>
        <v>45292</v>
      </c>
      <c r="J728" s="25"/>
      <c r="K728" s="19" t="str">
        <f>IFERROR(VLOOKUP(B728,'03. THIẾT BỊ'!$B$1:$S$836,10,0),"")</f>
        <v>Hư hỏng</v>
      </c>
      <c r="L728" s="25">
        <f>IFERROR(VLOOKUP(B728,'03. THIẾT BỊ'!$B$1:$S$836,11,0),"")</f>
        <v>0</v>
      </c>
      <c r="M728" s="24">
        <f>IFERROR(VLOOKUP(B728,'03. THIẾT BỊ'!$B$1:$S$836,12,0),"")</f>
        <v>0</v>
      </c>
      <c r="N728" s="25" t="str">
        <f>IFERROR(VLOOKUP(B728,'03. THIẾT BỊ'!$B$1:$S$836,13,0),"")</f>
        <v>CELIKEL</v>
      </c>
      <c r="O728" s="24" t="str">
        <f>IFERROR(VLOOKUP(B728,'03. THIẾT BỊ'!$B$1:$S$836,14,0),"")</f>
        <v>CHALLENGER II</v>
      </c>
      <c r="P728" s="25" t="str">
        <f>IFERROR(VLOOKUP(B728,'03. THIẾT BỊ'!$B$1:$S$836,15,0),"")</f>
        <v>THỔ NHỈ KỲ</v>
      </c>
      <c r="Q728" s="23">
        <f>IFERROR(VLOOKUP(B728,'03. THIẾT BỊ'!$B$1:$S$836,16,0),"")</f>
        <v>2019</v>
      </c>
      <c r="R728" s="25">
        <f>IFERROR(VLOOKUP(B728,'03. THIẾT BỊ'!$B$1:$S$836,17,0),"")</f>
        <v>0</v>
      </c>
      <c r="S728" s="25">
        <f>IFERROR(VLOOKUP(B728,'03. THIẾT BỊ'!$B$1:$S$836,18,0),"")</f>
        <v>0</v>
      </c>
      <c r="T728" s="41"/>
    </row>
    <row r="729" customHeight="1" spans="1:20">
      <c r="A729" s="19">
        <f t="shared" ref="A729:A739" si="35">A728+1</f>
        <v>2</v>
      </c>
      <c r="B729" s="25" t="s">
        <v>5221</v>
      </c>
      <c r="C729" s="613">
        <f>IFERROR(VLOOKUP(B729,'03. THIẾT BỊ'!$B$1:$S$836,2,0),"")</f>
        <v>0</v>
      </c>
      <c r="D729" s="24" t="str">
        <f>IFERROR(VLOOKUP(B729,'03. THIẾT BỊ'!$B$1:$S$836,3,0),"")</f>
        <v>A22-THC-002</v>
      </c>
      <c r="E729" s="20" t="str">
        <f>IFERROR(VLOOKUP(B729,'03. THIẾT BỊ'!$B$1:$S$836,4,0),"")</f>
        <v>MUA MỚI</v>
      </c>
      <c r="F729" s="20" t="str">
        <f>IFERROR(VLOOKUP(B729,'03. THIẾT BỊ'!$B$1:$S$836,5,0),"")</f>
        <v>Thiết bị thu hoạch cỏ CHALLENGER II</v>
      </c>
      <c r="G729" s="101" t="s">
        <v>6468</v>
      </c>
      <c r="H729" s="19" t="str">
        <f>IFERROR(VLOOKUP(B729,'03. THIẾT BỊ'!$B$1:$S$836,7,0),"")</f>
        <v>XN Bò AD</v>
      </c>
      <c r="I729" s="610">
        <f>IFERROR(VLOOKUP(B729,'03. THIẾT BỊ'!$B$1:$S$836,8,0),"")</f>
        <v>45292</v>
      </c>
      <c r="J729" s="25"/>
      <c r="K729" s="19" t="str">
        <f>IFERROR(VLOOKUP(B729,'03. THIẾT BỊ'!$B$1:$S$836,10,0),"")</f>
        <v>Bình thường</v>
      </c>
      <c r="L729" s="25">
        <f>IFERROR(VLOOKUP(B729,'03. THIẾT BỊ'!$B$1:$S$836,11,0),"")</f>
        <v>0</v>
      </c>
      <c r="M729" s="24">
        <f>IFERROR(VLOOKUP(B729,'03. THIẾT BỊ'!$B$1:$S$836,12,0),"")</f>
        <v>0</v>
      </c>
      <c r="N729" s="25" t="str">
        <f>IFERROR(VLOOKUP(B729,'03. THIẾT BỊ'!$B$1:$S$836,13,0),"")</f>
        <v>CELIKEL</v>
      </c>
      <c r="O729" s="24" t="str">
        <f>IFERROR(VLOOKUP(B729,'03. THIẾT BỊ'!$B$1:$S$836,14,0),"")</f>
        <v>CHALLENGER II</v>
      </c>
      <c r="P729" s="25" t="str">
        <f>IFERROR(VLOOKUP(B729,'03. THIẾT BỊ'!$B$1:$S$836,15,0),"")</f>
        <v>THỔ NHỈ KỲ</v>
      </c>
      <c r="Q729" s="23">
        <f>IFERROR(VLOOKUP(B729,'03. THIẾT BỊ'!$B$1:$S$836,16,0),"")</f>
        <v>2022</v>
      </c>
      <c r="R729" s="25">
        <f>IFERROR(VLOOKUP(B729,'03. THIẾT BỊ'!$B$1:$S$836,17,0),"")</f>
        <v>0</v>
      </c>
      <c r="S729" s="25" t="str">
        <f>IFERROR(VLOOKUP(B729,'03. THIẾT BỊ'!$B$1:$S$836,18,0),"")</f>
        <v>SBM-220038</v>
      </c>
      <c r="T729" s="41"/>
    </row>
    <row r="730" customHeight="1" spans="1:20">
      <c r="A730" s="19">
        <f t="shared" si="35"/>
        <v>3</v>
      </c>
      <c r="B730" s="25" t="s">
        <v>5224</v>
      </c>
      <c r="C730" s="613">
        <f>IFERROR(VLOOKUP(B730,'03. THIẾT BỊ'!$B$1:$S$836,2,0),"")</f>
        <v>0</v>
      </c>
      <c r="D730" s="24" t="str">
        <f>IFERROR(VLOOKUP(B730,'03. THIẾT BỊ'!$B$1:$S$836,3,0),"")</f>
        <v>A22-THC-003</v>
      </c>
      <c r="E730" s="20" t="str">
        <f>IFERROR(VLOOKUP(B730,'03. THIẾT BỊ'!$B$1:$S$836,4,0),"")</f>
        <v>MUA MỚI</v>
      </c>
      <c r="F730" s="20" t="str">
        <f>IFERROR(VLOOKUP(B730,'03. THIẾT BỊ'!$B$1:$S$836,5,0),"")</f>
        <v>Thiết bị thu hoạch cỏ CHALLENGER II PLUS</v>
      </c>
      <c r="G730" s="101" t="s">
        <v>6468</v>
      </c>
      <c r="H730" s="19" t="str">
        <f>IFERROR(VLOOKUP(B730,'03. THIẾT BỊ'!$B$1:$S$836,7,0),"")</f>
        <v>XN Bò AD</v>
      </c>
      <c r="I730" s="610" t="str">
        <f>IFERROR(VLOOKUP(B730,'03. THIẾT BỊ'!$B$1:$S$836,8,0),"")</f>
        <v>16/08/2024</v>
      </c>
      <c r="J730" s="25"/>
      <c r="K730" s="19" t="str">
        <f>IFERROR(VLOOKUP(B730,'03. THIẾT BỊ'!$B$1:$S$836,10,0),"")</f>
        <v>Bình thường</v>
      </c>
      <c r="L730" s="25">
        <f>IFERROR(VLOOKUP(B730,'03. THIẾT BỊ'!$B$1:$S$836,11,0),"")</f>
        <v>0</v>
      </c>
      <c r="M730" s="24">
        <f>IFERROR(VLOOKUP(B730,'03. THIẾT BỊ'!$B$1:$S$836,12,0),"")</f>
        <v>0</v>
      </c>
      <c r="N730" s="25" t="str">
        <f>IFERROR(VLOOKUP(B730,'03. THIẾT BỊ'!$B$1:$S$836,13,0),"")</f>
        <v>CELIKEL</v>
      </c>
      <c r="O730" s="24" t="str">
        <f>IFERROR(VLOOKUP(B730,'03. THIẾT BỊ'!$B$1:$S$836,14,0),"")</f>
        <v>CHALLENGER II PLUS</v>
      </c>
      <c r="P730" s="25" t="str">
        <f>IFERROR(VLOOKUP(B730,'03. THIẾT BỊ'!$B$1:$S$836,15,0),"")</f>
        <v>THỔ NHỈ KỲ</v>
      </c>
      <c r="Q730" s="23">
        <f>IFERROR(VLOOKUP(B730,'03. THIẾT BỊ'!$B$1:$S$836,16,0),"")</f>
        <v>2022</v>
      </c>
      <c r="R730" s="25" t="str">
        <f>IFERROR(VLOOKUP(B730,'03. THIẾT BỊ'!$B$1:$S$836,17,0),"")</f>
        <v>- Kèm trục các đăng </v>
      </c>
      <c r="S730" s="25" t="str">
        <f>IFERROR(VLOOKUP(B730,'03. THIẾT BỊ'!$B$1:$S$836,18,0),"")</f>
        <v>SBM-221203</v>
      </c>
      <c r="T730" s="41"/>
    </row>
    <row r="731" customHeight="1" spans="1:20">
      <c r="A731" s="19">
        <f t="shared" si="35"/>
        <v>4</v>
      </c>
      <c r="B731" s="25" t="s">
        <v>5229</v>
      </c>
      <c r="C731" s="613">
        <f>IFERROR(VLOOKUP(B731,'03. THIẾT BỊ'!$B$1:$S$836,2,0),"")</f>
        <v>0</v>
      </c>
      <c r="D731" s="24" t="str">
        <f>IFERROR(VLOOKUP(B731,'03. THIẾT BỊ'!$B$1:$S$836,3,0),"")</f>
        <v>A22-THC-004</v>
      </c>
      <c r="E731" s="20" t="str">
        <f>IFERROR(VLOOKUP(B731,'03. THIẾT BỊ'!$B$1:$S$836,4,0),"")</f>
        <v>MUA MỚI</v>
      </c>
      <c r="F731" s="20" t="str">
        <f>IFERROR(VLOOKUP(B731,'03. THIẾT BỊ'!$B$1:$S$836,5,0),"")</f>
        <v>Thiết bị thu hoạch cỏ CHALLENGER II PLUS</v>
      </c>
      <c r="G731" s="101" t="s">
        <v>6468</v>
      </c>
      <c r="H731" s="19" t="str">
        <f>IFERROR(VLOOKUP(B731,'03. THIẾT BỊ'!$B$1:$S$836,7,0),"")</f>
        <v>XN Bò AD</v>
      </c>
      <c r="I731" s="610" t="str">
        <f>IFERROR(VLOOKUP(B731,'03. THIẾT BỊ'!$B$1:$S$836,8,0),"")</f>
        <v>16/08/2024</v>
      </c>
      <c r="J731" s="25"/>
      <c r="K731" s="19" t="str">
        <f>IFERROR(VLOOKUP(B731,'03. THIẾT BỊ'!$B$1:$S$836,10,0),"")</f>
        <v>Bình thường</v>
      </c>
      <c r="L731" s="25">
        <f>IFERROR(VLOOKUP(B731,'03. THIẾT BỊ'!$B$1:$S$836,11,0),"")</f>
        <v>0</v>
      </c>
      <c r="M731" s="24">
        <f>IFERROR(VLOOKUP(B731,'03. THIẾT BỊ'!$B$1:$S$836,12,0),"")</f>
        <v>0</v>
      </c>
      <c r="N731" s="25" t="str">
        <f>IFERROR(VLOOKUP(B731,'03. THIẾT BỊ'!$B$1:$S$836,13,0),"")</f>
        <v>CELIKEL</v>
      </c>
      <c r="O731" s="24" t="str">
        <f>IFERROR(VLOOKUP(B731,'03. THIẾT BỊ'!$B$1:$S$836,14,0),"")</f>
        <v>CHALLENGER II PLUS</v>
      </c>
      <c r="P731" s="25" t="str">
        <f>IFERROR(VLOOKUP(B731,'03. THIẾT BỊ'!$B$1:$S$836,15,0),"")</f>
        <v>THỔ NHỈ KỲ</v>
      </c>
      <c r="Q731" s="23">
        <f>IFERROR(VLOOKUP(B731,'03. THIẾT BỊ'!$B$1:$S$836,16,0),"")</f>
        <v>2022</v>
      </c>
      <c r="R731" s="25" t="str">
        <f>IFERROR(VLOOKUP(B731,'03. THIẾT BỊ'!$B$1:$S$836,17,0),"")</f>
        <v>- Kèm trục các đăng </v>
      </c>
      <c r="S731" s="25" t="str">
        <f>IFERROR(VLOOKUP(B731,'03. THIẾT BỊ'!$B$1:$S$836,18,0),"")</f>
        <v>SBM-221211</v>
      </c>
      <c r="T731" s="41"/>
    </row>
    <row r="732" customHeight="1" spans="1:20">
      <c r="A732" s="19">
        <f t="shared" si="35"/>
        <v>5</v>
      </c>
      <c r="B732" s="25" t="s">
        <v>5232</v>
      </c>
      <c r="C732" s="613">
        <f>IFERROR(VLOOKUP(B732,'03. THIẾT BỊ'!$B$1:$S$836,2,0),"")</f>
        <v>0</v>
      </c>
      <c r="D732" s="24" t="str">
        <f>IFERROR(VLOOKUP(B732,'03. THIẾT BỊ'!$B$1:$S$836,3,0),"")</f>
        <v>A22-THC-005</v>
      </c>
      <c r="E732" s="20" t="str">
        <f>IFERROR(VLOOKUP(B732,'03. THIẾT BỊ'!$B$1:$S$836,4,0),"")</f>
        <v>MUA MỚI</v>
      </c>
      <c r="F732" s="20" t="str">
        <f>IFERROR(VLOOKUP(B732,'03. THIẾT BỊ'!$B$1:$S$836,5,0),"")</f>
        <v>Thiết bị thu hoạch cỏ thân mềm Calabria 1800</v>
      </c>
      <c r="G732" s="101" t="s">
        <v>6468</v>
      </c>
      <c r="H732" s="19" t="str">
        <f>IFERROR(VLOOKUP(B732,'03. THIẾT BỊ'!$B$1:$S$836,7,0),"")</f>
        <v>XN Bò AD</v>
      </c>
      <c r="I732" s="610" t="str">
        <f>IFERROR(VLOOKUP(B732,'03. THIẾT BỊ'!$B$1:$S$836,8,0),"")</f>
        <v>30/09/2024</v>
      </c>
      <c r="J732" s="25"/>
      <c r="K732" s="19" t="str">
        <f>IFERROR(VLOOKUP(B732,'03. THIẾT BỊ'!$B$1:$S$836,10,0),"")</f>
        <v>Bình thường</v>
      </c>
      <c r="L732" s="25">
        <f>IFERROR(VLOOKUP(B732,'03. THIẾT BỊ'!$B$1:$S$836,11,0),"")</f>
        <v>0</v>
      </c>
      <c r="M732" s="24">
        <f>IFERROR(VLOOKUP(B732,'03. THIẾT BỊ'!$B$1:$S$836,12,0),"")</f>
        <v>0</v>
      </c>
      <c r="N732" s="25" t="str">
        <f>IFERROR(VLOOKUP(B732,'03. THIẾT BỊ'!$B$1:$S$836,13,0),"")</f>
        <v>CELIKEL</v>
      </c>
      <c r="O732" s="24" t="str">
        <f>IFERROR(VLOOKUP(B732,'03. THIẾT BỊ'!$B$1:$S$836,14,0),"")</f>
        <v>CALABRIA 1800</v>
      </c>
      <c r="P732" s="25" t="str">
        <f>IFERROR(VLOOKUP(B732,'03. THIẾT BỊ'!$B$1:$S$836,15,0),"")</f>
        <v>THỔ NHỈ KỲ</v>
      </c>
      <c r="Q732" s="23">
        <f>IFERROR(VLOOKUP(B732,'03. THIẾT BỊ'!$B$1:$S$836,16,0),"")</f>
        <v>2024</v>
      </c>
      <c r="R732" s="25" t="str">
        <f>IFERROR(VLOOKUP(B732,'03. THIẾT BỊ'!$B$1:$S$836,17,0),"")</f>
        <v>- Kèm trục các đăng </v>
      </c>
      <c r="S732" s="25" t="str">
        <f>IFERROR(VLOOKUP(B732,'03. THIẾT BỊ'!$B$1:$S$836,18,0),"")</f>
        <v>CKM-240010</v>
      </c>
      <c r="T732" s="41"/>
    </row>
    <row r="733" customHeight="1" spans="1:20">
      <c r="A733" s="19">
        <f t="shared" si="35"/>
        <v>6</v>
      </c>
      <c r="B733" s="25" t="s">
        <v>5237</v>
      </c>
      <c r="C733" s="613">
        <f>IFERROR(VLOOKUP(B733,'03. THIẾT BỊ'!$B$1:$S$836,2,0),"")</f>
        <v>0</v>
      </c>
      <c r="D733" s="24" t="str">
        <f>IFERROR(VLOOKUP(B733,'03. THIẾT BỊ'!$B$1:$S$836,3,0),"")</f>
        <v>A22-THC-006</v>
      </c>
      <c r="E733" s="20" t="str">
        <f>IFERROR(VLOOKUP(B733,'03. THIẾT BỊ'!$B$1:$S$836,4,0),"")</f>
        <v>MUA MỚI</v>
      </c>
      <c r="F733" s="20" t="str">
        <f>IFERROR(VLOOKUP(B733,'03. THIẾT BỊ'!$B$1:$S$836,5,0),"")</f>
        <v>Thiết bị thu hoạch cỏ CHALLENGER IV</v>
      </c>
      <c r="G733" s="101" t="s">
        <v>6468</v>
      </c>
      <c r="H733" s="19" t="str">
        <f>IFERROR(VLOOKUP(B733,'03. THIẾT BỊ'!$B$1:$S$836,7,0),"")</f>
        <v>XN Bò AD</v>
      </c>
      <c r="I733" s="610" t="str">
        <f>IFERROR(VLOOKUP(B733,'03. THIẾT BỊ'!$B$1:$S$836,8,0),"")</f>
        <v>30/10/2024</v>
      </c>
      <c r="J733" s="25"/>
      <c r="K733" s="19" t="str">
        <f>IFERROR(VLOOKUP(B733,'03. THIẾT BỊ'!$B$1:$S$836,10,0),"")</f>
        <v>Bình thường</v>
      </c>
      <c r="L733" s="25">
        <f>IFERROR(VLOOKUP(B733,'03. THIẾT BỊ'!$B$1:$S$836,11,0),"")</f>
        <v>0</v>
      </c>
      <c r="M733" s="24">
        <f>IFERROR(VLOOKUP(B733,'03. THIẾT BỊ'!$B$1:$S$836,12,0),"")</f>
        <v>0</v>
      </c>
      <c r="N733" s="25" t="str">
        <f>IFERROR(VLOOKUP(B733,'03. THIẾT BỊ'!$B$1:$S$836,13,0),"")</f>
        <v>CELIKEL</v>
      </c>
      <c r="O733" s="24" t="str">
        <f>IFERROR(VLOOKUP(B733,'03. THIẾT BỊ'!$B$1:$S$836,14,0),"")</f>
        <v>CHALLENGER IV</v>
      </c>
      <c r="P733" s="25" t="str">
        <f>IFERROR(VLOOKUP(B733,'03. THIẾT BỊ'!$B$1:$S$836,15,0),"")</f>
        <v>THỔ NHỈ KỲ</v>
      </c>
      <c r="Q733" s="23">
        <f>IFERROR(VLOOKUP(B733,'03. THIẾT BỊ'!$B$1:$S$836,16,0),"")</f>
        <v>2024</v>
      </c>
      <c r="R733" s="25" t="str">
        <f>IFERROR(VLOOKUP(B733,'03. THIẾT BỊ'!$B$1:$S$836,17,0),"")</f>
        <v>- Kèm trục các đăng </v>
      </c>
      <c r="S733" s="25" t="str">
        <f>IFERROR(VLOOKUP(B733,'03. THIẾT BỊ'!$B$1:$S$836,18,0),"")</f>
        <v>4SSM-240003</v>
      </c>
      <c r="T733" s="41"/>
    </row>
    <row r="734" customHeight="1" spans="1:20">
      <c r="A734" s="19">
        <f t="shared" si="35"/>
        <v>7</v>
      </c>
      <c r="B734" s="25" t="s">
        <v>5242</v>
      </c>
      <c r="C734" s="613">
        <f>IFERROR(VLOOKUP(B734,'03. THIẾT BỊ'!$B$1:$S$836,2,0),"")</f>
        <v>0</v>
      </c>
      <c r="D734" s="24" t="str">
        <f>IFERROR(VLOOKUP(B734,'03. THIẾT BỊ'!$B$1:$S$836,3,0),"")</f>
        <v>A22-THC-007</v>
      </c>
      <c r="E734" s="20" t="str">
        <f>IFERROR(VLOOKUP(B734,'03. THIẾT BỊ'!$B$1:$S$836,4,0),"")</f>
        <v>MUA MỚI</v>
      </c>
      <c r="F734" s="20" t="str">
        <f>IFERROR(VLOOKUP(B734,'03. THIẾT BỊ'!$B$1:$S$836,5,0),"")</f>
        <v>Thiết bị thu hoạch cỏ CHALLENGER IV</v>
      </c>
      <c r="G734" s="101" t="s">
        <v>6468</v>
      </c>
      <c r="H734" s="19" t="str">
        <f>IFERROR(VLOOKUP(B734,'03. THIẾT BỊ'!$B$1:$S$836,7,0),"")</f>
        <v>XN Bò AD</v>
      </c>
      <c r="I734" s="610" t="str">
        <f>IFERROR(VLOOKUP(B734,'03. THIẾT BỊ'!$B$1:$S$836,8,0),"")</f>
        <v>26/02/2025</v>
      </c>
      <c r="J734" s="25"/>
      <c r="K734" s="19" t="str">
        <f>IFERROR(VLOOKUP(B734,'03. THIẾT BỊ'!$B$1:$S$836,10,0),"")</f>
        <v>Bình thường</v>
      </c>
      <c r="L734" s="25">
        <f>IFERROR(VLOOKUP(B734,'03. THIẾT BỊ'!$B$1:$S$836,11,0),"")</f>
        <v>0</v>
      </c>
      <c r="M734" s="24">
        <f>IFERROR(VLOOKUP(B734,'03. THIẾT BỊ'!$B$1:$S$836,12,0),"")</f>
        <v>0</v>
      </c>
      <c r="N734" s="25" t="str">
        <f>IFERROR(VLOOKUP(B734,'03. THIẾT BỊ'!$B$1:$S$836,13,0),"")</f>
        <v>CELIKEL</v>
      </c>
      <c r="O734" s="24" t="str">
        <f>IFERROR(VLOOKUP(B734,'03. THIẾT BỊ'!$B$1:$S$836,14,0),"")</f>
        <v>CHALLENGER IV</v>
      </c>
      <c r="P734" s="25" t="str">
        <f>IFERROR(VLOOKUP(B734,'03. THIẾT BỊ'!$B$1:$S$836,15,0),"")</f>
        <v>THỔ NHỈ KỲ</v>
      </c>
      <c r="Q734" s="23">
        <f>IFERROR(VLOOKUP(B734,'03. THIẾT BỊ'!$B$1:$S$836,16,0),"")</f>
        <v>2024</v>
      </c>
      <c r="R734" s="25" t="str">
        <f>IFERROR(VLOOKUP(B734,'03. THIẾT BỊ'!$B$1:$S$836,17,0),"")</f>
        <v>- Kèm trục các đăng </v>
      </c>
      <c r="S734" s="25" t="str">
        <f>IFERROR(VLOOKUP(B734,'03. THIẾT BỊ'!$B$1:$S$836,18,0),"")</f>
        <v>4SSM-240001</v>
      </c>
      <c r="T734" s="41"/>
    </row>
    <row r="735" customHeight="1" spans="1:20">
      <c r="A735" s="19">
        <f t="shared" si="35"/>
        <v>8</v>
      </c>
      <c r="B735" s="25" t="s">
        <v>5246</v>
      </c>
      <c r="C735" s="613">
        <f>IFERROR(VLOOKUP(B735,'03. THIẾT BỊ'!$B$1:$S$836,2,0),"")</f>
        <v>0</v>
      </c>
      <c r="D735" s="24" t="str">
        <f>IFERROR(VLOOKUP(B735,'03. THIẾT BỊ'!$B$1:$S$836,3,0),"")</f>
        <v>A22-THC-008</v>
      </c>
      <c r="E735" s="20" t="str">
        <f>IFERROR(VLOOKUP(B735,'03. THIẾT BỊ'!$B$1:$S$836,4,0),"")</f>
        <v>MUA MỚI</v>
      </c>
      <c r="F735" s="20" t="str">
        <f>IFERROR(VLOOKUP(B735,'03. THIẾT BỊ'!$B$1:$S$836,5,0),"")</f>
        <v>Thiết bị thu hoạch cỏ thân mềm Calabria 1800</v>
      </c>
      <c r="G735" s="101" t="s">
        <v>6468</v>
      </c>
      <c r="H735" s="19" t="str">
        <f>IFERROR(VLOOKUP(B735,'03. THIẾT BỊ'!$B$1:$S$836,7,0),"")</f>
        <v>XN Bò AD</v>
      </c>
      <c r="I735" s="610" t="str">
        <f>IFERROR(VLOOKUP(B735,'03. THIẾT BỊ'!$B$1:$S$836,8,0),"")</f>
        <v>18/03/2025</v>
      </c>
      <c r="J735" s="25"/>
      <c r="K735" s="19" t="str">
        <f>IFERROR(VLOOKUP(B735,'03. THIẾT BỊ'!$B$1:$S$836,10,0),"")</f>
        <v>Bình thường</v>
      </c>
      <c r="L735" s="25">
        <f>IFERROR(VLOOKUP(B735,'03. THIẾT BỊ'!$B$1:$S$836,11,0),"")</f>
        <v>0</v>
      </c>
      <c r="M735" s="24">
        <f>IFERROR(VLOOKUP(B735,'03. THIẾT BỊ'!$B$1:$S$836,12,0),"")</f>
        <v>0</v>
      </c>
      <c r="N735" s="25" t="str">
        <f>IFERROR(VLOOKUP(B735,'03. THIẾT BỊ'!$B$1:$S$836,13,0),"")</f>
        <v>CELIKEL</v>
      </c>
      <c r="O735" s="24" t="str">
        <f>IFERROR(VLOOKUP(B735,'03. THIẾT BỊ'!$B$1:$S$836,14,0),"")</f>
        <v>CALABRIA 1800</v>
      </c>
      <c r="P735" s="25" t="str">
        <f>IFERROR(VLOOKUP(B735,'03. THIẾT BỊ'!$B$1:$S$836,15,0),"")</f>
        <v>THỔ NHỈ KỲ</v>
      </c>
      <c r="Q735" s="23">
        <f>IFERROR(VLOOKUP(B735,'03. THIẾT BỊ'!$B$1:$S$836,16,0),"")</f>
        <v>2025</v>
      </c>
      <c r="R735" s="25" t="str">
        <f>IFERROR(VLOOKUP(B735,'03. THIẾT BỊ'!$B$1:$S$836,17,0),"")</f>
        <v>- Kèm trục các đăng </v>
      </c>
      <c r="S735" s="25" t="str">
        <f>IFERROR(VLOOKUP(B735,'03. THIẾT BỊ'!$B$1:$S$836,18,0),"")</f>
        <v>CKM-240063</v>
      </c>
      <c r="T735" s="41"/>
    </row>
    <row r="736" customHeight="1" spans="1:20">
      <c r="A736" s="19">
        <f t="shared" si="35"/>
        <v>9</v>
      </c>
      <c r="B736" s="25" t="s">
        <v>5249</v>
      </c>
      <c r="C736" s="613">
        <f>IFERROR(VLOOKUP(B736,'03. THIẾT BỊ'!$B$1:$S$836,2,0),"")</f>
        <v>0</v>
      </c>
      <c r="D736" s="24" t="str">
        <f>IFERROR(VLOOKUP(B736,'03. THIẾT BỊ'!$B$1:$S$836,3,0),"")</f>
        <v>A22-THC-009</v>
      </c>
      <c r="E736" s="20" t="str">
        <f>IFERROR(VLOOKUP(B736,'03. THIẾT BỊ'!$B$1:$S$836,4,0),"")</f>
        <v>MUA MỚI</v>
      </c>
      <c r="F736" s="20" t="str">
        <f>IFERROR(VLOOKUP(B736,'03. THIẾT BỊ'!$B$1:$S$836,5,0),"")</f>
        <v>Thiết bị thu hoạch cỏ thân mềm Calabria 1800</v>
      </c>
      <c r="G736" s="101" t="s">
        <v>6468</v>
      </c>
      <c r="H736" s="19" t="str">
        <f>IFERROR(VLOOKUP(B736,'03. THIẾT BỊ'!$B$1:$S$836,7,0),"")</f>
        <v>XN Bò AD</v>
      </c>
      <c r="I736" s="610" t="str">
        <f>IFERROR(VLOOKUP(B736,'03. THIẾT BỊ'!$B$1:$S$836,8,0),"")</f>
        <v>18/03/2025</v>
      </c>
      <c r="J736" s="25"/>
      <c r="K736" s="19" t="str">
        <f>IFERROR(VLOOKUP(B736,'03. THIẾT BỊ'!$B$1:$S$836,10,0),"")</f>
        <v>Bình thường</v>
      </c>
      <c r="L736" s="25">
        <f>IFERROR(VLOOKUP(B736,'03. THIẾT BỊ'!$B$1:$S$836,11,0),"")</f>
        <v>0</v>
      </c>
      <c r="M736" s="24">
        <f>IFERROR(VLOOKUP(B736,'03. THIẾT BỊ'!$B$1:$S$836,12,0),"")</f>
        <v>0</v>
      </c>
      <c r="N736" s="25" t="str">
        <f>IFERROR(VLOOKUP(B736,'03. THIẾT BỊ'!$B$1:$S$836,13,0),"")</f>
        <v>CELIKEL</v>
      </c>
      <c r="O736" s="24" t="str">
        <f>IFERROR(VLOOKUP(B736,'03. THIẾT BỊ'!$B$1:$S$836,14,0),"")</f>
        <v>CALABRIA 1800</v>
      </c>
      <c r="P736" s="25" t="str">
        <f>IFERROR(VLOOKUP(B736,'03. THIẾT BỊ'!$B$1:$S$836,15,0),"")</f>
        <v>THỔ NHỈ KỲ</v>
      </c>
      <c r="Q736" s="23">
        <f>IFERROR(VLOOKUP(B736,'03. THIẾT BỊ'!$B$1:$S$836,16,0),"")</f>
        <v>2025</v>
      </c>
      <c r="R736" s="25" t="str">
        <f>IFERROR(VLOOKUP(B736,'03. THIẾT BỊ'!$B$1:$S$836,17,0),"")</f>
        <v>- Kèm trục các đăng </v>
      </c>
      <c r="S736" s="25" t="str">
        <f>IFERROR(VLOOKUP(B736,'03. THIẾT BỊ'!$B$1:$S$836,18,0),"")</f>
        <v>CKM-240064</v>
      </c>
      <c r="T736" s="41"/>
    </row>
    <row r="737" customHeight="1" spans="1:20">
      <c r="A737" s="19">
        <f t="shared" si="35"/>
        <v>10</v>
      </c>
      <c r="B737" s="25" t="s">
        <v>5252</v>
      </c>
      <c r="C737" s="613">
        <f>IFERROR(VLOOKUP(B737,'03. THIẾT BỊ'!$B$1:$S$836,2,0),"")</f>
        <v>0</v>
      </c>
      <c r="D737" s="24" t="str">
        <f>IFERROR(VLOOKUP(B737,'03. THIẾT BỊ'!$B$1:$S$836,3,0),"")</f>
        <v>A22-THC-010</v>
      </c>
      <c r="E737" s="20" t="str">
        <f>IFERROR(VLOOKUP(B737,'03. THIẾT BỊ'!$B$1:$S$836,4,0),"")</f>
        <v>MUA MỚI</v>
      </c>
      <c r="F737" s="20" t="str">
        <f>IFERROR(VLOOKUP(B737,'03. THIẾT BỊ'!$B$1:$S$836,5,0),"")</f>
        <v>Thiết bị thu hoạch cỏ CHALLENGER IV</v>
      </c>
      <c r="G737" s="101" t="s">
        <v>6468</v>
      </c>
      <c r="H737" s="19" t="str">
        <f>IFERROR(VLOOKUP(B737,'03. THIẾT BỊ'!$B$1:$S$836,7,0),"")</f>
        <v>XN Bò AD</v>
      </c>
      <c r="I737" s="610" t="str">
        <f>IFERROR(VLOOKUP(B737,'03. THIẾT BỊ'!$B$1:$S$836,8,0),"")</f>
        <v>19/01/2026</v>
      </c>
      <c r="J737" s="25"/>
      <c r="K737" s="19" t="str">
        <f>IFERROR(VLOOKUP(B737,'03. THIẾT BỊ'!$B$1:$S$836,10,0),"")</f>
        <v>Bình thường</v>
      </c>
      <c r="L737" s="25">
        <f>IFERROR(VLOOKUP(B737,'03. THIẾT BỊ'!$B$1:$S$836,11,0),"")</f>
        <v>0</v>
      </c>
      <c r="M737" s="24">
        <f>IFERROR(VLOOKUP(B737,'03. THIẾT BỊ'!$B$1:$S$836,12,0),"")</f>
        <v>0</v>
      </c>
      <c r="N737" s="25" t="str">
        <f>IFERROR(VLOOKUP(B737,'03. THIẾT BỊ'!$B$1:$S$836,13,0),"")</f>
        <v>CELIKEL</v>
      </c>
      <c r="O737" s="24" t="str">
        <f>IFERROR(VLOOKUP(B737,'03. THIẾT BỊ'!$B$1:$S$836,14,0),"")</f>
        <v>CHALLENGER IV</v>
      </c>
      <c r="P737" s="25" t="str">
        <f>IFERROR(VLOOKUP(B737,'03. THIẾT BỊ'!$B$1:$S$836,15,0),"")</f>
        <v>THỔ NHỈ KỲ</v>
      </c>
      <c r="Q737" s="23">
        <f>IFERROR(VLOOKUP(B737,'03. THIẾT BỊ'!$B$1:$S$836,16,0),"")</f>
        <v>2025</v>
      </c>
      <c r="R737" s="25" t="str">
        <f>IFERROR(VLOOKUP(B737,'03. THIẾT BỊ'!$B$1:$S$836,17,0),"")</f>
        <v>- Kèm trục các đăng </v>
      </c>
      <c r="S737" s="25" t="str">
        <f>IFERROR(VLOOKUP(B737,'03. THIẾT BỊ'!$B$1:$S$836,18,0),"")</f>
        <v>4SSM-250016</v>
      </c>
      <c r="T737" s="41"/>
    </row>
    <row r="738" customHeight="1" spans="1:20">
      <c r="A738" s="19">
        <f t="shared" si="35"/>
        <v>11</v>
      </c>
      <c r="B738" s="25" t="s">
        <v>5258</v>
      </c>
      <c r="C738" s="613">
        <f>IFERROR(VLOOKUP(B738,'03. THIẾT BỊ'!$B$1:$S$836,2,0),"")</f>
        <v>0</v>
      </c>
      <c r="D738" s="24" t="str">
        <f>IFERROR(VLOOKUP(B738,'03. THIẾT BỊ'!$B$1:$S$836,3,0),"")</f>
        <v>A22-THC-012</v>
      </c>
      <c r="E738" s="20" t="str">
        <f>IFERROR(VLOOKUP(B738,'03. THIẾT BỊ'!$B$1:$S$836,4,0),"")</f>
        <v>MUA MỚI</v>
      </c>
      <c r="F738" s="20" t="str">
        <f>IFERROR(VLOOKUP(B738,'03. THIẾT BỊ'!$B$1:$S$836,5,0),"")</f>
        <v>Thiết bị thu hoạch cỏ thân mềm Calabria 1800</v>
      </c>
      <c r="G738" s="101" t="s">
        <v>6468</v>
      </c>
      <c r="H738" s="19" t="str">
        <f>IFERROR(VLOOKUP(B738,'03. THIẾT BỊ'!$B$1:$S$836,7,0),"")</f>
        <v>XN Bò AD</v>
      </c>
      <c r="I738" s="610" t="str">
        <f>IFERROR(VLOOKUP(B738,'03. THIẾT BỊ'!$B$1:$S$836,8,0),"")</f>
        <v>24/07/2026</v>
      </c>
      <c r="J738" s="25"/>
      <c r="K738" s="19" t="str">
        <f>IFERROR(VLOOKUP(B738,'03. THIẾT BỊ'!$B$1:$S$836,10,0),"")</f>
        <v>Bình thường</v>
      </c>
      <c r="L738" s="25">
        <f>IFERROR(VLOOKUP(B738,'03. THIẾT BỊ'!$B$1:$S$836,11,0),"")</f>
        <v>0</v>
      </c>
      <c r="M738" s="24" t="str">
        <f>IFERROR(VLOOKUP(B738,'03. THIẾT BỊ'!$B$1:$S$836,12,0),"")</f>
        <v>Đầu tư mới</v>
      </c>
      <c r="N738" s="25" t="str">
        <f>IFERROR(VLOOKUP(B738,'03. THIẾT BỊ'!$B$1:$S$836,13,0),"")</f>
        <v>CELIKEL</v>
      </c>
      <c r="O738" s="24" t="str">
        <f>IFERROR(VLOOKUP(B738,'03. THIẾT BỊ'!$B$1:$S$836,14,0),"")</f>
        <v>THỔ NHỈ KỲ</v>
      </c>
      <c r="P738" s="25">
        <f>IFERROR(VLOOKUP(B738,'03. THIẾT BỊ'!$B$1:$S$836,15,0),"")</f>
        <v>2026</v>
      </c>
      <c r="Q738" s="23" t="str">
        <f>IFERROR(VLOOKUP(B738,'03. THIẾT BỊ'!$B$1:$S$836,16,0),"")</f>
        <v>CALABRIA 1800</v>
      </c>
      <c r="R738" s="25" t="str">
        <f>IFERROR(VLOOKUP(B738,'03. THIẾT BỊ'!$B$1:$S$836,17,0),"")</f>
        <v>90 HP ~</v>
      </c>
      <c r="S738" s="25" t="str">
        <f>IFERROR(VLOOKUP(B738,'03. THIẾT BỊ'!$B$1:$S$836,18,0),"")</f>
        <v>CKM-260004</v>
      </c>
      <c r="T738" s="41"/>
    </row>
    <row r="739" customHeight="1" spans="1:20">
      <c r="A739" s="19">
        <f t="shared" si="35"/>
        <v>12</v>
      </c>
      <c r="B739" s="25" t="s">
        <v>5263</v>
      </c>
      <c r="C739" s="613">
        <f>IFERROR(VLOOKUP(B739,'03. THIẾT BỊ'!$B$1:$S$836,2,0),"")</f>
        <v>0</v>
      </c>
      <c r="D739" s="24" t="str">
        <f>IFERROR(VLOOKUP(B739,'03. THIẾT BỊ'!$B$1:$S$836,3,0),"")</f>
        <v>A22-THC-013</v>
      </c>
      <c r="E739" s="20" t="str">
        <f>IFERROR(VLOOKUP(B739,'03. THIẾT BỊ'!$B$1:$S$836,4,0),"")</f>
        <v>MUA MỚI</v>
      </c>
      <c r="F739" s="20" t="str">
        <f>IFERROR(VLOOKUP(B739,'03. THIẾT BỊ'!$B$1:$S$836,5,0),"")</f>
        <v>Thiết bị thu hoạch cỏ thân mềm Calabria 2100</v>
      </c>
      <c r="G739" s="101" t="s">
        <v>6468</v>
      </c>
      <c r="H739" s="19" t="str">
        <f>IFERROR(VLOOKUP(B739,'03. THIẾT BỊ'!$B$1:$S$836,7,0),"")</f>
        <v>XN Bò AD</v>
      </c>
      <c r="I739" s="610" t="str">
        <f>IFERROR(VLOOKUP(B739,'03. THIẾT BỊ'!$B$1:$S$836,8,0),"")</f>
        <v>24/07/2026</v>
      </c>
      <c r="J739" s="25"/>
      <c r="K739" s="19" t="str">
        <f>IFERROR(VLOOKUP(B739,'03. THIẾT BỊ'!$B$1:$S$836,10,0),"")</f>
        <v>Bình thường</v>
      </c>
      <c r="L739" s="25">
        <f>IFERROR(VLOOKUP(B739,'03. THIẾT BỊ'!$B$1:$S$836,11,0),"")</f>
        <v>0</v>
      </c>
      <c r="M739" s="24" t="str">
        <f>IFERROR(VLOOKUP(B739,'03. THIẾT BỊ'!$B$1:$S$836,12,0),"")</f>
        <v>Đầu tư mới</v>
      </c>
      <c r="N739" s="25" t="str">
        <f>IFERROR(VLOOKUP(B739,'03. THIẾT BỊ'!$B$1:$S$836,13,0),"")</f>
        <v>CELIKEL</v>
      </c>
      <c r="O739" s="24" t="str">
        <f>IFERROR(VLOOKUP(B739,'03. THIẾT BỊ'!$B$1:$S$836,14,0),"")</f>
        <v>THỔ NHỈ KỲ</v>
      </c>
      <c r="P739" s="25">
        <f>IFERROR(VLOOKUP(B739,'03. THIẾT BỊ'!$B$1:$S$836,15,0),"")</f>
        <v>2026</v>
      </c>
      <c r="Q739" s="23" t="str">
        <f>IFERROR(VLOOKUP(B739,'03. THIẾT BỊ'!$B$1:$S$836,16,0),"")</f>
        <v>CALABRIA 2100</v>
      </c>
      <c r="R739" s="25" t="str">
        <f>IFERROR(VLOOKUP(B739,'03. THIẾT BỊ'!$B$1:$S$836,17,0),"")</f>
        <v>120 HP ~</v>
      </c>
      <c r="S739" s="25" t="str">
        <f>IFERROR(VLOOKUP(B739,'03. THIẾT BỊ'!$B$1:$S$836,18,0),"")</f>
        <v>CKM-260004</v>
      </c>
      <c r="T739" s="41"/>
    </row>
    <row r="740" customHeight="1" spans="1:20">
      <c r="A740" s="19"/>
      <c r="B740" s="20"/>
      <c r="C740" s="613" t="str">
        <f>IFERROR(VLOOKUP(B740,'03. THIẾT BỊ'!$B$1:$S$836,2,0),"")</f>
        <v/>
      </c>
      <c r="D740" s="24" t="str">
        <f>IFERROR(VLOOKUP(B740,'03. THIẾT BỊ'!$B$1:$S$836,3,0),"")</f>
        <v/>
      </c>
      <c r="E740" s="20" t="str">
        <f>IFERROR(VLOOKUP(B740,'03. THIẾT BỊ'!$B$1:$S$836,4,0),"")</f>
        <v/>
      </c>
      <c r="F740" s="20" t="str">
        <f>IFERROR(VLOOKUP(B740,'03. THIẾT BỊ'!$B$1:$S$836,5,0),"")</f>
        <v/>
      </c>
      <c r="G740" s="101" t="s">
        <v>6468</v>
      </c>
      <c r="H740" s="19" t="str">
        <f>IFERROR(VLOOKUP(B740,'03. THIẾT BỊ'!$B$1:$S$836,7,0),"")</f>
        <v/>
      </c>
      <c r="I740" s="610" t="str">
        <f>IFERROR(VLOOKUP(B740,'03. THIẾT BỊ'!$B$1:$S$836,8,0),"")</f>
        <v/>
      </c>
      <c r="J740" s="25"/>
      <c r="K740" s="19" t="str">
        <f>IFERROR(VLOOKUP(B740,'03. THIẾT BỊ'!$B$1:$S$836,10,0),"")</f>
        <v/>
      </c>
      <c r="L740" s="25" t="str">
        <f>IFERROR(VLOOKUP(B740,'03. THIẾT BỊ'!$B$1:$S$836,11,0),"")</f>
        <v/>
      </c>
      <c r="M740" s="24" t="str">
        <f>IFERROR(VLOOKUP(B740,'03. THIẾT BỊ'!$B$1:$S$836,12,0),"")</f>
        <v/>
      </c>
      <c r="N740" s="25" t="str">
        <f>IFERROR(VLOOKUP(B740,'03. THIẾT BỊ'!$B$1:$S$836,13,0),"")</f>
        <v/>
      </c>
      <c r="O740" s="24" t="str">
        <f>IFERROR(VLOOKUP(B740,'03. THIẾT BỊ'!$B$1:$S$836,14,0),"")</f>
        <v/>
      </c>
      <c r="P740" s="25" t="str">
        <f>IFERROR(VLOOKUP(B740,'03. THIẾT BỊ'!$B$1:$S$836,15,0),"")</f>
        <v/>
      </c>
      <c r="Q740" s="23" t="str">
        <f>IFERROR(VLOOKUP(B740,'03. THIẾT BỊ'!$B$1:$S$836,16,0),"")</f>
        <v/>
      </c>
      <c r="R740" s="25" t="str">
        <f>IFERROR(VLOOKUP(B740,'03. THIẾT BỊ'!$B$1:$S$836,17,0),"")</f>
        <v/>
      </c>
      <c r="S740" s="25" t="str">
        <f>IFERROR(VLOOKUP(B740,'03. THIẾT BỊ'!$B$1:$S$836,18,0),"")</f>
        <v/>
      </c>
      <c r="T740" s="622"/>
    </row>
    <row r="741" customHeight="1" spans="1:20">
      <c r="A741" s="14" t="s">
        <v>290</v>
      </c>
      <c r="B741" s="15" t="s">
        <v>6510</v>
      </c>
      <c r="C741" s="14">
        <f>COUNTA(B742:B744)</f>
        <v>1</v>
      </c>
      <c r="D741" s="17" t="str">
        <f>IFERROR(VLOOKUP(B741,'03. THIẾT BỊ'!$B$1:$S$836,3,0),"")</f>
        <v/>
      </c>
      <c r="E741" s="20" t="str">
        <f>IFERROR(VLOOKUP(B741,'03. THIẾT BỊ'!$B$1:$S$836,4,0),"")</f>
        <v/>
      </c>
      <c r="F741" s="17" t="str">
        <f>IFERROR(VLOOKUP(B741,'03. THIẾT BỊ'!$B$1:$S$836,5,0),"")</f>
        <v/>
      </c>
      <c r="G741" s="18" t="s">
        <v>6468</v>
      </c>
      <c r="H741" s="18" t="str">
        <f>IFERROR(VLOOKUP(B741,'03. THIẾT BỊ'!$B$1:$S$836,7,0),"")</f>
        <v/>
      </c>
      <c r="I741" s="14" t="str">
        <f>IFERROR(VLOOKUP(B741,'03. THIẾT BỊ'!$B$1:$S$836,8,0),"")</f>
        <v/>
      </c>
      <c r="J741" s="15"/>
      <c r="K741" s="14" t="str">
        <f>IFERROR(VLOOKUP(B741,'03. THIẾT BỊ'!$B$1:$S$836,10,0),"")</f>
        <v/>
      </c>
      <c r="L741" s="17" t="str">
        <f>IFERROR(VLOOKUP(B741,'03. THIẾT BỊ'!$B$1:$S$836,11,0),"")</f>
        <v/>
      </c>
      <c r="M741" s="16" t="str">
        <f>IFERROR(VLOOKUP(B741,'03. THIẾT BỊ'!$B$1:$S$836,12,0),"")</f>
        <v/>
      </c>
      <c r="N741" s="17" t="str">
        <f>IFERROR(VLOOKUP(B741,'03. THIẾT BỊ'!$B$1:$S$836,13,0),"")</f>
        <v/>
      </c>
      <c r="O741" s="16" t="str">
        <f>IFERROR(VLOOKUP(B741,'03. THIẾT BỊ'!$B$1:$S$836,14,0),"")</f>
        <v/>
      </c>
      <c r="P741" s="17" t="str">
        <f>IFERROR(VLOOKUP(B741,'03. THIẾT BỊ'!$B$1:$S$836,15,0),"")</f>
        <v/>
      </c>
      <c r="Q741" s="18" t="str">
        <f>IFERROR(VLOOKUP(B741,'03. THIẾT BỊ'!$B$1:$S$836,16,0),"")</f>
        <v/>
      </c>
      <c r="R741" s="17" t="str">
        <f>IFERROR(VLOOKUP(B741,'03. THIẾT BỊ'!$B$1:$S$836,17,0),"")</f>
        <v/>
      </c>
      <c r="S741" s="17" t="str">
        <f>IFERROR(VLOOKUP(B741,'03. THIẾT BỊ'!$B$1:$S$836,18,0),"")</f>
        <v/>
      </c>
      <c r="T741" s="609"/>
    </row>
    <row r="742" customHeight="1" spans="1:20">
      <c r="A742" s="19">
        <v>1</v>
      </c>
      <c r="B742" s="25" t="s">
        <v>5268</v>
      </c>
      <c r="C742" s="613">
        <f>IFERROR(VLOOKUP(B742,'03. THIẾT BỊ'!$B$1:$S$836,2,0),"")</f>
        <v>0</v>
      </c>
      <c r="D742" s="24" t="str">
        <f>IFERROR(VLOOKUP(B742,'03. THIẾT BỊ'!$B$1:$S$836,3,0),"")</f>
        <v>A22-ĐBC-001</v>
      </c>
      <c r="E742" s="20" t="str">
        <f>IFERROR(VLOOKUP(B742,'03. THIẾT BỊ'!$B$1:$S$836,4,0),"")</f>
        <v>MUA MỚI</v>
      </c>
      <c r="F742" s="20" t="str">
        <f>IFERROR(VLOOKUP(B742,'03. THIẾT BỊ'!$B$1:$S$836,5,0),"")</f>
        <v>Thiết bị đóng bánh cỏ Balentine</v>
      </c>
      <c r="G742" s="101" t="s">
        <v>6468</v>
      </c>
      <c r="H742" s="19" t="str">
        <f>IFERROR(VLOOKUP(B742,'03. THIẾT BỊ'!$B$1:$S$836,7,0),"")</f>
        <v>XN Bò AD</v>
      </c>
      <c r="I742" s="610">
        <f>IFERROR(VLOOKUP(B742,'03. THIẾT BỊ'!$B$1:$S$836,8,0),"")</f>
        <v>45303</v>
      </c>
      <c r="J742" s="25"/>
      <c r="K742" s="19" t="str">
        <f>IFERROR(VLOOKUP(B742,'03. THIẾT BỊ'!$B$1:$S$836,10,0),"")</f>
        <v>Bình thường</v>
      </c>
      <c r="L742" s="25">
        <f>IFERROR(VLOOKUP(B742,'03. THIẾT BỊ'!$B$1:$S$836,11,0),"")</f>
        <v>0</v>
      </c>
      <c r="M742" s="24">
        <f>IFERROR(VLOOKUP(B742,'03. THIẾT BỊ'!$B$1:$S$836,12,0),"")</f>
        <v>0</v>
      </c>
      <c r="N742" s="25" t="str">
        <f>IFERROR(VLOOKUP(B742,'03. THIẾT BỊ'!$B$1:$S$836,13,0),"")</f>
        <v>CELIKEL</v>
      </c>
      <c r="O742" s="24" t="str">
        <f>IFERROR(VLOOKUP(B742,'03. THIẾT BỊ'!$B$1:$S$836,14,0),"")</f>
        <v>BALENTINE 4</v>
      </c>
      <c r="P742" s="25" t="str">
        <f>IFERROR(VLOOKUP(B742,'03. THIẾT BỊ'!$B$1:$S$836,15,0),"")</f>
        <v>THỔ NHỈ KỲ</v>
      </c>
      <c r="Q742" s="23">
        <f>IFERROR(VLOOKUP(B742,'03. THIẾT BỊ'!$B$1:$S$836,16,0),"")</f>
        <v>2024</v>
      </c>
      <c r="R742" s="25" t="str">
        <f>IFERROR(VLOOKUP(B742,'03. THIẾT BỊ'!$B$1:$S$836,17,0),"")</f>
        <v>100~150HP</v>
      </c>
      <c r="S742" s="25" t="str">
        <f>IFERROR(VLOOKUP(B742,'03. THIẾT BỊ'!$B$1:$S$836,18,0),"")</f>
        <v>PBM-240131</v>
      </c>
      <c r="T742" s="41"/>
    </row>
    <row r="743" customHeight="1" spans="1:20">
      <c r="A743" s="19"/>
      <c r="B743" s="20"/>
      <c r="C743" s="613" t="str">
        <f>IFERROR(VLOOKUP(B743,'03. THIẾT BỊ'!$B$1:$S$836,2,0),"")</f>
        <v/>
      </c>
      <c r="D743" s="24" t="str">
        <f>IFERROR(VLOOKUP(B743,'03. THIẾT BỊ'!$B$1:$S$836,3,0),"")</f>
        <v/>
      </c>
      <c r="E743" s="20" t="str">
        <f>IFERROR(VLOOKUP(B743,'03. THIẾT BỊ'!$B$1:$S$836,4,0),"")</f>
        <v/>
      </c>
      <c r="F743" s="20" t="str">
        <f>IFERROR(VLOOKUP(B743,'03. THIẾT BỊ'!$B$1:$S$836,5,0),"")</f>
        <v/>
      </c>
      <c r="G743" s="101" t="s">
        <v>6468</v>
      </c>
      <c r="H743" s="19" t="str">
        <f>IFERROR(VLOOKUP(B743,'03. THIẾT BỊ'!$B$1:$S$836,7,0),"")</f>
        <v/>
      </c>
      <c r="I743" s="610" t="str">
        <f>IFERROR(VLOOKUP(B743,'03. THIẾT BỊ'!$B$1:$S$836,8,0),"")</f>
        <v/>
      </c>
      <c r="J743" s="25"/>
      <c r="K743" s="19" t="str">
        <f>IFERROR(VLOOKUP(B743,'03. THIẾT BỊ'!$B$1:$S$836,10,0),"")</f>
        <v/>
      </c>
      <c r="L743" s="25" t="str">
        <f>IFERROR(VLOOKUP(B743,'03. THIẾT BỊ'!$B$1:$S$836,11,0),"")</f>
        <v/>
      </c>
      <c r="M743" s="24" t="str">
        <f>IFERROR(VLOOKUP(B743,'03. THIẾT BỊ'!$B$1:$S$836,12,0),"")</f>
        <v/>
      </c>
      <c r="N743" s="25" t="str">
        <f>IFERROR(VLOOKUP(B743,'03. THIẾT BỊ'!$B$1:$S$836,13,0),"")</f>
        <v/>
      </c>
      <c r="O743" s="24" t="str">
        <f>IFERROR(VLOOKUP(B743,'03. THIẾT BỊ'!$B$1:$S$836,14,0),"")</f>
        <v/>
      </c>
      <c r="P743" s="25" t="str">
        <f>IFERROR(VLOOKUP(B743,'03. THIẾT BỊ'!$B$1:$S$836,15,0),"")</f>
        <v/>
      </c>
      <c r="Q743" s="23" t="str">
        <f>IFERROR(VLOOKUP(B743,'03. THIẾT BỊ'!$B$1:$S$836,16,0),"")</f>
        <v/>
      </c>
      <c r="R743" s="25" t="str">
        <f>IFERROR(VLOOKUP(B743,'03. THIẾT BỊ'!$B$1:$S$836,17,0),"")</f>
        <v/>
      </c>
      <c r="S743" s="25" t="str">
        <f>IFERROR(VLOOKUP(B743,'03. THIẾT BỊ'!$B$1:$S$836,18,0),"")</f>
        <v/>
      </c>
      <c r="T743" s="622"/>
    </row>
    <row r="744" customHeight="1" spans="1:20">
      <c r="A744" s="19"/>
      <c r="B744" s="20"/>
      <c r="C744" s="613" t="str">
        <f>IFERROR(VLOOKUP(B744,'03. THIẾT BỊ'!$B$1:$S$836,2,0),"")</f>
        <v/>
      </c>
      <c r="D744" s="24" t="str">
        <f>IFERROR(VLOOKUP(B744,'03. THIẾT BỊ'!$B$1:$S$836,3,0),"")</f>
        <v/>
      </c>
      <c r="E744" s="20" t="str">
        <f>IFERROR(VLOOKUP(B744,'03. THIẾT BỊ'!$B$1:$S$836,4,0),"")</f>
        <v/>
      </c>
      <c r="F744" s="20" t="str">
        <f>IFERROR(VLOOKUP(B744,'03. THIẾT BỊ'!$B$1:$S$836,5,0),"")</f>
        <v/>
      </c>
      <c r="G744" s="101" t="s">
        <v>6468</v>
      </c>
      <c r="H744" s="19" t="str">
        <f>IFERROR(VLOOKUP(B744,'03. THIẾT BỊ'!$B$1:$S$836,7,0),"")</f>
        <v/>
      </c>
      <c r="I744" s="610" t="str">
        <f>IFERROR(VLOOKUP(B744,'03. THIẾT BỊ'!$B$1:$S$836,8,0),"")</f>
        <v/>
      </c>
      <c r="J744" s="25"/>
      <c r="K744" s="19" t="str">
        <f>IFERROR(VLOOKUP(B744,'03. THIẾT BỊ'!$B$1:$S$836,10,0),"")</f>
        <v/>
      </c>
      <c r="L744" s="25" t="str">
        <f>IFERROR(VLOOKUP(B744,'03. THIẾT BỊ'!$B$1:$S$836,11,0),"")</f>
        <v/>
      </c>
      <c r="M744" s="24" t="str">
        <f>IFERROR(VLOOKUP(B744,'03. THIẾT BỊ'!$B$1:$S$836,12,0),"")</f>
        <v/>
      </c>
      <c r="N744" s="25" t="str">
        <f>IFERROR(VLOOKUP(B744,'03. THIẾT BỊ'!$B$1:$S$836,13,0),"")</f>
        <v/>
      </c>
      <c r="O744" s="24" t="str">
        <f>IFERROR(VLOOKUP(B744,'03. THIẾT BỊ'!$B$1:$S$836,14,0),"")</f>
        <v/>
      </c>
      <c r="P744" s="25" t="str">
        <f>IFERROR(VLOOKUP(B744,'03. THIẾT BỊ'!$B$1:$S$836,15,0),"")</f>
        <v/>
      </c>
      <c r="Q744" s="23" t="str">
        <f>IFERROR(VLOOKUP(B744,'03. THIẾT BỊ'!$B$1:$S$836,16,0),"")</f>
        <v/>
      </c>
      <c r="R744" s="25" t="str">
        <f>IFERROR(VLOOKUP(B744,'03. THIẾT BỊ'!$B$1:$S$836,17,0),"")</f>
        <v/>
      </c>
      <c r="S744" s="25" t="str">
        <f>IFERROR(VLOOKUP(B744,'03. THIẾT BỊ'!$B$1:$S$836,18,0),"")</f>
        <v/>
      </c>
      <c r="T744" s="622"/>
    </row>
    <row r="745" customHeight="1" spans="1:20">
      <c r="A745" s="14" t="s">
        <v>290</v>
      </c>
      <c r="B745" s="15" t="s">
        <v>6511</v>
      </c>
      <c r="C745" s="14">
        <f>COUNTA(B746:B748)</f>
        <v>2</v>
      </c>
      <c r="D745" s="17" t="str">
        <f>IFERROR(VLOOKUP(B745,'03. THIẾT BỊ'!$B$1:$S$836,3,0),"")</f>
        <v/>
      </c>
      <c r="E745" s="20" t="str">
        <f>IFERROR(VLOOKUP(B745,'03. THIẾT BỊ'!$B$1:$S$836,4,0),"")</f>
        <v/>
      </c>
      <c r="F745" s="17" t="str">
        <f>IFERROR(VLOOKUP(B745,'03. THIẾT BỊ'!$B$1:$S$836,5,0),"")</f>
        <v/>
      </c>
      <c r="G745" s="18" t="s">
        <v>6468</v>
      </c>
      <c r="H745" s="18" t="str">
        <f>IFERROR(VLOOKUP(B745,'03. THIẾT BỊ'!$B$1:$S$836,7,0),"")</f>
        <v/>
      </c>
      <c r="I745" s="14" t="str">
        <f>IFERROR(VLOOKUP(B745,'03. THIẾT BỊ'!$B$1:$S$836,8,0),"")</f>
        <v/>
      </c>
      <c r="J745" s="15"/>
      <c r="K745" s="14" t="str">
        <f>IFERROR(VLOOKUP(B745,'03. THIẾT BỊ'!$B$1:$S$836,10,0),"")</f>
        <v/>
      </c>
      <c r="L745" s="17" t="str">
        <f>IFERROR(VLOOKUP(B745,'03. THIẾT BỊ'!$B$1:$S$836,11,0),"")</f>
        <v/>
      </c>
      <c r="M745" s="16" t="str">
        <f>IFERROR(VLOOKUP(B745,'03. THIẾT BỊ'!$B$1:$S$836,12,0),"")</f>
        <v/>
      </c>
      <c r="N745" s="17" t="str">
        <f>IFERROR(VLOOKUP(B745,'03. THIẾT BỊ'!$B$1:$S$836,13,0),"")</f>
        <v/>
      </c>
      <c r="O745" s="16" t="str">
        <f>IFERROR(VLOOKUP(B745,'03. THIẾT BỊ'!$B$1:$S$836,14,0),"")</f>
        <v/>
      </c>
      <c r="P745" s="17" t="str">
        <f>IFERROR(VLOOKUP(B745,'03. THIẾT BỊ'!$B$1:$S$836,15,0),"")</f>
        <v/>
      </c>
      <c r="Q745" s="18" t="str">
        <f>IFERROR(VLOOKUP(B745,'03. THIẾT BỊ'!$B$1:$S$836,16,0),"")</f>
        <v/>
      </c>
      <c r="R745" s="17" t="str">
        <f>IFERROR(VLOOKUP(B745,'03. THIẾT BỊ'!$B$1:$S$836,17,0),"")</f>
        <v/>
      </c>
      <c r="S745" s="17" t="str">
        <f>IFERROR(VLOOKUP(B745,'03. THIẾT BỊ'!$B$1:$S$836,18,0),"")</f>
        <v/>
      </c>
      <c r="T745" s="609"/>
    </row>
    <row r="746" ht="27" customHeight="1" spans="1:20">
      <c r="A746" s="19">
        <v>1</v>
      </c>
      <c r="B746" s="38" t="s">
        <v>5630</v>
      </c>
      <c r="C746" s="613" t="str">
        <f>IFERROR(VLOOKUP(B746,'03. THIẾT BỊ'!$B$1:$S$836,2,0),"")</f>
        <v>CK-MND-01</v>
      </c>
      <c r="D746" s="24" t="str">
        <f>IFERROR(VLOOKUP(B746,'03. THIẾT BỊ'!$B$1:$S$836,3,0),"")</f>
        <v>A22-TBN-001</v>
      </c>
      <c r="E746" s="20" t="str">
        <f>IFERROR(VLOOKUP(B746,'03. THIẾT BỊ'!$B$1:$S$836,4,0),"")</f>
        <v>ĐQSD</v>
      </c>
      <c r="F746" s="20" t="str">
        <f>IFERROR(VLOOKUP(B746,'03. THIẾT BỊ'!$B$1:$S$836,5,0),"")</f>
        <v>Thiết bị nghiền dăm gỗ</v>
      </c>
      <c r="G746" s="101" t="s">
        <v>6468</v>
      </c>
      <c r="H746" s="19" t="str">
        <f>IFERROR(VLOOKUP(B746,'03. THIẾT BỊ'!$B$1:$S$836,7,0),"")</f>
        <v>XN Bò AD</v>
      </c>
      <c r="I746" s="610">
        <f>IFERROR(VLOOKUP(B746,'03. THIẾT BỊ'!$B$1:$S$836,8,0),"")</f>
        <v>45512</v>
      </c>
      <c r="J746" s="25"/>
      <c r="K746" s="19" t="str">
        <f>IFERROR(VLOOKUP(B746,'03. THIẾT BỊ'!$B$1:$S$836,10,0),"")</f>
        <v>Bình thường</v>
      </c>
      <c r="L746" s="25">
        <f>IFERROR(VLOOKUP(B746,'03. THIẾT BỊ'!$B$1:$S$836,11,0),"")</f>
        <v>0</v>
      </c>
      <c r="M746" s="24" t="str">
        <f>IFERROR(VLOOKUP(B746,'03. THIẾT BỊ'!$B$1:$S$836,12,0),"")</f>
        <v>Gia công mới</v>
      </c>
      <c r="N746" s="25" t="str">
        <f>IFERROR(VLOOKUP(B746,'03. THIẾT BỊ'!$B$1:$S$836,13,0),"")</f>
        <v>THACO AGRI</v>
      </c>
      <c r="O746" s="24">
        <f>IFERROR(VLOOKUP(B746,'03. THIẾT BỊ'!$B$1:$S$836,14,0),"")</f>
        <v>0</v>
      </c>
      <c r="P746" s="25" t="str">
        <f>IFERROR(VLOOKUP(B746,'03. THIẾT BỊ'!$B$1:$S$836,15,0),"")</f>
        <v>CK-CGH</v>
      </c>
      <c r="Q746" s="23">
        <f>IFERROR(VLOOKUP(B746,'03. THIẾT BỊ'!$B$1:$S$836,16,0),"")</f>
        <v>2024</v>
      </c>
      <c r="R746" s="25">
        <f>IFERROR(VLOOKUP(B746,'03. THIẾT BỊ'!$B$1:$S$836,17,0),"")</f>
        <v>0</v>
      </c>
      <c r="S746" s="25">
        <f>IFERROR(VLOOKUP(B746,'03. THIẾT BỊ'!$B$1:$S$836,18,0),"")</f>
        <v>0</v>
      </c>
      <c r="T746" s="41"/>
    </row>
    <row r="747" customHeight="1" spans="1:20">
      <c r="A747" s="19">
        <v>2</v>
      </c>
      <c r="B747" s="20" t="s">
        <v>5172</v>
      </c>
      <c r="C747" s="613">
        <f>IFERROR(VLOOKUP(B747,'03. THIẾT BỊ'!$B$1:$S$836,2,0),"")</f>
        <v>0</v>
      </c>
      <c r="D747" s="24" t="str">
        <f>IFERROR(VLOOKUP(B747,'03. THIẾT BỊ'!$B$1:$S$836,3,0),"")</f>
        <v>A22-MBX-001</v>
      </c>
      <c r="E747" s="20" t="str">
        <f>IFERROR(VLOOKUP(B747,'03. THIẾT BỊ'!$B$1:$S$836,4,0),"")</f>
        <v>ĐQSD</v>
      </c>
      <c r="F747" s="20" t="str">
        <f>IFERROR(VLOOKUP(B747,'03. THIẾT BỊ'!$B$1:$S$836,5,0),"")</f>
        <v>Thiết bị băm cành xoài</v>
      </c>
      <c r="G747" s="101" t="s">
        <v>6468</v>
      </c>
      <c r="H747" s="19" t="str">
        <f>IFERROR(VLOOKUP(B747,'03. THIẾT BỊ'!$B$1:$S$836,7,0),"")</f>
        <v>Xoài AD</v>
      </c>
      <c r="I747" s="610" t="str">
        <f>IFERROR(VLOOKUP(B747,'03. THIẾT BỊ'!$B$1:$S$836,8,0),"")</f>
        <v>17/09/2024</v>
      </c>
      <c r="J747" s="25"/>
      <c r="K747" s="19" t="str">
        <f>IFERROR(VLOOKUP(B747,'03. THIẾT BỊ'!$B$1:$S$836,10,0),"")</f>
        <v>Bình thường</v>
      </c>
      <c r="L747" s="25">
        <f>IFERROR(VLOOKUP(B747,'03. THIẾT BỊ'!$B$1:$S$836,11,0),"")</f>
        <v>0</v>
      </c>
      <c r="M747" s="24" t="str">
        <f>IFERROR(VLOOKUP(B747,'03. THIẾT BỊ'!$B$1:$S$836,12,0),"")</f>
        <v>Gia công mới</v>
      </c>
      <c r="N747" s="25" t="str">
        <f>IFERROR(VLOOKUP(B747,'03. THIẾT BỊ'!$B$1:$S$836,13,0),"")</f>
        <v>THACO AGRI</v>
      </c>
      <c r="O747" s="24" t="str">
        <f>IFERROR(VLOOKUP(B747,'03. THIẾT BỊ'!$B$1:$S$836,14,0),"")</f>
        <v>CK-MBC-01</v>
      </c>
      <c r="P747" s="25" t="str">
        <f>IFERROR(VLOOKUP(B747,'03. THIẾT BỊ'!$B$1:$S$836,15,0),"")</f>
        <v>X.CGH</v>
      </c>
      <c r="Q747" s="23">
        <f>IFERROR(VLOOKUP(B747,'03. THIẾT BỊ'!$B$1:$S$836,16,0),"")</f>
        <v>2024</v>
      </c>
      <c r="R747" s="25" t="str">
        <f>IFERROR(VLOOKUP(B747,'03. THIẾT BỊ'!$B$1:$S$836,17,0),"")</f>
        <v>3x1.7x2.1 </v>
      </c>
      <c r="S747" s="25">
        <f>IFERROR(VLOOKUP(B747,'03. THIẾT BỊ'!$B$1:$S$836,18,0),"")</f>
        <v>0</v>
      </c>
      <c r="T747" s="615"/>
    </row>
    <row r="748" customHeight="1" spans="1:20">
      <c r="A748" s="19"/>
      <c r="B748" s="20"/>
      <c r="C748" s="613" t="str">
        <f>IFERROR(VLOOKUP(B748,'03. THIẾT BỊ'!$B$1:$S$836,2,0),"")</f>
        <v/>
      </c>
      <c r="D748" s="24" t="str">
        <f>IFERROR(VLOOKUP(B748,'03. THIẾT BỊ'!$B$1:$S$836,3,0),"")</f>
        <v/>
      </c>
      <c r="E748" s="20" t="str">
        <f>IFERROR(VLOOKUP(B748,'03. THIẾT BỊ'!$B$1:$S$836,4,0),"")</f>
        <v/>
      </c>
      <c r="F748" s="20" t="str">
        <f>IFERROR(VLOOKUP(B748,'03. THIẾT BỊ'!$B$1:$S$836,5,0),"")</f>
        <v/>
      </c>
      <c r="G748" s="101" t="s">
        <v>6468</v>
      </c>
      <c r="H748" s="19" t="str">
        <f>IFERROR(VLOOKUP(B748,'03. THIẾT BỊ'!$B$1:$S$836,7,0),"")</f>
        <v/>
      </c>
      <c r="I748" s="610" t="str">
        <f>IFERROR(VLOOKUP(B748,'03. THIẾT BỊ'!$B$1:$S$836,8,0),"")</f>
        <v/>
      </c>
      <c r="J748" s="25"/>
      <c r="K748" s="19" t="str">
        <f>IFERROR(VLOOKUP(B748,'03. THIẾT BỊ'!$B$1:$S$836,10,0),"")</f>
        <v/>
      </c>
      <c r="L748" s="25" t="str">
        <f>IFERROR(VLOOKUP(B748,'03. THIẾT BỊ'!$B$1:$S$836,11,0),"")</f>
        <v/>
      </c>
      <c r="M748" s="24" t="str">
        <f>IFERROR(VLOOKUP(B748,'03. THIẾT BỊ'!$B$1:$S$836,12,0),"")</f>
        <v/>
      </c>
      <c r="N748" s="25" t="str">
        <f>IFERROR(VLOOKUP(B748,'03. THIẾT BỊ'!$B$1:$S$836,13,0),"")</f>
        <v/>
      </c>
      <c r="O748" s="24" t="str">
        <f>IFERROR(VLOOKUP(B748,'03. THIẾT BỊ'!$B$1:$S$836,14,0),"")</f>
        <v/>
      </c>
      <c r="P748" s="25" t="str">
        <f>IFERROR(VLOOKUP(B748,'03. THIẾT BỊ'!$B$1:$S$836,15,0),"")</f>
        <v/>
      </c>
      <c r="Q748" s="23" t="str">
        <f>IFERROR(VLOOKUP(B748,'03. THIẾT BỊ'!$B$1:$S$836,16,0),"")</f>
        <v/>
      </c>
      <c r="R748" s="25" t="str">
        <f>IFERROR(VLOOKUP(B748,'03. THIẾT BỊ'!$B$1:$S$836,17,0),"")</f>
        <v/>
      </c>
      <c r="S748" s="25" t="str">
        <f>IFERROR(VLOOKUP(B748,'03. THIẾT BỊ'!$B$1:$S$836,18,0),"")</f>
        <v/>
      </c>
      <c r="T748" s="622"/>
    </row>
    <row r="749" hidden="1" customHeight="1" spans="1:20">
      <c r="A749" s="19"/>
      <c r="B749" s="20"/>
      <c r="C749" s="613" t="str">
        <f>IFERROR(VLOOKUP(B749,'03. THIẾT BỊ'!$B$1:$S$836,2,0),"")</f>
        <v/>
      </c>
      <c r="D749" s="24" t="str">
        <f>IFERROR(VLOOKUP(B749,'03. THIẾT BỊ'!$B$1:$S$836,3,0),"")</f>
        <v/>
      </c>
      <c r="E749" s="20" t="str">
        <f>IFERROR(VLOOKUP(B749,'03. THIẾT BỊ'!$B$1:$S$836,4,0),"")</f>
        <v/>
      </c>
      <c r="F749" s="20" t="str">
        <f>IFERROR(VLOOKUP(B749,'03. THIẾT BỊ'!$B$1:$S$836,5,0),"")</f>
        <v/>
      </c>
      <c r="G749" s="101" t="s">
        <v>6468</v>
      </c>
      <c r="H749" s="19" t="str">
        <f>IFERROR(VLOOKUP(B749,'03. THIẾT BỊ'!$B$1:$S$836,7,0),"")</f>
        <v/>
      </c>
      <c r="I749" s="610" t="str">
        <f>IFERROR(VLOOKUP(B749,'03. THIẾT BỊ'!$B$1:$S$836,8,0),"")</f>
        <v/>
      </c>
      <c r="J749" s="25"/>
      <c r="K749" s="19" t="str">
        <f>IFERROR(VLOOKUP(B749,'03. THIẾT BỊ'!$B$1:$S$836,10,0),"")</f>
        <v/>
      </c>
      <c r="L749" s="25" t="str">
        <f>IFERROR(VLOOKUP(B749,'03. THIẾT BỊ'!$B$1:$S$836,11,0),"")</f>
        <v/>
      </c>
      <c r="M749" s="24" t="str">
        <f>IFERROR(VLOOKUP(B749,'03. THIẾT BỊ'!$B$1:$S$836,12,0),"")</f>
        <v/>
      </c>
      <c r="N749" s="25" t="str">
        <f>IFERROR(VLOOKUP(B749,'03. THIẾT BỊ'!$B$1:$S$836,13,0),"")</f>
        <v/>
      </c>
      <c r="O749" s="24" t="str">
        <f>IFERROR(VLOOKUP(B749,'03. THIẾT BỊ'!$B$1:$S$836,14,0),"")</f>
        <v/>
      </c>
      <c r="P749" s="25" t="str">
        <f>IFERROR(VLOOKUP(B749,'03. THIẾT BỊ'!$B$1:$S$836,15,0),"")</f>
        <v/>
      </c>
      <c r="Q749" s="23" t="str">
        <f>IFERROR(VLOOKUP(B749,'03. THIẾT BỊ'!$B$1:$S$836,16,0),"")</f>
        <v/>
      </c>
      <c r="R749" s="25" t="str">
        <f>IFERROR(VLOOKUP(B749,'03. THIẾT BỊ'!$B$1:$S$836,17,0),"")</f>
        <v/>
      </c>
      <c r="S749" s="25" t="str">
        <f>IFERROR(VLOOKUP(B749,'03. THIẾT BỊ'!$B$1:$S$836,18,0),"")</f>
        <v/>
      </c>
      <c r="T749" s="622"/>
    </row>
    <row r="750" hidden="1" customHeight="1" spans="1:20">
      <c r="A750" s="19"/>
      <c r="B750" s="20"/>
      <c r="C750" s="613" t="str">
        <f>IFERROR(VLOOKUP(B750,'03. THIẾT BỊ'!$B$1:$S$836,2,0),"")</f>
        <v/>
      </c>
      <c r="D750" s="24" t="str">
        <f>IFERROR(VLOOKUP(B750,'03. THIẾT BỊ'!$B$1:$S$836,3,0),"")</f>
        <v/>
      </c>
      <c r="E750" s="20" t="str">
        <f>IFERROR(VLOOKUP(B750,'03. THIẾT BỊ'!$B$1:$S$836,4,0),"")</f>
        <v/>
      </c>
      <c r="F750" s="20" t="str">
        <f>IFERROR(VLOOKUP(B750,'03. THIẾT BỊ'!$B$1:$S$836,5,0),"")</f>
        <v/>
      </c>
      <c r="G750" s="101" t="s">
        <v>6468</v>
      </c>
      <c r="H750" s="19" t="str">
        <f>IFERROR(VLOOKUP(B750,'03. THIẾT BỊ'!$B$1:$S$836,7,0),"")</f>
        <v/>
      </c>
      <c r="I750" s="610" t="str">
        <f>IFERROR(VLOOKUP(B750,'03. THIẾT BỊ'!$B$1:$S$836,8,0),"")</f>
        <v/>
      </c>
      <c r="J750" s="25"/>
      <c r="K750" s="19" t="str">
        <f>IFERROR(VLOOKUP(B750,'03. THIẾT BỊ'!$B$1:$S$836,10,0),"")</f>
        <v/>
      </c>
      <c r="L750" s="25" t="str">
        <f>IFERROR(VLOOKUP(B750,'03. THIẾT BỊ'!$B$1:$S$836,11,0),"")</f>
        <v/>
      </c>
      <c r="M750" s="24" t="str">
        <f>IFERROR(VLOOKUP(B750,'03. THIẾT BỊ'!$B$1:$S$836,12,0),"")</f>
        <v/>
      </c>
      <c r="N750" s="25" t="str">
        <f>IFERROR(VLOOKUP(B750,'03. THIẾT BỊ'!$B$1:$S$836,13,0),"")</f>
        <v/>
      </c>
      <c r="O750" s="24" t="str">
        <f>IFERROR(VLOOKUP(B750,'03. THIẾT BỊ'!$B$1:$S$836,14,0),"")</f>
        <v/>
      </c>
      <c r="P750" s="25" t="str">
        <f>IFERROR(VLOOKUP(B750,'03. THIẾT BỊ'!$B$1:$S$836,15,0),"")</f>
        <v/>
      </c>
      <c r="Q750" s="23" t="str">
        <f>IFERROR(VLOOKUP(B750,'03. THIẾT BỊ'!$B$1:$S$836,16,0),"")</f>
        <v/>
      </c>
      <c r="R750" s="25" t="str">
        <f>IFERROR(VLOOKUP(B750,'03. THIẾT BỊ'!$B$1:$S$836,17,0),"")</f>
        <v/>
      </c>
      <c r="S750" s="25" t="str">
        <f>IFERROR(VLOOKUP(B750,'03. THIẾT BỊ'!$B$1:$S$836,18,0),"")</f>
        <v/>
      </c>
      <c r="T750" s="622"/>
    </row>
    <row r="751" hidden="1" customHeight="1" spans="1:20">
      <c r="A751" s="19"/>
      <c r="B751" s="20"/>
      <c r="C751" s="613" t="str">
        <f>IFERROR(VLOOKUP(B751,'03. THIẾT BỊ'!$B$1:$S$836,2,0),"")</f>
        <v/>
      </c>
      <c r="D751" s="24" t="str">
        <f>IFERROR(VLOOKUP(B751,'03. THIẾT BỊ'!$B$1:$S$836,3,0),"")</f>
        <v/>
      </c>
      <c r="E751" s="20" t="str">
        <f>IFERROR(VLOOKUP(B751,'03. THIẾT BỊ'!$B$1:$S$836,4,0),"")</f>
        <v/>
      </c>
      <c r="F751" s="20" t="str">
        <f>IFERROR(VLOOKUP(B751,'03. THIẾT BỊ'!$B$1:$S$836,5,0),"")</f>
        <v/>
      </c>
      <c r="G751" s="101" t="s">
        <v>6468</v>
      </c>
      <c r="H751" s="19" t="str">
        <f>IFERROR(VLOOKUP(B751,'03. THIẾT BỊ'!$B$1:$S$836,7,0),"")</f>
        <v/>
      </c>
      <c r="I751" s="610" t="str">
        <f>IFERROR(VLOOKUP(B751,'03. THIẾT BỊ'!$B$1:$S$836,8,0),"")</f>
        <v/>
      </c>
      <c r="J751" s="25"/>
      <c r="K751" s="19" t="str">
        <f>IFERROR(VLOOKUP(B751,'03. THIẾT BỊ'!$B$1:$S$836,10,0),"")</f>
        <v/>
      </c>
      <c r="L751" s="25" t="str">
        <f>IFERROR(VLOOKUP(B751,'03. THIẾT BỊ'!$B$1:$S$836,11,0),"")</f>
        <v/>
      </c>
      <c r="M751" s="24" t="str">
        <f>IFERROR(VLOOKUP(B751,'03. THIẾT BỊ'!$B$1:$S$836,12,0),"")</f>
        <v/>
      </c>
      <c r="N751" s="25" t="str">
        <f>IFERROR(VLOOKUP(B751,'03. THIẾT BỊ'!$B$1:$S$836,13,0),"")</f>
        <v/>
      </c>
      <c r="O751" s="24" t="str">
        <f>IFERROR(VLOOKUP(B751,'03. THIẾT BỊ'!$B$1:$S$836,14,0),"")</f>
        <v/>
      </c>
      <c r="P751" s="25" t="str">
        <f>IFERROR(VLOOKUP(B751,'03. THIẾT BỊ'!$B$1:$S$836,15,0),"")</f>
        <v/>
      </c>
      <c r="Q751" s="23" t="str">
        <f>IFERROR(VLOOKUP(B751,'03. THIẾT BỊ'!$B$1:$S$836,16,0),"")</f>
        <v/>
      </c>
      <c r="R751" s="25" t="str">
        <f>IFERROR(VLOOKUP(B751,'03. THIẾT BỊ'!$B$1:$S$836,17,0),"")</f>
        <v/>
      </c>
      <c r="S751" s="25" t="str">
        <f>IFERROR(VLOOKUP(B751,'03. THIẾT BỊ'!$B$1:$S$836,18,0),"")</f>
        <v/>
      </c>
      <c r="T751" s="622"/>
    </row>
    <row r="752" hidden="1" customHeight="1" spans="1:20">
      <c r="A752" s="19"/>
      <c r="B752" s="20"/>
      <c r="C752" s="613" t="str">
        <f>IFERROR(VLOOKUP(B752,'03. THIẾT BỊ'!$B$1:$S$836,2,0),"")</f>
        <v/>
      </c>
      <c r="D752" s="24" t="str">
        <f>IFERROR(VLOOKUP(B752,'03. THIẾT BỊ'!$B$1:$S$836,3,0),"")</f>
        <v/>
      </c>
      <c r="E752" s="20" t="str">
        <f>IFERROR(VLOOKUP(B752,'03. THIẾT BỊ'!$B$1:$S$836,4,0),"")</f>
        <v/>
      </c>
      <c r="F752" s="20" t="str">
        <f>IFERROR(VLOOKUP(B752,'03. THIẾT BỊ'!$B$1:$S$836,5,0),"")</f>
        <v/>
      </c>
      <c r="G752" s="101" t="s">
        <v>6468</v>
      </c>
      <c r="H752" s="19" t="str">
        <f>IFERROR(VLOOKUP(B752,'03. THIẾT BỊ'!$B$1:$S$836,7,0),"")</f>
        <v/>
      </c>
      <c r="I752" s="610" t="str">
        <f>IFERROR(VLOOKUP(B752,'03. THIẾT BỊ'!$B$1:$S$836,8,0),"")</f>
        <v/>
      </c>
      <c r="J752" s="25"/>
      <c r="K752" s="19" t="str">
        <f>IFERROR(VLOOKUP(B752,'03. THIẾT BỊ'!$B$1:$S$836,10,0),"")</f>
        <v/>
      </c>
      <c r="L752" s="25" t="str">
        <f>IFERROR(VLOOKUP(B752,'03. THIẾT BỊ'!$B$1:$S$836,11,0),"")</f>
        <v/>
      </c>
      <c r="M752" s="24" t="str">
        <f>IFERROR(VLOOKUP(B752,'03. THIẾT BỊ'!$B$1:$S$836,12,0),"")</f>
        <v/>
      </c>
      <c r="N752" s="25" t="str">
        <f>IFERROR(VLOOKUP(B752,'03. THIẾT BỊ'!$B$1:$S$836,13,0),"")</f>
        <v/>
      </c>
      <c r="O752" s="24" t="str">
        <f>IFERROR(VLOOKUP(B752,'03. THIẾT BỊ'!$B$1:$S$836,14,0),"")</f>
        <v/>
      </c>
      <c r="P752" s="25" t="str">
        <f>IFERROR(VLOOKUP(B752,'03. THIẾT BỊ'!$B$1:$S$836,15,0),"")</f>
        <v/>
      </c>
      <c r="Q752" s="23" t="str">
        <f>IFERROR(VLOOKUP(B752,'03. THIẾT BỊ'!$B$1:$S$836,16,0),"")</f>
        <v/>
      </c>
      <c r="R752" s="25" t="str">
        <f>IFERROR(VLOOKUP(B752,'03. THIẾT BỊ'!$B$1:$S$836,17,0),"")</f>
        <v/>
      </c>
      <c r="S752" s="25" t="str">
        <f>IFERROR(VLOOKUP(B752,'03. THIẾT BỊ'!$B$1:$S$836,18,0),"")</f>
        <v/>
      </c>
      <c r="T752" s="622"/>
    </row>
    <row r="753" customHeight="1" spans="1:20">
      <c r="A753" s="14" t="s">
        <v>290</v>
      </c>
      <c r="B753" s="15" t="s">
        <v>6512</v>
      </c>
      <c r="C753" s="14">
        <f>COUNTA(B754:B762)</f>
        <v>7</v>
      </c>
      <c r="D753" s="17" t="str">
        <f>IFERROR(VLOOKUP(B753,'03. THIẾT BỊ'!$B$1:$S$836,3,0),"")</f>
        <v/>
      </c>
      <c r="E753" s="20" t="str">
        <f>IFERROR(VLOOKUP(B753,'03. THIẾT BỊ'!$B$1:$S$836,4,0),"")</f>
        <v/>
      </c>
      <c r="F753" s="17" t="str">
        <f>IFERROR(VLOOKUP(B753,'03. THIẾT BỊ'!$B$1:$S$836,5,0),"")</f>
        <v/>
      </c>
      <c r="G753" s="18" t="s">
        <v>6468</v>
      </c>
      <c r="H753" s="18" t="str">
        <f>IFERROR(VLOOKUP(B753,'03. THIẾT BỊ'!$B$1:$S$836,7,0),"")</f>
        <v/>
      </c>
      <c r="I753" s="14" t="str">
        <f>IFERROR(VLOOKUP(B753,'03. THIẾT BỊ'!$B$1:$S$836,8,0),"")</f>
        <v/>
      </c>
      <c r="J753" s="15"/>
      <c r="K753" s="14" t="str">
        <f>IFERROR(VLOOKUP(B753,'03. THIẾT BỊ'!$B$1:$S$836,10,0),"")</f>
        <v/>
      </c>
      <c r="L753" s="17" t="str">
        <f>IFERROR(VLOOKUP(B753,'03. THIẾT BỊ'!$B$1:$S$836,11,0),"")</f>
        <v/>
      </c>
      <c r="M753" s="16" t="str">
        <f>IFERROR(VLOOKUP(B753,'03. THIẾT BỊ'!$B$1:$S$836,12,0),"")</f>
        <v/>
      </c>
      <c r="N753" s="17" t="str">
        <f>IFERROR(VLOOKUP(B753,'03. THIẾT BỊ'!$B$1:$S$836,13,0),"")</f>
        <v/>
      </c>
      <c r="O753" s="16" t="str">
        <f>IFERROR(VLOOKUP(B753,'03. THIẾT BỊ'!$B$1:$S$836,14,0),"")</f>
        <v/>
      </c>
      <c r="P753" s="17" t="str">
        <f>IFERROR(VLOOKUP(B753,'03. THIẾT BỊ'!$B$1:$S$836,15,0),"")</f>
        <v/>
      </c>
      <c r="Q753" s="18" t="str">
        <f>IFERROR(VLOOKUP(B753,'03. THIẾT BỊ'!$B$1:$S$836,16,0),"")</f>
        <v/>
      </c>
      <c r="R753" s="17" t="str">
        <f>IFERROR(VLOOKUP(B753,'03. THIẾT BỊ'!$B$1:$S$836,17,0),"")</f>
        <v/>
      </c>
      <c r="S753" s="17" t="str">
        <f>IFERROR(VLOOKUP(B753,'03. THIẾT BỊ'!$B$1:$S$836,18,0),"")</f>
        <v/>
      </c>
      <c r="T753" s="609"/>
    </row>
    <row r="754" customHeight="1" spans="1:20">
      <c r="A754" s="19">
        <v>1</v>
      </c>
      <c r="B754" s="25" t="s">
        <v>5289</v>
      </c>
      <c r="C754" s="613">
        <f>IFERROR(VLOOKUP(B754,'03. THIẾT BỊ'!$B$1:$S$836,2,0),"")</f>
        <v>0</v>
      </c>
      <c r="D754" s="24" t="str">
        <f>IFERROR(VLOOKUP(B754,'03. THIẾT BỊ'!$B$1:$S$836,3,0),"")</f>
        <v>A22-TTA-001</v>
      </c>
      <c r="E754" s="20" t="str">
        <f>IFERROR(VLOOKUP(B754,'03. THIẾT BỊ'!$B$1:$S$836,4,0),"")</f>
        <v>ĐQSD</v>
      </c>
      <c r="F754" s="20" t="str">
        <f>IFERROR(VLOOKUP(B754,'03. THIẾT BỊ'!$B$1:$S$836,5,0),"")</f>
        <v>Cối trộn thức ăn TMR</v>
      </c>
      <c r="G754" s="101" t="s">
        <v>6468</v>
      </c>
      <c r="H754" s="19" t="str">
        <f>IFERROR(VLOOKUP(B754,'03. THIẾT BỊ'!$B$1:$S$836,7,0),"")</f>
        <v>XN Bò AD</v>
      </c>
      <c r="I754" s="610">
        <f>IFERROR(VLOOKUP(B754,'03. THIẾT BỊ'!$B$1:$S$836,8,0),"")</f>
        <v>0</v>
      </c>
      <c r="J754" s="25"/>
      <c r="K754" s="19" t="str">
        <f>IFERROR(VLOOKUP(B754,'03. THIẾT BỊ'!$B$1:$S$836,10,0),"")</f>
        <v>Bình thường</v>
      </c>
      <c r="L754" s="25">
        <f>IFERROR(VLOOKUP(B754,'03. THIẾT BỊ'!$B$1:$S$836,11,0),"")</f>
        <v>0</v>
      </c>
      <c r="M754" s="24" t="str">
        <f>IFERROR(VLOOKUP(B754,'03. THIẾT BỊ'!$B$1:$S$836,12,0),"")</f>
        <v>TTCBTA</v>
      </c>
      <c r="N754" s="25" t="str">
        <f>IFERROR(VLOOKUP(B754,'03. THIẾT BỊ'!$B$1:$S$836,13,0),"")</f>
        <v>CAMBODIA</v>
      </c>
      <c r="O754" s="24" t="str">
        <f>IFERROR(VLOOKUP(B754,'03. THIẾT BỊ'!$B$1:$S$836,14,0),"")</f>
        <v>TMR</v>
      </c>
      <c r="P754" s="25" t="str">
        <f>IFERROR(VLOOKUP(B754,'03. THIẾT BỊ'!$B$1:$S$836,15,0),"")</f>
        <v>CAMBODIA</v>
      </c>
      <c r="Q754" s="23">
        <f>IFERROR(VLOOKUP(B754,'03. THIẾT BỊ'!$B$1:$S$836,16,0),"")</f>
        <v>0</v>
      </c>
      <c r="R754" s="25">
        <f>IFERROR(VLOOKUP(B754,'03. THIẾT BỊ'!$B$1:$S$836,17,0),"")</f>
        <v>0</v>
      </c>
      <c r="S754" s="25">
        <f>IFERROR(VLOOKUP(B754,'03. THIẾT BỊ'!$B$1:$S$836,18,0),"")</f>
        <v>0</v>
      </c>
      <c r="T754" s="41"/>
    </row>
    <row r="755" customHeight="1" spans="1:20">
      <c r="A755" s="19">
        <f t="shared" ref="A755:A760" si="36">A754+1</f>
        <v>2</v>
      </c>
      <c r="B755" s="25" t="s">
        <v>5294</v>
      </c>
      <c r="C755" s="613">
        <f>IFERROR(VLOOKUP(B755,'03. THIẾT BỊ'!$B$1:$S$836,2,0),"")</f>
        <v>0</v>
      </c>
      <c r="D755" s="24" t="str">
        <f>IFERROR(VLOOKUP(B755,'03. THIẾT BỊ'!$B$1:$S$836,3,0),"")</f>
        <v>A22-TTA-002</v>
      </c>
      <c r="E755" s="20" t="str">
        <f>IFERROR(VLOOKUP(B755,'03. THIẾT BỊ'!$B$1:$S$836,4,0),"")</f>
        <v>ĐQSD</v>
      </c>
      <c r="F755" s="20" t="str">
        <f>IFERROR(VLOOKUP(B755,'03. THIẾT BỊ'!$B$1:$S$836,5,0),"")</f>
        <v>Cối trộn thức ăn TMR</v>
      </c>
      <c r="G755" s="101" t="s">
        <v>6468</v>
      </c>
      <c r="H755" s="19" t="str">
        <f>IFERROR(VLOOKUP(B755,'03. THIẾT BỊ'!$B$1:$S$836,7,0),"")</f>
        <v>XN Bò AD</v>
      </c>
      <c r="I755" s="610">
        <f>IFERROR(VLOOKUP(B755,'03. THIẾT BỊ'!$B$1:$S$836,8,0),"")</f>
        <v>0</v>
      </c>
      <c r="J755" s="25"/>
      <c r="K755" s="19" t="str">
        <f>IFERROR(VLOOKUP(B755,'03. THIẾT BỊ'!$B$1:$S$836,10,0),"")</f>
        <v>Bình thường</v>
      </c>
      <c r="L755" s="25">
        <f>IFERROR(VLOOKUP(B755,'03. THIẾT BỊ'!$B$1:$S$836,11,0),"")</f>
        <v>0</v>
      </c>
      <c r="M755" s="24" t="str">
        <f>IFERROR(VLOOKUP(B755,'03. THIẾT BỊ'!$B$1:$S$836,12,0),"")</f>
        <v>TTCBTA</v>
      </c>
      <c r="N755" s="25" t="str">
        <f>IFERROR(VLOOKUP(B755,'03. THIẾT BỊ'!$B$1:$S$836,13,0),"")</f>
        <v>CAMBODIA</v>
      </c>
      <c r="O755" s="24" t="str">
        <f>IFERROR(VLOOKUP(B755,'03. THIẾT BỊ'!$B$1:$S$836,14,0),"")</f>
        <v>TMR</v>
      </c>
      <c r="P755" s="25" t="str">
        <f>IFERROR(VLOOKUP(B755,'03. THIẾT BỊ'!$B$1:$S$836,15,0),"")</f>
        <v>CAMBODIA</v>
      </c>
      <c r="Q755" s="23">
        <f>IFERROR(VLOOKUP(B755,'03. THIẾT BỊ'!$B$1:$S$836,16,0),"")</f>
        <v>0</v>
      </c>
      <c r="R755" s="25">
        <f>IFERROR(VLOOKUP(B755,'03. THIẾT BỊ'!$B$1:$S$836,17,0),"")</f>
        <v>0</v>
      </c>
      <c r="S755" s="25">
        <f>IFERROR(VLOOKUP(B755,'03. THIẾT BỊ'!$B$1:$S$836,18,0),"")</f>
        <v>0</v>
      </c>
      <c r="T755" s="41"/>
    </row>
    <row r="756" customHeight="1" spans="1:20">
      <c r="A756" s="19">
        <f t="shared" si="36"/>
        <v>3</v>
      </c>
      <c r="B756" s="25" t="s">
        <v>5296</v>
      </c>
      <c r="C756" s="613">
        <f>IFERROR(VLOOKUP(B756,'03. THIẾT BỊ'!$B$1:$S$836,2,0),"")</f>
        <v>0</v>
      </c>
      <c r="D756" s="24" t="str">
        <f>IFERROR(VLOOKUP(B756,'03. THIẾT BỊ'!$B$1:$S$836,3,0),"")</f>
        <v>A22-TTA-003</v>
      </c>
      <c r="E756" s="20" t="str">
        <f>IFERROR(VLOOKUP(B756,'03. THIẾT BỊ'!$B$1:$S$836,4,0),"")</f>
        <v>ĐQSD</v>
      </c>
      <c r="F756" s="20" t="str">
        <f>IFERROR(VLOOKUP(B756,'03. THIẾT BỊ'!$B$1:$S$836,5,0),"")</f>
        <v>Cối trộn thức ăn TMR</v>
      </c>
      <c r="G756" s="101" t="s">
        <v>6468</v>
      </c>
      <c r="H756" s="19" t="str">
        <f>IFERROR(VLOOKUP(B756,'03. THIẾT BỊ'!$B$1:$S$836,7,0),"")</f>
        <v>XN Bò AD</v>
      </c>
      <c r="I756" s="610">
        <f>IFERROR(VLOOKUP(B756,'03. THIẾT BỊ'!$B$1:$S$836,8,0),"")</f>
        <v>0</v>
      </c>
      <c r="J756" s="25"/>
      <c r="K756" s="19" t="str">
        <f>IFERROR(VLOOKUP(B756,'03. THIẾT BỊ'!$B$1:$S$836,10,0),"")</f>
        <v>Bình thường</v>
      </c>
      <c r="L756" s="25">
        <f>IFERROR(VLOOKUP(B756,'03. THIẾT BỊ'!$B$1:$S$836,11,0),"")</f>
        <v>0</v>
      </c>
      <c r="M756" s="24" t="str">
        <f>IFERROR(VLOOKUP(B756,'03. THIẾT BỊ'!$B$1:$S$836,12,0),"")</f>
        <v>TTCBTA</v>
      </c>
      <c r="N756" s="25" t="str">
        <f>IFERROR(VLOOKUP(B756,'03. THIẾT BỊ'!$B$1:$S$836,13,0),"")</f>
        <v>CAMBODIA</v>
      </c>
      <c r="O756" s="24" t="str">
        <f>IFERROR(VLOOKUP(B756,'03. THIẾT BỊ'!$B$1:$S$836,14,0),"")</f>
        <v>TMR</v>
      </c>
      <c r="P756" s="25" t="str">
        <f>IFERROR(VLOOKUP(B756,'03. THIẾT BỊ'!$B$1:$S$836,15,0),"")</f>
        <v>CAMBODIA</v>
      </c>
      <c r="Q756" s="23">
        <f>IFERROR(VLOOKUP(B756,'03. THIẾT BỊ'!$B$1:$S$836,16,0),"")</f>
        <v>0</v>
      </c>
      <c r="R756" s="25">
        <f>IFERROR(VLOOKUP(B756,'03. THIẾT BỊ'!$B$1:$S$836,17,0),"")</f>
        <v>0</v>
      </c>
      <c r="S756" s="25">
        <f>IFERROR(VLOOKUP(B756,'03. THIẾT BỊ'!$B$1:$S$836,18,0),"")</f>
        <v>0</v>
      </c>
      <c r="T756" s="41"/>
    </row>
    <row r="757" customHeight="1" spans="1:20">
      <c r="A757" s="19">
        <f t="shared" si="36"/>
        <v>4</v>
      </c>
      <c r="B757" s="20" t="s">
        <v>5468</v>
      </c>
      <c r="C757" s="613">
        <f>IFERROR(VLOOKUP(B757,'03. THIẾT BỊ'!$B$1:$S$836,2,0),"")</f>
        <v>0</v>
      </c>
      <c r="D757" s="24" t="str">
        <f>IFERROR(VLOOKUP(B757,'03. THIẾT BỊ'!$B$1:$S$836,3,0),"")</f>
        <v>A22-MTP-001</v>
      </c>
      <c r="E757" s="20" t="str">
        <f>IFERROR(VLOOKUP(B757,'03. THIẾT BỊ'!$B$1:$S$836,4,0),"")</f>
        <v>ĐQSD</v>
      </c>
      <c r="F757" s="20" t="str">
        <f>IFERROR(VLOOKUP(B757,'03. THIẾT BỊ'!$B$1:$S$836,5,0),"")</f>
        <v>Máy trộn premix </v>
      </c>
      <c r="G757" s="101" t="s">
        <v>6468</v>
      </c>
      <c r="H757" s="19" t="str">
        <f>IFERROR(VLOOKUP(B757,'03. THIẾT BỊ'!$B$1:$S$836,7,0),"")</f>
        <v>XN Bò AD</v>
      </c>
      <c r="I757" s="610">
        <f>IFERROR(VLOOKUP(B757,'03. THIẾT BỊ'!$B$1:$S$836,8,0),"")</f>
        <v>0</v>
      </c>
      <c r="J757" s="25"/>
      <c r="K757" s="19" t="str">
        <f>IFERROR(VLOOKUP(B757,'03. THIẾT BỊ'!$B$1:$S$836,10,0),"")</f>
        <v>Bình thường</v>
      </c>
      <c r="L757" s="25">
        <f>IFERROR(VLOOKUP(B757,'03. THIẾT BỊ'!$B$1:$S$836,11,0),"")</f>
        <v>0</v>
      </c>
      <c r="M757" s="24" t="str">
        <f>IFERROR(VLOOKUP(B757,'03. THIẾT BỊ'!$B$1:$S$836,12,0),"")</f>
        <v>TTCBTA</v>
      </c>
      <c r="N757" s="25" t="str">
        <f>IFERROR(VLOOKUP(B757,'03. THIẾT BỊ'!$B$1:$S$836,13,0),"")</f>
        <v>THACO AGRI</v>
      </c>
      <c r="O757" s="24" t="str">
        <f>IFERROR(VLOOKUP(B757,'03. THIẾT BỊ'!$B$1:$S$836,14,0),"")</f>
        <v>Premix</v>
      </c>
      <c r="P757" s="25" t="str">
        <f>IFERROR(VLOOKUP(B757,'03. THIẾT BỊ'!$B$1:$S$836,15,0),"")</f>
        <v>CK-CGH</v>
      </c>
      <c r="Q757" s="23">
        <f>IFERROR(VLOOKUP(B757,'03. THIẾT BỊ'!$B$1:$S$836,16,0),"")</f>
        <v>0</v>
      </c>
      <c r="R757" s="25">
        <f>IFERROR(VLOOKUP(B757,'03. THIẾT BỊ'!$B$1:$S$836,17,0),"")</f>
        <v>0</v>
      </c>
      <c r="S757" s="25">
        <f>IFERROR(VLOOKUP(B757,'03. THIẾT BỊ'!$B$1:$S$836,18,0),"")</f>
        <v>0</v>
      </c>
      <c r="T757" s="41"/>
    </row>
    <row r="758" customHeight="1" spans="1:20">
      <c r="A758" s="19">
        <f t="shared" si="36"/>
        <v>5</v>
      </c>
      <c r="B758" s="20" t="s">
        <v>5472</v>
      </c>
      <c r="C758" s="613">
        <f>IFERROR(VLOOKUP(B758,'03. THIẾT BỊ'!$B$1:$S$836,2,0),"")</f>
        <v>0</v>
      </c>
      <c r="D758" s="24" t="str">
        <f>IFERROR(VLOOKUP(B758,'03. THIẾT BỊ'!$B$1:$S$836,3,0),"")</f>
        <v>A22-MTP-002</v>
      </c>
      <c r="E758" s="20" t="str">
        <f>IFERROR(VLOOKUP(B758,'03. THIẾT BỊ'!$B$1:$S$836,4,0),"")</f>
        <v>ĐQSD</v>
      </c>
      <c r="F758" s="20" t="str">
        <f>IFERROR(VLOOKUP(B758,'03. THIẾT BỊ'!$B$1:$S$836,5,0),"")</f>
        <v>Máy trộn premix </v>
      </c>
      <c r="G758" s="101" t="s">
        <v>6468</v>
      </c>
      <c r="H758" s="19" t="str">
        <f>IFERROR(VLOOKUP(B758,'03. THIẾT BỊ'!$B$1:$S$836,7,0),"")</f>
        <v>XN Bò AD</v>
      </c>
      <c r="I758" s="610">
        <f>IFERROR(VLOOKUP(B758,'03. THIẾT BỊ'!$B$1:$S$836,8,0),"")</f>
        <v>0</v>
      </c>
      <c r="J758" s="25"/>
      <c r="K758" s="19" t="str">
        <f>IFERROR(VLOOKUP(B758,'03. THIẾT BỊ'!$B$1:$S$836,10,0),"")</f>
        <v>Bình thường</v>
      </c>
      <c r="L758" s="25">
        <f>IFERROR(VLOOKUP(B758,'03. THIẾT BỊ'!$B$1:$S$836,11,0),"")</f>
        <v>0</v>
      </c>
      <c r="M758" s="24" t="str">
        <f>IFERROR(VLOOKUP(B758,'03. THIẾT BỊ'!$B$1:$S$836,12,0),"")</f>
        <v>TTCBTA</v>
      </c>
      <c r="N758" s="25" t="str">
        <f>IFERROR(VLOOKUP(B758,'03. THIẾT BỊ'!$B$1:$S$836,13,0),"")</f>
        <v>THACO AGRI</v>
      </c>
      <c r="O758" s="24" t="str">
        <f>IFERROR(VLOOKUP(B758,'03. THIẾT BỊ'!$B$1:$S$836,14,0),"")</f>
        <v>Premix</v>
      </c>
      <c r="P758" s="25" t="str">
        <f>IFERROR(VLOOKUP(B758,'03. THIẾT BỊ'!$B$1:$S$836,15,0),"")</f>
        <v>CK-CGH</v>
      </c>
      <c r="Q758" s="23">
        <f>IFERROR(VLOOKUP(B758,'03. THIẾT BỊ'!$B$1:$S$836,16,0),"")</f>
        <v>0</v>
      </c>
      <c r="R758" s="25">
        <f>IFERROR(VLOOKUP(B758,'03. THIẾT BỊ'!$B$1:$S$836,17,0),"")</f>
        <v>0</v>
      </c>
      <c r="S758" s="25">
        <f>IFERROR(VLOOKUP(B758,'03. THIẾT BỊ'!$B$1:$S$836,18,0),"")</f>
        <v>0</v>
      </c>
      <c r="T758" s="41"/>
    </row>
    <row r="759" customHeight="1" spans="1:20">
      <c r="A759" s="19">
        <f t="shared" si="36"/>
        <v>6</v>
      </c>
      <c r="B759" s="20" t="s">
        <v>5474</v>
      </c>
      <c r="C759" s="613">
        <f>IFERROR(VLOOKUP(B759,'03. THIẾT BỊ'!$B$1:$S$836,2,0),"")</f>
        <v>0</v>
      </c>
      <c r="D759" s="24" t="str">
        <f>IFERROR(VLOOKUP(B759,'03. THIẾT BỊ'!$B$1:$S$836,3,0),"")</f>
        <v>A22-TCT-001</v>
      </c>
      <c r="E759" s="20" t="str">
        <f>IFERROR(VLOOKUP(B759,'03. THIẾT BỊ'!$B$1:$S$836,4,0),"")</f>
        <v>ĐQSD</v>
      </c>
      <c r="F759" s="20" t="str">
        <f>IFERROR(VLOOKUP(B759,'03. THIẾT BỊ'!$B$1:$S$836,5,0),"")</f>
        <v>Máy trộn thức ăn tinh </v>
      </c>
      <c r="G759" s="101" t="s">
        <v>6468</v>
      </c>
      <c r="H759" s="19" t="str">
        <f>IFERROR(VLOOKUP(B759,'03. THIẾT BỊ'!$B$1:$S$836,7,0),"")</f>
        <v>XN Bò AD</v>
      </c>
      <c r="I759" s="610">
        <f>IFERROR(VLOOKUP(B759,'03. THIẾT BỊ'!$B$1:$S$836,8,0),"")</f>
        <v>0</v>
      </c>
      <c r="J759" s="25"/>
      <c r="K759" s="19" t="str">
        <f>IFERROR(VLOOKUP(B759,'03. THIẾT BỊ'!$B$1:$S$836,10,0),"")</f>
        <v>Bình thường</v>
      </c>
      <c r="L759" s="25">
        <f>IFERROR(VLOOKUP(B759,'03. THIẾT BỊ'!$B$1:$S$836,11,0),"")</f>
        <v>0</v>
      </c>
      <c r="M759" s="24" t="str">
        <f>IFERROR(VLOOKUP(B759,'03. THIẾT BỊ'!$B$1:$S$836,12,0),"")</f>
        <v>TTCBTA</v>
      </c>
      <c r="N759" s="25" t="str">
        <f>IFERROR(VLOOKUP(B759,'03. THIẾT BỊ'!$B$1:$S$836,13,0),"")</f>
        <v>THACO AGRI</v>
      </c>
      <c r="O759" s="24">
        <f>IFERROR(VLOOKUP(B759,'03. THIẾT BỊ'!$B$1:$S$836,14,0),"")</f>
        <v>0</v>
      </c>
      <c r="P759" s="25" t="str">
        <f>IFERROR(VLOOKUP(B759,'03. THIẾT BỊ'!$B$1:$S$836,15,0),"")</f>
        <v>CK-CGH</v>
      </c>
      <c r="Q759" s="23">
        <f>IFERROR(VLOOKUP(B759,'03. THIẾT BỊ'!$B$1:$S$836,16,0),"")</f>
        <v>0</v>
      </c>
      <c r="R759" s="25">
        <f>IFERROR(VLOOKUP(B759,'03. THIẾT BỊ'!$B$1:$S$836,17,0),"")</f>
        <v>0</v>
      </c>
      <c r="S759" s="25">
        <f>IFERROR(VLOOKUP(B759,'03. THIẾT BỊ'!$B$1:$S$836,18,0),"")</f>
        <v>0</v>
      </c>
      <c r="T759" s="41"/>
    </row>
    <row r="760" customHeight="1" spans="1:20">
      <c r="A760" s="19">
        <f t="shared" si="36"/>
        <v>7</v>
      </c>
      <c r="B760" s="20" t="s">
        <v>5477</v>
      </c>
      <c r="C760" s="613">
        <f>IFERROR(VLOOKUP(B760,'03. THIẾT BỊ'!$B$1:$S$836,2,0),"")</f>
        <v>0</v>
      </c>
      <c r="D760" s="24" t="str">
        <f>IFERROR(VLOOKUP(B760,'03. THIẾT BỊ'!$B$1:$S$836,3,0),"")</f>
        <v>A22-TCT-002</v>
      </c>
      <c r="E760" s="20" t="str">
        <f>IFERROR(VLOOKUP(B760,'03. THIẾT BỊ'!$B$1:$S$836,4,0),"")</f>
        <v>ĐQSD</v>
      </c>
      <c r="F760" s="20" t="str">
        <f>IFERROR(VLOOKUP(B760,'03. THIẾT BỊ'!$B$1:$S$836,5,0),"")</f>
        <v>Máy trộn thức ăn tinh</v>
      </c>
      <c r="G760" s="101" t="s">
        <v>6468</v>
      </c>
      <c r="H760" s="19" t="str">
        <f>IFERROR(VLOOKUP(B760,'03. THIẾT BỊ'!$B$1:$S$836,7,0),"")</f>
        <v>XN Bò AD</v>
      </c>
      <c r="I760" s="610">
        <f>IFERROR(VLOOKUP(B760,'03. THIẾT BỊ'!$B$1:$S$836,8,0),"")</f>
        <v>0</v>
      </c>
      <c r="J760" s="25"/>
      <c r="K760" s="19" t="str">
        <f>IFERROR(VLOOKUP(B760,'03. THIẾT BỊ'!$B$1:$S$836,10,0),"")</f>
        <v>Bình thường</v>
      </c>
      <c r="L760" s="25">
        <f>IFERROR(VLOOKUP(B760,'03. THIẾT BỊ'!$B$1:$S$836,11,0),"")</f>
        <v>0</v>
      </c>
      <c r="M760" s="24" t="str">
        <f>IFERROR(VLOOKUP(B760,'03. THIẾT BỊ'!$B$1:$S$836,12,0),"")</f>
        <v>TTCBTA</v>
      </c>
      <c r="N760" s="25" t="str">
        <f>IFERROR(VLOOKUP(B760,'03. THIẾT BỊ'!$B$1:$S$836,13,0),"")</f>
        <v>THACO AGRI</v>
      </c>
      <c r="O760" s="24">
        <f>IFERROR(VLOOKUP(B760,'03. THIẾT BỊ'!$B$1:$S$836,14,0),"")</f>
        <v>0</v>
      </c>
      <c r="P760" s="25" t="str">
        <f>IFERROR(VLOOKUP(B760,'03. THIẾT BỊ'!$B$1:$S$836,15,0),"")</f>
        <v>CK-CGH</v>
      </c>
      <c r="Q760" s="23">
        <f>IFERROR(VLOOKUP(B760,'03. THIẾT BỊ'!$B$1:$S$836,16,0),"")</f>
        <v>0</v>
      </c>
      <c r="R760" s="25">
        <f>IFERROR(VLOOKUP(B760,'03. THIẾT BỊ'!$B$1:$S$836,17,0),"")</f>
        <v>0</v>
      </c>
      <c r="S760" s="25">
        <f>IFERROR(VLOOKUP(B760,'03. THIẾT BỊ'!$B$1:$S$836,18,0),"")</f>
        <v>0</v>
      </c>
      <c r="T760" s="41"/>
    </row>
    <row r="761" customHeight="1" spans="1:20">
      <c r="A761" s="19"/>
      <c r="B761" s="20"/>
      <c r="C761" s="613" t="str">
        <f>IFERROR(VLOOKUP(B761,'03. THIẾT BỊ'!$B$1:$S$836,2,0),"")</f>
        <v/>
      </c>
      <c r="D761" s="24" t="str">
        <f>IFERROR(VLOOKUP(B761,'03. THIẾT BỊ'!$B$1:$S$836,3,0),"")</f>
        <v/>
      </c>
      <c r="E761" s="20" t="str">
        <f>IFERROR(VLOOKUP(B761,'03. THIẾT BỊ'!$B$1:$S$836,4,0),"")</f>
        <v/>
      </c>
      <c r="F761" s="20" t="str">
        <f>IFERROR(VLOOKUP(B761,'03. THIẾT BỊ'!$B$1:$S$836,5,0),"")</f>
        <v/>
      </c>
      <c r="G761" s="101" t="s">
        <v>6468</v>
      </c>
      <c r="H761" s="19" t="str">
        <f>IFERROR(VLOOKUP(B761,'03. THIẾT BỊ'!$B$1:$S$836,7,0),"")</f>
        <v/>
      </c>
      <c r="I761" s="610" t="str">
        <f>IFERROR(VLOOKUP(B761,'03. THIẾT BỊ'!$B$1:$S$836,8,0),"")</f>
        <v/>
      </c>
      <c r="J761" s="25"/>
      <c r="K761" s="19" t="str">
        <f>IFERROR(VLOOKUP(B761,'03. THIẾT BỊ'!$B$1:$S$836,10,0),"")</f>
        <v/>
      </c>
      <c r="L761" s="25" t="str">
        <f>IFERROR(VLOOKUP(B761,'03. THIẾT BỊ'!$B$1:$S$836,11,0),"")</f>
        <v/>
      </c>
      <c r="M761" s="24" t="str">
        <f>IFERROR(VLOOKUP(B761,'03. THIẾT BỊ'!$B$1:$S$836,12,0),"")</f>
        <v/>
      </c>
      <c r="N761" s="25" t="str">
        <f>IFERROR(VLOOKUP(B761,'03. THIẾT BỊ'!$B$1:$S$836,13,0),"")</f>
        <v/>
      </c>
      <c r="O761" s="24" t="str">
        <f>IFERROR(VLOOKUP(B761,'03. THIẾT BỊ'!$B$1:$S$836,14,0),"")</f>
        <v/>
      </c>
      <c r="P761" s="25" t="str">
        <f>IFERROR(VLOOKUP(B761,'03. THIẾT BỊ'!$B$1:$S$836,15,0),"")</f>
        <v/>
      </c>
      <c r="Q761" s="23" t="str">
        <f>IFERROR(VLOOKUP(B761,'03. THIẾT BỊ'!$B$1:$S$836,16,0),"")</f>
        <v/>
      </c>
      <c r="R761" s="25" t="str">
        <f>IFERROR(VLOOKUP(B761,'03. THIẾT BỊ'!$B$1:$S$836,17,0),"")</f>
        <v/>
      </c>
      <c r="S761" s="25" t="str">
        <f>IFERROR(VLOOKUP(B761,'03. THIẾT BỊ'!$B$1:$S$836,18,0),"")</f>
        <v/>
      </c>
      <c r="T761" s="622"/>
    </row>
    <row r="762" customHeight="1" spans="1:20">
      <c r="A762" s="19"/>
      <c r="B762" s="20"/>
      <c r="C762" s="613" t="str">
        <f>IFERROR(VLOOKUP(B762,'03. THIẾT BỊ'!$B$1:$S$836,2,0),"")</f>
        <v/>
      </c>
      <c r="D762" s="24" t="str">
        <f>IFERROR(VLOOKUP(B762,'03. THIẾT BỊ'!$B$1:$S$836,3,0),"")</f>
        <v/>
      </c>
      <c r="E762" s="20" t="str">
        <f>IFERROR(VLOOKUP(B762,'03. THIẾT BỊ'!$B$1:$S$836,4,0),"")</f>
        <v/>
      </c>
      <c r="F762" s="20" t="str">
        <f>IFERROR(VLOOKUP(B762,'03. THIẾT BỊ'!$B$1:$S$836,5,0),"")</f>
        <v/>
      </c>
      <c r="G762" s="101" t="s">
        <v>6468</v>
      </c>
      <c r="H762" s="19" t="str">
        <f>IFERROR(VLOOKUP(B762,'03. THIẾT BỊ'!$B$1:$S$836,7,0),"")</f>
        <v/>
      </c>
      <c r="I762" s="610" t="str">
        <f>IFERROR(VLOOKUP(B762,'03. THIẾT BỊ'!$B$1:$S$836,8,0),"")</f>
        <v/>
      </c>
      <c r="J762" s="25"/>
      <c r="K762" s="19" t="str">
        <f>IFERROR(VLOOKUP(B762,'03. THIẾT BỊ'!$B$1:$S$836,10,0),"")</f>
        <v/>
      </c>
      <c r="L762" s="25" t="str">
        <f>IFERROR(VLOOKUP(B762,'03. THIẾT BỊ'!$B$1:$S$836,11,0),"")</f>
        <v/>
      </c>
      <c r="M762" s="24" t="str">
        <f>IFERROR(VLOOKUP(B762,'03. THIẾT BỊ'!$B$1:$S$836,12,0),"")</f>
        <v/>
      </c>
      <c r="N762" s="25" t="str">
        <f>IFERROR(VLOOKUP(B762,'03. THIẾT BỊ'!$B$1:$S$836,13,0),"")</f>
        <v/>
      </c>
      <c r="O762" s="24" t="str">
        <f>IFERROR(VLOOKUP(B762,'03. THIẾT BỊ'!$B$1:$S$836,14,0),"")</f>
        <v/>
      </c>
      <c r="P762" s="25" t="str">
        <f>IFERROR(VLOOKUP(B762,'03. THIẾT BỊ'!$B$1:$S$836,15,0),"")</f>
        <v/>
      </c>
      <c r="Q762" s="23" t="str">
        <f>IFERROR(VLOOKUP(B762,'03. THIẾT BỊ'!$B$1:$S$836,16,0),"")</f>
        <v/>
      </c>
      <c r="R762" s="25" t="str">
        <f>IFERROR(VLOOKUP(B762,'03. THIẾT BỊ'!$B$1:$S$836,17,0),"")</f>
        <v/>
      </c>
      <c r="S762" s="25" t="str">
        <f>IFERROR(VLOOKUP(B762,'03. THIẾT BỊ'!$B$1:$S$836,18,0),"")</f>
        <v/>
      </c>
      <c r="T762" s="622"/>
    </row>
    <row r="763" customHeight="1" spans="1:20">
      <c r="A763" s="14" t="s">
        <v>290</v>
      </c>
      <c r="B763" s="15" t="s">
        <v>6513</v>
      </c>
      <c r="C763" s="14">
        <f>COUNTA(B764:B771)</f>
        <v>6</v>
      </c>
      <c r="D763" s="17" t="str">
        <f>IFERROR(VLOOKUP(B763,'03. THIẾT BỊ'!$B$1:$S$836,3,0),"")</f>
        <v/>
      </c>
      <c r="E763" s="20" t="str">
        <f>IFERROR(VLOOKUP(B763,'03. THIẾT BỊ'!$B$1:$S$836,4,0),"")</f>
        <v/>
      </c>
      <c r="F763" s="17" t="str">
        <f>IFERROR(VLOOKUP(B763,'03. THIẾT BỊ'!$B$1:$S$836,5,0),"")</f>
        <v/>
      </c>
      <c r="G763" s="18" t="s">
        <v>6468</v>
      </c>
      <c r="H763" s="18" t="str">
        <f>IFERROR(VLOOKUP(B763,'03. THIẾT BỊ'!$B$1:$S$836,7,0),"")</f>
        <v/>
      </c>
      <c r="I763" s="14" t="str">
        <f>IFERROR(VLOOKUP(B763,'03. THIẾT BỊ'!$B$1:$S$836,8,0),"")</f>
        <v/>
      </c>
      <c r="J763" s="15"/>
      <c r="K763" s="14" t="str">
        <f>IFERROR(VLOOKUP(B763,'03. THIẾT BỊ'!$B$1:$S$836,10,0),"")</f>
        <v/>
      </c>
      <c r="L763" s="17" t="str">
        <f>IFERROR(VLOOKUP(B763,'03. THIẾT BỊ'!$B$1:$S$836,11,0),"")</f>
        <v/>
      </c>
      <c r="M763" s="16" t="str">
        <f>IFERROR(VLOOKUP(B763,'03. THIẾT BỊ'!$B$1:$S$836,12,0),"")</f>
        <v/>
      </c>
      <c r="N763" s="17" t="str">
        <f>IFERROR(VLOOKUP(B763,'03. THIẾT BỊ'!$B$1:$S$836,13,0),"")</f>
        <v/>
      </c>
      <c r="O763" s="16" t="str">
        <f>IFERROR(VLOOKUP(B763,'03. THIẾT BỊ'!$B$1:$S$836,14,0),"")</f>
        <v/>
      </c>
      <c r="P763" s="17" t="str">
        <f>IFERROR(VLOOKUP(B763,'03. THIẾT BỊ'!$B$1:$S$836,15,0),"")</f>
        <v/>
      </c>
      <c r="Q763" s="18" t="str">
        <f>IFERROR(VLOOKUP(B763,'03. THIẾT BỊ'!$B$1:$S$836,16,0),"")</f>
        <v/>
      </c>
      <c r="R763" s="17" t="str">
        <f>IFERROR(VLOOKUP(B763,'03. THIẾT BỊ'!$B$1:$S$836,17,0),"")</f>
        <v/>
      </c>
      <c r="S763" s="17" t="str">
        <f>IFERROR(VLOOKUP(B763,'03. THIẾT BỊ'!$B$1:$S$836,18,0),"")</f>
        <v/>
      </c>
      <c r="T763" s="609"/>
    </row>
    <row r="764" customHeight="1" spans="1:20">
      <c r="A764" s="19">
        <v>1</v>
      </c>
      <c r="B764" s="20" t="s">
        <v>5513</v>
      </c>
      <c r="C764" s="613">
        <f>IFERROR(VLOOKUP(B764,'03. THIẾT BỊ'!$B$1:$S$836,2,0),"")</f>
        <v>0</v>
      </c>
      <c r="D764" s="24">
        <f>IFERROR(VLOOKUP(B764,'03. THIẾT BỊ'!$B$1:$S$836,3,0),"")</f>
        <v>0</v>
      </c>
      <c r="E764" s="20" t="str">
        <f>IFERROR(VLOOKUP(B764,'03. THIẾT BỊ'!$B$1:$S$836,4,0),"")</f>
        <v>ĐQSD</v>
      </c>
      <c r="F764" s="20" t="str">
        <f>IFERROR(VLOOKUP(B764,'03. THIẾT BỊ'!$B$1:$S$836,5,0),"")</f>
        <v>Máy tời xe máy 3.5T</v>
      </c>
      <c r="G764" s="101" t="s">
        <v>6468</v>
      </c>
      <c r="H764" s="19" t="str">
        <f>IFERROR(VLOOKUP(B764,'03. THIẾT BỊ'!$B$1:$S$836,7,0),"")</f>
        <v>XN Bò AD</v>
      </c>
      <c r="I764" s="610">
        <f>IFERROR(VLOOKUP(B764,'03. THIẾT BỊ'!$B$1:$S$836,8,0),"")</f>
        <v>45422</v>
      </c>
      <c r="J764" s="25"/>
      <c r="K764" s="19" t="str">
        <f>IFERROR(VLOOKUP(B764,'03. THIẾT BỊ'!$B$1:$S$836,10,0),"")</f>
        <v>Bình thường</v>
      </c>
      <c r="L764" s="25">
        <f>IFERROR(VLOOKUP(B764,'03. THIẾT BỊ'!$B$1:$S$836,11,0),"")</f>
        <v>0</v>
      </c>
      <c r="M764" s="24" t="str">
        <f>IFERROR(VLOOKUP(B764,'03. THIẾT BỊ'!$B$1:$S$836,12,0),"")</f>
        <v>Đầu tư mới</v>
      </c>
      <c r="N764" s="25" t="str">
        <f>IFERROR(VLOOKUP(B764,'03. THIẾT BỊ'!$B$1:$S$836,13,0),"")</f>
        <v>SYM</v>
      </c>
      <c r="O764" s="24" t="str">
        <f>IFERROR(VLOOKUP(B764,'03. THIẾT BỊ'!$B$1:$S$836,14,0),"")</f>
        <v>SANYANG MOTOR</v>
      </c>
      <c r="P764" s="25" t="str">
        <f>IFERROR(VLOOKUP(B764,'03. THIẾT BỊ'!$B$1:$S$836,15,0),"")</f>
        <v>TRUNG QUỐC</v>
      </c>
      <c r="Q764" s="23" t="str">
        <f>IFERROR(VLOOKUP(B764,'03. THIẾT BỊ'!$B$1:$S$836,16,0),"")</f>
        <v>-</v>
      </c>
      <c r="R764" s="25">
        <f>IFERROR(VLOOKUP(B764,'03. THIẾT BỊ'!$B$1:$S$836,17,0),"")</f>
        <v>0</v>
      </c>
      <c r="S764" s="25" t="str">
        <f>IFERROR(VLOOKUP(B764,'03. THIẾT BỊ'!$B$1:$S$836,18,0),"")</f>
        <v>VAVLC152FMH009586</v>
      </c>
      <c r="T764" s="624"/>
    </row>
    <row r="765" customHeight="1" spans="1:20">
      <c r="A765" s="19">
        <f t="shared" ref="A765:A769" si="37">A764+1</f>
        <v>2</v>
      </c>
      <c r="B765" s="20" t="s">
        <v>5517</v>
      </c>
      <c r="C765" s="613">
        <f>IFERROR(VLOOKUP(B765,'03. THIẾT BỊ'!$B$1:$S$836,2,0),"")</f>
        <v>0</v>
      </c>
      <c r="D765" s="24">
        <f>IFERROR(VLOOKUP(B765,'03. THIẾT BỊ'!$B$1:$S$836,3,0),"")</f>
        <v>0</v>
      </c>
      <c r="E765" s="20" t="str">
        <f>IFERROR(VLOOKUP(B765,'03. THIẾT BỊ'!$B$1:$S$836,4,0),"")</f>
        <v>ĐQSD</v>
      </c>
      <c r="F765" s="20" t="str">
        <f>IFERROR(VLOOKUP(B765,'03. THIẾT BỊ'!$B$1:$S$836,5,0),"")</f>
        <v>Máy tời xe máy 3.5T</v>
      </c>
      <c r="G765" s="101" t="s">
        <v>6468</v>
      </c>
      <c r="H765" s="19" t="str">
        <f>IFERROR(VLOOKUP(B765,'03. THIẾT BỊ'!$B$1:$S$836,7,0),"")</f>
        <v>XN Bò AD</v>
      </c>
      <c r="I765" s="610">
        <f>IFERROR(VLOOKUP(B765,'03. THIẾT BỊ'!$B$1:$S$836,8,0),"")</f>
        <v>45422</v>
      </c>
      <c r="J765" s="25"/>
      <c r="K765" s="19" t="str">
        <f>IFERROR(VLOOKUP(B765,'03. THIẾT BỊ'!$B$1:$S$836,10,0),"")</f>
        <v>Bình thường</v>
      </c>
      <c r="L765" s="25">
        <f>IFERROR(VLOOKUP(B765,'03. THIẾT BỊ'!$B$1:$S$836,11,0),"")</f>
        <v>0</v>
      </c>
      <c r="M765" s="24" t="str">
        <f>IFERROR(VLOOKUP(B765,'03. THIẾT BỊ'!$B$1:$S$836,12,0),"")</f>
        <v>Đầu tư mới</v>
      </c>
      <c r="N765" s="25" t="str">
        <f>IFERROR(VLOOKUP(B765,'03. THIẾT BỊ'!$B$1:$S$836,13,0),"")</f>
        <v>SYM</v>
      </c>
      <c r="O765" s="24" t="str">
        <f>IFERROR(VLOOKUP(B765,'03. THIẾT BỊ'!$B$1:$S$836,14,0),"")</f>
        <v>SANYANG MOTOR</v>
      </c>
      <c r="P765" s="25" t="str">
        <f>IFERROR(VLOOKUP(B765,'03. THIẾT BỊ'!$B$1:$S$836,15,0),"")</f>
        <v>TRUNG QUỐC</v>
      </c>
      <c r="Q765" s="23">
        <f>IFERROR(VLOOKUP(B765,'03. THIẾT BỊ'!$B$1:$S$836,16,0),"")</f>
        <v>0</v>
      </c>
      <c r="R765" s="25" t="str">
        <f>IFERROR(VLOOKUP(B765,'03. THIẾT BỊ'!$B$1:$S$836,17,0),"")</f>
        <v>-</v>
      </c>
      <c r="S765" s="25" t="str">
        <f>IFERROR(VLOOKUP(B765,'03. THIẾT BỊ'!$B$1:$S$836,18,0),"")</f>
        <v>-</v>
      </c>
      <c r="T765" s="624"/>
    </row>
    <row r="766" customHeight="1" spans="1:20">
      <c r="A766" s="19">
        <f t="shared" si="37"/>
        <v>3</v>
      </c>
      <c r="B766" s="20" t="s">
        <v>5518</v>
      </c>
      <c r="C766" s="613">
        <f>IFERROR(VLOOKUP(B766,'03. THIẾT BỊ'!$B$1:$S$836,2,0),"")</f>
        <v>0</v>
      </c>
      <c r="D766" s="24">
        <f>IFERROR(VLOOKUP(B766,'03. THIẾT BỊ'!$B$1:$S$836,3,0),"")</f>
        <v>0</v>
      </c>
      <c r="E766" s="20" t="str">
        <f>IFERROR(VLOOKUP(B766,'03. THIẾT BỊ'!$B$1:$S$836,4,0),"")</f>
        <v>ĐQSD</v>
      </c>
      <c r="F766" s="20" t="str">
        <f>IFERROR(VLOOKUP(B766,'03. THIẾT BỊ'!$B$1:$S$836,5,0),"")</f>
        <v>Máy tời xe máy 3.5T</v>
      </c>
      <c r="G766" s="101" t="s">
        <v>6468</v>
      </c>
      <c r="H766" s="19" t="str">
        <f>IFERROR(VLOOKUP(B766,'03. THIẾT BỊ'!$B$1:$S$836,7,0),"")</f>
        <v>XN Bò AD</v>
      </c>
      <c r="I766" s="610" t="str">
        <f>IFERROR(VLOOKUP(B766,'03. THIẾT BỊ'!$B$1:$S$836,8,0),"")</f>
        <v>26/10/2024</v>
      </c>
      <c r="J766" s="25"/>
      <c r="K766" s="19" t="str">
        <f>IFERROR(VLOOKUP(B766,'03. THIẾT BỊ'!$B$1:$S$836,10,0),"")</f>
        <v>Bình thường</v>
      </c>
      <c r="L766" s="25">
        <f>IFERROR(VLOOKUP(B766,'03. THIẾT BỊ'!$B$1:$S$836,11,0),"")</f>
        <v>0</v>
      </c>
      <c r="M766" s="24" t="str">
        <f>IFERROR(VLOOKUP(B766,'03. THIẾT BỊ'!$B$1:$S$836,12,0),"")</f>
        <v>Đầu tư mới</v>
      </c>
      <c r="N766" s="25" t="str">
        <f>IFERROR(VLOOKUP(B766,'03. THIẾT BỊ'!$B$1:$S$836,13,0),"")</f>
        <v>SYM</v>
      </c>
      <c r="O766" s="24" t="str">
        <f>IFERROR(VLOOKUP(B766,'03. THIẾT BỊ'!$B$1:$S$836,14,0),"")</f>
        <v>SANYANG MOTOR</v>
      </c>
      <c r="P766" s="25" t="str">
        <f>IFERROR(VLOOKUP(B766,'03. THIẾT BỊ'!$B$1:$S$836,15,0),"")</f>
        <v>TRUNG QUỐC</v>
      </c>
      <c r="Q766" s="23">
        <f>IFERROR(VLOOKUP(B766,'03. THIẾT BỊ'!$B$1:$S$836,16,0),"")</f>
        <v>0</v>
      </c>
      <c r="R766" s="25">
        <f>IFERROR(VLOOKUP(B766,'03. THIẾT BỊ'!$B$1:$S$836,17,0),"")</f>
        <v>0</v>
      </c>
      <c r="S766" s="25" t="str">
        <f>IFERROR(VLOOKUP(B766,'03. THIẾT BỊ'!$B$1:$S$836,18,0),"")</f>
        <v>LC150FM-00085896</v>
      </c>
      <c r="T766" s="41"/>
    </row>
    <row r="767" customHeight="1" spans="1:20">
      <c r="A767" s="19">
        <f t="shared" si="37"/>
        <v>4</v>
      </c>
      <c r="B767" s="20" t="s">
        <v>5520</v>
      </c>
      <c r="C767" s="613">
        <f>IFERROR(VLOOKUP(B767,'03. THIẾT BỊ'!$B$1:$S$836,2,0),"")</f>
        <v>0</v>
      </c>
      <c r="D767" s="24">
        <f>IFERROR(VLOOKUP(B767,'03. THIẾT BỊ'!$B$1:$S$836,3,0),"")</f>
        <v>0</v>
      </c>
      <c r="E767" s="20" t="str">
        <f>IFERROR(VLOOKUP(B767,'03. THIẾT BỊ'!$B$1:$S$836,4,0),"")</f>
        <v>ĐQSD</v>
      </c>
      <c r="F767" s="20" t="str">
        <f>IFERROR(VLOOKUP(B767,'03. THIẾT BỊ'!$B$1:$S$836,5,0),"")</f>
        <v>Máy tời xe máy 3.5T</v>
      </c>
      <c r="G767" s="101" t="s">
        <v>6468</v>
      </c>
      <c r="H767" s="19" t="str">
        <f>IFERROR(VLOOKUP(B767,'03. THIẾT BỊ'!$B$1:$S$836,7,0),"")</f>
        <v>XN Bò AD</v>
      </c>
      <c r="I767" s="610" t="str">
        <f>IFERROR(VLOOKUP(B767,'03. THIẾT BỊ'!$B$1:$S$836,8,0),"")</f>
        <v>26/10/2024</v>
      </c>
      <c r="J767" s="25"/>
      <c r="K767" s="19" t="str">
        <f>IFERROR(VLOOKUP(B767,'03. THIẾT BỊ'!$B$1:$S$836,10,0),"")</f>
        <v>Bình thường</v>
      </c>
      <c r="L767" s="25">
        <f>IFERROR(VLOOKUP(B767,'03. THIẾT BỊ'!$B$1:$S$836,11,0),"")</f>
        <v>0</v>
      </c>
      <c r="M767" s="24" t="str">
        <f>IFERROR(VLOOKUP(B767,'03. THIẾT BỊ'!$B$1:$S$836,12,0),"")</f>
        <v>Đầu tư mới</v>
      </c>
      <c r="N767" s="25" t="str">
        <f>IFERROR(VLOOKUP(B767,'03. THIẾT BỊ'!$B$1:$S$836,13,0),"")</f>
        <v>SYM</v>
      </c>
      <c r="O767" s="24" t="str">
        <f>IFERROR(VLOOKUP(B767,'03. THIẾT BỊ'!$B$1:$S$836,14,0),"")</f>
        <v>SANYANG MOTOR</v>
      </c>
      <c r="P767" s="25" t="str">
        <f>IFERROR(VLOOKUP(B767,'03. THIẾT BỊ'!$B$1:$S$836,15,0),"")</f>
        <v>TRUNG QUỐC</v>
      </c>
      <c r="Q767" s="23">
        <f>IFERROR(VLOOKUP(B767,'03. THIẾT BỊ'!$B$1:$S$836,16,0),"")</f>
        <v>0</v>
      </c>
      <c r="R767" s="25">
        <f>IFERROR(VLOOKUP(B767,'03. THIẾT BỊ'!$B$1:$S$836,17,0),"")</f>
        <v>0</v>
      </c>
      <c r="S767" s="25">
        <f>IFERROR(VLOOKUP(B767,'03. THIẾT BỊ'!$B$1:$S$836,18,0),"")</f>
        <v>46200892</v>
      </c>
      <c r="T767" s="41"/>
    </row>
    <row r="768" customHeight="1" spans="1:20">
      <c r="A768" s="19">
        <f t="shared" si="37"/>
        <v>5</v>
      </c>
      <c r="B768" s="20" t="s">
        <v>5521</v>
      </c>
      <c r="C768" s="613">
        <f>IFERROR(VLOOKUP(B768,'03. THIẾT BỊ'!$B$1:$S$836,2,0),"")</f>
        <v>0</v>
      </c>
      <c r="D768" s="24">
        <f>IFERROR(VLOOKUP(B768,'03. THIẾT BỊ'!$B$1:$S$836,3,0),"")</f>
        <v>0</v>
      </c>
      <c r="E768" s="20" t="str">
        <f>IFERROR(VLOOKUP(B768,'03. THIẾT BỊ'!$B$1:$S$836,4,0),"")</f>
        <v>ĐQSD</v>
      </c>
      <c r="F768" s="20" t="str">
        <f>IFERROR(VLOOKUP(B768,'03. THIẾT BỊ'!$B$1:$S$836,5,0),"")</f>
        <v>Máy tời xe máy 3.5T</v>
      </c>
      <c r="G768" s="101" t="s">
        <v>6468</v>
      </c>
      <c r="H768" s="19" t="str">
        <f>IFERROR(VLOOKUP(B768,'03. THIẾT BỊ'!$B$1:$S$836,7,0),"")</f>
        <v>XN Bò AD</v>
      </c>
      <c r="I768" s="610" t="str">
        <f>IFERROR(VLOOKUP(B768,'03. THIẾT BỊ'!$B$1:$S$836,8,0),"")</f>
        <v>26/10/2024</v>
      </c>
      <c r="J768" s="25"/>
      <c r="K768" s="19" t="str">
        <f>IFERROR(VLOOKUP(B768,'03. THIẾT BỊ'!$B$1:$S$836,10,0),"")</f>
        <v>Bình thường</v>
      </c>
      <c r="L768" s="25">
        <f>IFERROR(VLOOKUP(B768,'03. THIẾT BỊ'!$B$1:$S$836,11,0),"")</f>
        <v>0</v>
      </c>
      <c r="M768" s="24" t="str">
        <f>IFERROR(VLOOKUP(B768,'03. THIẾT BỊ'!$B$1:$S$836,12,0),"")</f>
        <v>Đầu tư mới</v>
      </c>
      <c r="N768" s="25" t="str">
        <f>IFERROR(VLOOKUP(B768,'03. THIẾT BỊ'!$B$1:$S$836,13,0),"")</f>
        <v>SYM</v>
      </c>
      <c r="O768" s="24" t="str">
        <f>IFERROR(VLOOKUP(B768,'03. THIẾT BỊ'!$B$1:$S$836,14,0),"")</f>
        <v>SANYANG MOTOR</v>
      </c>
      <c r="P768" s="25" t="str">
        <f>IFERROR(VLOOKUP(B768,'03. THIẾT BỊ'!$B$1:$S$836,15,0),"")</f>
        <v>TRUNG QUỐC</v>
      </c>
      <c r="Q768" s="23">
        <f>IFERROR(VLOOKUP(B768,'03. THIẾT BỊ'!$B$1:$S$836,16,0),"")</f>
        <v>0</v>
      </c>
      <c r="R768" s="25">
        <f>IFERROR(VLOOKUP(B768,'03. THIẾT BỊ'!$B$1:$S$836,17,0),"")</f>
        <v>0</v>
      </c>
      <c r="S768" s="25" t="str">
        <f>IFERROR(VLOOKUP(B768,'03. THIẾT BỊ'!$B$1:$S$836,18,0),"")</f>
        <v>VTTJL1P52FMH-E001739</v>
      </c>
      <c r="T768" s="41"/>
    </row>
    <row r="769" customHeight="1" spans="1:20">
      <c r="A769" s="19">
        <f t="shared" si="37"/>
        <v>6</v>
      </c>
      <c r="B769" s="20" t="s">
        <v>5523</v>
      </c>
      <c r="C769" s="613">
        <f>IFERROR(VLOOKUP(B769,'03. THIẾT BỊ'!$B$1:$S$836,2,0),"")</f>
        <v>0</v>
      </c>
      <c r="D769" s="24">
        <f>IFERROR(VLOOKUP(B769,'03. THIẾT BỊ'!$B$1:$S$836,3,0),"")</f>
        <v>0</v>
      </c>
      <c r="E769" s="20" t="str">
        <f>IFERROR(VLOOKUP(B769,'03. THIẾT BỊ'!$B$1:$S$836,4,0),"")</f>
        <v>ĐQSD</v>
      </c>
      <c r="F769" s="20" t="str">
        <f>IFERROR(VLOOKUP(B769,'03. THIẾT BỊ'!$B$1:$S$836,5,0),"")</f>
        <v>Máy tời xe máy 3.5T</v>
      </c>
      <c r="G769" s="101" t="s">
        <v>6468</v>
      </c>
      <c r="H769" s="19" t="str">
        <f>IFERROR(VLOOKUP(B769,'03. THIẾT BỊ'!$B$1:$S$836,7,0),"")</f>
        <v>XN Bò AD</v>
      </c>
      <c r="I769" s="610">
        <f>IFERROR(VLOOKUP(B769,'03. THIẾT BỊ'!$B$1:$S$836,8,0),"")</f>
        <v>45323</v>
      </c>
      <c r="J769" s="25"/>
      <c r="K769" s="19" t="str">
        <f>IFERROR(VLOOKUP(B769,'03. THIẾT BỊ'!$B$1:$S$836,10,0),"")</f>
        <v>Bình thường</v>
      </c>
      <c r="L769" s="25">
        <f>IFERROR(VLOOKUP(B769,'03. THIẾT BỊ'!$B$1:$S$836,11,0),"")</f>
        <v>0</v>
      </c>
      <c r="M769" s="24" t="str">
        <f>IFERROR(VLOOKUP(B769,'03. THIẾT BỊ'!$B$1:$S$836,12,0),"")</f>
        <v>Đầu tư mới</v>
      </c>
      <c r="N769" s="25" t="str">
        <f>IFERROR(VLOOKUP(B769,'03. THIẾT BỊ'!$B$1:$S$836,13,0),"")</f>
        <v>SYM</v>
      </c>
      <c r="O769" s="24" t="str">
        <f>IFERROR(VLOOKUP(B769,'03. THIẾT BỊ'!$B$1:$S$836,14,0),"")</f>
        <v>SANYANG MOTOR</v>
      </c>
      <c r="P769" s="25" t="str">
        <f>IFERROR(VLOOKUP(B769,'03. THIẾT BỊ'!$B$1:$S$836,15,0),"")</f>
        <v>TRUNG QUỐC</v>
      </c>
      <c r="Q769" s="23">
        <f>IFERROR(VLOOKUP(B769,'03. THIẾT BỊ'!$B$1:$S$836,16,0),"")</f>
        <v>0</v>
      </c>
      <c r="R769" s="25">
        <f>IFERROR(VLOOKUP(B769,'03. THIẾT BỊ'!$B$1:$S$836,17,0),"")</f>
        <v>0</v>
      </c>
      <c r="S769" s="25" t="str">
        <f>IFERROR(VLOOKUP(B769,'03. THIẾT BỊ'!$B$1:$S$836,18,0),"")</f>
        <v>VTTJL1P52FMH-E4001768</v>
      </c>
      <c r="T769" s="41"/>
    </row>
    <row r="770" customHeight="1" spans="1:20">
      <c r="A770" s="19"/>
      <c r="B770" s="20"/>
      <c r="C770" s="613" t="str">
        <f>IFERROR(VLOOKUP(B770,'03. THIẾT BỊ'!$B$1:$S$836,2,0),"")</f>
        <v/>
      </c>
      <c r="D770" s="24" t="str">
        <f>IFERROR(VLOOKUP(B770,'03. THIẾT BỊ'!$B$1:$S$836,3,0),"")</f>
        <v/>
      </c>
      <c r="E770" s="20" t="str">
        <f>IFERROR(VLOOKUP(B770,'03. THIẾT BỊ'!$B$1:$S$836,4,0),"")</f>
        <v/>
      </c>
      <c r="F770" s="20" t="str">
        <f>IFERROR(VLOOKUP(B770,'03. THIẾT BỊ'!$B$1:$S$836,5,0),"")</f>
        <v/>
      </c>
      <c r="G770" s="101" t="s">
        <v>6468</v>
      </c>
      <c r="H770" s="19" t="str">
        <f>IFERROR(VLOOKUP(B770,'03. THIẾT BỊ'!$B$1:$S$836,7,0),"")</f>
        <v/>
      </c>
      <c r="I770" s="610" t="str">
        <f>IFERROR(VLOOKUP(B770,'03. THIẾT BỊ'!$B$1:$S$836,8,0),"")</f>
        <v/>
      </c>
      <c r="J770" s="25"/>
      <c r="K770" s="19" t="str">
        <f>IFERROR(VLOOKUP(B770,'03. THIẾT BỊ'!$B$1:$S$836,10,0),"")</f>
        <v/>
      </c>
      <c r="L770" s="25" t="str">
        <f>IFERROR(VLOOKUP(B770,'03. THIẾT BỊ'!$B$1:$S$836,11,0),"")</f>
        <v/>
      </c>
      <c r="M770" s="24" t="str">
        <f>IFERROR(VLOOKUP(B770,'03. THIẾT BỊ'!$B$1:$S$836,12,0),"")</f>
        <v/>
      </c>
      <c r="N770" s="25" t="str">
        <f>IFERROR(VLOOKUP(B770,'03. THIẾT BỊ'!$B$1:$S$836,13,0),"")</f>
        <v/>
      </c>
      <c r="O770" s="24" t="str">
        <f>IFERROR(VLOOKUP(B770,'03. THIẾT BỊ'!$B$1:$S$836,14,0),"")</f>
        <v/>
      </c>
      <c r="P770" s="25" t="str">
        <f>IFERROR(VLOOKUP(B770,'03. THIẾT BỊ'!$B$1:$S$836,15,0),"")</f>
        <v/>
      </c>
      <c r="Q770" s="23" t="str">
        <f>IFERROR(VLOOKUP(B770,'03. THIẾT BỊ'!$B$1:$S$836,16,0),"")</f>
        <v/>
      </c>
      <c r="R770" s="25" t="str">
        <f>IFERROR(VLOOKUP(B770,'03. THIẾT BỊ'!$B$1:$S$836,17,0),"")</f>
        <v/>
      </c>
      <c r="S770" s="25" t="str">
        <f>IFERROR(VLOOKUP(B770,'03. THIẾT BỊ'!$B$1:$S$836,18,0),"")</f>
        <v/>
      </c>
      <c r="T770" s="622"/>
    </row>
    <row r="771" customHeight="1" spans="1:20">
      <c r="A771" s="19"/>
      <c r="B771" s="20"/>
      <c r="C771" s="613" t="str">
        <f>IFERROR(VLOOKUP(B771,'03. THIẾT BỊ'!$B$1:$S$836,2,0),"")</f>
        <v/>
      </c>
      <c r="D771" s="24" t="str">
        <f>IFERROR(VLOOKUP(B771,'03. THIẾT BỊ'!$B$1:$S$836,3,0),"")</f>
        <v/>
      </c>
      <c r="E771" s="20" t="str">
        <f>IFERROR(VLOOKUP(B771,'03. THIẾT BỊ'!$B$1:$S$836,4,0),"")</f>
        <v/>
      </c>
      <c r="F771" s="20" t="str">
        <f>IFERROR(VLOOKUP(B771,'03. THIẾT BỊ'!$B$1:$S$836,5,0),"")</f>
        <v/>
      </c>
      <c r="G771" s="101" t="s">
        <v>6468</v>
      </c>
      <c r="H771" s="19" t="str">
        <f>IFERROR(VLOOKUP(B771,'03. THIẾT BỊ'!$B$1:$S$836,7,0),"")</f>
        <v/>
      </c>
      <c r="I771" s="610" t="str">
        <f>IFERROR(VLOOKUP(B771,'03. THIẾT BỊ'!$B$1:$S$836,8,0),"")</f>
        <v/>
      </c>
      <c r="J771" s="25"/>
      <c r="K771" s="19" t="str">
        <f>IFERROR(VLOOKUP(B771,'03. THIẾT BỊ'!$B$1:$S$836,10,0),"")</f>
        <v/>
      </c>
      <c r="L771" s="25" t="str">
        <f>IFERROR(VLOOKUP(B771,'03. THIẾT BỊ'!$B$1:$S$836,11,0),"")</f>
        <v/>
      </c>
      <c r="M771" s="24" t="str">
        <f>IFERROR(VLOOKUP(B771,'03. THIẾT BỊ'!$B$1:$S$836,12,0),"")</f>
        <v/>
      </c>
      <c r="N771" s="25" t="str">
        <f>IFERROR(VLOOKUP(B771,'03. THIẾT BỊ'!$B$1:$S$836,13,0),"")</f>
        <v/>
      </c>
      <c r="O771" s="24" t="str">
        <f>IFERROR(VLOOKUP(B771,'03. THIẾT BỊ'!$B$1:$S$836,14,0),"")</f>
        <v/>
      </c>
      <c r="P771" s="25" t="str">
        <f>IFERROR(VLOOKUP(B771,'03. THIẾT BỊ'!$B$1:$S$836,15,0),"")</f>
        <v/>
      </c>
      <c r="Q771" s="23" t="str">
        <f>IFERROR(VLOOKUP(B771,'03. THIẾT BỊ'!$B$1:$S$836,16,0),"")</f>
        <v/>
      </c>
      <c r="R771" s="25" t="str">
        <f>IFERROR(VLOOKUP(B771,'03. THIẾT BỊ'!$B$1:$S$836,17,0),"")</f>
        <v/>
      </c>
      <c r="S771" s="25" t="str">
        <f>IFERROR(VLOOKUP(B771,'03. THIẾT BỊ'!$B$1:$S$836,18,0),"")</f>
        <v/>
      </c>
      <c r="T771" s="622"/>
    </row>
    <row r="772" customHeight="1" spans="1:20">
      <c r="A772" s="14" t="s">
        <v>290</v>
      </c>
      <c r="B772" s="15" t="s">
        <v>6514</v>
      </c>
      <c r="C772" s="14">
        <f>COUNTA(B773:B807)</f>
        <v>33</v>
      </c>
      <c r="D772" s="17" t="str">
        <f>IFERROR(VLOOKUP(B772,'03. THIẾT BỊ'!$B$1:$S$836,3,0),"")</f>
        <v/>
      </c>
      <c r="E772" s="20" t="str">
        <f>IFERROR(VLOOKUP(B772,'03. THIẾT BỊ'!$B$1:$S$836,4,0),"")</f>
        <v/>
      </c>
      <c r="F772" s="17" t="str">
        <f>IFERROR(VLOOKUP(B772,'03. THIẾT BỊ'!$B$1:$S$836,5,0),"")</f>
        <v/>
      </c>
      <c r="G772" s="18" t="s">
        <v>6468</v>
      </c>
      <c r="H772" s="18" t="str">
        <f>IFERROR(VLOOKUP(B772,'03. THIẾT BỊ'!$B$1:$S$836,7,0),"")</f>
        <v/>
      </c>
      <c r="I772" s="14" t="str">
        <f>IFERROR(VLOOKUP(B772,'03. THIẾT BỊ'!$B$1:$S$836,8,0),"")</f>
        <v/>
      </c>
      <c r="J772" s="15"/>
      <c r="K772" s="14" t="str">
        <f>IFERROR(VLOOKUP(B772,'03. THIẾT BỊ'!$B$1:$S$836,10,0),"")</f>
        <v/>
      </c>
      <c r="L772" s="17" t="str">
        <f>IFERROR(VLOOKUP(B772,'03. THIẾT BỊ'!$B$1:$S$836,11,0),"")</f>
        <v/>
      </c>
      <c r="M772" s="16" t="str">
        <f>IFERROR(VLOOKUP(B772,'03. THIẾT BỊ'!$B$1:$S$836,12,0),"")</f>
        <v/>
      </c>
      <c r="N772" s="17" t="str">
        <f>IFERROR(VLOOKUP(B772,'03. THIẾT BỊ'!$B$1:$S$836,13,0),"")</f>
        <v/>
      </c>
      <c r="O772" s="16" t="str">
        <f>IFERROR(VLOOKUP(B772,'03. THIẾT BỊ'!$B$1:$S$836,14,0),"")</f>
        <v/>
      </c>
      <c r="P772" s="17" t="str">
        <f>IFERROR(VLOOKUP(B772,'03. THIẾT BỊ'!$B$1:$S$836,15,0),"")</f>
        <v/>
      </c>
      <c r="Q772" s="18" t="str">
        <f>IFERROR(VLOOKUP(B772,'03. THIẾT BỊ'!$B$1:$S$836,16,0),"")</f>
        <v/>
      </c>
      <c r="R772" s="17" t="str">
        <f>IFERROR(VLOOKUP(B772,'03. THIẾT BỊ'!$B$1:$S$836,17,0),"")</f>
        <v/>
      </c>
      <c r="S772" s="17" t="str">
        <f>IFERROR(VLOOKUP(B772,'03. THIẾT BỊ'!$B$1:$S$836,18,0),"")</f>
        <v/>
      </c>
      <c r="T772" s="609"/>
    </row>
    <row r="773" customHeight="1" spans="1:20">
      <c r="A773" s="19">
        <v>1</v>
      </c>
      <c r="B773" s="25" t="s">
        <v>5318</v>
      </c>
      <c r="C773" s="613">
        <f>IFERROR(VLOOKUP(B773,'03. THIẾT BỊ'!$B$1:$S$836,2,0),"")</f>
        <v>0</v>
      </c>
      <c r="D773" s="24" t="str">
        <f>IFERROR(VLOOKUP(B773,'03. THIẾT BỊ'!$B$1:$S$836,3,0),"")</f>
        <v>A22-PVS-001</v>
      </c>
      <c r="E773" s="20" t="str">
        <f>IFERROR(VLOOKUP(B773,'03. THIẾT BỊ'!$B$1:$S$836,4,0),"")</f>
        <v>ĐQSD</v>
      </c>
      <c r="F773" s="20" t="str">
        <f>IFERROR(VLOOKUP(B773,'03. THIẾT BỊ'!$B$1:$S$836,5,0),"")</f>
        <v>Bồn phun vi sinh, khử trùng</v>
      </c>
      <c r="G773" s="101" t="s">
        <v>6468</v>
      </c>
      <c r="H773" s="19" t="str">
        <f>IFERROR(VLOOKUP(B773,'03. THIẾT BỊ'!$B$1:$S$836,7,0),"")</f>
        <v>XN Bò AD</v>
      </c>
      <c r="I773" s="610">
        <f>IFERROR(VLOOKUP(B773,'03. THIẾT BỊ'!$B$1:$S$836,8,0),"")</f>
        <v>0</v>
      </c>
      <c r="J773" s="25"/>
      <c r="K773" s="19" t="str">
        <f>IFERROR(VLOOKUP(B773,'03. THIẾT BỊ'!$B$1:$S$836,10,0),"")</f>
        <v>Bình thường</v>
      </c>
      <c r="L773" s="25">
        <f>IFERROR(VLOOKUP(B773,'03. THIẾT BỊ'!$B$1:$S$836,11,0),"")</f>
        <v>0</v>
      </c>
      <c r="M773" s="24">
        <f>IFERROR(VLOOKUP(B773,'03. THIẾT BỊ'!$B$1:$S$836,12,0),"")</f>
        <v>0</v>
      </c>
      <c r="N773" s="25" t="str">
        <f>IFERROR(VLOOKUP(B773,'03. THIẾT BỊ'!$B$1:$S$836,13,0),"")</f>
        <v>CAMBODIA</v>
      </c>
      <c r="O773" s="24">
        <f>IFERROR(VLOOKUP(B773,'03. THIẾT BỊ'!$B$1:$S$836,14,0),"")</f>
        <v>0</v>
      </c>
      <c r="P773" s="25" t="str">
        <f>IFERROR(VLOOKUP(B773,'03. THIẾT BỊ'!$B$1:$S$836,15,0),"")</f>
        <v>CAMBODIA</v>
      </c>
      <c r="Q773" s="23">
        <f>IFERROR(VLOOKUP(B773,'03. THIẾT BỊ'!$B$1:$S$836,16,0),"")</f>
        <v>0</v>
      </c>
      <c r="R773" s="25">
        <f>IFERROR(VLOOKUP(B773,'03. THIẾT BỊ'!$B$1:$S$836,17,0),"")</f>
        <v>0</v>
      </c>
      <c r="S773" s="25">
        <f>IFERROR(VLOOKUP(B773,'03. THIẾT BỊ'!$B$1:$S$836,18,0),"")</f>
        <v>0</v>
      </c>
      <c r="T773" s="41"/>
    </row>
    <row r="774" customHeight="1" spans="1:20">
      <c r="A774" s="19">
        <f t="shared" ref="A774:A805" si="38">A773+1</f>
        <v>2</v>
      </c>
      <c r="B774" s="25" t="s">
        <v>5321</v>
      </c>
      <c r="C774" s="613">
        <f>IFERROR(VLOOKUP(B774,'03. THIẾT BỊ'!$B$1:$S$836,2,0),"")</f>
        <v>0</v>
      </c>
      <c r="D774" s="24" t="str">
        <f>IFERROR(VLOOKUP(B774,'03. THIẾT BỊ'!$B$1:$S$836,3,0),"")</f>
        <v>A22-PVS-002</v>
      </c>
      <c r="E774" s="20" t="str">
        <f>IFERROR(VLOOKUP(B774,'03. THIẾT BỊ'!$B$1:$S$836,4,0),"")</f>
        <v>ĐQSD</v>
      </c>
      <c r="F774" s="20" t="str">
        <f>IFERROR(VLOOKUP(B774,'03. THIẾT BỊ'!$B$1:$S$836,5,0),"")</f>
        <v>Bồn phun vi sinh, khử trùng</v>
      </c>
      <c r="G774" s="101" t="s">
        <v>6468</v>
      </c>
      <c r="H774" s="19" t="str">
        <f>IFERROR(VLOOKUP(B774,'03. THIẾT BỊ'!$B$1:$S$836,7,0),"")</f>
        <v>XN Bò AD</v>
      </c>
      <c r="I774" s="610">
        <f>IFERROR(VLOOKUP(B774,'03. THIẾT BỊ'!$B$1:$S$836,8,0),"")</f>
        <v>0</v>
      </c>
      <c r="J774" s="25"/>
      <c r="K774" s="19" t="str">
        <f>IFERROR(VLOOKUP(B774,'03. THIẾT BỊ'!$B$1:$S$836,10,0),"")</f>
        <v>Bình thường</v>
      </c>
      <c r="L774" s="25">
        <f>IFERROR(VLOOKUP(B774,'03. THIẾT BỊ'!$B$1:$S$836,11,0),"")</f>
        <v>0</v>
      </c>
      <c r="M774" s="24">
        <f>IFERROR(VLOOKUP(B774,'03. THIẾT BỊ'!$B$1:$S$836,12,0),"")</f>
        <v>0</v>
      </c>
      <c r="N774" s="25" t="str">
        <f>IFERROR(VLOOKUP(B774,'03. THIẾT BỊ'!$B$1:$S$836,13,0),"")</f>
        <v>CAMBODIA</v>
      </c>
      <c r="O774" s="24">
        <f>IFERROR(VLOOKUP(B774,'03. THIẾT BỊ'!$B$1:$S$836,14,0),"")</f>
        <v>0</v>
      </c>
      <c r="P774" s="25" t="str">
        <f>IFERROR(VLOOKUP(B774,'03. THIẾT BỊ'!$B$1:$S$836,15,0),"")</f>
        <v>CAMBODIA</v>
      </c>
      <c r="Q774" s="23">
        <f>IFERROR(VLOOKUP(B774,'03. THIẾT BỊ'!$B$1:$S$836,16,0),"")</f>
        <v>0</v>
      </c>
      <c r="R774" s="25">
        <f>IFERROR(VLOOKUP(B774,'03. THIẾT BỊ'!$B$1:$S$836,17,0),"")</f>
        <v>0</v>
      </c>
      <c r="S774" s="25">
        <f>IFERROR(VLOOKUP(B774,'03. THIẾT BỊ'!$B$1:$S$836,18,0),"")</f>
        <v>0</v>
      </c>
      <c r="T774" s="41"/>
    </row>
    <row r="775" customHeight="1" spans="1:20">
      <c r="A775" s="19">
        <f t="shared" si="38"/>
        <v>3</v>
      </c>
      <c r="B775" s="20" t="s">
        <v>5436</v>
      </c>
      <c r="C775" s="613">
        <f>IFERROR(VLOOKUP(B775,'03. THIẾT BỊ'!$B$1:$S$836,2,0),"")</f>
        <v>0</v>
      </c>
      <c r="D775" s="24" t="str">
        <f>IFERROR(VLOOKUP(B775,'03. THIẾT BỊ'!$B$1:$S$836,3,0),"")</f>
        <v>A22-BRN-001</v>
      </c>
      <c r="E775" s="20" t="str">
        <f>IFERROR(VLOOKUP(B775,'03. THIẾT BỊ'!$B$1:$S$836,4,0),"")</f>
        <v>ATM-A22-0125</v>
      </c>
      <c r="F775" s="20" t="str">
        <f>IFERROR(VLOOKUP(B775,'03. THIẾT BỊ'!$B$1:$S$836,5,0),"")</f>
        <v>Bồn rỉ mật 5m3</v>
      </c>
      <c r="G775" s="101" t="s">
        <v>6468</v>
      </c>
      <c r="H775" s="19" t="str">
        <f>IFERROR(VLOOKUP(B775,'03. THIẾT BỊ'!$B$1:$S$836,7,0),"")</f>
        <v>XN Bò AD</v>
      </c>
      <c r="I775" s="610">
        <f>IFERROR(VLOOKUP(B775,'03. THIẾT BỊ'!$B$1:$S$836,8,0),"")</f>
        <v>45292</v>
      </c>
      <c r="J775" s="25"/>
      <c r="K775" s="19" t="str">
        <f>IFERROR(VLOOKUP(B775,'03. THIẾT BỊ'!$B$1:$S$836,10,0),"")</f>
        <v>Bình thường</v>
      </c>
      <c r="L775" s="25">
        <f>IFERROR(VLOOKUP(B775,'03. THIẾT BỊ'!$B$1:$S$836,11,0),"")</f>
        <v>0</v>
      </c>
      <c r="M775" s="24">
        <f>IFERROR(VLOOKUP(B775,'03. THIẾT BỊ'!$B$1:$S$836,12,0),"")</f>
        <v>0</v>
      </c>
      <c r="N775" s="25" t="str">
        <f>IFERROR(VLOOKUP(B775,'03. THIẾT BỊ'!$B$1:$S$836,13,0),"")</f>
        <v>THACO AGRI</v>
      </c>
      <c r="O775" s="24" t="str">
        <f>IFERROR(VLOOKUP(B775,'03. THIẾT BỊ'!$B$1:$S$836,14,0),"")</f>
        <v>5M3</v>
      </c>
      <c r="P775" s="25" t="str">
        <f>IFERROR(VLOOKUP(B775,'03. THIẾT BỊ'!$B$1:$S$836,15,0),"")</f>
        <v>CK-CGH</v>
      </c>
      <c r="Q775" s="23">
        <f>IFERROR(VLOOKUP(B775,'03. THIẾT BỊ'!$B$1:$S$836,16,0),"")</f>
        <v>0</v>
      </c>
      <c r="R775" s="25">
        <f>IFERROR(VLOOKUP(B775,'03. THIẾT BỊ'!$B$1:$S$836,17,0),"")</f>
        <v>0</v>
      </c>
      <c r="S775" s="25">
        <f>IFERROR(VLOOKUP(B775,'03. THIẾT BỊ'!$B$1:$S$836,18,0),"")</f>
        <v>0</v>
      </c>
      <c r="T775" s="41"/>
    </row>
    <row r="776" customHeight="1" spans="1:20">
      <c r="A776" s="19">
        <f t="shared" si="38"/>
        <v>4</v>
      </c>
      <c r="B776" s="20" t="s">
        <v>5494</v>
      </c>
      <c r="C776" s="613">
        <f>IFERROR(VLOOKUP(B776,'03. THIẾT BỊ'!$B$1:$S$836,2,0),"")</f>
        <v>0</v>
      </c>
      <c r="D776" s="24" t="str">
        <f>IFERROR(VLOOKUP(B776,'03. THIẾT BỊ'!$B$1:$S$836,3,0),"")</f>
        <v> </v>
      </c>
      <c r="E776" s="20" t="str">
        <f>IFERROR(VLOOKUP(B776,'03. THIẾT BỊ'!$B$1:$S$836,4,0),"")</f>
        <v>ĐQSD</v>
      </c>
      <c r="F776" s="20" t="str">
        <f>IFERROR(VLOOKUP(B776,'03. THIẾT BỊ'!$B$1:$S$836,5,0),"")</f>
        <v>Máy cắt lát chuối cho bê</v>
      </c>
      <c r="G776" s="101" t="s">
        <v>6468</v>
      </c>
      <c r="H776" s="19" t="str">
        <f>IFERROR(VLOOKUP(B776,'03. THIẾT BỊ'!$B$1:$S$836,7,0),"")</f>
        <v>XN Bò AD</v>
      </c>
      <c r="I776" s="610">
        <f>IFERROR(VLOOKUP(B776,'03. THIẾT BỊ'!$B$1:$S$836,8,0),"")</f>
        <v>0</v>
      </c>
      <c r="J776" s="25"/>
      <c r="K776" s="19" t="str">
        <f>IFERROR(VLOOKUP(B776,'03. THIẾT BỊ'!$B$1:$S$836,10,0),"")</f>
        <v>Bình thường</v>
      </c>
      <c r="L776" s="25">
        <f>IFERROR(VLOOKUP(B776,'03. THIẾT BỊ'!$B$1:$S$836,11,0),"")</f>
        <v>0</v>
      </c>
      <c r="M776" s="24" t="str">
        <f>IFERROR(VLOOKUP(B776,'03. THIẾT BỊ'!$B$1:$S$836,12,0),"")</f>
        <v>Gia công mới</v>
      </c>
      <c r="N776" s="25" t="str">
        <f>IFERROR(VLOOKUP(B776,'03. THIẾT BỊ'!$B$1:$S$836,13,0),"")</f>
        <v>THACO AGRI</v>
      </c>
      <c r="O776" s="24">
        <f>IFERROR(VLOOKUP(B776,'03. THIẾT BỊ'!$B$1:$S$836,14,0),"")</f>
        <v>0</v>
      </c>
      <c r="P776" s="25" t="str">
        <f>IFERROR(VLOOKUP(B776,'03. THIẾT BỊ'!$B$1:$S$836,15,0),"")</f>
        <v>CK-CGH</v>
      </c>
      <c r="Q776" s="23">
        <f>IFERROR(VLOOKUP(B776,'03. THIẾT BỊ'!$B$1:$S$836,16,0),"")</f>
        <v>0</v>
      </c>
      <c r="R776" s="25">
        <f>IFERROR(VLOOKUP(B776,'03. THIẾT BỊ'!$B$1:$S$836,17,0),"")</f>
        <v>0</v>
      </c>
      <c r="S776" s="25">
        <f>IFERROR(VLOOKUP(B776,'03. THIẾT BỊ'!$B$1:$S$836,18,0),"")</f>
        <v>0</v>
      </c>
      <c r="T776" s="41"/>
    </row>
    <row r="777" customHeight="1" spans="1:20">
      <c r="A777" s="19">
        <f t="shared" si="38"/>
        <v>5</v>
      </c>
      <c r="B777" s="20" t="s">
        <v>6515</v>
      </c>
      <c r="C777" s="613" t="str">
        <f>IFERROR(VLOOKUP(B777,'03. THIẾT BỊ'!$B$1:$S$836,2,0),"")</f>
        <v/>
      </c>
      <c r="D777" s="24" t="str">
        <f>IFERROR(VLOOKUP(B777,'03. THIẾT BỊ'!$B$1:$S$836,3,0),"")</f>
        <v/>
      </c>
      <c r="E777" s="20" t="str">
        <f>IFERROR(VLOOKUP(B777,'03. THIẾT BỊ'!$B$1:$S$836,4,0),"")</f>
        <v/>
      </c>
      <c r="F777" s="20" t="str">
        <f>IFERROR(VLOOKUP(B777,'03. THIẾT BỊ'!$B$1:$S$836,5,0),"")</f>
        <v/>
      </c>
      <c r="G777" s="101" t="s">
        <v>6468</v>
      </c>
      <c r="H777" s="19" t="str">
        <f>IFERROR(VLOOKUP(B777,'03. THIẾT BỊ'!$B$1:$S$836,7,0),"")</f>
        <v/>
      </c>
      <c r="I777" s="610" t="str">
        <f>IFERROR(VLOOKUP(B777,'03. THIẾT BỊ'!$B$1:$S$836,8,0),"")</f>
        <v/>
      </c>
      <c r="J777" s="25"/>
      <c r="K777" s="19" t="str">
        <f>IFERROR(VLOOKUP(B777,'03. THIẾT BỊ'!$B$1:$S$836,10,0),"")</f>
        <v/>
      </c>
      <c r="L777" s="25" t="str">
        <f>IFERROR(VLOOKUP(B777,'03. THIẾT BỊ'!$B$1:$S$836,11,0),"")</f>
        <v/>
      </c>
      <c r="M777" s="24" t="str">
        <f>IFERROR(VLOOKUP(B777,'03. THIẾT BỊ'!$B$1:$S$836,12,0),"")</f>
        <v/>
      </c>
      <c r="N777" s="25" t="str">
        <f>IFERROR(VLOOKUP(B777,'03. THIẾT BỊ'!$B$1:$S$836,13,0),"")</f>
        <v/>
      </c>
      <c r="O777" s="24" t="str">
        <f>IFERROR(VLOOKUP(B777,'03. THIẾT BỊ'!$B$1:$S$836,14,0),"")</f>
        <v/>
      </c>
      <c r="P777" s="25" t="str">
        <f>IFERROR(VLOOKUP(B777,'03. THIẾT BỊ'!$B$1:$S$836,15,0),"")</f>
        <v/>
      </c>
      <c r="Q777" s="23" t="str">
        <f>IFERROR(VLOOKUP(B777,'03. THIẾT BỊ'!$B$1:$S$836,16,0),"")</f>
        <v/>
      </c>
      <c r="R777" s="25" t="str">
        <f>IFERROR(VLOOKUP(B777,'03. THIẾT BỊ'!$B$1:$S$836,17,0),"")</f>
        <v/>
      </c>
      <c r="S777" s="25" t="str">
        <f>IFERROR(VLOOKUP(B777,'03. THIẾT BỊ'!$B$1:$S$836,18,0),"")</f>
        <v/>
      </c>
      <c r="T777" s="41"/>
    </row>
    <row r="778" customHeight="1" spans="1:20">
      <c r="A778" s="19">
        <f t="shared" si="38"/>
        <v>6</v>
      </c>
      <c r="B778" s="20" t="s">
        <v>6516</v>
      </c>
      <c r="C778" s="613" t="str">
        <f>IFERROR(VLOOKUP(B778,'03. THIẾT BỊ'!$B$1:$S$836,2,0),"")</f>
        <v/>
      </c>
      <c r="D778" s="24" t="str">
        <f>IFERROR(VLOOKUP(B778,'03. THIẾT BỊ'!$B$1:$S$836,3,0),"")</f>
        <v/>
      </c>
      <c r="E778" s="20" t="str">
        <f>IFERROR(VLOOKUP(B778,'03. THIẾT BỊ'!$B$1:$S$836,4,0),"")</f>
        <v/>
      </c>
      <c r="F778" s="20" t="str">
        <f>IFERROR(VLOOKUP(B778,'03. THIẾT BỊ'!$B$1:$S$836,5,0),"")</f>
        <v/>
      </c>
      <c r="G778" s="101" t="s">
        <v>6468</v>
      </c>
      <c r="H778" s="19" t="str">
        <f>IFERROR(VLOOKUP(B778,'03. THIẾT BỊ'!$B$1:$S$836,7,0),"")</f>
        <v/>
      </c>
      <c r="I778" s="610" t="str">
        <f>IFERROR(VLOOKUP(B778,'03. THIẾT BỊ'!$B$1:$S$836,8,0),"")</f>
        <v/>
      </c>
      <c r="J778" s="25"/>
      <c r="K778" s="19" t="str">
        <f>IFERROR(VLOOKUP(B778,'03. THIẾT BỊ'!$B$1:$S$836,10,0),"")</f>
        <v/>
      </c>
      <c r="L778" s="25" t="str">
        <f>IFERROR(VLOOKUP(B778,'03. THIẾT BỊ'!$B$1:$S$836,11,0),"")</f>
        <v/>
      </c>
      <c r="M778" s="24" t="str">
        <f>IFERROR(VLOOKUP(B778,'03. THIẾT BỊ'!$B$1:$S$836,12,0),"")</f>
        <v/>
      </c>
      <c r="N778" s="25" t="str">
        <f>IFERROR(VLOOKUP(B778,'03. THIẾT BỊ'!$B$1:$S$836,13,0),"")</f>
        <v/>
      </c>
      <c r="O778" s="24" t="str">
        <f>IFERROR(VLOOKUP(B778,'03. THIẾT BỊ'!$B$1:$S$836,14,0),"")</f>
        <v/>
      </c>
      <c r="P778" s="25" t="str">
        <f>IFERROR(VLOOKUP(B778,'03. THIẾT BỊ'!$B$1:$S$836,15,0),"")</f>
        <v/>
      </c>
      <c r="Q778" s="23" t="str">
        <f>IFERROR(VLOOKUP(B778,'03. THIẾT BỊ'!$B$1:$S$836,16,0),"")</f>
        <v/>
      </c>
      <c r="R778" s="25" t="str">
        <f>IFERROR(VLOOKUP(B778,'03. THIẾT BỊ'!$B$1:$S$836,17,0),"")</f>
        <v/>
      </c>
      <c r="S778" s="25" t="str">
        <f>IFERROR(VLOOKUP(B778,'03. THIẾT BỊ'!$B$1:$S$836,18,0),"")</f>
        <v/>
      </c>
      <c r="T778" s="41"/>
    </row>
    <row r="779" customHeight="1" spans="1:20">
      <c r="A779" s="19">
        <f t="shared" si="38"/>
        <v>7</v>
      </c>
      <c r="B779" s="20" t="s">
        <v>6517</v>
      </c>
      <c r="C779" s="613" t="str">
        <f>IFERROR(VLOOKUP(B779,'03. THIẾT BỊ'!$B$1:$S$836,2,0),"")</f>
        <v/>
      </c>
      <c r="D779" s="24" t="str">
        <f>IFERROR(VLOOKUP(B779,'03. THIẾT BỊ'!$B$1:$S$836,3,0),"")</f>
        <v/>
      </c>
      <c r="E779" s="20" t="str">
        <f>IFERROR(VLOOKUP(B779,'03. THIẾT BỊ'!$B$1:$S$836,4,0),"")</f>
        <v/>
      </c>
      <c r="F779" s="20" t="str">
        <f>IFERROR(VLOOKUP(B779,'03. THIẾT BỊ'!$B$1:$S$836,5,0),"")</f>
        <v/>
      </c>
      <c r="G779" s="101" t="s">
        <v>6468</v>
      </c>
      <c r="H779" s="19" t="str">
        <f>IFERROR(VLOOKUP(B779,'03. THIẾT BỊ'!$B$1:$S$836,7,0),"")</f>
        <v/>
      </c>
      <c r="I779" s="610" t="str">
        <f>IFERROR(VLOOKUP(B779,'03. THIẾT BỊ'!$B$1:$S$836,8,0),"")</f>
        <v/>
      </c>
      <c r="J779" s="25"/>
      <c r="K779" s="19" t="str">
        <f>IFERROR(VLOOKUP(B779,'03. THIẾT BỊ'!$B$1:$S$836,10,0),"")</f>
        <v/>
      </c>
      <c r="L779" s="25" t="str">
        <f>IFERROR(VLOOKUP(B779,'03. THIẾT BỊ'!$B$1:$S$836,11,0),"")</f>
        <v/>
      </c>
      <c r="M779" s="24" t="str">
        <f>IFERROR(VLOOKUP(B779,'03. THIẾT BỊ'!$B$1:$S$836,12,0),"")</f>
        <v/>
      </c>
      <c r="N779" s="25" t="str">
        <f>IFERROR(VLOOKUP(B779,'03. THIẾT BỊ'!$B$1:$S$836,13,0),"")</f>
        <v/>
      </c>
      <c r="O779" s="24" t="str">
        <f>IFERROR(VLOOKUP(B779,'03. THIẾT BỊ'!$B$1:$S$836,14,0),"")</f>
        <v/>
      </c>
      <c r="P779" s="25" t="str">
        <f>IFERROR(VLOOKUP(B779,'03. THIẾT BỊ'!$B$1:$S$836,15,0),"")</f>
        <v/>
      </c>
      <c r="Q779" s="23" t="str">
        <f>IFERROR(VLOOKUP(B779,'03. THIẾT BỊ'!$B$1:$S$836,16,0),"")</f>
        <v/>
      </c>
      <c r="R779" s="25" t="str">
        <f>IFERROR(VLOOKUP(B779,'03. THIẾT BỊ'!$B$1:$S$836,17,0),"")</f>
        <v/>
      </c>
      <c r="S779" s="25" t="str">
        <f>IFERROR(VLOOKUP(B779,'03. THIẾT BỊ'!$B$1:$S$836,18,0),"")</f>
        <v/>
      </c>
      <c r="T779" s="41"/>
    </row>
    <row r="780" customHeight="1" spans="1:20">
      <c r="A780" s="19">
        <f t="shared" si="38"/>
        <v>8</v>
      </c>
      <c r="B780" s="20" t="s">
        <v>5558</v>
      </c>
      <c r="C780" s="613" t="str">
        <f>IFERROR(VLOOKUP(B780,'03. THIẾT BỊ'!$B$1:$S$836,2,0),"")</f>
        <v>CK-DNL-01</v>
      </c>
      <c r="D780" s="24" t="str">
        <f>IFERROR(VLOOKUP(B780,'03. THIẾT BỊ'!$B$1:$S$836,3,0),"")</f>
        <v>A22-DNL-001</v>
      </c>
      <c r="E780" s="20" t="str">
        <f>IFERROR(VLOOKUP(B780,'03. THIẾT BỊ'!$B$1:$S$836,4,0),"")</f>
        <v>ĐQSD</v>
      </c>
      <c r="F780" s="20" t="str">
        <f>IFERROR(VLOOKUP(B780,'03. THIẾT BỊ'!$B$1:$S$836,5,0),"")</f>
        <v>Thiết bị nén lá chuối khô</v>
      </c>
      <c r="G780" s="101" t="s">
        <v>6468</v>
      </c>
      <c r="H780" s="19" t="str">
        <f>IFERROR(VLOOKUP(B780,'03. THIẾT BỊ'!$B$1:$S$836,7,0),"")</f>
        <v>XN Bò AD</v>
      </c>
      <c r="I780" s="610" t="str">
        <f>IFERROR(VLOOKUP(B780,'03. THIẾT BỊ'!$B$1:$S$836,8,0),"")</f>
        <v>23/03/2024</v>
      </c>
      <c r="J780" s="25"/>
      <c r="K780" s="19" t="str">
        <f>IFERROR(VLOOKUP(B780,'03. THIẾT BỊ'!$B$1:$S$836,10,0),"")</f>
        <v>Bình thường</v>
      </c>
      <c r="L780" s="25">
        <f>IFERROR(VLOOKUP(B780,'03. THIẾT BỊ'!$B$1:$S$836,11,0),"")</f>
        <v>0</v>
      </c>
      <c r="M780" s="24" t="str">
        <f>IFERROR(VLOOKUP(B780,'03. THIẾT BỊ'!$B$1:$S$836,12,0),"")</f>
        <v>Gia công mới</v>
      </c>
      <c r="N780" s="25" t="str">
        <f>IFERROR(VLOOKUP(B780,'03. THIẾT BỊ'!$B$1:$S$836,13,0),"")</f>
        <v>THACO AGRI</v>
      </c>
      <c r="O780" s="24">
        <f>IFERROR(VLOOKUP(B780,'03. THIẾT BỊ'!$B$1:$S$836,14,0),"")</f>
        <v>0</v>
      </c>
      <c r="P780" s="25" t="str">
        <f>IFERROR(VLOOKUP(B780,'03. THIẾT BỊ'!$B$1:$S$836,15,0),"")</f>
        <v>THACO</v>
      </c>
      <c r="Q780" s="23">
        <f>IFERROR(VLOOKUP(B780,'03. THIẾT BỊ'!$B$1:$S$836,16,0),"")</f>
        <v>0</v>
      </c>
      <c r="R780" s="25" t="str">
        <f>IFERROR(VLOOKUP(B780,'03. THIẾT BỊ'!$B$1:$S$836,17,0),"")</f>
        <v>3.8*2*3.6</v>
      </c>
      <c r="S780" s="25">
        <f>IFERROR(VLOOKUP(B780,'03. THIẾT BỊ'!$B$1:$S$836,18,0),"")</f>
        <v>0</v>
      </c>
      <c r="T780" s="41"/>
    </row>
    <row r="781" customHeight="1" spans="1:20">
      <c r="A781" s="19">
        <f t="shared" si="38"/>
        <v>9</v>
      </c>
      <c r="B781" s="20" t="s">
        <v>6518</v>
      </c>
      <c r="C781" s="613" t="str">
        <f>IFERROR(VLOOKUP(B781,'03. THIẾT BỊ'!$B$1:$S$836,2,0),"")</f>
        <v/>
      </c>
      <c r="D781" s="24" t="str">
        <f>IFERROR(VLOOKUP(B781,'03. THIẾT BỊ'!$B$1:$S$836,3,0),"")</f>
        <v/>
      </c>
      <c r="E781" s="20" t="str">
        <f>IFERROR(VLOOKUP(B781,'03. THIẾT BỊ'!$B$1:$S$836,4,0),"")</f>
        <v/>
      </c>
      <c r="F781" s="20" t="str">
        <f>IFERROR(VLOOKUP(B781,'03. THIẾT BỊ'!$B$1:$S$836,5,0),"")</f>
        <v/>
      </c>
      <c r="G781" s="101" t="s">
        <v>6468</v>
      </c>
      <c r="H781" s="19" t="str">
        <f>IFERROR(VLOOKUP(B781,'03. THIẾT BỊ'!$B$1:$S$836,7,0),"")</f>
        <v/>
      </c>
      <c r="I781" s="610" t="str">
        <f>IFERROR(VLOOKUP(B781,'03. THIẾT BỊ'!$B$1:$S$836,8,0),"")</f>
        <v/>
      </c>
      <c r="J781" s="25"/>
      <c r="K781" s="19" t="str">
        <f>IFERROR(VLOOKUP(B781,'03. THIẾT BỊ'!$B$1:$S$836,10,0),"")</f>
        <v/>
      </c>
      <c r="L781" s="25" t="str">
        <f>IFERROR(VLOOKUP(B781,'03. THIẾT BỊ'!$B$1:$S$836,11,0),"")</f>
        <v/>
      </c>
      <c r="M781" s="24" t="str">
        <f>IFERROR(VLOOKUP(B781,'03. THIẾT BỊ'!$B$1:$S$836,12,0),"")</f>
        <v/>
      </c>
      <c r="N781" s="25" t="str">
        <f>IFERROR(VLOOKUP(B781,'03. THIẾT BỊ'!$B$1:$S$836,13,0),"")</f>
        <v/>
      </c>
      <c r="O781" s="24" t="str">
        <f>IFERROR(VLOOKUP(B781,'03. THIẾT BỊ'!$B$1:$S$836,14,0),"")</f>
        <v/>
      </c>
      <c r="P781" s="25" t="str">
        <f>IFERROR(VLOOKUP(B781,'03. THIẾT BỊ'!$B$1:$S$836,15,0),"")</f>
        <v/>
      </c>
      <c r="Q781" s="23" t="str">
        <f>IFERROR(VLOOKUP(B781,'03. THIẾT BỊ'!$B$1:$S$836,16,0),"")</f>
        <v/>
      </c>
      <c r="R781" s="25" t="str">
        <f>IFERROR(VLOOKUP(B781,'03. THIẾT BỊ'!$B$1:$S$836,17,0),"")</f>
        <v/>
      </c>
      <c r="S781" s="25" t="str">
        <f>IFERROR(VLOOKUP(B781,'03. THIẾT BỊ'!$B$1:$S$836,18,0),"")</f>
        <v/>
      </c>
      <c r="T781" s="41"/>
    </row>
    <row r="782" customHeight="1" spans="1:20">
      <c r="A782" s="19">
        <f t="shared" si="38"/>
        <v>10</v>
      </c>
      <c r="B782" s="20" t="s">
        <v>5463</v>
      </c>
      <c r="C782" s="613">
        <f>IFERROR(VLOOKUP(B782,'03. THIẾT BỊ'!$B$1:$S$836,2,0),"")</f>
        <v>0</v>
      </c>
      <c r="D782" s="24" t="str">
        <f>IFERROR(VLOOKUP(B782,'03. THIẾT BỊ'!$B$1:$S$836,3,0),"")</f>
        <v>A22-GTB-001</v>
      </c>
      <c r="E782" s="20" t="str">
        <f>IFERROR(VLOOKUP(B782,'03. THIẾT BỊ'!$B$1:$S$836,4,0),"")</f>
        <v>ĐQSD</v>
      </c>
      <c r="F782" s="20" t="str">
        <f>IFERROR(VLOOKUP(B782,'03. THIẾT BỊ'!$B$1:$S$836,5,0),"")</f>
        <v>Thiết bị tỉa bắp</v>
      </c>
      <c r="G782" s="101" t="s">
        <v>6468</v>
      </c>
      <c r="H782" s="19" t="str">
        <f>IFERROR(VLOOKUP(B782,'03. THIẾT BỊ'!$B$1:$S$836,7,0),"")</f>
        <v>XN Bò AD</v>
      </c>
      <c r="I782" s="610">
        <f>IFERROR(VLOOKUP(B782,'03. THIẾT BỊ'!$B$1:$S$836,8,0),"")</f>
        <v>0</v>
      </c>
      <c r="J782" s="25"/>
      <c r="K782" s="19" t="str">
        <f>IFERROR(VLOOKUP(B782,'03. THIẾT BỊ'!$B$1:$S$836,10,0),"")</f>
        <v>Bình thường</v>
      </c>
      <c r="L782" s="25">
        <f>IFERROR(VLOOKUP(B782,'03. THIẾT BỊ'!$B$1:$S$836,11,0),"")</f>
        <v>0</v>
      </c>
      <c r="M782" s="24">
        <f>IFERROR(VLOOKUP(B782,'03. THIẾT BỊ'!$B$1:$S$836,12,0),"")</f>
        <v>0</v>
      </c>
      <c r="N782" s="25" t="str">
        <f>IFERROR(VLOOKUP(B782,'03. THIẾT BỊ'!$B$1:$S$836,13,0),"")</f>
        <v>THACO AGRI</v>
      </c>
      <c r="O782" s="24">
        <f>IFERROR(VLOOKUP(B782,'03. THIẾT BỊ'!$B$1:$S$836,14,0),"")</f>
        <v>0</v>
      </c>
      <c r="P782" s="25" t="str">
        <f>IFERROR(VLOOKUP(B782,'03. THIẾT BỊ'!$B$1:$S$836,15,0),"")</f>
        <v>CK-CGH</v>
      </c>
      <c r="Q782" s="23">
        <f>IFERROR(VLOOKUP(B782,'03. THIẾT BỊ'!$B$1:$S$836,16,0),"")</f>
        <v>0</v>
      </c>
      <c r="R782" s="25">
        <f>IFERROR(VLOOKUP(B782,'03. THIẾT BỊ'!$B$1:$S$836,17,0),"")</f>
        <v>0</v>
      </c>
      <c r="S782" s="25">
        <f>IFERROR(VLOOKUP(B782,'03. THIẾT BỊ'!$B$1:$S$836,18,0),"")</f>
        <v>0</v>
      </c>
      <c r="T782" s="41"/>
    </row>
    <row r="783" customHeight="1" spans="1:20">
      <c r="A783" s="19">
        <f t="shared" si="38"/>
        <v>11</v>
      </c>
      <c r="B783" s="20" t="s">
        <v>5466</v>
      </c>
      <c r="C783" s="613">
        <f>IFERROR(VLOOKUP(B783,'03. THIẾT BỊ'!$B$1:$S$836,2,0),"")</f>
        <v>0</v>
      </c>
      <c r="D783" s="24" t="str">
        <f>IFERROR(VLOOKUP(B783,'03. THIẾT BỊ'!$B$1:$S$836,3,0),"")</f>
        <v>A22-GTB-002</v>
      </c>
      <c r="E783" s="20" t="str">
        <f>IFERROR(VLOOKUP(B783,'03. THIẾT BỊ'!$B$1:$S$836,4,0),"")</f>
        <v>ĐQSD</v>
      </c>
      <c r="F783" s="20" t="str">
        <f>IFERROR(VLOOKUP(B783,'03. THIẾT BỊ'!$B$1:$S$836,5,0),"")</f>
        <v>Thiết bị tỉa bắp</v>
      </c>
      <c r="G783" s="101" t="s">
        <v>6468</v>
      </c>
      <c r="H783" s="19" t="str">
        <f>IFERROR(VLOOKUP(B783,'03. THIẾT BỊ'!$B$1:$S$836,7,0),"")</f>
        <v>XN Bò AD</v>
      </c>
      <c r="I783" s="610">
        <f>IFERROR(VLOOKUP(B783,'03. THIẾT BỊ'!$B$1:$S$836,8,0),"")</f>
        <v>0</v>
      </c>
      <c r="J783" s="25"/>
      <c r="K783" s="19" t="str">
        <f>IFERROR(VLOOKUP(B783,'03. THIẾT BỊ'!$B$1:$S$836,10,0),"")</f>
        <v>Bình thường</v>
      </c>
      <c r="L783" s="25">
        <f>IFERROR(VLOOKUP(B783,'03. THIẾT BỊ'!$B$1:$S$836,11,0),"")</f>
        <v>0</v>
      </c>
      <c r="M783" s="24">
        <f>IFERROR(VLOOKUP(B783,'03. THIẾT BỊ'!$B$1:$S$836,12,0),"")</f>
        <v>0</v>
      </c>
      <c r="N783" s="25" t="str">
        <f>IFERROR(VLOOKUP(B783,'03. THIẾT BỊ'!$B$1:$S$836,13,0),"")</f>
        <v>THACO AGRI</v>
      </c>
      <c r="O783" s="24">
        <f>IFERROR(VLOOKUP(B783,'03. THIẾT BỊ'!$B$1:$S$836,14,0),"")</f>
        <v>0</v>
      </c>
      <c r="P783" s="25" t="str">
        <f>IFERROR(VLOOKUP(B783,'03. THIẾT BỊ'!$B$1:$S$836,15,0),"")</f>
        <v>CK-CGH</v>
      </c>
      <c r="Q783" s="23">
        <f>IFERROR(VLOOKUP(B783,'03. THIẾT BỊ'!$B$1:$S$836,16,0),"")</f>
        <v>0</v>
      </c>
      <c r="R783" s="25">
        <f>IFERROR(VLOOKUP(B783,'03. THIẾT BỊ'!$B$1:$S$836,17,0),"")</f>
        <v>0</v>
      </c>
      <c r="S783" s="25">
        <f>IFERROR(VLOOKUP(B783,'03. THIẾT BỊ'!$B$1:$S$836,18,0),"")</f>
        <v>0</v>
      </c>
      <c r="T783" s="41"/>
    </row>
    <row r="784" customHeight="1" spans="1:20">
      <c r="A784" s="19">
        <f t="shared" si="38"/>
        <v>12</v>
      </c>
      <c r="B784" s="20" t="s">
        <v>5480</v>
      </c>
      <c r="C784" s="613">
        <f>IFERROR(VLOOKUP(B784,'03. THIẾT BỊ'!$B$1:$S$836,2,0),"")</f>
        <v>0</v>
      </c>
      <c r="D784" s="24" t="str">
        <f>IFERROR(VLOOKUP(B784,'03. THIẾT BỊ'!$B$1:$S$836,3,0),"")</f>
        <v>A22-XĐL-002</v>
      </c>
      <c r="E784" s="20" t="str">
        <f>IFERROR(VLOOKUP(B784,'03. THIẾT BỊ'!$B$1:$S$836,4,0),"")</f>
        <v>ĐQSD</v>
      </c>
      <c r="F784" s="20" t="str">
        <f>IFERROR(VLOOKUP(B784,'03. THIẾT BỊ'!$B$1:$S$836,5,0),"")</f>
        <v>Máy xay đậu lupin</v>
      </c>
      <c r="G784" s="101" t="s">
        <v>6468</v>
      </c>
      <c r="H784" s="19" t="str">
        <f>IFERROR(VLOOKUP(B784,'03. THIẾT BỊ'!$B$1:$S$836,7,0),"")</f>
        <v>XN Bò AD</v>
      </c>
      <c r="I784" s="610">
        <f>IFERROR(VLOOKUP(B784,'03. THIẾT BỊ'!$B$1:$S$836,8,0),"")</f>
        <v>0</v>
      </c>
      <c r="J784" s="25"/>
      <c r="K784" s="19" t="str">
        <f>IFERROR(VLOOKUP(B784,'03. THIẾT BỊ'!$B$1:$S$836,10,0),"")</f>
        <v>Bình thường</v>
      </c>
      <c r="L784" s="25">
        <f>IFERROR(VLOOKUP(B784,'03. THIẾT BỊ'!$B$1:$S$836,11,0),"")</f>
        <v>0</v>
      </c>
      <c r="M784" s="24" t="str">
        <f>IFERROR(VLOOKUP(B784,'03. THIẾT BỊ'!$B$1:$S$836,12,0),"")</f>
        <v>TTCBTA</v>
      </c>
      <c r="N784" s="25" t="str">
        <f>IFERROR(VLOOKUP(B784,'03. THIẾT BỊ'!$B$1:$S$836,13,0),"")</f>
        <v>THACO AGRI</v>
      </c>
      <c r="O784" s="24">
        <f>IFERROR(VLOOKUP(B784,'03. THIẾT BỊ'!$B$1:$S$836,14,0),"")</f>
        <v>0</v>
      </c>
      <c r="P784" s="25" t="str">
        <f>IFERROR(VLOOKUP(B784,'03. THIẾT BỊ'!$B$1:$S$836,15,0),"")</f>
        <v>CK-CGH</v>
      </c>
      <c r="Q784" s="23">
        <f>IFERROR(VLOOKUP(B784,'03. THIẾT BỊ'!$B$1:$S$836,16,0),"")</f>
        <v>0</v>
      </c>
      <c r="R784" s="25">
        <f>IFERROR(VLOOKUP(B784,'03. THIẾT BỊ'!$B$1:$S$836,17,0),"")</f>
        <v>0</v>
      </c>
      <c r="S784" s="25">
        <f>IFERROR(VLOOKUP(B784,'03. THIẾT BỊ'!$B$1:$S$836,18,0),"")</f>
        <v>0</v>
      </c>
      <c r="T784" s="41"/>
    </row>
    <row r="785" customHeight="1" spans="1:20">
      <c r="A785" s="19">
        <f t="shared" si="38"/>
        <v>13</v>
      </c>
      <c r="B785" s="20" t="s">
        <v>5704</v>
      </c>
      <c r="C785" s="613">
        <f>IFERROR(VLOOKUP(B785,'03. THIẾT BỊ'!$B$1:$S$836,2,0),"")</f>
        <v>0</v>
      </c>
      <c r="D785" s="24" t="str">
        <f>IFERROR(VLOOKUP(B785,'03. THIẾT BỊ'!$B$1:$S$836,3,0),"")</f>
        <v>A22-PTB-001</v>
      </c>
      <c r="E785" s="20" t="str">
        <f>IFERROR(VLOOKUP(B785,'03. THIẾT BỊ'!$B$1:$S$836,4,0),"")</f>
        <v>MUA MỚI</v>
      </c>
      <c r="F785" s="20" t="str">
        <f>IFERROR(VLOOKUP(B785,'03. THIẾT BỊ'!$B$1:$S$836,5,0),"")</f>
        <v>Thiết bị phun thuốc bắp</v>
      </c>
      <c r="G785" s="101" t="s">
        <v>6468</v>
      </c>
      <c r="H785" s="19" t="str">
        <f>IFERROR(VLOOKUP(B785,'03. THIẾT BỊ'!$B$1:$S$836,7,0),"")</f>
        <v>XN Bò AD</v>
      </c>
      <c r="I785" s="610" t="str">
        <f>IFERROR(VLOOKUP(B785,'03. THIẾT BỊ'!$B$1:$S$836,8,0),"")</f>
        <v>16/08/2025</v>
      </c>
      <c r="J785" s="25"/>
      <c r="K785" s="19" t="str">
        <f>IFERROR(VLOOKUP(B785,'03. THIẾT BỊ'!$B$1:$S$836,10,0),"")</f>
        <v>Bình thường</v>
      </c>
      <c r="L785" s="25">
        <f>IFERROR(VLOOKUP(B785,'03. THIẾT BỊ'!$B$1:$S$836,11,0),"")</f>
        <v>0</v>
      </c>
      <c r="M785" s="24" t="str">
        <f>IFERROR(VLOOKUP(B785,'03. THIẾT BỊ'!$B$1:$S$836,12,0),"")</f>
        <v>Đầu tư mới</v>
      </c>
      <c r="N785" s="25" t="str">
        <f>IFERROR(VLOOKUP(B785,'03. THIẾT BỊ'!$B$1:$S$836,13,0),"")</f>
        <v>CHOKTAWEE</v>
      </c>
      <c r="O785" s="24" t="str">
        <f>IFERROR(VLOOKUP(B785,'03. THIẾT BỊ'!$B$1:$S$836,14,0),"")</f>
        <v>ARN-SPY600</v>
      </c>
      <c r="P785" s="25" t="str">
        <f>IFERROR(VLOOKUP(B785,'03. THIẾT BỊ'!$B$1:$S$836,15,0),"")</f>
        <v>VIỆ̣T NAM</v>
      </c>
      <c r="Q785" s="23">
        <f>IFERROR(VLOOKUP(B785,'03. THIẾT BỊ'!$B$1:$S$836,16,0),"")</f>
        <v>2025</v>
      </c>
      <c r="R785" s="25" t="str">
        <f>IFERROR(VLOOKUP(B785,'03. THIẾT BỊ'!$B$1:$S$836,17,0),"")</f>
        <v>600 LÍT - 50HP</v>
      </c>
      <c r="S785" s="25">
        <f>IFERROR(VLOOKUP(B785,'03. THIẾT BỊ'!$B$1:$S$836,18,0),"")</f>
        <v>0</v>
      </c>
      <c r="T785" s="622"/>
    </row>
    <row r="786" customHeight="1" spans="1:20">
      <c r="A786" s="19">
        <f t="shared" si="38"/>
        <v>14</v>
      </c>
      <c r="B786" s="20" t="s">
        <v>5710</v>
      </c>
      <c r="C786" s="613">
        <f>IFERROR(VLOOKUP(B786,'03. THIẾT BỊ'!$B$1:$S$836,2,0),"")</f>
        <v>0</v>
      </c>
      <c r="D786" s="24" t="str">
        <f>IFERROR(VLOOKUP(B786,'03. THIẾT BỊ'!$B$1:$S$836,3,0),"")</f>
        <v>A22-PTB-002</v>
      </c>
      <c r="E786" s="20" t="str">
        <f>IFERROR(VLOOKUP(B786,'03. THIẾT BỊ'!$B$1:$S$836,4,0),"")</f>
        <v>MUA MỚI</v>
      </c>
      <c r="F786" s="20" t="str">
        <f>IFERROR(VLOOKUP(B786,'03. THIẾT BỊ'!$B$1:$S$836,5,0),"")</f>
        <v>Thiết bị phun thuốc bắp</v>
      </c>
      <c r="G786" s="101" t="s">
        <v>6468</v>
      </c>
      <c r="H786" s="19" t="str">
        <f>IFERROR(VLOOKUP(B786,'03. THIẾT BỊ'!$B$1:$S$836,7,0),"")</f>
        <v>XN Bò AD</v>
      </c>
      <c r="I786" s="610" t="str">
        <f>IFERROR(VLOOKUP(B786,'03. THIẾT BỊ'!$B$1:$S$836,8,0),"")</f>
        <v>16/08/2025</v>
      </c>
      <c r="J786" s="25"/>
      <c r="K786" s="19" t="str">
        <f>IFERROR(VLOOKUP(B786,'03. THIẾT BỊ'!$B$1:$S$836,10,0),"")</f>
        <v>Bình thường</v>
      </c>
      <c r="L786" s="25">
        <f>IFERROR(VLOOKUP(B786,'03. THIẾT BỊ'!$B$1:$S$836,11,0),"")</f>
        <v>0</v>
      </c>
      <c r="M786" s="24" t="str">
        <f>IFERROR(VLOOKUP(B786,'03. THIẾT BỊ'!$B$1:$S$836,12,0),"")</f>
        <v>Đầu tư mới</v>
      </c>
      <c r="N786" s="25" t="str">
        <f>IFERROR(VLOOKUP(B786,'03. THIẾT BỊ'!$B$1:$S$836,13,0),"")</f>
        <v>CHOKTAWEE</v>
      </c>
      <c r="O786" s="24" t="str">
        <f>IFERROR(VLOOKUP(B786,'03. THIẾT BỊ'!$B$1:$S$836,14,0),"")</f>
        <v>ARN-SPY600</v>
      </c>
      <c r="P786" s="25" t="str">
        <f>IFERROR(VLOOKUP(B786,'03. THIẾT BỊ'!$B$1:$S$836,15,0),"")</f>
        <v>VIỆ̣T NAM</v>
      </c>
      <c r="Q786" s="23">
        <f>IFERROR(VLOOKUP(B786,'03. THIẾT BỊ'!$B$1:$S$836,16,0),"")</f>
        <v>2025</v>
      </c>
      <c r="R786" s="25" t="str">
        <f>IFERROR(VLOOKUP(B786,'03. THIẾT BỊ'!$B$1:$S$836,17,0),"")</f>
        <v>600 LÍT - 50HP</v>
      </c>
      <c r="S786" s="25">
        <f>IFERROR(VLOOKUP(B786,'03. THIẾT BỊ'!$B$1:$S$836,18,0),"")</f>
        <v>0</v>
      </c>
      <c r="T786" s="622"/>
    </row>
    <row r="787" customHeight="1" spans="1:20">
      <c r="A787" s="19">
        <f t="shared" si="38"/>
        <v>15</v>
      </c>
      <c r="B787" s="20" t="s">
        <v>5712</v>
      </c>
      <c r="C787" s="613">
        <f>IFERROR(VLOOKUP(B787,'03. THIẾT BỊ'!$B$1:$S$836,2,0),"")</f>
        <v>0</v>
      </c>
      <c r="D787" s="24" t="str">
        <f>IFERROR(VLOOKUP(B787,'03. THIẾT BỊ'!$B$1:$S$836,3,0),"")</f>
        <v>A22-GHC-001</v>
      </c>
      <c r="E787" s="20" t="str">
        <f>IFERROR(VLOOKUP(B787,'03. THIẾT BỊ'!$B$1:$S$836,4,0),"")</f>
        <v>MUA MỚI</v>
      </c>
      <c r="F787" s="20" t="str">
        <f>IFERROR(VLOOKUP(B787,'03. THIẾT BỊ'!$B$1:$S$836,5,0),"")</f>
        <v>Thiết bị gieo hạt cỏ</v>
      </c>
      <c r="G787" s="101" t="s">
        <v>6468</v>
      </c>
      <c r="H787" s="19" t="str">
        <f>IFERROR(VLOOKUP(B787,'03. THIẾT BỊ'!$B$1:$S$836,7,0),"")</f>
        <v>XN Bò AD</v>
      </c>
      <c r="I787" s="610" t="str">
        <f>IFERROR(VLOOKUP(B787,'03. THIẾT BỊ'!$B$1:$S$836,8,0),"")</f>
        <v>15/08/2025</v>
      </c>
      <c r="J787" s="25"/>
      <c r="K787" s="19" t="str">
        <f>IFERROR(VLOOKUP(B787,'03. THIẾT BỊ'!$B$1:$S$836,10,0),"")</f>
        <v>Bình thường</v>
      </c>
      <c r="L787" s="25">
        <f>IFERROR(VLOOKUP(B787,'03. THIẾT BỊ'!$B$1:$S$836,11,0),"")</f>
        <v>0</v>
      </c>
      <c r="M787" s="24" t="str">
        <f>IFERROR(VLOOKUP(B787,'03. THIẾT BỊ'!$B$1:$S$836,12,0),"")</f>
        <v>Đầu tư mới</v>
      </c>
      <c r="N787" s="25" t="str">
        <f>IFERROR(VLOOKUP(B787,'03. THIẾT BỊ'!$B$1:$S$836,13,0),"")</f>
        <v>VIRDI</v>
      </c>
      <c r="O787" s="24" t="str">
        <f>IFERROR(VLOOKUP(B787,'03. THIẾT BỊ'!$B$1:$S$836,14,0),"")</f>
        <v>GRASS MAESTRO</v>
      </c>
      <c r="P787" s="25" t="str">
        <f>IFERROR(VLOOKUP(B787,'03. THIẾT BỊ'!$B$1:$S$836,15,0),"")</f>
        <v>Ấn Độ</v>
      </c>
      <c r="Q787" s="23">
        <f>IFERROR(VLOOKUP(B787,'03. THIẾT BỊ'!$B$1:$S$836,16,0),"")</f>
        <v>2025</v>
      </c>
      <c r="R787" s="25" t="str">
        <f>IFERROR(VLOOKUP(B787,'03. THIẾT BỊ'!$B$1:$S$836,17,0),"")</f>
        <v>35HP</v>
      </c>
      <c r="S787" s="25" t="str">
        <f>IFERROR(VLOOKUP(B787,'03. THIẾT BỊ'!$B$1:$S$836,18,0),"")</f>
        <v>GM2502</v>
      </c>
      <c r="T787" s="622"/>
    </row>
    <row r="788" customHeight="1" spans="1:20">
      <c r="A788" s="19">
        <f t="shared" si="38"/>
        <v>16</v>
      </c>
      <c r="B788" s="20" t="s">
        <v>5720</v>
      </c>
      <c r="C788" s="613">
        <f>IFERROR(VLOOKUP(B788,'03. THIẾT BỊ'!$B$1:$S$836,2,0),"")</f>
        <v>0</v>
      </c>
      <c r="D788" s="24" t="str">
        <f>IFERROR(VLOOKUP(B788,'03. THIẾT BỊ'!$B$1:$S$836,3,0),"")</f>
        <v>A22-GHC-002</v>
      </c>
      <c r="E788" s="20" t="str">
        <f>IFERROR(VLOOKUP(B788,'03. THIẾT BỊ'!$B$1:$S$836,4,0),"")</f>
        <v>ĐQSD</v>
      </c>
      <c r="F788" s="20" t="str">
        <f>IFERROR(VLOOKUP(B788,'03. THIẾT BỊ'!$B$1:$S$836,5,0),"")</f>
        <v>Thiết bị gieo hạt cỏ</v>
      </c>
      <c r="G788" s="101" t="s">
        <v>6468</v>
      </c>
      <c r="H788" s="19" t="str">
        <f>IFERROR(VLOOKUP(B788,'03. THIẾT BỊ'!$B$1:$S$836,7,0),"")</f>
        <v>XN Bò AD</v>
      </c>
      <c r="I788" s="610" t="str">
        <f>IFERROR(VLOOKUP(B788,'03. THIẾT BỊ'!$B$1:$S$836,8,0),"")</f>
        <v>28/01/2026</v>
      </c>
      <c r="J788" s="25"/>
      <c r="K788" s="19" t="str">
        <f>IFERROR(VLOOKUP(B788,'03. THIẾT BỊ'!$B$1:$S$836,10,0),"")</f>
        <v>Bình thường</v>
      </c>
      <c r="L788" s="25">
        <f>IFERROR(VLOOKUP(B788,'03. THIẾT BỊ'!$B$1:$S$836,11,0),"")</f>
        <v>0</v>
      </c>
      <c r="M788" s="24" t="str">
        <f>IFERROR(VLOOKUP(B788,'03. THIẾT BỊ'!$B$1:$S$836,12,0),"")</f>
        <v>ĐCHUYEN TỪ KLH SN</v>
      </c>
      <c r="N788" s="25" t="str">
        <f>IFERROR(VLOOKUP(B788,'03. THIẾT BỊ'!$B$1:$S$836,13,0),"")</f>
        <v>VIRDI</v>
      </c>
      <c r="O788" s="24" t="str">
        <f>IFERROR(VLOOKUP(B788,'03. THIẾT BỊ'!$B$1:$S$836,14,0),"")</f>
        <v>GRASS MAESTRO</v>
      </c>
      <c r="P788" s="25" t="str">
        <f>IFERROR(VLOOKUP(B788,'03. THIẾT BỊ'!$B$1:$S$836,15,0),"")</f>
        <v>ẤN ĐỘ</v>
      </c>
      <c r="Q788" s="23">
        <f>IFERROR(VLOOKUP(B788,'03. THIẾT BỊ'!$B$1:$S$836,16,0),"")</f>
        <v>2025</v>
      </c>
      <c r="R788" s="25" t="str">
        <f>IFERROR(VLOOKUP(B788,'03. THIẾT BỊ'!$B$1:$S$836,17,0),"")</f>
        <v>35Hp ~</v>
      </c>
      <c r="S788" s="25" t="str">
        <f>IFERROR(VLOOKUP(B788,'03. THIẾT BỊ'!$B$1:$S$836,18,0),"")</f>
        <v>GM2501</v>
      </c>
      <c r="T788" s="622"/>
    </row>
    <row r="789" customHeight="1" spans="1:20">
      <c r="A789" s="19">
        <f t="shared" si="38"/>
        <v>17</v>
      </c>
      <c r="B789" s="20" t="s">
        <v>5363</v>
      </c>
      <c r="C789" s="613">
        <f>IFERROR(VLOOKUP(B789,'03. THIẾT BỊ'!$B$1:$S$836,2,0),"")</f>
        <v>0</v>
      </c>
      <c r="D789" s="24" t="str">
        <f>IFERROR(VLOOKUP(B789,'03. THIẾT BỊ'!$B$1:$S$836,3,0),"")</f>
        <v>A22-SMR-001</v>
      </c>
      <c r="E789" s="20" t="str">
        <f>IFERROR(VLOOKUP(B789,'03. THIẾT BỊ'!$B$1:$S$836,4,0),"")</f>
        <v>MUA MỚI</v>
      </c>
      <c r="F789" s="20" t="str">
        <f>IFERROR(VLOOKUP(B789,'03. THIẾT BỊ'!$B$1:$S$836,5,0),"")</f>
        <v>SMRM vận chuyển 50M3</v>
      </c>
      <c r="G789" s="101" t="s">
        <v>6468</v>
      </c>
      <c r="H789" s="19" t="str">
        <f>IFERROR(VLOOKUP(B789,'03. THIẾT BỊ'!$B$1:$S$836,7,0),"")</f>
        <v>XN Bò AD</v>
      </c>
      <c r="I789" s="610" t="str">
        <f>IFERROR(VLOOKUP(B789,'03. THIẾT BỊ'!$B$1:$S$836,8,0),"")</f>
        <v>29/10/2024</v>
      </c>
      <c r="J789" s="25"/>
      <c r="K789" s="19" t="str">
        <f>IFERROR(VLOOKUP(B789,'03. THIẾT BỊ'!$B$1:$S$836,10,0),"")</f>
        <v>Bình thường</v>
      </c>
      <c r="L789" s="25">
        <f>IFERROR(VLOOKUP(B789,'03. THIẾT BỊ'!$B$1:$S$836,11,0),"")</f>
        <v>0</v>
      </c>
      <c r="M789" s="24">
        <f>IFERROR(VLOOKUP(B789,'03. THIẾT BỊ'!$B$1:$S$836,12,0),"")</f>
        <v>0</v>
      </c>
      <c r="N789" s="25" t="str">
        <f>IFERROR(VLOOKUP(B789,'03. THIẾT BỊ'!$B$1:$S$836,13,0),"")</f>
        <v>INDUSTRY</v>
      </c>
      <c r="O789" s="24" t="str">
        <f>IFERROR(VLOOKUP(B789,'03. THIẾT BỊ'!$B$1:$S$836,14,0),"")</f>
        <v>50m3</v>
      </c>
      <c r="P789" s="25" t="str">
        <f>IFERROR(VLOOKUP(B789,'03. THIẾT BỊ'!$B$1:$S$836,15,0),"")</f>
        <v>VIET NAM</v>
      </c>
      <c r="Q789" s="23">
        <f>IFERROR(VLOOKUP(B789,'03. THIẾT BỊ'!$B$1:$S$836,16,0),"")</f>
        <v>2017</v>
      </c>
      <c r="R789" s="25" t="str">
        <f>IFERROR(VLOOKUP(B789,'03. THIẾT BỊ'!$B$1:$S$836,17,0),"")</f>
        <v>50M3</v>
      </c>
      <c r="S789" s="25" t="str">
        <f>IFERROR(VLOOKUP(B789,'03. THIẾT BỊ'!$B$1:$S$836,18,0),"")</f>
        <v>RN0GA339BK004311</v>
      </c>
      <c r="T789" s="622"/>
    </row>
    <row r="790" customHeight="1" spans="1:20">
      <c r="A790" s="19">
        <f t="shared" si="38"/>
        <v>18</v>
      </c>
      <c r="B790" s="20" t="s">
        <v>5370</v>
      </c>
      <c r="C790" s="613">
        <f>IFERROR(VLOOKUP(B790,'03. THIẾT BỊ'!$B$1:$S$836,2,0),"")</f>
        <v>0</v>
      </c>
      <c r="D790" s="24" t="str">
        <f>IFERROR(VLOOKUP(B790,'03. THIẾT BỊ'!$B$1:$S$836,3,0),"")</f>
        <v>A22-MRT-002</v>
      </c>
      <c r="E790" s="20" t="str">
        <f>IFERROR(VLOOKUP(B790,'03. THIẾT BỊ'!$B$1:$S$836,4,0),"")</f>
        <v>MUA MỚI</v>
      </c>
      <c r="F790" s="20" t="str">
        <f>IFERROR(VLOOKUP(B790,'03. THIẾT BỊ'!$B$1:$S$836,5,0),"")</f>
        <v>SMRM rải thức ăn TMR 50M3</v>
      </c>
      <c r="G790" s="101" t="s">
        <v>6468</v>
      </c>
      <c r="H790" s="19" t="str">
        <f>IFERROR(VLOOKUP(B790,'03. THIẾT BỊ'!$B$1:$S$836,7,0),"")</f>
        <v>XN Bò AD</v>
      </c>
      <c r="I790" s="610">
        <f>IFERROR(VLOOKUP(B790,'03. THIẾT BỊ'!$B$1:$S$836,8,0),"")</f>
        <v>45692</v>
      </c>
      <c r="J790" s="25"/>
      <c r="K790" s="19" t="str">
        <f>IFERROR(VLOOKUP(B790,'03. THIẾT BỊ'!$B$1:$S$836,10,0),"")</f>
        <v>Bình thường</v>
      </c>
      <c r="L790" s="25">
        <f>IFERROR(VLOOKUP(B790,'03. THIẾT BỊ'!$B$1:$S$836,11,0),"")</f>
        <v>0</v>
      </c>
      <c r="M790" s="24">
        <f>IFERROR(VLOOKUP(B790,'03. THIẾT BỊ'!$B$1:$S$836,12,0),"")</f>
        <v>0</v>
      </c>
      <c r="N790" s="25" t="str">
        <f>IFERROR(VLOOKUP(B790,'03. THIẾT BỊ'!$B$1:$S$836,13,0),"")</f>
        <v>INDUSTRY</v>
      </c>
      <c r="O790" s="24" t="str">
        <f>IFERROR(VLOOKUP(B790,'03. THIẾT BỊ'!$B$1:$S$836,14,0),"")</f>
        <v>50m3</v>
      </c>
      <c r="P790" s="25" t="str">
        <f>IFERROR(VLOOKUP(B790,'03. THIẾT BỊ'!$B$1:$S$836,15,0),"")</f>
        <v>VIET NAM</v>
      </c>
      <c r="Q790" s="23">
        <f>IFERROR(VLOOKUP(B790,'03. THIẾT BỊ'!$B$1:$S$836,16,0),"")</f>
        <v>2025</v>
      </c>
      <c r="R790" s="25" t="str">
        <f>IFERROR(VLOOKUP(B790,'03. THIẾT BỊ'!$B$1:$S$836,17,0),"")</f>
        <v>50M3</v>
      </c>
      <c r="S790" s="25" t="str">
        <f>IFERROR(VLOOKUP(B790,'03. THIẾT BỊ'!$B$1:$S$836,18,0),"")</f>
        <v>RN0GA339BK1344231</v>
      </c>
      <c r="T790" s="622"/>
    </row>
    <row r="791" customHeight="1" spans="1:20">
      <c r="A791" s="19">
        <f t="shared" si="38"/>
        <v>19</v>
      </c>
      <c r="B791" s="20" t="s">
        <v>5374</v>
      </c>
      <c r="C791" s="613">
        <f>IFERROR(VLOOKUP(B791,'03. THIẾT BỊ'!$B$1:$S$836,2,0),"")</f>
        <v>0</v>
      </c>
      <c r="D791" s="24" t="str">
        <f>IFERROR(VLOOKUP(B791,'03. THIẾT BỊ'!$B$1:$S$836,3,0),"")</f>
        <v>A22-MRT-003</v>
      </c>
      <c r="E791" s="20" t="str">
        <f>IFERROR(VLOOKUP(B791,'03. THIẾT BỊ'!$B$1:$S$836,4,0),"")</f>
        <v>MUA MỚI</v>
      </c>
      <c r="F791" s="20" t="str">
        <f>IFERROR(VLOOKUP(B791,'03. THIẾT BỊ'!$B$1:$S$836,5,0),"")</f>
        <v>SMRM rải thức ăn TMR 50M3</v>
      </c>
      <c r="G791" s="101" t="s">
        <v>6468</v>
      </c>
      <c r="H791" s="19" t="str">
        <f>IFERROR(VLOOKUP(B791,'03. THIẾT BỊ'!$B$1:$S$836,7,0),"")</f>
        <v>XN Bò AD</v>
      </c>
      <c r="I791" s="610">
        <f>IFERROR(VLOOKUP(B791,'03. THIẾT BỊ'!$B$1:$S$836,8,0),"")</f>
        <v>45697</v>
      </c>
      <c r="J791" s="25"/>
      <c r="K791" s="19" t="str">
        <f>IFERROR(VLOOKUP(B791,'03. THIẾT BỊ'!$B$1:$S$836,10,0),"")</f>
        <v>Bình thường</v>
      </c>
      <c r="L791" s="25">
        <f>IFERROR(VLOOKUP(B791,'03. THIẾT BỊ'!$B$1:$S$836,11,0),"")</f>
        <v>0</v>
      </c>
      <c r="M791" s="24">
        <f>IFERROR(VLOOKUP(B791,'03. THIẾT BỊ'!$B$1:$S$836,12,0),"")</f>
        <v>0</v>
      </c>
      <c r="N791" s="25" t="str">
        <f>IFERROR(VLOOKUP(B791,'03. THIẾT BỊ'!$B$1:$S$836,13,0),"")</f>
        <v>INDUSTRY</v>
      </c>
      <c r="O791" s="24" t="str">
        <f>IFERROR(VLOOKUP(B791,'03. THIẾT BỊ'!$B$1:$S$836,14,0),"")</f>
        <v>50m3</v>
      </c>
      <c r="P791" s="25" t="str">
        <f>IFERROR(VLOOKUP(B791,'03. THIẾT BỊ'!$B$1:$S$836,15,0),"")</f>
        <v>VIET NAM</v>
      </c>
      <c r="Q791" s="23">
        <f>IFERROR(VLOOKUP(B791,'03. THIẾT BỊ'!$B$1:$S$836,16,0),"")</f>
        <v>2025</v>
      </c>
      <c r="R791" s="25" t="str">
        <f>IFERROR(VLOOKUP(B791,'03. THIẾT BỊ'!$B$1:$S$836,17,0),"")</f>
        <v>50M3</v>
      </c>
      <c r="S791" s="25" t="str">
        <f>IFERROR(VLOOKUP(B791,'03. THIẾT BỊ'!$B$1:$S$836,18,0),"")</f>
        <v>RMFLS232ASC001299</v>
      </c>
      <c r="T791" s="622"/>
    </row>
    <row r="792" customHeight="1" spans="1:20">
      <c r="A792" s="19">
        <f t="shared" si="38"/>
        <v>20</v>
      </c>
      <c r="B792" s="20" t="s">
        <v>5377</v>
      </c>
      <c r="C792" s="613">
        <f>IFERROR(VLOOKUP(B792,'03. THIẾT BỊ'!$B$1:$S$836,2,0),"")</f>
        <v>0</v>
      </c>
      <c r="D792" s="24" t="str">
        <f>IFERROR(VLOOKUP(B792,'03. THIẾT BỊ'!$B$1:$S$836,3,0),"")</f>
        <v>A22-MRT-004</v>
      </c>
      <c r="E792" s="20" t="str">
        <f>IFERROR(VLOOKUP(B792,'03. THIẾT BỊ'!$B$1:$S$836,4,0),"")</f>
        <v>MUA MỚI</v>
      </c>
      <c r="F792" s="20" t="str">
        <f>IFERROR(VLOOKUP(B792,'03. THIẾT BỊ'!$B$1:$S$836,5,0),"")</f>
        <v>SMRM rải thức ăn TMR 50M3</v>
      </c>
      <c r="G792" s="101" t="s">
        <v>6468</v>
      </c>
      <c r="H792" s="19" t="str">
        <f>IFERROR(VLOOKUP(B792,'03. THIẾT BỊ'!$B$1:$S$836,7,0),"")</f>
        <v>XN Bò AD</v>
      </c>
      <c r="I792" s="610">
        <f>IFERROR(VLOOKUP(B792,'03. THIẾT BỊ'!$B$1:$S$836,8,0),"")</f>
        <v>45879</v>
      </c>
      <c r="J792" s="25"/>
      <c r="K792" s="19" t="str">
        <f>IFERROR(VLOOKUP(B792,'03. THIẾT BỊ'!$B$1:$S$836,10,0),"")</f>
        <v>Bình thường</v>
      </c>
      <c r="L792" s="25">
        <f>IFERROR(VLOOKUP(B792,'03. THIẾT BỊ'!$B$1:$S$836,11,0),"")</f>
        <v>0</v>
      </c>
      <c r="M792" s="24">
        <f>IFERROR(VLOOKUP(B792,'03. THIẾT BỊ'!$B$1:$S$836,12,0),"")</f>
        <v>0</v>
      </c>
      <c r="N792" s="25" t="str">
        <f>IFERROR(VLOOKUP(B792,'03. THIẾT BỊ'!$B$1:$S$836,13,0),"")</f>
        <v>INDUSTRY</v>
      </c>
      <c r="O792" s="24" t="str">
        <f>IFERROR(VLOOKUP(B792,'03. THIẾT BỊ'!$B$1:$S$836,14,0),"")</f>
        <v>50m3</v>
      </c>
      <c r="P792" s="25" t="str">
        <f>IFERROR(VLOOKUP(B792,'03. THIẾT BỊ'!$B$1:$S$836,15,0),"")</f>
        <v>VIET NAM</v>
      </c>
      <c r="Q792" s="23">
        <f>IFERROR(VLOOKUP(B792,'03. THIẾT BỊ'!$B$1:$S$836,16,0),"")</f>
        <v>2025</v>
      </c>
      <c r="R792" s="25" t="str">
        <f>IFERROR(VLOOKUP(B792,'03. THIẾT BỊ'!$B$1:$S$836,17,0),"")</f>
        <v>50M3</v>
      </c>
      <c r="S792" s="25" t="str">
        <f>IFERROR(VLOOKUP(B792,'03. THIẾT BỊ'!$B$1:$S$836,18,0),"")</f>
        <v>RMFLS232ASC001303</v>
      </c>
      <c r="T792" s="622"/>
    </row>
    <row r="793" customHeight="1" spans="1:20">
      <c r="A793" s="19">
        <f t="shared" si="38"/>
        <v>21</v>
      </c>
      <c r="B793" s="20" t="s">
        <v>5380</v>
      </c>
      <c r="C793" s="613">
        <f>IFERROR(VLOOKUP(B793,'03. THIẾT BỊ'!$B$1:$S$836,2,0),"")</f>
        <v>0</v>
      </c>
      <c r="D793" s="24" t="str">
        <f>IFERROR(VLOOKUP(B793,'03. THIẾT BỊ'!$B$1:$S$836,3,0),"")</f>
        <v>A22-MRT-005</v>
      </c>
      <c r="E793" s="20" t="str">
        <f>IFERROR(VLOOKUP(B793,'03. THIẾT BỊ'!$B$1:$S$836,4,0),"")</f>
        <v>MUA MỚI</v>
      </c>
      <c r="F793" s="20" t="str">
        <f>IFERROR(VLOOKUP(B793,'03. THIẾT BỊ'!$B$1:$S$836,5,0),"")</f>
        <v>SMRM rải thức ăn TMR 50M3</v>
      </c>
      <c r="G793" s="101" t="s">
        <v>6468</v>
      </c>
      <c r="H793" s="19" t="str">
        <f>IFERROR(VLOOKUP(B793,'03. THIẾT BỊ'!$B$1:$S$836,7,0),"")</f>
        <v>XN Bò AD</v>
      </c>
      <c r="I793" s="610">
        <f>IFERROR(VLOOKUP(B793,'03. THIẾT BỊ'!$B$1:$S$836,8,0),"")</f>
        <v>45879</v>
      </c>
      <c r="J793" s="25"/>
      <c r="K793" s="19" t="str">
        <f>IFERROR(VLOOKUP(B793,'03. THIẾT BỊ'!$B$1:$S$836,10,0),"")</f>
        <v>Bình thường</v>
      </c>
      <c r="L793" s="25">
        <f>IFERROR(VLOOKUP(B793,'03. THIẾT BỊ'!$B$1:$S$836,11,0),"")</f>
        <v>0</v>
      </c>
      <c r="M793" s="24">
        <f>IFERROR(VLOOKUP(B793,'03. THIẾT BỊ'!$B$1:$S$836,12,0),"")</f>
        <v>0</v>
      </c>
      <c r="N793" s="25" t="str">
        <f>IFERROR(VLOOKUP(B793,'03. THIẾT BỊ'!$B$1:$S$836,13,0),"")</f>
        <v>INDUSTRY</v>
      </c>
      <c r="O793" s="24" t="str">
        <f>IFERROR(VLOOKUP(B793,'03. THIẾT BỊ'!$B$1:$S$836,14,0),"")</f>
        <v>50m3</v>
      </c>
      <c r="P793" s="25" t="str">
        <f>IFERROR(VLOOKUP(B793,'03. THIẾT BỊ'!$B$1:$S$836,15,0),"")</f>
        <v>VIET NAM</v>
      </c>
      <c r="Q793" s="23">
        <f>IFERROR(VLOOKUP(B793,'03. THIẾT BỊ'!$B$1:$S$836,16,0),"")</f>
        <v>2025</v>
      </c>
      <c r="R793" s="25" t="str">
        <f>IFERROR(VLOOKUP(B793,'03. THIẾT BỊ'!$B$1:$S$836,17,0),"")</f>
        <v>50M3</v>
      </c>
      <c r="S793" s="25" t="str">
        <f>IFERROR(VLOOKUP(B793,'03. THIẾT BỊ'!$B$1:$S$836,18,0),"")</f>
        <v>RMFLS232ASC001304</v>
      </c>
      <c r="T793" s="622"/>
    </row>
    <row r="794" customHeight="1" spans="1:20">
      <c r="A794" s="19">
        <f t="shared" si="38"/>
        <v>22</v>
      </c>
      <c r="B794" s="20" t="s">
        <v>5383</v>
      </c>
      <c r="C794" s="613">
        <f>IFERROR(VLOOKUP(B794,'03. THIẾT BỊ'!$B$1:$S$836,2,0),"")</f>
        <v>0</v>
      </c>
      <c r="D794" s="24" t="str">
        <f>IFERROR(VLOOKUP(B794,'03. THIẾT BỊ'!$B$1:$S$836,3,0),"")</f>
        <v>A22-MRT-006</v>
      </c>
      <c r="E794" s="20" t="str">
        <f>IFERROR(VLOOKUP(B794,'03. THIẾT BỊ'!$B$1:$S$836,4,0),"")</f>
        <v>MUA MỚI</v>
      </c>
      <c r="F794" s="20" t="str">
        <f>IFERROR(VLOOKUP(B794,'03. THIẾT BỊ'!$B$1:$S$836,5,0),"")</f>
        <v>SMRM rải thức ăn TMR 50M3</v>
      </c>
      <c r="G794" s="101" t="s">
        <v>6468</v>
      </c>
      <c r="H794" s="19" t="str">
        <f>IFERROR(VLOOKUP(B794,'03. THIẾT BỊ'!$B$1:$S$836,7,0),"")</f>
        <v>XN Bò AD</v>
      </c>
      <c r="I794" s="610" t="str">
        <f>IFERROR(VLOOKUP(B794,'03. THIẾT BỊ'!$B$1:$S$836,8,0),"")</f>
        <v>31/10/2025</v>
      </c>
      <c r="J794" s="25"/>
      <c r="K794" s="19" t="str">
        <f>IFERROR(VLOOKUP(B794,'03. THIẾT BỊ'!$B$1:$S$836,10,0),"")</f>
        <v>Bình thường</v>
      </c>
      <c r="L794" s="25">
        <f>IFERROR(VLOOKUP(B794,'03. THIẾT BỊ'!$B$1:$S$836,11,0),"")</f>
        <v>0</v>
      </c>
      <c r="M794" s="24">
        <f>IFERROR(VLOOKUP(B794,'03. THIẾT BỊ'!$B$1:$S$836,12,0),"")</f>
        <v>0</v>
      </c>
      <c r="N794" s="25" t="str">
        <f>IFERROR(VLOOKUP(B794,'03. THIẾT BỊ'!$B$1:$S$836,13,0),"")</f>
        <v>INDUSTRY</v>
      </c>
      <c r="O794" s="24" t="str">
        <f>IFERROR(VLOOKUP(B794,'03. THIẾT BỊ'!$B$1:$S$836,14,0),"")</f>
        <v>50m3</v>
      </c>
      <c r="P794" s="25" t="str">
        <f>IFERROR(VLOOKUP(B794,'03. THIẾT BỊ'!$B$1:$S$836,15,0),"")</f>
        <v>VIET NAM</v>
      </c>
      <c r="Q794" s="23">
        <f>IFERROR(VLOOKUP(B794,'03. THIẾT BỊ'!$B$1:$S$836,16,0),"")</f>
        <v>2025</v>
      </c>
      <c r="R794" s="25" t="str">
        <f>IFERROR(VLOOKUP(B794,'03. THIẾT BỊ'!$B$1:$S$836,17,0),"")</f>
        <v>50M3</v>
      </c>
      <c r="S794" s="25" t="str">
        <f>IFERROR(VLOOKUP(B794,'03. THIẾT BỊ'!$B$1:$S$836,18,0),"")</f>
        <v>RMFLS232ASC001305</v>
      </c>
      <c r="T794" s="622"/>
    </row>
    <row r="795" customHeight="1" spans="1:20">
      <c r="A795" s="19">
        <f t="shared" si="38"/>
        <v>23</v>
      </c>
      <c r="B795" s="20" t="s">
        <v>5386</v>
      </c>
      <c r="C795" s="613">
        <f>IFERROR(VLOOKUP(B795,'03. THIẾT BỊ'!$B$1:$S$836,2,0),"")</f>
        <v>0</v>
      </c>
      <c r="D795" s="24" t="str">
        <f>IFERROR(VLOOKUP(B795,'03. THIẾT BỊ'!$B$1:$S$836,3,0),"")</f>
        <v>A22-MRT-007</v>
      </c>
      <c r="E795" s="20" t="str">
        <f>IFERROR(VLOOKUP(B795,'03. THIẾT BỊ'!$B$1:$S$836,4,0),"")</f>
        <v>MUA MỚI</v>
      </c>
      <c r="F795" s="20" t="str">
        <f>IFERROR(VLOOKUP(B795,'03. THIẾT BỊ'!$B$1:$S$836,5,0),"")</f>
        <v>SMRM rải thức ăn TMR 50M3</v>
      </c>
      <c r="G795" s="101" t="s">
        <v>6468</v>
      </c>
      <c r="H795" s="19" t="str">
        <f>IFERROR(VLOOKUP(B795,'03. THIẾT BỊ'!$B$1:$S$836,7,0),"")</f>
        <v>XN Bò AD</v>
      </c>
      <c r="I795" s="610" t="str">
        <f>IFERROR(VLOOKUP(B795,'03. THIẾT BỊ'!$B$1:$S$836,8,0),"")</f>
        <v>31/10/2025</v>
      </c>
      <c r="J795" s="25"/>
      <c r="K795" s="19" t="str">
        <f>IFERROR(VLOOKUP(B795,'03. THIẾT BỊ'!$B$1:$S$836,10,0),"")</f>
        <v>Bình thường</v>
      </c>
      <c r="L795" s="25">
        <f>IFERROR(VLOOKUP(B795,'03. THIẾT BỊ'!$B$1:$S$836,11,0),"")</f>
        <v>0</v>
      </c>
      <c r="M795" s="24">
        <f>IFERROR(VLOOKUP(B795,'03. THIẾT BỊ'!$B$1:$S$836,12,0),"")</f>
        <v>0</v>
      </c>
      <c r="N795" s="25" t="str">
        <f>IFERROR(VLOOKUP(B795,'03. THIẾT BỊ'!$B$1:$S$836,13,0),"")</f>
        <v>INDUSTRY</v>
      </c>
      <c r="O795" s="24" t="str">
        <f>IFERROR(VLOOKUP(B795,'03. THIẾT BỊ'!$B$1:$S$836,14,0),"")</f>
        <v>50m3</v>
      </c>
      <c r="P795" s="25" t="str">
        <f>IFERROR(VLOOKUP(B795,'03. THIẾT BỊ'!$B$1:$S$836,15,0),"")</f>
        <v>VIET NAM</v>
      </c>
      <c r="Q795" s="23">
        <f>IFERROR(VLOOKUP(B795,'03. THIẾT BỊ'!$B$1:$S$836,16,0),"")</f>
        <v>2025</v>
      </c>
      <c r="R795" s="25" t="str">
        <f>IFERROR(VLOOKUP(B795,'03. THIẾT BỊ'!$B$1:$S$836,17,0),"")</f>
        <v>50M3</v>
      </c>
      <c r="S795" s="25" t="str">
        <f>IFERROR(VLOOKUP(B795,'03. THIẾT BỊ'!$B$1:$S$836,18,0),"")</f>
        <v>RMFLS232ASC001306</v>
      </c>
      <c r="T795" s="622"/>
    </row>
    <row r="796" customHeight="1" spans="1:20">
      <c r="A796" s="19">
        <f t="shared" si="38"/>
        <v>24</v>
      </c>
      <c r="B796" s="20" t="s">
        <v>5395</v>
      </c>
      <c r="C796" s="613">
        <f>IFERROR(VLOOKUP(B796,'03. THIẾT BỊ'!$B$1:$S$836,2,0),"")</f>
        <v>0</v>
      </c>
      <c r="D796" s="24" t="str">
        <f>IFERROR(VLOOKUP(B796,'03. THIẾT BỊ'!$B$1:$S$836,3,0),"")</f>
        <v>A22-TPC-001</v>
      </c>
      <c r="E796" s="20" t="str">
        <f>IFERROR(VLOOKUP(B796,'03. THIẾT BỊ'!$B$1:$S$836,4,0),"")</f>
        <v>MUA MỚI</v>
      </c>
      <c r="F796" s="20" t="str">
        <f>IFERROR(VLOOKUP(B796,'03. THIẾT BỊ'!$B$1:$S$836,5,0),"")</f>
        <v>SMRM trung chuyển phân - CĐC 18/23M3</v>
      </c>
      <c r="G796" s="101" t="s">
        <v>6468</v>
      </c>
      <c r="H796" s="19" t="str">
        <f>IFERROR(VLOOKUP(B796,'03. THIẾT BỊ'!$B$1:$S$836,7,0),"")</f>
        <v>XN Bò AD</v>
      </c>
      <c r="I796" s="610">
        <f>IFERROR(VLOOKUP(B796,'03. THIẾT BỊ'!$B$1:$S$836,8,0),"")</f>
        <v>45727</v>
      </c>
      <c r="J796" s="25"/>
      <c r="K796" s="19" t="str">
        <f>IFERROR(VLOOKUP(B796,'03. THIẾT BỊ'!$B$1:$S$836,10,0),"")</f>
        <v>Bình thường</v>
      </c>
      <c r="L796" s="25">
        <f>IFERROR(VLOOKUP(B796,'03. THIẾT BỊ'!$B$1:$S$836,11,0),"")</f>
        <v>0</v>
      </c>
      <c r="M796" s="24">
        <f>IFERROR(VLOOKUP(B796,'03. THIẾT BỊ'!$B$1:$S$836,12,0),"")</f>
        <v>0</v>
      </c>
      <c r="N796" s="25" t="str">
        <f>IFERROR(VLOOKUP(B796,'03. THIẾT BỊ'!$B$1:$S$836,13,0),"")</f>
        <v>INDUSTRY</v>
      </c>
      <c r="O796" s="24" t="str">
        <f>IFERROR(VLOOKUP(B796,'03. THIẾT BỊ'!$B$1:$S$836,14,0),"")</f>
        <v>18/23M3</v>
      </c>
      <c r="P796" s="25" t="str">
        <f>IFERROR(VLOOKUP(B796,'03. THIẾT BỊ'!$B$1:$S$836,15,0),"")</f>
        <v>VIET NAM</v>
      </c>
      <c r="Q796" s="23">
        <f>IFERROR(VLOOKUP(B796,'03. THIẾT BỊ'!$B$1:$S$836,16,0),"")</f>
        <v>2025</v>
      </c>
      <c r="R796" s="25" t="str">
        <f>IFERROR(VLOOKUP(B796,'03. THIẾT BỊ'!$B$1:$S$836,17,0),"")</f>
        <v>18/23M3</v>
      </c>
      <c r="S796" s="25">
        <f>IFERROR(VLOOKUP(B796,'03. THIẾT BỊ'!$B$1:$S$836,18,0),"")</f>
        <v>202410001</v>
      </c>
      <c r="T796" s="622"/>
    </row>
    <row r="797" customHeight="1" spans="1:20">
      <c r="A797" s="19">
        <f t="shared" si="38"/>
        <v>25</v>
      </c>
      <c r="B797" s="20" t="s">
        <v>5398</v>
      </c>
      <c r="C797" s="613">
        <f>IFERROR(VLOOKUP(B797,'03. THIẾT BỊ'!$B$1:$S$836,2,0),"")</f>
        <v>0</v>
      </c>
      <c r="D797" s="24" t="str">
        <f>IFERROR(VLOOKUP(B797,'03. THIẾT BỊ'!$B$1:$S$836,3,0),"")</f>
        <v>A22-TPC-002</v>
      </c>
      <c r="E797" s="20" t="str">
        <f>IFERROR(VLOOKUP(B797,'03. THIẾT BỊ'!$B$1:$S$836,4,0),"")</f>
        <v>MUA MỚI</v>
      </c>
      <c r="F797" s="20" t="str">
        <f>IFERROR(VLOOKUP(B797,'03. THIẾT BỊ'!$B$1:$S$836,5,0),"")</f>
        <v>SMRM trung chuyển phân - CĐC 45M3</v>
      </c>
      <c r="G797" s="101" t="s">
        <v>6468</v>
      </c>
      <c r="H797" s="19" t="str">
        <f>IFERROR(VLOOKUP(B797,'03. THIẾT BỊ'!$B$1:$S$836,7,0),"")</f>
        <v>XN Bò AD</v>
      </c>
      <c r="I797" s="610" t="str">
        <f>IFERROR(VLOOKUP(B797,'03. THIẾT BỊ'!$B$1:$S$836,8,0),"")</f>
        <v>23/12/2025</v>
      </c>
      <c r="J797" s="25"/>
      <c r="K797" s="19" t="str">
        <f>IFERROR(VLOOKUP(B797,'03. THIẾT BỊ'!$B$1:$S$836,10,0),"")</f>
        <v>Bình thường</v>
      </c>
      <c r="L797" s="25">
        <f>IFERROR(VLOOKUP(B797,'03. THIẾT BỊ'!$B$1:$S$836,11,0),"")</f>
        <v>0</v>
      </c>
      <c r="M797" s="24">
        <f>IFERROR(VLOOKUP(B797,'03. THIẾT BỊ'!$B$1:$S$836,12,0),"")</f>
        <v>0</v>
      </c>
      <c r="N797" s="25" t="str">
        <f>IFERROR(VLOOKUP(B797,'03. THIẾT BỊ'!$B$1:$S$836,13,0),"")</f>
        <v>INDUSTRY</v>
      </c>
      <c r="O797" s="24" t="str">
        <f>IFERROR(VLOOKUP(B797,'03. THIẾT BỊ'!$B$1:$S$836,14,0),"")</f>
        <v>45M3</v>
      </c>
      <c r="P797" s="25" t="str">
        <f>IFERROR(VLOOKUP(B797,'03. THIẾT BỊ'!$B$1:$S$836,15,0),"")</f>
        <v>VIET NAM</v>
      </c>
      <c r="Q797" s="23">
        <f>IFERROR(VLOOKUP(B797,'03. THIẾT BỊ'!$B$1:$S$836,16,0),"")</f>
        <v>2025</v>
      </c>
      <c r="R797" s="25" t="str">
        <f>IFERROR(VLOOKUP(B797,'03. THIẾT BỊ'!$B$1:$S$836,17,0),"")</f>
        <v>45M3</v>
      </c>
      <c r="S797" s="25" t="str">
        <f>IFERROR(VLOOKUP(B797,'03. THIẾT BỊ'!$B$1:$S$836,18,0),"")</f>
        <v>RMFNU241ASC001750</v>
      </c>
      <c r="T797" s="622"/>
    </row>
    <row r="798" customHeight="1" spans="1:20">
      <c r="A798" s="19">
        <f t="shared" si="38"/>
        <v>26</v>
      </c>
      <c r="B798" s="20" t="s">
        <v>5402</v>
      </c>
      <c r="C798" s="613">
        <f>IFERROR(VLOOKUP(B798,'03. THIẾT BỊ'!$B$1:$S$836,2,0),"")</f>
        <v>0</v>
      </c>
      <c r="D798" s="24" t="str">
        <f>IFERROR(VLOOKUP(B798,'03. THIẾT BỊ'!$B$1:$S$836,3,0),"")</f>
        <v>A22-TPC-003</v>
      </c>
      <c r="E798" s="20" t="str">
        <f>IFERROR(VLOOKUP(B798,'03. THIẾT BỊ'!$B$1:$S$836,4,0),"")</f>
        <v>MUA MỚI</v>
      </c>
      <c r="F798" s="20" t="str">
        <f>IFERROR(VLOOKUP(B798,'03. THIẾT BỊ'!$B$1:$S$836,5,0),"")</f>
        <v>SMRM trung chuyển phân - CĐC 45M3</v>
      </c>
      <c r="G798" s="101" t="s">
        <v>6468</v>
      </c>
      <c r="H798" s="19" t="str">
        <f>IFERROR(VLOOKUP(B798,'03. THIẾT BỊ'!$B$1:$S$836,7,0),"")</f>
        <v>XN Bò AD</v>
      </c>
      <c r="I798" s="610">
        <f>IFERROR(VLOOKUP(B798,'03. THIẾT BỊ'!$B$1:$S$836,8,0),"")</f>
        <v>46176</v>
      </c>
      <c r="J798" s="25"/>
      <c r="K798" s="19" t="str">
        <f>IFERROR(VLOOKUP(B798,'03. THIẾT BỊ'!$B$1:$S$836,10,0),"")</f>
        <v>Bình thường</v>
      </c>
      <c r="L798" s="25">
        <f>IFERROR(VLOOKUP(B798,'03. THIẾT BỊ'!$B$1:$S$836,11,0),"")</f>
        <v>0</v>
      </c>
      <c r="M798" s="24">
        <f>IFERROR(VLOOKUP(B798,'03. THIẾT BỊ'!$B$1:$S$836,12,0),"")</f>
        <v>0</v>
      </c>
      <c r="N798" s="25" t="str">
        <f>IFERROR(VLOOKUP(B798,'03. THIẾT BỊ'!$B$1:$S$836,13,0),"")</f>
        <v>INDUSTRY</v>
      </c>
      <c r="O798" s="24" t="str">
        <f>IFERROR(VLOOKUP(B798,'03. THIẾT BỊ'!$B$1:$S$836,14,0),"")</f>
        <v>45M3</v>
      </c>
      <c r="P798" s="25" t="str">
        <f>IFERROR(VLOOKUP(B798,'03. THIẾT BỊ'!$B$1:$S$836,15,0),"")</f>
        <v>VIET NAM</v>
      </c>
      <c r="Q798" s="23">
        <f>IFERROR(VLOOKUP(B798,'03. THIẾT BỊ'!$B$1:$S$836,16,0),"")</f>
        <v>2025</v>
      </c>
      <c r="R798" s="25" t="str">
        <f>IFERROR(VLOOKUP(B798,'03. THIẾT BỊ'!$B$1:$S$836,17,0),"")</f>
        <v>45M3</v>
      </c>
      <c r="S798" s="25" t="str">
        <f>IFERROR(VLOOKUP(B798,'03. THIẾT BỊ'!$B$1:$S$836,18,0),"")</f>
        <v>RNONU241ASC002592</v>
      </c>
      <c r="T798" s="622"/>
    </row>
    <row r="799" customHeight="1" spans="1:20">
      <c r="A799" s="19">
        <f t="shared" si="38"/>
        <v>27</v>
      </c>
      <c r="B799" s="20" t="s">
        <v>5405</v>
      </c>
      <c r="C799" s="613">
        <f>IFERROR(VLOOKUP(B799,'03. THIẾT BỊ'!$B$1:$S$836,2,0),"")</f>
        <v>0</v>
      </c>
      <c r="D799" s="24" t="str">
        <f>IFERROR(VLOOKUP(B799,'03. THIẾT BỊ'!$B$1:$S$836,3,0),"")</f>
        <v>A22-TPC-004</v>
      </c>
      <c r="E799" s="20" t="str">
        <f>IFERROR(VLOOKUP(B799,'03. THIẾT BỊ'!$B$1:$S$836,4,0),"")</f>
        <v>MUA MỚI</v>
      </c>
      <c r="F799" s="20" t="str">
        <f>IFERROR(VLOOKUP(B799,'03. THIẾT BỊ'!$B$1:$S$836,5,0),"")</f>
        <v>SMRM trung chuyển phân - CĐC 45M3</v>
      </c>
      <c r="G799" s="101" t="s">
        <v>6468</v>
      </c>
      <c r="H799" s="19" t="str">
        <f>IFERROR(VLOOKUP(B799,'03. THIẾT BỊ'!$B$1:$S$836,7,0),"")</f>
        <v>XN Bò AD</v>
      </c>
      <c r="I799" s="610">
        <f>IFERROR(VLOOKUP(B799,'03. THIẾT BỊ'!$B$1:$S$836,8,0),"")</f>
        <v>46176</v>
      </c>
      <c r="J799" s="25"/>
      <c r="K799" s="19" t="str">
        <f>IFERROR(VLOOKUP(B799,'03. THIẾT BỊ'!$B$1:$S$836,10,0),"")</f>
        <v>Bình thường</v>
      </c>
      <c r="L799" s="25">
        <f>IFERROR(VLOOKUP(B799,'03. THIẾT BỊ'!$B$1:$S$836,11,0),"")</f>
        <v>0</v>
      </c>
      <c r="M799" s="24">
        <f>IFERROR(VLOOKUP(B799,'03. THIẾT BỊ'!$B$1:$S$836,12,0),"")</f>
        <v>0</v>
      </c>
      <c r="N799" s="25" t="str">
        <f>IFERROR(VLOOKUP(B799,'03. THIẾT BỊ'!$B$1:$S$836,13,0),"")</f>
        <v>INDUSTRY</v>
      </c>
      <c r="O799" s="24" t="str">
        <f>IFERROR(VLOOKUP(B799,'03. THIẾT BỊ'!$B$1:$S$836,14,0),"")</f>
        <v>45M3</v>
      </c>
      <c r="P799" s="25" t="str">
        <f>IFERROR(VLOOKUP(B799,'03. THIẾT BỊ'!$B$1:$S$836,15,0),"")</f>
        <v>VIET NAM</v>
      </c>
      <c r="Q799" s="23">
        <f>IFERROR(VLOOKUP(B799,'03. THIẾT BỊ'!$B$1:$S$836,16,0),"")</f>
        <v>2025</v>
      </c>
      <c r="R799" s="25" t="str">
        <f>IFERROR(VLOOKUP(B799,'03. THIẾT BỊ'!$B$1:$S$836,17,0),"")</f>
        <v>45M3</v>
      </c>
      <c r="S799" s="25" t="str">
        <f>IFERROR(VLOOKUP(B799,'03. THIẾT BỊ'!$B$1:$S$836,18,0),"")</f>
        <v>RNONU241ASC002593</v>
      </c>
      <c r="T799" s="622"/>
    </row>
    <row r="800" customHeight="1" spans="1:20">
      <c r="A800" s="19">
        <f t="shared" si="38"/>
        <v>28</v>
      </c>
      <c r="B800" s="20" t="s">
        <v>5408</v>
      </c>
      <c r="C800" s="613">
        <f>IFERROR(VLOOKUP(B800,'03. THIẾT BỊ'!$B$1:$S$836,2,0),"")</f>
        <v>0</v>
      </c>
      <c r="D800" s="24" t="str">
        <f>IFERROR(VLOOKUP(B800,'03. THIẾT BỊ'!$B$1:$S$836,3,0),"")</f>
        <v>A22-TPC-005</v>
      </c>
      <c r="E800" s="20" t="str">
        <f>IFERROR(VLOOKUP(B800,'03. THIẾT BỊ'!$B$1:$S$836,4,0),"")</f>
        <v>MUA MỚI</v>
      </c>
      <c r="F800" s="20" t="str">
        <f>IFERROR(VLOOKUP(B800,'03. THIẾT BỊ'!$B$1:$S$836,5,0),"")</f>
        <v>SMRM trung chuyển phân - CĐC 45M3</v>
      </c>
      <c r="G800" s="101" t="s">
        <v>6468</v>
      </c>
      <c r="H800" s="19" t="str">
        <f>IFERROR(VLOOKUP(B800,'03. THIẾT BỊ'!$B$1:$S$836,7,0),"")</f>
        <v>XN Bò AD</v>
      </c>
      <c r="I800" s="610">
        <f>IFERROR(VLOOKUP(B800,'03. THIẾT BỊ'!$B$1:$S$836,8,0),"")</f>
        <v>46267</v>
      </c>
      <c r="J800" s="25"/>
      <c r="K800" s="19" t="str">
        <f>IFERROR(VLOOKUP(B800,'03. THIẾT BỊ'!$B$1:$S$836,10,0),"")</f>
        <v>Bình thường</v>
      </c>
      <c r="L800" s="25">
        <f>IFERROR(VLOOKUP(B800,'03. THIẾT BỊ'!$B$1:$S$836,11,0),"")</f>
        <v>0</v>
      </c>
      <c r="M800" s="24">
        <f>IFERROR(VLOOKUP(B800,'03. THIẾT BỊ'!$B$1:$S$836,12,0),"")</f>
        <v>0</v>
      </c>
      <c r="N800" s="25" t="str">
        <f>IFERROR(VLOOKUP(B800,'03. THIẾT BỊ'!$B$1:$S$836,13,0),"")</f>
        <v>INDUSTRY</v>
      </c>
      <c r="O800" s="24" t="str">
        <f>IFERROR(VLOOKUP(B800,'03. THIẾT BỊ'!$B$1:$S$836,14,0),"")</f>
        <v>45M3</v>
      </c>
      <c r="P800" s="25" t="str">
        <f>IFERROR(VLOOKUP(B800,'03. THIẾT BỊ'!$B$1:$S$836,15,0),"")</f>
        <v>VIET NAM</v>
      </c>
      <c r="Q800" s="23">
        <f>IFERROR(VLOOKUP(B800,'03. THIẾT BỊ'!$B$1:$S$836,16,0),"")</f>
        <v>2025</v>
      </c>
      <c r="R800" s="25" t="str">
        <f>IFERROR(VLOOKUP(B800,'03. THIẾT BỊ'!$B$1:$S$836,17,0),"")</f>
        <v>45M3</v>
      </c>
      <c r="S800" s="25" t="str">
        <f>IFERROR(VLOOKUP(B800,'03. THIẾT BỊ'!$B$1:$S$836,18,0),"")</f>
        <v>RNONU241ASC002594</v>
      </c>
      <c r="T800" s="622"/>
    </row>
    <row r="801" customHeight="1" spans="1:20">
      <c r="A801" s="19">
        <f t="shared" si="38"/>
        <v>29</v>
      </c>
      <c r="B801" s="20" t="s">
        <v>5411</v>
      </c>
      <c r="C801" s="613">
        <f>IFERROR(VLOOKUP(B801,'03. THIẾT BỊ'!$B$1:$S$836,2,0),"")</f>
        <v>0</v>
      </c>
      <c r="D801" s="24" t="str">
        <f>IFERROR(VLOOKUP(B801,'03. THIẾT BỊ'!$B$1:$S$836,3,0),"")</f>
        <v>A22-TPC-006</v>
      </c>
      <c r="E801" s="20" t="str">
        <f>IFERROR(VLOOKUP(B801,'03. THIẾT BỊ'!$B$1:$S$836,4,0),"")</f>
        <v>MUA MỚI</v>
      </c>
      <c r="F801" s="20" t="str">
        <f>IFERROR(VLOOKUP(B801,'03. THIẾT BỊ'!$B$1:$S$836,5,0),"")</f>
        <v>SMRM trung chuyển phân - CĐC 45M3</v>
      </c>
      <c r="G801" s="101" t="s">
        <v>6468</v>
      </c>
      <c r="H801" s="19" t="str">
        <f>IFERROR(VLOOKUP(B801,'03. THIẾT BỊ'!$B$1:$S$836,7,0),"")</f>
        <v>XN Bò AD</v>
      </c>
      <c r="I801" s="610">
        <f>IFERROR(VLOOKUP(B801,'03. THIẾT BỊ'!$B$1:$S$836,8,0),"")</f>
        <v>46176</v>
      </c>
      <c r="J801" s="25"/>
      <c r="K801" s="19" t="str">
        <f>IFERROR(VLOOKUP(B801,'03. THIẾT BỊ'!$B$1:$S$836,10,0),"")</f>
        <v>Bình thường</v>
      </c>
      <c r="L801" s="25">
        <f>IFERROR(VLOOKUP(B801,'03. THIẾT BỊ'!$B$1:$S$836,11,0),"")</f>
        <v>0</v>
      </c>
      <c r="M801" s="24">
        <f>IFERROR(VLOOKUP(B801,'03. THIẾT BỊ'!$B$1:$S$836,12,0),"")</f>
        <v>0</v>
      </c>
      <c r="N801" s="25" t="str">
        <f>IFERROR(VLOOKUP(B801,'03. THIẾT BỊ'!$B$1:$S$836,13,0),"")</f>
        <v>INDUSTRY</v>
      </c>
      <c r="O801" s="24" t="str">
        <f>IFERROR(VLOOKUP(B801,'03. THIẾT BỊ'!$B$1:$S$836,14,0),"")</f>
        <v>45M3</v>
      </c>
      <c r="P801" s="25" t="str">
        <f>IFERROR(VLOOKUP(B801,'03. THIẾT BỊ'!$B$1:$S$836,15,0),"")</f>
        <v>VIET NAM</v>
      </c>
      <c r="Q801" s="23">
        <f>IFERROR(VLOOKUP(B801,'03. THIẾT BỊ'!$B$1:$S$836,16,0),"")</f>
        <v>2025</v>
      </c>
      <c r="R801" s="25" t="str">
        <f>IFERROR(VLOOKUP(B801,'03. THIẾT BỊ'!$B$1:$S$836,17,0),"")</f>
        <v>45M3</v>
      </c>
      <c r="S801" s="25" t="str">
        <f>IFERROR(VLOOKUP(B801,'03. THIẾT BỊ'!$B$1:$S$836,18,0),"")</f>
        <v>RNONU241ASC002595</v>
      </c>
      <c r="T801" s="622"/>
    </row>
    <row r="802" customHeight="1" spans="1:20">
      <c r="A802" s="19">
        <f t="shared" si="38"/>
        <v>30</v>
      </c>
      <c r="B802" s="20" t="s">
        <v>5414</v>
      </c>
      <c r="C802" s="613">
        <f>IFERROR(VLOOKUP(B802,'03. THIẾT BỊ'!$B$1:$S$836,2,0),"")</f>
        <v>0</v>
      </c>
      <c r="D802" s="24" t="str">
        <f>IFERROR(VLOOKUP(B802,'03. THIẾT BỊ'!$B$1:$S$836,3,0),"")</f>
        <v>A22-TPC-007</v>
      </c>
      <c r="E802" s="20" t="str">
        <f>IFERROR(VLOOKUP(B802,'03. THIẾT BỊ'!$B$1:$S$836,4,0),"")</f>
        <v>MUA MỚI</v>
      </c>
      <c r="F802" s="20" t="str">
        <f>IFERROR(VLOOKUP(B802,'03. THIẾT BỊ'!$B$1:$S$836,5,0),"")</f>
        <v>SMRM trung chuyển phân - CĐC 45M3</v>
      </c>
      <c r="G802" s="101" t="s">
        <v>6468</v>
      </c>
      <c r="H802" s="19" t="str">
        <f>IFERROR(VLOOKUP(B802,'03. THIẾT BỊ'!$B$1:$S$836,7,0),"")</f>
        <v>XN Bò AD</v>
      </c>
      <c r="I802" s="610">
        <f>IFERROR(VLOOKUP(B802,'03. THIẾT BỊ'!$B$1:$S$836,8,0),"")</f>
        <v>46176</v>
      </c>
      <c r="J802" s="25"/>
      <c r="K802" s="19" t="str">
        <f>IFERROR(VLOOKUP(B802,'03. THIẾT BỊ'!$B$1:$S$836,10,0),"")</f>
        <v>Bình thường</v>
      </c>
      <c r="L802" s="25">
        <f>IFERROR(VLOOKUP(B802,'03. THIẾT BỊ'!$B$1:$S$836,11,0),"")</f>
        <v>0</v>
      </c>
      <c r="M802" s="24">
        <f>IFERROR(VLOOKUP(B802,'03. THIẾT BỊ'!$B$1:$S$836,12,0),"")</f>
        <v>0</v>
      </c>
      <c r="N802" s="25" t="str">
        <f>IFERROR(VLOOKUP(B802,'03. THIẾT BỊ'!$B$1:$S$836,13,0),"")</f>
        <v>INDUSTRY</v>
      </c>
      <c r="O802" s="24" t="str">
        <f>IFERROR(VLOOKUP(B802,'03. THIẾT BỊ'!$B$1:$S$836,14,0),"")</f>
        <v>45M3</v>
      </c>
      <c r="P802" s="25" t="str">
        <f>IFERROR(VLOOKUP(B802,'03. THIẾT BỊ'!$B$1:$S$836,15,0),"")</f>
        <v>VIET NAM</v>
      </c>
      <c r="Q802" s="23">
        <f>IFERROR(VLOOKUP(B802,'03. THIẾT BỊ'!$B$1:$S$836,16,0),"")</f>
        <v>2025</v>
      </c>
      <c r="R802" s="25" t="str">
        <f>IFERROR(VLOOKUP(B802,'03. THIẾT BỊ'!$B$1:$S$836,17,0),"")</f>
        <v>45M3</v>
      </c>
      <c r="S802" s="25" t="str">
        <f>IFERROR(VLOOKUP(B802,'03. THIẾT BỊ'!$B$1:$S$836,18,0),"")</f>
        <v>RNONU241ASC002596</v>
      </c>
      <c r="T802" s="622"/>
    </row>
    <row r="803" customHeight="1" spans="1:20">
      <c r="A803" s="19">
        <f t="shared" si="38"/>
        <v>31</v>
      </c>
      <c r="B803" s="20" t="s">
        <v>5417</v>
      </c>
      <c r="C803" s="613">
        <f>IFERROR(VLOOKUP(B803,'03. THIẾT BỊ'!$B$1:$S$836,2,0),"")</f>
        <v>0</v>
      </c>
      <c r="D803" s="24" t="str">
        <f>IFERROR(VLOOKUP(B803,'03. THIẾT BỊ'!$B$1:$S$836,3,0),"")</f>
        <v>A22-TPC-008</v>
      </c>
      <c r="E803" s="20" t="str">
        <f>IFERROR(VLOOKUP(B803,'03. THIẾT BỊ'!$B$1:$S$836,4,0),"")</f>
        <v>MUA MỚI</v>
      </c>
      <c r="F803" s="20" t="str">
        <f>IFERROR(VLOOKUP(B803,'03. THIẾT BỊ'!$B$1:$S$836,5,0),"")</f>
        <v>SMRM trung chuyển phân - CĐC 45M3</v>
      </c>
      <c r="G803" s="101" t="s">
        <v>6468</v>
      </c>
      <c r="H803" s="19" t="str">
        <f>IFERROR(VLOOKUP(B803,'03. THIẾT BỊ'!$B$1:$S$836,7,0),"")</f>
        <v>XN Bò AD</v>
      </c>
      <c r="I803" s="610">
        <f>IFERROR(VLOOKUP(B803,'03. THIẾT BỊ'!$B$1:$S$836,8,0),"")</f>
        <v>46176</v>
      </c>
      <c r="J803" s="25"/>
      <c r="K803" s="19" t="str">
        <f>IFERROR(VLOOKUP(B803,'03. THIẾT BỊ'!$B$1:$S$836,10,0),"")</f>
        <v>Bình thường</v>
      </c>
      <c r="L803" s="25">
        <f>IFERROR(VLOOKUP(B803,'03. THIẾT BỊ'!$B$1:$S$836,11,0),"")</f>
        <v>0</v>
      </c>
      <c r="M803" s="24">
        <f>IFERROR(VLOOKUP(B803,'03. THIẾT BỊ'!$B$1:$S$836,12,0),"")</f>
        <v>0</v>
      </c>
      <c r="N803" s="25" t="str">
        <f>IFERROR(VLOOKUP(B803,'03. THIẾT BỊ'!$B$1:$S$836,13,0),"")</f>
        <v>INDUSTRY</v>
      </c>
      <c r="O803" s="24" t="str">
        <f>IFERROR(VLOOKUP(B803,'03. THIẾT BỊ'!$B$1:$S$836,14,0),"")</f>
        <v>45M3</v>
      </c>
      <c r="P803" s="25" t="str">
        <f>IFERROR(VLOOKUP(B803,'03. THIẾT BỊ'!$B$1:$S$836,15,0),"")</f>
        <v>VIET NAM</v>
      </c>
      <c r="Q803" s="23">
        <f>IFERROR(VLOOKUP(B803,'03. THIẾT BỊ'!$B$1:$S$836,16,0),"")</f>
        <v>2025</v>
      </c>
      <c r="R803" s="25" t="str">
        <f>IFERROR(VLOOKUP(B803,'03. THIẾT BỊ'!$B$1:$S$836,17,0),"")</f>
        <v>45M3</v>
      </c>
      <c r="S803" s="25" t="str">
        <f>IFERROR(VLOOKUP(B803,'03. THIẾT BỊ'!$B$1:$S$836,18,0),"")</f>
        <v>RNONU241ASC002598</v>
      </c>
      <c r="T803" s="622"/>
    </row>
    <row r="804" customHeight="1" spans="1:20">
      <c r="A804" s="19">
        <f t="shared" si="38"/>
        <v>32</v>
      </c>
      <c r="B804" s="20" t="s">
        <v>5420</v>
      </c>
      <c r="C804" s="613">
        <f>IFERROR(VLOOKUP(B804,'03. THIẾT BỊ'!$B$1:$S$836,2,0),"")</f>
        <v>0</v>
      </c>
      <c r="D804" s="24" t="str">
        <f>IFERROR(VLOOKUP(B804,'03. THIẾT BỊ'!$B$1:$S$836,3,0),"")</f>
        <v>A22-TPC-009</v>
      </c>
      <c r="E804" s="20" t="str">
        <f>IFERROR(VLOOKUP(B804,'03. THIẾT BỊ'!$B$1:$S$836,4,0),"")</f>
        <v>MUA MỚI</v>
      </c>
      <c r="F804" s="20" t="str">
        <f>IFERROR(VLOOKUP(B804,'03. THIẾT BỊ'!$B$1:$S$836,5,0),"")</f>
        <v>SMRM trung chuyển phân - CĐC 45M3</v>
      </c>
      <c r="G804" s="101" t="s">
        <v>6468</v>
      </c>
      <c r="H804" s="19" t="str">
        <f>IFERROR(VLOOKUP(B804,'03. THIẾT BỊ'!$B$1:$S$836,7,0),"")</f>
        <v>XN Bò AD</v>
      </c>
      <c r="I804" s="610">
        <f>IFERROR(VLOOKUP(B804,'03. THIẾT BỊ'!$B$1:$S$836,8,0),"")</f>
        <v>46176</v>
      </c>
      <c r="J804" s="25"/>
      <c r="K804" s="19" t="str">
        <f>IFERROR(VLOOKUP(B804,'03. THIẾT BỊ'!$B$1:$S$836,10,0),"")</f>
        <v>Bình thường</v>
      </c>
      <c r="L804" s="25">
        <f>IFERROR(VLOOKUP(B804,'03. THIẾT BỊ'!$B$1:$S$836,11,0),"")</f>
        <v>0</v>
      </c>
      <c r="M804" s="24">
        <f>IFERROR(VLOOKUP(B804,'03. THIẾT BỊ'!$B$1:$S$836,12,0),"")</f>
        <v>0</v>
      </c>
      <c r="N804" s="25" t="str">
        <f>IFERROR(VLOOKUP(B804,'03. THIẾT BỊ'!$B$1:$S$836,13,0),"")</f>
        <v>INDUSTRY</v>
      </c>
      <c r="O804" s="24" t="str">
        <f>IFERROR(VLOOKUP(B804,'03. THIẾT BỊ'!$B$1:$S$836,14,0),"")</f>
        <v>45M3</v>
      </c>
      <c r="P804" s="25" t="str">
        <f>IFERROR(VLOOKUP(B804,'03. THIẾT BỊ'!$B$1:$S$836,15,0),"")</f>
        <v>VIET NAM</v>
      </c>
      <c r="Q804" s="23">
        <f>IFERROR(VLOOKUP(B804,'03. THIẾT BỊ'!$B$1:$S$836,16,0),"")</f>
        <v>2025</v>
      </c>
      <c r="R804" s="25" t="str">
        <f>IFERROR(VLOOKUP(B804,'03. THIẾT BỊ'!$B$1:$S$836,17,0),"")</f>
        <v>45M3</v>
      </c>
      <c r="S804" s="25" t="str">
        <f>IFERROR(VLOOKUP(B804,'03. THIẾT BỊ'!$B$1:$S$836,18,0),"")</f>
        <v>RNONU241ASC002599</v>
      </c>
      <c r="T804" s="622"/>
    </row>
    <row r="805" customHeight="1" spans="1:20">
      <c r="A805" s="19">
        <f t="shared" si="38"/>
        <v>33</v>
      </c>
      <c r="B805" s="20" t="s">
        <v>5423</v>
      </c>
      <c r="C805" s="613">
        <f>IFERROR(VLOOKUP(B805,'03. THIẾT BỊ'!$B$1:$S$836,2,0),"")</f>
        <v>0</v>
      </c>
      <c r="D805" s="24" t="str">
        <f>IFERROR(VLOOKUP(B805,'03. THIẾT BỊ'!$B$1:$S$836,3,0),"")</f>
        <v>A22-TPC-010</v>
      </c>
      <c r="E805" s="20" t="str">
        <f>IFERROR(VLOOKUP(B805,'03. THIẾT BỊ'!$B$1:$S$836,4,0),"")</f>
        <v>MUA MỚI</v>
      </c>
      <c r="F805" s="20" t="str">
        <f>IFERROR(VLOOKUP(B805,'03. THIẾT BỊ'!$B$1:$S$836,5,0),"")</f>
        <v>SMRM trung chuyển phân - CĐC 45M3</v>
      </c>
      <c r="G805" s="101" t="s">
        <v>6468</v>
      </c>
      <c r="H805" s="19" t="str">
        <f>IFERROR(VLOOKUP(B805,'03. THIẾT BỊ'!$B$1:$S$836,7,0),"")</f>
        <v>XN Bò AD</v>
      </c>
      <c r="I805" s="610">
        <f>IFERROR(VLOOKUP(B805,'03. THIẾT BỊ'!$B$1:$S$836,8,0),"")</f>
        <v>46176</v>
      </c>
      <c r="J805" s="25"/>
      <c r="K805" s="19" t="str">
        <f>IFERROR(VLOOKUP(B805,'03. THIẾT BỊ'!$B$1:$S$836,10,0),"")</f>
        <v>Bình thường</v>
      </c>
      <c r="L805" s="25">
        <f>IFERROR(VLOOKUP(B805,'03. THIẾT BỊ'!$B$1:$S$836,11,0),"")</f>
        <v>0</v>
      </c>
      <c r="M805" s="24">
        <f>IFERROR(VLOOKUP(B805,'03. THIẾT BỊ'!$B$1:$S$836,12,0),"")</f>
        <v>0</v>
      </c>
      <c r="N805" s="25" t="str">
        <f>IFERROR(VLOOKUP(B805,'03. THIẾT BỊ'!$B$1:$S$836,13,0),"")</f>
        <v>INDUSTRY</v>
      </c>
      <c r="O805" s="24" t="str">
        <f>IFERROR(VLOOKUP(B805,'03. THIẾT BỊ'!$B$1:$S$836,14,0),"")</f>
        <v>45M3</v>
      </c>
      <c r="P805" s="25" t="str">
        <f>IFERROR(VLOOKUP(B805,'03. THIẾT BỊ'!$B$1:$S$836,15,0),"")</f>
        <v>VIET NAM</v>
      </c>
      <c r="Q805" s="23">
        <f>IFERROR(VLOOKUP(B805,'03. THIẾT BỊ'!$B$1:$S$836,16,0),"")</f>
        <v>2025</v>
      </c>
      <c r="R805" s="25" t="str">
        <f>IFERROR(VLOOKUP(B805,'03. THIẾT BỊ'!$B$1:$S$836,17,0),"")</f>
        <v>45M3</v>
      </c>
      <c r="S805" s="25" t="str">
        <f>IFERROR(VLOOKUP(B805,'03. THIẾT BỊ'!$B$1:$S$836,18,0),"")</f>
        <v>RNONU241ASC002600</v>
      </c>
      <c r="T805" s="622"/>
    </row>
    <row r="806" customHeight="1" spans="1:20">
      <c r="A806" s="19"/>
      <c r="B806" s="20"/>
      <c r="C806" s="613" t="str">
        <f>IFERROR(VLOOKUP(B806,'03. THIẾT BỊ'!$B$1:$S$836,2,0),"")</f>
        <v/>
      </c>
      <c r="D806" s="24" t="str">
        <f>IFERROR(VLOOKUP(B806,'03. THIẾT BỊ'!$B$1:$S$836,3,0),"")</f>
        <v/>
      </c>
      <c r="E806" s="20" t="str">
        <f>IFERROR(VLOOKUP(B806,'03. THIẾT BỊ'!$B$1:$S$836,4,0),"")</f>
        <v/>
      </c>
      <c r="F806" s="20" t="str">
        <f>IFERROR(VLOOKUP(B806,'03. THIẾT BỊ'!$B$1:$S$836,5,0),"")</f>
        <v/>
      </c>
      <c r="G806" s="101" t="s">
        <v>6468</v>
      </c>
      <c r="H806" s="19" t="str">
        <f>IFERROR(VLOOKUP(B806,'03. THIẾT BỊ'!$B$1:$S$836,7,0),"")</f>
        <v/>
      </c>
      <c r="I806" s="610" t="str">
        <f>IFERROR(VLOOKUP(B806,'03. THIẾT BỊ'!$B$1:$S$836,8,0),"")</f>
        <v/>
      </c>
      <c r="J806" s="25"/>
      <c r="K806" s="19" t="str">
        <f>IFERROR(VLOOKUP(B806,'03. THIẾT BỊ'!$B$1:$S$836,10,0),"")</f>
        <v/>
      </c>
      <c r="L806" s="25" t="str">
        <f>IFERROR(VLOOKUP(B806,'03. THIẾT BỊ'!$B$1:$S$836,11,0),"")</f>
        <v/>
      </c>
      <c r="M806" s="24" t="str">
        <f>IFERROR(VLOOKUP(B806,'03. THIẾT BỊ'!$B$1:$S$836,12,0),"")</f>
        <v/>
      </c>
      <c r="N806" s="25" t="str">
        <f>IFERROR(VLOOKUP(B806,'03. THIẾT BỊ'!$B$1:$S$836,13,0),"")</f>
        <v/>
      </c>
      <c r="O806" s="24" t="str">
        <f>IFERROR(VLOOKUP(B806,'03. THIẾT BỊ'!$B$1:$S$836,14,0),"")</f>
        <v/>
      </c>
      <c r="P806" s="25" t="str">
        <f>IFERROR(VLOOKUP(B806,'03. THIẾT BỊ'!$B$1:$S$836,15,0),"")</f>
        <v/>
      </c>
      <c r="Q806" s="23" t="str">
        <f>IFERROR(VLOOKUP(B806,'03. THIẾT BỊ'!$B$1:$S$836,16,0),"")</f>
        <v/>
      </c>
      <c r="R806" s="25" t="str">
        <f>IFERROR(VLOOKUP(B806,'03. THIẾT BỊ'!$B$1:$S$836,17,0),"")</f>
        <v/>
      </c>
      <c r="S806" s="25" t="str">
        <f>IFERROR(VLOOKUP(B806,'03. THIẾT BỊ'!$B$1:$S$836,18,0),"")</f>
        <v/>
      </c>
      <c r="T806" s="622"/>
    </row>
    <row r="807" customHeight="1" spans="1:20">
      <c r="A807" s="19"/>
      <c r="B807" s="20"/>
      <c r="C807" s="613" t="str">
        <f>IFERROR(VLOOKUP(B807,'03. THIẾT BỊ'!$B$1:$S$836,2,0),"")</f>
        <v/>
      </c>
      <c r="D807" s="24" t="str">
        <f>IFERROR(VLOOKUP(B807,'03. THIẾT BỊ'!$B$1:$S$836,3,0),"")</f>
        <v/>
      </c>
      <c r="E807" s="20" t="str">
        <f>IFERROR(VLOOKUP(B807,'03. THIẾT BỊ'!$B$1:$S$836,4,0),"")</f>
        <v/>
      </c>
      <c r="F807" s="20" t="str">
        <f>IFERROR(VLOOKUP(B807,'03. THIẾT BỊ'!$B$1:$S$836,5,0),"")</f>
        <v/>
      </c>
      <c r="G807" s="101" t="s">
        <v>6468</v>
      </c>
      <c r="H807" s="19" t="str">
        <f>IFERROR(VLOOKUP(B807,'03. THIẾT BỊ'!$B$1:$S$836,7,0),"")</f>
        <v/>
      </c>
      <c r="I807" s="610" t="str">
        <f>IFERROR(VLOOKUP(B807,'03. THIẾT BỊ'!$B$1:$S$836,8,0),"")</f>
        <v/>
      </c>
      <c r="J807" s="25"/>
      <c r="K807" s="19" t="str">
        <f>IFERROR(VLOOKUP(B807,'03. THIẾT BỊ'!$B$1:$S$836,10,0),"")</f>
        <v/>
      </c>
      <c r="L807" s="25" t="str">
        <f>IFERROR(VLOOKUP(B807,'03. THIẾT BỊ'!$B$1:$S$836,11,0),"")</f>
        <v/>
      </c>
      <c r="M807" s="24" t="str">
        <f>IFERROR(VLOOKUP(B807,'03. THIẾT BỊ'!$B$1:$S$836,12,0),"")</f>
        <v/>
      </c>
      <c r="N807" s="25" t="str">
        <f>IFERROR(VLOOKUP(B807,'03. THIẾT BỊ'!$B$1:$S$836,13,0),"")</f>
        <v/>
      </c>
      <c r="O807" s="24" t="str">
        <f>IFERROR(VLOOKUP(B807,'03. THIẾT BỊ'!$B$1:$S$836,14,0),"")</f>
        <v/>
      </c>
      <c r="P807" s="25" t="str">
        <f>IFERROR(VLOOKUP(B807,'03. THIẾT BỊ'!$B$1:$S$836,15,0),"")</f>
        <v/>
      </c>
      <c r="Q807" s="23" t="str">
        <f>IFERROR(VLOOKUP(B807,'03. THIẾT BỊ'!$B$1:$S$836,16,0),"")</f>
        <v/>
      </c>
      <c r="R807" s="25" t="str">
        <f>IFERROR(VLOOKUP(B807,'03. THIẾT BỊ'!$B$1:$S$836,17,0),"")</f>
        <v/>
      </c>
      <c r="S807" s="25" t="str">
        <f>IFERROR(VLOOKUP(B807,'03. THIẾT BỊ'!$B$1:$S$836,18,0),"")</f>
        <v/>
      </c>
      <c r="T807" s="622"/>
    </row>
    <row r="808" customHeight="1" spans="1:20">
      <c r="A808" s="14" t="s">
        <v>290</v>
      </c>
      <c r="B808" s="15" t="s">
        <v>6472</v>
      </c>
      <c r="C808" s="14">
        <f>COUNTA(B809:B829)</f>
        <v>20</v>
      </c>
      <c r="D808" s="17" t="str">
        <f>IFERROR(VLOOKUP(B808,'03. THIẾT BỊ'!$B$1:$S$836,3,0),"")</f>
        <v/>
      </c>
      <c r="E808" s="20" t="str">
        <f>IFERROR(VLOOKUP(B808,'03. THIẾT BỊ'!$B$1:$S$836,4,0),"")</f>
        <v/>
      </c>
      <c r="F808" s="17" t="str">
        <f>IFERROR(VLOOKUP(B808,'03. THIẾT BỊ'!$B$1:$S$836,5,0),"")</f>
        <v/>
      </c>
      <c r="G808" s="18" t="s">
        <v>6468</v>
      </c>
      <c r="H808" s="18" t="str">
        <f>IFERROR(VLOOKUP(B808,'03. THIẾT BỊ'!$B$1:$S$836,7,0),"")</f>
        <v/>
      </c>
      <c r="I808" s="14" t="str">
        <f>IFERROR(VLOOKUP(B808,'03. THIẾT BỊ'!$B$1:$S$836,8,0),"")</f>
        <v/>
      </c>
      <c r="J808" s="15"/>
      <c r="K808" s="14" t="str">
        <f>IFERROR(VLOOKUP(B808,'03. THIẾT BỊ'!$B$1:$S$836,10,0),"")</f>
        <v/>
      </c>
      <c r="L808" s="17" t="str">
        <f>IFERROR(VLOOKUP(B808,'03. THIẾT BỊ'!$B$1:$S$836,11,0),"")</f>
        <v/>
      </c>
      <c r="M808" s="16" t="str">
        <f>IFERROR(VLOOKUP(B808,'03. THIẾT BỊ'!$B$1:$S$836,12,0),"")</f>
        <v/>
      </c>
      <c r="N808" s="17" t="str">
        <f>IFERROR(VLOOKUP(B808,'03. THIẾT BỊ'!$B$1:$S$836,13,0),"")</f>
        <v/>
      </c>
      <c r="O808" s="16" t="str">
        <f>IFERROR(VLOOKUP(B808,'03. THIẾT BỊ'!$B$1:$S$836,14,0),"")</f>
        <v/>
      </c>
      <c r="P808" s="17" t="str">
        <f>IFERROR(VLOOKUP(B808,'03. THIẾT BỊ'!$B$1:$S$836,15,0),"")</f>
        <v/>
      </c>
      <c r="Q808" s="18" t="str">
        <f>IFERROR(VLOOKUP(B808,'03. THIẾT BỊ'!$B$1:$S$836,16,0),"")</f>
        <v/>
      </c>
      <c r="R808" s="17" t="str">
        <f>IFERROR(VLOOKUP(B808,'03. THIẾT BỊ'!$B$1:$S$836,17,0),"")</f>
        <v/>
      </c>
      <c r="S808" s="17" t="str">
        <f>IFERROR(VLOOKUP(B808,'03. THIẾT BỊ'!$B$1:$S$836,18,0),"")</f>
        <v/>
      </c>
      <c r="T808" s="609"/>
    </row>
    <row r="809" customHeight="1" spans="1:20">
      <c r="A809" s="19">
        <v>1</v>
      </c>
      <c r="B809" s="20" t="s">
        <v>3912</v>
      </c>
      <c r="C809" s="613">
        <f>IFERROR(VLOOKUP(B809,'03. THIẾT BỊ'!$B$1:$S$836,2,0),"")</f>
        <v>0</v>
      </c>
      <c r="D809" s="24" t="str">
        <f>IFERROR(VLOOKUP(B809,'03. THIẾT BỊ'!$B$1:$S$836,3,0),"")</f>
        <v>A23-PKK-001</v>
      </c>
      <c r="E809" s="20" t="str">
        <f>IFERROR(VLOOKUP(B809,'03. THIẾT BỊ'!$B$1:$S$836,4,0),"")</f>
        <v>ĐQSD</v>
      </c>
      <c r="F809" s="20" t="str">
        <f>IFERROR(VLOOKUP(B809,'03. THIẾT BỊ'!$B$1:$S$836,5,0),"")</f>
        <v>Thiết bị phun khử khuẩn</v>
      </c>
      <c r="G809" s="101" t="s">
        <v>6468</v>
      </c>
      <c r="H809" s="19" t="str">
        <f>IFERROR(VLOOKUP(B809,'03. THIẾT BỊ'!$B$1:$S$836,7,0),"")</f>
        <v>CGLĐ DP</v>
      </c>
      <c r="I809" s="610">
        <f>IFERROR(VLOOKUP(B809,'03. THIẾT BỊ'!$B$1:$S$836,8,0),"")</f>
        <v>0</v>
      </c>
      <c r="J809" s="25"/>
      <c r="K809" s="19" t="str">
        <f>IFERROR(VLOOKUP(B809,'03. THIẾT BỊ'!$B$1:$S$836,10,0),"")</f>
        <v>Bình thường</v>
      </c>
      <c r="L809" s="25">
        <f>IFERROR(VLOOKUP(B809,'03. THIẾT BỊ'!$B$1:$S$836,11,0),"")</f>
        <v>0</v>
      </c>
      <c r="M809" s="24">
        <f>IFERROR(VLOOKUP(B809,'03. THIẾT BỊ'!$B$1:$S$836,12,0),"")</f>
        <v>0</v>
      </c>
      <c r="N809" s="25" t="str">
        <f>IFERROR(VLOOKUP(B809,'03. THIẾT BỊ'!$B$1:$S$836,13,0),"")</f>
        <v>TRUNG QUỐC</v>
      </c>
      <c r="O809" s="24">
        <f>IFERROR(VLOOKUP(B809,'03. THIẾT BỊ'!$B$1:$S$836,14,0),"")</f>
        <v>0</v>
      </c>
      <c r="P809" s="25" t="str">
        <f>IFERROR(VLOOKUP(B809,'03. THIẾT BỊ'!$B$1:$S$836,15,0),"")</f>
        <v>TRUNG QUỐC</v>
      </c>
      <c r="Q809" s="23">
        <f>IFERROR(VLOOKUP(B809,'03. THIẾT BỊ'!$B$1:$S$836,16,0),"")</f>
        <v>0</v>
      </c>
      <c r="R809" s="25">
        <f>IFERROR(VLOOKUP(B809,'03. THIẾT BỊ'!$B$1:$S$836,17,0),"")</f>
        <v>0</v>
      </c>
      <c r="S809" s="25">
        <f>IFERROR(VLOOKUP(B809,'03. THIẾT BỊ'!$B$1:$S$836,18,0),"")</f>
        <v>0</v>
      </c>
      <c r="T809" s="41"/>
    </row>
    <row r="810" customHeight="1" spans="1:20">
      <c r="A810" s="19">
        <v>2</v>
      </c>
      <c r="B810" s="20" t="s">
        <v>4138</v>
      </c>
      <c r="C810" s="613" t="str">
        <f>IFERROR(VLOOKUP(B810,'03. THIẾT BỊ'!$B$1:$S$836,2,0),"")</f>
        <v>CK-DUL-01</v>
      </c>
      <c r="D810" s="24" t="str">
        <f>IFERROR(VLOOKUP(B810,'03. THIẾT BỊ'!$B$1:$S$836,3,0),"")</f>
        <v>A24-DUL-001</v>
      </c>
      <c r="E810" s="20" t="str">
        <f>IFERROR(VLOOKUP(B810,'03. THIẾT BỊ'!$B$1:$S$836,4,0),"")</f>
        <v>MUA MỚI</v>
      </c>
      <c r="F810" s="20" t="str">
        <f>IFERROR(VLOOKUP(B810,'03. THIẾT BỊ'!$B$1:$S$836,5,0),"")</f>
        <v>Thiết bị úp luống 6 chảo đôi</v>
      </c>
      <c r="G810" s="101" t="s">
        <v>6468</v>
      </c>
      <c r="H810" s="19" t="str">
        <f>IFERROR(VLOOKUP(B810,'03. THIẾT BỊ'!$B$1:$S$836,7,0),"")</f>
        <v>CGLĐ LP</v>
      </c>
      <c r="I810" s="610" t="str">
        <f>IFERROR(VLOOKUP(B810,'03. THIẾT BỊ'!$B$1:$S$836,8,0),"")</f>
        <v>24/12/2024</v>
      </c>
      <c r="J810" s="25"/>
      <c r="K810" s="19" t="str">
        <f>IFERROR(VLOOKUP(B810,'03. THIẾT BỊ'!$B$1:$S$836,10,0),"")</f>
        <v>Bình thường</v>
      </c>
      <c r="L810" s="25" t="str">
        <f>IFERROR(VLOOKUP(B810,'03. THIẾT BỊ'!$B$1:$S$836,11,0),"")</f>
        <v>Gia công mới</v>
      </c>
      <c r="M810" s="24">
        <f>IFERROR(VLOOKUP(B810,'03. THIẾT BỊ'!$B$1:$S$836,12,0),"")</f>
        <v>0</v>
      </c>
      <c r="N810" s="25" t="str">
        <f>IFERROR(VLOOKUP(B810,'03. THIẾT BỊ'!$B$1:$S$836,13,0),"")</f>
        <v>THACO AGRI</v>
      </c>
      <c r="O810" s="24" t="str">
        <f>IFERROR(VLOOKUP(B810,'03. THIẾT BỊ'!$B$1:$S$836,14,0),"")</f>
        <v>CK-DUL-01</v>
      </c>
      <c r="P810" s="25" t="str">
        <f>IFERROR(VLOOKUP(B810,'03. THIẾT BỊ'!$B$1:$S$836,15,0),"")</f>
        <v>CK-CGH</v>
      </c>
      <c r="Q810" s="23">
        <f>IFERROR(VLOOKUP(B810,'03. THIẾT BỊ'!$B$1:$S$836,16,0),"")</f>
        <v>2024</v>
      </c>
      <c r="R810" s="25">
        <f>IFERROR(VLOOKUP(B810,'03. THIẾT BỊ'!$B$1:$S$836,17,0),"")</f>
        <v>0</v>
      </c>
      <c r="S810" s="25">
        <f>IFERROR(VLOOKUP(B810,'03. THIẾT BỊ'!$B$1:$S$836,18,0),"")</f>
        <v>0</v>
      </c>
      <c r="T810" s="41"/>
    </row>
    <row r="811" customHeight="1" spans="1:20">
      <c r="A811" s="49">
        <f t="shared" ref="A811:A833" si="39">A810+1</f>
        <v>3</v>
      </c>
      <c r="B811" s="38" t="s">
        <v>6519</v>
      </c>
      <c r="C811" s="613" t="str">
        <f>IFERROR(VLOOKUP(B811,'03. THIẾT BỊ'!$B$1:$S$836,2,0),"")</f>
        <v/>
      </c>
      <c r="D811" s="24" t="str">
        <f>IFERROR(VLOOKUP(B811,'03. THIẾT BỊ'!$B$1:$S$836,3,0),"")</f>
        <v/>
      </c>
      <c r="E811" s="20" t="str">
        <f>IFERROR(VLOOKUP(B811,'03. THIẾT BỊ'!$B$1:$S$836,4,0),"")</f>
        <v/>
      </c>
      <c r="F811" s="20" t="str">
        <f>IFERROR(VLOOKUP(B811,'03. THIẾT BỊ'!$B$1:$S$836,5,0),"")</f>
        <v/>
      </c>
      <c r="G811" s="101" t="s">
        <v>6468</v>
      </c>
      <c r="H811" s="19" t="str">
        <f>IFERROR(VLOOKUP(B811,'03. THIẾT BỊ'!$B$1:$S$836,7,0),"")</f>
        <v/>
      </c>
      <c r="I811" s="610" t="str">
        <f>IFERROR(VLOOKUP(B811,'03. THIẾT BỊ'!$B$1:$S$836,8,0),"")</f>
        <v/>
      </c>
      <c r="J811" s="25"/>
      <c r="K811" s="19" t="str">
        <f>IFERROR(VLOOKUP(B811,'03. THIẾT BỊ'!$B$1:$S$836,10,0),"")</f>
        <v/>
      </c>
      <c r="L811" s="25" t="str">
        <f>IFERROR(VLOOKUP(B811,'03. THIẾT BỊ'!$B$1:$S$836,11,0),"")</f>
        <v/>
      </c>
      <c r="M811" s="24" t="str">
        <f>IFERROR(VLOOKUP(B811,'03. THIẾT BỊ'!$B$1:$S$836,12,0),"")</f>
        <v/>
      </c>
      <c r="N811" s="25" t="str">
        <f>IFERROR(VLOOKUP(B811,'03. THIẾT BỊ'!$B$1:$S$836,13,0),"")</f>
        <v/>
      </c>
      <c r="O811" s="24" t="str">
        <f>IFERROR(VLOOKUP(B811,'03. THIẾT BỊ'!$B$1:$S$836,14,0),"")</f>
        <v/>
      </c>
      <c r="P811" s="25" t="str">
        <f>IFERROR(VLOOKUP(B811,'03. THIẾT BỊ'!$B$1:$S$836,15,0),"")</f>
        <v/>
      </c>
      <c r="Q811" s="23" t="str">
        <f>IFERROR(VLOOKUP(B811,'03. THIẾT BỊ'!$B$1:$S$836,16,0),"")</f>
        <v/>
      </c>
      <c r="R811" s="25" t="str">
        <f>IFERROR(VLOOKUP(B811,'03. THIẾT BỊ'!$B$1:$S$836,17,0),"")</f>
        <v/>
      </c>
      <c r="S811" s="25" t="str">
        <f>IFERROR(VLOOKUP(B811,'03. THIẾT BỊ'!$B$1:$S$836,18,0),"")</f>
        <v/>
      </c>
      <c r="T811" s="622"/>
    </row>
    <row r="812" customHeight="1" spans="1:20">
      <c r="A812" s="49">
        <f t="shared" si="39"/>
        <v>4</v>
      </c>
      <c r="B812" s="38" t="s">
        <v>4208</v>
      </c>
      <c r="C812" s="613" t="str">
        <f>IFERROR(VLOOKUP(B812,'03. THIẾT BỊ'!$B$1:$S$836,2,0),"")</f>
        <v>CNN-BLC-001</v>
      </c>
      <c r="D812" s="24" t="str">
        <f>IFERROR(VLOOKUP(B812,'03. THIẾT BỊ'!$B$1:$S$836,3,0),"")</f>
        <v>A22-BLC-052</v>
      </c>
      <c r="E812" s="20" t="str">
        <f>IFERROR(VLOOKUP(B812,'03. THIẾT BỊ'!$B$1:$S$836,4,0),"")</f>
        <v>ĐQSD</v>
      </c>
      <c r="F812" s="20" t="str">
        <f>IFERROR(VLOOKUP(B812,'03. THIẾT BỊ'!$B$1:$S$836,5,0),"")</f>
        <v>Thiết bị trang mặt bằng luống chuối</v>
      </c>
      <c r="G812" s="101" t="s">
        <v>6468</v>
      </c>
      <c r="H812" s="19" t="str">
        <f>IFERROR(VLOOKUP(B812,'03. THIẾT BỊ'!$B$1:$S$836,7,0),"")</f>
        <v>XN Bò AD</v>
      </c>
      <c r="I812" s="610">
        <f>IFERROR(VLOOKUP(B812,'03. THIẾT BỊ'!$B$1:$S$836,8,0),"")</f>
        <v>0</v>
      </c>
      <c r="J812" s="25"/>
      <c r="K812" s="19" t="str">
        <f>IFERROR(VLOOKUP(B812,'03. THIẾT BỊ'!$B$1:$S$836,10,0),"")</f>
        <v>Bình thường</v>
      </c>
      <c r="L812" s="25">
        <f>IFERROR(VLOOKUP(B812,'03. THIẾT BỊ'!$B$1:$S$836,11,0),"")</f>
        <v>0</v>
      </c>
      <c r="M812" s="24">
        <f>IFERROR(VLOOKUP(B812,'03. THIẾT BỊ'!$B$1:$S$836,12,0),"")</f>
        <v>0</v>
      </c>
      <c r="N812" s="25" t="str">
        <f>IFERROR(VLOOKUP(B812,'03. THIẾT BỊ'!$B$1:$S$836,13,0),"")</f>
        <v>CAMBODIA</v>
      </c>
      <c r="O812" s="24">
        <f>IFERROR(VLOOKUP(B812,'03. THIẾT BỊ'!$B$1:$S$836,14,0),"")</f>
        <v>0</v>
      </c>
      <c r="P812" s="25" t="str">
        <f>IFERROR(VLOOKUP(B812,'03. THIẾT BỊ'!$B$1:$S$836,15,0),"")</f>
        <v>CAMBODIA</v>
      </c>
      <c r="Q812" s="23">
        <f>IFERROR(VLOOKUP(B812,'03. THIẾT BỊ'!$B$1:$S$836,16,0),"")</f>
        <v>0</v>
      </c>
      <c r="R812" s="25">
        <f>IFERROR(VLOOKUP(B812,'03. THIẾT BỊ'!$B$1:$S$836,17,0),"")</f>
        <v>0</v>
      </c>
      <c r="S812" s="25">
        <f>IFERROR(VLOOKUP(B812,'03. THIẾT BỊ'!$B$1:$S$836,18,0),"")</f>
        <v>0</v>
      </c>
      <c r="T812" s="622"/>
    </row>
    <row r="813" customHeight="1" spans="1:20">
      <c r="A813" s="49">
        <f t="shared" si="39"/>
        <v>5</v>
      </c>
      <c r="B813" s="20" t="s">
        <v>5165</v>
      </c>
      <c r="C813" s="613">
        <f>IFERROR(VLOOKUP(B813,'03. THIẾT BỊ'!$B$1:$S$836,2,0),"")</f>
        <v>0</v>
      </c>
      <c r="D813" s="24" t="str">
        <f>IFERROR(VLOOKUP(B813,'03. THIẾT BỊ'!$B$1:$S$836,3,0),"")</f>
        <v>A22-DCR-001</v>
      </c>
      <c r="E813" s="20" t="str">
        <f>IFERROR(VLOOKUP(B813,'03. THIẾT BỊ'!$B$1:$S$836,4,0),"")</f>
        <v>ĐQSD</v>
      </c>
      <c r="F813" s="20" t="str">
        <f>IFERROR(VLOOKUP(B813,'03. THIẾT BỊ'!$B$1:$S$836,5,0),"")</f>
        <v>Thiết bị cày đánh rãnh bón phân</v>
      </c>
      <c r="G813" s="101" t="s">
        <v>6468</v>
      </c>
      <c r="H813" s="19" t="str">
        <f>IFERROR(VLOOKUP(B813,'03. THIẾT BỊ'!$B$1:$S$836,7,0),"")</f>
        <v>Xoài AD</v>
      </c>
      <c r="I813" s="610" t="str">
        <f>IFERROR(VLOOKUP(B813,'03. THIẾT BỊ'!$B$1:$S$836,8,0),"")</f>
        <v>17/09/2024</v>
      </c>
      <c r="J813" s="25"/>
      <c r="K813" s="19" t="str">
        <f>IFERROR(VLOOKUP(B813,'03. THIẾT BỊ'!$B$1:$S$836,10,0),"")</f>
        <v>Bình thường</v>
      </c>
      <c r="L813" s="25">
        <f>IFERROR(VLOOKUP(B813,'03. THIẾT BỊ'!$B$1:$S$836,11,0),"")</f>
        <v>0</v>
      </c>
      <c r="M813" s="24" t="str">
        <f>IFERROR(VLOOKUP(B813,'03. THIẾT BỊ'!$B$1:$S$836,12,0),"")</f>
        <v>Gia công mới</v>
      </c>
      <c r="N813" s="25" t="str">
        <f>IFERROR(VLOOKUP(B813,'03. THIẾT BỊ'!$B$1:$S$836,13,0),"")</f>
        <v>THACO AGRI</v>
      </c>
      <c r="O813" s="24" t="str">
        <f>IFERROR(VLOOKUP(B813,'03. THIẾT BỊ'!$B$1:$S$836,14,0),"")</f>
        <v>CK-MLB-01</v>
      </c>
      <c r="P813" s="25" t="str">
        <f>IFERROR(VLOOKUP(B813,'03. THIẾT BỊ'!$B$1:$S$836,15,0),"")</f>
        <v>X.CGH</v>
      </c>
      <c r="Q813" s="23">
        <f>IFERROR(VLOOKUP(B813,'03. THIẾT BỊ'!$B$1:$S$836,16,0),"")</f>
        <v>2024</v>
      </c>
      <c r="R813" s="25" t="str">
        <f>IFERROR(VLOOKUP(B813,'03. THIẾT BỊ'!$B$1:$S$836,17,0),"")</f>
        <v>KT: 1x4x1.2 (DxRxC)</v>
      </c>
      <c r="S813" s="25">
        <f>IFERROR(VLOOKUP(B813,'03. THIẾT BỊ'!$B$1:$S$836,18,0),"")</f>
        <v>0</v>
      </c>
      <c r="T813" s="615"/>
    </row>
    <row r="814" customHeight="1" spans="1:20">
      <c r="A814" s="49">
        <f t="shared" si="39"/>
        <v>6</v>
      </c>
      <c r="B814" s="20" t="s">
        <v>4311</v>
      </c>
      <c r="C814" s="613">
        <f>IFERROR(VLOOKUP(B814,'03. THIẾT BỊ'!$B$1:$S$836,2,0),"")</f>
        <v>0</v>
      </c>
      <c r="D814" s="24" t="str">
        <f>IFERROR(VLOOKUP(B814,'03. THIẾT BỊ'!$B$1:$S$836,3,0),"")</f>
        <v>A23-TBG-001</v>
      </c>
      <c r="E814" s="20" t="str">
        <f>IFERROR(VLOOKUP(B814,'03. THIẾT BỊ'!$B$1:$S$836,4,0),"")</f>
        <v>ĐQSD</v>
      </c>
      <c r="F814" s="20" t="str">
        <f>IFERROR(VLOOKUP(B814,'03. THIẾT BỊ'!$B$1:$S$836,5,0),"")</f>
        <v>Thiết bị gắp lá chuối</v>
      </c>
      <c r="G814" s="101" t="s">
        <v>6468</v>
      </c>
      <c r="H814" s="19" t="str">
        <f>IFERROR(VLOOKUP(B814,'03. THIẾT BỊ'!$B$1:$S$836,7,0),"")</f>
        <v>XN Chuối DP1</v>
      </c>
      <c r="I814" s="610">
        <f>IFERROR(VLOOKUP(B814,'03. THIẾT BỊ'!$B$1:$S$836,8,0),"")</f>
        <v>45419</v>
      </c>
      <c r="J814" s="25"/>
      <c r="K814" s="19" t="str">
        <f>IFERROR(VLOOKUP(B814,'03. THIẾT BỊ'!$B$1:$S$836,10,0),"")</f>
        <v>Bình thường</v>
      </c>
      <c r="L814" s="25">
        <f>IFERROR(VLOOKUP(B814,'03. THIẾT BỊ'!$B$1:$S$836,11,0),"")</f>
        <v>0</v>
      </c>
      <c r="M814" s="24">
        <f>IFERROR(VLOOKUP(B814,'03. THIẾT BỊ'!$B$1:$S$836,12,0),"")</f>
        <v>0</v>
      </c>
      <c r="N814" s="25" t="str">
        <f>IFERROR(VLOOKUP(B814,'03. THIẾT BỊ'!$B$1:$S$836,13,0),"")</f>
        <v>THACO AGRI</v>
      </c>
      <c r="O814" s="24">
        <f>IFERROR(VLOOKUP(B814,'03. THIẾT BỊ'!$B$1:$S$836,14,0),"")</f>
        <v>0</v>
      </c>
      <c r="P814" s="25" t="str">
        <f>IFERROR(VLOOKUP(B814,'03. THIẾT BỊ'!$B$1:$S$836,15,0),"")</f>
        <v>CK-CGH</v>
      </c>
      <c r="Q814" s="23">
        <f>IFERROR(VLOOKUP(B814,'03. THIẾT BỊ'!$B$1:$S$836,16,0),"")</f>
        <v>0</v>
      </c>
      <c r="R814" s="25" t="str">
        <f>IFERROR(VLOOKUP(B814,'03. THIẾT BỊ'!$B$1:$S$836,17,0),"")</f>
        <v>Dài 1m x Rộng 0.35m</v>
      </c>
      <c r="S814" s="25">
        <f>IFERROR(VLOOKUP(B814,'03. THIẾT BỊ'!$B$1:$S$836,18,0),"")</f>
        <v>0</v>
      </c>
      <c r="T814" s="41"/>
    </row>
    <row r="815" customHeight="1" spans="1:20">
      <c r="A815" s="49">
        <f t="shared" si="39"/>
        <v>7</v>
      </c>
      <c r="B815" s="20" t="s">
        <v>4306</v>
      </c>
      <c r="C815" s="613">
        <f>IFERROR(VLOOKUP(B815,'03. THIẾT BỊ'!$B$1:$S$836,2,0),"")</f>
        <v>0</v>
      </c>
      <c r="D815" s="24" t="str">
        <f>IFERROR(VLOOKUP(B815,'03. THIẾT BỊ'!$B$1:$S$836,3,0),"")</f>
        <v>A23-DNL-001</v>
      </c>
      <c r="E815" s="20" t="str">
        <f>IFERROR(VLOOKUP(B815,'03. THIẾT BỊ'!$B$1:$S$836,4,0),"")</f>
        <v>ĐQSD</v>
      </c>
      <c r="F815" s="20" t="str">
        <f>IFERROR(VLOOKUP(B815,'03. THIẾT BỊ'!$B$1:$S$836,5,0),"")</f>
        <v>Thiết bị nén lá chuối khô</v>
      </c>
      <c r="G815" s="101" t="s">
        <v>6468</v>
      </c>
      <c r="H815" s="19" t="str">
        <f>IFERROR(VLOOKUP(B815,'03. THIẾT BỊ'!$B$1:$S$836,7,0),"")</f>
        <v>XN Chuối DP1</v>
      </c>
      <c r="I815" s="610">
        <f>IFERROR(VLOOKUP(B815,'03. THIẾT BỊ'!$B$1:$S$836,8,0),"")</f>
        <v>45419</v>
      </c>
      <c r="J815" s="25"/>
      <c r="K815" s="19" t="str">
        <f>IFERROR(VLOOKUP(B815,'03. THIẾT BỊ'!$B$1:$S$836,10,0),"")</f>
        <v>Bình thường</v>
      </c>
      <c r="L815" s="25">
        <f>IFERROR(VLOOKUP(B815,'03. THIẾT BỊ'!$B$1:$S$836,11,0),"")</f>
        <v>0</v>
      </c>
      <c r="M815" s="24">
        <f>IFERROR(VLOOKUP(B815,'03. THIẾT BỊ'!$B$1:$S$836,12,0),"")</f>
        <v>0</v>
      </c>
      <c r="N815" s="25" t="str">
        <f>IFERROR(VLOOKUP(B815,'03. THIẾT BỊ'!$B$1:$S$836,13,0),"")</f>
        <v>THACO AGRI</v>
      </c>
      <c r="O815" s="24" t="str">
        <f>IFERROR(VLOOKUP(B815,'03. THIẾT BỊ'!$B$1:$S$836,14,0),"")</f>
        <v>THACOAGRI</v>
      </c>
      <c r="P815" s="25" t="str">
        <f>IFERROR(VLOOKUP(B815,'03. THIẾT BỊ'!$B$1:$S$836,15,0),"")</f>
        <v>CK-CGH</v>
      </c>
      <c r="Q815" s="23">
        <f>IFERROR(VLOOKUP(B815,'03. THIẾT BỊ'!$B$1:$S$836,16,0),"")</f>
        <v>2024</v>
      </c>
      <c r="R815" s="25" t="str">
        <f>IFERROR(VLOOKUP(B815,'03. THIẾT BỊ'!$B$1:$S$836,17,0),"")</f>
        <v>3,8x2x3,6m</v>
      </c>
      <c r="S815" s="25">
        <f>IFERROR(VLOOKUP(B815,'03. THIẾT BỊ'!$B$1:$S$836,18,0),"")</f>
        <v>0</v>
      </c>
      <c r="T815" s="41"/>
    </row>
    <row r="816" customHeight="1" spans="1:20">
      <c r="A816" s="49">
        <f t="shared" si="39"/>
        <v>8</v>
      </c>
      <c r="B816" s="20" t="s">
        <v>4301</v>
      </c>
      <c r="C816" s="613">
        <f>IFERROR(VLOOKUP(B816,'03. THIẾT BỊ'!$B$1:$S$836,2,0),"")</f>
        <v>0</v>
      </c>
      <c r="D816" s="24" t="str">
        <f>IFERROR(VLOOKUP(B816,'03. THIẾT BỊ'!$B$1:$S$836,3,0),"")</f>
        <v>A23-MNK-001</v>
      </c>
      <c r="E816" s="20" t="str">
        <f>IFERROR(VLOOKUP(B816,'03. THIẾT BỊ'!$B$1:$S$836,4,0),"")</f>
        <v>ĐQSD</v>
      </c>
      <c r="F816" s="20" t="str">
        <f>IFERROR(VLOOKUP(B816,'03. THIẾT BỊ'!$B$1:$S$836,5,0),"")</f>
        <v>Máy nén khí 5HP</v>
      </c>
      <c r="G816" s="101" t="s">
        <v>6468</v>
      </c>
      <c r="H816" s="19" t="str">
        <f>IFERROR(VLOOKUP(B816,'03. THIẾT BỊ'!$B$1:$S$836,7,0),"")</f>
        <v>XN Chuối DP1</v>
      </c>
      <c r="I816" s="610" t="str">
        <f>IFERROR(VLOOKUP(B816,'03. THIẾT BỊ'!$B$1:$S$836,8,0),"")</f>
        <v>28/06/2024</v>
      </c>
      <c r="J816" s="25"/>
      <c r="K816" s="19" t="str">
        <f>IFERROR(VLOOKUP(B816,'03. THIẾT BỊ'!$B$1:$S$836,10,0),"")</f>
        <v>Bình thường</v>
      </c>
      <c r="L816" s="25">
        <f>IFERROR(VLOOKUP(B816,'03. THIẾT BỊ'!$B$1:$S$836,11,0),"")</f>
        <v>0</v>
      </c>
      <c r="M816" s="24">
        <f>IFERROR(VLOOKUP(B816,'03. THIẾT BỊ'!$B$1:$S$836,12,0),"")</f>
        <v>0</v>
      </c>
      <c r="N816" s="25" t="str">
        <f>IFERROR(VLOOKUP(B816,'03. THIẾT BỊ'!$B$1:$S$836,13,0),"")</f>
        <v>CAMBODIA</v>
      </c>
      <c r="O816" s="24" t="str">
        <f>IFERROR(VLOOKUP(B816,'03. THIẾT BỊ'!$B$1:$S$836,14,0),"")</f>
        <v>SWAN-5HP</v>
      </c>
      <c r="P816" s="25" t="str">
        <f>IFERROR(VLOOKUP(B816,'03. THIẾT BỊ'!$B$1:$S$836,15,0),"")</f>
        <v>CAMBODIA</v>
      </c>
      <c r="Q816" s="23">
        <f>IFERROR(VLOOKUP(B816,'03. THIẾT BỊ'!$B$1:$S$836,16,0),"")</f>
        <v>0</v>
      </c>
      <c r="R816" s="25" t="str">
        <f>IFERROR(VLOOKUP(B816,'03. THIẾT BỊ'!$B$1:$S$836,17,0),"")</f>
        <v>125psi</v>
      </c>
      <c r="S816" s="25">
        <f>IFERROR(VLOOKUP(B816,'03. THIẾT BỊ'!$B$1:$S$836,18,0),"")</f>
        <v>0</v>
      </c>
      <c r="T816" s="41"/>
    </row>
    <row r="817" customHeight="1" spans="1:20">
      <c r="A817" s="49">
        <f t="shared" si="39"/>
        <v>9</v>
      </c>
      <c r="B817" s="20" t="s">
        <v>4697</v>
      </c>
      <c r="C817" s="613">
        <f>IFERROR(VLOOKUP(B817,'03. THIẾT BỊ'!$B$1:$S$836,2,0),"")</f>
        <v>0</v>
      </c>
      <c r="D817" s="24" t="str">
        <f>IFERROR(VLOOKUP(B817,'03. THIẾT BỊ'!$B$1:$S$836,3,0),"")</f>
        <v>A24-MNK-001</v>
      </c>
      <c r="E817" s="20" t="str">
        <f>IFERROR(VLOOKUP(B817,'03. THIẾT BỊ'!$B$1:$S$836,4,0),"")</f>
        <v>ĐQSD</v>
      </c>
      <c r="F817" s="20" t="str">
        <f>IFERROR(VLOOKUP(B817,'03. THIẾT BỊ'!$B$1:$S$836,5,0),"")</f>
        <v>Máy nén khí 10HP</v>
      </c>
      <c r="G817" s="101" t="s">
        <v>6468</v>
      </c>
      <c r="H817" s="19" t="str">
        <f>IFERROR(VLOOKUP(B817,'03. THIẾT BỊ'!$B$1:$S$836,7,0),"")</f>
        <v>XN Chuối LP1</v>
      </c>
      <c r="I817" s="610">
        <f>IFERROR(VLOOKUP(B817,'03. THIẾT BỊ'!$B$1:$S$836,8,0),"")</f>
        <v>45419</v>
      </c>
      <c r="J817" s="25"/>
      <c r="K817" s="19" t="str">
        <f>IFERROR(VLOOKUP(B817,'03. THIẾT BỊ'!$B$1:$S$836,10,0),"")</f>
        <v>Bình thường</v>
      </c>
      <c r="L817" s="25" t="str">
        <f>IFERROR(VLOOKUP(B817,'03. THIẾT BỊ'!$B$1:$S$836,11,0),"")</f>
        <v>Điều chuyển từ nhà máy xốp AD</v>
      </c>
      <c r="M817" s="24">
        <f>IFERROR(VLOOKUP(B817,'03. THIẾT BỊ'!$B$1:$S$836,12,0),"")</f>
        <v>0</v>
      </c>
      <c r="N817" s="25" t="str">
        <f>IFERROR(VLOOKUP(B817,'03. THIẾT BỊ'!$B$1:$S$836,13,0),"")</f>
        <v>TRUNG QUỐC</v>
      </c>
      <c r="O817" s="24" t="str">
        <f>IFERROR(VLOOKUP(B817,'03. THIẾT BỊ'!$B$1:$S$836,14,0),"")</f>
        <v>SVP205</v>
      </c>
      <c r="P817" s="25" t="str">
        <f>IFERROR(VLOOKUP(B817,'03. THIẾT BỊ'!$B$1:$S$836,15,0),"")</f>
        <v>TRUNG QUỐC</v>
      </c>
      <c r="Q817" s="23">
        <f>IFERROR(VLOOKUP(B817,'03. THIẾT BỊ'!$B$1:$S$836,16,0),"")</f>
        <v>2014</v>
      </c>
      <c r="R817" s="25" t="str">
        <f>IFERROR(VLOOKUP(B817,'03. THIẾT BỊ'!$B$1:$S$836,17,0),"")</f>
        <v>Dung tích: 155</v>
      </c>
      <c r="S817" s="25">
        <f>IFERROR(VLOOKUP(B817,'03. THIẾT BỊ'!$B$1:$S$836,18,0),"")</f>
        <v>14163379</v>
      </c>
      <c r="T817" s="41"/>
    </row>
    <row r="818" customHeight="1" spans="1:20">
      <c r="A818" s="49">
        <f t="shared" si="39"/>
        <v>10</v>
      </c>
      <c r="B818" s="20" t="s">
        <v>4703</v>
      </c>
      <c r="C818" s="613">
        <f>IFERROR(VLOOKUP(B818,'03. THIẾT BỊ'!$B$1:$S$836,2,0),"")</f>
        <v>0</v>
      </c>
      <c r="D818" s="24" t="str">
        <f>IFERROR(VLOOKUP(B818,'03. THIẾT BỊ'!$B$1:$S$836,3,0),"")</f>
        <v>A24-TBL-001</v>
      </c>
      <c r="E818" s="20" t="str">
        <f>IFERROR(VLOOKUP(B818,'03. THIẾT BỊ'!$B$1:$S$836,4,0),"")</f>
        <v>ĐQSD</v>
      </c>
      <c r="F818" s="20" t="str">
        <f>IFERROR(VLOOKUP(B818,'03. THIẾT BỊ'!$B$1:$S$836,5,0),"")</f>
        <v>Thiết bị lu</v>
      </c>
      <c r="G818" s="101" t="s">
        <v>6468</v>
      </c>
      <c r="H818" s="19" t="str">
        <f>IFERROR(VLOOKUP(B818,'03. THIẾT BỊ'!$B$1:$S$836,7,0),"")</f>
        <v>XN Chuối LP1</v>
      </c>
      <c r="I818" s="610">
        <f>IFERROR(VLOOKUP(B818,'03. THIẾT BỊ'!$B$1:$S$836,8,0),"")</f>
        <v>45332</v>
      </c>
      <c r="J818" s="25"/>
      <c r="K818" s="19" t="str">
        <f>IFERROR(VLOOKUP(B818,'03. THIẾT BỊ'!$B$1:$S$836,10,0),"")</f>
        <v>Bình thường</v>
      </c>
      <c r="L818" s="25" t="str">
        <f>IFERROR(VLOOKUP(B818,'03. THIẾT BỊ'!$B$1:$S$836,11,0),"")</f>
        <v>GC mới</v>
      </c>
      <c r="M818" s="24">
        <f>IFERROR(VLOOKUP(B818,'03. THIẾT BỊ'!$B$1:$S$836,12,0),"")</f>
        <v>0</v>
      </c>
      <c r="N818" s="25" t="str">
        <f>IFERROR(VLOOKUP(B818,'03. THIẾT BỊ'!$B$1:$S$836,13,0),"")</f>
        <v>THACO AGRI</v>
      </c>
      <c r="O818" s="24" t="str">
        <f>IFERROR(VLOOKUP(B818,'03. THIẾT BỊ'!$B$1:$S$836,14,0),"")</f>
        <v>CK-MPC-03</v>
      </c>
      <c r="P818" s="25" t="str">
        <f>IFERROR(VLOOKUP(B818,'03. THIẾT BỊ'!$B$1:$S$836,15,0),"")</f>
        <v>CK-CGH</v>
      </c>
      <c r="Q818" s="23">
        <f>IFERROR(VLOOKUP(B818,'03. THIẾT BỊ'!$B$1:$S$836,16,0),"")</f>
        <v>2024</v>
      </c>
      <c r="R818" s="25" t="str">
        <f>IFERROR(VLOOKUP(B818,'03. THIẾT BỊ'!$B$1:$S$836,17,0),"")</f>
        <v>3x2.4x1.4m</v>
      </c>
      <c r="S818" s="25">
        <f>IFERROR(VLOOKUP(B818,'03. THIẾT BỊ'!$B$1:$S$836,18,0),"")</f>
        <v>0</v>
      </c>
      <c r="T818" s="41"/>
    </row>
    <row r="819" customHeight="1" spans="1:20">
      <c r="A819" s="49">
        <f t="shared" si="39"/>
        <v>11</v>
      </c>
      <c r="B819" s="20" t="s">
        <v>5028</v>
      </c>
      <c r="C819" s="613" t="str">
        <f>IFERROR(VLOOKUP(B819,'03. THIẾT BỊ'!$B$1:$S$836,2,0),"")</f>
        <v>CK-MXL-02</v>
      </c>
      <c r="D819" s="24">
        <f>IFERROR(VLOOKUP(B819,'03. THIẾT BỊ'!$B$1:$S$836,3,0),"")</f>
        <v>0</v>
      </c>
      <c r="E819" s="20" t="str">
        <f>IFERROR(VLOOKUP(B819,'03. THIẾT BỊ'!$B$1:$S$836,4,0),"")</f>
        <v>ĐQSD</v>
      </c>
      <c r="F819" s="20" t="str">
        <f>IFERROR(VLOOKUP(B819,'03. THIẾT BỊ'!$B$1:$S$836,5,0),"")</f>
        <v>Thiết bị xắt lát</v>
      </c>
      <c r="G819" s="101" t="s">
        <v>6468</v>
      </c>
      <c r="H819" s="19" t="str">
        <f>IFERROR(VLOOKUP(B819,'03. THIẾT BỊ'!$B$1:$S$836,7,0),"")</f>
        <v>XN Chuối LP3</v>
      </c>
      <c r="I819" s="610" t="str">
        <f>IFERROR(VLOOKUP(B819,'03. THIẾT BỊ'!$B$1:$S$836,8,0),"")</f>
        <v>13/08/2024</v>
      </c>
      <c r="J819" s="25"/>
      <c r="K819" s="19" t="str">
        <f>IFERROR(VLOOKUP(B819,'03. THIẾT BỊ'!$B$1:$S$836,10,0),"")</f>
        <v>Bình thường</v>
      </c>
      <c r="L819" s="25">
        <f>IFERROR(VLOOKUP(B819,'03. THIẾT BỊ'!$B$1:$S$836,11,0),"")</f>
        <v>0</v>
      </c>
      <c r="M819" s="24" t="str">
        <f>IFERROR(VLOOKUP(B819,'03. THIẾT BỊ'!$B$1:$S$836,12,0),"")</f>
        <v>Gia công mới</v>
      </c>
      <c r="N819" s="25" t="str">
        <f>IFERROR(VLOOKUP(B819,'03. THIẾT BỊ'!$B$1:$S$836,13,0),"")</f>
        <v>THACO AGRI</v>
      </c>
      <c r="O819" s="24">
        <f>IFERROR(VLOOKUP(B819,'03. THIẾT BỊ'!$B$1:$S$836,14,0),"")</f>
        <v>0</v>
      </c>
      <c r="P819" s="25" t="str">
        <f>IFERROR(VLOOKUP(B819,'03. THIẾT BỊ'!$B$1:$S$836,15,0),"")</f>
        <v>CK-CGH</v>
      </c>
      <c r="Q819" s="23">
        <f>IFERROR(VLOOKUP(B819,'03. THIẾT BỊ'!$B$1:$S$836,16,0),"")</f>
        <v>2024</v>
      </c>
      <c r="R819" s="25" t="str">
        <f>IFERROR(VLOOKUP(B819,'03. THIẾT BỊ'!$B$1:$S$836,17,0),"")</f>
        <v>0.9x1x1m</v>
      </c>
      <c r="S819" s="25">
        <f>IFERROR(VLOOKUP(B819,'03. THIẾT BỊ'!$B$1:$S$836,18,0),"")</f>
        <v>0</v>
      </c>
      <c r="T819" s="41"/>
    </row>
    <row r="820" customHeight="1" spans="1:20">
      <c r="A820" s="49">
        <f t="shared" si="39"/>
        <v>12</v>
      </c>
      <c r="B820" s="20" t="s">
        <v>5033</v>
      </c>
      <c r="C820" s="613">
        <f>IFERROR(VLOOKUP(B820,'03. THIẾT BỊ'!$B$1:$S$836,2,0),"")</f>
        <v>0</v>
      </c>
      <c r="D820" s="24" t="str">
        <f>IFERROR(VLOOKUP(B820,'03. THIẾT BỊ'!$B$1:$S$836,3,0),"")</f>
        <v>A24-GXP-001</v>
      </c>
      <c r="E820" s="20" t="str">
        <f>IFERROR(VLOOKUP(B820,'03. THIẾT BỊ'!$B$1:$S$836,4,0),"")</f>
        <v>ĐQSD</v>
      </c>
      <c r="F820" s="20" t="str">
        <f>IFERROR(VLOOKUP(B820,'03. THIẾT BỊ'!$B$1:$S$836,5,0),"")</f>
        <v>Gàu xúc phân</v>
      </c>
      <c r="G820" s="101" t="s">
        <v>6468</v>
      </c>
      <c r="H820" s="19" t="str">
        <f>IFERROR(VLOOKUP(B820,'03. THIẾT BỊ'!$B$1:$S$836,7,0),"")</f>
        <v>XN Chuối LP3</v>
      </c>
      <c r="I820" s="610">
        <f>IFERROR(VLOOKUP(B820,'03. THIẾT BỊ'!$B$1:$S$836,8,0),"")</f>
        <v>45871</v>
      </c>
      <c r="J820" s="25"/>
      <c r="K820" s="19" t="str">
        <f>IFERROR(VLOOKUP(B820,'03. THIẾT BỊ'!$B$1:$S$836,10,0),"")</f>
        <v>Bình thường</v>
      </c>
      <c r="L820" s="25">
        <f>IFERROR(VLOOKUP(B820,'03. THIẾT BỊ'!$B$1:$S$836,11,0),"")</f>
        <v>0</v>
      </c>
      <c r="M820" s="24" t="str">
        <f>IFERROR(VLOOKUP(B820,'03. THIẾT BỊ'!$B$1:$S$836,12,0),"")</f>
        <v>Gia công mới</v>
      </c>
      <c r="N820" s="25" t="str">
        <f>IFERROR(VLOOKUP(B820,'03. THIẾT BỊ'!$B$1:$S$836,13,0),"")</f>
        <v>THACO AGRI</v>
      </c>
      <c r="O820" s="24">
        <f>IFERROR(VLOOKUP(B820,'03. THIẾT BỊ'!$B$1:$S$836,14,0),"")</f>
        <v>0</v>
      </c>
      <c r="P820" s="25" t="str">
        <f>IFERROR(VLOOKUP(B820,'03. THIẾT BỊ'!$B$1:$S$836,15,0),"")</f>
        <v>CK-CGH</v>
      </c>
      <c r="Q820" s="23">
        <f>IFERROR(VLOOKUP(B820,'03. THIẾT BỊ'!$B$1:$S$836,16,0),"")</f>
        <v>2025</v>
      </c>
      <c r="R820" s="25">
        <f>IFERROR(VLOOKUP(B820,'03. THIẾT BỊ'!$B$1:$S$836,17,0),"")</f>
        <v>0</v>
      </c>
      <c r="S820" s="25">
        <f>IFERROR(VLOOKUP(B820,'03. THIẾT BỊ'!$B$1:$S$836,18,0),"")</f>
        <v>0</v>
      </c>
      <c r="T820" s="41"/>
    </row>
    <row r="821" customHeight="1" spans="1:20">
      <c r="A821" s="49">
        <f t="shared" si="39"/>
        <v>13</v>
      </c>
      <c r="B821" s="20" t="s">
        <v>5607</v>
      </c>
      <c r="C821" s="613">
        <f>IFERROR(VLOOKUP(B821,'03. THIẾT BỊ'!$B$1:$S$836,2,0),"")</f>
        <v>0</v>
      </c>
      <c r="D821" s="24" t="str">
        <f>IFERROR(VLOOKUP(B821,'03. THIẾT BỊ'!$B$1:$S$836,3,0),"")</f>
        <v>A22-KGX-001</v>
      </c>
      <c r="E821" s="20" t="str">
        <f>IFERROR(VLOOKUP(B821,'03. THIẾT BỊ'!$B$1:$S$836,4,0),"")</f>
        <v>ĐQSD</v>
      </c>
      <c r="F821" s="20" t="str">
        <f>IFERROR(VLOOKUP(B821,'03. THIẾT BỊ'!$B$1:$S$836,5,0),"")</f>
        <v>Kẹp gỗ xoay 360 độ</v>
      </c>
      <c r="G821" s="101" t="s">
        <v>6468</v>
      </c>
      <c r="H821" s="19" t="str">
        <f>IFERROR(VLOOKUP(B821,'03. THIẾT BỊ'!$B$1:$S$836,7,0),"")</f>
        <v>XN Bò AD</v>
      </c>
      <c r="I821" s="610" t="str">
        <f>IFERROR(VLOOKUP(B821,'03. THIẾT BỊ'!$B$1:$S$836,8,0),"")</f>
        <v>23/05/2024</v>
      </c>
      <c r="J821" s="25"/>
      <c r="K821" s="19" t="str">
        <f>IFERROR(VLOOKUP(B821,'03. THIẾT BỊ'!$B$1:$S$836,10,0),"")</f>
        <v>Bình thường</v>
      </c>
      <c r="L821" s="25">
        <f>IFERROR(VLOOKUP(B821,'03. THIẾT BỊ'!$B$1:$S$836,11,0),"")</f>
        <v>0</v>
      </c>
      <c r="M821" s="24" t="str">
        <f>IFERROR(VLOOKUP(B821,'03. THIẾT BỊ'!$B$1:$S$836,12,0),"")</f>
        <v>Đã qua SD</v>
      </c>
      <c r="N821" s="25" t="str">
        <f>IFERROR(VLOOKUP(B821,'03. THIẾT BỊ'!$B$1:$S$836,13,0),"")</f>
        <v>HÀN QUỐC</v>
      </c>
      <c r="O821" s="24" t="str">
        <f>IFERROR(VLOOKUP(B821,'03. THIẾT BỊ'!$B$1:$S$836,14,0),"")</f>
        <v>HYUNG JE</v>
      </c>
      <c r="P821" s="25" t="str">
        <f>IFERROR(VLOOKUP(B821,'03. THIẾT BỊ'!$B$1:$S$836,15,0),"")</f>
        <v>HÀN QUỐC</v>
      </c>
      <c r="Q821" s="23">
        <f>IFERROR(VLOOKUP(B821,'03. THIẾT BỊ'!$B$1:$S$836,16,0),"")</f>
        <v>0</v>
      </c>
      <c r="R821" s="25" t="str">
        <f>IFERROR(VLOOKUP(B821,'03. THIẾT BỊ'!$B$1:$S$836,17,0),"")</f>
        <v>Có đường kim</v>
      </c>
      <c r="S821" s="25">
        <f>IFERROR(VLOOKUP(B821,'03. THIẾT BỊ'!$B$1:$S$836,18,0),"")</f>
        <v>0</v>
      </c>
      <c r="T821" s="41"/>
    </row>
    <row r="822" customHeight="1" spans="1:20">
      <c r="A822" s="49">
        <f t="shared" si="39"/>
        <v>14</v>
      </c>
      <c r="B822" s="20" t="s">
        <v>5613</v>
      </c>
      <c r="C822" s="613">
        <f>IFERROR(VLOOKUP(B822,'03. THIẾT BỊ'!$B$1:$S$836,2,0),"")</f>
        <v>0</v>
      </c>
      <c r="D822" s="24" t="str">
        <f>IFERROR(VLOOKUP(B822,'03. THIẾT BỊ'!$B$1:$S$836,3,0),"")</f>
        <v>A22-MCL-001</v>
      </c>
      <c r="E822" s="20" t="str">
        <f>IFERROR(VLOOKUP(B822,'03. THIẾT BỊ'!$B$1:$S$836,4,0),"")</f>
        <v>ĐQSD</v>
      </c>
      <c r="F822" s="20" t="str">
        <f>IFERROR(VLOOKUP(B822,'03. THIẾT BỊ'!$B$1:$S$836,5,0),"")</f>
        <v>Rơ mooc clethon</v>
      </c>
      <c r="G822" s="101" t="s">
        <v>6468</v>
      </c>
      <c r="H822" s="19" t="str">
        <f>IFERROR(VLOOKUP(B822,'03. THIẾT BỊ'!$B$1:$S$836,7,0),"")</f>
        <v>XN Bò AD</v>
      </c>
      <c r="I822" s="610">
        <f>IFERROR(VLOOKUP(B822,'03. THIẾT BỊ'!$B$1:$S$836,8,0),"")</f>
        <v>45362</v>
      </c>
      <c r="J822" s="25"/>
      <c r="K822" s="19" t="str">
        <f>IFERROR(VLOOKUP(B822,'03. THIẾT BỊ'!$B$1:$S$836,10,0),"")</f>
        <v>Bình thường</v>
      </c>
      <c r="L822" s="25">
        <f>IFERROR(VLOOKUP(B822,'03. THIẾT BỊ'!$B$1:$S$836,11,0),"")</f>
        <v>0</v>
      </c>
      <c r="M822" s="24" t="str">
        <f>IFERROR(VLOOKUP(B822,'03. THIẾT BỊ'!$B$1:$S$836,12,0),"")</f>
        <v>Gia công mới</v>
      </c>
      <c r="N822" s="25" t="str">
        <f>IFERROR(VLOOKUP(B822,'03. THIẾT BỊ'!$B$1:$S$836,13,0),"")</f>
        <v>THACO AGRI</v>
      </c>
      <c r="O822" s="24" t="str">
        <f>IFERROR(VLOOKUP(B822,'03. THIẾT BỊ'!$B$1:$S$836,14,0),"")</f>
        <v>CLT</v>
      </c>
      <c r="P822" s="25" t="str">
        <f>IFERROR(VLOOKUP(B822,'03. THIẾT BỊ'!$B$1:$S$836,15,0),"")</f>
        <v>CK-CGH</v>
      </c>
      <c r="Q822" s="23">
        <f>IFERROR(VLOOKUP(B822,'03. THIẾT BỊ'!$B$1:$S$836,16,0),"")</f>
        <v>2024</v>
      </c>
      <c r="R822" s="25" t="str">
        <f>IFERROR(VLOOKUP(B822,'03. THIẾT BỊ'!$B$1:$S$836,17,0),"")</f>
        <v>5,5x1,9x2,21m</v>
      </c>
      <c r="S822" s="25">
        <f>IFERROR(VLOOKUP(B822,'03. THIẾT BỊ'!$B$1:$S$836,18,0),"")</f>
        <v>0</v>
      </c>
      <c r="T822" s="41"/>
    </row>
    <row r="823" customHeight="1" spans="1:20">
      <c r="A823" s="49">
        <f t="shared" si="39"/>
        <v>15</v>
      </c>
      <c r="B823" s="20" t="s">
        <v>5617</v>
      </c>
      <c r="C823" s="613">
        <f>IFERROR(VLOOKUP(B823,'03. THIẾT BỊ'!$B$1:$S$836,2,0),"")</f>
        <v>0</v>
      </c>
      <c r="D823" s="24" t="str">
        <f>IFERROR(VLOOKUP(B823,'03. THIẾT BỊ'!$B$1:$S$836,3,0),"")</f>
        <v>A22-MCL-002</v>
      </c>
      <c r="E823" s="20" t="str">
        <f>IFERROR(VLOOKUP(B823,'03. THIẾT BỊ'!$B$1:$S$836,4,0),"")</f>
        <v>ĐQSD</v>
      </c>
      <c r="F823" s="20" t="str">
        <f>IFERROR(VLOOKUP(B823,'03. THIẾT BỊ'!$B$1:$S$836,5,0),"")</f>
        <v>Rơ mooc clethon</v>
      </c>
      <c r="G823" s="101" t="s">
        <v>6468</v>
      </c>
      <c r="H823" s="19" t="str">
        <f>IFERROR(VLOOKUP(B823,'03. THIẾT BỊ'!$B$1:$S$836,7,0),"")</f>
        <v>XN Bò AD</v>
      </c>
      <c r="I823" s="610">
        <f>IFERROR(VLOOKUP(B823,'03. THIẾT BỊ'!$B$1:$S$836,8,0),"")</f>
        <v>45362</v>
      </c>
      <c r="J823" s="25"/>
      <c r="K823" s="19" t="str">
        <f>IFERROR(VLOOKUP(B823,'03. THIẾT BỊ'!$B$1:$S$836,10,0),"")</f>
        <v>Bình thường</v>
      </c>
      <c r="L823" s="25">
        <f>IFERROR(VLOOKUP(B823,'03. THIẾT BỊ'!$B$1:$S$836,11,0),"")</f>
        <v>0</v>
      </c>
      <c r="M823" s="24" t="str">
        <f>IFERROR(VLOOKUP(B823,'03. THIẾT BỊ'!$B$1:$S$836,12,0),"")</f>
        <v>Gia công mới</v>
      </c>
      <c r="N823" s="25" t="str">
        <f>IFERROR(VLOOKUP(B823,'03. THIẾT BỊ'!$B$1:$S$836,13,0),"")</f>
        <v>THACO AGRI</v>
      </c>
      <c r="O823" s="24" t="str">
        <f>IFERROR(VLOOKUP(B823,'03. THIẾT BỊ'!$B$1:$S$836,14,0),"")</f>
        <v>CLT</v>
      </c>
      <c r="P823" s="25" t="str">
        <f>IFERROR(VLOOKUP(B823,'03. THIẾT BỊ'!$B$1:$S$836,15,0),"")</f>
        <v>CK-CGH</v>
      </c>
      <c r="Q823" s="23">
        <f>IFERROR(VLOOKUP(B823,'03. THIẾT BỊ'!$B$1:$S$836,16,0),"")</f>
        <v>2024</v>
      </c>
      <c r="R823" s="25" t="str">
        <f>IFERROR(VLOOKUP(B823,'03. THIẾT BỊ'!$B$1:$S$836,17,0),"")</f>
        <v>5,5x1,9x2,21m</v>
      </c>
      <c r="S823" s="25">
        <f>IFERROR(VLOOKUP(B823,'03. THIẾT BỊ'!$B$1:$S$836,18,0),"")</f>
        <v>0</v>
      </c>
      <c r="T823" s="41"/>
    </row>
    <row r="824" ht="13.8" spans="1:20">
      <c r="A824" s="49">
        <f t="shared" si="39"/>
        <v>16</v>
      </c>
      <c r="B824" s="20" t="s">
        <v>4885</v>
      </c>
      <c r="C824" s="613">
        <f>IFERROR(VLOOKUP(B824,'03. THIẾT BỊ'!$B$1:$S$836,2,0),"")</f>
        <v>0</v>
      </c>
      <c r="D824" s="24" t="str">
        <f>IFERROR(VLOOKUP(B824,'03. THIẾT BỊ'!$B$1:$S$836,3,0),"")</f>
        <v>A24-MCL-001</v>
      </c>
      <c r="E824" s="20" t="str">
        <f>IFERROR(VLOOKUP(B824,'03. THIẾT BỊ'!$B$1:$S$836,4,0),"")</f>
        <v>ĐQSD</v>
      </c>
      <c r="F824" s="20" t="str">
        <f>IFERROR(VLOOKUP(B824,'03. THIẾT BỊ'!$B$1:$S$836,5,0),"")</f>
        <v>Rơ mooc clethon</v>
      </c>
      <c r="G824" s="101" t="s">
        <v>6468</v>
      </c>
      <c r="H824" s="19" t="str">
        <f>IFERROR(VLOOKUP(B824,'03. THIẾT BỊ'!$B$1:$S$836,7,0),"")</f>
        <v>XN Chuối LP3</v>
      </c>
      <c r="I824" s="610" t="str">
        <f>IFERROR(VLOOKUP(B824,'03. THIẾT BỊ'!$B$1:$S$836,8,0),"")</f>
        <v>29/09/2025</v>
      </c>
      <c r="J824" s="25"/>
      <c r="K824" s="19" t="str">
        <f>IFERROR(VLOOKUP(B824,'03. THIẾT BỊ'!$B$1:$S$836,10,0),"")</f>
        <v>Bình thường</v>
      </c>
      <c r="L824" s="25">
        <f>IFERROR(VLOOKUP(B824,'03. THIẾT BỊ'!$B$1:$S$836,11,0),"")</f>
        <v>0</v>
      </c>
      <c r="M824" s="24" t="str">
        <f>IFERROR(VLOOKUP(B824,'03. THIẾT BỊ'!$B$1:$S$836,12,0),"")</f>
        <v>Gia công mới</v>
      </c>
      <c r="N824" s="25" t="str">
        <f>IFERROR(VLOOKUP(B824,'03. THIẾT BỊ'!$B$1:$S$836,13,0),"")</f>
        <v>THACO AGRI</v>
      </c>
      <c r="O824" s="24" t="str">
        <f>IFERROR(VLOOKUP(B824,'03. THIẾT BỊ'!$B$1:$S$836,14,0),"")</f>
        <v>CK-MCL</v>
      </c>
      <c r="P824" s="25" t="str">
        <f>IFERROR(VLOOKUP(B824,'03. THIẾT BỊ'!$B$1:$S$836,15,0),"")</f>
        <v>CK-CGH</v>
      </c>
      <c r="Q824" s="23">
        <f>IFERROR(VLOOKUP(B824,'03. THIẾT BỊ'!$B$1:$S$836,16,0),"")</f>
        <v>0</v>
      </c>
      <c r="R824" s="25">
        <f>IFERROR(VLOOKUP(B824,'03. THIẾT BỊ'!$B$1:$S$836,17,0),"")</f>
        <v>0</v>
      </c>
      <c r="S824" s="25" t="str">
        <f>IFERROR(VLOOKUP(B824,'03. THIẾT BỊ'!$B$1:$S$836,18,0),"")</f>
        <v>5,4x1,8x0,9</v>
      </c>
      <c r="T824" s="41"/>
    </row>
    <row r="825" ht="13.8" spans="1:20">
      <c r="A825" s="49">
        <f t="shared" si="39"/>
        <v>17</v>
      </c>
      <c r="B825" s="20" t="s">
        <v>4889</v>
      </c>
      <c r="C825" s="613">
        <f>IFERROR(VLOOKUP(B825,'03. THIẾT BỊ'!$B$1:$S$836,2,0),"")</f>
        <v>0</v>
      </c>
      <c r="D825" s="24" t="str">
        <f>IFERROR(VLOOKUP(B825,'03. THIẾT BỊ'!$B$1:$S$836,3,0),"")</f>
        <v>A24-MCL-002</v>
      </c>
      <c r="E825" s="20" t="str">
        <f>IFERROR(VLOOKUP(B825,'03. THIẾT BỊ'!$B$1:$S$836,4,0),"")</f>
        <v>ĐQSD</v>
      </c>
      <c r="F825" s="20" t="str">
        <f>IFERROR(VLOOKUP(B825,'03. THIẾT BỊ'!$B$1:$S$836,5,0),"")</f>
        <v>Rơ mooc clethon</v>
      </c>
      <c r="G825" s="101" t="s">
        <v>6468</v>
      </c>
      <c r="H825" s="19" t="str">
        <f>IFERROR(VLOOKUP(B825,'03. THIẾT BỊ'!$B$1:$S$836,7,0),"")</f>
        <v>XN Chuối LP3</v>
      </c>
      <c r="I825" s="610" t="str">
        <f>IFERROR(VLOOKUP(B825,'03. THIẾT BỊ'!$B$1:$S$836,8,0),"")</f>
        <v>26/11/2025</v>
      </c>
      <c r="J825" s="25"/>
      <c r="K825" s="19" t="str">
        <f>IFERROR(VLOOKUP(B825,'03. THIẾT BỊ'!$B$1:$S$836,10,0),"")</f>
        <v>Bình thường</v>
      </c>
      <c r="L825" s="25">
        <f>IFERROR(VLOOKUP(B825,'03. THIẾT BỊ'!$B$1:$S$836,11,0),"")</f>
        <v>0</v>
      </c>
      <c r="M825" s="24" t="str">
        <f>IFERROR(VLOOKUP(B825,'03. THIẾT BỊ'!$B$1:$S$836,12,0),"")</f>
        <v>Gia công mới</v>
      </c>
      <c r="N825" s="25" t="str">
        <f>IFERROR(VLOOKUP(B825,'03. THIẾT BỊ'!$B$1:$S$836,13,0),"")</f>
        <v>THACO AGRI</v>
      </c>
      <c r="O825" s="24" t="str">
        <f>IFERROR(VLOOKUP(B825,'03. THIẾT BỊ'!$B$1:$S$836,14,0),"")</f>
        <v>CK-MCL</v>
      </c>
      <c r="P825" s="25" t="str">
        <f>IFERROR(VLOOKUP(B825,'03. THIẾT BỊ'!$B$1:$S$836,15,0),"")</f>
        <v>CK-CGH</v>
      </c>
      <c r="Q825" s="23">
        <f>IFERROR(VLOOKUP(B825,'03. THIẾT BỊ'!$B$1:$S$836,16,0),"")</f>
        <v>0</v>
      </c>
      <c r="R825" s="25">
        <f>IFERROR(VLOOKUP(B825,'03. THIẾT BỊ'!$B$1:$S$836,17,0),"")</f>
        <v>0</v>
      </c>
      <c r="S825" s="25">
        <f>IFERROR(VLOOKUP(B825,'03. THIẾT BỊ'!$B$1:$S$836,18,0),"")</f>
        <v>0</v>
      </c>
      <c r="T825" s="41"/>
    </row>
    <row r="826" ht="13.8" spans="1:20">
      <c r="A826" s="49">
        <f t="shared" si="39"/>
        <v>18</v>
      </c>
      <c r="B826" s="20" t="s">
        <v>4891</v>
      </c>
      <c r="C826" s="613">
        <f>IFERROR(VLOOKUP(B826,'03. THIẾT BỊ'!$B$1:$S$836,2,0),"")</f>
        <v>0</v>
      </c>
      <c r="D826" s="24" t="str">
        <f>IFERROR(VLOOKUP(B826,'03. THIẾT BỊ'!$B$1:$S$836,3,0),"")</f>
        <v>A24-MCL-003</v>
      </c>
      <c r="E826" s="20" t="str">
        <f>IFERROR(VLOOKUP(B826,'03. THIẾT BỊ'!$B$1:$S$836,4,0),"")</f>
        <v>ĐQSD</v>
      </c>
      <c r="F826" s="20" t="str">
        <f>IFERROR(VLOOKUP(B826,'03. THIẾT BỊ'!$B$1:$S$836,5,0),"")</f>
        <v>Rơ mooc clethon</v>
      </c>
      <c r="G826" s="101" t="s">
        <v>6468</v>
      </c>
      <c r="H826" s="19" t="str">
        <f>IFERROR(VLOOKUP(B826,'03. THIẾT BỊ'!$B$1:$S$836,7,0),"")</f>
        <v>XN Chuối LP3</v>
      </c>
      <c r="I826" s="610" t="str">
        <f>IFERROR(VLOOKUP(B826,'03. THIẾT BỊ'!$B$1:$S$836,8,0),"")</f>
        <v>26/11/2025</v>
      </c>
      <c r="J826" s="25"/>
      <c r="K826" s="19" t="str">
        <f>IFERROR(VLOOKUP(B826,'03. THIẾT BỊ'!$B$1:$S$836,10,0),"")</f>
        <v>Bình thường</v>
      </c>
      <c r="L826" s="25">
        <f>IFERROR(VLOOKUP(B826,'03. THIẾT BỊ'!$B$1:$S$836,11,0),"")</f>
        <v>0</v>
      </c>
      <c r="M826" s="24" t="str">
        <f>IFERROR(VLOOKUP(B826,'03. THIẾT BỊ'!$B$1:$S$836,12,0),"")</f>
        <v>Gia công mới</v>
      </c>
      <c r="N826" s="25" t="str">
        <f>IFERROR(VLOOKUP(B826,'03. THIẾT BỊ'!$B$1:$S$836,13,0),"")</f>
        <v>THACO AGRI</v>
      </c>
      <c r="O826" s="24" t="str">
        <f>IFERROR(VLOOKUP(B826,'03. THIẾT BỊ'!$B$1:$S$836,14,0),"")</f>
        <v>CK-MCL</v>
      </c>
      <c r="P826" s="25" t="str">
        <f>IFERROR(VLOOKUP(B826,'03. THIẾT BỊ'!$B$1:$S$836,15,0),"")</f>
        <v>CK-CGH</v>
      </c>
      <c r="Q826" s="23">
        <f>IFERROR(VLOOKUP(B826,'03. THIẾT BỊ'!$B$1:$S$836,16,0),"")</f>
        <v>0</v>
      </c>
      <c r="R826" s="25">
        <f>IFERROR(VLOOKUP(B826,'03. THIẾT BỊ'!$B$1:$S$836,17,0),"")</f>
        <v>0</v>
      </c>
      <c r="S826" s="25">
        <f>IFERROR(VLOOKUP(B826,'03. THIẾT BỊ'!$B$1:$S$836,18,0),"")</f>
        <v>0</v>
      </c>
      <c r="T826" s="41"/>
    </row>
    <row r="827" ht="13.8" spans="1:20">
      <c r="A827" s="49">
        <f t="shared" si="39"/>
        <v>19</v>
      </c>
      <c r="B827" s="20" t="s">
        <v>4487</v>
      </c>
      <c r="C827" s="613">
        <f>IFERROR(VLOOKUP(B827,'03. THIẾT BỊ'!$B$1:$S$836,2,0),"")</f>
        <v>0</v>
      </c>
      <c r="D827" s="24" t="str">
        <f>IFERROR(VLOOKUP(B827,'03. THIẾT BỊ'!$B$1:$S$836,3,0),"")</f>
        <v>A23-MCL-001</v>
      </c>
      <c r="E827" s="20" t="str">
        <f>IFERROR(VLOOKUP(B827,'03. THIẾT BỊ'!$B$1:$S$836,4,0),"")</f>
        <v>ĐQSD</v>
      </c>
      <c r="F827" s="20" t="str">
        <f>IFERROR(VLOOKUP(B827,'03. THIẾT BỊ'!$B$1:$S$836,5,0),"")</f>
        <v>Rơ mooc clethon</v>
      </c>
      <c r="G827" s="101" t="s">
        <v>6468</v>
      </c>
      <c r="H827" s="19" t="str">
        <f>IFERROR(VLOOKUP(B827,'03. THIẾT BỊ'!$B$1:$S$836,7,0),"")</f>
        <v>XN Chuối DP2</v>
      </c>
      <c r="I827" s="610">
        <f>IFERROR(VLOOKUP(B827,'03. THIẾT BỊ'!$B$1:$S$836,8,0),"")</f>
        <v>0</v>
      </c>
      <c r="J827" s="25"/>
      <c r="K827" s="19" t="str">
        <f>IFERROR(VLOOKUP(B827,'03. THIẾT BỊ'!$B$1:$S$836,10,0),"")</f>
        <v>Bình thường</v>
      </c>
      <c r="L827" s="25">
        <f>IFERROR(VLOOKUP(B827,'03. THIẾT BỊ'!$B$1:$S$836,11,0),"")</f>
        <v>0</v>
      </c>
      <c r="M827" s="24">
        <f>IFERROR(VLOOKUP(B827,'03. THIẾT BỊ'!$B$1:$S$836,12,0),"")</f>
        <v>0</v>
      </c>
      <c r="N827" s="25" t="str">
        <f>IFERROR(VLOOKUP(B827,'03. THIẾT BỊ'!$B$1:$S$836,13,0),"")</f>
        <v>THACO AGRI</v>
      </c>
      <c r="O827" s="24">
        <f>IFERROR(VLOOKUP(B827,'03. THIẾT BỊ'!$B$1:$S$836,14,0),"")</f>
        <v>0</v>
      </c>
      <c r="P827" s="25" t="str">
        <f>IFERROR(VLOOKUP(B827,'03. THIẾT BỊ'!$B$1:$S$836,15,0),"")</f>
        <v>CK-CGH</v>
      </c>
      <c r="Q827" s="23">
        <f>IFERROR(VLOOKUP(B827,'03. THIẾT BỊ'!$B$1:$S$836,16,0),"")</f>
        <v>0</v>
      </c>
      <c r="R827" s="25" t="str">
        <f>IFERROR(VLOOKUP(B827,'03. THIẾT BỊ'!$B$1:$S$836,17,0),"")</f>
        <v>4.5x2.5x1.4</v>
      </c>
      <c r="S827" s="25">
        <f>IFERROR(VLOOKUP(B827,'03. THIẾT BỊ'!$B$1:$S$836,18,0),"")</f>
        <v>0</v>
      </c>
      <c r="T827" s="41"/>
    </row>
    <row r="828" ht="13.8" spans="1:20">
      <c r="A828" s="49">
        <f t="shared" si="39"/>
        <v>20</v>
      </c>
      <c r="B828" s="20" t="s">
        <v>4490</v>
      </c>
      <c r="C828" s="613">
        <f>IFERROR(VLOOKUP(B828,'03. THIẾT BỊ'!$B$1:$S$836,2,0),"")</f>
        <v>0</v>
      </c>
      <c r="D828" s="24" t="str">
        <f>IFERROR(VLOOKUP(B828,'03. THIẾT BỊ'!$B$1:$S$836,3,0),"")</f>
        <v>A23-MCL-002</v>
      </c>
      <c r="E828" s="20" t="str">
        <f>IFERROR(VLOOKUP(B828,'03. THIẾT BỊ'!$B$1:$S$836,4,0),"")</f>
        <v>ĐQSD</v>
      </c>
      <c r="F828" s="20" t="str">
        <f>IFERROR(VLOOKUP(B828,'03. THIẾT BỊ'!$B$1:$S$836,5,0),"")</f>
        <v>Rơ mooc clethon</v>
      </c>
      <c r="G828" s="101" t="s">
        <v>6468</v>
      </c>
      <c r="H828" s="19" t="str">
        <f>IFERROR(VLOOKUP(B828,'03. THIẾT BỊ'!$B$1:$S$836,7,0),"")</f>
        <v>XN Chuối DP2</v>
      </c>
      <c r="I828" s="610">
        <f>IFERROR(VLOOKUP(B828,'03. THIẾT BỊ'!$B$1:$S$836,8,0),"")</f>
        <v>0</v>
      </c>
      <c r="J828" s="25"/>
      <c r="K828" s="19" t="str">
        <f>IFERROR(VLOOKUP(B828,'03. THIẾT BỊ'!$B$1:$S$836,10,0),"")</f>
        <v>Bình thường</v>
      </c>
      <c r="L828" s="25">
        <f>IFERROR(VLOOKUP(B828,'03. THIẾT BỊ'!$B$1:$S$836,11,0),"")</f>
        <v>0</v>
      </c>
      <c r="M828" s="24">
        <f>IFERROR(VLOOKUP(B828,'03. THIẾT BỊ'!$B$1:$S$836,12,0),"")</f>
        <v>0</v>
      </c>
      <c r="N828" s="25" t="str">
        <f>IFERROR(VLOOKUP(B828,'03. THIẾT BỊ'!$B$1:$S$836,13,0),"")</f>
        <v>THACO AGRI</v>
      </c>
      <c r="O828" s="24">
        <f>IFERROR(VLOOKUP(B828,'03. THIẾT BỊ'!$B$1:$S$836,14,0),"")</f>
        <v>0</v>
      </c>
      <c r="P828" s="25" t="str">
        <f>IFERROR(VLOOKUP(B828,'03. THIẾT BỊ'!$B$1:$S$836,15,0),"")</f>
        <v>CK-CGH</v>
      </c>
      <c r="Q828" s="23">
        <f>IFERROR(VLOOKUP(B828,'03. THIẾT BỊ'!$B$1:$S$836,16,0),"")</f>
        <v>0</v>
      </c>
      <c r="R828" s="25" t="str">
        <f>IFERROR(VLOOKUP(B828,'03. THIẾT BỊ'!$B$1:$S$836,17,0),"")</f>
        <v>4.5x2.5x1.4</v>
      </c>
      <c r="S828" s="25">
        <f>IFERROR(VLOOKUP(B828,'03. THIẾT BỊ'!$B$1:$S$836,18,0),"")</f>
        <v>0</v>
      </c>
      <c r="T828" s="41"/>
    </row>
    <row r="829" ht="13.8" spans="1:20">
      <c r="A829" s="49">
        <f t="shared" si="39"/>
        <v>21</v>
      </c>
      <c r="B829" s="20"/>
      <c r="C829" s="613" t="str">
        <f>IFERROR(VLOOKUP(B829,'03. THIẾT BỊ'!$B$1:$S$836,2,0),"")</f>
        <v/>
      </c>
      <c r="D829" s="24" t="str">
        <f>IFERROR(VLOOKUP(B829,'03. THIẾT BỊ'!$B$1:$S$836,3,0),"")</f>
        <v/>
      </c>
      <c r="E829" s="20" t="str">
        <f>IFERROR(VLOOKUP(B829,'03. THIẾT BỊ'!$B$1:$S$836,4,0),"")</f>
        <v/>
      </c>
      <c r="F829" s="20" t="str">
        <f>IFERROR(VLOOKUP(B829,'03. THIẾT BỊ'!$B$1:$S$836,5,0),"")</f>
        <v/>
      </c>
      <c r="G829" s="101" t="s">
        <v>6468</v>
      </c>
      <c r="H829" s="19" t="str">
        <f>IFERROR(VLOOKUP(B829,'03. THIẾT BỊ'!$B$1:$S$836,7,0),"")</f>
        <v/>
      </c>
      <c r="I829" s="610" t="str">
        <f>IFERROR(VLOOKUP(B829,'03. THIẾT BỊ'!$B$1:$S$836,8,0),"")</f>
        <v/>
      </c>
      <c r="J829" s="25"/>
      <c r="K829" s="19" t="str">
        <f>IFERROR(VLOOKUP(B829,'03. THIẾT BỊ'!$B$1:$S$836,10,0),"")</f>
        <v/>
      </c>
      <c r="L829" s="25" t="str">
        <f>IFERROR(VLOOKUP(B829,'03. THIẾT BỊ'!$B$1:$S$836,11,0),"")</f>
        <v/>
      </c>
      <c r="M829" s="24" t="str">
        <f>IFERROR(VLOOKUP(B829,'03. THIẾT BỊ'!$B$1:$S$836,12,0),"")</f>
        <v/>
      </c>
      <c r="N829" s="25" t="str">
        <f>IFERROR(VLOOKUP(B829,'03. THIẾT BỊ'!$B$1:$S$836,13,0),"")</f>
        <v/>
      </c>
      <c r="O829" s="24" t="str">
        <f>IFERROR(VLOOKUP(B829,'03. THIẾT BỊ'!$B$1:$S$836,14,0),"")</f>
        <v/>
      </c>
      <c r="P829" s="25" t="str">
        <f>IFERROR(VLOOKUP(B829,'03. THIẾT BỊ'!$B$1:$S$836,15,0),"")</f>
        <v/>
      </c>
      <c r="Q829" s="23" t="str">
        <f>IFERROR(VLOOKUP(B829,'03. THIẾT BỊ'!$B$1:$S$836,16,0),"")</f>
        <v/>
      </c>
      <c r="R829" s="25" t="str">
        <f>IFERROR(VLOOKUP(B829,'03. THIẾT BỊ'!$B$1:$S$836,17,0),"")</f>
        <v/>
      </c>
      <c r="S829" s="25" t="str">
        <f>IFERROR(VLOOKUP(B829,'03. THIẾT BỊ'!$B$1:$S$836,18,0),"")</f>
        <v/>
      </c>
      <c r="T829" s="41"/>
    </row>
    <row r="830" ht="13.8" spans="1:20">
      <c r="A830" s="49">
        <f t="shared" si="39"/>
        <v>22</v>
      </c>
      <c r="B830" s="20"/>
      <c r="C830" s="613" t="str">
        <f>IFERROR(VLOOKUP(B830,'03. THIẾT BỊ'!$B$1:$S$836,2,0),"")</f>
        <v/>
      </c>
      <c r="D830" s="24" t="str">
        <f>IFERROR(VLOOKUP(B830,'03. THIẾT BỊ'!$B$1:$S$836,3,0),"")</f>
        <v/>
      </c>
      <c r="E830" s="20" t="str">
        <f>IFERROR(VLOOKUP(B830,'03. THIẾT BỊ'!$B$1:$S$836,4,0),"")</f>
        <v/>
      </c>
      <c r="F830" s="20" t="str">
        <f>IFERROR(VLOOKUP(B830,'03. THIẾT BỊ'!$B$1:$S$836,5,0),"")</f>
        <v/>
      </c>
      <c r="G830" s="101" t="s">
        <v>6468</v>
      </c>
      <c r="H830" s="19" t="str">
        <f>IFERROR(VLOOKUP(B830,'03. THIẾT BỊ'!$B$1:$S$836,7,0),"")</f>
        <v/>
      </c>
      <c r="I830" s="610" t="str">
        <f>IFERROR(VLOOKUP(B830,'03. THIẾT BỊ'!$B$1:$S$836,8,0),"")</f>
        <v/>
      </c>
      <c r="J830" s="25"/>
      <c r="K830" s="19" t="str">
        <f>IFERROR(VLOOKUP(B830,'03. THIẾT BỊ'!$B$1:$S$836,10,0),"")</f>
        <v/>
      </c>
      <c r="L830" s="25" t="str">
        <f>IFERROR(VLOOKUP(B830,'03. THIẾT BỊ'!$B$1:$S$836,11,0),"")</f>
        <v/>
      </c>
      <c r="M830" s="24" t="str">
        <f>IFERROR(VLOOKUP(B830,'03. THIẾT BỊ'!$B$1:$S$836,12,0),"")</f>
        <v/>
      </c>
      <c r="N830" s="25" t="str">
        <f>IFERROR(VLOOKUP(B830,'03. THIẾT BỊ'!$B$1:$S$836,13,0),"")</f>
        <v/>
      </c>
      <c r="O830" s="24" t="str">
        <f>IFERROR(VLOOKUP(B830,'03. THIẾT BỊ'!$B$1:$S$836,14,0),"")</f>
        <v/>
      </c>
      <c r="P830" s="25" t="str">
        <f>IFERROR(VLOOKUP(B830,'03. THIẾT BỊ'!$B$1:$S$836,15,0),"")</f>
        <v/>
      </c>
      <c r="Q830" s="23" t="str">
        <f>IFERROR(VLOOKUP(B830,'03. THIẾT BỊ'!$B$1:$S$836,16,0),"")</f>
        <v/>
      </c>
      <c r="R830" s="25" t="str">
        <f>IFERROR(VLOOKUP(B830,'03. THIẾT BỊ'!$B$1:$S$836,17,0),"")</f>
        <v/>
      </c>
      <c r="S830" s="25" t="str">
        <f>IFERROR(VLOOKUP(B830,'03. THIẾT BỊ'!$B$1:$S$836,18,0),"")</f>
        <v/>
      </c>
      <c r="T830" s="41"/>
    </row>
    <row r="831" ht="13.8" spans="1:20">
      <c r="A831" s="49">
        <f t="shared" si="39"/>
        <v>23</v>
      </c>
      <c r="B831" s="20"/>
      <c r="C831" s="613" t="str">
        <f>IFERROR(VLOOKUP(B831,'03. THIẾT BỊ'!$B$1:$S$836,2,0),"")</f>
        <v/>
      </c>
      <c r="D831" s="24" t="str">
        <f>IFERROR(VLOOKUP(B831,'03. THIẾT BỊ'!$B$1:$S$836,3,0),"")</f>
        <v/>
      </c>
      <c r="E831" s="20" t="str">
        <f>IFERROR(VLOOKUP(B831,'03. THIẾT BỊ'!$B$1:$S$836,4,0),"")</f>
        <v/>
      </c>
      <c r="F831" s="20" t="str">
        <f>IFERROR(VLOOKUP(B831,'03. THIẾT BỊ'!$B$1:$S$836,5,0),"")</f>
        <v/>
      </c>
      <c r="G831" s="101" t="s">
        <v>6468</v>
      </c>
      <c r="H831" s="19" t="str">
        <f>IFERROR(VLOOKUP(B831,'03. THIẾT BỊ'!$B$1:$S$836,7,0),"")</f>
        <v/>
      </c>
      <c r="I831" s="610" t="str">
        <f>IFERROR(VLOOKUP(B831,'03. THIẾT BỊ'!$B$1:$S$836,8,0),"")</f>
        <v/>
      </c>
      <c r="J831" s="25"/>
      <c r="K831" s="19" t="str">
        <f>IFERROR(VLOOKUP(B831,'03. THIẾT BỊ'!$B$1:$S$836,10,0),"")</f>
        <v/>
      </c>
      <c r="L831" s="25" t="str">
        <f>IFERROR(VLOOKUP(B831,'03. THIẾT BỊ'!$B$1:$S$836,11,0),"")</f>
        <v/>
      </c>
      <c r="M831" s="24" t="str">
        <f>IFERROR(VLOOKUP(B831,'03. THIẾT BỊ'!$B$1:$S$836,12,0),"")</f>
        <v/>
      </c>
      <c r="N831" s="25" t="str">
        <f>IFERROR(VLOOKUP(B831,'03. THIẾT BỊ'!$B$1:$S$836,13,0),"")</f>
        <v/>
      </c>
      <c r="O831" s="24" t="str">
        <f>IFERROR(VLOOKUP(B831,'03. THIẾT BỊ'!$B$1:$S$836,14,0),"")</f>
        <v/>
      </c>
      <c r="P831" s="25" t="str">
        <f>IFERROR(VLOOKUP(B831,'03. THIẾT BỊ'!$B$1:$S$836,15,0),"")</f>
        <v/>
      </c>
      <c r="Q831" s="23" t="str">
        <f>IFERROR(VLOOKUP(B831,'03. THIẾT BỊ'!$B$1:$S$836,16,0),"")</f>
        <v/>
      </c>
      <c r="R831" s="25" t="str">
        <f>IFERROR(VLOOKUP(B831,'03. THIẾT BỊ'!$B$1:$S$836,17,0),"")</f>
        <v/>
      </c>
      <c r="S831" s="25" t="str">
        <f>IFERROR(VLOOKUP(B831,'03. THIẾT BỊ'!$B$1:$S$836,18,0),"")</f>
        <v/>
      </c>
      <c r="T831" s="41"/>
    </row>
    <row r="832" ht="13.8" spans="1:20">
      <c r="A832" s="49">
        <f t="shared" si="39"/>
        <v>24</v>
      </c>
      <c r="B832" s="20"/>
      <c r="C832" s="613" t="str">
        <f>IFERROR(VLOOKUP(B832,'03. THIẾT BỊ'!$B$1:$S$836,2,0),"")</f>
        <v/>
      </c>
      <c r="D832" s="24" t="str">
        <f>IFERROR(VLOOKUP(B832,'03. THIẾT BỊ'!$B$1:$S$836,3,0),"")</f>
        <v/>
      </c>
      <c r="E832" s="20" t="str">
        <f>IFERROR(VLOOKUP(B832,'03. THIẾT BỊ'!$B$1:$S$836,4,0),"")</f>
        <v/>
      </c>
      <c r="F832" s="20" t="str">
        <f>IFERROR(VLOOKUP(B832,'03. THIẾT BỊ'!$B$1:$S$836,5,0),"")</f>
        <v/>
      </c>
      <c r="G832" s="101" t="s">
        <v>6468</v>
      </c>
      <c r="H832" s="19" t="str">
        <f>IFERROR(VLOOKUP(B832,'03. THIẾT BỊ'!$B$1:$S$836,7,0),"")</f>
        <v/>
      </c>
      <c r="I832" s="610" t="str">
        <f>IFERROR(VLOOKUP(B832,'03. THIẾT BỊ'!$B$1:$S$836,8,0),"")</f>
        <v/>
      </c>
      <c r="J832" s="25"/>
      <c r="K832" s="19" t="str">
        <f>IFERROR(VLOOKUP(B832,'03. THIẾT BỊ'!$B$1:$S$836,10,0),"")</f>
        <v/>
      </c>
      <c r="L832" s="25" t="str">
        <f>IFERROR(VLOOKUP(B832,'03. THIẾT BỊ'!$B$1:$S$836,11,0),"")</f>
        <v/>
      </c>
      <c r="M832" s="24" t="str">
        <f>IFERROR(VLOOKUP(B832,'03. THIẾT BỊ'!$B$1:$S$836,12,0),"")</f>
        <v/>
      </c>
      <c r="N832" s="25" t="str">
        <f>IFERROR(VLOOKUP(B832,'03. THIẾT BỊ'!$B$1:$S$836,13,0),"")</f>
        <v/>
      </c>
      <c r="O832" s="24" t="str">
        <f>IFERROR(VLOOKUP(B832,'03. THIẾT BỊ'!$B$1:$S$836,14,0),"")</f>
        <v/>
      </c>
      <c r="P832" s="25" t="str">
        <f>IFERROR(VLOOKUP(B832,'03. THIẾT BỊ'!$B$1:$S$836,15,0),"")</f>
        <v/>
      </c>
      <c r="Q832" s="23" t="str">
        <f>IFERROR(VLOOKUP(B832,'03. THIẾT BỊ'!$B$1:$S$836,16,0),"")</f>
        <v/>
      </c>
      <c r="R832" s="25" t="str">
        <f>IFERROR(VLOOKUP(B832,'03. THIẾT BỊ'!$B$1:$S$836,17,0),"")</f>
        <v/>
      </c>
      <c r="S832" s="25" t="str">
        <f>IFERROR(VLOOKUP(B832,'03. THIẾT BỊ'!$B$1:$S$836,18,0),"")</f>
        <v/>
      </c>
      <c r="T832" s="41"/>
    </row>
    <row r="833" ht="13.8" spans="1:20">
      <c r="A833" s="49">
        <f t="shared" si="39"/>
        <v>25</v>
      </c>
      <c r="B833" s="20"/>
      <c r="C833" s="613" t="str">
        <f>IFERROR(VLOOKUP(B833,'03. THIẾT BỊ'!$B$1:$S$836,2,0),"")</f>
        <v/>
      </c>
      <c r="D833" s="24" t="str">
        <f>IFERROR(VLOOKUP(B833,'03. THIẾT BỊ'!$B$1:$S$836,3,0),"")</f>
        <v/>
      </c>
      <c r="E833" s="20" t="str">
        <f>IFERROR(VLOOKUP(B833,'03. THIẾT BỊ'!$B$1:$S$836,4,0),"")</f>
        <v/>
      </c>
      <c r="F833" s="20" t="str">
        <f>IFERROR(VLOOKUP(B833,'03. THIẾT BỊ'!$B$1:$S$836,5,0),"")</f>
        <v/>
      </c>
      <c r="G833" s="101" t="s">
        <v>6468</v>
      </c>
      <c r="H833" s="19" t="str">
        <f>IFERROR(VLOOKUP(B833,'03. THIẾT BỊ'!$B$1:$S$836,7,0),"")</f>
        <v/>
      </c>
      <c r="I833" s="610" t="str">
        <f>IFERROR(VLOOKUP(B833,'03. THIẾT BỊ'!$B$1:$S$836,8,0),"")</f>
        <v/>
      </c>
      <c r="J833" s="25"/>
      <c r="K833" s="19" t="str">
        <f>IFERROR(VLOOKUP(B833,'03. THIẾT BỊ'!$B$1:$S$836,10,0),"")</f>
        <v/>
      </c>
      <c r="L833" s="25" t="str">
        <f>IFERROR(VLOOKUP(B833,'03. THIẾT BỊ'!$B$1:$S$836,11,0),"")</f>
        <v/>
      </c>
      <c r="M833" s="24" t="str">
        <f>IFERROR(VLOOKUP(B833,'03. THIẾT BỊ'!$B$1:$S$836,12,0),"")</f>
        <v/>
      </c>
      <c r="N833" s="25" t="str">
        <f>IFERROR(VLOOKUP(B833,'03. THIẾT BỊ'!$B$1:$S$836,13,0),"")</f>
        <v/>
      </c>
      <c r="O833" s="24" t="str">
        <f>IFERROR(VLOOKUP(B833,'03. THIẾT BỊ'!$B$1:$S$836,14,0),"")</f>
        <v/>
      </c>
      <c r="P833" s="25" t="str">
        <f>IFERROR(VLOOKUP(B833,'03. THIẾT BỊ'!$B$1:$S$836,15,0),"")</f>
        <v/>
      </c>
      <c r="Q833" s="23" t="str">
        <f>IFERROR(VLOOKUP(B833,'03. THIẾT BỊ'!$B$1:$S$836,16,0),"")</f>
        <v/>
      </c>
      <c r="R833" s="25" t="str">
        <f>IFERROR(VLOOKUP(B833,'03. THIẾT BỊ'!$B$1:$S$836,17,0),"")</f>
        <v/>
      </c>
      <c r="S833" s="25" t="str">
        <f>IFERROR(VLOOKUP(B833,'03. THIẾT BỊ'!$B$1:$S$836,18,0),"")</f>
        <v/>
      </c>
      <c r="T833" s="41"/>
    </row>
    <row r="834" ht="13.8" spans="1:20">
      <c r="C834" s="613" t="str">
        <f>IFERROR(VLOOKUP(B834,'03. THIẾT BỊ'!$B$1:$S$836,2,0),"")</f>
        <v/>
      </c>
      <c r="D834" s="24" t="str">
        <f>IFERROR(VLOOKUP(B834,'03. THIẾT BỊ'!$B$1:$S$836,3,0),"")</f>
        <v/>
      </c>
      <c r="E834" s="20" t="str">
        <f>IFERROR(VLOOKUP(B834,'03. THIẾT BỊ'!$B$1:$S$836,4,0),"")</f>
        <v/>
      </c>
      <c r="F834" s="20" t="str">
        <f>IFERROR(VLOOKUP(B834,'03. THIẾT BỊ'!$B$1:$S$836,5,0),"")</f>
        <v/>
      </c>
      <c r="G834" s="101" t="s">
        <v>6468</v>
      </c>
      <c r="H834" s="19" t="str">
        <f>IFERROR(VLOOKUP(B834,'03. THIẾT BỊ'!$B$1:$S$836,7,0),"")</f>
        <v/>
      </c>
      <c r="I834" s="610" t="str">
        <f>IFERROR(VLOOKUP(B834,'03. THIẾT BỊ'!$B$1:$S$836,8,0),"")</f>
        <v/>
      </c>
      <c r="J834" s="25"/>
      <c r="K834" s="19" t="str">
        <f>IFERROR(VLOOKUP(B834,'03. THIẾT BỊ'!$B$1:$S$836,10,0),"")</f>
        <v/>
      </c>
      <c r="L834" s="25" t="str">
        <f>IFERROR(VLOOKUP(B834,'03. THIẾT BỊ'!$B$1:$S$836,11,0),"")</f>
        <v/>
      </c>
      <c r="M834" s="24" t="str">
        <f>IFERROR(VLOOKUP(B834,'03. THIẾT BỊ'!$B$1:$S$836,12,0),"")</f>
        <v/>
      </c>
      <c r="N834" s="25" t="str">
        <f>IFERROR(VLOOKUP(B834,'03. THIẾT BỊ'!$B$1:$S$836,13,0),"")</f>
        <v/>
      </c>
      <c r="O834" s="24" t="str">
        <f>IFERROR(VLOOKUP(B834,'03. THIẾT BỊ'!$B$1:$S$836,14,0),"")</f>
        <v/>
      </c>
      <c r="P834" s="25" t="str">
        <f>IFERROR(VLOOKUP(B834,'03. THIẾT BỊ'!$B$1:$S$836,15,0),"")</f>
        <v/>
      </c>
      <c r="Q834" s="23" t="str">
        <f>IFERROR(VLOOKUP(B834,'03. THIẾT BỊ'!$B$1:$S$836,16,0),"")</f>
        <v/>
      </c>
      <c r="R834" s="25" t="str">
        <f>IFERROR(VLOOKUP(B834,'03. THIẾT BỊ'!$B$1:$S$836,17,0),"")</f>
        <v/>
      </c>
      <c r="S834" s="25" t="str">
        <f>IFERROR(VLOOKUP(B834,'03. THIẾT BỊ'!$B$1:$S$836,18,0),"")</f>
        <v/>
      </c>
    </row>
    <row r="835" ht="13.8" spans="1:20">
      <c r="C835" s="613" t="str">
        <f>IFERROR(VLOOKUP(B835,'03. THIẾT BỊ'!$B$1:$S$836,2,0),"")</f>
        <v/>
      </c>
      <c r="D835" s="24" t="str">
        <f>IFERROR(VLOOKUP(B835,'03. THIẾT BỊ'!$B$1:$S$836,3,0),"")</f>
        <v/>
      </c>
      <c r="E835" s="20" t="str">
        <f>IFERROR(VLOOKUP(B835,'03. THIẾT BỊ'!$B$1:$S$836,4,0),"")</f>
        <v/>
      </c>
      <c r="F835" s="20" t="str">
        <f>IFERROR(VLOOKUP(B835,'03. THIẾT BỊ'!$B$1:$S$836,5,0),"")</f>
        <v/>
      </c>
      <c r="G835" s="101" t="s">
        <v>6468</v>
      </c>
      <c r="H835" s="19" t="str">
        <f>IFERROR(VLOOKUP(B835,'03. THIẾT BỊ'!$B$1:$S$836,7,0),"")</f>
        <v/>
      </c>
      <c r="I835" s="610" t="str">
        <f>IFERROR(VLOOKUP(B835,'03. THIẾT BỊ'!$B$1:$S$836,8,0),"")</f>
        <v/>
      </c>
      <c r="J835" s="25"/>
      <c r="K835" s="19" t="str">
        <f>IFERROR(VLOOKUP(B835,'03. THIẾT BỊ'!$B$1:$S$836,10,0),"")</f>
        <v/>
      </c>
      <c r="L835" s="25" t="str">
        <f>IFERROR(VLOOKUP(B835,'03. THIẾT BỊ'!$B$1:$S$836,11,0),"")</f>
        <v/>
      </c>
      <c r="M835" s="24" t="str">
        <f>IFERROR(VLOOKUP(B835,'03. THIẾT BỊ'!$B$1:$S$836,12,0),"")</f>
        <v/>
      </c>
      <c r="N835" s="25" t="str">
        <f>IFERROR(VLOOKUP(B835,'03. THIẾT BỊ'!$B$1:$S$836,13,0),"")</f>
        <v/>
      </c>
      <c r="O835" s="24" t="str">
        <f>IFERROR(VLOOKUP(B835,'03. THIẾT BỊ'!$B$1:$S$836,14,0),"")</f>
        <v/>
      </c>
      <c r="P835" s="25" t="str">
        <f>IFERROR(VLOOKUP(B835,'03. THIẾT BỊ'!$B$1:$S$836,15,0),"")</f>
        <v/>
      </c>
      <c r="Q835" s="23" t="str">
        <f>IFERROR(VLOOKUP(B835,'03. THIẾT BỊ'!$B$1:$S$836,16,0),"")</f>
        <v/>
      </c>
      <c r="R835" s="25" t="str">
        <f>IFERROR(VLOOKUP(B835,'03. THIẾT BỊ'!$B$1:$S$836,17,0),"")</f>
        <v/>
      </c>
      <c r="S835" s="25" t="str">
        <f>IFERROR(VLOOKUP(B835,'03. THIẾT BỊ'!$B$1:$S$836,18,0),"")</f>
        <v/>
      </c>
    </row>
    <row r="836" ht="13.8" spans="1:20">
      <c r="A836" s="602" t="s">
        <v>290</v>
      </c>
      <c r="B836" s="603" t="s">
        <v>6520</v>
      </c>
      <c r="C836" s="616">
        <f>COUNTA(B837:B851)</f>
        <v>14</v>
      </c>
      <c r="D836" s="617" t="str">
        <f>IFERROR(VLOOKUP(B836,'03. THIẾT BỊ'!$B$1:$S$836,3,0),"")</f>
        <v/>
      </c>
      <c r="E836" s="20" t="str">
        <f>IFERROR(VLOOKUP(B836,'03. THIẾT BỊ'!$B$1:$S$836,4,0),"")</f>
        <v/>
      </c>
      <c r="F836" s="618" t="str">
        <f>IFERROR(VLOOKUP(B836,'03. THIẾT BỊ'!$B$1:$S$836,5,0),"")</f>
        <v/>
      </c>
      <c r="G836" s="619" t="s">
        <v>6468</v>
      </c>
      <c r="H836" s="620" t="str">
        <f>IFERROR(VLOOKUP(B836,'03. THIẾT BỊ'!$B$1:$S$836,7,0),"")</f>
        <v/>
      </c>
      <c r="I836" s="621" t="str">
        <f>IFERROR(VLOOKUP(B836,'03. THIẾT BỊ'!$B$1:$S$836,8,0),"")</f>
        <v/>
      </c>
      <c r="J836" s="618"/>
      <c r="K836" s="620" t="str">
        <f>IFERROR(VLOOKUP(B836,'03. THIẾT BỊ'!$B$1:$S$836,10,0),"")</f>
        <v/>
      </c>
      <c r="L836" s="618" t="str">
        <f>IFERROR(VLOOKUP(B836,'03. THIẾT BỊ'!$B$1:$S$836,11,0),"")</f>
        <v/>
      </c>
      <c r="M836" s="617" t="str">
        <f>IFERROR(VLOOKUP(B836,'03. THIẾT BỊ'!$B$1:$S$836,12,0),"")</f>
        <v/>
      </c>
      <c r="N836" s="618" t="str">
        <f>IFERROR(VLOOKUP(B836,'03. THIẾT BỊ'!$B$1:$S$836,13,0),"")</f>
        <v/>
      </c>
      <c r="O836" s="617" t="str">
        <f>IFERROR(VLOOKUP(B836,'03. THIẾT BỊ'!$B$1:$S$836,14,0),"")</f>
        <v/>
      </c>
      <c r="P836" s="618" t="str">
        <f>IFERROR(VLOOKUP(B836,'03. THIẾT BỊ'!$B$1:$S$836,15,0),"")</f>
        <v/>
      </c>
      <c r="Q836" s="620" t="str">
        <f>IFERROR(VLOOKUP(B836,'03. THIẾT BỊ'!$B$1:$S$836,16,0),"")</f>
        <v/>
      </c>
      <c r="R836" s="618" t="str">
        <f>IFERROR(VLOOKUP(B836,'03. THIẾT BỊ'!$B$1:$S$836,17,0),"")</f>
        <v/>
      </c>
      <c r="S836" s="618" t="str">
        <f>IFERROR(VLOOKUP(B836,'03. THIẾT BỊ'!$B$1:$S$836,18,0),"")</f>
        <v/>
      </c>
      <c r="T836" s="625"/>
    </row>
    <row r="837" customHeight="1" spans="1:20">
      <c r="A837" s="19">
        <v>1</v>
      </c>
      <c r="B837" s="20" t="s">
        <v>5774</v>
      </c>
      <c r="C837" s="613" t="str">
        <f>IFERROR(VLOOKUP(B837,'03. THIẾT BỊ'!$B$1:$S$836,2,0),"")</f>
        <v>92R-00402</v>
      </c>
      <c r="D837" s="24">
        <f>IFERROR(VLOOKUP(B837,'03. THIẾT BỊ'!$B$1:$S$836,3,0),"")</f>
        <v>0</v>
      </c>
      <c r="E837" s="20" t="str">
        <f>IFERROR(VLOOKUP(B837,'03. THIẾT BỊ'!$B$1:$S$836,4,0),"")</f>
        <v>THUÊ THILOGI</v>
      </c>
      <c r="F837" s="20" t="str">
        <f>IFERROR(VLOOKUP(B837,'03. THIẾT BỊ'!$B$1:$S$836,5,0),"")</f>
        <v>SMRM LCD</v>
      </c>
      <c r="G837" s="101" t="s">
        <v>6468</v>
      </c>
      <c r="H837" s="19" t="str">
        <f>IFERROR(VLOOKUP(B837,'03. THIẾT BỊ'!$B$1:$S$836,7,0),"")</f>
        <v>Phòng GNVC</v>
      </c>
      <c r="I837" s="610">
        <f>IFERROR(VLOOKUP(B837,'03. THIẾT BỊ'!$B$1:$S$836,8,0),"")</f>
        <v>0</v>
      </c>
      <c r="J837" s="25"/>
      <c r="K837" s="19" t="str">
        <f>IFERROR(VLOOKUP(B837,'03. THIẾT BỊ'!$B$1:$S$836,10,0),"")</f>
        <v>Bình thường</v>
      </c>
      <c r="L837" s="25">
        <f>IFERROR(VLOOKUP(B837,'03. THIẾT BỊ'!$B$1:$S$836,11,0),"")</f>
        <v>0</v>
      </c>
      <c r="M837" s="24">
        <f>IFERROR(VLOOKUP(B837,'03. THIẾT BỊ'!$B$1:$S$836,12,0),"")</f>
        <v>0</v>
      </c>
      <c r="N837" s="25" t="str">
        <f>IFERROR(VLOOKUP(B837,'03. THIẾT BỊ'!$B$1:$S$836,13,0),"")</f>
        <v>CAMBODIA</v>
      </c>
      <c r="O837" s="24" t="str">
        <f>IFERROR(VLOOKUP(B837,'03. THIẾT BỊ'!$B$1:$S$836,14,0),"")</f>
        <v>Mooc LCD 2T</v>
      </c>
      <c r="P837" s="25" t="str">
        <f>IFERROR(VLOOKUP(B837,'03. THIẾT BỊ'!$B$1:$S$836,15,0),"")</f>
        <v>CAMBODIA</v>
      </c>
      <c r="Q837" s="23">
        <f>IFERROR(VLOOKUP(B837,'03. THIẾT BỊ'!$B$1:$S$836,16,0),"")</f>
        <v>0</v>
      </c>
      <c r="R837" s="25">
        <f>IFERROR(VLOOKUP(B837,'03. THIẾT BỊ'!$B$1:$S$836,17,0),"")</f>
        <v>0</v>
      </c>
      <c r="S837" s="25" t="str">
        <f>IFERROR(VLOOKUP(B837,'03. THIẾT BỊ'!$B$1:$S$836,18,0),"")</f>
        <v>RN0PD230AKC000913</v>
      </c>
      <c r="T837" s="41"/>
    </row>
    <row r="838" customHeight="1" spans="1:20">
      <c r="A838" s="19">
        <v>2</v>
      </c>
      <c r="B838" s="20" t="s">
        <v>5778</v>
      </c>
      <c r="C838" s="613" t="str">
        <f>IFERROR(VLOOKUP(B838,'03. THIẾT BỊ'!$B$1:$S$836,2,0),"")</f>
        <v>92R-00457</v>
      </c>
      <c r="D838" s="24">
        <f>IFERROR(VLOOKUP(B838,'03. THIẾT BỊ'!$B$1:$S$836,3,0),"")</f>
        <v>0</v>
      </c>
      <c r="E838" s="20" t="str">
        <f>IFERROR(VLOOKUP(B838,'03. THIẾT BỊ'!$B$1:$S$836,4,0),"")</f>
        <v>THUÊ THILOGI</v>
      </c>
      <c r="F838" s="20" t="str">
        <f>IFERROR(VLOOKUP(B838,'03. THIẾT BỊ'!$B$1:$S$836,5,0),"")</f>
        <v>SMRM LCD</v>
      </c>
      <c r="G838" s="101" t="s">
        <v>6468</v>
      </c>
      <c r="H838" s="19" t="str">
        <f>IFERROR(VLOOKUP(B838,'03. THIẾT BỊ'!$B$1:$S$836,7,0),"")</f>
        <v>Phòng GNVC</v>
      </c>
      <c r="I838" s="610">
        <f>IFERROR(VLOOKUP(B838,'03. THIẾT BỊ'!$B$1:$S$836,8,0),"")</f>
        <v>0</v>
      </c>
      <c r="J838" s="25"/>
      <c r="K838" s="19" t="str">
        <f>IFERROR(VLOOKUP(B838,'03. THIẾT BỊ'!$B$1:$S$836,10,0),"")</f>
        <v>Bình thường</v>
      </c>
      <c r="L838" s="25">
        <f>IFERROR(VLOOKUP(B838,'03. THIẾT BỊ'!$B$1:$S$836,11,0),"")</f>
        <v>0</v>
      </c>
      <c r="M838" s="24">
        <f>IFERROR(VLOOKUP(B838,'03. THIẾT BỊ'!$B$1:$S$836,12,0),"")</f>
        <v>0</v>
      </c>
      <c r="N838" s="25" t="str">
        <f>IFERROR(VLOOKUP(B838,'03. THIẾT BỊ'!$B$1:$S$836,13,0),"")</f>
        <v>CAMBODIA</v>
      </c>
      <c r="O838" s="24" t="str">
        <f>IFERROR(VLOOKUP(B838,'03. THIẾT BỊ'!$B$1:$S$836,14,0),"")</f>
        <v>Mooc LCD 2T</v>
      </c>
      <c r="P838" s="25" t="str">
        <f>IFERROR(VLOOKUP(B838,'03. THIẾT BỊ'!$B$1:$S$836,15,0),"")</f>
        <v>CAMBODIA</v>
      </c>
      <c r="Q838" s="23">
        <f>IFERROR(VLOOKUP(B838,'03. THIẾT BỊ'!$B$1:$S$836,16,0),"")</f>
        <v>0</v>
      </c>
      <c r="R838" s="25">
        <f>IFERROR(VLOOKUP(B838,'03. THIẾT BỊ'!$B$1:$S$836,17,0),"")</f>
        <v>0</v>
      </c>
      <c r="S838" s="25" t="str">
        <f>IFERROR(VLOOKUP(B838,'03. THIẾT BỊ'!$B$1:$S$836,18,0),"")</f>
        <v>RN0PD230AKC000920</v>
      </c>
      <c r="T838" s="41"/>
    </row>
    <row r="839" customHeight="1" spans="1:20">
      <c r="A839" s="19">
        <v>3</v>
      </c>
      <c r="B839" s="20" t="s">
        <v>5781</v>
      </c>
      <c r="C839" s="613" t="str">
        <f>IFERROR(VLOOKUP(B839,'03. THIẾT BỊ'!$B$1:$S$836,2,0),"")</f>
        <v>92R-00465</v>
      </c>
      <c r="D839" s="24">
        <f>IFERROR(VLOOKUP(B839,'03. THIẾT BỊ'!$B$1:$S$836,3,0),"")</f>
        <v>0</v>
      </c>
      <c r="E839" s="20" t="str">
        <f>IFERROR(VLOOKUP(B839,'03. THIẾT BỊ'!$B$1:$S$836,4,0),"")</f>
        <v>THUÊ THILOGI</v>
      </c>
      <c r="F839" s="20" t="str">
        <f>IFERROR(VLOOKUP(B839,'03. THIẾT BỊ'!$B$1:$S$836,5,0),"")</f>
        <v>SMRM LCD</v>
      </c>
      <c r="G839" s="101" t="s">
        <v>6468</v>
      </c>
      <c r="H839" s="19" t="str">
        <f>IFERROR(VLOOKUP(B839,'03. THIẾT BỊ'!$B$1:$S$836,7,0),"")</f>
        <v>Phòng GNVC</v>
      </c>
      <c r="I839" s="610">
        <f>IFERROR(VLOOKUP(B839,'03. THIẾT BỊ'!$B$1:$S$836,8,0),"")</f>
        <v>0</v>
      </c>
      <c r="J839" s="25"/>
      <c r="K839" s="19" t="str">
        <f>IFERROR(VLOOKUP(B839,'03. THIẾT BỊ'!$B$1:$S$836,10,0),"")</f>
        <v>Bình thường</v>
      </c>
      <c r="L839" s="25">
        <f>IFERROR(VLOOKUP(B839,'03. THIẾT BỊ'!$B$1:$S$836,11,0),"")</f>
        <v>0</v>
      </c>
      <c r="M839" s="24">
        <f>IFERROR(VLOOKUP(B839,'03. THIẾT BỊ'!$B$1:$S$836,12,0),"")</f>
        <v>0</v>
      </c>
      <c r="N839" s="25" t="str">
        <f>IFERROR(VLOOKUP(B839,'03. THIẾT BỊ'!$B$1:$S$836,13,0),"")</f>
        <v>CAMBODIA</v>
      </c>
      <c r="O839" s="24" t="str">
        <f>IFERROR(VLOOKUP(B839,'03. THIẾT BỊ'!$B$1:$S$836,14,0),"")</f>
        <v>Mooc LCD 2T</v>
      </c>
      <c r="P839" s="25" t="str">
        <f>IFERROR(VLOOKUP(B839,'03. THIẾT BỊ'!$B$1:$S$836,15,0),"")</f>
        <v>CAMBODIA</v>
      </c>
      <c r="Q839" s="23">
        <f>IFERROR(VLOOKUP(B839,'03. THIẾT BỊ'!$B$1:$S$836,16,0),"")</f>
        <v>0</v>
      </c>
      <c r="R839" s="25">
        <f>IFERROR(VLOOKUP(B839,'03. THIẾT BỊ'!$B$1:$S$836,17,0),"")</f>
        <v>0</v>
      </c>
      <c r="S839" s="25" t="str">
        <f>IFERROR(VLOOKUP(B839,'03. THIẾT BỊ'!$B$1:$S$836,18,0),"")</f>
        <v>RN0PD230AKC000915</v>
      </c>
      <c r="T839" s="41"/>
    </row>
    <row r="840" customHeight="1" spans="1:20">
      <c r="A840" s="19">
        <v>4</v>
      </c>
      <c r="B840" s="20" t="s">
        <v>5784</v>
      </c>
      <c r="C840" s="613" t="str">
        <f>IFERROR(VLOOKUP(B840,'03. THIẾT BỊ'!$B$1:$S$836,2,0),"")</f>
        <v>92R-00446</v>
      </c>
      <c r="D840" s="24">
        <f>IFERROR(VLOOKUP(B840,'03. THIẾT BỊ'!$B$1:$S$836,3,0),"")</f>
        <v>0</v>
      </c>
      <c r="E840" s="20" t="str">
        <f>IFERROR(VLOOKUP(B840,'03. THIẾT BỊ'!$B$1:$S$836,4,0),"")</f>
        <v>THUÊ THILOGI</v>
      </c>
      <c r="F840" s="20" t="str">
        <f>IFERROR(VLOOKUP(B840,'03. THIẾT BỊ'!$B$1:$S$836,5,0),"")</f>
        <v>SMRM LCD</v>
      </c>
      <c r="G840" s="101" t="s">
        <v>6468</v>
      </c>
      <c r="H840" s="19" t="str">
        <f>IFERROR(VLOOKUP(B840,'03. THIẾT BỊ'!$B$1:$S$836,7,0),"")</f>
        <v>Phòng GNVC</v>
      </c>
      <c r="I840" s="610">
        <f>IFERROR(VLOOKUP(B840,'03. THIẾT BỊ'!$B$1:$S$836,8,0),"")</f>
        <v>0</v>
      </c>
      <c r="J840" s="25"/>
      <c r="K840" s="19" t="str">
        <f>IFERROR(VLOOKUP(B840,'03. THIẾT BỊ'!$B$1:$S$836,10,0),"")</f>
        <v>Bình thường</v>
      </c>
      <c r="L840" s="25">
        <f>IFERROR(VLOOKUP(B840,'03. THIẾT BỊ'!$B$1:$S$836,11,0),"")</f>
        <v>0</v>
      </c>
      <c r="M840" s="24">
        <f>IFERROR(VLOOKUP(B840,'03. THIẾT BỊ'!$B$1:$S$836,12,0),"")</f>
        <v>0</v>
      </c>
      <c r="N840" s="25" t="str">
        <f>IFERROR(VLOOKUP(B840,'03. THIẾT BỊ'!$B$1:$S$836,13,0),"")</f>
        <v>CAMBODIA</v>
      </c>
      <c r="O840" s="24" t="str">
        <f>IFERROR(VLOOKUP(B840,'03. THIẾT BỊ'!$B$1:$S$836,14,0),"")</f>
        <v>Mooc LCD 2T</v>
      </c>
      <c r="P840" s="25" t="str">
        <f>IFERROR(VLOOKUP(B840,'03. THIẾT BỊ'!$B$1:$S$836,15,0),"")</f>
        <v>CAMBODIA</v>
      </c>
      <c r="Q840" s="23">
        <f>IFERROR(VLOOKUP(B840,'03. THIẾT BỊ'!$B$1:$S$836,16,0),"")</f>
        <v>0</v>
      </c>
      <c r="R840" s="25">
        <f>IFERROR(VLOOKUP(B840,'03. THIẾT BỊ'!$B$1:$S$836,17,0),"")</f>
        <v>0</v>
      </c>
      <c r="S840" s="25" t="str">
        <f>IFERROR(VLOOKUP(B840,'03. THIẾT BỊ'!$B$1:$S$836,18,0),"")</f>
        <v>RN0PD230AKC000918</v>
      </c>
      <c r="T840" s="41"/>
    </row>
    <row r="841" customHeight="1" spans="1:20">
      <c r="A841" s="19">
        <v>5</v>
      </c>
      <c r="B841" s="20" t="s">
        <v>5787</v>
      </c>
      <c r="C841" s="613" t="str">
        <f>IFERROR(VLOOKUP(B841,'03. THIẾT BỊ'!$B$1:$S$836,2,0),"")</f>
        <v>92R-00409</v>
      </c>
      <c r="D841" s="24">
        <f>IFERROR(VLOOKUP(B841,'03. THIẾT BỊ'!$B$1:$S$836,3,0),"")</f>
        <v>0</v>
      </c>
      <c r="E841" s="20" t="str">
        <f>IFERROR(VLOOKUP(B841,'03. THIẾT BỊ'!$B$1:$S$836,4,0),"")</f>
        <v>THUÊ THILOGI</v>
      </c>
      <c r="F841" s="20" t="str">
        <f>IFERROR(VLOOKUP(B841,'03. THIẾT BỊ'!$B$1:$S$836,5,0),"")</f>
        <v>SMRM LCD</v>
      </c>
      <c r="G841" s="101" t="s">
        <v>6468</v>
      </c>
      <c r="H841" s="19" t="str">
        <f>IFERROR(VLOOKUP(B841,'03. THIẾT BỊ'!$B$1:$S$836,7,0),"")</f>
        <v>Phòng GNVC</v>
      </c>
      <c r="I841" s="610">
        <f>IFERROR(VLOOKUP(B841,'03. THIẾT BỊ'!$B$1:$S$836,8,0),"")</f>
        <v>0</v>
      </c>
      <c r="J841" s="25"/>
      <c r="K841" s="19" t="str">
        <f>IFERROR(VLOOKUP(B841,'03. THIẾT BỊ'!$B$1:$S$836,10,0),"")</f>
        <v>Bình thường</v>
      </c>
      <c r="L841" s="25">
        <f>IFERROR(VLOOKUP(B841,'03. THIẾT BỊ'!$B$1:$S$836,11,0),"")</f>
        <v>0</v>
      </c>
      <c r="M841" s="24">
        <f>IFERROR(VLOOKUP(B841,'03. THIẾT BỊ'!$B$1:$S$836,12,0),"")</f>
        <v>0</v>
      </c>
      <c r="N841" s="25" t="str">
        <f>IFERROR(VLOOKUP(B841,'03. THIẾT BỊ'!$B$1:$S$836,13,0),"")</f>
        <v>CAMBODIA</v>
      </c>
      <c r="O841" s="24" t="str">
        <f>IFERROR(VLOOKUP(B841,'03. THIẾT BỊ'!$B$1:$S$836,14,0),"")</f>
        <v>Mooc LCD 2T</v>
      </c>
      <c r="P841" s="25" t="str">
        <f>IFERROR(VLOOKUP(B841,'03. THIẾT BỊ'!$B$1:$S$836,15,0),"")</f>
        <v>CAMBODIA</v>
      </c>
      <c r="Q841" s="23">
        <f>IFERROR(VLOOKUP(B841,'03. THIẾT BỊ'!$B$1:$S$836,16,0),"")</f>
        <v>0</v>
      </c>
      <c r="R841" s="25">
        <f>IFERROR(VLOOKUP(B841,'03. THIẾT BỊ'!$B$1:$S$836,17,0),"")</f>
        <v>0</v>
      </c>
      <c r="S841" s="25" t="str">
        <f>IFERROR(VLOOKUP(B841,'03. THIẾT BỊ'!$B$1:$S$836,18,0),"")</f>
        <v>RN0PD230AKC000904</v>
      </c>
      <c r="T841" s="41"/>
    </row>
    <row r="842" customHeight="1" spans="1:20">
      <c r="A842" s="19">
        <v>6</v>
      </c>
      <c r="B842" s="20" t="s">
        <v>5790</v>
      </c>
      <c r="C842" s="613" t="str">
        <f>IFERROR(VLOOKUP(B842,'03. THIẾT BỊ'!$B$1:$S$836,2,0),"")</f>
        <v>92R-00528</v>
      </c>
      <c r="D842" s="24">
        <f>IFERROR(VLOOKUP(B842,'03. THIẾT BỊ'!$B$1:$S$836,3,0),"")</f>
        <v>0</v>
      </c>
      <c r="E842" s="20" t="str">
        <f>IFERROR(VLOOKUP(B842,'03. THIẾT BỊ'!$B$1:$S$836,4,0),"")</f>
        <v>THUÊ THILOGI</v>
      </c>
      <c r="F842" s="20" t="str">
        <f>IFERROR(VLOOKUP(B842,'03. THIẾT BỊ'!$B$1:$S$836,5,0),"")</f>
        <v>SMRM LCD</v>
      </c>
      <c r="G842" s="101" t="s">
        <v>6468</v>
      </c>
      <c r="H842" s="19" t="str">
        <f>IFERROR(VLOOKUP(B842,'03. THIẾT BỊ'!$B$1:$S$836,7,0),"")</f>
        <v>Phòng GNVC</v>
      </c>
      <c r="I842" s="610">
        <f>IFERROR(VLOOKUP(B842,'03. THIẾT BỊ'!$B$1:$S$836,8,0),"")</f>
        <v>0</v>
      </c>
      <c r="J842" s="25"/>
      <c r="K842" s="19" t="str">
        <f>IFERROR(VLOOKUP(B842,'03. THIẾT BỊ'!$B$1:$S$836,10,0),"")</f>
        <v>Bình thường</v>
      </c>
      <c r="L842" s="25">
        <f>IFERROR(VLOOKUP(B842,'03. THIẾT BỊ'!$B$1:$S$836,11,0),"")</f>
        <v>0</v>
      </c>
      <c r="M842" s="24">
        <f>IFERROR(VLOOKUP(B842,'03. THIẾT BỊ'!$B$1:$S$836,12,0),"")</f>
        <v>0</v>
      </c>
      <c r="N842" s="25" t="str">
        <f>IFERROR(VLOOKUP(B842,'03. THIẾT BỊ'!$B$1:$S$836,13,0),"")</f>
        <v>CAMBODIA</v>
      </c>
      <c r="O842" s="24" t="str">
        <f>IFERROR(VLOOKUP(B842,'03. THIẾT BỊ'!$B$1:$S$836,14,0),"")</f>
        <v>Mooc LCD 2T</v>
      </c>
      <c r="P842" s="25" t="str">
        <f>IFERROR(VLOOKUP(B842,'03. THIẾT BỊ'!$B$1:$S$836,15,0),"")</f>
        <v>CAMBODIA</v>
      </c>
      <c r="Q842" s="23">
        <f>IFERROR(VLOOKUP(B842,'03. THIẾT BỊ'!$B$1:$S$836,16,0),"")</f>
        <v>0</v>
      </c>
      <c r="R842" s="25">
        <f>IFERROR(VLOOKUP(B842,'03. THIẾT BỊ'!$B$1:$S$836,17,0),"")</f>
        <v>0</v>
      </c>
      <c r="S842" s="25" t="str">
        <f>IFERROR(VLOOKUP(B842,'03. THIẾT BỊ'!$B$1:$S$836,18,0),"")</f>
        <v>RN0PD230AKC000926</v>
      </c>
      <c r="T842" s="41"/>
    </row>
    <row r="843" customHeight="1" spans="1:20">
      <c r="A843" s="19">
        <v>7</v>
      </c>
      <c r="B843" s="20" t="s">
        <v>5793</v>
      </c>
      <c r="C843" s="613" t="str">
        <f>IFERROR(VLOOKUP(B843,'03. THIẾT BỊ'!$B$1:$S$836,2,0),"")</f>
        <v>92R-00538</v>
      </c>
      <c r="D843" s="24">
        <f>IFERROR(VLOOKUP(B843,'03. THIẾT BỊ'!$B$1:$S$836,3,0),"")</f>
        <v>0</v>
      </c>
      <c r="E843" s="20" t="str">
        <f>IFERROR(VLOOKUP(B843,'03. THIẾT BỊ'!$B$1:$S$836,4,0),"")</f>
        <v>THUÊ THILOGI</v>
      </c>
      <c r="F843" s="20" t="str">
        <f>IFERROR(VLOOKUP(B843,'03. THIẾT BỊ'!$B$1:$S$836,5,0),"")</f>
        <v>SMRM LCD</v>
      </c>
      <c r="G843" s="101" t="s">
        <v>6468</v>
      </c>
      <c r="H843" s="19" t="str">
        <f>IFERROR(VLOOKUP(B843,'03. THIẾT BỊ'!$B$1:$S$836,7,0),"")</f>
        <v>Phòng GNVC</v>
      </c>
      <c r="I843" s="610">
        <f>IFERROR(VLOOKUP(B843,'03. THIẾT BỊ'!$B$1:$S$836,8,0),"")</f>
        <v>0</v>
      </c>
      <c r="J843" s="25"/>
      <c r="K843" s="19" t="str">
        <f>IFERROR(VLOOKUP(B843,'03. THIẾT BỊ'!$B$1:$S$836,10,0),"")</f>
        <v>Bình thường</v>
      </c>
      <c r="L843" s="25">
        <f>IFERROR(VLOOKUP(B843,'03. THIẾT BỊ'!$B$1:$S$836,11,0),"")</f>
        <v>0</v>
      </c>
      <c r="M843" s="24">
        <f>IFERROR(VLOOKUP(B843,'03. THIẾT BỊ'!$B$1:$S$836,12,0),"")</f>
        <v>0</v>
      </c>
      <c r="N843" s="25" t="str">
        <f>IFERROR(VLOOKUP(B843,'03. THIẾT BỊ'!$B$1:$S$836,13,0),"")</f>
        <v>CAMBODIA</v>
      </c>
      <c r="O843" s="24" t="str">
        <f>IFERROR(VLOOKUP(B843,'03. THIẾT BỊ'!$B$1:$S$836,14,0),"")</f>
        <v>Mooc LCD 2T</v>
      </c>
      <c r="P843" s="25" t="str">
        <f>IFERROR(VLOOKUP(B843,'03. THIẾT BỊ'!$B$1:$S$836,15,0),"")</f>
        <v>CAMBODIA</v>
      </c>
      <c r="Q843" s="23">
        <f>IFERROR(VLOOKUP(B843,'03. THIẾT BỊ'!$B$1:$S$836,16,0),"")</f>
        <v>0</v>
      </c>
      <c r="R843" s="25">
        <f>IFERROR(VLOOKUP(B843,'03. THIẾT BỊ'!$B$1:$S$836,17,0),"")</f>
        <v>0</v>
      </c>
      <c r="S843" s="25" t="str">
        <f>IFERROR(VLOOKUP(B843,'03. THIẾT BỊ'!$B$1:$S$836,18,0),"")</f>
        <v>RN0PD230AKC000927</v>
      </c>
      <c r="T843" s="41"/>
    </row>
    <row r="844" customHeight="1" spans="1:20">
      <c r="A844" s="19">
        <v>8</v>
      </c>
      <c r="B844" s="20" t="s">
        <v>5796</v>
      </c>
      <c r="C844" s="613" t="str">
        <f>IFERROR(VLOOKUP(B844,'03. THIẾT BỊ'!$B$1:$S$836,2,0),"")</f>
        <v>92R-00413</v>
      </c>
      <c r="D844" s="24">
        <f>IFERROR(VLOOKUP(B844,'03. THIẾT BỊ'!$B$1:$S$836,3,0),"")</f>
        <v>0</v>
      </c>
      <c r="E844" s="20" t="str">
        <f>IFERROR(VLOOKUP(B844,'03. THIẾT BỊ'!$B$1:$S$836,4,0),"")</f>
        <v>THUÊ THILOGI</v>
      </c>
      <c r="F844" s="20" t="str">
        <f>IFERROR(VLOOKUP(B844,'03. THIẾT BỊ'!$B$1:$S$836,5,0),"")</f>
        <v>SMRM xương sàn/mooc OPT</v>
      </c>
      <c r="G844" s="101" t="s">
        <v>6468</v>
      </c>
      <c r="H844" s="19" t="str">
        <f>IFERROR(VLOOKUP(B844,'03. THIẾT BỊ'!$B$1:$S$836,7,0),"")</f>
        <v>Phòng GNVC</v>
      </c>
      <c r="I844" s="610">
        <f>IFERROR(VLOOKUP(B844,'03. THIẾT BỊ'!$B$1:$S$836,8,0),"")</f>
        <v>0</v>
      </c>
      <c r="J844" s="25"/>
      <c r="K844" s="19" t="str">
        <f>IFERROR(VLOOKUP(B844,'03. THIẾT BỊ'!$B$1:$S$836,10,0),"")</f>
        <v>Bình thường</v>
      </c>
      <c r="L844" s="25">
        <f>IFERROR(VLOOKUP(B844,'03. THIẾT BỊ'!$B$1:$S$836,11,0),"")</f>
        <v>0</v>
      </c>
      <c r="M844" s="24">
        <f>IFERROR(VLOOKUP(B844,'03. THIẾT BỊ'!$B$1:$S$836,12,0),"")</f>
        <v>0</v>
      </c>
      <c r="N844" s="25" t="str">
        <f>IFERROR(VLOOKUP(B844,'03. THIẾT BỊ'!$B$1:$S$836,13,0),"")</f>
        <v>CAMBODIA</v>
      </c>
      <c r="O844" s="24" t="str">
        <f>IFERROR(VLOOKUP(B844,'03. THIẾT BỊ'!$B$1:$S$836,14,0),"")</f>
        <v>SMRM 3T</v>
      </c>
      <c r="P844" s="25" t="str">
        <f>IFERROR(VLOOKUP(B844,'03. THIẾT BỊ'!$B$1:$S$836,15,0),"")</f>
        <v>CAMBODIA</v>
      </c>
      <c r="Q844" s="23">
        <f>IFERROR(VLOOKUP(B844,'03. THIẾT BỊ'!$B$1:$S$836,16,0),"")</f>
        <v>0</v>
      </c>
      <c r="R844" s="25">
        <f>IFERROR(VLOOKUP(B844,'03. THIẾT BỊ'!$B$1:$S$836,17,0),"")</f>
        <v>0</v>
      </c>
      <c r="S844" s="25" t="str">
        <f>IFERROR(VLOOKUP(B844,'03. THIẾT BỊ'!$B$1:$S$836,18,0),"")</f>
        <v>RN0P3800AFC063963</v>
      </c>
      <c r="T844" s="41"/>
    </row>
    <row r="845" customHeight="1" spans="1:20">
      <c r="A845" s="19">
        <v>9</v>
      </c>
      <c r="B845" s="20" t="s">
        <v>5800</v>
      </c>
      <c r="C845" s="613" t="str">
        <f>IFERROR(VLOOKUP(B845,'03. THIẾT BỊ'!$B$1:$S$836,2,0),"")</f>
        <v>92R-00443</v>
      </c>
      <c r="D845" s="24">
        <f>IFERROR(VLOOKUP(B845,'03. THIẾT BỊ'!$B$1:$S$836,3,0),"")</f>
        <v>0</v>
      </c>
      <c r="E845" s="20" t="str">
        <f>IFERROR(VLOOKUP(B845,'03. THIẾT BỊ'!$B$1:$S$836,4,0),"")</f>
        <v>THUÊ THILOGI</v>
      </c>
      <c r="F845" s="20" t="str">
        <f>IFERROR(VLOOKUP(B845,'03. THIẾT BỊ'!$B$1:$S$836,5,0),"")</f>
        <v>SMRM xương sàn/mooc OPT</v>
      </c>
      <c r="G845" s="101" t="s">
        <v>6468</v>
      </c>
      <c r="H845" s="19" t="str">
        <f>IFERROR(VLOOKUP(B845,'03. THIẾT BỊ'!$B$1:$S$836,7,0),"")</f>
        <v>Phòng GNVC</v>
      </c>
      <c r="I845" s="610">
        <f>IFERROR(VLOOKUP(B845,'03. THIẾT BỊ'!$B$1:$S$836,8,0),"")</f>
        <v>0</v>
      </c>
      <c r="J845" s="25"/>
      <c r="K845" s="19" t="str">
        <f>IFERROR(VLOOKUP(B845,'03. THIẾT BỊ'!$B$1:$S$836,10,0),"")</f>
        <v>Bình thường</v>
      </c>
      <c r="L845" s="25">
        <f>IFERROR(VLOOKUP(B845,'03. THIẾT BỊ'!$B$1:$S$836,11,0),"")</f>
        <v>0</v>
      </c>
      <c r="M845" s="24">
        <f>IFERROR(VLOOKUP(B845,'03. THIẾT BỊ'!$B$1:$S$836,12,0),"")</f>
        <v>0</v>
      </c>
      <c r="N845" s="25" t="str">
        <f>IFERROR(VLOOKUP(B845,'03. THIẾT BỊ'!$B$1:$S$836,13,0),"")</f>
        <v>CAMBODIA</v>
      </c>
      <c r="O845" s="24" t="str">
        <f>IFERROR(VLOOKUP(B845,'03. THIẾT BỊ'!$B$1:$S$836,14,0),"")</f>
        <v>SMRM 2T</v>
      </c>
      <c r="P845" s="25" t="str">
        <f>IFERROR(VLOOKUP(B845,'03. THIẾT BỊ'!$B$1:$S$836,15,0),"")</f>
        <v>CAMBODIA</v>
      </c>
      <c r="Q845" s="23">
        <f>IFERROR(VLOOKUP(B845,'03. THIẾT BỊ'!$B$1:$S$836,16,0),"")</f>
        <v>0</v>
      </c>
      <c r="R845" s="25">
        <f>IFERROR(VLOOKUP(B845,'03. THIẾT BỊ'!$B$1:$S$836,17,0),"")</f>
        <v>0</v>
      </c>
      <c r="S845" s="25" t="str">
        <f>IFERROR(VLOOKUP(B845,'03. THIẾT BỊ'!$B$1:$S$836,18,0),"")</f>
        <v>RN0AA232AKC000909</v>
      </c>
      <c r="T845" s="41"/>
    </row>
    <row r="846" customHeight="1" spans="1:20">
      <c r="A846" s="19">
        <v>10</v>
      </c>
      <c r="B846" s="20" t="s">
        <v>5804</v>
      </c>
      <c r="C846" s="613" t="str">
        <f>IFERROR(VLOOKUP(B846,'03. THIẾT BỊ'!$B$1:$S$836,2,0),"")</f>
        <v>92R-00353</v>
      </c>
      <c r="D846" s="24">
        <f>IFERROR(VLOOKUP(B846,'03. THIẾT BỊ'!$B$1:$S$836,3,0),"")</f>
        <v>0</v>
      </c>
      <c r="E846" s="20" t="str">
        <f>IFERROR(VLOOKUP(B846,'03. THIẾT BỊ'!$B$1:$S$836,4,0),"")</f>
        <v>THUÊ THILOGI</v>
      </c>
      <c r="F846" s="20" t="str">
        <f>IFERROR(VLOOKUP(B846,'03. THIẾT BỊ'!$B$1:$S$836,5,0),"")</f>
        <v>SMRM LCD</v>
      </c>
      <c r="G846" s="101" t="s">
        <v>6468</v>
      </c>
      <c r="H846" s="19" t="str">
        <f>IFERROR(VLOOKUP(B846,'03. THIẾT BỊ'!$B$1:$S$836,7,0),"")</f>
        <v>Phòng GNVC</v>
      </c>
      <c r="I846" s="610">
        <f>IFERROR(VLOOKUP(B846,'03. THIẾT BỊ'!$B$1:$S$836,8,0),"")</f>
        <v>0</v>
      </c>
      <c r="J846" s="25"/>
      <c r="K846" s="19" t="str">
        <f>IFERROR(VLOOKUP(B846,'03. THIẾT BỊ'!$B$1:$S$836,10,0),"")</f>
        <v>Bình thường</v>
      </c>
      <c r="L846" s="25">
        <f>IFERROR(VLOOKUP(B846,'03. THIẾT BỊ'!$B$1:$S$836,11,0),"")</f>
        <v>0</v>
      </c>
      <c r="M846" s="24">
        <f>IFERROR(VLOOKUP(B846,'03. THIẾT BỊ'!$B$1:$S$836,12,0),"")</f>
        <v>0</v>
      </c>
      <c r="N846" s="25" t="str">
        <f>IFERROR(VLOOKUP(B846,'03. THIẾT BỊ'!$B$1:$S$836,13,0),"")</f>
        <v>CAMBODIA</v>
      </c>
      <c r="O846" s="24" t="str">
        <f>IFERROR(VLOOKUP(B846,'03. THIẾT BỊ'!$B$1:$S$836,14,0),"")</f>
        <v>Mooc LCD 2T</v>
      </c>
      <c r="P846" s="25" t="str">
        <f>IFERROR(VLOOKUP(B846,'03. THIẾT BỊ'!$B$1:$S$836,15,0),"")</f>
        <v>CAMBODIA</v>
      </c>
      <c r="Q846" s="23">
        <f>IFERROR(VLOOKUP(B846,'03. THIẾT BỊ'!$B$1:$S$836,16,0),"")</f>
        <v>0</v>
      </c>
      <c r="R846" s="25">
        <f>IFERROR(VLOOKUP(B846,'03. THIẾT BỊ'!$B$1:$S$836,17,0),"")</f>
        <v>0</v>
      </c>
      <c r="S846" s="25" t="str">
        <f>IFERROR(VLOOKUP(B846,'03. THIẾT BỊ'!$B$1:$S$836,18,0),"")</f>
        <v>RN0PD230AKC000928</v>
      </c>
      <c r="T846" s="41"/>
    </row>
    <row r="847" customHeight="1" spans="1:20">
      <c r="A847" s="19">
        <v>11</v>
      </c>
      <c r="B847" s="20" t="s">
        <v>5807</v>
      </c>
      <c r="C847" s="613" t="str">
        <f>IFERROR(VLOOKUP(B847,'03. THIẾT BỊ'!$B$1:$S$836,2,0),"")</f>
        <v>92R-00406</v>
      </c>
      <c r="D847" s="24">
        <f>IFERROR(VLOOKUP(B847,'03. THIẾT BỊ'!$B$1:$S$836,3,0),"")</f>
        <v>0</v>
      </c>
      <c r="E847" s="20" t="str">
        <f>IFERROR(VLOOKUP(B847,'03. THIẾT BỊ'!$B$1:$S$836,4,0),"")</f>
        <v>THUÊ THILOGI</v>
      </c>
      <c r="F847" s="20" t="str">
        <f>IFERROR(VLOOKUP(B847,'03. THIẾT BỊ'!$B$1:$S$836,5,0),"")</f>
        <v>SMRM xương sàn/mooc OPT</v>
      </c>
      <c r="G847" s="101" t="s">
        <v>6468</v>
      </c>
      <c r="H847" s="19" t="str">
        <f>IFERROR(VLOOKUP(B847,'03. THIẾT BỊ'!$B$1:$S$836,7,0),"")</f>
        <v>Phòng GNVC</v>
      </c>
      <c r="I847" s="610">
        <f>IFERROR(VLOOKUP(B847,'03. THIẾT BỊ'!$B$1:$S$836,8,0),"")</f>
        <v>0</v>
      </c>
      <c r="J847" s="25"/>
      <c r="K847" s="19" t="str">
        <f>IFERROR(VLOOKUP(B847,'03. THIẾT BỊ'!$B$1:$S$836,10,0),"")</f>
        <v>Bình thường</v>
      </c>
      <c r="L847" s="25">
        <f>IFERROR(VLOOKUP(B847,'03. THIẾT BỊ'!$B$1:$S$836,11,0),"")</f>
        <v>0</v>
      </c>
      <c r="M847" s="24">
        <f>IFERROR(VLOOKUP(B847,'03. THIẾT BỊ'!$B$1:$S$836,12,0),"")</f>
        <v>0</v>
      </c>
      <c r="N847" s="25" t="str">
        <f>IFERROR(VLOOKUP(B847,'03. THIẾT BỊ'!$B$1:$S$836,13,0),"")</f>
        <v>CAMBODIA</v>
      </c>
      <c r="O847" s="24" t="str">
        <f>IFERROR(VLOOKUP(B847,'03. THIẾT BỊ'!$B$1:$S$836,14,0),"")</f>
        <v>SMRM 2T</v>
      </c>
      <c r="P847" s="25" t="str">
        <f>IFERROR(VLOOKUP(B847,'03. THIẾT BỊ'!$B$1:$S$836,15,0),"")</f>
        <v>CAMBODIA</v>
      </c>
      <c r="Q847" s="23">
        <f>IFERROR(VLOOKUP(B847,'03. THIẾT BỊ'!$B$1:$S$836,16,0),"")</f>
        <v>0</v>
      </c>
      <c r="R847" s="25">
        <f>IFERROR(VLOOKUP(B847,'03. THIẾT BỊ'!$B$1:$S$836,17,0),"")</f>
        <v>0</v>
      </c>
      <c r="S847" s="25" t="str">
        <f>IFERROR(VLOOKUP(B847,'03. THIẾT BỊ'!$B$1:$S$836,18,0),"")</f>
        <v>RN0AA232AKC000911</v>
      </c>
      <c r="T847" s="41"/>
    </row>
    <row r="848" customHeight="1" spans="1:20">
      <c r="A848" s="19">
        <v>12</v>
      </c>
      <c r="B848" s="20" t="s">
        <v>5810</v>
      </c>
      <c r="C848" s="613" t="str">
        <f>IFERROR(VLOOKUP(B848,'03. THIẾT BỊ'!$B$1:$S$836,2,0),"")</f>
        <v>92R-00647</v>
      </c>
      <c r="D848" s="24">
        <f>IFERROR(VLOOKUP(B848,'03. THIẾT BỊ'!$B$1:$S$836,3,0),"")</f>
        <v>0</v>
      </c>
      <c r="E848" s="20" t="str">
        <f>IFERROR(VLOOKUP(B848,'03. THIẾT BỊ'!$B$1:$S$836,4,0),"")</f>
        <v>THUÊ THILOGI</v>
      </c>
      <c r="F848" s="20" t="str">
        <f>IFERROR(VLOOKUP(B848,'03. THIẾT BỊ'!$B$1:$S$836,5,0),"")</f>
        <v>SMRM xương sàn/mooc OPT</v>
      </c>
      <c r="G848" s="101" t="s">
        <v>6468</v>
      </c>
      <c r="H848" s="19" t="str">
        <f>IFERROR(VLOOKUP(B848,'03. THIẾT BỊ'!$B$1:$S$836,7,0),"")</f>
        <v>Phòng GNVC</v>
      </c>
      <c r="I848" s="610">
        <f>IFERROR(VLOOKUP(B848,'03. THIẾT BỊ'!$B$1:$S$836,8,0),"")</f>
        <v>0</v>
      </c>
      <c r="J848" s="25"/>
      <c r="K848" s="19" t="str">
        <f>IFERROR(VLOOKUP(B848,'03. THIẾT BỊ'!$B$1:$S$836,10,0),"")</f>
        <v>Bình thường</v>
      </c>
      <c r="L848" s="25">
        <f>IFERROR(VLOOKUP(B848,'03. THIẾT BỊ'!$B$1:$S$836,11,0),"")</f>
        <v>0</v>
      </c>
      <c r="M848" s="24">
        <f>IFERROR(VLOOKUP(B848,'03. THIẾT BỊ'!$B$1:$S$836,12,0),"")</f>
        <v>0</v>
      </c>
      <c r="N848" s="25" t="str">
        <f>IFERROR(VLOOKUP(B848,'03. THIẾT BỊ'!$B$1:$S$836,13,0),"")</f>
        <v>CAMBODIA</v>
      </c>
      <c r="O848" s="24" t="str">
        <f>IFERROR(VLOOKUP(B848,'03. THIẾT BỊ'!$B$1:$S$836,14,0),"")</f>
        <v>SMRM 3T</v>
      </c>
      <c r="P848" s="25" t="str">
        <f>IFERROR(VLOOKUP(B848,'03. THIẾT BỊ'!$B$1:$S$836,15,0),"")</f>
        <v>CAMBODIA</v>
      </c>
      <c r="Q848" s="23">
        <f>IFERROR(VLOOKUP(B848,'03. THIẾT BỊ'!$B$1:$S$836,16,0),"")</f>
        <v>0</v>
      </c>
      <c r="R848" s="25">
        <f>IFERROR(VLOOKUP(B848,'03. THIẾT BỊ'!$B$1:$S$836,17,0),"")</f>
        <v>0</v>
      </c>
      <c r="S848" s="25" t="str">
        <f>IFERROR(VLOOKUP(B848,'03. THIẾT BỊ'!$B$1:$S$836,18,0),"")</f>
        <v>RN0AA339DJC000778</v>
      </c>
      <c r="T848" s="41"/>
    </row>
    <row r="849" customHeight="1" spans="1:20">
      <c r="A849" s="19">
        <v>13</v>
      </c>
      <c r="B849" s="20" t="s">
        <v>5813</v>
      </c>
      <c r="C849" s="613" t="str">
        <f>IFERROR(VLOOKUP(B849,'03. THIẾT BỊ'!$B$1:$S$836,2,0),"")</f>
        <v>92R-00602
</v>
      </c>
      <c r="D849" s="24">
        <f>IFERROR(VLOOKUP(B849,'03. THIẾT BỊ'!$B$1:$S$836,3,0),"")</f>
        <v>0</v>
      </c>
      <c r="E849" s="20" t="str">
        <f>IFERROR(VLOOKUP(B849,'03. THIẾT BỊ'!$B$1:$S$836,4,0),"")</f>
        <v>THUÊ THILOGI</v>
      </c>
      <c r="F849" s="20" t="str">
        <f>IFERROR(VLOOKUP(B849,'03. THIẾT BỊ'!$B$1:$S$836,5,0),"")</f>
        <v>SMRM xương sàn/mooc OPT</v>
      </c>
      <c r="G849" s="101" t="s">
        <v>6468</v>
      </c>
      <c r="H849" s="19" t="str">
        <f>IFERROR(VLOOKUP(B849,'03. THIẾT BỊ'!$B$1:$S$836,7,0),"")</f>
        <v>Phòng GNVC</v>
      </c>
      <c r="I849" s="610">
        <f>IFERROR(VLOOKUP(B849,'03. THIẾT BỊ'!$B$1:$S$836,8,0),"")</f>
        <v>0</v>
      </c>
      <c r="J849" s="25"/>
      <c r="K849" s="19" t="str">
        <f>IFERROR(VLOOKUP(B849,'03. THIẾT BỊ'!$B$1:$S$836,10,0),"")</f>
        <v>Bình thường</v>
      </c>
      <c r="L849" s="25">
        <f>IFERROR(VLOOKUP(B849,'03. THIẾT BỊ'!$B$1:$S$836,11,0),"")</f>
        <v>0</v>
      </c>
      <c r="M849" s="24">
        <f>IFERROR(VLOOKUP(B849,'03. THIẾT BỊ'!$B$1:$S$836,12,0),"")</f>
        <v>0</v>
      </c>
      <c r="N849" s="25" t="str">
        <f>IFERROR(VLOOKUP(B849,'03. THIẾT BỊ'!$B$1:$S$836,13,0),"")</f>
        <v>CAMBODIA</v>
      </c>
      <c r="O849" s="24" t="str">
        <f>IFERROR(VLOOKUP(B849,'03. THIẾT BỊ'!$B$1:$S$836,14,0),"")</f>
        <v>SMRM 3T</v>
      </c>
      <c r="P849" s="25" t="str">
        <f>IFERROR(VLOOKUP(B849,'03. THIẾT BỊ'!$B$1:$S$836,15,0),"")</f>
        <v>CAMBODIA</v>
      </c>
      <c r="Q849" s="23">
        <f>IFERROR(VLOOKUP(B849,'03. THIẾT BỊ'!$B$1:$S$836,16,0),"")</f>
        <v>0</v>
      </c>
      <c r="R849" s="25">
        <f>IFERROR(VLOOKUP(B849,'03. THIẾT BỊ'!$B$1:$S$836,17,0),"")</f>
        <v>0</v>
      </c>
      <c r="S849" s="25" t="str">
        <f>IFERROR(VLOOKUP(B849,'03. THIẾT BỊ'!$B$1:$S$836,18,0),"")</f>
        <v>RN0AA339DJC000777</v>
      </c>
      <c r="T849" s="626"/>
    </row>
    <row r="850" customHeight="1" spans="1:20">
      <c r="A850" s="19">
        <v>14</v>
      </c>
      <c r="B850" s="20" t="s">
        <v>5816</v>
      </c>
      <c r="C850" s="613" t="str">
        <f>IFERROR(VLOOKUP(B850,'03. THIẾT BỊ'!$B$1:$S$836,2,0),"")</f>
        <v>92R-00642</v>
      </c>
      <c r="D850" s="24">
        <f>IFERROR(VLOOKUP(B850,'03. THIẾT BỊ'!$B$1:$S$836,3,0),"")</f>
        <v>0</v>
      </c>
      <c r="E850" s="20" t="str">
        <f>IFERROR(VLOOKUP(B850,'03. THIẾT BỊ'!$B$1:$S$836,4,0),"")</f>
        <v>THUÊ THILOGI</v>
      </c>
      <c r="F850" s="20" t="str">
        <f>IFERROR(VLOOKUP(B850,'03. THIẾT BỊ'!$B$1:$S$836,5,0),"")</f>
        <v>SMRM xương sàn/mooc OPT</v>
      </c>
      <c r="G850" s="101" t="s">
        <v>6468</v>
      </c>
      <c r="H850" s="19" t="str">
        <f>IFERROR(VLOOKUP(B850,'03. THIẾT BỊ'!$B$1:$S$836,7,0),"")</f>
        <v>Phòng GNVC</v>
      </c>
      <c r="I850" s="610">
        <f>IFERROR(VLOOKUP(B850,'03. THIẾT BỊ'!$B$1:$S$836,8,0),"")</f>
        <v>0</v>
      </c>
      <c r="J850" s="25"/>
      <c r="K850" s="19" t="str">
        <f>IFERROR(VLOOKUP(B850,'03. THIẾT BỊ'!$B$1:$S$836,10,0),"")</f>
        <v>Bình thường</v>
      </c>
      <c r="L850" s="25">
        <f>IFERROR(VLOOKUP(B850,'03. THIẾT BỊ'!$B$1:$S$836,11,0),"")</f>
        <v>0</v>
      </c>
      <c r="M850" s="24">
        <f>IFERROR(VLOOKUP(B850,'03. THIẾT BỊ'!$B$1:$S$836,12,0),"")</f>
        <v>0</v>
      </c>
      <c r="N850" s="25" t="str">
        <f>IFERROR(VLOOKUP(B850,'03. THIẾT BỊ'!$B$1:$S$836,13,0),"")</f>
        <v>CAMBODIA</v>
      </c>
      <c r="O850" s="24" t="str">
        <f>IFERROR(VLOOKUP(B850,'03. THIẾT BỊ'!$B$1:$S$836,14,0),"")</f>
        <v>SMRM 3T</v>
      </c>
      <c r="P850" s="25" t="str">
        <f>IFERROR(VLOOKUP(B850,'03. THIẾT BỊ'!$B$1:$S$836,15,0),"")</f>
        <v>CAMBODIA</v>
      </c>
      <c r="Q850" s="23">
        <f>IFERROR(VLOOKUP(B850,'03. THIẾT BỊ'!$B$1:$S$836,16,0),"")</f>
        <v>0</v>
      </c>
      <c r="R850" s="25">
        <f>IFERROR(VLOOKUP(B850,'03. THIẾT BỊ'!$B$1:$S$836,17,0),"")</f>
        <v>0</v>
      </c>
      <c r="S850" s="25" t="str">
        <f>IFERROR(VLOOKUP(B850,'03. THIẾT BỊ'!$B$1:$S$836,18,0),"")</f>
        <v>RNHR3910AGC063968</v>
      </c>
      <c r="T850" s="41"/>
    </row>
    <row r="851" customHeight="1" spans="1:20">
      <c r="A851" s="19"/>
      <c r="B851" s="20"/>
      <c r="C851" s="613"/>
      <c r="D851" s="24"/>
      <c r="E851" s="20" t="str">
        <f>IFERROR(VLOOKUP(B851,'03. THIẾT BỊ'!$B$1:$S$836,4,0),"")</f>
        <v/>
      </c>
      <c r="F851" s="20"/>
      <c r="G851" s="101"/>
      <c r="H851" s="19"/>
      <c r="I851" s="610"/>
      <c r="J851" s="25"/>
      <c r="K851" s="19"/>
      <c r="L851" s="25"/>
      <c r="M851" s="24"/>
      <c r="N851" s="25"/>
      <c r="O851" s="24"/>
      <c r="P851" s="25"/>
      <c r="Q851" s="23"/>
      <c r="R851" s="25"/>
      <c r="S851" s="25"/>
      <c r="T851" s="41"/>
    </row>
    <row r="852" ht="13.8" spans="1:20">
      <c r="A852" s="602" t="s">
        <v>290</v>
      </c>
      <c r="B852" s="603" t="s">
        <v>6521</v>
      </c>
      <c r="C852" s="616">
        <f>COUNTA(B853:B855)</f>
        <v>2</v>
      </c>
      <c r="D852" s="617" t="str">
        <f>IFERROR(VLOOKUP(B852,'03. THIẾT BỊ'!$B$1:$S$836,3,0),"")</f>
        <v/>
      </c>
      <c r="E852" s="20" t="str">
        <f>IFERROR(VLOOKUP(B852,'03. THIẾT BỊ'!$B$1:$S$836,4,0),"")</f>
        <v/>
      </c>
      <c r="F852" s="618" t="str">
        <f>IFERROR(VLOOKUP(B852,'03. THIẾT BỊ'!$B$1:$S$836,5,0),"")</f>
        <v/>
      </c>
      <c r="G852" s="619" t="s">
        <v>6468</v>
      </c>
      <c r="H852" s="620" t="str">
        <f>IFERROR(VLOOKUP(B852,'03. THIẾT BỊ'!$B$1:$S$836,7,0),"")</f>
        <v/>
      </c>
      <c r="I852" s="621" t="str">
        <f>IFERROR(VLOOKUP(B852,'03. THIẾT BỊ'!$B$1:$S$836,8,0),"")</f>
        <v/>
      </c>
      <c r="J852" s="618"/>
      <c r="K852" s="620" t="str">
        <f>IFERROR(VLOOKUP(B852,'03. THIẾT BỊ'!$B$1:$S$836,10,0),"")</f>
        <v/>
      </c>
      <c r="L852" s="618" t="str">
        <f>IFERROR(VLOOKUP(B852,'03. THIẾT BỊ'!$B$1:$S$836,11,0),"")</f>
        <v/>
      </c>
      <c r="M852" s="617" t="str">
        <f>IFERROR(VLOOKUP(B852,'03. THIẾT BỊ'!$B$1:$S$836,12,0),"")</f>
        <v/>
      </c>
      <c r="N852" s="618" t="str">
        <f>IFERROR(VLOOKUP(B852,'03. THIẾT BỊ'!$B$1:$S$836,13,0),"")</f>
        <v/>
      </c>
      <c r="O852" s="617" t="str">
        <f>IFERROR(VLOOKUP(B852,'03. THIẾT BỊ'!$B$1:$S$836,14,0),"")</f>
        <v/>
      </c>
      <c r="P852" s="618" t="str">
        <f>IFERROR(VLOOKUP(B852,'03. THIẾT BỊ'!$B$1:$S$836,15,0),"")</f>
        <v/>
      </c>
      <c r="Q852" s="620" t="str">
        <f>IFERROR(VLOOKUP(B852,'03. THIẾT BỊ'!$B$1:$S$836,16,0),"")</f>
        <v/>
      </c>
      <c r="R852" s="618" t="str">
        <f>IFERROR(VLOOKUP(B852,'03. THIẾT BỊ'!$B$1:$S$836,17,0),"")</f>
        <v/>
      </c>
      <c r="S852" s="618" t="str">
        <f>IFERROR(VLOOKUP(B852,'03. THIẾT BỊ'!$B$1:$S$836,18,0),"")</f>
        <v/>
      </c>
      <c r="T852" s="625"/>
    </row>
    <row r="853" customHeight="1" spans="1:20">
      <c r="A853" s="19">
        <v>1</v>
      </c>
      <c r="B853" s="20" t="s">
        <v>5819</v>
      </c>
      <c r="C853" s="613" t="str">
        <f>IFERROR(VLOOKUP(B853,'03. THIẾT BỊ'!$B$1:$S$836,2,0),"")</f>
        <v>92R-00524</v>
      </c>
      <c r="D853" s="24">
        <f>IFERROR(VLOOKUP(B853,'03. THIẾT BỊ'!$B$1:$S$836,3,0),"")</f>
        <v>0</v>
      </c>
      <c r="E853" s="20" t="str">
        <f>IFERROR(VLOOKUP(B853,'03. THIẾT BỊ'!$B$1:$S$836,4,0),"")</f>
        <v>THUÊ THILOGI</v>
      </c>
      <c r="F853" s="20" t="str">
        <f>IFERROR(VLOOKUP(B853,'03. THIẾT BỊ'!$B$1:$S$836,5,0),"")</f>
        <v>SMRM LCD</v>
      </c>
      <c r="G853" s="101" t="s">
        <v>6468</v>
      </c>
      <c r="H853" s="19" t="str">
        <f>IFERROR(VLOOKUP(B853,'03. THIẾT BỊ'!$B$1:$S$836,7,0),"")</f>
        <v>Phòng GNVC</v>
      </c>
      <c r="I853" s="610">
        <f>IFERROR(VLOOKUP(B853,'03. THIẾT BỊ'!$B$1:$S$836,8,0),"")</f>
        <v>45940</v>
      </c>
      <c r="J853" s="25"/>
      <c r="K853" s="19" t="str">
        <f>IFERROR(VLOOKUP(B853,'03. THIẾT BỊ'!$B$1:$S$836,10,0),"")</f>
        <v>Bình thường</v>
      </c>
      <c r="L853" s="25">
        <f>IFERROR(VLOOKUP(B853,'03. THIẾT BỊ'!$B$1:$S$836,11,0),"")</f>
        <v>0</v>
      </c>
      <c r="M853" s="24">
        <f>IFERROR(VLOOKUP(B853,'03. THIẾT BỊ'!$B$1:$S$836,12,0),"")</f>
        <v>0</v>
      </c>
      <c r="N853" s="25">
        <f>IFERROR(VLOOKUP(B853,'03. THIẾT BỊ'!$B$1:$S$836,13,0),"")</f>
        <v>0</v>
      </c>
      <c r="O853" s="24" t="str">
        <f>IFERROR(VLOOKUP(B853,'03. THIẾT BỊ'!$B$1:$S$836,14,0),"")</f>
        <v>SMRM 3T</v>
      </c>
      <c r="P853" s="25">
        <f>IFERROR(VLOOKUP(B853,'03. THIẾT BỊ'!$B$1:$S$836,15,0),"")</f>
        <v>0</v>
      </c>
      <c r="Q853" s="23">
        <f>IFERROR(VLOOKUP(B853,'03. THIẾT BỊ'!$B$1:$S$836,16,0),"")</f>
        <v>0</v>
      </c>
      <c r="R853" s="25">
        <f>IFERROR(VLOOKUP(B853,'03. THIẾT BỊ'!$B$1:$S$836,17,0),"")</f>
        <v>0</v>
      </c>
      <c r="S853" s="25" t="str">
        <f>IFERROR(VLOOKUP(B853,'03. THIẾT BỊ'!$B$1:$S$836,18,0),"")</f>
        <v>RN0PD230AKC000973</v>
      </c>
      <c r="T853" s="41"/>
    </row>
    <row r="854" customHeight="1" spans="1:20">
      <c r="A854" s="19">
        <v>2</v>
      </c>
      <c r="B854" s="20" t="s">
        <v>5822</v>
      </c>
      <c r="C854" s="613" t="str">
        <f>IFERROR(VLOOKUP(B854,'03. THIẾT BỊ'!$B$1:$S$836,2,0),"")</f>
        <v>92R-00503</v>
      </c>
      <c r="D854" s="24">
        <f>IFERROR(VLOOKUP(B854,'03. THIẾT BỊ'!$B$1:$S$836,3,0),"")</f>
        <v>0</v>
      </c>
      <c r="E854" s="20" t="str">
        <f>IFERROR(VLOOKUP(B854,'03. THIẾT BỊ'!$B$1:$S$836,4,0),"")</f>
        <v>THUÊ THILOGI</v>
      </c>
      <c r="F854" s="20" t="str">
        <f>IFERROR(VLOOKUP(B854,'03. THIẾT BỊ'!$B$1:$S$836,5,0),"")</f>
        <v>SMRM LCD</v>
      </c>
      <c r="G854" s="101" t="s">
        <v>6468</v>
      </c>
      <c r="H854" s="19" t="str">
        <f>IFERROR(VLOOKUP(B854,'03. THIẾT BỊ'!$B$1:$S$836,7,0),"")</f>
        <v>Phòng GNVC</v>
      </c>
      <c r="I854" s="610">
        <f>IFERROR(VLOOKUP(B854,'03. THIẾT BỊ'!$B$1:$S$836,8,0),"")</f>
        <v>45940</v>
      </c>
      <c r="J854" s="25"/>
      <c r="K854" s="19" t="str">
        <f>IFERROR(VLOOKUP(B854,'03. THIẾT BỊ'!$B$1:$S$836,10,0),"")</f>
        <v>Bình thường</v>
      </c>
      <c r="L854" s="25">
        <f>IFERROR(VLOOKUP(B854,'03. THIẾT BỊ'!$B$1:$S$836,11,0),"")</f>
        <v>0</v>
      </c>
      <c r="M854" s="24">
        <f>IFERROR(VLOOKUP(B854,'03. THIẾT BỊ'!$B$1:$S$836,12,0),"")</f>
        <v>0</v>
      </c>
      <c r="N854" s="25">
        <f>IFERROR(VLOOKUP(B854,'03. THIẾT BỊ'!$B$1:$S$836,13,0),"")</f>
        <v>0</v>
      </c>
      <c r="O854" s="24" t="str">
        <f>IFERROR(VLOOKUP(B854,'03. THIẾT BỊ'!$B$1:$S$836,14,0),"")</f>
        <v>SMRM 3T</v>
      </c>
      <c r="P854" s="25">
        <f>IFERROR(VLOOKUP(B854,'03. THIẾT BỊ'!$B$1:$S$836,15,0),"")</f>
        <v>0</v>
      </c>
      <c r="Q854" s="23">
        <f>IFERROR(VLOOKUP(B854,'03. THIẾT BỊ'!$B$1:$S$836,16,0),"")</f>
        <v>0</v>
      </c>
      <c r="R854" s="25">
        <f>IFERROR(VLOOKUP(B854,'03. THIẾT BỊ'!$B$1:$S$836,17,0),"")</f>
        <v>0</v>
      </c>
      <c r="S854" s="25" t="str">
        <f>IFERROR(VLOOKUP(B854,'03. THIẾT BỊ'!$B$1:$S$836,18,0),"")</f>
        <v>RN0PD230AKC000929</v>
      </c>
      <c r="T854" s="41"/>
    </row>
    <row r="855" customHeight="1" spans="1:20">
      <c r="A855" s="19"/>
      <c r="C855" s="613" t="str">
        <f>IFERROR(VLOOKUP(B855,'03. THIẾT BỊ'!$B$1:$S$836,2,0),"")</f>
        <v/>
      </c>
      <c r="D855" s="24" t="str">
        <f>IFERROR(VLOOKUP(B855,'03. THIẾT BỊ'!$B$1:$S$836,3,0),"")</f>
        <v/>
      </c>
      <c r="E855" s="20" t="str">
        <f>IFERROR(VLOOKUP(B855,'03. THIẾT BỊ'!$B$1:$S$836,4,0),"")</f>
        <v/>
      </c>
      <c r="F855" s="20" t="str">
        <f>IFERROR(VLOOKUP(B855,'03. THIẾT BỊ'!$B$1:$S$836,5,0),"")</f>
        <v/>
      </c>
      <c r="G855" s="101" t="s">
        <v>6468</v>
      </c>
      <c r="H855" s="19" t="str">
        <f>IFERROR(VLOOKUP(B855,'03. THIẾT BỊ'!$B$1:$S$836,7,0),"")</f>
        <v/>
      </c>
      <c r="I855" s="610" t="str">
        <f>IFERROR(VLOOKUP(B855,'03. THIẾT BỊ'!$B$1:$S$836,8,0),"")</f>
        <v/>
      </c>
      <c r="J855" s="25"/>
      <c r="K855" s="19" t="str">
        <f>IFERROR(VLOOKUP(B855,'03. THIẾT BỊ'!$B$1:$S$836,10,0),"")</f>
        <v/>
      </c>
      <c r="L855" s="25" t="str">
        <f>IFERROR(VLOOKUP(B855,'03. THIẾT BỊ'!$B$1:$S$836,11,0),"")</f>
        <v/>
      </c>
      <c r="M855" s="24" t="str">
        <f>IFERROR(VLOOKUP(B855,'03. THIẾT BỊ'!$B$1:$S$836,12,0),"")</f>
        <v/>
      </c>
      <c r="N855" s="25" t="str">
        <f>IFERROR(VLOOKUP(B855,'03. THIẾT BỊ'!$B$1:$S$836,13,0),"")</f>
        <v/>
      </c>
      <c r="O855" s="24" t="str">
        <f>IFERROR(VLOOKUP(B855,'03. THIẾT BỊ'!$B$1:$S$836,14,0),"")</f>
        <v/>
      </c>
      <c r="P855" s="25" t="str">
        <f>IFERROR(VLOOKUP(B855,'03. THIẾT BỊ'!$B$1:$S$836,15,0),"")</f>
        <v/>
      </c>
      <c r="Q855" s="23" t="str">
        <f>IFERROR(VLOOKUP(B855,'03. THIẾT BỊ'!$B$1:$S$836,16,0),"")</f>
        <v/>
      </c>
      <c r="R855" s="25" t="str">
        <f>IFERROR(VLOOKUP(B855,'03. THIẾT BỊ'!$B$1:$S$836,17,0),"")</f>
        <v/>
      </c>
      <c r="S855" s="25" t="str">
        <f>IFERROR(VLOOKUP(B855,'03. THIẾT BỊ'!$B$1:$S$836,18,0),"")</f>
        <v/>
      </c>
      <c r="T855" s="41"/>
    </row>
    <row r="856" ht="13.8" spans="1:20">
      <c r="A856" s="602" t="s">
        <v>290</v>
      </c>
      <c r="B856" s="603" t="s">
        <v>5840</v>
      </c>
      <c r="C856" s="616">
        <f>COUNTA(B857:B873)</f>
        <v>16</v>
      </c>
      <c r="D856" s="617">
        <f>IFERROR(VLOOKUP(B856,'03. THIẾT BỊ'!$B$1:$S$836,3,0),"")</f>
        <v>0</v>
      </c>
      <c r="E856" s="20">
        <f>IFERROR(VLOOKUP(B856,'03. THIẾT BỊ'!$B$1:$S$836,4,0),"")</f>
        <v>0</v>
      </c>
      <c r="F856" s="618">
        <f>IFERROR(VLOOKUP(B856,'03. THIẾT BỊ'!$B$1:$S$836,5,0),"")</f>
        <v>0</v>
      </c>
      <c r="G856" s="619" t="s">
        <v>6468</v>
      </c>
      <c r="H856" s="620">
        <f>IFERROR(VLOOKUP(B856,'03. THIẾT BỊ'!$B$1:$S$836,7,0),"")</f>
        <v>0</v>
      </c>
      <c r="I856" s="621">
        <f>IFERROR(VLOOKUP(B856,'03. THIẾT BỊ'!$B$1:$S$836,8,0),"")</f>
        <v>0</v>
      </c>
      <c r="J856" s="618"/>
      <c r="K856" s="620">
        <f>IFERROR(VLOOKUP(B856,'03. THIẾT BỊ'!$B$1:$S$836,10,0),"")</f>
        <v>0</v>
      </c>
      <c r="L856" s="618">
        <f>IFERROR(VLOOKUP(B856,'03. THIẾT BỊ'!$B$1:$S$836,11,0),"")</f>
        <v>0</v>
      </c>
      <c r="M856" s="617">
        <f>IFERROR(VLOOKUP(B856,'03. THIẾT BỊ'!$B$1:$S$836,12,0),"")</f>
        <v>0</v>
      </c>
      <c r="N856" s="618">
        <f>IFERROR(VLOOKUP(B856,'03. THIẾT BỊ'!$B$1:$S$836,13,0),"")</f>
        <v>0</v>
      </c>
      <c r="O856" s="617">
        <f>IFERROR(VLOOKUP(B856,'03. THIẾT BỊ'!$B$1:$S$836,14,0),"")</f>
        <v>0</v>
      </c>
      <c r="P856" s="618">
        <f>IFERROR(VLOOKUP(B856,'03. THIẾT BỊ'!$B$1:$S$836,15,0),"")</f>
        <v>0</v>
      </c>
      <c r="Q856" s="620">
        <f>IFERROR(VLOOKUP(B856,'03. THIẾT BỊ'!$B$1:$S$836,16,0),"")</f>
        <v>0</v>
      </c>
      <c r="R856" s="618">
        <f>IFERROR(VLOOKUP(B856,'03. THIẾT BỊ'!$B$1:$S$836,17,0),"")</f>
        <v>0</v>
      </c>
      <c r="S856" s="618">
        <f>IFERROR(VLOOKUP(B856,'03. THIẾT BỊ'!$B$1:$S$836,18,0),"")</f>
        <v>0</v>
      </c>
      <c r="T856" s="625"/>
    </row>
    <row r="857" customHeight="1" spans="1:20">
      <c r="A857" s="23">
        <v>1</v>
      </c>
      <c r="B857" s="20" t="s">
        <v>5841</v>
      </c>
      <c r="C857" s="613">
        <f>IFERROR(VLOOKUP(B857,'03. THIẾT BỊ'!$B$1:$S$836,2,0),"")</f>
        <v>0</v>
      </c>
      <c r="D857" s="24">
        <f>IFERROR(VLOOKUP(B857,'03. THIẾT BỊ'!$B$1:$S$836,3,0),"")</f>
        <v>0</v>
      </c>
      <c r="E857" s="20">
        <f>IFERROR(VLOOKUP(B857,'03. THIẾT BỊ'!$B$1:$S$836,4,0),"")</f>
        <v>0</v>
      </c>
      <c r="F857" s="20" t="str">
        <f>IFERROR(VLOOKUP(B857,'03. THIẾT BỊ'!$B$1:$S$836,5,0),"")</f>
        <v>Rơ mooc gắn máy kéo</v>
      </c>
      <c r="G857" s="101" t="s">
        <v>6468</v>
      </c>
      <c r="H857" s="19" t="str">
        <f>IFERROR(VLOOKUP(B857,'03. THIẾT BỊ'!$B$1:$S$836,7,0),"")</f>
        <v>Hành chính KLH</v>
      </c>
      <c r="I857" s="610">
        <f>IFERROR(VLOOKUP(B857,'03. THIẾT BỊ'!$B$1:$S$836,8,0),"")</f>
        <v>0</v>
      </c>
      <c r="J857" s="25"/>
      <c r="K857" s="19" t="str">
        <f>IFERROR(VLOOKUP(B857,'03. THIẾT BỊ'!$B$1:$S$836,10,0),"")</f>
        <v>Bình thường</v>
      </c>
      <c r="L857" s="25">
        <f>IFERROR(VLOOKUP(B857,'03. THIẾT BỊ'!$B$1:$S$836,11,0),"")</f>
        <v>0</v>
      </c>
      <c r="M857" s="24">
        <f>IFERROR(VLOOKUP(B857,'03. THIẾT BỊ'!$B$1:$S$836,12,0),"")</f>
        <v>0</v>
      </c>
      <c r="N857" s="25" t="str">
        <f>IFERROR(VLOOKUP(B857,'03. THIẾT BỊ'!$B$1:$S$836,13,0),"")</f>
        <v>THACO AGRI</v>
      </c>
      <c r="O857" s="24">
        <f>IFERROR(VLOOKUP(B857,'03. THIẾT BỊ'!$B$1:$S$836,14,0),"")</f>
        <v>0</v>
      </c>
      <c r="P857" s="25" t="str">
        <f>IFERROR(VLOOKUP(B857,'03. THIẾT BỊ'!$B$1:$S$836,15,0),"")</f>
        <v>CK-CGH</v>
      </c>
      <c r="Q857" s="23">
        <f>IFERROR(VLOOKUP(B857,'03. THIẾT BỊ'!$B$1:$S$836,16,0),"")</f>
        <v>0</v>
      </c>
      <c r="R857" s="25" t="str">
        <f>IFERROR(VLOOKUP(B857,'03. THIẾT BỊ'!$B$1:$S$836,17,0),"")</f>
        <v>2x4x0.7m</v>
      </c>
      <c r="S857" s="25">
        <f>IFERROR(VLOOKUP(B857,'03. THIẾT BỊ'!$B$1:$S$836,18,0),"")</f>
        <v>0</v>
      </c>
      <c r="T857" s="615"/>
    </row>
    <row r="858" customHeight="1" spans="1:20">
      <c r="A858" s="23">
        <v>2</v>
      </c>
      <c r="B858" s="20" t="s">
        <v>5843</v>
      </c>
      <c r="C858" s="613" t="str">
        <f>IFERROR(VLOOKUP(B858,'03. THIẾT BỊ'!$B$1:$S$836,2,0),"")</f>
        <v>RMHA - 01</v>
      </c>
      <c r="D858" s="24">
        <f>IFERROR(VLOOKUP(B858,'03. THIẾT BỊ'!$B$1:$S$836,3,0),"")</f>
        <v>0</v>
      </c>
      <c r="E858" s="20">
        <f>IFERROR(VLOOKUP(B858,'03. THIẾT BỊ'!$B$1:$S$836,4,0),"")</f>
        <v>0</v>
      </c>
      <c r="F858" s="20" t="str">
        <f>IFERROR(VLOOKUP(B858,'03. THIẾT BỊ'!$B$1:$S$836,5,0),"")</f>
        <v>Rơ mooc RMHA</v>
      </c>
      <c r="G858" s="101" t="s">
        <v>6468</v>
      </c>
      <c r="H858" s="19" t="str">
        <f>IFERROR(VLOOKUP(B858,'03. THIẾT BỊ'!$B$1:$S$836,7,0),"")</f>
        <v>Xưởng Cơ khí DP</v>
      </c>
      <c r="I858" s="610">
        <f>IFERROR(VLOOKUP(B858,'03. THIẾT BỊ'!$B$1:$S$836,8,0),"")</f>
        <v>0</v>
      </c>
      <c r="J858" s="25"/>
      <c r="K858" s="19" t="str">
        <f>IFERROR(VLOOKUP(B858,'03. THIẾT BỊ'!$B$1:$S$836,10,0),"")</f>
        <v>Bình thường</v>
      </c>
      <c r="L858" s="25">
        <f>IFERROR(VLOOKUP(B858,'03. THIẾT BỊ'!$B$1:$S$836,11,0),"")</f>
        <v>0</v>
      </c>
      <c r="M858" s="24" t="str">
        <f>IFERROR(VLOOKUP(B858,'03. THIẾT BỊ'!$B$1:$S$836,12,0),"")</f>
        <v>Chở vật tư, máy phát điện</v>
      </c>
      <c r="N858" s="25" t="str">
        <f>IFERROR(VLOOKUP(B858,'03. THIẾT BỊ'!$B$1:$S$836,13,0),"")</f>
        <v>THACO AGRI</v>
      </c>
      <c r="O858" s="24">
        <f>IFERROR(VLOOKUP(B858,'03. THIẾT BỊ'!$B$1:$S$836,14,0),"")</f>
        <v>0</v>
      </c>
      <c r="P858" s="25" t="str">
        <f>IFERROR(VLOOKUP(B858,'03. THIẾT BỊ'!$B$1:$S$836,15,0),"")</f>
        <v>CK-CGH</v>
      </c>
      <c r="Q858" s="23">
        <f>IFERROR(VLOOKUP(B858,'03. THIẾT BỊ'!$B$1:$S$836,16,0),"")</f>
        <v>0</v>
      </c>
      <c r="R858" s="25">
        <f>IFERROR(VLOOKUP(B858,'03. THIẾT BỊ'!$B$1:$S$836,17,0),"")</f>
        <v>0</v>
      </c>
      <c r="S858" s="25">
        <f>IFERROR(VLOOKUP(B858,'03. THIẾT BỊ'!$B$1:$S$836,18,0),"")</f>
        <v>0</v>
      </c>
      <c r="T858" s="615"/>
    </row>
    <row r="859" customHeight="1" spans="1:20">
      <c r="A859" s="23">
        <v>3</v>
      </c>
      <c r="B859" s="20" t="s">
        <v>5847</v>
      </c>
      <c r="C859" s="613" t="str">
        <f>IFERROR(VLOOKUP(B859,'03. THIẾT BỊ'!$B$1:$S$836,2,0),"")</f>
        <v>RMHA - 02</v>
      </c>
      <c r="D859" s="24">
        <f>IFERROR(VLOOKUP(B859,'03. THIẾT BỊ'!$B$1:$S$836,3,0),"")</f>
        <v>0</v>
      </c>
      <c r="E859" s="20">
        <f>IFERROR(VLOOKUP(B859,'03. THIẾT BỊ'!$B$1:$S$836,4,0),"")</f>
        <v>0</v>
      </c>
      <c r="F859" s="20" t="str">
        <f>IFERROR(VLOOKUP(B859,'03. THIẾT BỊ'!$B$1:$S$836,5,0),"")</f>
        <v>Rơ mooc RMHA</v>
      </c>
      <c r="G859" s="101" t="s">
        <v>6468</v>
      </c>
      <c r="H859" s="19" t="str">
        <f>IFERROR(VLOOKUP(B859,'03. THIẾT BỊ'!$B$1:$S$836,7,0),"")</f>
        <v>Xưởng Cơ khí DP</v>
      </c>
      <c r="I859" s="610">
        <f>IFERROR(VLOOKUP(B859,'03. THIẾT BỊ'!$B$1:$S$836,8,0),"")</f>
        <v>0</v>
      </c>
      <c r="J859" s="25"/>
      <c r="K859" s="19" t="str">
        <f>IFERROR(VLOOKUP(B859,'03. THIẾT BỊ'!$B$1:$S$836,10,0),"")</f>
        <v>Bình thường</v>
      </c>
      <c r="L859" s="25">
        <f>IFERROR(VLOOKUP(B859,'03. THIẾT BỊ'!$B$1:$S$836,11,0),"")</f>
        <v>0</v>
      </c>
      <c r="M859" s="24" t="str">
        <f>IFERROR(VLOOKUP(B859,'03. THIẾT BỊ'!$B$1:$S$836,12,0),"")</f>
        <v>Chở vật tư, máy phát điện</v>
      </c>
      <c r="N859" s="25" t="str">
        <f>IFERROR(VLOOKUP(B859,'03. THIẾT BỊ'!$B$1:$S$836,13,0),"")</f>
        <v>THACO AGRI</v>
      </c>
      <c r="O859" s="24">
        <f>IFERROR(VLOOKUP(B859,'03. THIẾT BỊ'!$B$1:$S$836,14,0),"")</f>
        <v>0</v>
      </c>
      <c r="P859" s="25" t="str">
        <f>IFERROR(VLOOKUP(B859,'03. THIẾT BỊ'!$B$1:$S$836,15,0),"")</f>
        <v>CK-CGH</v>
      </c>
      <c r="Q859" s="23">
        <f>IFERROR(VLOOKUP(B859,'03. THIẾT BỊ'!$B$1:$S$836,16,0),"")</f>
        <v>0</v>
      </c>
      <c r="R859" s="25">
        <f>IFERROR(VLOOKUP(B859,'03. THIẾT BỊ'!$B$1:$S$836,17,0),"")</f>
        <v>0</v>
      </c>
      <c r="S859" s="25">
        <f>IFERROR(VLOOKUP(B859,'03. THIẾT BỊ'!$B$1:$S$836,18,0),"")</f>
        <v>0</v>
      </c>
      <c r="T859" s="615"/>
    </row>
    <row r="860" customHeight="1" spans="1:20">
      <c r="A860" s="23">
        <v>4</v>
      </c>
      <c r="B860" s="20" t="s">
        <v>5849</v>
      </c>
      <c r="C860" s="613" t="str">
        <f>IFERROR(VLOOKUP(B860,'03. THIẾT BỊ'!$B$1:$S$836,2,0),"")</f>
        <v>RMHA - 03</v>
      </c>
      <c r="D860" s="24">
        <f>IFERROR(VLOOKUP(B860,'03. THIẾT BỊ'!$B$1:$S$836,3,0),"")</f>
        <v>0</v>
      </c>
      <c r="E860" s="20">
        <f>IFERROR(VLOOKUP(B860,'03. THIẾT BỊ'!$B$1:$S$836,4,0),"")</f>
        <v>0</v>
      </c>
      <c r="F860" s="20" t="str">
        <f>IFERROR(VLOOKUP(B860,'03. THIẾT BỊ'!$B$1:$S$836,5,0),"")</f>
        <v>Rơ mooc RMHA</v>
      </c>
      <c r="G860" s="101" t="s">
        <v>6468</v>
      </c>
      <c r="H860" s="19" t="str">
        <f>IFERROR(VLOOKUP(B860,'03. THIẾT BỊ'!$B$1:$S$836,7,0),"")</f>
        <v>Xưởng Cơ khí DP</v>
      </c>
      <c r="I860" s="610">
        <f>IFERROR(VLOOKUP(B860,'03. THIẾT BỊ'!$B$1:$S$836,8,0),"")</f>
        <v>0</v>
      </c>
      <c r="J860" s="25"/>
      <c r="K860" s="19" t="str">
        <f>IFERROR(VLOOKUP(B860,'03. THIẾT BỊ'!$B$1:$S$836,10,0),"")</f>
        <v>Bình thường</v>
      </c>
      <c r="L860" s="25">
        <f>IFERROR(VLOOKUP(B860,'03. THIẾT BỊ'!$B$1:$S$836,11,0),"")</f>
        <v>0</v>
      </c>
      <c r="M860" s="24" t="str">
        <f>IFERROR(VLOOKUP(B860,'03. THIẾT BỊ'!$B$1:$S$836,12,0),"")</f>
        <v>Chở vật tư, máy phát điện</v>
      </c>
      <c r="N860" s="25" t="str">
        <f>IFERROR(VLOOKUP(B860,'03. THIẾT BỊ'!$B$1:$S$836,13,0),"")</f>
        <v>THACO AGRI</v>
      </c>
      <c r="O860" s="24">
        <f>IFERROR(VLOOKUP(B860,'03. THIẾT BỊ'!$B$1:$S$836,14,0),"")</f>
        <v>0</v>
      </c>
      <c r="P860" s="25" t="str">
        <f>IFERROR(VLOOKUP(B860,'03. THIẾT BỊ'!$B$1:$S$836,15,0),"")</f>
        <v>CK-CGH</v>
      </c>
      <c r="Q860" s="23">
        <f>IFERROR(VLOOKUP(B860,'03. THIẾT BỊ'!$B$1:$S$836,16,0),"")</f>
        <v>0</v>
      </c>
      <c r="R860" s="25">
        <f>IFERROR(VLOOKUP(B860,'03. THIẾT BỊ'!$B$1:$S$836,17,0),"")</f>
        <v>0</v>
      </c>
      <c r="S860" s="25">
        <f>IFERROR(VLOOKUP(B860,'03. THIẾT BỊ'!$B$1:$S$836,18,0),"")</f>
        <v>0</v>
      </c>
      <c r="T860" s="615"/>
    </row>
    <row r="861" customHeight="1" spans="1:20">
      <c r="A861" s="23">
        <v>5</v>
      </c>
      <c r="B861" s="20" t="s">
        <v>5851</v>
      </c>
      <c r="C861" s="613" t="str">
        <f>IFERROR(VLOOKUP(B861,'03. THIẾT BỊ'!$B$1:$S$836,2,0),"")</f>
        <v>RMHA - 04</v>
      </c>
      <c r="D861" s="24">
        <f>IFERROR(VLOOKUP(B861,'03. THIẾT BỊ'!$B$1:$S$836,3,0),"")</f>
        <v>0</v>
      </c>
      <c r="E861" s="20">
        <f>IFERROR(VLOOKUP(B861,'03. THIẾT BỊ'!$B$1:$S$836,4,0),"")</f>
        <v>0</v>
      </c>
      <c r="F861" s="20" t="str">
        <f>IFERROR(VLOOKUP(B861,'03. THIẾT BỊ'!$B$1:$S$836,5,0),"")</f>
        <v>Rơ mooc RMHA</v>
      </c>
      <c r="G861" s="101" t="s">
        <v>6468</v>
      </c>
      <c r="H861" s="19" t="str">
        <f>IFERROR(VLOOKUP(B861,'03. THIẾT BỊ'!$B$1:$S$836,7,0),"")</f>
        <v>Xưởng Cơ khí DP</v>
      </c>
      <c r="I861" s="610">
        <f>IFERROR(VLOOKUP(B861,'03. THIẾT BỊ'!$B$1:$S$836,8,0),"")</f>
        <v>0</v>
      </c>
      <c r="J861" s="25"/>
      <c r="K861" s="19" t="str">
        <f>IFERROR(VLOOKUP(B861,'03. THIẾT BỊ'!$B$1:$S$836,10,0),"")</f>
        <v>Bình thường</v>
      </c>
      <c r="L861" s="25">
        <f>IFERROR(VLOOKUP(B861,'03. THIẾT BỊ'!$B$1:$S$836,11,0),"")</f>
        <v>0</v>
      </c>
      <c r="M861" s="24" t="str">
        <f>IFERROR(VLOOKUP(B861,'03. THIẾT BỊ'!$B$1:$S$836,12,0),"")</f>
        <v>Chở vật tư, máy phát điện</v>
      </c>
      <c r="N861" s="25" t="str">
        <f>IFERROR(VLOOKUP(B861,'03. THIẾT BỊ'!$B$1:$S$836,13,0),"")</f>
        <v>THACO AGRI</v>
      </c>
      <c r="O861" s="24">
        <f>IFERROR(VLOOKUP(B861,'03. THIẾT BỊ'!$B$1:$S$836,14,0),"")</f>
        <v>0</v>
      </c>
      <c r="P861" s="25" t="str">
        <f>IFERROR(VLOOKUP(B861,'03. THIẾT BỊ'!$B$1:$S$836,15,0),"")</f>
        <v>CK-CGH</v>
      </c>
      <c r="Q861" s="23">
        <f>IFERROR(VLOOKUP(B861,'03. THIẾT BỊ'!$B$1:$S$836,16,0),"")</f>
        <v>0</v>
      </c>
      <c r="R861" s="25">
        <f>IFERROR(VLOOKUP(B861,'03. THIẾT BỊ'!$B$1:$S$836,17,0),"")</f>
        <v>0</v>
      </c>
      <c r="S861" s="25">
        <f>IFERROR(VLOOKUP(B861,'03. THIẾT BỊ'!$B$1:$S$836,18,0),"")</f>
        <v>0</v>
      </c>
      <c r="T861" s="615"/>
    </row>
    <row r="862" customHeight="1" spans="1:20">
      <c r="A862" s="23">
        <v>6</v>
      </c>
      <c r="B862" s="20" t="s">
        <v>5853</v>
      </c>
      <c r="C862" s="613">
        <f>IFERROR(VLOOKUP(B862,'03. THIẾT BỊ'!$B$1:$S$836,2,0),"")</f>
        <v>0</v>
      </c>
      <c r="D862" s="24" t="str">
        <f>IFERROR(VLOOKUP(B862,'03. THIẾT BỊ'!$B$1:$S$836,3,0),"")</f>
        <v>A23-MKC-011</v>
      </c>
      <c r="E862" s="20">
        <f>IFERROR(VLOOKUP(B862,'03. THIẾT BỊ'!$B$1:$S$836,4,0),"")</f>
        <v>0</v>
      </c>
      <c r="F862" s="20" t="str">
        <f>IFERROR(VLOOKUP(B862,'03. THIẾT BỊ'!$B$1:$S$836,5,0),"")</f>
        <v>Máy kéo chuối</v>
      </c>
      <c r="G862" s="101" t="s">
        <v>6468</v>
      </c>
      <c r="H862" s="19" t="str">
        <f>IFERROR(VLOOKUP(B862,'03. THIẾT BỊ'!$B$1:$S$836,7,0),"")</f>
        <v>Xưởng Cơ khí DP</v>
      </c>
      <c r="I862" s="610" t="str">
        <f>IFERROR(VLOOKUP(B862,'03. THIẾT BỊ'!$B$1:$S$836,8,0),"")</f>
        <v>24/05/2025</v>
      </c>
      <c r="J862" s="25"/>
      <c r="K862" s="19" t="str">
        <f>IFERROR(VLOOKUP(B862,'03. THIẾT BỊ'!$B$1:$S$836,10,0),"")</f>
        <v>Bình thường</v>
      </c>
      <c r="L862" s="25">
        <f>IFERROR(VLOOKUP(B862,'03. THIẾT BỊ'!$B$1:$S$836,11,0),"")</f>
        <v>0</v>
      </c>
      <c r="M862" s="24">
        <f>IFERROR(VLOOKUP(B862,'03. THIẾT BỊ'!$B$1:$S$836,12,0),"")</f>
        <v>0</v>
      </c>
      <c r="N862" s="25" t="str">
        <f>IFERROR(VLOOKUP(B862,'03. THIẾT BỊ'!$B$1:$S$836,13,0),"")</f>
        <v>THACO AGRI</v>
      </c>
      <c r="O862" s="24">
        <f>IFERROR(VLOOKUP(B862,'03. THIẾT BỊ'!$B$1:$S$836,14,0),"")</f>
        <v>0</v>
      </c>
      <c r="P862" s="25" t="str">
        <f>IFERROR(VLOOKUP(B862,'03. THIẾT BỊ'!$B$1:$S$836,15,0),"")</f>
        <v>CK-CGH</v>
      </c>
      <c r="Q862" s="23">
        <f>IFERROR(VLOOKUP(B862,'03. THIẾT BỊ'!$B$1:$S$836,16,0),"")</f>
        <v>0</v>
      </c>
      <c r="R862" s="25">
        <f>IFERROR(VLOOKUP(B862,'03. THIẾT BỊ'!$B$1:$S$836,17,0),"")</f>
        <v>0</v>
      </c>
      <c r="S862" s="25">
        <f>IFERROR(VLOOKUP(B862,'03. THIẾT BỊ'!$B$1:$S$836,18,0),"")</f>
        <v>0</v>
      </c>
      <c r="T862" s="41">
        <v>0.56</v>
      </c>
    </row>
    <row r="863" customHeight="1" spans="1:20">
      <c r="A863" s="23">
        <v>7</v>
      </c>
      <c r="B863" s="20" t="s">
        <v>5856</v>
      </c>
      <c r="C863" s="613" t="str">
        <f>IFERROR(VLOOKUP(B863,'03. THIẾT BỊ'!$B$1:$S$836,2,0),"")</f>
        <v>XAD-RMC-018</v>
      </c>
      <c r="D863" s="24" t="str">
        <f>IFERROR(VLOOKUP(B863,'03. THIẾT BỊ'!$B$1:$S$836,3,0),"")</f>
        <v>A22-RMC-005</v>
      </c>
      <c r="E863" s="20">
        <f>IFERROR(VLOOKUP(B863,'03. THIẾT BỊ'!$B$1:$S$836,4,0),"")</f>
        <v>0</v>
      </c>
      <c r="F863" s="20" t="str">
        <f>IFERROR(VLOOKUP(B863,'03. THIẾT BỊ'!$B$1:$S$836,5,0),"")</f>
        <v>Rơ mooc thu hoạch</v>
      </c>
      <c r="G863" s="101" t="s">
        <v>6468</v>
      </c>
      <c r="H863" s="19" t="str">
        <f>IFERROR(VLOOKUP(B863,'03. THIẾT BỊ'!$B$1:$S$836,7,0),"")</f>
        <v>XN Chuối AD2</v>
      </c>
      <c r="I863" s="610">
        <f>IFERROR(VLOOKUP(B863,'03. THIẾT BỊ'!$B$1:$S$836,8,0),"")</f>
        <v>45779</v>
      </c>
      <c r="J863" s="25"/>
      <c r="K863" s="19" t="str">
        <f>IFERROR(VLOOKUP(B863,'03. THIẾT BỊ'!$B$1:$S$836,10,0),"")</f>
        <v>Bình thường</v>
      </c>
      <c r="L863" s="25" t="str">
        <f>IFERROR(VLOOKUP(B863,'03. THIẾT BỊ'!$B$1:$S$836,11,0),"")</f>
        <v>Đ.chuyển từ AD2 ngày 05/02/2025</v>
      </c>
      <c r="M863" s="24">
        <f>IFERROR(VLOOKUP(B863,'03. THIẾT BỊ'!$B$1:$S$836,12,0),"")</f>
        <v>0</v>
      </c>
      <c r="N863" s="25" t="str">
        <f>IFERROR(VLOOKUP(B863,'03. THIẾT BỊ'!$B$1:$S$836,13,0),"")</f>
        <v>THACO AGRI</v>
      </c>
      <c r="O863" s="24">
        <f>IFERROR(VLOOKUP(B863,'03. THIẾT BỊ'!$B$1:$S$836,14,0),"")</f>
        <v>0</v>
      </c>
      <c r="P863" s="25" t="str">
        <f>IFERROR(VLOOKUP(B863,'03. THIẾT BỊ'!$B$1:$S$836,15,0),"")</f>
        <v>CK-CGH</v>
      </c>
      <c r="Q863" s="23">
        <f>IFERROR(VLOOKUP(B863,'03. THIẾT BỊ'!$B$1:$S$836,16,0),"")</f>
        <v>0</v>
      </c>
      <c r="R863" s="25">
        <f>IFERROR(VLOOKUP(B863,'03. THIẾT BỊ'!$B$1:$S$836,17,0),"")</f>
        <v>0</v>
      </c>
      <c r="S863" s="25" t="str">
        <f>IFERROR(VLOOKUP(B863,'03. THIẾT BỊ'!$B$1:$S$836,18,0),"")</f>
        <v>40 BUỒNG</v>
      </c>
      <c r="T863" s="41"/>
    </row>
    <row r="864" customHeight="1" spans="1:20">
      <c r="A864" s="23">
        <v>8</v>
      </c>
      <c r="B864" s="20" t="s">
        <v>5860</v>
      </c>
      <c r="C864" s="613">
        <f>IFERROR(VLOOKUP(B864,'03. THIẾT BỊ'!$B$1:$S$836,2,0),"")</f>
        <v>0</v>
      </c>
      <c r="D864" s="24">
        <f>IFERROR(VLOOKUP(B864,'03. THIẾT BỊ'!$B$1:$S$836,3,0),"")</f>
        <v>0</v>
      </c>
      <c r="E864" s="20">
        <f>IFERROR(VLOOKUP(B864,'03. THIẾT BỊ'!$B$1:$S$836,4,0),"")</f>
        <v>0</v>
      </c>
      <c r="F864" s="20" t="str">
        <f>IFERROR(VLOOKUP(B864,'03. THIẾT BỊ'!$B$1:$S$836,5,0),"")</f>
        <v>Rơ mooc RMHA</v>
      </c>
      <c r="G864" s="101" t="s">
        <v>6468</v>
      </c>
      <c r="H864" s="19" t="str">
        <f>IFERROR(VLOOKUP(B864,'03. THIẾT BỊ'!$B$1:$S$836,7,0),"")</f>
        <v>Ban Điện nước</v>
      </c>
      <c r="I864" s="610">
        <f>IFERROR(VLOOKUP(B864,'03. THIẾT BỊ'!$B$1:$S$836,8,0),"")</f>
        <v>0</v>
      </c>
      <c r="J864" s="25"/>
      <c r="K864" s="19" t="str">
        <f>IFERROR(VLOOKUP(B864,'03. THIẾT BỊ'!$B$1:$S$836,10,0),"")</f>
        <v>Bình thường</v>
      </c>
      <c r="L864" s="25">
        <f>IFERROR(VLOOKUP(B864,'03. THIẾT BỊ'!$B$1:$S$836,11,0),"")</f>
        <v>0</v>
      </c>
      <c r="M864" s="24" t="str">
        <f>IFERROR(VLOOKUP(B864,'03. THIẾT BỊ'!$B$1:$S$836,12,0),"")</f>
        <v>Rơ móc kéo MFĐ, BƠM NƯỚC</v>
      </c>
      <c r="N864" s="25" t="str">
        <f>IFERROR(VLOOKUP(B864,'03. THIẾT BỊ'!$B$1:$S$836,13,0),"")</f>
        <v>THACO AGRI</v>
      </c>
      <c r="O864" s="24">
        <f>IFERROR(VLOOKUP(B864,'03. THIẾT BỊ'!$B$1:$S$836,14,0),"")</f>
        <v>0</v>
      </c>
      <c r="P864" s="25" t="str">
        <f>IFERROR(VLOOKUP(B864,'03. THIẾT BỊ'!$B$1:$S$836,15,0),"")</f>
        <v>CK-CGH</v>
      </c>
      <c r="Q864" s="23">
        <f>IFERROR(VLOOKUP(B864,'03. THIẾT BỊ'!$B$1:$S$836,16,0),"")</f>
        <v>0</v>
      </c>
      <c r="R864" s="25">
        <f>IFERROR(VLOOKUP(B864,'03. THIẾT BỊ'!$B$1:$S$836,17,0),"")</f>
        <v>0</v>
      </c>
      <c r="S864" s="25">
        <f>IFERROR(VLOOKUP(B864,'03. THIẾT BỊ'!$B$1:$S$836,18,0),"")</f>
        <v>0</v>
      </c>
      <c r="T864" s="615"/>
    </row>
    <row r="865" customHeight="1" spans="1:20">
      <c r="A865" s="23">
        <v>9</v>
      </c>
      <c r="B865" s="20" t="s">
        <v>5863</v>
      </c>
      <c r="C865" s="613">
        <f>IFERROR(VLOOKUP(B865,'03. THIẾT BỊ'!$B$1:$S$836,2,0),"")</f>
        <v>0</v>
      </c>
      <c r="D865" s="24" t="str">
        <f>IFERROR(VLOOKUP(B865,'03. THIẾT BỊ'!$B$1:$S$836,3,0),"")</f>
        <v>A22-GĐH-001</v>
      </c>
      <c r="E865" s="20" t="str">
        <f>IFERROR(VLOOKUP(B865,'03. THIẾT BỊ'!$B$1:$S$836,4,0),"")</f>
        <v>A22-GĐH-001</v>
      </c>
      <c r="F865" s="20" t="str">
        <f>IFERROR(VLOOKUP(B865,'03. THIẾT BỊ'!$B$1:$S$836,5,0),"")</f>
        <v>Gàu định hình đào rãnh bỏ ống nước</v>
      </c>
      <c r="G865" s="101" t="s">
        <v>6468</v>
      </c>
      <c r="H865" s="19" t="str">
        <f>IFERROR(VLOOKUP(B865,'03. THIẾT BỊ'!$B$1:$S$836,7,0),"")</f>
        <v>Ban Điện nước</v>
      </c>
      <c r="I865" s="610">
        <f>IFERROR(VLOOKUP(B865,'03. THIẾT BỊ'!$B$1:$S$836,8,0),"")</f>
        <v>45483</v>
      </c>
      <c r="J865" s="25"/>
      <c r="K865" s="19" t="str">
        <f>IFERROR(VLOOKUP(B865,'03. THIẾT BỊ'!$B$1:$S$836,10,0),"")</f>
        <v>Bình thường</v>
      </c>
      <c r="L865" s="25">
        <f>IFERROR(VLOOKUP(B865,'03. THIẾT BỊ'!$B$1:$S$836,11,0),"")</f>
        <v>0</v>
      </c>
      <c r="M865" s="24">
        <f>IFERROR(VLOOKUP(B865,'03. THIẾT BỊ'!$B$1:$S$836,12,0),"")</f>
        <v>0</v>
      </c>
      <c r="N865" s="25" t="str">
        <f>IFERROR(VLOOKUP(B865,'03. THIẾT BỊ'!$B$1:$S$836,13,0),"")</f>
        <v>THACO AGRI</v>
      </c>
      <c r="O865" s="24">
        <f>IFERROR(VLOOKUP(B865,'03. THIẾT BỊ'!$B$1:$S$836,14,0),"")</f>
        <v>0</v>
      </c>
      <c r="P865" s="25" t="str">
        <f>IFERROR(VLOOKUP(B865,'03. THIẾT BỊ'!$B$1:$S$836,15,0),"")</f>
        <v>CK-CGH</v>
      </c>
      <c r="Q865" s="23">
        <f>IFERROR(VLOOKUP(B865,'03. THIẾT BỊ'!$B$1:$S$836,16,0),"")</f>
        <v>2024</v>
      </c>
      <c r="R865" s="25" t="str">
        <f>IFERROR(VLOOKUP(B865,'03. THIẾT BỊ'!$B$1:$S$836,17,0),"")</f>
        <v>350x200x400</v>
      </c>
      <c r="S865" s="25">
        <f>IFERROR(VLOOKUP(B865,'03. THIẾT BỊ'!$B$1:$S$836,18,0),"")</f>
        <v>0</v>
      </c>
      <c r="T865" s="615"/>
    </row>
    <row r="866" customHeight="1" spans="1:20">
      <c r="A866" s="23">
        <v>10</v>
      </c>
      <c r="B866" s="20" t="s">
        <v>5866</v>
      </c>
      <c r="C866" s="613">
        <f>IFERROR(VLOOKUP(B866,'03. THIẾT BỊ'!$B$1:$S$836,2,0),"")</f>
        <v>0</v>
      </c>
      <c r="D866" s="24" t="str">
        <f>IFERROR(VLOOKUP(B866,'03. THIẾT BỊ'!$B$1:$S$836,3,0),"")</f>
        <v>A22-GĐH-002</v>
      </c>
      <c r="E866" s="20" t="str">
        <f>IFERROR(VLOOKUP(B866,'03. THIẾT BỊ'!$B$1:$S$836,4,0),"")</f>
        <v>A22-GĐH-002</v>
      </c>
      <c r="F866" s="20" t="str">
        <f>IFERROR(VLOOKUP(B866,'03. THIẾT BỊ'!$B$1:$S$836,5,0),"")</f>
        <v>Gàu định hình đào rãnh bỏ ống nước</v>
      </c>
      <c r="G866" s="101" t="s">
        <v>6468</v>
      </c>
      <c r="H866" s="19" t="str">
        <f>IFERROR(VLOOKUP(B866,'03. THIẾT BỊ'!$B$1:$S$836,7,0),"")</f>
        <v>Ban Điện nước</v>
      </c>
      <c r="I866" s="610">
        <f>IFERROR(VLOOKUP(B866,'03. THIẾT BỊ'!$B$1:$S$836,8,0),"")</f>
        <v>45483</v>
      </c>
      <c r="J866" s="25"/>
      <c r="K866" s="19" t="str">
        <f>IFERROR(VLOOKUP(B866,'03. THIẾT BỊ'!$B$1:$S$836,10,0),"")</f>
        <v>Bình thường</v>
      </c>
      <c r="L866" s="25">
        <f>IFERROR(VLOOKUP(B866,'03. THIẾT BỊ'!$B$1:$S$836,11,0),"")</f>
        <v>0</v>
      </c>
      <c r="M866" s="24">
        <f>IFERROR(VLOOKUP(B866,'03. THIẾT BỊ'!$B$1:$S$836,12,0),"")</f>
        <v>0</v>
      </c>
      <c r="N866" s="25" t="str">
        <f>IFERROR(VLOOKUP(B866,'03. THIẾT BỊ'!$B$1:$S$836,13,0),"")</f>
        <v>THACO AGRI</v>
      </c>
      <c r="O866" s="24">
        <f>IFERROR(VLOOKUP(B866,'03. THIẾT BỊ'!$B$1:$S$836,14,0),"")</f>
        <v>0</v>
      </c>
      <c r="P866" s="25" t="str">
        <f>IFERROR(VLOOKUP(B866,'03. THIẾT BỊ'!$B$1:$S$836,15,0),"")</f>
        <v>CK-CGH</v>
      </c>
      <c r="Q866" s="23">
        <f>IFERROR(VLOOKUP(B866,'03. THIẾT BỊ'!$B$1:$S$836,16,0),"")</f>
        <v>2024</v>
      </c>
      <c r="R866" s="25" t="str">
        <f>IFERROR(VLOOKUP(B866,'03. THIẾT BỊ'!$B$1:$S$836,17,0),"")</f>
        <v>350x200x400</v>
      </c>
      <c r="S866" s="25">
        <f>IFERROR(VLOOKUP(B866,'03. THIẾT BỊ'!$B$1:$S$836,18,0),"")</f>
        <v>0</v>
      </c>
      <c r="T866" s="615"/>
    </row>
    <row r="867" customHeight="1" spans="1:20">
      <c r="A867" s="23">
        <v>11</v>
      </c>
      <c r="B867" s="20" t="s">
        <v>5868</v>
      </c>
      <c r="C867" s="613">
        <f>IFERROR(VLOOKUP(B867,'03. THIẾT BỊ'!$B$1:$S$836,2,0),"")</f>
        <v>0</v>
      </c>
      <c r="D867" s="24" t="str">
        <f>IFERROR(VLOOKUP(B867,'03. THIẾT BỊ'!$B$1:$S$836,3,0),"")</f>
        <v>A23-GĐH-003</v>
      </c>
      <c r="E867" s="20" t="str">
        <f>IFERROR(VLOOKUP(B867,'03. THIẾT BỊ'!$B$1:$S$836,4,0),"")</f>
        <v>A23-GĐH-003</v>
      </c>
      <c r="F867" s="20" t="str">
        <f>IFERROR(VLOOKUP(B867,'03. THIẾT BỊ'!$B$1:$S$836,5,0),"")</f>
        <v>Gàu định hình đào rãnh bỏ ống nước</v>
      </c>
      <c r="G867" s="101" t="s">
        <v>6468</v>
      </c>
      <c r="H867" s="19" t="str">
        <f>IFERROR(VLOOKUP(B867,'03. THIẾT BỊ'!$B$1:$S$836,7,0),"")</f>
        <v>Ban Điện nước</v>
      </c>
      <c r="I867" s="610">
        <f>IFERROR(VLOOKUP(B867,'03. THIẾT BỊ'!$B$1:$S$836,8,0),"")</f>
        <v>45483</v>
      </c>
      <c r="J867" s="25"/>
      <c r="K867" s="19" t="str">
        <f>IFERROR(VLOOKUP(B867,'03. THIẾT BỊ'!$B$1:$S$836,10,0),"")</f>
        <v>Bình thường</v>
      </c>
      <c r="L867" s="25">
        <f>IFERROR(VLOOKUP(B867,'03. THIẾT BỊ'!$B$1:$S$836,11,0),"")</f>
        <v>0</v>
      </c>
      <c r="M867" s="24">
        <f>IFERROR(VLOOKUP(B867,'03. THIẾT BỊ'!$B$1:$S$836,12,0),"")</f>
        <v>0</v>
      </c>
      <c r="N867" s="25" t="str">
        <f>IFERROR(VLOOKUP(B867,'03. THIẾT BỊ'!$B$1:$S$836,13,0),"")</f>
        <v>THACO AGRI</v>
      </c>
      <c r="O867" s="24">
        <f>IFERROR(VLOOKUP(B867,'03. THIẾT BỊ'!$B$1:$S$836,14,0),"")</f>
        <v>0</v>
      </c>
      <c r="P867" s="25" t="str">
        <f>IFERROR(VLOOKUP(B867,'03. THIẾT BỊ'!$B$1:$S$836,15,0),"")</f>
        <v>CK-CGH</v>
      </c>
      <c r="Q867" s="23">
        <f>IFERROR(VLOOKUP(B867,'03. THIẾT BỊ'!$B$1:$S$836,16,0),"")</f>
        <v>2024</v>
      </c>
      <c r="R867" s="25" t="str">
        <f>IFERROR(VLOOKUP(B867,'03. THIẾT BỊ'!$B$1:$S$836,17,0),"")</f>
        <v>350x200x400</v>
      </c>
      <c r="S867" s="25">
        <f>IFERROR(VLOOKUP(B867,'03. THIẾT BỊ'!$B$1:$S$836,18,0),"")</f>
        <v>0</v>
      </c>
      <c r="T867" s="615"/>
    </row>
    <row r="868" customHeight="1" spans="1:20">
      <c r="A868" s="23">
        <v>12</v>
      </c>
      <c r="B868" s="20" t="s">
        <v>5870</v>
      </c>
      <c r="C868" s="613">
        <f>IFERROR(VLOOKUP(B868,'03. THIẾT BỊ'!$B$1:$S$836,2,0),"")</f>
        <v>0</v>
      </c>
      <c r="D868" s="24" t="str">
        <f>IFERROR(VLOOKUP(B868,'03. THIẾT BỊ'!$B$1:$S$836,3,0),"")</f>
        <v>A23-GĐH-004</v>
      </c>
      <c r="E868" s="20" t="str">
        <f>IFERROR(VLOOKUP(B868,'03. THIẾT BỊ'!$B$1:$S$836,4,0),"")</f>
        <v>A23-GĐH-004</v>
      </c>
      <c r="F868" s="20" t="str">
        <f>IFERROR(VLOOKUP(B868,'03. THIẾT BỊ'!$B$1:$S$836,5,0),"")</f>
        <v>Gàu định hình đào rãnh bỏ ống nước</v>
      </c>
      <c r="G868" s="101" t="s">
        <v>6468</v>
      </c>
      <c r="H868" s="19" t="str">
        <f>IFERROR(VLOOKUP(B868,'03. THIẾT BỊ'!$B$1:$S$836,7,0),"")</f>
        <v>Ban Điện nước</v>
      </c>
      <c r="I868" s="610">
        <f>IFERROR(VLOOKUP(B868,'03. THIẾT BỊ'!$B$1:$S$836,8,0),"")</f>
        <v>45483</v>
      </c>
      <c r="J868" s="25"/>
      <c r="K868" s="19" t="str">
        <f>IFERROR(VLOOKUP(B868,'03. THIẾT BỊ'!$B$1:$S$836,10,0),"")</f>
        <v>Bình thường</v>
      </c>
      <c r="L868" s="25">
        <f>IFERROR(VLOOKUP(B868,'03. THIẾT BỊ'!$B$1:$S$836,11,0),"")</f>
        <v>0</v>
      </c>
      <c r="M868" s="24">
        <f>IFERROR(VLOOKUP(B868,'03. THIẾT BỊ'!$B$1:$S$836,12,0),"")</f>
        <v>0</v>
      </c>
      <c r="N868" s="25" t="str">
        <f>IFERROR(VLOOKUP(B868,'03. THIẾT BỊ'!$B$1:$S$836,13,0),"")</f>
        <v>THACO AGRI</v>
      </c>
      <c r="O868" s="24">
        <f>IFERROR(VLOOKUP(B868,'03. THIẾT BỊ'!$B$1:$S$836,14,0),"")</f>
        <v>0</v>
      </c>
      <c r="P868" s="25" t="str">
        <f>IFERROR(VLOOKUP(B868,'03. THIẾT BỊ'!$B$1:$S$836,15,0),"")</f>
        <v>CK-CGH</v>
      </c>
      <c r="Q868" s="23">
        <f>IFERROR(VLOOKUP(B868,'03. THIẾT BỊ'!$B$1:$S$836,16,0),"")</f>
        <v>2024</v>
      </c>
      <c r="R868" s="25" t="str">
        <f>IFERROR(VLOOKUP(B868,'03. THIẾT BỊ'!$B$1:$S$836,17,0),"")</f>
        <v>350x200x400</v>
      </c>
      <c r="S868" s="25">
        <f>IFERROR(VLOOKUP(B868,'03. THIẾT BỊ'!$B$1:$S$836,18,0),"")</f>
        <v>0</v>
      </c>
      <c r="T868" s="615"/>
    </row>
    <row r="869" customHeight="1" spans="1:20">
      <c r="A869" s="23">
        <v>13</v>
      </c>
      <c r="B869" s="20" t="s">
        <v>5872</v>
      </c>
      <c r="C869" s="613">
        <f>IFERROR(VLOOKUP(B869,'03. THIẾT BỊ'!$B$1:$S$836,2,0),"")</f>
        <v>0</v>
      </c>
      <c r="D869" s="24" t="str">
        <f>IFERROR(VLOOKUP(B869,'03. THIẾT BỊ'!$B$1:$S$836,3,0),"")</f>
        <v>A23-GĐH-005</v>
      </c>
      <c r="E869" s="20" t="str">
        <f>IFERROR(VLOOKUP(B869,'03. THIẾT BỊ'!$B$1:$S$836,4,0),"")</f>
        <v>A23-GĐH-005</v>
      </c>
      <c r="F869" s="20" t="str">
        <f>IFERROR(VLOOKUP(B869,'03. THIẾT BỊ'!$B$1:$S$836,5,0),"")</f>
        <v>Gàu định hình đào rãnh bỏ ống nước</v>
      </c>
      <c r="G869" s="101" t="s">
        <v>6468</v>
      </c>
      <c r="H869" s="19" t="str">
        <f>IFERROR(VLOOKUP(B869,'03. THIẾT BỊ'!$B$1:$S$836,7,0),"")</f>
        <v>Ban Điện nước</v>
      </c>
      <c r="I869" s="610">
        <f>IFERROR(VLOOKUP(B869,'03. THIẾT BỊ'!$B$1:$S$836,8,0),"")</f>
        <v>45483</v>
      </c>
      <c r="J869" s="25"/>
      <c r="K869" s="19" t="str">
        <f>IFERROR(VLOOKUP(B869,'03. THIẾT BỊ'!$B$1:$S$836,10,0),"")</f>
        <v>Bình thường</v>
      </c>
      <c r="L869" s="25">
        <f>IFERROR(VLOOKUP(B869,'03. THIẾT BỊ'!$B$1:$S$836,11,0),"")</f>
        <v>0</v>
      </c>
      <c r="M869" s="24">
        <f>IFERROR(VLOOKUP(B869,'03. THIẾT BỊ'!$B$1:$S$836,12,0),"")</f>
        <v>0</v>
      </c>
      <c r="N869" s="25" t="str">
        <f>IFERROR(VLOOKUP(B869,'03. THIẾT BỊ'!$B$1:$S$836,13,0),"")</f>
        <v>THACO AGRI</v>
      </c>
      <c r="O869" s="24">
        <f>IFERROR(VLOOKUP(B869,'03. THIẾT BỊ'!$B$1:$S$836,14,0),"")</f>
        <v>0</v>
      </c>
      <c r="P869" s="25" t="str">
        <f>IFERROR(VLOOKUP(B869,'03. THIẾT BỊ'!$B$1:$S$836,15,0),"")</f>
        <v>CK-CGH</v>
      </c>
      <c r="Q869" s="23">
        <f>IFERROR(VLOOKUP(B869,'03. THIẾT BỊ'!$B$1:$S$836,16,0),"")</f>
        <v>2024</v>
      </c>
      <c r="R869" s="25" t="str">
        <f>IFERROR(VLOOKUP(B869,'03. THIẾT BỊ'!$B$1:$S$836,17,0),"")</f>
        <v>350x200x400</v>
      </c>
      <c r="S869" s="25">
        <f>IFERROR(VLOOKUP(B869,'03. THIẾT BỊ'!$B$1:$S$836,18,0),"")</f>
        <v>0</v>
      </c>
      <c r="T869" s="615"/>
    </row>
    <row r="870" customHeight="1" spans="1:20">
      <c r="A870" s="23">
        <v>14</v>
      </c>
      <c r="B870" s="20" t="s">
        <v>5874</v>
      </c>
      <c r="C870" s="613">
        <f>IFERROR(VLOOKUP(B870,'03. THIẾT BỊ'!$B$1:$S$836,2,0),"")</f>
        <v>0</v>
      </c>
      <c r="D870" s="24" t="str">
        <f>IFERROR(VLOOKUP(B870,'03. THIẾT BỊ'!$B$1:$S$836,3,0),"")</f>
        <v>A23-GĐH-006</v>
      </c>
      <c r="E870" s="20" t="str">
        <f>IFERROR(VLOOKUP(B870,'03. THIẾT BỊ'!$B$1:$S$836,4,0),"")</f>
        <v>A23-GĐH-006</v>
      </c>
      <c r="F870" s="20" t="str">
        <f>IFERROR(VLOOKUP(B870,'03. THIẾT BỊ'!$B$1:$S$836,5,0),"")</f>
        <v>Gàu định hình đào rãnh bỏ ống nước</v>
      </c>
      <c r="G870" s="101" t="s">
        <v>6468</v>
      </c>
      <c r="H870" s="19" t="str">
        <f>IFERROR(VLOOKUP(B870,'03. THIẾT BỊ'!$B$1:$S$836,7,0),"")</f>
        <v>Ban Điện nước</v>
      </c>
      <c r="I870" s="610">
        <f>IFERROR(VLOOKUP(B870,'03. THIẾT BỊ'!$B$1:$S$836,8,0),"")</f>
        <v>45483</v>
      </c>
      <c r="J870" s="25"/>
      <c r="K870" s="19" t="str">
        <f>IFERROR(VLOOKUP(B870,'03. THIẾT BỊ'!$B$1:$S$836,10,0),"")</f>
        <v>Bình thường</v>
      </c>
      <c r="L870" s="25">
        <f>IFERROR(VLOOKUP(B870,'03. THIẾT BỊ'!$B$1:$S$836,11,0),"")</f>
        <v>0</v>
      </c>
      <c r="M870" s="24">
        <f>IFERROR(VLOOKUP(B870,'03. THIẾT BỊ'!$B$1:$S$836,12,0),"")</f>
        <v>0</v>
      </c>
      <c r="N870" s="25" t="str">
        <f>IFERROR(VLOOKUP(B870,'03. THIẾT BỊ'!$B$1:$S$836,13,0),"")</f>
        <v>THACO AGRI</v>
      </c>
      <c r="O870" s="24">
        <f>IFERROR(VLOOKUP(B870,'03. THIẾT BỊ'!$B$1:$S$836,14,0),"")</f>
        <v>0</v>
      </c>
      <c r="P870" s="25" t="str">
        <f>IFERROR(VLOOKUP(B870,'03. THIẾT BỊ'!$B$1:$S$836,15,0),"")</f>
        <v>CK-CGH</v>
      </c>
      <c r="Q870" s="23">
        <f>IFERROR(VLOOKUP(B870,'03. THIẾT BỊ'!$B$1:$S$836,16,0),"")</f>
        <v>2024</v>
      </c>
      <c r="R870" s="25" t="str">
        <f>IFERROR(VLOOKUP(B870,'03. THIẾT BỊ'!$B$1:$S$836,17,0),"")</f>
        <v>350x200x400</v>
      </c>
      <c r="S870" s="25">
        <f>IFERROR(VLOOKUP(B870,'03. THIẾT BỊ'!$B$1:$S$836,18,0),"")</f>
        <v>0</v>
      </c>
      <c r="T870" s="615"/>
    </row>
    <row r="871" customHeight="1" spans="1:20">
      <c r="A871" s="23">
        <v>15</v>
      </c>
      <c r="B871" s="20" t="s">
        <v>5876</v>
      </c>
      <c r="C871" s="613">
        <f>IFERROR(VLOOKUP(B871,'03. THIẾT BỊ'!$B$1:$S$836,2,0),"")</f>
        <v>0</v>
      </c>
      <c r="D871" s="24" t="str">
        <f>IFERROR(VLOOKUP(B871,'03. THIẾT BỊ'!$B$1:$S$836,3,0),"")</f>
        <v>A23-GĐH-007</v>
      </c>
      <c r="E871" s="20" t="str">
        <f>IFERROR(VLOOKUP(B871,'03. THIẾT BỊ'!$B$1:$S$836,4,0),"")</f>
        <v>A23-GĐH-007</v>
      </c>
      <c r="F871" s="20" t="str">
        <f>IFERROR(VLOOKUP(B871,'03. THIẾT BỊ'!$B$1:$S$836,5,0),"")</f>
        <v>Gàu định hình đào rãnh bỏ ống nước</v>
      </c>
      <c r="G871" s="101" t="s">
        <v>6468</v>
      </c>
      <c r="H871" s="19" t="str">
        <f>IFERROR(VLOOKUP(B871,'03. THIẾT BỊ'!$B$1:$S$836,7,0),"")</f>
        <v>Ban Điện nước</v>
      </c>
      <c r="I871" s="610">
        <f>IFERROR(VLOOKUP(B871,'03. THIẾT BỊ'!$B$1:$S$836,8,0),"")</f>
        <v>45483</v>
      </c>
      <c r="J871" s="25"/>
      <c r="K871" s="19" t="str">
        <f>IFERROR(VLOOKUP(B871,'03. THIẾT BỊ'!$B$1:$S$836,10,0),"")</f>
        <v>Bình thường</v>
      </c>
      <c r="L871" s="25">
        <f>IFERROR(VLOOKUP(B871,'03. THIẾT BỊ'!$B$1:$S$836,11,0),"")</f>
        <v>0</v>
      </c>
      <c r="M871" s="24">
        <f>IFERROR(VLOOKUP(B871,'03. THIẾT BỊ'!$B$1:$S$836,12,0),"")</f>
        <v>0</v>
      </c>
      <c r="N871" s="25" t="str">
        <f>IFERROR(VLOOKUP(B871,'03. THIẾT BỊ'!$B$1:$S$836,13,0),"")</f>
        <v>THACO AGRI</v>
      </c>
      <c r="O871" s="24">
        <f>IFERROR(VLOOKUP(B871,'03. THIẾT BỊ'!$B$1:$S$836,14,0),"")</f>
        <v>0</v>
      </c>
      <c r="P871" s="25" t="str">
        <f>IFERROR(VLOOKUP(B871,'03. THIẾT BỊ'!$B$1:$S$836,15,0),"")</f>
        <v>CK-CGH</v>
      </c>
      <c r="Q871" s="23">
        <f>IFERROR(VLOOKUP(B871,'03. THIẾT BỊ'!$B$1:$S$836,16,0),"")</f>
        <v>2024</v>
      </c>
      <c r="R871" s="25" t="str">
        <f>IFERROR(VLOOKUP(B871,'03. THIẾT BỊ'!$B$1:$S$836,17,0),"")</f>
        <v>350x200x400</v>
      </c>
      <c r="S871" s="25">
        <f>IFERROR(VLOOKUP(B871,'03. THIẾT BỊ'!$B$1:$S$836,18,0),"")</f>
        <v>0</v>
      </c>
      <c r="T871" s="615"/>
    </row>
    <row r="872" customHeight="1" spans="1:20">
      <c r="A872" s="23">
        <v>16</v>
      </c>
      <c r="B872" s="20" t="s">
        <v>5877</v>
      </c>
      <c r="C872" s="613">
        <f>IFERROR(VLOOKUP(B872,'03. THIẾT BỊ'!$B$1:$S$836,2,0),"")</f>
        <v>0</v>
      </c>
      <c r="D872" s="24" t="str">
        <f>IFERROR(VLOOKUP(B872,'03. THIẾT BỊ'!$B$1:$S$836,3,0),"")</f>
        <v>A23-GĐH-008</v>
      </c>
      <c r="E872" s="20" t="str">
        <f>IFERROR(VLOOKUP(B872,'03. THIẾT BỊ'!$B$1:$S$836,4,0),"")</f>
        <v>A23-GĐH-008</v>
      </c>
      <c r="F872" s="20" t="str">
        <f>IFERROR(VLOOKUP(B872,'03. THIẾT BỊ'!$B$1:$S$836,5,0),"")</f>
        <v>Gàu định hình đào rãnh bỏ ống nước</v>
      </c>
      <c r="G872" s="101" t="s">
        <v>6468</v>
      </c>
      <c r="H872" s="19" t="str">
        <f>IFERROR(VLOOKUP(B872,'03. THIẾT BỊ'!$B$1:$S$836,7,0),"")</f>
        <v>Ban Điện nước</v>
      </c>
      <c r="I872" s="610">
        <f>IFERROR(VLOOKUP(B872,'03. THIẾT BỊ'!$B$1:$S$836,8,0),"")</f>
        <v>45483</v>
      </c>
      <c r="J872" s="25"/>
      <c r="K872" s="19" t="str">
        <f>IFERROR(VLOOKUP(B872,'03. THIẾT BỊ'!$B$1:$S$836,10,0),"")</f>
        <v>Bình thường</v>
      </c>
      <c r="L872" s="25">
        <f>IFERROR(VLOOKUP(B872,'03. THIẾT BỊ'!$B$1:$S$836,11,0),"")</f>
        <v>0</v>
      </c>
      <c r="M872" s="24">
        <f>IFERROR(VLOOKUP(B872,'03. THIẾT BỊ'!$B$1:$S$836,12,0),"")</f>
        <v>0</v>
      </c>
      <c r="N872" s="25" t="str">
        <f>IFERROR(VLOOKUP(B872,'03. THIẾT BỊ'!$B$1:$S$836,13,0),"")</f>
        <v>THACO AGRI</v>
      </c>
      <c r="O872" s="24">
        <f>IFERROR(VLOOKUP(B872,'03. THIẾT BỊ'!$B$1:$S$836,14,0),"")</f>
        <v>0</v>
      </c>
      <c r="P872" s="25" t="str">
        <f>IFERROR(VLOOKUP(B872,'03. THIẾT BỊ'!$B$1:$S$836,15,0),"")</f>
        <v>CK-CGH</v>
      </c>
      <c r="Q872" s="23">
        <f>IFERROR(VLOOKUP(B872,'03. THIẾT BỊ'!$B$1:$S$836,16,0),"")</f>
        <v>2024</v>
      </c>
      <c r="R872" s="25" t="str">
        <f>IFERROR(VLOOKUP(B872,'03. THIẾT BỊ'!$B$1:$S$836,17,0),"")</f>
        <v>350x200x400</v>
      </c>
      <c r="S872" s="25">
        <f>IFERROR(VLOOKUP(B872,'03. THIẾT BỊ'!$B$1:$S$836,18,0),"")</f>
        <v>0</v>
      </c>
      <c r="T872" s="615"/>
    </row>
    <row r="873" customHeight="1" spans="1:20">
      <c r="A873" s="23"/>
      <c r="B873" s="20"/>
      <c r="C873" s="613"/>
      <c r="D873" s="24"/>
      <c r="E873" s="20" t="str">
        <f>IFERROR(VLOOKUP(B873,'03. THIẾT BỊ'!$B$1:$S$836,4,0),"")</f>
        <v/>
      </c>
      <c r="F873" s="20"/>
      <c r="G873" s="101"/>
      <c r="H873" s="19"/>
      <c r="I873" s="610"/>
      <c r="J873" s="25"/>
      <c r="K873" s="19"/>
      <c r="L873" s="25"/>
      <c r="M873" s="24"/>
      <c r="N873" s="25"/>
      <c r="O873" s="24"/>
      <c r="P873" s="25"/>
      <c r="Q873" s="23"/>
      <c r="R873" s="25"/>
      <c r="S873" s="25"/>
      <c r="T873" s="615"/>
    </row>
    <row r="874" customHeight="1" spans="1:20">
      <c r="A874" s="61" t="s">
        <v>3004</v>
      </c>
      <c r="B874" s="62" t="s">
        <v>3005</v>
      </c>
      <c r="C874" s="627">
        <f>IFERROR(VLOOKUP(B874,'03. THIẾT BỊ'!$B$1:$S$836,2,0),"")</f>
        <v>0</v>
      </c>
      <c r="D874" s="628">
        <f>IFERROR(VLOOKUP(B874,'03. THIẾT BỊ'!$B$1:$S$836,3,0),"")</f>
        <v>0</v>
      </c>
      <c r="E874" s="20">
        <f>IFERROR(VLOOKUP(B874,'03. THIẾT BỊ'!$B$1:$S$836,4,0),"")</f>
        <v>0</v>
      </c>
      <c r="F874" s="629">
        <f>IFERROR(VLOOKUP(B874,'03. THIẾT BỊ'!$B$1:$S$836,5,0),"")</f>
        <v>0</v>
      </c>
      <c r="G874" s="630" t="s">
        <v>6468</v>
      </c>
      <c r="H874" s="631">
        <f>IFERROR(VLOOKUP(B874,'03. THIẾT BỊ'!$B$1:$S$836,7,0),"")</f>
        <v>0</v>
      </c>
      <c r="I874" s="632">
        <f>IFERROR(VLOOKUP(B874,'03. THIẾT BỊ'!$B$1:$S$836,8,0),"")</f>
        <v>0</v>
      </c>
      <c r="J874" s="629"/>
      <c r="K874" s="631">
        <f>IFERROR(VLOOKUP(B874,'03. THIẾT BỊ'!$B$1:$S$836,10,0),"")</f>
        <v>0</v>
      </c>
      <c r="L874" s="629">
        <f>IFERROR(VLOOKUP(B874,'03. THIẾT BỊ'!$B$1:$S$836,11,0),"")</f>
        <v>0</v>
      </c>
      <c r="M874" s="628">
        <f>IFERROR(VLOOKUP(B874,'03. THIẾT BỊ'!$B$1:$S$836,12,0),"")</f>
        <v>0</v>
      </c>
      <c r="N874" s="629">
        <f>IFERROR(VLOOKUP(B874,'03. THIẾT BỊ'!$B$1:$S$836,13,0),"")</f>
        <v>0</v>
      </c>
      <c r="O874" s="628">
        <f>IFERROR(VLOOKUP(B874,'03. THIẾT BỊ'!$B$1:$S$836,14,0),"")</f>
        <v>0</v>
      </c>
      <c r="P874" s="629">
        <f>IFERROR(VLOOKUP(B874,'03. THIẾT BỊ'!$B$1:$S$836,15,0),"")</f>
        <v>0</v>
      </c>
      <c r="Q874" s="631">
        <f>IFERROR(VLOOKUP(B874,'03. THIẾT BỊ'!$B$1:$S$836,16,0),"")</f>
        <v>0</v>
      </c>
      <c r="R874" s="629">
        <f>IFERROR(VLOOKUP(B874,'03. THIẾT BỊ'!$B$1:$S$836,17,0),"")</f>
        <v>0</v>
      </c>
      <c r="S874" s="629">
        <f>IFERROR(VLOOKUP(B874,'03. THIẾT BỊ'!$B$1:$S$836,18,0),"")</f>
        <v>0</v>
      </c>
      <c r="T874" s="633"/>
    </row>
    <row r="875" ht="13.5" customHeight="1" spans="1:20">
      <c r="A875" s="63" t="s">
        <v>3007</v>
      </c>
      <c r="B875" s="64" t="s">
        <v>5884</v>
      </c>
      <c r="C875" s="634">
        <f>COUNTA(B876:B890)</f>
        <v>13</v>
      </c>
      <c r="D875" s="635">
        <f>IFERROR(VLOOKUP(B875,'03. THIẾT BỊ'!$B$1:$S$836,3,0),"")</f>
        <v>0</v>
      </c>
      <c r="E875" s="20">
        <f>IFERROR(VLOOKUP(B875,'03. THIẾT BỊ'!$B$1:$S$836,4,0),"")</f>
        <v>0</v>
      </c>
      <c r="F875" s="636">
        <f>IFERROR(VLOOKUP(B875,'03. THIẾT BỊ'!$B$1:$S$836,5,0),"")</f>
        <v>0</v>
      </c>
      <c r="G875" s="637" t="s">
        <v>6468</v>
      </c>
      <c r="H875" s="638">
        <f>IFERROR(VLOOKUP(B875,'03. THIẾT BỊ'!$B$1:$S$836,7,0),"")</f>
        <v>0</v>
      </c>
      <c r="I875" s="639">
        <f>IFERROR(VLOOKUP(B875,'03. THIẾT BỊ'!$B$1:$S$836,8,0),"")</f>
        <v>0</v>
      </c>
      <c r="J875" s="636"/>
      <c r="K875" s="638">
        <f>IFERROR(VLOOKUP(B875,'03. THIẾT BỊ'!$B$1:$S$836,10,0),"")</f>
        <v>0</v>
      </c>
      <c r="L875" s="636">
        <f>IFERROR(VLOOKUP(B875,'03. THIẾT BỊ'!$B$1:$S$836,11,0),"")</f>
        <v>0</v>
      </c>
      <c r="M875" s="635">
        <f>IFERROR(VLOOKUP(B875,'03. THIẾT BỊ'!$B$1:$S$836,12,0),"")</f>
        <v>0</v>
      </c>
      <c r="N875" s="636">
        <f>IFERROR(VLOOKUP(B875,'03. THIẾT BỊ'!$B$1:$S$836,13,0),"")</f>
        <v>0</v>
      </c>
      <c r="O875" s="635">
        <f>IFERROR(VLOOKUP(B875,'03. THIẾT BỊ'!$B$1:$S$836,14,0),"")</f>
        <v>0</v>
      </c>
      <c r="P875" s="636">
        <f>IFERROR(VLOOKUP(B875,'03. THIẾT BỊ'!$B$1:$S$836,15,0),"")</f>
        <v>0</v>
      </c>
      <c r="Q875" s="638">
        <f>IFERROR(VLOOKUP(B875,'03. THIẾT BỊ'!$B$1:$S$836,16,0),"")</f>
        <v>0</v>
      </c>
      <c r="R875" s="636">
        <f>IFERROR(VLOOKUP(B875,'03. THIẾT BỊ'!$B$1:$S$836,17,0),"")</f>
        <v>0</v>
      </c>
      <c r="S875" s="636">
        <f>IFERROR(VLOOKUP(B875,'03. THIẾT BỊ'!$B$1:$S$836,18,0),"")</f>
        <v>0</v>
      </c>
      <c r="T875" s="640"/>
    </row>
    <row r="876" customHeight="1" spans="1:20">
      <c r="A876" s="19">
        <v>1</v>
      </c>
      <c r="B876" s="20" t="s">
        <v>5885</v>
      </c>
      <c r="C876" s="613" t="str">
        <f>IFERROR(VLOOKUP(B876,'03. THIẾT BỊ'!$B$1:$S$836,2,0),"")</f>
        <v>RMC 01-VC KLH</v>
      </c>
      <c r="D876" s="24">
        <f>IFERROR(VLOOKUP(B876,'03. THIẾT BỊ'!$B$1:$S$836,3,0),"")</f>
        <v>0</v>
      </c>
      <c r="E876" s="20">
        <f>IFERROR(VLOOKUP(B876,'03. THIẾT BỊ'!$B$1:$S$836,4,0),"")</f>
        <v>0</v>
      </c>
      <c r="F876" s="20" t="str">
        <f>IFERROR(VLOOKUP(B876,'03. THIẾT BỊ'!$B$1:$S$836,5,0),"")</f>
        <v>Rơ mooc thu hoạch</v>
      </c>
      <c r="G876" s="101" t="s">
        <v>6468</v>
      </c>
      <c r="H876" s="19" t="str">
        <f>IFERROR(VLOOKUP(B876,'03. THIẾT BỊ'!$B$1:$S$836,7,0),"")</f>
        <v>XN Chuối DP2</v>
      </c>
      <c r="I876" s="610" t="str">
        <f>IFERROR(VLOOKUP(B876,'03. THIẾT BỊ'!$B$1:$S$836,8,0),"")</f>
        <v>15/05/2024</v>
      </c>
      <c r="J876" s="25"/>
      <c r="K876" s="19" t="str">
        <f>IFERROR(VLOOKUP(B876,'03. THIẾT BỊ'!$B$1:$S$836,10,0),"")</f>
        <v>Đã qua SD</v>
      </c>
      <c r="L876" s="25">
        <f>IFERROR(VLOOKUP(B876,'03. THIẾT BỊ'!$B$1:$S$836,11,0),"")</f>
        <v>0</v>
      </c>
      <c r="M876" s="24">
        <f>IFERROR(VLOOKUP(B876,'03. THIẾT BỊ'!$B$1:$S$836,12,0),"")</f>
        <v>0</v>
      </c>
      <c r="N876" s="25" t="str">
        <f>IFERROR(VLOOKUP(B876,'03. THIẾT BỊ'!$B$1:$S$836,13,0),"")</f>
        <v>THACO AGRI</v>
      </c>
      <c r="O876" s="24">
        <f>IFERROR(VLOOKUP(B876,'03. THIẾT BỊ'!$B$1:$S$836,14,0),"")</f>
        <v>0</v>
      </c>
      <c r="P876" s="25" t="str">
        <f>IFERROR(VLOOKUP(B876,'03. THIẾT BỊ'!$B$1:$S$836,15,0),"")</f>
        <v>CK-CGH</v>
      </c>
      <c r="Q876" s="23">
        <f>IFERROR(VLOOKUP(B876,'03. THIẾT BỊ'!$B$1:$S$836,16,0),"")</f>
        <v>0</v>
      </c>
      <c r="R876" s="25">
        <f>IFERROR(VLOOKUP(B876,'03. THIẾT BỊ'!$B$1:$S$836,17,0),"")</f>
        <v>0</v>
      </c>
      <c r="S876" s="25">
        <f>IFERROR(VLOOKUP(B876,'03. THIẾT BỊ'!$B$1:$S$836,18,0),"")</f>
        <v>0</v>
      </c>
      <c r="T876" s="41"/>
    </row>
    <row r="877" customHeight="1" spans="1:20">
      <c r="A877" s="19">
        <f t="shared" ref="A877:A888" si="40">A876+1</f>
        <v>2</v>
      </c>
      <c r="B877" s="20" t="s">
        <v>5888</v>
      </c>
      <c r="C877" s="613" t="str">
        <f>IFERROR(VLOOKUP(B877,'03. THIẾT BỊ'!$B$1:$S$836,2,0),"")</f>
        <v>RMC 89-VC KLH</v>
      </c>
      <c r="D877" s="24">
        <f>IFERROR(VLOOKUP(B877,'03. THIẾT BỊ'!$B$1:$S$836,3,0),"")</f>
        <v>0</v>
      </c>
      <c r="E877" s="20">
        <f>IFERROR(VLOOKUP(B877,'03. THIẾT BỊ'!$B$1:$S$836,4,0),"")</f>
        <v>0</v>
      </c>
      <c r="F877" s="20" t="str">
        <f>IFERROR(VLOOKUP(B877,'03. THIẾT BỊ'!$B$1:$S$836,5,0),"")</f>
        <v>Rơ mooc thùng ben</v>
      </c>
      <c r="G877" s="101" t="s">
        <v>6468</v>
      </c>
      <c r="H877" s="19" t="str">
        <f>IFERROR(VLOOKUP(B877,'03. THIẾT BỊ'!$B$1:$S$836,7,0),"")</f>
        <v>XN Chuối DP2</v>
      </c>
      <c r="I877" s="610" t="str">
        <f>IFERROR(VLOOKUP(B877,'03. THIẾT BỊ'!$B$1:$S$836,8,0),"")</f>
        <v>15/05/2024</v>
      </c>
      <c r="J877" s="25"/>
      <c r="K877" s="19" t="str">
        <f>IFERROR(VLOOKUP(B877,'03. THIẾT BỊ'!$B$1:$S$836,10,0),"")</f>
        <v>Đã qua SD</v>
      </c>
      <c r="L877" s="25">
        <f>IFERROR(VLOOKUP(B877,'03. THIẾT BỊ'!$B$1:$S$836,11,0),"")</f>
        <v>0</v>
      </c>
      <c r="M877" s="24">
        <f>IFERROR(VLOOKUP(B877,'03. THIẾT BỊ'!$B$1:$S$836,12,0),"")</f>
        <v>0</v>
      </c>
      <c r="N877" s="25" t="str">
        <f>IFERROR(VLOOKUP(B877,'03. THIẾT BỊ'!$B$1:$S$836,13,0),"")</f>
        <v>THACO AGRI</v>
      </c>
      <c r="O877" s="24">
        <f>IFERROR(VLOOKUP(B877,'03. THIẾT BỊ'!$B$1:$S$836,14,0),"")</f>
        <v>0</v>
      </c>
      <c r="P877" s="25" t="str">
        <f>IFERROR(VLOOKUP(B877,'03. THIẾT BỊ'!$B$1:$S$836,15,0),"")</f>
        <v>CK-CGH</v>
      </c>
      <c r="Q877" s="23">
        <f>IFERROR(VLOOKUP(B877,'03. THIẾT BỊ'!$B$1:$S$836,16,0),"")</f>
        <v>0</v>
      </c>
      <c r="R877" s="25">
        <f>IFERROR(VLOOKUP(B877,'03. THIẾT BỊ'!$B$1:$S$836,17,0),"")</f>
        <v>0</v>
      </c>
      <c r="S877" s="25">
        <f>IFERROR(VLOOKUP(B877,'03. THIẾT BỊ'!$B$1:$S$836,18,0),"")</f>
        <v>0</v>
      </c>
      <c r="T877" s="41"/>
    </row>
    <row r="878" customHeight="1" spans="1:20">
      <c r="A878" s="19">
        <f t="shared" si="40"/>
        <v>3</v>
      </c>
      <c r="B878" s="20" t="s">
        <v>5890</v>
      </c>
      <c r="C878" s="613" t="str">
        <f>IFERROR(VLOOKUP(B878,'03. THIẾT BỊ'!$B$1:$S$836,2,0),"")</f>
        <v>RMC 98-VC KLH</v>
      </c>
      <c r="D878" s="24">
        <f>IFERROR(VLOOKUP(B878,'03. THIẾT BỊ'!$B$1:$S$836,3,0),"")</f>
        <v>0</v>
      </c>
      <c r="E878" s="20">
        <f>IFERROR(VLOOKUP(B878,'03. THIẾT BỊ'!$B$1:$S$836,4,0),"")</f>
        <v>0</v>
      </c>
      <c r="F878" s="20" t="str">
        <f>IFERROR(VLOOKUP(B878,'03. THIẾT BỊ'!$B$1:$S$836,5,0),"")</f>
        <v>Rơ mooc thùng ben</v>
      </c>
      <c r="G878" s="101" t="s">
        <v>6468</v>
      </c>
      <c r="H878" s="19" t="str">
        <f>IFERROR(VLOOKUP(B878,'03. THIẾT BỊ'!$B$1:$S$836,7,0),"")</f>
        <v>XN Chuối DP2</v>
      </c>
      <c r="I878" s="610" t="str">
        <f>IFERROR(VLOOKUP(B878,'03. THIẾT BỊ'!$B$1:$S$836,8,0),"")</f>
        <v>15/05/2024</v>
      </c>
      <c r="J878" s="25"/>
      <c r="K878" s="19" t="str">
        <f>IFERROR(VLOOKUP(B878,'03. THIẾT BỊ'!$B$1:$S$836,10,0),"")</f>
        <v>Đã qua SD</v>
      </c>
      <c r="L878" s="25">
        <f>IFERROR(VLOOKUP(B878,'03. THIẾT BỊ'!$B$1:$S$836,11,0),"")</f>
        <v>0</v>
      </c>
      <c r="M878" s="24">
        <f>IFERROR(VLOOKUP(B878,'03. THIẾT BỊ'!$B$1:$S$836,12,0),"")</f>
        <v>0</v>
      </c>
      <c r="N878" s="25" t="str">
        <f>IFERROR(VLOOKUP(B878,'03. THIẾT BỊ'!$B$1:$S$836,13,0),"")</f>
        <v>THACO AGRI</v>
      </c>
      <c r="O878" s="24">
        <f>IFERROR(VLOOKUP(B878,'03. THIẾT BỊ'!$B$1:$S$836,14,0),"")</f>
        <v>0</v>
      </c>
      <c r="P878" s="25" t="str">
        <f>IFERROR(VLOOKUP(B878,'03. THIẾT BỊ'!$B$1:$S$836,15,0),"")</f>
        <v>CK-CGH</v>
      </c>
      <c r="Q878" s="23">
        <f>IFERROR(VLOOKUP(B878,'03. THIẾT BỊ'!$B$1:$S$836,16,0),"")</f>
        <v>0</v>
      </c>
      <c r="R878" s="25">
        <f>IFERROR(VLOOKUP(B878,'03. THIẾT BỊ'!$B$1:$S$836,17,0),"")</f>
        <v>0</v>
      </c>
      <c r="S878" s="25">
        <f>IFERROR(VLOOKUP(B878,'03. THIẾT BỊ'!$B$1:$S$836,18,0),"")</f>
        <v>0</v>
      </c>
      <c r="T878" s="41"/>
    </row>
    <row r="879" customHeight="1" spans="1:20">
      <c r="A879" s="19">
        <f t="shared" si="40"/>
        <v>4</v>
      </c>
      <c r="B879" s="66" t="s">
        <v>5892</v>
      </c>
      <c r="C879" s="613" t="str">
        <f>IFERROR(VLOOKUP(B879,'03. THIẾT BỊ'!$B$1:$S$836,2,0),"")</f>
        <v>RMC 26 VC-KLH</v>
      </c>
      <c r="D879" s="24">
        <f>IFERROR(VLOOKUP(B879,'03. THIẾT BỊ'!$B$1:$S$836,3,0),"")</f>
        <v>0</v>
      </c>
      <c r="E879" s="20">
        <f>IFERROR(VLOOKUP(B879,'03. THIẾT BỊ'!$B$1:$S$836,4,0),"")</f>
        <v>0</v>
      </c>
      <c r="F879" s="20" t="str">
        <f>IFERROR(VLOOKUP(B879,'03. THIẾT BỊ'!$B$1:$S$836,5,0),"")</f>
        <v>Rơ mooc thu hoạch</v>
      </c>
      <c r="G879" s="101" t="s">
        <v>6468</v>
      </c>
      <c r="H879" s="19" t="str">
        <f>IFERROR(VLOOKUP(B879,'03. THIẾT BỊ'!$B$1:$S$836,7,0),"")</f>
        <v>XN Chuối DP3</v>
      </c>
      <c r="I879" s="610" t="str">
        <f>IFERROR(VLOOKUP(B879,'03. THIẾT BỊ'!$B$1:$S$836,8,0),"")</f>
        <v>15/05/2024</v>
      </c>
      <c r="J879" s="25"/>
      <c r="K879" s="19" t="str">
        <f>IFERROR(VLOOKUP(B879,'03. THIẾT BỊ'!$B$1:$S$836,10,0),"")</f>
        <v>Đã qua sử dụng</v>
      </c>
      <c r="L879" s="25">
        <f>IFERROR(VLOOKUP(B879,'03. THIẾT BỊ'!$B$1:$S$836,11,0),"")</f>
        <v>0</v>
      </c>
      <c r="M879" s="24">
        <f>IFERROR(VLOOKUP(B879,'03. THIẾT BỊ'!$B$1:$S$836,12,0),"")</f>
        <v>0</v>
      </c>
      <c r="N879" s="25" t="str">
        <f>IFERROR(VLOOKUP(B879,'03. THIẾT BỊ'!$B$1:$S$836,13,0),"")</f>
        <v>THACO AGRI</v>
      </c>
      <c r="O879" s="24">
        <f>IFERROR(VLOOKUP(B879,'03. THIẾT BỊ'!$B$1:$S$836,14,0),"")</f>
        <v>0</v>
      </c>
      <c r="P879" s="25" t="str">
        <f>IFERROR(VLOOKUP(B879,'03. THIẾT BỊ'!$B$1:$S$836,15,0),"")</f>
        <v>CK-CGH</v>
      </c>
      <c r="Q879" s="23">
        <f>IFERROR(VLOOKUP(B879,'03. THIẾT BỊ'!$B$1:$S$836,16,0),"")</f>
        <v>0</v>
      </c>
      <c r="R879" s="25">
        <f>IFERROR(VLOOKUP(B879,'03. THIẾT BỊ'!$B$1:$S$836,17,0),"")</f>
        <v>0</v>
      </c>
      <c r="S879" s="25">
        <f>IFERROR(VLOOKUP(B879,'03. THIẾT BỊ'!$B$1:$S$836,18,0),"")</f>
        <v>0</v>
      </c>
      <c r="T879" s="641"/>
    </row>
    <row r="880" customHeight="1" spans="1:20">
      <c r="A880" s="19">
        <f t="shared" si="40"/>
        <v>5</v>
      </c>
      <c r="B880" s="73" t="s">
        <v>5894</v>
      </c>
      <c r="C880" s="613" t="str">
        <f>IFERROR(VLOOKUP(B880,'03. THIẾT BỊ'!$B$1:$S$836,2,0),"")</f>
        <v>RMC 75-VC KLH</v>
      </c>
      <c r="D880" s="24">
        <f>IFERROR(VLOOKUP(B880,'03. THIẾT BỊ'!$B$1:$S$836,3,0),"")</f>
        <v>0</v>
      </c>
      <c r="E880" s="20">
        <f>IFERROR(VLOOKUP(B880,'03. THIẾT BỊ'!$B$1:$S$836,4,0),"")</f>
        <v>0</v>
      </c>
      <c r="F880" s="20" t="str">
        <f>IFERROR(VLOOKUP(B880,'03. THIẾT BỊ'!$B$1:$S$836,5,0),"")</f>
        <v>Rơ mooc thu hoạch</v>
      </c>
      <c r="G880" s="101" t="s">
        <v>6468</v>
      </c>
      <c r="H880" s="19" t="str">
        <f>IFERROR(VLOOKUP(B880,'03. THIẾT BỊ'!$B$1:$S$836,7,0),"")</f>
        <v>XN Chuối DP3</v>
      </c>
      <c r="I880" s="610" t="str">
        <f>IFERROR(VLOOKUP(B880,'03. THIẾT BỊ'!$B$1:$S$836,8,0),"")</f>
        <v>15/05/2024</v>
      </c>
      <c r="J880" s="25"/>
      <c r="K880" s="19" t="str">
        <f>IFERROR(VLOOKUP(B880,'03. THIẾT BỊ'!$B$1:$S$836,10,0),"")</f>
        <v>Đã qua sử dụng</v>
      </c>
      <c r="L880" s="25">
        <f>IFERROR(VLOOKUP(B880,'03. THIẾT BỊ'!$B$1:$S$836,11,0),"")</f>
        <v>0</v>
      </c>
      <c r="M880" s="24">
        <f>IFERROR(VLOOKUP(B880,'03. THIẾT BỊ'!$B$1:$S$836,12,0),"")</f>
        <v>0</v>
      </c>
      <c r="N880" s="25" t="str">
        <f>IFERROR(VLOOKUP(B880,'03. THIẾT BỊ'!$B$1:$S$836,13,0),"")</f>
        <v>THACO AGRI</v>
      </c>
      <c r="O880" s="24">
        <f>IFERROR(VLOOKUP(B880,'03. THIẾT BỊ'!$B$1:$S$836,14,0),"")</f>
        <v>0</v>
      </c>
      <c r="P880" s="25" t="str">
        <f>IFERROR(VLOOKUP(B880,'03. THIẾT BỊ'!$B$1:$S$836,15,0),"")</f>
        <v>CK-CGH</v>
      </c>
      <c r="Q880" s="23">
        <f>IFERROR(VLOOKUP(B880,'03. THIẾT BỊ'!$B$1:$S$836,16,0),"")</f>
        <v>0</v>
      </c>
      <c r="R880" s="25">
        <f>IFERROR(VLOOKUP(B880,'03. THIẾT BỊ'!$B$1:$S$836,17,0),"")</f>
        <v>0</v>
      </c>
      <c r="S880" s="25">
        <f>IFERROR(VLOOKUP(B880,'03. THIẾT BỊ'!$B$1:$S$836,18,0),"")</f>
        <v>0</v>
      </c>
      <c r="T880" s="641"/>
    </row>
    <row r="881" customHeight="1" spans="1:20">
      <c r="A881" s="19">
        <f t="shared" si="40"/>
        <v>6</v>
      </c>
      <c r="B881" s="73" t="s">
        <v>5335</v>
      </c>
      <c r="C881" s="613" t="str">
        <f>IFERROR(VLOOKUP(B881,'03. THIẾT BỊ'!$B$1:$S$836,2,0),"")</f>
        <v>RMC 98-VC KLH</v>
      </c>
      <c r="D881" s="24">
        <f>IFERROR(VLOOKUP(B881,'03. THIẾT BỊ'!$B$1:$S$836,3,0),"")</f>
        <v>0</v>
      </c>
      <c r="E881" s="20">
        <f>IFERROR(VLOOKUP(B881,'03. THIẾT BỊ'!$B$1:$S$836,4,0),"")</f>
        <v>0</v>
      </c>
      <c r="F881" s="20" t="str">
        <f>IFERROR(VLOOKUP(B881,'03. THIẾT BỊ'!$B$1:$S$836,5,0),"")</f>
        <v>Rơ mooc thu hoạch</v>
      </c>
      <c r="G881" s="101" t="s">
        <v>6468</v>
      </c>
      <c r="H881" s="19" t="str">
        <f>IFERROR(VLOOKUP(B881,'03. THIẾT BỊ'!$B$1:$S$836,7,0),"")</f>
        <v>XN Chuối DP3</v>
      </c>
      <c r="I881" s="610" t="str">
        <f>IFERROR(VLOOKUP(B881,'03. THIẾT BỊ'!$B$1:$S$836,8,0),"")</f>
        <v>15/05/2024</v>
      </c>
      <c r="J881" s="25"/>
      <c r="K881" s="19" t="str">
        <f>IFERROR(VLOOKUP(B881,'03. THIẾT BỊ'!$B$1:$S$836,10,0),"")</f>
        <v>Đã qua sử dụng</v>
      </c>
      <c r="L881" s="25">
        <f>IFERROR(VLOOKUP(B881,'03. THIẾT BỊ'!$B$1:$S$836,11,0),"")</f>
        <v>0</v>
      </c>
      <c r="M881" s="24">
        <f>IFERROR(VLOOKUP(B881,'03. THIẾT BỊ'!$B$1:$S$836,12,0),"")</f>
        <v>0</v>
      </c>
      <c r="N881" s="25" t="str">
        <f>IFERROR(VLOOKUP(B881,'03. THIẾT BỊ'!$B$1:$S$836,13,0),"")</f>
        <v>THACO AGRI</v>
      </c>
      <c r="O881" s="24">
        <f>IFERROR(VLOOKUP(B881,'03. THIẾT BỊ'!$B$1:$S$836,14,0),"")</f>
        <v>0</v>
      </c>
      <c r="P881" s="25" t="str">
        <f>IFERROR(VLOOKUP(B881,'03. THIẾT BỊ'!$B$1:$S$836,15,0),"")</f>
        <v>CK-CGH</v>
      </c>
      <c r="Q881" s="23">
        <f>IFERROR(VLOOKUP(B881,'03. THIẾT BỊ'!$B$1:$S$836,16,0),"")</f>
        <v>0</v>
      </c>
      <c r="R881" s="25">
        <f>IFERROR(VLOOKUP(B881,'03. THIẾT BỊ'!$B$1:$S$836,17,0),"")</f>
        <v>0</v>
      </c>
      <c r="S881" s="25">
        <f>IFERROR(VLOOKUP(B881,'03. THIẾT BỊ'!$B$1:$S$836,18,0),"")</f>
        <v>0</v>
      </c>
      <c r="T881" s="641"/>
    </row>
    <row r="882" customHeight="1" spans="1:20">
      <c r="A882" s="19">
        <f t="shared" si="40"/>
        <v>7</v>
      </c>
      <c r="B882" s="20" t="s">
        <v>5896</v>
      </c>
      <c r="C882" s="613" t="str">
        <f>IFERROR(VLOOKUP(B882,'03. THIẾT BỊ'!$B$1:$S$836,2,0),"")</f>
        <v>RMC 76-VC KLH</v>
      </c>
      <c r="D882" s="24" t="str">
        <f>IFERROR(VLOOKUP(B882,'03. THIẾT BỊ'!$B$1:$S$836,3,0),"")</f>
        <v>A23-RMC-011</v>
      </c>
      <c r="E882" s="20">
        <f>IFERROR(VLOOKUP(B882,'03. THIẾT BỊ'!$B$1:$S$836,4,0),"")</f>
        <v>0</v>
      </c>
      <c r="F882" s="20" t="str">
        <f>IFERROR(VLOOKUP(B882,'03. THIẾT BỊ'!$B$1:$S$836,5,0),"")</f>
        <v>Rơ mooc thu hoạch</v>
      </c>
      <c r="G882" s="101" t="s">
        <v>6468</v>
      </c>
      <c r="H882" s="19" t="str">
        <f>IFERROR(VLOOKUP(B882,'03. THIẾT BỊ'!$B$1:$S$836,7,0),"")</f>
        <v>XN Chuối DP3</v>
      </c>
      <c r="I882" s="610">
        <f>IFERROR(VLOOKUP(B882,'03. THIẾT BỊ'!$B$1:$S$836,8,0),"")</f>
        <v>0</v>
      </c>
      <c r="J882" s="25"/>
      <c r="K882" s="19" t="str">
        <f>IFERROR(VLOOKUP(B882,'03. THIẾT BỊ'!$B$1:$S$836,10,0),"")</f>
        <v>Bình thường</v>
      </c>
      <c r="L882" s="25">
        <f>IFERROR(VLOOKUP(B882,'03. THIẾT BỊ'!$B$1:$S$836,11,0),"")</f>
        <v>0</v>
      </c>
      <c r="M882" s="24">
        <f>IFERROR(VLOOKUP(B882,'03. THIẾT BỊ'!$B$1:$S$836,12,0),"")</f>
        <v>0</v>
      </c>
      <c r="N882" s="25" t="str">
        <f>IFERROR(VLOOKUP(B882,'03. THIẾT BỊ'!$B$1:$S$836,13,0),"")</f>
        <v>THACO AGRI</v>
      </c>
      <c r="O882" s="24" t="str">
        <f>IFERROR(VLOOKUP(B882,'03. THIẾT BỊ'!$B$1:$S$836,14,0),"")</f>
        <v>THACO</v>
      </c>
      <c r="P882" s="25" t="str">
        <f>IFERROR(VLOOKUP(B882,'03. THIẾT BỊ'!$B$1:$S$836,15,0),"")</f>
        <v>CK-CGH</v>
      </c>
      <c r="Q882" s="23">
        <f>IFERROR(VLOOKUP(B882,'03. THIẾT BỊ'!$B$1:$S$836,16,0),"")</f>
        <v>0</v>
      </c>
      <c r="R882" s="25">
        <f>IFERROR(VLOOKUP(B882,'03. THIẾT BỊ'!$B$1:$S$836,17,0),"")</f>
        <v>0</v>
      </c>
      <c r="S882" s="25">
        <f>IFERROR(VLOOKUP(B882,'03. THIẾT BỊ'!$B$1:$S$836,18,0),"")</f>
        <v>44</v>
      </c>
      <c r="T882" s="615"/>
    </row>
    <row r="883" customHeight="1" spans="1:20">
      <c r="A883" s="19">
        <f t="shared" si="40"/>
        <v>8</v>
      </c>
      <c r="B883" s="20" t="s">
        <v>5899</v>
      </c>
      <c r="C883" s="613" t="str">
        <f>IFERROR(VLOOKUP(B883,'03. THIẾT BỊ'!$B$1:$S$836,2,0),"")</f>
        <v>SPT01</v>
      </c>
      <c r="D883" s="24">
        <f>IFERROR(VLOOKUP(B883,'03. THIẾT BỊ'!$B$1:$S$836,3,0),"")</f>
        <v>0</v>
      </c>
      <c r="E883" s="20">
        <f>IFERROR(VLOOKUP(B883,'03. THIẾT BỊ'!$B$1:$S$836,4,0),"")</f>
        <v>0</v>
      </c>
      <c r="F883" s="20" t="str">
        <f>IFERROR(VLOOKUP(B883,'03. THIẾT BỊ'!$B$1:$S$836,5,0),"")</f>
        <v>Súng phun thuốc Hansung</v>
      </c>
      <c r="G883" s="101" t="s">
        <v>6468</v>
      </c>
      <c r="H883" s="19" t="str">
        <f>IFERROR(VLOOKUP(B883,'03. THIẾT BỊ'!$B$1:$S$836,7,0),"")</f>
        <v>XN Chuối DP2</v>
      </c>
      <c r="I883" s="610">
        <f>IFERROR(VLOOKUP(B883,'03. THIẾT BỊ'!$B$1:$S$836,8,0),"")</f>
        <v>45357</v>
      </c>
      <c r="J883" s="25"/>
      <c r="K883" s="19" t="str">
        <f>IFERROR(VLOOKUP(B883,'03. THIẾT BỊ'!$B$1:$S$836,10,0),"")</f>
        <v>Đã qua sử dụng</v>
      </c>
      <c r="L883" s="25">
        <f>IFERROR(VLOOKUP(B883,'03. THIẾT BỊ'!$B$1:$S$836,11,0),"")</f>
        <v>0</v>
      </c>
      <c r="M883" s="24">
        <f>IFERROR(VLOOKUP(B883,'03. THIẾT BỊ'!$B$1:$S$836,12,0),"")</f>
        <v>0</v>
      </c>
      <c r="N883" s="25">
        <f>IFERROR(VLOOKUP(B883,'03. THIẾT BỊ'!$B$1:$S$836,13,0),"")</f>
        <v>0</v>
      </c>
      <c r="O883" s="24" t="str">
        <f>IFERROR(VLOOKUP(B883,'03. THIẾT BỊ'!$B$1:$S$836,14,0),"")</f>
        <v>THACO</v>
      </c>
      <c r="P883" s="25" t="str">
        <f>IFERROR(VLOOKUP(B883,'03. THIẾT BỊ'!$B$1:$S$836,15,0),"")</f>
        <v>HÀN QUỐC</v>
      </c>
      <c r="Q883" s="23">
        <f>IFERROR(VLOOKUP(B883,'03. THIẾT BỊ'!$B$1:$S$836,16,0),"")</f>
        <v>0</v>
      </c>
      <c r="R883" s="25">
        <f>IFERROR(VLOOKUP(B883,'03. THIẾT BỊ'!$B$1:$S$836,17,0),"")</f>
        <v>0</v>
      </c>
      <c r="S883" s="25" t="str">
        <f>IFERROR(VLOOKUP(B883,'03. THIẾT BỊ'!$B$1:$S$836,18,0),"")</f>
        <v>SK;HS128.DP344</v>
      </c>
      <c r="T883" s="622">
        <v>8.47</v>
      </c>
    </row>
    <row r="884" customHeight="1" spans="1:20">
      <c r="A884" s="19">
        <f t="shared" si="40"/>
        <v>9</v>
      </c>
      <c r="B884" s="31" t="s">
        <v>5902</v>
      </c>
      <c r="C884" s="613">
        <f>IFERROR(VLOOKUP(B884,'03. THIẾT BỊ'!$B$1:$S$836,2,0),"")</f>
        <v>0</v>
      </c>
      <c r="D884" s="24">
        <f>IFERROR(VLOOKUP(B884,'03. THIẾT BỊ'!$B$1:$S$836,3,0),"")</f>
        <v>0</v>
      </c>
      <c r="E884" s="20">
        <f>IFERROR(VLOOKUP(B884,'03. THIẾT BỊ'!$B$1:$S$836,4,0),"")</f>
        <v>0</v>
      </c>
      <c r="F884" s="20" t="str">
        <f>IFERROR(VLOOKUP(B884,'03. THIẾT BỊ'!$B$1:$S$836,5,0),"")</f>
        <v>Càng xúc lật gắn máy cày (0.68m3)</v>
      </c>
      <c r="G884" s="101" t="s">
        <v>6468</v>
      </c>
      <c r="H884" s="19" t="str">
        <f>IFERROR(VLOOKUP(B884,'03. THIẾT BỊ'!$B$1:$S$836,7,0),"")</f>
        <v>XN Bò AD</v>
      </c>
      <c r="I884" s="610">
        <f>IFERROR(VLOOKUP(B884,'03. THIẾT BỊ'!$B$1:$S$836,8,0),"")</f>
        <v>45388</v>
      </c>
      <c r="J884" s="25"/>
      <c r="K884" s="19" t="str">
        <f>IFERROR(VLOOKUP(B884,'03. THIẾT BỊ'!$B$1:$S$836,10,0),"")</f>
        <v>Đã qua SD</v>
      </c>
      <c r="L884" s="25">
        <f>IFERROR(VLOOKUP(B884,'03. THIẾT BỊ'!$B$1:$S$836,11,0),"")</f>
        <v>0</v>
      </c>
      <c r="M884" s="24" t="str">
        <f>IFERROR(VLOOKUP(B884,'03. THIẾT BỊ'!$B$1:$S$836,12,0),"")</f>
        <v>CHỜ PHÂN BỔ</v>
      </c>
      <c r="N884" s="25" t="str">
        <f>IFERROR(VLOOKUP(B884,'03. THIẾT BỊ'!$B$1:$S$836,13,0),"")</f>
        <v>THACO AGRI</v>
      </c>
      <c r="O884" s="24">
        <f>IFERROR(VLOOKUP(B884,'03. THIẾT BỊ'!$B$1:$S$836,14,0),"")</f>
        <v>0</v>
      </c>
      <c r="P884" s="25" t="str">
        <f>IFERROR(VLOOKUP(B884,'03. THIẾT BỊ'!$B$1:$S$836,15,0),"")</f>
        <v>CK-CGH</v>
      </c>
      <c r="Q884" s="23">
        <f>IFERROR(VLOOKUP(B884,'03. THIẾT BỊ'!$B$1:$S$836,16,0),"")</f>
        <v>0</v>
      </c>
      <c r="R884" s="25">
        <f>IFERROR(VLOOKUP(B884,'03. THIẾT BỊ'!$B$1:$S$836,17,0),"")</f>
        <v>0</v>
      </c>
      <c r="S884" s="25">
        <f>IFERROR(VLOOKUP(B884,'03. THIẾT BỊ'!$B$1:$S$836,18,0),"")</f>
        <v>0</v>
      </c>
      <c r="T884" s="41"/>
    </row>
    <row r="885" customHeight="1" spans="1:20">
      <c r="A885" s="19">
        <f t="shared" si="40"/>
        <v>10</v>
      </c>
      <c r="B885" s="20" t="s">
        <v>5905</v>
      </c>
      <c r="C885" s="613" t="str">
        <f>IFERROR(VLOOKUP(B885,'03. THIẾT BỊ'!$B$1:$S$836,2,0),"")</f>
        <v>RMC 94-VC KLH</v>
      </c>
      <c r="D885" s="24" t="str">
        <f>IFERROR(VLOOKUP(B885,'03. THIẾT BỊ'!$B$1:$S$836,3,0),"")</f>
        <v>A24-RMB-002</v>
      </c>
      <c r="E885" s="20">
        <f>IFERROR(VLOOKUP(B885,'03. THIẾT BỊ'!$B$1:$S$836,4,0),"")</f>
        <v>0</v>
      </c>
      <c r="F885" s="20" t="str">
        <f>IFERROR(VLOOKUP(B885,'03. THIẾT BỊ'!$B$1:$S$836,5,0),"")</f>
        <v>Rơ mooc thùng ben</v>
      </c>
      <c r="G885" s="101" t="s">
        <v>6468</v>
      </c>
      <c r="H885" s="19" t="str">
        <f>IFERROR(VLOOKUP(B885,'03. THIẾT BỊ'!$B$1:$S$836,7,0),"")</f>
        <v>XN Chuối DP3</v>
      </c>
      <c r="I885" s="610">
        <f>IFERROR(VLOOKUP(B885,'03. THIẾT BỊ'!$B$1:$S$836,8,0),"")</f>
        <v>45330</v>
      </c>
      <c r="J885" s="25"/>
      <c r="K885" s="19" t="str">
        <f>IFERROR(VLOOKUP(B885,'03. THIẾT BỊ'!$B$1:$S$836,10,0),"")</f>
        <v>Đã qua SD</v>
      </c>
      <c r="L885" s="25">
        <f>IFERROR(VLOOKUP(B885,'03. THIẾT BỊ'!$B$1:$S$836,11,0),"")</f>
        <v>0</v>
      </c>
      <c r="M885" s="24" t="str">
        <f>IFERROR(VLOOKUP(B885,'03. THIẾT BỊ'!$B$1:$S$836,12,0),"")</f>
        <v>Thu hồi cải tiến</v>
      </c>
      <c r="N885" s="25" t="str">
        <f>IFERROR(VLOOKUP(B885,'03. THIẾT BỊ'!$B$1:$S$836,13,0),"")</f>
        <v>THACO AGRI</v>
      </c>
      <c r="O885" s="24" t="str">
        <f>IFERROR(VLOOKUP(B885,'03. THIẾT BỊ'!$B$1:$S$836,14,0),"")</f>
        <v>THACO</v>
      </c>
      <c r="P885" s="25" t="str">
        <f>IFERROR(VLOOKUP(B885,'03. THIẾT BỊ'!$B$1:$S$836,15,0),"")</f>
        <v>CK-CGH</v>
      </c>
      <c r="Q885" s="23">
        <f>IFERROR(VLOOKUP(B885,'03. THIẾT BỊ'!$B$1:$S$836,16,0),"")</f>
        <v>0</v>
      </c>
      <c r="R885" s="25">
        <f>IFERROR(VLOOKUP(B885,'03. THIẾT BỊ'!$B$1:$S$836,17,0),"")</f>
        <v>0</v>
      </c>
      <c r="S885" s="25" t="str">
        <f>IFERROR(VLOOKUP(B885,'03. THIẾT BỊ'!$B$1:$S$836,18,0),"")</f>
        <v>Thùng ben 2m3</v>
      </c>
      <c r="T885" s="615"/>
    </row>
    <row r="886" customHeight="1" spans="1:20">
      <c r="A886" s="19">
        <f t="shared" si="40"/>
        <v>11</v>
      </c>
      <c r="B886" s="39" t="s">
        <v>5908</v>
      </c>
      <c r="C886" s="613">
        <f>IFERROR(VLOOKUP(B886,'03. THIẾT BỊ'!$B$1:$S$836,2,0),"")</f>
        <v>0</v>
      </c>
      <c r="D886" s="24" t="str">
        <f>IFERROR(VLOOKUP(B886,'03. THIẾT BỊ'!$B$1:$S$836,3,0),"")</f>
        <v>A24-RMC-001</v>
      </c>
      <c r="E886" s="20">
        <f>IFERROR(VLOOKUP(B886,'03. THIẾT BỊ'!$B$1:$S$836,4,0),"")</f>
        <v>0</v>
      </c>
      <c r="F886" s="20" t="str">
        <f>IFERROR(VLOOKUP(B886,'03. THIẾT BỊ'!$B$1:$S$836,5,0),"")</f>
        <v>Rơ mooc thu hoạch</v>
      </c>
      <c r="G886" s="101" t="s">
        <v>6468</v>
      </c>
      <c r="H886" s="19" t="str">
        <f>IFERROR(VLOOKUP(B886,'03. THIẾT BỊ'!$B$1:$S$836,7,0),"")</f>
        <v>XN Chuối AD2</v>
      </c>
      <c r="I886" s="610" t="str">
        <f>IFERROR(VLOOKUP(B886,'03. THIẾT BỊ'!$B$1:$S$836,8,0),"")</f>
        <v>28/06/2024</v>
      </c>
      <c r="J886" s="25"/>
      <c r="K886" s="19" t="str">
        <f>IFERROR(VLOOKUP(B886,'03. THIẾT BỊ'!$B$1:$S$836,10,0),"")</f>
        <v>Bình thường</v>
      </c>
      <c r="L886" s="25">
        <f>IFERROR(VLOOKUP(B886,'03. THIẾT BỊ'!$B$1:$S$836,11,0),"")</f>
        <v>0</v>
      </c>
      <c r="M886" s="24" t="str">
        <f>IFERROR(VLOOKUP(B886,'03. THIẾT BỊ'!$B$1:$S$836,12,0),"")</f>
        <v>CHỜ PHÂN BỔ</v>
      </c>
      <c r="N886" s="25" t="str">
        <f>IFERROR(VLOOKUP(B886,'03. THIẾT BỊ'!$B$1:$S$836,13,0),"")</f>
        <v>THACO AGRI</v>
      </c>
      <c r="O886" s="24">
        <f>IFERROR(VLOOKUP(B886,'03. THIẾT BỊ'!$B$1:$S$836,14,0),"")</f>
        <v>0</v>
      </c>
      <c r="P886" s="25" t="str">
        <f>IFERROR(VLOOKUP(B886,'03. THIẾT BỊ'!$B$1:$S$836,15,0),"")</f>
        <v>CK-CGH</v>
      </c>
      <c r="Q886" s="23">
        <f>IFERROR(VLOOKUP(B886,'03. THIẾT BỊ'!$B$1:$S$836,16,0),"")</f>
        <v>0</v>
      </c>
      <c r="R886" s="25">
        <f>IFERROR(VLOOKUP(B886,'03. THIẾT BỊ'!$B$1:$S$836,17,0),"")</f>
        <v>0</v>
      </c>
      <c r="S886" s="25" t="str">
        <f>IFERROR(VLOOKUP(B886,'03. THIẾT BỊ'!$B$1:$S$836,18,0),"")</f>
        <v>40 BUỒNG</v>
      </c>
      <c r="T886" s="41"/>
    </row>
    <row r="887" customHeight="1" spans="1:20">
      <c r="A887" s="19">
        <f t="shared" si="40"/>
        <v>12</v>
      </c>
      <c r="B887" s="20" t="s">
        <v>5910</v>
      </c>
      <c r="C887" s="613" t="str">
        <f>IFERROR(VLOOKUP(B887,'03. THIẾT BỊ'!$B$1:$S$836,2,0),"")</f>
        <v>XAD-RMC-010</v>
      </c>
      <c r="D887" s="24" t="str">
        <f>IFERROR(VLOOKUP(B887,'03. THIẾT BỊ'!$B$1:$S$836,3,0),"")</f>
        <v>A22-RMC-007</v>
      </c>
      <c r="E887" s="20">
        <f>IFERROR(VLOOKUP(B887,'03. THIẾT BỊ'!$B$1:$S$836,4,0),"")</f>
        <v>0</v>
      </c>
      <c r="F887" s="20" t="str">
        <f>IFERROR(VLOOKUP(B887,'03. THIẾT BỊ'!$B$1:$S$836,5,0),"")</f>
        <v>Rơ mooc thu hoạch</v>
      </c>
      <c r="G887" s="101" t="s">
        <v>6468</v>
      </c>
      <c r="H887" s="19" t="str">
        <f>IFERROR(VLOOKUP(B887,'03. THIẾT BỊ'!$B$1:$S$836,7,0),"")</f>
        <v>XN Chuối AD2</v>
      </c>
      <c r="I887" s="610">
        <f>IFERROR(VLOOKUP(B887,'03. THIẾT BỊ'!$B$1:$S$836,8,0),"")</f>
        <v>0</v>
      </c>
      <c r="J887" s="25"/>
      <c r="K887" s="19" t="str">
        <f>IFERROR(VLOOKUP(B887,'03. THIẾT BỊ'!$B$1:$S$836,10,0),"")</f>
        <v>Bình thường</v>
      </c>
      <c r="L887" s="25">
        <f>IFERROR(VLOOKUP(B887,'03. THIẾT BỊ'!$B$1:$S$836,11,0),"")</f>
        <v>0</v>
      </c>
      <c r="M887" s="24" t="str">
        <f>IFERROR(VLOOKUP(B887,'03. THIẾT BỊ'!$B$1:$S$836,12,0),"")</f>
        <v>CHỜ PHÂN BỔ</v>
      </c>
      <c r="N887" s="25" t="str">
        <f>IFERROR(VLOOKUP(B887,'03. THIẾT BỊ'!$B$1:$S$836,13,0),"")</f>
        <v>THACO AGRI</v>
      </c>
      <c r="O887" s="24">
        <f>IFERROR(VLOOKUP(B887,'03. THIẾT BỊ'!$B$1:$S$836,14,0),"")</f>
        <v>0</v>
      </c>
      <c r="P887" s="25" t="str">
        <f>IFERROR(VLOOKUP(B887,'03. THIẾT BỊ'!$B$1:$S$836,15,0),"")</f>
        <v>CK-CGH</v>
      </c>
      <c r="Q887" s="23">
        <f>IFERROR(VLOOKUP(B887,'03. THIẾT BỊ'!$B$1:$S$836,16,0),"")</f>
        <v>0</v>
      </c>
      <c r="R887" s="25">
        <f>IFERROR(VLOOKUP(B887,'03. THIẾT BỊ'!$B$1:$S$836,17,0),"")</f>
        <v>0</v>
      </c>
      <c r="S887" s="25" t="str">
        <f>IFERROR(VLOOKUP(B887,'03. THIẾT BỊ'!$B$1:$S$836,18,0),"")</f>
        <v>44 BUỒNG</v>
      </c>
      <c r="T887" s="41"/>
    </row>
    <row r="888" customHeight="1" spans="1:20">
      <c r="A888" s="19">
        <f t="shared" si="40"/>
        <v>13</v>
      </c>
      <c r="B888" s="20" t="s">
        <v>5914</v>
      </c>
      <c r="C888" s="613" t="str">
        <f>IFERROR(VLOOKUP(B888,'03. THIẾT BỊ'!$B$1:$S$836,2,0),"")</f>
        <v>XAD-SPT-002(SPT08)</v>
      </c>
      <c r="D888" s="24" t="str">
        <f>IFERROR(VLOOKUP(B888,'03. THIẾT BỊ'!$B$1:$S$836,3,0),"")</f>
        <v>A22-SPT-001</v>
      </c>
      <c r="E888" s="20">
        <f>IFERROR(VLOOKUP(B888,'03. THIẾT BỊ'!$B$1:$S$836,4,0),"")</f>
        <v>0</v>
      </c>
      <c r="F888" s="20" t="str">
        <f>IFERROR(VLOOKUP(B888,'03. THIẾT BỊ'!$B$1:$S$836,5,0),"")</f>
        <v>Súng phun thuốc Hansung</v>
      </c>
      <c r="G888" s="101" t="s">
        <v>6468</v>
      </c>
      <c r="H888" s="19" t="str">
        <f>IFERROR(VLOOKUP(B888,'03. THIẾT BỊ'!$B$1:$S$836,7,0),"")</f>
        <v>XN Chuối AD2</v>
      </c>
      <c r="I888" s="610">
        <f>IFERROR(VLOOKUP(B888,'03. THIẾT BỊ'!$B$1:$S$836,8,0),"")</f>
        <v>0</v>
      </c>
      <c r="J888" s="25"/>
      <c r="K888" s="19" t="str">
        <f>IFERROR(VLOOKUP(B888,'03. THIẾT BỊ'!$B$1:$S$836,10,0),"")</f>
        <v>Bình thường</v>
      </c>
      <c r="L888" s="25">
        <f>IFERROR(VLOOKUP(B888,'03. THIẾT BỊ'!$B$1:$S$836,11,0),"")</f>
        <v>0</v>
      </c>
      <c r="M888" s="24" t="str">
        <f>IFERROR(VLOOKUP(B888,'03. THIẾT BỊ'!$B$1:$S$836,12,0),"")</f>
        <v>CHỜ PHÂN BỔ</v>
      </c>
      <c r="N888" s="25">
        <f>IFERROR(VLOOKUP(B888,'03. THIẾT BỊ'!$B$1:$S$836,13,0),"")</f>
        <v>0</v>
      </c>
      <c r="O888" s="24">
        <f>IFERROR(VLOOKUP(B888,'03. THIẾT BỊ'!$B$1:$S$836,14,0),"")</f>
        <v>0</v>
      </c>
      <c r="P888" s="25" t="str">
        <f>IFERROR(VLOOKUP(B888,'03. THIẾT BỊ'!$B$1:$S$836,15,0),"")</f>
        <v>HÀN QUỐC</v>
      </c>
      <c r="Q888" s="23">
        <f>IFERROR(VLOOKUP(B888,'03. THIẾT BỊ'!$B$1:$S$836,16,0),"")</f>
        <v>0</v>
      </c>
      <c r="R888" s="25">
        <f>IFERROR(VLOOKUP(B888,'03. THIẾT BỊ'!$B$1:$S$836,17,0),"")</f>
        <v>0</v>
      </c>
      <c r="S888" s="25" t="str">
        <f>IFERROR(VLOOKUP(B888,'03. THIẾT BỊ'!$B$1:$S$836,18,0),"")</f>
        <v>HS128-TH313</v>
      </c>
      <c r="T888" s="622">
        <v>8.47</v>
      </c>
    </row>
    <row r="889" customHeight="1" spans="1:20">
      <c r="A889" s="19"/>
      <c r="B889" s="20"/>
      <c r="C889" s="613" t="str">
        <f>IFERROR(VLOOKUP(B889,'03. THIẾT BỊ'!$B$1:$S$836,2,0),"")</f>
        <v/>
      </c>
      <c r="D889" s="24" t="str">
        <f>IFERROR(VLOOKUP(B889,'03. THIẾT BỊ'!$B$1:$S$836,3,0),"")</f>
        <v/>
      </c>
      <c r="E889" s="20" t="str">
        <f>IFERROR(VLOOKUP(B889,'03. THIẾT BỊ'!$B$1:$S$836,4,0),"")</f>
        <v/>
      </c>
      <c r="F889" s="20" t="str">
        <f>IFERROR(VLOOKUP(B889,'03. THIẾT BỊ'!$B$1:$S$836,5,0),"")</f>
        <v/>
      </c>
      <c r="G889" s="101" t="s">
        <v>6468</v>
      </c>
      <c r="H889" s="19" t="str">
        <f>IFERROR(VLOOKUP(B889,'03. THIẾT BỊ'!$B$1:$S$836,7,0),"")</f>
        <v/>
      </c>
      <c r="I889" s="610" t="str">
        <f>IFERROR(VLOOKUP(B889,'03. THIẾT BỊ'!$B$1:$S$836,8,0),"")</f>
        <v/>
      </c>
      <c r="J889" s="25"/>
      <c r="K889" s="19" t="str">
        <f>IFERROR(VLOOKUP(B889,'03. THIẾT BỊ'!$B$1:$S$836,10,0),"")</f>
        <v/>
      </c>
      <c r="L889" s="25" t="str">
        <f>IFERROR(VLOOKUP(B889,'03. THIẾT BỊ'!$B$1:$S$836,11,0),"")</f>
        <v/>
      </c>
      <c r="M889" s="24" t="str">
        <f>IFERROR(VLOOKUP(B889,'03. THIẾT BỊ'!$B$1:$S$836,12,0),"")</f>
        <v/>
      </c>
      <c r="N889" s="25" t="str">
        <f>IFERROR(VLOOKUP(B889,'03. THIẾT BỊ'!$B$1:$S$836,13,0),"")</f>
        <v/>
      </c>
      <c r="O889" s="24" t="str">
        <f>IFERROR(VLOOKUP(B889,'03. THIẾT BỊ'!$B$1:$S$836,14,0),"")</f>
        <v/>
      </c>
      <c r="P889" s="25" t="str">
        <f>IFERROR(VLOOKUP(B889,'03. THIẾT BỊ'!$B$1:$S$836,15,0),"")</f>
        <v/>
      </c>
      <c r="Q889" s="23" t="str">
        <f>IFERROR(VLOOKUP(B889,'03. THIẾT BỊ'!$B$1:$S$836,16,0),"")</f>
        <v/>
      </c>
      <c r="R889" s="25" t="str">
        <f>IFERROR(VLOOKUP(B889,'03. THIẾT BỊ'!$B$1:$S$836,17,0),"")</f>
        <v/>
      </c>
      <c r="S889" s="25" t="str">
        <f>IFERROR(VLOOKUP(B889,'03. THIẾT BỊ'!$B$1:$S$836,18,0),"")</f>
        <v/>
      </c>
      <c r="T889" s="615"/>
    </row>
    <row r="890" customHeight="1" spans="1:20">
      <c r="A890" s="19"/>
      <c r="B890" s="20"/>
      <c r="C890" s="613" t="str">
        <f>IFERROR(VLOOKUP(B890,'03. THIẾT BỊ'!$B$1:$S$836,2,0),"")</f>
        <v/>
      </c>
      <c r="D890" s="24" t="str">
        <f>IFERROR(VLOOKUP(B890,'03. THIẾT BỊ'!$B$1:$S$836,3,0),"")</f>
        <v/>
      </c>
      <c r="E890" s="20" t="str">
        <f>IFERROR(VLOOKUP(B890,'03. THIẾT BỊ'!$B$1:$S$836,4,0),"")</f>
        <v/>
      </c>
      <c r="F890" s="20" t="str">
        <f>IFERROR(VLOOKUP(B890,'03. THIẾT BỊ'!$B$1:$S$836,5,0),"")</f>
        <v/>
      </c>
      <c r="G890" s="101" t="s">
        <v>6468</v>
      </c>
      <c r="H890" s="19" t="str">
        <f>IFERROR(VLOOKUP(B890,'03. THIẾT BỊ'!$B$1:$S$836,7,0),"")</f>
        <v/>
      </c>
      <c r="I890" s="610" t="str">
        <f>IFERROR(VLOOKUP(B890,'03. THIẾT BỊ'!$B$1:$S$836,8,0),"")</f>
        <v/>
      </c>
      <c r="J890" s="25"/>
      <c r="K890" s="19" t="str">
        <f>IFERROR(VLOOKUP(B890,'03. THIẾT BỊ'!$B$1:$S$836,10,0),"")</f>
        <v/>
      </c>
      <c r="L890" s="25" t="str">
        <f>IFERROR(VLOOKUP(B890,'03. THIẾT BỊ'!$B$1:$S$836,11,0),"")</f>
        <v/>
      </c>
      <c r="M890" s="24" t="str">
        <f>IFERROR(VLOOKUP(B890,'03. THIẾT BỊ'!$B$1:$S$836,12,0),"")</f>
        <v/>
      </c>
      <c r="N890" s="25" t="str">
        <f>IFERROR(VLOOKUP(B890,'03. THIẾT BỊ'!$B$1:$S$836,13,0),"")</f>
        <v/>
      </c>
      <c r="O890" s="24" t="str">
        <f>IFERROR(VLOOKUP(B890,'03. THIẾT BỊ'!$B$1:$S$836,14,0),"")</f>
        <v/>
      </c>
      <c r="P890" s="25" t="str">
        <f>IFERROR(VLOOKUP(B890,'03. THIẾT BỊ'!$B$1:$S$836,15,0),"")</f>
        <v/>
      </c>
      <c r="Q890" s="23" t="str">
        <f>IFERROR(VLOOKUP(B890,'03. THIẾT BỊ'!$B$1:$S$836,16,0),"")</f>
        <v/>
      </c>
      <c r="R890" s="25" t="str">
        <f>IFERROR(VLOOKUP(B890,'03. THIẾT BỊ'!$B$1:$S$836,17,0),"")</f>
        <v/>
      </c>
      <c r="S890" s="25" t="str">
        <f>IFERROR(VLOOKUP(B890,'03. THIẾT BỊ'!$B$1:$S$836,18,0),"")</f>
        <v/>
      </c>
      <c r="T890" s="615"/>
    </row>
    <row r="891" ht="13.5" customHeight="1" spans="1:20">
      <c r="A891" s="63" t="s">
        <v>3335</v>
      </c>
      <c r="B891" s="64" t="s">
        <v>5941</v>
      </c>
      <c r="C891" s="634">
        <f>COUNTA(B892:B894)</f>
        <v>1</v>
      </c>
      <c r="D891" s="635">
        <f>IFERROR(VLOOKUP(B891,'03. THIẾT BỊ'!$B$1:$S$836,3,0),"")</f>
        <v>0</v>
      </c>
      <c r="E891" s="20">
        <f>IFERROR(VLOOKUP(B891,'03. THIẾT BỊ'!$B$1:$S$836,4,0),"")</f>
        <v>0</v>
      </c>
      <c r="F891" s="636">
        <f>IFERROR(VLOOKUP(B891,'03. THIẾT BỊ'!$B$1:$S$836,5,0),"")</f>
        <v>0</v>
      </c>
      <c r="G891" s="637" t="s">
        <v>6468</v>
      </c>
      <c r="H891" s="638">
        <f>IFERROR(VLOOKUP(B891,'03. THIẾT BỊ'!$B$1:$S$836,7,0),"")</f>
        <v>0</v>
      </c>
      <c r="I891" s="639">
        <f>IFERROR(VLOOKUP(B891,'03. THIẾT BỊ'!$B$1:$S$836,8,0),"")</f>
        <v>0</v>
      </c>
      <c r="J891" s="636"/>
      <c r="K891" s="638">
        <f>IFERROR(VLOOKUP(B891,'03. THIẾT BỊ'!$B$1:$S$836,10,0),"")</f>
        <v>0</v>
      </c>
      <c r="L891" s="636">
        <f>IFERROR(VLOOKUP(B891,'03. THIẾT BỊ'!$B$1:$S$836,11,0),"")</f>
        <v>0</v>
      </c>
      <c r="M891" s="635">
        <f>IFERROR(VLOOKUP(B891,'03. THIẾT BỊ'!$B$1:$S$836,12,0),"")</f>
        <v>0</v>
      </c>
      <c r="N891" s="636">
        <f>IFERROR(VLOOKUP(B891,'03. THIẾT BỊ'!$B$1:$S$836,13,0),"")</f>
        <v>0</v>
      </c>
      <c r="O891" s="635">
        <f>IFERROR(VLOOKUP(B891,'03. THIẾT BỊ'!$B$1:$S$836,14,0),"")</f>
        <v>0</v>
      </c>
      <c r="P891" s="636">
        <f>IFERROR(VLOOKUP(B891,'03. THIẾT BỊ'!$B$1:$S$836,15,0),"")</f>
        <v>0</v>
      </c>
      <c r="Q891" s="638">
        <f>IFERROR(VLOOKUP(B891,'03. THIẾT BỊ'!$B$1:$S$836,16,0),"")</f>
        <v>0</v>
      </c>
      <c r="R891" s="636">
        <f>IFERROR(VLOOKUP(B891,'03. THIẾT BỊ'!$B$1:$S$836,17,0),"")</f>
        <v>0</v>
      </c>
      <c r="S891" s="636">
        <f>IFERROR(VLOOKUP(B891,'03. THIẾT BỊ'!$B$1:$S$836,18,0),"")</f>
        <v>0</v>
      </c>
      <c r="T891" s="640"/>
    </row>
    <row r="892" ht="40.5" customHeight="1" spans="1:20">
      <c r="A892" s="19">
        <v>1</v>
      </c>
      <c r="B892" s="20" t="s">
        <v>5942</v>
      </c>
      <c r="C892" s="613" t="str">
        <f>IFERROR(VLOOKUP(B892,'03. THIẾT BỊ'!$B$1:$S$836,2,0),"")</f>
        <v>XL3-MBC-001</v>
      </c>
      <c r="D892" s="24">
        <f>IFERROR(VLOOKUP(B892,'03. THIẾT BỊ'!$B$1:$S$836,3,0),"")</f>
        <v>0</v>
      </c>
      <c r="E892" s="20">
        <f>IFERROR(VLOOKUP(B892,'03. THIẾT BỊ'!$B$1:$S$836,4,0),"")</f>
        <v>0</v>
      </c>
      <c r="F892" s="20" t="str">
        <f>IFERROR(VLOOKUP(B892,'03. THIẾT BỊ'!$B$1:$S$836,5,0),"")</f>
        <v>Máy băm công nghiệp cố định 30Kw</v>
      </c>
      <c r="G892" s="101" t="s">
        <v>6468</v>
      </c>
      <c r="H892" s="19" t="str">
        <f>IFERROR(VLOOKUP(B892,'03. THIẾT BỊ'!$B$1:$S$836,7,0),"")</f>
        <v>KLH SNOUL</v>
      </c>
      <c r="I892" s="610" t="str">
        <f>IFERROR(VLOOKUP(B892,'03. THIẾT BỊ'!$B$1:$S$836,8,0),"")</f>
        <v>13/08/2024</v>
      </c>
      <c r="J892" s="25"/>
      <c r="K892" s="19">
        <f>IFERROR(VLOOKUP(B892,'03. THIẾT BỊ'!$B$1:$S$836,10,0),"")</f>
        <v>0</v>
      </c>
      <c r="L892" s="25" t="str">
        <f>IFERROR(VLOOKUP(B892,'03. THIẾT BỊ'!$B$1:$S$836,11,0),"")</f>
        <v>-Đ,chuyển từ LP3 24.08.2024
-ĐC KLH SNOUL ngày 11/06/2025</v>
      </c>
      <c r="M892" s="24" t="str">
        <f>IFERROR(VLOOKUP(B892,'03. THIẾT BỊ'!$B$1:$S$836,12,0),"")</f>
        <v>-</v>
      </c>
      <c r="N892" s="25">
        <f>IFERROR(VLOOKUP(B892,'03. THIẾT BỊ'!$B$1:$S$836,13,0),"")</f>
        <v>0</v>
      </c>
      <c r="O892" s="24">
        <f>IFERROR(VLOOKUP(B892,'03. THIẾT BỊ'!$B$1:$S$836,14,0),"")</f>
        <v>0</v>
      </c>
      <c r="P892" s="25">
        <f>IFERROR(VLOOKUP(B892,'03. THIẾT BỊ'!$B$1:$S$836,15,0),"")</f>
        <v>0</v>
      </c>
      <c r="Q892" s="23">
        <f>IFERROR(VLOOKUP(B892,'03. THIẾT BỊ'!$B$1:$S$836,16,0),"")</f>
        <v>2024</v>
      </c>
      <c r="R892" s="25" t="str">
        <f>IFERROR(VLOOKUP(B892,'03. THIẾT BỊ'!$B$1:$S$836,17,0),"")</f>
        <v>2.5x1.8x3.6</v>
      </c>
      <c r="S892" s="25">
        <f>IFERROR(VLOOKUP(B892,'03. THIẾT BỊ'!$B$1:$S$836,18,0),"")</f>
        <v>0</v>
      </c>
      <c r="T892" s="41"/>
    </row>
    <row r="893" customHeight="1" spans="1:20">
      <c r="A893" s="80"/>
      <c r="B893" s="81"/>
      <c r="C893" s="613" t="str">
        <f>IFERROR(VLOOKUP(B893,'03. THIẾT BỊ'!$B$1:$S$836,2,0),"")</f>
        <v/>
      </c>
      <c r="D893" s="24" t="str">
        <f>IFERROR(VLOOKUP(B893,'03. THIẾT BỊ'!$B$1:$S$836,3,0),"")</f>
        <v/>
      </c>
      <c r="E893" s="20" t="str">
        <f>IFERROR(VLOOKUP(B893,'03. THIẾT BỊ'!$B$1:$S$836,4,0),"")</f>
        <v/>
      </c>
      <c r="F893" s="20" t="str">
        <f>IFERROR(VLOOKUP(B893,'03. THIẾT BỊ'!$B$1:$S$836,5,0),"")</f>
        <v/>
      </c>
      <c r="G893" s="101" t="s">
        <v>6468</v>
      </c>
      <c r="H893" s="19" t="str">
        <f>IFERROR(VLOOKUP(B893,'03. THIẾT BỊ'!$B$1:$S$836,7,0),"")</f>
        <v/>
      </c>
      <c r="I893" s="610" t="str">
        <f>IFERROR(VLOOKUP(B893,'03. THIẾT BỊ'!$B$1:$S$836,8,0),"")</f>
        <v/>
      </c>
      <c r="J893" s="25"/>
      <c r="K893" s="19" t="str">
        <f>IFERROR(VLOOKUP(B893,'03. THIẾT BỊ'!$B$1:$S$836,10,0),"")</f>
        <v/>
      </c>
      <c r="L893" s="25" t="str">
        <f>IFERROR(VLOOKUP(B893,'03. THIẾT BỊ'!$B$1:$S$836,11,0),"")</f>
        <v/>
      </c>
      <c r="M893" s="24" t="str">
        <f>IFERROR(VLOOKUP(B893,'03. THIẾT BỊ'!$B$1:$S$836,12,0),"")</f>
        <v/>
      </c>
      <c r="N893" s="25" t="str">
        <f>IFERROR(VLOOKUP(B893,'03. THIẾT BỊ'!$B$1:$S$836,13,0),"")</f>
        <v/>
      </c>
      <c r="O893" s="24" t="str">
        <f>IFERROR(VLOOKUP(B893,'03. THIẾT BỊ'!$B$1:$S$836,14,0),"")</f>
        <v/>
      </c>
      <c r="P893" s="25" t="str">
        <f>IFERROR(VLOOKUP(B893,'03. THIẾT BỊ'!$B$1:$S$836,15,0),"")</f>
        <v/>
      </c>
      <c r="Q893" s="23" t="str">
        <f>IFERROR(VLOOKUP(B893,'03. THIẾT BỊ'!$B$1:$S$836,16,0),"")</f>
        <v/>
      </c>
      <c r="R893" s="25" t="str">
        <f>IFERROR(VLOOKUP(B893,'03. THIẾT BỊ'!$B$1:$S$836,17,0),"")</f>
        <v/>
      </c>
      <c r="S893" s="25" t="str">
        <f>IFERROR(VLOOKUP(B893,'03. THIẾT BỊ'!$B$1:$S$836,18,0),"")</f>
        <v/>
      </c>
      <c r="T893" s="81"/>
    </row>
    <row r="894" customHeight="1" spans="1:20">
      <c r="A894" s="80"/>
      <c r="B894" s="81"/>
      <c r="C894" s="613" t="str">
        <f>IFERROR(VLOOKUP(B894,'03. THIẾT BỊ'!$B$1:$S$836,2,0),"")</f>
        <v/>
      </c>
      <c r="D894" s="24" t="str">
        <f>IFERROR(VLOOKUP(B894,'03. THIẾT BỊ'!$B$1:$S$836,3,0),"")</f>
        <v/>
      </c>
      <c r="E894" s="20" t="str">
        <f>IFERROR(VLOOKUP(B894,'03. THIẾT BỊ'!$B$1:$S$836,4,0),"")</f>
        <v/>
      </c>
      <c r="F894" s="20" t="str">
        <f>IFERROR(VLOOKUP(B894,'03. THIẾT BỊ'!$B$1:$S$836,5,0),"")</f>
        <v/>
      </c>
      <c r="G894" s="101" t="s">
        <v>6468</v>
      </c>
      <c r="H894" s="19" t="str">
        <f>IFERROR(VLOOKUP(B894,'03. THIẾT BỊ'!$B$1:$S$836,7,0),"")</f>
        <v/>
      </c>
      <c r="I894" s="610" t="str">
        <f>IFERROR(VLOOKUP(B894,'03. THIẾT BỊ'!$B$1:$S$836,8,0),"")</f>
        <v/>
      </c>
      <c r="J894" s="25"/>
      <c r="K894" s="19" t="str">
        <f>IFERROR(VLOOKUP(B894,'03. THIẾT BỊ'!$B$1:$S$836,10,0),"")</f>
        <v/>
      </c>
      <c r="L894" s="25" t="str">
        <f>IFERROR(VLOOKUP(B894,'03. THIẾT BỊ'!$B$1:$S$836,11,0),"")</f>
        <v/>
      </c>
      <c r="M894" s="24" t="str">
        <f>IFERROR(VLOOKUP(B894,'03. THIẾT BỊ'!$B$1:$S$836,12,0),"")</f>
        <v/>
      </c>
      <c r="N894" s="25" t="str">
        <f>IFERROR(VLOOKUP(B894,'03. THIẾT BỊ'!$B$1:$S$836,13,0),"")</f>
        <v/>
      </c>
      <c r="O894" s="24" t="str">
        <f>IFERROR(VLOOKUP(B894,'03. THIẾT BỊ'!$B$1:$S$836,14,0),"")</f>
        <v/>
      </c>
      <c r="P894" s="25" t="str">
        <f>IFERROR(VLOOKUP(B894,'03. THIẾT BỊ'!$B$1:$S$836,15,0),"")</f>
        <v/>
      </c>
      <c r="Q894" s="23" t="str">
        <f>IFERROR(VLOOKUP(B894,'03. THIẾT BỊ'!$B$1:$S$836,16,0),"")</f>
        <v/>
      </c>
      <c r="R894" s="25" t="str">
        <f>IFERROR(VLOOKUP(B894,'03. THIẾT BỊ'!$B$1:$S$836,17,0),"")</f>
        <v/>
      </c>
      <c r="S894" s="25" t="str">
        <f>IFERROR(VLOOKUP(B894,'03. THIẾT BỊ'!$B$1:$S$836,18,0),"")</f>
        <v/>
      </c>
      <c r="T894" s="81"/>
    </row>
    <row r="895" ht="13.5" customHeight="1" spans="1:20">
      <c r="A895" s="63"/>
      <c r="B895" s="64"/>
      <c r="C895" s="64" t="s">
        <v>5946</v>
      </c>
      <c r="D895" s="63"/>
      <c r="E895" s="20" t="str">
        <f>IFERROR(VLOOKUP(B895,'03. THIẾT BỊ'!$B$1:$S$836,4,0),"")</f>
        <v/>
      </c>
      <c r="F895" s="63"/>
      <c r="G895" s="63"/>
      <c r="H895" s="63"/>
      <c r="I895" s="65"/>
      <c r="J895" s="63"/>
      <c r="K895" s="63"/>
      <c r="L895" s="63"/>
      <c r="M895" s="64"/>
      <c r="N895" s="64"/>
      <c r="O895" s="64"/>
      <c r="P895" s="64"/>
      <c r="Q895" s="63"/>
      <c r="R895" s="63"/>
      <c r="S895" s="63"/>
      <c r="T895" s="640"/>
    </row>
    <row r="896" customHeight="1" spans="1:20">
      <c r="A896" s="80"/>
      <c r="B896" s="81"/>
      <c r="C896" s="642"/>
      <c r="D896" s="81"/>
      <c r="E896" s="20" t="str">
        <f>IFERROR(VLOOKUP(B896,'03. THIẾT BỊ'!$B$1:$S$836,4,0),"")</f>
        <v/>
      </c>
      <c r="F896" s="81"/>
      <c r="G896" s="81"/>
      <c r="H896" s="81"/>
      <c r="I896" s="80"/>
      <c r="J896" s="81"/>
      <c r="K896" s="80"/>
      <c r="L896" s="81"/>
      <c r="M896" s="642"/>
      <c r="N896" s="81"/>
      <c r="O896" s="642"/>
      <c r="P896" s="81"/>
      <c r="Q896" s="80"/>
      <c r="R896" s="81"/>
      <c r="S896" s="81"/>
      <c r="T896" s="81"/>
    </row>
    <row r="897" customHeight="1" spans="1:20">
      <c r="A897" s="80"/>
      <c r="B897" s="81"/>
      <c r="C897" s="642"/>
      <c r="D897" s="81"/>
      <c r="E897" s="20" t="str">
        <f>IFERROR(VLOOKUP(B897,'03. THIẾT BỊ'!$B$1:$S$836,4,0),"")</f>
        <v/>
      </c>
      <c r="F897" s="81"/>
      <c r="G897" s="81"/>
      <c r="H897" s="81"/>
      <c r="I897" s="80"/>
      <c r="J897" s="81"/>
      <c r="K897" s="80"/>
      <c r="L897" s="81"/>
      <c r="M897" s="642"/>
      <c r="N897" s="81"/>
      <c r="O897" s="642"/>
      <c r="P897" s="81"/>
      <c r="Q897" s="80"/>
      <c r="R897" s="81"/>
      <c r="S897" s="81"/>
      <c r="T897" s="81"/>
    </row>
    <row r="898" customHeight="1" spans="1:20">
      <c r="A898" s="80"/>
      <c r="B898" s="81"/>
      <c r="C898" s="642"/>
      <c r="D898" s="81"/>
      <c r="E898" s="20" t="str">
        <f>IFERROR(VLOOKUP(B898,'03. THIẾT BỊ'!$B$1:$S$836,4,0),"")</f>
        <v/>
      </c>
      <c r="F898" s="81"/>
      <c r="G898" s="81"/>
      <c r="H898" s="81"/>
      <c r="I898" s="80"/>
      <c r="J898" s="81"/>
      <c r="K898" s="80"/>
      <c r="L898" s="81"/>
      <c r="M898" s="642"/>
      <c r="N898" s="81"/>
      <c r="O898" s="642"/>
      <c r="P898" s="81"/>
      <c r="Q898" s="80"/>
      <c r="R898" s="81"/>
      <c r="S898" s="81"/>
      <c r="T898" s="81"/>
    </row>
    <row r="899" customHeight="1" spans="1:20">
      <c r="A899" s="80"/>
      <c r="B899" s="81"/>
      <c r="C899" s="642"/>
      <c r="D899" s="81"/>
      <c r="E899" s="20" t="str">
        <f>IFERROR(VLOOKUP(B899,'03. THIẾT BỊ'!$B$1:$S$836,4,0),"")</f>
        <v/>
      </c>
      <c r="F899" s="81"/>
      <c r="G899" s="81"/>
      <c r="H899" s="81"/>
      <c r="I899" s="80"/>
      <c r="J899" s="81"/>
      <c r="K899" s="80"/>
      <c r="L899" s="81"/>
      <c r="M899" s="642"/>
      <c r="N899" s="81"/>
      <c r="O899" s="642"/>
      <c r="P899" s="81"/>
      <c r="Q899" s="80"/>
      <c r="R899" s="81"/>
      <c r="S899" s="81"/>
      <c r="T899" s="81"/>
    </row>
    <row r="900" customHeight="1" spans="1:20">
      <c r="A900" s="80"/>
      <c r="B900" s="81"/>
      <c r="C900" s="642"/>
      <c r="D900" s="81"/>
      <c r="E900" s="20" t="str">
        <f>IFERROR(VLOOKUP(B900,'03. THIẾT BỊ'!$B$1:$S$836,4,0),"")</f>
        <v/>
      </c>
      <c r="F900" s="81"/>
      <c r="G900" s="81"/>
      <c r="H900" s="81"/>
      <c r="I900" s="80"/>
      <c r="J900" s="81"/>
      <c r="K900" s="80"/>
      <c r="L900" s="81"/>
      <c r="M900" s="642"/>
      <c r="N900" s="81"/>
      <c r="O900" s="642"/>
      <c r="P900" s="81"/>
      <c r="Q900" s="80"/>
      <c r="R900" s="81"/>
      <c r="S900" s="81"/>
      <c r="T900" s="81"/>
    </row>
    <row r="901" customHeight="1" spans="1:20">
      <c r="A901" s="80"/>
      <c r="B901" s="81"/>
      <c r="C901" s="642"/>
      <c r="D901" s="81"/>
      <c r="E901" s="20" t="str">
        <f>IFERROR(VLOOKUP(B901,'03. THIẾT BỊ'!$B$1:$S$836,4,0),"")</f>
        <v/>
      </c>
      <c r="F901" s="81"/>
      <c r="G901" s="81"/>
      <c r="H901" s="81"/>
      <c r="I901" s="80"/>
      <c r="J901" s="81"/>
      <c r="K901" s="80"/>
      <c r="L901" s="81"/>
      <c r="M901" s="642"/>
      <c r="N901" s="81"/>
      <c r="O901" s="642"/>
      <c r="P901" s="81"/>
      <c r="Q901" s="80"/>
      <c r="R901" s="81"/>
      <c r="S901" s="81"/>
      <c r="T901" s="81"/>
    </row>
    <row r="902" customHeight="1" spans="1:20">
      <c r="A902" s="80"/>
      <c r="B902" s="81"/>
      <c r="C902" s="642"/>
      <c r="D902" s="81"/>
      <c r="E902" s="20" t="str">
        <f>IFERROR(VLOOKUP(B902,'03. THIẾT BỊ'!$B$1:$S$836,4,0),"")</f>
        <v/>
      </c>
      <c r="F902" s="81"/>
      <c r="G902" s="81"/>
      <c r="H902" s="81"/>
      <c r="I902" s="80"/>
      <c r="J902" s="81"/>
      <c r="K902" s="80"/>
      <c r="L902" s="81"/>
      <c r="M902" s="642"/>
      <c r="N902" s="81"/>
      <c r="O902" s="642"/>
      <c r="P902" s="81"/>
      <c r="Q902" s="80"/>
      <c r="R902" s="81"/>
      <c r="S902" s="81"/>
      <c r="T902" s="81"/>
    </row>
    <row r="903" customHeight="1" spans="1:20">
      <c r="A903" s="80"/>
      <c r="B903" s="81"/>
      <c r="C903" s="642"/>
      <c r="D903" s="81"/>
      <c r="E903" s="20" t="str">
        <f>IFERROR(VLOOKUP(B903,'03. THIẾT BỊ'!$B$1:$S$836,4,0),"")</f>
        <v/>
      </c>
      <c r="F903" s="81"/>
      <c r="G903" s="81"/>
      <c r="H903" s="81"/>
      <c r="I903" s="80"/>
      <c r="J903" s="81"/>
      <c r="K903" s="80"/>
      <c r="L903" s="81"/>
      <c r="M903" s="642"/>
      <c r="N903" s="81"/>
      <c r="O903" s="642"/>
      <c r="P903" s="81"/>
      <c r="Q903" s="80"/>
      <c r="R903" s="81"/>
      <c r="S903" s="81"/>
      <c r="T903" s="81"/>
    </row>
    <row r="904" customHeight="1" spans="1:20">
      <c r="A904" s="80"/>
      <c r="B904" s="81"/>
      <c r="C904" s="642"/>
      <c r="D904" s="81"/>
      <c r="E904" s="20" t="str">
        <f>IFERROR(VLOOKUP(B904,'03. THIẾT BỊ'!$B$1:$S$836,4,0),"")</f>
        <v/>
      </c>
      <c r="F904" s="81"/>
      <c r="G904" s="81"/>
      <c r="H904" s="81"/>
      <c r="I904" s="80"/>
      <c r="J904" s="81"/>
      <c r="K904" s="80"/>
      <c r="L904" s="81"/>
      <c r="M904" s="642"/>
      <c r="N904" s="81"/>
      <c r="O904" s="642"/>
      <c r="P904" s="81"/>
      <c r="Q904" s="80"/>
      <c r="R904" s="81"/>
      <c r="S904" s="81"/>
      <c r="T904" s="81"/>
    </row>
    <row r="905" customHeight="1" spans="1:20">
      <c r="A905" s="80"/>
      <c r="B905" s="81"/>
      <c r="C905" s="642"/>
      <c r="D905" s="81"/>
      <c r="E905" s="20" t="str">
        <f>IFERROR(VLOOKUP(B905,'03. THIẾT BỊ'!$B$1:$S$836,4,0),"")</f>
        <v/>
      </c>
      <c r="F905" s="81"/>
      <c r="G905" s="81"/>
      <c r="H905" s="81"/>
      <c r="I905" s="80"/>
      <c r="J905" s="81"/>
      <c r="K905" s="80"/>
      <c r="L905" s="81"/>
      <c r="M905" s="642"/>
      <c r="N905" s="81"/>
      <c r="O905" s="642"/>
      <c r="P905" s="81"/>
      <c r="Q905" s="80"/>
      <c r="R905" s="81"/>
      <c r="S905" s="81"/>
      <c r="T905" s="81"/>
    </row>
    <row r="906" customHeight="1" spans="1:20">
      <c r="A906" s="80"/>
      <c r="B906" s="81"/>
      <c r="C906" s="642"/>
      <c r="D906" s="81"/>
      <c r="E906" s="20" t="str">
        <f>IFERROR(VLOOKUP(B906,'03. THIẾT BỊ'!$B$1:$S$836,4,0),"")</f>
        <v/>
      </c>
      <c r="F906" s="81"/>
      <c r="G906" s="81"/>
      <c r="H906" s="81"/>
      <c r="I906" s="80"/>
      <c r="J906" s="81"/>
      <c r="K906" s="80"/>
      <c r="L906" s="81"/>
      <c r="M906" s="642"/>
      <c r="N906" s="81"/>
      <c r="O906" s="642"/>
      <c r="P906" s="81"/>
      <c r="Q906" s="80"/>
      <c r="R906" s="81"/>
      <c r="S906" s="81"/>
      <c r="T906" s="81"/>
    </row>
    <row r="907" customHeight="1" spans="1:20">
      <c r="A907" s="80"/>
      <c r="B907" s="81"/>
      <c r="C907" s="642"/>
      <c r="D907" s="81"/>
      <c r="E907" s="20" t="str">
        <f>IFERROR(VLOOKUP(B907,'03. THIẾT BỊ'!$B$1:$S$836,4,0),"")</f>
        <v/>
      </c>
      <c r="F907" s="81"/>
      <c r="G907" s="81"/>
      <c r="H907" s="81"/>
      <c r="I907" s="80"/>
      <c r="J907" s="81"/>
      <c r="K907" s="80"/>
      <c r="L907" s="81"/>
      <c r="M907" s="642"/>
      <c r="N907" s="81"/>
      <c r="O907" s="642"/>
      <c r="P907" s="81"/>
      <c r="Q907" s="80"/>
      <c r="R907" s="81"/>
      <c r="S907" s="81"/>
      <c r="T907" s="81"/>
    </row>
    <row r="908" customHeight="1" spans="1:20">
      <c r="A908" s="80"/>
      <c r="B908" s="81"/>
      <c r="C908" s="642"/>
      <c r="D908" s="81"/>
      <c r="E908" s="20" t="str">
        <f>IFERROR(VLOOKUP(B908,'03. THIẾT BỊ'!$B$1:$S$836,4,0),"")</f>
        <v/>
      </c>
      <c r="F908" s="81"/>
      <c r="G908" s="81"/>
      <c r="H908" s="81"/>
      <c r="I908" s="80"/>
      <c r="J908" s="81"/>
      <c r="K908" s="80"/>
      <c r="L908" s="81"/>
      <c r="M908" s="642"/>
      <c r="N908" s="81"/>
      <c r="O908" s="642"/>
      <c r="P908" s="81"/>
      <c r="Q908" s="80"/>
      <c r="R908" s="81"/>
      <c r="S908" s="81"/>
      <c r="T908" s="81"/>
    </row>
    <row r="909" customHeight="1" spans="1:20">
      <c r="A909" s="80"/>
      <c r="B909" s="81"/>
      <c r="C909" s="642"/>
      <c r="D909" s="81"/>
      <c r="E909" s="20" t="str">
        <f>IFERROR(VLOOKUP(B909,'03. THIẾT BỊ'!$B$1:$S$836,4,0),"")</f>
        <v/>
      </c>
      <c r="F909" s="81"/>
      <c r="G909" s="81"/>
      <c r="H909" s="81"/>
      <c r="I909" s="80"/>
      <c r="J909" s="81"/>
      <c r="K909" s="80"/>
      <c r="L909" s="81"/>
      <c r="M909" s="642"/>
      <c r="N909" s="81"/>
      <c r="O909" s="642"/>
      <c r="P909" s="81"/>
      <c r="Q909" s="80"/>
      <c r="R909" s="81"/>
      <c r="S909" s="81"/>
      <c r="T909" s="81"/>
    </row>
    <row r="910" customHeight="1" spans="1:20">
      <c r="A910" s="80"/>
      <c r="B910" s="81"/>
      <c r="C910" s="642"/>
      <c r="D910" s="81"/>
      <c r="E910" s="20" t="str">
        <f>IFERROR(VLOOKUP(B910,'03. THIẾT BỊ'!$B$1:$S$836,4,0),"")</f>
        <v/>
      </c>
      <c r="F910" s="81"/>
      <c r="G910" s="81"/>
      <c r="H910" s="81"/>
      <c r="I910" s="80"/>
      <c r="J910" s="81"/>
      <c r="K910" s="80"/>
      <c r="L910" s="81"/>
      <c r="M910" s="642"/>
      <c r="N910" s="81"/>
      <c r="O910" s="642"/>
      <c r="P910" s="81"/>
      <c r="Q910" s="80"/>
      <c r="R910" s="81"/>
      <c r="S910" s="81"/>
      <c r="T910" s="81"/>
    </row>
    <row r="911" customHeight="1" spans="1:20">
      <c r="A911" s="80"/>
      <c r="B911" s="81"/>
      <c r="C911" s="642"/>
      <c r="D911" s="81"/>
      <c r="E911" s="20" t="str">
        <f>IFERROR(VLOOKUP(B911,'03. THIẾT BỊ'!$B$1:$S$836,4,0),"")</f>
        <v/>
      </c>
      <c r="F911" s="81"/>
      <c r="G911" s="81"/>
      <c r="H911" s="81"/>
      <c r="I911" s="80"/>
      <c r="J911" s="81"/>
      <c r="K911" s="80"/>
      <c r="L911" s="81"/>
      <c r="M911" s="642"/>
      <c r="N911" s="81"/>
      <c r="O911" s="642"/>
      <c r="P911" s="81"/>
      <c r="Q911" s="80"/>
      <c r="R911" s="81"/>
      <c r="S911" s="81"/>
      <c r="T911" s="81"/>
    </row>
    <row r="912" customHeight="1" spans="1:20">
      <c r="A912" s="80"/>
      <c r="B912" s="81"/>
      <c r="C912" s="642"/>
      <c r="D912" s="81"/>
      <c r="E912" s="20" t="str">
        <f>IFERROR(VLOOKUP(B912,'03. THIẾT BỊ'!$B$1:$S$836,4,0),"")</f>
        <v/>
      </c>
      <c r="F912" s="81"/>
      <c r="G912" s="81"/>
      <c r="H912" s="81"/>
      <c r="I912" s="80"/>
      <c r="J912" s="81"/>
      <c r="K912" s="80"/>
      <c r="L912" s="81"/>
      <c r="M912" s="642"/>
      <c r="N912" s="81"/>
      <c r="O912" s="642"/>
      <c r="P912" s="81"/>
      <c r="Q912" s="80"/>
      <c r="R912" s="81"/>
      <c r="S912" s="81"/>
      <c r="T912" s="81"/>
    </row>
    <row r="913" customHeight="1" spans="1:20">
      <c r="A913" s="80"/>
      <c r="B913" s="81"/>
      <c r="C913" s="642"/>
      <c r="D913" s="81"/>
      <c r="E913" s="20" t="str">
        <f>IFERROR(VLOOKUP(B913,'03. THIẾT BỊ'!$B$1:$S$836,4,0),"")</f>
        <v/>
      </c>
      <c r="F913" s="81"/>
      <c r="G913" s="81"/>
      <c r="H913" s="81"/>
      <c r="I913" s="80"/>
      <c r="J913" s="81"/>
      <c r="K913" s="80"/>
      <c r="L913" s="81"/>
      <c r="M913" s="642"/>
      <c r="N913" s="81"/>
      <c r="O913" s="642"/>
      <c r="P913" s="81"/>
      <c r="Q913" s="80"/>
      <c r="R913" s="81"/>
      <c r="S913" s="81"/>
      <c r="T913" s="81"/>
    </row>
    <row r="914" customHeight="1" spans="1:20">
      <c r="A914" s="80"/>
      <c r="B914" s="81"/>
      <c r="C914" s="642"/>
      <c r="D914" s="81"/>
      <c r="E914" s="20" t="str">
        <f>IFERROR(VLOOKUP(B914,'03. THIẾT BỊ'!$B$1:$S$836,4,0),"")</f>
        <v/>
      </c>
      <c r="F914" s="81"/>
      <c r="G914" s="81"/>
      <c r="H914" s="81"/>
      <c r="I914" s="80"/>
      <c r="J914" s="81"/>
      <c r="K914" s="80"/>
      <c r="L914" s="81"/>
      <c r="M914" s="642"/>
      <c r="N914" s="81"/>
      <c r="O914" s="642"/>
      <c r="P914" s="81"/>
      <c r="Q914" s="80"/>
      <c r="R914" s="81"/>
      <c r="S914" s="81"/>
      <c r="T914" s="81"/>
    </row>
    <row r="915" customHeight="1" spans="1:20">
      <c r="A915" s="80"/>
      <c r="B915" s="81"/>
      <c r="C915" s="642"/>
      <c r="D915" s="81"/>
      <c r="E915" s="20" t="str">
        <f>IFERROR(VLOOKUP(B915,'03. THIẾT BỊ'!$B$1:$S$836,4,0),"")</f>
        <v/>
      </c>
      <c r="F915" s="81"/>
      <c r="G915" s="81"/>
      <c r="H915" s="81"/>
      <c r="I915" s="80"/>
      <c r="J915" s="81"/>
      <c r="K915" s="80"/>
      <c r="L915" s="81"/>
      <c r="M915" s="642"/>
      <c r="N915" s="81"/>
      <c r="O915" s="642"/>
      <c r="P915" s="81"/>
      <c r="Q915" s="80"/>
      <c r="R915" s="81"/>
      <c r="S915" s="81"/>
      <c r="T915" s="81"/>
    </row>
    <row r="916" customHeight="1" spans="1:20">
      <c r="A916" s="80"/>
      <c r="B916" s="81"/>
      <c r="C916" s="642"/>
      <c r="D916" s="81"/>
      <c r="E916" s="20" t="str">
        <f>IFERROR(VLOOKUP(B916,'03. THIẾT BỊ'!$B$1:$S$836,4,0),"")</f>
        <v/>
      </c>
      <c r="F916" s="81"/>
      <c r="G916" s="81"/>
      <c r="H916" s="81"/>
      <c r="I916" s="80"/>
      <c r="J916" s="81"/>
      <c r="K916" s="80"/>
      <c r="L916" s="81"/>
      <c r="M916" s="642"/>
      <c r="N916" s="81"/>
      <c r="O916" s="642"/>
      <c r="P916" s="81"/>
      <c r="Q916" s="80"/>
      <c r="R916" s="81"/>
      <c r="S916" s="81"/>
      <c r="T916" s="81"/>
    </row>
    <row r="917" customHeight="1" spans="1:20">
      <c r="A917" s="80"/>
      <c r="B917" s="81"/>
      <c r="C917" s="642"/>
      <c r="D917" s="81"/>
      <c r="E917" s="20" t="str">
        <f>IFERROR(VLOOKUP(B917,'03. THIẾT BỊ'!$B$1:$S$836,4,0),"")</f>
        <v/>
      </c>
      <c r="F917" s="81"/>
      <c r="G917" s="81"/>
      <c r="H917" s="81"/>
      <c r="I917" s="80"/>
      <c r="J917" s="81"/>
      <c r="K917" s="80"/>
      <c r="L917" s="81"/>
      <c r="M917" s="642"/>
      <c r="N917" s="81"/>
      <c r="O917" s="642"/>
      <c r="P917" s="81"/>
      <c r="Q917" s="80"/>
      <c r="R917" s="81"/>
      <c r="S917" s="81"/>
      <c r="T917" s="81"/>
    </row>
    <row r="918" customHeight="1" spans="1:20">
      <c r="A918" s="80"/>
      <c r="B918" s="81"/>
      <c r="C918" s="642"/>
      <c r="D918" s="81"/>
      <c r="E918" s="20" t="str">
        <f>IFERROR(VLOOKUP(B918,'03. THIẾT BỊ'!$B$1:$S$836,4,0),"")</f>
        <v/>
      </c>
      <c r="F918" s="81"/>
      <c r="G918" s="81"/>
      <c r="H918" s="81"/>
      <c r="I918" s="80"/>
      <c r="J918" s="81"/>
      <c r="K918" s="80"/>
      <c r="L918" s="81"/>
      <c r="M918" s="642"/>
      <c r="N918" s="81"/>
      <c r="O918" s="642"/>
      <c r="P918" s="81"/>
      <c r="Q918" s="80"/>
      <c r="R918" s="81"/>
      <c r="S918" s="81"/>
      <c r="T918" s="81"/>
    </row>
    <row r="919" customHeight="1" spans="1:20">
      <c r="A919" s="80"/>
      <c r="B919" s="81"/>
      <c r="C919" s="642"/>
      <c r="D919" s="81"/>
      <c r="E919" s="20" t="str">
        <f>IFERROR(VLOOKUP(B919,'03. THIẾT BỊ'!$B$1:$S$836,4,0),"")</f>
        <v/>
      </c>
      <c r="F919" s="81"/>
      <c r="G919" s="81"/>
      <c r="H919" s="81"/>
      <c r="I919" s="80"/>
      <c r="J919" s="81"/>
      <c r="K919" s="80"/>
      <c r="L919" s="81"/>
      <c r="M919" s="642"/>
      <c r="N919" s="81"/>
      <c r="O919" s="642"/>
      <c r="P919" s="81"/>
      <c r="Q919" s="80"/>
      <c r="R919" s="81"/>
      <c r="S919" s="81"/>
      <c r="T919" s="81"/>
    </row>
    <row r="920" customHeight="1" spans="1:20">
      <c r="A920" s="80"/>
      <c r="B920" s="81"/>
      <c r="C920" s="642"/>
      <c r="D920" s="81"/>
      <c r="E920" s="20" t="str">
        <f>IFERROR(VLOOKUP(B920,'03. THIẾT BỊ'!$B$1:$S$836,4,0),"")</f>
        <v/>
      </c>
      <c r="F920" s="81"/>
      <c r="G920" s="81"/>
      <c r="H920" s="81"/>
      <c r="I920" s="80"/>
      <c r="J920" s="81"/>
      <c r="K920" s="80"/>
      <c r="L920" s="81"/>
      <c r="M920" s="642"/>
      <c r="N920" s="81"/>
      <c r="O920" s="642"/>
      <c r="P920" s="81"/>
      <c r="Q920" s="80"/>
      <c r="R920" s="81"/>
      <c r="S920" s="81"/>
      <c r="T920" s="81"/>
    </row>
    <row r="921" customHeight="1" spans="1:20">
      <c r="A921" s="80"/>
      <c r="B921" s="81"/>
      <c r="C921" s="642"/>
      <c r="D921" s="81"/>
      <c r="E921" s="20" t="str">
        <f>IFERROR(VLOOKUP(B921,'03. THIẾT BỊ'!$B$1:$S$836,4,0),"")</f>
        <v/>
      </c>
      <c r="F921" s="81"/>
      <c r="G921" s="81"/>
      <c r="H921" s="81"/>
      <c r="I921" s="80"/>
      <c r="J921" s="81"/>
      <c r="K921" s="80"/>
      <c r="L921" s="81"/>
      <c r="M921" s="642"/>
      <c r="N921" s="81"/>
      <c r="O921" s="642"/>
      <c r="P921" s="81"/>
      <c r="Q921" s="80"/>
      <c r="R921" s="81"/>
      <c r="S921" s="81"/>
      <c r="T921" s="81"/>
    </row>
    <row r="922" customHeight="1" spans="1:20">
      <c r="A922" s="80"/>
      <c r="B922" s="81"/>
      <c r="C922" s="642"/>
      <c r="D922" s="81"/>
      <c r="E922" s="20" t="str">
        <f>IFERROR(VLOOKUP(B922,'03. THIẾT BỊ'!$B$1:$S$836,4,0),"")</f>
        <v/>
      </c>
      <c r="F922" s="81"/>
      <c r="G922" s="81"/>
      <c r="H922" s="81"/>
      <c r="I922" s="80"/>
      <c r="J922" s="81"/>
      <c r="K922" s="80"/>
      <c r="L922" s="81"/>
      <c r="M922" s="642"/>
      <c r="N922" s="81"/>
      <c r="O922" s="642"/>
      <c r="P922" s="81"/>
      <c r="Q922" s="80"/>
      <c r="R922" s="81"/>
      <c r="S922" s="81"/>
      <c r="T922" s="81"/>
    </row>
    <row r="923" customHeight="1" spans="1:20">
      <c r="A923" s="80"/>
      <c r="B923" s="81"/>
      <c r="C923" s="642"/>
      <c r="D923" s="81"/>
      <c r="E923" s="20" t="str">
        <f>IFERROR(VLOOKUP(B923,'03. THIẾT BỊ'!$B$1:$S$836,4,0),"")</f>
        <v/>
      </c>
      <c r="F923" s="81"/>
      <c r="G923" s="81"/>
      <c r="H923" s="81"/>
      <c r="I923" s="80"/>
      <c r="J923" s="81"/>
      <c r="K923" s="80"/>
      <c r="L923" s="81"/>
      <c r="M923" s="642"/>
      <c r="N923" s="81"/>
      <c r="O923" s="642"/>
      <c r="P923" s="81"/>
      <c r="Q923" s="80"/>
      <c r="R923" s="81"/>
      <c r="S923" s="81"/>
      <c r="T923" s="81"/>
    </row>
    <row r="924" customHeight="1" spans="1:20">
      <c r="A924" s="80"/>
      <c r="B924" s="81"/>
      <c r="C924" s="642"/>
      <c r="D924" s="81"/>
      <c r="E924" s="20" t="str">
        <f>IFERROR(VLOOKUP(B924,'03. THIẾT BỊ'!$B$1:$S$836,4,0),"")</f>
        <v/>
      </c>
      <c r="F924" s="81"/>
      <c r="G924" s="81"/>
      <c r="H924" s="81"/>
      <c r="I924" s="80"/>
      <c r="J924" s="81"/>
      <c r="K924" s="80"/>
      <c r="L924" s="81"/>
      <c r="M924" s="642"/>
      <c r="N924" s="81"/>
      <c r="O924" s="642"/>
      <c r="P924" s="81"/>
      <c r="Q924" s="80"/>
      <c r="R924" s="81"/>
      <c r="S924" s="81"/>
      <c r="T924" s="81"/>
    </row>
    <row r="925" customHeight="1" spans="1:20">
      <c r="A925" s="80"/>
      <c r="B925" s="81"/>
      <c r="C925" s="642"/>
      <c r="D925" s="81"/>
      <c r="E925" s="20" t="str">
        <f>IFERROR(VLOOKUP(B925,'03. THIẾT BỊ'!$B$1:$S$836,4,0),"")</f>
        <v/>
      </c>
      <c r="F925" s="81"/>
      <c r="G925" s="81"/>
      <c r="H925" s="81"/>
      <c r="I925" s="80"/>
      <c r="J925" s="81"/>
      <c r="K925" s="80"/>
      <c r="L925" s="81"/>
      <c r="M925" s="642"/>
      <c r="N925" s="81"/>
      <c r="O925" s="642"/>
      <c r="P925" s="81"/>
      <c r="Q925" s="80"/>
      <c r="R925" s="81"/>
      <c r="S925" s="81"/>
      <c r="T925" s="81"/>
    </row>
    <row r="926" customHeight="1" spans="1:20">
      <c r="A926" s="80"/>
      <c r="B926" s="81"/>
      <c r="C926" s="642"/>
      <c r="D926" s="81"/>
      <c r="E926" s="20" t="str">
        <f>IFERROR(VLOOKUP(B926,'03. THIẾT BỊ'!$B$1:$S$836,4,0),"")</f>
        <v/>
      </c>
      <c r="F926" s="81"/>
      <c r="G926" s="81"/>
      <c r="H926" s="81"/>
      <c r="I926" s="80"/>
      <c r="J926" s="81"/>
      <c r="K926" s="80"/>
      <c r="L926" s="81"/>
      <c r="M926" s="642"/>
      <c r="N926" s="81"/>
      <c r="O926" s="642"/>
      <c r="P926" s="81"/>
      <c r="Q926" s="80"/>
      <c r="R926" s="81"/>
      <c r="S926" s="81"/>
      <c r="T926" s="81"/>
    </row>
    <row r="927" customHeight="1" spans="1:20">
      <c r="A927" s="80"/>
      <c r="B927" s="81"/>
      <c r="C927" s="642"/>
      <c r="D927" s="81"/>
      <c r="E927" s="20" t="str">
        <f>IFERROR(VLOOKUP(B927,'03. THIẾT BỊ'!$B$1:$S$836,4,0),"")</f>
        <v/>
      </c>
      <c r="F927" s="81"/>
      <c r="G927" s="81"/>
      <c r="H927" s="81"/>
      <c r="I927" s="80"/>
      <c r="J927" s="81"/>
      <c r="K927" s="80"/>
      <c r="L927" s="81"/>
      <c r="M927" s="642"/>
      <c r="N927" s="81"/>
      <c r="O927" s="642"/>
      <c r="P927" s="81"/>
      <c r="Q927" s="80"/>
      <c r="R927" s="81"/>
      <c r="S927" s="81"/>
      <c r="T927" s="81"/>
    </row>
    <row r="928" customHeight="1" spans="1:20">
      <c r="A928" s="80"/>
      <c r="B928" s="81"/>
      <c r="C928" s="642"/>
      <c r="D928" s="81"/>
      <c r="E928" s="20" t="str">
        <f>IFERROR(VLOOKUP(B928,'03. THIẾT BỊ'!$B$1:$S$836,4,0),"")</f>
        <v/>
      </c>
      <c r="F928" s="81"/>
      <c r="G928" s="81"/>
      <c r="H928" s="81"/>
      <c r="I928" s="80"/>
      <c r="J928" s="81"/>
      <c r="K928" s="80"/>
      <c r="L928" s="81"/>
      <c r="M928" s="642"/>
      <c r="N928" s="81"/>
      <c r="O928" s="642"/>
      <c r="P928" s="81"/>
      <c r="Q928" s="80"/>
      <c r="R928" s="81"/>
      <c r="S928" s="81"/>
      <c r="T928" s="81"/>
    </row>
    <row r="929" customHeight="1" spans="1:20">
      <c r="A929" s="80"/>
      <c r="B929" s="81"/>
      <c r="C929" s="642"/>
      <c r="D929" s="81"/>
      <c r="E929" s="20" t="str">
        <f>IFERROR(VLOOKUP(B929,'03. THIẾT BỊ'!$B$1:$S$836,4,0),"")</f>
        <v/>
      </c>
      <c r="F929" s="81"/>
      <c r="G929" s="81"/>
      <c r="H929" s="81"/>
      <c r="I929" s="80"/>
      <c r="J929" s="81"/>
      <c r="K929" s="80"/>
      <c r="L929" s="81"/>
      <c r="M929" s="642"/>
      <c r="N929" s="81"/>
      <c r="O929" s="642"/>
      <c r="P929" s="81"/>
      <c r="Q929" s="80"/>
      <c r="R929" s="81"/>
      <c r="S929" s="81"/>
      <c r="T929" s="81"/>
    </row>
    <row r="930" customHeight="1" spans="1:20">
      <c r="A930" s="80"/>
      <c r="B930" s="81"/>
      <c r="C930" s="642"/>
      <c r="D930" s="81"/>
      <c r="E930" s="20" t="str">
        <f>IFERROR(VLOOKUP(B930,'03. THIẾT BỊ'!$B$1:$S$836,4,0),"")</f>
        <v/>
      </c>
      <c r="F930" s="81"/>
      <c r="G930" s="81"/>
      <c r="H930" s="81"/>
      <c r="I930" s="80"/>
      <c r="J930" s="81"/>
      <c r="K930" s="80"/>
      <c r="L930" s="81"/>
      <c r="M930" s="642"/>
      <c r="N930" s="81"/>
      <c r="O930" s="642"/>
      <c r="P930" s="81"/>
      <c r="Q930" s="80"/>
      <c r="R930" s="81"/>
      <c r="S930" s="81"/>
      <c r="T930" s="81"/>
    </row>
    <row r="931" customHeight="1" spans="1:20">
      <c r="A931" s="80"/>
      <c r="B931" s="81"/>
      <c r="C931" s="642"/>
      <c r="D931" s="81"/>
      <c r="E931" s="20" t="str">
        <f>IFERROR(VLOOKUP(B931,'03. THIẾT BỊ'!$B$1:$S$836,4,0),"")</f>
        <v/>
      </c>
      <c r="F931" s="81"/>
      <c r="G931" s="81"/>
      <c r="H931" s="81"/>
      <c r="I931" s="80"/>
      <c r="J931" s="81"/>
      <c r="K931" s="80"/>
      <c r="L931" s="81"/>
      <c r="M931" s="642"/>
      <c r="N931" s="81"/>
      <c r="O931" s="642"/>
      <c r="P931" s="81"/>
      <c r="Q931" s="80"/>
      <c r="R931" s="81"/>
      <c r="S931" s="81"/>
      <c r="T931" s="81"/>
    </row>
    <row r="932" customHeight="1" spans="1:20">
      <c r="A932" s="80"/>
      <c r="B932" s="81"/>
      <c r="C932" s="642"/>
      <c r="D932" s="81"/>
      <c r="E932" s="20" t="str">
        <f>IFERROR(VLOOKUP(B932,'03. THIẾT BỊ'!$B$1:$S$836,4,0),"")</f>
        <v/>
      </c>
      <c r="F932" s="81"/>
      <c r="G932" s="81"/>
      <c r="H932" s="81"/>
      <c r="I932" s="80"/>
      <c r="J932" s="81"/>
      <c r="K932" s="80"/>
      <c r="L932" s="81"/>
      <c r="M932" s="642"/>
      <c r="N932" s="81"/>
      <c r="O932" s="642"/>
      <c r="P932" s="81"/>
      <c r="Q932" s="80"/>
      <c r="R932" s="81"/>
      <c r="S932" s="81"/>
      <c r="T932" s="81"/>
    </row>
    <row r="933" customHeight="1" spans="1:20">
      <c r="A933" s="80"/>
      <c r="B933" s="81"/>
      <c r="C933" s="642"/>
      <c r="D933" s="81"/>
      <c r="E933" s="20" t="str">
        <f>IFERROR(VLOOKUP(B933,'03. THIẾT BỊ'!$B$1:$S$836,4,0),"")</f>
        <v/>
      </c>
      <c r="F933" s="81"/>
      <c r="G933" s="81"/>
      <c r="H933" s="81"/>
      <c r="I933" s="80"/>
      <c r="J933" s="81"/>
      <c r="K933" s="80"/>
      <c r="L933" s="81"/>
      <c r="M933" s="642"/>
      <c r="N933" s="81"/>
      <c r="O933" s="642"/>
      <c r="P933" s="81"/>
      <c r="Q933" s="80"/>
      <c r="R933" s="81"/>
      <c r="S933" s="81"/>
      <c r="T933" s="81"/>
    </row>
    <row r="934" customHeight="1" spans="1:20">
      <c r="A934" s="80"/>
      <c r="B934" s="81"/>
      <c r="C934" s="642"/>
      <c r="D934" s="81"/>
      <c r="E934" s="20" t="str">
        <f>IFERROR(VLOOKUP(B934,'03. THIẾT BỊ'!$B$1:$S$836,4,0),"")</f>
        <v/>
      </c>
      <c r="F934" s="81"/>
      <c r="G934" s="81"/>
      <c r="H934" s="81"/>
      <c r="I934" s="80"/>
      <c r="J934" s="81"/>
      <c r="K934" s="80"/>
      <c r="L934" s="81"/>
      <c r="M934" s="642"/>
      <c r="N934" s="81"/>
      <c r="O934" s="642"/>
      <c r="P934" s="81"/>
      <c r="Q934" s="80"/>
      <c r="R934" s="81"/>
      <c r="S934" s="81"/>
      <c r="T934" s="81"/>
    </row>
    <row r="935" customHeight="1" spans="1:20">
      <c r="A935" s="80"/>
      <c r="B935" s="81"/>
      <c r="C935" s="642"/>
      <c r="D935" s="81"/>
      <c r="E935" s="20" t="str">
        <f>IFERROR(VLOOKUP(B935,'03. THIẾT BỊ'!$B$1:$S$836,4,0),"")</f>
        <v/>
      </c>
      <c r="F935" s="81"/>
      <c r="G935" s="81"/>
      <c r="H935" s="81"/>
      <c r="I935" s="80"/>
      <c r="J935" s="81"/>
      <c r="K935" s="80"/>
      <c r="L935" s="81"/>
      <c r="M935" s="642"/>
      <c r="N935" s="81"/>
      <c r="O935" s="642"/>
      <c r="P935" s="81"/>
      <c r="Q935" s="80"/>
      <c r="R935" s="81"/>
      <c r="S935" s="81"/>
      <c r="T935" s="81"/>
    </row>
    <row r="936" customHeight="1" spans="1:20">
      <c r="A936" s="80"/>
      <c r="B936" s="81"/>
      <c r="C936" s="642"/>
      <c r="D936" s="81"/>
      <c r="E936" s="20" t="str">
        <f>IFERROR(VLOOKUP(B936,'03. THIẾT BỊ'!$B$1:$S$836,4,0),"")</f>
        <v/>
      </c>
      <c r="F936" s="81"/>
      <c r="G936" s="81"/>
      <c r="H936" s="81"/>
      <c r="I936" s="80"/>
      <c r="J936" s="81"/>
      <c r="K936" s="80"/>
      <c r="L936" s="81"/>
      <c r="M936" s="642"/>
      <c r="N936" s="81"/>
      <c r="O936" s="642"/>
      <c r="P936" s="81"/>
      <c r="Q936" s="80"/>
      <c r="R936" s="81"/>
      <c r="S936" s="81"/>
      <c r="T936" s="81"/>
    </row>
    <row r="937" customHeight="1" spans="1:20">
      <c r="A937" s="80"/>
      <c r="B937" s="81"/>
      <c r="C937" s="642"/>
      <c r="D937" s="81"/>
      <c r="E937" s="20" t="str">
        <f>IFERROR(VLOOKUP(B937,'03. THIẾT BỊ'!$B$1:$S$836,4,0),"")</f>
        <v/>
      </c>
      <c r="F937" s="81"/>
      <c r="G937" s="81"/>
      <c r="H937" s="81"/>
      <c r="I937" s="80"/>
      <c r="J937" s="81"/>
      <c r="K937" s="80"/>
      <c r="L937" s="81"/>
      <c r="M937" s="642"/>
      <c r="N937" s="81"/>
      <c r="O937" s="642"/>
      <c r="P937" s="81"/>
      <c r="Q937" s="80"/>
      <c r="R937" s="81"/>
      <c r="S937" s="81"/>
      <c r="T937" s="81"/>
    </row>
    <row r="938" customHeight="1" spans="1:20">
      <c r="A938" s="80"/>
      <c r="B938" s="81"/>
      <c r="C938" s="642"/>
      <c r="D938" s="81"/>
      <c r="E938" s="20" t="str">
        <f>IFERROR(VLOOKUP(B938,'03. THIẾT BỊ'!$B$1:$S$836,4,0),"")</f>
        <v/>
      </c>
      <c r="F938" s="81"/>
      <c r="G938" s="81"/>
      <c r="H938" s="81"/>
      <c r="I938" s="80"/>
      <c r="J938" s="81"/>
      <c r="K938" s="80"/>
      <c r="L938" s="81"/>
      <c r="M938" s="642"/>
      <c r="N938" s="81"/>
      <c r="O938" s="642"/>
      <c r="P938" s="81"/>
      <c r="Q938" s="80"/>
      <c r="R938" s="81"/>
      <c r="S938" s="81"/>
      <c r="T938" s="81"/>
    </row>
    <row r="939" customHeight="1" spans="1:20">
      <c r="A939" s="80"/>
      <c r="B939" s="81"/>
      <c r="C939" s="642"/>
      <c r="D939" s="81"/>
      <c r="E939" s="20" t="str">
        <f>IFERROR(VLOOKUP(B939,'03. THIẾT BỊ'!$B$1:$S$836,4,0),"")</f>
        <v/>
      </c>
      <c r="F939" s="81"/>
      <c r="G939" s="81"/>
      <c r="H939" s="81"/>
      <c r="I939" s="80"/>
      <c r="J939" s="81"/>
      <c r="K939" s="80"/>
      <c r="L939" s="81"/>
      <c r="M939" s="642"/>
      <c r="N939" s="81"/>
      <c r="O939" s="642"/>
      <c r="P939" s="81"/>
      <c r="Q939" s="80"/>
      <c r="R939" s="81"/>
      <c r="S939" s="81"/>
      <c r="T939" s="81"/>
    </row>
    <row r="940" customHeight="1" spans="1:20">
      <c r="A940" s="80"/>
      <c r="B940" s="81"/>
      <c r="C940" s="642"/>
      <c r="D940" s="81"/>
      <c r="E940" s="20" t="str">
        <f>IFERROR(VLOOKUP(B940,'03. THIẾT BỊ'!$B$1:$S$836,4,0),"")</f>
        <v/>
      </c>
      <c r="F940" s="81"/>
      <c r="G940" s="81"/>
      <c r="H940" s="81"/>
      <c r="I940" s="80"/>
      <c r="J940" s="81"/>
      <c r="K940" s="80"/>
      <c r="L940" s="81"/>
      <c r="M940" s="642"/>
      <c r="N940" s="81"/>
      <c r="O940" s="642"/>
      <c r="P940" s="81"/>
      <c r="Q940" s="80"/>
      <c r="R940" s="81"/>
      <c r="S940" s="81"/>
      <c r="T940" s="81"/>
    </row>
    <row r="941" customHeight="1" spans="1:20">
      <c r="A941" s="80"/>
      <c r="B941" s="81"/>
      <c r="C941" s="642"/>
      <c r="D941" s="81"/>
      <c r="E941" s="20" t="str">
        <f>IFERROR(VLOOKUP(B941,'03. THIẾT BỊ'!$B$1:$S$836,4,0),"")</f>
        <v/>
      </c>
      <c r="F941" s="81"/>
      <c r="G941" s="81"/>
      <c r="H941" s="81"/>
      <c r="I941" s="80"/>
      <c r="J941" s="81"/>
      <c r="K941" s="80"/>
      <c r="L941" s="81"/>
      <c r="M941" s="642"/>
      <c r="N941" s="81"/>
      <c r="O941" s="642"/>
      <c r="P941" s="81"/>
      <c r="Q941" s="80"/>
      <c r="R941" s="81"/>
      <c r="S941" s="81"/>
      <c r="T941" s="81"/>
    </row>
    <row r="942" customHeight="1" spans="1:20">
      <c r="A942" s="80"/>
      <c r="B942" s="81"/>
      <c r="C942" s="642"/>
      <c r="D942" s="81"/>
      <c r="E942" s="20" t="str">
        <f>IFERROR(VLOOKUP(B942,'03. THIẾT BỊ'!$B$1:$S$836,4,0),"")</f>
        <v/>
      </c>
      <c r="F942" s="81"/>
      <c r="G942" s="81"/>
      <c r="H942" s="81"/>
      <c r="I942" s="80"/>
      <c r="J942" s="81"/>
      <c r="K942" s="80"/>
      <c r="L942" s="81"/>
      <c r="M942" s="642"/>
      <c r="N942" s="81"/>
      <c r="O942" s="642"/>
      <c r="P942" s="81"/>
      <c r="Q942" s="80"/>
      <c r="R942" s="81"/>
      <c r="S942" s="81"/>
      <c r="T942" s="81"/>
    </row>
    <row r="943" customHeight="1" spans="1:20">
      <c r="A943" s="80"/>
      <c r="B943" s="81"/>
      <c r="C943" s="642"/>
      <c r="D943" s="81"/>
      <c r="E943" s="20" t="str">
        <f>IFERROR(VLOOKUP(B943,'03. THIẾT BỊ'!$B$1:$S$836,4,0),"")</f>
        <v/>
      </c>
      <c r="F943" s="81"/>
      <c r="G943" s="81"/>
      <c r="H943" s="81"/>
      <c r="I943" s="80"/>
      <c r="J943" s="81"/>
      <c r="K943" s="80"/>
      <c r="L943" s="81"/>
      <c r="M943" s="642"/>
      <c r="N943" s="81"/>
      <c r="O943" s="642"/>
      <c r="P943" s="81"/>
      <c r="Q943" s="80"/>
      <c r="R943" s="81"/>
      <c r="S943" s="81"/>
      <c r="T943" s="81"/>
    </row>
    <row r="944" customHeight="1" spans="1:20">
      <c r="A944" s="80"/>
      <c r="B944" s="81"/>
      <c r="C944" s="642"/>
      <c r="D944" s="81"/>
      <c r="E944" s="20" t="str">
        <f>IFERROR(VLOOKUP(B944,'03. THIẾT BỊ'!$B$1:$S$836,4,0),"")</f>
        <v/>
      </c>
      <c r="F944" s="81"/>
      <c r="G944" s="81"/>
      <c r="H944" s="81"/>
      <c r="I944" s="80"/>
      <c r="J944" s="81"/>
      <c r="K944" s="80"/>
      <c r="L944" s="81"/>
      <c r="M944" s="642"/>
      <c r="N944" s="81"/>
      <c r="O944" s="642"/>
      <c r="P944" s="81"/>
      <c r="Q944" s="80"/>
      <c r="R944" s="81"/>
      <c r="S944" s="81"/>
      <c r="T944" s="81"/>
    </row>
    <row r="945" customHeight="1" spans="1:20">
      <c r="A945" s="80"/>
      <c r="B945" s="81"/>
      <c r="C945" s="642"/>
      <c r="D945" s="81"/>
      <c r="E945" s="20" t="str">
        <f>IFERROR(VLOOKUP(B945,'03. THIẾT BỊ'!$B$1:$S$836,4,0),"")</f>
        <v/>
      </c>
      <c r="F945" s="81"/>
      <c r="G945" s="81"/>
      <c r="H945" s="81"/>
      <c r="I945" s="80"/>
      <c r="J945" s="81"/>
      <c r="K945" s="80"/>
      <c r="L945" s="81"/>
      <c r="M945" s="642"/>
      <c r="N945" s="81"/>
      <c r="O945" s="642"/>
      <c r="P945" s="81"/>
      <c r="Q945" s="80"/>
      <c r="R945" s="81"/>
      <c r="S945" s="81"/>
      <c r="T945" s="81"/>
    </row>
    <row r="946" customHeight="1" spans="1:20">
      <c r="A946" s="80"/>
      <c r="B946" s="81"/>
      <c r="C946" s="642"/>
      <c r="D946" s="81"/>
      <c r="E946" s="20" t="str">
        <f>IFERROR(VLOOKUP(B946,'03. THIẾT BỊ'!$B$1:$S$836,4,0),"")</f>
        <v/>
      </c>
      <c r="F946" s="81"/>
      <c r="G946" s="81"/>
      <c r="H946" s="81"/>
      <c r="I946" s="80"/>
      <c r="J946" s="81"/>
      <c r="K946" s="80"/>
      <c r="L946" s="81"/>
      <c r="M946" s="642"/>
      <c r="N946" s="81"/>
      <c r="O946" s="642"/>
      <c r="P946" s="81"/>
      <c r="Q946" s="80"/>
      <c r="R946" s="81"/>
      <c r="S946" s="81"/>
      <c r="T946" s="81"/>
    </row>
    <row r="947" customHeight="1" spans="1:20">
      <c r="A947" s="80"/>
      <c r="B947" s="81"/>
      <c r="C947" s="642"/>
      <c r="D947" s="81"/>
      <c r="E947" s="20" t="str">
        <f>IFERROR(VLOOKUP(B947,'03. THIẾT BỊ'!$B$1:$S$836,4,0),"")</f>
        <v/>
      </c>
      <c r="F947" s="81"/>
      <c r="G947" s="81"/>
      <c r="H947" s="81"/>
      <c r="I947" s="80"/>
      <c r="J947" s="81"/>
      <c r="K947" s="80"/>
      <c r="L947" s="81"/>
      <c r="M947" s="642"/>
      <c r="N947" s="81"/>
      <c r="O947" s="642"/>
      <c r="P947" s="81"/>
      <c r="Q947" s="80"/>
      <c r="R947" s="81"/>
      <c r="S947" s="81"/>
      <c r="T947" s="81"/>
    </row>
    <row r="948" customHeight="1" spans="1:20">
      <c r="A948" s="80"/>
      <c r="B948" s="81"/>
      <c r="C948" s="642"/>
      <c r="D948" s="81"/>
      <c r="E948" s="20" t="str">
        <f>IFERROR(VLOOKUP(B948,'03. THIẾT BỊ'!$B$1:$S$836,4,0),"")</f>
        <v/>
      </c>
      <c r="F948" s="81"/>
      <c r="G948" s="81"/>
      <c r="H948" s="81"/>
      <c r="I948" s="80"/>
      <c r="J948" s="81"/>
      <c r="K948" s="80"/>
      <c r="L948" s="81"/>
      <c r="M948" s="642"/>
      <c r="N948" s="81"/>
      <c r="O948" s="642"/>
      <c r="P948" s="81"/>
      <c r="Q948" s="80"/>
      <c r="R948" s="81"/>
      <c r="S948" s="81"/>
      <c r="T948" s="81"/>
    </row>
    <row r="949" customHeight="1" spans="1:20">
      <c r="A949" s="80"/>
      <c r="B949" s="81"/>
      <c r="C949" s="642"/>
      <c r="D949" s="81"/>
      <c r="E949" s="81"/>
      <c r="F949" s="81"/>
      <c r="G949" s="81"/>
      <c r="H949" s="81"/>
      <c r="I949" s="80"/>
      <c r="J949" s="81"/>
      <c r="K949" s="80"/>
      <c r="L949" s="81"/>
      <c r="M949" s="642"/>
      <c r="N949" s="81"/>
      <c r="O949" s="642"/>
      <c r="P949" s="81"/>
      <c r="Q949" s="80"/>
      <c r="R949" s="81"/>
      <c r="S949" s="81"/>
      <c r="T949" s="81"/>
    </row>
    <row r="950" customHeight="1" spans="1:20">
      <c r="A950" s="80"/>
      <c r="B950" s="81"/>
      <c r="C950" s="642"/>
      <c r="D950" s="81"/>
      <c r="E950" s="81"/>
      <c r="F950" s="81"/>
      <c r="G950" s="81"/>
      <c r="H950" s="81"/>
      <c r="I950" s="80"/>
      <c r="J950" s="81"/>
      <c r="K950" s="80"/>
      <c r="L950" s="81"/>
      <c r="M950" s="642"/>
      <c r="N950" s="81"/>
      <c r="O950" s="642"/>
      <c r="P950" s="81"/>
      <c r="Q950" s="80"/>
      <c r="R950" s="81"/>
      <c r="S950" s="81"/>
      <c r="T950" s="81"/>
    </row>
    <row r="951" customHeight="1" spans="1:20">
      <c r="A951" s="80"/>
      <c r="B951" s="81"/>
      <c r="C951" s="642"/>
      <c r="D951" s="81"/>
      <c r="E951" s="81"/>
      <c r="F951" s="81"/>
      <c r="G951" s="81"/>
      <c r="H951" s="81"/>
      <c r="I951" s="80"/>
      <c r="J951" s="81"/>
      <c r="K951" s="80"/>
      <c r="L951" s="81"/>
      <c r="M951" s="642"/>
      <c r="N951" s="81"/>
      <c r="O951" s="642"/>
      <c r="P951" s="81"/>
      <c r="Q951" s="80"/>
      <c r="R951" s="81"/>
      <c r="S951" s="81"/>
      <c r="T951" s="81"/>
    </row>
    <row r="952" customHeight="1" spans="1:20">
      <c r="A952" s="80"/>
      <c r="B952" s="81"/>
      <c r="C952" s="642"/>
      <c r="D952" s="81"/>
      <c r="E952" s="81"/>
      <c r="F952" s="81"/>
      <c r="G952" s="81"/>
      <c r="H952" s="81"/>
      <c r="I952" s="80"/>
      <c r="J952" s="81"/>
      <c r="K952" s="80"/>
      <c r="L952" s="81"/>
      <c r="M952" s="642"/>
      <c r="N952" s="81"/>
      <c r="O952" s="642"/>
      <c r="P952" s="81"/>
      <c r="Q952" s="80"/>
      <c r="R952" s="81"/>
      <c r="S952" s="81"/>
      <c r="T952" s="81"/>
    </row>
    <row r="953" customHeight="1" spans="1:20">
      <c r="A953" s="80"/>
      <c r="B953" s="81"/>
      <c r="C953" s="642"/>
      <c r="D953" s="81"/>
      <c r="E953" s="81"/>
      <c r="F953" s="81"/>
      <c r="G953" s="81"/>
      <c r="H953" s="81"/>
      <c r="I953" s="80"/>
      <c r="J953" s="81"/>
      <c r="K953" s="80"/>
      <c r="L953" s="81"/>
      <c r="M953" s="642"/>
      <c r="N953" s="81"/>
      <c r="O953" s="642"/>
      <c r="P953" s="81"/>
      <c r="Q953" s="80"/>
      <c r="R953" s="81"/>
      <c r="S953" s="81"/>
      <c r="T953" s="81"/>
    </row>
    <row r="954" customHeight="1" spans="1:20">
      <c r="A954" s="80"/>
      <c r="B954" s="81"/>
      <c r="C954" s="642"/>
      <c r="D954" s="81"/>
      <c r="E954" s="81"/>
      <c r="F954" s="81"/>
      <c r="G954" s="81"/>
      <c r="H954" s="81"/>
      <c r="I954" s="80"/>
      <c r="J954" s="81"/>
      <c r="K954" s="80"/>
      <c r="L954" s="81"/>
      <c r="M954" s="642"/>
      <c r="N954" s="81"/>
      <c r="O954" s="642"/>
      <c r="P954" s="81"/>
      <c r="Q954" s="80"/>
      <c r="R954" s="81"/>
      <c r="S954" s="81"/>
      <c r="T954" s="81"/>
    </row>
    <row r="955" customHeight="1" spans="1:20">
      <c r="A955" s="80"/>
      <c r="B955" s="81"/>
      <c r="C955" s="642"/>
      <c r="D955" s="81"/>
      <c r="E955" s="81"/>
      <c r="F955" s="81"/>
      <c r="G955" s="81"/>
      <c r="H955" s="81"/>
      <c r="I955" s="80"/>
      <c r="J955" s="81"/>
      <c r="K955" s="80"/>
      <c r="L955" s="81"/>
      <c r="M955" s="642"/>
      <c r="N955" s="81"/>
      <c r="O955" s="642"/>
      <c r="P955" s="81"/>
      <c r="Q955" s="80"/>
      <c r="R955" s="81"/>
      <c r="S955" s="81"/>
      <c r="T955" s="81"/>
    </row>
    <row r="956" customHeight="1" spans="1:20">
      <c r="A956" s="80"/>
      <c r="B956" s="81"/>
      <c r="C956" s="642"/>
      <c r="D956" s="81"/>
      <c r="E956" s="81"/>
      <c r="F956" s="81"/>
      <c r="G956" s="81"/>
      <c r="H956" s="81"/>
      <c r="I956" s="80"/>
      <c r="J956" s="81"/>
      <c r="K956" s="80"/>
      <c r="L956" s="81"/>
      <c r="M956" s="642"/>
      <c r="N956" s="81"/>
      <c r="O956" s="642"/>
      <c r="P956" s="81"/>
      <c r="Q956" s="80"/>
      <c r="R956" s="81"/>
      <c r="S956" s="81"/>
      <c r="T956" s="81"/>
    </row>
    <row r="957" customHeight="1" spans="1:20">
      <c r="A957" s="80"/>
      <c r="B957" s="81"/>
      <c r="C957" s="642"/>
      <c r="D957" s="81"/>
      <c r="E957" s="81"/>
      <c r="F957" s="81"/>
      <c r="G957" s="81"/>
      <c r="H957" s="81"/>
      <c r="I957" s="80"/>
      <c r="J957" s="81"/>
      <c r="K957" s="80"/>
      <c r="L957" s="81"/>
      <c r="M957" s="642"/>
      <c r="N957" s="81"/>
      <c r="O957" s="642"/>
      <c r="P957" s="81"/>
      <c r="Q957" s="80"/>
      <c r="R957" s="81"/>
      <c r="S957" s="81"/>
      <c r="T957" s="81"/>
    </row>
    <row r="958" customHeight="1" spans="1:20">
      <c r="A958" s="80"/>
      <c r="B958" s="81"/>
      <c r="C958" s="642"/>
      <c r="D958" s="81"/>
      <c r="E958" s="81"/>
      <c r="F958" s="81"/>
      <c r="G958" s="81"/>
      <c r="H958" s="81"/>
      <c r="I958" s="80"/>
      <c r="J958" s="81"/>
      <c r="K958" s="80"/>
      <c r="L958" s="81"/>
      <c r="M958" s="642"/>
      <c r="N958" s="81"/>
      <c r="O958" s="642"/>
      <c r="P958" s="81"/>
      <c r="Q958" s="80"/>
      <c r="R958" s="81"/>
      <c r="S958" s="81"/>
      <c r="T958" s="81"/>
    </row>
    <row r="959" customHeight="1" spans="1:20">
      <c r="A959" s="80"/>
      <c r="B959" s="81"/>
      <c r="C959" s="642"/>
      <c r="D959" s="81"/>
      <c r="E959" s="81"/>
      <c r="F959" s="81"/>
      <c r="G959" s="81"/>
      <c r="H959" s="81"/>
      <c r="I959" s="80"/>
      <c r="J959" s="81"/>
      <c r="K959" s="80"/>
      <c r="L959" s="81"/>
      <c r="M959" s="642"/>
      <c r="N959" s="81"/>
      <c r="O959" s="642"/>
      <c r="P959" s="81"/>
      <c r="Q959" s="80"/>
      <c r="R959" s="81"/>
      <c r="S959" s="81"/>
      <c r="T959" s="81"/>
    </row>
    <row r="960" customHeight="1" spans="1:20">
      <c r="A960" s="80"/>
      <c r="B960" s="81"/>
      <c r="C960" s="642"/>
      <c r="D960" s="81"/>
      <c r="E960" s="81"/>
      <c r="F960" s="81"/>
      <c r="G960" s="81"/>
      <c r="H960" s="81"/>
      <c r="I960" s="80"/>
      <c r="J960" s="81"/>
      <c r="K960" s="80"/>
      <c r="L960" s="81"/>
      <c r="M960" s="642"/>
      <c r="N960" s="81"/>
      <c r="O960" s="642"/>
      <c r="P960" s="81"/>
      <c r="Q960" s="80"/>
      <c r="R960" s="81"/>
      <c r="S960" s="81"/>
      <c r="T960" s="81"/>
    </row>
    <row r="961" customHeight="1" spans="1:20">
      <c r="A961" s="80"/>
      <c r="B961" s="81"/>
      <c r="C961" s="642"/>
      <c r="D961" s="81"/>
      <c r="E961" s="81"/>
      <c r="F961" s="81"/>
      <c r="G961" s="81"/>
      <c r="H961" s="81"/>
      <c r="I961" s="80"/>
      <c r="J961" s="81"/>
      <c r="K961" s="80"/>
      <c r="L961" s="81"/>
      <c r="M961" s="642"/>
      <c r="N961" s="81"/>
      <c r="O961" s="642"/>
      <c r="P961" s="81"/>
      <c r="Q961" s="80"/>
      <c r="R961" s="81"/>
      <c r="S961" s="81"/>
      <c r="T961" s="81"/>
    </row>
    <row r="962" customHeight="1" spans="1:20">
      <c r="A962" s="80"/>
      <c r="B962" s="81"/>
      <c r="C962" s="642"/>
      <c r="D962" s="81"/>
      <c r="E962" s="81"/>
      <c r="F962" s="81"/>
      <c r="G962" s="81"/>
      <c r="H962" s="81"/>
      <c r="I962" s="80"/>
      <c r="J962" s="81"/>
      <c r="K962" s="80"/>
      <c r="L962" s="81"/>
      <c r="M962" s="642"/>
      <c r="N962" s="81"/>
      <c r="O962" s="642"/>
      <c r="P962" s="81"/>
      <c r="Q962" s="80"/>
      <c r="R962" s="81"/>
      <c r="S962" s="81"/>
      <c r="T962" s="81"/>
    </row>
    <row r="963" customHeight="1" spans="1:20">
      <c r="A963" s="80"/>
      <c r="B963" s="81"/>
      <c r="C963" s="642"/>
      <c r="D963" s="81"/>
      <c r="E963" s="81"/>
      <c r="F963" s="81"/>
      <c r="G963" s="81"/>
      <c r="H963" s="81"/>
      <c r="I963" s="80"/>
      <c r="J963" s="81"/>
      <c r="K963" s="80"/>
      <c r="L963" s="81"/>
      <c r="M963" s="642"/>
      <c r="N963" s="81"/>
      <c r="O963" s="642"/>
      <c r="P963" s="81"/>
      <c r="Q963" s="80"/>
      <c r="R963" s="81"/>
      <c r="S963" s="81"/>
      <c r="T963" s="81"/>
    </row>
    <row r="964" customHeight="1" spans="1:20">
      <c r="A964" s="80"/>
      <c r="B964" s="81"/>
      <c r="C964" s="642"/>
      <c r="D964" s="81"/>
      <c r="E964" s="81"/>
      <c r="F964" s="81"/>
      <c r="G964" s="81"/>
      <c r="H964" s="81"/>
      <c r="I964" s="80"/>
      <c r="J964" s="81"/>
      <c r="K964" s="80"/>
      <c r="L964" s="81"/>
      <c r="M964" s="642"/>
      <c r="N964" s="81"/>
      <c r="O964" s="642"/>
      <c r="P964" s="81"/>
      <c r="Q964" s="80"/>
      <c r="R964" s="81"/>
      <c r="S964" s="81"/>
      <c r="T964" s="81"/>
    </row>
    <row r="965" customHeight="1" spans="1:20">
      <c r="A965" s="80"/>
      <c r="B965" s="81"/>
      <c r="C965" s="642"/>
      <c r="D965" s="81"/>
      <c r="E965" s="81"/>
      <c r="F965" s="81"/>
      <c r="G965" s="81"/>
      <c r="H965" s="81"/>
      <c r="I965" s="80"/>
      <c r="J965" s="81"/>
      <c r="K965" s="80"/>
      <c r="L965" s="81"/>
      <c r="M965" s="642"/>
      <c r="N965" s="81"/>
      <c r="O965" s="642"/>
      <c r="P965" s="81"/>
      <c r="Q965" s="80"/>
      <c r="R965" s="81"/>
      <c r="S965" s="81"/>
      <c r="T965" s="81"/>
    </row>
    <row r="966" customHeight="1" spans="1:20">
      <c r="A966" s="80"/>
      <c r="B966" s="81"/>
      <c r="C966" s="642"/>
      <c r="D966" s="81"/>
      <c r="E966" s="81"/>
      <c r="F966" s="81"/>
      <c r="G966" s="81"/>
      <c r="H966" s="81"/>
      <c r="I966" s="80"/>
      <c r="J966" s="81"/>
      <c r="K966" s="80"/>
      <c r="L966" s="81"/>
      <c r="M966" s="642"/>
      <c r="N966" s="81"/>
      <c r="O966" s="642"/>
      <c r="P966" s="81"/>
      <c r="Q966" s="80"/>
      <c r="R966" s="81"/>
      <c r="S966" s="81"/>
      <c r="T966" s="81"/>
    </row>
    <row r="967" customHeight="1" spans="1:20">
      <c r="A967" s="80"/>
      <c r="B967" s="81"/>
      <c r="C967" s="642"/>
      <c r="D967" s="81"/>
      <c r="E967" s="81"/>
      <c r="F967" s="81"/>
      <c r="G967" s="81"/>
      <c r="H967" s="81"/>
      <c r="I967" s="80"/>
      <c r="J967" s="81"/>
      <c r="K967" s="80"/>
      <c r="L967" s="81"/>
      <c r="M967" s="642"/>
      <c r="N967" s="81"/>
      <c r="O967" s="642"/>
      <c r="P967" s="81"/>
      <c r="Q967" s="80"/>
      <c r="R967" s="81"/>
      <c r="S967" s="81"/>
      <c r="T967" s="81"/>
    </row>
    <row r="968" customHeight="1" spans="1:20">
      <c r="A968" s="80"/>
      <c r="B968" s="81"/>
      <c r="C968" s="642"/>
      <c r="D968" s="81"/>
      <c r="E968" s="81"/>
      <c r="F968" s="81"/>
      <c r="G968" s="81"/>
      <c r="H968" s="81"/>
      <c r="I968" s="80"/>
      <c r="J968" s="81"/>
      <c r="K968" s="80"/>
      <c r="L968" s="81"/>
      <c r="M968" s="642"/>
      <c r="N968" s="81"/>
      <c r="O968" s="642"/>
      <c r="P968" s="81"/>
      <c r="Q968" s="80"/>
      <c r="R968" s="81"/>
      <c r="S968" s="81"/>
      <c r="T968" s="81"/>
    </row>
    <row r="969" customHeight="1" spans="1:20">
      <c r="A969" s="80"/>
      <c r="B969" s="81"/>
      <c r="C969" s="642"/>
      <c r="D969" s="81"/>
      <c r="E969" s="81"/>
      <c r="F969" s="81"/>
      <c r="G969" s="81"/>
      <c r="H969" s="81"/>
      <c r="I969" s="80"/>
      <c r="J969" s="81"/>
      <c r="K969" s="80"/>
      <c r="L969" s="81"/>
      <c r="M969" s="642"/>
      <c r="N969" s="81"/>
      <c r="O969" s="642"/>
      <c r="P969" s="81"/>
      <c r="Q969" s="80"/>
      <c r="R969" s="81"/>
      <c r="S969" s="81"/>
      <c r="T969" s="81"/>
    </row>
    <row r="970" customHeight="1" spans="1:20">
      <c r="A970" s="80"/>
      <c r="B970" s="81"/>
      <c r="C970" s="642"/>
      <c r="D970" s="81"/>
      <c r="E970" s="81"/>
      <c r="F970" s="81"/>
      <c r="G970" s="81"/>
      <c r="H970" s="81"/>
      <c r="I970" s="80"/>
      <c r="J970" s="81"/>
      <c r="K970" s="80"/>
      <c r="L970" s="81"/>
      <c r="M970" s="642"/>
      <c r="N970" s="81"/>
      <c r="O970" s="642"/>
      <c r="P970" s="81"/>
      <c r="Q970" s="80"/>
      <c r="R970" s="81"/>
      <c r="S970" s="81"/>
      <c r="T970" s="81"/>
    </row>
    <row r="971" customHeight="1" spans="1:20">
      <c r="A971" s="80"/>
      <c r="B971" s="81"/>
      <c r="C971" s="642"/>
      <c r="D971" s="81"/>
      <c r="E971" s="81"/>
      <c r="F971" s="81"/>
      <c r="G971" s="81"/>
      <c r="H971" s="81"/>
      <c r="I971" s="80"/>
      <c r="J971" s="81"/>
      <c r="K971" s="80"/>
      <c r="L971" s="81"/>
      <c r="M971" s="642"/>
      <c r="N971" s="81"/>
      <c r="O971" s="642"/>
      <c r="P971" s="81"/>
      <c r="Q971" s="80"/>
      <c r="R971" s="81"/>
      <c r="S971" s="81"/>
      <c r="T971" s="81"/>
    </row>
    <row r="972" customHeight="1" spans="1:20">
      <c r="A972" s="80"/>
      <c r="B972" s="81"/>
      <c r="C972" s="642"/>
      <c r="D972" s="81"/>
      <c r="E972" s="81"/>
      <c r="F972" s="81"/>
      <c r="G972" s="81"/>
      <c r="H972" s="81"/>
      <c r="I972" s="80"/>
      <c r="J972" s="81"/>
      <c r="K972" s="80"/>
      <c r="L972" s="81"/>
      <c r="M972" s="642"/>
      <c r="N972" s="81"/>
      <c r="O972" s="642"/>
      <c r="P972" s="81"/>
      <c r="Q972" s="80"/>
      <c r="R972" s="81"/>
      <c r="S972" s="81"/>
      <c r="T972" s="81"/>
    </row>
    <row r="973" customHeight="1" spans="1:20">
      <c r="A973" s="80"/>
      <c r="B973" s="81"/>
      <c r="C973" s="642"/>
      <c r="D973" s="81"/>
      <c r="E973" s="81"/>
      <c r="F973" s="81"/>
      <c r="G973" s="81"/>
      <c r="H973" s="81"/>
      <c r="I973" s="80"/>
      <c r="J973" s="81"/>
      <c r="K973" s="80"/>
      <c r="L973" s="81"/>
      <c r="M973" s="642"/>
      <c r="N973" s="81"/>
      <c r="O973" s="642"/>
      <c r="P973" s="81"/>
      <c r="Q973" s="80"/>
      <c r="R973" s="81"/>
      <c r="S973" s="81"/>
      <c r="T973" s="81"/>
    </row>
    <row r="974" customHeight="1" spans="1:20">
      <c r="A974" s="80"/>
      <c r="B974" s="81"/>
      <c r="C974" s="642"/>
      <c r="D974" s="81"/>
      <c r="E974" s="81"/>
      <c r="F974" s="81"/>
      <c r="G974" s="81"/>
      <c r="H974" s="81"/>
      <c r="I974" s="80"/>
      <c r="J974" s="81"/>
      <c r="K974" s="80"/>
      <c r="L974" s="81"/>
      <c r="M974" s="642"/>
      <c r="N974" s="81"/>
      <c r="O974" s="642"/>
      <c r="P974" s="81"/>
      <c r="Q974" s="80"/>
      <c r="R974" s="81"/>
      <c r="S974" s="81"/>
      <c r="T974" s="81"/>
    </row>
    <row r="975" customHeight="1" spans="1:20">
      <c r="A975" s="80"/>
      <c r="B975" s="81"/>
      <c r="C975" s="642"/>
      <c r="D975" s="81"/>
      <c r="E975" s="81"/>
      <c r="F975" s="81"/>
      <c r="G975" s="81"/>
      <c r="H975" s="81"/>
      <c r="I975" s="80"/>
      <c r="J975" s="81"/>
      <c r="K975" s="80"/>
      <c r="L975" s="81"/>
      <c r="M975" s="642"/>
      <c r="N975" s="81"/>
      <c r="O975" s="642"/>
      <c r="P975" s="81"/>
      <c r="Q975" s="80"/>
      <c r="R975" s="81"/>
      <c r="S975" s="81"/>
      <c r="T975" s="81"/>
    </row>
    <row r="976" customHeight="1" spans="1:20">
      <c r="A976" s="80"/>
      <c r="B976" s="81"/>
      <c r="C976" s="642"/>
      <c r="D976" s="81"/>
      <c r="E976" s="81"/>
      <c r="F976" s="81"/>
      <c r="G976" s="81"/>
      <c r="H976" s="81"/>
      <c r="I976" s="80"/>
      <c r="J976" s="81"/>
      <c r="K976" s="80"/>
      <c r="L976" s="81"/>
      <c r="M976" s="642"/>
      <c r="N976" s="81"/>
      <c r="O976" s="642"/>
      <c r="P976" s="81"/>
      <c r="Q976" s="80"/>
      <c r="R976" s="81"/>
      <c r="S976" s="81"/>
      <c r="T976" s="81"/>
    </row>
    <row r="977" customHeight="1" spans="1:20">
      <c r="A977" s="80"/>
      <c r="B977" s="81"/>
      <c r="C977" s="642"/>
      <c r="D977" s="81"/>
      <c r="E977" s="81"/>
      <c r="F977" s="81"/>
      <c r="G977" s="81"/>
      <c r="H977" s="81"/>
      <c r="I977" s="80"/>
      <c r="J977" s="81"/>
      <c r="K977" s="80"/>
      <c r="L977" s="81"/>
      <c r="M977" s="642"/>
      <c r="N977" s="81"/>
      <c r="O977" s="642"/>
      <c r="P977" s="81"/>
      <c r="Q977" s="80"/>
      <c r="R977" s="81"/>
      <c r="S977" s="81"/>
      <c r="T977" s="81"/>
    </row>
    <row r="978" customHeight="1" spans="1:20">
      <c r="A978" s="80"/>
      <c r="B978" s="81"/>
      <c r="C978" s="642"/>
      <c r="D978" s="81"/>
      <c r="E978" s="81"/>
      <c r="F978" s="81"/>
      <c r="G978" s="81"/>
      <c r="H978" s="81"/>
      <c r="I978" s="80"/>
      <c r="J978" s="81"/>
      <c r="K978" s="80"/>
      <c r="L978" s="81"/>
      <c r="M978" s="642"/>
      <c r="N978" s="81"/>
      <c r="O978" s="642"/>
      <c r="P978" s="81"/>
      <c r="Q978" s="80"/>
      <c r="R978" s="81"/>
      <c r="S978" s="81"/>
      <c r="T978" s="81"/>
    </row>
    <row r="979" customHeight="1" spans="1:20">
      <c r="A979" s="80"/>
      <c r="B979" s="81"/>
      <c r="C979" s="642"/>
      <c r="D979" s="81"/>
      <c r="E979" s="81"/>
      <c r="F979" s="81"/>
      <c r="G979" s="81"/>
      <c r="H979" s="81"/>
      <c r="I979" s="80"/>
      <c r="J979" s="81"/>
      <c r="K979" s="80"/>
      <c r="L979" s="81"/>
      <c r="M979" s="642"/>
      <c r="N979" s="81"/>
      <c r="O979" s="642"/>
      <c r="P979" s="81"/>
      <c r="Q979" s="80"/>
      <c r="R979" s="81"/>
      <c r="S979" s="81"/>
      <c r="T979" s="81"/>
    </row>
    <row r="980" customHeight="1" spans="1:20">
      <c r="A980" s="80"/>
      <c r="B980" s="81"/>
      <c r="C980" s="642"/>
      <c r="D980" s="81"/>
      <c r="E980" s="81"/>
      <c r="F980" s="81"/>
      <c r="G980" s="81"/>
      <c r="H980" s="81"/>
      <c r="I980" s="80"/>
      <c r="J980" s="81"/>
      <c r="K980" s="80"/>
      <c r="L980" s="81"/>
      <c r="M980" s="642"/>
      <c r="N980" s="81"/>
      <c r="O980" s="642"/>
      <c r="P980" s="81"/>
      <c r="Q980" s="80"/>
      <c r="R980" s="81"/>
      <c r="S980" s="81"/>
      <c r="T980" s="81"/>
    </row>
    <row r="981" customHeight="1" spans="1:20">
      <c r="A981" s="80"/>
      <c r="B981" s="81"/>
      <c r="C981" s="642"/>
      <c r="D981" s="81"/>
      <c r="E981" s="81"/>
      <c r="F981" s="81"/>
      <c r="G981" s="81"/>
      <c r="H981" s="81"/>
      <c r="I981" s="80"/>
      <c r="J981" s="81"/>
      <c r="K981" s="80"/>
      <c r="L981" s="81"/>
      <c r="M981" s="642"/>
      <c r="N981" s="81"/>
      <c r="O981" s="642"/>
      <c r="P981" s="81"/>
      <c r="Q981" s="80"/>
      <c r="R981" s="81"/>
      <c r="S981" s="81"/>
      <c r="T981" s="81"/>
    </row>
    <row r="982" customHeight="1" spans="1:20">
      <c r="A982" s="80"/>
      <c r="B982" s="81"/>
      <c r="C982" s="642"/>
      <c r="D982" s="81"/>
      <c r="E982" s="81"/>
      <c r="F982" s="81"/>
      <c r="G982" s="81"/>
      <c r="H982" s="81"/>
      <c r="I982" s="80"/>
      <c r="J982" s="81"/>
      <c r="K982" s="80"/>
      <c r="L982" s="81"/>
      <c r="M982" s="642"/>
      <c r="N982" s="81"/>
      <c r="O982" s="642"/>
      <c r="P982" s="81"/>
      <c r="Q982" s="80"/>
      <c r="R982" s="81"/>
      <c r="S982" s="81"/>
      <c r="T982" s="81"/>
    </row>
    <row r="983" customHeight="1" spans="1:20">
      <c r="A983" s="80"/>
      <c r="B983" s="81"/>
      <c r="C983" s="642"/>
      <c r="D983" s="81"/>
      <c r="E983" s="81"/>
      <c r="F983" s="81"/>
      <c r="G983" s="81"/>
      <c r="H983" s="81"/>
      <c r="I983" s="80"/>
      <c r="J983" s="81"/>
      <c r="K983" s="80"/>
      <c r="L983" s="81"/>
      <c r="M983" s="642"/>
      <c r="N983" s="81"/>
      <c r="O983" s="642"/>
      <c r="P983" s="81"/>
      <c r="Q983" s="80"/>
      <c r="R983" s="81"/>
      <c r="S983" s="81"/>
      <c r="T983" s="81"/>
    </row>
    <row r="984" customHeight="1" spans="1:20">
      <c r="A984" s="80"/>
      <c r="B984" s="81"/>
      <c r="C984" s="642"/>
      <c r="D984" s="81"/>
      <c r="E984" s="81"/>
      <c r="F984" s="81"/>
      <c r="G984" s="81"/>
      <c r="H984" s="81"/>
      <c r="I984" s="80"/>
      <c r="J984" s="81"/>
      <c r="K984" s="80"/>
      <c r="L984" s="81"/>
      <c r="M984" s="642"/>
      <c r="N984" s="81"/>
      <c r="O984" s="642"/>
      <c r="P984" s="81"/>
      <c r="Q984" s="80"/>
      <c r="R984" s="81"/>
      <c r="S984" s="81"/>
      <c r="T984" s="81"/>
    </row>
    <row r="985" customHeight="1" spans="1:20">
      <c r="A985" s="80"/>
      <c r="B985" s="81"/>
      <c r="C985" s="642"/>
      <c r="D985" s="81"/>
      <c r="E985" s="81"/>
      <c r="F985" s="81"/>
      <c r="G985" s="81"/>
      <c r="H985" s="81"/>
      <c r="I985" s="80"/>
      <c r="J985" s="81"/>
      <c r="K985" s="80"/>
      <c r="L985" s="81"/>
      <c r="M985" s="642"/>
      <c r="N985" s="81"/>
      <c r="O985" s="642"/>
      <c r="P985" s="81"/>
      <c r="Q985" s="80"/>
      <c r="R985" s="81"/>
      <c r="S985" s="81"/>
      <c r="T985" s="81"/>
    </row>
    <row r="986" customHeight="1" spans="1:20">
      <c r="A986" s="80"/>
      <c r="B986" s="81"/>
      <c r="C986" s="642"/>
      <c r="D986" s="81"/>
      <c r="E986" s="81"/>
      <c r="F986" s="81"/>
      <c r="G986" s="81"/>
      <c r="H986" s="81"/>
      <c r="I986" s="80"/>
      <c r="J986" s="81"/>
      <c r="K986" s="80"/>
      <c r="L986" s="81"/>
      <c r="M986" s="642"/>
      <c r="N986" s="81"/>
      <c r="O986" s="642"/>
      <c r="P986" s="81"/>
      <c r="Q986" s="80"/>
      <c r="R986" s="81"/>
      <c r="S986" s="81"/>
      <c r="T986" s="81"/>
    </row>
    <row r="987" customHeight="1" spans="1:20">
      <c r="A987" s="80"/>
      <c r="B987" s="81"/>
      <c r="C987" s="642"/>
      <c r="D987" s="81"/>
      <c r="E987" s="81"/>
      <c r="F987" s="81"/>
      <c r="G987" s="81"/>
      <c r="H987" s="81"/>
      <c r="I987" s="80"/>
      <c r="J987" s="81"/>
      <c r="K987" s="80"/>
      <c r="L987" s="81"/>
      <c r="M987" s="642"/>
      <c r="N987" s="81"/>
      <c r="O987" s="642"/>
      <c r="P987" s="81"/>
      <c r="Q987" s="80"/>
      <c r="R987" s="81"/>
      <c r="S987" s="81"/>
      <c r="T987" s="81"/>
    </row>
    <row r="988" customHeight="1" spans="1:20">
      <c r="A988" s="80"/>
      <c r="B988" s="81"/>
      <c r="C988" s="642"/>
      <c r="D988" s="81"/>
      <c r="E988" s="81"/>
      <c r="F988" s="81"/>
      <c r="G988" s="81"/>
      <c r="H988" s="81"/>
      <c r="I988" s="80"/>
      <c r="J988" s="81"/>
      <c r="K988" s="80"/>
      <c r="L988" s="81"/>
      <c r="M988" s="642"/>
      <c r="N988" s="81"/>
      <c r="O988" s="642"/>
      <c r="P988" s="81"/>
      <c r="Q988" s="80"/>
      <c r="R988" s="81"/>
      <c r="S988" s="81"/>
      <c r="T988" s="81"/>
    </row>
    <row r="989" customHeight="1" spans="1:20">
      <c r="A989" s="80"/>
      <c r="B989" s="81"/>
      <c r="C989" s="642"/>
      <c r="D989" s="81"/>
      <c r="E989" s="81"/>
      <c r="F989" s="81"/>
      <c r="G989" s="81"/>
      <c r="H989" s="81"/>
      <c r="I989" s="80"/>
      <c r="J989" s="81"/>
      <c r="K989" s="80"/>
      <c r="L989" s="81"/>
      <c r="M989" s="642"/>
      <c r="N989" s="81"/>
      <c r="O989" s="642"/>
      <c r="P989" s="81"/>
      <c r="Q989" s="80"/>
      <c r="R989" s="81"/>
      <c r="S989" s="81"/>
      <c r="T989" s="81"/>
    </row>
    <row r="990" customHeight="1" spans="1:20">
      <c r="A990" s="80"/>
      <c r="B990" s="81"/>
      <c r="C990" s="642"/>
      <c r="D990" s="81"/>
      <c r="E990" s="81"/>
      <c r="F990" s="81"/>
      <c r="G990" s="81"/>
      <c r="H990" s="81"/>
      <c r="I990" s="80"/>
      <c r="J990" s="81"/>
      <c r="K990" s="80"/>
      <c r="L990" s="81"/>
      <c r="M990" s="642"/>
      <c r="N990" s="81"/>
      <c r="O990" s="642"/>
      <c r="P990" s="81"/>
      <c r="Q990" s="80"/>
      <c r="R990" s="81"/>
      <c r="S990" s="81"/>
      <c r="T990" s="81"/>
    </row>
    <row r="991" customHeight="1" spans="1:20">
      <c r="A991" s="80"/>
      <c r="B991" s="81"/>
      <c r="C991" s="642"/>
      <c r="D991" s="81"/>
      <c r="E991" s="81"/>
      <c r="F991" s="81"/>
      <c r="G991" s="81"/>
      <c r="H991" s="81"/>
      <c r="I991" s="80"/>
      <c r="J991" s="81"/>
      <c r="K991" s="80"/>
      <c r="L991" s="81"/>
      <c r="M991" s="642"/>
      <c r="N991" s="81"/>
      <c r="O991" s="642"/>
      <c r="P991" s="81"/>
      <c r="Q991" s="80"/>
      <c r="R991" s="81"/>
      <c r="S991" s="81"/>
      <c r="T991" s="81"/>
    </row>
    <row r="992" customHeight="1" spans="1:20">
      <c r="A992" s="80"/>
      <c r="B992" s="81"/>
      <c r="C992" s="642"/>
      <c r="D992" s="81"/>
      <c r="E992" s="81"/>
      <c r="F992" s="81"/>
      <c r="G992" s="81"/>
      <c r="H992" s="81"/>
      <c r="I992" s="80"/>
      <c r="J992" s="81"/>
      <c r="K992" s="80"/>
      <c r="L992" s="81"/>
      <c r="M992" s="642"/>
      <c r="N992" s="81"/>
      <c r="O992" s="642"/>
      <c r="P992" s="81"/>
      <c r="Q992" s="80"/>
      <c r="R992" s="81"/>
      <c r="S992" s="81"/>
      <c r="T992" s="81"/>
    </row>
    <row r="993" customHeight="1" spans="1:20">
      <c r="A993" s="80"/>
      <c r="B993" s="81"/>
      <c r="C993" s="642"/>
      <c r="D993" s="81"/>
      <c r="E993" s="81"/>
      <c r="F993" s="81"/>
      <c r="G993" s="81"/>
      <c r="H993" s="81"/>
      <c r="I993" s="80"/>
      <c r="J993" s="81"/>
      <c r="K993" s="80"/>
      <c r="L993" s="81"/>
      <c r="M993" s="642"/>
      <c r="N993" s="81"/>
      <c r="O993" s="642"/>
      <c r="P993" s="81"/>
      <c r="Q993" s="80"/>
      <c r="R993" s="81"/>
      <c r="S993" s="81"/>
      <c r="T993" s="81"/>
    </row>
    <row r="994" customHeight="1" spans="1:20">
      <c r="A994" s="80"/>
      <c r="B994" s="81"/>
      <c r="C994" s="642"/>
      <c r="D994" s="81"/>
      <c r="E994" s="81"/>
      <c r="F994" s="81"/>
      <c r="G994" s="81"/>
      <c r="H994" s="81"/>
      <c r="I994" s="80"/>
      <c r="J994" s="81"/>
      <c r="K994" s="80"/>
      <c r="L994" s="81"/>
      <c r="M994" s="642"/>
      <c r="N994" s="81"/>
      <c r="O994" s="642"/>
      <c r="P994" s="81"/>
      <c r="Q994" s="80"/>
      <c r="R994" s="81"/>
      <c r="S994" s="81"/>
      <c r="T994" s="81"/>
    </row>
    <row r="995" customHeight="1" spans="1:20">
      <c r="A995" s="80"/>
      <c r="B995" s="81"/>
      <c r="C995" s="642"/>
      <c r="D995" s="81"/>
      <c r="E995" s="81"/>
      <c r="F995" s="81"/>
      <c r="G995" s="81"/>
      <c r="H995" s="81"/>
      <c r="I995" s="80"/>
      <c r="J995" s="81"/>
      <c r="K995" s="80"/>
      <c r="L995" s="81"/>
      <c r="M995" s="642"/>
      <c r="N995" s="81"/>
      <c r="O995" s="642"/>
      <c r="P995" s="81"/>
      <c r="Q995" s="80"/>
      <c r="R995" s="81"/>
      <c r="S995" s="81"/>
      <c r="T995" s="81"/>
    </row>
    <row r="996" customHeight="1" spans="1:20">
      <c r="A996" s="80"/>
      <c r="B996" s="81"/>
      <c r="C996" s="642"/>
      <c r="D996" s="81"/>
      <c r="E996" s="81"/>
      <c r="F996" s="81"/>
      <c r="G996" s="81"/>
      <c r="H996" s="81"/>
      <c r="I996" s="80"/>
      <c r="J996" s="81"/>
      <c r="K996" s="80"/>
      <c r="L996" s="81"/>
      <c r="M996" s="642"/>
      <c r="N996" s="81"/>
      <c r="O996" s="642"/>
      <c r="P996" s="81"/>
      <c r="Q996" s="80"/>
      <c r="R996" s="81"/>
      <c r="S996" s="81"/>
      <c r="T996" s="81"/>
    </row>
    <row r="997" customHeight="1" spans="1:20">
      <c r="A997" s="80"/>
      <c r="B997" s="81"/>
      <c r="C997" s="642"/>
      <c r="D997" s="81"/>
      <c r="E997" s="81"/>
      <c r="F997" s="81"/>
      <c r="G997" s="81"/>
      <c r="H997" s="81"/>
      <c r="I997" s="80"/>
      <c r="J997" s="81"/>
      <c r="K997" s="80"/>
      <c r="L997" s="81"/>
      <c r="M997" s="642"/>
      <c r="N997" s="81"/>
      <c r="O997" s="642"/>
      <c r="P997" s="81"/>
      <c r="Q997" s="80"/>
      <c r="R997" s="81"/>
      <c r="S997" s="81"/>
      <c r="T997" s="81"/>
    </row>
    <row r="998" customHeight="1" spans="1:20">
      <c r="A998" s="80"/>
      <c r="B998" s="81"/>
      <c r="C998" s="642"/>
      <c r="D998" s="81"/>
      <c r="E998" s="81"/>
      <c r="F998" s="81"/>
      <c r="G998" s="81"/>
      <c r="H998" s="81"/>
      <c r="I998" s="80"/>
      <c r="J998" s="81"/>
      <c r="K998" s="80"/>
      <c r="L998" s="81"/>
      <c r="M998" s="642"/>
      <c r="N998" s="81"/>
      <c r="O998" s="642"/>
      <c r="P998" s="81"/>
      <c r="Q998" s="80"/>
      <c r="R998" s="81"/>
      <c r="S998" s="81"/>
      <c r="T998" s="81"/>
    </row>
    <row r="999" customHeight="1" spans="1:20">
      <c r="A999" s="80"/>
      <c r="B999" s="81"/>
      <c r="C999" s="642"/>
      <c r="D999" s="81"/>
      <c r="E999" s="81"/>
      <c r="F999" s="81"/>
      <c r="G999" s="81"/>
      <c r="H999" s="81"/>
      <c r="I999" s="80"/>
      <c r="J999" s="81"/>
      <c r="K999" s="80"/>
      <c r="L999" s="81"/>
      <c r="M999" s="642"/>
      <c r="N999" s="81"/>
      <c r="O999" s="642"/>
      <c r="P999" s="81"/>
      <c r="Q999" s="80"/>
      <c r="R999" s="81"/>
      <c r="S999" s="81"/>
      <c r="T999" s="81"/>
    </row>
    <row r="1000" customHeight="1" spans="1:20">
      <c r="A1000" s="80"/>
      <c r="B1000" s="81"/>
      <c r="C1000" s="642"/>
      <c r="D1000" s="81"/>
      <c r="E1000" s="81"/>
      <c r="F1000" s="81"/>
      <c r="G1000" s="81"/>
      <c r="H1000" s="81"/>
      <c r="I1000" s="80"/>
      <c r="J1000" s="81"/>
      <c r="K1000" s="80"/>
      <c r="L1000" s="81"/>
      <c r="M1000" s="642"/>
      <c r="N1000" s="81"/>
      <c r="O1000" s="642"/>
      <c r="P1000" s="81"/>
      <c r="Q1000" s="80"/>
      <c r="R1000" s="81"/>
      <c r="S1000" s="81"/>
      <c r="T1000" s="81"/>
    </row>
    <row r="1001" customHeight="1" spans="1:20">
      <c r="A1001" s="80"/>
      <c r="B1001" s="81"/>
      <c r="C1001" s="642"/>
      <c r="D1001" s="81"/>
      <c r="E1001" s="81"/>
      <c r="F1001" s="81"/>
      <c r="G1001" s="81"/>
      <c r="H1001" s="81"/>
      <c r="I1001" s="80"/>
      <c r="J1001" s="81"/>
      <c r="K1001" s="80"/>
      <c r="L1001" s="81"/>
      <c r="M1001" s="642"/>
      <c r="N1001" s="81"/>
      <c r="O1001" s="642"/>
      <c r="P1001" s="81"/>
      <c r="Q1001" s="80"/>
      <c r="R1001" s="81"/>
      <c r="S1001" s="81"/>
      <c r="T1001" s="81"/>
    </row>
    <row r="1002" customHeight="1" spans="1:20">
      <c r="A1002" s="80"/>
      <c r="B1002" s="81"/>
      <c r="C1002" s="642"/>
      <c r="D1002" s="81"/>
      <c r="E1002" s="81"/>
      <c r="F1002" s="81"/>
      <c r="G1002" s="81"/>
      <c r="H1002" s="81"/>
      <c r="I1002" s="80"/>
      <c r="J1002" s="81"/>
      <c r="K1002" s="80"/>
      <c r="L1002" s="81"/>
      <c r="M1002" s="642"/>
      <c r="N1002" s="81"/>
      <c r="O1002" s="642"/>
      <c r="P1002" s="81"/>
      <c r="Q1002" s="80"/>
      <c r="R1002" s="81"/>
      <c r="S1002" s="81"/>
      <c r="T1002" s="81"/>
    </row>
    <row r="1003" customHeight="1" spans="1:20">
      <c r="A1003" s="80"/>
      <c r="B1003" s="81"/>
      <c r="C1003" s="642"/>
      <c r="D1003" s="81"/>
      <c r="E1003" s="81"/>
      <c r="F1003" s="81"/>
      <c r="G1003" s="81"/>
      <c r="H1003" s="81"/>
      <c r="I1003" s="80"/>
      <c r="J1003" s="81"/>
      <c r="K1003" s="80"/>
      <c r="L1003" s="81"/>
      <c r="M1003" s="642"/>
      <c r="N1003" s="81"/>
      <c r="O1003" s="642"/>
      <c r="P1003" s="81"/>
      <c r="Q1003" s="80"/>
      <c r="R1003" s="81"/>
      <c r="S1003" s="81"/>
      <c r="T1003" s="81"/>
    </row>
    <row r="1004" customHeight="1" spans="1:20">
      <c r="A1004" s="80"/>
      <c r="B1004" s="81"/>
      <c r="C1004" s="642"/>
      <c r="D1004" s="81"/>
      <c r="E1004" s="81"/>
      <c r="F1004" s="81"/>
      <c r="G1004" s="81"/>
      <c r="H1004" s="81"/>
      <c r="I1004" s="80"/>
      <c r="J1004" s="81"/>
      <c r="K1004" s="80"/>
      <c r="L1004" s="81"/>
      <c r="M1004" s="642"/>
      <c r="N1004" s="81"/>
      <c r="O1004" s="642"/>
      <c r="P1004" s="81"/>
      <c r="Q1004" s="80"/>
      <c r="R1004" s="81"/>
      <c r="S1004" s="81"/>
      <c r="T1004" s="81"/>
    </row>
    <row r="1005" customHeight="1" spans="1:20">
      <c r="A1005" s="80"/>
      <c r="B1005" s="81"/>
      <c r="C1005" s="642"/>
      <c r="D1005" s="81"/>
      <c r="E1005" s="81"/>
      <c r="F1005" s="81"/>
      <c r="G1005" s="81"/>
      <c r="H1005" s="81"/>
      <c r="I1005" s="80"/>
      <c r="J1005" s="81"/>
      <c r="K1005" s="80"/>
      <c r="L1005" s="81"/>
      <c r="M1005" s="642"/>
      <c r="N1005" s="81"/>
      <c r="O1005" s="642"/>
      <c r="P1005" s="81"/>
      <c r="Q1005" s="80"/>
      <c r="R1005" s="81"/>
      <c r="S1005" s="81"/>
      <c r="T1005" s="81"/>
    </row>
    <row r="1006" customHeight="1" spans="1:20">
      <c r="A1006" s="80"/>
      <c r="B1006" s="81"/>
      <c r="C1006" s="642"/>
      <c r="D1006" s="81"/>
      <c r="E1006" s="81"/>
      <c r="F1006" s="81"/>
      <c r="G1006" s="81"/>
      <c r="H1006" s="81"/>
      <c r="I1006" s="80"/>
      <c r="J1006" s="81"/>
      <c r="K1006" s="80"/>
      <c r="L1006" s="81"/>
      <c r="M1006" s="642"/>
      <c r="N1006" s="81"/>
      <c r="O1006" s="642"/>
      <c r="P1006" s="81"/>
      <c r="Q1006" s="80"/>
      <c r="R1006" s="81"/>
      <c r="S1006" s="81"/>
      <c r="T1006" s="81"/>
    </row>
    <row r="1007" customHeight="1" spans="1:20">
      <c r="A1007" s="80"/>
      <c r="B1007" s="81"/>
      <c r="C1007" s="642"/>
      <c r="D1007" s="81"/>
      <c r="E1007" s="81"/>
      <c r="F1007" s="81"/>
      <c r="G1007" s="81"/>
      <c r="H1007" s="81"/>
      <c r="I1007" s="80"/>
      <c r="J1007" s="81"/>
      <c r="K1007" s="80"/>
      <c r="L1007" s="81"/>
      <c r="M1007" s="642"/>
      <c r="N1007" s="81"/>
      <c r="O1007" s="642"/>
      <c r="P1007" s="81"/>
      <c r="Q1007" s="80"/>
      <c r="R1007" s="81"/>
      <c r="S1007" s="81"/>
      <c r="T1007" s="81"/>
    </row>
    <row r="1008" customHeight="1" spans="1:20">
      <c r="A1008" s="80"/>
      <c r="B1008" s="81"/>
      <c r="C1008" s="642"/>
      <c r="D1008" s="81"/>
      <c r="E1008" s="81"/>
      <c r="F1008" s="81"/>
      <c r="G1008" s="81"/>
      <c r="H1008" s="81"/>
      <c r="I1008" s="80"/>
      <c r="J1008" s="81"/>
      <c r="K1008" s="80"/>
      <c r="L1008" s="81"/>
      <c r="M1008" s="642"/>
      <c r="N1008" s="81"/>
      <c r="O1008" s="642"/>
      <c r="P1008" s="81"/>
      <c r="Q1008" s="80"/>
      <c r="R1008" s="81"/>
      <c r="S1008" s="81"/>
      <c r="T1008" s="81"/>
    </row>
    <row r="1009" customHeight="1" spans="1:20">
      <c r="A1009" s="80"/>
      <c r="B1009" s="81"/>
      <c r="C1009" s="642"/>
      <c r="D1009" s="81"/>
      <c r="E1009" s="81"/>
      <c r="F1009" s="81"/>
      <c r="G1009" s="81"/>
      <c r="H1009" s="81"/>
      <c r="I1009" s="80"/>
      <c r="J1009" s="81"/>
      <c r="K1009" s="80"/>
      <c r="L1009" s="81"/>
      <c r="M1009" s="642"/>
      <c r="N1009" s="81"/>
      <c r="O1009" s="642"/>
      <c r="P1009" s="81"/>
      <c r="Q1009" s="80"/>
      <c r="R1009" s="81"/>
      <c r="S1009" s="81"/>
      <c r="T1009" s="81"/>
    </row>
    <row r="1010" customHeight="1" spans="1:20">
      <c r="A1010" s="80"/>
      <c r="B1010" s="81"/>
      <c r="C1010" s="642"/>
      <c r="D1010" s="81"/>
      <c r="E1010" s="81"/>
      <c r="F1010" s="81"/>
      <c r="G1010" s="81"/>
      <c r="H1010" s="81"/>
      <c r="I1010" s="80"/>
      <c r="J1010" s="81"/>
      <c r="K1010" s="80"/>
      <c r="L1010" s="81"/>
      <c r="M1010" s="642"/>
      <c r="N1010" s="81"/>
      <c r="O1010" s="642"/>
      <c r="P1010" s="81"/>
      <c r="Q1010" s="80"/>
      <c r="R1010" s="81"/>
      <c r="S1010" s="81"/>
      <c r="T1010" s="81"/>
    </row>
    <row r="1011" customHeight="1" spans="1:20">
      <c r="A1011" s="80"/>
      <c r="B1011" s="81"/>
      <c r="C1011" s="642"/>
      <c r="D1011" s="81"/>
      <c r="E1011" s="81"/>
      <c r="F1011" s="81"/>
      <c r="G1011" s="81"/>
      <c r="H1011" s="81"/>
      <c r="I1011" s="80"/>
      <c r="J1011" s="81"/>
      <c r="K1011" s="80"/>
      <c r="L1011" s="81"/>
      <c r="M1011" s="642"/>
      <c r="N1011" s="81"/>
      <c r="O1011" s="642"/>
      <c r="P1011" s="81"/>
      <c r="Q1011" s="80"/>
      <c r="R1011" s="81"/>
      <c r="S1011" s="81"/>
      <c r="T1011" s="81"/>
    </row>
    <row r="1012" customHeight="1" spans="1:20">
      <c r="A1012" s="80"/>
      <c r="B1012" s="81"/>
      <c r="C1012" s="642"/>
      <c r="D1012" s="81"/>
      <c r="E1012" s="81"/>
      <c r="F1012" s="81"/>
      <c r="G1012" s="81"/>
      <c r="H1012" s="81"/>
      <c r="I1012" s="80"/>
      <c r="J1012" s="81"/>
      <c r="K1012" s="80"/>
      <c r="L1012" s="81"/>
      <c r="M1012" s="642"/>
      <c r="N1012" s="81"/>
      <c r="O1012" s="642"/>
      <c r="P1012" s="81"/>
      <c r="Q1012" s="80"/>
      <c r="R1012" s="81"/>
      <c r="S1012" s="81"/>
      <c r="T1012" s="81"/>
    </row>
    <row r="1013" customHeight="1" spans="1:20">
      <c r="A1013" s="80"/>
      <c r="B1013" s="81"/>
      <c r="C1013" s="642"/>
      <c r="D1013" s="81"/>
      <c r="E1013" s="81"/>
      <c r="F1013" s="81"/>
      <c r="G1013" s="81"/>
      <c r="H1013" s="81"/>
      <c r="I1013" s="80"/>
      <c r="J1013" s="81"/>
      <c r="K1013" s="80"/>
      <c r="L1013" s="81"/>
      <c r="M1013" s="642"/>
      <c r="N1013" s="81"/>
      <c r="O1013" s="642"/>
      <c r="P1013" s="81"/>
      <c r="Q1013" s="80"/>
      <c r="R1013" s="81"/>
      <c r="S1013" s="81"/>
      <c r="T1013" s="81"/>
    </row>
    <row r="1014" customHeight="1" spans="1:20">
      <c r="A1014" s="80"/>
      <c r="B1014" s="81"/>
      <c r="C1014" s="642"/>
      <c r="D1014" s="81"/>
      <c r="E1014" s="81"/>
      <c r="F1014" s="81"/>
      <c r="G1014" s="81"/>
      <c r="H1014" s="81"/>
      <c r="I1014" s="80"/>
      <c r="J1014" s="81"/>
      <c r="K1014" s="80"/>
      <c r="L1014" s="81"/>
      <c r="M1014" s="642"/>
      <c r="N1014" s="81"/>
      <c r="O1014" s="642"/>
      <c r="P1014" s="81"/>
      <c r="Q1014" s="80"/>
      <c r="R1014" s="81"/>
      <c r="S1014" s="81"/>
      <c r="T1014" s="81"/>
    </row>
    <row r="1015" customHeight="1" spans="1:20">
      <c r="A1015" s="80"/>
      <c r="B1015" s="81"/>
      <c r="C1015" s="642"/>
      <c r="D1015" s="81"/>
      <c r="E1015" s="81"/>
      <c r="F1015" s="81"/>
      <c r="G1015" s="81"/>
      <c r="H1015" s="81"/>
      <c r="I1015" s="80"/>
      <c r="J1015" s="81"/>
      <c r="K1015" s="80"/>
      <c r="L1015" s="81"/>
      <c r="M1015" s="642"/>
      <c r="N1015" s="81"/>
      <c r="O1015" s="642"/>
      <c r="P1015" s="81"/>
      <c r="Q1015" s="80"/>
      <c r="R1015" s="81"/>
      <c r="S1015" s="81"/>
      <c r="T1015" s="81"/>
    </row>
    <row r="1016" customHeight="1" spans="1:20">
      <c r="A1016" s="80"/>
      <c r="B1016" s="81"/>
      <c r="C1016" s="642"/>
      <c r="D1016" s="81"/>
      <c r="E1016" s="81"/>
      <c r="F1016" s="81"/>
      <c r="G1016" s="81"/>
      <c r="H1016" s="81"/>
      <c r="I1016" s="80"/>
      <c r="J1016" s="81"/>
      <c r="K1016" s="80"/>
      <c r="L1016" s="81"/>
      <c r="M1016" s="642"/>
      <c r="N1016" s="81"/>
      <c r="O1016" s="642"/>
      <c r="P1016" s="81"/>
      <c r="Q1016" s="80"/>
      <c r="R1016" s="81"/>
      <c r="S1016" s="81"/>
      <c r="T1016" s="81"/>
    </row>
    <row r="1017" customHeight="1" spans="1:20">
      <c r="A1017" s="80"/>
      <c r="B1017" s="81"/>
      <c r="C1017" s="642"/>
      <c r="D1017" s="81"/>
      <c r="E1017" s="81"/>
      <c r="F1017" s="81"/>
      <c r="G1017" s="81"/>
      <c r="H1017" s="81"/>
      <c r="I1017" s="80"/>
      <c r="J1017" s="81"/>
      <c r="K1017" s="80"/>
      <c r="L1017" s="81"/>
      <c r="M1017" s="642"/>
      <c r="N1017" s="81"/>
      <c r="O1017" s="642"/>
      <c r="P1017" s="81"/>
      <c r="Q1017" s="80"/>
      <c r="R1017" s="81"/>
      <c r="S1017" s="81"/>
      <c r="T1017" s="81"/>
    </row>
    <row r="1018" customHeight="1" spans="1:20">
      <c r="A1018" s="80"/>
      <c r="B1018" s="81"/>
      <c r="C1018" s="642"/>
      <c r="D1018" s="81"/>
      <c r="E1018" s="81"/>
      <c r="F1018" s="81"/>
      <c r="G1018" s="81"/>
      <c r="H1018" s="81"/>
      <c r="I1018" s="80"/>
      <c r="J1018" s="81"/>
      <c r="K1018" s="80"/>
      <c r="L1018" s="81"/>
      <c r="M1018" s="642"/>
      <c r="N1018" s="81"/>
      <c r="O1018" s="642"/>
      <c r="P1018" s="81"/>
      <c r="Q1018" s="80"/>
      <c r="R1018" s="81"/>
      <c r="S1018" s="81"/>
      <c r="T1018" s="81"/>
    </row>
    <row r="1019" customHeight="1" spans="1:20">
      <c r="A1019" s="80"/>
      <c r="B1019" s="81"/>
      <c r="C1019" s="642"/>
      <c r="D1019" s="81"/>
      <c r="E1019" s="81"/>
      <c r="F1019" s="81"/>
      <c r="G1019" s="81"/>
      <c r="H1019" s="81"/>
      <c r="I1019" s="80"/>
      <c r="J1019" s="81"/>
      <c r="K1019" s="80"/>
      <c r="L1019" s="81"/>
      <c r="M1019" s="642"/>
      <c r="N1019" s="81"/>
      <c r="O1019" s="642"/>
      <c r="P1019" s="81"/>
      <c r="Q1019" s="80"/>
      <c r="R1019" s="81"/>
      <c r="S1019" s="81"/>
      <c r="T1019" s="81"/>
    </row>
    <row r="1020" customHeight="1" spans="1:20">
      <c r="A1020" s="80"/>
      <c r="B1020" s="81"/>
      <c r="C1020" s="642"/>
      <c r="D1020" s="81"/>
      <c r="E1020" s="81"/>
      <c r="F1020" s="81"/>
      <c r="G1020" s="81"/>
      <c r="H1020" s="81"/>
      <c r="I1020" s="80"/>
      <c r="J1020" s="81"/>
      <c r="K1020" s="80"/>
      <c r="L1020" s="81"/>
      <c r="M1020" s="642"/>
      <c r="N1020" s="81"/>
      <c r="O1020" s="642"/>
      <c r="P1020" s="81"/>
      <c r="Q1020" s="80"/>
      <c r="R1020" s="81"/>
      <c r="S1020" s="81"/>
      <c r="T1020" s="81"/>
    </row>
    <row r="1021" customHeight="1" spans="1:20">
      <c r="A1021" s="80"/>
      <c r="B1021" s="81"/>
      <c r="C1021" s="642"/>
      <c r="D1021" s="81"/>
      <c r="E1021" s="81"/>
      <c r="F1021" s="81"/>
      <c r="G1021" s="81"/>
      <c r="H1021" s="81"/>
      <c r="I1021" s="80"/>
      <c r="J1021" s="81"/>
      <c r="K1021" s="80"/>
      <c r="L1021" s="81"/>
      <c r="M1021" s="642"/>
      <c r="N1021" s="81"/>
      <c r="O1021" s="642"/>
      <c r="P1021" s="81"/>
      <c r="Q1021" s="80"/>
      <c r="R1021" s="81"/>
      <c r="S1021" s="81"/>
      <c r="T1021" s="81"/>
    </row>
    <row r="1022" customHeight="1" spans="1:20">
      <c r="A1022" s="80"/>
      <c r="B1022" s="81"/>
      <c r="C1022" s="642"/>
      <c r="D1022" s="81"/>
      <c r="E1022" s="81"/>
      <c r="F1022" s="81"/>
      <c r="G1022" s="81"/>
      <c r="H1022" s="81"/>
      <c r="I1022" s="80"/>
      <c r="J1022" s="81"/>
      <c r="K1022" s="80"/>
      <c r="L1022" s="81"/>
      <c r="M1022" s="642"/>
      <c r="N1022" s="81"/>
      <c r="O1022" s="642"/>
      <c r="P1022" s="81"/>
      <c r="Q1022" s="80"/>
      <c r="R1022" s="81"/>
      <c r="S1022" s="81"/>
      <c r="T1022" s="81"/>
    </row>
    <row r="1023" customHeight="1" spans="1:20">
      <c r="A1023" s="80"/>
      <c r="B1023" s="81"/>
      <c r="C1023" s="642"/>
      <c r="D1023" s="81"/>
      <c r="E1023" s="81"/>
      <c r="F1023" s="81"/>
      <c r="G1023" s="81"/>
      <c r="H1023" s="81"/>
      <c r="I1023" s="80"/>
      <c r="J1023" s="81"/>
      <c r="K1023" s="80"/>
      <c r="L1023" s="81"/>
      <c r="M1023" s="642"/>
      <c r="N1023" s="81"/>
      <c r="O1023" s="642"/>
      <c r="P1023" s="81"/>
      <c r="Q1023" s="80"/>
      <c r="R1023" s="81"/>
      <c r="S1023" s="81"/>
      <c r="T1023" s="81"/>
    </row>
    <row r="1024" customHeight="1" spans="1:20">
      <c r="A1024" s="80"/>
      <c r="B1024" s="81"/>
      <c r="C1024" s="642"/>
      <c r="D1024" s="81"/>
      <c r="E1024" s="81"/>
      <c r="F1024" s="81"/>
      <c r="G1024" s="81"/>
      <c r="H1024" s="81"/>
      <c r="I1024" s="80"/>
      <c r="J1024" s="81"/>
      <c r="K1024" s="80"/>
      <c r="L1024" s="81"/>
      <c r="M1024" s="642"/>
      <c r="N1024" s="81"/>
      <c r="O1024" s="642"/>
      <c r="P1024" s="81"/>
      <c r="Q1024" s="80"/>
      <c r="R1024" s="81"/>
      <c r="S1024" s="81"/>
      <c r="T1024" s="81"/>
    </row>
    <row r="1025" customHeight="1" spans="1:20">
      <c r="A1025" s="80"/>
      <c r="B1025" s="81"/>
      <c r="C1025" s="642"/>
      <c r="D1025" s="81"/>
      <c r="E1025" s="81"/>
      <c r="F1025" s="81"/>
      <c r="G1025" s="81"/>
      <c r="H1025" s="81"/>
      <c r="I1025" s="80"/>
      <c r="J1025" s="81"/>
      <c r="K1025" s="80"/>
      <c r="L1025" s="81"/>
      <c r="M1025" s="642"/>
      <c r="N1025" s="81"/>
      <c r="O1025" s="642"/>
      <c r="P1025" s="81"/>
      <c r="Q1025" s="80"/>
      <c r="R1025" s="81"/>
      <c r="S1025" s="81"/>
      <c r="T1025" s="81"/>
    </row>
    <row r="1026" customHeight="1" spans="1:20">
      <c r="A1026" s="80"/>
      <c r="B1026" s="81"/>
      <c r="C1026" s="642"/>
      <c r="D1026" s="81"/>
      <c r="E1026" s="81"/>
      <c r="F1026" s="81"/>
      <c r="G1026" s="81"/>
      <c r="H1026" s="81"/>
      <c r="I1026" s="80"/>
      <c r="J1026" s="81"/>
      <c r="K1026" s="80"/>
      <c r="L1026" s="81"/>
      <c r="M1026" s="642"/>
      <c r="N1026" s="81"/>
      <c r="O1026" s="642"/>
      <c r="P1026" s="81"/>
      <c r="Q1026" s="80"/>
      <c r="R1026" s="81"/>
      <c r="S1026" s="81"/>
      <c r="T1026" s="81"/>
    </row>
    <row r="1027" customHeight="1" spans="1:20">
      <c r="A1027" s="80"/>
      <c r="B1027" s="81"/>
      <c r="C1027" s="642"/>
      <c r="D1027" s="81"/>
      <c r="E1027" s="81"/>
      <c r="F1027" s="81"/>
      <c r="G1027" s="81"/>
      <c r="H1027" s="81"/>
      <c r="I1027" s="80"/>
      <c r="J1027" s="81"/>
      <c r="K1027" s="80"/>
      <c r="L1027" s="81"/>
      <c r="M1027" s="642"/>
      <c r="N1027" s="81"/>
      <c r="O1027" s="642"/>
      <c r="P1027" s="81"/>
      <c r="Q1027" s="80"/>
      <c r="R1027" s="81"/>
      <c r="S1027" s="81"/>
      <c r="T1027" s="81"/>
    </row>
    <row r="1028" customHeight="1" spans="1:20">
      <c r="A1028" s="80"/>
      <c r="B1028" s="81"/>
      <c r="C1028" s="642"/>
      <c r="D1028" s="81"/>
      <c r="E1028" s="81"/>
      <c r="F1028" s="81"/>
      <c r="G1028" s="81"/>
      <c r="H1028" s="81"/>
      <c r="I1028" s="80"/>
      <c r="J1028" s="81"/>
      <c r="K1028" s="80"/>
      <c r="L1028" s="81"/>
      <c r="M1028" s="642"/>
      <c r="N1028" s="81"/>
      <c r="O1028" s="642"/>
      <c r="P1028" s="81"/>
      <c r="Q1028" s="80"/>
      <c r="R1028" s="81"/>
      <c r="S1028" s="81"/>
      <c r="T1028" s="81"/>
    </row>
    <row r="1029" customHeight="1" spans="1:20">
      <c r="A1029" s="80"/>
      <c r="B1029" s="81"/>
      <c r="C1029" s="642"/>
      <c r="D1029" s="81"/>
      <c r="E1029" s="81"/>
      <c r="F1029" s="81"/>
      <c r="G1029" s="81"/>
      <c r="H1029" s="81"/>
      <c r="I1029" s="80"/>
      <c r="J1029" s="81"/>
      <c r="K1029" s="80"/>
      <c r="L1029" s="81"/>
      <c r="M1029" s="642"/>
      <c r="N1029" s="81"/>
      <c r="O1029" s="642"/>
      <c r="P1029" s="81"/>
      <c r="Q1029" s="80"/>
      <c r="R1029" s="81"/>
      <c r="S1029" s="81"/>
      <c r="T1029" s="81"/>
    </row>
    <row r="1030" customHeight="1" spans="1:20">
      <c r="A1030" s="80"/>
      <c r="B1030" s="81"/>
      <c r="C1030" s="642"/>
      <c r="D1030" s="81"/>
      <c r="E1030" s="81"/>
      <c r="F1030" s="81"/>
      <c r="G1030" s="81"/>
      <c r="H1030" s="81"/>
      <c r="I1030" s="80"/>
      <c r="J1030" s="81"/>
      <c r="K1030" s="80"/>
      <c r="L1030" s="81"/>
      <c r="M1030" s="642"/>
      <c r="N1030" s="81"/>
      <c r="O1030" s="642"/>
      <c r="P1030" s="81"/>
      <c r="Q1030" s="80"/>
      <c r="R1030" s="81"/>
      <c r="S1030" s="81"/>
      <c r="T1030" s="81"/>
    </row>
    <row r="1031" customHeight="1" spans="1:20">
      <c r="A1031" s="80"/>
      <c r="B1031" s="81"/>
      <c r="C1031" s="642"/>
      <c r="D1031" s="81"/>
      <c r="E1031" s="81"/>
      <c r="F1031" s="81"/>
      <c r="G1031" s="81"/>
      <c r="H1031" s="81"/>
      <c r="I1031" s="80"/>
      <c r="J1031" s="81"/>
      <c r="K1031" s="80"/>
      <c r="L1031" s="81"/>
      <c r="M1031" s="642"/>
      <c r="N1031" s="81"/>
      <c r="O1031" s="642"/>
      <c r="P1031" s="81"/>
      <c r="Q1031" s="80"/>
      <c r="R1031" s="81"/>
      <c r="S1031" s="81"/>
      <c r="T1031" s="81"/>
    </row>
    <row r="1032" customHeight="1" spans="1:20">
      <c r="A1032" s="80"/>
      <c r="B1032" s="81"/>
      <c r="C1032" s="642"/>
      <c r="D1032" s="81"/>
      <c r="E1032" s="81"/>
      <c r="F1032" s="81"/>
      <c r="G1032" s="81"/>
      <c r="H1032" s="81"/>
      <c r="I1032" s="80"/>
      <c r="J1032" s="81"/>
      <c r="K1032" s="80"/>
      <c r="L1032" s="81"/>
      <c r="M1032" s="642"/>
      <c r="N1032" s="81"/>
      <c r="O1032" s="642"/>
      <c r="P1032" s="81"/>
      <c r="Q1032" s="80"/>
      <c r="R1032" s="81"/>
      <c r="S1032" s="81"/>
      <c r="T1032" s="81"/>
    </row>
    <row r="1033" customHeight="1" spans="1:20">
      <c r="A1033" s="80"/>
      <c r="B1033" s="81"/>
      <c r="C1033" s="642"/>
      <c r="D1033" s="81"/>
      <c r="E1033" s="81"/>
      <c r="F1033" s="81"/>
      <c r="G1033" s="81"/>
      <c r="H1033" s="81"/>
      <c r="I1033" s="80"/>
      <c r="J1033" s="81"/>
      <c r="K1033" s="80"/>
      <c r="L1033" s="81"/>
      <c r="M1033" s="642"/>
      <c r="N1033" s="81"/>
      <c r="O1033" s="642"/>
      <c r="P1033" s="81"/>
      <c r="Q1033" s="80"/>
      <c r="R1033" s="81"/>
      <c r="S1033" s="81"/>
      <c r="T1033" s="81"/>
    </row>
    <row r="1034" customHeight="1" spans="1:20">
      <c r="A1034" s="80"/>
      <c r="B1034" s="81"/>
      <c r="C1034" s="642"/>
      <c r="D1034" s="81"/>
      <c r="E1034" s="81"/>
      <c r="F1034" s="81"/>
      <c r="G1034" s="81"/>
      <c r="H1034" s="81"/>
      <c r="I1034" s="80"/>
      <c r="J1034" s="81"/>
      <c r="K1034" s="80"/>
      <c r="L1034" s="81"/>
      <c r="M1034" s="642"/>
      <c r="N1034" s="81"/>
      <c r="O1034" s="642"/>
      <c r="P1034" s="81"/>
      <c r="Q1034" s="80"/>
      <c r="R1034" s="81"/>
      <c r="S1034" s="81"/>
      <c r="T1034" s="81"/>
    </row>
    <row r="1035" customHeight="1" spans="1:20">
      <c r="A1035" s="80"/>
      <c r="B1035" s="81"/>
      <c r="C1035" s="642"/>
      <c r="D1035" s="81"/>
      <c r="E1035" s="81"/>
      <c r="F1035" s="81"/>
      <c r="G1035" s="81"/>
      <c r="H1035" s="81"/>
      <c r="I1035" s="80"/>
      <c r="J1035" s="81"/>
      <c r="K1035" s="80"/>
      <c r="L1035" s="81"/>
      <c r="M1035" s="642"/>
      <c r="N1035" s="81"/>
      <c r="O1035" s="642"/>
      <c r="P1035" s="81"/>
      <c r="Q1035" s="80"/>
      <c r="R1035" s="81"/>
      <c r="S1035" s="81"/>
      <c r="T1035" s="81"/>
    </row>
    <row r="1036" customHeight="1" spans="1:20">
      <c r="A1036" s="80"/>
      <c r="B1036" s="81"/>
      <c r="C1036" s="642"/>
      <c r="D1036" s="81"/>
      <c r="E1036" s="81"/>
      <c r="F1036" s="81"/>
      <c r="G1036" s="81"/>
      <c r="H1036" s="81"/>
      <c r="I1036" s="80"/>
      <c r="J1036" s="81"/>
      <c r="K1036" s="80"/>
      <c r="L1036" s="81"/>
      <c r="M1036" s="642"/>
      <c r="N1036" s="81"/>
      <c r="O1036" s="642"/>
      <c r="P1036" s="81"/>
      <c r="Q1036" s="80"/>
      <c r="R1036" s="81"/>
      <c r="S1036" s="81"/>
      <c r="T1036" s="81"/>
    </row>
    <row r="1037" customHeight="1" spans="1:20">
      <c r="A1037" s="80"/>
      <c r="B1037" s="81"/>
      <c r="C1037" s="642"/>
      <c r="D1037" s="81"/>
      <c r="E1037" s="81"/>
      <c r="F1037" s="81"/>
      <c r="G1037" s="81"/>
      <c r="H1037" s="81"/>
      <c r="I1037" s="80"/>
      <c r="J1037" s="81"/>
      <c r="K1037" s="80"/>
      <c r="L1037" s="81"/>
      <c r="M1037" s="642"/>
      <c r="N1037" s="81"/>
      <c r="O1037" s="642"/>
      <c r="P1037" s="81"/>
      <c r="Q1037" s="80"/>
      <c r="R1037" s="81"/>
      <c r="S1037" s="81"/>
      <c r="T1037" s="81"/>
    </row>
    <row r="1038" customHeight="1" spans="1:20">
      <c r="A1038" s="80"/>
      <c r="B1038" s="81"/>
      <c r="C1038" s="642"/>
      <c r="D1038" s="81"/>
      <c r="E1038" s="81"/>
      <c r="F1038" s="81"/>
      <c r="G1038" s="81"/>
      <c r="H1038" s="81"/>
      <c r="I1038" s="80"/>
      <c r="J1038" s="81"/>
      <c r="K1038" s="80"/>
      <c r="L1038" s="81"/>
      <c r="M1038" s="642"/>
      <c r="N1038" s="81"/>
      <c r="O1038" s="642"/>
      <c r="P1038" s="81"/>
      <c r="Q1038" s="80"/>
      <c r="R1038" s="81"/>
      <c r="S1038" s="81"/>
      <c r="T1038" s="81"/>
    </row>
    <row r="1039" customHeight="1" spans="1:20">
      <c r="A1039" s="80"/>
      <c r="B1039" s="81"/>
      <c r="C1039" s="642"/>
      <c r="D1039" s="81"/>
      <c r="E1039" s="81"/>
      <c r="F1039" s="81"/>
      <c r="G1039" s="81"/>
      <c r="H1039" s="81"/>
      <c r="I1039" s="80"/>
      <c r="J1039" s="81"/>
      <c r="K1039" s="80"/>
      <c r="L1039" s="81"/>
      <c r="M1039" s="642"/>
      <c r="N1039" s="81"/>
      <c r="O1039" s="642"/>
      <c r="P1039" s="81"/>
      <c r="Q1039" s="80"/>
      <c r="R1039" s="81"/>
      <c r="S1039" s="81"/>
      <c r="T1039" s="81"/>
    </row>
    <row r="1040" customHeight="1" spans="1:20">
      <c r="A1040" s="80"/>
      <c r="B1040" s="81"/>
      <c r="C1040" s="642"/>
      <c r="D1040" s="81"/>
      <c r="E1040" s="81"/>
      <c r="F1040" s="81"/>
      <c r="G1040" s="81"/>
      <c r="H1040" s="81"/>
      <c r="I1040" s="80"/>
      <c r="J1040" s="81"/>
      <c r="K1040" s="80"/>
      <c r="L1040" s="81"/>
      <c r="M1040" s="642"/>
      <c r="N1040" s="81"/>
      <c r="O1040" s="642"/>
      <c r="P1040" s="81"/>
      <c r="Q1040" s="80"/>
      <c r="R1040" s="81"/>
      <c r="S1040" s="81"/>
      <c r="T1040" s="81"/>
    </row>
    <row r="1041" customHeight="1" spans="1:20">
      <c r="A1041" s="80"/>
      <c r="B1041" s="81"/>
      <c r="C1041" s="642"/>
      <c r="D1041" s="81"/>
      <c r="E1041" s="81"/>
      <c r="F1041" s="81"/>
      <c r="G1041" s="81"/>
      <c r="H1041" s="81"/>
      <c r="I1041" s="80"/>
      <c r="J1041" s="81"/>
      <c r="K1041" s="80"/>
      <c r="L1041" s="81"/>
      <c r="M1041" s="642"/>
      <c r="N1041" s="81"/>
      <c r="O1041" s="642"/>
      <c r="P1041" s="81"/>
      <c r="Q1041" s="80"/>
      <c r="R1041" s="81"/>
      <c r="S1041" s="81"/>
      <c r="T1041" s="81"/>
    </row>
    <row r="1042" customHeight="1" spans="1:20">
      <c r="A1042" s="80"/>
      <c r="B1042" s="81"/>
      <c r="C1042" s="642"/>
      <c r="D1042" s="81"/>
      <c r="E1042" s="81"/>
      <c r="F1042" s="81"/>
      <c r="G1042" s="81"/>
      <c r="H1042" s="81"/>
      <c r="I1042" s="80"/>
      <c r="J1042" s="81"/>
      <c r="K1042" s="80"/>
      <c r="L1042" s="81"/>
      <c r="M1042" s="642"/>
      <c r="N1042" s="81"/>
      <c r="O1042" s="642"/>
      <c r="P1042" s="81"/>
      <c r="Q1042" s="80"/>
      <c r="R1042" s="81"/>
      <c r="S1042" s="81"/>
      <c r="T1042" s="81"/>
    </row>
    <row r="1043" customHeight="1" spans="1:20">
      <c r="A1043" s="80"/>
      <c r="B1043" s="81"/>
      <c r="C1043" s="642"/>
      <c r="D1043" s="81"/>
      <c r="E1043" s="81"/>
      <c r="F1043" s="81"/>
      <c r="G1043" s="81"/>
      <c r="H1043" s="81"/>
      <c r="I1043" s="80"/>
      <c r="J1043" s="81"/>
      <c r="K1043" s="80"/>
      <c r="L1043" s="81"/>
      <c r="M1043" s="642"/>
      <c r="N1043" s="81"/>
      <c r="O1043" s="642"/>
      <c r="P1043" s="81"/>
      <c r="Q1043" s="80"/>
      <c r="R1043" s="81"/>
      <c r="S1043" s="81"/>
      <c r="T1043" s="81"/>
    </row>
    <row r="1044" customHeight="1" spans="1:20">
      <c r="A1044" s="80"/>
      <c r="B1044" s="81"/>
      <c r="C1044" s="642"/>
      <c r="D1044" s="81"/>
      <c r="E1044" s="81"/>
      <c r="F1044" s="81"/>
      <c r="G1044" s="81"/>
      <c r="H1044" s="81"/>
      <c r="I1044" s="80"/>
      <c r="J1044" s="81"/>
      <c r="K1044" s="80"/>
      <c r="L1044" s="81"/>
      <c r="M1044" s="642"/>
      <c r="N1044" s="81"/>
      <c r="O1044" s="642"/>
      <c r="P1044" s="81"/>
      <c r="Q1044" s="80"/>
      <c r="R1044" s="81"/>
      <c r="S1044" s="81"/>
      <c r="T1044" s="81"/>
    </row>
    <row r="1045" customHeight="1" spans="1:20">
      <c r="A1045" s="80"/>
      <c r="B1045" s="81"/>
      <c r="C1045" s="642"/>
      <c r="D1045" s="81"/>
      <c r="E1045" s="81"/>
      <c r="F1045" s="81"/>
      <c r="G1045" s="81"/>
      <c r="H1045" s="81"/>
      <c r="I1045" s="80"/>
      <c r="J1045" s="81"/>
      <c r="K1045" s="80"/>
      <c r="L1045" s="81"/>
      <c r="M1045" s="642"/>
      <c r="N1045" s="81"/>
      <c r="O1045" s="642"/>
      <c r="P1045" s="81"/>
      <c r="Q1045" s="80"/>
      <c r="R1045" s="81"/>
      <c r="S1045" s="81"/>
      <c r="T1045" s="81"/>
    </row>
    <row r="1046" customHeight="1" spans="1:20">
      <c r="A1046" s="80"/>
      <c r="B1046" s="81"/>
      <c r="C1046" s="642"/>
      <c r="D1046" s="81"/>
      <c r="E1046" s="81"/>
      <c r="F1046" s="81"/>
      <c r="G1046" s="81"/>
      <c r="H1046" s="81"/>
      <c r="I1046" s="80"/>
      <c r="J1046" s="81"/>
      <c r="K1046" s="80"/>
      <c r="L1046" s="81"/>
      <c r="M1046" s="642"/>
      <c r="N1046" s="81"/>
      <c r="O1046" s="642"/>
      <c r="P1046" s="81"/>
      <c r="Q1046" s="80"/>
      <c r="R1046" s="81"/>
      <c r="S1046" s="81"/>
      <c r="T1046" s="81"/>
    </row>
    <row r="1047" customHeight="1" spans="1:20">
      <c r="A1047" s="80"/>
      <c r="B1047" s="81"/>
      <c r="C1047" s="642"/>
      <c r="D1047" s="81"/>
      <c r="E1047" s="81"/>
      <c r="F1047" s="81"/>
      <c r="G1047" s="81"/>
      <c r="H1047" s="81"/>
      <c r="I1047" s="80"/>
      <c r="J1047" s="81"/>
      <c r="K1047" s="80"/>
      <c r="L1047" s="81"/>
      <c r="M1047" s="642"/>
      <c r="N1047" s="81"/>
      <c r="O1047" s="642"/>
      <c r="P1047" s="81"/>
      <c r="Q1047" s="80"/>
      <c r="R1047" s="81"/>
      <c r="S1047" s="81"/>
      <c r="T1047" s="81"/>
    </row>
    <row r="1048" customHeight="1" spans="1:20">
      <c r="A1048" s="80"/>
      <c r="B1048" s="81"/>
      <c r="C1048" s="642"/>
      <c r="D1048" s="81"/>
      <c r="E1048" s="81"/>
      <c r="F1048" s="81"/>
      <c r="G1048" s="81"/>
      <c r="H1048" s="81"/>
      <c r="I1048" s="80"/>
      <c r="J1048" s="81"/>
      <c r="K1048" s="80"/>
      <c r="L1048" s="81"/>
      <c r="M1048" s="642"/>
      <c r="N1048" s="81"/>
      <c r="O1048" s="642"/>
      <c r="P1048" s="81"/>
      <c r="Q1048" s="80"/>
      <c r="R1048" s="81"/>
      <c r="S1048" s="81"/>
      <c r="T1048" s="81"/>
    </row>
    <row r="1049" customHeight="1" spans="1:20">
      <c r="A1049" s="80"/>
      <c r="B1049" s="81"/>
      <c r="C1049" s="642"/>
      <c r="D1049" s="81"/>
      <c r="E1049" s="81"/>
      <c r="F1049" s="81"/>
      <c r="G1049" s="81"/>
      <c r="H1049" s="81"/>
      <c r="I1049" s="80"/>
      <c r="J1049" s="81"/>
      <c r="K1049" s="80"/>
      <c r="L1049" s="81"/>
      <c r="M1049" s="642"/>
      <c r="N1049" s="81"/>
      <c r="O1049" s="642"/>
      <c r="P1049" s="81"/>
      <c r="Q1049" s="80"/>
      <c r="R1049" s="81"/>
      <c r="S1049" s="81"/>
      <c r="T1049" s="81"/>
    </row>
    <row r="1050" customHeight="1" spans="1:20">
      <c r="A1050" s="80"/>
      <c r="B1050" s="81"/>
      <c r="C1050" s="642"/>
      <c r="D1050" s="81"/>
      <c r="E1050" s="81"/>
      <c r="F1050" s="81"/>
      <c r="G1050" s="81"/>
      <c r="H1050" s="81"/>
      <c r="I1050" s="80"/>
      <c r="J1050" s="81"/>
      <c r="K1050" s="80"/>
      <c r="L1050" s="81"/>
      <c r="M1050" s="642"/>
      <c r="N1050" s="81"/>
      <c r="O1050" s="642"/>
      <c r="P1050" s="81"/>
      <c r="Q1050" s="80"/>
      <c r="R1050" s="81"/>
      <c r="S1050" s="81"/>
      <c r="T1050" s="81"/>
    </row>
    <row r="1051" customHeight="1" spans="1:20">
      <c r="A1051" s="80"/>
      <c r="B1051" s="81"/>
      <c r="C1051" s="642"/>
      <c r="D1051" s="81"/>
      <c r="E1051" s="81"/>
      <c r="F1051" s="81"/>
      <c r="G1051" s="81"/>
      <c r="H1051" s="81"/>
      <c r="I1051" s="80"/>
      <c r="J1051" s="81"/>
      <c r="K1051" s="80"/>
      <c r="L1051" s="81"/>
      <c r="M1051" s="642"/>
      <c r="N1051" s="81"/>
      <c r="O1051" s="642"/>
      <c r="P1051" s="81"/>
      <c r="Q1051" s="80"/>
      <c r="R1051" s="81"/>
      <c r="S1051" s="81"/>
      <c r="T1051" s="81"/>
    </row>
    <row r="1052" customHeight="1" spans="1:20">
      <c r="A1052" s="80"/>
      <c r="B1052" s="81"/>
      <c r="C1052" s="642"/>
      <c r="D1052" s="81"/>
      <c r="E1052" s="81"/>
      <c r="F1052" s="81"/>
      <c r="G1052" s="81"/>
      <c r="H1052" s="81"/>
      <c r="I1052" s="80"/>
      <c r="J1052" s="81"/>
      <c r="K1052" s="80"/>
      <c r="L1052" s="81"/>
      <c r="M1052" s="642"/>
      <c r="N1052" s="81"/>
      <c r="O1052" s="642"/>
      <c r="P1052" s="81"/>
      <c r="Q1052" s="80"/>
      <c r="R1052" s="81"/>
      <c r="S1052" s="81"/>
      <c r="T1052" s="81"/>
    </row>
    <row r="1053" customHeight="1" spans="1:20">
      <c r="A1053" s="80"/>
      <c r="B1053" s="81"/>
      <c r="C1053" s="642"/>
      <c r="D1053" s="81"/>
      <c r="E1053" s="81"/>
      <c r="F1053" s="81"/>
      <c r="G1053" s="81"/>
      <c r="H1053" s="81"/>
      <c r="I1053" s="80"/>
      <c r="J1053" s="81"/>
      <c r="K1053" s="80"/>
      <c r="L1053" s="81"/>
      <c r="M1053" s="642"/>
      <c r="N1053" s="81"/>
      <c r="O1053" s="642"/>
      <c r="P1053" s="81"/>
      <c r="Q1053" s="80"/>
      <c r="R1053" s="81"/>
      <c r="S1053" s="81"/>
      <c r="T1053" s="81"/>
    </row>
    <row r="1054" customHeight="1" spans="1:20">
      <c r="A1054" s="80"/>
      <c r="B1054" s="81"/>
      <c r="C1054" s="642"/>
      <c r="D1054" s="81"/>
      <c r="E1054" s="81"/>
      <c r="F1054" s="81"/>
      <c r="G1054" s="81"/>
      <c r="H1054" s="81"/>
      <c r="I1054" s="80"/>
      <c r="J1054" s="81"/>
      <c r="K1054" s="80"/>
      <c r="L1054" s="81"/>
      <c r="M1054" s="642"/>
      <c r="N1054" s="81"/>
      <c r="O1054" s="642"/>
      <c r="P1054" s="81"/>
      <c r="Q1054" s="80"/>
      <c r="R1054" s="81"/>
      <c r="S1054" s="81"/>
      <c r="T1054" s="81"/>
    </row>
    <row r="1055" customHeight="1" spans="1:20">
      <c r="A1055" s="80"/>
      <c r="B1055" s="81"/>
      <c r="C1055" s="642"/>
      <c r="D1055" s="81"/>
      <c r="E1055" s="81"/>
      <c r="F1055" s="81"/>
      <c r="G1055" s="81"/>
      <c r="H1055" s="81"/>
      <c r="I1055" s="80"/>
      <c r="J1055" s="81"/>
      <c r="K1055" s="80"/>
      <c r="L1055" s="81"/>
      <c r="M1055" s="642"/>
      <c r="N1055" s="81"/>
      <c r="O1055" s="642"/>
      <c r="P1055" s="81"/>
      <c r="Q1055" s="80"/>
      <c r="R1055" s="81"/>
      <c r="S1055" s="81"/>
      <c r="T1055" s="81"/>
    </row>
    <row r="1056" customHeight="1" spans="1:20">
      <c r="A1056" s="80"/>
      <c r="B1056" s="81"/>
      <c r="C1056" s="642"/>
      <c r="D1056" s="81"/>
      <c r="E1056" s="81"/>
      <c r="F1056" s="81"/>
      <c r="G1056" s="81"/>
      <c r="H1056" s="81"/>
      <c r="I1056" s="80"/>
      <c r="J1056" s="81"/>
      <c r="K1056" s="80"/>
      <c r="L1056" s="81"/>
      <c r="M1056" s="642"/>
      <c r="N1056" s="81"/>
      <c r="O1056" s="642"/>
      <c r="P1056" s="81"/>
      <c r="Q1056" s="80"/>
      <c r="R1056" s="81"/>
      <c r="S1056" s="81"/>
      <c r="T1056" s="81"/>
    </row>
    <row r="1057" customHeight="1" spans="1:20">
      <c r="A1057" s="80"/>
      <c r="B1057" s="81"/>
      <c r="C1057" s="642"/>
      <c r="D1057" s="81"/>
      <c r="E1057" s="81"/>
      <c r="F1057" s="81"/>
      <c r="G1057" s="81"/>
      <c r="H1057" s="81"/>
      <c r="I1057" s="80"/>
      <c r="J1057" s="81"/>
      <c r="K1057" s="80"/>
      <c r="L1057" s="81"/>
      <c r="M1057" s="642"/>
      <c r="N1057" s="81"/>
      <c r="O1057" s="642"/>
      <c r="P1057" s="81"/>
      <c r="Q1057" s="80"/>
      <c r="R1057" s="81"/>
      <c r="S1057" s="81"/>
      <c r="T1057" s="81"/>
    </row>
    <row r="1058" customHeight="1" spans="1:20">
      <c r="A1058" s="80"/>
      <c r="B1058" s="81"/>
      <c r="C1058" s="642"/>
      <c r="D1058" s="81"/>
      <c r="E1058" s="81"/>
      <c r="F1058" s="81"/>
      <c r="G1058" s="81"/>
      <c r="H1058" s="81"/>
      <c r="I1058" s="80"/>
      <c r="J1058" s="81"/>
      <c r="K1058" s="80"/>
      <c r="L1058" s="81"/>
      <c r="M1058" s="642"/>
      <c r="N1058" s="81"/>
      <c r="O1058" s="642"/>
      <c r="P1058" s="81"/>
      <c r="Q1058" s="80"/>
      <c r="R1058" s="81"/>
      <c r="S1058" s="81"/>
      <c r="T1058" s="81"/>
    </row>
    <row r="1059" customHeight="1" spans="1:20">
      <c r="A1059" s="80"/>
      <c r="B1059" s="81"/>
      <c r="C1059" s="642"/>
      <c r="D1059" s="81"/>
      <c r="E1059" s="81"/>
      <c r="F1059" s="81"/>
      <c r="G1059" s="81"/>
      <c r="H1059" s="81"/>
      <c r="I1059" s="80"/>
      <c r="J1059" s="81"/>
      <c r="K1059" s="80"/>
      <c r="L1059" s="81"/>
      <c r="M1059" s="642"/>
      <c r="N1059" s="81"/>
      <c r="O1059" s="642"/>
      <c r="P1059" s="81"/>
      <c r="Q1059" s="80"/>
      <c r="R1059" s="81"/>
      <c r="S1059" s="81"/>
      <c r="T1059" s="81"/>
    </row>
    <row r="1060" customHeight="1" spans="1:20">
      <c r="A1060" s="80"/>
      <c r="B1060" s="81"/>
      <c r="C1060" s="642"/>
      <c r="D1060" s="81"/>
      <c r="E1060" s="81"/>
      <c r="F1060" s="81"/>
      <c r="G1060" s="81"/>
      <c r="H1060" s="81"/>
      <c r="I1060" s="80"/>
      <c r="J1060" s="81"/>
      <c r="K1060" s="80"/>
      <c r="L1060" s="81"/>
      <c r="M1060" s="642"/>
      <c r="N1060" s="81"/>
      <c r="O1060" s="642"/>
      <c r="P1060" s="81"/>
      <c r="Q1060" s="80"/>
      <c r="R1060" s="81"/>
      <c r="S1060" s="81"/>
      <c r="T1060" s="81"/>
    </row>
    <row r="1061" customHeight="1" spans="1:20">
      <c r="A1061" s="80"/>
      <c r="B1061" s="81"/>
      <c r="C1061" s="642"/>
      <c r="D1061" s="81"/>
      <c r="E1061" s="81"/>
      <c r="F1061" s="81"/>
      <c r="G1061" s="81"/>
      <c r="H1061" s="81"/>
      <c r="I1061" s="80"/>
      <c r="J1061" s="81"/>
      <c r="K1061" s="80"/>
      <c r="L1061" s="81"/>
      <c r="M1061" s="642"/>
      <c r="N1061" s="81"/>
      <c r="O1061" s="642"/>
      <c r="P1061" s="81"/>
      <c r="Q1061" s="80"/>
      <c r="R1061" s="81"/>
      <c r="S1061" s="81"/>
      <c r="T1061" s="81"/>
    </row>
    <row r="1062" customHeight="1" spans="1:20">
      <c r="A1062" s="80"/>
      <c r="B1062" s="81"/>
      <c r="C1062" s="642"/>
      <c r="D1062" s="81"/>
      <c r="E1062" s="81"/>
      <c r="F1062" s="81"/>
      <c r="G1062" s="81"/>
      <c r="H1062" s="81"/>
      <c r="I1062" s="80"/>
      <c r="J1062" s="81"/>
      <c r="K1062" s="80"/>
      <c r="L1062" s="81"/>
      <c r="M1062" s="642"/>
      <c r="N1062" s="81"/>
      <c r="O1062" s="642"/>
      <c r="P1062" s="81"/>
      <c r="Q1062" s="80"/>
      <c r="R1062" s="81"/>
      <c r="S1062" s="81"/>
      <c r="T1062" s="81"/>
    </row>
    <row r="1063" customHeight="1" spans="1:20">
      <c r="A1063" s="80"/>
      <c r="B1063" s="81"/>
      <c r="C1063" s="642"/>
      <c r="D1063" s="81"/>
      <c r="E1063" s="81"/>
      <c r="F1063" s="81"/>
      <c r="G1063" s="81"/>
      <c r="H1063" s="81"/>
      <c r="I1063" s="80"/>
      <c r="J1063" s="81"/>
      <c r="K1063" s="80"/>
      <c r="L1063" s="81"/>
      <c r="M1063" s="642"/>
      <c r="N1063" s="81"/>
      <c r="O1063" s="642"/>
      <c r="P1063" s="81"/>
      <c r="Q1063" s="80"/>
      <c r="R1063" s="81"/>
      <c r="S1063" s="81"/>
      <c r="T1063" s="81"/>
    </row>
    <row r="1064" customHeight="1" spans="1:20">
      <c r="A1064" s="80"/>
      <c r="B1064" s="81"/>
      <c r="C1064" s="642"/>
      <c r="D1064" s="81"/>
      <c r="E1064" s="81"/>
      <c r="F1064" s="81"/>
      <c r="G1064" s="81"/>
      <c r="H1064" s="81"/>
      <c r="I1064" s="80"/>
      <c r="J1064" s="81"/>
      <c r="K1064" s="80"/>
      <c r="L1064" s="81"/>
      <c r="M1064" s="642"/>
      <c r="N1064" s="81"/>
      <c r="O1064" s="642"/>
      <c r="P1064" s="81"/>
      <c r="Q1064" s="80"/>
      <c r="R1064" s="81"/>
      <c r="S1064" s="81"/>
      <c r="T1064" s="81"/>
    </row>
    <row r="1065" customHeight="1" spans="1:20">
      <c r="A1065" s="80"/>
      <c r="B1065" s="81"/>
      <c r="C1065" s="642"/>
      <c r="D1065" s="81"/>
      <c r="E1065" s="81"/>
      <c r="F1065" s="81"/>
      <c r="G1065" s="81"/>
      <c r="H1065" s="81"/>
      <c r="I1065" s="80"/>
      <c r="J1065" s="81"/>
      <c r="K1065" s="80"/>
      <c r="L1065" s="81"/>
      <c r="M1065" s="642"/>
      <c r="N1065" s="81"/>
      <c r="O1065" s="642"/>
      <c r="P1065" s="81"/>
      <c r="Q1065" s="80"/>
      <c r="R1065" s="81"/>
      <c r="S1065" s="81"/>
      <c r="T1065" s="81"/>
    </row>
    <row r="1066" customHeight="1" spans="1:20">
      <c r="A1066" s="80"/>
      <c r="B1066" s="81"/>
      <c r="C1066" s="642"/>
      <c r="D1066" s="81"/>
      <c r="E1066" s="81"/>
      <c r="F1066" s="81"/>
      <c r="G1066" s="81"/>
      <c r="H1066" s="81"/>
      <c r="I1066" s="80"/>
      <c r="J1066" s="81"/>
      <c r="K1066" s="80"/>
      <c r="L1066" s="81"/>
      <c r="M1066" s="642"/>
      <c r="N1066" s="81"/>
      <c r="O1066" s="642"/>
      <c r="P1066" s="81"/>
      <c r="Q1066" s="80"/>
      <c r="R1066" s="81"/>
      <c r="S1066" s="81"/>
      <c r="T1066" s="81"/>
    </row>
    <row r="1067" customHeight="1" spans="1:20">
      <c r="A1067" s="80"/>
      <c r="B1067" s="81"/>
      <c r="C1067" s="642"/>
      <c r="D1067" s="81"/>
      <c r="E1067" s="81"/>
      <c r="F1067" s="81"/>
      <c r="G1067" s="81"/>
      <c r="H1067" s="81"/>
      <c r="I1067" s="80"/>
      <c r="J1067" s="81"/>
      <c r="K1067" s="80"/>
      <c r="L1067" s="81"/>
      <c r="M1067" s="642"/>
      <c r="N1067" s="81"/>
      <c r="O1067" s="642"/>
      <c r="P1067" s="81"/>
      <c r="Q1067" s="80"/>
      <c r="R1067" s="81"/>
      <c r="S1067" s="81"/>
      <c r="T1067" s="81"/>
    </row>
    <row r="1068" customHeight="1" spans="1:20">
      <c r="A1068" s="80"/>
      <c r="B1068" s="81"/>
      <c r="C1068" s="642"/>
      <c r="D1068" s="81"/>
      <c r="E1068" s="81"/>
      <c r="F1068" s="81"/>
      <c r="G1068" s="81"/>
      <c r="H1068" s="81"/>
      <c r="I1068" s="80"/>
      <c r="J1068" s="81"/>
      <c r="K1068" s="80"/>
      <c r="L1068" s="81"/>
      <c r="M1068" s="642"/>
      <c r="N1068" s="81"/>
      <c r="O1068" s="642"/>
      <c r="P1068" s="81"/>
      <c r="Q1068" s="80"/>
      <c r="R1068" s="81"/>
      <c r="S1068" s="81"/>
      <c r="T1068" s="81"/>
    </row>
    <row r="1069" customHeight="1" spans="1:20">
      <c r="A1069" s="80"/>
      <c r="B1069" s="81"/>
      <c r="C1069" s="642"/>
      <c r="D1069" s="81"/>
      <c r="E1069" s="81"/>
      <c r="F1069" s="81"/>
      <c r="G1069" s="81"/>
      <c r="H1069" s="81"/>
      <c r="I1069" s="80"/>
      <c r="J1069" s="81"/>
      <c r="K1069" s="80"/>
      <c r="L1069" s="81"/>
      <c r="M1069" s="642"/>
      <c r="N1069" s="81"/>
      <c r="O1069" s="642"/>
      <c r="P1069" s="81"/>
      <c r="Q1069" s="80"/>
      <c r="R1069" s="81"/>
      <c r="S1069" s="81"/>
      <c r="T1069" s="81"/>
    </row>
    <row r="1070" customHeight="1" spans="1:20">
      <c r="A1070" s="80"/>
      <c r="B1070" s="81"/>
      <c r="C1070" s="642"/>
      <c r="D1070" s="81"/>
      <c r="E1070" s="81"/>
      <c r="F1070" s="81"/>
      <c r="G1070" s="81"/>
      <c r="H1070" s="81"/>
      <c r="I1070" s="80"/>
      <c r="J1070" s="81"/>
      <c r="K1070" s="80"/>
      <c r="L1070" s="81"/>
      <c r="M1070" s="642"/>
      <c r="N1070" s="81"/>
      <c r="O1070" s="642"/>
      <c r="P1070" s="81"/>
      <c r="Q1070" s="80"/>
      <c r="R1070" s="81"/>
      <c r="S1070" s="81"/>
      <c r="T1070" s="81"/>
    </row>
    <row r="1071" customHeight="1" spans="1:20">
      <c r="A1071" s="80"/>
      <c r="B1071" s="81"/>
      <c r="C1071" s="642"/>
      <c r="D1071" s="81"/>
      <c r="E1071" s="81"/>
      <c r="F1071" s="81"/>
      <c r="G1071" s="81"/>
      <c r="H1071" s="81"/>
      <c r="I1071" s="80"/>
      <c r="J1071" s="81"/>
      <c r="K1071" s="80"/>
      <c r="L1071" s="81"/>
      <c r="M1071" s="642"/>
      <c r="N1071" s="81"/>
      <c r="O1071" s="642"/>
      <c r="P1071" s="81"/>
      <c r="Q1071" s="80"/>
      <c r="R1071" s="81"/>
      <c r="S1071" s="81"/>
      <c r="T1071" s="81"/>
    </row>
    <row r="1072" customHeight="1" spans="1:20">
      <c r="A1072" s="80"/>
      <c r="B1072" s="81"/>
      <c r="C1072" s="642"/>
      <c r="D1072" s="81"/>
      <c r="E1072" s="81"/>
      <c r="F1072" s="81"/>
      <c r="G1072" s="81"/>
      <c r="H1072" s="81"/>
      <c r="I1072" s="80"/>
      <c r="J1072" s="81"/>
      <c r="K1072" s="80"/>
      <c r="L1072" s="81"/>
      <c r="M1072" s="642"/>
      <c r="N1072" s="81"/>
      <c r="O1072" s="642"/>
      <c r="P1072" s="81"/>
      <c r="Q1072" s="80"/>
      <c r="R1072" s="81"/>
      <c r="S1072" s="81"/>
      <c r="T1072" s="81"/>
    </row>
    <row r="1073" customHeight="1" spans="1:20">
      <c r="A1073" s="80"/>
      <c r="B1073" s="81"/>
      <c r="C1073" s="642"/>
      <c r="D1073" s="81"/>
      <c r="E1073" s="81"/>
      <c r="F1073" s="81"/>
      <c r="G1073" s="81"/>
      <c r="H1073" s="81"/>
      <c r="I1073" s="80"/>
      <c r="J1073" s="81"/>
      <c r="K1073" s="80"/>
      <c r="L1073" s="81"/>
      <c r="M1073" s="642"/>
      <c r="N1073" s="81"/>
      <c r="O1073" s="642"/>
      <c r="P1073" s="81"/>
      <c r="Q1073" s="80"/>
      <c r="R1073" s="81"/>
      <c r="S1073" s="81"/>
      <c r="T1073" s="81"/>
    </row>
    <row r="1074" customHeight="1" spans="1:20">
      <c r="A1074" s="80"/>
      <c r="B1074" s="81"/>
      <c r="C1074" s="642"/>
      <c r="D1074" s="81"/>
      <c r="E1074" s="81"/>
      <c r="F1074" s="81"/>
      <c r="G1074" s="81"/>
      <c r="H1074" s="81"/>
      <c r="I1074" s="80"/>
      <c r="J1074" s="81"/>
      <c r="K1074" s="80"/>
      <c r="L1074" s="81"/>
      <c r="M1074" s="642"/>
      <c r="N1074" s="81"/>
      <c r="O1074" s="642"/>
      <c r="P1074" s="81"/>
      <c r="Q1074" s="80"/>
      <c r="R1074" s="81"/>
      <c r="S1074" s="81"/>
      <c r="T1074" s="81"/>
    </row>
    <row r="1075" customHeight="1" spans="1:20">
      <c r="A1075" s="80"/>
      <c r="B1075" s="81"/>
      <c r="C1075" s="642"/>
      <c r="D1075" s="81"/>
      <c r="E1075" s="81"/>
      <c r="F1075" s="81"/>
      <c r="G1075" s="81"/>
      <c r="H1075" s="81"/>
      <c r="I1075" s="80"/>
      <c r="J1075" s="81"/>
      <c r="K1075" s="80"/>
      <c r="L1075" s="81"/>
      <c r="M1075" s="642"/>
      <c r="N1075" s="81"/>
      <c r="O1075" s="642"/>
      <c r="P1075" s="81"/>
      <c r="Q1075" s="80"/>
      <c r="R1075" s="81"/>
      <c r="S1075" s="81"/>
      <c r="T1075" s="81"/>
    </row>
    <row r="1076" customHeight="1" spans="1:20">
      <c r="A1076" s="80"/>
      <c r="B1076" s="81"/>
      <c r="C1076" s="642"/>
      <c r="D1076" s="81"/>
      <c r="E1076" s="81"/>
      <c r="F1076" s="81"/>
      <c r="G1076" s="81"/>
      <c r="H1076" s="81"/>
      <c r="I1076" s="80"/>
      <c r="J1076" s="81"/>
      <c r="K1076" s="80"/>
      <c r="L1076" s="81"/>
      <c r="M1076" s="642"/>
      <c r="N1076" s="81"/>
      <c r="O1076" s="642"/>
      <c r="P1076" s="81"/>
      <c r="Q1076" s="80"/>
      <c r="R1076" s="81"/>
      <c r="S1076" s="81"/>
      <c r="T1076" s="81"/>
    </row>
    <row r="1077" customHeight="1" spans="1:20">
      <c r="A1077" s="80"/>
      <c r="B1077" s="81"/>
      <c r="C1077" s="642"/>
      <c r="D1077" s="81"/>
      <c r="E1077" s="81"/>
      <c r="F1077" s="81"/>
      <c r="G1077" s="81"/>
      <c r="H1077" s="81"/>
      <c r="I1077" s="80"/>
      <c r="J1077" s="81"/>
      <c r="K1077" s="80"/>
      <c r="L1077" s="81"/>
      <c r="M1077" s="642"/>
      <c r="N1077" s="81"/>
      <c r="O1077" s="642"/>
      <c r="P1077" s="81"/>
      <c r="Q1077" s="80"/>
      <c r="R1077" s="81"/>
      <c r="S1077" s="81"/>
      <c r="T1077" s="81"/>
    </row>
    <row r="1078" customHeight="1" spans="1:20">
      <c r="A1078" s="80"/>
      <c r="B1078" s="81"/>
      <c r="C1078" s="642"/>
      <c r="D1078" s="81"/>
      <c r="E1078" s="81"/>
      <c r="F1078" s="81"/>
      <c r="G1078" s="81"/>
      <c r="H1078" s="81"/>
      <c r="I1078" s="80"/>
      <c r="J1078" s="81"/>
      <c r="K1078" s="80"/>
      <c r="L1078" s="81"/>
      <c r="M1078" s="642"/>
      <c r="N1078" s="81"/>
      <c r="O1078" s="642"/>
      <c r="P1078" s="81"/>
      <c r="Q1078" s="80"/>
      <c r="R1078" s="81"/>
      <c r="S1078" s="81"/>
      <c r="T1078" s="81"/>
    </row>
    <row r="1079" customHeight="1" spans="1:20">
      <c r="A1079" s="80"/>
      <c r="B1079" s="81"/>
      <c r="C1079" s="642"/>
      <c r="D1079" s="81"/>
      <c r="E1079" s="81"/>
      <c r="F1079" s="81"/>
      <c r="G1079" s="81"/>
      <c r="H1079" s="81"/>
      <c r="I1079" s="80"/>
      <c r="J1079" s="81"/>
      <c r="K1079" s="80"/>
      <c r="L1079" s="81"/>
      <c r="M1079" s="642"/>
      <c r="N1079" s="81"/>
      <c r="O1079" s="642"/>
      <c r="P1079" s="81"/>
      <c r="Q1079" s="80"/>
      <c r="R1079" s="81"/>
      <c r="S1079" s="81"/>
      <c r="T1079" s="81"/>
    </row>
    <row r="1080" customHeight="1" spans="1:20">
      <c r="A1080" s="80"/>
      <c r="B1080" s="81"/>
      <c r="C1080" s="642"/>
      <c r="D1080" s="81"/>
      <c r="E1080" s="81"/>
      <c r="F1080" s="81"/>
      <c r="G1080" s="81"/>
      <c r="H1080" s="81"/>
      <c r="I1080" s="80"/>
      <c r="J1080" s="81"/>
      <c r="K1080" s="80"/>
      <c r="L1080" s="81"/>
      <c r="M1080" s="642"/>
      <c r="N1080" s="81"/>
      <c r="O1080" s="642"/>
      <c r="P1080" s="81"/>
      <c r="Q1080" s="80"/>
      <c r="R1080" s="81"/>
      <c r="S1080" s="81"/>
      <c r="T1080" s="81"/>
    </row>
    <row r="1081" customHeight="1" spans="1:20">
      <c r="A1081" s="80"/>
      <c r="B1081" s="81"/>
      <c r="C1081" s="642"/>
      <c r="D1081" s="81"/>
      <c r="E1081" s="81"/>
      <c r="F1081" s="81"/>
      <c r="G1081" s="81"/>
      <c r="H1081" s="81"/>
      <c r="I1081" s="80"/>
      <c r="J1081" s="81"/>
      <c r="K1081" s="80"/>
      <c r="L1081" s="81"/>
      <c r="M1081" s="642"/>
      <c r="N1081" s="81"/>
      <c r="O1081" s="642"/>
      <c r="P1081" s="81"/>
      <c r="Q1081" s="80"/>
      <c r="R1081" s="81"/>
      <c r="S1081" s="81"/>
      <c r="T1081" s="81"/>
    </row>
    <row r="1082" customHeight="1" spans="1:20">
      <c r="A1082" s="80"/>
      <c r="B1082" s="81"/>
      <c r="C1082" s="642"/>
      <c r="D1082" s="81"/>
      <c r="E1082" s="81"/>
      <c r="F1082" s="81"/>
      <c r="G1082" s="81"/>
      <c r="H1082" s="81"/>
      <c r="I1082" s="80"/>
      <c r="J1082" s="81"/>
      <c r="K1082" s="80"/>
      <c r="L1082" s="81"/>
      <c r="M1082" s="642"/>
      <c r="N1082" s="81"/>
      <c r="O1082" s="642"/>
      <c r="P1082" s="81"/>
      <c r="Q1082" s="80"/>
      <c r="R1082" s="81"/>
      <c r="S1082" s="81"/>
      <c r="T1082" s="81"/>
    </row>
    <row r="1083" customHeight="1" spans="1:20">
      <c r="A1083" s="80"/>
      <c r="B1083" s="81"/>
      <c r="C1083" s="642"/>
      <c r="D1083" s="81"/>
      <c r="E1083" s="81"/>
      <c r="F1083" s="81"/>
      <c r="G1083" s="81"/>
      <c r="H1083" s="81"/>
      <c r="I1083" s="80"/>
      <c r="J1083" s="81"/>
      <c r="K1083" s="80"/>
      <c r="L1083" s="81"/>
      <c r="M1083" s="642"/>
      <c r="N1083" s="81"/>
      <c r="O1083" s="642"/>
      <c r="P1083" s="81"/>
      <c r="Q1083" s="80"/>
      <c r="R1083" s="81"/>
      <c r="S1083" s="81"/>
      <c r="T1083" s="81"/>
    </row>
    <row r="1084" customHeight="1" spans="1:20">
      <c r="A1084" s="80"/>
      <c r="B1084" s="81"/>
      <c r="C1084" s="642"/>
      <c r="D1084" s="81"/>
      <c r="E1084" s="81"/>
      <c r="F1084" s="81"/>
      <c r="G1084" s="81"/>
      <c r="H1084" s="81"/>
      <c r="I1084" s="80"/>
      <c r="J1084" s="81"/>
      <c r="K1084" s="80"/>
      <c r="L1084" s="81"/>
      <c r="M1084" s="642"/>
      <c r="N1084" s="81"/>
      <c r="O1084" s="642"/>
      <c r="P1084" s="81"/>
      <c r="Q1084" s="80"/>
      <c r="R1084" s="81"/>
      <c r="S1084" s="81"/>
      <c r="T1084" s="81"/>
    </row>
    <row r="1085" customHeight="1" spans="1:20">
      <c r="A1085" s="80"/>
      <c r="B1085" s="81"/>
      <c r="C1085" s="642"/>
      <c r="D1085" s="81"/>
      <c r="E1085" s="81"/>
      <c r="F1085" s="81"/>
      <c r="G1085" s="81"/>
      <c r="H1085" s="81"/>
      <c r="I1085" s="80"/>
      <c r="J1085" s="81"/>
      <c r="K1085" s="80"/>
      <c r="L1085" s="81"/>
      <c r="M1085" s="642"/>
      <c r="N1085" s="81"/>
      <c r="O1085" s="642"/>
      <c r="P1085" s="81"/>
      <c r="Q1085" s="80"/>
      <c r="R1085" s="81"/>
      <c r="S1085" s="81"/>
      <c r="T1085" s="81"/>
    </row>
    <row r="1086" customHeight="1" spans="1:20">
      <c r="A1086" s="80"/>
      <c r="B1086" s="81"/>
      <c r="C1086" s="642"/>
      <c r="D1086" s="81"/>
      <c r="E1086" s="81"/>
      <c r="F1086" s="81"/>
      <c r="G1086" s="81"/>
      <c r="H1086" s="81"/>
      <c r="I1086" s="80"/>
      <c r="J1086" s="81"/>
      <c r="K1086" s="80"/>
      <c r="L1086" s="81"/>
      <c r="M1086" s="642"/>
      <c r="N1086" s="81"/>
      <c r="O1086" s="642"/>
      <c r="P1086" s="81"/>
      <c r="Q1086" s="80"/>
      <c r="R1086" s="81"/>
      <c r="S1086" s="81"/>
      <c r="T1086" s="81"/>
    </row>
    <row r="1087" customHeight="1" spans="1:20">
      <c r="A1087" s="80"/>
      <c r="B1087" s="81"/>
      <c r="C1087" s="642"/>
      <c r="D1087" s="81"/>
      <c r="E1087" s="81"/>
      <c r="F1087" s="81"/>
      <c r="G1087" s="81"/>
      <c r="H1087" s="81"/>
      <c r="I1087" s="80"/>
      <c r="J1087" s="81"/>
      <c r="K1087" s="80"/>
      <c r="L1087" s="81"/>
      <c r="M1087" s="642"/>
      <c r="N1087" s="81"/>
      <c r="O1087" s="642"/>
      <c r="P1087" s="81"/>
      <c r="Q1087" s="80"/>
      <c r="R1087" s="81"/>
      <c r="S1087" s="81"/>
      <c r="T1087" s="81"/>
    </row>
    <row r="1088" customHeight="1" spans="1:20">
      <c r="A1088" s="80"/>
      <c r="B1088" s="81"/>
      <c r="C1088" s="642"/>
      <c r="D1088" s="81"/>
      <c r="E1088" s="81"/>
      <c r="F1088" s="81"/>
      <c r="G1088" s="81"/>
      <c r="H1088" s="81"/>
      <c r="I1088" s="80"/>
      <c r="J1088" s="81"/>
      <c r="K1088" s="80"/>
      <c r="L1088" s="81"/>
      <c r="M1088" s="642"/>
      <c r="N1088" s="81"/>
      <c r="O1088" s="642"/>
      <c r="P1088" s="81"/>
      <c r="Q1088" s="80"/>
      <c r="R1088" s="81"/>
      <c r="S1088" s="81"/>
      <c r="T1088" s="81"/>
    </row>
    <row r="1089" customHeight="1" spans="1:20">
      <c r="A1089" s="80"/>
      <c r="B1089" s="81"/>
      <c r="C1089" s="642"/>
      <c r="D1089" s="81"/>
      <c r="E1089" s="81"/>
      <c r="F1089" s="81"/>
      <c r="G1089" s="81"/>
      <c r="H1089" s="81"/>
      <c r="I1089" s="80"/>
      <c r="J1089" s="81"/>
      <c r="K1089" s="80"/>
      <c r="L1089" s="81"/>
      <c r="M1089" s="642"/>
      <c r="N1089" s="81"/>
      <c r="O1089" s="642"/>
      <c r="P1089" s="81"/>
      <c r="Q1089" s="80"/>
      <c r="R1089" s="81"/>
      <c r="S1089" s="81"/>
      <c r="T1089" s="81"/>
    </row>
    <row r="1090" customHeight="1" spans="1:20">
      <c r="A1090" s="80"/>
      <c r="B1090" s="81"/>
      <c r="C1090" s="642"/>
      <c r="D1090" s="81"/>
      <c r="E1090" s="81"/>
      <c r="F1090" s="81"/>
      <c r="G1090" s="81"/>
      <c r="H1090" s="81"/>
      <c r="I1090" s="80"/>
      <c r="J1090" s="81"/>
      <c r="K1090" s="80"/>
      <c r="L1090" s="81"/>
      <c r="M1090" s="642"/>
      <c r="N1090" s="81"/>
      <c r="O1090" s="642"/>
      <c r="P1090" s="81"/>
      <c r="Q1090" s="80"/>
      <c r="R1090" s="81"/>
      <c r="S1090" s="81"/>
      <c r="T1090" s="81"/>
    </row>
    <row r="1091" customHeight="1" spans="1:20">
      <c r="A1091" s="80"/>
      <c r="B1091" s="81"/>
      <c r="C1091" s="642"/>
      <c r="D1091" s="81"/>
      <c r="E1091" s="81"/>
      <c r="F1091" s="81"/>
      <c r="G1091" s="81"/>
      <c r="H1091" s="81"/>
      <c r="I1091" s="80"/>
      <c r="J1091" s="81"/>
      <c r="K1091" s="80"/>
      <c r="L1091" s="81"/>
      <c r="M1091" s="642"/>
      <c r="N1091" s="81"/>
      <c r="O1091" s="642"/>
      <c r="P1091" s="81"/>
      <c r="Q1091" s="80"/>
      <c r="R1091" s="81"/>
      <c r="S1091" s="81"/>
      <c r="T1091" s="81"/>
    </row>
    <row r="1092" customHeight="1" spans="1:20">
      <c r="A1092" s="80"/>
      <c r="B1092" s="81"/>
      <c r="C1092" s="642"/>
      <c r="D1092" s="81"/>
      <c r="E1092" s="81"/>
      <c r="F1092" s="81"/>
      <c r="G1092" s="81"/>
      <c r="H1092" s="81"/>
      <c r="I1092" s="80"/>
      <c r="J1092" s="81"/>
      <c r="K1092" s="80"/>
      <c r="L1092" s="81"/>
      <c r="M1092" s="642"/>
      <c r="N1092" s="81"/>
      <c r="O1092" s="642"/>
      <c r="P1092" s="81"/>
      <c r="Q1092" s="80"/>
      <c r="R1092" s="81"/>
      <c r="S1092" s="81"/>
      <c r="T1092" s="81"/>
    </row>
    <row r="1093" customHeight="1" spans="1:20">
      <c r="A1093" s="80"/>
      <c r="B1093" s="81"/>
      <c r="C1093" s="642"/>
      <c r="D1093" s="81"/>
      <c r="E1093" s="81"/>
      <c r="F1093" s="81"/>
      <c r="G1093" s="81"/>
      <c r="H1093" s="81"/>
      <c r="I1093" s="80"/>
      <c r="J1093" s="81"/>
      <c r="K1093" s="80"/>
      <c r="L1093" s="81"/>
      <c r="M1093" s="642"/>
      <c r="N1093" s="81"/>
      <c r="O1093" s="642"/>
      <c r="P1093" s="81"/>
      <c r="Q1093" s="80"/>
      <c r="R1093" s="81"/>
      <c r="S1093" s="81"/>
      <c r="T1093" s="81"/>
    </row>
    <row r="1094" customHeight="1" spans="1:20">
      <c r="A1094" s="80"/>
      <c r="B1094" s="81"/>
      <c r="C1094" s="642"/>
      <c r="D1094" s="81"/>
      <c r="E1094" s="81"/>
      <c r="F1094" s="81"/>
      <c r="G1094" s="81"/>
      <c r="H1094" s="81"/>
      <c r="I1094" s="80"/>
      <c r="J1094" s="81"/>
      <c r="K1094" s="80"/>
      <c r="L1094" s="81"/>
      <c r="M1094" s="642"/>
      <c r="N1094" s="81"/>
      <c r="O1094" s="642"/>
      <c r="P1094" s="81"/>
      <c r="Q1094" s="80"/>
      <c r="R1094" s="81"/>
      <c r="S1094" s="81"/>
      <c r="T1094" s="81"/>
    </row>
    <row r="1095" customHeight="1" spans="1:20">
      <c r="A1095" s="80"/>
      <c r="B1095" s="81"/>
      <c r="C1095" s="642"/>
      <c r="D1095" s="81"/>
      <c r="E1095" s="81"/>
      <c r="F1095" s="81"/>
      <c r="G1095" s="81"/>
      <c r="H1095" s="81"/>
      <c r="I1095" s="80"/>
      <c r="J1095" s="81"/>
      <c r="K1095" s="80"/>
      <c r="L1095" s="81"/>
      <c r="M1095" s="642"/>
      <c r="N1095" s="81"/>
      <c r="O1095" s="642"/>
      <c r="P1095" s="81"/>
      <c r="Q1095" s="80"/>
      <c r="R1095" s="81"/>
      <c r="S1095" s="81"/>
      <c r="T1095" s="81"/>
    </row>
    <row r="1096" customHeight="1" spans="1:20">
      <c r="A1096" s="80"/>
      <c r="B1096" s="81"/>
      <c r="C1096" s="642"/>
      <c r="D1096" s="81"/>
      <c r="E1096" s="81"/>
      <c r="F1096" s="81"/>
      <c r="G1096" s="81"/>
      <c r="H1096" s="81"/>
      <c r="I1096" s="80"/>
      <c r="J1096" s="81"/>
      <c r="K1096" s="80"/>
      <c r="L1096" s="81"/>
      <c r="M1096" s="642"/>
      <c r="N1096" s="81"/>
      <c r="O1096" s="642"/>
      <c r="P1096" s="81"/>
      <c r="Q1096" s="80"/>
      <c r="R1096" s="81"/>
      <c r="S1096" s="81"/>
      <c r="T1096" s="81"/>
    </row>
    <row r="1097" customHeight="1" spans="1:20">
      <c r="A1097" s="80"/>
      <c r="B1097" s="81"/>
      <c r="C1097" s="642"/>
      <c r="D1097" s="81"/>
      <c r="E1097" s="81"/>
      <c r="F1097" s="81"/>
      <c r="G1097" s="81"/>
      <c r="H1097" s="81"/>
      <c r="I1097" s="80"/>
      <c r="J1097" s="81"/>
      <c r="K1097" s="80"/>
      <c r="L1097" s="81"/>
      <c r="M1097" s="642"/>
      <c r="N1097" s="81"/>
      <c r="O1097" s="642"/>
      <c r="P1097" s="81"/>
      <c r="Q1097" s="80"/>
      <c r="R1097" s="81"/>
      <c r="S1097" s="81"/>
      <c r="T1097" s="81"/>
    </row>
    <row r="1098" customHeight="1" spans="1:20">
      <c r="A1098" s="80"/>
      <c r="B1098" s="81"/>
      <c r="C1098" s="642"/>
      <c r="D1098" s="81"/>
      <c r="E1098" s="81"/>
      <c r="F1098" s="81"/>
      <c r="G1098" s="81"/>
      <c r="H1098" s="81"/>
      <c r="I1098" s="80"/>
      <c r="J1098" s="81"/>
      <c r="K1098" s="80"/>
      <c r="L1098" s="81"/>
      <c r="M1098" s="642"/>
      <c r="N1098" s="81"/>
      <c r="O1098" s="642"/>
      <c r="P1098" s="81"/>
      <c r="Q1098" s="80"/>
      <c r="R1098" s="81"/>
      <c r="S1098" s="81"/>
      <c r="T1098" s="81"/>
    </row>
    <row r="1099" customHeight="1" spans="1:20">
      <c r="A1099" s="80"/>
      <c r="B1099" s="81"/>
      <c r="C1099" s="642"/>
      <c r="D1099" s="81"/>
      <c r="E1099" s="81"/>
      <c r="F1099" s="81"/>
      <c r="G1099" s="81"/>
      <c r="H1099" s="81"/>
      <c r="I1099" s="80"/>
      <c r="J1099" s="81"/>
      <c r="K1099" s="80"/>
      <c r="L1099" s="81"/>
      <c r="M1099" s="642"/>
      <c r="N1099" s="81"/>
      <c r="O1099" s="642"/>
      <c r="P1099" s="81"/>
      <c r="Q1099" s="80"/>
      <c r="R1099" s="81"/>
      <c r="S1099" s="81"/>
      <c r="T1099" s="81"/>
    </row>
    <row r="1100" customHeight="1" spans="1:20">
      <c r="A1100" s="80"/>
      <c r="B1100" s="81"/>
      <c r="C1100" s="642"/>
      <c r="D1100" s="81"/>
      <c r="E1100" s="81"/>
      <c r="F1100" s="81"/>
      <c r="G1100" s="81"/>
      <c r="H1100" s="81"/>
      <c r="I1100" s="80"/>
      <c r="J1100" s="81"/>
      <c r="K1100" s="80"/>
      <c r="L1100" s="81"/>
      <c r="M1100" s="642"/>
      <c r="N1100" s="81"/>
      <c r="O1100" s="642"/>
      <c r="P1100" s="81"/>
      <c r="Q1100" s="80"/>
      <c r="R1100" s="81"/>
      <c r="S1100" s="81"/>
      <c r="T1100" s="81"/>
    </row>
    <row r="1101" customHeight="1" spans="1:20">
      <c r="A1101" s="80"/>
      <c r="B1101" s="81"/>
      <c r="C1101" s="642"/>
      <c r="D1101" s="81"/>
      <c r="E1101" s="81"/>
      <c r="F1101" s="81"/>
      <c r="G1101" s="81"/>
      <c r="H1101" s="81"/>
      <c r="I1101" s="80"/>
      <c r="J1101" s="81"/>
      <c r="K1101" s="80"/>
      <c r="L1101" s="81"/>
      <c r="M1101" s="642"/>
      <c r="N1101" s="81"/>
      <c r="O1101" s="642"/>
      <c r="P1101" s="81"/>
      <c r="Q1101" s="80"/>
      <c r="R1101" s="81"/>
      <c r="S1101" s="81"/>
      <c r="T1101" s="81"/>
    </row>
    <row r="1102" customHeight="1" spans="1:20">
      <c r="A1102" s="80"/>
      <c r="B1102" s="81"/>
      <c r="C1102" s="642"/>
      <c r="D1102" s="81"/>
      <c r="E1102" s="81"/>
      <c r="F1102" s="81"/>
      <c r="G1102" s="81"/>
      <c r="H1102" s="81"/>
      <c r="I1102" s="80"/>
      <c r="J1102" s="81"/>
      <c r="K1102" s="80"/>
      <c r="L1102" s="81"/>
      <c r="M1102" s="642"/>
      <c r="N1102" s="81"/>
      <c r="O1102" s="642"/>
      <c r="P1102" s="81"/>
      <c r="Q1102" s="80"/>
      <c r="R1102" s="81"/>
      <c r="S1102" s="81"/>
      <c r="T1102" s="81"/>
    </row>
    <row r="1103" customHeight="1" spans="1:20">
      <c r="A1103" s="80"/>
      <c r="B1103" s="81"/>
      <c r="C1103" s="642"/>
      <c r="D1103" s="81"/>
      <c r="E1103" s="81"/>
      <c r="F1103" s="81"/>
      <c r="G1103" s="81"/>
      <c r="H1103" s="81"/>
      <c r="I1103" s="80"/>
      <c r="J1103" s="81"/>
      <c r="K1103" s="80"/>
      <c r="L1103" s="81"/>
      <c r="M1103" s="642"/>
      <c r="N1103" s="81"/>
      <c r="O1103" s="642"/>
      <c r="P1103" s="81"/>
      <c r="Q1103" s="80"/>
      <c r="R1103" s="81"/>
      <c r="S1103" s="81"/>
      <c r="T1103" s="81"/>
    </row>
    <row r="1104" customHeight="1" spans="1:20">
      <c r="A1104" s="80"/>
      <c r="B1104" s="81"/>
      <c r="C1104" s="642"/>
      <c r="D1104" s="81"/>
      <c r="E1104" s="81"/>
      <c r="F1104" s="81"/>
      <c r="G1104" s="81"/>
      <c r="H1104" s="81"/>
      <c r="I1104" s="80"/>
      <c r="J1104" s="81"/>
      <c r="K1104" s="80"/>
      <c r="L1104" s="81"/>
      <c r="M1104" s="642"/>
      <c r="N1104" s="81"/>
      <c r="O1104" s="642"/>
      <c r="P1104" s="81"/>
      <c r="Q1104" s="80"/>
      <c r="R1104" s="81"/>
      <c r="S1104" s="81"/>
      <c r="T1104" s="81"/>
    </row>
    <row r="1105" customHeight="1" spans="1:20">
      <c r="A1105" s="80"/>
      <c r="B1105" s="81"/>
      <c r="C1105" s="642"/>
      <c r="D1105" s="81"/>
      <c r="E1105" s="81"/>
      <c r="F1105" s="81"/>
      <c r="G1105" s="81"/>
      <c r="H1105" s="81"/>
      <c r="I1105" s="80"/>
      <c r="J1105" s="81"/>
      <c r="K1105" s="80"/>
      <c r="L1105" s="81"/>
      <c r="M1105" s="642"/>
      <c r="N1105" s="81"/>
      <c r="O1105" s="642"/>
      <c r="P1105" s="81"/>
      <c r="Q1105" s="80"/>
      <c r="R1105" s="81"/>
      <c r="S1105" s="81"/>
      <c r="T1105" s="81"/>
    </row>
    <row r="1106" customHeight="1" spans="1:20">
      <c r="A1106" s="80"/>
      <c r="B1106" s="81"/>
      <c r="C1106" s="642"/>
      <c r="D1106" s="81"/>
      <c r="E1106" s="81"/>
      <c r="F1106" s="81"/>
      <c r="G1106" s="81"/>
      <c r="H1106" s="81"/>
      <c r="I1106" s="80"/>
      <c r="J1106" s="81"/>
      <c r="K1106" s="80"/>
      <c r="L1106" s="81"/>
      <c r="M1106" s="642"/>
      <c r="N1106" s="81"/>
      <c r="O1106" s="642"/>
      <c r="P1106" s="81"/>
      <c r="Q1106" s="80"/>
      <c r="R1106" s="81"/>
      <c r="S1106" s="81"/>
      <c r="T1106" s="81"/>
    </row>
    <row r="1107" customHeight="1" spans="1:20">
      <c r="A1107" s="80"/>
      <c r="B1107" s="81"/>
      <c r="C1107" s="642"/>
      <c r="D1107" s="81"/>
      <c r="E1107" s="81"/>
      <c r="F1107" s="81"/>
      <c r="G1107" s="81"/>
      <c r="H1107" s="81"/>
      <c r="I1107" s="80"/>
      <c r="J1107" s="81"/>
      <c r="K1107" s="80"/>
      <c r="L1107" s="81"/>
      <c r="M1107" s="642"/>
      <c r="N1107" s="81"/>
      <c r="O1107" s="642"/>
      <c r="P1107" s="81"/>
      <c r="Q1107" s="80"/>
      <c r="R1107" s="81"/>
      <c r="S1107" s="81"/>
      <c r="T1107" s="81"/>
    </row>
    <row r="1108" customHeight="1" spans="1:20">
      <c r="A1108" s="80"/>
      <c r="B1108" s="81"/>
      <c r="C1108" s="642"/>
      <c r="D1108" s="81"/>
      <c r="E1108" s="81"/>
      <c r="F1108" s="81"/>
      <c r="G1108" s="81"/>
      <c r="H1108" s="81"/>
      <c r="I1108" s="80"/>
      <c r="J1108" s="81"/>
      <c r="K1108" s="80"/>
      <c r="L1108" s="81"/>
      <c r="M1108" s="642"/>
      <c r="N1108" s="81"/>
      <c r="O1108" s="642"/>
      <c r="P1108" s="81"/>
      <c r="Q1108" s="80"/>
      <c r="R1108" s="81"/>
      <c r="S1108" s="81"/>
      <c r="T1108" s="81"/>
    </row>
    <row r="1109" customHeight="1" spans="1:20">
      <c r="A1109" s="80"/>
      <c r="B1109" s="81"/>
      <c r="C1109" s="642"/>
      <c r="D1109" s="81"/>
      <c r="E1109" s="81"/>
      <c r="F1109" s="81"/>
      <c r="G1109" s="81"/>
      <c r="H1109" s="81"/>
      <c r="I1109" s="80"/>
      <c r="J1109" s="81"/>
      <c r="K1109" s="80"/>
      <c r="L1109" s="81"/>
      <c r="M1109" s="642"/>
      <c r="N1109" s="81"/>
      <c r="O1109" s="642"/>
      <c r="P1109" s="81"/>
      <c r="Q1109" s="80"/>
      <c r="R1109" s="81"/>
      <c r="S1109" s="81"/>
      <c r="T1109" s="81"/>
    </row>
    <row r="1110" customHeight="1" spans="1:20">
      <c r="A1110" s="80"/>
      <c r="B1110" s="81"/>
      <c r="C1110" s="642"/>
      <c r="D1110" s="81"/>
      <c r="E1110" s="81"/>
      <c r="F1110" s="81"/>
      <c r="G1110" s="81"/>
      <c r="H1110" s="81"/>
      <c r="I1110" s="80"/>
      <c r="J1110" s="81"/>
      <c r="K1110" s="80"/>
      <c r="L1110" s="81"/>
      <c r="M1110" s="642"/>
      <c r="N1110" s="81"/>
      <c r="O1110" s="642"/>
      <c r="P1110" s="81"/>
      <c r="Q1110" s="80"/>
      <c r="R1110" s="81"/>
      <c r="S1110" s="81"/>
      <c r="T1110" s="81"/>
    </row>
    <row r="1111" customHeight="1" spans="1:20">
      <c r="A1111" s="80"/>
      <c r="B1111" s="81"/>
      <c r="C1111" s="642"/>
      <c r="D1111" s="81"/>
      <c r="E1111" s="81"/>
      <c r="F1111" s="81"/>
      <c r="G1111" s="81"/>
      <c r="H1111" s="81"/>
      <c r="I1111" s="80"/>
      <c r="J1111" s="81"/>
      <c r="K1111" s="80"/>
      <c r="L1111" s="81"/>
      <c r="M1111" s="642"/>
      <c r="N1111" s="81"/>
      <c r="O1111" s="642"/>
      <c r="P1111" s="81"/>
      <c r="Q1111" s="80"/>
      <c r="R1111" s="81"/>
      <c r="S1111" s="81"/>
      <c r="T1111" s="81"/>
    </row>
    <row r="1112" customHeight="1" spans="1:20">
      <c r="A1112" s="80"/>
      <c r="B1112" s="81"/>
      <c r="C1112" s="642"/>
      <c r="D1112" s="81"/>
      <c r="E1112" s="81"/>
      <c r="F1112" s="81"/>
      <c r="G1112" s="81"/>
      <c r="H1112" s="81"/>
      <c r="I1112" s="80"/>
      <c r="J1112" s="81"/>
      <c r="K1112" s="80"/>
      <c r="L1112" s="81"/>
      <c r="M1112" s="642"/>
      <c r="N1112" s="81"/>
      <c r="O1112" s="642"/>
      <c r="P1112" s="81"/>
      <c r="Q1112" s="80"/>
      <c r="R1112" s="81"/>
      <c r="S1112" s="81"/>
      <c r="T1112" s="81"/>
    </row>
    <row r="1113" customHeight="1" spans="1:20">
      <c r="A1113" s="80"/>
      <c r="B1113" s="81"/>
      <c r="C1113" s="642"/>
      <c r="D1113" s="81"/>
      <c r="E1113" s="81"/>
      <c r="F1113" s="81"/>
      <c r="G1113" s="81"/>
      <c r="H1113" s="81"/>
      <c r="I1113" s="80"/>
      <c r="J1113" s="81"/>
      <c r="K1113" s="80"/>
      <c r="L1113" s="81"/>
      <c r="M1113" s="642"/>
      <c r="N1113" s="81"/>
      <c r="O1113" s="642"/>
      <c r="P1113" s="81"/>
      <c r="Q1113" s="80"/>
      <c r="R1113" s="81"/>
      <c r="S1113" s="81"/>
      <c r="T1113" s="81"/>
    </row>
    <row r="1114" customHeight="1" spans="1:20">
      <c r="A1114" s="80"/>
      <c r="B1114" s="81"/>
      <c r="C1114" s="642"/>
      <c r="D1114" s="81"/>
      <c r="E1114" s="81"/>
      <c r="F1114" s="81"/>
      <c r="G1114" s="81"/>
      <c r="H1114" s="81"/>
      <c r="I1114" s="80"/>
      <c r="J1114" s="81"/>
      <c r="K1114" s="80"/>
      <c r="L1114" s="81"/>
      <c r="M1114" s="642"/>
      <c r="N1114" s="81"/>
      <c r="O1114" s="642"/>
      <c r="P1114" s="81"/>
      <c r="Q1114" s="80"/>
      <c r="R1114" s="81"/>
      <c r="S1114" s="81"/>
      <c r="T1114" s="81"/>
    </row>
    <row r="1115" customHeight="1" spans="1:20">
      <c r="A1115" s="80"/>
      <c r="B1115" s="81"/>
      <c r="C1115" s="642"/>
      <c r="D1115" s="81"/>
      <c r="E1115" s="81"/>
      <c r="F1115" s="81"/>
      <c r="G1115" s="81"/>
      <c r="H1115" s="81"/>
      <c r="I1115" s="80"/>
      <c r="J1115" s="81"/>
      <c r="K1115" s="80"/>
      <c r="L1115" s="81"/>
      <c r="M1115" s="642"/>
      <c r="N1115" s="81"/>
      <c r="O1115" s="642"/>
      <c r="P1115" s="81"/>
      <c r="Q1115" s="80"/>
      <c r="R1115" s="81"/>
      <c r="S1115" s="81"/>
      <c r="T1115" s="81"/>
    </row>
    <row r="1116" customHeight="1" spans="1:20">
      <c r="A1116" s="80"/>
      <c r="B1116" s="81"/>
      <c r="C1116" s="642"/>
      <c r="D1116" s="81"/>
      <c r="E1116" s="81"/>
      <c r="F1116" s="81"/>
      <c r="G1116" s="81"/>
      <c r="H1116" s="81"/>
      <c r="I1116" s="80"/>
      <c r="J1116" s="81"/>
      <c r="K1116" s="80"/>
      <c r="L1116" s="81"/>
      <c r="M1116" s="642"/>
      <c r="N1116" s="81"/>
      <c r="O1116" s="642"/>
      <c r="P1116" s="81"/>
      <c r="Q1116" s="80"/>
      <c r="R1116" s="81"/>
      <c r="S1116" s="81"/>
      <c r="T1116" s="81"/>
    </row>
    <row r="1117" customHeight="1" spans="1:20">
      <c r="A1117" s="80"/>
      <c r="B1117" s="81"/>
      <c r="C1117" s="642"/>
      <c r="D1117" s="81"/>
      <c r="E1117" s="81"/>
      <c r="F1117" s="81"/>
      <c r="G1117" s="81"/>
      <c r="H1117" s="81"/>
      <c r="I1117" s="80"/>
      <c r="J1117" s="81"/>
      <c r="K1117" s="80"/>
      <c r="L1117" s="81"/>
      <c r="M1117" s="642"/>
      <c r="N1117" s="81"/>
      <c r="O1117" s="642"/>
      <c r="P1117" s="81"/>
      <c r="Q1117" s="80"/>
      <c r="R1117" s="81"/>
      <c r="S1117" s="81"/>
      <c r="T1117" s="81"/>
    </row>
    <row r="1118" customHeight="1" spans="1:20">
      <c r="A1118" s="80"/>
      <c r="B1118" s="81"/>
      <c r="C1118" s="642"/>
      <c r="D1118" s="81"/>
      <c r="E1118" s="81"/>
      <c r="F1118" s="81"/>
      <c r="G1118" s="81"/>
      <c r="H1118" s="81"/>
      <c r="I1118" s="80"/>
      <c r="J1118" s="81"/>
      <c r="K1118" s="80"/>
      <c r="L1118" s="81"/>
      <c r="M1118" s="642"/>
      <c r="N1118" s="81"/>
      <c r="O1118" s="642"/>
      <c r="P1118" s="81"/>
      <c r="Q1118" s="80"/>
      <c r="R1118" s="81"/>
      <c r="S1118" s="81"/>
      <c r="T1118" s="81"/>
    </row>
    <row r="1119" customHeight="1" spans="1:20">
      <c r="A1119" s="80"/>
      <c r="B1119" s="81"/>
      <c r="C1119" s="642"/>
      <c r="D1119" s="81"/>
      <c r="E1119" s="81"/>
      <c r="F1119" s="81"/>
      <c r="G1119" s="81"/>
      <c r="H1119" s="81"/>
      <c r="I1119" s="80"/>
      <c r="J1119" s="81"/>
      <c r="K1119" s="80"/>
      <c r="L1119" s="81"/>
      <c r="M1119" s="642"/>
      <c r="N1119" s="81"/>
      <c r="O1119" s="642"/>
      <c r="P1119" s="81"/>
      <c r="Q1119" s="80"/>
      <c r="R1119" s="81"/>
      <c r="S1119" s="81"/>
      <c r="T1119" s="81"/>
    </row>
    <row r="1120" customHeight="1" spans="1:20">
      <c r="A1120" s="80"/>
      <c r="B1120" s="81"/>
      <c r="C1120" s="642"/>
      <c r="D1120" s="81"/>
      <c r="E1120" s="81"/>
      <c r="F1120" s="81"/>
      <c r="G1120" s="81"/>
      <c r="H1120" s="81"/>
      <c r="I1120" s="80"/>
      <c r="J1120" s="81"/>
      <c r="K1120" s="80"/>
      <c r="L1120" s="81"/>
      <c r="M1120" s="642"/>
      <c r="N1120" s="81"/>
      <c r="O1120" s="642"/>
      <c r="P1120" s="81"/>
      <c r="Q1120" s="80"/>
      <c r="R1120" s="81"/>
      <c r="S1120" s="81"/>
      <c r="T1120" s="81"/>
    </row>
    <row r="1121" customHeight="1" spans="1:20">
      <c r="A1121" s="80"/>
      <c r="B1121" s="81"/>
      <c r="C1121" s="642"/>
      <c r="D1121" s="81"/>
      <c r="E1121" s="81"/>
      <c r="F1121" s="81"/>
      <c r="G1121" s="81"/>
      <c r="H1121" s="81"/>
      <c r="I1121" s="80"/>
      <c r="J1121" s="81"/>
      <c r="K1121" s="80"/>
      <c r="L1121" s="81"/>
      <c r="M1121" s="642"/>
      <c r="N1121" s="81"/>
      <c r="O1121" s="642"/>
      <c r="P1121" s="81"/>
      <c r="Q1121" s="80"/>
      <c r="R1121" s="81"/>
      <c r="S1121" s="81"/>
      <c r="T1121" s="81"/>
    </row>
    <row r="1122" customHeight="1" spans="1:20">
      <c r="A1122" s="80"/>
      <c r="B1122" s="81"/>
      <c r="C1122" s="642"/>
      <c r="D1122" s="81"/>
      <c r="E1122" s="81"/>
      <c r="F1122" s="81"/>
      <c r="G1122" s="81"/>
      <c r="H1122" s="81"/>
      <c r="I1122" s="80"/>
      <c r="J1122" s="81"/>
      <c r="K1122" s="80"/>
      <c r="L1122" s="81"/>
      <c r="M1122" s="642"/>
      <c r="N1122" s="81"/>
      <c r="O1122" s="642"/>
      <c r="P1122" s="81"/>
      <c r="Q1122" s="80"/>
      <c r="R1122" s="81"/>
      <c r="S1122" s="81"/>
      <c r="T1122" s="81"/>
    </row>
    <row r="1123" customHeight="1" spans="1:20">
      <c r="A1123" s="80"/>
      <c r="B1123" s="81"/>
      <c r="C1123" s="642"/>
      <c r="D1123" s="81"/>
      <c r="E1123" s="81"/>
      <c r="F1123" s="81"/>
      <c r="G1123" s="81"/>
      <c r="H1123" s="81"/>
      <c r="I1123" s="80"/>
      <c r="J1123" s="81"/>
      <c r="K1123" s="80"/>
      <c r="L1123" s="81"/>
      <c r="M1123" s="642"/>
      <c r="N1123" s="81"/>
      <c r="O1123" s="642"/>
      <c r="P1123" s="81"/>
      <c r="Q1123" s="80"/>
      <c r="R1123" s="81"/>
      <c r="S1123" s="81"/>
      <c r="T1123" s="81"/>
    </row>
    <row r="1124" customHeight="1" spans="1:20">
      <c r="A1124" s="80"/>
      <c r="B1124" s="81"/>
      <c r="C1124" s="642"/>
      <c r="D1124" s="81"/>
      <c r="E1124" s="81"/>
      <c r="F1124" s="81"/>
      <c r="G1124" s="81"/>
      <c r="H1124" s="81"/>
      <c r="I1124" s="80"/>
      <c r="J1124" s="81"/>
      <c r="K1124" s="80"/>
      <c r="L1124" s="81"/>
      <c r="M1124" s="642"/>
      <c r="N1124" s="81"/>
      <c r="O1124" s="642"/>
      <c r="P1124" s="81"/>
      <c r="Q1124" s="80"/>
      <c r="R1124" s="81"/>
      <c r="S1124" s="81"/>
      <c r="T1124" s="81"/>
    </row>
    <row r="1125" customHeight="1" spans="1:20">
      <c r="A1125" s="80"/>
      <c r="B1125" s="81"/>
      <c r="C1125" s="642"/>
      <c r="D1125" s="81"/>
      <c r="E1125" s="81"/>
      <c r="F1125" s="81"/>
      <c r="G1125" s="81"/>
      <c r="H1125" s="81"/>
      <c r="I1125" s="80"/>
      <c r="J1125" s="81"/>
      <c r="K1125" s="80"/>
      <c r="L1125" s="81"/>
      <c r="M1125" s="642"/>
      <c r="N1125" s="81"/>
      <c r="O1125" s="642"/>
      <c r="P1125" s="81"/>
      <c r="Q1125" s="80"/>
      <c r="R1125" s="81"/>
      <c r="S1125" s="81"/>
      <c r="T1125" s="81"/>
    </row>
    <row r="1126" customHeight="1" spans="1:20">
      <c r="A1126" s="80"/>
      <c r="B1126" s="81"/>
      <c r="C1126" s="642"/>
      <c r="D1126" s="81"/>
      <c r="E1126" s="81"/>
      <c r="F1126" s="81"/>
      <c r="G1126" s="81"/>
      <c r="H1126" s="81"/>
      <c r="I1126" s="80"/>
      <c r="J1126" s="81"/>
      <c r="K1126" s="80"/>
      <c r="L1126" s="81"/>
      <c r="M1126" s="642"/>
      <c r="N1126" s="81"/>
      <c r="O1126" s="642"/>
      <c r="P1126" s="81"/>
      <c r="Q1126" s="80"/>
      <c r="R1126" s="81"/>
      <c r="S1126" s="81"/>
      <c r="T1126" s="81"/>
    </row>
    <row r="1127" customHeight="1" spans="1:20">
      <c r="A1127" s="80"/>
      <c r="B1127" s="81"/>
      <c r="C1127" s="642"/>
      <c r="D1127" s="81"/>
      <c r="E1127" s="81"/>
      <c r="F1127" s="81"/>
      <c r="G1127" s="81"/>
      <c r="H1127" s="81"/>
      <c r="I1127" s="80"/>
      <c r="J1127" s="81"/>
      <c r="K1127" s="80"/>
      <c r="L1127" s="81"/>
      <c r="M1127" s="642"/>
      <c r="N1127" s="81"/>
      <c r="O1127" s="642"/>
      <c r="P1127" s="81"/>
      <c r="Q1127" s="80"/>
      <c r="R1127" s="81"/>
      <c r="S1127" s="81"/>
      <c r="T1127" s="81"/>
    </row>
    <row r="1128" customHeight="1" spans="1:20">
      <c r="A1128" s="80"/>
      <c r="B1128" s="81"/>
      <c r="C1128" s="642"/>
      <c r="D1128" s="81"/>
      <c r="E1128" s="81"/>
      <c r="F1128" s="81"/>
      <c r="G1128" s="81"/>
      <c r="H1128" s="81"/>
      <c r="I1128" s="80"/>
      <c r="J1128" s="81"/>
      <c r="K1128" s="80"/>
      <c r="L1128" s="81"/>
      <c r="M1128" s="642"/>
      <c r="N1128" s="81"/>
      <c r="O1128" s="642"/>
      <c r="P1128" s="81"/>
      <c r="Q1128" s="80"/>
      <c r="R1128" s="81"/>
      <c r="S1128" s="81"/>
      <c r="T1128" s="81"/>
    </row>
    <row r="1129" customHeight="1" spans="1:20">
      <c r="A1129" s="80"/>
      <c r="B1129" s="81"/>
      <c r="C1129" s="642"/>
      <c r="D1129" s="81"/>
      <c r="E1129" s="81"/>
      <c r="F1129" s="81"/>
      <c r="G1129" s="81"/>
      <c r="H1129" s="81"/>
      <c r="I1129" s="80"/>
      <c r="J1129" s="81"/>
      <c r="K1129" s="80"/>
      <c r="L1129" s="81"/>
      <c r="M1129" s="642"/>
      <c r="N1129" s="81"/>
      <c r="O1129" s="642"/>
      <c r="P1129" s="81"/>
      <c r="Q1129" s="80"/>
      <c r="R1129" s="81"/>
      <c r="S1129" s="81"/>
      <c r="T1129" s="81"/>
    </row>
    <row r="1130" customHeight="1" spans="1:20">
      <c r="A1130" s="80"/>
      <c r="B1130" s="81"/>
      <c r="C1130" s="642"/>
      <c r="D1130" s="81"/>
      <c r="E1130" s="81"/>
      <c r="F1130" s="81"/>
      <c r="G1130" s="81"/>
      <c r="H1130" s="81"/>
      <c r="I1130" s="80"/>
      <c r="J1130" s="81"/>
      <c r="K1130" s="80"/>
      <c r="L1130" s="81"/>
      <c r="M1130" s="642"/>
      <c r="N1130" s="81"/>
      <c r="O1130" s="642"/>
      <c r="P1130" s="81"/>
      <c r="Q1130" s="80"/>
      <c r="R1130" s="81"/>
      <c r="S1130" s="81"/>
      <c r="T1130" s="81"/>
    </row>
    <row r="1131" customHeight="1" spans="1:20">
      <c r="A1131" s="80"/>
      <c r="B1131" s="81"/>
      <c r="C1131" s="642"/>
      <c r="D1131" s="81"/>
      <c r="E1131" s="81"/>
      <c r="F1131" s="81"/>
      <c r="G1131" s="81"/>
      <c r="H1131" s="81"/>
      <c r="I1131" s="80"/>
      <c r="J1131" s="81"/>
      <c r="K1131" s="80"/>
      <c r="L1131" s="81"/>
      <c r="M1131" s="642"/>
      <c r="N1131" s="81"/>
      <c r="O1131" s="642"/>
      <c r="P1131" s="81"/>
      <c r="Q1131" s="80"/>
      <c r="R1131" s="81"/>
      <c r="S1131" s="81"/>
      <c r="T1131" s="81"/>
    </row>
    <row r="1132" customHeight="1" spans="1:20">
      <c r="A1132" s="80"/>
      <c r="B1132" s="81"/>
      <c r="C1132" s="642"/>
      <c r="D1132" s="81"/>
      <c r="E1132" s="81"/>
      <c r="F1132" s="81"/>
      <c r="G1132" s="81"/>
      <c r="H1132" s="81"/>
      <c r="I1132" s="80"/>
      <c r="J1132" s="81"/>
      <c r="K1132" s="80"/>
      <c r="L1132" s="81"/>
      <c r="M1132" s="642"/>
      <c r="N1132" s="81"/>
      <c r="O1132" s="642"/>
      <c r="P1132" s="81"/>
      <c r="Q1132" s="80"/>
      <c r="R1132" s="81"/>
      <c r="S1132" s="81"/>
      <c r="T1132" s="81"/>
    </row>
    <row r="1133" customHeight="1" spans="1:20">
      <c r="A1133" s="80"/>
      <c r="B1133" s="81"/>
      <c r="C1133" s="642"/>
      <c r="D1133" s="81"/>
      <c r="E1133" s="81"/>
      <c r="F1133" s="81"/>
      <c r="G1133" s="81"/>
      <c r="H1133" s="81"/>
      <c r="I1133" s="80"/>
      <c r="J1133" s="81"/>
      <c r="K1133" s="80"/>
      <c r="L1133" s="81"/>
      <c r="M1133" s="642"/>
      <c r="N1133" s="81"/>
      <c r="O1133" s="642"/>
      <c r="P1133" s="81"/>
      <c r="Q1133" s="80"/>
      <c r="R1133" s="81"/>
      <c r="S1133" s="81"/>
      <c r="T1133" s="81"/>
    </row>
    <row r="1134" customHeight="1" spans="1:20">
      <c r="A1134" s="80"/>
      <c r="B1134" s="81"/>
      <c r="C1134" s="642"/>
      <c r="D1134" s="81"/>
      <c r="E1134" s="81"/>
      <c r="F1134" s="81"/>
      <c r="G1134" s="81"/>
      <c r="H1134" s="81"/>
      <c r="I1134" s="80"/>
      <c r="J1134" s="81"/>
      <c r="K1134" s="80"/>
      <c r="L1134" s="81"/>
      <c r="M1134" s="642"/>
      <c r="N1134" s="81"/>
      <c r="O1134" s="642"/>
      <c r="P1134" s="81"/>
      <c r="Q1134" s="80"/>
      <c r="R1134" s="81"/>
      <c r="S1134" s="81"/>
      <c r="T1134" s="81"/>
    </row>
    <row r="1135" customHeight="1" spans="1:20">
      <c r="A1135" s="80"/>
      <c r="B1135" s="81"/>
      <c r="C1135" s="642"/>
      <c r="D1135" s="81"/>
      <c r="E1135" s="81"/>
      <c r="F1135" s="81"/>
      <c r="G1135" s="81"/>
      <c r="H1135" s="81"/>
      <c r="I1135" s="80"/>
      <c r="J1135" s="81"/>
      <c r="K1135" s="80"/>
      <c r="L1135" s="81"/>
      <c r="M1135" s="642"/>
      <c r="N1135" s="81"/>
      <c r="O1135" s="642"/>
      <c r="P1135" s="81"/>
      <c r="Q1135" s="80"/>
      <c r="R1135" s="81"/>
      <c r="S1135" s="81"/>
      <c r="T1135" s="81"/>
    </row>
    <row r="1136" customHeight="1" spans="1:20">
      <c r="A1136" s="80"/>
      <c r="B1136" s="81"/>
      <c r="C1136" s="642"/>
      <c r="D1136" s="81"/>
      <c r="E1136" s="81"/>
      <c r="F1136" s="81"/>
      <c r="G1136" s="81"/>
      <c r="H1136" s="81"/>
      <c r="I1136" s="80"/>
      <c r="J1136" s="81"/>
      <c r="K1136" s="80"/>
      <c r="L1136" s="81"/>
      <c r="M1136" s="642"/>
      <c r="N1136" s="81"/>
      <c r="O1136" s="642"/>
      <c r="P1136" s="81"/>
      <c r="Q1136" s="80"/>
      <c r="R1136" s="81"/>
      <c r="S1136" s="81"/>
      <c r="T1136" s="81"/>
    </row>
    <row r="1137" customHeight="1" spans="1:20">
      <c r="A1137" s="80"/>
      <c r="B1137" s="81"/>
      <c r="C1137" s="642"/>
      <c r="D1137" s="81"/>
      <c r="E1137" s="81"/>
      <c r="F1137" s="81"/>
      <c r="G1137" s="81"/>
      <c r="H1137" s="81"/>
      <c r="I1137" s="80"/>
      <c r="J1137" s="81"/>
      <c r="K1137" s="80"/>
      <c r="L1137" s="81"/>
      <c r="M1137" s="642"/>
      <c r="N1137" s="81"/>
      <c r="O1137" s="642"/>
      <c r="P1137" s="81"/>
      <c r="Q1137" s="80"/>
      <c r="R1137" s="81"/>
      <c r="S1137" s="81"/>
      <c r="T1137" s="81"/>
    </row>
    <row r="1138" customHeight="1" spans="1:20">
      <c r="A1138" s="80"/>
      <c r="B1138" s="81"/>
      <c r="C1138" s="642"/>
      <c r="D1138" s="81"/>
      <c r="E1138" s="81"/>
      <c r="F1138" s="81"/>
      <c r="G1138" s="81"/>
      <c r="H1138" s="81"/>
      <c r="I1138" s="80"/>
      <c r="J1138" s="81"/>
      <c r="K1138" s="80"/>
      <c r="L1138" s="81"/>
      <c r="M1138" s="642"/>
      <c r="N1138" s="81"/>
      <c r="O1138" s="642"/>
      <c r="P1138" s="81"/>
      <c r="Q1138" s="80"/>
      <c r="R1138" s="81"/>
      <c r="S1138" s="81"/>
      <c r="T1138" s="81"/>
    </row>
    <row r="1139" customHeight="1" spans="1:20">
      <c r="A1139" s="80"/>
      <c r="B1139" s="81"/>
      <c r="C1139" s="642"/>
      <c r="D1139" s="81"/>
      <c r="E1139" s="81"/>
      <c r="F1139" s="81"/>
      <c r="G1139" s="81"/>
      <c r="H1139" s="81"/>
      <c r="I1139" s="80"/>
      <c r="J1139" s="81"/>
      <c r="K1139" s="80"/>
      <c r="L1139" s="81"/>
      <c r="M1139" s="642"/>
      <c r="N1139" s="81"/>
      <c r="O1139" s="642"/>
      <c r="P1139" s="81"/>
      <c r="Q1139" s="80"/>
      <c r="R1139" s="81"/>
      <c r="S1139" s="81"/>
      <c r="T1139" s="81"/>
    </row>
    <row r="1140" customHeight="1" spans="1:20">
      <c r="A1140" s="80"/>
      <c r="B1140" s="81"/>
      <c r="C1140" s="642"/>
      <c r="D1140" s="81"/>
      <c r="E1140" s="81"/>
      <c r="F1140" s="81"/>
      <c r="G1140" s="81"/>
      <c r="H1140" s="81"/>
      <c r="I1140" s="80"/>
      <c r="J1140" s="81"/>
      <c r="K1140" s="80"/>
      <c r="L1140" s="81"/>
      <c r="M1140" s="642"/>
      <c r="N1140" s="81"/>
      <c r="O1140" s="642"/>
      <c r="P1140" s="81"/>
      <c r="Q1140" s="80"/>
      <c r="R1140" s="81"/>
      <c r="S1140" s="81"/>
      <c r="T1140" s="81"/>
    </row>
    <row r="1141" customHeight="1" spans="1:20">
      <c r="A1141" s="80"/>
      <c r="B1141" s="81"/>
      <c r="C1141" s="642"/>
      <c r="D1141" s="81"/>
      <c r="E1141" s="81"/>
      <c r="F1141" s="81"/>
      <c r="G1141" s="81"/>
      <c r="H1141" s="81"/>
      <c r="I1141" s="80"/>
      <c r="J1141" s="81"/>
      <c r="K1141" s="80"/>
      <c r="L1141" s="81"/>
      <c r="M1141" s="642"/>
      <c r="N1141" s="81"/>
      <c r="O1141" s="642"/>
      <c r="P1141" s="81"/>
      <c r="Q1141" s="80"/>
      <c r="R1141" s="81"/>
      <c r="S1141" s="81"/>
      <c r="T1141" s="81"/>
    </row>
    <row r="1142" customHeight="1" spans="1:20">
      <c r="A1142" s="80"/>
      <c r="B1142" s="81"/>
      <c r="C1142" s="642"/>
      <c r="D1142" s="81"/>
      <c r="E1142" s="81"/>
      <c r="F1142" s="81"/>
      <c r="G1142" s="81"/>
      <c r="H1142" s="81"/>
      <c r="I1142" s="80"/>
      <c r="J1142" s="81"/>
      <c r="K1142" s="80"/>
      <c r="L1142" s="81"/>
      <c r="M1142" s="642"/>
      <c r="N1142" s="81"/>
      <c r="O1142" s="642"/>
      <c r="P1142" s="81"/>
      <c r="Q1142" s="80"/>
      <c r="R1142" s="81"/>
      <c r="S1142" s="81"/>
      <c r="T1142" s="81"/>
    </row>
    <row r="1143" customHeight="1" spans="1:20">
      <c r="A1143" s="80"/>
      <c r="B1143" s="81"/>
      <c r="C1143" s="642"/>
      <c r="D1143" s="81"/>
      <c r="E1143" s="81"/>
      <c r="F1143" s="81"/>
      <c r="G1143" s="81"/>
      <c r="H1143" s="81"/>
      <c r="I1143" s="80"/>
      <c r="J1143" s="81"/>
      <c r="K1143" s="80"/>
      <c r="L1143" s="81"/>
      <c r="M1143" s="642"/>
      <c r="N1143" s="81"/>
      <c r="O1143" s="642"/>
      <c r="P1143" s="81"/>
      <c r="Q1143" s="80"/>
      <c r="R1143" s="81"/>
      <c r="S1143" s="81"/>
      <c r="T1143" s="81"/>
    </row>
    <row r="1144" customHeight="1" spans="1:20">
      <c r="A1144" s="80"/>
      <c r="B1144" s="81"/>
      <c r="C1144" s="642"/>
      <c r="D1144" s="81"/>
      <c r="E1144" s="81"/>
      <c r="F1144" s="81"/>
      <c r="G1144" s="81"/>
      <c r="H1144" s="81"/>
      <c r="I1144" s="80"/>
      <c r="J1144" s="81"/>
      <c r="K1144" s="80"/>
      <c r="L1144" s="81"/>
      <c r="M1144" s="642"/>
      <c r="N1144" s="81"/>
      <c r="O1144" s="642"/>
      <c r="P1144" s="81"/>
      <c r="Q1144" s="80"/>
      <c r="R1144" s="81"/>
      <c r="S1144" s="81"/>
      <c r="T1144" s="81"/>
    </row>
    <row r="1145" customHeight="1" spans="1:20">
      <c r="A1145" s="80"/>
      <c r="B1145" s="81"/>
      <c r="C1145" s="642"/>
      <c r="D1145" s="81"/>
      <c r="E1145" s="81"/>
      <c r="F1145" s="81"/>
      <c r="G1145" s="81"/>
      <c r="H1145" s="81"/>
      <c r="I1145" s="80"/>
      <c r="J1145" s="81"/>
      <c r="K1145" s="80"/>
      <c r="L1145" s="81"/>
      <c r="M1145" s="642"/>
      <c r="N1145" s="81"/>
      <c r="O1145" s="642"/>
      <c r="P1145" s="81"/>
      <c r="Q1145" s="80"/>
      <c r="R1145" s="81"/>
      <c r="S1145" s="81"/>
      <c r="T1145" s="81"/>
    </row>
    <row r="1146" customHeight="1" spans="1:20">
      <c r="A1146" s="80"/>
      <c r="B1146" s="81"/>
      <c r="C1146" s="642"/>
      <c r="D1146" s="81"/>
      <c r="E1146" s="81"/>
      <c r="F1146" s="81"/>
      <c r="G1146" s="81"/>
      <c r="H1146" s="81"/>
      <c r="I1146" s="80"/>
      <c r="J1146" s="81"/>
      <c r="K1146" s="80"/>
      <c r="L1146" s="81"/>
      <c r="M1146" s="642"/>
      <c r="N1146" s="81"/>
      <c r="O1146" s="642"/>
      <c r="P1146" s="81"/>
      <c r="Q1146" s="80"/>
      <c r="R1146" s="81"/>
      <c r="S1146" s="81"/>
      <c r="T1146" s="81"/>
    </row>
    <row r="1147" customHeight="1" spans="1:20">
      <c r="A1147" s="80"/>
      <c r="B1147" s="81"/>
      <c r="C1147" s="642"/>
      <c r="D1147" s="81"/>
      <c r="E1147" s="81"/>
      <c r="F1147" s="81"/>
      <c r="G1147" s="81"/>
      <c r="H1147" s="81"/>
      <c r="I1147" s="80"/>
      <c r="J1147" s="81"/>
      <c r="K1147" s="80"/>
      <c r="L1147" s="81"/>
      <c r="M1147" s="642"/>
      <c r="N1147" s="81"/>
      <c r="O1147" s="642"/>
      <c r="P1147" s="81"/>
      <c r="Q1147" s="80"/>
      <c r="R1147" s="81"/>
      <c r="S1147" s="81"/>
      <c r="T1147" s="81"/>
    </row>
    <row r="1148" customHeight="1" spans="1:20">
      <c r="A1148" s="80"/>
      <c r="B1148" s="81"/>
      <c r="C1148" s="642"/>
      <c r="D1148" s="81"/>
      <c r="E1148" s="81"/>
      <c r="F1148" s="81"/>
      <c r="G1148" s="81"/>
      <c r="H1148" s="81"/>
      <c r="I1148" s="80"/>
      <c r="J1148" s="81"/>
      <c r="K1148" s="80"/>
      <c r="L1148" s="81"/>
      <c r="M1148" s="642"/>
      <c r="N1148" s="81"/>
      <c r="O1148" s="642"/>
      <c r="P1148" s="81"/>
      <c r="Q1148" s="80"/>
      <c r="R1148" s="81"/>
      <c r="S1148" s="81"/>
      <c r="T1148" s="81"/>
    </row>
    <row r="1149" customHeight="1" spans="1:20">
      <c r="A1149" s="80"/>
      <c r="B1149" s="81"/>
      <c r="C1149" s="642"/>
      <c r="D1149" s="81"/>
      <c r="E1149" s="81"/>
      <c r="F1149" s="81"/>
      <c r="G1149" s="81"/>
      <c r="H1149" s="81"/>
      <c r="I1149" s="80"/>
      <c r="J1149" s="81"/>
      <c r="K1149" s="80"/>
      <c r="L1149" s="81"/>
      <c r="M1149" s="642"/>
      <c r="N1149" s="81"/>
      <c r="O1149" s="642"/>
      <c r="P1149" s="81"/>
      <c r="Q1149" s="80"/>
      <c r="R1149" s="81"/>
      <c r="S1149" s="81"/>
      <c r="T1149" s="81"/>
    </row>
    <row r="1150" customHeight="1" spans="1:20">
      <c r="A1150" s="80"/>
      <c r="B1150" s="81"/>
      <c r="C1150" s="642"/>
      <c r="D1150" s="81"/>
      <c r="E1150" s="81"/>
      <c r="F1150" s="81"/>
      <c r="G1150" s="81"/>
      <c r="H1150" s="81"/>
      <c r="I1150" s="80"/>
      <c r="J1150" s="81"/>
      <c r="K1150" s="80"/>
      <c r="L1150" s="81"/>
      <c r="M1150" s="642"/>
      <c r="N1150" s="81"/>
      <c r="O1150" s="642"/>
      <c r="P1150" s="81"/>
      <c r="Q1150" s="80"/>
      <c r="R1150" s="81"/>
      <c r="S1150" s="81"/>
      <c r="T1150" s="81"/>
    </row>
    <row r="1151" customHeight="1" spans="1:20">
      <c r="A1151" s="80"/>
      <c r="B1151" s="81"/>
      <c r="C1151" s="642"/>
      <c r="D1151" s="81"/>
      <c r="E1151" s="81"/>
      <c r="F1151" s="81"/>
      <c r="G1151" s="81"/>
      <c r="H1151" s="81"/>
      <c r="I1151" s="80"/>
      <c r="J1151" s="81"/>
      <c r="K1151" s="80"/>
      <c r="L1151" s="81"/>
      <c r="M1151" s="642"/>
      <c r="N1151" s="81"/>
      <c r="O1151" s="642"/>
      <c r="P1151" s="81"/>
      <c r="Q1151" s="80"/>
      <c r="R1151" s="81"/>
      <c r="S1151" s="81"/>
      <c r="T1151" s="81"/>
    </row>
    <row r="1152" customHeight="1" spans="1:20">
      <c r="A1152" s="80"/>
      <c r="B1152" s="81"/>
      <c r="C1152" s="642"/>
      <c r="D1152" s="81"/>
      <c r="E1152" s="81"/>
      <c r="F1152" s="81"/>
      <c r="G1152" s="81"/>
      <c r="H1152" s="81"/>
      <c r="I1152" s="80"/>
      <c r="J1152" s="81"/>
      <c r="K1152" s="80"/>
      <c r="L1152" s="81"/>
      <c r="M1152" s="642"/>
      <c r="N1152" s="81"/>
      <c r="O1152" s="642"/>
      <c r="P1152" s="81"/>
      <c r="Q1152" s="80"/>
      <c r="R1152" s="81"/>
      <c r="S1152" s="81"/>
      <c r="T1152" s="81"/>
    </row>
    <row r="1153" customHeight="1" spans="1:20">
      <c r="A1153" s="80"/>
      <c r="B1153" s="81"/>
      <c r="C1153" s="642"/>
      <c r="D1153" s="81"/>
      <c r="E1153" s="81"/>
      <c r="F1153" s="81"/>
      <c r="G1153" s="81"/>
      <c r="H1153" s="81"/>
      <c r="I1153" s="80"/>
      <c r="J1153" s="81"/>
      <c r="K1153" s="80"/>
      <c r="L1153" s="81"/>
      <c r="M1153" s="642"/>
      <c r="N1153" s="81"/>
      <c r="O1153" s="642"/>
      <c r="P1153" s="81"/>
      <c r="Q1153" s="80"/>
      <c r="R1153" s="81"/>
      <c r="S1153" s="81"/>
      <c r="T1153" s="81"/>
    </row>
    <row r="1154" customHeight="1" spans="1:20">
      <c r="A1154" s="80"/>
      <c r="B1154" s="81"/>
      <c r="C1154" s="642"/>
      <c r="D1154" s="81"/>
      <c r="E1154" s="81"/>
      <c r="F1154" s="81"/>
      <c r="G1154" s="81"/>
      <c r="H1154" s="81"/>
      <c r="I1154" s="80"/>
      <c r="J1154" s="81"/>
      <c r="K1154" s="80"/>
      <c r="L1154" s="81"/>
      <c r="M1154" s="642"/>
      <c r="N1154" s="81"/>
      <c r="O1154" s="642"/>
      <c r="P1154" s="81"/>
      <c r="Q1154" s="80"/>
      <c r="R1154" s="81"/>
      <c r="S1154" s="81"/>
      <c r="T1154" s="81"/>
    </row>
    <row r="1155" customHeight="1" spans="1:20">
      <c r="A1155" s="80"/>
      <c r="B1155" s="81"/>
      <c r="C1155" s="642"/>
      <c r="D1155" s="81"/>
      <c r="E1155" s="81"/>
      <c r="F1155" s="81"/>
      <c r="G1155" s="81"/>
      <c r="H1155" s="81"/>
      <c r="I1155" s="80"/>
      <c r="J1155" s="81"/>
      <c r="K1155" s="80"/>
      <c r="L1155" s="81"/>
      <c r="M1155" s="642"/>
      <c r="N1155" s="81"/>
      <c r="O1155" s="642"/>
      <c r="P1155" s="81"/>
      <c r="Q1155" s="80"/>
      <c r="R1155" s="81"/>
      <c r="S1155" s="81"/>
      <c r="T1155" s="81"/>
    </row>
    <row r="1156" customHeight="1" spans="1:20">
      <c r="A1156" s="80"/>
      <c r="B1156" s="81"/>
      <c r="C1156" s="642"/>
      <c r="D1156" s="81"/>
      <c r="E1156" s="81"/>
      <c r="F1156" s="81"/>
      <c r="G1156" s="81"/>
      <c r="H1156" s="81"/>
      <c r="I1156" s="80"/>
      <c r="J1156" s="81"/>
      <c r="K1156" s="80"/>
      <c r="L1156" s="81"/>
      <c r="M1156" s="642"/>
      <c r="N1156" s="81"/>
      <c r="O1156" s="642"/>
      <c r="P1156" s="81"/>
      <c r="Q1156" s="80"/>
      <c r="R1156" s="81"/>
      <c r="S1156" s="81"/>
      <c r="T1156" s="81"/>
    </row>
    <row r="1157" customHeight="1" spans="1:20">
      <c r="A1157" s="80"/>
      <c r="B1157" s="81"/>
      <c r="C1157" s="642"/>
      <c r="D1157" s="81"/>
      <c r="E1157" s="81"/>
      <c r="F1157" s="81"/>
      <c r="G1157" s="81"/>
      <c r="H1157" s="81"/>
      <c r="I1157" s="80"/>
      <c r="J1157" s="81"/>
      <c r="K1157" s="80"/>
      <c r="L1157" s="81"/>
      <c r="M1157" s="642"/>
      <c r="N1157" s="81"/>
      <c r="O1157" s="642"/>
      <c r="P1157" s="81"/>
      <c r="Q1157" s="80"/>
      <c r="R1157" s="81"/>
      <c r="S1157" s="81"/>
      <c r="T1157" s="81"/>
    </row>
    <row r="1158" customHeight="1" spans="1:20">
      <c r="A1158" s="80"/>
      <c r="B1158" s="81"/>
      <c r="C1158" s="642"/>
      <c r="D1158" s="81"/>
      <c r="E1158" s="81"/>
      <c r="F1158" s="81"/>
      <c r="G1158" s="81"/>
      <c r="H1158" s="81"/>
      <c r="I1158" s="80"/>
      <c r="J1158" s="81"/>
      <c r="K1158" s="80"/>
      <c r="L1158" s="81"/>
      <c r="M1158" s="642"/>
      <c r="N1158" s="81"/>
      <c r="O1158" s="642"/>
      <c r="P1158" s="81"/>
      <c r="Q1158" s="80"/>
      <c r="R1158" s="81"/>
      <c r="S1158" s="81"/>
      <c r="T1158" s="81"/>
    </row>
    <row r="1159" customHeight="1" spans="1:20">
      <c r="A1159" s="80"/>
      <c r="B1159" s="81"/>
      <c r="C1159" s="642"/>
      <c r="D1159" s="81"/>
      <c r="E1159" s="81"/>
      <c r="F1159" s="81"/>
      <c r="G1159" s="81"/>
      <c r="H1159" s="81"/>
      <c r="I1159" s="80"/>
      <c r="J1159" s="81"/>
      <c r="K1159" s="80"/>
      <c r="L1159" s="81"/>
      <c r="M1159" s="642"/>
      <c r="N1159" s="81"/>
      <c r="O1159" s="642"/>
      <c r="P1159" s="81"/>
      <c r="Q1159" s="80"/>
      <c r="R1159" s="81"/>
      <c r="S1159" s="81"/>
      <c r="T1159" s="81"/>
    </row>
    <row r="1160" customHeight="1" spans="1:20">
      <c r="A1160" s="80"/>
      <c r="B1160" s="81"/>
      <c r="C1160" s="642"/>
      <c r="D1160" s="81"/>
      <c r="E1160" s="81"/>
      <c r="F1160" s="81"/>
      <c r="G1160" s="81"/>
      <c r="H1160" s="81"/>
      <c r="I1160" s="80"/>
      <c r="J1160" s="81"/>
      <c r="K1160" s="80"/>
      <c r="L1160" s="81"/>
      <c r="M1160" s="642"/>
      <c r="N1160" s="81"/>
      <c r="O1160" s="642"/>
      <c r="P1160" s="81"/>
      <c r="Q1160" s="80"/>
      <c r="R1160" s="81"/>
      <c r="S1160" s="81"/>
      <c r="T1160" s="81"/>
    </row>
    <row r="1161" customHeight="1" spans="1:20">
      <c r="A1161" s="80"/>
      <c r="B1161" s="81"/>
      <c r="C1161" s="642"/>
      <c r="D1161" s="81"/>
      <c r="E1161" s="81"/>
      <c r="F1161" s="81"/>
      <c r="G1161" s="81"/>
      <c r="H1161" s="81"/>
      <c r="I1161" s="80"/>
      <c r="J1161" s="81"/>
      <c r="K1161" s="80"/>
      <c r="L1161" s="81"/>
      <c r="M1161" s="642"/>
      <c r="N1161" s="81"/>
      <c r="O1161" s="642"/>
      <c r="P1161" s="81"/>
      <c r="Q1161" s="80"/>
      <c r="R1161" s="81"/>
      <c r="S1161" s="81"/>
      <c r="T1161" s="81"/>
    </row>
    <row r="1162" customHeight="1" spans="1:20">
      <c r="A1162" s="80"/>
      <c r="B1162" s="81"/>
      <c r="C1162" s="642"/>
      <c r="D1162" s="81"/>
      <c r="E1162" s="81"/>
      <c r="F1162" s="81"/>
      <c r="G1162" s="81"/>
      <c r="H1162" s="81"/>
      <c r="I1162" s="80"/>
      <c r="J1162" s="81"/>
      <c r="K1162" s="80"/>
      <c r="L1162" s="81"/>
      <c r="M1162" s="642"/>
      <c r="N1162" s="81"/>
      <c r="O1162" s="642"/>
      <c r="P1162" s="81"/>
      <c r="Q1162" s="80"/>
      <c r="R1162" s="81"/>
      <c r="S1162" s="81"/>
      <c r="T1162" s="81"/>
    </row>
    <row r="1163" customHeight="1" spans="1:20">
      <c r="A1163" s="80"/>
      <c r="B1163" s="81"/>
      <c r="C1163" s="642"/>
      <c r="D1163" s="81"/>
      <c r="E1163" s="81"/>
      <c r="F1163" s="81"/>
      <c r="G1163" s="81"/>
      <c r="H1163" s="81"/>
      <c r="I1163" s="80"/>
      <c r="J1163" s="81"/>
      <c r="K1163" s="80"/>
      <c r="L1163" s="81"/>
      <c r="M1163" s="642"/>
      <c r="N1163" s="81"/>
      <c r="O1163" s="642"/>
      <c r="P1163" s="81"/>
      <c r="Q1163" s="80"/>
      <c r="R1163" s="81"/>
      <c r="S1163" s="81"/>
      <c r="T1163" s="81"/>
    </row>
    <row r="1164" customHeight="1" spans="1:20">
      <c r="A1164" s="80"/>
      <c r="B1164" s="81"/>
      <c r="C1164" s="642"/>
      <c r="D1164" s="81"/>
      <c r="E1164" s="81"/>
      <c r="F1164" s="81"/>
      <c r="G1164" s="81"/>
      <c r="H1164" s="81"/>
      <c r="I1164" s="80"/>
      <c r="J1164" s="81"/>
      <c r="K1164" s="80"/>
      <c r="L1164" s="81"/>
      <c r="M1164" s="642"/>
      <c r="N1164" s="81"/>
      <c r="O1164" s="642"/>
      <c r="P1164" s="81"/>
      <c r="Q1164" s="80"/>
      <c r="R1164" s="81"/>
      <c r="S1164" s="81"/>
      <c r="T1164" s="81"/>
    </row>
    <row r="1165" customHeight="1" spans="1:20">
      <c r="A1165" s="80"/>
      <c r="B1165" s="81"/>
      <c r="C1165" s="642"/>
      <c r="D1165" s="81"/>
      <c r="E1165" s="81"/>
      <c r="F1165" s="81"/>
      <c r="G1165" s="81"/>
      <c r="H1165" s="81"/>
      <c r="I1165" s="80"/>
      <c r="J1165" s="81"/>
      <c r="K1165" s="80"/>
      <c r="L1165" s="81"/>
      <c r="M1165" s="642"/>
      <c r="N1165" s="81"/>
      <c r="O1165" s="642"/>
      <c r="P1165" s="81"/>
      <c r="Q1165" s="80"/>
      <c r="R1165" s="81"/>
      <c r="S1165" s="81"/>
      <c r="T1165" s="81"/>
    </row>
    <row r="1166" customHeight="1" spans="1:20">
      <c r="A1166" s="80"/>
      <c r="B1166" s="81"/>
      <c r="C1166" s="642"/>
      <c r="D1166" s="81"/>
      <c r="E1166" s="81"/>
      <c r="F1166" s="81"/>
      <c r="G1166" s="81"/>
      <c r="H1166" s="81"/>
      <c r="I1166" s="80"/>
      <c r="J1166" s="81"/>
      <c r="K1166" s="80"/>
      <c r="L1166" s="81"/>
      <c r="M1166" s="642"/>
      <c r="N1166" s="81"/>
      <c r="O1166" s="642"/>
      <c r="P1166" s="81"/>
      <c r="Q1166" s="80"/>
      <c r="R1166" s="81"/>
      <c r="S1166" s="81"/>
      <c r="T1166" s="81"/>
    </row>
    <row r="1167" customHeight="1" spans="1:20">
      <c r="A1167" s="80"/>
      <c r="B1167" s="81"/>
      <c r="C1167" s="642"/>
      <c r="D1167" s="81"/>
      <c r="E1167" s="81"/>
      <c r="F1167" s="81"/>
      <c r="G1167" s="81"/>
      <c r="H1167" s="81"/>
      <c r="I1167" s="80"/>
      <c r="J1167" s="81"/>
      <c r="K1167" s="80"/>
      <c r="L1167" s="81"/>
      <c r="M1167" s="642"/>
      <c r="N1167" s="81"/>
      <c r="O1167" s="642"/>
      <c r="P1167" s="81"/>
      <c r="Q1167" s="80"/>
      <c r="R1167" s="81"/>
      <c r="S1167" s="81"/>
      <c r="T1167" s="81"/>
    </row>
    <row r="1168" customHeight="1" spans="1:20">
      <c r="A1168" s="80"/>
      <c r="B1168" s="81"/>
      <c r="C1168" s="642"/>
      <c r="D1168" s="81"/>
      <c r="E1168" s="81"/>
      <c r="F1168" s="81"/>
      <c r="G1168" s="81"/>
      <c r="H1168" s="81"/>
      <c r="I1168" s="80"/>
      <c r="J1168" s="81"/>
      <c r="K1168" s="80"/>
      <c r="L1168" s="81"/>
      <c r="M1168" s="642"/>
      <c r="N1168" s="81"/>
      <c r="O1168" s="642"/>
      <c r="P1168" s="81"/>
      <c r="Q1168" s="80"/>
      <c r="R1168" s="81"/>
      <c r="S1168" s="81"/>
      <c r="T1168" s="81"/>
    </row>
    <row r="1169" customHeight="1" spans="1:20">
      <c r="A1169" s="80"/>
      <c r="B1169" s="81"/>
      <c r="C1169" s="642"/>
      <c r="D1169" s="81"/>
      <c r="E1169" s="81"/>
      <c r="F1169" s="81"/>
      <c r="G1169" s="81"/>
      <c r="H1169" s="81"/>
      <c r="I1169" s="80"/>
      <c r="J1169" s="81"/>
      <c r="K1169" s="80"/>
      <c r="L1169" s="81"/>
      <c r="M1169" s="642"/>
      <c r="N1169" s="81"/>
      <c r="O1169" s="642"/>
      <c r="P1169" s="81"/>
      <c r="Q1169" s="80"/>
      <c r="R1169" s="81"/>
      <c r="S1169" s="81"/>
      <c r="T1169" s="81"/>
    </row>
    <row r="1170" customHeight="1" spans="1:20">
      <c r="A1170" s="80"/>
      <c r="B1170" s="81"/>
      <c r="C1170" s="642"/>
      <c r="D1170" s="81"/>
      <c r="E1170" s="81"/>
      <c r="F1170" s="81"/>
      <c r="G1170" s="81"/>
      <c r="H1170" s="81"/>
      <c r="I1170" s="80"/>
      <c r="J1170" s="81"/>
      <c r="K1170" s="80"/>
      <c r="L1170" s="81"/>
      <c r="M1170" s="642"/>
      <c r="N1170" s="81"/>
      <c r="O1170" s="642"/>
      <c r="P1170" s="81"/>
      <c r="Q1170" s="80"/>
      <c r="R1170" s="81"/>
      <c r="S1170" s="81"/>
      <c r="T1170" s="81"/>
    </row>
    <row r="1171" customHeight="1" spans="1:20">
      <c r="A1171" s="80"/>
      <c r="B1171" s="81"/>
      <c r="C1171" s="642"/>
      <c r="D1171" s="81"/>
      <c r="E1171" s="81"/>
      <c r="F1171" s="81"/>
      <c r="G1171" s="81"/>
      <c r="H1171" s="81"/>
      <c r="I1171" s="80"/>
      <c r="J1171" s="81"/>
      <c r="K1171" s="80"/>
      <c r="L1171" s="81"/>
      <c r="M1171" s="642"/>
      <c r="N1171" s="81"/>
      <c r="O1171" s="642"/>
      <c r="P1171" s="81"/>
      <c r="Q1171" s="80"/>
      <c r="R1171" s="81"/>
      <c r="S1171" s="81"/>
      <c r="T1171" s="81"/>
    </row>
    <row r="1172" customHeight="1" spans="1:20">
      <c r="A1172" s="80"/>
      <c r="B1172" s="81"/>
      <c r="C1172" s="642"/>
      <c r="D1172" s="81"/>
      <c r="E1172" s="81"/>
      <c r="F1172" s="81"/>
      <c r="G1172" s="81"/>
      <c r="H1172" s="81"/>
      <c r="I1172" s="80"/>
      <c r="J1172" s="81"/>
      <c r="K1172" s="80"/>
      <c r="L1172" s="81"/>
      <c r="M1172" s="642"/>
      <c r="N1172" s="81"/>
      <c r="O1172" s="642"/>
      <c r="P1172" s="81"/>
      <c r="Q1172" s="80"/>
      <c r="R1172" s="81"/>
      <c r="S1172" s="81"/>
      <c r="T1172" s="81"/>
    </row>
    <row r="1173" customHeight="1" spans="1:20">
      <c r="A1173" s="80"/>
      <c r="B1173" s="81"/>
      <c r="C1173" s="642"/>
      <c r="D1173" s="81"/>
      <c r="E1173" s="81"/>
      <c r="F1173" s="81"/>
      <c r="G1173" s="81"/>
      <c r="H1173" s="81"/>
      <c r="I1173" s="80"/>
      <c r="J1173" s="81"/>
      <c r="K1173" s="80"/>
      <c r="L1173" s="81"/>
      <c r="M1173" s="642"/>
      <c r="N1173" s="81"/>
      <c r="O1173" s="642"/>
      <c r="P1173" s="81"/>
      <c r="Q1173" s="80"/>
      <c r="R1173" s="81"/>
      <c r="S1173" s="81"/>
      <c r="T1173" s="81"/>
    </row>
    <row r="1174" customHeight="1" spans="1:20">
      <c r="A1174" s="80"/>
      <c r="B1174" s="81"/>
      <c r="C1174" s="642"/>
      <c r="D1174" s="81"/>
      <c r="E1174" s="81"/>
      <c r="F1174" s="81"/>
      <c r="G1174" s="81"/>
      <c r="H1174" s="81"/>
      <c r="I1174" s="80"/>
      <c r="J1174" s="81"/>
      <c r="K1174" s="80"/>
      <c r="L1174" s="81"/>
      <c r="M1174" s="642"/>
      <c r="N1174" s="81"/>
      <c r="O1174" s="642"/>
      <c r="P1174" s="81"/>
      <c r="Q1174" s="80"/>
      <c r="R1174" s="81"/>
      <c r="S1174" s="81"/>
      <c r="T1174" s="81"/>
    </row>
    <row r="1175" customHeight="1" spans="1:20">
      <c r="A1175" s="80"/>
      <c r="B1175" s="81"/>
      <c r="C1175" s="642"/>
      <c r="D1175" s="81"/>
      <c r="E1175" s="81"/>
      <c r="F1175" s="81"/>
      <c r="G1175" s="81"/>
      <c r="H1175" s="81"/>
      <c r="I1175" s="80"/>
      <c r="J1175" s="81"/>
      <c r="K1175" s="80"/>
      <c r="L1175" s="81"/>
      <c r="M1175" s="642"/>
      <c r="N1175" s="81"/>
      <c r="O1175" s="642"/>
      <c r="P1175" s="81"/>
      <c r="Q1175" s="80"/>
      <c r="R1175" s="81"/>
      <c r="S1175" s="81"/>
      <c r="T1175" s="81"/>
    </row>
    <row r="1176" customHeight="1" spans="1:20">
      <c r="A1176" s="80"/>
      <c r="B1176" s="81"/>
      <c r="C1176" s="642"/>
      <c r="D1176" s="81"/>
      <c r="E1176" s="81"/>
      <c r="F1176" s="81"/>
      <c r="G1176" s="81"/>
      <c r="H1176" s="81"/>
      <c r="I1176" s="80"/>
      <c r="J1176" s="81"/>
      <c r="K1176" s="80"/>
      <c r="L1176" s="81"/>
      <c r="M1176" s="642"/>
      <c r="N1176" s="81"/>
      <c r="O1176" s="642"/>
      <c r="P1176" s="81"/>
      <c r="Q1176" s="80"/>
      <c r="R1176" s="81"/>
      <c r="S1176" s="81"/>
      <c r="T1176" s="81"/>
    </row>
    <row r="1177" customHeight="1" spans="1:20">
      <c r="A1177" s="80"/>
      <c r="B1177" s="81"/>
      <c r="C1177" s="642"/>
      <c r="D1177" s="81"/>
      <c r="E1177" s="81"/>
      <c r="F1177" s="81"/>
      <c r="G1177" s="81"/>
      <c r="H1177" s="81"/>
      <c r="I1177" s="80"/>
      <c r="J1177" s="81"/>
      <c r="K1177" s="80"/>
      <c r="L1177" s="81"/>
      <c r="M1177" s="642"/>
      <c r="N1177" s="81"/>
      <c r="O1177" s="642"/>
      <c r="P1177" s="81"/>
      <c r="Q1177" s="80"/>
      <c r="R1177" s="81"/>
      <c r="S1177" s="81"/>
      <c r="T1177" s="81"/>
    </row>
    <row r="1178" customHeight="1" spans="1:20">
      <c r="A1178" s="80"/>
      <c r="B1178" s="81"/>
      <c r="C1178" s="642"/>
      <c r="D1178" s="81"/>
      <c r="E1178" s="81"/>
      <c r="F1178" s="81"/>
      <c r="G1178" s="81"/>
      <c r="H1178" s="81"/>
      <c r="I1178" s="80"/>
      <c r="J1178" s="81"/>
      <c r="K1178" s="80"/>
      <c r="L1178" s="81"/>
      <c r="M1178" s="642"/>
      <c r="N1178" s="81"/>
      <c r="O1178" s="642"/>
      <c r="P1178" s="81"/>
      <c r="Q1178" s="80"/>
      <c r="R1178" s="81"/>
      <c r="S1178" s="81"/>
      <c r="T1178" s="81"/>
    </row>
    <row r="1179" customHeight="1" spans="1:20">
      <c r="A1179" s="80"/>
      <c r="B1179" s="81"/>
      <c r="C1179" s="642"/>
      <c r="D1179" s="81"/>
      <c r="E1179" s="81"/>
      <c r="F1179" s="81"/>
      <c r="G1179" s="81"/>
      <c r="H1179" s="81"/>
      <c r="I1179" s="80"/>
      <c r="J1179" s="81"/>
      <c r="K1179" s="80"/>
      <c r="L1179" s="81"/>
      <c r="M1179" s="642"/>
      <c r="N1179" s="81"/>
      <c r="O1179" s="642"/>
      <c r="P1179" s="81"/>
      <c r="Q1179" s="80"/>
      <c r="R1179" s="81"/>
      <c r="S1179" s="81"/>
      <c r="T1179" s="81"/>
    </row>
    <row r="1180" customHeight="1" spans="1:20">
      <c r="A1180" s="80"/>
      <c r="B1180" s="81"/>
      <c r="C1180" s="642"/>
      <c r="D1180" s="81"/>
      <c r="E1180" s="81"/>
      <c r="F1180" s="81"/>
      <c r="G1180" s="81"/>
      <c r="H1180" s="81"/>
      <c r="I1180" s="80"/>
      <c r="J1180" s="81"/>
      <c r="K1180" s="80"/>
      <c r="L1180" s="81"/>
      <c r="M1180" s="642"/>
      <c r="N1180" s="81"/>
      <c r="O1180" s="642"/>
      <c r="P1180" s="81"/>
      <c r="Q1180" s="80"/>
      <c r="R1180" s="81"/>
      <c r="S1180" s="81"/>
      <c r="T1180" s="81"/>
    </row>
    <row r="1181" customHeight="1" spans="1:20">
      <c r="A1181" s="80"/>
      <c r="B1181" s="81"/>
      <c r="C1181" s="642"/>
      <c r="D1181" s="81"/>
      <c r="E1181" s="81"/>
      <c r="F1181" s="81"/>
      <c r="G1181" s="81"/>
      <c r="H1181" s="81"/>
      <c r="I1181" s="80"/>
      <c r="J1181" s="81"/>
      <c r="K1181" s="80"/>
      <c r="L1181" s="81"/>
      <c r="M1181" s="642"/>
      <c r="N1181" s="81"/>
      <c r="O1181" s="642"/>
      <c r="P1181" s="81"/>
      <c r="Q1181" s="80"/>
      <c r="R1181" s="81"/>
      <c r="S1181" s="81"/>
      <c r="T1181" s="81"/>
    </row>
    <row r="1182" customHeight="1" spans="1:20">
      <c r="A1182" s="80"/>
      <c r="B1182" s="81"/>
      <c r="C1182" s="642"/>
      <c r="D1182" s="81"/>
      <c r="E1182" s="81"/>
      <c r="F1182" s="81"/>
      <c r="G1182" s="81"/>
      <c r="H1182" s="81"/>
      <c r="I1182" s="80"/>
      <c r="J1182" s="81"/>
      <c r="K1182" s="80"/>
      <c r="L1182" s="81"/>
      <c r="M1182" s="642"/>
      <c r="N1182" s="81"/>
      <c r="O1182" s="642"/>
      <c r="P1182" s="81"/>
      <c r="Q1182" s="80"/>
      <c r="R1182" s="81"/>
      <c r="S1182" s="81"/>
      <c r="T1182" s="81"/>
    </row>
    <row r="1183" customHeight="1" spans="1:20">
      <c r="A1183" s="80"/>
      <c r="B1183" s="81"/>
      <c r="C1183" s="642"/>
      <c r="D1183" s="81"/>
      <c r="E1183" s="81"/>
      <c r="F1183" s="81"/>
      <c r="G1183" s="81"/>
      <c r="H1183" s="81"/>
      <c r="I1183" s="80"/>
      <c r="J1183" s="81"/>
      <c r="K1183" s="80"/>
      <c r="L1183" s="81"/>
      <c r="M1183" s="642"/>
      <c r="N1183" s="81"/>
      <c r="O1183" s="642"/>
      <c r="P1183" s="81"/>
      <c r="Q1183" s="80"/>
      <c r="R1183" s="81"/>
      <c r="S1183" s="81"/>
      <c r="T1183" s="81"/>
    </row>
    <row r="1184" customHeight="1" spans="1:20">
      <c r="A1184" s="80"/>
      <c r="B1184" s="81"/>
      <c r="C1184" s="642"/>
      <c r="D1184" s="81"/>
      <c r="E1184" s="81"/>
      <c r="F1184" s="81"/>
      <c r="G1184" s="81"/>
      <c r="H1184" s="81"/>
      <c r="I1184" s="80"/>
      <c r="J1184" s="81"/>
      <c r="K1184" s="80"/>
      <c r="L1184" s="81"/>
      <c r="M1184" s="642"/>
      <c r="N1184" s="81"/>
      <c r="O1184" s="642"/>
      <c r="P1184" s="81"/>
      <c r="Q1184" s="80"/>
      <c r="R1184" s="81"/>
      <c r="S1184" s="81"/>
      <c r="T1184" s="81"/>
    </row>
    <row r="1185" customHeight="1" spans="1:20">
      <c r="A1185" s="80"/>
      <c r="B1185" s="81"/>
      <c r="C1185" s="642"/>
      <c r="D1185" s="81"/>
      <c r="E1185" s="81"/>
      <c r="F1185" s="81"/>
      <c r="G1185" s="81"/>
      <c r="H1185" s="81"/>
      <c r="I1185" s="80"/>
      <c r="J1185" s="81"/>
      <c r="K1185" s="80"/>
      <c r="L1185" s="81"/>
      <c r="M1185" s="642"/>
      <c r="N1185" s="81"/>
      <c r="O1185" s="642"/>
      <c r="P1185" s="81"/>
      <c r="Q1185" s="80"/>
      <c r="R1185" s="81"/>
      <c r="S1185" s="81"/>
      <c r="T1185" s="81"/>
    </row>
    <row r="1186" customHeight="1" spans="1:20">
      <c r="A1186" s="80"/>
      <c r="B1186" s="81"/>
      <c r="C1186" s="642"/>
      <c r="D1186" s="81"/>
      <c r="E1186" s="81"/>
      <c r="F1186" s="81"/>
      <c r="G1186" s="81"/>
      <c r="H1186" s="81"/>
      <c r="I1186" s="80"/>
      <c r="J1186" s="81"/>
      <c r="K1186" s="80"/>
      <c r="L1186" s="81"/>
      <c r="M1186" s="642"/>
      <c r="N1186" s="81"/>
      <c r="O1186" s="642"/>
      <c r="P1186" s="81"/>
      <c r="Q1186" s="80"/>
      <c r="R1186" s="81"/>
      <c r="S1186" s="81"/>
      <c r="T1186" s="81"/>
    </row>
    <row r="1187" customHeight="1" spans="1:20">
      <c r="A1187" s="80"/>
      <c r="B1187" s="81"/>
      <c r="C1187" s="642"/>
      <c r="D1187" s="81"/>
      <c r="E1187" s="81"/>
      <c r="F1187" s="81"/>
      <c r="G1187" s="81"/>
      <c r="H1187" s="81"/>
      <c r="I1187" s="80"/>
      <c r="J1187" s="81"/>
      <c r="K1187" s="80"/>
      <c r="L1187" s="81"/>
      <c r="M1187" s="642"/>
      <c r="N1187" s="81"/>
      <c r="O1187" s="642"/>
      <c r="P1187" s="81"/>
      <c r="Q1187" s="80"/>
      <c r="R1187" s="81"/>
      <c r="S1187" s="81"/>
      <c r="T1187" s="81"/>
    </row>
    <row r="1188" customHeight="1" spans="1:20">
      <c r="A1188" s="80"/>
      <c r="B1188" s="81"/>
      <c r="C1188" s="642"/>
      <c r="D1188" s="81"/>
      <c r="E1188" s="81"/>
      <c r="F1188" s="81"/>
      <c r="G1188" s="81"/>
      <c r="H1188" s="81"/>
      <c r="I1188" s="80"/>
      <c r="J1188" s="81"/>
      <c r="K1188" s="80"/>
      <c r="L1188" s="81"/>
      <c r="M1188" s="642"/>
      <c r="N1188" s="81"/>
      <c r="O1188" s="642"/>
      <c r="P1188" s="81"/>
      <c r="Q1188" s="80"/>
      <c r="R1188" s="81"/>
      <c r="S1188" s="81"/>
      <c r="T1188" s="81"/>
    </row>
    <row r="1189" customHeight="1" spans="1:20">
      <c r="A1189" s="80"/>
      <c r="B1189" s="81"/>
      <c r="C1189" s="642"/>
      <c r="D1189" s="81"/>
      <c r="E1189" s="81"/>
      <c r="F1189" s="81"/>
      <c r="G1189" s="81"/>
      <c r="H1189" s="81"/>
      <c r="I1189" s="80"/>
      <c r="J1189" s="81"/>
      <c r="K1189" s="80"/>
      <c r="L1189" s="81"/>
      <c r="M1189" s="642"/>
      <c r="N1189" s="81"/>
      <c r="O1189" s="642"/>
      <c r="P1189" s="81"/>
      <c r="Q1189" s="80"/>
      <c r="R1189" s="81"/>
      <c r="S1189" s="81"/>
      <c r="T1189" s="81"/>
    </row>
    <row r="1190" customHeight="1" spans="1:20">
      <c r="A1190" s="80"/>
      <c r="B1190" s="81"/>
      <c r="C1190" s="642"/>
      <c r="D1190" s="81"/>
      <c r="E1190" s="81"/>
      <c r="F1190" s="81"/>
      <c r="G1190" s="81"/>
      <c r="H1190" s="81"/>
      <c r="I1190" s="80"/>
      <c r="J1190" s="81"/>
      <c r="K1190" s="80"/>
      <c r="L1190" s="81"/>
      <c r="M1190" s="642"/>
      <c r="N1190" s="81"/>
      <c r="O1190" s="642"/>
      <c r="P1190" s="81"/>
      <c r="Q1190" s="80"/>
      <c r="R1190" s="81"/>
      <c r="S1190" s="81"/>
      <c r="T1190" s="81"/>
    </row>
    <row r="1191" customHeight="1" spans="1:20">
      <c r="A1191" s="80"/>
      <c r="B1191" s="81"/>
      <c r="C1191" s="642"/>
      <c r="D1191" s="81"/>
      <c r="E1191" s="81"/>
      <c r="F1191" s="81"/>
      <c r="G1191" s="81"/>
      <c r="H1191" s="81"/>
      <c r="I1191" s="80"/>
      <c r="J1191" s="81"/>
      <c r="K1191" s="80"/>
      <c r="L1191" s="81"/>
      <c r="M1191" s="642"/>
      <c r="N1191" s="81"/>
      <c r="O1191" s="642"/>
      <c r="P1191" s="81"/>
      <c r="Q1191" s="80"/>
      <c r="R1191" s="81"/>
      <c r="S1191" s="81"/>
      <c r="T1191" s="81"/>
    </row>
    <row r="1192" customHeight="1" spans="1:20">
      <c r="A1192" s="80"/>
      <c r="B1192" s="81"/>
      <c r="C1192" s="642"/>
      <c r="D1192" s="81"/>
      <c r="E1192" s="81"/>
      <c r="F1192" s="81"/>
      <c r="G1192" s="81"/>
      <c r="H1192" s="81"/>
      <c r="I1192" s="80"/>
      <c r="J1192" s="81"/>
      <c r="K1192" s="80"/>
      <c r="L1192" s="81"/>
      <c r="M1192" s="642"/>
      <c r="N1192" s="81"/>
      <c r="O1192" s="642"/>
      <c r="P1192" s="81"/>
      <c r="Q1192" s="80"/>
      <c r="R1192" s="81"/>
      <c r="S1192" s="81"/>
      <c r="T1192" s="81"/>
    </row>
    <row r="1193" customHeight="1" spans="1:20">
      <c r="A1193" s="80"/>
      <c r="B1193" s="81"/>
      <c r="C1193" s="642"/>
      <c r="D1193" s="81"/>
      <c r="E1193" s="81"/>
      <c r="F1193" s="81"/>
      <c r="G1193" s="81"/>
      <c r="H1193" s="81"/>
      <c r="I1193" s="80"/>
      <c r="J1193" s="81"/>
      <c r="K1193" s="80"/>
      <c r="L1193" s="81"/>
      <c r="M1193" s="642"/>
      <c r="N1193" s="81"/>
      <c r="O1193" s="642"/>
      <c r="P1193" s="81"/>
      <c r="Q1193" s="80"/>
      <c r="R1193" s="81"/>
      <c r="S1193" s="81"/>
      <c r="T1193" s="81"/>
    </row>
    <row r="1194" customHeight="1" spans="1:20">
      <c r="A1194" s="80"/>
      <c r="B1194" s="81"/>
      <c r="C1194" s="642"/>
      <c r="D1194" s="81"/>
      <c r="E1194" s="81"/>
      <c r="F1194" s="81"/>
      <c r="G1194" s="81"/>
      <c r="H1194" s="81"/>
      <c r="I1194" s="80"/>
      <c r="J1194" s="81"/>
      <c r="K1194" s="80"/>
      <c r="L1194" s="81"/>
      <c r="M1194" s="642"/>
      <c r="N1194" s="81"/>
      <c r="O1194" s="642"/>
      <c r="P1194" s="81"/>
      <c r="Q1194" s="80"/>
      <c r="R1194" s="81"/>
      <c r="S1194" s="81"/>
      <c r="T1194" s="81"/>
    </row>
    <row r="1195" customHeight="1" spans="1:20">
      <c r="A1195" s="80"/>
      <c r="B1195" s="81"/>
      <c r="C1195" s="642"/>
      <c r="D1195" s="81"/>
      <c r="E1195" s="81"/>
      <c r="F1195" s="81"/>
      <c r="G1195" s="81"/>
      <c r="H1195" s="81"/>
      <c r="I1195" s="80"/>
      <c r="J1195" s="81"/>
      <c r="K1195" s="80"/>
      <c r="L1195" s="81"/>
      <c r="M1195" s="642"/>
      <c r="N1195" s="81"/>
      <c r="O1195" s="642"/>
      <c r="P1195" s="81"/>
      <c r="Q1195" s="80"/>
      <c r="R1195" s="81"/>
      <c r="S1195" s="81"/>
      <c r="T1195" s="81"/>
    </row>
    <row r="1196" customHeight="1" spans="1:20">
      <c r="A1196" s="80"/>
      <c r="B1196" s="81"/>
      <c r="C1196" s="642"/>
      <c r="D1196" s="81"/>
      <c r="E1196" s="81"/>
      <c r="F1196" s="81"/>
      <c r="G1196" s="81"/>
      <c r="H1196" s="81"/>
      <c r="I1196" s="80"/>
      <c r="J1196" s="81"/>
      <c r="K1196" s="80"/>
      <c r="L1196" s="81"/>
      <c r="M1196" s="642"/>
      <c r="N1196" s="81"/>
      <c r="O1196" s="642"/>
      <c r="P1196" s="81"/>
      <c r="Q1196" s="80"/>
      <c r="R1196" s="81"/>
      <c r="S1196" s="81"/>
      <c r="T1196" s="81"/>
    </row>
    <row r="1197" customHeight="1" spans="1:20">
      <c r="A1197" s="80"/>
      <c r="B1197" s="81"/>
      <c r="C1197" s="642"/>
      <c r="D1197" s="81"/>
      <c r="E1197" s="81"/>
      <c r="F1197" s="81"/>
      <c r="G1197" s="81"/>
      <c r="H1197" s="81"/>
      <c r="I1197" s="80"/>
      <c r="J1197" s="81"/>
      <c r="K1197" s="80"/>
      <c r="L1197" s="81"/>
      <c r="M1197" s="642"/>
      <c r="N1197" s="81"/>
      <c r="O1197" s="642"/>
      <c r="P1197" s="81"/>
      <c r="Q1197" s="80"/>
      <c r="R1197" s="81"/>
      <c r="S1197" s="81"/>
      <c r="T1197" s="81"/>
    </row>
    <row r="1198" customHeight="1" spans="1:20">
      <c r="A1198" s="80"/>
      <c r="B1198" s="81"/>
      <c r="C1198" s="642"/>
      <c r="D1198" s="81"/>
      <c r="E1198" s="81"/>
      <c r="F1198" s="81"/>
      <c r="G1198" s="81"/>
      <c r="H1198" s="81"/>
      <c r="I1198" s="80"/>
      <c r="J1198" s="81"/>
      <c r="K1198" s="80"/>
      <c r="L1198" s="81"/>
      <c r="M1198" s="642"/>
      <c r="N1198" s="81"/>
      <c r="O1198" s="642"/>
      <c r="P1198" s="81"/>
      <c r="Q1198" s="80"/>
      <c r="R1198" s="81"/>
      <c r="S1198" s="81"/>
      <c r="T1198" s="81"/>
    </row>
    <row r="1199" customHeight="1" spans="1:20">
      <c r="A1199" s="80"/>
      <c r="B1199" s="81"/>
      <c r="C1199" s="642"/>
      <c r="D1199" s="81"/>
      <c r="E1199" s="81"/>
      <c r="F1199" s="81"/>
      <c r="G1199" s="81"/>
      <c r="H1199" s="81"/>
      <c r="I1199" s="80"/>
      <c r="J1199" s="81"/>
      <c r="K1199" s="80"/>
      <c r="L1199" s="81"/>
      <c r="M1199" s="642"/>
      <c r="N1199" s="81"/>
      <c r="O1199" s="642"/>
      <c r="P1199" s="81"/>
      <c r="Q1199" s="80"/>
      <c r="R1199" s="81"/>
      <c r="S1199" s="81"/>
      <c r="T1199" s="81"/>
    </row>
    <row r="1200" customHeight="1" spans="1:20">
      <c r="A1200" s="80"/>
      <c r="B1200" s="81"/>
      <c r="C1200" s="642"/>
      <c r="D1200" s="81"/>
      <c r="E1200" s="81"/>
      <c r="F1200" s="81"/>
      <c r="G1200" s="81"/>
      <c r="H1200" s="81"/>
      <c r="I1200" s="80"/>
      <c r="J1200" s="81"/>
      <c r="K1200" s="80"/>
      <c r="L1200" s="81"/>
      <c r="M1200" s="642"/>
      <c r="N1200" s="81"/>
      <c r="O1200" s="642"/>
      <c r="P1200" s="81"/>
      <c r="Q1200" s="80"/>
      <c r="R1200" s="81"/>
      <c r="S1200" s="81"/>
      <c r="T1200" s="81"/>
    </row>
    <row r="1201" customHeight="1" spans="1:20">
      <c r="A1201" s="80"/>
      <c r="B1201" s="81"/>
      <c r="C1201" s="642"/>
      <c r="D1201" s="81"/>
      <c r="E1201" s="81"/>
      <c r="F1201" s="81"/>
      <c r="G1201" s="81"/>
      <c r="H1201" s="81"/>
      <c r="I1201" s="80"/>
      <c r="J1201" s="81"/>
      <c r="K1201" s="80"/>
      <c r="L1201" s="81"/>
      <c r="M1201" s="642"/>
      <c r="N1201" s="81"/>
      <c r="O1201" s="642"/>
      <c r="P1201" s="81"/>
      <c r="Q1201" s="80"/>
      <c r="R1201" s="81"/>
      <c r="S1201" s="81"/>
      <c r="T1201" s="81"/>
    </row>
    <row r="1202" customHeight="1" spans="1:20">
      <c r="A1202" s="80"/>
      <c r="B1202" s="81"/>
      <c r="C1202" s="642"/>
      <c r="D1202" s="81"/>
      <c r="E1202" s="81"/>
      <c r="F1202" s="81"/>
      <c r="G1202" s="81"/>
      <c r="H1202" s="81"/>
      <c r="I1202" s="80"/>
      <c r="J1202" s="81"/>
      <c r="K1202" s="80"/>
      <c r="L1202" s="81"/>
      <c r="M1202" s="642"/>
      <c r="N1202" s="81"/>
      <c r="O1202" s="642"/>
      <c r="P1202" s="81"/>
      <c r="Q1202" s="80"/>
      <c r="R1202" s="81"/>
      <c r="S1202" s="81"/>
      <c r="T1202" s="81"/>
    </row>
    <row r="1203" customHeight="1" spans="1:20">
      <c r="A1203" s="80"/>
      <c r="B1203" s="81"/>
      <c r="C1203" s="642"/>
      <c r="D1203" s="81"/>
      <c r="E1203" s="81"/>
      <c r="F1203" s="81"/>
      <c r="G1203" s="81"/>
      <c r="H1203" s="81"/>
      <c r="I1203" s="80"/>
      <c r="J1203" s="81"/>
      <c r="K1203" s="80"/>
      <c r="L1203" s="81"/>
      <c r="M1203" s="642"/>
      <c r="N1203" s="81"/>
      <c r="O1203" s="642"/>
      <c r="P1203" s="81"/>
      <c r="Q1203" s="80"/>
      <c r="R1203" s="81"/>
      <c r="S1203" s="81"/>
      <c r="T1203" s="81"/>
    </row>
    <row r="1204" customHeight="1" spans="1:20">
      <c r="A1204" s="80"/>
      <c r="B1204" s="81"/>
      <c r="C1204" s="642"/>
      <c r="D1204" s="81"/>
      <c r="E1204" s="81"/>
      <c r="F1204" s="81"/>
      <c r="G1204" s="81"/>
      <c r="H1204" s="81"/>
      <c r="I1204" s="80"/>
      <c r="J1204" s="81"/>
      <c r="K1204" s="80"/>
      <c r="L1204" s="81"/>
      <c r="M1204" s="642"/>
      <c r="N1204" s="81"/>
      <c r="O1204" s="642"/>
      <c r="P1204" s="81"/>
      <c r="Q1204" s="80"/>
      <c r="R1204" s="81"/>
      <c r="S1204" s="81"/>
      <c r="T1204" s="81"/>
    </row>
    <row r="1205" customHeight="1" spans="1:20">
      <c r="A1205" s="80"/>
      <c r="B1205" s="81"/>
      <c r="C1205" s="642"/>
      <c r="D1205" s="81"/>
      <c r="E1205" s="81"/>
      <c r="F1205" s="81"/>
      <c r="G1205" s="81"/>
      <c r="H1205" s="81"/>
      <c r="I1205" s="80"/>
      <c r="J1205" s="81"/>
      <c r="K1205" s="80"/>
      <c r="L1205" s="81"/>
      <c r="M1205" s="642"/>
      <c r="N1205" s="81"/>
      <c r="O1205" s="642"/>
      <c r="P1205" s="81"/>
      <c r="Q1205" s="80"/>
      <c r="R1205" s="81"/>
      <c r="S1205" s="81"/>
      <c r="T1205" s="81"/>
    </row>
    <row r="1206" customHeight="1" spans="1:20">
      <c r="A1206" s="80"/>
      <c r="B1206" s="81"/>
      <c r="C1206" s="642"/>
      <c r="D1206" s="81"/>
      <c r="E1206" s="81"/>
      <c r="F1206" s="81"/>
      <c r="G1206" s="81"/>
      <c r="H1206" s="81"/>
      <c r="I1206" s="80"/>
      <c r="J1206" s="81"/>
      <c r="K1206" s="80"/>
      <c r="L1206" s="81"/>
      <c r="M1206" s="642"/>
      <c r="N1206" s="81"/>
      <c r="O1206" s="642"/>
      <c r="P1206" s="81"/>
      <c r="Q1206" s="80"/>
      <c r="R1206" s="81"/>
      <c r="S1206" s="81"/>
      <c r="T1206" s="81"/>
    </row>
    <row r="1207" customHeight="1" spans="1:20">
      <c r="A1207" s="80"/>
      <c r="B1207" s="81"/>
      <c r="C1207" s="642"/>
      <c r="D1207" s="81"/>
      <c r="E1207" s="81"/>
      <c r="F1207" s="81"/>
      <c r="G1207" s="81"/>
      <c r="H1207" s="81"/>
      <c r="I1207" s="80"/>
      <c r="J1207" s="81"/>
      <c r="K1207" s="80"/>
      <c r="L1207" s="81"/>
      <c r="M1207" s="642"/>
      <c r="N1207" s="81"/>
      <c r="O1207" s="642"/>
      <c r="P1207" s="81"/>
      <c r="Q1207" s="80"/>
      <c r="R1207" s="81"/>
      <c r="S1207" s="81"/>
      <c r="T1207" s="81"/>
    </row>
    <row r="1208" customHeight="1" spans="1:20">
      <c r="A1208" s="80"/>
      <c r="B1208" s="81"/>
      <c r="C1208" s="642"/>
      <c r="D1208" s="81"/>
      <c r="E1208" s="81"/>
      <c r="F1208" s="81"/>
      <c r="G1208" s="81"/>
      <c r="H1208" s="81"/>
      <c r="I1208" s="80"/>
      <c r="J1208" s="81"/>
      <c r="K1208" s="80"/>
      <c r="L1208" s="81"/>
      <c r="M1208" s="642"/>
      <c r="N1208" s="81"/>
      <c r="O1208" s="642"/>
      <c r="P1208" s="81"/>
      <c r="Q1208" s="80"/>
      <c r="R1208" s="81"/>
      <c r="S1208" s="81"/>
      <c r="T1208" s="81"/>
    </row>
    <row r="1209" customHeight="1" spans="1:20">
      <c r="A1209" s="80"/>
      <c r="B1209" s="81"/>
      <c r="C1209" s="642"/>
      <c r="D1209" s="81"/>
      <c r="E1209" s="81"/>
      <c r="F1209" s="81"/>
      <c r="G1209" s="81"/>
      <c r="H1209" s="81"/>
      <c r="I1209" s="80"/>
      <c r="J1209" s="81"/>
      <c r="K1209" s="80"/>
      <c r="L1209" s="81"/>
      <c r="M1209" s="642"/>
      <c r="N1209" s="81"/>
      <c r="O1209" s="642"/>
      <c r="P1209" s="81"/>
      <c r="Q1209" s="80"/>
      <c r="R1209" s="81"/>
      <c r="S1209" s="81"/>
      <c r="T1209" s="81"/>
    </row>
    <row r="1210" customHeight="1" spans="1:20">
      <c r="A1210" s="80"/>
      <c r="B1210" s="81"/>
      <c r="C1210" s="642"/>
      <c r="D1210" s="81"/>
      <c r="E1210" s="81"/>
      <c r="F1210" s="81"/>
      <c r="G1210" s="81"/>
      <c r="H1210" s="81"/>
      <c r="I1210" s="80"/>
      <c r="J1210" s="81"/>
      <c r="K1210" s="80"/>
      <c r="L1210" s="81"/>
      <c r="M1210" s="642"/>
      <c r="N1210" s="81"/>
      <c r="O1210" s="642"/>
      <c r="P1210" s="81"/>
      <c r="Q1210" s="80"/>
      <c r="R1210" s="81"/>
      <c r="S1210" s="81"/>
      <c r="T1210" s="81"/>
    </row>
    <row r="1211" customHeight="1" spans="1:20">
      <c r="A1211" s="80"/>
      <c r="B1211" s="81"/>
      <c r="C1211" s="642"/>
      <c r="D1211" s="81"/>
      <c r="E1211" s="81"/>
      <c r="F1211" s="81"/>
      <c r="G1211" s="81"/>
      <c r="H1211" s="81"/>
      <c r="I1211" s="80"/>
      <c r="J1211" s="81"/>
      <c r="K1211" s="80"/>
      <c r="L1211" s="81"/>
      <c r="M1211" s="642"/>
      <c r="N1211" s="81"/>
      <c r="O1211" s="642"/>
      <c r="P1211" s="81"/>
      <c r="Q1211" s="80"/>
      <c r="R1211" s="81"/>
      <c r="S1211" s="81"/>
      <c r="T1211" s="81"/>
    </row>
    <row r="1212" customHeight="1" spans="1:20">
      <c r="A1212" s="80"/>
      <c r="B1212" s="81"/>
      <c r="C1212" s="642"/>
      <c r="D1212" s="81"/>
      <c r="E1212" s="81"/>
      <c r="F1212" s="81"/>
      <c r="G1212" s="81"/>
      <c r="H1212" s="81"/>
      <c r="I1212" s="80"/>
      <c r="J1212" s="81"/>
      <c r="K1212" s="80"/>
      <c r="L1212" s="81"/>
      <c r="M1212" s="642"/>
      <c r="N1212" s="81"/>
      <c r="O1212" s="642"/>
      <c r="P1212" s="81"/>
      <c r="Q1212" s="80"/>
      <c r="R1212" s="81"/>
      <c r="S1212" s="81"/>
      <c r="T1212" s="81"/>
    </row>
    <row r="1213" customHeight="1" spans="1:20">
      <c r="A1213" s="80"/>
      <c r="B1213" s="81"/>
      <c r="C1213" s="642"/>
      <c r="D1213" s="81"/>
      <c r="E1213" s="81"/>
      <c r="F1213" s="81"/>
      <c r="G1213" s="81"/>
      <c r="H1213" s="81"/>
      <c r="I1213" s="80"/>
      <c r="J1213" s="81"/>
      <c r="K1213" s="80"/>
      <c r="L1213" s="81"/>
      <c r="M1213" s="642"/>
      <c r="N1213" s="81"/>
      <c r="O1213" s="642"/>
      <c r="P1213" s="81"/>
      <c r="Q1213" s="80"/>
      <c r="R1213" s="81"/>
      <c r="S1213" s="81"/>
      <c r="T1213" s="81"/>
    </row>
    <row r="1214" customHeight="1" spans="1:20">
      <c r="A1214" s="80"/>
      <c r="B1214" s="81"/>
      <c r="C1214" s="642"/>
      <c r="D1214" s="81"/>
      <c r="E1214" s="81"/>
      <c r="F1214" s="81"/>
      <c r="G1214" s="81"/>
      <c r="H1214" s="81"/>
      <c r="I1214" s="80"/>
      <c r="J1214" s="81"/>
      <c r="K1214" s="80"/>
      <c r="L1214" s="81"/>
      <c r="M1214" s="642"/>
      <c r="N1214" s="81"/>
      <c r="O1214" s="642"/>
      <c r="P1214" s="81"/>
      <c r="Q1214" s="80"/>
      <c r="R1214" s="81"/>
      <c r="S1214" s="81"/>
      <c r="T1214" s="81"/>
    </row>
    <row r="1215" customHeight="1" spans="1:20">
      <c r="A1215" s="80"/>
      <c r="B1215" s="81"/>
      <c r="C1215" s="642"/>
      <c r="D1215" s="81"/>
      <c r="E1215" s="81"/>
      <c r="F1215" s="81"/>
      <c r="G1215" s="81"/>
      <c r="H1215" s="81"/>
      <c r="I1215" s="80"/>
      <c r="J1215" s="81"/>
      <c r="K1215" s="80"/>
      <c r="L1215" s="81"/>
      <c r="M1215" s="642"/>
      <c r="N1215" s="81"/>
      <c r="O1215" s="642"/>
      <c r="P1215" s="81"/>
      <c r="Q1215" s="80"/>
      <c r="R1215" s="81"/>
      <c r="S1215" s="81"/>
      <c r="T1215" s="81"/>
    </row>
    <row r="1216" customHeight="1" spans="1:20">
      <c r="A1216" s="80"/>
      <c r="B1216" s="81"/>
      <c r="C1216" s="642"/>
      <c r="D1216" s="81"/>
      <c r="E1216" s="81"/>
      <c r="F1216" s="81"/>
      <c r="G1216" s="81"/>
      <c r="H1216" s="81"/>
      <c r="I1216" s="80"/>
      <c r="J1216" s="81"/>
      <c r="K1216" s="80"/>
      <c r="L1216" s="81"/>
      <c r="M1216" s="642"/>
      <c r="N1216" s="81"/>
      <c r="O1216" s="642"/>
      <c r="P1216" s="81"/>
      <c r="Q1216" s="80"/>
      <c r="R1216" s="81"/>
      <c r="S1216" s="81"/>
      <c r="T1216" s="81"/>
    </row>
    <row r="1217" customHeight="1" spans="1:20">
      <c r="A1217" s="80"/>
      <c r="B1217" s="81"/>
      <c r="C1217" s="642"/>
      <c r="D1217" s="81"/>
      <c r="E1217" s="81"/>
      <c r="F1217" s="81"/>
      <c r="G1217" s="81"/>
      <c r="H1217" s="81"/>
      <c r="I1217" s="80"/>
      <c r="J1217" s="81"/>
      <c r="K1217" s="80"/>
      <c r="L1217" s="81"/>
      <c r="M1217" s="642"/>
      <c r="N1217" s="81"/>
      <c r="O1217" s="642"/>
      <c r="P1217" s="81"/>
      <c r="Q1217" s="80"/>
      <c r="R1217" s="81"/>
      <c r="S1217" s="81"/>
      <c r="T1217" s="81"/>
    </row>
    <row r="1218" customHeight="1" spans="1:20">
      <c r="A1218" s="80"/>
      <c r="B1218" s="81"/>
      <c r="C1218" s="642"/>
      <c r="D1218" s="81"/>
      <c r="E1218" s="81"/>
      <c r="F1218" s="81"/>
      <c r="G1218" s="81"/>
      <c r="H1218" s="81"/>
      <c r="I1218" s="80"/>
      <c r="J1218" s="81"/>
      <c r="K1218" s="80"/>
      <c r="L1218" s="81"/>
      <c r="M1218" s="642"/>
      <c r="N1218" s="81"/>
      <c r="O1218" s="642"/>
      <c r="P1218" s="81"/>
      <c r="Q1218" s="80"/>
      <c r="R1218" s="81"/>
      <c r="S1218" s="81"/>
      <c r="T1218" s="81"/>
    </row>
    <row r="1219" customHeight="1" spans="1:20">
      <c r="A1219" s="80"/>
      <c r="B1219" s="81"/>
      <c r="C1219" s="642"/>
      <c r="D1219" s="81"/>
      <c r="E1219" s="81"/>
      <c r="F1219" s="81"/>
      <c r="G1219" s="81"/>
      <c r="H1219" s="81"/>
      <c r="I1219" s="80"/>
      <c r="J1219" s="81"/>
      <c r="K1219" s="80"/>
      <c r="L1219" s="81"/>
      <c r="M1219" s="642"/>
      <c r="N1219" s="81"/>
      <c r="O1219" s="642"/>
      <c r="P1219" s="81"/>
      <c r="Q1219" s="80"/>
      <c r="R1219" s="81"/>
      <c r="S1219" s="81"/>
      <c r="T1219" s="81"/>
    </row>
    <row r="1220" customHeight="1" spans="1:20">
      <c r="A1220" s="80"/>
      <c r="B1220" s="81"/>
      <c r="C1220" s="642"/>
      <c r="D1220" s="81"/>
      <c r="E1220" s="81"/>
      <c r="F1220" s="81"/>
      <c r="G1220" s="81"/>
      <c r="H1220" s="81"/>
      <c r="I1220" s="80"/>
      <c r="J1220" s="81"/>
      <c r="K1220" s="80"/>
      <c r="L1220" s="81"/>
      <c r="M1220" s="642"/>
      <c r="N1220" s="81"/>
      <c r="O1220" s="642"/>
      <c r="P1220" s="81"/>
      <c r="Q1220" s="80"/>
      <c r="R1220" s="81"/>
      <c r="S1220" s="81"/>
      <c r="T1220" s="81"/>
    </row>
    <row r="1221" customHeight="1" spans="1:20">
      <c r="A1221" s="80"/>
      <c r="B1221" s="81"/>
      <c r="C1221" s="642"/>
      <c r="D1221" s="81"/>
      <c r="E1221" s="81"/>
      <c r="F1221" s="81"/>
      <c r="G1221" s="81"/>
      <c r="H1221" s="81"/>
      <c r="I1221" s="80"/>
      <c r="J1221" s="81"/>
      <c r="K1221" s="80"/>
      <c r="L1221" s="81"/>
      <c r="M1221" s="642"/>
      <c r="N1221" s="81"/>
      <c r="O1221" s="642"/>
      <c r="P1221" s="81"/>
      <c r="Q1221" s="80"/>
      <c r="R1221" s="81"/>
      <c r="S1221" s="81"/>
      <c r="T1221" s="81"/>
    </row>
    <row r="1222" customHeight="1" spans="1:20">
      <c r="A1222" s="80"/>
      <c r="B1222" s="81"/>
      <c r="C1222" s="642"/>
      <c r="D1222" s="81"/>
      <c r="E1222" s="81"/>
      <c r="F1222" s="81"/>
      <c r="G1222" s="81"/>
      <c r="H1222" s="81"/>
      <c r="I1222" s="80"/>
      <c r="J1222" s="81"/>
      <c r="K1222" s="80"/>
      <c r="L1222" s="81"/>
      <c r="M1222" s="642"/>
      <c r="N1222" s="81"/>
      <c r="O1222" s="642"/>
      <c r="P1222" s="81"/>
      <c r="Q1222" s="80"/>
      <c r="R1222" s="81"/>
      <c r="S1222" s="81"/>
      <c r="T1222" s="81"/>
    </row>
    <row r="1223" customHeight="1" spans="1:20">
      <c r="A1223" s="80"/>
      <c r="B1223" s="81"/>
      <c r="C1223" s="642"/>
      <c r="D1223" s="81"/>
      <c r="E1223" s="81"/>
      <c r="F1223" s="81"/>
      <c r="G1223" s="81"/>
      <c r="H1223" s="81"/>
      <c r="I1223" s="80"/>
      <c r="J1223" s="81"/>
      <c r="K1223" s="80"/>
      <c r="L1223" s="81"/>
      <c r="M1223" s="642"/>
      <c r="N1223" s="81"/>
      <c r="O1223" s="642"/>
      <c r="P1223" s="81"/>
      <c r="Q1223" s="80"/>
      <c r="R1223" s="81"/>
      <c r="S1223" s="81"/>
      <c r="T1223" s="81"/>
    </row>
    <row r="1224" customHeight="1" spans="1:20">
      <c r="A1224" s="80"/>
      <c r="B1224" s="81"/>
      <c r="C1224" s="642"/>
      <c r="D1224" s="81"/>
      <c r="E1224" s="81"/>
      <c r="F1224" s="81"/>
      <c r="G1224" s="81"/>
      <c r="H1224" s="81"/>
      <c r="I1224" s="80"/>
      <c r="J1224" s="81"/>
      <c r="K1224" s="80"/>
      <c r="L1224" s="81"/>
      <c r="M1224" s="642"/>
      <c r="N1224" s="81"/>
      <c r="O1224" s="642"/>
      <c r="P1224" s="81"/>
      <c r="Q1224" s="80"/>
      <c r="R1224" s="81"/>
      <c r="S1224" s="81"/>
      <c r="T1224" s="81"/>
    </row>
    <row r="1225" customHeight="1" spans="1:20">
      <c r="A1225" s="80"/>
      <c r="B1225" s="81"/>
      <c r="C1225" s="642"/>
      <c r="D1225" s="81"/>
      <c r="E1225" s="81"/>
      <c r="F1225" s="81"/>
      <c r="G1225" s="81"/>
      <c r="H1225" s="81"/>
      <c r="I1225" s="80"/>
      <c r="J1225" s="81"/>
      <c r="K1225" s="80"/>
      <c r="L1225" s="81"/>
      <c r="M1225" s="642"/>
      <c r="N1225" s="81"/>
      <c r="O1225" s="642"/>
      <c r="P1225" s="81"/>
      <c r="Q1225" s="80"/>
      <c r="R1225" s="81"/>
      <c r="S1225" s="81"/>
      <c r="T1225" s="81"/>
    </row>
    <row r="1226" customHeight="1" spans="1:20">
      <c r="A1226" s="80"/>
      <c r="B1226" s="81"/>
      <c r="C1226" s="642"/>
      <c r="D1226" s="81"/>
      <c r="E1226" s="81"/>
      <c r="F1226" s="81"/>
      <c r="G1226" s="81"/>
      <c r="H1226" s="81"/>
      <c r="I1226" s="80"/>
      <c r="J1226" s="81"/>
      <c r="K1226" s="80"/>
      <c r="L1226" s="81"/>
      <c r="M1226" s="642"/>
      <c r="N1226" s="81"/>
      <c r="O1226" s="642"/>
      <c r="P1226" s="81"/>
      <c r="Q1226" s="80"/>
      <c r="R1226" s="81"/>
      <c r="S1226" s="81"/>
      <c r="T1226" s="81"/>
    </row>
    <row r="1227" customHeight="1" spans="1:20">
      <c r="A1227" s="80"/>
      <c r="B1227" s="81"/>
      <c r="C1227" s="642"/>
      <c r="D1227" s="81"/>
      <c r="E1227" s="81"/>
      <c r="F1227" s="81"/>
      <c r="G1227" s="81"/>
      <c r="H1227" s="81"/>
      <c r="I1227" s="80"/>
      <c r="J1227" s="81"/>
      <c r="K1227" s="80"/>
      <c r="L1227" s="81"/>
      <c r="M1227" s="642"/>
      <c r="N1227" s="81"/>
      <c r="O1227" s="642"/>
      <c r="P1227" s="81"/>
      <c r="Q1227" s="80"/>
      <c r="R1227" s="81"/>
      <c r="S1227" s="81"/>
      <c r="T1227" s="81"/>
    </row>
    <row r="1228" customHeight="1" spans="1:20">
      <c r="A1228" s="80"/>
      <c r="B1228" s="81"/>
      <c r="C1228" s="642"/>
      <c r="D1228" s="81"/>
      <c r="E1228" s="81"/>
      <c r="F1228" s="81"/>
      <c r="G1228" s="81"/>
      <c r="H1228" s="81"/>
      <c r="I1228" s="80"/>
      <c r="J1228" s="81"/>
      <c r="K1228" s="80"/>
      <c r="L1228" s="81"/>
      <c r="M1228" s="642"/>
      <c r="N1228" s="81"/>
      <c r="O1228" s="642"/>
      <c r="P1228" s="81"/>
      <c r="Q1228" s="80"/>
      <c r="R1228" s="81"/>
      <c r="S1228" s="81"/>
      <c r="T1228" s="81"/>
    </row>
    <row r="1229" customHeight="1" spans="1:20">
      <c r="A1229" s="80"/>
      <c r="B1229" s="81"/>
      <c r="C1229" s="642"/>
      <c r="D1229" s="81"/>
      <c r="E1229" s="81"/>
      <c r="F1229" s="81"/>
      <c r="G1229" s="81"/>
      <c r="H1229" s="81"/>
      <c r="I1229" s="80"/>
      <c r="J1229" s="81"/>
      <c r="K1229" s="80"/>
      <c r="L1229" s="81"/>
      <c r="M1229" s="642"/>
      <c r="N1229" s="81"/>
      <c r="O1229" s="642"/>
      <c r="P1229" s="81"/>
      <c r="Q1229" s="80"/>
      <c r="R1229" s="81"/>
      <c r="S1229" s="81"/>
      <c r="T1229" s="81"/>
    </row>
    <row r="1230" customHeight="1" spans="1:20">
      <c r="A1230" s="80"/>
      <c r="B1230" s="81"/>
      <c r="C1230" s="642"/>
      <c r="D1230" s="81"/>
      <c r="E1230" s="81"/>
      <c r="F1230" s="81"/>
      <c r="G1230" s="81"/>
      <c r="H1230" s="81"/>
      <c r="I1230" s="80"/>
      <c r="J1230" s="81"/>
      <c r="K1230" s="80"/>
      <c r="L1230" s="81"/>
      <c r="M1230" s="642"/>
      <c r="N1230" s="81"/>
      <c r="O1230" s="642"/>
      <c r="P1230" s="81"/>
      <c r="Q1230" s="80"/>
      <c r="R1230" s="81"/>
      <c r="S1230" s="81"/>
      <c r="T1230" s="81"/>
    </row>
    <row r="1231" customHeight="1" spans="1:20">
      <c r="A1231" s="80"/>
      <c r="B1231" s="81"/>
      <c r="C1231" s="642"/>
      <c r="D1231" s="81"/>
      <c r="E1231" s="81"/>
      <c r="F1231" s="81"/>
      <c r="G1231" s="81"/>
      <c r="H1231" s="81"/>
      <c r="I1231" s="80"/>
      <c r="J1231" s="81"/>
      <c r="K1231" s="80"/>
      <c r="L1231" s="81"/>
      <c r="M1231" s="642"/>
      <c r="N1231" s="81"/>
      <c r="O1231" s="642"/>
      <c r="P1231" s="81"/>
      <c r="Q1231" s="80"/>
      <c r="R1231" s="81"/>
      <c r="S1231" s="81"/>
      <c r="T1231" s="81"/>
    </row>
    <row r="1232" customHeight="1" spans="1:20">
      <c r="A1232" s="80"/>
      <c r="B1232" s="81"/>
      <c r="C1232" s="642"/>
      <c r="D1232" s="81"/>
      <c r="E1232" s="81"/>
      <c r="F1232" s="81"/>
      <c r="G1232" s="81"/>
      <c r="H1232" s="81"/>
      <c r="I1232" s="80"/>
      <c r="J1232" s="81"/>
      <c r="K1232" s="80"/>
      <c r="L1232" s="81"/>
      <c r="M1232" s="642"/>
      <c r="N1232" s="81"/>
      <c r="O1232" s="642"/>
      <c r="P1232" s="81"/>
      <c r="Q1232" s="80"/>
      <c r="R1232" s="81"/>
      <c r="S1232" s="81"/>
      <c r="T1232" s="81"/>
    </row>
    <row r="1233" customHeight="1" spans="1:20">
      <c r="A1233" s="80"/>
      <c r="B1233" s="81"/>
      <c r="C1233" s="642"/>
      <c r="D1233" s="81"/>
      <c r="E1233" s="81"/>
      <c r="F1233" s="81"/>
      <c r="G1233" s="81"/>
      <c r="H1233" s="81"/>
      <c r="I1233" s="80"/>
      <c r="J1233" s="81"/>
      <c r="K1233" s="80"/>
      <c r="L1233" s="81"/>
      <c r="M1233" s="642"/>
      <c r="N1233" s="81"/>
      <c r="O1233" s="642"/>
      <c r="P1233" s="81"/>
      <c r="Q1233" s="80"/>
      <c r="R1233" s="81"/>
      <c r="S1233" s="81"/>
      <c r="T1233" s="81"/>
    </row>
    <row r="1234" customHeight="1" spans="1:20">
      <c r="A1234" s="80"/>
      <c r="B1234" s="81"/>
      <c r="C1234" s="642"/>
      <c r="D1234" s="81"/>
      <c r="E1234" s="81"/>
      <c r="F1234" s="81"/>
      <c r="G1234" s="81"/>
      <c r="H1234" s="81"/>
      <c r="I1234" s="80"/>
      <c r="J1234" s="81"/>
      <c r="K1234" s="80"/>
      <c r="L1234" s="81"/>
      <c r="M1234" s="642"/>
      <c r="N1234" s="81"/>
      <c r="O1234" s="642"/>
      <c r="P1234" s="81"/>
      <c r="Q1234" s="80"/>
      <c r="R1234" s="81"/>
      <c r="S1234" s="81"/>
      <c r="T1234" s="81"/>
    </row>
    <row r="1235" customHeight="1" spans="1:20">
      <c r="A1235" s="80"/>
      <c r="B1235" s="81"/>
      <c r="C1235" s="642"/>
      <c r="D1235" s="81"/>
      <c r="E1235" s="81"/>
      <c r="F1235" s="81"/>
      <c r="G1235" s="81"/>
      <c r="H1235" s="81"/>
      <c r="I1235" s="80"/>
      <c r="J1235" s="81"/>
      <c r="K1235" s="80"/>
      <c r="L1235" s="81"/>
      <c r="M1235" s="642"/>
      <c r="N1235" s="81"/>
      <c r="O1235" s="642"/>
      <c r="P1235" s="81"/>
      <c r="Q1235" s="80"/>
      <c r="R1235" s="81"/>
      <c r="S1235" s="81"/>
      <c r="T1235" s="81"/>
    </row>
    <row r="1236" customHeight="1" spans="1:20">
      <c r="A1236" s="80"/>
      <c r="B1236" s="81"/>
      <c r="C1236" s="642"/>
      <c r="D1236" s="81"/>
      <c r="E1236" s="81"/>
      <c r="F1236" s="81"/>
      <c r="G1236" s="81"/>
      <c r="H1236" s="81"/>
      <c r="I1236" s="80"/>
      <c r="J1236" s="81"/>
      <c r="K1236" s="80"/>
      <c r="L1236" s="81"/>
      <c r="M1236" s="642"/>
      <c r="N1236" s="81"/>
      <c r="O1236" s="642"/>
      <c r="P1236" s="81"/>
      <c r="Q1236" s="80"/>
      <c r="R1236" s="81"/>
      <c r="S1236" s="81"/>
      <c r="T1236" s="81"/>
    </row>
    <row r="1237" customHeight="1" spans="1:20">
      <c r="A1237" s="80"/>
      <c r="B1237" s="81"/>
      <c r="C1237" s="642"/>
      <c r="D1237" s="81"/>
      <c r="E1237" s="81"/>
      <c r="F1237" s="81"/>
      <c r="G1237" s="81"/>
      <c r="H1237" s="81"/>
      <c r="I1237" s="80"/>
      <c r="J1237" s="81"/>
      <c r="K1237" s="80"/>
      <c r="L1237" s="81"/>
      <c r="M1237" s="642"/>
      <c r="N1237" s="81"/>
      <c r="O1237" s="642"/>
      <c r="P1237" s="81"/>
      <c r="Q1237" s="80"/>
      <c r="R1237" s="81"/>
      <c r="S1237" s="81"/>
      <c r="T1237" s="81"/>
    </row>
    <row r="1238" customHeight="1" spans="1:20">
      <c r="A1238" s="80"/>
      <c r="B1238" s="81"/>
      <c r="C1238" s="642"/>
      <c r="D1238" s="81"/>
      <c r="E1238" s="81"/>
      <c r="F1238" s="81"/>
      <c r="G1238" s="81"/>
      <c r="H1238" s="81"/>
      <c r="I1238" s="80"/>
      <c r="J1238" s="81"/>
      <c r="K1238" s="80"/>
      <c r="L1238" s="81"/>
      <c r="M1238" s="642"/>
      <c r="N1238" s="81"/>
      <c r="O1238" s="642"/>
      <c r="P1238" s="81"/>
      <c r="Q1238" s="80"/>
      <c r="R1238" s="81"/>
      <c r="S1238" s="81"/>
      <c r="T1238" s="81"/>
    </row>
    <row r="1239" customHeight="1" spans="1:20">
      <c r="A1239" s="80"/>
      <c r="B1239" s="81"/>
      <c r="C1239" s="642"/>
      <c r="D1239" s="81"/>
      <c r="E1239" s="81"/>
      <c r="F1239" s="81"/>
      <c r="G1239" s="81"/>
      <c r="H1239" s="81"/>
      <c r="I1239" s="80"/>
      <c r="J1239" s="81"/>
      <c r="K1239" s="80"/>
      <c r="L1239" s="81"/>
      <c r="M1239" s="642"/>
      <c r="N1239" s="81"/>
      <c r="O1239" s="642"/>
      <c r="P1239" s="81"/>
      <c r="Q1239" s="80"/>
      <c r="R1239" s="81"/>
      <c r="S1239" s="81"/>
      <c r="T1239" s="81"/>
    </row>
    <row r="1240" customHeight="1" spans="1:20">
      <c r="A1240" s="80"/>
      <c r="B1240" s="81"/>
      <c r="C1240" s="642"/>
      <c r="D1240" s="81"/>
      <c r="E1240" s="81"/>
      <c r="F1240" s="81"/>
      <c r="G1240" s="81"/>
      <c r="H1240" s="81"/>
      <c r="I1240" s="80"/>
      <c r="J1240" s="81"/>
      <c r="K1240" s="80"/>
      <c r="L1240" s="81"/>
      <c r="M1240" s="642"/>
      <c r="N1240" s="81"/>
      <c r="O1240" s="642"/>
      <c r="P1240" s="81"/>
      <c r="Q1240" s="80"/>
      <c r="R1240" s="81"/>
      <c r="S1240" s="81"/>
      <c r="T1240" s="81"/>
    </row>
    <row r="1241" customHeight="1" spans="1:20">
      <c r="A1241" s="80"/>
      <c r="B1241" s="81"/>
      <c r="C1241" s="642"/>
      <c r="D1241" s="81"/>
      <c r="E1241" s="81"/>
      <c r="F1241" s="81"/>
      <c r="G1241" s="81"/>
      <c r="H1241" s="81"/>
      <c r="I1241" s="80"/>
      <c r="J1241" s="81"/>
      <c r="K1241" s="80"/>
      <c r="L1241" s="81"/>
      <c r="M1241" s="642"/>
      <c r="N1241" s="81"/>
      <c r="O1241" s="642"/>
      <c r="P1241" s="81"/>
      <c r="Q1241" s="80"/>
      <c r="R1241" s="81"/>
      <c r="S1241" s="81"/>
      <c r="T1241" s="81"/>
    </row>
    <row r="1242" customHeight="1" spans="1:20">
      <c r="A1242" s="80"/>
      <c r="B1242" s="81"/>
      <c r="C1242" s="642"/>
      <c r="D1242" s="81"/>
      <c r="E1242" s="81"/>
      <c r="F1242" s="81"/>
      <c r="G1242" s="81"/>
      <c r="H1242" s="81"/>
      <c r="I1242" s="80"/>
      <c r="J1242" s="81"/>
      <c r="K1242" s="80"/>
      <c r="L1242" s="81"/>
      <c r="M1242" s="642"/>
      <c r="N1242" s="81"/>
      <c r="O1242" s="642"/>
      <c r="P1242" s="81"/>
      <c r="Q1242" s="80"/>
      <c r="R1242" s="81"/>
      <c r="S1242" s="81"/>
      <c r="T1242" s="81"/>
    </row>
    <row r="1243" customHeight="1" spans="1:20">
      <c r="A1243" s="80"/>
      <c r="B1243" s="81"/>
      <c r="C1243" s="642"/>
      <c r="D1243" s="81"/>
      <c r="E1243" s="81"/>
      <c r="F1243" s="81"/>
      <c r="G1243" s="81"/>
      <c r="H1243" s="81"/>
      <c r="I1243" s="80"/>
      <c r="J1243" s="81"/>
      <c r="K1243" s="80"/>
      <c r="L1243" s="81"/>
      <c r="M1243" s="642"/>
      <c r="N1243" s="81"/>
      <c r="O1243" s="642"/>
      <c r="P1243" s="81"/>
      <c r="Q1243" s="80"/>
      <c r="R1243" s="81"/>
      <c r="S1243" s="81"/>
      <c r="T1243" s="81"/>
    </row>
    <row r="1244" customHeight="1" spans="1:20">
      <c r="A1244" s="80"/>
      <c r="B1244" s="81"/>
      <c r="C1244" s="642"/>
      <c r="D1244" s="81"/>
      <c r="E1244" s="81"/>
      <c r="F1244" s="81"/>
      <c r="G1244" s="81"/>
      <c r="H1244" s="81"/>
      <c r="I1244" s="80"/>
      <c r="J1244" s="81"/>
      <c r="K1244" s="80"/>
      <c r="L1244" s="81"/>
      <c r="M1244" s="642"/>
      <c r="N1244" s="81"/>
      <c r="O1244" s="642"/>
      <c r="P1244" s="81"/>
      <c r="Q1244" s="80"/>
      <c r="R1244" s="81"/>
      <c r="S1244" s="81"/>
      <c r="T1244" s="81"/>
    </row>
    <row r="1245" customHeight="1" spans="1:20">
      <c r="A1245" s="80"/>
      <c r="B1245" s="81"/>
      <c r="C1245" s="642"/>
      <c r="D1245" s="81"/>
      <c r="E1245" s="81"/>
      <c r="F1245" s="81"/>
      <c r="G1245" s="81"/>
      <c r="H1245" s="81"/>
      <c r="I1245" s="80"/>
      <c r="J1245" s="81"/>
      <c r="K1245" s="80"/>
      <c r="L1245" s="81"/>
      <c r="M1245" s="642"/>
      <c r="N1245" s="81"/>
      <c r="O1245" s="642"/>
      <c r="P1245" s="81"/>
      <c r="Q1245" s="80"/>
      <c r="R1245" s="81"/>
      <c r="S1245" s="81"/>
      <c r="T1245" s="81"/>
    </row>
    <row r="1246" customHeight="1" spans="1:20">
      <c r="A1246" s="80"/>
      <c r="B1246" s="81"/>
      <c r="C1246" s="642"/>
      <c r="D1246" s="81"/>
      <c r="E1246" s="81"/>
      <c r="F1246" s="81"/>
      <c r="G1246" s="81"/>
      <c r="H1246" s="81"/>
      <c r="I1246" s="80"/>
      <c r="J1246" s="81"/>
      <c r="K1246" s="80"/>
      <c r="L1246" s="81"/>
      <c r="M1246" s="642"/>
      <c r="N1246" s="81"/>
      <c r="O1246" s="642"/>
      <c r="P1246" s="81"/>
      <c r="Q1246" s="80"/>
      <c r="R1246" s="81"/>
      <c r="S1246" s="81"/>
      <c r="T1246" s="81"/>
    </row>
    <row r="1247" customHeight="1" spans="1:20">
      <c r="A1247" s="80"/>
      <c r="B1247" s="81"/>
      <c r="C1247" s="642"/>
      <c r="D1247" s="81"/>
      <c r="E1247" s="81"/>
      <c r="F1247" s="81"/>
      <c r="G1247" s="81"/>
      <c r="H1247" s="81"/>
      <c r="I1247" s="80"/>
      <c r="J1247" s="81"/>
      <c r="K1247" s="80"/>
      <c r="L1247" s="81"/>
      <c r="M1247" s="642"/>
      <c r="N1247" s="81"/>
      <c r="O1247" s="642"/>
      <c r="P1247" s="81"/>
      <c r="Q1247" s="80"/>
      <c r="R1247" s="81"/>
      <c r="S1247" s="81"/>
      <c r="T1247" s="81"/>
    </row>
    <row r="1248" customHeight="1" spans="1:20">
      <c r="A1248" s="80"/>
      <c r="B1248" s="81"/>
      <c r="C1248" s="642"/>
      <c r="D1248" s="81"/>
      <c r="E1248" s="81"/>
      <c r="F1248" s="81"/>
      <c r="G1248" s="81"/>
      <c r="H1248" s="81"/>
      <c r="I1248" s="80"/>
      <c r="J1248" s="81"/>
      <c r="K1248" s="80"/>
      <c r="L1248" s="81"/>
      <c r="M1248" s="642"/>
      <c r="N1248" s="81"/>
      <c r="O1248" s="642"/>
      <c r="P1248" s="81"/>
      <c r="Q1248" s="80"/>
      <c r="R1248" s="81"/>
      <c r="S1248" s="81"/>
      <c r="T1248" s="81"/>
    </row>
    <row r="1249" customHeight="1" spans="1:20">
      <c r="A1249" s="80"/>
      <c r="B1249" s="81"/>
      <c r="C1249" s="642"/>
      <c r="D1249" s="81"/>
      <c r="E1249" s="81"/>
      <c r="F1249" s="81"/>
      <c r="G1249" s="81"/>
      <c r="H1249" s="81"/>
      <c r="I1249" s="80"/>
      <c r="J1249" s="81"/>
      <c r="K1249" s="80"/>
      <c r="L1249" s="81"/>
      <c r="M1249" s="642"/>
      <c r="N1249" s="81"/>
      <c r="O1249" s="642"/>
      <c r="P1249" s="81"/>
      <c r="Q1249" s="80"/>
      <c r="R1249" s="81"/>
      <c r="S1249" s="81"/>
      <c r="T1249" s="81"/>
    </row>
    <row r="1250" customHeight="1" spans="1:20">
      <c r="A1250" s="80"/>
      <c r="B1250" s="81"/>
      <c r="C1250" s="642"/>
      <c r="D1250" s="81"/>
      <c r="E1250" s="81"/>
      <c r="F1250" s="81"/>
      <c r="G1250" s="81"/>
      <c r="H1250" s="81"/>
      <c r="I1250" s="80"/>
      <c r="J1250" s="81"/>
      <c r="K1250" s="80"/>
      <c r="L1250" s="81"/>
      <c r="M1250" s="642"/>
      <c r="N1250" s="81"/>
      <c r="O1250" s="642"/>
      <c r="P1250" s="81"/>
      <c r="Q1250" s="80"/>
      <c r="R1250" s="81"/>
      <c r="S1250" s="81"/>
      <c r="T1250" s="81"/>
    </row>
    <row r="1251" customHeight="1" spans="1:20">
      <c r="A1251" s="80"/>
      <c r="B1251" s="81"/>
      <c r="C1251" s="642"/>
      <c r="D1251" s="81"/>
      <c r="E1251" s="81"/>
      <c r="F1251" s="81"/>
      <c r="G1251" s="81"/>
      <c r="H1251" s="81"/>
      <c r="I1251" s="80"/>
      <c r="J1251" s="81"/>
      <c r="K1251" s="80"/>
      <c r="L1251" s="81"/>
      <c r="M1251" s="642"/>
      <c r="N1251" s="81"/>
      <c r="O1251" s="642"/>
      <c r="P1251" s="81"/>
      <c r="Q1251" s="80"/>
      <c r="R1251" s="81"/>
      <c r="S1251" s="81"/>
      <c r="T1251" s="81"/>
    </row>
    <row r="1252" customHeight="1" spans="1:20">
      <c r="A1252" s="80"/>
      <c r="B1252" s="81"/>
      <c r="C1252" s="642"/>
      <c r="D1252" s="81"/>
      <c r="E1252" s="81"/>
      <c r="F1252" s="81"/>
      <c r="G1252" s="81"/>
      <c r="H1252" s="81"/>
      <c r="I1252" s="80"/>
      <c r="J1252" s="81"/>
      <c r="K1252" s="80"/>
      <c r="L1252" s="81"/>
      <c r="M1252" s="642"/>
      <c r="N1252" s="81"/>
      <c r="O1252" s="642"/>
      <c r="P1252" s="81"/>
      <c r="Q1252" s="80"/>
      <c r="R1252" s="81"/>
      <c r="S1252" s="81"/>
      <c r="T1252" s="81"/>
    </row>
    <row r="1253" customHeight="1" spans="1:20">
      <c r="A1253" s="80"/>
      <c r="B1253" s="81"/>
      <c r="C1253" s="642"/>
      <c r="D1253" s="81"/>
      <c r="E1253" s="81"/>
      <c r="F1253" s="81"/>
      <c r="G1253" s="81"/>
      <c r="H1253" s="81"/>
      <c r="I1253" s="80"/>
      <c r="J1253" s="81"/>
      <c r="K1253" s="80"/>
      <c r="L1253" s="81"/>
      <c r="M1253" s="642"/>
      <c r="N1253" s="81"/>
      <c r="O1253" s="642"/>
      <c r="P1253" s="81"/>
      <c r="Q1253" s="80"/>
      <c r="R1253" s="81"/>
      <c r="S1253" s="81"/>
      <c r="T1253" s="81"/>
    </row>
    <row r="1254" customHeight="1" spans="1:20">
      <c r="A1254" s="80"/>
      <c r="B1254" s="81"/>
      <c r="C1254" s="642"/>
      <c r="D1254" s="81"/>
      <c r="E1254" s="81"/>
      <c r="F1254" s="81"/>
      <c r="G1254" s="81"/>
      <c r="H1254" s="81"/>
      <c r="I1254" s="80"/>
      <c r="J1254" s="81"/>
      <c r="K1254" s="80"/>
      <c r="L1254" s="81"/>
      <c r="M1254" s="642"/>
      <c r="N1254" s="81"/>
      <c r="O1254" s="642"/>
      <c r="P1254" s="81"/>
      <c r="Q1254" s="80"/>
      <c r="R1254" s="81"/>
      <c r="S1254" s="81"/>
      <c r="T1254" s="81"/>
    </row>
    <row r="1255" customHeight="1" spans="1:20">
      <c r="A1255" s="80"/>
      <c r="B1255" s="81"/>
      <c r="C1255" s="642"/>
      <c r="D1255" s="81"/>
      <c r="E1255" s="81"/>
      <c r="F1255" s="81"/>
      <c r="G1255" s="81"/>
      <c r="H1255" s="81"/>
      <c r="I1255" s="80"/>
      <c r="J1255" s="81"/>
      <c r="K1255" s="80"/>
      <c r="L1255" s="81"/>
      <c r="M1255" s="642"/>
      <c r="N1255" s="81"/>
      <c r="O1255" s="642"/>
      <c r="P1255" s="81"/>
      <c r="Q1255" s="80"/>
      <c r="R1255" s="81"/>
      <c r="S1255" s="81"/>
      <c r="T1255" s="81"/>
    </row>
    <row r="1256" customHeight="1" spans="1:20">
      <c r="A1256" s="80"/>
      <c r="B1256" s="81"/>
      <c r="C1256" s="642"/>
      <c r="D1256" s="81"/>
      <c r="E1256" s="81"/>
      <c r="F1256" s="81"/>
      <c r="G1256" s="81"/>
      <c r="H1256" s="81"/>
      <c r="I1256" s="80"/>
      <c r="J1256" s="81"/>
      <c r="K1256" s="80"/>
      <c r="L1256" s="81"/>
      <c r="M1256" s="642"/>
      <c r="N1256" s="81"/>
      <c r="O1256" s="642"/>
      <c r="P1256" s="81"/>
      <c r="Q1256" s="80"/>
      <c r="R1256" s="81"/>
      <c r="S1256" s="81"/>
      <c r="T1256" s="81"/>
    </row>
    <row r="1257" customHeight="1" spans="1:20">
      <c r="A1257" s="80"/>
      <c r="B1257" s="81"/>
      <c r="C1257" s="642"/>
      <c r="D1257" s="81"/>
      <c r="E1257" s="81"/>
      <c r="F1257" s="81"/>
      <c r="G1257" s="81"/>
      <c r="H1257" s="81"/>
      <c r="I1257" s="80"/>
      <c r="J1257" s="81"/>
      <c r="K1257" s="80"/>
      <c r="L1257" s="81"/>
      <c r="M1257" s="642"/>
      <c r="N1257" s="81"/>
      <c r="O1257" s="642"/>
      <c r="P1257" s="81"/>
      <c r="Q1257" s="80"/>
      <c r="R1257" s="81"/>
      <c r="S1257" s="81"/>
      <c r="T1257" s="81"/>
    </row>
    <row r="1258" customHeight="1" spans="1:20">
      <c r="A1258" s="80"/>
      <c r="B1258" s="81"/>
      <c r="C1258" s="642"/>
      <c r="D1258" s="81"/>
      <c r="E1258" s="81"/>
      <c r="F1258" s="81"/>
      <c r="G1258" s="81"/>
      <c r="H1258" s="81"/>
      <c r="I1258" s="80"/>
      <c r="J1258" s="81"/>
      <c r="K1258" s="80"/>
      <c r="L1258" s="81"/>
      <c r="M1258" s="642"/>
      <c r="N1258" s="81"/>
      <c r="O1258" s="642"/>
      <c r="P1258" s="81"/>
      <c r="Q1258" s="80"/>
      <c r="R1258" s="81"/>
      <c r="S1258" s="81"/>
      <c r="T1258" s="81"/>
    </row>
    <row r="1259" customHeight="1" spans="1:20">
      <c r="A1259" s="80"/>
      <c r="B1259" s="81"/>
      <c r="C1259" s="642"/>
      <c r="D1259" s="81"/>
      <c r="E1259" s="81"/>
      <c r="F1259" s="81"/>
      <c r="G1259" s="81"/>
      <c r="H1259" s="81"/>
      <c r="I1259" s="80"/>
      <c r="J1259" s="81"/>
      <c r="K1259" s="80"/>
      <c r="L1259" s="81"/>
      <c r="M1259" s="642"/>
      <c r="N1259" s="81"/>
      <c r="O1259" s="642"/>
      <c r="P1259" s="81"/>
      <c r="Q1259" s="80"/>
      <c r="R1259" s="81"/>
      <c r="S1259" s="81"/>
      <c r="T1259" s="81"/>
    </row>
    <row r="1260" customHeight="1" spans="1:20">
      <c r="A1260" s="80"/>
      <c r="B1260" s="81"/>
      <c r="C1260" s="642"/>
      <c r="D1260" s="81"/>
      <c r="E1260" s="81"/>
      <c r="F1260" s="81"/>
      <c r="G1260" s="81"/>
      <c r="H1260" s="81"/>
      <c r="I1260" s="80"/>
      <c r="J1260" s="81"/>
      <c r="K1260" s="80"/>
      <c r="L1260" s="81"/>
      <c r="M1260" s="642"/>
      <c r="N1260" s="81"/>
      <c r="O1260" s="642"/>
      <c r="P1260" s="81"/>
      <c r="Q1260" s="80"/>
      <c r="R1260" s="81"/>
      <c r="S1260" s="81"/>
      <c r="T1260" s="81"/>
    </row>
    <row r="1261" customHeight="1" spans="1:20">
      <c r="A1261" s="80"/>
      <c r="B1261" s="81"/>
      <c r="C1261" s="642"/>
      <c r="D1261" s="81"/>
      <c r="E1261" s="81"/>
      <c r="F1261" s="81"/>
      <c r="G1261" s="81"/>
      <c r="H1261" s="81"/>
      <c r="I1261" s="80"/>
      <c r="J1261" s="81"/>
      <c r="K1261" s="80"/>
      <c r="L1261" s="81"/>
      <c r="M1261" s="642"/>
      <c r="N1261" s="81"/>
      <c r="O1261" s="642"/>
      <c r="P1261" s="81"/>
      <c r="Q1261" s="80"/>
      <c r="R1261" s="81"/>
      <c r="S1261" s="81"/>
      <c r="T1261" s="81"/>
    </row>
    <row r="1262" customHeight="1" spans="1:20">
      <c r="A1262" s="80"/>
      <c r="B1262" s="81"/>
      <c r="C1262" s="642"/>
      <c r="D1262" s="81"/>
      <c r="E1262" s="81"/>
      <c r="F1262" s="81"/>
      <c r="G1262" s="81"/>
      <c r="H1262" s="81"/>
      <c r="I1262" s="80"/>
      <c r="J1262" s="81"/>
      <c r="K1262" s="80"/>
      <c r="L1262" s="81"/>
      <c r="M1262" s="642"/>
      <c r="N1262" s="81"/>
      <c r="O1262" s="642"/>
      <c r="P1262" s="81"/>
      <c r="Q1262" s="80"/>
      <c r="R1262" s="81"/>
      <c r="S1262" s="81"/>
      <c r="T1262" s="81"/>
    </row>
    <row r="1263" customHeight="1" spans="1:20">
      <c r="A1263" s="80"/>
      <c r="B1263" s="81"/>
      <c r="C1263" s="642"/>
      <c r="D1263" s="81"/>
      <c r="E1263" s="81"/>
      <c r="F1263" s="81"/>
      <c r="G1263" s="81"/>
      <c r="H1263" s="81"/>
      <c r="I1263" s="80"/>
      <c r="J1263" s="81"/>
      <c r="K1263" s="80"/>
      <c r="L1263" s="81"/>
      <c r="M1263" s="642"/>
      <c r="N1263" s="81"/>
      <c r="O1263" s="642"/>
      <c r="P1263" s="81"/>
      <c r="Q1263" s="80"/>
      <c r="R1263" s="81"/>
      <c r="S1263" s="81"/>
      <c r="T1263" s="81"/>
    </row>
    <row r="1264" customHeight="1" spans="1:20">
      <c r="A1264" s="80"/>
      <c r="B1264" s="81"/>
      <c r="C1264" s="642"/>
      <c r="D1264" s="81"/>
      <c r="E1264" s="81"/>
      <c r="F1264" s="81"/>
      <c r="G1264" s="81"/>
      <c r="H1264" s="81"/>
      <c r="I1264" s="80"/>
      <c r="J1264" s="81"/>
      <c r="K1264" s="80"/>
      <c r="L1264" s="81"/>
      <c r="M1264" s="642"/>
      <c r="N1264" s="81"/>
      <c r="O1264" s="642"/>
      <c r="P1264" s="81"/>
      <c r="Q1264" s="80"/>
      <c r="R1264" s="81"/>
      <c r="S1264" s="81"/>
      <c r="T1264" s="81"/>
    </row>
    <row r="1265" customHeight="1" spans="1:20">
      <c r="A1265" s="80"/>
      <c r="B1265" s="81"/>
      <c r="C1265" s="642"/>
      <c r="D1265" s="81"/>
      <c r="E1265" s="81"/>
      <c r="F1265" s="81"/>
      <c r="G1265" s="81"/>
      <c r="H1265" s="81"/>
      <c r="I1265" s="80"/>
      <c r="J1265" s="81"/>
      <c r="K1265" s="80"/>
      <c r="L1265" s="81"/>
      <c r="M1265" s="642"/>
      <c r="N1265" s="81"/>
      <c r="O1265" s="642"/>
      <c r="P1265" s="81"/>
      <c r="Q1265" s="80"/>
      <c r="R1265" s="81"/>
      <c r="S1265" s="81"/>
      <c r="T1265" s="81"/>
    </row>
    <row r="1266" customHeight="1" spans="1:20">
      <c r="A1266" s="80"/>
      <c r="B1266" s="81"/>
      <c r="C1266" s="642"/>
      <c r="D1266" s="81"/>
      <c r="E1266" s="81"/>
      <c r="F1266" s="81"/>
      <c r="G1266" s="81"/>
      <c r="H1266" s="81"/>
      <c r="I1266" s="80"/>
      <c r="J1266" s="81"/>
      <c r="K1266" s="80"/>
      <c r="L1266" s="81"/>
      <c r="M1266" s="642"/>
      <c r="N1266" s="81"/>
      <c r="O1266" s="642"/>
      <c r="P1266" s="81"/>
      <c r="Q1266" s="80"/>
      <c r="R1266" s="81"/>
      <c r="S1266" s="81"/>
      <c r="T1266" s="81"/>
    </row>
    <row r="1267" customHeight="1" spans="1:20">
      <c r="A1267" s="80"/>
      <c r="B1267" s="81"/>
      <c r="C1267" s="642"/>
      <c r="D1267" s="81"/>
      <c r="E1267" s="81"/>
      <c r="F1267" s="81"/>
      <c r="G1267" s="81"/>
      <c r="H1267" s="81"/>
      <c r="I1267" s="80"/>
      <c r="J1267" s="81"/>
      <c r="K1267" s="80"/>
      <c r="L1267" s="81"/>
      <c r="M1267" s="642"/>
      <c r="N1267" s="81"/>
      <c r="O1267" s="642"/>
      <c r="P1267" s="81"/>
      <c r="Q1267" s="80"/>
      <c r="R1267" s="81"/>
      <c r="S1267" s="81"/>
      <c r="T1267" s="81"/>
    </row>
    <row r="1268" customHeight="1" spans="1:20">
      <c r="A1268" s="80"/>
      <c r="B1268" s="81"/>
      <c r="C1268" s="642"/>
      <c r="D1268" s="81"/>
      <c r="E1268" s="81"/>
      <c r="F1268" s="81"/>
      <c r="G1268" s="81"/>
      <c r="H1268" s="81"/>
      <c r="I1268" s="80"/>
      <c r="J1268" s="81"/>
      <c r="K1268" s="80"/>
      <c r="L1268" s="81"/>
      <c r="M1268" s="642"/>
      <c r="N1268" s="81"/>
      <c r="O1268" s="642"/>
      <c r="P1268" s="81"/>
      <c r="Q1268" s="80"/>
      <c r="R1268" s="81"/>
      <c r="S1268" s="81"/>
      <c r="T1268" s="81"/>
    </row>
    <row r="1269" customHeight="1" spans="1:20">
      <c r="A1269" s="80"/>
      <c r="B1269" s="81"/>
      <c r="C1269" s="642"/>
      <c r="D1269" s="81"/>
      <c r="E1269" s="81"/>
      <c r="F1269" s="81"/>
      <c r="G1269" s="81"/>
      <c r="H1269" s="81"/>
      <c r="I1269" s="80"/>
      <c r="J1269" s="81"/>
      <c r="K1269" s="80"/>
      <c r="L1269" s="81"/>
      <c r="M1269" s="642"/>
      <c r="N1269" s="81"/>
      <c r="O1269" s="642"/>
      <c r="P1269" s="81"/>
      <c r="Q1269" s="80"/>
      <c r="R1269" s="81"/>
      <c r="S1269" s="81"/>
      <c r="T1269" s="81"/>
    </row>
    <row r="1270" customHeight="1" spans="1:20">
      <c r="A1270" s="80"/>
      <c r="B1270" s="81"/>
      <c r="C1270" s="642"/>
      <c r="D1270" s="81"/>
      <c r="E1270" s="81"/>
      <c r="F1270" s="81"/>
      <c r="G1270" s="81"/>
      <c r="H1270" s="81"/>
      <c r="I1270" s="80"/>
      <c r="J1270" s="81"/>
      <c r="K1270" s="80"/>
      <c r="L1270" s="81"/>
      <c r="M1270" s="642"/>
      <c r="N1270" s="81"/>
      <c r="O1270" s="642"/>
      <c r="P1270" s="81"/>
      <c r="Q1270" s="80"/>
      <c r="R1270" s="81"/>
      <c r="S1270" s="81"/>
      <c r="T1270" s="81"/>
    </row>
    <row r="1271" customHeight="1" spans="1:20">
      <c r="A1271" s="80"/>
      <c r="B1271" s="81"/>
      <c r="C1271" s="642"/>
      <c r="D1271" s="81"/>
      <c r="E1271" s="81"/>
      <c r="F1271" s="81"/>
      <c r="G1271" s="81"/>
      <c r="H1271" s="81"/>
      <c r="I1271" s="80"/>
      <c r="J1271" s="81"/>
      <c r="K1271" s="80"/>
      <c r="L1271" s="81"/>
      <c r="M1271" s="642"/>
      <c r="N1271" s="81"/>
      <c r="O1271" s="642"/>
      <c r="P1271" s="81"/>
      <c r="Q1271" s="80"/>
      <c r="R1271" s="81"/>
      <c r="S1271" s="81"/>
      <c r="T1271" s="81"/>
    </row>
    <row r="1272" customHeight="1" spans="1:20">
      <c r="A1272" s="80"/>
      <c r="B1272" s="81"/>
      <c r="C1272" s="642"/>
      <c r="D1272" s="81"/>
      <c r="E1272" s="81"/>
      <c r="F1272" s="81"/>
      <c r="G1272" s="81"/>
      <c r="H1272" s="81"/>
      <c r="I1272" s="80"/>
      <c r="J1272" s="81"/>
      <c r="K1272" s="80"/>
      <c r="L1272" s="81"/>
      <c r="M1272" s="642"/>
      <c r="N1272" s="81"/>
      <c r="O1272" s="642"/>
      <c r="P1272" s="81"/>
      <c r="Q1272" s="80"/>
      <c r="R1272" s="81"/>
      <c r="S1272" s="81"/>
      <c r="T1272" s="81"/>
    </row>
    <row r="1273" customHeight="1" spans="1:20">
      <c r="A1273" s="80"/>
      <c r="B1273" s="81"/>
      <c r="C1273" s="642"/>
      <c r="D1273" s="81"/>
      <c r="E1273" s="81"/>
      <c r="F1273" s="81"/>
      <c r="G1273" s="81"/>
      <c r="H1273" s="81"/>
      <c r="I1273" s="80"/>
      <c r="J1273" s="81"/>
      <c r="K1273" s="80"/>
      <c r="L1273" s="81"/>
      <c r="M1273" s="642"/>
      <c r="N1273" s="81"/>
      <c r="O1273" s="642"/>
      <c r="P1273" s="81"/>
      <c r="Q1273" s="80"/>
      <c r="R1273" s="81"/>
      <c r="S1273" s="81"/>
      <c r="T1273" s="81"/>
    </row>
    <row r="1274" customHeight="1" spans="1:20">
      <c r="A1274" s="80"/>
      <c r="B1274" s="81"/>
      <c r="C1274" s="642"/>
      <c r="D1274" s="81"/>
      <c r="E1274" s="81"/>
      <c r="F1274" s="81"/>
      <c r="G1274" s="81"/>
      <c r="H1274" s="81"/>
      <c r="I1274" s="80"/>
      <c r="J1274" s="81"/>
      <c r="K1274" s="80"/>
      <c r="L1274" s="81"/>
      <c r="M1274" s="642"/>
      <c r="N1274" s="81"/>
      <c r="O1274" s="642"/>
      <c r="P1274" s="81"/>
      <c r="Q1274" s="80"/>
      <c r="R1274" s="81"/>
      <c r="S1274" s="81"/>
      <c r="T1274" s="81"/>
    </row>
    <row r="1275" customHeight="1" spans="1:20">
      <c r="A1275" s="80"/>
      <c r="B1275" s="81"/>
      <c r="C1275" s="642"/>
      <c r="D1275" s="81"/>
      <c r="E1275" s="81"/>
      <c r="F1275" s="81"/>
      <c r="G1275" s="81"/>
      <c r="H1275" s="81"/>
      <c r="I1275" s="80"/>
      <c r="J1275" s="81"/>
      <c r="K1275" s="80"/>
      <c r="L1275" s="81"/>
      <c r="M1275" s="642"/>
      <c r="N1275" s="81"/>
      <c r="O1275" s="642"/>
      <c r="P1275" s="81"/>
      <c r="Q1275" s="80"/>
      <c r="R1275" s="81"/>
      <c r="S1275" s="81"/>
      <c r="T1275" s="81"/>
    </row>
    <row r="1276" customHeight="1" spans="1:20">
      <c r="A1276" s="80"/>
      <c r="B1276" s="81"/>
      <c r="C1276" s="642"/>
      <c r="D1276" s="81"/>
      <c r="E1276" s="81"/>
      <c r="F1276" s="81"/>
      <c r="G1276" s="81"/>
      <c r="H1276" s="81"/>
      <c r="I1276" s="80"/>
      <c r="J1276" s="81"/>
      <c r="K1276" s="80"/>
      <c r="L1276" s="81"/>
      <c r="M1276" s="642"/>
      <c r="N1276" s="81"/>
      <c r="O1276" s="642"/>
      <c r="P1276" s="81"/>
      <c r="Q1276" s="80"/>
      <c r="R1276" s="81"/>
      <c r="S1276" s="81"/>
      <c r="T1276" s="81"/>
    </row>
    <row r="1277" customHeight="1" spans="1:20">
      <c r="A1277" s="80"/>
      <c r="B1277" s="81"/>
      <c r="C1277" s="642"/>
      <c r="D1277" s="81"/>
      <c r="E1277" s="81"/>
      <c r="F1277" s="81"/>
      <c r="G1277" s="81"/>
      <c r="H1277" s="81"/>
      <c r="I1277" s="80"/>
      <c r="J1277" s="81"/>
      <c r="K1277" s="80"/>
      <c r="L1277" s="81"/>
      <c r="M1277" s="642"/>
      <c r="N1277" s="81"/>
      <c r="O1277" s="642"/>
      <c r="P1277" s="81"/>
      <c r="Q1277" s="80"/>
      <c r="R1277" s="81"/>
      <c r="S1277" s="81"/>
      <c r="T1277" s="81"/>
    </row>
    <row r="1278" customHeight="1" spans="1:20">
      <c r="A1278" s="80"/>
      <c r="B1278" s="81"/>
      <c r="C1278" s="642"/>
      <c r="D1278" s="81"/>
      <c r="E1278" s="81"/>
      <c r="F1278" s="81"/>
      <c r="G1278" s="81"/>
      <c r="H1278" s="81"/>
      <c r="I1278" s="80"/>
      <c r="J1278" s="81"/>
      <c r="K1278" s="80"/>
      <c r="L1278" s="81"/>
      <c r="M1278" s="642"/>
      <c r="N1278" s="81"/>
      <c r="O1278" s="642"/>
      <c r="P1278" s="81"/>
      <c r="Q1278" s="80"/>
      <c r="R1278" s="81"/>
      <c r="S1278" s="81"/>
      <c r="T1278" s="81"/>
    </row>
    <row r="1279" customHeight="1" spans="1:20">
      <c r="A1279" s="80"/>
      <c r="B1279" s="81"/>
      <c r="C1279" s="642"/>
      <c r="D1279" s="81"/>
      <c r="E1279" s="81"/>
      <c r="F1279" s="81"/>
      <c r="G1279" s="81"/>
      <c r="H1279" s="81"/>
      <c r="I1279" s="80"/>
      <c r="J1279" s="81"/>
      <c r="K1279" s="80"/>
      <c r="L1279" s="81"/>
      <c r="M1279" s="642"/>
      <c r="N1279" s="81"/>
      <c r="O1279" s="642"/>
      <c r="P1279" s="81"/>
      <c r="Q1279" s="80"/>
      <c r="R1279" s="81"/>
      <c r="S1279" s="81"/>
      <c r="T1279" s="81"/>
    </row>
    <row r="1280" customHeight="1" spans="1:20">
      <c r="A1280" s="80"/>
      <c r="B1280" s="81"/>
      <c r="C1280" s="642"/>
      <c r="D1280" s="81"/>
      <c r="E1280" s="81"/>
      <c r="F1280" s="81"/>
      <c r="G1280" s="81"/>
      <c r="H1280" s="81"/>
      <c r="I1280" s="80"/>
      <c r="J1280" s="81"/>
      <c r="K1280" s="80"/>
      <c r="L1280" s="81"/>
      <c r="M1280" s="642"/>
      <c r="N1280" s="81"/>
      <c r="O1280" s="642"/>
      <c r="P1280" s="81"/>
      <c r="Q1280" s="80"/>
      <c r="R1280" s="81"/>
      <c r="S1280" s="81"/>
      <c r="T1280" s="81"/>
    </row>
    <row r="1281" customHeight="1" spans="1:20">
      <c r="A1281" s="80"/>
      <c r="B1281" s="81"/>
      <c r="C1281" s="642"/>
      <c r="D1281" s="81"/>
      <c r="E1281" s="81"/>
      <c r="F1281" s="81"/>
      <c r="G1281" s="81"/>
      <c r="H1281" s="81"/>
      <c r="I1281" s="80"/>
      <c r="J1281" s="81"/>
      <c r="K1281" s="80"/>
      <c r="L1281" s="81"/>
      <c r="M1281" s="642"/>
      <c r="N1281" s="81"/>
      <c r="O1281" s="642"/>
      <c r="P1281" s="81"/>
      <c r="Q1281" s="80"/>
      <c r="R1281" s="81"/>
      <c r="S1281" s="81"/>
      <c r="T1281" s="81"/>
    </row>
    <row r="1282" customHeight="1" spans="1:20">
      <c r="A1282" s="80"/>
      <c r="B1282" s="81"/>
      <c r="C1282" s="642"/>
      <c r="D1282" s="81"/>
      <c r="E1282" s="81"/>
      <c r="F1282" s="81"/>
      <c r="G1282" s="81"/>
      <c r="H1282" s="81"/>
      <c r="I1282" s="80"/>
      <c r="J1282" s="81"/>
      <c r="K1282" s="80"/>
      <c r="L1282" s="81"/>
      <c r="M1282" s="642"/>
      <c r="N1282" s="81"/>
      <c r="O1282" s="642"/>
      <c r="P1282" s="81"/>
      <c r="Q1282" s="80"/>
      <c r="R1282" s="81"/>
      <c r="S1282" s="81"/>
      <c r="T1282" s="81"/>
    </row>
    <row r="1283" customHeight="1" spans="1:20">
      <c r="A1283" s="80"/>
      <c r="B1283" s="81"/>
      <c r="C1283" s="642"/>
      <c r="D1283" s="81"/>
      <c r="E1283" s="81"/>
      <c r="F1283" s="81"/>
      <c r="G1283" s="81"/>
      <c r="H1283" s="81"/>
      <c r="I1283" s="80"/>
      <c r="J1283" s="81"/>
      <c r="K1283" s="80"/>
      <c r="L1283" s="81"/>
      <c r="M1283" s="642"/>
      <c r="N1283" s="81"/>
      <c r="O1283" s="642"/>
      <c r="P1283" s="81"/>
      <c r="Q1283" s="80"/>
      <c r="R1283" s="81"/>
      <c r="S1283" s="81"/>
      <c r="T1283" s="81"/>
    </row>
    <row r="1284" customHeight="1" spans="1:20">
      <c r="A1284" s="80"/>
      <c r="B1284" s="81"/>
      <c r="C1284" s="642"/>
      <c r="D1284" s="81"/>
      <c r="E1284" s="81"/>
      <c r="F1284" s="81"/>
      <c r="G1284" s="81"/>
      <c r="H1284" s="81"/>
      <c r="I1284" s="80"/>
      <c r="J1284" s="81"/>
      <c r="K1284" s="80"/>
      <c r="L1284" s="81"/>
      <c r="M1284" s="642"/>
      <c r="N1284" s="81"/>
      <c r="O1284" s="642"/>
      <c r="P1284" s="81"/>
      <c r="Q1284" s="80"/>
      <c r="R1284" s="81"/>
      <c r="S1284" s="81"/>
      <c r="T1284" s="81"/>
    </row>
    <row r="1285" customHeight="1" spans="1:20">
      <c r="A1285" s="80"/>
      <c r="B1285" s="81"/>
      <c r="C1285" s="642"/>
      <c r="D1285" s="81"/>
      <c r="E1285" s="81"/>
      <c r="F1285" s="81"/>
      <c r="G1285" s="81"/>
      <c r="H1285" s="81"/>
      <c r="I1285" s="80"/>
      <c r="J1285" s="81"/>
      <c r="K1285" s="80"/>
      <c r="L1285" s="81"/>
      <c r="M1285" s="642"/>
      <c r="N1285" s="81"/>
      <c r="O1285" s="642"/>
      <c r="P1285" s="81"/>
      <c r="Q1285" s="80"/>
      <c r="R1285" s="81"/>
      <c r="S1285" s="81"/>
      <c r="T1285" s="81"/>
    </row>
    <row r="1286" customHeight="1" spans="1:20">
      <c r="A1286" s="80"/>
      <c r="B1286" s="81"/>
      <c r="C1286" s="642"/>
      <c r="D1286" s="81"/>
      <c r="E1286" s="81"/>
      <c r="F1286" s="81"/>
      <c r="G1286" s="81"/>
      <c r="H1286" s="81"/>
      <c r="I1286" s="80"/>
      <c r="J1286" s="81"/>
      <c r="K1286" s="80"/>
      <c r="L1286" s="81"/>
      <c r="M1286" s="642"/>
      <c r="N1286" s="81"/>
      <c r="O1286" s="642"/>
      <c r="P1286" s="81"/>
      <c r="Q1286" s="80"/>
      <c r="R1286" s="81"/>
      <c r="S1286" s="81"/>
      <c r="T1286" s="81"/>
    </row>
    <row r="1287" customHeight="1" spans="1:20">
      <c r="A1287" s="80"/>
      <c r="B1287" s="81"/>
      <c r="C1287" s="642"/>
      <c r="D1287" s="81"/>
      <c r="E1287" s="81"/>
      <c r="F1287" s="81"/>
      <c r="G1287" s="81"/>
      <c r="H1287" s="81"/>
      <c r="I1287" s="80"/>
      <c r="J1287" s="81"/>
      <c r="K1287" s="80"/>
      <c r="L1287" s="81"/>
      <c r="M1287" s="642"/>
      <c r="N1287" s="81"/>
      <c r="O1287" s="642"/>
      <c r="P1287" s="81"/>
      <c r="Q1287" s="80"/>
      <c r="R1287" s="81"/>
      <c r="S1287" s="81"/>
      <c r="T1287" s="81"/>
    </row>
    <row r="1288" customHeight="1" spans="1:20">
      <c r="A1288" s="80"/>
      <c r="B1288" s="81"/>
      <c r="C1288" s="642"/>
      <c r="D1288" s="81"/>
      <c r="E1288" s="81"/>
      <c r="F1288" s="81"/>
      <c r="G1288" s="81"/>
      <c r="H1288" s="81"/>
      <c r="I1288" s="80"/>
      <c r="J1288" s="81"/>
      <c r="K1288" s="80"/>
      <c r="L1288" s="81"/>
      <c r="M1288" s="642"/>
      <c r="N1288" s="81"/>
      <c r="O1288" s="642"/>
      <c r="P1288" s="81"/>
      <c r="Q1288" s="80"/>
      <c r="R1288" s="81"/>
      <c r="S1288" s="81"/>
      <c r="T1288" s="81"/>
    </row>
    <row r="1289" customHeight="1" spans="1:20">
      <c r="A1289" s="80"/>
      <c r="B1289" s="81"/>
      <c r="C1289" s="642"/>
      <c r="D1289" s="81"/>
      <c r="E1289" s="81"/>
      <c r="F1289" s="81"/>
      <c r="G1289" s="81"/>
      <c r="H1289" s="81"/>
      <c r="I1289" s="80"/>
      <c r="J1289" s="81"/>
      <c r="K1289" s="80"/>
      <c r="L1289" s="81"/>
      <c r="M1289" s="642"/>
      <c r="N1289" s="81"/>
      <c r="O1289" s="642"/>
      <c r="P1289" s="81"/>
      <c r="Q1289" s="80"/>
      <c r="R1289" s="81"/>
      <c r="S1289" s="81"/>
      <c r="T1289" s="81"/>
    </row>
    <row r="1290" customHeight="1" spans="1:20">
      <c r="A1290" s="80"/>
      <c r="B1290" s="81"/>
      <c r="C1290" s="642"/>
      <c r="D1290" s="81"/>
      <c r="E1290" s="81"/>
      <c r="F1290" s="81"/>
      <c r="G1290" s="81"/>
      <c r="H1290" s="81"/>
      <c r="I1290" s="80"/>
      <c r="J1290" s="81"/>
      <c r="K1290" s="80"/>
      <c r="L1290" s="81"/>
      <c r="M1290" s="642"/>
      <c r="N1290" s="81"/>
      <c r="O1290" s="642"/>
      <c r="P1290" s="81"/>
      <c r="Q1290" s="80"/>
      <c r="R1290" s="81"/>
      <c r="S1290" s="81"/>
      <c r="T1290" s="81"/>
    </row>
    <row r="1291" customHeight="1" spans="1:20">
      <c r="A1291" s="80"/>
      <c r="B1291" s="81"/>
      <c r="C1291" s="642"/>
      <c r="D1291" s="81"/>
      <c r="E1291" s="81"/>
      <c r="F1291" s="81"/>
      <c r="G1291" s="81"/>
      <c r="H1291" s="81"/>
      <c r="I1291" s="80"/>
      <c r="J1291" s="81"/>
      <c r="K1291" s="80"/>
      <c r="L1291" s="81"/>
      <c r="M1291" s="642"/>
      <c r="N1291" s="81"/>
      <c r="O1291" s="642"/>
      <c r="P1291" s="81"/>
      <c r="Q1291" s="80"/>
      <c r="R1291" s="81"/>
      <c r="S1291" s="81"/>
      <c r="T1291" s="81"/>
    </row>
    <row r="1292" customHeight="1" spans="1:20">
      <c r="A1292" s="80"/>
      <c r="B1292" s="81"/>
      <c r="C1292" s="642"/>
      <c r="D1292" s="81"/>
      <c r="E1292" s="81"/>
      <c r="F1292" s="81"/>
      <c r="G1292" s="81"/>
      <c r="H1292" s="81"/>
      <c r="I1292" s="80"/>
      <c r="J1292" s="81"/>
      <c r="K1292" s="80"/>
      <c r="L1292" s="81"/>
      <c r="M1292" s="642"/>
      <c r="N1292" s="81"/>
      <c r="O1292" s="642"/>
      <c r="P1292" s="81"/>
      <c r="Q1292" s="80"/>
      <c r="R1292" s="81"/>
      <c r="S1292" s="81"/>
      <c r="T1292" s="81"/>
    </row>
    <row r="1293" customHeight="1" spans="1:20">
      <c r="A1293" s="80"/>
      <c r="B1293" s="81"/>
      <c r="C1293" s="642"/>
      <c r="D1293" s="81"/>
      <c r="E1293" s="81"/>
      <c r="F1293" s="81"/>
      <c r="G1293" s="81"/>
      <c r="H1293" s="81"/>
      <c r="I1293" s="80"/>
      <c r="J1293" s="81"/>
      <c r="K1293" s="80"/>
      <c r="L1293" s="81"/>
      <c r="M1293" s="642"/>
      <c r="N1293" s="81"/>
      <c r="O1293" s="642"/>
      <c r="P1293" s="81"/>
      <c r="Q1293" s="80"/>
      <c r="R1293" s="81"/>
      <c r="S1293" s="81"/>
      <c r="T1293" s="81"/>
    </row>
    <row r="1294" customHeight="1" spans="1:20">
      <c r="A1294" s="80"/>
      <c r="B1294" s="81"/>
      <c r="C1294" s="642"/>
      <c r="D1294" s="81"/>
      <c r="E1294" s="81"/>
      <c r="F1294" s="81"/>
      <c r="G1294" s="81"/>
      <c r="H1294" s="81"/>
      <c r="I1294" s="80"/>
      <c r="J1294" s="81"/>
      <c r="K1294" s="80"/>
      <c r="L1294" s="81"/>
      <c r="M1294" s="642"/>
      <c r="N1294" s="81"/>
      <c r="O1294" s="642"/>
      <c r="P1294" s="81"/>
      <c r="Q1294" s="80"/>
      <c r="R1294" s="81"/>
      <c r="S1294" s="81"/>
      <c r="T1294" s="81"/>
    </row>
    <row r="1295" customHeight="1" spans="1:20">
      <c r="A1295" s="80"/>
      <c r="B1295" s="81"/>
      <c r="C1295" s="642"/>
      <c r="D1295" s="81"/>
      <c r="E1295" s="81"/>
      <c r="F1295" s="81"/>
      <c r="G1295" s="81"/>
      <c r="H1295" s="81"/>
      <c r="I1295" s="80"/>
      <c r="J1295" s="81"/>
      <c r="K1295" s="80"/>
      <c r="L1295" s="81"/>
      <c r="M1295" s="642"/>
      <c r="N1295" s="81"/>
      <c r="O1295" s="642"/>
      <c r="P1295" s="81"/>
      <c r="Q1295" s="80"/>
      <c r="R1295" s="81"/>
      <c r="S1295" s="81"/>
      <c r="T1295" s="81"/>
    </row>
    <row r="1296" customHeight="1" spans="1:20">
      <c r="A1296" s="80"/>
      <c r="B1296" s="81"/>
      <c r="C1296" s="642"/>
      <c r="D1296" s="81"/>
      <c r="E1296" s="81"/>
      <c r="F1296" s="81"/>
      <c r="G1296" s="81"/>
      <c r="H1296" s="81"/>
      <c r="I1296" s="80"/>
      <c r="J1296" s="81"/>
      <c r="K1296" s="80"/>
      <c r="L1296" s="81"/>
      <c r="M1296" s="642"/>
      <c r="N1296" s="81"/>
      <c r="O1296" s="642"/>
      <c r="P1296" s="81"/>
      <c r="Q1296" s="80"/>
      <c r="R1296" s="81"/>
      <c r="S1296" s="81"/>
      <c r="T1296" s="81"/>
    </row>
    <row r="1297" customHeight="1" spans="1:20">
      <c r="A1297" s="80"/>
      <c r="B1297" s="81"/>
      <c r="C1297" s="642"/>
      <c r="D1297" s="81"/>
      <c r="E1297" s="81"/>
      <c r="F1297" s="81"/>
      <c r="G1297" s="81"/>
      <c r="H1297" s="81"/>
      <c r="I1297" s="80"/>
      <c r="J1297" s="81"/>
      <c r="K1297" s="80"/>
      <c r="L1297" s="81"/>
      <c r="M1297" s="642"/>
      <c r="N1297" s="81"/>
      <c r="O1297" s="642"/>
      <c r="P1297" s="81"/>
      <c r="Q1297" s="80"/>
      <c r="R1297" s="81"/>
      <c r="S1297" s="81"/>
      <c r="T1297" s="81"/>
    </row>
    <row r="1298" customHeight="1" spans="1:20">
      <c r="A1298" s="80"/>
      <c r="B1298" s="81"/>
      <c r="C1298" s="642"/>
      <c r="D1298" s="81"/>
      <c r="E1298" s="81"/>
      <c r="F1298" s="81"/>
      <c r="G1298" s="81"/>
      <c r="H1298" s="81"/>
      <c r="I1298" s="80"/>
      <c r="J1298" s="81"/>
      <c r="K1298" s="80"/>
      <c r="L1298" s="81"/>
      <c r="M1298" s="642"/>
      <c r="N1298" s="81"/>
      <c r="O1298" s="642"/>
      <c r="P1298" s="81"/>
      <c r="Q1298" s="80"/>
      <c r="R1298" s="81"/>
      <c r="S1298" s="81"/>
      <c r="T1298" s="81"/>
    </row>
    <row r="1299" customHeight="1" spans="1:20">
      <c r="A1299" s="80"/>
      <c r="B1299" s="81"/>
      <c r="C1299" s="642"/>
      <c r="D1299" s="81"/>
      <c r="E1299" s="81"/>
      <c r="F1299" s="81"/>
      <c r="G1299" s="81"/>
      <c r="H1299" s="81"/>
      <c r="I1299" s="80"/>
      <c r="J1299" s="81"/>
      <c r="K1299" s="80"/>
      <c r="L1299" s="81"/>
      <c r="M1299" s="642"/>
      <c r="N1299" s="81"/>
      <c r="O1299" s="642"/>
      <c r="P1299" s="81"/>
      <c r="Q1299" s="80"/>
      <c r="R1299" s="81"/>
      <c r="S1299" s="81"/>
      <c r="T1299" s="81"/>
    </row>
    <row r="1300" customHeight="1" spans="1:20">
      <c r="A1300" s="80"/>
      <c r="B1300" s="81"/>
      <c r="C1300" s="642"/>
      <c r="D1300" s="81"/>
      <c r="E1300" s="81"/>
      <c r="F1300" s="81"/>
      <c r="G1300" s="81"/>
      <c r="H1300" s="81"/>
      <c r="I1300" s="80"/>
      <c r="J1300" s="81"/>
      <c r="K1300" s="80"/>
      <c r="L1300" s="81"/>
      <c r="M1300" s="642"/>
      <c r="N1300" s="81"/>
      <c r="O1300" s="642"/>
      <c r="P1300" s="81"/>
      <c r="Q1300" s="80"/>
      <c r="R1300" s="81"/>
      <c r="S1300" s="81"/>
      <c r="T1300" s="81"/>
    </row>
    <row r="1301" customHeight="1" spans="1:20">
      <c r="A1301" s="80"/>
      <c r="B1301" s="81"/>
      <c r="C1301" s="642"/>
      <c r="D1301" s="81"/>
      <c r="E1301" s="81"/>
      <c r="F1301" s="81"/>
      <c r="G1301" s="81"/>
      <c r="H1301" s="81"/>
      <c r="I1301" s="80"/>
      <c r="J1301" s="81"/>
      <c r="K1301" s="80"/>
      <c r="L1301" s="81"/>
      <c r="M1301" s="642"/>
      <c r="N1301" s="81"/>
      <c r="O1301" s="642"/>
      <c r="P1301" s="81"/>
      <c r="Q1301" s="80"/>
      <c r="R1301" s="81"/>
      <c r="S1301" s="81"/>
      <c r="T1301" s="81"/>
    </row>
    <row r="1302" customHeight="1" spans="1:20">
      <c r="A1302" s="80"/>
      <c r="B1302" s="81"/>
      <c r="C1302" s="642"/>
      <c r="D1302" s="81"/>
      <c r="E1302" s="81"/>
      <c r="F1302" s="81"/>
      <c r="G1302" s="81"/>
      <c r="H1302" s="81"/>
      <c r="I1302" s="80"/>
      <c r="J1302" s="81"/>
      <c r="K1302" s="80"/>
      <c r="L1302" s="81"/>
      <c r="M1302" s="642"/>
      <c r="N1302" s="81"/>
      <c r="O1302" s="642"/>
      <c r="P1302" s="81"/>
      <c r="Q1302" s="80"/>
      <c r="R1302" s="81"/>
      <c r="S1302" s="81"/>
      <c r="T1302" s="81"/>
    </row>
    <row r="1303" customHeight="1" spans="1:20">
      <c r="A1303" s="80"/>
      <c r="B1303" s="81"/>
      <c r="C1303" s="642"/>
      <c r="D1303" s="81"/>
      <c r="E1303" s="81"/>
      <c r="F1303" s="81"/>
      <c r="G1303" s="81"/>
      <c r="H1303" s="81"/>
      <c r="I1303" s="80"/>
      <c r="J1303" s="81"/>
      <c r="K1303" s="80"/>
      <c r="L1303" s="81"/>
      <c r="M1303" s="642"/>
      <c r="N1303" s="81"/>
      <c r="O1303" s="642"/>
      <c r="P1303" s="81"/>
      <c r="Q1303" s="80"/>
      <c r="R1303" s="81"/>
      <c r="S1303" s="81"/>
      <c r="T1303" s="81"/>
    </row>
    <row r="1304" customHeight="1" spans="1:20">
      <c r="A1304" s="80"/>
      <c r="B1304" s="81"/>
      <c r="C1304" s="642"/>
      <c r="D1304" s="81"/>
      <c r="E1304" s="81"/>
      <c r="F1304" s="81"/>
      <c r="G1304" s="81"/>
      <c r="H1304" s="81"/>
      <c r="I1304" s="80"/>
      <c r="J1304" s="81"/>
      <c r="K1304" s="80"/>
      <c r="L1304" s="81"/>
      <c r="M1304" s="642"/>
      <c r="N1304" s="81"/>
      <c r="O1304" s="642"/>
      <c r="P1304" s="81"/>
      <c r="Q1304" s="80"/>
      <c r="R1304" s="81"/>
      <c r="S1304" s="81"/>
      <c r="T1304" s="81"/>
    </row>
    <row r="1305" customHeight="1" spans="1:20">
      <c r="A1305" s="80"/>
      <c r="B1305" s="81"/>
      <c r="C1305" s="642"/>
      <c r="D1305" s="81"/>
      <c r="E1305" s="81"/>
      <c r="F1305" s="81"/>
      <c r="G1305" s="81"/>
      <c r="H1305" s="81"/>
      <c r="I1305" s="80"/>
      <c r="J1305" s="81"/>
      <c r="K1305" s="80"/>
      <c r="L1305" s="81"/>
      <c r="M1305" s="642"/>
      <c r="N1305" s="81"/>
      <c r="O1305" s="642"/>
      <c r="P1305" s="81"/>
      <c r="Q1305" s="80"/>
      <c r="R1305" s="81"/>
      <c r="S1305" s="81"/>
      <c r="T1305" s="81"/>
    </row>
    <row r="1306" customHeight="1" spans="1:20">
      <c r="A1306" s="80"/>
      <c r="B1306" s="81"/>
      <c r="C1306" s="642"/>
      <c r="D1306" s="81"/>
      <c r="E1306" s="81"/>
      <c r="F1306" s="81"/>
      <c r="G1306" s="81"/>
      <c r="H1306" s="81"/>
      <c r="I1306" s="80"/>
      <c r="J1306" s="81"/>
      <c r="K1306" s="80"/>
      <c r="L1306" s="81"/>
      <c r="M1306" s="642"/>
      <c r="N1306" s="81"/>
      <c r="O1306" s="642"/>
      <c r="P1306" s="81"/>
      <c r="Q1306" s="80"/>
      <c r="R1306" s="81"/>
      <c r="S1306" s="81"/>
      <c r="T1306" s="81"/>
    </row>
    <row r="1307" customHeight="1" spans="1:20">
      <c r="A1307" s="80"/>
      <c r="B1307" s="81"/>
      <c r="C1307" s="642"/>
      <c r="D1307" s="81"/>
      <c r="E1307" s="81"/>
      <c r="F1307" s="81"/>
      <c r="G1307" s="81"/>
      <c r="H1307" s="81"/>
      <c r="I1307" s="80"/>
      <c r="J1307" s="81"/>
      <c r="K1307" s="80"/>
      <c r="L1307" s="81"/>
      <c r="M1307" s="642"/>
      <c r="N1307" s="81"/>
      <c r="O1307" s="642"/>
      <c r="P1307" s="81"/>
      <c r="Q1307" s="80"/>
      <c r="R1307" s="81"/>
      <c r="S1307" s="81"/>
      <c r="T1307" s="81"/>
    </row>
    <row r="1308" customHeight="1" spans="1:20">
      <c r="A1308" s="80"/>
      <c r="B1308" s="81"/>
      <c r="C1308" s="642"/>
      <c r="D1308" s="81"/>
      <c r="E1308" s="81"/>
      <c r="F1308" s="81"/>
      <c r="G1308" s="81"/>
      <c r="H1308" s="81"/>
      <c r="I1308" s="80"/>
      <c r="J1308" s="81"/>
      <c r="K1308" s="80"/>
      <c r="L1308" s="81"/>
      <c r="M1308" s="642"/>
      <c r="N1308" s="81"/>
      <c r="O1308" s="642"/>
      <c r="P1308" s="81"/>
      <c r="Q1308" s="80"/>
      <c r="R1308" s="81"/>
      <c r="S1308" s="81"/>
      <c r="T1308" s="81"/>
    </row>
    <row r="1309" customHeight="1" spans="1:20">
      <c r="A1309" s="80"/>
      <c r="B1309" s="81"/>
      <c r="C1309" s="642"/>
      <c r="D1309" s="81"/>
      <c r="E1309" s="81"/>
      <c r="F1309" s="81"/>
      <c r="G1309" s="81"/>
      <c r="H1309" s="81"/>
      <c r="I1309" s="80"/>
      <c r="J1309" s="81"/>
      <c r="K1309" s="80"/>
      <c r="L1309" s="81"/>
      <c r="M1309" s="642"/>
      <c r="N1309" s="81"/>
      <c r="O1309" s="642"/>
      <c r="P1309" s="81"/>
      <c r="Q1309" s="80"/>
      <c r="R1309" s="81"/>
      <c r="S1309" s="81"/>
      <c r="T1309" s="81"/>
    </row>
    <row r="1310" customHeight="1" spans="1:20">
      <c r="A1310" s="80"/>
      <c r="B1310" s="81"/>
      <c r="C1310" s="642"/>
      <c r="D1310" s="81"/>
      <c r="E1310" s="81"/>
      <c r="F1310" s="81"/>
      <c r="G1310" s="81"/>
      <c r="H1310" s="81"/>
      <c r="I1310" s="80"/>
      <c r="J1310" s="81"/>
      <c r="K1310" s="80"/>
      <c r="L1310" s="81"/>
      <c r="M1310" s="642"/>
      <c r="N1310" s="81"/>
      <c r="O1310" s="642"/>
      <c r="P1310" s="81"/>
      <c r="Q1310" s="80"/>
      <c r="R1310" s="81"/>
      <c r="S1310" s="81"/>
      <c r="T1310" s="81"/>
    </row>
    <row r="1311" customHeight="1" spans="1:20">
      <c r="A1311" s="80"/>
      <c r="B1311" s="81"/>
      <c r="C1311" s="642"/>
      <c r="D1311" s="81"/>
      <c r="E1311" s="81"/>
      <c r="F1311" s="81"/>
      <c r="G1311" s="81"/>
      <c r="H1311" s="81"/>
      <c r="I1311" s="80"/>
      <c r="J1311" s="81"/>
      <c r="K1311" s="80"/>
      <c r="L1311" s="81"/>
      <c r="M1311" s="642"/>
      <c r="N1311" s="81"/>
      <c r="O1311" s="642"/>
      <c r="P1311" s="81"/>
      <c r="Q1311" s="80"/>
      <c r="R1311" s="81"/>
      <c r="S1311" s="81"/>
      <c r="T1311" s="81"/>
    </row>
    <row r="1312" customHeight="1" spans="1:20">
      <c r="A1312" s="80"/>
      <c r="B1312" s="81"/>
      <c r="C1312" s="642"/>
      <c r="D1312" s="81"/>
      <c r="E1312" s="81"/>
      <c r="F1312" s="81"/>
      <c r="G1312" s="81"/>
      <c r="H1312" s="81"/>
      <c r="I1312" s="80"/>
      <c r="J1312" s="81"/>
      <c r="K1312" s="80"/>
      <c r="L1312" s="81"/>
      <c r="M1312" s="642"/>
      <c r="N1312" s="81"/>
      <c r="O1312" s="642"/>
      <c r="P1312" s="81"/>
      <c r="Q1312" s="80"/>
      <c r="R1312" s="81"/>
      <c r="S1312" s="81"/>
      <c r="T1312" s="81"/>
    </row>
    <row r="1313" customHeight="1" spans="1:20">
      <c r="A1313" s="80"/>
      <c r="B1313" s="81"/>
      <c r="C1313" s="642"/>
      <c r="D1313" s="81"/>
      <c r="E1313" s="81"/>
      <c r="F1313" s="81"/>
      <c r="G1313" s="81"/>
      <c r="H1313" s="81"/>
      <c r="I1313" s="80"/>
      <c r="J1313" s="81"/>
      <c r="K1313" s="80"/>
      <c r="L1313" s="81"/>
      <c r="M1313" s="642"/>
      <c r="N1313" s="81"/>
      <c r="O1313" s="642"/>
      <c r="P1313" s="81"/>
      <c r="Q1313" s="80"/>
      <c r="R1313" s="81"/>
      <c r="S1313" s="81"/>
      <c r="T1313" s="81"/>
    </row>
    <row r="1314" customHeight="1" spans="1:20">
      <c r="A1314" s="80"/>
      <c r="B1314" s="81"/>
      <c r="C1314" s="642"/>
      <c r="D1314" s="81"/>
      <c r="E1314" s="81"/>
      <c r="F1314" s="81"/>
      <c r="G1314" s="81"/>
      <c r="H1314" s="81"/>
      <c r="I1314" s="80"/>
      <c r="J1314" s="81"/>
      <c r="K1314" s="80"/>
      <c r="L1314" s="81"/>
      <c r="M1314" s="642"/>
      <c r="N1314" s="81"/>
      <c r="O1314" s="642"/>
      <c r="P1314" s="81"/>
      <c r="Q1314" s="80"/>
      <c r="R1314" s="81"/>
      <c r="S1314" s="81"/>
      <c r="T1314" s="81"/>
    </row>
    <row r="1315" customHeight="1" spans="1:20">
      <c r="A1315" s="80"/>
      <c r="B1315" s="81"/>
      <c r="C1315" s="642"/>
      <c r="D1315" s="81"/>
      <c r="E1315" s="81"/>
      <c r="F1315" s="81"/>
      <c r="G1315" s="81"/>
      <c r="H1315" s="81"/>
      <c r="I1315" s="80"/>
      <c r="J1315" s="81"/>
      <c r="K1315" s="80"/>
      <c r="L1315" s="81"/>
      <c r="M1315" s="642"/>
      <c r="N1315" s="81"/>
      <c r="O1315" s="642"/>
      <c r="P1315" s="81"/>
      <c r="Q1315" s="80"/>
      <c r="R1315" s="81"/>
      <c r="S1315" s="81"/>
      <c r="T1315" s="81"/>
    </row>
    <row r="1316" customHeight="1" spans="1:20">
      <c r="A1316" s="80"/>
      <c r="B1316" s="81"/>
      <c r="C1316" s="642"/>
      <c r="D1316" s="81"/>
      <c r="E1316" s="81"/>
      <c r="F1316" s="81"/>
      <c r="G1316" s="81"/>
      <c r="H1316" s="81"/>
      <c r="I1316" s="80"/>
      <c r="J1316" s="81"/>
      <c r="K1316" s="80"/>
      <c r="L1316" s="81"/>
      <c r="M1316" s="642"/>
      <c r="N1316" s="81"/>
      <c r="O1316" s="642"/>
      <c r="P1316" s="81"/>
      <c r="Q1316" s="80"/>
      <c r="R1316" s="81"/>
      <c r="S1316" s="81"/>
      <c r="T1316" s="81"/>
    </row>
    <row r="1317" customHeight="1" spans="1:20">
      <c r="A1317" s="80"/>
      <c r="B1317" s="81"/>
      <c r="C1317" s="642"/>
      <c r="D1317" s="81"/>
      <c r="E1317" s="81"/>
      <c r="F1317" s="81"/>
      <c r="G1317" s="81"/>
      <c r="H1317" s="81"/>
      <c r="I1317" s="80"/>
      <c r="J1317" s="81"/>
      <c r="K1317" s="80"/>
      <c r="L1317" s="81"/>
      <c r="M1317" s="642"/>
      <c r="N1317" s="81"/>
      <c r="O1317" s="642"/>
      <c r="P1317" s="81"/>
      <c r="Q1317" s="80"/>
      <c r="R1317" s="81"/>
      <c r="S1317" s="81"/>
      <c r="T1317" s="81"/>
    </row>
    <row r="1318" customHeight="1" spans="1:20">
      <c r="A1318" s="80"/>
      <c r="B1318" s="81"/>
      <c r="C1318" s="642"/>
      <c r="D1318" s="81"/>
      <c r="E1318" s="81"/>
      <c r="F1318" s="81"/>
      <c r="G1318" s="81"/>
      <c r="H1318" s="81"/>
      <c r="I1318" s="80"/>
      <c r="J1318" s="81"/>
      <c r="K1318" s="80"/>
      <c r="L1318" s="81"/>
      <c r="M1318" s="642"/>
      <c r="N1318" s="81"/>
      <c r="O1318" s="642"/>
      <c r="P1318" s="81"/>
      <c r="Q1318" s="80"/>
      <c r="R1318" s="81"/>
      <c r="S1318" s="81"/>
      <c r="T1318" s="81"/>
    </row>
    <row r="1319" customHeight="1" spans="1:20">
      <c r="A1319" s="80"/>
      <c r="B1319" s="81"/>
      <c r="C1319" s="642"/>
      <c r="D1319" s="81"/>
      <c r="E1319" s="81"/>
      <c r="F1319" s="81"/>
      <c r="G1319" s="81"/>
      <c r="H1319" s="81"/>
      <c r="I1319" s="80"/>
      <c r="J1319" s="81"/>
      <c r="K1319" s="80"/>
      <c r="L1319" s="81"/>
      <c r="M1319" s="642"/>
      <c r="N1319" s="81"/>
      <c r="O1319" s="642"/>
      <c r="P1319" s="81"/>
      <c r="Q1319" s="80"/>
      <c r="R1319" s="81"/>
      <c r="S1319" s="81"/>
      <c r="T1319" s="81"/>
    </row>
    <row r="1320" customHeight="1" spans="1:20">
      <c r="A1320" s="80"/>
      <c r="B1320" s="81"/>
      <c r="C1320" s="642"/>
      <c r="D1320" s="81"/>
      <c r="E1320" s="81"/>
      <c r="F1320" s="81"/>
      <c r="G1320" s="81"/>
      <c r="H1320" s="81"/>
      <c r="I1320" s="80"/>
      <c r="J1320" s="81"/>
      <c r="K1320" s="80"/>
      <c r="L1320" s="81"/>
      <c r="M1320" s="642"/>
      <c r="N1320" s="81"/>
      <c r="O1320" s="642"/>
      <c r="P1320" s="81"/>
      <c r="Q1320" s="80"/>
      <c r="R1320" s="81"/>
      <c r="S1320" s="81"/>
      <c r="T1320" s="81"/>
    </row>
    <row r="1321" customHeight="1" spans="1:20">
      <c r="A1321" s="80"/>
      <c r="B1321" s="81"/>
      <c r="C1321" s="642"/>
      <c r="D1321" s="81"/>
      <c r="E1321" s="81"/>
      <c r="F1321" s="81"/>
      <c r="G1321" s="81"/>
      <c r="H1321" s="81"/>
      <c r="I1321" s="80"/>
      <c r="J1321" s="81"/>
      <c r="K1321" s="80"/>
      <c r="L1321" s="81"/>
      <c r="M1321" s="642"/>
      <c r="N1321" s="81"/>
      <c r="O1321" s="642"/>
      <c r="P1321" s="81"/>
      <c r="Q1321" s="80"/>
      <c r="R1321" s="81"/>
      <c r="S1321" s="81"/>
      <c r="T1321" s="81"/>
    </row>
    <row r="1322" customHeight="1" spans="1:20">
      <c r="A1322" s="80"/>
      <c r="B1322" s="81"/>
      <c r="C1322" s="642"/>
      <c r="D1322" s="81"/>
      <c r="E1322" s="81"/>
      <c r="F1322" s="81"/>
      <c r="G1322" s="81"/>
      <c r="H1322" s="81"/>
      <c r="I1322" s="80"/>
      <c r="J1322" s="81"/>
      <c r="K1322" s="80"/>
      <c r="L1322" s="81"/>
      <c r="M1322" s="642"/>
      <c r="N1322" s="81"/>
      <c r="O1322" s="642"/>
      <c r="P1322" s="81"/>
      <c r="Q1322" s="80"/>
      <c r="R1322" s="81"/>
      <c r="S1322" s="81"/>
      <c r="T1322" s="81"/>
    </row>
    <row r="1323" customHeight="1" spans="1:20">
      <c r="A1323" s="80"/>
      <c r="B1323" s="81"/>
      <c r="C1323" s="642"/>
      <c r="D1323" s="81"/>
      <c r="E1323" s="81"/>
      <c r="F1323" s="81"/>
      <c r="G1323" s="81"/>
      <c r="H1323" s="81"/>
      <c r="I1323" s="80"/>
      <c r="J1323" s="81"/>
      <c r="K1323" s="80"/>
      <c r="L1323" s="81"/>
      <c r="M1323" s="642"/>
      <c r="N1323" s="81"/>
      <c r="O1323" s="642"/>
      <c r="P1323" s="81"/>
      <c r="Q1323" s="80"/>
      <c r="R1323" s="81"/>
      <c r="S1323" s="81"/>
      <c r="T1323" s="81"/>
    </row>
    <row r="1324" customHeight="1" spans="1:20">
      <c r="A1324" s="80"/>
      <c r="B1324" s="81"/>
      <c r="C1324" s="642"/>
      <c r="D1324" s="81"/>
      <c r="E1324" s="81"/>
      <c r="F1324" s="81"/>
      <c r="G1324" s="81"/>
      <c r="H1324" s="81"/>
      <c r="I1324" s="80"/>
      <c r="J1324" s="81"/>
      <c r="K1324" s="80"/>
      <c r="L1324" s="81"/>
      <c r="M1324" s="642"/>
      <c r="N1324" s="81"/>
      <c r="O1324" s="642"/>
      <c r="P1324" s="81"/>
      <c r="Q1324" s="80"/>
      <c r="R1324" s="81"/>
      <c r="S1324" s="81"/>
      <c r="T1324" s="81"/>
    </row>
    <row r="1325" customHeight="1" spans="1:20">
      <c r="A1325" s="80"/>
      <c r="B1325" s="81"/>
      <c r="C1325" s="642"/>
      <c r="D1325" s="81"/>
      <c r="E1325" s="81"/>
      <c r="F1325" s="81"/>
      <c r="G1325" s="81"/>
      <c r="H1325" s="81"/>
      <c r="I1325" s="80"/>
      <c r="J1325" s="81"/>
      <c r="K1325" s="80"/>
      <c r="L1325" s="81"/>
      <c r="M1325" s="642"/>
      <c r="N1325" s="81"/>
      <c r="O1325" s="642"/>
      <c r="P1325" s="81"/>
      <c r="Q1325" s="80"/>
      <c r="R1325" s="81"/>
      <c r="S1325" s="81"/>
      <c r="T1325" s="81"/>
    </row>
    <row r="1326" customHeight="1" spans="1:20">
      <c r="A1326" s="80"/>
      <c r="B1326" s="81"/>
      <c r="C1326" s="642"/>
      <c r="D1326" s="81"/>
      <c r="E1326" s="81"/>
      <c r="F1326" s="81"/>
      <c r="G1326" s="81"/>
      <c r="H1326" s="81"/>
      <c r="I1326" s="80"/>
      <c r="J1326" s="81"/>
      <c r="K1326" s="80"/>
      <c r="L1326" s="81"/>
      <c r="M1326" s="642"/>
      <c r="N1326" s="81"/>
      <c r="O1326" s="642"/>
      <c r="P1326" s="81"/>
      <c r="Q1326" s="80"/>
      <c r="R1326" s="81"/>
      <c r="S1326" s="81"/>
      <c r="T1326" s="81"/>
    </row>
    <row r="1327" customHeight="1" spans="1:20">
      <c r="A1327" s="80"/>
      <c r="B1327" s="81"/>
      <c r="C1327" s="642"/>
      <c r="D1327" s="81"/>
      <c r="E1327" s="81"/>
      <c r="F1327" s="81"/>
      <c r="G1327" s="81"/>
      <c r="H1327" s="81"/>
      <c r="I1327" s="80"/>
      <c r="J1327" s="81"/>
      <c r="K1327" s="80"/>
      <c r="L1327" s="81"/>
      <c r="M1327" s="642"/>
      <c r="N1327" s="81"/>
      <c r="O1327" s="642"/>
      <c r="P1327" s="81"/>
      <c r="Q1327" s="80"/>
      <c r="R1327" s="81"/>
      <c r="S1327" s="81"/>
      <c r="T1327" s="81"/>
    </row>
    <row r="1328" customHeight="1" spans="1:20">
      <c r="A1328" s="80"/>
      <c r="B1328" s="81"/>
      <c r="C1328" s="642"/>
      <c r="D1328" s="81"/>
      <c r="E1328" s="81"/>
      <c r="F1328" s="81"/>
      <c r="G1328" s="81"/>
      <c r="H1328" s="81"/>
      <c r="I1328" s="80"/>
      <c r="J1328" s="81"/>
      <c r="K1328" s="80"/>
      <c r="L1328" s="81"/>
      <c r="M1328" s="642"/>
      <c r="N1328" s="81"/>
      <c r="O1328" s="642"/>
      <c r="P1328" s="81"/>
      <c r="Q1328" s="80"/>
      <c r="R1328" s="81"/>
      <c r="S1328" s="81"/>
      <c r="T1328" s="81"/>
    </row>
    <row r="1329" customHeight="1" spans="1:20">
      <c r="A1329" s="80"/>
      <c r="B1329" s="81"/>
      <c r="C1329" s="642"/>
      <c r="D1329" s="81"/>
      <c r="E1329" s="81"/>
      <c r="F1329" s="81"/>
      <c r="G1329" s="81"/>
      <c r="H1329" s="81"/>
      <c r="I1329" s="80"/>
      <c r="J1329" s="81"/>
      <c r="K1329" s="80"/>
      <c r="L1329" s="81"/>
      <c r="M1329" s="642"/>
      <c r="N1329" s="81"/>
      <c r="O1329" s="642"/>
      <c r="P1329" s="81"/>
      <c r="Q1329" s="80"/>
      <c r="R1329" s="81"/>
      <c r="S1329" s="81"/>
      <c r="T1329" s="81"/>
    </row>
    <row r="1330" customHeight="1" spans="1:20">
      <c r="A1330" s="80"/>
      <c r="B1330" s="81"/>
      <c r="C1330" s="642"/>
      <c r="D1330" s="81"/>
      <c r="E1330" s="81"/>
      <c r="F1330" s="81"/>
      <c r="G1330" s="81"/>
      <c r="H1330" s="81"/>
      <c r="I1330" s="80"/>
      <c r="J1330" s="81"/>
      <c r="K1330" s="80"/>
      <c r="L1330" s="81"/>
      <c r="M1330" s="642"/>
      <c r="N1330" s="81"/>
      <c r="O1330" s="642"/>
      <c r="P1330" s="81"/>
      <c r="Q1330" s="80"/>
      <c r="R1330" s="81"/>
      <c r="S1330" s="81"/>
      <c r="T1330" s="81"/>
    </row>
    <row r="1331" customHeight="1" spans="1:20">
      <c r="A1331" s="80"/>
      <c r="B1331" s="81"/>
      <c r="C1331" s="642"/>
      <c r="D1331" s="81"/>
      <c r="E1331" s="81"/>
      <c r="F1331" s="81"/>
      <c r="G1331" s="81"/>
      <c r="H1331" s="81"/>
      <c r="I1331" s="80"/>
      <c r="J1331" s="81"/>
      <c r="K1331" s="80"/>
      <c r="L1331" s="81"/>
      <c r="M1331" s="642"/>
      <c r="N1331" s="81"/>
      <c r="O1331" s="642"/>
      <c r="P1331" s="81"/>
      <c r="Q1331" s="80"/>
      <c r="R1331" s="81"/>
      <c r="S1331" s="81"/>
      <c r="T1331" s="81"/>
    </row>
    <row r="1332" customHeight="1" spans="1:20">
      <c r="A1332" s="80"/>
      <c r="B1332" s="81"/>
      <c r="C1332" s="642"/>
      <c r="D1332" s="81"/>
      <c r="E1332" s="81"/>
      <c r="F1332" s="81"/>
      <c r="G1332" s="81"/>
      <c r="H1332" s="81"/>
      <c r="I1332" s="80"/>
      <c r="J1332" s="81"/>
      <c r="K1332" s="80"/>
      <c r="L1332" s="81"/>
      <c r="M1332" s="642"/>
      <c r="N1332" s="81"/>
      <c r="O1332" s="642"/>
      <c r="P1332" s="81"/>
      <c r="Q1332" s="80"/>
      <c r="R1332" s="81"/>
      <c r="S1332" s="81"/>
      <c r="T1332" s="81"/>
    </row>
    <row r="1333" customHeight="1" spans="1:20">
      <c r="A1333" s="80"/>
      <c r="B1333" s="81"/>
      <c r="C1333" s="642"/>
      <c r="D1333" s="81"/>
      <c r="E1333" s="81"/>
      <c r="F1333" s="81"/>
      <c r="G1333" s="81"/>
      <c r="H1333" s="81"/>
      <c r="I1333" s="80"/>
      <c r="J1333" s="81"/>
      <c r="K1333" s="80"/>
      <c r="L1333" s="81"/>
      <c r="M1333" s="642"/>
      <c r="N1333" s="81"/>
      <c r="O1333" s="642"/>
      <c r="P1333" s="81"/>
      <c r="Q1333" s="80"/>
      <c r="R1333" s="81"/>
      <c r="S1333" s="81"/>
      <c r="T1333" s="81"/>
    </row>
    <row r="1334" customHeight="1" spans="1:20">
      <c r="A1334" s="80"/>
      <c r="B1334" s="81"/>
      <c r="C1334" s="642"/>
      <c r="D1334" s="81"/>
      <c r="E1334" s="81"/>
      <c r="F1334" s="81"/>
      <c r="G1334" s="81"/>
      <c r="H1334" s="81"/>
      <c r="I1334" s="80"/>
      <c r="J1334" s="81"/>
      <c r="K1334" s="80"/>
      <c r="L1334" s="81"/>
      <c r="M1334" s="642"/>
      <c r="N1334" s="81"/>
      <c r="O1334" s="642"/>
      <c r="P1334" s="81"/>
      <c r="Q1334" s="80"/>
      <c r="R1334" s="81"/>
      <c r="S1334" s="81"/>
      <c r="T1334" s="81"/>
    </row>
    <row r="1335" customHeight="1" spans="1:20">
      <c r="A1335" s="80"/>
      <c r="B1335" s="81"/>
      <c r="C1335" s="642"/>
      <c r="D1335" s="81"/>
      <c r="E1335" s="81"/>
      <c r="F1335" s="81"/>
      <c r="G1335" s="81"/>
      <c r="H1335" s="81"/>
      <c r="I1335" s="80"/>
      <c r="J1335" s="81"/>
      <c r="K1335" s="80"/>
      <c r="L1335" s="81"/>
      <c r="M1335" s="642"/>
      <c r="N1335" s="81"/>
      <c r="O1335" s="642"/>
      <c r="P1335" s="81"/>
      <c r="Q1335" s="80"/>
      <c r="R1335" s="81"/>
      <c r="S1335" s="81"/>
      <c r="T1335" s="81"/>
    </row>
    <row r="1336" customHeight="1" spans="1:20">
      <c r="A1336" s="80"/>
      <c r="B1336" s="81"/>
      <c r="C1336" s="642"/>
      <c r="D1336" s="81"/>
      <c r="E1336" s="81"/>
      <c r="F1336" s="81"/>
      <c r="G1336" s="81"/>
      <c r="H1336" s="81"/>
      <c r="I1336" s="80"/>
      <c r="J1336" s="81"/>
      <c r="K1336" s="80"/>
      <c r="L1336" s="81"/>
      <c r="M1336" s="642"/>
      <c r="N1336" s="81"/>
      <c r="O1336" s="642"/>
      <c r="P1336" s="81"/>
      <c r="Q1336" s="80"/>
      <c r="R1336" s="81"/>
      <c r="S1336" s="81"/>
      <c r="T1336" s="81"/>
    </row>
    <row r="1337" customHeight="1" spans="1:20">
      <c r="A1337" s="80"/>
      <c r="B1337" s="81"/>
      <c r="C1337" s="642"/>
      <c r="D1337" s="81"/>
      <c r="E1337" s="81"/>
      <c r="F1337" s="81"/>
      <c r="G1337" s="81"/>
      <c r="H1337" s="81"/>
      <c r="I1337" s="80"/>
      <c r="J1337" s="81"/>
      <c r="K1337" s="80"/>
      <c r="L1337" s="81"/>
      <c r="M1337" s="642"/>
      <c r="N1337" s="81"/>
      <c r="O1337" s="642"/>
      <c r="P1337" s="81"/>
      <c r="Q1337" s="80"/>
      <c r="R1337" s="81"/>
      <c r="S1337" s="81"/>
      <c r="T1337" s="81"/>
    </row>
    <row r="1338" customHeight="1" spans="1:20">
      <c r="A1338" s="80"/>
      <c r="B1338" s="81"/>
      <c r="C1338" s="642"/>
      <c r="D1338" s="81"/>
      <c r="E1338" s="81"/>
      <c r="F1338" s="81"/>
      <c r="G1338" s="81"/>
      <c r="H1338" s="81"/>
      <c r="I1338" s="80"/>
      <c r="J1338" s="81"/>
      <c r="K1338" s="80"/>
      <c r="L1338" s="81"/>
      <c r="M1338" s="642"/>
      <c r="N1338" s="81"/>
      <c r="O1338" s="642"/>
      <c r="P1338" s="81"/>
      <c r="Q1338" s="80"/>
      <c r="R1338" s="81"/>
      <c r="S1338" s="81"/>
      <c r="T1338" s="81"/>
    </row>
    <row r="1339" customHeight="1" spans="1:20">
      <c r="A1339" s="80"/>
      <c r="B1339" s="81"/>
      <c r="C1339" s="642"/>
      <c r="D1339" s="81"/>
      <c r="E1339" s="81"/>
      <c r="F1339" s="81"/>
      <c r="G1339" s="81"/>
      <c r="H1339" s="81"/>
      <c r="I1339" s="80"/>
      <c r="J1339" s="81"/>
      <c r="K1339" s="80"/>
      <c r="L1339" s="81"/>
      <c r="M1339" s="642"/>
      <c r="N1339" s="81"/>
      <c r="O1339" s="642"/>
      <c r="P1339" s="81"/>
      <c r="Q1339" s="80"/>
      <c r="R1339" s="81"/>
      <c r="S1339" s="81"/>
      <c r="T1339" s="81"/>
    </row>
    <row r="1340" customHeight="1" spans="1:20">
      <c r="A1340" s="80"/>
      <c r="B1340" s="81"/>
      <c r="C1340" s="642"/>
      <c r="D1340" s="81"/>
      <c r="E1340" s="81"/>
      <c r="F1340" s="81"/>
      <c r="G1340" s="81"/>
      <c r="H1340" s="81"/>
      <c r="I1340" s="80"/>
      <c r="J1340" s="81"/>
      <c r="K1340" s="80"/>
      <c r="L1340" s="81"/>
      <c r="M1340" s="642"/>
      <c r="N1340" s="81"/>
      <c r="O1340" s="642"/>
      <c r="P1340" s="81"/>
      <c r="Q1340" s="80"/>
      <c r="R1340" s="81"/>
      <c r="S1340" s="81"/>
      <c r="T1340" s="81"/>
    </row>
    <row r="1341" customHeight="1" spans="1:20">
      <c r="A1341" s="80"/>
      <c r="B1341" s="81"/>
      <c r="C1341" s="642"/>
      <c r="D1341" s="81"/>
      <c r="E1341" s="81"/>
      <c r="F1341" s="81"/>
      <c r="G1341" s="81"/>
      <c r="H1341" s="81"/>
      <c r="I1341" s="80"/>
      <c r="J1341" s="81"/>
      <c r="K1341" s="80"/>
      <c r="L1341" s="81"/>
      <c r="M1341" s="642"/>
      <c r="N1341" s="81"/>
      <c r="O1341" s="642"/>
      <c r="P1341" s="81"/>
      <c r="Q1341" s="80"/>
      <c r="R1341" s="81"/>
      <c r="S1341" s="81"/>
      <c r="T1341" s="81"/>
    </row>
    <row r="1342" customHeight="1" spans="1:20">
      <c r="A1342" s="80"/>
      <c r="B1342" s="81"/>
      <c r="C1342" s="642"/>
      <c r="D1342" s="81"/>
      <c r="E1342" s="81"/>
      <c r="F1342" s="81"/>
      <c r="G1342" s="81"/>
      <c r="H1342" s="81"/>
      <c r="I1342" s="80"/>
      <c r="J1342" s="81"/>
      <c r="K1342" s="80"/>
      <c r="L1342" s="81"/>
      <c r="M1342" s="642"/>
      <c r="N1342" s="81"/>
      <c r="O1342" s="642"/>
      <c r="P1342" s="81"/>
      <c r="Q1342" s="80"/>
      <c r="R1342" s="81"/>
      <c r="S1342" s="81"/>
      <c r="T1342" s="81"/>
    </row>
    <row r="1343" customHeight="1" spans="1:20">
      <c r="A1343" s="80"/>
      <c r="B1343" s="81"/>
      <c r="C1343" s="642"/>
      <c r="D1343" s="81"/>
      <c r="E1343" s="81"/>
      <c r="F1343" s="81"/>
      <c r="G1343" s="81"/>
      <c r="H1343" s="81"/>
      <c r="I1343" s="80"/>
      <c r="J1343" s="81"/>
      <c r="K1343" s="80"/>
      <c r="L1343" s="81"/>
      <c r="M1343" s="642"/>
      <c r="N1343" s="81"/>
      <c r="O1343" s="642"/>
      <c r="P1343" s="81"/>
      <c r="Q1343" s="80"/>
      <c r="R1343" s="81"/>
      <c r="S1343" s="81"/>
      <c r="T1343" s="81"/>
    </row>
    <row r="1344" customHeight="1" spans="1:20">
      <c r="A1344" s="80"/>
      <c r="B1344" s="81"/>
      <c r="C1344" s="642"/>
      <c r="D1344" s="81"/>
      <c r="E1344" s="81"/>
      <c r="F1344" s="81"/>
      <c r="G1344" s="81"/>
      <c r="H1344" s="81"/>
      <c r="I1344" s="80"/>
      <c r="J1344" s="81"/>
      <c r="K1344" s="80"/>
      <c r="L1344" s="81"/>
      <c r="M1344" s="642"/>
      <c r="N1344" s="81"/>
      <c r="O1344" s="642"/>
      <c r="P1344" s="81"/>
      <c r="Q1344" s="80"/>
      <c r="R1344" s="81"/>
      <c r="S1344" s="81"/>
      <c r="T1344" s="81"/>
    </row>
    <row r="1345" customHeight="1" spans="1:20">
      <c r="A1345" s="80"/>
      <c r="B1345" s="81"/>
      <c r="C1345" s="642"/>
      <c r="D1345" s="81"/>
      <c r="E1345" s="81"/>
      <c r="F1345" s="81"/>
      <c r="G1345" s="81"/>
      <c r="H1345" s="81"/>
      <c r="I1345" s="80"/>
      <c r="J1345" s="81"/>
      <c r="K1345" s="80"/>
      <c r="L1345" s="81"/>
      <c r="M1345" s="642"/>
      <c r="N1345" s="81"/>
      <c r="O1345" s="642"/>
      <c r="P1345" s="81"/>
      <c r="Q1345" s="80"/>
      <c r="R1345" s="81"/>
      <c r="S1345" s="81"/>
      <c r="T1345" s="81"/>
    </row>
    <row r="1346" customHeight="1" spans="1:20">
      <c r="A1346" s="80"/>
      <c r="B1346" s="81"/>
      <c r="C1346" s="642"/>
      <c r="D1346" s="81"/>
      <c r="E1346" s="81"/>
      <c r="F1346" s="81"/>
      <c r="G1346" s="81"/>
      <c r="H1346" s="81"/>
      <c r="I1346" s="80"/>
      <c r="J1346" s="81"/>
      <c r="K1346" s="80"/>
      <c r="L1346" s="81"/>
      <c r="M1346" s="642"/>
      <c r="N1346" s="81"/>
      <c r="O1346" s="642"/>
      <c r="P1346" s="81"/>
      <c r="Q1346" s="80"/>
      <c r="R1346" s="81"/>
      <c r="S1346" s="81"/>
      <c r="T1346" s="81"/>
    </row>
    <row r="1347" customHeight="1" spans="1:20">
      <c r="A1347" s="80"/>
      <c r="B1347" s="81"/>
      <c r="C1347" s="642"/>
      <c r="D1347" s="81"/>
      <c r="E1347" s="81"/>
      <c r="F1347" s="81"/>
      <c r="G1347" s="81"/>
      <c r="H1347" s="81"/>
      <c r="I1347" s="80"/>
      <c r="J1347" s="81"/>
      <c r="K1347" s="80"/>
      <c r="L1347" s="81"/>
      <c r="M1347" s="642"/>
      <c r="N1347" s="81"/>
      <c r="O1347" s="642"/>
      <c r="P1347" s="81"/>
      <c r="Q1347" s="80"/>
      <c r="R1347" s="81"/>
      <c r="S1347" s="81"/>
      <c r="T1347" s="81"/>
    </row>
    <row r="1348" customHeight="1" spans="1:20">
      <c r="A1348" s="80"/>
      <c r="B1348" s="81"/>
      <c r="C1348" s="642"/>
      <c r="D1348" s="81"/>
      <c r="E1348" s="81"/>
      <c r="F1348" s="81"/>
      <c r="G1348" s="81"/>
      <c r="H1348" s="81"/>
      <c r="I1348" s="80"/>
      <c r="J1348" s="81"/>
      <c r="K1348" s="80"/>
      <c r="L1348" s="81"/>
      <c r="M1348" s="642"/>
      <c r="N1348" s="81"/>
      <c r="O1348" s="642"/>
      <c r="P1348" s="81"/>
      <c r="Q1348" s="80"/>
      <c r="R1348" s="81"/>
      <c r="S1348" s="81"/>
      <c r="T1348" s="81"/>
    </row>
    <row r="1349" customHeight="1" spans="1:20">
      <c r="A1349" s="80"/>
      <c r="B1349" s="81"/>
      <c r="C1349" s="642"/>
      <c r="D1349" s="81"/>
      <c r="E1349" s="81"/>
      <c r="F1349" s="81"/>
      <c r="G1349" s="81"/>
      <c r="H1349" s="81"/>
      <c r="I1349" s="80"/>
      <c r="J1349" s="81"/>
      <c r="K1349" s="80"/>
      <c r="L1349" s="81"/>
      <c r="M1349" s="642"/>
      <c r="N1349" s="81"/>
      <c r="O1349" s="642"/>
      <c r="P1349" s="81"/>
      <c r="Q1349" s="80"/>
      <c r="R1349" s="81"/>
      <c r="S1349" s="81"/>
      <c r="T1349" s="81"/>
    </row>
    <row r="1350" customHeight="1" spans="1:20">
      <c r="A1350" s="80"/>
      <c r="B1350" s="81"/>
      <c r="C1350" s="642"/>
      <c r="D1350" s="81"/>
      <c r="E1350" s="81"/>
      <c r="F1350" s="81"/>
      <c r="G1350" s="81"/>
      <c r="H1350" s="81"/>
      <c r="I1350" s="80"/>
      <c r="J1350" s="81"/>
      <c r="K1350" s="80"/>
      <c r="L1350" s="81"/>
      <c r="M1350" s="642"/>
      <c r="N1350" s="81"/>
      <c r="O1350" s="642"/>
      <c r="P1350" s="81"/>
      <c r="Q1350" s="80"/>
      <c r="R1350" s="81"/>
      <c r="S1350" s="81"/>
      <c r="T1350" s="81"/>
    </row>
    <row r="1351" customHeight="1" spans="1:20">
      <c r="A1351" s="80"/>
      <c r="B1351" s="81"/>
      <c r="C1351" s="642"/>
      <c r="D1351" s="81"/>
      <c r="E1351" s="81"/>
      <c r="F1351" s="81"/>
      <c r="G1351" s="81"/>
      <c r="H1351" s="81"/>
      <c r="I1351" s="80"/>
      <c r="J1351" s="81"/>
      <c r="K1351" s="80"/>
      <c r="L1351" s="81"/>
      <c r="M1351" s="642"/>
      <c r="N1351" s="81"/>
      <c r="O1351" s="642"/>
      <c r="P1351" s="81"/>
      <c r="Q1351" s="80"/>
      <c r="R1351" s="81"/>
      <c r="S1351" s="81"/>
      <c r="T1351" s="81"/>
    </row>
    <row r="1352" customHeight="1" spans="1:20">
      <c r="A1352" s="80"/>
      <c r="B1352" s="81"/>
      <c r="C1352" s="642"/>
      <c r="D1352" s="81"/>
      <c r="E1352" s="81"/>
      <c r="F1352" s="81"/>
      <c r="G1352" s="81"/>
      <c r="H1352" s="81"/>
      <c r="I1352" s="80"/>
      <c r="J1352" s="81"/>
      <c r="K1352" s="80"/>
      <c r="L1352" s="81"/>
      <c r="M1352" s="642"/>
      <c r="N1352" s="81"/>
      <c r="O1352" s="642"/>
      <c r="P1352" s="81"/>
      <c r="Q1352" s="80"/>
      <c r="R1352" s="81"/>
      <c r="S1352" s="81"/>
      <c r="T1352" s="81"/>
    </row>
    <row r="1353" customHeight="1" spans="1:20">
      <c r="A1353" s="80"/>
      <c r="B1353" s="81"/>
      <c r="C1353" s="642"/>
      <c r="D1353" s="81"/>
      <c r="E1353" s="81"/>
      <c r="F1353" s="81"/>
      <c r="G1353" s="81"/>
      <c r="H1353" s="81"/>
      <c r="I1353" s="80"/>
      <c r="J1353" s="81"/>
      <c r="K1353" s="80"/>
      <c r="L1353" s="81"/>
      <c r="M1353" s="642"/>
      <c r="N1353" s="81"/>
      <c r="O1353" s="642"/>
      <c r="P1353" s="81"/>
      <c r="Q1353" s="80"/>
      <c r="R1353" s="81"/>
      <c r="S1353" s="81"/>
      <c r="T1353" s="81"/>
    </row>
    <row r="1354" customHeight="1" spans="1:20">
      <c r="A1354" s="80"/>
      <c r="B1354" s="81"/>
      <c r="C1354" s="642"/>
      <c r="D1354" s="81"/>
      <c r="E1354" s="81"/>
      <c r="F1354" s="81"/>
      <c r="G1354" s="81"/>
      <c r="H1354" s="81"/>
      <c r="I1354" s="80"/>
      <c r="J1354" s="81"/>
      <c r="K1354" s="80"/>
      <c r="L1354" s="81"/>
      <c r="M1354" s="642"/>
      <c r="N1354" s="81"/>
      <c r="O1354" s="642"/>
      <c r="P1354" s="81"/>
      <c r="Q1354" s="80"/>
      <c r="R1354" s="81"/>
      <c r="S1354" s="81"/>
      <c r="T1354" s="81"/>
    </row>
    <row r="1355" customHeight="1" spans="1:20">
      <c r="A1355" s="80"/>
      <c r="B1355" s="81"/>
      <c r="C1355" s="642"/>
      <c r="D1355" s="81"/>
      <c r="E1355" s="81"/>
      <c r="F1355" s="81"/>
      <c r="G1355" s="81"/>
      <c r="H1355" s="81"/>
      <c r="I1355" s="80"/>
      <c r="J1355" s="81"/>
      <c r="K1355" s="80"/>
      <c r="L1355" s="81"/>
      <c r="M1355" s="642"/>
      <c r="N1355" s="81"/>
      <c r="O1355" s="642"/>
      <c r="P1355" s="81"/>
      <c r="Q1355" s="80"/>
      <c r="R1355" s="81"/>
      <c r="S1355" s="81"/>
      <c r="T1355" s="81"/>
    </row>
    <row r="1356" customHeight="1" spans="1:20">
      <c r="A1356" s="80"/>
      <c r="B1356" s="81"/>
      <c r="C1356" s="642"/>
      <c r="D1356" s="81"/>
      <c r="E1356" s="81"/>
      <c r="F1356" s="81"/>
      <c r="G1356" s="81"/>
      <c r="H1356" s="81"/>
      <c r="I1356" s="80"/>
      <c r="J1356" s="81"/>
      <c r="K1356" s="80"/>
      <c r="L1356" s="81"/>
      <c r="M1356" s="642"/>
      <c r="N1356" s="81"/>
      <c r="O1356" s="642"/>
      <c r="P1356" s="81"/>
      <c r="Q1356" s="80"/>
      <c r="R1356" s="81"/>
      <c r="S1356" s="81"/>
      <c r="T1356" s="81"/>
    </row>
    <row r="1357" customHeight="1" spans="1:20">
      <c r="A1357" s="80"/>
      <c r="B1357" s="81"/>
      <c r="C1357" s="642"/>
      <c r="D1357" s="81"/>
      <c r="E1357" s="81"/>
      <c r="F1357" s="81"/>
      <c r="G1357" s="81"/>
      <c r="H1357" s="81"/>
      <c r="I1357" s="80"/>
      <c r="J1357" s="81"/>
      <c r="K1357" s="80"/>
      <c r="L1357" s="81"/>
      <c r="M1357" s="642"/>
      <c r="N1357" s="81"/>
      <c r="O1357" s="642"/>
      <c r="P1357" s="81"/>
      <c r="Q1357" s="80"/>
      <c r="R1357" s="81"/>
      <c r="S1357" s="81"/>
      <c r="T1357" s="81"/>
    </row>
    <row r="1358" customHeight="1" spans="1:20">
      <c r="A1358" s="80"/>
      <c r="B1358" s="81"/>
      <c r="C1358" s="642"/>
      <c r="D1358" s="81"/>
      <c r="E1358" s="81"/>
      <c r="F1358" s="81"/>
      <c r="G1358" s="81"/>
      <c r="H1358" s="81"/>
      <c r="I1358" s="80"/>
      <c r="J1358" s="81"/>
      <c r="K1358" s="80"/>
      <c r="L1358" s="81"/>
      <c r="M1358" s="642"/>
      <c r="N1358" s="81"/>
      <c r="O1358" s="642"/>
      <c r="P1358" s="81"/>
      <c r="Q1358" s="80"/>
      <c r="R1358" s="81"/>
      <c r="S1358" s="81"/>
      <c r="T1358" s="81"/>
    </row>
    <row r="1359" customHeight="1" spans="1:20">
      <c r="A1359" s="80"/>
      <c r="B1359" s="81"/>
      <c r="C1359" s="642"/>
      <c r="D1359" s="81"/>
      <c r="E1359" s="81"/>
      <c r="F1359" s="81"/>
      <c r="G1359" s="81"/>
      <c r="H1359" s="81"/>
      <c r="I1359" s="80"/>
      <c r="J1359" s="81"/>
      <c r="K1359" s="80"/>
      <c r="L1359" s="81"/>
      <c r="M1359" s="642"/>
      <c r="N1359" s="81"/>
      <c r="O1359" s="642"/>
      <c r="P1359" s="81"/>
      <c r="Q1359" s="80"/>
      <c r="R1359" s="81"/>
      <c r="S1359" s="81"/>
      <c r="T1359" s="81"/>
    </row>
    <row r="1360" customHeight="1" spans="1:20">
      <c r="A1360" s="80"/>
      <c r="B1360" s="81"/>
      <c r="C1360" s="642"/>
      <c r="D1360" s="81"/>
      <c r="E1360" s="81"/>
      <c r="F1360" s="81"/>
      <c r="G1360" s="81"/>
      <c r="H1360" s="81"/>
      <c r="I1360" s="80"/>
      <c r="J1360" s="81"/>
      <c r="K1360" s="80"/>
      <c r="L1360" s="81"/>
      <c r="M1360" s="642"/>
      <c r="N1360" s="81"/>
      <c r="O1360" s="642"/>
      <c r="P1360" s="81"/>
      <c r="Q1360" s="80"/>
      <c r="R1360" s="81"/>
      <c r="S1360" s="81"/>
      <c r="T1360" s="81"/>
    </row>
    <row r="1361" customHeight="1" spans="1:20">
      <c r="A1361" s="80"/>
      <c r="B1361" s="81"/>
      <c r="C1361" s="642"/>
      <c r="D1361" s="81"/>
      <c r="E1361" s="81"/>
      <c r="F1361" s="81"/>
      <c r="G1361" s="81"/>
      <c r="H1361" s="81"/>
      <c r="I1361" s="80"/>
      <c r="J1361" s="81"/>
      <c r="K1361" s="80"/>
      <c r="L1361" s="81"/>
      <c r="M1361" s="642"/>
      <c r="N1361" s="81"/>
      <c r="O1361" s="642"/>
      <c r="P1361" s="81"/>
      <c r="Q1361" s="80"/>
      <c r="R1361" s="81"/>
      <c r="S1361" s="81"/>
      <c r="T1361" s="81"/>
    </row>
    <row r="1362" customHeight="1" spans="1:20">
      <c r="A1362" s="80"/>
      <c r="B1362" s="81"/>
      <c r="C1362" s="642"/>
      <c r="D1362" s="81"/>
      <c r="E1362" s="81"/>
      <c r="F1362" s="81"/>
      <c r="G1362" s="81"/>
      <c r="H1362" s="81"/>
      <c r="I1362" s="80"/>
      <c r="J1362" s="81"/>
      <c r="K1362" s="80"/>
      <c r="L1362" s="81"/>
      <c r="M1362" s="642"/>
      <c r="N1362" s="81"/>
      <c r="O1362" s="642"/>
      <c r="P1362" s="81"/>
      <c r="Q1362" s="80"/>
      <c r="R1362" s="81"/>
      <c r="S1362" s="81"/>
      <c r="T1362" s="81"/>
    </row>
    <row r="1363" customHeight="1" spans="1:20">
      <c r="A1363" s="80"/>
      <c r="B1363" s="81"/>
      <c r="C1363" s="642"/>
      <c r="D1363" s="81"/>
      <c r="E1363" s="81"/>
      <c r="F1363" s="81"/>
      <c r="G1363" s="81"/>
      <c r="H1363" s="81"/>
      <c r="I1363" s="80"/>
      <c r="J1363" s="81"/>
      <c r="K1363" s="80"/>
      <c r="L1363" s="81"/>
      <c r="M1363" s="642"/>
      <c r="N1363" s="81"/>
      <c r="O1363" s="642"/>
      <c r="P1363" s="81"/>
      <c r="Q1363" s="80"/>
      <c r="R1363" s="81"/>
      <c r="S1363" s="81"/>
      <c r="T1363" s="81"/>
    </row>
    <row r="1364" customHeight="1" spans="1:20">
      <c r="A1364" s="80"/>
      <c r="B1364" s="81"/>
      <c r="C1364" s="642"/>
      <c r="D1364" s="81"/>
      <c r="E1364" s="81"/>
      <c r="F1364" s="81"/>
      <c r="G1364" s="81"/>
      <c r="H1364" s="81"/>
      <c r="I1364" s="80"/>
      <c r="J1364" s="81"/>
      <c r="K1364" s="80"/>
      <c r="L1364" s="81"/>
      <c r="M1364" s="642"/>
      <c r="N1364" s="81"/>
      <c r="O1364" s="642"/>
      <c r="P1364" s="81"/>
      <c r="Q1364" s="80"/>
      <c r="R1364" s="81"/>
      <c r="S1364" s="81"/>
      <c r="T1364" s="81"/>
    </row>
    <row r="1365" customHeight="1" spans="1:20">
      <c r="A1365" s="80"/>
      <c r="B1365" s="81"/>
      <c r="C1365" s="642"/>
      <c r="D1365" s="81"/>
      <c r="E1365" s="81"/>
      <c r="F1365" s="81"/>
      <c r="G1365" s="81"/>
      <c r="H1365" s="81"/>
      <c r="I1365" s="80"/>
      <c r="J1365" s="81"/>
      <c r="K1365" s="80"/>
      <c r="L1365" s="81"/>
      <c r="M1365" s="642"/>
      <c r="N1365" s="81"/>
      <c r="O1365" s="642"/>
      <c r="P1365" s="81"/>
      <c r="Q1365" s="80"/>
      <c r="R1365" s="81"/>
      <c r="S1365" s="81"/>
      <c r="T1365" s="81"/>
    </row>
    <row r="1366" customHeight="1" spans="1:20">
      <c r="A1366" s="80"/>
      <c r="B1366" s="81"/>
      <c r="C1366" s="642"/>
      <c r="D1366" s="81"/>
      <c r="E1366" s="81"/>
      <c r="F1366" s="81"/>
      <c r="G1366" s="81"/>
      <c r="H1366" s="81"/>
      <c r="I1366" s="80"/>
      <c r="J1366" s="81"/>
      <c r="K1366" s="80"/>
      <c r="L1366" s="81"/>
      <c r="M1366" s="642"/>
      <c r="N1366" s="81"/>
      <c r="O1366" s="642"/>
      <c r="P1366" s="81"/>
      <c r="Q1366" s="80"/>
      <c r="R1366" s="81"/>
      <c r="S1366" s="81"/>
      <c r="T1366" s="81"/>
    </row>
    <row r="1367" customHeight="1" spans="1:20">
      <c r="A1367" s="80"/>
      <c r="B1367" s="81"/>
      <c r="C1367" s="642"/>
      <c r="D1367" s="81"/>
      <c r="E1367" s="81"/>
      <c r="F1367" s="81"/>
      <c r="G1367" s="81"/>
      <c r="H1367" s="81"/>
      <c r="I1367" s="80"/>
      <c r="J1367" s="81"/>
      <c r="K1367" s="80"/>
      <c r="L1367" s="81"/>
      <c r="M1367" s="642"/>
      <c r="N1367" s="81"/>
      <c r="O1367" s="642"/>
      <c r="P1367" s="81"/>
      <c r="Q1367" s="80"/>
      <c r="R1367" s="81"/>
      <c r="S1367" s="81"/>
      <c r="T1367" s="81"/>
    </row>
    <row r="1368" customHeight="1" spans="1:20">
      <c r="A1368" s="80"/>
      <c r="B1368" s="81"/>
      <c r="C1368" s="642"/>
      <c r="D1368" s="81"/>
      <c r="E1368" s="81"/>
      <c r="F1368" s="81"/>
      <c r="G1368" s="81"/>
      <c r="H1368" s="81"/>
      <c r="I1368" s="80"/>
      <c r="J1368" s="81"/>
      <c r="K1368" s="80"/>
      <c r="L1368" s="81"/>
      <c r="M1368" s="642"/>
      <c r="N1368" s="81"/>
      <c r="O1368" s="642"/>
      <c r="P1368" s="81"/>
      <c r="Q1368" s="80"/>
      <c r="R1368" s="81"/>
      <c r="S1368" s="81"/>
      <c r="T1368" s="81"/>
    </row>
    <row r="1369" customHeight="1" spans="1:20">
      <c r="A1369" s="80"/>
      <c r="B1369" s="81"/>
      <c r="C1369" s="642"/>
      <c r="D1369" s="81"/>
      <c r="E1369" s="81"/>
      <c r="F1369" s="81"/>
      <c r="G1369" s="81"/>
      <c r="H1369" s="81"/>
      <c r="I1369" s="80"/>
      <c r="J1369" s="81"/>
      <c r="K1369" s="80"/>
      <c r="L1369" s="81"/>
      <c r="M1369" s="642"/>
      <c r="N1369" s="81"/>
      <c r="O1369" s="642"/>
      <c r="P1369" s="81"/>
      <c r="Q1369" s="80"/>
      <c r="R1369" s="81"/>
      <c r="S1369" s="81"/>
      <c r="T1369" s="81"/>
    </row>
    <row r="1370" customHeight="1" spans="1:20">
      <c r="A1370" s="80"/>
      <c r="B1370" s="81"/>
      <c r="C1370" s="642"/>
      <c r="D1370" s="81"/>
      <c r="E1370" s="81"/>
      <c r="F1370" s="81"/>
      <c r="G1370" s="81"/>
      <c r="H1370" s="81"/>
      <c r="I1370" s="80"/>
      <c r="J1370" s="81"/>
      <c r="K1370" s="80"/>
      <c r="L1370" s="81"/>
      <c r="M1370" s="642"/>
      <c r="N1370" s="81"/>
      <c r="O1370" s="642"/>
      <c r="P1370" s="81"/>
      <c r="Q1370" s="80"/>
      <c r="R1370" s="81"/>
      <c r="S1370" s="81"/>
      <c r="T1370" s="81"/>
    </row>
    <row r="1371" customHeight="1" spans="1:20">
      <c r="A1371" s="80"/>
      <c r="B1371" s="81"/>
      <c r="C1371" s="642"/>
      <c r="D1371" s="81"/>
      <c r="E1371" s="81"/>
      <c r="F1371" s="81"/>
      <c r="G1371" s="81"/>
      <c r="H1371" s="81"/>
      <c r="I1371" s="80"/>
      <c r="J1371" s="81"/>
      <c r="K1371" s="80"/>
      <c r="L1371" s="81"/>
      <c r="M1371" s="642"/>
      <c r="N1371" s="81"/>
      <c r="O1371" s="642"/>
      <c r="P1371" s="81"/>
      <c r="Q1371" s="80"/>
      <c r="R1371" s="81"/>
      <c r="S1371" s="81"/>
      <c r="T1371" s="81"/>
    </row>
    <row r="1372" customHeight="1" spans="1:20">
      <c r="A1372" s="80"/>
      <c r="B1372" s="81"/>
      <c r="C1372" s="642"/>
      <c r="D1372" s="81"/>
      <c r="E1372" s="81"/>
      <c r="F1372" s="81"/>
      <c r="G1372" s="81"/>
      <c r="H1372" s="81"/>
      <c r="I1372" s="80"/>
      <c r="J1372" s="81"/>
      <c r="K1372" s="80"/>
      <c r="L1372" s="81"/>
      <c r="M1372" s="642"/>
      <c r="N1372" s="81"/>
      <c r="O1372" s="642"/>
      <c r="P1372" s="81"/>
      <c r="Q1372" s="80"/>
      <c r="R1372" s="81"/>
      <c r="S1372" s="81"/>
      <c r="T1372" s="81"/>
    </row>
    <row r="1373" customHeight="1" spans="1:20">
      <c r="A1373" s="80"/>
      <c r="B1373" s="81"/>
      <c r="C1373" s="642"/>
      <c r="D1373" s="81"/>
      <c r="E1373" s="81"/>
      <c r="F1373" s="81"/>
      <c r="G1373" s="81"/>
      <c r="H1373" s="81"/>
      <c r="I1373" s="80"/>
      <c r="J1373" s="81"/>
      <c r="K1373" s="80"/>
      <c r="L1373" s="81"/>
      <c r="M1373" s="642"/>
      <c r="N1373" s="81"/>
      <c r="O1373" s="642"/>
      <c r="P1373" s="81"/>
      <c r="Q1373" s="80"/>
      <c r="R1373" s="81"/>
      <c r="S1373" s="81"/>
      <c r="T1373" s="81"/>
    </row>
    <row r="1374" customHeight="1" spans="1:20">
      <c r="A1374" s="80"/>
      <c r="B1374" s="81"/>
      <c r="C1374" s="642"/>
      <c r="D1374" s="81"/>
      <c r="E1374" s="81"/>
      <c r="F1374" s="81"/>
      <c r="G1374" s="81"/>
      <c r="H1374" s="81"/>
      <c r="I1374" s="80"/>
      <c r="J1374" s="81"/>
      <c r="K1374" s="80"/>
      <c r="L1374" s="81"/>
      <c r="M1374" s="642"/>
      <c r="N1374" s="81"/>
      <c r="O1374" s="642"/>
      <c r="P1374" s="81"/>
      <c r="Q1374" s="80"/>
      <c r="R1374" s="81"/>
      <c r="S1374" s="81"/>
      <c r="T1374" s="81"/>
    </row>
    <row r="1375" customHeight="1" spans="1:20">
      <c r="A1375" s="80"/>
      <c r="B1375" s="81"/>
      <c r="C1375" s="642"/>
      <c r="D1375" s="81"/>
      <c r="E1375" s="81"/>
      <c r="F1375" s="81"/>
      <c r="G1375" s="81"/>
      <c r="H1375" s="81"/>
      <c r="I1375" s="80"/>
      <c r="J1375" s="81"/>
      <c r="K1375" s="80"/>
      <c r="L1375" s="81"/>
      <c r="M1375" s="642"/>
      <c r="N1375" s="81"/>
      <c r="O1375" s="642"/>
      <c r="P1375" s="81"/>
      <c r="Q1375" s="80"/>
      <c r="R1375" s="81"/>
      <c r="S1375" s="81"/>
      <c r="T1375" s="81"/>
    </row>
    <row r="1376" customHeight="1" spans="1:20">
      <c r="A1376" s="80"/>
      <c r="B1376" s="81"/>
      <c r="C1376" s="642"/>
      <c r="D1376" s="81"/>
      <c r="E1376" s="81"/>
      <c r="F1376" s="81"/>
      <c r="G1376" s="81"/>
      <c r="H1376" s="81"/>
      <c r="I1376" s="80"/>
      <c r="J1376" s="81"/>
      <c r="K1376" s="80"/>
      <c r="L1376" s="81"/>
      <c r="M1376" s="642"/>
      <c r="N1376" s="81"/>
      <c r="O1376" s="642"/>
      <c r="P1376" s="81"/>
      <c r="Q1376" s="80"/>
      <c r="R1376" s="81"/>
      <c r="S1376" s="81"/>
      <c r="T1376" s="81"/>
    </row>
    <row r="1377" customHeight="1" spans="1:20">
      <c r="A1377" s="80"/>
      <c r="B1377" s="81"/>
      <c r="C1377" s="642"/>
      <c r="D1377" s="81"/>
      <c r="E1377" s="81"/>
      <c r="F1377" s="81"/>
      <c r="G1377" s="81"/>
      <c r="H1377" s="81"/>
      <c r="I1377" s="80"/>
      <c r="J1377" s="81"/>
      <c r="K1377" s="80"/>
      <c r="L1377" s="81"/>
      <c r="M1377" s="642"/>
      <c r="N1377" s="81"/>
      <c r="O1377" s="642"/>
      <c r="P1377" s="81"/>
      <c r="Q1377" s="80"/>
      <c r="R1377" s="81"/>
      <c r="S1377" s="81"/>
      <c r="T1377" s="81"/>
    </row>
    <row r="1378" customHeight="1" spans="1:20">
      <c r="A1378" s="80"/>
      <c r="B1378" s="81"/>
      <c r="C1378" s="642"/>
      <c r="D1378" s="81"/>
      <c r="E1378" s="81"/>
      <c r="F1378" s="81"/>
      <c r="G1378" s="81"/>
      <c r="H1378" s="81"/>
      <c r="I1378" s="80"/>
      <c r="J1378" s="81"/>
      <c r="K1378" s="80"/>
      <c r="L1378" s="81"/>
      <c r="M1378" s="642"/>
      <c r="N1378" s="81"/>
      <c r="O1378" s="642"/>
      <c r="P1378" s="81"/>
      <c r="Q1378" s="80"/>
      <c r="R1378" s="81"/>
      <c r="S1378" s="81"/>
      <c r="T1378" s="81"/>
    </row>
    <row r="1379" customHeight="1" spans="1:20">
      <c r="A1379" s="80"/>
      <c r="B1379" s="81"/>
      <c r="C1379" s="642"/>
      <c r="D1379" s="81"/>
      <c r="E1379" s="81"/>
      <c r="F1379" s="81"/>
      <c r="G1379" s="81"/>
      <c r="H1379" s="81"/>
      <c r="I1379" s="80"/>
      <c r="J1379" s="81"/>
      <c r="K1379" s="80"/>
      <c r="L1379" s="81"/>
      <c r="M1379" s="642"/>
      <c r="N1379" s="81"/>
      <c r="O1379" s="642"/>
      <c r="P1379" s="81"/>
      <c r="Q1379" s="80"/>
      <c r="R1379" s="81"/>
      <c r="S1379" s="81"/>
      <c r="T1379" s="81"/>
    </row>
    <row r="1380" customHeight="1" spans="1:20">
      <c r="A1380" s="80"/>
      <c r="B1380" s="81"/>
      <c r="C1380" s="642"/>
      <c r="D1380" s="81"/>
      <c r="E1380" s="81"/>
      <c r="F1380" s="81"/>
      <c r="G1380" s="81"/>
      <c r="H1380" s="81"/>
      <c r="I1380" s="80"/>
      <c r="J1380" s="81"/>
      <c r="K1380" s="80"/>
      <c r="L1380" s="81"/>
      <c r="M1380" s="642"/>
      <c r="N1380" s="81"/>
      <c r="O1380" s="642"/>
      <c r="P1380" s="81"/>
      <c r="Q1380" s="80"/>
      <c r="R1380" s="81"/>
      <c r="S1380" s="81"/>
      <c r="T1380" s="81"/>
    </row>
    <row r="1381" customHeight="1" spans="1:20">
      <c r="A1381" s="80"/>
      <c r="B1381" s="81"/>
      <c r="C1381" s="642"/>
      <c r="D1381" s="81"/>
      <c r="E1381" s="81"/>
      <c r="F1381" s="81"/>
      <c r="G1381" s="81"/>
      <c r="H1381" s="81"/>
      <c r="I1381" s="80"/>
      <c r="J1381" s="81"/>
      <c r="K1381" s="80"/>
      <c r="L1381" s="81"/>
      <c r="M1381" s="642"/>
      <c r="N1381" s="81"/>
      <c r="O1381" s="642"/>
      <c r="P1381" s="81"/>
      <c r="Q1381" s="80"/>
      <c r="R1381" s="81"/>
      <c r="S1381" s="81"/>
      <c r="T1381" s="81"/>
    </row>
    <row r="1382" customHeight="1" spans="1:20">
      <c r="A1382" s="80"/>
      <c r="B1382" s="81"/>
      <c r="C1382" s="642"/>
      <c r="D1382" s="81"/>
      <c r="E1382" s="81"/>
      <c r="F1382" s="81"/>
      <c r="G1382" s="81"/>
      <c r="H1382" s="81"/>
      <c r="I1382" s="80"/>
      <c r="J1382" s="81"/>
      <c r="K1382" s="80"/>
      <c r="L1382" s="81"/>
      <c r="M1382" s="642"/>
      <c r="N1382" s="81"/>
      <c r="O1382" s="642"/>
      <c r="P1382" s="81"/>
      <c r="Q1382" s="80"/>
      <c r="R1382" s="81"/>
      <c r="S1382" s="81"/>
      <c r="T1382" s="81"/>
    </row>
    <row r="1383" customHeight="1" spans="1:20">
      <c r="A1383" s="80"/>
      <c r="B1383" s="81"/>
      <c r="C1383" s="642"/>
      <c r="D1383" s="81"/>
      <c r="E1383" s="81"/>
      <c r="F1383" s="81"/>
      <c r="G1383" s="81"/>
      <c r="H1383" s="81"/>
      <c r="I1383" s="80"/>
      <c r="J1383" s="81"/>
      <c r="K1383" s="80"/>
      <c r="L1383" s="81"/>
      <c r="M1383" s="642"/>
      <c r="N1383" s="81"/>
      <c r="O1383" s="642"/>
      <c r="P1383" s="81"/>
      <c r="Q1383" s="80"/>
      <c r="R1383" s="81"/>
      <c r="S1383" s="81"/>
      <c r="T1383" s="81"/>
    </row>
    <row r="1384" customHeight="1" spans="1:20">
      <c r="A1384" s="80"/>
      <c r="B1384" s="81"/>
      <c r="C1384" s="642"/>
      <c r="D1384" s="81"/>
      <c r="E1384" s="81"/>
      <c r="F1384" s="81"/>
      <c r="G1384" s="81"/>
      <c r="H1384" s="81"/>
      <c r="I1384" s="80"/>
      <c r="J1384" s="81"/>
      <c r="K1384" s="80"/>
      <c r="L1384" s="81"/>
      <c r="M1384" s="642"/>
      <c r="N1384" s="81"/>
      <c r="O1384" s="642"/>
      <c r="P1384" s="81"/>
      <c r="Q1384" s="80"/>
      <c r="R1384" s="81"/>
      <c r="S1384" s="81"/>
      <c r="T1384" s="81"/>
    </row>
    <row r="1385" customHeight="1" spans="1:20">
      <c r="A1385" s="80"/>
      <c r="B1385" s="81"/>
      <c r="C1385" s="642"/>
      <c r="D1385" s="81"/>
      <c r="E1385" s="81"/>
      <c r="F1385" s="81"/>
      <c r="G1385" s="81"/>
      <c r="H1385" s="81"/>
      <c r="I1385" s="80"/>
      <c r="J1385" s="81"/>
      <c r="K1385" s="80"/>
      <c r="L1385" s="81"/>
      <c r="M1385" s="642"/>
      <c r="N1385" s="81"/>
      <c r="O1385" s="642"/>
      <c r="P1385" s="81"/>
      <c r="Q1385" s="80"/>
      <c r="R1385" s="81"/>
      <c r="S1385" s="81"/>
      <c r="T1385" s="81"/>
    </row>
    <row r="1386" customHeight="1" spans="1:20">
      <c r="A1386" s="80"/>
      <c r="B1386" s="81"/>
      <c r="C1386" s="642"/>
      <c r="D1386" s="81"/>
      <c r="E1386" s="81"/>
      <c r="F1386" s="81"/>
      <c r="G1386" s="81"/>
      <c r="H1386" s="81"/>
      <c r="I1386" s="80"/>
      <c r="J1386" s="81"/>
      <c r="K1386" s="80"/>
      <c r="L1386" s="81"/>
      <c r="M1386" s="642"/>
      <c r="N1386" s="81"/>
      <c r="O1386" s="642"/>
      <c r="P1386" s="81"/>
      <c r="Q1386" s="80"/>
      <c r="R1386" s="81"/>
      <c r="S1386" s="81"/>
      <c r="T1386" s="81"/>
    </row>
    <row r="1387" customHeight="1" spans="1:20">
      <c r="A1387" s="80"/>
      <c r="B1387" s="81"/>
      <c r="C1387" s="642"/>
      <c r="D1387" s="81"/>
      <c r="E1387" s="81"/>
      <c r="F1387" s="81"/>
      <c r="G1387" s="81"/>
      <c r="H1387" s="81"/>
      <c r="I1387" s="80"/>
      <c r="J1387" s="81"/>
      <c r="K1387" s="80"/>
      <c r="L1387" s="81"/>
      <c r="M1387" s="642"/>
      <c r="N1387" s="81"/>
      <c r="O1387" s="642"/>
      <c r="P1387" s="81"/>
      <c r="Q1387" s="80"/>
      <c r="R1387" s="81"/>
      <c r="S1387" s="81"/>
      <c r="T1387" s="81"/>
    </row>
    <row r="1388" customHeight="1" spans="1:20">
      <c r="A1388" s="80"/>
      <c r="B1388" s="81"/>
      <c r="C1388" s="642"/>
      <c r="D1388" s="81"/>
      <c r="E1388" s="81"/>
      <c r="F1388" s="81"/>
      <c r="G1388" s="81"/>
      <c r="H1388" s="81"/>
      <c r="I1388" s="80"/>
      <c r="J1388" s="81"/>
      <c r="K1388" s="80"/>
      <c r="L1388" s="81"/>
      <c r="M1388" s="642"/>
      <c r="N1388" s="81"/>
      <c r="O1388" s="642"/>
      <c r="P1388" s="81"/>
      <c r="Q1388" s="80"/>
      <c r="R1388" s="81"/>
      <c r="S1388" s="81"/>
      <c r="T1388" s="81"/>
    </row>
    <row r="1389" customHeight="1" spans="1:20">
      <c r="A1389" s="80"/>
      <c r="B1389" s="81"/>
      <c r="C1389" s="642"/>
      <c r="D1389" s="81"/>
      <c r="E1389" s="81"/>
      <c r="F1389" s="81"/>
      <c r="G1389" s="81"/>
      <c r="H1389" s="81"/>
      <c r="I1389" s="80"/>
      <c r="J1389" s="81"/>
      <c r="K1389" s="80"/>
      <c r="L1389" s="81"/>
      <c r="M1389" s="642"/>
      <c r="N1389" s="81"/>
      <c r="O1389" s="642"/>
      <c r="P1389" s="81"/>
      <c r="Q1389" s="80"/>
      <c r="R1389" s="81"/>
      <c r="S1389" s="81"/>
      <c r="T1389" s="81"/>
    </row>
    <row r="1390" customHeight="1" spans="1:20">
      <c r="A1390" s="80"/>
      <c r="B1390" s="81"/>
      <c r="C1390" s="642"/>
      <c r="D1390" s="81"/>
      <c r="E1390" s="81"/>
      <c r="F1390" s="81"/>
      <c r="G1390" s="81"/>
      <c r="H1390" s="81"/>
      <c r="I1390" s="80"/>
      <c r="J1390" s="81"/>
      <c r="K1390" s="80"/>
      <c r="L1390" s="81"/>
      <c r="M1390" s="642"/>
      <c r="N1390" s="81"/>
      <c r="O1390" s="642"/>
      <c r="P1390" s="81"/>
      <c r="Q1390" s="80"/>
      <c r="R1390" s="81"/>
      <c r="S1390" s="81"/>
      <c r="T1390" s="81"/>
    </row>
    <row r="1391" customHeight="1" spans="1:20">
      <c r="A1391" s="80"/>
      <c r="B1391" s="81"/>
      <c r="C1391" s="642"/>
      <c r="D1391" s="81"/>
      <c r="E1391" s="81"/>
      <c r="F1391" s="81"/>
      <c r="G1391" s="81"/>
      <c r="H1391" s="81"/>
      <c r="I1391" s="80"/>
      <c r="J1391" s="81"/>
      <c r="K1391" s="80"/>
      <c r="L1391" s="81"/>
      <c r="M1391" s="642"/>
      <c r="N1391" s="81"/>
      <c r="O1391" s="642"/>
      <c r="P1391" s="81"/>
      <c r="Q1391" s="80"/>
      <c r="R1391" s="81"/>
      <c r="S1391" s="81"/>
      <c r="T1391" s="81"/>
    </row>
    <row r="1392" customHeight="1" spans="1:20">
      <c r="A1392" s="80"/>
      <c r="B1392" s="81"/>
      <c r="C1392" s="642"/>
      <c r="D1392" s="81"/>
      <c r="E1392" s="81"/>
      <c r="F1392" s="81"/>
      <c r="G1392" s="81"/>
      <c r="H1392" s="81"/>
      <c r="I1392" s="80"/>
      <c r="J1392" s="81"/>
      <c r="K1392" s="80"/>
      <c r="L1392" s="81"/>
      <c r="M1392" s="642"/>
      <c r="N1392" s="81"/>
      <c r="O1392" s="642"/>
      <c r="P1392" s="81"/>
      <c r="Q1392" s="80"/>
      <c r="R1392" s="81"/>
      <c r="S1392" s="81"/>
      <c r="T1392" s="81"/>
    </row>
    <row r="1393" customHeight="1" spans="1:20">
      <c r="A1393" s="80"/>
      <c r="B1393" s="81"/>
      <c r="C1393" s="642"/>
      <c r="D1393" s="81"/>
      <c r="E1393" s="81"/>
      <c r="F1393" s="81"/>
      <c r="G1393" s="81"/>
      <c r="H1393" s="81"/>
      <c r="I1393" s="80"/>
      <c r="J1393" s="81"/>
      <c r="K1393" s="80"/>
      <c r="L1393" s="81"/>
      <c r="M1393" s="642"/>
      <c r="N1393" s="81"/>
      <c r="O1393" s="642"/>
      <c r="P1393" s="81"/>
      <c r="Q1393" s="80"/>
      <c r="R1393" s="81"/>
      <c r="S1393" s="81"/>
      <c r="T1393" s="81"/>
    </row>
    <row r="1394" customHeight="1" spans="1:20">
      <c r="A1394" s="80"/>
      <c r="B1394" s="81"/>
      <c r="C1394" s="642"/>
      <c r="D1394" s="81"/>
      <c r="E1394" s="81"/>
      <c r="F1394" s="81"/>
      <c r="G1394" s="81"/>
      <c r="H1394" s="81"/>
      <c r="I1394" s="80"/>
      <c r="J1394" s="81"/>
      <c r="K1394" s="80"/>
      <c r="L1394" s="81"/>
      <c r="M1394" s="642"/>
      <c r="N1394" s="81"/>
      <c r="O1394" s="642"/>
      <c r="P1394" s="81"/>
      <c r="Q1394" s="80"/>
      <c r="R1394" s="81"/>
      <c r="S1394" s="81"/>
      <c r="T1394" s="81"/>
    </row>
    <row r="1395" customHeight="1" spans="1:20">
      <c r="A1395" s="80"/>
      <c r="B1395" s="81"/>
      <c r="C1395" s="642"/>
      <c r="D1395" s="81"/>
      <c r="E1395" s="81"/>
      <c r="F1395" s="81"/>
      <c r="G1395" s="81"/>
      <c r="H1395" s="81"/>
      <c r="I1395" s="80"/>
      <c r="J1395" s="81"/>
      <c r="K1395" s="80"/>
      <c r="L1395" s="81"/>
      <c r="M1395" s="642"/>
      <c r="N1395" s="81"/>
      <c r="O1395" s="642"/>
      <c r="P1395" s="81"/>
      <c r="Q1395" s="80"/>
      <c r="R1395" s="81"/>
      <c r="S1395" s="81"/>
      <c r="T1395" s="81"/>
    </row>
    <row r="1396" customHeight="1" spans="1:20">
      <c r="A1396" s="80"/>
      <c r="B1396" s="81"/>
      <c r="C1396" s="642"/>
      <c r="D1396" s="81"/>
      <c r="E1396" s="81"/>
      <c r="F1396" s="81"/>
      <c r="G1396" s="81"/>
      <c r="H1396" s="81"/>
      <c r="I1396" s="80"/>
      <c r="J1396" s="81"/>
      <c r="K1396" s="80"/>
      <c r="L1396" s="81"/>
      <c r="M1396" s="642"/>
      <c r="N1396" s="81"/>
      <c r="O1396" s="642"/>
      <c r="P1396" s="81"/>
      <c r="Q1396" s="80"/>
      <c r="R1396" s="81"/>
      <c r="S1396" s="81"/>
      <c r="T1396" s="81"/>
    </row>
    <row r="1397" customHeight="1" spans="1:20">
      <c r="A1397" s="80"/>
      <c r="B1397" s="81"/>
      <c r="C1397" s="642"/>
      <c r="D1397" s="81"/>
      <c r="E1397" s="81"/>
      <c r="F1397" s="81"/>
      <c r="G1397" s="81"/>
      <c r="H1397" s="81"/>
      <c r="I1397" s="80"/>
      <c r="J1397" s="81"/>
      <c r="K1397" s="80"/>
      <c r="L1397" s="81"/>
      <c r="M1397" s="642"/>
      <c r="N1397" s="81"/>
      <c r="O1397" s="642"/>
      <c r="P1397" s="81"/>
      <c r="Q1397" s="80"/>
      <c r="R1397" s="81"/>
      <c r="S1397" s="81"/>
      <c r="T1397" s="81"/>
    </row>
    <row r="1398" customHeight="1" spans="1:20">
      <c r="A1398" s="80"/>
      <c r="B1398" s="81"/>
      <c r="C1398" s="642"/>
      <c r="D1398" s="81"/>
      <c r="E1398" s="81"/>
      <c r="F1398" s="81"/>
      <c r="G1398" s="81"/>
      <c r="H1398" s="81"/>
      <c r="I1398" s="80"/>
      <c r="J1398" s="81"/>
      <c r="K1398" s="80"/>
      <c r="L1398" s="81"/>
      <c r="M1398" s="642"/>
      <c r="N1398" s="81"/>
      <c r="O1398" s="642"/>
      <c r="P1398" s="81"/>
      <c r="Q1398" s="80"/>
      <c r="R1398" s="81"/>
      <c r="S1398" s="81"/>
      <c r="T1398" s="81"/>
    </row>
    <row r="1399" customHeight="1" spans="1:20">
      <c r="A1399" s="80"/>
      <c r="B1399" s="81"/>
      <c r="C1399" s="642"/>
      <c r="D1399" s="81"/>
      <c r="E1399" s="81"/>
      <c r="F1399" s="81"/>
      <c r="G1399" s="81"/>
      <c r="H1399" s="81"/>
      <c r="I1399" s="80"/>
      <c r="J1399" s="81"/>
      <c r="K1399" s="80"/>
      <c r="L1399" s="81"/>
      <c r="M1399" s="642"/>
      <c r="N1399" s="81"/>
      <c r="O1399" s="642"/>
      <c r="P1399" s="81"/>
      <c r="Q1399" s="80"/>
      <c r="R1399" s="81"/>
      <c r="S1399" s="81"/>
      <c r="T1399" s="81"/>
    </row>
    <row r="1400" customHeight="1" spans="1:20">
      <c r="A1400" s="80"/>
      <c r="B1400" s="81"/>
      <c r="C1400" s="642"/>
      <c r="D1400" s="81"/>
      <c r="E1400" s="81"/>
      <c r="F1400" s="81"/>
      <c r="G1400" s="81"/>
      <c r="H1400" s="81"/>
      <c r="I1400" s="80"/>
      <c r="J1400" s="81"/>
      <c r="K1400" s="80"/>
      <c r="L1400" s="81"/>
      <c r="M1400" s="642"/>
      <c r="N1400" s="81"/>
      <c r="O1400" s="642"/>
      <c r="P1400" s="81"/>
      <c r="Q1400" s="80"/>
      <c r="R1400" s="81"/>
      <c r="S1400" s="81"/>
      <c r="T1400" s="81"/>
    </row>
    <row r="1401" customHeight="1" spans="1:20">
      <c r="A1401" s="80"/>
      <c r="B1401" s="81"/>
      <c r="C1401" s="642"/>
      <c r="D1401" s="81"/>
      <c r="E1401" s="81"/>
      <c r="F1401" s="81"/>
      <c r="G1401" s="81"/>
      <c r="H1401" s="81"/>
      <c r="I1401" s="80"/>
      <c r="J1401" s="81"/>
      <c r="K1401" s="80"/>
      <c r="L1401" s="81"/>
      <c r="M1401" s="642"/>
      <c r="N1401" s="81"/>
      <c r="O1401" s="642"/>
      <c r="P1401" s="81"/>
      <c r="Q1401" s="80"/>
      <c r="R1401" s="81"/>
      <c r="S1401" s="81"/>
      <c r="T1401" s="81"/>
    </row>
    <row r="1402" customHeight="1" spans="1:20">
      <c r="A1402" s="80"/>
      <c r="B1402" s="81"/>
      <c r="C1402" s="642"/>
      <c r="D1402" s="81"/>
      <c r="E1402" s="81"/>
      <c r="F1402" s="81"/>
      <c r="G1402" s="81"/>
      <c r="H1402" s="81"/>
      <c r="I1402" s="80"/>
      <c r="J1402" s="81"/>
      <c r="K1402" s="80"/>
      <c r="L1402" s="81"/>
      <c r="M1402" s="642"/>
      <c r="N1402" s="81"/>
      <c r="O1402" s="642"/>
      <c r="P1402" s="81"/>
      <c r="Q1402" s="80"/>
      <c r="R1402" s="81"/>
      <c r="S1402" s="81"/>
      <c r="T1402" s="81"/>
    </row>
    <row r="1403" customHeight="1" spans="1:20">
      <c r="A1403" s="80"/>
      <c r="B1403" s="81"/>
      <c r="C1403" s="642"/>
      <c r="D1403" s="81"/>
      <c r="E1403" s="81"/>
      <c r="F1403" s="81"/>
      <c r="G1403" s="81"/>
      <c r="H1403" s="81"/>
      <c r="I1403" s="80"/>
      <c r="J1403" s="81"/>
      <c r="K1403" s="80"/>
      <c r="L1403" s="81"/>
      <c r="M1403" s="642"/>
      <c r="N1403" s="81"/>
      <c r="O1403" s="642"/>
      <c r="P1403" s="81"/>
      <c r="Q1403" s="80"/>
      <c r="R1403" s="81"/>
      <c r="S1403" s="81"/>
      <c r="T1403" s="81"/>
    </row>
    <row r="1404" customHeight="1" spans="1:20">
      <c r="A1404" s="80"/>
      <c r="B1404" s="81"/>
      <c r="C1404" s="642"/>
      <c r="D1404" s="81"/>
      <c r="E1404" s="81"/>
      <c r="F1404" s="81"/>
      <c r="G1404" s="81"/>
      <c r="H1404" s="81"/>
      <c r="I1404" s="80"/>
      <c r="J1404" s="81"/>
      <c r="K1404" s="80"/>
      <c r="L1404" s="81"/>
      <c r="M1404" s="642"/>
      <c r="N1404" s="81"/>
      <c r="O1404" s="642"/>
      <c r="P1404" s="81"/>
      <c r="Q1404" s="80"/>
      <c r="R1404" s="81"/>
      <c r="S1404" s="81"/>
      <c r="T1404" s="81"/>
    </row>
    <row r="1405" customHeight="1" spans="1:20">
      <c r="A1405" s="80"/>
      <c r="B1405" s="81"/>
      <c r="C1405" s="642"/>
      <c r="D1405" s="81"/>
      <c r="E1405" s="81"/>
      <c r="F1405" s="81"/>
      <c r="G1405" s="81"/>
      <c r="H1405" s="81"/>
      <c r="I1405" s="80"/>
      <c r="J1405" s="81"/>
      <c r="K1405" s="80"/>
      <c r="L1405" s="81"/>
      <c r="M1405" s="642"/>
      <c r="N1405" s="81"/>
      <c r="O1405" s="642"/>
      <c r="P1405" s="81"/>
      <c r="Q1405" s="80"/>
      <c r="R1405" s="81"/>
      <c r="S1405" s="81"/>
      <c r="T1405" s="81"/>
    </row>
    <row r="1406" customHeight="1" spans="1:20">
      <c r="A1406" s="80"/>
      <c r="B1406" s="81"/>
      <c r="C1406" s="642"/>
      <c r="D1406" s="81"/>
      <c r="E1406" s="81"/>
      <c r="F1406" s="81"/>
      <c r="G1406" s="81"/>
      <c r="H1406" s="81"/>
      <c r="I1406" s="80"/>
      <c r="J1406" s="81"/>
      <c r="K1406" s="80"/>
      <c r="L1406" s="81"/>
      <c r="M1406" s="642"/>
      <c r="N1406" s="81"/>
      <c r="O1406" s="642"/>
      <c r="P1406" s="81"/>
      <c r="Q1406" s="80"/>
      <c r="R1406" s="81"/>
      <c r="S1406" s="81"/>
      <c r="T1406" s="81"/>
    </row>
    <row r="1407" customHeight="1" spans="1:20">
      <c r="A1407" s="80"/>
      <c r="B1407" s="81"/>
      <c r="C1407" s="642"/>
      <c r="D1407" s="81"/>
      <c r="E1407" s="81"/>
      <c r="F1407" s="81"/>
      <c r="G1407" s="81"/>
      <c r="H1407" s="81"/>
      <c r="I1407" s="80"/>
      <c r="J1407" s="81"/>
      <c r="K1407" s="80"/>
      <c r="L1407" s="81"/>
      <c r="M1407" s="642"/>
      <c r="N1407" s="81"/>
      <c r="O1407" s="642"/>
      <c r="P1407" s="81"/>
      <c r="Q1407" s="80"/>
      <c r="R1407" s="81"/>
      <c r="S1407" s="81"/>
      <c r="T1407" s="81"/>
    </row>
    <row r="1408" customHeight="1" spans="1:20">
      <c r="A1408" s="80"/>
      <c r="B1408" s="81"/>
      <c r="C1408" s="642"/>
      <c r="D1408" s="81"/>
      <c r="E1408" s="81"/>
      <c r="F1408" s="81"/>
      <c r="G1408" s="81"/>
      <c r="H1408" s="81"/>
      <c r="I1408" s="80"/>
      <c r="J1408" s="81"/>
      <c r="K1408" s="80"/>
      <c r="L1408" s="81"/>
      <c r="M1408" s="642"/>
      <c r="N1408" s="81"/>
      <c r="O1408" s="642"/>
      <c r="P1408" s="81"/>
      <c r="Q1408" s="80"/>
      <c r="R1408" s="81"/>
      <c r="S1408" s="81"/>
      <c r="T1408" s="81"/>
    </row>
    <row r="1409" customHeight="1" spans="1:20">
      <c r="A1409" s="80"/>
      <c r="B1409" s="81"/>
      <c r="C1409" s="642"/>
      <c r="D1409" s="81"/>
      <c r="E1409" s="81"/>
      <c r="F1409" s="81"/>
      <c r="G1409" s="81"/>
      <c r="H1409" s="81"/>
      <c r="I1409" s="80"/>
      <c r="J1409" s="81"/>
      <c r="K1409" s="80"/>
      <c r="L1409" s="81"/>
      <c r="M1409" s="642"/>
      <c r="N1409" s="81"/>
      <c r="O1409" s="642"/>
      <c r="P1409" s="81"/>
      <c r="Q1409" s="80"/>
      <c r="R1409" s="81"/>
      <c r="S1409" s="81"/>
      <c r="T1409" s="81"/>
    </row>
    <row r="1410" customHeight="1" spans="1:20">
      <c r="A1410" s="80"/>
      <c r="B1410" s="81"/>
      <c r="C1410" s="642"/>
      <c r="D1410" s="81"/>
      <c r="E1410" s="81"/>
      <c r="F1410" s="81"/>
      <c r="G1410" s="81"/>
      <c r="H1410" s="81"/>
      <c r="I1410" s="80"/>
      <c r="J1410" s="81"/>
      <c r="K1410" s="80"/>
      <c r="L1410" s="81"/>
      <c r="M1410" s="642"/>
      <c r="N1410" s="81"/>
      <c r="O1410" s="642"/>
      <c r="P1410" s="81"/>
      <c r="Q1410" s="80"/>
      <c r="R1410" s="81"/>
      <c r="S1410" s="81"/>
      <c r="T1410" s="81"/>
    </row>
    <row r="1411" customHeight="1" spans="1:20">
      <c r="A1411" s="80"/>
      <c r="B1411" s="81"/>
      <c r="C1411" s="642"/>
      <c r="D1411" s="81"/>
      <c r="E1411" s="81"/>
      <c r="F1411" s="81"/>
      <c r="G1411" s="81"/>
      <c r="H1411" s="81"/>
      <c r="I1411" s="80"/>
      <c r="J1411" s="81"/>
      <c r="K1411" s="80"/>
      <c r="L1411" s="81"/>
      <c r="M1411" s="642"/>
      <c r="N1411" s="81"/>
      <c r="O1411" s="642"/>
      <c r="P1411" s="81"/>
      <c r="Q1411" s="80"/>
      <c r="R1411" s="81"/>
      <c r="S1411" s="81"/>
      <c r="T1411" s="81"/>
    </row>
    <row r="1412" customHeight="1" spans="1:20">
      <c r="A1412" s="80"/>
      <c r="B1412" s="81"/>
      <c r="C1412" s="642"/>
      <c r="D1412" s="81"/>
      <c r="E1412" s="81"/>
      <c r="F1412" s="81"/>
      <c r="G1412" s="81"/>
      <c r="H1412" s="81"/>
      <c r="I1412" s="80"/>
      <c r="J1412" s="81"/>
      <c r="K1412" s="80"/>
      <c r="L1412" s="81"/>
      <c r="M1412" s="642"/>
      <c r="N1412" s="81"/>
      <c r="O1412" s="642"/>
      <c r="P1412" s="81"/>
      <c r="Q1412" s="80"/>
      <c r="R1412" s="81"/>
      <c r="S1412" s="81"/>
      <c r="T1412" s="81"/>
    </row>
    <row r="1413" customHeight="1" spans="1:20">
      <c r="A1413" s="80"/>
      <c r="B1413" s="81"/>
      <c r="C1413" s="642"/>
      <c r="D1413" s="81"/>
      <c r="E1413" s="81"/>
      <c r="F1413" s="81"/>
      <c r="G1413" s="81"/>
      <c r="H1413" s="81"/>
      <c r="I1413" s="80"/>
      <c r="J1413" s="81"/>
      <c r="K1413" s="80"/>
      <c r="L1413" s="81"/>
      <c r="M1413" s="642"/>
      <c r="N1413" s="81"/>
      <c r="O1413" s="642"/>
      <c r="P1413" s="81"/>
      <c r="Q1413" s="80"/>
      <c r="R1413" s="81"/>
      <c r="S1413" s="81"/>
      <c r="T1413" s="81"/>
    </row>
    <row r="1414" customHeight="1" spans="1:20">
      <c r="A1414" s="80"/>
      <c r="B1414" s="81"/>
      <c r="C1414" s="642"/>
      <c r="D1414" s="81"/>
      <c r="E1414" s="81"/>
      <c r="F1414" s="81"/>
      <c r="G1414" s="81"/>
      <c r="H1414" s="81"/>
      <c r="I1414" s="80"/>
      <c r="J1414" s="81"/>
      <c r="K1414" s="80"/>
      <c r="L1414" s="81"/>
      <c r="M1414" s="642"/>
      <c r="N1414" s="81"/>
      <c r="O1414" s="642"/>
      <c r="P1414" s="81"/>
      <c r="Q1414" s="80"/>
      <c r="R1414" s="81"/>
      <c r="S1414" s="81"/>
      <c r="T1414" s="81"/>
    </row>
    <row r="1415" customHeight="1" spans="1:20">
      <c r="A1415" s="80"/>
      <c r="B1415" s="81"/>
      <c r="C1415" s="642"/>
      <c r="D1415" s="81"/>
      <c r="E1415" s="81"/>
      <c r="F1415" s="81"/>
      <c r="G1415" s="81"/>
      <c r="H1415" s="81"/>
      <c r="I1415" s="80"/>
      <c r="J1415" s="81"/>
      <c r="K1415" s="80"/>
      <c r="L1415" s="81"/>
      <c r="M1415" s="642"/>
      <c r="N1415" s="81"/>
      <c r="O1415" s="642"/>
      <c r="P1415" s="81"/>
      <c r="Q1415" s="80"/>
      <c r="R1415" s="81"/>
      <c r="S1415" s="81"/>
      <c r="T1415" s="81"/>
    </row>
    <row r="1416" customHeight="1" spans="1:20">
      <c r="A1416" s="80"/>
      <c r="B1416" s="81"/>
      <c r="C1416" s="642"/>
      <c r="D1416" s="81"/>
      <c r="E1416" s="81"/>
      <c r="F1416" s="81"/>
      <c r="G1416" s="81"/>
      <c r="H1416" s="81"/>
      <c r="I1416" s="80"/>
      <c r="J1416" s="81"/>
      <c r="K1416" s="80"/>
      <c r="L1416" s="81"/>
      <c r="M1416" s="642"/>
      <c r="N1416" s="81"/>
      <c r="O1416" s="642"/>
      <c r="P1416" s="81"/>
      <c r="Q1416" s="80"/>
      <c r="R1416" s="81"/>
      <c r="S1416" s="81"/>
      <c r="T1416" s="81"/>
    </row>
    <row r="1417" customHeight="1" spans="1:20">
      <c r="A1417" s="80"/>
      <c r="B1417" s="81"/>
      <c r="C1417" s="642"/>
      <c r="D1417" s="81"/>
      <c r="E1417" s="81"/>
      <c r="F1417" s="81"/>
      <c r="G1417" s="81"/>
      <c r="H1417" s="81"/>
      <c r="I1417" s="80"/>
      <c r="J1417" s="81"/>
      <c r="K1417" s="80"/>
      <c r="L1417" s="81"/>
      <c r="M1417" s="642"/>
      <c r="N1417" s="81"/>
      <c r="O1417" s="642"/>
      <c r="P1417" s="81"/>
      <c r="Q1417" s="80"/>
      <c r="R1417" s="81"/>
      <c r="S1417" s="81"/>
      <c r="T1417" s="81"/>
    </row>
    <row r="1418" customHeight="1" spans="1:20">
      <c r="A1418" s="80"/>
      <c r="B1418" s="81"/>
      <c r="C1418" s="642"/>
      <c r="D1418" s="81"/>
      <c r="E1418" s="81"/>
      <c r="F1418" s="81"/>
      <c r="G1418" s="81"/>
      <c r="H1418" s="81"/>
      <c r="I1418" s="80"/>
      <c r="J1418" s="81"/>
      <c r="K1418" s="80"/>
      <c r="L1418" s="81"/>
      <c r="M1418" s="642"/>
      <c r="N1418" s="81"/>
      <c r="O1418" s="642"/>
      <c r="P1418" s="81"/>
      <c r="Q1418" s="80"/>
      <c r="R1418" s="81"/>
      <c r="S1418" s="81"/>
      <c r="T1418" s="81"/>
    </row>
    <row r="1419" customHeight="1" spans="1:20">
      <c r="A1419" s="80"/>
      <c r="B1419" s="81"/>
      <c r="C1419" s="642"/>
      <c r="D1419" s="81"/>
      <c r="E1419" s="81"/>
      <c r="F1419" s="81"/>
      <c r="G1419" s="81"/>
      <c r="H1419" s="81"/>
      <c r="I1419" s="80"/>
      <c r="J1419" s="81"/>
      <c r="K1419" s="80"/>
      <c r="L1419" s="81"/>
      <c r="M1419" s="642"/>
      <c r="N1419" s="81"/>
      <c r="O1419" s="642"/>
      <c r="P1419" s="81"/>
      <c r="Q1419" s="80"/>
      <c r="R1419" s="81"/>
      <c r="S1419" s="81"/>
      <c r="T1419" s="81"/>
    </row>
    <row r="1420" customHeight="1" spans="1:20">
      <c r="A1420" s="80"/>
      <c r="B1420" s="81"/>
      <c r="C1420" s="642"/>
      <c r="D1420" s="81"/>
      <c r="E1420" s="81"/>
      <c r="F1420" s="81"/>
      <c r="G1420" s="81"/>
      <c r="H1420" s="81"/>
      <c r="I1420" s="80"/>
      <c r="J1420" s="81"/>
      <c r="K1420" s="80"/>
      <c r="L1420" s="81"/>
      <c r="M1420" s="642"/>
      <c r="N1420" s="81"/>
      <c r="O1420" s="642"/>
      <c r="P1420" s="81"/>
      <c r="Q1420" s="80"/>
      <c r="R1420" s="81"/>
      <c r="S1420" s="81"/>
      <c r="T1420" s="81"/>
    </row>
    <row r="1421" customHeight="1" spans="1:20">
      <c r="A1421" s="80"/>
      <c r="B1421" s="81"/>
      <c r="C1421" s="642"/>
      <c r="D1421" s="81"/>
      <c r="E1421" s="81"/>
      <c r="F1421" s="81"/>
      <c r="G1421" s="81"/>
      <c r="H1421" s="81"/>
      <c r="I1421" s="80"/>
      <c r="J1421" s="81"/>
      <c r="K1421" s="80"/>
      <c r="L1421" s="81"/>
      <c r="M1421" s="642"/>
      <c r="N1421" s="81"/>
      <c r="O1421" s="642"/>
      <c r="P1421" s="81"/>
      <c r="Q1421" s="80"/>
      <c r="R1421" s="81"/>
      <c r="S1421" s="81"/>
      <c r="T1421" s="81"/>
    </row>
    <row r="1422" customHeight="1" spans="1:20">
      <c r="A1422" s="80"/>
      <c r="B1422" s="81"/>
      <c r="C1422" s="642"/>
      <c r="D1422" s="81"/>
      <c r="E1422" s="81"/>
      <c r="F1422" s="81"/>
      <c r="G1422" s="81"/>
      <c r="H1422" s="81"/>
      <c r="I1422" s="80"/>
      <c r="J1422" s="81"/>
      <c r="K1422" s="80"/>
      <c r="L1422" s="81"/>
      <c r="M1422" s="642"/>
      <c r="N1422" s="81"/>
      <c r="O1422" s="642"/>
      <c r="P1422" s="81"/>
      <c r="Q1422" s="80"/>
      <c r="R1422" s="81"/>
      <c r="S1422" s="81"/>
      <c r="T1422" s="81"/>
    </row>
    <row r="1423" customHeight="1" spans="1:20">
      <c r="A1423" s="80"/>
      <c r="B1423" s="81"/>
      <c r="C1423" s="642"/>
      <c r="D1423" s="81"/>
      <c r="E1423" s="81"/>
      <c r="F1423" s="81"/>
      <c r="G1423" s="81"/>
      <c r="H1423" s="81"/>
      <c r="I1423" s="80"/>
      <c r="J1423" s="81"/>
      <c r="K1423" s="80"/>
      <c r="L1423" s="81"/>
      <c r="M1423" s="642"/>
      <c r="N1423" s="81"/>
      <c r="O1423" s="642"/>
      <c r="P1423" s="81"/>
      <c r="Q1423" s="80"/>
      <c r="R1423" s="81"/>
      <c r="S1423" s="81"/>
      <c r="T1423" s="81"/>
    </row>
    <row r="1424" customHeight="1" spans="1:20">
      <c r="A1424" s="80"/>
      <c r="B1424" s="81"/>
      <c r="C1424" s="642"/>
      <c r="D1424" s="81"/>
      <c r="E1424" s="81"/>
      <c r="F1424" s="81"/>
      <c r="G1424" s="81"/>
      <c r="H1424" s="81"/>
      <c r="I1424" s="80"/>
      <c r="J1424" s="81"/>
      <c r="K1424" s="80"/>
      <c r="L1424" s="81"/>
      <c r="M1424" s="642"/>
      <c r="N1424" s="81"/>
      <c r="O1424" s="642"/>
      <c r="P1424" s="81"/>
      <c r="Q1424" s="80"/>
      <c r="R1424" s="81"/>
      <c r="S1424" s="81"/>
      <c r="T1424" s="81"/>
    </row>
    <row r="1425" customHeight="1" spans="1:20">
      <c r="A1425" s="80"/>
      <c r="B1425" s="81"/>
      <c r="C1425" s="642"/>
      <c r="D1425" s="81"/>
      <c r="E1425" s="81"/>
      <c r="F1425" s="81"/>
      <c r="G1425" s="81"/>
      <c r="H1425" s="81"/>
      <c r="I1425" s="80"/>
      <c r="J1425" s="81"/>
      <c r="K1425" s="80"/>
      <c r="L1425" s="81"/>
      <c r="M1425" s="642"/>
      <c r="N1425" s="81"/>
      <c r="O1425" s="642"/>
      <c r="P1425" s="81"/>
      <c r="Q1425" s="80"/>
      <c r="R1425" s="81"/>
      <c r="S1425" s="81"/>
      <c r="T1425" s="81"/>
    </row>
    <row r="1426" customHeight="1" spans="1:20">
      <c r="A1426" s="80"/>
      <c r="B1426" s="81"/>
      <c r="C1426" s="642"/>
      <c r="D1426" s="81"/>
      <c r="E1426" s="81"/>
      <c r="F1426" s="81"/>
      <c r="G1426" s="81"/>
      <c r="H1426" s="81"/>
      <c r="I1426" s="80"/>
      <c r="J1426" s="81"/>
      <c r="K1426" s="80"/>
      <c r="L1426" s="81"/>
      <c r="M1426" s="642"/>
      <c r="N1426" s="81"/>
      <c r="O1426" s="642"/>
      <c r="P1426" s="81"/>
      <c r="Q1426" s="80"/>
      <c r="R1426" s="81"/>
      <c r="S1426" s="81"/>
      <c r="T1426" s="81"/>
    </row>
    <row r="1427" customHeight="1" spans="1:20">
      <c r="A1427" s="80"/>
      <c r="B1427" s="81"/>
      <c r="C1427" s="642"/>
      <c r="D1427" s="81"/>
      <c r="E1427" s="81"/>
      <c r="F1427" s="81"/>
      <c r="G1427" s="81"/>
      <c r="H1427" s="81"/>
      <c r="I1427" s="80"/>
      <c r="J1427" s="81"/>
      <c r="K1427" s="80"/>
      <c r="L1427" s="81"/>
      <c r="M1427" s="642"/>
      <c r="N1427" s="81"/>
      <c r="O1427" s="642"/>
      <c r="P1427" s="81"/>
      <c r="Q1427" s="80"/>
      <c r="R1427" s="81"/>
      <c r="S1427" s="81"/>
      <c r="T1427" s="81"/>
    </row>
    <row r="1428" customHeight="1" spans="1:20">
      <c r="A1428" s="80"/>
      <c r="B1428" s="81"/>
      <c r="C1428" s="642"/>
      <c r="D1428" s="81"/>
      <c r="E1428" s="81"/>
      <c r="F1428" s="81"/>
      <c r="G1428" s="81"/>
      <c r="H1428" s="81"/>
      <c r="I1428" s="80"/>
      <c r="J1428" s="81"/>
      <c r="K1428" s="80"/>
      <c r="L1428" s="81"/>
      <c r="M1428" s="642"/>
      <c r="N1428" s="81"/>
      <c r="O1428" s="642"/>
      <c r="P1428" s="81"/>
      <c r="Q1428" s="80"/>
      <c r="R1428" s="81"/>
      <c r="S1428" s="81"/>
      <c r="T1428" s="81"/>
    </row>
    <row r="1429" customHeight="1" spans="1:20">
      <c r="A1429" s="80"/>
      <c r="B1429" s="81"/>
      <c r="C1429" s="642"/>
      <c r="D1429" s="81"/>
      <c r="E1429" s="81"/>
      <c r="F1429" s="81"/>
      <c r="G1429" s="81"/>
      <c r="H1429" s="81"/>
      <c r="I1429" s="80"/>
      <c r="J1429" s="81"/>
      <c r="K1429" s="80"/>
      <c r="L1429" s="81"/>
      <c r="M1429" s="642"/>
      <c r="N1429" s="81"/>
      <c r="O1429" s="642"/>
      <c r="P1429" s="81"/>
      <c r="Q1429" s="80"/>
      <c r="R1429" s="81"/>
      <c r="S1429" s="81"/>
      <c r="T1429" s="81"/>
    </row>
    <row r="1430" customHeight="1" spans="1:20">
      <c r="A1430" s="80"/>
      <c r="B1430" s="81"/>
      <c r="C1430" s="642"/>
      <c r="D1430" s="81"/>
      <c r="E1430" s="81"/>
      <c r="F1430" s="81"/>
      <c r="G1430" s="81"/>
      <c r="H1430" s="81"/>
      <c r="I1430" s="80"/>
      <c r="J1430" s="81"/>
      <c r="K1430" s="80"/>
      <c r="L1430" s="81"/>
      <c r="M1430" s="642"/>
      <c r="N1430" s="81"/>
      <c r="O1430" s="642"/>
      <c r="P1430" s="81"/>
      <c r="Q1430" s="80"/>
      <c r="R1430" s="81"/>
      <c r="S1430" s="81"/>
      <c r="T1430" s="81"/>
    </row>
    <row r="1431" customHeight="1" spans="1:20">
      <c r="A1431" s="80"/>
      <c r="B1431" s="81"/>
      <c r="C1431" s="642"/>
      <c r="D1431" s="81"/>
      <c r="E1431" s="81"/>
      <c r="F1431" s="81"/>
      <c r="G1431" s="81"/>
      <c r="H1431" s="81"/>
      <c r="I1431" s="80"/>
      <c r="J1431" s="81"/>
      <c r="K1431" s="80"/>
      <c r="L1431" s="81"/>
      <c r="M1431" s="642"/>
      <c r="N1431" s="81"/>
      <c r="O1431" s="642"/>
      <c r="P1431" s="81"/>
      <c r="Q1431" s="80"/>
      <c r="R1431" s="81"/>
      <c r="S1431" s="81"/>
      <c r="T1431" s="81"/>
    </row>
    <row r="1432" customHeight="1" spans="1:20">
      <c r="A1432" s="80"/>
      <c r="B1432" s="81"/>
      <c r="C1432" s="642"/>
      <c r="D1432" s="81"/>
      <c r="E1432" s="81"/>
      <c r="F1432" s="81"/>
      <c r="G1432" s="81"/>
      <c r="H1432" s="81"/>
      <c r="I1432" s="80"/>
      <c r="J1432" s="81"/>
      <c r="K1432" s="80"/>
      <c r="L1432" s="81"/>
      <c r="M1432" s="642"/>
      <c r="N1432" s="81"/>
      <c r="O1432" s="642"/>
      <c r="P1432" s="81"/>
      <c r="Q1432" s="80"/>
      <c r="R1432" s="81"/>
      <c r="S1432" s="81"/>
      <c r="T1432" s="81"/>
    </row>
    <row r="1433" customHeight="1" spans="1:20">
      <c r="A1433" s="80"/>
      <c r="B1433" s="81"/>
      <c r="C1433" s="642"/>
      <c r="D1433" s="81"/>
      <c r="E1433" s="81"/>
      <c r="F1433" s="81"/>
      <c r="G1433" s="81"/>
      <c r="H1433" s="81"/>
      <c r="I1433" s="80"/>
      <c r="J1433" s="81"/>
      <c r="K1433" s="80"/>
      <c r="L1433" s="81"/>
      <c r="M1433" s="642"/>
      <c r="N1433" s="81"/>
      <c r="O1433" s="642"/>
      <c r="P1433" s="81"/>
      <c r="Q1433" s="80"/>
      <c r="R1433" s="81"/>
      <c r="S1433" s="81"/>
      <c r="T1433" s="81"/>
    </row>
    <row r="1434" customHeight="1" spans="1:20">
      <c r="A1434" s="80"/>
      <c r="B1434" s="81"/>
      <c r="C1434" s="642"/>
      <c r="D1434" s="81"/>
      <c r="E1434" s="81"/>
      <c r="F1434" s="81"/>
      <c r="G1434" s="81"/>
      <c r="H1434" s="81"/>
      <c r="I1434" s="80"/>
      <c r="J1434" s="81"/>
      <c r="K1434" s="80"/>
      <c r="L1434" s="81"/>
      <c r="M1434" s="642"/>
      <c r="N1434" s="81"/>
      <c r="O1434" s="642"/>
      <c r="P1434" s="81"/>
      <c r="Q1434" s="80"/>
      <c r="R1434" s="81"/>
      <c r="S1434" s="81"/>
      <c r="T1434" s="81"/>
    </row>
    <row r="1435" customHeight="1" spans="1:20">
      <c r="A1435" s="80"/>
      <c r="B1435" s="81"/>
      <c r="C1435" s="642"/>
      <c r="D1435" s="81"/>
      <c r="E1435" s="81"/>
      <c r="F1435" s="81"/>
      <c r="G1435" s="81"/>
      <c r="H1435" s="81"/>
      <c r="I1435" s="80"/>
      <c r="J1435" s="81"/>
      <c r="K1435" s="80"/>
      <c r="L1435" s="81"/>
      <c r="M1435" s="642"/>
      <c r="N1435" s="81"/>
      <c r="O1435" s="642"/>
      <c r="P1435" s="81"/>
      <c r="Q1435" s="80"/>
      <c r="R1435" s="81"/>
      <c r="S1435" s="81"/>
      <c r="T1435" s="81"/>
    </row>
    <row r="1436" customHeight="1" spans="1:20">
      <c r="A1436" s="80"/>
      <c r="B1436" s="81"/>
      <c r="C1436" s="642"/>
      <c r="D1436" s="81"/>
      <c r="E1436" s="81"/>
      <c r="F1436" s="81"/>
      <c r="G1436" s="81"/>
      <c r="H1436" s="81"/>
      <c r="I1436" s="80"/>
      <c r="J1436" s="81"/>
      <c r="K1436" s="80"/>
      <c r="L1436" s="81"/>
      <c r="M1436" s="642"/>
      <c r="N1436" s="81"/>
      <c r="O1436" s="642"/>
      <c r="P1436" s="81"/>
      <c r="Q1436" s="80"/>
      <c r="R1436" s="81"/>
      <c r="S1436" s="81"/>
      <c r="T1436" s="81"/>
    </row>
    <row r="1437" customHeight="1" spans="1:20">
      <c r="A1437" s="80"/>
      <c r="B1437" s="81"/>
      <c r="C1437" s="642"/>
      <c r="D1437" s="81"/>
      <c r="E1437" s="81"/>
      <c r="F1437" s="81"/>
      <c r="G1437" s="81"/>
      <c r="H1437" s="81"/>
      <c r="I1437" s="80"/>
      <c r="J1437" s="81"/>
      <c r="K1437" s="80"/>
      <c r="L1437" s="81"/>
      <c r="M1437" s="642"/>
      <c r="N1437" s="81"/>
      <c r="O1437" s="642"/>
      <c r="P1437" s="81"/>
      <c r="Q1437" s="80"/>
      <c r="R1437" s="81"/>
      <c r="S1437" s="81"/>
      <c r="T1437" s="81"/>
    </row>
    <row r="1438" customHeight="1" spans="1:20">
      <c r="A1438" s="80"/>
      <c r="B1438" s="81"/>
      <c r="C1438" s="642"/>
      <c r="D1438" s="81"/>
      <c r="E1438" s="81"/>
      <c r="F1438" s="81"/>
      <c r="G1438" s="81"/>
      <c r="H1438" s="81"/>
      <c r="I1438" s="80"/>
      <c r="J1438" s="81"/>
      <c r="K1438" s="80"/>
      <c r="L1438" s="81"/>
      <c r="M1438" s="642"/>
      <c r="N1438" s="81"/>
      <c r="O1438" s="642"/>
      <c r="P1438" s="81"/>
      <c r="Q1438" s="80"/>
      <c r="R1438" s="81"/>
      <c r="S1438" s="81"/>
      <c r="T1438" s="81"/>
    </row>
    <row r="1439" customHeight="1" spans="1:20">
      <c r="A1439" s="80"/>
      <c r="B1439" s="81"/>
      <c r="C1439" s="642"/>
      <c r="D1439" s="81"/>
      <c r="E1439" s="81"/>
      <c r="F1439" s="81"/>
      <c r="G1439" s="81"/>
      <c r="H1439" s="81"/>
      <c r="I1439" s="80"/>
      <c r="J1439" s="81"/>
      <c r="K1439" s="80"/>
      <c r="L1439" s="81"/>
      <c r="M1439" s="642"/>
      <c r="N1439" s="81"/>
      <c r="O1439" s="642"/>
      <c r="P1439" s="81"/>
      <c r="Q1439" s="80"/>
      <c r="R1439" s="81"/>
      <c r="S1439" s="81"/>
      <c r="T1439" s="81"/>
    </row>
    <row r="1440" customHeight="1" spans="1:20">
      <c r="A1440" s="80"/>
      <c r="B1440" s="81"/>
      <c r="C1440" s="642"/>
      <c r="D1440" s="81"/>
      <c r="E1440" s="81"/>
      <c r="F1440" s="81"/>
      <c r="G1440" s="81"/>
      <c r="H1440" s="81"/>
      <c r="I1440" s="80"/>
      <c r="J1440" s="81"/>
      <c r="K1440" s="80"/>
      <c r="L1440" s="81"/>
      <c r="M1440" s="642"/>
      <c r="N1440" s="81"/>
      <c r="O1440" s="642"/>
      <c r="P1440" s="81"/>
      <c r="Q1440" s="80"/>
      <c r="R1440" s="81"/>
      <c r="S1440" s="81"/>
      <c r="T1440" s="81"/>
    </row>
    <row r="1441" customHeight="1" spans="1:20">
      <c r="A1441" s="80"/>
      <c r="B1441" s="81"/>
      <c r="C1441" s="642"/>
      <c r="D1441" s="81"/>
      <c r="E1441" s="81"/>
      <c r="F1441" s="81"/>
      <c r="G1441" s="81"/>
      <c r="H1441" s="81"/>
      <c r="I1441" s="80"/>
      <c r="J1441" s="81"/>
      <c r="K1441" s="80"/>
      <c r="L1441" s="81"/>
      <c r="M1441" s="642"/>
      <c r="N1441" s="81"/>
      <c r="O1441" s="642"/>
      <c r="P1441" s="81"/>
      <c r="Q1441" s="80"/>
      <c r="R1441" s="81"/>
      <c r="S1441" s="81"/>
      <c r="T1441" s="81"/>
    </row>
    <row r="1442" customHeight="1" spans="1:20">
      <c r="A1442" s="80"/>
      <c r="B1442" s="81"/>
      <c r="C1442" s="642"/>
      <c r="D1442" s="81"/>
      <c r="E1442" s="81"/>
      <c r="F1442" s="81"/>
      <c r="G1442" s="81"/>
      <c r="H1442" s="81"/>
      <c r="I1442" s="80"/>
      <c r="J1442" s="81"/>
      <c r="K1442" s="80"/>
      <c r="L1442" s="81"/>
      <c r="M1442" s="642"/>
      <c r="N1442" s="81"/>
      <c r="O1442" s="642"/>
      <c r="P1442" s="81"/>
      <c r="Q1442" s="80"/>
      <c r="R1442" s="81"/>
      <c r="S1442" s="81"/>
      <c r="T1442" s="81"/>
    </row>
    <row r="1443" customHeight="1" spans="1:20">
      <c r="A1443" s="80"/>
      <c r="B1443" s="81"/>
      <c r="C1443" s="642"/>
      <c r="D1443" s="81"/>
      <c r="E1443" s="81"/>
      <c r="F1443" s="81"/>
      <c r="G1443" s="81"/>
      <c r="H1443" s="81"/>
      <c r="I1443" s="80"/>
      <c r="J1443" s="81"/>
      <c r="K1443" s="80"/>
      <c r="L1443" s="81"/>
      <c r="M1443" s="642"/>
      <c r="N1443" s="81"/>
      <c r="O1443" s="642"/>
      <c r="P1443" s="81"/>
      <c r="Q1443" s="80"/>
      <c r="R1443" s="81"/>
      <c r="S1443" s="81"/>
      <c r="T1443" s="81"/>
    </row>
    <row r="1444" customHeight="1" spans="1:20">
      <c r="A1444" s="80"/>
      <c r="B1444" s="81"/>
      <c r="C1444" s="642"/>
      <c r="D1444" s="81"/>
      <c r="E1444" s="81"/>
      <c r="F1444" s="81"/>
      <c r="G1444" s="81"/>
      <c r="H1444" s="81"/>
      <c r="I1444" s="80"/>
      <c r="J1444" s="81"/>
      <c r="K1444" s="80"/>
      <c r="L1444" s="81"/>
      <c r="M1444" s="642"/>
      <c r="N1444" s="81"/>
      <c r="O1444" s="642"/>
      <c r="P1444" s="81"/>
      <c r="Q1444" s="80"/>
      <c r="R1444" s="81"/>
      <c r="S1444" s="81"/>
      <c r="T1444" s="81"/>
    </row>
    <row r="1445" customHeight="1" spans="1:20">
      <c r="A1445" s="80"/>
      <c r="B1445" s="81"/>
      <c r="C1445" s="642"/>
      <c r="D1445" s="81"/>
      <c r="E1445" s="81"/>
      <c r="F1445" s="81"/>
      <c r="G1445" s="81"/>
      <c r="H1445" s="81"/>
      <c r="I1445" s="80"/>
      <c r="J1445" s="81"/>
      <c r="K1445" s="80"/>
      <c r="L1445" s="81"/>
      <c r="M1445" s="642"/>
      <c r="N1445" s="81"/>
      <c r="O1445" s="642"/>
      <c r="P1445" s="81"/>
      <c r="Q1445" s="80"/>
      <c r="R1445" s="81"/>
      <c r="S1445" s="81"/>
      <c r="T1445" s="81"/>
    </row>
    <row r="1446" customHeight="1" spans="1:20">
      <c r="A1446" s="80"/>
      <c r="B1446" s="81"/>
      <c r="C1446" s="642"/>
      <c r="D1446" s="81"/>
      <c r="E1446" s="81"/>
      <c r="F1446" s="81"/>
      <c r="G1446" s="81"/>
      <c r="H1446" s="81"/>
      <c r="I1446" s="80"/>
      <c r="J1446" s="81"/>
      <c r="K1446" s="80"/>
      <c r="L1446" s="81"/>
      <c r="M1446" s="642"/>
      <c r="N1446" s="81"/>
      <c r="O1446" s="642"/>
      <c r="P1446" s="81"/>
      <c r="Q1446" s="80"/>
      <c r="R1446" s="81"/>
      <c r="S1446" s="81"/>
      <c r="T1446" s="81"/>
    </row>
    <row r="1447" customHeight="1" spans="1:20">
      <c r="A1447" s="80"/>
      <c r="B1447" s="81"/>
      <c r="C1447" s="642"/>
      <c r="D1447" s="81"/>
      <c r="E1447" s="81"/>
      <c r="F1447" s="81"/>
      <c r="G1447" s="81"/>
      <c r="H1447" s="81"/>
      <c r="I1447" s="80"/>
      <c r="J1447" s="81"/>
      <c r="K1447" s="80"/>
      <c r="L1447" s="81"/>
      <c r="M1447" s="642"/>
      <c r="N1447" s="81"/>
      <c r="O1447" s="642"/>
      <c r="P1447" s="81"/>
      <c r="Q1447" s="80"/>
      <c r="R1447" s="81"/>
      <c r="S1447" s="81"/>
      <c r="T1447" s="81"/>
    </row>
    <row r="1448" customHeight="1" spans="1:20">
      <c r="A1448" s="80"/>
      <c r="B1448" s="81"/>
      <c r="C1448" s="642"/>
      <c r="D1448" s="81"/>
      <c r="E1448" s="81"/>
      <c r="F1448" s="81"/>
      <c r="G1448" s="81"/>
      <c r="H1448" s="81"/>
      <c r="I1448" s="80"/>
      <c r="J1448" s="81"/>
      <c r="K1448" s="80"/>
      <c r="L1448" s="81"/>
      <c r="M1448" s="642"/>
      <c r="N1448" s="81"/>
      <c r="O1448" s="642"/>
      <c r="P1448" s="81"/>
      <c r="Q1448" s="80"/>
      <c r="R1448" s="81"/>
      <c r="S1448" s="81"/>
      <c r="T1448" s="81"/>
    </row>
    <row r="1449" customHeight="1" spans="1:20">
      <c r="A1449" s="80"/>
      <c r="B1449" s="81"/>
      <c r="C1449" s="642"/>
      <c r="D1449" s="81"/>
      <c r="E1449" s="81"/>
      <c r="F1449" s="81"/>
      <c r="G1449" s="81"/>
      <c r="H1449" s="81"/>
      <c r="I1449" s="80"/>
      <c r="J1449" s="81"/>
      <c r="K1449" s="80"/>
      <c r="L1449" s="81"/>
      <c r="M1449" s="642"/>
      <c r="N1449" s="81"/>
      <c r="O1449" s="642"/>
      <c r="P1449" s="81"/>
      <c r="Q1449" s="80"/>
      <c r="R1449" s="81"/>
      <c r="S1449" s="81"/>
      <c r="T1449" s="81"/>
    </row>
    <row r="1450" customHeight="1" spans="1:20">
      <c r="A1450" s="80"/>
      <c r="B1450" s="81"/>
      <c r="C1450" s="642"/>
      <c r="D1450" s="81"/>
      <c r="E1450" s="81"/>
      <c r="F1450" s="81"/>
      <c r="G1450" s="81"/>
      <c r="H1450" s="81"/>
      <c r="I1450" s="80"/>
      <c r="J1450" s="81"/>
      <c r="K1450" s="80"/>
      <c r="L1450" s="81"/>
      <c r="M1450" s="642"/>
      <c r="N1450" s="81"/>
      <c r="O1450" s="642"/>
      <c r="P1450" s="81"/>
      <c r="Q1450" s="80"/>
      <c r="R1450" s="81"/>
      <c r="S1450" s="81"/>
      <c r="T1450" s="81"/>
    </row>
    <row r="1451" customHeight="1" spans="1:20">
      <c r="A1451" s="80"/>
      <c r="B1451" s="81"/>
      <c r="C1451" s="642"/>
      <c r="D1451" s="81"/>
      <c r="E1451" s="81"/>
      <c r="F1451" s="81"/>
      <c r="G1451" s="81"/>
      <c r="H1451" s="81"/>
      <c r="I1451" s="80"/>
      <c r="J1451" s="81"/>
      <c r="K1451" s="80"/>
      <c r="L1451" s="81"/>
      <c r="M1451" s="642"/>
      <c r="N1451" s="81"/>
      <c r="O1451" s="642"/>
      <c r="P1451" s="81"/>
      <c r="Q1451" s="80"/>
      <c r="R1451" s="81"/>
      <c r="S1451" s="81"/>
      <c r="T1451" s="81"/>
    </row>
    <row r="1452" customHeight="1" spans="1:20">
      <c r="A1452" s="80"/>
      <c r="B1452" s="81"/>
      <c r="C1452" s="642"/>
      <c r="D1452" s="81"/>
      <c r="E1452" s="81"/>
      <c r="F1452" s="81"/>
      <c r="G1452" s="81"/>
      <c r="H1452" s="81"/>
      <c r="I1452" s="80"/>
      <c r="J1452" s="81"/>
      <c r="K1452" s="80"/>
      <c r="L1452" s="81"/>
      <c r="M1452" s="642"/>
      <c r="N1452" s="81"/>
      <c r="O1452" s="642"/>
      <c r="P1452" s="81"/>
      <c r="Q1452" s="80"/>
      <c r="R1452" s="81"/>
      <c r="S1452" s="81"/>
      <c r="T1452" s="81"/>
    </row>
    <row r="1453" customHeight="1" spans="1:20">
      <c r="A1453" s="80"/>
      <c r="B1453" s="81"/>
      <c r="C1453" s="642"/>
      <c r="D1453" s="81"/>
      <c r="E1453" s="81"/>
      <c r="F1453" s="81"/>
      <c r="G1453" s="81"/>
      <c r="H1453" s="81"/>
      <c r="I1453" s="80"/>
      <c r="J1453" s="81"/>
      <c r="K1453" s="80"/>
      <c r="L1453" s="81"/>
      <c r="M1453" s="642"/>
      <c r="N1453" s="81"/>
      <c r="O1453" s="642"/>
      <c r="P1453" s="81"/>
      <c r="Q1453" s="80"/>
      <c r="R1453" s="81"/>
      <c r="S1453" s="81"/>
      <c r="T1453" s="81"/>
    </row>
    <row r="1454" customHeight="1" spans="1:20">
      <c r="A1454" s="80"/>
      <c r="B1454" s="81"/>
      <c r="C1454" s="642"/>
      <c r="D1454" s="81"/>
      <c r="E1454" s="81"/>
      <c r="F1454" s="81"/>
      <c r="G1454" s="81"/>
      <c r="H1454" s="81"/>
      <c r="I1454" s="80"/>
      <c r="J1454" s="81"/>
      <c r="K1454" s="80"/>
      <c r="L1454" s="81"/>
      <c r="M1454" s="642"/>
      <c r="N1454" s="81"/>
      <c r="O1454" s="642"/>
      <c r="P1454" s="81"/>
      <c r="Q1454" s="80"/>
      <c r="R1454" s="81"/>
      <c r="S1454" s="81"/>
      <c r="T1454" s="81"/>
    </row>
    <row r="1455" customHeight="1" spans="1:20">
      <c r="A1455" s="80"/>
      <c r="B1455" s="81"/>
      <c r="C1455" s="642"/>
      <c r="D1455" s="81"/>
      <c r="E1455" s="81"/>
      <c r="F1455" s="81"/>
      <c r="G1455" s="81"/>
      <c r="H1455" s="81"/>
      <c r="I1455" s="80"/>
      <c r="J1455" s="81"/>
      <c r="K1455" s="80"/>
      <c r="L1455" s="81"/>
      <c r="M1455" s="642"/>
      <c r="N1455" s="81"/>
      <c r="O1455" s="642"/>
      <c r="P1455" s="81"/>
      <c r="Q1455" s="80"/>
      <c r="R1455" s="81"/>
      <c r="S1455" s="81"/>
      <c r="T1455" s="81"/>
    </row>
    <row r="1456" customHeight="1" spans="1:20">
      <c r="A1456" s="80"/>
      <c r="B1456" s="81"/>
      <c r="C1456" s="642"/>
      <c r="D1456" s="81"/>
      <c r="E1456" s="81"/>
      <c r="F1456" s="81"/>
      <c r="G1456" s="81"/>
      <c r="H1456" s="81"/>
      <c r="I1456" s="80"/>
      <c r="J1456" s="81"/>
      <c r="K1456" s="80"/>
      <c r="L1456" s="81"/>
      <c r="M1456" s="642"/>
      <c r="N1456" s="81"/>
      <c r="O1456" s="642"/>
      <c r="P1456" s="81"/>
      <c r="Q1456" s="80"/>
      <c r="R1456" s="81"/>
      <c r="S1456" s="81"/>
      <c r="T1456" s="81"/>
    </row>
    <row r="1457" customHeight="1" spans="1:20">
      <c r="A1457" s="80"/>
      <c r="B1457" s="81"/>
      <c r="C1457" s="642"/>
      <c r="D1457" s="81"/>
      <c r="E1457" s="81"/>
      <c r="F1457" s="81"/>
      <c r="G1457" s="81"/>
      <c r="H1457" s="81"/>
      <c r="I1457" s="80"/>
      <c r="J1457" s="81"/>
      <c r="K1457" s="80"/>
      <c r="L1457" s="81"/>
      <c r="M1457" s="642"/>
      <c r="N1457" s="81"/>
      <c r="O1457" s="642"/>
      <c r="P1457" s="81"/>
      <c r="Q1457" s="80"/>
      <c r="R1457" s="81"/>
      <c r="S1457" s="81"/>
      <c r="T1457" s="81"/>
    </row>
    <row r="1458" customHeight="1" spans="1:20">
      <c r="A1458" s="80"/>
      <c r="B1458" s="81"/>
      <c r="C1458" s="642"/>
      <c r="D1458" s="81"/>
      <c r="E1458" s="81"/>
      <c r="F1458" s="81"/>
      <c r="G1458" s="81"/>
      <c r="H1458" s="81"/>
      <c r="I1458" s="80"/>
      <c r="J1458" s="81"/>
      <c r="K1458" s="80"/>
      <c r="L1458" s="81"/>
      <c r="M1458" s="642"/>
      <c r="N1458" s="81"/>
      <c r="O1458" s="642"/>
      <c r="P1458" s="81"/>
      <c r="Q1458" s="80"/>
      <c r="R1458" s="81"/>
      <c r="S1458" s="81"/>
      <c r="T1458" s="81"/>
    </row>
    <row r="1459" customHeight="1" spans="1:20">
      <c r="A1459" s="80"/>
      <c r="B1459" s="81"/>
      <c r="C1459" s="642"/>
      <c r="D1459" s="81"/>
      <c r="E1459" s="81"/>
      <c r="F1459" s="81"/>
      <c r="G1459" s="81"/>
      <c r="H1459" s="81"/>
      <c r="I1459" s="80"/>
      <c r="J1459" s="81"/>
      <c r="K1459" s="80"/>
      <c r="L1459" s="81"/>
      <c r="M1459" s="642"/>
      <c r="N1459" s="81"/>
      <c r="O1459" s="642"/>
      <c r="P1459" s="81"/>
      <c r="Q1459" s="80"/>
      <c r="R1459" s="81"/>
      <c r="S1459" s="81"/>
      <c r="T1459" s="81"/>
    </row>
    <row r="1460" customHeight="1" spans="1:20">
      <c r="A1460" s="80"/>
      <c r="B1460" s="81"/>
      <c r="C1460" s="642"/>
      <c r="D1460" s="81"/>
      <c r="E1460" s="81"/>
      <c r="F1460" s="81"/>
      <c r="G1460" s="81"/>
      <c r="H1460" s="81"/>
      <c r="I1460" s="80"/>
      <c r="J1460" s="81"/>
      <c r="K1460" s="80"/>
      <c r="L1460" s="81"/>
      <c r="M1460" s="642"/>
      <c r="N1460" s="81"/>
      <c r="O1460" s="642"/>
      <c r="P1460" s="81"/>
      <c r="Q1460" s="80"/>
      <c r="R1460" s="81"/>
      <c r="S1460" s="81"/>
      <c r="T1460" s="81"/>
    </row>
    <row r="1461" customHeight="1" spans="1:20">
      <c r="A1461" s="80"/>
      <c r="B1461" s="81"/>
      <c r="C1461" s="642"/>
      <c r="D1461" s="81"/>
      <c r="E1461" s="81"/>
      <c r="F1461" s="81"/>
      <c r="G1461" s="81"/>
      <c r="H1461" s="81"/>
      <c r="I1461" s="80"/>
      <c r="J1461" s="81"/>
      <c r="K1461" s="80"/>
      <c r="L1461" s="81"/>
      <c r="M1461" s="642"/>
      <c r="N1461" s="81"/>
      <c r="O1461" s="642"/>
      <c r="P1461" s="81"/>
      <c r="Q1461" s="80"/>
      <c r="R1461" s="81"/>
      <c r="S1461" s="81"/>
      <c r="T1461" s="81"/>
    </row>
    <row r="1462" customHeight="1" spans="1:20">
      <c r="A1462" s="80"/>
      <c r="B1462" s="81"/>
      <c r="C1462" s="642"/>
      <c r="D1462" s="81"/>
      <c r="E1462" s="81"/>
      <c r="F1462" s="81"/>
      <c r="G1462" s="81"/>
      <c r="H1462" s="81"/>
      <c r="I1462" s="80"/>
      <c r="J1462" s="81"/>
      <c r="K1462" s="80"/>
      <c r="L1462" s="81"/>
      <c r="M1462" s="642"/>
      <c r="N1462" s="81"/>
      <c r="O1462" s="642"/>
      <c r="P1462" s="81"/>
      <c r="Q1462" s="80"/>
      <c r="R1462" s="81"/>
      <c r="S1462" s="81"/>
      <c r="T1462" s="81"/>
    </row>
    <row r="1463" customHeight="1" spans="1:20">
      <c r="A1463" s="80"/>
      <c r="B1463" s="81"/>
      <c r="C1463" s="642"/>
      <c r="D1463" s="81"/>
      <c r="E1463" s="81"/>
      <c r="F1463" s="81"/>
      <c r="G1463" s="81"/>
      <c r="H1463" s="81"/>
      <c r="I1463" s="80"/>
      <c r="J1463" s="81"/>
      <c r="K1463" s="80"/>
      <c r="L1463" s="81"/>
      <c r="M1463" s="642"/>
      <c r="N1463" s="81"/>
      <c r="O1463" s="642"/>
      <c r="P1463" s="81"/>
      <c r="Q1463" s="80"/>
      <c r="R1463" s="81"/>
      <c r="S1463" s="81"/>
      <c r="T1463" s="81"/>
    </row>
    <row r="1464" customHeight="1" spans="1:20">
      <c r="A1464" s="80"/>
      <c r="B1464" s="81"/>
      <c r="C1464" s="642"/>
      <c r="D1464" s="81"/>
      <c r="E1464" s="81"/>
      <c r="F1464" s="81"/>
      <c r="G1464" s="81"/>
      <c r="H1464" s="81"/>
      <c r="I1464" s="80"/>
      <c r="J1464" s="81"/>
      <c r="K1464" s="80"/>
      <c r="L1464" s="81"/>
      <c r="M1464" s="642"/>
      <c r="N1464" s="81"/>
      <c r="O1464" s="642"/>
      <c r="P1464" s="81"/>
      <c r="Q1464" s="80"/>
      <c r="R1464" s="81"/>
      <c r="S1464" s="81"/>
      <c r="T1464" s="81"/>
    </row>
    <row r="1465" customHeight="1" spans="1:20">
      <c r="A1465" s="80"/>
      <c r="B1465" s="81"/>
      <c r="C1465" s="642"/>
      <c r="D1465" s="81"/>
      <c r="E1465" s="81"/>
      <c r="F1465" s="81"/>
      <c r="G1465" s="81"/>
      <c r="H1465" s="81"/>
      <c r="I1465" s="80"/>
      <c r="J1465" s="81"/>
      <c r="K1465" s="80"/>
      <c r="L1465" s="81"/>
      <c r="M1465" s="642"/>
      <c r="N1465" s="81"/>
      <c r="O1465" s="642"/>
      <c r="P1465" s="81"/>
      <c r="Q1465" s="80"/>
      <c r="R1465" s="81"/>
      <c r="S1465" s="81"/>
      <c r="T1465" s="81"/>
    </row>
    <row r="1466" customHeight="1" spans="1:20">
      <c r="A1466" s="80"/>
      <c r="B1466" s="81"/>
      <c r="C1466" s="642"/>
      <c r="D1466" s="81"/>
      <c r="E1466" s="81"/>
      <c r="F1466" s="81"/>
      <c r="G1466" s="81"/>
      <c r="H1466" s="81"/>
      <c r="I1466" s="80"/>
      <c r="J1466" s="81"/>
      <c r="K1466" s="80"/>
      <c r="L1466" s="81"/>
      <c r="M1466" s="642"/>
      <c r="N1466" s="81"/>
      <c r="O1466" s="642"/>
      <c r="P1466" s="81"/>
      <c r="Q1466" s="80"/>
      <c r="R1466" s="81"/>
      <c r="S1466" s="81"/>
      <c r="T1466" s="81"/>
    </row>
    <row r="1467" customHeight="1" spans="1:20">
      <c r="A1467" s="80"/>
      <c r="B1467" s="81"/>
      <c r="C1467" s="642"/>
      <c r="D1467" s="81"/>
      <c r="E1467" s="81"/>
      <c r="F1467" s="81"/>
      <c r="G1467" s="81"/>
      <c r="H1467" s="81"/>
      <c r="I1467" s="80"/>
      <c r="J1467" s="81"/>
      <c r="K1467" s="80"/>
      <c r="L1467" s="81"/>
      <c r="M1467" s="642"/>
      <c r="N1467" s="81"/>
      <c r="O1467" s="642"/>
      <c r="P1467" s="81"/>
      <c r="Q1467" s="80"/>
      <c r="R1467" s="81"/>
      <c r="S1467" s="81"/>
      <c r="T1467" s="81"/>
    </row>
    <row r="1468" customHeight="1" spans="1:20">
      <c r="A1468" s="80"/>
      <c r="B1468" s="81"/>
      <c r="C1468" s="642"/>
      <c r="D1468" s="81"/>
      <c r="E1468" s="81"/>
      <c r="F1468" s="81"/>
      <c r="G1468" s="81"/>
      <c r="H1468" s="81"/>
      <c r="I1468" s="80"/>
      <c r="J1468" s="81"/>
      <c r="K1468" s="80"/>
      <c r="L1468" s="81"/>
      <c r="M1468" s="642"/>
      <c r="N1468" s="81"/>
      <c r="O1468" s="642"/>
      <c r="P1468" s="81"/>
      <c r="Q1468" s="80"/>
      <c r="R1468" s="81"/>
      <c r="S1468" s="81"/>
      <c r="T1468" s="81"/>
    </row>
    <row r="1469" customHeight="1" spans="1:20">
      <c r="A1469" s="80"/>
      <c r="B1469" s="81"/>
      <c r="C1469" s="642"/>
      <c r="D1469" s="81"/>
      <c r="E1469" s="81"/>
      <c r="F1469" s="81"/>
      <c r="G1469" s="81"/>
      <c r="H1469" s="81"/>
      <c r="I1469" s="80"/>
      <c r="J1469" s="81"/>
      <c r="K1469" s="80"/>
      <c r="L1469" s="81"/>
      <c r="M1469" s="642"/>
      <c r="N1469" s="81"/>
      <c r="O1469" s="642"/>
      <c r="P1469" s="81"/>
      <c r="Q1469" s="80"/>
      <c r="R1469" s="81"/>
      <c r="S1469" s="81"/>
      <c r="T1469" s="81"/>
    </row>
    <row r="1470" customHeight="1" spans="1:20">
      <c r="A1470" s="80"/>
      <c r="B1470" s="81"/>
      <c r="C1470" s="642"/>
      <c r="D1470" s="81"/>
      <c r="E1470" s="81"/>
      <c r="F1470" s="81"/>
      <c r="G1470" s="81"/>
      <c r="H1470" s="81"/>
      <c r="I1470" s="80"/>
      <c r="J1470" s="81"/>
      <c r="K1470" s="80"/>
      <c r="L1470" s="81"/>
      <c r="M1470" s="642"/>
      <c r="N1470" s="81"/>
      <c r="O1470" s="642"/>
      <c r="P1470" s="81"/>
      <c r="Q1470" s="80"/>
      <c r="R1470" s="81"/>
      <c r="S1470" s="81"/>
      <c r="T1470" s="81"/>
    </row>
    <row r="1471" customHeight="1" spans="1:20">
      <c r="A1471" s="80"/>
      <c r="B1471" s="81"/>
      <c r="C1471" s="642"/>
      <c r="D1471" s="81"/>
      <c r="E1471" s="81"/>
      <c r="F1471" s="81"/>
      <c r="G1471" s="81"/>
      <c r="H1471" s="81"/>
      <c r="I1471" s="80"/>
      <c r="J1471" s="81"/>
      <c r="K1471" s="80"/>
      <c r="L1471" s="81"/>
      <c r="M1471" s="642"/>
      <c r="N1471" s="81"/>
      <c r="O1471" s="642"/>
      <c r="P1471" s="81"/>
      <c r="Q1471" s="80"/>
      <c r="R1471" s="81"/>
      <c r="S1471" s="81"/>
      <c r="T1471" s="81"/>
    </row>
    <row r="1472" customHeight="1" spans="1:20">
      <c r="A1472" s="80"/>
      <c r="B1472" s="81"/>
      <c r="C1472" s="642"/>
      <c r="D1472" s="81"/>
      <c r="E1472" s="81"/>
      <c r="F1472" s="81"/>
      <c r="G1472" s="81"/>
      <c r="H1472" s="81"/>
      <c r="I1472" s="80"/>
      <c r="J1472" s="81"/>
      <c r="K1472" s="80"/>
      <c r="L1472" s="81"/>
      <c r="M1472" s="642"/>
      <c r="N1472" s="81"/>
      <c r="O1472" s="642"/>
      <c r="P1472" s="81"/>
      <c r="Q1472" s="80"/>
      <c r="R1472" s="81"/>
      <c r="S1472" s="81"/>
      <c r="T1472" s="81"/>
    </row>
    <row r="1473" customHeight="1" spans="1:20">
      <c r="A1473" s="80"/>
      <c r="B1473" s="81"/>
      <c r="C1473" s="642"/>
      <c r="D1473" s="81"/>
      <c r="E1473" s="81"/>
      <c r="F1473" s="81"/>
      <c r="G1473" s="81"/>
      <c r="H1473" s="81"/>
      <c r="I1473" s="80"/>
      <c r="J1473" s="81"/>
      <c r="K1473" s="80"/>
      <c r="L1473" s="81"/>
      <c r="M1473" s="642"/>
      <c r="N1473" s="81"/>
      <c r="O1473" s="642"/>
      <c r="P1473" s="81"/>
      <c r="Q1473" s="80"/>
      <c r="R1473" s="81"/>
      <c r="S1473" s="81"/>
      <c r="T1473" s="81"/>
    </row>
    <row r="1474" customHeight="1" spans="1:20">
      <c r="A1474" s="80"/>
      <c r="B1474" s="81"/>
      <c r="C1474" s="642"/>
      <c r="D1474" s="81"/>
      <c r="E1474" s="81"/>
      <c r="F1474" s="81"/>
      <c r="G1474" s="81"/>
      <c r="H1474" s="81"/>
      <c r="I1474" s="80"/>
      <c r="J1474" s="81"/>
      <c r="K1474" s="80"/>
      <c r="L1474" s="81"/>
      <c r="M1474" s="642"/>
      <c r="N1474" s="81"/>
      <c r="O1474" s="642"/>
      <c r="P1474" s="81"/>
      <c r="Q1474" s="80"/>
      <c r="R1474" s="81"/>
      <c r="S1474" s="81"/>
      <c r="T1474" s="81"/>
    </row>
    <row r="1475" customHeight="1" spans="1:20">
      <c r="A1475" s="80"/>
      <c r="B1475" s="81"/>
      <c r="C1475" s="642"/>
      <c r="D1475" s="81"/>
      <c r="E1475" s="81"/>
      <c r="F1475" s="81"/>
      <c r="G1475" s="81"/>
      <c r="H1475" s="81"/>
      <c r="I1475" s="80"/>
      <c r="J1475" s="81"/>
      <c r="K1475" s="80"/>
      <c r="L1475" s="81"/>
      <c r="M1475" s="642"/>
      <c r="N1475" s="81"/>
      <c r="O1475" s="642"/>
      <c r="P1475" s="81"/>
      <c r="Q1475" s="80"/>
      <c r="R1475" s="81"/>
      <c r="S1475" s="81"/>
      <c r="T1475" s="81"/>
    </row>
    <row r="1476" customHeight="1" spans="1:20">
      <c r="A1476" s="80"/>
      <c r="B1476" s="81"/>
      <c r="C1476" s="642"/>
      <c r="D1476" s="81"/>
      <c r="E1476" s="81"/>
      <c r="F1476" s="81"/>
      <c r="G1476" s="81"/>
      <c r="H1476" s="81"/>
      <c r="I1476" s="80"/>
      <c r="J1476" s="81"/>
      <c r="K1476" s="80"/>
      <c r="L1476" s="81"/>
      <c r="M1476" s="642"/>
      <c r="N1476" s="81"/>
      <c r="O1476" s="642"/>
      <c r="P1476" s="81"/>
      <c r="Q1476" s="80"/>
      <c r="R1476" s="81"/>
      <c r="S1476" s="81"/>
      <c r="T1476" s="81"/>
    </row>
    <row r="1477" customHeight="1" spans="1:20">
      <c r="A1477" s="80"/>
      <c r="B1477" s="81"/>
      <c r="C1477" s="642"/>
      <c r="D1477" s="81"/>
      <c r="E1477" s="81"/>
      <c r="F1477" s="81"/>
      <c r="G1477" s="81"/>
      <c r="H1477" s="81"/>
      <c r="I1477" s="80"/>
      <c r="J1477" s="81"/>
      <c r="K1477" s="80"/>
      <c r="L1477" s="81"/>
      <c r="M1477" s="642"/>
      <c r="N1477" s="81"/>
      <c r="O1477" s="642"/>
      <c r="P1477" s="81"/>
      <c r="Q1477" s="80"/>
      <c r="R1477" s="81"/>
      <c r="S1477" s="81"/>
      <c r="T1477" s="81"/>
    </row>
    <row r="1478" customHeight="1" spans="1:20">
      <c r="A1478" s="80"/>
      <c r="B1478" s="81"/>
      <c r="C1478" s="642"/>
      <c r="D1478" s="81"/>
      <c r="E1478" s="81"/>
      <c r="F1478" s="81"/>
      <c r="G1478" s="81"/>
      <c r="H1478" s="81"/>
      <c r="I1478" s="80"/>
      <c r="J1478" s="81"/>
      <c r="K1478" s="80"/>
      <c r="L1478" s="81"/>
      <c r="M1478" s="642"/>
      <c r="N1478" s="81"/>
      <c r="O1478" s="642"/>
      <c r="P1478" s="81"/>
      <c r="Q1478" s="80"/>
      <c r="R1478" s="81"/>
      <c r="S1478" s="81"/>
      <c r="T1478" s="81"/>
    </row>
    <row r="1479" customHeight="1" spans="1:20">
      <c r="A1479" s="80"/>
      <c r="B1479" s="81"/>
      <c r="C1479" s="642"/>
      <c r="D1479" s="81"/>
      <c r="E1479" s="81"/>
      <c r="F1479" s="81"/>
      <c r="G1479" s="81"/>
      <c r="H1479" s="81"/>
      <c r="I1479" s="80"/>
      <c r="J1479" s="81"/>
      <c r="K1479" s="80"/>
      <c r="L1479" s="81"/>
      <c r="M1479" s="642"/>
      <c r="N1479" s="81"/>
      <c r="O1479" s="642"/>
      <c r="P1479" s="81"/>
      <c r="Q1479" s="80"/>
      <c r="R1479" s="81"/>
      <c r="S1479" s="81"/>
      <c r="T1479" s="81"/>
    </row>
    <row r="1480" customHeight="1" spans="1:20">
      <c r="A1480" s="80"/>
      <c r="B1480" s="81"/>
      <c r="C1480" s="642"/>
      <c r="D1480" s="81"/>
      <c r="E1480" s="81"/>
      <c r="F1480" s="81"/>
      <c r="G1480" s="81"/>
      <c r="H1480" s="81"/>
      <c r="I1480" s="80"/>
      <c r="J1480" s="81"/>
      <c r="K1480" s="80"/>
      <c r="L1480" s="81"/>
      <c r="M1480" s="642"/>
      <c r="N1480" s="81"/>
      <c r="O1480" s="642"/>
      <c r="P1480" s="81"/>
      <c r="Q1480" s="80"/>
      <c r="R1480" s="81"/>
      <c r="S1480" s="81"/>
      <c r="T1480" s="81"/>
    </row>
    <row r="1481" customHeight="1" spans="1:20">
      <c r="A1481" s="80"/>
      <c r="B1481" s="81"/>
      <c r="C1481" s="642"/>
      <c r="D1481" s="81"/>
      <c r="E1481" s="81"/>
      <c r="F1481" s="81"/>
      <c r="G1481" s="81"/>
      <c r="H1481" s="81"/>
      <c r="I1481" s="80"/>
      <c r="J1481" s="81"/>
      <c r="K1481" s="80"/>
      <c r="L1481" s="81"/>
      <c r="M1481" s="642"/>
      <c r="N1481" s="81"/>
      <c r="O1481" s="642"/>
      <c r="P1481" s="81"/>
      <c r="Q1481" s="80"/>
      <c r="R1481" s="81"/>
      <c r="S1481" s="81"/>
      <c r="T1481" s="81"/>
    </row>
    <row r="1482" customHeight="1" spans="1:20">
      <c r="A1482" s="80"/>
      <c r="B1482" s="81"/>
      <c r="C1482" s="642"/>
      <c r="D1482" s="81"/>
      <c r="E1482" s="81"/>
      <c r="F1482" s="81"/>
      <c r="G1482" s="81"/>
      <c r="H1482" s="81"/>
      <c r="I1482" s="80"/>
      <c r="J1482" s="81"/>
      <c r="K1482" s="80"/>
      <c r="L1482" s="81"/>
      <c r="M1482" s="642"/>
      <c r="N1482" s="81"/>
      <c r="O1482" s="642"/>
      <c r="P1482" s="81"/>
      <c r="Q1482" s="80"/>
      <c r="R1482" s="81"/>
      <c r="S1482" s="81"/>
      <c r="T1482" s="81"/>
    </row>
    <row r="1483" customHeight="1" spans="1:20">
      <c r="A1483" s="80"/>
      <c r="B1483" s="81"/>
      <c r="C1483" s="642"/>
      <c r="D1483" s="81"/>
      <c r="E1483" s="81"/>
      <c r="F1483" s="81"/>
      <c r="G1483" s="81"/>
      <c r="H1483" s="81"/>
      <c r="I1483" s="80"/>
      <c r="J1483" s="81"/>
      <c r="K1483" s="80"/>
      <c r="L1483" s="81"/>
      <c r="M1483" s="642"/>
      <c r="N1483" s="81"/>
      <c r="O1483" s="642"/>
      <c r="P1483" s="81"/>
      <c r="Q1483" s="80"/>
      <c r="R1483" s="81"/>
      <c r="S1483" s="81"/>
      <c r="T1483" s="81"/>
    </row>
    <row r="1484" customHeight="1" spans="1:20">
      <c r="A1484" s="80"/>
      <c r="B1484" s="81"/>
      <c r="C1484" s="642"/>
      <c r="D1484" s="81"/>
      <c r="E1484" s="81"/>
      <c r="F1484" s="81"/>
      <c r="G1484" s="81"/>
      <c r="H1484" s="81"/>
      <c r="I1484" s="80"/>
      <c r="J1484" s="81"/>
      <c r="K1484" s="80"/>
      <c r="L1484" s="81"/>
      <c r="M1484" s="642"/>
      <c r="N1484" s="81"/>
      <c r="O1484" s="642"/>
      <c r="P1484" s="81"/>
      <c r="Q1484" s="80"/>
      <c r="R1484" s="81"/>
      <c r="S1484" s="81"/>
      <c r="T1484" s="81"/>
    </row>
    <row r="1485" customHeight="1" spans="1:20">
      <c r="A1485" s="80"/>
      <c r="B1485" s="81"/>
      <c r="C1485" s="642"/>
      <c r="D1485" s="81"/>
      <c r="E1485" s="81"/>
      <c r="F1485" s="81"/>
      <c r="G1485" s="81"/>
      <c r="H1485" s="81"/>
      <c r="I1485" s="80"/>
      <c r="J1485" s="81"/>
      <c r="K1485" s="80"/>
      <c r="L1485" s="81"/>
      <c r="M1485" s="642"/>
      <c r="N1485" s="81"/>
      <c r="O1485" s="642"/>
      <c r="P1485" s="81"/>
      <c r="Q1485" s="80"/>
      <c r="R1485" s="81"/>
      <c r="S1485" s="81"/>
      <c r="T1485" s="81"/>
    </row>
    <row r="1486" customHeight="1" spans="1:20">
      <c r="A1486" s="80"/>
      <c r="B1486" s="81"/>
      <c r="C1486" s="642"/>
      <c r="D1486" s="81"/>
      <c r="E1486" s="81"/>
      <c r="F1486" s="81"/>
      <c r="G1486" s="81"/>
      <c r="H1486" s="81"/>
      <c r="I1486" s="80"/>
      <c r="J1486" s="81"/>
      <c r="K1486" s="80"/>
      <c r="L1486" s="81"/>
      <c r="M1486" s="642"/>
      <c r="N1486" s="81"/>
      <c r="O1486" s="642"/>
      <c r="P1486" s="81"/>
      <c r="Q1486" s="80"/>
      <c r="R1486" s="81"/>
      <c r="S1486" s="81"/>
      <c r="T1486" s="81"/>
    </row>
    <row r="1487" customHeight="1" spans="1:20">
      <c r="A1487" s="80"/>
      <c r="B1487" s="81"/>
      <c r="C1487" s="642"/>
      <c r="D1487" s="81"/>
      <c r="E1487" s="81"/>
      <c r="F1487" s="81"/>
      <c r="G1487" s="81"/>
      <c r="H1487" s="81"/>
      <c r="I1487" s="80"/>
      <c r="J1487" s="81"/>
      <c r="K1487" s="80"/>
      <c r="L1487" s="81"/>
      <c r="M1487" s="642"/>
      <c r="N1487" s="81"/>
      <c r="O1487" s="642"/>
      <c r="P1487" s="81"/>
      <c r="Q1487" s="80"/>
      <c r="R1487" s="81"/>
      <c r="S1487" s="81"/>
      <c r="T1487" s="81"/>
    </row>
    <row r="1488" customHeight="1" spans="1:20">
      <c r="A1488" s="80"/>
      <c r="B1488" s="81"/>
      <c r="C1488" s="642"/>
      <c r="D1488" s="81"/>
      <c r="E1488" s="81"/>
      <c r="F1488" s="81"/>
      <c r="G1488" s="81"/>
      <c r="H1488" s="81"/>
      <c r="I1488" s="80"/>
      <c r="J1488" s="81"/>
      <c r="K1488" s="80"/>
      <c r="L1488" s="81"/>
      <c r="M1488" s="642"/>
      <c r="N1488" s="81"/>
      <c r="O1488" s="642"/>
      <c r="P1488" s="81"/>
      <c r="Q1488" s="80"/>
      <c r="R1488" s="81"/>
      <c r="S1488" s="81"/>
      <c r="T1488" s="81"/>
    </row>
    <row r="1489" customHeight="1" spans="1:20">
      <c r="A1489" s="80"/>
      <c r="B1489" s="81"/>
      <c r="C1489" s="642"/>
      <c r="D1489" s="81"/>
      <c r="E1489" s="81"/>
      <c r="F1489" s="81"/>
      <c r="G1489" s="81"/>
      <c r="H1489" s="81"/>
      <c r="I1489" s="80"/>
      <c r="J1489" s="81"/>
      <c r="K1489" s="80"/>
      <c r="L1489" s="81"/>
      <c r="M1489" s="642"/>
      <c r="N1489" s="81"/>
      <c r="O1489" s="642"/>
      <c r="P1489" s="81"/>
      <c r="Q1489" s="80"/>
      <c r="R1489" s="81"/>
      <c r="S1489" s="81"/>
      <c r="T1489" s="81"/>
    </row>
    <row r="1490" customHeight="1" spans="1:20">
      <c r="A1490" s="80"/>
      <c r="B1490" s="81"/>
      <c r="C1490" s="642"/>
      <c r="D1490" s="81"/>
      <c r="E1490" s="81"/>
      <c r="F1490" s="81"/>
      <c r="G1490" s="81"/>
      <c r="H1490" s="81"/>
      <c r="I1490" s="80"/>
      <c r="J1490" s="81"/>
      <c r="K1490" s="80"/>
      <c r="L1490" s="81"/>
      <c r="M1490" s="642"/>
      <c r="N1490" s="81"/>
      <c r="O1490" s="642"/>
      <c r="P1490" s="81"/>
      <c r="Q1490" s="80"/>
      <c r="R1490" s="81"/>
      <c r="S1490" s="81"/>
      <c r="T1490" s="81"/>
    </row>
    <row r="1491" customHeight="1" spans="1:20">
      <c r="A1491" s="80"/>
      <c r="B1491" s="81"/>
      <c r="C1491" s="642"/>
      <c r="D1491" s="81"/>
      <c r="E1491" s="81"/>
      <c r="F1491" s="81"/>
      <c r="G1491" s="81"/>
      <c r="H1491" s="81"/>
      <c r="I1491" s="80"/>
      <c r="J1491" s="81"/>
      <c r="K1491" s="80"/>
      <c r="L1491" s="81"/>
      <c r="M1491" s="642"/>
      <c r="N1491" s="81"/>
      <c r="O1491" s="642"/>
      <c r="P1491" s="81"/>
      <c r="Q1491" s="80"/>
      <c r="R1491" s="81"/>
      <c r="S1491" s="81"/>
      <c r="T1491" s="81"/>
    </row>
    <row r="1492" customHeight="1" spans="1:20">
      <c r="A1492" s="80"/>
      <c r="B1492" s="81"/>
      <c r="C1492" s="642"/>
      <c r="D1492" s="81"/>
      <c r="E1492" s="81"/>
      <c r="F1492" s="81"/>
      <c r="G1492" s="81"/>
      <c r="H1492" s="81"/>
      <c r="I1492" s="80"/>
      <c r="J1492" s="81"/>
      <c r="K1492" s="80"/>
      <c r="L1492" s="81"/>
      <c r="M1492" s="642"/>
      <c r="N1492" s="81"/>
      <c r="O1492" s="642"/>
      <c r="P1492" s="81"/>
      <c r="Q1492" s="80"/>
      <c r="R1492" s="81"/>
      <c r="S1492" s="81"/>
      <c r="T1492" s="81"/>
    </row>
    <row r="1493" customHeight="1" spans="1:20">
      <c r="A1493" s="80"/>
      <c r="B1493" s="81"/>
      <c r="C1493" s="642"/>
      <c r="D1493" s="81"/>
      <c r="E1493" s="81"/>
      <c r="F1493" s="81"/>
      <c r="G1493" s="81"/>
      <c r="H1493" s="81"/>
      <c r="I1493" s="80"/>
      <c r="J1493" s="81"/>
      <c r="K1493" s="80"/>
      <c r="L1493" s="81"/>
      <c r="M1493" s="642"/>
      <c r="N1493" s="81"/>
      <c r="O1493" s="642"/>
      <c r="P1493" s="81"/>
      <c r="Q1493" s="80"/>
      <c r="R1493" s="81"/>
      <c r="S1493" s="81"/>
      <c r="T1493" s="81"/>
    </row>
    <row r="1494" customHeight="1" spans="1:20">
      <c r="A1494" s="80"/>
      <c r="B1494" s="81"/>
      <c r="C1494" s="642"/>
      <c r="D1494" s="81"/>
      <c r="E1494" s="81"/>
      <c r="F1494" s="81"/>
      <c r="G1494" s="81"/>
      <c r="H1494" s="81"/>
      <c r="I1494" s="80"/>
      <c r="J1494" s="81"/>
      <c r="K1494" s="80"/>
      <c r="L1494" s="81"/>
      <c r="M1494" s="642"/>
      <c r="N1494" s="81"/>
      <c r="O1494" s="642"/>
      <c r="P1494" s="81"/>
      <c r="Q1494" s="80"/>
      <c r="R1494" s="81"/>
      <c r="S1494" s="81"/>
      <c r="T1494" s="81"/>
    </row>
    <row r="1495" customHeight="1" spans="1:20">
      <c r="A1495" s="80"/>
      <c r="B1495" s="81"/>
      <c r="C1495" s="642"/>
      <c r="D1495" s="81"/>
      <c r="E1495" s="81"/>
      <c r="F1495" s="81"/>
      <c r="G1495" s="81"/>
      <c r="H1495" s="81"/>
      <c r="I1495" s="80"/>
      <c r="J1495" s="81"/>
      <c r="K1495" s="80"/>
      <c r="L1495" s="81"/>
      <c r="M1495" s="642"/>
      <c r="N1495" s="81"/>
      <c r="O1495" s="642"/>
      <c r="P1495" s="81"/>
      <c r="Q1495" s="80"/>
      <c r="R1495" s="81"/>
      <c r="S1495" s="81"/>
      <c r="T1495" s="81"/>
    </row>
    <row r="1496" customHeight="1" spans="1:20">
      <c r="A1496" s="80"/>
      <c r="B1496" s="81"/>
      <c r="C1496" s="642"/>
      <c r="D1496" s="81"/>
      <c r="E1496" s="81"/>
      <c r="F1496" s="81"/>
      <c r="G1496" s="81"/>
      <c r="H1496" s="81"/>
      <c r="I1496" s="80"/>
      <c r="J1496" s="81"/>
      <c r="K1496" s="80"/>
      <c r="L1496" s="81"/>
      <c r="M1496" s="642"/>
      <c r="N1496" s="81"/>
      <c r="O1496" s="642"/>
      <c r="P1496" s="81"/>
      <c r="Q1496" s="80"/>
      <c r="R1496" s="81"/>
      <c r="S1496" s="81"/>
      <c r="T1496" s="81"/>
    </row>
    <row r="1497" customHeight="1" spans="1:20">
      <c r="A1497" s="80"/>
      <c r="B1497" s="81"/>
      <c r="C1497" s="642"/>
      <c r="D1497" s="81"/>
      <c r="E1497" s="81"/>
      <c r="F1497" s="81"/>
      <c r="G1497" s="81"/>
      <c r="H1497" s="81"/>
      <c r="I1497" s="80"/>
      <c r="J1497" s="81"/>
      <c r="K1497" s="80"/>
      <c r="L1497" s="81"/>
      <c r="M1497" s="642"/>
      <c r="N1497" s="81"/>
      <c r="O1497" s="642"/>
      <c r="P1497" s="81"/>
      <c r="Q1497" s="80"/>
      <c r="R1497" s="81"/>
      <c r="S1497" s="81"/>
      <c r="T1497" s="81"/>
    </row>
    <row r="1498" customHeight="1" spans="1:20">
      <c r="A1498" s="80"/>
      <c r="B1498" s="81"/>
      <c r="C1498" s="642"/>
      <c r="D1498" s="81"/>
      <c r="E1498" s="81"/>
      <c r="F1498" s="81"/>
      <c r="G1498" s="81"/>
      <c r="H1498" s="81"/>
      <c r="I1498" s="80"/>
      <c r="J1498" s="81"/>
      <c r="K1498" s="80"/>
      <c r="L1498" s="81"/>
      <c r="M1498" s="642"/>
      <c r="N1498" s="81"/>
      <c r="O1498" s="642"/>
      <c r="P1498" s="81"/>
      <c r="Q1498" s="80"/>
      <c r="R1498" s="81"/>
      <c r="S1498" s="81"/>
      <c r="T1498" s="81"/>
    </row>
    <row r="1499" customHeight="1" spans="1:20">
      <c r="A1499" s="80"/>
      <c r="B1499" s="81"/>
      <c r="C1499" s="642"/>
      <c r="D1499" s="81"/>
      <c r="E1499" s="81"/>
      <c r="F1499" s="81"/>
      <c r="G1499" s="81"/>
      <c r="H1499" s="81"/>
      <c r="I1499" s="80"/>
      <c r="J1499" s="81"/>
      <c r="K1499" s="80"/>
      <c r="L1499" s="81"/>
      <c r="M1499" s="642"/>
      <c r="N1499" s="81"/>
      <c r="O1499" s="642"/>
      <c r="P1499" s="81"/>
      <c r="Q1499" s="80"/>
      <c r="R1499" s="81"/>
      <c r="S1499" s="81"/>
      <c r="T1499" s="81"/>
    </row>
    <row r="1500" customHeight="1" spans="1:20">
      <c r="A1500" s="80"/>
      <c r="B1500" s="81"/>
      <c r="C1500" s="642"/>
      <c r="D1500" s="81"/>
      <c r="E1500" s="81"/>
      <c r="F1500" s="81"/>
      <c r="G1500" s="81"/>
      <c r="H1500" s="81"/>
      <c r="I1500" s="80"/>
      <c r="J1500" s="81"/>
      <c r="K1500" s="80"/>
      <c r="L1500" s="81"/>
      <c r="M1500" s="642"/>
      <c r="N1500" s="81"/>
      <c r="O1500" s="642"/>
      <c r="P1500" s="81"/>
      <c r="Q1500" s="80"/>
      <c r="R1500" s="81"/>
      <c r="S1500" s="81"/>
      <c r="T1500" s="81"/>
    </row>
    <row r="1501" customHeight="1" spans="1:20">
      <c r="A1501" s="80"/>
      <c r="B1501" s="81"/>
      <c r="C1501" s="642"/>
      <c r="D1501" s="81"/>
      <c r="E1501" s="81"/>
      <c r="F1501" s="81"/>
      <c r="G1501" s="81"/>
      <c r="H1501" s="81"/>
      <c r="I1501" s="80"/>
      <c r="J1501" s="81"/>
      <c r="K1501" s="80"/>
      <c r="L1501" s="81"/>
      <c r="M1501" s="642"/>
      <c r="N1501" s="81"/>
      <c r="O1501" s="642"/>
      <c r="P1501" s="81"/>
      <c r="Q1501" s="80"/>
      <c r="R1501" s="81"/>
      <c r="S1501" s="81"/>
      <c r="T1501" s="81"/>
    </row>
    <row r="1502" customHeight="1" spans="1:20">
      <c r="A1502" s="80"/>
      <c r="B1502" s="81"/>
      <c r="C1502" s="642"/>
      <c r="D1502" s="81"/>
      <c r="E1502" s="81"/>
      <c r="F1502" s="81"/>
      <c r="G1502" s="81"/>
      <c r="H1502" s="81"/>
      <c r="I1502" s="80"/>
      <c r="J1502" s="81"/>
      <c r="K1502" s="80"/>
      <c r="L1502" s="81"/>
      <c r="M1502" s="642"/>
      <c r="N1502" s="81"/>
      <c r="O1502" s="642"/>
      <c r="P1502" s="81"/>
      <c r="Q1502" s="80"/>
      <c r="R1502" s="81"/>
      <c r="S1502" s="81"/>
      <c r="T1502" s="81"/>
    </row>
    <row r="1503" customHeight="1" spans="1:20">
      <c r="A1503" s="80"/>
      <c r="B1503" s="81"/>
      <c r="C1503" s="642"/>
      <c r="D1503" s="81"/>
      <c r="E1503" s="81"/>
      <c r="F1503" s="81"/>
      <c r="G1503" s="81"/>
      <c r="H1503" s="81"/>
      <c r="I1503" s="80"/>
      <c r="J1503" s="81"/>
      <c r="K1503" s="80"/>
      <c r="L1503" s="81"/>
      <c r="M1503" s="642"/>
      <c r="N1503" s="81"/>
      <c r="O1503" s="642"/>
      <c r="P1503" s="81"/>
      <c r="Q1503" s="80"/>
      <c r="R1503" s="81"/>
      <c r="S1503" s="81"/>
      <c r="T1503" s="81"/>
    </row>
    <row r="1504" customHeight="1" spans="1:20">
      <c r="A1504" s="80"/>
      <c r="B1504" s="81"/>
      <c r="C1504" s="642"/>
      <c r="D1504" s="81"/>
      <c r="E1504" s="81"/>
      <c r="F1504" s="81"/>
      <c r="G1504" s="81"/>
      <c r="H1504" s="81"/>
      <c r="I1504" s="80"/>
      <c r="J1504" s="81"/>
      <c r="K1504" s="80"/>
      <c r="L1504" s="81"/>
      <c r="M1504" s="642"/>
      <c r="N1504" s="81"/>
      <c r="O1504" s="642"/>
      <c r="P1504" s="81"/>
      <c r="Q1504" s="80"/>
      <c r="R1504" s="81"/>
      <c r="S1504" s="81"/>
      <c r="T1504" s="81"/>
    </row>
    <row r="1505" customHeight="1" spans="1:20">
      <c r="A1505" s="80"/>
      <c r="B1505" s="81"/>
      <c r="C1505" s="642"/>
      <c r="D1505" s="81"/>
      <c r="E1505" s="81"/>
      <c r="F1505" s="81"/>
      <c r="G1505" s="81"/>
      <c r="H1505" s="81"/>
      <c r="I1505" s="80"/>
      <c r="J1505" s="81"/>
      <c r="K1505" s="80"/>
      <c r="L1505" s="81"/>
      <c r="M1505" s="642"/>
      <c r="N1505" s="81"/>
      <c r="O1505" s="642"/>
      <c r="P1505" s="81"/>
      <c r="Q1505" s="80"/>
      <c r="R1505" s="81"/>
      <c r="S1505" s="81"/>
      <c r="T1505" s="81"/>
    </row>
    <row r="1506" customHeight="1" spans="1:20">
      <c r="A1506" s="80"/>
      <c r="B1506" s="81"/>
      <c r="C1506" s="642"/>
      <c r="D1506" s="81"/>
      <c r="E1506" s="81"/>
      <c r="F1506" s="81"/>
      <c r="G1506" s="81"/>
      <c r="H1506" s="81"/>
      <c r="I1506" s="80"/>
      <c r="J1506" s="81"/>
      <c r="K1506" s="80"/>
      <c r="L1506" s="81"/>
      <c r="M1506" s="642"/>
      <c r="N1506" s="81"/>
      <c r="O1506" s="642"/>
      <c r="P1506" s="81"/>
      <c r="Q1506" s="80"/>
      <c r="R1506" s="81"/>
      <c r="S1506" s="81"/>
      <c r="T1506" s="81"/>
    </row>
    <row r="1507" customHeight="1" spans="1:20">
      <c r="A1507" s="80"/>
      <c r="B1507" s="81"/>
      <c r="C1507" s="642"/>
      <c r="D1507" s="81"/>
      <c r="E1507" s="81"/>
      <c r="F1507" s="81"/>
      <c r="G1507" s="81"/>
      <c r="H1507" s="81"/>
      <c r="I1507" s="80"/>
      <c r="J1507" s="81"/>
      <c r="K1507" s="80"/>
      <c r="L1507" s="81"/>
      <c r="M1507" s="642"/>
      <c r="N1507" s="81"/>
      <c r="O1507" s="642"/>
      <c r="P1507" s="81"/>
      <c r="Q1507" s="80"/>
      <c r="R1507" s="81"/>
      <c r="S1507" s="81"/>
      <c r="T1507" s="81"/>
    </row>
    <row r="1508" customHeight="1" spans="1:20">
      <c r="A1508" s="80"/>
      <c r="B1508" s="81"/>
      <c r="C1508" s="642"/>
      <c r="D1508" s="81"/>
      <c r="E1508" s="81"/>
      <c r="F1508" s="81"/>
      <c r="G1508" s="81"/>
      <c r="H1508" s="81"/>
      <c r="I1508" s="80"/>
      <c r="J1508" s="81"/>
      <c r="K1508" s="80"/>
      <c r="L1508" s="81"/>
      <c r="M1508" s="642"/>
      <c r="N1508" s="81"/>
      <c r="O1508" s="642"/>
      <c r="P1508" s="81"/>
      <c r="Q1508" s="80"/>
      <c r="R1508" s="81"/>
      <c r="S1508" s="81"/>
      <c r="T1508" s="81"/>
    </row>
    <row r="1509" customHeight="1" spans="1:20">
      <c r="A1509" s="80"/>
      <c r="B1509" s="81"/>
      <c r="C1509" s="642"/>
      <c r="D1509" s="81"/>
      <c r="E1509" s="81"/>
      <c r="F1509" s="81"/>
      <c r="G1509" s="81"/>
      <c r="H1509" s="81"/>
      <c r="I1509" s="80"/>
      <c r="J1509" s="81"/>
      <c r="K1509" s="80"/>
      <c r="L1509" s="81"/>
      <c r="M1509" s="642"/>
      <c r="N1509" s="81"/>
      <c r="O1509" s="642"/>
      <c r="P1509" s="81"/>
      <c r="Q1509" s="80"/>
      <c r="R1509" s="81"/>
      <c r="S1509" s="81"/>
      <c r="T1509" s="81"/>
    </row>
    <row r="1510" customHeight="1" spans="1:20">
      <c r="A1510" s="80"/>
      <c r="B1510" s="81"/>
      <c r="C1510" s="642"/>
      <c r="D1510" s="81"/>
      <c r="E1510" s="81"/>
      <c r="F1510" s="81"/>
      <c r="G1510" s="81"/>
      <c r="H1510" s="81"/>
      <c r="I1510" s="80"/>
      <c r="J1510" s="81"/>
      <c r="K1510" s="80"/>
      <c r="L1510" s="81"/>
      <c r="M1510" s="642"/>
      <c r="N1510" s="81"/>
      <c r="O1510" s="642"/>
      <c r="P1510" s="81"/>
      <c r="Q1510" s="80"/>
      <c r="R1510" s="81"/>
      <c r="S1510" s="81"/>
      <c r="T1510" s="81"/>
    </row>
    <row r="1511" customHeight="1" spans="1:20">
      <c r="A1511" s="80"/>
      <c r="B1511" s="81"/>
      <c r="C1511" s="642"/>
      <c r="D1511" s="81"/>
      <c r="E1511" s="81"/>
      <c r="F1511" s="81"/>
      <c r="G1511" s="81"/>
      <c r="H1511" s="81"/>
      <c r="I1511" s="80"/>
      <c r="J1511" s="81"/>
      <c r="K1511" s="80"/>
      <c r="L1511" s="81"/>
      <c r="M1511" s="642"/>
      <c r="N1511" s="81"/>
      <c r="O1511" s="642"/>
      <c r="P1511" s="81"/>
      <c r="Q1511" s="80"/>
      <c r="R1511" s="81"/>
      <c r="S1511" s="81"/>
      <c r="T1511" s="81"/>
    </row>
    <row r="1512" customHeight="1" spans="1:20">
      <c r="A1512" s="80"/>
      <c r="B1512" s="81"/>
      <c r="C1512" s="642"/>
      <c r="D1512" s="81"/>
      <c r="E1512" s="81"/>
      <c r="F1512" s="81"/>
      <c r="G1512" s="81"/>
      <c r="H1512" s="81"/>
      <c r="I1512" s="80"/>
      <c r="J1512" s="81"/>
      <c r="K1512" s="80"/>
      <c r="L1512" s="81"/>
      <c r="M1512" s="642"/>
      <c r="N1512" s="81"/>
      <c r="O1512" s="642"/>
      <c r="P1512" s="81"/>
      <c r="Q1512" s="80"/>
      <c r="R1512" s="81"/>
      <c r="S1512" s="81"/>
      <c r="T1512" s="81"/>
    </row>
    <row r="1513" customHeight="1" spans="1:20">
      <c r="A1513" s="80"/>
      <c r="B1513" s="81"/>
      <c r="C1513" s="642"/>
      <c r="D1513" s="81"/>
      <c r="E1513" s="81"/>
      <c r="F1513" s="81"/>
      <c r="G1513" s="81"/>
      <c r="H1513" s="81"/>
      <c r="I1513" s="80"/>
      <c r="J1513" s="81"/>
      <c r="K1513" s="80"/>
      <c r="L1513" s="81"/>
      <c r="M1513" s="642"/>
      <c r="N1513" s="81"/>
      <c r="O1513" s="642"/>
      <c r="P1513" s="81"/>
      <c r="Q1513" s="80"/>
      <c r="R1513" s="81"/>
      <c r="S1513" s="81"/>
      <c r="T1513" s="81"/>
    </row>
    <row r="1514" customHeight="1" spans="1:20">
      <c r="A1514" s="80"/>
      <c r="B1514" s="81"/>
      <c r="C1514" s="642"/>
      <c r="D1514" s="81"/>
      <c r="E1514" s="81"/>
      <c r="F1514" s="81"/>
      <c r="G1514" s="81"/>
      <c r="H1514" s="81"/>
      <c r="I1514" s="80"/>
      <c r="J1514" s="81"/>
      <c r="K1514" s="80"/>
      <c r="L1514" s="81"/>
      <c r="M1514" s="642"/>
      <c r="N1514" s="81"/>
      <c r="O1514" s="642"/>
      <c r="P1514" s="81"/>
      <c r="Q1514" s="80"/>
      <c r="R1514" s="81"/>
      <c r="S1514" s="81"/>
      <c r="T1514" s="81"/>
    </row>
    <row r="1515" customHeight="1" spans="1:20">
      <c r="A1515" s="80"/>
      <c r="B1515" s="81"/>
      <c r="C1515" s="642"/>
      <c r="D1515" s="81"/>
      <c r="E1515" s="81"/>
      <c r="F1515" s="81"/>
      <c r="G1515" s="81"/>
      <c r="H1515" s="81"/>
      <c r="I1515" s="80"/>
      <c r="J1515" s="81"/>
      <c r="K1515" s="80"/>
      <c r="L1515" s="81"/>
      <c r="M1515" s="642"/>
      <c r="N1515" s="81"/>
      <c r="O1515" s="642"/>
      <c r="P1515" s="81"/>
      <c r="Q1515" s="80"/>
      <c r="R1515" s="81"/>
      <c r="S1515" s="81"/>
      <c r="T1515" s="81"/>
    </row>
    <row r="1516" customHeight="1" spans="1:20">
      <c r="A1516" s="80"/>
      <c r="B1516" s="81"/>
      <c r="C1516" s="642"/>
      <c r="D1516" s="81"/>
      <c r="E1516" s="81"/>
      <c r="F1516" s="81"/>
      <c r="G1516" s="81"/>
      <c r="H1516" s="81"/>
      <c r="I1516" s="80"/>
      <c r="J1516" s="81"/>
      <c r="K1516" s="80"/>
      <c r="L1516" s="81"/>
      <c r="M1516" s="642"/>
      <c r="N1516" s="81"/>
      <c r="O1516" s="642"/>
      <c r="P1516" s="81"/>
      <c r="Q1516" s="80"/>
      <c r="R1516" s="81"/>
      <c r="S1516" s="81"/>
      <c r="T1516" s="81"/>
    </row>
    <row r="1517" customHeight="1" spans="1:20">
      <c r="A1517" s="80"/>
      <c r="B1517" s="81"/>
      <c r="C1517" s="642"/>
      <c r="D1517" s="81"/>
      <c r="E1517" s="81"/>
      <c r="F1517" s="81"/>
      <c r="G1517" s="81"/>
      <c r="H1517" s="81"/>
      <c r="I1517" s="80"/>
      <c r="J1517" s="81"/>
      <c r="K1517" s="80"/>
      <c r="L1517" s="81"/>
      <c r="M1517" s="642"/>
      <c r="N1517" s="81"/>
      <c r="O1517" s="642"/>
      <c r="P1517" s="81"/>
      <c r="Q1517" s="80"/>
      <c r="R1517" s="81"/>
      <c r="S1517" s="81"/>
      <c r="T1517" s="81"/>
    </row>
    <row r="1518" customHeight="1" spans="1:20">
      <c r="A1518" s="80"/>
      <c r="B1518" s="81"/>
      <c r="C1518" s="642"/>
      <c r="D1518" s="81"/>
      <c r="E1518" s="81"/>
      <c r="F1518" s="81"/>
      <c r="G1518" s="81"/>
      <c r="H1518" s="81"/>
      <c r="I1518" s="80"/>
      <c r="J1518" s="81"/>
      <c r="K1518" s="80"/>
      <c r="L1518" s="81"/>
      <c r="M1518" s="642"/>
      <c r="N1518" s="81"/>
      <c r="O1518" s="642"/>
      <c r="P1518" s="81"/>
      <c r="Q1518" s="80"/>
      <c r="R1518" s="81"/>
      <c r="S1518" s="81"/>
      <c r="T1518" s="81"/>
    </row>
    <row r="1519" customHeight="1" spans="1:20">
      <c r="A1519" s="80"/>
      <c r="B1519" s="81"/>
      <c r="C1519" s="642"/>
      <c r="D1519" s="81"/>
      <c r="E1519" s="81"/>
      <c r="F1519" s="81"/>
      <c r="G1519" s="81"/>
      <c r="H1519" s="81"/>
      <c r="I1519" s="80"/>
      <c r="J1519" s="81"/>
      <c r="K1519" s="80"/>
      <c r="L1519" s="81"/>
      <c r="M1519" s="642"/>
      <c r="N1519" s="81"/>
      <c r="O1519" s="642"/>
      <c r="P1519" s="81"/>
      <c r="Q1519" s="80"/>
      <c r="R1519" s="81"/>
      <c r="S1519" s="81"/>
      <c r="T1519" s="81"/>
    </row>
    <row r="1520" customHeight="1" spans="1:20">
      <c r="A1520" s="80"/>
      <c r="B1520" s="81"/>
      <c r="C1520" s="642"/>
      <c r="D1520" s="81"/>
      <c r="E1520" s="81"/>
      <c r="F1520" s="81"/>
      <c r="G1520" s="81"/>
      <c r="H1520" s="81"/>
      <c r="I1520" s="80"/>
      <c r="J1520" s="81"/>
      <c r="K1520" s="80"/>
      <c r="L1520" s="81"/>
      <c r="M1520" s="642"/>
      <c r="N1520" s="81"/>
      <c r="O1520" s="642"/>
      <c r="P1520" s="81"/>
      <c r="Q1520" s="80"/>
      <c r="R1520" s="81"/>
      <c r="S1520" s="81"/>
      <c r="T1520" s="81"/>
    </row>
    <row r="1521" customHeight="1" spans="1:20">
      <c r="A1521" s="80"/>
      <c r="B1521" s="81"/>
      <c r="C1521" s="642"/>
      <c r="D1521" s="81"/>
      <c r="E1521" s="81"/>
      <c r="F1521" s="81"/>
      <c r="G1521" s="81"/>
      <c r="H1521" s="81"/>
      <c r="I1521" s="80"/>
      <c r="J1521" s="81"/>
      <c r="K1521" s="80"/>
      <c r="L1521" s="81"/>
      <c r="M1521" s="642"/>
      <c r="N1521" s="81"/>
      <c r="O1521" s="642"/>
      <c r="P1521" s="81"/>
      <c r="Q1521" s="80"/>
      <c r="R1521" s="81"/>
      <c r="S1521" s="81"/>
      <c r="T1521" s="81"/>
    </row>
    <row r="1522" customHeight="1" spans="1:20">
      <c r="A1522" s="80"/>
      <c r="B1522" s="81"/>
      <c r="C1522" s="642"/>
      <c r="D1522" s="81"/>
      <c r="E1522" s="81"/>
      <c r="F1522" s="81"/>
      <c r="G1522" s="81"/>
      <c r="H1522" s="81"/>
      <c r="I1522" s="80"/>
      <c r="J1522" s="81"/>
      <c r="K1522" s="80"/>
      <c r="L1522" s="81"/>
      <c r="M1522" s="642"/>
      <c r="N1522" s="81"/>
      <c r="O1522" s="642"/>
      <c r="P1522" s="81"/>
      <c r="Q1522" s="80"/>
      <c r="R1522" s="81"/>
      <c r="S1522" s="81"/>
      <c r="T1522" s="81"/>
    </row>
    <row r="1523" customHeight="1" spans="1:20">
      <c r="A1523" s="80"/>
      <c r="B1523" s="81"/>
      <c r="C1523" s="642"/>
      <c r="D1523" s="81"/>
      <c r="E1523" s="81"/>
      <c r="F1523" s="81"/>
      <c r="G1523" s="81"/>
      <c r="H1523" s="81"/>
      <c r="I1523" s="80"/>
      <c r="J1523" s="81"/>
      <c r="K1523" s="80"/>
      <c r="L1523" s="81"/>
      <c r="M1523" s="642"/>
      <c r="N1523" s="81"/>
      <c r="O1523" s="642"/>
      <c r="P1523" s="81"/>
      <c r="Q1523" s="80"/>
      <c r="R1523" s="81"/>
      <c r="S1523" s="81"/>
      <c r="T1523" s="81"/>
    </row>
    <row r="1524" customHeight="1" spans="1:20">
      <c r="A1524" s="80"/>
      <c r="B1524" s="81"/>
      <c r="C1524" s="642"/>
      <c r="D1524" s="81"/>
      <c r="E1524" s="81"/>
      <c r="F1524" s="81"/>
      <c r="G1524" s="81"/>
      <c r="H1524" s="81"/>
      <c r="I1524" s="80"/>
      <c r="J1524" s="81"/>
      <c r="K1524" s="80"/>
      <c r="L1524" s="81"/>
      <c r="M1524" s="642"/>
      <c r="N1524" s="81"/>
      <c r="O1524" s="642"/>
      <c r="P1524" s="81"/>
      <c r="Q1524" s="80"/>
      <c r="R1524" s="81"/>
      <c r="S1524" s="81"/>
      <c r="T1524" s="81"/>
    </row>
    <row r="1525" customHeight="1" spans="1:20">
      <c r="A1525" s="80"/>
      <c r="B1525" s="81"/>
      <c r="C1525" s="642"/>
      <c r="D1525" s="81"/>
      <c r="E1525" s="81"/>
      <c r="F1525" s="81"/>
      <c r="G1525" s="81"/>
      <c r="H1525" s="81"/>
      <c r="I1525" s="80"/>
      <c r="J1525" s="81"/>
      <c r="K1525" s="80"/>
      <c r="L1525" s="81"/>
      <c r="M1525" s="642"/>
      <c r="N1525" s="81"/>
      <c r="O1525" s="642"/>
      <c r="P1525" s="81"/>
      <c r="Q1525" s="80"/>
      <c r="R1525" s="81"/>
      <c r="S1525" s="81"/>
      <c r="T1525" s="81"/>
    </row>
    <row r="1526" customHeight="1" spans="1:20">
      <c r="A1526" s="80"/>
      <c r="B1526" s="81"/>
      <c r="C1526" s="642"/>
      <c r="D1526" s="81"/>
      <c r="E1526" s="81"/>
      <c r="F1526" s="81"/>
      <c r="G1526" s="81"/>
      <c r="H1526" s="81"/>
      <c r="I1526" s="80"/>
      <c r="J1526" s="81"/>
      <c r="K1526" s="80"/>
      <c r="L1526" s="81"/>
      <c r="M1526" s="642"/>
      <c r="N1526" s="81"/>
      <c r="O1526" s="642"/>
      <c r="P1526" s="81"/>
      <c r="Q1526" s="80"/>
      <c r="R1526" s="81"/>
      <c r="S1526" s="81"/>
      <c r="T1526" s="81"/>
    </row>
    <row r="1527" customHeight="1" spans="1:20">
      <c r="A1527" s="80"/>
      <c r="B1527" s="81"/>
      <c r="C1527" s="642"/>
      <c r="D1527" s="81"/>
      <c r="E1527" s="81"/>
      <c r="F1527" s="81"/>
      <c r="G1527" s="81"/>
      <c r="H1527" s="81"/>
      <c r="I1527" s="80"/>
      <c r="J1527" s="81"/>
      <c r="K1527" s="80"/>
      <c r="L1527" s="81"/>
      <c r="M1527" s="642"/>
      <c r="N1527" s="81"/>
      <c r="O1527" s="642"/>
      <c r="P1527" s="81"/>
      <c r="Q1527" s="80"/>
      <c r="R1527" s="81"/>
      <c r="S1527" s="81"/>
      <c r="T1527" s="81"/>
    </row>
    <row r="1528" customHeight="1" spans="1:20">
      <c r="A1528" s="80"/>
      <c r="B1528" s="81"/>
      <c r="C1528" s="642"/>
      <c r="D1528" s="81"/>
      <c r="E1528" s="81"/>
      <c r="F1528" s="81"/>
      <c r="G1528" s="81"/>
      <c r="H1528" s="81"/>
      <c r="I1528" s="80"/>
      <c r="J1528" s="81"/>
      <c r="K1528" s="80"/>
      <c r="L1528" s="81"/>
      <c r="M1528" s="642"/>
      <c r="N1528" s="81"/>
      <c r="O1528" s="642"/>
      <c r="P1528" s="81"/>
      <c r="Q1528" s="80"/>
      <c r="R1528" s="81"/>
      <c r="S1528" s="81"/>
      <c r="T1528" s="81"/>
    </row>
    <row r="1529" customHeight="1" spans="1:20">
      <c r="A1529" s="80"/>
      <c r="B1529" s="81"/>
      <c r="C1529" s="642"/>
      <c r="D1529" s="81"/>
      <c r="E1529" s="81"/>
      <c r="F1529" s="81"/>
      <c r="G1529" s="81"/>
      <c r="H1529" s="81"/>
      <c r="I1529" s="80"/>
      <c r="J1529" s="81"/>
      <c r="K1529" s="80"/>
      <c r="L1529" s="81"/>
      <c r="M1529" s="642"/>
      <c r="N1529" s="81"/>
      <c r="O1529" s="642"/>
      <c r="P1529" s="81"/>
      <c r="Q1529" s="80"/>
      <c r="R1529" s="81"/>
      <c r="S1529" s="81"/>
      <c r="T1529" s="81"/>
    </row>
    <row r="1530" customHeight="1" spans="1:20">
      <c r="A1530" s="80"/>
      <c r="B1530" s="81"/>
      <c r="C1530" s="642"/>
      <c r="D1530" s="81"/>
      <c r="E1530" s="81"/>
      <c r="F1530" s="81"/>
      <c r="G1530" s="81"/>
      <c r="H1530" s="81"/>
      <c r="I1530" s="80"/>
      <c r="J1530" s="81"/>
      <c r="K1530" s="80"/>
      <c r="L1530" s="81"/>
      <c r="M1530" s="642"/>
      <c r="N1530" s="81"/>
      <c r="O1530" s="642"/>
      <c r="P1530" s="81"/>
      <c r="Q1530" s="80"/>
      <c r="R1530" s="81"/>
      <c r="S1530" s="81"/>
      <c r="T1530" s="81"/>
    </row>
    <row r="1531" customHeight="1" spans="1:20">
      <c r="A1531" s="80"/>
      <c r="B1531" s="81"/>
      <c r="C1531" s="642"/>
      <c r="D1531" s="81"/>
      <c r="E1531" s="81"/>
      <c r="F1531" s="81"/>
      <c r="G1531" s="81"/>
      <c r="H1531" s="81"/>
      <c r="I1531" s="80"/>
      <c r="J1531" s="81"/>
      <c r="K1531" s="80"/>
      <c r="L1531" s="81"/>
      <c r="M1531" s="642"/>
      <c r="N1531" s="81"/>
      <c r="O1531" s="642"/>
      <c r="P1531" s="81"/>
      <c r="Q1531" s="80"/>
      <c r="R1531" s="81"/>
      <c r="S1531" s="81"/>
      <c r="T1531" s="81"/>
    </row>
    <row r="1532" customHeight="1" spans="1:20">
      <c r="A1532" s="80"/>
      <c r="B1532" s="81"/>
      <c r="C1532" s="642"/>
      <c r="D1532" s="81"/>
      <c r="E1532" s="81"/>
      <c r="F1532" s="81"/>
      <c r="G1532" s="81"/>
      <c r="H1532" s="81"/>
      <c r="I1532" s="80"/>
      <c r="J1532" s="81"/>
      <c r="K1532" s="80"/>
      <c r="L1532" s="81"/>
      <c r="M1532" s="642"/>
      <c r="N1532" s="81"/>
      <c r="O1532" s="642"/>
      <c r="P1532" s="81"/>
      <c r="Q1532" s="80"/>
      <c r="R1532" s="81"/>
      <c r="S1532" s="81"/>
      <c r="T1532" s="81"/>
    </row>
    <row r="1533" customHeight="1" spans="1:20">
      <c r="A1533" s="80"/>
      <c r="B1533" s="81"/>
      <c r="C1533" s="642"/>
      <c r="D1533" s="81"/>
      <c r="E1533" s="81"/>
      <c r="F1533" s="81"/>
      <c r="G1533" s="81"/>
      <c r="H1533" s="81"/>
      <c r="I1533" s="80"/>
      <c r="J1533" s="81"/>
      <c r="K1533" s="80"/>
      <c r="L1533" s="81"/>
      <c r="M1533" s="642"/>
      <c r="N1533" s="81"/>
      <c r="O1533" s="642"/>
      <c r="P1533" s="81"/>
      <c r="Q1533" s="80"/>
      <c r="R1533" s="81"/>
      <c r="S1533" s="81"/>
      <c r="T1533" s="81"/>
    </row>
    <row r="1534" customHeight="1" spans="1:20">
      <c r="A1534" s="80"/>
      <c r="B1534" s="81"/>
      <c r="C1534" s="642"/>
      <c r="D1534" s="81"/>
      <c r="E1534" s="81"/>
      <c r="F1534" s="81"/>
      <c r="G1534" s="81"/>
      <c r="H1534" s="81"/>
      <c r="I1534" s="80"/>
      <c r="J1534" s="81"/>
      <c r="K1534" s="80"/>
      <c r="L1534" s="81"/>
      <c r="M1534" s="642"/>
      <c r="N1534" s="81"/>
      <c r="O1534" s="642"/>
      <c r="P1534" s="81"/>
      <c r="Q1534" s="80"/>
      <c r="R1534" s="81"/>
      <c r="S1534" s="81"/>
      <c r="T1534" s="81"/>
    </row>
    <row r="1535" customHeight="1" spans="1:20">
      <c r="A1535" s="80"/>
      <c r="B1535" s="81"/>
      <c r="C1535" s="642"/>
      <c r="D1535" s="81"/>
      <c r="E1535" s="81"/>
      <c r="F1535" s="81"/>
      <c r="G1535" s="81"/>
      <c r="H1535" s="81"/>
      <c r="I1535" s="80"/>
      <c r="J1535" s="81"/>
      <c r="K1535" s="80"/>
      <c r="L1535" s="81"/>
      <c r="M1535" s="642"/>
      <c r="N1535" s="81"/>
      <c r="O1535" s="642"/>
      <c r="P1535" s="81"/>
      <c r="Q1535" s="80"/>
      <c r="R1535" s="81"/>
      <c r="S1535" s="81"/>
      <c r="T1535" s="81"/>
    </row>
    <row r="1536" customHeight="1" spans="1:20">
      <c r="A1536" s="80"/>
      <c r="B1536" s="81"/>
      <c r="C1536" s="642"/>
      <c r="D1536" s="81"/>
      <c r="E1536" s="81"/>
      <c r="F1536" s="81"/>
      <c r="G1536" s="81"/>
      <c r="H1536" s="81"/>
      <c r="I1536" s="80"/>
      <c r="J1536" s="81"/>
      <c r="K1536" s="80"/>
      <c r="L1536" s="81"/>
      <c r="M1536" s="642"/>
      <c r="N1536" s="81"/>
      <c r="O1536" s="642"/>
      <c r="P1536" s="81"/>
      <c r="Q1536" s="80"/>
      <c r="R1536" s="81"/>
      <c r="S1536" s="81"/>
      <c r="T1536" s="81"/>
    </row>
    <row r="1537" customHeight="1" spans="1:20">
      <c r="A1537" s="80"/>
      <c r="B1537" s="81"/>
      <c r="C1537" s="642"/>
      <c r="D1537" s="81"/>
      <c r="E1537" s="81"/>
      <c r="F1537" s="81"/>
      <c r="G1537" s="81"/>
      <c r="H1537" s="81"/>
      <c r="I1537" s="80"/>
      <c r="J1537" s="81"/>
      <c r="K1537" s="80"/>
      <c r="L1537" s="81"/>
      <c r="M1537" s="642"/>
      <c r="N1537" s="81"/>
      <c r="O1537" s="642"/>
      <c r="P1537" s="81"/>
      <c r="Q1537" s="80"/>
      <c r="R1537" s="81"/>
      <c r="S1537" s="81"/>
      <c r="T1537" s="81"/>
    </row>
    <row r="1538" customHeight="1" spans="1:20">
      <c r="A1538" s="80"/>
      <c r="B1538" s="81"/>
      <c r="C1538" s="642"/>
      <c r="D1538" s="81"/>
      <c r="E1538" s="81"/>
      <c r="F1538" s="81"/>
      <c r="G1538" s="81"/>
      <c r="H1538" s="81"/>
      <c r="I1538" s="80"/>
      <c r="J1538" s="81"/>
      <c r="K1538" s="80"/>
      <c r="L1538" s="81"/>
      <c r="M1538" s="642"/>
      <c r="N1538" s="81"/>
      <c r="O1538" s="642"/>
      <c r="P1538" s="81"/>
      <c r="Q1538" s="80"/>
      <c r="R1538" s="81"/>
      <c r="S1538" s="81"/>
      <c r="T1538" s="81"/>
    </row>
    <row r="1539" customHeight="1" spans="1:20">
      <c r="A1539" s="80"/>
      <c r="B1539" s="81"/>
      <c r="C1539" s="642"/>
      <c r="D1539" s="81"/>
      <c r="E1539" s="81"/>
      <c r="F1539" s="81"/>
      <c r="G1539" s="81"/>
      <c r="H1539" s="81"/>
      <c r="I1539" s="80"/>
      <c r="J1539" s="81"/>
      <c r="K1539" s="80"/>
      <c r="L1539" s="81"/>
      <c r="M1539" s="642"/>
      <c r="N1539" s="81"/>
      <c r="O1539" s="642"/>
      <c r="P1539" s="81"/>
      <c r="Q1539" s="80"/>
      <c r="R1539" s="81"/>
      <c r="S1539" s="81"/>
      <c r="T1539" s="81"/>
    </row>
    <row r="1540" customHeight="1" spans="1:20">
      <c r="A1540" s="80"/>
      <c r="B1540" s="81"/>
      <c r="C1540" s="642"/>
      <c r="D1540" s="81"/>
      <c r="E1540" s="81"/>
      <c r="F1540" s="81"/>
      <c r="G1540" s="81"/>
      <c r="H1540" s="81"/>
      <c r="I1540" s="80"/>
      <c r="J1540" s="81"/>
      <c r="K1540" s="80"/>
      <c r="L1540" s="81"/>
      <c r="M1540" s="642"/>
      <c r="N1540" s="81"/>
      <c r="O1540" s="642"/>
      <c r="P1540" s="81"/>
      <c r="Q1540" s="80"/>
      <c r="R1540" s="81"/>
      <c r="S1540" s="81"/>
      <c r="T1540" s="81"/>
    </row>
    <row r="1541" customHeight="1" spans="1:20">
      <c r="A1541" s="80"/>
      <c r="B1541" s="81"/>
      <c r="C1541" s="642"/>
      <c r="D1541" s="81"/>
      <c r="E1541" s="81"/>
      <c r="F1541" s="81"/>
      <c r="G1541" s="81"/>
      <c r="H1541" s="81"/>
      <c r="I1541" s="80"/>
      <c r="J1541" s="81"/>
      <c r="K1541" s="80"/>
      <c r="L1541" s="81"/>
      <c r="M1541" s="642"/>
      <c r="N1541" s="81"/>
      <c r="O1541" s="642"/>
      <c r="P1541" s="81"/>
      <c r="Q1541" s="80"/>
      <c r="R1541" s="81"/>
      <c r="S1541" s="81"/>
      <c r="T1541" s="81"/>
    </row>
    <row r="1542" customHeight="1" spans="1:20">
      <c r="A1542" s="80"/>
      <c r="B1542" s="81"/>
      <c r="C1542" s="642"/>
      <c r="D1542" s="81"/>
      <c r="E1542" s="81"/>
      <c r="F1542" s="81"/>
      <c r="G1542" s="81"/>
      <c r="H1542" s="81"/>
      <c r="I1542" s="80"/>
      <c r="J1542" s="81"/>
      <c r="K1542" s="80"/>
      <c r="L1542" s="81"/>
      <c r="M1542" s="642"/>
      <c r="N1542" s="81"/>
      <c r="O1542" s="642"/>
      <c r="P1542" s="81"/>
      <c r="Q1542" s="80"/>
      <c r="R1542" s="81"/>
      <c r="S1542" s="81"/>
      <c r="T1542" s="81"/>
    </row>
    <row r="1543" customHeight="1" spans="1:20">
      <c r="A1543" s="80"/>
      <c r="B1543" s="81"/>
      <c r="C1543" s="642"/>
      <c r="D1543" s="81"/>
      <c r="E1543" s="81"/>
      <c r="F1543" s="81"/>
      <c r="G1543" s="81"/>
      <c r="H1543" s="81"/>
      <c r="I1543" s="80"/>
      <c r="J1543" s="81"/>
      <c r="K1543" s="80"/>
      <c r="L1543" s="81"/>
      <c r="M1543" s="642"/>
      <c r="N1543" s="81"/>
      <c r="O1543" s="642"/>
      <c r="P1543" s="81"/>
      <c r="Q1543" s="80"/>
      <c r="R1543" s="81"/>
      <c r="S1543" s="81"/>
      <c r="T1543" s="81"/>
    </row>
    <row r="1544" customHeight="1" spans="1:20">
      <c r="A1544" s="80"/>
      <c r="B1544" s="81"/>
      <c r="C1544" s="642"/>
      <c r="D1544" s="81"/>
      <c r="E1544" s="81"/>
      <c r="F1544" s="81"/>
      <c r="G1544" s="81"/>
      <c r="H1544" s="81"/>
      <c r="I1544" s="80"/>
      <c r="J1544" s="81"/>
      <c r="K1544" s="80"/>
      <c r="L1544" s="81"/>
      <c r="M1544" s="642"/>
      <c r="N1544" s="81"/>
      <c r="O1544" s="642"/>
      <c r="P1544" s="81"/>
      <c r="Q1544" s="80"/>
      <c r="R1544" s="81"/>
      <c r="S1544" s="81"/>
      <c r="T1544" s="81"/>
    </row>
    <row r="1545" customHeight="1" spans="1:20">
      <c r="A1545" s="80"/>
      <c r="B1545" s="81"/>
      <c r="C1545" s="642"/>
      <c r="D1545" s="81"/>
      <c r="E1545" s="81"/>
      <c r="F1545" s="81"/>
      <c r="G1545" s="81"/>
      <c r="H1545" s="81"/>
      <c r="I1545" s="80"/>
      <c r="J1545" s="81"/>
      <c r="K1545" s="80"/>
      <c r="L1545" s="81"/>
      <c r="M1545" s="642"/>
      <c r="N1545" s="81"/>
      <c r="O1545" s="642"/>
      <c r="P1545" s="81"/>
      <c r="Q1545" s="80"/>
      <c r="R1545" s="81"/>
      <c r="S1545" s="81"/>
      <c r="T1545" s="81"/>
    </row>
    <row r="1546" customHeight="1" spans="1:20">
      <c r="A1546" s="80"/>
      <c r="B1546" s="81"/>
      <c r="C1546" s="642"/>
      <c r="D1546" s="81"/>
      <c r="E1546" s="81"/>
      <c r="F1546" s="81"/>
      <c r="G1546" s="81"/>
      <c r="H1546" s="81"/>
      <c r="I1546" s="80"/>
      <c r="J1546" s="81"/>
      <c r="K1546" s="80"/>
      <c r="L1546" s="81"/>
      <c r="M1546" s="642"/>
      <c r="N1546" s="81"/>
      <c r="O1546" s="642"/>
      <c r="P1546" s="81"/>
      <c r="Q1546" s="80"/>
      <c r="R1546" s="81"/>
      <c r="S1546" s="81"/>
      <c r="T1546" s="81"/>
    </row>
    <row r="1547" customHeight="1" spans="1:20">
      <c r="A1547" s="80"/>
      <c r="B1547" s="81"/>
      <c r="C1547" s="642"/>
      <c r="D1547" s="81"/>
      <c r="E1547" s="81"/>
      <c r="F1547" s="81"/>
      <c r="G1547" s="81"/>
      <c r="H1547" s="81"/>
      <c r="I1547" s="80"/>
      <c r="J1547" s="81"/>
      <c r="K1547" s="80"/>
      <c r="L1547" s="81"/>
      <c r="M1547" s="642"/>
      <c r="N1547" s="81"/>
      <c r="O1547" s="642"/>
      <c r="P1547" s="81"/>
      <c r="Q1547" s="80"/>
      <c r="R1547" s="81"/>
      <c r="S1547" s="81"/>
      <c r="T1547" s="81"/>
    </row>
    <row r="1548" customHeight="1" spans="1:20">
      <c r="A1548" s="80"/>
      <c r="B1548" s="81"/>
      <c r="C1548" s="642"/>
      <c r="D1548" s="81"/>
      <c r="E1548" s="81"/>
      <c r="F1548" s="81"/>
      <c r="G1548" s="81"/>
      <c r="H1548" s="81"/>
      <c r="I1548" s="80"/>
      <c r="J1548" s="81"/>
      <c r="K1548" s="80"/>
      <c r="L1548" s="81"/>
      <c r="M1548" s="642"/>
      <c r="N1548" s="81"/>
      <c r="O1548" s="642"/>
      <c r="P1548" s="81"/>
      <c r="Q1548" s="80"/>
      <c r="R1548" s="81"/>
      <c r="S1548" s="81"/>
      <c r="T1548" s="81"/>
    </row>
    <row r="1549" customHeight="1" spans="1:20">
      <c r="A1549" s="80"/>
      <c r="B1549" s="81"/>
      <c r="C1549" s="642"/>
      <c r="D1549" s="81"/>
      <c r="E1549" s="81"/>
      <c r="F1549" s="81"/>
      <c r="G1549" s="81"/>
      <c r="H1549" s="81"/>
      <c r="I1549" s="80"/>
      <c r="J1549" s="81"/>
      <c r="K1549" s="80"/>
      <c r="L1549" s="81"/>
      <c r="M1549" s="642"/>
      <c r="N1549" s="81"/>
      <c r="O1549" s="642"/>
      <c r="P1549" s="81"/>
      <c r="Q1549" s="80"/>
      <c r="R1549" s="81"/>
      <c r="S1549" s="81"/>
      <c r="T1549" s="81"/>
    </row>
    <row r="1550" customHeight="1" spans="1:20">
      <c r="A1550" s="80"/>
      <c r="B1550" s="81"/>
      <c r="C1550" s="642"/>
      <c r="D1550" s="81"/>
      <c r="E1550" s="81"/>
      <c r="F1550" s="81"/>
      <c r="G1550" s="81"/>
      <c r="H1550" s="81"/>
      <c r="I1550" s="80"/>
      <c r="J1550" s="81"/>
      <c r="K1550" s="80"/>
      <c r="L1550" s="81"/>
      <c r="M1550" s="642"/>
      <c r="N1550" s="81"/>
      <c r="O1550" s="642"/>
      <c r="P1550" s="81"/>
      <c r="Q1550" s="80"/>
      <c r="R1550" s="81"/>
      <c r="S1550" s="81"/>
      <c r="T1550" s="81"/>
    </row>
    <row r="1551" customHeight="1" spans="1:20">
      <c r="A1551" s="80"/>
      <c r="B1551" s="81"/>
      <c r="C1551" s="642"/>
      <c r="D1551" s="81"/>
      <c r="E1551" s="81"/>
      <c r="F1551" s="81"/>
      <c r="G1551" s="81"/>
      <c r="H1551" s="81"/>
      <c r="I1551" s="80"/>
      <c r="J1551" s="81"/>
      <c r="K1551" s="80"/>
      <c r="L1551" s="81"/>
      <c r="M1551" s="642"/>
      <c r="N1551" s="81"/>
      <c r="O1551" s="642"/>
      <c r="P1551" s="81"/>
      <c r="Q1551" s="80"/>
      <c r="R1551" s="81"/>
      <c r="S1551" s="81"/>
      <c r="T1551" s="81"/>
    </row>
    <row r="1552" customHeight="1" spans="1:20">
      <c r="A1552" s="80"/>
      <c r="B1552" s="81"/>
      <c r="C1552" s="642"/>
      <c r="D1552" s="81"/>
      <c r="E1552" s="81"/>
      <c r="F1552" s="81"/>
      <c r="G1552" s="81"/>
      <c r="H1552" s="81"/>
      <c r="I1552" s="80"/>
      <c r="J1552" s="81"/>
      <c r="K1552" s="80"/>
      <c r="L1552" s="81"/>
      <c r="M1552" s="642"/>
      <c r="N1552" s="81"/>
      <c r="O1552" s="642"/>
      <c r="P1552" s="81"/>
      <c r="Q1552" s="80"/>
      <c r="R1552" s="81"/>
      <c r="S1552" s="81"/>
      <c r="T1552" s="81"/>
    </row>
    <row r="1553" customHeight="1" spans="1:20">
      <c r="A1553" s="80"/>
      <c r="B1553" s="81"/>
      <c r="C1553" s="642"/>
      <c r="D1553" s="81"/>
      <c r="E1553" s="81"/>
      <c r="F1553" s="81"/>
      <c r="G1553" s="81"/>
      <c r="H1553" s="81"/>
      <c r="I1553" s="80"/>
      <c r="J1553" s="81"/>
      <c r="K1553" s="80"/>
      <c r="L1553" s="81"/>
      <c r="M1553" s="642"/>
      <c r="N1553" s="81"/>
      <c r="O1553" s="642"/>
      <c r="P1553" s="81"/>
      <c r="Q1553" s="80"/>
      <c r="R1553" s="81"/>
      <c r="S1553" s="81"/>
      <c r="T1553" s="81"/>
    </row>
    <row r="1554" customHeight="1" spans="1:20">
      <c r="A1554" s="80"/>
      <c r="B1554" s="81"/>
      <c r="C1554" s="642"/>
      <c r="D1554" s="81"/>
      <c r="E1554" s="81"/>
      <c r="F1554" s="81"/>
      <c r="G1554" s="81"/>
      <c r="H1554" s="81"/>
      <c r="I1554" s="80"/>
      <c r="J1554" s="81"/>
      <c r="K1554" s="80"/>
      <c r="L1554" s="81"/>
      <c r="M1554" s="642"/>
      <c r="N1554" s="81"/>
      <c r="O1554" s="642"/>
      <c r="P1554" s="81"/>
      <c r="Q1554" s="80"/>
      <c r="R1554" s="81"/>
      <c r="S1554" s="81"/>
      <c r="T1554" s="81"/>
    </row>
    <row r="1555" customHeight="1" spans="1:20">
      <c r="A1555" s="80"/>
      <c r="B1555" s="81"/>
      <c r="C1555" s="642"/>
      <c r="D1555" s="81"/>
      <c r="E1555" s="81"/>
      <c r="F1555" s="81"/>
      <c r="G1555" s="81"/>
      <c r="H1555" s="81"/>
      <c r="I1555" s="80"/>
      <c r="J1555" s="81"/>
      <c r="K1555" s="80"/>
      <c r="L1555" s="81"/>
      <c r="M1555" s="642"/>
      <c r="N1555" s="81"/>
      <c r="O1555" s="642"/>
      <c r="P1555" s="81"/>
      <c r="Q1555" s="80"/>
      <c r="R1555" s="81"/>
      <c r="S1555" s="81"/>
      <c r="T1555" s="81"/>
    </row>
    <row r="1556" customHeight="1" spans="1:20">
      <c r="A1556" s="80"/>
      <c r="B1556" s="81"/>
      <c r="C1556" s="642"/>
      <c r="D1556" s="81"/>
      <c r="E1556" s="81"/>
      <c r="F1556" s="81"/>
      <c r="G1556" s="81"/>
      <c r="H1556" s="81"/>
      <c r="I1556" s="80"/>
      <c r="J1556" s="81"/>
      <c r="K1556" s="80"/>
      <c r="L1556" s="81"/>
      <c r="M1556" s="642"/>
      <c r="N1556" s="81"/>
      <c r="O1556" s="642"/>
      <c r="P1556" s="81"/>
      <c r="Q1556" s="80"/>
      <c r="R1556" s="81"/>
      <c r="S1556" s="81"/>
      <c r="T1556" s="81"/>
    </row>
    <row r="1557" customHeight="1" spans="1:20">
      <c r="A1557" s="80"/>
      <c r="B1557" s="81"/>
      <c r="C1557" s="642"/>
      <c r="D1557" s="81"/>
      <c r="E1557" s="81"/>
      <c r="F1557" s="81"/>
      <c r="G1557" s="81"/>
      <c r="H1557" s="81"/>
      <c r="I1557" s="80"/>
      <c r="J1557" s="81"/>
      <c r="K1557" s="80"/>
      <c r="L1557" s="81"/>
      <c r="M1557" s="642"/>
      <c r="N1557" s="81"/>
      <c r="O1557" s="642"/>
      <c r="P1557" s="81"/>
      <c r="Q1557" s="80"/>
      <c r="R1557" s="81"/>
      <c r="S1557" s="81"/>
      <c r="T1557" s="81"/>
    </row>
    <row r="1558" customHeight="1" spans="1:20">
      <c r="A1558" s="80"/>
      <c r="B1558" s="81"/>
      <c r="C1558" s="642"/>
      <c r="D1558" s="81"/>
      <c r="E1558" s="81"/>
      <c r="F1558" s="81"/>
      <c r="G1558" s="81"/>
      <c r="H1558" s="81"/>
      <c r="I1558" s="80"/>
      <c r="J1558" s="81"/>
      <c r="K1558" s="80"/>
      <c r="L1558" s="81"/>
      <c r="M1558" s="642"/>
      <c r="N1558" s="81"/>
      <c r="O1558" s="642"/>
      <c r="P1558" s="81"/>
      <c r="Q1558" s="80"/>
      <c r="R1558" s="81"/>
      <c r="S1558" s="81"/>
      <c r="T1558" s="81"/>
    </row>
    <row r="1559" customHeight="1" spans="1:20">
      <c r="A1559" s="80"/>
      <c r="B1559" s="81"/>
      <c r="C1559" s="642"/>
      <c r="D1559" s="81"/>
      <c r="E1559" s="81"/>
      <c r="F1559" s="81"/>
      <c r="G1559" s="81"/>
      <c r="H1559" s="81"/>
      <c r="I1559" s="80"/>
      <c r="J1559" s="81"/>
      <c r="K1559" s="80"/>
      <c r="L1559" s="81"/>
      <c r="M1559" s="642"/>
      <c r="N1559" s="81"/>
      <c r="O1559" s="642"/>
      <c r="P1559" s="81"/>
      <c r="Q1559" s="80"/>
      <c r="R1559" s="81"/>
      <c r="S1559" s="81"/>
      <c r="T1559" s="81"/>
    </row>
    <row r="1560" customHeight="1" spans="1:20">
      <c r="A1560" s="80"/>
      <c r="B1560" s="81"/>
      <c r="C1560" s="642"/>
      <c r="D1560" s="81"/>
      <c r="E1560" s="81"/>
      <c r="F1560" s="81"/>
      <c r="G1560" s="81"/>
      <c r="H1560" s="81"/>
      <c r="I1560" s="80"/>
      <c r="J1560" s="81"/>
      <c r="K1560" s="80"/>
      <c r="L1560" s="81"/>
      <c r="M1560" s="642"/>
      <c r="N1560" s="81"/>
      <c r="O1560" s="642"/>
      <c r="P1560" s="81"/>
      <c r="Q1560" s="80"/>
      <c r="R1560" s="81"/>
      <c r="S1560" s="81"/>
      <c r="T1560" s="81"/>
    </row>
    <row r="1561" customHeight="1" spans="1:20">
      <c r="A1561" s="80"/>
      <c r="B1561" s="81"/>
      <c r="C1561" s="642"/>
      <c r="D1561" s="81"/>
      <c r="E1561" s="81"/>
      <c r="F1561" s="81"/>
      <c r="G1561" s="81"/>
      <c r="H1561" s="81"/>
      <c r="I1561" s="80"/>
      <c r="J1561" s="81"/>
      <c r="K1561" s="80"/>
      <c r="L1561" s="81"/>
      <c r="M1561" s="642"/>
      <c r="N1561" s="81"/>
      <c r="O1561" s="642"/>
      <c r="P1561" s="81"/>
      <c r="Q1561" s="80"/>
      <c r="R1561" s="81"/>
      <c r="S1561" s="81"/>
      <c r="T1561" s="81"/>
    </row>
    <row r="1562" customHeight="1" spans="1:20">
      <c r="A1562" s="80"/>
      <c r="B1562" s="81"/>
      <c r="C1562" s="642"/>
      <c r="D1562" s="81"/>
      <c r="E1562" s="81"/>
      <c r="F1562" s="81"/>
      <c r="G1562" s="81"/>
      <c r="H1562" s="81"/>
      <c r="I1562" s="80"/>
      <c r="J1562" s="81"/>
      <c r="K1562" s="80"/>
      <c r="L1562" s="81"/>
      <c r="M1562" s="642"/>
      <c r="N1562" s="81"/>
      <c r="O1562" s="642"/>
      <c r="P1562" s="81"/>
      <c r="Q1562" s="80"/>
      <c r="R1562" s="81"/>
      <c r="S1562" s="81"/>
      <c r="T1562" s="81"/>
    </row>
    <row r="1563" customHeight="1" spans="1:20">
      <c r="A1563" s="80"/>
      <c r="B1563" s="81"/>
      <c r="C1563" s="642"/>
      <c r="D1563" s="81"/>
      <c r="E1563" s="81"/>
      <c r="F1563" s="81"/>
      <c r="G1563" s="81"/>
      <c r="H1563" s="81"/>
      <c r="I1563" s="80"/>
      <c r="J1563" s="81"/>
      <c r="K1563" s="80"/>
      <c r="L1563" s="81"/>
      <c r="M1563" s="642"/>
      <c r="N1563" s="81"/>
      <c r="O1563" s="642"/>
      <c r="P1563" s="81"/>
      <c r="Q1563" s="80"/>
      <c r="R1563" s="81"/>
      <c r="S1563" s="81"/>
      <c r="T1563" s="81"/>
    </row>
    <row r="1564" customHeight="1" spans="1:20">
      <c r="A1564" s="80"/>
      <c r="B1564" s="81"/>
      <c r="C1564" s="642"/>
      <c r="D1564" s="81"/>
      <c r="E1564" s="81"/>
      <c r="F1564" s="81"/>
      <c r="G1564" s="81"/>
      <c r="H1564" s="81"/>
      <c r="I1564" s="80"/>
      <c r="J1564" s="81"/>
      <c r="K1564" s="80"/>
      <c r="L1564" s="81"/>
      <c r="M1564" s="642"/>
      <c r="N1564" s="81"/>
      <c r="O1564" s="642"/>
      <c r="P1564" s="81"/>
      <c r="Q1564" s="80"/>
      <c r="R1564" s="81"/>
      <c r="S1564" s="81"/>
      <c r="T1564" s="81"/>
    </row>
    <row r="1565" customHeight="1" spans="1:20">
      <c r="A1565" s="80"/>
      <c r="B1565" s="81"/>
      <c r="C1565" s="642"/>
      <c r="D1565" s="81"/>
      <c r="E1565" s="81"/>
      <c r="F1565" s="81"/>
      <c r="G1565" s="81"/>
      <c r="H1565" s="81"/>
      <c r="I1565" s="80"/>
      <c r="J1565" s="81"/>
      <c r="K1565" s="80"/>
      <c r="L1565" s="81"/>
      <c r="M1565" s="642"/>
      <c r="N1565" s="81"/>
      <c r="O1565" s="642"/>
      <c r="P1565" s="81"/>
      <c r="Q1565" s="80"/>
      <c r="R1565" s="81"/>
      <c r="S1565" s="81"/>
      <c r="T1565" s="81"/>
    </row>
    <row r="1566" customHeight="1" spans="1:20">
      <c r="A1566" s="80"/>
      <c r="B1566" s="81"/>
      <c r="C1566" s="642"/>
      <c r="D1566" s="81"/>
      <c r="E1566" s="81"/>
      <c r="F1566" s="81"/>
      <c r="G1566" s="81"/>
      <c r="H1566" s="81"/>
      <c r="I1566" s="80"/>
      <c r="J1566" s="81"/>
      <c r="K1566" s="80"/>
      <c r="L1566" s="81"/>
      <c r="M1566" s="642"/>
      <c r="N1566" s="81"/>
      <c r="O1566" s="642"/>
      <c r="P1566" s="81"/>
      <c r="Q1566" s="80"/>
      <c r="R1566" s="81"/>
      <c r="S1566" s="81"/>
      <c r="T1566" s="81"/>
    </row>
    <row r="1567" customHeight="1" spans="1:20">
      <c r="A1567" s="80"/>
      <c r="B1567" s="81"/>
      <c r="C1567" s="642"/>
      <c r="D1567" s="81"/>
      <c r="E1567" s="81"/>
      <c r="F1567" s="81"/>
      <c r="G1567" s="81"/>
      <c r="H1567" s="81"/>
      <c r="I1567" s="80"/>
      <c r="J1567" s="81"/>
      <c r="K1567" s="80"/>
      <c r="L1567" s="81"/>
      <c r="M1567" s="642"/>
      <c r="N1567" s="81"/>
      <c r="O1567" s="642"/>
      <c r="P1567" s="81"/>
      <c r="Q1567" s="80"/>
      <c r="R1567" s="81"/>
      <c r="S1567" s="81"/>
      <c r="T1567" s="81"/>
    </row>
    <row r="1568" customHeight="1" spans="1:20">
      <c r="A1568" s="80"/>
      <c r="B1568" s="81"/>
      <c r="C1568" s="642"/>
      <c r="D1568" s="81"/>
      <c r="E1568" s="81"/>
      <c r="F1568" s="81"/>
      <c r="G1568" s="81"/>
      <c r="H1568" s="81"/>
      <c r="I1568" s="80"/>
      <c r="J1568" s="81"/>
      <c r="K1568" s="80"/>
      <c r="L1568" s="81"/>
      <c r="M1568" s="642"/>
      <c r="N1568" s="81"/>
      <c r="O1568" s="642"/>
      <c r="P1568" s="81"/>
      <c r="Q1568" s="80"/>
      <c r="R1568" s="81"/>
      <c r="S1568" s="81"/>
      <c r="T1568" s="81"/>
    </row>
    <row r="1569" customHeight="1" spans="1:20">
      <c r="A1569" s="80"/>
      <c r="B1569" s="81"/>
      <c r="C1569" s="642"/>
      <c r="D1569" s="81"/>
      <c r="E1569" s="81"/>
      <c r="F1569" s="81"/>
      <c r="G1569" s="81"/>
      <c r="H1569" s="81"/>
      <c r="I1569" s="80"/>
      <c r="J1569" s="81"/>
      <c r="K1569" s="80"/>
      <c r="L1569" s="81"/>
      <c r="M1569" s="642"/>
      <c r="N1569" s="81"/>
      <c r="O1569" s="642"/>
      <c r="P1569" s="81"/>
      <c r="Q1569" s="80"/>
      <c r="R1569" s="81"/>
      <c r="S1569" s="81"/>
      <c r="T1569" s="81"/>
    </row>
    <row r="1570" customHeight="1" spans="1:20">
      <c r="A1570" s="80"/>
      <c r="B1570" s="81"/>
      <c r="C1570" s="642"/>
      <c r="D1570" s="81"/>
      <c r="E1570" s="81"/>
      <c r="F1570" s="81"/>
      <c r="G1570" s="81"/>
      <c r="H1570" s="81"/>
      <c r="I1570" s="80"/>
      <c r="J1570" s="81"/>
      <c r="K1570" s="80"/>
      <c r="L1570" s="81"/>
      <c r="M1570" s="642"/>
      <c r="N1570" s="81"/>
      <c r="O1570" s="642"/>
      <c r="P1570" s="81"/>
      <c r="Q1570" s="80"/>
      <c r="R1570" s="81"/>
      <c r="S1570" s="81"/>
      <c r="T1570" s="81"/>
    </row>
    <row r="1571" customHeight="1" spans="1:20">
      <c r="A1571" s="80"/>
      <c r="B1571" s="81"/>
      <c r="C1571" s="642"/>
      <c r="D1571" s="81"/>
      <c r="E1571" s="81"/>
      <c r="F1571" s="81"/>
      <c r="G1571" s="81"/>
      <c r="H1571" s="81"/>
      <c r="I1571" s="80"/>
      <c r="J1571" s="81"/>
      <c r="K1571" s="80"/>
      <c r="L1571" s="81"/>
      <c r="M1571" s="642"/>
      <c r="N1571" s="81"/>
      <c r="O1571" s="642"/>
      <c r="P1571" s="81"/>
      <c r="Q1571" s="80"/>
      <c r="R1571" s="81"/>
      <c r="S1571" s="81"/>
      <c r="T1571" s="81"/>
    </row>
    <row r="1572" customHeight="1" spans="1:20">
      <c r="A1572" s="80"/>
      <c r="B1572" s="81"/>
      <c r="C1572" s="642"/>
      <c r="D1572" s="81"/>
      <c r="E1572" s="81"/>
      <c r="F1572" s="81"/>
      <c r="G1572" s="81"/>
      <c r="H1572" s="81"/>
      <c r="I1572" s="80"/>
      <c r="J1572" s="81"/>
      <c r="K1572" s="80"/>
      <c r="L1572" s="81"/>
      <c r="M1572" s="642"/>
      <c r="N1572" s="81"/>
      <c r="O1572" s="642"/>
      <c r="P1572" s="81"/>
      <c r="Q1572" s="80"/>
      <c r="R1572" s="81"/>
      <c r="S1572" s="81"/>
      <c r="T1572" s="81"/>
    </row>
    <row r="1573" customHeight="1" spans="1:20">
      <c r="A1573" s="80"/>
      <c r="B1573" s="81"/>
      <c r="C1573" s="642"/>
      <c r="D1573" s="81"/>
      <c r="E1573" s="81"/>
      <c r="F1573" s="81"/>
      <c r="G1573" s="81"/>
      <c r="H1573" s="81"/>
      <c r="I1573" s="80"/>
      <c r="J1573" s="81"/>
      <c r="K1573" s="80"/>
      <c r="L1573" s="81"/>
      <c r="M1573" s="642"/>
      <c r="N1573" s="81"/>
      <c r="O1573" s="642"/>
      <c r="P1573" s="81"/>
      <c r="Q1573" s="80"/>
      <c r="R1573" s="81"/>
      <c r="S1573" s="81"/>
      <c r="T1573" s="81"/>
    </row>
    <row r="1574" customHeight="1" spans="1:20">
      <c r="A1574" s="80"/>
      <c r="B1574" s="81"/>
      <c r="C1574" s="642"/>
      <c r="D1574" s="81"/>
      <c r="E1574" s="81"/>
      <c r="F1574" s="81"/>
      <c r="G1574" s="81"/>
      <c r="H1574" s="81"/>
      <c r="I1574" s="80"/>
      <c r="J1574" s="81"/>
      <c r="K1574" s="80"/>
      <c r="L1574" s="81"/>
      <c r="M1574" s="642"/>
      <c r="N1574" s="81"/>
      <c r="O1574" s="642"/>
      <c r="P1574" s="81"/>
      <c r="Q1574" s="80"/>
      <c r="R1574" s="81"/>
      <c r="S1574" s="81"/>
      <c r="T1574" s="81"/>
    </row>
    <row r="1575" customHeight="1" spans="1:20">
      <c r="A1575" s="80"/>
      <c r="B1575" s="81"/>
      <c r="C1575" s="642"/>
      <c r="D1575" s="81"/>
      <c r="E1575" s="81"/>
      <c r="F1575" s="81"/>
      <c r="G1575" s="81"/>
      <c r="H1575" s="81"/>
      <c r="I1575" s="80"/>
      <c r="J1575" s="81"/>
      <c r="K1575" s="80"/>
      <c r="L1575" s="81"/>
      <c r="M1575" s="642"/>
      <c r="N1575" s="81"/>
      <c r="O1575" s="642"/>
      <c r="P1575" s="81"/>
      <c r="Q1575" s="80"/>
      <c r="R1575" s="81"/>
      <c r="S1575" s="81"/>
      <c r="T1575" s="81"/>
    </row>
    <row r="1576" customHeight="1" spans="1:20">
      <c r="A1576" s="80"/>
      <c r="B1576" s="81"/>
      <c r="C1576" s="642"/>
      <c r="D1576" s="81"/>
      <c r="E1576" s="81"/>
      <c r="F1576" s="81"/>
      <c r="G1576" s="81"/>
      <c r="H1576" s="81"/>
      <c r="I1576" s="80"/>
      <c r="J1576" s="81"/>
      <c r="K1576" s="80"/>
      <c r="L1576" s="81"/>
      <c r="M1576" s="642"/>
      <c r="N1576" s="81"/>
      <c r="O1576" s="642"/>
      <c r="P1576" s="81"/>
      <c r="Q1576" s="80"/>
      <c r="R1576" s="81"/>
      <c r="S1576" s="81"/>
      <c r="T1576" s="81"/>
    </row>
    <row r="1577" customHeight="1" spans="1:20">
      <c r="A1577" s="80"/>
      <c r="B1577" s="81"/>
      <c r="C1577" s="642"/>
      <c r="D1577" s="81"/>
      <c r="E1577" s="81"/>
      <c r="F1577" s="81"/>
      <c r="G1577" s="81"/>
      <c r="H1577" s="81"/>
      <c r="I1577" s="80"/>
      <c r="J1577" s="81"/>
      <c r="K1577" s="80"/>
      <c r="L1577" s="81"/>
      <c r="M1577" s="642"/>
      <c r="N1577" s="81"/>
      <c r="O1577" s="642"/>
      <c r="P1577" s="81"/>
      <c r="Q1577" s="80"/>
      <c r="R1577" s="81"/>
      <c r="S1577" s="81"/>
      <c r="T1577" s="81"/>
    </row>
    <row r="1578" customHeight="1" spans="1:20">
      <c r="A1578" s="80"/>
      <c r="B1578" s="81"/>
      <c r="C1578" s="642"/>
      <c r="D1578" s="81"/>
      <c r="E1578" s="81"/>
      <c r="F1578" s="81"/>
      <c r="G1578" s="81"/>
      <c r="H1578" s="81"/>
      <c r="I1578" s="80"/>
      <c r="J1578" s="81"/>
      <c r="K1578" s="80"/>
      <c r="L1578" s="81"/>
      <c r="M1578" s="642"/>
      <c r="N1578" s="81"/>
      <c r="O1578" s="642"/>
      <c r="P1578" s="81"/>
      <c r="Q1578" s="80"/>
      <c r="R1578" s="81"/>
      <c r="S1578" s="81"/>
      <c r="T1578" s="81"/>
    </row>
    <row r="1579" customHeight="1" spans="1:20">
      <c r="A1579" s="80"/>
      <c r="B1579" s="81"/>
      <c r="C1579" s="642"/>
      <c r="D1579" s="81"/>
      <c r="E1579" s="81"/>
      <c r="F1579" s="81"/>
      <c r="G1579" s="81"/>
      <c r="H1579" s="81"/>
      <c r="I1579" s="80"/>
      <c r="J1579" s="81"/>
      <c r="K1579" s="80"/>
      <c r="L1579" s="81"/>
      <c r="M1579" s="642"/>
      <c r="N1579" s="81"/>
      <c r="O1579" s="642"/>
      <c r="P1579" s="81"/>
      <c r="Q1579" s="80"/>
      <c r="R1579" s="81"/>
      <c r="S1579" s="81"/>
      <c r="T1579" s="81"/>
    </row>
    <row r="1580" customHeight="1" spans="1:20">
      <c r="A1580" s="80"/>
      <c r="B1580" s="81"/>
      <c r="C1580" s="642"/>
      <c r="D1580" s="81"/>
      <c r="E1580" s="81"/>
      <c r="F1580" s="81"/>
      <c r="G1580" s="81"/>
      <c r="H1580" s="81"/>
      <c r="I1580" s="80"/>
      <c r="J1580" s="81"/>
      <c r="K1580" s="80"/>
      <c r="L1580" s="81"/>
      <c r="M1580" s="642"/>
      <c r="N1580" s="81"/>
      <c r="O1580" s="642"/>
      <c r="P1580" s="81"/>
      <c r="Q1580" s="80"/>
      <c r="R1580" s="81"/>
      <c r="S1580" s="81"/>
      <c r="T1580" s="81"/>
    </row>
    <row r="1581" customHeight="1" spans="1:20">
      <c r="A1581" s="80"/>
      <c r="B1581" s="81"/>
      <c r="C1581" s="642"/>
      <c r="D1581" s="81"/>
      <c r="E1581" s="81"/>
      <c r="F1581" s="81"/>
      <c r="G1581" s="81"/>
      <c r="H1581" s="81"/>
      <c r="I1581" s="80"/>
      <c r="J1581" s="81"/>
      <c r="K1581" s="80"/>
      <c r="L1581" s="81"/>
      <c r="M1581" s="642"/>
      <c r="N1581" s="81"/>
      <c r="O1581" s="642"/>
      <c r="P1581" s="81"/>
      <c r="Q1581" s="80"/>
      <c r="R1581" s="81"/>
      <c r="S1581" s="81"/>
      <c r="T1581" s="81"/>
    </row>
    <row r="1582" customHeight="1" spans="1:20">
      <c r="A1582" s="80"/>
      <c r="B1582" s="81"/>
      <c r="C1582" s="642"/>
      <c r="D1582" s="81"/>
      <c r="E1582" s="81"/>
      <c r="F1582" s="81"/>
      <c r="G1582" s="81"/>
      <c r="H1582" s="81"/>
      <c r="I1582" s="80"/>
      <c r="J1582" s="81"/>
      <c r="K1582" s="80"/>
      <c r="L1582" s="81"/>
      <c r="M1582" s="642"/>
      <c r="N1582" s="81"/>
      <c r="O1582" s="642"/>
      <c r="P1582" s="81"/>
      <c r="Q1582" s="80"/>
      <c r="R1582" s="81"/>
      <c r="S1582" s="81"/>
      <c r="T1582" s="81"/>
    </row>
    <row r="1583" customHeight="1" spans="1:20">
      <c r="A1583" s="80"/>
      <c r="B1583" s="81"/>
      <c r="C1583" s="642"/>
      <c r="D1583" s="81"/>
      <c r="E1583" s="81"/>
      <c r="F1583" s="81"/>
      <c r="G1583" s="81"/>
      <c r="H1583" s="81"/>
      <c r="I1583" s="80"/>
      <c r="J1583" s="81"/>
      <c r="K1583" s="80"/>
      <c r="L1583" s="81"/>
      <c r="M1583" s="642"/>
      <c r="N1583" s="81"/>
      <c r="O1583" s="642"/>
      <c r="P1583" s="81"/>
      <c r="Q1583" s="80"/>
      <c r="R1583" s="81"/>
      <c r="S1583" s="81"/>
      <c r="T1583" s="81"/>
    </row>
    <row r="1584" customHeight="1" spans="1:20">
      <c r="A1584" s="80"/>
      <c r="B1584" s="81"/>
      <c r="C1584" s="642"/>
      <c r="D1584" s="81"/>
      <c r="E1584" s="81"/>
      <c r="F1584" s="81"/>
      <c r="G1584" s="81"/>
      <c r="H1584" s="81"/>
      <c r="I1584" s="80"/>
      <c r="J1584" s="81"/>
      <c r="K1584" s="80"/>
      <c r="L1584" s="81"/>
      <c r="M1584" s="642"/>
      <c r="N1584" s="81"/>
      <c r="O1584" s="642"/>
      <c r="P1584" s="81"/>
      <c r="Q1584" s="80"/>
      <c r="R1584" s="81"/>
      <c r="S1584" s="81"/>
      <c r="T1584" s="81"/>
    </row>
    <row r="1585" customHeight="1" spans="1:20">
      <c r="A1585" s="80"/>
      <c r="B1585" s="81"/>
      <c r="C1585" s="642"/>
      <c r="D1585" s="81"/>
      <c r="E1585" s="81"/>
      <c r="F1585" s="81"/>
      <c r="G1585" s="81"/>
      <c r="H1585" s="81"/>
      <c r="I1585" s="80"/>
      <c r="J1585" s="81"/>
      <c r="K1585" s="80"/>
      <c r="L1585" s="81"/>
      <c r="M1585" s="642"/>
      <c r="N1585" s="81"/>
      <c r="O1585" s="642"/>
      <c r="P1585" s="81"/>
      <c r="Q1585" s="80"/>
      <c r="R1585" s="81"/>
      <c r="S1585" s="81"/>
      <c r="T1585" s="81"/>
    </row>
    <row r="1586" customHeight="1" spans="1:20">
      <c r="A1586" s="80"/>
      <c r="B1586" s="81"/>
      <c r="C1586" s="642"/>
      <c r="D1586" s="81"/>
      <c r="E1586" s="81"/>
      <c r="F1586" s="81"/>
      <c r="G1586" s="81"/>
      <c r="H1586" s="81"/>
      <c r="I1586" s="80"/>
      <c r="J1586" s="81"/>
      <c r="K1586" s="80"/>
      <c r="L1586" s="81"/>
      <c r="M1586" s="642"/>
      <c r="N1586" s="81"/>
      <c r="O1586" s="642"/>
      <c r="P1586" s="81"/>
      <c r="Q1586" s="80"/>
      <c r="R1586" s="81"/>
      <c r="S1586" s="81"/>
      <c r="T1586" s="81"/>
    </row>
    <row r="1587" customHeight="1" spans="1:20">
      <c r="A1587" s="80"/>
      <c r="B1587" s="81"/>
      <c r="C1587" s="642"/>
      <c r="D1587" s="81"/>
      <c r="E1587" s="81"/>
      <c r="F1587" s="81"/>
      <c r="G1587" s="81"/>
      <c r="H1587" s="81"/>
      <c r="I1587" s="80"/>
      <c r="J1587" s="81"/>
      <c r="K1587" s="80"/>
      <c r="L1587" s="81"/>
      <c r="M1587" s="642"/>
      <c r="N1587" s="81"/>
      <c r="O1587" s="642"/>
      <c r="P1587" s="81"/>
      <c r="Q1587" s="80"/>
      <c r="R1587" s="81"/>
      <c r="S1587" s="81"/>
      <c r="T1587" s="81"/>
    </row>
    <row r="1588" customHeight="1" spans="1:20">
      <c r="A1588" s="80"/>
      <c r="B1588" s="81"/>
      <c r="C1588" s="642"/>
      <c r="D1588" s="81"/>
      <c r="E1588" s="81"/>
      <c r="F1588" s="81"/>
      <c r="G1588" s="81"/>
      <c r="H1588" s="81"/>
      <c r="I1588" s="80"/>
      <c r="J1588" s="81"/>
      <c r="K1588" s="80"/>
      <c r="L1588" s="81"/>
      <c r="M1588" s="642"/>
      <c r="N1588" s="81"/>
      <c r="O1588" s="642"/>
      <c r="P1588" s="81"/>
      <c r="Q1588" s="80"/>
      <c r="R1588" s="81"/>
      <c r="S1588" s="81"/>
      <c r="T1588" s="81"/>
    </row>
    <row r="1589" customHeight="1" spans="1:20">
      <c r="A1589" s="80"/>
      <c r="B1589" s="81"/>
      <c r="C1589" s="642"/>
      <c r="D1589" s="81"/>
      <c r="E1589" s="81"/>
      <c r="F1589" s="81"/>
      <c r="G1589" s="81"/>
      <c r="H1589" s="81"/>
      <c r="I1589" s="80"/>
      <c r="J1589" s="81"/>
      <c r="K1589" s="80"/>
      <c r="L1589" s="81"/>
      <c r="M1589" s="642"/>
      <c r="N1589" s="81"/>
      <c r="O1589" s="642"/>
      <c r="P1589" s="81"/>
      <c r="Q1589" s="80"/>
      <c r="R1589" s="81"/>
      <c r="S1589" s="81"/>
      <c r="T1589" s="81"/>
    </row>
    <row r="1590" customHeight="1" spans="1:20">
      <c r="A1590" s="80"/>
      <c r="B1590" s="81"/>
      <c r="C1590" s="642"/>
      <c r="D1590" s="81"/>
      <c r="E1590" s="81"/>
      <c r="F1590" s="81"/>
      <c r="G1590" s="81"/>
      <c r="H1590" s="81"/>
      <c r="I1590" s="80"/>
      <c r="J1590" s="81"/>
      <c r="K1590" s="80"/>
      <c r="L1590" s="81"/>
      <c r="M1590" s="642"/>
      <c r="N1590" s="81"/>
      <c r="O1590" s="642"/>
      <c r="P1590" s="81"/>
      <c r="Q1590" s="80"/>
      <c r="R1590" s="81"/>
      <c r="S1590" s="81"/>
      <c r="T1590" s="81"/>
    </row>
    <row r="1591" customHeight="1" spans="1:20">
      <c r="A1591" s="80"/>
      <c r="B1591" s="81"/>
      <c r="C1591" s="642"/>
      <c r="D1591" s="81"/>
      <c r="E1591" s="81"/>
      <c r="F1591" s="81"/>
      <c r="G1591" s="81"/>
      <c r="H1591" s="81"/>
      <c r="I1591" s="80"/>
      <c r="J1591" s="81"/>
      <c r="K1591" s="80"/>
      <c r="L1591" s="81"/>
      <c r="M1591" s="642"/>
      <c r="N1591" s="81"/>
      <c r="O1591" s="642"/>
      <c r="P1591" s="81"/>
      <c r="Q1591" s="80"/>
      <c r="R1591" s="81"/>
      <c r="S1591" s="81"/>
      <c r="T1591" s="81"/>
    </row>
    <row r="1592" customHeight="1" spans="1:20">
      <c r="A1592" s="80"/>
      <c r="B1592" s="81"/>
      <c r="C1592" s="642"/>
      <c r="D1592" s="81"/>
      <c r="E1592" s="81"/>
      <c r="F1592" s="81"/>
      <c r="G1592" s="81"/>
      <c r="H1592" s="81"/>
      <c r="I1592" s="80"/>
      <c r="J1592" s="81"/>
      <c r="K1592" s="80"/>
      <c r="L1592" s="81"/>
      <c r="M1592" s="642"/>
      <c r="N1592" s="81"/>
      <c r="O1592" s="642"/>
      <c r="P1592" s="81"/>
      <c r="Q1592" s="80"/>
      <c r="R1592" s="81"/>
      <c r="S1592" s="81"/>
      <c r="T1592" s="81"/>
    </row>
    <row r="1593" customHeight="1" spans="1:20">
      <c r="A1593" s="80"/>
      <c r="B1593" s="81"/>
      <c r="C1593" s="642"/>
      <c r="D1593" s="81"/>
      <c r="E1593" s="81"/>
      <c r="F1593" s="81"/>
      <c r="G1593" s="81"/>
      <c r="H1593" s="81"/>
      <c r="I1593" s="80"/>
      <c r="J1593" s="81"/>
      <c r="K1593" s="80"/>
      <c r="L1593" s="81"/>
      <c r="M1593" s="642"/>
      <c r="N1593" s="81"/>
      <c r="O1593" s="642"/>
      <c r="P1593" s="81"/>
      <c r="Q1593" s="80"/>
      <c r="R1593" s="81"/>
      <c r="S1593" s="81"/>
      <c r="T1593" s="81"/>
    </row>
    <row r="1594" customHeight="1" spans="1:20">
      <c r="A1594" s="80"/>
      <c r="B1594" s="81"/>
      <c r="C1594" s="642"/>
      <c r="D1594" s="81"/>
      <c r="E1594" s="81"/>
      <c r="F1594" s="81"/>
      <c r="G1594" s="81"/>
      <c r="H1594" s="81"/>
      <c r="I1594" s="80"/>
      <c r="J1594" s="81"/>
      <c r="K1594" s="80"/>
      <c r="L1594" s="81"/>
      <c r="M1594" s="642"/>
      <c r="N1594" s="81"/>
      <c r="O1594" s="642"/>
      <c r="P1594" s="81"/>
      <c r="Q1594" s="80"/>
      <c r="R1594" s="81"/>
      <c r="S1594" s="81"/>
      <c r="T1594" s="81"/>
    </row>
    <row r="1595" customHeight="1" spans="1:20">
      <c r="A1595" s="80"/>
      <c r="B1595" s="81"/>
      <c r="C1595" s="642"/>
      <c r="D1595" s="81"/>
      <c r="E1595" s="81"/>
      <c r="F1595" s="81"/>
      <c r="G1595" s="81"/>
      <c r="H1595" s="81"/>
      <c r="I1595" s="80"/>
      <c r="J1595" s="81"/>
      <c r="K1595" s="80"/>
      <c r="L1595" s="81"/>
      <c r="M1595" s="642"/>
      <c r="N1595" s="81"/>
      <c r="O1595" s="642"/>
      <c r="P1595" s="81"/>
      <c r="Q1595" s="80"/>
      <c r="R1595" s="81"/>
      <c r="S1595" s="81"/>
      <c r="T1595" s="81"/>
    </row>
    <row r="1596" customHeight="1" spans="1:20">
      <c r="A1596" s="80"/>
      <c r="B1596" s="81"/>
      <c r="C1596" s="642"/>
      <c r="D1596" s="81"/>
      <c r="E1596" s="81"/>
      <c r="F1596" s="81"/>
      <c r="G1596" s="81"/>
      <c r="H1596" s="81"/>
      <c r="I1596" s="80"/>
      <c r="J1596" s="81"/>
      <c r="K1596" s="80"/>
      <c r="L1596" s="81"/>
      <c r="M1596" s="642"/>
      <c r="N1596" s="81"/>
      <c r="O1596" s="642"/>
      <c r="P1596" s="81"/>
      <c r="Q1596" s="80"/>
      <c r="R1596" s="81"/>
      <c r="S1596" s="81"/>
      <c r="T1596" s="81"/>
    </row>
    <row r="1597" customHeight="1" spans="1:20">
      <c r="A1597" s="80"/>
      <c r="B1597" s="81"/>
      <c r="C1597" s="642"/>
      <c r="D1597" s="81"/>
      <c r="E1597" s="81"/>
      <c r="F1597" s="81"/>
      <c r="G1597" s="81"/>
      <c r="H1597" s="81"/>
      <c r="I1597" s="80"/>
      <c r="J1597" s="81"/>
      <c r="K1597" s="80"/>
      <c r="L1597" s="81"/>
      <c r="M1597" s="642"/>
      <c r="N1597" s="81"/>
      <c r="O1597" s="642"/>
      <c r="P1597" s="81"/>
      <c r="Q1597" s="80"/>
      <c r="R1597" s="81"/>
      <c r="S1597" s="81"/>
      <c r="T1597" s="81"/>
    </row>
    <row r="1598" customHeight="1" spans="1:20">
      <c r="A1598" s="80"/>
      <c r="B1598" s="81"/>
      <c r="C1598" s="642"/>
      <c r="D1598" s="81"/>
      <c r="E1598" s="81"/>
      <c r="F1598" s="81"/>
      <c r="G1598" s="81"/>
      <c r="H1598" s="81"/>
      <c r="I1598" s="80"/>
      <c r="J1598" s="81"/>
      <c r="K1598" s="80"/>
      <c r="L1598" s="81"/>
      <c r="M1598" s="642"/>
      <c r="N1598" s="81"/>
      <c r="O1598" s="642"/>
      <c r="P1598" s="81"/>
      <c r="Q1598" s="80"/>
      <c r="R1598" s="81"/>
      <c r="S1598" s="81"/>
      <c r="T1598" s="81"/>
    </row>
    <row r="1599" customHeight="1" spans="1:20">
      <c r="A1599" s="80"/>
      <c r="B1599" s="81"/>
      <c r="C1599" s="642"/>
      <c r="D1599" s="81"/>
      <c r="E1599" s="81"/>
      <c r="F1599" s="81"/>
      <c r="G1599" s="81"/>
      <c r="H1599" s="81"/>
      <c r="I1599" s="80"/>
      <c r="J1599" s="81"/>
      <c r="K1599" s="80"/>
      <c r="L1599" s="81"/>
      <c r="M1599" s="642"/>
      <c r="N1599" s="81"/>
      <c r="O1599" s="642"/>
      <c r="P1599" s="81"/>
      <c r="Q1599" s="80"/>
      <c r="R1599" s="81"/>
      <c r="S1599" s="81"/>
      <c r="T1599" s="81"/>
    </row>
    <row r="1600" customHeight="1" spans="1:20">
      <c r="A1600" s="80"/>
      <c r="B1600" s="81"/>
      <c r="C1600" s="642"/>
      <c r="D1600" s="81"/>
      <c r="E1600" s="81"/>
      <c r="F1600" s="81"/>
      <c r="G1600" s="81"/>
      <c r="H1600" s="81"/>
      <c r="I1600" s="80"/>
      <c r="J1600" s="81"/>
      <c r="K1600" s="80"/>
      <c r="L1600" s="81"/>
      <c r="M1600" s="642"/>
      <c r="N1600" s="81"/>
      <c r="O1600" s="642"/>
      <c r="P1600" s="81"/>
      <c r="Q1600" s="80"/>
      <c r="R1600" s="81"/>
      <c r="S1600" s="81"/>
      <c r="T1600" s="81"/>
    </row>
    <row r="1601" customHeight="1" spans="1:20">
      <c r="A1601" s="80"/>
      <c r="B1601" s="81"/>
      <c r="C1601" s="642"/>
      <c r="D1601" s="81"/>
      <c r="E1601" s="81"/>
      <c r="F1601" s="81"/>
      <c r="G1601" s="81"/>
      <c r="H1601" s="81"/>
      <c r="I1601" s="80"/>
      <c r="J1601" s="81"/>
      <c r="K1601" s="80"/>
      <c r="L1601" s="81"/>
      <c r="M1601" s="642"/>
      <c r="N1601" s="81"/>
      <c r="O1601" s="642"/>
      <c r="P1601" s="81"/>
      <c r="Q1601" s="80"/>
      <c r="R1601" s="81"/>
      <c r="S1601" s="81"/>
      <c r="T1601" s="81"/>
    </row>
    <row r="1602" customHeight="1" spans="1:20">
      <c r="A1602" s="80"/>
      <c r="B1602" s="81"/>
      <c r="C1602" s="642"/>
      <c r="D1602" s="81"/>
      <c r="E1602" s="81"/>
      <c r="F1602" s="81"/>
      <c r="G1602" s="81"/>
      <c r="H1602" s="81"/>
      <c r="I1602" s="80"/>
      <c r="J1602" s="81"/>
      <c r="K1602" s="80"/>
      <c r="L1602" s="81"/>
      <c r="M1602" s="642"/>
      <c r="N1602" s="81"/>
      <c r="O1602" s="642"/>
      <c r="P1602" s="81"/>
      <c r="Q1602" s="80"/>
      <c r="R1602" s="81"/>
      <c r="S1602" s="81"/>
      <c r="T1602" s="81"/>
    </row>
    <row r="1603" customHeight="1" spans="1:20">
      <c r="A1603" s="80"/>
      <c r="B1603" s="81"/>
      <c r="C1603" s="642"/>
      <c r="D1603" s="81"/>
      <c r="E1603" s="81"/>
      <c r="F1603" s="81"/>
      <c r="G1603" s="81"/>
      <c r="H1603" s="81"/>
      <c r="I1603" s="80"/>
      <c r="J1603" s="81"/>
      <c r="K1603" s="80"/>
      <c r="L1603" s="81"/>
      <c r="M1603" s="642"/>
      <c r="N1603" s="81"/>
      <c r="O1603" s="642"/>
      <c r="P1603" s="81"/>
      <c r="Q1603" s="80"/>
      <c r="R1603" s="81"/>
      <c r="S1603" s="81"/>
      <c r="T1603" s="81"/>
    </row>
    <row r="1604" customHeight="1" spans="1:20">
      <c r="A1604" s="80"/>
      <c r="B1604" s="81"/>
      <c r="C1604" s="642"/>
      <c r="D1604" s="81"/>
      <c r="E1604" s="81"/>
      <c r="F1604" s="81"/>
      <c r="G1604" s="81"/>
      <c r="H1604" s="81"/>
      <c r="I1604" s="80"/>
      <c r="J1604" s="81"/>
      <c r="K1604" s="80"/>
      <c r="L1604" s="81"/>
      <c r="M1604" s="642"/>
      <c r="N1604" s="81"/>
      <c r="O1604" s="642"/>
      <c r="P1604" s="81"/>
      <c r="Q1604" s="80"/>
      <c r="R1604" s="81"/>
      <c r="S1604" s="81"/>
      <c r="T1604" s="81"/>
    </row>
    <row r="1605" customHeight="1" spans="1:20">
      <c r="A1605" s="80"/>
      <c r="B1605" s="81"/>
      <c r="C1605" s="642"/>
      <c r="D1605" s="81"/>
      <c r="E1605" s="81"/>
      <c r="F1605" s="81"/>
      <c r="G1605" s="81"/>
      <c r="H1605" s="81"/>
      <c r="I1605" s="80"/>
      <c r="J1605" s="81"/>
      <c r="K1605" s="80"/>
      <c r="L1605" s="81"/>
      <c r="M1605" s="642"/>
      <c r="N1605" s="81"/>
      <c r="O1605" s="642"/>
      <c r="P1605" s="81"/>
      <c r="Q1605" s="80"/>
      <c r="R1605" s="81"/>
      <c r="S1605" s="81"/>
      <c r="T1605" s="81"/>
    </row>
    <row r="1606" customHeight="1" spans="1:20">
      <c r="A1606" s="80"/>
      <c r="B1606" s="81"/>
      <c r="C1606" s="642"/>
      <c r="D1606" s="81"/>
      <c r="E1606" s="81"/>
      <c r="F1606" s="81"/>
      <c r="G1606" s="81"/>
      <c r="H1606" s="81"/>
      <c r="I1606" s="80"/>
      <c r="J1606" s="81"/>
      <c r="K1606" s="80"/>
      <c r="L1606" s="81"/>
      <c r="M1606" s="642"/>
      <c r="N1606" s="81"/>
      <c r="O1606" s="642"/>
      <c r="P1606" s="81"/>
      <c r="Q1606" s="80"/>
      <c r="R1606" s="81"/>
      <c r="S1606" s="81"/>
      <c r="T1606" s="81"/>
    </row>
    <row r="1607" customHeight="1" spans="1:20">
      <c r="A1607" s="80"/>
      <c r="B1607" s="81"/>
      <c r="C1607" s="642"/>
      <c r="D1607" s="81"/>
      <c r="E1607" s="81"/>
      <c r="F1607" s="81"/>
      <c r="G1607" s="81"/>
      <c r="H1607" s="81"/>
      <c r="I1607" s="80"/>
      <c r="J1607" s="81"/>
      <c r="K1607" s="80"/>
      <c r="L1607" s="81"/>
      <c r="M1607" s="642"/>
      <c r="N1607" s="81"/>
      <c r="O1607" s="642"/>
      <c r="P1607" s="81"/>
      <c r="Q1607" s="80"/>
      <c r="R1607" s="81"/>
      <c r="S1607" s="81"/>
      <c r="T1607" s="81"/>
    </row>
    <row r="1608" customHeight="1" spans="1:20">
      <c r="A1608" s="80"/>
      <c r="B1608" s="81"/>
      <c r="C1608" s="642"/>
      <c r="D1608" s="81"/>
      <c r="E1608" s="81"/>
      <c r="F1608" s="81"/>
      <c r="G1608" s="81"/>
      <c r="H1608" s="81"/>
      <c r="I1608" s="80"/>
      <c r="J1608" s="81"/>
      <c r="K1608" s="80"/>
      <c r="L1608" s="81"/>
      <c r="M1608" s="642"/>
      <c r="N1608" s="81"/>
      <c r="O1608" s="642"/>
      <c r="P1608" s="81"/>
      <c r="Q1608" s="80"/>
      <c r="R1608" s="81"/>
      <c r="S1608" s="81"/>
      <c r="T1608" s="81"/>
    </row>
    <row r="1609" customHeight="1" spans="1:20">
      <c r="A1609" s="80"/>
      <c r="B1609" s="81"/>
      <c r="C1609" s="642"/>
      <c r="D1609" s="81"/>
      <c r="E1609" s="81"/>
      <c r="F1609" s="81"/>
      <c r="G1609" s="81"/>
      <c r="H1609" s="81"/>
      <c r="I1609" s="80"/>
      <c r="J1609" s="81"/>
      <c r="K1609" s="80"/>
      <c r="L1609" s="81"/>
      <c r="M1609" s="642"/>
      <c r="N1609" s="81"/>
      <c r="O1609" s="642"/>
      <c r="P1609" s="81"/>
      <c r="Q1609" s="80"/>
      <c r="R1609" s="81"/>
      <c r="S1609" s="81"/>
      <c r="T1609" s="81"/>
    </row>
    <row r="1610" customHeight="1" spans="1:20">
      <c r="A1610" s="80"/>
      <c r="B1610" s="81"/>
      <c r="C1610" s="642"/>
      <c r="D1610" s="81"/>
      <c r="E1610" s="81"/>
      <c r="F1610" s="81"/>
      <c r="G1610" s="81"/>
      <c r="H1610" s="81"/>
      <c r="I1610" s="80"/>
      <c r="J1610" s="81"/>
      <c r="K1610" s="80"/>
      <c r="L1610" s="81"/>
      <c r="M1610" s="642"/>
      <c r="N1610" s="81"/>
      <c r="O1610" s="642"/>
      <c r="P1610" s="81"/>
      <c r="Q1610" s="80"/>
      <c r="R1610" s="81"/>
      <c r="S1610" s="81"/>
      <c r="T1610" s="81"/>
    </row>
    <row r="1611" customHeight="1" spans="1:20">
      <c r="A1611" s="80"/>
      <c r="B1611" s="81"/>
      <c r="C1611" s="642"/>
      <c r="D1611" s="81"/>
      <c r="E1611" s="81"/>
      <c r="F1611" s="81"/>
      <c r="G1611" s="81"/>
      <c r="H1611" s="81"/>
      <c r="I1611" s="80"/>
      <c r="J1611" s="81"/>
      <c r="K1611" s="80"/>
      <c r="L1611" s="81"/>
      <c r="M1611" s="642"/>
      <c r="N1611" s="81"/>
      <c r="O1611" s="642"/>
      <c r="P1611" s="81"/>
      <c r="Q1611" s="80"/>
      <c r="R1611" s="81"/>
      <c r="S1611" s="81"/>
      <c r="T1611" s="81"/>
    </row>
    <row r="1612" customHeight="1" spans="1:20">
      <c r="A1612" s="80"/>
      <c r="B1612" s="81"/>
      <c r="C1612" s="642"/>
      <c r="D1612" s="81"/>
      <c r="E1612" s="81"/>
      <c r="F1612" s="81"/>
      <c r="G1612" s="81"/>
      <c r="H1612" s="81"/>
      <c r="I1612" s="80"/>
      <c r="J1612" s="81"/>
      <c r="K1612" s="80"/>
      <c r="L1612" s="81"/>
      <c r="M1612" s="642"/>
      <c r="N1612" s="81"/>
      <c r="O1612" s="642"/>
      <c r="P1612" s="81"/>
      <c r="Q1612" s="80"/>
      <c r="R1612" s="81"/>
      <c r="S1612" s="81"/>
      <c r="T1612" s="81"/>
    </row>
    <row r="1613" customHeight="1" spans="1:20">
      <c r="A1613" s="80"/>
      <c r="B1613" s="81"/>
      <c r="C1613" s="642"/>
      <c r="D1613" s="81"/>
      <c r="E1613" s="81"/>
      <c r="F1613" s="81"/>
      <c r="G1613" s="81"/>
      <c r="H1613" s="81"/>
      <c r="I1613" s="80"/>
      <c r="J1613" s="81"/>
      <c r="K1613" s="80"/>
      <c r="L1613" s="81"/>
      <c r="M1613" s="642"/>
      <c r="N1613" s="81"/>
      <c r="O1613" s="642"/>
      <c r="P1613" s="81"/>
      <c r="Q1613" s="80"/>
      <c r="R1613" s="81"/>
      <c r="S1613" s="81"/>
      <c r="T1613" s="81"/>
    </row>
    <row r="1614" customHeight="1" spans="1:20">
      <c r="A1614" s="80"/>
      <c r="B1614" s="81"/>
      <c r="C1614" s="642"/>
      <c r="D1614" s="81"/>
      <c r="E1614" s="81"/>
      <c r="F1614" s="81"/>
      <c r="G1614" s="81"/>
      <c r="H1614" s="81"/>
      <c r="I1614" s="80"/>
      <c r="J1614" s="81"/>
      <c r="K1614" s="80"/>
      <c r="L1614" s="81"/>
      <c r="M1614" s="642"/>
      <c r="N1614" s="81"/>
      <c r="O1614" s="642"/>
      <c r="P1614" s="81"/>
      <c r="Q1614" s="80"/>
      <c r="R1614" s="81"/>
      <c r="S1614" s="81"/>
      <c r="T1614" s="81"/>
    </row>
    <row r="1615" customHeight="1" spans="1:20">
      <c r="A1615" s="80"/>
      <c r="B1615" s="81"/>
      <c r="C1615" s="642"/>
      <c r="D1615" s="81"/>
      <c r="E1615" s="81"/>
      <c r="F1615" s="81"/>
      <c r="G1615" s="81"/>
      <c r="H1615" s="81"/>
      <c r="I1615" s="80"/>
      <c r="J1615" s="81"/>
      <c r="K1615" s="80"/>
      <c r="L1615" s="81"/>
      <c r="M1615" s="642"/>
      <c r="N1615" s="81"/>
      <c r="O1615" s="642"/>
      <c r="P1615" s="81"/>
      <c r="Q1615" s="80"/>
      <c r="R1615" s="81"/>
      <c r="S1615" s="81"/>
      <c r="T1615" s="81"/>
    </row>
    <row r="1616" customHeight="1" spans="1:20">
      <c r="A1616" s="80"/>
      <c r="B1616" s="81"/>
      <c r="C1616" s="642"/>
      <c r="D1616" s="81"/>
      <c r="E1616" s="81"/>
      <c r="F1616" s="81"/>
      <c r="G1616" s="81"/>
      <c r="H1616" s="81"/>
      <c r="I1616" s="80"/>
      <c r="J1616" s="81"/>
      <c r="K1616" s="80"/>
      <c r="L1616" s="81"/>
      <c r="M1616" s="642"/>
      <c r="N1616" s="81"/>
      <c r="O1616" s="642"/>
      <c r="P1616" s="81"/>
      <c r="Q1616" s="80"/>
      <c r="R1616" s="81"/>
      <c r="S1616" s="81"/>
      <c r="T1616" s="81"/>
    </row>
    <row r="1617" customHeight="1" spans="1:20">
      <c r="A1617" s="80"/>
      <c r="B1617" s="81"/>
      <c r="C1617" s="642"/>
      <c r="D1617" s="81"/>
      <c r="E1617" s="81"/>
      <c r="F1617" s="81"/>
      <c r="G1617" s="81"/>
      <c r="H1617" s="81"/>
      <c r="I1617" s="80"/>
      <c r="J1617" s="81"/>
      <c r="K1617" s="80"/>
      <c r="L1617" s="81"/>
      <c r="M1617" s="642"/>
      <c r="N1617" s="81"/>
      <c r="O1617" s="642"/>
      <c r="P1617" s="81"/>
      <c r="Q1617" s="80"/>
      <c r="R1617" s="81"/>
      <c r="S1617" s="81"/>
      <c r="T1617" s="81"/>
    </row>
    <row r="1618" customHeight="1" spans="1:20">
      <c r="A1618" s="80"/>
      <c r="B1618" s="81"/>
      <c r="C1618" s="642"/>
      <c r="D1618" s="81"/>
      <c r="E1618" s="81"/>
      <c r="F1618" s="81"/>
      <c r="G1618" s="81"/>
      <c r="H1618" s="81"/>
      <c r="I1618" s="80"/>
      <c r="J1618" s="81"/>
      <c r="K1618" s="80"/>
      <c r="L1618" s="81"/>
      <c r="M1618" s="642"/>
      <c r="N1618" s="81"/>
      <c r="O1618" s="642"/>
      <c r="P1618" s="81"/>
      <c r="Q1618" s="80"/>
      <c r="R1618" s="81"/>
      <c r="S1618" s="81"/>
      <c r="T1618" s="81"/>
    </row>
    <row r="1619" customHeight="1" spans="1:20">
      <c r="A1619" s="80"/>
      <c r="B1619" s="81"/>
      <c r="C1619" s="642"/>
      <c r="D1619" s="81"/>
      <c r="E1619" s="81"/>
      <c r="F1619" s="81"/>
      <c r="G1619" s="81"/>
      <c r="H1619" s="81"/>
      <c r="I1619" s="80"/>
      <c r="J1619" s="81"/>
      <c r="K1619" s="80"/>
      <c r="L1619" s="81"/>
      <c r="M1619" s="642"/>
      <c r="N1619" s="81"/>
      <c r="O1619" s="642"/>
      <c r="P1619" s="81"/>
      <c r="Q1619" s="80"/>
      <c r="R1619" s="81"/>
      <c r="S1619" s="81"/>
      <c r="T1619" s="81"/>
    </row>
    <row r="1620" customHeight="1" spans="1:20">
      <c r="A1620" s="80"/>
      <c r="B1620" s="81"/>
      <c r="C1620" s="642"/>
      <c r="D1620" s="81"/>
      <c r="E1620" s="81"/>
      <c r="F1620" s="81"/>
      <c r="G1620" s="81"/>
      <c r="H1620" s="81"/>
      <c r="I1620" s="80"/>
      <c r="J1620" s="81"/>
      <c r="K1620" s="80"/>
      <c r="L1620" s="81"/>
      <c r="M1620" s="642"/>
      <c r="N1620" s="81"/>
      <c r="O1620" s="642"/>
      <c r="P1620" s="81"/>
      <c r="Q1620" s="80"/>
      <c r="R1620" s="81"/>
      <c r="S1620" s="81"/>
      <c r="T1620" s="81"/>
    </row>
    <row r="1621" customHeight="1" spans="1:20">
      <c r="A1621" s="80"/>
      <c r="B1621" s="81"/>
      <c r="C1621" s="642"/>
      <c r="D1621" s="81"/>
      <c r="E1621" s="81"/>
      <c r="F1621" s="81"/>
      <c r="G1621" s="81"/>
      <c r="H1621" s="81"/>
      <c r="I1621" s="80"/>
      <c r="J1621" s="81"/>
      <c r="K1621" s="80"/>
      <c r="L1621" s="81"/>
      <c r="M1621" s="642"/>
      <c r="N1621" s="81"/>
      <c r="O1621" s="642"/>
      <c r="P1621" s="81"/>
      <c r="Q1621" s="80"/>
      <c r="R1621" s="81"/>
      <c r="S1621" s="81"/>
      <c r="T1621" s="81"/>
    </row>
    <row r="1622" customHeight="1" spans="1:20">
      <c r="A1622" s="80"/>
      <c r="B1622" s="81"/>
      <c r="C1622" s="642"/>
      <c r="D1622" s="81"/>
      <c r="E1622" s="81"/>
      <c r="F1622" s="81"/>
      <c r="G1622" s="81"/>
      <c r="H1622" s="81"/>
      <c r="I1622" s="80"/>
      <c r="J1622" s="81"/>
      <c r="K1622" s="80"/>
      <c r="L1622" s="81"/>
      <c r="M1622" s="642"/>
      <c r="N1622" s="81"/>
      <c r="O1622" s="642"/>
      <c r="P1622" s="81"/>
      <c r="Q1622" s="80"/>
      <c r="R1622" s="81"/>
      <c r="S1622" s="81"/>
      <c r="T1622" s="81"/>
    </row>
    <row r="1623" customHeight="1" spans="1:20">
      <c r="A1623" s="80"/>
      <c r="B1623" s="81"/>
      <c r="C1623" s="642"/>
      <c r="D1623" s="81"/>
      <c r="E1623" s="81"/>
      <c r="F1623" s="81"/>
      <c r="G1623" s="81"/>
      <c r="H1623" s="81"/>
      <c r="I1623" s="80"/>
      <c r="J1623" s="81"/>
      <c r="K1623" s="80"/>
      <c r="L1623" s="81"/>
      <c r="M1623" s="642"/>
      <c r="N1623" s="81"/>
      <c r="O1623" s="642"/>
      <c r="P1623" s="81"/>
      <c r="Q1623" s="80"/>
      <c r="R1623" s="81"/>
      <c r="S1623" s="81"/>
      <c r="T1623" s="81"/>
    </row>
    <row r="1624" customHeight="1" spans="1:20">
      <c r="A1624" s="80"/>
      <c r="B1624" s="81"/>
      <c r="C1624" s="642"/>
      <c r="D1624" s="81"/>
      <c r="E1624" s="81"/>
      <c r="F1624" s="81"/>
      <c r="G1624" s="81"/>
      <c r="H1624" s="81"/>
      <c r="I1624" s="80"/>
      <c r="J1624" s="81"/>
      <c r="K1624" s="80"/>
      <c r="L1624" s="81"/>
      <c r="M1624" s="642"/>
      <c r="N1624" s="81"/>
      <c r="O1624" s="642"/>
      <c r="P1624" s="81"/>
      <c r="Q1624" s="80"/>
      <c r="R1624" s="81"/>
      <c r="S1624" s="81"/>
      <c r="T1624" s="81"/>
    </row>
    <row r="1625" customHeight="1" spans="1:20">
      <c r="A1625" s="80"/>
      <c r="B1625" s="81"/>
      <c r="C1625" s="642"/>
      <c r="D1625" s="81"/>
      <c r="E1625" s="81"/>
      <c r="F1625" s="81"/>
      <c r="G1625" s="81"/>
      <c r="H1625" s="81"/>
      <c r="I1625" s="80"/>
      <c r="J1625" s="81"/>
      <c r="K1625" s="80"/>
      <c r="L1625" s="81"/>
      <c r="M1625" s="642"/>
      <c r="N1625" s="81"/>
      <c r="O1625" s="642"/>
      <c r="P1625" s="81"/>
      <c r="Q1625" s="80"/>
      <c r="R1625" s="81"/>
      <c r="S1625" s="81"/>
      <c r="T1625" s="81"/>
    </row>
    <row r="1626" customHeight="1" spans="1:20">
      <c r="A1626" s="80"/>
      <c r="B1626" s="81"/>
      <c r="C1626" s="642"/>
      <c r="D1626" s="81"/>
      <c r="E1626" s="81"/>
      <c r="F1626" s="81"/>
      <c r="G1626" s="81"/>
      <c r="H1626" s="81"/>
      <c r="I1626" s="80"/>
      <c r="J1626" s="81"/>
      <c r="K1626" s="80"/>
      <c r="L1626" s="81"/>
      <c r="M1626" s="642"/>
      <c r="N1626" s="81"/>
      <c r="O1626" s="642"/>
      <c r="P1626" s="81"/>
      <c r="Q1626" s="80"/>
      <c r="R1626" s="81"/>
      <c r="S1626" s="81"/>
      <c r="T1626" s="81"/>
    </row>
    <row r="1627" customHeight="1" spans="1:20">
      <c r="A1627" s="80"/>
      <c r="B1627" s="81"/>
      <c r="C1627" s="642"/>
      <c r="D1627" s="81"/>
      <c r="E1627" s="81"/>
      <c r="F1627" s="81"/>
      <c r="G1627" s="81"/>
      <c r="H1627" s="81"/>
      <c r="I1627" s="80"/>
      <c r="J1627" s="81"/>
      <c r="K1627" s="80"/>
      <c r="L1627" s="81"/>
      <c r="M1627" s="642"/>
      <c r="N1627" s="81"/>
      <c r="O1627" s="642"/>
      <c r="P1627" s="81"/>
      <c r="Q1627" s="80"/>
      <c r="R1627" s="81"/>
      <c r="S1627" s="81"/>
      <c r="T1627" s="81"/>
    </row>
    <row r="1628" customHeight="1" spans="1:20">
      <c r="A1628" s="80"/>
      <c r="B1628" s="81"/>
      <c r="C1628" s="642"/>
      <c r="D1628" s="81"/>
      <c r="E1628" s="81"/>
      <c r="F1628" s="81"/>
      <c r="G1628" s="81"/>
      <c r="H1628" s="81"/>
      <c r="I1628" s="80"/>
      <c r="J1628" s="81"/>
      <c r="K1628" s="80"/>
      <c r="L1628" s="81"/>
      <c r="M1628" s="642"/>
      <c r="N1628" s="81"/>
      <c r="O1628" s="642"/>
      <c r="P1628" s="81"/>
      <c r="Q1628" s="80"/>
      <c r="R1628" s="81"/>
      <c r="S1628" s="81"/>
      <c r="T1628" s="81"/>
    </row>
    <row r="1629" customHeight="1" spans="1:20">
      <c r="A1629" s="80"/>
      <c r="B1629" s="81"/>
      <c r="C1629" s="642"/>
      <c r="D1629" s="81"/>
      <c r="E1629" s="81"/>
      <c r="F1629" s="81"/>
      <c r="G1629" s="81"/>
      <c r="H1629" s="81"/>
      <c r="I1629" s="80"/>
      <c r="J1629" s="81"/>
      <c r="K1629" s="80"/>
      <c r="L1629" s="81"/>
      <c r="M1629" s="642"/>
      <c r="N1629" s="81"/>
      <c r="O1629" s="642"/>
      <c r="P1629" s="81"/>
      <c r="Q1629" s="80"/>
      <c r="R1629" s="81"/>
      <c r="S1629" s="81"/>
      <c r="T1629" s="81"/>
    </row>
    <row r="1630" customHeight="1" spans="1:20">
      <c r="A1630" s="80"/>
      <c r="B1630" s="81"/>
      <c r="C1630" s="642"/>
      <c r="D1630" s="81"/>
      <c r="E1630" s="81"/>
      <c r="F1630" s="81"/>
      <c r="G1630" s="81"/>
      <c r="H1630" s="81"/>
      <c r="I1630" s="80"/>
      <c r="J1630" s="81"/>
      <c r="K1630" s="80"/>
      <c r="L1630" s="81"/>
      <c r="M1630" s="642"/>
      <c r="N1630" s="81"/>
      <c r="O1630" s="642"/>
      <c r="P1630" s="81"/>
      <c r="Q1630" s="80"/>
      <c r="R1630" s="81"/>
      <c r="S1630" s="81"/>
      <c r="T1630" s="81"/>
    </row>
    <row r="1631" customHeight="1" spans="1:20">
      <c r="A1631" s="80"/>
      <c r="B1631" s="81"/>
      <c r="C1631" s="642"/>
      <c r="D1631" s="81"/>
      <c r="E1631" s="81"/>
      <c r="F1631" s="81"/>
      <c r="G1631" s="81"/>
      <c r="H1631" s="81"/>
      <c r="I1631" s="80"/>
      <c r="J1631" s="81"/>
      <c r="K1631" s="80"/>
      <c r="L1631" s="81"/>
      <c r="M1631" s="642"/>
      <c r="N1631" s="81"/>
      <c r="O1631" s="642"/>
      <c r="P1631" s="81"/>
      <c r="Q1631" s="80"/>
      <c r="R1631" s="81"/>
      <c r="S1631" s="81"/>
      <c r="T1631" s="81"/>
    </row>
    <row r="1632" customHeight="1" spans="1:20">
      <c r="A1632" s="80"/>
      <c r="B1632" s="81"/>
      <c r="C1632" s="642"/>
      <c r="D1632" s="81"/>
      <c r="E1632" s="81"/>
      <c r="F1632" s="81"/>
      <c r="G1632" s="81"/>
      <c r="H1632" s="81"/>
      <c r="I1632" s="80"/>
      <c r="J1632" s="81"/>
      <c r="K1632" s="80"/>
      <c r="L1632" s="81"/>
      <c r="M1632" s="642"/>
      <c r="N1632" s="81"/>
      <c r="O1632" s="642"/>
      <c r="P1632" s="81"/>
      <c r="Q1632" s="80"/>
      <c r="R1632" s="81"/>
      <c r="S1632" s="81"/>
      <c r="T1632" s="81"/>
    </row>
    <row r="1633" customHeight="1" spans="1:20">
      <c r="A1633" s="80"/>
      <c r="B1633" s="81"/>
      <c r="C1633" s="642"/>
      <c r="D1633" s="81"/>
      <c r="E1633" s="81"/>
      <c r="F1633" s="81"/>
      <c r="G1633" s="81"/>
      <c r="H1633" s="81"/>
      <c r="I1633" s="80"/>
      <c r="J1633" s="81"/>
      <c r="K1633" s="80"/>
      <c r="L1633" s="81"/>
      <c r="M1633" s="642"/>
      <c r="N1633" s="81"/>
      <c r="O1633" s="642"/>
      <c r="P1633" s="81"/>
      <c r="Q1633" s="80"/>
      <c r="R1633" s="81"/>
      <c r="S1633" s="81"/>
      <c r="T1633" s="81"/>
    </row>
    <row r="1634" customHeight="1" spans="1:20">
      <c r="A1634" s="80"/>
      <c r="B1634" s="81"/>
      <c r="C1634" s="642"/>
      <c r="D1634" s="81"/>
      <c r="E1634" s="81"/>
      <c r="F1634" s="81"/>
      <c r="G1634" s="81"/>
      <c r="H1634" s="81"/>
      <c r="I1634" s="80"/>
      <c r="J1634" s="81"/>
      <c r="K1634" s="80"/>
      <c r="L1634" s="81"/>
      <c r="M1634" s="642"/>
      <c r="N1634" s="81"/>
      <c r="O1634" s="642"/>
      <c r="P1634" s="81"/>
      <c r="Q1634" s="80"/>
      <c r="R1634" s="81"/>
      <c r="S1634" s="81"/>
      <c r="T1634" s="81"/>
    </row>
    <row r="1635" customHeight="1" spans="1:20">
      <c r="A1635" s="80"/>
      <c r="B1635" s="81"/>
      <c r="C1635" s="642"/>
      <c r="D1635" s="81"/>
      <c r="E1635" s="81"/>
      <c r="F1635" s="81"/>
      <c r="G1635" s="81"/>
      <c r="H1635" s="81"/>
      <c r="I1635" s="80"/>
      <c r="J1635" s="81"/>
      <c r="K1635" s="80"/>
      <c r="L1635" s="81"/>
      <c r="M1635" s="642"/>
      <c r="N1635" s="81"/>
      <c r="O1635" s="642"/>
      <c r="P1635" s="81"/>
      <c r="Q1635" s="80"/>
      <c r="R1635" s="81"/>
      <c r="S1635" s="81"/>
      <c r="T1635" s="81"/>
    </row>
    <row r="1636" customHeight="1" spans="1:20">
      <c r="A1636" s="80"/>
      <c r="B1636" s="81"/>
      <c r="C1636" s="642"/>
      <c r="D1636" s="81"/>
      <c r="E1636" s="81"/>
      <c r="F1636" s="81"/>
      <c r="G1636" s="81"/>
      <c r="H1636" s="81"/>
      <c r="I1636" s="80"/>
      <c r="J1636" s="81"/>
      <c r="K1636" s="80"/>
      <c r="L1636" s="81"/>
      <c r="M1636" s="642"/>
      <c r="N1636" s="81"/>
      <c r="O1636" s="642"/>
      <c r="P1636" s="81"/>
      <c r="Q1636" s="80"/>
      <c r="R1636" s="81"/>
      <c r="S1636" s="81"/>
      <c r="T1636" s="81"/>
    </row>
    <row r="1637" customHeight="1" spans="1:20">
      <c r="A1637" s="80"/>
      <c r="B1637" s="81"/>
      <c r="C1637" s="642"/>
      <c r="D1637" s="81"/>
      <c r="E1637" s="81"/>
      <c r="F1637" s="81"/>
      <c r="G1637" s="81"/>
      <c r="H1637" s="81"/>
      <c r="I1637" s="80"/>
      <c r="J1637" s="81"/>
      <c r="K1637" s="80"/>
      <c r="L1637" s="81"/>
      <c r="M1637" s="642"/>
      <c r="N1637" s="81"/>
      <c r="O1637" s="642"/>
      <c r="P1637" s="81"/>
      <c r="Q1637" s="80"/>
      <c r="R1637" s="81"/>
      <c r="S1637" s="81"/>
      <c r="T1637" s="81"/>
    </row>
    <row r="1638" customHeight="1" spans="1:20">
      <c r="A1638" s="80"/>
      <c r="B1638" s="81"/>
      <c r="C1638" s="642"/>
      <c r="D1638" s="81"/>
      <c r="E1638" s="81"/>
      <c r="F1638" s="81"/>
      <c r="G1638" s="81"/>
      <c r="H1638" s="81"/>
      <c r="I1638" s="80"/>
      <c r="J1638" s="81"/>
      <c r="K1638" s="80"/>
      <c r="L1638" s="81"/>
      <c r="M1638" s="642"/>
      <c r="N1638" s="81"/>
      <c r="O1638" s="642"/>
      <c r="P1638" s="81"/>
      <c r="Q1638" s="80"/>
      <c r="R1638" s="81"/>
      <c r="S1638" s="81"/>
      <c r="T1638" s="81"/>
    </row>
    <row r="1639" customHeight="1" spans="1:20">
      <c r="A1639" s="80"/>
      <c r="B1639" s="81"/>
      <c r="C1639" s="642"/>
      <c r="D1639" s="81"/>
      <c r="E1639" s="81"/>
      <c r="F1639" s="81"/>
      <c r="G1639" s="81"/>
      <c r="H1639" s="81"/>
      <c r="I1639" s="80"/>
      <c r="J1639" s="81"/>
      <c r="K1639" s="80"/>
      <c r="L1639" s="81"/>
      <c r="M1639" s="642"/>
      <c r="N1639" s="81"/>
      <c r="O1639" s="642"/>
      <c r="P1639" s="81"/>
      <c r="Q1639" s="80"/>
      <c r="R1639" s="81"/>
      <c r="S1639" s="81"/>
      <c r="T1639" s="81"/>
    </row>
    <row r="1640" customHeight="1" spans="1:20">
      <c r="A1640" s="80"/>
      <c r="B1640" s="81"/>
      <c r="C1640" s="642"/>
      <c r="D1640" s="81"/>
      <c r="E1640" s="81"/>
      <c r="F1640" s="81"/>
      <c r="G1640" s="81"/>
      <c r="H1640" s="81"/>
      <c r="I1640" s="80"/>
      <c r="J1640" s="81"/>
      <c r="K1640" s="80"/>
      <c r="L1640" s="81"/>
      <c r="M1640" s="642"/>
      <c r="N1640" s="81"/>
      <c r="O1640" s="642"/>
      <c r="P1640" s="81"/>
      <c r="Q1640" s="80"/>
      <c r="R1640" s="81"/>
      <c r="S1640" s="81"/>
      <c r="T1640" s="81"/>
    </row>
    <row r="1641" customHeight="1" spans="1:20">
      <c r="A1641" s="80"/>
      <c r="B1641" s="81"/>
      <c r="C1641" s="642"/>
      <c r="D1641" s="81"/>
      <c r="E1641" s="81"/>
      <c r="F1641" s="81"/>
      <c r="G1641" s="81"/>
      <c r="H1641" s="81"/>
      <c r="I1641" s="80"/>
      <c r="J1641" s="81"/>
      <c r="K1641" s="80"/>
      <c r="L1641" s="81"/>
      <c r="M1641" s="642"/>
      <c r="N1641" s="81"/>
      <c r="O1641" s="642"/>
      <c r="P1641" s="81"/>
      <c r="Q1641" s="80"/>
      <c r="R1641" s="81"/>
      <c r="S1641" s="81"/>
      <c r="T1641" s="81"/>
    </row>
    <row r="1642" customHeight="1" spans="1:20">
      <c r="A1642" s="80"/>
      <c r="B1642" s="81"/>
      <c r="C1642" s="642"/>
      <c r="D1642" s="81"/>
      <c r="E1642" s="81"/>
      <c r="F1642" s="81"/>
      <c r="G1642" s="81"/>
      <c r="H1642" s="81"/>
      <c r="I1642" s="80"/>
      <c r="J1642" s="81"/>
      <c r="K1642" s="80"/>
      <c r="L1642" s="81"/>
      <c r="M1642" s="642"/>
      <c r="N1642" s="81"/>
      <c r="O1642" s="642"/>
      <c r="P1642" s="81"/>
      <c r="Q1642" s="80"/>
      <c r="R1642" s="81"/>
      <c r="S1642" s="81"/>
      <c r="T1642" s="81"/>
    </row>
    <row r="1643" customHeight="1" spans="1:20">
      <c r="A1643" s="80"/>
      <c r="B1643" s="81"/>
      <c r="C1643" s="642"/>
      <c r="D1643" s="81"/>
      <c r="E1643" s="81"/>
      <c r="F1643" s="81"/>
      <c r="G1643" s="81"/>
      <c r="H1643" s="81"/>
      <c r="I1643" s="80"/>
      <c r="J1643" s="81"/>
      <c r="K1643" s="80"/>
      <c r="L1643" s="81"/>
      <c r="M1643" s="642"/>
      <c r="N1643" s="81"/>
      <c r="O1643" s="642"/>
      <c r="P1643" s="81"/>
      <c r="Q1643" s="80"/>
      <c r="R1643" s="81"/>
      <c r="S1643" s="81"/>
      <c r="T1643" s="81"/>
    </row>
    <row r="1644" customHeight="1" spans="1:20">
      <c r="A1644" s="80"/>
      <c r="B1644" s="81"/>
      <c r="C1644" s="642"/>
      <c r="D1644" s="81"/>
      <c r="E1644" s="81"/>
      <c r="F1644" s="81"/>
      <c r="G1644" s="81"/>
      <c r="H1644" s="81"/>
      <c r="I1644" s="80"/>
      <c r="J1644" s="81"/>
      <c r="K1644" s="80"/>
      <c r="L1644" s="81"/>
      <c r="M1644" s="642"/>
      <c r="N1644" s="81"/>
      <c r="O1644" s="642"/>
      <c r="P1644" s="81"/>
      <c r="Q1644" s="80"/>
      <c r="R1644" s="81"/>
      <c r="S1644" s="81"/>
      <c r="T1644" s="81"/>
    </row>
    <row r="1645" customHeight="1" spans="1:20">
      <c r="A1645" s="80"/>
      <c r="B1645" s="81"/>
      <c r="C1645" s="642"/>
      <c r="D1645" s="81"/>
      <c r="E1645" s="81"/>
      <c r="F1645" s="81"/>
      <c r="G1645" s="81"/>
      <c r="H1645" s="81"/>
      <c r="I1645" s="80"/>
      <c r="J1645" s="81"/>
      <c r="K1645" s="80"/>
      <c r="L1645" s="81"/>
      <c r="M1645" s="642"/>
      <c r="N1645" s="81"/>
      <c r="O1645" s="642"/>
      <c r="P1645" s="81"/>
      <c r="Q1645" s="80"/>
      <c r="R1645" s="81"/>
      <c r="S1645" s="81"/>
      <c r="T1645" s="81"/>
    </row>
    <row r="1646" customHeight="1" spans="1:20">
      <c r="A1646" s="80"/>
      <c r="B1646" s="81"/>
      <c r="C1646" s="642"/>
      <c r="D1646" s="81"/>
      <c r="E1646" s="81"/>
      <c r="F1646" s="81"/>
      <c r="G1646" s="81"/>
      <c r="H1646" s="81"/>
      <c r="I1646" s="80"/>
      <c r="J1646" s="81"/>
      <c r="K1646" s="80"/>
      <c r="L1646" s="81"/>
      <c r="M1646" s="642"/>
      <c r="N1646" s="81"/>
      <c r="O1646" s="642"/>
      <c r="P1646" s="81"/>
      <c r="Q1646" s="80"/>
      <c r="R1646" s="81"/>
      <c r="S1646" s="81"/>
      <c r="T1646" s="81"/>
    </row>
    <row r="1647" customHeight="1" spans="1:20">
      <c r="A1647" s="80"/>
      <c r="B1647" s="81"/>
      <c r="C1647" s="642"/>
      <c r="D1647" s="81"/>
      <c r="E1647" s="81"/>
      <c r="F1647" s="81"/>
      <c r="G1647" s="81"/>
      <c r="H1647" s="81"/>
      <c r="I1647" s="80"/>
      <c r="J1647" s="81"/>
      <c r="K1647" s="80"/>
      <c r="L1647" s="81"/>
      <c r="M1647" s="642"/>
      <c r="N1647" s="81"/>
      <c r="O1647" s="642"/>
      <c r="P1647" s="81"/>
      <c r="Q1647" s="80"/>
      <c r="R1647" s="81"/>
      <c r="S1647" s="81"/>
      <c r="T1647" s="81"/>
    </row>
    <row r="1648" customHeight="1" spans="1:20">
      <c r="A1648" s="80"/>
      <c r="B1648" s="81"/>
      <c r="C1648" s="642"/>
      <c r="D1648" s="81"/>
      <c r="E1648" s="81"/>
      <c r="F1648" s="81"/>
      <c r="G1648" s="81"/>
      <c r="H1648" s="81"/>
      <c r="I1648" s="80"/>
      <c r="J1648" s="81"/>
      <c r="K1648" s="80"/>
      <c r="L1648" s="81"/>
      <c r="M1648" s="642"/>
      <c r="N1648" s="81"/>
      <c r="O1648" s="642"/>
      <c r="P1648" s="81"/>
      <c r="Q1648" s="80"/>
      <c r="R1648" s="81"/>
      <c r="S1648" s="81"/>
      <c r="T1648" s="81"/>
    </row>
    <row r="1649" customHeight="1" spans="1:20">
      <c r="A1649" s="80"/>
      <c r="B1649" s="81"/>
      <c r="C1649" s="642"/>
      <c r="D1649" s="81"/>
      <c r="E1649" s="81"/>
      <c r="F1649" s="81"/>
      <c r="G1649" s="81"/>
      <c r="H1649" s="81"/>
      <c r="I1649" s="80"/>
      <c r="J1649" s="81"/>
      <c r="K1649" s="80"/>
      <c r="L1649" s="81"/>
      <c r="M1649" s="642"/>
      <c r="N1649" s="81"/>
      <c r="O1649" s="642"/>
      <c r="P1649" s="81"/>
      <c r="Q1649" s="80"/>
      <c r="R1649" s="81"/>
      <c r="S1649" s="81"/>
      <c r="T1649" s="81"/>
    </row>
    <row r="1650" customHeight="1" spans="1:20">
      <c r="A1650" s="80"/>
      <c r="B1650" s="81"/>
      <c r="C1650" s="642"/>
      <c r="D1650" s="81"/>
      <c r="E1650" s="81"/>
      <c r="F1650" s="81"/>
      <c r="G1650" s="81"/>
      <c r="H1650" s="81"/>
      <c r="I1650" s="80"/>
      <c r="J1650" s="81"/>
      <c r="K1650" s="80"/>
      <c r="L1650" s="81"/>
      <c r="M1650" s="642"/>
      <c r="N1650" s="81"/>
      <c r="O1650" s="642"/>
      <c r="P1650" s="81"/>
      <c r="Q1650" s="80"/>
      <c r="R1650" s="81"/>
      <c r="S1650" s="81"/>
      <c r="T1650" s="81"/>
    </row>
    <row r="1651" customHeight="1" spans="1:20">
      <c r="A1651" s="80"/>
      <c r="B1651" s="81"/>
      <c r="C1651" s="642"/>
      <c r="D1651" s="81"/>
      <c r="E1651" s="81"/>
      <c r="F1651" s="81"/>
      <c r="G1651" s="81"/>
      <c r="H1651" s="81"/>
      <c r="I1651" s="80"/>
      <c r="J1651" s="81"/>
      <c r="K1651" s="80"/>
      <c r="L1651" s="81"/>
      <c r="M1651" s="642"/>
      <c r="N1651" s="81"/>
      <c r="O1651" s="642"/>
      <c r="P1651" s="81"/>
      <c r="Q1651" s="80"/>
      <c r="R1651" s="81"/>
      <c r="S1651" s="81"/>
      <c r="T1651" s="81"/>
    </row>
    <row r="1652" customHeight="1" spans="1:20">
      <c r="A1652" s="80"/>
      <c r="B1652" s="81"/>
      <c r="C1652" s="642"/>
      <c r="D1652" s="81"/>
      <c r="E1652" s="81"/>
      <c r="F1652" s="81"/>
      <c r="G1652" s="81"/>
      <c r="H1652" s="81"/>
      <c r="I1652" s="80"/>
      <c r="J1652" s="81"/>
      <c r="K1652" s="80"/>
      <c r="L1652" s="81"/>
      <c r="M1652" s="642"/>
      <c r="N1652" s="81"/>
      <c r="O1652" s="642"/>
      <c r="P1652" s="81"/>
      <c r="Q1652" s="80"/>
      <c r="R1652" s="81"/>
      <c r="S1652" s="81"/>
      <c r="T1652" s="81"/>
    </row>
    <row r="1653" customHeight="1" spans="1:20">
      <c r="A1653" s="80"/>
      <c r="B1653" s="81"/>
      <c r="C1653" s="642"/>
      <c r="D1653" s="81"/>
      <c r="E1653" s="81"/>
      <c r="F1653" s="81"/>
      <c r="G1653" s="81"/>
      <c r="H1653" s="81"/>
      <c r="I1653" s="80"/>
      <c r="J1653" s="81"/>
      <c r="K1653" s="80"/>
      <c r="L1653" s="81"/>
      <c r="M1653" s="642"/>
      <c r="N1653" s="81"/>
      <c r="O1653" s="642"/>
      <c r="P1653" s="81"/>
      <c r="Q1653" s="80"/>
      <c r="R1653" s="81"/>
      <c r="S1653" s="81"/>
      <c r="T1653" s="81"/>
    </row>
    <row r="1654" customHeight="1" spans="1:20">
      <c r="A1654" s="80"/>
      <c r="B1654" s="81"/>
      <c r="C1654" s="642"/>
      <c r="D1654" s="81"/>
      <c r="E1654" s="81"/>
      <c r="F1654" s="81"/>
      <c r="G1654" s="81"/>
      <c r="H1654" s="81"/>
      <c r="I1654" s="80"/>
      <c r="J1654" s="81"/>
      <c r="K1654" s="80"/>
      <c r="L1654" s="81"/>
      <c r="M1654" s="642"/>
      <c r="N1654" s="81"/>
      <c r="O1654" s="642"/>
      <c r="P1654" s="81"/>
      <c r="Q1654" s="80"/>
      <c r="R1654" s="81"/>
      <c r="S1654" s="81"/>
      <c r="T1654" s="81"/>
    </row>
    <row r="1655" customHeight="1" spans="1:20">
      <c r="A1655" s="80"/>
      <c r="B1655" s="81"/>
      <c r="C1655" s="642"/>
      <c r="D1655" s="81"/>
      <c r="E1655" s="81"/>
      <c r="F1655" s="81"/>
      <c r="G1655" s="81"/>
      <c r="H1655" s="81"/>
      <c r="I1655" s="80"/>
      <c r="J1655" s="81"/>
      <c r="K1655" s="80"/>
      <c r="L1655" s="81"/>
      <c r="M1655" s="642"/>
      <c r="N1655" s="81"/>
      <c r="O1655" s="642"/>
      <c r="P1655" s="81"/>
      <c r="Q1655" s="80"/>
      <c r="R1655" s="81"/>
      <c r="S1655" s="81"/>
      <c r="T1655" s="81"/>
    </row>
    <row r="1656" customHeight="1" spans="1:20">
      <c r="A1656" s="80"/>
      <c r="B1656" s="81"/>
      <c r="C1656" s="642"/>
      <c r="D1656" s="81"/>
      <c r="E1656" s="81"/>
      <c r="F1656" s="81"/>
      <c r="G1656" s="81"/>
      <c r="H1656" s="81"/>
      <c r="I1656" s="80"/>
      <c r="J1656" s="81"/>
      <c r="K1656" s="80"/>
      <c r="L1656" s="81"/>
      <c r="M1656" s="642"/>
      <c r="N1656" s="81"/>
      <c r="O1656" s="642"/>
      <c r="P1656" s="81"/>
      <c r="Q1656" s="80"/>
      <c r="R1656" s="81"/>
      <c r="S1656" s="81"/>
      <c r="T1656" s="81"/>
    </row>
    <row r="1657" customHeight="1" spans="1:20">
      <c r="A1657" s="80"/>
      <c r="B1657" s="81"/>
      <c r="C1657" s="642"/>
      <c r="D1657" s="81"/>
      <c r="E1657" s="81"/>
      <c r="F1657" s="81"/>
      <c r="G1657" s="81"/>
      <c r="H1657" s="81"/>
      <c r="I1657" s="80"/>
      <c r="J1657" s="81"/>
      <c r="K1657" s="80"/>
      <c r="L1657" s="81"/>
      <c r="M1657" s="642"/>
      <c r="N1657" s="81"/>
      <c r="O1657" s="642"/>
      <c r="P1657" s="81"/>
      <c r="Q1657" s="80"/>
      <c r="R1657" s="81"/>
      <c r="S1657" s="81"/>
      <c r="T1657" s="81"/>
    </row>
    <row r="1658" customHeight="1" spans="1:20">
      <c r="A1658" s="80"/>
      <c r="B1658" s="81"/>
      <c r="C1658" s="642"/>
      <c r="D1658" s="81"/>
      <c r="E1658" s="81"/>
      <c r="F1658" s="81"/>
      <c r="G1658" s="81"/>
      <c r="H1658" s="81"/>
      <c r="I1658" s="80"/>
      <c r="J1658" s="81"/>
      <c r="K1658" s="80"/>
      <c r="L1658" s="81"/>
      <c r="M1658" s="642"/>
      <c r="N1658" s="81"/>
      <c r="O1658" s="642"/>
      <c r="P1658" s="81"/>
      <c r="Q1658" s="80"/>
      <c r="R1658" s="81"/>
      <c r="S1658" s="81"/>
      <c r="T1658" s="81"/>
    </row>
    <row r="1659" customHeight="1" spans="1:20">
      <c r="A1659" s="80"/>
      <c r="B1659" s="81"/>
      <c r="C1659" s="642"/>
      <c r="D1659" s="81"/>
      <c r="E1659" s="81"/>
      <c r="F1659" s="81"/>
      <c r="G1659" s="81"/>
      <c r="H1659" s="81"/>
      <c r="I1659" s="80"/>
      <c r="J1659" s="81"/>
      <c r="K1659" s="80"/>
      <c r="L1659" s="81"/>
      <c r="M1659" s="642"/>
      <c r="N1659" s="81"/>
      <c r="O1659" s="642"/>
      <c r="P1659" s="81"/>
      <c r="Q1659" s="80"/>
      <c r="R1659" s="81"/>
      <c r="S1659" s="81"/>
      <c r="T1659" s="81"/>
    </row>
    <row r="1660" customHeight="1" spans="1:20">
      <c r="A1660" s="80"/>
      <c r="B1660" s="81"/>
      <c r="C1660" s="642"/>
      <c r="D1660" s="81"/>
      <c r="E1660" s="81"/>
      <c r="F1660" s="81"/>
      <c r="G1660" s="81"/>
      <c r="H1660" s="81"/>
      <c r="I1660" s="80"/>
      <c r="J1660" s="81"/>
      <c r="K1660" s="80"/>
      <c r="L1660" s="81"/>
      <c r="M1660" s="642"/>
      <c r="N1660" s="81"/>
      <c r="O1660" s="642"/>
      <c r="P1660" s="81"/>
      <c r="Q1660" s="80"/>
      <c r="R1660" s="81"/>
      <c r="S1660" s="81"/>
      <c r="T1660" s="81"/>
    </row>
    <row r="1661" customHeight="1" spans="1:20">
      <c r="A1661" s="80"/>
      <c r="B1661" s="81"/>
      <c r="C1661" s="642"/>
      <c r="D1661" s="81"/>
      <c r="E1661" s="81"/>
      <c r="F1661" s="81"/>
      <c r="G1661" s="81"/>
      <c r="H1661" s="81"/>
      <c r="I1661" s="80"/>
      <c r="J1661" s="81"/>
      <c r="K1661" s="80"/>
      <c r="L1661" s="81"/>
      <c r="M1661" s="642"/>
      <c r="N1661" s="81"/>
      <c r="O1661" s="642"/>
      <c r="P1661" s="81"/>
      <c r="Q1661" s="80"/>
      <c r="R1661" s="81"/>
      <c r="S1661" s="81"/>
      <c r="T1661" s="81"/>
    </row>
  </sheetData>
  <autoFilter xmlns:etc="http://www.wps.cn/officeDocument/2017/etCustomData" ref="A2:S948" etc:filterBottomFollowUsedRange="0">
    <extLst/>
  </autoFilter>
  <mergeCells count="1">
    <mergeCell ref="A1:F1"/>
  </mergeCells>
  <conditionalFormatting sqref="T2">
    <cfRule type="expression" dxfId="1" priority="1">
      <formula>$K2="Hư hỏng"</formula>
    </cfRule>
  </conditionalFormatting>
  <conditionalFormatting sqref="J895:K895">
    <cfRule type="containsText" dxfId="3" priority="2" operator="between" text="Hư hỏng">
      <formula>NOT(ISERROR(SEARCH("Hư hỏng",J895)))</formula>
    </cfRule>
    <cfRule type="containsText" dxfId="4" priority="3" operator="between" text="Thu hồi">
      <formula>NOT(ISERROR(SEARCH("Thu hồi",J895)))</formula>
    </cfRule>
    <cfRule type="containsText" dxfId="5" priority="4" operator="between" text="bình thường">
      <formula>NOT(ISERROR(SEARCH("bình thường",J895)))</formula>
    </cfRule>
  </conditionalFormatting>
  <conditionalFormatting sqref="B875 B891 B895">
    <cfRule type="expression" dxfId="6" priority="5">
      <formula>COUNTIF(B:B,B875)&gt;1</formula>
    </cfRule>
  </conditionalFormatting>
  <dataValidations count="1">
    <dataValidation type="list" allowBlank="1" showErrorMessage="1" sqref="G6:G10 G12:G715 G717:G894">
      <formula1>'[1]#REF'!$B$3:$B$167</formula1>
    </dataValidation>
  </dataValidations>
  <pageMargins left="0.7" right="0.7" top="0.75" bottom="0.75" header="0" footer="0"/>
  <pageSetup paperSize="1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99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I2" sqref="I2"/>
    </sheetView>
  </sheetViews>
  <sheetFormatPr defaultColWidth="12.6333333333333" defaultRowHeight="15" customHeight="1"/>
  <cols>
    <col min="1" max="1" width="4.13333333333333" customWidth="1"/>
    <col min="2" max="2" width="11.6333333333333" customWidth="1"/>
    <col min="3" max="4" width="11.6333333333333" hidden="1" customWidth="1"/>
    <col min="5" max="6" width="7.63333333333333" hidden="1" customWidth="1"/>
    <col min="7" max="7" width="16.6333333333333" customWidth="1"/>
    <col min="8" max="8" width="7.63333333333333" hidden="1" customWidth="1"/>
    <col min="9" max="9" width="7.63333333333333" customWidth="1"/>
    <col min="10" max="10" width="14.75" hidden="1" customWidth="1"/>
    <col min="11" max="13" width="7.63333333333333" hidden="1" customWidth="1"/>
    <col min="14" max="20" width="7.63333333333333" customWidth="1"/>
    <col min="21" max="21" width="15.3833333333333" customWidth="1"/>
  </cols>
  <sheetData>
    <row r="1" ht="14.25" customHeight="1" spans="1:21">
      <c r="A1" s="477" t="s">
        <v>421</v>
      </c>
      <c r="B1" s="478" t="s">
        <v>422</v>
      </c>
      <c r="C1" s="478" t="s">
        <v>423</v>
      </c>
      <c r="D1" s="478" t="s">
        <v>424</v>
      </c>
      <c r="E1" s="478" t="s">
        <v>425</v>
      </c>
      <c r="F1" s="478" t="s">
        <v>3260</v>
      </c>
      <c r="G1" s="478" t="s">
        <v>427</v>
      </c>
      <c r="H1" s="478" t="s">
        <v>428</v>
      </c>
      <c r="I1" s="478" t="s">
        <v>429</v>
      </c>
      <c r="J1" s="478" t="s">
        <v>430</v>
      </c>
      <c r="K1" s="478" t="s">
        <v>6522</v>
      </c>
      <c r="L1" s="478" t="s">
        <v>431</v>
      </c>
      <c r="M1" s="478" t="s">
        <v>432</v>
      </c>
      <c r="N1" s="478" t="s">
        <v>436</v>
      </c>
      <c r="O1" s="478" t="s">
        <v>433</v>
      </c>
      <c r="P1" s="478" t="s">
        <v>434</v>
      </c>
      <c r="Q1" s="478" t="s">
        <v>435</v>
      </c>
      <c r="R1" s="478" t="s">
        <v>437</v>
      </c>
      <c r="S1" s="478" t="s">
        <v>438</v>
      </c>
      <c r="T1" s="478" t="s">
        <v>439</v>
      </c>
      <c r="U1" s="90" t="s">
        <v>6523</v>
      </c>
    </row>
    <row r="2" ht="14.25" customHeight="1" spans="1:21">
      <c r="A2" s="479"/>
      <c r="B2" s="480"/>
      <c r="C2" s="462">
        <v>541</v>
      </c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480"/>
      <c r="S2" s="480"/>
      <c r="T2" s="480"/>
      <c r="U2" s="90">
        <v>21</v>
      </c>
    </row>
    <row r="3" ht="14.25" customHeight="1" spans="1:21">
      <c r="A3" s="481" t="s">
        <v>446</v>
      </c>
      <c r="B3" s="482"/>
      <c r="C3" s="483">
        <v>111</v>
      </c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  <c r="T3" s="482"/>
      <c r="U3" s="484" t="str">
        <f>IFERROR(VLOOKUP(O3,'Thông số'!$B:$F,5,0),"")</f>
        <v/>
      </c>
    </row>
    <row r="4" ht="14.25" customHeight="1" spans="1:21">
      <c r="A4" s="485" t="s">
        <v>448</v>
      </c>
      <c r="B4" s="486" t="s">
        <v>449</v>
      </c>
      <c r="C4" s="487">
        <v>45</v>
      </c>
      <c r="D4" s="488"/>
      <c r="E4" s="488"/>
      <c r="F4" s="488"/>
      <c r="G4" s="488"/>
      <c r="H4" s="488"/>
      <c r="I4" s="488"/>
      <c r="J4" s="488"/>
      <c r="K4" s="488"/>
      <c r="L4" s="488"/>
      <c r="M4" s="488"/>
      <c r="N4" s="488"/>
      <c r="O4" s="488"/>
      <c r="P4" s="488"/>
      <c r="Q4" s="488"/>
      <c r="R4" s="488"/>
      <c r="S4" s="488"/>
      <c r="T4" s="488"/>
      <c r="U4" s="484" t="str">
        <f>IFERROR(VLOOKUP(O4,'Thông số'!$B:$F,5,0),"")</f>
        <v/>
      </c>
    </row>
    <row r="5" ht="14.25" customHeight="1" spans="1:21">
      <c r="A5" s="489">
        <v>1</v>
      </c>
      <c r="B5" s="490" t="s">
        <v>450</v>
      </c>
      <c r="C5" s="491"/>
      <c r="D5" s="470" t="s">
        <v>3267</v>
      </c>
      <c r="E5" s="491"/>
      <c r="F5" s="490" t="s">
        <v>3267</v>
      </c>
      <c r="G5" s="490" t="s">
        <v>45</v>
      </c>
      <c r="H5" s="470" t="s">
        <v>6524</v>
      </c>
      <c r="I5" s="470" t="s">
        <v>14</v>
      </c>
      <c r="J5" s="492">
        <v>43952</v>
      </c>
      <c r="K5" s="470" t="s">
        <v>1126</v>
      </c>
      <c r="L5" s="493">
        <v>0.67</v>
      </c>
      <c r="M5" s="491"/>
      <c r="N5" s="470" t="s">
        <v>454</v>
      </c>
      <c r="O5" s="490" t="s">
        <v>452</v>
      </c>
      <c r="P5" s="490" t="s">
        <v>453</v>
      </c>
      <c r="Q5" s="470">
        <v>2019</v>
      </c>
      <c r="R5" s="470" t="s">
        <v>196</v>
      </c>
      <c r="S5" s="490" t="s">
        <v>6525</v>
      </c>
      <c r="T5" s="490" t="s">
        <v>456</v>
      </c>
      <c r="U5" s="484" t="str">
        <f>IFERROR(VLOOKUP(N5,'Thông số'!$B:$F,5,0),"")</f>
        <v>9560 x 2800 x 3160</v>
      </c>
    </row>
    <row r="6" ht="14.25" customHeight="1" spans="1:21">
      <c r="A6" s="489">
        <v>2</v>
      </c>
      <c r="B6" s="490" t="s">
        <v>457</v>
      </c>
      <c r="C6" s="491"/>
      <c r="D6" s="470" t="s">
        <v>3269</v>
      </c>
      <c r="E6" s="491"/>
      <c r="F6" s="490" t="s">
        <v>3269</v>
      </c>
      <c r="G6" s="490" t="s">
        <v>53</v>
      </c>
      <c r="H6" s="470" t="s">
        <v>6526</v>
      </c>
      <c r="I6" s="470" t="s">
        <v>14</v>
      </c>
      <c r="J6" s="492">
        <v>43508</v>
      </c>
      <c r="K6" s="470" t="s">
        <v>1126</v>
      </c>
      <c r="L6" s="493">
        <v>0.4</v>
      </c>
      <c r="M6" s="491"/>
      <c r="N6" s="470" t="s">
        <v>459</v>
      </c>
      <c r="O6" s="490" t="s">
        <v>458</v>
      </c>
      <c r="P6" s="490" t="s">
        <v>453</v>
      </c>
      <c r="Q6" s="470">
        <v>1993</v>
      </c>
      <c r="R6" s="470" t="s">
        <v>460</v>
      </c>
      <c r="S6" s="490" t="s">
        <v>461</v>
      </c>
      <c r="T6" s="490" t="s">
        <v>462</v>
      </c>
      <c r="U6" s="484" t="str">
        <f>IFERROR(VLOOKUP(N6,'Thông số'!$B:$F,5,0),"")</f>
        <v>9460 x 2800 x 3200</v>
      </c>
    </row>
    <row r="7" ht="14.25" customHeight="1" spans="1:21">
      <c r="A7" s="489">
        <v>3</v>
      </c>
      <c r="B7" s="490" t="s">
        <v>463</v>
      </c>
      <c r="C7" s="491"/>
      <c r="D7" s="470" t="s">
        <v>3275</v>
      </c>
      <c r="E7" s="491"/>
      <c r="F7" s="490" t="s">
        <v>3275</v>
      </c>
      <c r="G7" s="490" t="s">
        <v>43</v>
      </c>
      <c r="H7" s="470" t="s">
        <v>6527</v>
      </c>
      <c r="I7" s="470" t="s">
        <v>14</v>
      </c>
      <c r="J7" s="492">
        <v>43992</v>
      </c>
      <c r="K7" s="470" t="s">
        <v>1126</v>
      </c>
      <c r="L7" s="493">
        <v>0.68</v>
      </c>
      <c r="M7" s="491"/>
      <c r="N7" s="470" t="s">
        <v>466</v>
      </c>
      <c r="O7" s="490" t="s">
        <v>464</v>
      </c>
      <c r="P7" s="490" t="s">
        <v>465</v>
      </c>
      <c r="Q7" s="470">
        <v>2019</v>
      </c>
      <c r="R7" s="470" t="s">
        <v>467</v>
      </c>
      <c r="S7" s="490" t="s">
        <v>468</v>
      </c>
      <c r="T7" s="490" t="s">
        <v>462</v>
      </c>
      <c r="U7" s="484" t="str">
        <f>IFERROR(VLOOKUP(N7,'Thông số'!$B:$F,5,0),"")</f>
        <v>7235 x 2496 x 3351</v>
      </c>
    </row>
    <row r="8" ht="14.25" customHeight="1" spans="1:21">
      <c r="A8" s="489">
        <v>4</v>
      </c>
      <c r="B8" s="490" t="s">
        <v>469</v>
      </c>
      <c r="C8" s="491"/>
      <c r="D8" s="470" t="s">
        <v>3276</v>
      </c>
      <c r="E8" s="491"/>
      <c r="F8" s="490" t="s">
        <v>3276</v>
      </c>
      <c r="G8" s="490" t="s">
        <v>43</v>
      </c>
      <c r="H8" s="470" t="s">
        <v>6527</v>
      </c>
      <c r="I8" s="470" t="s">
        <v>14</v>
      </c>
      <c r="J8" s="492">
        <v>43508</v>
      </c>
      <c r="K8" s="470" t="s">
        <v>1126</v>
      </c>
      <c r="L8" s="493">
        <v>0.4</v>
      </c>
      <c r="M8" s="491"/>
      <c r="N8" s="470" t="s">
        <v>466</v>
      </c>
      <c r="O8" s="490" t="s">
        <v>464</v>
      </c>
      <c r="P8" s="490" t="s">
        <v>465</v>
      </c>
      <c r="Q8" s="470">
        <v>2018</v>
      </c>
      <c r="R8" s="470" t="s">
        <v>467</v>
      </c>
      <c r="S8" s="490" t="s">
        <v>470</v>
      </c>
      <c r="T8" s="490" t="s">
        <v>462</v>
      </c>
      <c r="U8" s="484" t="str">
        <f>IFERROR(VLOOKUP(N8,'Thông số'!$B:$F,5,0),"")</f>
        <v>7235 x 2496 x 3351</v>
      </c>
    </row>
    <row r="9" ht="14.25" customHeight="1" spans="1:21">
      <c r="A9" s="494">
        <v>5</v>
      </c>
      <c r="B9" s="495" t="s">
        <v>471</v>
      </c>
      <c r="C9" s="496"/>
      <c r="D9" s="473" t="s">
        <v>3270</v>
      </c>
      <c r="E9" s="497"/>
      <c r="F9" s="495" t="s">
        <v>3270</v>
      </c>
      <c r="G9" s="495" t="s">
        <v>53</v>
      </c>
      <c r="H9" s="473" t="s">
        <v>6526</v>
      </c>
      <c r="I9" s="473" t="s">
        <v>14</v>
      </c>
      <c r="J9" s="498">
        <v>44287</v>
      </c>
      <c r="K9" s="473" t="s">
        <v>1263</v>
      </c>
      <c r="L9" s="499">
        <v>0.7</v>
      </c>
      <c r="M9" s="497"/>
      <c r="N9" s="473" t="s">
        <v>472</v>
      </c>
      <c r="O9" s="495" t="s">
        <v>458</v>
      </c>
      <c r="P9" s="495" t="s">
        <v>453</v>
      </c>
      <c r="Q9" s="473">
        <v>2020</v>
      </c>
      <c r="R9" s="473" t="s">
        <v>54</v>
      </c>
      <c r="S9" s="495" t="s">
        <v>473</v>
      </c>
      <c r="T9" s="495">
        <v>801502</v>
      </c>
      <c r="U9" s="484" t="str">
        <f>IFERROR(VLOOKUP(N9,'Thông số'!$B:$F,5,0),"")</f>
        <v>9460 x 2800 x 3200</v>
      </c>
    </row>
    <row r="10" ht="14.25" customHeight="1" spans="1:21">
      <c r="A10" s="494">
        <v>6</v>
      </c>
      <c r="B10" s="495" t="s">
        <v>474</v>
      </c>
      <c r="C10" s="496"/>
      <c r="D10" s="473" t="s">
        <v>3287</v>
      </c>
      <c r="E10" s="497"/>
      <c r="F10" s="495" t="s">
        <v>3287</v>
      </c>
      <c r="G10" s="495" t="s">
        <v>52</v>
      </c>
      <c r="H10" s="473" t="s">
        <v>6528</v>
      </c>
      <c r="I10" s="473" t="s">
        <v>14</v>
      </c>
      <c r="J10" s="498">
        <v>44287</v>
      </c>
      <c r="K10" s="473" t="s">
        <v>1263</v>
      </c>
      <c r="L10" s="499">
        <v>0.7</v>
      </c>
      <c r="M10" s="497"/>
      <c r="N10" s="473" t="s">
        <v>475</v>
      </c>
      <c r="O10" s="495" t="s">
        <v>458</v>
      </c>
      <c r="P10" s="495" t="s">
        <v>453</v>
      </c>
      <c r="Q10" s="473">
        <v>2021</v>
      </c>
      <c r="R10" s="473" t="s">
        <v>476</v>
      </c>
      <c r="S10" s="495" t="s">
        <v>477</v>
      </c>
      <c r="T10" s="495" t="s">
        <v>478</v>
      </c>
      <c r="U10" s="484" t="str">
        <f>IFERROR(VLOOKUP(N10,'Thông số'!$B:$F,5,0),"")</f>
        <v>7640 x 2590 x 2820</v>
      </c>
    </row>
    <row r="11" ht="14.25" customHeight="1" spans="1:21">
      <c r="A11" s="489">
        <v>7</v>
      </c>
      <c r="B11" s="490" t="s">
        <v>479</v>
      </c>
      <c r="C11" s="491"/>
      <c r="D11" s="470" t="s">
        <v>3302</v>
      </c>
      <c r="E11" s="491"/>
      <c r="F11" s="490" t="s">
        <v>3302</v>
      </c>
      <c r="G11" s="490" t="s">
        <v>57</v>
      </c>
      <c r="H11" s="470" t="s">
        <v>6529</v>
      </c>
      <c r="I11" s="470" t="s">
        <v>14</v>
      </c>
      <c r="J11" s="492">
        <v>43835</v>
      </c>
      <c r="K11" s="470" t="s">
        <v>1126</v>
      </c>
      <c r="L11" s="491"/>
      <c r="M11" s="491"/>
      <c r="N11" s="470" t="s">
        <v>481</v>
      </c>
      <c r="O11" s="490" t="s">
        <v>480</v>
      </c>
      <c r="P11" s="490" t="s">
        <v>453</v>
      </c>
      <c r="Q11" s="470">
        <v>1997</v>
      </c>
      <c r="R11" s="470" t="s">
        <v>482</v>
      </c>
      <c r="S11" s="490" t="s">
        <v>483</v>
      </c>
      <c r="T11" s="490" t="s">
        <v>462</v>
      </c>
      <c r="U11" s="484" t="str">
        <f>IFERROR(VLOOKUP(N11,'Thông số'!$B:$F,5,0),"")</f>
        <v>4200 x 2980 x 2720</v>
      </c>
    </row>
    <row r="12" ht="14.25" customHeight="1" spans="1:21">
      <c r="A12" s="489">
        <v>8</v>
      </c>
      <c r="B12" s="490" t="s">
        <v>484</v>
      </c>
      <c r="C12" s="491"/>
      <c r="D12" s="470" t="s">
        <v>3312</v>
      </c>
      <c r="E12" s="491"/>
      <c r="F12" s="490" t="s">
        <v>3312</v>
      </c>
      <c r="G12" s="490" t="s">
        <v>62</v>
      </c>
      <c r="H12" s="470" t="s">
        <v>6530</v>
      </c>
      <c r="I12" s="470" t="s">
        <v>14</v>
      </c>
      <c r="J12" s="492">
        <v>44013</v>
      </c>
      <c r="K12" s="470" t="s">
        <v>1126</v>
      </c>
      <c r="L12" s="491"/>
      <c r="M12" s="491"/>
      <c r="N12" s="470" t="s">
        <v>485</v>
      </c>
      <c r="O12" s="490" t="s">
        <v>480</v>
      </c>
      <c r="P12" s="490" t="s">
        <v>453</v>
      </c>
      <c r="Q12" s="470">
        <v>2002</v>
      </c>
      <c r="R12" s="470" t="s">
        <v>61</v>
      </c>
      <c r="S12" s="490" t="s">
        <v>486</v>
      </c>
      <c r="T12" s="490" t="s">
        <v>462</v>
      </c>
      <c r="U12" s="484" t="str">
        <f>IFERROR(VLOOKUP(N12,'Thông số'!$B:$F,5,0),"")</f>
        <v>5585 x 3000 x 3055</v>
      </c>
    </row>
    <row r="13" ht="14.25" customHeight="1" spans="1:21">
      <c r="A13" s="494">
        <v>9</v>
      </c>
      <c r="B13" s="495" t="s">
        <v>487</v>
      </c>
      <c r="C13" s="497"/>
      <c r="D13" s="473" t="s">
        <v>3313</v>
      </c>
      <c r="E13" s="497"/>
      <c r="F13" s="495" t="s">
        <v>3313</v>
      </c>
      <c r="G13" s="495" t="s">
        <v>65</v>
      </c>
      <c r="H13" s="473" t="s">
        <v>6530</v>
      </c>
      <c r="I13" s="473" t="s">
        <v>14</v>
      </c>
      <c r="J13" s="498">
        <v>44200</v>
      </c>
      <c r="K13" s="473" t="s">
        <v>1263</v>
      </c>
      <c r="L13" s="499">
        <v>0.7</v>
      </c>
      <c r="M13" s="497"/>
      <c r="N13" s="473" t="s">
        <v>488</v>
      </c>
      <c r="O13" s="495" t="s">
        <v>480</v>
      </c>
      <c r="P13" s="495" t="s">
        <v>453</v>
      </c>
      <c r="Q13" s="473">
        <v>1992</v>
      </c>
      <c r="R13" s="473" t="s">
        <v>61</v>
      </c>
      <c r="S13" s="495" t="s">
        <v>489</v>
      </c>
      <c r="T13" s="495" t="s">
        <v>490</v>
      </c>
      <c r="U13" s="484" t="str">
        <f>IFERROR(VLOOKUP(N13,'Thông số'!$B:$F,5,0),"")</f>
        <v>5550 x 3970 x 3090</v>
      </c>
    </row>
    <row r="14" ht="14.25" customHeight="1" spans="1:21">
      <c r="A14" s="494">
        <v>10</v>
      </c>
      <c r="B14" s="495" t="s">
        <v>491</v>
      </c>
      <c r="C14" s="500" t="s">
        <v>492</v>
      </c>
      <c r="D14" s="473" t="s">
        <v>493</v>
      </c>
      <c r="E14" s="497"/>
      <c r="F14" s="497"/>
      <c r="G14" s="495" t="s">
        <v>62</v>
      </c>
      <c r="H14" s="473" t="s">
        <v>6530</v>
      </c>
      <c r="I14" s="473" t="s">
        <v>14</v>
      </c>
      <c r="J14" s="498">
        <v>45805</v>
      </c>
      <c r="K14" s="473" t="s">
        <v>1263</v>
      </c>
      <c r="L14" s="497"/>
      <c r="M14" s="501" t="s">
        <v>6531</v>
      </c>
      <c r="N14" s="473" t="s">
        <v>485</v>
      </c>
      <c r="O14" s="495" t="s">
        <v>480</v>
      </c>
      <c r="P14" s="495" t="s">
        <v>453</v>
      </c>
      <c r="Q14" s="473">
        <v>1994</v>
      </c>
      <c r="R14" s="473" t="s">
        <v>6532</v>
      </c>
      <c r="S14" s="495" t="s">
        <v>496</v>
      </c>
      <c r="T14" s="495" t="s">
        <v>497</v>
      </c>
      <c r="U14" s="484" t="str">
        <f>IFERROR(VLOOKUP(N14,'Thông số'!$B:$F,5,0),"")</f>
        <v>5585 x 3000 x 3055</v>
      </c>
    </row>
    <row r="15" ht="14.25" customHeight="1" spans="1:21">
      <c r="A15" s="489">
        <v>11</v>
      </c>
      <c r="B15" s="490" t="s">
        <v>498</v>
      </c>
      <c r="C15" s="491"/>
      <c r="D15" s="470" t="s">
        <v>3389</v>
      </c>
      <c r="E15" s="491"/>
      <c r="F15" s="491"/>
      <c r="G15" s="490" t="s">
        <v>104</v>
      </c>
      <c r="H15" s="491"/>
      <c r="I15" s="470" t="s">
        <v>14</v>
      </c>
      <c r="J15" s="491"/>
      <c r="K15" s="470" t="s">
        <v>1126</v>
      </c>
      <c r="L15" s="491"/>
      <c r="M15" s="491"/>
      <c r="N15" s="470" t="s">
        <v>501</v>
      </c>
      <c r="O15" s="490" t="s">
        <v>499</v>
      </c>
      <c r="P15" s="490" t="s">
        <v>500</v>
      </c>
      <c r="Q15" s="470">
        <v>2018</v>
      </c>
      <c r="R15" s="470" t="s">
        <v>105</v>
      </c>
      <c r="S15" s="490" t="s">
        <v>502</v>
      </c>
      <c r="T15" s="490" t="s">
        <v>462</v>
      </c>
      <c r="U15" s="484" t="str">
        <f>IFERROR(VLOOKUP(N15,'Thông số'!$B:$F,5,0),"")</f>
        <v>9290 x 2500 x 3370</v>
      </c>
    </row>
    <row r="16" ht="14.25" customHeight="1" spans="1:21">
      <c r="A16" s="494">
        <v>12</v>
      </c>
      <c r="B16" s="495" t="s">
        <v>503</v>
      </c>
      <c r="C16" s="500" t="s">
        <v>504</v>
      </c>
      <c r="D16" s="473" t="s">
        <v>505</v>
      </c>
      <c r="E16" s="473" t="s">
        <v>506</v>
      </c>
      <c r="F16" s="497"/>
      <c r="G16" s="495" t="s">
        <v>113</v>
      </c>
      <c r="H16" s="497"/>
      <c r="I16" s="473" t="s">
        <v>14</v>
      </c>
      <c r="J16" s="498">
        <v>45692</v>
      </c>
      <c r="K16" s="473" t="s">
        <v>1263</v>
      </c>
      <c r="L16" s="497"/>
      <c r="M16" s="501" t="s">
        <v>653</v>
      </c>
      <c r="N16" s="473" t="s">
        <v>509</v>
      </c>
      <c r="O16" s="495" t="s">
        <v>508</v>
      </c>
      <c r="P16" s="495" t="s">
        <v>500</v>
      </c>
      <c r="Q16" s="473">
        <v>2022</v>
      </c>
      <c r="R16" s="473" t="s">
        <v>6533</v>
      </c>
      <c r="S16" s="495" t="s">
        <v>510</v>
      </c>
      <c r="T16" s="495" t="s">
        <v>511</v>
      </c>
      <c r="U16" s="484" t="str">
        <f>IFERROR(VLOOKUP(N16,'Thông số'!$B:$F,5,0),"")</f>
        <v>7800 x 2500 x 3480</v>
      </c>
    </row>
    <row r="17" ht="14.25" customHeight="1" spans="1:21">
      <c r="A17" s="494">
        <v>13</v>
      </c>
      <c r="B17" s="495" t="s">
        <v>512</v>
      </c>
      <c r="C17" s="500" t="s">
        <v>504</v>
      </c>
      <c r="D17" s="473" t="s">
        <v>513</v>
      </c>
      <c r="E17" s="473" t="s">
        <v>514</v>
      </c>
      <c r="F17" s="497"/>
      <c r="G17" s="495" t="s">
        <v>113</v>
      </c>
      <c r="H17" s="497"/>
      <c r="I17" s="473" t="s">
        <v>14</v>
      </c>
      <c r="J17" s="498">
        <v>45692</v>
      </c>
      <c r="K17" s="473" t="s">
        <v>1263</v>
      </c>
      <c r="L17" s="497"/>
      <c r="M17" s="501" t="s">
        <v>653</v>
      </c>
      <c r="N17" s="473" t="s">
        <v>509</v>
      </c>
      <c r="O17" s="495" t="s">
        <v>508</v>
      </c>
      <c r="P17" s="495" t="s">
        <v>500</v>
      </c>
      <c r="Q17" s="473">
        <v>2022</v>
      </c>
      <c r="R17" s="473" t="s">
        <v>6533</v>
      </c>
      <c r="S17" s="495" t="s">
        <v>515</v>
      </c>
      <c r="T17" s="495" t="s">
        <v>516</v>
      </c>
      <c r="U17" s="484" t="str">
        <f>IFERROR(VLOOKUP(N17,'Thông số'!$B:$F,5,0),"")</f>
        <v>7800 x 2500 x 3480</v>
      </c>
    </row>
    <row r="18" ht="14.25" customHeight="1" spans="1:21">
      <c r="A18" s="494">
        <v>14</v>
      </c>
      <c r="B18" s="495" t="s">
        <v>517</v>
      </c>
      <c r="C18" s="500"/>
      <c r="D18" s="473" t="s">
        <v>519</v>
      </c>
      <c r="E18" s="473" t="s">
        <v>520</v>
      </c>
      <c r="F18" s="497"/>
      <c r="G18" s="495" t="s">
        <v>113</v>
      </c>
      <c r="H18" s="497"/>
      <c r="I18" s="473" t="s">
        <v>14</v>
      </c>
      <c r="J18" s="498">
        <v>45692</v>
      </c>
      <c r="K18" s="473" t="s">
        <v>1263</v>
      </c>
      <c r="L18" s="497"/>
      <c r="M18" s="501" t="s">
        <v>6534</v>
      </c>
      <c r="N18" s="473" t="s">
        <v>509</v>
      </c>
      <c r="O18" s="495" t="s">
        <v>508</v>
      </c>
      <c r="P18" s="495" t="s">
        <v>500</v>
      </c>
      <c r="Q18" s="473">
        <v>2022</v>
      </c>
      <c r="R18" s="473" t="s">
        <v>6533</v>
      </c>
      <c r="S18" s="495" t="s">
        <v>522</v>
      </c>
      <c r="T18" s="495" t="s">
        <v>523</v>
      </c>
      <c r="U18" s="484" t="str">
        <f>IFERROR(VLOOKUP(N18,'Thông số'!$B:$F,5,0),"")</f>
        <v>7800 x 2500 x 3480</v>
      </c>
    </row>
    <row r="19" ht="14.25" customHeight="1" spans="1:21">
      <c r="A19" s="494">
        <v>15</v>
      </c>
      <c r="B19" s="500" t="s">
        <v>524</v>
      </c>
      <c r="C19" s="500" t="s">
        <v>504</v>
      </c>
      <c r="D19" s="474" t="s">
        <v>525</v>
      </c>
      <c r="E19" s="474" t="s">
        <v>526</v>
      </c>
      <c r="F19" s="502"/>
      <c r="G19" s="500" t="s">
        <v>113</v>
      </c>
      <c r="H19" s="497"/>
      <c r="I19" s="474" t="s">
        <v>14</v>
      </c>
      <c r="J19" s="503">
        <v>45748</v>
      </c>
      <c r="K19" s="473" t="s">
        <v>1263</v>
      </c>
      <c r="L19" s="502"/>
      <c r="M19" s="501" t="s">
        <v>653</v>
      </c>
      <c r="N19" s="474" t="s">
        <v>509</v>
      </c>
      <c r="O19" s="500" t="s">
        <v>508</v>
      </c>
      <c r="P19" s="500" t="s">
        <v>500</v>
      </c>
      <c r="Q19" s="474">
        <v>2022</v>
      </c>
      <c r="R19" s="474" t="s">
        <v>6533</v>
      </c>
      <c r="S19" s="500" t="s">
        <v>527</v>
      </c>
      <c r="T19" s="500" t="s">
        <v>528</v>
      </c>
      <c r="U19" s="484" t="str">
        <f>IFERROR(VLOOKUP(N19,'Thông số'!$B:$F,5,0),"")</f>
        <v>7800 x 2500 x 3480</v>
      </c>
    </row>
    <row r="20" ht="14.25" customHeight="1" spans="1:21">
      <c r="A20" s="494">
        <v>16</v>
      </c>
      <c r="B20" s="495" t="s">
        <v>529</v>
      </c>
      <c r="C20" s="497"/>
      <c r="D20" s="473" t="s">
        <v>3320</v>
      </c>
      <c r="E20" s="497"/>
      <c r="F20" s="495" t="s">
        <v>3320</v>
      </c>
      <c r="G20" s="495" t="s">
        <v>76</v>
      </c>
      <c r="H20" s="497"/>
      <c r="I20" s="473" t="s">
        <v>14</v>
      </c>
      <c r="J20" s="498">
        <v>43952</v>
      </c>
      <c r="K20" s="473" t="s">
        <v>1263</v>
      </c>
      <c r="L20" s="499">
        <v>0.67</v>
      </c>
      <c r="M20" s="497"/>
      <c r="N20" s="473" t="s">
        <v>531</v>
      </c>
      <c r="O20" s="495" t="s">
        <v>530</v>
      </c>
      <c r="P20" s="495" t="s">
        <v>453</v>
      </c>
      <c r="Q20" s="473">
        <v>2006</v>
      </c>
      <c r="R20" s="473" t="s">
        <v>77</v>
      </c>
      <c r="S20" s="495" t="s">
        <v>532</v>
      </c>
      <c r="T20" s="495" t="s">
        <v>462</v>
      </c>
      <c r="U20" s="484" t="str">
        <f>IFERROR(VLOOKUP(N20,'Thông số'!$B:$F,5,0),"")</f>
        <v>5810 x 2300 x 2860</v>
      </c>
    </row>
    <row r="21" ht="14.25" customHeight="1" spans="1:21">
      <c r="A21" s="489">
        <v>17</v>
      </c>
      <c r="B21" s="490" t="s">
        <v>533</v>
      </c>
      <c r="C21" s="491"/>
      <c r="D21" s="470" t="s">
        <v>3325</v>
      </c>
      <c r="E21" s="491"/>
      <c r="F21" s="490" t="s">
        <v>3325</v>
      </c>
      <c r="G21" s="490" t="s">
        <v>78</v>
      </c>
      <c r="H21" s="491"/>
      <c r="I21" s="470" t="s">
        <v>14</v>
      </c>
      <c r="J21" s="492">
        <v>43841</v>
      </c>
      <c r="K21" s="470" t="s">
        <v>1126</v>
      </c>
      <c r="L21" s="493">
        <v>0.5</v>
      </c>
      <c r="M21" s="491"/>
      <c r="N21" s="470" t="s">
        <v>534</v>
      </c>
      <c r="O21" s="490" t="s">
        <v>530</v>
      </c>
      <c r="P21" s="490" t="s">
        <v>453</v>
      </c>
      <c r="Q21" s="470">
        <v>1990</v>
      </c>
      <c r="R21" s="470" t="s">
        <v>535</v>
      </c>
      <c r="S21" s="490" t="s">
        <v>536</v>
      </c>
      <c r="T21" s="490" t="s">
        <v>537</v>
      </c>
      <c r="U21" s="484" t="str">
        <f>IFERROR(VLOOKUP(N21,'Thông số'!$B:$F,5,0),"")</f>
        <v>5020 x 2000 x 3115</v>
      </c>
    </row>
    <row r="22" ht="14.25" customHeight="1" spans="1:21">
      <c r="A22" s="489">
        <v>18</v>
      </c>
      <c r="B22" s="490" t="s">
        <v>538</v>
      </c>
      <c r="C22" s="491"/>
      <c r="D22" s="470" t="s">
        <v>3435</v>
      </c>
      <c r="E22" s="491"/>
      <c r="F22" s="490" t="s">
        <v>3435</v>
      </c>
      <c r="G22" s="490" t="s">
        <v>131</v>
      </c>
      <c r="H22" s="491"/>
      <c r="I22" s="470" t="s">
        <v>14</v>
      </c>
      <c r="J22" s="470"/>
      <c r="K22" s="470" t="s">
        <v>1126</v>
      </c>
      <c r="L22" s="493">
        <v>0.97</v>
      </c>
      <c r="M22" s="491"/>
      <c r="N22" s="470" t="s">
        <v>6535</v>
      </c>
      <c r="O22" s="490" t="s">
        <v>540</v>
      </c>
      <c r="P22" s="490" t="s">
        <v>500</v>
      </c>
      <c r="Q22" s="470">
        <v>2022</v>
      </c>
      <c r="R22" s="470" t="s">
        <v>132</v>
      </c>
      <c r="S22" s="490" t="s">
        <v>542</v>
      </c>
      <c r="T22" s="490" t="s">
        <v>543</v>
      </c>
      <c r="U22" s="484" t="str">
        <f>IFERROR(VLOOKUP(N22,'Thông số'!$B:$F,5,0),"")</f>
        <v>9290 x 2500 x 3370</v>
      </c>
    </row>
    <row r="23" ht="14.25" customHeight="1" spans="1:21">
      <c r="A23" s="489">
        <v>19</v>
      </c>
      <c r="B23" s="490" t="s">
        <v>544</v>
      </c>
      <c r="C23" s="491"/>
      <c r="D23" s="470" t="s">
        <v>3330</v>
      </c>
      <c r="E23" s="491"/>
      <c r="F23" s="490" t="s">
        <v>3330</v>
      </c>
      <c r="G23" s="490" t="s">
        <v>70</v>
      </c>
      <c r="H23" s="491"/>
      <c r="I23" s="470" t="s">
        <v>14</v>
      </c>
      <c r="J23" s="492">
        <v>43842</v>
      </c>
      <c r="K23" s="470" t="s">
        <v>1126</v>
      </c>
      <c r="L23" s="493">
        <v>0.67</v>
      </c>
      <c r="M23" s="491"/>
      <c r="N23" s="470" t="s">
        <v>545</v>
      </c>
      <c r="O23" s="490" t="s">
        <v>480</v>
      </c>
      <c r="P23" s="490" t="s">
        <v>453</v>
      </c>
      <c r="Q23" s="470">
        <v>1994</v>
      </c>
      <c r="R23" s="470" t="s">
        <v>546</v>
      </c>
      <c r="S23" s="490" t="s">
        <v>547</v>
      </c>
      <c r="T23" s="490" t="s">
        <v>548</v>
      </c>
      <c r="U23" s="484" t="str">
        <f>IFERROR(VLOOKUP(N23,'Thông số'!$B:$F,5,0),"")</f>
        <v>8420 x 2375 x 3240</v>
      </c>
    </row>
    <row r="24" ht="14.25" customHeight="1" spans="1:21">
      <c r="A24" s="489">
        <v>20</v>
      </c>
      <c r="B24" s="490" t="s">
        <v>549</v>
      </c>
      <c r="C24" s="491"/>
      <c r="D24" s="470" t="s">
        <v>3334</v>
      </c>
      <c r="E24" s="491"/>
      <c r="F24" s="490" t="s">
        <v>3334</v>
      </c>
      <c r="G24" s="490" t="s">
        <v>68</v>
      </c>
      <c r="H24" s="491"/>
      <c r="I24" s="470" t="s">
        <v>14</v>
      </c>
      <c r="J24" s="492">
        <v>44013</v>
      </c>
      <c r="K24" s="470" t="s">
        <v>1126</v>
      </c>
      <c r="L24" s="491"/>
      <c r="M24" s="491"/>
      <c r="N24" s="470" t="s">
        <v>550</v>
      </c>
      <c r="O24" s="490" t="s">
        <v>480</v>
      </c>
      <c r="P24" s="490" t="s">
        <v>453</v>
      </c>
      <c r="Q24" s="470">
        <v>2018</v>
      </c>
      <c r="R24" s="470" t="s">
        <v>69</v>
      </c>
      <c r="S24" s="490" t="s">
        <v>551</v>
      </c>
      <c r="T24" s="490" t="s">
        <v>462</v>
      </c>
      <c r="U24" s="484" t="str">
        <f>IFERROR(VLOOKUP(N24,'Thông số'!$B:$F,5,0),"")</f>
        <v>11050 x 2790 x 3260</v>
      </c>
    </row>
    <row r="25" ht="14.25" customHeight="1" spans="1:21">
      <c r="A25" s="494">
        <v>21</v>
      </c>
      <c r="B25" s="500" t="s">
        <v>552</v>
      </c>
      <c r="C25" s="500" t="s">
        <v>492</v>
      </c>
      <c r="D25" s="474" t="s">
        <v>6536</v>
      </c>
      <c r="E25" s="502"/>
      <c r="F25" s="502"/>
      <c r="G25" s="500" t="s">
        <v>49</v>
      </c>
      <c r="H25" s="473" t="s">
        <v>6537</v>
      </c>
      <c r="I25" s="474" t="s">
        <v>14</v>
      </c>
      <c r="J25" s="503">
        <v>45502</v>
      </c>
      <c r="K25" s="473" t="s">
        <v>1263</v>
      </c>
      <c r="L25" s="502"/>
      <c r="M25" s="504" t="s">
        <v>6538</v>
      </c>
      <c r="N25" s="474" t="s">
        <v>556</v>
      </c>
      <c r="O25" s="500" t="s">
        <v>480</v>
      </c>
      <c r="P25" s="500" t="s">
        <v>555</v>
      </c>
      <c r="Q25" s="474">
        <v>2015</v>
      </c>
      <c r="R25" s="474" t="s">
        <v>557</v>
      </c>
      <c r="S25" s="500" t="s">
        <v>558</v>
      </c>
      <c r="T25" s="500">
        <v>38204</v>
      </c>
      <c r="U25" s="484" t="str">
        <f>IFERROR(VLOOKUP(N25,'Thông số'!$B:$F,5,0),"")</f>
        <v>5260 x 1760 x 2415</v>
      </c>
    </row>
    <row r="26" ht="14.25" customHeight="1" spans="1:21">
      <c r="A26" s="489">
        <v>22</v>
      </c>
      <c r="B26" s="490" t="s">
        <v>559</v>
      </c>
      <c r="C26" s="490" t="s">
        <v>492</v>
      </c>
      <c r="D26" s="470" t="s">
        <v>6539</v>
      </c>
      <c r="E26" s="491"/>
      <c r="F26" s="491"/>
      <c r="G26" s="490" t="s">
        <v>49</v>
      </c>
      <c r="H26" s="470" t="s">
        <v>6537</v>
      </c>
      <c r="I26" s="470" t="s">
        <v>14</v>
      </c>
      <c r="J26" s="492">
        <v>45499</v>
      </c>
      <c r="K26" s="470" t="s">
        <v>1126</v>
      </c>
      <c r="L26" s="491"/>
      <c r="M26" s="505" t="s">
        <v>6540</v>
      </c>
      <c r="N26" s="470" t="s">
        <v>556</v>
      </c>
      <c r="O26" s="490" t="s">
        <v>480</v>
      </c>
      <c r="P26" s="490" t="s">
        <v>555</v>
      </c>
      <c r="Q26" s="470">
        <v>2012</v>
      </c>
      <c r="R26" s="470" t="s">
        <v>557</v>
      </c>
      <c r="S26" s="490" t="s">
        <v>562</v>
      </c>
      <c r="T26" s="490">
        <v>25866</v>
      </c>
      <c r="U26" s="484" t="str">
        <f>IFERROR(VLOOKUP(N26,'Thông số'!$B:$F,5,0),"")</f>
        <v>5260 x 1760 x 2415</v>
      </c>
    </row>
    <row r="27" ht="14.25" customHeight="1" spans="1:21">
      <c r="A27" s="494">
        <v>23</v>
      </c>
      <c r="B27" s="500" t="s">
        <v>563</v>
      </c>
      <c r="C27" s="500" t="s">
        <v>492</v>
      </c>
      <c r="D27" s="474" t="s">
        <v>6541</v>
      </c>
      <c r="E27" s="502"/>
      <c r="F27" s="502"/>
      <c r="G27" s="500" t="s">
        <v>49</v>
      </c>
      <c r="H27" s="473" t="s">
        <v>6537</v>
      </c>
      <c r="I27" s="474" t="s">
        <v>14</v>
      </c>
      <c r="J27" s="503">
        <v>45502</v>
      </c>
      <c r="K27" s="473" t="s">
        <v>1263</v>
      </c>
      <c r="L27" s="502"/>
      <c r="M27" s="504" t="s">
        <v>6542</v>
      </c>
      <c r="N27" s="474" t="s">
        <v>556</v>
      </c>
      <c r="O27" s="500" t="s">
        <v>480</v>
      </c>
      <c r="P27" s="500" t="s">
        <v>555</v>
      </c>
      <c r="Q27" s="474">
        <v>2015</v>
      </c>
      <c r="R27" s="474" t="s">
        <v>557</v>
      </c>
      <c r="S27" s="500" t="s">
        <v>565</v>
      </c>
      <c r="T27" s="500">
        <v>36975</v>
      </c>
      <c r="U27" s="484" t="str">
        <f>IFERROR(VLOOKUP(N27,'Thông số'!$B:$F,5,0),"")</f>
        <v>5260 x 1760 x 2415</v>
      </c>
    </row>
    <row r="28" ht="14.25" customHeight="1" spans="1:21">
      <c r="A28" s="489">
        <v>24</v>
      </c>
      <c r="B28" s="490" t="s">
        <v>566</v>
      </c>
      <c r="C28" s="490" t="s">
        <v>492</v>
      </c>
      <c r="D28" s="470" t="s">
        <v>567</v>
      </c>
      <c r="E28" s="491"/>
      <c r="F28" s="491"/>
      <c r="G28" s="490" t="s">
        <v>49</v>
      </c>
      <c r="H28" s="470" t="s">
        <v>6537</v>
      </c>
      <c r="I28" s="470" t="s">
        <v>14</v>
      </c>
      <c r="J28" s="492">
        <v>45597</v>
      </c>
      <c r="K28" s="470" t="s">
        <v>1126</v>
      </c>
      <c r="L28" s="491"/>
      <c r="M28" s="505" t="s">
        <v>6543</v>
      </c>
      <c r="N28" s="470" t="s">
        <v>569</v>
      </c>
      <c r="O28" s="490" t="s">
        <v>480</v>
      </c>
      <c r="P28" s="490" t="s">
        <v>555</v>
      </c>
      <c r="Q28" s="470">
        <v>2017</v>
      </c>
      <c r="R28" s="470" t="s">
        <v>557</v>
      </c>
      <c r="S28" s="490">
        <v>20242</v>
      </c>
      <c r="T28" s="490">
        <v>10671</v>
      </c>
      <c r="U28" s="484" t="str">
        <f>IFERROR(VLOOKUP(N28,'Thông số'!$B:$F,5,0),"")</f>
        <v>5550 x 1960 x 2550</v>
      </c>
    </row>
    <row r="29" ht="14.25" customHeight="1" spans="1:21">
      <c r="A29" s="489">
        <v>25</v>
      </c>
      <c r="B29" s="490" t="s">
        <v>571</v>
      </c>
      <c r="C29" s="490" t="s">
        <v>492</v>
      </c>
      <c r="D29" s="470" t="s">
        <v>572</v>
      </c>
      <c r="E29" s="491"/>
      <c r="F29" s="491"/>
      <c r="G29" s="490" t="s">
        <v>49</v>
      </c>
      <c r="H29" s="470" t="s">
        <v>6537</v>
      </c>
      <c r="I29" s="470" t="s">
        <v>14</v>
      </c>
      <c r="J29" s="492">
        <v>45597</v>
      </c>
      <c r="K29" s="470" t="s">
        <v>1126</v>
      </c>
      <c r="L29" s="491"/>
      <c r="M29" s="505" t="s">
        <v>6543</v>
      </c>
      <c r="N29" s="470" t="s">
        <v>569</v>
      </c>
      <c r="O29" s="490" t="s">
        <v>480</v>
      </c>
      <c r="P29" s="490" t="s">
        <v>555</v>
      </c>
      <c r="Q29" s="470">
        <v>2015</v>
      </c>
      <c r="R29" s="470" t="s">
        <v>557</v>
      </c>
      <c r="S29" s="490">
        <v>19139</v>
      </c>
      <c r="T29" s="490">
        <v>36094</v>
      </c>
      <c r="U29" s="484" t="str">
        <f>IFERROR(VLOOKUP(N29,'Thông số'!$B:$F,5,0),"")</f>
        <v>5550 x 1960 x 2550</v>
      </c>
    </row>
    <row r="30" ht="14.25" customHeight="1" spans="1:21">
      <c r="A30" s="494">
        <v>26</v>
      </c>
      <c r="B30" s="500" t="s">
        <v>574</v>
      </c>
      <c r="C30" s="500" t="s">
        <v>492</v>
      </c>
      <c r="D30" s="474" t="s">
        <v>6544</v>
      </c>
      <c r="E30" s="502"/>
      <c r="F30" s="502"/>
      <c r="G30" s="500" t="s">
        <v>49</v>
      </c>
      <c r="H30" s="473" t="s">
        <v>6537</v>
      </c>
      <c r="I30" s="474" t="s">
        <v>14</v>
      </c>
      <c r="J30" s="503">
        <v>45474</v>
      </c>
      <c r="K30" s="473" t="s">
        <v>1263</v>
      </c>
      <c r="L30" s="502"/>
      <c r="M30" s="504" t="s">
        <v>575</v>
      </c>
      <c r="N30" s="474" t="s">
        <v>556</v>
      </c>
      <c r="O30" s="500" t="s">
        <v>480</v>
      </c>
      <c r="P30" s="500" t="s">
        <v>555</v>
      </c>
      <c r="Q30" s="474">
        <v>2013</v>
      </c>
      <c r="R30" s="474" t="s">
        <v>557</v>
      </c>
      <c r="S30" s="500" t="s">
        <v>576</v>
      </c>
      <c r="T30" s="500">
        <v>25275</v>
      </c>
      <c r="U30" s="484" t="str">
        <f>IFERROR(VLOOKUP(N30,'Thông số'!$B:$F,5,0),"")</f>
        <v>5260 x 1760 x 2415</v>
      </c>
    </row>
    <row r="31" ht="14.25" customHeight="1" spans="1:21">
      <c r="A31" s="494">
        <v>27</v>
      </c>
      <c r="B31" s="500" t="s">
        <v>577</v>
      </c>
      <c r="C31" s="500" t="s">
        <v>492</v>
      </c>
      <c r="D31" s="474" t="s">
        <v>6545</v>
      </c>
      <c r="E31" s="502"/>
      <c r="F31" s="502"/>
      <c r="G31" s="500" t="s">
        <v>49</v>
      </c>
      <c r="H31" s="473" t="s">
        <v>6537</v>
      </c>
      <c r="I31" s="474" t="s">
        <v>14</v>
      </c>
      <c r="J31" s="503">
        <v>45474</v>
      </c>
      <c r="K31" s="473" t="s">
        <v>1263</v>
      </c>
      <c r="L31" s="502"/>
      <c r="M31" s="504" t="s">
        <v>575</v>
      </c>
      <c r="N31" s="474" t="s">
        <v>556</v>
      </c>
      <c r="O31" s="500" t="s">
        <v>480</v>
      </c>
      <c r="P31" s="500" t="s">
        <v>555</v>
      </c>
      <c r="Q31" s="474">
        <v>2013</v>
      </c>
      <c r="R31" s="474" t="s">
        <v>557</v>
      </c>
      <c r="S31" s="500" t="s">
        <v>579</v>
      </c>
      <c r="T31" s="500">
        <v>27440</v>
      </c>
      <c r="U31" s="484" t="str">
        <f>IFERROR(VLOOKUP(N31,'Thông số'!$B:$F,5,0),"")</f>
        <v>5260 x 1760 x 2415</v>
      </c>
    </row>
    <row r="32" ht="14.25" customHeight="1" spans="1:21">
      <c r="A32" s="494">
        <v>28</v>
      </c>
      <c r="B32" s="500" t="s">
        <v>580</v>
      </c>
      <c r="C32" s="500" t="s">
        <v>492</v>
      </c>
      <c r="D32" s="474" t="s">
        <v>581</v>
      </c>
      <c r="E32" s="502"/>
      <c r="F32" s="502"/>
      <c r="G32" s="500" t="s">
        <v>49</v>
      </c>
      <c r="H32" s="473" t="s">
        <v>6537</v>
      </c>
      <c r="I32" s="474" t="s">
        <v>14</v>
      </c>
      <c r="J32" s="503">
        <v>45973</v>
      </c>
      <c r="K32" s="473" t="s">
        <v>1263</v>
      </c>
      <c r="L32" s="502"/>
      <c r="M32" s="504" t="s">
        <v>582</v>
      </c>
      <c r="N32" s="474" t="s">
        <v>583</v>
      </c>
      <c r="O32" s="500" t="s">
        <v>480</v>
      </c>
      <c r="P32" s="500" t="s">
        <v>555</v>
      </c>
      <c r="Q32" s="474">
        <v>2015</v>
      </c>
      <c r="R32" s="474" t="s">
        <v>557</v>
      </c>
      <c r="S32" s="500" t="s">
        <v>584</v>
      </c>
      <c r="T32" s="500" t="s">
        <v>585</v>
      </c>
      <c r="U32" s="484" t="str">
        <f>IFERROR(VLOOKUP(N32,'Thông số'!$B:$F,5,0),"")</f>
        <v>5260 x 1760 x 2415</v>
      </c>
    </row>
    <row r="33" ht="14.25" customHeight="1" spans="1:21">
      <c r="A33" s="494">
        <v>29</v>
      </c>
      <c r="B33" s="500" t="s">
        <v>587</v>
      </c>
      <c r="C33" s="500" t="s">
        <v>492</v>
      </c>
      <c r="D33" s="474" t="s">
        <v>6546</v>
      </c>
      <c r="E33" s="502"/>
      <c r="F33" s="502"/>
      <c r="G33" s="500" t="s">
        <v>73</v>
      </c>
      <c r="H33" s="497"/>
      <c r="I33" s="474" t="s">
        <v>14</v>
      </c>
      <c r="J33" s="503">
        <v>45506</v>
      </c>
      <c r="K33" s="473" t="s">
        <v>1263</v>
      </c>
      <c r="L33" s="502"/>
      <c r="M33" s="504" t="s">
        <v>588</v>
      </c>
      <c r="N33" s="474" t="s">
        <v>591</v>
      </c>
      <c r="O33" s="500" t="s">
        <v>589</v>
      </c>
      <c r="P33" s="500" t="s">
        <v>590</v>
      </c>
      <c r="Q33" s="474">
        <v>2005</v>
      </c>
      <c r="R33" s="474" t="s">
        <v>1737</v>
      </c>
      <c r="S33" s="500" t="s">
        <v>592</v>
      </c>
      <c r="T33" s="500" t="s">
        <v>593</v>
      </c>
      <c r="U33" s="484" t="str">
        <f>IFERROR(VLOOKUP(N33,'Thông số'!$B:$F,5,0),"")</f>
        <v>3100 x 1400 x 1585</v>
      </c>
    </row>
    <row r="34" ht="14.25" customHeight="1" spans="1:21">
      <c r="A34" s="489">
        <v>30</v>
      </c>
      <c r="B34" s="490" t="s">
        <v>594</v>
      </c>
      <c r="C34" s="490" t="s">
        <v>492</v>
      </c>
      <c r="D34" s="470" t="s">
        <v>595</v>
      </c>
      <c r="E34" s="491"/>
      <c r="F34" s="491"/>
      <c r="G34" s="490" t="s">
        <v>46</v>
      </c>
      <c r="H34" s="470" t="s">
        <v>6547</v>
      </c>
      <c r="I34" s="470" t="s">
        <v>14</v>
      </c>
      <c r="J34" s="492">
        <v>45699</v>
      </c>
      <c r="K34" s="470" t="s">
        <v>1126</v>
      </c>
      <c r="L34" s="491"/>
      <c r="M34" s="505" t="s">
        <v>596</v>
      </c>
      <c r="N34" s="470" t="s">
        <v>598</v>
      </c>
      <c r="O34" s="490" t="s">
        <v>480</v>
      </c>
      <c r="P34" s="490" t="s">
        <v>597</v>
      </c>
      <c r="Q34" s="470">
        <v>2006</v>
      </c>
      <c r="R34" s="470" t="s">
        <v>102</v>
      </c>
      <c r="S34" s="490" t="s">
        <v>599</v>
      </c>
      <c r="T34" s="490">
        <v>21721047</v>
      </c>
      <c r="U34" s="484" t="str">
        <f>IFERROR(VLOOKUP(N34,'Thông số'!$B:$F,5,0),"")</f>
        <v>8358 x 2540 x 3200</v>
      </c>
    </row>
    <row r="35" ht="14.25" customHeight="1" spans="1:21">
      <c r="A35" s="494">
        <v>31</v>
      </c>
      <c r="B35" s="500" t="s">
        <v>600</v>
      </c>
      <c r="C35" s="500" t="s">
        <v>492</v>
      </c>
      <c r="D35" s="474" t="s">
        <v>601</v>
      </c>
      <c r="E35" s="502"/>
      <c r="F35" s="502"/>
      <c r="G35" s="500" t="s">
        <v>47</v>
      </c>
      <c r="H35" s="473" t="s">
        <v>6548</v>
      </c>
      <c r="I35" s="474" t="s">
        <v>14</v>
      </c>
      <c r="J35" s="503">
        <v>45699</v>
      </c>
      <c r="K35" s="473" t="s">
        <v>1263</v>
      </c>
      <c r="L35" s="502"/>
      <c r="M35" s="504" t="s">
        <v>602</v>
      </c>
      <c r="N35" s="474" t="s">
        <v>603</v>
      </c>
      <c r="O35" s="500" t="s">
        <v>480</v>
      </c>
      <c r="P35" s="500" t="s">
        <v>555</v>
      </c>
      <c r="Q35" s="474">
        <v>2012</v>
      </c>
      <c r="R35" s="474" t="s">
        <v>48</v>
      </c>
      <c r="S35" s="500" t="s">
        <v>604</v>
      </c>
      <c r="T35" s="500">
        <v>21719691</v>
      </c>
      <c r="U35" s="484" t="str">
        <f>IFERROR(VLOOKUP(N35,'Thông số'!$B:$F,5,0),"")</f>
        <v>9660 x 2550 x 3985</v>
      </c>
    </row>
    <row r="36" ht="14.25" customHeight="1" spans="1:21">
      <c r="A36" s="494">
        <v>32</v>
      </c>
      <c r="B36" s="500" t="s">
        <v>605</v>
      </c>
      <c r="C36" s="500" t="s">
        <v>492</v>
      </c>
      <c r="D36" s="474" t="s">
        <v>606</v>
      </c>
      <c r="E36" s="502"/>
      <c r="F36" s="502"/>
      <c r="G36" s="500" t="s">
        <v>50</v>
      </c>
      <c r="H36" s="473" t="s">
        <v>6549</v>
      </c>
      <c r="I36" s="473" t="s">
        <v>14</v>
      </c>
      <c r="J36" s="503">
        <v>45805</v>
      </c>
      <c r="K36" s="473" t="s">
        <v>1263</v>
      </c>
      <c r="L36" s="502"/>
      <c r="M36" s="501" t="s">
        <v>607</v>
      </c>
      <c r="N36" s="474" t="s">
        <v>608</v>
      </c>
      <c r="O36" s="500" t="s">
        <v>480</v>
      </c>
      <c r="P36" s="500" t="s">
        <v>453</v>
      </c>
      <c r="Q36" s="474">
        <v>2005</v>
      </c>
      <c r="R36" s="474" t="s">
        <v>546</v>
      </c>
      <c r="S36" s="500" t="s">
        <v>609</v>
      </c>
      <c r="T36" s="500" t="s">
        <v>610</v>
      </c>
      <c r="U36" s="484" t="str">
        <f>IFERROR(VLOOKUP(N36,'Thông số'!$B:$F,5,0),"")</f>
        <v>8700 x 2800 x 3010</v>
      </c>
    </row>
    <row r="37" ht="14.25" customHeight="1" spans="1:21">
      <c r="A37" s="494">
        <v>33</v>
      </c>
      <c r="B37" s="500" t="s">
        <v>611</v>
      </c>
      <c r="C37" s="500" t="s">
        <v>492</v>
      </c>
      <c r="D37" s="474" t="s">
        <v>612</v>
      </c>
      <c r="E37" s="502"/>
      <c r="F37" s="502"/>
      <c r="G37" s="500" t="s">
        <v>57</v>
      </c>
      <c r="H37" s="473" t="s">
        <v>6529</v>
      </c>
      <c r="I37" s="474" t="s">
        <v>14</v>
      </c>
      <c r="J37" s="503">
        <v>45699</v>
      </c>
      <c r="K37" s="473" t="s">
        <v>1263</v>
      </c>
      <c r="L37" s="502"/>
      <c r="M37" s="504" t="s">
        <v>602</v>
      </c>
      <c r="N37" s="474" t="s">
        <v>613</v>
      </c>
      <c r="O37" s="500" t="s">
        <v>480</v>
      </c>
      <c r="P37" s="500" t="s">
        <v>555</v>
      </c>
      <c r="Q37" s="474">
        <v>2003</v>
      </c>
      <c r="R37" s="474" t="s">
        <v>6550</v>
      </c>
      <c r="S37" s="500" t="s">
        <v>615</v>
      </c>
      <c r="T37" s="500" t="s">
        <v>616</v>
      </c>
      <c r="U37" s="484" t="str">
        <f>IFERROR(VLOOKUP(N37,'Thông số'!$B:$F,5,0),"")</f>
        <v>4200 x 2980 x 2720</v>
      </c>
    </row>
    <row r="38" ht="14.25" customHeight="1" spans="1:21">
      <c r="A38" s="494">
        <v>34</v>
      </c>
      <c r="B38" s="500" t="s">
        <v>617</v>
      </c>
      <c r="C38" s="500" t="s">
        <v>504</v>
      </c>
      <c r="D38" s="474" t="s">
        <v>618</v>
      </c>
      <c r="E38" s="474" t="s">
        <v>619</v>
      </c>
      <c r="F38" s="502"/>
      <c r="G38" s="500" t="s">
        <v>109</v>
      </c>
      <c r="H38" s="497"/>
      <c r="I38" s="474" t="s">
        <v>14</v>
      </c>
      <c r="J38" s="503">
        <v>45723</v>
      </c>
      <c r="K38" s="473" t="s">
        <v>1263</v>
      </c>
      <c r="L38" s="502"/>
      <c r="M38" s="504" t="s">
        <v>620</v>
      </c>
      <c r="N38" s="474" t="s">
        <v>628</v>
      </c>
      <c r="O38" s="495" t="s">
        <v>621</v>
      </c>
      <c r="P38" s="495" t="s">
        <v>500</v>
      </c>
      <c r="Q38" s="474">
        <v>2024</v>
      </c>
      <c r="R38" s="474" t="s">
        <v>48</v>
      </c>
      <c r="S38" s="500" t="s">
        <v>623</v>
      </c>
      <c r="T38" s="500" t="s">
        <v>624</v>
      </c>
      <c r="U38" s="484" t="str">
        <f>IFERROR(VLOOKUP(N38,'Thông số'!$B:$F,5,0),"")</f>
        <v>6160 x 2330 x 2760</v>
      </c>
    </row>
    <row r="39" ht="14.25" customHeight="1" spans="1:21">
      <c r="A39" s="494">
        <v>35</v>
      </c>
      <c r="B39" s="500" t="s">
        <v>625</v>
      </c>
      <c r="C39" s="500" t="s">
        <v>504</v>
      </c>
      <c r="D39" s="474" t="s">
        <v>626</v>
      </c>
      <c r="E39" s="474" t="s">
        <v>627</v>
      </c>
      <c r="F39" s="502"/>
      <c r="G39" s="500" t="s">
        <v>109</v>
      </c>
      <c r="H39" s="497"/>
      <c r="I39" s="474" t="s">
        <v>14</v>
      </c>
      <c r="J39" s="503">
        <v>45723</v>
      </c>
      <c r="K39" s="473" t="s">
        <v>1263</v>
      </c>
      <c r="L39" s="502"/>
      <c r="M39" s="504" t="s">
        <v>620</v>
      </c>
      <c r="N39" s="474" t="s">
        <v>628</v>
      </c>
      <c r="O39" s="495" t="s">
        <v>621</v>
      </c>
      <c r="P39" s="495" t="s">
        <v>500</v>
      </c>
      <c r="Q39" s="474">
        <v>2024</v>
      </c>
      <c r="R39" s="474" t="s">
        <v>48</v>
      </c>
      <c r="S39" s="500" t="s">
        <v>629</v>
      </c>
      <c r="T39" s="500" t="s">
        <v>630</v>
      </c>
      <c r="U39" s="484" t="str">
        <f>IFERROR(VLOOKUP(N39,'Thông số'!$B:$F,5,0),"")</f>
        <v>6160 x 2330 x 2760</v>
      </c>
    </row>
    <row r="40" ht="14.25" customHeight="1" spans="1:21">
      <c r="A40" s="494">
        <v>36</v>
      </c>
      <c r="B40" s="500" t="s">
        <v>631</v>
      </c>
      <c r="C40" s="500" t="s">
        <v>504</v>
      </c>
      <c r="D40" s="474" t="s">
        <v>632</v>
      </c>
      <c r="E40" s="502"/>
      <c r="F40" s="502"/>
      <c r="G40" s="500" t="s">
        <v>106</v>
      </c>
      <c r="H40" s="497"/>
      <c r="I40" s="474" t="s">
        <v>14</v>
      </c>
      <c r="J40" s="503">
        <v>45806</v>
      </c>
      <c r="K40" s="473" t="s">
        <v>1263</v>
      </c>
      <c r="L40" s="502"/>
      <c r="M40" s="504" t="s">
        <v>634</v>
      </c>
      <c r="N40" s="474" t="s">
        <v>635</v>
      </c>
      <c r="O40" s="495" t="s">
        <v>621</v>
      </c>
      <c r="P40" s="495" t="s">
        <v>500</v>
      </c>
      <c r="Q40" s="474">
        <v>2024</v>
      </c>
      <c r="R40" s="474" t="s">
        <v>48</v>
      </c>
      <c r="S40" s="500" t="s">
        <v>636</v>
      </c>
      <c r="T40" s="500" t="s">
        <v>637</v>
      </c>
      <c r="U40" s="484" t="str">
        <f>IFERROR(VLOOKUP(N40,'Thông số'!$B:$F,5,0),"")</f>
        <v>6160 x 2330 x 2760</v>
      </c>
    </row>
    <row r="41" ht="14.25" customHeight="1" spans="1:21">
      <c r="A41" s="494">
        <v>37</v>
      </c>
      <c r="B41" s="500" t="s">
        <v>638</v>
      </c>
      <c r="C41" s="500" t="s">
        <v>504</v>
      </c>
      <c r="D41" s="474" t="s">
        <v>639</v>
      </c>
      <c r="E41" s="502"/>
      <c r="F41" s="502"/>
      <c r="G41" s="500" t="s">
        <v>106</v>
      </c>
      <c r="H41" s="497"/>
      <c r="I41" s="474" t="s">
        <v>14</v>
      </c>
      <c r="J41" s="503">
        <v>45806</v>
      </c>
      <c r="K41" s="473" t="s">
        <v>1263</v>
      </c>
      <c r="L41" s="502"/>
      <c r="M41" s="504" t="s">
        <v>634</v>
      </c>
      <c r="N41" s="474" t="s">
        <v>635</v>
      </c>
      <c r="O41" s="495" t="s">
        <v>621</v>
      </c>
      <c r="P41" s="495" t="s">
        <v>500</v>
      </c>
      <c r="Q41" s="474">
        <v>2024</v>
      </c>
      <c r="R41" s="474" t="s">
        <v>48</v>
      </c>
      <c r="S41" s="500" t="s">
        <v>640</v>
      </c>
      <c r="T41" s="500" t="s">
        <v>641</v>
      </c>
      <c r="U41" s="484" t="str">
        <f>IFERROR(VLOOKUP(N41,'Thông số'!$B:$F,5,0),"")</f>
        <v>6160 x 2330 x 2760</v>
      </c>
    </row>
    <row r="42" ht="14.25" customHeight="1" spans="1:21">
      <c r="A42" s="494">
        <v>38</v>
      </c>
      <c r="B42" s="500" t="s">
        <v>642</v>
      </c>
      <c r="C42" s="500" t="s">
        <v>504</v>
      </c>
      <c r="D42" s="474" t="s">
        <v>643</v>
      </c>
      <c r="E42" s="502"/>
      <c r="F42" s="502"/>
      <c r="G42" s="500" t="s">
        <v>106</v>
      </c>
      <c r="H42" s="497"/>
      <c r="I42" s="474" t="s">
        <v>14</v>
      </c>
      <c r="J42" s="503">
        <v>45806</v>
      </c>
      <c r="K42" s="473" t="s">
        <v>1263</v>
      </c>
      <c r="L42" s="502"/>
      <c r="M42" s="504" t="s">
        <v>634</v>
      </c>
      <c r="N42" s="474" t="s">
        <v>635</v>
      </c>
      <c r="O42" s="495" t="s">
        <v>621</v>
      </c>
      <c r="P42" s="495" t="s">
        <v>500</v>
      </c>
      <c r="Q42" s="474">
        <v>2024</v>
      </c>
      <c r="R42" s="474" t="s">
        <v>48</v>
      </c>
      <c r="S42" s="500" t="s">
        <v>644</v>
      </c>
      <c r="T42" s="500" t="s">
        <v>645</v>
      </c>
      <c r="U42" s="484" t="str">
        <f>IFERROR(VLOOKUP(N42,'Thông số'!$B:$F,5,0),"")</f>
        <v>6160 x 2330 x 2760</v>
      </c>
    </row>
    <row r="43" ht="14.25" customHeight="1" spans="1:21">
      <c r="A43" s="494">
        <v>39</v>
      </c>
      <c r="B43" s="500" t="s">
        <v>646</v>
      </c>
      <c r="C43" s="500" t="s">
        <v>504</v>
      </c>
      <c r="D43" s="474" t="s">
        <v>647</v>
      </c>
      <c r="E43" s="502"/>
      <c r="F43" s="502"/>
      <c r="G43" s="500" t="s">
        <v>106</v>
      </c>
      <c r="H43" s="497"/>
      <c r="I43" s="474" t="s">
        <v>14</v>
      </c>
      <c r="J43" s="503">
        <v>45806</v>
      </c>
      <c r="K43" s="473" t="s">
        <v>1263</v>
      </c>
      <c r="L43" s="502"/>
      <c r="M43" s="504" t="s">
        <v>634</v>
      </c>
      <c r="N43" s="474" t="s">
        <v>635</v>
      </c>
      <c r="O43" s="495" t="s">
        <v>621</v>
      </c>
      <c r="P43" s="495" t="s">
        <v>500</v>
      </c>
      <c r="Q43" s="474">
        <v>2024</v>
      </c>
      <c r="R43" s="474" t="s">
        <v>2016</v>
      </c>
      <c r="S43" s="500" t="s">
        <v>648</v>
      </c>
      <c r="T43" s="500" t="s">
        <v>649</v>
      </c>
      <c r="U43" s="484" t="str">
        <f>IFERROR(VLOOKUP(N43,'Thông số'!$B:$F,5,0),"")</f>
        <v>6160 x 2330 x 2760</v>
      </c>
    </row>
    <row r="44" ht="14.25" customHeight="1" spans="1:21">
      <c r="A44" s="494">
        <v>40</v>
      </c>
      <c r="B44" s="500" t="s">
        <v>650</v>
      </c>
      <c r="C44" s="500" t="s">
        <v>504</v>
      </c>
      <c r="D44" s="474" t="s">
        <v>651</v>
      </c>
      <c r="E44" s="474" t="s">
        <v>652</v>
      </c>
      <c r="F44" s="502"/>
      <c r="G44" s="500" t="s">
        <v>107</v>
      </c>
      <c r="H44" s="497"/>
      <c r="I44" s="474" t="s">
        <v>14</v>
      </c>
      <c r="J44" s="503">
        <v>45818</v>
      </c>
      <c r="K44" s="473" t="s">
        <v>1263</v>
      </c>
      <c r="L44" s="502"/>
      <c r="M44" s="501" t="s">
        <v>653</v>
      </c>
      <c r="N44" s="474" t="s">
        <v>6551</v>
      </c>
      <c r="O44" s="495" t="s">
        <v>621</v>
      </c>
      <c r="P44" s="495" t="s">
        <v>500</v>
      </c>
      <c r="Q44" s="474">
        <v>2024</v>
      </c>
      <c r="R44" s="474" t="s">
        <v>655</v>
      </c>
      <c r="S44" s="500" t="s">
        <v>656</v>
      </c>
      <c r="T44" s="500" t="s">
        <v>657</v>
      </c>
      <c r="U44" s="484" t="str">
        <f>IFERROR(VLOOKUP(N44,'Thông số'!$B:$F,5,0),"")</f>
        <v>5910 x 2310 x 2800</v>
      </c>
    </row>
    <row r="45" ht="14.25" customHeight="1" spans="1:21">
      <c r="A45" s="494">
        <v>41</v>
      </c>
      <c r="B45" s="500" t="s">
        <v>658</v>
      </c>
      <c r="C45" s="500" t="s">
        <v>504</v>
      </c>
      <c r="D45" s="474" t="s">
        <v>659</v>
      </c>
      <c r="E45" s="474" t="s">
        <v>660</v>
      </c>
      <c r="F45" s="502"/>
      <c r="G45" s="500" t="s">
        <v>107</v>
      </c>
      <c r="H45" s="497"/>
      <c r="I45" s="474" t="s">
        <v>14</v>
      </c>
      <c r="J45" s="503">
        <v>45818</v>
      </c>
      <c r="K45" s="473" t="s">
        <v>1263</v>
      </c>
      <c r="L45" s="502"/>
      <c r="M45" s="501" t="s">
        <v>653</v>
      </c>
      <c r="N45" s="474" t="s">
        <v>6551</v>
      </c>
      <c r="O45" s="495" t="s">
        <v>621</v>
      </c>
      <c r="P45" s="495" t="s">
        <v>500</v>
      </c>
      <c r="Q45" s="474">
        <v>2024</v>
      </c>
      <c r="R45" s="474" t="s">
        <v>655</v>
      </c>
      <c r="S45" s="500" t="s">
        <v>661</v>
      </c>
      <c r="T45" s="500" t="s">
        <v>662</v>
      </c>
      <c r="U45" s="484" t="str">
        <f>IFERROR(VLOOKUP(N45,'Thông số'!$B:$F,5,0),"")</f>
        <v>5910 x 2310 x 2800</v>
      </c>
    </row>
    <row r="46" ht="14.25" customHeight="1" spans="1:21">
      <c r="A46" s="489">
        <v>42</v>
      </c>
      <c r="B46" s="490" t="s">
        <v>663</v>
      </c>
      <c r="C46" s="490" t="s">
        <v>504</v>
      </c>
      <c r="D46" s="470" t="s">
        <v>664</v>
      </c>
      <c r="E46" s="470" t="s">
        <v>665</v>
      </c>
      <c r="F46" s="491"/>
      <c r="G46" s="490" t="s">
        <v>107</v>
      </c>
      <c r="H46" s="491"/>
      <c r="I46" s="470" t="s">
        <v>14</v>
      </c>
      <c r="J46" s="492">
        <v>45818</v>
      </c>
      <c r="K46" s="470" t="s">
        <v>1126</v>
      </c>
      <c r="L46" s="491"/>
      <c r="M46" s="505" t="s">
        <v>653</v>
      </c>
      <c r="N46" s="470" t="s">
        <v>6551</v>
      </c>
      <c r="O46" s="490" t="s">
        <v>621</v>
      </c>
      <c r="P46" s="490" t="s">
        <v>500</v>
      </c>
      <c r="Q46" s="470">
        <v>2024</v>
      </c>
      <c r="R46" s="470" t="s">
        <v>655</v>
      </c>
      <c r="S46" s="490" t="s">
        <v>666</v>
      </c>
      <c r="T46" s="490" t="s">
        <v>667</v>
      </c>
      <c r="U46" s="484" t="str">
        <f>IFERROR(VLOOKUP(N46,'Thông số'!$B:$F,5,0),"")</f>
        <v>5910 x 2310 x 2800</v>
      </c>
    </row>
    <row r="47" ht="14.25" customHeight="1" spans="1:21">
      <c r="A47" s="494">
        <v>43</v>
      </c>
      <c r="B47" s="500" t="s">
        <v>668</v>
      </c>
      <c r="C47" s="500" t="s">
        <v>504</v>
      </c>
      <c r="D47" s="474" t="s">
        <v>669</v>
      </c>
      <c r="E47" s="474" t="s">
        <v>670</v>
      </c>
      <c r="F47" s="502"/>
      <c r="G47" s="500" t="s">
        <v>107</v>
      </c>
      <c r="H47" s="497"/>
      <c r="I47" s="474" t="s">
        <v>14</v>
      </c>
      <c r="J47" s="503">
        <v>45818</v>
      </c>
      <c r="K47" s="473" t="s">
        <v>1263</v>
      </c>
      <c r="L47" s="502"/>
      <c r="M47" s="501" t="s">
        <v>653</v>
      </c>
      <c r="N47" s="474" t="s">
        <v>6551</v>
      </c>
      <c r="O47" s="495" t="s">
        <v>621</v>
      </c>
      <c r="P47" s="495" t="s">
        <v>500</v>
      </c>
      <c r="Q47" s="474">
        <v>2024</v>
      </c>
      <c r="R47" s="474" t="s">
        <v>655</v>
      </c>
      <c r="S47" s="500" t="s">
        <v>671</v>
      </c>
      <c r="T47" s="500" t="s">
        <v>672</v>
      </c>
      <c r="U47" s="484" t="str">
        <f>IFERROR(VLOOKUP(N47,'Thông số'!$B:$F,5,0),"")</f>
        <v>5910 x 2310 x 2800</v>
      </c>
    </row>
    <row r="48" ht="14.25" customHeight="1" spans="1:21">
      <c r="A48" s="494">
        <v>44</v>
      </c>
      <c r="B48" s="500" t="s">
        <v>673</v>
      </c>
      <c r="C48" s="500" t="s">
        <v>504</v>
      </c>
      <c r="D48" s="474" t="s">
        <v>674</v>
      </c>
      <c r="E48" s="474" t="s">
        <v>675</v>
      </c>
      <c r="F48" s="502"/>
      <c r="G48" s="500" t="s">
        <v>113</v>
      </c>
      <c r="H48" s="497"/>
      <c r="I48" s="474" t="s">
        <v>14</v>
      </c>
      <c r="J48" s="503">
        <v>45820</v>
      </c>
      <c r="K48" s="473" t="s">
        <v>1263</v>
      </c>
      <c r="L48" s="502"/>
      <c r="M48" s="501" t="s">
        <v>653</v>
      </c>
      <c r="N48" s="474" t="s">
        <v>509</v>
      </c>
      <c r="O48" s="500" t="s">
        <v>508</v>
      </c>
      <c r="P48" s="500" t="s">
        <v>500</v>
      </c>
      <c r="Q48" s="474">
        <v>2022</v>
      </c>
      <c r="R48" s="474" t="s">
        <v>6533</v>
      </c>
      <c r="S48" s="500" t="s">
        <v>676</v>
      </c>
      <c r="T48" s="500" t="s">
        <v>677</v>
      </c>
      <c r="U48" s="484" t="str">
        <f>IFERROR(VLOOKUP(N48,'Thông số'!$B:$F,5,0),"")</f>
        <v>7800 x 2500 x 3480</v>
      </c>
    </row>
    <row r="49" ht="14.25" customHeight="1" spans="1:21">
      <c r="A49" s="494">
        <v>45</v>
      </c>
      <c r="B49" s="500" t="s">
        <v>678</v>
      </c>
      <c r="C49" s="500" t="s">
        <v>504</v>
      </c>
      <c r="D49" s="474" t="s">
        <v>679</v>
      </c>
      <c r="E49" s="474" t="s">
        <v>680</v>
      </c>
      <c r="F49" s="502"/>
      <c r="G49" s="500" t="s">
        <v>113</v>
      </c>
      <c r="H49" s="497"/>
      <c r="I49" s="474" t="s">
        <v>14</v>
      </c>
      <c r="J49" s="503">
        <v>45820</v>
      </c>
      <c r="K49" s="473" t="s">
        <v>1263</v>
      </c>
      <c r="L49" s="502"/>
      <c r="M49" s="501" t="s">
        <v>653</v>
      </c>
      <c r="N49" s="474" t="s">
        <v>509</v>
      </c>
      <c r="O49" s="500" t="s">
        <v>508</v>
      </c>
      <c r="P49" s="500" t="s">
        <v>500</v>
      </c>
      <c r="Q49" s="474">
        <v>2022</v>
      </c>
      <c r="R49" s="474" t="s">
        <v>6533</v>
      </c>
      <c r="S49" s="500" t="s">
        <v>681</v>
      </c>
      <c r="T49" s="500" t="s">
        <v>682</v>
      </c>
      <c r="U49" s="484" t="str">
        <f>IFERROR(VLOOKUP(N49,'Thông số'!$B:$F,5,0),"")</f>
        <v>7800 x 2500 x 3480</v>
      </c>
    </row>
    <row r="50" ht="14.25" customHeight="1" spans="1:21">
      <c r="A50" s="485" t="s">
        <v>690</v>
      </c>
      <c r="B50" s="486" t="s">
        <v>691</v>
      </c>
      <c r="C50" s="487">
        <v>34</v>
      </c>
      <c r="D50" s="488"/>
      <c r="E50" s="488"/>
      <c r="F50" s="488"/>
      <c r="G50" s="488"/>
      <c r="H50" s="488"/>
      <c r="I50" s="488"/>
      <c r="J50" s="488"/>
      <c r="K50" s="488"/>
      <c r="L50" s="488"/>
      <c r="M50" s="488"/>
      <c r="N50" s="488"/>
      <c r="O50" s="488"/>
      <c r="P50" s="488"/>
      <c r="Q50" s="488"/>
      <c r="R50" s="488"/>
      <c r="S50" s="488"/>
      <c r="T50" s="488"/>
      <c r="U50" s="484" t="str">
        <f>IFERROR(VLOOKUP(N50,'Thông số'!$B:$F,5,0),"")</f>
        <v/>
      </c>
    </row>
    <row r="51" ht="14.25" customHeight="1" spans="1:21">
      <c r="A51" s="494">
        <v>1</v>
      </c>
      <c r="B51" s="495" t="s">
        <v>692</v>
      </c>
      <c r="C51" s="495" t="s">
        <v>693</v>
      </c>
      <c r="D51" s="473" t="s">
        <v>3332</v>
      </c>
      <c r="E51" s="497"/>
      <c r="F51" s="495" t="s">
        <v>3332</v>
      </c>
      <c r="G51" s="495" t="s">
        <v>70</v>
      </c>
      <c r="H51" s="497"/>
      <c r="I51" s="473" t="s">
        <v>23</v>
      </c>
      <c r="J51" s="498">
        <v>44197</v>
      </c>
      <c r="K51" s="473" t="s">
        <v>1263</v>
      </c>
      <c r="L51" s="499">
        <v>0.67</v>
      </c>
      <c r="M51" s="497"/>
      <c r="N51" s="473" t="s">
        <v>545</v>
      </c>
      <c r="O51" s="495" t="s">
        <v>480</v>
      </c>
      <c r="P51" s="495" t="s">
        <v>453</v>
      </c>
      <c r="Q51" s="473">
        <v>1995</v>
      </c>
      <c r="R51" s="473" t="s">
        <v>546</v>
      </c>
      <c r="S51" s="495" t="s">
        <v>694</v>
      </c>
      <c r="T51" s="495" t="s">
        <v>695</v>
      </c>
      <c r="U51" s="484" t="str">
        <f>IFERROR(VLOOKUP(N51,'Thông số'!$B:$F,5,0),"")</f>
        <v>8420 x 2375 x 3240</v>
      </c>
    </row>
    <row r="52" ht="14.25" customHeight="1" spans="1:21">
      <c r="A52" s="489">
        <v>2</v>
      </c>
      <c r="B52" s="490" t="s">
        <v>696</v>
      </c>
      <c r="C52" s="490" t="s">
        <v>697</v>
      </c>
      <c r="D52" s="470" t="s">
        <v>3306</v>
      </c>
      <c r="E52" s="491"/>
      <c r="F52" s="490" t="s">
        <v>3306</v>
      </c>
      <c r="G52" s="490" t="s">
        <v>57</v>
      </c>
      <c r="H52" s="470" t="s">
        <v>6529</v>
      </c>
      <c r="I52" s="470" t="s">
        <v>23</v>
      </c>
      <c r="J52" s="492">
        <v>44197</v>
      </c>
      <c r="K52" s="470" t="s">
        <v>1126</v>
      </c>
      <c r="L52" s="493">
        <v>0.67</v>
      </c>
      <c r="M52" s="491"/>
      <c r="N52" s="470" t="s">
        <v>613</v>
      </c>
      <c r="O52" s="490" t="s">
        <v>480</v>
      </c>
      <c r="P52" s="490" t="s">
        <v>453</v>
      </c>
      <c r="Q52" s="470">
        <v>2006</v>
      </c>
      <c r="R52" s="470" t="s">
        <v>482</v>
      </c>
      <c r="S52" s="490" t="s">
        <v>698</v>
      </c>
      <c r="T52" s="490" t="s">
        <v>699</v>
      </c>
      <c r="U52" s="484" t="str">
        <f>IFERROR(VLOOKUP(N52,'Thông số'!$B:$F,5,0),"")</f>
        <v>4200 x 2980 x 2720</v>
      </c>
    </row>
    <row r="53" ht="14.25" customHeight="1" spans="1:21">
      <c r="A53" s="489">
        <v>3</v>
      </c>
      <c r="B53" s="490" t="s">
        <v>700</v>
      </c>
      <c r="C53" s="490" t="s">
        <v>701</v>
      </c>
      <c r="D53" s="470" t="s">
        <v>3307</v>
      </c>
      <c r="E53" s="491"/>
      <c r="F53" s="490" t="s">
        <v>3307</v>
      </c>
      <c r="G53" s="490" t="s">
        <v>57</v>
      </c>
      <c r="H53" s="470" t="s">
        <v>6529</v>
      </c>
      <c r="I53" s="470" t="s">
        <v>23</v>
      </c>
      <c r="J53" s="492">
        <v>44197</v>
      </c>
      <c r="K53" s="470" t="s">
        <v>1126</v>
      </c>
      <c r="L53" s="493">
        <v>0.6</v>
      </c>
      <c r="M53" s="491"/>
      <c r="N53" s="470" t="s">
        <v>613</v>
      </c>
      <c r="O53" s="490" t="s">
        <v>480</v>
      </c>
      <c r="P53" s="490" t="s">
        <v>453</v>
      </c>
      <c r="Q53" s="470">
        <v>2008</v>
      </c>
      <c r="R53" s="470" t="s">
        <v>482</v>
      </c>
      <c r="S53" s="490" t="s">
        <v>702</v>
      </c>
      <c r="T53" s="490" t="s">
        <v>703</v>
      </c>
      <c r="U53" s="484" t="str">
        <f>IFERROR(VLOOKUP(N53,'Thông số'!$B:$F,5,0),"")</f>
        <v>4200 x 2980 x 2720</v>
      </c>
    </row>
    <row r="54" ht="14.25" customHeight="1" spans="1:21">
      <c r="A54" s="489">
        <v>4</v>
      </c>
      <c r="B54" s="490" t="s">
        <v>704</v>
      </c>
      <c r="C54" s="490" t="s">
        <v>705</v>
      </c>
      <c r="D54" s="470" t="s">
        <v>3310</v>
      </c>
      <c r="E54" s="491"/>
      <c r="F54" s="490" t="s">
        <v>3310</v>
      </c>
      <c r="G54" s="490" t="s">
        <v>60</v>
      </c>
      <c r="H54" s="470" t="s">
        <v>6530</v>
      </c>
      <c r="I54" s="470" t="s">
        <v>23</v>
      </c>
      <c r="J54" s="492">
        <v>44198</v>
      </c>
      <c r="K54" s="470" t="s">
        <v>1126</v>
      </c>
      <c r="L54" s="493">
        <v>0.68</v>
      </c>
      <c r="M54" s="491"/>
      <c r="N54" s="470" t="s">
        <v>706</v>
      </c>
      <c r="O54" s="490" t="s">
        <v>480</v>
      </c>
      <c r="P54" s="490" t="s">
        <v>453</v>
      </c>
      <c r="Q54" s="470">
        <v>1995</v>
      </c>
      <c r="R54" s="470" t="s">
        <v>61</v>
      </c>
      <c r="S54" s="490" t="s">
        <v>707</v>
      </c>
      <c r="T54" s="490" t="s">
        <v>708</v>
      </c>
      <c r="U54" s="484" t="str">
        <f>IFERROR(VLOOKUP(N54,'Thông số'!$B:$F,5,0),"")</f>
        <v>5585 x 3000 x 3055</v>
      </c>
    </row>
    <row r="55" ht="14.25" customHeight="1" spans="1:21">
      <c r="A55" s="494">
        <v>5</v>
      </c>
      <c r="B55" s="495" t="s">
        <v>709</v>
      </c>
      <c r="C55" s="495" t="s">
        <v>710</v>
      </c>
      <c r="D55" s="473" t="s">
        <v>3322</v>
      </c>
      <c r="E55" s="497"/>
      <c r="F55" s="495" t="s">
        <v>3322</v>
      </c>
      <c r="G55" s="495" t="s">
        <v>76</v>
      </c>
      <c r="H55" s="497"/>
      <c r="I55" s="473" t="s">
        <v>23</v>
      </c>
      <c r="J55" s="498">
        <v>44197</v>
      </c>
      <c r="K55" s="473" t="s">
        <v>1263</v>
      </c>
      <c r="L55" s="499">
        <v>0.6</v>
      </c>
      <c r="M55" s="497"/>
      <c r="N55" s="473" t="s">
        <v>531</v>
      </c>
      <c r="O55" s="495" t="s">
        <v>530</v>
      </c>
      <c r="P55" s="495" t="s">
        <v>453</v>
      </c>
      <c r="Q55" s="473">
        <v>2020</v>
      </c>
      <c r="R55" s="473" t="s">
        <v>77</v>
      </c>
      <c r="S55" s="495" t="s">
        <v>711</v>
      </c>
      <c r="T55" s="495">
        <v>133243</v>
      </c>
      <c r="U55" s="484" t="str">
        <f>IFERROR(VLOOKUP(N55,'Thông số'!$B:$F,5,0),"")</f>
        <v>5810 x 2300 x 2860</v>
      </c>
    </row>
    <row r="56" ht="14.25" customHeight="1" spans="1:21">
      <c r="A56" s="494">
        <v>6</v>
      </c>
      <c r="B56" s="495" t="s">
        <v>712</v>
      </c>
      <c r="C56" s="495" t="s">
        <v>713</v>
      </c>
      <c r="D56" s="473" t="s">
        <v>3324</v>
      </c>
      <c r="E56" s="497"/>
      <c r="F56" s="495" t="s">
        <v>3324</v>
      </c>
      <c r="G56" s="495" t="s">
        <v>78</v>
      </c>
      <c r="H56" s="497"/>
      <c r="I56" s="473" t="s">
        <v>23</v>
      </c>
      <c r="J56" s="498">
        <v>44197</v>
      </c>
      <c r="K56" s="473" t="s">
        <v>1263</v>
      </c>
      <c r="L56" s="499">
        <v>0.6</v>
      </c>
      <c r="M56" s="497"/>
      <c r="N56" s="473" t="s">
        <v>714</v>
      </c>
      <c r="O56" s="495" t="s">
        <v>530</v>
      </c>
      <c r="P56" s="495" t="s">
        <v>453</v>
      </c>
      <c r="Q56" s="473">
        <v>2000</v>
      </c>
      <c r="R56" s="473" t="s">
        <v>535</v>
      </c>
      <c r="S56" s="495" t="s">
        <v>715</v>
      </c>
      <c r="T56" s="495" t="s">
        <v>716</v>
      </c>
      <c r="U56" s="484" t="str">
        <f>IFERROR(VLOOKUP(N56,'Thông số'!$B:$F,5,0),"")</f>
        <v>5020 x 2000 x 3115</v>
      </c>
    </row>
    <row r="57" ht="14.25" customHeight="1" spans="1:21">
      <c r="A57" s="489">
        <v>7</v>
      </c>
      <c r="B57" s="490" t="s">
        <v>717</v>
      </c>
      <c r="C57" s="490" t="s">
        <v>718</v>
      </c>
      <c r="D57" s="470" t="s">
        <v>3381</v>
      </c>
      <c r="E57" s="491"/>
      <c r="F57" s="490" t="s">
        <v>3381</v>
      </c>
      <c r="G57" s="490" t="s">
        <v>108</v>
      </c>
      <c r="H57" s="491"/>
      <c r="I57" s="470" t="s">
        <v>23</v>
      </c>
      <c r="J57" s="492">
        <v>44197</v>
      </c>
      <c r="K57" s="470" t="s">
        <v>1126</v>
      </c>
      <c r="L57" s="493">
        <v>0.68</v>
      </c>
      <c r="M57" s="491"/>
      <c r="N57" s="470" t="s">
        <v>719</v>
      </c>
      <c r="O57" s="490" t="s">
        <v>621</v>
      </c>
      <c r="P57" s="490" t="s">
        <v>500</v>
      </c>
      <c r="Q57" s="470">
        <v>2020</v>
      </c>
      <c r="R57" s="470" t="s">
        <v>85</v>
      </c>
      <c r="S57" s="490" t="s">
        <v>720</v>
      </c>
      <c r="T57" s="490" t="s">
        <v>721</v>
      </c>
      <c r="U57" s="484" t="str">
        <f>IFERROR(VLOOKUP(N57,'Thông số'!$B:$F,5,0),"")</f>
        <v>6160 x 2330 x 2750</v>
      </c>
    </row>
    <row r="58" ht="14.25" customHeight="1" spans="1:21">
      <c r="A58" s="494">
        <v>8</v>
      </c>
      <c r="B58" s="495" t="s">
        <v>722</v>
      </c>
      <c r="C58" s="495" t="s">
        <v>723</v>
      </c>
      <c r="D58" s="473" t="s">
        <v>6552</v>
      </c>
      <c r="E58" s="497"/>
      <c r="F58" s="497"/>
      <c r="G58" s="495" t="s">
        <v>110</v>
      </c>
      <c r="H58" s="497"/>
      <c r="I58" s="473" t="s">
        <v>23</v>
      </c>
      <c r="J58" s="497"/>
      <c r="K58" s="473" t="s">
        <v>1263</v>
      </c>
      <c r="L58" s="497"/>
      <c r="M58" s="497"/>
      <c r="N58" s="473" t="s">
        <v>724</v>
      </c>
      <c r="O58" s="495" t="s">
        <v>621</v>
      </c>
      <c r="P58" s="495" t="s">
        <v>500</v>
      </c>
      <c r="Q58" s="473">
        <v>2020</v>
      </c>
      <c r="R58" s="473" t="s">
        <v>85</v>
      </c>
      <c r="S58" s="495" t="s">
        <v>725</v>
      </c>
      <c r="T58" s="495" t="s">
        <v>726</v>
      </c>
      <c r="U58" s="484" t="str">
        <f>IFERROR(VLOOKUP(N58,'Thông số'!$B:$F,5,0),"")</f>
        <v>6170 x 2330 x 2750</v>
      </c>
    </row>
    <row r="59" ht="14.25" customHeight="1" spans="1:21">
      <c r="A59" s="494">
        <v>9</v>
      </c>
      <c r="B59" s="495" t="s">
        <v>2509</v>
      </c>
      <c r="C59" s="495" t="s">
        <v>6553</v>
      </c>
      <c r="D59" s="473" t="s">
        <v>2510</v>
      </c>
      <c r="E59" s="497"/>
      <c r="F59" s="495" t="s">
        <v>2510</v>
      </c>
      <c r="G59" s="495" t="s">
        <v>104</v>
      </c>
      <c r="H59" s="497"/>
      <c r="I59" s="473" t="s">
        <v>23</v>
      </c>
      <c r="J59" s="498">
        <v>44440</v>
      </c>
      <c r="K59" s="473" t="s">
        <v>1263</v>
      </c>
      <c r="L59" s="499">
        <v>0.7</v>
      </c>
      <c r="M59" s="497"/>
      <c r="N59" s="473" t="s">
        <v>501</v>
      </c>
      <c r="O59" s="495" t="s">
        <v>499</v>
      </c>
      <c r="P59" s="495" t="s">
        <v>500</v>
      </c>
      <c r="Q59" s="473">
        <v>2018</v>
      </c>
      <c r="R59" s="473" t="s">
        <v>105</v>
      </c>
      <c r="S59" s="495" t="s">
        <v>2512</v>
      </c>
      <c r="T59" s="495" t="s">
        <v>2513</v>
      </c>
      <c r="U59" s="484" t="str">
        <f>IFERROR(VLOOKUP(N59,'Thông số'!$B:$F,5,0),"")</f>
        <v>9290 x 2500 x 3370</v>
      </c>
    </row>
    <row r="60" ht="14.25" customHeight="1" spans="1:21">
      <c r="A60" s="494">
        <v>10</v>
      </c>
      <c r="B60" s="495" t="s">
        <v>727</v>
      </c>
      <c r="C60" s="495" t="s">
        <v>728</v>
      </c>
      <c r="D60" s="473" t="s">
        <v>3379</v>
      </c>
      <c r="E60" s="497"/>
      <c r="F60" s="495" t="s">
        <v>3379</v>
      </c>
      <c r="G60" s="495" t="s">
        <v>104</v>
      </c>
      <c r="H60" s="497"/>
      <c r="I60" s="473" t="s">
        <v>23</v>
      </c>
      <c r="J60" s="498">
        <v>44440</v>
      </c>
      <c r="K60" s="473" t="s">
        <v>1263</v>
      </c>
      <c r="L60" s="499">
        <v>0.7</v>
      </c>
      <c r="M60" s="497"/>
      <c r="N60" s="473" t="s">
        <v>501</v>
      </c>
      <c r="O60" s="495" t="s">
        <v>499</v>
      </c>
      <c r="P60" s="495" t="s">
        <v>500</v>
      </c>
      <c r="Q60" s="473">
        <v>2018</v>
      </c>
      <c r="R60" s="473" t="s">
        <v>105</v>
      </c>
      <c r="S60" s="495" t="s">
        <v>729</v>
      </c>
      <c r="T60" s="495" t="s">
        <v>730</v>
      </c>
      <c r="U60" s="484" t="str">
        <f>IFERROR(VLOOKUP(N60,'Thông số'!$B:$F,5,0),"")</f>
        <v>9290 x 2500 x 3370</v>
      </c>
    </row>
    <row r="61" ht="14.25" customHeight="1" spans="1:21">
      <c r="A61" s="494">
        <v>11</v>
      </c>
      <c r="B61" s="495" t="s">
        <v>925</v>
      </c>
      <c r="C61" s="500" t="s">
        <v>504</v>
      </c>
      <c r="D61" s="473" t="s">
        <v>926</v>
      </c>
      <c r="E61" s="473" t="s">
        <v>927</v>
      </c>
      <c r="F61" s="497"/>
      <c r="G61" s="495" t="s">
        <v>113</v>
      </c>
      <c r="H61" s="497"/>
      <c r="I61" s="473" t="s">
        <v>23</v>
      </c>
      <c r="J61" s="498">
        <v>45692</v>
      </c>
      <c r="K61" s="473" t="s">
        <v>1263</v>
      </c>
      <c r="L61" s="497"/>
      <c r="M61" s="501" t="s">
        <v>6554</v>
      </c>
      <c r="N61" s="473" t="s">
        <v>509</v>
      </c>
      <c r="O61" s="495" t="s">
        <v>508</v>
      </c>
      <c r="P61" s="495" t="s">
        <v>500</v>
      </c>
      <c r="Q61" s="473">
        <v>2022</v>
      </c>
      <c r="R61" s="473" t="s">
        <v>114</v>
      </c>
      <c r="S61" s="495" t="s">
        <v>929</v>
      </c>
      <c r="T61" s="495" t="s">
        <v>930</v>
      </c>
      <c r="U61" s="484" t="str">
        <f>IFERROR(VLOOKUP(N61,'Thông số'!$B:$F,5,0),"")</f>
        <v>7800 x 2500 x 3480</v>
      </c>
    </row>
    <row r="62" ht="14.25" customHeight="1" spans="1:21">
      <c r="A62" s="494">
        <v>12</v>
      </c>
      <c r="B62" s="495" t="s">
        <v>731</v>
      </c>
      <c r="C62" s="500" t="s">
        <v>504</v>
      </c>
      <c r="D62" s="473" t="s">
        <v>732</v>
      </c>
      <c r="E62" s="473" t="s">
        <v>733</v>
      </c>
      <c r="F62" s="497"/>
      <c r="G62" s="495" t="s">
        <v>113</v>
      </c>
      <c r="H62" s="497"/>
      <c r="I62" s="473" t="s">
        <v>23</v>
      </c>
      <c r="J62" s="498">
        <v>45692</v>
      </c>
      <c r="K62" s="473" t="s">
        <v>1263</v>
      </c>
      <c r="L62" s="497"/>
      <c r="M62" s="501" t="s">
        <v>653</v>
      </c>
      <c r="N62" s="473" t="s">
        <v>509</v>
      </c>
      <c r="O62" s="495" t="s">
        <v>508</v>
      </c>
      <c r="P62" s="495" t="s">
        <v>500</v>
      </c>
      <c r="Q62" s="473">
        <v>2022</v>
      </c>
      <c r="R62" s="473" t="s">
        <v>114</v>
      </c>
      <c r="S62" s="495" t="s">
        <v>734</v>
      </c>
      <c r="T62" s="495" t="s">
        <v>735</v>
      </c>
      <c r="U62" s="484" t="str">
        <f>IFERROR(VLOOKUP(N62,'Thông số'!$B:$F,5,0),"")</f>
        <v>7800 x 2500 x 3480</v>
      </c>
    </row>
    <row r="63" ht="14.25" customHeight="1" spans="1:21">
      <c r="A63" s="494">
        <v>13</v>
      </c>
      <c r="B63" s="495" t="s">
        <v>736</v>
      </c>
      <c r="C63" s="500" t="s">
        <v>504</v>
      </c>
      <c r="D63" s="473" t="s">
        <v>737</v>
      </c>
      <c r="E63" s="473" t="s">
        <v>738</v>
      </c>
      <c r="F63" s="497"/>
      <c r="G63" s="495" t="s">
        <v>113</v>
      </c>
      <c r="H63" s="497"/>
      <c r="I63" s="473" t="s">
        <v>23</v>
      </c>
      <c r="J63" s="498">
        <v>45692</v>
      </c>
      <c r="K63" s="473" t="s">
        <v>1263</v>
      </c>
      <c r="L63" s="497"/>
      <c r="M63" s="501" t="s">
        <v>653</v>
      </c>
      <c r="N63" s="473" t="s">
        <v>509</v>
      </c>
      <c r="O63" s="495" t="s">
        <v>508</v>
      </c>
      <c r="P63" s="495" t="s">
        <v>500</v>
      </c>
      <c r="Q63" s="473">
        <v>2022</v>
      </c>
      <c r="R63" s="473" t="s">
        <v>114</v>
      </c>
      <c r="S63" s="495" t="s">
        <v>739</v>
      </c>
      <c r="T63" s="495" t="s">
        <v>740</v>
      </c>
      <c r="U63" s="484" t="str">
        <f>IFERROR(VLOOKUP(N63,'Thông số'!$B:$F,5,0),"")</f>
        <v>7800 x 2500 x 3480</v>
      </c>
    </row>
    <row r="64" ht="14.25" customHeight="1" spans="1:21">
      <c r="A64" s="489">
        <v>14</v>
      </c>
      <c r="B64" s="490" t="s">
        <v>741</v>
      </c>
      <c r="C64" s="490" t="s">
        <v>742</v>
      </c>
      <c r="D64" s="470" t="s">
        <v>3271</v>
      </c>
      <c r="E64" s="491"/>
      <c r="F64" s="490" t="s">
        <v>3271</v>
      </c>
      <c r="G64" s="490" t="s">
        <v>53</v>
      </c>
      <c r="H64" s="470" t="s">
        <v>6526</v>
      </c>
      <c r="I64" s="470" t="s">
        <v>23</v>
      </c>
      <c r="J64" s="492">
        <v>44197</v>
      </c>
      <c r="K64" s="470" t="s">
        <v>1126</v>
      </c>
      <c r="L64" s="493">
        <v>0.67</v>
      </c>
      <c r="M64" s="491"/>
      <c r="N64" s="470" t="s">
        <v>472</v>
      </c>
      <c r="O64" s="490" t="s">
        <v>458</v>
      </c>
      <c r="P64" s="490" t="s">
        <v>453</v>
      </c>
      <c r="Q64" s="470">
        <v>2020</v>
      </c>
      <c r="R64" s="470" t="s">
        <v>460</v>
      </c>
      <c r="S64" s="490" t="s">
        <v>743</v>
      </c>
      <c r="T64" s="490">
        <v>800391</v>
      </c>
      <c r="U64" s="484" t="str">
        <f>IFERROR(VLOOKUP(N64,'Thông số'!$B:$F,5,0),"")</f>
        <v>9460 x 2800 x 3200</v>
      </c>
    </row>
    <row r="65" ht="14.25" customHeight="1" spans="1:21">
      <c r="A65" s="494">
        <v>15</v>
      </c>
      <c r="B65" s="495" t="s">
        <v>744</v>
      </c>
      <c r="C65" s="495" t="s">
        <v>745</v>
      </c>
      <c r="D65" s="473" t="s">
        <v>3288</v>
      </c>
      <c r="E65" s="497"/>
      <c r="F65" s="495" t="s">
        <v>3288</v>
      </c>
      <c r="G65" s="495" t="s">
        <v>52</v>
      </c>
      <c r="H65" s="473" t="s">
        <v>6528</v>
      </c>
      <c r="I65" s="473" t="s">
        <v>23</v>
      </c>
      <c r="J65" s="498">
        <v>44197</v>
      </c>
      <c r="K65" s="473" t="s">
        <v>1263</v>
      </c>
      <c r="L65" s="499">
        <v>0.67</v>
      </c>
      <c r="M65" s="497"/>
      <c r="N65" s="473" t="s">
        <v>475</v>
      </c>
      <c r="O65" s="495" t="s">
        <v>458</v>
      </c>
      <c r="P65" s="495" t="s">
        <v>453</v>
      </c>
      <c r="Q65" s="473">
        <v>2019</v>
      </c>
      <c r="R65" s="473" t="s">
        <v>476</v>
      </c>
      <c r="S65" s="495" t="s">
        <v>746</v>
      </c>
      <c r="T65" s="495" t="s">
        <v>747</v>
      </c>
      <c r="U65" s="484" t="str">
        <f>IFERROR(VLOOKUP(N65,'Thông số'!$B:$F,5,0),"")</f>
        <v>7640 x 2590 x 2820</v>
      </c>
    </row>
    <row r="66" ht="14.25" customHeight="1" spans="1:21">
      <c r="A66" s="494">
        <v>16</v>
      </c>
      <c r="B66" s="495" t="s">
        <v>748</v>
      </c>
      <c r="C66" s="495" t="s">
        <v>749</v>
      </c>
      <c r="D66" s="473" t="s">
        <v>3277</v>
      </c>
      <c r="E66" s="497"/>
      <c r="F66" s="495" t="s">
        <v>3277</v>
      </c>
      <c r="G66" s="495" t="s">
        <v>43</v>
      </c>
      <c r="H66" s="473" t="s">
        <v>6527</v>
      </c>
      <c r="I66" s="473" t="s">
        <v>23</v>
      </c>
      <c r="J66" s="498">
        <v>44197</v>
      </c>
      <c r="K66" s="473" t="s">
        <v>1263</v>
      </c>
      <c r="L66" s="499">
        <v>0.67</v>
      </c>
      <c r="M66" s="497"/>
      <c r="N66" s="473" t="s">
        <v>466</v>
      </c>
      <c r="O66" s="495" t="s">
        <v>464</v>
      </c>
      <c r="P66" s="495" t="s">
        <v>465</v>
      </c>
      <c r="Q66" s="473">
        <v>2020</v>
      </c>
      <c r="R66" s="473" t="s">
        <v>467</v>
      </c>
      <c r="S66" s="495" t="s">
        <v>750</v>
      </c>
      <c r="T66" s="495" t="s">
        <v>751</v>
      </c>
      <c r="U66" s="484" t="str">
        <f>IFERROR(VLOOKUP(N66,'Thông số'!$B:$F,5,0),"")</f>
        <v>7235 x 2496 x 3351</v>
      </c>
    </row>
    <row r="67" ht="14.25" customHeight="1" spans="1:21">
      <c r="A67" s="489">
        <v>17</v>
      </c>
      <c r="B67" s="490" t="s">
        <v>752</v>
      </c>
      <c r="C67" s="490" t="s">
        <v>753</v>
      </c>
      <c r="D67" s="470" t="s">
        <v>3278</v>
      </c>
      <c r="E67" s="491"/>
      <c r="F67" s="490" t="s">
        <v>3278</v>
      </c>
      <c r="G67" s="490" t="s">
        <v>43</v>
      </c>
      <c r="H67" s="470" t="s">
        <v>6527</v>
      </c>
      <c r="I67" s="470" t="s">
        <v>23</v>
      </c>
      <c r="J67" s="492">
        <v>44197</v>
      </c>
      <c r="K67" s="470" t="s">
        <v>1126</v>
      </c>
      <c r="L67" s="493">
        <v>0.67</v>
      </c>
      <c r="M67" s="491"/>
      <c r="N67" s="470" t="s">
        <v>466</v>
      </c>
      <c r="O67" s="490" t="s">
        <v>464</v>
      </c>
      <c r="P67" s="490" t="s">
        <v>465</v>
      </c>
      <c r="Q67" s="470">
        <v>2020</v>
      </c>
      <c r="R67" s="470" t="s">
        <v>467</v>
      </c>
      <c r="S67" s="490" t="s">
        <v>754</v>
      </c>
      <c r="T67" s="490" t="s">
        <v>755</v>
      </c>
      <c r="U67" s="484" t="str">
        <f>IFERROR(VLOOKUP(N67,'Thông số'!$B:$F,5,0),"")</f>
        <v>7235 x 2496 x 3351</v>
      </c>
    </row>
    <row r="68" ht="14.25" customHeight="1" spans="1:21">
      <c r="A68" s="494">
        <v>18</v>
      </c>
      <c r="B68" s="495" t="s">
        <v>2171</v>
      </c>
      <c r="C68" s="500" t="s">
        <v>492</v>
      </c>
      <c r="D68" s="473" t="s">
        <v>2172</v>
      </c>
      <c r="E68" s="497"/>
      <c r="F68" s="497"/>
      <c r="G68" s="495" t="s">
        <v>51</v>
      </c>
      <c r="H68" s="473" t="s">
        <v>6555</v>
      </c>
      <c r="I68" s="473" t="s">
        <v>23</v>
      </c>
      <c r="J68" s="498">
        <v>45644</v>
      </c>
      <c r="K68" s="473" t="s">
        <v>1263</v>
      </c>
      <c r="L68" s="497"/>
      <c r="M68" s="501" t="s">
        <v>793</v>
      </c>
      <c r="N68" s="473" t="s">
        <v>2174</v>
      </c>
      <c r="O68" s="495" t="s">
        <v>1267</v>
      </c>
      <c r="P68" s="495" t="s">
        <v>465</v>
      </c>
      <c r="Q68" s="473">
        <v>2012</v>
      </c>
      <c r="R68" s="473" t="s">
        <v>467</v>
      </c>
      <c r="S68" s="495" t="s">
        <v>2175</v>
      </c>
      <c r="T68" s="495">
        <v>73390872</v>
      </c>
      <c r="U68" s="484" t="str">
        <f>IFERROR(VLOOKUP(N68,'Thông số'!$B:$F,5,0),"")</f>
        <v>7820 x 2500 x 3140</v>
      </c>
    </row>
    <row r="69" ht="14.25" customHeight="1" spans="1:21">
      <c r="A69" s="489">
        <v>49</v>
      </c>
      <c r="B69" s="490" t="s">
        <v>1734</v>
      </c>
      <c r="C69" s="490" t="s">
        <v>492</v>
      </c>
      <c r="D69" s="470" t="s">
        <v>6556</v>
      </c>
      <c r="E69" s="491"/>
      <c r="F69" s="491"/>
      <c r="G69" s="490" t="s">
        <v>73</v>
      </c>
      <c r="H69" s="491"/>
      <c r="I69" s="470" t="s">
        <v>23</v>
      </c>
      <c r="J69" s="492">
        <v>45473</v>
      </c>
      <c r="K69" s="470" t="s">
        <v>1126</v>
      </c>
      <c r="L69" s="491"/>
      <c r="M69" s="491"/>
      <c r="N69" s="470" t="s">
        <v>1736</v>
      </c>
      <c r="O69" s="490" t="s">
        <v>589</v>
      </c>
      <c r="P69" s="490" t="s">
        <v>453</v>
      </c>
      <c r="Q69" s="470">
        <v>2005</v>
      </c>
      <c r="R69" s="470" t="s">
        <v>1737</v>
      </c>
      <c r="S69" s="490" t="s">
        <v>1738</v>
      </c>
      <c r="T69" s="490" t="s">
        <v>1739</v>
      </c>
      <c r="U69" s="484" t="str">
        <f>IFERROR(VLOOKUP(N69,'Thông số'!$B:$F,5,0),"")</f>
        <v>3100 x 1400 x 1585</v>
      </c>
    </row>
    <row r="70" ht="14.25" customHeight="1" spans="1:21">
      <c r="A70" s="489">
        <v>50</v>
      </c>
      <c r="B70" s="490" t="s">
        <v>1631</v>
      </c>
      <c r="C70" s="490" t="s">
        <v>492</v>
      </c>
      <c r="D70" s="470" t="s">
        <v>6557</v>
      </c>
      <c r="E70" s="491"/>
      <c r="F70" s="491"/>
      <c r="G70" s="490" t="s">
        <v>49</v>
      </c>
      <c r="H70" s="470" t="s">
        <v>6537</v>
      </c>
      <c r="I70" s="470" t="s">
        <v>23</v>
      </c>
      <c r="J70" s="492">
        <v>45473</v>
      </c>
      <c r="K70" s="470" t="s">
        <v>1126</v>
      </c>
      <c r="L70" s="491"/>
      <c r="M70" s="505" t="s">
        <v>6558</v>
      </c>
      <c r="N70" s="470" t="s">
        <v>569</v>
      </c>
      <c r="O70" s="490" t="s">
        <v>480</v>
      </c>
      <c r="P70" s="490" t="s">
        <v>453</v>
      </c>
      <c r="Q70" s="470">
        <v>2005</v>
      </c>
      <c r="R70" s="470" t="s">
        <v>1634</v>
      </c>
      <c r="S70" s="490" t="s">
        <v>1635</v>
      </c>
      <c r="T70" s="490">
        <v>27150</v>
      </c>
      <c r="U70" s="484" t="str">
        <f>IFERROR(VLOOKUP(N70,'Thông số'!$B:$F,5,0),"")</f>
        <v>5550 x 1960 x 2550</v>
      </c>
    </row>
    <row r="71" ht="14.25" customHeight="1" spans="1:21">
      <c r="A71" s="489">
        <v>51</v>
      </c>
      <c r="B71" s="490" t="s">
        <v>756</v>
      </c>
      <c r="C71" s="490" t="s">
        <v>757</v>
      </c>
      <c r="D71" s="491"/>
      <c r="E71" s="491"/>
      <c r="F71" s="490" t="s">
        <v>3112</v>
      </c>
      <c r="G71" s="490" t="s">
        <v>55</v>
      </c>
      <c r="H71" s="470" t="s">
        <v>6537</v>
      </c>
      <c r="I71" s="470" t="s">
        <v>23</v>
      </c>
      <c r="J71" s="491"/>
      <c r="K71" s="470" t="s">
        <v>1126</v>
      </c>
      <c r="L71" s="491"/>
      <c r="M71" s="505" t="s">
        <v>758</v>
      </c>
      <c r="N71" s="470" t="s">
        <v>760</v>
      </c>
      <c r="O71" s="490" t="s">
        <v>759</v>
      </c>
      <c r="P71" s="490" t="s">
        <v>453</v>
      </c>
      <c r="Q71" s="470">
        <v>2015</v>
      </c>
      <c r="R71" s="470" t="s">
        <v>761</v>
      </c>
      <c r="S71" s="490">
        <v>60432</v>
      </c>
      <c r="T71" s="490" t="s">
        <v>462</v>
      </c>
      <c r="U71" s="484" t="str">
        <f>IFERROR(VLOOKUP(N71,'Thông số'!$B:$F,5,0),"")</f>
        <v>4749 x 1700 x 2470</v>
      </c>
    </row>
    <row r="72" ht="14.25" customHeight="1" spans="1:21">
      <c r="A72" s="494">
        <v>52</v>
      </c>
      <c r="B72" s="500" t="s">
        <v>1505</v>
      </c>
      <c r="C72" s="500" t="s">
        <v>492</v>
      </c>
      <c r="D72" s="474" t="s">
        <v>6559</v>
      </c>
      <c r="E72" s="502"/>
      <c r="F72" s="502"/>
      <c r="G72" s="500" t="s">
        <v>49</v>
      </c>
      <c r="H72" s="473" t="s">
        <v>6537</v>
      </c>
      <c r="I72" s="474" t="s">
        <v>23</v>
      </c>
      <c r="J72" s="503">
        <v>45502</v>
      </c>
      <c r="K72" s="473" t="s">
        <v>1263</v>
      </c>
      <c r="L72" s="502"/>
      <c r="M72" s="504" t="s">
        <v>1506</v>
      </c>
      <c r="N72" s="474" t="s">
        <v>556</v>
      </c>
      <c r="O72" s="500" t="s">
        <v>480</v>
      </c>
      <c r="P72" s="500" t="s">
        <v>555</v>
      </c>
      <c r="Q72" s="474">
        <v>2015</v>
      </c>
      <c r="R72" s="474" t="s">
        <v>557</v>
      </c>
      <c r="S72" s="500" t="s">
        <v>1507</v>
      </c>
      <c r="T72" s="500">
        <v>35099</v>
      </c>
      <c r="U72" s="484" t="str">
        <f>IFERROR(VLOOKUP(N72,'Thông số'!$B:$F,5,0),"")</f>
        <v>5260 x 1760 x 2415</v>
      </c>
    </row>
    <row r="73" ht="14.25" customHeight="1" spans="1:21">
      <c r="A73" s="494">
        <v>53</v>
      </c>
      <c r="B73" s="500" t="s">
        <v>1636</v>
      </c>
      <c r="C73" s="500" t="s">
        <v>492</v>
      </c>
      <c r="D73" s="474" t="s">
        <v>6560</v>
      </c>
      <c r="E73" s="502"/>
      <c r="F73" s="502"/>
      <c r="G73" s="500" t="s">
        <v>49</v>
      </c>
      <c r="H73" s="473" t="s">
        <v>6537</v>
      </c>
      <c r="I73" s="474" t="s">
        <v>23</v>
      </c>
      <c r="J73" s="503">
        <v>45502</v>
      </c>
      <c r="K73" s="473" t="s">
        <v>1263</v>
      </c>
      <c r="L73" s="502"/>
      <c r="M73" s="504" t="s">
        <v>6561</v>
      </c>
      <c r="N73" s="474" t="s">
        <v>556</v>
      </c>
      <c r="O73" s="500" t="s">
        <v>480</v>
      </c>
      <c r="P73" s="500" t="s">
        <v>555</v>
      </c>
      <c r="Q73" s="474">
        <v>2015</v>
      </c>
      <c r="R73" s="474" t="s">
        <v>557</v>
      </c>
      <c r="S73" s="500" t="s">
        <v>1638</v>
      </c>
      <c r="T73" s="500">
        <v>20536</v>
      </c>
      <c r="U73" s="484" t="str">
        <f>IFERROR(VLOOKUP(N73,'Thông số'!$B:$F,5,0),"")</f>
        <v>5260 x 1760 x 2415</v>
      </c>
    </row>
    <row r="74" ht="14.25" customHeight="1" spans="1:21">
      <c r="A74" s="489">
        <v>54</v>
      </c>
      <c r="B74" s="490" t="s">
        <v>762</v>
      </c>
      <c r="C74" s="490" t="s">
        <v>763</v>
      </c>
      <c r="D74" s="470" t="s">
        <v>6562</v>
      </c>
      <c r="E74" s="491"/>
      <c r="F74" s="491"/>
      <c r="G74" s="490" t="s">
        <v>49</v>
      </c>
      <c r="H74" s="470" t="s">
        <v>6537</v>
      </c>
      <c r="I74" s="470" t="s">
        <v>23</v>
      </c>
      <c r="J74" s="492">
        <v>45489</v>
      </c>
      <c r="K74" s="470" t="s">
        <v>1126</v>
      </c>
      <c r="L74" s="491"/>
      <c r="M74" s="505" t="s">
        <v>765</v>
      </c>
      <c r="N74" s="470" t="s">
        <v>766</v>
      </c>
      <c r="O74" s="490" t="s">
        <v>480</v>
      </c>
      <c r="P74" s="490" t="s">
        <v>453</v>
      </c>
      <c r="Q74" s="470">
        <v>2006</v>
      </c>
      <c r="R74" s="470" t="s">
        <v>767</v>
      </c>
      <c r="S74" s="490">
        <v>9101</v>
      </c>
      <c r="T74" s="490" t="s">
        <v>462</v>
      </c>
      <c r="U74" s="484" t="str">
        <f>IFERROR(VLOOKUP(N74,'Thông số'!$B:$F,5,0),"")</f>
        <v>5260 x 1760 x 2415</v>
      </c>
    </row>
    <row r="75" ht="14.25" customHeight="1" spans="1:21">
      <c r="A75" s="494">
        <v>55</v>
      </c>
      <c r="B75" s="495" t="s">
        <v>768</v>
      </c>
      <c r="C75" s="495" t="s">
        <v>504</v>
      </c>
      <c r="D75" s="473" t="s">
        <v>769</v>
      </c>
      <c r="E75" s="473" t="s">
        <v>770</v>
      </c>
      <c r="F75" s="497"/>
      <c r="G75" s="500" t="s">
        <v>109</v>
      </c>
      <c r="H75" s="497"/>
      <c r="I75" s="473" t="s">
        <v>23</v>
      </c>
      <c r="J75" s="498">
        <v>45723</v>
      </c>
      <c r="K75" s="473" t="s">
        <v>1263</v>
      </c>
      <c r="L75" s="497"/>
      <c r="M75" s="504" t="s">
        <v>620</v>
      </c>
      <c r="N75" s="473" t="s">
        <v>628</v>
      </c>
      <c r="O75" s="495" t="s">
        <v>771</v>
      </c>
      <c r="P75" s="495" t="s">
        <v>500</v>
      </c>
      <c r="Q75" s="473">
        <v>2024</v>
      </c>
      <c r="R75" s="473" t="s">
        <v>48</v>
      </c>
      <c r="S75" s="495" t="s">
        <v>772</v>
      </c>
      <c r="T75" s="495" t="s">
        <v>773</v>
      </c>
      <c r="U75" s="484" t="str">
        <f>IFERROR(VLOOKUP(N75,'Thông số'!$B:$F,5,0),"")</f>
        <v>6160 x 2330 x 2760</v>
      </c>
    </row>
    <row r="76" ht="14.25" customHeight="1" spans="1:21">
      <c r="A76" s="494">
        <v>56</v>
      </c>
      <c r="B76" s="495" t="s">
        <v>774</v>
      </c>
      <c r="C76" s="495" t="s">
        <v>504</v>
      </c>
      <c r="D76" s="473" t="s">
        <v>775</v>
      </c>
      <c r="E76" s="473" t="s">
        <v>776</v>
      </c>
      <c r="F76" s="497"/>
      <c r="G76" s="500" t="s">
        <v>109</v>
      </c>
      <c r="H76" s="497"/>
      <c r="I76" s="473" t="s">
        <v>23</v>
      </c>
      <c r="J76" s="498">
        <v>45723</v>
      </c>
      <c r="K76" s="473" t="s">
        <v>1263</v>
      </c>
      <c r="L76" s="497"/>
      <c r="M76" s="504" t="s">
        <v>620</v>
      </c>
      <c r="N76" s="473" t="s">
        <v>628</v>
      </c>
      <c r="O76" s="495" t="s">
        <v>771</v>
      </c>
      <c r="P76" s="495" t="s">
        <v>500</v>
      </c>
      <c r="Q76" s="473">
        <v>2024</v>
      </c>
      <c r="R76" s="473" t="s">
        <v>48</v>
      </c>
      <c r="S76" s="495" t="s">
        <v>777</v>
      </c>
      <c r="T76" s="495" t="s">
        <v>778</v>
      </c>
      <c r="U76" s="484" t="str">
        <f>IFERROR(VLOOKUP(N76,'Thông số'!$B:$F,5,0),"")</f>
        <v>6160 x 2330 x 2760</v>
      </c>
    </row>
    <row r="77" ht="14.25" customHeight="1" spans="1:21">
      <c r="A77" s="494">
        <v>57</v>
      </c>
      <c r="B77" s="495" t="s">
        <v>779</v>
      </c>
      <c r="C77" s="495" t="s">
        <v>504</v>
      </c>
      <c r="D77" s="473" t="s">
        <v>780</v>
      </c>
      <c r="E77" s="497"/>
      <c r="F77" s="497"/>
      <c r="G77" s="500" t="s">
        <v>106</v>
      </c>
      <c r="H77" s="497"/>
      <c r="I77" s="473" t="s">
        <v>23</v>
      </c>
      <c r="J77" s="503">
        <v>45806</v>
      </c>
      <c r="K77" s="473" t="s">
        <v>1263</v>
      </c>
      <c r="L77" s="497"/>
      <c r="M77" s="504" t="s">
        <v>634</v>
      </c>
      <c r="N77" s="473" t="s">
        <v>635</v>
      </c>
      <c r="O77" s="495" t="s">
        <v>771</v>
      </c>
      <c r="P77" s="495" t="s">
        <v>500</v>
      </c>
      <c r="Q77" s="473">
        <v>2024</v>
      </c>
      <c r="R77" s="473" t="s">
        <v>48</v>
      </c>
      <c r="S77" s="495" t="s">
        <v>781</v>
      </c>
      <c r="T77" s="495" t="s">
        <v>782</v>
      </c>
      <c r="U77" s="484" t="str">
        <f>IFERROR(VLOOKUP(N77,'Thông số'!$B:$F,5,0),"")</f>
        <v>6160 x 2330 x 2760</v>
      </c>
    </row>
    <row r="78" ht="14.25" customHeight="1" spans="1:21">
      <c r="A78" s="494">
        <v>58</v>
      </c>
      <c r="B78" s="495" t="s">
        <v>783</v>
      </c>
      <c r="C78" s="495" t="s">
        <v>504</v>
      </c>
      <c r="D78" s="473" t="s">
        <v>784</v>
      </c>
      <c r="E78" s="497"/>
      <c r="F78" s="497"/>
      <c r="G78" s="500" t="s">
        <v>106</v>
      </c>
      <c r="H78" s="497"/>
      <c r="I78" s="473" t="s">
        <v>23</v>
      </c>
      <c r="J78" s="503">
        <v>45806</v>
      </c>
      <c r="K78" s="473" t="s">
        <v>1263</v>
      </c>
      <c r="L78" s="497"/>
      <c r="M78" s="504" t="s">
        <v>634</v>
      </c>
      <c r="N78" s="473" t="s">
        <v>635</v>
      </c>
      <c r="O78" s="495" t="s">
        <v>771</v>
      </c>
      <c r="P78" s="495" t="s">
        <v>500</v>
      </c>
      <c r="Q78" s="473">
        <v>2024</v>
      </c>
      <c r="R78" s="473" t="s">
        <v>48</v>
      </c>
      <c r="S78" s="495" t="s">
        <v>785</v>
      </c>
      <c r="T78" s="495" t="s">
        <v>786</v>
      </c>
      <c r="U78" s="484" t="str">
        <f>IFERROR(VLOOKUP(N78,'Thông số'!$B:$F,5,0),"")</f>
        <v>6160 x 2330 x 2760</v>
      </c>
    </row>
    <row r="79" ht="14.25" customHeight="1" spans="1:21">
      <c r="A79" s="494">
        <v>59</v>
      </c>
      <c r="B79" s="495" t="s">
        <v>787</v>
      </c>
      <c r="C79" s="495" t="s">
        <v>504</v>
      </c>
      <c r="D79" s="473" t="s">
        <v>788</v>
      </c>
      <c r="E79" s="497"/>
      <c r="F79" s="497"/>
      <c r="G79" s="500" t="s">
        <v>106</v>
      </c>
      <c r="H79" s="497"/>
      <c r="I79" s="473" t="s">
        <v>23</v>
      </c>
      <c r="J79" s="503">
        <v>45806</v>
      </c>
      <c r="K79" s="473" t="s">
        <v>1263</v>
      </c>
      <c r="L79" s="497"/>
      <c r="M79" s="504" t="s">
        <v>634</v>
      </c>
      <c r="N79" s="473" t="s">
        <v>635</v>
      </c>
      <c r="O79" s="495" t="s">
        <v>771</v>
      </c>
      <c r="P79" s="495" t="s">
        <v>500</v>
      </c>
      <c r="Q79" s="473">
        <v>2024</v>
      </c>
      <c r="R79" s="473" t="s">
        <v>48</v>
      </c>
      <c r="S79" s="495" t="s">
        <v>789</v>
      </c>
      <c r="T79" s="495" t="s">
        <v>790</v>
      </c>
      <c r="U79" s="484" t="str">
        <f>IFERROR(VLOOKUP(N79,'Thông số'!$B:$F,5,0),"")</f>
        <v>6160 x 2330 x 2760</v>
      </c>
    </row>
    <row r="80" ht="14.25" customHeight="1" spans="1:21">
      <c r="A80" s="494">
        <v>60</v>
      </c>
      <c r="B80" s="495" t="s">
        <v>791</v>
      </c>
      <c r="C80" s="500" t="s">
        <v>492</v>
      </c>
      <c r="D80" s="473" t="s">
        <v>792</v>
      </c>
      <c r="E80" s="497"/>
      <c r="F80" s="497"/>
      <c r="G80" s="500" t="s">
        <v>50</v>
      </c>
      <c r="H80" s="473" t="s">
        <v>6549</v>
      </c>
      <c r="I80" s="473" t="s">
        <v>23</v>
      </c>
      <c r="J80" s="503">
        <v>45811</v>
      </c>
      <c r="K80" s="473" t="s">
        <v>1263</v>
      </c>
      <c r="L80" s="497"/>
      <c r="M80" s="501" t="s">
        <v>793</v>
      </c>
      <c r="N80" s="473" t="s">
        <v>794</v>
      </c>
      <c r="O80" s="495" t="s">
        <v>480</v>
      </c>
      <c r="P80" s="495" t="s">
        <v>453</v>
      </c>
      <c r="Q80" s="473">
        <v>2010</v>
      </c>
      <c r="R80" s="473" t="s">
        <v>6563</v>
      </c>
      <c r="S80" s="495" t="s">
        <v>795</v>
      </c>
      <c r="T80" s="495" t="s">
        <v>796</v>
      </c>
      <c r="U80" s="484" t="str">
        <f>IFERROR(VLOOKUP(N80,'Thông số'!$B:$F,5,0),"")</f>
        <v>9425 x 2800 x 2970</v>
      </c>
    </row>
    <row r="81" ht="14.25" customHeight="1" spans="1:21">
      <c r="A81" s="494">
        <v>61</v>
      </c>
      <c r="B81" s="495" t="s">
        <v>1508</v>
      </c>
      <c r="C81" s="500" t="s">
        <v>492</v>
      </c>
      <c r="D81" s="473" t="s">
        <v>1509</v>
      </c>
      <c r="E81" s="497"/>
      <c r="F81" s="497"/>
      <c r="G81" s="500" t="s">
        <v>74</v>
      </c>
      <c r="H81" s="497"/>
      <c r="I81" s="473" t="s">
        <v>23</v>
      </c>
      <c r="J81" s="503">
        <v>45811</v>
      </c>
      <c r="K81" s="473" t="s">
        <v>1263</v>
      </c>
      <c r="L81" s="497"/>
      <c r="M81" s="501" t="s">
        <v>793</v>
      </c>
      <c r="N81" s="473" t="s">
        <v>1511</v>
      </c>
      <c r="O81" s="495" t="s">
        <v>530</v>
      </c>
      <c r="P81" s="495" t="s">
        <v>453</v>
      </c>
      <c r="Q81" s="473">
        <v>1998</v>
      </c>
      <c r="R81" s="473" t="s">
        <v>6564</v>
      </c>
      <c r="S81" s="495" t="s">
        <v>1513</v>
      </c>
      <c r="T81" s="495">
        <v>256182</v>
      </c>
      <c r="U81" s="484" t="str">
        <f>IFERROR(VLOOKUP(N81,'Thông số'!$B:$F,5,0),"")</f>
        <v>2625 x 1290 x 1570</v>
      </c>
    </row>
    <row r="82" ht="14.25" customHeight="1" spans="1:21">
      <c r="A82" s="494">
        <v>62</v>
      </c>
      <c r="B82" s="495" t="s">
        <v>797</v>
      </c>
      <c r="C82" s="500" t="s">
        <v>492</v>
      </c>
      <c r="D82" s="473" t="s">
        <v>798</v>
      </c>
      <c r="E82" s="497"/>
      <c r="F82" s="497"/>
      <c r="G82" s="500" t="s">
        <v>74</v>
      </c>
      <c r="H82" s="497"/>
      <c r="I82" s="473" t="s">
        <v>23</v>
      </c>
      <c r="J82" s="503">
        <v>45864</v>
      </c>
      <c r="K82" s="473" t="s">
        <v>1263</v>
      </c>
      <c r="L82" s="497"/>
      <c r="M82" s="501" t="s">
        <v>793</v>
      </c>
      <c r="N82" s="473" t="s">
        <v>800</v>
      </c>
      <c r="O82" s="495" t="s">
        <v>530</v>
      </c>
      <c r="P82" s="495" t="s">
        <v>453</v>
      </c>
      <c r="Q82" s="473">
        <v>2004</v>
      </c>
      <c r="R82" s="473" t="s">
        <v>6565</v>
      </c>
      <c r="S82" s="495" t="s">
        <v>801</v>
      </c>
      <c r="T82" s="495">
        <v>166376</v>
      </c>
      <c r="U82" s="484" t="str">
        <f>IFERROR(VLOOKUP(N82,'Thông số'!$B:$F,5,0),"")</f>
        <v>3105 x 1390 x 1700</v>
      </c>
    </row>
    <row r="83" ht="14.25" customHeight="1" spans="1:21">
      <c r="A83" s="494">
        <v>63</v>
      </c>
      <c r="B83" s="495" t="s">
        <v>802</v>
      </c>
      <c r="C83" s="500" t="s">
        <v>492</v>
      </c>
      <c r="D83" s="473" t="s">
        <v>803</v>
      </c>
      <c r="E83" s="497"/>
      <c r="F83" s="497"/>
      <c r="G83" s="500" t="s">
        <v>804</v>
      </c>
      <c r="H83" s="473" t="s">
        <v>6547</v>
      </c>
      <c r="I83" s="473" t="s">
        <v>23</v>
      </c>
      <c r="J83" s="503">
        <v>45865</v>
      </c>
      <c r="K83" s="473" t="s">
        <v>1263</v>
      </c>
      <c r="L83" s="497"/>
      <c r="M83" s="501" t="s">
        <v>793</v>
      </c>
      <c r="N83" s="473" t="s">
        <v>806</v>
      </c>
      <c r="O83" s="495" t="s">
        <v>480</v>
      </c>
      <c r="P83" s="495" t="s">
        <v>453</v>
      </c>
      <c r="Q83" s="473">
        <v>1990</v>
      </c>
      <c r="R83" s="473" t="s">
        <v>87</v>
      </c>
      <c r="S83" s="495" t="s">
        <v>807</v>
      </c>
      <c r="T83" s="495" t="s">
        <v>808</v>
      </c>
      <c r="U83" s="484" t="str">
        <f>IFERROR(VLOOKUP(N83,'Thông số'!$B:$F,5,0),"")</f>
        <v>9660 x 2550 x 3985</v>
      </c>
    </row>
    <row r="84" ht="14.25" customHeight="1" spans="1:21">
      <c r="A84" s="494">
        <v>64</v>
      </c>
      <c r="B84" s="495" t="s">
        <v>809</v>
      </c>
      <c r="C84" s="500" t="s">
        <v>492</v>
      </c>
      <c r="D84" s="473" t="s">
        <v>810</v>
      </c>
      <c r="E84" s="497"/>
      <c r="F84" s="497"/>
      <c r="G84" s="500" t="s">
        <v>59</v>
      </c>
      <c r="H84" s="473" t="s">
        <v>6529</v>
      </c>
      <c r="I84" s="473" t="s">
        <v>23</v>
      </c>
      <c r="J84" s="503">
        <v>45864</v>
      </c>
      <c r="K84" s="473" t="s">
        <v>1263</v>
      </c>
      <c r="L84" s="497"/>
      <c r="M84" s="501" t="s">
        <v>793</v>
      </c>
      <c r="N84" s="473" t="s">
        <v>613</v>
      </c>
      <c r="O84" s="495" t="s">
        <v>480</v>
      </c>
      <c r="P84" s="495" t="s">
        <v>811</v>
      </c>
      <c r="Q84" s="473">
        <v>2006</v>
      </c>
      <c r="R84" s="473" t="s">
        <v>6566</v>
      </c>
      <c r="S84" s="495" t="s">
        <v>813</v>
      </c>
      <c r="T84" s="495" t="s">
        <v>814</v>
      </c>
      <c r="U84" s="484" t="str">
        <f>IFERROR(VLOOKUP(N84,'Thông số'!$B:$F,5,0),"")</f>
        <v>4200 x 2980 x 2720</v>
      </c>
    </row>
    <row r="85" ht="14.25" customHeight="1" spans="1:21">
      <c r="A85" s="485" t="s">
        <v>815</v>
      </c>
      <c r="B85" s="486" t="s">
        <v>816</v>
      </c>
      <c r="C85" s="487">
        <v>32</v>
      </c>
      <c r="D85" s="488"/>
      <c r="E85" s="488"/>
      <c r="F85" s="488"/>
      <c r="G85" s="488"/>
      <c r="H85" s="497"/>
      <c r="I85" s="488"/>
      <c r="J85" s="488"/>
      <c r="K85" s="488"/>
      <c r="L85" s="488"/>
      <c r="M85" s="488"/>
      <c r="N85" s="488"/>
      <c r="O85" s="488"/>
      <c r="P85" s="488"/>
      <c r="Q85" s="488"/>
      <c r="R85" s="488"/>
      <c r="S85" s="488"/>
      <c r="T85" s="488"/>
      <c r="U85" s="484" t="str">
        <f>IFERROR(VLOOKUP(N85,'Thông số'!$B:$F,5,0),"")</f>
        <v/>
      </c>
    </row>
    <row r="86" ht="14.25" customHeight="1" spans="1:21">
      <c r="A86" s="494">
        <v>1</v>
      </c>
      <c r="B86" s="495" t="s">
        <v>817</v>
      </c>
      <c r="C86" s="495" t="s">
        <v>817</v>
      </c>
      <c r="D86" s="473" t="s">
        <v>3333</v>
      </c>
      <c r="E86" s="497"/>
      <c r="F86" s="495" t="s">
        <v>3333</v>
      </c>
      <c r="G86" s="495" t="s">
        <v>70</v>
      </c>
      <c r="H86" s="497"/>
      <c r="I86" s="473" t="s">
        <v>27</v>
      </c>
      <c r="J86" s="498">
        <v>43841</v>
      </c>
      <c r="K86" s="473" t="s">
        <v>1263</v>
      </c>
      <c r="L86" s="499">
        <v>0.66</v>
      </c>
      <c r="M86" s="497"/>
      <c r="N86" s="473" t="s">
        <v>545</v>
      </c>
      <c r="O86" s="495" t="s">
        <v>480</v>
      </c>
      <c r="P86" s="495" t="s">
        <v>453</v>
      </c>
      <c r="Q86" s="473">
        <v>1995</v>
      </c>
      <c r="R86" s="473" t="s">
        <v>546</v>
      </c>
      <c r="S86" s="495" t="s">
        <v>818</v>
      </c>
      <c r="T86" s="495" t="s">
        <v>819</v>
      </c>
      <c r="U86" s="484" t="str">
        <f>IFERROR(VLOOKUP(N86,'Thông số'!$B:$F,5,0),"")</f>
        <v>8420 x 2375 x 3240</v>
      </c>
    </row>
    <row r="87" ht="14.25" customHeight="1" spans="1:21">
      <c r="A87" s="489">
        <v>2</v>
      </c>
      <c r="B87" s="490" t="s">
        <v>820</v>
      </c>
      <c r="C87" s="490" t="s">
        <v>820</v>
      </c>
      <c r="D87" s="470" t="s">
        <v>3304</v>
      </c>
      <c r="E87" s="491"/>
      <c r="F87" s="490" t="s">
        <v>3304</v>
      </c>
      <c r="G87" s="490" t="s">
        <v>57</v>
      </c>
      <c r="H87" s="470" t="s">
        <v>6529</v>
      </c>
      <c r="I87" s="470" t="s">
        <v>27</v>
      </c>
      <c r="J87" s="492">
        <v>44136</v>
      </c>
      <c r="K87" s="470" t="s">
        <v>1126</v>
      </c>
      <c r="L87" s="493">
        <v>0.5</v>
      </c>
      <c r="M87" s="505" t="s">
        <v>821</v>
      </c>
      <c r="N87" s="470" t="s">
        <v>481</v>
      </c>
      <c r="O87" s="490" t="s">
        <v>480</v>
      </c>
      <c r="P87" s="490" t="s">
        <v>453</v>
      </c>
      <c r="Q87" s="470">
        <v>2005</v>
      </c>
      <c r="R87" s="470" t="s">
        <v>482</v>
      </c>
      <c r="S87" s="490" t="s">
        <v>822</v>
      </c>
      <c r="T87" s="490" t="s">
        <v>823</v>
      </c>
      <c r="U87" s="484" t="str">
        <f>IFERROR(VLOOKUP(N87,'Thông số'!$B:$F,5,0),"")</f>
        <v>4200 x 2980 x 2720</v>
      </c>
    </row>
    <row r="88" ht="14.25" customHeight="1" spans="1:21">
      <c r="A88" s="494">
        <v>3</v>
      </c>
      <c r="B88" s="495" t="s">
        <v>824</v>
      </c>
      <c r="C88" s="495" t="s">
        <v>824</v>
      </c>
      <c r="D88" s="473" t="s">
        <v>3305</v>
      </c>
      <c r="E88" s="497"/>
      <c r="F88" s="495" t="s">
        <v>3305</v>
      </c>
      <c r="G88" s="495" t="s">
        <v>57</v>
      </c>
      <c r="H88" s="473" t="s">
        <v>6529</v>
      </c>
      <c r="I88" s="473" t="s">
        <v>27</v>
      </c>
      <c r="J88" s="498">
        <v>44136</v>
      </c>
      <c r="K88" s="473" t="s">
        <v>1263</v>
      </c>
      <c r="L88" s="499">
        <v>0.5</v>
      </c>
      <c r="M88" s="497"/>
      <c r="N88" s="473" t="s">
        <v>481</v>
      </c>
      <c r="O88" s="495" t="s">
        <v>480</v>
      </c>
      <c r="P88" s="495" t="s">
        <v>453</v>
      </c>
      <c r="Q88" s="473">
        <v>2004</v>
      </c>
      <c r="R88" s="473" t="s">
        <v>482</v>
      </c>
      <c r="S88" s="495" t="s">
        <v>825</v>
      </c>
      <c r="T88" s="495" t="s">
        <v>826</v>
      </c>
      <c r="U88" s="484" t="str">
        <f>IFERROR(VLOOKUP(N88,'Thông số'!$B:$F,5,0),"")</f>
        <v>4200 x 2980 x 2720</v>
      </c>
    </row>
    <row r="89" ht="14.25" customHeight="1" spans="1:21">
      <c r="A89" s="489">
        <v>4</v>
      </c>
      <c r="B89" s="490" t="s">
        <v>827</v>
      </c>
      <c r="C89" s="490" t="s">
        <v>827</v>
      </c>
      <c r="D89" s="470" t="s">
        <v>3314</v>
      </c>
      <c r="E89" s="491"/>
      <c r="F89" s="490" t="s">
        <v>3314</v>
      </c>
      <c r="G89" s="490" t="s">
        <v>66</v>
      </c>
      <c r="H89" s="470" t="s">
        <v>6530</v>
      </c>
      <c r="I89" s="470" t="s">
        <v>27</v>
      </c>
      <c r="J89" s="492">
        <v>44136</v>
      </c>
      <c r="K89" s="470" t="s">
        <v>1126</v>
      </c>
      <c r="L89" s="493">
        <v>0.66</v>
      </c>
      <c r="M89" s="491"/>
      <c r="N89" s="470" t="s">
        <v>828</v>
      </c>
      <c r="O89" s="490" t="s">
        <v>480</v>
      </c>
      <c r="P89" s="490" t="s">
        <v>453</v>
      </c>
      <c r="Q89" s="470">
        <v>1996</v>
      </c>
      <c r="R89" s="470" t="s">
        <v>829</v>
      </c>
      <c r="S89" s="490" t="s">
        <v>830</v>
      </c>
      <c r="T89" s="490" t="s">
        <v>831</v>
      </c>
      <c r="U89" s="484" t="str">
        <f>IFERROR(VLOOKUP(N89,'Thông số'!$B:$F,5,0),"")</f>
        <v>5550 x 3970 x 3090</v>
      </c>
    </row>
    <row r="90" ht="14.25" customHeight="1" spans="1:21">
      <c r="A90" s="489">
        <v>5</v>
      </c>
      <c r="B90" s="490" t="s">
        <v>832</v>
      </c>
      <c r="C90" s="490" t="s">
        <v>832</v>
      </c>
      <c r="D90" s="470" t="s">
        <v>3308</v>
      </c>
      <c r="E90" s="491"/>
      <c r="F90" s="490" t="s">
        <v>3308</v>
      </c>
      <c r="G90" s="490" t="s">
        <v>57</v>
      </c>
      <c r="H90" s="470" t="s">
        <v>6529</v>
      </c>
      <c r="I90" s="470" t="s">
        <v>27</v>
      </c>
      <c r="J90" s="492">
        <v>44228</v>
      </c>
      <c r="K90" s="470" t="s">
        <v>1126</v>
      </c>
      <c r="L90" s="493">
        <v>0.68</v>
      </c>
      <c r="M90" s="491"/>
      <c r="N90" s="470" t="s">
        <v>613</v>
      </c>
      <c r="O90" s="490" t="s">
        <v>480</v>
      </c>
      <c r="P90" s="490" t="s">
        <v>453</v>
      </c>
      <c r="Q90" s="470">
        <v>2006</v>
      </c>
      <c r="R90" s="470" t="s">
        <v>58</v>
      </c>
      <c r="S90" s="490" t="s">
        <v>833</v>
      </c>
      <c r="T90" s="490" t="s">
        <v>834</v>
      </c>
      <c r="U90" s="484" t="str">
        <f>IFERROR(VLOOKUP(N90,'Thông số'!$B:$F,5,0),"")</f>
        <v>4200 x 2980 x 2720</v>
      </c>
    </row>
    <row r="91" ht="14.25" customHeight="1" spans="1:21">
      <c r="A91" s="494">
        <v>6</v>
      </c>
      <c r="B91" s="500" t="s">
        <v>835</v>
      </c>
      <c r="C91" s="500" t="s">
        <v>492</v>
      </c>
      <c r="D91" s="474" t="s">
        <v>836</v>
      </c>
      <c r="E91" s="502"/>
      <c r="F91" s="502"/>
      <c r="G91" s="500" t="s">
        <v>57</v>
      </c>
      <c r="H91" s="473" t="s">
        <v>6529</v>
      </c>
      <c r="I91" s="473" t="s">
        <v>27</v>
      </c>
      <c r="J91" s="503">
        <v>45699</v>
      </c>
      <c r="K91" s="473" t="s">
        <v>1263</v>
      </c>
      <c r="L91" s="502"/>
      <c r="M91" s="504" t="s">
        <v>837</v>
      </c>
      <c r="N91" s="474" t="s">
        <v>613</v>
      </c>
      <c r="O91" s="500" t="s">
        <v>480</v>
      </c>
      <c r="P91" s="495" t="s">
        <v>453</v>
      </c>
      <c r="Q91" s="474">
        <v>2006</v>
      </c>
      <c r="R91" s="474" t="s">
        <v>6550</v>
      </c>
      <c r="S91" s="500" t="s">
        <v>838</v>
      </c>
      <c r="T91" s="500" t="s">
        <v>839</v>
      </c>
      <c r="U91" s="484" t="str">
        <f>IFERROR(VLOOKUP(N91,'Thông số'!$B:$F,5,0),"")</f>
        <v>4200 x 2980 x 2720</v>
      </c>
    </row>
    <row r="92" ht="14.25" customHeight="1" spans="1:21">
      <c r="A92" s="489">
        <v>7</v>
      </c>
      <c r="B92" s="490" t="s">
        <v>847</v>
      </c>
      <c r="C92" s="490" t="s">
        <v>847</v>
      </c>
      <c r="D92" s="470" t="s">
        <v>3326</v>
      </c>
      <c r="E92" s="491"/>
      <c r="F92" s="490" t="s">
        <v>3326</v>
      </c>
      <c r="G92" s="490" t="s">
        <v>78</v>
      </c>
      <c r="H92" s="491"/>
      <c r="I92" s="470" t="s">
        <v>27</v>
      </c>
      <c r="J92" s="492">
        <v>43841</v>
      </c>
      <c r="K92" s="470" t="s">
        <v>1126</v>
      </c>
      <c r="L92" s="493">
        <v>0.66</v>
      </c>
      <c r="M92" s="506"/>
      <c r="N92" s="470" t="s">
        <v>848</v>
      </c>
      <c r="O92" s="490" t="s">
        <v>530</v>
      </c>
      <c r="P92" s="490" t="s">
        <v>453</v>
      </c>
      <c r="Q92" s="470">
        <v>1997</v>
      </c>
      <c r="R92" s="470" t="s">
        <v>535</v>
      </c>
      <c r="S92" s="490" t="s">
        <v>849</v>
      </c>
      <c r="T92" s="490" t="s">
        <v>850</v>
      </c>
      <c r="U92" s="484" t="str">
        <f>IFERROR(VLOOKUP(N92,'Thông số'!$B:$F,5,0),"")</f>
        <v>5020 x 2000 x 3115</v>
      </c>
    </row>
    <row r="93" ht="14.25" customHeight="1" spans="1:21">
      <c r="A93" s="494">
        <v>8</v>
      </c>
      <c r="B93" s="495" t="s">
        <v>851</v>
      </c>
      <c r="C93" s="495" t="s">
        <v>851</v>
      </c>
      <c r="D93" s="473" t="s">
        <v>3323</v>
      </c>
      <c r="E93" s="497"/>
      <c r="F93" s="495" t="s">
        <v>3323</v>
      </c>
      <c r="G93" s="495" t="s">
        <v>76</v>
      </c>
      <c r="H93" s="497"/>
      <c r="I93" s="473" t="s">
        <v>27</v>
      </c>
      <c r="J93" s="498">
        <v>44200</v>
      </c>
      <c r="K93" s="473" t="s">
        <v>1263</v>
      </c>
      <c r="L93" s="499">
        <v>0.7</v>
      </c>
      <c r="M93" s="497"/>
      <c r="N93" s="473" t="s">
        <v>531</v>
      </c>
      <c r="O93" s="495" t="s">
        <v>530</v>
      </c>
      <c r="P93" s="495" t="s">
        <v>453</v>
      </c>
      <c r="Q93" s="473">
        <v>2020</v>
      </c>
      <c r="R93" s="473" t="s">
        <v>852</v>
      </c>
      <c r="S93" s="495" t="s">
        <v>853</v>
      </c>
      <c r="T93" s="495">
        <v>133945</v>
      </c>
      <c r="U93" s="484" t="str">
        <f>IFERROR(VLOOKUP(N93,'Thông số'!$B:$F,5,0),"")</f>
        <v>5810 x 2300 x 2860</v>
      </c>
    </row>
    <row r="94" ht="14.25" customHeight="1" spans="1:21">
      <c r="A94" s="494">
        <v>9</v>
      </c>
      <c r="B94" s="495" t="s">
        <v>854</v>
      </c>
      <c r="C94" s="495" t="s">
        <v>854</v>
      </c>
      <c r="D94" s="473" t="s">
        <v>3383</v>
      </c>
      <c r="E94" s="497"/>
      <c r="F94" s="495" t="s">
        <v>3383</v>
      </c>
      <c r="G94" s="495" t="s">
        <v>108</v>
      </c>
      <c r="H94" s="497"/>
      <c r="I94" s="473" t="s">
        <v>27</v>
      </c>
      <c r="J94" s="497"/>
      <c r="K94" s="473" t="s">
        <v>1263</v>
      </c>
      <c r="L94" s="499">
        <v>0.68</v>
      </c>
      <c r="M94" s="497"/>
      <c r="N94" s="473" t="s">
        <v>719</v>
      </c>
      <c r="O94" s="495" t="s">
        <v>621</v>
      </c>
      <c r="P94" s="495" t="s">
        <v>500</v>
      </c>
      <c r="Q94" s="473">
        <v>2020</v>
      </c>
      <c r="R94" s="473" t="s">
        <v>85</v>
      </c>
      <c r="S94" s="495" t="s">
        <v>855</v>
      </c>
      <c r="T94" s="495" t="s">
        <v>856</v>
      </c>
      <c r="U94" s="484" t="str">
        <f>IFERROR(VLOOKUP(N94,'Thông số'!$B:$F,5,0),"")</f>
        <v>6160 x 2330 x 2750</v>
      </c>
    </row>
    <row r="95" ht="14.25" customHeight="1" spans="1:21">
      <c r="A95" s="494">
        <v>10</v>
      </c>
      <c r="B95" s="495" t="s">
        <v>857</v>
      </c>
      <c r="C95" s="495" t="s">
        <v>857</v>
      </c>
      <c r="D95" s="473" t="s">
        <v>3380</v>
      </c>
      <c r="E95" s="497"/>
      <c r="F95" s="495" t="s">
        <v>3380</v>
      </c>
      <c r="G95" s="495" t="s">
        <v>104</v>
      </c>
      <c r="H95" s="497"/>
      <c r="I95" s="473" t="s">
        <v>27</v>
      </c>
      <c r="J95" s="498">
        <v>44228</v>
      </c>
      <c r="K95" s="473" t="s">
        <v>1263</v>
      </c>
      <c r="L95" s="499">
        <v>0.32</v>
      </c>
      <c r="M95" s="497"/>
      <c r="N95" s="473" t="s">
        <v>501</v>
      </c>
      <c r="O95" s="495" t="s">
        <v>499</v>
      </c>
      <c r="P95" s="495" t="s">
        <v>500</v>
      </c>
      <c r="Q95" s="473">
        <v>2018</v>
      </c>
      <c r="R95" s="473" t="s">
        <v>105</v>
      </c>
      <c r="S95" s="495" t="s">
        <v>858</v>
      </c>
      <c r="T95" s="495" t="s">
        <v>859</v>
      </c>
      <c r="U95" s="484" t="str">
        <f>IFERROR(VLOOKUP(N95,'Thông số'!$B:$F,5,0),"")</f>
        <v>9290 x 2500 x 3370</v>
      </c>
    </row>
    <row r="96" ht="14.25" customHeight="1" spans="1:21">
      <c r="A96" s="494">
        <v>11</v>
      </c>
      <c r="B96" s="495" t="s">
        <v>860</v>
      </c>
      <c r="C96" s="495" t="s">
        <v>860</v>
      </c>
      <c r="D96" s="473" t="s">
        <v>3380</v>
      </c>
      <c r="E96" s="497"/>
      <c r="F96" s="495" t="s">
        <v>3380</v>
      </c>
      <c r="G96" s="495" t="s">
        <v>104</v>
      </c>
      <c r="H96" s="497"/>
      <c r="I96" s="473" t="s">
        <v>27</v>
      </c>
      <c r="J96" s="498">
        <v>44228</v>
      </c>
      <c r="K96" s="473" t="s">
        <v>1263</v>
      </c>
      <c r="L96" s="497"/>
      <c r="M96" s="497"/>
      <c r="N96" s="473" t="s">
        <v>501</v>
      </c>
      <c r="O96" s="495" t="s">
        <v>499</v>
      </c>
      <c r="P96" s="495" t="s">
        <v>500</v>
      </c>
      <c r="Q96" s="473">
        <v>2018</v>
      </c>
      <c r="R96" s="473" t="s">
        <v>105</v>
      </c>
      <c r="S96" s="495" t="s">
        <v>861</v>
      </c>
      <c r="T96" s="495" t="s">
        <v>862</v>
      </c>
      <c r="U96" s="484" t="str">
        <f>IFERROR(VLOOKUP(N96,'Thông số'!$B:$F,5,0),"")</f>
        <v>9290 x 2500 x 3370</v>
      </c>
    </row>
    <row r="97" ht="14.25" customHeight="1" spans="1:21">
      <c r="A97" s="494">
        <v>12</v>
      </c>
      <c r="B97" s="495" t="s">
        <v>863</v>
      </c>
      <c r="C97" s="495" t="s">
        <v>863</v>
      </c>
      <c r="D97" s="473" t="s">
        <v>3437</v>
      </c>
      <c r="E97" s="497"/>
      <c r="F97" s="495" t="s">
        <v>3437</v>
      </c>
      <c r="G97" s="495" t="s">
        <v>133</v>
      </c>
      <c r="H97" s="497"/>
      <c r="I97" s="473" t="s">
        <v>27</v>
      </c>
      <c r="J97" s="498">
        <v>44228</v>
      </c>
      <c r="K97" s="473" t="s">
        <v>1263</v>
      </c>
      <c r="L97" s="499">
        <v>0.69</v>
      </c>
      <c r="M97" s="497"/>
      <c r="N97" s="473" t="s">
        <v>864</v>
      </c>
      <c r="O97" s="495" t="s">
        <v>499</v>
      </c>
      <c r="P97" s="495" t="s">
        <v>500</v>
      </c>
      <c r="Q97" s="473">
        <v>2019</v>
      </c>
      <c r="R97" s="473" t="s">
        <v>134</v>
      </c>
      <c r="S97" s="495" t="s">
        <v>865</v>
      </c>
      <c r="T97" s="495" t="s">
        <v>866</v>
      </c>
      <c r="U97" s="484" t="str">
        <f>IFERROR(VLOOKUP(N97,'Thông số'!$B:$F,5,0),"")</f>
        <v>9290 x 2500 x 3370</v>
      </c>
    </row>
    <row r="98" ht="14.25" customHeight="1" spans="1:21">
      <c r="A98" s="494">
        <v>13</v>
      </c>
      <c r="B98" s="495" t="s">
        <v>867</v>
      </c>
      <c r="C98" s="495" t="s">
        <v>867</v>
      </c>
      <c r="D98" s="473" t="s">
        <v>3272</v>
      </c>
      <c r="E98" s="497"/>
      <c r="F98" s="495" t="s">
        <v>3272</v>
      </c>
      <c r="G98" s="495" t="s">
        <v>53</v>
      </c>
      <c r="H98" s="473" t="s">
        <v>6526</v>
      </c>
      <c r="I98" s="473" t="s">
        <v>27</v>
      </c>
      <c r="J98" s="498">
        <v>44200</v>
      </c>
      <c r="K98" s="473" t="s">
        <v>1263</v>
      </c>
      <c r="L98" s="499">
        <v>0.7</v>
      </c>
      <c r="M98" s="497"/>
      <c r="N98" s="473" t="s">
        <v>472</v>
      </c>
      <c r="O98" s="495" t="s">
        <v>458</v>
      </c>
      <c r="P98" s="495" t="s">
        <v>453</v>
      </c>
      <c r="Q98" s="473">
        <v>2021</v>
      </c>
      <c r="R98" s="473" t="s">
        <v>54</v>
      </c>
      <c r="S98" s="495" t="s">
        <v>868</v>
      </c>
      <c r="T98" s="495">
        <v>816364</v>
      </c>
      <c r="U98" s="484" t="str">
        <f>IFERROR(VLOOKUP(N98,'Thông số'!$B:$F,5,0),"")</f>
        <v>9460 x 2800 x 3200</v>
      </c>
    </row>
    <row r="99" ht="14.25" customHeight="1" spans="1:21">
      <c r="A99" s="494">
        <v>14</v>
      </c>
      <c r="B99" s="495" t="s">
        <v>869</v>
      </c>
      <c r="C99" s="495" t="s">
        <v>869</v>
      </c>
      <c r="D99" s="473" t="s">
        <v>3273</v>
      </c>
      <c r="E99" s="497"/>
      <c r="F99" s="495" t="s">
        <v>3273</v>
      </c>
      <c r="G99" s="495" t="s">
        <v>53</v>
      </c>
      <c r="H99" s="473" t="s">
        <v>6526</v>
      </c>
      <c r="I99" s="473" t="s">
        <v>27</v>
      </c>
      <c r="J99" s="497"/>
      <c r="K99" s="473" t="s">
        <v>1263</v>
      </c>
      <c r="L99" s="499">
        <v>0.66</v>
      </c>
      <c r="M99" s="497"/>
      <c r="N99" s="473" t="s">
        <v>472</v>
      </c>
      <c r="O99" s="495" t="s">
        <v>458</v>
      </c>
      <c r="P99" s="495" t="s">
        <v>453</v>
      </c>
      <c r="Q99" s="473">
        <v>2020</v>
      </c>
      <c r="R99" s="473" t="s">
        <v>460</v>
      </c>
      <c r="S99" s="495" t="s">
        <v>870</v>
      </c>
      <c r="T99" s="495">
        <v>800456</v>
      </c>
      <c r="U99" s="484" t="str">
        <f>IFERROR(VLOOKUP(N99,'Thông số'!$B:$F,5,0),"")</f>
        <v>9460 x 2800 x 3200</v>
      </c>
    </row>
    <row r="100" ht="14.25" customHeight="1" spans="1:21">
      <c r="A100" s="494">
        <v>15</v>
      </c>
      <c r="B100" s="495" t="s">
        <v>871</v>
      </c>
      <c r="C100" s="495" t="s">
        <v>871</v>
      </c>
      <c r="D100" s="473" t="s">
        <v>3279</v>
      </c>
      <c r="E100" s="497"/>
      <c r="F100" s="495" t="s">
        <v>3279</v>
      </c>
      <c r="G100" s="495" t="s">
        <v>43</v>
      </c>
      <c r="H100" s="473" t="s">
        <v>6527</v>
      </c>
      <c r="I100" s="473" t="s">
        <v>27</v>
      </c>
      <c r="J100" s="498">
        <v>44088</v>
      </c>
      <c r="K100" s="473" t="s">
        <v>1263</v>
      </c>
      <c r="L100" s="497"/>
      <c r="M100" s="497"/>
      <c r="N100" s="473" t="s">
        <v>466</v>
      </c>
      <c r="O100" s="495" t="s">
        <v>464</v>
      </c>
      <c r="P100" s="495" t="s">
        <v>465</v>
      </c>
      <c r="Q100" s="473">
        <v>2020</v>
      </c>
      <c r="R100" s="473" t="s">
        <v>467</v>
      </c>
      <c r="S100" s="495" t="s">
        <v>873</v>
      </c>
      <c r="T100" s="495" t="s">
        <v>874</v>
      </c>
      <c r="U100" s="484" t="str">
        <f>IFERROR(VLOOKUP(N100,'Thông số'!$B:$F,5,0),"")</f>
        <v>7235 x 2496 x 3351</v>
      </c>
    </row>
    <row r="101" ht="14.25" customHeight="1" spans="1:21">
      <c r="A101" s="494">
        <v>16</v>
      </c>
      <c r="B101" s="495" t="s">
        <v>875</v>
      </c>
      <c r="C101" s="495" t="s">
        <v>875</v>
      </c>
      <c r="D101" s="473" t="s">
        <v>3279</v>
      </c>
      <c r="E101" s="497"/>
      <c r="F101" s="495" t="s">
        <v>3279</v>
      </c>
      <c r="G101" s="495" t="s">
        <v>43</v>
      </c>
      <c r="H101" s="473" t="s">
        <v>6527</v>
      </c>
      <c r="I101" s="473" t="s">
        <v>27</v>
      </c>
      <c r="J101" s="498">
        <v>44088</v>
      </c>
      <c r="K101" s="473" t="s">
        <v>1263</v>
      </c>
      <c r="L101" s="497"/>
      <c r="M101" s="497"/>
      <c r="N101" s="473" t="s">
        <v>466</v>
      </c>
      <c r="O101" s="495" t="s">
        <v>464</v>
      </c>
      <c r="P101" s="495" t="s">
        <v>465</v>
      </c>
      <c r="Q101" s="473">
        <v>2020</v>
      </c>
      <c r="R101" s="473" t="s">
        <v>467</v>
      </c>
      <c r="S101" s="495" t="s">
        <v>876</v>
      </c>
      <c r="T101" s="495" t="s">
        <v>877</v>
      </c>
      <c r="U101" s="484" t="str">
        <f>IFERROR(VLOOKUP(N101,'Thông số'!$B:$F,5,0),"")</f>
        <v>7235 x 2496 x 3351</v>
      </c>
    </row>
    <row r="102" ht="14.25" customHeight="1" spans="1:21">
      <c r="A102" s="494">
        <v>17</v>
      </c>
      <c r="B102" s="495" t="s">
        <v>878</v>
      </c>
      <c r="C102" s="495" t="s">
        <v>879</v>
      </c>
      <c r="D102" s="473" t="s">
        <v>3514</v>
      </c>
      <c r="E102" s="497"/>
      <c r="F102" s="495" t="s">
        <v>3514</v>
      </c>
      <c r="G102" s="495" t="s">
        <v>149</v>
      </c>
      <c r="H102" s="497"/>
      <c r="I102" s="473" t="s">
        <v>27</v>
      </c>
      <c r="J102" s="498">
        <v>44201</v>
      </c>
      <c r="K102" s="473" t="s">
        <v>1263</v>
      </c>
      <c r="L102" s="499">
        <v>0.74</v>
      </c>
      <c r="M102" s="497"/>
      <c r="N102" s="473" t="s">
        <v>882</v>
      </c>
      <c r="O102" s="495" t="s">
        <v>499</v>
      </c>
      <c r="P102" s="495" t="s">
        <v>880</v>
      </c>
      <c r="Q102" s="473">
        <v>2019</v>
      </c>
      <c r="R102" s="473" t="s">
        <v>134</v>
      </c>
      <c r="S102" s="495" t="s">
        <v>883</v>
      </c>
      <c r="T102" s="495" t="s">
        <v>884</v>
      </c>
      <c r="U102" s="484" t="str">
        <f>IFERROR(VLOOKUP(N102,'Thông số'!$B:$F,5,0),"")</f>
        <v>11825 x 2500 x 3720</v>
      </c>
    </row>
    <row r="103" ht="14.25" customHeight="1" spans="1:21">
      <c r="A103" s="494">
        <v>18</v>
      </c>
      <c r="B103" s="495" t="s">
        <v>885</v>
      </c>
      <c r="C103" s="495" t="s">
        <v>886</v>
      </c>
      <c r="D103" s="473" t="s">
        <v>3293</v>
      </c>
      <c r="E103" s="497"/>
      <c r="F103" s="495" t="s">
        <v>3293</v>
      </c>
      <c r="G103" s="495" t="s">
        <v>49</v>
      </c>
      <c r="H103" s="473" t="s">
        <v>6537</v>
      </c>
      <c r="I103" s="473" t="s">
        <v>27</v>
      </c>
      <c r="J103" s="498">
        <v>44256</v>
      </c>
      <c r="K103" s="473" t="s">
        <v>1263</v>
      </c>
      <c r="L103" s="499">
        <v>0.69</v>
      </c>
      <c r="M103" s="501" t="s">
        <v>887</v>
      </c>
      <c r="N103" s="473" t="s">
        <v>556</v>
      </c>
      <c r="O103" s="495" t="s">
        <v>480</v>
      </c>
      <c r="P103" s="495" t="s">
        <v>453</v>
      </c>
      <c r="Q103" s="473">
        <v>2014</v>
      </c>
      <c r="R103" s="473" t="s">
        <v>767</v>
      </c>
      <c r="S103" s="495" t="s">
        <v>888</v>
      </c>
      <c r="T103" s="495">
        <v>32816</v>
      </c>
      <c r="U103" s="484" t="str">
        <f>IFERROR(VLOOKUP(N103,'Thông số'!$B:$F,5,0),"")</f>
        <v>5260 x 1760 x 2415</v>
      </c>
    </row>
    <row r="104" ht="14.25" customHeight="1" spans="1:21">
      <c r="A104" s="489">
        <v>19</v>
      </c>
      <c r="B104" s="490" t="s">
        <v>2182</v>
      </c>
      <c r="C104" s="490" t="s">
        <v>2181</v>
      </c>
      <c r="D104" s="470" t="s">
        <v>6567</v>
      </c>
      <c r="E104" s="491"/>
      <c r="F104" s="491"/>
      <c r="G104" s="490" t="s">
        <v>40</v>
      </c>
      <c r="H104" s="470" t="s">
        <v>6537</v>
      </c>
      <c r="I104" s="470" t="s">
        <v>27</v>
      </c>
      <c r="J104" s="492">
        <v>45357</v>
      </c>
      <c r="K104" s="470" t="s">
        <v>1126</v>
      </c>
      <c r="L104" s="491"/>
      <c r="M104" s="505" t="s">
        <v>6568</v>
      </c>
      <c r="N104" s="470">
        <v>305</v>
      </c>
      <c r="O104" s="490" t="s">
        <v>1644</v>
      </c>
      <c r="P104" s="490" t="s">
        <v>453</v>
      </c>
      <c r="Q104" s="491"/>
      <c r="R104" s="470" t="s">
        <v>2184</v>
      </c>
      <c r="S104" s="490" t="s">
        <v>2185</v>
      </c>
      <c r="T104" s="490" t="s">
        <v>2186</v>
      </c>
      <c r="U104" s="484" t="str">
        <f>IFERROR(VLOOKUP(N104,'Thông số'!$B:$F,5,0),"")</f>
        <v>5340 x 1980 x 1895</v>
      </c>
    </row>
    <row r="105" ht="14.25" customHeight="1" spans="1:21">
      <c r="A105" s="489">
        <v>20</v>
      </c>
      <c r="B105" s="490" t="s">
        <v>889</v>
      </c>
      <c r="C105" s="490" t="s">
        <v>890</v>
      </c>
      <c r="D105" s="470" t="s">
        <v>3299</v>
      </c>
      <c r="E105" s="491"/>
      <c r="F105" s="490" t="s">
        <v>3299</v>
      </c>
      <c r="G105" s="490" t="s">
        <v>55</v>
      </c>
      <c r="H105" s="470" t="s">
        <v>6537</v>
      </c>
      <c r="I105" s="470" t="s">
        <v>27</v>
      </c>
      <c r="J105" s="491"/>
      <c r="K105" s="470" t="s">
        <v>1126</v>
      </c>
      <c r="L105" s="493">
        <v>0.4</v>
      </c>
      <c r="M105" s="505" t="s">
        <v>6569</v>
      </c>
      <c r="N105" s="470" t="s">
        <v>760</v>
      </c>
      <c r="O105" s="490" t="s">
        <v>759</v>
      </c>
      <c r="P105" s="490" t="s">
        <v>453</v>
      </c>
      <c r="Q105" s="470">
        <v>2015</v>
      </c>
      <c r="R105" s="470" t="s">
        <v>761</v>
      </c>
      <c r="S105" s="490" t="s">
        <v>892</v>
      </c>
      <c r="T105" s="490" t="s">
        <v>893</v>
      </c>
      <c r="U105" s="484" t="str">
        <f>IFERROR(VLOOKUP(N105,'Thông số'!$B:$F,5,0),"")</f>
        <v>4749 x 1700 x 2470</v>
      </c>
    </row>
    <row r="106" ht="14.25" customHeight="1" spans="1:21">
      <c r="A106" s="489">
        <v>21</v>
      </c>
      <c r="B106" s="490" t="s">
        <v>894</v>
      </c>
      <c r="C106" s="490" t="s">
        <v>895</v>
      </c>
      <c r="D106" s="470" t="s">
        <v>3299</v>
      </c>
      <c r="E106" s="491"/>
      <c r="F106" s="490" t="s">
        <v>3299</v>
      </c>
      <c r="G106" s="490" t="s">
        <v>55</v>
      </c>
      <c r="H106" s="470" t="s">
        <v>6537</v>
      </c>
      <c r="I106" s="470" t="s">
        <v>27</v>
      </c>
      <c r="J106" s="491"/>
      <c r="K106" s="470" t="s">
        <v>1126</v>
      </c>
      <c r="L106" s="493">
        <v>0.4</v>
      </c>
      <c r="M106" s="505" t="s">
        <v>6569</v>
      </c>
      <c r="N106" s="470" t="s">
        <v>760</v>
      </c>
      <c r="O106" s="490" t="s">
        <v>759</v>
      </c>
      <c r="P106" s="490" t="s">
        <v>453</v>
      </c>
      <c r="Q106" s="470">
        <v>2015</v>
      </c>
      <c r="R106" s="470" t="s">
        <v>761</v>
      </c>
      <c r="S106" s="490" t="s">
        <v>896</v>
      </c>
      <c r="T106" s="490" t="s">
        <v>897</v>
      </c>
      <c r="U106" s="484" t="str">
        <f>IFERROR(VLOOKUP(N106,'Thông số'!$B:$F,5,0),"")</f>
        <v>4749 x 1700 x 2470</v>
      </c>
    </row>
    <row r="107" ht="14.25" customHeight="1" spans="1:21">
      <c r="A107" s="489">
        <v>22</v>
      </c>
      <c r="B107" s="490" t="s">
        <v>898</v>
      </c>
      <c r="C107" s="490" t="s">
        <v>899</v>
      </c>
      <c r="D107" s="470" t="s">
        <v>6570</v>
      </c>
      <c r="E107" s="491"/>
      <c r="F107" s="490" t="s">
        <v>3299</v>
      </c>
      <c r="G107" s="490" t="s">
        <v>55</v>
      </c>
      <c r="H107" s="470" t="s">
        <v>6537</v>
      </c>
      <c r="I107" s="470" t="s">
        <v>27</v>
      </c>
      <c r="J107" s="492">
        <v>45512</v>
      </c>
      <c r="K107" s="470" t="s">
        <v>1126</v>
      </c>
      <c r="L107" s="493">
        <v>0.4</v>
      </c>
      <c r="M107" s="505" t="s">
        <v>6571</v>
      </c>
      <c r="N107" s="470" t="s">
        <v>760</v>
      </c>
      <c r="O107" s="490" t="s">
        <v>759</v>
      </c>
      <c r="P107" s="490" t="s">
        <v>453</v>
      </c>
      <c r="Q107" s="470">
        <v>2015</v>
      </c>
      <c r="R107" s="470" t="s">
        <v>761</v>
      </c>
      <c r="S107" s="490" t="s">
        <v>901</v>
      </c>
      <c r="T107" s="490" t="s">
        <v>902</v>
      </c>
      <c r="U107" s="484" t="str">
        <f>IFERROR(VLOOKUP(N107,'Thông số'!$B:$F,5,0),"")</f>
        <v>4749 x 1700 x 2470</v>
      </c>
    </row>
    <row r="108" ht="14.25" customHeight="1" spans="1:21">
      <c r="A108" s="494">
        <v>23</v>
      </c>
      <c r="B108" s="500" t="s">
        <v>903</v>
      </c>
      <c r="C108" s="500" t="s">
        <v>492</v>
      </c>
      <c r="D108" s="474" t="s">
        <v>904</v>
      </c>
      <c r="E108" s="502"/>
      <c r="F108" s="502"/>
      <c r="G108" s="500" t="s">
        <v>49</v>
      </c>
      <c r="H108" s="473" t="s">
        <v>6537</v>
      </c>
      <c r="I108" s="473" t="s">
        <v>27</v>
      </c>
      <c r="J108" s="503">
        <v>45699</v>
      </c>
      <c r="K108" s="473" t="s">
        <v>1263</v>
      </c>
      <c r="L108" s="502"/>
      <c r="M108" s="504" t="s">
        <v>837</v>
      </c>
      <c r="N108" s="474" t="s">
        <v>569</v>
      </c>
      <c r="O108" s="500" t="s">
        <v>480</v>
      </c>
      <c r="P108" s="500" t="s">
        <v>555</v>
      </c>
      <c r="Q108" s="474">
        <v>2012</v>
      </c>
      <c r="R108" s="474" t="s">
        <v>557</v>
      </c>
      <c r="S108" s="500" t="s">
        <v>905</v>
      </c>
      <c r="T108" s="500">
        <v>26018</v>
      </c>
      <c r="U108" s="484" t="str">
        <f>IFERROR(VLOOKUP(N108,'Thông số'!$B:$F,5,0),"")</f>
        <v>5550 x 1960 x 2550</v>
      </c>
    </row>
    <row r="109" ht="14.25" customHeight="1" spans="1:21">
      <c r="A109" s="494">
        <v>24</v>
      </c>
      <c r="B109" s="495" t="s">
        <v>906</v>
      </c>
      <c r="C109" s="500" t="s">
        <v>492</v>
      </c>
      <c r="D109" s="473" t="s">
        <v>907</v>
      </c>
      <c r="E109" s="497"/>
      <c r="F109" s="497"/>
      <c r="G109" s="495" t="s">
        <v>49</v>
      </c>
      <c r="H109" s="473" t="s">
        <v>6537</v>
      </c>
      <c r="I109" s="473" t="s">
        <v>27</v>
      </c>
      <c r="J109" s="498">
        <v>45717</v>
      </c>
      <c r="K109" s="473" t="s">
        <v>1263</v>
      </c>
      <c r="L109" s="497"/>
      <c r="M109" s="504" t="s">
        <v>908</v>
      </c>
      <c r="N109" s="473" t="s">
        <v>569</v>
      </c>
      <c r="O109" s="495" t="s">
        <v>480</v>
      </c>
      <c r="P109" s="495" t="s">
        <v>453</v>
      </c>
      <c r="Q109" s="473">
        <v>2012</v>
      </c>
      <c r="R109" s="474" t="s">
        <v>557</v>
      </c>
      <c r="S109" s="495" t="s">
        <v>909</v>
      </c>
      <c r="T109" s="495">
        <v>25186</v>
      </c>
      <c r="U109" s="484" t="str">
        <f>IFERROR(VLOOKUP(N109,'Thông số'!$B:$F,5,0),"")</f>
        <v>5550 x 1960 x 2550</v>
      </c>
    </row>
    <row r="110" ht="14.25" customHeight="1" spans="1:21">
      <c r="A110" s="494">
        <v>25</v>
      </c>
      <c r="B110" s="495" t="s">
        <v>2177</v>
      </c>
      <c r="C110" s="500" t="s">
        <v>492</v>
      </c>
      <c r="D110" s="473" t="s">
        <v>2178</v>
      </c>
      <c r="E110" s="497"/>
      <c r="F110" s="497"/>
      <c r="G110" s="495" t="s">
        <v>46</v>
      </c>
      <c r="H110" s="473" t="s">
        <v>6547</v>
      </c>
      <c r="I110" s="473" t="s">
        <v>27</v>
      </c>
      <c r="J110" s="498">
        <v>45717</v>
      </c>
      <c r="K110" s="473" t="s">
        <v>1263</v>
      </c>
      <c r="L110" s="497"/>
      <c r="M110" s="504" t="s">
        <v>908</v>
      </c>
      <c r="N110" s="473" t="s">
        <v>598</v>
      </c>
      <c r="O110" s="495" t="s">
        <v>480</v>
      </c>
      <c r="P110" s="495" t="s">
        <v>597</v>
      </c>
      <c r="Q110" s="473">
        <v>2006</v>
      </c>
      <c r="R110" s="473" t="s">
        <v>102</v>
      </c>
      <c r="S110" s="495" t="s">
        <v>2180</v>
      </c>
      <c r="T110" s="495">
        <v>21711747</v>
      </c>
      <c r="U110" s="484" t="str">
        <f>IFERROR(VLOOKUP(N110,'Thông số'!$B:$F,5,0),"")</f>
        <v>8358 x 2540 x 3200</v>
      </c>
    </row>
    <row r="111" ht="14.25" customHeight="1" spans="1:21">
      <c r="A111" s="494">
        <v>26</v>
      </c>
      <c r="B111" s="495" t="s">
        <v>910</v>
      </c>
      <c r="C111" s="500" t="s">
        <v>492</v>
      </c>
      <c r="D111" s="473" t="s">
        <v>911</v>
      </c>
      <c r="E111" s="497"/>
      <c r="F111" s="497"/>
      <c r="G111" s="500" t="s">
        <v>50</v>
      </c>
      <c r="H111" s="473" t="s">
        <v>6549</v>
      </c>
      <c r="I111" s="473" t="s">
        <v>27</v>
      </c>
      <c r="J111" s="498">
        <v>45717</v>
      </c>
      <c r="K111" s="473" t="s">
        <v>1263</v>
      </c>
      <c r="L111" s="497"/>
      <c r="M111" s="504" t="s">
        <v>908</v>
      </c>
      <c r="N111" s="473" t="s">
        <v>794</v>
      </c>
      <c r="O111" s="495" t="s">
        <v>480</v>
      </c>
      <c r="P111" s="495" t="s">
        <v>453</v>
      </c>
      <c r="Q111" s="473">
        <v>2012</v>
      </c>
      <c r="R111" s="473" t="s">
        <v>48</v>
      </c>
      <c r="S111" s="495" t="s">
        <v>912</v>
      </c>
      <c r="T111" s="495" t="s">
        <v>913</v>
      </c>
      <c r="U111" s="484" t="str">
        <f>IFERROR(VLOOKUP(N111,'Thông số'!$B:$F,5,0),"")</f>
        <v>9425 x 2800 x 2970</v>
      </c>
    </row>
    <row r="112" ht="14.25" customHeight="1" spans="1:21">
      <c r="A112" s="494">
        <v>27</v>
      </c>
      <c r="B112" s="495" t="s">
        <v>914</v>
      </c>
      <c r="C112" s="495" t="s">
        <v>504</v>
      </c>
      <c r="D112" s="473" t="s">
        <v>915</v>
      </c>
      <c r="E112" s="473" t="s">
        <v>916</v>
      </c>
      <c r="F112" s="497"/>
      <c r="G112" s="495" t="s">
        <v>113</v>
      </c>
      <c r="H112" s="497"/>
      <c r="I112" s="473" t="s">
        <v>27</v>
      </c>
      <c r="J112" s="498">
        <v>45748</v>
      </c>
      <c r="K112" s="473" t="s">
        <v>1263</v>
      </c>
      <c r="L112" s="497"/>
      <c r="M112" s="504" t="s">
        <v>917</v>
      </c>
      <c r="N112" s="473" t="s">
        <v>509</v>
      </c>
      <c r="O112" s="495" t="s">
        <v>508</v>
      </c>
      <c r="P112" s="495" t="s">
        <v>500</v>
      </c>
      <c r="Q112" s="473">
        <v>2022</v>
      </c>
      <c r="R112" s="473" t="s">
        <v>114</v>
      </c>
      <c r="S112" s="495" t="s">
        <v>918</v>
      </c>
      <c r="T112" s="495" t="s">
        <v>919</v>
      </c>
      <c r="U112" s="484" t="str">
        <f>IFERROR(VLOOKUP(N112,'Thông số'!$B:$F,5,0),"")</f>
        <v>7800 x 2500 x 3480</v>
      </c>
    </row>
    <row r="113" ht="14.25" customHeight="1" spans="1:21">
      <c r="A113" s="494">
        <v>28</v>
      </c>
      <c r="B113" s="495" t="s">
        <v>920</v>
      </c>
      <c r="C113" s="495" t="s">
        <v>504</v>
      </c>
      <c r="D113" s="473" t="s">
        <v>921</v>
      </c>
      <c r="E113" s="473" t="s">
        <v>922</v>
      </c>
      <c r="F113" s="497"/>
      <c r="G113" s="495" t="s">
        <v>113</v>
      </c>
      <c r="H113" s="497"/>
      <c r="I113" s="473" t="s">
        <v>27</v>
      </c>
      <c r="J113" s="498">
        <v>45748</v>
      </c>
      <c r="K113" s="473" t="s">
        <v>1263</v>
      </c>
      <c r="L113" s="497"/>
      <c r="M113" s="504" t="s">
        <v>917</v>
      </c>
      <c r="N113" s="473" t="s">
        <v>509</v>
      </c>
      <c r="O113" s="495" t="s">
        <v>508</v>
      </c>
      <c r="P113" s="495" t="s">
        <v>500</v>
      </c>
      <c r="Q113" s="473">
        <v>2022</v>
      </c>
      <c r="R113" s="473" t="s">
        <v>114</v>
      </c>
      <c r="S113" s="495" t="s">
        <v>923</v>
      </c>
      <c r="T113" s="495" t="s">
        <v>924</v>
      </c>
      <c r="U113" s="484" t="str">
        <f>IFERROR(VLOOKUP(N113,'Thông số'!$B:$F,5,0),"")</f>
        <v>7800 x 2500 x 3480</v>
      </c>
    </row>
    <row r="114" ht="14.25" customHeight="1" spans="1:21">
      <c r="A114" s="494">
        <v>29</v>
      </c>
      <c r="B114" s="495" t="s">
        <v>931</v>
      </c>
      <c r="C114" s="500" t="s">
        <v>492</v>
      </c>
      <c r="D114" s="473" t="s">
        <v>932</v>
      </c>
      <c r="E114" s="497"/>
      <c r="F114" s="497"/>
      <c r="G114" s="495" t="s">
        <v>70</v>
      </c>
      <c r="H114" s="497"/>
      <c r="I114" s="473" t="s">
        <v>27</v>
      </c>
      <c r="J114" s="498">
        <v>45805</v>
      </c>
      <c r="K114" s="473" t="s">
        <v>1263</v>
      </c>
      <c r="L114" s="497"/>
      <c r="M114" s="501" t="s">
        <v>6572</v>
      </c>
      <c r="N114" s="473" t="s">
        <v>545</v>
      </c>
      <c r="O114" s="495" t="s">
        <v>480</v>
      </c>
      <c r="P114" s="495" t="s">
        <v>453</v>
      </c>
      <c r="Q114" s="473">
        <v>1994</v>
      </c>
      <c r="R114" s="473" t="s">
        <v>64</v>
      </c>
      <c r="S114" s="495" t="s">
        <v>934</v>
      </c>
      <c r="T114" s="495" t="s">
        <v>935</v>
      </c>
      <c r="U114" s="484" t="str">
        <f>IFERROR(VLOOKUP(N114,'Thông số'!$B:$F,5,0),"")</f>
        <v>8420 x 2375 x 3240</v>
      </c>
    </row>
    <row r="115" ht="14.25" customHeight="1" spans="1:21">
      <c r="A115" s="489">
        <v>30</v>
      </c>
      <c r="B115" s="490" t="s">
        <v>936</v>
      </c>
      <c r="C115" s="490" t="s">
        <v>492</v>
      </c>
      <c r="D115" s="470" t="s">
        <v>937</v>
      </c>
      <c r="E115" s="491"/>
      <c r="F115" s="491"/>
      <c r="G115" s="490" t="s">
        <v>50</v>
      </c>
      <c r="H115" s="470" t="s">
        <v>6549</v>
      </c>
      <c r="I115" s="470" t="s">
        <v>27</v>
      </c>
      <c r="J115" s="492">
        <v>45805</v>
      </c>
      <c r="K115" s="470" t="s">
        <v>1126</v>
      </c>
      <c r="L115" s="491"/>
      <c r="M115" s="505" t="s">
        <v>6572</v>
      </c>
      <c r="N115" s="470" t="s">
        <v>608</v>
      </c>
      <c r="O115" s="490" t="s">
        <v>480</v>
      </c>
      <c r="P115" s="490" t="s">
        <v>453</v>
      </c>
      <c r="Q115" s="470">
        <v>2003</v>
      </c>
      <c r="R115" s="470" t="s">
        <v>546</v>
      </c>
      <c r="S115" s="490" t="s">
        <v>938</v>
      </c>
      <c r="T115" s="490" t="s">
        <v>939</v>
      </c>
      <c r="U115" s="484" t="str">
        <f>IFERROR(VLOOKUP(N115,'Thông số'!$B:$F,5,0),"")</f>
        <v>8700 x 2800 x 3010</v>
      </c>
    </row>
    <row r="116" ht="14.25" customHeight="1" spans="1:21">
      <c r="A116" s="494">
        <v>31</v>
      </c>
      <c r="B116" s="495" t="s">
        <v>940</v>
      </c>
      <c r="C116" s="495" t="s">
        <v>504</v>
      </c>
      <c r="D116" s="473" t="s">
        <v>941</v>
      </c>
      <c r="E116" s="473" t="s">
        <v>942</v>
      </c>
      <c r="F116" s="497"/>
      <c r="G116" s="495" t="s">
        <v>107</v>
      </c>
      <c r="H116" s="497"/>
      <c r="I116" s="473" t="s">
        <v>27</v>
      </c>
      <c r="J116" s="498">
        <v>45818</v>
      </c>
      <c r="K116" s="473" t="s">
        <v>1263</v>
      </c>
      <c r="L116" s="497"/>
      <c r="M116" s="501" t="s">
        <v>290</v>
      </c>
      <c r="N116" s="473" t="s">
        <v>6551</v>
      </c>
      <c r="O116" s="495" t="s">
        <v>771</v>
      </c>
      <c r="P116" s="495" t="s">
        <v>943</v>
      </c>
      <c r="Q116" s="473">
        <v>2024</v>
      </c>
      <c r="R116" s="473" t="s">
        <v>655</v>
      </c>
      <c r="S116" s="495" t="s">
        <v>944</v>
      </c>
      <c r="T116" s="495" t="s">
        <v>945</v>
      </c>
      <c r="U116" s="484" t="str">
        <f>IFERROR(VLOOKUP(N116,'Thông số'!$B:$F,5,0),"")</f>
        <v>5910 x 2310 x 2800</v>
      </c>
    </row>
    <row r="117" ht="14.25" customHeight="1" spans="1:21">
      <c r="A117" s="494">
        <v>32</v>
      </c>
      <c r="B117" s="500" t="s">
        <v>2674</v>
      </c>
      <c r="C117" s="500" t="s">
        <v>504</v>
      </c>
      <c r="D117" s="474" t="s">
        <v>2675</v>
      </c>
      <c r="E117" s="502"/>
      <c r="F117" s="502"/>
      <c r="G117" s="500" t="s">
        <v>150</v>
      </c>
      <c r="H117" s="497"/>
      <c r="I117" s="473" t="s">
        <v>27</v>
      </c>
      <c r="J117" s="503">
        <v>45934</v>
      </c>
      <c r="K117" s="473" t="s">
        <v>1263</v>
      </c>
      <c r="L117" s="502"/>
      <c r="M117" s="501" t="s">
        <v>2676</v>
      </c>
      <c r="N117" s="474" t="s">
        <v>2677</v>
      </c>
      <c r="O117" s="500" t="s">
        <v>2671</v>
      </c>
      <c r="P117" s="500" t="s">
        <v>955</v>
      </c>
      <c r="Q117" s="474">
        <v>2023</v>
      </c>
      <c r="R117" s="474" t="s">
        <v>2678</v>
      </c>
      <c r="S117" s="500" t="s">
        <v>2679</v>
      </c>
      <c r="T117" s="500" t="s">
        <v>2680</v>
      </c>
      <c r="U117" s="484" t="str">
        <f>IFERROR(VLOOKUP(N117,'Thông số'!$B:$F,5,0),"")</f>
        <v>11845 x 2500 x 3690</v>
      </c>
    </row>
    <row r="118" ht="14.25" customHeight="1" spans="1:21">
      <c r="A118" s="481" t="s">
        <v>947</v>
      </c>
      <c r="B118" s="482"/>
      <c r="C118" s="483">
        <v>30</v>
      </c>
      <c r="D118" s="482"/>
      <c r="E118" s="482"/>
      <c r="F118" s="482"/>
      <c r="G118" s="482"/>
      <c r="H118" s="482"/>
      <c r="I118" s="482"/>
      <c r="J118" s="482"/>
      <c r="K118" s="482"/>
      <c r="L118" s="482"/>
      <c r="M118" s="482"/>
      <c r="N118" s="482"/>
      <c r="O118" s="482"/>
      <c r="P118" s="482"/>
      <c r="Q118" s="482"/>
      <c r="R118" s="482"/>
      <c r="S118" s="482"/>
      <c r="T118" s="482"/>
      <c r="U118" s="484" t="str">
        <f>IFERROR(VLOOKUP(N118,'Thông số'!$B:$F,5,0),"")</f>
        <v/>
      </c>
    </row>
    <row r="119" ht="14.25" customHeight="1" spans="1:21">
      <c r="A119" s="485" t="s">
        <v>948</v>
      </c>
      <c r="B119" s="486" t="s">
        <v>949</v>
      </c>
      <c r="C119" s="487">
        <v>12</v>
      </c>
      <c r="D119" s="488"/>
      <c r="E119" s="488"/>
      <c r="F119" s="488"/>
      <c r="G119" s="488"/>
      <c r="H119" s="488"/>
      <c r="I119" s="488"/>
      <c r="J119" s="488"/>
      <c r="K119" s="488"/>
      <c r="L119" s="488"/>
      <c r="M119" s="488"/>
      <c r="N119" s="488"/>
      <c r="O119" s="488"/>
      <c r="P119" s="488"/>
      <c r="Q119" s="488"/>
      <c r="R119" s="488"/>
      <c r="S119" s="488"/>
      <c r="T119" s="488"/>
      <c r="U119" s="484" t="str">
        <f>IFERROR(VLOOKUP(N119,'Thông số'!$B:$F,5,0),"")</f>
        <v/>
      </c>
    </row>
    <row r="120" ht="14.25" customHeight="1" spans="1:21">
      <c r="A120" s="494">
        <v>1</v>
      </c>
      <c r="B120" s="495" t="s">
        <v>951</v>
      </c>
      <c r="C120" s="502"/>
      <c r="D120" s="473" t="s">
        <v>952</v>
      </c>
      <c r="E120" s="497"/>
      <c r="F120" s="497"/>
      <c r="G120" s="495" t="s">
        <v>117</v>
      </c>
      <c r="H120" s="497"/>
      <c r="I120" s="473" t="s">
        <v>15</v>
      </c>
      <c r="J120" s="498">
        <v>46031</v>
      </c>
      <c r="K120" s="473" t="s">
        <v>1263</v>
      </c>
      <c r="L120" s="497"/>
      <c r="M120" s="504" t="s">
        <v>953</v>
      </c>
      <c r="N120" s="473" t="s">
        <v>956</v>
      </c>
      <c r="O120" s="495" t="s">
        <v>954</v>
      </c>
      <c r="P120" s="495" t="s">
        <v>955</v>
      </c>
      <c r="Q120" s="473">
        <v>2024</v>
      </c>
      <c r="R120" s="473" t="s">
        <v>118</v>
      </c>
      <c r="S120" s="495" t="s">
        <v>957</v>
      </c>
      <c r="T120" s="495" t="s">
        <v>958</v>
      </c>
      <c r="U120" s="484" t="str">
        <f>IFERROR(VLOOKUP(N120,'Thông số'!$B:$F,5,0),"")</f>
        <v>6380 x 2040 x 2300</v>
      </c>
    </row>
    <row r="121" ht="14.25" customHeight="1" spans="1:21">
      <c r="A121" s="494">
        <v>2</v>
      </c>
      <c r="B121" s="495" t="s">
        <v>1260</v>
      </c>
      <c r="C121" s="495" t="s">
        <v>6573</v>
      </c>
      <c r="D121" s="473" t="s">
        <v>1261</v>
      </c>
      <c r="E121" s="497"/>
      <c r="F121" s="495" t="s">
        <v>3089</v>
      </c>
      <c r="G121" s="495" t="s">
        <v>207</v>
      </c>
      <c r="H121" s="473" t="s">
        <v>6574</v>
      </c>
      <c r="I121" s="473" t="s">
        <v>15</v>
      </c>
      <c r="J121" s="497"/>
      <c r="K121" s="473" t="s">
        <v>1263</v>
      </c>
      <c r="L121" s="497"/>
      <c r="M121" s="497"/>
      <c r="N121" s="473" t="s">
        <v>1064</v>
      </c>
      <c r="O121" s="495" t="s">
        <v>759</v>
      </c>
      <c r="P121" s="495" t="s">
        <v>453</v>
      </c>
      <c r="Q121" s="473">
        <v>2013</v>
      </c>
      <c r="R121" s="473" t="s">
        <v>208</v>
      </c>
      <c r="S121" s="495">
        <v>57273</v>
      </c>
      <c r="T121" s="495" t="s">
        <v>462</v>
      </c>
      <c r="U121" s="484" t="str">
        <f>IFERROR(VLOOKUP(N121,'Thông số'!$B:$F,5,0),"")</f>
        <v>3445 x 1865 x 2535</v>
      </c>
    </row>
    <row r="122" ht="14.25" customHeight="1" spans="1:21">
      <c r="A122" s="489">
        <v>3</v>
      </c>
      <c r="B122" s="490" t="s">
        <v>973</v>
      </c>
      <c r="C122" s="490" t="s">
        <v>974</v>
      </c>
      <c r="D122" s="470" t="s">
        <v>6575</v>
      </c>
      <c r="E122" s="491"/>
      <c r="F122" s="490" t="s">
        <v>1909</v>
      </c>
      <c r="G122" s="490" t="s">
        <v>193</v>
      </c>
      <c r="H122" s="470" t="s">
        <v>6576</v>
      </c>
      <c r="I122" s="470" t="s">
        <v>15</v>
      </c>
      <c r="J122" s="491"/>
      <c r="K122" s="470" t="s">
        <v>1126</v>
      </c>
      <c r="L122" s="491"/>
      <c r="M122" s="491"/>
      <c r="N122" s="470">
        <v>6603</v>
      </c>
      <c r="O122" s="490" t="s">
        <v>976</v>
      </c>
      <c r="P122" s="490" t="s">
        <v>977</v>
      </c>
      <c r="Q122" s="470">
        <v>2018</v>
      </c>
      <c r="R122" s="470" t="s">
        <v>102</v>
      </c>
      <c r="S122" s="490">
        <v>33028</v>
      </c>
      <c r="T122" s="490" t="s">
        <v>462</v>
      </c>
      <c r="U122" s="484" t="str">
        <f>IFERROR(VLOOKUP(N122,'Thông số'!$B:$F,5,0),"")</f>
        <v>4200 x 2600 x 2900</v>
      </c>
    </row>
    <row r="123" ht="14.25" customHeight="1" spans="1:21">
      <c r="A123" s="489">
        <v>4</v>
      </c>
      <c r="B123" s="490" t="s">
        <v>978</v>
      </c>
      <c r="C123" s="490" t="s">
        <v>979</v>
      </c>
      <c r="D123" s="470" t="s">
        <v>6577</v>
      </c>
      <c r="E123" s="491"/>
      <c r="F123" s="490" t="s">
        <v>1909</v>
      </c>
      <c r="G123" s="490" t="s">
        <v>193</v>
      </c>
      <c r="H123" s="470" t="s">
        <v>6576</v>
      </c>
      <c r="I123" s="470" t="s">
        <v>15</v>
      </c>
      <c r="J123" s="492">
        <v>43832</v>
      </c>
      <c r="K123" s="470" t="s">
        <v>1126</v>
      </c>
      <c r="L123" s="493">
        <v>0.5</v>
      </c>
      <c r="M123" s="491"/>
      <c r="N123" s="470">
        <v>6603</v>
      </c>
      <c r="O123" s="490" t="s">
        <v>976</v>
      </c>
      <c r="P123" s="490" t="s">
        <v>977</v>
      </c>
      <c r="Q123" s="470">
        <v>2018</v>
      </c>
      <c r="R123" s="470" t="s">
        <v>102</v>
      </c>
      <c r="S123" s="490">
        <v>33178</v>
      </c>
      <c r="T123" s="490" t="s">
        <v>462</v>
      </c>
      <c r="U123" s="484" t="str">
        <f>IFERROR(VLOOKUP(N123,'Thông số'!$B:$F,5,0),"")</f>
        <v>4200 x 2600 x 2900</v>
      </c>
    </row>
    <row r="124" ht="14.25" customHeight="1" spans="1:21">
      <c r="A124" s="494">
        <v>5</v>
      </c>
      <c r="B124" s="495" t="s">
        <v>980</v>
      </c>
      <c r="C124" s="495" t="s">
        <v>1048</v>
      </c>
      <c r="D124" s="473" t="s">
        <v>6578</v>
      </c>
      <c r="E124" s="497"/>
      <c r="F124" s="495" t="s">
        <v>3342</v>
      </c>
      <c r="G124" s="495" t="s">
        <v>185</v>
      </c>
      <c r="H124" s="473" t="s">
        <v>6576</v>
      </c>
      <c r="I124" s="473" t="s">
        <v>15</v>
      </c>
      <c r="J124" s="498">
        <v>45366</v>
      </c>
      <c r="K124" s="473" t="s">
        <v>1263</v>
      </c>
      <c r="L124" s="497"/>
      <c r="M124" s="497"/>
      <c r="N124" s="473" t="s">
        <v>983</v>
      </c>
      <c r="O124" s="495" t="s">
        <v>976</v>
      </c>
      <c r="P124" s="495" t="s">
        <v>977</v>
      </c>
      <c r="Q124" s="473">
        <v>2022</v>
      </c>
      <c r="R124" s="473" t="s">
        <v>102</v>
      </c>
      <c r="S124" s="495" t="s">
        <v>984</v>
      </c>
      <c r="T124" s="495" t="s">
        <v>985</v>
      </c>
      <c r="U124" s="484" t="str">
        <f>IFERROR(VLOOKUP(N124,'Thông số'!$B:$F,5,0),"")</f>
        <v>4835 x 2600 x 2965</v>
      </c>
    </row>
    <row r="125" ht="14.25" customHeight="1" spans="1:21">
      <c r="A125" s="494">
        <v>6</v>
      </c>
      <c r="B125" s="495" t="s">
        <v>986</v>
      </c>
      <c r="C125" s="495" t="s">
        <v>1048</v>
      </c>
      <c r="D125" s="473" t="s">
        <v>6579</v>
      </c>
      <c r="E125" s="497"/>
      <c r="F125" s="495" t="s">
        <v>3345</v>
      </c>
      <c r="G125" s="495" t="s">
        <v>181</v>
      </c>
      <c r="H125" s="473" t="s">
        <v>6580</v>
      </c>
      <c r="I125" s="473" t="s">
        <v>15</v>
      </c>
      <c r="J125" s="498">
        <v>45366</v>
      </c>
      <c r="K125" s="473" t="s">
        <v>1263</v>
      </c>
      <c r="L125" s="497"/>
      <c r="M125" s="497"/>
      <c r="N125" s="473" t="s">
        <v>987</v>
      </c>
      <c r="O125" s="495" t="s">
        <v>976</v>
      </c>
      <c r="P125" s="495" t="s">
        <v>977</v>
      </c>
      <c r="Q125" s="473">
        <v>2022</v>
      </c>
      <c r="R125" s="473" t="s">
        <v>177</v>
      </c>
      <c r="S125" s="495" t="s">
        <v>988</v>
      </c>
      <c r="T125" s="495" t="s">
        <v>989</v>
      </c>
      <c r="U125" s="484" t="str">
        <f>IFERROR(VLOOKUP(N125,'Thông số'!$B:$F,5,0),"")</f>
        <v>4100 x 2100 x 2600</v>
      </c>
    </row>
    <row r="126" ht="14.25" customHeight="1" spans="1:21">
      <c r="A126" s="489">
        <v>7</v>
      </c>
      <c r="B126" s="490" t="s">
        <v>1988</v>
      </c>
      <c r="C126" s="490" t="s">
        <v>1048</v>
      </c>
      <c r="D126" s="470" t="s">
        <v>6581</v>
      </c>
      <c r="E126" s="491"/>
      <c r="F126" s="491"/>
      <c r="G126" s="490" t="s">
        <v>186</v>
      </c>
      <c r="H126" s="470" t="s">
        <v>6582</v>
      </c>
      <c r="I126" s="470" t="s">
        <v>15</v>
      </c>
      <c r="J126" s="492">
        <v>45421</v>
      </c>
      <c r="K126" s="470" t="s">
        <v>1126</v>
      </c>
      <c r="L126" s="491"/>
      <c r="M126" s="491"/>
      <c r="N126" s="470" t="s">
        <v>1057</v>
      </c>
      <c r="O126" s="490" t="s">
        <v>976</v>
      </c>
      <c r="P126" s="490" t="s">
        <v>977</v>
      </c>
      <c r="Q126" s="470">
        <v>2022</v>
      </c>
      <c r="R126" s="470" t="s">
        <v>64</v>
      </c>
      <c r="S126" s="490" t="s">
        <v>1990</v>
      </c>
      <c r="T126" s="490" t="s">
        <v>1991</v>
      </c>
      <c r="U126" s="484" t="str">
        <f>IFERROR(VLOOKUP(N126,'Thông số'!$B:$F,5,0),"")</f>
        <v>4780 x 2550 x 3000</v>
      </c>
    </row>
    <row r="127" ht="14.25" customHeight="1" spans="1:21">
      <c r="A127" s="494">
        <v>8</v>
      </c>
      <c r="B127" s="495" t="s">
        <v>990</v>
      </c>
      <c r="C127" s="500" t="s">
        <v>492</v>
      </c>
      <c r="D127" s="473" t="s">
        <v>991</v>
      </c>
      <c r="E127" s="497"/>
      <c r="F127" s="497"/>
      <c r="G127" s="495" t="s">
        <v>191</v>
      </c>
      <c r="H127" s="473" t="s">
        <v>6576</v>
      </c>
      <c r="I127" s="473" t="s">
        <v>15</v>
      </c>
      <c r="J127" s="498">
        <v>45675</v>
      </c>
      <c r="K127" s="473" t="s">
        <v>1263</v>
      </c>
      <c r="L127" s="497"/>
      <c r="M127" s="501" t="s">
        <v>653</v>
      </c>
      <c r="N127" s="473">
        <v>6400</v>
      </c>
      <c r="O127" s="495" t="s">
        <v>976</v>
      </c>
      <c r="P127" s="495" t="s">
        <v>977</v>
      </c>
      <c r="Q127" s="473">
        <v>1998</v>
      </c>
      <c r="R127" s="473" t="s">
        <v>124</v>
      </c>
      <c r="S127" s="495" t="s">
        <v>993</v>
      </c>
      <c r="T127" s="495" t="s">
        <v>994</v>
      </c>
      <c r="U127" s="484" t="str">
        <f>IFERROR(VLOOKUP(N127,'Thông số'!$B:$F,5,0),"")</f>
        <v>4200 x 2600 x 2900</v>
      </c>
    </row>
    <row r="128" ht="14.25" customHeight="1" spans="1:21">
      <c r="A128" s="489">
        <v>9</v>
      </c>
      <c r="B128" s="490" t="s">
        <v>995</v>
      </c>
      <c r="C128" s="490" t="s">
        <v>492</v>
      </c>
      <c r="D128" s="470" t="s">
        <v>996</v>
      </c>
      <c r="E128" s="491"/>
      <c r="F128" s="491"/>
      <c r="G128" s="490" t="s">
        <v>191</v>
      </c>
      <c r="H128" s="470" t="s">
        <v>6576</v>
      </c>
      <c r="I128" s="470" t="s">
        <v>15</v>
      </c>
      <c r="J128" s="492">
        <v>45675</v>
      </c>
      <c r="K128" s="470" t="s">
        <v>1126</v>
      </c>
      <c r="L128" s="491"/>
      <c r="M128" s="505" t="s">
        <v>653</v>
      </c>
      <c r="N128" s="470">
        <v>6400</v>
      </c>
      <c r="O128" s="490" t="s">
        <v>976</v>
      </c>
      <c r="P128" s="490" t="s">
        <v>977</v>
      </c>
      <c r="Q128" s="470">
        <v>1998</v>
      </c>
      <c r="R128" s="470" t="s">
        <v>124</v>
      </c>
      <c r="S128" s="490" t="s">
        <v>997</v>
      </c>
      <c r="T128" s="490" t="s">
        <v>998</v>
      </c>
      <c r="U128" s="484" t="str">
        <f>IFERROR(VLOOKUP(N128,'Thông số'!$B:$F,5,0),"")</f>
        <v>4200 x 2600 x 2900</v>
      </c>
    </row>
    <row r="129" ht="14.25" customHeight="1" spans="1:21">
      <c r="A129" s="489">
        <v>10</v>
      </c>
      <c r="B129" s="490" t="s">
        <v>999</v>
      </c>
      <c r="C129" s="490" t="s">
        <v>492</v>
      </c>
      <c r="D129" s="470" t="s">
        <v>1000</v>
      </c>
      <c r="E129" s="491"/>
      <c r="F129" s="491"/>
      <c r="G129" s="490" t="s">
        <v>176</v>
      </c>
      <c r="H129" s="470" t="s">
        <v>6580</v>
      </c>
      <c r="I129" s="470" t="s">
        <v>15</v>
      </c>
      <c r="J129" s="492">
        <v>45722</v>
      </c>
      <c r="K129" s="470" t="s">
        <v>1126</v>
      </c>
      <c r="L129" s="491"/>
      <c r="M129" s="505" t="s">
        <v>653</v>
      </c>
      <c r="N129" s="470">
        <v>2850</v>
      </c>
      <c r="O129" s="490" t="s">
        <v>976</v>
      </c>
      <c r="P129" s="490" t="s">
        <v>597</v>
      </c>
      <c r="Q129" s="470">
        <v>1994</v>
      </c>
      <c r="R129" s="470" t="s">
        <v>224</v>
      </c>
      <c r="S129" s="490" t="s">
        <v>1001</v>
      </c>
      <c r="T129" s="490" t="s">
        <v>1002</v>
      </c>
      <c r="U129" s="484" t="str">
        <f>IFERROR(VLOOKUP(N129,'Thông số'!$B:$F,5,0),"")</f>
        <v>4200 x 2600 x 2900</v>
      </c>
    </row>
    <row r="130" ht="14.25" customHeight="1" spans="1:21">
      <c r="A130" s="494">
        <v>11</v>
      </c>
      <c r="B130" s="495" t="s">
        <v>1003</v>
      </c>
      <c r="C130" s="500" t="s">
        <v>492</v>
      </c>
      <c r="D130" s="473" t="s">
        <v>1004</v>
      </c>
      <c r="E130" s="497"/>
      <c r="F130" s="497"/>
      <c r="G130" s="495" t="s">
        <v>178</v>
      </c>
      <c r="H130" s="473" t="s">
        <v>6576</v>
      </c>
      <c r="I130" s="473" t="s">
        <v>15</v>
      </c>
      <c r="J130" s="498">
        <v>45722</v>
      </c>
      <c r="K130" s="473" t="s">
        <v>1263</v>
      </c>
      <c r="L130" s="497"/>
      <c r="M130" s="501" t="s">
        <v>653</v>
      </c>
      <c r="N130" s="473">
        <v>3350</v>
      </c>
      <c r="O130" s="495" t="s">
        <v>976</v>
      </c>
      <c r="P130" s="495" t="s">
        <v>597</v>
      </c>
      <c r="Q130" s="473">
        <v>1993</v>
      </c>
      <c r="R130" s="473" t="s">
        <v>1942</v>
      </c>
      <c r="S130" s="495" t="s">
        <v>1005</v>
      </c>
      <c r="T130" s="495" t="s">
        <v>1006</v>
      </c>
      <c r="U130" s="484" t="str">
        <f>IFERROR(VLOOKUP(N130,'Thông số'!$B:$F,5,0),"")</f>
        <v>4780 x 2030 x 2840</v>
      </c>
    </row>
    <row r="131" ht="14.25" customHeight="1" spans="1:21">
      <c r="A131" s="489">
        <v>12</v>
      </c>
      <c r="B131" s="490" t="s">
        <v>1007</v>
      </c>
      <c r="C131" s="490" t="s">
        <v>492</v>
      </c>
      <c r="D131" s="470" t="s">
        <v>1008</v>
      </c>
      <c r="E131" s="491"/>
      <c r="F131" s="491"/>
      <c r="G131" s="490" t="s">
        <v>195</v>
      </c>
      <c r="H131" s="470" t="s">
        <v>6583</v>
      </c>
      <c r="I131" s="470" t="s">
        <v>15</v>
      </c>
      <c r="J131" s="492">
        <v>45722</v>
      </c>
      <c r="K131" s="470" t="s">
        <v>1126</v>
      </c>
      <c r="L131" s="491"/>
      <c r="M131" s="505" t="s">
        <v>653</v>
      </c>
      <c r="N131" s="470">
        <v>7800</v>
      </c>
      <c r="O131" s="490" t="s">
        <v>976</v>
      </c>
      <c r="P131" s="490" t="s">
        <v>1009</v>
      </c>
      <c r="Q131" s="470">
        <v>1997</v>
      </c>
      <c r="R131" s="470" t="s">
        <v>6584</v>
      </c>
      <c r="S131" s="490" t="s">
        <v>1010</v>
      </c>
      <c r="T131" s="490" t="s">
        <v>1011</v>
      </c>
      <c r="U131" s="484" t="str">
        <f>IFERROR(VLOOKUP(N131,'Thông số'!$B:$F,5,0),"")</f>
        <v>4750 x 2440 x 3000</v>
      </c>
    </row>
    <row r="132" ht="14.25" customHeight="1" spans="1:21">
      <c r="A132" s="494">
        <v>13</v>
      </c>
      <c r="B132" s="495" t="s">
        <v>1012</v>
      </c>
      <c r="C132" s="497"/>
      <c r="D132" s="473" t="s">
        <v>1013</v>
      </c>
      <c r="E132" s="497"/>
      <c r="F132" s="497"/>
      <c r="G132" s="495" t="s">
        <v>201</v>
      </c>
      <c r="H132" s="497"/>
      <c r="I132" s="473" t="s">
        <v>15</v>
      </c>
      <c r="J132" s="498">
        <v>46009</v>
      </c>
      <c r="K132" s="473" t="s">
        <v>1263</v>
      </c>
      <c r="L132" s="497"/>
      <c r="M132" s="501" t="s">
        <v>653</v>
      </c>
      <c r="N132" s="473">
        <v>1504</v>
      </c>
      <c r="O132" s="495" t="s">
        <v>1015</v>
      </c>
      <c r="P132" s="495" t="s">
        <v>1016</v>
      </c>
      <c r="Q132" s="473">
        <v>2025</v>
      </c>
      <c r="R132" s="473" t="s">
        <v>2016</v>
      </c>
      <c r="S132" s="495" t="s">
        <v>1017</v>
      </c>
      <c r="T132" s="495" t="s">
        <v>1018</v>
      </c>
      <c r="U132" s="484" t="str">
        <f>IFERROR(VLOOKUP(N132,'Thông số'!$B:$F,5,0),"")</f>
        <v>5300 x 2620 x 3010</v>
      </c>
    </row>
    <row r="133" ht="14.25" customHeight="1" spans="1:21">
      <c r="A133" s="485" t="s">
        <v>1035</v>
      </c>
      <c r="B133" s="486" t="s">
        <v>1036</v>
      </c>
      <c r="C133" s="487">
        <v>14</v>
      </c>
      <c r="D133" s="488"/>
      <c r="E133" s="488"/>
      <c r="F133" s="488"/>
      <c r="G133" s="488"/>
      <c r="H133" s="488"/>
      <c r="I133" s="488"/>
      <c r="J133" s="488"/>
      <c r="K133" s="488"/>
      <c r="L133" s="488"/>
      <c r="M133" s="488"/>
      <c r="N133" s="488"/>
      <c r="O133" s="488"/>
      <c r="P133" s="488"/>
      <c r="Q133" s="488"/>
      <c r="R133" s="488"/>
      <c r="S133" s="488"/>
      <c r="T133" s="488"/>
      <c r="U133" s="484" t="str">
        <f>IFERROR(VLOOKUP(N133,'Thông số'!$B:$F,5,0),"")</f>
        <v/>
      </c>
    </row>
    <row r="134" ht="14.25" customHeight="1" spans="1:21">
      <c r="A134" s="494">
        <v>1</v>
      </c>
      <c r="B134" s="495" t="s">
        <v>1037</v>
      </c>
      <c r="C134" s="495" t="s">
        <v>1038</v>
      </c>
      <c r="D134" s="473" t="s">
        <v>1909</v>
      </c>
      <c r="E134" s="497"/>
      <c r="F134" s="495" t="s">
        <v>1909</v>
      </c>
      <c r="G134" s="495" t="s">
        <v>193</v>
      </c>
      <c r="H134" s="473" t="s">
        <v>6576</v>
      </c>
      <c r="I134" s="473" t="s">
        <v>24</v>
      </c>
      <c r="J134" s="497"/>
      <c r="K134" s="473" t="s">
        <v>1263</v>
      </c>
      <c r="L134" s="497"/>
      <c r="M134" s="497"/>
      <c r="N134" s="473">
        <v>6603</v>
      </c>
      <c r="O134" s="495" t="s">
        <v>976</v>
      </c>
      <c r="P134" s="495" t="s">
        <v>977</v>
      </c>
      <c r="Q134" s="473">
        <v>2018</v>
      </c>
      <c r="R134" s="473" t="s">
        <v>102</v>
      </c>
      <c r="S134" s="495">
        <v>32607</v>
      </c>
      <c r="T134" s="495" t="s">
        <v>462</v>
      </c>
      <c r="U134" s="484" t="str">
        <f>IFERROR(VLOOKUP(N134,'Thông số'!$B:$F,5,0),"")</f>
        <v>4200 x 2600 x 2900</v>
      </c>
    </row>
    <row r="135" ht="14.25" customHeight="1" spans="1:21">
      <c r="A135" s="494">
        <v>2</v>
      </c>
      <c r="B135" s="495" t="s">
        <v>1039</v>
      </c>
      <c r="C135" s="495" t="s">
        <v>1040</v>
      </c>
      <c r="D135" s="473" t="s">
        <v>1909</v>
      </c>
      <c r="E135" s="497"/>
      <c r="F135" s="495" t="s">
        <v>1909</v>
      </c>
      <c r="G135" s="495" t="s">
        <v>193</v>
      </c>
      <c r="H135" s="473" t="s">
        <v>6576</v>
      </c>
      <c r="I135" s="473" t="s">
        <v>24</v>
      </c>
      <c r="J135" s="497"/>
      <c r="K135" s="473" t="s">
        <v>1263</v>
      </c>
      <c r="L135" s="497"/>
      <c r="M135" s="497"/>
      <c r="N135" s="473">
        <v>6603</v>
      </c>
      <c r="O135" s="495" t="s">
        <v>976</v>
      </c>
      <c r="P135" s="495" t="s">
        <v>977</v>
      </c>
      <c r="Q135" s="473">
        <v>2018</v>
      </c>
      <c r="R135" s="473" t="s">
        <v>102</v>
      </c>
      <c r="S135" s="495" t="s">
        <v>1041</v>
      </c>
      <c r="T135" s="495">
        <v>5958</v>
      </c>
      <c r="U135" s="484" t="str">
        <f>IFERROR(VLOOKUP(N135,'Thông số'!$B:$F,5,0),"")</f>
        <v>4200 x 2600 x 2900</v>
      </c>
    </row>
    <row r="136" ht="14.25" customHeight="1" spans="1:21">
      <c r="A136" s="494">
        <v>3</v>
      </c>
      <c r="B136" s="495" t="s">
        <v>1043</v>
      </c>
      <c r="C136" s="495" t="s">
        <v>1044</v>
      </c>
      <c r="D136" s="473" t="s">
        <v>1909</v>
      </c>
      <c r="E136" s="497"/>
      <c r="F136" s="495" t="s">
        <v>1909</v>
      </c>
      <c r="G136" s="495" t="s">
        <v>193</v>
      </c>
      <c r="H136" s="473" t="s">
        <v>6576</v>
      </c>
      <c r="I136" s="473" t="s">
        <v>24</v>
      </c>
      <c r="J136" s="497"/>
      <c r="K136" s="473" t="s">
        <v>1263</v>
      </c>
      <c r="L136" s="497"/>
      <c r="M136" s="497"/>
      <c r="N136" s="473">
        <v>6603</v>
      </c>
      <c r="O136" s="495" t="s">
        <v>976</v>
      </c>
      <c r="P136" s="495" t="s">
        <v>977</v>
      </c>
      <c r="Q136" s="473">
        <v>2018</v>
      </c>
      <c r="R136" s="473" t="s">
        <v>102</v>
      </c>
      <c r="S136" s="495" t="s">
        <v>1045</v>
      </c>
      <c r="T136" s="495" t="s">
        <v>1046</v>
      </c>
      <c r="U136" s="484" t="str">
        <f>IFERROR(VLOOKUP(N136,'Thông số'!$B:$F,5,0),"")</f>
        <v>4200 x 2600 x 2900</v>
      </c>
    </row>
    <row r="137" ht="14.25" customHeight="1" spans="1:21">
      <c r="A137" s="494">
        <v>4</v>
      </c>
      <c r="B137" s="495" t="s">
        <v>1047</v>
      </c>
      <c r="C137" s="495" t="s">
        <v>1048</v>
      </c>
      <c r="D137" s="473" t="s">
        <v>3344</v>
      </c>
      <c r="E137" s="497"/>
      <c r="F137" s="495" t="s">
        <v>3344</v>
      </c>
      <c r="G137" s="495" t="s">
        <v>185</v>
      </c>
      <c r="H137" s="473" t="s">
        <v>6576</v>
      </c>
      <c r="I137" s="473" t="s">
        <v>24</v>
      </c>
      <c r="J137" s="498">
        <v>45366</v>
      </c>
      <c r="K137" s="473" t="s">
        <v>1263</v>
      </c>
      <c r="L137" s="497"/>
      <c r="M137" s="497"/>
      <c r="N137" s="473" t="s">
        <v>983</v>
      </c>
      <c r="O137" s="495" t="s">
        <v>976</v>
      </c>
      <c r="P137" s="495" t="s">
        <v>977</v>
      </c>
      <c r="Q137" s="473">
        <v>2022</v>
      </c>
      <c r="R137" s="473" t="s">
        <v>102</v>
      </c>
      <c r="S137" s="495" t="s">
        <v>1049</v>
      </c>
      <c r="T137" s="495" t="s">
        <v>1050</v>
      </c>
      <c r="U137" s="484" t="str">
        <f>IFERROR(VLOOKUP(N137,'Thông số'!$B:$F,5,0),"")</f>
        <v>4835 x 2600 x 2965</v>
      </c>
    </row>
    <row r="138" ht="14.25" customHeight="1" spans="1:21">
      <c r="A138" s="489">
        <v>5</v>
      </c>
      <c r="B138" s="490" t="s">
        <v>1051</v>
      </c>
      <c r="C138" s="490" t="s">
        <v>1052</v>
      </c>
      <c r="D138" s="470" t="s">
        <v>3347</v>
      </c>
      <c r="E138" s="491"/>
      <c r="F138" s="490" t="s">
        <v>3347</v>
      </c>
      <c r="G138" s="490" t="s">
        <v>181</v>
      </c>
      <c r="H138" s="470" t="s">
        <v>6580</v>
      </c>
      <c r="I138" s="470" t="s">
        <v>24</v>
      </c>
      <c r="J138" s="491"/>
      <c r="K138" s="470" t="s">
        <v>1126</v>
      </c>
      <c r="L138" s="493">
        <v>0.97</v>
      </c>
      <c r="M138" s="505" t="s">
        <v>1053</v>
      </c>
      <c r="N138" s="470">
        <v>5090</v>
      </c>
      <c r="O138" s="490" t="s">
        <v>976</v>
      </c>
      <c r="P138" s="490" t="s">
        <v>977</v>
      </c>
      <c r="Q138" s="470">
        <v>2022</v>
      </c>
      <c r="R138" s="470" t="s">
        <v>177</v>
      </c>
      <c r="S138" s="490" t="s">
        <v>1054</v>
      </c>
      <c r="T138" s="490" t="s">
        <v>1055</v>
      </c>
      <c r="U138" s="484" t="str">
        <f>IFERROR(VLOOKUP(N138,'Thông số'!$B:$F,5,0),"")</f>
        <v>4100 x 2100 x 2600</v>
      </c>
    </row>
    <row r="139" ht="14.25" customHeight="1" spans="1:21">
      <c r="A139" s="494">
        <v>6</v>
      </c>
      <c r="B139" s="495" t="s">
        <v>1056</v>
      </c>
      <c r="C139" s="495" t="s">
        <v>1048</v>
      </c>
      <c r="D139" s="473" t="s">
        <v>3349</v>
      </c>
      <c r="E139" s="497"/>
      <c r="F139" s="495" t="s">
        <v>3349</v>
      </c>
      <c r="G139" s="495" t="s">
        <v>186</v>
      </c>
      <c r="H139" s="473" t="s">
        <v>6582</v>
      </c>
      <c r="I139" s="473" t="s">
        <v>24</v>
      </c>
      <c r="J139" s="498">
        <v>45421</v>
      </c>
      <c r="K139" s="473" t="s">
        <v>1263</v>
      </c>
      <c r="L139" s="497"/>
      <c r="M139" s="497"/>
      <c r="N139" s="473" t="s">
        <v>1057</v>
      </c>
      <c r="O139" s="495" t="s">
        <v>976</v>
      </c>
      <c r="P139" s="495" t="s">
        <v>977</v>
      </c>
      <c r="Q139" s="473">
        <v>2022</v>
      </c>
      <c r="R139" s="473" t="s">
        <v>64</v>
      </c>
      <c r="S139" s="495" t="s">
        <v>1058</v>
      </c>
      <c r="T139" s="495" t="s">
        <v>1059</v>
      </c>
      <c r="U139" s="484" t="str">
        <f>IFERROR(VLOOKUP(N139,'Thông số'!$B:$F,5,0),"")</f>
        <v>4780 x 2550 x 3000</v>
      </c>
    </row>
    <row r="140" ht="14.25" customHeight="1" spans="1:21">
      <c r="A140" s="494">
        <v>7</v>
      </c>
      <c r="B140" s="495" t="s">
        <v>1060</v>
      </c>
      <c r="C140" s="495" t="s">
        <v>1061</v>
      </c>
      <c r="D140" s="473" t="s">
        <v>3089</v>
      </c>
      <c r="E140" s="497"/>
      <c r="F140" s="495" t="s">
        <v>3089</v>
      </c>
      <c r="G140" s="495" t="s">
        <v>207</v>
      </c>
      <c r="H140" s="473" t="s">
        <v>6574</v>
      </c>
      <c r="I140" s="473" t="s">
        <v>24</v>
      </c>
      <c r="J140" s="498">
        <v>45381</v>
      </c>
      <c r="K140" s="473" t="s">
        <v>1263</v>
      </c>
      <c r="L140" s="497"/>
      <c r="M140" s="501" t="s">
        <v>1063</v>
      </c>
      <c r="N140" s="473" t="s">
        <v>1064</v>
      </c>
      <c r="O140" s="495" t="s">
        <v>759</v>
      </c>
      <c r="P140" s="495" t="s">
        <v>453</v>
      </c>
      <c r="Q140" s="473">
        <v>2013</v>
      </c>
      <c r="R140" s="473" t="s">
        <v>208</v>
      </c>
      <c r="S140" s="495">
        <v>57548</v>
      </c>
      <c r="T140" s="495" t="s">
        <v>462</v>
      </c>
      <c r="U140" s="484" t="str">
        <f>IFERROR(VLOOKUP(N140,'Thông số'!$B:$F,5,0),"")</f>
        <v>3445 x 1865 x 2535</v>
      </c>
    </row>
    <row r="141" ht="14.25" customHeight="1" spans="1:21">
      <c r="A141" s="489">
        <v>8</v>
      </c>
      <c r="B141" s="490" t="s">
        <v>1065</v>
      </c>
      <c r="C141" s="490" t="s">
        <v>492</v>
      </c>
      <c r="D141" s="470" t="s">
        <v>1066</v>
      </c>
      <c r="E141" s="491"/>
      <c r="F141" s="490" t="s">
        <v>1066</v>
      </c>
      <c r="G141" s="490" t="s">
        <v>191</v>
      </c>
      <c r="H141" s="470" t="s">
        <v>6576</v>
      </c>
      <c r="I141" s="470" t="s">
        <v>24</v>
      </c>
      <c r="J141" s="492">
        <v>45538</v>
      </c>
      <c r="K141" s="470" t="s">
        <v>1126</v>
      </c>
      <c r="L141" s="491"/>
      <c r="M141" s="505" t="s">
        <v>653</v>
      </c>
      <c r="N141" s="470">
        <v>6400</v>
      </c>
      <c r="O141" s="490" t="s">
        <v>976</v>
      </c>
      <c r="P141" s="490" t="s">
        <v>1067</v>
      </c>
      <c r="Q141" s="470">
        <v>1998</v>
      </c>
      <c r="R141" s="470" t="s">
        <v>124</v>
      </c>
      <c r="S141" s="490" t="s">
        <v>1068</v>
      </c>
      <c r="T141" s="490" t="s">
        <v>1069</v>
      </c>
      <c r="U141" s="484" t="str">
        <f>IFERROR(VLOOKUP(N141,'Thông số'!$B:$F,5,0),"")</f>
        <v>4200 x 2600 x 2900</v>
      </c>
    </row>
    <row r="142" ht="14.25" customHeight="1" spans="1:21">
      <c r="A142" s="494">
        <v>9</v>
      </c>
      <c r="B142" s="495" t="s">
        <v>1070</v>
      </c>
      <c r="C142" s="495" t="s">
        <v>1071</v>
      </c>
      <c r="D142" s="473" t="s">
        <v>1072</v>
      </c>
      <c r="E142" s="497"/>
      <c r="F142" s="497"/>
      <c r="G142" s="495" t="s">
        <v>201</v>
      </c>
      <c r="H142" s="473" t="s">
        <v>6582</v>
      </c>
      <c r="I142" s="473" t="s">
        <v>24</v>
      </c>
      <c r="J142" s="498">
        <v>45590</v>
      </c>
      <c r="K142" s="473" t="s">
        <v>1263</v>
      </c>
      <c r="L142" s="497"/>
      <c r="M142" s="501" t="s">
        <v>1075</v>
      </c>
      <c r="N142" s="473">
        <v>1504</v>
      </c>
      <c r="O142" s="495" t="s">
        <v>1015</v>
      </c>
      <c r="P142" s="495" t="s">
        <v>1016</v>
      </c>
      <c r="Q142" s="473">
        <v>2024</v>
      </c>
      <c r="R142" s="473" t="s">
        <v>1076</v>
      </c>
      <c r="S142" s="495" t="s">
        <v>1077</v>
      </c>
      <c r="T142" s="495" t="s">
        <v>462</v>
      </c>
      <c r="U142" s="484" t="str">
        <f>IFERROR(VLOOKUP(N142,'Thông số'!$B:$F,5,0),"")</f>
        <v>5300 x 2620 x 3010</v>
      </c>
    </row>
    <row r="143" ht="14.25" customHeight="1" spans="1:21">
      <c r="A143" s="489">
        <v>10</v>
      </c>
      <c r="B143" s="490" t="s">
        <v>1078</v>
      </c>
      <c r="C143" s="490" t="s">
        <v>492</v>
      </c>
      <c r="D143" s="470" t="s">
        <v>1079</v>
      </c>
      <c r="E143" s="491"/>
      <c r="F143" s="491"/>
      <c r="G143" s="490" t="s">
        <v>178</v>
      </c>
      <c r="H143" s="470" t="s">
        <v>6576</v>
      </c>
      <c r="I143" s="470" t="s">
        <v>24</v>
      </c>
      <c r="J143" s="492">
        <v>45700</v>
      </c>
      <c r="K143" s="470" t="s">
        <v>1126</v>
      </c>
      <c r="L143" s="491"/>
      <c r="M143" s="505" t="s">
        <v>653</v>
      </c>
      <c r="N143" s="470">
        <v>3350</v>
      </c>
      <c r="O143" s="490" t="s">
        <v>976</v>
      </c>
      <c r="P143" s="490" t="s">
        <v>1067</v>
      </c>
      <c r="Q143" s="470">
        <v>1993</v>
      </c>
      <c r="R143" s="470" t="s">
        <v>124</v>
      </c>
      <c r="S143" s="490">
        <v>608107</v>
      </c>
      <c r="T143" s="490" t="s">
        <v>1080</v>
      </c>
      <c r="U143" s="484" t="str">
        <f>IFERROR(VLOOKUP(N143,'Thông số'!$B:$F,5,0),"")</f>
        <v>4780 x 2030 x 2840</v>
      </c>
    </row>
    <row r="144" ht="14.25" customHeight="1" spans="1:21">
      <c r="A144" s="494">
        <v>11</v>
      </c>
      <c r="B144" s="495" t="s">
        <v>1081</v>
      </c>
      <c r="C144" s="500" t="s">
        <v>492</v>
      </c>
      <c r="D144" s="473" t="s">
        <v>1082</v>
      </c>
      <c r="E144" s="497"/>
      <c r="F144" s="497"/>
      <c r="G144" s="495" t="s">
        <v>180</v>
      </c>
      <c r="H144" s="473" t="s">
        <v>6576</v>
      </c>
      <c r="I144" s="473" t="s">
        <v>24</v>
      </c>
      <c r="J144" s="498">
        <v>45713</v>
      </c>
      <c r="K144" s="473" t="s">
        <v>1263</v>
      </c>
      <c r="L144" s="497"/>
      <c r="M144" s="501" t="s">
        <v>653</v>
      </c>
      <c r="N144" s="473">
        <v>3650</v>
      </c>
      <c r="O144" s="495" t="s">
        <v>976</v>
      </c>
      <c r="P144" s="495" t="s">
        <v>1067</v>
      </c>
      <c r="Q144" s="473">
        <v>1993</v>
      </c>
      <c r="R144" s="473" t="s">
        <v>87</v>
      </c>
      <c r="S144" s="495" t="s">
        <v>1084</v>
      </c>
      <c r="T144" s="495" t="s">
        <v>1085</v>
      </c>
      <c r="U144" s="484" t="str">
        <f>IFERROR(VLOOKUP(N144,'Thông số'!$B:$F,5,0),"")</f>
        <v>4890 x 2260 x 2880</v>
      </c>
    </row>
    <row r="145" ht="14.25" customHeight="1" spans="1:21">
      <c r="A145" s="489">
        <v>12</v>
      </c>
      <c r="B145" s="490" t="s">
        <v>1086</v>
      </c>
      <c r="C145" s="490" t="s">
        <v>492</v>
      </c>
      <c r="D145" s="470" t="s">
        <v>1087</v>
      </c>
      <c r="E145" s="491"/>
      <c r="F145" s="491"/>
      <c r="G145" s="490" t="s">
        <v>179</v>
      </c>
      <c r="H145" s="470" t="s">
        <v>6576</v>
      </c>
      <c r="I145" s="470" t="s">
        <v>24</v>
      </c>
      <c r="J145" s="492">
        <v>45776</v>
      </c>
      <c r="K145" s="470" t="s">
        <v>1126</v>
      </c>
      <c r="L145" s="491"/>
      <c r="M145" s="505" t="s">
        <v>653</v>
      </c>
      <c r="N145" s="470">
        <v>3640</v>
      </c>
      <c r="O145" s="490" t="s">
        <v>976</v>
      </c>
      <c r="P145" s="490" t="s">
        <v>597</v>
      </c>
      <c r="Q145" s="470">
        <v>1987</v>
      </c>
      <c r="R145" s="470" t="s">
        <v>87</v>
      </c>
      <c r="S145" s="490" t="s">
        <v>1089</v>
      </c>
      <c r="T145" s="490" t="s">
        <v>1090</v>
      </c>
      <c r="U145" s="484" t="str">
        <f>IFERROR(VLOOKUP(N145,'Thông số'!$B:$F,5,0),"")</f>
        <v>4800 x 2150 x 2970</v>
      </c>
    </row>
    <row r="146" ht="14.25" customHeight="1" spans="1:21">
      <c r="A146" s="489">
        <v>13</v>
      </c>
      <c r="B146" s="490" t="s">
        <v>1091</v>
      </c>
      <c r="C146" s="490" t="s">
        <v>492</v>
      </c>
      <c r="D146" s="470" t="s">
        <v>1092</v>
      </c>
      <c r="E146" s="491"/>
      <c r="F146" s="491"/>
      <c r="G146" s="490" t="s">
        <v>190</v>
      </c>
      <c r="H146" s="470" t="s">
        <v>6576</v>
      </c>
      <c r="I146" s="470" t="s">
        <v>24</v>
      </c>
      <c r="J146" s="492">
        <v>45776</v>
      </c>
      <c r="K146" s="470" t="s">
        <v>1126</v>
      </c>
      <c r="L146" s="491"/>
      <c r="M146" s="505" t="s">
        <v>653</v>
      </c>
      <c r="N146" s="470">
        <v>6300</v>
      </c>
      <c r="O146" s="490" t="s">
        <v>976</v>
      </c>
      <c r="P146" s="490" t="s">
        <v>597</v>
      </c>
      <c r="Q146" s="470">
        <v>1994</v>
      </c>
      <c r="R146" s="470" t="s">
        <v>188</v>
      </c>
      <c r="S146" s="490" t="s">
        <v>1093</v>
      </c>
      <c r="T146" s="490" t="s">
        <v>1094</v>
      </c>
      <c r="U146" s="484" t="str">
        <f>IFERROR(VLOOKUP(N146,'Thông số'!$B:$F,5,0),"")</f>
        <v>4800 x 2007 x 2743</v>
      </c>
    </row>
    <row r="147" ht="14.25" customHeight="1" spans="1:21">
      <c r="A147" s="494">
        <v>14</v>
      </c>
      <c r="B147" s="495" t="s">
        <v>1095</v>
      </c>
      <c r="C147" s="497"/>
      <c r="D147" s="473" t="s">
        <v>1096</v>
      </c>
      <c r="E147" s="497"/>
      <c r="F147" s="497"/>
      <c r="G147" s="495" t="s">
        <v>201</v>
      </c>
      <c r="H147" s="497"/>
      <c r="I147" s="473" t="s">
        <v>24</v>
      </c>
      <c r="J147" s="498">
        <v>46009</v>
      </c>
      <c r="K147" s="473" t="s">
        <v>1263</v>
      </c>
      <c r="L147" s="497"/>
      <c r="M147" s="501" t="s">
        <v>653</v>
      </c>
      <c r="N147" s="473">
        <v>1504</v>
      </c>
      <c r="O147" s="495" t="s">
        <v>1015</v>
      </c>
      <c r="P147" s="495" t="s">
        <v>1016</v>
      </c>
      <c r="Q147" s="473">
        <v>2025</v>
      </c>
      <c r="R147" s="473" t="s">
        <v>2016</v>
      </c>
      <c r="S147" s="495" t="s">
        <v>1097</v>
      </c>
      <c r="T147" s="495" t="s">
        <v>1098</v>
      </c>
      <c r="U147" s="484" t="str">
        <f>IFERROR(VLOOKUP(N147,'Thông số'!$B:$F,5,0),"")</f>
        <v>5300 x 2620 x 3010</v>
      </c>
    </row>
    <row r="148" ht="14.25" customHeight="1" spans="1:21">
      <c r="A148" s="485" t="s">
        <v>1099</v>
      </c>
      <c r="B148" s="486" t="s">
        <v>1100</v>
      </c>
      <c r="C148" s="487">
        <v>4</v>
      </c>
      <c r="D148" s="488"/>
      <c r="E148" s="488"/>
      <c r="F148" s="488"/>
      <c r="G148" s="488"/>
      <c r="H148" s="488"/>
      <c r="I148" s="488"/>
      <c r="J148" s="488"/>
      <c r="K148" s="488"/>
      <c r="L148" s="488"/>
      <c r="M148" s="488"/>
      <c r="N148" s="488"/>
      <c r="O148" s="488"/>
      <c r="P148" s="488"/>
      <c r="Q148" s="488"/>
      <c r="R148" s="488"/>
      <c r="S148" s="488"/>
      <c r="T148" s="488"/>
      <c r="U148" s="484" t="str">
        <f>IFERROR(VLOOKUP(N148,'Thông số'!$B:$F,5,0),"")</f>
        <v/>
      </c>
    </row>
    <row r="149" ht="14.25" customHeight="1" spans="1:21">
      <c r="A149" s="489">
        <v>1</v>
      </c>
      <c r="B149" s="490" t="s">
        <v>1101</v>
      </c>
      <c r="C149" s="490" t="s">
        <v>1102</v>
      </c>
      <c r="D149" s="470" t="s">
        <v>3351</v>
      </c>
      <c r="E149" s="491"/>
      <c r="F149" s="490" t="s">
        <v>3351</v>
      </c>
      <c r="G149" s="490" t="s">
        <v>210</v>
      </c>
      <c r="H149" s="470" t="s">
        <v>6582</v>
      </c>
      <c r="I149" s="470" t="s">
        <v>6585</v>
      </c>
      <c r="J149" s="491"/>
      <c r="K149" s="470" t="s">
        <v>1126</v>
      </c>
      <c r="L149" s="491"/>
      <c r="M149" s="491"/>
      <c r="N149" s="470" t="s">
        <v>1106</v>
      </c>
      <c r="O149" s="490" t="s">
        <v>1104</v>
      </c>
      <c r="P149" s="490" t="s">
        <v>1105</v>
      </c>
      <c r="Q149" s="470">
        <v>2018</v>
      </c>
      <c r="R149" s="470" t="s">
        <v>48</v>
      </c>
      <c r="S149" s="490">
        <v>73737</v>
      </c>
      <c r="T149" s="490" t="s">
        <v>462</v>
      </c>
      <c r="U149" s="484" t="str">
        <f>IFERROR(VLOOKUP(N149,'Thông số'!$B:$F,5,0),"")</f>
        <v/>
      </c>
    </row>
    <row r="150" ht="14.25" customHeight="1" spans="1:21">
      <c r="A150" s="489">
        <v>2</v>
      </c>
      <c r="B150" s="490" t="s">
        <v>1107</v>
      </c>
      <c r="C150" s="490" t="s">
        <v>1108</v>
      </c>
      <c r="D150" s="470" t="s">
        <v>1909</v>
      </c>
      <c r="E150" s="491"/>
      <c r="F150" s="490" t="s">
        <v>1909</v>
      </c>
      <c r="G150" s="490" t="s">
        <v>193</v>
      </c>
      <c r="H150" s="470" t="s">
        <v>6576</v>
      </c>
      <c r="I150" s="470" t="s">
        <v>6585</v>
      </c>
      <c r="J150" s="492">
        <v>43832</v>
      </c>
      <c r="K150" s="470" t="s">
        <v>1126</v>
      </c>
      <c r="L150" s="493">
        <v>0.5</v>
      </c>
      <c r="M150" s="491"/>
      <c r="N150" s="470">
        <v>6603</v>
      </c>
      <c r="O150" s="490" t="s">
        <v>976</v>
      </c>
      <c r="P150" s="490" t="s">
        <v>977</v>
      </c>
      <c r="Q150" s="470">
        <v>2018</v>
      </c>
      <c r="R150" s="470" t="s">
        <v>102</v>
      </c>
      <c r="S150" s="490">
        <v>33027</v>
      </c>
      <c r="T150" s="490" t="s">
        <v>462</v>
      </c>
      <c r="U150" s="484" t="str">
        <f>IFERROR(VLOOKUP(N150,'Thông số'!$B:$F,5,0),"")</f>
        <v>4200 x 2600 x 2900</v>
      </c>
    </row>
    <row r="151" ht="14.25" customHeight="1" spans="1:21">
      <c r="A151" s="489">
        <v>3</v>
      </c>
      <c r="B151" s="490" t="s">
        <v>1109</v>
      </c>
      <c r="C151" s="490" t="s">
        <v>1110</v>
      </c>
      <c r="D151" s="470" t="s">
        <v>3339</v>
      </c>
      <c r="E151" s="491"/>
      <c r="F151" s="490" t="s">
        <v>3339</v>
      </c>
      <c r="G151" s="490" t="s">
        <v>209</v>
      </c>
      <c r="H151" s="470" t="s">
        <v>6576</v>
      </c>
      <c r="I151" s="470" t="s">
        <v>6585</v>
      </c>
      <c r="J151" s="491"/>
      <c r="K151" s="470" t="s">
        <v>1126</v>
      </c>
      <c r="L151" s="491"/>
      <c r="M151" s="491"/>
      <c r="N151" s="470">
        <v>9540</v>
      </c>
      <c r="O151" s="490" t="s">
        <v>759</v>
      </c>
      <c r="P151" s="490" t="s">
        <v>453</v>
      </c>
      <c r="Q151" s="470">
        <v>2011</v>
      </c>
      <c r="R151" s="470" t="s">
        <v>120</v>
      </c>
      <c r="S151" s="490" t="s">
        <v>1111</v>
      </c>
      <c r="T151" s="490" t="s">
        <v>462</v>
      </c>
      <c r="U151" s="484" t="str">
        <f>IFERROR(VLOOKUP(N151,'Thông số'!$B:$F,5,0),"")</f>
        <v>3760 x 1900 x 2570</v>
      </c>
    </row>
    <row r="152" ht="14.25" customHeight="1" spans="1:21">
      <c r="A152" s="494">
        <v>4</v>
      </c>
      <c r="B152" s="495" t="s">
        <v>1112</v>
      </c>
      <c r="C152" s="495" t="s">
        <v>1048</v>
      </c>
      <c r="D152" s="473" t="s">
        <v>3346</v>
      </c>
      <c r="E152" s="497"/>
      <c r="F152" s="495" t="s">
        <v>3346</v>
      </c>
      <c r="G152" s="495" t="s">
        <v>181</v>
      </c>
      <c r="H152" s="473" t="s">
        <v>6580</v>
      </c>
      <c r="I152" s="473" t="s">
        <v>6585</v>
      </c>
      <c r="J152" s="498">
        <v>45366</v>
      </c>
      <c r="K152" s="473" t="s">
        <v>1263</v>
      </c>
      <c r="L152" s="497"/>
      <c r="M152" s="501" t="s">
        <v>1113</v>
      </c>
      <c r="N152" s="473" t="s">
        <v>987</v>
      </c>
      <c r="O152" s="495" t="s">
        <v>976</v>
      </c>
      <c r="P152" s="495" t="s">
        <v>977</v>
      </c>
      <c r="Q152" s="473">
        <v>2022</v>
      </c>
      <c r="R152" s="473" t="s">
        <v>177</v>
      </c>
      <c r="S152" s="495" t="s">
        <v>1114</v>
      </c>
      <c r="T152" s="495" t="s">
        <v>1115</v>
      </c>
      <c r="U152" s="484" t="str">
        <f>IFERROR(VLOOKUP(N152,'Thông số'!$B:$F,5,0),"")</f>
        <v>4100 x 2100 x 2600</v>
      </c>
    </row>
    <row r="153" ht="14.25" customHeight="1" spans="1:21">
      <c r="A153" s="481" t="s">
        <v>1116</v>
      </c>
      <c r="B153" s="482"/>
      <c r="C153" s="483">
        <v>155</v>
      </c>
      <c r="D153" s="482"/>
      <c r="E153" s="482"/>
      <c r="F153" s="482"/>
      <c r="G153" s="482"/>
      <c r="H153" s="482"/>
      <c r="I153" s="482"/>
      <c r="J153" s="482"/>
      <c r="K153" s="482"/>
      <c r="L153" s="482"/>
      <c r="M153" s="482"/>
      <c r="N153" s="482"/>
      <c r="O153" s="482"/>
      <c r="P153" s="482"/>
      <c r="Q153" s="482"/>
      <c r="R153" s="482"/>
      <c r="S153" s="482"/>
      <c r="T153" s="482"/>
      <c r="U153" s="484" t="str">
        <f>IFERROR(VLOOKUP(N153,'Thông số'!$B:$F,5,0),"")</f>
        <v/>
      </c>
    </row>
    <row r="154" ht="14.25" customHeight="1" spans="1:21">
      <c r="A154" s="485" t="s">
        <v>1117</v>
      </c>
      <c r="B154" s="486" t="s">
        <v>1118</v>
      </c>
      <c r="C154" s="487">
        <v>27</v>
      </c>
      <c r="D154" s="488"/>
      <c r="E154" s="488"/>
      <c r="F154" s="488"/>
      <c r="G154" s="488"/>
      <c r="H154" s="488"/>
      <c r="I154" s="488"/>
      <c r="J154" s="488"/>
      <c r="K154" s="488"/>
      <c r="L154" s="488"/>
      <c r="M154" s="488"/>
      <c r="N154" s="488"/>
      <c r="O154" s="488"/>
      <c r="P154" s="488"/>
      <c r="Q154" s="488"/>
      <c r="R154" s="488"/>
      <c r="S154" s="488"/>
      <c r="T154" s="488"/>
      <c r="U154" s="484" t="str">
        <f>IFERROR(VLOOKUP(N154,'Thông số'!$B:$F,5,0),"")</f>
        <v/>
      </c>
    </row>
    <row r="155" ht="14.25" customHeight="1" spans="1:21">
      <c r="A155" s="494">
        <v>1</v>
      </c>
      <c r="B155" s="495" t="s">
        <v>1119</v>
      </c>
      <c r="C155" s="495" t="s">
        <v>1120</v>
      </c>
      <c r="D155" s="473" t="s">
        <v>6586</v>
      </c>
      <c r="E155" s="497"/>
      <c r="F155" s="495" t="s">
        <v>1980</v>
      </c>
      <c r="G155" s="495" t="s">
        <v>197</v>
      </c>
      <c r="H155" s="473" t="s">
        <v>6574</v>
      </c>
      <c r="I155" s="473" t="s">
        <v>1121</v>
      </c>
      <c r="J155" s="497"/>
      <c r="K155" s="473" t="s">
        <v>1263</v>
      </c>
      <c r="L155" s="497"/>
      <c r="M155" s="497"/>
      <c r="N155" s="473" t="s">
        <v>1122</v>
      </c>
      <c r="O155" s="495" t="s">
        <v>1019</v>
      </c>
      <c r="P155" s="495" t="s">
        <v>500</v>
      </c>
      <c r="Q155" s="473">
        <v>2018</v>
      </c>
      <c r="R155" s="473" t="s">
        <v>128</v>
      </c>
      <c r="S155" s="495" t="s">
        <v>1123</v>
      </c>
      <c r="T155" s="495" t="s">
        <v>462</v>
      </c>
      <c r="U155" s="484" t="str">
        <f>IFERROR(VLOOKUP(N155,'Thông số'!$B:$F,5,0),"")</f>
        <v>3226 x 1570 x 1545</v>
      </c>
    </row>
    <row r="156" ht="14.25" customHeight="1" spans="1:21">
      <c r="A156" s="494">
        <v>2</v>
      </c>
      <c r="B156" s="495" t="s">
        <v>1124</v>
      </c>
      <c r="C156" s="495" t="s">
        <v>1125</v>
      </c>
      <c r="D156" s="473" t="s">
        <v>6587</v>
      </c>
      <c r="E156" s="497"/>
      <c r="F156" s="495" t="s">
        <v>1980</v>
      </c>
      <c r="G156" s="495" t="s">
        <v>197</v>
      </c>
      <c r="H156" s="473" t="s">
        <v>6574</v>
      </c>
      <c r="I156" s="473" t="s">
        <v>1121</v>
      </c>
      <c r="J156" s="497"/>
      <c r="K156" s="473" t="s">
        <v>1263</v>
      </c>
      <c r="L156" s="497"/>
      <c r="M156" s="497"/>
      <c r="N156" s="473" t="s">
        <v>1122</v>
      </c>
      <c r="O156" s="495" t="s">
        <v>1019</v>
      </c>
      <c r="P156" s="495" t="s">
        <v>500</v>
      </c>
      <c r="Q156" s="473">
        <v>2018</v>
      </c>
      <c r="R156" s="473" t="s">
        <v>128</v>
      </c>
      <c r="S156" s="495" t="s">
        <v>1128</v>
      </c>
      <c r="T156" s="495" t="s">
        <v>462</v>
      </c>
      <c r="U156" s="484" t="str">
        <f>IFERROR(VLOOKUP(N156,'Thông số'!$B:$F,5,0),"")</f>
        <v>3226 x 1570 x 1545</v>
      </c>
    </row>
    <row r="157" ht="14.25" customHeight="1" spans="1:21">
      <c r="A157" s="494">
        <v>3</v>
      </c>
      <c r="B157" s="495" t="s">
        <v>1129</v>
      </c>
      <c r="C157" s="495" t="s">
        <v>1130</v>
      </c>
      <c r="D157" s="473" t="s">
        <v>6588</v>
      </c>
      <c r="E157" s="497"/>
      <c r="F157" s="495" t="s">
        <v>1980</v>
      </c>
      <c r="G157" s="495" t="s">
        <v>197</v>
      </c>
      <c r="H157" s="473" t="s">
        <v>6574</v>
      </c>
      <c r="I157" s="473" t="s">
        <v>1121</v>
      </c>
      <c r="J157" s="498">
        <v>45406</v>
      </c>
      <c r="K157" s="473" t="s">
        <v>1263</v>
      </c>
      <c r="L157" s="497"/>
      <c r="M157" s="501" t="s">
        <v>1132</v>
      </c>
      <c r="N157" s="473" t="s">
        <v>1122</v>
      </c>
      <c r="O157" s="495" t="s">
        <v>1019</v>
      </c>
      <c r="P157" s="495" t="s">
        <v>500</v>
      </c>
      <c r="Q157" s="473">
        <v>2018</v>
      </c>
      <c r="R157" s="473" t="s">
        <v>128</v>
      </c>
      <c r="S157" s="495" t="s">
        <v>1133</v>
      </c>
      <c r="T157" s="495" t="s">
        <v>462</v>
      </c>
      <c r="U157" s="484" t="str">
        <f>IFERROR(VLOOKUP(N157,'Thông số'!$B:$F,5,0),"")</f>
        <v>3226 x 1570 x 1545</v>
      </c>
    </row>
    <row r="158" ht="14.25" customHeight="1" spans="1:21">
      <c r="A158" s="489">
        <v>4</v>
      </c>
      <c r="B158" s="490" t="s">
        <v>1134</v>
      </c>
      <c r="C158" s="490" t="s">
        <v>1135</v>
      </c>
      <c r="D158" s="491"/>
      <c r="E158" s="491"/>
      <c r="F158" s="490" t="s">
        <v>1624</v>
      </c>
      <c r="G158" s="490" t="s">
        <v>200</v>
      </c>
      <c r="H158" s="470" t="s">
        <v>6574</v>
      </c>
      <c r="I158" s="470" t="s">
        <v>1121</v>
      </c>
      <c r="J158" s="491"/>
      <c r="K158" s="470" t="s">
        <v>1126</v>
      </c>
      <c r="L158" s="491"/>
      <c r="M158" s="505" t="s">
        <v>1136</v>
      </c>
      <c r="N158" s="470" t="s">
        <v>1137</v>
      </c>
      <c r="O158" s="490" t="s">
        <v>759</v>
      </c>
      <c r="P158" s="490" t="s">
        <v>453</v>
      </c>
      <c r="Q158" s="470">
        <v>2019</v>
      </c>
      <c r="R158" s="470" t="s">
        <v>41</v>
      </c>
      <c r="S158" s="490">
        <v>14793</v>
      </c>
      <c r="T158" s="490" t="s">
        <v>462</v>
      </c>
      <c r="U158" s="484" t="str">
        <f>IFERROR(VLOOKUP(N158,'Thông số'!$B:$F,5,0),"")</f>
        <v>3120 x 1495 x 1510</v>
      </c>
    </row>
    <row r="159" ht="14.25" customHeight="1" spans="1:21">
      <c r="A159" s="494">
        <v>5</v>
      </c>
      <c r="B159" s="495" t="s">
        <v>1138</v>
      </c>
      <c r="C159" s="497"/>
      <c r="D159" s="473" t="s">
        <v>3426</v>
      </c>
      <c r="E159" s="497"/>
      <c r="F159" s="495" t="s">
        <v>3426</v>
      </c>
      <c r="G159" s="495" t="s">
        <v>241</v>
      </c>
      <c r="H159" s="473" t="s">
        <v>3432</v>
      </c>
      <c r="I159" s="473" t="s">
        <v>1121</v>
      </c>
      <c r="J159" s="497"/>
      <c r="K159" s="473" t="s">
        <v>1263</v>
      </c>
      <c r="L159" s="497"/>
      <c r="M159" s="497"/>
      <c r="N159" s="473" t="s">
        <v>1141</v>
      </c>
      <c r="O159" s="495" t="s">
        <v>1139</v>
      </c>
      <c r="P159" s="495" t="s">
        <v>1140</v>
      </c>
      <c r="Q159" s="473">
        <v>2019</v>
      </c>
      <c r="R159" s="473" t="s">
        <v>1142</v>
      </c>
      <c r="S159" s="495">
        <v>1501190100</v>
      </c>
      <c r="T159" s="495" t="s">
        <v>1143</v>
      </c>
      <c r="U159" s="484" t="str">
        <f>IFERROR(VLOOKUP(N159,'Thông số'!$B:$F,5,0),"")</f>
        <v/>
      </c>
    </row>
    <row r="160" ht="14.25" customHeight="1" spans="1:21">
      <c r="A160" s="494">
        <v>6</v>
      </c>
      <c r="B160" s="495" t="s">
        <v>1150</v>
      </c>
      <c r="C160" s="497"/>
      <c r="D160" s="473" t="s">
        <v>3456</v>
      </c>
      <c r="E160" s="473" t="s">
        <v>1151</v>
      </c>
      <c r="F160" s="495" t="s">
        <v>3456</v>
      </c>
      <c r="G160" s="495" t="s">
        <v>251</v>
      </c>
      <c r="H160" s="497"/>
      <c r="I160" s="473" t="s">
        <v>1121</v>
      </c>
      <c r="J160" s="498">
        <v>45301</v>
      </c>
      <c r="K160" s="473" t="s">
        <v>1263</v>
      </c>
      <c r="L160" s="499">
        <v>0.98</v>
      </c>
      <c r="M160" s="497"/>
      <c r="N160" s="473" t="s">
        <v>1153</v>
      </c>
      <c r="O160" s="495" t="s">
        <v>1152</v>
      </c>
      <c r="P160" s="495" t="s">
        <v>500</v>
      </c>
      <c r="Q160" s="473">
        <v>2021</v>
      </c>
      <c r="R160" s="473" t="s">
        <v>44</v>
      </c>
      <c r="S160" s="495" t="s">
        <v>1154</v>
      </c>
      <c r="T160" s="495" t="s">
        <v>1155</v>
      </c>
      <c r="U160" s="484" t="str">
        <f>IFERROR(VLOOKUP(N160,'Thông số'!$B:$F,5,0),"")</f>
        <v>4730 x 1750 x 2100</v>
      </c>
    </row>
    <row r="161" ht="14.25" customHeight="1" spans="1:21">
      <c r="A161" s="489">
        <v>7</v>
      </c>
      <c r="B161" s="490" t="s">
        <v>1156</v>
      </c>
      <c r="C161" s="490" t="s">
        <v>1157</v>
      </c>
      <c r="D161" s="470" t="s">
        <v>6589</v>
      </c>
      <c r="E161" s="491"/>
      <c r="F161" s="491"/>
      <c r="G161" s="490" t="s">
        <v>6590</v>
      </c>
      <c r="H161" s="470" t="s">
        <v>3454</v>
      </c>
      <c r="I161" s="470" t="s">
        <v>1121</v>
      </c>
      <c r="J161" s="492">
        <v>45357</v>
      </c>
      <c r="K161" s="470" t="s">
        <v>1126</v>
      </c>
      <c r="L161" s="491"/>
      <c r="M161" s="505" t="s">
        <v>1159</v>
      </c>
      <c r="N161" s="491"/>
      <c r="O161" s="490" t="s">
        <v>1160</v>
      </c>
      <c r="P161" s="490" t="s">
        <v>1140</v>
      </c>
      <c r="Q161" s="470">
        <v>2010</v>
      </c>
      <c r="R161" s="491"/>
      <c r="S161" s="490" t="s">
        <v>1161</v>
      </c>
      <c r="T161" s="490" t="s">
        <v>462</v>
      </c>
      <c r="U161" s="484" t="str">
        <f>IFERROR(VLOOKUP(N161,'Thông số'!$B:$F,5,0),"")</f>
        <v/>
      </c>
    </row>
    <row r="162" ht="14.25" customHeight="1" spans="1:21">
      <c r="A162" s="489">
        <v>8</v>
      </c>
      <c r="B162" s="490" t="s">
        <v>1162</v>
      </c>
      <c r="C162" s="490" t="s">
        <v>1163</v>
      </c>
      <c r="D162" s="470" t="s">
        <v>6591</v>
      </c>
      <c r="E162" s="491"/>
      <c r="F162" s="491"/>
      <c r="G162" s="490" t="s">
        <v>127</v>
      </c>
      <c r="H162" s="470" t="s">
        <v>6592</v>
      </c>
      <c r="I162" s="470" t="s">
        <v>1121</v>
      </c>
      <c r="J162" s="491"/>
      <c r="K162" s="470" t="s">
        <v>1126</v>
      </c>
      <c r="L162" s="491"/>
      <c r="M162" s="491"/>
      <c r="N162" s="491"/>
      <c r="O162" s="490" t="s">
        <v>1164</v>
      </c>
      <c r="P162" s="490" t="s">
        <v>1165</v>
      </c>
      <c r="Q162" s="491"/>
      <c r="R162" s="470" t="s">
        <v>208</v>
      </c>
      <c r="S162" s="490">
        <v>113819</v>
      </c>
      <c r="T162" s="490" t="s">
        <v>462</v>
      </c>
      <c r="U162" s="484" t="str">
        <f>IFERROR(VLOOKUP(N162,'Thông số'!$B:$F,5,0),"")</f>
        <v/>
      </c>
    </row>
    <row r="163" ht="14.25" customHeight="1" spans="1:21">
      <c r="A163" s="494">
        <v>9</v>
      </c>
      <c r="B163" s="495" t="s">
        <v>1166</v>
      </c>
      <c r="C163" s="495" t="s">
        <v>1167</v>
      </c>
      <c r="D163" s="473" t="s">
        <v>6593</v>
      </c>
      <c r="E163" s="497"/>
      <c r="F163" s="497"/>
      <c r="G163" s="495" t="s">
        <v>127</v>
      </c>
      <c r="H163" s="473" t="s">
        <v>6592</v>
      </c>
      <c r="I163" s="473" t="s">
        <v>1121</v>
      </c>
      <c r="J163" s="498">
        <v>45425</v>
      </c>
      <c r="K163" s="473" t="s">
        <v>1263</v>
      </c>
      <c r="L163" s="497"/>
      <c r="M163" s="497"/>
      <c r="N163" s="497"/>
      <c r="O163" s="495" t="s">
        <v>1164</v>
      </c>
      <c r="P163" s="495" t="s">
        <v>1165</v>
      </c>
      <c r="Q163" s="497"/>
      <c r="R163" s="473" t="s">
        <v>208</v>
      </c>
      <c r="S163" s="495">
        <v>78504</v>
      </c>
      <c r="T163" s="495" t="s">
        <v>462</v>
      </c>
      <c r="U163" s="484" t="str">
        <f>IFERROR(VLOOKUP(N163,'Thông số'!$B:$F,5,0),"")</f>
        <v/>
      </c>
    </row>
    <row r="164" ht="14.25" customHeight="1" spans="1:21">
      <c r="A164" s="494">
        <v>10</v>
      </c>
      <c r="B164" s="495" t="s">
        <v>1169</v>
      </c>
      <c r="C164" s="495" t="s">
        <v>1170</v>
      </c>
      <c r="D164" s="473" t="s">
        <v>1171</v>
      </c>
      <c r="E164" s="497"/>
      <c r="F164" s="495" t="s">
        <v>1288</v>
      </c>
      <c r="G164" s="495" t="s">
        <v>111</v>
      </c>
      <c r="H164" s="473" t="s">
        <v>6594</v>
      </c>
      <c r="I164" s="473" t="s">
        <v>1121</v>
      </c>
      <c r="J164" s="498">
        <v>45455</v>
      </c>
      <c r="K164" s="473" t="s">
        <v>1263</v>
      </c>
      <c r="L164" s="499">
        <v>1</v>
      </c>
      <c r="M164" s="501" t="s">
        <v>1172</v>
      </c>
      <c r="N164" s="473" t="s">
        <v>6595</v>
      </c>
      <c r="O164" s="495" t="s">
        <v>1019</v>
      </c>
      <c r="P164" s="495" t="s">
        <v>500</v>
      </c>
      <c r="Q164" s="473">
        <v>2024</v>
      </c>
      <c r="R164" s="473" t="s">
        <v>112</v>
      </c>
      <c r="S164" s="495" t="s">
        <v>1174</v>
      </c>
      <c r="T164" s="495" t="s">
        <v>1175</v>
      </c>
      <c r="U164" s="484" t="str">
        <f>IFERROR(VLOOKUP(N164,'Thông số'!$B:$F,5,0),"")</f>
        <v>5250 x 2170 x 2520</v>
      </c>
    </row>
    <row r="165" ht="14.25" customHeight="1" spans="1:21">
      <c r="A165" s="489">
        <v>11</v>
      </c>
      <c r="B165" s="490" t="s">
        <v>1176</v>
      </c>
      <c r="C165" s="490" t="s">
        <v>1177</v>
      </c>
      <c r="D165" s="470" t="s">
        <v>1178</v>
      </c>
      <c r="E165" s="491"/>
      <c r="F165" s="490" t="s">
        <v>3385</v>
      </c>
      <c r="G165" s="490" t="s">
        <v>111</v>
      </c>
      <c r="H165" s="470" t="s">
        <v>6594</v>
      </c>
      <c r="I165" s="470" t="s">
        <v>1121</v>
      </c>
      <c r="J165" s="492">
        <v>45455</v>
      </c>
      <c r="K165" s="470" t="s">
        <v>1126</v>
      </c>
      <c r="L165" s="493">
        <v>1</v>
      </c>
      <c r="M165" s="505" t="s">
        <v>1172</v>
      </c>
      <c r="N165" s="470" t="s">
        <v>6595</v>
      </c>
      <c r="O165" s="490" t="s">
        <v>1019</v>
      </c>
      <c r="P165" s="490" t="s">
        <v>500</v>
      </c>
      <c r="Q165" s="470">
        <v>2024</v>
      </c>
      <c r="R165" s="470" t="s">
        <v>112</v>
      </c>
      <c r="S165" s="490" t="s">
        <v>1179</v>
      </c>
      <c r="T165" s="490" t="s">
        <v>1180</v>
      </c>
      <c r="U165" s="484" t="str">
        <f>IFERROR(VLOOKUP(N165,'Thông số'!$B:$F,5,0),"")</f>
        <v>5250 x 2170 x 2520</v>
      </c>
    </row>
    <row r="166" ht="14.25" customHeight="1" spans="1:21">
      <c r="A166" s="489">
        <v>12</v>
      </c>
      <c r="B166" s="490" t="s">
        <v>1181</v>
      </c>
      <c r="C166" s="490" t="s">
        <v>1182</v>
      </c>
      <c r="D166" s="470" t="s">
        <v>1183</v>
      </c>
      <c r="E166" s="491"/>
      <c r="F166" s="490" t="s">
        <v>3386</v>
      </c>
      <c r="G166" s="490" t="s">
        <v>111</v>
      </c>
      <c r="H166" s="470" t="s">
        <v>6594</v>
      </c>
      <c r="I166" s="470" t="s">
        <v>1121</v>
      </c>
      <c r="J166" s="492">
        <v>45455</v>
      </c>
      <c r="K166" s="470" t="s">
        <v>1126</v>
      </c>
      <c r="L166" s="493">
        <v>1</v>
      </c>
      <c r="M166" s="505" t="s">
        <v>1172</v>
      </c>
      <c r="N166" s="470" t="s">
        <v>6595</v>
      </c>
      <c r="O166" s="490" t="s">
        <v>1019</v>
      </c>
      <c r="P166" s="490" t="s">
        <v>500</v>
      </c>
      <c r="Q166" s="470">
        <v>2024</v>
      </c>
      <c r="R166" s="470" t="s">
        <v>112</v>
      </c>
      <c r="S166" s="490" t="s">
        <v>1184</v>
      </c>
      <c r="T166" s="490" t="s">
        <v>1185</v>
      </c>
      <c r="U166" s="484" t="str">
        <f>IFERROR(VLOOKUP(N166,'Thông số'!$B:$F,5,0),"")</f>
        <v>5250 x 2170 x 2520</v>
      </c>
    </row>
    <row r="167" ht="14.25" customHeight="1" spans="1:21">
      <c r="A167" s="489">
        <v>13</v>
      </c>
      <c r="B167" s="490" t="s">
        <v>1186</v>
      </c>
      <c r="C167" s="490" t="s">
        <v>1187</v>
      </c>
      <c r="D167" s="470" t="s">
        <v>1188</v>
      </c>
      <c r="E167" s="491"/>
      <c r="F167" s="490" t="s">
        <v>3387</v>
      </c>
      <c r="G167" s="490" t="s">
        <v>111</v>
      </c>
      <c r="H167" s="470" t="s">
        <v>6594</v>
      </c>
      <c r="I167" s="470" t="s">
        <v>1121</v>
      </c>
      <c r="J167" s="492">
        <v>45455</v>
      </c>
      <c r="K167" s="470" t="s">
        <v>1126</v>
      </c>
      <c r="L167" s="493">
        <v>1</v>
      </c>
      <c r="M167" s="505" t="s">
        <v>1172</v>
      </c>
      <c r="N167" s="470" t="s">
        <v>6595</v>
      </c>
      <c r="O167" s="490" t="s">
        <v>1019</v>
      </c>
      <c r="P167" s="490" t="s">
        <v>500</v>
      </c>
      <c r="Q167" s="470">
        <v>2024</v>
      </c>
      <c r="R167" s="470" t="s">
        <v>112</v>
      </c>
      <c r="S167" s="490" t="s">
        <v>1189</v>
      </c>
      <c r="T167" s="490" t="s">
        <v>1190</v>
      </c>
      <c r="U167" s="484" t="str">
        <f>IFERROR(VLOOKUP(N167,'Thông số'!$B:$F,5,0),"")</f>
        <v>5250 x 2170 x 2520</v>
      </c>
    </row>
    <row r="168" ht="14.25" customHeight="1" spans="1:21">
      <c r="A168" s="494">
        <v>14</v>
      </c>
      <c r="B168" s="500" t="s">
        <v>1191</v>
      </c>
      <c r="C168" s="500" t="s">
        <v>1192</v>
      </c>
      <c r="D168" s="473" t="s">
        <v>3294</v>
      </c>
      <c r="E168" s="497"/>
      <c r="F168" s="495" t="s">
        <v>3294</v>
      </c>
      <c r="G168" s="495" t="s">
        <v>49</v>
      </c>
      <c r="H168" s="473" t="s">
        <v>6537</v>
      </c>
      <c r="I168" s="473" t="s">
        <v>1121</v>
      </c>
      <c r="J168" s="498">
        <v>45478</v>
      </c>
      <c r="K168" s="473" t="s">
        <v>1263</v>
      </c>
      <c r="L168" s="497"/>
      <c r="M168" s="501" t="s">
        <v>1193</v>
      </c>
      <c r="N168" s="497"/>
      <c r="O168" s="495" t="s">
        <v>480</v>
      </c>
      <c r="P168" s="495" t="s">
        <v>453</v>
      </c>
      <c r="Q168" s="473">
        <v>2006</v>
      </c>
      <c r="R168" s="473" t="s">
        <v>767</v>
      </c>
      <c r="S168" s="495">
        <v>5288</v>
      </c>
      <c r="T168" s="495" t="s">
        <v>462</v>
      </c>
      <c r="U168" s="484" t="str">
        <f>IFERROR(VLOOKUP(N168,'Thông số'!$B:$F,5,0),"")</f>
        <v/>
      </c>
    </row>
    <row r="169" ht="14.25" customHeight="1" spans="1:21">
      <c r="A169" s="494">
        <v>15</v>
      </c>
      <c r="B169" s="495" t="s">
        <v>1194</v>
      </c>
      <c r="C169" s="497"/>
      <c r="D169" s="473" t="s">
        <v>1195</v>
      </c>
      <c r="E169" s="497"/>
      <c r="F169" s="497"/>
      <c r="G169" s="495" t="s">
        <v>287</v>
      </c>
      <c r="H169" s="473" t="s">
        <v>3558</v>
      </c>
      <c r="I169" s="473" t="s">
        <v>1121</v>
      </c>
      <c r="J169" s="498">
        <v>45862</v>
      </c>
      <c r="K169" s="473" t="s">
        <v>1263</v>
      </c>
      <c r="L169" s="497"/>
      <c r="M169" s="504" t="s">
        <v>1146</v>
      </c>
      <c r="N169" s="473" t="s">
        <v>1198</v>
      </c>
      <c r="O169" s="495" t="s">
        <v>964</v>
      </c>
      <c r="P169" s="495" t="s">
        <v>1197</v>
      </c>
      <c r="Q169" s="473">
        <v>2022</v>
      </c>
      <c r="R169" s="473" t="s">
        <v>219</v>
      </c>
      <c r="S169" s="495">
        <v>203065</v>
      </c>
      <c r="T169" s="495" t="s">
        <v>1199</v>
      </c>
      <c r="U169" s="484" t="str">
        <f>IFERROR(VLOOKUP(N169,'Thông số'!$B:$F,5,0),"")</f>
        <v/>
      </c>
    </row>
    <row r="170" ht="14.25" customHeight="1" spans="1:21">
      <c r="A170" s="494">
        <v>16</v>
      </c>
      <c r="B170" s="495" t="s">
        <v>1200</v>
      </c>
      <c r="C170" s="497"/>
      <c r="D170" s="473" t="s">
        <v>1201</v>
      </c>
      <c r="E170" s="497"/>
      <c r="F170" s="497"/>
      <c r="G170" s="495" t="s">
        <v>287</v>
      </c>
      <c r="H170" s="473" t="s">
        <v>3558</v>
      </c>
      <c r="I170" s="473" t="s">
        <v>1121</v>
      </c>
      <c r="J170" s="498">
        <v>45862</v>
      </c>
      <c r="K170" s="473" t="s">
        <v>1263</v>
      </c>
      <c r="L170" s="497"/>
      <c r="M170" s="504" t="s">
        <v>1146</v>
      </c>
      <c r="N170" s="473" t="s">
        <v>1198</v>
      </c>
      <c r="O170" s="495" t="s">
        <v>964</v>
      </c>
      <c r="P170" s="495" t="s">
        <v>1197</v>
      </c>
      <c r="Q170" s="473">
        <v>2022</v>
      </c>
      <c r="R170" s="473" t="s">
        <v>219</v>
      </c>
      <c r="S170" s="495">
        <v>203175</v>
      </c>
      <c r="T170" s="495" t="s">
        <v>1202</v>
      </c>
      <c r="U170" s="484" t="str">
        <f>IFERROR(VLOOKUP(N170,'Thông số'!$B:$F,5,0),"")</f>
        <v/>
      </c>
    </row>
    <row r="171" ht="14.25" customHeight="1" spans="1:21">
      <c r="A171" s="494">
        <v>17</v>
      </c>
      <c r="B171" s="495" t="s">
        <v>1203</v>
      </c>
      <c r="C171" s="497"/>
      <c r="D171" s="473" t="s">
        <v>1204</v>
      </c>
      <c r="E171" s="497"/>
      <c r="F171" s="497"/>
      <c r="G171" s="495" t="s">
        <v>287</v>
      </c>
      <c r="H171" s="473" t="s">
        <v>3558</v>
      </c>
      <c r="I171" s="473" t="s">
        <v>1121</v>
      </c>
      <c r="J171" s="498">
        <v>45862</v>
      </c>
      <c r="K171" s="473" t="s">
        <v>1263</v>
      </c>
      <c r="L171" s="497"/>
      <c r="M171" s="504" t="s">
        <v>1146</v>
      </c>
      <c r="N171" s="473" t="s">
        <v>1198</v>
      </c>
      <c r="O171" s="495" t="s">
        <v>964</v>
      </c>
      <c r="P171" s="495" t="s">
        <v>1197</v>
      </c>
      <c r="Q171" s="473">
        <v>2022</v>
      </c>
      <c r="R171" s="473" t="s">
        <v>219</v>
      </c>
      <c r="S171" s="495">
        <v>203079</v>
      </c>
      <c r="T171" s="495" t="s">
        <v>1205</v>
      </c>
      <c r="U171" s="484" t="str">
        <f>IFERROR(VLOOKUP(N171,'Thông số'!$B:$F,5,0),"")</f>
        <v/>
      </c>
    </row>
    <row r="172" ht="14.25" customHeight="1" spans="1:21">
      <c r="A172" s="494">
        <v>18</v>
      </c>
      <c r="B172" s="495" t="s">
        <v>1206</v>
      </c>
      <c r="C172" s="497"/>
      <c r="D172" s="473" t="s">
        <v>1207</v>
      </c>
      <c r="E172" s="497"/>
      <c r="F172" s="497"/>
      <c r="G172" s="495" t="s">
        <v>287</v>
      </c>
      <c r="H172" s="473" t="s">
        <v>3558</v>
      </c>
      <c r="I172" s="473" t="s">
        <v>1121</v>
      </c>
      <c r="J172" s="498">
        <v>45862</v>
      </c>
      <c r="K172" s="473" t="s">
        <v>1263</v>
      </c>
      <c r="L172" s="497"/>
      <c r="M172" s="504" t="s">
        <v>1146</v>
      </c>
      <c r="N172" s="473" t="s">
        <v>1198</v>
      </c>
      <c r="O172" s="495" t="s">
        <v>964</v>
      </c>
      <c r="P172" s="495" t="s">
        <v>1197</v>
      </c>
      <c r="Q172" s="473">
        <v>2022</v>
      </c>
      <c r="R172" s="473" t="s">
        <v>219</v>
      </c>
      <c r="S172" s="495">
        <v>203080</v>
      </c>
      <c r="T172" s="495" t="s">
        <v>1208</v>
      </c>
      <c r="U172" s="484" t="str">
        <f>IFERROR(VLOOKUP(N172,'Thông số'!$B:$F,5,0),"")</f>
        <v/>
      </c>
    </row>
    <row r="173" ht="14.25" customHeight="1" spans="1:21">
      <c r="A173" s="494">
        <v>19</v>
      </c>
      <c r="B173" s="495" t="s">
        <v>1209</v>
      </c>
      <c r="C173" s="497"/>
      <c r="D173" s="473" t="s">
        <v>1210</v>
      </c>
      <c r="E173" s="497"/>
      <c r="F173" s="497"/>
      <c r="G173" s="495" t="s">
        <v>287</v>
      </c>
      <c r="H173" s="473" t="s">
        <v>3558</v>
      </c>
      <c r="I173" s="473" t="s">
        <v>1121</v>
      </c>
      <c r="J173" s="498">
        <v>45862</v>
      </c>
      <c r="K173" s="473" t="s">
        <v>1263</v>
      </c>
      <c r="L173" s="497"/>
      <c r="M173" s="504" t="s">
        <v>1146</v>
      </c>
      <c r="N173" s="473" t="s">
        <v>1198</v>
      </c>
      <c r="O173" s="495" t="s">
        <v>964</v>
      </c>
      <c r="P173" s="495" t="s">
        <v>1197</v>
      </c>
      <c r="Q173" s="473">
        <v>2022</v>
      </c>
      <c r="R173" s="473" t="s">
        <v>219</v>
      </c>
      <c r="S173" s="495">
        <v>203082</v>
      </c>
      <c r="T173" s="495" t="s">
        <v>1211</v>
      </c>
      <c r="U173" s="484" t="str">
        <f>IFERROR(VLOOKUP(N173,'Thông số'!$B:$F,5,0),"")</f>
        <v/>
      </c>
    </row>
    <row r="174" ht="14.25" customHeight="1" spans="1:21">
      <c r="A174" s="489">
        <v>20</v>
      </c>
      <c r="B174" s="490" t="s">
        <v>1212</v>
      </c>
      <c r="C174" s="491"/>
      <c r="D174" s="470" t="s">
        <v>6596</v>
      </c>
      <c r="E174" s="491"/>
      <c r="F174" s="491"/>
      <c r="G174" s="490" t="s">
        <v>282</v>
      </c>
      <c r="H174" s="470" t="s">
        <v>3530</v>
      </c>
      <c r="I174" s="470" t="s">
        <v>1121</v>
      </c>
      <c r="J174" s="492">
        <v>45503</v>
      </c>
      <c r="K174" s="470" t="s">
        <v>1126</v>
      </c>
      <c r="L174" s="493">
        <v>0.7</v>
      </c>
      <c r="M174" s="505" t="s">
        <v>6597</v>
      </c>
      <c r="N174" s="470" t="s">
        <v>1216</v>
      </c>
      <c r="O174" s="490" t="s">
        <v>964</v>
      </c>
      <c r="P174" s="490" t="s">
        <v>1215</v>
      </c>
      <c r="Q174" s="491"/>
      <c r="R174" s="470" t="s">
        <v>272</v>
      </c>
      <c r="S174" s="490" t="s">
        <v>1217</v>
      </c>
      <c r="T174" s="490" t="s">
        <v>1218</v>
      </c>
      <c r="U174" s="484" t="str">
        <f>IFERROR(VLOOKUP(N174,'Thông số'!$B:$F,5,0),"")</f>
        <v/>
      </c>
    </row>
    <row r="175" ht="14.25" customHeight="1" spans="1:21">
      <c r="A175" s="494">
        <v>21</v>
      </c>
      <c r="B175" s="500" t="s">
        <v>3188</v>
      </c>
      <c r="C175" s="502"/>
      <c r="D175" s="474" t="s">
        <v>3189</v>
      </c>
      <c r="E175" s="502"/>
      <c r="F175" s="502"/>
      <c r="G175" s="495" t="s">
        <v>276</v>
      </c>
      <c r="H175" s="473" t="s">
        <v>3530</v>
      </c>
      <c r="I175" s="473" t="s">
        <v>1121</v>
      </c>
      <c r="J175" s="503">
        <v>45647</v>
      </c>
      <c r="K175" s="473" t="s">
        <v>1263</v>
      </c>
      <c r="L175" s="502"/>
      <c r="M175" s="504" t="s">
        <v>1146</v>
      </c>
      <c r="N175" s="474" t="s">
        <v>3150</v>
      </c>
      <c r="O175" s="500" t="s">
        <v>3143</v>
      </c>
      <c r="P175" s="500" t="s">
        <v>3144</v>
      </c>
      <c r="Q175" s="474">
        <v>2024</v>
      </c>
      <c r="R175" s="474" t="s">
        <v>286</v>
      </c>
      <c r="S175" s="500" t="s">
        <v>462</v>
      </c>
      <c r="T175" s="500" t="s">
        <v>462</v>
      </c>
      <c r="U175" s="484" t="str">
        <f>IFERROR(VLOOKUP(N175,'Thông số'!$B:$F,5,0),"")</f>
        <v/>
      </c>
    </row>
    <row r="176" ht="14.25" customHeight="1" spans="1:21">
      <c r="A176" s="494">
        <v>22</v>
      </c>
      <c r="B176" s="500" t="s">
        <v>3190</v>
      </c>
      <c r="C176" s="502"/>
      <c r="D176" s="474" t="s">
        <v>3191</v>
      </c>
      <c r="E176" s="502"/>
      <c r="F176" s="502"/>
      <c r="G176" s="495" t="s">
        <v>276</v>
      </c>
      <c r="H176" s="473" t="s">
        <v>3530</v>
      </c>
      <c r="I176" s="473" t="s">
        <v>1121</v>
      </c>
      <c r="J176" s="503">
        <v>45647</v>
      </c>
      <c r="K176" s="473" t="s">
        <v>1263</v>
      </c>
      <c r="L176" s="502"/>
      <c r="M176" s="504" t="s">
        <v>1146</v>
      </c>
      <c r="N176" s="474" t="s">
        <v>3150</v>
      </c>
      <c r="O176" s="500" t="s">
        <v>3143</v>
      </c>
      <c r="P176" s="500" t="s">
        <v>3144</v>
      </c>
      <c r="Q176" s="474">
        <v>2024</v>
      </c>
      <c r="R176" s="474" t="s">
        <v>286</v>
      </c>
      <c r="S176" s="500" t="s">
        <v>462</v>
      </c>
      <c r="T176" s="500" t="s">
        <v>462</v>
      </c>
      <c r="U176" s="484" t="str">
        <f>IFERROR(VLOOKUP(N176,'Thông số'!$B:$F,5,0),"")</f>
        <v/>
      </c>
    </row>
    <row r="177" ht="14.25" customHeight="1" spans="1:21">
      <c r="A177" s="494">
        <v>23</v>
      </c>
      <c r="B177" s="500" t="s">
        <v>1219</v>
      </c>
      <c r="C177" s="502"/>
      <c r="D177" s="474" t="s">
        <v>1220</v>
      </c>
      <c r="E177" s="502"/>
      <c r="F177" s="502"/>
      <c r="G177" s="495" t="s">
        <v>280</v>
      </c>
      <c r="H177" s="473" t="s">
        <v>3530</v>
      </c>
      <c r="I177" s="473" t="s">
        <v>1121</v>
      </c>
      <c r="J177" s="503">
        <v>45680</v>
      </c>
      <c r="K177" s="473" t="s">
        <v>1263</v>
      </c>
      <c r="L177" s="502"/>
      <c r="M177" s="504" t="s">
        <v>1146</v>
      </c>
      <c r="N177" s="474" t="s">
        <v>1224</v>
      </c>
      <c r="O177" s="500" t="s">
        <v>1222</v>
      </c>
      <c r="P177" s="500" t="s">
        <v>1223</v>
      </c>
      <c r="Q177" s="502"/>
      <c r="R177" s="474" t="s">
        <v>281</v>
      </c>
      <c r="S177" s="500">
        <v>341</v>
      </c>
      <c r="T177" s="500" t="s">
        <v>1225</v>
      </c>
      <c r="U177" s="484" t="str">
        <f>IFERROR(VLOOKUP(N177,'Thông số'!$B:$F,5,0),"")</f>
        <v/>
      </c>
    </row>
    <row r="178" ht="14.25" customHeight="1" spans="1:21">
      <c r="A178" s="494">
        <v>24</v>
      </c>
      <c r="B178" s="500" t="s">
        <v>1226</v>
      </c>
      <c r="C178" s="502"/>
      <c r="D178" s="474" t="s">
        <v>1227</v>
      </c>
      <c r="E178" s="502"/>
      <c r="F178" s="502"/>
      <c r="G178" s="500" t="s">
        <v>283</v>
      </c>
      <c r="H178" s="473" t="s">
        <v>3530</v>
      </c>
      <c r="I178" s="473" t="s">
        <v>1121</v>
      </c>
      <c r="J178" s="503">
        <v>45833</v>
      </c>
      <c r="K178" s="473" t="s">
        <v>1263</v>
      </c>
      <c r="L178" s="502"/>
      <c r="M178" s="501" t="s">
        <v>1146</v>
      </c>
      <c r="N178" s="474" t="s">
        <v>1230</v>
      </c>
      <c r="O178" s="500" t="s">
        <v>1229</v>
      </c>
      <c r="P178" s="500" t="s">
        <v>500</v>
      </c>
      <c r="Q178" s="474">
        <v>2025</v>
      </c>
      <c r="R178" s="474" t="s">
        <v>272</v>
      </c>
      <c r="S178" s="500" t="s">
        <v>1231</v>
      </c>
      <c r="T178" s="500" t="s">
        <v>1232</v>
      </c>
      <c r="U178" s="484" t="str">
        <f>IFERROR(VLOOKUP(N178,'Thông số'!$B:$F,5,0),"")</f>
        <v/>
      </c>
    </row>
    <row r="179" ht="14.25" customHeight="1" spans="1:21">
      <c r="A179" s="494">
        <v>25</v>
      </c>
      <c r="B179" s="500" t="s">
        <v>1233</v>
      </c>
      <c r="C179" s="502"/>
      <c r="D179" s="474" t="s">
        <v>1234</v>
      </c>
      <c r="E179" s="502"/>
      <c r="F179" s="502"/>
      <c r="G179" s="500" t="s">
        <v>283</v>
      </c>
      <c r="H179" s="473" t="s">
        <v>3530</v>
      </c>
      <c r="I179" s="473" t="s">
        <v>1121</v>
      </c>
      <c r="J179" s="503">
        <v>45833</v>
      </c>
      <c r="K179" s="473" t="s">
        <v>1263</v>
      </c>
      <c r="L179" s="502"/>
      <c r="M179" s="501" t="s">
        <v>1146</v>
      </c>
      <c r="N179" s="474" t="s">
        <v>1230</v>
      </c>
      <c r="O179" s="500" t="s">
        <v>1229</v>
      </c>
      <c r="P179" s="500" t="s">
        <v>500</v>
      </c>
      <c r="Q179" s="474">
        <v>2025</v>
      </c>
      <c r="R179" s="474" t="s">
        <v>272</v>
      </c>
      <c r="S179" s="500" t="s">
        <v>1235</v>
      </c>
      <c r="T179" s="500" t="s">
        <v>1236</v>
      </c>
      <c r="U179" s="484" t="str">
        <f>IFERROR(VLOOKUP(N179,'Thông số'!$B:$F,5,0),"")</f>
        <v/>
      </c>
    </row>
    <row r="180" ht="14.25" customHeight="1" spans="1:21">
      <c r="A180" s="494">
        <v>26</v>
      </c>
      <c r="B180" s="500" t="s">
        <v>1237</v>
      </c>
      <c r="C180" s="502"/>
      <c r="D180" s="474" t="s">
        <v>1238</v>
      </c>
      <c r="E180" s="502"/>
      <c r="F180" s="502"/>
      <c r="G180" s="500" t="s">
        <v>283</v>
      </c>
      <c r="H180" s="473" t="s">
        <v>3530</v>
      </c>
      <c r="I180" s="473" t="s">
        <v>1121</v>
      </c>
      <c r="J180" s="503">
        <v>45833</v>
      </c>
      <c r="K180" s="473" t="s">
        <v>1263</v>
      </c>
      <c r="L180" s="502"/>
      <c r="M180" s="501" t="s">
        <v>1146</v>
      </c>
      <c r="N180" s="474" t="s">
        <v>1230</v>
      </c>
      <c r="O180" s="500" t="s">
        <v>1229</v>
      </c>
      <c r="P180" s="500" t="s">
        <v>500</v>
      </c>
      <c r="Q180" s="474">
        <v>2025</v>
      </c>
      <c r="R180" s="474" t="s">
        <v>272</v>
      </c>
      <c r="S180" s="500" t="s">
        <v>1239</v>
      </c>
      <c r="T180" s="500" t="s">
        <v>1240</v>
      </c>
      <c r="U180" s="484" t="str">
        <f>IFERROR(VLOOKUP(N180,'Thông số'!$B:$F,5,0),"")</f>
        <v/>
      </c>
    </row>
    <row r="181" ht="14.25" customHeight="1" spans="1:21">
      <c r="A181" s="494">
        <v>27</v>
      </c>
      <c r="B181" s="500" t="s">
        <v>1241</v>
      </c>
      <c r="C181" s="502"/>
      <c r="D181" s="474" t="s">
        <v>1242</v>
      </c>
      <c r="E181" s="502"/>
      <c r="F181" s="502"/>
      <c r="G181" s="500" t="s">
        <v>283</v>
      </c>
      <c r="H181" s="473" t="s">
        <v>3530</v>
      </c>
      <c r="I181" s="473" t="s">
        <v>1121</v>
      </c>
      <c r="J181" s="503">
        <v>45833</v>
      </c>
      <c r="K181" s="473" t="s">
        <v>1263</v>
      </c>
      <c r="L181" s="502"/>
      <c r="M181" s="501" t="s">
        <v>1146</v>
      </c>
      <c r="N181" s="474" t="s">
        <v>1230</v>
      </c>
      <c r="O181" s="500" t="s">
        <v>1229</v>
      </c>
      <c r="P181" s="500" t="s">
        <v>500</v>
      </c>
      <c r="Q181" s="474">
        <v>2025</v>
      </c>
      <c r="R181" s="474" t="s">
        <v>272</v>
      </c>
      <c r="S181" s="500" t="s">
        <v>1243</v>
      </c>
      <c r="T181" s="500" t="s">
        <v>1244</v>
      </c>
      <c r="U181" s="484" t="str">
        <f>IFERROR(VLOOKUP(N181,'Thông số'!$B:$F,5,0),"")</f>
        <v/>
      </c>
    </row>
    <row r="182" ht="14.25" customHeight="1" spans="1:21">
      <c r="A182" s="485" t="s">
        <v>1246</v>
      </c>
      <c r="B182" s="486" t="s">
        <v>1247</v>
      </c>
      <c r="C182" s="487">
        <v>25</v>
      </c>
      <c r="D182" s="488"/>
      <c r="E182" s="488"/>
      <c r="F182" s="488"/>
      <c r="G182" s="488"/>
      <c r="H182" s="497"/>
      <c r="I182" s="488"/>
      <c r="J182" s="488"/>
      <c r="K182" s="488"/>
      <c r="L182" s="488"/>
      <c r="M182" s="488"/>
      <c r="N182" s="488"/>
      <c r="O182" s="488"/>
      <c r="P182" s="488"/>
      <c r="Q182" s="488"/>
      <c r="R182" s="488"/>
      <c r="S182" s="488"/>
      <c r="T182" s="488"/>
      <c r="U182" s="484" t="str">
        <f>IFERROR(VLOOKUP(N182,'Thông số'!$B:$F,5,0),"")</f>
        <v/>
      </c>
    </row>
    <row r="183" ht="14.25" customHeight="1" spans="1:21">
      <c r="A183" s="494">
        <v>1</v>
      </c>
      <c r="B183" s="495" t="s">
        <v>1248</v>
      </c>
      <c r="C183" s="495" t="s">
        <v>1249</v>
      </c>
      <c r="D183" s="473" t="s">
        <v>6598</v>
      </c>
      <c r="E183" s="497"/>
      <c r="F183" s="495" t="s">
        <v>3089</v>
      </c>
      <c r="G183" s="495" t="s">
        <v>207</v>
      </c>
      <c r="H183" s="473" t="s">
        <v>6574</v>
      </c>
      <c r="I183" s="473" t="s">
        <v>1250</v>
      </c>
      <c r="J183" s="497"/>
      <c r="K183" s="473" t="s">
        <v>1263</v>
      </c>
      <c r="L183" s="497"/>
      <c r="M183" s="497"/>
      <c r="N183" s="473" t="s">
        <v>1064</v>
      </c>
      <c r="O183" s="495" t="s">
        <v>759</v>
      </c>
      <c r="P183" s="495" t="s">
        <v>453</v>
      </c>
      <c r="Q183" s="473">
        <v>2013</v>
      </c>
      <c r="R183" s="473" t="s">
        <v>208</v>
      </c>
      <c r="S183" s="495">
        <v>57646</v>
      </c>
      <c r="T183" s="495" t="s">
        <v>462</v>
      </c>
      <c r="U183" s="484" t="str">
        <f>IFERROR(VLOOKUP(N183,'Thông số'!$B:$F,5,0),"")</f>
        <v>3445 x 1865 x 2535</v>
      </c>
    </row>
    <row r="184" ht="14.25" customHeight="1" spans="1:21">
      <c r="A184" s="494">
        <v>2</v>
      </c>
      <c r="B184" s="495" t="s">
        <v>1251</v>
      </c>
      <c r="C184" s="495" t="s">
        <v>1252</v>
      </c>
      <c r="D184" s="473" t="s">
        <v>6599</v>
      </c>
      <c r="E184" s="497"/>
      <c r="F184" s="495" t="s">
        <v>3089</v>
      </c>
      <c r="G184" s="495" t="s">
        <v>207</v>
      </c>
      <c r="H184" s="473" t="s">
        <v>6574</v>
      </c>
      <c r="I184" s="473" t="s">
        <v>1250</v>
      </c>
      <c r="J184" s="497"/>
      <c r="K184" s="473" t="s">
        <v>1263</v>
      </c>
      <c r="L184" s="497"/>
      <c r="M184" s="497"/>
      <c r="N184" s="473" t="s">
        <v>1064</v>
      </c>
      <c r="O184" s="495" t="s">
        <v>759</v>
      </c>
      <c r="P184" s="495" t="s">
        <v>453</v>
      </c>
      <c r="Q184" s="473">
        <v>2013</v>
      </c>
      <c r="R184" s="473" t="s">
        <v>208</v>
      </c>
      <c r="S184" s="495">
        <v>56797</v>
      </c>
      <c r="T184" s="495" t="s">
        <v>462</v>
      </c>
      <c r="U184" s="484" t="str">
        <f>IFERROR(VLOOKUP(N184,'Thông số'!$B:$F,5,0),"")</f>
        <v>3445 x 1865 x 2535</v>
      </c>
    </row>
    <row r="185" ht="14.25" customHeight="1" spans="1:21">
      <c r="A185" s="494">
        <v>3</v>
      </c>
      <c r="B185" s="500" t="s">
        <v>1253</v>
      </c>
      <c r="C185" s="500" t="s">
        <v>1254</v>
      </c>
      <c r="D185" s="473" t="s">
        <v>6600</v>
      </c>
      <c r="E185" s="502"/>
      <c r="F185" s="500" t="s">
        <v>1980</v>
      </c>
      <c r="G185" s="495" t="s">
        <v>197</v>
      </c>
      <c r="H185" s="473" t="s">
        <v>6574</v>
      </c>
      <c r="I185" s="474" t="s">
        <v>1250</v>
      </c>
      <c r="J185" s="502"/>
      <c r="K185" s="473" t="s">
        <v>1263</v>
      </c>
      <c r="L185" s="502"/>
      <c r="M185" s="502"/>
      <c r="N185" s="474" t="s">
        <v>1122</v>
      </c>
      <c r="O185" s="500" t="s">
        <v>1019</v>
      </c>
      <c r="P185" s="500" t="s">
        <v>500</v>
      </c>
      <c r="Q185" s="474">
        <v>2018</v>
      </c>
      <c r="R185" s="474" t="s">
        <v>128</v>
      </c>
      <c r="S185" s="500" t="s">
        <v>1255</v>
      </c>
      <c r="T185" s="500" t="s">
        <v>462</v>
      </c>
      <c r="U185" s="484" t="str">
        <f>IFERROR(VLOOKUP(N185,'Thông số'!$B:$F,5,0),"")</f>
        <v>3226 x 1570 x 1545</v>
      </c>
    </row>
    <row r="186" ht="14.25" customHeight="1" spans="1:21">
      <c r="A186" s="489">
        <v>4</v>
      </c>
      <c r="B186" s="490" t="s">
        <v>1256</v>
      </c>
      <c r="C186" s="490" t="s">
        <v>1257</v>
      </c>
      <c r="D186" s="470" t="s">
        <v>6601</v>
      </c>
      <c r="E186" s="491"/>
      <c r="F186" s="490" t="s">
        <v>1980</v>
      </c>
      <c r="G186" s="490" t="s">
        <v>197</v>
      </c>
      <c r="H186" s="470" t="s">
        <v>6574</v>
      </c>
      <c r="I186" s="470" t="s">
        <v>1250</v>
      </c>
      <c r="J186" s="491"/>
      <c r="K186" s="470" t="s">
        <v>1126</v>
      </c>
      <c r="L186" s="491"/>
      <c r="M186" s="491"/>
      <c r="N186" s="470" t="s">
        <v>1122</v>
      </c>
      <c r="O186" s="490" t="s">
        <v>1019</v>
      </c>
      <c r="P186" s="490" t="s">
        <v>500</v>
      </c>
      <c r="Q186" s="470">
        <v>2018</v>
      </c>
      <c r="R186" s="470" t="s">
        <v>128</v>
      </c>
      <c r="S186" s="490" t="s">
        <v>1258</v>
      </c>
      <c r="T186" s="490" t="s">
        <v>462</v>
      </c>
      <c r="U186" s="484" t="str">
        <f>IFERROR(VLOOKUP(N186,'Thông số'!$B:$F,5,0),"")</f>
        <v>3226 x 1570 x 1545</v>
      </c>
    </row>
    <row r="187" ht="14.25" customHeight="1" spans="1:21">
      <c r="A187" s="489">
        <v>5</v>
      </c>
      <c r="B187" s="490" t="s">
        <v>1265</v>
      </c>
      <c r="C187" s="490" t="s">
        <v>1266</v>
      </c>
      <c r="D187" s="470" t="s">
        <v>6602</v>
      </c>
      <c r="E187" s="491"/>
      <c r="F187" s="491"/>
      <c r="G187" s="490" t="s">
        <v>226</v>
      </c>
      <c r="H187" s="470" t="s">
        <v>3454</v>
      </c>
      <c r="I187" s="470" t="s">
        <v>1250</v>
      </c>
      <c r="J187" s="491"/>
      <c r="K187" s="470" t="s">
        <v>1126</v>
      </c>
      <c r="L187" s="491"/>
      <c r="M187" s="491"/>
      <c r="N187" s="470" t="s">
        <v>1268</v>
      </c>
      <c r="O187" s="490" t="s">
        <v>1267</v>
      </c>
      <c r="P187" s="490" t="s">
        <v>465</v>
      </c>
      <c r="Q187" s="470">
        <v>1992</v>
      </c>
      <c r="R187" s="491"/>
      <c r="S187" s="490" t="s">
        <v>1269</v>
      </c>
      <c r="T187" s="490" t="s">
        <v>1270</v>
      </c>
      <c r="U187" s="484" t="str">
        <f>IFERROR(VLOOKUP(N187,'Thông số'!$B:$F,5,0),"")</f>
        <v/>
      </c>
    </row>
    <row r="188" ht="14.25" customHeight="1" spans="1:21">
      <c r="A188" s="489">
        <v>6</v>
      </c>
      <c r="B188" s="490" t="s">
        <v>1271</v>
      </c>
      <c r="C188" s="490" t="s">
        <v>1272</v>
      </c>
      <c r="D188" s="470" t="s">
        <v>3295</v>
      </c>
      <c r="E188" s="491"/>
      <c r="F188" s="490" t="s">
        <v>3295</v>
      </c>
      <c r="G188" s="490" t="s">
        <v>49</v>
      </c>
      <c r="H188" s="470" t="s">
        <v>6537</v>
      </c>
      <c r="I188" s="470" t="s">
        <v>1250</v>
      </c>
      <c r="J188" s="491"/>
      <c r="K188" s="470" t="s">
        <v>1126</v>
      </c>
      <c r="L188" s="491"/>
      <c r="M188" s="491"/>
      <c r="N188" s="491"/>
      <c r="O188" s="490" t="s">
        <v>480</v>
      </c>
      <c r="P188" s="490" t="s">
        <v>453</v>
      </c>
      <c r="Q188" s="470">
        <v>2006</v>
      </c>
      <c r="R188" s="470" t="s">
        <v>767</v>
      </c>
      <c r="S188" s="490">
        <v>8332</v>
      </c>
      <c r="T188" s="490" t="s">
        <v>462</v>
      </c>
      <c r="U188" s="484" t="str">
        <f>IFERROR(VLOOKUP(N188,'Thông số'!$B:$F,5,0),"")</f>
        <v/>
      </c>
    </row>
    <row r="189" ht="14.25" customHeight="1" spans="1:21">
      <c r="A189" s="494">
        <v>7</v>
      </c>
      <c r="B189" s="495" t="s">
        <v>1273</v>
      </c>
      <c r="C189" s="497"/>
      <c r="D189" s="473" t="s">
        <v>3458</v>
      </c>
      <c r="E189" s="473" t="s">
        <v>1274</v>
      </c>
      <c r="F189" s="495" t="s">
        <v>3458</v>
      </c>
      <c r="G189" s="495" t="s">
        <v>251</v>
      </c>
      <c r="H189" s="497"/>
      <c r="I189" s="473" t="s">
        <v>1250</v>
      </c>
      <c r="J189" s="498">
        <v>45301</v>
      </c>
      <c r="K189" s="473" t="s">
        <v>1263</v>
      </c>
      <c r="L189" s="499">
        <v>0.98</v>
      </c>
      <c r="M189" s="497"/>
      <c r="N189" s="473" t="s">
        <v>1153</v>
      </c>
      <c r="O189" s="495" t="s">
        <v>1152</v>
      </c>
      <c r="P189" s="495" t="s">
        <v>500</v>
      </c>
      <c r="Q189" s="473">
        <v>2021</v>
      </c>
      <c r="R189" s="473" t="s">
        <v>44</v>
      </c>
      <c r="S189" s="495" t="s">
        <v>1276</v>
      </c>
      <c r="T189" s="495" t="s">
        <v>1277</v>
      </c>
      <c r="U189" s="484" t="str">
        <f>IFERROR(VLOOKUP(N189,'Thông số'!$B:$F,5,0),"")</f>
        <v>4730 x 1750 x 2100</v>
      </c>
    </row>
    <row r="190" ht="14.25" customHeight="1" spans="1:21">
      <c r="A190" s="489">
        <v>8</v>
      </c>
      <c r="B190" s="490" t="s">
        <v>1278</v>
      </c>
      <c r="C190" s="490" t="s">
        <v>504</v>
      </c>
      <c r="D190" s="470" t="s">
        <v>6603</v>
      </c>
      <c r="E190" s="491"/>
      <c r="F190" s="491"/>
      <c r="G190" s="490" t="s">
        <v>111</v>
      </c>
      <c r="H190" s="470" t="s">
        <v>6594</v>
      </c>
      <c r="I190" s="470" t="s">
        <v>1250</v>
      </c>
      <c r="J190" s="492">
        <v>45503</v>
      </c>
      <c r="K190" s="470" t="s">
        <v>1126</v>
      </c>
      <c r="L190" s="491"/>
      <c r="M190" s="505" t="s">
        <v>6604</v>
      </c>
      <c r="N190" s="470" t="s">
        <v>6595</v>
      </c>
      <c r="O190" s="490" t="s">
        <v>771</v>
      </c>
      <c r="P190" s="490" t="s">
        <v>943</v>
      </c>
      <c r="Q190" s="470">
        <v>2024</v>
      </c>
      <c r="R190" s="470" t="s">
        <v>112</v>
      </c>
      <c r="S190" s="490" t="s">
        <v>1280</v>
      </c>
      <c r="T190" s="490" t="s">
        <v>1281</v>
      </c>
      <c r="U190" s="484" t="str">
        <f>IFERROR(VLOOKUP(N190,'Thông số'!$B:$F,5,0),"")</f>
        <v>5250 x 2170 x 2520</v>
      </c>
    </row>
    <row r="191" ht="14.25" customHeight="1" spans="1:21">
      <c r="A191" s="489">
        <v>9</v>
      </c>
      <c r="B191" s="490" t="s">
        <v>1282</v>
      </c>
      <c r="C191" s="490" t="s">
        <v>504</v>
      </c>
      <c r="D191" s="470" t="s">
        <v>6605</v>
      </c>
      <c r="E191" s="491"/>
      <c r="F191" s="491"/>
      <c r="G191" s="490" t="s">
        <v>111</v>
      </c>
      <c r="H191" s="470" t="s">
        <v>6594</v>
      </c>
      <c r="I191" s="470" t="s">
        <v>1250</v>
      </c>
      <c r="J191" s="492">
        <v>45503</v>
      </c>
      <c r="K191" s="470" t="s">
        <v>1126</v>
      </c>
      <c r="L191" s="491"/>
      <c r="M191" s="505" t="s">
        <v>1283</v>
      </c>
      <c r="N191" s="470" t="s">
        <v>6595</v>
      </c>
      <c r="O191" s="490" t="s">
        <v>771</v>
      </c>
      <c r="P191" s="490" t="s">
        <v>943</v>
      </c>
      <c r="Q191" s="470">
        <v>2024</v>
      </c>
      <c r="R191" s="470" t="s">
        <v>112</v>
      </c>
      <c r="S191" s="490" t="s">
        <v>1284</v>
      </c>
      <c r="T191" s="490" t="s">
        <v>1285</v>
      </c>
      <c r="U191" s="484" t="str">
        <f>IFERROR(VLOOKUP(N191,'Thông số'!$B:$F,5,0),"")</f>
        <v>5250 x 2170 x 2520</v>
      </c>
    </row>
    <row r="192" ht="14.25" customHeight="1" spans="1:21">
      <c r="A192" s="489">
        <v>10</v>
      </c>
      <c r="B192" s="490" t="s">
        <v>1286</v>
      </c>
      <c r="C192" s="490" t="s">
        <v>1287</v>
      </c>
      <c r="D192" s="470" t="s">
        <v>1288</v>
      </c>
      <c r="E192" s="491"/>
      <c r="F192" s="491"/>
      <c r="G192" s="490" t="s">
        <v>111</v>
      </c>
      <c r="H192" s="470" t="s">
        <v>6594</v>
      </c>
      <c r="I192" s="470" t="s">
        <v>1250</v>
      </c>
      <c r="J192" s="492">
        <v>45392</v>
      </c>
      <c r="K192" s="470" t="s">
        <v>1126</v>
      </c>
      <c r="L192" s="491"/>
      <c r="M192" s="505" t="s">
        <v>1289</v>
      </c>
      <c r="N192" s="470" t="s">
        <v>6595</v>
      </c>
      <c r="O192" s="490" t="s">
        <v>621</v>
      </c>
      <c r="P192" s="490" t="s">
        <v>500</v>
      </c>
      <c r="Q192" s="470">
        <v>2023</v>
      </c>
      <c r="R192" s="470" t="s">
        <v>124</v>
      </c>
      <c r="S192" s="490" t="s">
        <v>1290</v>
      </c>
      <c r="T192" s="490" t="s">
        <v>1291</v>
      </c>
      <c r="U192" s="484" t="str">
        <f>IFERROR(VLOOKUP(N192,'Thông số'!$B:$F,5,0),"")</f>
        <v>5250 x 2170 x 2520</v>
      </c>
    </row>
    <row r="193" ht="14.25" customHeight="1" spans="1:21">
      <c r="A193" s="494">
        <v>11</v>
      </c>
      <c r="B193" s="500" t="s">
        <v>1292</v>
      </c>
      <c r="C193" s="502"/>
      <c r="D193" s="473" t="s">
        <v>1293</v>
      </c>
      <c r="E193" s="502"/>
      <c r="F193" s="502"/>
      <c r="G193" s="495" t="s">
        <v>117</v>
      </c>
      <c r="H193" s="497"/>
      <c r="I193" s="474" t="s">
        <v>1250</v>
      </c>
      <c r="J193" s="503">
        <v>46027</v>
      </c>
      <c r="K193" s="473" t="s">
        <v>1263</v>
      </c>
      <c r="L193" s="502"/>
      <c r="M193" s="504" t="s">
        <v>1146</v>
      </c>
      <c r="N193" s="474" t="s">
        <v>956</v>
      </c>
      <c r="O193" s="500" t="s">
        <v>954</v>
      </c>
      <c r="P193" s="500" t="s">
        <v>955</v>
      </c>
      <c r="Q193" s="474">
        <v>2024</v>
      </c>
      <c r="R193" s="474" t="s">
        <v>118</v>
      </c>
      <c r="S193" s="500" t="s">
        <v>1294</v>
      </c>
      <c r="T193" s="500" t="s">
        <v>1295</v>
      </c>
      <c r="U193" s="484" t="str">
        <f>IFERROR(VLOOKUP(N193,'Thông số'!$B:$F,5,0),"")</f>
        <v>6380 x 2040 x 2300</v>
      </c>
    </row>
    <row r="194" ht="14.25" customHeight="1" spans="1:21">
      <c r="A194" s="494">
        <v>12</v>
      </c>
      <c r="B194" s="500" t="s">
        <v>1296</v>
      </c>
      <c r="C194" s="502"/>
      <c r="D194" s="473" t="s">
        <v>1297</v>
      </c>
      <c r="E194" s="502"/>
      <c r="F194" s="502"/>
      <c r="G194" s="495" t="s">
        <v>6606</v>
      </c>
      <c r="H194" s="497"/>
      <c r="I194" s="474" t="s">
        <v>1250</v>
      </c>
      <c r="J194" s="503">
        <v>45996</v>
      </c>
      <c r="K194" s="473" t="s">
        <v>1263</v>
      </c>
      <c r="L194" s="502"/>
      <c r="M194" s="504" t="s">
        <v>1146</v>
      </c>
      <c r="N194" s="474" t="s">
        <v>1147</v>
      </c>
      <c r="O194" s="500" t="s">
        <v>1015</v>
      </c>
      <c r="P194" s="500" t="s">
        <v>590</v>
      </c>
      <c r="Q194" s="474">
        <v>2025</v>
      </c>
      <c r="R194" s="474" t="s">
        <v>1298</v>
      </c>
      <c r="S194" s="500" t="s">
        <v>1299</v>
      </c>
      <c r="T194" s="500" t="s">
        <v>1300</v>
      </c>
      <c r="U194" s="484" t="str">
        <f>IFERROR(VLOOKUP(N194,'Thông số'!$B:$F,5,0),"")</f>
        <v/>
      </c>
    </row>
    <row r="195" ht="14.25" customHeight="1" spans="1:21">
      <c r="A195" s="494">
        <v>13</v>
      </c>
      <c r="B195" s="500" t="s">
        <v>1306</v>
      </c>
      <c r="C195" s="502"/>
      <c r="D195" s="473" t="s">
        <v>1307</v>
      </c>
      <c r="E195" s="502"/>
      <c r="F195" s="502"/>
      <c r="G195" s="495" t="s">
        <v>287</v>
      </c>
      <c r="H195" s="473" t="s">
        <v>3558</v>
      </c>
      <c r="I195" s="474" t="s">
        <v>1250</v>
      </c>
      <c r="J195" s="503">
        <v>45862</v>
      </c>
      <c r="K195" s="473" t="s">
        <v>1263</v>
      </c>
      <c r="L195" s="502"/>
      <c r="M195" s="504" t="s">
        <v>1146</v>
      </c>
      <c r="N195" s="474" t="s">
        <v>1198</v>
      </c>
      <c r="O195" s="500" t="s">
        <v>964</v>
      </c>
      <c r="P195" s="500" t="s">
        <v>1197</v>
      </c>
      <c r="Q195" s="474">
        <v>2022</v>
      </c>
      <c r="R195" s="474" t="s">
        <v>219</v>
      </c>
      <c r="S195" s="500">
        <v>203050</v>
      </c>
      <c r="T195" s="500" t="s">
        <v>1308</v>
      </c>
      <c r="U195" s="484" t="str">
        <f>IFERROR(VLOOKUP(N195,'Thông số'!$B:$F,5,0),"")</f>
        <v/>
      </c>
    </row>
    <row r="196" ht="14.25" customHeight="1" spans="1:21">
      <c r="A196" s="494">
        <v>14</v>
      </c>
      <c r="B196" s="500" t="s">
        <v>1309</v>
      </c>
      <c r="C196" s="502"/>
      <c r="D196" s="473" t="s">
        <v>1310</v>
      </c>
      <c r="E196" s="502"/>
      <c r="F196" s="502"/>
      <c r="G196" s="495" t="s">
        <v>287</v>
      </c>
      <c r="H196" s="473" t="s">
        <v>3558</v>
      </c>
      <c r="I196" s="474" t="s">
        <v>1250</v>
      </c>
      <c r="J196" s="503">
        <v>45862</v>
      </c>
      <c r="K196" s="473" t="s">
        <v>1263</v>
      </c>
      <c r="L196" s="502"/>
      <c r="M196" s="504" t="s">
        <v>1146</v>
      </c>
      <c r="N196" s="474" t="s">
        <v>1198</v>
      </c>
      <c r="O196" s="500" t="s">
        <v>964</v>
      </c>
      <c r="P196" s="500" t="s">
        <v>1197</v>
      </c>
      <c r="Q196" s="474">
        <v>2022</v>
      </c>
      <c r="R196" s="474" t="s">
        <v>219</v>
      </c>
      <c r="S196" s="500">
        <v>203054</v>
      </c>
      <c r="T196" s="500" t="s">
        <v>1311</v>
      </c>
      <c r="U196" s="484" t="str">
        <f>IFERROR(VLOOKUP(N196,'Thông số'!$B:$F,5,0),"")</f>
        <v/>
      </c>
    </row>
    <row r="197" ht="14.25" customHeight="1" spans="1:21">
      <c r="A197" s="494">
        <v>15</v>
      </c>
      <c r="B197" s="500" t="s">
        <v>1312</v>
      </c>
      <c r="C197" s="502"/>
      <c r="D197" s="473" t="s">
        <v>1313</v>
      </c>
      <c r="E197" s="502"/>
      <c r="F197" s="502"/>
      <c r="G197" s="495" t="s">
        <v>287</v>
      </c>
      <c r="H197" s="473" t="s">
        <v>3558</v>
      </c>
      <c r="I197" s="474" t="s">
        <v>1250</v>
      </c>
      <c r="J197" s="503">
        <v>45862</v>
      </c>
      <c r="K197" s="473" t="s">
        <v>1263</v>
      </c>
      <c r="L197" s="502"/>
      <c r="M197" s="504" t="s">
        <v>1146</v>
      </c>
      <c r="N197" s="474" t="s">
        <v>1198</v>
      </c>
      <c r="O197" s="500" t="s">
        <v>964</v>
      </c>
      <c r="P197" s="500" t="s">
        <v>1197</v>
      </c>
      <c r="Q197" s="474">
        <v>2022</v>
      </c>
      <c r="R197" s="474" t="s">
        <v>219</v>
      </c>
      <c r="S197" s="500">
        <v>203068</v>
      </c>
      <c r="T197" s="500" t="s">
        <v>1314</v>
      </c>
      <c r="U197" s="484" t="str">
        <f>IFERROR(VLOOKUP(N197,'Thông số'!$B:$F,5,0),"")</f>
        <v/>
      </c>
    </row>
    <row r="198" ht="14.25" customHeight="1" spans="1:21">
      <c r="A198" s="494">
        <v>16</v>
      </c>
      <c r="B198" s="500" t="s">
        <v>1315</v>
      </c>
      <c r="C198" s="502"/>
      <c r="D198" s="473" t="s">
        <v>1316</v>
      </c>
      <c r="E198" s="502"/>
      <c r="F198" s="502"/>
      <c r="G198" s="495" t="s">
        <v>287</v>
      </c>
      <c r="H198" s="473" t="s">
        <v>3558</v>
      </c>
      <c r="I198" s="474" t="s">
        <v>1250</v>
      </c>
      <c r="J198" s="503">
        <v>45862</v>
      </c>
      <c r="K198" s="473" t="s">
        <v>1263</v>
      </c>
      <c r="L198" s="502"/>
      <c r="M198" s="504" t="s">
        <v>1146</v>
      </c>
      <c r="N198" s="474" t="s">
        <v>1198</v>
      </c>
      <c r="O198" s="500" t="s">
        <v>964</v>
      </c>
      <c r="P198" s="500" t="s">
        <v>1197</v>
      </c>
      <c r="Q198" s="474">
        <v>2022</v>
      </c>
      <c r="R198" s="474" t="s">
        <v>219</v>
      </c>
      <c r="S198" s="500">
        <v>203075</v>
      </c>
      <c r="T198" s="500" t="s">
        <v>1317</v>
      </c>
      <c r="U198" s="484" t="str">
        <f>IFERROR(VLOOKUP(N198,'Thông số'!$B:$F,5,0),"")</f>
        <v/>
      </c>
    </row>
    <row r="199" ht="14.25" customHeight="1" spans="1:21">
      <c r="A199" s="494">
        <v>17</v>
      </c>
      <c r="B199" s="500" t="s">
        <v>1318</v>
      </c>
      <c r="C199" s="502"/>
      <c r="D199" s="473" t="s">
        <v>1319</v>
      </c>
      <c r="E199" s="502"/>
      <c r="F199" s="502"/>
      <c r="G199" s="495" t="s">
        <v>287</v>
      </c>
      <c r="H199" s="473" t="s">
        <v>3558</v>
      </c>
      <c r="I199" s="474" t="s">
        <v>1250</v>
      </c>
      <c r="J199" s="503">
        <v>45862</v>
      </c>
      <c r="K199" s="473" t="s">
        <v>1263</v>
      </c>
      <c r="L199" s="502"/>
      <c r="M199" s="504" t="s">
        <v>1146</v>
      </c>
      <c r="N199" s="474" t="s">
        <v>1198</v>
      </c>
      <c r="O199" s="500" t="s">
        <v>964</v>
      </c>
      <c r="P199" s="500" t="s">
        <v>1197</v>
      </c>
      <c r="Q199" s="474">
        <v>2022</v>
      </c>
      <c r="R199" s="474" t="s">
        <v>219</v>
      </c>
      <c r="S199" s="500">
        <v>203086</v>
      </c>
      <c r="T199" s="500" t="s">
        <v>1320</v>
      </c>
      <c r="U199" s="484" t="str">
        <f>IFERROR(VLOOKUP(N199,'Thông số'!$B:$F,5,0),"")</f>
        <v/>
      </c>
    </row>
    <row r="200" ht="14.25" customHeight="1" spans="1:21">
      <c r="A200" s="494">
        <v>18</v>
      </c>
      <c r="B200" s="500" t="s">
        <v>3192</v>
      </c>
      <c r="C200" s="502"/>
      <c r="D200" s="473" t="s">
        <v>3193</v>
      </c>
      <c r="E200" s="502"/>
      <c r="F200" s="502"/>
      <c r="G200" s="495" t="s">
        <v>276</v>
      </c>
      <c r="H200" s="473" t="s">
        <v>3530</v>
      </c>
      <c r="I200" s="474" t="s">
        <v>1250</v>
      </c>
      <c r="J200" s="503">
        <v>45647</v>
      </c>
      <c r="K200" s="473" t="s">
        <v>1263</v>
      </c>
      <c r="L200" s="502"/>
      <c r="M200" s="504" t="s">
        <v>1146</v>
      </c>
      <c r="N200" s="474" t="s">
        <v>3150</v>
      </c>
      <c r="O200" s="500" t="s">
        <v>3143</v>
      </c>
      <c r="P200" s="500" t="s">
        <v>3144</v>
      </c>
      <c r="Q200" s="474">
        <v>2024</v>
      </c>
      <c r="R200" s="474" t="s">
        <v>286</v>
      </c>
      <c r="S200" s="500" t="s">
        <v>462</v>
      </c>
      <c r="T200" s="500" t="s">
        <v>462</v>
      </c>
      <c r="U200" s="484" t="str">
        <f>IFERROR(VLOOKUP(N200,'Thông số'!$B:$F,5,0),"")</f>
        <v/>
      </c>
    </row>
    <row r="201" ht="14.25" customHeight="1" spans="1:21">
      <c r="A201" s="494">
        <v>19</v>
      </c>
      <c r="B201" s="500" t="s">
        <v>3194</v>
      </c>
      <c r="C201" s="502"/>
      <c r="D201" s="473" t="s">
        <v>3195</v>
      </c>
      <c r="E201" s="502"/>
      <c r="F201" s="502"/>
      <c r="G201" s="495" t="s">
        <v>276</v>
      </c>
      <c r="H201" s="473" t="s">
        <v>3530</v>
      </c>
      <c r="I201" s="474" t="s">
        <v>1250</v>
      </c>
      <c r="J201" s="503">
        <v>45647</v>
      </c>
      <c r="K201" s="473" t="s">
        <v>1263</v>
      </c>
      <c r="L201" s="502"/>
      <c r="M201" s="504" t="s">
        <v>1146</v>
      </c>
      <c r="N201" s="474" t="s">
        <v>3150</v>
      </c>
      <c r="O201" s="500" t="s">
        <v>3143</v>
      </c>
      <c r="P201" s="500" t="s">
        <v>3144</v>
      </c>
      <c r="Q201" s="474">
        <v>2024</v>
      </c>
      <c r="R201" s="474" t="s">
        <v>286</v>
      </c>
      <c r="S201" s="500" t="s">
        <v>462</v>
      </c>
      <c r="T201" s="500" t="s">
        <v>462</v>
      </c>
      <c r="U201" s="484" t="str">
        <f>IFERROR(VLOOKUP(N201,'Thông số'!$B:$F,5,0),"")</f>
        <v/>
      </c>
    </row>
    <row r="202" ht="14.25" customHeight="1" spans="1:21">
      <c r="A202" s="494">
        <v>20</v>
      </c>
      <c r="B202" s="500" t="s">
        <v>1321</v>
      </c>
      <c r="C202" s="502"/>
      <c r="D202" s="473" t="s">
        <v>1322</v>
      </c>
      <c r="E202" s="502"/>
      <c r="F202" s="502"/>
      <c r="G202" s="500" t="s">
        <v>280</v>
      </c>
      <c r="H202" s="473" t="s">
        <v>3530</v>
      </c>
      <c r="I202" s="474" t="s">
        <v>1250</v>
      </c>
      <c r="J202" s="503">
        <v>45680</v>
      </c>
      <c r="K202" s="473" t="s">
        <v>1263</v>
      </c>
      <c r="L202" s="502"/>
      <c r="M202" s="504" t="s">
        <v>1146</v>
      </c>
      <c r="N202" s="474" t="s">
        <v>1324</v>
      </c>
      <c r="O202" s="500" t="s">
        <v>1323</v>
      </c>
      <c r="P202" s="500" t="s">
        <v>1223</v>
      </c>
      <c r="Q202" s="502"/>
      <c r="R202" s="474" t="s">
        <v>281</v>
      </c>
      <c r="S202" s="500" t="s">
        <v>462</v>
      </c>
      <c r="T202" s="500">
        <v>4418343</v>
      </c>
      <c r="U202" s="484" t="str">
        <f>IFERROR(VLOOKUP(N202,'Thông số'!$B:$F,5,0),"")</f>
        <v/>
      </c>
    </row>
    <row r="203" ht="14.25" customHeight="1" spans="1:21">
      <c r="A203" s="494">
        <v>21</v>
      </c>
      <c r="B203" s="500" t="s">
        <v>1325</v>
      </c>
      <c r="C203" s="502"/>
      <c r="D203" s="473" t="s">
        <v>1326</v>
      </c>
      <c r="E203" s="502"/>
      <c r="F203" s="502"/>
      <c r="G203" s="500" t="s">
        <v>280</v>
      </c>
      <c r="H203" s="473" t="s">
        <v>3530</v>
      </c>
      <c r="I203" s="474" t="s">
        <v>1250</v>
      </c>
      <c r="J203" s="503">
        <v>45680</v>
      </c>
      <c r="K203" s="473" t="s">
        <v>1263</v>
      </c>
      <c r="L203" s="502"/>
      <c r="M203" s="504" t="s">
        <v>1146</v>
      </c>
      <c r="N203" s="474" t="s">
        <v>1327</v>
      </c>
      <c r="O203" s="500" t="s">
        <v>964</v>
      </c>
      <c r="P203" s="500" t="s">
        <v>1223</v>
      </c>
      <c r="Q203" s="502"/>
      <c r="R203" s="474" t="s">
        <v>281</v>
      </c>
      <c r="S203" s="500">
        <v>871668</v>
      </c>
      <c r="T203" s="500">
        <v>20189</v>
      </c>
      <c r="U203" s="484" t="str">
        <f>IFERROR(VLOOKUP(N203,'Thông số'!$B:$F,5,0),"")</f>
        <v/>
      </c>
    </row>
    <row r="204" ht="14.25" customHeight="1" spans="1:21">
      <c r="A204" s="494">
        <v>22</v>
      </c>
      <c r="B204" s="500" t="s">
        <v>1328</v>
      </c>
      <c r="C204" s="502"/>
      <c r="D204" s="473" t="s">
        <v>1329</v>
      </c>
      <c r="E204" s="502"/>
      <c r="F204" s="502"/>
      <c r="G204" s="500" t="s">
        <v>283</v>
      </c>
      <c r="H204" s="473" t="s">
        <v>3530</v>
      </c>
      <c r="I204" s="474" t="s">
        <v>1250</v>
      </c>
      <c r="J204" s="503">
        <v>45833</v>
      </c>
      <c r="K204" s="473" t="s">
        <v>1263</v>
      </c>
      <c r="L204" s="502"/>
      <c r="M204" s="504" t="s">
        <v>1146</v>
      </c>
      <c r="N204" s="474" t="s">
        <v>1230</v>
      </c>
      <c r="O204" s="500" t="s">
        <v>1229</v>
      </c>
      <c r="P204" s="500" t="s">
        <v>500</v>
      </c>
      <c r="Q204" s="474">
        <v>2025</v>
      </c>
      <c r="R204" s="474" t="s">
        <v>272</v>
      </c>
      <c r="S204" s="500" t="s">
        <v>1330</v>
      </c>
      <c r="T204" s="500" t="s">
        <v>1331</v>
      </c>
      <c r="U204" s="484" t="str">
        <f>IFERROR(VLOOKUP(N204,'Thông số'!$B:$F,5,0),"")</f>
        <v/>
      </c>
    </row>
    <row r="205" ht="14.25" customHeight="1" spans="1:21">
      <c r="A205" s="494">
        <v>23</v>
      </c>
      <c r="B205" s="500" t="s">
        <v>1332</v>
      </c>
      <c r="C205" s="502"/>
      <c r="D205" s="473" t="s">
        <v>1333</v>
      </c>
      <c r="E205" s="502"/>
      <c r="F205" s="502"/>
      <c r="G205" s="500" t="s">
        <v>283</v>
      </c>
      <c r="H205" s="473" t="s">
        <v>3530</v>
      </c>
      <c r="I205" s="474" t="s">
        <v>1250</v>
      </c>
      <c r="J205" s="503">
        <v>45833</v>
      </c>
      <c r="K205" s="473" t="s">
        <v>1263</v>
      </c>
      <c r="L205" s="502"/>
      <c r="M205" s="504" t="s">
        <v>1146</v>
      </c>
      <c r="N205" s="474" t="s">
        <v>1230</v>
      </c>
      <c r="O205" s="500" t="s">
        <v>1229</v>
      </c>
      <c r="P205" s="500" t="s">
        <v>500</v>
      </c>
      <c r="Q205" s="474">
        <v>2025</v>
      </c>
      <c r="R205" s="474" t="s">
        <v>272</v>
      </c>
      <c r="S205" s="500" t="s">
        <v>1334</v>
      </c>
      <c r="T205" s="500" t="s">
        <v>1335</v>
      </c>
      <c r="U205" s="484" t="str">
        <f>IFERROR(VLOOKUP(N205,'Thông số'!$B:$F,5,0),"")</f>
        <v/>
      </c>
    </row>
    <row r="206" ht="14.25" customHeight="1" spans="1:21">
      <c r="A206" s="494">
        <v>24</v>
      </c>
      <c r="B206" s="500" t="s">
        <v>1336</v>
      </c>
      <c r="C206" s="502"/>
      <c r="D206" s="473" t="s">
        <v>1337</v>
      </c>
      <c r="E206" s="502"/>
      <c r="F206" s="502"/>
      <c r="G206" s="500" t="s">
        <v>283</v>
      </c>
      <c r="H206" s="473" t="s">
        <v>3530</v>
      </c>
      <c r="I206" s="474" t="s">
        <v>1250</v>
      </c>
      <c r="J206" s="503">
        <v>45833</v>
      </c>
      <c r="K206" s="473" t="s">
        <v>1263</v>
      </c>
      <c r="L206" s="502"/>
      <c r="M206" s="504" t="s">
        <v>1146</v>
      </c>
      <c r="N206" s="474" t="s">
        <v>1230</v>
      </c>
      <c r="O206" s="500" t="s">
        <v>1229</v>
      </c>
      <c r="P206" s="500" t="s">
        <v>500</v>
      </c>
      <c r="Q206" s="474">
        <v>2025</v>
      </c>
      <c r="R206" s="474" t="s">
        <v>272</v>
      </c>
      <c r="S206" s="500" t="s">
        <v>1338</v>
      </c>
      <c r="T206" s="500" t="s">
        <v>1339</v>
      </c>
      <c r="U206" s="484" t="str">
        <f>IFERROR(VLOOKUP(N206,'Thông số'!$B:$F,5,0),"")</f>
        <v/>
      </c>
    </row>
    <row r="207" ht="14.25" customHeight="1" spans="1:21">
      <c r="A207" s="494">
        <v>25</v>
      </c>
      <c r="B207" s="500" t="s">
        <v>1340</v>
      </c>
      <c r="C207" s="502"/>
      <c r="D207" s="473" t="s">
        <v>1341</v>
      </c>
      <c r="E207" s="502"/>
      <c r="F207" s="502"/>
      <c r="G207" s="500" t="s">
        <v>283</v>
      </c>
      <c r="H207" s="473" t="s">
        <v>3530</v>
      </c>
      <c r="I207" s="474" t="s">
        <v>1250</v>
      </c>
      <c r="J207" s="503">
        <v>45833</v>
      </c>
      <c r="K207" s="473" t="s">
        <v>1263</v>
      </c>
      <c r="L207" s="502"/>
      <c r="M207" s="504" t="s">
        <v>1146</v>
      </c>
      <c r="N207" s="474" t="s">
        <v>1230</v>
      </c>
      <c r="O207" s="500" t="s">
        <v>1229</v>
      </c>
      <c r="P207" s="500" t="s">
        <v>500</v>
      </c>
      <c r="Q207" s="474">
        <v>2025</v>
      </c>
      <c r="R207" s="474" t="s">
        <v>272</v>
      </c>
      <c r="S207" s="500" t="s">
        <v>1342</v>
      </c>
      <c r="T207" s="500" t="s">
        <v>1343</v>
      </c>
      <c r="U207" s="484" t="str">
        <f>IFERROR(VLOOKUP(N207,'Thông số'!$B:$F,5,0),"")</f>
        <v/>
      </c>
    </row>
    <row r="208" ht="14.25" customHeight="1" spans="1:21">
      <c r="A208" s="485" t="s">
        <v>1344</v>
      </c>
      <c r="B208" s="486" t="s">
        <v>1345</v>
      </c>
      <c r="C208" s="487">
        <v>28</v>
      </c>
      <c r="D208" s="488"/>
      <c r="E208" s="488"/>
      <c r="F208" s="488"/>
      <c r="G208" s="488"/>
      <c r="H208" s="497"/>
      <c r="I208" s="488"/>
      <c r="J208" s="488"/>
      <c r="K208" s="488"/>
      <c r="L208" s="488"/>
      <c r="M208" s="488"/>
      <c r="N208" s="488"/>
      <c r="O208" s="488"/>
      <c r="P208" s="488"/>
      <c r="Q208" s="488"/>
      <c r="R208" s="488"/>
      <c r="S208" s="488"/>
      <c r="T208" s="488"/>
      <c r="U208" s="484" t="str">
        <f>IFERROR(VLOOKUP(N208,'Thông số'!$B:$F,5,0),"")</f>
        <v/>
      </c>
    </row>
    <row r="209" ht="14.25" customHeight="1" spans="1:21">
      <c r="A209" s="494">
        <v>1</v>
      </c>
      <c r="B209" s="495" t="s">
        <v>1346</v>
      </c>
      <c r="C209" s="495" t="s">
        <v>1347</v>
      </c>
      <c r="D209" s="473" t="s">
        <v>6607</v>
      </c>
      <c r="E209" s="497"/>
      <c r="F209" s="497"/>
      <c r="G209" s="495" t="s">
        <v>200</v>
      </c>
      <c r="H209" s="473" t="s">
        <v>6574</v>
      </c>
      <c r="I209" s="473" t="s">
        <v>1348</v>
      </c>
      <c r="J209" s="497"/>
      <c r="K209" s="473" t="s">
        <v>1263</v>
      </c>
      <c r="L209" s="497"/>
      <c r="M209" s="497"/>
      <c r="N209" s="473" t="s">
        <v>1137</v>
      </c>
      <c r="O209" s="495" t="s">
        <v>759</v>
      </c>
      <c r="P209" s="495" t="s">
        <v>453</v>
      </c>
      <c r="Q209" s="473">
        <v>2019</v>
      </c>
      <c r="R209" s="473" t="s">
        <v>41</v>
      </c>
      <c r="S209" s="495">
        <v>14720</v>
      </c>
      <c r="T209" s="495" t="s">
        <v>462</v>
      </c>
      <c r="U209" s="484" t="str">
        <f>IFERROR(VLOOKUP(N209,'Thông số'!$B:$F,5,0),"")</f>
        <v>3120 x 1495 x 1510</v>
      </c>
    </row>
    <row r="210" ht="14.25" customHeight="1" spans="1:21">
      <c r="A210" s="494">
        <v>2</v>
      </c>
      <c r="B210" s="495" t="s">
        <v>1349</v>
      </c>
      <c r="C210" s="495" t="s">
        <v>1350</v>
      </c>
      <c r="D210" s="473" t="s">
        <v>6608</v>
      </c>
      <c r="E210" s="497"/>
      <c r="F210" s="495" t="s">
        <v>1980</v>
      </c>
      <c r="G210" s="495" t="s">
        <v>197</v>
      </c>
      <c r="H210" s="473" t="s">
        <v>6574</v>
      </c>
      <c r="I210" s="473" t="s">
        <v>1348</v>
      </c>
      <c r="J210" s="498">
        <v>43468</v>
      </c>
      <c r="K210" s="473" t="s">
        <v>1263</v>
      </c>
      <c r="L210" s="499">
        <v>0.4</v>
      </c>
      <c r="M210" s="497"/>
      <c r="N210" s="473" t="s">
        <v>1122</v>
      </c>
      <c r="O210" s="495" t="s">
        <v>1019</v>
      </c>
      <c r="P210" s="495" t="s">
        <v>500</v>
      </c>
      <c r="Q210" s="473">
        <v>2018</v>
      </c>
      <c r="R210" s="473" t="s">
        <v>128</v>
      </c>
      <c r="S210" s="495" t="s">
        <v>1351</v>
      </c>
      <c r="T210" s="495" t="s">
        <v>462</v>
      </c>
      <c r="U210" s="484" t="str">
        <f>IFERROR(VLOOKUP(N210,'Thông số'!$B:$F,5,0),"")</f>
        <v>3226 x 1570 x 1545</v>
      </c>
    </row>
    <row r="211" ht="14.25" customHeight="1" spans="1:21">
      <c r="A211" s="494">
        <v>3</v>
      </c>
      <c r="B211" s="495" t="s">
        <v>1352</v>
      </c>
      <c r="C211" s="495" t="s">
        <v>1353</v>
      </c>
      <c r="D211" s="473" t="s">
        <v>6609</v>
      </c>
      <c r="E211" s="497"/>
      <c r="F211" s="495" t="s">
        <v>1980</v>
      </c>
      <c r="G211" s="495" t="s">
        <v>197</v>
      </c>
      <c r="H211" s="473" t="s">
        <v>6574</v>
      </c>
      <c r="I211" s="473" t="s">
        <v>1348</v>
      </c>
      <c r="J211" s="498">
        <v>43468</v>
      </c>
      <c r="K211" s="473" t="s">
        <v>1263</v>
      </c>
      <c r="L211" s="499">
        <v>0.4</v>
      </c>
      <c r="M211" s="497"/>
      <c r="N211" s="473" t="s">
        <v>1122</v>
      </c>
      <c r="O211" s="495" t="s">
        <v>1019</v>
      </c>
      <c r="P211" s="495" t="s">
        <v>500</v>
      </c>
      <c r="Q211" s="473">
        <v>2018</v>
      </c>
      <c r="R211" s="473" t="s">
        <v>128</v>
      </c>
      <c r="S211" s="495" t="s">
        <v>1354</v>
      </c>
      <c r="T211" s="495" t="s">
        <v>462</v>
      </c>
      <c r="U211" s="484" t="str">
        <f>IFERROR(VLOOKUP(N211,'Thông số'!$B:$F,5,0),"")</f>
        <v>3226 x 1570 x 1545</v>
      </c>
    </row>
    <row r="212" ht="14.25" customHeight="1" spans="1:21">
      <c r="A212" s="494">
        <v>4</v>
      </c>
      <c r="B212" s="495" t="s">
        <v>1355</v>
      </c>
      <c r="C212" s="495" t="s">
        <v>1356</v>
      </c>
      <c r="D212" s="473" t="s">
        <v>6610</v>
      </c>
      <c r="E212" s="497"/>
      <c r="F212" s="495" t="s">
        <v>1980</v>
      </c>
      <c r="G212" s="495" t="s">
        <v>197</v>
      </c>
      <c r="H212" s="473" t="s">
        <v>6574</v>
      </c>
      <c r="I212" s="473" t="s">
        <v>1348</v>
      </c>
      <c r="J212" s="498">
        <v>43468</v>
      </c>
      <c r="K212" s="473" t="s">
        <v>1263</v>
      </c>
      <c r="L212" s="499">
        <v>0.4</v>
      </c>
      <c r="M212" s="497"/>
      <c r="N212" s="473" t="s">
        <v>1122</v>
      </c>
      <c r="O212" s="495" t="s">
        <v>1019</v>
      </c>
      <c r="P212" s="495" t="s">
        <v>500</v>
      </c>
      <c r="Q212" s="473">
        <v>2018</v>
      </c>
      <c r="R212" s="473" t="s">
        <v>128</v>
      </c>
      <c r="S212" s="495" t="s">
        <v>1357</v>
      </c>
      <c r="T212" s="495" t="s">
        <v>462</v>
      </c>
      <c r="U212" s="484" t="str">
        <f>IFERROR(VLOOKUP(N212,'Thông số'!$B:$F,5,0),"")</f>
        <v>3226 x 1570 x 1545</v>
      </c>
    </row>
    <row r="213" ht="14.25" customHeight="1" spans="1:21">
      <c r="A213" s="494">
        <v>5</v>
      </c>
      <c r="B213" s="495" t="s">
        <v>1358</v>
      </c>
      <c r="C213" s="495" t="s">
        <v>1359</v>
      </c>
      <c r="D213" s="473" t="s">
        <v>6611</v>
      </c>
      <c r="E213" s="497"/>
      <c r="F213" s="495" t="s">
        <v>1980</v>
      </c>
      <c r="G213" s="495" t="s">
        <v>197</v>
      </c>
      <c r="H213" s="473" t="s">
        <v>6574</v>
      </c>
      <c r="I213" s="473" t="s">
        <v>1348</v>
      </c>
      <c r="J213" s="498">
        <v>43468</v>
      </c>
      <c r="K213" s="473" t="s">
        <v>1263</v>
      </c>
      <c r="L213" s="499">
        <v>0.4</v>
      </c>
      <c r="M213" s="497"/>
      <c r="N213" s="473" t="s">
        <v>1122</v>
      </c>
      <c r="O213" s="495" t="s">
        <v>1019</v>
      </c>
      <c r="P213" s="495" t="s">
        <v>500</v>
      </c>
      <c r="Q213" s="473">
        <v>2018</v>
      </c>
      <c r="R213" s="473" t="s">
        <v>128</v>
      </c>
      <c r="S213" s="495" t="s">
        <v>1360</v>
      </c>
      <c r="T213" s="495" t="s">
        <v>462</v>
      </c>
      <c r="U213" s="484" t="str">
        <f>IFERROR(VLOOKUP(N213,'Thông số'!$B:$F,5,0),"")</f>
        <v>3226 x 1570 x 1545</v>
      </c>
    </row>
    <row r="214" ht="14.25" customHeight="1" spans="1:21">
      <c r="A214" s="489">
        <v>6</v>
      </c>
      <c r="B214" s="490" t="s">
        <v>1361</v>
      </c>
      <c r="C214" s="490" t="s">
        <v>1362</v>
      </c>
      <c r="D214" s="470" t="s">
        <v>3296</v>
      </c>
      <c r="E214" s="491"/>
      <c r="F214" s="490" t="s">
        <v>3296</v>
      </c>
      <c r="G214" s="490" t="s">
        <v>49</v>
      </c>
      <c r="H214" s="470" t="s">
        <v>6537</v>
      </c>
      <c r="I214" s="470" t="s">
        <v>1348</v>
      </c>
      <c r="J214" s="491"/>
      <c r="K214" s="470" t="s">
        <v>1126</v>
      </c>
      <c r="L214" s="491"/>
      <c r="M214" s="491"/>
      <c r="N214" s="491"/>
      <c r="O214" s="490" t="s">
        <v>480</v>
      </c>
      <c r="P214" s="490" t="s">
        <v>453</v>
      </c>
      <c r="Q214" s="470">
        <v>2006</v>
      </c>
      <c r="R214" s="470" t="s">
        <v>767</v>
      </c>
      <c r="S214" s="490">
        <v>8608</v>
      </c>
      <c r="T214" s="490" t="s">
        <v>462</v>
      </c>
      <c r="U214" s="484" t="str">
        <f>IFERROR(VLOOKUP(N214,'Thông số'!$B:$F,5,0),"")</f>
        <v/>
      </c>
    </row>
    <row r="215" ht="14.25" customHeight="1" spans="1:21">
      <c r="A215" s="494">
        <v>7</v>
      </c>
      <c r="B215" s="495" t="s">
        <v>1363</v>
      </c>
      <c r="C215" s="495" t="s">
        <v>1364</v>
      </c>
      <c r="D215" s="473" t="s">
        <v>6612</v>
      </c>
      <c r="E215" s="497"/>
      <c r="F215" s="495" t="s">
        <v>1980</v>
      </c>
      <c r="G215" s="495" t="s">
        <v>197</v>
      </c>
      <c r="H215" s="473" t="s">
        <v>6574</v>
      </c>
      <c r="I215" s="473" t="s">
        <v>1348</v>
      </c>
      <c r="J215" s="497"/>
      <c r="K215" s="473" t="s">
        <v>1263</v>
      </c>
      <c r="L215" s="497"/>
      <c r="M215" s="497"/>
      <c r="N215" s="473" t="s">
        <v>1122</v>
      </c>
      <c r="O215" s="495" t="s">
        <v>1019</v>
      </c>
      <c r="P215" s="495" t="s">
        <v>500</v>
      </c>
      <c r="Q215" s="473">
        <v>2018</v>
      </c>
      <c r="R215" s="473" t="s">
        <v>128</v>
      </c>
      <c r="S215" s="495" t="s">
        <v>1365</v>
      </c>
      <c r="T215" s="495" t="s">
        <v>462</v>
      </c>
      <c r="U215" s="484" t="str">
        <f>IFERROR(VLOOKUP(N215,'Thông số'!$B:$F,5,0),"")</f>
        <v>3226 x 1570 x 1545</v>
      </c>
    </row>
    <row r="216" ht="14.25" customHeight="1" spans="1:21">
      <c r="A216" s="494">
        <v>8</v>
      </c>
      <c r="B216" s="495" t="s">
        <v>1366</v>
      </c>
      <c r="C216" s="495" t="s">
        <v>1367</v>
      </c>
      <c r="D216" s="473" t="s">
        <v>6613</v>
      </c>
      <c r="E216" s="497"/>
      <c r="F216" s="497"/>
      <c r="G216" s="495" t="s">
        <v>200</v>
      </c>
      <c r="H216" s="473" t="s">
        <v>6574</v>
      </c>
      <c r="I216" s="473" t="s">
        <v>1348</v>
      </c>
      <c r="J216" s="497"/>
      <c r="K216" s="473" t="s">
        <v>1263</v>
      </c>
      <c r="L216" s="497"/>
      <c r="M216" s="501" t="s">
        <v>1368</v>
      </c>
      <c r="N216" s="473" t="s">
        <v>1137</v>
      </c>
      <c r="O216" s="495" t="s">
        <v>759</v>
      </c>
      <c r="P216" s="495" t="s">
        <v>453</v>
      </c>
      <c r="Q216" s="473">
        <v>2019</v>
      </c>
      <c r="R216" s="473" t="s">
        <v>41</v>
      </c>
      <c r="S216" s="495">
        <v>14716</v>
      </c>
      <c r="T216" s="495" t="s">
        <v>462</v>
      </c>
      <c r="U216" s="484" t="str">
        <f>IFERROR(VLOOKUP(N216,'Thông số'!$B:$F,5,0),"")</f>
        <v>3120 x 1495 x 1510</v>
      </c>
    </row>
    <row r="217" ht="14.25" customHeight="1" spans="1:21">
      <c r="A217" s="489">
        <v>9</v>
      </c>
      <c r="B217" s="490" t="s">
        <v>1369</v>
      </c>
      <c r="C217" s="490" t="s">
        <v>1370</v>
      </c>
      <c r="D217" s="470" t="s">
        <v>6614</v>
      </c>
      <c r="E217" s="491"/>
      <c r="F217" s="491"/>
      <c r="G217" s="490" t="s">
        <v>6615</v>
      </c>
      <c r="H217" s="470" t="s">
        <v>3454</v>
      </c>
      <c r="I217" s="470" t="s">
        <v>1348</v>
      </c>
      <c r="J217" s="491"/>
      <c r="K217" s="470" t="s">
        <v>1126</v>
      </c>
      <c r="L217" s="491"/>
      <c r="M217" s="491"/>
      <c r="N217" s="470" t="s">
        <v>1371</v>
      </c>
      <c r="O217" s="490" t="s">
        <v>621</v>
      </c>
      <c r="P217" s="490" t="s">
        <v>500</v>
      </c>
      <c r="Q217" s="470">
        <v>2018</v>
      </c>
      <c r="R217" s="470" t="s">
        <v>54</v>
      </c>
      <c r="S217" s="490" t="s">
        <v>1372</v>
      </c>
      <c r="T217" s="490" t="s">
        <v>1373</v>
      </c>
      <c r="U217" s="484" t="str">
        <f>IFERROR(VLOOKUP(N217,'Thông số'!$B:$F,5,0),"")</f>
        <v>8800 x 2500 x 3700</v>
      </c>
    </row>
    <row r="218" ht="14.25" customHeight="1" spans="1:21">
      <c r="A218" s="494">
        <v>10</v>
      </c>
      <c r="B218" s="495" t="s">
        <v>1374</v>
      </c>
      <c r="C218" s="497"/>
      <c r="D218" s="473" t="s">
        <v>3459</v>
      </c>
      <c r="E218" s="473" t="s">
        <v>1375</v>
      </c>
      <c r="F218" s="495" t="s">
        <v>3459</v>
      </c>
      <c r="G218" s="495" t="s">
        <v>251</v>
      </c>
      <c r="H218" s="497"/>
      <c r="I218" s="473" t="s">
        <v>1348</v>
      </c>
      <c r="J218" s="498">
        <v>45301</v>
      </c>
      <c r="K218" s="473" t="s">
        <v>1263</v>
      </c>
      <c r="L218" s="499">
        <v>0.98</v>
      </c>
      <c r="M218" s="497"/>
      <c r="N218" s="473" t="s">
        <v>1153</v>
      </c>
      <c r="O218" s="495" t="s">
        <v>1152</v>
      </c>
      <c r="P218" s="495" t="s">
        <v>500</v>
      </c>
      <c r="Q218" s="473">
        <v>2021</v>
      </c>
      <c r="R218" s="473" t="s">
        <v>44</v>
      </c>
      <c r="S218" s="495" t="s">
        <v>1376</v>
      </c>
      <c r="T218" s="495" t="s">
        <v>1377</v>
      </c>
      <c r="U218" s="484" t="str">
        <f>IFERROR(VLOOKUP(N218,'Thông số'!$B:$F,5,0),"")</f>
        <v>4730 x 1750 x 2100</v>
      </c>
    </row>
    <row r="219" ht="14.25" customHeight="1" spans="1:21">
      <c r="A219" s="494">
        <v>11</v>
      </c>
      <c r="B219" s="495" t="s">
        <v>1378</v>
      </c>
      <c r="C219" s="497"/>
      <c r="D219" s="473" t="s">
        <v>3426</v>
      </c>
      <c r="E219" s="497"/>
      <c r="F219" s="495" t="s">
        <v>3426</v>
      </c>
      <c r="G219" s="495" t="s">
        <v>247</v>
      </c>
      <c r="H219" s="473" t="s">
        <v>3432</v>
      </c>
      <c r="I219" s="473" t="s">
        <v>1348</v>
      </c>
      <c r="J219" s="497"/>
      <c r="K219" s="473" t="s">
        <v>1263</v>
      </c>
      <c r="L219" s="497"/>
      <c r="M219" s="501" t="s">
        <v>1379</v>
      </c>
      <c r="N219" s="473" t="s">
        <v>1381</v>
      </c>
      <c r="O219" s="495" t="s">
        <v>1380</v>
      </c>
      <c r="P219" s="495" t="s">
        <v>590</v>
      </c>
      <c r="Q219" s="473">
        <v>2022</v>
      </c>
      <c r="R219" s="473" t="s">
        <v>1382</v>
      </c>
      <c r="S219" s="495" t="s">
        <v>1383</v>
      </c>
      <c r="T219" s="495" t="s">
        <v>1384</v>
      </c>
      <c r="U219" s="484" t="str">
        <f>IFERROR(VLOOKUP(N219,'Thông số'!$B:$F,5,0),"")</f>
        <v/>
      </c>
    </row>
    <row r="220" ht="14.25" customHeight="1" spans="1:21">
      <c r="A220" s="494">
        <v>12</v>
      </c>
      <c r="B220" s="495" t="s">
        <v>1385</v>
      </c>
      <c r="C220" s="497"/>
      <c r="D220" s="473" t="s">
        <v>3426</v>
      </c>
      <c r="E220" s="497"/>
      <c r="F220" s="495" t="s">
        <v>3426</v>
      </c>
      <c r="G220" s="495" t="s">
        <v>241</v>
      </c>
      <c r="H220" s="473" t="s">
        <v>3432</v>
      </c>
      <c r="I220" s="473" t="s">
        <v>1348</v>
      </c>
      <c r="J220" s="497"/>
      <c r="K220" s="473" t="s">
        <v>1263</v>
      </c>
      <c r="L220" s="497"/>
      <c r="M220" s="497"/>
      <c r="N220" s="473" t="s">
        <v>1386</v>
      </c>
      <c r="O220" s="495" t="s">
        <v>480</v>
      </c>
      <c r="P220" s="495" t="s">
        <v>555</v>
      </c>
      <c r="Q220" s="473">
        <v>2008</v>
      </c>
      <c r="R220" s="497"/>
      <c r="S220" s="495">
        <v>809168</v>
      </c>
      <c r="T220" s="495" t="s">
        <v>6616</v>
      </c>
      <c r="U220" s="484" t="str">
        <f>IFERROR(VLOOKUP(N220,'Thông số'!$B:$F,5,0),"")</f>
        <v/>
      </c>
    </row>
    <row r="221" ht="14.25" customHeight="1" spans="1:21">
      <c r="A221" s="494">
        <v>13</v>
      </c>
      <c r="B221" s="495" t="s">
        <v>1387</v>
      </c>
      <c r="C221" s="497"/>
      <c r="D221" s="473" t="s">
        <v>1388</v>
      </c>
      <c r="E221" s="497"/>
      <c r="F221" s="497"/>
      <c r="G221" s="495" t="s">
        <v>6617</v>
      </c>
      <c r="H221" s="497"/>
      <c r="I221" s="473" t="s">
        <v>1348</v>
      </c>
      <c r="J221" s="498">
        <v>45992</v>
      </c>
      <c r="K221" s="473" t="s">
        <v>1263</v>
      </c>
      <c r="L221" s="497"/>
      <c r="M221" s="504" t="s">
        <v>1146</v>
      </c>
      <c r="N221" s="473" t="s">
        <v>1303</v>
      </c>
      <c r="O221" s="495" t="s">
        <v>1015</v>
      </c>
      <c r="P221" s="495" t="s">
        <v>590</v>
      </c>
      <c r="Q221" s="473">
        <v>2025</v>
      </c>
      <c r="R221" s="473" t="s">
        <v>242</v>
      </c>
      <c r="S221" s="495" t="s">
        <v>1389</v>
      </c>
      <c r="T221" s="495" t="s">
        <v>1390</v>
      </c>
      <c r="U221" s="484" t="str">
        <f>IFERROR(VLOOKUP(N221,'Thông số'!$B:$F,5,0),"")</f>
        <v/>
      </c>
    </row>
    <row r="222" ht="14.25" customHeight="1" spans="1:21">
      <c r="A222" s="494">
        <v>14</v>
      </c>
      <c r="B222" s="495" t="s">
        <v>1394</v>
      </c>
      <c r="C222" s="497"/>
      <c r="D222" s="473" t="s">
        <v>6618</v>
      </c>
      <c r="E222" s="473" t="s">
        <v>1395</v>
      </c>
      <c r="F222" s="497"/>
      <c r="G222" s="495" t="s">
        <v>111</v>
      </c>
      <c r="H222" s="473" t="s">
        <v>6594</v>
      </c>
      <c r="I222" s="473" t="s">
        <v>1348</v>
      </c>
      <c r="J222" s="498">
        <v>45503</v>
      </c>
      <c r="K222" s="473" t="s">
        <v>1263</v>
      </c>
      <c r="L222" s="497"/>
      <c r="M222" s="501" t="s">
        <v>1396</v>
      </c>
      <c r="N222" s="473" t="s">
        <v>6595</v>
      </c>
      <c r="O222" s="495" t="s">
        <v>771</v>
      </c>
      <c r="P222" s="495" t="s">
        <v>943</v>
      </c>
      <c r="Q222" s="473">
        <v>2024</v>
      </c>
      <c r="R222" s="473" t="s">
        <v>112</v>
      </c>
      <c r="S222" s="495" t="s">
        <v>1397</v>
      </c>
      <c r="T222" s="495" t="s">
        <v>1398</v>
      </c>
      <c r="U222" s="484" t="str">
        <f>IFERROR(VLOOKUP(N222,'Thông số'!$B:$F,5,0),"")</f>
        <v>5250 x 2170 x 2520</v>
      </c>
    </row>
    <row r="223" ht="14.25" customHeight="1" spans="1:21">
      <c r="A223" s="494">
        <v>15</v>
      </c>
      <c r="B223" s="495" t="s">
        <v>1399</v>
      </c>
      <c r="C223" s="497"/>
      <c r="D223" s="473" t="s">
        <v>6619</v>
      </c>
      <c r="E223" s="473" t="s">
        <v>1400</v>
      </c>
      <c r="F223" s="497"/>
      <c r="G223" s="495" t="s">
        <v>111</v>
      </c>
      <c r="H223" s="473" t="s">
        <v>6594</v>
      </c>
      <c r="I223" s="473" t="s">
        <v>1348</v>
      </c>
      <c r="J223" s="498">
        <v>45503</v>
      </c>
      <c r="K223" s="473" t="s">
        <v>1263</v>
      </c>
      <c r="L223" s="497"/>
      <c r="M223" s="501" t="s">
        <v>1396</v>
      </c>
      <c r="N223" s="473" t="s">
        <v>6595</v>
      </c>
      <c r="O223" s="495" t="s">
        <v>771</v>
      </c>
      <c r="P223" s="495" t="s">
        <v>943</v>
      </c>
      <c r="Q223" s="473">
        <v>2024</v>
      </c>
      <c r="R223" s="473" t="s">
        <v>112</v>
      </c>
      <c r="S223" s="495" t="s">
        <v>1401</v>
      </c>
      <c r="T223" s="495" t="s">
        <v>1402</v>
      </c>
      <c r="U223" s="484" t="str">
        <f>IFERROR(VLOOKUP(N223,'Thông số'!$B:$F,5,0),"")</f>
        <v>5250 x 2170 x 2520</v>
      </c>
    </row>
    <row r="224" ht="14.25" customHeight="1" spans="1:21">
      <c r="A224" s="489">
        <v>16</v>
      </c>
      <c r="B224" s="490" t="s">
        <v>1403</v>
      </c>
      <c r="C224" s="490" t="s">
        <v>1404</v>
      </c>
      <c r="D224" s="470" t="s">
        <v>3387</v>
      </c>
      <c r="E224" s="491"/>
      <c r="F224" s="491"/>
      <c r="G224" s="490" t="s">
        <v>111</v>
      </c>
      <c r="H224" s="470" t="s">
        <v>6594</v>
      </c>
      <c r="I224" s="470" t="s">
        <v>1348</v>
      </c>
      <c r="J224" s="492">
        <v>45392</v>
      </c>
      <c r="K224" s="470" t="s">
        <v>1126</v>
      </c>
      <c r="L224" s="491"/>
      <c r="M224" s="505" t="s">
        <v>1405</v>
      </c>
      <c r="N224" s="470" t="s">
        <v>6595</v>
      </c>
      <c r="O224" s="490" t="s">
        <v>621</v>
      </c>
      <c r="P224" s="490" t="s">
        <v>500</v>
      </c>
      <c r="Q224" s="470">
        <v>2023</v>
      </c>
      <c r="R224" s="470" t="s">
        <v>124</v>
      </c>
      <c r="S224" s="490" t="s">
        <v>1406</v>
      </c>
      <c r="T224" s="490" t="s">
        <v>1407</v>
      </c>
      <c r="U224" s="484" t="str">
        <f>IFERROR(VLOOKUP(N224,'Thông số'!$B:$F,5,0),"")</f>
        <v>5250 x 2170 x 2520</v>
      </c>
    </row>
    <row r="225" ht="14.25" customHeight="1" spans="1:21">
      <c r="A225" s="489">
        <v>17</v>
      </c>
      <c r="B225" s="490" t="s">
        <v>1408</v>
      </c>
      <c r="C225" s="490" t="s">
        <v>1409</v>
      </c>
      <c r="D225" s="470" t="s">
        <v>6620</v>
      </c>
      <c r="E225" s="491"/>
      <c r="F225" s="491"/>
      <c r="G225" s="490" t="s">
        <v>111</v>
      </c>
      <c r="H225" s="470" t="s">
        <v>6594</v>
      </c>
      <c r="I225" s="470" t="s">
        <v>1348</v>
      </c>
      <c r="J225" s="492">
        <v>45392</v>
      </c>
      <c r="K225" s="470" t="s">
        <v>1126</v>
      </c>
      <c r="L225" s="491"/>
      <c r="M225" s="505" t="s">
        <v>1410</v>
      </c>
      <c r="N225" s="470" t="s">
        <v>6595</v>
      </c>
      <c r="O225" s="490" t="s">
        <v>621</v>
      </c>
      <c r="P225" s="490" t="s">
        <v>500</v>
      </c>
      <c r="Q225" s="470">
        <v>2023</v>
      </c>
      <c r="R225" s="470" t="s">
        <v>124</v>
      </c>
      <c r="S225" s="490" t="s">
        <v>1411</v>
      </c>
      <c r="T225" s="490" t="s">
        <v>1412</v>
      </c>
      <c r="U225" s="484" t="str">
        <f>IFERROR(VLOOKUP(N225,'Thông số'!$B:$F,5,0),"")</f>
        <v>5250 x 2170 x 2520</v>
      </c>
    </row>
    <row r="226" ht="14.25" customHeight="1" spans="1:21">
      <c r="A226" s="494">
        <v>18</v>
      </c>
      <c r="B226" s="495" t="s">
        <v>1419</v>
      </c>
      <c r="C226" s="497"/>
      <c r="D226" s="473" t="s">
        <v>1420</v>
      </c>
      <c r="E226" s="497"/>
      <c r="F226" s="497"/>
      <c r="G226" s="495" t="s">
        <v>287</v>
      </c>
      <c r="H226" s="473" t="s">
        <v>3558</v>
      </c>
      <c r="I226" s="473" t="s">
        <v>1348</v>
      </c>
      <c r="J226" s="503">
        <v>45862</v>
      </c>
      <c r="K226" s="473" t="s">
        <v>1263</v>
      </c>
      <c r="L226" s="497"/>
      <c r="M226" s="504" t="s">
        <v>1146</v>
      </c>
      <c r="N226" s="473" t="s">
        <v>1198</v>
      </c>
      <c r="O226" s="495" t="s">
        <v>964</v>
      </c>
      <c r="P226" s="495" t="s">
        <v>1197</v>
      </c>
      <c r="Q226" s="473">
        <v>2022</v>
      </c>
      <c r="R226" s="473" t="s">
        <v>219</v>
      </c>
      <c r="S226" s="495">
        <v>203055</v>
      </c>
      <c r="T226" s="495" t="s">
        <v>1421</v>
      </c>
      <c r="U226" s="484" t="str">
        <f>IFERROR(VLOOKUP(N226,'Thông số'!$B:$F,5,0),"")</f>
        <v/>
      </c>
    </row>
    <row r="227" ht="14.25" customHeight="1" spans="1:21">
      <c r="A227" s="494">
        <v>19</v>
      </c>
      <c r="B227" s="495" t="s">
        <v>1422</v>
      </c>
      <c r="C227" s="497"/>
      <c r="D227" s="473" t="s">
        <v>1423</v>
      </c>
      <c r="E227" s="497"/>
      <c r="F227" s="497"/>
      <c r="G227" s="495" t="s">
        <v>287</v>
      </c>
      <c r="H227" s="473" t="s">
        <v>3558</v>
      </c>
      <c r="I227" s="473" t="s">
        <v>1348</v>
      </c>
      <c r="J227" s="503">
        <v>45862</v>
      </c>
      <c r="K227" s="473" t="s">
        <v>1263</v>
      </c>
      <c r="L227" s="497"/>
      <c r="M227" s="504" t="s">
        <v>1146</v>
      </c>
      <c r="N227" s="473" t="s">
        <v>1198</v>
      </c>
      <c r="O227" s="495" t="s">
        <v>964</v>
      </c>
      <c r="P227" s="495" t="s">
        <v>1197</v>
      </c>
      <c r="Q227" s="473">
        <v>2022</v>
      </c>
      <c r="R227" s="473" t="s">
        <v>219</v>
      </c>
      <c r="S227" s="495">
        <v>203059</v>
      </c>
      <c r="T227" s="495" t="s">
        <v>1424</v>
      </c>
      <c r="U227" s="484" t="str">
        <f>IFERROR(VLOOKUP(N227,'Thông số'!$B:$F,5,0),"")</f>
        <v/>
      </c>
    </row>
    <row r="228" ht="14.25" customHeight="1" spans="1:21">
      <c r="A228" s="494">
        <v>20</v>
      </c>
      <c r="B228" s="495" t="s">
        <v>1425</v>
      </c>
      <c r="C228" s="497"/>
      <c r="D228" s="473" t="s">
        <v>1426</v>
      </c>
      <c r="E228" s="497"/>
      <c r="F228" s="497"/>
      <c r="G228" s="495" t="s">
        <v>287</v>
      </c>
      <c r="H228" s="473" t="s">
        <v>3558</v>
      </c>
      <c r="I228" s="473" t="s">
        <v>1348</v>
      </c>
      <c r="J228" s="503">
        <v>45862</v>
      </c>
      <c r="K228" s="473" t="s">
        <v>1263</v>
      </c>
      <c r="L228" s="497"/>
      <c r="M228" s="504" t="s">
        <v>1146</v>
      </c>
      <c r="N228" s="473" t="s">
        <v>1198</v>
      </c>
      <c r="O228" s="495" t="s">
        <v>964</v>
      </c>
      <c r="P228" s="495" t="s">
        <v>1197</v>
      </c>
      <c r="Q228" s="473">
        <v>2022</v>
      </c>
      <c r="R228" s="473" t="s">
        <v>219</v>
      </c>
      <c r="S228" s="495">
        <v>203061</v>
      </c>
      <c r="T228" s="495" t="s">
        <v>1427</v>
      </c>
      <c r="U228" s="484" t="str">
        <f>IFERROR(VLOOKUP(N228,'Thông số'!$B:$F,5,0),"")</f>
        <v/>
      </c>
    </row>
    <row r="229" ht="14.25" customHeight="1" spans="1:21">
      <c r="A229" s="494">
        <v>21</v>
      </c>
      <c r="B229" s="495" t="s">
        <v>1428</v>
      </c>
      <c r="C229" s="497"/>
      <c r="D229" s="473" t="s">
        <v>1429</v>
      </c>
      <c r="E229" s="497"/>
      <c r="F229" s="497"/>
      <c r="G229" s="495" t="s">
        <v>287</v>
      </c>
      <c r="H229" s="473" t="s">
        <v>3558</v>
      </c>
      <c r="I229" s="473" t="s">
        <v>1348</v>
      </c>
      <c r="J229" s="503">
        <v>45862</v>
      </c>
      <c r="K229" s="473" t="s">
        <v>1263</v>
      </c>
      <c r="L229" s="497"/>
      <c r="M229" s="504" t="s">
        <v>1146</v>
      </c>
      <c r="N229" s="473" t="s">
        <v>1198</v>
      </c>
      <c r="O229" s="495" t="s">
        <v>964</v>
      </c>
      <c r="P229" s="495" t="s">
        <v>1197</v>
      </c>
      <c r="Q229" s="473">
        <v>2022</v>
      </c>
      <c r="R229" s="473" t="s">
        <v>219</v>
      </c>
      <c r="S229" s="495">
        <v>203176</v>
      </c>
      <c r="T229" s="495" t="s">
        <v>1430</v>
      </c>
      <c r="U229" s="484" t="str">
        <f>IFERROR(VLOOKUP(N229,'Thông số'!$B:$F,5,0),"")</f>
        <v/>
      </c>
    </row>
    <row r="230" ht="14.25" customHeight="1" spans="1:21">
      <c r="A230" s="494">
        <v>22</v>
      </c>
      <c r="B230" s="495" t="s">
        <v>3196</v>
      </c>
      <c r="C230" s="497"/>
      <c r="D230" s="473" t="s">
        <v>3197</v>
      </c>
      <c r="E230" s="497"/>
      <c r="F230" s="497"/>
      <c r="G230" s="495" t="s">
        <v>276</v>
      </c>
      <c r="H230" s="473" t="s">
        <v>3530</v>
      </c>
      <c r="I230" s="473" t="s">
        <v>1348</v>
      </c>
      <c r="J230" s="503">
        <v>45647</v>
      </c>
      <c r="K230" s="473" t="s">
        <v>1263</v>
      </c>
      <c r="L230" s="497"/>
      <c r="M230" s="504" t="s">
        <v>1146</v>
      </c>
      <c r="N230" s="473" t="s">
        <v>3150</v>
      </c>
      <c r="O230" s="495" t="s">
        <v>3143</v>
      </c>
      <c r="P230" s="495" t="s">
        <v>3144</v>
      </c>
      <c r="Q230" s="473">
        <v>2024</v>
      </c>
      <c r="R230" s="473" t="s">
        <v>286</v>
      </c>
      <c r="S230" s="495" t="s">
        <v>462</v>
      </c>
      <c r="T230" s="495" t="s">
        <v>462</v>
      </c>
      <c r="U230" s="484" t="str">
        <f>IFERROR(VLOOKUP(N230,'Thông số'!$B:$F,5,0),"")</f>
        <v/>
      </c>
    </row>
    <row r="231" ht="14.25" customHeight="1" spans="1:21">
      <c r="A231" s="494">
        <v>23</v>
      </c>
      <c r="B231" s="495" t="s">
        <v>3198</v>
      </c>
      <c r="C231" s="497"/>
      <c r="D231" s="473" t="s">
        <v>3199</v>
      </c>
      <c r="E231" s="497"/>
      <c r="F231" s="497"/>
      <c r="G231" s="495" t="s">
        <v>276</v>
      </c>
      <c r="H231" s="473" t="s">
        <v>3530</v>
      </c>
      <c r="I231" s="473" t="s">
        <v>1348</v>
      </c>
      <c r="J231" s="503">
        <v>45647</v>
      </c>
      <c r="K231" s="473" t="s">
        <v>1263</v>
      </c>
      <c r="L231" s="497"/>
      <c r="M231" s="504" t="s">
        <v>1146</v>
      </c>
      <c r="N231" s="473" t="s">
        <v>3150</v>
      </c>
      <c r="O231" s="495" t="s">
        <v>3143</v>
      </c>
      <c r="P231" s="495" t="s">
        <v>3144</v>
      </c>
      <c r="Q231" s="473">
        <v>2024</v>
      </c>
      <c r="R231" s="473" t="s">
        <v>286</v>
      </c>
      <c r="S231" s="495" t="s">
        <v>462</v>
      </c>
      <c r="T231" s="495" t="s">
        <v>462</v>
      </c>
      <c r="U231" s="484" t="str">
        <f>IFERROR(VLOOKUP(N231,'Thông số'!$B:$F,5,0),"")</f>
        <v/>
      </c>
    </row>
    <row r="232" ht="14.25" customHeight="1" spans="1:21">
      <c r="A232" s="494">
        <v>24</v>
      </c>
      <c r="B232" s="495" t="s">
        <v>1431</v>
      </c>
      <c r="C232" s="497"/>
      <c r="D232" s="473" t="s">
        <v>1432</v>
      </c>
      <c r="E232" s="497"/>
      <c r="F232" s="497"/>
      <c r="G232" s="495" t="s">
        <v>280</v>
      </c>
      <c r="H232" s="473" t="s">
        <v>3530</v>
      </c>
      <c r="I232" s="473" t="s">
        <v>1348</v>
      </c>
      <c r="J232" s="498">
        <v>45680</v>
      </c>
      <c r="K232" s="473" t="s">
        <v>1263</v>
      </c>
      <c r="L232" s="497"/>
      <c r="M232" s="504" t="s">
        <v>1146</v>
      </c>
      <c r="N232" s="473" t="s">
        <v>1434</v>
      </c>
      <c r="O232" s="495" t="s">
        <v>1433</v>
      </c>
      <c r="P232" s="495" t="s">
        <v>1223</v>
      </c>
      <c r="Q232" s="497"/>
      <c r="R232" s="473" t="s">
        <v>281</v>
      </c>
      <c r="S232" s="495" t="s">
        <v>1435</v>
      </c>
      <c r="T232" s="495">
        <v>12168</v>
      </c>
      <c r="U232" s="484" t="str">
        <f>IFERROR(VLOOKUP(N232,'Thông số'!$B:$F,5,0),"")</f>
        <v/>
      </c>
    </row>
    <row r="233" ht="14.25" customHeight="1" spans="1:21">
      <c r="A233" s="494">
        <v>25</v>
      </c>
      <c r="B233" s="495" t="s">
        <v>1436</v>
      </c>
      <c r="C233" s="497"/>
      <c r="D233" s="473" t="s">
        <v>1437</v>
      </c>
      <c r="E233" s="497"/>
      <c r="F233" s="497"/>
      <c r="G233" s="500" t="s">
        <v>283</v>
      </c>
      <c r="H233" s="473" t="s">
        <v>3530</v>
      </c>
      <c r="I233" s="473" t="s">
        <v>1348</v>
      </c>
      <c r="J233" s="503">
        <v>45833</v>
      </c>
      <c r="K233" s="473" t="s">
        <v>1263</v>
      </c>
      <c r="L233" s="497"/>
      <c r="M233" s="501" t="s">
        <v>1146</v>
      </c>
      <c r="N233" s="473" t="s">
        <v>1230</v>
      </c>
      <c r="O233" s="495" t="s">
        <v>1229</v>
      </c>
      <c r="P233" s="495" t="s">
        <v>500</v>
      </c>
      <c r="Q233" s="473">
        <v>2025</v>
      </c>
      <c r="R233" s="473" t="s">
        <v>272</v>
      </c>
      <c r="S233" s="495" t="s">
        <v>1438</v>
      </c>
      <c r="T233" s="495" t="s">
        <v>1439</v>
      </c>
      <c r="U233" s="484" t="str">
        <f>IFERROR(VLOOKUP(N233,'Thông số'!$B:$F,5,0),"")</f>
        <v/>
      </c>
    </row>
    <row r="234" ht="14.25" customHeight="1" spans="1:21">
      <c r="A234" s="494">
        <v>26</v>
      </c>
      <c r="B234" s="495" t="s">
        <v>1440</v>
      </c>
      <c r="C234" s="497"/>
      <c r="D234" s="473" t="s">
        <v>1441</v>
      </c>
      <c r="E234" s="497"/>
      <c r="F234" s="497"/>
      <c r="G234" s="500" t="s">
        <v>283</v>
      </c>
      <c r="H234" s="473" t="s">
        <v>3530</v>
      </c>
      <c r="I234" s="473" t="s">
        <v>1348</v>
      </c>
      <c r="J234" s="503">
        <v>45833</v>
      </c>
      <c r="K234" s="473" t="s">
        <v>1263</v>
      </c>
      <c r="L234" s="497"/>
      <c r="M234" s="501" t="s">
        <v>1146</v>
      </c>
      <c r="N234" s="473" t="s">
        <v>1230</v>
      </c>
      <c r="O234" s="495" t="s">
        <v>1229</v>
      </c>
      <c r="P234" s="495" t="s">
        <v>500</v>
      </c>
      <c r="Q234" s="473">
        <v>2025</v>
      </c>
      <c r="R234" s="473" t="s">
        <v>272</v>
      </c>
      <c r="S234" s="495" t="s">
        <v>1442</v>
      </c>
      <c r="T234" s="495" t="s">
        <v>1443</v>
      </c>
      <c r="U234" s="484" t="str">
        <f>IFERROR(VLOOKUP(N234,'Thông số'!$B:$F,5,0),"")</f>
        <v/>
      </c>
    </row>
    <row r="235" ht="14.25" customHeight="1" spans="1:21">
      <c r="A235" s="494">
        <v>27</v>
      </c>
      <c r="B235" s="495" t="s">
        <v>1444</v>
      </c>
      <c r="C235" s="497"/>
      <c r="D235" s="473" t="s">
        <v>1445</v>
      </c>
      <c r="E235" s="497"/>
      <c r="F235" s="497"/>
      <c r="G235" s="500" t="s">
        <v>283</v>
      </c>
      <c r="H235" s="473" t="s">
        <v>3530</v>
      </c>
      <c r="I235" s="473" t="s">
        <v>1348</v>
      </c>
      <c r="J235" s="503">
        <v>45833</v>
      </c>
      <c r="K235" s="473" t="s">
        <v>1263</v>
      </c>
      <c r="L235" s="497"/>
      <c r="M235" s="501" t="s">
        <v>1146</v>
      </c>
      <c r="N235" s="473" t="s">
        <v>1230</v>
      </c>
      <c r="O235" s="495" t="s">
        <v>1229</v>
      </c>
      <c r="P235" s="495" t="s">
        <v>500</v>
      </c>
      <c r="Q235" s="473">
        <v>2025</v>
      </c>
      <c r="R235" s="473" t="s">
        <v>272</v>
      </c>
      <c r="S235" s="495" t="s">
        <v>1446</v>
      </c>
      <c r="T235" s="495" t="s">
        <v>1447</v>
      </c>
      <c r="U235" s="484" t="str">
        <f>IFERROR(VLOOKUP(N235,'Thông số'!$B:$F,5,0),"")</f>
        <v/>
      </c>
    </row>
    <row r="236" ht="14.25" customHeight="1" spans="1:21">
      <c r="A236" s="494">
        <v>28</v>
      </c>
      <c r="B236" s="495" t="s">
        <v>1448</v>
      </c>
      <c r="C236" s="497"/>
      <c r="D236" s="473" t="s">
        <v>1449</v>
      </c>
      <c r="E236" s="497"/>
      <c r="F236" s="497"/>
      <c r="G236" s="500" t="s">
        <v>283</v>
      </c>
      <c r="H236" s="473" t="s">
        <v>3530</v>
      </c>
      <c r="I236" s="473" t="s">
        <v>1348</v>
      </c>
      <c r="J236" s="503">
        <v>45833</v>
      </c>
      <c r="K236" s="473" t="s">
        <v>1263</v>
      </c>
      <c r="L236" s="497"/>
      <c r="M236" s="501" t="s">
        <v>1146</v>
      </c>
      <c r="N236" s="473" t="s">
        <v>1230</v>
      </c>
      <c r="O236" s="495" t="s">
        <v>1229</v>
      </c>
      <c r="P236" s="495" t="s">
        <v>500</v>
      </c>
      <c r="Q236" s="473">
        <v>2025</v>
      </c>
      <c r="R236" s="473" t="s">
        <v>272</v>
      </c>
      <c r="S236" s="495" t="s">
        <v>1450</v>
      </c>
      <c r="T236" s="495" t="s">
        <v>1451</v>
      </c>
      <c r="U236" s="484" t="str">
        <f>IFERROR(VLOOKUP(N236,'Thông số'!$B:$F,5,0),"")</f>
        <v/>
      </c>
    </row>
    <row r="237" ht="14.25" customHeight="1" spans="1:21">
      <c r="A237" s="485" t="s">
        <v>1466</v>
      </c>
      <c r="B237" s="486" t="s">
        <v>1467</v>
      </c>
      <c r="C237" s="487">
        <v>23</v>
      </c>
      <c r="D237" s="488"/>
      <c r="E237" s="488"/>
      <c r="F237" s="488"/>
      <c r="G237" s="488"/>
      <c r="H237" s="497"/>
      <c r="I237" s="488"/>
      <c r="J237" s="488"/>
      <c r="K237" s="488"/>
      <c r="L237" s="488"/>
      <c r="M237" s="488"/>
      <c r="N237" s="488"/>
      <c r="O237" s="488"/>
      <c r="P237" s="488"/>
      <c r="Q237" s="488"/>
      <c r="R237" s="488"/>
      <c r="S237" s="488"/>
      <c r="T237" s="488"/>
      <c r="U237" s="484" t="str">
        <f>IFERROR(VLOOKUP(N237,'Thông số'!$B:$F,5,0),"")</f>
        <v/>
      </c>
    </row>
    <row r="238" ht="14.25" customHeight="1" spans="1:21">
      <c r="A238" s="494">
        <v>1</v>
      </c>
      <c r="B238" s="495" t="s">
        <v>1468</v>
      </c>
      <c r="C238" s="497"/>
      <c r="D238" s="473" t="s">
        <v>1469</v>
      </c>
      <c r="E238" s="473" t="s">
        <v>1470</v>
      </c>
      <c r="F238" s="497"/>
      <c r="G238" s="495" t="s">
        <v>252</v>
      </c>
      <c r="H238" s="497"/>
      <c r="I238" s="473" t="s">
        <v>1471</v>
      </c>
      <c r="J238" s="498">
        <v>45575</v>
      </c>
      <c r="K238" s="473" t="s">
        <v>1263</v>
      </c>
      <c r="L238" s="499">
        <v>0.99</v>
      </c>
      <c r="M238" s="501" t="s">
        <v>1472</v>
      </c>
      <c r="N238" s="473" t="s">
        <v>1474</v>
      </c>
      <c r="O238" s="495" t="s">
        <v>1473</v>
      </c>
      <c r="P238" s="495" t="s">
        <v>500</v>
      </c>
      <c r="Q238" s="473">
        <v>2021</v>
      </c>
      <c r="R238" s="473" t="s">
        <v>44</v>
      </c>
      <c r="S238" s="495" t="s">
        <v>1475</v>
      </c>
      <c r="T238" s="495" t="s">
        <v>1476</v>
      </c>
      <c r="U238" s="484" t="str">
        <f>IFERROR(VLOOKUP(N238,'Thông số'!$B:$F,5,0),"")</f>
        <v>4730 x 1750 x 2100</v>
      </c>
    </row>
    <row r="239" ht="14.25" customHeight="1" spans="1:21">
      <c r="A239" s="494">
        <v>2</v>
      </c>
      <c r="B239" s="495" t="s">
        <v>1477</v>
      </c>
      <c r="C239" s="495" t="s">
        <v>1478</v>
      </c>
      <c r="D239" s="473" t="s">
        <v>6621</v>
      </c>
      <c r="E239" s="497"/>
      <c r="F239" s="497"/>
      <c r="G239" s="495" t="s">
        <v>197</v>
      </c>
      <c r="H239" s="473" t="s">
        <v>6574</v>
      </c>
      <c r="I239" s="473" t="s">
        <v>1471</v>
      </c>
      <c r="J239" s="498">
        <v>45471</v>
      </c>
      <c r="K239" s="473" t="s">
        <v>1263</v>
      </c>
      <c r="L239" s="497"/>
      <c r="M239" s="501" t="s">
        <v>1480</v>
      </c>
      <c r="N239" s="473" t="s">
        <v>1122</v>
      </c>
      <c r="O239" s="495" t="s">
        <v>1019</v>
      </c>
      <c r="P239" s="495" t="s">
        <v>500</v>
      </c>
      <c r="Q239" s="473">
        <v>2018</v>
      </c>
      <c r="R239" s="473" t="s">
        <v>128</v>
      </c>
      <c r="S239" s="495" t="s">
        <v>1481</v>
      </c>
      <c r="T239" s="495" t="s">
        <v>462</v>
      </c>
      <c r="U239" s="484" t="str">
        <f>IFERROR(VLOOKUP(N239,'Thông số'!$B:$F,5,0),"")</f>
        <v>3226 x 1570 x 1545</v>
      </c>
    </row>
    <row r="240" ht="14.25" customHeight="1" spans="1:21">
      <c r="A240" s="494">
        <v>3</v>
      </c>
      <c r="B240" s="495" t="s">
        <v>1482</v>
      </c>
      <c r="C240" s="495" t="s">
        <v>1483</v>
      </c>
      <c r="D240" s="473" t="s">
        <v>6622</v>
      </c>
      <c r="E240" s="497"/>
      <c r="F240" s="497"/>
      <c r="G240" s="495" t="s">
        <v>197</v>
      </c>
      <c r="H240" s="473" t="s">
        <v>6574</v>
      </c>
      <c r="I240" s="473" t="s">
        <v>1471</v>
      </c>
      <c r="J240" s="497"/>
      <c r="K240" s="473" t="s">
        <v>1263</v>
      </c>
      <c r="L240" s="497"/>
      <c r="M240" s="501" t="s">
        <v>1484</v>
      </c>
      <c r="N240" s="473" t="s">
        <v>1122</v>
      </c>
      <c r="O240" s="495" t="s">
        <v>1019</v>
      </c>
      <c r="P240" s="495" t="s">
        <v>500</v>
      </c>
      <c r="Q240" s="473">
        <v>2018</v>
      </c>
      <c r="R240" s="473" t="s">
        <v>128</v>
      </c>
      <c r="S240" s="495" t="s">
        <v>1485</v>
      </c>
      <c r="T240" s="495" t="s">
        <v>462</v>
      </c>
      <c r="U240" s="484" t="str">
        <f>IFERROR(VLOOKUP(N240,'Thông số'!$B:$F,5,0),"")</f>
        <v>3226 x 1570 x 1545</v>
      </c>
    </row>
    <row r="241" ht="14.25" customHeight="1" spans="1:21">
      <c r="A241" s="494">
        <v>4</v>
      </c>
      <c r="B241" s="495" t="s">
        <v>1486</v>
      </c>
      <c r="C241" s="495" t="s">
        <v>1487</v>
      </c>
      <c r="D241" s="473" t="s">
        <v>6623</v>
      </c>
      <c r="E241" s="497"/>
      <c r="F241" s="497"/>
      <c r="G241" s="495" t="s">
        <v>197</v>
      </c>
      <c r="H241" s="473" t="s">
        <v>6574</v>
      </c>
      <c r="I241" s="473" t="s">
        <v>1471</v>
      </c>
      <c r="J241" s="497"/>
      <c r="K241" s="473" t="s">
        <v>1263</v>
      </c>
      <c r="L241" s="497"/>
      <c r="M241" s="501" t="s">
        <v>1484</v>
      </c>
      <c r="N241" s="473" t="s">
        <v>1122</v>
      </c>
      <c r="O241" s="495" t="s">
        <v>1019</v>
      </c>
      <c r="P241" s="495" t="s">
        <v>500</v>
      </c>
      <c r="Q241" s="473">
        <v>2018</v>
      </c>
      <c r="R241" s="473" t="s">
        <v>128</v>
      </c>
      <c r="S241" s="495" t="s">
        <v>1488</v>
      </c>
      <c r="T241" s="495" t="s">
        <v>462</v>
      </c>
      <c r="U241" s="484" t="str">
        <f>IFERROR(VLOOKUP(N241,'Thông số'!$B:$F,5,0),"")</f>
        <v>3226 x 1570 x 1545</v>
      </c>
    </row>
    <row r="242" ht="14.25" customHeight="1" spans="1:21">
      <c r="A242" s="494">
        <v>5</v>
      </c>
      <c r="B242" s="495" t="s">
        <v>1489</v>
      </c>
      <c r="C242" s="495" t="s">
        <v>1490</v>
      </c>
      <c r="D242" s="473" t="s">
        <v>6624</v>
      </c>
      <c r="E242" s="497"/>
      <c r="F242" s="497"/>
      <c r="G242" s="495" t="s">
        <v>198</v>
      </c>
      <c r="H242" s="473" t="s">
        <v>6625</v>
      </c>
      <c r="I242" s="473" t="s">
        <v>1471</v>
      </c>
      <c r="J242" s="498">
        <v>45314</v>
      </c>
      <c r="K242" s="473" t="s">
        <v>1263</v>
      </c>
      <c r="L242" s="497"/>
      <c r="M242" s="501" t="s">
        <v>1484</v>
      </c>
      <c r="N242" s="473" t="s">
        <v>1492</v>
      </c>
      <c r="O242" s="495" t="s">
        <v>759</v>
      </c>
      <c r="P242" s="495" t="s">
        <v>500</v>
      </c>
      <c r="Q242" s="497"/>
      <c r="R242" s="473" t="s">
        <v>199</v>
      </c>
      <c r="S242" s="495" t="s">
        <v>462</v>
      </c>
      <c r="T242" s="495">
        <v>11368</v>
      </c>
      <c r="U242" s="484" t="str">
        <f>IFERROR(VLOOKUP(N242,'Thông số'!$B:$F,5,0),"")</f>
        <v>2570 x 1200 x 1950</v>
      </c>
    </row>
    <row r="243" ht="14.25" customHeight="1" spans="1:21">
      <c r="A243" s="494">
        <v>6</v>
      </c>
      <c r="B243" s="495" t="s">
        <v>1493</v>
      </c>
      <c r="C243" s="495" t="s">
        <v>1494</v>
      </c>
      <c r="D243" s="473" t="s">
        <v>6626</v>
      </c>
      <c r="E243" s="497"/>
      <c r="F243" s="497"/>
      <c r="G243" s="495" t="s">
        <v>200</v>
      </c>
      <c r="H243" s="473" t="s">
        <v>6574</v>
      </c>
      <c r="I243" s="473" t="s">
        <v>1471</v>
      </c>
      <c r="J243" s="497"/>
      <c r="K243" s="473" t="s">
        <v>1263</v>
      </c>
      <c r="L243" s="497"/>
      <c r="M243" s="501" t="s">
        <v>1495</v>
      </c>
      <c r="N243" s="473" t="s">
        <v>1137</v>
      </c>
      <c r="O243" s="495" t="s">
        <v>759</v>
      </c>
      <c r="P243" s="495" t="s">
        <v>453</v>
      </c>
      <c r="Q243" s="473">
        <v>2019</v>
      </c>
      <c r="R243" s="473" t="s">
        <v>41</v>
      </c>
      <c r="S243" s="495" t="s">
        <v>1496</v>
      </c>
      <c r="T243" s="495" t="s">
        <v>462</v>
      </c>
      <c r="U243" s="484" t="str">
        <f>IFERROR(VLOOKUP(N243,'Thông số'!$B:$F,5,0),"")</f>
        <v>3120 x 1495 x 1510</v>
      </c>
    </row>
    <row r="244" ht="14.25" customHeight="1" spans="1:21">
      <c r="A244" s="494">
        <v>7</v>
      </c>
      <c r="B244" s="495" t="s">
        <v>1497</v>
      </c>
      <c r="C244" s="500" t="s">
        <v>492</v>
      </c>
      <c r="D244" s="473" t="s">
        <v>1498</v>
      </c>
      <c r="E244" s="497"/>
      <c r="F244" s="497"/>
      <c r="G244" s="500" t="s">
        <v>1499</v>
      </c>
      <c r="H244" s="473" t="s">
        <v>6537</v>
      </c>
      <c r="I244" s="473" t="s">
        <v>1471</v>
      </c>
      <c r="J244" s="503">
        <v>45865</v>
      </c>
      <c r="K244" s="473" t="s">
        <v>1263</v>
      </c>
      <c r="L244" s="497"/>
      <c r="M244" s="501" t="s">
        <v>1500</v>
      </c>
      <c r="N244" s="473" t="s">
        <v>556</v>
      </c>
      <c r="O244" s="495" t="s">
        <v>480</v>
      </c>
      <c r="P244" s="495" t="s">
        <v>453</v>
      </c>
      <c r="Q244" s="473">
        <v>2013</v>
      </c>
      <c r="R244" s="473" t="s">
        <v>767</v>
      </c>
      <c r="S244" s="495" t="s">
        <v>1501</v>
      </c>
      <c r="T244" s="495">
        <v>27539</v>
      </c>
      <c r="U244" s="484" t="str">
        <f>IFERROR(VLOOKUP(N244,'Thông số'!$B:$F,5,0),"")</f>
        <v>5260 x 1760 x 2415</v>
      </c>
    </row>
    <row r="245" ht="14.25" customHeight="1" spans="1:21">
      <c r="A245" s="494">
        <v>8</v>
      </c>
      <c r="B245" s="495" t="s">
        <v>1502</v>
      </c>
      <c r="C245" s="500" t="s">
        <v>492</v>
      </c>
      <c r="D245" s="473" t="s">
        <v>1503</v>
      </c>
      <c r="E245" s="497"/>
      <c r="F245" s="497"/>
      <c r="G245" s="500" t="s">
        <v>1499</v>
      </c>
      <c r="H245" s="473" t="s">
        <v>6537</v>
      </c>
      <c r="I245" s="473" t="s">
        <v>1471</v>
      </c>
      <c r="J245" s="503">
        <v>45865</v>
      </c>
      <c r="K245" s="473" t="s">
        <v>1263</v>
      </c>
      <c r="L245" s="497"/>
      <c r="M245" s="501" t="s">
        <v>1500</v>
      </c>
      <c r="N245" s="473" t="s">
        <v>556</v>
      </c>
      <c r="O245" s="495" t="s">
        <v>480</v>
      </c>
      <c r="P245" s="495" t="s">
        <v>453</v>
      </c>
      <c r="Q245" s="473">
        <v>2013</v>
      </c>
      <c r="R245" s="473" t="s">
        <v>767</v>
      </c>
      <c r="S245" s="495" t="s">
        <v>1504</v>
      </c>
      <c r="T245" s="495">
        <v>29346</v>
      </c>
      <c r="U245" s="484" t="str">
        <f>IFERROR(VLOOKUP(N245,'Thông số'!$B:$F,5,0),"")</f>
        <v>5260 x 1760 x 2415</v>
      </c>
    </row>
    <row r="246" ht="14.25" customHeight="1" spans="1:21">
      <c r="A246" s="494">
        <v>9</v>
      </c>
      <c r="B246" s="495" t="s">
        <v>1514</v>
      </c>
      <c r="C246" s="495" t="s">
        <v>1515</v>
      </c>
      <c r="D246" s="473" t="s">
        <v>1516</v>
      </c>
      <c r="E246" s="497"/>
      <c r="F246" s="497"/>
      <c r="G246" s="495" t="s">
        <v>287</v>
      </c>
      <c r="H246" s="473" t="s">
        <v>3558</v>
      </c>
      <c r="I246" s="473" t="s">
        <v>1471</v>
      </c>
      <c r="J246" s="503">
        <v>45867</v>
      </c>
      <c r="K246" s="473" t="s">
        <v>1263</v>
      </c>
      <c r="L246" s="497"/>
      <c r="M246" s="504" t="s">
        <v>1518</v>
      </c>
      <c r="N246" s="473" t="s">
        <v>1198</v>
      </c>
      <c r="O246" s="495" t="s">
        <v>964</v>
      </c>
      <c r="P246" s="495" t="s">
        <v>1197</v>
      </c>
      <c r="Q246" s="473">
        <v>2022</v>
      </c>
      <c r="R246" s="473" t="s">
        <v>219</v>
      </c>
      <c r="S246" s="495">
        <v>203084</v>
      </c>
      <c r="T246" s="495" t="s">
        <v>1519</v>
      </c>
      <c r="U246" s="484" t="str">
        <f>IFERROR(VLOOKUP(N246,'Thông số'!$B:$F,5,0),"")</f>
        <v/>
      </c>
    </row>
    <row r="247" ht="14.25" customHeight="1" spans="1:21">
      <c r="A247" s="494">
        <v>10</v>
      </c>
      <c r="B247" s="495" t="s">
        <v>1520</v>
      </c>
      <c r="C247" s="495" t="s">
        <v>1521</v>
      </c>
      <c r="D247" s="473" t="s">
        <v>1522</v>
      </c>
      <c r="E247" s="497"/>
      <c r="F247" s="495" t="s">
        <v>3388</v>
      </c>
      <c r="G247" s="495" t="s">
        <v>111</v>
      </c>
      <c r="H247" s="473" t="s">
        <v>6594</v>
      </c>
      <c r="I247" s="473" t="s">
        <v>1471</v>
      </c>
      <c r="J247" s="498">
        <v>45455</v>
      </c>
      <c r="K247" s="473" t="s">
        <v>1263</v>
      </c>
      <c r="L247" s="499">
        <v>1</v>
      </c>
      <c r="M247" s="501" t="s">
        <v>1523</v>
      </c>
      <c r="N247" s="473" t="s">
        <v>6595</v>
      </c>
      <c r="O247" s="495" t="s">
        <v>621</v>
      </c>
      <c r="P247" s="495" t="s">
        <v>500</v>
      </c>
      <c r="Q247" s="507">
        <v>2024</v>
      </c>
      <c r="R247" s="473" t="s">
        <v>112</v>
      </c>
      <c r="S247" s="495" t="s">
        <v>1524</v>
      </c>
      <c r="T247" s="495" t="s">
        <v>1525</v>
      </c>
      <c r="U247" s="484" t="str">
        <f>IFERROR(VLOOKUP(N247,'Thông số'!$B:$F,5,0),"")</f>
        <v>5250 x 2170 x 2520</v>
      </c>
    </row>
    <row r="248" ht="14.25" customHeight="1" spans="1:21">
      <c r="A248" s="494">
        <v>11</v>
      </c>
      <c r="B248" s="495" t="s">
        <v>1526</v>
      </c>
      <c r="C248" s="495" t="s">
        <v>1527</v>
      </c>
      <c r="D248" s="473" t="s">
        <v>1528</v>
      </c>
      <c r="E248" s="497"/>
      <c r="F248" s="495" t="s">
        <v>3389</v>
      </c>
      <c r="G248" s="495" t="s">
        <v>111</v>
      </c>
      <c r="H248" s="473" t="s">
        <v>6594</v>
      </c>
      <c r="I248" s="473" t="s">
        <v>1471</v>
      </c>
      <c r="J248" s="498">
        <v>45455</v>
      </c>
      <c r="K248" s="473" t="s">
        <v>1263</v>
      </c>
      <c r="L248" s="499">
        <v>0.99</v>
      </c>
      <c r="M248" s="501" t="s">
        <v>1523</v>
      </c>
      <c r="N248" s="473" t="s">
        <v>6595</v>
      </c>
      <c r="O248" s="495" t="s">
        <v>621</v>
      </c>
      <c r="P248" s="495" t="s">
        <v>500</v>
      </c>
      <c r="Q248" s="507">
        <v>2024</v>
      </c>
      <c r="R248" s="473" t="s">
        <v>112</v>
      </c>
      <c r="S248" s="495" t="s">
        <v>1529</v>
      </c>
      <c r="T248" s="495" t="s">
        <v>1530</v>
      </c>
      <c r="U248" s="484" t="str">
        <f>IFERROR(VLOOKUP(N248,'Thông số'!$B:$F,5,0),"")</f>
        <v>5250 x 2170 x 2520</v>
      </c>
    </row>
    <row r="249" ht="14.25" customHeight="1" spans="1:21">
      <c r="A249" s="494">
        <v>12</v>
      </c>
      <c r="B249" s="495" t="s">
        <v>1531</v>
      </c>
      <c r="C249" s="497"/>
      <c r="D249" s="473" t="s">
        <v>6627</v>
      </c>
      <c r="E249" s="473" t="s">
        <v>1532</v>
      </c>
      <c r="F249" s="497"/>
      <c r="G249" s="495" t="s">
        <v>111</v>
      </c>
      <c r="H249" s="473" t="s">
        <v>6594</v>
      </c>
      <c r="I249" s="473" t="s">
        <v>1471</v>
      </c>
      <c r="J249" s="498">
        <v>45503</v>
      </c>
      <c r="K249" s="473" t="s">
        <v>1263</v>
      </c>
      <c r="L249" s="497"/>
      <c r="M249" s="501" t="s">
        <v>1533</v>
      </c>
      <c r="N249" s="473" t="s">
        <v>6595</v>
      </c>
      <c r="O249" s="495" t="s">
        <v>621</v>
      </c>
      <c r="P249" s="495" t="s">
        <v>500</v>
      </c>
      <c r="Q249" s="473">
        <v>2024</v>
      </c>
      <c r="R249" s="473" t="s">
        <v>112</v>
      </c>
      <c r="S249" s="495" t="s">
        <v>1534</v>
      </c>
      <c r="T249" s="495" t="s">
        <v>1535</v>
      </c>
      <c r="U249" s="484" t="str">
        <f>IFERROR(VLOOKUP(N249,'Thông số'!$B:$F,5,0),"")</f>
        <v>5250 x 2170 x 2520</v>
      </c>
    </row>
    <row r="250" ht="14.25" customHeight="1" spans="1:21">
      <c r="A250" s="494">
        <v>13</v>
      </c>
      <c r="B250" s="495" t="s">
        <v>4839</v>
      </c>
      <c r="C250" s="497"/>
      <c r="D250" s="473" t="s">
        <v>4840</v>
      </c>
      <c r="E250" s="497"/>
      <c r="F250" s="497"/>
      <c r="G250" s="495" t="s">
        <v>4841</v>
      </c>
      <c r="H250" s="497"/>
      <c r="I250" s="473" t="s">
        <v>1471</v>
      </c>
      <c r="J250" s="497"/>
      <c r="K250" s="473" t="s">
        <v>1263</v>
      </c>
      <c r="L250" s="497"/>
      <c r="M250" s="501" t="s">
        <v>1146</v>
      </c>
      <c r="N250" s="473" t="s">
        <v>6628</v>
      </c>
      <c r="O250" s="495" t="s">
        <v>4842</v>
      </c>
      <c r="P250" s="495" t="s">
        <v>500</v>
      </c>
      <c r="Q250" s="473">
        <v>2024</v>
      </c>
      <c r="R250" s="473" t="s">
        <v>242</v>
      </c>
      <c r="S250" s="497"/>
      <c r="T250" s="495">
        <v>210311293</v>
      </c>
      <c r="U250" s="484" t="str">
        <f>IFERROR(VLOOKUP(N250,'Thông số'!$B:$F,5,0),"")</f>
        <v/>
      </c>
    </row>
    <row r="251" ht="14.25" customHeight="1" spans="1:21">
      <c r="A251" s="494">
        <v>14</v>
      </c>
      <c r="B251" s="495" t="s">
        <v>1543</v>
      </c>
      <c r="C251" s="495" t="s">
        <v>1544</v>
      </c>
      <c r="D251" s="473" t="s">
        <v>1545</v>
      </c>
      <c r="E251" s="497"/>
      <c r="F251" s="495" t="s">
        <v>1545</v>
      </c>
      <c r="G251" s="495" t="s">
        <v>127</v>
      </c>
      <c r="H251" s="473" t="s">
        <v>6592</v>
      </c>
      <c r="I251" s="473" t="s">
        <v>1471</v>
      </c>
      <c r="J251" s="498">
        <v>41974</v>
      </c>
      <c r="K251" s="473" t="s">
        <v>1263</v>
      </c>
      <c r="L251" s="497"/>
      <c r="M251" s="501" t="s">
        <v>1546</v>
      </c>
      <c r="N251" s="497"/>
      <c r="O251" s="495" t="s">
        <v>1164</v>
      </c>
      <c r="P251" s="495" t="s">
        <v>1165</v>
      </c>
      <c r="Q251" s="497"/>
      <c r="R251" s="473" t="s">
        <v>208</v>
      </c>
      <c r="S251" s="495">
        <v>29823</v>
      </c>
      <c r="T251" s="495" t="s">
        <v>462</v>
      </c>
      <c r="U251" s="484" t="str">
        <f>IFERROR(VLOOKUP(N251,'Thông số'!$B:$F,5,0),"")</f>
        <v/>
      </c>
    </row>
    <row r="252" ht="14.25" customHeight="1" spans="1:21">
      <c r="A252" s="494">
        <v>15</v>
      </c>
      <c r="B252" s="495" t="s">
        <v>1547</v>
      </c>
      <c r="C252" s="495" t="s">
        <v>1548</v>
      </c>
      <c r="D252" s="473" t="s">
        <v>1549</v>
      </c>
      <c r="E252" s="497"/>
      <c r="F252" s="495" t="s">
        <v>1549</v>
      </c>
      <c r="G252" s="495" t="s">
        <v>127</v>
      </c>
      <c r="H252" s="473" t="s">
        <v>6592</v>
      </c>
      <c r="I252" s="473" t="s">
        <v>1471</v>
      </c>
      <c r="J252" s="498">
        <v>41974</v>
      </c>
      <c r="K252" s="473" t="s">
        <v>1263</v>
      </c>
      <c r="L252" s="497"/>
      <c r="M252" s="501" t="s">
        <v>1546</v>
      </c>
      <c r="N252" s="497"/>
      <c r="O252" s="495" t="s">
        <v>1164</v>
      </c>
      <c r="P252" s="495" t="s">
        <v>1165</v>
      </c>
      <c r="Q252" s="497"/>
      <c r="R252" s="473" t="s">
        <v>208</v>
      </c>
      <c r="S252" s="495">
        <v>101437</v>
      </c>
      <c r="T252" s="495" t="s">
        <v>462</v>
      </c>
      <c r="U252" s="484" t="str">
        <f>IFERROR(VLOOKUP(N252,'Thông số'!$B:$F,5,0),"")</f>
        <v/>
      </c>
    </row>
    <row r="253" ht="14.25" customHeight="1" spans="1:21">
      <c r="A253" s="494">
        <v>16</v>
      </c>
      <c r="B253" s="495" t="s">
        <v>1550</v>
      </c>
      <c r="C253" s="495" t="s">
        <v>1551</v>
      </c>
      <c r="D253" s="497"/>
      <c r="E253" s="497"/>
      <c r="F253" s="497"/>
      <c r="G253" s="495" t="s">
        <v>226</v>
      </c>
      <c r="H253" s="473" t="s">
        <v>3454</v>
      </c>
      <c r="I253" s="473" t="s">
        <v>1471</v>
      </c>
      <c r="J253" s="497"/>
      <c r="K253" s="473" t="s">
        <v>1263</v>
      </c>
      <c r="L253" s="497"/>
      <c r="M253" s="501" t="s">
        <v>1552</v>
      </c>
      <c r="N253" s="497"/>
      <c r="O253" s="495" t="s">
        <v>1267</v>
      </c>
      <c r="P253" s="495" t="s">
        <v>465</v>
      </c>
      <c r="Q253" s="497"/>
      <c r="R253" s="473" t="s">
        <v>1553</v>
      </c>
      <c r="S253" s="495">
        <v>6958</v>
      </c>
      <c r="T253" s="495" t="s">
        <v>462</v>
      </c>
      <c r="U253" s="484" t="str">
        <f>IFERROR(VLOOKUP(N253,'Thông số'!$B:$F,5,0),"")</f>
        <v/>
      </c>
    </row>
    <row r="254" ht="14.25" customHeight="1" spans="1:21">
      <c r="A254" s="494">
        <v>17</v>
      </c>
      <c r="B254" s="495" t="s">
        <v>1554</v>
      </c>
      <c r="C254" s="495" t="s">
        <v>1555</v>
      </c>
      <c r="D254" s="497"/>
      <c r="E254" s="497"/>
      <c r="F254" s="497"/>
      <c r="G254" s="495" t="s">
        <v>1556</v>
      </c>
      <c r="H254" s="497"/>
      <c r="I254" s="473" t="s">
        <v>1471</v>
      </c>
      <c r="J254" s="497"/>
      <c r="K254" s="473" t="s">
        <v>1263</v>
      </c>
      <c r="L254" s="497"/>
      <c r="M254" s="501" t="s">
        <v>1552</v>
      </c>
      <c r="N254" s="473" t="s">
        <v>1141</v>
      </c>
      <c r="O254" s="495" t="s">
        <v>1139</v>
      </c>
      <c r="P254" s="495" t="s">
        <v>1140</v>
      </c>
      <c r="Q254" s="473">
        <v>2019</v>
      </c>
      <c r="R254" s="473" t="s">
        <v>1557</v>
      </c>
      <c r="S254" s="495">
        <v>1501190010</v>
      </c>
      <c r="T254" s="495" t="s">
        <v>462</v>
      </c>
      <c r="U254" s="484" t="str">
        <f>IFERROR(VLOOKUP(N254,'Thông số'!$B:$F,5,0),"")</f>
        <v/>
      </c>
    </row>
    <row r="255" ht="14.25" customHeight="1" spans="1:21">
      <c r="A255" s="494">
        <v>18</v>
      </c>
      <c r="B255" s="495" t="s">
        <v>1562</v>
      </c>
      <c r="C255" s="495" t="s">
        <v>1563</v>
      </c>
      <c r="D255" s="497"/>
      <c r="E255" s="497"/>
      <c r="F255" s="495" t="s">
        <v>3534</v>
      </c>
      <c r="G255" s="495" t="s">
        <v>284</v>
      </c>
      <c r="H255" s="497"/>
      <c r="I255" s="473" t="s">
        <v>1471</v>
      </c>
      <c r="J255" s="498">
        <v>45269</v>
      </c>
      <c r="K255" s="473" t="s">
        <v>1263</v>
      </c>
      <c r="L255" s="497"/>
      <c r="M255" s="501" t="s">
        <v>1564</v>
      </c>
      <c r="N255" s="473" t="s">
        <v>1566</v>
      </c>
      <c r="O255" s="495" t="s">
        <v>1565</v>
      </c>
      <c r="P255" s="495" t="s">
        <v>1140</v>
      </c>
      <c r="Q255" s="473">
        <v>2022</v>
      </c>
      <c r="R255" s="473" t="s">
        <v>1567</v>
      </c>
      <c r="S255" s="495" t="s">
        <v>462</v>
      </c>
      <c r="T255" s="495" t="s">
        <v>1568</v>
      </c>
      <c r="U255" s="484" t="str">
        <f>IFERROR(VLOOKUP(N255,'Thông số'!$B:$F,5,0),"")</f>
        <v/>
      </c>
    </row>
    <row r="256" ht="14.25" customHeight="1" spans="1:21">
      <c r="A256" s="494">
        <v>19</v>
      </c>
      <c r="B256" s="495" t="s">
        <v>1569</v>
      </c>
      <c r="C256" s="497"/>
      <c r="D256" s="473" t="s">
        <v>1570</v>
      </c>
      <c r="E256" s="497"/>
      <c r="F256" s="497"/>
      <c r="G256" s="500" t="s">
        <v>283</v>
      </c>
      <c r="H256" s="473" t="s">
        <v>3530</v>
      </c>
      <c r="I256" s="473" t="s">
        <v>1471</v>
      </c>
      <c r="J256" s="503">
        <v>45833</v>
      </c>
      <c r="K256" s="473" t="s">
        <v>1263</v>
      </c>
      <c r="L256" s="497"/>
      <c r="M256" s="501" t="s">
        <v>1146</v>
      </c>
      <c r="N256" s="473" t="s">
        <v>1230</v>
      </c>
      <c r="O256" s="495" t="s">
        <v>1229</v>
      </c>
      <c r="P256" s="495" t="s">
        <v>500</v>
      </c>
      <c r="Q256" s="473">
        <v>2025</v>
      </c>
      <c r="R256" s="473" t="s">
        <v>6629</v>
      </c>
      <c r="S256" s="495" t="s">
        <v>1571</v>
      </c>
      <c r="T256" s="495" t="s">
        <v>1572</v>
      </c>
      <c r="U256" s="484" t="str">
        <f>IFERROR(VLOOKUP(N256,'Thông số'!$B:$F,5,0),"")</f>
        <v/>
      </c>
    </row>
    <row r="257" ht="14.25" customHeight="1" spans="1:21">
      <c r="A257" s="494">
        <v>20</v>
      </c>
      <c r="B257" s="495" t="s">
        <v>1573</v>
      </c>
      <c r="C257" s="497"/>
      <c r="D257" s="473" t="s">
        <v>1574</v>
      </c>
      <c r="E257" s="497"/>
      <c r="F257" s="497"/>
      <c r="G257" s="500" t="s">
        <v>283</v>
      </c>
      <c r="H257" s="473" t="s">
        <v>3530</v>
      </c>
      <c r="I257" s="473" t="s">
        <v>1471</v>
      </c>
      <c r="J257" s="503">
        <v>45833</v>
      </c>
      <c r="K257" s="473" t="s">
        <v>1263</v>
      </c>
      <c r="L257" s="497"/>
      <c r="M257" s="501" t="s">
        <v>1146</v>
      </c>
      <c r="N257" s="473" t="s">
        <v>1230</v>
      </c>
      <c r="O257" s="495" t="s">
        <v>1229</v>
      </c>
      <c r="P257" s="495" t="s">
        <v>500</v>
      </c>
      <c r="Q257" s="473">
        <v>2025</v>
      </c>
      <c r="R257" s="473" t="s">
        <v>6629</v>
      </c>
      <c r="S257" s="495" t="s">
        <v>1575</v>
      </c>
      <c r="T257" s="495" t="s">
        <v>1576</v>
      </c>
      <c r="U257" s="484" t="str">
        <f>IFERROR(VLOOKUP(N257,'Thông số'!$B:$F,5,0),"")</f>
        <v/>
      </c>
    </row>
    <row r="258" ht="14.25" customHeight="1" spans="1:21">
      <c r="A258" s="494">
        <v>21</v>
      </c>
      <c r="B258" s="495" t="s">
        <v>1577</v>
      </c>
      <c r="C258" s="497"/>
      <c r="D258" s="473" t="s">
        <v>1578</v>
      </c>
      <c r="E258" s="497"/>
      <c r="F258" s="497"/>
      <c r="G258" s="500" t="s">
        <v>283</v>
      </c>
      <c r="H258" s="473" t="s">
        <v>3530</v>
      </c>
      <c r="I258" s="473" t="s">
        <v>1471</v>
      </c>
      <c r="J258" s="503">
        <v>45833</v>
      </c>
      <c r="K258" s="473" t="s">
        <v>1263</v>
      </c>
      <c r="L258" s="497"/>
      <c r="M258" s="501" t="s">
        <v>1146</v>
      </c>
      <c r="N258" s="473" t="s">
        <v>1230</v>
      </c>
      <c r="O258" s="495" t="s">
        <v>1229</v>
      </c>
      <c r="P258" s="495" t="s">
        <v>500</v>
      </c>
      <c r="Q258" s="473">
        <v>2025</v>
      </c>
      <c r="R258" s="473" t="s">
        <v>6629</v>
      </c>
      <c r="S258" s="495" t="s">
        <v>1579</v>
      </c>
      <c r="T258" s="495" t="s">
        <v>1572</v>
      </c>
      <c r="U258" s="484" t="str">
        <f>IFERROR(VLOOKUP(N258,'Thông số'!$B:$F,5,0),"")</f>
        <v/>
      </c>
    </row>
    <row r="259" ht="14.25" customHeight="1" spans="1:21">
      <c r="A259" s="494">
        <v>22</v>
      </c>
      <c r="B259" s="495" t="s">
        <v>1580</v>
      </c>
      <c r="C259" s="497"/>
      <c r="D259" s="473" t="s">
        <v>1581</v>
      </c>
      <c r="E259" s="497"/>
      <c r="F259" s="497"/>
      <c r="G259" s="500" t="s">
        <v>283</v>
      </c>
      <c r="H259" s="473" t="s">
        <v>3530</v>
      </c>
      <c r="I259" s="473" t="s">
        <v>1471</v>
      </c>
      <c r="J259" s="503">
        <v>45833</v>
      </c>
      <c r="K259" s="473" t="s">
        <v>1263</v>
      </c>
      <c r="L259" s="497"/>
      <c r="M259" s="501" t="s">
        <v>1146</v>
      </c>
      <c r="N259" s="473" t="s">
        <v>1230</v>
      </c>
      <c r="O259" s="495" t="s">
        <v>1229</v>
      </c>
      <c r="P259" s="495" t="s">
        <v>500</v>
      </c>
      <c r="Q259" s="473">
        <v>2025</v>
      </c>
      <c r="R259" s="473" t="s">
        <v>6629</v>
      </c>
      <c r="S259" s="495" t="s">
        <v>1582</v>
      </c>
      <c r="T259" s="495" t="s">
        <v>1583</v>
      </c>
      <c r="U259" s="484" t="str">
        <f>IFERROR(VLOOKUP(N259,'Thông số'!$B:$F,5,0),"")</f>
        <v/>
      </c>
    </row>
    <row r="260" ht="14.25" customHeight="1" spans="1:21">
      <c r="A260" s="494">
        <v>23</v>
      </c>
      <c r="B260" s="495" t="s">
        <v>1584</v>
      </c>
      <c r="C260" s="495" t="s">
        <v>1585</v>
      </c>
      <c r="D260" s="497"/>
      <c r="E260" s="497"/>
      <c r="F260" s="497"/>
      <c r="G260" s="500" t="s">
        <v>225</v>
      </c>
      <c r="H260" s="473" t="s">
        <v>3454</v>
      </c>
      <c r="I260" s="473" t="s">
        <v>1471</v>
      </c>
      <c r="J260" s="502"/>
      <c r="K260" s="473" t="s">
        <v>1263</v>
      </c>
      <c r="L260" s="497"/>
      <c r="M260" s="501" t="s">
        <v>1586</v>
      </c>
      <c r="N260" s="473" t="s">
        <v>1587</v>
      </c>
      <c r="O260" s="495" t="s">
        <v>621</v>
      </c>
      <c r="P260" s="495" t="s">
        <v>500</v>
      </c>
      <c r="Q260" s="473">
        <v>2018</v>
      </c>
      <c r="R260" s="473" t="s">
        <v>812</v>
      </c>
      <c r="S260" s="495">
        <v>380096</v>
      </c>
      <c r="T260" s="495" t="s">
        <v>462</v>
      </c>
      <c r="U260" s="484" t="str">
        <f>IFERROR(VLOOKUP(N260,'Thông số'!$B:$F,5,0),"")</f>
        <v>4890 x 2015 x 2500</v>
      </c>
    </row>
    <row r="261" ht="14.25" customHeight="1" spans="1:21">
      <c r="A261" s="485" t="s">
        <v>1589</v>
      </c>
      <c r="B261" s="486" t="s">
        <v>1590</v>
      </c>
      <c r="C261" s="487">
        <v>35</v>
      </c>
      <c r="D261" s="488"/>
      <c r="E261" s="488"/>
      <c r="F261" s="488"/>
      <c r="G261" s="488"/>
      <c r="H261" s="497"/>
      <c r="I261" s="488"/>
      <c r="J261" s="488"/>
      <c r="K261" s="488"/>
      <c r="L261" s="488"/>
      <c r="M261" s="488"/>
      <c r="N261" s="488"/>
      <c r="O261" s="488"/>
      <c r="P261" s="488"/>
      <c r="Q261" s="488"/>
      <c r="R261" s="488"/>
      <c r="S261" s="488"/>
      <c r="T261" s="488"/>
      <c r="U261" s="484" t="str">
        <f>IFERROR(VLOOKUP(N261,'Thông số'!$B:$F,5,0),"")</f>
        <v/>
      </c>
    </row>
    <row r="262" ht="14.25" customHeight="1" spans="1:21">
      <c r="A262" s="494">
        <v>1</v>
      </c>
      <c r="B262" s="495" t="s">
        <v>1591</v>
      </c>
      <c r="C262" s="495" t="s">
        <v>1592</v>
      </c>
      <c r="D262" s="473" t="s">
        <v>6630</v>
      </c>
      <c r="E262" s="497"/>
      <c r="F262" s="497"/>
      <c r="G262" s="495" t="s">
        <v>197</v>
      </c>
      <c r="H262" s="473" t="s">
        <v>6574</v>
      </c>
      <c r="I262" s="473" t="s">
        <v>1593</v>
      </c>
      <c r="J262" s="497"/>
      <c r="K262" s="473" t="s">
        <v>1263</v>
      </c>
      <c r="L262" s="497"/>
      <c r="M262" s="497"/>
      <c r="N262" s="473" t="s">
        <v>1122</v>
      </c>
      <c r="O262" s="495" t="s">
        <v>1019</v>
      </c>
      <c r="P262" s="495" t="s">
        <v>500</v>
      </c>
      <c r="Q262" s="473">
        <v>2018</v>
      </c>
      <c r="R262" s="473" t="s">
        <v>128</v>
      </c>
      <c r="S262" s="495" t="s">
        <v>1594</v>
      </c>
      <c r="T262" s="495" t="s">
        <v>462</v>
      </c>
      <c r="U262" s="484" t="str">
        <f>IFERROR(VLOOKUP(N262,'Thông số'!$B:$F,5,0),"")</f>
        <v>3226 x 1570 x 1545</v>
      </c>
    </row>
    <row r="263" ht="14.25" customHeight="1" spans="1:21">
      <c r="A263" s="494">
        <v>2</v>
      </c>
      <c r="B263" s="495" t="s">
        <v>1595</v>
      </c>
      <c r="C263" s="495" t="s">
        <v>1596</v>
      </c>
      <c r="D263" s="473" t="s">
        <v>6631</v>
      </c>
      <c r="E263" s="497"/>
      <c r="F263" s="497"/>
      <c r="G263" s="495" t="s">
        <v>197</v>
      </c>
      <c r="H263" s="473" t="s">
        <v>6574</v>
      </c>
      <c r="I263" s="473" t="s">
        <v>1593</v>
      </c>
      <c r="J263" s="497"/>
      <c r="K263" s="473" t="s">
        <v>1263</v>
      </c>
      <c r="L263" s="497"/>
      <c r="M263" s="497"/>
      <c r="N263" s="473" t="s">
        <v>1122</v>
      </c>
      <c r="O263" s="495" t="s">
        <v>1019</v>
      </c>
      <c r="P263" s="495" t="s">
        <v>500</v>
      </c>
      <c r="Q263" s="473">
        <v>2018</v>
      </c>
      <c r="R263" s="473" t="s">
        <v>128</v>
      </c>
      <c r="S263" s="495" t="s">
        <v>1597</v>
      </c>
      <c r="T263" s="495" t="s">
        <v>462</v>
      </c>
      <c r="U263" s="484" t="str">
        <f>IFERROR(VLOOKUP(N263,'Thông số'!$B:$F,5,0),"")</f>
        <v>3226 x 1570 x 1545</v>
      </c>
    </row>
    <row r="264" ht="14.25" customHeight="1" spans="1:21">
      <c r="A264" s="489">
        <v>3</v>
      </c>
      <c r="B264" s="490" t="s">
        <v>1598</v>
      </c>
      <c r="C264" s="490" t="s">
        <v>1599</v>
      </c>
      <c r="D264" s="470" t="s">
        <v>6632</v>
      </c>
      <c r="E264" s="491"/>
      <c r="F264" s="491"/>
      <c r="G264" s="490" t="s">
        <v>197</v>
      </c>
      <c r="H264" s="470" t="s">
        <v>6574</v>
      </c>
      <c r="I264" s="470" t="s">
        <v>1593</v>
      </c>
      <c r="J264" s="491"/>
      <c r="K264" s="470" t="s">
        <v>1126</v>
      </c>
      <c r="L264" s="491"/>
      <c r="M264" s="491"/>
      <c r="N264" s="470" t="s">
        <v>1122</v>
      </c>
      <c r="O264" s="490" t="s">
        <v>1019</v>
      </c>
      <c r="P264" s="490" t="s">
        <v>500</v>
      </c>
      <c r="Q264" s="470">
        <v>2018</v>
      </c>
      <c r="R264" s="470" t="s">
        <v>128</v>
      </c>
      <c r="S264" s="490" t="s">
        <v>1600</v>
      </c>
      <c r="T264" s="490" t="s">
        <v>462</v>
      </c>
      <c r="U264" s="484" t="str">
        <f>IFERROR(VLOOKUP(N264,'Thông số'!$B:$F,5,0),"")</f>
        <v>3226 x 1570 x 1545</v>
      </c>
    </row>
    <row r="265" ht="14.25" customHeight="1" spans="1:21">
      <c r="A265" s="494">
        <v>4</v>
      </c>
      <c r="B265" s="495" t="s">
        <v>1601</v>
      </c>
      <c r="C265" s="495" t="s">
        <v>1602</v>
      </c>
      <c r="D265" s="473" t="s">
        <v>6633</v>
      </c>
      <c r="E265" s="497"/>
      <c r="F265" s="497"/>
      <c r="G265" s="495" t="s">
        <v>200</v>
      </c>
      <c r="H265" s="473" t="s">
        <v>6574</v>
      </c>
      <c r="I265" s="473" t="s">
        <v>1593</v>
      </c>
      <c r="J265" s="497"/>
      <c r="K265" s="473" t="s">
        <v>1263</v>
      </c>
      <c r="L265" s="497"/>
      <c r="M265" s="497"/>
      <c r="N265" s="473" t="s">
        <v>1137</v>
      </c>
      <c r="O265" s="495" t="s">
        <v>759</v>
      </c>
      <c r="P265" s="495" t="s">
        <v>453</v>
      </c>
      <c r="Q265" s="473">
        <v>2019</v>
      </c>
      <c r="R265" s="473" t="s">
        <v>41</v>
      </c>
      <c r="S265" s="495">
        <v>1665</v>
      </c>
      <c r="T265" s="495" t="s">
        <v>462</v>
      </c>
      <c r="U265" s="484" t="str">
        <f>IFERROR(VLOOKUP(N265,'Thông số'!$B:$F,5,0),"")</f>
        <v>3120 x 1495 x 1510</v>
      </c>
    </row>
    <row r="266" ht="14.25" customHeight="1" spans="1:21">
      <c r="A266" s="494">
        <v>5</v>
      </c>
      <c r="B266" s="500" t="s">
        <v>1603</v>
      </c>
      <c r="C266" s="500" t="s">
        <v>1604</v>
      </c>
      <c r="D266" s="473" t="s">
        <v>6634</v>
      </c>
      <c r="E266" s="502"/>
      <c r="F266" s="502"/>
      <c r="G266" s="500" t="s">
        <v>207</v>
      </c>
      <c r="H266" s="473" t="s">
        <v>6574</v>
      </c>
      <c r="I266" s="474" t="s">
        <v>1593</v>
      </c>
      <c r="J266" s="503">
        <v>45343</v>
      </c>
      <c r="K266" s="473" t="s">
        <v>1263</v>
      </c>
      <c r="L266" s="497"/>
      <c r="M266" s="504" t="s">
        <v>1606</v>
      </c>
      <c r="N266" s="474" t="s">
        <v>1064</v>
      </c>
      <c r="O266" s="500" t="s">
        <v>759</v>
      </c>
      <c r="P266" s="500" t="s">
        <v>453</v>
      </c>
      <c r="Q266" s="474">
        <v>2013</v>
      </c>
      <c r="R266" s="474" t="s">
        <v>208</v>
      </c>
      <c r="S266" s="500" t="s">
        <v>1607</v>
      </c>
      <c r="T266" s="500" t="s">
        <v>462</v>
      </c>
      <c r="U266" s="484" t="str">
        <f>IFERROR(VLOOKUP(N266,'Thông số'!$B:$F,5,0),"")</f>
        <v>3445 x 1865 x 2535</v>
      </c>
    </row>
    <row r="267" ht="14.25" customHeight="1" spans="1:21">
      <c r="A267" s="489">
        <v>6</v>
      </c>
      <c r="B267" s="490" t="s">
        <v>1608</v>
      </c>
      <c r="C267" s="490" t="s">
        <v>1609</v>
      </c>
      <c r="D267" s="470" t="s">
        <v>6635</v>
      </c>
      <c r="E267" s="491"/>
      <c r="F267" s="491"/>
      <c r="G267" s="490" t="s">
        <v>197</v>
      </c>
      <c r="H267" s="470" t="s">
        <v>6574</v>
      </c>
      <c r="I267" s="470" t="s">
        <v>1593</v>
      </c>
      <c r="J267" s="492">
        <v>45393</v>
      </c>
      <c r="K267" s="470" t="s">
        <v>1126</v>
      </c>
      <c r="L267" s="491"/>
      <c r="M267" s="505" t="s">
        <v>1610</v>
      </c>
      <c r="N267" s="470" t="s">
        <v>1122</v>
      </c>
      <c r="O267" s="490" t="s">
        <v>1019</v>
      </c>
      <c r="P267" s="490" t="s">
        <v>500</v>
      </c>
      <c r="Q267" s="470">
        <v>2018</v>
      </c>
      <c r="R267" s="470" t="s">
        <v>128</v>
      </c>
      <c r="S267" s="490">
        <v>180046</v>
      </c>
      <c r="T267" s="490" t="s">
        <v>462</v>
      </c>
      <c r="U267" s="484" t="str">
        <f>IFERROR(VLOOKUP(N267,'Thông số'!$B:$F,5,0),"")</f>
        <v>3226 x 1570 x 1545</v>
      </c>
    </row>
    <row r="268" ht="14.25" customHeight="1" spans="1:21">
      <c r="A268" s="494">
        <v>7</v>
      </c>
      <c r="B268" s="495" t="s">
        <v>1626</v>
      </c>
      <c r="C268" s="500" t="s">
        <v>1627</v>
      </c>
      <c r="D268" s="473" t="s">
        <v>3292</v>
      </c>
      <c r="E268" s="502"/>
      <c r="F268" s="500" t="s">
        <v>3292</v>
      </c>
      <c r="G268" s="500" t="s">
        <v>49</v>
      </c>
      <c r="H268" s="473" t="s">
        <v>6537</v>
      </c>
      <c r="I268" s="473" t="s">
        <v>1593</v>
      </c>
      <c r="J268" s="503">
        <v>45343</v>
      </c>
      <c r="K268" s="473" t="s">
        <v>1263</v>
      </c>
      <c r="L268" s="508">
        <v>0.69</v>
      </c>
      <c r="M268" s="501" t="s">
        <v>1628</v>
      </c>
      <c r="N268" s="474" t="s">
        <v>1629</v>
      </c>
      <c r="O268" s="500" t="s">
        <v>480</v>
      </c>
      <c r="P268" s="500" t="s">
        <v>453</v>
      </c>
      <c r="Q268" s="474">
        <v>2006</v>
      </c>
      <c r="R268" s="474" t="s">
        <v>767</v>
      </c>
      <c r="S268" s="500" t="s">
        <v>1630</v>
      </c>
      <c r="T268" s="500">
        <v>11014</v>
      </c>
      <c r="U268" s="484" t="str">
        <f>IFERROR(VLOOKUP(N268,'Thông số'!$B:$F,5,0),"")</f>
        <v>5550 x 1960 x 2625</v>
      </c>
    </row>
    <row r="269" ht="14.25" customHeight="1" spans="1:21">
      <c r="A269" s="489">
        <v>8</v>
      </c>
      <c r="B269" s="490" t="s">
        <v>1639</v>
      </c>
      <c r="C269" s="490" t="s">
        <v>1640</v>
      </c>
      <c r="D269" s="470" t="s">
        <v>3297</v>
      </c>
      <c r="E269" s="491"/>
      <c r="F269" s="490" t="s">
        <v>3297</v>
      </c>
      <c r="G269" s="490" t="s">
        <v>49</v>
      </c>
      <c r="H269" s="470" t="s">
        <v>6537</v>
      </c>
      <c r="I269" s="470" t="s">
        <v>1593</v>
      </c>
      <c r="J269" s="491"/>
      <c r="K269" s="470" t="s">
        <v>1126</v>
      </c>
      <c r="L269" s="493">
        <v>0.69</v>
      </c>
      <c r="M269" s="505" t="s">
        <v>821</v>
      </c>
      <c r="N269" s="470" t="s">
        <v>569</v>
      </c>
      <c r="O269" s="490" t="s">
        <v>480</v>
      </c>
      <c r="P269" s="490" t="s">
        <v>453</v>
      </c>
      <c r="Q269" s="470">
        <v>2010</v>
      </c>
      <c r="R269" s="470" t="s">
        <v>767</v>
      </c>
      <c r="S269" s="490" t="s">
        <v>1641</v>
      </c>
      <c r="T269" s="490">
        <v>21629</v>
      </c>
      <c r="U269" s="484" t="str">
        <f>IFERROR(VLOOKUP(N269,'Thông số'!$B:$F,5,0),"")</f>
        <v>5550 x 1960 x 2550</v>
      </c>
    </row>
    <row r="270" ht="14.25" customHeight="1" spans="1:21">
      <c r="A270" s="489">
        <v>9</v>
      </c>
      <c r="B270" s="490" t="s">
        <v>1642</v>
      </c>
      <c r="C270" s="490" t="s">
        <v>1643</v>
      </c>
      <c r="D270" s="470" t="s">
        <v>3300</v>
      </c>
      <c r="E270" s="491"/>
      <c r="F270" s="490" t="s">
        <v>3300</v>
      </c>
      <c r="G270" s="490" t="s">
        <v>40</v>
      </c>
      <c r="H270" s="470" t="s">
        <v>6537</v>
      </c>
      <c r="I270" s="470" t="s">
        <v>1593</v>
      </c>
      <c r="J270" s="492">
        <v>44934</v>
      </c>
      <c r="K270" s="470" t="s">
        <v>1126</v>
      </c>
      <c r="L270" s="493">
        <v>0.8</v>
      </c>
      <c r="M270" s="505" t="s">
        <v>821</v>
      </c>
      <c r="N270" s="470">
        <v>305</v>
      </c>
      <c r="O270" s="490" t="s">
        <v>1644</v>
      </c>
      <c r="P270" s="490" t="s">
        <v>453</v>
      </c>
      <c r="Q270" s="470">
        <v>2006</v>
      </c>
      <c r="R270" s="470" t="s">
        <v>557</v>
      </c>
      <c r="S270" s="490">
        <v>2208498</v>
      </c>
      <c r="T270" s="490" t="s">
        <v>462</v>
      </c>
      <c r="U270" s="484" t="str">
        <f>IFERROR(VLOOKUP(N270,'Thông số'!$B:$F,5,0),"")</f>
        <v>5340 x 1980 x 1895</v>
      </c>
    </row>
    <row r="271" ht="14.25" customHeight="1" spans="1:21">
      <c r="A271" s="494">
        <v>10</v>
      </c>
      <c r="B271" s="495" t="s">
        <v>5040</v>
      </c>
      <c r="C271" s="495" t="s">
        <v>5041</v>
      </c>
      <c r="D271" s="473" t="s">
        <v>6636</v>
      </c>
      <c r="E271" s="497"/>
      <c r="F271" s="495" t="s">
        <v>6637</v>
      </c>
      <c r="G271" s="495" t="s">
        <v>5042</v>
      </c>
      <c r="H271" s="497"/>
      <c r="I271" s="473" t="s">
        <v>1593</v>
      </c>
      <c r="J271" s="497"/>
      <c r="K271" s="473" t="s">
        <v>1263</v>
      </c>
      <c r="L271" s="499">
        <v>0.54</v>
      </c>
      <c r="M271" s="497"/>
      <c r="N271" s="473" t="s">
        <v>5043</v>
      </c>
      <c r="O271" s="495" t="s">
        <v>530</v>
      </c>
      <c r="P271" s="495" t="s">
        <v>453</v>
      </c>
      <c r="Q271" s="497"/>
      <c r="R271" s="473" t="s">
        <v>5044</v>
      </c>
      <c r="S271" s="495" t="s">
        <v>5045</v>
      </c>
      <c r="T271" s="495" t="s">
        <v>6638</v>
      </c>
      <c r="U271" s="484" t="str">
        <f>IFERROR(VLOOKUP(N271,'Thông số'!$B:$F,5,0),"")</f>
        <v/>
      </c>
    </row>
    <row r="272" ht="14.25" customHeight="1" spans="1:21">
      <c r="A272" s="489">
        <v>11</v>
      </c>
      <c r="B272" s="490" t="s">
        <v>1645</v>
      </c>
      <c r="C272" s="491"/>
      <c r="D272" s="470" t="s">
        <v>3460</v>
      </c>
      <c r="E272" s="470" t="s">
        <v>1646</v>
      </c>
      <c r="F272" s="490" t="s">
        <v>3460</v>
      </c>
      <c r="G272" s="490" t="s">
        <v>251</v>
      </c>
      <c r="H272" s="491"/>
      <c r="I272" s="470" t="s">
        <v>1593</v>
      </c>
      <c r="J272" s="492">
        <v>45301</v>
      </c>
      <c r="K272" s="470" t="s">
        <v>1126</v>
      </c>
      <c r="L272" s="493">
        <v>0.98</v>
      </c>
      <c r="M272" s="505" t="s">
        <v>1647</v>
      </c>
      <c r="N272" s="470" t="s">
        <v>1153</v>
      </c>
      <c r="O272" s="490" t="s">
        <v>1152</v>
      </c>
      <c r="P272" s="490" t="s">
        <v>500</v>
      </c>
      <c r="Q272" s="470">
        <v>2021</v>
      </c>
      <c r="R272" s="470" t="s">
        <v>44</v>
      </c>
      <c r="S272" s="490" t="s">
        <v>1648</v>
      </c>
      <c r="T272" s="490" t="s">
        <v>1649</v>
      </c>
      <c r="U272" s="484" t="str">
        <f>IFERROR(VLOOKUP(N272,'Thông số'!$B:$F,5,0),"")</f>
        <v>4730 x 1750 x 2100</v>
      </c>
    </row>
    <row r="273" ht="14.25" customHeight="1" spans="1:21">
      <c r="A273" s="494">
        <v>12</v>
      </c>
      <c r="B273" s="495" t="s">
        <v>1650</v>
      </c>
      <c r="C273" s="497"/>
      <c r="D273" s="473" t="s">
        <v>1651</v>
      </c>
      <c r="E273" s="473" t="s">
        <v>1652</v>
      </c>
      <c r="F273" s="497"/>
      <c r="G273" s="495" t="s">
        <v>252</v>
      </c>
      <c r="H273" s="497"/>
      <c r="I273" s="473" t="s">
        <v>1593</v>
      </c>
      <c r="J273" s="498">
        <v>45578</v>
      </c>
      <c r="K273" s="473" t="s">
        <v>1263</v>
      </c>
      <c r="L273" s="497"/>
      <c r="M273" s="497"/>
      <c r="N273" s="473" t="s">
        <v>1474</v>
      </c>
      <c r="O273" s="495" t="s">
        <v>1152</v>
      </c>
      <c r="P273" s="495" t="s">
        <v>500</v>
      </c>
      <c r="Q273" s="473">
        <v>2021</v>
      </c>
      <c r="R273" s="473" t="s">
        <v>655</v>
      </c>
      <c r="S273" s="495" t="s">
        <v>1654</v>
      </c>
      <c r="T273" s="495" t="s">
        <v>1655</v>
      </c>
      <c r="U273" s="484" t="str">
        <f>IFERROR(VLOOKUP(N273,'Thông số'!$B:$F,5,0),"")</f>
        <v>4730 x 1750 x 2100</v>
      </c>
    </row>
    <row r="274" ht="14.25" customHeight="1" spans="1:21">
      <c r="A274" s="489">
        <v>13</v>
      </c>
      <c r="B274" s="490" t="s">
        <v>1656</v>
      </c>
      <c r="C274" s="490" t="s">
        <v>1657</v>
      </c>
      <c r="D274" s="470" t="s">
        <v>3107</v>
      </c>
      <c r="E274" s="491"/>
      <c r="F274" s="490" t="s">
        <v>3107</v>
      </c>
      <c r="G274" s="490" t="s">
        <v>127</v>
      </c>
      <c r="H274" s="470" t="s">
        <v>6592</v>
      </c>
      <c r="I274" s="470" t="s">
        <v>1593</v>
      </c>
      <c r="J274" s="492">
        <v>41061</v>
      </c>
      <c r="K274" s="470" t="s">
        <v>1126</v>
      </c>
      <c r="L274" s="491"/>
      <c r="M274" s="491"/>
      <c r="N274" s="491"/>
      <c r="O274" s="490" t="s">
        <v>1164</v>
      </c>
      <c r="P274" s="490" t="s">
        <v>1165</v>
      </c>
      <c r="Q274" s="491"/>
      <c r="R274" s="470" t="s">
        <v>208</v>
      </c>
      <c r="S274" s="490" t="s">
        <v>1658</v>
      </c>
      <c r="T274" s="490">
        <v>115002</v>
      </c>
      <c r="U274" s="484" t="str">
        <f>IFERROR(VLOOKUP(N274,'Thông số'!$B:$F,5,0),"")</f>
        <v/>
      </c>
    </row>
    <row r="275" ht="14.25" customHeight="1" spans="1:21">
      <c r="A275" s="494">
        <v>14</v>
      </c>
      <c r="B275" s="495" t="s">
        <v>1659</v>
      </c>
      <c r="C275" s="495" t="s">
        <v>504</v>
      </c>
      <c r="D275" s="473" t="s">
        <v>3385</v>
      </c>
      <c r="E275" s="497"/>
      <c r="F275" s="497"/>
      <c r="G275" s="495" t="s">
        <v>111</v>
      </c>
      <c r="H275" s="473" t="s">
        <v>6594</v>
      </c>
      <c r="I275" s="473" t="s">
        <v>1593</v>
      </c>
      <c r="J275" s="498">
        <v>45392</v>
      </c>
      <c r="K275" s="473" t="s">
        <v>1263</v>
      </c>
      <c r="L275" s="497"/>
      <c r="M275" s="497"/>
      <c r="N275" s="473" t="s">
        <v>6595</v>
      </c>
      <c r="O275" s="495" t="s">
        <v>621</v>
      </c>
      <c r="P275" s="495" t="s">
        <v>500</v>
      </c>
      <c r="Q275" s="473">
        <v>2023</v>
      </c>
      <c r="R275" s="473" t="s">
        <v>124</v>
      </c>
      <c r="S275" s="495" t="s">
        <v>1660</v>
      </c>
      <c r="T275" s="495" t="s">
        <v>1661</v>
      </c>
      <c r="U275" s="484" t="str">
        <f>IFERROR(VLOOKUP(N275,'Thông số'!$B:$F,5,0),"")</f>
        <v>5250 x 2170 x 2520</v>
      </c>
    </row>
    <row r="276" ht="14.25" customHeight="1" spans="1:21">
      <c r="A276" s="494">
        <v>15</v>
      </c>
      <c r="B276" s="495" t="s">
        <v>1662</v>
      </c>
      <c r="C276" s="495" t="s">
        <v>504</v>
      </c>
      <c r="D276" s="473" t="s">
        <v>3386</v>
      </c>
      <c r="E276" s="497"/>
      <c r="F276" s="497"/>
      <c r="G276" s="495" t="s">
        <v>111</v>
      </c>
      <c r="H276" s="473" t="s">
        <v>6594</v>
      </c>
      <c r="I276" s="473" t="s">
        <v>1593</v>
      </c>
      <c r="J276" s="498">
        <v>45392</v>
      </c>
      <c r="K276" s="473" t="s">
        <v>1263</v>
      </c>
      <c r="L276" s="497"/>
      <c r="M276" s="497"/>
      <c r="N276" s="473" t="s">
        <v>6595</v>
      </c>
      <c r="O276" s="495" t="s">
        <v>621</v>
      </c>
      <c r="P276" s="495" t="s">
        <v>500</v>
      </c>
      <c r="Q276" s="473">
        <v>2023</v>
      </c>
      <c r="R276" s="473" t="s">
        <v>124</v>
      </c>
      <c r="S276" s="495" t="s">
        <v>1663</v>
      </c>
      <c r="T276" s="495" t="s">
        <v>1664</v>
      </c>
      <c r="U276" s="484" t="str">
        <f>IFERROR(VLOOKUP(N276,'Thông số'!$B:$F,5,0),"")</f>
        <v>5250 x 2170 x 2520</v>
      </c>
    </row>
    <row r="277" ht="14.25" customHeight="1" spans="1:21">
      <c r="A277" s="489">
        <v>16</v>
      </c>
      <c r="B277" s="490" t="s">
        <v>1665</v>
      </c>
      <c r="C277" s="490" t="s">
        <v>504</v>
      </c>
      <c r="D277" s="470" t="s">
        <v>6639</v>
      </c>
      <c r="E277" s="491"/>
      <c r="F277" s="491"/>
      <c r="G277" s="490" t="s">
        <v>111</v>
      </c>
      <c r="H277" s="470" t="s">
        <v>6594</v>
      </c>
      <c r="I277" s="470" t="s">
        <v>1593</v>
      </c>
      <c r="J277" s="492">
        <v>45392</v>
      </c>
      <c r="K277" s="470" t="s">
        <v>1126</v>
      </c>
      <c r="L277" s="491"/>
      <c r="M277" s="505" t="s">
        <v>1666</v>
      </c>
      <c r="N277" s="470" t="s">
        <v>6595</v>
      </c>
      <c r="O277" s="490" t="s">
        <v>621</v>
      </c>
      <c r="P277" s="490" t="s">
        <v>500</v>
      </c>
      <c r="Q277" s="470">
        <v>2023</v>
      </c>
      <c r="R277" s="470" t="s">
        <v>124</v>
      </c>
      <c r="S277" s="490" t="s">
        <v>1667</v>
      </c>
      <c r="T277" s="490" t="s">
        <v>1668</v>
      </c>
      <c r="U277" s="484" t="str">
        <f>IFERROR(VLOOKUP(N277,'Thông số'!$B:$F,5,0),"")</f>
        <v>5250 x 2170 x 2520</v>
      </c>
    </row>
    <row r="278" ht="14.25" customHeight="1" spans="1:21">
      <c r="A278" s="494">
        <v>17</v>
      </c>
      <c r="B278" s="495" t="s">
        <v>1669</v>
      </c>
      <c r="C278" s="495" t="s">
        <v>1670</v>
      </c>
      <c r="D278" s="473" t="s">
        <v>6640</v>
      </c>
      <c r="E278" s="473" t="s">
        <v>1671</v>
      </c>
      <c r="F278" s="497"/>
      <c r="G278" s="495" t="s">
        <v>111</v>
      </c>
      <c r="H278" s="473" t="s">
        <v>6594</v>
      </c>
      <c r="I278" s="473" t="s">
        <v>1593</v>
      </c>
      <c r="J278" s="498">
        <v>45503</v>
      </c>
      <c r="K278" s="473" t="s">
        <v>1263</v>
      </c>
      <c r="L278" s="497"/>
      <c r="M278" s="501" t="s">
        <v>1672</v>
      </c>
      <c r="N278" s="473" t="s">
        <v>6595</v>
      </c>
      <c r="O278" s="495" t="s">
        <v>621</v>
      </c>
      <c r="P278" s="495" t="s">
        <v>500</v>
      </c>
      <c r="Q278" s="473">
        <v>2024</v>
      </c>
      <c r="R278" s="473" t="s">
        <v>112</v>
      </c>
      <c r="S278" s="495" t="s">
        <v>1673</v>
      </c>
      <c r="T278" s="495" t="s">
        <v>1674</v>
      </c>
      <c r="U278" s="484" t="str">
        <f>IFERROR(VLOOKUP(N278,'Thông số'!$B:$F,5,0),"")</f>
        <v>5250 x 2170 x 2520</v>
      </c>
    </row>
    <row r="279" ht="14.25" customHeight="1" spans="1:21">
      <c r="A279" s="494">
        <v>18</v>
      </c>
      <c r="B279" s="500" t="s">
        <v>1675</v>
      </c>
      <c r="C279" s="502"/>
      <c r="D279" s="497"/>
      <c r="E279" s="502"/>
      <c r="F279" s="502"/>
      <c r="G279" s="495" t="s">
        <v>117</v>
      </c>
      <c r="H279" s="497"/>
      <c r="I279" s="473" t="s">
        <v>1593</v>
      </c>
      <c r="J279" s="503">
        <v>46032</v>
      </c>
      <c r="K279" s="473" t="s">
        <v>1263</v>
      </c>
      <c r="L279" s="502"/>
      <c r="M279" s="501" t="s">
        <v>1146</v>
      </c>
      <c r="N279" s="474" t="s">
        <v>956</v>
      </c>
      <c r="O279" s="500" t="s">
        <v>954</v>
      </c>
      <c r="P279" s="500" t="s">
        <v>955</v>
      </c>
      <c r="Q279" s="474">
        <v>2024</v>
      </c>
      <c r="R279" s="474" t="s">
        <v>118</v>
      </c>
      <c r="S279" s="500" t="s">
        <v>1677</v>
      </c>
      <c r="T279" s="500" t="s">
        <v>1678</v>
      </c>
      <c r="U279" s="484" t="str">
        <f>IFERROR(VLOOKUP(N279,'Thông số'!$B:$F,5,0),"")</f>
        <v>6380 x 2040 x 2300</v>
      </c>
    </row>
    <row r="280" ht="14.25" customHeight="1" spans="1:21">
      <c r="A280" s="494">
        <v>19</v>
      </c>
      <c r="B280" s="500" t="s">
        <v>1679</v>
      </c>
      <c r="C280" s="500" t="s">
        <v>1680</v>
      </c>
      <c r="D280" s="473" t="s">
        <v>6641</v>
      </c>
      <c r="E280" s="502"/>
      <c r="F280" s="502"/>
      <c r="G280" s="500" t="s">
        <v>6590</v>
      </c>
      <c r="H280" s="473" t="s">
        <v>3454</v>
      </c>
      <c r="I280" s="474" t="s">
        <v>1593</v>
      </c>
      <c r="J280" s="503">
        <v>45343</v>
      </c>
      <c r="K280" s="473" t="s">
        <v>1263</v>
      </c>
      <c r="L280" s="502"/>
      <c r="M280" s="504" t="s">
        <v>1606</v>
      </c>
      <c r="N280" s="502"/>
      <c r="O280" s="500" t="s">
        <v>1160</v>
      </c>
      <c r="P280" s="502"/>
      <c r="Q280" s="474">
        <v>2010</v>
      </c>
      <c r="R280" s="474" t="s">
        <v>1681</v>
      </c>
      <c r="S280" s="500" t="s">
        <v>1682</v>
      </c>
      <c r="T280" s="500" t="s">
        <v>462</v>
      </c>
      <c r="U280" s="484" t="str">
        <f>IFERROR(VLOOKUP(N280,'Thông số'!$B:$F,5,0),"")</f>
        <v/>
      </c>
    </row>
    <row r="281" ht="14.25" customHeight="1" spans="1:21">
      <c r="A281" s="494">
        <v>20</v>
      </c>
      <c r="B281" s="500" t="s">
        <v>1683</v>
      </c>
      <c r="C281" s="495" t="s">
        <v>1684</v>
      </c>
      <c r="D281" s="497"/>
      <c r="E281" s="497"/>
      <c r="F281" s="497"/>
      <c r="G281" s="495" t="s">
        <v>226</v>
      </c>
      <c r="H281" s="473" t="s">
        <v>3454</v>
      </c>
      <c r="I281" s="474" t="s">
        <v>1593</v>
      </c>
      <c r="J281" s="497"/>
      <c r="K281" s="473" t="s">
        <v>1263</v>
      </c>
      <c r="L281" s="497"/>
      <c r="M281" s="501" t="s">
        <v>1685</v>
      </c>
      <c r="N281" s="497"/>
      <c r="O281" s="495" t="s">
        <v>1267</v>
      </c>
      <c r="P281" s="495" t="s">
        <v>465</v>
      </c>
      <c r="Q281" s="497"/>
      <c r="R281" s="497"/>
      <c r="S281" s="495">
        <v>18446</v>
      </c>
      <c r="T281" s="495" t="s">
        <v>462</v>
      </c>
      <c r="U281" s="484" t="str">
        <f>IFERROR(VLOOKUP(N281,'Thông số'!$B:$F,5,0),"")</f>
        <v/>
      </c>
    </row>
    <row r="282" ht="14.25" customHeight="1" spans="1:21">
      <c r="A282" s="494">
        <v>21</v>
      </c>
      <c r="B282" s="500" t="s">
        <v>1686</v>
      </c>
      <c r="C282" s="502"/>
      <c r="D282" s="473" t="s">
        <v>6642</v>
      </c>
      <c r="E282" s="502"/>
      <c r="F282" s="502"/>
      <c r="G282" s="500" t="s">
        <v>241</v>
      </c>
      <c r="H282" s="473" t="s">
        <v>3432</v>
      </c>
      <c r="I282" s="474" t="s">
        <v>1593</v>
      </c>
      <c r="J282" s="502"/>
      <c r="K282" s="473" t="s">
        <v>1263</v>
      </c>
      <c r="L282" s="502"/>
      <c r="M282" s="504" t="s">
        <v>1687</v>
      </c>
      <c r="N282" s="474" t="s">
        <v>1688</v>
      </c>
      <c r="O282" s="500" t="s">
        <v>480</v>
      </c>
      <c r="P282" s="500" t="s">
        <v>555</v>
      </c>
      <c r="Q282" s="474">
        <v>2007</v>
      </c>
      <c r="R282" s="502"/>
      <c r="S282" s="500">
        <v>830261</v>
      </c>
      <c r="T282" s="500" t="s">
        <v>6643</v>
      </c>
      <c r="U282" s="484" t="str">
        <f>IFERROR(VLOOKUP(N282,'Thông số'!$B:$F,5,0),"")</f>
        <v/>
      </c>
    </row>
    <row r="283" ht="14.25" customHeight="1" spans="1:21">
      <c r="A283" s="494">
        <v>22</v>
      </c>
      <c r="B283" s="500" t="s">
        <v>1689</v>
      </c>
      <c r="C283" s="502"/>
      <c r="D283" s="497"/>
      <c r="E283" s="502"/>
      <c r="F283" s="502"/>
      <c r="G283" s="500" t="s">
        <v>241</v>
      </c>
      <c r="H283" s="497"/>
      <c r="I283" s="474" t="s">
        <v>1593</v>
      </c>
      <c r="J283" s="502"/>
      <c r="K283" s="473" t="s">
        <v>1263</v>
      </c>
      <c r="L283" s="502"/>
      <c r="M283" s="504" t="s">
        <v>1687</v>
      </c>
      <c r="N283" s="474" t="s">
        <v>1141</v>
      </c>
      <c r="O283" s="500" t="s">
        <v>1139</v>
      </c>
      <c r="P283" s="500" t="s">
        <v>590</v>
      </c>
      <c r="Q283" s="474">
        <v>2019</v>
      </c>
      <c r="R283" s="502"/>
      <c r="S283" s="500">
        <v>1501190005</v>
      </c>
      <c r="T283" s="500" t="s">
        <v>1690</v>
      </c>
      <c r="U283" s="484" t="str">
        <f>IFERROR(VLOOKUP(N283,'Thông số'!$B:$F,5,0),"")</f>
        <v/>
      </c>
    </row>
    <row r="284" ht="14.25" customHeight="1" spans="1:21">
      <c r="A284" s="494">
        <v>23</v>
      </c>
      <c r="B284" s="500" t="s">
        <v>1693</v>
      </c>
      <c r="C284" s="502"/>
      <c r="D284" s="473" t="s">
        <v>1694</v>
      </c>
      <c r="E284" s="502"/>
      <c r="F284" s="502"/>
      <c r="G284" s="500" t="s">
        <v>287</v>
      </c>
      <c r="H284" s="473" t="s">
        <v>3558</v>
      </c>
      <c r="I284" s="474" t="s">
        <v>1593</v>
      </c>
      <c r="J284" s="503">
        <v>45862</v>
      </c>
      <c r="K284" s="473" t="s">
        <v>1263</v>
      </c>
      <c r="L284" s="502"/>
      <c r="M284" s="501" t="s">
        <v>1146</v>
      </c>
      <c r="N284" s="474" t="s">
        <v>1198</v>
      </c>
      <c r="O284" s="500" t="s">
        <v>964</v>
      </c>
      <c r="P284" s="500" t="s">
        <v>1197</v>
      </c>
      <c r="Q284" s="474">
        <v>2022</v>
      </c>
      <c r="R284" s="474" t="s">
        <v>219</v>
      </c>
      <c r="S284" s="500">
        <v>203063</v>
      </c>
      <c r="T284" s="500" t="s">
        <v>1695</v>
      </c>
      <c r="U284" s="484" t="str">
        <f>IFERROR(VLOOKUP(N284,'Thông số'!$B:$F,5,0),"")</f>
        <v/>
      </c>
    </row>
    <row r="285" ht="14.25" customHeight="1" spans="1:21">
      <c r="A285" s="494">
        <v>24</v>
      </c>
      <c r="B285" s="500" t="s">
        <v>1696</v>
      </c>
      <c r="C285" s="502"/>
      <c r="D285" s="473" t="s">
        <v>1697</v>
      </c>
      <c r="E285" s="502"/>
      <c r="F285" s="502"/>
      <c r="G285" s="500" t="s">
        <v>287</v>
      </c>
      <c r="H285" s="473" t="s">
        <v>3558</v>
      </c>
      <c r="I285" s="474" t="s">
        <v>1593</v>
      </c>
      <c r="J285" s="503">
        <v>45862</v>
      </c>
      <c r="K285" s="473" t="s">
        <v>1263</v>
      </c>
      <c r="L285" s="502"/>
      <c r="M285" s="501" t="s">
        <v>1146</v>
      </c>
      <c r="N285" s="474" t="s">
        <v>1198</v>
      </c>
      <c r="O285" s="500" t="s">
        <v>964</v>
      </c>
      <c r="P285" s="500" t="s">
        <v>1197</v>
      </c>
      <c r="Q285" s="474">
        <v>2022</v>
      </c>
      <c r="R285" s="474" t="s">
        <v>219</v>
      </c>
      <c r="S285" s="500">
        <v>203064</v>
      </c>
      <c r="T285" s="500" t="s">
        <v>1698</v>
      </c>
      <c r="U285" s="484" t="str">
        <f>IFERROR(VLOOKUP(N285,'Thông số'!$B:$F,5,0),"")</f>
        <v/>
      </c>
    </row>
    <row r="286" ht="14.25" customHeight="1" spans="1:21">
      <c r="A286" s="494">
        <v>25</v>
      </c>
      <c r="B286" s="500" t="s">
        <v>1699</v>
      </c>
      <c r="C286" s="502"/>
      <c r="D286" s="473" t="s">
        <v>1700</v>
      </c>
      <c r="E286" s="502"/>
      <c r="F286" s="502"/>
      <c r="G286" s="500" t="s">
        <v>287</v>
      </c>
      <c r="H286" s="473" t="s">
        <v>3558</v>
      </c>
      <c r="I286" s="474" t="s">
        <v>1593</v>
      </c>
      <c r="J286" s="503">
        <v>45862</v>
      </c>
      <c r="K286" s="473" t="s">
        <v>1263</v>
      </c>
      <c r="L286" s="502"/>
      <c r="M286" s="501" t="s">
        <v>1146</v>
      </c>
      <c r="N286" s="474" t="s">
        <v>1198</v>
      </c>
      <c r="O286" s="500" t="s">
        <v>964</v>
      </c>
      <c r="P286" s="500" t="s">
        <v>1197</v>
      </c>
      <c r="Q286" s="474">
        <v>2022</v>
      </c>
      <c r="R286" s="474" t="s">
        <v>219</v>
      </c>
      <c r="S286" s="500">
        <v>203067</v>
      </c>
      <c r="T286" s="500" t="s">
        <v>1701</v>
      </c>
      <c r="U286" s="484" t="str">
        <f>IFERROR(VLOOKUP(N286,'Thông số'!$B:$F,5,0),"")</f>
        <v/>
      </c>
    </row>
    <row r="287" ht="14.25" customHeight="1" spans="1:21">
      <c r="A287" s="494">
        <v>26</v>
      </c>
      <c r="B287" s="500" t="s">
        <v>1702</v>
      </c>
      <c r="C287" s="502"/>
      <c r="D287" s="473" t="s">
        <v>1703</v>
      </c>
      <c r="E287" s="502"/>
      <c r="F287" s="502"/>
      <c r="G287" s="500" t="s">
        <v>287</v>
      </c>
      <c r="H287" s="473" t="s">
        <v>3558</v>
      </c>
      <c r="I287" s="474" t="s">
        <v>1593</v>
      </c>
      <c r="J287" s="503">
        <v>45862</v>
      </c>
      <c r="K287" s="473" t="s">
        <v>1263</v>
      </c>
      <c r="L287" s="502"/>
      <c r="M287" s="501" t="s">
        <v>1146</v>
      </c>
      <c r="N287" s="474" t="s">
        <v>1198</v>
      </c>
      <c r="O287" s="500" t="s">
        <v>964</v>
      </c>
      <c r="P287" s="500" t="s">
        <v>1197</v>
      </c>
      <c r="Q287" s="474">
        <v>2022</v>
      </c>
      <c r="R287" s="474" t="s">
        <v>219</v>
      </c>
      <c r="S287" s="500">
        <v>203073</v>
      </c>
      <c r="T287" s="500" t="s">
        <v>1695</v>
      </c>
      <c r="U287" s="484" t="str">
        <f>IFERROR(VLOOKUP(N287,'Thông số'!$B:$F,5,0),"")</f>
        <v/>
      </c>
    </row>
    <row r="288" ht="14.25" customHeight="1" spans="1:21">
      <c r="A288" s="494">
        <v>27</v>
      </c>
      <c r="B288" s="500" t="s">
        <v>1704</v>
      </c>
      <c r="C288" s="502"/>
      <c r="D288" s="473" t="s">
        <v>1705</v>
      </c>
      <c r="E288" s="502"/>
      <c r="F288" s="502"/>
      <c r="G288" s="500" t="s">
        <v>287</v>
      </c>
      <c r="H288" s="473" t="s">
        <v>3558</v>
      </c>
      <c r="I288" s="474" t="s">
        <v>1593</v>
      </c>
      <c r="J288" s="503">
        <v>45862</v>
      </c>
      <c r="K288" s="473" t="s">
        <v>1263</v>
      </c>
      <c r="L288" s="502"/>
      <c r="M288" s="501" t="s">
        <v>1146</v>
      </c>
      <c r="N288" s="474" t="s">
        <v>1198</v>
      </c>
      <c r="O288" s="500" t="s">
        <v>964</v>
      </c>
      <c r="P288" s="500" t="s">
        <v>1197</v>
      </c>
      <c r="Q288" s="474">
        <v>2022</v>
      </c>
      <c r="R288" s="474" t="s">
        <v>219</v>
      </c>
      <c r="S288" s="500">
        <v>203077</v>
      </c>
      <c r="T288" s="500" t="s">
        <v>1706</v>
      </c>
      <c r="U288" s="484" t="str">
        <f>IFERROR(VLOOKUP(N288,'Thông số'!$B:$F,5,0),"")</f>
        <v/>
      </c>
    </row>
    <row r="289" ht="14.25" customHeight="1" spans="1:21">
      <c r="A289" s="494">
        <v>28</v>
      </c>
      <c r="B289" s="500" t="s">
        <v>1707</v>
      </c>
      <c r="C289" s="502"/>
      <c r="D289" s="473" t="s">
        <v>1708</v>
      </c>
      <c r="E289" s="502"/>
      <c r="F289" s="502"/>
      <c r="G289" s="500" t="s">
        <v>278</v>
      </c>
      <c r="H289" s="473" t="s">
        <v>3530</v>
      </c>
      <c r="I289" s="474" t="s">
        <v>1593</v>
      </c>
      <c r="J289" s="503">
        <v>45611</v>
      </c>
      <c r="K289" s="473" t="s">
        <v>1263</v>
      </c>
      <c r="L289" s="502"/>
      <c r="M289" s="501" t="s">
        <v>1146</v>
      </c>
      <c r="N289" s="474" t="s">
        <v>1710</v>
      </c>
      <c r="O289" s="500" t="s">
        <v>964</v>
      </c>
      <c r="P289" s="500" t="s">
        <v>811</v>
      </c>
      <c r="Q289" s="502"/>
      <c r="R289" s="474" t="s">
        <v>279</v>
      </c>
      <c r="S289" s="500">
        <v>31252</v>
      </c>
      <c r="T289" s="500">
        <v>13422</v>
      </c>
      <c r="U289" s="484" t="str">
        <f>IFERROR(VLOOKUP(N289,'Thông số'!$B:$F,5,0),"")</f>
        <v/>
      </c>
    </row>
    <row r="290" ht="14.25" customHeight="1" spans="1:21">
      <c r="A290" s="494">
        <v>29</v>
      </c>
      <c r="B290" s="500" t="s">
        <v>3200</v>
      </c>
      <c r="C290" s="502"/>
      <c r="D290" s="473" t="s">
        <v>3201</v>
      </c>
      <c r="E290" s="502"/>
      <c r="F290" s="502"/>
      <c r="G290" s="500" t="s">
        <v>276</v>
      </c>
      <c r="H290" s="473" t="s">
        <v>3530</v>
      </c>
      <c r="I290" s="474" t="s">
        <v>1593</v>
      </c>
      <c r="J290" s="503">
        <v>45647</v>
      </c>
      <c r="K290" s="473" t="s">
        <v>1263</v>
      </c>
      <c r="L290" s="502"/>
      <c r="M290" s="501" t="s">
        <v>1146</v>
      </c>
      <c r="N290" s="474" t="s">
        <v>3150</v>
      </c>
      <c r="O290" s="500" t="s">
        <v>3143</v>
      </c>
      <c r="P290" s="500" t="s">
        <v>3144</v>
      </c>
      <c r="Q290" s="474">
        <v>2024</v>
      </c>
      <c r="R290" s="474" t="s">
        <v>286</v>
      </c>
      <c r="S290" s="500" t="s">
        <v>462</v>
      </c>
      <c r="T290" s="500" t="s">
        <v>462</v>
      </c>
      <c r="U290" s="484" t="str">
        <f>IFERROR(VLOOKUP(N290,'Thông số'!$B:$F,5,0),"")</f>
        <v/>
      </c>
    </row>
    <row r="291" ht="14.25" customHeight="1" spans="1:21">
      <c r="A291" s="494">
        <v>30</v>
      </c>
      <c r="B291" s="500" t="s">
        <v>3202</v>
      </c>
      <c r="C291" s="502"/>
      <c r="D291" s="473" t="s">
        <v>3203</v>
      </c>
      <c r="E291" s="502"/>
      <c r="F291" s="502"/>
      <c r="G291" s="500" t="s">
        <v>276</v>
      </c>
      <c r="H291" s="473" t="s">
        <v>3530</v>
      </c>
      <c r="I291" s="474" t="s">
        <v>1593</v>
      </c>
      <c r="J291" s="503">
        <v>45647</v>
      </c>
      <c r="K291" s="473" t="s">
        <v>1263</v>
      </c>
      <c r="L291" s="502"/>
      <c r="M291" s="501" t="s">
        <v>1146</v>
      </c>
      <c r="N291" s="474" t="s">
        <v>3150</v>
      </c>
      <c r="O291" s="500" t="s">
        <v>3143</v>
      </c>
      <c r="P291" s="500" t="s">
        <v>3144</v>
      </c>
      <c r="Q291" s="474">
        <v>2024</v>
      </c>
      <c r="R291" s="474" t="s">
        <v>286</v>
      </c>
      <c r="S291" s="500" t="s">
        <v>462</v>
      </c>
      <c r="T291" s="500" t="s">
        <v>462</v>
      </c>
      <c r="U291" s="484" t="str">
        <f>IFERROR(VLOOKUP(N291,'Thông số'!$B:$F,5,0),"")</f>
        <v/>
      </c>
    </row>
    <row r="292" ht="14.25" customHeight="1" spans="1:21">
      <c r="A292" s="494">
        <v>31</v>
      </c>
      <c r="B292" s="500" t="s">
        <v>1711</v>
      </c>
      <c r="C292" s="496"/>
      <c r="D292" s="473" t="s">
        <v>1712</v>
      </c>
      <c r="E292" s="502"/>
      <c r="F292" s="502"/>
      <c r="G292" s="500" t="s">
        <v>213</v>
      </c>
      <c r="H292" s="473" t="s">
        <v>6644</v>
      </c>
      <c r="I292" s="474" t="s">
        <v>1593</v>
      </c>
      <c r="J292" s="503">
        <v>45636</v>
      </c>
      <c r="K292" s="473" t="s">
        <v>1263</v>
      </c>
      <c r="L292" s="502"/>
      <c r="M292" s="501" t="s">
        <v>1146</v>
      </c>
      <c r="N292" s="474" t="s">
        <v>1714</v>
      </c>
      <c r="O292" s="500" t="s">
        <v>1713</v>
      </c>
      <c r="P292" s="495" t="s">
        <v>955</v>
      </c>
      <c r="Q292" s="474">
        <v>2024</v>
      </c>
      <c r="R292" s="474" t="s">
        <v>6645</v>
      </c>
      <c r="S292" s="500" t="s">
        <v>1716</v>
      </c>
      <c r="T292" s="500" t="s">
        <v>1717</v>
      </c>
      <c r="U292" s="484" t="str">
        <f>IFERROR(VLOOKUP(N292,'Thông số'!$B:$F,5,0),"")</f>
        <v/>
      </c>
    </row>
    <row r="293" ht="14.25" customHeight="1" spans="1:21">
      <c r="A293" s="494">
        <v>32</v>
      </c>
      <c r="B293" s="500" t="s">
        <v>1718</v>
      </c>
      <c r="C293" s="496"/>
      <c r="D293" s="473" t="s">
        <v>1719</v>
      </c>
      <c r="E293" s="502"/>
      <c r="F293" s="502"/>
      <c r="G293" s="500" t="s">
        <v>283</v>
      </c>
      <c r="H293" s="473" t="s">
        <v>3530</v>
      </c>
      <c r="I293" s="474" t="s">
        <v>1593</v>
      </c>
      <c r="J293" s="503">
        <v>45833</v>
      </c>
      <c r="K293" s="473" t="s">
        <v>1263</v>
      </c>
      <c r="L293" s="502"/>
      <c r="M293" s="501" t="s">
        <v>1146</v>
      </c>
      <c r="N293" s="474" t="s">
        <v>1230</v>
      </c>
      <c r="O293" s="500" t="s">
        <v>1229</v>
      </c>
      <c r="P293" s="495" t="s">
        <v>500</v>
      </c>
      <c r="Q293" s="474">
        <v>2025</v>
      </c>
      <c r="R293" s="474" t="s">
        <v>272</v>
      </c>
      <c r="S293" s="500" t="s">
        <v>1720</v>
      </c>
      <c r="T293" s="500" t="s">
        <v>1721</v>
      </c>
      <c r="U293" s="484" t="str">
        <f>IFERROR(VLOOKUP(N293,'Thông số'!$B:$F,5,0),"")</f>
        <v/>
      </c>
    </row>
    <row r="294" ht="14.25" customHeight="1" spans="1:21">
      <c r="A294" s="494">
        <v>33</v>
      </c>
      <c r="B294" s="500" t="s">
        <v>1722</v>
      </c>
      <c r="C294" s="496"/>
      <c r="D294" s="473" t="s">
        <v>1723</v>
      </c>
      <c r="E294" s="502"/>
      <c r="F294" s="502"/>
      <c r="G294" s="500" t="s">
        <v>283</v>
      </c>
      <c r="H294" s="473" t="s">
        <v>3530</v>
      </c>
      <c r="I294" s="474" t="s">
        <v>1593</v>
      </c>
      <c r="J294" s="503">
        <v>45833</v>
      </c>
      <c r="K294" s="473" t="s">
        <v>1263</v>
      </c>
      <c r="L294" s="502"/>
      <c r="M294" s="501" t="s">
        <v>1146</v>
      </c>
      <c r="N294" s="474" t="s">
        <v>1230</v>
      </c>
      <c r="O294" s="500" t="s">
        <v>1229</v>
      </c>
      <c r="P294" s="495" t="s">
        <v>500</v>
      </c>
      <c r="Q294" s="474">
        <v>2025</v>
      </c>
      <c r="R294" s="474" t="s">
        <v>272</v>
      </c>
      <c r="S294" s="500" t="s">
        <v>1724</v>
      </c>
      <c r="T294" s="500" t="s">
        <v>1725</v>
      </c>
      <c r="U294" s="484" t="str">
        <f>IFERROR(VLOOKUP(N294,'Thông số'!$B:$F,5,0),"")</f>
        <v/>
      </c>
    </row>
    <row r="295" ht="14.25" customHeight="1" spans="1:21">
      <c r="A295" s="494">
        <v>34</v>
      </c>
      <c r="B295" s="500" t="s">
        <v>1726</v>
      </c>
      <c r="C295" s="496"/>
      <c r="D295" s="473" t="s">
        <v>1727</v>
      </c>
      <c r="E295" s="502"/>
      <c r="F295" s="502"/>
      <c r="G295" s="500" t="s">
        <v>283</v>
      </c>
      <c r="H295" s="473" t="s">
        <v>3530</v>
      </c>
      <c r="I295" s="474" t="s">
        <v>1593</v>
      </c>
      <c r="J295" s="503">
        <v>45833</v>
      </c>
      <c r="K295" s="473" t="s">
        <v>1263</v>
      </c>
      <c r="L295" s="502"/>
      <c r="M295" s="501" t="s">
        <v>1146</v>
      </c>
      <c r="N295" s="474" t="s">
        <v>1230</v>
      </c>
      <c r="O295" s="500" t="s">
        <v>1229</v>
      </c>
      <c r="P295" s="495" t="s">
        <v>500</v>
      </c>
      <c r="Q295" s="474">
        <v>2025</v>
      </c>
      <c r="R295" s="474" t="s">
        <v>272</v>
      </c>
      <c r="S295" s="500" t="s">
        <v>1728</v>
      </c>
      <c r="T295" s="500" t="s">
        <v>1729</v>
      </c>
      <c r="U295" s="484" t="str">
        <f>IFERROR(VLOOKUP(N295,'Thông số'!$B:$F,5,0),"")</f>
        <v/>
      </c>
    </row>
    <row r="296" ht="14.25" customHeight="1" spans="1:21">
      <c r="A296" s="494">
        <v>35</v>
      </c>
      <c r="B296" s="500" t="s">
        <v>1730</v>
      </c>
      <c r="C296" s="496"/>
      <c r="D296" s="473" t="s">
        <v>1731</v>
      </c>
      <c r="E296" s="502"/>
      <c r="F296" s="502"/>
      <c r="G296" s="500" t="s">
        <v>283</v>
      </c>
      <c r="H296" s="473" t="s">
        <v>3530</v>
      </c>
      <c r="I296" s="474" t="s">
        <v>1593</v>
      </c>
      <c r="J296" s="503">
        <v>45833</v>
      </c>
      <c r="K296" s="473" t="s">
        <v>1263</v>
      </c>
      <c r="L296" s="502"/>
      <c r="M296" s="501" t="s">
        <v>1146</v>
      </c>
      <c r="N296" s="474" t="s">
        <v>1230</v>
      </c>
      <c r="O296" s="500" t="s">
        <v>1229</v>
      </c>
      <c r="P296" s="495" t="s">
        <v>500</v>
      </c>
      <c r="Q296" s="474">
        <v>2025</v>
      </c>
      <c r="R296" s="474" t="s">
        <v>272</v>
      </c>
      <c r="S296" s="500" t="s">
        <v>1732</v>
      </c>
      <c r="T296" s="500" t="s">
        <v>1733</v>
      </c>
      <c r="U296" s="484" t="str">
        <f>IFERROR(VLOOKUP(N296,'Thông số'!$B:$F,5,0),"")</f>
        <v/>
      </c>
    </row>
    <row r="297" ht="14.25" customHeight="1" spans="1:21">
      <c r="A297" s="485" t="s">
        <v>1741</v>
      </c>
      <c r="B297" s="486" t="s">
        <v>1742</v>
      </c>
      <c r="C297" s="488"/>
      <c r="D297" s="488"/>
      <c r="E297" s="488"/>
      <c r="F297" s="488"/>
      <c r="G297" s="488"/>
      <c r="H297" s="497"/>
      <c r="I297" s="488"/>
      <c r="J297" s="488"/>
      <c r="K297" s="488"/>
      <c r="L297" s="488"/>
      <c r="M297" s="488"/>
      <c r="N297" s="488"/>
      <c r="O297" s="488"/>
      <c r="P297" s="488"/>
      <c r="Q297" s="488"/>
      <c r="R297" s="488"/>
      <c r="S297" s="488"/>
      <c r="T297" s="488"/>
      <c r="U297" s="484" t="str">
        <f>IFERROR(VLOOKUP(N297,'Thông số'!$B:$F,5,0),"")</f>
        <v/>
      </c>
    </row>
    <row r="298" ht="14.25" customHeight="1" spans="1:21">
      <c r="A298" s="485" t="s">
        <v>1743</v>
      </c>
      <c r="B298" s="486" t="s">
        <v>1744</v>
      </c>
      <c r="C298" s="487">
        <v>0</v>
      </c>
      <c r="D298" s="488"/>
      <c r="E298" s="488"/>
      <c r="F298" s="488"/>
      <c r="G298" s="488"/>
      <c r="H298" s="497"/>
      <c r="I298" s="488"/>
      <c r="J298" s="488"/>
      <c r="K298" s="488"/>
      <c r="L298" s="488"/>
      <c r="M298" s="488"/>
      <c r="N298" s="488"/>
      <c r="O298" s="488"/>
      <c r="P298" s="488"/>
      <c r="Q298" s="488"/>
      <c r="R298" s="488"/>
      <c r="S298" s="488"/>
      <c r="T298" s="488"/>
      <c r="U298" s="484" t="str">
        <f>IFERROR(VLOOKUP(N298,'Thông số'!$B:$F,5,0),"")</f>
        <v/>
      </c>
    </row>
    <row r="299" ht="14.25" customHeight="1" spans="1:21">
      <c r="A299" s="485" t="s">
        <v>1745</v>
      </c>
      <c r="B299" s="486" t="s">
        <v>1746</v>
      </c>
      <c r="C299" s="487">
        <v>4</v>
      </c>
      <c r="D299" s="488"/>
      <c r="E299" s="488"/>
      <c r="F299" s="488"/>
      <c r="G299" s="488"/>
      <c r="H299" s="497"/>
      <c r="I299" s="488"/>
      <c r="J299" s="488"/>
      <c r="K299" s="488"/>
      <c r="L299" s="488"/>
      <c r="M299" s="488"/>
      <c r="N299" s="488"/>
      <c r="O299" s="488"/>
      <c r="P299" s="488"/>
      <c r="Q299" s="488"/>
      <c r="R299" s="488"/>
      <c r="S299" s="488"/>
      <c r="T299" s="488"/>
      <c r="U299" s="484" t="str">
        <f>IFERROR(VLOOKUP(N299,'Thông số'!$B:$F,5,0),"")</f>
        <v/>
      </c>
    </row>
    <row r="300" ht="14.25" customHeight="1" spans="1:21">
      <c r="A300" s="494">
        <v>1</v>
      </c>
      <c r="B300" s="495" t="s">
        <v>1747</v>
      </c>
      <c r="C300" s="495" t="s">
        <v>1748</v>
      </c>
      <c r="D300" s="497"/>
      <c r="E300" s="497"/>
      <c r="F300" s="497"/>
      <c r="G300" s="495" t="s">
        <v>287</v>
      </c>
      <c r="H300" s="473" t="s">
        <v>3558</v>
      </c>
      <c r="I300" s="473" t="s">
        <v>19</v>
      </c>
      <c r="J300" s="497"/>
      <c r="K300" s="473" t="s">
        <v>1263</v>
      </c>
      <c r="L300" s="497"/>
      <c r="M300" s="501" t="s">
        <v>1750</v>
      </c>
      <c r="N300" s="497"/>
      <c r="O300" s="495" t="s">
        <v>1751</v>
      </c>
      <c r="P300" s="495" t="s">
        <v>1165</v>
      </c>
      <c r="Q300" s="497"/>
      <c r="R300" s="473" t="s">
        <v>219</v>
      </c>
      <c r="S300" s="495" t="s">
        <v>1752</v>
      </c>
      <c r="T300" s="495" t="s">
        <v>462</v>
      </c>
      <c r="U300" s="484" t="str">
        <f>IFERROR(VLOOKUP(N300,'Thông số'!$B:$F,5,0),"")</f>
        <v/>
      </c>
    </row>
    <row r="301" ht="14.25" customHeight="1" spans="1:21">
      <c r="A301" s="494">
        <v>2</v>
      </c>
      <c r="B301" s="495" t="s">
        <v>1753</v>
      </c>
      <c r="C301" s="495" t="s">
        <v>1754</v>
      </c>
      <c r="D301" s="497"/>
      <c r="E301" s="497"/>
      <c r="F301" s="497"/>
      <c r="G301" s="495" t="s">
        <v>287</v>
      </c>
      <c r="H301" s="473" t="s">
        <v>3558</v>
      </c>
      <c r="I301" s="473" t="s">
        <v>19</v>
      </c>
      <c r="J301" s="497"/>
      <c r="K301" s="473" t="s">
        <v>1263</v>
      </c>
      <c r="L301" s="497"/>
      <c r="M301" s="501" t="s">
        <v>1750</v>
      </c>
      <c r="N301" s="497"/>
      <c r="O301" s="495" t="s">
        <v>1751</v>
      </c>
      <c r="P301" s="495" t="s">
        <v>1165</v>
      </c>
      <c r="Q301" s="497"/>
      <c r="R301" s="473" t="s">
        <v>219</v>
      </c>
      <c r="S301" s="495" t="s">
        <v>1757</v>
      </c>
      <c r="T301" s="495" t="s">
        <v>462</v>
      </c>
      <c r="U301" s="484" t="str">
        <f>IFERROR(VLOOKUP(N301,'Thông số'!$B:$F,5,0),"")</f>
        <v/>
      </c>
    </row>
    <row r="302" ht="14.25" customHeight="1" spans="1:21">
      <c r="A302" s="494">
        <v>3</v>
      </c>
      <c r="B302" s="495" t="s">
        <v>1758</v>
      </c>
      <c r="C302" s="495" t="s">
        <v>1759</v>
      </c>
      <c r="D302" s="473" t="s">
        <v>6646</v>
      </c>
      <c r="E302" s="497"/>
      <c r="F302" s="497"/>
      <c r="G302" s="495" t="s">
        <v>198</v>
      </c>
      <c r="H302" s="473" t="s">
        <v>6625</v>
      </c>
      <c r="I302" s="473" t="s">
        <v>19</v>
      </c>
      <c r="J302" s="497"/>
      <c r="K302" s="473" t="s">
        <v>1263</v>
      </c>
      <c r="L302" s="497"/>
      <c r="M302" s="497"/>
      <c r="N302" s="473" t="s">
        <v>1492</v>
      </c>
      <c r="O302" s="495" t="s">
        <v>759</v>
      </c>
      <c r="P302" s="495" t="s">
        <v>453</v>
      </c>
      <c r="Q302" s="497"/>
      <c r="R302" s="473" t="s">
        <v>199</v>
      </c>
      <c r="S302" s="495" t="s">
        <v>462</v>
      </c>
      <c r="T302" s="495">
        <v>2250</v>
      </c>
      <c r="U302" s="484" t="str">
        <f>IFERROR(VLOOKUP(N302,'Thông số'!$B:$F,5,0),"")</f>
        <v>2570 x 1200 x 1950</v>
      </c>
    </row>
    <row r="303" ht="14.25" customHeight="1" spans="1:21">
      <c r="A303" s="494">
        <v>4</v>
      </c>
      <c r="B303" s="495" t="s">
        <v>1761</v>
      </c>
      <c r="C303" s="495" t="s">
        <v>1762</v>
      </c>
      <c r="D303" s="473" t="s">
        <v>6647</v>
      </c>
      <c r="E303" s="497"/>
      <c r="F303" s="497"/>
      <c r="G303" s="495" t="s">
        <v>198</v>
      </c>
      <c r="H303" s="473" t="s">
        <v>6625</v>
      </c>
      <c r="I303" s="473" t="s">
        <v>19</v>
      </c>
      <c r="J303" s="497"/>
      <c r="K303" s="473" t="s">
        <v>1263</v>
      </c>
      <c r="L303" s="497"/>
      <c r="M303" s="509"/>
      <c r="N303" s="473" t="s">
        <v>1492</v>
      </c>
      <c r="O303" s="495" t="s">
        <v>759</v>
      </c>
      <c r="P303" s="495" t="s">
        <v>453</v>
      </c>
      <c r="Q303" s="497"/>
      <c r="R303" s="473" t="s">
        <v>199</v>
      </c>
      <c r="S303" s="495" t="s">
        <v>462</v>
      </c>
      <c r="T303" s="495">
        <v>3315</v>
      </c>
      <c r="U303" s="484" t="str">
        <f>IFERROR(VLOOKUP(N303,'Thông số'!$B:$F,5,0),"")</f>
        <v>2570 x 1200 x 1950</v>
      </c>
    </row>
    <row r="304" ht="14.25" customHeight="1" spans="1:21">
      <c r="A304" s="485" t="s">
        <v>1765</v>
      </c>
      <c r="B304" s="486" t="s">
        <v>1766</v>
      </c>
      <c r="C304" s="487">
        <v>13</v>
      </c>
      <c r="D304" s="488"/>
      <c r="E304" s="488"/>
      <c r="F304" s="488"/>
      <c r="G304" s="488"/>
      <c r="H304" s="497"/>
      <c r="I304" s="488"/>
      <c r="J304" s="488"/>
      <c r="K304" s="488"/>
      <c r="L304" s="488"/>
      <c r="M304" s="488"/>
      <c r="N304" s="488"/>
      <c r="O304" s="488"/>
      <c r="P304" s="488"/>
      <c r="Q304" s="488"/>
      <c r="R304" s="488"/>
      <c r="S304" s="488"/>
      <c r="T304" s="488"/>
      <c r="U304" s="484" t="str">
        <f>IFERROR(VLOOKUP(N304,'Thông số'!$B:$F,5,0),"")</f>
        <v/>
      </c>
    </row>
    <row r="305" ht="14.25" customHeight="1" spans="1:21">
      <c r="A305" s="489">
        <v>1</v>
      </c>
      <c r="B305" s="490" t="s">
        <v>1767</v>
      </c>
      <c r="C305" s="490" t="s">
        <v>1768</v>
      </c>
      <c r="D305" s="470" t="s">
        <v>3482</v>
      </c>
      <c r="E305" s="491"/>
      <c r="F305" s="491"/>
      <c r="G305" s="490" t="s">
        <v>287</v>
      </c>
      <c r="H305" s="470" t="s">
        <v>3558</v>
      </c>
      <c r="I305" s="470" t="s">
        <v>28</v>
      </c>
      <c r="J305" s="491"/>
      <c r="K305" s="470" t="s">
        <v>1126</v>
      </c>
      <c r="L305" s="491"/>
      <c r="M305" s="491"/>
      <c r="N305" s="491"/>
      <c r="O305" s="490" t="s">
        <v>1751</v>
      </c>
      <c r="P305" s="490" t="s">
        <v>1165</v>
      </c>
      <c r="Q305" s="491"/>
      <c r="R305" s="470" t="s">
        <v>219</v>
      </c>
      <c r="S305" s="491"/>
      <c r="T305" s="490" t="s">
        <v>462</v>
      </c>
      <c r="U305" s="484" t="str">
        <f>IFERROR(VLOOKUP(N305,'Thông số'!$B:$F,5,0),"")</f>
        <v/>
      </c>
    </row>
    <row r="306" ht="14.25" customHeight="1" spans="1:21">
      <c r="A306" s="494">
        <v>2</v>
      </c>
      <c r="B306" s="495" t="s">
        <v>1984</v>
      </c>
      <c r="C306" s="495" t="s">
        <v>6648</v>
      </c>
      <c r="D306" s="497"/>
      <c r="E306" s="497"/>
      <c r="F306" s="495" t="s">
        <v>3089</v>
      </c>
      <c r="G306" s="495" t="s">
        <v>207</v>
      </c>
      <c r="H306" s="473" t="s">
        <v>6574</v>
      </c>
      <c r="I306" s="470" t="s">
        <v>28</v>
      </c>
      <c r="J306" s="497"/>
      <c r="K306" s="473" t="s">
        <v>1263</v>
      </c>
      <c r="L306" s="497"/>
      <c r="M306" s="501" t="s">
        <v>6649</v>
      </c>
      <c r="N306" s="473" t="s">
        <v>1064</v>
      </c>
      <c r="O306" s="495" t="s">
        <v>759</v>
      </c>
      <c r="P306" s="495" t="s">
        <v>453</v>
      </c>
      <c r="Q306" s="473">
        <v>2013</v>
      </c>
      <c r="R306" s="473" t="s">
        <v>208</v>
      </c>
      <c r="S306" s="495">
        <v>57652</v>
      </c>
      <c r="T306" s="495" t="s">
        <v>462</v>
      </c>
      <c r="U306" s="484" t="str">
        <f>IFERROR(VLOOKUP(N306,'Thông số'!$B:$F,5,0),"")</f>
        <v>3445 x 1865 x 2535</v>
      </c>
    </row>
    <row r="307" ht="14.25" customHeight="1" spans="1:21">
      <c r="A307" s="494">
        <v>3</v>
      </c>
      <c r="B307" s="495" t="s">
        <v>1781</v>
      </c>
      <c r="C307" s="495" t="s">
        <v>1782</v>
      </c>
      <c r="D307" s="473" t="s">
        <v>6650</v>
      </c>
      <c r="E307" s="497"/>
      <c r="F307" s="497"/>
      <c r="G307" s="495" t="s">
        <v>207</v>
      </c>
      <c r="H307" s="473" t="s">
        <v>6574</v>
      </c>
      <c r="I307" s="470" t="s">
        <v>28</v>
      </c>
      <c r="J307" s="497"/>
      <c r="K307" s="473" t="s">
        <v>1263</v>
      </c>
      <c r="L307" s="497"/>
      <c r="M307" s="497"/>
      <c r="N307" s="473" t="s">
        <v>1064</v>
      </c>
      <c r="O307" s="495" t="s">
        <v>759</v>
      </c>
      <c r="P307" s="495" t="s">
        <v>453</v>
      </c>
      <c r="Q307" s="473">
        <v>2013</v>
      </c>
      <c r="R307" s="473" t="s">
        <v>208</v>
      </c>
      <c r="S307" s="495">
        <v>57123</v>
      </c>
      <c r="T307" s="495" t="s">
        <v>462</v>
      </c>
      <c r="U307" s="484" t="str">
        <f>IFERROR(VLOOKUP(N307,'Thông số'!$B:$F,5,0),"")</f>
        <v>3445 x 1865 x 2535</v>
      </c>
    </row>
    <row r="308" ht="14.25" customHeight="1" spans="1:21">
      <c r="A308" s="489">
        <v>4</v>
      </c>
      <c r="B308" s="490" t="s">
        <v>1777</v>
      </c>
      <c r="C308" s="490" t="s">
        <v>1778</v>
      </c>
      <c r="D308" s="470" t="s">
        <v>6651</v>
      </c>
      <c r="E308" s="491"/>
      <c r="F308" s="491"/>
      <c r="G308" s="490" t="s">
        <v>197</v>
      </c>
      <c r="H308" s="470" t="s">
        <v>6574</v>
      </c>
      <c r="I308" s="470" t="s">
        <v>28</v>
      </c>
      <c r="J308" s="491"/>
      <c r="K308" s="470" t="s">
        <v>1126</v>
      </c>
      <c r="L308" s="491"/>
      <c r="M308" s="491"/>
      <c r="N308" s="470" t="s">
        <v>1122</v>
      </c>
      <c r="O308" s="490" t="s">
        <v>1019</v>
      </c>
      <c r="P308" s="490" t="s">
        <v>500</v>
      </c>
      <c r="Q308" s="470">
        <v>2012</v>
      </c>
      <c r="R308" s="470" t="s">
        <v>128</v>
      </c>
      <c r="S308" s="490" t="s">
        <v>1780</v>
      </c>
      <c r="T308" s="490" t="s">
        <v>462</v>
      </c>
      <c r="U308" s="484" t="str">
        <f>IFERROR(VLOOKUP(N308,'Thông số'!$B:$F,5,0),"")</f>
        <v>3226 x 1570 x 1545</v>
      </c>
    </row>
    <row r="309" ht="14.25" customHeight="1" spans="1:21">
      <c r="A309" s="489">
        <v>5</v>
      </c>
      <c r="B309" s="490" t="s">
        <v>1774</v>
      </c>
      <c r="C309" s="490" t="s">
        <v>1775</v>
      </c>
      <c r="D309" s="470" t="s">
        <v>6652</v>
      </c>
      <c r="E309" s="491"/>
      <c r="F309" s="491"/>
      <c r="G309" s="490" t="s">
        <v>198</v>
      </c>
      <c r="H309" s="470" t="s">
        <v>6625</v>
      </c>
      <c r="I309" s="470" t="s">
        <v>28</v>
      </c>
      <c r="J309" s="491"/>
      <c r="K309" s="470" t="s">
        <v>1126</v>
      </c>
      <c r="L309" s="491"/>
      <c r="M309" s="491"/>
      <c r="N309" s="470" t="s">
        <v>1492</v>
      </c>
      <c r="O309" s="490" t="s">
        <v>759</v>
      </c>
      <c r="P309" s="490" t="s">
        <v>453</v>
      </c>
      <c r="Q309" s="491"/>
      <c r="R309" s="470" t="s">
        <v>199</v>
      </c>
      <c r="S309" s="490" t="s">
        <v>462</v>
      </c>
      <c r="T309" s="490">
        <v>2216</v>
      </c>
      <c r="U309" s="484" t="str">
        <f>IFERROR(VLOOKUP(N309,'Thông số'!$B:$F,5,0),"")</f>
        <v>2570 x 1200 x 1950</v>
      </c>
    </row>
    <row r="310" ht="14.25" customHeight="1" spans="1:21">
      <c r="A310" s="489">
        <v>6</v>
      </c>
      <c r="B310" s="490" t="s">
        <v>1783</v>
      </c>
      <c r="C310" s="490" t="s">
        <v>1784</v>
      </c>
      <c r="D310" s="470" t="s">
        <v>6653</v>
      </c>
      <c r="E310" s="491"/>
      <c r="F310" s="491"/>
      <c r="G310" s="490" t="s">
        <v>197</v>
      </c>
      <c r="H310" s="470" t="s">
        <v>6574</v>
      </c>
      <c r="I310" s="470" t="s">
        <v>28</v>
      </c>
      <c r="J310" s="492">
        <v>45349</v>
      </c>
      <c r="K310" s="470" t="s">
        <v>1126</v>
      </c>
      <c r="L310" s="491"/>
      <c r="M310" s="505" t="s">
        <v>1786</v>
      </c>
      <c r="N310" s="470" t="s">
        <v>1122</v>
      </c>
      <c r="O310" s="490" t="s">
        <v>1019</v>
      </c>
      <c r="P310" s="490" t="s">
        <v>500</v>
      </c>
      <c r="Q310" s="491"/>
      <c r="R310" s="470" t="s">
        <v>128</v>
      </c>
      <c r="S310" s="490" t="s">
        <v>462</v>
      </c>
      <c r="T310" s="490" t="s">
        <v>1787</v>
      </c>
      <c r="U310" s="484" t="str">
        <f>IFERROR(VLOOKUP(N310,'Thông số'!$B:$F,5,0),"")</f>
        <v>3226 x 1570 x 1545</v>
      </c>
    </row>
    <row r="311" ht="14.25" customHeight="1" spans="1:21">
      <c r="A311" s="494">
        <v>7</v>
      </c>
      <c r="B311" s="495" t="s">
        <v>1809</v>
      </c>
      <c r="C311" s="495" t="s">
        <v>1810</v>
      </c>
      <c r="D311" s="473" t="s">
        <v>3482</v>
      </c>
      <c r="E311" s="497"/>
      <c r="F311" s="495" t="s">
        <v>3482</v>
      </c>
      <c r="G311" s="495" t="s">
        <v>287</v>
      </c>
      <c r="H311" s="473" t="s">
        <v>3558</v>
      </c>
      <c r="I311" s="470" t="s">
        <v>28</v>
      </c>
      <c r="J311" s="497"/>
      <c r="K311" s="473" t="s">
        <v>1263</v>
      </c>
      <c r="L311" s="497"/>
      <c r="M311" s="497"/>
      <c r="N311" s="497"/>
      <c r="O311" s="495" t="s">
        <v>1751</v>
      </c>
      <c r="P311" s="495" t="s">
        <v>1165</v>
      </c>
      <c r="Q311" s="497"/>
      <c r="R311" s="497"/>
      <c r="S311" s="495" t="s">
        <v>1811</v>
      </c>
      <c r="T311" s="495" t="s">
        <v>462</v>
      </c>
      <c r="U311" s="484" t="str">
        <f>IFERROR(VLOOKUP(N311,'Thông số'!$B:$F,5,0),"")</f>
        <v/>
      </c>
    </row>
    <row r="312" ht="14.25" customHeight="1" spans="1:21">
      <c r="A312" s="494">
        <v>8</v>
      </c>
      <c r="B312" s="495" t="s">
        <v>1788</v>
      </c>
      <c r="C312" s="495" t="s">
        <v>1789</v>
      </c>
      <c r="D312" s="497"/>
      <c r="E312" s="497"/>
      <c r="F312" s="497"/>
      <c r="G312" s="495" t="s">
        <v>197</v>
      </c>
      <c r="H312" s="473" t="s">
        <v>6574</v>
      </c>
      <c r="I312" s="470" t="s">
        <v>28</v>
      </c>
      <c r="J312" s="497"/>
      <c r="K312" s="473" t="s">
        <v>1263</v>
      </c>
      <c r="L312" s="497"/>
      <c r="M312" s="501" t="s">
        <v>1790</v>
      </c>
      <c r="N312" s="473" t="s">
        <v>1122</v>
      </c>
      <c r="O312" s="495" t="s">
        <v>1019</v>
      </c>
      <c r="P312" s="495" t="s">
        <v>500</v>
      </c>
      <c r="Q312" s="473">
        <v>2018</v>
      </c>
      <c r="R312" s="473" t="s">
        <v>128</v>
      </c>
      <c r="S312" s="495" t="s">
        <v>1791</v>
      </c>
      <c r="T312" s="495" t="s">
        <v>462</v>
      </c>
      <c r="U312" s="484" t="str">
        <f>IFERROR(VLOOKUP(N312,'Thông số'!$B:$F,5,0),"")</f>
        <v>3226 x 1570 x 1545</v>
      </c>
    </row>
    <row r="313" ht="14.25" customHeight="1" spans="1:21">
      <c r="A313" s="494">
        <v>9</v>
      </c>
      <c r="B313" s="495" t="s">
        <v>1792</v>
      </c>
      <c r="C313" s="495" t="s">
        <v>1793</v>
      </c>
      <c r="D313" s="497"/>
      <c r="E313" s="497"/>
      <c r="F313" s="497"/>
      <c r="G313" s="495" t="s">
        <v>197</v>
      </c>
      <c r="H313" s="473" t="s">
        <v>6574</v>
      </c>
      <c r="I313" s="470" t="s">
        <v>28</v>
      </c>
      <c r="J313" s="497"/>
      <c r="K313" s="473" t="s">
        <v>1263</v>
      </c>
      <c r="L313" s="497"/>
      <c r="M313" s="501" t="s">
        <v>1794</v>
      </c>
      <c r="N313" s="473" t="s">
        <v>1122</v>
      </c>
      <c r="O313" s="495" t="s">
        <v>1019</v>
      </c>
      <c r="P313" s="495" t="s">
        <v>500</v>
      </c>
      <c r="Q313" s="473">
        <v>2018</v>
      </c>
      <c r="R313" s="473" t="s">
        <v>128</v>
      </c>
      <c r="S313" s="495" t="s">
        <v>1795</v>
      </c>
      <c r="T313" s="495" t="s">
        <v>462</v>
      </c>
      <c r="U313" s="484" t="str">
        <f>IFERROR(VLOOKUP(N313,'Thông số'!$B:$F,5,0),"")</f>
        <v>3226 x 1570 x 1545</v>
      </c>
    </row>
    <row r="314" ht="14.25" customHeight="1" spans="1:21">
      <c r="A314" s="494">
        <v>10</v>
      </c>
      <c r="B314" s="495" t="s">
        <v>1612</v>
      </c>
      <c r="C314" s="495" t="s">
        <v>504</v>
      </c>
      <c r="D314" s="473" t="s">
        <v>1613</v>
      </c>
      <c r="E314" s="497"/>
      <c r="F314" s="497"/>
      <c r="G314" s="495" t="s">
        <v>204</v>
      </c>
      <c r="H314" s="473" t="s">
        <v>6574</v>
      </c>
      <c r="I314" s="470" t="s">
        <v>28</v>
      </c>
      <c r="J314" s="498">
        <v>45590</v>
      </c>
      <c r="K314" s="473" t="s">
        <v>1263</v>
      </c>
      <c r="L314" s="497"/>
      <c r="M314" s="501" t="s">
        <v>653</v>
      </c>
      <c r="N314" s="473" t="s">
        <v>1618</v>
      </c>
      <c r="O314" s="495" t="s">
        <v>1015</v>
      </c>
      <c r="P314" s="495" t="s">
        <v>590</v>
      </c>
      <c r="Q314" s="473">
        <v>2024</v>
      </c>
      <c r="R314" s="473" t="s">
        <v>1619</v>
      </c>
      <c r="S314" s="495" t="s">
        <v>1620</v>
      </c>
      <c r="T314" s="495" t="s">
        <v>1621</v>
      </c>
      <c r="U314" s="484" t="str">
        <f>IFERROR(VLOOKUP(N314,'Thông số'!$B:$F,5,0),"")</f>
        <v>3400 x 1570 x 2260</v>
      </c>
    </row>
    <row r="315" ht="14.25" customHeight="1" spans="1:21">
      <c r="A315" s="494">
        <v>11</v>
      </c>
      <c r="B315" s="495" t="s">
        <v>1979</v>
      </c>
      <c r="C315" s="495" t="s">
        <v>6654</v>
      </c>
      <c r="D315" s="473" t="s">
        <v>1980</v>
      </c>
      <c r="E315" s="497"/>
      <c r="F315" s="495" t="s">
        <v>1980</v>
      </c>
      <c r="G315" s="495" t="s">
        <v>197</v>
      </c>
      <c r="H315" s="473" t="s">
        <v>6574</v>
      </c>
      <c r="I315" s="470" t="s">
        <v>28</v>
      </c>
      <c r="J315" s="497"/>
      <c r="K315" s="473" t="s">
        <v>1263</v>
      </c>
      <c r="L315" s="497"/>
      <c r="M315" s="501" t="s">
        <v>6655</v>
      </c>
      <c r="N315" s="473" t="s">
        <v>1122</v>
      </c>
      <c r="O315" s="495" t="s">
        <v>1019</v>
      </c>
      <c r="P315" s="495" t="s">
        <v>500</v>
      </c>
      <c r="Q315" s="473">
        <v>2018</v>
      </c>
      <c r="R315" s="473" t="s">
        <v>128</v>
      </c>
      <c r="S315" s="495" t="s">
        <v>1982</v>
      </c>
      <c r="T315" s="495" t="s">
        <v>462</v>
      </c>
      <c r="U315" s="484" t="str">
        <f>IFERROR(VLOOKUP(N315,'Thông số'!$B:$F,5,0),"")</f>
        <v>3226 x 1570 x 1545</v>
      </c>
    </row>
    <row r="316" ht="14.25" customHeight="1" spans="1:21">
      <c r="A316" s="494">
        <v>12</v>
      </c>
      <c r="B316" s="510" t="s">
        <v>1801</v>
      </c>
      <c r="C316" s="511"/>
      <c r="D316" s="512" t="s">
        <v>1802</v>
      </c>
      <c r="E316" s="511"/>
      <c r="F316" s="511"/>
      <c r="G316" s="510" t="s">
        <v>187</v>
      </c>
      <c r="H316" s="497"/>
      <c r="I316" s="470" t="s">
        <v>28</v>
      </c>
      <c r="J316" s="511"/>
      <c r="K316" s="473" t="s">
        <v>1263</v>
      </c>
      <c r="L316" s="511"/>
      <c r="M316" s="513" t="s">
        <v>653</v>
      </c>
      <c r="N316" s="476">
        <v>6200</v>
      </c>
      <c r="O316" s="510" t="s">
        <v>1805</v>
      </c>
      <c r="P316" s="510" t="s">
        <v>1806</v>
      </c>
      <c r="Q316" s="514">
        <v>1997</v>
      </c>
      <c r="R316" s="476" t="s">
        <v>5198</v>
      </c>
      <c r="S316" s="510" t="s">
        <v>1807</v>
      </c>
      <c r="T316" s="510" t="s">
        <v>1808</v>
      </c>
      <c r="U316" s="484" t="str">
        <f>IFERROR(VLOOKUP(N316,'Thông số'!$B:$F,5,0),"")</f>
        <v>4190 x 2170 x 2590</v>
      </c>
    </row>
    <row r="317" ht="14.25" customHeight="1" spans="1:21">
      <c r="A317" s="494">
        <v>13</v>
      </c>
      <c r="B317" s="510" t="s">
        <v>1812</v>
      </c>
      <c r="C317" s="510" t="s">
        <v>1813</v>
      </c>
      <c r="D317" s="496"/>
      <c r="E317" s="511"/>
      <c r="F317" s="511"/>
      <c r="G317" s="510" t="s">
        <v>282</v>
      </c>
      <c r="H317" s="473" t="s">
        <v>3530</v>
      </c>
      <c r="I317" s="470" t="s">
        <v>28</v>
      </c>
      <c r="J317" s="515">
        <v>45503</v>
      </c>
      <c r="K317" s="473" t="s">
        <v>1263</v>
      </c>
      <c r="L317" s="516">
        <v>0.7</v>
      </c>
      <c r="M317" s="517" t="s">
        <v>1814</v>
      </c>
      <c r="N317" s="476" t="s">
        <v>1216</v>
      </c>
      <c r="O317" s="510" t="s">
        <v>964</v>
      </c>
      <c r="P317" s="510" t="s">
        <v>1215</v>
      </c>
      <c r="Q317" s="511"/>
      <c r="R317" s="476" t="s">
        <v>272</v>
      </c>
      <c r="S317" s="510" t="s">
        <v>1815</v>
      </c>
      <c r="T317" s="510" t="s">
        <v>1816</v>
      </c>
      <c r="U317" s="484" t="str">
        <f>IFERROR(VLOOKUP(N317,'Thông số'!$B:$F,5,0),"")</f>
        <v/>
      </c>
    </row>
    <row r="318" ht="14.25" customHeight="1" spans="1:21">
      <c r="A318" s="481" t="s">
        <v>1826</v>
      </c>
      <c r="B318" s="482"/>
      <c r="C318" s="483">
        <v>124</v>
      </c>
      <c r="D318" s="482"/>
      <c r="E318" s="482"/>
      <c r="F318" s="482"/>
      <c r="G318" s="482"/>
      <c r="H318" s="497"/>
      <c r="I318" s="482"/>
      <c r="J318" s="482"/>
      <c r="K318" s="482"/>
      <c r="L318" s="482"/>
      <c r="M318" s="482"/>
      <c r="N318" s="482"/>
      <c r="O318" s="482"/>
      <c r="P318" s="482"/>
      <c r="Q318" s="482"/>
      <c r="R318" s="482"/>
      <c r="S318" s="482"/>
      <c r="T318" s="482"/>
      <c r="U318" s="484" t="str">
        <f>IFERROR(VLOOKUP(N318,'Thông số'!$B:$F,5,0),"")</f>
        <v/>
      </c>
    </row>
    <row r="319" ht="14.25" customHeight="1" spans="1:21">
      <c r="A319" s="494">
        <v>1</v>
      </c>
      <c r="B319" s="495" t="s">
        <v>1827</v>
      </c>
      <c r="C319" s="495" t="s">
        <v>1828</v>
      </c>
      <c r="D319" s="473" t="s">
        <v>3339</v>
      </c>
      <c r="E319" s="497"/>
      <c r="F319" s="495" t="s">
        <v>3357</v>
      </c>
      <c r="G319" s="495" t="s">
        <v>209</v>
      </c>
      <c r="H319" s="473" t="s">
        <v>6576</v>
      </c>
      <c r="I319" s="473" t="s">
        <v>1103</v>
      </c>
      <c r="J319" s="497"/>
      <c r="K319" s="473" t="s">
        <v>1263</v>
      </c>
      <c r="L319" s="497"/>
      <c r="M319" s="497"/>
      <c r="N319" s="473">
        <v>9540</v>
      </c>
      <c r="O319" s="495" t="s">
        <v>759</v>
      </c>
      <c r="P319" s="495" t="s">
        <v>453</v>
      </c>
      <c r="Q319" s="473">
        <v>2011</v>
      </c>
      <c r="R319" s="473" t="s">
        <v>120</v>
      </c>
      <c r="S319" s="495">
        <v>2340</v>
      </c>
      <c r="T319" s="495" t="s">
        <v>462</v>
      </c>
      <c r="U319" s="484" t="str">
        <f>IFERROR(VLOOKUP(N319,'Thông số'!$B:$F,5,0),"")</f>
        <v>3760 x 1900 x 2570</v>
      </c>
    </row>
    <row r="320" ht="14.25" customHeight="1" spans="1:21">
      <c r="A320" s="489">
        <v>2</v>
      </c>
      <c r="B320" s="490" t="s">
        <v>1829</v>
      </c>
      <c r="C320" s="490" t="s">
        <v>1830</v>
      </c>
      <c r="D320" s="470" t="s">
        <v>3339</v>
      </c>
      <c r="E320" s="491"/>
      <c r="F320" s="490" t="s">
        <v>3358</v>
      </c>
      <c r="G320" s="490" t="s">
        <v>209</v>
      </c>
      <c r="H320" s="470" t="s">
        <v>6576</v>
      </c>
      <c r="I320" s="470" t="s">
        <v>1103</v>
      </c>
      <c r="J320" s="491"/>
      <c r="K320" s="470" t="s">
        <v>1126</v>
      </c>
      <c r="L320" s="491"/>
      <c r="M320" s="491"/>
      <c r="N320" s="470">
        <v>9540</v>
      </c>
      <c r="O320" s="490" t="s">
        <v>759</v>
      </c>
      <c r="P320" s="490" t="s">
        <v>453</v>
      </c>
      <c r="Q320" s="470">
        <v>2011</v>
      </c>
      <c r="R320" s="470" t="s">
        <v>120</v>
      </c>
      <c r="S320" s="490">
        <v>2807</v>
      </c>
      <c r="T320" s="490" t="s">
        <v>462</v>
      </c>
      <c r="U320" s="484" t="str">
        <f>IFERROR(VLOOKUP(N320,'Thông số'!$B:$F,5,0),"")</f>
        <v>3760 x 1900 x 2570</v>
      </c>
    </row>
    <row r="321" ht="14.25" customHeight="1" spans="1:21">
      <c r="A321" s="489">
        <v>3</v>
      </c>
      <c r="B321" s="490" t="s">
        <v>1831</v>
      </c>
      <c r="C321" s="490" t="s">
        <v>1832</v>
      </c>
      <c r="D321" s="470" t="s">
        <v>3339</v>
      </c>
      <c r="E321" s="491"/>
      <c r="F321" s="490" t="s">
        <v>3359</v>
      </c>
      <c r="G321" s="490" t="s">
        <v>209</v>
      </c>
      <c r="H321" s="470" t="s">
        <v>6576</v>
      </c>
      <c r="I321" s="470" t="s">
        <v>1103</v>
      </c>
      <c r="J321" s="491"/>
      <c r="K321" s="470" t="s">
        <v>1126</v>
      </c>
      <c r="L321" s="491"/>
      <c r="M321" s="491"/>
      <c r="N321" s="470">
        <v>9540</v>
      </c>
      <c r="O321" s="490" t="s">
        <v>759</v>
      </c>
      <c r="P321" s="490" t="s">
        <v>453</v>
      </c>
      <c r="Q321" s="470">
        <v>2011</v>
      </c>
      <c r="R321" s="470" t="s">
        <v>120</v>
      </c>
      <c r="S321" s="490">
        <v>2796</v>
      </c>
      <c r="T321" s="490" t="s">
        <v>462</v>
      </c>
      <c r="U321" s="484" t="str">
        <f>IFERROR(VLOOKUP(N321,'Thông số'!$B:$F,5,0),"")</f>
        <v>3760 x 1900 x 2570</v>
      </c>
    </row>
    <row r="322" ht="14.25" customHeight="1" spans="1:21">
      <c r="A322" s="494">
        <v>4</v>
      </c>
      <c r="B322" s="495" t="s">
        <v>1833</v>
      </c>
      <c r="C322" s="495" t="s">
        <v>1834</v>
      </c>
      <c r="D322" s="473" t="s">
        <v>1624</v>
      </c>
      <c r="E322" s="497"/>
      <c r="F322" s="497"/>
      <c r="G322" s="495" t="s">
        <v>207</v>
      </c>
      <c r="H322" s="473" t="s">
        <v>6574</v>
      </c>
      <c r="I322" s="473" t="s">
        <v>1103</v>
      </c>
      <c r="J322" s="497"/>
      <c r="K322" s="473" t="s">
        <v>1263</v>
      </c>
      <c r="L322" s="497"/>
      <c r="M322" s="497"/>
      <c r="N322" s="473" t="s">
        <v>1064</v>
      </c>
      <c r="O322" s="495" t="s">
        <v>759</v>
      </c>
      <c r="P322" s="495" t="s">
        <v>453</v>
      </c>
      <c r="Q322" s="473">
        <v>2013</v>
      </c>
      <c r="R322" s="473" t="s">
        <v>208</v>
      </c>
      <c r="S322" s="495">
        <v>57274</v>
      </c>
      <c r="T322" s="495">
        <v>9237</v>
      </c>
      <c r="U322" s="484" t="str">
        <f>IFERROR(VLOOKUP(N322,'Thông số'!$B:$F,5,0),"")</f>
        <v>3445 x 1865 x 2535</v>
      </c>
    </row>
    <row r="323" ht="14.25" customHeight="1" spans="1:21">
      <c r="A323" s="494">
        <v>5</v>
      </c>
      <c r="B323" s="495" t="s">
        <v>1623</v>
      </c>
      <c r="C323" s="495" t="s">
        <v>6656</v>
      </c>
      <c r="D323" s="473" t="s">
        <v>1624</v>
      </c>
      <c r="E323" s="497"/>
      <c r="F323" s="497"/>
      <c r="G323" s="495" t="s">
        <v>207</v>
      </c>
      <c r="H323" s="473" t="s">
        <v>6574</v>
      </c>
      <c r="I323" s="473" t="s">
        <v>1103</v>
      </c>
      <c r="J323" s="497"/>
      <c r="K323" s="473" t="s">
        <v>1263</v>
      </c>
      <c r="L323" s="497"/>
      <c r="M323" s="497"/>
      <c r="N323" s="473" t="s">
        <v>1064</v>
      </c>
      <c r="O323" s="495" t="s">
        <v>759</v>
      </c>
      <c r="P323" s="495" t="s">
        <v>453</v>
      </c>
      <c r="Q323" s="473">
        <v>2013</v>
      </c>
      <c r="R323" s="473" t="s">
        <v>208</v>
      </c>
      <c r="S323" s="495">
        <v>57121</v>
      </c>
      <c r="T323" s="495">
        <v>7542</v>
      </c>
      <c r="U323" s="484" t="str">
        <f>IFERROR(VLOOKUP(N323,'Thông số'!$B:$F,5,0),"")</f>
        <v>3445 x 1865 x 2535</v>
      </c>
    </row>
    <row r="324" ht="14.25" customHeight="1" spans="1:21">
      <c r="A324" s="489">
        <v>6</v>
      </c>
      <c r="B324" s="490" t="s">
        <v>1835</v>
      </c>
      <c r="C324" s="490" t="s">
        <v>1836</v>
      </c>
      <c r="D324" s="470" t="s">
        <v>6657</v>
      </c>
      <c r="E324" s="491"/>
      <c r="F324" s="491"/>
      <c r="G324" s="490" t="s">
        <v>193</v>
      </c>
      <c r="H324" s="470" t="s">
        <v>6576</v>
      </c>
      <c r="I324" s="470" t="s">
        <v>1103</v>
      </c>
      <c r="J324" s="491"/>
      <c r="K324" s="470" t="s">
        <v>1126</v>
      </c>
      <c r="L324" s="491"/>
      <c r="M324" s="491"/>
      <c r="N324" s="470">
        <v>6603</v>
      </c>
      <c r="O324" s="490" t="s">
        <v>976</v>
      </c>
      <c r="P324" s="490" t="s">
        <v>977</v>
      </c>
      <c r="Q324" s="470">
        <v>2008</v>
      </c>
      <c r="R324" s="470" t="s">
        <v>102</v>
      </c>
      <c r="S324" s="490">
        <v>5956</v>
      </c>
      <c r="T324" s="490" t="s">
        <v>462</v>
      </c>
      <c r="U324" s="484" t="str">
        <f>IFERROR(VLOOKUP(N324,'Thông số'!$B:$F,5,0),"")</f>
        <v>4200 x 2600 x 2900</v>
      </c>
    </row>
    <row r="325" ht="14.25" customHeight="1" spans="1:21">
      <c r="A325" s="489">
        <v>7</v>
      </c>
      <c r="B325" s="490" t="s">
        <v>1837</v>
      </c>
      <c r="C325" s="490" t="s">
        <v>1838</v>
      </c>
      <c r="D325" s="470" t="s">
        <v>6658</v>
      </c>
      <c r="E325" s="491"/>
      <c r="F325" s="491"/>
      <c r="G325" s="490" t="s">
        <v>193</v>
      </c>
      <c r="H325" s="470" t="s">
        <v>6576</v>
      </c>
      <c r="I325" s="470" t="s">
        <v>1103</v>
      </c>
      <c r="J325" s="491"/>
      <c r="K325" s="470" t="s">
        <v>1126</v>
      </c>
      <c r="L325" s="491"/>
      <c r="M325" s="491"/>
      <c r="N325" s="470">
        <v>6603</v>
      </c>
      <c r="O325" s="490" t="s">
        <v>976</v>
      </c>
      <c r="P325" s="490" t="s">
        <v>977</v>
      </c>
      <c r="Q325" s="470">
        <v>2008</v>
      </c>
      <c r="R325" s="470" t="s">
        <v>102</v>
      </c>
      <c r="S325" s="490">
        <v>32551</v>
      </c>
      <c r="T325" s="490" t="s">
        <v>462</v>
      </c>
      <c r="U325" s="484" t="str">
        <f>IFERROR(VLOOKUP(N325,'Thông số'!$B:$F,5,0),"")</f>
        <v>4200 x 2600 x 2900</v>
      </c>
    </row>
    <row r="326" ht="14.25" customHeight="1" spans="1:21">
      <c r="A326" s="494">
        <v>8</v>
      </c>
      <c r="B326" s="495" t="s">
        <v>1840</v>
      </c>
      <c r="C326" s="495" t="s">
        <v>1841</v>
      </c>
      <c r="D326" s="473" t="s">
        <v>6659</v>
      </c>
      <c r="E326" s="497"/>
      <c r="F326" s="497"/>
      <c r="G326" s="495" t="s">
        <v>197</v>
      </c>
      <c r="H326" s="473" t="s">
        <v>6574</v>
      </c>
      <c r="I326" s="473" t="s">
        <v>1103</v>
      </c>
      <c r="J326" s="497"/>
      <c r="K326" s="473" t="s">
        <v>1263</v>
      </c>
      <c r="L326" s="497"/>
      <c r="M326" s="497"/>
      <c r="N326" s="473" t="s">
        <v>1122</v>
      </c>
      <c r="O326" s="495" t="s">
        <v>1019</v>
      </c>
      <c r="P326" s="495" t="s">
        <v>500</v>
      </c>
      <c r="Q326" s="473">
        <v>2018</v>
      </c>
      <c r="R326" s="473" t="s">
        <v>128</v>
      </c>
      <c r="S326" s="495">
        <v>87</v>
      </c>
      <c r="T326" s="495">
        <v>80</v>
      </c>
      <c r="U326" s="484" t="str">
        <f>IFERROR(VLOOKUP(N326,'Thông số'!$B:$F,5,0),"")</f>
        <v>3226 x 1570 x 1545</v>
      </c>
    </row>
    <row r="327" ht="14.25" customHeight="1" spans="1:21">
      <c r="A327" s="494">
        <v>9</v>
      </c>
      <c r="B327" s="495" t="s">
        <v>1843</v>
      </c>
      <c r="C327" s="495" t="s">
        <v>1844</v>
      </c>
      <c r="D327" s="473" t="s">
        <v>6660</v>
      </c>
      <c r="E327" s="497"/>
      <c r="F327" s="497"/>
      <c r="G327" s="495" t="s">
        <v>207</v>
      </c>
      <c r="H327" s="473" t="s">
        <v>6574</v>
      </c>
      <c r="I327" s="473" t="s">
        <v>1103</v>
      </c>
      <c r="J327" s="497"/>
      <c r="K327" s="473" t="s">
        <v>1263</v>
      </c>
      <c r="L327" s="497"/>
      <c r="M327" s="497"/>
      <c r="N327" s="473" t="s">
        <v>1064</v>
      </c>
      <c r="O327" s="495" t="s">
        <v>759</v>
      </c>
      <c r="P327" s="495" t="s">
        <v>453</v>
      </c>
      <c r="Q327" s="473">
        <v>2013</v>
      </c>
      <c r="R327" s="473" t="s">
        <v>208</v>
      </c>
      <c r="S327" s="495" t="s">
        <v>1845</v>
      </c>
      <c r="T327" s="495" t="s">
        <v>462</v>
      </c>
      <c r="U327" s="484" t="str">
        <f>IFERROR(VLOOKUP(N327,'Thông số'!$B:$F,5,0),"")</f>
        <v>3445 x 1865 x 2535</v>
      </c>
    </row>
    <row r="328" ht="14.25" customHeight="1" spans="1:21">
      <c r="A328" s="489">
        <v>10</v>
      </c>
      <c r="B328" s="490" t="s">
        <v>1846</v>
      </c>
      <c r="C328" s="490" t="s">
        <v>1847</v>
      </c>
      <c r="D328" s="470" t="s">
        <v>6661</v>
      </c>
      <c r="E328" s="491"/>
      <c r="F328" s="491"/>
      <c r="G328" s="490" t="s">
        <v>197</v>
      </c>
      <c r="H328" s="470" t="s">
        <v>6574</v>
      </c>
      <c r="I328" s="470" t="s">
        <v>1103</v>
      </c>
      <c r="J328" s="491"/>
      <c r="K328" s="470" t="s">
        <v>1126</v>
      </c>
      <c r="L328" s="491"/>
      <c r="M328" s="491"/>
      <c r="N328" s="470" t="s">
        <v>1122</v>
      </c>
      <c r="O328" s="490" t="s">
        <v>1019</v>
      </c>
      <c r="P328" s="490" t="s">
        <v>500</v>
      </c>
      <c r="Q328" s="470">
        <v>2018</v>
      </c>
      <c r="R328" s="470" t="s">
        <v>128</v>
      </c>
      <c r="S328" s="490" t="s">
        <v>1848</v>
      </c>
      <c r="T328" s="490">
        <v>180012</v>
      </c>
      <c r="U328" s="484" t="str">
        <f>IFERROR(VLOOKUP(N328,'Thông số'!$B:$F,5,0),"")</f>
        <v>3226 x 1570 x 1545</v>
      </c>
    </row>
    <row r="329" ht="14.25" customHeight="1" spans="1:21">
      <c r="A329" s="494">
        <v>11</v>
      </c>
      <c r="B329" s="495" t="s">
        <v>1771</v>
      </c>
      <c r="C329" s="495" t="s">
        <v>6662</v>
      </c>
      <c r="D329" s="473" t="s">
        <v>6663</v>
      </c>
      <c r="E329" s="497"/>
      <c r="F329" s="497"/>
      <c r="G329" s="495" t="s">
        <v>197</v>
      </c>
      <c r="H329" s="473" t="s">
        <v>6574</v>
      </c>
      <c r="I329" s="473" t="s">
        <v>1103</v>
      </c>
      <c r="J329" s="497"/>
      <c r="K329" s="473" t="s">
        <v>1263</v>
      </c>
      <c r="L329" s="497"/>
      <c r="M329" s="497"/>
      <c r="N329" s="473" t="s">
        <v>1122</v>
      </c>
      <c r="O329" s="495" t="s">
        <v>1019</v>
      </c>
      <c r="P329" s="495" t="s">
        <v>500</v>
      </c>
      <c r="Q329" s="473">
        <v>2018</v>
      </c>
      <c r="R329" s="473" t="s">
        <v>128</v>
      </c>
      <c r="S329" s="495" t="s">
        <v>1773</v>
      </c>
      <c r="T329" s="495">
        <v>180001</v>
      </c>
      <c r="U329" s="484" t="str">
        <f>IFERROR(VLOOKUP(N329,'Thông số'!$B:$F,5,0),"")</f>
        <v>3226 x 1570 x 1545</v>
      </c>
    </row>
    <row r="330" ht="14.25" customHeight="1" spans="1:21">
      <c r="A330" s="489">
        <v>12</v>
      </c>
      <c r="B330" s="490" t="s">
        <v>1849</v>
      </c>
      <c r="C330" s="490" t="s">
        <v>1850</v>
      </c>
      <c r="D330" s="470" t="s">
        <v>3361</v>
      </c>
      <c r="E330" s="491"/>
      <c r="F330" s="490" t="s">
        <v>3361</v>
      </c>
      <c r="G330" s="490" t="s">
        <v>181</v>
      </c>
      <c r="H330" s="470" t="s">
        <v>6580</v>
      </c>
      <c r="I330" s="470" t="s">
        <v>1103</v>
      </c>
      <c r="J330" s="492">
        <v>45292</v>
      </c>
      <c r="K330" s="470" t="s">
        <v>1126</v>
      </c>
      <c r="L330" s="493">
        <v>0.97</v>
      </c>
      <c r="M330" s="491"/>
      <c r="N330" s="470">
        <v>5090</v>
      </c>
      <c r="O330" s="490" t="s">
        <v>976</v>
      </c>
      <c r="P330" s="490" t="s">
        <v>977</v>
      </c>
      <c r="Q330" s="470">
        <v>2022</v>
      </c>
      <c r="R330" s="470" t="s">
        <v>177</v>
      </c>
      <c r="S330" s="490">
        <v>4073059</v>
      </c>
      <c r="T330" s="490">
        <v>26911</v>
      </c>
      <c r="U330" s="484" t="str">
        <f>IFERROR(VLOOKUP(N330,'Thông số'!$B:$F,5,0),"")</f>
        <v>4100 x 2100 x 2600</v>
      </c>
    </row>
    <row r="331" ht="14.25" customHeight="1" spans="1:21">
      <c r="A331" s="494">
        <v>13</v>
      </c>
      <c r="B331" s="495" t="s">
        <v>1851</v>
      </c>
      <c r="C331" s="495" t="s">
        <v>1850</v>
      </c>
      <c r="D331" s="473" t="s">
        <v>3362</v>
      </c>
      <c r="E331" s="497"/>
      <c r="F331" s="495" t="s">
        <v>3362</v>
      </c>
      <c r="G331" s="495" t="s">
        <v>181</v>
      </c>
      <c r="H331" s="473" t="s">
        <v>6580</v>
      </c>
      <c r="I331" s="473" t="s">
        <v>1103</v>
      </c>
      <c r="J331" s="498">
        <v>45292</v>
      </c>
      <c r="K331" s="473" t="s">
        <v>1263</v>
      </c>
      <c r="L331" s="499">
        <v>0.97</v>
      </c>
      <c r="M331" s="497"/>
      <c r="N331" s="473">
        <v>5090</v>
      </c>
      <c r="O331" s="495" t="s">
        <v>976</v>
      </c>
      <c r="P331" s="495" t="s">
        <v>977</v>
      </c>
      <c r="Q331" s="473">
        <v>2022</v>
      </c>
      <c r="R331" s="473" t="s">
        <v>177</v>
      </c>
      <c r="S331" s="495">
        <v>4073056</v>
      </c>
      <c r="T331" s="495">
        <v>27085</v>
      </c>
      <c r="U331" s="484" t="str">
        <f>IFERROR(VLOOKUP(N331,'Thông số'!$B:$F,5,0),"")</f>
        <v>4100 x 2100 x 2600</v>
      </c>
    </row>
    <row r="332" ht="14.25" customHeight="1" spans="1:21">
      <c r="A332" s="489">
        <v>14</v>
      </c>
      <c r="B332" s="490" t="s">
        <v>1852</v>
      </c>
      <c r="C332" s="490" t="s">
        <v>1853</v>
      </c>
      <c r="D332" s="470" t="s">
        <v>6664</v>
      </c>
      <c r="E332" s="491"/>
      <c r="F332" s="491"/>
      <c r="G332" s="490" t="s">
        <v>197</v>
      </c>
      <c r="H332" s="470" t="s">
        <v>6574</v>
      </c>
      <c r="I332" s="470" t="s">
        <v>1103</v>
      </c>
      <c r="J332" s="492">
        <v>45258</v>
      </c>
      <c r="K332" s="470" t="s">
        <v>1126</v>
      </c>
      <c r="L332" s="491"/>
      <c r="M332" s="491"/>
      <c r="N332" s="470" t="s">
        <v>1122</v>
      </c>
      <c r="O332" s="490" t="s">
        <v>1019</v>
      </c>
      <c r="P332" s="490" t="s">
        <v>500</v>
      </c>
      <c r="Q332" s="470">
        <v>2018</v>
      </c>
      <c r="R332" s="470" t="s">
        <v>128</v>
      </c>
      <c r="S332" s="490">
        <v>180090</v>
      </c>
      <c r="T332" s="490" t="s">
        <v>462</v>
      </c>
      <c r="U332" s="484" t="str">
        <f>IFERROR(VLOOKUP(N332,'Thông số'!$B:$F,5,0),"")</f>
        <v>3226 x 1570 x 1545</v>
      </c>
    </row>
    <row r="333" ht="14.25" customHeight="1" spans="1:21">
      <c r="A333" s="494">
        <v>15</v>
      </c>
      <c r="B333" s="495" t="s">
        <v>1855</v>
      </c>
      <c r="C333" s="495" t="s">
        <v>1048</v>
      </c>
      <c r="D333" s="473" t="s">
        <v>3363</v>
      </c>
      <c r="E333" s="497"/>
      <c r="F333" s="495" t="s">
        <v>3363</v>
      </c>
      <c r="G333" s="495" t="s">
        <v>185</v>
      </c>
      <c r="H333" s="473" t="s">
        <v>6576</v>
      </c>
      <c r="I333" s="473" t="s">
        <v>1103</v>
      </c>
      <c r="J333" s="498">
        <v>45366</v>
      </c>
      <c r="K333" s="473" t="s">
        <v>1263</v>
      </c>
      <c r="L333" s="497"/>
      <c r="M333" s="497"/>
      <c r="N333" s="473" t="s">
        <v>983</v>
      </c>
      <c r="O333" s="495" t="s">
        <v>976</v>
      </c>
      <c r="P333" s="495" t="s">
        <v>977</v>
      </c>
      <c r="Q333" s="473">
        <v>2022</v>
      </c>
      <c r="R333" s="473" t="s">
        <v>102</v>
      </c>
      <c r="S333" s="495" t="s">
        <v>1856</v>
      </c>
      <c r="T333" s="495" t="s">
        <v>1857</v>
      </c>
      <c r="U333" s="484" t="str">
        <f>IFERROR(VLOOKUP(N333,'Thông số'!$B:$F,5,0),"")</f>
        <v>4835 x 2600 x 2965</v>
      </c>
    </row>
    <row r="334" ht="14.25" customHeight="1" spans="1:21">
      <c r="A334" s="494">
        <v>16</v>
      </c>
      <c r="B334" s="495" t="s">
        <v>1858</v>
      </c>
      <c r="C334" s="497"/>
      <c r="D334" s="473" t="s">
        <v>3367</v>
      </c>
      <c r="E334" s="497"/>
      <c r="F334" s="495" t="s">
        <v>3367</v>
      </c>
      <c r="G334" s="495" t="s">
        <v>164</v>
      </c>
      <c r="H334" s="473" t="s">
        <v>6665</v>
      </c>
      <c r="I334" s="473" t="s">
        <v>1103</v>
      </c>
      <c r="J334" s="498">
        <v>45355</v>
      </c>
      <c r="K334" s="473" t="s">
        <v>1263</v>
      </c>
      <c r="L334" s="499">
        <v>0.97</v>
      </c>
      <c r="M334" s="497"/>
      <c r="N334" s="473" t="s">
        <v>1859</v>
      </c>
      <c r="O334" s="495" t="s">
        <v>1222</v>
      </c>
      <c r="P334" s="495" t="s">
        <v>1140</v>
      </c>
      <c r="Q334" s="497"/>
      <c r="R334" s="473" t="s">
        <v>102</v>
      </c>
      <c r="S334" s="495" t="s">
        <v>1860</v>
      </c>
      <c r="T334" s="495" t="s">
        <v>1861</v>
      </c>
      <c r="U334" s="484" t="str">
        <f>IFERROR(VLOOKUP(N334,'Thông số'!$B:$F,5,0),"")</f>
        <v/>
      </c>
    </row>
    <row r="335" ht="14.25" customHeight="1" spans="1:21">
      <c r="A335" s="494">
        <v>17</v>
      </c>
      <c r="B335" s="495" t="s">
        <v>1797</v>
      </c>
      <c r="C335" s="495" t="s">
        <v>6666</v>
      </c>
      <c r="D335" s="473" t="s">
        <v>6667</v>
      </c>
      <c r="E335" s="497"/>
      <c r="F335" s="497"/>
      <c r="G335" s="495" t="s">
        <v>207</v>
      </c>
      <c r="H335" s="473" t="s">
        <v>6574</v>
      </c>
      <c r="I335" s="473" t="s">
        <v>1103</v>
      </c>
      <c r="J335" s="498">
        <v>45428</v>
      </c>
      <c r="K335" s="473" t="s">
        <v>1263</v>
      </c>
      <c r="L335" s="497"/>
      <c r="M335" s="501" t="s">
        <v>5493</v>
      </c>
      <c r="N335" s="473" t="s">
        <v>1064</v>
      </c>
      <c r="O335" s="495" t="s">
        <v>759</v>
      </c>
      <c r="P335" s="495" t="s">
        <v>453</v>
      </c>
      <c r="Q335" s="473">
        <v>2013</v>
      </c>
      <c r="R335" s="473" t="s">
        <v>208</v>
      </c>
      <c r="S335" s="495" t="s">
        <v>1800</v>
      </c>
      <c r="T335" s="495" t="s">
        <v>462</v>
      </c>
      <c r="U335" s="484" t="str">
        <f>IFERROR(VLOOKUP(N335,'Thông số'!$B:$F,5,0),"")</f>
        <v>3445 x 1865 x 2535</v>
      </c>
    </row>
    <row r="336" ht="14.25" customHeight="1" spans="1:21">
      <c r="A336" s="494">
        <v>18</v>
      </c>
      <c r="B336" s="495" t="s">
        <v>1862</v>
      </c>
      <c r="C336" s="495" t="s">
        <v>1863</v>
      </c>
      <c r="D336" s="473" t="s">
        <v>6668</v>
      </c>
      <c r="E336" s="497"/>
      <c r="F336" s="497"/>
      <c r="G336" s="495" t="s">
        <v>197</v>
      </c>
      <c r="H336" s="473" t="s">
        <v>6574</v>
      </c>
      <c r="I336" s="473" t="s">
        <v>1103</v>
      </c>
      <c r="J336" s="498">
        <v>45489</v>
      </c>
      <c r="K336" s="473" t="s">
        <v>1263</v>
      </c>
      <c r="L336" s="497"/>
      <c r="M336" s="518" t="s">
        <v>1864</v>
      </c>
      <c r="N336" s="473" t="s">
        <v>1122</v>
      </c>
      <c r="O336" s="495" t="s">
        <v>1019</v>
      </c>
      <c r="P336" s="495" t="s">
        <v>500</v>
      </c>
      <c r="Q336" s="473">
        <v>2018</v>
      </c>
      <c r="R336" s="473" t="s">
        <v>128</v>
      </c>
      <c r="S336" s="495" t="s">
        <v>1865</v>
      </c>
      <c r="T336" s="495" t="s">
        <v>462</v>
      </c>
      <c r="U336" s="484" t="str">
        <f>IFERROR(VLOOKUP(N336,'Thông số'!$B:$F,5,0),"")</f>
        <v>3226 x 1570 x 1545</v>
      </c>
    </row>
    <row r="337" ht="14.25" customHeight="1" spans="1:21">
      <c r="A337" s="494">
        <v>19</v>
      </c>
      <c r="B337" s="495" t="s">
        <v>1866</v>
      </c>
      <c r="C337" s="497"/>
      <c r="D337" s="473" t="s">
        <v>3368</v>
      </c>
      <c r="E337" s="497"/>
      <c r="F337" s="495" t="s">
        <v>3368</v>
      </c>
      <c r="G337" s="495" t="s">
        <v>170</v>
      </c>
      <c r="H337" s="473" t="s">
        <v>6665</v>
      </c>
      <c r="I337" s="473" t="s">
        <v>1103</v>
      </c>
      <c r="J337" s="498">
        <v>45495</v>
      </c>
      <c r="K337" s="473" t="s">
        <v>1263</v>
      </c>
      <c r="L337" s="499">
        <v>0.97</v>
      </c>
      <c r="M337" s="497"/>
      <c r="N337" s="473" t="s">
        <v>1868</v>
      </c>
      <c r="O337" s="495" t="s">
        <v>964</v>
      </c>
      <c r="P337" s="495" t="s">
        <v>1140</v>
      </c>
      <c r="Q337" s="497"/>
      <c r="R337" s="473" t="s">
        <v>120</v>
      </c>
      <c r="S337" s="495">
        <v>50478</v>
      </c>
      <c r="T337" s="495" t="s">
        <v>462</v>
      </c>
      <c r="U337" s="484" t="str">
        <f>IFERROR(VLOOKUP(N337,'Thông số'!$B:$F,5,0),"")</f>
        <v/>
      </c>
    </row>
    <row r="338" ht="14.25" customHeight="1" spans="1:21">
      <c r="A338" s="494">
        <v>20</v>
      </c>
      <c r="B338" s="500" t="s">
        <v>1869</v>
      </c>
      <c r="C338" s="500" t="s">
        <v>504</v>
      </c>
      <c r="D338" s="474" t="s">
        <v>6669</v>
      </c>
      <c r="E338" s="502"/>
      <c r="F338" s="502"/>
      <c r="G338" s="500" t="s">
        <v>185</v>
      </c>
      <c r="H338" s="473" t="s">
        <v>6576</v>
      </c>
      <c r="I338" s="474" t="s">
        <v>1103</v>
      </c>
      <c r="J338" s="503">
        <v>45503</v>
      </c>
      <c r="K338" s="473" t="s">
        <v>1263</v>
      </c>
      <c r="L338" s="502"/>
      <c r="M338" s="502"/>
      <c r="N338" s="474" t="s">
        <v>983</v>
      </c>
      <c r="O338" s="495" t="s">
        <v>976</v>
      </c>
      <c r="P338" s="500" t="s">
        <v>1009</v>
      </c>
      <c r="Q338" s="474">
        <v>2024</v>
      </c>
      <c r="R338" s="474" t="s">
        <v>102</v>
      </c>
      <c r="S338" s="500" t="s">
        <v>1870</v>
      </c>
      <c r="T338" s="500" t="s">
        <v>1871</v>
      </c>
      <c r="U338" s="484" t="str">
        <f>IFERROR(VLOOKUP(N338,'Thông số'!$B:$F,5,0),"")</f>
        <v>4835 x 2600 x 2965</v>
      </c>
    </row>
    <row r="339" ht="14.25" customHeight="1" spans="1:21">
      <c r="A339" s="494">
        <v>21</v>
      </c>
      <c r="B339" s="500" t="s">
        <v>1872</v>
      </c>
      <c r="C339" s="500" t="s">
        <v>1873</v>
      </c>
      <c r="D339" s="474" t="s">
        <v>6670</v>
      </c>
      <c r="E339" s="502"/>
      <c r="F339" s="502"/>
      <c r="G339" s="500" t="s">
        <v>185</v>
      </c>
      <c r="H339" s="473" t="s">
        <v>6576</v>
      </c>
      <c r="I339" s="474" t="s">
        <v>1103</v>
      </c>
      <c r="J339" s="503">
        <v>45503</v>
      </c>
      <c r="K339" s="473" t="s">
        <v>1263</v>
      </c>
      <c r="L339" s="502"/>
      <c r="M339" s="502"/>
      <c r="N339" s="474" t="s">
        <v>983</v>
      </c>
      <c r="O339" s="495" t="s">
        <v>976</v>
      </c>
      <c r="P339" s="500" t="s">
        <v>1009</v>
      </c>
      <c r="Q339" s="474">
        <v>2024</v>
      </c>
      <c r="R339" s="474" t="s">
        <v>102</v>
      </c>
      <c r="S339" s="500" t="s">
        <v>1874</v>
      </c>
      <c r="T339" s="500" t="s">
        <v>1875</v>
      </c>
      <c r="U339" s="484" t="str">
        <f>IFERROR(VLOOKUP(N339,'Thông số'!$B:$F,5,0),"")</f>
        <v>4835 x 2600 x 2965</v>
      </c>
    </row>
    <row r="340" ht="14.25" customHeight="1" spans="1:21">
      <c r="A340" s="489">
        <v>22</v>
      </c>
      <c r="B340" s="490" t="s">
        <v>1876</v>
      </c>
      <c r="C340" s="490" t="s">
        <v>492</v>
      </c>
      <c r="D340" s="470" t="s">
        <v>6671</v>
      </c>
      <c r="E340" s="491"/>
      <c r="F340" s="491"/>
      <c r="G340" s="490" t="s">
        <v>184</v>
      </c>
      <c r="H340" s="470" t="s">
        <v>6580</v>
      </c>
      <c r="I340" s="470" t="s">
        <v>1103</v>
      </c>
      <c r="J340" s="492">
        <v>45534</v>
      </c>
      <c r="K340" s="470" t="s">
        <v>1126</v>
      </c>
      <c r="L340" s="491"/>
      <c r="M340" s="491"/>
      <c r="N340" s="470">
        <v>5520</v>
      </c>
      <c r="O340" s="490" t="s">
        <v>976</v>
      </c>
      <c r="P340" s="490" t="s">
        <v>977</v>
      </c>
      <c r="Q340" s="470">
        <v>2004</v>
      </c>
      <c r="R340" s="470" t="s">
        <v>1878</v>
      </c>
      <c r="S340" s="490" t="s">
        <v>1879</v>
      </c>
      <c r="T340" s="490" t="s">
        <v>1880</v>
      </c>
      <c r="U340" s="484" t="str">
        <f>IFERROR(VLOOKUP(N340,'Thông số'!$B:$F,5,0),"")</f>
        <v>3840 x 1960 x 2550</v>
      </c>
    </row>
    <row r="341" ht="14.25" customHeight="1" spans="1:21">
      <c r="A341" s="489">
        <v>23</v>
      </c>
      <c r="B341" s="490" t="s">
        <v>1881</v>
      </c>
      <c r="C341" s="490" t="s">
        <v>492</v>
      </c>
      <c r="D341" s="470" t="s">
        <v>6672</v>
      </c>
      <c r="E341" s="491"/>
      <c r="F341" s="491"/>
      <c r="G341" s="490" t="s">
        <v>183</v>
      </c>
      <c r="H341" s="470" t="s">
        <v>6580</v>
      </c>
      <c r="I341" s="470" t="s">
        <v>1103</v>
      </c>
      <c r="J341" s="492">
        <v>45534</v>
      </c>
      <c r="K341" s="470" t="s">
        <v>1126</v>
      </c>
      <c r="L341" s="491"/>
      <c r="M341" s="491"/>
      <c r="N341" s="470">
        <v>5510</v>
      </c>
      <c r="O341" s="490" t="s">
        <v>976</v>
      </c>
      <c r="P341" s="490" t="s">
        <v>977</v>
      </c>
      <c r="Q341" s="470">
        <v>2004</v>
      </c>
      <c r="R341" s="470" t="s">
        <v>1878</v>
      </c>
      <c r="S341" s="490" t="s">
        <v>1882</v>
      </c>
      <c r="T341" s="490" t="s">
        <v>1883</v>
      </c>
      <c r="U341" s="484" t="str">
        <f>IFERROR(VLOOKUP(N341,'Thông số'!$B:$F,5,0),"")</f>
        <v>3510 x 1740 x 2550</v>
      </c>
    </row>
    <row r="342" ht="14.25" customHeight="1" spans="1:21">
      <c r="A342" s="489">
        <v>24</v>
      </c>
      <c r="B342" s="490" t="s">
        <v>1884</v>
      </c>
      <c r="C342" s="490" t="s">
        <v>492</v>
      </c>
      <c r="D342" s="470" t="s">
        <v>6673</v>
      </c>
      <c r="E342" s="491"/>
      <c r="F342" s="491"/>
      <c r="G342" s="490" t="s">
        <v>187</v>
      </c>
      <c r="H342" s="470" t="s">
        <v>6580</v>
      </c>
      <c r="I342" s="470" t="s">
        <v>1103</v>
      </c>
      <c r="J342" s="492">
        <v>45538</v>
      </c>
      <c r="K342" s="470" t="s">
        <v>1126</v>
      </c>
      <c r="L342" s="491"/>
      <c r="M342" s="491"/>
      <c r="N342" s="470">
        <v>6200</v>
      </c>
      <c r="O342" s="490" t="s">
        <v>976</v>
      </c>
      <c r="P342" s="490" t="s">
        <v>1067</v>
      </c>
      <c r="Q342" s="470">
        <v>1998</v>
      </c>
      <c r="R342" s="470" t="s">
        <v>6674</v>
      </c>
      <c r="S342" s="490" t="s">
        <v>1885</v>
      </c>
      <c r="T342" s="490" t="s">
        <v>1886</v>
      </c>
      <c r="U342" s="484" t="str">
        <f>IFERROR(VLOOKUP(N342,'Thông số'!$B:$F,5,0),"")</f>
        <v>4190 x 2170 x 2590</v>
      </c>
    </row>
    <row r="343" ht="14.25" customHeight="1" spans="1:21">
      <c r="A343" s="494">
        <v>25</v>
      </c>
      <c r="B343" s="495" t="s">
        <v>1887</v>
      </c>
      <c r="C343" s="500" t="s">
        <v>492</v>
      </c>
      <c r="D343" s="474" t="s">
        <v>6675</v>
      </c>
      <c r="E343" s="502"/>
      <c r="F343" s="497"/>
      <c r="G343" s="495" t="s">
        <v>182</v>
      </c>
      <c r="H343" s="473" t="s">
        <v>6580</v>
      </c>
      <c r="I343" s="474" t="s">
        <v>1103</v>
      </c>
      <c r="J343" s="498">
        <v>45538</v>
      </c>
      <c r="K343" s="473" t="s">
        <v>1263</v>
      </c>
      <c r="L343" s="497"/>
      <c r="M343" s="497"/>
      <c r="N343" s="473">
        <v>5425</v>
      </c>
      <c r="O343" s="495" t="s">
        <v>976</v>
      </c>
      <c r="P343" s="495" t="s">
        <v>977</v>
      </c>
      <c r="Q343" s="473">
        <v>2006</v>
      </c>
      <c r="R343" s="473" t="s">
        <v>1888</v>
      </c>
      <c r="S343" s="495" t="s">
        <v>1889</v>
      </c>
      <c r="T343" s="495" t="s">
        <v>1890</v>
      </c>
      <c r="U343" s="484" t="str">
        <f>IFERROR(VLOOKUP(N343,'Thông số'!$B:$F,5,0),"")</f>
        <v>3840 x 1740 x 2650</v>
      </c>
    </row>
    <row r="344" ht="14.25" customHeight="1" spans="1:21">
      <c r="A344" s="494">
        <v>26</v>
      </c>
      <c r="B344" s="495" t="s">
        <v>1891</v>
      </c>
      <c r="C344" s="500" t="s">
        <v>1873</v>
      </c>
      <c r="D344" s="473" t="s">
        <v>1892</v>
      </c>
      <c r="E344" s="502"/>
      <c r="F344" s="497"/>
      <c r="G344" s="495" t="s">
        <v>206</v>
      </c>
      <c r="H344" s="473" t="s">
        <v>6576</v>
      </c>
      <c r="I344" s="474" t="s">
        <v>1103</v>
      </c>
      <c r="J344" s="498">
        <v>45590</v>
      </c>
      <c r="K344" s="473" t="s">
        <v>1263</v>
      </c>
      <c r="L344" s="497"/>
      <c r="M344" s="518" t="s">
        <v>1146</v>
      </c>
      <c r="N344" s="473" t="s">
        <v>1893</v>
      </c>
      <c r="O344" s="495" t="s">
        <v>1015</v>
      </c>
      <c r="P344" s="495" t="s">
        <v>590</v>
      </c>
      <c r="Q344" s="473">
        <v>2024</v>
      </c>
      <c r="R344" s="473" t="s">
        <v>1894</v>
      </c>
      <c r="S344" s="495" t="s">
        <v>1895</v>
      </c>
      <c r="T344" s="495" t="s">
        <v>1896</v>
      </c>
      <c r="U344" s="484" t="str">
        <f>IFERROR(VLOOKUP(N344,'Thông số'!$B:$F,5,0),"")</f>
        <v>4725 x 1910 x 3160</v>
      </c>
    </row>
    <row r="345" ht="14.25" customHeight="1" spans="1:21">
      <c r="A345" s="489">
        <v>27</v>
      </c>
      <c r="B345" s="490" t="s">
        <v>1897</v>
      </c>
      <c r="C345" s="490" t="s">
        <v>1873</v>
      </c>
      <c r="D345" s="470" t="s">
        <v>1898</v>
      </c>
      <c r="E345" s="491"/>
      <c r="F345" s="491"/>
      <c r="G345" s="490" t="s">
        <v>202</v>
      </c>
      <c r="H345" s="470" t="s">
        <v>6583</v>
      </c>
      <c r="I345" s="470" t="s">
        <v>1103</v>
      </c>
      <c r="J345" s="492">
        <v>45591</v>
      </c>
      <c r="K345" s="470" t="s">
        <v>1126</v>
      </c>
      <c r="L345" s="491"/>
      <c r="M345" s="519" t="s">
        <v>1146</v>
      </c>
      <c r="N345" s="470" t="s">
        <v>1900</v>
      </c>
      <c r="O345" s="490" t="s">
        <v>1015</v>
      </c>
      <c r="P345" s="490" t="s">
        <v>590</v>
      </c>
      <c r="Q345" s="470">
        <v>2024</v>
      </c>
      <c r="R345" s="470" t="s">
        <v>203</v>
      </c>
      <c r="S345" s="490" t="s">
        <v>1901</v>
      </c>
      <c r="T345" s="490" t="s">
        <v>1902</v>
      </c>
      <c r="U345" s="484" t="str">
        <f>IFERROR(VLOOKUP(N345,'Thông số'!$B:$F,5,0),"")</f>
        <v>5300 x 2600 x 3150</v>
      </c>
    </row>
    <row r="346" ht="14.25" customHeight="1" spans="1:21">
      <c r="A346" s="489">
        <v>28</v>
      </c>
      <c r="B346" s="490" t="s">
        <v>1903</v>
      </c>
      <c r="C346" s="490" t="s">
        <v>1904</v>
      </c>
      <c r="D346" s="491"/>
      <c r="E346" s="491"/>
      <c r="F346" s="490" t="s">
        <v>1980</v>
      </c>
      <c r="G346" s="490" t="s">
        <v>197</v>
      </c>
      <c r="H346" s="470" t="s">
        <v>6574</v>
      </c>
      <c r="I346" s="470" t="s">
        <v>1103</v>
      </c>
      <c r="J346" s="492">
        <v>45659</v>
      </c>
      <c r="K346" s="470" t="s">
        <v>1126</v>
      </c>
      <c r="L346" s="491"/>
      <c r="M346" s="519" t="s">
        <v>1905</v>
      </c>
      <c r="N346" s="470" t="s">
        <v>1122</v>
      </c>
      <c r="O346" s="490" t="s">
        <v>1019</v>
      </c>
      <c r="P346" s="490" t="s">
        <v>500</v>
      </c>
      <c r="Q346" s="470">
        <v>2018</v>
      </c>
      <c r="R346" s="470" t="s">
        <v>128</v>
      </c>
      <c r="S346" s="490" t="s">
        <v>1906</v>
      </c>
      <c r="T346" s="490" t="s">
        <v>462</v>
      </c>
      <c r="U346" s="484" t="str">
        <f>IFERROR(VLOOKUP(N346,'Thông số'!$B:$F,5,0),"")</f>
        <v>3226 x 1570 x 1545</v>
      </c>
    </row>
    <row r="347" ht="14.25" customHeight="1" spans="1:21">
      <c r="A347" s="489">
        <v>29</v>
      </c>
      <c r="B347" s="490" t="s">
        <v>1907</v>
      </c>
      <c r="C347" s="490" t="s">
        <v>1908</v>
      </c>
      <c r="D347" s="470" t="s">
        <v>1909</v>
      </c>
      <c r="E347" s="491"/>
      <c r="F347" s="490" t="s">
        <v>1909</v>
      </c>
      <c r="G347" s="490" t="s">
        <v>193</v>
      </c>
      <c r="H347" s="470" t="s">
        <v>6576</v>
      </c>
      <c r="I347" s="470" t="s">
        <v>1103</v>
      </c>
      <c r="J347" s="491"/>
      <c r="K347" s="470" t="s">
        <v>1126</v>
      </c>
      <c r="L347" s="491"/>
      <c r="M347" s="505" t="s">
        <v>6676</v>
      </c>
      <c r="N347" s="470">
        <v>6603</v>
      </c>
      <c r="O347" s="490" t="s">
        <v>976</v>
      </c>
      <c r="P347" s="490" t="s">
        <v>977</v>
      </c>
      <c r="Q347" s="470">
        <v>2018</v>
      </c>
      <c r="R347" s="470" t="s">
        <v>102</v>
      </c>
      <c r="S347" s="490">
        <v>32550</v>
      </c>
      <c r="T347" s="490" t="s">
        <v>462</v>
      </c>
      <c r="U347" s="484" t="str">
        <f>IFERROR(VLOOKUP(N347,'Thông số'!$B:$F,5,0),"")</f>
        <v>4200 x 2600 x 2900</v>
      </c>
    </row>
    <row r="348" ht="14.25" customHeight="1" spans="1:21">
      <c r="A348" s="494">
        <v>30</v>
      </c>
      <c r="B348" s="495" t="s">
        <v>1911</v>
      </c>
      <c r="C348" s="497"/>
      <c r="D348" s="497"/>
      <c r="E348" s="502"/>
      <c r="F348" s="497"/>
      <c r="G348" s="495" t="s">
        <v>186</v>
      </c>
      <c r="H348" s="473" t="s">
        <v>6582</v>
      </c>
      <c r="I348" s="474" t="s">
        <v>1103</v>
      </c>
      <c r="J348" s="498">
        <v>45904</v>
      </c>
      <c r="K348" s="473" t="s">
        <v>1263</v>
      </c>
      <c r="L348" s="497"/>
      <c r="M348" s="501" t="s">
        <v>1912</v>
      </c>
      <c r="N348" s="473" t="s">
        <v>1057</v>
      </c>
      <c r="O348" s="495" t="s">
        <v>976</v>
      </c>
      <c r="P348" s="495" t="s">
        <v>977</v>
      </c>
      <c r="Q348" s="473">
        <v>2024</v>
      </c>
      <c r="R348" s="473" t="s">
        <v>64</v>
      </c>
      <c r="S348" s="495" t="s">
        <v>1913</v>
      </c>
      <c r="T348" s="495" t="s">
        <v>1914</v>
      </c>
      <c r="U348" s="484" t="str">
        <f>IFERROR(VLOOKUP(N348,'Thông số'!$B:$F,5,0),"")</f>
        <v>4780 x 2550 x 3000</v>
      </c>
    </row>
    <row r="349" ht="14.25" customHeight="1" spans="1:21">
      <c r="A349" s="494">
        <v>31</v>
      </c>
      <c r="B349" s="495" t="s">
        <v>1915</v>
      </c>
      <c r="C349" s="495" t="s">
        <v>1916</v>
      </c>
      <c r="D349" s="473" t="s">
        <v>1917</v>
      </c>
      <c r="E349" s="502"/>
      <c r="F349" s="497"/>
      <c r="G349" s="495" t="s">
        <v>185</v>
      </c>
      <c r="H349" s="473" t="s">
        <v>6576</v>
      </c>
      <c r="I349" s="474" t="s">
        <v>1103</v>
      </c>
      <c r="J349" s="498">
        <v>45919</v>
      </c>
      <c r="K349" s="473" t="s">
        <v>1263</v>
      </c>
      <c r="L349" s="497"/>
      <c r="M349" s="497"/>
      <c r="N349" s="473" t="s">
        <v>983</v>
      </c>
      <c r="O349" s="495" t="s">
        <v>976</v>
      </c>
      <c r="P349" s="495" t="s">
        <v>590</v>
      </c>
      <c r="Q349" s="473">
        <v>2025</v>
      </c>
      <c r="R349" s="473" t="s">
        <v>102</v>
      </c>
      <c r="S349" s="495" t="s">
        <v>1919</v>
      </c>
      <c r="T349" s="495" t="s">
        <v>1920</v>
      </c>
      <c r="U349" s="484" t="str">
        <f>IFERROR(VLOOKUP(N349,'Thông số'!$B:$F,5,0),"")</f>
        <v>4835 x 2600 x 2965</v>
      </c>
    </row>
    <row r="350" ht="14.25" customHeight="1" spans="1:21">
      <c r="A350" s="494">
        <v>32</v>
      </c>
      <c r="B350" s="495" t="s">
        <v>1921</v>
      </c>
      <c r="C350" s="495" t="s">
        <v>1916</v>
      </c>
      <c r="D350" s="473" t="s">
        <v>1922</v>
      </c>
      <c r="E350" s="502"/>
      <c r="F350" s="497"/>
      <c r="G350" s="495" t="s">
        <v>185</v>
      </c>
      <c r="H350" s="473" t="s">
        <v>6576</v>
      </c>
      <c r="I350" s="474" t="s">
        <v>1103</v>
      </c>
      <c r="J350" s="498">
        <v>45919</v>
      </c>
      <c r="K350" s="473" t="s">
        <v>1263</v>
      </c>
      <c r="L350" s="497"/>
      <c r="M350" s="497"/>
      <c r="N350" s="473" t="s">
        <v>983</v>
      </c>
      <c r="O350" s="495" t="s">
        <v>976</v>
      </c>
      <c r="P350" s="495" t="s">
        <v>590</v>
      </c>
      <c r="Q350" s="473">
        <v>2025</v>
      </c>
      <c r="R350" s="473" t="s">
        <v>102</v>
      </c>
      <c r="S350" s="495" t="s">
        <v>1923</v>
      </c>
      <c r="T350" s="495" t="s">
        <v>1924</v>
      </c>
      <c r="U350" s="484" t="str">
        <f>IFERROR(VLOOKUP(N350,'Thông số'!$B:$F,5,0),"")</f>
        <v>4835 x 2600 x 2965</v>
      </c>
    </row>
    <row r="351" ht="14.25" customHeight="1" spans="1:21">
      <c r="A351" s="494">
        <v>33</v>
      </c>
      <c r="B351" s="495" t="s">
        <v>1925</v>
      </c>
      <c r="C351" s="497"/>
      <c r="D351" s="473" t="s">
        <v>1926</v>
      </c>
      <c r="E351" s="502"/>
      <c r="F351" s="497"/>
      <c r="G351" s="495" t="s">
        <v>187</v>
      </c>
      <c r="H351" s="473" t="s">
        <v>6580</v>
      </c>
      <c r="I351" s="474" t="s">
        <v>1103</v>
      </c>
      <c r="J351" s="498">
        <v>45926</v>
      </c>
      <c r="K351" s="473" t="s">
        <v>1263</v>
      </c>
      <c r="L351" s="497"/>
      <c r="M351" s="497"/>
      <c r="N351" s="473">
        <v>6200</v>
      </c>
      <c r="O351" s="495" t="s">
        <v>976</v>
      </c>
      <c r="P351" s="497"/>
      <c r="Q351" s="497"/>
      <c r="R351" s="473" t="s">
        <v>6674</v>
      </c>
      <c r="S351" s="495" t="s">
        <v>1928</v>
      </c>
      <c r="T351" s="495" t="s">
        <v>1929</v>
      </c>
      <c r="U351" s="484" t="str">
        <f>IFERROR(VLOOKUP(N351,'Thông số'!$B:$F,5,0),"")</f>
        <v>4190 x 2170 x 2590</v>
      </c>
    </row>
    <row r="352" ht="14.25" customHeight="1" spans="1:21">
      <c r="A352" s="494">
        <v>34</v>
      </c>
      <c r="B352" s="495" t="s">
        <v>1930</v>
      </c>
      <c r="C352" s="497"/>
      <c r="D352" s="473" t="s">
        <v>1931</v>
      </c>
      <c r="E352" s="502"/>
      <c r="F352" s="497"/>
      <c r="G352" s="495" t="s">
        <v>189</v>
      </c>
      <c r="H352" s="473" t="s">
        <v>6576</v>
      </c>
      <c r="I352" s="474" t="s">
        <v>1103</v>
      </c>
      <c r="J352" s="498">
        <v>45926</v>
      </c>
      <c r="K352" s="473" t="s">
        <v>1263</v>
      </c>
      <c r="L352" s="497"/>
      <c r="M352" s="497"/>
      <c r="N352" s="473">
        <v>6210</v>
      </c>
      <c r="O352" s="495" t="s">
        <v>976</v>
      </c>
      <c r="P352" s="497"/>
      <c r="Q352" s="497"/>
      <c r="R352" s="473" t="s">
        <v>6677</v>
      </c>
      <c r="S352" s="495" t="s">
        <v>1932</v>
      </c>
      <c r="T352" s="495" t="s">
        <v>1933</v>
      </c>
      <c r="U352" s="484" t="str">
        <f>IFERROR(VLOOKUP(N352,'Thông số'!$B:$F,5,0),"")</f>
        <v>4130 x 2030 x 2580</v>
      </c>
    </row>
    <row r="353" ht="14.25" customHeight="1" spans="1:21">
      <c r="A353" s="494">
        <v>35</v>
      </c>
      <c r="B353" s="495" t="s">
        <v>1934</v>
      </c>
      <c r="C353" s="497"/>
      <c r="D353" s="473" t="s">
        <v>1935</v>
      </c>
      <c r="E353" s="502"/>
      <c r="F353" s="497"/>
      <c r="G353" s="495" t="s">
        <v>194</v>
      </c>
      <c r="H353" s="473" t="s">
        <v>6576</v>
      </c>
      <c r="I353" s="474" t="s">
        <v>1103</v>
      </c>
      <c r="J353" s="498">
        <v>45926</v>
      </c>
      <c r="K353" s="473" t="s">
        <v>1263</v>
      </c>
      <c r="L353" s="497"/>
      <c r="M353" s="497"/>
      <c r="N353" s="473">
        <v>6620</v>
      </c>
      <c r="O353" s="495" t="s">
        <v>976</v>
      </c>
      <c r="P353" s="497"/>
      <c r="Q353" s="497"/>
      <c r="R353" s="473" t="s">
        <v>6678</v>
      </c>
      <c r="S353" s="495" t="s">
        <v>1936</v>
      </c>
      <c r="T353" s="495" t="s">
        <v>1937</v>
      </c>
      <c r="U353" s="484" t="str">
        <f>IFERROR(VLOOKUP(N353,'Thông số'!$B:$F,5,0),"")</f>
        <v>4705 x 2445 x 2864</v>
      </c>
    </row>
    <row r="354" ht="14.25" customHeight="1" spans="1:21">
      <c r="A354" s="494">
        <v>36</v>
      </c>
      <c r="B354" s="495" t="s">
        <v>1945</v>
      </c>
      <c r="C354" s="495" t="s">
        <v>1916</v>
      </c>
      <c r="D354" s="473" t="s">
        <v>1946</v>
      </c>
      <c r="E354" s="502"/>
      <c r="F354" s="497"/>
      <c r="G354" s="495" t="s">
        <v>201</v>
      </c>
      <c r="H354" s="497"/>
      <c r="I354" s="474" t="s">
        <v>1103</v>
      </c>
      <c r="J354" s="498">
        <v>46009</v>
      </c>
      <c r="K354" s="473" t="s">
        <v>1263</v>
      </c>
      <c r="L354" s="497"/>
      <c r="M354" s="520"/>
      <c r="N354" s="473">
        <v>1504</v>
      </c>
      <c r="O354" s="495" t="s">
        <v>1015</v>
      </c>
      <c r="P354" s="495" t="s">
        <v>1016</v>
      </c>
      <c r="Q354" s="473">
        <v>2025</v>
      </c>
      <c r="R354" s="473" t="s">
        <v>2016</v>
      </c>
      <c r="S354" s="495" t="s">
        <v>1947</v>
      </c>
      <c r="T354" s="495" t="s">
        <v>1948</v>
      </c>
      <c r="U354" s="484" t="str">
        <f>IFERROR(VLOOKUP(N354,'Thông số'!$B:$F,5,0),"")</f>
        <v>5300 x 2620 x 3010</v>
      </c>
    </row>
    <row r="355" ht="14.25" customHeight="1" spans="1:21">
      <c r="A355" s="494">
        <v>37</v>
      </c>
      <c r="B355" s="495" t="s">
        <v>1953</v>
      </c>
      <c r="C355" s="495" t="s">
        <v>1916</v>
      </c>
      <c r="D355" s="473" t="s">
        <v>1954</v>
      </c>
      <c r="E355" s="502"/>
      <c r="F355" s="497"/>
      <c r="G355" s="495" t="s">
        <v>201</v>
      </c>
      <c r="H355" s="497"/>
      <c r="I355" s="474" t="s">
        <v>1103</v>
      </c>
      <c r="J355" s="498">
        <v>46009</v>
      </c>
      <c r="K355" s="473" t="s">
        <v>1263</v>
      </c>
      <c r="L355" s="497"/>
      <c r="M355" s="520"/>
      <c r="N355" s="473">
        <v>1504</v>
      </c>
      <c r="O355" s="495" t="s">
        <v>1015</v>
      </c>
      <c r="P355" s="495" t="s">
        <v>1016</v>
      </c>
      <c r="Q355" s="473">
        <v>2025</v>
      </c>
      <c r="R355" s="473" t="s">
        <v>2016</v>
      </c>
      <c r="S355" s="495" t="s">
        <v>1955</v>
      </c>
      <c r="T355" s="495" t="s">
        <v>1956</v>
      </c>
      <c r="U355" s="484" t="str">
        <f>IFERROR(VLOOKUP(N355,'Thông số'!$B:$F,5,0),"")</f>
        <v>5300 x 2620 x 3010</v>
      </c>
    </row>
    <row r="356" ht="14.25" customHeight="1" spans="1:21">
      <c r="A356" s="494">
        <v>38</v>
      </c>
      <c r="B356" s="495" t="s">
        <v>2027</v>
      </c>
      <c r="C356" s="495" t="s">
        <v>1916</v>
      </c>
      <c r="D356" s="473" t="s">
        <v>2028</v>
      </c>
      <c r="E356" s="502"/>
      <c r="F356" s="497"/>
      <c r="G356" s="495" t="s">
        <v>165</v>
      </c>
      <c r="H356" s="473" t="s">
        <v>6665</v>
      </c>
      <c r="I356" s="474" t="s">
        <v>1103</v>
      </c>
      <c r="J356" s="498">
        <v>45894</v>
      </c>
      <c r="K356" s="473" t="s">
        <v>1263</v>
      </c>
      <c r="L356" s="497"/>
      <c r="M356" s="520"/>
      <c r="N356" s="473" t="s">
        <v>2030</v>
      </c>
      <c r="O356" s="495" t="s">
        <v>1015</v>
      </c>
      <c r="P356" s="495" t="s">
        <v>590</v>
      </c>
      <c r="Q356" s="473">
        <v>2025</v>
      </c>
      <c r="R356" s="473" t="s">
        <v>6679</v>
      </c>
      <c r="S356" s="495" t="s">
        <v>2032</v>
      </c>
      <c r="T356" s="495" t="s">
        <v>2033</v>
      </c>
      <c r="U356" s="484" t="str">
        <f>IFERROR(VLOOKUP(N356,'Thông số'!$B:$F,5,0),"")</f>
        <v/>
      </c>
    </row>
    <row r="357" ht="14.25" customHeight="1" spans="1:21">
      <c r="A357" s="494">
        <v>39</v>
      </c>
      <c r="B357" s="495" t="s">
        <v>2034</v>
      </c>
      <c r="C357" s="495" t="s">
        <v>2035</v>
      </c>
      <c r="D357" s="473" t="s">
        <v>2036</v>
      </c>
      <c r="E357" s="502"/>
      <c r="F357" s="497"/>
      <c r="G357" s="495" t="s">
        <v>168</v>
      </c>
      <c r="H357" s="473" t="s">
        <v>6665</v>
      </c>
      <c r="I357" s="474" t="s">
        <v>1103</v>
      </c>
      <c r="J357" s="498">
        <v>45919</v>
      </c>
      <c r="K357" s="473" t="s">
        <v>1263</v>
      </c>
      <c r="L357" s="497"/>
      <c r="M357" s="520"/>
      <c r="N357" s="473" t="s">
        <v>2038</v>
      </c>
      <c r="O357" s="495" t="s">
        <v>2037</v>
      </c>
      <c r="P357" s="495" t="s">
        <v>500</v>
      </c>
      <c r="Q357" s="497"/>
      <c r="R357" s="473" t="s">
        <v>6680</v>
      </c>
      <c r="S357" s="495" t="s">
        <v>2039</v>
      </c>
      <c r="T357" s="495" t="s">
        <v>2040</v>
      </c>
      <c r="U357" s="484" t="str">
        <f>IFERROR(VLOOKUP(N357,'Thông số'!$B:$F,5,0),"")</f>
        <v>6800 x 3200 x 3400</v>
      </c>
    </row>
    <row r="358" ht="14.25" customHeight="1" spans="1:21">
      <c r="A358" s="494">
        <v>40</v>
      </c>
      <c r="B358" s="495" t="s">
        <v>2041</v>
      </c>
      <c r="C358" s="495" t="s">
        <v>1916</v>
      </c>
      <c r="D358" s="473" t="s">
        <v>2042</v>
      </c>
      <c r="E358" s="502"/>
      <c r="F358" s="497"/>
      <c r="G358" s="495" t="s">
        <v>166</v>
      </c>
      <c r="H358" s="497"/>
      <c r="I358" s="474" t="s">
        <v>1103</v>
      </c>
      <c r="J358" s="498">
        <v>46006</v>
      </c>
      <c r="K358" s="473" t="s">
        <v>1263</v>
      </c>
      <c r="L358" s="497"/>
      <c r="M358" s="520"/>
      <c r="N358" s="473" t="s">
        <v>2044</v>
      </c>
      <c r="O358" s="495" t="s">
        <v>1015</v>
      </c>
      <c r="P358" s="495" t="s">
        <v>590</v>
      </c>
      <c r="Q358" s="473">
        <v>2025</v>
      </c>
      <c r="R358" s="473" t="s">
        <v>1942</v>
      </c>
      <c r="S358" s="495" t="s">
        <v>2045</v>
      </c>
      <c r="T358" s="495" t="s">
        <v>2046</v>
      </c>
      <c r="U358" s="484" t="str">
        <f>IFERROR(VLOOKUP(N358,'Thông số'!$B:$F,5,0),"")</f>
        <v/>
      </c>
    </row>
    <row r="359" ht="14.25" customHeight="1" spans="1:21">
      <c r="A359" s="494">
        <v>41</v>
      </c>
      <c r="B359" s="495" t="s">
        <v>2058</v>
      </c>
      <c r="C359" s="495" t="s">
        <v>2059</v>
      </c>
      <c r="D359" s="473" t="s">
        <v>3484</v>
      </c>
      <c r="E359" s="502"/>
      <c r="F359" s="495" t="s">
        <v>3484</v>
      </c>
      <c r="G359" s="495" t="s">
        <v>101</v>
      </c>
      <c r="H359" s="473" t="s">
        <v>3485</v>
      </c>
      <c r="I359" s="473" t="s">
        <v>1103</v>
      </c>
      <c r="J359" s="497"/>
      <c r="K359" s="473" t="s">
        <v>1263</v>
      </c>
      <c r="L359" s="497"/>
      <c r="M359" s="497"/>
      <c r="N359" s="473" t="s">
        <v>2061</v>
      </c>
      <c r="O359" s="495" t="s">
        <v>2060</v>
      </c>
      <c r="P359" s="495" t="s">
        <v>1140</v>
      </c>
      <c r="Q359" s="497"/>
      <c r="R359" s="473" t="s">
        <v>2062</v>
      </c>
      <c r="S359" s="495">
        <v>90516</v>
      </c>
      <c r="T359" s="495" t="s">
        <v>462</v>
      </c>
      <c r="U359" s="484" t="str">
        <f>IFERROR(VLOOKUP(N359,'Thông số'!$B:$F,5,0),"")</f>
        <v/>
      </c>
    </row>
    <row r="360" ht="14.25" customHeight="1" spans="1:21">
      <c r="A360" s="489">
        <v>42</v>
      </c>
      <c r="B360" s="490" t="s">
        <v>2063</v>
      </c>
      <c r="C360" s="490" t="s">
        <v>2064</v>
      </c>
      <c r="D360" s="470" t="s">
        <v>6681</v>
      </c>
      <c r="E360" s="491"/>
      <c r="F360" s="491"/>
      <c r="G360" s="490" t="s">
        <v>99</v>
      </c>
      <c r="H360" s="470" t="s">
        <v>3485</v>
      </c>
      <c r="I360" s="470" t="s">
        <v>1103</v>
      </c>
      <c r="J360" s="491"/>
      <c r="K360" s="470" t="s">
        <v>1126</v>
      </c>
      <c r="L360" s="491"/>
      <c r="M360" s="491"/>
      <c r="N360" s="470" t="s">
        <v>2065</v>
      </c>
      <c r="O360" s="490" t="s">
        <v>480</v>
      </c>
      <c r="P360" s="490" t="s">
        <v>453</v>
      </c>
      <c r="Q360" s="470">
        <v>2020</v>
      </c>
      <c r="R360" s="470" t="s">
        <v>100</v>
      </c>
      <c r="S360" s="490">
        <v>50183</v>
      </c>
      <c r="T360" s="490" t="s">
        <v>462</v>
      </c>
      <c r="U360" s="484" t="str">
        <f>IFERROR(VLOOKUP(N360,'Thông số'!$B:$F,5,0),"")</f>
        <v>8259 x 2935 x 3384</v>
      </c>
    </row>
    <row r="361" ht="14.25" customHeight="1" spans="1:21">
      <c r="A361" s="494">
        <v>43</v>
      </c>
      <c r="B361" s="495" t="s">
        <v>2066</v>
      </c>
      <c r="C361" s="495" t="s">
        <v>2067</v>
      </c>
      <c r="D361" s="473" t="s">
        <v>6682</v>
      </c>
      <c r="E361" s="497"/>
      <c r="F361" s="497"/>
      <c r="G361" s="495" t="s">
        <v>98</v>
      </c>
      <c r="H361" s="473" t="s">
        <v>3485</v>
      </c>
      <c r="I361" s="473" t="s">
        <v>1103</v>
      </c>
      <c r="J361" s="498">
        <v>44531</v>
      </c>
      <c r="K361" s="473" t="s">
        <v>1263</v>
      </c>
      <c r="L361" s="497"/>
      <c r="M361" s="497"/>
      <c r="N361" s="473" t="s">
        <v>2068</v>
      </c>
      <c r="O361" s="495" t="s">
        <v>480</v>
      </c>
      <c r="P361" s="495" t="s">
        <v>453</v>
      </c>
      <c r="Q361" s="473">
        <v>2020</v>
      </c>
      <c r="R361" s="473" t="s">
        <v>2069</v>
      </c>
      <c r="S361" s="495">
        <v>50100</v>
      </c>
      <c r="T361" s="495">
        <v>18033</v>
      </c>
      <c r="U361" s="484" t="str">
        <f>IFERROR(VLOOKUP(N361,'Thông số'!$B:$F,5,0),"")</f>
        <v>8020 x 2845 x 3375</v>
      </c>
    </row>
    <row r="362" ht="14.25" customHeight="1" spans="1:21">
      <c r="A362" s="489">
        <v>44</v>
      </c>
      <c r="B362" s="490" t="s">
        <v>2070</v>
      </c>
      <c r="C362" s="490" t="s">
        <v>1850</v>
      </c>
      <c r="D362" s="470" t="s">
        <v>3486</v>
      </c>
      <c r="E362" s="491"/>
      <c r="F362" s="490" t="s">
        <v>3486</v>
      </c>
      <c r="G362" s="490" t="s">
        <v>92</v>
      </c>
      <c r="H362" s="470" t="s">
        <v>3485</v>
      </c>
      <c r="I362" s="470" t="s">
        <v>1103</v>
      </c>
      <c r="J362" s="492">
        <v>45292</v>
      </c>
      <c r="K362" s="470" t="s">
        <v>1126</v>
      </c>
      <c r="L362" s="493">
        <v>0.98</v>
      </c>
      <c r="M362" s="491"/>
      <c r="N362" s="470" t="s">
        <v>2073</v>
      </c>
      <c r="O362" s="490" t="s">
        <v>2071</v>
      </c>
      <c r="P362" s="490" t="s">
        <v>2072</v>
      </c>
      <c r="Q362" s="470">
        <v>2018</v>
      </c>
      <c r="R362" s="470" t="s">
        <v>58</v>
      </c>
      <c r="S362" s="490" t="s">
        <v>2074</v>
      </c>
      <c r="T362" s="490" t="s">
        <v>6683</v>
      </c>
      <c r="U362" s="484" t="str">
        <f>IFERROR(VLOOKUP(N362,'Thông số'!$B:$F,5,0),"")</f>
        <v>3830 x 1810 x 1920</v>
      </c>
    </row>
    <row r="363" ht="14.25" customHeight="1" spans="1:21">
      <c r="A363" s="494">
        <v>45</v>
      </c>
      <c r="B363" s="495" t="s">
        <v>2076</v>
      </c>
      <c r="C363" s="495" t="s">
        <v>1850</v>
      </c>
      <c r="D363" s="473" t="s">
        <v>3487</v>
      </c>
      <c r="E363" s="497"/>
      <c r="F363" s="495" t="s">
        <v>3487</v>
      </c>
      <c r="G363" s="495" t="s">
        <v>86</v>
      </c>
      <c r="H363" s="473" t="s">
        <v>3485</v>
      </c>
      <c r="I363" s="473" t="s">
        <v>1103</v>
      </c>
      <c r="J363" s="498">
        <v>45275</v>
      </c>
      <c r="K363" s="473" t="s">
        <v>1263</v>
      </c>
      <c r="L363" s="499">
        <v>0.97</v>
      </c>
      <c r="M363" s="501" t="s">
        <v>1146</v>
      </c>
      <c r="N363" s="473" t="s">
        <v>2079</v>
      </c>
      <c r="O363" s="495" t="s">
        <v>2078</v>
      </c>
      <c r="P363" s="495" t="s">
        <v>1140</v>
      </c>
      <c r="Q363" s="473">
        <v>2023</v>
      </c>
      <c r="R363" s="473" t="s">
        <v>6684</v>
      </c>
      <c r="S363" s="495" t="s">
        <v>2080</v>
      </c>
      <c r="T363" s="495" t="s">
        <v>2081</v>
      </c>
      <c r="U363" s="484" t="str">
        <f>IFERROR(VLOOKUP(N363,'Thông số'!$B:$F,5,0),"")</f>
        <v/>
      </c>
    </row>
    <row r="364" ht="14.25" customHeight="1" spans="1:21">
      <c r="A364" s="494">
        <v>46</v>
      </c>
      <c r="B364" s="495" t="s">
        <v>2082</v>
      </c>
      <c r="C364" s="495" t="s">
        <v>2083</v>
      </c>
      <c r="D364" s="473" t="s">
        <v>3488</v>
      </c>
      <c r="E364" s="497"/>
      <c r="F364" s="495" t="s">
        <v>3488</v>
      </c>
      <c r="G364" s="495" t="s">
        <v>84</v>
      </c>
      <c r="H364" s="473" t="s">
        <v>3485</v>
      </c>
      <c r="I364" s="473" t="s">
        <v>1103</v>
      </c>
      <c r="J364" s="498">
        <v>45321</v>
      </c>
      <c r="K364" s="473" t="s">
        <v>1263</v>
      </c>
      <c r="L364" s="499">
        <v>0.98</v>
      </c>
      <c r="M364" s="501" t="s">
        <v>653</v>
      </c>
      <c r="N364" s="473" t="s">
        <v>2086</v>
      </c>
      <c r="O364" s="495" t="s">
        <v>6685</v>
      </c>
      <c r="P364" s="495" t="s">
        <v>590</v>
      </c>
      <c r="Q364" s="473">
        <v>2022</v>
      </c>
      <c r="R364" s="473" t="s">
        <v>85</v>
      </c>
      <c r="S364" s="495" t="s">
        <v>2087</v>
      </c>
      <c r="T364" s="495" t="s">
        <v>2088</v>
      </c>
      <c r="U364" s="484" t="str">
        <f>IFERROR(VLOOKUP(N364,'Thông số'!$B:$F,5,0),"")</f>
        <v/>
      </c>
    </row>
    <row r="365" ht="14.25" customHeight="1" spans="1:21">
      <c r="A365" s="489">
        <v>47</v>
      </c>
      <c r="B365" s="490" t="s">
        <v>2089</v>
      </c>
      <c r="C365" s="490" t="s">
        <v>2083</v>
      </c>
      <c r="D365" s="470" t="s">
        <v>6686</v>
      </c>
      <c r="E365" s="491"/>
      <c r="F365" s="491"/>
      <c r="G365" s="490" t="s">
        <v>88</v>
      </c>
      <c r="H365" s="470" t="s">
        <v>3485</v>
      </c>
      <c r="I365" s="470" t="s">
        <v>1103</v>
      </c>
      <c r="J365" s="492">
        <v>45485</v>
      </c>
      <c r="K365" s="470" t="s">
        <v>1126</v>
      </c>
      <c r="L365" s="493">
        <v>0.99</v>
      </c>
      <c r="M365" s="505" t="s">
        <v>653</v>
      </c>
      <c r="N365" s="470" t="s">
        <v>2090</v>
      </c>
      <c r="O365" s="490" t="s">
        <v>2078</v>
      </c>
      <c r="P365" s="490" t="s">
        <v>590</v>
      </c>
      <c r="Q365" s="470">
        <v>2024</v>
      </c>
      <c r="R365" s="470" t="s">
        <v>89</v>
      </c>
      <c r="S365" s="490" t="s">
        <v>2091</v>
      </c>
      <c r="T365" s="490" t="s">
        <v>2092</v>
      </c>
      <c r="U365" s="484" t="str">
        <f>IFERROR(VLOOKUP(N365,'Thông số'!$B:$F,5,0),"")</f>
        <v/>
      </c>
    </row>
    <row r="366" ht="14.25" customHeight="1" spans="1:21">
      <c r="A366" s="489">
        <v>48</v>
      </c>
      <c r="B366" s="490" t="s">
        <v>2093</v>
      </c>
      <c r="C366" s="490" t="s">
        <v>2083</v>
      </c>
      <c r="D366" s="470" t="s">
        <v>2094</v>
      </c>
      <c r="E366" s="491"/>
      <c r="F366" s="491"/>
      <c r="G366" s="490" t="s">
        <v>91</v>
      </c>
      <c r="H366" s="470" t="s">
        <v>3485</v>
      </c>
      <c r="I366" s="470" t="s">
        <v>1103</v>
      </c>
      <c r="J366" s="492">
        <v>45520</v>
      </c>
      <c r="K366" s="470" t="s">
        <v>1126</v>
      </c>
      <c r="L366" s="491"/>
      <c r="M366" s="505" t="s">
        <v>653</v>
      </c>
      <c r="N366" s="470" t="s">
        <v>2096</v>
      </c>
      <c r="O366" s="490" t="s">
        <v>2078</v>
      </c>
      <c r="P366" s="490" t="s">
        <v>590</v>
      </c>
      <c r="Q366" s="470">
        <v>2024</v>
      </c>
      <c r="R366" s="470" t="s">
        <v>89</v>
      </c>
      <c r="S366" s="490" t="s">
        <v>2097</v>
      </c>
      <c r="T366" s="490" t="s">
        <v>2098</v>
      </c>
      <c r="U366" s="484" t="str">
        <f>IFERROR(VLOOKUP(N366,'Thông số'!$B:$F,5,0),"")</f>
        <v/>
      </c>
    </row>
    <row r="367" ht="14.25" customHeight="1" spans="1:21">
      <c r="A367" s="494">
        <v>49</v>
      </c>
      <c r="B367" s="495" t="s">
        <v>2099</v>
      </c>
      <c r="C367" s="497"/>
      <c r="D367" s="473" t="s">
        <v>2100</v>
      </c>
      <c r="E367" s="497"/>
      <c r="F367" s="497"/>
      <c r="G367" s="495" t="s">
        <v>90</v>
      </c>
      <c r="H367" s="473" t="s">
        <v>3485</v>
      </c>
      <c r="I367" s="473" t="s">
        <v>1103</v>
      </c>
      <c r="J367" s="498">
        <v>45660</v>
      </c>
      <c r="K367" s="473" t="s">
        <v>1263</v>
      </c>
      <c r="L367" s="497"/>
      <c r="M367" s="501" t="s">
        <v>653</v>
      </c>
      <c r="N367" s="473" t="s">
        <v>2101</v>
      </c>
      <c r="O367" s="495" t="s">
        <v>2078</v>
      </c>
      <c r="P367" s="495" t="s">
        <v>590</v>
      </c>
      <c r="Q367" s="473">
        <v>2024</v>
      </c>
      <c r="R367" s="473" t="s">
        <v>89</v>
      </c>
      <c r="S367" s="495" t="s">
        <v>2102</v>
      </c>
      <c r="T367" s="495" t="s">
        <v>2103</v>
      </c>
      <c r="U367" s="484" t="str">
        <f>IFERROR(VLOOKUP(N367,'Thông số'!$B:$F,5,0),"")</f>
        <v/>
      </c>
    </row>
    <row r="368" ht="14.25" customHeight="1" spans="1:21">
      <c r="A368" s="489">
        <v>50</v>
      </c>
      <c r="B368" s="490" t="s">
        <v>2104</v>
      </c>
      <c r="C368" s="491"/>
      <c r="D368" s="470" t="s">
        <v>2105</v>
      </c>
      <c r="E368" s="491"/>
      <c r="F368" s="491"/>
      <c r="G368" s="490" t="s">
        <v>90</v>
      </c>
      <c r="H368" s="470" t="s">
        <v>3485</v>
      </c>
      <c r="I368" s="470" t="s">
        <v>1103</v>
      </c>
      <c r="J368" s="492">
        <v>45660</v>
      </c>
      <c r="K368" s="470" t="s">
        <v>1126</v>
      </c>
      <c r="L368" s="491"/>
      <c r="M368" s="505" t="s">
        <v>653</v>
      </c>
      <c r="N368" s="470" t="s">
        <v>2101</v>
      </c>
      <c r="O368" s="490" t="s">
        <v>2078</v>
      </c>
      <c r="P368" s="490" t="s">
        <v>590</v>
      </c>
      <c r="Q368" s="470">
        <v>2024</v>
      </c>
      <c r="R368" s="470" t="s">
        <v>89</v>
      </c>
      <c r="S368" s="490" t="s">
        <v>2106</v>
      </c>
      <c r="T368" s="490" t="s">
        <v>2107</v>
      </c>
      <c r="U368" s="484" t="str">
        <f>IFERROR(VLOOKUP(N368,'Thông số'!$B:$F,5,0),"")</f>
        <v/>
      </c>
    </row>
    <row r="369" ht="14.25" customHeight="1" spans="1:21">
      <c r="A369" s="494">
        <v>51</v>
      </c>
      <c r="B369" s="495" t="s">
        <v>2108</v>
      </c>
      <c r="C369" s="497"/>
      <c r="D369" s="473" t="s">
        <v>2109</v>
      </c>
      <c r="E369" s="497"/>
      <c r="F369" s="497"/>
      <c r="G369" s="495" t="s">
        <v>93</v>
      </c>
      <c r="H369" s="497"/>
      <c r="I369" s="473" t="s">
        <v>1103</v>
      </c>
      <c r="J369" s="498">
        <v>45910</v>
      </c>
      <c r="K369" s="473" t="s">
        <v>1263</v>
      </c>
      <c r="L369" s="497"/>
      <c r="M369" s="501" t="s">
        <v>653</v>
      </c>
      <c r="N369" s="473" t="s">
        <v>2110</v>
      </c>
      <c r="O369" s="495" t="s">
        <v>2085</v>
      </c>
      <c r="P369" s="495" t="s">
        <v>590</v>
      </c>
      <c r="Q369" s="473">
        <v>2025</v>
      </c>
      <c r="R369" s="473" t="s">
        <v>94</v>
      </c>
      <c r="S369" s="495" t="s">
        <v>2111</v>
      </c>
      <c r="T369" s="495" t="s">
        <v>2112</v>
      </c>
      <c r="U369" s="484" t="str">
        <f>IFERROR(VLOOKUP(N369,'Thông số'!$B:$F,5,0),"")</f>
        <v/>
      </c>
    </row>
    <row r="370" ht="14.25" customHeight="1" spans="1:21">
      <c r="A370" s="494">
        <v>52</v>
      </c>
      <c r="B370" s="495" t="s">
        <v>2113</v>
      </c>
      <c r="C370" s="497"/>
      <c r="D370" s="473" t="s">
        <v>2114</v>
      </c>
      <c r="E370" s="497"/>
      <c r="F370" s="497"/>
      <c r="G370" s="495" t="s">
        <v>93</v>
      </c>
      <c r="H370" s="497"/>
      <c r="I370" s="473" t="s">
        <v>1103</v>
      </c>
      <c r="J370" s="498">
        <v>45910</v>
      </c>
      <c r="K370" s="473" t="s">
        <v>1263</v>
      </c>
      <c r="L370" s="497"/>
      <c r="M370" s="501" t="s">
        <v>653</v>
      </c>
      <c r="N370" s="473" t="s">
        <v>2110</v>
      </c>
      <c r="O370" s="495" t="s">
        <v>2085</v>
      </c>
      <c r="P370" s="495" t="s">
        <v>590</v>
      </c>
      <c r="Q370" s="473">
        <v>2025</v>
      </c>
      <c r="R370" s="473" t="s">
        <v>94</v>
      </c>
      <c r="S370" s="495" t="s">
        <v>2115</v>
      </c>
      <c r="T370" s="495" t="s">
        <v>2116</v>
      </c>
      <c r="U370" s="484" t="str">
        <f>IFERROR(VLOOKUP(N370,'Thông số'!$B:$F,5,0),"")</f>
        <v/>
      </c>
    </row>
    <row r="371" ht="14.25" customHeight="1" spans="1:21">
      <c r="A371" s="494">
        <v>53</v>
      </c>
      <c r="B371" s="495" t="s">
        <v>2117</v>
      </c>
      <c r="C371" s="497"/>
      <c r="D371" s="473" t="s">
        <v>2118</v>
      </c>
      <c r="E371" s="497"/>
      <c r="F371" s="497"/>
      <c r="G371" s="495" t="s">
        <v>95</v>
      </c>
      <c r="H371" s="497"/>
      <c r="I371" s="473" t="s">
        <v>1103</v>
      </c>
      <c r="J371" s="498">
        <v>45924</v>
      </c>
      <c r="K371" s="473" t="s">
        <v>1263</v>
      </c>
      <c r="L371" s="497"/>
      <c r="M371" s="501" t="s">
        <v>2120</v>
      </c>
      <c r="N371" s="473" t="s">
        <v>2122</v>
      </c>
      <c r="O371" s="495" t="s">
        <v>2121</v>
      </c>
      <c r="P371" s="495" t="s">
        <v>955</v>
      </c>
      <c r="Q371" s="473">
        <v>2007</v>
      </c>
      <c r="R371" s="473" t="s">
        <v>41</v>
      </c>
      <c r="S371" s="495" t="s">
        <v>2123</v>
      </c>
      <c r="T371" s="495" t="s">
        <v>2124</v>
      </c>
      <c r="U371" s="484" t="str">
        <f>IFERROR(VLOOKUP(N371,'Thông số'!$B:$F,5,0),"")</f>
        <v/>
      </c>
    </row>
    <row r="372" ht="14.25" customHeight="1" spans="1:21">
      <c r="A372" s="494">
        <v>54</v>
      </c>
      <c r="B372" s="495" t="s">
        <v>2125</v>
      </c>
      <c r="C372" s="497"/>
      <c r="D372" s="473" t="s">
        <v>2126</v>
      </c>
      <c r="E372" s="497"/>
      <c r="F372" s="497"/>
      <c r="G372" s="495" t="s">
        <v>2127</v>
      </c>
      <c r="H372" s="497"/>
      <c r="I372" s="473" t="s">
        <v>1103</v>
      </c>
      <c r="J372" s="498">
        <v>45973</v>
      </c>
      <c r="K372" s="473" t="s">
        <v>1263</v>
      </c>
      <c r="L372" s="497"/>
      <c r="M372" s="501" t="s">
        <v>653</v>
      </c>
      <c r="N372" s="473" t="s">
        <v>2110</v>
      </c>
      <c r="O372" s="495" t="s">
        <v>2085</v>
      </c>
      <c r="P372" s="495" t="s">
        <v>590</v>
      </c>
      <c r="Q372" s="473">
        <v>2025</v>
      </c>
      <c r="R372" s="473" t="s">
        <v>6687</v>
      </c>
      <c r="S372" s="495" t="s">
        <v>2129</v>
      </c>
      <c r="T372" s="495" t="s">
        <v>2130</v>
      </c>
      <c r="U372" s="484" t="str">
        <f>IFERROR(VLOOKUP(N372,'Thông số'!$B:$F,5,0),"")</f>
        <v/>
      </c>
    </row>
    <row r="373" ht="14.25" customHeight="1" spans="1:21">
      <c r="A373" s="494">
        <v>55</v>
      </c>
      <c r="B373" s="495" t="s">
        <v>2131</v>
      </c>
      <c r="C373" s="497"/>
      <c r="D373" s="473" t="s">
        <v>2132</v>
      </c>
      <c r="E373" s="497"/>
      <c r="F373" s="497"/>
      <c r="G373" s="495" t="s">
        <v>80</v>
      </c>
      <c r="H373" s="497"/>
      <c r="I373" s="473" t="s">
        <v>1103</v>
      </c>
      <c r="J373" s="498">
        <v>46025</v>
      </c>
      <c r="K373" s="473" t="s">
        <v>1263</v>
      </c>
      <c r="L373" s="497"/>
      <c r="M373" s="501" t="s">
        <v>653</v>
      </c>
      <c r="N373" s="473">
        <v>753</v>
      </c>
      <c r="O373" s="495" t="s">
        <v>2133</v>
      </c>
      <c r="P373" s="495" t="s">
        <v>2134</v>
      </c>
      <c r="Q373" s="497"/>
      <c r="R373" s="473" t="s">
        <v>2135</v>
      </c>
      <c r="S373" s="495">
        <v>511350401</v>
      </c>
      <c r="T373" s="495" t="s">
        <v>2136</v>
      </c>
      <c r="U373" s="484" t="str">
        <f>IFERROR(VLOOKUP(N373,'Thông số'!$B:$F,5,0),"")</f>
        <v/>
      </c>
    </row>
    <row r="374" ht="14.25" customHeight="1" spans="1:21">
      <c r="A374" s="494">
        <v>56</v>
      </c>
      <c r="B374" s="495" t="s">
        <v>2137</v>
      </c>
      <c r="C374" s="497"/>
      <c r="D374" s="473" t="s">
        <v>2138</v>
      </c>
      <c r="E374" s="497"/>
      <c r="F374" s="497"/>
      <c r="G374" s="495" t="s">
        <v>82</v>
      </c>
      <c r="H374" s="497"/>
      <c r="I374" s="473" t="s">
        <v>1103</v>
      </c>
      <c r="J374" s="498">
        <v>46025</v>
      </c>
      <c r="K374" s="473" t="s">
        <v>1263</v>
      </c>
      <c r="L374" s="497"/>
      <c r="M374" s="501" t="s">
        <v>653</v>
      </c>
      <c r="N374" s="473">
        <v>763</v>
      </c>
      <c r="O374" s="495" t="s">
        <v>2133</v>
      </c>
      <c r="P374" s="495" t="s">
        <v>2134</v>
      </c>
      <c r="Q374" s="497"/>
      <c r="R374" s="473" t="s">
        <v>2139</v>
      </c>
      <c r="S374" s="495">
        <v>512215700</v>
      </c>
      <c r="T374" s="495" t="s">
        <v>2140</v>
      </c>
      <c r="U374" s="484" t="str">
        <f>IFERROR(VLOOKUP(N374,'Thông số'!$B:$F,5,0),"")</f>
        <v/>
      </c>
    </row>
    <row r="375" ht="14.25" customHeight="1" spans="1:21">
      <c r="A375" s="494">
        <v>57</v>
      </c>
      <c r="B375" s="495" t="s">
        <v>2141</v>
      </c>
      <c r="C375" s="497"/>
      <c r="D375" s="473" t="s">
        <v>3431</v>
      </c>
      <c r="E375" s="497"/>
      <c r="F375" s="495" t="s">
        <v>3431</v>
      </c>
      <c r="G375" s="495" t="s">
        <v>1556</v>
      </c>
      <c r="H375" s="497"/>
      <c r="I375" s="473" t="s">
        <v>1103</v>
      </c>
      <c r="J375" s="497"/>
      <c r="K375" s="473" t="s">
        <v>1263</v>
      </c>
      <c r="L375" s="497"/>
      <c r="M375" s="497"/>
      <c r="N375" s="473" t="s">
        <v>2142</v>
      </c>
      <c r="O375" s="495" t="s">
        <v>480</v>
      </c>
      <c r="P375" s="495" t="s">
        <v>453</v>
      </c>
      <c r="Q375" s="473">
        <v>2015</v>
      </c>
      <c r="R375" s="473" t="s">
        <v>2143</v>
      </c>
      <c r="S375" s="495">
        <v>838092</v>
      </c>
      <c r="T375" s="495" t="s">
        <v>2144</v>
      </c>
      <c r="U375" s="484" t="str">
        <f>IFERROR(VLOOKUP(N375,'Thông số'!$B:$F,5,0),"")</f>
        <v/>
      </c>
    </row>
    <row r="376" ht="14.25" customHeight="1" spans="1:21">
      <c r="A376" s="494">
        <v>58</v>
      </c>
      <c r="B376" s="495" t="s">
        <v>2145</v>
      </c>
      <c r="C376" s="495" t="s">
        <v>1048</v>
      </c>
      <c r="D376" s="473" t="s">
        <v>3433</v>
      </c>
      <c r="E376" s="497"/>
      <c r="F376" s="495" t="s">
        <v>3433</v>
      </c>
      <c r="G376" s="495" t="s">
        <v>237</v>
      </c>
      <c r="H376" s="473" t="s">
        <v>3432</v>
      </c>
      <c r="I376" s="473" t="s">
        <v>1103</v>
      </c>
      <c r="J376" s="498">
        <v>45275</v>
      </c>
      <c r="K376" s="473" t="s">
        <v>1263</v>
      </c>
      <c r="L376" s="499">
        <v>0.97</v>
      </c>
      <c r="M376" s="501" t="s">
        <v>2146</v>
      </c>
      <c r="N376" s="473" t="s">
        <v>2147</v>
      </c>
      <c r="O376" s="495" t="s">
        <v>480</v>
      </c>
      <c r="P376" s="495" t="s">
        <v>453</v>
      </c>
      <c r="Q376" s="473">
        <v>2018</v>
      </c>
      <c r="R376" s="473" t="s">
        <v>75</v>
      </c>
      <c r="S376" s="495">
        <v>308754</v>
      </c>
      <c r="T376" s="495" t="s">
        <v>462</v>
      </c>
      <c r="U376" s="484" t="str">
        <f>IFERROR(VLOOKUP(N376,'Thông số'!$B:$F,5,0),"")</f>
        <v/>
      </c>
    </row>
    <row r="377" ht="14.25" customHeight="1" spans="1:21">
      <c r="A377" s="494">
        <v>59</v>
      </c>
      <c r="B377" s="495" t="s">
        <v>2148</v>
      </c>
      <c r="C377" s="497"/>
      <c r="D377" s="473" t="s">
        <v>3431</v>
      </c>
      <c r="E377" s="497"/>
      <c r="F377" s="495" t="s">
        <v>3431</v>
      </c>
      <c r="G377" s="495" t="s">
        <v>243</v>
      </c>
      <c r="H377" s="473" t="s">
        <v>3432</v>
      </c>
      <c r="I377" s="473" t="s">
        <v>1103</v>
      </c>
      <c r="J377" s="497"/>
      <c r="K377" s="473" t="s">
        <v>1263</v>
      </c>
      <c r="L377" s="497"/>
      <c r="M377" s="501" t="s">
        <v>2146</v>
      </c>
      <c r="N377" s="473" t="s">
        <v>2149</v>
      </c>
      <c r="O377" s="495" t="s">
        <v>480</v>
      </c>
      <c r="P377" s="495" t="s">
        <v>453</v>
      </c>
      <c r="Q377" s="497"/>
      <c r="R377" s="473" t="s">
        <v>290</v>
      </c>
      <c r="S377" s="495">
        <v>806003</v>
      </c>
      <c r="T377" s="495" t="s">
        <v>462</v>
      </c>
      <c r="U377" s="484" t="str">
        <f>IFERROR(VLOOKUP(N377,'Thông số'!$B:$F,5,0),"")</f>
        <v/>
      </c>
    </row>
    <row r="378" ht="14.25" customHeight="1" spans="1:21">
      <c r="A378" s="494">
        <v>60</v>
      </c>
      <c r="B378" s="495" t="s">
        <v>2150</v>
      </c>
      <c r="C378" s="497"/>
      <c r="D378" s="473" t="s">
        <v>2151</v>
      </c>
      <c r="E378" s="497"/>
      <c r="F378" s="497"/>
      <c r="G378" s="495" t="s">
        <v>239</v>
      </c>
      <c r="H378" s="473" t="s">
        <v>3432</v>
      </c>
      <c r="I378" s="473" t="s">
        <v>1103</v>
      </c>
      <c r="J378" s="498">
        <v>45674</v>
      </c>
      <c r="K378" s="473" t="s">
        <v>1263</v>
      </c>
      <c r="L378" s="497"/>
      <c r="M378" s="501" t="s">
        <v>1146</v>
      </c>
      <c r="N378" s="473" t="s">
        <v>2153</v>
      </c>
      <c r="O378" s="495" t="s">
        <v>480</v>
      </c>
      <c r="P378" s="495" t="s">
        <v>453</v>
      </c>
      <c r="Q378" s="473">
        <v>2013</v>
      </c>
      <c r="R378" s="473" t="s">
        <v>290</v>
      </c>
      <c r="S378" s="495">
        <v>38377</v>
      </c>
      <c r="T378" s="495" t="s">
        <v>462</v>
      </c>
      <c r="U378" s="484" t="str">
        <f>IFERROR(VLOOKUP(N378,'Thông số'!$B:$F,5,0),"")</f>
        <v/>
      </c>
    </row>
    <row r="379" ht="14.25" customHeight="1" spans="1:21">
      <c r="A379" s="494">
        <v>61</v>
      </c>
      <c r="B379" s="495" t="s">
        <v>2155</v>
      </c>
      <c r="C379" s="497"/>
      <c r="D379" s="473" t="s">
        <v>2156</v>
      </c>
      <c r="E379" s="497"/>
      <c r="F379" s="497"/>
      <c r="G379" s="500" t="s">
        <v>238</v>
      </c>
      <c r="H379" s="473" t="s">
        <v>3432</v>
      </c>
      <c r="I379" s="473" t="s">
        <v>1103</v>
      </c>
      <c r="J379" s="498">
        <v>45783</v>
      </c>
      <c r="K379" s="473" t="s">
        <v>1263</v>
      </c>
      <c r="L379" s="497"/>
      <c r="M379" s="501" t="s">
        <v>2157</v>
      </c>
      <c r="N379" s="473" t="s">
        <v>2158</v>
      </c>
      <c r="O379" s="500" t="s">
        <v>1380</v>
      </c>
      <c r="P379" s="495" t="s">
        <v>555</v>
      </c>
      <c r="Q379" s="473">
        <v>2024</v>
      </c>
      <c r="R379" s="473" t="s">
        <v>208</v>
      </c>
      <c r="S379" s="495" t="s">
        <v>2159</v>
      </c>
      <c r="T379" s="495" t="s">
        <v>2160</v>
      </c>
      <c r="U379" s="484" t="str">
        <f>IFERROR(VLOOKUP(N379,'Thông số'!$B:$F,5,0),"")</f>
        <v/>
      </c>
    </row>
    <row r="380" ht="14.25" customHeight="1" spans="1:21">
      <c r="A380" s="494">
        <v>62</v>
      </c>
      <c r="B380" s="495" t="s">
        <v>2161</v>
      </c>
      <c r="C380" s="497"/>
      <c r="D380" s="473" t="s">
        <v>2162</v>
      </c>
      <c r="E380" s="497"/>
      <c r="F380" s="497"/>
      <c r="G380" s="500" t="s">
        <v>238</v>
      </c>
      <c r="H380" s="473" t="s">
        <v>3432</v>
      </c>
      <c r="I380" s="473" t="s">
        <v>1103</v>
      </c>
      <c r="J380" s="498">
        <v>45783</v>
      </c>
      <c r="K380" s="473" t="s">
        <v>1263</v>
      </c>
      <c r="L380" s="497"/>
      <c r="M380" s="501" t="s">
        <v>2163</v>
      </c>
      <c r="N380" s="473" t="s">
        <v>2158</v>
      </c>
      <c r="O380" s="500" t="s">
        <v>1380</v>
      </c>
      <c r="P380" s="495" t="s">
        <v>555</v>
      </c>
      <c r="Q380" s="473">
        <v>2024</v>
      </c>
      <c r="R380" s="473" t="s">
        <v>208</v>
      </c>
      <c r="S380" s="495" t="s">
        <v>2164</v>
      </c>
      <c r="T380" s="495" t="s">
        <v>2165</v>
      </c>
      <c r="U380" s="484" t="str">
        <f>IFERROR(VLOOKUP(N380,'Thông số'!$B:$F,5,0),"")</f>
        <v/>
      </c>
    </row>
    <row r="381" ht="14.25" customHeight="1" spans="1:21">
      <c r="A381" s="494">
        <v>63</v>
      </c>
      <c r="B381" s="495" t="s">
        <v>2166</v>
      </c>
      <c r="C381" s="495" t="s">
        <v>2167</v>
      </c>
      <c r="D381" s="473" t="s">
        <v>3298</v>
      </c>
      <c r="E381" s="497"/>
      <c r="F381" s="495" t="s">
        <v>3298</v>
      </c>
      <c r="G381" s="495" t="s">
        <v>49</v>
      </c>
      <c r="H381" s="473" t="s">
        <v>6537</v>
      </c>
      <c r="I381" s="473" t="s">
        <v>1103</v>
      </c>
      <c r="J381" s="497"/>
      <c r="K381" s="473" t="s">
        <v>1263</v>
      </c>
      <c r="L381" s="497"/>
      <c r="M381" s="501" t="s">
        <v>2168</v>
      </c>
      <c r="N381" s="473" t="s">
        <v>1629</v>
      </c>
      <c r="O381" s="495" t="s">
        <v>480</v>
      </c>
      <c r="P381" s="495" t="s">
        <v>453</v>
      </c>
      <c r="Q381" s="473">
        <v>2006</v>
      </c>
      <c r="R381" s="473" t="s">
        <v>767</v>
      </c>
      <c r="S381" s="495" t="s">
        <v>2169</v>
      </c>
      <c r="T381" s="495" t="s">
        <v>462</v>
      </c>
      <c r="U381" s="484" t="str">
        <f>IFERROR(VLOOKUP(N381,'Thông số'!$B:$F,5,0),"")</f>
        <v>5550 x 1960 x 2625</v>
      </c>
    </row>
    <row r="382" ht="14.25" customHeight="1" spans="1:21">
      <c r="A382" s="494">
        <v>64</v>
      </c>
      <c r="B382" s="495" t="s">
        <v>2187</v>
      </c>
      <c r="C382" s="495" t="s">
        <v>2188</v>
      </c>
      <c r="D382" s="473" t="s">
        <v>6688</v>
      </c>
      <c r="E382" s="497"/>
      <c r="F382" s="497"/>
      <c r="G382" s="495" t="s">
        <v>229</v>
      </c>
      <c r="H382" s="497"/>
      <c r="I382" s="473" t="s">
        <v>1103</v>
      </c>
      <c r="J382" s="497"/>
      <c r="K382" s="473" t="s">
        <v>1263</v>
      </c>
      <c r="L382" s="497"/>
      <c r="M382" s="497"/>
      <c r="N382" s="473" t="s">
        <v>1371</v>
      </c>
      <c r="O382" s="495" t="s">
        <v>621</v>
      </c>
      <c r="P382" s="495" t="s">
        <v>500</v>
      </c>
      <c r="Q382" s="473">
        <v>2018</v>
      </c>
      <c r="R382" s="473" t="s">
        <v>54</v>
      </c>
      <c r="S382" s="495" t="s">
        <v>2189</v>
      </c>
      <c r="T382" s="495" t="s">
        <v>2190</v>
      </c>
      <c r="U382" s="484" t="str">
        <f>IFERROR(VLOOKUP(N382,'Thông số'!$B:$F,5,0),"")</f>
        <v>8800 x 2500 x 3700</v>
      </c>
    </row>
    <row r="383" ht="14.25" customHeight="1" spans="1:21">
      <c r="A383" s="489">
        <v>65</v>
      </c>
      <c r="B383" s="490" t="s">
        <v>2191</v>
      </c>
      <c r="C383" s="490" t="s">
        <v>1850</v>
      </c>
      <c r="D383" s="470" t="s">
        <v>3507</v>
      </c>
      <c r="E383" s="491"/>
      <c r="F383" s="490" t="s">
        <v>3507</v>
      </c>
      <c r="G383" s="490" t="s">
        <v>234</v>
      </c>
      <c r="H383" s="491"/>
      <c r="I383" s="470" t="s">
        <v>1103</v>
      </c>
      <c r="J383" s="492">
        <v>44927</v>
      </c>
      <c r="K383" s="470" t="s">
        <v>1126</v>
      </c>
      <c r="L383" s="493">
        <v>0.97</v>
      </c>
      <c r="M383" s="505" t="s">
        <v>1146</v>
      </c>
      <c r="N383" s="470" t="s">
        <v>2192</v>
      </c>
      <c r="O383" s="490" t="s">
        <v>621</v>
      </c>
      <c r="P383" s="490" t="s">
        <v>500</v>
      </c>
      <c r="Q383" s="470">
        <v>2017</v>
      </c>
      <c r="R383" s="470" t="s">
        <v>146</v>
      </c>
      <c r="S383" s="490" t="s">
        <v>2193</v>
      </c>
      <c r="T383" s="490" t="s">
        <v>2194</v>
      </c>
      <c r="U383" s="484" t="str">
        <f>IFERROR(VLOOKUP(N383,'Thông số'!$B:$F,5,0),"")</f>
        <v/>
      </c>
    </row>
    <row r="384" ht="14.25" customHeight="1" spans="1:21">
      <c r="A384" s="489">
        <v>66</v>
      </c>
      <c r="B384" s="490" t="s">
        <v>2195</v>
      </c>
      <c r="C384" s="490" t="s">
        <v>1850</v>
      </c>
      <c r="D384" s="470" t="s">
        <v>3509</v>
      </c>
      <c r="E384" s="491"/>
      <c r="F384" s="490" t="s">
        <v>3509</v>
      </c>
      <c r="G384" s="490" t="s">
        <v>234</v>
      </c>
      <c r="H384" s="491"/>
      <c r="I384" s="470" t="s">
        <v>1103</v>
      </c>
      <c r="J384" s="492">
        <v>44938</v>
      </c>
      <c r="K384" s="470" t="s">
        <v>1126</v>
      </c>
      <c r="L384" s="493">
        <v>0.97</v>
      </c>
      <c r="M384" s="505" t="s">
        <v>1146</v>
      </c>
      <c r="N384" s="470" t="s">
        <v>2192</v>
      </c>
      <c r="O384" s="490" t="s">
        <v>621</v>
      </c>
      <c r="P384" s="490" t="s">
        <v>500</v>
      </c>
      <c r="Q384" s="470">
        <v>2017</v>
      </c>
      <c r="R384" s="470" t="s">
        <v>146</v>
      </c>
      <c r="S384" s="490" t="s">
        <v>2196</v>
      </c>
      <c r="T384" s="490" t="s">
        <v>2197</v>
      </c>
      <c r="U384" s="484" t="str">
        <f>IFERROR(VLOOKUP(N384,'Thông số'!$B:$F,5,0),"")</f>
        <v/>
      </c>
    </row>
    <row r="385" ht="14.25" customHeight="1" spans="1:21">
      <c r="A385" s="494">
        <v>67</v>
      </c>
      <c r="B385" s="495" t="s">
        <v>2198</v>
      </c>
      <c r="C385" s="495" t="s">
        <v>1850</v>
      </c>
      <c r="D385" s="473" t="s">
        <v>3510</v>
      </c>
      <c r="E385" s="497"/>
      <c r="F385" s="495" t="s">
        <v>3510</v>
      </c>
      <c r="G385" s="495" t="s">
        <v>234</v>
      </c>
      <c r="H385" s="497"/>
      <c r="I385" s="473" t="s">
        <v>1103</v>
      </c>
      <c r="J385" s="498">
        <v>44938</v>
      </c>
      <c r="K385" s="473" t="s">
        <v>1263</v>
      </c>
      <c r="L385" s="499">
        <v>0.97</v>
      </c>
      <c r="M385" s="501" t="s">
        <v>1146</v>
      </c>
      <c r="N385" s="473" t="s">
        <v>2192</v>
      </c>
      <c r="O385" s="495" t="s">
        <v>621</v>
      </c>
      <c r="P385" s="495" t="s">
        <v>500</v>
      </c>
      <c r="Q385" s="473">
        <v>2017</v>
      </c>
      <c r="R385" s="473" t="s">
        <v>146</v>
      </c>
      <c r="S385" s="495" t="s">
        <v>2199</v>
      </c>
      <c r="T385" s="495" t="s">
        <v>2200</v>
      </c>
      <c r="U385" s="484" t="str">
        <f>IFERROR(VLOOKUP(N385,'Thông số'!$B:$F,5,0),"")</f>
        <v/>
      </c>
    </row>
    <row r="386" ht="14.25" customHeight="1" spans="1:21">
      <c r="A386" s="494">
        <v>68</v>
      </c>
      <c r="B386" s="495" t="s">
        <v>2201</v>
      </c>
      <c r="C386" s="495" t="s">
        <v>1850</v>
      </c>
      <c r="D386" s="473" t="s">
        <v>6689</v>
      </c>
      <c r="E386" s="497"/>
      <c r="F386" s="497"/>
      <c r="G386" s="495" t="s">
        <v>234</v>
      </c>
      <c r="H386" s="497"/>
      <c r="I386" s="473" t="s">
        <v>1103</v>
      </c>
      <c r="J386" s="498">
        <v>45392</v>
      </c>
      <c r="K386" s="473" t="s">
        <v>1263</v>
      </c>
      <c r="L386" s="497"/>
      <c r="M386" s="501" t="s">
        <v>1146</v>
      </c>
      <c r="N386" s="473" t="s">
        <v>2192</v>
      </c>
      <c r="O386" s="495" t="s">
        <v>621</v>
      </c>
      <c r="P386" s="495" t="s">
        <v>500</v>
      </c>
      <c r="Q386" s="473">
        <v>2017</v>
      </c>
      <c r="R386" s="473" t="s">
        <v>146</v>
      </c>
      <c r="S386" s="495" t="s">
        <v>2202</v>
      </c>
      <c r="T386" s="495" t="s">
        <v>2203</v>
      </c>
      <c r="U386" s="484" t="str">
        <f>IFERROR(VLOOKUP(N386,'Thông số'!$B:$F,5,0),"")</f>
        <v/>
      </c>
    </row>
    <row r="387" ht="14.25" customHeight="1" spans="1:21">
      <c r="A387" s="494">
        <v>69</v>
      </c>
      <c r="B387" s="495" t="s">
        <v>2204</v>
      </c>
      <c r="C387" s="495" t="s">
        <v>2205</v>
      </c>
      <c r="D387" s="473" t="s">
        <v>3492</v>
      </c>
      <c r="E387" s="497"/>
      <c r="F387" s="495" t="s">
        <v>3492</v>
      </c>
      <c r="G387" s="495" t="s">
        <v>233</v>
      </c>
      <c r="H387" s="497"/>
      <c r="I387" s="473" t="s">
        <v>1103</v>
      </c>
      <c r="J387" s="498">
        <v>44938</v>
      </c>
      <c r="K387" s="473" t="s">
        <v>1263</v>
      </c>
      <c r="L387" s="499">
        <v>0.97</v>
      </c>
      <c r="M387" s="497"/>
      <c r="N387" s="473" t="s">
        <v>635</v>
      </c>
      <c r="O387" s="495" t="s">
        <v>621</v>
      </c>
      <c r="P387" s="495" t="s">
        <v>500</v>
      </c>
      <c r="Q387" s="473">
        <v>2022</v>
      </c>
      <c r="R387" s="473" t="s">
        <v>48</v>
      </c>
      <c r="S387" s="495" t="s">
        <v>2206</v>
      </c>
      <c r="T387" s="495" t="s">
        <v>2207</v>
      </c>
      <c r="U387" s="484" t="str">
        <f>IFERROR(VLOOKUP(N387,'Thông số'!$B:$F,5,0),"")</f>
        <v>6160 x 2330 x 2760</v>
      </c>
    </row>
    <row r="388" ht="14.25" customHeight="1" spans="1:21">
      <c r="A388" s="494">
        <v>70</v>
      </c>
      <c r="B388" s="495" t="s">
        <v>2208</v>
      </c>
      <c r="C388" s="495" t="s">
        <v>1850</v>
      </c>
      <c r="D388" s="473" t="s">
        <v>3494</v>
      </c>
      <c r="E388" s="497"/>
      <c r="F388" s="495" t="s">
        <v>3494</v>
      </c>
      <c r="G388" s="495" t="s">
        <v>233</v>
      </c>
      <c r="H388" s="497"/>
      <c r="I388" s="473" t="s">
        <v>1103</v>
      </c>
      <c r="J388" s="498">
        <v>44938</v>
      </c>
      <c r="K388" s="473" t="s">
        <v>1263</v>
      </c>
      <c r="L388" s="499">
        <v>0.97</v>
      </c>
      <c r="M388" s="497"/>
      <c r="N388" s="473" t="s">
        <v>635</v>
      </c>
      <c r="O388" s="495" t="s">
        <v>621</v>
      </c>
      <c r="P388" s="495" t="s">
        <v>500</v>
      </c>
      <c r="Q388" s="473">
        <v>2023</v>
      </c>
      <c r="R388" s="473" t="s">
        <v>48</v>
      </c>
      <c r="S388" s="495" t="s">
        <v>2209</v>
      </c>
      <c r="T388" s="495" t="s">
        <v>2210</v>
      </c>
      <c r="U388" s="484" t="str">
        <f>IFERROR(VLOOKUP(N388,'Thông số'!$B:$F,5,0),"")</f>
        <v>6160 x 2330 x 2760</v>
      </c>
    </row>
    <row r="389" ht="14.25" customHeight="1" spans="1:21">
      <c r="A389" s="494">
        <v>71</v>
      </c>
      <c r="B389" s="495" t="s">
        <v>2211</v>
      </c>
      <c r="C389" s="495" t="s">
        <v>1850</v>
      </c>
      <c r="D389" s="473" t="s">
        <v>3495</v>
      </c>
      <c r="E389" s="497"/>
      <c r="F389" s="495" t="s">
        <v>3495</v>
      </c>
      <c r="G389" s="495" t="s">
        <v>233</v>
      </c>
      <c r="H389" s="497"/>
      <c r="I389" s="473" t="s">
        <v>1103</v>
      </c>
      <c r="J389" s="498">
        <v>44938</v>
      </c>
      <c r="K389" s="473" t="s">
        <v>1263</v>
      </c>
      <c r="L389" s="499">
        <v>0.97</v>
      </c>
      <c r="M389" s="501" t="s">
        <v>2212</v>
      </c>
      <c r="N389" s="473" t="s">
        <v>635</v>
      </c>
      <c r="O389" s="495" t="s">
        <v>621</v>
      </c>
      <c r="P389" s="495" t="s">
        <v>500</v>
      </c>
      <c r="Q389" s="473">
        <v>2023</v>
      </c>
      <c r="R389" s="473" t="s">
        <v>48</v>
      </c>
      <c r="S389" s="495" t="s">
        <v>2213</v>
      </c>
      <c r="T389" s="495" t="s">
        <v>2214</v>
      </c>
      <c r="U389" s="484" t="str">
        <f>IFERROR(VLOOKUP(N389,'Thông số'!$B:$F,5,0),"")</f>
        <v>6160 x 2330 x 2760</v>
      </c>
    </row>
    <row r="390" ht="14.25" customHeight="1" spans="1:21">
      <c r="A390" s="494">
        <v>72</v>
      </c>
      <c r="B390" s="495" t="s">
        <v>2215</v>
      </c>
      <c r="C390" s="495" t="s">
        <v>1850</v>
      </c>
      <c r="D390" s="473" t="s">
        <v>3496</v>
      </c>
      <c r="E390" s="497"/>
      <c r="F390" s="495" t="s">
        <v>3496</v>
      </c>
      <c r="G390" s="495" t="s">
        <v>233</v>
      </c>
      <c r="H390" s="497"/>
      <c r="I390" s="473" t="s">
        <v>1103</v>
      </c>
      <c r="J390" s="498">
        <v>44938</v>
      </c>
      <c r="K390" s="473" t="s">
        <v>1263</v>
      </c>
      <c r="L390" s="499">
        <v>0.97</v>
      </c>
      <c r="M390" s="497"/>
      <c r="N390" s="473" t="s">
        <v>635</v>
      </c>
      <c r="O390" s="495" t="s">
        <v>621</v>
      </c>
      <c r="P390" s="495" t="s">
        <v>500</v>
      </c>
      <c r="Q390" s="473">
        <v>2023</v>
      </c>
      <c r="R390" s="473" t="s">
        <v>48</v>
      </c>
      <c r="S390" s="495" t="s">
        <v>2216</v>
      </c>
      <c r="T390" s="495" t="s">
        <v>2217</v>
      </c>
      <c r="U390" s="484" t="str">
        <f>IFERROR(VLOOKUP(N390,'Thông số'!$B:$F,5,0),"")</f>
        <v>6160 x 2330 x 2760</v>
      </c>
    </row>
    <row r="391" ht="14.25" customHeight="1" spans="1:21">
      <c r="A391" s="494">
        <v>73</v>
      </c>
      <c r="B391" s="495" t="s">
        <v>2218</v>
      </c>
      <c r="C391" s="495" t="s">
        <v>1850</v>
      </c>
      <c r="D391" s="473" t="s">
        <v>3497</v>
      </c>
      <c r="E391" s="497"/>
      <c r="F391" s="495" t="s">
        <v>3497</v>
      </c>
      <c r="G391" s="495" t="s">
        <v>233</v>
      </c>
      <c r="H391" s="497"/>
      <c r="I391" s="473" t="s">
        <v>1103</v>
      </c>
      <c r="J391" s="498">
        <v>45255</v>
      </c>
      <c r="K391" s="473" t="s">
        <v>1263</v>
      </c>
      <c r="L391" s="499">
        <v>0.97</v>
      </c>
      <c r="M391" s="501" t="s">
        <v>1146</v>
      </c>
      <c r="N391" s="473" t="s">
        <v>635</v>
      </c>
      <c r="O391" s="495" t="s">
        <v>621</v>
      </c>
      <c r="P391" s="495" t="s">
        <v>500</v>
      </c>
      <c r="Q391" s="473">
        <v>2023</v>
      </c>
      <c r="R391" s="473" t="s">
        <v>48</v>
      </c>
      <c r="S391" s="495" t="s">
        <v>2220</v>
      </c>
      <c r="T391" s="495" t="s">
        <v>2221</v>
      </c>
      <c r="U391" s="484" t="str">
        <f>IFERROR(VLOOKUP(N391,'Thông số'!$B:$F,5,0),"")</f>
        <v>6160 x 2330 x 2760</v>
      </c>
    </row>
    <row r="392" ht="14.25" customHeight="1" spans="1:21">
      <c r="A392" s="489">
        <v>74</v>
      </c>
      <c r="B392" s="490" t="s">
        <v>2222</v>
      </c>
      <c r="C392" s="490" t="s">
        <v>1850</v>
      </c>
      <c r="D392" s="470" t="s">
        <v>3498</v>
      </c>
      <c r="E392" s="491"/>
      <c r="F392" s="490" t="s">
        <v>3498</v>
      </c>
      <c r="G392" s="490" t="s">
        <v>233</v>
      </c>
      <c r="H392" s="491"/>
      <c r="I392" s="470" t="s">
        <v>1103</v>
      </c>
      <c r="J392" s="492">
        <v>45255</v>
      </c>
      <c r="K392" s="470" t="s">
        <v>1126</v>
      </c>
      <c r="L392" s="493">
        <v>0.97</v>
      </c>
      <c r="M392" s="505" t="s">
        <v>1146</v>
      </c>
      <c r="N392" s="470" t="s">
        <v>635</v>
      </c>
      <c r="O392" s="490" t="s">
        <v>621</v>
      </c>
      <c r="P392" s="490" t="s">
        <v>500</v>
      </c>
      <c r="Q392" s="470">
        <v>2023</v>
      </c>
      <c r="R392" s="470" t="s">
        <v>48</v>
      </c>
      <c r="S392" s="490" t="s">
        <v>2223</v>
      </c>
      <c r="T392" s="490" t="s">
        <v>2224</v>
      </c>
      <c r="U392" s="484" t="str">
        <f>IFERROR(VLOOKUP(N392,'Thông số'!$B:$F,5,0),"")</f>
        <v>6160 x 2330 x 2760</v>
      </c>
    </row>
    <row r="393" ht="14.25" customHeight="1" spans="1:21">
      <c r="A393" s="494">
        <v>75</v>
      </c>
      <c r="B393" s="495" t="s">
        <v>2225</v>
      </c>
      <c r="C393" s="495" t="s">
        <v>1850</v>
      </c>
      <c r="D393" s="473" t="s">
        <v>2226</v>
      </c>
      <c r="E393" s="497"/>
      <c r="F393" s="497"/>
      <c r="G393" s="495" t="s">
        <v>233</v>
      </c>
      <c r="H393" s="497"/>
      <c r="I393" s="473" t="s">
        <v>1103</v>
      </c>
      <c r="J393" s="498">
        <v>45751</v>
      </c>
      <c r="K393" s="473" t="s">
        <v>1263</v>
      </c>
      <c r="L393" s="497"/>
      <c r="M393" s="501" t="s">
        <v>1146</v>
      </c>
      <c r="N393" s="473" t="s">
        <v>635</v>
      </c>
      <c r="O393" s="495" t="s">
        <v>621</v>
      </c>
      <c r="P393" s="495" t="s">
        <v>500</v>
      </c>
      <c r="Q393" s="473">
        <v>2024</v>
      </c>
      <c r="R393" s="473" t="s">
        <v>48</v>
      </c>
      <c r="S393" s="495" t="s">
        <v>2227</v>
      </c>
      <c r="T393" s="495" t="s">
        <v>2228</v>
      </c>
      <c r="U393" s="484" t="str">
        <f>IFERROR(VLOOKUP(N393,'Thông số'!$B:$F,5,0),"")</f>
        <v>6160 x 2330 x 2760</v>
      </c>
    </row>
    <row r="394" ht="14.25" customHeight="1" spans="1:21">
      <c r="A394" s="494">
        <v>76</v>
      </c>
      <c r="B394" s="495" t="s">
        <v>2229</v>
      </c>
      <c r="C394" s="495" t="s">
        <v>1850</v>
      </c>
      <c r="D394" s="473" t="s">
        <v>2230</v>
      </c>
      <c r="E394" s="497"/>
      <c r="F394" s="497"/>
      <c r="G394" s="495" t="s">
        <v>233</v>
      </c>
      <c r="H394" s="497"/>
      <c r="I394" s="473" t="s">
        <v>1103</v>
      </c>
      <c r="J394" s="498">
        <v>45751</v>
      </c>
      <c r="K394" s="473" t="s">
        <v>1263</v>
      </c>
      <c r="L394" s="497"/>
      <c r="M394" s="501" t="s">
        <v>1146</v>
      </c>
      <c r="N394" s="473" t="s">
        <v>635</v>
      </c>
      <c r="O394" s="495" t="s">
        <v>621</v>
      </c>
      <c r="P394" s="495" t="s">
        <v>500</v>
      </c>
      <c r="Q394" s="473">
        <v>2024</v>
      </c>
      <c r="R394" s="473" t="s">
        <v>48</v>
      </c>
      <c r="S394" s="495" t="s">
        <v>2231</v>
      </c>
      <c r="T394" s="495" t="s">
        <v>2232</v>
      </c>
      <c r="U394" s="484" t="str">
        <f>IFERROR(VLOOKUP(N394,'Thông số'!$B:$F,5,0),"")</f>
        <v>6160 x 2330 x 2760</v>
      </c>
    </row>
    <row r="395" ht="14.25" customHeight="1" spans="1:21">
      <c r="A395" s="494">
        <v>77</v>
      </c>
      <c r="B395" s="495" t="s">
        <v>2233</v>
      </c>
      <c r="C395" s="495" t="s">
        <v>1850</v>
      </c>
      <c r="D395" s="473" t="s">
        <v>2234</v>
      </c>
      <c r="E395" s="497"/>
      <c r="F395" s="497"/>
      <c r="G395" s="495" t="s">
        <v>233</v>
      </c>
      <c r="H395" s="497"/>
      <c r="I395" s="473" t="s">
        <v>1103</v>
      </c>
      <c r="J395" s="498">
        <v>45751</v>
      </c>
      <c r="K395" s="473" t="s">
        <v>1263</v>
      </c>
      <c r="L395" s="497"/>
      <c r="M395" s="501" t="s">
        <v>1146</v>
      </c>
      <c r="N395" s="473" t="s">
        <v>635</v>
      </c>
      <c r="O395" s="495" t="s">
        <v>621</v>
      </c>
      <c r="P395" s="495" t="s">
        <v>500</v>
      </c>
      <c r="Q395" s="473">
        <v>2024</v>
      </c>
      <c r="R395" s="473" t="s">
        <v>48</v>
      </c>
      <c r="S395" s="495" t="s">
        <v>2235</v>
      </c>
      <c r="T395" s="495" t="s">
        <v>2236</v>
      </c>
      <c r="U395" s="484" t="str">
        <f>IFERROR(VLOOKUP(N395,'Thông số'!$B:$F,5,0),"")</f>
        <v>6160 x 2330 x 2760</v>
      </c>
    </row>
    <row r="396" ht="14.25" customHeight="1" spans="1:21">
      <c r="A396" s="494">
        <v>78</v>
      </c>
      <c r="B396" s="495" t="s">
        <v>2237</v>
      </c>
      <c r="C396" s="495" t="s">
        <v>1850</v>
      </c>
      <c r="D396" s="473" t="s">
        <v>2238</v>
      </c>
      <c r="E396" s="497"/>
      <c r="F396" s="497"/>
      <c r="G396" s="495" t="s">
        <v>233</v>
      </c>
      <c r="H396" s="497"/>
      <c r="I396" s="473" t="s">
        <v>1103</v>
      </c>
      <c r="J396" s="498">
        <v>45751</v>
      </c>
      <c r="K396" s="473" t="s">
        <v>1263</v>
      </c>
      <c r="L396" s="497"/>
      <c r="M396" s="501" t="s">
        <v>1146</v>
      </c>
      <c r="N396" s="473" t="s">
        <v>635</v>
      </c>
      <c r="O396" s="495" t="s">
        <v>621</v>
      </c>
      <c r="P396" s="495" t="s">
        <v>500</v>
      </c>
      <c r="Q396" s="473">
        <v>2024</v>
      </c>
      <c r="R396" s="473" t="s">
        <v>48</v>
      </c>
      <c r="S396" s="495" t="s">
        <v>2239</v>
      </c>
      <c r="T396" s="495" t="s">
        <v>2240</v>
      </c>
      <c r="U396" s="484" t="str">
        <f>IFERROR(VLOOKUP(N396,'Thông số'!$B:$F,5,0),"")</f>
        <v>6160 x 2330 x 2760</v>
      </c>
    </row>
    <row r="397" ht="14.25" customHeight="1" spans="1:21">
      <c r="A397" s="494">
        <v>79</v>
      </c>
      <c r="B397" s="495" t="s">
        <v>2241</v>
      </c>
      <c r="C397" s="495" t="s">
        <v>1850</v>
      </c>
      <c r="D397" s="473" t="s">
        <v>2242</v>
      </c>
      <c r="E397" s="497"/>
      <c r="F397" s="497"/>
      <c r="G397" s="495" t="s">
        <v>233</v>
      </c>
      <c r="H397" s="497"/>
      <c r="I397" s="473" t="s">
        <v>1103</v>
      </c>
      <c r="J397" s="498">
        <v>45819</v>
      </c>
      <c r="K397" s="473" t="s">
        <v>1263</v>
      </c>
      <c r="L397" s="497"/>
      <c r="M397" s="501" t="s">
        <v>1146</v>
      </c>
      <c r="N397" s="473" t="s">
        <v>635</v>
      </c>
      <c r="O397" s="495" t="s">
        <v>621</v>
      </c>
      <c r="P397" s="495" t="s">
        <v>500</v>
      </c>
      <c r="Q397" s="473">
        <v>2024</v>
      </c>
      <c r="R397" s="473" t="s">
        <v>48</v>
      </c>
      <c r="S397" s="495" t="s">
        <v>2243</v>
      </c>
      <c r="T397" s="495" t="s">
        <v>2244</v>
      </c>
      <c r="U397" s="484" t="str">
        <f>IFERROR(VLOOKUP(N397,'Thông số'!$B:$F,5,0),"")</f>
        <v>6160 x 2330 x 2760</v>
      </c>
    </row>
    <row r="398" ht="14.25" customHeight="1" spans="1:21">
      <c r="A398" s="494">
        <v>80</v>
      </c>
      <c r="B398" s="495" t="s">
        <v>2245</v>
      </c>
      <c r="C398" s="495" t="s">
        <v>2245</v>
      </c>
      <c r="D398" s="473" t="s">
        <v>3500</v>
      </c>
      <c r="E398" s="497"/>
      <c r="F398" s="495" t="s">
        <v>3500</v>
      </c>
      <c r="G398" s="495" t="s">
        <v>231</v>
      </c>
      <c r="H398" s="497"/>
      <c r="I398" s="473" t="s">
        <v>1103</v>
      </c>
      <c r="J398" s="498">
        <v>44938</v>
      </c>
      <c r="K398" s="473" t="s">
        <v>1263</v>
      </c>
      <c r="L398" s="499">
        <v>0.97</v>
      </c>
      <c r="M398" s="497"/>
      <c r="N398" s="473" t="s">
        <v>628</v>
      </c>
      <c r="O398" s="495" t="s">
        <v>621</v>
      </c>
      <c r="P398" s="495" t="s">
        <v>500</v>
      </c>
      <c r="Q398" s="473">
        <v>2022</v>
      </c>
      <c r="R398" s="473" t="s">
        <v>48</v>
      </c>
      <c r="S398" s="495" t="s">
        <v>2246</v>
      </c>
      <c r="T398" s="495" t="s">
        <v>2247</v>
      </c>
      <c r="U398" s="484" t="str">
        <f>IFERROR(VLOOKUP(N398,'Thông số'!$B:$F,5,0),"")</f>
        <v>6160 x 2330 x 2760</v>
      </c>
    </row>
    <row r="399" ht="14.25" customHeight="1" spans="1:21">
      <c r="A399" s="489">
        <v>81</v>
      </c>
      <c r="B399" s="490" t="s">
        <v>2248</v>
      </c>
      <c r="C399" s="490" t="s">
        <v>1850</v>
      </c>
      <c r="D399" s="470" t="s">
        <v>3501</v>
      </c>
      <c r="E399" s="491"/>
      <c r="F399" s="490" t="s">
        <v>3501</v>
      </c>
      <c r="G399" s="490" t="s">
        <v>231</v>
      </c>
      <c r="H399" s="491"/>
      <c r="I399" s="470" t="s">
        <v>1103</v>
      </c>
      <c r="J399" s="492">
        <v>44938</v>
      </c>
      <c r="K399" s="470" t="s">
        <v>1126</v>
      </c>
      <c r="L399" s="493">
        <v>0.97</v>
      </c>
      <c r="M399" s="491"/>
      <c r="N399" s="470" t="s">
        <v>628</v>
      </c>
      <c r="O399" s="490" t="s">
        <v>621</v>
      </c>
      <c r="P399" s="490" t="s">
        <v>500</v>
      </c>
      <c r="Q399" s="470">
        <v>2022</v>
      </c>
      <c r="R399" s="470" t="s">
        <v>48</v>
      </c>
      <c r="S399" s="490" t="s">
        <v>2249</v>
      </c>
      <c r="T399" s="490" t="s">
        <v>2250</v>
      </c>
      <c r="U399" s="484" t="str">
        <f>IFERROR(VLOOKUP(N399,'Thông số'!$B:$F,5,0),"")</f>
        <v>6160 x 2330 x 2760</v>
      </c>
    </row>
    <row r="400" ht="14.25" customHeight="1" spans="1:21">
      <c r="A400" s="494">
        <v>82</v>
      </c>
      <c r="B400" s="495" t="s">
        <v>2251</v>
      </c>
      <c r="C400" s="495" t="s">
        <v>1850</v>
      </c>
      <c r="D400" s="473" t="s">
        <v>3502</v>
      </c>
      <c r="E400" s="497"/>
      <c r="F400" s="495" t="s">
        <v>3502</v>
      </c>
      <c r="G400" s="495" t="s">
        <v>231</v>
      </c>
      <c r="H400" s="497"/>
      <c r="I400" s="473" t="s">
        <v>1103</v>
      </c>
      <c r="J400" s="498">
        <v>44938</v>
      </c>
      <c r="K400" s="473" t="s">
        <v>1263</v>
      </c>
      <c r="L400" s="499">
        <v>0.97</v>
      </c>
      <c r="M400" s="497"/>
      <c r="N400" s="473" t="s">
        <v>628</v>
      </c>
      <c r="O400" s="495" t="s">
        <v>621</v>
      </c>
      <c r="P400" s="495" t="s">
        <v>500</v>
      </c>
      <c r="Q400" s="473">
        <v>2022</v>
      </c>
      <c r="R400" s="473" t="s">
        <v>48</v>
      </c>
      <c r="S400" s="495" t="s">
        <v>2252</v>
      </c>
      <c r="T400" s="495" t="s">
        <v>2253</v>
      </c>
      <c r="U400" s="484" t="str">
        <f>IFERROR(VLOOKUP(N400,'Thông số'!$B:$F,5,0),"")</f>
        <v>6160 x 2330 x 2760</v>
      </c>
    </row>
    <row r="401" ht="14.25" customHeight="1" spans="1:21">
      <c r="A401" s="489">
        <v>83</v>
      </c>
      <c r="B401" s="490" t="s">
        <v>2254</v>
      </c>
      <c r="C401" s="490" t="s">
        <v>1850</v>
      </c>
      <c r="D401" s="470" t="s">
        <v>3503</v>
      </c>
      <c r="E401" s="491"/>
      <c r="F401" s="490" t="s">
        <v>3503</v>
      </c>
      <c r="G401" s="490" t="s">
        <v>231</v>
      </c>
      <c r="H401" s="491"/>
      <c r="I401" s="470" t="s">
        <v>1103</v>
      </c>
      <c r="J401" s="492">
        <v>44938</v>
      </c>
      <c r="K401" s="470" t="s">
        <v>1126</v>
      </c>
      <c r="L401" s="493">
        <v>0.97</v>
      </c>
      <c r="M401" s="491"/>
      <c r="N401" s="470" t="s">
        <v>628</v>
      </c>
      <c r="O401" s="490" t="s">
        <v>621</v>
      </c>
      <c r="P401" s="490" t="s">
        <v>500</v>
      </c>
      <c r="Q401" s="470">
        <v>2022</v>
      </c>
      <c r="R401" s="470" t="s">
        <v>48</v>
      </c>
      <c r="S401" s="490" t="s">
        <v>6690</v>
      </c>
      <c r="T401" s="490" t="s">
        <v>2256</v>
      </c>
      <c r="U401" s="484" t="str">
        <f>IFERROR(VLOOKUP(N401,'Thông số'!$B:$F,5,0),"")</f>
        <v>6160 x 2330 x 2760</v>
      </c>
    </row>
    <row r="402" ht="14.25" customHeight="1" spans="1:21">
      <c r="A402" s="494">
        <v>84</v>
      </c>
      <c r="B402" s="495" t="s">
        <v>2257</v>
      </c>
      <c r="C402" s="495" t="s">
        <v>1850</v>
      </c>
      <c r="D402" s="473" t="s">
        <v>3504</v>
      </c>
      <c r="E402" s="497"/>
      <c r="F402" s="495" t="s">
        <v>3504</v>
      </c>
      <c r="G402" s="495" t="s">
        <v>232</v>
      </c>
      <c r="H402" s="497"/>
      <c r="I402" s="473" t="s">
        <v>1103</v>
      </c>
      <c r="J402" s="498">
        <v>45255</v>
      </c>
      <c r="K402" s="473" t="s">
        <v>1263</v>
      </c>
      <c r="L402" s="499">
        <v>0.97</v>
      </c>
      <c r="M402" s="497"/>
      <c r="N402" s="473" t="s">
        <v>628</v>
      </c>
      <c r="O402" s="495" t="s">
        <v>621</v>
      </c>
      <c r="P402" s="495" t="s">
        <v>500</v>
      </c>
      <c r="Q402" s="473">
        <v>2023</v>
      </c>
      <c r="R402" s="473" t="s">
        <v>48</v>
      </c>
      <c r="S402" s="495" t="s">
        <v>2258</v>
      </c>
      <c r="T402" s="495" t="s">
        <v>2259</v>
      </c>
      <c r="U402" s="484" t="str">
        <f>IFERROR(VLOOKUP(N402,'Thông số'!$B:$F,5,0),"")</f>
        <v>6160 x 2330 x 2760</v>
      </c>
    </row>
    <row r="403" ht="14.25" customHeight="1" spans="1:21">
      <c r="A403" s="489">
        <v>85</v>
      </c>
      <c r="B403" s="490" t="s">
        <v>2260</v>
      </c>
      <c r="C403" s="490" t="s">
        <v>1850</v>
      </c>
      <c r="D403" s="470" t="s">
        <v>3505</v>
      </c>
      <c r="E403" s="491"/>
      <c r="F403" s="490" t="s">
        <v>3505</v>
      </c>
      <c r="G403" s="490" t="s">
        <v>232</v>
      </c>
      <c r="H403" s="491"/>
      <c r="I403" s="470" t="s">
        <v>1103</v>
      </c>
      <c r="J403" s="492">
        <v>45255</v>
      </c>
      <c r="K403" s="470" t="s">
        <v>1126</v>
      </c>
      <c r="L403" s="493">
        <v>0.97</v>
      </c>
      <c r="M403" s="505" t="s">
        <v>1146</v>
      </c>
      <c r="N403" s="470" t="s">
        <v>628</v>
      </c>
      <c r="O403" s="490" t="s">
        <v>621</v>
      </c>
      <c r="P403" s="490" t="s">
        <v>500</v>
      </c>
      <c r="Q403" s="470">
        <v>2023</v>
      </c>
      <c r="R403" s="470" t="s">
        <v>48</v>
      </c>
      <c r="S403" s="490" t="s">
        <v>2261</v>
      </c>
      <c r="T403" s="490" t="s">
        <v>2262</v>
      </c>
      <c r="U403" s="484" t="str">
        <f>IFERROR(VLOOKUP(N403,'Thông số'!$B:$F,5,0),"")</f>
        <v>6160 x 2330 x 2760</v>
      </c>
    </row>
    <row r="404" ht="14.25" customHeight="1" spans="1:21">
      <c r="A404" s="489">
        <v>86</v>
      </c>
      <c r="B404" s="490" t="s">
        <v>2997</v>
      </c>
      <c r="C404" s="490" t="s">
        <v>1850</v>
      </c>
      <c r="D404" s="470" t="s">
        <v>2998</v>
      </c>
      <c r="E404" s="491"/>
      <c r="F404" s="490" t="s">
        <v>2998</v>
      </c>
      <c r="G404" s="490" t="s">
        <v>232</v>
      </c>
      <c r="H404" s="491"/>
      <c r="I404" s="470" t="s">
        <v>1103</v>
      </c>
      <c r="J404" s="492">
        <v>45255</v>
      </c>
      <c r="K404" s="470" t="s">
        <v>1126</v>
      </c>
      <c r="L404" s="493">
        <v>0.97</v>
      </c>
      <c r="M404" s="505" t="s">
        <v>1146</v>
      </c>
      <c r="N404" s="470" t="s">
        <v>628</v>
      </c>
      <c r="O404" s="490" t="s">
        <v>621</v>
      </c>
      <c r="P404" s="490" t="s">
        <v>500</v>
      </c>
      <c r="Q404" s="470">
        <v>2023</v>
      </c>
      <c r="R404" s="470" t="s">
        <v>48</v>
      </c>
      <c r="S404" s="490" t="s">
        <v>3002</v>
      </c>
      <c r="T404" s="490" t="s">
        <v>3003</v>
      </c>
      <c r="U404" s="484" t="str">
        <f>IFERROR(VLOOKUP(N404,'Thông số'!$B:$F,5,0),"")</f>
        <v>6160 x 2330 x 2760</v>
      </c>
    </row>
    <row r="405" ht="14.25" customHeight="1" spans="1:21">
      <c r="A405" s="494">
        <v>87</v>
      </c>
      <c r="B405" s="495" t="s">
        <v>2263</v>
      </c>
      <c r="C405" s="495" t="s">
        <v>1850</v>
      </c>
      <c r="D405" s="473" t="s">
        <v>2264</v>
      </c>
      <c r="E405" s="473" t="s">
        <v>2265</v>
      </c>
      <c r="F405" s="497"/>
      <c r="G405" s="495" t="s">
        <v>232</v>
      </c>
      <c r="H405" s="497"/>
      <c r="I405" s="473" t="s">
        <v>1103</v>
      </c>
      <c r="J405" s="498">
        <v>45541</v>
      </c>
      <c r="K405" s="473" t="s">
        <v>1263</v>
      </c>
      <c r="L405" s="497"/>
      <c r="M405" s="501" t="s">
        <v>1146</v>
      </c>
      <c r="N405" s="473" t="s">
        <v>628</v>
      </c>
      <c r="O405" s="495" t="s">
        <v>621</v>
      </c>
      <c r="P405" s="495" t="s">
        <v>500</v>
      </c>
      <c r="Q405" s="473">
        <v>2024</v>
      </c>
      <c r="R405" s="473" t="s">
        <v>48</v>
      </c>
      <c r="S405" s="495" t="s">
        <v>2266</v>
      </c>
      <c r="T405" s="495" t="s">
        <v>2267</v>
      </c>
      <c r="U405" s="484" t="str">
        <f>IFERROR(VLOOKUP(N405,'Thông số'!$B:$F,5,0),"")</f>
        <v>6160 x 2330 x 2760</v>
      </c>
    </row>
    <row r="406" ht="14.25" customHeight="1" spans="1:21">
      <c r="A406" s="494">
        <v>88</v>
      </c>
      <c r="B406" s="495" t="s">
        <v>2268</v>
      </c>
      <c r="C406" s="495" t="s">
        <v>1850</v>
      </c>
      <c r="D406" s="473" t="s">
        <v>2269</v>
      </c>
      <c r="E406" s="473" t="s">
        <v>2270</v>
      </c>
      <c r="F406" s="497"/>
      <c r="G406" s="495" t="s">
        <v>232</v>
      </c>
      <c r="H406" s="497"/>
      <c r="I406" s="473" t="s">
        <v>1103</v>
      </c>
      <c r="J406" s="498">
        <v>45541</v>
      </c>
      <c r="K406" s="473" t="s">
        <v>1263</v>
      </c>
      <c r="L406" s="497"/>
      <c r="M406" s="501" t="s">
        <v>1146</v>
      </c>
      <c r="N406" s="473" t="s">
        <v>628</v>
      </c>
      <c r="O406" s="495" t="s">
        <v>621</v>
      </c>
      <c r="P406" s="495" t="s">
        <v>500</v>
      </c>
      <c r="Q406" s="473">
        <v>2024</v>
      </c>
      <c r="R406" s="473" t="s">
        <v>48</v>
      </c>
      <c r="S406" s="495" t="s">
        <v>2271</v>
      </c>
      <c r="T406" s="495" t="s">
        <v>2272</v>
      </c>
      <c r="U406" s="484" t="str">
        <f>IFERROR(VLOOKUP(N406,'Thông số'!$B:$F,5,0),"")</f>
        <v>6160 x 2330 x 2760</v>
      </c>
    </row>
    <row r="407" ht="14.25" customHeight="1" spans="1:21">
      <c r="A407" s="494">
        <v>89</v>
      </c>
      <c r="B407" s="495" t="s">
        <v>2273</v>
      </c>
      <c r="C407" s="495" t="s">
        <v>1850</v>
      </c>
      <c r="D407" s="473" t="s">
        <v>2274</v>
      </c>
      <c r="E407" s="473" t="s">
        <v>2275</v>
      </c>
      <c r="F407" s="497"/>
      <c r="G407" s="495" t="s">
        <v>232</v>
      </c>
      <c r="H407" s="497"/>
      <c r="I407" s="473" t="s">
        <v>1103</v>
      </c>
      <c r="J407" s="498">
        <v>45541</v>
      </c>
      <c r="K407" s="473" t="s">
        <v>1263</v>
      </c>
      <c r="L407" s="497"/>
      <c r="M407" s="501" t="s">
        <v>1146</v>
      </c>
      <c r="N407" s="473" t="s">
        <v>628</v>
      </c>
      <c r="O407" s="495" t="s">
        <v>621</v>
      </c>
      <c r="P407" s="495" t="s">
        <v>500</v>
      </c>
      <c r="Q407" s="473">
        <v>2024</v>
      </c>
      <c r="R407" s="473" t="s">
        <v>48</v>
      </c>
      <c r="S407" s="495" t="s">
        <v>2276</v>
      </c>
      <c r="T407" s="495" t="s">
        <v>2277</v>
      </c>
      <c r="U407" s="484" t="str">
        <f>IFERROR(VLOOKUP(N407,'Thông số'!$B:$F,5,0),"")</f>
        <v>6160 x 2330 x 2760</v>
      </c>
    </row>
    <row r="408" ht="14.25" customHeight="1" spans="1:21">
      <c r="A408" s="494">
        <v>90</v>
      </c>
      <c r="B408" s="495" t="s">
        <v>2278</v>
      </c>
      <c r="C408" s="495" t="s">
        <v>1850</v>
      </c>
      <c r="D408" s="473" t="s">
        <v>2279</v>
      </c>
      <c r="E408" s="473" t="s">
        <v>2280</v>
      </c>
      <c r="F408" s="497"/>
      <c r="G408" s="495" t="s">
        <v>232</v>
      </c>
      <c r="H408" s="497"/>
      <c r="I408" s="473" t="s">
        <v>1103</v>
      </c>
      <c r="J408" s="498">
        <v>45541</v>
      </c>
      <c r="K408" s="473" t="s">
        <v>1263</v>
      </c>
      <c r="L408" s="497"/>
      <c r="M408" s="501" t="s">
        <v>1146</v>
      </c>
      <c r="N408" s="473" t="s">
        <v>628</v>
      </c>
      <c r="O408" s="495" t="s">
        <v>621</v>
      </c>
      <c r="P408" s="495" t="s">
        <v>500</v>
      </c>
      <c r="Q408" s="473">
        <v>2024</v>
      </c>
      <c r="R408" s="473" t="s">
        <v>48</v>
      </c>
      <c r="S408" s="495" t="s">
        <v>2281</v>
      </c>
      <c r="T408" s="495" t="s">
        <v>2282</v>
      </c>
      <c r="U408" s="484" t="str">
        <f>IFERROR(VLOOKUP(N408,'Thông số'!$B:$F,5,0),"")</f>
        <v>6160 x 2330 x 2760</v>
      </c>
    </row>
    <row r="409" ht="14.25" customHeight="1" spans="1:21">
      <c r="A409" s="494">
        <v>91</v>
      </c>
      <c r="B409" s="495" t="s">
        <v>2283</v>
      </c>
      <c r="C409" s="495" t="s">
        <v>1850</v>
      </c>
      <c r="D409" s="473" t="s">
        <v>2284</v>
      </c>
      <c r="E409" s="497"/>
      <c r="F409" s="497"/>
      <c r="G409" s="495" t="s">
        <v>230</v>
      </c>
      <c r="H409" s="497"/>
      <c r="I409" s="473" t="s">
        <v>1103</v>
      </c>
      <c r="J409" s="498">
        <v>45913</v>
      </c>
      <c r="K409" s="473" t="s">
        <v>1263</v>
      </c>
      <c r="L409" s="497"/>
      <c r="M409" s="501" t="s">
        <v>1146</v>
      </c>
      <c r="N409" s="473" t="s">
        <v>654</v>
      </c>
      <c r="O409" s="495" t="s">
        <v>621</v>
      </c>
      <c r="P409" s="495" t="s">
        <v>500</v>
      </c>
      <c r="Q409" s="473">
        <v>2024</v>
      </c>
      <c r="R409" s="473" t="s">
        <v>6691</v>
      </c>
      <c r="S409" s="495" t="s">
        <v>2288</v>
      </c>
      <c r="T409" s="495" t="s">
        <v>2289</v>
      </c>
      <c r="U409" s="484" t="str">
        <f>IFERROR(VLOOKUP(N409,'Thông số'!$B:$F,5,0),"")</f>
        <v>5910 x 2310 x 2800</v>
      </c>
    </row>
    <row r="410" ht="14.25" customHeight="1" spans="1:21">
      <c r="A410" s="494">
        <v>92</v>
      </c>
      <c r="B410" s="495" t="s">
        <v>2290</v>
      </c>
      <c r="C410" s="495" t="s">
        <v>1850</v>
      </c>
      <c r="D410" s="473" t="s">
        <v>2291</v>
      </c>
      <c r="E410" s="497"/>
      <c r="F410" s="497"/>
      <c r="G410" s="495" t="s">
        <v>230</v>
      </c>
      <c r="H410" s="497"/>
      <c r="I410" s="473" t="s">
        <v>1103</v>
      </c>
      <c r="J410" s="498">
        <v>45913</v>
      </c>
      <c r="K410" s="473" t="s">
        <v>1263</v>
      </c>
      <c r="L410" s="497"/>
      <c r="M410" s="501" t="s">
        <v>1146</v>
      </c>
      <c r="N410" s="473" t="s">
        <v>654</v>
      </c>
      <c r="O410" s="495" t="s">
        <v>621</v>
      </c>
      <c r="P410" s="495" t="s">
        <v>500</v>
      </c>
      <c r="Q410" s="473">
        <v>2024</v>
      </c>
      <c r="R410" s="473" t="s">
        <v>6691</v>
      </c>
      <c r="S410" s="495" t="s">
        <v>2292</v>
      </c>
      <c r="T410" s="495" t="s">
        <v>2293</v>
      </c>
      <c r="U410" s="484" t="str">
        <f>IFERROR(VLOOKUP(N410,'Thông số'!$B:$F,5,0),"")</f>
        <v>5910 x 2310 x 2800</v>
      </c>
    </row>
    <row r="411" ht="14.25" customHeight="1" spans="1:21">
      <c r="A411" s="494">
        <v>93</v>
      </c>
      <c r="B411" s="495" t="s">
        <v>2294</v>
      </c>
      <c r="C411" s="495" t="s">
        <v>1850</v>
      </c>
      <c r="D411" s="473" t="s">
        <v>2295</v>
      </c>
      <c r="E411" s="497"/>
      <c r="F411" s="497"/>
      <c r="G411" s="495" t="s">
        <v>230</v>
      </c>
      <c r="H411" s="497"/>
      <c r="I411" s="473" t="s">
        <v>1103</v>
      </c>
      <c r="J411" s="498">
        <v>45913</v>
      </c>
      <c r="K411" s="473" t="s">
        <v>1263</v>
      </c>
      <c r="L411" s="497"/>
      <c r="M411" s="501" t="s">
        <v>1146</v>
      </c>
      <c r="N411" s="473" t="s">
        <v>654</v>
      </c>
      <c r="O411" s="495" t="s">
        <v>621</v>
      </c>
      <c r="P411" s="495" t="s">
        <v>500</v>
      </c>
      <c r="Q411" s="473">
        <v>2024</v>
      </c>
      <c r="R411" s="473" t="s">
        <v>6691</v>
      </c>
      <c r="S411" s="495" t="s">
        <v>2297</v>
      </c>
      <c r="T411" s="495" t="s">
        <v>2298</v>
      </c>
      <c r="U411" s="484" t="str">
        <f>IFERROR(VLOOKUP(N411,'Thông số'!$B:$F,5,0),"")</f>
        <v>5910 x 2310 x 2800</v>
      </c>
    </row>
    <row r="412" ht="14.25" customHeight="1" spans="1:21">
      <c r="A412" s="494">
        <v>94</v>
      </c>
      <c r="B412" s="495" t="s">
        <v>2299</v>
      </c>
      <c r="C412" s="495" t="s">
        <v>2300</v>
      </c>
      <c r="D412" s="473" t="s">
        <v>3395</v>
      </c>
      <c r="E412" s="497"/>
      <c r="F412" s="495" t="s">
        <v>3395</v>
      </c>
      <c r="G412" s="495" t="s">
        <v>122</v>
      </c>
      <c r="H412" s="473" t="s">
        <v>6692</v>
      </c>
      <c r="I412" s="473" t="s">
        <v>1103</v>
      </c>
      <c r="J412" s="498">
        <v>44621</v>
      </c>
      <c r="K412" s="473" t="s">
        <v>1263</v>
      </c>
      <c r="L412" s="499">
        <v>0.79</v>
      </c>
      <c r="M412" s="501" t="s">
        <v>6693</v>
      </c>
      <c r="N412" s="473" t="s">
        <v>2302</v>
      </c>
      <c r="O412" s="495" t="s">
        <v>621</v>
      </c>
      <c r="P412" s="495" t="s">
        <v>500</v>
      </c>
      <c r="Q412" s="473">
        <v>2021</v>
      </c>
      <c r="R412" s="473" t="s">
        <v>85</v>
      </c>
      <c r="S412" s="495" t="s">
        <v>2303</v>
      </c>
      <c r="T412" s="495" t="s">
        <v>2304</v>
      </c>
      <c r="U412" s="484" t="str">
        <f>IFERROR(VLOOKUP(N412,'Thông số'!$B:$F,5,0),"")</f>
        <v>6160 x 2330 x 2750</v>
      </c>
    </row>
    <row r="413" ht="14.25" customHeight="1" spans="1:21">
      <c r="A413" s="494">
        <v>95</v>
      </c>
      <c r="B413" s="495" t="s">
        <v>2305</v>
      </c>
      <c r="C413" s="497"/>
      <c r="D413" s="473" t="s">
        <v>2306</v>
      </c>
      <c r="E413" s="473" t="s">
        <v>2307</v>
      </c>
      <c r="F413" s="497"/>
      <c r="G413" s="495" t="s">
        <v>121</v>
      </c>
      <c r="H413" s="473" t="s">
        <v>6692</v>
      </c>
      <c r="I413" s="473" t="s">
        <v>1103</v>
      </c>
      <c r="J413" s="498">
        <v>45577</v>
      </c>
      <c r="K413" s="473" t="s">
        <v>1263</v>
      </c>
      <c r="L413" s="497"/>
      <c r="M413" s="501" t="s">
        <v>1146</v>
      </c>
      <c r="N413" s="473" t="s">
        <v>635</v>
      </c>
      <c r="O413" s="495" t="s">
        <v>621</v>
      </c>
      <c r="P413" s="495" t="s">
        <v>500</v>
      </c>
      <c r="Q413" s="473">
        <v>2024</v>
      </c>
      <c r="R413" s="473" t="s">
        <v>1076</v>
      </c>
      <c r="S413" s="495" t="s">
        <v>2308</v>
      </c>
      <c r="T413" s="495" t="s">
        <v>2309</v>
      </c>
      <c r="U413" s="484" t="str">
        <f>IFERROR(VLOOKUP(N413,'Thông số'!$B:$F,5,0),"")</f>
        <v>6160 x 2330 x 2760</v>
      </c>
    </row>
    <row r="414" ht="14.25" customHeight="1" spans="1:21">
      <c r="A414" s="494">
        <v>96</v>
      </c>
      <c r="B414" s="495" t="s">
        <v>2310</v>
      </c>
      <c r="C414" s="497"/>
      <c r="D414" s="473" t="s">
        <v>2311</v>
      </c>
      <c r="E414" s="497"/>
      <c r="F414" s="497"/>
      <c r="G414" s="495" t="s">
        <v>155</v>
      </c>
      <c r="H414" s="497"/>
      <c r="I414" s="473" t="s">
        <v>1103</v>
      </c>
      <c r="J414" s="498">
        <v>45594</v>
      </c>
      <c r="K414" s="473" t="s">
        <v>1263</v>
      </c>
      <c r="L414" s="497"/>
      <c r="M414" s="501" t="s">
        <v>2313</v>
      </c>
      <c r="N414" s="473" t="s">
        <v>2192</v>
      </c>
      <c r="O414" s="495" t="s">
        <v>621</v>
      </c>
      <c r="P414" s="495" t="s">
        <v>500</v>
      </c>
      <c r="Q414" s="473">
        <v>2022</v>
      </c>
      <c r="R414" s="473" t="s">
        <v>156</v>
      </c>
      <c r="S414" s="495" t="s">
        <v>2314</v>
      </c>
      <c r="T414" s="495" t="s">
        <v>2315</v>
      </c>
      <c r="U414" s="484" t="str">
        <f>IFERROR(VLOOKUP(N414,'Thông số'!$B:$F,5,0),"")</f>
        <v/>
      </c>
    </row>
    <row r="415" ht="14.25" customHeight="1" spans="1:21">
      <c r="A415" s="494">
        <v>97</v>
      </c>
      <c r="B415" s="495" t="s">
        <v>2316</v>
      </c>
      <c r="C415" s="497"/>
      <c r="D415" s="473" t="s">
        <v>2317</v>
      </c>
      <c r="E415" s="473" t="s">
        <v>2318</v>
      </c>
      <c r="F415" s="497"/>
      <c r="G415" s="495" t="s">
        <v>161</v>
      </c>
      <c r="H415" s="497"/>
      <c r="I415" s="473" t="s">
        <v>1103</v>
      </c>
      <c r="J415" s="498">
        <v>45749</v>
      </c>
      <c r="K415" s="473" t="s">
        <v>1263</v>
      </c>
      <c r="L415" s="497"/>
      <c r="M415" s="501" t="s">
        <v>2319</v>
      </c>
      <c r="N415" s="473" t="s">
        <v>2320</v>
      </c>
      <c r="O415" s="495" t="s">
        <v>1019</v>
      </c>
      <c r="P415" s="495" t="s">
        <v>500</v>
      </c>
      <c r="Q415" s="473">
        <v>2024</v>
      </c>
      <c r="R415" s="473" t="s">
        <v>6694</v>
      </c>
      <c r="S415" s="495" t="s">
        <v>2321</v>
      </c>
      <c r="T415" s="495" t="s">
        <v>2322</v>
      </c>
      <c r="U415" s="484" t="str">
        <f>IFERROR(VLOOKUP(N415,'Thông số'!$B:$F,5,0),"")</f>
        <v/>
      </c>
    </row>
    <row r="416" ht="14.25" customHeight="1" spans="1:21">
      <c r="A416" s="494">
        <v>98</v>
      </c>
      <c r="B416" s="495" t="s">
        <v>2323</v>
      </c>
      <c r="C416" s="497"/>
      <c r="D416" s="473" t="s">
        <v>2324</v>
      </c>
      <c r="E416" s="497"/>
      <c r="F416" s="497"/>
      <c r="G416" s="495" t="s">
        <v>158</v>
      </c>
      <c r="H416" s="497"/>
      <c r="I416" s="473" t="s">
        <v>1103</v>
      </c>
      <c r="J416" s="498">
        <v>45909</v>
      </c>
      <c r="K416" s="473" t="s">
        <v>1263</v>
      </c>
      <c r="L416" s="497"/>
      <c r="M416" s="501" t="s">
        <v>2326</v>
      </c>
      <c r="N416" s="473" t="s">
        <v>2328</v>
      </c>
      <c r="O416" s="495" t="s">
        <v>2327</v>
      </c>
      <c r="P416" s="495" t="s">
        <v>590</v>
      </c>
      <c r="Q416" s="473">
        <v>2025</v>
      </c>
      <c r="R416" s="473" t="s">
        <v>2373</v>
      </c>
      <c r="S416" s="495" t="s">
        <v>2329</v>
      </c>
      <c r="T416" s="495" t="s">
        <v>2330</v>
      </c>
      <c r="U416" s="484" t="str">
        <f>IFERROR(VLOOKUP(N416,'Thông số'!$B:$F,5,0),"")</f>
        <v/>
      </c>
    </row>
    <row r="417" ht="14.25" customHeight="1" spans="1:21">
      <c r="A417" s="494">
        <v>99</v>
      </c>
      <c r="B417" s="495" t="s">
        <v>2331</v>
      </c>
      <c r="C417" s="497"/>
      <c r="D417" s="473" t="s">
        <v>2332</v>
      </c>
      <c r="E417" s="497"/>
      <c r="F417" s="497"/>
      <c r="G417" s="495" t="s">
        <v>158</v>
      </c>
      <c r="H417" s="497"/>
      <c r="I417" s="473" t="s">
        <v>1103</v>
      </c>
      <c r="J417" s="498">
        <v>45938</v>
      </c>
      <c r="K417" s="473" t="s">
        <v>1263</v>
      </c>
      <c r="L417" s="497"/>
      <c r="M417" s="501" t="s">
        <v>2334</v>
      </c>
      <c r="N417" s="473" t="s">
        <v>2328</v>
      </c>
      <c r="O417" s="495" t="s">
        <v>2327</v>
      </c>
      <c r="P417" s="495" t="s">
        <v>590</v>
      </c>
      <c r="Q417" s="473">
        <v>2025</v>
      </c>
      <c r="R417" s="473" t="s">
        <v>2373</v>
      </c>
      <c r="S417" s="495" t="s">
        <v>2335</v>
      </c>
      <c r="T417" s="495" t="s">
        <v>2336</v>
      </c>
      <c r="U417" s="484" t="str">
        <f>IFERROR(VLOOKUP(N417,'Thông số'!$B:$F,5,0),"")</f>
        <v/>
      </c>
    </row>
    <row r="418" ht="14.25" customHeight="1" spans="1:21">
      <c r="A418" s="494">
        <v>100</v>
      </c>
      <c r="B418" s="495" t="s">
        <v>2337</v>
      </c>
      <c r="C418" s="497"/>
      <c r="D418" s="473" t="s">
        <v>2338</v>
      </c>
      <c r="E418" s="497"/>
      <c r="F418" s="497"/>
      <c r="G418" s="495" t="s">
        <v>158</v>
      </c>
      <c r="H418" s="497"/>
      <c r="I418" s="473" t="s">
        <v>1103</v>
      </c>
      <c r="J418" s="498">
        <v>45938</v>
      </c>
      <c r="K418" s="473" t="s">
        <v>1263</v>
      </c>
      <c r="L418" s="497"/>
      <c r="M418" s="501" t="s">
        <v>2340</v>
      </c>
      <c r="N418" s="473" t="s">
        <v>2328</v>
      </c>
      <c r="O418" s="495" t="s">
        <v>2327</v>
      </c>
      <c r="P418" s="495" t="s">
        <v>590</v>
      </c>
      <c r="Q418" s="473">
        <v>2025</v>
      </c>
      <c r="R418" s="473" t="s">
        <v>2373</v>
      </c>
      <c r="S418" s="495" t="s">
        <v>2341</v>
      </c>
      <c r="T418" s="495" t="s">
        <v>2342</v>
      </c>
      <c r="U418" s="484" t="str">
        <f>IFERROR(VLOOKUP(N418,'Thông số'!$B:$F,5,0),"")</f>
        <v/>
      </c>
    </row>
    <row r="419" ht="14.25" customHeight="1" spans="1:21">
      <c r="A419" s="494">
        <v>101</v>
      </c>
      <c r="B419" s="495" t="s">
        <v>2343</v>
      </c>
      <c r="C419" s="497"/>
      <c r="D419" s="473" t="s">
        <v>2344</v>
      </c>
      <c r="E419" s="497"/>
      <c r="F419" s="497"/>
      <c r="G419" s="495" t="s">
        <v>158</v>
      </c>
      <c r="H419" s="497"/>
      <c r="I419" s="473" t="s">
        <v>1103</v>
      </c>
      <c r="J419" s="498">
        <v>45961</v>
      </c>
      <c r="K419" s="473" t="s">
        <v>1263</v>
      </c>
      <c r="L419" s="497"/>
      <c r="M419" s="501" t="s">
        <v>2347</v>
      </c>
      <c r="N419" s="473" t="s">
        <v>2328</v>
      </c>
      <c r="O419" s="495" t="s">
        <v>2327</v>
      </c>
      <c r="P419" s="495" t="s">
        <v>1016</v>
      </c>
      <c r="Q419" s="473">
        <v>2025</v>
      </c>
      <c r="R419" s="473" t="s">
        <v>2373</v>
      </c>
      <c r="S419" s="495" t="s">
        <v>2348</v>
      </c>
      <c r="T419" s="495" t="s">
        <v>2349</v>
      </c>
      <c r="U419" s="484" t="str">
        <f>IFERROR(VLOOKUP(N419,'Thông số'!$B:$F,5,0),"")</f>
        <v/>
      </c>
    </row>
    <row r="420" ht="14.25" customHeight="1" spans="1:21">
      <c r="A420" s="494">
        <v>102</v>
      </c>
      <c r="B420" s="495" t="s">
        <v>2350</v>
      </c>
      <c r="C420" s="496"/>
      <c r="D420" s="473" t="s">
        <v>2351</v>
      </c>
      <c r="E420" s="496"/>
      <c r="F420" s="496"/>
      <c r="G420" s="521" t="s">
        <v>158</v>
      </c>
      <c r="H420" s="497"/>
      <c r="I420" s="512" t="s">
        <v>1103</v>
      </c>
      <c r="J420" s="498">
        <v>45954</v>
      </c>
      <c r="K420" s="473" t="s">
        <v>1263</v>
      </c>
      <c r="L420" s="496"/>
      <c r="M420" s="501" t="s">
        <v>2354</v>
      </c>
      <c r="N420" s="512" t="s">
        <v>2328</v>
      </c>
      <c r="O420" s="521" t="s">
        <v>2327</v>
      </c>
      <c r="P420" s="521" t="s">
        <v>1016</v>
      </c>
      <c r="Q420" s="512">
        <v>2025</v>
      </c>
      <c r="R420" s="512" t="s">
        <v>2373</v>
      </c>
      <c r="S420" s="521" t="s">
        <v>2355</v>
      </c>
      <c r="T420" s="521" t="s">
        <v>2356</v>
      </c>
      <c r="U420" s="484" t="str">
        <f>IFERROR(VLOOKUP(N420,'Thông số'!$B:$F,5,0),"")</f>
        <v/>
      </c>
    </row>
    <row r="421" ht="14.25" customHeight="1" spans="1:21">
      <c r="A421" s="494">
        <v>103</v>
      </c>
      <c r="B421" s="495" t="s">
        <v>2357</v>
      </c>
      <c r="C421" s="497"/>
      <c r="D421" s="473" t="s">
        <v>2358</v>
      </c>
      <c r="E421" s="497"/>
      <c r="F421" s="497"/>
      <c r="G421" s="521" t="s">
        <v>158</v>
      </c>
      <c r="H421" s="497"/>
      <c r="I421" s="512" t="s">
        <v>1103</v>
      </c>
      <c r="J421" s="498">
        <v>46025</v>
      </c>
      <c r="K421" s="473" t="s">
        <v>1263</v>
      </c>
      <c r="L421" s="497"/>
      <c r="M421" s="501" t="s">
        <v>1146</v>
      </c>
      <c r="N421" s="473" t="s">
        <v>2328</v>
      </c>
      <c r="O421" s="495" t="s">
        <v>2327</v>
      </c>
      <c r="P421" s="495" t="s">
        <v>1016</v>
      </c>
      <c r="Q421" s="473">
        <v>2025</v>
      </c>
      <c r="R421" s="473" t="s">
        <v>2373</v>
      </c>
      <c r="S421" s="495" t="s">
        <v>2360</v>
      </c>
      <c r="T421" s="495" t="s">
        <v>2361</v>
      </c>
      <c r="U421" s="484" t="str">
        <f>IFERROR(VLOOKUP(N421,'Thông số'!$B:$F,5,0),"")</f>
        <v/>
      </c>
    </row>
    <row r="422" ht="14.25" customHeight="1" spans="1:21">
      <c r="A422" s="494">
        <v>104</v>
      </c>
      <c r="B422" s="495" t="s">
        <v>2362</v>
      </c>
      <c r="C422" s="497"/>
      <c r="D422" s="473" t="s">
        <v>2363</v>
      </c>
      <c r="E422" s="497"/>
      <c r="F422" s="497"/>
      <c r="G422" s="521" t="s">
        <v>158</v>
      </c>
      <c r="H422" s="497"/>
      <c r="I422" s="512" t="s">
        <v>1103</v>
      </c>
      <c r="J422" s="498">
        <v>46014</v>
      </c>
      <c r="K422" s="473" t="s">
        <v>1263</v>
      </c>
      <c r="L422" s="497"/>
      <c r="M422" s="501" t="s">
        <v>2366</v>
      </c>
      <c r="N422" s="473" t="s">
        <v>2328</v>
      </c>
      <c r="O422" s="495" t="s">
        <v>2327</v>
      </c>
      <c r="P422" s="495" t="s">
        <v>1016</v>
      </c>
      <c r="Q422" s="473">
        <v>2025</v>
      </c>
      <c r="R422" s="473" t="s">
        <v>2373</v>
      </c>
      <c r="S422" s="495" t="s">
        <v>2367</v>
      </c>
      <c r="T422" s="495" t="s">
        <v>2368</v>
      </c>
      <c r="U422" s="484" t="str">
        <f>IFERROR(VLOOKUP(N422,'Thông số'!$B:$F,5,0),"")</f>
        <v/>
      </c>
    </row>
    <row r="423" ht="14.25" customHeight="1" spans="1:21">
      <c r="A423" s="494">
        <v>105</v>
      </c>
      <c r="B423" s="495" t="s">
        <v>2394</v>
      </c>
      <c r="C423" s="497"/>
      <c r="D423" s="473" t="s">
        <v>2395</v>
      </c>
      <c r="E423" s="497"/>
      <c r="F423" s="497"/>
      <c r="G423" s="495" t="s">
        <v>287</v>
      </c>
      <c r="H423" s="473" t="s">
        <v>3558</v>
      </c>
      <c r="I423" s="473" t="s">
        <v>1103</v>
      </c>
      <c r="J423" s="498">
        <v>45576</v>
      </c>
      <c r="K423" s="473" t="s">
        <v>1263</v>
      </c>
      <c r="L423" s="497"/>
      <c r="M423" s="501" t="s">
        <v>1146</v>
      </c>
      <c r="N423" s="473" t="s">
        <v>2396</v>
      </c>
      <c r="O423" s="495" t="s">
        <v>964</v>
      </c>
      <c r="P423" s="495" t="s">
        <v>1197</v>
      </c>
      <c r="Q423" s="473">
        <v>2022</v>
      </c>
      <c r="R423" s="473" t="s">
        <v>219</v>
      </c>
      <c r="S423" s="495">
        <v>203373</v>
      </c>
      <c r="T423" s="495" t="s">
        <v>2397</v>
      </c>
      <c r="U423" s="484" t="str">
        <f>IFERROR(VLOOKUP(N423,'Thông số'!$B:$F,5,0),"")</f>
        <v/>
      </c>
    </row>
    <row r="424" ht="14.25" customHeight="1" spans="1:21">
      <c r="A424" s="494">
        <v>106</v>
      </c>
      <c r="B424" s="495" t="s">
        <v>2398</v>
      </c>
      <c r="C424" s="497"/>
      <c r="D424" s="473" t="s">
        <v>2399</v>
      </c>
      <c r="E424" s="497"/>
      <c r="F424" s="497"/>
      <c r="G424" s="495" t="s">
        <v>287</v>
      </c>
      <c r="H424" s="473" t="s">
        <v>3558</v>
      </c>
      <c r="I424" s="473" t="s">
        <v>1103</v>
      </c>
      <c r="J424" s="498">
        <v>45576</v>
      </c>
      <c r="K424" s="473" t="s">
        <v>1263</v>
      </c>
      <c r="L424" s="497"/>
      <c r="M424" s="501" t="s">
        <v>1146</v>
      </c>
      <c r="N424" s="473" t="s">
        <v>2396</v>
      </c>
      <c r="O424" s="495" t="s">
        <v>964</v>
      </c>
      <c r="P424" s="495" t="s">
        <v>1197</v>
      </c>
      <c r="Q424" s="473">
        <v>2022</v>
      </c>
      <c r="R424" s="473" t="s">
        <v>219</v>
      </c>
      <c r="S424" s="495">
        <v>203356</v>
      </c>
      <c r="T424" s="495" t="s">
        <v>2400</v>
      </c>
      <c r="U424" s="484" t="str">
        <f>IFERROR(VLOOKUP(N424,'Thông số'!$B:$F,5,0),"")</f>
        <v/>
      </c>
    </row>
    <row r="425" ht="14.25" customHeight="1" spans="1:21">
      <c r="A425" s="489">
        <v>107</v>
      </c>
      <c r="B425" s="490" t="s">
        <v>2401</v>
      </c>
      <c r="C425" s="491"/>
      <c r="D425" s="470" t="s">
        <v>2402</v>
      </c>
      <c r="E425" s="491"/>
      <c r="F425" s="491"/>
      <c r="G425" s="490" t="s">
        <v>287</v>
      </c>
      <c r="H425" s="470" t="s">
        <v>3558</v>
      </c>
      <c r="I425" s="470" t="s">
        <v>1103</v>
      </c>
      <c r="J425" s="492">
        <v>45600</v>
      </c>
      <c r="K425" s="470" t="s">
        <v>1126</v>
      </c>
      <c r="L425" s="491"/>
      <c r="M425" s="505" t="s">
        <v>1146</v>
      </c>
      <c r="N425" s="470" t="s">
        <v>2396</v>
      </c>
      <c r="O425" s="490" t="s">
        <v>964</v>
      </c>
      <c r="P425" s="490" t="s">
        <v>1197</v>
      </c>
      <c r="Q425" s="470">
        <v>2022</v>
      </c>
      <c r="R425" s="470" t="s">
        <v>219</v>
      </c>
      <c r="S425" s="490">
        <v>202927</v>
      </c>
      <c r="T425" s="490" t="s">
        <v>2403</v>
      </c>
      <c r="U425" s="484" t="str">
        <f>IFERROR(VLOOKUP(N425,'Thông số'!$B:$F,5,0),"")</f>
        <v/>
      </c>
    </row>
    <row r="426" ht="14.25" customHeight="1" spans="1:21">
      <c r="A426" s="494">
        <v>108</v>
      </c>
      <c r="B426" s="495" t="s">
        <v>2404</v>
      </c>
      <c r="C426" s="497"/>
      <c r="D426" s="473" t="s">
        <v>2405</v>
      </c>
      <c r="E426" s="497"/>
      <c r="F426" s="497"/>
      <c r="G426" s="495" t="s">
        <v>287</v>
      </c>
      <c r="H426" s="473" t="s">
        <v>3558</v>
      </c>
      <c r="I426" s="473" t="s">
        <v>1103</v>
      </c>
      <c r="J426" s="498">
        <v>45600</v>
      </c>
      <c r="K426" s="473" t="s">
        <v>1263</v>
      </c>
      <c r="L426" s="497"/>
      <c r="M426" s="501" t="s">
        <v>1146</v>
      </c>
      <c r="N426" s="473" t="s">
        <v>2396</v>
      </c>
      <c r="O426" s="495" t="s">
        <v>964</v>
      </c>
      <c r="P426" s="495" t="s">
        <v>1197</v>
      </c>
      <c r="Q426" s="473">
        <v>2022</v>
      </c>
      <c r="R426" s="473" t="s">
        <v>219</v>
      </c>
      <c r="S426" s="495">
        <v>202929</v>
      </c>
      <c r="T426" s="495" t="s">
        <v>2406</v>
      </c>
      <c r="U426" s="484" t="str">
        <f>IFERROR(VLOOKUP(N426,'Thông số'!$B:$F,5,0),"")</f>
        <v/>
      </c>
    </row>
    <row r="427" ht="14.25" customHeight="1" spans="1:21">
      <c r="A427" s="489">
        <v>109</v>
      </c>
      <c r="B427" s="490" t="s">
        <v>2407</v>
      </c>
      <c r="C427" s="491"/>
      <c r="D427" s="470" t="s">
        <v>2408</v>
      </c>
      <c r="E427" s="491"/>
      <c r="F427" s="491"/>
      <c r="G427" s="490" t="s">
        <v>287</v>
      </c>
      <c r="H427" s="470" t="s">
        <v>3558</v>
      </c>
      <c r="I427" s="470" t="s">
        <v>1103</v>
      </c>
      <c r="J427" s="492">
        <v>45600</v>
      </c>
      <c r="K427" s="470" t="s">
        <v>1126</v>
      </c>
      <c r="L427" s="491"/>
      <c r="M427" s="505" t="s">
        <v>1146</v>
      </c>
      <c r="N427" s="470" t="s">
        <v>2396</v>
      </c>
      <c r="O427" s="490" t="s">
        <v>964</v>
      </c>
      <c r="P427" s="490" t="s">
        <v>1197</v>
      </c>
      <c r="Q427" s="470">
        <v>2022</v>
      </c>
      <c r="R427" s="470" t="s">
        <v>219</v>
      </c>
      <c r="S427" s="490">
        <v>203359</v>
      </c>
      <c r="T427" s="490" t="s">
        <v>2409</v>
      </c>
      <c r="U427" s="484" t="str">
        <f>IFERROR(VLOOKUP(N427,'Thông số'!$B:$F,5,0),"")</f>
        <v/>
      </c>
    </row>
    <row r="428" ht="14.25" customHeight="1" spans="1:21">
      <c r="A428" s="494">
        <v>110</v>
      </c>
      <c r="B428" s="495" t="s">
        <v>2410</v>
      </c>
      <c r="C428" s="497"/>
      <c r="D428" s="473" t="s">
        <v>3461</v>
      </c>
      <c r="E428" s="473" t="s">
        <v>2411</v>
      </c>
      <c r="F428" s="495" t="s">
        <v>3461</v>
      </c>
      <c r="G428" s="495" t="s">
        <v>251</v>
      </c>
      <c r="H428" s="497"/>
      <c r="I428" s="473" t="s">
        <v>1103</v>
      </c>
      <c r="J428" s="498">
        <v>45301</v>
      </c>
      <c r="K428" s="473" t="s">
        <v>1263</v>
      </c>
      <c r="L428" s="499">
        <v>0.98</v>
      </c>
      <c r="M428" s="497"/>
      <c r="N428" s="473" t="s">
        <v>1153</v>
      </c>
      <c r="O428" s="495" t="s">
        <v>1152</v>
      </c>
      <c r="P428" s="495" t="s">
        <v>500</v>
      </c>
      <c r="Q428" s="473">
        <v>2021</v>
      </c>
      <c r="R428" s="473" t="s">
        <v>44</v>
      </c>
      <c r="S428" s="495" t="s">
        <v>2412</v>
      </c>
      <c r="T428" s="495" t="s">
        <v>2413</v>
      </c>
      <c r="U428" s="484" t="str">
        <f>IFERROR(VLOOKUP(N428,'Thông số'!$B:$F,5,0),"")</f>
        <v>4730 x 1750 x 2100</v>
      </c>
    </row>
    <row r="429" ht="14.25" customHeight="1" spans="1:21">
      <c r="A429" s="494">
        <v>111</v>
      </c>
      <c r="B429" s="495" t="s">
        <v>2414</v>
      </c>
      <c r="C429" s="495" t="s">
        <v>1048</v>
      </c>
      <c r="D429" s="473" t="s">
        <v>3406</v>
      </c>
      <c r="E429" s="497"/>
      <c r="F429" s="495" t="s">
        <v>3406</v>
      </c>
      <c r="G429" s="495" t="s">
        <v>288</v>
      </c>
      <c r="H429" s="473" t="s">
        <v>3407</v>
      </c>
      <c r="I429" s="473" t="s">
        <v>1103</v>
      </c>
      <c r="J429" s="498">
        <v>45261</v>
      </c>
      <c r="K429" s="473" t="s">
        <v>1263</v>
      </c>
      <c r="L429" s="499">
        <v>0.93</v>
      </c>
      <c r="M429" s="501" t="s">
        <v>1146</v>
      </c>
      <c r="N429" s="473" t="s">
        <v>2416</v>
      </c>
      <c r="O429" s="495" t="s">
        <v>2415</v>
      </c>
      <c r="P429" s="495" t="s">
        <v>500</v>
      </c>
      <c r="Q429" s="473">
        <v>2020</v>
      </c>
      <c r="R429" s="473" t="s">
        <v>219</v>
      </c>
      <c r="S429" s="495" t="s">
        <v>2417</v>
      </c>
      <c r="T429" s="495" t="s">
        <v>462</v>
      </c>
      <c r="U429" s="484" t="str">
        <f>IFERROR(VLOOKUP(N429,'Thông số'!$B:$F,5,0),"")</f>
        <v>3300 x 1300 x 1600</v>
      </c>
    </row>
    <row r="430" ht="14.25" customHeight="1" spans="1:21">
      <c r="A430" s="494">
        <v>112</v>
      </c>
      <c r="B430" s="495" t="s">
        <v>2418</v>
      </c>
      <c r="C430" s="495" t="s">
        <v>1048</v>
      </c>
      <c r="D430" s="473" t="s">
        <v>3408</v>
      </c>
      <c r="E430" s="497"/>
      <c r="F430" s="495" t="s">
        <v>3408</v>
      </c>
      <c r="G430" s="495" t="s">
        <v>288</v>
      </c>
      <c r="H430" s="473" t="s">
        <v>3407</v>
      </c>
      <c r="I430" s="473" t="s">
        <v>1103</v>
      </c>
      <c r="J430" s="498">
        <v>45286</v>
      </c>
      <c r="K430" s="473" t="s">
        <v>1263</v>
      </c>
      <c r="L430" s="499">
        <v>0.95</v>
      </c>
      <c r="M430" s="501" t="s">
        <v>1146</v>
      </c>
      <c r="N430" s="473" t="s">
        <v>2416</v>
      </c>
      <c r="O430" s="495" t="s">
        <v>2415</v>
      </c>
      <c r="P430" s="495" t="s">
        <v>500</v>
      </c>
      <c r="Q430" s="473">
        <v>2020</v>
      </c>
      <c r="R430" s="473" t="s">
        <v>219</v>
      </c>
      <c r="S430" s="495" t="s">
        <v>2420</v>
      </c>
      <c r="T430" s="495" t="s">
        <v>462</v>
      </c>
      <c r="U430" s="484" t="str">
        <f>IFERROR(VLOOKUP(N430,'Thông số'!$B:$F,5,0),"")</f>
        <v>3300 x 1300 x 1600</v>
      </c>
    </row>
    <row r="431" ht="14.25" customHeight="1" spans="1:21">
      <c r="A431" s="494">
        <v>113</v>
      </c>
      <c r="B431" s="495" t="s">
        <v>2421</v>
      </c>
      <c r="C431" s="497"/>
      <c r="D431" s="473" t="s">
        <v>6695</v>
      </c>
      <c r="E431" s="497"/>
      <c r="F431" s="497"/>
      <c r="G431" s="495" t="s">
        <v>223</v>
      </c>
      <c r="H431" s="473" t="s">
        <v>3454</v>
      </c>
      <c r="I431" s="473" t="s">
        <v>1103</v>
      </c>
      <c r="J431" s="497"/>
      <c r="K431" s="473" t="s">
        <v>1263</v>
      </c>
      <c r="L431" s="497"/>
      <c r="M431" s="501" t="s">
        <v>2422</v>
      </c>
      <c r="N431" s="473" t="s">
        <v>2423</v>
      </c>
      <c r="O431" s="495" t="s">
        <v>964</v>
      </c>
      <c r="P431" s="495" t="s">
        <v>555</v>
      </c>
      <c r="Q431" s="497"/>
      <c r="R431" s="473" t="s">
        <v>2424</v>
      </c>
      <c r="S431" s="495" t="s">
        <v>462</v>
      </c>
      <c r="T431" s="495" t="s">
        <v>2425</v>
      </c>
      <c r="U431" s="484" t="str">
        <f>IFERROR(VLOOKUP(N431,'Thông số'!$B:$F,5,0),"")</f>
        <v/>
      </c>
    </row>
    <row r="432" ht="14.25" customHeight="1" spans="1:21">
      <c r="A432" s="494">
        <v>114</v>
      </c>
      <c r="B432" s="495" t="s">
        <v>2426</v>
      </c>
      <c r="C432" s="495" t="s">
        <v>2427</v>
      </c>
      <c r="D432" s="473" t="s">
        <v>2428</v>
      </c>
      <c r="E432" s="497"/>
      <c r="F432" s="497"/>
      <c r="G432" s="500" t="s">
        <v>213</v>
      </c>
      <c r="H432" s="473" t="s">
        <v>6644</v>
      </c>
      <c r="I432" s="473" t="s">
        <v>1103</v>
      </c>
      <c r="J432" s="498">
        <v>45602</v>
      </c>
      <c r="K432" s="473" t="s">
        <v>1263</v>
      </c>
      <c r="L432" s="497"/>
      <c r="M432" s="501" t="s">
        <v>2429</v>
      </c>
      <c r="N432" s="473" t="s">
        <v>2430</v>
      </c>
      <c r="O432" s="495" t="s">
        <v>1713</v>
      </c>
      <c r="P432" s="495" t="s">
        <v>955</v>
      </c>
      <c r="Q432" s="473">
        <v>2024</v>
      </c>
      <c r="R432" s="473" t="s">
        <v>214</v>
      </c>
      <c r="S432" s="495" t="s">
        <v>2431</v>
      </c>
      <c r="T432" s="495">
        <v>410203</v>
      </c>
      <c r="U432" s="484" t="str">
        <f>IFERROR(VLOOKUP(N432,'Thông số'!$B:$F,5,0),"")</f>
        <v/>
      </c>
    </row>
    <row r="433" ht="14.25" customHeight="1" spans="1:21">
      <c r="A433" s="494">
        <v>115</v>
      </c>
      <c r="B433" s="495" t="s">
        <v>2432</v>
      </c>
      <c r="C433" s="497"/>
      <c r="D433" s="497"/>
      <c r="E433" s="497"/>
      <c r="F433" s="497"/>
      <c r="G433" s="500" t="s">
        <v>213</v>
      </c>
      <c r="H433" s="473" t="s">
        <v>6644</v>
      </c>
      <c r="I433" s="473" t="s">
        <v>1103</v>
      </c>
      <c r="J433" s="497"/>
      <c r="K433" s="473" t="s">
        <v>1263</v>
      </c>
      <c r="L433" s="497"/>
      <c r="M433" s="501" t="s">
        <v>2429</v>
      </c>
      <c r="N433" s="473" t="s">
        <v>1714</v>
      </c>
      <c r="O433" s="500" t="s">
        <v>1713</v>
      </c>
      <c r="P433" s="495" t="s">
        <v>955</v>
      </c>
      <c r="Q433" s="473">
        <v>2024</v>
      </c>
      <c r="R433" s="473" t="s">
        <v>1715</v>
      </c>
      <c r="S433" s="495" t="s">
        <v>2433</v>
      </c>
      <c r="T433" s="495" t="s">
        <v>2434</v>
      </c>
      <c r="U433" s="484" t="str">
        <f>IFERROR(VLOOKUP(N433,'Thông số'!$B:$F,5,0),"")</f>
        <v/>
      </c>
    </row>
    <row r="434" ht="14.25" customHeight="1" spans="1:21">
      <c r="A434" s="494">
        <v>116</v>
      </c>
      <c r="B434" s="495" t="s">
        <v>2435</v>
      </c>
      <c r="C434" s="495" t="s">
        <v>2436</v>
      </c>
      <c r="D434" s="473" t="s">
        <v>2437</v>
      </c>
      <c r="E434" s="497"/>
      <c r="F434" s="497"/>
      <c r="G434" s="500" t="s">
        <v>74</v>
      </c>
      <c r="H434" s="497"/>
      <c r="I434" s="473" t="s">
        <v>1103</v>
      </c>
      <c r="J434" s="498">
        <v>45881</v>
      </c>
      <c r="K434" s="473" t="s">
        <v>1263</v>
      </c>
      <c r="L434" s="497"/>
      <c r="M434" s="501" t="s">
        <v>2438</v>
      </c>
      <c r="N434" s="473" t="s">
        <v>800</v>
      </c>
      <c r="O434" s="495" t="s">
        <v>530</v>
      </c>
      <c r="P434" s="495" t="s">
        <v>811</v>
      </c>
      <c r="Q434" s="473">
        <v>2004</v>
      </c>
      <c r="R434" s="473" t="s">
        <v>6565</v>
      </c>
      <c r="S434" s="495" t="s">
        <v>2439</v>
      </c>
      <c r="T434" s="495">
        <v>161031</v>
      </c>
      <c r="U434" s="484" t="str">
        <f>IFERROR(VLOOKUP(N434,'Thông số'!$B:$F,5,0),"")</f>
        <v>3105 x 1390 x 1700</v>
      </c>
    </row>
    <row r="435" ht="14.25" customHeight="1" spans="1:21">
      <c r="A435" s="494">
        <v>117</v>
      </c>
      <c r="B435" s="495" t="s">
        <v>841</v>
      </c>
      <c r="C435" s="497"/>
      <c r="D435" s="473" t="s">
        <v>842</v>
      </c>
      <c r="E435" s="497"/>
      <c r="F435" s="497"/>
      <c r="G435" s="500" t="s">
        <v>63</v>
      </c>
      <c r="H435" s="497"/>
      <c r="I435" s="473" t="s">
        <v>1103</v>
      </c>
      <c r="J435" s="498">
        <v>45973</v>
      </c>
      <c r="K435" s="473" t="s">
        <v>1263</v>
      </c>
      <c r="L435" s="497"/>
      <c r="M435" s="501" t="s">
        <v>6696</v>
      </c>
      <c r="N435" s="473" t="s">
        <v>845</v>
      </c>
      <c r="O435" s="495" t="s">
        <v>480</v>
      </c>
      <c r="P435" s="495" t="s">
        <v>811</v>
      </c>
      <c r="Q435" s="473">
        <v>2006</v>
      </c>
      <c r="R435" s="473" t="s">
        <v>64</v>
      </c>
      <c r="S435" s="495" t="s">
        <v>846</v>
      </c>
      <c r="T435" s="495">
        <v>30559211</v>
      </c>
      <c r="U435" s="484" t="str">
        <f>IFERROR(VLOOKUP(N435,'Thông số'!$B:$F,5,0),"")</f>
        <v>5540 x 3860 x 3150</v>
      </c>
    </row>
    <row r="436" ht="14.25" customHeight="1" spans="1:21">
      <c r="A436" s="494">
        <v>118</v>
      </c>
      <c r="B436" s="495" t="s">
        <v>2440</v>
      </c>
      <c r="C436" s="497"/>
      <c r="D436" s="473" t="s">
        <v>2441</v>
      </c>
      <c r="E436" s="497"/>
      <c r="F436" s="497"/>
      <c r="G436" s="500" t="s">
        <v>215</v>
      </c>
      <c r="H436" s="473" t="s">
        <v>6644</v>
      </c>
      <c r="I436" s="473" t="s">
        <v>1103</v>
      </c>
      <c r="J436" s="498">
        <v>45874</v>
      </c>
      <c r="K436" s="473" t="s">
        <v>1263</v>
      </c>
      <c r="L436" s="497"/>
      <c r="M436" s="501" t="s">
        <v>290</v>
      </c>
      <c r="N436" s="473" t="s">
        <v>2442</v>
      </c>
      <c r="O436" s="495" t="s">
        <v>2037</v>
      </c>
      <c r="P436" s="497"/>
      <c r="Q436" s="497"/>
      <c r="R436" s="473" t="s">
        <v>216</v>
      </c>
      <c r="S436" s="495">
        <v>20265</v>
      </c>
      <c r="T436" s="495" t="s">
        <v>2443</v>
      </c>
      <c r="U436" s="484" t="str">
        <f>IFERROR(VLOOKUP(N436,'Thông số'!$B:$F,5,0),"")</f>
        <v>6800 x 3200 x 3400</v>
      </c>
    </row>
    <row r="437" ht="14.25" customHeight="1" spans="1:21">
      <c r="A437" s="494">
        <v>119</v>
      </c>
      <c r="B437" s="495" t="s">
        <v>2444</v>
      </c>
      <c r="C437" s="497"/>
      <c r="D437" s="473" t="s">
        <v>2445</v>
      </c>
      <c r="E437" s="497"/>
      <c r="F437" s="497"/>
      <c r="G437" s="500" t="s">
        <v>217</v>
      </c>
      <c r="H437" s="473" t="s">
        <v>6644</v>
      </c>
      <c r="I437" s="473" t="s">
        <v>1103</v>
      </c>
      <c r="J437" s="498">
        <v>45874</v>
      </c>
      <c r="K437" s="473" t="s">
        <v>1263</v>
      </c>
      <c r="L437" s="497"/>
      <c r="M437" s="501" t="s">
        <v>290</v>
      </c>
      <c r="N437" s="473" t="s">
        <v>2446</v>
      </c>
      <c r="O437" s="495" t="s">
        <v>2037</v>
      </c>
      <c r="P437" s="497"/>
      <c r="Q437" s="473">
        <v>1988</v>
      </c>
      <c r="R437" s="473" t="s">
        <v>177</v>
      </c>
      <c r="S437" s="495">
        <v>701114</v>
      </c>
      <c r="T437" s="495" t="s">
        <v>2447</v>
      </c>
      <c r="U437" s="484" t="str">
        <f>IFERROR(VLOOKUP(N437,'Thông số'!$B:$F,5,0),"")</f>
        <v/>
      </c>
    </row>
    <row r="438" ht="14.25" customHeight="1" spans="1:21">
      <c r="A438" s="494">
        <v>120</v>
      </c>
      <c r="B438" s="495" t="s">
        <v>2448</v>
      </c>
      <c r="C438" s="497"/>
      <c r="D438" s="473" t="s">
        <v>2449</v>
      </c>
      <c r="E438" s="497"/>
      <c r="F438" s="497"/>
      <c r="G438" s="500" t="s">
        <v>285</v>
      </c>
      <c r="H438" s="497"/>
      <c r="I438" s="473" t="s">
        <v>1103</v>
      </c>
      <c r="J438" s="498">
        <v>45992</v>
      </c>
      <c r="K438" s="473" t="s">
        <v>1263</v>
      </c>
      <c r="L438" s="497"/>
      <c r="M438" s="501" t="s">
        <v>1146</v>
      </c>
      <c r="N438" s="473" t="s">
        <v>2451</v>
      </c>
      <c r="O438" s="495" t="s">
        <v>1323</v>
      </c>
      <c r="P438" s="495" t="s">
        <v>2450</v>
      </c>
      <c r="Q438" s="473">
        <v>2025</v>
      </c>
      <c r="R438" s="473" t="s">
        <v>2452</v>
      </c>
      <c r="S438" s="495" t="s">
        <v>462</v>
      </c>
      <c r="T438" s="495" t="s">
        <v>462</v>
      </c>
      <c r="U438" s="484" t="str">
        <f>IFERROR(VLOOKUP(N438,'Thông số'!$B:$F,5,0),"")</f>
        <v/>
      </c>
    </row>
    <row r="439" ht="14.25" customHeight="1" spans="1:21">
      <c r="A439" s="494">
        <v>121</v>
      </c>
      <c r="B439" s="495" t="s">
        <v>2453</v>
      </c>
      <c r="C439" s="497"/>
      <c r="D439" s="473" t="s">
        <v>2449</v>
      </c>
      <c r="E439" s="497"/>
      <c r="F439" s="497"/>
      <c r="G439" s="500" t="s">
        <v>285</v>
      </c>
      <c r="H439" s="497"/>
      <c r="I439" s="473" t="s">
        <v>1103</v>
      </c>
      <c r="J439" s="498">
        <v>45992</v>
      </c>
      <c r="K439" s="473" t="s">
        <v>1263</v>
      </c>
      <c r="L439" s="497"/>
      <c r="M439" s="501" t="s">
        <v>1146</v>
      </c>
      <c r="N439" s="473" t="s">
        <v>2451</v>
      </c>
      <c r="O439" s="495" t="s">
        <v>1323</v>
      </c>
      <c r="P439" s="495" t="s">
        <v>2450</v>
      </c>
      <c r="Q439" s="473">
        <v>2025</v>
      </c>
      <c r="R439" s="473" t="s">
        <v>2452</v>
      </c>
      <c r="S439" s="495" t="s">
        <v>462</v>
      </c>
      <c r="T439" s="495" t="s">
        <v>462</v>
      </c>
      <c r="U439" s="484" t="str">
        <f>IFERROR(VLOOKUP(N439,'Thông số'!$B:$F,5,0),"")</f>
        <v/>
      </c>
    </row>
    <row r="440" ht="14.25" customHeight="1" spans="1:21">
      <c r="A440" s="494">
        <v>122</v>
      </c>
      <c r="B440" s="495" t="s">
        <v>2454</v>
      </c>
      <c r="C440" s="497"/>
      <c r="D440" s="473" t="s">
        <v>2449</v>
      </c>
      <c r="E440" s="497"/>
      <c r="F440" s="497"/>
      <c r="G440" s="500" t="s">
        <v>285</v>
      </c>
      <c r="H440" s="497"/>
      <c r="I440" s="473" t="s">
        <v>1103</v>
      </c>
      <c r="J440" s="498">
        <v>45992</v>
      </c>
      <c r="K440" s="473" t="s">
        <v>1263</v>
      </c>
      <c r="L440" s="497"/>
      <c r="M440" s="501" t="s">
        <v>1146</v>
      </c>
      <c r="N440" s="473" t="s">
        <v>2451</v>
      </c>
      <c r="O440" s="495" t="s">
        <v>1323</v>
      </c>
      <c r="P440" s="495" t="s">
        <v>2450</v>
      </c>
      <c r="Q440" s="473">
        <v>2025</v>
      </c>
      <c r="R440" s="473" t="s">
        <v>2452</v>
      </c>
      <c r="S440" s="495" t="s">
        <v>462</v>
      </c>
      <c r="T440" s="495" t="s">
        <v>462</v>
      </c>
      <c r="U440" s="484" t="str">
        <f>IFERROR(VLOOKUP(N440,'Thông số'!$B:$F,5,0),"")</f>
        <v/>
      </c>
    </row>
    <row r="441" ht="14.25" customHeight="1" spans="1:21">
      <c r="A441" s="494">
        <v>123</v>
      </c>
      <c r="B441" s="495" t="s">
        <v>2455</v>
      </c>
      <c r="C441" s="497"/>
      <c r="D441" s="473" t="s">
        <v>2449</v>
      </c>
      <c r="E441" s="497"/>
      <c r="F441" s="497"/>
      <c r="G441" s="500" t="s">
        <v>285</v>
      </c>
      <c r="H441" s="497"/>
      <c r="I441" s="473" t="s">
        <v>1103</v>
      </c>
      <c r="J441" s="498">
        <v>45992</v>
      </c>
      <c r="K441" s="473" t="s">
        <v>1263</v>
      </c>
      <c r="L441" s="497"/>
      <c r="M441" s="501" t="s">
        <v>1146</v>
      </c>
      <c r="N441" s="473" t="s">
        <v>2451</v>
      </c>
      <c r="O441" s="495" t="s">
        <v>1323</v>
      </c>
      <c r="P441" s="495" t="s">
        <v>2450</v>
      </c>
      <c r="Q441" s="473">
        <v>2025</v>
      </c>
      <c r="R441" s="473" t="s">
        <v>2452</v>
      </c>
      <c r="S441" s="495" t="s">
        <v>462</v>
      </c>
      <c r="T441" s="495" t="s">
        <v>462</v>
      </c>
      <c r="U441" s="484" t="str">
        <f>IFERROR(VLOOKUP(N441,'Thông số'!$B:$F,5,0),"")</f>
        <v/>
      </c>
    </row>
    <row r="442" ht="14.25" customHeight="1" spans="1:21">
      <c r="A442" s="494">
        <v>124</v>
      </c>
      <c r="B442" s="495" t="s">
        <v>2456</v>
      </c>
      <c r="C442" s="497"/>
      <c r="D442" s="473" t="s">
        <v>2449</v>
      </c>
      <c r="E442" s="497"/>
      <c r="F442" s="497"/>
      <c r="G442" s="500" t="s">
        <v>285</v>
      </c>
      <c r="H442" s="497"/>
      <c r="I442" s="473" t="s">
        <v>1103</v>
      </c>
      <c r="J442" s="498">
        <v>45992</v>
      </c>
      <c r="K442" s="473" t="s">
        <v>1263</v>
      </c>
      <c r="L442" s="497"/>
      <c r="M442" s="501" t="s">
        <v>1146</v>
      </c>
      <c r="N442" s="473" t="s">
        <v>2451</v>
      </c>
      <c r="O442" s="495" t="s">
        <v>1323</v>
      </c>
      <c r="P442" s="495" t="s">
        <v>2450</v>
      </c>
      <c r="Q442" s="473">
        <v>2025</v>
      </c>
      <c r="R442" s="473" t="s">
        <v>2452</v>
      </c>
      <c r="S442" s="495" t="s">
        <v>462</v>
      </c>
      <c r="T442" s="495" t="s">
        <v>462</v>
      </c>
      <c r="U442" s="484" t="str">
        <f>IFERROR(VLOOKUP(N442,'Thông số'!$B:$F,5,0),"")</f>
        <v/>
      </c>
    </row>
    <row r="443" ht="14.25" customHeight="1" spans="1:21">
      <c r="A443" s="481" t="s">
        <v>2464</v>
      </c>
      <c r="B443" s="482"/>
      <c r="C443" s="483">
        <v>22</v>
      </c>
      <c r="D443" s="482"/>
      <c r="E443" s="482"/>
      <c r="F443" s="482"/>
      <c r="G443" s="482"/>
      <c r="H443" s="497"/>
      <c r="I443" s="482"/>
      <c r="J443" s="482"/>
      <c r="K443" s="482"/>
      <c r="L443" s="482"/>
      <c r="M443" s="482"/>
      <c r="N443" s="482"/>
      <c r="O443" s="482"/>
      <c r="P443" s="482"/>
      <c r="Q443" s="482"/>
      <c r="R443" s="482"/>
      <c r="S443" s="482"/>
      <c r="T443" s="482"/>
      <c r="U443" s="484" t="str">
        <f>IFERROR(VLOOKUP(N443,'Thông số'!$B:$F,5,0),"")</f>
        <v/>
      </c>
    </row>
    <row r="444" ht="14.25" customHeight="1" spans="1:21">
      <c r="A444" s="489">
        <v>1</v>
      </c>
      <c r="B444" s="490" t="s">
        <v>2465</v>
      </c>
      <c r="C444" s="490" t="s">
        <v>2466</v>
      </c>
      <c r="D444" s="470" t="s">
        <v>3396</v>
      </c>
      <c r="E444" s="470" t="s">
        <v>2467</v>
      </c>
      <c r="F444" s="490" t="s">
        <v>3396</v>
      </c>
      <c r="G444" s="490" t="s">
        <v>119</v>
      </c>
      <c r="H444" s="491"/>
      <c r="I444" s="470" t="s">
        <v>31</v>
      </c>
      <c r="J444" s="492">
        <v>43952</v>
      </c>
      <c r="K444" s="470" t="s">
        <v>1126</v>
      </c>
      <c r="L444" s="493">
        <v>0.67</v>
      </c>
      <c r="M444" s="491"/>
      <c r="N444" s="470" t="s">
        <v>2468</v>
      </c>
      <c r="O444" s="490" t="s">
        <v>499</v>
      </c>
      <c r="P444" s="490" t="s">
        <v>500</v>
      </c>
      <c r="Q444" s="470">
        <v>2012</v>
      </c>
      <c r="R444" s="470" t="s">
        <v>476</v>
      </c>
      <c r="S444" s="490">
        <v>6005</v>
      </c>
      <c r="T444" s="490">
        <v>495027</v>
      </c>
      <c r="U444" s="484" t="str">
        <f>IFERROR(VLOOKUP(N444,'Thông số'!$B:$F,5,0),"")</f>
        <v>9510 x 2450 x 2840</v>
      </c>
    </row>
    <row r="445" ht="14.25" customHeight="1" spans="1:21">
      <c r="A445" s="494">
        <v>2</v>
      </c>
      <c r="B445" s="495" t="s">
        <v>2469</v>
      </c>
      <c r="C445" s="495" t="s">
        <v>2470</v>
      </c>
      <c r="D445" s="473" t="s">
        <v>6697</v>
      </c>
      <c r="E445" s="473" t="s">
        <v>2471</v>
      </c>
      <c r="F445" s="497"/>
      <c r="G445" s="495" t="s">
        <v>119</v>
      </c>
      <c r="H445" s="497"/>
      <c r="I445" s="473" t="s">
        <v>31</v>
      </c>
      <c r="J445" s="497"/>
      <c r="K445" s="473" t="s">
        <v>1263</v>
      </c>
      <c r="L445" s="497"/>
      <c r="M445" s="497"/>
      <c r="N445" s="473" t="s">
        <v>2468</v>
      </c>
      <c r="O445" s="495" t="s">
        <v>499</v>
      </c>
      <c r="P445" s="495" t="s">
        <v>500</v>
      </c>
      <c r="Q445" s="473">
        <v>2012</v>
      </c>
      <c r="R445" s="473" t="s">
        <v>476</v>
      </c>
      <c r="S445" s="495" t="s">
        <v>2472</v>
      </c>
      <c r="T445" s="495" t="s">
        <v>462</v>
      </c>
      <c r="U445" s="484" t="str">
        <f>IFERROR(VLOOKUP(N445,'Thông số'!$B:$F,5,0),"")</f>
        <v>9510 x 2450 x 2840</v>
      </c>
    </row>
    <row r="446" ht="14.25" customHeight="1" spans="1:21">
      <c r="A446" s="489">
        <v>3</v>
      </c>
      <c r="B446" s="490" t="s">
        <v>2473</v>
      </c>
      <c r="C446" s="490" t="s">
        <v>2474</v>
      </c>
      <c r="D446" s="470" t="s">
        <v>3397</v>
      </c>
      <c r="E446" s="470" t="s">
        <v>2475</v>
      </c>
      <c r="F446" s="490" t="s">
        <v>3397</v>
      </c>
      <c r="G446" s="490" t="s">
        <v>119</v>
      </c>
      <c r="H446" s="491"/>
      <c r="I446" s="470" t="s">
        <v>31</v>
      </c>
      <c r="J446" s="492">
        <v>44114</v>
      </c>
      <c r="K446" s="470" t="s">
        <v>1126</v>
      </c>
      <c r="L446" s="493">
        <v>0.6</v>
      </c>
      <c r="M446" s="491"/>
      <c r="N446" s="470" t="s">
        <v>2468</v>
      </c>
      <c r="O446" s="490" t="s">
        <v>499</v>
      </c>
      <c r="P446" s="490" t="s">
        <v>500</v>
      </c>
      <c r="Q446" s="470">
        <v>2012</v>
      </c>
      <c r="R446" s="470" t="s">
        <v>476</v>
      </c>
      <c r="S446" s="490" t="s">
        <v>2476</v>
      </c>
      <c r="T446" s="490" t="s">
        <v>462</v>
      </c>
      <c r="U446" s="484" t="str">
        <f>IFERROR(VLOOKUP(N446,'Thông số'!$B:$F,5,0),"")</f>
        <v>9510 x 2450 x 2840</v>
      </c>
    </row>
    <row r="447" ht="14.25" customHeight="1" spans="1:21">
      <c r="A447" s="494">
        <v>4</v>
      </c>
      <c r="B447" s="495" t="s">
        <v>2477</v>
      </c>
      <c r="C447" s="495" t="s">
        <v>2477</v>
      </c>
      <c r="D447" s="473" t="s">
        <v>3398</v>
      </c>
      <c r="E447" s="497"/>
      <c r="F447" s="495" t="s">
        <v>3398</v>
      </c>
      <c r="G447" s="495" t="s">
        <v>122</v>
      </c>
      <c r="H447" s="473" t="s">
        <v>6692</v>
      </c>
      <c r="I447" s="473" t="s">
        <v>31</v>
      </c>
      <c r="J447" s="498">
        <v>44621</v>
      </c>
      <c r="K447" s="473" t="s">
        <v>1263</v>
      </c>
      <c r="L447" s="499">
        <v>0.79</v>
      </c>
      <c r="M447" s="497"/>
      <c r="N447" s="473" t="s">
        <v>2478</v>
      </c>
      <c r="O447" s="495" t="s">
        <v>621</v>
      </c>
      <c r="P447" s="495" t="s">
        <v>500</v>
      </c>
      <c r="Q447" s="473">
        <v>2021</v>
      </c>
      <c r="R447" s="473" t="s">
        <v>85</v>
      </c>
      <c r="S447" s="495" t="s">
        <v>2479</v>
      </c>
      <c r="T447" s="495" t="s">
        <v>2480</v>
      </c>
      <c r="U447" s="484" t="str">
        <f>IFERROR(VLOOKUP(N447,'Thông số'!$B:$F,5,0),"")</f>
        <v>6160 x 2330 x 2750</v>
      </c>
    </row>
    <row r="448" ht="14.25" customHeight="1" spans="1:21">
      <c r="A448" s="494">
        <v>5</v>
      </c>
      <c r="B448" s="495" t="s">
        <v>2481</v>
      </c>
      <c r="C448" s="495" t="s">
        <v>2481</v>
      </c>
      <c r="D448" s="473" t="s">
        <v>3399</v>
      </c>
      <c r="E448" s="497"/>
      <c r="F448" s="495" t="s">
        <v>3399</v>
      </c>
      <c r="G448" s="495" t="s">
        <v>122</v>
      </c>
      <c r="H448" s="473" t="s">
        <v>6692</v>
      </c>
      <c r="I448" s="473" t="s">
        <v>31</v>
      </c>
      <c r="J448" s="498">
        <v>44621</v>
      </c>
      <c r="K448" s="473" t="s">
        <v>1263</v>
      </c>
      <c r="L448" s="499">
        <v>0.79</v>
      </c>
      <c r="M448" s="497"/>
      <c r="N448" s="473" t="s">
        <v>2478</v>
      </c>
      <c r="O448" s="495" t="s">
        <v>621</v>
      </c>
      <c r="P448" s="495" t="s">
        <v>500</v>
      </c>
      <c r="Q448" s="473">
        <v>2021</v>
      </c>
      <c r="R448" s="473" t="s">
        <v>85</v>
      </c>
      <c r="S448" s="495" t="s">
        <v>2482</v>
      </c>
      <c r="T448" s="495" t="s">
        <v>2483</v>
      </c>
      <c r="U448" s="484" t="str">
        <f>IFERROR(VLOOKUP(N448,'Thông số'!$B:$F,5,0),"")</f>
        <v>6160 x 2330 x 2750</v>
      </c>
    </row>
    <row r="449" ht="14.25" customHeight="1" spans="1:21">
      <c r="A449" s="494">
        <v>6</v>
      </c>
      <c r="B449" s="495" t="s">
        <v>2484</v>
      </c>
      <c r="C449" s="495" t="s">
        <v>2484</v>
      </c>
      <c r="D449" s="473" t="s">
        <v>3400</v>
      </c>
      <c r="E449" s="497"/>
      <c r="F449" s="495" t="s">
        <v>3400</v>
      </c>
      <c r="G449" s="495" t="s">
        <v>122</v>
      </c>
      <c r="H449" s="473" t="s">
        <v>6692</v>
      </c>
      <c r="I449" s="473" t="s">
        <v>31</v>
      </c>
      <c r="J449" s="498">
        <v>44621</v>
      </c>
      <c r="K449" s="473" t="s">
        <v>1263</v>
      </c>
      <c r="L449" s="499">
        <v>0.79</v>
      </c>
      <c r="M449" s="497"/>
      <c r="N449" s="473" t="s">
        <v>2478</v>
      </c>
      <c r="O449" s="495" t="s">
        <v>621</v>
      </c>
      <c r="P449" s="495" t="s">
        <v>500</v>
      </c>
      <c r="Q449" s="473">
        <v>2021</v>
      </c>
      <c r="R449" s="473" t="s">
        <v>85</v>
      </c>
      <c r="S449" s="495" t="s">
        <v>2485</v>
      </c>
      <c r="T449" s="495" t="s">
        <v>2486</v>
      </c>
      <c r="U449" s="484" t="str">
        <f>IFERROR(VLOOKUP(N449,'Thông số'!$B:$F,5,0),"")</f>
        <v>6160 x 2330 x 2750</v>
      </c>
    </row>
    <row r="450" ht="14.25" customHeight="1" spans="1:21">
      <c r="A450" s="494">
        <v>7</v>
      </c>
      <c r="B450" s="495" t="s">
        <v>2854</v>
      </c>
      <c r="C450" s="495" t="s">
        <v>2854</v>
      </c>
      <c r="D450" s="473" t="s">
        <v>2855</v>
      </c>
      <c r="E450" s="497"/>
      <c r="F450" s="495" t="s">
        <v>2855</v>
      </c>
      <c r="G450" s="495" t="s">
        <v>122</v>
      </c>
      <c r="H450" s="473" t="s">
        <v>6692</v>
      </c>
      <c r="I450" s="473" t="s">
        <v>31</v>
      </c>
      <c r="J450" s="498">
        <v>44805</v>
      </c>
      <c r="K450" s="473" t="s">
        <v>1263</v>
      </c>
      <c r="L450" s="499">
        <v>0.76</v>
      </c>
      <c r="M450" s="497"/>
      <c r="N450" s="473" t="s">
        <v>2478</v>
      </c>
      <c r="O450" s="495" t="s">
        <v>621</v>
      </c>
      <c r="P450" s="495" t="s">
        <v>500</v>
      </c>
      <c r="Q450" s="473">
        <v>2021</v>
      </c>
      <c r="R450" s="473" t="s">
        <v>85</v>
      </c>
      <c r="S450" s="495">
        <v>49596</v>
      </c>
      <c r="T450" s="495" t="s">
        <v>462</v>
      </c>
      <c r="U450" s="484" t="str">
        <f>IFERROR(VLOOKUP(N450,'Thông số'!$B:$F,5,0),"")</f>
        <v>6160 x 2330 x 2750</v>
      </c>
    </row>
    <row r="451" ht="14.25" customHeight="1" spans="1:21">
      <c r="A451" s="489">
        <v>8</v>
      </c>
      <c r="B451" s="490" t="s">
        <v>2487</v>
      </c>
      <c r="C451" s="490" t="s">
        <v>2487</v>
      </c>
      <c r="D451" s="470" t="s">
        <v>3401</v>
      </c>
      <c r="E451" s="491"/>
      <c r="F451" s="490" t="s">
        <v>3401</v>
      </c>
      <c r="G451" s="490" t="s">
        <v>122</v>
      </c>
      <c r="H451" s="470" t="s">
        <v>6692</v>
      </c>
      <c r="I451" s="470" t="s">
        <v>31</v>
      </c>
      <c r="J451" s="492">
        <v>44805</v>
      </c>
      <c r="K451" s="470" t="s">
        <v>1126</v>
      </c>
      <c r="L451" s="493">
        <v>0.86</v>
      </c>
      <c r="M451" s="491"/>
      <c r="N451" s="470" t="s">
        <v>2478</v>
      </c>
      <c r="O451" s="490" t="s">
        <v>621</v>
      </c>
      <c r="P451" s="490" t="s">
        <v>500</v>
      </c>
      <c r="Q451" s="470">
        <v>2021</v>
      </c>
      <c r="R451" s="470" t="s">
        <v>85</v>
      </c>
      <c r="S451" s="490">
        <v>49595</v>
      </c>
      <c r="T451" s="490" t="s">
        <v>462</v>
      </c>
      <c r="U451" s="484" t="str">
        <f>IFERROR(VLOOKUP(N451,'Thông số'!$B:$F,5,0),"")</f>
        <v>6160 x 2330 x 2750</v>
      </c>
    </row>
    <row r="452" ht="14.25" customHeight="1" spans="1:21">
      <c r="A452" s="494">
        <v>9</v>
      </c>
      <c r="B452" s="495" t="s">
        <v>2488</v>
      </c>
      <c r="C452" s="495" t="s">
        <v>6698</v>
      </c>
      <c r="D452" s="473" t="s">
        <v>6699</v>
      </c>
      <c r="E452" s="497"/>
      <c r="F452" s="497"/>
      <c r="G452" s="495" t="s">
        <v>126</v>
      </c>
      <c r="H452" s="497"/>
      <c r="I452" s="473" t="s">
        <v>31</v>
      </c>
      <c r="J452" s="497"/>
      <c r="K452" s="473" t="s">
        <v>1263</v>
      </c>
      <c r="L452" s="497"/>
      <c r="M452" s="497"/>
      <c r="N452" s="497"/>
      <c r="O452" s="495" t="s">
        <v>508</v>
      </c>
      <c r="P452" s="497"/>
      <c r="Q452" s="497"/>
      <c r="R452" s="497"/>
      <c r="S452" s="495">
        <v>63965</v>
      </c>
      <c r="T452" s="495" t="s">
        <v>462</v>
      </c>
      <c r="U452" s="484" t="str">
        <f>IFERROR(VLOOKUP(N452,'Thông số'!$B:$F,5,0),"")</f>
        <v/>
      </c>
    </row>
    <row r="453" ht="14.25" customHeight="1" spans="1:21">
      <c r="A453" s="494">
        <v>10</v>
      </c>
      <c r="B453" s="495" t="s">
        <v>2492</v>
      </c>
      <c r="C453" s="495" t="s">
        <v>2493</v>
      </c>
      <c r="D453" s="473" t="s">
        <v>6700</v>
      </c>
      <c r="E453" s="497"/>
      <c r="F453" s="497"/>
      <c r="G453" s="495" t="s">
        <v>126</v>
      </c>
      <c r="H453" s="497"/>
      <c r="I453" s="473" t="s">
        <v>31</v>
      </c>
      <c r="J453" s="497"/>
      <c r="K453" s="473" t="s">
        <v>1263</v>
      </c>
      <c r="L453" s="497"/>
      <c r="M453" s="497"/>
      <c r="N453" s="497"/>
      <c r="O453" s="495" t="s">
        <v>508</v>
      </c>
      <c r="P453" s="497"/>
      <c r="Q453" s="497"/>
      <c r="R453" s="497"/>
      <c r="S453" s="495">
        <v>933513</v>
      </c>
      <c r="T453" s="495" t="s">
        <v>462</v>
      </c>
      <c r="U453" s="484" t="str">
        <f>IFERROR(VLOOKUP(N453,'Thông số'!$B:$F,5,0),"")</f>
        <v/>
      </c>
    </row>
    <row r="454" ht="14.25" customHeight="1" spans="1:21">
      <c r="A454" s="494">
        <v>11</v>
      </c>
      <c r="B454" s="495" t="s">
        <v>2494</v>
      </c>
      <c r="C454" s="495" t="s">
        <v>2494</v>
      </c>
      <c r="D454" s="473" t="s">
        <v>3450</v>
      </c>
      <c r="E454" s="497"/>
      <c r="F454" s="495" t="s">
        <v>3450</v>
      </c>
      <c r="G454" s="495" t="s">
        <v>135</v>
      </c>
      <c r="H454" s="497"/>
      <c r="I454" s="473" t="s">
        <v>31</v>
      </c>
      <c r="J454" s="497"/>
      <c r="K454" s="473" t="s">
        <v>1263</v>
      </c>
      <c r="L454" s="497"/>
      <c r="M454" s="497"/>
      <c r="N454" s="473" t="s">
        <v>501</v>
      </c>
      <c r="O454" s="495" t="s">
        <v>6701</v>
      </c>
      <c r="P454" s="495" t="s">
        <v>500</v>
      </c>
      <c r="Q454" s="473">
        <v>2018</v>
      </c>
      <c r="R454" s="497"/>
      <c r="S454" s="495" t="s">
        <v>2495</v>
      </c>
      <c r="T454" s="495" t="s">
        <v>462</v>
      </c>
      <c r="U454" s="484" t="str">
        <f>IFERROR(VLOOKUP(N454,'Thông số'!$B:$F,5,0),"")</f>
        <v>9290 x 2500 x 3370</v>
      </c>
    </row>
    <row r="455" ht="14.25" customHeight="1" spans="1:21">
      <c r="A455" s="494">
        <v>12</v>
      </c>
      <c r="B455" s="495" t="s">
        <v>2496</v>
      </c>
      <c r="C455" s="495" t="s">
        <v>2496</v>
      </c>
      <c r="D455" s="473" t="s">
        <v>3450</v>
      </c>
      <c r="E455" s="497"/>
      <c r="F455" s="495" t="s">
        <v>3450</v>
      </c>
      <c r="G455" s="495" t="s">
        <v>135</v>
      </c>
      <c r="H455" s="497"/>
      <c r="I455" s="473" t="s">
        <v>31</v>
      </c>
      <c r="J455" s="498">
        <v>44228</v>
      </c>
      <c r="K455" s="473" t="s">
        <v>1263</v>
      </c>
      <c r="L455" s="499">
        <v>0.68</v>
      </c>
      <c r="M455" s="497"/>
      <c r="N455" s="473" t="s">
        <v>501</v>
      </c>
      <c r="O455" s="495" t="s">
        <v>499</v>
      </c>
      <c r="P455" s="495" t="s">
        <v>500</v>
      </c>
      <c r="Q455" s="473">
        <v>2018</v>
      </c>
      <c r="R455" s="473" t="s">
        <v>105</v>
      </c>
      <c r="S455" s="495" t="s">
        <v>2497</v>
      </c>
      <c r="T455" s="495" t="s">
        <v>2498</v>
      </c>
      <c r="U455" s="484" t="str">
        <f>IFERROR(VLOOKUP(N455,'Thông số'!$B:$F,5,0),"")</f>
        <v>9290 x 2500 x 3370</v>
      </c>
    </row>
    <row r="456" ht="14.25" customHeight="1" spans="1:21">
      <c r="A456" s="494">
        <v>13</v>
      </c>
      <c r="B456" s="495" t="s">
        <v>2499</v>
      </c>
      <c r="C456" s="495" t="s">
        <v>2500</v>
      </c>
      <c r="D456" s="473" t="s">
        <v>3452</v>
      </c>
      <c r="E456" s="473" t="s">
        <v>2501</v>
      </c>
      <c r="F456" s="495" t="s">
        <v>3452</v>
      </c>
      <c r="G456" s="495" t="s">
        <v>142</v>
      </c>
      <c r="H456" s="497"/>
      <c r="I456" s="473" t="s">
        <v>31</v>
      </c>
      <c r="J456" s="497"/>
      <c r="K456" s="473" t="s">
        <v>1263</v>
      </c>
      <c r="L456" s="497"/>
      <c r="M456" s="497"/>
      <c r="N456" s="473" t="s">
        <v>2502</v>
      </c>
      <c r="O456" s="495" t="s">
        <v>621</v>
      </c>
      <c r="P456" s="495" t="s">
        <v>500</v>
      </c>
      <c r="Q456" s="473">
        <v>2020</v>
      </c>
      <c r="R456" s="473" t="s">
        <v>85</v>
      </c>
      <c r="S456" s="495" t="s">
        <v>2503</v>
      </c>
      <c r="T456" s="495" t="s">
        <v>462</v>
      </c>
      <c r="U456" s="484" t="str">
        <f>IFERROR(VLOOKUP(N456,'Thông số'!$B:$F,5,0),"")</f>
        <v>6170 x 2330 x 2750</v>
      </c>
    </row>
    <row r="457" ht="14.25" customHeight="1" spans="1:21">
      <c r="A457" s="494">
        <v>11</v>
      </c>
      <c r="B457" s="495" t="s">
        <v>2504</v>
      </c>
      <c r="C457" s="495" t="s">
        <v>2505</v>
      </c>
      <c r="D457" s="473" t="s">
        <v>3388</v>
      </c>
      <c r="E457" s="497"/>
      <c r="F457" s="497"/>
      <c r="G457" s="495" t="s">
        <v>130</v>
      </c>
      <c r="H457" s="497"/>
      <c r="I457" s="473" t="s">
        <v>31</v>
      </c>
      <c r="J457" s="498">
        <v>44228</v>
      </c>
      <c r="K457" s="473" t="s">
        <v>1263</v>
      </c>
      <c r="L457" s="497"/>
      <c r="M457" s="501" t="s">
        <v>6702</v>
      </c>
      <c r="N457" s="473" t="s">
        <v>501</v>
      </c>
      <c r="O457" s="495" t="s">
        <v>499</v>
      </c>
      <c r="P457" s="495" t="s">
        <v>500</v>
      </c>
      <c r="Q457" s="473">
        <v>2018</v>
      </c>
      <c r="R457" s="473" t="s">
        <v>105</v>
      </c>
      <c r="S457" s="495" t="s">
        <v>2507</v>
      </c>
      <c r="T457" s="495" t="s">
        <v>462</v>
      </c>
      <c r="U457" s="484" t="str">
        <f>IFERROR(VLOOKUP(N457,'Thông số'!$B:$F,5,0),"")</f>
        <v>9290 x 2500 x 3370</v>
      </c>
    </row>
    <row r="458" ht="14.25" customHeight="1" spans="1:21">
      <c r="A458" s="494">
        <v>14</v>
      </c>
      <c r="B458" s="495" t="s">
        <v>3250</v>
      </c>
      <c r="C458" s="497"/>
      <c r="D458" s="473" t="s">
        <v>6703</v>
      </c>
      <c r="E458" s="497"/>
      <c r="F458" s="497"/>
      <c r="G458" s="495" t="s">
        <v>269</v>
      </c>
      <c r="H458" s="497"/>
      <c r="I458" s="473" t="s">
        <v>31</v>
      </c>
      <c r="J458" s="498">
        <v>45315</v>
      </c>
      <c r="K458" s="473" t="s">
        <v>1263</v>
      </c>
      <c r="L458" s="497"/>
      <c r="M458" s="497"/>
      <c r="N458" s="473" t="s">
        <v>3252</v>
      </c>
      <c r="O458" s="495" t="s">
        <v>1019</v>
      </c>
      <c r="P458" s="495" t="s">
        <v>500</v>
      </c>
      <c r="Q458" s="473">
        <v>2006</v>
      </c>
      <c r="R458" s="473" t="s">
        <v>3253</v>
      </c>
      <c r="S458" s="495" t="s">
        <v>3254</v>
      </c>
      <c r="T458" s="495" t="s">
        <v>3255</v>
      </c>
      <c r="U458" s="484" t="str">
        <f>IFERROR(VLOOKUP(N458,'Thông số'!$B:$F,5,0),"")</f>
        <v/>
      </c>
    </row>
    <row r="459" ht="14.25" customHeight="1" spans="1:21">
      <c r="A459" s="494">
        <v>15</v>
      </c>
      <c r="B459" s="495" t="s">
        <v>3256</v>
      </c>
      <c r="C459" s="497"/>
      <c r="D459" s="473" t="s">
        <v>6704</v>
      </c>
      <c r="E459" s="497"/>
      <c r="F459" s="497"/>
      <c r="G459" s="495" t="s">
        <v>269</v>
      </c>
      <c r="H459" s="497"/>
      <c r="I459" s="473" t="s">
        <v>31</v>
      </c>
      <c r="J459" s="498">
        <v>45315</v>
      </c>
      <c r="K459" s="473" t="s">
        <v>1263</v>
      </c>
      <c r="L459" s="497"/>
      <c r="M459" s="497"/>
      <c r="N459" s="473" t="s">
        <v>3252</v>
      </c>
      <c r="O459" s="495" t="s">
        <v>1019</v>
      </c>
      <c r="P459" s="495" t="s">
        <v>500</v>
      </c>
      <c r="Q459" s="473">
        <v>2006</v>
      </c>
      <c r="R459" s="473" t="s">
        <v>3253</v>
      </c>
      <c r="S459" s="495" t="s">
        <v>3257</v>
      </c>
      <c r="T459" s="495" t="s">
        <v>3258</v>
      </c>
      <c r="U459" s="484" t="str">
        <f>IFERROR(VLOOKUP(N459,'Thông số'!$B:$F,5,0),"")</f>
        <v/>
      </c>
    </row>
    <row r="460" ht="14.25" customHeight="1" spans="1:21">
      <c r="A460" s="494">
        <v>16</v>
      </c>
      <c r="B460" s="522" t="s">
        <v>2514</v>
      </c>
      <c r="C460" s="522" t="s">
        <v>2515</v>
      </c>
      <c r="D460" s="473" t="s">
        <v>6705</v>
      </c>
      <c r="E460" s="523"/>
      <c r="F460" s="523"/>
      <c r="G460" s="522" t="s">
        <v>154</v>
      </c>
      <c r="H460" s="497"/>
      <c r="I460" s="524" t="s">
        <v>31</v>
      </c>
      <c r="J460" s="523"/>
      <c r="K460" s="523"/>
      <c r="L460" s="523"/>
      <c r="M460" s="523"/>
      <c r="N460" s="524" t="s">
        <v>2518</v>
      </c>
      <c r="O460" s="522" t="s">
        <v>2517</v>
      </c>
      <c r="P460" s="523"/>
      <c r="Q460" s="523"/>
      <c r="R460" s="524" t="s">
        <v>141</v>
      </c>
      <c r="S460" s="522" t="s">
        <v>2519</v>
      </c>
      <c r="T460" s="523"/>
      <c r="U460" s="484" t="str">
        <f>IFERROR(VLOOKUP(N460,'Thông số'!$B:$F,5,0),"")</f>
        <v/>
      </c>
    </row>
    <row r="461" ht="14.25" customHeight="1" spans="1:21">
      <c r="A461" s="494">
        <v>17</v>
      </c>
      <c r="B461" s="522" t="s">
        <v>2520</v>
      </c>
      <c r="C461" s="522" t="s">
        <v>2521</v>
      </c>
      <c r="D461" s="473" t="s">
        <v>6706</v>
      </c>
      <c r="E461" s="523"/>
      <c r="F461" s="523"/>
      <c r="G461" s="522" t="s">
        <v>154</v>
      </c>
      <c r="H461" s="497"/>
      <c r="I461" s="524" t="s">
        <v>31</v>
      </c>
      <c r="J461" s="523"/>
      <c r="K461" s="523"/>
      <c r="L461" s="523"/>
      <c r="M461" s="523"/>
      <c r="N461" s="524" t="s">
        <v>2518</v>
      </c>
      <c r="O461" s="522" t="s">
        <v>2517</v>
      </c>
      <c r="P461" s="523"/>
      <c r="Q461" s="523"/>
      <c r="R461" s="524" t="s">
        <v>141</v>
      </c>
      <c r="S461" s="522" t="s">
        <v>2522</v>
      </c>
      <c r="T461" s="523"/>
      <c r="U461" s="484" t="str">
        <f>IFERROR(VLOOKUP(N461,'Thông số'!$B:$F,5,0),"")</f>
        <v/>
      </c>
    </row>
    <row r="462" ht="14.25" customHeight="1" spans="1:21">
      <c r="A462" s="494">
        <v>18</v>
      </c>
      <c r="B462" s="522" t="s">
        <v>2523</v>
      </c>
      <c r="C462" s="522" t="s">
        <v>2524</v>
      </c>
      <c r="D462" s="473" t="s">
        <v>6707</v>
      </c>
      <c r="E462" s="523"/>
      <c r="F462" s="523"/>
      <c r="G462" s="522" t="s">
        <v>154</v>
      </c>
      <c r="H462" s="497"/>
      <c r="I462" s="524" t="s">
        <v>31</v>
      </c>
      <c r="J462" s="523"/>
      <c r="K462" s="523"/>
      <c r="L462" s="523"/>
      <c r="M462" s="523"/>
      <c r="N462" s="524" t="s">
        <v>2518</v>
      </c>
      <c r="O462" s="522" t="s">
        <v>2517</v>
      </c>
      <c r="P462" s="523"/>
      <c r="Q462" s="523"/>
      <c r="R462" s="524" t="s">
        <v>141</v>
      </c>
      <c r="S462" s="522" t="s">
        <v>2525</v>
      </c>
      <c r="T462" s="523"/>
      <c r="U462" s="484" t="str">
        <f>IFERROR(VLOOKUP(N462,'Thông số'!$B:$F,5,0),"")</f>
        <v/>
      </c>
    </row>
    <row r="463" ht="14.25" customHeight="1" spans="1:21">
      <c r="A463" s="494">
        <v>19</v>
      </c>
      <c r="B463" s="522" t="s">
        <v>2526</v>
      </c>
      <c r="C463" s="522" t="s">
        <v>2527</v>
      </c>
      <c r="D463" s="473" t="s">
        <v>6708</v>
      </c>
      <c r="E463" s="523"/>
      <c r="F463" s="523"/>
      <c r="G463" s="522" t="s">
        <v>154</v>
      </c>
      <c r="H463" s="497"/>
      <c r="I463" s="524" t="s">
        <v>31</v>
      </c>
      <c r="J463" s="523"/>
      <c r="K463" s="523"/>
      <c r="L463" s="523"/>
      <c r="M463" s="523"/>
      <c r="N463" s="524" t="s">
        <v>2518</v>
      </c>
      <c r="O463" s="522" t="s">
        <v>2517</v>
      </c>
      <c r="P463" s="523"/>
      <c r="Q463" s="523"/>
      <c r="R463" s="524" t="s">
        <v>141</v>
      </c>
      <c r="S463" s="522" t="s">
        <v>2528</v>
      </c>
      <c r="T463" s="523"/>
      <c r="U463" s="484" t="str">
        <f>IFERROR(VLOOKUP(N463,'Thông số'!$B:$F,5,0),"")</f>
        <v/>
      </c>
    </row>
    <row r="464" ht="14.25" customHeight="1" spans="1:21">
      <c r="A464" s="494">
        <v>20</v>
      </c>
      <c r="B464" s="522" t="s">
        <v>2529</v>
      </c>
      <c r="C464" s="522" t="s">
        <v>2530</v>
      </c>
      <c r="D464" s="473" t="s">
        <v>6709</v>
      </c>
      <c r="E464" s="523"/>
      <c r="F464" s="523"/>
      <c r="G464" s="522" t="s">
        <v>154</v>
      </c>
      <c r="H464" s="497"/>
      <c r="I464" s="524" t="s">
        <v>31</v>
      </c>
      <c r="J464" s="523"/>
      <c r="K464" s="523"/>
      <c r="L464" s="523"/>
      <c r="M464" s="523"/>
      <c r="N464" s="524" t="s">
        <v>2518</v>
      </c>
      <c r="O464" s="522" t="s">
        <v>2517</v>
      </c>
      <c r="P464" s="523"/>
      <c r="Q464" s="523"/>
      <c r="R464" s="524" t="s">
        <v>141</v>
      </c>
      <c r="S464" s="522" t="s">
        <v>2531</v>
      </c>
      <c r="T464" s="523"/>
      <c r="U464" s="484" t="str">
        <f>IFERROR(VLOOKUP(N464,'Thông số'!$B:$F,5,0),"")</f>
        <v/>
      </c>
    </row>
    <row r="465" ht="14.25" customHeight="1" spans="1:21">
      <c r="A465" s="494">
        <v>21</v>
      </c>
      <c r="B465" s="522" t="s">
        <v>2532</v>
      </c>
      <c r="C465" s="522" t="s">
        <v>2533</v>
      </c>
      <c r="D465" s="473" t="s">
        <v>6710</v>
      </c>
      <c r="E465" s="523"/>
      <c r="F465" s="523"/>
      <c r="G465" s="522" t="s">
        <v>154</v>
      </c>
      <c r="H465" s="497"/>
      <c r="I465" s="524" t="s">
        <v>31</v>
      </c>
      <c r="J465" s="523"/>
      <c r="K465" s="523"/>
      <c r="L465" s="523"/>
      <c r="M465" s="523"/>
      <c r="N465" s="524" t="s">
        <v>2518</v>
      </c>
      <c r="O465" s="522" t="s">
        <v>2517</v>
      </c>
      <c r="P465" s="523"/>
      <c r="Q465" s="523"/>
      <c r="R465" s="524" t="s">
        <v>141</v>
      </c>
      <c r="S465" s="522" t="s">
        <v>2534</v>
      </c>
      <c r="T465" s="522" t="s">
        <v>2535</v>
      </c>
      <c r="U465" s="484" t="str">
        <f>IFERROR(VLOOKUP(N465,'Thông số'!$B:$F,5,0),"")</f>
        <v/>
      </c>
    </row>
    <row r="466" ht="14.25" customHeight="1" spans="1:21">
      <c r="A466" s="481" t="s">
        <v>2537</v>
      </c>
      <c r="B466" s="482"/>
      <c r="C466" s="483">
        <v>12</v>
      </c>
      <c r="D466" s="482"/>
      <c r="E466" s="482"/>
      <c r="F466" s="482"/>
      <c r="G466" s="482"/>
      <c r="H466" s="497"/>
      <c r="I466" s="482"/>
      <c r="J466" s="482"/>
      <c r="K466" s="482"/>
      <c r="L466" s="482"/>
      <c r="M466" s="482"/>
      <c r="N466" s="482"/>
      <c r="O466" s="482"/>
      <c r="P466" s="482"/>
      <c r="Q466" s="482"/>
      <c r="R466" s="482"/>
      <c r="S466" s="482"/>
      <c r="T466" s="482"/>
      <c r="U466" s="484" t="str">
        <f>IFERROR(VLOOKUP(N466,'Thông số'!$B:$F,5,0),"")</f>
        <v/>
      </c>
    </row>
    <row r="467" ht="14.25" customHeight="1" spans="1:21">
      <c r="A467" s="489">
        <v>1</v>
      </c>
      <c r="B467" s="490" t="s">
        <v>2538</v>
      </c>
      <c r="C467" s="490" t="s">
        <v>2538</v>
      </c>
      <c r="D467" s="470" t="s">
        <v>3438</v>
      </c>
      <c r="E467" s="491"/>
      <c r="F467" s="490" t="s">
        <v>3438</v>
      </c>
      <c r="G467" s="490" t="s">
        <v>140</v>
      </c>
      <c r="H467" s="491"/>
      <c r="I467" s="470" t="s">
        <v>32</v>
      </c>
      <c r="J467" s="492">
        <v>44197</v>
      </c>
      <c r="K467" s="470" t="s">
        <v>1126</v>
      </c>
      <c r="L467" s="493">
        <v>0.67</v>
      </c>
      <c r="M467" s="491"/>
      <c r="N467" s="470" t="s">
        <v>2539</v>
      </c>
      <c r="O467" s="490" t="s">
        <v>1267</v>
      </c>
      <c r="P467" s="490" t="s">
        <v>465</v>
      </c>
      <c r="Q467" s="470">
        <v>2017</v>
      </c>
      <c r="R467" s="470" t="s">
        <v>141</v>
      </c>
      <c r="S467" s="490" t="s">
        <v>2540</v>
      </c>
      <c r="T467" s="490" t="s">
        <v>2541</v>
      </c>
      <c r="U467" s="484" t="str">
        <f>IFERROR(VLOOKUP(N467,'Thông số'!$B:$F,5,0),"")</f>
        <v>8310 x 2495 x 3600</v>
      </c>
    </row>
    <row r="468" ht="14.25" customHeight="1" spans="1:21">
      <c r="A468" s="489">
        <v>2</v>
      </c>
      <c r="B468" s="490" t="s">
        <v>2542</v>
      </c>
      <c r="C468" s="490" t="s">
        <v>2542</v>
      </c>
      <c r="D468" s="470" t="s">
        <v>3440</v>
      </c>
      <c r="E468" s="491"/>
      <c r="F468" s="490" t="s">
        <v>3440</v>
      </c>
      <c r="G468" s="490" t="s">
        <v>140</v>
      </c>
      <c r="H468" s="491"/>
      <c r="I468" s="470" t="s">
        <v>32</v>
      </c>
      <c r="J468" s="492">
        <v>44197</v>
      </c>
      <c r="K468" s="470" t="s">
        <v>1126</v>
      </c>
      <c r="L468" s="493">
        <v>0.67</v>
      </c>
      <c r="M468" s="491"/>
      <c r="N468" s="470" t="s">
        <v>2539</v>
      </c>
      <c r="O468" s="490" t="s">
        <v>1267</v>
      </c>
      <c r="P468" s="490" t="s">
        <v>465</v>
      </c>
      <c r="Q468" s="470">
        <v>2017</v>
      </c>
      <c r="R468" s="470" t="s">
        <v>141</v>
      </c>
      <c r="S468" s="490" t="s">
        <v>2543</v>
      </c>
      <c r="T468" s="490" t="s">
        <v>2544</v>
      </c>
      <c r="U468" s="484" t="str">
        <f>IFERROR(VLOOKUP(N468,'Thông số'!$B:$F,5,0),"")</f>
        <v>8310 x 2495 x 3600</v>
      </c>
    </row>
    <row r="469" ht="14.25" customHeight="1" spans="1:21">
      <c r="A469" s="494">
        <v>3</v>
      </c>
      <c r="B469" s="495" t="s">
        <v>2545</v>
      </c>
      <c r="C469" s="495" t="s">
        <v>2545</v>
      </c>
      <c r="D469" s="473" t="s">
        <v>3441</v>
      </c>
      <c r="E469" s="497"/>
      <c r="F469" s="495" t="s">
        <v>3441</v>
      </c>
      <c r="G469" s="495" t="s">
        <v>140</v>
      </c>
      <c r="H469" s="497"/>
      <c r="I469" s="473" t="s">
        <v>32</v>
      </c>
      <c r="J469" s="498">
        <v>44197</v>
      </c>
      <c r="K469" s="473" t="s">
        <v>1263</v>
      </c>
      <c r="L469" s="499">
        <v>0.67</v>
      </c>
      <c r="M469" s="497"/>
      <c r="N469" s="473" t="s">
        <v>2539</v>
      </c>
      <c r="O469" s="495" t="s">
        <v>1267</v>
      </c>
      <c r="P469" s="495" t="s">
        <v>465</v>
      </c>
      <c r="Q469" s="473">
        <v>2017</v>
      </c>
      <c r="R469" s="473" t="s">
        <v>141</v>
      </c>
      <c r="S469" s="495" t="s">
        <v>2546</v>
      </c>
      <c r="T469" s="495" t="s">
        <v>2547</v>
      </c>
      <c r="U469" s="484" t="str">
        <f>IFERROR(VLOOKUP(N469,'Thông số'!$B:$F,5,0),"")</f>
        <v>8310 x 2495 x 3600</v>
      </c>
    </row>
    <row r="470" ht="14.25" customHeight="1" spans="1:21">
      <c r="A470" s="489">
        <v>4</v>
      </c>
      <c r="B470" s="490" t="s">
        <v>2548</v>
      </c>
      <c r="C470" s="490" t="s">
        <v>2548</v>
      </c>
      <c r="D470" s="470" t="s">
        <v>3442</v>
      </c>
      <c r="E470" s="491"/>
      <c r="F470" s="490" t="s">
        <v>3442</v>
      </c>
      <c r="G470" s="490" t="s">
        <v>138</v>
      </c>
      <c r="H470" s="491"/>
      <c r="I470" s="470" t="s">
        <v>32</v>
      </c>
      <c r="J470" s="492">
        <v>44197</v>
      </c>
      <c r="K470" s="470" t="s">
        <v>1126</v>
      </c>
      <c r="L470" s="493">
        <v>0.68</v>
      </c>
      <c r="M470" s="491"/>
      <c r="N470" s="470" t="s">
        <v>2550</v>
      </c>
      <c r="O470" s="490" t="s">
        <v>2549</v>
      </c>
      <c r="P470" s="490" t="s">
        <v>1140</v>
      </c>
      <c r="Q470" s="470">
        <v>2018</v>
      </c>
      <c r="R470" s="470" t="s">
        <v>139</v>
      </c>
      <c r="S470" s="490" t="s">
        <v>2551</v>
      </c>
      <c r="T470" s="490" t="s">
        <v>2552</v>
      </c>
      <c r="U470" s="484" t="str">
        <f>IFERROR(VLOOKUP(N470,'Thông số'!$B:$F,5,0),"")</f>
        <v>9830 x 2530 x 4000</v>
      </c>
    </row>
    <row r="471" ht="14.25" customHeight="1" spans="1:21">
      <c r="A471" s="494">
        <v>5</v>
      </c>
      <c r="B471" s="495" t="s">
        <v>2553</v>
      </c>
      <c r="C471" s="497"/>
      <c r="D471" s="473" t="s">
        <v>3443</v>
      </c>
      <c r="E471" s="473" t="s">
        <v>2554</v>
      </c>
      <c r="F471" s="495" t="s">
        <v>3443</v>
      </c>
      <c r="G471" s="495" t="s">
        <v>136</v>
      </c>
      <c r="H471" s="497"/>
      <c r="I471" s="473" t="s">
        <v>32</v>
      </c>
      <c r="J471" s="498">
        <v>45277</v>
      </c>
      <c r="K471" s="473" t="s">
        <v>1263</v>
      </c>
      <c r="L471" s="499">
        <v>0.98</v>
      </c>
      <c r="M471" s="497"/>
      <c r="N471" s="473" t="s">
        <v>2557</v>
      </c>
      <c r="O471" s="495" t="s">
        <v>2556</v>
      </c>
      <c r="P471" s="495" t="s">
        <v>1140</v>
      </c>
      <c r="Q471" s="473">
        <v>2023</v>
      </c>
      <c r="R471" s="473" t="s">
        <v>2558</v>
      </c>
      <c r="S471" s="495" t="s">
        <v>2559</v>
      </c>
      <c r="T471" s="495" t="s">
        <v>2560</v>
      </c>
      <c r="U471" s="484" t="str">
        <f>IFERROR(VLOOKUP(N471,'Thông số'!$B:$F,5,0),"")</f>
        <v>9270 x 2500 x 3860</v>
      </c>
    </row>
    <row r="472" ht="14.25" customHeight="1" spans="1:21">
      <c r="A472" s="494">
        <v>6</v>
      </c>
      <c r="B472" s="495" t="s">
        <v>2561</v>
      </c>
      <c r="C472" s="497"/>
      <c r="D472" s="473" t="s">
        <v>3444</v>
      </c>
      <c r="E472" s="473" t="s">
        <v>2562</v>
      </c>
      <c r="F472" s="495" t="s">
        <v>3444</v>
      </c>
      <c r="G472" s="495" t="s">
        <v>136</v>
      </c>
      <c r="H472" s="497"/>
      <c r="I472" s="473" t="s">
        <v>32</v>
      </c>
      <c r="J472" s="498">
        <v>45268</v>
      </c>
      <c r="K472" s="473" t="s">
        <v>1263</v>
      </c>
      <c r="L472" s="499">
        <v>0.98</v>
      </c>
      <c r="M472" s="497"/>
      <c r="N472" s="473" t="s">
        <v>2557</v>
      </c>
      <c r="O472" s="495" t="s">
        <v>2556</v>
      </c>
      <c r="P472" s="495" t="s">
        <v>1140</v>
      </c>
      <c r="Q472" s="473">
        <v>2023</v>
      </c>
      <c r="R472" s="473" t="s">
        <v>2558</v>
      </c>
      <c r="S472" s="495" t="s">
        <v>2563</v>
      </c>
      <c r="T472" s="495" t="s">
        <v>2564</v>
      </c>
      <c r="U472" s="484" t="str">
        <f>IFERROR(VLOOKUP(N472,'Thông số'!$B:$F,5,0),"")</f>
        <v>9270 x 2500 x 3860</v>
      </c>
    </row>
    <row r="473" ht="14.25" customHeight="1" spans="1:21">
      <c r="A473" s="494">
        <v>7</v>
      </c>
      <c r="B473" s="495" t="s">
        <v>2565</v>
      </c>
      <c r="C473" s="497"/>
      <c r="D473" s="473" t="s">
        <v>3445</v>
      </c>
      <c r="E473" s="473" t="s">
        <v>2566</v>
      </c>
      <c r="F473" s="495" t="s">
        <v>3445</v>
      </c>
      <c r="G473" s="495" t="s">
        <v>136</v>
      </c>
      <c r="H473" s="497"/>
      <c r="I473" s="473" t="s">
        <v>32</v>
      </c>
      <c r="J473" s="498">
        <v>45268</v>
      </c>
      <c r="K473" s="473" t="s">
        <v>1263</v>
      </c>
      <c r="L473" s="499">
        <v>0.98</v>
      </c>
      <c r="M473" s="497"/>
      <c r="N473" s="473" t="s">
        <v>2557</v>
      </c>
      <c r="O473" s="495" t="s">
        <v>2556</v>
      </c>
      <c r="P473" s="495" t="s">
        <v>1140</v>
      </c>
      <c r="Q473" s="473">
        <v>2023</v>
      </c>
      <c r="R473" s="473" t="s">
        <v>2558</v>
      </c>
      <c r="S473" s="495" t="s">
        <v>2567</v>
      </c>
      <c r="T473" s="495" t="s">
        <v>2568</v>
      </c>
      <c r="U473" s="484" t="str">
        <f>IFERROR(VLOOKUP(N473,'Thông số'!$B:$F,5,0),"")</f>
        <v>9270 x 2500 x 3860</v>
      </c>
    </row>
    <row r="474" ht="14.25" customHeight="1" spans="1:21">
      <c r="A474" s="494">
        <v>8</v>
      </c>
      <c r="B474" s="495" t="s">
        <v>2569</v>
      </c>
      <c r="C474" s="497"/>
      <c r="D474" s="473" t="s">
        <v>3446</v>
      </c>
      <c r="E474" s="473" t="s">
        <v>2570</v>
      </c>
      <c r="F474" s="495" t="s">
        <v>3446</v>
      </c>
      <c r="G474" s="495" t="s">
        <v>136</v>
      </c>
      <c r="H474" s="497"/>
      <c r="I474" s="473" t="s">
        <v>32</v>
      </c>
      <c r="J474" s="498">
        <v>45268</v>
      </c>
      <c r="K474" s="473" t="s">
        <v>1263</v>
      </c>
      <c r="L474" s="499">
        <v>0.98</v>
      </c>
      <c r="M474" s="497"/>
      <c r="N474" s="473" t="s">
        <v>2557</v>
      </c>
      <c r="O474" s="495" t="s">
        <v>2556</v>
      </c>
      <c r="P474" s="495" t="s">
        <v>1140</v>
      </c>
      <c r="Q474" s="473">
        <v>2023</v>
      </c>
      <c r="R474" s="473" t="s">
        <v>2558</v>
      </c>
      <c r="S474" s="495" t="s">
        <v>2571</v>
      </c>
      <c r="T474" s="495" t="s">
        <v>2572</v>
      </c>
      <c r="U474" s="484" t="str">
        <f>IFERROR(VLOOKUP(N474,'Thông số'!$B:$F,5,0),"")</f>
        <v>9270 x 2500 x 3860</v>
      </c>
    </row>
    <row r="475" ht="14.25" customHeight="1" spans="1:21">
      <c r="A475" s="494">
        <v>9</v>
      </c>
      <c r="B475" s="495" t="s">
        <v>2573</v>
      </c>
      <c r="C475" s="497"/>
      <c r="D475" s="473" t="s">
        <v>3447</v>
      </c>
      <c r="E475" s="473" t="s">
        <v>2574</v>
      </c>
      <c r="F475" s="495" t="s">
        <v>3447</v>
      </c>
      <c r="G475" s="495" t="s">
        <v>136</v>
      </c>
      <c r="H475" s="497"/>
      <c r="I475" s="473" t="s">
        <v>32</v>
      </c>
      <c r="J475" s="498">
        <v>45268</v>
      </c>
      <c r="K475" s="473" t="s">
        <v>1263</v>
      </c>
      <c r="L475" s="499">
        <v>0.98</v>
      </c>
      <c r="M475" s="497"/>
      <c r="N475" s="473" t="s">
        <v>2557</v>
      </c>
      <c r="O475" s="495" t="s">
        <v>2556</v>
      </c>
      <c r="P475" s="495" t="s">
        <v>1140</v>
      </c>
      <c r="Q475" s="473">
        <v>2023</v>
      </c>
      <c r="R475" s="473" t="s">
        <v>2558</v>
      </c>
      <c r="S475" s="495" t="s">
        <v>2575</v>
      </c>
      <c r="T475" s="495" t="s">
        <v>2576</v>
      </c>
      <c r="U475" s="484" t="str">
        <f>IFERROR(VLOOKUP(N475,'Thông số'!$B:$F,5,0),"")</f>
        <v>9270 x 2500 x 3860</v>
      </c>
    </row>
    <row r="476" ht="14.25" customHeight="1" spans="1:21">
      <c r="A476" s="494">
        <v>10</v>
      </c>
      <c r="B476" s="495" t="s">
        <v>2577</v>
      </c>
      <c r="C476" s="497"/>
      <c r="D476" s="473" t="s">
        <v>3448</v>
      </c>
      <c r="E476" s="473" t="s">
        <v>2578</v>
      </c>
      <c r="F476" s="495" t="s">
        <v>3448</v>
      </c>
      <c r="G476" s="495" t="s">
        <v>136</v>
      </c>
      <c r="H476" s="497"/>
      <c r="I476" s="473" t="s">
        <v>32</v>
      </c>
      <c r="J476" s="498">
        <v>45268</v>
      </c>
      <c r="K476" s="473" t="s">
        <v>1263</v>
      </c>
      <c r="L476" s="499">
        <v>0.98</v>
      </c>
      <c r="M476" s="497"/>
      <c r="N476" s="473" t="s">
        <v>2557</v>
      </c>
      <c r="O476" s="495" t="s">
        <v>2556</v>
      </c>
      <c r="P476" s="495" t="s">
        <v>1140</v>
      </c>
      <c r="Q476" s="473">
        <v>2023</v>
      </c>
      <c r="R476" s="473" t="s">
        <v>2558</v>
      </c>
      <c r="S476" s="495" t="s">
        <v>2579</v>
      </c>
      <c r="T476" s="495" t="s">
        <v>2580</v>
      </c>
      <c r="U476" s="484" t="str">
        <f>IFERROR(VLOOKUP(N476,'Thông số'!$B:$F,5,0),"")</f>
        <v>9270 x 2500 x 3860</v>
      </c>
    </row>
    <row r="477" ht="14.25" customHeight="1" spans="1:21">
      <c r="A477" s="494">
        <v>11</v>
      </c>
      <c r="B477" s="495" t="s">
        <v>2581</v>
      </c>
      <c r="C477" s="495" t="s">
        <v>2581</v>
      </c>
      <c r="D477" s="473" t="s">
        <v>3489</v>
      </c>
      <c r="E477" s="497"/>
      <c r="F477" s="495" t="s">
        <v>3489</v>
      </c>
      <c r="G477" s="495" t="s">
        <v>96</v>
      </c>
      <c r="H477" s="497"/>
      <c r="I477" s="473" t="s">
        <v>32</v>
      </c>
      <c r="J477" s="498">
        <v>44197</v>
      </c>
      <c r="K477" s="473" t="s">
        <v>1263</v>
      </c>
      <c r="L477" s="499">
        <v>0.68</v>
      </c>
      <c r="M477" s="497"/>
      <c r="N477" s="473" t="s">
        <v>2582</v>
      </c>
      <c r="O477" s="495" t="s">
        <v>480</v>
      </c>
      <c r="P477" s="495" t="s">
        <v>453</v>
      </c>
      <c r="Q477" s="473">
        <v>1994</v>
      </c>
      <c r="R477" s="473" t="s">
        <v>2062</v>
      </c>
      <c r="S477" s="495" t="s">
        <v>2583</v>
      </c>
      <c r="T477" s="495" t="s">
        <v>2584</v>
      </c>
      <c r="U477" s="484" t="str">
        <f>IFERROR(VLOOKUP(N477,'Thông số'!$B:$F,5,0),"")</f>
        <v>6895 x 2470 x 3180</v>
      </c>
    </row>
    <row r="478" ht="14.25" customHeight="1" spans="1:21">
      <c r="A478" s="494">
        <v>12</v>
      </c>
      <c r="B478" s="495" t="s">
        <v>2585</v>
      </c>
      <c r="C478" s="497"/>
      <c r="D478" s="473" t="s">
        <v>3490</v>
      </c>
      <c r="E478" s="497"/>
      <c r="F478" s="495" t="s">
        <v>3490</v>
      </c>
      <c r="G478" s="495" t="s">
        <v>2586</v>
      </c>
      <c r="H478" s="497"/>
      <c r="I478" s="473" t="s">
        <v>32</v>
      </c>
      <c r="J478" s="498">
        <v>45315</v>
      </c>
      <c r="K478" s="473" t="s">
        <v>1263</v>
      </c>
      <c r="L478" s="499">
        <v>0.97</v>
      </c>
      <c r="M478" s="497"/>
      <c r="N478" s="473" t="s">
        <v>2582</v>
      </c>
      <c r="O478" s="495" t="s">
        <v>480</v>
      </c>
      <c r="P478" s="495" t="s">
        <v>555</v>
      </c>
      <c r="Q478" s="473">
        <v>2021</v>
      </c>
      <c r="R478" s="473" t="s">
        <v>97</v>
      </c>
      <c r="S478" s="495" t="s">
        <v>2588</v>
      </c>
      <c r="T478" s="495" t="s">
        <v>2589</v>
      </c>
      <c r="U478" s="484" t="str">
        <f>IFERROR(VLOOKUP(N478,'Thông số'!$B:$F,5,0),"")</f>
        <v>6895 x 2470 x 3180</v>
      </c>
    </row>
    <row r="479" ht="14.25" customHeight="1" spans="1:21">
      <c r="A479" s="525" t="s">
        <v>2591</v>
      </c>
      <c r="B479" s="480"/>
      <c r="C479" s="462">
        <v>7</v>
      </c>
      <c r="D479" s="480"/>
      <c r="E479" s="480"/>
      <c r="F479" s="480"/>
      <c r="G479" s="480"/>
      <c r="H479" s="497"/>
      <c r="I479" s="480"/>
      <c r="J479" s="480"/>
      <c r="K479" s="480"/>
      <c r="L479" s="480"/>
      <c r="M479" s="480"/>
      <c r="N479" s="480"/>
      <c r="O479" s="480"/>
      <c r="P479" s="480"/>
      <c r="Q479" s="480"/>
      <c r="R479" s="480"/>
      <c r="S479" s="480"/>
      <c r="T479" s="480"/>
      <c r="U479" s="484" t="str">
        <f>IFERROR(VLOOKUP(N479,'Thông số'!$B:$F,5,0),"")</f>
        <v/>
      </c>
    </row>
    <row r="480" ht="14.25" customHeight="1" spans="1:21">
      <c r="A480" s="494">
        <v>1</v>
      </c>
      <c r="B480" s="495" t="s">
        <v>2592</v>
      </c>
      <c r="C480" s="495" t="s">
        <v>2592</v>
      </c>
      <c r="D480" s="473" t="s">
        <v>6711</v>
      </c>
      <c r="E480" s="497"/>
      <c r="F480" s="497"/>
      <c r="G480" s="495" t="s">
        <v>197</v>
      </c>
      <c r="H480" s="473" t="s">
        <v>6574</v>
      </c>
      <c r="I480" s="473" t="s">
        <v>33</v>
      </c>
      <c r="J480" s="497"/>
      <c r="K480" s="473" t="s">
        <v>1263</v>
      </c>
      <c r="L480" s="497"/>
      <c r="M480" s="497"/>
      <c r="N480" s="473" t="s">
        <v>1122</v>
      </c>
      <c r="O480" s="495" t="s">
        <v>1019</v>
      </c>
      <c r="P480" s="495" t="s">
        <v>500</v>
      </c>
      <c r="Q480" s="473">
        <v>2018</v>
      </c>
      <c r="R480" s="473" t="s">
        <v>128</v>
      </c>
      <c r="S480" s="495">
        <v>180069</v>
      </c>
      <c r="T480" s="495" t="s">
        <v>462</v>
      </c>
      <c r="U480" s="484" t="str">
        <f>IFERROR(VLOOKUP(N480,'Thông số'!$B:$F,5,0),"")</f>
        <v>3226 x 1570 x 1545</v>
      </c>
    </row>
    <row r="481" ht="14.25" customHeight="1" spans="1:21">
      <c r="A481" s="494">
        <v>2</v>
      </c>
      <c r="B481" s="495" t="s">
        <v>2593</v>
      </c>
      <c r="C481" s="495" t="s">
        <v>2594</v>
      </c>
      <c r="D481" s="497"/>
      <c r="E481" s="497"/>
      <c r="F481" s="495" t="s">
        <v>1624</v>
      </c>
      <c r="G481" s="495" t="s">
        <v>200</v>
      </c>
      <c r="H481" s="473" t="s">
        <v>6574</v>
      </c>
      <c r="I481" s="473" t="s">
        <v>33</v>
      </c>
      <c r="J481" s="497"/>
      <c r="K481" s="473" t="s">
        <v>1263</v>
      </c>
      <c r="L481" s="497"/>
      <c r="M481" s="501" t="s">
        <v>2595</v>
      </c>
      <c r="N481" s="473" t="s">
        <v>1137</v>
      </c>
      <c r="O481" s="495" t="s">
        <v>759</v>
      </c>
      <c r="P481" s="495" t="s">
        <v>453</v>
      </c>
      <c r="Q481" s="473">
        <v>2019</v>
      </c>
      <c r="R481" s="473" t="s">
        <v>41</v>
      </c>
      <c r="S481" s="495">
        <v>950</v>
      </c>
      <c r="T481" s="495" t="s">
        <v>462</v>
      </c>
      <c r="U481" s="484" t="str">
        <f>IFERROR(VLOOKUP(N481,'Thông số'!$B:$F,5,0),"")</f>
        <v>3120 x 1495 x 1510</v>
      </c>
    </row>
    <row r="482" ht="14.25" customHeight="1" spans="1:21">
      <c r="A482" s="489">
        <v>3</v>
      </c>
      <c r="B482" s="490" t="s">
        <v>2597</v>
      </c>
      <c r="C482" s="490" t="s">
        <v>2598</v>
      </c>
      <c r="D482" s="491"/>
      <c r="E482" s="491"/>
      <c r="F482" s="490" t="s">
        <v>3517</v>
      </c>
      <c r="G482" s="490" t="s">
        <v>147</v>
      </c>
      <c r="H482" s="491"/>
      <c r="I482" s="470" t="s">
        <v>33</v>
      </c>
      <c r="J482" s="492">
        <v>43832</v>
      </c>
      <c r="K482" s="470" t="s">
        <v>1126</v>
      </c>
      <c r="L482" s="493">
        <v>0.61</v>
      </c>
      <c r="M482" s="505" t="s">
        <v>2599</v>
      </c>
      <c r="N482" s="491"/>
      <c r="O482" s="490" t="s">
        <v>1267</v>
      </c>
      <c r="P482" s="491"/>
      <c r="Q482" s="470">
        <v>2000</v>
      </c>
      <c r="R482" s="491"/>
      <c r="S482" s="490" t="s">
        <v>2600</v>
      </c>
      <c r="T482" s="490">
        <v>227</v>
      </c>
      <c r="U482" s="484" t="str">
        <f>IFERROR(VLOOKUP(N482,'Thông số'!$B:$F,5,0),"")</f>
        <v/>
      </c>
    </row>
    <row r="483" ht="14.25" customHeight="1" spans="1:21">
      <c r="A483" s="489">
        <v>4</v>
      </c>
      <c r="B483" s="490" t="s">
        <v>2602</v>
      </c>
      <c r="C483" s="490" t="s">
        <v>2603</v>
      </c>
      <c r="D483" s="491"/>
      <c r="E483" s="491"/>
      <c r="F483" s="491"/>
      <c r="G483" s="490" t="s">
        <v>144</v>
      </c>
      <c r="H483" s="491"/>
      <c r="I483" s="470" t="s">
        <v>33</v>
      </c>
      <c r="J483" s="491"/>
      <c r="K483" s="470" t="s">
        <v>1126</v>
      </c>
      <c r="L483" s="491"/>
      <c r="M483" s="491"/>
      <c r="N483" s="470" t="s">
        <v>2604</v>
      </c>
      <c r="O483" s="490" t="s">
        <v>1019</v>
      </c>
      <c r="P483" s="490" t="s">
        <v>500</v>
      </c>
      <c r="Q483" s="470">
        <v>2017</v>
      </c>
      <c r="R483" s="470" t="s">
        <v>54</v>
      </c>
      <c r="S483" s="490" t="s">
        <v>2605</v>
      </c>
      <c r="T483" s="490" t="s">
        <v>462</v>
      </c>
      <c r="U483" s="484" t="str">
        <f>IFERROR(VLOOKUP(N483,'Thông số'!$B:$F,5,0),"")</f>
        <v>9120 x 2450 x 3160</v>
      </c>
    </row>
    <row r="484" ht="14.25" customHeight="1" spans="1:21">
      <c r="A484" s="494">
        <v>5</v>
      </c>
      <c r="B484" s="495" t="s">
        <v>2606</v>
      </c>
      <c r="C484" s="497"/>
      <c r="D484" s="497"/>
      <c r="E484" s="497"/>
      <c r="F484" s="497"/>
      <c r="G484" s="495" t="s">
        <v>288</v>
      </c>
      <c r="H484" s="473" t="s">
        <v>3407</v>
      </c>
      <c r="I484" s="473" t="s">
        <v>33</v>
      </c>
      <c r="J484" s="498">
        <v>45699</v>
      </c>
      <c r="K484" s="473" t="s">
        <v>1263</v>
      </c>
      <c r="L484" s="497"/>
      <c r="M484" s="501" t="s">
        <v>653</v>
      </c>
      <c r="N484" s="473" t="s">
        <v>2607</v>
      </c>
      <c r="O484" s="497"/>
      <c r="P484" s="495" t="s">
        <v>1140</v>
      </c>
      <c r="Q484" s="497"/>
      <c r="R484" s="473" t="s">
        <v>2608</v>
      </c>
      <c r="S484" s="495" t="s">
        <v>2609</v>
      </c>
      <c r="T484" s="495" t="s">
        <v>2610</v>
      </c>
      <c r="U484" s="484" t="str">
        <f>IFERROR(VLOOKUP(N484,'Thông số'!$B:$F,5,0),"")</f>
        <v/>
      </c>
    </row>
    <row r="485" ht="14.25" customHeight="1" spans="1:21">
      <c r="A485" s="494">
        <v>6</v>
      </c>
      <c r="B485" s="495" t="s">
        <v>2611</v>
      </c>
      <c r="C485" s="497"/>
      <c r="D485" s="497"/>
      <c r="E485" s="497"/>
      <c r="F485" s="497"/>
      <c r="G485" s="495" t="s">
        <v>288</v>
      </c>
      <c r="H485" s="473" t="s">
        <v>3407</v>
      </c>
      <c r="I485" s="473" t="s">
        <v>33</v>
      </c>
      <c r="J485" s="498">
        <v>45699</v>
      </c>
      <c r="K485" s="473" t="s">
        <v>1263</v>
      </c>
      <c r="L485" s="497"/>
      <c r="M485" s="501" t="s">
        <v>653</v>
      </c>
      <c r="N485" s="473" t="s">
        <v>2607</v>
      </c>
      <c r="O485" s="497"/>
      <c r="P485" s="495" t="s">
        <v>1140</v>
      </c>
      <c r="Q485" s="497"/>
      <c r="R485" s="473" t="s">
        <v>2608</v>
      </c>
      <c r="S485" s="495" t="s">
        <v>2612</v>
      </c>
      <c r="T485" s="495" t="s">
        <v>2613</v>
      </c>
      <c r="U485" s="484" t="str">
        <f>IFERROR(VLOOKUP(N485,'Thông số'!$B:$F,5,0),"")</f>
        <v/>
      </c>
    </row>
    <row r="486" ht="14.25" customHeight="1" spans="1:21">
      <c r="A486" s="494">
        <v>7</v>
      </c>
      <c r="B486" s="495" t="s">
        <v>2614</v>
      </c>
      <c r="C486" s="497"/>
      <c r="D486" s="497"/>
      <c r="E486" s="497"/>
      <c r="F486" s="497"/>
      <c r="G486" s="495" t="s">
        <v>288</v>
      </c>
      <c r="H486" s="473" t="s">
        <v>3407</v>
      </c>
      <c r="I486" s="473" t="s">
        <v>33</v>
      </c>
      <c r="J486" s="498">
        <v>45699</v>
      </c>
      <c r="K486" s="473" t="s">
        <v>1263</v>
      </c>
      <c r="L486" s="497"/>
      <c r="M486" s="501" t="s">
        <v>653</v>
      </c>
      <c r="N486" s="473" t="s">
        <v>2607</v>
      </c>
      <c r="O486" s="497"/>
      <c r="P486" s="495" t="s">
        <v>1140</v>
      </c>
      <c r="Q486" s="497"/>
      <c r="R486" s="473" t="s">
        <v>2608</v>
      </c>
      <c r="S486" s="495" t="s">
        <v>2615</v>
      </c>
      <c r="T486" s="495" t="s">
        <v>2616</v>
      </c>
      <c r="U486" s="484" t="str">
        <f>IFERROR(VLOOKUP(N486,'Thông số'!$B:$F,5,0),"")</f>
        <v/>
      </c>
    </row>
    <row r="487" ht="14.25" customHeight="1" spans="1:21">
      <c r="A487" s="525" t="s">
        <v>2617</v>
      </c>
      <c r="B487" s="480"/>
      <c r="C487" s="462">
        <v>4</v>
      </c>
      <c r="D487" s="480"/>
      <c r="E487" s="480"/>
      <c r="F487" s="480"/>
      <c r="G487" s="480"/>
      <c r="H487" s="497"/>
      <c r="I487" s="480"/>
      <c r="J487" s="480"/>
      <c r="K487" s="480"/>
      <c r="L487" s="480"/>
      <c r="M487" s="480"/>
      <c r="N487" s="480"/>
      <c r="O487" s="480"/>
      <c r="P487" s="480"/>
      <c r="Q487" s="480"/>
      <c r="R487" s="480"/>
      <c r="S487" s="480"/>
      <c r="T487" s="480"/>
      <c r="U487" s="484" t="str">
        <f>IFERROR(VLOOKUP(N487,'Thông số'!$B:$F,5,0),"")</f>
        <v/>
      </c>
    </row>
    <row r="488" ht="14.25" customHeight="1" spans="1:21">
      <c r="A488" s="494">
        <v>1</v>
      </c>
      <c r="B488" s="495" t="s">
        <v>2618</v>
      </c>
      <c r="C488" s="495" t="s">
        <v>2619</v>
      </c>
      <c r="D488" s="473" t="s">
        <v>6712</v>
      </c>
      <c r="E488" s="497"/>
      <c r="F488" s="497"/>
      <c r="G488" s="495" t="s">
        <v>288</v>
      </c>
      <c r="H488" s="473" t="s">
        <v>3407</v>
      </c>
      <c r="I488" s="526" t="s">
        <v>30</v>
      </c>
      <c r="J488" s="497"/>
      <c r="K488" s="473" t="s">
        <v>1263</v>
      </c>
      <c r="L488" s="497"/>
      <c r="M488" s="497"/>
      <c r="N488" s="497"/>
      <c r="O488" s="497"/>
      <c r="P488" s="497"/>
      <c r="Q488" s="497"/>
      <c r="R488" s="473" t="s">
        <v>2620</v>
      </c>
      <c r="S488" s="495" t="s">
        <v>2621</v>
      </c>
      <c r="T488" s="495" t="s">
        <v>462</v>
      </c>
      <c r="U488" s="484" t="str">
        <f>IFERROR(VLOOKUP(N488,'Thông số'!$B:$F,5,0),"")</f>
        <v/>
      </c>
    </row>
    <row r="489" ht="14.25" customHeight="1" spans="1:21">
      <c r="A489" s="494">
        <v>2</v>
      </c>
      <c r="B489" s="495" t="s">
        <v>2619</v>
      </c>
      <c r="C489" s="495" t="s">
        <v>2622</v>
      </c>
      <c r="D489" s="473" t="s">
        <v>6713</v>
      </c>
      <c r="E489" s="497"/>
      <c r="F489" s="497"/>
      <c r="G489" s="495" t="s">
        <v>288</v>
      </c>
      <c r="H489" s="473" t="s">
        <v>3407</v>
      </c>
      <c r="I489" s="526" t="s">
        <v>30</v>
      </c>
      <c r="J489" s="497"/>
      <c r="K489" s="473" t="s">
        <v>1263</v>
      </c>
      <c r="L489" s="497"/>
      <c r="M489" s="497"/>
      <c r="N489" s="497"/>
      <c r="O489" s="497"/>
      <c r="P489" s="497"/>
      <c r="Q489" s="497"/>
      <c r="R489" s="473" t="s">
        <v>2620</v>
      </c>
      <c r="S489" s="495" t="s">
        <v>2623</v>
      </c>
      <c r="T489" s="495" t="s">
        <v>462</v>
      </c>
      <c r="U489" s="484" t="str">
        <f>IFERROR(VLOOKUP(N489,'Thông số'!$B:$F,5,0),"")</f>
        <v/>
      </c>
    </row>
    <row r="490" ht="14.25" customHeight="1" spans="1:21">
      <c r="A490" s="494">
        <v>3</v>
      </c>
      <c r="B490" s="495" t="s">
        <v>2622</v>
      </c>
      <c r="C490" s="495" t="s">
        <v>2624</v>
      </c>
      <c r="D490" s="473" t="s">
        <v>6714</v>
      </c>
      <c r="E490" s="497"/>
      <c r="F490" s="497"/>
      <c r="G490" s="495" t="s">
        <v>288</v>
      </c>
      <c r="H490" s="473" t="s">
        <v>3407</v>
      </c>
      <c r="I490" s="526" t="s">
        <v>30</v>
      </c>
      <c r="J490" s="497"/>
      <c r="K490" s="473" t="s">
        <v>1263</v>
      </c>
      <c r="L490" s="497"/>
      <c r="M490" s="497"/>
      <c r="N490" s="497"/>
      <c r="O490" s="497"/>
      <c r="P490" s="497"/>
      <c r="Q490" s="497"/>
      <c r="R490" s="473" t="s">
        <v>2620</v>
      </c>
      <c r="S490" s="495" t="s">
        <v>2625</v>
      </c>
      <c r="T490" s="495" t="s">
        <v>462</v>
      </c>
      <c r="U490" s="484" t="str">
        <f>IFERROR(VLOOKUP(N490,'Thông số'!$B:$F,5,0),"")</f>
        <v/>
      </c>
    </row>
    <row r="491" ht="14.25" customHeight="1" spans="1:21">
      <c r="A491" s="494">
        <v>4</v>
      </c>
      <c r="B491" s="495" t="s">
        <v>2626</v>
      </c>
      <c r="C491" s="497"/>
      <c r="D491" s="473" t="s">
        <v>2627</v>
      </c>
      <c r="E491" s="497"/>
      <c r="F491" s="497"/>
      <c r="G491" s="495" t="s">
        <v>238</v>
      </c>
      <c r="H491" s="473" t="s">
        <v>3432</v>
      </c>
      <c r="I491" s="473" t="s">
        <v>30</v>
      </c>
      <c r="J491" s="498">
        <v>45734</v>
      </c>
      <c r="K491" s="473" t="s">
        <v>1263</v>
      </c>
      <c r="L491" s="497"/>
      <c r="M491" s="497"/>
      <c r="N491" s="473" t="s">
        <v>2158</v>
      </c>
      <c r="O491" s="495" t="s">
        <v>1380</v>
      </c>
      <c r="P491" s="495" t="s">
        <v>590</v>
      </c>
      <c r="Q491" s="473">
        <v>2024</v>
      </c>
      <c r="R491" s="473" t="s">
        <v>208</v>
      </c>
      <c r="S491" s="495" t="s">
        <v>2629</v>
      </c>
      <c r="T491" s="495" t="s">
        <v>462</v>
      </c>
      <c r="U491" s="484" t="str">
        <f>IFERROR(VLOOKUP(N491,'Thông số'!$B:$F,5,0),"")</f>
        <v/>
      </c>
    </row>
    <row r="492" ht="14.25" customHeight="1" spans="1:21">
      <c r="A492" s="525" t="s">
        <v>2636</v>
      </c>
      <c r="B492" s="480"/>
      <c r="C492" s="462">
        <v>4</v>
      </c>
      <c r="D492" s="480"/>
      <c r="E492" s="480"/>
      <c r="F492" s="480"/>
      <c r="G492" s="480"/>
      <c r="H492" s="497"/>
      <c r="I492" s="480"/>
      <c r="J492" s="480"/>
      <c r="K492" s="480"/>
      <c r="L492" s="480"/>
      <c r="M492" s="480"/>
      <c r="N492" s="480"/>
      <c r="O492" s="480"/>
      <c r="P492" s="480"/>
      <c r="Q492" s="480"/>
      <c r="R492" s="480"/>
      <c r="S492" s="480"/>
      <c r="T492" s="480"/>
      <c r="U492" s="484" t="str">
        <f>IFERROR(VLOOKUP(N492,'Thông số'!$B:$F,5,0),"")</f>
        <v/>
      </c>
    </row>
    <row r="493" ht="14.25" customHeight="1" spans="1:21">
      <c r="A493" s="494">
        <v>1</v>
      </c>
      <c r="B493" s="495" t="s">
        <v>2637</v>
      </c>
      <c r="C493" s="495" t="s">
        <v>2638</v>
      </c>
      <c r="D493" s="473" t="s">
        <v>6715</v>
      </c>
      <c r="E493" s="497"/>
      <c r="F493" s="495" t="s">
        <v>3355</v>
      </c>
      <c r="G493" s="495" t="s">
        <v>197</v>
      </c>
      <c r="H493" s="473" t="s">
        <v>6574</v>
      </c>
      <c r="I493" s="473" t="s">
        <v>20</v>
      </c>
      <c r="J493" s="497"/>
      <c r="K493" s="473" t="s">
        <v>1263</v>
      </c>
      <c r="L493" s="497"/>
      <c r="M493" s="497"/>
      <c r="N493" s="473" t="s">
        <v>1122</v>
      </c>
      <c r="O493" s="495" t="s">
        <v>1019</v>
      </c>
      <c r="P493" s="495" t="s">
        <v>500</v>
      </c>
      <c r="Q493" s="497"/>
      <c r="R493" s="473" t="s">
        <v>128</v>
      </c>
      <c r="S493" s="495" t="s">
        <v>2639</v>
      </c>
      <c r="T493" s="497"/>
      <c r="U493" s="484" t="str">
        <f>IFERROR(VLOOKUP(N493,'Thông số'!$B:$F,5,0),"")</f>
        <v>3226 x 1570 x 1545</v>
      </c>
    </row>
    <row r="494" ht="14.25" customHeight="1" spans="1:21">
      <c r="A494" s="494">
        <v>2</v>
      </c>
      <c r="B494" s="495" t="s">
        <v>2640</v>
      </c>
      <c r="C494" s="495" t="s">
        <v>2641</v>
      </c>
      <c r="D494" s="473" t="s">
        <v>6716</v>
      </c>
      <c r="E494" s="497"/>
      <c r="F494" s="495" t="s">
        <v>3355</v>
      </c>
      <c r="G494" s="495" t="s">
        <v>197</v>
      </c>
      <c r="H494" s="473" t="s">
        <v>6574</v>
      </c>
      <c r="I494" s="473" t="s">
        <v>20</v>
      </c>
      <c r="J494" s="497"/>
      <c r="K494" s="473" t="s">
        <v>1263</v>
      </c>
      <c r="L494" s="497"/>
      <c r="M494" s="497"/>
      <c r="N494" s="473" t="s">
        <v>1122</v>
      </c>
      <c r="O494" s="495" t="s">
        <v>1019</v>
      </c>
      <c r="P494" s="495" t="s">
        <v>500</v>
      </c>
      <c r="Q494" s="497"/>
      <c r="R494" s="473" t="s">
        <v>128</v>
      </c>
      <c r="S494" s="495" t="s">
        <v>2642</v>
      </c>
      <c r="T494" s="497"/>
      <c r="U494" s="484" t="str">
        <f>IFERROR(VLOOKUP(N494,'Thông số'!$B:$F,5,0),"")</f>
        <v>3226 x 1570 x 1545</v>
      </c>
    </row>
    <row r="495" ht="14.25" customHeight="1" spans="1:21">
      <c r="A495" s="494">
        <v>3</v>
      </c>
      <c r="B495" s="495" t="s">
        <v>2643</v>
      </c>
      <c r="C495" s="495" t="s">
        <v>2644</v>
      </c>
      <c r="D495" s="473" t="s">
        <v>6717</v>
      </c>
      <c r="E495" s="497"/>
      <c r="F495" s="497"/>
      <c r="G495" s="495" t="s">
        <v>197</v>
      </c>
      <c r="H495" s="473" t="s">
        <v>6574</v>
      </c>
      <c r="I495" s="473" t="s">
        <v>20</v>
      </c>
      <c r="J495" s="497"/>
      <c r="K495" s="473" t="s">
        <v>1263</v>
      </c>
      <c r="L495" s="497"/>
      <c r="M495" s="497"/>
      <c r="N495" s="473" t="s">
        <v>1122</v>
      </c>
      <c r="O495" s="495" t="s">
        <v>1019</v>
      </c>
      <c r="P495" s="495" t="s">
        <v>500</v>
      </c>
      <c r="Q495" s="473">
        <v>2012</v>
      </c>
      <c r="R495" s="473" t="s">
        <v>128</v>
      </c>
      <c r="S495" s="495" t="s">
        <v>2645</v>
      </c>
      <c r="T495" s="495" t="s">
        <v>462</v>
      </c>
      <c r="U495" s="484" t="str">
        <f>IFERROR(VLOOKUP(N495,'Thông số'!$B:$F,5,0),"")</f>
        <v>3226 x 1570 x 1545</v>
      </c>
    </row>
    <row r="496" ht="14.25" customHeight="1" spans="1:21">
      <c r="A496" s="489">
        <v>4</v>
      </c>
      <c r="B496" s="490" t="s">
        <v>2646</v>
      </c>
      <c r="C496" s="490" t="s">
        <v>2647</v>
      </c>
      <c r="D496" s="491"/>
      <c r="E496" s="491"/>
      <c r="F496" s="490" t="s">
        <v>3521</v>
      </c>
      <c r="G496" s="490" t="s">
        <v>144</v>
      </c>
      <c r="H496" s="491"/>
      <c r="I496" s="470" t="s">
        <v>20</v>
      </c>
      <c r="J496" s="492">
        <v>45656</v>
      </c>
      <c r="K496" s="470" t="s">
        <v>1126</v>
      </c>
      <c r="L496" s="493">
        <v>0.65</v>
      </c>
      <c r="M496" s="505" t="s">
        <v>2649</v>
      </c>
      <c r="N496" s="470" t="s">
        <v>2604</v>
      </c>
      <c r="O496" s="490" t="s">
        <v>1019</v>
      </c>
      <c r="P496" s="490" t="s">
        <v>500</v>
      </c>
      <c r="Q496" s="470">
        <v>2018</v>
      </c>
      <c r="R496" s="470" t="s">
        <v>54</v>
      </c>
      <c r="S496" s="490" t="s">
        <v>2650</v>
      </c>
      <c r="T496" s="490" t="s">
        <v>2651</v>
      </c>
      <c r="U496" s="484" t="str">
        <f>IFERROR(VLOOKUP(N496,'Thông số'!$B:$F,5,0),"")</f>
        <v>9120 x 2450 x 3160</v>
      </c>
    </row>
    <row r="497" ht="14.25" customHeight="1" spans="1:21">
      <c r="A497" s="527"/>
      <c r="B497" s="497"/>
      <c r="C497" s="495" t="s">
        <v>1034</v>
      </c>
      <c r="D497" s="497"/>
      <c r="E497" s="497"/>
      <c r="F497" s="497"/>
      <c r="G497" s="497"/>
      <c r="H497" s="497"/>
      <c r="I497" s="497"/>
      <c r="J497" s="497"/>
      <c r="K497" s="473" t="s">
        <v>1263</v>
      </c>
      <c r="L497" s="497"/>
      <c r="M497" s="497"/>
      <c r="N497" s="497"/>
      <c r="O497" s="497"/>
      <c r="P497" s="497"/>
      <c r="Q497" s="497"/>
      <c r="R497" s="497"/>
      <c r="S497" s="497"/>
      <c r="T497" s="497"/>
      <c r="U497" s="484" t="str">
        <f>IFERROR(VLOOKUP(N497,'Thông số'!$B:$F,5,0),"")</f>
        <v/>
      </c>
    </row>
    <row r="498" ht="14.25" customHeight="1" spans="1:21">
      <c r="A498" s="525" t="s">
        <v>6718</v>
      </c>
      <c r="B498" s="480"/>
      <c r="C498" s="462">
        <v>19</v>
      </c>
      <c r="D498" s="480"/>
      <c r="E498" s="480"/>
      <c r="F498" s="480"/>
      <c r="G498" s="480"/>
      <c r="H498" s="497"/>
      <c r="I498" s="480"/>
      <c r="J498" s="480"/>
      <c r="K498" s="480"/>
      <c r="L498" s="480"/>
      <c r="M498" s="480"/>
      <c r="N498" s="480"/>
      <c r="O498" s="480"/>
      <c r="P498" s="480"/>
      <c r="Q498" s="480"/>
      <c r="R498" s="480"/>
      <c r="S498" s="480"/>
      <c r="T498" s="480"/>
      <c r="U498" s="484" t="str">
        <f>IFERROR(VLOOKUP(N498,'Thông số'!$B:$F,5,0),"")</f>
        <v/>
      </c>
    </row>
    <row r="499" ht="14.25" customHeight="1" spans="1:21">
      <c r="A499" s="489">
        <v>1</v>
      </c>
      <c r="B499" s="490" t="s">
        <v>2653</v>
      </c>
      <c r="C499" s="490" t="s">
        <v>878</v>
      </c>
      <c r="D499" s="470" t="s">
        <v>6719</v>
      </c>
      <c r="E499" s="491"/>
      <c r="F499" s="491"/>
      <c r="G499" s="490" t="s">
        <v>145</v>
      </c>
      <c r="H499" s="491"/>
      <c r="I499" s="470" t="s">
        <v>34</v>
      </c>
      <c r="J499" s="491"/>
      <c r="K499" s="470" t="s">
        <v>1126</v>
      </c>
      <c r="L499" s="491"/>
      <c r="M499" s="491"/>
      <c r="N499" s="491"/>
      <c r="O499" s="490" t="s">
        <v>1267</v>
      </c>
      <c r="P499" s="490" t="s">
        <v>465</v>
      </c>
      <c r="Q499" s="491"/>
      <c r="R499" s="491"/>
      <c r="S499" s="490" t="s">
        <v>462</v>
      </c>
      <c r="T499" s="490">
        <v>107291</v>
      </c>
      <c r="U499" s="484" t="str">
        <f>IFERROR(VLOOKUP(N499,'Thông số'!$B:$F,5,0),"")</f>
        <v/>
      </c>
    </row>
    <row r="500" ht="14.25" customHeight="1" spans="1:21">
      <c r="A500" s="494">
        <v>2</v>
      </c>
      <c r="B500" s="495" t="s">
        <v>2655</v>
      </c>
      <c r="C500" s="495" t="s">
        <v>2656</v>
      </c>
      <c r="D500" s="473" t="s">
        <v>6720</v>
      </c>
      <c r="E500" s="497"/>
      <c r="F500" s="497"/>
      <c r="G500" s="495" t="s">
        <v>152</v>
      </c>
      <c r="H500" s="497"/>
      <c r="I500" s="473" t="s">
        <v>34</v>
      </c>
      <c r="J500" s="498">
        <v>45419</v>
      </c>
      <c r="K500" s="473" t="s">
        <v>1263</v>
      </c>
      <c r="L500" s="499">
        <v>1</v>
      </c>
      <c r="M500" s="501" t="s">
        <v>6721</v>
      </c>
      <c r="N500" s="473" t="s">
        <v>2659</v>
      </c>
      <c r="O500" s="495" t="s">
        <v>2658</v>
      </c>
      <c r="P500" s="495" t="s">
        <v>590</v>
      </c>
      <c r="Q500" s="473">
        <v>2023</v>
      </c>
      <c r="R500" s="473" t="s">
        <v>134</v>
      </c>
      <c r="S500" s="495" t="s">
        <v>2660</v>
      </c>
      <c r="T500" s="495" t="s">
        <v>2661</v>
      </c>
      <c r="U500" s="484" t="str">
        <f>IFERROR(VLOOKUP(N500,'Thông số'!$B:$F,5,0),"")</f>
        <v>13530 x 2600 x 3700</v>
      </c>
    </row>
    <row r="501" ht="14.25" customHeight="1" spans="1:21">
      <c r="A501" s="494">
        <v>3</v>
      </c>
      <c r="B501" s="495" t="s">
        <v>2662</v>
      </c>
      <c r="C501" s="500" t="s">
        <v>2663</v>
      </c>
      <c r="D501" s="473" t="s">
        <v>6722</v>
      </c>
      <c r="E501" s="502"/>
      <c r="F501" s="474" t="s">
        <v>3522</v>
      </c>
      <c r="G501" s="500" t="s">
        <v>2664</v>
      </c>
      <c r="H501" s="497"/>
      <c r="I501" s="473" t="s">
        <v>34</v>
      </c>
      <c r="J501" s="503">
        <v>45475</v>
      </c>
      <c r="K501" s="473" t="s">
        <v>1263</v>
      </c>
      <c r="L501" s="502"/>
      <c r="M501" s="504" t="s">
        <v>2665</v>
      </c>
      <c r="N501" s="473" t="s">
        <v>2604</v>
      </c>
      <c r="O501" s="500" t="s">
        <v>1019</v>
      </c>
      <c r="P501" s="495" t="s">
        <v>500</v>
      </c>
      <c r="Q501" s="474">
        <v>2018</v>
      </c>
      <c r="R501" s="473" t="s">
        <v>54</v>
      </c>
      <c r="S501" s="528" t="s">
        <v>2666</v>
      </c>
      <c r="T501" s="528" t="s">
        <v>2667</v>
      </c>
      <c r="U501" s="484" t="str">
        <f>IFERROR(VLOOKUP(N501,'Thông số'!$B:$F,5,0),"")</f>
        <v>9120 x 2450 x 3160</v>
      </c>
    </row>
    <row r="502" ht="14.25" customHeight="1" spans="1:21">
      <c r="A502" s="494">
        <v>4</v>
      </c>
      <c r="B502" s="495" t="s">
        <v>2668</v>
      </c>
      <c r="C502" s="502"/>
      <c r="D502" s="473" t="s">
        <v>2669</v>
      </c>
      <c r="E502" s="502"/>
      <c r="F502" s="502"/>
      <c r="G502" s="500" t="s">
        <v>150</v>
      </c>
      <c r="H502" s="497"/>
      <c r="I502" s="473" t="s">
        <v>34</v>
      </c>
      <c r="J502" s="503">
        <v>45586</v>
      </c>
      <c r="K502" s="473" t="s">
        <v>1263</v>
      </c>
      <c r="L502" s="502"/>
      <c r="M502" s="501" t="s">
        <v>1146</v>
      </c>
      <c r="N502" s="473" t="s">
        <v>2677</v>
      </c>
      <c r="O502" s="500" t="s">
        <v>2671</v>
      </c>
      <c r="P502" s="495" t="s">
        <v>943</v>
      </c>
      <c r="Q502" s="474">
        <v>2022</v>
      </c>
      <c r="R502" s="473" t="s">
        <v>151</v>
      </c>
      <c r="S502" s="528" t="s">
        <v>2673</v>
      </c>
      <c r="T502" s="528">
        <v>82162916</v>
      </c>
      <c r="U502" s="484" t="str">
        <f>IFERROR(VLOOKUP(N502,'Thông số'!$B:$F,5,0),"")</f>
        <v>11845 x 2500 x 3690</v>
      </c>
    </row>
    <row r="503" ht="14.25" customHeight="1" spans="1:21">
      <c r="A503" s="489">
        <v>5</v>
      </c>
      <c r="B503" s="490" t="s">
        <v>2681</v>
      </c>
      <c r="C503" s="490" t="s">
        <v>2682</v>
      </c>
      <c r="D503" s="491"/>
      <c r="E503" s="491"/>
      <c r="F503" s="491"/>
      <c r="G503" s="490" t="s">
        <v>148</v>
      </c>
      <c r="H503" s="491"/>
      <c r="I503" s="470" t="s">
        <v>34</v>
      </c>
      <c r="J503" s="491"/>
      <c r="K503" s="470" t="s">
        <v>1126</v>
      </c>
      <c r="L503" s="491"/>
      <c r="M503" s="505" t="s">
        <v>6723</v>
      </c>
      <c r="N503" s="470" t="s">
        <v>2683</v>
      </c>
      <c r="O503" s="490" t="s">
        <v>540</v>
      </c>
      <c r="P503" s="490" t="s">
        <v>500</v>
      </c>
      <c r="Q503" s="491"/>
      <c r="R503" s="470" t="s">
        <v>139</v>
      </c>
      <c r="S503" s="529" t="s">
        <v>6724</v>
      </c>
      <c r="T503" s="490" t="s">
        <v>2685</v>
      </c>
      <c r="U503" s="484" t="str">
        <f>IFERROR(VLOOKUP(N503,'Thông số'!$B:$F,5,0),"")</f>
        <v>12160 x 2500 x 3950</v>
      </c>
    </row>
    <row r="504" ht="14.25" customHeight="1" spans="1:21">
      <c r="A504" s="494">
        <v>6</v>
      </c>
      <c r="B504" s="495" t="s">
        <v>2686</v>
      </c>
      <c r="C504" s="495" t="s">
        <v>2687</v>
      </c>
      <c r="D504" s="473" t="s">
        <v>6725</v>
      </c>
      <c r="E504" s="497"/>
      <c r="F504" s="497"/>
      <c r="G504" s="495" t="s">
        <v>246</v>
      </c>
      <c r="H504" s="473" t="s">
        <v>3432</v>
      </c>
      <c r="I504" s="473" t="s">
        <v>34</v>
      </c>
      <c r="J504" s="497"/>
      <c r="K504" s="473" t="s">
        <v>1263</v>
      </c>
      <c r="L504" s="497"/>
      <c r="M504" s="497"/>
      <c r="N504" s="497"/>
      <c r="O504" s="497"/>
      <c r="P504" s="497"/>
      <c r="Q504" s="497"/>
      <c r="R504" s="497"/>
      <c r="S504" s="495" t="s">
        <v>2688</v>
      </c>
      <c r="T504" s="495" t="s">
        <v>462</v>
      </c>
      <c r="U504" s="484" t="str">
        <f>IFERROR(VLOOKUP(N504,'Thông số'!$B:$F,5,0),"")</f>
        <v/>
      </c>
    </row>
    <row r="505" ht="14.25" customHeight="1" spans="1:21">
      <c r="A505" s="489">
        <v>7</v>
      </c>
      <c r="B505" s="490" t="s">
        <v>2689</v>
      </c>
      <c r="C505" s="490" t="s">
        <v>2689</v>
      </c>
      <c r="D505" s="470" t="s">
        <v>6726</v>
      </c>
      <c r="E505" s="491"/>
      <c r="F505" s="491"/>
      <c r="G505" s="490" t="s">
        <v>207</v>
      </c>
      <c r="H505" s="470" t="s">
        <v>6574</v>
      </c>
      <c r="I505" s="470" t="s">
        <v>34</v>
      </c>
      <c r="J505" s="491"/>
      <c r="K505" s="470" t="s">
        <v>1126</v>
      </c>
      <c r="L505" s="491"/>
      <c r="M505" s="491"/>
      <c r="N505" s="470" t="s">
        <v>1064</v>
      </c>
      <c r="O505" s="490" t="s">
        <v>759</v>
      </c>
      <c r="P505" s="490" t="s">
        <v>453</v>
      </c>
      <c r="Q505" s="470">
        <v>2013</v>
      </c>
      <c r="R505" s="470" t="s">
        <v>208</v>
      </c>
      <c r="S505" s="490" t="s">
        <v>2690</v>
      </c>
      <c r="T505" s="490" t="s">
        <v>462</v>
      </c>
      <c r="U505" s="484" t="str">
        <f>IFERROR(VLOOKUP(N505,'Thông số'!$B:$F,5,0),"")</f>
        <v>3445 x 1865 x 2535</v>
      </c>
    </row>
    <row r="506" ht="14.25" customHeight="1" spans="1:21">
      <c r="A506" s="494">
        <v>8</v>
      </c>
      <c r="B506" s="495" t="s">
        <v>2691</v>
      </c>
      <c r="C506" s="495" t="s">
        <v>2692</v>
      </c>
      <c r="D506" s="473" t="s">
        <v>6727</v>
      </c>
      <c r="E506" s="497"/>
      <c r="F506" s="497"/>
      <c r="G506" s="495" t="s">
        <v>218</v>
      </c>
      <c r="H506" s="473" t="s">
        <v>6625</v>
      </c>
      <c r="I506" s="473" t="s">
        <v>34</v>
      </c>
      <c r="J506" s="497"/>
      <c r="K506" s="473" t="s">
        <v>1263</v>
      </c>
      <c r="L506" s="497"/>
      <c r="M506" s="497"/>
      <c r="N506" s="497"/>
      <c r="O506" s="495" t="s">
        <v>2693</v>
      </c>
      <c r="P506" s="495" t="s">
        <v>453</v>
      </c>
      <c r="Q506" s="497"/>
      <c r="R506" s="474" t="s">
        <v>199</v>
      </c>
      <c r="S506" s="495" t="s">
        <v>2694</v>
      </c>
      <c r="T506" s="495" t="s">
        <v>462</v>
      </c>
      <c r="U506" s="484" t="str">
        <f>IFERROR(VLOOKUP(N506,'Thông số'!$B:$F,5,0),"")</f>
        <v/>
      </c>
    </row>
    <row r="507" ht="14.25" customHeight="1" spans="1:21">
      <c r="A507" s="494">
        <v>9</v>
      </c>
      <c r="B507" s="495" t="s">
        <v>2695</v>
      </c>
      <c r="C507" s="497"/>
      <c r="D507" s="473" t="s">
        <v>6728</v>
      </c>
      <c r="E507" s="497"/>
      <c r="F507" s="497"/>
      <c r="G507" s="495" t="s">
        <v>197</v>
      </c>
      <c r="H507" s="473" t="s">
        <v>6574</v>
      </c>
      <c r="I507" s="473" t="s">
        <v>34</v>
      </c>
      <c r="J507" s="497"/>
      <c r="K507" s="473" t="s">
        <v>1263</v>
      </c>
      <c r="L507" s="497"/>
      <c r="M507" s="497"/>
      <c r="N507" s="473" t="s">
        <v>1122</v>
      </c>
      <c r="O507" s="495" t="s">
        <v>1019</v>
      </c>
      <c r="P507" s="495" t="s">
        <v>500</v>
      </c>
      <c r="Q507" s="473">
        <v>2012</v>
      </c>
      <c r="R507" s="473" t="s">
        <v>128</v>
      </c>
      <c r="S507" s="495" t="s">
        <v>2696</v>
      </c>
      <c r="T507" s="495" t="s">
        <v>462</v>
      </c>
      <c r="U507" s="484" t="str">
        <f>IFERROR(VLOOKUP(N507,'Thông số'!$B:$F,5,0),"")</f>
        <v>3226 x 1570 x 1545</v>
      </c>
    </row>
    <row r="508" ht="14.25" customHeight="1" spans="1:21">
      <c r="A508" s="494">
        <v>10</v>
      </c>
      <c r="B508" s="495" t="s">
        <v>2697</v>
      </c>
      <c r="C508" s="495" t="s">
        <v>2698</v>
      </c>
      <c r="D508" s="473" t="s">
        <v>6729</v>
      </c>
      <c r="E508" s="497"/>
      <c r="F508" s="497"/>
      <c r="G508" s="495" t="s">
        <v>240</v>
      </c>
      <c r="H508" s="473" t="s">
        <v>3432</v>
      </c>
      <c r="I508" s="473" t="s">
        <v>34</v>
      </c>
      <c r="J508" s="497"/>
      <c r="K508" s="473" t="s">
        <v>1263</v>
      </c>
      <c r="L508" s="497"/>
      <c r="M508" s="497"/>
      <c r="N508" s="497"/>
      <c r="O508" s="495" t="s">
        <v>2699</v>
      </c>
      <c r="P508" s="495" t="s">
        <v>453</v>
      </c>
      <c r="Q508" s="497"/>
      <c r="R508" s="497"/>
      <c r="S508" s="495">
        <v>31059</v>
      </c>
      <c r="T508" s="495" t="s">
        <v>2700</v>
      </c>
      <c r="U508" s="484" t="str">
        <f>IFERROR(VLOOKUP(N508,'Thông số'!$B:$F,5,0),"")</f>
        <v/>
      </c>
    </row>
    <row r="509" ht="14.25" customHeight="1" spans="1:21">
      <c r="A509" s="494">
        <v>11</v>
      </c>
      <c r="B509" s="495" t="s">
        <v>2701</v>
      </c>
      <c r="C509" s="495" t="s">
        <v>2702</v>
      </c>
      <c r="D509" s="473" t="s">
        <v>3409</v>
      </c>
      <c r="E509" s="497"/>
      <c r="F509" s="495" t="s">
        <v>3409</v>
      </c>
      <c r="G509" s="495" t="s">
        <v>288</v>
      </c>
      <c r="H509" s="473" t="s">
        <v>3407</v>
      </c>
      <c r="I509" s="473" t="s">
        <v>34</v>
      </c>
      <c r="J509" s="498">
        <v>45200</v>
      </c>
      <c r="K509" s="473" t="s">
        <v>1263</v>
      </c>
      <c r="L509" s="499">
        <v>0.95</v>
      </c>
      <c r="M509" s="497"/>
      <c r="N509" s="473" t="s">
        <v>2703</v>
      </c>
      <c r="O509" s="495" t="s">
        <v>2415</v>
      </c>
      <c r="P509" s="495" t="s">
        <v>500</v>
      </c>
      <c r="Q509" s="497"/>
      <c r="R509" s="473" t="s">
        <v>48</v>
      </c>
      <c r="S509" s="495" t="s">
        <v>2704</v>
      </c>
      <c r="T509" s="495" t="s">
        <v>462</v>
      </c>
      <c r="U509" s="484" t="str">
        <f>IFERROR(VLOOKUP(N509,'Thông số'!$B:$F,5,0),"")</f>
        <v/>
      </c>
    </row>
    <row r="510" ht="14.25" customHeight="1" spans="1:21">
      <c r="A510" s="494">
        <v>12</v>
      </c>
      <c r="B510" s="495" t="s">
        <v>2705</v>
      </c>
      <c r="C510" s="497"/>
      <c r="D510" s="473" t="s">
        <v>3410</v>
      </c>
      <c r="E510" s="497"/>
      <c r="F510" s="495" t="s">
        <v>3410</v>
      </c>
      <c r="G510" s="495" t="s">
        <v>288</v>
      </c>
      <c r="H510" s="473" t="s">
        <v>3407</v>
      </c>
      <c r="I510" s="473" t="s">
        <v>34</v>
      </c>
      <c r="J510" s="498">
        <v>45244</v>
      </c>
      <c r="K510" s="473" t="s">
        <v>1263</v>
      </c>
      <c r="L510" s="499">
        <v>0.94</v>
      </c>
      <c r="M510" s="497"/>
      <c r="N510" s="473" t="s">
        <v>2703</v>
      </c>
      <c r="O510" s="495" t="s">
        <v>2415</v>
      </c>
      <c r="P510" s="495" t="s">
        <v>500</v>
      </c>
      <c r="Q510" s="497"/>
      <c r="R510" s="473" t="s">
        <v>48</v>
      </c>
      <c r="S510" s="495" t="s">
        <v>2707</v>
      </c>
      <c r="T510" s="495" t="s">
        <v>462</v>
      </c>
      <c r="U510" s="484" t="str">
        <f>IFERROR(VLOOKUP(N510,'Thông số'!$B:$F,5,0),"")</f>
        <v/>
      </c>
    </row>
    <row r="511" ht="14.25" customHeight="1" spans="1:21">
      <c r="A511" s="494">
        <v>13</v>
      </c>
      <c r="B511" s="495" t="s">
        <v>2708</v>
      </c>
      <c r="C511" s="497"/>
      <c r="D511" s="473" t="s">
        <v>3411</v>
      </c>
      <c r="E511" s="497"/>
      <c r="F511" s="495" t="s">
        <v>3411</v>
      </c>
      <c r="G511" s="495" t="s">
        <v>288</v>
      </c>
      <c r="H511" s="473" t="s">
        <v>3407</v>
      </c>
      <c r="I511" s="473" t="s">
        <v>34</v>
      </c>
      <c r="J511" s="498">
        <v>45244</v>
      </c>
      <c r="K511" s="473" t="s">
        <v>1263</v>
      </c>
      <c r="L511" s="499">
        <v>0.94</v>
      </c>
      <c r="M511" s="497"/>
      <c r="N511" s="473" t="s">
        <v>2703</v>
      </c>
      <c r="O511" s="495" t="s">
        <v>2415</v>
      </c>
      <c r="P511" s="495" t="s">
        <v>500</v>
      </c>
      <c r="Q511" s="497"/>
      <c r="R511" s="473" t="s">
        <v>48</v>
      </c>
      <c r="S511" s="495" t="s">
        <v>2709</v>
      </c>
      <c r="T511" s="495" t="s">
        <v>462</v>
      </c>
      <c r="U511" s="484" t="str">
        <f>IFERROR(VLOOKUP(N511,'Thông số'!$B:$F,5,0),"")</f>
        <v/>
      </c>
    </row>
    <row r="512" ht="14.25" customHeight="1" spans="1:21">
      <c r="A512" s="494">
        <v>14</v>
      </c>
      <c r="B512" s="495" t="s">
        <v>2710</v>
      </c>
      <c r="C512" s="497"/>
      <c r="D512" s="473" t="s">
        <v>3412</v>
      </c>
      <c r="E512" s="497"/>
      <c r="F512" s="495" t="s">
        <v>3412</v>
      </c>
      <c r="G512" s="495" t="s">
        <v>288</v>
      </c>
      <c r="H512" s="473" t="s">
        <v>3407</v>
      </c>
      <c r="I512" s="473" t="s">
        <v>34</v>
      </c>
      <c r="J512" s="498">
        <v>45298</v>
      </c>
      <c r="K512" s="473" t="s">
        <v>1263</v>
      </c>
      <c r="L512" s="499">
        <v>0.98</v>
      </c>
      <c r="M512" s="497"/>
      <c r="N512" s="473" t="s">
        <v>2703</v>
      </c>
      <c r="O512" s="495" t="s">
        <v>2415</v>
      </c>
      <c r="P512" s="495" t="s">
        <v>500</v>
      </c>
      <c r="Q512" s="497"/>
      <c r="R512" s="473" t="s">
        <v>48</v>
      </c>
      <c r="S512" s="495" t="s">
        <v>2711</v>
      </c>
      <c r="T512" s="495" t="s">
        <v>462</v>
      </c>
      <c r="U512" s="484" t="str">
        <f>IFERROR(VLOOKUP(N512,'Thông số'!$B:$F,5,0),"")</f>
        <v/>
      </c>
    </row>
    <row r="513" ht="14.25" customHeight="1" spans="1:21">
      <c r="A513" s="494">
        <v>15</v>
      </c>
      <c r="B513" s="495" t="s">
        <v>2702</v>
      </c>
      <c r="C513" s="497"/>
      <c r="D513" s="473" t="s">
        <v>3413</v>
      </c>
      <c r="E513" s="497"/>
      <c r="F513" s="495" t="s">
        <v>3413</v>
      </c>
      <c r="G513" s="495" t="s">
        <v>288</v>
      </c>
      <c r="H513" s="473" t="s">
        <v>3407</v>
      </c>
      <c r="I513" s="473" t="s">
        <v>34</v>
      </c>
      <c r="J513" s="498">
        <v>45294</v>
      </c>
      <c r="K513" s="473" t="s">
        <v>1263</v>
      </c>
      <c r="L513" s="499">
        <v>0.95</v>
      </c>
      <c r="M513" s="497"/>
      <c r="N513" s="473" t="s">
        <v>2703</v>
      </c>
      <c r="O513" s="495" t="s">
        <v>2415</v>
      </c>
      <c r="P513" s="495" t="s">
        <v>500</v>
      </c>
      <c r="Q513" s="497"/>
      <c r="R513" s="473" t="s">
        <v>48</v>
      </c>
      <c r="S513" s="495" t="s">
        <v>2712</v>
      </c>
      <c r="T513" s="495" t="s">
        <v>462</v>
      </c>
      <c r="U513" s="484" t="str">
        <f>IFERROR(VLOOKUP(N513,'Thông số'!$B:$F,5,0),"")</f>
        <v/>
      </c>
    </row>
    <row r="514" ht="14.25" customHeight="1" spans="1:21">
      <c r="A514" s="494">
        <v>16</v>
      </c>
      <c r="B514" s="495" t="s">
        <v>2713</v>
      </c>
      <c r="C514" s="495" t="s">
        <v>2713</v>
      </c>
      <c r="D514" s="473" t="s">
        <v>3414</v>
      </c>
      <c r="E514" s="497"/>
      <c r="F514" s="495" t="s">
        <v>3414</v>
      </c>
      <c r="G514" s="495" t="s">
        <v>288</v>
      </c>
      <c r="H514" s="473" t="s">
        <v>3407</v>
      </c>
      <c r="I514" s="473" t="s">
        <v>34</v>
      </c>
      <c r="J514" s="498">
        <v>45200</v>
      </c>
      <c r="K514" s="473" t="s">
        <v>1263</v>
      </c>
      <c r="L514" s="499">
        <v>0.95</v>
      </c>
      <c r="M514" s="497"/>
      <c r="N514" s="473" t="s">
        <v>2703</v>
      </c>
      <c r="O514" s="495" t="s">
        <v>2415</v>
      </c>
      <c r="P514" s="495" t="s">
        <v>500</v>
      </c>
      <c r="Q514" s="497"/>
      <c r="R514" s="473" t="s">
        <v>48</v>
      </c>
      <c r="S514" s="495" t="s">
        <v>2714</v>
      </c>
      <c r="T514" s="495" t="s">
        <v>462</v>
      </c>
      <c r="U514" s="484" t="str">
        <f>IFERROR(VLOOKUP(N514,'Thông số'!$B:$F,5,0),"")</f>
        <v/>
      </c>
    </row>
    <row r="515" ht="14.25" customHeight="1" spans="1:21">
      <c r="A515" s="494">
        <v>17</v>
      </c>
      <c r="B515" s="495" t="s">
        <v>2715</v>
      </c>
      <c r="C515" s="495" t="s">
        <v>2705</v>
      </c>
      <c r="D515" s="473" t="s">
        <v>6730</v>
      </c>
      <c r="E515" s="497"/>
      <c r="F515" s="497"/>
      <c r="G515" s="495" t="s">
        <v>288</v>
      </c>
      <c r="H515" s="473" t="s">
        <v>3407</v>
      </c>
      <c r="I515" s="473" t="s">
        <v>34</v>
      </c>
      <c r="J515" s="497"/>
      <c r="K515" s="473" t="s">
        <v>1263</v>
      </c>
      <c r="L515" s="497"/>
      <c r="M515" s="497"/>
      <c r="N515" s="473" t="s">
        <v>2703</v>
      </c>
      <c r="O515" s="495" t="s">
        <v>2716</v>
      </c>
      <c r="P515" s="495" t="s">
        <v>500</v>
      </c>
      <c r="Q515" s="497"/>
      <c r="R515" s="473" t="s">
        <v>48</v>
      </c>
      <c r="S515" s="495" t="s">
        <v>2717</v>
      </c>
      <c r="T515" s="495" t="s">
        <v>462</v>
      </c>
      <c r="U515" s="484" t="str">
        <f>IFERROR(VLOOKUP(N515,'Thông số'!$B:$F,5,0),"")</f>
        <v/>
      </c>
    </row>
    <row r="516" ht="14.25" customHeight="1" spans="1:21">
      <c r="A516" s="494">
        <v>18</v>
      </c>
      <c r="B516" s="495" t="s">
        <v>2718</v>
      </c>
      <c r="C516" s="497"/>
      <c r="D516" s="473" t="s">
        <v>6731</v>
      </c>
      <c r="E516" s="497"/>
      <c r="F516" s="497"/>
      <c r="G516" s="495" t="s">
        <v>288</v>
      </c>
      <c r="H516" s="473" t="s">
        <v>3407</v>
      </c>
      <c r="I516" s="473" t="s">
        <v>34</v>
      </c>
      <c r="J516" s="497"/>
      <c r="K516" s="473" t="s">
        <v>1263</v>
      </c>
      <c r="L516" s="497"/>
      <c r="M516" s="497"/>
      <c r="N516" s="473" t="s">
        <v>2703</v>
      </c>
      <c r="O516" s="495" t="s">
        <v>2719</v>
      </c>
      <c r="P516" s="497"/>
      <c r="Q516" s="497"/>
      <c r="R516" s="473" t="s">
        <v>48</v>
      </c>
      <c r="S516" s="495" t="s">
        <v>2720</v>
      </c>
      <c r="T516" s="495" t="s">
        <v>462</v>
      </c>
      <c r="U516" s="484" t="str">
        <f>IFERROR(VLOOKUP(N516,'Thông số'!$B:$F,5,0),"")</f>
        <v/>
      </c>
    </row>
    <row r="517" ht="14.25" customHeight="1" spans="1:21">
      <c r="A517" s="494">
        <v>19</v>
      </c>
      <c r="B517" s="495" t="s">
        <v>2721</v>
      </c>
      <c r="C517" s="495" t="s">
        <v>2708</v>
      </c>
      <c r="D517" s="473" t="s">
        <v>6732</v>
      </c>
      <c r="E517" s="497"/>
      <c r="F517" s="497"/>
      <c r="G517" s="495" t="s">
        <v>288</v>
      </c>
      <c r="H517" s="473" t="s">
        <v>3407</v>
      </c>
      <c r="I517" s="473" t="s">
        <v>34</v>
      </c>
      <c r="J517" s="497"/>
      <c r="K517" s="473" t="s">
        <v>1263</v>
      </c>
      <c r="L517" s="497"/>
      <c r="M517" s="509"/>
      <c r="N517" s="473" t="s">
        <v>2703</v>
      </c>
      <c r="O517" s="495" t="s">
        <v>2719</v>
      </c>
      <c r="P517" s="497"/>
      <c r="Q517" s="497"/>
      <c r="R517" s="473" t="s">
        <v>48</v>
      </c>
      <c r="S517" s="495" t="s">
        <v>2722</v>
      </c>
      <c r="T517" s="495" t="s">
        <v>462</v>
      </c>
      <c r="U517" s="484" t="str">
        <f>IFERROR(VLOOKUP(N517,'Thông số'!$B:$F,5,0),"")</f>
        <v/>
      </c>
    </row>
    <row r="518" ht="14.25" customHeight="1" spans="1:21">
      <c r="A518" s="527"/>
      <c r="B518" s="497"/>
      <c r="C518" s="495" t="s">
        <v>1034</v>
      </c>
      <c r="D518" s="497"/>
      <c r="E518" s="497"/>
      <c r="F518" s="497"/>
      <c r="G518" s="497"/>
      <c r="H518" s="497"/>
      <c r="I518" s="497"/>
      <c r="J518" s="497"/>
      <c r="K518" s="473" t="s">
        <v>1263</v>
      </c>
      <c r="L518" s="497"/>
      <c r="M518" s="497"/>
      <c r="N518" s="497"/>
      <c r="O518" s="497"/>
      <c r="P518" s="497"/>
      <c r="Q518" s="497"/>
      <c r="R518" s="497"/>
      <c r="S518" s="497"/>
      <c r="T518" s="497"/>
      <c r="U518" s="484" t="str">
        <f>IFERROR(VLOOKUP(N518,'Thông số'!$B:$F,5,0),"")</f>
        <v/>
      </c>
    </row>
    <row r="519" ht="14.25" customHeight="1" spans="1:21">
      <c r="A519" s="481" t="s">
        <v>2723</v>
      </c>
      <c r="B519" s="482"/>
      <c r="C519" s="483">
        <v>23</v>
      </c>
      <c r="D519" s="482"/>
      <c r="E519" s="482"/>
      <c r="F519" s="482"/>
      <c r="G519" s="482"/>
      <c r="H519" s="497"/>
      <c r="I519" s="482"/>
      <c r="J519" s="482"/>
      <c r="K519" s="482"/>
      <c r="L519" s="482"/>
      <c r="M519" s="482"/>
      <c r="N519" s="482"/>
      <c r="O519" s="482"/>
      <c r="P519" s="482"/>
      <c r="Q519" s="482"/>
      <c r="R519" s="482"/>
      <c r="S519" s="482"/>
      <c r="T519" s="482"/>
      <c r="U519" s="484" t="str">
        <f>IFERROR(VLOOKUP(N519,'Thông số'!$B:$F,5,0),"")</f>
        <v/>
      </c>
    </row>
    <row r="520" ht="14.25" customHeight="1" spans="1:21">
      <c r="A520" s="494">
        <v>1</v>
      </c>
      <c r="B520" s="495" t="s">
        <v>2724</v>
      </c>
      <c r="C520" s="495" t="s">
        <v>2725</v>
      </c>
      <c r="D520" s="497"/>
      <c r="E520" s="497"/>
      <c r="F520" s="495" t="s">
        <v>1624</v>
      </c>
      <c r="G520" s="495" t="s">
        <v>200</v>
      </c>
      <c r="H520" s="473" t="s">
        <v>6574</v>
      </c>
      <c r="I520" s="473" t="s">
        <v>2727</v>
      </c>
      <c r="J520" s="498">
        <v>42186</v>
      </c>
      <c r="K520" s="473" t="s">
        <v>1263</v>
      </c>
      <c r="L520" s="499">
        <v>0</v>
      </c>
      <c r="M520" s="501" t="s">
        <v>2726</v>
      </c>
      <c r="N520" s="473" t="s">
        <v>1137</v>
      </c>
      <c r="O520" s="495" t="s">
        <v>759</v>
      </c>
      <c r="P520" s="495" t="s">
        <v>453</v>
      </c>
      <c r="Q520" s="473">
        <v>2015</v>
      </c>
      <c r="R520" s="473" t="s">
        <v>41</v>
      </c>
      <c r="S520" s="495">
        <v>1659</v>
      </c>
      <c r="T520" s="495" t="s">
        <v>462</v>
      </c>
      <c r="U520" s="484" t="str">
        <f>IFERROR(VLOOKUP(N520,'Thông số'!$B:$F,5,0),"")</f>
        <v>3120 x 1495 x 1510</v>
      </c>
    </row>
    <row r="521" ht="14.25" customHeight="1" spans="1:21">
      <c r="A521" s="494">
        <v>2</v>
      </c>
      <c r="B521" s="495" t="s">
        <v>2728</v>
      </c>
      <c r="C521" s="495" t="s">
        <v>2729</v>
      </c>
      <c r="D521" s="473" t="s">
        <v>2730</v>
      </c>
      <c r="E521" s="473" t="s">
        <v>2731</v>
      </c>
      <c r="F521" s="495" t="s">
        <v>2730</v>
      </c>
      <c r="G521" s="495" t="s">
        <v>251</v>
      </c>
      <c r="H521" s="497"/>
      <c r="I521" s="473" t="s">
        <v>2735</v>
      </c>
      <c r="J521" s="498">
        <v>45301</v>
      </c>
      <c r="K521" s="473" t="s">
        <v>1263</v>
      </c>
      <c r="L521" s="499">
        <v>0.98</v>
      </c>
      <c r="M521" s="501" t="s">
        <v>2732</v>
      </c>
      <c r="N521" s="473" t="s">
        <v>1153</v>
      </c>
      <c r="O521" s="495" t="s">
        <v>1152</v>
      </c>
      <c r="P521" s="495" t="s">
        <v>500</v>
      </c>
      <c r="Q521" s="473">
        <v>2021</v>
      </c>
      <c r="R521" s="473" t="s">
        <v>44</v>
      </c>
      <c r="S521" s="495" t="s">
        <v>2733</v>
      </c>
      <c r="T521" s="495" t="s">
        <v>2734</v>
      </c>
      <c r="U521" s="484" t="str">
        <f>IFERROR(VLOOKUP(N521,'Thông số'!$B:$F,5,0),"")</f>
        <v>4730 x 1750 x 2100</v>
      </c>
    </row>
    <row r="522" ht="14.25" customHeight="1" spans="1:21">
      <c r="A522" s="489">
        <v>3</v>
      </c>
      <c r="B522" s="490" t="s">
        <v>2736</v>
      </c>
      <c r="C522" s="491"/>
      <c r="D522" s="491"/>
      <c r="E522" s="491"/>
      <c r="F522" s="491"/>
      <c r="G522" s="490" t="s">
        <v>200</v>
      </c>
      <c r="H522" s="470" t="s">
        <v>6574</v>
      </c>
      <c r="I522" s="470" t="s">
        <v>2727</v>
      </c>
      <c r="J522" s="491"/>
      <c r="K522" s="470" t="s">
        <v>1126</v>
      </c>
      <c r="L522" s="491"/>
      <c r="M522" s="491"/>
      <c r="N522" s="470" t="s">
        <v>1137</v>
      </c>
      <c r="O522" s="490" t="s">
        <v>759</v>
      </c>
      <c r="P522" s="490" t="s">
        <v>453</v>
      </c>
      <c r="Q522" s="470">
        <v>2015</v>
      </c>
      <c r="R522" s="470" t="s">
        <v>41</v>
      </c>
      <c r="S522" s="490">
        <v>1720</v>
      </c>
      <c r="T522" s="490" t="s">
        <v>462</v>
      </c>
      <c r="U522" s="484" t="str">
        <f>IFERROR(VLOOKUP(N522,'Thông số'!$B:$F,5,0),"")</f>
        <v>3120 x 1495 x 1510</v>
      </c>
    </row>
    <row r="523" ht="14.25" customHeight="1" spans="1:21">
      <c r="A523" s="489">
        <v>4</v>
      </c>
      <c r="B523" s="490" t="s">
        <v>1414</v>
      </c>
      <c r="C523" s="491"/>
      <c r="D523" s="470" t="s">
        <v>6733</v>
      </c>
      <c r="E523" s="491"/>
      <c r="F523" s="491"/>
      <c r="G523" s="490" t="s">
        <v>6734</v>
      </c>
      <c r="H523" s="491"/>
      <c r="I523" s="470" t="s">
        <v>14</v>
      </c>
      <c r="J523" s="492">
        <v>45322</v>
      </c>
      <c r="K523" s="470" t="s">
        <v>1126</v>
      </c>
      <c r="L523" s="491"/>
      <c r="M523" s="505" t="s">
        <v>6735</v>
      </c>
      <c r="N523" s="470" t="s">
        <v>1417</v>
      </c>
      <c r="O523" s="490" t="s">
        <v>621</v>
      </c>
      <c r="P523" s="490" t="s">
        <v>500</v>
      </c>
      <c r="Q523" s="470">
        <v>2010</v>
      </c>
      <c r="R523" s="470" t="s">
        <v>85</v>
      </c>
      <c r="S523" s="490" t="s">
        <v>6736</v>
      </c>
      <c r="T523" s="490" t="s">
        <v>462</v>
      </c>
      <c r="U523" s="484" t="str">
        <f>IFERROR(VLOOKUP(N523,'Thông số'!$B:$F,5,0),"")</f>
        <v>6170 x 2330 x 2750</v>
      </c>
    </row>
    <row r="524" ht="14.25" customHeight="1" spans="1:21">
      <c r="A524" s="494">
        <v>5</v>
      </c>
      <c r="B524" s="495" t="s">
        <v>2738</v>
      </c>
      <c r="C524" s="497"/>
      <c r="D524" s="497"/>
      <c r="E524" s="473" t="s">
        <v>2739</v>
      </c>
      <c r="F524" s="497"/>
      <c r="G524" s="495" t="s">
        <v>261</v>
      </c>
      <c r="H524" s="497"/>
      <c r="I524" s="473" t="s">
        <v>35</v>
      </c>
      <c r="J524" s="497"/>
      <c r="K524" s="473" t="s">
        <v>1263</v>
      </c>
      <c r="L524" s="497"/>
      <c r="M524" s="501" t="s">
        <v>2740</v>
      </c>
      <c r="N524" s="473" t="s">
        <v>2743</v>
      </c>
      <c r="O524" s="495" t="s">
        <v>2741</v>
      </c>
      <c r="P524" s="495" t="s">
        <v>2742</v>
      </c>
      <c r="Q524" s="473">
        <v>2018</v>
      </c>
      <c r="R524" s="473" t="s">
        <v>2744</v>
      </c>
      <c r="S524" s="495" t="s">
        <v>2745</v>
      </c>
      <c r="T524" s="495" t="s">
        <v>2746</v>
      </c>
      <c r="U524" s="484" t="str">
        <f>IFERROR(VLOOKUP(N524,'Thông số'!$B:$F,5,0),"")</f>
        <v/>
      </c>
    </row>
    <row r="525" ht="14.25" customHeight="1" spans="1:21">
      <c r="A525" s="494">
        <v>6</v>
      </c>
      <c r="B525" s="495" t="s">
        <v>2748</v>
      </c>
      <c r="C525" s="497"/>
      <c r="D525" s="497"/>
      <c r="E525" s="473" t="s">
        <v>2749</v>
      </c>
      <c r="F525" s="497"/>
      <c r="G525" s="495" t="s">
        <v>261</v>
      </c>
      <c r="H525" s="497"/>
      <c r="I525" s="473" t="s">
        <v>35</v>
      </c>
      <c r="J525" s="497"/>
      <c r="K525" s="473" t="s">
        <v>1263</v>
      </c>
      <c r="L525" s="497"/>
      <c r="M525" s="501" t="s">
        <v>2750</v>
      </c>
      <c r="N525" s="473" t="s">
        <v>2743</v>
      </c>
      <c r="O525" s="495" t="s">
        <v>2741</v>
      </c>
      <c r="P525" s="495" t="s">
        <v>2742</v>
      </c>
      <c r="Q525" s="473">
        <v>2018</v>
      </c>
      <c r="R525" s="473" t="s">
        <v>2744</v>
      </c>
      <c r="S525" s="495" t="s">
        <v>2751</v>
      </c>
      <c r="T525" s="495" t="s">
        <v>2752</v>
      </c>
      <c r="U525" s="484" t="str">
        <f>IFERROR(VLOOKUP(N525,'Thông số'!$B:$F,5,0),"")</f>
        <v/>
      </c>
    </row>
    <row r="526" ht="14.25" customHeight="1" spans="1:21">
      <c r="A526" s="494">
        <v>7</v>
      </c>
      <c r="B526" s="495" t="s">
        <v>2753</v>
      </c>
      <c r="C526" s="497"/>
      <c r="D526" s="497"/>
      <c r="E526" s="473" t="s">
        <v>2754</v>
      </c>
      <c r="F526" s="497"/>
      <c r="G526" s="495" t="s">
        <v>261</v>
      </c>
      <c r="H526" s="497"/>
      <c r="I526" s="473" t="s">
        <v>35</v>
      </c>
      <c r="J526" s="497"/>
      <c r="K526" s="473" t="s">
        <v>1263</v>
      </c>
      <c r="L526" s="497"/>
      <c r="M526" s="501" t="s">
        <v>2755</v>
      </c>
      <c r="N526" s="473" t="s">
        <v>2743</v>
      </c>
      <c r="O526" s="495" t="s">
        <v>2741</v>
      </c>
      <c r="P526" s="495" t="s">
        <v>2742</v>
      </c>
      <c r="Q526" s="473">
        <v>2018</v>
      </c>
      <c r="R526" s="473" t="s">
        <v>2744</v>
      </c>
      <c r="S526" s="497"/>
      <c r="T526" s="497"/>
      <c r="U526" s="484" t="str">
        <f>IFERROR(VLOOKUP(N526,'Thông số'!$B:$F,5,0),"")</f>
        <v/>
      </c>
    </row>
    <row r="527" ht="14.25" customHeight="1" spans="1:21">
      <c r="A527" s="494">
        <v>8</v>
      </c>
      <c r="B527" s="495" t="s">
        <v>2757</v>
      </c>
      <c r="C527" s="497"/>
      <c r="D527" s="497"/>
      <c r="E527" s="473" t="s">
        <v>2758</v>
      </c>
      <c r="F527" s="497"/>
      <c r="G527" s="495" t="s">
        <v>261</v>
      </c>
      <c r="H527" s="497"/>
      <c r="I527" s="473" t="s">
        <v>35</v>
      </c>
      <c r="J527" s="497"/>
      <c r="K527" s="473" t="s">
        <v>1263</v>
      </c>
      <c r="L527" s="497"/>
      <c r="M527" s="501" t="s">
        <v>2759</v>
      </c>
      <c r="N527" s="473" t="s">
        <v>2743</v>
      </c>
      <c r="O527" s="495" t="s">
        <v>2741</v>
      </c>
      <c r="P527" s="495" t="s">
        <v>2742</v>
      </c>
      <c r="Q527" s="473">
        <v>2018</v>
      </c>
      <c r="R527" s="473" t="s">
        <v>2744</v>
      </c>
      <c r="S527" s="495" t="s">
        <v>2760</v>
      </c>
      <c r="T527" s="495" t="s">
        <v>2761</v>
      </c>
      <c r="U527" s="484" t="str">
        <f>IFERROR(VLOOKUP(N527,'Thông số'!$B:$F,5,0),"")</f>
        <v/>
      </c>
    </row>
    <row r="528" ht="14.25" customHeight="1" spans="1:21">
      <c r="A528" s="494">
        <v>9</v>
      </c>
      <c r="B528" s="495" t="s">
        <v>2762</v>
      </c>
      <c r="C528" s="497"/>
      <c r="D528" s="497"/>
      <c r="E528" s="473" t="s">
        <v>2763</v>
      </c>
      <c r="F528" s="497"/>
      <c r="G528" s="495" t="s">
        <v>261</v>
      </c>
      <c r="H528" s="497"/>
      <c r="I528" s="473" t="s">
        <v>35</v>
      </c>
      <c r="J528" s="497"/>
      <c r="K528" s="473" t="s">
        <v>1263</v>
      </c>
      <c r="L528" s="497"/>
      <c r="M528" s="501" t="s">
        <v>2764</v>
      </c>
      <c r="N528" s="473" t="s">
        <v>2743</v>
      </c>
      <c r="O528" s="495" t="s">
        <v>2741</v>
      </c>
      <c r="P528" s="495" t="s">
        <v>2742</v>
      </c>
      <c r="Q528" s="473">
        <v>2017</v>
      </c>
      <c r="R528" s="473" t="s">
        <v>2744</v>
      </c>
      <c r="S528" s="495" t="s">
        <v>2765</v>
      </c>
      <c r="T528" s="495" t="s">
        <v>2766</v>
      </c>
      <c r="U528" s="484" t="str">
        <f>IFERROR(VLOOKUP(N528,'Thông số'!$B:$F,5,0),"")</f>
        <v/>
      </c>
    </row>
    <row r="529" ht="14.25" customHeight="1" spans="1:21">
      <c r="A529" s="494">
        <v>10</v>
      </c>
      <c r="B529" s="495" t="s">
        <v>2768</v>
      </c>
      <c r="C529" s="497"/>
      <c r="D529" s="497"/>
      <c r="E529" s="473" t="s">
        <v>2769</v>
      </c>
      <c r="F529" s="497"/>
      <c r="G529" s="495" t="s">
        <v>262</v>
      </c>
      <c r="H529" s="497"/>
      <c r="I529" s="473" t="s">
        <v>35</v>
      </c>
      <c r="J529" s="497"/>
      <c r="K529" s="473" t="s">
        <v>1263</v>
      </c>
      <c r="L529" s="497"/>
      <c r="M529" s="501" t="s">
        <v>2770</v>
      </c>
      <c r="N529" s="473" t="s">
        <v>2772</v>
      </c>
      <c r="O529" s="495" t="s">
        <v>2771</v>
      </c>
      <c r="P529" s="495" t="s">
        <v>1009</v>
      </c>
      <c r="Q529" s="473">
        <v>2014</v>
      </c>
      <c r="R529" s="473" t="s">
        <v>2773</v>
      </c>
      <c r="S529" s="497"/>
      <c r="T529" s="497"/>
      <c r="U529" s="484" t="str">
        <f>IFERROR(VLOOKUP(N529,'Thông số'!$B:$F,5,0),"")</f>
        <v/>
      </c>
    </row>
    <row r="530" ht="14.25" customHeight="1" spans="1:21">
      <c r="A530" s="494">
        <v>11</v>
      </c>
      <c r="B530" s="495" t="s">
        <v>2775</v>
      </c>
      <c r="C530" s="497"/>
      <c r="D530" s="497"/>
      <c r="E530" s="473" t="s">
        <v>2776</v>
      </c>
      <c r="F530" s="497"/>
      <c r="G530" s="495" t="s">
        <v>261</v>
      </c>
      <c r="H530" s="497"/>
      <c r="I530" s="473" t="s">
        <v>35</v>
      </c>
      <c r="J530" s="497"/>
      <c r="K530" s="473" t="s">
        <v>1263</v>
      </c>
      <c r="L530" s="497"/>
      <c r="M530" s="501" t="s">
        <v>2777</v>
      </c>
      <c r="N530" s="473" t="s">
        <v>2743</v>
      </c>
      <c r="O530" s="495" t="s">
        <v>2741</v>
      </c>
      <c r="P530" s="495" t="s">
        <v>2742</v>
      </c>
      <c r="Q530" s="473">
        <v>2018</v>
      </c>
      <c r="R530" s="473" t="s">
        <v>2744</v>
      </c>
      <c r="S530" s="495" t="s">
        <v>2778</v>
      </c>
      <c r="T530" s="495" t="s">
        <v>2779</v>
      </c>
      <c r="U530" s="484" t="str">
        <f>IFERROR(VLOOKUP(N530,'Thông số'!$B:$F,5,0),"")</f>
        <v/>
      </c>
    </row>
    <row r="531" ht="14.25" customHeight="1" spans="1:21">
      <c r="A531" s="494">
        <v>12</v>
      </c>
      <c r="B531" s="495" t="s">
        <v>2780</v>
      </c>
      <c r="C531" s="497"/>
      <c r="D531" s="497"/>
      <c r="E531" s="473" t="s">
        <v>2781</v>
      </c>
      <c r="F531" s="497"/>
      <c r="G531" s="495" t="s">
        <v>263</v>
      </c>
      <c r="H531" s="497"/>
      <c r="I531" s="473" t="s">
        <v>35</v>
      </c>
      <c r="J531" s="497"/>
      <c r="K531" s="473" t="s">
        <v>1263</v>
      </c>
      <c r="L531" s="497"/>
      <c r="M531" s="501" t="s">
        <v>2777</v>
      </c>
      <c r="N531" s="473" t="s">
        <v>2782</v>
      </c>
      <c r="O531" s="495" t="s">
        <v>1473</v>
      </c>
      <c r="P531" s="495" t="s">
        <v>2742</v>
      </c>
      <c r="Q531" s="473">
        <v>2019</v>
      </c>
      <c r="R531" s="473" t="s">
        <v>151</v>
      </c>
      <c r="S531" s="495" t="s">
        <v>2783</v>
      </c>
      <c r="T531" s="495" t="s">
        <v>2784</v>
      </c>
      <c r="U531" s="484" t="str">
        <f>IFERROR(VLOOKUP(N531,'Thông số'!$B:$F,5,0),"")</f>
        <v/>
      </c>
    </row>
    <row r="532" ht="14.25" customHeight="1" spans="1:21">
      <c r="A532" s="494">
        <v>13</v>
      </c>
      <c r="B532" s="495" t="s">
        <v>2785</v>
      </c>
      <c r="C532" s="497"/>
      <c r="D532" s="497"/>
      <c r="E532" s="473" t="s">
        <v>2786</v>
      </c>
      <c r="F532" s="497"/>
      <c r="G532" s="495" t="s">
        <v>264</v>
      </c>
      <c r="H532" s="497"/>
      <c r="I532" s="473" t="s">
        <v>35</v>
      </c>
      <c r="J532" s="497"/>
      <c r="K532" s="473" t="s">
        <v>1263</v>
      </c>
      <c r="L532" s="497"/>
      <c r="M532" s="501" t="s">
        <v>2787</v>
      </c>
      <c r="N532" s="473" t="s">
        <v>2789</v>
      </c>
      <c r="O532" s="495" t="s">
        <v>2788</v>
      </c>
      <c r="P532" s="495" t="s">
        <v>555</v>
      </c>
      <c r="Q532" s="473">
        <v>2009</v>
      </c>
      <c r="R532" s="473" t="s">
        <v>2790</v>
      </c>
      <c r="S532" s="495" t="s">
        <v>2791</v>
      </c>
      <c r="T532" s="495" t="s">
        <v>2792</v>
      </c>
      <c r="U532" s="484" t="str">
        <f>IFERROR(VLOOKUP(N532,'Thông số'!$B:$F,5,0),"")</f>
        <v/>
      </c>
    </row>
    <row r="533" ht="14.25" customHeight="1" spans="1:21">
      <c r="A533" s="494">
        <v>14</v>
      </c>
      <c r="B533" s="495" t="s">
        <v>2794</v>
      </c>
      <c r="C533" s="497"/>
      <c r="D533" s="497"/>
      <c r="E533" s="473" t="s">
        <v>2795</v>
      </c>
      <c r="F533" s="497"/>
      <c r="G533" s="495" t="s">
        <v>265</v>
      </c>
      <c r="H533" s="497"/>
      <c r="I533" s="473" t="s">
        <v>35</v>
      </c>
      <c r="J533" s="497"/>
      <c r="K533" s="473" t="s">
        <v>1263</v>
      </c>
      <c r="L533" s="497"/>
      <c r="M533" s="501" t="s">
        <v>2796</v>
      </c>
      <c r="N533" s="473" t="s">
        <v>2797</v>
      </c>
      <c r="O533" s="495" t="s">
        <v>2788</v>
      </c>
      <c r="P533" s="495" t="s">
        <v>555</v>
      </c>
      <c r="Q533" s="473">
        <v>2013</v>
      </c>
      <c r="R533" s="473" t="s">
        <v>2744</v>
      </c>
      <c r="S533" s="495" t="s">
        <v>2798</v>
      </c>
      <c r="T533" s="495" t="s">
        <v>2799</v>
      </c>
      <c r="U533" s="484" t="str">
        <f>IFERROR(VLOOKUP(N533,'Thông số'!$B:$F,5,0),"")</f>
        <v/>
      </c>
    </row>
    <row r="534" ht="14.25" customHeight="1" spans="1:21">
      <c r="A534" s="494">
        <v>15</v>
      </c>
      <c r="B534" s="495" t="s">
        <v>2801</v>
      </c>
      <c r="C534" s="497"/>
      <c r="D534" s="497"/>
      <c r="E534" s="473" t="s">
        <v>2802</v>
      </c>
      <c r="F534" s="497"/>
      <c r="G534" s="495" t="s">
        <v>266</v>
      </c>
      <c r="H534" s="497"/>
      <c r="I534" s="473" t="s">
        <v>35</v>
      </c>
      <c r="J534" s="497"/>
      <c r="K534" s="473" t="s">
        <v>1263</v>
      </c>
      <c r="L534" s="497"/>
      <c r="M534" s="501" t="s">
        <v>2787</v>
      </c>
      <c r="N534" s="473" t="s">
        <v>2803</v>
      </c>
      <c r="O534" s="495" t="s">
        <v>2741</v>
      </c>
      <c r="P534" s="495" t="s">
        <v>2742</v>
      </c>
      <c r="Q534" s="473">
        <v>2019</v>
      </c>
      <c r="R534" s="473" t="s">
        <v>2804</v>
      </c>
      <c r="S534" s="495" t="s">
        <v>2805</v>
      </c>
      <c r="T534" s="495" t="s">
        <v>2806</v>
      </c>
      <c r="U534" s="484" t="str">
        <f>IFERROR(VLOOKUP(N534,'Thông số'!$B:$F,5,0),"")</f>
        <v/>
      </c>
    </row>
    <row r="535" ht="14.25" customHeight="1" spans="1:21">
      <c r="A535" s="494">
        <v>16</v>
      </c>
      <c r="B535" s="495" t="s">
        <v>2808</v>
      </c>
      <c r="C535" s="497"/>
      <c r="D535" s="497"/>
      <c r="E535" s="473" t="s">
        <v>2809</v>
      </c>
      <c r="F535" s="497"/>
      <c r="G535" s="495" t="s">
        <v>255</v>
      </c>
      <c r="H535" s="497"/>
      <c r="I535" s="473" t="s">
        <v>35</v>
      </c>
      <c r="J535" s="497"/>
      <c r="K535" s="473" t="s">
        <v>1263</v>
      </c>
      <c r="L535" s="497"/>
      <c r="M535" s="501" t="s">
        <v>2810</v>
      </c>
      <c r="N535" s="473" t="s">
        <v>2811</v>
      </c>
      <c r="O535" s="495" t="s">
        <v>1267</v>
      </c>
      <c r="P535" s="495" t="s">
        <v>2742</v>
      </c>
      <c r="Q535" s="473">
        <v>2016</v>
      </c>
      <c r="R535" s="473" t="s">
        <v>124</v>
      </c>
      <c r="S535" s="497"/>
      <c r="T535" s="497"/>
      <c r="U535" s="484" t="str">
        <f>IFERROR(VLOOKUP(N535,'Thông số'!$B:$F,5,0),"")</f>
        <v/>
      </c>
    </row>
    <row r="536" ht="14.25" customHeight="1" spans="1:21">
      <c r="A536" s="494">
        <v>17</v>
      </c>
      <c r="B536" s="495" t="s">
        <v>2812</v>
      </c>
      <c r="C536" s="497"/>
      <c r="D536" s="497"/>
      <c r="E536" s="473" t="s">
        <v>2813</v>
      </c>
      <c r="F536" s="497"/>
      <c r="G536" s="495" t="s">
        <v>262</v>
      </c>
      <c r="H536" s="497"/>
      <c r="I536" s="473" t="s">
        <v>35</v>
      </c>
      <c r="J536" s="497"/>
      <c r="K536" s="473" t="s">
        <v>1263</v>
      </c>
      <c r="L536" s="497"/>
      <c r="M536" s="501" t="s">
        <v>2814</v>
      </c>
      <c r="N536" s="473" t="s">
        <v>2772</v>
      </c>
      <c r="O536" s="495" t="s">
        <v>2771</v>
      </c>
      <c r="P536" s="495" t="s">
        <v>1009</v>
      </c>
      <c r="Q536" s="473">
        <v>2024</v>
      </c>
      <c r="R536" s="473" t="s">
        <v>2773</v>
      </c>
      <c r="S536" s="495" t="s">
        <v>2815</v>
      </c>
      <c r="T536" s="495" t="s">
        <v>2816</v>
      </c>
      <c r="U536" s="484" t="str">
        <f>IFERROR(VLOOKUP(N536,'Thông số'!$B:$F,5,0),"")</f>
        <v/>
      </c>
    </row>
    <row r="537" ht="14.25" customHeight="1" spans="1:21">
      <c r="A537" s="494">
        <v>18</v>
      </c>
      <c r="B537" s="495" t="s">
        <v>2818</v>
      </c>
      <c r="C537" s="497"/>
      <c r="D537" s="497"/>
      <c r="E537" s="473" t="s">
        <v>2819</v>
      </c>
      <c r="F537" s="497"/>
      <c r="G537" s="495" t="s">
        <v>261</v>
      </c>
      <c r="H537" s="497"/>
      <c r="I537" s="473" t="s">
        <v>35</v>
      </c>
      <c r="J537" s="497"/>
      <c r="K537" s="473" t="s">
        <v>1263</v>
      </c>
      <c r="L537" s="497"/>
      <c r="M537" s="501" t="s">
        <v>2820</v>
      </c>
      <c r="N537" s="473" t="s">
        <v>2743</v>
      </c>
      <c r="O537" s="495" t="s">
        <v>2741</v>
      </c>
      <c r="P537" s="495" t="s">
        <v>2742</v>
      </c>
      <c r="Q537" s="473">
        <v>2018</v>
      </c>
      <c r="R537" s="473" t="s">
        <v>2744</v>
      </c>
      <c r="S537" s="495" t="s">
        <v>2821</v>
      </c>
      <c r="T537" s="495" t="s">
        <v>2822</v>
      </c>
      <c r="U537" s="484" t="str">
        <f>IFERROR(VLOOKUP(N537,'Thông số'!$B:$F,5,0),"")</f>
        <v/>
      </c>
    </row>
    <row r="538" ht="14.25" customHeight="1" spans="1:21">
      <c r="A538" s="494">
        <v>19</v>
      </c>
      <c r="B538" s="495" t="s">
        <v>2823</v>
      </c>
      <c r="C538" s="497"/>
      <c r="D538" s="497"/>
      <c r="E538" s="473" t="s">
        <v>2824</v>
      </c>
      <c r="F538" s="497"/>
      <c r="G538" s="495" t="s">
        <v>268</v>
      </c>
      <c r="H538" s="497"/>
      <c r="I538" s="473" t="s">
        <v>35</v>
      </c>
      <c r="J538" s="497"/>
      <c r="K538" s="473" t="s">
        <v>1263</v>
      </c>
      <c r="L538" s="497"/>
      <c r="M538" s="497"/>
      <c r="N538" s="497"/>
      <c r="O538" s="495" t="s">
        <v>2825</v>
      </c>
      <c r="P538" s="497"/>
      <c r="Q538" s="497"/>
      <c r="R538" s="497"/>
      <c r="S538" s="497"/>
      <c r="T538" s="497"/>
      <c r="U538" s="484" t="str">
        <f>IFERROR(VLOOKUP(N538,'Thông số'!$B:$F,5,0),"")</f>
        <v/>
      </c>
    </row>
    <row r="539" ht="14.25" customHeight="1" spans="1:21">
      <c r="A539" s="494">
        <v>20</v>
      </c>
      <c r="B539" s="495" t="s">
        <v>2826</v>
      </c>
      <c r="C539" s="497"/>
      <c r="D539" s="473" t="s">
        <v>2827</v>
      </c>
      <c r="E539" s="473" t="s">
        <v>2828</v>
      </c>
      <c r="F539" s="497"/>
      <c r="G539" s="495" t="s">
        <v>259</v>
      </c>
      <c r="H539" s="497"/>
      <c r="I539" s="473" t="s">
        <v>35</v>
      </c>
      <c r="J539" s="498">
        <v>45541</v>
      </c>
      <c r="K539" s="473" t="s">
        <v>1263</v>
      </c>
      <c r="L539" s="497"/>
      <c r="M539" s="501" t="s">
        <v>1146</v>
      </c>
      <c r="N539" s="473" t="s">
        <v>2829</v>
      </c>
      <c r="O539" s="495" t="s">
        <v>1152</v>
      </c>
      <c r="P539" s="495" t="s">
        <v>500</v>
      </c>
      <c r="Q539" s="473">
        <v>2024</v>
      </c>
      <c r="R539" s="473" t="s">
        <v>44</v>
      </c>
      <c r="S539" s="495" t="s">
        <v>2830</v>
      </c>
      <c r="T539" s="495" t="s">
        <v>2831</v>
      </c>
      <c r="U539" s="484" t="str">
        <f>IFERROR(VLOOKUP(N539,'Thông số'!$B:$F,5,0),"")</f>
        <v>4730 x 1750 x 2100</v>
      </c>
    </row>
    <row r="540" ht="14.25" customHeight="1" spans="1:21">
      <c r="A540" s="494">
        <v>21</v>
      </c>
      <c r="B540" s="495" t="s">
        <v>2832</v>
      </c>
      <c r="C540" s="497"/>
      <c r="D540" s="473" t="s">
        <v>2833</v>
      </c>
      <c r="E540" s="473" t="s">
        <v>2834</v>
      </c>
      <c r="F540" s="497"/>
      <c r="G540" s="495" t="s">
        <v>259</v>
      </c>
      <c r="H540" s="497"/>
      <c r="I540" s="473" t="s">
        <v>35</v>
      </c>
      <c r="J540" s="498">
        <v>45541</v>
      </c>
      <c r="K540" s="473" t="s">
        <v>1263</v>
      </c>
      <c r="L540" s="497"/>
      <c r="M540" s="501" t="s">
        <v>1146</v>
      </c>
      <c r="N540" s="473" t="s">
        <v>2829</v>
      </c>
      <c r="O540" s="495" t="s">
        <v>1152</v>
      </c>
      <c r="P540" s="495" t="s">
        <v>500</v>
      </c>
      <c r="Q540" s="473">
        <v>2024</v>
      </c>
      <c r="R540" s="473" t="s">
        <v>44</v>
      </c>
      <c r="S540" s="495" t="s">
        <v>2835</v>
      </c>
      <c r="T540" s="495" t="s">
        <v>2836</v>
      </c>
      <c r="U540" s="484" t="str">
        <f>IFERROR(VLOOKUP(N540,'Thông số'!$B:$F,5,0),"")</f>
        <v>4730 x 1750 x 2100</v>
      </c>
    </row>
    <row r="541" ht="14.25" customHeight="1" spans="1:21">
      <c r="A541" s="494">
        <v>22</v>
      </c>
      <c r="B541" s="495" t="s">
        <v>2837</v>
      </c>
      <c r="C541" s="497"/>
      <c r="D541" s="473" t="s">
        <v>2838</v>
      </c>
      <c r="E541" s="473" t="s">
        <v>2839</v>
      </c>
      <c r="F541" s="497"/>
      <c r="G541" s="495" t="s">
        <v>259</v>
      </c>
      <c r="H541" s="497"/>
      <c r="I541" s="473" t="s">
        <v>35</v>
      </c>
      <c r="J541" s="498">
        <v>45541</v>
      </c>
      <c r="K541" s="473" t="s">
        <v>1263</v>
      </c>
      <c r="L541" s="497"/>
      <c r="M541" s="501" t="s">
        <v>1146</v>
      </c>
      <c r="N541" s="473" t="s">
        <v>2829</v>
      </c>
      <c r="O541" s="495" t="s">
        <v>1152</v>
      </c>
      <c r="P541" s="495" t="s">
        <v>500</v>
      </c>
      <c r="Q541" s="473">
        <v>2024</v>
      </c>
      <c r="R541" s="473" t="s">
        <v>44</v>
      </c>
      <c r="S541" s="495" t="s">
        <v>2840</v>
      </c>
      <c r="T541" s="495" t="s">
        <v>2841</v>
      </c>
      <c r="U541" s="484" t="str">
        <f>IFERROR(VLOOKUP(N541,'Thông số'!$B:$F,5,0),"")</f>
        <v>4730 x 1750 x 2100</v>
      </c>
    </row>
    <row r="542" ht="14.25" customHeight="1" spans="1:21">
      <c r="A542" s="489">
        <v>23</v>
      </c>
      <c r="B542" s="490" t="s">
        <v>2842</v>
      </c>
      <c r="C542" s="491"/>
      <c r="D542" s="470" t="s">
        <v>2843</v>
      </c>
      <c r="E542" s="491"/>
      <c r="F542" s="491"/>
      <c r="G542" s="490" t="s">
        <v>257</v>
      </c>
      <c r="H542" s="491"/>
      <c r="I542" s="470" t="s">
        <v>35</v>
      </c>
      <c r="J542" s="492">
        <v>45541</v>
      </c>
      <c r="K542" s="470" t="s">
        <v>1126</v>
      </c>
      <c r="L542" s="491"/>
      <c r="M542" s="505" t="s">
        <v>1146</v>
      </c>
      <c r="N542" s="470" t="s">
        <v>2844</v>
      </c>
      <c r="O542" s="490" t="s">
        <v>1152</v>
      </c>
      <c r="P542" s="490" t="s">
        <v>500</v>
      </c>
      <c r="Q542" s="470">
        <v>2023</v>
      </c>
      <c r="R542" s="470" t="s">
        <v>44</v>
      </c>
      <c r="S542" s="490" t="s">
        <v>2845</v>
      </c>
      <c r="T542" s="490" t="s">
        <v>2846</v>
      </c>
      <c r="U542" s="484" t="str">
        <f>IFERROR(VLOOKUP(N542,'Thông số'!$B:$F,5,0),"")</f>
        <v>4730 x 1750 x 2100</v>
      </c>
    </row>
    <row r="543" ht="14.25" customHeight="1" spans="1:21">
      <c r="A543" s="527"/>
      <c r="B543" s="497"/>
      <c r="C543" s="495" t="s">
        <v>1034</v>
      </c>
      <c r="D543" s="497"/>
      <c r="E543" s="497"/>
      <c r="F543" s="497"/>
      <c r="G543" s="497"/>
      <c r="H543" s="497"/>
      <c r="I543" s="497"/>
      <c r="J543" s="497"/>
      <c r="K543" s="473" t="s">
        <v>1263</v>
      </c>
      <c r="L543" s="497"/>
      <c r="M543" s="497"/>
      <c r="N543" s="497"/>
      <c r="O543" s="497"/>
      <c r="P543" s="497"/>
      <c r="Q543" s="497"/>
      <c r="R543" s="497"/>
      <c r="S543" s="497"/>
      <c r="T543" s="497"/>
      <c r="U543" s="484" t="str">
        <f>IFERROR(VLOOKUP(N543,'Thông số'!$B:$F,5,0),"")</f>
        <v/>
      </c>
    </row>
    <row r="544" ht="14.25" customHeight="1" spans="1:21">
      <c r="A544" s="481" t="s">
        <v>2857</v>
      </c>
      <c r="B544" s="482"/>
      <c r="C544" s="483">
        <v>11</v>
      </c>
      <c r="D544" s="482"/>
      <c r="E544" s="482"/>
      <c r="F544" s="482"/>
      <c r="G544" s="482"/>
      <c r="H544" s="497"/>
      <c r="I544" s="482"/>
      <c r="J544" s="482"/>
      <c r="K544" s="482"/>
      <c r="L544" s="482"/>
      <c r="M544" s="482"/>
      <c r="N544" s="482"/>
      <c r="O544" s="482"/>
      <c r="P544" s="482"/>
      <c r="Q544" s="482"/>
      <c r="R544" s="482"/>
      <c r="S544" s="482"/>
      <c r="T544" s="482"/>
      <c r="U544" s="484" t="str">
        <f>IFERROR(VLOOKUP(N544,'Thông số'!$B:$F,5,0),"")</f>
        <v/>
      </c>
    </row>
    <row r="545" ht="14.25" customHeight="1" spans="1:21">
      <c r="A545" s="489">
        <v>1</v>
      </c>
      <c r="B545" s="490" t="s">
        <v>2858</v>
      </c>
      <c r="C545" s="490" t="s">
        <v>6737</v>
      </c>
      <c r="D545" s="470" t="s">
        <v>290</v>
      </c>
      <c r="E545" s="491"/>
      <c r="F545" s="491"/>
      <c r="G545" s="490" t="s">
        <v>116</v>
      </c>
      <c r="H545" s="491"/>
      <c r="I545" s="470" t="s">
        <v>2860</v>
      </c>
      <c r="J545" s="470" t="s">
        <v>2861</v>
      </c>
      <c r="K545" s="470" t="s">
        <v>1126</v>
      </c>
      <c r="L545" s="491"/>
      <c r="M545" s="491"/>
      <c r="N545" s="470" t="s">
        <v>2478</v>
      </c>
      <c r="O545" s="490" t="s">
        <v>1019</v>
      </c>
      <c r="P545" s="490" t="s">
        <v>500</v>
      </c>
      <c r="Q545" s="491"/>
      <c r="R545" s="470" t="s">
        <v>85</v>
      </c>
      <c r="S545" s="490" t="s">
        <v>2862</v>
      </c>
      <c r="T545" s="490" t="s">
        <v>462</v>
      </c>
      <c r="U545" s="484" t="str">
        <f>IFERROR(VLOOKUP(N545,'Thông số'!$B:$F,5,0),"")</f>
        <v>6160 x 2330 x 2750</v>
      </c>
    </row>
    <row r="546" ht="14.25" customHeight="1" spans="1:21">
      <c r="A546" s="494">
        <v>2</v>
      </c>
      <c r="B546" s="495" t="s">
        <v>2863</v>
      </c>
      <c r="C546" s="502"/>
      <c r="D546" s="473" t="s">
        <v>290</v>
      </c>
      <c r="E546" s="502"/>
      <c r="F546" s="502"/>
      <c r="G546" s="495" t="s">
        <v>123</v>
      </c>
      <c r="H546" s="497"/>
      <c r="I546" s="473" t="s">
        <v>2860</v>
      </c>
      <c r="J546" s="530" t="s">
        <v>1850</v>
      </c>
      <c r="K546" s="473" t="s">
        <v>1263</v>
      </c>
      <c r="L546" s="502"/>
      <c r="M546" s="497"/>
      <c r="N546" s="502"/>
      <c r="O546" s="495" t="s">
        <v>1019</v>
      </c>
      <c r="P546" s="495" t="s">
        <v>500</v>
      </c>
      <c r="Q546" s="502"/>
      <c r="R546" s="502"/>
      <c r="S546" s="502"/>
      <c r="T546" s="502"/>
      <c r="U546" s="484" t="str">
        <f>IFERROR(VLOOKUP(N546,'Thông số'!$B:$F,5,0),"")</f>
        <v/>
      </c>
    </row>
    <row r="547" ht="14.25" customHeight="1" spans="1:21">
      <c r="A547" s="494">
        <v>3</v>
      </c>
      <c r="B547" s="495" t="s">
        <v>2866</v>
      </c>
      <c r="C547" s="502"/>
      <c r="D547" s="473" t="s">
        <v>290</v>
      </c>
      <c r="E547" s="502"/>
      <c r="F547" s="502"/>
      <c r="G547" s="495" t="s">
        <v>125</v>
      </c>
      <c r="H547" s="497"/>
      <c r="I547" s="473" t="s">
        <v>2860</v>
      </c>
      <c r="J547" s="473" t="s">
        <v>2861</v>
      </c>
      <c r="K547" s="473" t="s">
        <v>1263</v>
      </c>
      <c r="L547" s="502"/>
      <c r="M547" s="497"/>
      <c r="N547" s="502"/>
      <c r="O547" s="495" t="s">
        <v>1019</v>
      </c>
      <c r="P547" s="495" t="s">
        <v>500</v>
      </c>
      <c r="Q547" s="502"/>
      <c r="R547" s="502"/>
      <c r="S547" s="502"/>
      <c r="T547" s="502"/>
      <c r="U547" s="484" t="str">
        <f>IFERROR(VLOOKUP(N547,'Thông số'!$B:$F,5,0),"")</f>
        <v/>
      </c>
    </row>
    <row r="548" ht="14.25" customHeight="1" spans="1:21">
      <c r="A548" s="494">
        <v>4</v>
      </c>
      <c r="B548" s="495" t="s">
        <v>2868</v>
      </c>
      <c r="C548" s="502"/>
      <c r="D548" s="473" t="s">
        <v>290</v>
      </c>
      <c r="E548" s="502"/>
      <c r="F548" s="502"/>
      <c r="G548" s="495" t="s">
        <v>249</v>
      </c>
      <c r="H548" s="473" t="s">
        <v>3432</v>
      </c>
      <c r="I548" s="473" t="s">
        <v>2860</v>
      </c>
      <c r="J548" s="473" t="s">
        <v>2861</v>
      </c>
      <c r="K548" s="473" t="s">
        <v>1263</v>
      </c>
      <c r="L548" s="502"/>
      <c r="M548" s="497"/>
      <c r="N548" s="502"/>
      <c r="O548" s="502"/>
      <c r="P548" s="502"/>
      <c r="Q548" s="502"/>
      <c r="R548" s="502"/>
      <c r="S548" s="502"/>
      <c r="T548" s="502"/>
      <c r="U548" s="484" t="str">
        <f>IFERROR(VLOOKUP(N548,'Thông số'!$B:$F,5,0),"")</f>
        <v/>
      </c>
    </row>
    <row r="549" ht="14.25" customHeight="1" spans="1:21">
      <c r="A549" s="494">
        <v>5</v>
      </c>
      <c r="B549" s="495" t="s">
        <v>2869</v>
      </c>
      <c r="C549" s="502"/>
      <c r="D549" s="473" t="s">
        <v>290</v>
      </c>
      <c r="E549" s="474" t="s">
        <v>2870</v>
      </c>
      <c r="F549" s="502"/>
      <c r="G549" s="495" t="s">
        <v>267</v>
      </c>
      <c r="H549" s="497"/>
      <c r="I549" s="473" t="s">
        <v>2860</v>
      </c>
      <c r="J549" s="473" t="s">
        <v>2861</v>
      </c>
      <c r="K549" s="473" t="s">
        <v>1263</v>
      </c>
      <c r="L549" s="502"/>
      <c r="M549" s="497"/>
      <c r="N549" s="502"/>
      <c r="O549" s="504" t="s">
        <v>2871</v>
      </c>
      <c r="P549" s="504" t="s">
        <v>453</v>
      </c>
      <c r="Q549" s="502"/>
      <c r="R549" s="502"/>
      <c r="S549" s="502"/>
      <c r="T549" s="502"/>
      <c r="U549" s="484" t="str">
        <f>IFERROR(VLOOKUP(N549,'Thông số'!$B:$F,5,0),"")</f>
        <v/>
      </c>
    </row>
    <row r="550" ht="14.25" customHeight="1" spans="1:21">
      <c r="A550" s="494">
        <v>6</v>
      </c>
      <c r="B550" s="495" t="s">
        <v>2873</v>
      </c>
      <c r="C550" s="502"/>
      <c r="D550" s="473" t="s">
        <v>3415</v>
      </c>
      <c r="E550" s="497"/>
      <c r="F550" s="495" t="s">
        <v>3415</v>
      </c>
      <c r="G550" s="495" t="s">
        <v>288</v>
      </c>
      <c r="H550" s="473" t="s">
        <v>3407</v>
      </c>
      <c r="I550" s="473" t="s">
        <v>2860</v>
      </c>
      <c r="J550" s="503">
        <v>45244</v>
      </c>
      <c r="K550" s="473" t="s">
        <v>1263</v>
      </c>
      <c r="L550" s="508">
        <v>0.94</v>
      </c>
      <c r="M550" s="497"/>
      <c r="N550" s="473" t="s">
        <v>2703</v>
      </c>
      <c r="O550" s="502"/>
      <c r="P550" s="495" t="s">
        <v>1140</v>
      </c>
      <c r="Q550" s="530">
        <v>2021</v>
      </c>
      <c r="R550" s="473" t="s">
        <v>48</v>
      </c>
      <c r="S550" s="528" t="s">
        <v>2874</v>
      </c>
      <c r="T550" s="528" t="s">
        <v>2875</v>
      </c>
      <c r="U550" s="484" t="str">
        <f>IFERROR(VLOOKUP(N550,'Thông số'!$B:$F,5,0),"")</f>
        <v/>
      </c>
    </row>
    <row r="551" ht="14.25" customHeight="1" spans="1:21">
      <c r="A551" s="494">
        <v>7</v>
      </c>
      <c r="B551" s="495" t="s">
        <v>2876</v>
      </c>
      <c r="C551" s="502"/>
      <c r="D551" s="473" t="s">
        <v>3416</v>
      </c>
      <c r="E551" s="497"/>
      <c r="F551" s="495" t="s">
        <v>3416</v>
      </c>
      <c r="G551" s="495" t="s">
        <v>288</v>
      </c>
      <c r="H551" s="473" t="s">
        <v>3407</v>
      </c>
      <c r="I551" s="473" t="s">
        <v>2860</v>
      </c>
      <c r="J551" s="503">
        <v>45244</v>
      </c>
      <c r="K551" s="473" t="s">
        <v>1263</v>
      </c>
      <c r="L551" s="508">
        <v>0.94</v>
      </c>
      <c r="M551" s="497"/>
      <c r="N551" s="473" t="s">
        <v>2703</v>
      </c>
      <c r="O551" s="502"/>
      <c r="P551" s="495" t="s">
        <v>1140</v>
      </c>
      <c r="Q551" s="530">
        <v>2021</v>
      </c>
      <c r="R551" s="473" t="s">
        <v>48</v>
      </c>
      <c r="S551" s="528" t="s">
        <v>2877</v>
      </c>
      <c r="T551" s="528" t="s">
        <v>2878</v>
      </c>
      <c r="U551" s="484" t="str">
        <f>IFERROR(VLOOKUP(N551,'Thông số'!$B:$F,5,0),"")</f>
        <v/>
      </c>
    </row>
    <row r="552" ht="14.25" customHeight="1" spans="1:21">
      <c r="A552" s="494">
        <v>8</v>
      </c>
      <c r="B552" s="495" t="s">
        <v>2879</v>
      </c>
      <c r="C552" s="502"/>
      <c r="D552" s="473" t="s">
        <v>3417</v>
      </c>
      <c r="E552" s="497"/>
      <c r="F552" s="500" t="s">
        <v>3417</v>
      </c>
      <c r="G552" s="495" t="s">
        <v>288</v>
      </c>
      <c r="H552" s="473" t="s">
        <v>3407</v>
      </c>
      <c r="I552" s="473" t="s">
        <v>2860</v>
      </c>
      <c r="J552" s="503">
        <v>45244</v>
      </c>
      <c r="K552" s="473" t="s">
        <v>1263</v>
      </c>
      <c r="L552" s="508">
        <v>0.94</v>
      </c>
      <c r="M552" s="497"/>
      <c r="N552" s="473" t="s">
        <v>2703</v>
      </c>
      <c r="O552" s="502"/>
      <c r="P552" s="495" t="s">
        <v>1140</v>
      </c>
      <c r="Q552" s="530">
        <v>2021</v>
      </c>
      <c r="R552" s="473" t="s">
        <v>48</v>
      </c>
      <c r="S552" s="528">
        <v>22060447</v>
      </c>
      <c r="T552" s="528" t="s">
        <v>2880</v>
      </c>
      <c r="U552" s="484" t="str">
        <f>IFERROR(VLOOKUP(N552,'Thông số'!$B:$F,5,0),"")</f>
        <v/>
      </c>
    </row>
    <row r="553" ht="14.25" customHeight="1" spans="1:21">
      <c r="A553" s="494">
        <v>9</v>
      </c>
      <c r="B553" s="495" t="s">
        <v>2881</v>
      </c>
      <c r="C553" s="502"/>
      <c r="D553" s="473" t="s">
        <v>6738</v>
      </c>
      <c r="E553" s="497"/>
      <c r="F553" s="500" t="s">
        <v>3418</v>
      </c>
      <c r="G553" s="495" t="s">
        <v>288</v>
      </c>
      <c r="H553" s="473" t="s">
        <v>3407</v>
      </c>
      <c r="I553" s="473" t="s">
        <v>2860</v>
      </c>
      <c r="J553" s="503">
        <v>45244</v>
      </c>
      <c r="K553" s="473" t="s">
        <v>1263</v>
      </c>
      <c r="L553" s="508">
        <v>0.94</v>
      </c>
      <c r="M553" s="497"/>
      <c r="N553" s="473" t="s">
        <v>2703</v>
      </c>
      <c r="O553" s="502"/>
      <c r="P553" s="495" t="s">
        <v>1140</v>
      </c>
      <c r="Q553" s="530">
        <v>2021</v>
      </c>
      <c r="R553" s="473" t="s">
        <v>48</v>
      </c>
      <c r="S553" s="528">
        <v>22060460</v>
      </c>
      <c r="T553" s="528" t="s">
        <v>2882</v>
      </c>
      <c r="U553" s="484" t="str">
        <f>IFERROR(VLOOKUP(N553,'Thông số'!$B:$F,5,0),"")</f>
        <v/>
      </c>
    </row>
    <row r="554" ht="14.25" customHeight="1" spans="1:21">
      <c r="A554" s="494">
        <v>10</v>
      </c>
      <c r="B554" s="495" t="s">
        <v>2883</v>
      </c>
      <c r="C554" s="502"/>
      <c r="D554" s="473" t="s">
        <v>6739</v>
      </c>
      <c r="E554" s="502"/>
      <c r="F554" s="502"/>
      <c r="G554" s="495" t="s">
        <v>288</v>
      </c>
      <c r="H554" s="473" t="s">
        <v>3407</v>
      </c>
      <c r="I554" s="473" t="s">
        <v>2860</v>
      </c>
      <c r="J554" s="530" t="s">
        <v>1850</v>
      </c>
      <c r="K554" s="473" t="s">
        <v>1263</v>
      </c>
      <c r="L554" s="502"/>
      <c r="M554" s="502"/>
      <c r="N554" s="473" t="s">
        <v>2703</v>
      </c>
      <c r="O554" s="502"/>
      <c r="P554" s="495" t="s">
        <v>1140</v>
      </c>
      <c r="Q554" s="530">
        <v>2021</v>
      </c>
      <c r="R554" s="473" t="s">
        <v>48</v>
      </c>
      <c r="S554" s="528" t="s">
        <v>2884</v>
      </c>
      <c r="T554" s="528" t="s">
        <v>2885</v>
      </c>
      <c r="U554" s="484" t="str">
        <f>IFERROR(VLOOKUP(N554,'Thông số'!$B:$F,5,0),"")</f>
        <v/>
      </c>
    </row>
    <row r="555" ht="14.25" customHeight="1" spans="1:21">
      <c r="A555" s="494">
        <v>11</v>
      </c>
      <c r="B555" s="495" t="s">
        <v>5879</v>
      </c>
      <c r="C555" s="497"/>
      <c r="D555" s="497"/>
      <c r="E555" s="497"/>
      <c r="F555" s="497"/>
      <c r="G555" s="495" t="s">
        <v>5880</v>
      </c>
      <c r="H555" s="497"/>
      <c r="I555" s="473" t="s">
        <v>2860</v>
      </c>
      <c r="J555" s="497"/>
      <c r="K555" s="473" t="s">
        <v>1263</v>
      </c>
      <c r="L555" s="497"/>
      <c r="M555" s="501" t="s">
        <v>5881</v>
      </c>
      <c r="N555" s="473" t="s">
        <v>5883</v>
      </c>
      <c r="O555" s="495" t="s">
        <v>5882</v>
      </c>
      <c r="P555" s="495" t="s">
        <v>590</v>
      </c>
      <c r="Q555" s="497"/>
      <c r="R555" s="473" t="s">
        <v>219</v>
      </c>
      <c r="S555" s="495">
        <v>216281</v>
      </c>
      <c r="T555" s="497"/>
      <c r="U555" s="484" t="str">
        <f>IFERROR(VLOOKUP(N555,'Thông số'!$B:$F,5,0),"")</f>
        <v/>
      </c>
    </row>
    <row r="556" ht="14.25" customHeight="1" spans="1:21">
      <c r="A556" s="527"/>
      <c r="B556" s="497"/>
      <c r="C556" s="495" t="s">
        <v>1034</v>
      </c>
      <c r="D556" s="497"/>
      <c r="E556" s="497"/>
      <c r="F556" s="497"/>
      <c r="G556" s="497"/>
      <c r="H556" s="497"/>
      <c r="I556" s="497"/>
      <c r="J556" s="497"/>
      <c r="K556" s="473" t="s">
        <v>1263</v>
      </c>
      <c r="L556" s="497"/>
      <c r="M556" s="497"/>
      <c r="N556" s="497"/>
      <c r="O556" s="497"/>
      <c r="P556" s="497"/>
      <c r="Q556" s="497"/>
      <c r="R556" s="497"/>
      <c r="S556" s="497"/>
      <c r="T556" s="497"/>
      <c r="U556" s="484" t="str">
        <f>IFERROR(VLOOKUP(N556,'Thông số'!$B:$F,5,0),"")</f>
        <v/>
      </c>
    </row>
    <row r="557" ht="14.25" customHeight="1" spans="1:21">
      <c r="A557" s="481" t="s">
        <v>6740</v>
      </c>
      <c r="B557" s="482"/>
      <c r="C557" s="483">
        <v>9</v>
      </c>
      <c r="D557" s="482"/>
      <c r="E557" s="482"/>
      <c r="F557" s="482"/>
      <c r="G557" s="482"/>
      <c r="H557" s="497"/>
      <c r="I557" s="482"/>
      <c r="J557" s="482"/>
      <c r="K557" s="482"/>
      <c r="L557" s="482"/>
      <c r="M557" s="482"/>
      <c r="N557" s="482"/>
      <c r="O557" s="482"/>
      <c r="P557" s="482"/>
      <c r="Q557" s="482"/>
      <c r="R557" s="482"/>
      <c r="S557" s="482"/>
      <c r="T557" s="482"/>
      <c r="U557" s="484" t="str">
        <f>IFERROR(VLOOKUP(N557,'Thông số'!$B:$F,5,0),"")</f>
        <v/>
      </c>
    </row>
    <row r="558" ht="14.25" customHeight="1" spans="1:21">
      <c r="A558" s="494">
        <v>1</v>
      </c>
      <c r="B558" s="495" t="s">
        <v>2887</v>
      </c>
      <c r="C558" s="500" t="s">
        <v>2888</v>
      </c>
      <c r="D558" s="473" t="s">
        <v>2889</v>
      </c>
      <c r="E558" s="502"/>
      <c r="F558" s="502"/>
      <c r="G558" s="500" t="s">
        <v>252</v>
      </c>
      <c r="H558" s="497"/>
      <c r="I558" s="531" t="s">
        <v>37</v>
      </c>
      <c r="J558" s="503">
        <v>45576</v>
      </c>
      <c r="K558" s="473" t="s">
        <v>1263</v>
      </c>
      <c r="L558" s="532">
        <v>0.99</v>
      </c>
      <c r="M558" s="502"/>
      <c r="N558" s="473" t="s">
        <v>1474</v>
      </c>
      <c r="O558" s="500" t="s">
        <v>1473</v>
      </c>
      <c r="P558" s="495" t="s">
        <v>943</v>
      </c>
      <c r="Q558" s="474">
        <v>2021</v>
      </c>
      <c r="R558" s="473" t="s">
        <v>44</v>
      </c>
      <c r="S558" s="528" t="s">
        <v>2890</v>
      </c>
      <c r="T558" s="528" t="s">
        <v>2891</v>
      </c>
      <c r="U558" s="484" t="str">
        <f>IFERROR(VLOOKUP(N558,'Thông số'!$B:$F,5,0),"")</f>
        <v>4730 x 1750 x 2100</v>
      </c>
    </row>
    <row r="559" ht="14.25" customHeight="1" spans="1:21">
      <c r="A559" s="494">
        <v>2</v>
      </c>
      <c r="B559" s="495" t="s">
        <v>2893</v>
      </c>
      <c r="C559" s="500" t="s">
        <v>2894</v>
      </c>
      <c r="D559" s="473" t="s">
        <v>2895</v>
      </c>
      <c r="E559" s="502"/>
      <c r="F559" s="502"/>
      <c r="G559" s="500" t="s">
        <v>252</v>
      </c>
      <c r="H559" s="497"/>
      <c r="I559" s="531" t="s">
        <v>37</v>
      </c>
      <c r="J559" s="503">
        <v>45575</v>
      </c>
      <c r="K559" s="473" t="s">
        <v>1263</v>
      </c>
      <c r="L559" s="532">
        <v>0.99</v>
      </c>
      <c r="M559" s="502"/>
      <c r="N559" s="473" t="s">
        <v>1474</v>
      </c>
      <c r="O559" s="500" t="s">
        <v>1473</v>
      </c>
      <c r="P559" s="495" t="s">
        <v>943</v>
      </c>
      <c r="Q559" s="474">
        <v>2021</v>
      </c>
      <c r="R559" s="473" t="s">
        <v>44</v>
      </c>
      <c r="S559" s="528" t="s">
        <v>2896</v>
      </c>
      <c r="T559" s="528" t="s">
        <v>2897</v>
      </c>
      <c r="U559" s="484" t="str">
        <f>IFERROR(VLOOKUP(N559,'Thông số'!$B:$F,5,0),"")</f>
        <v>4730 x 1750 x 2100</v>
      </c>
    </row>
    <row r="560" ht="14.25" customHeight="1" spans="1:21">
      <c r="A560" s="494">
        <v>3</v>
      </c>
      <c r="B560" s="495" t="s">
        <v>2907</v>
      </c>
      <c r="C560" s="502"/>
      <c r="D560" s="473" t="s">
        <v>6741</v>
      </c>
      <c r="E560" s="502"/>
      <c r="F560" s="502"/>
      <c r="G560" s="500" t="s">
        <v>289</v>
      </c>
      <c r="H560" s="497"/>
      <c r="I560" s="531" t="s">
        <v>37</v>
      </c>
      <c r="J560" s="503">
        <v>45265</v>
      </c>
      <c r="K560" s="473" t="s">
        <v>1263</v>
      </c>
      <c r="L560" s="502"/>
      <c r="M560" s="504" t="s">
        <v>2908</v>
      </c>
      <c r="N560" s="473" t="s">
        <v>2909</v>
      </c>
      <c r="O560" s="500" t="s">
        <v>1323</v>
      </c>
      <c r="P560" s="495" t="s">
        <v>500</v>
      </c>
      <c r="Q560" s="502"/>
      <c r="R560" s="473" t="s">
        <v>2910</v>
      </c>
      <c r="S560" s="528" t="s">
        <v>2911</v>
      </c>
      <c r="T560" s="528" t="s">
        <v>2912</v>
      </c>
      <c r="U560" s="484" t="str">
        <f>IFERROR(VLOOKUP(N560,'Thông số'!$B:$F,5,0),"")</f>
        <v/>
      </c>
    </row>
    <row r="561" ht="14.25" customHeight="1" spans="1:21">
      <c r="A561" s="494">
        <v>4</v>
      </c>
      <c r="B561" s="495" t="s">
        <v>2914</v>
      </c>
      <c r="C561" s="502"/>
      <c r="D561" s="473" t="s">
        <v>6742</v>
      </c>
      <c r="E561" s="502"/>
      <c r="F561" s="502"/>
      <c r="G561" s="500" t="s">
        <v>289</v>
      </c>
      <c r="H561" s="497"/>
      <c r="I561" s="531" t="s">
        <v>37</v>
      </c>
      <c r="J561" s="502"/>
      <c r="K561" s="473" t="s">
        <v>1263</v>
      </c>
      <c r="L561" s="502"/>
      <c r="M561" s="504" t="s">
        <v>2915</v>
      </c>
      <c r="N561" s="473" t="s">
        <v>2909</v>
      </c>
      <c r="O561" s="500" t="s">
        <v>1323</v>
      </c>
      <c r="P561" s="495" t="s">
        <v>500</v>
      </c>
      <c r="Q561" s="502"/>
      <c r="R561" s="473" t="s">
        <v>2910</v>
      </c>
      <c r="S561" s="528" t="s">
        <v>2916</v>
      </c>
      <c r="T561" s="528" t="s">
        <v>2917</v>
      </c>
      <c r="U561" s="484" t="str">
        <f>IFERROR(VLOOKUP(N561,'Thông số'!$B:$F,5,0),"")</f>
        <v/>
      </c>
    </row>
    <row r="562" ht="14.25" customHeight="1" spans="1:21">
      <c r="A562" s="494">
        <v>5</v>
      </c>
      <c r="B562" s="495" t="s">
        <v>2918</v>
      </c>
      <c r="C562" s="502"/>
      <c r="D562" s="473" t="s">
        <v>6743</v>
      </c>
      <c r="E562" s="502"/>
      <c r="F562" s="502"/>
      <c r="G562" s="500" t="s">
        <v>289</v>
      </c>
      <c r="H562" s="497"/>
      <c r="I562" s="531" t="s">
        <v>37</v>
      </c>
      <c r="J562" s="502"/>
      <c r="K562" s="473" t="s">
        <v>1263</v>
      </c>
      <c r="L562" s="502"/>
      <c r="M562" s="504" t="s">
        <v>2919</v>
      </c>
      <c r="N562" s="473" t="s">
        <v>2909</v>
      </c>
      <c r="O562" s="500" t="s">
        <v>1323</v>
      </c>
      <c r="P562" s="495" t="s">
        <v>500</v>
      </c>
      <c r="Q562" s="502"/>
      <c r="R562" s="473" t="s">
        <v>2910</v>
      </c>
      <c r="S562" s="528" t="s">
        <v>462</v>
      </c>
      <c r="T562" s="528" t="s">
        <v>2920</v>
      </c>
      <c r="U562" s="484" t="str">
        <f>IFERROR(VLOOKUP(N562,'Thông số'!$B:$F,5,0),"")</f>
        <v/>
      </c>
    </row>
    <row r="563" ht="14.25" customHeight="1" spans="1:21">
      <c r="A563" s="494">
        <v>6</v>
      </c>
      <c r="B563" s="495" t="s">
        <v>2921</v>
      </c>
      <c r="C563" s="500" t="s">
        <v>2922</v>
      </c>
      <c r="D563" s="473" t="s">
        <v>2923</v>
      </c>
      <c r="E563" s="502"/>
      <c r="F563" s="474" t="s">
        <v>3532</v>
      </c>
      <c r="G563" s="500" t="s">
        <v>289</v>
      </c>
      <c r="H563" s="497"/>
      <c r="I563" s="531" t="s">
        <v>37</v>
      </c>
      <c r="J563" s="503">
        <v>45723</v>
      </c>
      <c r="K563" s="473" t="s">
        <v>1263</v>
      </c>
      <c r="L563" s="502"/>
      <c r="M563" s="504" t="s">
        <v>2924</v>
      </c>
      <c r="N563" s="473" t="s">
        <v>2909</v>
      </c>
      <c r="O563" s="500" t="s">
        <v>1323</v>
      </c>
      <c r="P563" s="495" t="s">
        <v>500</v>
      </c>
      <c r="Q563" s="502"/>
      <c r="R563" s="473" t="s">
        <v>2910</v>
      </c>
      <c r="S563" s="528" t="s">
        <v>2925</v>
      </c>
      <c r="T563" s="528" t="s">
        <v>2926</v>
      </c>
      <c r="U563" s="484" t="str">
        <f>IFERROR(VLOOKUP(N563,'Thông số'!$B:$F,5,0),"")</f>
        <v/>
      </c>
    </row>
    <row r="564" ht="14.25" customHeight="1" spans="1:21">
      <c r="A564" s="494">
        <v>7</v>
      </c>
      <c r="B564" s="495" t="s">
        <v>2927</v>
      </c>
      <c r="C564" s="502"/>
      <c r="D564" s="473" t="s">
        <v>6744</v>
      </c>
      <c r="E564" s="474" t="s">
        <v>2928</v>
      </c>
      <c r="F564" s="502"/>
      <c r="G564" s="533" t="s">
        <v>6745</v>
      </c>
      <c r="H564" s="497"/>
      <c r="I564" s="531" t="s">
        <v>37</v>
      </c>
      <c r="J564" s="502"/>
      <c r="K564" s="473" t="s">
        <v>1263</v>
      </c>
      <c r="L564" s="502"/>
      <c r="M564" s="504" t="s">
        <v>2929</v>
      </c>
      <c r="N564" s="497"/>
      <c r="O564" s="500" t="s">
        <v>1031</v>
      </c>
      <c r="P564" s="497"/>
      <c r="Q564" s="502"/>
      <c r="R564" s="497"/>
      <c r="S564" s="528" t="s">
        <v>2930</v>
      </c>
      <c r="T564" s="528" t="s">
        <v>462</v>
      </c>
      <c r="U564" s="484" t="str">
        <f>IFERROR(VLOOKUP(N564,'Thông số'!$B:$F,5,0),"")</f>
        <v/>
      </c>
    </row>
    <row r="565" ht="14.25" customHeight="1" spans="1:21">
      <c r="A565" s="489">
        <v>8</v>
      </c>
      <c r="B565" s="490" t="s">
        <v>2932</v>
      </c>
      <c r="C565" s="491"/>
      <c r="D565" s="470" t="s">
        <v>6746</v>
      </c>
      <c r="E565" s="470" t="s">
        <v>2933</v>
      </c>
      <c r="F565" s="491"/>
      <c r="G565" s="533" t="s">
        <v>6745</v>
      </c>
      <c r="H565" s="491"/>
      <c r="I565" s="531" t="s">
        <v>37</v>
      </c>
      <c r="J565" s="492">
        <v>45577</v>
      </c>
      <c r="K565" s="470" t="s">
        <v>1126</v>
      </c>
      <c r="L565" s="491"/>
      <c r="M565" s="505" t="s">
        <v>2934</v>
      </c>
      <c r="N565" s="491"/>
      <c r="O565" s="490" t="s">
        <v>1031</v>
      </c>
      <c r="P565" s="491"/>
      <c r="Q565" s="491"/>
      <c r="R565" s="491"/>
      <c r="S565" s="491"/>
      <c r="T565" s="491"/>
      <c r="U565" s="484" t="str">
        <f>IFERROR(VLOOKUP(N565,'Thông số'!$B:$F,5,0),"")</f>
        <v/>
      </c>
    </row>
    <row r="566" ht="14.25" customHeight="1" spans="1:21">
      <c r="A566" s="494">
        <v>9</v>
      </c>
      <c r="B566" s="495" t="s">
        <v>1027</v>
      </c>
      <c r="C566" s="502"/>
      <c r="D566" s="473" t="s">
        <v>1028</v>
      </c>
      <c r="E566" s="474" t="s">
        <v>1029</v>
      </c>
      <c r="F566" s="474" t="s">
        <v>1028</v>
      </c>
      <c r="G566" s="533" t="s">
        <v>6745</v>
      </c>
      <c r="H566" s="497"/>
      <c r="I566" s="531" t="s">
        <v>37</v>
      </c>
      <c r="J566" s="502"/>
      <c r="K566" s="473" t="s">
        <v>1263</v>
      </c>
      <c r="L566" s="502"/>
      <c r="M566" s="504" t="s">
        <v>1030</v>
      </c>
      <c r="N566" s="497"/>
      <c r="O566" s="500" t="s">
        <v>1031</v>
      </c>
      <c r="P566" s="497"/>
      <c r="Q566" s="502"/>
      <c r="R566" s="497"/>
      <c r="S566" s="528" t="s">
        <v>1032</v>
      </c>
      <c r="T566" s="528" t="s">
        <v>1033</v>
      </c>
      <c r="U566" s="484" t="str">
        <f>IFERROR(VLOOKUP(N566,'Thông số'!$B:$F,5,0),"")</f>
        <v/>
      </c>
    </row>
    <row r="567" ht="14.25" customHeight="1" spans="1:21">
      <c r="A567" s="527"/>
      <c r="B567" s="497"/>
      <c r="C567" s="500" t="s">
        <v>1034</v>
      </c>
      <c r="D567" s="497"/>
      <c r="E567" s="502"/>
      <c r="F567" s="502"/>
      <c r="G567" s="502"/>
      <c r="H567" s="497"/>
      <c r="I567" s="497"/>
      <c r="J567" s="502"/>
      <c r="K567" s="473" t="s">
        <v>1263</v>
      </c>
      <c r="L567" s="502"/>
      <c r="M567" s="502"/>
      <c r="N567" s="497"/>
      <c r="O567" s="502"/>
      <c r="P567" s="497"/>
      <c r="Q567" s="502"/>
      <c r="R567" s="497"/>
      <c r="S567" s="497"/>
      <c r="T567" s="497"/>
      <c r="U567" s="484" t="str">
        <f>IFERROR(VLOOKUP(N567,'Thông số'!$B:$F,5,0),"")</f>
        <v/>
      </c>
    </row>
    <row r="568" ht="14.25" customHeight="1" spans="1:21">
      <c r="A568" s="481" t="s">
        <v>2936</v>
      </c>
      <c r="B568" s="482"/>
      <c r="C568" s="483">
        <v>3</v>
      </c>
      <c r="D568" s="482"/>
      <c r="E568" s="482"/>
      <c r="F568" s="482"/>
      <c r="G568" s="482"/>
      <c r="H568" s="497"/>
      <c r="I568" s="482"/>
      <c r="J568" s="482"/>
      <c r="K568" s="482"/>
      <c r="L568" s="482"/>
      <c r="M568" s="482"/>
      <c r="N568" s="482"/>
      <c r="O568" s="482"/>
      <c r="P568" s="482"/>
      <c r="Q568" s="482"/>
      <c r="R568" s="482"/>
      <c r="S568" s="482"/>
      <c r="T568" s="482"/>
      <c r="U568" s="484" t="str">
        <f>IFERROR(VLOOKUP(N568,'Thông số'!$B:$F,5,0),"")</f>
        <v/>
      </c>
    </row>
    <row r="569" ht="14.25" customHeight="1" spans="1:21">
      <c r="A569" s="489">
        <v>1</v>
      </c>
      <c r="B569" s="490" t="s">
        <v>2937</v>
      </c>
      <c r="C569" s="490" t="s">
        <v>2938</v>
      </c>
      <c r="D569" s="491"/>
      <c r="E569" s="470" t="s">
        <v>2940</v>
      </c>
      <c r="F569" s="470" t="s">
        <v>2939</v>
      </c>
      <c r="G569" s="490" t="s">
        <v>251</v>
      </c>
      <c r="H569" s="491"/>
      <c r="I569" s="470" t="s">
        <v>38</v>
      </c>
      <c r="J569" s="492">
        <v>45580</v>
      </c>
      <c r="K569" s="470" t="s">
        <v>1126</v>
      </c>
      <c r="L569" s="534">
        <v>0.98</v>
      </c>
      <c r="M569" s="505" t="s">
        <v>2942</v>
      </c>
      <c r="N569" s="470" t="s">
        <v>1153</v>
      </c>
      <c r="O569" s="490" t="s">
        <v>1152</v>
      </c>
      <c r="P569" s="490" t="s">
        <v>500</v>
      </c>
      <c r="Q569" s="470">
        <v>2021</v>
      </c>
      <c r="R569" s="470" t="s">
        <v>44</v>
      </c>
      <c r="S569" s="535" t="s">
        <v>2943</v>
      </c>
      <c r="T569" s="535" t="s">
        <v>2944</v>
      </c>
      <c r="U569" s="484" t="str">
        <f>IFERROR(VLOOKUP(N569,'Thông số'!$B:$F,5,0),"")</f>
        <v>4730 x 1750 x 2100</v>
      </c>
    </row>
    <row r="570" ht="14.25" customHeight="1" spans="1:21">
      <c r="A570" s="494">
        <v>2</v>
      </c>
      <c r="B570" s="495" t="s">
        <v>2945</v>
      </c>
      <c r="C570" s="500" t="s">
        <v>2946</v>
      </c>
      <c r="D570" s="473" t="s">
        <v>2947</v>
      </c>
      <c r="E570" s="474" t="s">
        <v>2946</v>
      </c>
      <c r="F570" s="502"/>
      <c r="G570" s="495" t="s">
        <v>252</v>
      </c>
      <c r="H570" s="497"/>
      <c r="I570" s="470" t="s">
        <v>38</v>
      </c>
      <c r="J570" s="503">
        <v>45580</v>
      </c>
      <c r="K570" s="473" t="s">
        <v>1263</v>
      </c>
      <c r="L570" s="502"/>
      <c r="M570" s="501" t="s">
        <v>2948</v>
      </c>
      <c r="N570" s="473" t="s">
        <v>1474</v>
      </c>
      <c r="O570" s="500" t="s">
        <v>1473</v>
      </c>
      <c r="P570" s="495" t="s">
        <v>943</v>
      </c>
      <c r="Q570" s="474">
        <v>2021</v>
      </c>
      <c r="R570" s="473" t="s">
        <v>44</v>
      </c>
      <c r="S570" s="528" t="s">
        <v>2949</v>
      </c>
      <c r="T570" s="528" t="s">
        <v>2950</v>
      </c>
      <c r="U570" s="484" t="str">
        <f>IFERROR(VLOOKUP(N570,'Thông số'!$B:$F,5,0),"")</f>
        <v>4730 x 1750 x 2100</v>
      </c>
    </row>
    <row r="571" ht="14.25" customHeight="1" spans="1:21">
      <c r="A571" s="489">
        <v>3</v>
      </c>
      <c r="B571" s="490" t="s">
        <v>2951</v>
      </c>
      <c r="C571" s="490" t="s">
        <v>2952</v>
      </c>
      <c r="D571" s="470" t="s">
        <v>2953</v>
      </c>
      <c r="E571" s="470" t="s">
        <v>2952</v>
      </c>
      <c r="F571" s="491"/>
      <c r="G571" s="490" t="s">
        <v>252</v>
      </c>
      <c r="H571" s="491"/>
      <c r="I571" s="470" t="s">
        <v>38</v>
      </c>
      <c r="J571" s="492">
        <v>45578</v>
      </c>
      <c r="K571" s="470" t="s">
        <v>1126</v>
      </c>
      <c r="L571" s="491"/>
      <c r="M571" s="505" t="s">
        <v>2954</v>
      </c>
      <c r="N571" s="470" t="s">
        <v>1474</v>
      </c>
      <c r="O571" s="490" t="s">
        <v>1473</v>
      </c>
      <c r="P571" s="490" t="s">
        <v>943</v>
      </c>
      <c r="Q571" s="470">
        <v>2021</v>
      </c>
      <c r="R571" s="470" t="s">
        <v>44</v>
      </c>
      <c r="S571" s="535" t="s">
        <v>2955</v>
      </c>
      <c r="T571" s="535" t="s">
        <v>2956</v>
      </c>
      <c r="U571" s="484" t="str">
        <f>IFERROR(VLOOKUP(N571,'Thông số'!$B:$F,5,0),"")</f>
        <v>4730 x 1750 x 2100</v>
      </c>
    </row>
    <row r="572" ht="14.25" customHeight="1" spans="1:21">
      <c r="A572" s="527"/>
      <c r="B572" s="497"/>
      <c r="C572" s="500" t="s">
        <v>1034</v>
      </c>
      <c r="D572" s="497"/>
      <c r="E572" s="502"/>
      <c r="F572" s="502"/>
      <c r="G572" s="502"/>
      <c r="H572" s="497"/>
      <c r="I572" s="497"/>
      <c r="J572" s="502"/>
      <c r="K572" s="473" t="s">
        <v>1263</v>
      </c>
      <c r="L572" s="502"/>
      <c r="M572" s="502"/>
      <c r="N572" s="497"/>
      <c r="O572" s="502"/>
      <c r="P572" s="497"/>
      <c r="Q572" s="502"/>
      <c r="R572" s="497"/>
      <c r="S572" s="497"/>
      <c r="T572" s="497"/>
      <c r="U572" s="484" t="str">
        <f>IFERROR(VLOOKUP(N572,'Thông số'!$B:$F,5,0),"")</f>
        <v/>
      </c>
    </row>
    <row r="573" ht="14.25" customHeight="1" spans="1:21">
      <c r="A573" s="481" t="s">
        <v>2957</v>
      </c>
      <c r="B573" s="482"/>
      <c r="C573" s="483">
        <v>1</v>
      </c>
      <c r="D573" s="482"/>
      <c r="E573" s="482"/>
      <c r="F573" s="482"/>
      <c r="G573" s="482"/>
      <c r="H573" s="482"/>
      <c r="I573" s="482"/>
      <c r="J573" s="482"/>
      <c r="K573" s="482"/>
      <c r="L573" s="482"/>
      <c r="M573" s="482"/>
      <c r="N573" s="482"/>
      <c r="O573" s="482"/>
      <c r="P573" s="482"/>
      <c r="Q573" s="482"/>
      <c r="R573" s="482"/>
      <c r="S573" s="482"/>
      <c r="T573" s="482"/>
      <c r="U573" s="484" t="str">
        <f>IFERROR(VLOOKUP(N573,'Thông số'!$B:$F,5,0),"")</f>
        <v/>
      </c>
    </row>
    <row r="574" ht="14.25" customHeight="1" spans="1:21">
      <c r="A574" s="494">
        <v>1</v>
      </c>
      <c r="B574" s="495" t="s">
        <v>2958</v>
      </c>
      <c r="C574" s="502"/>
      <c r="D574" s="497"/>
      <c r="E574" s="502"/>
      <c r="F574" s="502"/>
      <c r="G574" s="495" t="s">
        <v>240</v>
      </c>
      <c r="H574" s="473" t="s">
        <v>3432</v>
      </c>
      <c r="I574" s="473" t="s">
        <v>21</v>
      </c>
      <c r="J574" s="503">
        <v>45667</v>
      </c>
      <c r="K574" s="473" t="s">
        <v>1263</v>
      </c>
      <c r="L574" s="502"/>
      <c r="M574" s="501" t="s">
        <v>1146</v>
      </c>
      <c r="N574" s="473" t="s">
        <v>2959</v>
      </c>
      <c r="O574" s="500" t="s">
        <v>2699</v>
      </c>
      <c r="P574" s="495" t="s">
        <v>555</v>
      </c>
      <c r="Q574" s="474">
        <v>2022</v>
      </c>
      <c r="R574" s="473" t="s">
        <v>2960</v>
      </c>
      <c r="S574" s="528" t="s">
        <v>2961</v>
      </c>
      <c r="T574" s="528" t="s">
        <v>462</v>
      </c>
      <c r="U574" s="484" t="str">
        <f>IFERROR(VLOOKUP(N574,'Thông số'!$B:$F,5,0),"")</f>
        <v/>
      </c>
    </row>
    <row r="575" ht="14.25" customHeight="1" spans="1:21">
      <c r="B575" s="536" t="s">
        <v>6140</v>
      </c>
      <c r="G575" s="537" t="s">
        <v>6747</v>
      </c>
      <c r="I575" s="537" t="s">
        <v>1121</v>
      </c>
    </row>
    <row r="576" ht="14.25" customHeight="1" spans="1:21">
      <c r="B576" s="538" t="s">
        <v>6146</v>
      </c>
      <c r="G576" s="537" t="s">
        <v>6747</v>
      </c>
      <c r="I576" s="539" t="s">
        <v>1121</v>
      </c>
    </row>
    <row r="577" ht="14.25" customHeight="1" spans="2:9">
      <c r="B577" s="538" t="s">
        <v>6149</v>
      </c>
      <c r="G577" s="537" t="s">
        <v>6747</v>
      </c>
      <c r="I577" s="539" t="s">
        <v>1121</v>
      </c>
    </row>
    <row r="578" ht="14.25" customHeight="1" spans="2:9">
      <c r="B578" s="538" t="s">
        <v>6152</v>
      </c>
      <c r="G578" s="537" t="s">
        <v>6747</v>
      </c>
      <c r="I578" s="539" t="s">
        <v>1121</v>
      </c>
    </row>
    <row r="579" ht="14.25" customHeight="1" spans="2:9">
      <c r="B579" s="538" t="s">
        <v>6155</v>
      </c>
      <c r="G579" s="537" t="s">
        <v>6747</v>
      </c>
      <c r="I579" s="539" t="s">
        <v>1121</v>
      </c>
    </row>
    <row r="580" ht="14.25" customHeight="1" spans="2:9">
      <c r="B580" s="538" t="s">
        <v>6158</v>
      </c>
      <c r="G580" s="537" t="s">
        <v>6747</v>
      </c>
      <c r="I580" s="539" t="s">
        <v>1121</v>
      </c>
    </row>
    <row r="581" ht="14.25" customHeight="1" spans="2:9">
      <c r="B581" s="538" t="s">
        <v>6165</v>
      </c>
      <c r="G581" s="537" t="s">
        <v>6747</v>
      </c>
      <c r="I581" s="539" t="s">
        <v>1121</v>
      </c>
    </row>
    <row r="582" ht="14.25" customHeight="1" spans="2:9">
      <c r="B582" s="538" t="s">
        <v>6171</v>
      </c>
      <c r="G582" s="537" t="s">
        <v>6747</v>
      </c>
      <c r="I582" s="539" t="s">
        <v>1121</v>
      </c>
    </row>
    <row r="583" ht="14.25" customHeight="1" spans="2:9">
      <c r="B583" s="540" t="s">
        <v>6176</v>
      </c>
      <c r="G583" s="541"/>
      <c r="I583" s="541"/>
    </row>
    <row r="584" ht="14.25" customHeight="1" spans="2:9">
      <c r="B584" s="538" t="s">
        <v>6177</v>
      </c>
      <c r="G584" s="537" t="s">
        <v>6747</v>
      </c>
      <c r="I584" s="539" t="s">
        <v>1250</v>
      </c>
    </row>
    <row r="585" ht="14.25" customHeight="1" spans="2:9">
      <c r="B585" s="538" t="s">
        <v>6180</v>
      </c>
      <c r="G585" s="537" t="s">
        <v>6747</v>
      </c>
      <c r="I585" s="539" t="s">
        <v>1250</v>
      </c>
    </row>
    <row r="586" ht="14.25" customHeight="1" spans="2:9">
      <c r="B586" s="538" t="s">
        <v>6183</v>
      </c>
      <c r="G586" s="537" t="s">
        <v>6747</v>
      </c>
      <c r="I586" s="539" t="s">
        <v>1250</v>
      </c>
    </row>
    <row r="587" ht="14.25" customHeight="1" spans="2:9">
      <c r="B587" s="538" t="s">
        <v>6186</v>
      </c>
      <c r="G587" s="537" t="s">
        <v>6747</v>
      </c>
      <c r="I587" s="539" t="s">
        <v>1250</v>
      </c>
    </row>
    <row r="588" ht="14.25" customHeight="1" spans="2:9">
      <c r="B588" s="538" t="s">
        <v>6189</v>
      </c>
      <c r="G588" s="537" t="s">
        <v>6747</v>
      </c>
      <c r="I588" s="539" t="s">
        <v>1250</v>
      </c>
    </row>
    <row r="589" ht="14.25" customHeight="1" spans="2:9">
      <c r="B589" s="538" t="s">
        <v>6192</v>
      </c>
      <c r="G589" s="537" t="s">
        <v>6747</v>
      </c>
      <c r="I589" s="539" t="s">
        <v>1250</v>
      </c>
    </row>
    <row r="590" ht="14.25" customHeight="1" spans="2:9">
      <c r="B590" s="538" t="s">
        <v>6195</v>
      </c>
      <c r="G590" s="537" t="s">
        <v>6747</v>
      </c>
      <c r="I590" s="539" t="s">
        <v>1250</v>
      </c>
    </row>
    <row r="591" ht="14.25" customHeight="1" spans="2:9">
      <c r="B591" s="538" t="s">
        <v>6198</v>
      </c>
      <c r="G591" s="537" t="s">
        <v>6747</v>
      </c>
      <c r="I591" s="539" t="s">
        <v>1250</v>
      </c>
    </row>
    <row r="592" ht="14.25" customHeight="1" spans="2:9">
      <c r="B592" s="542" t="s">
        <v>6201</v>
      </c>
      <c r="G592" s="543"/>
      <c r="I592" s="543"/>
    </row>
    <row r="593" ht="14.25" customHeight="1" spans="2:9">
      <c r="B593" s="538" t="s">
        <v>6202</v>
      </c>
      <c r="G593" s="537" t="s">
        <v>6747</v>
      </c>
      <c r="I593" s="539" t="s">
        <v>1348</v>
      </c>
    </row>
    <row r="594" ht="14.25" customHeight="1" spans="2:9">
      <c r="B594" s="538" t="s">
        <v>6205</v>
      </c>
      <c r="G594" s="537" t="s">
        <v>6747</v>
      </c>
      <c r="I594" s="539" t="s">
        <v>1348</v>
      </c>
    </row>
    <row r="595" ht="14.25" customHeight="1" spans="2:9">
      <c r="B595" s="538" t="s">
        <v>6208</v>
      </c>
      <c r="G595" s="537" t="s">
        <v>6747</v>
      </c>
      <c r="I595" s="539" t="s">
        <v>1348</v>
      </c>
    </row>
    <row r="596" ht="14.25" customHeight="1" spans="2:9">
      <c r="B596" s="538" t="s">
        <v>6211</v>
      </c>
      <c r="G596" s="537" t="s">
        <v>6747</v>
      </c>
      <c r="I596" s="539" t="s">
        <v>1348</v>
      </c>
    </row>
    <row r="597" ht="14.25" customHeight="1" spans="2:9">
      <c r="B597" s="538" t="s">
        <v>6214</v>
      </c>
      <c r="G597" s="537" t="s">
        <v>6747</v>
      </c>
      <c r="I597" s="539" t="s">
        <v>1348</v>
      </c>
    </row>
    <row r="598" ht="14.25" customHeight="1" spans="2:9">
      <c r="B598" s="538" t="s">
        <v>6217</v>
      </c>
      <c r="G598" s="537" t="s">
        <v>6747</v>
      </c>
      <c r="I598" s="539" t="s">
        <v>1348</v>
      </c>
    </row>
    <row r="599" ht="14.25" customHeight="1" spans="2:9">
      <c r="B599" s="538" t="s">
        <v>6220</v>
      </c>
      <c r="G599" s="537" t="s">
        <v>6747</v>
      </c>
      <c r="I599" s="539" t="s">
        <v>1348</v>
      </c>
    </row>
    <row r="600" ht="14.25" customHeight="1" spans="2:9">
      <c r="B600" s="538" t="s">
        <v>6223</v>
      </c>
      <c r="G600" s="537" t="s">
        <v>6747</v>
      </c>
      <c r="I600" s="539" t="s">
        <v>1348</v>
      </c>
    </row>
    <row r="601" ht="14.25" customHeight="1" spans="2:9">
      <c r="B601" s="542" t="s">
        <v>19</v>
      </c>
      <c r="G601" s="543"/>
      <c r="I601" s="543"/>
    </row>
    <row r="602" ht="14.25" customHeight="1" spans="2:9">
      <c r="B602" s="540" t="s">
        <v>6231</v>
      </c>
      <c r="G602" s="541"/>
      <c r="I602" s="541"/>
    </row>
    <row r="603" ht="14.25" customHeight="1" spans="2:9">
      <c r="B603" s="538" t="s">
        <v>6232</v>
      </c>
      <c r="G603" s="537" t="s">
        <v>6747</v>
      </c>
      <c r="I603" s="539" t="s">
        <v>1471</v>
      </c>
    </row>
    <row r="604" ht="14.25" customHeight="1" spans="2:9">
      <c r="B604" s="538" t="s">
        <v>6236</v>
      </c>
      <c r="G604" s="537" t="s">
        <v>6747</v>
      </c>
      <c r="I604" s="539" t="s">
        <v>1471</v>
      </c>
    </row>
    <row r="605" ht="14.25" customHeight="1" spans="2:9">
      <c r="B605" s="538" t="s">
        <v>6240</v>
      </c>
      <c r="G605" s="537" t="s">
        <v>6747</v>
      </c>
      <c r="I605" s="539" t="s">
        <v>1471</v>
      </c>
    </row>
    <row r="606" ht="14.25" customHeight="1" spans="2:9">
      <c r="B606" s="538" t="s">
        <v>6244</v>
      </c>
      <c r="G606" s="537" t="s">
        <v>6747</v>
      </c>
      <c r="I606" s="539" t="s">
        <v>1471</v>
      </c>
    </row>
    <row r="607" ht="14.25" customHeight="1" spans="2:9">
      <c r="B607" s="538" t="s">
        <v>6248</v>
      </c>
      <c r="G607" s="537" t="s">
        <v>6747</v>
      </c>
      <c r="I607" s="539" t="s">
        <v>1471</v>
      </c>
    </row>
    <row r="608" ht="14.25" customHeight="1" spans="2:9">
      <c r="B608" s="538" t="s">
        <v>6252</v>
      </c>
      <c r="G608" s="537" t="s">
        <v>6747</v>
      </c>
      <c r="I608" s="539" t="s">
        <v>1471</v>
      </c>
    </row>
    <row r="609" ht="14.25" customHeight="1" spans="2:9">
      <c r="B609" s="538" t="s">
        <v>6256</v>
      </c>
      <c r="G609" s="537" t="s">
        <v>6747</v>
      </c>
      <c r="I609" s="539" t="s">
        <v>1471</v>
      </c>
    </row>
    <row r="610" ht="14.25" customHeight="1" spans="2:9">
      <c r="B610" s="538" t="s">
        <v>6261</v>
      </c>
      <c r="G610" s="537" t="s">
        <v>6747</v>
      </c>
      <c r="I610" s="539" t="s">
        <v>1471</v>
      </c>
    </row>
    <row r="611" ht="14.25" customHeight="1" spans="2:9">
      <c r="B611" s="538" t="s">
        <v>6265</v>
      </c>
      <c r="G611" s="537" t="s">
        <v>6747</v>
      </c>
      <c r="I611" s="539" t="s">
        <v>1471</v>
      </c>
    </row>
    <row r="612" ht="14.25" customHeight="1" spans="2:9">
      <c r="B612" s="538" t="s">
        <v>6270</v>
      </c>
      <c r="G612" s="537" t="s">
        <v>6747</v>
      </c>
      <c r="I612" s="539" t="s">
        <v>1471</v>
      </c>
    </row>
    <row r="613" ht="14.25" customHeight="1" spans="2:9">
      <c r="B613" s="538" t="s">
        <v>6274</v>
      </c>
      <c r="G613" s="537" t="s">
        <v>6747</v>
      </c>
      <c r="I613" s="539" t="s">
        <v>1471</v>
      </c>
    </row>
    <row r="614" ht="14.25" customHeight="1" spans="2:9">
      <c r="B614" s="540" t="s">
        <v>6278</v>
      </c>
      <c r="G614" s="541"/>
      <c r="I614" s="541"/>
    </row>
    <row r="615" ht="14.25" customHeight="1" spans="2:9">
      <c r="B615" s="538" t="s">
        <v>6279</v>
      </c>
      <c r="G615" s="537" t="s">
        <v>6747</v>
      </c>
      <c r="I615" s="539" t="s">
        <v>1593</v>
      </c>
    </row>
    <row r="616" ht="14.25" customHeight="1" spans="2:9">
      <c r="B616" s="538" t="s">
        <v>6284</v>
      </c>
      <c r="G616" s="537" t="s">
        <v>6747</v>
      </c>
      <c r="I616" s="539" t="s">
        <v>1593</v>
      </c>
    </row>
    <row r="617" ht="14.25" customHeight="1" spans="2:9">
      <c r="B617" s="538" t="s">
        <v>6287</v>
      </c>
      <c r="G617" s="537" t="s">
        <v>6747</v>
      </c>
      <c r="I617" s="539" t="s">
        <v>1593</v>
      </c>
    </row>
    <row r="618" ht="14.25" customHeight="1" spans="2:9">
      <c r="B618" s="538" t="s">
        <v>6290</v>
      </c>
      <c r="G618" s="537" t="s">
        <v>6747</v>
      </c>
      <c r="I618" s="539" t="s">
        <v>1593</v>
      </c>
    </row>
    <row r="619" ht="14.25" customHeight="1" spans="2:9">
      <c r="B619" s="538" t="s">
        <v>6293</v>
      </c>
      <c r="G619" s="537" t="s">
        <v>6747</v>
      </c>
      <c r="I619" s="539" t="s">
        <v>1593</v>
      </c>
    </row>
    <row r="620" ht="14.25" customHeight="1" spans="2:9">
      <c r="B620" s="538" t="s">
        <v>6296</v>
      </c>
      <c r="G620" s="537" t="s">
        <v>6747</v>
      </c>
      <c r="I620" s="539" t="s">
        <v>1593</v>
      </c>
    </row>
    <row r="621" ht="14.25" customHeight="1" spans="2:9">
      <c r="B621" s="538" t="s">
        <v>6299</v>
      </c>
      <c r="G621" s="537" t="s">
        <v>6747</v>
      </c>
      <c r="I621" s="539" t="s">
        <v>1593</v>
      </c>
    </row>
    <row r="622" ht="14.25" customHeight="1" spans="2:9">
      <c r="B622" s="538" t="s">
        <v>6302</v>
      </c>
      <c r="G622" s="537" t="s">
        <v>6747</v>
      </c>
      <c r="I622" s="539" t="s">
        <v>1593</v>
      </c>
    </row>
    <row r="623" ht="14.25" customHeight="1" spans="2:9">
      <c r="B623" s="538" t="s">
        <v>6305</v>
      </c>
      <c r="G623" s="537" t="s">
        <v>6747</v>
      </c>
      <c r="I623" s="539" t="s">
        <v>1593</v>
      </c>
    </row>
    <row r="624" ht="14.25" customHeight="1" spans="2:9">
      <c r="B624" s="538" t="s">
        <v>6308</v>
      </c>
      <c r="G624" s="537" t="s">
        <v>6747</v>
      </c>
      <c r="I624" s="539" t="s">
        <v>1593</v>
      </c>
    </row>
    <row r="625" ht="14.25" customHeight="1" spans="2:9">
      <c r="B625" s="538" t="s">
        <v>6311</v>
      </c>
      <c r="G625" s="537" t="s">
        <v>6747</v>
      </c>
      <c r="I625" s="539" t="s">
        <v>1593</v>
      </c>
    </row>
    <row r="626" ht="14.25" customHeight="1" spans="2:9">
      <c r="B626" s="538" t="s">
        <v>6315</v>
      </c>
      <c r="G626" s="537" t="s">
        <v>6747</v>
      </c>
      <c r="I626" s="539" t="s">
        <v>1593</v>
      </c>
    </row>
    <row r="627" ht="14.25" customHeight="1" spans="2:9">
      <c r="B627" s="538" t="s">
        <v>6317</v>
      </c>
      <c r="G627" s="537" t="s">
        <v>6747</v>
      </c>
      <c r="I627" s="539" t="s">
        <v>1593</v>
      </c>
    </row>
    <row r="628" ht="14.25" customHeight="1" spans="2:9">
      <c r="B628" s="538" t="s">
        <v>6319</v>
      </c>
      <c r="G628" s="537" t="s">
        <v>6747</v>
      </c>
      <c r="I628" s="539" t="s">
        <v>1593</v>
      </c>
    </row>
    <row r="629" ht="14.25" customHeight="1" spans="2:9">
      <c r="B629" s="527"/>
      <c r="G629" s="527"/>
      <c r="I629" s="527"/>
    </row>
    <row r="630" ht="14.25" customHeight="1" spans="2:9">
      <c r="B630" s="540" t="s">
        <v>6322</v>
      </c>
      <c r="G630" s="541"/>
      <c r="I630" s="541"/>
    </row>
    <row r="631" ht="14.25" customHeight="1" spans="2:9">
      <c r="B631" s="538" t="s">
        <v>6323</v>
      </c>
      <c r="G631" s="537" t="s">
        <v>6747</v>
      </c>
      <c r="I631" s="539" t="s">
        <v>5049</v>
      </c>
    </row>
    <row r="632" ht="14.25" customHeight="1" spans="2:9">
      <c r="B632" s="538" t="s">
        <v>6327</v>
      </c>
      <c r="G632" s="537" t="s">
        <v>6747</v>
      </c>
      <c r="I632" s="539" t="s">
        <v>5049</v>
      </c>
    </row>
    <row r="633" ht="14.25" customHeight="1" spans="2:9">
      <c r="B633" s="538" t="s">
        <v>6331</v>
      </c>
      <c r="G633" s="537" t="s">
        <v>6747</v>
      </c>
      <c r="I633" s="539" t="s">
        <v>5049</v>
      </c>
    </row>
    <row r="634" ht="14.25" customHeight="1" spans="2:9">
      <c r="B634" s="538" t="s">
        <v>6336</v>
      </c>
      <c r="G634" s="537" t="s">
        <v>6747</v>
      </c>
      <c r="I634" s="539" t="s">
        <v>5049</v>
      </c>
    </row>
    <row r="635" ht="14.25" customHeight="1" spans="2:9">
      <c r="B635" s="527"/>
      <c r="G635" s="527"/>
      <c r="I635" s="527"/>
    </row>
    <row r="636" ht="14.25" customHeight="1" spans="2:9">
      <c r="B636" s="540" t="s">
        <v>6341</v>
      </c>
      <c r="G636" s="541"/>
      <c r="I636" s="541"/>
    </row>
    <row r="637" ht="14.25" customHeight="1" spans="2:9">
      <c r="B637" s="540" t="s">
        <v>3532</v>
      </c>
      <c r="G637" s="541"/>
      <c r="I637" s="541"/>
    </row>
    <row r="638" ht="14.25" customHeight="1" spans="2:9">
      <c r="B638" s="538" t="s">
        <v>6342</v>
      </c>
      <c r="G638" s="537" t="s">
        <v>6747</v>
      </c>
      <c r="I638" s="539" t="s">
        <v>3023</v>
      </c>
    </row>
    <row r="639" ht="14.25" customHeight="1" spans="2:9">
      <c r="B639" s="538" t="s">
        <v>6348</v>
      </c>
      <c r="G639" s="537" t="s">
        <v>6747</v>
      </c>
      <c r="I639" s="539" t="s">
        <v>3023</v>
      </c>
    </row>
    <row r="640" ht="14.25" customHeight="1" spans="2:9">
      <c r="B640" s="538" t="s">
        <v>6353</v>
      </c>
      <c r="G640" s="537" t="s">
        <v>6747</v>
      </c>
      <c r="I640" s="539" t="s">
        <v>3023</v>
      </c>
    </row>
    <row r="641" ht="14.25" customHeight="1" spans="2:9">
      <c r="B641" s="538" t="s">
        <v>6358</v>
      </c>
      <c r="G641" s="537" t="s">
        <v>6747</v>
      </c>
      <c r="I641" s="539" t="s">
        <v>3023</v>
      </c>
    </row>
    <row r="642" ht="14.25" customHeight="1" spans="2:9">
      <c r="B642" s="538" t="s">
        <v>6363</v>
      </c>
      <c r="G642" s="537" t="s">
        <v>6747</v>
      </c>
      <c r="I642" s="539" t="s">
        <v>3023</v>
      </c>
    </row>
    <row r="643" ht="14.25" customHeight="1" spans="2:9">
      <c r="B643" s="538" t="s">
        <v>6366</v>
      </c>
      <c r="G643" s="537" t="s">
        <v>6747</v>
      </c>
      <c r="I643" s="539" t="s">
        <v>3023</v>
      </c>
    </row>
    <row r="644" ht="14.25" customHeight="1" spans="2:9">
      <c r="B644" s="538" t="s">
        <v>6370</v>
      </c>
      <c r="G644" s="537" t="s">
        <v>6747</v>
      </c>
      <c r="I644" s="539" t="s">
        <v>3023</v>
      </c>
    </row>
    <row r="645" ht="14.25" customHeight="1" spans="2:9">
      <c r="B645" s="540" t="s">
        <v>6374</v>
      </c>
      <c r="G645" s="541"/>
      <c r="I645" s="541"/>
    </row>
    <row r="646" ht="14.25" customHeight="1" spans="2:9">
      <c r="B646" s="538" t="s">
        <v>6375</v>
      </c>
      <c r="G646" s="537" t="s">
        <v>6747</v>
      </c>
      <c r="I646" s="539" t="s">
        <v>29</v>
      </c>
    </row>
    <row r="647" ht="14.25" customHeight="1" spans="2:9">
      <c r="B647" s="544" t="s">
        <v>6748</v>
      </c>
      <c r="G647" s="545"/>
      <c r="I647" s="545"/>
    </row>
    <row r="648" ht="14.25" customHeight="1" spans="2:9">
      <c r="B648" s="546" t="s">
        <v>6749</v>
      </c>
      <c r="G648" s="547" t="s">
        <v>293</v>
      </c>
      <c r="I648" s="548" t="s">
        <v>1103</v>
      </c>
    </row>
    <row r="649" ht="14.25" customHeight="1" spans="2:9">
      <c r="B649" s="546" t="s">
        <v>6750</v>
      </c>
      <c r="G649" s="547" t="s">
        <v>293</v>
      </c>
      <c r="I649" s="549" t="s">
        <v>1103</v>
      </c>
    </row>
    <row r="650" ht="14.25" customHeight="1" spans="2:9">
      <c r="B650" s="546" t="s">
        <v>6751</v>
      </c>
      <c r="G650" s="547" t="s">
        <v>293</v>
      </c>
      <c r="I650" s="549" t="s">
        <v>1103</v>
      </c>
    </row>
    <row r="651" ht="14.25" customHeight="1" spans="2:9">
      <c r="B651" s="546" t="s">
        <v>6752</v>
      </c>
      <c r="G651" s="547" t="s">
        <v>293</v>
      </c>
      <c r="I651" s="549" t="s">
        <v>1103</v>
      </c>
    </row>
    <row r="652" ht="14.25" customHeight="1" spans="2:9">
      <c r="B652" s="546" t="s">
        <v>6753</v>
      </c>
      <c r="G652" s="547" t="s">
        <v>293</v>
      </c>
      <c r="I652" s="549" t="s">
        <v>1103</v>
      </c>
    </row>
    <row r="653" ht="14.25" customHeight="1" spans="2:9">
      <c r="B653" s="546" t="s">
        <v>6754</v>
      </c>
      <c r="G653" s="547" t="s">
        <v>293</v>
      </c>
      <c r="I653" s="549" t="s">
        <v>1103</v>
      </c>
    </row>
    <row r="654" ht="14.25" customHeight="1" spans="2:9">
      <c r="B654" s="546" t="s">
        <v>6755</v>
      </c>
      <c r="G654" s="547" t="s">
        <v>293</v>
      </c>
      <c r="I654" s="549" t="s">
        <v>1103</v>
      </c>
    </row>
    <row r="655" ht="14.25" customHeight="1" spans="2:9">
      <c r="B655" s="546" t="s">
        <v>6756</v>
      </c>
      <c r="G655" s="547" t="s">
        <v>293</v>
      </c>
      <c r="I655" s="549" t="s">
        <v>1103</v>
      </c>
    </row>
    <row r="656" ht="14.25" customHeight="1" spans="2:9">
      <c r="B656" s="546" t="s">
        <v>6757</v>
      </c>
      <c r="G656" s="547" t="s">
        <v>293</v>
      </c>
      <c r="I656" s="549" t="s">
        <v>1103</v>
      </c>
    </row>
    <row r="657" ht="14.25" customHeight="1" spans="2:9">
      <c r="B657" s="546" t="s">
        <v>6758</v>
      </c>
      <c r="G657" s="547" t="s">
        <v>293</v>
      </c>
      <c r="I657" s="549" t="s">
        <v>1103</v>
      </c>
    </row>
    <row r="658" ht="14.25" customHeight="1" spans="2:9">
      <c r="B658" s="546" t="s">
        <v>6759</v>
      </c>
      <c r="G658" s="547" t="s">
        <v>293</v>
      </c>
      <c r="I658" s="549" t="s">
        <v>1103</v>
      </c>
    </row>
    <row r="659" ht="14.25" customHeight="1" spans="2:9">
      <c r="B659" s="546" t="s">
        <v>6760</v>
      </c>
      <c r="G659" s="547" t="s">
        <v>293</v>
      </c>
      <c r="I659" s="549" t="s">
        <v>1103</v>
      </c>
    </row>
    <row r="660" ht="14.25" customHeight="1" spans="2:9">
      <c r="B660" s="546" t="s">
        <v>6761</v>
      </c>
      <c r="G660" s="547" t="s">
        <v>293</v>
      </c>
      <c r="I660" s="549" t="s">
        <v>1103</v>
      </c>
    </row>
    <row r="661" ht="14.25" customHeight="1" spans="2:9">
      <c r="B661" s="546" t="s">
        <v>6762</v>
      </c>
      <c r="G661" s="547" t="s">
        <v>293</v>
      </c>
      <c r="I661" s="549" t="s">
        <v>1103</v>
      </c>
    </row>
    <row r="662" ht="14.25" customHeight="1" spans="2:9">
      <c r="B662" s="546" t="s">
        <v>6763</v>
      </c>
      <c r="G662" s="547" t="s">
        <v>293</v>
      </c>
      <c r="I662" s="549" t="s">
        <v>1103</v>
      </c>
    </row>
    <row r="663" ht="14.25" customHeight="1" spans="2:9">
      <c r="B663" s="546" t="s">
        <v>6764</v>
      </c>
      <c r="G663" s="547" t="s">
        <v>293</v>
      </c>
      <c r="I663" s="549" t="s">
        <v>1103</v>
      </c>
    </row>
    <row r="664" ht="14.25" customHeight="1" spans="2:9">
      <c r="B664" s="546" t="s">
        <v>6765</v>
      </c>
      <c r="G664" s="547" t="s">
        <v>293</v>
      </c>
      <c r="I664" s="549" t="s">
        <v>1103</v>
      </c>
    </row>
    <row r="665" ht="14.25" customHeight="1" spans="2:9">
      <c r="B665" s="546" t="s">
        <v>6766</v>
      </c>
      <c r="G665" s="547" t="s">
        <v>293</v>
      </c>
      <c r="I665" s="549" t="s">
        <v>1103</v>
      </c>
    </row>
    <row r="666" ht="14.25" customHeight="1" spans="2:9">
      <c r="B666" s="546" t="s">
        <v>6767</v>
      </c>
      <c r="G666" s="547" t="s">
        <v>293</v>
      </c>
      <c r="I666" s="549" t="s">
        <v>1103</v>
      </c>
    </row>
    <row r="667" ht="14.25" customHeight="1" spans="2:9">
      <c r="B667" s="546" t="s">
        <v>6768</v>
      </c>
      <c r="G667" s="547" t="s">
        <v>293</v>
      </c>
      <c r="I667" s="549" t="s">
        <v>1103</v>
      </c>
    </row>
    <row r="668" ht="14.25" customHeight="1" spans="2:9">
      <c r="B668" s="546" t="s">
        <v>6769</v>
      </c>
      <c r="G668" s="547" t="s">
        <v>293</v>
      </c>
      <c r="I668" s="549" t="s">
        <v>1103</v>
      </c>
    </row>
    <row r="669" ht="14.25" customHeight="1" spans="2:9">
      <c r="B669" s="546" t="s">
        <v>6770</v>
      </c>
      <c r="G669" s="547" t="s">
        <v>293</v>
      </c>
      <c r="I669" s="549" t="s">
        <v>1103</v>
      </c>
    </row>
    <row r="670" ht="14.25" customHeight="1" spans="2:9">
      <c r="B670" s="546" t="s">
        <v>6771</v>
      </c>
      <c r="G670" s="547" t="s">
        <v>293</v>
      </c>
      <c r="I670" s="549" t="s">
        <v>1103</v>
      </c>
    </row>
    <row r="671" ht="14.25" customHeight="1" spans="2:9">
      <c r="B671" s="546" t="s">
        <v>6772</v>
      </c>
      <c r="G671" s="547" t="s">
        <v>293</v>
      </c>
      <c r="I671" s="549" t="s">
        <v>1103</v>
      </c>
    </row>
    <row r="672" ht="14.25" customHeight="1" spans="2:9">
      <c r="B672" s="546" t="s">
        <v>6773</v>
      </c>
      <c r="G672" s="547" t="s">
        <v>293</v>
      </c>
      <c r="I672" s="549" t="s">
        <v>1103</v>
      </c>
    </row>
    <row r="673" ht="14.25" customHeight="1" spans="2:9">
      <c r="B673" s="546" t="s">
        <v>6774</v>
      </c>
      <c r="G673" s="547" t="s">
        <v>293</v>
      </c>
      <c r="I673" s="549" t="s">
        <v>1103</v>
      </c>
    </row>
    <row r="674" ht="14.25" customHeight="1" spans="2:9">
      <c r="B674" s="546" t="s">
        <v>6775</v>
      </c>
      <c r="G674" s="547" t="s">
        <v>293</v>
      </c>
      <c r="I674" s="549" t="s">
        <v>1103</v>
      </c>
    </row>
    <row r="675" ht="14.25" customHeight="1" spans="2:9">
      <c r="B675" s="546" t="s">
        <v>6776</v>
      </c>
      <c r="G675" s="547" t="s">
        <v>293</v>
      </c>
      <c r="I675" s="549" t="s">
        <v>1103</v>
      </c>
    </row>
    <row r="676" ht="14.25" customHeight="1" spans="2:9">
      <c r="B676" s="546" t="s">
        <v>6777</v>
      </c>
      <c r="G676" s="547" t="s">
        <v>293</v>
      </c>
      <c r="I676" s="549" t="s">
        <v>1103</v>
      </c>
    </row>
    <row r="677" ht="14.25" customHeight="1" spans="2:9">
      <c r="B677" s="546" t="s">
        <v>6778</v>
      </c>
      <c r="G677" s="547" t="s">
        <v>293</v>
      </c>
      <c r="I677" s="549" t="s">
        <v>1103</v>
      </c>
    </row>
    <row r="678" ht="14.25" customHeight="1" spans="2:9">
      <c r="B678" s="546" t="s">
        <v>6779</v>
      </c>
      <c r="G678" s="547" t="s">
        <v>293</v>
      </c>
      <c r="I678" s="549" t="s">
        <v>1103</v>
      </c>
    </row>
    <row r="679" ht="14.25" customHeight="1" spans="2:9">
      <c r="B679" s="546" t="s">
        <v>6780</v>
      </c>
      <c r="G679" s="547" t="s">
        <v>293</v>
      </c>
      <c r="I679" s="549" t="s">
        <v>1103</v>
      </c>
    </row>
    <row r="680" ht="14.25" customHeight="1" spans="2:9">
      <c r="B680" s="546" t="s">
        <v>6781</v>
      </c>
      <c r="G680" s="547" t="s">
        <v>293</v>
      </c>
      <c r="I680" s="549" t="s">
        <v>1103</v>
      </c>
    </row>
    <row r="681" ht="14.25" customHeight="1" spans="2:9">
      <c r="B681" s="546" t="s">
        <v>6782</v>
      </c>
      <c r="G681" s="547" t="s">
        <v>293</v>
      </c>
      <c r="I681" s="549" t="s">
        <v>1103</v>
      </c>
    </row>
    <row r="682" ht="14.25" customHeight="1" spans="2:9">
      <c r="B682" s="546" t="s">
        <v>6783</v>
      </c>
      <c r="G682" s="547" t="s">
        <v>293</v>
      </c>
      <c r="I682" s="549" t="s">
        <v>1103</v>
      </c>
    </row>
    <row r="683" ht="14.25" customHeight="1" spans="2:9">
      <c r="B683" s="546" t="s">
        <v>6784</v>
      </c>
      <c r="G683" s="547" t="s">
        <v>293</v>
      </c>
      <c r="I683" s="549" t="s">
        <v>1103</v>
      </c>
    </row>
    <row r="684" ht="14.25" customHeight="1" spans="2:9">
      <c r="B684" s="546" t="s">
        <v>6785</v>
      </c>
      <c r="G684" s="547" t="s">
        <v>293</v>
      </c>
      <c r="I684" s="549" t="s">
        <v>1103</v>
      </c>
    </row>
    <row r="685" ht="14.25" customHeight="1" spans="2:9">
      <c r="B685" s="546" t="s">
        <v>6786</v>
      </c>
      <c r="G685" s="547" t="s">
        <v>293</v>
      </c>
      <c r="I685" s="549" t="s">
        <v>1103</v>
      </c>
    </row>
    <row r="686" ht="14.25" customHeight="1" spans="2:9">
      <c r="B686" s="546" t="s">
        <v>6787</v>
      </c>
      <c r="G686" s="547" t="s">
        <v>293</v>
      </c>
      <c r="I686" s="549" t="s">
        <v>1103</v>
      </c>
    </row>
    <row r="687" ht="14.25" customHeight="1" spans="2:9">
      <c r="B687" s="546" t="s">
        <v>6788</v>
      </c>
      <c r="G687" s="547" t="s">
        <v>293</v>
      </c>
      <c r="I687" s="549" t="s">
        <v>1103</v>
      </c>
    </row>
    <row r="688" ht="14.25" customHeight="1" spans="2:9">
      <c r="B688" s="546" t="s">
        <v>6789</v>
      </c>
      <c r="G688" s="547" t="s">
        <v>293</v>
      </c>
      <c r="I688" s="549" t="s">
        <v>1103</v>
      </c>
    </row>
    <row r="689" ht="14.25" customHeight="1" spans="2:9">
      <c r="B689" s="546" t="s">
        <v>6790</v>
      </c>
      <c r="G689" s="547" t="s">
        <v>293</v>
      </c>
      <c r="I689" s="549" t="s">
        <v>1103</v>
      </c>
    </row>
    <row r="690" ht="14.25" customHeight="1" spans="2:9">
      <c r="B690" s="546" t="s">
        <v>6791</v>
      </c>
      <c r="G690" s="547" t="s">
        <v>293</v>
      </c>
      <c r="I690" s="549" t="s">
        <v>1103</v>
      </c>
    </row>
    <row r="691" ht="14.25" customHeight="1" spans="2:9">
      <c r="B691" s="546" t="s">
        <v>6792</v>
      </c>
      <c r="G691" s="547" t="s">
        <v>293</v>
      </c>
      <c r="I691" s="549" t="s">
        <v>1103</v>
      </c>
    </row>
    <row r="692" ht="14.25" customHeight="1" spans="2:9">
      <c r="B692" s="546" t="s">
        <v>6793</v>
      </c>
      <c r="G692" s="547" t="s">
        <v>293</v>
      </c>
      <c r="I692" s="549" t="s">
        <v>1103</v>
      </c>
    </row>
    <row r="693" ht="14.25" customHeight="1" spans="2:9">
      <c r="B693" s="546" t="s">
        <v>6794</v>
      </c>
      <c r="G693" s="547" t="s">
        <v>293</v>
      </c>
      <c r="I693" s="549" t="s">
        <v>1103</v>
      </c>
    </row>
    <row r="694" ht="14.25" customHeight="1" spans="2:9">
      <c r="B694" s="546" t="s">
        <v>6795</v>
      </c>
      <c r="G694" s="547" t="s">
        <v>293</v>
      </c>
      <c r="I694" s="549" t="s">
        <v>1103</v>
      </c>
    </row>
    <row r="695" ht="14.25" customHeight="1" spans="2:9">
      <c r="B695" s="546" t="s">
        <v>6796</v>
      </c>
      <c r="G695" s="547" t="s">
        <v>293</v>
      </c>
      <c r="I695" s="549" t="s">
        <v>1103</v>
      </c>
    </row>
    <row r="696" ht="14.25" customHeight="1" spans="2:9">
      <c r="B696" s="546" t="s">
        <v>6797</v>
      </c>
      <c r="G696" s="547" t="s">
        <v>293</v>
      </c>
      <c r="I696" s="549" t="s">
        <v>1103</v>
      </c>
    </row>
    <row r="697" ht="14.25" customHeight="1" spans="2:9">
      <c r="B697" s="546" t="s">
        <v>6798</v>
      </c>
      <c r="G697" s="547" t="s">
        <v>293</v>
      </c>
      <c r="I697" s="549" t="s">
        <v>1103</v>
      </c>
    </row>
    <row r="698" ht="14.25" customHeight="1" spans="2:9">
      <c r="B698" s="546" t="s">
        <v>6799</v>
      </c>
      <c r="G698" s="547" t="s">
        <v>293</v>
      </c>
      <c r="I698" s="549" t="s">
        <v>1103</v>
      </c>
    </row>
    <row r="699" ht="14.25" customHeight="1" spans="2:9">
      <c r="B699" s="546" t="s">
        <v>6800</v>
      </c>
      <c r="G699" s="547" t="s">
        <v>293</v>
      </c>
      <c r="I699" s="549" t="s">
        <v>1103</v>
      </c>
    </row>
    <row r="700" ht="14.25" customHeight="1" spans="2:9">
      <c r="B700" s="546" t="s">
        <v>6801</v>
      </c>
      <c r="G700" s="547" t="s">
        <v>294</v>
      </c>
      <c r="I700" s="549" t="s">
        <v>1103</v>
      </c>
    </row>
    <row r="701" ht="14.25" customHeight="1" spans="2:9">
      <c r="B701" s="546" t="s">
        <v>6802</v>
      </c>
      <c r="G701" s="547" t="s">
        <v>294</v>
      </c>
      <c r="I701" s="549" t="s">
        <v>1103</v>
      </c>
    </row>
    <row r="702" ht="14.25" customHeight="1" spans="2:9">
      <c r="B702" s="546" t="s">
        <v>6803</v>
      </c>
      <c r="G702" s="547" t="s">
        <v>294</v>
      </c>
      <c r="I702" s="549" t="s">
        <v>1103</v>
      </c>
    </row>
    <row r="703" ht="14.25" customHeight="1" spans="2:9">
      <c r="B703" s="546" t="s">
        <v>6804</v>
      </c>
      <c r="G703" s="547" t="s">
        <v>294</v>
      </c>
      <c r="I703" s="549" t="s">
        <v>1103</v>
      </c>
    </row>
    <row r="704" ht="14.25" customHeight="1" spans="2:9">
      <c r="B704" s="550" t="s">
        <v>6805</v>
      </c>
      <c r="G704" s="550" t="s">
        <v>293</v>
      </c>
      <c r="I704" s="551" t="s">
        <v>1103</v>
      </c>
    </row>
    <row r="705" ht="14.25" customHeight="1" spans="2:9">
      <c r="B705" s="546" t="s">
        <v>6806</v>
      </c>
      <c r="G705" s="547" t="s">
        <v>293</v>
      </c>
      <c r="I705" s="549" t="s">
        <v>1103</v>
      </c>
    </row>
    <row r="706" ht="14.25" customHeight="1" spans="2:9">
      <c r="B706" s="546" t="s">
        <v>6807</v>
      </c>
      <c r="G706" s="547" t="s">
        <v>293</v>
      </c>
      <c r="I706" s="549" t="s">
        <v>1103</v>
      </c>
    </row>
    <row r="707" ht="14.25" customHeight="1" spans="2:9">
      <c r="B707" s="546" t="s">
        <v>6808</v>
      </c>
      <c r="G707" s="547" t="s">
        <v>293</v>
      </c>
      <c r="I707" s="549" t="s">
        <v>1103</v>
      </c>
    </row>
    <row r="708" ht="14.25" customHeight="1" spans="2:9">
      <c r="B708" s="546" t="s">
        <v>6809</v>
      </c>
      <c r="G708" s="547" t="s">
        <v>293</v>
      </c>
      <c r="I708" s="549" t="s">
        <v>1103</v>
      </c>
    </row>
    <row r="709" ht="14.25" customHeight="1" spans="2:9">
      <c r="B709" s="546" t="s">
        <v>6810</v>
      </c>
      <c r="G709" s="547" t="s">
        <v>293</v>
      </c>
      <c r="I709" s="549" t="s">
        <v>1103</v>
      </c>
    </row>
    <row r="710" ht="14.25" customHeight="1" spans="2:9">
      <c r="B710" s="546" t="s">
        <v>6811</v>
      </c>
      <c r="G710" s="547" t="s">
        <v>293</v>
      </c>
      <c r="I710" s="549" t="s">
        <v>1103</v>
      </c>
    </row>
    <row r="711" ht="14.25" customHeight="1" spans="2:9">
      <c r="B711" s="546" t="s">
        <v>6812</v>
      </c>
      <c r="G711" s="547" t="s">
        <v>293</v>
      </c>
      <c r="I711" s="549" t="s">
        <v>1103</v>
      </c>
    </row>
    <row r="712" ht="14.25" customHeight="1" spans="2:9">
      <c r="B712" s="546" t="s">
        <v>6813</v>
      </c>
      <c r="G712" s="547" t="s">
        <v>293</v>
      </c>
      <c r="I712" s="549" t="s">
        <v>1103</v>
      </c>
    </row>
    <row r="713" ht="14.25" customHeight="1" spans="2:9">
      <c r="B713" s="546" t="s">
        <v>6814</v>
      </c>
      <c r="G713" s="547" t="s">
        <v>293</v>
      </c>
      <c r="I713" s="549" t="s">
        <v>1103</v>
      </c>
    </row>
    <row r="714" ht="14.25" customHeight="1" spans="2:9">
      <c r="B714" s="546" t="s">
        <v>6815</v>
      </c>
      <c r="G714" s="547" t="s">
        <v>293</v>
      </c>
      <c r="I714" s="549" t="s">
        <v>1103</v>
      </c>
    </row>
    <row r="715" ht="14.25" customHeight="1" spans="2:9">
      <c r="B715" s="546" t="s">
        <v>6816</v>
      </c>
      <c r="G715" s="547" t="s">
        <v>293</v>
      </c>
      <c r="I715" s="549" t="s">
        <v>1103</v>
      </c>
    </row>
    <row r="716" ht="14.25" customHeight="1" spans="2:9">
      <c r="B716" s="546" t="s">
        <v>6817</v>
      </c>
      <c r="G716" s="547" t="s">
        <v>293</v>
      </c>
      <c r="I716" s="549" t="s">
        <v>1103</v>
      </c>
    </row>
    <row r="717" ht="14.25" customHeight="1" spans="2:9">
      <c r="B717" s="546" t="s">
        <v>6818</v>
      </c>
      <c r="G717" s="547" t="s">
        <v>293</v>
      </c>
      <c r="I717" s="549" t="s">
        <v>1103</v>
      </c>
    </row>
    <row r="718" ht="14.25" customHeight="1" spans="2:9">
      <c r="B718" s="546" t="s">
        <v>6819</v>
      </c>
      <c r="G718" s="547" t="s">
        <v>293</v>
      </c>
      <c r="I718" s="549" t="s">
        <v>1103</v>
      </c>
    </row>
    <row r="719" ht="14.25" customHeight="1" spans="2:9">
      <c r="B719" s="546" t="s">
        <v>6820</v>
      </c>
      <c r="G719" s="547" t="s">
        <v>293</v>
      </c>
      <c r="I719" s="549" t="s">
        <v>1103</v>
      </c>
    </row>
    <row r="720" ht="14.25" customHeight="1" spans="2:9">
      <c r="B720" s="546" t="s">
        <v>6821</v>
      </c>
      <c r="G720" s="547" t="s">
        <v>293</v>
      </c>
      <c r="I720" s="549" t="s">
        <v>1103</v>
      </c>
    </row>
    <row r="721" ht="14.25" customHeight="1" spans="2:9">
      <c r="B721" s="546" t="s">
        <v>6822</v>
      </c>
      <c r="G721" s="547" t="s">
        <v>293</v>
      </c>
      <c r="I721" s="549" t="s">
        <v>1103</v>
      </c>
    </row>
    <row r="722" ht="14.25" customHeight="1" spans="2:9">
      <c r="B722" s="546" t="s">
        <v>6823</v>
      </c>
      <c r="G722" s="547" t="s">
        <v>293</v>
      </c>
      <c r="I722" s="549" t="s">
        <v>1103</v>
      </c>
    </row>
    <row r="723" ht="14.25" customHeight="1" spans="2:9">
      <c r="B723" s="546" t="s">
        <v>6824</v>
      </c>
      <c r="G723" s="547" t="s">
        <v>293</v>
      </c>
      <c r="I723" s="549" t="s">
        <v>1103</v>
      </c>
    </row>
    <row r="724" ht="14.25" customHeight="1" spans="2:9">
      <c r="B724" s="546" t="s">
        <v>6825</v>
      </c>
      <c r="G724" s="547" t="s">
        <v>293</v>
      </c>
      <c r="I724" s="549" t="s">
        <v>1103</v>
      </c>
    </row>
    <row r="725" ht="14.25" customHeight="1" spans="2:9">
      <c r="B725" s="546" t="s">
        <v>6826</v>
      </c>
      <c r="G725" s="547" t="s">
        <v>293</v>
      </c>
      <c r="I725" s="549" t="s">
        <v>1103</v>
      </c>
    </row>
    <row r="726" ht="14.25" customHeight="1" spans="2:9">
      <c r="B726" s="546" t="s">
        <v>6827</v>
      </c>
      <c r="G726" s="547" t="s">
        <v>293</v>
      </c>
      <c r="I726" s="549" t="s">
        <v>1103</v>
      </c>
    </row>
    <row r="727" ht="14.25" customHeight="1" spans="2:9">
      <c r="B727" s="546" t="s">
        <v>6828</v>
      </c>
      <c r="G727" s="547" t="s">
        <v>293</v>
      </c>
      <c r="I727" s="549" t="s">
        <v>1103</v>
      </c>
    </row>
    <row r="728" ht="14.25" customHeight="1" spans="2:9">
      <c r="B728" s="546" t="s">
        <v>6829</v>
      </c>
      <c r="G728" s="547" t="s">
        <v>293</v>
      </c>
      <c r="I728" s="549" t="s">
        <v>1103</v>
      </c>
    </row>
    <row r="729" ht="14.25" customHeight="1" spans="2:9">
      <c r="B729" s="546" t="s">
        <v>6830</v>
      </c>
      <c r="G729" s="547" t="s">
        <v>293</v>
      </c>
      <c r="I729" s="549" t="s">
        <v>1103</v>
      </c>
    </row>
    <row r="730" ht="14.25" customHeight="1" spans="2:9">
      <c r="B730" s="546" t="s">
        <v>6831</v>
      </c>
      <c r="G730" s="547" t="s">
        <v>293</v>
      </c>
      <c r="I730" s="549" t="s">
        <v>1103</v>
      </c>
    </row>
    <row r="731" ht="14.25" customHeight="1" spans="2:9">
      <c r="B731" s="546" t="s">
        <v>6832</v>
      </c>
      <c r="G731" s="547" t="s">
        <v>293</v>
      </c>
      <c r="I731" s="549" t="s">
        <v>1103</v>
      </c>
    </row>
    <row r="732" ht="14.25" customHeight="1" spans="2:9">
      <c r="B732" s="546" t="s">
        <v>6833</v>
      </c>
      <c r="G732" s="547" t="s">
        <v>293</v>
      </c>
      <c r="I732" s="549" t="s">
        <v>1103</v>
      </c>
    </row>
    <row r="733" ht="14.25" customHeight="1" spans="2:9">
      <c r="B733" s="546" t="s">
        <v>6834</v>
      </c>
      <c r="G733" s="547" t="s">
        <v>293</v>
      </c>
      <c r="I733" s="549" t="s">
        <v>1103</v>
      </c>
    </row>
    <row r="734" ht="14.25" customHeight="1" spans="2:9">
      <c r="B734" s="546" t="s">
        <v>6835</v>
      </c>
      <c r="G734" s="547" t="s">
        <v>293</v>
      </c>
      <c r="I734" s="549" t="s">
        <v>1103</v>
      </c>
    </row>
    <row r="735" ht="14.25" customHeight="1" spans="2:9">
      <c r="B735" s="546" t="s">
        <v>6836</v>
      </c>
      <c r="G735" s="547" t="s">
        <v>293</v>
      </c>
      <c r="I735" s="549" t="s">
        <v>1103</v>
      </c>
    </row>
    <row r="736" ht="14.25" customHeight="1" spans="2:9">
      <c r="B736" s="546" t="s">
        <v>6837</v>
      </c>
      <c r="G736" s="547" t="s">
        <v>293</v>
      </c>
      <c r="I736" s="549" t="s">
        <v>1103</v>
      </c>
    </row>
    <row r="737" ht="14.25" customHeight="1" spans="2:9">
      <c r="B737" s="546" t="s">
        <v>6838</v>
      </c>
      <c r="G737" s="547" t="s">
        <v>293</v>
      </c>
      <c r="I737" s="549" t="s">
        <v>1103</v>
      </c>
    </row>
    <row r="738" ht="14.25" customHeight="1" spans="2:9">
      <c r="B738" s="546" t="s">
        <v>6839</v>
      </c>
      <c r="G738" s="547" t="s">
        <v>293</v>
      </c>
      <c r="I738" s="549" t="s">
        <v>1103</v>
      </c>
    </row>
    <row r="739" ht="14.25" customHeight="1" spans="2:9">
      <c r="B739" s="546" t="s">
        <v>6840</v>
      </c>
      <c r="G739" s="547" t="s">
        <v>293</v>
      </c>
      <c r="I739" s="549" t="s">
        <v>1103</v>
      </c>
    </row>
    <row r="740" ht="14.25" customHeight="1" spans="2:9">
      <c r="B740" s="546" t="s">
        <v>6841</v>
      </c>
      <c r="G740" s="547" t="s">
        <v>293</v>
      </c>
      <c r="I740" s="549" t="s">
        <v>1103</v>
      </c>
    </row>
    <row r="741" ht="14.25" customHeight="1" spans="2:9">
      <c r="B741" s="546" t="s">
        <v>6842</v>
      </c>
      <c r="G741" s="547" t="s">
        <v>293</v>
      </c>
      <c r="I741" s="549" t="s">
        <v>1103</v>
      </c>
    </row>
    <row r="742" ht="14.25" customHeight="1" spans="2:9">
      <c r="B742" s="546" t="s">
        <v>6843</v>
      </c>
      <c r="G742" s="547" t="s">
        <v>293</v>
      </c>
      <c r="I742" s="549" t="s">
        <v>1103</v>
      </c>
    </row>
    <row r="743" ht="14.25" customHeight="1" spans="2:9">
      <c r="B743" s="546" t="s">
        <v>6844</v>
      </c>
      <c r="G743" s="547" t="s">
        <v>293</v>
      </c>
      <c r="I743" s="549" t="s">
        <v>1103</v>
      </c>
    </row>
    <row r="744" ht="14.25" customHeight="1" spans="2:9">
      <c r="B744" s="546" t="s">
        <v>6845</v>
      </c>
      <c r="G744" s="547" t="s">
        <v>293</v>
      </c>
      <c r="I744" s="549" t="s">
        <v>1103</v>
      </c>
    </row>
    <row r="745" ht="14.25" customHeight="1" spans="2:9">
      <c r="B745" s="546" t="s">
        <v>6846</v>
      </c>
      <c r="G745" s="547" t="s">
        <v>293</v>
      </c>
      <c r="I745" s="549" t="s">
        <v>1103</v>
      </c>
    </row>
    <row r="746" ht="14.25" customHeight="1" spans="2:9">
      <c r="B746" s="546" t="s">
        <v>6847</v>
      </c>
      <c r="G746" s="547" t="s">
        <v>293</v>
      </c>
      <c r="I746" s="549" t="s">
        <v>1103</v>
      </c>
    </row>
    <row r="747" ht="14.25" customHeight="1" spans="2:9">
      <c r="B747" s="546" t="s">
        <v>6848</v>
      </c>
      <c r="G747" s="547" t="s">
        <v>293</v>
      </c>
      <c r="I747" s="549" t="s">
        <v>1103</v>
      </c>
    </row>
    <row r="748" ht="14.25" customHeight="1" spans="2:9">
      <c r="B748" s="546" t="s">
        <v>6849</v>
      </c>
      <c r="G748" s="547" t="s">
        <v>293</v>
      </c>
      <c r="I748" s="549" t="s">
        <v>1103</v>
      </c>
    </row>
    <row r="749" ht="14.25" customHeight="1" spans="2:9">
      <c r="B749" s="552" t="s">
        <v>6850</v>
      </c>
      <c r="G749" s="553"/>
      <c r="I749" s="553"/>
    </row>
    <row r="750" ht="14.25" customHeight="1" spans="2:9">
      <c r="B750" s="546" t="s">
        <v>6851</v>
      </c>
      <c r="G750" s="547" t="s">
        <v>294</v>
      </c>
      <c r="I750" s="549" t="s">
        <v>6852</v>
      </c>
    </row>
    <row r="751" ht="14.25" customHeight="1" spans="2:9">
      <c r="B751" s="546" t="s">
        <v>6853</v>
      </c>
      <c r="G751" s="547" t="s">
        <v>294</v>
      </c>
      <c r="I751" s="549" t="s">
        <v>6852</v>
      </c>
    </row>
    <row r="752" ht="14.25" customHeight="1" spans="2:9">
      <c r="B752" s="546" t="s">
        <v>6854</v>
      </c>
      <c r="G752" s="547" t="s">
        <v>294</v>
      </c>
      <c r="I752" s="549" t="s">
        <v>6852</v>
      </c>
    </row>
    <row r="753" ht="14.25" customHeight="1" spans="2:9">
      <c r="B753" s="546" t="s">
        <v>6855</v>
      </c>
      <c r="G753" s="547" t="s">
        <v>294</v>
      </c>
      <c r="I753" s="549" t="s">
        <v>6852</v>
      </c>
    </row>
    <row r="754" ht="14.25" customHeight="1" spans="2:9">
      <c r="B754" s="546" t="s">
        <v>6856</v>
      </c>
      <c r="G754" s="547" t="s">
        <v>294</v>
      </c>
      <c r="I754" s="549" t="s">
        <v>6852</v>
      </c>
    </row>
    <row r="755" ht="14.25" customHeight="1" spans="2:9">
      <c r="B755" s="546" t="s">
        <v>6857</v>
      </c>
      <c r="G755" s="547" t="s">
        <v>294</v>
      </c>
      <c r="I755" s="549" t="s">
        <v>6852</v>
      </c>
    </row>
    <row r="756" ht="14.25" customHeight="1" spans="2:9">
      <c r="B756" s="546" t="s">
        <v>6858</v>
      </c>
      <c r="G756" s="547" t="s">
        <v>294</v>
      </c>
      <c r="I756" s="549" t="s">
        <v>6852</v>
      </c>
    </row>
    <row r="757" ht="14.25" customHeight="1" spans="2:9">
      <c r="B757" s="546" t="s">
        <v>6859</v>
      </c>
      <c r="G757" s="547" t="s">
        <v>294</v>
      </c>
      <c r="I757" s="549" t="s">
        <v>6852</v>
      </c>
    </row>
    <row r="758" ht="14.25" customHeight="1" spans="2:9">
      <c r="B758" s="546" t="s">
        <v>6860</v>
      </c>
      <c r="G758" s="547" t="s">
        <v>294</v>
      </c>
      <c r="I758" s="549" t="s">
        <v>6852</v>
      </c>
    </row>
    <row r="759" ht="14.25" customHeight="1" spans="2:9">
      <c r="B759" s="546" t="s">
        <v>6861</v>
      </c>
      <c r="G759" s="547" t="s">
        <v>6054</v>
      </c>
      <c r="I759" s="549" t="s">
        <v>6852</v>
      </c>
    </row>
    <row r="760" ht="14.25" customHeight="1" spans="2:9">
      <c r="B760" s="546" t="s">
        <v>6862</v>
      </c>
      <c r="G760" s="547" t="s">
        <v>6054</v>
      </c>
      <c r="I760" s="549" t="s">
        <v>6852</v>
      </c>
    </row>
    <row r="761" ht="14.25" customHeight="1" spans="2:9">
      <c r="B761" s="546" t="s">
        <v>6863</v>
      </c>
      <c r="G761" s="547" t="s">
        <v>6054</v>
      </c>
      <c r="I761" s="549" t="s">
        <v>6852</v>
      </c>
    </row>
    <row r="762" ht="14.25" customHeight="1" spans="2:9">
      <c r="B762" s="546" t="s">
        <v>6864</v>
      </c>
      <c r="G762" s="547" t="s">
        <v>6054</v>
      </c>
      <c r="I762" s="549" t="s">
        <v>6852</v>
      </c>
    </row>
    <row r="763" ht="14.25" customHeight="1" spans="2:9">
      <c r="B763" s="546" t="s">
        <v>6865</v>
      </c>
      <c r="G763" s="547" t="s">
        <v>6054</v>
      </c>
      <c r="I763" s="549" t="s">
        <v>6852</v>
      </c>
    </row>
    <row r="764" ht="14.25" customHeight="1" spans="2:9">
      <c r="B764" s="546" t="s">
        <v>6866</v>
      </c>
      <c r="G764" s="547" t="s">
        <v>6054</v>
      </c>
      <c r="I764" s="549" t="s">
        <v>6852</v>
      </c>
    </row>
    <row r="765" ht="14.25" customHeight="1" spans="2:9">
      <c r="B765" s="546" t="s">
        <v>6867</v>
      </c>
      <c r="G765" s="547" t="s">
        <v>6054</v>
      </c>
      <c r="I765" s="549" t="s">
        <v>6852</v>
      </c>
    </row>
    <row r="766" ht="14.25" customHeight="1" spans="2:9">
      <c r="B766" s="546" t="s">
        <v>6868</v>
      </c>
      <c r="G766" s="547" t="s">
        <v>6054</v>
      </c>
      <c r="I766" s="549" t="s">
        <v>6852</v>
      </c>
    </row>
    <row r="767" ht="14.25" customHeight="1" spans="2:9">
      <c r="B767" s="546" t="s">
        <v>6869</v>
      </c>
      <c r="G767" s="547" t="s">
        <v>6054</v>
      </c>
      <c r="I767" s="549" t="s">
        <v>6852</v>
      </c>
    </row>
    <row r="768" ht="14.25" customHeight="1" spans="2:9">
      <c r="B768" s="546" t="s">
        <v>6870</v>
      </c>
      <c r="G768" s="547" t="s">
        <v>6054</v>
      </c>
      <c r="I768" s="549" t="s">
        <v>6852</v>
      </c>
    </row>
    <row r="769" ht="14.25" customHeight="1" spans="2:9">
      <c r="B769" s="546" t="s">
        <v>6871</v>
      </c>
      <c r="G769" s="547" t="s">
        <v>6054</v>
      </c>
      <c r="I769" s="549" t="s">
        <v>6852</v>
      </c>
    </row>
    <row r="770" ht="14.25" customHeight="1" spans="2:9">
      <c r="B770" s="546" t="s">
        <v>6872</v>
      </c>
      <c r="G770" s="547" t="s">
        <v>6054</v>
      </c>
      <c r="I770" s="549" t="s">
        <v>6852</v>
      </c>
    </row>
    <row r="771" ht="14.25" customHeight="1" spans="2:9">
      <c r="B771" s="546" t="s">
        <v>6873</v>
      </c>
      <c r="G771" s="547" t="s">
        <v>6054</v>
      </c>
      <c r="I771" s="549" t="s">
        <v>6852</v>
      </c>
    </row>
    <row r="772" ht="14.25" customHeight="1" spans="2:9">
      <c r="B772" s="546" t="s">
        <v>6874</v>
      </c>
      <c r="G772" s="547" t="s">
        <v>6054</v>
      </c>
      <c r="I772" s="549" t="s">
        <v>6852</v>
      </c>
    </row>
    <row r="773" ht="14.25" customHeight="1" spans="2:9">
      <c r="B773" s="546" t="s">
        <v>6875</v>
      </c>
      <c r="G773" s="547" t="s">
        <v>6054</v>
      </c>
      <c r="I773" s="549" t="s">
        <v>6852</v>
      </c>
    </row>
    <row r="774" ht="14.25" customHeight="1" spans="2:9">
      <c r="B774" s="546" t="s">
        <v>6876</v>
      </c>
      <c r="G774" s="547" t="s">
        <v>6054</v>
      </c>
      <c r="I774" s="549" t="s">
        <v>6852</v>
      </c>
    </row>
    <row r="775" ht="14.25" customHeight="1" spans="2:9">
      <c r="B775" s="546" t="s">
        <v>6877</v>
      </c>
      <c r="G775" s="547" t="s">
        <v>6054</v>
      </c>
      <c r="I775" s="549" t="s">
        <v>6852</v>
      </c>
    </row>
    <row r="776" ht="14.25" customHeight="1" spans="2:9">
      <c r="B776" s="546" t="s">
        <v>6878</v>
      </c>
      <c r="G776" s="547" t="s">
        <v>6054</v>
      </c>
      <c r="I776" s="549" t="s">
        <v>6852</v>
      </c>
    </row>
    <row r="777" ht="14.25" customHeight="1" spans="2:9">
      <c r="B777" s="552" t="s">
        <v>6879</v>
      </c>
      <c r="G777" s="553"/>
      <c r="I777" s="553"/>
    </row>
    <row r="778" ht="14.25" customHeight="1" spans="2:9">
      <c r="B778" s="546" t="s">
        <v>6880</v>
      </c>
      <c r="G778" s="547" t="s">
        <v>294</v>
      </c>
      <c r="I778" s="549" t="s">
        <v>6881</v>
      </c>
    </row>
    <row r="779" ht="14.25" customHeight="1" spans="2:9">
      <c r="B779" s="546" t="s">
        <v>6882</v>
      </c>
      <c r="G779" s="547" t="s">
        <v>294</v>
      </c>
      <c r="I779" s="549" t="s">
        <v>6881</v>
      </c>
    </row>
    <row r="780" ht="14.25" customHeight="1" spans="2:9">
      <c r="B780" s="546" t="s">
        <v>6883</v>
      </c>
      <c r="G780" s="547" t="s">
        <v>294</v>
      </c>
      <c r="I780" s="549" t="s">
        <v>6881</v>
      </c>
    </row>
    <row r="781" ht="14.25" customHeight="1" spans="2:9">
      <c r="B781" s="546" t="s">
        <v>6884</v>
      </c>
      <c r="G781" s="547" t="s">
        <v>6054</v>
      </c>
      <c r="I781" s="549" t="s">
        <v>6881</v>
      </c>
    </row>
    <row r="782" ht="14.25" customHeight="1" spans="2:9">
      <c r="B782" s="546" t="s">
        <v>6885</v>
      </c>
      <c r="G782" s="547" t="s">
        <v>6054</v>
      </c>
      <c r="I782" s="549" t="s">
        <v>6881</v>
      </c>
    </row>
    <row r="783" ht="14.25" customHeight="1" spans="2:9">
      <c r="B783" s="546" t="s">
        <v>6886</v>
      </c>
      <c r="G783" s="547" t="s">
        <v>6054</v>
      </c>
      <c r="I783" s="549" t="s">
        <v>6881</v>
      </c>
    </row>
    <row r="784" ht="14.25" customHeight="1" spans="2:9">
      <c r="B784" s="546" t="s">
        <v>6887</v>
      </c>
      <c r="G784" s="547" t="s">
        <v>6054</v>
      </c>
      <c r="I784" s="549" t="s">
        <v>6881</v>
      </c>
    </row>
    <row r="785" ht="14.25" customHeight="1" spans="2:9">
      <c r="B785" s="546" t="s">
        <v>6888</v>
      </c>
      <c r="G785" s="547" t="s">
        <v>6054</v>
      </c>
      <c r="I785" s="549" t="s">
        <v>6881</v>
      </c>
    </row>
    <row r="786" ht="14.25" customHeight="1" spans="2:9">
      <c r="B786" s="546" t="s">
        <v>6889</v>
      </c>
      <c r="G786" s="547" t="s">
        <v>6054</v>
      </c>
      <c r="I786" s="549" t="s">
        <v>6881</v>
      </c>
    </row>
    <row r="787" ht="14.25" customHeight="1" spans="2:9">
      <c r="B787" s="546" t="s">
        <v>6890</v>
      </c>
      <c r="G787" s="547" t="s">
        <v>6054</v>
      </c>
      <c r="I787" s="549" t="s">
        <v>6881</v>
      </c>
    </row>
    <row r="788" ht="14.25" customHeight="1" spans="2:9">
      <c r="B788" s="546" t="s">
        <v>6891</v>
      </c>
      <c r="G788" s="547" t="s">
        <v>6054</v>
      </c>
      <c r="I788" s="549" t="s">
        <v>6881</v>
      </c>
    </row>
    <row r="789" ht="14.25" customHeight="1" spans="2:9">
      <c r="B789" s="546" t="s">
        <v>6892</v>
      </c>
      <c r="G789" s="547" t="s">
        <v>6054</v>
      </c>
      <c r="I789" s="549" t="s">
        <v>6881</v>
      </c>
    </row>
    <row r="790" ht="14.25" customHeight="1" spans="2:9">
      <c r="B790" s="546" t="s">
        <v>6893</v>
      </c>
      <c r="G790" s="547" t="s">
        <v>6054</v>
      </c>
      <c r="I790" s="549" t="s">
        <v>6881</v>
      </c>
    </row>
    <row r="791" ht="14.25" customHeight="1" spans="2:9">
      <c r="B791" s="554" t="s">
        <v>6230</v>
      </c>
      <c r="G791" s="555"/>
      <c r="I791" s="555"/>
    </row>
    <row r="792" ht="14.25" customHeight="1" spans="2:9">
      <c r="B792" s="552" t="s">
        <v>6894</v>
      </c>
      <c r="G792" s="553"/>
      <c r="I792" s="553"/>
    </row>
    <row r="793" ht="14.25" customHeight="1" spans="2:9">
      <c r="B793" s="546" t="s">
        <v>6895</v>
      </c>
      <c r="G793" s="547" t="s">
        <v>294</v>
      </c>
      <c r="I793" s="549" t="s">
        <v>1471</v>
      </c>
    </row>
    <row r="794" ht="14.25" customHeight="1" spans="2:9">
      <c r="B794" s="546" t="s">
        <v>6896</v>
      </c>
      <c r="G794" s="547" t="s">
        <v>294</v>
      </c>
      <c r="I794" s="549" t="s">
        <v>1471</v>
      </c>
    </row>
    <row r="795" ht="14.25" customHeight="1" spans="2:9">
      <c r="B795" s="546" t="s">
        <v>6897</v>
      </c>
      <c r="G795" s="547" t="s">
        <v>294</v>
      </c>
      <c r="I795" s="549" t="s">
        <v>1471</v>
      </c>
    </row>
    <row r="796" ht="14.25" customHeight="1" spans="2:9">
      <c r="B796" s="546" t="s">
        <v>6898</v>
      </c>
      <c r="G796" s="547" t="s">
        <v>294</v>
      </c>
      <c r="I796" s="549" t="s">
        <v>1471</v>
      </c>
    </row>
    <row r="797" ht="14.25" customHeight="1" spans="2:9">
      <c r="B797" s="546" t="s">
        <v>6899</v>
      </c>
      <c r="G797" s="547" t="s">
        <v>294</v>
      </c>
      <c r="I797" s="549" t="s">
        <v>1471</v>
      </c>
    </row>
    <row r="798" ht="14.25" customHeight="1" spans="2:9">
      <c r="B798" s="546" t="s">
        <v>6900</v>
      </c>
      <c r="G798" s="547" t="s">
        <v>294</v>
      </c>
      <c r="I798" s="549" t="s">
        <v>1471</v>
      </c>
    </row>
    <row r="799" ht="14.25" customHeight="1" spans="2:9">
      <c r="B799" s="546" t="s">
        <v>6901</v>
      </c>
      <c r="G799" s="547" t="s">
        <v>294</v>
      </c>
      <c r="I799" s="549" t="s">
        <v>1471</v>
      </c>
    </row>
    <row r="800" ht="14.25" customHeight="1" spans="2:9">
      <c r="B800" s="546" t="s">
        <v>6902</v>
      </c>
      <c r="G800" s="547" t="s">
        <v>294</v>
      </c>
      <c r="I800" s="549" t="s">
        <v>1471</v>
      </c>
    </row>
    <row r="801" ht="14.25" customHeight="1" spans="2:9">
      <c r="B801" s="546" t="s">
        <v>6903</v>
      </c>
      <c r="G801" s="547" t="s">
        <v>294</v>
      </c>
      <c r="I801" s="549" t="s">
        <v>1471</v>
      </c>
    </row>
    <row r="802" ht="14.25" customHeight="1" spans="2:9">
      <c r="B802" s="546" t="s">
        <v>6904</v>
      </c>
      <c r="G802" s="547" t="s">
        <v>294</v>
      </c>
      <c r="I802" s="549" t="s">
        <v>1471</v>
      </c>
    </row>
    <row r="803" ht="14.25" customHeight="1" spans="2:9">
      <c r="B803" s="546" t="s">
        <v>6905</v>
      </c>
      <c r="G803" s="547" t="s">
        <v>294</v>
      </c>
      <c r="I803" s="549" t="s">
        <v>1471</v>
      </c>
    </row>
    <row r="804" ht="14.25" customHeight="1" spans="2:9">
      <c r="B804" s="546" t="s">
        <v>6906</v>
      </c>
      <c r="G804" s="547" t="s">
        <v>294</v>
      </c>
      <c r="I804" s="549" t="s">
        <v>1471</v>
      </c>
    </row>
    <row r="805" ht="14.25" customHeight="1" spans="2:9">
      <c r="B805" s="546" t="s">
        <v>6907</v>
      </c>
      <c r="G805" s="547" t="s">
        <v>293</v>
      </c>
      <c r="I805" s="549" t="s">
        <v>1471</v>
      </c>
    </row>
    <row r="806" ht="14.25" customHeight="1" spans="2:9">
      <c r="B806" s="546" t="s">
        <v>6908</v>
      </c>
      <c r="G806" s="547" t="s">
        <v>293</v>
      </c>
      <c r="I806" s="549" t="s">
        <v>1471</v>
      </c>
    </row>
    <row r="807" ht="14.25" customHeight="1" spans="2:9">
      <c r="B807" s="546" t="s">
        <v>6909</v>
      </c>
      <c r="G807" s="547" t="s">
        <v>293</v>
      </c>
      <c r="I807" s="549" t="s">
        <v>1471</v>
      </c>
    </row>
    <row r="808" ht="14.25" customHeight="1" spans="2:9">
      <c r="B808" s="546" t="s">
        <v>6910</v>
      </c>
      <c r="G808" s="547" t="s">
        <v>293</v>
      </c>
      <c r="I808" s="549" t="s">
        <v>1471</v>
      </c>
    </row>
    <row r="809" ht="14.25" customHeight="1" spans="2:9">
      <c r="B809" s="546" t="s">
        <v>6911</v>
      </c>
      <c r="G809" s="547" t="s">
        <v>293</v>
      </c>
      <c r="I809" s="549" t="s">
        <v>1471</v>
      </c>
    </row>
    <row r="810" ht="14.25" customHeight="1" spans="2:9">
      <c r="B810" s="546" t="s">
        <v>6912</v>
      </c>
      <c r="G810" s="547" t="s">
        <v>293</v>
      </c>
      <c r="I810" s="549" t="s">
        <v>1471</v>
      </c>
    </row>
    <row r="811" ht="14.25" customHeight="1" spans="2:9">
      <c r="B811" s="546" t="s">
        <v>6913</v>
      </c>
      <c r="G811" s="547" t="s">
        <v>293</v>
      </c>
      <c r="I811" s="549" t="s">
        <v>1471</v>
      </c>
    </row>
    <row r="812" ht="14.25" customHeight="1" spans="2:9">
      <c r="B812" s="546" t="s">
        <v>6914</v>
      </c>
      <c r="G812" s="547" t="s">
        <v>293</v>
      </c>
      <c r="I812" s="549" t="s">
        <v>1471</v>
      </c>
    </row>
    <row r="813" ht="14.25" customHeight="1" spans="2:9">
      <c r="B813" s="546" t="s">
        <v>6915</v>
      </c>
      <c r="G813" s="547" t="s">
        <v>293</v>
      </c>
      <c r="I813" s="549" t="s">
        <v>1471</v>
      </c>
    </row>
    <row r="814" ht="14.25" customHeight="1" spans="2:9">
      <c r="B814" s="546" t="s">
        <v>6916</v>
      </c>
      <c r="G814" s="547" t="s">
        <v>293</v>
      </c>
      <c r="I814" s="549" t="s">
        <v>1471</v>
      </c>
    </row>
    <row r="815" ht="14.25" customHeight="1" spans="2:9">
      <c r="B815" s="546" t="s">
        <v>6917</v>
      </c>
      <c r="G815" s="547" t="s">
        <v>293</v>
      </c>
      <c r="I815" s="549" t="s">
        <v>1471</v>
      </c>
    </row>
    <row r="816" ht="14.25" customHeight="1" spans="2:9">
      <c r="B816" s="546" t="s">
        <v>6918</v>
      </c>
      <c r="G816" s="547" t="s">
        <v>293</v>
      </c>
      <c r="I816" s="549" t="s">
        <v>1471</v>
      </c>
    </row>
    <row r="817" ht="14.25" customHeight="1" spans="2:9">
      <c r="B817" s="552" t="s">
        <v>6919</v>
      </c>
      <c r="G817" s="553"/>
      <c r="I817" s="553"/>
    </row>
    <row r="818" ht="14.25" customHeight="1" spans="2:9">
      <c r="B818" s="546" t="s">
        <v>6920</v>
      </c>
      <c r="G818" s="547" t="s">
        <v>294</v>
      </c>
      <c r="I818" s="549" t="s">
        <v>1593</v>
      </c>
    </row>
    <row r="819" ht="14.25" customHeight="1" spans="2:9">
      <c r="B819" s="546" t="s">
        <v>6921</v>
      </c>
      <c r="G819" s="547" t="s">
        <v>294</v>
      </c>
      <c r="I819" s="549" t="s">
        <v>1593</v>
      </c>
    </row>
    <row r="820" ht="14.25" customHeight="1" spans="2:9">
      <c r="B820" s="546" t="s">
        <v>6922</v>
      </c>
      <c r="G820" s="547" t="s">
        <v>294</v>
      </c>
      <c r="I820" s="549" t="s">
        <v>1593</v>
      </c>
    </row>
    <row r="821" ht="14.25" customHeight="1" spans="2:9">
      <c r="B821" s="546" t="s">
        <v>6923</v>
      </c>
      <c r="G821" s="547" t="s">
        <v>294</v>
      </c>
      <c r="I821" s="549" t="s">
        <v>1593</v>
      </c>
    </row>
    <row r="822" ht="14.25" customHeight="1" spans="2:9">
      <c r="B822" s="546" t="s">
        <v>6924</v>
      </c>
      <c r="G822" s="547" t="s">
        <v>294</v>
      </c>
      <c r="I822" s="549" t="s">
        <v>1593</v>
      </c>
    </row>
    <row r="823" ht="14.25" customHeight="1" spans="2:9">
      <c r="B823" s="546" t="s">
        <v>6925</v>
      </c>
      <c r="G823" s="547" t="s">
        <v>294</v>
      </c>
      <c r="I823" s="549" t="s">
        <v>1593</v>
      </c>
    </row>
    <row r="824" ht="14.25" customHeight="1" spans="2:9">
      <c r="B824" s="546" t="s">
        <v>6926</v>
      </c>
      <c r="G824" s="547" t="s">
        <v>294</v>
      </c>
      <c r="I824" s="549" t="s">
        <v>1593</v>
      </c>
    </row>
    <row r="825" ht="14.25" customHeight="1" spans="2:9">
      <c r="B825" s="546" t="s">
        <v>6927</v>
      </c>
      <c r="G825" s="547" t="s">
        <v>294</v>
      </c>
      <c r="I825" s="549" t="s">
        <v>1593</v>
      </c>
    </row>
    <row r="826" ht="14.25" customHeight="1" spans="2:9">
      <c r="B826" s="546" t="s">
        <v>6928</v>
      </c>
      <c r="G826" s="547" t="s">
        <v>294</v>
      </c>
      <c r="I826" s="549" t="s">
        <v>1593</v>
      </c>
    </row>
    <row r="827" ht="14.25" customHeight="1" spans="2:9">
      <c r="B827" s="546" t="s">
        <v>6929</v>
      </c>
      <c r="G827" s="547" t="s">
        <v>294</v>
      </c>
      <c r="I827" s="549" t="s">
        <v>1593</v>
      </c>
    </row>
    <row r="828" ht="14.25" customHeight="1" spans="2:9">
      <c r="B828" s="546" t="s">
        <v>6930</v>
      </c>
      <c r="G828" s="547" t="s">
        <v>294</v>
      </c>
      <c r="I828" s="549" t="s">
        <v>1593</v>
      </c>
    </row>
    <row r="829" ht="14.25" customHeight="1" spans="2:9">
      <c r="B829" s="546" t="s">
        <v>6931</v>
      </c>
      <c r="G829" s="547" t="s">
        <v>294</v>
      </c>
      <c r="I829" s="549" t="s">
        <v>1593</v>
      </c>
    </row>
    <row r="830" ht="14.25" customHeight="1" spans="2:9">
      <c r="B830" s="546" t="s">
        <v>6932</v>
      </c>
      <c r="G830" s="547" t="s">
        <v>294</v>
      </c>
      <c r="I830" s="549" t="s">
        <v>1593</v>
      </c>
    </row>
    <row r="831" ht="14.25" customHeight="1" spans="2:9">
      <c r="B831" s="546" t="s">
        <v>6933</v>
      </c>
      <c r="G831" s="547" t="s">
        <v>294</v>
      </c>
      <c r="I831" s="549" t="s">
        <v>1593</v>
      </c>
    </row>
    <row r="832" ht="14.25" customHeight="1" spans="2:9">
      <c r="B832" s="546" t="s">
        <v>6934</v>
      </c>
      <c r="G832" s="547" t="s">
        <v>294</v>
      </c>
      <c r="I832" s="549" t="s">
        <v>1593</v>
      </c>
    </row>
    <row r="833" ht="14.25" customHeight="1" spans="2:9">
      <c r="B833" s="546" t="s">
        <v>6935</v>
      </c>
      <c r="G833" s="547" t="s">
        <v>294</v>
      </c>
      <c r="I833" s="549" t="s">
        <v>1593</v>
      </c>
    </row>
    <row r="834" ht="14.25" customHeight="1" spans="2:9">
      <c r="B834" s="546" t="s">
        <v>6936</v>
      </c>
      <c r="G834" s="550" t="s">
        <v>293</v>
      </c>
      <c r="I834" s="549" t="s">
        <v>1593</v>
      </c>
    </row>
    <row r="835" ht="14.25" customHeight="1" spans="2:9">
      <c r="B835" s="546" t="s">
        <v>6937</v>
      </c>
      <c r="G835" s="550" t="s">
        <v>293</v>
      </c>
      <c r="I835" s="549" t="s">
        <v>1593</v>
      </c>
    </row>
    <row r="836" ht="14.25" customHeight="1" spans="2:9">
      <c r="B836" s="546" t="s">
        <v>6938</v>
      </c>
      <c r="G836" s="550" t="s">
        <v>293</v>
      </c>
      <c r="I836" s="549" t="s">
        <v>1593</v>
      </c>
    </row>
    <row r="837" ht="14.25" customHeight="1" spans="2:9">
      <c r="B837" s="546" t="s">
        <v>6939</v>
      </c>
      <c r="G837" s="550" t="s">
        <v>293</v>
      </c>
      <c r="I837" s="549" t="s">
        <v>1593</v>
      </c>
    </row>
    <row r="838" ht="14.25" customHeight="1" spans="2:9">
      <c r="B838" s="546" t="s">
        <v>6940</v>
      </c>
      <c r="G838" s="550" t="s">
        <v>293</v>
      </c>
      <c r="I838" s="549" t="s">
        <v>1593</v>
      </c>
    </row>
    <row r="839" ht="14.25" customHeight="1" spans="2:9">
      <c r="B839" s="546" t="s">
        <v>6941</v>
      </c>
      <c r="G839" s="550" t="s">
        <v>293</v>
      </c>
      <c r="I839" s="549" t="s">
        <v>1593</v>
      </c>
    </row>
    <row r="840" ht="14.25" customHeight="1" spans="2:9">
      <c r="B840" s="546" t="s">
        <v>6942</v>
      </c>
      <c r="G840" s="550" t="s">
        <v>293</v>
      </c>
      <c r="I840" s="549" t="s">
        <v>1593</v>
      </c>
    </row>
    <row r="841" ht="14.25" customHeight="1" spans="2:9">
      <c r="B841" s="546" t="s">
        <v>6943</v>
      </c>
      <c r="G841" s="550" t="s">
        <v>293</v>
      </c>
      <c r="I841" s="549" t="s">
        <v>1593</v>
      </c>
    </row>
    <row r="842" ht="14.25" customHeight="1" spans="2:9">
      <c r="B842" s="546" t="s">
        <v>6944</v>
      </c>
      <c r="G842" s="550" t="s">
        <v>293</v>
      </c>
      <c r="I842" s="549" t="s">
        <v>1593</v>
      </c>
    </row>
    <row r="843" ht="14.25" customHeight="1" spans="2:9">
      <c r="B843" s="546" t="s">
        <v>6945</v>
      </c>
      <c r="G843" s="550" t="s">
        <v>293</v>
      </c>
      <c r="I843" s="549" t="s">
        <v>1593</v>
      </c>
    </row>
    <row r="844" ht="14.25" customHeight="1" spans="2:9">
      <c r="B844" s="546" t="s">
        <v>6946</v>
      </c>
      <c r="G844" s="550" t="s">
        <v>293</v>
      </c>
      <c r="I844" s="549" t="s">
        <v>1593</v>
      </c>
    </row>
    <row r="845" ht="14.25" customHeight="1" spans="2:9">
      <c r="B845" s="546" t="s">
        <v>6947</v>
      </c>
      <c r="G845" s="550" t="s">
        <v>293</v>
      </c>
      <c r="I845" s="549" t="s">
        <v>1593</v>
      </c>
    </row>
    <row r="846" ht="14.25" customHeight="1" spans="2:9">
      <c r="B846" s="546" t="s">
        <v>6948</v>
      </c>
      <c r="G846" s="550" t="s">
        <v>293</v>
      </c>
      <c r="I846" s="549" t="s">
        <v>1593</v>
      </c>
    </row>
    <row r="847" ht="14.25" customHeight="1" spans="2:9">
      <c r="B847" s="546" t="s">
        <v>6949</v>
      </c>
      <c r="G847" s="550" t="s">
        <v>293</v>
      </c>
      <c r="I847" s="549" t="s">
        <v>1593</v>
      </c>
    </row>
    <row r="848" ht="14.25" customHeight="1" spans="2:9">
      <c r="B848" s="546" t="s">
        <v>6950</v>
      </c>
      <c r="G848" s="550" t="s">
        <v>293</v>
      </c>
      <c r="I848" s="549" t="s">
        <v>1593</v>
      </c>
    </row>
    <row r="849" ht="14.25" customHeight="1" spans="2:9">
      <c r="B849" s="546" t="s">
        <v>6951</v>
      </c>
      <c r="G849" s="550" t="s">
        <v>293</v>
      </c>
      <c r="I849" s="549" t="s">
        <v>1593</v>
      </c>
    </row>
    <row r="850" ht="14.25" customHeight="1" spans="2:9">
      <c r="B850" s="546" t="s">
        <v>6952</v>
      </c>
      <c r="G850" s="550" t="s">
        <v>293</v>
      </c>
      <c r="I850" s="549" t="s">
        <v>1593</v>
      </c>
    </row>
    <row r="851" ht="14.25" customHeight="1" spans="2:9">
      <c r="B851" s="546" t="s">
        <v>6953</v>
      </c>
      <c r="G851" s="550" t="s">
        <v>293</v>
      </c>
      <c r="I851" s="549" t="s">
        <v>1593</v>
      </c>
    </row>
    <row r="852" ht="14.25" customHeight="1" spans="2:9">
      <c r="B852" s="546" t="s">
        <v>6954</v>
      </c>
      <c r="G852" s="550" t="s">
        <v>293</v>
      </c>
      <c r="I852" s="549" t="s">
        <v>1593</v>
      </c>
    </row>
    <row r="853" ht="14.25" customHeight="1" spans="2:9">
      <c r="B853" s="546" t="s">
        <v>6955</v>
      </c>
      <c r="G853" s="550" t="s">
        <v>293</v>
      </c>
      <c r="I853" s="549" t="s">
        <v>1593</v>
      </c>
    </row>
    <row r="854" ht="14.25" customHeight="1" spans="2:9">
      <c r="B854" s="546" t="s">
        <v>6956</v>
      </c>
      <c r="G854" s="550" t="s">
        <v>293</v>
      </c>
      <c r="I854" s="549" t="s">
        <v>1593</v>
      </c>
    </row>
    <row r="855" ht="14.25" customHeight="1" spans="2:9">
      <c r="B855" s="546" t="s">
        <v>6957</v>
      </c>
      <c r="G855" s="550" t="s">
        <v>293</v>
      </c>
      <c r="I855" s="549" t="s">
        <v>1593</v>
      </c>
    </row>
    <row r="856" ht="14.25" customHeight="1" spans="2:9">
      <c r="B856" s="546" t="s">
        <v>6958</v>
      </c>
      <c r="G856" s="550" t="s">
        <v>293</v>
      </c>
      <c r="I856" s="549" t="s">
        <v>1593</v>
      </c>
    </row>
    <row r="857" ht="14.25" customHeight="1" spans="2:9">
      <c r="B857" s="546" t="s">
        <v>6959</v>
      </c>
      <c r="G857" s="550" t="s">
        <v>293</v>
      </c>
      <c r="I857" s="549" t="s">
        <v>1593</v>
      </c>
    </row>
    <row r="858" ht="14.25" customHeight="1" spans="2:9">
      <c r="B858" s="546" t="s">
        <v>6960</v>
      </c>
      <c r="G858" s="550" t="s">
        <v>293</v>
      </c>
      <c r="I858" s="549" t="s">
        <v>1593</v>
      </c>
    </row>
    <row r="859" ht="14.25" customHeight="1" spans="2:9">
      <c r="B859" s="546" t="s">
        <v>6961</v>
      </c>
      <c r="G859" s="550" t="s">
        <v>293</v>
      </c>
      <c r="I859" s="549" t="s">
        <v>1593</v>
      </c>
    </row>
    <row r="860" ht="14.25" customHeight="1" spans="2:9">
      <c r="B860" s="546" t="s">
        <v>6962</v>
      </c>
      <c r="G860" s="550" t="s">
        <v>293</v>
      </c>
      <c r="I860" s="549" t="s">
        <v>1593</v>
      </c>
    </row>
    <row r="861" ht="14.25" customHeight="1" spans="2:9">
      <c r="B861" s="546" t="s">
        <v>6963</v>
      </c>
      <c r="G861" s="550" t="s">
        <v>293</v>
      </c>
      <c r="I861" s="549" t="s">
        <v>1593</v>
      </c>
    </row>
    <row r="862" ht="14.25" customHeight="1" spans="2:9">
      <c r="B862" s="546" t="s">
        <v>6964</v>
      </c>
      <c r="G862" s="550" t="s">
        <v>293</v>
      </c>
      <c r="I862" s="549" t="s">
        <v>1593</v>
      </c>
    </row>
    <row r="863" ht="14.25" customHeight="1" spans="2:9">
      <c r="B863" s="546" t="s">
        <v>6965</v>
      </c>
      <c r="G863" s="550" t="s">
        <v>293</v>
      </c>
      <c r="I863" s="549" t="s">
        <v>1593</v>
      </c>
    </row>
    <row r="864" ht="14.25" customHeight="1" spans="2:9">
      <c r="B864" s="554" t="s">
        <v>6138</v>
      </c>
      <c r="G864" s="555"/>
      <c r="I864" s="555"/>
    </row>
    <row r="865" ht="14.25" customHeight="1" spans="2:9">
      <c r="B865" s="552" t="s">
        <v>6139</v>
      </c>
      <c r="G865" s="553"/>
      <c r="I865" s="553"/>
    </row>
    <row r="866" ht="14.25" customHeight="1" spans="2:9">
      <c r="B866" s="546" t="s">
        <v>6966</v>
      </c>
      <c r="G866" s="547" t="s">
        <v>294</v>
      </c>
      <c r="I866" s="549" t="s">
        <v>1121</v>
      </c>
    </row>
    <row r="867" ht="14.25" customHeight="1" spans="2:9">
      <c r="B867" s="546" t="s">
        <v>6967</v>
      </c>
      <c r="G867" s="547" t="s">
        <v>294</v>
      </c>
      <c r="I867" s="549" t="s">
        <v>1121</v>
      </c>
    </row>
    <row r="868" ht="14.25" customHeight="1" spans="2:9">
      <c r="B868" s="546" t="s">
        <v>6968</v>
      </c>
      <c r="G868" s="547" t="s">
        <v>294</v>
      </c>
      <c r="I868" s="549" t="s">
        <v>1121</v>
      </c>
    </row>
    <row r="869" ht="14.25" customHeight="1" spans="2:9">
      <c r="B869" s="546" t="s">
        <v>6969</v>
      </c>
      <c r="G869" s="547" t="s">
        <v>294</v>
      </c>
      <c r="I869" s="549" t="s">
        <v>1121</v>
      </c>
    </row>
    <row r="870" ht="14.25" customHeight="1" spans="2:9">
      <c r="B870" s="546" t="s">
        <v>6970</v>
      </c>
      <c r="G870" s="547" t="s">
        <v>294</v>
      </c>
      <c r="I870" s="549" t="s">
        <v>1121</v>
      </c>
    </row>
    <row r="871" ht="14.25" customHeight="1" spans="2:9">
      <c r="B871" s="546" t="s">
        <v>6971</v>
      </c>
      <c r="G871" s="547" t="s">
        <v>294</v>
      </c>
      <c r="I871" s="549" t="s">
        <v>1121</v>
      </c>
    </row>
    <row r="872" ht="14.25" customHeight="1" spans="2:9">
      <c r="B872" s="546" t="s">
        <v>6972</v>
      </c>
      <c r="G872" s="547" t="s">
        <v>294</v>
      </c>
      <c r="I872" s="549" t="s">
        <v>1121</v>
      </c>
    </row>
    <row r="873" ht="14.25" customHeight="1" spans="2:9">
      <c r="B873" s="546" t="s">
        <v>6973</v>
      </c>
      <c r="G873" s="547" t="s">
        <v>294</v>
      </c>
      <c r="I873" s="549" t="s">
        <v>1121</v>
      </c>
    </row>
    <row r="874" ht="14.25" customHeight="1" spans="2:9">
      <c r="B874" s="546" t="s">
        <v>6974</v>
      </c>
      <c r="G874" s="547" t="s">
        <v>294</v>
      </c>
      <c r="I874" s="549" t="s">
        <v>1121</v>
      </c>
    </row>
    <row r="875" ht="14.25" customHeight="1" spans="2:9">
      <c r="B875" s="546" t="s">
        <v>6975</v>
      </c>
      <c r="G875" s="547" t="s">
        <v>294</v>
      </c>
      <c r="I875" s="549" t="s">
        <v>1121</v>
      </c>
    </row>
    <row r="876" ht="14.25" customHeight="1" spans="2:9">
      <c r="B876" s="546" t="s">
        <v>6976</v>
      </c>
      <c r="G876" s="547" t="s">
        <v>294</v>
      </c>
      <c r="I876" s="549" t="s">
        <v>1121</v>
      </c>
    </row>
    <row r="877" ht="14.25" customHeight="1" spans="2:9">
      <c r="B877" s="546" t="s">
        <v>6977</v>
      </c>
      <c r="G877" s="547" t="s">
        <v>294</v>
      </c>
      <c r="I877" s="549" t="s">
        <v>1121</v>
      </c>
    </row>
    <row r="878" ht="14.25" customHeight="1" spans="2:9">
      <c r="B878" s="546" t="s">
        <v>6978</v>
      </c>
      <c r="G878" s="547" t="s">
        <v>294</v>
      </c>
      <c r="I878" s="549" t="s">
        <v>1121</v>
      </c>
    </row>
    <row r="879" ht="14.25" customHeight="1" spans="2:9">
      <c r="B879" s="546" t="s">
        <v>6979</v>
      </c>
      <c r="G879" s="547" t="s">
        <v>294</v>
      </c>
      <c r="I879" s="549" t="s">
        <v>1121</v>
      </c>
    </row>
    <row r="880" ht="14.25" customHeight="1" spans="2:9">
      <c r="B880" s="546" t="s">
        <v>6980</v>
      </c>
      <c r="G880" s="547" t="s">
        <v>294</v>
      </c>
      <c r="I880" s="549" t="s">
        <v>1121</v>
      </c>
    </row>
    <row r="881" ht="14.25" customHeight="1" spans="2:9">
      <c r="B881" s="546" t="s">
        <v>6981</v>
      </c>
      <c r="G881" s="547" t="s">
        <v>294</v>
      </c>
      <c r="I881" s="549" t="s">
        <v>1121</v>
      </c>
    </row>
    <row r="882" ht="14.25" customHeight="1" spans="2:9">
      <c r="B882" s="546" t="s">
        <v>6982</v>
      </c>
      <c r="G882" s="547" t="s">
        <v>294</v>
      </c>
      <c r="I882" s="549" t="s">
        <v>1121</v>
      </c>
    </row>
    <row r="883" ht="14.25" customHeight="1" spans="2:9">
      <c r="B883" s="546" t="s">
        <v>6983</v>
      </c>
      <c r="G883" s="547" t="s">
        <v>294</v>
      </c>
      <c r="I883" s="549" t="s">
        <v>1121</v>
      </c>
    </row>
    <row r="884" ht="14.25" customHeight="1" spans="2:9">
      <c r="B884" s="546" t="s">
        <v>6984</v>
      </c>
      <c r="G884" s="547" t="s">
        <v>293</v>
      </c>
      <c r="I884" s="549" t="s">
        <v>1121</v>
      </c>
    </row>
    <row r="885" ht="14.25" customHeight="1" spans="2:9">
      <c r="B885" s="546" t="s">
        <v>6985</v>
      </c>
      <c r="G885" s="547" t="s">
        <v>293</v>
      </c>
      <c r="I885" s="549" t="s">
        <v>1121</v>
      </c>
    </row>
    <row r="886" ht="14.25" customHeight="1" spans="2:9">
      <c r="B886" s="546" t="s">
        <v>6986</v>
      </c>
      <c r="G886" s="547" t="s">
        <v>293</v>
      </c>
      <c r="I886" s="549" t="s">
        <v>1121</v>
      </c>
    </row>
    <row r="887" ht="14.25" customHeight="1" spans="2:9">
      <c r="B887" s="546" t="s">
        <v>6987</v>
      </c>
      <c r="G887" s="547" t="s">
        <v>293</v>
      </c>
      <c r="I887" s="549" t="s">
        <v>1121</v>
      </c>
    </row>
    <row r="888" ht="14.25" customHeight="1" spans="2:9">
      <c r="B888" s="546" t="s">
        <v>6988</v>
      </c>
      <c r="G888" s="547" t="s">
        <v>293</v>
      </c>
      <c r="I888" s="549" t="s">
        <v>1121</v>
      </c>
    </row>
    <row r="889" ht="14.25" customHeight="1" spans="2:9">
      <c r="B889" s="546" t="s">
        <v>6989</v>
      </c>
      <c r="G889" s="547" t="s">
        <v>293</v>
      </c>
      <c r="I889" s="549" t="s">
        <v>1121</v>
      </c>
    </row>
    <row r="890" ht="14.25" customHeight="1" spans="2:9">
      <c r="B890" s="546" t="s">
        <v>6990</v>
      </c>
      <c r="G890" s="547" t="s">
        <v>293</v>
      </c>
      <c r="I890" s="549" t="s">
        <v>1121</v>
      </c>
    </row>
    <row r="891" ht="14.25" customHeight="1" spans="2:9">
      <c r="B891" s="546" t="s">
        <v>6991</v>
      </c>
      <c r="G891" s="547" t="s">
        <v>293</v>
      </c>
      <c r="I891" s="549" t="s">
        <v>1121</v>
      </c>
    </row>
    <row r="892" ht="14.25" customHeight="1" spans="2:9">
      <c r="B892" s="546" t="s">
        <v>6992</v>
      </c>
      <c r="G892" s="547" t="s">
        <v>293</v>
      </c>
      <c r="I892" s="549" t="s">
        <v>1121</v>
      </c>
    </row>
    <row r="893" ht="14.25" customHeight="1" spans="2:9">
      <c r="B893" s="546" t="s">
        <v>6993</v>
      </c>
      <c r="G893" s="547" t="s">
        <v>293</v>
      </c>
      <c r="I893" s="549" t="s">
        <v>1121</v>
      </c>
    </row>
    <row r="894" ht="14.25" customHeight="1" spans="2:9">
      <c r="B894" s="546" t="s">
        <v>6994</v>
      </c>
      <c r="G894" s="547" t="s">
        <v>293</v>
      </c>
      <c r="I894" s="549" t="s">
        <v>1121</v>
      </c>
    </row>
    <row r="895" ht="14.25" customHeight="1" spans="2:9">
      <c r="B895" s="546" t="s">
        <v>6995</v>
      </c>
      <c r="G895" s="547" t="s">
        <v>293</v>
      </c>
      <c r="I895" s="549" t="s">
        <v>1121</v>
      </c>
    </row>
    <row r="896" ht="14.25" customHeight="1" spans="2:9">
      <c r="B896" s="546" t="s">
        <v>6996</v>
      </c>
      <c r="G896" s="547" t="s">
        <v>293</v>
      </c>
      <c r="I896" s="549" t="s">
        <v>1121</v>
      </c>
    </row>
    <row r="897" ht="14.25" customHeight="1" spans="2:9">
      <c r="B897" s="546" t="s">
        <v>6997</v>
      </c>
      <c r="G897" s="547" t="s">
        <v>293</v>
      </c>
      <c r="I897" s="549" t="s">
        <v>1121</v>
      </c>
    </row>
    <row r="898" ht="14.25" customHeight="1" spans="2:9">
      <c r="B898" s="546" t="s">
        <v>6998</v>
      </c>
      <c r="G898" s="547" t="s">
        <v>293</v>
      </c>
      <c r="I898" s="549" t="s">
        <v>1121</v>
      </c>
    </row>
    <row r="899" ht="14.25" customHeight="1" spans="2:9">
      <c r="B899" s="546" t="s">
        <v>6999</v>
      </c>
      <c r="G899" s="547" t="s">
        <v>293</v>
      </c>
      <c r="I899" s="549" t="s">
        <v>1121</v>
      </c>
    </row>
    <row r="900" ht="14.25" customHeight="1" spans="2:9">
      <c r="B900" s="546" t="s">
        <v>7000</v>
      </c>
      <c r="G900" s="547" t="s">
        <v>293</v>
      </c>
      <c r="I900" s="549" t="s">
        <v>1121</v>
      </c>
    </row>
    <row r="901" ht="14.25" customHeight="1" spans="2:9">
      <c r="B901" s="552" t="s">
        <v>6176</v>
      </c>
      <c r="G901" s="553"/>
      <c r="I901" s="553"/>
    </row>
    <row r="902" ht="14.25" customHeight="1" spans="2:9">
      <c r="B902" s="546" t="s">
        <v>7001</v>
      </c>
      <c r="G902" s="547" t="s">
        <v>294</v>
      </c>
      <c r="I902" s="549" t="s">
        <v>1250</v>
      </c>
    </row>
    <row r="903" ht="14.25" customHeight="1" spans="2:9">
      <c r="B903" s="546" t="s">
        <v>7002</v>
      </c>
      <c r="G903" s="547" t="s">
        <v>294</v>
      </c>
      <c r="I903" s="549" t="s">
        <v>1250</v>
      </c>
    </row>
    <row r="904" ht="14.25" customHeight="1" spans="2:9">
      <c r="B904" s="546" t="s">
        <v>7003</v>
      </c>
      <c r="G904" s="547" t="s">
        <v>294</v>
      </c>
      <c r="I904" s="549" t="s">
        <v>1250</v>
      </c>
    </row>
    <row r="905" ht="14.25" customHeight="1" spans="2:9">
      <c r="B905" s="546" t="s">
        <v>7004</v>
      </c>
      <c r="G905" s="547" t="s">
        <v>294</v>
      </c>
      <c r="I905" s="549" t="s">
        <v>1250</v>
      </c>
    </row>
    <row r="906" ht="14.25" customHeight="1" spans="2:9">
      <c r="B906" s="546" t="s">
        <v>7005</v>
      </c>
      <c r="G906" s="547" t="s">
        <v>294</v>
      </c>
      <c r="I906" s="549" t="s">
        <v>1250</v>
      </c>
    </row>
    <row r="907" ht="14.25" customHeight="1" spans="2:9">
      <c r="B907" s="546" t="s">
        <v>7006</v>
      </c>
      <c r="G907" s="547" t="s">
        <v>294</v>
      </c>
      <c r="I907" s="549" t="s">
        <v>1250</v>
      </c>
    </row>
    <row r="908" ht="14.25" customHeight="1" spans="2:9">
      <c r="B908" s="546" t="s">
        <v>7007</v>
      </c>
      <c r="G908" s="547" t="s">
        <v>294</v>
      </c>
      <c r="I908" s="549" t="s">
        <v>1250</v>
      </c>
    </row>
    <row r="909" ht="14.25" customHeight="1" spans="2:9">
      <c r="B909" s="546" t="s">
        <v>7008</v>
      </c>
      <c r="G909" s="547" t="s">
        <v>294</v>
      </c>
      <c r="I909" s="549" t="s">
        <v>1250</v>
      </c>
    </row>
    <row r="910" ht="14.25" customHeight="1" spans="2:9">
      <c r="B910" s="546" t="s">
        <v>7009</v>
      </c>
      <c r="G910" s="547" t="s">
        <v>294</v>
      </c>
      <c r="I910" s="549" t="s">
        <v>1250</v>
      </c>
    </row>
    <row r="911" ht="14.25" customHeight="1" spans="2:9">
      <c r="B911" s="546" t="s">
        <v>7010</v>
      </c>
      <c r="G911" s="547" t="s">
        <v>294</v>
      </c>
      <c r="I911" s="549" t="s">
        <v>1250</v>
      </c>
    </row>
    <row r="912" ht="14.25" customHeight="1" spans="2:9">
      <c r="B912" s="546" t="s">
        <v>7011</v>
      </c>
      <c r="G912" s="547" t="s">
        <v>294</v>
      </c>
      <c r="I912" s="549" t="s">
        <v>1250</v>
      </c>
    </row>
    <row r="913" ht="14.25" customHeight="1" spans="2:9">
      <c r="B913" s="546" t="s">
        <v>7012</v>
      </c>
      <c r="G913" s="547" t="s">
        <v>293</v>
      </c>
      <c r="I913" s="549" t="s">
        <v>1250</v>
      </c>
    </row>
    <row r="914" ht="14.25" customHeight="1" spans="2:9">
      <c r="B914" s="546" t="s">
        <v>7013</v>
      </c>
      <c r="G914" s="547" t="s">
        <v>293</v>
      </c>
      <c r="I914" s="549" t="s">
        <v>1250</v>
      </c>
    </row>
    <row r="915" ht="14.25" customHeight="1" spans="2:9">
      <c r="B915" s="546" t="s">
        <v>7014</v>
      </c>
      <c r="G915" s="547" t="s">
        <v>293</v>
      </c>
      <c r="I915" s="549" t="s">
        <v>1250</v>
      </c>
    </row>
    <row r="916" ht="14.25" customHeight="1" spans="2:9">
      <c r="B916" s="546" t="s">
        <v>7015</v>
      </c>
      <c r="G916" s="547" t="s">
        <v>293</v>
      </c>
      <c r="I916" s="549" t="s">
        <v>1250</v>
      </c>
    </row>
    <row r="917" ht="14.25" customHeight="1" spans="2:9">
      <c r="B917" s="546" t="s">
        <v>7016</v>
      </c>
      <c r="G917" s="547" t="s">
        <v>293</v>
      </c>
      <c r="I917" s="549" t="s">
        <v>1250</v>
      </c>
    </row>
    <row r="918" ht="14.25" customHeight="1" spans="2:9">
      <c r="B918" s="546" t="s">
        <v>7017</v>
      </c>
      <c r="G918" s="547" t="s">
        <v>293</v>
      </c>
      <c r="I918" s="549" t="s">
        <v>1250</v>
      </c>
    </row>
    <row r="919" ht="14.25" customHeight="1" spans="2:9">
      <c r="B919" s="546" t="s">
        <v>7018</v>
      </c>
      <c r="G919" s="547" t="s">
        <v>293</v>
      </c>
      <c r="I919" s="549" t="s">
        <v>1250</v>
      </c>
    </row>
    <row r="920" ht="14.25" customHeight="1" spans="2:9">
      <c r="B920" s="546" t="s">
        <v>7019</v>
      </c>
      <c r="G920" s="547" t="s">
        <v>293</v>
      </c>
      <c r="I920" s="549" t="s">
        <v>1250</v>
      </c>
    </row>
    <row r="921" ht="14.25" customHeight="1" spans="2:9">
      <c r="B921" s="546" t="s">
        <v>7020</v>
      </c>
      <c r="G921" s="547" t="s">
        <v>293</v>
      </c>
      <c r="I921" s="549" t="s">
        <v>1250</v>
      </c>
    </row>
    <row r="922" ht="14.25" customHeight="1" spans="2:9">
      <c r="B922" s="546" t="s">
        <v>7021</v>
      </c>
      <c r="G922" s="547" t="s">
        <v>293</v>
      </c>
      <c r="I922" s="549" t="s">
        <v>1250</v>
      </c>
    </row>
    <row r="923" ht="14.25" customHeight="1" spans="2:9">
      <c r="B923" s="546" t="s">
        <v>7022</v>
      </c>
      <c r="G923" s="547" t="s">
        <v>293</v>
      </c>
      <c r="I923" s="549" t="s">
        <v>1250</v>
      </c>
    </row>
    <row r="924" ht="14.25" customHeight="1" spans="2:9">
      <c r="B924" s="546" t="s">
        <v>7023</v>
      </c>
      <c r="G924" s="547" t="s">
        <v>293</v>
      </c>
      <c r="I924" s="549" t="s">
        <v>1250</v>
      </c>
    </row>
    <row r="925" ht="14.25" customHeight="1" spans="2:9">
      <c r="B925" s="552" t="s">
        <v>6201</v>
      </c>
      <c r="G925" s="553"/>
      <c r="I925" s="553"/>
    </row>
    <row r="926" ht="14.25" customHeight="1" spans="2:9">
      <c r="B926" s="546" t="s">
        <v>7024</v>
      </c>
      <c r="G926" s="547" t="s">
        <v>294</v>
      </c>
      <c r="I926" s="549" t="s">
        <v>1348</v>
      </c>
    </row>
    <row r="927" ht="14.25" customHeight="1" spans="2:9">
      <c r="B927" s="546" t="s">
        <v>7025</v>
      </c>
      <c r="G927" s="547" t="s">
        <v>294</v>
      </c>
      <c r="I927" s="549" t="s">
        <v>1348</v>
      </c>
    </row>
    <row r="928" ht="14.25" customHeight="1" spans="2:9">
      <c r="B928" s="546" t="s">
        <v>7026</v>
      </c>
      <c r="G928" s="547" t="s">
        <v>294</v>
      </c>
      <c r="I928" s="549" t="s">
        <v>1348</v>
      </c>
    </row>
    <row r="929" ht="14.25" customHeight="1" spans="2:9">
      <c r="B929" s="546" t="s">
        <v>7027</v>
      </c>
      <c r="G929" s="547" t="s">
        <v>294</v>
      </c>
      <c r="I929" s="549" t="s">
        <v>1348</v>
      </c>
    </row>
    <row r="930" ht="14.25" customHeight="1" spans="2:9">
      <c r="B930" s="546" t="s">
        <v>7028</v>
      </c>
      <c r="G930" s="547" t="s">
        <v>294</v>
      </c>
      <c r="I930" s="549" t="s">
        <v>1348</v>
      </c>
    </row>
    <row r="931" ht="14.25" customHeight="1" spans="2:9">
      <c r="B931" s="546" t="s">
        <v>7029</v>
      </c>
      <c r="G931" s="547" t="s">
        <v>294</v>
      </c>
      <c r="I931" s="549" t="s">
        <v>1348</v>
      </c>
    </row>
    <row r="932" ht="14.25" customHeight="1" spans="2:9">
      <c r="B932" s="546" t="s">
        <v>7030</v>
      </c>
      <c r="G932" s="547" t="s">
        <v>294</v>
      </c>
      <c r="I932" s="549" t="s">
        <v>1348</v>
      </c>
    </row>
    <row r="933" ht="14.25" customHeight="1" spans="2:9">
      <c r="B933" s="546" t="s">
        <v>7031</v>
      </c>
      <c r="G933" s="547" t="s">
        <v>294</v>
      </c>
      <c r="I933" s="549" t="s">
        <v>1348</v>
      </c>
    </row>
    <row r="934" ht="14.25" customHeight="1" spans="2:9">
      <c r="B934" s="546" t="s">
        <v>7032</v>
      </c>
      <c r="G934" s="547" t="s">
        <v>294</v>
      </c>
      <c r="I934" s="549" t="s">
        <v>1348</v>
      </c>
    </row>
    <row r="935" ht="14.25" customHeight="1" spans="2:9">
      <c r="B935" s="546" t="s">
        <v>7033</v>
      </c>
      <c r="G935" s="547" t="s">
        <v>294</v>
      </c>
      <c r="I935" s="549" t="s">
        <v>1348</v>
      </c>
    </row>
    <row r="936" ht="14.25" customHeight="1" spans="2:9">
      <c r="B936" s="546" t="s">
        <v>7034</v>
      </c>
      <c r="G936" s="547" t="s">
        <v>294</v>
      </c>
      <c r="I936" s="549" t="s">
        <v>1348</v>
      </c>
    </row>
    <row r="937" ht="14.25" customHeight="1" spans="2:9">
      <c r="B937" s="546" t="s">
        <v>7035</v>
      </c>
      <c r="G937" s="547" t="s">
        <v>294</v>
      </c>
      <c r="I937" s="549" t="s">
        <v>1348</v>
      </c>
    </row>
    <row r="938" ht="14.25" customHeight="1" spans="2:9">
      <c r="B938" s="546" t="s">
        <v>7036</v>
      </c>
      <c r="G938" s="547" t="s">
        <v>294</v>
      </c>
      <c r="I938" s="549" t="s">
        <v>1348</v>
      </c>
    </row>
    <row r="939" ht="14.25" customHeight="1" spans="2:9">
      <c r="B939" s="546" t="s">
        <v>7037</v>
      </c>
      <c r="G939" s="547" t="s">
        <v>294</v>
      </c>
      <c r="I939" s="549" t="s">
        <v>1348</v>
      </c>
    </row>
    <row r="940" ht="14.25" customHeight="1" spans="2:9">
      <c r="B940" s="546" t="s">
        <v>7038</v>
      </c>
      <c r="G940" s="547" t="s">
        <v>294</v>
      </c>
      <c r="I940" s="549" t="s">
        <v>1348</v>
      </c>
    </row>
    <row r="941" ht="14.25" customHeight="1" spans="2:9">
      <c r="B941" s="546" t="s">
        <v>7039</v>
      </c>
      <c r="G941" s="547" t="s">
        <v>294</v>
      </c>
      <c r="I941" s="549" t="s">
        <v>1348</v>
      </c>
    </row>
    <row r="942" ht="14.25" customHeight="1" spans="2:9">
      <c r="B942" s="546" t="s">
        <v>7040</v>
      </c>
      <c r="G942" s="547" t="s">
        <v>294</v>
      </c>
      <c r="I942" s="549" t="s">
        <v>1348</v>
      </c>
    </row>
    <row r="943" ht="14.25" customHeight="1" spans="2:9">
      <c r="B943" s="546" t="s">
        <v>7041</v>
      </c>
      <c r="G943" s="547" t="s">
        <v>294</v>
      </c>
      <c r="I943" s="549" t="s">
        <v>1348</v>
      </c>
    </row>
    <row r="944" ht="14.25" customHeight="1" spans="2:9">
      <c r="B944" s="546" t="s">
        <v>7042</v>
      </c>
      <c r="G944" s="547" t="s">
        <v>294</v>
      </c>
      <c r="I944" s="549" t="s">
        <v>1348</v>
      </c>
    </row>
    <row r="945" ht="14.25" customHeight="1" spans="2:9">
      <c r="B945" s="546" t="s">
        <v>7043</v>
      </c>
      <c r="G945" s="547" t="s">
        <v>294</v>
      </c>
      <c r="I945" s="549" t="s">
        <v>1348</v>
      </c>
    </row>
    <row r="946" ht="14.25" customHeight="1" spans="2:9">
      <c r="B946" s="546" t="s">
        <v>7044</v>
      </c>
      <c r="G946" s="547" t="s">
        <v>294</v>
      </c>
      <c r="I946" s="549" t="s">
        <v>1348</v>
      </c>
    </row>
    <row r="947" ht="14.25" customHeight="1" spans="2:9">
      <c r="B947" s="546" t="s">
        <v>7045</v>
      </c>
      <c r="G947" s="547" t="s">
        <v>294</v>
      </c>
      <c r="I947" s="549" t="s">
        <v>1348</v>
      </c>
    </row>
    <row r="948" ht="14.25" customHeight="1" spans="2:9">
      <c r="B948" s="546" t="s">
        <v>7046</v>
      </c>
      <c r="G948" s="547" t="s">
        <v>294</v>
      </c>
      <c r="I948" s="549" t="s">
        <v>1348</v>
      </c>
    </row>
    <row r="949" ht="14.25" customHeight="1" spans="2:9">
      <c r="B949" s="546" t="s">
        <v>7047</v>
      </c>
      <c r="G949" s="547" t="s">
        <v>293</v>
      </c>
      <c r="I949" s="549" t="s">
        <v>1348</v>
      </c>
    </row>
    <row r="950" ht="14.25" customHeight="1" spans="2:9">
      <c r="B950" s="546" t="s">
        <v>7048</v>
      </c>
      <c r="G950" s="547" t="s">
        <v>293</v>
      </c>
      <c r="I950" s="549" t="s">
        <v>1348</v>
      </c>
    </row>
    <row r="951" ht="14.25" customHeight="1" spans="2:9">
      <c r="B951" s="546" t="s">
        <v>7049</v>
      </c>
      <c r="G951" s="547" t="s">
        <v>293</v>
      </c>
      <c r="I951" s="549" t="s">
        <v>1348</v>
      </c>
    </row>
    <row r="952" ht="14.25" customHeight="1" spans="2:9">
      <c r="B952" s="546" t="s">
        <v>7050</v>
      </c>
      <c r="G952" s="547" t="s">
        <v>293</v>
      </c>
      <c r="I952" s="549" t="s">
        <v>1348</v>
      </c>
    </row>
    <row r="953" ht="14.25" customHeight="1" spans="2:9">
      <c r="B953" s="546" t="s">
        <v>7051</v>
      </c>
      <c r="G953" s="547" t="s">
        <v>293</v>
      </c>
      <c r="I953" s="549" t="s">
        <v>1348</v>
      </c>
    </row>
    <row r="954" ht="14.25" customHeight="1" spans="2:9">
      <c r="B954" s="546" t="s">
        <v>7052</v>
      </c>
      <c r="G954" s="547" t="s">
        <v>293</v>
      </c>
      <c r="I954" s="549" t="s">
        <v>1348</v>
      </c>
    </row>
    <row r="955" ht="14.25" customHeight="1" spans="2:9">
      <c r="B955" s="546" t="s">
        <v>7053</v>
      </c>
      <c r="G955" s="547" t="s">
        <v>293</v>
      </c>
      <c r="I955" s="549" t="s">
        <v>1348</v>
      </c>
    </row>
    <row r="956" ht="14.25" customHeight="1" spans="2:9">
      <c r="B956" s="546" t="s">
        <v>7054</v>
      </c>
      <c r="G956" s="547" t="s">
        <v>293</v>
      </c>
      <c r="I956" s="549" t="s">
        <v>1348</v>
      </c>
    </row>
    <row r="957" ht="14.25" customHeight="1" spans="2:9">
      <c r="B957" s="546" t="s">
        <v>7055</v>
      </c>
      <c r="G957" s="547" t="s">
        <v>293</v>
      </c>
      <c r="I957" s="549" t="s">
        <v>1348</v>
      </c>
    </row>
    <row r="958" ht="14.25" customHeight="1" spans="2:9">
      <c r="B958" s="546" t="s">
        <v>7056</v>
      </c>
      <c r="G958" s="547" t="s">
        <v>293</v>
      </c>
      <c r="I958" s="549" t="s">
        <v>1348</v>
      </c>
    </row>
    <row r="959" ht="14.25" customHeight="1" spans="2:9">
      <c r="B959" s="546" t="s">
        <v>7057</v>
      </c>
      <c r="G959" s="547" t="s">
        <v>293</v>
      </c>
      <c r="I959" s="549" t="s">
        <v>1348</v>
      </c>
    </row>
    <row r="960" ht="14.25" customHeight="1" spans="2:9">
      <c r="B960" s="546" t="s">
        <v>7058</v>
      </c>
      <c r="G960" s="547" t="s">
        <v>293</v>
      </c>
      <c r="I960" s="549" t="s">
        <v>1348</v>
      </c>
    </row>
    <row r="961" ht="14.25" customHeight="1" spans="2:9">
      <c r="B961" s="546" t="s">
        <v>7059</v>
      </c>
      <c r="G961" s="547" t="s">
        <v>293</v>
      </c>
      <c r="I961" s="549" t="s">
        <v>1348</v>
      </c>
    </row>
    <row r="962" ht="14.25" customHeight="1" spans="2:9">
      <c r="B962" s="546" t="s">
        <v>7060</v>
      </c>
      <c r="G962" s="547" t="s">
        <v>293</v>
      </c>
      <c r="I962" s="549" t="s">
        <v>1348</v>
      </c>
    </row>
    <row r="963" ht="14.25" customHeight="1" spans="2:9">
      <c r="B963" s="546" t="s">
        <v>7061</v>
      </c>
      <c r="G963" s="547" t="s">
        <v>293</v>
      </c>
      <c r="I963" s="549" t="s">
        <v>1348</v>
      </c>
    </row>
    <row r="964" ht="14.25" customHeight="1" spans="2:9">
      <c r="B964" s="546" t="s">
        <v>7062</v>
      </c>
      <c r="G964" s="547" t="s">
        <v>293</v>
      </c>
      <c r="I964" s="549" t="s">
        <v>1348</v>
      </c>
    </row>
    <row r="965" ht="14.25" customHeight="1" spans="2:9">
      <c r="B965" s="546" t="s">
        <v>7063</v>
      </c>
      <c r="G965" s="547" t="s">
        <v>293</v>
      </c>
      <c r="I965" s="549" t="s">
        <v>1348</v>
      </c>
    </row>
    <row r="966" ht="14.25" customHeight="1" spans="2:9">
      <c r="B966" s="546" t="s">
        <v>7064</v>
      </c>
      <c r="G966" s="547" t="s">
        <v>293</v>
      </c>
      <c r="I966" s="549" t="s">
        <v>1348</v>
      </c>
    </row>
    <row r="967" ht="14.25" customHeight="1" spans="2:9">
      <c r="B967" s="546" t="s">
        <v>7065</v>
      </c>
      <c r="G967" s="547" t="s">
        <v>293</v>
      </c>
      <c r="I967" s="549" t="s">
        <v>1348</v>
      </c>
    </row>
    <row r="968" ht="14.25" customHeight="1" spans="2:9">
      <c r="B968" s="546" t="s">
        <v>7066</v>
      </c>
      <c r="G968" s="547" t="s">
        <v>293</v>
      </c>
      <c r="I968" s="549" t="s">
        <v>1348</v>
      </c>
    </row>
    <row r="969" ht="14.25" customHeight="1" spans="2:9">
      <c r="B969" s="546" t="s">
        <v>7067</v>
      </c>
      <c r="G969" s="547" t="s">
        <v>293</v>
      </c>
      <c r="I969" s="549" t="s">
        <v>1348</v>
      </c>
    </row>
    <row r="970" ht="14.25" customHeight="1" spans="2:9">
      <c r="B970" s="546" t="s">
        <v>7068</v>
      </c>
      <c r="G970" s="547" t="s">
        <v>293</v>
      </c>
      <c r="I970" s="549" t="s">
        <v>1348</v>
      </c>
    </row>
    <row r="971" ht="14.25" customHeight="1" spans="2:9">
      <c r="B971" s="546" t="s">
        <v>7069</v>
      </c>
      <c r="G971" s="547" t="s">
        <v>293</v>
      </c>
      <c r="I971" s="549" t="s">
        <v>1348</v>
      </c>
    </row>
    <row r="972" ht="14.25" customHeight="1" spans="2:9">
      <c r="B972" s="546" t="s">
        <v>7070</v>
      </c>
      <c r="G972" s="547" t="s">
        <v>293</v>
      </c>
      <c r="I972" s="549" t="s">
        <v>1348</v>
      </c>
    </row>
    <row r="973" ht="14.25" customHeight="1" spans="2:9">
      <c r="B973" s="546" t="s">
        <v>7071</v>
      </c>
      <c r="G973" s="547" t="s">
        <v>293</v>
      </c>
      <c r="I973" s="549" t="s">
        <v>1348</v>
      </c>
    </row>
    <row r="974" ht="14.25" customHeight="1" spans="2:9">
      <c r="B974" s="552" t="s">
        <v>7072</v>
      </c>
      <c r="G974" s="553"/>
      <c r="I974" s="553"/>
    </row>
    <row r="975" ht="14.25" customHeight="1" spans="2:9">
      <c r="B975" s="546" t="s">
        <v>7073</v>
      </c>
      <c r="G975" s="547" t="s">
        <v>294</v>
      </c>
      <c r="I975" s="473" t="s">
        <v>19</v>
      </c>
    </row>
    <row r="976" ht="14.25" customHeight="1" spans="2:9">
      <c r="B976" s="546" t="s">
        <v>7074</v>
      </c>
      <c r="G976" s="547" t="s">
        <v>294</v>
      </c>
      <c r="I976" s="473" t="s">
        <v>19</v>
      </c>
    </row>
    <row r="977" ht="14.25" customHeight="1" spans="2:9">
      <c r="B977" s="546" t="s">
        <v>7075</v>
      </c>
      <c r="G977" s="547" t="s">
        <v>294</v>
      </c>
      <c r="I977" s="473" t="s">
        <v>19</v>
      </c>
    </row>
    <row r="978" ht="14.25" customHeight="1" spans="2:9">
      <c r="B978" s="546" t="s">
        <v>7076</v>
      </c>
      <c r="G978" s="547" t="s">
        <v>294</v>
      </c>
      <c r="I978" s="473" t="s">
        <v>19</v>
      </c>
    </row>
    <row r="979" ht="14.25" customHeight="1" spans="2:9">
      <c r="B979" s="546" t="s">
        <v>7077</v>
      </c>
      <c r="G979" s="547" t="s">
        <v>294</v>
      </c>
      <c r="I979" s="473" t="s">
        <v>19</v>
      </c>
    </row>
    <row r="980" ht="14.25" customHeight="1" spans="2:9">
      <c r="B980" s="546" t="s">
        <v>7078</v>
      </c>
      <c r="G980" s="547" t="s">
        <v>294</v>
      </c>
      <c r="I980" s="473" t="s">
        <v>19</v>
      </c>
    </row>
    <row r="981" ht="14.25" customHeight="1" spans="2:9">
      <c r="B981" s="546" t="s">
        <v>7079</v>
      </c>
      <c r="G981" s="547" t="s">
        <v>294</v>
      </c>
      <c r="I981" s="473" t="s">
        <v>19</v>
      </c>
    </row>
    <row r="982" ht="14.25" customHeight="1" spans="2:9">
      <c r="B982" s="546" t="s">
        <v>7080</v>
      </c>
      <c r="G982" s="547" t="s">
        <v>294</v>
      </c>
      <c r="I982" s="473" t="s">
        <v>19</v>
      </c>
    </row>
    <row r="983" ht="14.25" customHeight="1" spans="2:9">
      <c r="B983" s="546" t="s">
        <v>7081</v>
      </c>
      <c r="G983" s="547" t="s">
        <v>294</v>
      </c>
      <c r="I983" s="473" t="s">
        <v>19</v>
      </c>
    </row>
    <row r="984" ht="14.25" customHeight="1" spans="2:9">
      <c r="B984" s="546" t="s">
        <v>7082</v>
      </c>
      <c r="G984" s="547" t="s">
        <v>293</v>
      </c>
      <c r="I984" s="473" t="s">
        <v>19</v>
      </c>
    </row>
    <row r="985" ht="14.25" customHeight="1" spans="2:9">
      <c r="B985" s="546" t="s">
        <v>7083</v>
      </c>
      <c r="G985" s="547" t="s">
        <v>293</v>
      </c>
      <c r="I985" s="473" t="s">
        <v>19</v>
      </c>
    </row>
    <row r="986" ht="14.25" customHeight="1" spans="2:9">
      <c r="B986" s="556"/>
      <c r="G986" s="557"/>
      <c r="I986" s="556"/>
    </row>
    <row r="987" ht="14.25" customHeight="1" spans="2:9">
      <c r="B987" s="552" t="s">
        <v>7084</v>
      </c>
      <c r="G987" s="553"/>
      <c r="I987" s="553"/>
    </row>
    <row r="988" ht="14.25" customHeight="1" spans="2:9">
      <c r="B988" s="546" t="s">
        <v>7085</v>
      </c>
      <c r="G988" s="547" t="s">
        <v>294</v>
      </c>
      <c r="I988" s="473" t="s">
        <v>19</v>
      </c>
    </row>
    <row r="989" ht="14.25" customHeight="1" spans="2:9">
      <c r="B989" s="546" t="s">
        <v>7086</v>
      </c>
      <c r="G989" s="547" t="s">
        <v>294</v>
      </c>
      <c r="I989" s="473" t="s">
        <v>19</v>
      </c>
    </row>
    <row r="990" ht="14.25" customHeight="1" spans="2:9">
      <c r="B990" s="546" t="s">
        <v>7087</v>
      </c>
      <c r="G990" s="547" t="s">
        <v>294</v>
      </c>
      <c r="I990" s="473" t="s">
        <v>19</v>
      </c>
    </row>
    <row r="991" ht="14.25" customHeight="1" spans="2:9">
      <c r="B991" s="546" t="s">
        <v>7088</v>
      </c>
      <c r="G991" s="547" t="s">
        <v>294</v>
      </c>
      <c r="I991" s="473" t="s">
        <v>19</v>
      </c>
    </row>
    <row r="992" ht="14.25" customHeight="1" spans="2:9">
      <c r="B992" s="546" t="s">
        <v>7089</v>
      </c>
      <c r="G992" s="547" t="s">
        <v>294</v>
      </c>
      <c r="I992" s="473" t="s">
        <v>19</v>
      </c>
    </row>
    <row r="993" ht="14.25" customHeight="1" spans="2:9">
      <c r="B993" s="546" t="s">
        <v>7090</v>
      </c>
      <c r="G993" s="547" t="s">
        <v>294</v>
      </c>
      <c r="I993" s="473" t="s">
        <v>19</v>
      </c>
    </row>
    <row r="994" ht="14.25" customHeight="1" spans="2:9">
      <c r="B994" s="556"/>
      <c r="G994" s="557"/>
      <c r="I994" s="556"/>
    </row>
    <row r="995" ht="14.25" customHeight="1" spans="2:9">
      <c r="B995" s="554" t="s">
        <v>7091</v>
      </c>
      <c r="G995" s="555"/>
      <c r="I995" s="555"/>
    </row>
    <row r="996" ht="14.25" customHeight="1" spans="2:9">
      <c r="B996" s="552" t="s">
        <v>7092</v>
      </c>
      <c r="G996" s="553"/>
      <c r="I996" s="553"/>
    </row>
    <row r="997" ht="14.25" customHeight="1" spans="2:9">
      <c r="B997" s="546" t="s">
        <v>7093</v>
      </c>
      <c r="G997" s="547" t="s">
        <v>293</v>
      </c>
      <c r="I997" s="549" t="s">
        <v>35</v>
      </c>
    </row>
    <row r="998" ht="14.25" customHeight="1" spans="2:9">
      <c r="B998" s="546" t="s">
        <v>7094</v>
      </c>
      <c r="G998" s="547" t="s">
        <v>293</v>
      </c>
      <c r="I998" s="549" t="s">
        <v>35</v>
      </c>
    </row>
    <row r="999" ht="14.25" customHeight="1" spans="2:9">
      <c r="B999" s="546" t="s">
        <v>7095</v>
      </c>
      <c r="G999" s="547" t="s">
        <v>293</v>
      </c>
      <c r="I999" s="549" t="s">
        <v>35</v>
      </c>
    </row>
    <row r="1000" ht="14.25" customHeight="1" spans="2:9">
      <c r="B1000" s="546" t="s">
        <v>7096</v>
      </c>
      <c r="G1000" s="547" t="s">
        <v>293</v>
      </c>
      <c r="I1000" s="549" t="s">
        <v>35</v>
      </c>
    </row>
    <row r="1001" ht="14.25" customHeight="1" spans="2:9">
      <c r="B1001" s="557"/>
      <c r="G1001" s="557"/>
      <c r="I1001" s="557"/>
    </row>
    <row r="1002" ht="14.25" customHeight="1" spans="2:9">
      <c r="B1002" s="553"/>
      <c r="G1002" s="553"/>
      <c r="I1002" s="553"/>
    </row>
    <row r="1003" ht="14.25" customHeight="1" spans="2:9">
      <c r="B1003" s="552" t="s">
        <v>7097</v>
      </c>
      <c r="G1003" s="553"/>
      <c r="I1003" s="553"/>
    </row>
    <row r="1004" ht="14.25" customHeight="1" spans="2:9">
      <c r="B1004" s="546" t="s">
        <v>7098</v>
      </c>
      <c r="G1004" s="547" t="s">
        <v>294</v>
      </c>
      <c r="I1004" s="549" t="s">
        <v>7097</v>
      </c>
    </row>
    <row r="1005" ht="14.25" customHeight="1" spans="2:9">
      <c r="B1005" s="546" t="s">
        <v>7099</v>
      </c>
      <c r="G1005" s="547" t="s">
        <v>294</v>
      </c>
      <c r="I1005" s="549" t="s">
        <v>7097</v>
      </c>
    </row>
    <row r="1006" ht="14.25" customHeight="1" spans="2:9">
      <c r="B1006" s="546" t="s">
        <v>7100</v>
      </c>
      <c r="G1006" s="547" t="s">
        <v>294</v>
      </c>
      <c r="I1006" s="549" t="s">
        <v>7097</v>
      </c>
    </row>
    <row r="1007" ht="14.25" customHeight="1" spans="2:9">
      <c r="B1007" s="546" t="s">
        <v>7101</v>
      </c>
      <c r="G1007" s="547" t="s">
        <v>294</v>
      </c>
      <c r="I1007" s="549" t="s">
        <v>7097</v>
      </c>
    </row>
    <row r="1008" ht="14.25" customHeight="1" spans="2:9">
      <c r="B1008" s="558" t="s">
        <v>7102</v>
      </c>
      <c r="G1008" s="559"/>
      <c r="I1008" s="559"/>
    </row>
    <row r="1009" ht="14.25" customHeight="1" spans="2:9">
      <c r="B1009" s="560" t="s">
        <v>7103</v>
      </c>
      <c r="G1009" s="561"/>
      <c r="I1009" s="561"/>
    </row>
    <row r="1010" ht="14.25" customHeight="1" spans="2:9">
      <c r="B1010" s="562" t="s">
        <v>7104</v>
      </c>
      <c r="G1010" s="563" t="s">
        <v>295</v>
      </c>
      <c r="I1010" s="564" t="s">
        <v>16</v>
      </c>
    </row>
    <row r="1011" ht="14.25" customHeight="1" spans="2:9">
      <c r="B1011" s="560" t="s">
        <v>7105</v>
      </c>
      <c r="G1011" s="561"/>
      <c r="I1011" s="561"/>
    </row>
    <row r="1012" ht="14.25" customHeight="1" spans="2:9">
      <c r="B1012" s="560" t="s">
        <v>7106</v>
      </c>
      <c r="G1012" s="561"/>
      <c r="I1012" s="561"/>
    </row>
    <row r="1013" ht="14.25" customHeight="1" spans="2:9">
      <c r="B1013" s="560" t="s">
        <v>19</v>
      </c>
      <c r="G1013" s="561"/>
      <c r="I1013" s="561"/>
    </row>
    <row r="1014" ht="14.25" customHeight="1" spans="2:9">
      <c r="B1014" s="565" t="s">
        <v>7107</v>
      </c>
      <c r="G1014" s="563" t="s">
        <v>295</v>
      </c>
      <c r="I1014" s="565" t="s">
        <v>19</v>
      </c>
    </row>
    <row r="1015" ht="14.25" customHeight="1" spans="2:9">
      <c r="B1015" s="565" t="s">
        <v>7108</v>
      </c>
      <c r="G1015" s="563" t="s">
        <v>295</v>
      </c>
      <c r="I1015" s="565" t="s">
        <v>19</v>
      </c>
    </row>
    <row r="1016" ht="14.25" customHeight="1" spans="2:9">
      <c r="B1016" s="565" t="s">
        <v>7109</v>
      </c>
      <c r="G1016" s="563" t="s">
        <v>295</v>
      </c>
      <c r="I1016" s="565" t="s">
        <v>19</v>
      </c>
    </row>
    <row r="1017" ht="14.25" customHeight="1" spans="2:9">
      <c r="B1017" s="565" t="s">
        <v>7110</v>
      </c>
      <c r="G1017" s="563" t="s">
        <v>295</v>
      </c>
      <c r="I1017" s="565" t="s">
        <v>19</v>
      </c>
    </row>
    <row r="1018" ht="14.25" customHeight="1" spans="2:9">
      <c r="B1018" s="566" t="s">
        <v>6230</v>
      </c>
      <c r="G1018" s="567"/>
      <c r="I1018" s="567"/>
    </row>
    <row r="1019" ht="14.25" customHeight="1" spans="2:9">
      <c r="B1019" s="560" t="s">
        <v>6231</v>
      </c>
      <c r="G1019" s="561"/>
      <c r="I1019" s="561"/>
    </row>
    <row r="1020" ht="14.25" customHeight="1" spans="2:9">
      <c r="B1020" s="564" t="s">
        <v>7111</v>
      </c>
      <c r="G1020" s="563" t="s">
        <v>295</v>
      </c>
      <c r="I1020" s="564" t="s">
        <v>25</v>
      </c>
    </row>
    <row r="1021" ht="14.25" customHeight="1" spans="2:9">
      <c r="B1021" s="560" t="s">
        <v>6278</v>
      </c>
      <c r="G1021" s="561"/>
      <c r="I1021" s="561"/>
    </row>
    <row r="1022" ht="14.25" customHeight="1" spans="2:9">
      <c r="B1022" s="566" t="s">
        <v>6341</v>
      </c>
      <c r="G1022" s="567"/>
      <c r="I1022" s="567"/>
    </row>
    <row r="1023" ht="14.25" customHeight="1" spans="2:9">
      <c r="B1023" s="560" t="s">
        <v>3532</v>
      </c>
      <c r="G1023" s="561"/>
      <c r="I1023" s="561"/>
    </row>
    <row r="1024" ht="14.25" customHeight="1" spans="2:9">
      <c r="B1024" s="560" t="s">
        <v>28</v>
      </c>
      <c r="G1024" s="561"/>
      <c r="I1024" s="561"/>
    </row>
    <row r="1025" ht="14.25" customHeight="1" spans="2:9">
      <c r="B1025" s="564" t="s">
        <v>7112</v>
      </c>
      <c r="G1025" s="563" t="s">
        <v>295</v>
      </c>
      <c r="I1025" s="564" t="s">
        <v>28</v>
      </c>
    </row>
    <row r="1026" ht="14.25" customHeight="1" spans="2:9">
      <c r="B1026" s="564" t="s">
        <v>7113</v>
      </c>
      <c r="G1026" s="563" t="s">
        <v>295</v>
      </c>
      <c r="I1026" s="564" t="s">
        <v>28</v>
      </c>
    </row>
    <row r="1027" ht="14.25" customHeight="1" spans="2:9">
      <c r="B1027" s="564" t="s">
        <v>7114</v>
      </c>
      <c r="G1027" s="563" t="s">
        <v>295</v>
      </c>
      <c r="I1027" s="564" t="s">
        <v>28</v>
      </c>
    </row>
    <row r="1028" ht="14.25" customHeight="1" spans="2:9">
      <c r="B1028" s="564" t="s">
        <v>7115</v>
      </c>
      <c r="G1028" s="563" t="s">
        <v>295</v>
      </c>
      <c r="I1028" s="564" t="s">
        <v>28</v>
      </c>
    </row>
    <row r="1029" ht="14.25" customHeight="1" spans="2:9">
      <c r="B1029" s="564" t="s">
        <v>7116</v>
      </c>
      <c r="G1029" s="563" t="s">
        <v>295</v>
      </c>
      <c r="I1029" s="564" t="s">
        <v>28</v>
      </c>
    </row>
    <row r="1030" ht="14.25" customHeight="1" spans="2:9">
      <c r="B1030" s="560" t="s">
        <v>7117</v>
      </c>
      <c r="G1030" s="561"/>
      <c r="I1030" s="561"/>
    </row>
    <row r="1031" ht="14.25" customHeight="1" spans="2:9">
      <c r="B1031" s="564" t="s">
        <v>7118</v>
      </c>
      <c r="G1031" s="563" t="s">
        <v>295</v>
      </c>
      <c r="I1031" s="564" t="s">
        <v>29</v>
      </c>
    </row>
    <row r="1032" ht="14.25" customHeight="1" spans="2:9">
      <c r="B1032" s="564" t="s">
        <v>7119</v>
      </c>
      <c r="G1032" s="563" t="s">
        <v>295</v>
      </c>
      <c r="I1032" s="564" t="s">
        <v>29</v>
      </c>
    </row>
    <row r="1033" ht="14.25" customHeight="1" spans="2:9">
      <c r="B1033" s="564" t="s">
        <v>7120</v>
      </c>
      <c r="G1033" s="563" t="s">
        <v>295</v>
      </c>
      <c r="I1033" s="564" t="s">
        <v>29</v>
      </c>
    </row>
    <row r="1034" ht="14.25" customHeight="1" spans="2:9">
      <c r="B1034" s="564" t="s">
        <v>7121</v>
      </c>
      <c r="G1034" s="563" t="s">
        <v>295</v>
      </c>
      <c r="I1034" s="564" t="s">
        <v>29</v>
      </c>
    </row>
    <row r="1035" ht="14.25" customHeight="1" spans="2:9">
      <c r="B1035" s="564" t="s">
        <v>7122</v>
      </c>
      <c r="G1035" s="563" t="s">
        <v>295</v>
      </c>
      <c r="I1035" s="564" t="s">
        <v>29</v>
      </c>
    </row>
    <row r="1036" ht="14.25" customHeight="1" spans="2:9">
      <c r="B1036" s="564" t="s">
        <v>7123</v>
      </c>
      <c r="G1036" s="563" t="s">
        <v>295</v>
      </c>
      <c r="I1036" s="564" t="s">
        <v>29</v>
      </c>
    </row>
    <row r="1037" ht="14.25" customHeight="1" spans="2:9">
      <c r="B1037" s="564" t="s">
        <v>7124</v>
      </c>
      <c r="G1037" s="563" t="s">
        <v>295</v>
      </c>
      <c r="I1037" s="564" t="s">
        <v>29</v>
      </c>
    </row>
    <row r="1038" ht="14.25" customHeight="1" spans="2:9">
      <c r="B1038" s="564" t="s">
        <v>7125</v>
      </c>
      <c r="G1038" s="563" t="s">
        <v>295</v>
      </c>
      <c r="I1038" s="564" t="s">
        <v>29</v>
      </c>
    </row>
    <row r="1039" ht="14.25" customHeight="1" spans="2:9">
      <c r="B1039" s="564" t="s">
        <v>7126</v>
      </c>
      <c r="G1039" s="563" t="s">
        <v>295</v>
      </c>
      <c r="I1039" s="564" t="s">
        <v>29</v>
      </c>
    </row>
    <row r="1040" ht="14.25" customHeight="1" spans="2:9">
      <c r="B1040" s="564" t="s">
        <v>7127</v>
      </c>
      <c r="G1040" s="563" t="s">
        <v>295</v>
      </c>
      <c r="I1040" s="564" t="s">
        <v>29</v>
      </c>
    </row>
    <row r="1041" ht="14.25" customHeight="1" spans="2:9">
      <c r="B1041" s="564" t="s">
        <v>7128</v>
      </c>
      <c r="G1041" s="563" t="s">
        <v>295</v>
      </c>
      <c r="I1041" s="564" t="s">
        <v>29</v>
      </c>
    </row>
    <row r="1042" ht="14.25" customHeight="1" spans="2:9">
      <c r="B1042" s="566" t="s">
        <v>7129</v>
      </c>
      <c r="G1042" s="567"/>
      <c r="I1042" s="567"/>
    </row>
    <row r="1043" ht="14.25" customHeight="1" spans="2:9">
      <c r="B1043" s="560" t="s">
        <v>7097</v>
      </c>
      <c r="G1043" s="561"/>
      <c r="I1043" s="561"/>
    </row>
    <row r="1044" ht="14.25" customHeight="1" spans="2:9">
      <c r="B1044" s="564" t="s">
        <v>7130</v>
      </c>
      <c r="G1044" s="563" t="s">
        <v>295</v>
      </c>
      <c r="I1044" s="564" t="s">
        <v>6116</v>
      </c>
    </row>
    <row r="1045" ht="14.25" customHeight="1" spans="2:9">
      <c r="B1045" s="564" t="s">
        <v>7131</v>
      </c>
      <c r="G1045" s="563" t="s">
        <v>295</v>
      </c>
      <c r="I1045" s="564" t="s">
        <v>6116</v>
      </c>
    </row>
    <row r="1046" ht="14.25" customHeight="1" spans="2:9">
      <c r="B1046" s="564" t="s">
        <v>7132</v>
      </c>
      <c r="G1046" s="563" t="s">
        <v>295</v>
      </c>
      <c r="I1046" s="564" t="s">
        <v>6116</v>
      </c>
    </row>
    <row r="1047" ht="14.25" customHeight="1" spans="2:9">
      <c r="B1047" s="568" t="s">
        <v>7133</v>
      </c>
      <c r="G1047" s="555"/>
      <c r="I1047" s="555"/>
    </row>
    <row r="1048" ht="14.25" customHeight="1" spans="2:9">
      <c r="B1048" s="566" t="s">
        <v>7102</v>
      </c>
      <c r="G1048" s="567"/>
      <c r="I1048" s="567"/>
    </row>
    <row r="1049" ht="14.25" customHeight="1" spans="2:9">
      <c r="B1049" s="560" t="s">
        <v>7103</v>
      </c>
      <c r="G1049" s="561"/>
      <c r="I1049" s="561"/>
    </row>
    <row r="1050" ht="14.25" customHeight="1" spans="2:9">
      <c r="B1050" s="564" t="s">
        <v>7134</v>
      </c>
      <c r="G1050" s="563" t="s">
        <v>296</v>
      </c>
      <c r="I1050" s="564" t="s">
        <v>16</v>
      </c>
    </row>
    <row r="1051" ht="14.25" customHeight="1" spans="2:9">
      <c r="B1051" s="564" t="s">
        <v>7135</v>
      </c>
      <c r="G1051" s="563" t="s">
        <v>296</v>
      </c>
      <c r="I1051" s="564" t="s">
        <v>16</v>
      </c>
    </row>
    <row r="1052" ht="14.25" customHeight="1" spans="2:9">
      <c r="B1052" s="564" t="s">
        <v>7136</v>
      </c>
      <c r="G1052" s="563" t="s">
        <v>296</v>
      </c>
      <c r="I1052" s="564" t="s">
        <v>16</v>
      </c>
    </row>
    <row r="1053" ht="14.25" customHeight="1" spans="2:9">
      <c r="B1053" s="564" t="s">
        <v>7137</v>
      </c>
      <c r="G1053" s="563" t="s">
        <v>296</v>
      </c>
      <c r="I1053" s="564" t="s">
        <v>16</v>
      </c>
    </row>
    <row r="1054" ht="14.25" customHeight="1" spans="2:9">
      <c r="B1054" s="564" t="s">
        <v>7138</v>
      </c>
      <c r="G1054" s="563" t="s">
        <v>296</v>
      </c>
      <c r="I1054" s="564" t="s">
        <v>16</v>
      </c>
    </row>
    <row r="1055" ht="14.25" customHeight="1" spans="2:9">
      <c r="B1055" s="564" t="s">
        <v>7139</v>
      </c>
      <c r="G1055" s="563" t="s">
        <v>296</v>
      </c>
      <c r="I1055" s="564" t="s">
        <v>16</v>
      </c>
    </row>
    <row r="1056" ht="14.25" customHeight="1" spans="2:9">
      <c r="B1056" s="560" t="s">
        <v>7105</v>
      </c>
      <c r="G1056" s="561"/>
      <c r="I1056" s="561"/>
    </row>
    <row r="1057" ht="14.25" customHeight="1" spans="2:9">
      <c r="B1057" s="564" t="s">
        <v>7140</v>
      </c>
      <c r="G1057" s="563" t="s">
        <v>296</v>
      </c>
      <c r="I1057" s="564" t="s">
        <v>17</v>
      </c>
    </row>
    <row r="1058" ht="14.25" customHeight="1" spans="2:9">
      <c r="B1058" s="564" t="s">
        <v>7141</v>
      </c>
      <c r="G1058" s="563" t="s">
        <v>296</v>
      </c>
      <c r="I1058" s="564" t="s">
        <v>17</v>
      </c>
    </row>
    <row r="1059" ht="14.25" customHeight="1" spans="2:9">
      <c r="B1059" s="560" t="s">
        <v>7106</v>
      </c>
      <c r="G1059" s="561"/>
      <c r="I1059" s="561"/>
    </row>
    <row r="1060" ht="14.25" customHeight="1" spans="2:9">
      <c r="B1060" s="564" t="s">
        <v>7142</v>
      </c>
      <c r="G1060" s="563" t="s">
        <v>296</v>
      </c>
      <c r="I1060" s="564" t="s">
        <v>18</v>
      </c>
    </row>
    <row r="1061" ht="14.25" customHeight="1" spans="2:9">
      <c r="B1061" s="564" t="s">
        <v>7143</v>
      </c>
      <c r="G1061" s="563" t="s">
        <v>296</v>
      </c>
      <c r="I1061" s="564" t="s">
        <v>18</v>
      </c>
    </row>
    <row r="1062" ht="14.25" customHeight="1" spans="2:9">
      <c r="B1062" s="564" t="s">
        <v>7144</v>
      </c>
      <c r="G1062" s="563" t="s">
        <v>296</v>
      </c>
      <c r="I1062" s="564" t="s">
        <v>18</v>
      </c>
    </row>
    <row r="1063" ht="14.25" customHeight="1" spans="2:9">
      <c r="B1063" s="560" t="s">
        <v>19</v>
      </c>
      <c r="G1063" s="561"/>
      <c r="I1063" s="561"/>
    </row>
    <row r="1064" ht="14.25" customHeight="1" spans="2:9">
      <c r="B1064" s="566" t="s">
        <v>6230</v>
      </c>
      <c r="G1064" s="567"/>
      <c r="I1064" s="567"/>
    </row>
    <row r="1065" ht="14.25" customHeight="1" spans="2:9">
      <c r="B1065" s="560" t="s">
        <v>6231</v>
      </c>
      <c r="G1065" s="561"/>
      <c r="I1065" s="561"/>
    </row>
    <row r="1066" ht="14.25" customHeight="1" spans="2:9">
      <c r="B1066" s="564" t="s">
        <v>7145</v>
      </c>
      <c r="G1066" s="563" t="s">
        <v>296</v>
      </c>
      <c r="I1066" s="564" t="s">
        <v>25</v>
      </c>
    </row>
    <row r="1067" ht="14.25" customHeight="1" spans="2:9">
      <c r="B1067" s="564" t="s">
        <v>7146</v>
      </c>
      <c r="G1067" s="563" t="s">
        <v>296</v>
      </c>
      <c r="I1067" s="564" t="s">
        <v>25</v>
      </c>
    </row>
    <row r="1068" ht="14.25" customHeight="1" spans="2:9">
      <c r="B1068" s="564" t="s">
        <v>7147</v>
      </c>
      <c r="G1068" s="563" t="s">
        <v>296</v>
      </c>
      <c r="I1068" s="564" t="s">
        <v>25</v>
      </c>
    </row>
    <row r="1069" ht="14.25" customHeight="1" spans="2:9">
      <c r="B1069" s="560" t="s">
        <v>6278</v>
      </c>
      <c r="G1069" s="561"/>
      <c r="I1069" s="561"/>
    </row>
    <row r="1070" ht="14.25" customHeight="1" spans="2:9">
      <c r="B1070" s="565" t="s">
        <v>7148</v>
      </c>
      <c r="G1070" s="563" t="s">
        <v>296</v>
      </c>
      <c r="I1070" s="564" t="s">
        <v>26</v>
      </c>
    </row>
    <row r="1071" ht="14.25" customHeight="1" spans="2:9">
      <c r="B1071" s="565" t="s">
        <v>7149</v>
      </c>
      <c r="G1071" s="563" t="s">
        <v>296</v>
      </c>
      <c r="I1071" s="564" t="s">
        <v>26</v>
      </c>
    </row>
    <row r="1072" ht="14.25" customHeight="1" spans="2:9">
      <c r="B1072" s="560" t="s">
        <v>6322</v>
      </c>
      <c r="G1072" s="561"/>
      <c r="I1072" s="561"/>
    </row>
    <row r="1073" ht="14.25" customHeight="1" spans="1:21">
      <c r="B1073" s="564" t="s">
        <v>7150</v>
      </c>
      <c r="G1073" s="563" t="s">
        <v>296</v>
      </c>
      <c r="I1073" s="564" t="s">
        <v>7151</v>
      </c>
    </row>
    <row r="1074" ht="14.25" customHeight="1" spans="1:21">
      <c r="B1074" s="564" t="s">
        <v>7152</v>
      </c>
      <c r="G1074" s="563" t="s">
        <v>296</v>
      </c>
      <c r="I1074" s="564" t="s">
        <v>7151</v>
      </c>
    </row>
    <row r="1075" ht="14.25" customHeight="1" spans="1:21">
      <c r="B1075" s="564" t="s">
        <v>7153</v>
      </c>
      <c r="G1075" s="563" t="s">
        <v>296</v>
      </c>
      <c r="I1075" s="564" t="s">
        <v>7151</v>
      </c>
    </row>
    <row r="1076" ht="14.25" customHeight="1" spans="1:21">
      <c r="B1076" s="564" t="s">
        <v>7154</v>
      </c>
      <c r="G1076" s="563" t="s">
        <v>296</v>
      </c>
      <c r="I1076" s="564" t="s">
        <v>7151</v>
      </c>
    </row>
    <row r="1077" ht="14.25" customHeight="1" spans="1:21">
      <c r="B1077" s="564" t="s">
        <v>7155</v>
      </c>
      <c r="G1077" s="563" t="s">
        <v>296</v>
      </c>
      <c r="I1077" s="564" t="s">
        <v>7151</v>
      </c>
    </row>
    <row r="1078" ht="14.25" customHeight="1" spans="1:21">
      <c r="B1078" s="566" t="s">
        <v>7156</v>
      </c>
      <c r="G1078" s="567"/>
      <c r="I1078" s="567"/>
    </row>
    <row r="1079" ht="14.25" customHeight="1" spans="1:21">
      <c r="B1079" s="560" t="s">
        <v>3532</v>
      </c>
      <c r="G1079" s="561"/>
      <c r="I1079" s="561"/>
    </row>
    <row r="1080" ht="14.25" customHeight="1" spans="1:21">
      <c r="B1080" s="564" t="s">
        <v>7157</v>
      </c>
      <c r="G1080" s="563" t="s">
        <v>296</v>
      </c>
      <c r="I1080" s="564" t="s">
        <v>3023</v>
      </c>
    </row>
    <row r="1081" ht="14.25" customHeight="1" spans="1:21">
      <c r="A1081" s="569"/>
      <c r="B1081" s="569" t="s">
        <v>7158</v>
      </c>
      <c r="C1081" s="569"/>
      <c r="D1081" s="569"/>
      <c r="E1081" s="569"/>
      <c r="F1081" s="569"/>
      <c r="G1081" s="569"/>
      <c r="H1081" s="569"/>
      <c r="I1081" s="570"/>
      <c r="J1081" s="569"/>
      <c r="K1081" s="569"/>
      <c r="L1081" s="569"/>
      <c r="M1081" s="569"/>
      <c r="N1081" s="569"/>
      <c r="O1081" s="569"/>
      <c r="P1081" s="569"/>
      <c r="Q1081" s="569"/>
      <c r="R1081" s="569"/>
      <c r="S1081" s="569"/>
      <c r="T1081" s="569"/>
      <c r="U1081" s="569"/>
    </row>
    <row r="1082" ht="14.25" customHeight="1" spans="1:21">
      <c r="B1082" s="571" t="s">
        <v>449</v>
      </c>
      <c r="G1082" s="572"/>
      <c r="I1082" s="573"/>
    </row>
    <row r="1083" ht="14.25" customHeight="1" spans="1:21">
      <c r="B1083" s="563" t="s">
        <v>3585</v>
      </c>
      <c r="G1083" s="536" t="s">
        <v>328</v>
      </c>
      <c r="I1083" s="574"/>
      <c r="U1083" s="575"/>
    </row>
    <row r="1084" ht="14.25" customHeight="1" spans="1:21">
      <c r="B1084" s="563" t="s">
        <v>3589</v>
      </c>
      <c r="G1084" s="563" t="s">
        <v>328</v>
      </c>
      <c r="I1084" s="564" t="s">
        <v>14</v>
      </c>
      <c r="U1084" s="557"/>
    </row>
    <row r="1085" ht="14.25" customHeight="1" spans="1:21">
      <c r="B1085" s="563" t="s">
        <v>3591</v>
      </c>
      <c r="G1085" s="563" t="s">
        <v>301</v>
      </c>
      <c r="I1085" s="564" t="s">
        <v>14</v>
      </c>
      <c r="U1085" s="557"/>
    </row>
    <row r="1086" ht="14.25" customHeight="1" spans="1:21">
      <c r="B1086" s="563" t="s">
        <v>3596</v>
      </c>
      <c r="G1086" s="563" t="s">
        <v>3598</v>
      </c>
      <c r="I1086" s="564" t="s">
        <v>14</v>
      </c>
      <c r="U1086" s="557"/>
    </row>
    <row r="1087" ht="14.25" customHeight="1" spans="1:21">
      <c r="B1087" s="563" t="s">
        <v>3600</v>
      </c>
      <c r="G1087" s="563" t="s">
        <v>3602</v>
      </c>
      <c r="I1087" s="564" t="s">
        <v>14</v>
      </c>
      <c r="U1087" s="556"/>
    </row>
    <row r="1088" ht="14.25" customHeight="1" spans="1:21">
      <c r="B1088" s="563" t="s">
        <v>3604</v>
      </c>
      <c r="G1088" s="576" t="s">
        <v>303</v>
      </c>
      <c r="I1088" s="564" t="s">
        <v>14</v>
      </c>
      <c r="U1088" s="557"/>
    </row>
    <row r="1089" ht="14.25" customHeight="1" spans="2:21">
      <c r="B1089" s="563" t="s">
        <v>3607</v>
      </c>
      <c r="G1089" s="576" t="s">
        <v>3609</v>
      </c>
      <c r="I1089" s="564" t="s">
        <v>14</v>
      </c>
      <c r="U1089" s="576" t="s">
        <v>3614</v>
      </c>
    </row>
    <row r="1090" ht="14.25" customHeight="1" spans="2:21">
      <c r="B1090" s="563" t="s">
        <v>3615</v>
      </c>
      <c r="G1090" s="576" t="s">
        <v>3617</v>
      </c>
      <c r="I1090" s="564" t="s">
        <v>14</v>
      </c>
      <c r="U1090" s="576" t="s">
        <v>3619</v>
      </c>
    </row>
    <row r="1091" ht="14.25" customHeight="1" spans="2:21">
      <c r="B1091" s="563" t="s">
        <v>3620</v>
      </c>
      <c r="G1091" s="576" t="s">
        <v>3622</v>
      </c>
      <c r="I1091" s="564" t="s">
        <v>14</v>
      </c>
      <c r="U1091" s="576" t="s">
        <v>3623</v>
      </c>
    </row>
    <row r="1092" ht="14.25" customHeight="1" spans="2:21">
      <c r="B1092" s="563" t="s">
        <v>3624</v>
      </c>
      <c r="G1092" s="576" t="s">
        <v>3622</v>
      </c>
      <c r="I1092" s="564" t="s">
        <v>14</v>
      </c>
      <c r="U1092" s="576" t="s">
        <v>3623</v>
      </c>
    </row>
    <row r="1093" ht="14.25" customHeight="1" spans="2:21">
      <c r="B1093" s="563" t="s">
        <v>3626</v>
      </c>
      <c r="G1093" s="576" t="s">
        <v>3622</v>
      </c>
      <c r="I1093" s="564" t="s">
        <v>14</v>
      </c>
      <c r="U1093" s="576" t="s">
        <v>3623</v>
      </c>
    </row>
    <row r="1094" ht="14.25" customHeight="1" spans="2:21">
      <c r="B1094" s="563" t="s">
        <v>3628</v>
      </c>
      <c r="G1094" s="576" t="s">
        <v>3622</v>
      </c>
      <c r="I1094" s="564" t="s">
        <v>14</v>
      </c>
      <c r="U1094" s="576" t="s">
        <v>3623</v>
      </c>
    </row>
    <row r="1095" ht="14.25" customHeight="1" spans="2:21">
      <c r="B1095" s="563" t="s">
        <v>3630</v>
      </c>
      <c r="G1095" s="576" t="s">
        <v>3632</v>
      </c>
      <c r="I1095" s="564" t="s">
        <v>14</v>
      </c>
      <c r="U1095" s="576" t="s">
        <v>3633</v>
      </c>
    </row>
    <row r="1096" ht="14.25" customHeight="1" spans="2:21">
      <c r="B1096" s="563" t="s">
        <v>3634</v>
      </c>
      <c r="G1096" s="576" t="s">
        <v>3632</v>
      </c>
      <c r="I1096" s="564" t="s">
        <v>14</v>
      </c>
      <c r="U1096" s="576" t="s">
        <v>3636</v>
      </c>
    </row>
    <row r="1097" ht="14.25" customHeight="1" spans="2:21">
      <c r="B1097" s="563" t="s">
        <v>3637</v>
      </c>
      <c r="G1097" s="576" t="s">
        <v>3632</v>
      </c>
      <c r="I1097" s="564" t="s">
        <v>14</v>
      </c>
      <c r="U1097" s="576" t="s">
        <v>3639</v>
      </c>
    </row>
    <row r="1098" ht="14.25" customHeight="1" spans="2:21">
      <c r="B1098" s="563" t="s">
        <v>3640</v>
      </c>
      <c r="G1098" s="576" t="s">
        <v>3632</v>
      </c>
      <c r="I1098" s="564" t="s">
        <v>14</v>
      </c>
      <c r="U1098" s="576" t="s">
        <v>3639</v>
      </c>
    </row>
    <row r="1099" ht="14.25" customHeight="1" spans="2:21">
      <c r="B1099" s="563" t="s">
        <v>3642</v>
      </c>
      <c r="G1099" s="576" t="s">
        <v>3632</v>
      </c>
      <c r="I1099" s="564" t="s">
        <v>14</v>
      </c>
      <c r="U1099" s="576" t="s">
        <v>3639</v>
      </c>
    </row>
    <row r="1100" ht="14.25" customHeight="1" spans="2:21">
      <c r="B1100" s="563" t="s">
        <v>3644</v>
      </c>
      <c r="G1100" s="576" t="s">
        <v>3632</v>
      </c>
      <c r="I1100" s="564" t="s">
        <v>14</v>
      </c>
      <c r="U1100" s="576" t="s">
        <v>3647</v>
      </c>
    </row>
    <row r="1101" ht="14.25" customHeight="1" spans="2:21">
      <c r="B1101" s="563" t="s">
        <v>3648</v>
      </c>
      <c r="G1101" s="576" t="s">
        <v>3632</v>
      </c>
      <c r="I1101" s="564" t="s">
        <v>14</v>
      </c>
      <c r="U1101" s="576" t="s">
        <v>3639</v>
      </c>
    </row>
    <row r="1102" ht="14.25" customHeight="1" spans="2:21">
      <c r="B1102" s="563" t="s">
        <v>3650</v>
      </c>
      <c r="G1102" s="576" t="s">
        <v>3632</v>
      </c>
      <c r="I1102" s="564" t="s">
        <v>14</v>
      </c>
      <c r="U1102" s="576" t="s">
        <v>3639</v>
      </c>
    </row>
    <row r="1103" ht="14.25" customHeight="1" spans="2:21">
      <c r="B1103" s="563" t="s">
        <v>3652</v>
      </c>
      <c r="G1103" s="576" t="s">
        <v>3632</v>
      </c>
      <c r="I1103" s="564" t="s">
        <v>14</v>
      </c>
      <c r="U1103" s="576" t="s">
        <v>3639</v>
      </c>
    </row>
    <row r="1104" ht="14.25" customHeight="1" spans="2:21">
      <c r="B1104" s="563" t="s">
        <v>3654</v>
      </c>
      <c r="G1104" s="576" t="s">
        <v>3656</v>
      </c>
      <c r="I1104" s="564" t="s">
        <v>14</v>
      </c>
      <c r="U1104" s="576" t="s">
        <v>3658</v>
      </c>
    </row>
    <row r="1105" ht="14.25" customHeight="1" spans="2:21">
      <c r="B1105" s="563" t="s">
        <v>3659</v>
      </c>
      <c r="G1105" s="576" t="s">
        <v>3656</v>
      </c>
      <c r="I1105" s="564" t="s">
        <v>14</v>
      </c>
      <c r="U1105" s="576" t="s">
        <v>3658</v>
      </c>
    </row>
    <row r="1106" ht="14.25" customHeight="1" spans="2:21">
      <c r="B1106" s="563" t="s">
        <v>3661</v>
      </c>
      <c r="G1106" s="576" t="s">
        <v>3656</v>
      </c>
      <c r="I1106" s="564" t="s">
        <v>14</v>
      </c>
      <c r="U1106" s="576" t="s">
        <v>3658</v>
      </c>
    </row>
    <row r="1107" ht="14.25" customHeight="1" spans="2:21">
      <c r="B1107" s="563" t="s">
        <v>3663</v>
      </c>
      <c r="G1107" s="576" t="s">
        <v>3656</v>
      </c>
      <c r="I1107" s="564" t="s">
        <v>14</v>
      </c>
      <c r="U1107" s="576" t="s">
        <v>3658</v>
      </c>
    </row>
    <row r="1108" ht="14.25" customHeight="1" spans="2:21">
      <c r="B1108" s="563" t="s">
        <v>3665</v>
      </c>
      <c r="G1108" s="576" t="s">
        <v>3656</v>
      </c>
      <c r="I1108" s="564" t="s">
        <v>14</v>
      </c>
      <c r="U1108" s="576" t="s">
        <v>3658</v>
      </c>
    </row>
    <row r="1109" ht="14.25" customHeight="1" spans="2:21">
      <c r="B1109" s="563" t="s">
        <v>3667</v>
      </c>
      <c r="G1109" s="576" t="s">
        <v>3669</v>
      </c>
      <c r="I1109" s="564" t="s">
        <v>14</v>
      </c>
      <c r="U1109" s="576" t="s">
        <v>3670</v>
      </c>
    </row>
    <row r="1110" ht="14.25" customHeight="1" spans="2:21">
      <c r="B1110" s="563" t="s">
        <v>3671</v>
      </c>
      <c r="G1110" s="576" t="s">
        <v>3669</v>
      </c>
      <c r="I1110" s="564" t="s">
        <v>14</v>
      </c>
      <c r="U1110" s="576" t="s">
        <v>3670</v>
      </c>
    </row>
    <row r="1111" ht="14.25" customHeight="1" spans="2:21">
      <c r="B1111" s="563" t="s">
        <v>3673</v>
      </c>
      <c r="G1111" s="576" t="s">
        <v>3669</v>
      </c>
      <c r="I1111" s="564" t="s">
        <v>14</v>
      </c>
      <c r="U1111" s="576" t="s">
        <v>3670</v>
      </c>
    </row>
    <row r="1112" ht="14.25" customHeight="1" spans="2:21">
      <c r="B1112" s="563" t="s">
        <v>3675</v>
      </c>
      <c r="G1112" s="576" t="s">
        <v>3669</v>
      </c>
      <c r="I1112" s="564" t="s">
        <v>14</v>
      </c>
      <c r="U1112" s="576" t="s">
        <v>3670</v>
      </c>
    </row>
    <row r="1113" ht="14.25" customHeight="1" spans="2:21">
      <c r="B1113" s="563" t="s">
        <v>3677</v>
      </c>
      <c r="G1113" s="576" t="s">
        <v>3669</v>
      </c>
      <c r="I1113" s="564" t="s">
        <v>14</v>
      </c>
      <c r="U1113" s="576" t="s">
        <v>3670</v>
      </c>
    </row>
    <row r="1114" ht="14.25" customHeight="1" spans="2:21">
      <c r="B1114" s="563" t="s">
        <v>3679</v>
      </c>
      <c r="G1114" s="576" t="s">
        <v>3669</v>
      </c>
      <c r="I1114" s="564" t="s">
        <v>14</v>
      </c>
      <c r="U1114" s="576" t="s">
        <v>3670</v>
      </c>
    </row>
    <row r="1115" ht="14.25" customHeight="1" spans="2:21">
      <c r="B1115" s="563" t="s">
        <v>3681</v>
      </c>
      <c r="G1115" s="576" t="s">
        <v>3669</v>
      </c>
      <c r="I1115" s="564" t="s">
        <v>14</v>
      </c>
      <c r="U1115" s="576" t="s">
        <v>3670</v>
      </c>
    </row>
    <row r="1116" ht="14.25" customHeight="1" spans="2:21">
      <c r="B1116" s="563" t="s">
        <v>3684</v>
      </c>
      <c r="G1116" s="576" t="s">
        <v>3669</v>
      </c>
      <c r="I1116" s="564" t="s">
        <v>14</v>
      </c>
      <c r="U1116" s="576" t="s">
        <v>3670</v>
      </c>
    </row>
    <row r="1117" ht="14.25" customHeight="1" spans="2:21">
      <c r="B1117" s="563" t="s">
        <v>3686</v>
      </c>
      <c r="G1117" s="576" t="s">
        <v>3669</v>
      </c>
      <c r="I1117" s="564" t="s">
        <v>14</v>
      </c>
      <c r="U1117" s="576" t="s">
        <v>3670</v>
      </c>
    </row>
    <row r="1118" ht="14.25" customHeight="1" spans="2:21">
      <c r="B1118" s="563" t="s">
        <v>3688</v>
      </c>
      <c r="G1118" s="576" t="s">
        <v>3669</v>
      </c>
      <c r="I1118" s="564" t="s">
        <v>14</v>
      </c>
      <c r="U1118" s="576" t="s">
        <v>3670</v>
      </c>
    </row>
    <row r="1119" ht="14.25" customHeight="1" spans="2:21">
      <c r="B1119" s="563" t="s">
        <v>3690</v>
      </c>
      <c r="G1119" s="576" t="s">
        <v>3692</v>
      </c>
      <c r="I1119" s="564" t="s">
        <v>14</v>
      </c>
      <c r="U1119" s="576" t="s">
        <v>3670</v>
      </c>
    </row>
    <row r="1120" ht="14.25" customHeight="1" spans="2:21">
      <c r="B1120" s="563" t="s">
        <v>3695</v>
      </c>
      <c r="G1120" s="576" t="s">
        <v>3692</v>
      </c>
      <c r="I1120" s="564" t="s">
        <v>14</v>
      </c>
      <c r="U1120" s="576" t="s">
        <v>3670</v>
      </c>
    </row>
    <row r="1121" ht="14.25" customHeight="1" spans="2:21">
      <c r="B1121" s="556"/>
      <c r="G1121" s="557"/>
      <c r="I1121" s="564" t="s">
        <v>14</v>
      </c>
      <c r="U1121" s="557"/>
    </row>
    <row r="1122" ht="14.25" customHeight="1" spans="2:21">
      <c r="B1122" s="556"/>
      <c r="G1122" s="557"/>
      <c r="I1122" s="556"/>
      <c r="U1122" s="557"/>
    </row>
    <row r="1123" ht="14.25" customHeight="1" spans="2:21">
      <c r="B1123" s="556"/>
      <c r="G1123" s="557"/>
      <c r="I1123" s="556"/>
      <c r="U1123" s="557"/>
    </row>
    <row r="1124" ht="14.25" customHeight="1" spans="2:21">
      <c r="B1124" s="556"/>
      <c r="G1124" s="557"/>
      <c r="I1124" s="556"/>
      <c r="U1124" s="557"/>
    </row>
    <row r="1125" ht="14.25" customHeight="1" spans="2:21">
      <c r="B1125" s="556"/>
      <c r="G1125" s="557"/>
      <c r="I1125" s="556"/>
      <c r="U1125" s="557"/>
    </row>
    <row r="1126" ht="14.25" customHeight="1" spans="2:21">
      <c r="B1126" s="556"/>
      <c r="G1126" s="557"/>
      <c r="I1126" s="556"/>
      <c r="U1126" s="557"/>
    </row>
    <row r="1127" ht="14.25" customHeight="1" spans="2:21">
      <c r="B1127" s="556"/>
      <c r="G1127" s="557"/>
      <c r="I1127" s="556"/>
      <c r="U1127" s="557"/>
    </row>
    <row r="1128" ht="14.25" customHeight="1" spans="2:21">
      <c r="B1128" s="556"/>
      <c r="G1128" s="557"/>
      <c r="I1128" s="556"/>
      <c r="U1128" s="557"/>
    </row>
    <row r="1129" ht="14.25" customHeight="1" spans="2:21">
      <c r="B1129" s="556"/>
      <c r="G1129" s="557"/>
      <c r="I1129" s="556"/>
      <c r="U1129" s="557"/>
    </row>
    <row r="1130" ht="14.25" customHeight="1" spans="2:21">
      <c r="B1130" s="556"/>
      <c r="G1130" s="557"/>
      <c r="I1130" s="556"/>
      <c r="U1130" s="557"/>
    </row>
    <row r="1131" ht="14.25" customHeight="1" spans="2:21">
      <c r="B1131" s="556"/>
      <c r="G1131" s="557"/>
      <c r="I1131" s="556"/>
      <c r="U1131" s="557"/>
    </row>
    <row r="1132" ht="14.25" customHeight="1" spans="2:21">
      <c r="B1132" s="577" t="s">
        <v>691</v>
      </c>
      <c r="G1132" s="578"/>
      <c r="I1132" s="556"/>
      <c r="U1132" s="578"/>
    </row>
    <row r="1133" ht="14.25" customHeight="1" spans="2:21">
      <c r="B1133" s="576" t="s">
        <v>3722</v>
      </c>
      <c r="G1133" s="563" t="s">
        <v>301</v>
      </c>
      <c r="I1133" s="578"/>
      <c r="U1133" s="557"/>
    </row>
    <row r="1134" ht="14.25" customHeight="1" spans="2:21">
      <c r="B1134" s="563" t="s">
        <v>3725</v>
      </c>
      <c r="G1134" s="563" t="s">
        <v>301</v>
      </c>
      <c r="I1134" s="579" t="s">
        <v>23</v>
      </c>
      <c r="U1134" s="556"/>
    </row>
    <row r="1135" ht="14.25" customHeight="1" spans="2:21">
      <c r="B1135" s="563" t="s">
        <v>3730</v>
      </c>
      <c r="G1135" s="576" t="s">
        <v>301</v>
      </c>
      <c r="I1135" s="579" t="s">
        <v>23</v>
      </c>
      <c r="U1135" s="556"/>
    </row>
    <row r="1136" ht="14.25" customHeight="1" spans="2:21">
      <c r="B1136" s="563" t="s">
        <v>3735</v>
      </c>
      <c r="G1136" s="576" t="s">
        <v>303</v>
      </c>
      <c r="I1136" s="579" t="s">
        <v>23</v>
      </c>
      <c r="U1136" s="556"/>
    </row>
    <row r="1137" ht="14.25" customHeight="1" spans="2:21">
      <c r="B1137" s="563" t="s">
        <v>3738</v>
      </c>
      <c r="G1137" s="563" t="s">
        <v>3740</v>
      </c>
      <c r="I1137" s="564" t="s">
        <v>23</v>
      </c>
      <c r="U1137" s="563" t="s">
        <v>3717</v>
      </c>
    </row>
    <row r="1138" ht="14.25" customHeight="1" spans="2:21">
      <c r="B1138" s="563" t="s">
        <v>3742</v>
      </c>
      <c r="G1138" s="563" t="s">
        <v>3744</v>
      </c>
      <c r="I1138" s="564" t="s">
        <v>23</v>
      </c>
      <c r="U1138" s="563" t="s">
        <v>3614</v>
      </c>
    </row>
    <row r="1139" ht="14.25" customHeight="1" spans="2:21">
      <c r="B1139" s="563" t="s">
        <v>3745</v>
      </c>
      <c r="G1139" s="563" t="s">
        <v>3744</v>
      </c>
      <c r="I1139" s="564" t="s">
        <v>23</v>
      </c>
      <c r="U1139" s="563" t="s">
        <v>3614</v>
      </c>
    </row>
    <row r="1140" ht="14.25" customHeight="1" spans="2:21">
      <c r="B1140" s="563" t="s">
        <v>3747</v>
      </c>
      <c r="G1140" s="563" t="s">
        <v>3744</v>
      </c>
      <c r="I1140" s="564" t="s">
        <v>23</v>
      </c>
      <c r="U1140" s="563" t="s">
        <v>3614</v>
      </c>
    </row>
    <row r="1141" ht="14.25" customHeight="1" spans="2:21">
      <c r="B1141" s="563" t="s">
        <v>3749</v>
      </c>
      <c r="G1141" s="563" t="s">
        <v>3744</v>
      </c>
      <c r="I1141" s="564" t="s">
        <v>23</v>
      </c>
      <c r="U1141" s="563" t="s">
        <v>3614</v>
      </c>
    </row>
    <row r="1142" ht="14.25" customHeight="1" spans="2:21">
      <c r="B1142" s="563" t="s">
        <v>3751</v>
      </c>
      <c r="G1142" s="563" t="s">
        <v>3744</v>
      </c>
      <c r="I1142" s="564" t="s">
        <v>23</v>
      </c>
      <c r="U1142" s="563" t="s">
        <v>3614</v>
      </c>
    </row>
    <row r="1143" ht="14.25" customHeight="1" spans="2:21">
      <c r="B1143" s="563" t="s">
        <v>3753</v>
      </c>
      <c r="G1143" s="563" t="s">
        <v>3755</v>
      </c>
      <c r="I1143" s="564" t="s">
        <v>23</v>
      </c>
      <c r="U1143" s="563" t="s">
        <v>3757</v>
      </c>
    </row>
    <row r="1144" ht="14.25" customHeight="1" spans="2:21">
      <c r="B1144" s="563" t="s">
        <v>3758</v>
      </c>
      <c r="G1144" s="563" t="s">
        <v>3755</v>
      </c>
      <c r="I1144" s="564" t="s">
        <v>23</v>
      </c>
      <c r="U1144" s="563" t="s">
        <v>3757</v>
      </c>
    </row>
    <row r="1145" ht="14.25" customHeight="1" spans="2:21">
      <c r="B1145" s="563" t="s">
        <v>3760</v>
      </c>
      <c r="G1145" s="563" t="s">
        <v>3617</v>
      </c>
      <c r="I1145" s="564" t="s">
        <v>23</v>
      </c>
      <c r="U1145" s="563" t="s">
        <v>3763</v>
      </c>
    </row>
    <row r="1146" ht="14.25" customHeight="1" spans="2:21">
      <c r="B1146" s="563" t="s">
        <v>3764</v>
      </c>
      <c r="G1146" s="563" t="s">
        <v>3617</v>
      </c>
      <c r="I1146" s="564" t="s">
        <v>23</v>
      </c>
      <c r="U1146" s="563" t="s">
        <v>3763</v>
      </c>
    </row>
    <row r="1147" ht="14.25" customHeight="1" spans="2:21">
      <c r="B1147" s="563" t="s">
        <v>3766</v>
      </c>
      <c r="G1147" s="563" t="s">
        <v>3768</v>
      </c>
      <c r="I1147" s="564" t="s">
        <v>23</v>
      </c>
      <c r="U1147" s="563" t="s">
        <v>3770</v>
      </c>
    </row>
    <row r="1148" ht="14.25" customHeight="1" spans="2:21">
      <c r="B1148" s="563" t="s">
        <v>3771</v>
      </c>
      <c r="G1148" s="563" t="s">
        <v>3773</v>
      </c>
      <c r="I1148" s="564" t="s">
        <v>23</v>
      </c>
      <c r="U1148" s="563" t="s">
        <v>3775</v>
      </c>
    </row>
    <row r="1149" ht="14.25" customHeight="1" spans="2:21">
      <c r="B1149" s="563" t="s">
        <v>3776</v>
      </c>
      <c r="G1149" s="563" t="s">
        <v>3773</v>
      </c>
      <c r="I1149" s="564" t="s">
        <v>23</v>
      </c>
      <c r="U1149" s="563" t="s">
        <v>3775</v>
      </c>
    </row>
    <row r="1150" ht="14.25" customHeight="1" spans="2:21">
      <c r="B1150" s="563" t="s">
        <v>3778</v>
      </c>
      <c r="G1150" s="563" t="s">
        <v>3780</v>
      </c>
      <c r="I1150" s="564" t="s">
        <v>23</v>
      </c>
      <c r="U1150" s="563" t="s">
        <v>3781</v>
      </c>
    </row>
    <row r="1151" ht="14.25" customHeight="1" spans="2:21">
      <c r="B1151" s="563" t="s">
        <v>3782</v>
      </c>
      <c r="G1151" s="563" t="s">
        <v>3780</v>
      </c>
      <c r="I1151" s="564" t="s">
        <v>23</v>
      </c>
      <c r="U1151" s="563" t="s">
        <v>3781</v>
      </c>
    </row>
    <row r="1152" ht="14.25" customHeight="1" spans="2:21">
      <c r="B1152" s="563" t="s">
        <v>3784</v>
      </c>
      <c r="G1152" s="563" t="s">
        <v>3780</v>
      </c>
      <c r="I1152" s="564" t="s">
        <v>23</v>
      </c>
      <c r="U1152" s="563" t="s">
        <v>3781</v>
      </c>
    </row>
    <row r="1153" ht="14.25" customHeight="1" spans="2:21">
      <c r="B1153" s="563" t="s">
        <v>3786</v>
      </c>
      <c r="G1153" s="563" t="s">
        <v>3780</v>
      </c>
      <c r="I1153" s="564" t="s">
        <v>23</v>
      </c>
      <c r="U1153" s="563" t="s">
        <v>3781</v>
      </c>
    </row>
    <row r="1154" ht="14.25" customHeight="1" spans="2:21">
      <c r="B1154" s="563" t="s">
        <v>3788</v>
      </c>
      <c r="G1154" s="563" t="s">
        <v>3780</v>
      </c>
      <c r="I1154" s="564" t="s">
        <v>23</v>
      </c>
      <c r="U1154" s="563" t="s">
        <v>3781</v>
      </c>
    </row>
    <row r="1155" ht="14.25" customHeight="1" spans="2:21">
      <c r="B1155" s="563" t="s">
        <v>3790</v>
      </c>
      <c r="G1155" s="563" t="s">
        <v>3792</v>
      </c>
      <c r="I1155" s="564" t="s">
        <v>23</v>
      </c>
      <c r="U1155" s="563" t="s">
        <v>3793</v>
      </c>
    </row>
    <row r="1156" ht="14.25" customHeight="1" spans="2:21">
      <c r="B1156" s="563" t="s">
        <v>3794</v>
      </c>
      <c r="G1156" s="576" t="s">
        <v>3692</v>
      </c>
      <c r="I1156" s="564" t="s">
        <v>23</v>
      </c>
      <c r="U1156" s="563" t="s">
        <v>3670</v>
      </c>
    </row>
    <row r="1157" ht="14.25" customHeight="1" spans="2:21">
      <c r="B1157" s="563" t="s">
        <v>3797</v>
      </c>
      <c r="G1157" s="576" t="s">
        <v>3692</v>
      </c>
      <c r="I1157" s="564" t="s">
        <v>23</v>
      </c>
      <c r="U1157" s="563" t="s">
        <v>3670</v>
      </c>
    </row>
    <row r="1158" ht="14.25" customHeight="1" spans="2:21">
      <c r="B1158" s="563" t="s">
        <v>3799</v>
      </c>
      <c r="G1158" s="576" t="s">
        <v>3692</v>
      </c>
      <c r="I1158" s="564" t="s">
        <v>23</v>
      </c>
      <c r="U1158" s="563" t="s">
        <v>3670</v>
      </c>
    </row>
    <row r="1159" ht="14.25" customHeight="1" spans="2:21">
      <c r="B1159" s="563" t="s">
        <v>3801</v>
      </c>
      <c r="G1159" s="576" t="s">
        <v>3692</v>
      </c>
      <c r="I1159" s="564" t="s">
        <v>23</v>
      </c>
      <c r="U1159" s="563" t="s">
        <v>3670</v>
      </c>
    </row>
    <row r="1160" ht="14.25" customHeight="1" spans="2:21">
      <c r="B1160" s="563" t="s">
        <v>3803</v>
      </c>
      <c r="G1160" s="576" t="s">
        <v>3692</v>
      </c>
      <c r="I1160" s="564" t="s">
        <v>23</v>
      </c>
      <c r="U1160" s="563" t="s">
        <v>3670</v>
      </c>
    </row>
    <row r="1161" ht="14.25" customHeight="1" spans="2:21">
      <c r="B1161" s="556"/>
      <c r="G1161" s="556"/>
      <c r="I1161" s="564" t="s">
        <v>23</v>
      </c>
      <c r="U1161" s="556"/>
    </row>
    <row r="1162" ht="14.25" customHeight="1" spans="2:21">
      <c r="B1162" s="577" t="s">
        <v>816</v>
      </c>
      <c r="G1162" s="578"/>
      <c r="I1162" s="556"/>
      <c r="U1162" s="578"/>
    </row>
    <row r="1163" ht="14.25" customHeight="1" spans="2:21">
      <c r="B1163" s="563" t="s">
        <v>3819</v>
      </c>
      <c r="G1163" s="563" t="s">
        <v>328</v>
      </c>
      <c r="I1163" s="578"/>
      <c r="U1163" s="556"/>
    </row>
    <row r="1164" ht="14.25" customHeight="1" spans="2:21">
      <c r="B1164" s="563" t="s">
        <v>3822</v>
      </c>
      <c r="G1164" s="563" t="s">
        <v>3824</v>
      </c>
      <c r="I1164" s="564" t="s">
        <v>27</v>
      </c>
      <c r="U1164" s="556"/>
    </row>
    <row r="1165" ht="14.25" customHeight="1" spans="2:21">
      <c r="B1165" s="563" t="s">
        <v>3825</v>
      </c>
      <c r="G1165" s="563" t="s">
        <v>3598</v>
      </c>
      <c r="I1165" s="564" t="s">
        <v>27</v>
      </c>
      <c r="U1165" s="556"/>
    </row>
    <row r="1166" ht="14.25" customHeight="1" spans="2:21">
      <c r="B1166" s="563" t="s">
        <v>3827</v>
      </c>
      <c r="G1166" s="563" t="s">
        <v>3829</v>
      </c>
      <c r="I1166" s="564" t="s">
        <v>27</v>
      </c>
      <c r="U1166" s="556"/>
    </row>
    <row r="1167" ht="14.25" customHeight="1" spans="2:21">
      <c r="B1167" s="576" t="s">
        <v>3832</v>
      </c>
      <c r="G1167" s="563" t="s">
        <v>301</v>
      </c>
      <c r="I1167" s="564" t="s">
        <v>27</v>
      </c>
      <c r="U1167" s="556"/>
    </row>
    <row r="1168" ht="14.25" customHeight="1" spans="2:21">
      <c r="B1168" s="576" t="s">
        <v>3834</v>
      </c>
      <c r="G1168" s="563" t="s">
        <v>301</v>
      </c>
      <c r="I1168" s="564" t="s">
        <v>27</v>
      </c>
      <c r="U1168" s="563" t="s">
        <v>3838</v>
      </c>
    </row>
    <row r="1169" ht="14.25" customHeight="1" spans="2:21">
      <c r="B1169" s="563" t="s">
        <v>3840</v>
      </c>
      <c r="G1169" s="563" t="s">
        <v>301</v>
      </c>
      <c r="I1169" s="564" t="s">
        <v>27</v>
      </c>
      <c r="U1169" s="556"/>
    </row>
    <row r="1170" ht="14.25" customHeight="1" spans="2:21">
      <c r="B1170" s="563" t="s">
        <v>3844</v>
      </c>
      <c r="G1170" s="563" t="s">
        <v>301</v>
      </c>
      <c r="I1170" s="564" t="s">
        <v>27</v>
      </c>
      <c r="U1170" s="556"/>
    </row>
    <row r="1171" ht="14.25" customHeight="1" spans="2:21">
      <c r="B1171" s="563" t="s">
        <v>3847</v>
      </c>
      <c r="G1171" s="563" t="s">
        <v>301</v>
      </c>
      <c r="I1171" s="564" t="s">
        <v>27</v>
      </c>
      <c r="U1171" s="556"/>
    </row>
    <row r="1172" ht="14.25" customHeight="1" spans="2:21">
      <c r="B1172" s="563" t="s">
        <v>3851</v>
      </c>
      <c r="G1172" s="563" t="s">
        <v>301</v>
      </c>
      <c r="I1172" s="564" t="s">
        <v>27</v>
      </c>
      <c r="U1172" s="556"/>
    </row>
    <row r="1173" ht="14.25" customHeight="1" spans="2:21">
      <c r="B1173" s="563" t="s">
        <v>3854</v>
      </c>
      <c r="G1173" s="576" t="s">
        <v>303</v>
      </c>
      <c r="I1173" s="564" t="s">
        <v>27</v>
      </c>
      <c r="U1173" s="556"/>
    </row>
    <row r="1174" ht="14.25" customHeight="1" spans="2:21">
      <c r="B1174" s="563" t="s">
        <v>3856</v>
      </c>
      <c r="G1174" s="576" t="s">
        <v>303</v>
      </c>
      <c r="I1174" s="564" t="s">
        <v>27</v>
      </c>
      <c r="U1174" s="563" t="s">
        <v>3860</v>
      </c>
    </row>
    <row r="1175" ht="14.25" customHeight="1" spans="2:21">
      <c r="B1175" s="563" t="s">
        <v>3862</v>
      </c>
      <c r="G1175" s="563" t="s">
        <v>408</v>
      </c>
      <c r="I1175" s="564" t="s">
        <v>27</v>
      </c>
      <c r="U1175" s="556"/>
    </row>
    <row r="1176" ht="14.25" customHeight="1" spans="2:21">
      <c r="B1176" s="556"/>
      <c r="G1176" s="556"/>
      <c r="I1176" s="564" t="s">
        <v>27</v>
      </c>
      <c r="U1176" s="556"/>
    </row>
    <row r="1177" ht="14.25" customHeight="1" spans="2:21">
      <c r="B1177" s="580" t="s">
        <v>3867</v>
      </c>
      <c r="G1177" s="573"/>
      <c r="I1177" s="556"/>
      <c r="U1177" s="573"/>
    </row>
    <row r="1178" ht="14.25" customHeight="1" spans="2:21">
      <c r="B1178" s="577" t="s">
        <v>949</v>
      </c>
      <c r="G1178" s="578"/>
      <c r="I1178" s="573"/>
      <c r="U1178" s="578"/>
    </row>
    <row r="1179" ht="14.25" customHeight="1" spans="2:21">
      <c r="B1179" s="563" t="s">
        <v>3868</v>
      </c>
      <c r="G1179" s="563" t="s">
        <v>401</v>
      </c>
      <c r="I1179" s="578"/>
      <c r="U1179" s="556"/>
    </row>
    <row r="1180" ht="14.25" customHeight="1" spans="2:21">
      <c r="B1180" s="563" t="s">
        <v>3872</v>
      </c>
      <c r="G1180" s="563" t="s">
        <v>324</v>
      </c>
      <c r="I1180" s="564" t="s">
        <v>15</v>
      </c>
      <c r="U1180" s="556"/>
    </row>
    <row r="1181" ht="14.25" customHeight="1" spans="2:21">
      <c r="B1181" s="563" t="s">
        <v>3876</v>
      </c>
      <c r="G1181" s="563" t="s">
        <v>324</v>
      </c>
      <c r="I1181" s="564" t="s">
        <v>15</v>
      </c>
      <c r="U1181" s="556"/>
    </row>
    <row r="1182" ht="14.25" customHeight="1" spans="2:21">
      <c r="B1182" s="563" t="s">
        <v>3879</v>
      </c>
      <c r="G1182" s="563" t="s">
        <v>324</v>
      </c>
      <c r="I1182" s="564" t="s">
        <v>15</v>
      </c>
      <c r="U1182" s="556"/>
    </row>
    <row r="1183" ht="14.25" customHeight="1" spans="2:21">
      <c r="B1183" s="563" t="s">
        <v>3882</v>
      </c>
      <c r="G1183" s="563" t="s">
        <v>312</v>
      </c>
      <c r="I1183" s="564" t="s">
        <v>15</v>
      </c>
      <c r="U1183" s="556"/>
    </row>
    <row r="1184" ht="14.25" customHeight="1" spans="2:21">
      <c r="B1184" s="563" t="s">
        <v>3887</v>
      </c>
      <c r="G1184" s="563" t="s">
        <v>312</v>
      </c>
      <c r="I1184" s="564" t="s">
        <v>15</v>
      </c>
      <c r="U1184" s="556"/>
    </row>
    <row r="1185" ht="14.25" customHeight="1" spans="2:21">
      <c r="B1185" s="563" t="s">
        <v>3897</v>
      </c>
      <c r="G1185" s="563" t="s">
        <v>314</v>
      </c>
      <c r="I1185" s="564" t="s">
        <v>15</v>
      </c>
      <c r="U1185" s="556"/>
    </row>
    <row r="1186" ht="14.25" customHeight="1" spans="2:21">
      <c r="B1186" s="563" t="s">
        <v>3901</v>
      </c>
      <c r="G1186" s="563" t="s">
        <v>335</v>
      </c>
      <c r="I1186" s="564" t="s">
        <v>15</v>
      </c>
      <c r="U1186" s="556"/>
    </row>
    <row r="1187" ht="14.25" customHeight="1" spans="2:21">
      <c r="B1187" s="563" t="s">
        <v>3905</v>
      </c>
      <c r="G1187" s="563" t="s">
        <v>335</v>
      </c>
      <c r="I1187" s="564" t="s">
        <v>15</v>
      </c>
      <c r="U1187" s="556"/>
    </row>
    <row r="1188" ht="14.25" customHeight="1" spans="2:21">
      <c r="B1188" s="563" t="s">
        <v>3908</v>
      </c>
      <c r="G1188" s="563" t="s">
        <v>336</v>
      </c>
      <c r="I1188" s="564" t="s">
        <v>15</v>
      </c>
      <c r="U1188" s="556"/>
    </row>
    <row r="1189" ht="14.25" customHeight="1" spans="2:21">
      <c r="B1189" s="563" t="s">
        <v>3912</v>
      </c>
      <c r="G1189" s="563" t="s">
        <v>3914</v>
      </c>
      <c r="I1189" s="564" t="s">
        <v>15</v>
      </c>
      <c r="U1189" s="556"/>
    </row>
    <row r="1190" ht="14.25" customHeight="1" spans="2:21">
      <c r="B1190" s="563" t="s">
        <v>3915</v>
      </c>
      <c r="G1190" s="563" t="s">
        <v>3918</v>
      </c>
      <c r="I1190" s="564" t="s">
        <v>15</v>
      </c>
      <c r="U1190" s="556"/>
    </row>
    <row r="1191" ht="14.25" customHeight="1" spans="2:21">
      <c r="B1191" s="563" t="s">
        <v>3920</v>
      </c>
      <c r="G1191" s="563" t="s">
        <v>328</v>
      </c>
      <c r="I1191" s="564" t="s">
        <v>15</v>
      </c>
      <c r="U1191" s="556"/>
    </row>
    <row r="1192" ht="14.25" customHeight="1" spans="2:21">
      <c r="B1192" s="563" t="s">
        <v>3923</v>
      </c>
      <c r="G1192" s="563" t="s">
        <v>328</v>
      </c>
      <c r="I1192" s="564" t="s">
        <v>15</v>
      </c>
      <c r="U1192" s="556"/>
    </row>
    <row r="1193" ht="14.25" customHeight="1" spans="2:21">
      <c r="B1193" s="563" t="s">
        <v>6519</v>
      </c>
      <c r="G1193" s="563" t="s">
        <v>7159</v>
      </c>
      <c r="I1193" s="564" t="s">
        <v>15</v>
      </c>
      <c r="U1193" s="556"/>
    </row>
    <row r="1194" ht="14.25" customHeight="1" spans="2:21">
      <c r="B1194" s="563" t="s">
        <v>3928</v>
      </c>
      <c r="G1194" s="563" t="s">
        <v>7160</v>
      </c>
      <c r="I1194" s="564" t="s">
        <v>15</v>
      </c>
      <c r="U1194" s="556"/>
    </row>
    <row r="1195" ht="14.25" customHeight="1" spans="2:21">
      <c r="B1195" s="563" t="s">
        <v>3933</v>
      </c>
      <c r="G1195" s="563" t="s">
        <v>7161</v>
      </c>
      <c r="I1195" s="564" t="s">
        <v>15</v>
      </c>
      <c r="U1195" s="556"/>
    </row>
    <row r="1196" ht="14.25" customHeight="1" spans="2:21">
      <c r="B1196" s="563" t="s">
        <v>3940</v>
      </c>
      <c r="G1196" s="563" t="s">
        <v>330</v>
      </c>
      <c r="I1196" s="564" t="s">
        <v>15</v>
      </c>
      <c r="U1196" s="556"/>
    </row>
    <row r="1197" ht="14.25" customHeight="1" spans="2:21">
      <c r="B1197" s="563" t="s">
        <v>3944</v>
      </c>
      <c r="G1197" s="563" t="s">
        <v>330</v>
      </c>
      <c r="I1197" s="564" t="s">
        <v>15</v>
      </c>
      <c r="U1197" s="556"/>
    </row>
    <row r="1198" ht="14.25" customHeight="1" spans="2:21">
      <c r="B1198" s="563" t="s">
        <v>3950</v>
      </c>
      <c r="G1198" s="563" t="s">
        <v>408</v>
      </c>
      <c r="I1198" s="564" t="s">
        <v>15</v>
      </c>
      <c r="U1198" s="556"/>
    </row>
    <row r="1199" ht="14.25" customHeight="1" spans="2:21">
      <c r="B1199" s="563" t="s">
        <v>3953</v>
      </c>
      <c r="G1199" s="563" t="s">
        <v>3956</v>
      </c>
      <c r="I1199" s="564" t="s">
        <v>15</v>
      </c>
      <c r="U1199" s="556"/>
    </row>
    <row r="1200" ht="14.25" customHeight="1" spans="2:21">
      <c r="B1200" s="563" t="s">
        <v>3957</v>
      </c>
      <c r="G1200" s="563" t="s">
        <v>337</v>
      </c>
      <c r="I1200" s="564" t="s">
        <v>15</v>
      </c>
      <c r="U1200" s="581" t="s">
        <v>3961</v>
      </c>
    </row>
    <row r="1201" ht="14.25" customHeight="1" spans="2:21">
      <c r="B1201" s="563" t="s">
        <v>3962</v>
      </c>
      <c r="G1201" s="563" t="s">
        <v>307</v>
      </c>
      <c r="I1201" s="564" t="s">
        <v>15</v>
      </c>
      <c r="U1201" s="556"/>
    </row>
    <row r="1202" ht="14.25" customHeight="1" spans="2:21">
      <c r="B1202" s="563" t="s">
        <v>3968</v>
      </c>
      <c r="G1202" s="563" t="s">
        <v>307</v>
      </c>
      <c r="I1202" s="564" t="s">
        <v>15</v>
      </c>
      <c r="U1202" s="556"/>
    </row>
    <row r="1203" ht="14.25" customHeight="1" spans="2:21">
      <c r="B1203" s="563" t="s">
        <v>3970</v>
      </c>
      <c r="G1203" s="563" t="s">
        <v>309</v>
      </c>
      <c r="I1203" s="564" t="s">
        <v>15</v>
      </c>
      <c r="U1203" s="556"/>
    </row>
    <row r="1204" ht="14.25" customHeight="1" spans="2:21">
      <c r="B1204" s="563" t="s">
        <v>3972</v>
      </c>
      <c r="G1204" s="563" t="s">
        <v>3974</v>
      </c>
      <c r="I1204" s="564" t="s">
        <v>15</v>
      </c>
      <c r="U1204" s="563" t="s">
        <v>3976</v>
      </c>
    </row>
    <row r="1205" ht="14.25" customHeight="1" spans="2:21">
      <c r="B1205" s="563" t="s">
        <v>3977</v>
      </c>
      <c r="G1205" s="563" t="s">
        <v>332</v>
      </c>
      <c r="I1205" s="564" t="s">
        <v>15</v>
      </c>
      <c r="U1205" s="556"/>
    </row>
    <row r="1206" ht="14.25" customHeight="1" spans="2:21">
      <c r="B1206" s="563" t="s">
        <v>3982</v>
      </c>
      <c r="G1206" s="563" t="s">
        <v>305</v>
      </c>
      <c r="I1206" s="564" t="s">
        <v>15</v>
      </c>
      <c r="U1206" s="563" t="s">
        <v>3986</v>
      </c>
    </row>
    <row r="1207" ht="14.25" customHeight="1" spans="2:21">
      <c r="B1207" s="563" t="s">
        <v>3987</v>
      </c>
      <c r="G1207" s="563" t="s">
        <v>305</v>
      </c>
      <c r="I1207" s="564" t="s">
        <v>15</v>
      </c>
      <c r="U1207" s="563" t="s">
        <v>3991</v>
      </c>
    </row>
    <row r="1208" ht="14.25" customHeight="1" spans="2:21">
      <c r="B1208" s="563" t="s">
        <v>3992</v>
      </c>
      <c r="G1208" s="563" t="s">
        <v>335</v>
      </c>
      <c r="I1208" s="564" t="s">
        <v>15</v>
      </c>
      <c r="U1208" s="556"/>
    </row>
    <row r="1209" ht="14.25" customHeight="1" spans="2:21">
      <c r="B1209" s="563" t="s">
        <v>3997</v>
      </c>
      <c r="G1209" s="563" t="s">
        <v>335</v>
      </c>
      <c r="I1209" s="564" t="s">
        <v>15</v>
      </c>
      <c r="U1209" s="556"/>
    </row>
    <row r="1210" ht="14.25" customHeight="1" spans="2:21">
      <c r="B1210" s="563" t="s">
        <v>3999</v>
      </c>
      <c r="G1210" s="563" t="s">
        <v>316</v>
      </c>
      <c r="I1210" s="564" t="s">
        <v>15</v>
      </c>
      <c r="U1210" s="556"/>
    </row>
    <row r="1211" ht="14.25" customHeight="1" spans="2:21">
      <c r="B1211" s="563" t="s">
        <v>4003</v>
      </c>
      <c r="G1211" s="563" t="s">
        <v>333</v>
      </c>
      <c r="I1211" s="564" t="s">
        <v>15</v>
      </c>
      <c r="U1211" s="556"/>
    </row>
    <row r="1212" ht="14.25" customHeight="1" spans="2:21">
      <c r="B1212" s="563" t="s">
        <v>4009</v>
      </c>
      <c r="G1212" s="563" t="s">
        <v>333</v>
      </c>
      <c r="I1212" s="564" t="s">
        <v>15</v>
      </c>
      <c r="U1212" s="563" t="s">
        <v>4013</v>
      </c>
    </row>
    <row r="1213" ht="14.25" customHeight="1" spans="2:21">
      <c r="B1213" s="563" t="s">
        <v>4014</v>
      </c>
      <c r="G1213" s="563" t="s">
        <v>333</v>
      </c>
      <c r="I1213" s="564" t="s">
        <v>15</v>
      </c>
      <c r="U1213" s="556"/>
    </row>
    <row r="1214" ht="14.25" customHeight="1" spans="2:21">
      <c r="B1214" s="563" t="s">
        <v>4018</v>
      </c>
      <c r="G1214" s="563" t="s">
        <v>326</v>
      </c>
      <c r="I1214" s="564" t="s">
        <v>15</v>
      </c>
      <c r="U1214" s="556"/>
    </row>
    <row r="1215" ht="14.25" customHeight="1" spans="2:21">
      <c r="B1215" s="563" t="s">
        <v>4021</v>
      </c>
      <c r="G1215" s="563" t="s">
        <v>326</v>
      </c>
      <c r="I1215" s="564" t="s">
        <v>15</v>
      </c>
      <c r="U1215" s="556"/>
    </row>
    <row r="1216" ht="14.25" customHeight="1" spans="2:21">
      <c r="B1216" s="563" t="s">
        <v>4023</v>
      </c>
      <c r="G1216" s="563" t="s">
        <v>332</v>
      </c>
      <c r="I1216" s="564" t="s">
        <v>15</v>
      </c>
      <c r="U1216" s="556"/>
    </row>
    <row r="1217" ht="14.25" customHeight="1" spans="2:21">
      <c r="B1217" s="563" t="s">
        <v>4027</v>
      </c>
      <c r="G1217" s="563" t="s">
        <v>332</v>
      </c>
      <c r="I1217" s="564" t="s">
        <v>15</v>
      </c>
      <c r="U1217" s="556"/>
    </row>
    <row r="1218" ht="14.25" customHeight="1" spans="2:21">
      <c r="B1218" s="563" t="s">
        <v>4036</v>
      </c>
      <c r="G1218" s="563" t="s">
        <v>4038</v>
      </c>
      <c r="I1218" s="564" t="s">
        <v>15</v>
      </c>
      <c r="U1218" s="563" t="s">
        <v>4041</v>
      </c>
    </row>
    <row r="1219" ht="14.25" customHeight="1" spans="2:21">
      <c r="B1219" s="563" t="s">
        <v>4042</v>
      </c>
      <c r="G1219" s="576" t="s">
        <v>318</v>
      </c>
      <c r="I1219" s="564" t="s">
        <v>15</v>
      </c>
      <c r="U1219" s="563">
        <v>7</v>
      </c>
    </row>
    <row r="1220" ht="14.25" customHeight="1" spans="2:21">
      <c r="B1220" s="563" t="s">
        <v>4048</v>
      </c>
      <c r="G1220" s="576" t="s">
        <v>318</v>
      </c>
      <c r="I1220" s="564" t="s">
        <v>15</v>
      </c>
      <c r="U1220" s="563" t="s">
        <v>4051</v>
      </c>
    </row>
    <row r="1221" ht="14.25" customHeight="1" spans="2:21">
      <c r="B1221" s="563" t="s">
        <v>4052</v>
      </c>
      <c r="G1221" s="576" t="s">
        <v>318</v>
      </c>
      <c r="I1221" s="564" t="s">
        <v>15</v>
      </c>
      <c r="U1221" s="563" t="s">
        <v>4054</v>
      </c>
    </row>
    <row r="1222" ht="14.25" customHeight="1" spans="2:21">
      <c r="B1222" s="563" t="s">
        <v>4059</v>
      </c>
      <c r="G1222" s="563" t="s">
        <v>320</v>
      </c>
      <c r="I1222" s="564" t="s">
        <v>15</v>
      </c>
      <c r="U1222" s="556"/>
    </row>
    <row r="1223" ht="14.25" customHeight="1" spans="2:21">
      <c r="B1223" s="563" t="s">
        <v>4064</v>
      </c>
      <c r="G1223" s="563" t="s">
        <v>320</v>
      </c>
      <c r="I1223" s="564" t="s">
        <v>15</v>
      </c>
      <c r="U1223" s="556"/>
    </row>
    <row r="1224" ht="14.25" customHeight="1" spans="2:21">
      <c r="B1224" s="563" t="s">
        <v>4067</v>
      </c>
      <c r="G1224" s="563" t="s">
        <v>320</v>
      </c>
      <c r="I1224" s="564" t="s">
        <v>15</v>
      </c>
      <c r="U1224" s="556"/>
    </row>
    <row r="1225" ht="14.25" customHeight="1" spans="2:21">
      <c r="B1225" s="556"/>
      <c r="G1225" s="556"/>
      <c r="I1225" s="564" t="s">
        <v>15</v>
      </c>
      <c r="U1225" s="556"/>
    </row>
    <row r="1226" ht="14.25" customHeight="1" spans="2:21">
      <c r="B1226" s="556"/>
      <c r="G1226" s="556"/>
      <c r="I1226" s="556"/>
      <c r="U1226" s="556"/>
    </row>
    <row r="1227" ht="14.25" customHeight="1" spans="2:21">
      <c r="B1227" s="556"/>
      <c r="G1227" s="556"/>
      <c r="I1227" s="556"/>
      <c r="U1227" s="556"/>
    </row>
    <row r="1228" ht="14.25" customHeight="1" spans="2:21">
      <c r="B1228" s="556"/>
      <c r="G1228" s="556"/>
      <c r="I1228" s="556"/>
      <c r="U1228" s="556"/>
    </row>
    <row r="1229" ht="14.25" customHeight="1" spans="2:21">
      <c r="B1229" s="556"/>
      <c r="G1229" s="556"/>
      <c r="I1229" s="556"/>
      <c r="U1229" s="556"/>
    </row>
    <row r="1230" ht="14.25" customHeight="1" spans="2:21">
      <c r="B1230" s="556"/>
      <c r="G1230" s="556"/>
      <c r="I1230" s="556"/>
      <c r="U1230" s="556"/>
    </row>
    <row r="1231" ht="14.25" customHeight="1" spans="2:21">
      <c r="B1231" s="577" t="s">
        <v>1036</v>
      </c>
      <c r="G1231" s="578"/>
      <c r="I1231" s="556"/>
      <c r="U1231" s="578"/>
    </row>
    <row r="1232" ht="14.25" customHeight="1" spans="2:21">
      <c r="B1232" s="563" t="s">
        <v>4070</v>
      </c>
      <c r="G1232" s="563" t="s">
        <v>4073</v>
      </c>
      <c r="I1232" s="578"/>
      <c r="U1232" s="556"/>
    </row>
    <row r="1233" ht="14.25" customHeight="1" spans="2:21">
      <c r="B1233" s="563" t="s">
        <v>4074</v>
      </c>
      <c r="G1233" s="563" t="s">
        <v>4073</v>
      </c>
      <c r="I1233" s="564" t="s">
        <v>24</v>
      </c>
      <c r="U1233" s="556"/>
    </row>
    <row r="1234" ht="14.25" customHeight="1" spans="2:21">
      <c r="B1234" s="563" t="s">
        <v>4077</v>
      </c>
      <c r="G1234" s="563" t="s">
        <v>4073</v>
      </c>
      <c r="I1234" s="564" t="s">
        <v>24</v>
      </c>
      <c r="U1234" s="556"/>
    </row>
    <row r="1235" ht="14.25" customHeight="1" spans="2:21">
      <c r="B1235" s="563" t="s">
        <v>4080</v>
      </c>
      <c r="G1235" s="563" t="s">
        <v>4083</v>
      </c>
      <c r="I1235" s="564" t="s">
        <v>24</v>
      </c>
      <c r="U1235" s="556"/>
    </row>
    <row r="1236" ht="14.25" customHeight="1" spans="2:21">
      <c r="B1236" s="563" t="s">
        <v>4084</v>
      </c>
      <c r="G1236" s="563" t="s">
        <v>310</v>
      </c>
      <c r="I1236" s="564" t="s">
        <v>24</v>
      </c>
      <c r="U1236" s="556"/>
    </row>
    <row r="1237" ht="14.25" customHeight="1" spans="2:21">
      <c r="B1237" s="563" t="s">
        <v>4088</v>
      </c>
      <c r="G1237" s="563" t="s">
        <v>307</v>
      </c>
      <c r="I1237" s="564" t="s">
        <v>24</v>
      </c>
      <c r="U1237" s="556"/>
    </row>
    <row r="1238" ht="14.25" customHeight="1" spans="2:21">
      <c r="B1238" s="563" t="s">
        <v>4091</v>
      </c>
      <c r="G1238" s="563" t="s">
        <v>335</v>
      </c>
      <c r="I1238" s="564" t="s">
        <v>24</v>
      </c>
      <c r="U1238" s="556"/>
    </row>
    <row r="1239" ht="14.25" customHeight="1" spans="2:21">
      <c r="B1239" s="563" t="s">
        <v>4094</v>
      </c>
      <c r="G1239" s="563" t="s">
        <v>3918</v>
      </c>
      <c r="I1239" s="564" t="s">
        <v>24</v>
      </c>
      <c r="U1239" s="556"/>
    </row>
    <row r="1240" ht="14.25" customHeight="1" spans="2:21">
      <c r="B1240" s="563" t="s">
        <v>4098</v>
      </c>
      <c r="G1240" s="563" t="s">
        <v>328</v>
      </c>
      <c r="I1240" s="564" t="s">
        <v>24</v>
      </c>
      <c r="U1240" s="556"/>
    </row>
    <row r="1241" ht="14.25" customHeight="1" spans="2:21">
      <c r="B1241" s="563" t="s">
        <v>4101</v>
      </c>
      <c r="G1241" s="563" t="s">
        <v>332</v>
      </c>
      <c r="I1241" s="564" t="s">
        <v>24</v>
      </c>
      <c r="U1241" s="556"/>
    </row>
    <row r="1242" ht="14.25" customHeight="1" spans="2:21">
      <c r="B1242" s="563" t="s">
        <v>4104</v>
      </c>
      <c r="G1242" s="563" t="s">
        <v>337</v>
      </c>
      <c r="I1242" s="564" t="s">
        <v>24</v>
      </c>
      <c r="U1242" s="563" t="s">
        <v>3961</v>
      </c>
    </row>
    <row r="1243" ht="14.25" customHeight="1" spans="2:21">
      <c r="B1243" s="563" t="s">
        <v>4106</v>
      </c>
      <c r="G1243" s="563" t="s">
        <v>330</v>
      </c>
      <c r="I1243" s="564" t="s">
        <v>24</v>
      </c>
      <c r="U1243" s="556"/>
    </row>
    <row r="1244" ht="14.25" customHeight="1" spans="2:21">
      <c r="B1244" s="563" t="s">
        <v>4109</v>
      </c>
      <c r="G1244" s="563" t="s">
        <v>330</v>
      </c>
      <c r="I1244" s="564" t="s">
        <v>24</v>
      </c>
      <c r="U1244" s="556"/>
    </row>
    <row r="1245" ht="14.25" customHeight="1" spans="2:21">
      <c r="B1245" s="563" t="s">
        <v>4112</v>
      </c>
      <c r="G1245" s="563" t="s">
        <v>335</v>
      </c>
      <c r="I1245" s="564" t="s">
        <v>24</v>
      </c>
      <c r="U1245" s="556"/>
    </row>
    <row r="1246" ht="14.25" customHeight="1" spans="2:21">
      <c r="B1246" s="563" t="s">
        <v>4115</v>
      </c>
      <c r="G1246" s="563" t="s">
        <v>335</v>
      </c>
      <c r="I1246" s="564" t="s">
        <v>24</v>
      </c>
      <c r="U1246" s="556"/>
    </row>
    <row r="1247" ht="14.25" customHeight="1" spans="2:21">
      <c r="B1247" s="563" t="s">
        <v>4117</v>
      </c>
      <c r="G1247" s="563" t="s">
        <v>328</v>
      </c>
      <c r="I1247" s="564" t="s">
        <v>24</v>
      </c>
      <c r="U1247" s="563" t="s">
        <v>4120</v>
      </c>
    </row>
    <row r="1248" ht="14.25" customHeight="1" spans="2:21">
      <c r="B1248" s="563" t="s">
        <v>4121</v>
      </c>
      <c r="G1248" s="563" t="s">
        <v>328</v>
      </c>
      <c r="I1248" s="564" t="s">
        <v>24</v>
      </c>
      <c r="U1248" s="556"/>
    </row>
    <row r="1249" ht="14.25" customHeight="1" spans="2:21">
      <c r="B1249" s="563" t="s">
        <v>4126</v>
      </c>
      <c r="G1249" s="563" t="s">
        <v>305</v>
      </c>
      <c r="I1249" s="564" t="s">
        <v>24</v>
      </c>
      <c r="U1249" s="563" t="s">
        <v>4129</v>
      </c>
    </row>
    <row r="1250" ht="14.25" customHeight="1" spans="2:21">
      <c r="B1250" s="563" t="s">
        <v>4130</v>
      </c>
      <c r="G1250" s="563" t="s">
        <v>305</v>
      </c>
      <c r="I1250" s="564" t="s">
        <v>24</v>
      </c>
      <c r="U1250" s="563" t="s">
        <v>4133</v>
      </c>
    </row>
    <row r="1251" ht="14.25" customHeight="1" spans="2:21">
      <c r="B1251" s="563" t="s">
        <v>4134</v>
      </c>
      <c r="G1251" s="563" t="s">
        <v>4136</v>
      </c>
      <c r="I1251" s="564" t="s">
        <v>24</v>
      </c>
      <c r="U1251" s="556"/>
    </row>
    <row r="1252" ht="14.25" customHeight="1" spans="2:21">
      <c r="B1252" s="563" t="s">
        <v>4138</v>
      </c>
      <c r="G1252" s="563" t="s">
        <v>338</v>
      </c>
      <c r="I1252" s="564" t="s">
        <v>24</v>
      </c>
      <c r="U1252" s="556"/>
    </row>
    <row r="1253" ht="14.25" customHeight="1" spans="2:21">
      <c r="B1253" s="563" t="s">
        <v>4143</v>
      </c>
      <c r="G1253" s="563" t="s">
        <v>322</v>
      </c>
      <c r="I1253" s="564" t="s">
        <v>24</v>
      </c>
      <c r="U1253" s="556"/>
    </row>
    <row r="1254" ht="14.25" customHeight="1" spans="2:21">
      <c r="B1254" s="563" t="s">
        <v>4148</v>
      </c>
      <c r="G1254" s="563" t="s">
        <v>326</v>
      </c>
      <c r="I1254" s="564" t="s">
        <v>24</v>
      </c>
      <c r="U1254" s="556"/>
    </row>
    <row r="1255" ht="14.25" customHeight="1" spans="2:21">
      <c r="B1255" s="563" t="s">
        <v>4150</v>
      </c>
      <c r="G1255" s="563" t="s">
        <v>7162</v>
      </c>
      <c r="I1255" s="564" t="s">
        <v>24</v>
      </c>
      <c r="U1255" s="556"/>
    </row>
    <row r="1256" ht="14.25" customHeight="1" spans="2:21">
      <c r="B1256" s="563" t="s">
        <v>4154</v>
      </c>
      <c r="G1256" s="563" t="s">
        <v>7162</v>
      </c>
      <c r="I1256" s="564" t="s">
        <v>24</v>
      </c>
      <c r="U1256" s="556"/>
    </row>
    <row r="1257" ht="14.25" customHeight="1" spans="2:21">
      <c r="B1257" s="563" t="s">
        <v>4157</v>
      </c>
      <c r="G1257" s="563" t="s">
        <v>320</v>
      </c>
      <c r="I1257" s="564" t="s">
        <v>24</v>
      </c>
      <c r="U1257" s="556"/>
    </row>
    <row r="1258" ht="14.25" customHeight="1" spans="2:21">
      <c r="B1258" s="563" t="s">
        <v>4160</v>
      </c>
      <c r="G1258" s="563" t="s">
        <v>320</v>
      </c>
      <c r="I1258" s="564" t="s">
        <v>24</v>
      </c>
      <c r="U1258" s="556"/>
    </row>
    <row r="1259" ht="14.25" customHeight="1" spans="2:21">
      <c r="B1259" s="563" t="s">
        <v>4163</v>
      </c>
      <c r="G1259" s="563" t="s">
        <v>332</v>
      </c>
      <c r="I1259" s="564" t="s">
        <v>24</v>
      </c>
      <c r="U1259" s="556"/>
    </row>
    <row r="1260" ht="14.25" customHeight="1" spans="2:21">
      <c r="B1260" s="563" t="s">
        <v>4166</v>
      </c>
      <c r="G1260" s="563" t="s">
        <v>318</v>
      </c>
      <c r="I1260" s="564" t="s">
        <v>24</v>
      </c>
      <c r="U1260" s="563" t="s">
        <v>4169</v>
      </c>
    </row>
    <row r="1261" ht="14.25" customHeight="1" spans="2:21">
      <c r="B1261" s="556"/>
      <c r="G1261" s="556"/>
      <c r="I1261" s="564" t="s">
        <v>24</v>
      </c>
      <c r="U1261" s="556"/>
    </row>
    <row r="1262" ht="14.25" customHeight="1" spans="2:21">
      <c r="B1262" s="577" t="s">
        <v>1100</v>
      </c>
      <c r="G1262" s="578"/>
      <c r="I1262" s="556"/>
      <c r="U1262" s="578"/>
    </row>
    <row r="1263" ht="14.25" customHeight="1" spans="2:21">
      <c r="B1263" s="563" t="s">
        <v>4170</v>
      </c>
      <c r="G1263" s="563" t="s">
        <v>4073</v>
      </c>
      <c r="I1263" s="578"/>
      <c r="U1263" s="556"/>
    </row>
    <row r="1264" ht="14.25" customHeight="1" spans="2:21">
      <c r="B1264" s="563" t="s">
        <v>4172</v>
      </c>
      <c r="G1264" s="563" t="s">
        <v>4073</v>
      </c>
      <c r="I1264" s="564" t="s">
        <v>6585</v>
      </c>
      <c r="U1264" s="556"/>
    </row>
    <row r="1265" ht="14.25" customHeight="1" spans="2:21">
      <c r="B1265" s="563" t="s">
        <v>4174</v>
      </c>
      <c r="G1265" s="563" t="s">
        <v>4073</v>
      </c>
      <c r="I1265" s="564" t="s">
        <v>6585</v>
      </c>
      <c r="U1265" s="556"/>
    </row>
    <row r="1266" ht="14.25" customHeight="1" spans="2:21">
      <c r="B1266" s="563" t="s">
        <v>4071</v>
      </c>
      <c r="G1266" s="563" t="s">
        <v>4073</v>
      </c>
      <c r="I1266" s="564" t="s">
        <v>6585</v>
      </c>
      <c r="U1266" s="556"/>
    </row>
    <row r="1267" ht="14.25" customHeight="1" spans="2:21">
      <c r="B1267" s="563" t="s">
        <v>4075</v>
      </c>
      <c r="G1267" s="563" t="s">
        <v>4073</v>
      </c>
      <c r="I1267" s="564" t="s">
        <v>6585</v>
      </c>
      <c r="U1267" s="556"/>
    </row>
    <row r="1268" ht="14.25" customHeight="1" spans="2:21">
      <c r="B1268" s="563" t="s">
        <v>4179</v>
      </c>
      <c r="G1268" s="563" t="s">
        <v>314</v>
      </c>
      <c r="I1268" s="564" t="s">
        <v>6585</v>
      </c>
      <c r="U1268" s="556"/>
    </row>
    <row r="1269" ht="14.25" customHeight="1" spans="2:21">
      <c r="B1269" s="563" t="s">
        <v>4085</v>
      </c>
      <c r="G1269" s="563" t="s">
        <v>314</v>
      </c>
      <c r="I1269" s="564" t="s">
        <v>6585</v>
      </c>
      <c r="U1269" s="556"/>
    </row>
    <row r="1270" ht="14.25" customHeight="1" spans="2:21">
      <c r="B1270" s="563" t="s">
        <v>4081</v>
      </c>
      <c r="G1270" s="563" t="s">
        <v>312</v>
      </c>
      <c r="I1270" s="564" t="s">
        <v>6585</v>
      </c>
      <c r="U1270" s="556"/>
    </row>
    <row r="1271" ht="14.25" customHeight="1" spans="2:21">
      <c r="B1271" s="563" t="s">
        <v>4183</v>
      </c>
      <c r="G1271" s="563" t="s">
        <v>311</v>
      </c>
      <c r="I1271" s="564" t="s">
        <v>6585</v>
      </c>
      <c r="U1271" s="556"/>
    </row>
    <row r="1272" ht="14.25" customHeight="1" spans="2:21">
      <c r="B1272" s="563" t="s">
        <v>4092</v>
      </c>
      <c r="G1272" s="563" t="s">
        <v>335</v>
      </c>
      <c r="I1272" s="564" t="s">
        <v>6585</v>
      </c>
      <c r="U1272" s="556"/>
    </row>
    <row r="1273" ht="14.25" customHeight="1" spans="2:21">
      <c r="B1273" s="563" t="s">
        <v>4188</v>
      </c>
      <c r="G1273" s="563" t="s">
        <v>330</v>
      </c>
      <c r="I1273" s="564" t="s">
        <v>6585</v>
      </c>
      <c r="U1273" s="556"/>
    </row>
    <row r="1274" ht="14.25" customHeight="1" spans="2:21">
      <c r="B1274" s="563" t="s">
        <v>4191</v>
      </c>
      <c r="G1274" s="563" t="s">
        <v>4193</v>
      </c>
      <c r="I1274" s="564" t="s">
        <v>6585</v>
      </c>
      <c r="U1274" s="556"/>
    </row>
    <row r="1275" ht="14.25" customHeight="1" spans="2:21">
      <c r="B1275" s="563" t="s">
        <v>4195</v>
      </c>
      <c r="G1275" s="563" t="s">
        <v>4193</v>
      </c>
      <c r="I1275" s="564" t="s">
        <v>6585</v>
      </c>
      <c r="U1275" s="556"/>
    </row>
    <row r="1276" ht="14.25" customHeight="1" spans="2:21">
      <c r="B1276" s="563" t="s">
        <v>4197</v>
      </c>
      <c r="G1276" s="563" t="s">
        <v>328</v>
      </c>
      <c r="I1276" s="564" t="s">
        <v>6585</v>
      </c>
      <c r="U1276" s="556"/>
    </row>
    <row r="1277" ht="14.25" customHeight="1" spans="2:21">
      <c r="B1277" s="563" t="s">
        <v>4198</v>
      </c>
      <c r="G1277" s="563" t="s">
        <v>7163</v>
      </c>
      <c r="I1277" s="564" t="s">
        <v>6585</v>
      </c>
      <c r="U1277" s="556"/>
    </row>
    <row r="1278" ht="14.25" customHeight="1" spans="2:21">
      <c r="B1278" s="563" t="s">
        <v>4201</v>
      </c>
      <c r="G1278" s="563" t="s">
        <v>336</v>
      </c>
      <c r="I1278" s="564" t="s">
        <v>6585</v>
      </c>
      <c r="U1278" s="556"/>
    </row>
    <row r="1279" ht="14.25" customHeight="1" spans="2:21">
      <c r="B1279" s="563" t="s">
        <v>4204</v>
      </c>
      <c r="G1279" s="563" t="s">
        <v>4207</v>
      </c>
      <c r="I1279" s="564" t="s">
        <v>6585</v>
      </c>
      <c r="U1279" s="556"/>
    </row>
    <row r="1280" ht="14.25" customHeight="1" spans="2:21">
      <c r="B1280" s="563" t="s">
        <v>4208</v>
      </c>
      <c r="G1280" s="563" t="s">
        <v>4211</v>
      </c>
      <c r="I1280" s="564" t="s">
        <v>6585</v>
      </c>
      <c r="U1280" s="556"/>
    </row>
    <row r="1281" ht="14.25" customHeight="1" spans="2:21">
      <c r="B1281" s="563" t="s">
        <v>4212</v>
      </c>
      <c r="G1281" s="576" t="s">
        <v>318</v>
      </c>
      <c r="I1281" s="564" t="s">
        <v>6585</v>
      </c>
      <c r="U1281" s="556"/>
    </row>
    <row r="1282" ht="14.25" customHeight="1" spans="2:21">
      <c r="B1282" s="556"/>
      <c r="G1282" s="556"/>
      <c r="I1282" s="564" t="s">
        <v>6585</v>
      </c>
      <c r="U1282" s="556"/>
    </row>
    <row r="1283" ht="14.25" customHeight="1" spans="2:21">
      <c r="B1283" s="580" t="s">
        <v>4216</v>
      </c>
      <c r="G1283" s="573"/>
      <c r="I1283" s="556"/>
      <c r="U1283" s="573"/>
    </row>
    <row r="1284" ht="14.25" customHeight="1" spans="2:21">
      <c r="B1284" s="577" t="s">
        <v>4217</v>
      </c>
      <c r="G1284" s="578"/>
      <c r="I1284" s="573"/>
      <c r="U1284" s="578"/>
    </row>
    <row r="1285" ht="14.25" customHeight="1" spans="2:21">
      <c r="B1285" s="563" t="s">
        <v>4218</v>
      </c>
      <c r="G1285" s="563" t="s">
        <v>401</v>
      </c>
      <c r="I1285" s="578"/>
      <c r="U1285" s="556"/>
    </row>
    <row r="1286" ht="14.25" customHeight="1" spans="2:21">
      <c r="B1286" s="563" t="s">
        <v>4220</v>
      </c>
      <c r="G1286" s="563" t="s">
        <v>401</v>
      </c>
      <c r="I1286" s="564" t="s">
        <v>1121</v>
      </c>
      <c r="U1286" s="556"/>
    </row>
    <row r="1287" ht="14.25" customHeight="1" spans="2:21">
      <c r="B1287" s="563" t="s">
        <v>4223</v>
      </c>
      <c r="G1287" s="563" t="s">
        <v>401</v>
      </c>
      <c r="I1287" s="564" t="s">
        <v>1121</v>
      </c>
      <c r="U1287" s="556"/>
    </row>
    <row r="1288" ht="14.25" customHeight="1" spans="2:21">
      <c r="B1288" s="563" t="s">
        <v>4226</v>
      </c>
      <c r="G1288" s="563" t="s">
        <v>4227</v>
      </c>
      <c r="I1288" s="564" t="s">
        <v>1121</v>
      </c>
      <c r="U1288" s="556"/>
    </row>
    <row r="1289" ht="14.25" customHeight="1" spans="2:21">
      <c r="B1289" s="563" t="s">
        <v>4228</v>
      </c>
      <c r="G1289" s="563" t="s">
        <v>299</v>
      </c>
      <c r="I1289" s="564" t="s">
        <v>1121</v>
      </c>
      <c r="U1289" s="556"/>
    </row>
    <row r="1290" ht="14.25" customHeight="1" spans="2:21">
      <c r="B1290" s="563" t="s">
        <v>4230</v>
      </c>
      <c r="G1290" s="563" t="s">
        <v>299</v>
      </c>
      <c r="I1290" s="564" t="s">
        <v>1121</v>
      </c>
      <c r="U1290" s="556"/>
    </row>
    <row r="1291" ht="14.25" customHeight="1" spans="2:21">
      <c r="B1291" s="563" t="s">
        <v>4232</v>
      </c>
      <c r="G1291" s="563" t="s">
        <v>299</v>
      </c>
      <c r="I1291" s="564" t="s">
        <v>1121</v>
      </c>
      <c r="U1291" s="556"/>
    </row>
    <row r="1292" ht="14.25" customHeight="1" spans="2:21">
      <c r="B1292" s="563" t="s">
        <v>4234</v>
      </c>
      <c r="G1292" s="563" t="s">
        <v>299</v>
      </c>
      <c r="I1292" s="564" t="s">
        <v>1121</v>
      </c>
      <c r="U1292" s="556"/>
    </row>
    <row r="1293" ht="14.25" customHeight="1" spans="2:21">
      <c r="B1293" s="563" t="s">
        <v>4236</v>
      </c>
      <c r="G1293" s="563" t="s">
        <v>299</v>
      </c>
      <c r="I1293" s="564" t="s">
        <v>1121</v>
      </c>
      <c r="U1293" s="556"/>
    </row>
    <row r="1294" ht="14.25" customHeight="1" spans="2:21">
      <c r="B1294" s="563" t="s">
        <v>4238</v>
      </c>
      <c r="G1294" s="563" t="s">
        <v>299</v>
      </c>
      <c r="I1294" s="564" t="s">
        <v>1121</v>
      </c>
      <c r="U1294" s="556"/>
    </row>
    <row r="1295" ht="14.25" customHeight="1" spans="2:21">
      <c r="B1295" s="563" t="s">
        <v>4240</v>
      </c>
      <c r="G1295" s="563" t="s">
        <v>299</v>
      </c>
      <c r="I1295" s="564" t="s">
        <v>1121</v>
      </c>
      <c r="U1295" s="556"/>
    </row>
    <row r="1296" ht="14.25" customHeight="1" spans="2:21">
      <c r="B1296" s="563" t="s">
        <v>4242</v>
      </c>
      <c r="G1296" s="563" t="s">
        <v>299</v>
      </c>
      <c r="I1296" s="564" t="s">
        <v>1121</v>
      </c>
      <c r="U1296" s="556"/>
    </row>
    <row r="1297" ht="14.25" customHeight="1" spans="2:21">
      <c r="B1297" s="563" t="s">
        <v>4244</v>
      </c>
      <c r="G1297" s="563" t="s">
        <v>299</v>
      </c>
      <c r="I1297" s="564" t="s">
        <v>1121</v>
      </c>
      <c r="U1297" s="556"/>
    </row>
    <row r="1298" ht="14.25" customHeight="1" spans="2:21">
      <c r="B1298" s="563" t="s">
        <v>4246</v>
      </c>
      <c r="G1298" s="563" t="s">
        <v>383</v>
      </c>
      <c r="I1298" s="564" t="s">
        <v>1121</v>
      </c>
      <c r="U1298" s="556"/>
    </row>
    <row r="1299" ht="14.25" customHeight="1" spans="2:21">
      <c r="B1299" s="563" t="s">
        <v>4251</v>
      </c>
      <c r="G1299" s="563" t="s">
        <v>395</v>
      </c>
      <c r="I1299" s="564" t="s">
        <v>1121</v>
      </c>
      <c r="U1299" s="563" t="s">
        <v>4254</v>
      </c>
    </row>
    <row r="1300" ht="14.25" customHeight="1" spans="2:21">
      <c r="B1300" s="563" t="s">
        <v>4255</v>
      </c>
      <c r="G1300" s="563" t="s">
        <v>395</v>
      </c>
      <c r="I1300" s="564" t="s">
        <v>1121</v>
      </c>
      <c r="U1300" s="563" t="s">
        <v>4254</v>
      </c>
    </row>
    <row r="1301" ht="14.25" customHeight="1" spans="2:21">
      <c r="B1301" s="563" t="s">
        <v>4258</v>
      </c>
      <c r="G1301" s="563" t="s">
        <v>395</v>
      </c>
      <c r="I1301" s="564" t="s">
        <v>1121</v>
      </c>
      <c r="U1301" s="563" t="s">
        <v>4254</v>
      </c>
    </row>
    <row r="1302" ht="14.25" customHeight="1" spans="2:21">
      <c r="B1302" s="563" t="s">
        <v>4261</v>
      </c>
      <c r="G1302" s="563" t="s">
        <v>395</v>
      </c>
      <c r="I1302" s="564" t="s">
        <v>1121</v>
      </c>
      <c r="U1302" s="563" t="s">
        <v>4254</v>
      </c>
    </row>
    <row r="1303" ht="14.25" customHeight="1" spans="2:21">
      <c r="B1303" s="563" t="s">
        <v>4264</v>
      </c>
      <c r="G1303" s="563" t="s">
        <v>395</v>
      </c>
      <c r="I1303" s="564" t="s">
        <v>1121</v>
      </c>
      <c r="U1303" s="563" t="s">
        <v>4254</v>
      </c>
    </row>
    <row r="1304" ht="14.25" customHeight="1" spans="2:21">
      <c r="B1304" s="563" t="s">
        <v>4267</v>
      </c>
      <c r="G1304" s="563" t="s">
        <v>395</v>
      </c>
      <c r="I1304" s="564" t="s">
        <v>1121</v>
      </c>
      <c r="U1304" s="563" t="s">
        <v>4254</v>
      </c>
    </row>
    <row r="1305" ht="14.25" customHeight="1" spans="2:21">
      <c r="B1305" s="563" t="s">
        <v>4270</v>
      </c>
      <c r="G1305" s="563" t="s">
        <v>395</v>
      </c>
      <c r="I1305" s="564" t="s">
        <v>1121</v>
      </c>
      <c r="U1305" s="563" t="s">
        <v>4254</v>
      </c>
    </row>
    <row r="1306" ht="14.25" customHeight="1" spans="2:21">
      <c r="B1306" s="563" t="s">
        <v>4273</v>
      </c>
      <c r="G1306" s="563" t="s">
        <v>395</v>
      </c>
      <c r="I1306" s="564" t="s">
        <v>1121</v>
      </c>
      <c r="U1306" s="556"/>
    </row>
    <row r="1307" ht="14.25" customHeight="1" spans="2:21">
      <c r="B1307" s="563" t="s">
        <v>4276</v>
      </c>
      <c r="G1307" s="563" t="s">
        <v>408</v>
      </c>
      <c r="I1307" s="564" t="s">
        <v>1121</v>
      </c>
      <c r="U1307" s="563" t="s">
        <v>4278</v>
      </c>
    </row>
    <row r="1308" ht="14.25" customHeight="1" spans="2:21">
      <c r="B1308" s="563" t="s">
        <v>4279</v>
      </c>
      <c r="G1308" s="563" t="s">
        <v>4281</v>
      </c>
      <c r="I1308" s="564" t="s">
        <v>1121</v>
      </c>
      <c r="U1308" s="582"/>
    </row>
    <row r="1309" ht="14.25" customHeight="1" spans="2:21">
      <c r="B1309" s="563" t="s">
        <v>4283</v>
      </c>
      <c r="G1309" s="563" t="s">
        <v>4285</v>
      </c>
      <c r="I1309" s="564" t="s">
        <v>1121</v>
      </c>
      <c r="U1309" s="582"/>
    </row>
    <row r="1310" ht="14.25" customHeight="1" spans="2:21">
      <c r="B1310" s="563" t="s">
        <v>4286</v>
      </c>
      <c r="G1310" s="563" t="s">
        <v>4288</v>
      </c>
      <c r="I1310" s="564" t="s">
        <v>1121</v>
      </c>
      <c r="U1310" s="582"/>
    </row>
    <row r="1311" ht="14.25" customHeight="1" spans="2:21">
      <c r="B1311" s="563" t="s">
        <v>4289</v>
      </c>
      <c r="G1311" s="576" t="s">
        <v>3632</v>
      </c>
      <c r="I1311" s="564" t="s">
        <v>1121</v>
      </c>
      <c r="U1311" s="563" t="s">
        <v>3639</v>
      </c>
    </row>
    <row r="1312" ht="14.25" customHeight="1" spans="2:21">
      <c r="B1312" s="563" t="s">
        <v>4291</v>
      </c>
      <c r="G1312" s="576" t="s">
        <v>3632</v>
      </c>
      <c r="I1312" s="564" t="s">
        <v>1121</v>
      </c>
      <c r="U1312" s="563" t="s">
        <v>3639</v>
      </c>
    </row>
    <row r="1313" ht="14.25" customHeight="1" spans="2:21">
      <c r="B1313" s="563" t="s">
        <v>4293</v>
      </c>
      <c r="G1313" s="576" t="s">
        <v>3632</v>
      </c>
      <c r="I1313" s="564" t="s">
        <v>1121</v>
      </c>
      <c r="U1313" s="563" t="s">
        <v>3639</v>
      </c>
    </row>
    <row r="1314" ht="14.25" customHeight="1" spans="2:21">
      <c r="B1314" s="563" t="s">
        <v>4295</v>
      </c>
      <c r="G1314" s="576" t="s">
        <v>3632</v>
      </c>
      <c r="I1314" s="564" t="s">
        <v>1121</v>
      </c>
      <c r="U1314" s="563" t="s">
        <v>3639</v>
      </c>
    </row>
    <row r="1315" ht="14.25" customHeight="1" spans="2:21">
      <c r="B1315" s="563" t="s">
        <v>4297</v>
      </c>
      <c r="G1315" s="576" t="s">
        <v>3632</v>
      </c>
      <c r="I1315" s="564" t="s">
        <v>1121</v>
      </c>
      <c r="U1315" s="563" t="s">
        <v>3639</v>
      </c>
    </row>
    <row r="1316" ht="14.25" customHeight="1" spans="2:21">
      <c r="B1316" s="563" t="s">
        <v>4299</v>
      </c>
      <c r="G1316" s="576" t="s">
        <v>3632</v>
      </c>
      <c r="I1316" s="564" t="s">
        <v>1121</v>
      </c>
      <c r="U1316" s="563" t="s">
        <v>3639</v>
      </c>
    </row>
    <row r="1317" ht="14.25" customHeight="1" spans="2:21">
      <c r="B1317" s="563" t="s">
        <v>4301</v>
      </c>
      <c r="G1317" s="563" t="s">
        <v>4303</v>
      </c>
      <c r="I1317" s="564" t="s">
        <v>1121</v>
      </c>
      <c r="U1317" s="563" t="s">
        <v>4305</v>
      </c>
    </row>
    <row r="1318" ht="14.25" customHeight="1" spans="2:21">
      <c r="B1318" s="563" t="s">
        <v>4306</v>
      </c>
      <c r="G1318" s="563" t="s">
        <v>4308</v>
      </c>
      <c r="I1318" s="564" t="s">
        <v>1121</v>
      </c>
      <c r="U1318" s="563" t="s">
        <v>4310</v>
      </c>
    </row>
    <row r="1319" ht="14.25" customHeight="1" spans="2:21">
      <c r="B1319" s="563" t="s">
        <v>4311</v>
      </c>
      <c r="G1319" s="563" t="s">
        <v>344</v>
      </c>
      <c r="I1319" s="564" t="s">
        <v>1121</v>
      </c>
      <c r="U1319" s="563" t="s">
        <v>4312</v>
      </c>
    </row>
    <row r="1320" ht="14.25" customHeight="1" spans="2:21">
      <c r="B1320" s="563" t="s">
        <v>4313</v>
      </c>
      <c r="G1320" s="563" t="s">
        <v>271</v>
      </c>
      <c r="I1320" s="564" t="s">
        <v>1121</v>
      </c>
      <c r="U1320" s="556"/>
    </row>
    <row r="1321" ht="14.25" customHeight="1" spans="2:21">
      <c r="B1321" s="563" t="s">
        <v>4319</v>
      </c>
      <c r="G1321" s="563" t="s">
        <v>271</v>
      </c>
      <c r="I1321" s="564" t="s">
        <v>1121</v>
      </c>
      <c r="U1321" s="556"/>
    </row>
    <row r="1322" ht="14.25" customHeight="1" spans="2:21">
      <c r="B1322" s="563" t="s">
        <v>4321</v>
      </c>
      <c r="G1322" s="563" t="s">
        <v>271</v>
      </c>
      <c r="I1322" s="564" t="s">
        <v>1121</v>
      </c>
      <c r="U1322" s="563" t="s">
        <v>4323</v>
      </c>
    </row>
    <row r="1323" ht="14.25" customHeight="1" spans="2:21">
      <c r="B1323" s="563" t="s">
        <v>4325</v>
      </c>
      <c r="G1323" s="563" t="s">
        <v>271</v>
      </c>
      <c r="I1323" s="564" t="s">
        <v>1121</v>
      </c>
      <c r="U1323" s="563" t="s">
        <v>4323</v>
      </c>
    </row>
    <row r="1324" ht="14.25" customHeight="1" spans="2:21">
      <c r="B1324" s="563" t="s">
        <v>4328</v>
      </c>
      <c r="G1324" s="563" t="s">
        <v>271</v>
      </c>
      <c r="I1324" s="564" t="s">
        <v>1121</v>
      </c>
      <c r="U1324" s="563" t="s">
        <v>4323</v>
      </c>
    </row>
    <row r="1325" ht="14.25" customHeight="1" spans="2:21">
      <c r="B1325" s="563" t="s">
        <v>4331</v>
      </c>
      <c r="G1325" s="563" t="s">
        <v>271</v>
      </c>
      <c r="I1325" s="564" t="s">
        <v>1121</v>
      </c>
      <c r="U1325" s="563" t="s">
        <v>4323</v>
      </c>
    </row>
    <row r="1326" ht="14.25" customHeight="1" spans="2:21">
      <c r="B1326" s="563" t="s">
        <v>4334</v>
      </c>
      <c r="G1326" s="563" t="s">
        <v>271</v>
      </c>
      <c r="I1326" s="564" t="s">
        <v>1121</v>
      </c>
      <c r="U1326" s="563" t="s">
        <v>4323</v>
      </c>
    </row>
    <row r="1327" ht="14.25" customHeight="1" spans="2:21">
      <c r="B1327" s="563" t="s">
        <v>4336</v>
      </c>
      <c r="G1327" s="563" t="s">
        <v>271</v>
      </c>
      <c r="I1327" s="564" t="s">
        <v>1121</v>
      </c>
      <c r="U1327" s="579" t="s">
        <v>4340</v>
      </c>
    </row>
    <row r="1328" ht="14.25" customHeight="1" spans="2:21">
      <c r="B1328" s="563" t="s">
        <v>4341</v>
      </c>
      <c r="G1328" s="563" t="s">
        <v>271</v>
      </c>
      <c r="I1328" s="564" t="s">
        <v>1121</v>
      </c>
      <c r="U1328" s="579" t="s">
        <v>4340</v>
      </c>
    </row>
    <row r="1329" ht="14.25" customHeight="1" spans="2:21">
      <c r="B1329" s="563" t="s">
        <v>4344</v>
      </c>
      <c r="G1329" s="563" t="s">
        <v>271</v>
      </c>
      <c r="I1329" s="564" t="s">
        <v>1121</v>
      </c>
      <c r="U1329" s="556"/>
    </row>
    <row r="1330" ht="14.25" customHeight="1" spans="2:21">
      <c r="B1330" s="563" t="s">
        <v>4348</v>
      </c>
      <c r="G1330" s="563" t="s">
        <v>271</v>
      </c>
      <c r="I1330" s="564" t="s">
        <v>1121</v>
      </c>
      <c r="U1330" s="556"/>
    </row>
    <row r="1331" ht="14.25" customHeight="1" spans="2:21">
      <c r="B1331" s="563" t="s">
        <v>4352</v>
      </c>
      <c r="G1331" s="563" t="s">
        <v>271</v>
      </c>
      <c r="I1331" s="564" t="s">
        <v>1121</v>
      </c>
      <c r="U1331" s="556"/>
    </row>
    <row r="1332" ht="14.25" customHeight="1" spans="2:21">
      <c r="B1332" s="563" t="s">
        <v>4356</v>
      </c>
      <c r="G1332" s="563" t="s">
        <v>271</v>
      </c>
      <c r="I1332" s="564" t="s">
        <v>1121</v>
      </c>
      <c r="U1332" s="556"/>
    </row>
    <row r="1333" ht="14.25" customHeight="1" spans="2:21">
      <c r="B1333" s="563" t="s">
        <v>4359</v>
      </c>
      <c r="G1333" s="563" t="s">
        <v>271</v>
      </c>
      <c r="I1333" s="564" t="s">
        <v>1121</v>
      </c>
      <c r="U1333" s="556"/>
    </row>
    <row r="1334" ht="14.25" customHeight="1" spans="2:21">
      <c r="B1334" s="563" t="s">
        <v>4368</v>
      </c>
      <c r="G1334" s="563" t="s">
        <v>4370</v>
      </c>
      <c r="I1334" s="564" t="s">
        <v>1121</v>
      </c>
      <c r="U1334" s="556"/>
    </row>
    <row r="1335" ht="14.25" customHeight="1" spans="2:21">
      <c r="B1335" s="563" t="s">
        <v>4374</v>
      </c>
      <c r="G1335" s="563" t="s">
        <v>4377</v>
      </c>
      <c r="I1335" s="564" t="s">
        <v>1121</v>
      </c>
      <c r="U1335" s="556"/>
    </row>
    <row r="1336" ht="14.25" customHeight="1" spans="2:21">
      <c r="B1336" s="563" t="s">
        <v>4378</v>
      </c>
      <c r="G1336" s="563" t="s">
        <v>298</v>
      </c>
      <c r="I1336" s="564" t="s">
        <v>1121</v>
      </c>
      <c r="U1336" s="563" t="s">
        <v>4380</v>
      </c>
    </row>
    <row r="1337" ht="14.25" customHeight="1" spans="2:21">
      <c r="B1337" s="563" t="s">
        <v>4382</v>
      </c>
      <c r="G1337" s="563" t="s">
        <v>298</v>
      </c>
      <c r="I1337" s="564" t="s">
        <v>1121</v>
      </c>
      <c r="U1337" s="563" t="s">
        <v>4380</v>
      </c>
    </row>
    <row r="1338" ht="14.25" customHeight="1" spans="2:21">
      <c r="B1338" s="563" t="s">
        <v>4384</v>
      </c>
      <c r="G1338" s="563" t="s">
        <v>298</v>
      </c>
      <c r="I1338" s="564" t="s">
        <v>1121</v>
      </c>
      <c r="U1338" s="563" t="s">
        <v>4380</v>
      </c>
    </row>
    <row r="1339" ht="14.25" customHeight="1" spans="2:21">
      <c r="B1339" s="563" t="s">
        <v>4386</v>
      </c>
      <c r="G1339" s="563" t="s">
        <v>298</v>
      </c>
      <c r="I1339" s="564" t="s">
        <v>1121</v>
      </c>
      <c r="U1339" s="563" t="s">
        <v>4380</v>
      </c>
    </row>
    <row r="1340" ht="14.25" customHeight="1" spans="2:21">
      <c r="B1340" s="556"/>
      <c r="G1340" s="556"/>
      <c r="I1340" s="564" t="s">
        <v>1121</v>
      </c>
      <c r="U1340" s="556"/>
    </row>
    <row r="1341" ht="14.25" customHeight="1" spans="2:21">
      <c r="B1341" s="577" t="s">
        <v>4388</v>
      </c>
      <c r="G1341" s="578"/>
      <c r="I1341" s="556"/>
      <c r="U1341" s="578"/>
    </row>
    <row r="1342" ht="14.25" customHeight="1" spans="2:21">
      <c r="B1342" s="563" t="s">
        <v>4389</v>
      </c>
      <c r="G1342" s="563" t="s">
        <v>401</v>
      </c>
      <c r="I1342" s="578"/>
      <c r="U1342" s="556"/>
    </row>
    <row r="1343" ht="14.25" customHeight="1" spans="2:21">
      <c r="B1343" s="563" t="s">
        <v>4391</v>
      </c>
      <c r="G1343" s="563" t="s">
        <v>401</v>
      </c>
      <c r="I1343" s="564" t="s">
        <v>1250</v>
      </c>
      <c r="U1343" s="556"/>
    </row>
    <row r="1344" ht="14.25" customHeight="1" spans="2:21">
      <c r="B1344" s="563" t="s">
        <v>4394</v>
      </c>
      <c r="G1344" s="563" t="s">
        <v>401</v>
      </c>
      <c r="I1344" s="564" t="s">
        <v>1250</v>
      </c>
      <c r="U1344" s="556"/>
    </row>
    <row r="1345" ht="14.25" customHeight="1" spans="2:21">
      <c r="B1345" s="563" t="s">
        <v>4397</v>
      </c>
      <c r="G1345" s="563" t="s">
        <v>401</v>
      </c>
      <c r="I1345" s="564" t="s">
        <v>1250</v>
      </c>
      <c r="U1345" s="556"/>
    </row>
    <row r="1346" ht="14.25" customHeight="1" spans="2:21">
      <c r="B1346" s="563" t="s">
        <v>4400</v>
      </c>
      <c r="G1346" s="563" t="s">
        <v>405</v>
      </c>
      <c r="I1346" s="564" t="s">
        <v>1250</v>
      </c>
      <c r="U1346" s="556"/>
    </row>
    <row r="1347" ht="14.25" customHeight="1" spans="2:21">
      <c r="B1347" s="563" t="s">
        <v>4404</v>
      </c>
      <c r="G1347" s="563" t="s">
        <v>405</v>
      </c>
      <c r="I1347" s="564" t="s">
        <v>1250</v>
      </c>
      <c r="U1347" s="556"/>
    </row>
    <row r="1348" ht="14.25" customHeight="1" spans="2:21">
      <c r="B1348" s="563" t="s">
        <v>4407</v>
      </c>
      <c r="G1348" s="563" t="s">
        <v>383</v>
      </c>
      <c r="I1348" s="564" t="s">
        <v>1250</v>
      </c>
      <c r="U1348" s="556"/>
    </row>
    <row r="1349" ht="14.25" customHeight="1" spans="2:21">
      <c r="B1349" s="563" t="s">
        <v>4411</v>
      </c>
      <c r="G1349" s="563" t="s">
        <v>389</v>
      </c>
      <c r="I1349" s="564" t="s">
        <v>1250</v>
      </c>
      <c r="U1349" s="556"/>
    </row>
    <row r="1350" ht="14.25" customHeight="1" spans="2:21">
      <c r="B1350" s="563" t="s">
        <v>4417</v>
      </c>
      <c r="G1350" s="563" t="s">
        <v>408</v>
      </c>
      <c r="I1350" s="564" t="s">
        <v>1250</v>
      </c>
      <c r="U1350" s="556"/>
    </row>
    <row r="1351" ht="14.25" customHeight="1" spans="2:21">
      <c r="B1351" s="563" t="s">
        <v>4418</v>
      </c>
      <c r="G1351" s="563" t="s">
        <v>397</v>
      </c>
      <c r="I1351" s="564" t="s">
        <v>1250</v>
      </c>
      <c r="U1351" s="563" t="s">
        <v>4422</v>
      </c>
    </row>
    <row r="1352" ht="14.25" customHeight="1" spans="2:21">
      <c r="B1352" s="563" t="s">
        <v>4423</v>
      </c>
      <c r="G1352" s="563" t="s">
        <v>3632</v>
      </c>
      <c r="I1352" s="564" t="s">
        <v>1250</v>
      </c>
      <c r="U1352" s="563" t="s">
        <v>3639</v>
      </c>
    </row>
    <row r="1353" ht="14.25" customHeight="1" spans="2:21">
      <c r="B1353" s="563" t="s">
        <v>4425</v>
      </c>
      <c r="G1353" s="563" t="s">
        <v>3632</v>
      </c>
      <c r="I1353" s="564" t="s">
        <v>1250</v>
      </c>
      <c r="U1353" s="563" t="s">
        <v>3639</v>
      </c>
    </row>
    <row r="1354" ht="14.25" customHeight="1" spans="2:21">
      <c r="B1354" s="563" t="s">
        <v>4427</v>
      </c>
      <c r="G1354" s="563" t="s">
        <v>7164</v>
      </c>
      <c r="I1354" s="564" t="s">
        <v>1250</v>
      </c>
      <c r="U1354" s="556"/>
    </row>
    <row r="1355" ht="14.25" customHeight="1" spans="2:21">
      <c r="B1355" s="563" t="s">
        <v>4430</v>
      </c>
      <c r="G1355" s="563" t="s">
        <v>7164</v>
      </c>
      <c r="I1355" s="564" t="s">
        <v>1250</v>
      </c>
      <c r="U1355" s="556"/>
    </row>
    <row r="1356" ht="14.25" customHeight="1" spans="2:21">
      <c r="B1356" s="563" t="s">
        <v>4431</v>
      </c>
      <c r="G1356" s="563" t="s">
        <v>7165</v>
      </c>
      <c r="I1356" s="564" t="s">
        <v>1250</v>
      </c>
      <c r="U1356" s="556"/>
    </row>
    <row r="1357" ht="14.25" customHeight="1" spans="2:21">
      <c r="B1357" s="563" t="s">
        <v>4435</v>
      </c>
      <c r="G1357" s="563" t="s">
        <v>7165</v>
      </c>
      <c r="I1357" s="564" t="s">
        <v>1250</v>
      </c>
      <c r="U1357" s="556"/>
    </row>
    <row r="1358" ht="14.25" customHeight="1" spans="2:21">
      <c r="B1358" s="563" t="s">
        <v>4437</v>
      </c>
      <c r="G1358" s="563" t="s">
        <v>7165</v>
      </c>
      <c r="I1358" s="564" t="s">
        <v>1250</v>
      </c>
      <c r="U1358" s="556"/>
    </row>
    <row r="1359" ht="14.25" customHeight="1" spans="2:21">
      <c r="B1359" s="563" t="s">
        <v>4438</v>
      </c>
      <c r="G1359" s="563" t="s">
        <v>7165</v>
      </c>
      <c r="I1359" s="564" t="s">
        <v>1250</v>
      </c>
      <c r="U1359" s="556"/>
    </row>
    <row r="1360" ht="14.25" customHeight="1" spans="2:21">
      <c r="B1360" s="563" t="s">
        <v>4440</v>
      </c>
      <c r="G1360" s="563" t="s">
        <v>7166</v>
      </c>
      <c r="I1360" s="564" t="s">
        <v>1250</v>
      </c>
      <c r="U1360" s="556"/>
    </row>
    <row r="1361" ht="14.25" customHeight="1" spans="2:21">
      <c r="B1361" s="563" t="s">
        <v>4443</v>
      </c>
      <c r="G1361" s="563" t="s">
        <v>7167</v>
      </c>
      <c r="I1361" s="564" t="s">
        <v>1250</v>
      </c>
      <c r="U1361" s="556"/>
    </row>
    <row r="1362" ht="14.25" customHeight="1" spans="2:21">
      <c r="B1362" s="563" t="s">
        <v>4448</v>
      </c>
      <c r="G1362" s="563" t="s">
        <v>7167</v>
      </c>
      <c r="I1362" s="564" t="s">
        <v>1250</v>
      </c>
      <c r="U1362" s="556"/>
    </row>
    <row r="1363" ht="14.25" customHeight="1" spans="2:21">
      <c r="B1363" s="563" t="s">
        <v>4449</v>
      </c>
      <c r="G1363" s="563" t="s">
        <v>7167</v>
      </c>
      <c r="I1363" s="564" t="s">
        <v>1250</v>
      </c>
      <c r="U1363" s="556"/>
    </row>
    <row r="1364" ht="14.25" customHeight="1" spans="2:21">
      <c r="B1364" s="563" t="s">
        <v>4450</v>
      </c>
      <c r="G1364" s="563" t="s">
        <v>7167</v>
      </c>
      <c r="I1364" s="564" t="s">
        <v>1250</v>
      </c>
      <c r="U1364" s="556"/>
    </row>
    <row r="1365" ht="14.25" customHeight="1" spans="2:21">
      <c r="B1365" s="563" t="s">
        <v>4451</v>
      </c>
      <c r="G1365" s="563" t="s">
        <v>7164</v>
      </c>
      <c r="I1365" s="564" t="s">
        <v>1250</v>
      </c>
      <c r="U1365" s="556"/>
    </row>
    <row r="1366" ht="14.25" customHeight="1" spans="2:21">
      <c r="B1366" s="563" t="s">
        <v>4454</v>
      </c>
      <c r="G1366" s="563" t="s">
        <v>7164</v>
      </c>
      <c r="I1366" s="564" t="s">
        <v>1250</v>
      </c>
      <c r="U1366" s="556"/>
    </row>
    <row r="1367" ht="14.25" customHeight="1" spans="2:21">
      <c r="B1367" s="563" t="s">
        <v>4455</v>
      </c>
      <c r="G1367" s="563" t="s">
        <v>7164</v>
      </c>
      <c r="I1367" s="564" t="s">
        <v>1250</v>
      </c>
      <c r="U1367" s="556"/>
    </row>
    <row r="1368" ht="14.25" customHeight="1" spans="2:21">
      <c r="B1368" s="563" t="s">
        <v>4456</v>
      </c>
      <c r="G1368" s="563" t="s">
        <v>7164</v>
      </c>
      <c r="I1368" s="564" t="s">
        <v>1250</v>
      </c>
      <c r="U1368" s="556"/>
    </row>
    <row r="1369" ht="14.25" customHeight="1" spans="2:21">
      <c r="B1369" s="563" t="s">
        <v>4457</v>
      </c>
      <c r="G1369" s="563" t="s">
        <v>7166</v>
      </c>
      <c r="I1369" s="564" t="s">
        <v>1250</v>
      </c>
      <c r="U1369" s="556"/>
    </row>
    <row r="1370" ht="14.25" customHeight="1" spans="2:21">
      <c r="B1370" s="563" t="s">
        <v>4458</v>
      </c>
      <c r="G1370" s="563" t="s">
        <v>7166</v>
      </c>
      <c r="I1370" s="564" t="s">
        <v>1250</v>
      </c>
      <c r="U1370" s="556"/>
    </row>
    <row r="1371" ht="14.25" customHeight="1" spans="2:21">
      <c r="B1371" s="563" t="s">
        <v>4459</v>
      </c>
      <c r="G1371" s="563" t="s">
        <v>7166</v>
      </c>
      <c r="I1371" s="564" t="s">
        <v>1250</v>
      </c>
      <c r="U1371" s="556"/>
    </row>
    <row r="1372" ht="14.25" customHeight="1" spans="2:21">
      <c r="B1372" s="563" t="s">
        <v>4460</v>
      </c>
      <c r="G1372" s="563" t="s">
        <v>7166</v>
      </c>
      <c r="I1372" s="564" t="s">
        <v>1250</v>
      </c>
      <c r="U1372" s="556"/>
    </row>
    <row r="1373" ht="14.25" customHeight="1" spans="2:21">
      <c r="B1373" s="563" t="s">
        <v>4461</v>
      </c>
      <c r="G1373" s="563" t="s">
        <v>4377</v>
      </c>
      <c r="I1373" s="564" t="s">
        <v>1250</v>
      </c>
      <c r="U1373" s="563" t="s">
        <v>4464</v>
      </c>
    </row>
    <row r="1374" ht="14.25" customHeight="1" spans="2:21">
      <c r="B1374" s="563" t="s">
        <v>5310</v>
      </c>
      <c r="G1374" s="563" t="s">
        <v>4377</v>
      </c>
      <c r="I1374" s="564" t="s">
        <v>1250</v>
      </c>
      <c r="U1374" s="563" t="s">
        <v>4467</v>
      </c>
    </row>
    <row r="1375" ht="14.25" customHeight="1" spans="2:21">
      <c r="B1375" s="563" t="s">
        <v>4465</v>
      </c>
      <c r="G1375" s="563" t="s">
        <v>4377</v>
      </c>
      <c r="I1375" s="564" t="s">
        <v>1250</v>
      </c>
      <c r="U1375" s="563" t="s">
        <v>4467</v>
      </c>
    </row>
    <row r="1376" ht="14.25" customHeight="1" spans="2:21">
      <c r="B1376" s="563" t="s">
        <v>4468</v>
      </c>
      <c r="G1376" s="563" t="s">
        <v>4377</v>
      </c>
      <c r="I1376" s="564" t="s">
        <v>1250</v>
      </c>
      <c r="U1376" s="582"/>
    </row>
    <row r="1377" ht="14.25" customHeight="1" spans="2:21">
      <c r="B1377" s="563" t="s">
        <v>4471</v>
      </c>
      <c r="G1377" s="563" t="s">
        <v>395</v>
      </c>
      <c r="I1377" s="564" t="s">
        <v>1250</v>
      </c>
      <c r="U1377" s="556"/>
    </row>
    <row r="1378" ht="14.25" customHeight="1" spans="2:21">
      <c r="B1378" s="563" t="s">
        <v>4473</v>
      </c>
      <c r="G1378" s="563" t="s">
        <v>395</v>
      </c>
      <c r="I1378" s="564" t="s">
        <v>1250</v>
      </c>
      <c r="U1378" s="556"/>
    </row>
    <row r="1379" ht="14.25" customHeight="1" spans="2:21">
      <c r="B1379" s="563" t="s">
        <v>4475</v>
      </c>
      <c r="G1379" s="563" t="s">
        <v>395</v>
      </c>
      <c r="I1379" s="564" t="s">
        <v>1250</v>
      </c>
      <c r="U1379" s="556"/>
    </row>
    <row r="1380" ht="14.25" customHeight="1" spans="2:21">
      <c r="B1380" s="563" t="s">
        <v>4477</v>
      </c>
      <c r="G1380" s="563" t="s">
        <v>395</v>
      </c>
      <c r="I1380" s="564" t="s">
        <v>1250</v>
      </c>
      <c r="U1380" s="556"/>
    </row>
    <row r="1381" ht="14.25" customHeight="1" spans="2:21">
      <c r="B1381" s="563" t="s">
        <v>4479</v>
      </c>
      <c r="G1381" s="563" t="s">
        <v>395</v>
      </c>
      <c r="I1381" s="564" t="s">
        <v>1250</v>
      </c>
      <c r="U1381" s="556"/>
    </row>
    <row r="1382" ht="14.25" customHeight="1" spans="2:21">
      <c r="B1382" s="563" t="s">
        <v>4481</v>
      </c>
      <c r="G1382" s="563" t="s">
        <v>395</v>
      </c>
      <c r="I1382" s="564" t="s">
        <v>1250</v>
      </c>
      <c r="U1382" s="556"/>
    </row>
    <row r="1383" ht="14.25" customHeight="1" spans="2:21">
      <c r="B1383" s="563" t="s">
        <v>4483</v>
      </c>
      <c r="G1383" s="563" t="s">
        <v>395</v>
      </c>
      <c r="I1383" s="564" t="s">
        <v>1250</v>
      </c>
      <c r="U1383" s="556"/>
    </row>
    <row r="1384" ht="14.25" customHeight="1" spans="2:21">
      <c r="B1384" s="563" t="s">
        <v>4485</v>
      </c>
      <c r="G1384" s="563" t="s">
        <v>395</v>
      </c>
      <c r="I1384" s="564" t="s">
        <v>1250</v>
      </c>
      <c r="U1384" s="556"/>
    </row>
    <row r="1385" ht="14.25" customHeight="1" spans="2:21">
      <c r="B1385" s="563" t="s">
        <v>4487</v>
      </c>
      <c r="G1385" s="563" t="s">
        <v>391</v>
      </c>
      <c r="I1385" s="564" t="s">
        <v>1250</v>
      </c>
      <c r="U1385" s="563" t="s">
        <v>4489</v>
      </c>
    </row>
    <row r="1386" ht="14.25" customHeight="1" spans="2:21">
      <c r="B1386" s="563" t="s">
        <v>4490</v>
      </c>
      <c r="G1386" s="563" t="s">
        <v>391</v>
      </c>
      <c r="I1386" s="564" t="s">
        <v>1250</v>
      </c>
      <c r="U1386" s="563" t="s">
        <v>4489</v>
      </c>
    </row>
    <row r="1387" ht="14.25" customHeight="1" spans="2:21">
      <c r="B1387" s="563" t="s">
        <v>4492</v>
      </c>
      <c r="G1387" s="563" t="s">
        <v>271</v>
      </c>
      <c r="I1387" s="564" t="s">
        <v>1250</v>
      </c>
      <c r="U1387" s="563" t="s">
        <v>4323</v>
      </c>
    </row>
    <row r="1388" ht="14.25" customHeight="1" spans="2:21">
      <c r="B1388" s="563" t="s">
        <v>4496</v>
      </c>
      <c r="G1388" s="563" t="s">
        <v>271</v>
      </c>
      <c r="I1388" s="564" t="s">
        <v>1250</v>
      </c>
      <c r="U1388" s="563" t="s">
        <v>4323</v>
      </c>
    </row>
    <row r="1389" ht="14.25" customHeight="1" spans="2:21">
      <c r="B1389" s="563" t="s">
        <v>4501</v>
      </c>
      <c r="G1389" s="563" t="s">
        <v>271</v>
      </c>
      <c r="I1389" s="564" t="s">
        <v>1250</v>
      </c>
      <c r="U1389" s="563" t="s">
        <v>4323</v>
      </c>
    </row>
    <row r="1390" ht="14.25" customHeight="1" spans="2:21">
      <c r="B1390" s="563" t="s">
        <v>4505</v>
      </c>
      <c r="G1390" s="563" t="s">
        <v>271</v>
      </c>
      <c r="I1390" s="564" t="s">
        <v>1250</v>
      </c>
      <c r="U1390" s="563" t="s">
        <v>4323</v>
      </c>
    </row>
    <row r="1391" ht="14.25" customHeight="1" spans="2:21">
      <c r="B1391" s="563" t="s">
        <v>4509</v>
      </c>
      <c r="G1391" s="563" t="s">
        <v>271</v>
      </c>
      <c r="I1391" s="564" t="s">
        <v>1250</v>
      </c>
      <c r="U1391" s="563" t="s">
        <v>4323</v>
      </c>
    </row>
    <row r="1392" ht="14.25" customHeight="1" spans="2:21">
      <c r="B1392" s="563" t="s">
        <v>4513</v>
      </c>
      <c r="G1392" s="563" t="s">
        <v>271</v>
      </c>
      <c r="I1392" s="564" t="s">
        <v>1250</v>
      </c>
      <c r="U1392" s="563" t="s">
        <v>4323</v>
      </c>
    </row>
    <row r="1393" ht="14.25" customHeight="1" spans="2:21">
      <c r="B1393" s="563" t="s">
        <v>4516</v>
      </c>
      <c r="G1393" s="563" t="s">
        <v>271</v>
      </c>
      <c r="I1393" s="564" t="s">
        <v>1250</v>
      </c>
      <c r="U1393" s="563" t="s">
        <v>4323</v>
      </c>
    </row>
    <row r="1394" ht="14.25" customHeight="1" spans="2:21">
      <c r="B1394" s="563" t="s">
        <v>4520</v>
      </c>
      <c r="G1394" s="563" t="s">
        <v>271</v>
      </c>
      <c r="I1394" s="564" t="s">
        <v>1250</v>
      </c>
      <c r="U1394" s="563" t="s">
        <v>4323</v>
      </c>
    </row>
    <row r="1395" ht="14.25" customHeight="1" spans="2:21">
      <c r="B1395" s="563" t="s">
        <v>4523</v>
      </c>
      <c r="G1395" s="563" t="s">
        <v>271</v>
      </c>
      <c r="I1395" s="564" t="s">
        <v>1250</v>
      </c>
      <c r="U1395" s="563" t="s">
        <v>4323</v>
      </c>
    </row>
    <row r="1396" ht="14.25" customHeight="1" spans="2:21">
      <c r="B1396" s="563" t="s">
        <v>4527</v>
      </c>
      <c r="G1396" s="563" t="s">
        <v>271</v>
      </c>
      <c r="I1396" s="564" t="s">
        <v>1250</v>
      </c>
      <c r="U1396" s="563" t="s">
        <v>4323</v>
      </c>
    </row>
    <row r="1397" ht="14.25" customHeight="1" spans="2:21">
      <c r="B1397" s="563" t="s">
        <v>4530</v>
      </c>
      <c r="G1397" s="563" t="s">
        <v>271</v>
      </c>
      <c r="I1397" s="564" t="s">
        <v>1250</v>
      </c>
      <c r="U1397" s="563" t="s">
        <v>4323</v>
      </c>
    </row>
    <row r="1398" ht="14.25" customHeight="1" spans="2:21">
      <c r="B1398" s="556"/>
      <c r="G1398" s="556"/>
      <c r="I1398" s="564" t="s">
        <v>1250</v>
      </c>
      <c r="U1398" s="556"/>
    </row>
    <row r="1399" ht="14.25" customHeight="1" spans="2:21">
      <c r="B1399" s="556"/>
      <c r="G1399" s="556"/>
      <c r="I1399" s="556"/>
      <c r="U1399" s="556"/>
    </row>
    <row r="1400" ht="14.25" customHeight="1" spans="2:21">
      <c r="B1400" s="577" t="s">
        <v>4538</v>
      </c>
      <c r="G1400" s="583">
        <v>16</v>
      </c>
      <c r="I1400" s="556"/>
      <c r="U1400" s="578"/>
    </row>
    <row r="1401" ht="14.25" customHeight="1" spans="2:21">
      <c r="B1401" s="563" t="s">
        <v>4539</v>
      </c>
      <c r="G1401" s="563" t="s">
        <v>7168</v>
      </c>
      <c r="I1401" s="578"/>
      <c r="U1401" s="556"/>
    </row>
    <row r="1402" ht="14.25" customHeight="1" spans="2:21">
      <c r="B1402" s="563" t="s">
        <v>4540</v>
      </c>
      <c r="G1402" s="563" t="s">
        <v>7168</v>
      </c>
      <c r="I1402" s="564" t="s">
        <v>1348</v>
      </c>
      <c r="U1402" s="556"/>
    </row>
    <row r="1403" ht="14.25" customHeight="1" spans="2:21">
      <c r="B1403" s="563" t="s">
        <v>4541</v>
      </c>
      <c r="G1403" s="563" t="s">
        <v>7168</v>
      </c>
      <c r="I1403" s="564" t="s">
        <v>1348</v>
      </c>
      <c r="U1403" s="556"/>
    </row>
    <row r="1404" ht="14.25" customHeight="1" spans="2:21">
      <c r="B1404" s="563" t="s">
        <v>4542</v>
      </c>
      <c r="G1404" s="563" t="s">
        <v>7168</v>
      </c>
      <c r="I1404" s="564" t="s">
        <v>1348</v>
      </c>
      <c r="U1404" s="556"/>
    </row>
    <row r="1405" ht="14.25" customHeight="1" spans="2:21">
      <c r="B1405" s="563" t="s">
        <v>4543</v>
      </c>
      <c r="G1405" s="563" t="s">
        <v>7168</v>
      </c>
      <c r="I1405" s="564" t="s">
        <v>1348</v>
      </c>
      <c r="U1405" s="556"/>
    </row>
    <row r="1406" ht="14.25" customHeight="1" spans="2:21">
      <c r="B1406" s="563" t="s">
        <v>4545</v>
      </c>
      <c r="G1406" s="563" t="s">
        <v>7168</v>
      </c>
      <c r="I1406" s="564" t="s">
        <v>1348</v>
      </c>
      <c r="U1406" s="556"/>
    </row>
    <row r="1407" ht="14.25" customHeight="1" spans="2:21">
      <c r="B1407" s="563" t="s">
        <v>4546</v>
      </c>
      <c r="G1407" s="563" t="s">
        <v>7168</v>
      </c>
      <c r="I1407" s="564" t="s">
        <v>1348</v>
      </c>
      <c r="U1407" s="556"/>
    </row>
    <row r="1408" ht="14.25" customHeight="1" spans="2:21">
      <c r="B1408" s="563" t="s">
        <v>4547</v>
      </c>
      <c r="G1408" s="563" t="s">
        <v>7168</v>
      </c>
      <c r="I1408" s="564" t="s">
        <v>1348</v>
      </c>
      <c r="U1408" s="556"/>
    </row>
    <row r="1409" ht="14.25" customHeight="1" spans="2:21">
      <c r="B1409" s="563" t="s">
        <v>4548</v>
      </c>
      <c r="G1409" s="563" t="s">
        <v>7168</v>
      </c>
      <c r="I1409" s="564" t="s">
        <v>1348</v>
      </c>
      <c r="U1409" s="556"/>
    </row>
    <row r="1410" ht="14.25" customHeight="1" spans="2:21">
      <c r="B1410" s="563" t="s">
        <v>4549</v>
      </c>
      <c r="G1410" s="563" t="s">
        <v>7168</v>
      </c>
      <c r="I1410" s="564" t="s">
        <v>1348</v>
      </c>
      <c r="U1410" s="556"/>
    </row>
    <row r="1411" ht="14.25" customHeight="1" spans="2:21">
      <c r="B1411" s="563" t="s">
        <v>4550</v>
      </c>
      <c r="G1411" s="563" t="s">
        <v>7169</v>
      </c>
      <c r="I1411" s="564" t="s">
        <v>1348</v>
      </c>
      <c r="U1411" s="556"/>
    </row>
    <row r="1412" ht="14.25" customHeight="1" spans="2:21">
      <c r="B1412" s="563" t="s">
        <v>4551</v>
      </c>
      <c r="G1412" s="563" t="s">
        <v>7169</v>
      </c>
      <c r="I1412" s="564" t="s">
        <v>1348</v>
      </c>
      <c r="U1412" s="556"/>
    </row>
    <row r="1413" ht="14.25" customHeight="1" spans="2:21">
      <c r="B1413" s="563" t="s">
        <v>4552</v>
      </c>
      <c r="G1413" s="563" t="s">
        <v>7169</v>
      </c>
      <c r="I1413" s="564" t="s">
        <v>1348</v>
      </c>
      <c r="U1413" s="556"/>
    </row>
    <row r="1414" ht="14.25" customHeight="1" spans="2:21">
      <c r="B1414" s="563" t="s">
        <v>4553</v>
      </c>
      <c r="G1414" s="563" t="s">
        <v>7169</v>
      </c>
      <c r="I1414" s="564" t="s">
        <v>1348</v>
      </c>
      <c r="U1414" s="556"/>
    </row>
    <row r="1415" ht="14.25" customHeight="1" spans="2:21">
      <c r="B1415" s="563" t="s">
        <v>4554</v>
      </c>
      <c r="G1415" s="563" t="s">
        <v>7169</v>
      </c>
      <c r="I1415" s="564" t="s">
        <v>1348</v>
      </c>
      <c r="U1415" s="556"/>
    </row>
    <row r="1416" ht="14.25" customHeight="1" spans="2:21">
      <c r="B1416" s="563" t="s">
        <v>4555</v>
      </c>
      <c r="G1416" s="563" t="s">
        <v>7169</v>
      </c>
      <c r="I1416" s="564" t="s">
        <v>1348</v>
      </c>
      <c r="U1416" s="556"/>
    </row>
    <row r="1417" ht="14.25" customHeight="1" spans="2:21">
      <c r="B1417" s="563" t="s">
        <v>4556</v>
      </c>
      <c r="G1417" s="563" t="s">
        <v>7170</v>
      </c>
      <c r="I1417" s="564" t="s">
        <v>1348</v>
      </c>
      <c r="U1417" s="556"/>
    </row>
    <row r="1418" ht="14.25" customHeight="1" spans="2:21">
      <c r="B1418" s="563" t="s">
        <v>4558</v>
      </c>
      <c r="G1418" s="563" t="s">
        <v>298</v>
      </c>
      <c r="I1418" s="564" t="s">
        <v>1348</v>
      </c>
      <c r="U1418" s="563" t="s">
        <v>4380</v>
      </c>
    </row>
    <row r="1419" ht="14.25" customHeight="1" spans="2:21">
      <c r="B1419" s="563" t="s">
        <v>4560</v>
      </c>
      <c r="G1419" s="563" t="s">
        <v>298</v>
      </c>
      <c r="I1419" s="564" t="s">
        <v>1348</v>
      </c>
      <c r="U1419" s="563" t="s">
        <v>4380</v>
      </c>
    </row>
    <row r="1420" ht="14.25" customHeight="1" spans="2:21">
      <c r="B1420" s="563" t="s">
        <v>4562</v>
      </c>
      <c r="G1420" s="563" t="s">
        <v>298</v>
      </c>
      <c r="I1420" s="564" t="s">
        <v>1348</v>
      </c>
      <c r="U1420" s="563" t="s">
        <v>4380</v>
      </c>
    </row>
    <row r="1421" ht="14.25" customHeight="1" spans="2:21">
      <c r="B1421" s="563" t="s">
        <v>4564</v>
      </c>
      <c r="G1421" s="563" t="s">
        <v>298</v>
      </c>
      <c r="I1421" s="564" t="s">
        <v>1348</v>
      </c>
      <c r="U1421" s="563" t="s">
        <v>4380</v>
      </c>
    </row>
    <row r="1422" ht="14.25" customHeight="1" spans="2:21">
      <c r="B1422" s="563" t="s">
        <v>4566</v>
      </c>
      <c r="G1422" s="563" t="s">
        <v>298</v>
      </c>
      <c r="I1422" s="564" t="s">
        <v>1348</v>
      </c>
      <c r="U1422" s="563" t="s">
        <v>4380</v>
      </c>
    </row>
    <row r="1423" ht="14.25" customHeight="1" spans="2:21">
      <c r="B1423" s="563" t="s">
        <v>4568</v>
      </c>
      <c r="G1423" s="563" t="s">
        <v>383</v>
      </c>
      <c r="I1423" s="564" t="s">
        <v>1348</v>
      </c>
      <c r="U1423" s="556"/>
    </row>
    <row r="1424" ht="14.25" customHeight="1" spans="2:21">
      <c r="B1424" s="563" t="s">
        <v>4571</v>
      </c>
      <c r="G1424" s="563" t="s">
        <v>401</v>
      </c>
      <c r="I1424" s="564" t="s">
        <v>1348</v>
      </c>
      <c r="U1424" s="556"/>
    </row>
    <row r="1425" ht="14.25" customHeight="1" spans="2:21">
      <c r="B1425" s="563" t="s">
        <v>4574</v>
      </c>
      <c r="G1425" s="563" t="s">
        <v>401</v>
      </c>
      <c r="I1425" s="564" t="s">
        <v>1348</v>
      </c>
      <c r="U1425" s="556"/>
    </row>
    <row r="1426" ht="14.25" customHeight="1" spans="2:21">
      <c r="B1426" s="563" t="s">
        <v>4577</v>
      </c>
      <c r="G1426" s="563" t="s">
        <v>401</v>
      </c>
      <c r="I1426" s="564" t="s">
        <v>1348</v>
      </c>
      <c r="U1426" s="556"/>
    </row>
    <row r="1427" ht="14.25" customHeight="1" spans="2:21">
      <c r="B1427" s="563" t="s">
        <v>4579</v>
      </c>
      <c r="G1427" s="563" t="s">
        <v>401</v>
      </c>
      <c r="I1427" s="564" t="s">
        <v>1348</v>
      </c>
      <c r="U1427" s="556"/>
    </row>
    <row r="1428" ht="14.25" customHeight="1" spans="2:21">
      <c r="B1428" s="563" t="s">
        <v>4582</v>
      </c>
      <c r="G1428" s="563" t="s">
        <v>405</v>
      </c>
      <c r="I1428" s="564" t="s">
        <v>1348</v>
      </c>
      <c r="U1428" s="556"/>
    </row>
    <row r="1429" ht="14.25" customHeight="1" spans="2:21">
      <c r="B1429" s="563" t="s">
        <v>4584</v>
      </c>
      <c r="G1429" s="563" t="s">
        <v>405</v>
      </c>
      <c r="I1429" s="564" t="s">
        <v>1348</v>
      </c>
      <c r="U1429" s="556"/>
    </row>
    <row r="1430" ht="14.25" customHeight="1" spans="2:21">
      <c r="B1430" s="563" t="s">
        <v>4587</v>
      </c>
      <c r="G1430" s="563" t="s">
        <v>405</v>
      </c>
      <c r="I1430" s="564" t="s">
        <v>1348</v>
      </c>
      <c r="U1430" s="556"/>
    </row>
    <row r="1431" ht="14.25" customHeight="1" spans="2:21">
      <c r="B1431" s="563" t="s">
        <v>4591</v>
      </c>
      <c r="G1431" s="563" t="s">
        <v>405</v>
      </c>
      <c r="I1431" s="564" t="s">
        <v>1348</v>
      </c>
      <c r="U1431" s="556"/>
    </row>
    <row r="1432" ht="14.25" customHeight="1" spans="2:21">
      <c r="B1432" s="563" t="s">
        <v>4594</v>
      </c>
      <c r="G1432" s="563" t="s">
        <v>395</v>
      </c>
      <c r="I1432" s="564" t="s">
        <v>1348</v>
      </c>
      <c r="U1432" s="556"/>
    </row>
    <row r="1433" ht="14.25" customHeight="1" spans="2:21">
      <c r="B1433" s="563" t="s">
        <v>4596</v>
      </c>
      <c r="G1433" s="563" t="s">
        <v>395</v>
      </c>
      <c r="I1433" s="564" t="s">
        <v>1348</v>
      </c>
      <c r="U1433" s="556"/>
    </row>
    <row r="1434" ht="14.25" customHeight="1" spans="2:21">
      <c r="B1434" s="563" t="s">
        <v>4598</v>
      </c>
      <c r="G1434" s="563" t="s">
        <v>395</v>
      </c>
      <c r="I1434" s="564" t="s">
        <v>1348</v>
      </c>
      <c r="U1434" s="556"/>
    </row>
    <row r="1435" ht="14.25" customHeight="1" spans="2:21">
      <c r="B1435" s="563" t="s">
        <v>4600</v>
      </c>
      <c r="G1435" s="563" t="s">
        <v>395</v>
      </c>
      <c r="I1435" s="564" t="s">
        <v>1348</v>
      </c>
      <c r="U1435" s="556"/>
    </row>
    <row r="1436" ht="14.25" customHeight="1" spans="2:21">
      <c r="B1436" s="563" t="s">
        <v>4602</v>
      </c>
      <c r="G1436" s="563" t="s">
        <v>395</v>
      </c>
      <c r="I1436" s="564" t="s">
        <v>1348</v>
      </c>
      <c r="U1436" s="556"/>
    </row>
    <row r="1437" ht="14.25" customHeight="1" spans="2:21">
      <c r="B1437" s="563" t="s">
        <v>4604</v>
      </c>
      <c r="G1437" s="563" t="s">
        <v>395</v>
      </c>
      <c r="I1437" s="564" t="s">
        <v>1348</v>
      </c>
      <c r="U1437" s="556"/>
    </row>
    <row r="1438" ht="14.25" customHeight="1" spans="2:21">
      <c r="B1438" s="563" t="s">
        <v>4606</v>
      </c>
      <c r="G1438" s="563" t="s">
        <v>408</v>
      </c>
      <c r="I1438" s="564" t="s">
        <v>1348</v>
      </c>
      <c r="U1438" s="563" t="s">
        <v>4278</v>
      </c>
    </row>
    <row r="1439" ht="14.25" customHeight="1" spans="2:21">
      <c r="B1439" s="563" t="s">
        <v>4607</v>
      </c>
      <c r="G1439" s="563" t="s">
        <v>4609</v>
      </c>
      <c r="I1439" s="564" t="s">
        <v>1348</v>
      </c>
      <c r="U1439" s="556"/>
    </row>
    <row r="1440" ht="14.25" customHeight="1" spans="2:21">
      <c r="B1440" s="563" t="s">
        <v>4613</v>
      </c>
      <c r="G1440" s="563" t="s">
        <v>406</v>
      </c>
      <c r="I1440" s="564" t="s">
        <v>1348</v>
      </c>
      <c r="U1440" s="563" t="s">
        <v>4618</v>
      </c>
    </row>
    <row r="1441" ht="14.25" customHeight="1" spans="2:21">
      <c r="B1441" s="563" t="s">
        <v>4620</v>
      </c>
      <c r="G1441" s="563" t="s">
        <v>4377</v>
      </c>
      <c r="I1441" s="564" t="s">
        <v>1348</v>
      </c>
      <c r="U1441" s="563" t="s">
        <v>4623</v>
      </c>
    </row>
    <row r="1442" ht="14.25" customHeight="1" spans="2:21">
      <c r="B1442" s="563" t="s">
        <v>4624</v>
      </c>
      <c r="G1442" s="563" t="s">
        <v>4377</v>
      </c>
      <c r="I1442" s="564" t="s">
        <v>1348</v>
      </c>
      <c r="U1442" s="556"/>
    </row>
    <row r="1443" ht="14.25" customHeight="1" spans="2:21">
      <c r="B1443" s="563" t="s">
        <v>4630</v>
      </c>
      <c r="G1443" s="563" t="s">
        <v>271</v>
      </c>
      <c r="I1443" s="564" t="s">
        <v>1348</v>
      </c>
      <c r="U1443" s="563" t="s">
        <v>4323</v>
      </c>
    </row>
    <row r="1444" ht="14.25" customHeight="1" spans="2:21">
      <c r="B1444" s="563" t="s">
        <v>4633</v>
      </c>
      <c r="G1444" s="563" t="s">
        <v>271</v>
      </c>
      <c r="I1444" s="564" t="s">
        <v>1348</v>
      </c>
      <c r="U1444" s="563" t="s">
        <v>4323</v>
      </c>
    </row>
    <row r="1445" ht="14.25" customHeight="1" spans="2:21">
      <c r="B1445" s="563" t="s">
        <v>4635</v>
      </c>
      <c r="G1445" s="563" t="s">
        <v>271</v>
      </c>
      <c r="I1445" s="564" t="s">
        <v>1348</v>
      </c>
      <c r="U1445" s="563" t="s">
        <v>4323</v>
      </c>
    </row>
    <row r="1446" ht="14.25" customHeight="1" spans="2:21">
      <c r="B1446" s="563" t="s">
        <v>4637</v>
      </c>
      <c r="G1446" s="563" t="s">
        <v>271</v>
      </c>
      <c r="I1446" s="564" t="s">
        <v>1348</v>
      </c>
      <c r="U1446" s="563" t="s">
        <v>4323</v>
      </c>
    </row>
    <row r="1447" ht="14.25" customHeight="1" spans="2:21">
      <c r="B1447" s="563" t="s">
        <v>4640</v>
      </c>
      <c r="G1447" s="563" t="s">
        <v>271</v>
      </c>
      <c r="I1447" s="564" t="s">
        <v>1348</v>
      </c>
      <c r="U1447" s="563" t="s">
        <v>4323</v>
      </c>
    </row>
    <row r="1448" ht="14.25" customHeight="1" spans="2:21">
      <c r="B1448" s="563" t="s">
        <v>4643</v>
      </c>
      <c r="G1448" s="563" t="s">
        <v>271</v>
      </c>
      <c r="I1448" s="564" t="s">
        <v>1348</v>
      </c>
      <c r="U1448" s="584" t="s">
        <v>4340</v>
      </c>
    </row>
    <row r="1449" ht="14.25" customHeight="1" spans="2:21">
      <c r="B1449" s="563" t="s">
        <v>4645</v>
      </c>
      <c r="G1449" s="563" t="s">
        <v>271</v>
      </c>
      <c r="I1449" s="564" t="s">
        <v>1348</v>
      </c>
      <c r="U1449" s="584" t="s">
        <v>4340</v>
      </c>
    </row>
    <row r="1450" ht="14.25" customHeight="1" spans="2:21">
      <c r="B1450" s="563" t="s">
        <v>4649</v>
      </c>
      <c r="G1450" s="563" t="s">
        <v>274</v>
      </c>
      <c r="I1450" s="564" t="s">
        <v>1348</v>
      </c>
      <c r="U1450" s="584" t="s">
        <v>4652</v>
      </c>
    </row>
    <row r="1451" ht="14.25" customHeight="1" spans="2:21">
      <c r="B1451" s="563" t="s">
        <v>4654</v>
      </c>
      <c r="G1451" s="563" t="s">
        <v>271</v>
      </c>
      <c r="I1451" s="564" t="s">
        <v>1348</v>
      </c>
      <c r="U1451" s="585"/>
    </row>
    <row r="1452" ht="14.25" customHeight="1" spans="2:21">
      <c r="B1452" s="563" t="s">
        <v>4657</v>
      </c>
      <c r="G1452" s="563" t="s">
        <v>271</v>
      </c>
      <c r="I1452" s="564" t="s">
        <v>1348</v>
      </c>
      <c r="U1452" s="556"/>
    </row>
    <row r="1453" ht="14.25" customHeight="1" spans="2:21">
      <c r="B1453" s="563" t="s">
        <v>4660</v>
      </c>
      <c r="G1453" s="563" t="s">
        <v>271</v>
      </c>
      <c r="I1453" s="564" t="s">
        <v>1348</v>
      </c>
      <c r="U1453" s="556"/>
    </row>
    <row r="1454" ht="14.25" customHeight="1" spans="2:21">
      <c r="B1454" s="563" t="s">
        <v>4663</v>
      </c>
      <c r="G1454" s="563" t="s">
        <v>271</v>
      </c>
      <c r="I1454" s="564" t="s">
        <v>1348</v>
      </c>
      <c r="U1454" s="556"/>
    </row>
    <row r="1455" ht="14.25" customHeight="1" spans="2:21">
      <c r="B1455" s="563" t="s">
        <v>4666</v>
      </c>
      <c r="G1455" s="563" t="s">
        <v>271</v>
      </c>
      <c r="I1455" s="564" t="s">
        <v>1348</v>
      </c>
      <c r="U1455" s="556"/>
    </row>
    <row r="1456" ht="14.25" customHeight="1" spans="2:21">
      <c r="B1456" s="563" t="s">
        <v>4669</v>
      </c>
      <c r="G1456" s="576" t="s">
        <v>7171</v>
      </c>
      <c r="I1456" s="564" t="s">
        <v>1348</v>
      </c>
      <c r="U1456" s="563" t="s">
        <v>4672</v>
      </c>
    </row>
    <row r="1457" ht="14.25" customHeight="1" spans="2:21">
      <c r="B1457" s="563" t="s">
        <v>4677</v>
      </c>
      <c r="G1457" s="563" t="s">
        <v>4679</v>
      </c>
      <c r="I1457" s="564" t="s">
        <v>1348</v>
      </c>
      <c r="U1457" s="563" t="s">
        <v>3639</v>
      </c>
    </row>
    <row r="1458" ht="14.25" customHeight="1" spans="2:21">
      <c r="B1458" s="563" t="s">
        <v>4681</v>
      </c>
      <c r="G1458" s="563" t="s">
        <v>4679</v>
      </c>
      <c r="I1458" s="564" t="s">
        <v>1348</v>
      </c>
      <c r="U1458" s="563" t="s">
        <v>3639</v>
      </c>
    </row>
    <row r="1459" ht="14.25" customHeight="1" spans="2:21">
      <c r="B1459" s="563" t="s">
        <v>4683</v>
      </c>
      <c r="G1459" s="563" t="s">
        <v>4679</v>
      </c>
      <c r="I1459" s="564" t="s">
        <v>1348</v>
      </c>
      <c r="U1459" s="563" t="s">
        <v>3639</v>
      </c>
    </row>
    <row r="1460" ht="14.25" customHeight="1" spans="2:21">
      <c r="B1460" s="563" t="s">
        <v>4685</v>
      </c>
      <c r="G1460" s="563" t="s">
        <v>4679</v>
      </c>
      <c r="I1460" s="564" t="s">
        <v>1348</v>
      </c>
      <c r="U1460" s="563" t="s">
        <v>3639</v>
      </c>
    </row>
    <row r="1461" ht="14.25" customHeight="1" spans="2:21">
      <c r="B1461" s="563" t="s">
        <v>4687</v>
      </c>
      <c r="G1461" s="563" t="s">
        <v>4690</v>
      </c>
      <c r="I1461" s="564" t="s">
        <v>1348</v>
      </c>
      <c r="U1461" s="556"/>
    </row>
    <row r="1462" ht="14.25" customHeight="1" spans="2:21">
      <c r="B1462" s="556"/>
      <c r="G1462" s="556"/>
      <c r="I1462" s="564" t="s">
        <v>1348</v>
      </c>
      <c r="U1462" s="556"/>
    </row>
    <row r="1463" ht="14.25" customHeight="1" spans="2:21">
      <c r="B1463" s="577" t="s">
        <v>4696</v>
      </c>
      <c r="G1463" s="578"/>
      <c r="I1463" s="556"/>
      <c r="U1463" s="578"/>
    </row>
    <row r="1464" ht="14.25" customHeight="1" spans="2:21">
      <c r="B1464" s="563" t="s">
        <v>4697</v>
      </c>
      <c r="G1464" s="563" t="s">
        <v>4699</v>
      </c>
      <c r="I1464" s="578"/>
      <c r="U1464" s="563" t="s">
        <v>4702</v>
      </c>
    </row>
    <row r="1465" ht="14.25" customHeight="1" spans="2:21">
      <c r="B1465" s="563" t="s">
        <v>4703</v>
      </c>
      <c r="G1465" s="563" t="s">
        <v>4705</v>
      </c>
      <c r="I1465" s="564" t="s">
        <v>25</v>
      </c>
      <c r="U1465" s="563" t="s">
        <v>4708</v>
      </c>
    </row>
    <row r="1466" ht="14.25" customHeight="1" spans="2:21">
      <c r="B1466" s="563" t="s">
        <v>4709</v>
      </c>
      <c r="G1466" s="563" t="s">
        <v>4711</v>
      </c>
      <c r="I1466" s="564" t="s">
        <v>25</v>
      </c>
      <c r="U1466" s="556"/>
    </row>
    <row r="1467" ht="14.25" customHeight="1" spans="2:21">
      <c r="B1467" s="563" t="s">
        <v>4715</v>
      </c>
      <c r="G1467" s="563" t="s">
        <v>401</v>
      </c>
      <c r="I1467" s="564" t="s">
        <v>25</v>
      </c>
      <c r="U1467" s="556"/>
    </row>
    <row r="1468" ht="14.25" customHeight="1" spans="2:21">
      <c r="B1468" s="563" t="s">
        <v>4719</v>
      </c>
      <c r="G1468" s="563" t="s">
        <v>401</v>
      </c>
      <c r="I1468" s="564" t="s">
        <v>25</v>
      </c>
      <c r="U1468" s="556"/>
    </row>
    <row r="1469" ht="14.25" customHeight="1" spans="2:21">
      <c r="B1469" s="563" t="s">
        <v>4724</v>
      </c>
      <c r="G1469" s="563" t="s">
        <v>401</v>
      </c>
      <c r="I1469" s="564" t="s">
        <v>25</v>
      </c>
      <c r="U1469" s="556"/>
    </row>
    <row r="1470" ht="14.25" customHeight="1" spans="2:21">
      <c r="B1470" s="563" t="s">
        <v>4730</v>
      </c>
      <c r="G1470" s="563" t="s">
        <v>385</v>
      </c>
      <c r="I1470" s="564" t="s">
        <v>25</v>
      </c>
      <c r="U1470" s="563" t="s">
        <v>4733</v>
      </c>
    </row>
    <row r="1471" ht="14.25" customHeight="1" spans="2:21">
      <c r="B1471" s="563" t="s">
        <v>4734</v>
      </c>
      <c r="G1471" s="563" t="s">
        <v>4609</v>
      </c>
      <c r="I1471" s="564" t="s">
        <v>25</v>
      </c>
      <c r="U1471" s="563" t="s">
        <v>4737</v>
      </c>
    </row>
    <row r="1472" ht="14.25" customHeight="1" spans="2:21">
      <c r="B1472" s="563" t="s">
        <v>4738</v>
      </c>
      <c r="G1472" s="563" t="s">
        <v>411</v>
      </c>
      <c r="I1472" s="564" t="s">
        <v>25</v>
      </c>
      <c r="U1472" s="556"/>
    </row>
    <row r="1473" ht="14.25" customHeight="1" spans="2:21">
      <c r="B1473" s="563" t="s">
        <v>4743</v>
      </c>
      <c r="G1473" s="563" t="s">
        <v>408</v>
      </c>
      <c r="I1473" s="564" t="s">
        <v>25</v>
      </c>
      <c r="U1473" s="556"/>
    </row>
    <row r="1474" ht="14.25" customHeight="1" spans="2:21">
      <c r="B1474" s="563" t="s">
        <v>4748</v>
      </c>
      <c r="G1474" s="563" t="s">
        <v>305</v>
      </c>
      <c r="I1474" s="564" t="s">
        <v>1471</v>
      </c>
      <c r="U1474" s="563" t="s">
        <v>4752</v>
      </c>
    </row>
    <row r="1475" ht="14.25" customHeight="1" spans="2:21">
      <c r="B1475" s="563" t="s">
        <v>4753</v>
      </c>
      <c r="G1475" s="563" t="s">
        <v>395</v>
      </c>
      <c r="I1475" s="564" t="s">
        <v>25</v>
      </c>
      <c r="U1475" s="556"/>
    </row>
    <row r="1476" ht="14.25" customHeight="1" spans="2:21">
      <c r="B1476" s="563" t="s">
        <v>4755</v>
      </c>
      <c r="G1476" s="563" t="s">
        <v>395</v>
      </c>
      <c r="I1476" s="564" t="s">
        <v>25</v>
      </c>
      <c r="U1476" s="556"/>
    </row>
    <row r="1477" ht="14.25" customHeight="1" spans="2:21">
      <c r="B1477" s="563" t="s">
        <v>4760</v>
      </c>
      <c r="G1477" s="563" t="s">
        <v>395</v>
      </c>
      <c r="I1477" s="564" t="s">
        <v>25</v>
      </c>
      <c r="U1477" s="556"/>
    </row>
    <row r="1478" ht="14.25" customHeight="1" spans="2:21">
      <c r="B1478" s="563" t="s">
        <v>4763</v>
      </c>
      <c r="G1478" s="563" t="s">
        <v>395</v>
      </c>
      <c r="I1478" s="564" t="s">
        <v>25</v>
      </c>
      <c r="U1478" s="556"/>
    </row>
    <row r="1479" ht="14.25" customHeight="1" spans="2:21">
      <c r="B1479" s="563" t="s">
        <v>4766</v>
      </c>
      <c r="G1479" s="563" t="s">
        <v>340</v>
      </c>
      <c r="I1479" s="564" t="s">
        <v>25</v>
      </c>
      <c r="U1479" s="563" t="s">
        <v>4767</v>
      </c>
    </row>
    <row r="1480" ht="14.25" customHeight="1" spans="2:21">
      <c r="B1480" s="563" t="s">
        <v>4769</v>
      </c>
      <c r="G1480" s="563" t="s">
        <v>271</v>
      </c>
      <c r="I1480" s="564" t="s">
        <v>25</v>
      </c>
      <c r="U1480" s="563" t="s">
        <v>4323</v>
      </c>
    </row>
    <row r="1481" ht="14.25" customHeight="1" spans="2:21">
      <c r="B1481" s="563" t="s">
        <v>4773</v>
      </c>
      <c r="G1481" s="563" t="s">
        <v>271</v>
      </c>
      <c r="I1481" s="564" t="s">
        <v>25</v>
      </c>
      <c r="U1481" s="563" t="s">
        <v>4323</v>
      </c>
    </row>
    <row r="1482" ht="14.25" customHeight="1" spans="2:21">
      <c r="B1482" s="563" t="s">
        <v>4776</v>
      </c>
      <c r="G1482" s="563" t="s">
        <v>271</v>
      </c>
      <c r="I1482" s="564" t="s">
        <v>25</v>
      </c>
      <c r="U1482" s="556"/>
    </row>
    <row r="1483" ht="14.25" customHeight="1" spans="2:21">
      <c r="B1483" s="563" t="s">
        <v>4778</v>
      </c>
      <c r="G1483" s="563" t="s">
        <v>271</v>
      </c>
      <c r="I1483" s="564" t="s">
        <v>25</v>
      </c>
      <c r="U1483" s="556"/>
    </row>
    <row r="1484" ht="14.25" customHeight="1" spans="2:21">
      <c r="B1484" s="563" t="s">
        <v>4781</v>
      </c>
      <c r="G1484" s="563" t="s">
        <v>271</v>
      </c>
      <c r="I1484" s="564" t="s">
        <v>25</v>
      </c>
      <c r="U1484" s="556"/>
    </row>
    <row r="1485" ht="14.25" customHeight="1" spans="2:21">
      <c r="B1485" s="563" t="s">
        <v>4783</v>
      </c>
      <c r="G1485" s="563" t="s">
        <v>271</v>
      </c>
      <c r="I1485" s="564" t="s">
        <v>25</v>
      </c>
      <c r="U1485" s="556"/>
    </row>
    <row r="1486" ht="14.25" customHeight="1" spans="2:21">
      <c r="B1486" s="563" t="s">
        <v>4786</v>
      </c>
      <c r="G1486" s="563" t="s">
        <v>271</v>
      </c>
      <c r="I1486" s="564" t="s">
        <v>25</v>
      </c>
      <c r="U1486" s="556"/>
    </row>
    <row r="1487" ht="14.25" customHeight="1" spans="2:21">
      <c r="B1487" s="563" t="s">
        <v>4789</v>
      </c>
      <c r="G1487" s="563" t="s">
        <v>271</v>
      </c>
      <c r="I1487" s="564" t="s">
        <v>25</v>
      </c>
      <c r="U1487" s="556"/>
    </row>
    <row r="1488" ht="14.25" customHeight="1" spans="2:21">
      <c r="B1488" s="563" t="s">
        <v>4791</v>
      </c>
      <c r="G1488" s="563" t="s">
        <v>271</v>
      </c>
      <c r="I1488" s="564" t="s">
        <v>25</v>
      </c>
      <c r="U1488" s="556"/>
    </row>
    <row r="1489" ht="14.25" customHeight="1" spans="2:21">
      <c r="B1489" s="563" t="s">
        <v>4795</v>
      </c>
      <c r="G1489" s="563" t="s">
        <v>271</v>
      </c>
      <c r="I1489" s="564" t="s">
        <v>25</v>
      </c>
      <c r="U1489" s="556"/>
    </row>
    <row r="1490" ht="14.25" customHeight="1" spans="2:21">
      <c r="B1490" s="563" t="s">
        <v>4799</v>
      </c>
      <c r="G1490" s="563" t="s">
        <v>271</v>
      </c>
      <c r="I1490" s="564" t="s">
        <v>25</v>
      </c>
      <c r="U1490" s="556"/>
    </row>
    <row r="1491" ht="14.25" customHeight="1" spans="2:21">
      <c r="B1491" s="563" t="s">
        <v>4808</v>
      </c>
      <c r="G1491" s="563" t="s">
        <v>383</v>
      </c>
      <c r="I1491" s="564" t="s">
        <v>25</v>
      </c>
      <c r="U1491" s="556"/>
    </row>
    <row r="1492" ht="14.25" customHeight="1" spans="2:21">
      <c r="B1492" s="563" t="s">
        <v>4813</v>
      </c>
      <c r="G1492" s="563" t="s">
        <v>4679</v>
      </c>
      <c r="I1492" s="564" t="s">
        <v>25</v>
      </c>
      <c r="U1492" s="563" t="s">
        <v>3639</v>
      </c>
    </row>
    <row r="1493" ht="14.25" customHeight="1" spans="2:21">
      <c r="B1493" s="563" t="s">
        <v>4815</v>
      </c>
      <c r="G1493" s="563" t="s">
        <v>4679</v>
      </c>
      <c r="I1493" s="564" t="s">
        <v>25</v>
      </c>
      <c r="U1493" s="563" t="s">
        <v>3639</v>
      </c>
    </row>
    <row r="1494" ht="14.25" customHeight="1" spans="2:21">
      <c r="B1494" s="563" t="s">
        <v>4817</v>
      </c>
      <c r="G1494" s="563" t="s">
        <v>4679</v>
      </c>
      <c r="I1494" s="564" t="s">
        <v>25</v>
      </c>
      <c r="U1494" s="563" t="s">
        <v>3639</v>
      </c>
    </row>
    <row r="1495" ht="14.25" customHeight="1" spans="2:21">
      <c r="B1495" s="563" t="s">
        <v>4819</v>
      </c>
      <c r="G1495" s="563" t="s">
        <v>4679</v>
      </c>
      <c r="I1495" s="564" t="s">
        <v>25</v>
      </c>
      <c r="U1495" s="563" t="s">
        <v>3639</v>
      </c>
    </row>
    <row r="1496" ht="14.25" customHeight="1" spans="2:21">
      <c r="B1496" s="563" t="s">
        <v>4821</v>
      </c>
      <c r="G1496" s="576" t="s">
        <v>3632</v>
      </c>
      <c r="I1496" s="564" t="s">
        <v>25</v>
      </c>
      <c r="U1496" s="563" t="s">
        <v>3639</v>
      </c>
    </row>
    <row r="1497" ht="14.25" customHeight="1" spans="2:21">
      <c r="B1497" s="563" t="s">
        <v>4823</v>
      </c>
      <c r="G1497" s="576" t="s">
        <v>3632</v>
      </c>
      <c r="I1497" s="564" t="s">
        <v>25</v>
      </c>
      <c r="U1497" s="563" t="s">
        <v>3639</v>
      </c>
    </row>
    <row r="1498" ht="14.25" customHeight="1" spans="2:21">
      <c r="B1498" s="563" t="s">
        <v>4825</v>
      </c>
      <c r="G1498" s="576" t="s">
        <v>3632</v>
      </c>
      <c r="I1498" s="564" t="s">
        <v>25</v>
      </c>
      <c r="U1498" s="563" t="s">
        <v>3639</v>
      </c>
    </row>
    <row r="1499" ht="14.25" customHeight="1" spans="2:21">
      <c r="B1499" s="563" t="s">
        <v>4827</v>
      </c>
      <c r="G1499" s="576" t="s">
        <v>3632</v>
      </c>
      <c r="I1499" s="564" t="s">
        <v>25</v>
      </c>
      <c r="U1499" s="563" t="s">
        <v>3639</v>
      </c>
    </row>
    <row r="1500" ht="14.25" customHeight="1" spans="2:21">
      <c r="B1500" s="563" t="s">
        <v>4829</v>
      </c>
      <c r="G1500" s="563" t="s">
        <v>298</v>
      </c>
      <c r="I1500" s="564" t="s">
        <v>25</v>
      </c>
      <c r="U1500" s="563" t="s">
        <v>4380</v>
      </c>
    </row>
    <row r="1501" ht="14.25" customHeight="1" spans="2:21">
      <c r="B1501" s="563" t="s">
        <v>4831</v>
      </c>
      <c r="G1501" s="563" t="s">
        <v>298</v>
      </c>
      <c r="I1501" s="564" t="s">
        <v>25</v>
      </c>
      <c r="U1501" s="563" t="s">
        <v>4380</v>
      </c>
    </row>
    <row r="1502" ht="14.25" customHeight="1" spans="2:21">
      <c r="B1502" s="563" t="s">
        <v>4833</v>
      </c>
      <c r="G1502" s="563" t="s">
        <v>298</v>
      </c>
      <c r="I1502" s="564" t="s">
        <v>25</v>
      </c>
      <c r="U1502" s="563" t="s">
        <v>4380</v>
      </c>
    </row>
    <row r="1503" ht="14.25" customHeight="1" spans="2:21">
      <c r="B1503" s="563" t="s">
        <v>4835</v>
      </c>
      <c r="G1503" s="563" t="s">
        <v>298</v>
      </c>
      <c r="I1503" s="564" t="s">
        <v>25</v>
      </c>
      <c r="U1503" s="563" t="s">
        <v>4380</v>
      </c>
    </row>
    <row r="1504" ht="14.25" customHeight="1" spans="2:21">
      <c r="B1504" s="563" t="s">
        <v>4837</v>
      </c>
      <c r="G1504" s="563" t="s">
        <v>4377</v>
      </c>
      <c r="I1504" s="564" t="s">
        <v>25</v>
      </c>
      <c r="U1504" s="556"/>
    </row>
    <row r="1505" ht="14.25" customHeight="1" spans="2:21">
      <c r="B1505" s="556"/>
      <c r="G1505" s="556"/>
      <c r="I1505" s="564" t="s">
        <v>25</v>
      </c>
      <c r="U1505" s="556"/>
    </row>
    <row r="1506" ht="14.25" customHeight="1" spans="2:21">
      <c r="B1506" s="577" t="s">
        <v>4845</v>
      </c>
      <c r="G1506" s="578"/>
      <c r="I1506" s="556"/>
      <c r="U1506" s="578"/>
    </row>
    <row r="1507" ht="14.25" customHeight="1" spans="2:21">
      <c r="B1507" s="563" t="s">
        <v>4846</v>
      </c>
      <c r="G1507" s="563" t="s">
        <v>5931</v>
      </c>
      <c r="I1507" s="578"/>
      <c r="U1507" s="563" t="s">
        <v>4850</v>
      </c>
    </row>
    <row r="1508" ht="14.25" customHeight="1" spans="2:21">
      <c r="B1508" s="563" t="s">
        <v>4851</v>
      </c>
      <c r="G1508" s="563" t="s">
        <v>4852</v>
      </c>
      <c r="I1508" s="564" t="s">
        <v>1593</v>
      </c>
      <c r="U1508" s="563" t="s">
        <v>3639</v>
      </c>
    </row>
    <row r="1509" ht="14.25" customHeight="1" spans="2:21">
      <c r="B1509" s="563" t="s">
        <v>4854</v>
      </c>
      <c r="G1509" s="563" t="s">
        <v>4852</v>
      </c>
      <c r="I1509" s="564" t="s">
        <v>1593</v>
      </c>
      <c r="U1509" s="563" t="s">
        <v>4855</v>
      </c>
    </row>
    <row r="1510" ht="14.25" customHeight="1" spans="2:21">
      <c r="B1510" s="563" t="s">
        <v>4856</v>
      </c>
      <c r="G1510" s="563" t="s">
        <v>4852</v>
      </c>
      <c r="I1510" s="564" t="s">
        <v>1593</v>
      </c>
      <c r="U1510" s="563" t="s">
        <v>4855</v>
      </c>
    </row>
    <row r="1511" ht="14.25" customHeight="1" spans="2:21">
      <c r="B1511" s="563" t="s">
        <v>4857</v>
      </c>
      <c r="G1511" s="563" t="s">
        <v>3632</v>
      </c>
      <c r="I1511" s="564" t="s">
        <v>1593</v>
      </c>
      <c r="U1511" s="563" t="s">
        <v>4859</v>
      </c>
    </row>
    <row r="1512" ht="14.25" customHeight="1" spans="2:21">
      <c r="B1512" s="563" t="s">
        <v>4860</v>
      </c>
      <c r="G1512" s="563" t="s">
        <v>3632</v>
      </c>
      <c r="I1512" s="564" t="s">
        <v>1593</v>
      </c>
      <c r="U1512" s="563" t="s">
        <v>4859</v>
      </c>
    </row>
    <row r="1513" ht="14.25" customHeight="1" spans="2:21">
      <c r="B1513" s="563" t="s">
        <v>4862</v>
      </c>
      <c r="G1513" s="563" t="s">
        <v>3632</v>
      </c>
      <c r="I1513" s="564" t="s">
        <v>1593</v>
      </c>
      <c r="U1513" s="563" t="s">
        <v>4859</v>
      </c>
    </row>
    <row r="1514" ht="14.25" customHeight="1" spans="2:21">
      <c r="B1514" s="563" t="s">
        <v>4864</v>
      </c>
      <c r="G1514" s="563" t="s">
        <v>401</v>
      </c>
      <c r="I1514" s="564" t="s">
        <v>1593</v>
      </c>
      <c r="U1514" s="556"/>
    </row>
    <row r="1515" ht="14.25" customHeight="1" spans="2:21">
      <c r="B1515" s="563" t="s">
        <v>4866</v>
      </c>
      <c r="G1515" s="563" t="s">
        <v>401</v>
      </c>
      <c r="I1515" s="564" t="s">
        <v>1593</v>
      </c>
      <c r="U1515" s="556"/>
    </row>
    <row r="1516" ht="14.25" customHeight="1" spans="2:21">
      <c r="B1516" s="563" t="s">
        <v>4869</v>
      </c>
      <c r="G1516" s="563" t="s">
        <v>401</v>
      </c>
      <c r="I1516" s="564" t="s">
        <v>1593</v>
      </c>
      <c r="U1516" s="556"/>
    </row>
    <row r="1517" ht="14.25" customHeight="1" spans="2:21">
      <c r="B1517" s="563" t="s">
        <v>4871</v>
      </c>
      <c r="G1517" s="563" t="s">
        <v>401</v>
      </c>
      <c r="I1517" s="564" t="s">
        <v>1593</v>
      </c>
      <c r="U1517" s="556"/>
    </row>
    <row r="1518" ht="14.25" customHeight="1" spans="2:21">
      <c r="B1518" s="563" t="s">
        <v>4874</v>
      </c>
      <c r="G1518" s="563" t="s">
        <v>401</v>
      </c>
      <c r="I1518" s="564" t="s">
        <v>1593</v>
      </c>
      <c r="U1518" s="556"/>
    </row>
    <row r="1519" ht="14.25" customHeight="1" spans="2:21">
      <c r="B1519" s="563" t="s">
        <v>4877</v>
      </c>
      <c r="G1519" s="563" t="s">
        <v>4880</v>
      </c>
      <c r="I1519" s="564" t="s">
        <v>1593</v>
      </c>
      <c r="U1519" s="556"/>
    </row>
    <row r="1520" ht="14.25" customHeight="1" spans="2:21">
      <c r="B1520" s="563" t="s">
        <v>4882</v>
      </c>
      <c r="G1520" s="563" t="s">
        <v>4884</v>
      </c>
      <c r="I1520" s="564" t="s">
        <v>1593</v>
      </c>
      <c r="U1520" s="556"/>
    </row>
    <row r="1521" ht="14.25" customHeight="1" spans="2:21">
      <c r="B1521" s="563" t="s">
        <v>4885</v>
      </c>
      <c r="G1521" s="563" t="s">
        <v>391</v>
      </c>
      <c r="I1521" s="564" t="s">
        <v>1593</v>
      </c>
      <c r="U1521" s="556"/>
    </row>
    <row r="1522" ht="14.25" customHeight="1" spans="2:21">
      <c r="B1522" s="563" t="s">
        <v>4889</v>
      </c>
      <c r="G1522" s="563" t="s">
        <v>391</v>
      </c>
      <c r="I1522" s="564" t="s">
        <v>1593</v>
      </c>
      <c r="U1522" s="556"/>
    </row>
    <row r="1523" ht="14.25" customHeight="1" spans="2:21">
      <c r="B1523" s="563" t="s">
        <v>4891</v>
      </c>
      <c r="G1523" s="563" t="s">
        <v>391</v>
      </c>
      <c r="I1523" s="564" t="s">
        <v>1593</v>
      </c>
      <c r="U1523" s="556"/>
    </row>
    <row r="1524" ht="14.25" customHeight="1" spans="2:21">
      <c r="B1524" s="563" t="s">
        <v>4895</v>
      </c>
      <c r="G1524" s="563" t="s">
        <v>383</v>
      </c>
      <c r="I1524" s="564" t="s">
        <v>1593</v>
      </c>
      <c r="U1524" s="556"/>
    </row>
    <row r="1525" ht="14.25" customHeight="1" spans="2:21">
      <c r="B1525" s="563" t="s">
        <v>4898</v>
      </c>
      <c r="G1525" s="563" t="s">
        <v>383</v>
      </c>
      <c r="I1525" s="564" t="s">
        <v>1593</v>
      </c>
      <c r="U1525" s="556"/>
    </row>
    <row r="1526" ht="14.25" customHeight="1" spans="2:21">
      <c r="B1526" s="563" t="s">
        <v>4903</v>
      </c>
      <c r="G1526" s="563" t="s">
        <v>389</v>
      </c>
      <c r="I1526" s="564" t="s">
        <v>1593</v>
      </c>
      <c r="U1526" s="563" t="s">
        <v>4906</v>
      </c>
    </row>
    <row r="1527" ht="14.25" customHeight="1" spans="2:21">
      <c r="B1527" s="563" t="s">
        <v>4907</v>
      </c>
      <c r="G1527" s="563" t="s">
        <v>405</v>
      </c>
      <c r="I1527" s="564" t="s">
        <v>1593</v>
      </c>
      <c r="U1527" s="556"/>
    </row>
    <row r="1528" ht="14.25" customHeight="1" spans="2:21">
      <c r="B1528" s="563" t="s">
        <v>4911</v>
      </c>
      <c r="G1528" s="563" t="s">
        <v>406</v>
      </c>
      <c r="I1528" s="564" t="s">
        <v>1593</v>
      </c>
      <c r="U1528" s="563" t="s">
        <v>4914</v>
      </c>
    </row>
    <row r="1529" ht="14.25" customHeight="1" spans="2:21">
      <c r="B1529" s="563" t="s">
        <v>4915</v>
      </c>
      <c r="G1529" s="563" t="s">
        <v>395</v>
      </c>
      <c r="I1529" s="564" t="s">
        <v>1593</v>
      </c>
      <c r="U1529" s="563" t="s">
        <v>4919</v>
      </c>
    </row>
    <row r="1530" ht="14.25" customHeight="1" spans="2:21">
      <c r="B1530" s="563" t="s">
        <v>4920</v>
      </c>
      <c r="G1530" s="563" t="s">
        <v>395</v>
      </c>
      <c r="I1530" s="564" t="s">
        <v>1593</v>
      </c>
      <c r="U1530" s="563" t="s">
        <v>4919</v>
      </c>
    </row>
    <row r="1531" ht="14.25" customHeight="1" spans="2:21">
      <c r="B1531" s="563" t="s">
        <v>4923</v>
      </c>
      <c r="G1531" s="563" t="s">
        <v>395</v>
      </c>
      <c r="I1531" s="564" t="s">
        <v>1593</v>
      </c>
      <c r="U1531" s="563" t="s">
        <v>4919</v>
      </c>
    </row>
    <row r="1532" ht="14.25" customHeight="1" spans="2:21">
      <c r="B1532" s="563" t="s">
        <v>4926</v>
      </c>
      <c r="G1532" s="563" t="s">
        <v>395</v>
      </c>
      <c r="I1532" s="564" t="s">
        <v>1593</v>
      </c>
      <c r="U1532" s="563" t="s">
        <v>4919</v>
      </c>
    </row>
    <row r="1533" ht="14.25" customHeight="1" spans="2:21">
      <c r="B1533" s="563" t="s">
        <v>4929</v>
      </c>
      <c r="G1533" s="563" t="s">
        <v>395</v>
      </c>
      <c r="I1533" s="564" t="s">
        <v>1593</v>
      </c>
      <c r="U1533" s="563" t="s">
        <v>4919</v>
      </c>
    </row>
    <row r="1534" ht="14.25" customHeight="1" spans="2:21">
      <c r="B1534" s="563" t="s">
        <v>4932</v>
      </c>
      <c r="G1534" s="563" t="s">
        <v>395</v>
      </c>
      <c r="I1534" s="564" t="s">
        <v>1593</v>
      </c>
      <c r="U1534" s="563" t="s">
        <v>4919</v>
      </c>
    </row>
    <row r="1535" ht="14.25" customHeight="1" spans="2:21">
      <c r="B1535" s="563" t="s">
        <v>4935</v>
      </c>
      <c r="G1535" s="563" t="s">
        <v>395</v>
      </c>
      <c r="I1535" s="564" t="s">
        <v>1593</v>
      </c>
      <c r="U1535" s="563" t="s">
        <v>4919</v>
      </c>
    </row>
    <row r="1536" ht="14.25" customHeight="1" spans="2:21">
      <c r="B1536" s="563" t="s">
        <v>4938</v>
      </c>
      <c r="G1536" s="563" t="s">
        <v>395</v>
      </c>
      <c r="I1536" s="564" t="s">
        <v>1593</v>
      </c>
      <c r="U1536" s="563" t="s">
        <v>4919</v>
      </c>
    </row>
    <row r="1537" ht="14.25" customHeight="1" spans="2:21">
      <c r="B1537" s="563" t="s">
        <v>4941</v>
      </c>
      <c r="G1537" s="563" t="s">
        <v>4943</v>
      </c>
      <c r="I1537" s="564" t="s">
        <v>1593</v>
      </c>
      <c r="U1537" s="563" t="s">
        <v>4944</v>
      </c>
    </row>
    <row r="1538" ht="14.25" customHeight="1" spans="2:21">
      <c r="B1538" s="563" t="s">
        <v>4945</v>
      </c>
      <c r="G1538" s="563" t="s">
        <v>271</v>
      </c>
      <c r="I1538" s="564" t="s">
        <v>1593</v>
      </c>
      <c r="U1538" s="563" t="s">
        <v>4948</v>
      </c>
    </row>
    <row r="1539" ht="14.25" customHeight="1" spans="2:21">
      <c r="B1539" s="563" t="s">
        <v>4949</v>
      </c>
      <c r="G1539" s="563" t="s">
        <v>271</v>
      </c>
      <c r="I1539" s="564" t="s">
        <v>1593</v>
      </c>
      <c r="U1539" s="563" t="s">
        <v>4948</v>
      </c>
    </row>
    <row r="1540" ht="14.25" customHeight="1" spans="2:21">
      <c r="B1540" s="563" t="s">
        <v>4954</v>
      </c>
      <c r="G1540" s="563" t="s">
        <v>271</v>
      </c>
      <c r="I1540" s="564" t="s">
        <v>1593</v>
      </c>
      <c r="U1540" s="563" t="s">
        <v>4948</v>
      </c>
    </row>
    <row r="1541" ht="14.25" customHeight="1" spans="2:21">
      <c r="B1541" s="563" t="s">
        <v>4957</v>
      </c>
      <c r="G1541" s="563" t="s">
        <v>271</v>
      </c>
      <c r="I1541" s="564" t="s">
        <v>1593</v>
      </c>
      <c r="U1541" s="563" t="s">
        <v>4948</v>
      </c>
    </row>
    <row r="1542" ht="14.25" customHeight="1" spans="2:21">
      <c r="B1542" s="563" t="s">
        <v>4961</v>
      </c>
      <c r="G1542" s="563" t="s">
        <v>271</v>
      </c>
      <c r="I1542" s="564" t="s">
        <v>1593</v>
      </c>
      <c r="U1542" s="563" t="s">
        <v>4966</v>
      </c>
    </row>
    <row r="1543" ht="14.25" customHeight="1" spans="2:21">
      <c r="B1543" s="563" t="s">
        <v>4968</v>
      </c>
      <c r="G1543" s="563" t="s">
        <v>271</v>
      </c>
      <c r="I1543" s="564" t="s">
        <v>1593</v>
      </c>
      <c r="U1543" s="563" t="s">
        <v>4966</v>
      </c>
    </row>
    <row r="1544" ht="14.25" customHeight="1" spans="2:21">
      <c r="B1544" s="563" t="s">
        <v>4971</v>
      </c>
      <c r="G1544" s="563" t="s">
        <v>271</v>
      </c>
      <c r="I1544" s="564" t="s">
        <v>1593</v>
      </c>
      <c r="U1544" s="563" t="s">
        <v>4966</v>
      </c>
    </row>
    <row r="1545" ht="14.25" customHeight="1" spans="2:21">
      <c r="B1545" s="563" t="s">
        <v>4974</v>
      </c>
      <c r="G1545" s="563" t="s">
        <v>271</v>
      </c>
      <c r="I1545" s="564" t="s">
        <v>1593</v>
      </c>
      <c r="U1545" s="563" t="s">
        <v>4966</v>
      </c>
    </row>
    <row r="1546" ht="14.25" customHeight="1" spans="2:21">
      <c r="B1546" s="563" t="s">
        <v>4976</v>
      </c>
      <c r="G1546" s="563" t="s">
        <v>271</v>
      </c>
      <c r="I1546" s="564" t="s">
        <v>1593</v>
      </c>
      <c r="U1546" s="563" t="s">
        <v>4966</v>
      </c>
    </row>
    <row r="1547" ht="14.25" customHeight="1" spans="2:21">
      <c r="B1547" s="563" t="s">
        <v>4979</v>
      </c>
      <c r="G1547" s="563" t="s">
        <v>271</v>
      </c>
      <c r="I1547" s="564" t="s">
        <v>1593</v>
      </c>
      <c r="U1547" s="563" t="s">
        <v>4966</v>
      </c>
    </row>
    <row r="1548" ht="14.25" customHeight="1" spans="2:21">
      <c r="B1548" s="563" t="s">
        <v>4983</v>
      </c>
      <c r="G1548" s="563" t="s">
        <v>271</v>
      </c>
      <c r="I1548" s="564" t="s">
        <v>1593</v>
      </c>
      <c r="U1548" s="563" t="s">
        <v>4966</v>
      </c>
    </row>
    <row r="1549" ht="14.25" customHeight="1" spans="2:21">
      <c r="B1549" s="563" t="s">
        <v>4986</v>
      </c>
      <c r="G1549" s="563" t="s">
        <v>274</v>
      </c>
      <c r="I1549" s="564" t="s">
        <v>1593</v>
      </c>
      <c r="U1549" s="563" t="s">
        <v>4652</v>
      </c>
    </row>
    <row r="1550" ht="14.25" customHeight="1" spans="2:21">
      <c r="B1550" s="563" t="s">
        <v>4990</v>
      </c>
      <c r="G1550" s="563" t="s">
        <v>271</v>
      </c>
      <c r="I1550" s="564" t="s">
        <v>1593</v>
      </c>
      <c r="U1550" s="563" t="s">
        <v>4966</v>
      </c>
    </row>
    <row r="1551" ht="14.25" customHeight="1" spans="2:21">
      <c r="B1551" s="563" t="s">
        <v>5006</v>
      </c>
      <c r="G1551" s="563" t="s">
        <v>5008</v>
      </c>
      <c r="I1551" s="564" t="s">
        <v>1593</v>
      </c>
      <c r="U1551" s="563" t="s">
        <v>5012</v>
      </c>
    </row>
    <row r="1552" ht="14.25" customHeight="1" spans="2:21">
      <c r="B1552" s="563" t="s">
        <v>5013</v>
      </c>
      <c r="G1552" s="563" t="s">
        <v>5008</v>
      </c>
      <c r="I1552" s="564" t="s">
        <v>1593</v>
      </c>
      <c r="U1552" s="563" t="s">
        <v>5012</v>
      </c>
    </row>
    <row r="1553" ht="14.25" customHeight="1" spans="2:21">
      <c r="B1553" s="563" t="s">
        <v>5015</v>
      </c>
      <c r="G1553" s="563" t="s">
        <v>4370</v>
      </c>
      <c r="I1553" s="564" t="s">
        <v>1593</v>
      </c>
      <c r="U1553" s="563" t="s">
        <v>5018</v>
      </c>
    </row>
    <row r="1554" ht="14.25" customHeight="1" spans="2:21">
      <c r="B1554" s="563" t="s">
        <v>5019</v>
      </c>
      <c r="G1554" s="563" t="s">
        <v>4377</v>
      </c>
      <c r="I1554" s="564" t="s">
        <v>1593</v>
      </c>
      <c r="U1554" s="556"/>
    </row>
    <row r="1555" ht="14.25" customHeight="1" spans="2:21">
      <c r="B1555" s="563" t="s">
        <v>5025</v>
      </c>
      <c r="G1555" s="563" t="s">
        <v>4377</v>
      </c>
      <c r="I1555" s="564" t="s">
        <v>1593</v>
      </c>
      <c r="U1555" s="556"/>
    </row>
    <row r="1556" ht="14.25" customHeight="1" spans="2:21">
      <c r="B1556" s="563" t="s">
        <v>5028</v>
      </c>
      <c r="G1556" s="563" t="s">
        <v>5030</v>
      </c>
      <c r="I1556" s="564" t="s">
        <v>1593</v>
      </c>
      <c r="U1556" s="563" t="s">
        <v>5032</v>
      </c>
    </row>
    <row r="1557" ht="14.25" customHeight="1" spans="2:21">
      <c r="B1557" s="563" t="s">
        <v>5033</v>
      </c>
      <c r="G1557" s="563" t="s">
        <v>5035</v>
      </c>
      <c r="I1557" s="564" t="s">
        <v>1593</v>
      </c>
      <c r="U1557" s="556"/>
    </row>
    <row r="1558" ht="14.25" customHeight="1" spans="2:21">
      <c r="B1558" s="563" t="s">
        <v>5036</v>
      </c>
      <c r="G1558" s="563" t="s">
        <v>298</v>
      </c>
      <c r="I1558" s="564" t="s">
        <v>1593</v>
      </c>
      <c r="U1558" s="563" t="s">
        <v>4380</v>
      </c>
    </row>
    <row r="1559" ht="14.25" customHeight="1" spans="2:21">
      <c r="B1559" s="563" t="s">
        <v>5038</v>
      </c>
      <c r="G1559" s="563" t="s">
        <v>298</v>
      </c>
      <c r="I1559" s="564" t="s">
        <v>1593</v>
      </c>
      <c r="U1559" s="563" t="s">
        <v>4380</v>
      </c>
    </row>
    <row r="1560" ht="14.25" customHeight="1" spans="2:21">
      <c r="B1560" s="556"/>
      <c r="G1560" s="556"/>
      <c r="I1560" s="564" t="s">
        <v>1593</v>
      </c>
      <c r="U1560" s="556"/>
    </row>
    <row r="1561" ht="14.25" customHeight="1" spans="2:21">
      <c r="B1561" s="556"/>
      <c r="G1561" s="556"/>
      <c r="I1561" s="556"/>
      <c r="U1561" s="556"/>
    </row>
    <row r="1562" ht="14.25" customHeight="1" spans="2:21">
      <c r="B1562" s="577" t="s">
        <v>5046</v>
      </c>
      <c r="G1562" s="578"/>
      <c r="I1562" s="556"/>
      <c r="U1562" s="578"/>
    </row>
    <row r="1563" ht="14.25" customHeight="1" spans="2:21">
      <c r="B1563" s="563" t="s">
        <v>5047</v>
      </c>
      <c r="G1563" s="563" t="s">
        <v>401</v>
      </c>
      <c r="I1563" s="578"/>
      <c r="U1563" s="556"/>
    </row>
    <row r="1564" ht="14.25" customHeight="1" spans="2:21">
      <c r="B1564" s="563" t="s">
        <v>5050</v>
      </c>
      <c r="G1564" s="563" t="s">
        <v>5053</v>
      </c>
      <c r="I1564" s="564" t="s">
        <v>5049</v>
      </c>
      <c r="U1564" s="556"/>
    </row>
    <row r="1565" ht="14.25" customHeight="1" spans="2:21">
      <c r="B1565" s="563" t="s">
        <v>5054</v>
      </c>
      <c r="G1565" s="563" t="s">
        <v>405</v>
      </c>
      <c r="I1565" s="564" t="s">
        <v>5049</v>
      </c>
      <c r="U1565" s="556"/>
    </row>
    <row r="1566" ht="14.25" customHeight="1" spans="2:21">
      <c r="B1566" s="563" t="s">
        <v>5056</v>
      </c>
      <c r="G1566" s="563" t="s">
        <v>395</v>
      </c>
      <c r="I1566" s="564" t="s">
        <v>5049</v>
      </c>
      <c r="U1566" s="556"/>
    </row>
    <row r="1567" ht="14.25" customHeight="1" spans="2:21">
      <c r="B1567" s="563" t="s">
        <v>5058</v>
      </c>
      <c r="G1567" s="563" t="s">
        <v>395</v>
      </c>
      <c r="I1567" s="564" t="s">
        <v>5049</v>
      </c>
      <c r="U1567" s="556"/>
    </row>
    <row r="1568" ht="14.25" customHeight="1" spans="2:21">
      <c r="B1568" s="563" t="s">
        <v>5060</v>
      </c>
      <c r="G1568" s="563" t="s">
        <v>395</v>
      </c>
      <c r="I1568" s="564" t="s">
        <v>5049</v>
      </c>
      <c r="U1568" s="556"/>
    </row>
    <row r="1569" ht="14.25" customHeight="1" spans="2:21">
      <c r="B1569" s="586"/>
      <c r="G1569" s="586"/>
      <c r="I1569" s="564" t="s">
        <v>5049</v>
      </c>
      <c r="U1569" s="586"/>
    </row>
    <row r="1570" ht="14.25" customHeight="1" spans="2:21">
      <c r="B1570" s="556"/>
      <c r="G1570" s="556"/>
      <c r="I1570" s="586"/>
      <c r="U1570" s="556"/>
    </row>
    <row r="1571" ht="14.25" customHeight="1" spans="2:21">
      <c r="B1571" s="577" t="s">
        <v>5062</v>
      </c>
      <c r="G1571" s="578"/>
      <c r="I1571" s="556"/>
      <c r="U1571" s="578"/>
    </row>
    <row r="1572" ht="14.25" customHeight="1" spans="2:21">
      <c r="B1572" s="587" t="s">
        <v>5064</v>
      </c>
      <c r="G1572" s="588"/>
      <c r="I1572" s="578"/>
      <c r="U1572" s="588"/>
    </row>
    <row r="1573" ht="14.25" customHeight="1" spans="2:21">
      <c r="B1573" s="563" t="s">
        <v>5065</v>
      </c>
      <c r="G1573" s="563" t="s">
        <v>5068</v>
      </c>
      <c r="I1573" s="588"/>
      <c r="U1573" s="556"/>
    </row>
    <row r="1574" ht="14.25" customHeight="1" spans="2:21">
      <c r="B1574" s="563" t="s">
        <v>5070</v>
      </c>
      <c r="G1574" s="563" t="s">
        <v>5068</v>
      </c>
      <c r="I1574" s="564" t="s">
        <v>5069</v>
      </c>
      <c r="U1574" s="556"/>
    </row>
    <row r="1575" ht="14.25" customHeight="1" spans="2:21">
      <c r="B1575" s="563" t="s">
        <v>5073</v>
      </c>
      <c r="G1575" s="563" t="s">
        <v>5075</v>
      </c>
      <c r="I1575" s="564" t="s">
        <v>5069</v>
      </c>
      <c r="U1575" s="556"/>
    </row>
    <row r="1576" ht="14.25" customHeight="1" spans="2:21">
      <c r="B1576" s="563" t="s">
        <v>5077</v>
      </c>
      <c r="G1576" s="563" t="s">
        <v>5075</v>
      </c>
      <c r="I1576" s="564" t="s">
        <v>5069</v>
      </c>
      <c r="U1576" s="556"/>
    </row>
    <row r="1577" ht="14.25" customHeight="1" spans="2:21">
      <c r="B1577" s="563" t="s">
        <v>5079</v>
      </c>
      <c r="G1577" s="563" t="s">
        <v>5075</v>
      </c>
      <c r="I1577" s="564" t="s">
        <v>5069</v>
      </c>
      <c r="U1577" s="556"/>
    </row>
    <row r="1578" ht="14.25" customHeight="1" spans="2:21">
      <c r="B1578" s="563" t="s">
        <v>5081</v>
      </c>
      <c r="G1578" s="563" t="s">
        <v>5075</v>
      </c>
      <c r="I1578" s="564" t="s">
        <v>5069</v>
      </c>
      <c r="U1578" s="556"/>
    </row>
    <row r="1579" ht="14.25" customHeight="1" spans="2:21">
      <c r="B1579" s="563" t="s">
        <v>5083</v>
      </c>
      <c r="G1579" s="563" t="s">
        <v>5075</v>
      </c>
      <c r="I1579" s="564" t="s">
        <v>5069</v>
      </c>
      <c r="U1579" s="556"/>
    </row>
    <row r="1580" ht="14.25" customHeight="1" spans="2:21">
      <c r="B1580" s="563" t="s">
        <v>5086</v>
      </c>
      <c r="G1580" s="563" t="s">
        <v>5075</v>
      </c>
      <c r="I1580" s="564" t="s">
        <v>5069</v>
      </c>
      <c r="U1580" s="556"/>
    </row>
    <row r="1581" ht="14.25" customHeight="1" spans="2:21">
      <c r="B1581" s="563" t="s">
        <v>5089</v>
      </c>
      <c r="G1581" s="563" t="s">
        <v>5075</v>
      </c>
      <c r="I1581" s="564" t="s">
        <v>5069</v>
      </c>
      <c r="U1581" s="556"/>
    </row>
    <row r="1582" ht="14.25" customHeight="1" spans="2:21">
      <c r="B1582" s="563" t="s">
        <v>5092</v>
      </c>
      <c r="G1582" s="563" t="s">
        <v>5075</v>
      </c>
      <c r="I1582" s="564" t="s">
        <v>5069</v>
      </c>
      <c r="U1582" s="556"/>
    </row>
    <row r="1583" ht="14.25" customHeight="1" spans="2:21">
      <c r="B1583" s="563" t="s">
        <v>5094</v>
      </c>
      <c r="G1583" s="563" t="s">
        <v>5097</v>
      </c>
      <c r="I1583" s="564" t="s">
        <v>5069</v>
      </c>
      <c r="U1583" s="556"/>
    </row>
    <row r="1584" ht="14.25" customHeight="1" spans="2:21">
      <c r="B1584" s="563" t="s">
        <v>5099</v>
      </c>
      <c r="G1584" s="563" t="s">
        <v>5097</v>
      </c>
      <c r="I1584" s="564" t="s">
        <v>5069</v>
      </c>
      <c r="U1584" s="556"/>
    </row>
    <row r="1585" ht="14.25" customHeight="1" spans="2:21">
      <c r="B1585" s="563" t="s">
        <v>5102</v>
      </c>
      <c r="G1585" s="563" t="s">
        <v>4609</v>
      </c>
      <c r="I1585" s="564" t="s">
        <v>5069</v>
      </c>
      <c r="U1585" s="556"/>
    </row>
    <row r="1586" ht="14.25" customHeight="1" spans="2:21">
      <c r="B1586" s="563" t="s">
        <v>5105</v>
      </c>
      <c r="G1586" s="563" t="s">
        <v>4609</v>
      </c>
      <c r="I1586" s="564" t="s">
        <v>5069</v>
      </c>
      <c r="U1586" s="556"/>
    </row>
    <row r="1587" ht="14.25" customHeight="1" spans="2:21">
      <c r="B1587" s="563" t="s">
        <v>5108</v>
      </c>
      <c r="G1587" s="563" t="s">
        <v>4609</v>
      </c>
      <c r="I1587" s="564" t="s">
        <v>5069</v>
      </c>
      <c r="U1587" s="563" t="s">
        <v>5112</v>
      </c>
    </row>
    <row r="1588" ht="14.25" customHeight="1" spans="2:21">
      <c r="B1588" s="563" t="s">
        <v>5113</v>
      </c>
      <c r="G1588" s="563" t="s">
        <v>4609</v>
      </c>
      <c r="I1588" s="564" t="s">
        <v>5069</v>
      </c>
      <c r="U1588" s="563" t="s">
        <v>5112</v>
      </c>
    </row>
    <row r="1589" ht="14.25" customHeight="1" spans="2:21">
      <c r="B1589" s="563" t="s">
        <v>5124</v>
      </c>
      <c r="G1589" s="563" t="s">
        <v>403</v>
      </c>
      <c r="I1589" s="564" t="s">
        <v>5069</v>
      </c>
      <c r="U1589" s="556"/>
    </row>
    <row r="1590" ht="14.25" customHeight="1" spans="2:21">
      <c r="B1590" s="563" t="s">
        <v>5127</v>
      </c>
      <c r="G1590" s="563" t="s">
        <v>387</v>
      </c>
      <c r="I1590" s="564" t="s">
        <v>5069</v>
      </c>
      <c r="U1590" s="556"/>
    </row>
    <row r="1591" ht="14.25" customHeight="1" spans="2:21">
      <c r="B1591" s="563" t="s">
        <v>5130</v>
      </c>
      <c r="G1591" s="563" t="s">
        <v>387</v>
      </c>
      <c r="I1591" s="564" t="s">
        <v>5069</v>
      </c>
      <c r="U1591" s="556"/>
    </row>
    <row r="1592" ht="14.25" customHeight="1" spans="2:21">
      <c r="B1592" s="563" t="s">
        <v>5133</v>
      </c>
      <c r="G1592" s="563" t="s">
        <v>387</v>
      </c>
      <c r="I1592" s="564" t="s">
        <v>5069</v>
      </c>
      <c r="U1592" s="563" t="s">
        <v>5135</v>
      </c>
    </row>
    <row r="1593" ht="14.25" customHeight="1" spans="2:21">
      <c r="B1593" s="581" t="s">
        <v>5137</v>
      </c>
      <c r="G1593" s="563" t="s">
        <v>387</v>
      </c>
      <c r="I1593" s="564" t="s">
        <v>5069</v>
      </c>
      <c r="U1593" s="563" t="s">
        <v>5139</v>
      </c>
    </row>
    <row r="1594" ht="14.25" customHeight="1" spans="2:21">
      <c r="B1594" s="581" t="s">
        <v>5140</v>
      </c>
      <c r="G1594" s="563" t="s">
        <v>5921</v>
      </c>
      <c r="I1594" s="564" t="s">
        <v>5069</v>
      </c>
      <c r="U1594" s="556"/>
    </row>
    <row r="1595" ht="14.25" customHeight="1" spans="2:21">
      <c r="B1595" s="581" t="s">
        <v>5144</v>
      </c>
      <c r="G1595" s="563" t="s">
        <v>7170</v>
      </c>
      <c r="I1595" s="564" t="s">
        <v>5069</v>
      </c>
      <c r="U1595" s="556"/>
    </row>
    <row r="1596" ht="14.25" customHeight="1" spans="2:21">
      <c r="B1596" s="581" t="s">
        <v>5146</v>
      </c>
      <c r="G1596" s="563" t="s">
        <v>5921</v>
      </c>
      <c r="I1596" s="564" t="s">
        <v>5069</v>
      </c>
      <c r="U1596" s="556"/>
    </row>
    <row r="1597" ht="14.25" customHeight="1" spans="2:21">
      <c r="B1597" s="581" t="s">
        <v>5150</v>
      </c>
      <c r="G1597" s="563" t="s">
        <v>5921</v>
      </c>
      <c r="I1597" s="564" t="s">
        <v>5069</v>
      </c>
      <c r="U1597" s="556"/>
    </row>
    <row r="1598" ht="14.25" customHeight="1" spans="2:21">
      <c r="B1598" s="581" t="s">
        <v>5153</v>
      </c>
      <c r="G1598" s="563" t="s">
        <v>5921</v>
      </c>
      <c r="I1598" s="564" t="s">
        <v>5069</v>
      </c>
      <c r="U1598" s="556"/>
    </row>
    <row r="1599" ht="14.25" customHeight="1" spans="2:21">
      <c r="B1599" s="581" t="s">
        <v>5156</v>
      </c>
      <c r="G1599" s="563" t="s">
        <v>4711</v>
      </c>
      <c r="I1599" s="564" t="s">
        <v>5069</v>
      </c>
      <c r="U1599" s="563" t="s">
        <v>5158</v>
      </c>
    </row>
    <row r="1600" ht="14.25" customHeight="1" spans="2:21">
      <c r="B1600" s="581" t="s">
        <v>5159</v>
      </c>
      <c r="G1600" s="563" t="s">
        <v>4711</v>
      </c>
      <c r="I1600" s="564" t="s">
        <v>5069</v>
      </c>
      <c r="U1600" s="563" t="s">
        <v>5158</v>
      </c>
    </row>
    <row r="1601" ht="14.25" customHeight="1" spans="2:21">
      <c r="B1601" s="563" t="s">
        <v>5160</v>
      </c>
      <c r="G1601" s="563" t="s">
        <v>335</v>
      </c>
      <c r="I1601" s="564" t="s">
        <v>5069</v>
      </c>
      <c r="U1601" s="556"/>
    </row>
    <row r="1602" ht="14.25" customHeight="1" spans="2:21">
      <c r="B1602" s="563" t="s">
        <v>5165</v>
      </c>
      <c r="G1602" s="563" t="s">
        <v>5167</v>
      </c>
      <c r="I1602" s="564" t="s">
        <v>5069</v>
      </c>
      <c r="U1602" s="563" t="s">
        <v>5171</v>
      </c>
    </row>
    <row r="1603" ht="14.25" customHeight="1" spans="2:21">
      <c r="B1603" s="563" t="s">
        <v>5172</v>
      </c>
      <c r="G1603" s="563" t="s">
        <v>5174</v>
      </c>
      <c r="I1603" s="564" t="s">
        <v>5069</v>
      </c>
      <c r="U1603" s="563" t="s">
        <v>7172</v>
      </c>
    </row>
    <row r="1604" ht="14.25" customHeight="1" spans="2:21">
      <c r="B1604" s="563" t="s">
        <v>5177</v>
      </c>
      <c r="G1604" s="563" t="s">
        <v>399</v>
      </c>
      <c r="I1604" s="564" t="s">
        <v>5069</v>
      </c>
      <c r="U1604" s="563" t="s">
        <v>5179</v>
      </c>
    </row>
    <row r="1605" ht="14.25" customHeight="1" spans="2:21">
      <c r="B1605" s="563" t="s">
        <v>5180</v>
      </c>
      <c r="G1605" s="563" t="s">
        <v>354</v>
      </c>
      <c r="I1605" s="564" t="s">
        <v>5069</v>
      </c>
      <c r="U1605" s="563" t="s">
        <v>5183</v>
      </c>
    </row>
    <row r="1606" ht="14.25" customHeight="1" spans="2:21">
      <c r="B1606" s="563" t="s">
        <v>5184</v>
      </c>
      <c r="G1606" s="563" t="s">
        <v>322</v>
      </c>
      <c r="I1606" s="564" t="s">
        <v>5069</v>
      </c>
      <c r="U1606" s="556"/>
    </row>
    <row r="1607" ht="14.25" customHeight="1" spans="2:21">
      <c r="B1607" s="563" t="s">
        <v>5189</v>
      </c>
      <c r="G1607" s="563" t="s">
        <v>4073</v>
      </c>
      <c r="I1607" s="564" t="s">
        <v>5069</v>
      </c>
      <c r="U1607" s="556"/>
    </row>
    <row r="1608" ht="14.25" customHeight="1" spans="2:21">
      <c r="B1608" s="556"/>
      <c r="G1608" s="556"/>
      <c r="I1608" s="564" t="s">
        <v>5069</v>
      </c>
      <c r="U1608" s="556"/>
    </row>
    <row r="1609" ht="14.25" customHeight="1" spans="2:21">
      <c r="B1609" s="587" t="s">
        <v>5200</v>
      </c>
      <c r="G1609" s="588"/>
      <c r="I1609" s="556"/>
      <c r="U1609" s="588"/>
    </row>
    <row r="1610" ht="14.25" customHeight="1" spans="2:21">
      <c r="B1610" s="563" t="s">
        <v>5201</v>
      </c>
      <c r="G1610" s="563" t="s">
        <v>4609</v>
      </c>
      <c r="I1610" s="588"/>
      <c r="U1610" s="563" t="s">
        <v>5204</v>
      </c>
    </row>
    <row r="1611" ht="14.25" customHeight="1" spans="2:21">
      <c r="B1611" s="563" t="s">
        <v>5205</v>
      </c>
      <c r="G1611" s="563" t="s">
        <v>4609</v>
      </c>
      <c r="I1611" s="564" t="s">
        <v>5203</v>
      </c>
      <c r="U1611" s="563" t="s">
        <v>5204</v>
      </c>
    </row>
    <row r="1612" ht="14.25" customHeight="1" spans="2:21">
      <c r="B1612" s="563" t="s">
        <v>5208</v>
      </c>
      <c r="G1612" s="563" t="s">
        <v>7168</v>
      </c>
      <c r="I1612" s="564" t="s">
        <v>5203</v>
      </c>
      <c r="U1612" s="556"/>
    </row>
    <row r="1613" ht="14.25" customHeight="1" spans="2:21">
      <c r="B1613" s="563" t="s">
        <v>5209</v>
      </c>
      <c r="G1613" s="563" t="s">
        <v>7168</v>
      </c>
      <c r="I1613" s="564" t="s">
        <v>5203</v>
      </c>
      <c r="U1613" s="556"/>
    </row>
    <row r="1614" ht="14.25" customHeight="1" spans="2:21">
      <c r="B1614" s="563" t="s">
        <v>5210</v>
      </c>
      <c r="G1614" s="563" t="s">
        <v>7168</v>
      </c>
      <c r="I1614" s="564" t="s">
        <v>5203</v>
      </c>
      <c r="U1614" s="556"/>
    </row>
    <row r="1615" ht="14.25" customHeight="1" spans="2:21">
      <c r="B1615" s="563" t="s">
        <v>5212</v>
      </c>
      <c r="G1615" s="563" t="s">
        <v>7168</v>
      </c>
      <c r="I1615" s="564" t="s">
        <v>5203</v>
      </c>
      <c r="U1615" s="556"/>
    </row>
    <row r="1616" ht="14.25" customHeight="1" spans="2:21">
      <c r="B1616" s="556"/>
      <c r="G1616" s="556"/>
      <c r="I1616" s="564" t="s">
        <v>5203</v>
      </c>
      <c r="U1616" s="556"/>
    </row>
    <row r="1617" ht="14.25" customHeight="1" spans="2:21">
      <c r="B1617" s="580" t="s">
        <v>5214</v>
      </c>
      <c r="G1617" s="589"/>
      <c r="I1617" s="556"/>
      <c r="U1617" s="589"/>
    </row>
    <row r="1618" ht="14.25" customHeight="1" spans="2:21">
      <c r="B1618" s="576" t="s">
        <v>5215</v>
      </c>
      <c r="G1618" s="563" t="s">
        <v>371</v>
      </c>
      <c r="I1618" s="589"/>
      <c r="U1618" s="556"/>
    </row>
    <row r="1619" ht="14.25" customHeight="1" spans="2:21">
      <c r="B1619" s="576" t="s">
        <v>5221</v>
      </c>
      <c r="G1619" s="563" t="s">
        <v>371</v>
      </c>
      <c r="I1619" s="564" t="s">
        <v>1103</v>
      </c>
      <c r="U1619" s="556"/>
    </row>
    <row r="1620" ht="14.25" customHeight="1" spans="2:21">
      <c r="B1620" s="576" t="s">
        <v>5224</v>
      </c>
      <c r="G1620" s="563" t="s">
        <v>373</v>
      </c>
      <c r="I1620" s="564" t="s">
        <v>1103</v>
      </c>
      <c r="U1620" s="563" t="s">
        <v>7173</v>
      </c>
    </row>
    <row r="1621" ht="14.25" customHeight="1" spans="2:21">
      <c r="B1621" s="576" t="s">
        <v>5229</v>
      </c>
      <c r="G1621" s="563" t="s">
        <v>373</v>
      </c>
      <c r="I1621" s="564" t="s">
        <v>1103</v>
      </c>
      <c r="U1621" s="563" t="s">
        <v>7173</v>
      </c>
    </row>
    <row r="1622" ht="14.25" customHeight="1" spans="2:21">
      <c r="B1622" s="576" t="s">
        <v>5232</v>
      </c>
      <c r="G1622" s="563" t="s">
        <v>376</v>
      </c>
      <c r="I1622" s="564" t="s">
        <v>1103</v>
      </c>
      <c r="U1622" s="563" t="s">
        <v>7173</v>
      </c>
    </row>
    <row r="1623" ht="14.25" customHeight="1" spans="2:21">
      <c r="B1623" s="576" t="s">
        <v>5237</v>
      </c>
      <c r="G1623" s="563" t="s">
        <v>374</v>
      </c>
      <c r="I1623" s="564" t="s">
        <v>1103</v>
      </c>
      <c r="U1623" s="563" t="s">
        <v>7173</v>
      </c>
    </row>
    <row r="1624" ht="14.25" customHeight="1" spans="2:21">
      <c r="B1624" s="576" t="s">
        <v>5242</v>
      </c>
      <c r="G1624" s="563" t="s">
        <v>374</v>
      </c>
      <c r="I1624" s="564" t="s">
        <v>1103</v>
      </c>
      <c r="U1624" s="563" t="s">
        <v>7173</v>
      </c>
    </row>
    <row r="1625" ht="14.25" customHeight="1" spans="2:21">
      <c r="B1625" s="576" t="s">
        <v>5246</v>
      </c>
      <c r="G1625" s="563" t="s">
        <v>376</v>
      </c>
      <c r="I1625" s="564" t="s">
        <v>1103</v>
      </c>
      <c r="U1625" s="563" t="s">
        <v>7173</v>
      </c>
    </row>
    <row r="1626" ht="14.25" customHeight="1" spans="2:21">
      <c r="B1626" s="576" t="s">
        <v>5249</v>
      </c>
      <c r="G1626" s="563" t="s">
        <v>376</v>
      </c>
      <c r="I1626" s="564" t="s">
        <v>1103</v>
      </c>
      <c r="U1626" s="563" t="s">
        <v>7173</v>
      </c>
    </row>
    <row r="1627" ht="14.25" customHeight="1" spans="2:21">
      <c r="B1627" s="576" t="s">
        <v>5268</v>
      </c>
      <c r="G1627" s="563" t="s">
        <v>356</v>
      </c>
      <c r="I1627" s="564" t="s">
        <v>1103</v>
      </c>
      <c r="U1627" s="563" t="s">
        <v>5271</v>
      </c>
    </row>
    <row r="1628" ht="14.25" customHeight="1" spans="2:21">
      <c r="B1628" s="576" t="s">
        <v>5273</v>
      </c>
      <c r="G1628" s="563" t="s">
        <v>5275</v>
      </c>
      <c r="I1628" s="564" t="s">
        <v>1103</v>
      </c>
      <c r="U1628" s="556"/>
    </row>
    <row r="1629" ht="14.25" customHeight="1" spans="2:21">
      <c r="B1629" s="576" t="s">
        <v>5276</v>
      </c>
      <c r="G1629" s="576" t="s">
        <v>5278</v>
      </c>
      <c r="I1629" s="564" t="s">
        <v>1103</v>
      </c>
      <c r="U1629" s="563" t="s">
        <v>5280</v>
      </c>
    </row>
    <row r="1630" ht="14.25" customHeight="1" spans="2:21">
      <c r="B1630" s="576" t="s">
        <v>5281</v>
      </c>
      <c r="G1630" s="563" t="s">
        <v>5283</v>
      </c>
      <c r="I1630" s="564" t="s">
        <v>1103</v>
      </c>
      <c r="U1630" s="556"/>
    </row>
    <row r="1631" ht="14.25" customHeight="1" spans="2:21">
      <c r="B1631" s="576" t="s">
        <v>5289</v>
      </c>
      <c r="G1631" s="563" t="s">
        <v>5291</v>
      </c>
      <c r="I1631" s="564" t="s">
        <v>1103</v>
      </c>
      <c r="U1631" s="556"/>
    </row>
    <row r="1632" ht="14.25" customHeight="1" spans="2:21">
      <c r="B1632" s="576" t="s">
        <v>5294</v>
      </c>
      <c r="G1632" s="563" t="s">
        <v>5291</v>
      </c>
      <c r="I1632" s="564" t="s">
        <v>1103</v>
      </c>
      <c r="U1632" s="556"/>
    </row>
    <row r="1633" ht="14.25" customHeight="1" spans="2:21">
      <c r="B1633" s="576" t="s">
        <v>5296</v>
      </c>
      <c r="G1633" s="563" t="s">
        <v>5291</v>
      </c>
      <c r="I1633" s="564" t="s">
        <v>1103</v>
      </c>
      <c r="U1633" s="556"/>
    </row>
    <row r="1634" ht="14.25" customHeight="1" spans="2:21">
      <c r="B1634" s="576" t="s">
        <v>5298</v>
      </c>
      <c r="G1634" s="563" t="s">
        <v>5300</v>
      </c>
      <c r="I1634" s="564" t="s">
        <v>1103</v>
      </c>
      <c r="U1634" s="556"/>
    </row>
    <row r="1635" ht="14.25" customHeight="1" spans="2:21">
      <c r="B1635" s="576" t="s">
        <v>5302</v>
      </c>
      <c r="G1635" s="563" t="s">
        <v>5300</v>
      </c>
      <c r="I1635" s="564" t="s">
        <v>1103</v>
      </c>
      <c r="U1635" s="556"/>
    </row>
    <row r="1636" ht="14.25" customHeight="1" spans="2:21">
      <c r="B1636" s="576" t="s">
        <v>5304</v>
      </c>
      <c r="G1636" s="563" t="s">
        <v>5300</v>
      </c>
      <c r="I1636" s="564" t="s">
        <v>1103</v>
      </c>
      <c r="U1636" s="556"/>
    </row>
    <row r="1637" ht="14.25" customHeight="1" spans="2:21">
      <c r="B1637" s="576" t="s">
        <v>5306</v>
      </c>
      <c r="G1637" s="563" t="s">
        <v>5300</v>
      </c>
      <c r="I1637" s="564" t="s">
        <v>1103</v>
      </c>
      <c r="U1637" s="556"/>
    </row>
    <row r="1638" ht="14.25" customHeight="1" spans="2:21">
      <c r="B1638" s="576" t="s">
        <v>5308</v>
      </c>
      <c r="G1638" s="563" t="s">
        <v>5300</v>
      </c>
      <c r="I1638" s="564" t="s">
        <v>1103</v>
      </c>
      <c r="U1638" s="556"/>
    </row>
    <row r="1639" ht="14.25" customHeight="1" spans="2:21">
      <c r="B1639" s="576" t="s">
        <v>5312</v>
      </c>
      <c r="G1639" s="563" t="s">
        <v>5314</v>
      </c>
      <c r="I1639" s="564" t="s">
        <v>1103</v>
      </c>
      <c r="U1639" s="556"/>
    </row>
    <row r="1640" ht="14.25" customHeight="1" spans="2:21">
      <c r="B1640" s="576" t="s">
        <v>5316</v>
      </c>
      <c r="G1640" s="563" t="s">
        <v>5314</v>
      </c>
      <c r="I1640" s="564" t="s">
        <v>1103</v>
      </c>
      <c r="U1640" s="556"/>
    </row>
    <row r="1641" ht="14.25" customHeight="1" spans="2:21">
      <c r="B1641" s="576" t="s">
        <v>5318</v>
      </c>
      <c r="G1641" s="563" t="s">
        <v>5320</v>
      </c>
      <c r="I1641" s="564" t="s">
        <v>1103</v>
      </c>
      <c r="U1641" s="556"/>
    </row>
    <row r="1642" ht="14.25" customHeight="1" spans="2:21">
      <c r="B1642" s="576" t="s">
        <v>5321</v>
      </c>
      <c r="G1642" s="563" t="s">
        <v>5320</v>
      </c>
      <c r="I1642" s="564" t="s">
        <v>1103</v>
      </c>
      <c r="U1642" s="556"/>
    </row>
    <row r="1643" ht="14.25" customHeight="1" spans="2:21">
      <c r="B1643" s="563" t="s">
        <v>5323</v>
      </c>
      <c r="G1643" s="563" t="s">
        <v>404</v>
      </c>
      <c r="I1643" s="564" t="s">
        <v>1103</v>
      </c>
      <c r="U1643" s="556"/>
    </row>
    <row r="1644" ht="14.25" customHeight="1" spans="2:21">
      <c r="B1644" s="563" t="s">
        <v>5325</v>
      </c>
      <c r="G1644" s="563" t="s">
        <v>404</v>
      </c>
      <c r="I1644" s="564" t="s">
        <v>1103</v>
      </c>
      <c r="U1644" s="556"/>
    </row>
    <row r="1645" ht="14.25" customHeight="1" spans="2:21">
      <c r="B1645" s="563" t="s">
        <v>5326</v>
      </c>
      <c r="G1645" s="563" t="s">
        <v>404</v>
      </c>
      <c r="I1645" s="564" t="s">
        <v>1103</v>
      </c>
      <c r="U1645" s="556"/>
    </row>
    <row r="1646" ht="14.25" customHeight="1" spans="2:21">
      <c r="B1646" s="563" t="s">
        <v>5327</v>
      </c>
      <c r="G1646" s="563" t="s">
        <v>404</v>
      </c>
      <c r="I1646" s="564" t="s">
        <v>1103</v>
      </c>
      <c r="U1646" s="556"/>
    </row>
    <row r="1647" ht="14.25" customHeight="1" spans="2:21">
      <c r="B1647" s="563" t="s">
        <v>5328</v>
      </c>
      <c r="G1647" s="563" t="s">
        <v>5329</v>
      </c>
      <c r="I1647" s="564" t="s">
        <v>1103</v>
      </c>
      <c r="U1647" s="556"/>
    </row>
    <row r="1648" ht="14.25" customHeight="1" spans="2:21">
      <c r="B1648" s="563" t="s">
        <v>5330</v>
      </c>
      <c r="G1648" s="563" t="s">
        <v>401</v>
      </c>
      <c r="I1648" s="564" t="s">
        <v>1103</v>
      </c>
      <c r="U1648" s="556"/>
    </row>
    <row r="1649" ht="14.25" customHeight="1" spans="2:21">
      <c r="B1649" s="563" t="s">
        <v>5334</v>
      </c>
      <c r="G1649" s="563" t="s">
        <v>401</v>
      </c>
      <c r="I1649" s="564" t="s">
        <v>1103</v>
      </c>
      <c r="U1649" s="556"/>
    </row>
    <row r="1650" ht="14.25" customHeight="1" spans="2:21">
      <c r="B1650" s="563" t="s">
        <v>5336</v>
      </c>
      <c r="G1650" s="563" t="s">
        <v>401</v>
      </c>
      <c r="I1650" s="564" t="s">
        <v>1103</v>
      </c>
      <c r="U1650" s="556"/>
    </row>
    <row r="1651" ht="14.25" customHeight="1" spans="2:21">
      <c r="B1651" s="563" t="s">
        <v>5339</v>
      </c>
      <c r="G1651" s="563" t="s">
        <v>405</v>
      </c>
      <c r="I1651" s="564" t="s">
        <v>1103</v>
      </c>
      <c r="U1651" s="556"/>
    </row>
    <row r="1652" ht="14.25" customHeight="1" spans="2:21">
      <c r="B1652" s="563" t="s">
        <v>5342</v>
      </c>
      <c r="G1652" s="563" t="s">
        <v>405</v>
      </c>
      <c r="I1652" s="564" t="s">
        <v>1103</v>
      </c>
      <c r="U1652" s="556"/>
    </row>
    <row r="1653" ht="14.25" customHeight="1" spans="2:21">
      <c r="B1653" s="563" t="s">
        <v>5344</v>
      </c>
      <c r="G1653" s="563" t="s">
        <v>4609</v>
      </c>
      <c r="I1653" s="564" t="s">
        <v>1103</v>
      </c>
      <c r="U1653" s="556"/>
    </row>
    <row r="1654" ht="14.25" customHeight="1" spans="2:21">
      <c r="B1654" s="563" t="s">
        <v>5345</v>
      </c>
      <c r="G1654" s="563" t="s">
        <v>4609</v>
      </c>
      <c r="I1654" s="564" t="s">
        <v>1103</v>
      </c>
      <c r="U1654" s="556"/>
    </row>
    <row r="1655" ht="14.25" customHeight="1" spans="2:21">
      <c r="B1655" s="563" t="s">
        <v>5346</v>
      </c>
      <c r="G1655" s="563" t="s">
        <v>4609</v>
      </c>
      <c r="I1655" s="564" t="s">
        <v>1103</v>
      </c>
      <c r="U1655" s="556"/>
    </row>
    <row r="1656" ht="14.25" customHeight="1" spans="2:21">
      <c r="B1656" s="563" t="s">
        <v>5347</v>
      </c>
      <c r="G1656" s="563" t="s">
        <v>4609</v>
      </c>
      <c r="I1656" s="564" t="s">
        <v>1103</v>
      </c>
      <c r="U1656" s="556"/>
    </row>
    <row r="1657" ht="14.25" customHeight="1" spans="2:21">
      <c r="B1657" s="563" t="s">
        <v>5348</v>
      </c>
      <c r="G1657" s="563" t="s">
        <v>4609</v>
      </c>
      <c r="I1657" s="564" t="s">
        <v>1103</v>
      </c>
      <c r="U1657" s="556"/>
    </row>
    <row r="1658" ht="14.25" customHeight="1" spans="2:21">
      <c r="B1658" s="563" t="s">
        <v>5349</v>
      </c>
      <c r="G1658" s="563" t="s">
        <v>4609</v>
      </c>
      <c r="I1658" s="564" t="s">
        <v>1103</v>
      </c>
      <c r="U1658" s="563" t="s">
        <v>5351</v>
      </c>
    </row>
    <row r="1659" ht="14.25" customHeight="1" spans="2:21">
      <c r="B1659" s="563" t="s">
        <v>5353</v>
      </c>
      <c r="G1659" s="563" t="s">
        <v>399</v>
      </c>
      <c r="I1659" s="564" t="s">
        <v>1103</v>
      </c>
      <c r="U1659" s="563" t="s">
        <v>5355</v>
      </c>
    </row>
    <row r="1660" ht="14.25" customHeight="1" spans="2:21">
      <c r="B1660" s="563" t="s">
        <v>5356</v>
      </c>
      <c r="G1660" s="563" t="s">
        <v>408</v>
      </c>
      <c r="I1660" s="564" t="s">
        <v>1103</v>
      </c>
      <c r="U1660" s="556"/>
    </row>
    <row r="1661" ht="14.25" customHeight="1" spans="2:21">
      <c r="B1661" s="563" t="s">
        <v>5363</v>
      </c>
      <c r="G1661" s="563" t="s">
        <v>416</v>
      </c>
      <c r="I1661" s="564" t="s">
        <v>1103</v>
      </c>
      <c r="U1661" s="563" t="s">
        <v>5368</v>
      </c>
    </row>
    <row r="1662" ht="14.25" customHeight="1" spans="2:21">
      <c r="B1662" s="563" t="s">
        <v>5370</v>
      </c>
      <c r="G1662" s="563" t="s">
        <v>413</v>
      </c>
      <c r="I1662" s="564" t="s">
        <v>1103</v>
      </c>
      <c r="U1662" s="563" t="s">
        <v>5368</v>
      </c>
    </row>
    <row r="1663" ht="14.25" customHeight="1" spans="2:21">
      <c r="B1663" s="563" t="s">
        <v>5374</v>
      </c>
      <c r="G1663" s="563" t="s">
        <v>413</v>
      </c>
      <c r="I1663" s="564" t="s">
        <v>1103</v>
      </c>
      <c r="U1663" s="563" t="s">
        <v>5368</v>
      </c>
    </row>
    <row r="1664" ht="14.25" customHeight="1" spans="2:21">
      <c r="B1664" s="563" t="s">
        <v>5377</v>
      </c>
      <c r="G1664" s="563" t="s">
        <v>413</v>
      </c>
      <c r="I1664" s="564" t="s">
        <v>1103</v>
      </c>
      <c r="U1664" s="563" t="s">
        <v>5368</v>
      </c>
    </row>
    <row r="1665" ht="14.25" customHeight="1" spans="2:21">
      <c r="B1665" s="563" t="s">
        <v>5380</v>
      </c>
      <c r="G1665" s="563" t="s">
        <v>413</v>
      </c>
      <c r="I1665" s="564" t="s">
        <v>1103</v>
      </c>
      <c r="U1665" s="563" t="s">
        <v>5368</v>
      </c>
    </row>
    <row r="1666" ht="14.25" customHeight="1" spans="2:21">
      <c r="B1666" s="563" t="s">
        <v>5383</v>
      </c>
      <c r="G1666" s="563" t="s">
        <v>413</v>
      </c>
      <c r="I1666" s="564" t="s">
        <v>1103</v>
      </c>
      <c r="U1666" s="563" t="s">
        <v>5368</v>
      </c>
    </row>
    <row r="1667" ht="14.25" customHeight="1" spans="2:21">
      <c r="B1667" s="563" t="s">
        <v>5386</v>
      </c>
      <c r="G1667" s="563" t="s">
        <v>413</v>
      </c>
      <c r="I1667" s="564" t="s">
        <v>1103</v>
      </c>
      <c r="U1667" s="563" t="s">
        <v>5368</v>
      </c>
    </row>
    <row r="1668" ht="14.25" customHeight="1" spans="2:21">
      <c r="B1668" s="563" t="s">
        <v>5395</v>
      </c>
      <c r="G1668" s="563" t="s">
        <v>414</v>
      </c>
      <c r="I1668" s="564" t="s">
        <v>1103</v>
      </c>
      <c r="U1668" s="563" t="s">
        <v>5397</v>
      </c>
    </row>
    <row r="1669" ht="14.25" customHeight="1" spans="2:21">
      <c r="B1669" s="563" t="s">
        <v>5398</v>
      </c>
      <c r="G1669" s="563" t="s">
        <v>415</v>
      </c>
      <c r="I1669" s="564" t="s">
        <v>1103</v>
      </c>
      <c r="U1669" s="563" t="s">
        <v>5400</v>
      </c>
    </row>
    <row r="1670" ht="14.25" customHeight="1" spans="2:21">
      <c r="B1670" s="563" t="s">
        <v>5426</v>
      </c>
      <c r="G1670" s="563" t="s">
        <v>5428</v>
      </c>
      <c r="I1670" s="564" t="s">
        <v>1103</v>
      </c>
      <c r="U1670" s="556"/>
    </row>
    <row r="1671" ht="14.25" customHeight="1" spans="2:21">
      <c r="B1671" s="563" t="s">
        <v>5429</v>
      </c>
      <c r="G1671" s="563" t="s">
        <v>330</v>
      </c>
      <c r="I1671" s="564" t="s">
        <v>1103</v>
      </c>
      <c r="U1671" s="556"/>
    </row>
    <row r="1672" ht="14.25" customHeight="1" spans="2:21">
      <c r="B1672" s="563" t="s">
        <v>5431</v>
      </c>
      <c r="G1672" s="563" t="s">
        <v>330</v>
      </c>
      <c r="I1672" s="564" t="s">
        <v>1103</v>
      </c>
      <c r="U1672" s="556"/>
    </row>
    <row r="1673" ht="14.25" customHeight="1" spans="2:21">
      <c r="B1673" s="563" t="s">
        <v>5433</v>
      </c>
      <c r="G1673" s="563" t="s">
        <v>330</v>
      </c>
      <c r="I1673" s="564" t="s">
        <v>1103</v>
      </c>
      <c r="U1673" s="556"/>
    </row>
    <row r="1674" ht="14.25" customHeight="1" spans="2:21">
      <c r="B1674" s="563" t="s">
        <v>5436</v>
      </c>
      <c r="G1674" s="563" t="s">
        <v>5439</v>
      </c>
      <c r="I1674" s="564" t="s">
        <v>1103</v>
      </c>
      <c r="U1674" s="556"/>
    </row>
    <row r="1675" ht="14.25" customHeight="1" spans="2:21">
      <c r="B1675" s="563" t="s">
        <v>5441</v>
      </c>
      <c r="G1675" s="563" t="s">
        <v>5443</v>
      </c>
      <c r="I1675" s="564" t="s">
        <v>1103</v>
      </c>
      <c r="U1675" s="556"/>
    </row>
    <row r="1676" ht="14.25" customHeight="1" spans="2:21">
      <c r="B1676" s="563" t="s">
        <v>5444</v>
      </c>
      <c r="G1676" s="563" t="s">
        <v>5446</v>
      </c>
      <c r="I1676" s="564" t="s">
        <v>1103</v>
      </c>
      <c r="U1676" s="556"/>
    </row>
    <row r="1677" ht="14.25" customHeight="1" spans="2:21">
      <c r="B1677" s="563" t="s">
        <v>5447</v>
      </c>
      <c r="G1677" s="563" t="s">
        <v>5449</v>
      </c>
      <c r="I1677" s="564" t="s">
        <v>1103</v>
      </c>
      <c r="U1677" s="556"/>
    </row>
    <row r="1678" ht="14.25" customHeight="1" spans="2:21">
      <c r="B1678" s="563" t="s">
        <v>5451</v>
      </c>
      <c r="G1678" s="563" t="s">
        <v>5453</v>
      </c>
      <c r="I1678" s="564" t="s">
        <v>1103</v>
      </c>
      <c r="U1678" s="556"/>
    </row>
    <row r="1679" ht="14.25" customHeight="1" spans="2:21">
      <c r="B1679" s="563" t="s">
        <v>5455</v>
      </c>
      <c r="G1679" s="563" t="s">
        <v>5457</v>
      </c>
      <c r="I1679" s="564" t="s">
        <v>1103</v>
      </c>
      <c r="U1679" s="556"/>
    </row>
    <row r="1680" ht="14.25" customHeight="1" spans="2:21">
      <c r="B1680" s="563" t="s">
        <v>5458</v>
      </c>
      <c r="G1680" s="563" t="s">
        <v>5457</v>
      </c>
      <c r="I1680" s="564" t="s">
        <v>1103</v>
      </c>
      <c r="U1680" s="556"/>
    </row>
    <row r="1681" ht="14.25" customHeight="1" spans="2:21">
      <c r="B1681" s="563" t="s">
        <v>6492</v>
      </c>
      <c r="G1681" s="563" t="s">
        <v>5462</v>
      </c>
      <c r="I1681" s="564" t="s">
        <v>1103</v>
      </c>
      <c r="U1681" s="556"/>
    </row>
    <row r="1682" ht="14.25" customHeight="1" spans="2:21">
      <c r="B1682" s="563" t="s">
        <v>5463</v>
      </c>
      <c r="G1682" s="563" t="s">
        <v>5465</v>
      </c>
      <c r="I1682" s="564" t="s">
        <v>1103</v>
      </c>
      <c r="U1682" s="556"/>
    </row>
    <row r="1683" ht="14.25" customHeight="1" spans="2:21">
      <c r="B1683" s="563" t="s">
        <v>5466</v>
      </c>
      <c r="G1683" s="563" t="s">
        <v>5465</v>
      </c>
      <c r="I1683" s="564" t="s">
        <v>1103</v>
      </c>
      <c r="U1683" s="556"/>
    </row>
    <row r="1684" ht="14.25" customHeight="1" spans="2:21">
      <c r="B1684" s="563" t="s">
        <v>5468</v>
      </c>
      <c r="G1684" s="563" t="s">
        <v>5470</v>
      </c>
      <c r="I1684" s="564" t="s">
        <v>1103</v>
      </c>
      <c r="U1684" s="556"/>
    </row>
    <row r="1685" ht="14.25" customHeight="1" spans="2:21">
      <c r="B1685" s="563" t="s">
        <v>5472</v>
      </c>
      <c r="G1685" s="563" t="s">
        <v>5470</v>
      </c>
      <c r="I1685" s="564" t="s">
        <v>1103</v>
      </c>
      <c r="U1685" s="556"/>
    </row>
    <row r="1686" ht="14.25" customHeight="1" spans="2:21">
      <c r="B1686" s="563" t="s">
        <v>5474</v>
      </c>
      <c r="G1686" s="563" t="s">
        <v>5476</v>
      </c>
      <c r="I1686" s="564" t="s">
        <v>1103</v>
      </c>
      <c r="U1686" s="556"/>
    </row>
    <row r="1687" ht="14.25" customHeight="1" spans="2:21">
      <c r="B1687" s="563" t="s">
        <v>5477</v>
      </c>
      <c r="G1687" s="563" t="s">
        <v>5479</v>
      </c>
      <c r="I1687" s="564" t="s">
        <v>1103</v>
      </c>
      <c r="U1687" s="556"/>
    </row>
    <row r="1688" ht="14.25" customHeight="1" spans="2:21">
      <c r="B1688" s="563" t="s">
        <v>5480</v>
      </c>
      <c r="G1688" s="563" t="s">
        <v>5482</v>
      </c>
      <c r="I1688" s="564" t="s">
        <v>1103</v>
      </c>
      <c r="U1688" s="556"/>
    </row>
    <row r="1689" ht="14.25" customHeight="1" spans="2:21">
      <c r="B1689" s="563" t="s">
        <v>5483</v>
      </c>
      <c r="G1689" s="563" t="s">
        <v>5485</v>
      </c>
      <c r="I1689" s="564" t="s">
        <v>1103</v>
      </c>
      <c r="U1689" s="556"/>
    </row>
    <row r="1690" ht="14.25" customHeight="1" spans="2:21">
      <c r="B1690" s="563" t="s">
        <v>5486</v>
      </c>
      <c r="G1690" s="563" t="s">
        <v>7174</v>
      </c>
      <c r="I1690" s="564" t="s">
        <v>1103</v>
      </c>
      <c r="U1690" s="590" t="s">
        <v>5490</v>
      </c>
    </row>
    <row r="1691" ht="14.25" customHeight="1" spans="2:21">
      <c r="B1691" s="563" t="s">
        <v>5491</v>
      </c>
      <c r="G1691" s="563" t="s">
        <v>361</v>
      </c>
      <c r="I1691" s="564" t="s">
        <v>1103</v>
      </c>
      <c r="U1691" s="556"/>
    </row>
    <row r="1692" ht="14.25" customHeight="1" spans="2:21">
      <c r="B1692" s="563" t="s">
        <v>5494</v>
      </c>
      <c r="G1692" s="563" t="s">
        <v>5495</v>
      </c>
      <c r="I1692" s="564" t="s">
        <v>1103</v>
      </c>
      <c r="U1692" s="556"/>
    </row>
    <row r="1693" ht="14.25" customHeight="1" spans="2:21">
      <c r="B1693" s="563" t="s">
        <v>5496</v>
      </c>
      <c r="G1693" s="563" t="s">
        <v>5498</v>
      </c>
      <c r="I1693" s="564" t="s">
        <v>1103</v>
      </c>
      <c r="U1693" s="563" t="s">
        <v>5499</v>
      </c>
    </row>
    <row r="1694" ht="14.25" customHeight="1" spans="2:21">
      <c r="B1694" s="563" t="s">
        <v>5501</v>
      </c>
      <c r="G1694" s="563" t="s">
        <v>5498</v>
      </c>
      <c r="I1694" s="564" t="s">
        <v>1103</v>
      </c>
      <c r="U1694" s="563" t="s">
        <v>5499</v>
      </c>
    </row>
    <row r="1695" ht="14.25" customHeight="1" spans="2:21">
      <c r="B1695" s="563" t="s">
        <v>5503</v>
      </c>
      <c r="G1695" s="563" t="s">
        <v>5498</v>
      </c>
      <c r="I1695" s="564" t="s">
        <v>1103</v>
      </c>
      <c r="U1695" s="563" t="s">
        <v>5499</v>
      </c>
    </row>
    <row r="1696" ht="14.25" customHeight="1" spans="2:21">
      <c r="B1696" s="563" t="s">
        <v>5505</v>
      </c>
      <c r="G1696" s="563" t="s">
        <v>5498</v>
      </c>
      <c r="I1696" s="564" t="s">
        <v>1103</v>
      </c>
      <c r="U1696" s="563" t="s">
        <v>5499</v>
      </c>
    </row>
    <row r="1697" ht="14.25" customHeight="1" spans="2:21">
      <c r="B1697" s="563" t="s">
        <v>5508</v>
      </c>
      <c r="G1697" s="563" t="s">
        <v>4711</v>
      </c>
      <c r="I1697" s="564" t="s">
        <v>1103</v>
      </c>
      <c r="U1697" s="563" t="s">
        <v>5158</v>
      </c>
    </row>
    <row r="1698" ht="14.25" customHeight="1" spans="2:21">
      <c r="B1698" s="563" t="s">
        <v>5513</v>
      </c>
      <c r="G1698" s="563" t="s">
        <v>297</v>
      </c>
      <c r="I1698" s="564" t="s">
        <v>1103</v>
      </c>
      <c r="U1698" s="556"/>
    </row>
    <row r="1699" ht="14.25" customHeight="1" spans="2:21">
      <c r="B1699" s="563" t="s">
        <v>5517</v>
      </c>
      <c r="G1699" s="563" t="s">
        <v>297</v>
      </c>
      <c r="I1699" s="564" t="s">
        <v>1103</v>
      </c>
      <c r="U1699" s="563" t="s">
        <v>290</v>
      </c>
    </row>
    <row r="1700" ht="14.25" customHeight="1" spans="2:21">
      <c r="B1700" s="563" t="s">
        <v>5518</v>
      </c>
      <c r="G1700" s="563" t="s">
        <v>297</v>
      </c>
      <c r="I1700" s="564" t="s">
        <v>1103</v>
      </c>
      <c r="U1700" s="556"/>
    </row>
    <row r="1701" ht="14.25" customHeight="1" spans="2:21">
      <c r="B1701" s="563" t="s">
        <v>5520</v>
      </c>
      <c r="G1701" s="563" t="s">
        <v>297</v>
      </c>
      <c r="I1701" s="564" t="s">
        <v>1103</v>
      </c>
      <c r="U1701" s="556"/>
    </row>
    <row r="1702" ht="14.25" customHeight="1" spans="2:21">
      <c r="B1702" s="563" t="s">
        <v>5521</v>
      </c>
      <c r="G1702" s="563" t="s">
        <v>297</v>
      </c>
      <c r="I1702" s="564" t="s">
        <v>1103</v>
      </c>
      <c r="U1702" s="556"/>
    </row>
    <row r="1703" ht="14.25" customHeight="1" spans="2:21">
      <c r="B1703" s="563" t="s">
        <v>5523</v>
      </c>
      <c r="G1703" s="563" t="s">
        <v>297</v>
      </c>
      <c r="I1703" s="564" t="s">
        <v>1103</v>
      </c>
      <c r="U1703" s="556"/>
    </row>
    <row r="1704" ht="14.25" customHeight="1" spans="2:21">
      <c r="B1704" s="563" t="s">
        <v>5525</v>
      </c>
      <c r="G1704" s="563" t="s">
        <v>7175</v>
      </c>
      <c r="I1704" s="564" t="s">
        <v>1103</v>
      </c>
      <c r="U1704" s="556"/>
    </row>
    <row r="1705" ht="14.25" customHeight="1" spans="2:21">
      <c r="B1705" s="563" t="s">
        <v>5529</v>
      </c>
      <c r="G1705" s="563" t="s">
        <v>7175</v>
      </c>
      <c r="I1705" s="564" t="s">
        <v>1103</v>
      </c>
      <c r="U1705" s="556"/>
    </row>
    <row r="1706" ht="14.25" customHeight="1" spans="2:21">
      <c r="B1706" s="563" t="s">
        <v>5531</v>
      </c>
      <c r="G1706" s="563" t="s">
        <v>7175</v>
      </c>
      <c r="I1706" s="564" t="s">
        <v>1103</v>
      </c>
      <c r="U1706" s="556"/>
    </row>
    <row r="1707" ht="14.25" customHeight="1" spans="2:21">
      <c r="B1707" s="563" t="s">
        <v>5533</v>
      </c>
      <c r="G1707" s="563" t="s">
        <v>5536</v>
      </c>
      <c r="I1707" s="564" t="s">
        <v>1103</v>
      </c>
      <c r="U1707" s="556"/>
    </row>
    <row r="1708" ht="14.25" customHeight="1" spans="2:21">
      <c r="B1708" s="563" t="s">
        <v>5537</v>
      </c>
      <c r="G1708" s="563" t="s">
        <v>5539</v>
      </c>
      <c r="I1708" s="564" t="s">
        <v>1103</v>
      </c>
      <c r="U1708" s="556"/>
    </row>
    <row r="1709" ht="14.25" customHeight="1" spans="2:21">
      <c r="B1709" s="563" t="s">
        <v>5540</v>
      </c>
      <c r="G1709" s="563" t="s">
        <v>5539</v>
      </c>
      <c r="I1709" s="564" t="s">
        <v>1103</v>
      </c>
      <c r="U1709" s="556"/>
    </row>
    <row r="1710" ht="14.25" customHeight="1" spans="2:21">
      <c r="B1710" s="563" t="s">
        <v>5542</v>
      </c>
      <c r="G1710" s="563" t="s">
        <v>5544</v>
      </c>
      <c r="I1710" s="564" t="s">
        <v>1103</v>
      </c>
      <c r="U1710" s="556"/>
    </row>
    <row r="1711" ht="14.25" customHeight="1" spans="2:21">
      <c r="B1711" s="563" t="s">
        <v>5545</v>
      </c>
      <c r="G1711" s="563" t="s">
        <v>5547</v>
      </c>
      <c r="I1711" s="564" t="s">
        <v>1103</v>
      </c>
      <c r="U1711" s="556"/>
    </row>
    <row r="1712" ht="14.25" customHeight="1" spans="2:21">
      <c r="B1712" s="563" t="s">
        <v>5548</v>
      </c>
      <c r="G1712" s="563" t="s">
        <v>5547</v>
      </c>
      <c r="I1712" s="564" t="s">
        <v>1103</v>
      </c>
      <c r="U1712" s="563" t="s">
        <v>5550</v>
      </c>
    </row>
    <row r="1713" ht="14.25" customHeight="1" spans="2:21">
      <c r="B1713" s="563" t="s">
        <v>6515</v>
      </c>
      <c r="G1713" s="563" t="s">
        <v>7176</v>
      </c>
      <c r="I1713" s="564" t="s">
        <v>1103</v>
      </c>
      <c r="U1713" s="556"/>
    </row>
    <row r="1714" ht="14.25" customHeight="1" spans="2:21">
      <c r="B1714" s="563" t="s">
        <v>6516</v>
      </c>
      <c r="G1714" s="563" t="s">
        <v>7176</v>
      </c>
      <c r="I1714" s="564" t="s">
        <v>1103</v>
      </c>
      <c r="U1714" s="556"/>
    </row>
    <row r="1715" ht="14.25" customHeight="1" spans="2:21">
      <c r="B1715" s="563" t="s">
        <v>6517</v>
      </c>
      <c r="G1715" s="563" t="s">
        <v>7177</v>
      </c>
      <c r="I1715" s="564" t="s">
        <v>1103</v>
      </c>
      <c r="U1715" s="563" t="s">
        <v>7178</v>
      </c>
    </row>
    <row r="1716" ht="14.25" customHeight="1" spans="2:21">
      <c r="B1716" s="563" t="s">
        <v>5558</v>
      </c>
      <c r="G1716" s="563" t="s">
        <v>4308</v>
      </c>
      <c r="I1716" s="564" t="s">
        <v>1103</v>
      </c>
      <c r="U1716" s="563" t="s">
        <v>5562</v>
      </c>
    </row>
    <row r="1717" ht="14.25" customHeight="1" spans="2:21">
      <c r="B1717" s="563" t="s">
        <v>5563</v>
      </c>
      <c r="G1717" s="563" t="s">
        <v>380</v>
      </c>
      <c r="I1717" s="564" t="s">
        <v>1103</v>
      </c>
      <c r="U1717" s="556"/>
    </row>
    <row r="1718" ht="14.25" customHeight="1" spans="2:21">
      <c r="B1718" s="563" t="s">
        <v>5565</v>
      </c>
      <c r="G1718" s="563" t="s">
        <v>5568</v>
      </c>
      <c r="I1718" s="564" t="s">
        <v>1103</v>
      </c>
      <c r="U1718" s="563" t="s">
        <v>5570</v>
      </c>
    </row>
    <row r="1719" ht="14.25" customHeight="1" spans="2:21">
      <c r="B1719" s="563" t="s">
        <v>6518</v>
      </c>
      <c r="G1719" s="563" t="s">
        <v>7179</v>
      </c>
      <c r="I1719" s="564" t="s">
        <v>1103</v>
      </c>
      <c r="U1719" s="563" t="s">
        <v>7180</v>
      </c>
    </row>
    <row r="1720" ht="14.25" customHeight="1" spans="2:21">
      <c r="B1720" s="563" t="s">
        <v>5571</v>
      </c>
      <c r="G1720" s="563" t="s">
        <v>340</v>
      </c>
      <c r="I1720" s="564" t="s">
        <v>1103</v>
      </c>
      <c r="U1720" s="563" t="s">
        <v>5575</v>
      </c>
    </row>
    <row r="1721" ht="14.25" customHeight="1" spans="2:21">
      <c r="B1721" s="563" t="s">
        <v>5576</v>
      </c>
      <c r="G1721" s="563" t="s">
        <v>5579</v>
      </c>
      <c r="I1721" s="564" t="s">
        <v>1103</v>
      </c>
      <c r="U1721" s="563" t="s">
        <v>5581</v>
      </c>
    </row>
    <row r="1722" ht="14.25" customHeight="1" spans="2:21">
      <c r="B1722" s="563" t="s">
        <v>5583</v>
      </c>
      <c r="G1722" s="563" t="s">
        <v>340</v>
      </c>
      <c r="I1722" s="564" t="s">
        <v>1103</v>
      </c>
      <c r="U1722" s="563" t="s">
        <v>5586</v>
      </c>
    </row>
    <row r="1723" ht="14.25" customHeight="1" spans="2:21">
      <c r="B1723" s="563" t="s">
        <v>5587</v>
      </c>
      <c r="G1723" s="563" t="s">
        <v>340</v>
      </c>
      <c r="I1723" s="564" t="s">
        <v>1103</v>
      </c>
      <c r="U1723" s="563" t="s">
        <v>5586</v>
      </c>
    </row>
    <row r="1724" ht="14.25" customHeight="1" spans="2:21">
      <c r="B1724" s="563" t="s">
        <v>5591</v>
      </c>
      <c r="G1724" s="563" t="s">
        <v>340</v>
      </c>
      <c r="I1724" s="564" t="s">
        <v>1103</v>
      </c>
      <c r="U1724" s="563" t="s">
        <v>5586</v>
      </c>
    </row>
    <row r="1725" ht="14.25" customHeight="1" spans="2:21">
      <c r="B1725" s="563" t="s">
        <v>5594</v>
      </c>
      <c r="G1725" s="563" t="s">
        <v>340</v>
      </c>
      <c r="I1725" s="564" t="s">
        <v>1103</v>
      </c>
      <c r="U1725" s="563" t="s">
        <v>5586</v>
      </c>
    </row>
    <row r="1726" ht="14.25" customHeight="1" spans="2:21">
      <c r="B1726" s="563" t="s">
        <v>5597</v>
      </c>
      <c r="G1726" s="563" t="s">
        <v>340</v>
      </c>
      <c r="I1726" s="564" t="s">
        <v>1103</v>
      </c>
      <c r="U1726" s="563" t="s">
        <v>5586</v>
      </c>
    </row>
    <row r="1727" ht="14.25" customHeight="1" spans="2:21">
      <c r="B1727" s="563" t="s">
        <v>5600</v>
      </c>
      <c r="G1727" s="563" t="s">
        <v>340</v>
      </c>
      <c r="I1727" s="564" t="s">
        <v>1103</v>
      </c>
      <c r="U1727" s="563" t="s">
        <v>5586</v>
      </c>
    </row>
    <row r="1728" ht="14.25" customHeight="1" spans="2:21">
      <c r="B1728" s="563" t="s">
        <v>5607</v>
      </c>
      <c r="G1728" s="563" t="s">
        <v>5609</v>
      </c>
      <c r="I1728" s="564" t="s">
        <v>1103</v>
      </c>
      <c r="U1728" s="563" t="s">
        <v>5612</v>
      </c>
    </row>
    <row r="1729" ht="14.25" customHeight="1" spans="2:21">
      <c r="B1729" s="563" t="s">
        <v>5613</v>
      </c>
      <c r="G1729" s="563" t="s">
        <v>391</v>
      </c>
      <c r="I1729" s="564" t="s">
        <v>1103</v>
      </c>
      <c r="U1729" s="563" t="s">
        <v>5616</v>
      </c>
    </row>
    <row r="1730" ht="14.25" customHeight="1" spans="2:21">
      <c r="B1730" s="563" t="s">
        <v>5617</v>
      </c>
      <c r="G1730" s="563" t="s">
        <v>391</v>
      </c>
      <c r="I1730" s="564" t="s">
        <v>1103</v>
      </c>
      <c r="U1730" s="563" t="s">
        <v>5616</v>
      </c>
    </row>
    <row r="1731" ht="14.25" customHeight="1" spans="2:21">
      <c r="B1731" s="563" t="s">
        <v>5619</v>
      </c>
      <c r="G1731" s="563" t="s">
        <v>378</v>
      </c>
      <c r="I1731" s="564" t="s">
        <v>1103</v>
      </c>
      <c r="U1731" s="563" t="s">
        <v>5622</v>
      </c>
    </row>
    <row r="1732" ht="14.25" customHeight="1" spans="2:21">
      <c r="B1732" s="563" t="s">
        <v>5623</v>
      </c>
      <c r="G1732" s="563" t="s">
        <v>348</v>
      </c>
      <c r="I1732" s="564" t="s">
        <v>1103</v>
      </c>
      <c r="U1732" s="563" t="s">
        <v>5627</v>
      </c>
    </row>
    <row r="1733" ht="14.25" customHeight="1" spans="2:21">
      <c r="B1733" s="563" t="s">
        <v>5628</v>
      </c>
      <c r="G1733" s="563" t="s">
        <v>348</v>
      </c>
      <c r="I1733" s="564" t="s">
        <v>1103</v>
      </c>
      <c r="U1733" s="563" t="s">
        <v>5627</v>
      </c>
    </row>
    <row r="1734" ht="14.25" customHeight="1" spans="2:21">
      <c r="B1734" s="563" t="s">
        <v>5630</v>
      </c>
      <c r="G1734" s="563" t="s">
        <v>5633</v>
      </c>
      <c r="I1734" s="564" t="s">
        <v>1103</v>
      </c>
      <c r="U1734" s="556"/>
    </row>
    <row r="1735" ht="14.25" customHeight="1" spans="2:21">
      <c r="B1735" s="563" t="s">
        <v>5634</v>
      </c>
      <c r="G1735" s="563" t="s">
        <v>350</v>
      </c>
      <c r="I1735" s="564" t="s">
        <v>1103</v>
      </c>
      <c r="U1735" s="563" t="s">
        <v>349</v>
      </c>
    </row>
    <row r="1736" ht="14.25" customHeight="1" spans="2:21">
      <c r="B1736" s="563" t="s">
        <v>5638</v>
      </c>
      <c r="G1736" s="563" t="s">
        <v>350</v>
      </c>
      <c r="I1736" s="564" t="s">
        <v>1103</v>
      </c>
      <c r="U1736" s="556"/>
    </row>
    <row r="1737" ht="14.25" customHeight="1" spans="2:21">
      <c r="B1737" s="563" t="s">
        <v>5642</v>
      </c>
      <c r="G1737" s="563" t="s">
        <v>350</v>
      </c>
      <c r="I1737" s="564" t="s">
        <v>1103</v>
      </c>
      <c r="U1737" s="563" t="s">
        <v>5646</v>
      </c>
    </row>
    <row r="1738" ht="14.25" customHeight="1" spans="2:21">
      <c r="B1738" s="563" t="s">
        <v>5647</v>
      </c>
      <c r="G1738" s="563" t="s">
        <v>350</v>
      </c>
      <c r="I1738" s="564" t="s">
        <v>1103</v>
      </c>
      <c r="U1738" s="556"/>
    </row>
    <row r="1739" ht="14.25" customHeight="1" spans="2:21">
      <c r="B1739" s="563" t="s">
        <v>5650</v>
      </c>
      <c r="G1739" s="563" t="s">
        <v>341</v>
      </c>
      <c r="I1739" s="564" t="s">
        <v>1103</v>
      </c>
      <c r="U1739" s="563" t="s">
        <v>5654</v>
      </c>
    </row>
    <row r="1740" ht="14.25" customHeight="1" spans="2:21">
      <c r="B1740" s="563" t="s">
        <v>5655</v>
      </c>
      <c r="G1740" s="576" t="s">
        <v>366</v>
      </c>
      <c r="I1740" s="564" t="s">
        <v>1103</v>
      </c>
      <c r="U1740" s="556"/>
    </row>
    <row r="1741" ht="14.25" customHeight="1" spans="2:21">
      <c r="B1741" s="563" t="s">
        <v>5662</v>
      </c>
      <c r="G1741" s="576" t="s">
        <v>366</v>
      </c>
      <c r="I1741" s="564" t="s">
        <v>1103</v>
      </c>
      <c r="U1741" s="556"/>
    </row>
    <row r="1742" ht="14.25" customHeight="1" spans="2:21">
      <c r="B1742" s="563" t="s">
        <v>5665</v>
      </c>
      <c r="G1742" s="563" t="s">
        <v>368</v>
      </c>
      <c r="I1742" s="564" t="s">
        <v>1103</v>
      </c>
      <c r="U1742" s="556"/>
    </row>
    <row r="1743" ht="14.25" customHeight="1" spans="2:21">
      <c r="B1743" s="563" t="s">
        <v>5668</v>
      </c>
      <c r="G1743" s="563" t="s">
        <v>365</v>
      </c>
      <c r="I1743" s="564" t="s">
        <v>1103</v>
      </c>
      <c r="U1743" s="556"/>
    </row>
    <row r="1744" ht="14.25" customHeight="1" spans="2:21">
      <c r="B1744" s="563" t="s">
        <v>5671</v>
      </c>
      <c r="G1744" s="563" t="s">
        <v>363</v>
      </c>
      <c r="I1744" s="564" t="s">
        <v>1103</v>
      </c>
      <c r="U1744" s="563" t="s">
        <v>5673</v>
      </c>
    </row>
    <row r="1745" ht="14.25" customHeight="1" spans="2:21">
      <c r="B1745" s="563" t="s">
        <v>5674</v>
      </c>
      <c r="G1745" s="563" t="s">
        <v>363</v>
      </c>
      <c r="I1745" s="564" t="s">
        <v>1103</v>
      </c>
      <c r="U1745" s="563" t="s">
        <v>5673</v>
      </c>
    </row>
    <row r="1746" ht="14.25" customHeight="1" spans="2:21">
      <c r="B1746" s="563" t="s">
        <v>5677</v>
      </c>
      <c r="G1746" s="563" t="s">
        <v>5678</v>
      </c>
      <c r="I1746" s="564" t="s">
        <v>1103</v>
      </c>
      <c r="U1746" s="563" t="s">
        <v>5673</v>
      </c>
    </row>
    <row r="1747" ht="14.25" customHeight="1" spans="2:21">
      <c r="B1747" s="563" t="s">
        <v>5691</v>
      </c>
      <c r="G1747" s="563" t="s">
        <v>395</v>
      </c>
      <c r="I1747" s="564" t="s">
        <v>1103</v>
      </c>
      <c r="U1747" s="556"/>
    </row>
    <row r="1748" ht="14.25" customHeight="1" spans="2:21">
      <c r="B1748" s="563" t="s">
        <v>5695</v>
      </c>
      <c r="G1748" s="563" t="s">
        <v>395</v>
      </c>
      <c r="I1748" s="564" t="s">
        <v>1103</v>
      </c>
      <c r="U1748" s="556"/>
    </row>
    <row r="1749" ht="14.25" customHeight="1" spans="2:21">
      <c r="B1749" s="563" t="s">
        <v>5699</v>
      </c>
      <c r="G1749" s="563" t="s">
        <v>352</v>
      </c>
      <c r="I1749" s="564" t="s">
        <v>1103</v>
      </c>
      <c r="U1749" s="563" t="s">
        <v>5703</v>
      </c>
    </row>
    <row r="1750" ht="14.25" customHeight="1" spans="2:21">
      <c r="B1750" s="563" t="s">
        <v>5704</v>
      </c>
      <c r="G1750" s="563" t="s">
        <v>369</v>
      </c>
      <c r="I1750" s="564" t="s">
        <v>1103</v>
      </c>
      <c r="U1750" s="563" t="s">
        <v>5709</v>
      </c>
    </row>
    <row r="1751" ht="14.25" customHeight="1" spans="2:21">
      <c r="B1751" s="563" t="s">
        <v>5710</v>
      </c>
      <c r="G1751" s="563" t="s">
        <v>369</v>
      </c>
      <c r="I1751" s="564" t="s">
        <v>1103</v>
      </c>
      <c r="U1751" s="563" t="s">
        <v>5709</v>
      </c>
    </row>
    <row r="1752" ht="14.25" customHeight="1" spans="2:21">
      <c r="B1752" s="563" t="s">
        <v>5712</v>
      </c>
      <c r="G1752" s="563" t="s">
        <v>359</v>
      </c>
      <c r="I1752" s="564" t="s">
        <v>1103</v>
      </c>
      <c r="U1752" s="563" t="s">
        <v>5718</v>
      </c>
    </row>
    <row r="1753" ht="14.25" customHeight="1" spans="2:21">
      <c r="B1753" s="563" t="s">
        <v>5726</v>
      </c>
      <c r="G1753" s="563" t="s">
        <v>370</v>
      </c>
      <c r="I1753" s="564" t="s">
        <v>1103</v>
      </c>
      <c r="U1753" s="556"/>
    </row>
    <row r="1754" ht="14.25" customHeight="1" spans="2:21">
      <c r="B1754" s="563" t="s">
        <v>5728</v>
      </c>
      <c r="G1754" s="563" t="s">
        <v>370</v>
      </c>
      <c r="I1754" s="564" t="s">
        <v>1103</v>
      </c>
      <c r="U1754" s="556"/>
    </row>
    <row r="1755" ht="14.25" customHeight="1" spans="2:21">
      <c r="B1755" s="563" t="s">
        <v>5730</v>
      </c>
      <c r="G1755" s="563" t="s">
        <v>367</v>
      </c>
      <c r="I1755" s="564" t="s">
        <v>1103</v>
      </c>
      <c r="U1755" s="556"/>
    </row>
    <row r="1756" ht="14.25" customHeight="1" spans="2:21">
      <c r="B1756" s="563" t="s">
        <v>5733</v>
      </c>
      <c r="G1756" s="563" t="s">
        <v>346</v>
      </c>
      <c r="I1756" s="564" t="s">
        <v>1103</v>
      </c>
      <c r="U1756" s="563" t="s">
        <v>5736</v>
      </c>
    </row>
    <row r="1757" ht="14.25" customHeight="1" spans="2:21">
      <c r="B1757" s="556"/>
      <c r="G1757" s="556"/>
      <c r="I1757" s="564" t="s">
        <v>1103</v>
      </c>
      <c r="U1757" s="556"/>
    </row>
    <row r="1758" ht="14.25" customHeight="1" spans="2:21">
      <c r="B1758" s="556"/>
      <c r="G1758" s="556"/>
      <c r="I1758" s="556"/>
      <c r="U1758" s="556"/>
    </row>
    <row r="1759" ht="14.25" customHeight="1" spans="2:21">
      <c r="B1759" s="580" t="s">
        <v>5773</v>
      </c>
      <c r="G1759" s="589"/>
      <c r="I1759" s="556"/>
      <c r="U1759" s="589"/>
    </row>
    <row r="1760" ht="14.25" customHeight="1" spans="2:21">
      <c r="B1760" s="563" t="s">
        <v>5774</v>
      </c>
      <c r="G1760" s="563" t="s">
        <v>412</v>
      </c>
      <c r="I1760" s="589"/>
      <c r="U1760" s="582"/>
    </row>
    <row r="1761" ht="14.25" customHeight="1" spans="2:21">
      <c r="B1761" s="563" t="s">
        <v>5778</v>
      </c>
      <c r="G1761" s="563" t="s">
        <v>412</v>
      </c>
      <c r="I1761" s="564" t="s">
        <v>7181</v>
      </c>
      <c r="U1761" s="582"/>
    </row>
    <row r="1762" ht="14.25" customHeight="1" spans="2:21">
      <c r="B1762" s="563" t="s">
        <v>5781</v>
      </c>
      <c r="G1762" s="563" t="s">
        <v>412</v>
      </c>
      <c r="I1762" s="564" t="s">
        <v>7181</v>
      </c>
      <c r="U1762" s="582"/>
    </row>
    <row r="1763" ht="14.25" customHeight="1" spans="2:21">
      <c r="B1763" s="563" t="s">
        <v>5784</v>
      </c>
      <c r="G1763" s="563" t="s">
        <v>412</v>
      </c>
      <c r="I1763" s="564" t="s">
        <v>7181</v>
      </c>
      <c r="U1763" s="582"/>
    </row>
    <row r="1764" ht="14.25" customHeight="1" spans="2:21">
      <c r="B1764" s="563" t="s">
        <v>5787</v>
      </c>
      <c r="G1764" s="563" t="s">
        <v>412</v>
      </c>
      <c r="I1764" s="564" t="s">
        <v>7181</v>
      </c>
      <c r="U1764" s="582"/>
    </row>
    <row r="1765" ht="14.25" customHeight="1" spans="2:21">
      <c r="B1765" s="563" t="s">
        <v>5790</v>
      </c>
      <c r="G1765" s="563" t="s">
        <v>412</v>
      </c>
      <c r="I1765" s="564" t="s">
        <v>7181</v>
      </c>
      <c r="U1765" s="582"/>
    </row>
    <row r="1766" ht="14.25" customHeight="1" spans="2:21">
      <c r="B1766" s="563" t="s">
        <v>5793</v>
      </c>
      <c r="G1766" s="563" t="s">
        <v>412</v>
      </c>
      <c r="I1766" s="564" t="s">
        <v>7181</v>
      </c>
      <c r="U1766" s="582"/>
    </row>
    <row r="1767" ht="14.25" customHeight="1" spans="2:21">
      <c r="B1767" s="563" t="s">
        <v>5796</v>
      </c>
      <c r="G1767" s="563" t="s">
        <v>417</v>
      </c>
      <c r="I1767" s="564" t="s">
        <v>7181</v>
      </c>
      <c r="U1767" s="582"/>
    </row>
    <row r="1768" ht="14.25" customHeight="1" spans="2:21">
      <c r="B1768" s="563" t="s">
        <v>5800</v>
      </c>
      <c r="G1768" s="563" t="s">
        <v>417</v>
      </c>
      <c r="I1768" s="564" t="s">
        <v>7181</v>
      </c>
      <c r="U1768" s="582"/>
    </row>
    <row r="1769" ht="14.25" customHeight="1" spans="2:21">
      <c r="B1769" s="563" t="s">
        <v>5804</v>
      </c>
      <c r="G1769" s="563" t="s">
        <v>412</v>
      </c>
      <c r="I1769" s="564" t="s">
        <v>7181</v>
      </c>
      <c r="U1769" s="582"/>
    </row>
    <row r="1770" ht="14.25" customHeight="1" spans="2:21">
      <c r="B1770" s="563" t="s">
        <v>5807</v>
      </c>
      <c r="G1770" s="563" t="s">
        <v>417</v>
      </c>
      <c r="I1770" s="564" t="s">
        <v>7181</v>
      </c>
      <c r="U1770" s="582"/>
    </row>
    <row r="1771" ht="14.25" customHeight="1" spans="2:21">
      <c r="B1771" s="563" t="s">
        <v>5810</v>
      </c>
      <c r="G1771" s="563" t="s">
        <v>417</v>
      </c>
      <c r="I1771" s="564" t="s">
        <v>7181</v>
      </c>
      <c r="U1771" s="582"/>
    </row>
    <row r="1772" ht="14.25" customHeight="1" spans="2:21">
      <c r="B1772" s="563" t="s">
        <v>5813</v>
      </c>
      <c r="G1772" s="563" t="s">
        <v>417</v>
      </c>
      <c r="I1772" s="564" t="s">
        <v>7181</v>
      </c>
      <c r="U1772" s="591"/>
    </row>
    <row r="1773" ht="14.25" customHeight="1" spans="2:21">
      <c r="B1773" s="563" t="s">
        <v>5816</v>
      </c>
      <c r="G1773" s="563" t="s">
        <v>417</v>
      </c>
      <c r="I1773" s="564" t="s">
        <v>7181</v>
      </c>
      <c r="U1773" s="591"/>
    </row>
    <row r="1774" ht="14.25" customHeight="1" spans="2:21">
      <c r="B1774" s="563" t="s">
        <v>5819</v>
      </c>
      <c r="G1774" s="563" t="s">
        <v>412</v>
      </c>
      <c r="I1774" s="564" t="s">
        <v>7181</v>
      </c>
      <c r="U1774" s="591"/>
    </row>
    <row r="1775" ht="14.25" customHeight="1" spans="2:21">
      <c r="B1775" s="563" t="s">
        <v>5822</v>
      </c>
      <c r="G1775" s="563" t="s">
        <v>412</v>
      </c>
      <c r="I1775" s="564" t="s">
        <v>7181</v>
      </c>
      <c r="U1775" s="591"/>
    </row>
    <row r="1776" ht="14.25" customHeight="1" spans="2:21">
      <c r="B1776" s="563" t="s">
        <v>5825</v>
      </c>
      <c r="G1776" s="563" t="s">
        <v>412</v>
      </c>
      <c r="I1776" s="564" t="s">
        <v>7181</v>
      </c>
      <c r="U1776" s="591"/>
    </row>
    <row r="1777" ht="14.25" customHeight="1" spans="2:21">
      <c r="B1777" s="556"/>
      <c r="G1777" s="556"/>
      <c r="I1777" s="564" t="s">
        <v>7181</v>
      </c>
      <c r="U1777" s="582"/>
    </row>
    <row r="1778" ht="14.25" customHeight="1" spans="2:21">
      <c r="B1778" s="580" t="s">
        <v>5832</v>
      </c>
      <c r="G1778" s="589"/>
      <c r="I1778" s="556"/>
      <c r="U1778" s="589"/>
    </row>
    <row r="1779" ht="14.25" customHeight="1" spans="2:21">
      <c r="B1779" s="563" t="s">
        <v>5819</v>
      </c>
      <c r="G1779" s="563" t="s">
        <v>417</v>
      </c>
      <c r="I1779" s="589"/>
      <c r="U1779" s="591"/>
    </row>
    <row r="1780" ht="14.25" customHeight="1" spans="2:21">
      <c r="B1780" s="563" t="s">
        <v>5822</v>
      </c>
      <c r="G1780" s="563" t="s">
        <v>418</v>
      </c>
      <c r="I1780" s="564" t="s">
        <v>1348</v>
      </c>
      <c r="U1780" s="591"/>
    </row>
    <row r="1781" ht="14.25" customHeight="1" spans="2:21">
      <c r="B1781" s="582"/>
      <c r="G1781" s="556"/>
      <c r="I1781" s="564" t="s">
        <v>7182</v>
      </c>
      <c r="U1781" s="582"/>
    </row>
    <row r="1782" ht="14.25" customHeight="1" spans="2:21">
      <c r="B1782" s="580" t="s">
        <v>7183</v>
      </c>
      <c r="G1782" s="589"/>
      <c r="I1782" s="556"/>
      <c r="U1782" s="589"/>
    </row>
    <row r="1783" ht="14.25" customHeight="1" spans="2:21">
      <c r="B1783" s="563" t="s">
        <v>5841</v>
      </c>
      <c r="G1783" s="563" t="s">
        <v>393</v>
      </c>
      <c r="I1783" s="589"/>
      <c r="U1783" s="563" t="s">
        <v>5842</v>
      </c>
    </row>
    <row r="1784" ht="14.25" customHeight="1" spans="2:21">
      <c r="B1784" s="563" t="s">
        <v>5843</v>
      </c>
      <c r="G1784" s="563" t="s">
        <v>5845</v>
      </c>
      <c r="I1784" s="564" t="s">
        <v>2735</v>
      </c>
      <c r="U1784" s="556"/>
    </row>
    <row r="1785" ht="14.25" customHeight="1" spans="2:21">
      <c r="B1785" s="563" t="s">
        <v>5847</v>
      </c>
      <c r="G1785" s="563" t="s">
        <v>5845</v>
      </c>
      <c r="I1785" s="564" t="s">
        <v>7184</v>
      </c>
      <c r="U1785" s="556"/>
    </row>
    <row r="1786" ht="14.25" customHeight="1" spans="2:21">
      <c r="B1786" s="563" t="s">
        <v>5849</v>
      </c>
      <c r="G1786" s="563" t="s">
        <v>5845</v>
      </c>
      <c r="I1786" s="564" t="s">
        <v>7184</v>
      </c>
      <c r="U1786" s="556"/>
    </row>
    <row r="1787" ht="14.25" customHeight="1" spans="2:21">
      <c r="B1787" s="563" t="s">
        <v>5851</v>
      </c>
      <c r="G1787" s="563" t="s">
        <v>5845</v>
      </c>
      <c r="I1787" s="564" t="s">
        <v>7184</v>
      </c>
      <c r="U1787" s="556"/>
    </row>
    <row r="1788" ht="14.25" customHeight="1" spans="2:21">
      <c r="B1788" s="563" t="s">
        <v>5853</v>
      </c>
      <c r="G1788" s="563" t="s">
        <v>270</v>
      </c>
      <c r="I1788" s="564" t="s">
        <v>7184</v>
      </c>
      <c r="U1788" s="556"/>
    </row>
    <row r="1789" ht="14.25" customHeight="1" spans="2:21">
      <c r="B1789" s="563" t="s">
        <v>5856</v>
      </c>
      <c r="G1789" s="563" t="s">
        <v>401</v>
      </c>
      <c r="I1789" s="564" t="s">
        <v>7184</v>
      </c>
      <c r="U1789" s="556"/>
    </row>
    <row r="1790" ht="14.25" customHeight="1" spans="2:21">
      <c r="B1790" s="563" t="s">
        <v>5860</v>
      </c>
      <c r="G1790" s="563" t="s">
        <v>5845</v>
      </c>
      <c r="I1790" s="564" t="s">
        <v>3023</v>
      </c>
      <c r="U1790" s="556"/>
    </row>
    <row r="1791" ht="14.25" customHeight="1" spans="2:21">
      <c r="B1791" s="563" t="s">
        <v>5863</v>
      </c>
      <c r="G1791" s="563" t="s">
        <v>5865</v>
      </c>
      <c r="I1791" s="564" t="s">
        <v>5861</v>
      </c>
      <c r="U1791" s="563" t="s">
        <v>3639</v>
      </c>
    </row>
    <row r="1792" ht="14.25" customHeight="1" spans="2:21">
      <c r="B1792" s="563" t="s">
        <v>5866</v>
      </c>
      <c r="G1792" s="563" t="s">
        <v>5865</v>
      </c>
      <c r="I1792" s="564" t="s">
        <v>5861</v>
      </c>
      <c r="U1792" s="563" t="s">
        <v>3639</v>
      </c>
    </row>
    <row r="1793" ht="14.25" customHeight="1" spans="2:21">
      <c r="B1793" s="563" t="s">
        <v>5868</v>
      </c>
      <c r="G1793" s="563" t="s">
        <v>5865</v>
      </c>
      <c r="I1793" s="564" t="s">
        <v>5861</v>
      </c>
      <c r="U1793" s="563" t="s">
        <v>3639</v>
      </c>
    </row>
    <row r="1794" ht="14.25" customHeight="1" spans="2:21">
      <c r="B1794" s="563" t="s">
        <v>5870</v>
      </c>
      <c r="G1794" s="563" t="s">
        <v>5865</v>
      </c>
      <c r="I1794" s="564" t="s">
        <v>5861</v>
      </c>
      <c r="U1794" s="563" t="s">
        <v>3639</v>
      </c>
    </row>
    <row r="1795" ht="14.25" customHeight="1" spans="2:21">
      <c r="B1795" s="563" t="s">
        <v>5872</v>
      </c>
      <c r="G1795" s="563" t="s">
        <v>5865</v>
      </c>
      <c r="I1795" s="564" t="s">
        <v>5861</v>
      </c>
      <c r="U1795" s="563" t="s">
        <v>3639</v>
      </c>
    </row>
    <row r="1796" ht="14.25" customHeight="1" spans="2:21">
      <c r="B1796" s="563" t="s">
        <v>5874</v>
      </c>
      <c r="G1796" s="563" t="s">
        <v>5865</v>
      </c>
      <c r="I1796" s="564" t="s">
        <v>5861</v>
      </c>
      <c r="U1796" s="563" t="s">
        <v>3639</v>
      </c>
    </row>
    <row r="1797" ht="14.25" customHeight="1" spans="2:21">
      <c r="B1797" s="563" t="s">
        <v>5876</v>
      </c>
      <c r="G1797" s="563" t="s">
        <v>5865</v>
      </c>
      <c r="I1797" s="564" t="s">
        <v>5861</v>
      </c>
      <c r="U1797" s="563" t="s">
        <v>3639</v>
      </c>
    </row>
    <row r="1798" ht="14.25" customHeight="1" spans="2:21">
      <c r="B1798" s="563" t="s">
        <v>5877</v>
      </c>
      <c r="G1798" s="563" t="s">
        <v>5865</v>
      </c>
      <c r="I1798" s="564" t="s">
        <v>5861</v>
      </c>
      <c r="U1798" s="563" t="s">
        <v>3639</v>
      </c>
    </row>
    <row r="1799" ht="14.25" customHeight="1" spans="2:21">
      <c r="I1799" s="564" t="s">
        <v>5861</v>
      </c>
    </row>
  </sheetData>
  <autoFilter xmlns:etc="http://www.wps.cn/officeDocument/2017/etCustomData" ref="B1:I1799" etc:filterBottomFollowUsedRange="0">
    <extLst/>
  </autoFilter>
  <pageMargins left="0.7" right="0.7" top="0.75" bottom="0.75" header="0" footer="0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12.6333333333333" defaultRowHeight="15" customHeight="1" outlineLevelCol="7"/>
  <cols>
    <col min="1" max="1" width="12" customWidth="1"/>
    <col min="2" max="2" width="30.5" customWidth="1"/>
    <col min="3" max="5" width="10.25" customWidth="1"/>
    <col min="6" max="6" width="16.8833333333333" customWidth="1"/>
    <col min="7" max="7" width="7.75" customWidth="1"/>
    <col min="8" max="26" width="7.63333333333333" customWidth="1"/>
  </cols>
  <sheetData>
    <row r="1" ht="14.25" customHeight="1" spans="1:8">
      <c r="A1" s="462" t="s">
        <v>7185</v>
      </c>
      <c r="B1" s="463" t="s">
        <v>436</v>
      </c>
      <c r="C1" s="464"/>
      <c r="D1" s="465" t="s">
        <v>7186</v>
      </c>
      <c r="E1" s="466"/>
      <c r="F1" s="467"/>
      <c r="G1" s="468"/>
    </row>
    <row r="2" ht="14.25" customHeight="1" spans="1:8">
      <c r="A2" s="462"/>
      <c r="B2" s="463"/>
      <c r="C2" s="90" t="s">
        <v>7187</v>
      </c>
      <c r="D2" s="90" t="s">
        <v>7188</v>
      </c>
      <c r="E2" s="90" t="s">
        <v>7189</v>
      </c>
      <c r="F2" s="469" t="s">
        <v>7190</v>
      </c>
    </row>
    <row r="3" ht="14.25" customHeight="1" spans="1:8">
      <c r="A3" s="2" t="e">
        <f>VLOOKUP(B3,'Danh mục'!$O:$P,2,0)</f>
        <v>#N/A</v>
      </c>
      <c r="B3" s="470" t="s">
        <v>454</v>
      </c>
      <c r="C3" s="471">
        <v>9560</v>
      </c>
      <c r="D3" s="467">
        <v>2800</v>
      </c>
      <c r="E3" s="467">
        <v>3160</v>
      </c>
      <c r="F3" s="467" t="str">
        <f t="shared" ref="F3:F102" si="0">CONCATENATE(C3," x ",D3," x ",E3)</f>
        <v>9560 x 2800 x 3160</v>
      </c>
    </row>
    <row r="4" ht="14.25" customHeight="1" spans="1:8">
      <c r="A4" s="2" t="e">
        <f>VLOOKUP(B4,'Danh mục'!$O:$P,2,0)</f>
        <v>#N/A</v>
      </c>
      <c r="B4" s="470" t="s">
        <v>459</v>
      </c>
      <c r="C4" s="467">
        <v>9460</v>
      </c>
      <c r="D4" s="467">
        <v>2800</v>
      </c>
      <c r="E4" s="467">
        <v>3200</v>
      </c>
      <c r="F4" s="467" t="str">
        <f t="shared" si="0"/>
        <v>9460 x 2800 x 3200</v>
      </c>
    </row>
    <row r="5" ht="14.25" customHeight="1" spans="1:8">
      <c r="A5" s="2" t="e">
        <f>VLOOKUP(B5,'Danh mục'!$O:$P,2,0)</f>
        <v>#N/A</v>
      </c>
      <c r="B5" s="470" t="s">
        <v>466</v>
      </c>
      <c r="C5" s="467">
        <v>7235</v>
      </c>
      <c r="D5" s="467">
        <v>2496</v>
      </c>
      <c r="E5" s="467">
        <v>3351</v>
      </c>
      <c r="F5" s="467" t="str">
        <f t="shared" si="0"/>
        <v>7235 x 2496 x 3351</v>
      </c>
      <c r="G5" s="472"/>
    </row>
    <row r="6" ht="14.25" customHeight="1" spans="1:8">
      <c r="A6" s="2" t="e">
        <f>VLOOKUP(B6,'Danh mục'!$O:$P,2,0)</f>
        <v>#N/A</v>
      </c>
      <c r="B6" s="473" t="s">
        <v>472</v>
      </c>
      <c r="C6" s="467">
        <v>9460</v>
      </c>
      <c r="D6" s="467">
        <v>2800</v>
      </c>
      <c r="E6" s="467">
        <v>3200</v>
      </c>
      <c r="F6" s="467" t="str">
        <f t="shared" si="0"/>
        <v>9460 x 2800 x 3200</v>
      </c>
    </row>
    <row r="7" ht="14.25" customHeight="1" spans="1:8">
      <c r="A7" s="2" t="e">
        <f>VLOOKUP(B7,'Danh mục'!$O:$P,2,0)</f>
        <v>#N/A</v>
      </c>
      <c r="B7" s="473" t="s">
        <v>475</v>
      </c>
      <c r="C7" s="467">
        <v>7640</v>
      </c>
      <c r="D7" s="467">
        <v>2590</v>
      </c>
      <c r="E7" s="467">
        <v>2820</v>
      </c>
      <c r="F7" s="467" t="str">
        <f t="shared" si="0"/>
        <v>7640 x 2590 x 2820</v>
      </c>
    </row>
    <row r="8" ht="14.25" customHeight="1" spans="1:8">
      <c r="A8" s="2" t="e">
        <f>VLOOKUP(B8,'Danh mục'!$O:$P,2,0)</f>
        <v>#N/A</v>
      </c>
      <c r="B8" s="470" t="s">
        <v>481</v>
      </c>
      <c r="C8" s="467">
        <v>4200</v>
      </c>
      <c r="D8" s="467">
        <v>2980</v>
      </c>
      <c r="E8" s="467">
        <v>2720</v>
      </c>
      <c r="F8" s="467" t="str">
        <f t="shared" si="0"/>
        <v>4200 x 2980 x 2720</v>
      </c>
    </row>
    <row r="9" ht="14.25" customHeight="1" spans="1:8">
      <c r="A9" s="2" t="e">
        <f>VLOOKUP(B9,'Danh mục'!$O:$P,2,0)</f>
        <v>#N/A</v>
      </c>
      <c r="B9" s="470" t="s">
        <v>485</v>
      </c>
      <c r="C9" s="467">
        <v>5585</v>
      </c>
      <c r="D9" s="467">
        <v>3000</v>
      </c>
      <c r="E9" s="467">
        <v>3055</v>
      </c>
      <c r="F9" s="467" t="str">
        <f t="shared" si="0"/>
        <v>5585 x 3000 x 3055</v>
      </c>
    </row>
    <row r="10" ht="14.25" customHeight="1" spans="1:8">
      <c r="A10" s="2" t="e">
        <f>VLOOKUP(B10,'Danh mục'!$O:$P,2,0)</f>
        <v>#N/A</v>
      </c>
      <c r="B10" s="473" t="s">
        <v>488</v>
      </c>
      <c r="C10" s="467">
        <v>5550</v>
      </c>
      <c r="D10" s="467">
        <v>3970</v>
      </c>
      <c r="E10" s="467">
        <v>3090</v>
      </c>
      <c r="F10" s="467" t="str">
        <f t="shared" si="0"/>
        <v>5550 x 3970 x 3090</v>
      </c>
    </row>
    <row r="11" ht="14.25" customHeight="1" spans="1:8">
      <c r="A11" s="2" t="e">
        <f>VLOOKUP(B11,'Danh mục'!$O:$P,2,0)</f>
        <v>#N/A</v>
      </c>
      <c r="B11" s="470" t="s">
        <v>501</v>
      </c>
      <c r="C11" s="467">
        <v>9290</v>
      </c>
      <c r="D11" s="467">
        <v>2500</v>
      </c>
      <c r="E11" s="467">
        <v>3370</v>
      </c>
      <c r="F11" s="467" t="str">
        <f t="shared" si="0"/>
        <v>9290 x 2500 x 3370</v>
      </c>
    </row>
    <row r="12" ht="14.25" customHeight="1" spans="1:8">
      <c r="A12" s="2" t="e">
        <f>VLOOKUP(B12,'Danh mục'!$O:$P,2,0)</f>
        <v>#N/A</v>
      </c>
      <c r="B12" s="473" t="s">
        <v>509</v>
      </c>
      <c r="C12" s="467">
        <v>7800</v>
      </c>
      <c r="D12" s="467">
        <v>2500</v>
      </c>
      <c r="E12" s="467">
        <v>3480</v>
      </c>
      <c r="F12" s="467" t="str">
        <f t="shared" si="0"/>
        <v>7800 x 2500 x 3480</v>
      </c>
    </row>
    <row r="13" ht="14.25" customHeight="1" spans="1:8">
      <c r="A13" s="2" t="e">
        <f>VLOOKUP(B13,'Danh mục'!$O:$P,2,0)</f>
        <v>#N/A</v>
      </c>
      <c r="B13" s="473" t="s">
        <v>531</v>
      </c>
      <c r="C13" s="467">
        <v>5810</v>
      </c>
      <c r="D13" s="467">
        <v>2300</v>
      </c>
      <c r="E13" s="467">
        <v>2860</v>
      </c>
      <c r="F13" s="467" t="str">
        <f t="shared" si="0"/>
        <v>5810 x 2300 x 2860</v>
      </c>
    </row>
    <row r="14" ht="14.25" customHeight="1" spans="1:8">
      <c r="A14" s="2" t="e">
        <f>VLOOKUP(B14,'Danh mục'!$O:$P,2,0)</f>
        <v>#N/A</v>
      </c>
      <c r="B14" s="470" t="s">
        <v>534</v>
      </c>
      <c r="C14" s="467">
        <v>5020</v>
      </c>
      <c r="D14" s="467">
        <v>2000</v>
      </c>
      <c r="E14" s="467">
        <v>3115</v>
      </c>
      <c r="F14" s="467" t="str">
        <f t="shared" si="0"/>
        <v>5020 x 2000 x 3115</v>
      </c>
      <c r="H14" s="472"/>
    </row>
    <row r="15" ht="14.25" customHeight="1" spans="1:8">
      <c r="A15" s="2" t="e">
        <f>VLOOKUP(B15,'Danh mục'!$O:$P,2,0)</f>
        <v>#N/A</v>
      </c>
      <c r="B15" s="470" t="s">
        <v>6535</v>
      </c>
      <c r="C15" s="467">
        <f t="shared" ref="C15:E15" si="1">C11</f>
        <v>9290</v>
      </c>
      <c r="D15" s="467">
        <f t="shared" si="1"/>
        <v>2500</v>
      </c>
      <c r="E15" s="467">
        <f t="shared" si="1"/>
        <v>3370</v>
      </c>
      <c r="F15" s="467" t="str">
        <f t="shared" si="0"/>
        <v>9290 x 2500 x 3370</v>
      </c>
    </row>
    <row r="16" ht="14.25" customHeight="1" spans="1:8">
      <c r="A16" s="2" t="e">
        <f>VLOOKUP(B16,'Danh mục'!$O:$P,2,0)</f>
        <v>#N/A</v>
      </c>
      <c r="B16" s="470" t="s">
        <v>545</v>
      </c>
      <c r="C16" s="467">
        <v>8420</v>
      </c>
      <c r="D16" s="467">
        <v>2375</v>
      </c>
      <c r="E16" s="467">
        <v>3240</v>
      </c>
      <c r="F16" s="467" t="str">
        <f t="shared" si="0"/>
        <v>8420 x 2375 x 3240</v>
      </c>
    </row>
    <row r="17" ht="14.25" customHeight="1" spans="1:7">
      <c r="A17" s="2" t="e">
        <f>VLOOKUP(B17,'Danh mục'!$O:$P,2,0)</f>
        <v>#N/A</v>
      </c>
      <c r="B17" s="470" t="s">
        <v>550</v>
      </c>
      <c r="C17" s="467">
        <v>11050</v>
      </c>
      <c r="D17" s="467">
        <v>2790</v>
      </c>
      <c r="E17" s="467">
        <v>3260</v>
      </c>
      <c r="F17" s="467" t="str">
        <f t="shared" si="0"/>
        <v>11050 x 2790 x 3260</v>
      </c>
      <c r="G17" s="468"/>
    </row>
    <row r="18" ht="14.25" customHeight="1" spans="1:7">
      <c r="A18" s="2" t="e">
        <f>VLOOKUP(B18,'Danh mục'!$O:$P,2,0)</f>
        <v>#N/A</v>
      </c>
      <c r="B18" s="474" t="s">
        <v>556</v>
      </c>
      <c r="C18" s="467">
        <v>5260</v>
      </c>
      <c r="D18" s="467">
        <v>1760</v>
      </c>
      <c r="E18" s="467">
        <v>2415</v>
      </c>
      <c r="F18" s="467" t="str">
        <f t="shared" si="0"/>
        <v>5260 x 1760 x 2415</v>
      </c>
      <c r="G18" s="468"/>
    </row>
    <row r="19" ht="14.25" customHeight="1" spans="1:7">
      <c r="A19" s="2" t="e">
        <f>VLOOKUP(B19,'Danh mục'!$O:$P,2,0)</f>
        <v>#N/A</v>
      </c>
      <c r="B19" s="470" t="s">
        <v>569</v>
      </c>
      <c r="C19" s="467">
        <v>5550</v>
      </c>
      <c r="D19" s="467">
        <v>1960</v>
      </c>
      <c r="E19" s="467">
        <v>2550</v>
      </c>
      <c r="F19" s="467" t="str">
        <f t="shared" si="0"/>
        <v>5550 x 1960 x 2550</v>
      </c>
      <c r="G19" s="468"/>
    </row>
    <row r="20" ht="14.25" customHeight="1" spans="1:7">
      <c r="A20" s="2" t="e">
        <f>VLOOKUP(B20,'Danh mục'!$O:$P,2,0)</f>
        <v>#N/A</v>
      </c>
      <c r="B20" s="474" t="s">
        <v>583</v>
      </c>
      <c r="C20" s="467">
        <f t="shared" ref="C20:E20" si="2">C18</f>
        <v>5260</v>
      </c>
      <c r="D20" s="467">
        <f t="shared" si="2"/>
        <v>1760</v>
      </c>
      <c r="E20" s="467">
        <f t="shared" si="2"/>
        <v>2415</v>
      </c>
      <c r="F20" s="467" t="str">
        <f t="shared" si="0"/>
        <v>5260 x 1760 x 2415</v>
      </c>
      <c r="G20" s="468"/>
    </row>
    <row r="21" ht="14.25" customHeight="1" spans="1:7">
      <c r="A21" s="2" t="e">
        <f>VLOOKUP(B21,'Danh mục'!$O:$P,2,0)</f>
        <v>#N/A</v>
      </c>
      <c r="B21" s="474" t="s">
        <v>591</v>
      </c>
      <c r="C21" s="467">
        <v>3100</v>
      </c>
      <c r="D21" s="467">
        <v>1400</v>
      </c>
      <c r="E21" s="467">
        <v>1585</v>
      </c>
      <c r="F21" s="467" t="str">
        <f t="shared" si="0"/>
        <v>3100 x 1400 x 1585</v>
      </c>
      <c r="G21" s="468"/>
    </row>
    <row r="22" ht="14.25" customHeight="1" spans="1:7">
      <c r="A22" s="2" t="e">
        <f>VLOOKUP(B22,'Danh mục'!$O:$P,2,0)</f>
        <v>#N/A</v>
      </c>
      <c r="B22" s="470" t="s">
        <v>598</v>
      </c>
      <c r="C22" s="467">
        <v>8358</v>
      </c>
      <c r="D22" s="467">
        <v>2540</v>
      </c>
      <c r="E22" s="467">
        <v>3200</v>
      </c>
      <c r="F22" s="467" t="str">
        <f t="shared" si="0"/>
        <v>8358 x 2540 x 3200</v>
      </c>
      <c r="G22" s="468"/>
    </row>
    <row r="23" ht="14.25" customHeight="1" spans="1:7">
      <c r="A23" s="2" t="e">
        <f>VLOOKUP(B23,'Danh mục'!$O:$P,2,0)</f>
        <v>#N/A</v>
      </c>
      <c r="B23" s="474" t="s">
        <v>603</v>
      </c>
      <c r="C23" s="467">
        <f t="shared" ref="C23:E23" si="3">C40</f>
        <v>9660</v>
      </c>
      <c r="D23" s="467">
        <f t="shared" si="3"/>
        <v>2550</v>
      </c>
      <c r="E23" s="467">
        <f t="shared" si="3"/>
        <v>3985</v>
      </c>
      <c r="F23" s="467" t="str">
        <f t="shared" si="0"/>
        <v>9660 x 2550 x 3985</v>
      </c>
      <c r="G23" s="468"/>
    </row>
    <row r="24" ht="14.25" customHeight="1" spans="1:7">
      <c r="A24" s="2" t="e">
        <f>VLOOKUP(B24,'Danh mục'!$O:$P,2,0)</f>
        <v>#N/A</v>
      </c>
      <c r="B24" s="474" t="s">
        <v>608</v>
      </c>
      <c r="C24" s="467">
        <v>8700</v>
      </c>
      <c r="D24" s="467">
        <v>2800</v>
      </c>
      <c r="E24" s="467">
        <v>3010</v>
      </c>
      <c r="F24" s="467" t="str">
        <f t="shared" si="0"/>
        <v>8700 x 2800 x 3010</v>
      </c>
      <c r="G24" s="468"/>
    </row>
    <row r="25" ht="14.25" customHeight="1" spans="1:7">
      <c r="A25" s="2" t="e">
        <f>VLOOKUP(B25,'Danh mục'!$O:$P,2,0)</f>
        <v>#N/A</v>
      </c>
      <c r="B25" s="474" t="s">
        <v>613</v>
      </c>
      <c r="C25" s="467">
        <f t="shared" ref="C25:E25" si="4">C8</f>
        <v>4200</v>
      </c>
      <c r="D25" s="467">
        <f t="shared" si="4"/>
        <v>2980</v>
      </c>
      <c r="E25" s="467">
        <f t="shared" si="4"/>
        <v>2720</v>
      </c>
      <c r="F25" s="467" t="str">
        <f t="shared" si="0"/>
        <v>4200 x 2980 x 2720</v>
      </c>
      <c r="G25" s="468"/>
    </row>
    <row r="26" ht="14.25" customHeight="1" spans="1:7">
      <c r="A26" s="2" t="e">
        <f>VLOOKUP(B26,'Danh mục'!$O:$P,2,0)</f>
        <v>#N/A</v>
      </c>
      <c r="B26" s="474" t="s">
        <v>628</v>
      </c>
      <c r="C26" s="467">
        <v>6160</v>
      </c>
      <c r="D26" s="467">
        <v>2330</v>
      </c>
      <c r="E26" s="467">
        <v>2760</v>
      </c>
      <c r="F26" s="467" t="str">
        <f t="shared" si="0"/>
        <v>6160 x 2330 x 2760</v>
      </c>
      <c r="G26" s="468"/>
    </row>
    <row r="27" ht="14.25" customHeight="1" spans="1:7">
      <c r="A27" s="2" t="e">
        <f>VLOOKUP(B27,'Danh mục'!$O:$P,2,0)</f>
        <v>#N/A</v>
      </c>
      <c r="B27" s="474" t="s">
        <v>635</v>
      </c>
      <c r="C27" s="467">
        <f t="shared" ref="C27:E27" si="5">C26</f>
        <v>6160</v>
      </c>
      <c r="D27" s="467">
        <f t="shared" si="5"/>
        <v>2330</v>
      </c>
      <c r="E27" s="467">
        <f t="shared" si="5"/>
        <v>2760</v>
      </c>
      <c r="F27" s="467" t="str">
        <f t="shared" si="0"/>
        <v>6160 x 2330 x 2760</v>
      </c>
      <c r="G27" s="468"/>
    </row>
    <row r="28" ht="14.25" customHeight="1" spans="1:7">
      <c r="A28" s="2" t="e">
        <f>VLOOKUP(B28,'Danh mục'!$O:$P,2,0)</f>
        <v>#N/A</v>
      </c>
      <c r="B28" s="474" t="s">
        <v>6551</v>
      </c>
      <c r="C28" s="467">
        <v>5910</v>
      </c>
      <c r="D28" s="467">
        <v>2310</v>
      </c>
      <c r="E28" s="467">
        <v>2800</v>
      </c>
      <c r="F28" s="467" t="str">
        <f t="shared" si="0"/>
        <v>5910 x 2310 x 2800</v>
      </c>
      <c r="G28" s="468"/>
    </row>
    <row r="29" ht="14.25" customHeight="1" spans="1:7">
      <c r="A29" s="2" t="e">
        <f>VLOOKUP(B29,'Danh mục'!$O:$P,2,0)</f>
        <v>#N/A</v>
      </c>
      <c r="B29" s="470" t="s">
        <v>706</v>
      </c>
      <c r="C29" s="467">
        <f t="shared" ref="C29:E29" si="6">C9</f>
        <v>5585</v>
      </c>
      <c r="D29" s="467">
        <f t="shared" si="6"/>
        <v>3000</v>
      </c>
      <c r="E29" s="467">
        <f t="shared" si="6"/>
        <v>3055</v>
      </c>
      <c r="F29" s="467" t="str">
        <f t="shared" si="0"/>
        <v>5585 x 3000 x 3055</v>
      </c>
      <c r="G29" s="468"/>
    </row>
    <row r="30" ht="14.25" customHeight="1" spans="1:7">
      <c r="A30" s="2" t="e">
        <f>VLOOKUP(B30,'Danh mục'!$O:$P,2,0)</f>
        <v>#N/A</v>
      </c>
      <c r="B30" s="473" t="s">
        <v>714</v>
      </c>
      <c r="C30" s="467">
        <f t="shared" ref="C30:E30" si="7">C14</f>
        <v>5020</v>
      </c>
      <c r="D30" s="467">
        <f t="shared" si="7"/>
        <v>2000</v>
      </c>
      <c r="E30" s="467">
        <f t="shared" si="7"/>
        <v>3115</v>
      </c>
      <c r="F30" s="467" t="str">
        <f t="shared" si="0"/>
        <v>5020 x 2000 x 3115</v>
      </c>
      <c r="G30" s="468"/>
    </row>
    <row r="31" ht="14.25" customHeight="1" spans="1:7">
      <c r="A31" s="2" t="e">
        <f>VLOOKUP(B31,'Danh mục'!$O:$P,2,0)</f>
        <v>#N/A</v>
      </c>
      <c r="B31" s="470" t="s">
        <v>719</v>
      </c>
      <c r="C31" s="467">
        <v>6160</v>
      </c>
      <c r="D31" s="467">
        <v>2330</v>
      </c>
      <c r="E31" s="467">
        <v>2750</v>
      </c>
      <c r="F31" s="467" t="str">
        <f t="shared" si="0"/>
        <v>6160 x 2330 x 2750</v>
      </c>
      <c r="G31" s="468"/>
    </row>
    <row r="32" ht="14.25" customHeight="1" spans="1:7">
      <c r="A32" s="2" t="e">
        <f>VLOOKUP(B32,'Danh mục'!$O:$P,2,0)</f>
        <v>#N/A</v>
      </c>
      <c r="B32" s="473" t="s">
        <v>724</v>
      </c>
      <c r="C32" s="467">
        <v>6170</v>
      </c>
      <c r="D32" s="467">
        <v>2330</v>
      </c>
      <c r="E32" s="467">
        <v>2750</v>
      </c>
      <c r="F32" s="467" t="str">
        <f t="shared" si="0"/>
        <v>6170 x 2330 x 2750</v>
      </c>
      <c r="G32" s="468"/>
    </row>
    <row r="33" ht="14.25" customHeight="1" spans="1:7">
      <c r="A33" s="2" t="e">
        <f>VLOOKUP(B33,'Danh mục'!$O:$P,2,0)</f>
        <v>#N/A</v>
      </c>
      <c r="B33" s="473" t="s">
        <v>2174</v>
      </c>
      <c r="C33" s="467">
        <v>7820</v>
      </c>
      <c r="D33" s="467">
        <v>2500</v>
      </c>
      <c r="E33" s="467">
        <v>3140</v>
      </c>
      <c r="F33" s="467" t="str">
        <f t="shared" si="0"/>
        <v>7820 x 2500 x 3140</v>
      </c>
    </row>
    <row r="34" ht="14.25" customHeight="1" spans="1:7">
      <c r="A34" s="2" t="e">
        <f>VLOOKUP(B34,'Danh mục'!$O:$P,2,0)</f>
        <v>#N/A</v>
      </c>
      <c r="B34" s="470" t="s">
        <v>1736</v>
      </c>
      <c r="C34" s="467">
        <f t="shared" ref="C34:E34" si="8">C21</f>
        <v>3100</v>
      </c>
      <c r="D34" s="467">
        <f t="shared" si="8"/>
        <v>1400</v>
      </c>
      <c r="E34" s="467">
        <f t="shared" si="8"/>
        <v>1585</v>
      </c>
      <c r="F34" s="467" t="str">
        <f t="shared" si="0"/>
        <v>3100 x 1400 x 1585</v>
      </c>
    </row>
    <row r="35" ht="14.25" customHeight="1" spans="1:7">
      <c r="A35" s="2" t="e">
        <f>VLOOKUP(B35,'Danh mục'!$O:$P,2,0)</f>
        <v>#N/A</v>
      </c>
      <c r="B35" s="470" t="s">
        <v>760</v>
      </c>
      <c r="C35" s="467">
        <v>4749</v>
      </c>
      <c r="D35" s="467">
        <v>1700</v>
      </c>
      <c r="E35" s="467">
        <v>2470</v>
      </c>
      <c r="F35" s="467" t="str">
        <f t="shared" si="0"/>
        <v>4749 x 1700 x 2470</v>
      </c>
    </row>
    <row r="36" ht="14.25" customHeight="1" spans="1:7">
      <c r="A36" s="2" t="e">
        <f>VLOOKUP(B36,'Danh mục'!$O:$P,2,0)</f>
        <v>#N/A</v>
      </c>
      <c r="B36" s="470" t="s">
        <v>766</v>
      </c>
      <c r="C36" s="467">
        <f t="shared" ref="C36:E36" si="9">C18</f>
        <v>5260</v>
      </c>
      <c r="D36" s="467">
        <f t="shared" si="9"/>
        <v>1760</v>
      </c>
      <c r="E36" s="467">
        <f t="shared" si="9"/>
        <v>2415</v>
      </c>
      <c r="F36" s="467" t="str">
        <f t="shared" si="0"/>
        <v>5260 x 1760 x 2415</v>
      </c>
    </row>
    <row r="37" ht="14.25" customHeight="1" spans="1:7">
      <c r="A37" s="2" t="e">
        <f>VLOOKUP(B37,'Danh mục'!$O:$P,2,0)</f>
        <v>#N/A</v>
      </c>
      <c r="B37" s="473" t="s">
        <v>794</v>
      </c>
      <c r="C37" s="467">
        <v>9425</v>
      </c>
      <c r="D37" s="467">
        <v>2800</v>
      </c>
      <c r="E37" s="467">
        <v>2970</v>
      </c>
      <c r="F37" s="467" t="str">
        <f t="shared" si="0"/>
        <v>9425 x 2800 x 2970</v>
      </c>
    </row>
    <row r="38" ht="14.25" customHeight="1" spans="1:7">
      <c r="A38" s="2" t="e">
        <f>VLOOKUP(B38,'Danh mục'!$O:$P,2,0)</f>
        <v>#N/A</v>
      </c>
      <c r="B38" s="473" t="s">
        <v>1511</v>
      </c>
      <c r="C38" s="467">
        <v>2625</v>
      </c>
      <c r="D38" s="467">
        <v>1290</v>
      </c>
      <c r="E38" s="467">
        <v>1570</v>
      </c>
      <c r="F38" s="467" t="str">
        <f t="shared" si="0"/>
        <v>2625 x 1290 x 1570</v>
      </c>
    </row>
    <row r="39" ht="14.25" customHeight="1" spans="1:7">
      <c r="A39" s="2" t="e">
        <f>VLOOKUP(B39,'Danh mục'!$O:$P,2,0)</f>
        <v>#N/A</v>
      </c>
      <c r="B39" s="473" t="s">
        <v>800</v>
      </c>
      <c r="C39" s="467">
        <v>3105</v>
      </c>
      <c r="D39" s="467">
        <v>1390</v>
      </c>
      <c r="E39" s="467">
        <v>1700</v>
      </c>
      <c r="F39" s="467" t="str">
        <f t="shared" si="0"/>
        <v>3105 x 1390 x 1700</v>
      </c>
    </row>
    <row r="40" ht="14.25" customHeight="1" spans="1:7">
      <c r="A40" s="2" t="e">
        <f>VLOOKUP(B40,'Danh mục'!$O:$P,2,0)</f>
        <v>#N/A</v>
      </c>
      <c r="B40" s="473" t="s">
        <v>806</v>
      </c>
      <c r="C40" s="467">
        <v>9660</v>
      </c>
      <c r="D40" s="467">
        <v>2550</v>
      </c>
      <c r="E40" s="467">
        <v>3985</v>
      </c>
      <c r="F40" s="467" t="str">
        <f t="shared" si="0"/>
        <v>9660 x 2550 x 3985</v>
      </c>
    </row>
    <row r="41" ht="14.25" customHeight="1" spans="1:7">
      <c r="A41" s="2" t="e">
        <f>VLOOKUP(B41,'Danh mục'!$O:$P,2,0)</f>
        <v>#N/A</v>
      </c>
      <c r="B41" s="470" t="s">
        <v>828</v>
      </c>
      <c r="C41" s="467">
        <f t="shared" ref="C41:E41" si="10">C10</f>
        <v>5550</v>
      </c>
      <c r="D41" s="467">
        <f t="shared" si="10"/>
        <v>3970</v>
      </c>
      <c r="E41" s="467">
        <f t="shared" si="10"/>
        <v>3090</v>
      </c>
      <c r="F41" s="467" t="str">
        <f t="shared" si="0"/>
        <v>5550 x 3970 x 3090</v>
      </c>
    </row>
    <row r="42" ht="14.25" customHeight="1" spans="1:7">
      <c r="A42" s="2" t="e">
        <f>VLOOKUP(B42,'Danh mục'!$O:$P,2,0)</f>
        <v>#N/A</v>
      </c>
      <c r="B42" s="470" t="s">
        <v>848</v>
      </c>
      <c r="C42" s="467">
        <f t="shared" ref="C42:E42" si="11">C14</f>
        <v>5020</v>
      </c>
      <c r="D42" s="467">
        <f t="shared" si="11"/>
        <v>2000</v>
      </c>
      <c r="E42" s="467">
        <f t="shared" si="11"/>
        <v>3115</v>
      </c>
      <c r="F42" s="467" t="str">
        <f t="shared" si="0"/>
        <v>5020 x 2000 x 3115</v>
      </c>
    </row>
    <row r="43" ht="14.25" customHeight="1" spans="1:7">
      <c r="A43" s="2" t="e">
        <f>VLOOKUP(B43,'Danh mục'!$O:$P,2,0)</f>
        <v>#N/A</v>
      </c>
      <c r="B43" s="473" t="s">
        <v>864</v>
      </c>
      <c r="C43" s="467">
        <f t="shared" ref="C43:E43" si="12">C11</f>
        <v>9290</v>
      </c>
      <c r="D43" s="467">
        <f t="shared" si="12"/>
        <v>2500</v>
      </c>
      <c r="E43" s="467">
        <f t="shared" si="12"/>
        <v>3370</v>
      </c>
      <c r="F43" s="467" t="str">
        <f t="shared" si="0"/>
        <v>9290 x 2500 x 3370</v>
      </c>
    </row>
    <row r="44" ht="14.25" customHeight="1" spans="1:7">
      <c r="A44" s="2" t="e">
        <f>VLOOKUP(B44,'Danh mục'!$O:$P,2,0)</f>
        <v>#N/A</v>
      </c>
      <c r="B44" s="473" t="s">
        <v>882</v>
      </c>
      <c r="C44" s="467">
        <v>11825</v>
      </c>
      <c r="D44" s="467">
        <v>2500</v>
      </c>
      <c r="E44" s="467">
        <v>3720</v>
      </c>
      <c r="F44" s="467" t="str">
        <f t="shared" si="0"/>
        <v>11825 x 2500 x 3720</v>
      </c>
    </row>
    <row r="45" ht="14.25" customHeight="1" spans="1:7">
      <c r="A45" s="2" t="e">
        <f>VLOOKUP(B45,'Danh mục'!$O:$P,2,0)</f>
        <v>#N/A</v>
      </c>
      <c r="B45" s="470">
        <v>305</v>
      </c>
      <c r="C45" s="467">
        <v>5340</v>
      </c>
      <c r="D45" s="467">
        <v>1980</v>
      </c>
      <c r="E45" s="467">
        <v>1895</v>
      </c>
      <c r="F45" s="467" t="str">
        <f t="shared" si="0"/>
        <v>5340 x 1980 x 1895</v>
      </c>
    </row>
    <row r="46" ht="14.25" customHeight="1" spans="1:7">
      <c r="A46" s="2" t="e">
        <f>VLOOKUP(B46,'Danh mục'!$O:$P,2,0)</f>
        <v>#N/A</v>
      </c>
      <c r="B46" s="474" t="s">
        <v>2677</v>
      </c>
      <c r="C46" s="467">
        <v>11845</v>
      </c>
      <c r="D46" s="467">
        <v>2500</v>
      </c>
      <c r="E46" s="467">
        <v>3690</v>
      </c>
      <c r="F46" s="467" t="str">
        <f t="shared" si="0"/>
        <v>11845 x 2500 x 3690</v>
      </c>
    </row>
    <row r="47" ht="14.25" customHeight="1" spans="1:7">
      <c r="A47" s="2" t="e">
        <f>VLOOKUP(B47,'Danh mục'!$O:$P,2,0)</f>
        <v>#N/A</v>
      </c>
      <c r="B47" s="473" t="s">
        <v>956</v>
      </c>
      <c r="C47" s="467">
        <v>6380</v>
      </c>
      <c r="D47" s="467">
        <v>2040</v>
      </c>
      <c r="E47" s="467">
        <v>2300</v>
      </c>
      <c r="F47" s="467" t="str">
        <f t="shared" si="0"/>
        <v>6380 x 2040 x 2300</v>
      </c>
    </row>
    <row r="48" ht="14.25" customHeight="1" spans="1:7">
      <c r="A48" s="2" t="e">
        <f>VLOOKUP(B48,'Danh mục'!$O:$P,2,0)</f>
        <v>#N/A</v>
      </c>
      <c r="B48" s="473" t="s">
        <v>1064</v>
      </c>
      <c r="C48" s="467">
        <v>3445</v>
      </c>
      <c r="D48" s="467">
        <v>1865</v>
      </c>
      <c r="E48" s="467">
        <v>2535</v>
      </c>
      <c r="F48" s="467" t="str">
        <f t="shared" si="0"/>
        <v>3445 x 1865 x 2535</v>
      </c>
      <c r="G48" s="475"/>
    </row>
    <row r="49" ht="14.25" customHeight="1" spans="1:7">
      <c r="A49" s="2" t="e">
        <f>VLOOKUP(B49,'Danh mục'!$O:$P,2,0)</f>
        <v>#N/A</v>
      </c>
      <c r="B49" s="470">
        <v>6603</v>
      </c>
      <c r="C49" s="467">
        <v>4200</v>
      </c>
      <c r="D49" s="467">
        <v>2600</v>
      </c>
      <c r="E49" s="467">
        <v>2900</v>
      </c>
      <c r="F49" s="467" t="str">
        <f t="shared" si="0"/>
        <v>4200 x 2600 x 2900</v>
      </c>
      <c r="G49" s="472"/>
    </row>
    <row r="50" ht="14.25" customHeight="1" spans="1:7">
      <c r="A50" s="2" t="e">
        <f>VLOOKUP(B50,'Danh mục'!$O:$P,2,0)</f>
        <v>#N/A</v>
      </c>
      <c r="B50" s="473" t="s">
        <v>983</v>
      </c>
      <c r="C50" s="467">
        <v>4835</v>
      </c>
      <c r="D50" s="467">
        <v>2600</v>
      </c>
      <c r="E50" s="467">
        <v>2965</v>
      </c>
      <c r="F50" s="467" t="str">
        <f t="shared" si="0"/>
        <v>4835 x 2600 x 2965</v>
      </c>
      <c r="G50" s="472"/>
    </row>
    <row r="51" ht="14.25" customHeight="1" spans="1:7">
      <c r="A51" s="2" t="e">
        <f>VLOOKUP(B51,'Danh mục'!$O:$P,2,0)</f>
        <v>#N/A</v>
      </c>
      <c r="B51" s="473" t="s">
        <v>987</v>
      </c>
      <c r="C51" s="467">
        <v>4100</v>
      </c>
      <c r="D51" s="467">
        <v>2100</v>
      </c>
      <c r="E51" s="467">
        <v>2600</v>
      </c>
      <c r="F51" s="467" t="str">
        <f t="shared" si="0"/>
        <v>4100 x 2100 x 2600</v>
      </c>
      <c r="G51" s="472"/>
    </row>
    <row r="52" ht="14.25" customHeight="1" spans="1:7">
      <c r="A52" s="2" t="e">
        <f>VLOOKUP(B52,'Danh mục'!$O:$P,2,0)</f>
        <v>#N/A</v>
      </c>
      <c r="B52" s="470" t="s">
        <v>1057</v>
      </c>
      <c r="C52" s="467">
        <v>4780</v>
      </c>
      <c r="D52" s="467">
        <v>2550</v>
      </c>
      <c r="E52" s="467">
        <v>3000</v>
      </c>
      <c r="F52" s="467" t="str">
        <f t="shared" si="0"/>
        <v>4780 x 2550 x 3000</v>
      </c>
      <c r="G52" s="472"/>
    </row>
    <row r="53" ht="14.25" customHeight="1" spans="1:7">
      <c r="A53" s="2" t="e">
        <f>VLOOKUP(B53,'Danh mục'!$O:$P,2,0)</f>
        <v>#N/A</v>
      </c>
      <c r="B53" s="473">
        <v>6400</v>
      </c>
      <c r="C53" s="467">
        <v>4200</v>
      </c>
      <c r="D53" s="467">
        <v>2600</v>
      </c>
      <c r="E53" s="467">
        <v>2900</v>
      </c>
      <c r="F53" s="467" t="str">
        <f t="shared" si="0"/>
        <v>4200 x 2600 x 2900</v>
      </c>
      <c r="G53" s="472"/>
    </row>
    <row r="54" ht="14.25" customHeight="1" spans="1:7">
      <c r="A54" s="2" t="e">
        <f>VLOOKUP(B54,'Danh mục'!$O:$P,2,0)</f>
        <v>#N/A</v>
      </c>
      <c r="B54" s="470">
        <v>2850</v>
      </c>
      <c r="C54" s="467">
        <v>4200</v>
      </c>
      <c r="D54" s="467">
        <v>2600</v>
      </c>
      <c r="E54" s="467">
        <v>2900</v>
      </c>
      <c r="F54" s="467" t="str">
        <f t="shared" si="0"/>
        <v>4200 x 2600 x 2900</v>
      </c>
      <c r="G54" s="472"/>
    </row>
    <row r="55" ht="14.25" customHeight="1" spans="1:7">
      <c r="A55" s="2" t="e">
        <f>VLOOKUP(B55,'Danh mục'!$O:$P,2,0)</f>
        <v>#N/A</v>
      </c>
      <c r="B55" s="473">
        <v>3350</v>
      </c>
      <c r="C55" s="467">
        <v>4780</v>
      </c>
      <c r="D55" s="467">
        <v>2030</v>
      </c>
      <c r="E55" s="467">
        <v>2840</v>
      </c>
      <c r="F55" s="467" t="str">
        <f t="shared" si="0"/>
        <v>4780 x 2030 x 2840</v>
      </c>
      <c r="G55" s="472"/>
    </row>
    <row r="56" ht="14.25" customHeight="1" spans="1:7">
      <c r="A56" s="2" t="e">
        <f>VLOOKUP(B56,'Danh mục'!$O:$P,2,0)</f>
        <v>#N/A</v>
      </c>
      <c r="B56" s="470">
        <v>7800</v>
      </c>
      <c r="C56" s="467">
        <v>4750</v>
      </c>
      <c r="D56" s="467">
        <v>2440</v>
      </c>
      <c r="E56" s="467">
        <v>3000</v>
      </c>
      <c r="F56" s="467" t="str">
        <f t="shared" si="0"/>
        <v>4750 x 2440 x 3000</v>
      </c>
      <c r="G56" s="472"/>
    </row>
    <row r="57" ht="14.25" customHeight="1" spans="1:7">
      <c r="A57" s="2" t="e">
        <f>VLOOKUP(B57,'Danh mục'!$O:$P,2,0)</f>
        <v>#N/A</v>
      </c>
      <c r="B57" s="473">
        <v>1504</v>
      </c>
      <c r="C57" s="467">
        <v>5300</v>
      </c>
      <c r="D57" s="467">
        <v>2620</v>
      </c>
      <c r="E57" s="467">
        <v>3010</v>
      </c>
      <c r="F57" s="467" t="str">
        <f t="shared" si="0"/>
        <v>5300 x 2620 x 3010</v>
      </c>
    </row>
    <row r="58" ht="14.25" customHeight="1" spans="1:7">
      <c r="A58" s="2" t="e">
        <f>VLOOKUP(B58,'Danh mục'!$O:$P,2,0)</f>
        <v>#N/A</v>
      </c>
      <c r="B58" s="470">
        <v>5090</v>
      </c>
      <c r="C58" s="467">
        <v>4100</v>
      </c>
      <c r="D58" s="467">
        <v>2100</v>
      </c>
      <c r="E58" s="467">
        <v>2600</v>
      </c>
      <c r="F58" s="467" t="str">
        <f t="shared" si="0"/>
        <v>4100 x 2100 x 2600</v>
      </c>
      <c r="G58" s="472"/>
    </row>
    <row r="59" ht="14.25" customHeight="1" spans="1:7">
      <c r="A59" s="2" t="e">
        <f>VLOOKUP(B59,'Danh mục'!$O:$P,2,0)</f>
        <v>#N/A</v>
      </c>
      <c r="B59" s="473">
        <v>3650</v>
      </c>
      <c r="C59" s="467">
        <v>4890</v>
      </c>
      <c r="D59" s="467">
        <v>2260</v>
      </c>
      <c r="E59" s="467">
        <v>2880</v>
      </c>
      <c r="F59" s="467" t="str">
        <f t="shared" si="0"/>
        <v>4890 x 2260 x 2880</v>
      </c>
      <c r="G59" s="468"/>
    </row>
    <row r="60" ht="14.25" customHeight="1" spans="1:7">
      <c r="A60" s="2" t="e">
        <f>VLOOKUP(B60,'Danh mục'!$O:$P,2,0)</f>
        <v>#N/A</v>
      </c>
      <c r="B60" s="470">
        <v>3640</v>
      </c>
      <c r="C60" s="467">
        <v>4800</v>
      </c>
      <c r="D60" s="467">
        <v>2150</v>
      </c>
      <c r="E60" s="467">
        <v>2970</v>
      </c>
      <c r="F60" s="467" t="str">
        <f t="shared" si="0"/>
        <v>4800 x 2150 x 2970</v>
      </c>
      <c r="G60" s="468"/>
    </row>
    <row r="61" ht="14.25" customHeight="1" spans="1:7">
      <c r="A61" s="2" t="e">
        <f>VLOOKUP(B61,'Danh mục'!$O:$P,2,0)</f>
        <v>#N/A</v>
      </c>
      <c r="B61" s="470">
        <v>6300</v>
      </c>
      <c r="C61" s="467">
        <v>4800</v>
      </c>
      <c r="D61" s="467">
        <v>2007</v>
      </c>
      <c r="E61" s="467">
        <v>2743</v>
      </c>
      <c r="F61" s="467" t="str">
        <f t="shared" si="0"/>
        <v>4800 x 2007 x 2743</v>
      </c>
      <c r="G61" s="468"/>
    </row>
    <row r="62" ht="14.25" customHeight="1" spans="1:7">
      <c r="A62" s="2" t="e">
        <f>VLOOKUP(B62,'Danh mục'!$O:$P,2,0)</f>
        <v>#N/A</v>
      </c>
      <c r="B62" s="470">
        <v>9540</v>
      </c>
      <c r="C62" s="467">
        <v>3760</v>
      </c>
      <c r="D62" s="467">
        <v>1900</v>
      </c>
      <c r="E62" s="467">
        <v>2570</v>
      </c>
      <c r="F62" s="467" t="str">
        <f t="shared" si="0"/>
        <v>3760 x 1900 x 2570</v>
      </c>
    </row>
    <row r="63" ht="14.25" customHeight="1" spans="1:7">
      <c r="A63" s="2" t="e">
        <f>VLOOKUP(B63,'Danh mục'!$O:$P,2,0)</f>
        <v>#N/A</v>
      </c>
      <c r="B63" s="473" t="s">
        <v>1122</v>
      </c>
      <c r="C63" s="467">
        <v>3226</v>
      </c>
      <c r="D63" s="467">
        <v>1570</v>
      </c>
      <c r="E63" s="467">
        <v>1545</v>
      </c>
      <c r="F63" s="467" t="str">
        <f t="shared" si="0"/>
        <v>3226 x 1570 x 1545</v>
      </c>
      <c r="G63" s="472"/>
    </row>
    <row r="64" ht="14.25" customHeight="1" spans="1:7">
      <c r="A64" s="2" t="e">
        <f>VLOOKUP(B64,'Danh mục'!$O:$P,2,0)</f>
        <v>#N/A</v>
      </c>
      <c r="B64" s="470" t="s">
        <v>1137</v>
      </c>
      <c r="C64" s="467">
        <v>3120</v>
      </c>
      <c r="D64" s="467">
        <v>1495</v>
      </c>
      <c r="E64" s="467">
        <v>1510</v>
      </c>
      <c r="F64" s="467" t="str">
        <f t="shared" si="0"/>
        <v>3120 x 1495 x 1510</v>
      </c>
    </row>
    <row r="65" ht="14.25" customHeight="1" spans="1:7">
      <c r="A65" s="2" t="e">
        <f>VLOOKUP(B65,'Danh mục'!$O:$P,2,0)</f>
        <v>#N/A</v>
      </c>
      <c r="B65" s="473" t="s">
        <v>1153</v>
      </c>
      <c r="C65" s="467">
        <v>4730</v>
      </c>
      <c r="D65" s="467">
        <v>1750</v>
      </c>
      <c r="E65" s="467">
        <v>2100</v>
      </c>
      <c r="F65" s="467" t="str">
        <f t="shared" si="0"/>
        <v>4730 x 1750 x 2100</v>
      </c>
    </row>
    <row r="66" ht="14.25" customHeight="1" spans="1:7">
      <c r="A66" s="2" t="e">
        <f>VLOOKUP(B66,'Danh mục'!$O:$P,2,0)</f>
        <v>#N/A</v>
      </c>
      <c r="B66" s="473" t="s">
        <v>6595</v>
      </c>
      <c r="C66" s="467">
        <v>5250</v>
      </c>
      <c r="D66" s="467">
        <v>2170</v>
      </c>
      <c r="E66" s="467">
        <v>2520</v>
      </c>
      <c r="F66" s="467" t="str">
        <f t="shared" si="0"/>
        <v>5250 x 2170 x 2520</v>
      </c>
    </row>
    <row r="67" ht="14.25" customHeight="1" spans="1:7">
      <c r="A67" s="2" t="e">
        <f>VLOOKUP(B67,'Danh mục'!$O:$P,2,0)</f>
        <v>#N/A</v>
      </c>
      <c r="B67" s="470" t="s">
        <v>1371</v>
      </c>
      <c r="C67" s="467">
        <v>8800</v>
      </c>
      <c r="D67" s="467">
        <v>2500</v>
      </c>
      <c r="E67" s="467">
        <v>3700</v>
      </c>
      <c r="F67" s="467" t="str">
        <f t="shared" si="0"/>
        <v>8800 x 2500 x 3700</v>
      </c>
    </row>
    <row r="68" ht="14.25" customHeight="1" spans="1:7">
      <c r="A68" s="2" t="e">
        <f>VLOOKUP(B68,'Danh mục'!$O:$P,2,0)</f>
        <v>#N/A</v>
      </c>
      <c r="B68" s="473" t="s">
        <v>1474</v>
      </c>
      <c r="C68" s="467">
        <f t="shared" ref="C68:E68" si="13">C65</f>
        <v>4730</v>
      </c>
      <c r="D68" s="467">
        <f t="shared" si="13"/>
        <v>1750</v>
      </c>
      <c r="E68" s="467">
        <f t="shared" si="13"/>
        <v>2100</v>
      </c>
      <c r="F68" s="467" t="str">
        <f t="shared" si="0"/>
        <v>4730 x 1750 x 2100</v>
      </c>
    </row>
    <row r="69" ht="14.25" customHeight="1" spans="1:7">
      <c r="A69" s="2" t="e">
        <f>VLOOKUP(B69,'Danh mục'!$O:$P,2,0)</f>
        <v>#N/A</v>
      </c>
      <c r="B69" s="473" t="s">
        <v>1492</v>
      </c>
      <c r="C69" s="467">
        <v>2570</v>
      </c>
      <c r="D69" s="467">
        <v>1200</v>
      </c>
      <c r="E69" s="467">
        <v>1950</v>
      </c>
      <c r="F69" s="467" t="str">
        <f t="shared" si="0"/>
        <v>2570 x 1200 x 1950</v>
      </c>
    </row>
    <row r="70" ht="14.25" customHeight="1" spans="1:7">
      <c r="A70" s="2" t="e">
        <f>VLOOKUP(B70,'Danh mục'!$O:$P,2,0)</f>
        <v>#N/A</v>
      </c>
      <c r="B70" s="473" t="s">
        <v>1587</v>
      </c>
      <c r="C70" s="467">
        <v>4890</v>
      </c>
      <c r="D70" s="467">
        <v>2015</v>
      </c>
      <c r="E70" s="467">
        <v>2500</v>
      </c>
      <c r="F70" s="467" t="str">
        <f t="shared" si="0"/>
        <v>4890 x 2015 x 2500</v>
      </c>
    </row>
    <row r="71" ht="14.25" customHeight="1" spans="1:7">
      <c r="A71" s="2" t="e">
        <f>VLOOKUP(B71,'Danh mục'!$O:$P,2,0)</f>
        <v>#N/A</v>
      </c>
      <c r="B71" s="474" t="s">
        <v>1629</v>
      </c>
      <c r="C71" s="467">
        <v>5550</v>
      </c>
      <c r="D71" s="467">
        <v>1960</v>
      </c>
      <c r="E71" s="467">
        <v>2625</v>
      </c>
      <c r="F71" s="467" t="str">
        <f t="shared" si="0"/>
        <v>5550 x 1960 x 2625</v>
      </c>
    </row>
    <row r="72" ht="14.25" customHeight="1" spans="1:7">
      <c r="A72" s="2" t="e">
        <f>VLOOKUP(B72,'Danh mục'!$O:$P,2,0)</f>
        <v>#N/A</v>
      </c>
      <c r="B72" s="473" t="s">
        <v>1618</v>
      </c>
      <c r="C72" s="467">
        <v>3400</v>
      </c>
      <c r="D72" s="467">
        <v>1570</v>
      </c>
      <c r="E72" s="467">
        <v>2260</v>
      </c>
      <c r="F72" s="467" t="str">
        <f t="shared" si="0"/>
        <v>3400 x 1570 x 2260</v>
      </c>
    </row>
    <row r="73" ht="14.25" customHeight="1" spans="1:7">
      <c r="A73" s="2" t="e">
        <f>VLOOKUP(B73,'Danh mục'!$O:$P,2,0)</f>
        <v>#N/A</v>
      </c>
      <c r="B73" s="476">
        <v>6200</v>
      </c>
      <c r="C73" s="467">
        <v>4190</v>
      </c>
      <c r="D73" s="467">
        <v>2170</v>
      </c>
      <c r="E73" s="467">
        <v>2590</v>
      </c>
      <c r="F73" s="467" t="str">
        <f t="shared" si="0"/>
        <v>4190 x 2170 x 2590</v>
      </c>
      <c r="G73" s="468"/>
    </row>
    <row r="74" ht="14.25" customHeight="1" spans="1:7">
      <c r="A74" s="2" t="e">
        <f>VLOOKUP(B74,'Danh mục'!$O:$P,2,0)</f>
        <v>#N/A</v>
      </c>
      <c r="B74" s="470">
        <v>5520</v>
      </c>
      <c r="C74" s="467">
        <v>3840</v>
      </c>
      <c r="D74" s="467">
        <v>1960</v>
      </c>
      <c r="E74" s="467">
        <v>2550</v>
      </c>
      <c r="F74" s="467" t="str">
        <f t="shared" si="0"/>
        <v>3840 x 1960 x 2550</v>
      </c>
      <c r="G74" s="468"/>
    </row>
    <row r="75" ht="14.25" customHeight="1" spans="1:7">
      <c r="A75" s="2" t="e">
        <f>VLOOKUP(B75,'Danh mục'!$O:$P,2,0)</f>
        <v>#N/A</v>
      </c>
      <c r="B75" s="470">
        <v>5510</v>
      </c>
      <c r="C75" s="467">
        <v>3510</v>
      </c>
      <c r="D75" s="467">
        <v>1740</v>
      </c>
      <c r="E75" s="467">
        <v>2550</v>
      </c>
      <c r="F75" s="467" t="str">
        <f t="shared" si="0"/>
        <v>3510 x 1740 x 2550</v>
      </c>
      <c r="G75" s="468"/>
    </row>
    <row r="76" ht="14.25" customHeight="1" spans="1:7">
      <c r="A76" s="2" t="e">
        <f>VLOOKUP(B76,'Danh mục'!$O:$P,2,0)</f>
        <v>#N/A</v>
      </c>
      <c r="B76" s="473">
        <v>5425</v>
      </c>
      <c r="C76" s="467">
        <v>3840</v>
      </c>
      <c r="D76" s="467">
        <v>1740</v>
      </c>
      <c r="E76" s="467">
        <v>2650</v>
      </c>
      <c r="F76" s="467" t="str">
        <f t="shared" si="0"/>
        <v>3840 x 1740 x 2650</v>
      </c>
      <c r="G76" s="468"/>
    </row>
    <row r="77" ht="14.25" customHeight="1" spans="1:7">
      <c r="A77" s="2" t="e">
        <f>VLOOKUP(B77,'Danh mục'!$O:$P,2,0)</f>
        <v>#N/A</v>
      </c>
      <c r="B77" s="473" t="s">
        <v>1893</v>
      </c>
      <c r="C77" s="467">
        <v>4725</v>
      </c>
      <c r="D77" s="467">
        <v>1910</v>
      </c>
      <c r="E77" s="467">
        <v>3160</v>
      </c>
      <c r="F77" s="467" t="str">
        <f t="shared" si="0"/>
        <v>4725 x 1910 x 3160</v>
      </c>
    </row>
    <row r="78" ht="14.25" customHeight="1" spans="1:7">
      <c r="A78" s="2" t="e">
        <f>VLOOKUP(B78,'Danh mục'!$O:$P,2,0)</f>
        <v>#N/A</v>
      </c>
      <c r="B78" s="470" t="s">
        <v>1900</v>
      </c>
      <c r="C78" s="467">
        <v>5300</v>
      </c>
      <c r="D78" s="467">
        <v>2600</v>
      </c>
      <c r="E78" s="467">
        <v>3150</v>
      </c>
      <c r="F78" s="467" t="str">
        <f t="shared" si="0"/>
        <v>5300 x 2600 x 3150</v>
      </c>
    </row>
    <row r="79" ht="14.25" customHeight="1" spans="1:7">
      <c r="A79" s="2" t="e">
        <f>VLOOKUP(B79,'Danh mục'!$O:$P,2,0)</f>
        <v>#N/A</v>
      </c>
      <c r="B79" s="473">
        <v>6210</v>
      </c>
      <c r="C79" s="467">
        <v>4130</v>
      </c>
      <c r="D79" s="467">
        <v>2030</v>
      </c>
      <c r="E79" s="467">
        <v>2580</v>
      </c>
      <c r="F79" s="467" t="str">
        <f t="shared" si="0"/>
        <v>4130 x 2030 x 2580</v>
      </c>
      <c r="G79" s="468"/>
    </row>
    <row r="80" ht="14.25" customHeight="1" spans="1:7">
      <c r="A80" s="2" t="e">
        <f>VLOOKUP(B80,'Danh mục'!$O:$P,2,0)</f>
        <v>#N/A</v>
      </c>
      <c r="B80" s="473">
        <v>6620</v>
      </c>
      <c r="C80" s="467">
        <v>4705</v>
      </c>
      <c r="D80" s="467">
        <v>2445</v>
      </c>
      <c r="E80" s="467">
        <v>2864</v>
      </c>
      <c r="F80" s="467" t="str">
        <f t="shared" si="0"/>
        <v>4705 x 2445 x 2864</v>
      </c>
      <c r="G80" s="468"/>
    </row>
    <row r="81" ht="14.25" customHeight="1" spans="1:8">
      <c r="A81" s="2" t="e">
        <f>VLOOKUP(B81,'Danh mục'!$O:$P,2,0)</f>
        <v>#N/A</v>
      </c>
      <c r="B81" s="473" t="s">
        <v>2038</v>
      </c>
      <c r="C81" s="467">
        <v>6800</v>
      </c>
      <c r="D81" s="467">
        <v>3200</v>
      </c>
      <c r="E81" s="467">
        <v>3400</v>
      </c>
      <c r="F81" s="467" t="str">
        <f t="shared" si="0"/>
        <v>6800 x 3200 x 3400</v>
      </c>
      <c r="G81" s="475"/>
    </row>
    <row r="82" ht="14.25" customHeight="1" spans="1:8">
      <c r="A82" s="2" t="e">
        <f>VLOOKUP(B82,'Danh mục'!$O:$P,2,0)</f>
        <v>#N/A</v>
      </c>
      <c r="B82" s="470" t="s">
        <v>2065</v>
      </c>
      <c r="C82" s="467">
        <v>8259</v>
      </c>
      <c r="D82" s="467">
        <v>2935</v>
      </c>
      <c r="E82" s="467">
        <v>3384</v>
      </c>
      <c r="F82" s="467" t="str">
        <f t="shared" si="0"/>
        <v>8259 x 2935 x 3384</v>
      </c>
    </row>
    <row r="83" ht="14.25" customHeight="1" spans="1:8">
      <c r="A83" s="2" t="e">
        <f>VLOOKUP(B83,'Danh mục'!$O:$P,2,0)</f>
        <v>#N/A</v>
      </c>
      <c r="B83" s="473" t="s">
        <v>2068</v>
      </c>
      <c r="C83" s="467">
        <v>8020</v>
      </c>
      <c r="D83" s="467">
        <v>2845</v>
      </c>
      <c r="E83" s="467">
        <v>3375</v>
      </c>
      <c r="F83" s="467" t="str">
        <f t="shared" si="0"/>
        <v>8020 x 2845 x 3375</v>
      </c>
    </row>
    <row r="84" ht="14.25" customHeight="1" spans="1:8">
      <c r="A84" s="2" t="e">
        <f>VLOOKUP(B84,'Danh mục'!$O:$P,2,0)</f>
        <v>#N/A</v>
      </c>
      <c r="B84" s="470" t="s">
        <v>2073</v>
      </c>
      <c r="C84" s="467">
        <v>3830</v>
      </c>
      <c r="D84" s="467">
        <v>1810</v>
      </c>
      <c r="E84" s="467">
        <v>1920</v>
      </c>
      <c r="F84" s="467" t="str">
        <f t="shared" si="0"/>
        <v>3830 x 1810 x 1920</v>
      </c>
      <c r="G84" s="475"/>
    </row>
    <row r="85" ht="14.25" customHeight="1" spans="1:8">
      <c r="A85" s="2" t="e">
        <f>VLOOKUP(B85,'Danh mục'!$O:$P,2,0)</f>
        <v>#N/A</v>
      </c>
      <c r="B85" s="473" t="s">
        <v>654</v>
      </c>
      <c r="C85" s="467">
        <f t="shared" ref="C85:E85" si="14">C28</f>
        <v>5910</v>
      </c>
      <c r="D85" s="467">
        <f t="shared" si="14"/>
        <v>2310</v>
      </c>
      <c r="E85" s="467">
        <f t="shared" si="14"/>
        <v>2800</v>
      </c>
      <c r="F85" s="467" t="str">
        <f t="shared" si="0"/>
        <v>5910 x 2310 x 2800</v>
      </c>
    </row>
    <row r="86" ht="14.25" customHeight="1" spans="1:8">
      <c r="A86" s="2" t="e">
        <f>VLOOKUP(B86,'Danh mục'!$O:$P,2,0)</f>
        <v>#N/A</v>
      </c>
      <c r="B86" s="473" t="s">
        <v>2302</v>
      </c>
      <c r="C86" s="467">
        <f t="shared" ref="C86:E86" si="15">C31</f>
        <v>6160</v>
      </c>
      <c r="D86" s="467">
        <f t="shared" si="15"/>
        <v>2330</v>
      </c>
      <c r="E86" s="467">
        <f t="shared" si="15"/>
        <v>2750</v>
      </c>
      <c r="F86" s="467" t="str">
        <f t="shared" si="0"/>
        <v>6160 x 2330 x 2750</v>
      </c>
    </row>
    <row r="87" ht="14.25" customHeight="1" spans="1:8">
      <c r="A87" s="2" t="e">
        <f>VLOOKUP(B87,'Danh mục'!$O:$P,2,0)</f>
        <v>#N/A</v>
      </c>
      <c r="B87" s="473" t="s">
        <v>2416</v>
      </c>
      <c r="C87" s="467">
        <v>3300</v>
      </c>
      <c r="D87" s="467">
        <v>1300</v>
      </c>
      <c r="E87" s="467">
        <v>1600</v>
      </c>
      <c r="F87" s="467" t="str">
        <f t="shared" si="0"/>
        <v>3300 x 1300 x 1600</v>
      </c>
      <c r="H87" s="472"/>
    </row>
    <row r="88" ht="14.25" customHeight="1" spans="1:8">
      <c r="A88" s="2" t="e">
        <f>VLOOKUP(B88,'Danh mục'!$O:$P,2,0)</f>
        <v>#N/A</v>
      </c>
      <c r="B88" s="473" t="s">
        <v>845</v>
      </c>
      <c r="C88" s="467">
        <v>5540</v>
      </c>
      <c r="D88" s="467">
        <v>3860</v>
      </c>
      <c r="E88" s="467">
        <v>3150</v>
      </c>
      <c r="F88" s="467" t="str">
        <f t="shared" si="0"/>
        <v>5540 x 3860 x 3150</v>
      </c>
    </row>
    <row r="89" ht="14.25" customHeight="1" spans="1:8">
      <c r="A89" s="2" t="e">
        <f>VLOOKUP(B89,'Danh mục'!$O:$P,2,0)</f>
        <v>#N/A</v>
      </c>
      <c r="B89" s="473" t="s">
        <v>2442</v>
      </c>
      <c r="C89" s="467">
        <v>6800</v>
      </c>
      <c r="D89" s="467">
        <v>3200</v>
      </c>
      <c r="E89" s="467">
        <v>3400</v>
      </c>
      <c r="F89" s="467" t="str">
        <f t="shared" si="0"/>
        <v>6800 x 3200 x 3400</v>
      </c>
      <c r="G89" s="475"/>
    </row>
    <row r="90" ht="14.25" customHeight="1" spans="1:8">
      <c r="A90" s="2" t="e">
        <f>VLOOKUP(B90,'Danh mục'!$O:$P,2,0)</f>
        <v>#N/A</v>
      </c>
      <c r="B90" s="470" t="s">
        <v>2468</v>
      </c>
      <c r="C90" s="467">
        <v>9510</v>
      </c>
      <c r="D90" s="467">
        <v>2450</v>
      </c>
      <c r="E90" s="467">
        <v>2840</v>
      </c>
      <c r="F90" s="467" t="str">
        <f t="shared" si="0"/>
        <v>9510 x 2450 x 2840</v>
      </c>
    </row>
    <row r="91" ht="14.25" customHeight="1" spans="1:8">
      <c r="A91" s="2" t="e">
        <f>VLOOKUP(B91,'Danh mục'!$O:$P,2,0)</f>
        <v>#N/A</v>
      </c>
      <c r="B91" s="473" t="s">
        <v>2478</v>
      </c>
      <c r="C91" s="467">
        <f t="shared" ref="C91:E91" si="16">C31</f>
        <v>6160</v>
      </c>
      <c r="D91" s="467">
        <f t="shared" si="16"/>
        <v>2330</v>
      </c>
      <c r="E91" s="467">
        <f t="shared" si="16"/>
        <v>2750</v>
      </c>
      <c r="F91" s="467" t="str">
        <f t="shared" si="0"/>
        <v>6160 x 2330 x 2750</v>
      </c>
    </row>
    <row r="92" ht="14.25" customHeight="1" spans="1:8">
      <c r="A92" s="2" t="e">
        <f>VLOOKUP(B92,'Danh mục'!$O:$P,2,0)</f>
        <v>#N/A</v>
      </c>
      <c r="B92" s="473" t="s">
        <v>2502</v>
      </c>
      <c r="C92" s="467">
        <f t="shared" ref="C92:E92" si="17">C32</f>
        <v>6170</v>
      </c>
      <c r="D92" s="467">
        <f t="shared" si="17"/>
        <v>2330</v>
      </c>
      <c r="E92" s="467">
        <f t="shared" si="17"/>
        <v>2750</v>
      </c>
      <c r="F92" s="467" t="str">
        <f t="shared" si="0"/>
        <v>6170 x 2330 x 2750</v>
      </c>
    </row>
    <row r="93" ht="14.25" customHeight="1" spans="1:8">
      <c r="A93" s="2" t="e">
        <f>VLOOKUP(B93,'Danh mục'!$O:$P,2,0)</f>
        <v>#N/A</v>
      </c>
      <c r="B93" s="470" t="s">
        <v>2539</v>
      </c>
      <c r="C93" s="467">
        <v>8310</v>
      </c>
      <c r="D93" s="467">
        <v>2495</v>
      </c>
      <c r="E93" s="467">
        <v>3600</v>
      </c>
      <c r="F93" s="467" t="str">
        <f t="shared" si="0"/>
        <v>8310 x 2495 x 3600</v>
      </c>
    </row>
    <row r="94" ht="14.25" customHeight="1" spans="1:8">
      <c r="A94" s="2" t="e">
        <f>VLOOKUP(B94,'Danh mục'!$O:$P,2,0)</f>
        <v>#N/A</v>
      </c>
      <c r="B94" s="470" t="s">
        <v>2550</v>
      </c>
      <c r="C94" s="467">
        <v>9830</v>
      </c>
      <c r="D94" s="467">
        <v>2530</v>
      </c>
      <c r="E94" s="467">
        <v>4000</v>
      </c>
      <c r="F94" s="467" t="str">
        <f t="shared" si="0"/>
        <v>9830 x 2530 x 4000</v>
      </c>
    </row>
    <row r="95" ht="14.25" customHeight="1" spans="1:8">
      <c r="A95" s="2" t="e">
        <f>VLOOKUP(B95,'Danh mục'!$O:$P,2,0)</f>
        <v>#N/A</v>
      </c>
      <c r="B95" s="473" t="s">
        <v>2557</v>
      </c>
      <c r="C95" s="467">
        <v>9270</v>
      </c>
      <c r="D95" s="467">
        <v>2500</v>
      </c>
      <c r="E95" s="467">
        <v>3860</v>
      </c>
      <c r="F95" s="467" t="str">
        <f t="shared" si="0"/>
        <v>9270 x 2500 x 3860</v>
      </c>
    </row>
    <row r="96" ht="14.25" customHeight="1" spans="1:8">
      <c r="A96" s="2" t="e">
        <f>VLOOKUP(B96,'Danh mục'!$O:$P,2,0)</f>
        <v>#N/A</v>
      </c>
      <c r="B96" s="473" t="s">
        <v>2582</v>
      </c>
      <c r="C96" s="467">
        <v>6895</v>
      </c>
      <c r="D96" s="467">
        <v>2470</v>
      </c>
      <c r="E96" s="467">
        <v>3180</v>
      </c>
      <c r="F96" s="467" t="str">
        <f t="shared" si="0"/>
        <v>6895 x 2470 x 3180</v>
      </c>
    </row>
    <row r="97" ht="14.25" customHeight="1" spans="1:7">
      <c r="A97" s="2" t="e">
        <f>VLOOKUP(B97,'Danh mục'!$O:$P,2,0)</f>
        <v>#N/A</v>
      </c>
      <c r="B97" s="470" t="s">
        <v>2604</v>
      </c>
      <c r="C97" s="467">
        <v>9120</v>
      </c>
      <c r="D97" s="467">
        <v>2450</v>
      </c>
      <c r="E97" s="467">
        <v>3160</v>
      </c>
      <c r="F97" s="467" t="str">
        <f t="shared" si="0"/>
        <v>9120 x 2450 x 3160</v>
      </c>
    </row>
    <row r="98" ht="14.25" customHeight="1" spans="1:7">
      <c r="A98" s="2" t="e">
        <f>VLOOKUP(B98,'Danh mục'!$O:$P,2,0)</f>
        <v>#N/A</v>
      </c>
      <c r="B98" s="473" t="s">
        <v>2659</v>
      </c>
      <c r="C98" s="467">
        <v>13530</v>
      </c>
      <c r="D98" s="467">
        <v>2600</v>
      </c>
      <c r="E98" s="467">
        <v>3700</v>
      </c>
      <c r="F98" s="467" t="str">
        <f t="shared" si="0"/>
        <v>13530 x 2600 x 3700</v>
      </c>
    </row>
    <row r="99" ht="14.25" customHeight="1" spans="1:7">
      <c r="A99" s="2" t="e">
        <f>VLOOKUP(B99,'Danh mục'!$O:$P,2,0)</f>
        <v>#N/A</v>
      </c>
      <c r="B99" s="470" t="s">
        <v>2683</v>
      </c>
      <c r="C99" s="467">
        <v>12160</v>
      </c>
      <c r="D99" s="467">
        <v>2500</v>
      </c>
      <c r="E99" s="467">
        <v>3950</v>
      </c>
      <c r="F99" s="467" t="str">
        <f t="shared" si="0"/>
        <v>12160 x 2500 x 3950</v>
      </c>
    </row>
    <row r="100" ht="14.25" customHeight="1" spans="1:7">
      <c r="A100" s="2" t="e">
        <f>VLOOKUP(B100,'Danh mục'!$O:$P,2,0)</f>
        <v>#N/A</v>
      </c>
      <c r="B100" s="470" t="s">
        <v>1417</v>
      </c>
      <c r="C100" s="467">
        <f t="shared" ref="C100:E100" si="18">C32</f>
        <v>6170</v>
      </c>
      <c r="D100" s="467">
        <f t="shared" si="18"/>
        <v>2330</v>
      </c>
      <c r="E100" s="467">
        <f t="shared" si="18"/>
        <v>2750</v>
      </c>
      <c r="F100" s="467" t="str">
        <f t="shared" si="0"/>
        <v>6170 x 2330 x 2750</v>
      </c>
    </row>
    <row r="101" ht="14.25" customHeight="1" spans="1:7">
      <c r="A101" s="2" t="e">
        <f>VLOOKUP(B101,'Danh mục'!$O:$P,2,0)</f>
        <v>#N/A</v>
      </c>
      <c r="B101" s="473" t="s">
        <v>2829</v>
      </c>
      <c r="C101" s="467">
        <f t="shared" ref="C101:E101" si="19">C65</f>
        <v>4730</v>
      </c>
      <c r="D101" s="467">
        <f t="shared" si="19"/>
        <v>1750</v>
      </c>
      <c r="E101" s="467">
        <f t="shared" si="19"/>
        <v>2100</v>
      </c>
      <c r="F101" s="467" t="str">
        <f t="shared" si="0"/>
        <v>4730 x 1750 x 2100</v>
      </c>
    </row>
    <row r="102" ht="14.25" customHeight="1" spans="1:7">
      <c r="A102" s="2" t="e">
        <f>VLOOKUP(B102,'Danh mục'!$O:$P,2,0)</f>
        <v>#N/A</v>
      </c>
      <c r="B102" s="470" t="s">
        <v>2844</v>
      </c>
      <c r="C102" s="467">
        <v>4730</v>
      </c>
      <c r="D102" s="467">
        <v>1750</v>
      </c>
      <c r="E102" s="467">
        <v>2100</v>
      </c>
      <c r="F102" s="467" t="str">
        <f t="shared" si="0"/>
        <v>4730 x 1750 x 2100</v>
      </c>
    </row>
    <row r="103" ht="14.25" customHeight="1" spans="1:7">
      <c r="C103" s="467"/>
      <c r="D103" s="467"/>
      <c r="E103" s="467"/>
      <c r="F103" s="467"/>
      <c r="G103" s="468"/>
    </row>
    <row r="104" ht="14.25" customHeight="1" spans="1:7">
      <c r="C104" s="467"/>
      <c r="D104" s="467"/>
      <c r="E104" s="467"/>
      <c r="F104" s="467"/>
      <c r="G104" s="468"/>
    </row>
    <row r="105" ht="14.25" customHeight="1" spans="1:7">
      <c r="C105" s="467"/>
      <c r="D105" s="467"/>
      <c r="E105" s="467"/>
      <c r="F105" s="467"/>
      <c r="G105" s="468"/>
    </row>
    <row r="106" ht="14.25" customHeight="1" spans="1:7">
      <c r="C106" s="467"/>
      <c r="D106" s="467"/>
      <c r="E106" s="467"/>
      <c r="F106" s="467"/>
      <c r="G106" s="468"/>
    </row>
    <row r="107" ht="14.25" customHeight="1" spans="1:7">
      <c r="C107" s="467"/>
      <c r="D107" s="467"/>
      <c r="E107" s="467"/>
      <c r="F107" s="467"/>
      <c r="G107" s="468"/>
    </row>
    <row r="108" ht="14.25" customHeight="1" spans="1:7">
      <c r="C108" s="467"/>
      <c r="D108" s="467"/>
      <c r="E108" s="467"/>
      <c r="F108" s="467"/>
      <c r="G108" s="468"/>
    </row>
    <row r="109" ht="14.25" customHeight="1" spans="1:7">
      <c r="C109" s="467"/>
      <c r="D109" s="467"/>
      <c r="E109" s="467"/>
      <c r="F109" s="467"/>
      <c r="G109" s="468"/>
    </row>
    <row r="110" ht="14.25" customHeight="1" spans="1:7">
      <c r="C110" s="467"/>
      <c r="D110" s="467"/>
      <c r="E110" s="467"/>
      <c r="F110" s="467"/>
      <c r="G110" s="468"/>
    </row>
    <row r="111" ht="14.25" customHeight="1" spans="1:7">
      <c r="C111" s="467"/>
      <c r="D111" s="467"/>
      <c r="E111" s="467"/>
      <c r="F111" s="467"/>
      <c r="G111" s="468"/>
    </row>
    <row r="112" ht="14.25" customHeight="1" spans="1:7">
      <c r="C112" s="467"/>
      <c r="D112" s="467"/>
      <c r="E112" s="467"/>
      <c r="F112" s="467"/>
      <c r="G112" s="468"/>
    </row>
    <row r="113" ht="14.25" customHeight="1" spans="3:7">
      <c r="C113" s="467"/>
      <c r="D113" s="467"/>
      <c r="E113" s="467"/>
      <c r="F113" s="467"/>
      <c r="G113" s="468"/>
    </row>
    <row r="114" ht="14.25" customHeight="1" spans="3:7">
      <c r="C114" s="467"/>
      <c r="D114" s="467"/>
      <c r="E114" s="467"/>
      <c r="F114" s="467"/>
      <c r="G114" s="468"/>
    </row>
    <row r="115" ht="14.25" customHeight="1" spans="3:7">
      <c r="C115" s="467"/>
      <c r="D115" s="467"/>
      <c r="E115" s="467"/>
      <c r="F115" s="467"/>
      <c r="G115" s="468"/>
    </row>
    <row r="116" ht="14.25" customHeight="1" spans="3:7">
      <c r="C116" s="467"/>
      <c r="D116" s="467"/>
      <c r="E116" s="467"/>
      <c r="F116" s="467"/>
      <c r="G116" s="468"/>
    </row>
    <row r="117" ht="14.25" customHeight="1" spans="3:7">
      <c r="C117" s="467"/>
      <c r="D117" s="467"/>
      <c r="E117" s="467"/>
      <c r="F117" s="467"/>
      <c r="G117" s="468"/>
    </row>
    <row r="118" ht="14.25" customHeight="1" spans="3:7">
      <c r="C118" s="467"/>
      <c r="D118" s="467"/>
      <c r="E118" s="467"/>
      <c r="F118" s="467"/>
      <c r="G118" s="468"/>
    </row>
    <row r="119" ht="14.25" customHeight="1" spans="3:7">
      <c r="C119" s="467"/>
      <c r="D119" s="467"/>
      <c r="E119" s="467"/>
      <c r="F119" s="467"/>
      <c r="G119" s="468"/>
    </row>
    <row r="120" ht="14.25" customHeight="1" spans="3:7">
      <c r="C120" s="467"/>
      <c r="D120" s="467"/>
      <c r="E120" s="467"/>
      <c r="F120" s="467"/>
      <c r="G120" s="468"/>
    </row>
    <row r="121" ht="14.25" customHeight="1" spans="3:7">
      <c r="C121" s="467"/>
      <c r="D121" s="467"/>
      <c r="E121" s="467"/>
      <c r="F121" s="467"/>
      <c r="G121" s="468"/>
    </row>
    <row r="122" ht="14.25" customHeight="1" spans="3:7">
      <c r="C122" s="467"/>
      <c r="D122" s="467"/>
      <c r="E122" s="467"/>
      <c r="F122" s="467"/>
      <c r="G122" s="468"/>
    </row>
    <row r="123" ht="14.25" customHeight="1" spans="3:7">
      <c r="C123" s="467"/>
      <c r="D123" s="467"/>
      <c r="E123" s="467"/>
      <c r="F123" s="467"/>
      <c r="G123" s="468"/>
    </row>
    <row r="124" ht="14.25" customHeight="1" spans="3:7">
      <c r="C124" s="467"/>
      <c r="D124" s="467"/>
      <c r="E124" s="467"/>
      <c r="F124" s="467"/>
      <c r="G124" s="468"/>
    </row>
    <row r="125" ht="14.25" customHeight="1" spans="3:7">
      <c r="C125" s="467"/>
      <c r="D125" s="467"/>
      <c r="E125" s="467"/>
      <c r="F125" s="467"/>
      <c r="G125" s="468"/>
    </row>
    <row r="126" ht="14.25" customHeight="1" spans="3:7">
      <c r="C126" s="467"/>
      <c r="D126" s="467"/>
      <c r="E126" s="467"/>
      <c r="F126" s="467"/>
      <c r="G126" s="468"/>
    </row>
    <row r="127" ht="14.25" customHeight="1" spans="3:7">
      <c r="C127" s="467"/>
      <c r="D127" s="467"/>
      <c r="E127" s="467"/>
      <c r="F127" s="467"/>
      <c r="G127" s="468"/>
    </row>
    <row r="128" ht="14.25" customHeight="1" spans="3:7">
      <c r="C128" s="467"/>
      <c r="D128" s="467"/>
      <c r="E128" s="467"/>
      <c r="F128" s="467"/>
      <c r="G128" s="468"/>
    </row>
    <row r="129" ht="14.25" customHeight="1" spans="3:7">
      <c r="C129" s="467"/>
      <c r="D129" s="467"/>
      <c r="E129" s="467"/>
      <c r="F129" s="467"/>
      <c r="G129" s="468"/>
    </row>
    <row r="130" ht="14.25" customHeight="1" spans="3:7">
      <c r="C130" s="467"/>
      <c r="D130" s="467"/>
      <c r="E130" s="467"/>
      <c r="F130" s="467"/>
      <c r="G130" s="468"/>
    </row>
    <row r="131" ht="14.25" customHeight="1" spans="3:7">
      <c r="C131" s="467"/>
      <c r="D131" s="467"/>
      <c r="E131" s="467"/>
      <c r="F131" s="467"/>
      <c r="G131" s="468"/>
    </row>
    <row r="132" ht="14.25" customHeight="1" spans="3:7">
      <c r="C132" s="467"/>
      <c r="D132" s="467"/>
      <c r="E132" s="467"/>
      <c r="F132" s="467"/>
      <c r="G132" s="468"/>
    </row>
    <row r="133" ht="14.25" customHeight="1" spans="3:7">
      <c r="C133" s="467"/>
      <c r="D133" s="467"/>
      <c r="E133" s="467"/>
      <c r="F133" s="467"/>
      <c r="G133" s="468"/>
    </row>
    <row r="134" ht="14.25" customHeight="1" spans="3:7">
      <c r="C134" s="467"/>
      <c r="D134" s="467"/>
      <c r="E134" s="467"/>
      <c r="F134" s="467"/>
      <c r="G134" s="468"/>
    </row>
    <row r="135" ht="14.25" customHeight="1" spans="3:7">
      <c r="C135" s="467"/>
      <c r="D135" s="467"/>
      <c r="E135" s="467"/>
      <c r="F135" s="467"/>
      <c r="G135" s="468"/>
    </row>
    <row r="136" ht="14.25" customHeight="1" spans="3:7">
      <c r="C136" s="467"/>
      <c r="D136" s="467"/>
      <c r="E136" s="467"/>
      <c r="F136" s="467"/>
      <c r="G136" s="468"/>
    </row>
    <row r="137" ht="14.25" customHeight="1" spans="3:7">
      <c r="C137" s="467"/>
      <c r="D137" s="467"/>
      <c r="E137" s="467"/>
      <c r="F137" s="467"/>
      <c r="G137" s="468"/>
    </row>
    <row r="138" ht="14.25" customHeight="1" spans="3:7">
      <c r="C138" s="467"/>
      <c r="D138" s="467"/>
      <c r="E138" s="467"/>
      <c r="F138" s="467"/>
      <c r="G138" s="468"/>
    </row>
    <row r="139" ht="14.25" customHeight="1" spans="3:7">
      <c r="C139" s="467"/>
      <c r="D139" s="467"/>
      <c r="E139" s="467"/>
      <c r="F139" s="467"/>
      <c r="G139" s="468"/>
    </row>
    <row r="140" ht="14.25" customHeight="1" spans="3:7">
      <c r="C140" s="467"/>
      <c r="D140" s="467"/>
      <c r="E140" s="467"/>
      <c r="F140" s="467"/>
      <c r="G140" s="468"/>
    </row>
    <row r="141" ht="14.25" customHeight="1" spans="3:7">
      <c r="C141" s="467"/>
      <c r="D141" s="467"/>
      <c r="E141" s="467"/>
      <c r="F141" s="467"/>
      <c r="G141" s="468"/>
    </row>
    <row r="142" ht="14.25" customHeight="1" spans="3:7">
      <c r="C142" s="467"/>
      <c r="D142" s="467"/>
      <c r="E142" s="467"/>
      <c r="F142" s="467"/>
      <c r="G142" s="468"/>
    </row>
    <row r="143" ht="14.25" customHeight="1" spans="3:7">
      <c r="C143" s="467"/>
      <c r="D143" s="467"/>
      <c r="E143" s="467"/>
      <c r="F143" s="467"/>
      <c r="G143" s="468"/>
    </row>
    <row r="144" ht="14.25" customHeight="1" spans="3:7">
      <c r="C144" s="467"/>
      <c r="D144" s="467"/>
      <c r="E144" s="467"/>
      <c r="F144" s="467"/>
      <c r="G144" s="468"/>
    </row>
    <row r="145" ht="14.25" customHeight="1" spans="3:7">
      <c r="C145" s="467"/>
      <c r="D145" s="467"/>
      <c r="E145" s="467"/>
      <c r="F145" s="467"/>
      <c r="G145" s="468"/>
    </row>
    <row r="146" ht="14.25" customHeight="1" spans="3:7">
      <c r="C146" s="467"/>
      <c r="D146" s="467"/>
      <c r="E146" s="467"/>
      <c r="F146" s="467"/>
      <c r="G146" s="468"/>
    </row>
    <row r="147" ht="14.25" customHeight="1" spans="3:7">
      <c r="C147" s="467"/>
      <c r="D147" s="467"/>
      <c r="E147" s="467"/>
      <c r="F147" s="467"/>
      <c r="G147" s="468"/>
    </row>
    <row r="148" ht="14.25" customHeight="1" spans="3:7">
      <c r="C148" s="467"/>
      <c r="D148" s="467"/>
      <c r="E148" s="467"/>
      <c r="F148" s="467"/>
      <c r="G148" s="468"/>
    </row>
    <row r="149" ht="14.25" customHeight="1" spans="3:7">
      <c r="C149" s="467"/>
      <c r="D149" s="467"/>
      <c r="E149" s="467"/>
      <c r="F149" s="467"/>
      <c r="G149" s="468"/>
    </row>
    <row r="150" ht="14.25" customHeight="1" spans="3:7">
      <c r="C150" s="467"/>
      <c r="D150" s="467"/>
      <c r="E150" s="467"/>
      <c r="F150" s="467"/>
      <c r="G150" s="468"/>
    </row>
    <row r="151" ht="14.25" customHeight="1" spans="3:7">
      <c r="C151" s="467"/>
      <c r="D151" s="467"/>
      <c r="E151" s="467"/>
      <c r="F151" s="467"/>
      <c r="G151" s="468"/>
    </row>
    <row r="152" ht="14.25" customHeight="1" spans="3:7">
      <c r="C152" s="467"/>
      <c r="D152" s="467"/>
      <c r="E152" s="467"/>
      <c r="F152" s="467"/>
      <c r="G152" s="468"/>
    </row>
    <row r="153" ht="14.25" customHeight="1" spans="3:7">
      <c r="C153" s="467"/>
      <c r="D153" s="467"/>
      <c r="E153" s="467"/>
      <c r="F153" s="467"/>
      <c r="G153" s="468"/>
    </row>
    <row r="154" ht="14.25" customHeight="1" spans="3:7">
      <c r="C154" s="467"/>
      <c r="D154" s="467"/>
      <c r="E154" s="467"/>
      <c r="F154" s="467"/>
      <c r="G154" s="468"/>
    </row>
    <row r="155" ht="14.25" customHeight="1" spans="3:7">
      <c r="C155" s="467"/>
      <c r="D155" s="467"/>
      <c r="E155" s="467"/>
      <c r="F155" s="467"/>
      <c r="G155" s="468"/>
    </row>
    <row r="156" ht="14.25" customHeight="1" spans="3:7">
      <c r="C156" s="467"/>
      <c r="D156" s="467"/>
      <c r="E156" s="467"/>
      <c r="F156" s="467"/>
      <c r="G156" s="468"/>
    </row>
    <row r="157" ht="14.25" customHeight="1" spans="3:7">
      <c r="C157" s="467"/>
      <c r="D157" s="467"/>
      <c r="E157" s="467"/>
      <c r="F157" s="467"/>
      <c r="G157" s="468"/>
    </row>
    <row r="158" ht="14.25" customHeight="1" spans="3:7">
      <c r="C158" s="467"/>
      <c r="D158" s="467"/>
      <c r="E158" s="467"/>
      <c r="F158" s="467"/>
      <c r="G158" s="468"/>
    </row>
    <row r="159" ht="14.25" customHeight="1" spans="3:7">
      <c r="C159" s="467"/>
      <c r="D159" s="467"/>
      <c r="E159" s="467"/>
      <c r="F159" s="467"/>
      <c r="G159" s="468"/>
    </row>
    <row r="160" ht="14.25" customHeight="1" spans="3:7">
      <c r="C160" s="467"/>
      <c r="D160" s="467"/>
      <c r="E160" s="467"/>
      <c r="F160" s="467"/>
      <c r="G160" s="468"/>
    </row>
    <row r="161" ht="14.25" customHeight="1" spans="3:7">
      <c r="C161" s="467"/>
      <c r="D161" s="467"/>
      <c r="E161" s="467"/>
      <c r="F161" s="467"/>
      <c r="G161" s="468"/>
    </row>
    <row r="162" ht="14.25" customHeight="1" spans="3:7">
      <c r="C162" s="467"/>
      <c r="D162" s="467"/>
      <c r="E162" s="467"/>
      <c r="F162" s="467"/>
      <c r="G162" s="468"/>
    </row>
    <row r="163" ht="14.25" customHeight="1" spans="3:7">
      <c r="C163" s="467"/>
      <c r="D163" s="467"/>
      <c r="E163" s="467"/>
      <c r="F163" s="467"/>
      <c r="G163" s="468"/>
    </row>
    <row r="164" ht="14.25" customHeight="1" spans="3:7">
      <c r="C164" s="467"/>
      <c r="D164" s="467"/>
      <c r="E164" s="467"/>
      <c r="F164" s="467"/>
      <c r="G164" s="468"/>
    </row>
    <row r="165" ht="14.25" customHeight="1" spans="3:7">
      <c r="C165" s="467"/>
      <c r="D165" s="467"/>
      <c r="E165" s="467"/>
      <c r="F165" s="467"/>
      <c r="G165" s="468"/>
    </row>
    <row r="166" ht="14.25" customHeight="1" spans="3:7">
      <c r="C166" s="467"/>
      <c r="D166" s="467"/>
      <c r="E166" s="467"/>
      <c r="F166" s="467"/>
      <c r="G166" s="468"/>
    </row>
    <row r="167" ht="14.25" customHeight="1" spans="3:7">
      <c r="C167" s="467"/>
      <c r="D167" s="467"/>
      <c r="E167" s="467"/>
      <c r="F167" s="467"/>
      <c r="G167" s="468"/>
    </row>
    <row r="168" ht="14.25" customHeight="1" spans="3:7">
      <c r="C168" s="467"/>
      <c r="D168" s="467"/>
      <c r="E168" s="467"/>
      <c r="F168" s="467"/>
      <c r="G168" s="468"/>
    </row>
    <row r="169" ht="14.25" customHeight="1" spans="3:7">
      <c r="C169" s="467"/>
      <c r="D169" s="467"/>
      <c r="E169" s="467"/>
      <c r="F169" s="467"/>
      <c r="G169" s="468"/>
    </row>
    <row r="170" ht="14.25" customHeight="1" spans="3:7">
      <c r="C170" s="467"/>
      <c r="D170" s="467"/>
      <c r="E170" s="467"/>
      <c r="F170" s="467"/>
      <c r="G170" s="468"/>
    </row>
    <row r="171" ht="14.25" customHeight="1" spans="3:7">
      <c r="C171" s="467"/>
      <c r="D171" s="467"/>
      <c r="E171" s="467"/>
      <c r="F171" s="467"/>
      <c r="G171" s="468"/>
    </row>
    <row r="172" ht="14.25" customHeight="1" spans="3:7">
      <c r="C172" s="467"/>
      <c r="D172" s="467"/>
      <c r="E172" s="467"/>
      <c r="F172" s="467"/>
      <c r="G172" s="468"/>
    </row>
    <row r="173" ht="14.25" customHeight="1" spans="3:7">
      <c r="C173" s="467"/>
      <c r="D173" s="467"/>
      <c r="E173" s="467"/>
      <c r="F173" s="467"/>
      <c r="G173" s="468"/>
    </row>
    <row r="174" ht="14.25" customHeight="1" spans="3:7">
      <c r="C174" s="467"/>
      <c r="D174" s="467"/>
      <c r="E174" s="467"/>
      <c r="F174" s="467"/>
      <c r="G174" s="468"/>
    </row>
    <row r="175" ht="14.25" customHeight="1" spans="3:7">
      <c r="C175" s="467"/>
      <c r="D175" s="467"/>
      <c r="E175" s="467"/>
      <c r="F175" s="467"/>
      <c r="G175" s="468"/>
    </row>
    <row r="176" ht="14.25" customHeight="1" spans="3:7">
      <c r="C176" s="467"/>
      <c r="D176" s="467"/>
      <c r="E176" s="467"/>
      <c r="F176" s="467"/>
      <c r="G176" s="468"/>
    </row>
    <row r="177" ht="14.25" customHeight="1" spans="3:7">
      <c r="C177" s="467"/>
      <c r="D177" s="467"/>
      <c r="E177" s="467"/>
      <c r="F177" s="467"/>
      <c r="G177" s="468"/>
    </row>
    <row r="178" ht="14.25" customHeight="1" spans="3:7">
      <c r="C178" s="467"/>
      <c r="D178" s="467"/>
      <c r="E178" s="467"/>
      <c r="F178" s="467"/>
      <c r="G178" s="468"/>
    </row>
    <row r="179" ht="14.25" customHeight="1" spans="3:7">
      <c r="C179" s="467"/>
      <c r="D179" s="467"/>
      <c r="E179" s="467"/>
      <c r="F179" s="467"/>
      <c r="G179" s="468"/>
    </row>
    <row r="180" ht="14.25" customHeight="1" spans="3:7">
      <c r="C180" s="467"/>
      <c r="D180" s="467"/>
      <c r="E180" s="467"/>
      <c r="F180" s="467"/>
      <c r="G180" s="468"/>
    </row>
    <row r="181" ht="14.25" customHeight="1" spans="3:7">
      <c r="C181" s="467"/>
      <c r="D181" s="467"/>
      <c r="E181" s="467"/>
      <c r="F181" s="467"/>
      <c r="G181" s="468"/>
    </row>
    <row r="182" ht="14.25" customHeight="1" spans="3:7">
      <c r="C182" s="467"/>
      <c r="D182" s="467"/>
      <c r="E182" s="467"/>
      <c r="F182" s="467"/>
      <c r="G182" s="468"/>
    </row>
    <row r="183" ht="14.25" customHeight="1" spans="3:7">
      <c r="C183" s="467"/>
      <c r="D183" s="467"/>
      <c r="E183" s="467"/>
      <c r="F183" s="467"/>
      <c r="G183" s="468"/>
    </row>
    <row r="184" ht="14.25" customHeight="1" spans="3:7">
      <c r="C184" s="467"/>
      <c r="D184" s="467"/>
      <c r="E184" s="467"/>
      <c r="F184" s="467"/>
      <c r="G184" s="468"/>
    </row>
    <row r="185" ht="14.25" customHeight="1" spans="3:7">
      <c r="C185" s="467"/>
      <c r="D185" s="467"/>
      <c r="E185" s="467"/>
      <c r="F185" s="467"/>
      <c r="G185" s="468"/>
    </row>
    <row r="186" ht="14.25" customHeight="1" spans="3:7">
      <c r="C186" s="467"/>
      <c r="D186" s="467"/>
      <c r="E186" s="467"/>
      <c r="F186" s="467"/>
      <c r="G186" s="468"/>
    </row>
    <row r="187" ht="14.25" customHeight="1" spans="3:7">
      <c r="C187" s="467"/>
      <c r="D187" s="467"/>
      <c r="E187" s="467"/>
      <c r="F187" s="467"/>
      <c r="G187" s="468"/>
    </row>
    <row r="188" ht="14.25" customHeight="1" spans="3:7">
      <c r="C188" s="467"/>
      <c r="D188" s="467"/>
      <c r="E188" s="467"/>
      <c r="F188" s="467"/>
      <c r="G188" s="468"/>
    </row>
    <row r="189" ht="14.25" customHeight="1" spans="3:7">
      <c r="C189" s="467"/>
      <c r="D189" s="467"/>
      <c r="E189" s="467"/>
      <c r="F189" s="467"/>
      <c r="G189" s="468"/>
    </row>
    <row r="190" ht="14.25" customHeight="1" spans="3:7">
      <c r="C190" s="467"/>
      <c r="D190" s="467"/>
      <c r="E190" s="467"/>
      <c r="F190" s="467"/>
      <c r="G190" s="468"/>
    </row>
    <row r="191" ht="14.25" customHeight="1" spans="3:7">
      <c r="C191" s="467"/>
      <c r="D191" s="467"/>
      <c r="E191" s="467"/>
      <c r="F191" s="467"/>
      <c r="G191" s="468"/>
    </row>
    <row r="192" ht="14.25" customHeight="1" spans="3:7">
      <c r="C192" s="467"/>
      <c r="D192" s="467"/>
      <c r="E192" s="467"/>
      <c r="F192" s="467"/>
      <c r="G192" s="468"/>
    </row>
    <row r="193" ht="14.25" customHeight="1" spans="3:7">
      <c r="C193" s="467"/>
      <c r="D193" s="467"/>
      <c r="E193" s="467"/>
      <c r="F193" s="467"/>
      <c r="G193" s="468"/>
    </row>
    <row r="194" ht="14.25" customHeight="1" spans="3:7">
      <c r="C194" s="467"/>
      <c r="D194" s="467"/>
      <c r="E194" s="467"/>
      <c r="F194" s="467"/>
      <c r="G194" s="468"/>
    </row>
    <row r="195" ht="14.25" customHeight="1" spans="3:7">
      <c r="C195" s="467"/>
      <c r="D195" s="467"/>
      <c r="E195" s="467"/>
      <c r="F195" s="467"/>
      <c r="G195" s="468"/>
    </row>
    <row r="196" ht="14.25" customHeight="1" spans="3:7">
      <c r="C196" s="467"/>
      <c r="D196" s="467"/>
      <c r="E196" s="467"/>
      <c r="F196" s="467"/>
      <c r="G196" s="468"/>
    </row>
    <row r="197" ht="14.25" customHeight="1" spans="3:7">
      <c r="C197" s="467"/>
      <c r="D197" s="467"/>
      <c r="E197" s="467"/>
      <c r="F197" s="467"/>
      <c r="G197" s="468"/>
    </row>
    <row r="198" ht="14.25" customHeight="1" spans="3:7">
      <c r="C198" s="467"/>
      <c r="D198" s="467"/>
      <c r="E198" s="467"/>
      <c r="F198" s="467"/>
      <c r="G198" s="468"/>
    </row>
    <row r="199" ht="14.25" customHeight="1" spans="3:7">
      <c r="C199" s="467"/>
      <c r="D199" s="467"/>
      <c r="E199" s="467"/>
      <c r="F199" s="467"/>
      <c r="G199" s="468"/>
    </row>
    <row r="200" ht="14.25" customHeight="1" spans="3:7">
      <c r="C200" s="467"/>
      <c r="D200" s="467"/>
      <c r="E200" s="467"/>
      <c r="F200" s="467"/>
      <c r="G200" s="468"/>
    </row>
    <row r="201" ht="14.25" customHeight="1" spans="3:7">
      <c r="C201" s="467"/>
      <c r="D201" s="467"/>
      <c r="E201" s="467"/>
      <c r="F201" s="467"/>
      <c r="G201" s="468"/>
    </row>
    <row r="202" ht="14.25" customHeight="1" spans="3:7">
      <c r="C202" s="467"/>
      <c r="D202" s="467"/>
      <c r="E202" s="467"/>
      <c r="F202" s="467"/>
      <c r="G202" s="468"/>
    </row>
    <row r="203" ht="14.25" customHeight="1" spans="3:7">
      <c r="C203" s="467"/>
      <c r="D203" s="467"/>
      <c r="E203" s="467"/>
      <c r="F203" s="467"/>
      <c r="G203" s="468"/>
    </row>
    <row r="204" ht="14.25" customHeight="1" spans="3:7">
      <c r="C204" s="467"/>
      <c r="D204" s="467"/>
      <c r="E204" s="467"/>
      <c r="F204" s="467"/>
      <c r="G204" s="468"/>
    </row>
    <row r="205" ht="14.25" customHeight="1" spans="3:7">
      <c r="C205" s="467"/>
      <c r="D205" s="467"/>
      <c r="E205" s="467"/>
      <c r="F205" s="467"/>
      <c r="G205" s="468"/>
    </row>
    <row r="206" ht="14.25" customHeight="1" spans="3:7">
      <c r="C206" s="467"/>
      <c r="D206" s="467"/>
      <c r="E206" s="467"/>
      <c r="F206" s="467"/>
      <c r="G206" s="468"/>
    </row>
    <row r="207" ht="14.25" customHeight="1" spans="3:7">
      <c r="C207" s="467"/>
      <c r="D207" s="467"/>
      <c r="E207" s="467"/>
      <c r="F207" s="467"/>
      <c r="G207" s="468"/>
    </row>
    <row r="208" ht="14.25" customHeight="1" spans="3:7">
      <c r="C208" s="467"/>
      <c r="D208" s="467"/>
      <c r="E208" s="467"/>
      <c r="F208" s="467"/>
      <c r="G208" s="468"/>
    </row>
    <row r="209" ht="14.25" customHeight="1" spans="3:7">
      <c r="C209" s="467"/>
      <c r="D209" s="467"/>
      <c r="E209" s="467"/>
      <c r="F209" s="467"/>
      <c r="G209" s="468"/>
    </row>
    <row r="210" ht="14.25" customHeight="1" spans="3:7">
      <c r="C210" s="467"/>
      <c r="D210" s="467"/>
      <c r="E210" s="467"/>
      <c r="F210" s="467"/>
      <c r="G210" s="468"/>
    </row>
    <row r="211" ht="14.25" customHeight="1" spans="3:7">
      <c r="C211" s="467"/>
      <c r="D211" s="467"/>
      <c r="E211" s="467"/>
      <c r="F211" s="467"/>
      <c r="G211" s="468"/>
    </row>
    <row r="212" ht="14.25" customHeight="1" spans="3:7">
      <c r="C212" s="467"/>
      <c r="D212" s="467"/>
      <c r="E212" s="467"/>
      <c r="F212" s="467"/>
      <c r="G212" s="468"/>
    </row>
    <row r="213" ht="14.25" customHeight="1" spans="3:7">
      <c r="C213" s="467"/>
      <c r="D213" s="467"/>
      <c r="E213" s="467"/>
      <c r="F213" s="467"/>
      <c r="G213" s="468"/>
    </row>
    <row r="214" ht="14.25" customHeight="1" spans="3:7">
      <c r="C214" s="467"/>
      <c r="D214" s="467"/>
      <c r="E214" s="467"/>
      <c r="F214" s="467"/>
      <c r="G214" s="468"/>
    </row>
    <row r="215" ht="14.25" customHeight="1" spans="3:7">
      <c r="C215" s="467"/>
      <c r="D215" s="467"/>
      <c r="E215" s="467"/>
      <c r="F215" s="467"/>
      <c r="G215" s="468"/>
    </row>
    <row r="216" ht="14.25" customHeight="1" spans="3:7">
      <c r="C216" s="467"/>
      <c r="D216" s="467"/>
      <c r="E216" s="467"/>
      <c r="F216" s="467"/>
      <c r="G216" s="468"/>
    </row>
    <row r="217" ht="14.25" customHeight="1" spans="3:7">
      <c r="C217" s="467"/>
      <c r="D217" s="467"/>
      <c r="E217" s="467"/>
      <c r="F217" s="467"/>
      <c r="G217" s="468"/>
    </row>
    <row r="218" ht="14.25" customHeight="1" spans="3:7">
      <c r="C218" s="467"/>
      <c r="D218" s="467"/>
      <c r="E218" s="467"/>
      <c r="F218" s="467"/>
      <c r="G218" s="468"/>
    </row>
    <row r="219" ht="14.25" customHeight="1" spans="3:7">
      <c r="C219" s="467"/>
      <c r="D219" s="467"/>
      <c r="E219" s="467"/>
      <c r="F219" s="467"/>
      <c r="G219" s="468"/>
    </row>
    <row r="220" ht="14.25" customHeight="1" spans="3:7">
      <c r="C220" s="467"/>
      <c r="D220" s="467"/>
      <c r="E220" s="467"/>
      <c r="F220" s="467"/>
      <c r="G220" s="468"/>
    </row>
    <row r="221" ht="14.25" customHeight="1" spans="3:7">
      <c r="C221" s="467"/>
      <c r="D221" s="467"/>
      <c r="E221" s="467"/>
      <c r="F221" s="467"/>
      <c r="G221" s="468"/>
    </row>
    <row r="222" ht="14.25" customHeight="1" spans="3:7">
      <c r="C222" s="467"/>
      <c r="D222" s="467"/>
      <c r="E222" s="467"/>
      <c r="F222" s="467"/>
      <c r="G222" s="468"/>
    </row>
    <row r="223" ht="14.25" customHeight="1" spans="3:7">
      <c r="C223" s="467"/>
      <c r="D223" s="467"/>
      <c r="E223" s="467"/>
      <c r="F223" s="467"/>
      <c r="G223" s="468"/>
    </row>
    <row r="224" ht="14.25" customHeight="1" spans="3:7">
      <c r="C224" s="467"/>
      <c r="D224" s="467"/>
      <c r="E224" s="467"/>
      <c r="F224" s="467"/>
      <c r="G224" s="468"/>
    </row>
    <row r="225" ht="14.25" customHeight="1" spans="3:7">
      <c r="C225" s="467"/>
      <c r="D225" s="467"/>
      <c r="E225" s="467"/>
      <c r="F225" s="467"/>
      <c r="G225" s="468"/>
    </row>
    <row r="226" ht="14.25" customHeight="1" spans="3:7">
      <c r="C226" s="467"/>
      <c r="D226" s="467"/>
      <c r="E226" s="467"/>
      <c r="F226" s="467"/>
      <c r="G226" s="468"/>
    </row>
    <row r="227" ht="14.25" customHeight="1" spans="3:7">
      <c r="C227" s="467"/>
      <c r="D227" s="467"/>
      <c r="E227" s="467"/>
      <c r="F227" s="467"/>
      <c r="G227" s="468"/>
    </row>
    <row r="228" ht="14.25" customHeight="1" spans="3:7">
      <c r="C228" s="467"/>
      <c r="D228" s="467"/>
      <c r="E228" s="467"/>
      <c r="F228" s="467"/>
      <c r="G228" s="468"/>
    </row>
    <row r="229" ht="14.25" customHeight="1" spans="3:7">
      <c r="C229" s="467"/>
      <c r="D229" s="467"/>
      <c r="E229" s="467"/>
      <c r="F229" s="467"/>
      <c r="G229" s="468"/>
    </row>
    <row r="230" ht="14.25" customHeight="1" spans="3:7">
      <c r="C230" s="467"/>
      <c r="D230" s="467"/>
      <c r="E230" s="467"/>
      <c r="F230" s="467"/>
      <c r="G230" s="468"/>
    </row>
    <row r="231" ht="14.25" customHeight="1" spans="3:7">
      <c r="C231" s="467"/>
      <c r="D231" s="467"/>
      <c r="E231" s="467"/>
      <c r="F231" s="467"/>
      <c r="G231" s="468"/>
    </row>
    <row r="232" ht="14.25" customHeight="1" spans="3:7">
      <c r="C232" s="467"/>
      <c r="D232" s="467"/>
      <c r="E232" s="467"/>
      <c r="F232" s="467"/>
      <c r="G232" s="468"/>
    </row>
    <row r="233" ht="14.25" customHeight="1" spans="3:7">
      <c r="C233" s="467"/>
      <c r="D233" s="467"/>
      <c r="E233" s="467"/>
      <c r="F233" s="467"/>
      <c r="G233" s="468"/>
    </row>
    <row r="234" ht="14.25" customHeight="1" spans="3:7">
      <c r="C234" s="467"/>
      <c r="D234" s="467"/>
      <c r="E234" s="467"/>
      <c r="F234" s="467"/>
      <c r="G234" s="468"/>
    </row>
    <row r="235" ht="14.25" customHeight="1" spans="3:7">
      <c r="C235" s="467"/>
      <c r="D235" s="467"/>
      <c r="E235" s="467"/>
      <c r="F235" s="467"/>
      <c r="G235" s="468"/>
    </row>
    <row r="236" ht="14.25" customHeight="1" spans="3:7">
      <c r="C236" s="467"/>
      <c r="D236" s="467"/>
      <c r="E236" s="467"/>
      <c r="F236" s="467"/>
      <c r="G236" s="468"/>
    </row>
    <row r="237" ht="14.25" customHeight="1" spans="3:7">
      <c r="C237" s="467"/>
      <c r="D237" s="467"/>
      <c r="E237" s="467"/>
      <c r="F237" s="467"/>
      <c r="G237" s="468"/>
    </row>
    <row r="238" ht="14.25" customHeight="1" spans="3:7">
      <c r="C238" s="467"/>
      <c r="D238" s="467"/>
      <c r="E238" s="467"/>
      <c r="F238" s="467"/>
      <c r="G238" s="468"/>
    </row>
    <row r="239" ht="14.25" customHeight="1" spans="3:7">
      <c r="C239" s="467"/>
      <c r="D239" s="467"/>
      <c r="E239" s="467"/>
      <c r="F239" s="467"/>
      <c r="G239" s="468"/>
    </row>
    <row r="240" ht="14.25" customHeight="1" spans="3:7">
      <c r="C240" s="467"/>
      <c r="D240" s="467"/>
      <c r="E240" s="467"/>
      <c r="F240" s="467"/>
      <c r="G240" s="468"/>
    </row>
    <row r="241" ht="14.25" customHeight="1" spans="3:7">
      <c r="C241" s="467"/>
      <c r="D241" s="467"/>
      <c r="E241" s="467"/>
      <c r="F241" s="467"/>
      <c r="G241" s="468"/>
    </row>
    <row r="242" ht="14.25" customHeight="1" spans="3:7">
      <c r="C242" s="467"/>
      <c r="D242" s="467"/>
      <c r="E242" s="467"/>
      <c r="F242" s="467"/>
      <c r="G242" s="468"/>
    </row>
    <row r="243" ht="14.25" customHeight="1" spans="3:7">
      <c r="C243" s="467"/>
      <c r="D243" s="467"/>
      <c r="E243" s="467"/>
      <c r="F243" s="467"/>
      <c r="G243" s="468"/>
    </row>
    <row r="244" ht="14.25" customHeight="1" spans="3:7">
      <c r="C244" s="467"/>
      <c r="D244" s="467"/>
      <c r="E244" s="467"/>
      <c r="F244" s="467"/>
      <c r="G244" s="468"/>
    </row>
    <row r="245" ht="14.25" customHeight="1" spans="3:7">
      <c r="C245" s="467"/>
      <c r="D245" s="467"/>
      <c r="E245" s="467"/>
      <c r="F245" s="467"/>
      <c r="G245" s="468"/>
    </row>
    <row r="246" ht="14.25" customHeight="1" spans="3:7">
      <c r="C246" s="467"/>
      <c r="D246" s="467"/>
      <c r="E246" s="467"/>
      <c r="F246" s="467"/>
      <c r="G246" s="468"/>
    </row>
    <row r="247" ht="14.25" customHeight="1" spans="3:7">
      <c r="C247" s="467"/>
      <c r="D247" s="467"/>
      <c r="E247" s="467"/>
      <c r="F247" s="467"/>
      <c r="G247" s="468"/>
    </row>
    <row r="248" ht="14.25" customHeight="1" spans="3:7">
      <c r="C248" s="467"/>
      <c r="D248" s="467"/>
      <c r="E248" s="467"/>
      <c r="F248" s="467"/>
      <c r="G248" s="468"/>
    </row>
    <row r="249" ht="14.25" customHeight="1" spans="3:7">
      <c r="C249" s="467"/>
      <c r="D249" s="467"/>
      <c r="E249" s="467"/>
      <c r="F249" s="467"/>
      <c r="G249" s="468"/>
    </row>
    <row r="250" ht="14.25" customHeight="1" spans="3:7">
      <c r="C250" s="467"/>
      <c r="D250" s="467"/>
      <c r="E250" s="467"/>
      <c r="F250" s="467"/>
      <c r="G250" s="468"/>
    </row>
    <row r="251" ht="14.25" customHeight="1" spans="3:7">
      <c r="C251" s="467"/>
      <c r="D251" s="467"/>
      <c r="E251" s="467"/>
      <c r="F251" s="467"/>
      <c r="G251" s="468"/>
    </row>
    <row r="252" ht="14.25" customHeight="1" spans="3:7">
      <c r="C252" s="467"/>
      <c r="D252" s="467"/>
      <c r="E252" s="467"/>
      <c r="F252" s="467"/>
      <c r="G252" s="468"/>
    </row>
    <row r="253" ht="14.25" customHeight="1" spans="3:7">
      <c r="C253" s="467"/>
      <c r="D253" s="467"/>
      <c r="E253" s="467"/>
      <c r="F253" s="467"/>
      <c r="G253" s="468"/>
    </row>
    <row r="254" ht="14.25" customHeight="1" spans="3:7">
      <c r="C254" s="467"/>
      <c r="D254" s="467"/>
      <c r="E254" s="467"/>
      <c r="F254" s="467"/>
      <c r="G254" s="468"/>
    </row>
    <row r="255" ht="14.25" customHeight="1" spans="3:7">
      <c r="C255" s="467"/>
      <c r="D255" s="467"/>
      <c r="E255" s="467"/>
      <c r="F255" s="467"/>
      <c r="G255" s="468"/>
    </row>
    <row r="256" ht="14.25" customHeight="1" spans="3:7">
      <c r="C256" s="467"/>
      <c r="D256" s="467"/>
      <c r="E256" s="467"/>
      <c r="F256" s="467"/>
      <c r="G256" s="468"/>
    </row>
    <row r="257" ht="14.25" customHeight="1" spans="3:7">
      <c r="C257" s="467"/>
      <c r="D257" s="467"/>
      <c r="E257" s="467"/>
      <c r="F257" s="467"/>
      <c r="G257" s="468"/>
    </row>
    <row r="258" ht="14.25" customHeight="1" spans="3:7">
      <c r="C258" s="467"/>
      <c r="D258" s="467"/>
      <c r="E258" s="467"/>
      <c r="F258" s="467"/>
      <c r="G258" s="468"/>
    </row>
    <row r="259" ht="14.25" customHeight="1" spans="3:7">
      <c r="C259" s="467"/>
      <c r="D259" s="467"/>
      <c r="E259" s="467"/>
      <c r="F259" s="467"/>
      <c r="G259" s="468"/>
    </row>
    <row r="260" ht="14.25" customHeight="1" spans="3:7">
      <c r="C260" s="467"/>
      <c r="D260" s="467"/>
      <c r="E260" s="467"/>
      <c r="F260" s="467"/>
      <c r="G260" s="468"/>
    </row>
    <row r="261" ht="14.25" customHeight="1" spans="3:7">
      <c r="C261" s="467"/>
      <c r="D261" s="467"/>
      <c r="E261" s="467"/>
      <c r="F261" s="467"/>
      <c r="G261" s="468"/>
    </row>
    <row r="262" ht="14.25" customHeight="1" spans="3:7">
      <c r="C262" s="467"/>
      <c r="D262" s="467"/>
      <c r="E262" s="467"/>
      <c r="F262" s="467"/>
      <c r="G262" s="468"/>
    </row>
    <row r="263" ht="14.25" customHeight="1" spans="3:7">
      <c r="C263" s="467"/>
      <c r="D263" s="467"/>
      <c r="E263" s="467"/>
      <c r="F263" s="467"/>
      <c r="G263" s="468"/>
    </row>
    <row r="264" ht="14.25" customHeight="1" spans="3:7">
      <c r="C264" s="467"/>
      <c r="D264" s="467"/>
      <c r="E264" s="467"/>
      <c r="F264" s="467"/>
      <c r="G264" s="468"/>
    </row>
    <row r="265" ht="14.25" customHeight="1" spans="3:7">
      <c r="C265" s="467"/>
      <c r="D265" s="467"/>
      <c r="E265" s="467"/>
      <c r="F265" s="467"/>
      <c r="G265" s="468"/>
    </row>
    <row r="266" ht="14.25" customHeight="1" spans="3:7">
      <c r="C266" s="467"/>
      <c r="D266" s="467"/>
      <c r="E266" s="467"/>
      <c r="F266" s="467"/>
      <c r="G266" s="468"/>
    </row>
    <row r="267" ht="14.25" customHeight="1" spans="3:7">
      <c r="C267" s="467"/>
      <c r="D267" s="467"/>
      <c r="E267" s="467"/>
      <c r="F267" s="467"/>
      <c r="G267" s="468"/>
    </row>
    <row r="268" ht="14.25" customHeight="1" spans="3:7">
      <c r="C268" s="467"/>
      <c r="D268" s="467"/>
      <c r="E268" s="467"/>
      <c r="F268" s="467"/>
      <c r="G268" s="468"/>
    </row>
    <row r="269" ht="14.25" customHeight="1" spans="3:7">
      <c r="C269" s="467"/>
      <c r="D269" s="467"/>
      <c r="E269" s="467"/>
      <c r="F269" s="467"/>
      <c r="G269" s="468"/>
    </row>
    <row r="270" ht="14.25" customHeight="1" spans="3:7">
      <c r="C270" s="467"/>
      <c r="D270" s="467"/>
      <c r="E270" s="467"/>
      <c r="F270" s="467"/>
      <c r="G270" s="468"/>
    </row>
    <row r="271" ht="14.25" customHeight="1" spans="3:7">
      <c r="C271" s="467"/>
      <c r="D271" s="467"/>
      <c r="E271" s="467"/>
      <c r="F271" s="467"/>
      <c r="G271" s="468"/>
    </row>
    <row r="272" ht="14.25" customHeight="1" spans="3:7">
      <c r="C272" s="467"/>
      <c r="D272" s="467"/>
      <c r="E272" s="467"/>
      <c r="F272" s="467"/>
      <c r="G272" s="468"/>
    </row>
    <row r="273" ht="14.25" customHeight="1" spans="3:7">
      <c r="C273" s="467"/>
      <c r="D273" s="467"/>
      <c r="E273" s="467"/>
      <c r="F273" s="467"/>
      <c r="G273" s="468"/>
    </row>
    <row r="274" ht="14.25" customHeight="1" spans="3:7">
      <c r="C274" s="467"/>
      <c r="D274" s="467"/>
      <c r="E274" s="467"/>
      <c r="F274" s="467"/>
      <c r="G274" s="468"/>
    </row>
    <row r="275" ht="14.25" customHeight="1" spans="3:7">
      <c r="C275" s="467"/>
      <c r="D275" s="467"/>
      <c r="E275" s="467"/>
      <c r="F275" s="467"/>
      <c r="G275" s="468"/>
    </row>
    <row r="276" ht="14.25" customHeight="1" spans="3:7">
      <c r="C276" s="467"/>
      <c r="D276" s="467"/>
      <c r="E276" s="467"/>
      <c r="F276" s="467"/>
      <c r="G276" s="468"/>
    </row>
    <row r="277" ht="14.25" customHeight="1" spans="3:7">
      <c r="C277" s="467"/>
      <c r="D277" s="467"/>
      <c r="E277" s="467"/>
      <c r="F277" s="467"/>
      <c r="G277" s="468"/>
    </row>
    <row r="278" ht="14.25" customHeight="1" spans="3:7">
      <c r="C278" s="467"/>
      <c r="D278" s="467"/>
      <c r="E278" s="467"/>
      <c r="F278" s="467"/>
      <c r="G278" s="468"/>
    </row>
    <row r="279" ht="14.25" customHeight="1" spans="3:7">
      <c r="C279" s="467"/>
      <c r="D279" s="467"/>
      <c r="E279" s="467"/>
      <c r="F279" s="467"/>
      <c r="G279" s="468"/>
    </row>
    <row r="280" ht="14.25" customHeight="1" spans="3:7">
      <c r="C280" s="467"/>
      <c r="D280" s="467"/>
      <c r="E280" s="467"/>
      <c r="F280" s="467"/>
      <c r="G280" s="468"/>
    </row>
    <row r="281" ht="14.25" customHeight="1" spans="3:7">
      <c r="C281" s="467"/>
      <c r="D281" s="467"/>
      <c r="E281" s="467"/>
      <c r="F281" s="467"/>
      <c r="G281" s="468"/>
    </row>
    <row r="282" ht="14.25" customHeight="1" spans="3:7">
      <c r="C282" s="467"/>
      <c r="D282" s="467"/>
      <c r="E282" s="467"/>
      <c r="F282" s="467"/>
      <c r="G282" s="468"/>
    </row>
    <row r="283" ht="14.25" customHeight="1" spans="3:7">
      <c r="C283" s="467"/>
      <c r="D283" s="467"/>
      <c r="E283" s="467"/>
      <c r="F283" s="467"/>
      <c r="G283" s="468"/>
    </row>
    <row r="284" ht="14.25" customHeight="1" spans="3:7">
      <c r="C284" s="467"/>
      <c r="D284" s="467"/>
      <c r="E284" s="467"/>
      <c r="F284" s="467"/>
      <c r="G284" s="468"/>
    </row>
    <row r="285" ht="14.25" customHeight="1" spans="3:7">
      <c r="C285" s="467"/>
      <c r="D285" s="467"/>
      <c r="E285" s="467"/>
      <c r="F285" s="467"/>
      <c r="G285" s="468"/>
    </row>
    <row r="286" ht="14.25" customHeight="1" spans="3:7">
      <c r="C286" s="467"/>
      <c r="D286" s="467"/>
      <c r="E286" s="467"/>
      <c r="F286" s="467"/>
      <c r="G286" s="468"/>
    </row>
    <row r="287" ht="14.25" customHeight="1" spans="3:7">
      <c r="C287" s="467"/>
      <c r="D287" s="467"/>
      <c r="E287" s="467"/>
      <c r="F287" s="467"/>
      <c r="G287" s="468"/>
    </row>
    <row r="288" ht="14.25" customHeight="1" spans="3:7">
      <c r="C288" s="467"/>
      <c r="D288" s="467"/>
      <c r="E288" s="467"/>
      <c r="F288" s="467"/>
      <c r="G288" s="468"/>
    </row>
    <row r="289" ht="14.25" customHeight="1" spans="3:7">
      <c r="C289" s="467"/>
      <c r="D289" s="467"/>
      <c r="E289" s="467"/>
      <c r="F289" s="467"/>
      <c r="G289" s="468"/>
    </row>
    <row r="290" ht="14.25" customHeight="1" spans="3:7">
      <c r="C290" s="467"/>
      <c r="D290" s="467"/>
      <c r="E290" s="467"/>
      <c r="F290" s="467"/>
      <c r="G290" s="468"/>
    </row>
    <row r="291" ht="14.25" customHeight="1" spans="3:7">
      <c r="C291" s="467"/>
      <c r="D291" s="467"/>
      <c r="E291" s="467"/>
      <c r="F291" s="467"/>
      <c r="G291" s="468"/>
    </row>
    <row r="292" ht="14.25" customHeight="1" spans="3:7">
      <c r="C292" s="467"/>
      <c r="D292" s="467"/>
      <c r="E292" s="467"/>
      <c r="F292" s="467"/>
      <c r="G292" s="468"/>
    </row>
    <row r="293" ht="14.25" customHeight="1" spans="3:7">
      <c r="C293" s="467"/>
      <c r="D293" s="467"/>
      <c r="E293" s="467"/>
      <c r="F293" s="467"/>
      <c r="G293" s="468"/>
    </row>
    <row r="294" ht="14.25" customHeight="1" spans="3:7">
      <c r="C294" s="467"/>
      <c r="D294" s="467"/>
      <c r="E294" s="467"/>
      <c r="F294" s="467"/>
      <c r="G294" s="468"/>
    </row>
    <row r="295" ht="14.25" customHeight="1" spans="3:7">
      <c r="C295" s="467"/>
      <c r="D295" s="467"/>
      <c r="E295" s="467"/>
      <c r="F295" s="467"/>
      <c r="G295" s="468"/>
    </row>
    <row r="296" ht="14.25" customHeight="1" spans="3:7">
      <c r="C296" s="467"/>
      <c r="D296" s="467"/>
      <c r="E296" s="467"/>
      <c r="F296" s="467"/>
      <c r="G296" s="468"/>
    </row>
    <row r="297" ht="14.25" customHeight="1" spans="3:7">
      <c r="C297" s="467"/>
      <c r="D297" s="467"/>
      <c r="E297" s="467"/>
      <c r="F297" s="467"/>
      <c r="G297" s="468"/>
    </row>
    <row r="298" ht="14.25" customHeight="1" spans="3:7">
      <c r="C298" s="467"/>
      <c r="D298" s="467"/>
      <c r="E298" s="467"/>
      <c r="F298" s="467"/>
      <c r="G298" s="468"/>
    </row>
    <row r="299" ht="14.25" customHeight="1" spans="3:7">
      <c r="C299" s="467"/>
      <c r="D299" s="467"/>
      <c r="E299" s="467"/>
      <c r="F299" s="467"/>
      <c r="G299" s="468"/>
    </row>
    <row r="300" ht="14.25" customHeight="1" spans="3:7">
      <c r="C300" s="467"/>
      <c r="D300" s="467"/>
      <c r="E300" s="467"/>
      <c r="F300" s="467"/>
      <c r="G300" s="468"/>
    </row>
    <row r="301" ht="14.25" customHeight="1" spans="3:7">
      <c r="C301" s="467"/>
      <c r="D301" s="467"/>
      <c r="E301" s="467"/>
      <c r="F301" s="467"/>
      <c r="G301" s="468"/>
    </row>
    <row r="302" ht="14.25" customHeight="1" spans="3:7">
      <c r="C302" s="467"/>
      <c r="D302" s="467"/>
      <c r="E302" s="467"/>
      <c r="F302" s="467"/>
      <c r="G302" s="468"/>
    </row>
    <row r="303" ht="14.25" customHeight="1" spans="3:7">
      <c r="C303" s="467"/>
      <c r="D303" s="467"/>
      <c r="E303" s="467"/>
      <c r="F303" s="467"/>
      <c r="G303" s="468"/>
    </row>
    <row r="304" ht="14.25" customHeight="1" spans="3:7">
      <c r="C304" s="467"/>
      <c r="D304" s="467"/>
      <c r="E304" s="467"/>
      <c r="F304" s="467"/>
      <c r="G304" s="468"/>
    </row>
    <row r="305" ht="14.25" customHeight="1" spans="3:7">
      <c r="C305" s="467"/>
      <c r="D305" s="467"/>
      <c r="E305" s="467"/>
      <c r="F305" s="467"/>
      <c r="G305" s="468"/>
    </row>
    <row r="306" ht="14.25" customHeight="1" spans="3:7">
      <c r="C306" s="467"/>
      <c r="D306" s="467"/>
      <c r="E306" s="467"/>
      <c r="F306" s="467"/>
      <c r="G306" s="468"/>
    </row>
    <row r="307" ht="14.25" customHeight="1" spans="3:7">
      <c r="C307" s="467"/>
      <c r="D307" s="467"/>
      <c r="E307" s="467"/>
      <c r="F307" s="467"/>
      <c r="G307" s="468"/>
    </row>
    <row r="308" ht="14.25" customHeight="1" spans="3:7">
      <c r="C308" s="467"/>
      <c r="D308" s="467"/>
      <c r="E308" s="467"/>
      <c r="F308" s="467"/>
      <c r="G308" s="468"/>
    </row>
    <row r="309" ht="14.25" customHeight="1" spans="3:7">
      <c r="C309" s="467"/>
      <c r="D309" s="467"/>
      <c r="E309" s="467"/>
      <c r="F309" s="467"/>
      <c r="G309" s="468"/>
    </row>
    <row r="310" ht="14.25" customHeight="1" spans="3:7">
      <c r="C310" s="467"/>
      <c r="D310" s="467"/>
      <c r="E310" s="467"/>
      <c r="F310" s="467"/>
      <c r="G310" s="468"/>
    </row>
    <row r="311" ht="14.25" customHeight="1" spans="3:7">
      <c r="C311" s="467"/>
      <c r="D311" s="467"/>
      <c r="E311" s="467"/>
      <c r="F311" s="467"/>
      <c r="G311" s="468"/>
    </row>
    <row r="312" ht="14.25" customHeight="1" spans="3:7">
      <c r="C312" s="467"/>
      <c r="D312" s="467"/>
      <c r="E312" s="467"/>
      <c r="F312" s="467"/>
      <c r="G312" s="468"/>
    </row>
    <row r="313" ht="14.25" customHeight="1" spans="3:7">
      <c r="C313" s="467"/>
      <c r="D313" s="467"/>
      <c r="E313" s="467"/>
      <c r="F313" s="467"/>
      <c r="G313" s="468"/>
    </row>
    <row r="314" ht="14.25" customHeight="1" spans="3:7">
      <c r="C314" s="467"/>
      <c r="D314" s="467"/>
      <c r="E314" s="467"/>
      <c r="F314" s="467"/>
      <c r="G314" s="468"/>
    </row>
    <row r="315" ht="14.25" customHeight="1" spans="3:7">
      <c r="C315" s="467"/>
      <c r="D315" s="467"/>
      <c r="E315" s="467"/>
      <c r="F315" s="467"/>
      <c r="G315" s="468"/>
    </row>
    <row r="316" ht="14.25" customHeight="1" spans="3:7">
      <c r="C316" s="467"/>
      <c r="D316" s="467"/>
      <c r="E316" s="467"/>
      <c r="F316" s="467"/>
      <c r="G316" s="468"/>
    </row>
    <row r="317" ht="14.25" customHeight="1" spans="3:7">
      <c r="C317" s="467"/>
      <c r="D317" s="467"/>
      <c r="E317" s="467"/>
      <c r="F317" s="467"/>
      <c r="G317" s="468"/>
    </row>
    <row r="318" ht="14.25" customHeight="1" spans="3:7">
      <c r="C318" s="467"/>
      <c r="D318" s="467"/>
      <c r="E318" s="467"/>
      <c r="F318" s="467"/>
      <c r="G318" s="468"/>
    </row>
    <row r="319" ht="14.25" customHeight="1" spans="3:7">
      <c r="C319" s="467"/>
      <c r="D319" s="467"/>
      <c r="E319" s="467"/>
      <c r="F319" s="467"/>
      <c r="G319" s="468"/>
    </row>
    <row r="320" ht="14.25" customHeight="1" spans="3:7">
      <c r="C320" s="467"/>
      <c r="D320" s="467"/>
      <c r="E320" s="467"/>
      <c r="F320" s="467"/>
      <c r="G320" s="468"/>
    </row>
    <row r="321" ht="14.25" customHeight="1" spans="3:7">
      <c r="C321" s="467"/>
      <c r="D321" s="467"/>
      <c r="E321" s="467"/>
      <c r="F321" s="467"/>
      <c r="G321" s="468"/>
    </row>
    <row r="322" ht="14.25" customHeight="1" spans="3:7">
      <c r="C322" s="467"/>
      <c r="D322" s="467"/>
      <c r="E322" s="467"/>
      <c r="F322" s="467"/>
      <c r="G322" s="468"/>
    </row>
    <row r="323" ht="14.25" customHeight="1" spans="3:7">
      <c r="C323" s="467"/>
      <c r="D323" s="467"/>
      <c r="E323" s="467"/>
      <c r="F323" s="467"/>
      <c r="G323" s="468"/>
    </row>
    <row r="324" ht="14.25" customHeight="1" spans="3:7">
      <c r="C324" s="467"/>
      <c r="D324" s="467"/>
      <c r="E324" s="467"/>
      <c r="F324" s="467"/>
      <c r="G324" s="468"/>
    </row>
    <row r="325" ht="14.25" customHeight="1" spans="3:7">
      <c r="C325" s="467"/>
      <c r="D325" s="467"/>
      <c r="E325" s="467"/>
      <c r="F325" s="467"/>
      <c r="G325" s="468"/>
    </row>
    <row r="326" ht="14.25" customHeight="1" spans="3:7">
      <c r="C326" s="467"/>
      <c r="D326" s="467"/>
      <c r="E326" s="467"/>
      <c r="F326" s="467"/>
      <c r="G326" s="468"/>
    </row>
    <row r="327" ht="14.25" customHeight="1" spans="3:7">
      <c r="C327" s="467"/>
      <c r="D327" s="467"/>
      <c r="E327" s="467"/>
      <c r="F327" s="467"/>
      <c r="G327" s="468"/>
    </row>
    <row r="328" ht="14.25" customHeight="1" spans="3:7">
      <c r="C328" s="467"/>
      <c r="D328" s="467"/>
      <c r="E328" s="467"/>
      <c r="F328" s="467"/>
      <c r="G328" s="468"/>
    </row>
    <row r="329" ht="14.25" customHeight="1" spans="3:7">
      <c r="C329" s="467"/>
      <c r="D329" s="467"/>
      <c r="E329" s="467"/>
      <c r="F329" s="467"/>
      <c r="G329" s="468"/>
    </row>
    <row r="330" ht="14.25" customHeight="1" spans="3:7">
      <c r="C330" s="467"/>
      <c r="D330" s="467"/>
      <c r="E330" s="467"/>
      <c r="F330" s="467"/>
      <c r="G330" s="468"/>
    </row>
    <row r="331" ht="14.25" customHeight="1" spans="3:7">
      <c r="C331" s="467"/>
      <c r="D331" s="467"/>
      <c r="E331" s="467"/>
      <c r="F331" s="467"/>
      <c r="G331" s="468"/>
    </row>
    <row r="332" ht="14.25" customHeight="1" spans="3:7">
      <c r="C332" s="467"/>
      <c r="D332" s="467"/>
      <c r="E332" s="467"/>
      <c r="F332" s="467"/>
      <c r="G332" s="468"/>
    </row>
    <row r="333" ht="14.25" customHeight="1" spans="3:7">
      <c r="C333" s="467"/>
      <c r="D333" s="467"/>
      <c r="E333" s="467"/>
      <c r="F333" s="467"/>
      <c r="G333" s="468"/>
    </row>
    <row r="334" ht="14.25" customHeight="1" spans="3:7">
      <c r="C334" s="467"/>
      <c r="D334" s="467"/>
      <c r="E334" s="467"/>
      <c r="F334" s="467"/>
      <c r="G334" s="468"/>
    </row>
    <row r="335" ht="14.25" customHeight="1" spans="3:7">
      <c r="C335" s="467"/>
      <c r="D335" s="467"/>
      <c r="E335" s="467"/>
      <c r="F335" s="467"/>
      <c r="G335" s="468"/>
    </row>
    <row r="336" ht="14.25" customHeight="1" spans="3:7">
      <c r="C336" s="467"/>
      <c r="D336" s="467"/>
      <c r="E336" s="467"/>
      <c r="F336" s="467"/>
      <c r="G336" s="468"/>
    </row>
    <row r="337" ht="14.25" customHeight="1" spans="3:7">
      <c r="C337" s="467"/>
      <c r="D337" s="467"/>
      <c r="E337" s="467"/>
      <c r="F337" s="467"/>
      <c r="G337" s="468"/>
    </row>
    <row r="338" ht="14.25" customHeight="1" spans="3:7">
      <c r="C338" s="467"/>
      <c r="D338" s="467"/>
      <c r="E338" s="467"/>
      <c r="F338" s="467"/>
      <c r="G338" s="468"/>
    </row>
    <row r="339" ht="14.25" customHeight="1" spans="3:7">
      <c r="C339" s="467"/>
      <c r="D339" s="467"/>
      <c r="E339" s="467"/>
      <c r="F339" s="467"/>
      <c r="G339" s="468"/>
    </row>
    <row r="340" ht="14.25" customHeight="1" spans="3:7">
      <c r="C340" s="467"/>
      <c r="D340" s="467"/>
      <c r="E340" s="467"/>
      <c r="F340" s="467"/>
      <c r="G340" s="468"/>
    </row>
    <row r="341" ht="14.25" customHeight="1" spans="3:7">
      <c r="C341" s="467"/>
      <c r="D341" s="467"/>
      <c r="E341" s="467"/>
      <c r="F341" s="467"/>
      <c r="G341" s="468"/>
    </row>
    <row r="342" ht="14.25" customHeight="1" spans="3:7">
      <c r="C342" s="467"/>
      <c r="D342" s="467"/>
      <c r="E342" s="467"/>
      <c r="F342" s="467"/>
      <c r="G342" s="468"/>
    </row>
    <row r="343" ht="14.25" customHeight="1" spans="3:7">
      <c r="C343" s="467"/>
      <c r="D343" s="467"/>
      <c r="E343" s="467"/>
      <c r="F343" s="467"/>
      <c r="G343" s="468"/>
    </row>
    <row r="344" ht="14.25" customHeight="1" spans="3:7">
      <c r="C344" s="467"/>
      <c r="D344" s="467"/>
      <c r="E344" s="467"/>
      <c r="F344" s="467"/>
      <c r="G344" s="468"/>
    </row>
    <row r="345" ht="14.25" customHeight="1" spans="3:7">
      <c r="C345" s="467"/>
      <c r="D345" s="467"/>
      <c r="E345" s="467"/>
      <c r="F345" s="467"/>
      <c r="G345" s="468"/>
    </row>
    <row r="346" ht="14.25" customHeight="1" spans="3:7">
      <c r="C346" s="467"/>
      <c r="D346" s="467"/>
      <c r="E346" s="467"/>
      <c r="F346" s="467"/>
      <c r="G346" s="468"/>
    </row>
    <row r="347" ht="14.25" customHeight="1" spans="3:7">
      <c r="C347" s="467"/>
      <c r="D347" s="467"/>
      <c r="E347" s="467"/>
      <c r="F347" s="467"/>
      <c r="G347" s="468"/>
    </row>
    <row r="348" ht="14.25" customHeight="1" spans="3:7">
      <c r="C348" s="467"/>
      <c r="D348" s="467"/>
      <c r="E348" s="467"/>
      <c r="F348" s="467"/>
      <c r="G348" s="468"/>
    </row>
    <row r="349" ht="14.25" customHeight="1" spans="3:7">
      <c r="C349" s="467"/>
      <c r="D349" s="467"/>
      <c r="E349" s="467"/>
      <c r="F349" s="467"/>
      <c r="G349" s="468"/>
    </row>
    <row r="350" ht="14.25" customHeight="1" spans="3:7">
      <c r="C350" s="467"/>
      <c r="D350" s="467"/>
      <c r="E350" s="467"/>
      <c r="F350" s="467"/>
      <c r="G350" s="468"/>
    </row>
    <row r="351" ht="14.25" customHeight="1" spans="3:7">
      <c r="C351" s="467"/>
      <c r="D351" s="467"/>
      <c r="E351" s="467"/>
      <c r="F351" s="467"/>
      <c r="G351" s="468"/>
    </row>
    <row r="352" ht="14.25" customHeight="1" spans="3:7">
      <c r="C352" s="467"/>
      <c r="D352" s="467"/>
      <c r="E352" s="467"/>
      <c r="F352" s="467"/>
      <c r="G352" s="468"/>
    </row>
    <row r="353" ht="14.25" customHeight="1" spans="3:7">
      <c r="C353" s="467"/>
      <c r="D353" s="467"/>
      <c r="E353" s="467"/>
      <c r="F353" s="467"/>
      <c r="G353" s="468"/>
    </row>
    <row r="354" ht="14.25" customHeight="1" spans="3:7">
      <c r="C354" s="467"/>
      <c r="D354" s="467"/>
      <c r="E354" s="467"/>
      <c r="F354" s="467"/>
      <c r="G354" s="468"/>
    </row>
    <row r="355" ht="14.25" customHeight="1" spans="3:7">
      <c r="C355" s="467"/>
      <c r="D355" s="467"/>
      <c r="E355" s="467"/>
      <c r="F355" s="467"/>
      <c r="G355" s="468"/>
    </row>
    <row r="356" ht="14.25" customHeight="1" spans="3:7">
      <c r="C356" s="467"/>
      <c r="D356" s="467"/>
      <c r="E356" s="467"/>
      <c r="F356" s="467"/>
      <c r="G356" s="468"/>
    </row>
    <row r="357" ht="14.25" customHeight="1" spans="3:7">
      <c r="C357" s="467"/>
      <c r="D357" s="467"/>
      <c r="E357" s="467"/>
      <c r="F357" s="467"/>
      <c r="G357" s="468"/>
    </row>
    <row r="358" ht="14.25" customHeight="1" spans="3:7">
      <c r="C358" s="467"/>
      <c r="D358" s="467"/>
      <c r="E358" s="467"/>
      <c r="F358" s="467"/>
      <c r="G358" s="468"/>
    </row>
    <row r="359" ht="14.25" customHeight="1" spans="3:7">
      <c r="C359" s="467"/>
      <c r="D359" s="467"/>
      <c r="E359" s="467"/>
      <c r="F359" s="467"/>
      <c r="G359" s="468"/>
    </row>
    <row r="360" ht="14.25" customHeight="1" spans="3:7">
      <c r="C360" s="467"/>
      <c r="D360" s="467"/>
      <c r="E360" s="467"/>
      <c r="F360" s="467"/>
      <c r="G360" s="468"/>
    </row>
    <row r="361" ht="14.25" customHeight="1" spans="3:7">
      <c r="C361" s="467"/>
      <c r="D361" s="467"/>
      <c r="E361" s="467"/>
      <c r="F361" s="467"/>
      <c r="G361" s="468"/>
    </row>
    <row r="362" ht="14.25" customHeight="1" spans="3:7">
      <c r="C362" s="467"/>
      <c r="D362" s="467"/>
      <c r="E362" s="467"/>
      <c r="F362" s="467"/>
      <c r="G362" s="468"/>
    </row>
    <row r="363" ht="14.25" customHeight="1" spans="3:7">
      <c r="C363" s="467"/>
      <c r="D363" s="467"/>
      <c r="E363" s="467"/>
      <c r="F363" s="467"/>
      <c r="G363" s="468"/>
    </row>
    <row r="364" ht="14.25" customHeight="1" spans="3:7">
      <c r="C364" s="467"/>
      <c r="D364" s="467"/>
      <c r="E364" s="467"/>
      <c r="F364" s="467"/>
      <c r="G364" s="468"/>
    </row>
    <row r="365" ht="14.25" customHeight="1" spans="3:7">
      <c r="C365" s="467"/>
      <c r="D365" s="467"/>
      <c r="E365" s="467"/>
      <c r="F365" s="467"/>
      <c r="G365" s="468"/>
    </row>
    <row r="366" ht="14.25" customHeight="1" spans="3:7">
      <c r="C366" s="467"/>
      <c r="D366" s="467"/>
      <c r="E366" s="467"/>
      <c r="F366" s="467"/>
      <c r="G366" s="468"/>
    </row>
    <row r="367" ht="14.25" customHeight="1" spans="3:7">
      <c r="C367" s="467"/>
      <c r="D367" s="467"/>
      <c r="E367" s="467"/>
      <c r="F367" s="467"/>
      <c r="G367" s="468"/>
    </row>
    <row r="368" ht="14.25" customHeight="1" spans="3:7">
      <c r="C368" s="467"/>
      <c r="D368" s="467"/>
      <c r="E368" s="467"/>
      <c r="F368" s="467"/>
      <c r="G368" s="468"/>
    </row>
    <row r="369" ht="14.25" customHeight="1" spans="3:7">
      <c r="C369" s="467"/>
      <c r="D369" s="467"/>
      <c r="E369" s="467"/>
      <c r="F369" s="467"/>
      <c r="G369" s="468"/>
    </row>
    <row r="370" ht="14.25" customHeight="1" spans="3:7">
      <c r="C370" s="467"/>
      <c r="D370" s="467"/>
      <c r="E370" s="467"/>
      <c r="F370" s="467"/>
      <c r="G370" s="468"/>
    </row>
    <row r="371" ht="14.25" customHeight="1" spans="3:7">
      <c r="C371" s="467"/>
      <c r="D371" s="467"/>
      <c r="E371" s="467"/>
      <c r="F371" s="467"/>
      <c r="G371" s="468"/>
    </row>
    <row r="372" ht="14.25" customHeight="1" spans="3:7">
      <c r="C372" s="467"/>
      <c r="D372" s="467"/>
      <c r="E372" s="467"/>
      <c r="F372" s="467"/>
      <c r="G372" s="468"/>
    </row>
    <row r="373" ht="14.25" customHeight="1" spans="3:7">
      <c r="C373" s="467"/>
      <c r="D373" s="467"/>
      <c r="E373" s="467"/>
      <c r="F373" s="467"/>
      <c r="G373" s="468"/>
    </row>
    <row r="374" ht="14.25" customHeight="1" spans="3:7">
      <c r="C374" s="467"/>
      <c r="D374" s="467"/>
      <c r="E374" s="467"/>
      <c r="F374" s="467"/>
      <c r="G374" s="468"/>
    </row>
    <row r="375" ht="14.25" customHeight="1" spans="3:7">
      <c r="C375" s="467"/>
      <c r="D375" s="467"/>
      <c r="E375" s="467"/>
      <c r="F375" s="467"/>
      <c r="G375" s="468"/>
    </row>
    <row r="376" ht="14.25" customHeight="1" spans="3:7">
      <c r="C376" s="467"/>
      <c r="D376" s="467"/>
      <c r="E376" s="467"/>
      <c r="F376" s="467"/>
      <c r="G376" s="468"/>
    </row>
    <row r="377" ht="14.25" customHeight="1" spans="3:7">
      <c r="C377" s="467"/>
      <c r="D377" s="467"/>
      <c r="E377" s="467"/>
      <c r="F377" s="467"/>
      <c r="G377" s="468"/>
    </row>
    <row r="378" ht="14.25" customHeight="1" spans="3:7">
      <c r="C378" s="467"/>
      <c r="D378" s="467"/>
      <c r="E378" s="467"/>
      <c r="F378" s="467"/>
      <c r="G378" s="468"/>
    </row>
    <row r="379" ht="14.25" customHeight="1" spans="3:7">
      <c r="C379" s="467"/>
      <c r="D379" s="467"/>
      <c r="E379" s="467"/>
      <c r="F379" s="467"/>
      <c r="G379" s="468"/>
    </row>
    <row r="380" ht="14.25" customHeight="1" spans="3:7">
      <c r="C380" s="467"/>
      <c r="D380" s="467"/>
      <c r="E380" s="467"/>
      <c r="F380" s="467"/>
      <c r="G380" s="468"/>
    </row>
    <row r="381" ht="14.25" customHeight="1" spans="3:7">
      <c r="C381" s="467"/>
      <c r="D381" s="467"/>
      <c r="E381" s="467"/>
      <c r="F381" s="467"/>
      <c r="G381" s="468"/>
    </row>
    <row r="382" ht="14.25" customHeight="1" spans="3:7">
      <c r="C382" s="467"/>
      <c r="D382" s="467"/>
      <c r="E382" s="467"/>
      <c r="F382" s="467"/>
      <c r="G382" s="468"/>
    </row>
    <row r="383" ht="14.25" customHeight="1" spans="3:7">
      <c r="C383" s="467"/>
      <c r="D383" s="467"/>
      <c r="E383" s="467"/>
      <c r="F383" s="467"/>
      <c r="G383" s="468"/>
    </row>
    <row r="384" ht="14.25" customHeight="1" spans="3:7">
      <c r="C384" s="467"/>
      <c r="D384" s="467"/>
      <c r="E384" s="467"/>
      <c r="F384" s="467"/>
      <c r="G384" s="468"/>
    </row>
    <row r="385" ht="14.25" customHeight="1" spans="3:7">
      <c r="C385" s="467"/>
      <c r="D385" s="467"/>
      <c r="E385" s="467"/>
      <c r="F385" s="467"/>
      <c r="G385" s="468"/>
    </row>
    <row r="386" ht="14.25" customHeight="1" spans="3:7">
      <c r="C386" s="467"/>
      <c r="D386" s="467"/>
      <c r="E386" s="467"/>
      <c r="F386" s="467"/>
      <c r="G386" s="468"/>
    </row>
    <row r="387" ht="14.25" customHeight="1" spans="3:7">
      <c r="C387" s="467"/>
      <c r="D387" s="467"/>
      <c r="E387" s="467"/>
      <c r="F387" s="467"/>
      <c r="G387" s="468"/>
    </row>
    <row r="388" ht="14.25" customHeight="1" spans="3:7">
      <c r="C388" s="467"/>
      <c r="D388" s="467"/>
      <c r="E388" s="467"/>
      <c r="F388" s="467"/>
      <c r="G388" s="468"/>
    </row>
    <row r="389" ht="14.25" customHeight="1" spans="3:7">
      <c r="C389" s="467"/>
      <c r="D389" s="467"/>
      <c r="E389" s="467"/>
      <c r="F389" s="467"/>
      <c r="G389" s="468"/>
    </row>
    <row r="390" ht="14.25" customHeight="1" spans="3:7">
      <c r="C390" s="467"/>
      <c r="D390" s="467"/>
      <c r="E390" s="467"/>
      <c r="F390" s="467"/>
      <c r="G390" s="468"/>
    </row>
    <row r="391" ht="14.25" customHeight="1" spans="3:7">
      <c r="C391" s="467"/>
      <c r="D391" s="467"/>
      <c r="E391" s="467"/>
      <c r="F391" s="467"/>
      <c r="G391" s="468"/>
    </row>
    <row r="392" ht="14.25" customHeight="1" spans="3:7">
      <c r="C392" s="467"/>
      <c r="D392" s="467"/>
      <c r="E392" s="467"/>
      <c r="F392" s="467"/>
      <c r="G392" s="468"/>
    </row>
    <row r="393" ht="14.25" customHeight="1" spans="3:7">
      <c r="C393" s="467"/>
      <c r="D393" s="467"/>
      <c r="E393" s="467"/>
      <c r="F393" s="467"/>
      <c r="G393" s="468"/>
    </row>
    <row r="394" ht="14.25" customHeight="1" spans="3:7">
      <c r="C394" s="467"/>
      <c r="D394" s="467"/>
      <c r="E394" s="467"/>
      <c r="F394" s="467"/>
      <c r="G394" s="468"/>
    </row>
    <row r="395" ht="14.25" customHeight="1" spans="3:7">
      <c r="C395" s="467"/>
      <c r="D395" s="467"/>
      <c r="E395" s="467"/>
      <c r="F395" s="467"/>
      <c r="G395" s="468"/>
    </row>
    <row r="396" ht="14.25" customHeight="1" spans="3:7">
      <c r="C396" s="467"/>
      <c r="D396" s="467"/>
      <c r="E396" s="467"/>
      <c r="F396" s="467"/>
      <c r="G396" s="468"/>
    </row>
    <row r="397" ht="14.25" customHeight="1" spans="3:7">
      <c r="C397" s="467"/>
      <c r="D397" s="467"/>
      <c r="E397" s="467"/>
      <c r="F397" s="467"/>
      <c r="G397" s="468"/>
    </row>
    <row r="398" ht="14.25" customHeight="1" spans="3:7">
      <c r="C398" s="467"/>
      <c r="D398" s="467"/>
      <c r="E398" s="467"/>
      <c r="F398" s="467"/>
      <c r="G398" s="468"/>
    </row>
    <row r="399" ht="14.25" customHeight="1" spans="3:7">
      <c r="C399" s="467"/>
      <c r="D399" s="467"/>
      <c r="E399" s="467"/>
      <c r="F399" s="467"/>
      <c r="G399" s="468"/>
    </row>
    <row r="400" ht="14.25" customHeight="1" spans="3:7">
      <c r="C400" s="467"/>
      <c r="D400" s="467"/>
      <c r="E400" s="467"/>
      <c r="F400" s="467"/>
      <c r="G400" s="468"/>
    </row>
    <row r="401" ht="14.25" customHeight="1" spans="3:7">
      <c r="C401" s="467"/>
      <c r="D401" s="467"/>
      <c r="E401" s="467"/>
      <c r="F401" s="467"/>
      <c r="G401" s="468"/>
    </row>
    <row r="402" ht="14.25" customHeight="1" spans="3:7">
      <c r="C402" s="467"/>
      <c r="D402" s="467"/>
      <c r="E402" s="467"/>
      <c r="F402" s="467"/>
      <c r="G402" s="468"/>
    </row>
    <row r="403" ht="14.25" customHeight="1" spans="3:7">
      <c r="C403" s="467"/>
      <c r="D403" s="467"/>
      <c r="E403" s="467"/>
      <c r="F403" s="467"/>
      <c r="G403" s="468"/>
    </row>
    <row r="404" ht="14.25" customHeight="1" spans="3:7">
      <c r="C404" s="467"/>
      <c r="D404" s="467"/>
      <c r="E404" s="467"/>
      <c r="F404" s="467"/>
      <c r="G404" s="468"/>
    </row>
    <row r="405" ht="14.25" customHeight="1" spans="3:7">
      <c r="C405" s="467"/>
      <c r="D405" s="467"/>
      <c r="E405" s="467"/>
      <c r="F405" s="467"/>
      <c r="G405" s="468"/>
    </row>
    <row r="406" ht="14.25" customHeight="1" spans="3:7">
      <c r="C406" s="467"/>
      <c r="D406" s="467"/>
      <c r="E406" s="467"/>
      <c r="F406" s="467"/>
      <c r="G406" s="468"/>
    </row>
    <row r="407" ht="14.25" customHeight="1" spans="3:7">
      <c r="C407" s="467"/>
      <c r="D407" s="467"/>
      <c r="E407" s="467"/>
      <c r="F407" s="467"/>
      <c r="G407" s="468"/>
    </row>
    <row r="408" ht="14.25" customHeight="1" spans="3:7">
      <c r="C408" s="467"/>
      <c r="D408" s="467"/>
      <c r="E408" s="467"/>
      <c r="F408" s="467"/>
      <c r="G408" s="468"/>
    </row>
    <row r="409" ht="14.25" customHeight="1" spans="3:7">
      <c r="C409" s="467"/>
      <c r="D409" s="467"/>
      <c r="E409" s="467"/>
      <c r="F409" s="467"/>
      <c r="G409" s="468"/>
    </row>
    <row r="410" ht="14.25" customHeight="1" spans="3:7">
      <c r="C410" s="467"/>
      <c r="D410" s="467"/>
      <c r="E410" s="467"/>
      <c r="F410" s="467"/>
      <c r="G410" s="468"/>
    </row>
    <row r="411" ht="14.25" customHeight="1" spans="3:7">
      <c r="C411" s="467"/>
      <c r="D411" s="467"/>
      <c r="E411" s="467"/>
      <c r="F411" s="467"/>
      <c r="G411" s="468"/>
    </row>
    <row r="412" ht="14.25" customHeight="1" spans="3:7">
      <c r="C412" s="467"/>
      <c r="D412" s="467"/>
      <c r="E412" s="467"/>
      <c r="F412" s="467"/>
      <c r="G412" s="468"/>
    </row>
    <row r="413" ht="14.25" customHeight="1" spans="3:7">
      <c r="C413" s="467"/>
      <c r="D413" s="467"/>
      <c r="E413" s="467"/>
      <c r="F413" s="467"/>
      <c r="G413" s="468"/>
    </row>
    <row r="414" ht="14.25" customHeight="1" spans="3:7">
      <c r="C414" s="467"/>
      <c r="D414" s="467"/>
      <c r="E414" s="467"/>
      <c r="F414" s="467"/>
      <c r="G414" s="468"/>
    </row>
    <row r="415" ht="14.25" customHeight="1" spans="3:7">
      <c r="C415" s="467"/>
      <c r="D415" s="467"/>
      <c r="E415" s="467"/>
      <c r="F415" s="467"/>
      <c r="G415" s="468"/>
    </row>
    <row r="416" ht="14.25" customHeight="1" spans="3:7">
      <c r="C416" s="467"/>
      <c r="D416" s="467"/>
      <c r="E416" s="467"/>
      <c r="F416" s="467"/>
      <c r="G416" s="468"/>
    </row>
    <row r="417" ht="14.25" customHeight="1" spans="3:7">
      <c r="C417" s="467"/>
      <c r="D417" s="467"/>
      <c r="E417" s="467"/>
      <c r="F417" s="467"/>
      <c r="G417" s="468"/>
    </row>
    <row r="418" ht="14.25" customHeight="1" spans="3:7">
      <c r="C418" s="467"/>
      <c r="D418" s="467"/>
      <c r="E418" s="467"/>
      <c r="F418" s="467"/>
      <c r="G418" s="468"/>
    </row>
    <row r="419" ht="14.25" customHeight="1" spans="3:7">
      <c r="C419" s="467"/>
      <c r="D419" s="467"/>
      <c r="E419" s="467"/>
      <c r="F419" s="467"/>
      <c r="G419" s="468"/>
    </row>
    <row r="420" ht="14.25" customHeight="1" spans="3:7">
      <c r="C420" s="467"/>
      <c r="D420" s="467"/>
      <c r="E420" s="467"/>
      <c r="F420" s="467"/>
      <c r="G420" s="468"/>
    </row>
    <row r="421" ht="14.25" customHeight="1" spans="3:7">
      <c r="C421" s="467"/>
      <c r="D421" s="467"/>
      <c r="E421" s="467"/>
      <c r="F421" s="467"/>
      <c r="G421" s="468"/>
    </row>
    <row r="422" ht="14.25" customHeight="1" spans="3:7">
      <c r="C422" s="467"/>
      <c r="D422" s="467"/>
      <c r="E422" s="467"/>
      <c r="F422" s="467"/>
      <c r="G422" s="468"/>
    </row>
    <row r="423" ht="14.25" customHeight="1" spans="3:7">
      <c r="C423" s="467"/>
      <c r="D423" s="467"/>
      <c r="E423" s="467"/>
      <c r="F423" s="467"/>
      <c r="G423" s="468"/>
    </row>
    <row r="424" ht="14.25" customHeight="1" spans="3:7">
      <c r="C424" s="467"/>
      <c r="D424" s="467"/>
      <c r="E424" s="467"/>
      <c r="F424" s="467"/>
      <c r="G424" s="468"/>
    </row>
    <row r="425" ht="14.25" customHeight="1" spans="3:7">
      <c r="C425" s="467"/>
      <c r="D425" s="467"/>
      <c r="E425" s="467"/>
      <c r="F425" s="467"/>
      <c r="G425" s="468"/>
    </row>
    <row r="426" ht="14.25" customHeight="1" spans="3:7">
      <c r="C426" s="467"/>
      <c r="D426" s="467"/>
      <c r="E426" s="467"/>
      <c r="F426" s="467"/>
      <c r="G426" s="468"/>
    </row>
    <row r="427" ht="14.25" customHeight="1" spans="3:7">
      <c r="C427" s="467"/>
      <c r="D427" s="467"/>
      <c r="E427" s="467"/>
      <c r="F427" s="467"/>
      <c r="G427" s="468"/>
    </row>
    <row r="428" ht="14.25" customHeight="1" spans="3:7">
      <c r="C428" s="467"/>
      <c r="D428" s="467"/>
      <c r="E428" s="467"/>
      <c r="F428" s="467"/>
      <c r="G428" s="468"/>
    </row>
    <row r="429" ht="14.25" customHeight="1" spans="3:7">
      <c r="C429" s="467"/>
      <c r="D429" s="467"/>
      <c r="E429" s="467"/>
      <c r="F429" s="467"/>
      <c r="G429" s="468"/>
    </row>
    <row r="430" ht="14.25" customHeight="1" spans="3:7">
      <c r="C430" s="467"/>
      <c r="D430" s="467"/>
      <c r="E430" s="467"/>
      <c r="F430" s="467"/>
      <c r="G430" s="468"/>
    </row>
    <row r="431" ht="14.25" customHeight="1" spans="3:7">
      <c r="C431" s="467"/>
      <c r="D431" s="467"/>
      <c r="E431" s="467"/>
      <c r="F431" s="467"/>
      <c r="G431" s="468"/>
    </row>
    <row r="432" ht="14.25" customHeight="1" spans="3:7">
      <c r="C432" s="467"/>
      <c r="D432" s="467"/>
      <c r="E432" s="467"/>
      <c r="F432" s="467"/>
      <c r="G432" s="468"/>
    </row>
    <row r="433" ht="14.25" customHeight="1" spans="3:7">
      <c r="C433" s="467"/>
      <c r="D433" s="467"/>
      <c r="E433" s="467"/>
      <c r="F433" s="467"/>
      <c r="G433" s="468"/>
    </row>
    <row r="434" ht="14.25" customHeight="1" spans="3:7">
      <c r="C434" s="467"/>
      <c r="D434" s="467"/>
      <c r="E434" s="467"/>
      <c r="F434" s="467"/>
      <c r="G434" s="468"/>
    </row>
    <row r="435" ht="14.25" customHeight="1" spans="3:7">
      <c r="C435" s="467"/>
      <c r="D435" s="467"/>
      <c r="E435" s="467"/>
      <c r="F435" s="467"/>
      <c r="G435" s="468"/>
    </row>
    <row r="436" ht="14.25" customHeight="1" spans="3:7">
      <c r="C436" s="467"/>
      <c r="D436" s="467"/>
      <c r="E436" s="467"/>
      <c r="F436" s="467"/>
      <c r="G436" s="468"/>
    </row>
    <row r="437" ht="14.25" customHeight="1" spans="3:7">
      <c r="C437" s="467"/>
      <c r="D437" s="467"/>
      <c r="E437" s="467"/>
      <c r="F437" s="467"/>
      <c r="G437" s="468"/>
    </row>
    <row r="438" ht="14.25" customHeight="1" spans="3:7">
      <c r="C438" s="467"/>
      <c r="D438" s="467"/>
      <c r="E438" s="467"/>
      <c r="F438" s="467"/>
      <c r="G438" s="468"/>
    </row>
    <row r="439" ht="14.25" customHeight="1" spans="3:7">
      <c r="C439" s="467"/>
      <c r="D439" s="467"/>
      <c r="E439" s="467"/>
      <c r="F439" s="467"/>
      <c r="G439" s="468"/>
    </row>
    <row r="440" ht="14.25" customHeight="1" spans="3:7">
      <c r="C440" s="467"/>
      <c r="D440" s="467"/>
      <c r="E440" s="467"/>
      <c r="F440" s="467"/>
      <c r="G440" s="468"/>
    </row>
    <row r="441" ht="14.25" customHeight="1" spans="3:7">
      <c r="C441" s="467"/>
      <c r="D441" s="467"/>
      <c r="E441" s="467"/>
      <c r="F441" s="467"/>
      <c r="G441" s="468"/>
    </row>
    <row r="442" ht="14.25" customHeight="1" spans="3:7">
      <c r="C442" s="467"/>
      <c r="D442" s="467"/>
      <c r="E442" s="467"/>
      <c r="F442" s="467"/>
      <c r="G442" s="468"/>
    </row>
    <row r="443" ht="14.25" customHeight="1" spans="3:7">
      <c r="C443" s="467"/>
      <c r="D443" s="467"/>
      <c r="E443" s="467"/>
      <c r="F443" s="467"/>
      <c r="G443" s="468"/>
    </row>
    <row r="444" ht="14.25" customHeight="1" spans="3:7">
      <c r="C444" s="467"/>
      <c r="D444" s="467"/>
      <c r="E444" s="467"/>
      <c r="F444" s="467"/>
      <c r="G444" s="468"/>
    </row>
    <row r="445" ht="14.25" customHeight="1" spans="3:7">
      <c r="C445" s="467"/>
      <c r="D445" s="467"/>
      <c r="E445" s="467"/>
      <c r="F445" s="467"/>
      <c r="G445" s="468"/>
    </row>
    <row r="446" ht="14.25" customHeight="1" spans="3:7">
      <c r="C446" s="467"/>
      <c r="D446" s="467"/>
      <c r="E446" s="467"/>
      <c r="F446" s="467"/>
      <c r="G446" s="468"/>
    </row>
    <row r="447" ht="14.25" customHeight="1" spans="3:7">
      <c r="C447" s="467"/>
      <c r="D447" s="467"/>
      <c r="E447" s="467"/>
      <c r="F447" s="467"/>
      <c r="G447" s="468"/>
    </row>
    <row r="448" ht="14.25" customHeight="1" spans="3:7">
      <c r="C448" s="467"/>
      <c r="D448" s="467"/>
      <c r="E448" s="467"/>
      <c r="F448" s="467"/>
      <c r="G448" s="468"/>
    </row>
    <row r="449" ht="14.25" customHeight="1" spans="3:7">
      <c r="C449" s="467"/>
      <c r="D449" s="467"/>
      <c r="E449" s="467"/>
      <c r="F449" s="467"/>
      <c r="G449" s="468"/>
    </row>
    <row r="450" ht="14.25" customHeight="1" spans="3:7">
      <c r="C450" s="467"/>
      <c r="D450" s="467"/>
      <c r="E450" s="467"/>
      <c r="F450" s="467"/>
      <c r="G450" s="468"/>
    </row>
    <row r="451" ht="14.25" customHeight="1" spans="3:7">
      <c r="C451" s="467"/>
      <c r="D451" s="467"/>
      <c r="E451" s="467"/>
      <c r="F451" s="467"/>
      <c r="G451" s="468"/>
    </row>
    <row r="452" ht="14.25" customHeight="1" spans="3:7">
      <c r="C452" s="467"/>
      <c r="D452" s="467"/>
      <c r="E452" s="467"/>
      <c r="F452" s="467"/>
      <c r="G452" s="468"/>
    </row>
    <row r="453" ht="14.25" customHeight="1" spans="3:7">
      <c r="C453" s="467"/>
      <c r="D453" s="467"/>
      <c r="E453" s="467"/>
      <c r="F453" s="467"/>
      <c r="G453" s="468"/>
    </row>
    <row r="454" ht="14.25" customHeight="1" spans="3:7">
      <c r="C454" s="467"/>
      <c r="D454" s="467"/>
      <c r="E454" s="467"/>
      <c r="F454" s="467"/>
      <c r="G454" s="468"/>
    </row>
    <row r="455" ht="14.25" customHeight="1" spans="3:7">
      <c r="C455" s="467"/>
      <c r="D455" s="467"/>
      <c r="E455" s="467"/>
      <c r="F455" s="467"/>
      <c r="G455" s="468"/>
    </row>
    <row r="456" ht="14.25" customHeight="1" spans="3:7">
      <c r="C456" s="467"/>
      <c r="D456" s="467"/>
      <c r="E456" s="467"/>
      <c r="F456" s="467"/>
      <c r="G456" s="468"/>
    </row>
    <row r="457" ht="14.25" customHeight="1" spans="3:7">
      <c r="C457" s="467"/>
      <c r="D457" s="467"/>
      <c r="E457" s="467"/>
      <c r="F457" s="467"/>
      <c r="G457" s="468"/>
    </row>
    <row r="458" ht="14.25" customHeight="1" spans="3:7">
      <c r="C458" s="467"/>
      <c r="D458" s="467"/>
      <c r="E458" s="467"/>
      <c r="F458" s="467"/>
      <c r="G458" s="468"/>
    </row>
    <row r="459" ht="14.25" customHeight="1" spans="3:7">
      <c r="C459" s="467"/>
      <c r="D459" s="467"/>
      <c r="E459" s="467"/>
      <c r="F459" s="467"/>
      <c r="G459" s="468"/>
    </row>
    <row r="460" ht="14.25" customHeight="1" spans="3:7">
      <c r="C460" s="467"/>
      <c r="D460" s="467"/>
      <c r="E460" s="467"/>
      <c r="F460" s="467"/>
      <c r="G460" s="468"/>
    </row>
    <row r="461" ht="14.25" customHeight="1" spans="3:7">
      <c r="C461" s="467"/>
      <c r="D461" s="467"/>
      <c r="E461" s="467"/>
      <c r="F461" s="467"/>
      <c r="G461" s="468"/>
    </row>
    <row r="462" ht="14.25" customHeight="1" spans="3:7">
      <c r="C462" s="467"/>
      <c r="D462" s="467"/>
      <c r="E462" s="467"/>
      <c r="F462" s="467"/>
      <c r="G462" s="468"/>
    </row>
    <row r="463" ht="14.25" customHeight="1" spans="3:7">
      <c r="C463" s="467"/>
      <c r="D463" s="467"/>
      <c r="E463" s="467"/>
      <c r="F463" s="467"/>
      <c r="G463" s="468"/>
    </row>
    <row r="464" ht="14.25" customHeight="1" spans="3:7">
      <c r="C464" s="467"/>
      <c r="D464" s="467"/>
      <c r="E464" s="467"/>
      <c r="F464" s="467"/>
      <c r="G464" s="468"/>
    </row>
    <row r="465" ht="14.25" customHeight="1" spans="3:7">
      <c r="C465" s="467"/>
      <c r="D465" s="467"/>
      <c r="E465" s="467"/>
      <c r="F465" s="467"/>
      <c r="G465" s="468"/>
    </row>
    <row r="466" ht="14.25" customHeight="1" spans="3:7">
      <c r="C466" s="467"/>
      <c r="D466" s="467"/>
      <c r="E466" s="467"/>
      <c r="F466" s="467"/>
      <c r="G466" s="468"/>
    </row>
    <row r="467" ht="14.25" customHeight="1" spans="3:7">
      <c r="C467" s="467"/>
      <c r="D467" s="467"/>
      <c r="E467" s="467"/>
      <c r="F467" s="467"/>
      <c r="G467" s="468"/>
    </row>
    <row r="468" ht="14.25" customHeight="1" spans="3:7">
      <c r="C468" s="467"/>
      <c r="D468" s="467"/>
      <c r="E468" s="467"/>
      <c r="F468" s="467"/>
      <c r="G468" s="468"/>
    </row>
    <row r="469" ht="14.25" customHeight="1" spans="3:7">
      <c r="C469" s="467"/>
      <c r="D469" s="467"/>
      <c r="E469" s="467"/>
      <c r="F469" s="467"/>
      <c r="G469" s="468"/>
    </row>
    <row r="470" ht="14.25" customHeight="1" spans="3:7">
      <c r="C470" s="467"/>
      <c r="D470" s="467"/>
      <c r="E470" s="467"/>
      <c r="F470" s="467"/>
      <c r="G470" s="468"/>
    </row>
    <row r="471" ht="14.25" customHeight="1" spans="3:7">
      <c r="C471" s="467"/>
      <c r="D471" s="467"/>
      <c r="E471" s="467"/>
      <c r="F471" s="467"/>
      <c r="G471" s="468"/>
    </row>
    <row r="472" ht="14.25" customHeight="1" spans="3:7">
      <c r="C472" s="467"/>
      <c r="D472" s="467"/>
      <c r="E472" s="467"/>
      <c r="F472" s="467"/>
      <c r="G472" s="468"/>
    </row>
    <row r="473" ht="14.25" customHeight="1" spans="3:7">
      <c r="C473" s="467"/>
      <c r="D473" s="467"/>
      <c r="E473" s="467"/>
      <c r="F473" s="467"/>
      <c r="G473" s="468"/>
    </row>
    <row r="474" ht="14.25" customHeight="1" spans="3:7">
      <c r="C474" s="467"/>
      <c r="D474" s="467"/>
      <c r="E474" s="467"/>
      <c r="F474" s="467"/>
      <c r="G474" s="468"/>
    </row>
    <row r="475" ht="14.25" customHeight="1" spans="3:7">
      <c r="C475" s="467"/>
      <c r="D475" s="467"/>
      <c r="E475" s="467"/>
      <c r="F475" s="467"/>
      <c r="G475" s="468"/>
    </row>
    <row r="476" ht="14.25" customHeight="1" spans="3:7">
      <c r="C476" s="467"/>
      <c r="D476" s="467"/>
      <c r="E476" s="467"/>
      <c r="F476" s="467"/>
      <c r="G476" s="468"/>
    </row>
    <row r="477" ht="14.25" customHeight="1" spans="3:7">
      <c r="C477" s="467"/>
      <c r="D477" s="467"/>
      <c r="E477" s="467"/>
      <c r="F477" s="467"/>
      <c r="G477" s="468"/>
    </row>
    <row r="478" ht="14.25" customHeight="1" spans="3:7">
      <c r="C478" s="467"/>
      <c r="D478" s="467"/>
      <c r="E478" s="467"/>
      <c r="F478" s="467"/>
      <c r="G478" s="468"/>
    </row>
    <row r="479" ht="14.25" customHeight="1" spans="3:7">
      <c r="C479" s="467"/>
      <c r="D479" s="467"/>
      <c r="E479" s="467"/>
      <c r="F479" s="467"/>
      <c r="G479" s="468"/>
    </row>
    <row r="480" ht="14.25" customHeight="1" spans="3:7">
      <c r="C480" s="467"/>
      <c r="D480" s="467"/>
      <c r="E480" s="467"/>
      <c r="F480" s="467"/>
      <c r="G480" s="468"/>
    </row>
    <row r="481" ht="14.25" customHeight="1" spans="3:7">
      <c r="C481" s="467"/>
      <c r="D481" s="467"/>
      <c r="E481" s="467"/>
      <c r="F481" s="467"/>
      <c r="G481" s="468"/>
    </row>
    <row r="482" ht="14.25" customHeight="1" spans="3:7">
      <c r="C482" s="467"/>
      <c r="D482" s="467"/>
      <c r="E482" s="467"/>
      <c r="F482" s="467"/>
      <c r="G482" s="468"/>
    </row>
    <row r="483" ht="14.25" customHeight="1" spans="3:7">
      <c r="C483" s="467"/>
      <c r="D483" s="467"/>
      <c r="E483" s="467"/>
      <c r="F483" s="467"/>
      <c r="G483" s="468"/>
    </row>
    <row r="484" ht="14.25" customHeight="1" spans="3:7">
      <c r="C484" s="467"/>
      <c r="D484" s="467"/>
      <c r="E484" s="467"/>
      <c r="F484" s="467"/>
      <c r="G484" s="468"/>
    </row>
    <row r="485" ht="14.25" customHeight="1" spans="3:7">
      <c r="C485" s="467"/>
      <c r="D485" s="467"/>
      <c r="E485" s="467"/>
      <c r="F485" s="467"/>
      <c r="G485" s="468"/>
    </row>
    <row r="486" ht="14.25" customHeight="1" spans="3:7">
      <c r="C486" s="467"/>
      <c r="D486" s="467"/>
      <c r="E486" s="467"/>
      <c r="F486" s="467"/>
      <c r="G486" s="468"/>
    </row>
    <row r="487" ht="14.25" customHeight="1" spans="3:7">
      <c r="C487" s="467"/>
      <c r="D487" s="467"/>
      <c r="E487" s="467"/>
      <c r="F487" s="467"/>
      <c r="G487" s="468"/>
    </row>
    <row r="488" ht="14.25" customHeight="1" spans="3:7">
      <c r="C488" s="467"/>
      <c r="D488" s="467"/>
      <c r="E488" s="467"/>
      <c r="F488" s="467"/>
      <c r="G488" s="468"/>
    </row>
    <row r="489" ht="14.25" customHeight="1" spans="3:7">
      <c r="C489" s="467"/>
      <c r="D489" s="467"/>
      <c r="E489" s="467"/>
      <c r="F489" s="467"/>
      <c r="G489" s="468"/>
    </row>
    <row r="490" ht="14.25" customHeight="1" spans="3:7">
      <c r="C490" s="467"/>
      <c r="D490" s="467"/>
      <c r="E490" s="467"/>
      <c r="F490" s="467"/>
      <c r="G490" s="468"/>
    </row>
    <row r="491" ht="14.25" customHeight="1" spans="3:7">
      <c r="C491" s="467"/>
      <c r="D491" s="467"/>
      <c r="E491" s="467"/>
      <c r="F491" s="467"/>
      <c r="G491" s="468"/>
    </row>
    <row r="492" ht="14.25" customHeight="1" spans="3:7">
      <c r="C492" s="467"/>
      <c r="D492" s="467"/>
      <c r="E492" s="467"/>
      <c r="F492" s="467"/>
      <c r="G492" s="468"/>
    </row>
    <row r="493" ht="14.25" customHeight="1" spans="3:7">
      <c r="C493" s="467"/>
      <c r="D493" s="467"/>
      <c r="E493" s="467"/>
      <c r="F493" s="467"/>
      <c r="G493" s="468"/>
    </row>
    <row r="494" ht="14.25" customHeight="1" spans="3:7">
      <c r="C494" s="467"/>
      <c r="D494" s="467"/>
      <c r="E494" s="467"/>
      <c r="F494" s="467"/>
      <c r="G494" s="468"/>
    </row>
    <row r="495" ht="14.25" customHeight="1" spans="3:7">
      <c r="C495" s="467"/>
      <c r="D495" s="467"/>
      <c r="E495" s="467"/>
      <c r="F495" s="467"/>
      <c r="G495" s="468"/>
    </row>
    <row r="496" ht="14.25" customHeight="1" spans="3:7">
      <c r="C496" s="467"/>
      <c r="D496" s="467"/>
      <c r="E496" s="467"/>
      <c r="F496" s="467"/>
      <c r="G496" s="468"/>
    </row>
    <row r="497" ht="14.25" customHeight="1" spans="3:7">
      <c r="C497" s="467"/>
      <c r="D497" s="467"/>
      <c r="E497" s="467"/>
      <c r="F497" s="467"/>
      <c r="G497" s="468"/>
    </row>
    <row r="498" ht="14.25" customHeight="1" spans="3:7">
      <c r="C498" s="467"/>
      <c r="D498" s="467"/>
      <c r="E498" s="467"/>
      <c r="F498" s="467"/>
      <c r="G498" s="468"/>
    </row>
    <row r="499" ht="14.25" customHeight="1" spans="3:7">
      <c r="C499" s="467"/>
      <c r="D499" s="467"/>
      <c r="E499" s="467"/>
      <c r="F499" s="467"/>
      <c r="G499" s="468"/>
    </row>
    <row r="500" ht="14.25" customHeight="1" spans="3:7">
      <c r="C500" s="467"/>
      <c r="D500" s="467"/>
      <c r="E500" s="467"/>
      <c r="F500" s="467"/>
      <c r="G500" s="468"/>
    </row>
    <row r="501" ht="14.25" customHeight="1" spans="3:7">
      <c r="C501" s="467"/>
      <c r="D501" s="467"/>
      <c r="E501" s="467"/>
      <c r="F501" s="467"/>
      <c r="G501" s="468"/>
    </row>
    <row r="502" ht="14.25" customHeight="1" spans="3:7">
      <c r="C502" s="467"/>
      <c r="D502" s="467"/>
      <c r="E502" s="467"/>
      <c r="F502" s="467"/>
      <c r="G502" s="468"/>
    </row>
    <row r="503" ht="14.25" customHeight="1" spans="3:7">
      <c r="C503" s="467"/>
      <c r="D503" s="467"/>
      <c r="E503" s="467"/>
      <c r="F503" s="467"/>
      <c r="G503" s="468"/>
    </row>
    <row r="504" ht="14.25" customHeight="1" spans="3:7">
      <c r="C504" s="467"/>
      <c r="D504" s="467"/>
      <c r="E504" s="467"/>
      <c r="F504" s="467"/>
      <c r="G504" s="468"/>
    </row>
    <row r="505" ht="14.25" customHeight="1" spans="3:7">
      <c r="C505" s="467"/>
      <c r="D505" s="467"/>
      <c r="E505" s="467"/>
      <c r="F505" s="467"/>
      <c r="G505" s="468"/>
    </row>
    <row r="506" ht="14.25" customHeight="1" spans="3:7">
      <c r="C506" s="467"/>
      <c r="D506" s="467"/>
      <c r="E506" s="467"/>
      <c r="F506" s="467"/>
      <c r="G506" s="468"/>
    </row>
    <row r="507" ht="14.25" customHeight="1" spans="3:7">
      <c r="C507" s="467"/>
      <c r="D507" s="467"/>
      <c r="E507" s="467"/>
      <c r="F507" s="467"/>
      <c r="G507" s="468"/>
    </row>
    <row r="508" ht="14.25" customHeight="1" spans="3:7">
      <c r="C508" s="467"/>
      <c r="D508" s="467"/>
      <c r="E508" s="467"/>
      <c r="F508" s="467"/>
      <c r="G508" s="468"/>
    </row>
    <row r="509" ht="14.25" customHeight="1" spans="3:7">
      <c r="C509" s="467"/>
      <c r="D509" s="467"/>
      <c r="E509" s="467"/>
      <c r="F509" s="467"/>
      <c r="G509" s="468"/>
    </row>
    <row r="510" ht="14.25" customHeight="1" spans="3:7">
      <c r="C510" s="467"/>
      <c r="D510" s="467"/>
      <c r="E510" s="467"/>
      <c r="F510" s="467"/>
      <c r="G510" s="468"/>
    </row>
    <row r="511" ht="14.25" customHeight="1" spans="3:7">
      <c r="C511" s="467"/>
      <c r="D511" s="467"/>
      <c r="E511" s="467"/>
      <c r="F511" s="467"/>
      <c r="G511" s="468"/>
    </row>
    <row r="512" ht="14.25" customHeight="1" spans="3:7">
      <c r="C512" s="467"/>
      <c r="D512" s="467"/>
      <c r="E512" s="467"/>
      <c r="F512" s="467"/>
      <c r="G512" s="468"/>
    </row>
    <row r="513" ht="14.25" customHeight="1" spans="3:7">
      <c r="C513" s="467"/>
      <c r="D513" s="467"/>
      <c r="E513" s="467"/>
      <c r="F513" s="467"/>
      <c r="G513" s="468"/>
    </row>
    <row r="514" ht="14.25" customHeight="1" spans="3:7">
      <c r="C514" s="467"/>
      <c r="D514" s="467"/>
      <c r="E514" s="467"/>
      <c r="F514" s="467"/>
      <c r="G514" s="468"/>
    </row>
    <row r="515" ht="14.25" customHeight="1" spans="3:7">
      <c r="C515" s="467"/>
      <c r="D515" s="467"/>
      <c r="E515" s="467"/>
      <c r="F515" s="467"/>
      <c r="G515" s="468"/>
    </row>
    <row r="516" ht="14.25" customHeight="1" spans="3:7">
      <c r="C516" s="467"/>
      <c r="D516" s="467"/>
      <c r="E516" s="467"/>
      <c r="F516" s="467"/>
      <c r="G516" s="468"/>
    </row>
    <row r="517" ht="14.25" customHeight="1" spans="3:7">
      <c r="C517" s="467"/>
      <c r="D517" s="467"/>
      <c r="E517" s="467"/>
      <c r="F517" s="467"/>
      <c r="G517" s="468"/>
    </row>
    <row r="518" ht="14.25" customHeight="1" spans="3:7">
      <c r="C518" s="467"/>
      <c r="D518" s="467"/>
      <c r="E518" s="467"/>
      <c r="F518" s="467"/>
      <c r="G518" s="468"/>
    </row>
    <row r="519" ht="14.25" customHeight="1" spans="3:7">
      <c r="C519" s="467"/>
      <c r="D519" s="467"/>
      <c r="E519" s="467"/>
      <c r="F519" s="467"/>
      <c r="G519" s="468"/>
    </row>
    <row r="520" ht="14.25" customHeight="1" spans="3:7">
      <c r="C520" s="467"/>
      <c r="D520" s="467"/>
      <c r="E520" s="467"/>
      <c r="F520" s="467"/>
      <c r="G520" s="468"/>
    </row>
    <row r="521" ht="14.25" customHeight="1" spans="3:7">
      <c r="C521" s="467"/>
      <c r="D521" s="467"/>
      <c r="E521" s="467"/>
      <c r="F521" s="467"/>
      <c r="G521" s="468"/>
    </row>
    <row r="522" ht="14.25" customHeight="1" spans="3:7">
      <c r="C522" s="467"/>
      <c r="D522" s="467"/>
      <c r="E522" s="467"/>
      <c r="F522" s="467"/>
      <c r="G522" s="468"/>
    </row>
    <row r="523" ht="14.25" customHeight="1" spans="3:7">
      <c r="C523" s="467"/>
      <c r="D523" s="467"/>
      <c r="E523" s="467"/>
      <c r="F523" s="467"/>
      <c r="G523" s="468"/>
    </row>
    <row r="524" ht="14.25" customHeight="1" spans="3:7">
      <c r="C524" s="467"/>
      <c r="D524" s="467"/>
      <c r="E524" s="467"/>
      <c r="F524" s="467"/>
      <c r="G524" s="468"/>
    </row>
    <row r="525" ht="14.25" customHeight="1" spans="3:7">
      <c r="C525" s="467"/>
      <c r="D525" s="467"/>
      <c r="E525" s="467"/>
      <c r="F525" s="467"/>
      <c r="G525" s="468"/>
    </row>
    <row r="526" ht="14.25" customHeight="1" spans="3:7">
      <c r="C526" s="467"/>
      <c r="D526" s="467"/>
      <c r="E526" s="467"/>
      <c r="F526" s="467"/>
      <c r="G526" s="468"/>
    </row>
    <row r="527" ht="14.25" customHeight="1" spans="3:7">
      <c r="C527" s="467"/>
      <c r="D527" s="467"/>
      <c r="E527" s="467"/>
      <c r="F527" s="467"/>
      <c r="G527" s="468"/>
    </row>
    <row r="528" ht="14.25" customHeight="1" spans="3:7">
      <c r="C528" s="467"/>
      <c r="D528" s="467"/>
      <c r="E528" s="467"/>
      <c r="F528" s="467"/>
      <c r="G528" s="468"/>
    </row>
    <row r="529" ht="14.25" customHeight="1" spans="3:7">
      <c r="C529" s="467"/>
      <c r="D529" s="467"/>
      <c r="E529" s="467"/>
      <c r="F529" s="467"/>
      <c r="G529" s="468"/>
    </row>
    <row r="530" ht="14.25" customHeight="1" spans="3:7">
      <c r="C530" s="467"/>
      <c r="D530" s="467"/>
      <c r="E530" s="467"/>
      <c r="F530" s="467"/>
      <c r="G530" s="468"/>
    </row>
    <row r="531" ht="14.25" customHeight="1" spans="3:7">
      <c r="C531" s="467"/>
      <c r="D531" s="467"/>
      <c r="E531" s="467"/>
      <c r="F531" s="467"/>
      <c r="G531" s="468"/>
    </row>
    <row r="532" ht="14.25" customHeight="1" spans="3:7">
      <c r="C532" s="467"/>
      <c r="D532" s="467"/>
      <c r="E532" s="467"/>
      <c r="F532" s="467"/>
      <c r="G532" s="468"/>
    </row>
    <row r="533" ht="14.25" customHeight="1" spans="3:7">
      <c r="C533" s="467"/>
      <c r="D533" s="467"/>
      <c r="E533" s="467"/>
      <c r="F533" s="467"/>
      <c r="G533" s="468"/>
    </row>
    <row r="534" ht="14.25" customHeight="1" spans="3:7">
      <c r="C534" s="467"/>
      <c r="D534" s="467"/>
      <c r="E534" s="467"/>
      <c r="F534" s="467"/>
      <c r="G534" s="468"/>
    </row>
    <row r="535" ht="14.25" customHeight="1" spans="3:7">
      <c r="C535" s="467"/>
      <c r="D535" s="467"/>
      <c r="E535" s="467"/>
      <c r="F535" s="467"/>
      <c r="G535" s="468"/>
    </row>
    <row r="536" ht="14.25" customHeight="1" spans="3:7">
      <c r="C536" s="467"/>
      <c r="D536" s="467"/>
      <c r="E536" s="467"/>
      <c r="F536" s="467"/>
      <c r="G536" s="468"/>
    </row>
    <row r="537" ht="14.25" customHeight="1" spans="3:7">
      <c r="C537" s="467"/>
      <c r="D537" s="467"/>
      <c r="E537" s="467"/>
      <c r="F537" s="467"/>
      <c r="G537" s="468"/>
    </row>
    <row r="538" ht="14.25" customHeight="1" spans="3:7">
      <c r="C538" s="467"/>
      <c r="D538" s="467"/>
      <c r="E538" s="467"/>
      <c r="F538" s="467"/>
      <c r="G538" s="468"/>
    </row>
    <row r="539" ht="14.25" customHeight="1" spans="3:7">
      <c r="C539" s="467"/>
      <c r="D539" s="467"/>
      <c r="E539" s="467"/>
      <c r="F539" s="467"/>
      <c r="G539" s="468"/>
    </row>
    <row r="540" ht="14.25" customHeight="1" spans="3:7">
      <c r="C540" s="467"/>
      <c r="D540" s="467"/>
      <c r="E540" s="467"/>
      <c r="F540" s="467"/>
      <c r="G540" s="468"/>
    </row>
    <row r="541" ht="14.25" customHeight="1" spans="3:7">
      <c r="C541" s="467"/>
      <c r="D541" s="467"/>
      <c r="E541" s="467"/>
      <c r="F541" s="467"/>
      <c r="G541" s="468"/>
    </row>
    <row r="542" ht="14.25" customHeight="1" spans="3:7">
      <c r="C542" s="467"/>
      <c r="D542" s="467"/>
      <c r="E542" s="467"/>
      <c r="F542" s="467"/>
      <c r="G542" s="468"/>
    </row>
    <row r="543" ht="14.25" customHeight="1" spans="3:7">
      <c r="C543" s="467"/>
      <c r="D543" s="467"/>
      <c r="E543" s="467"/>
      <c r="F543" s="467"/>
      <c r="G543" s="468"/>
    </row>
    <row r="544" ht="14.25" customHeight="1" spans="3:7">
      <c r="C544" s="467"/>
      <c r="D544" s="467"/>
      <c r="E544" s="467"/>
      <c r="F544" s="467"/>
      <c r="G544" s="468"/>
    </row>
    <row r="545" ht="14.25" customHeight="1" spans="3:7">
      <c r="C545" s="467"/>
      <c r="D545" s="467"/>
      <c r="E545" s="467"/>
      <c r="F545" s="467"/>
      <c r="G545" s="468"/>
    </row>
    <row r="546" ht="14.25" customHeight="1" spans="3:7">
      <c r="C546" s="467"/>
      <c r="D546" s="467"/>
      <c r="E546" s="467"/>
      <c r="F546" s="467"/>
      <c r="G546" s="468"/>
    </row>
    <row r="547" ht="14.25" customHeight="1" spans="3:7">
      <c r="C547" s="467"/>
      <c r="D547" s="467"/>
      <c r="E547" s="467"/>
      <c r="F547" s="467"/>
      <c r="G547" s="468"/>
    </row>
    <row r="548" ht="14.25" customHeight="1" spans="3:7">
      <c r="C548" s="467"/>
      <c r="D548" s="467"/>
      <c r="E548" s="467"/>
      <c r="F548" s="467"/>
      <c r="G548" s="468"/>
    </row>
    <row r="549" ht="14.25" customHeight="1" spans="3:7">
      <c r="C549" s="467"/>
      <c r="D549" s="467"/>
      <c r="E549" s="467"/>
      <c r="F549" s="467"/>
      <c r="G549" s="468"/>
    </row>
    <row r="550" ht="14.25" customHeight="1" spans="3:7">
      <c r="C550" s="467"/>
      <c r="D550" s="467"/>
      <c r="E550" s="467"/>
      <c r="F550" s="467"/>
      <c r="G550" s="468"/>
    </row>
    <row r="551" ht="14.25" customHeight="1" spans="3:7">
      <c r="C551" s="467"/>
      <c r="D551" s="467"/>
      <c r="E551" s="467"/>
      <c r="F551" s="467"/>
      <c r="G551" s="468"/>
    </row>
    <row r="552" ht="14.25" customHeight="1" spans="3:7">
      <c r="C552" s="467"/>
      <c r="D552" s="467"/>
      <c r="E552" s="467"/>
      <c r="F552" s="467"/>
      <c r="G552" s="468"/>
    </row>
    <row r="553" ht="14.25" customHeight="1" spans="3:7">
      <c r="C553" s="467"/>
      <c r="D553" s="467"/>
      <c r="E553" s="467"/>
      <c r="F553" s="467"/>
      <c r="G553" s="468"/>
    </row>
    <row r="554" ht="14.25" customHeight="1" spans="3:7">
      <c r="C554" s="467"/>
      <c r="D554" s="467"/>
      <c r="E554" s="467"/>
      <c r="F554" s="467"/>
      <c r="G554" s="468"/>
    </row>
    <row r="555" ht="14.25" customHeight="1" spans="3:7">
      <c r="C555" s="467"/>
      <c r="D555" s="467"/>
      <c r="E555" s="467"/>
      <c r="F555" s="467"/>
      <c r="G555" s="468"/>
    </row>
    <row r="556" ht="14.25" customHeight="1" spans="3:7">
      <c r="C556" s="467"/>
      <c r="D556" s="467"/>
      <c r="E556" s="467"/>
      <c r="F556" s="467"/>
      <c r="G556" s="468"/>
    </row>
    <row r="557" ht="14.25" customHeight="1" spans="3:7">
      <c r="C557" s="467"/>
      <c r="D557" s="467"/>
      <c r="E557" s="467"/>
      <c r="F557" s="467"/>
      <c r="G557" s="468"/>
    </row>
    <row r="558" ht="14.25" customHeight="1" spans="3:7">
      <c r="C558" s="467"/>
      <c r="D558" s="467"/>
      <c r="E558" s="467"/>
      <c r="F558" s="467"/>
      <c r="G558" s="468"/>
    </row>
    <row r="559" ht="14.25" customHeight="1" spans="3:7">
      <c r="C559" s="467"/>
      <c r="D559" s="467"/>
      <c r="E559" s="467"/>
      <c r="F559" s="467"/>
      <c r="G559" s="468"/>
    </row>
    <row r="560" ht="14.25" customHeight="1" spans="3:7">
      <c r="C560" s="467"/>
      <c r="D560" s="467"/>
      <c r="E560" s="467"/>
      <c r="F560" s="467"/>
      <c r="G560" s="468"/>
    </row>
    <row r="561" ht="14.25" customHeight="1" spans="3:7">
      <c r="C561" s="467"/>
      <c r="D561" s="467"/>
      <c r="E561" s="467"/>
      <c r="F561" s="467"/>
      <c r="G561" s="468"/>
    </row>
    <row r="562" ht="14.25" customHeight="1" spans="3:7">
      <c r="C562" s="467"/>
      <c r="D562" s="467"/>
      <c r="E562" s="467"/>
      <c r="F562" s="467"/>
      <c r="G562" s="468"/>
    </row>
    <row r="563" ht="14.25" customHeight="1" spans="3:7">
      <c r="C563" s="467"/>
      <c r="D563" s="467"/>
      <c r="E563" s="467"/>
      <c r="F563" s="467"/>
      <c r="G563" s="468"/>
    </row>
    <row r="564" ht="14.25" customHeight="1" spans="3:7">
      <c r="C564" s="467"/>
      <c r="D564" s="467"/>
      <c r="E564" s="467"/>
      <c r="F564" s="467"/>
      <c r="G564" s="468"/>
    </row>
    <row r="565" ht="14.25" customHeight="1" spans="3:7">
      <c r="C565" s="467"/>
      <c r="D565" s="467"/>
      <c r="E565" s="467"/>
      <c r="F565" s="467"/>
      <c r="G565" s="468"/>
    </row>
    <row r="566" ht="14.25" customHeight="1" spans="3:7">
      <c r="C566" s="467"/>
      <c r="D566" s="467"/>
      <c r="E566" s="467"/>
      <c r="F566" s="467"/>
      <c r="G566" s="468"/>
    </row>
    <row r="567" ht="14.25" customHeight="1" spans="3:7">
      <c r="C567" s="467"/>
      <c r="D567" s="467"/>
      <c r="E567" s="467"/>
      <c r="F567" s="467"/>
      <c r="G567" s="468"/>
    </row>
    <row r="568" ht="14.25" customHeight="1" spans="3:7">
      <c r="C568" s="467"/>
      <c r="D568" s="467"/>
      <c r="E568" s="467"/>
      <c r="F568" s="467"/>
      <c r="G568" s="468"/>
    </row>
    <row r="569" ht="14.25" customHeight="1" spans="3:7">
      <c r="C569" s="467"/>
      <c r="D569" s="467"/>
      <c r="E569" s="467"/>
      <c r="F569" s="467"/>
      <c r="G569" s="468"/>
    </row>
    <row r="570" ht="14.25" customHeight="1" spans="3:7">
      <c r="C570" s="467"/>
      <c r="D570" s="467"/>
      <c r="E570" s="467"/>
      <c r="F570" s="467"/>
      <c r="G570" s="468"/>
    </row>
    <row r="571" ht="14.25" customHeight="1" spans="3:7">
      <c r="C571" s="467"/>
      <c r="D571" s="467"/>
      <c r="E571" s="467"/>
      <c r="F571" s="467"/>
      <c r="G571" s="468"/>
    </row>
    <row r="572" ht="14.25" customHeight="1" spans="3:7">
      <c r="C572" s="467"/>
      <c r="D572" s="467"/>
      <c r="E572" s="467"/>
      <c r="F572" s="467"/>
      <c r="G572" s="468"/>
    </row>
    <row r="573" ht="14.25" customHeight="1" spans="3:7">
      <c r="C573" s="467"/>
      <c r="D573" s="467"/>
      <c r="E573" s="467"/>
      <c r="F573" s="467"/>
      <c r="G573" s="468"/>
    </row>
    <row r="574" ht="14.25" customHeight="1" spans="3:7">
      <c r="C574" s="467"/>
      <c r="D574" s="467"/>
      <c r="E574" s="467"/>
      <c r="F574" s="467"/>
      <c r="G574" s="468"/>
    </row>
    <row r="575" ht="14.25" customHeight="1" spans="3:7">
      <c r="C575" s="467"/>
      <c r="D575" s="467"/>
      <c r="E575" s="467"/>
      <c r="F575" s="467"/>
      <c r="G575" s="468"/>
    </row>
    <row r="576" ht="14.25" customHeight="1" spans="3:7">
      <c r="C576" s="467"/>
      <c r="D576" s="467"/>
      <c r="E576" s="467"/>
      <c r="F576" s="467"/>
      <c r="G576" s="468"/>
    </row>
    <row r="577" ht="14.25" customHeight="1" spans="3:7">
      <c r="C577" s="467"/>
      <c r="D577" s="467"/>
      <c r="E577" s="467"/>
      <c r="F577" s="467"/>
      <c r="G577" s="468"/>
    </row>
    <row r="578" ht="14.25" customHeight="1" spans="3:7">
      <c r="C578" s="467"/>
      <c r="D578" s="467"/>
      <c r="E578" s="467"/>
      <c r="F578" s="467"/>
      <c r="G578" s="468"/>
    </row>
    <row r="579" ht="14.25" customHeight="1" spans="3:7">
      <c r="C579" s="467"/>
      <c r="D579" s="467"/>
      <c r="E579" s="467"/>
      <c r="F579" s="467"/>
      <c r="G579" s="468"/>
    </row>
    <row r="580" ht="14.25" customHeight="1" spans="3:7">
      <c r="C580" s="467"/>
      <c r="D580" s="467"/>
      <c r="E580" s="467"/>
      <c r="F580" s="467"/>
      <c r="G580" s="468"/>
    </row>
    <row r="581" ht="14.25" customHeight="1" spans="3:7">
      <c r="C581" s="467"/>
      <c r="D581" s="467"/>
      <c r="E581" s="467"/>
      <c r="F581" s="467"/>
      <c r="G581" s="468"/>
    </row>
    <row r="582" ht="14.25" customHeight="1" spans="3:7">
      <c r="C582" s="467"/>
      <c r="D582" s="467"/>
      <c r="E582" s="467"/>
      <c r="F582" s="467"/>
      <c r="G582" s="468"/>
    </row>
    <row r="583" ht="14.25" customHeight="1" spans="3:7">
      <c r="C583" s="467"/>
      <c r="D583" s="467"/>
      <c r="E583" s="467"/>
      <c r="F583" s="467"/>
      <c r="G583" s="468"/>
    </row>
    <row r="584" ht="14.25" customHeight="1" spans="3:7">
      <c r="C584" s="467"/>
      <c r="D584" s="467"/>
      <c r="E584" s="467"/>
      <c r="F584" s="467"/>
      <c r="G584" s="468"/>
    </row>
    <row r="585" ht="14.25" customHeight="1" spans="3:7">
      <c r="C585" s="467"/>
      <c r="D585" s="467"/>
      <c r="E585" s="467"/>
      <c r="F585" s="467"/>
      <c r="G585" s="468"/>
    </row>
    <row r="586" ht="14.25" customHeight="1" spans="3:7">
      <c r="C586" s="467"/>
      <c r="D586" s="467"/>
      <c r="E586" s="467"/>
      <c r="F586" s="467"/>
      <c r="G586" s="468"/>
    </row>
    <row r="587" ht="14.25" customHeight="1" spans="3:7">
      <c r="C587" s="467"/>
      <c r="D587" s="467"/>
      <c r="E587" s="467"/>
      <c r="F587" s="467"/>
      <c r="G587" s="468"/>
    </row>
    <row r="588" ht="14.25" customHeight="1" spans="3:7">
      <c r="C588" s="467"/>
      <c r="D588" s="467"/>
      <c r="E588" s="467"/>
      <c r="F588" s="467"/>
      <c r="G588" s="468"/>
    </row>
    <row r="589" ht="14.25" customHeight="1" spans="3:7">
      <c r="C589" s="467"/>
      <c r="D589" s="467"/>
      <c r="E589" s="467"/>
      <c r="F589" s="467"/>
      <c r="G589" s="468"/>
    </row>
    <row r="590" ht="14.25" customHeight="1" spans="3:7">
      <c r="C590" s="467"/>
      <c r="D590" s="467"/>
      <c r="E590" s="467"/>
      <c r="F590" s="467"/>
      <c r="G590" s="468"/>
    </row>
    <row r="591" ht="14.25" customHeight="1" spans="3:7">
      <c r="C591" s="467"/>
      <c r="D591" s="467"/>
      <c r="E591" s="467"/>
      <c r="F591" s="467"/>
      <c r="G591" s="468"/>
    </row>
    <row r="592" ht="14.25" customHeight="1" spans="3:7">
      <c r="C592" s="467"/>
      <c r="D592" s="467"/>
      <c r="E592" s="467"/>
      <c r="F592" s="467"/>
      <c r="G592" s="468"/>
    </row>
    <row r="593" ht="14.25" customHeight="1" spans="3:7">
      <c r="C593" s="467"/>
      <c r="D593" s="467"/>
      <c r="E593" s="467"/>
      <c r="F593" s="467"/>
      <c r="G593" s="468"/>
    </row>
    <row r="594" ht="14.25" customHeight="1" spans="3:7">
      <c r="C594" s="467"/>
      <c r="D594" s="467"/>
      <c r="E594" s="467"/>
      <c r="F594" s="467"/>
      <c r="G594" s="468"/>
    </row>
    <row r="595" ht="14.25" customHeight="1" spans="3:7">
      <c r="C595" s="467"/>
      <c r="D595" s="467"/>
      <c r="E595" s="467"/>
      <c r="F595" s="467"/>
      <c r="G595" s="468"/>
    </row>
    <row r="596" ht="14.25" customHeight="1" spans="3:7">
      <c r="C596" s="467"/>
      <c r="D596" s="467"/>
      <c r="E596" s="467"/>
      <c r="F596" s="467"/>
      <c r="G596" s="468"/>
    </row>
    <row r="597" ht="14.25" customHeight="1" spans="3:7">
      <c r="C597" s="467"/>
      <c r="D597" s="467"/>
      <c r="E597" s="467"/>
      <c r="F597" s="467"/>
      <c r="G597" s="468"/>
    </row>
    <row r="598" ht="14.25" customHeight="1" spans="3:7">
      <c r="C598" s="467"/>
      <c r="D598" s="467"/>
      <c r="E598" s="467"/>
      <c r="F598" s="467"/>
      <c r="G598" s="468"/>
    </row>
    <row r="599" ht="14.25" customHeight="1" spans="3:7">
      <c r="C599" s="467"/>
      <c r="D599" s="467"/>
      <c r="E599" s="467"/>
      <c r="F599" s="467"/>
      <c r="G599" s="468"/>
    </row>
    <row r="600" ht="14.25" customHeight="1" spans="3:7">
      <c r="C600" s="467"/>
      <c r="D600" s="467"/>
      <c r="E600" s="467"/>
      <c r="F600" s="467"/>
      <c r="G600" s="468"/>
    </row>
    <row r="601" ht="14.25" customHeight="1" spans="3:7">
      <c r="C601" s="467"/>
      <c r="D601" s="467"/>
      <c r="E601" s="467"/>
      <c r="F601" s="467"/>
      <c r="G601" s="468"/>
    </row>
    <row r="602" ht="14.25" customHeight="1" spans="3:7">
      <c r="C602" s="467"/>
      <c r="D602" s="467"/>
      <c r="E602" s="467"/>
      <c r="F602" s="467"/>
      <c r="G602" s="468"/>
    </row>
    <row r="603" ht="14.25" customHeight="1" spans="3:7">
      <c r="C603" s="467"/>
      <c r="D603" s="467"/>
      <c r="E603" s="467"/>
      <c r="F603" s="467"/>
      <c r="G603" s="468"/>
    </row>
    <row r="604" ht="14.25" customHeight="1" spans="3:7">
      <c r="C604" s="467"/>
      <c r="D604" s="467"/>
      <c r="E604" s="467"/>
      <c r="F604" s="467"/>
      <c r="G604" s="468"/>
    </row>
    <row r="605" ht="14.25" customHeight="1" spans="3:7">
      <c r="C605" s="467"/>
      <c r="D605" s="467"/>
      <c r="E605" s="467"/>
      <c r="F605" s="467"/>
      <c r="G605" s="468"/>
    </row>
    <row r="606" ht="14.25" customHeight="1" spans="3:7">
      <c r="C606" s="467"/>
      <c r="D606" s="467"/>
      <c r="E606" s="467"/>
      <c r="F606" s="467"/>
      <c r="G606" s="468"/>
    </row>
    <row r="607" ht="14.25" customHeight="1" spans="3:7">
      <c r="C607" s="467"/>
      <c r="D607" s="467"/>
      <c r="E607" s="467"/>
      <c r="F607" s="467"/>
      <c r="G607" s="468"/>
    </row>
    <row r="608" ht="14.25" customHeight="1" spans="3:7">
      <c r="C608" s="467"/>
      <c r="D608" s="467"/>
      <c r="E608" s="467"/>
      <c r="F608" s="467"/>
      <c r="G608" s="468"/>
    </row>
    <row r="609" ht="14.25" customHeight="1" spans="3:7">
      <c r="C609" s="467"/>
      <c r="D609" s="467"/>
      <c r="E609" s="467"/>
      <c r="F609" s="467"/>
      <c r="G609" s="468"/>
    </row>
    <row r="610" ht="14.25" customHeight="1" spans="3:7">
      <c r="C610" s="467"/>
      <c r="D610" s="467"/>
      <c r="E610" s="467"/>
      <c r="F610" s="467"/>
      <c r="G610" s="468"/>
    </row>
    <row r="611" ht="14.25" customHeight="1" spans="3:7">
      <c r="C611" s="467"/>
      <c r="D611" s="467"/>
      <c r="E611" s="467"/>
      <c r="F611" s="467"/>
      <c r="G611" s="468"/>
    </row>
    <row r="612" ht="14.25" customHeight="1" spans="3:7">
      <c r="C612" s="467"/>
      <c r="D612" s="467"/>
      <c r="E612" s="467"/>
      <c r="F612" s="467"/>
      <c r="G612" s="468"/>
    </row>
    <row r="613" ht="14.25" customHeight="1" spans="3:7">
      <c r="C613" s="467"/>
      <c r="D613" s="467"/>
      <c r="E613" s="467"/>
      <c r="F613" s="467"/>
      <c r="G613" s="468"/>
    </row>
    <row r="614" ht="14.25" customHeight="1" spans="3:7">
      <c r="C614" s="467"/>
      <c r="D614" s="467"/>
      <c r="E614" s="467"/>
      <c r="F614" s="467"/>
      <c r="G614" s="468"/>
    </row>
    <row r="615" ht="14.25" customHeight="1" spans="3:7">
      <c r="C615" s="467"/>
      <c r="D615" s="467"/>
      <c r="E615" s="467"/>
      <c r="F615" s="467"/>
      <c r="G615" s="468"/>
    </row>
    <row r="616" ht="14.25" customHeight="1" spans="3:7">
      <c r="C616" s="467"/>
      <c r="D616" s="467"/>
      <c r="E616" s="467"/>
      <c r="F616" s="467"/>
      <c r="G616" s="468"/>
    </row>
    <row r="617" ht="14.25" customHeight="1" spans="3:7">
      <c r="C617" s="467"/>
      <c r="D617" s="467"/>
      <c r="E617" s="467"/>
      <c r="F617" s="467"/>
      <c r="G617" s="468"/>
    </row>
    <row r="618" ht="14.25" customHeight="1" spans="3:7">
      <c r="C618" s="467"/>
      <c r="D618" s="467"/>
      <c r="E618" s="467"/>
      <c r="F618" s="467"/>
      <c r="G618" s="468"/>
    </row>
    <row r="619" ht="14.25" customHeight="1" spans="3:7">
      <c r="C619" s="467"/>
      <c r="D619" s="467"/>
      <c r="E619" s="467"/>
      <c r="F619" s="467"/>
      <c r="G619" s="468"/>
    </row>
    <row r="620" ht="14.25" customHeight="1" spans="3:7">
      <c r="C620" s="467"/>
      <c r="D620" s="467"/>
      <c r="E620" s="467"/>
      <c r="F620" s="467"/>
      <c r="G620" s="468"/>
    </row>
    <row r="621" ht="14.25" customHeight="1" spans="3:7">
      <c r="C621" s="467"/>
      <c r="D621" s="467"/>
      <c r="E621" s="467"/>
      <c r="F621" s="467"/>
      <c r="G621" s="468"/>
    </row>
    <row r="622" ht="14.25" customHeight="1" spans="3:7">
      <c r="C622" s="467"/>
      <c r="D622" s="467"/>
      <c r="E622" s="467"/>
      <c r="F622" s="467"/>
      <c r="G622" s="468"/>
    </row>
    <row r="623" ht="14.25" customHeight="1" spans="3:7">
      <c r="C623" s="467"/>
      <c r="D623" s="467"/>
      <c r="E623" s="467"/>
      <c r="F623" s="467"/>
      <c r="G623" s="468"/>
    </row>
    <row r="624" ht="14.25" customHeight="1" spans="3:7">
      <c r="C624" s="467"/>
      <c r="D624" s="467"/>
      <c r="E624" s="467"/>
      <c r="F624" s="467"/>
      <c r="G624" s="468"/>
    </row>
    <row r="625" ht="14.25" customHeight="1" spans="3:7">
      <c r="C625" s="467"/>
      <c r="D625" s="467"/>
      <c r="E625" s="467"/>
      <c r="F625" s="467"/>
      <c r="G625" s="468"/>
    </row>
    <row r="626" ht="14.25" customHeight="1" spans="3:7">
      <c r="C626" s="467"/>
      <c r="D626" s="467"/>
      <c r="E626" s="467"/>
      <c r="F626" s="467"/>
      <c r="G626" s="468"/>
    </row>
    <row r="627" ht="14.25" customHeight="1" spans="3:7">
      <c r="C627" s="467"/>
      <c r="D627" s="467"/>
      <c r="E627" s="467"/>
      <c r="F627" s="467"/>
      <c r="G627" s="468"/>
    </row>
    <row r="628" ht="14.25" customHeight="1" spans="3:7">
      <c r="C628" s="467"/>
      <c r="D628" s="467"/>
      <c r="E628" s="467"/>
      <c r="F628" s="467"/>
      <c r="G628" s="468"/>
    </row>
    <row r="629" ht="14.25" customHeight="1" spans="3:7">
      <c r="C629" s="467"/>
      <c r="D629" s="467"/>
      <c r="E629" s="467"/>
      <c r="F629" s="467"/>
      <c r="G629" s="468"/>
    </row>
    <row r="630" ht="14.25" customHeight="1" spans="3:7">
      <c r="C630" s="467"/>
      <c r="D630" s="467"/>
      <c r="E630" s="467"/>
      <c r="F630" s="467"/>
      <c r="G630" s="468"/>
    </row>
    <row r="631" ht="14.25" customHeight="1" spans="3:7">
      <c r="C631" s="467"/>
      <c r="D631" s="467"/>
      <c r="E631" s="467"/>
      <c r="F631" s="467"/>
      <c r="G631" s="468"/>
    </row>
    <row r="632" ht="14.25" customHeight="1" spans="3:7">
      <c r="C632" s="467"/>
      <c r="D632" s="467"/>
      <c r="E632" s="467"/>
      <c r="F632" s="467"/>
      <c r="G632" s="468"/>
    </row>
    <row r="633" ht="14.25" customHeight="1" spans="3:7">
      <c r="C633" s="467"/>
      <c r="D633" s="467"/>
      <c r="E633" s="467"/>
      <c r="F633" s="467"/>
      <c r="G633" s="468"/>
    </row>
    <row r="634" ht="14.25" customHeight="1" spans="3:7">
      <c r="C634" s="467"/>
      <c r="D634" s="467"/>
      <c r="E634" s="467"/>
      <c r="F634" s="467"/>
      <c r="G634" s="468"/>
    </row>
    <row r="635" ht="14.25" customHeight="1" spans="3:7">
      <c r="C635" s="467"/>
      <c r="D635" s="467"/>
      <c r="E635" s="467"/>
      <c r="F635" s="467"/>
      <c r="G635" s="468"/>
    </row>
    <row r="636" ht="14.25" customHeight="1" spans="3:7">
      <c r="C636" s="467"/>
      <c r="D636" s="467"/>
      <c r="E636" s="467"/>
      <c r="F636" s="467"/>
      <c r="G636" s="468"/>
    </row>
    <row r="637" ht="14.25" customHeight="1" spans="3:7">
      <c r="C637" s="467"/>
      <c r="D637" s="467"/>
      <c r="E637" s="467"/>
      <c r="F637" s="467"/>
      <c r="G637" s="468"/>
    </row>
    <row r="638" ht="14.25" customHeight="1" spans="3:7">
      <c r="C638" s="467"/>
      <c r="D638" s="467"/>
      <c r="E638" s="467"/>
      <c r="F638" s="467"/>
      <c r="G638" s="468"/>
    </row>
    <row r="639" ht="14.25" customHeight="1" spans="3:7">
      <c r="C639" s="467"/>
      <c r="D639" s="467"/>
      <c r="E639" s="467"/>
      <c r="F639" s="467"/>
      <c r="G639" s="468"/>
    </row>
    <row r="640" ht="14.25" customHeight="1" spans="3:7">
      <c r="C640" s="467"/>
      <c r="D640" s="467"/>
      <c r="E640" s="467"/>
      <c r="F640" s="467"/>
      <c r="G640" s="468"/>
    </row>
    <row r="641" ht="14.25" customHeight="1" spans="3:7">
      <c r="C641" s="467"/>
      <c r="D641" s="467"/>
      <c r="E641" s="467"/>
      <c r="F641" s="467"/>
      <c r="G641" s="468"/>
    </row>
    <row r="642" ht="14.25" customHeight="1" spans="3:7">
      <c r="C642" s="467"/>
      <c r="D642" s="467"/>
      <c r="E642" s="467"/>
      <c r="F642" s="467"/>
      <c r="G642" s="468"/>
    </row>
    <row r="643" ht="14.25" customHeight="1" spans="3:7">
      <c r="C643" s="467"/>
      <c r="D643" s="467"/>
      <c r="E643" s="467"/>
      <c r="F643" s="467"/>
      <c r="G643" s="468"/>
    </row>
    <row r="644" ht="14.25" customHeight="1" spans="3:7">
      <c r="C644" s="467"/>
      <c r="D644" s="467"/>
      <c r="E644" s="467"/>
      <c r="F644" s="467"/>
      <c r="G644" s="468"/>
    </row>
    <row r="645" ht="14.25" customHeight="1" spans="3:7">
      <c r="C645" s="467"/>
      <c r="D645" s="467"/>
      <c r="E645" s="467"/>
      <c r="F645" s="467"/>
      <c r="G645" s="468"/>
    </row>
    <row r="646" ht="14.25" customHeight="1" spans="3:7">
      <c r="C646" s="467"/>
      <c r="D646" s="467"/>
      <c r="E646" s="467"/>
      <c r="F646" s="467"/>
      <c r="G646" s="468"/>
    </row>
    <row r="647" ht="14.25" customHeight="1" spans="3:7">
      <c r="C647" s="467"/>
      <c r="D647" s="467"/>
      <c r="E647" s="467"/>
      <c r="F647" s="467"/>
      <c r="G647" s="468"/>
    </row>
    <row r="648" ht="14.25" customHeight="1" spans="3:7">
      <c r="C648" s="467"/>
      <c r="D648" s="467"/>
      <c r="E648" s="467"/>
      <c r="F648" s="467"/>
      <c r="G648" s="468"/>
    </row>
    <row r="649" ht="14.25" customHeight="1" spans="3:7">
      <c r="C649" s="467"/>
      <c r="D649" s="467"/>
      <c r="E649" s="467"/>
      <c r="F649" s="467"/>
      <c r="G649" s="468"/>
    </row>
    <row r="650" ht="14.25" customHeight="1" spans="3:7">
      <c r="C650" s="467"/>
      <c r="D650" s="467"/>
      <c r="E650" s="467"/>
      <c r="F650" s="467"/>
      <c r="G650" s="468"/>
    </row>
    <row r="651" ht="14.25" customHeight="1" spans="3:7">
      <c r="C651" s="467"/>
      <c r="D651" s="467"/>
      <c r="E651" s="467"/>
      <c r="F651" s="467"/>
      <c r="G651" s="468"/>
    </row>
    <row r="652" ht="14.25" customHeight="1" spans="3:7">
      <c r="C652" s="467"/>
      <c r="D652" s="467"/>
      <c r="E652" s="467"/>
      <c r="F652" s="467"/>
      <c r="G652" s="468"/>
    </row>
    <row r="653" ht="14.25" customHeight="1" spans="3:7">
      <c r="C653" s="467"/>
      <c r="D653" s="467"/>
      <c r="E653" s="467"/>
      <c r="F653" s="467"/>
      <c r="G653" s="468"/>
    </row>
    <row r="654" ht="14.25" customHeight="1" spans="3:7">
      <c r="C654" s="467"/>
      <c r="D654" s="467"/>
      <c r="E654" s="467"/>
      <c r="F654" s="467"/>
      <c r="G654" s="468"/>
    </row>
    <row r="655" ht="14.25" customHeight="1" spans="3:7">
      <c r="C655" s="467"/>
      <c r="D655" s="467"/>
      <c r="E655" s="467"/>
      <c r="F655" s="467"/>
      <c r="G655" s="468"/>
    </row>
    <row r="656" ht="14.25" customHeight="1" spans="3:7">
      <c r="C656" s="467"/>
      <c r="D656" s="467"/>
      <c r="E656" s="467"/>
      <c r="F656" s="467"/>
      <c r="G656" s="468"/>
    </row>
    <row r="657" ht="14.25" customHeight="1" spans="3:7">
      <c r="C657" s="467"/>
      <c r="D657" s="467"/>
      <c r="E657" s="467"/>
      <c r="F657" s="467"/>
      <c r="G657" s="468"/>
    </row>
    <row r="658" ht="14.25" customHeight="1" spans="3:7">
      <c r="C658" s="467"/>
      <c r="D658" s="467"/>
      <c r="E658" s="467"/>
      <c r="F658" s="467"/>
      <c r="G658" s="468"/>
    </row>
    <row r="659" ht="14.25" customHeight="1" spans="3:7">
      <c r="C659" s="467"/>
      <c r="D659" s="467"/>
      <c r="E659" s="467"/>
      <c r="F659" s="467"/>
      <c r="G659" s="468"/>
    </row>
    <row r="660" ht="14.25" customHeight="1" spans="3:7">
      <c r="C660" s="467"/>
      <c r="D660" s="467"/>
      <c r="E660" s="467"/>
      <c r="F660" s="467"/>
      <c r="G660" s="468"/>
    </row>
    <row r="661" ht="14.25" customHeight="1" spans="3:7">
      <c r="C661" s="467"/>
      <c r="D661" s="467"/>
      <c r="E661" s="467"/>
      <c r="F661" s="467"/>
      <c r="G661" s="468"/>
    </row>
    <row r="662" ht="14.25" customHeight="1" spans="3:7">
      <c r="C662" s="467"/>
      <c r="D662" s="467"/>
      <c r="E662" s="467"/>
      <c r="F662" s="467"/>
      <c r="G662" s="468"/>
    </row>
    <row r="663" ht="14.25" customHeight="1" spans="3:7">
      <c r="C663" s="467"/>
      <c r="D663" s="467"/>
      <c r="E663" s="467"/>
      <c r="F663" s="467"/>
      <c r="G663" s="468"/>
    </row>
    <row r="664" ht="14.25" customHeight="1" spans="3:7">
      <c r="C664" s="467"/>
      <c r="D664" s="467"/>
      <c r="E664" s="467"/>
      <c r="F664" s="467"/>
      <c r="G664" s="468"/>
    </row>
    <row r="665" ht="14.25" customHeight="1" spans="3:7">
      <c r="C665" s="467"/>
      <c r="D665" s="467"/>
      <c r="E665" s="467"/>
      <c r="F665" s="467"/>
      <c r="G665" s="468"/>
    </row>
    <row r="666" ht="14.25" customHeight="1" spans="3:7">
      <c r="C666" s="467"/>
      <c r="D666" s="467"/>
      <c r="E666" s="467"/>
      <c r="F666" s="467"/>
      <c r="G666" s="468"/>
    </row>
    <row r="667" ht="14.25" customHeight="1" spans="3:7">
      <c r="C667" s="467"/>
      <c r="D667" s="467"/>
      <c r="E667" s="467"/>
      <c r="F667" s="467"/>
      <c r="G667" s="468"/>
    </row>
    <row r="668" ht="14.25" customHeight="1" spans="3:7">
      <c r="C668" s="467"/>
      <c r="D668" s="467"/>
      <c r="E668" s="467"/>
      <c r="F668" s="467"/>
      <c r="G668" s="468"/>
    </row>
    <row r="669" ht="14.25" customHeight="1" spans="3:7">
      <c r="C669" s="467"/>
      <c r="D669" s="467"/>
      <c r="E669" s="467"/>
      <c r="F669" s="467"/>
      <c r="G669" s="468"/>
    </row>
    <row r="670" ht="14.25" customHeight="1" spans="3:7">
      <c r="C670" s="467"/>
      <c r="D670" s="467"/>
      <c r="E670" s="467"/>
      <c r="F670" s="467"/>
      <c r="G670" s="468"/>
    </row>
    <row r="671" ht="14.25" customHeight="1" spans="3:7">
      <c r="C671" s="467"/>
      <c r="D671" s="467"/>
      <c r="E671" s="467"/>
      <c r="F671" s="467"/>
      <c r="G671" s="468"/>
    </row>
    <row r="672" ht="14.25" customHeight="1" spans="3:7">
      <c r="C672" s="467"/>
      <c r="D672" s="467"/>
      <c r="E672" s="467"/>
      <c r="F672" s="467"/>
      <c r="G672" s="468"/>
    </row>
    <row r="673" ht="14.25" customHeight="1" spans="3:7">
      <c r="C673" s="467"/>
      <c r="D673" s="467"/>
      <c r="E673" s="467"/>
      <c r="F673" s="467"/>
      <c r="G673" s="468"/>
    </row>
    <row r="674" ht="14.25" customHeight="1" spans="3:7">
      <c r="C674" s="467"/>
      <c r="D674" s="467"/>
      <c r="E674" s="467"/>
      <c r="F674" s="467"/>
      <c r="G674" s="468"/>
    </row>
    <row r="675" ht="14.25" customHeight="1" spans="3:7">
      <c r="C675" s="467"/>
      <c r="D675" s="467"/>
      <c r="E675" s="467"/>
      <c r="F675" s="467"/>
      <c r="G675" s="468"/>
    </row>
    <row r="676" ht="14.25" customHeight="1" spans="3:7">
      <c r="C676" s="467"/>
      <c r="D676" s="467"/>
      <c r="E676" s="467"/>
      <c r="F676" s="467"/>
      <c r="G676" s="468"/>
    </row>
    <row r="677" ht="14.25" customHeight="1" spans="3:7">
      <c r="C677" s="467"/>
      <c r="D677" s="467"/>
      <c r="E677" s="467"/>
      <c r="F677" s="467"/>
      <c r="G677" s="468"/>
    </row>
    <row r="678" ht="14.25" customHeight="1" spans="3:7">
      <c r="C678" s="467"/>
      <c r="D678" s="467"/>
      <c r="E678" s="467"/>
      <c r="F678" s="467"/>
      <c r="G678" s="468"/>
    </row>
    <row r="679" ht="14.25" customHeight="1" spans="3:7">
      <c r="C679" s="467"/>
      <c r="D679" s="467"/>
      <c r="E679" s="467"/>
      <c r="F679" s="467"/>
      <c r="G679" s="468"/>
    </row>
    <row r="680" ht="14.25" customHeight="1" spans="3:7">
      <c r="C680" s="467"/>
      <c r="D680" s="467"/>
      <c r="E680" s="467"/>
      <c r="F680" s="467"/>
      <c r="G680" s="468"/>
    </row>
    <row r="681" ht="14.25" customHeight="1" spans="3:7">
      <c r="C681" s="467"/>
      <c r="D681" s="467"/>
      <c r="E681" s="467"/>
      <c r="F681" s="467"/>
      <c r="G681" s="468"/>
    </row>
    <row r="682" ht="14.25" customHeight="1" spans="3:7">
      <c r="C682" s="467"/>
      <c r="D682" s="467"/>
      <c r="E682" s="467"/>
      <c r="F682" s="467"/>
      <c r="G682" s="468"/>
    </row>
    <row r="683" ht="14.25" customHeight="1" spans="3:7">
      <c r="C683" s="467"/>
      <c r="D683" s="467"/>
      <c r="E683" s="467"/>
      <c r="F683" s="467"/>
      <c r="G683" s="468"/>
    </row>
    <row r="684" ht="14.25" customHeight="1" spans="3:7">
      <c r="C684" s="467"/>
      <c r="D684" s="467"/>
      <c r="E684" s="467"/>
      <c r="F684" s="467"/>
      <c r="G684" s="468"/>
    </row>
    <row r="685" ht="14.25" customHeight="1" spans="3:7">
      <c r="C685" s="467"/>
      <c r="D685" s="467"/>
      <c r="E685" s="467"/>
      <c r="F685" s="467"/>
      <c r="G685" s="468"/>
    </row>
    <row r="686" ht="14.25" customHeight="1" spans="3:7">
      <c r="C686" s="467"/>
      <c r="D686" s="467"/>
      <c r="E686" s="467"/>
      <c r="F686" s="467"/>
      <c r="G686" s="468"/>
    </row>
    <row r="687" ht="14.25" customHeight="1" spans="3:7">
      <c r="C687" s="467"/>
      <c r="D687" s="467"/>
      <c r="E687" s="467"/>
      <c r="F687" s="467"/>
      <c r="G687" s="468"/>
    </row>
    <row r="688" ht="14.25" customHeight="1" spans="3:7">
      <c r="C688" s="467"/>
      <c r="D688" s="467"/>
      <c r="E688" s="467"/>
      <c r="F688" s="467"/>
      <c r="G688" s="468"/>
    </row>
    <row r="689" ht="14.25" customHeight="1" spans="3:7">
      <c r="C689" s="467"/>
      <c r="D689" s="467"/>
      <c r="E689" s="467"/>
      <c r="F689" s="467"/>
      <c r="G689" s="468"/>
    </row>
    <row r="690" ht="14.25" customHeight="1" spans="3:7">
      <c r="C690" s="467"/>
      <c r="D690" s="467"/>
      <c r="E690" s="467"/>
      <c r="F690" s="467"/>
      <c r="G690" s="468"/>
    </row>
    <row r="691" ht="14.25" customHeight="1" spans="3:7">
      <c r="C691" s="467"/>
      <c r="D691" s="467"/>
      <c r="E691" s="467"/>
      <c r="F691" s="467"/>
      <c r="G691" s="468"/>
    </row>
    <row r="692" ht="14.25" customHeight="1" spans="3:7">
      <c r="C692" s="467"/>
      <c r="D692" s="467"/>
      <c r="E692" s="467"/>
      <c r="F692" s="467"/>
      <c r="G692" s="468"/>
    </row>
    <row r="693" ht="14.25" customHeight="1" spans="3:7">
      <c r="C693" s="467"/>
      <c r="D693" s="467"/>
      <c r="E693" s="467"/>
      <c r="F693" s="467"/>
      <c r="G693" s="468"/>
    </row>
    <row r="694" ht="14.25" customHeight="1" spans="3:7">
      <c r="C694" s="467"/>
      <c r="D694" s="467"/>
      <c r="E694" s="467"/>
      <c r="F694" s="467"/>
      <c r="G694" s="468"/>
    </row>
    <row r="695" ht="14.25" customHeight="1" spans="3:7">
      <c r="C695" s="467"/>
      <c r="D695" s="467"/>
      <c r="E695" s="467"/>
      <c r="F695" s="467"/>
      <c r="G695" s="468"/>
    </row>
    <row r="696" ht="14.25" customHeight="1" spans="3:7">
      <c r="C696" s="467"/>
      <c r="D696" s="467"/>
      <c r="E696" s="467"/>
      <c r="F696" s="467"/>
      <c r="G696" s="468"/>
    </row>
    <row r="697" ht="14.25" customHeight="1" spans="3:7">
      <c r="C697" s="467"/>
      <c r="D697" s="467"/>
      <c r="E697" s="467"/>
      <c r="F697" s="467"/>
      <c r="G697" s="468"/>
    </row>
    <row r="698" ht="14.25" customHeight="1" spans="3:7">
      <c r="C698" s="467"/>
      <c r="D698" s="467"/>
      <c r="E698" s="467"/>
      <c r="F698" s="467"/>
      <c r="G698" s="468"/>
    </row>
    <row r="699" ht="14.25" customHeight="1" spans="3:7">
      <c r="C699" s="467"/>
      <c r="D699" s="467"/>
      <c r="E699" s="467"/>
      <c r="F699" s="467"/>
      <c r="G699" s="468"/>
    </row>
    <row r="700" ht="14.25" customHeight="1" spans="3:7">
      <c r="C700" s="467"/>
      <c r="D700" s="467"/>
      <c r="E700" s="467"/>
      <c r="F700" s="467"/>
      <c r="G700" s="468"/>
    </row>
    <row r="701" ht="14.25" customHeight="1" spans="3:7">
      <c r="C701" s="467"/>
      <c r="D701" s="467"/>
      <c r="E701" s="467"/>
      <c r="F701" s="467"/>
      <c r="G701" s="468"/>
    </row>
    <row r="702" ht="14.25" customHeight="1" spans="3:7">
      <c r="C702" s="467"/>
      <c r="D702" s="467"/>
      <c r="E702" s="467"/>
      <c r="F702" s="467"/>
      <c r="G702" s="468"/>
    </row>
    <row r="703" ht="14.25" customHeight="1" spans="3:7">
      <c r="C703" s="467"/>
      <c r="D703" s="467"/>
      <c r="E703" s="467"/>
      <c r="F703" s="467"/>
      <c r="G703" s="468"/>
    </row>
    <row r="704" ht="14.25" customHeight="1" spans="3:7">
      <c r="C704" s="467"/>
      <c r="D704" s="467"/>
      <c r="E704" s="467"/>
      <c r="F704" s="467"/>
      <c r="G704" s="468"/>
    </row>
    <row r="705" ht="14.25" customHeight="1" spans="3:7">
      <c r="C705" s="467"/>
      <c r="D705" s="467"/>
      <c r="E705" s="467"/>
      <c r="F705" s="467"/>
      <c r="G705" s="468"/>
    </row>
    <row r="706" ht="14.25" customHeight="1" spans="3:7">
      <c r="C706" s="467"/>
      <c r="D706" s="467"/>
      <c r="E706" s="467"/>
      <c r="F706" s="467"/>
      <c r="G706" s="468"/>
    </row>
    <row r="707" ht="14.25" customHeight="1" spans="3:7">
      <c r="C707" s="467"/>
      <c r="D707" s="467"/>
      <c r="E707" s="467"/>
      <c r="F707" s="467"/>
      <c r="G707" s="468"/>
    </row>
    <row r="708" ht="14.25" customHeight="1" spans="3:7">
      <c r="C708" s="467"/>
      <c r="D708" s="467"/>
      <c r="E708" s="467"/>
      <c r="F708" s="467"/>
      <c r="G708" s="468"/>
    </row>
    <row r="709" ht="14.25" customHeight="1" spans="3:7">
      <c r="C709" s="467"/>
      <c r="D709" s="467"/>
      <c r="E709" s="467"/>
      <c r="F709" s="467"/>
      <c r="G709" s="468"/>
    </row>
    <row r="710" ht="14.25" customHeight="1" spans="3:7">
      <c r="C710" s="467"/>
      <c r="D710" s="467"/>
      <c r="E710" s="467"/>
      <c r="F710" s="467"/>
      <c r="G710" s="468"/>
    </row>
    <row r="711" ht="14.25" customHeight="1" spans="3:7">
      <c r="C711" s="467"/>
      <c r="D711" s="467"/>
      <c r="E711" s="467"/>
      <c r="F711" s="467"/>
      <c r="G711" s="468"/>
    </row>
    <row r="712" ht="14.25" customHeight="1" spans="3:7">
      <c r="C712" s="467"/>
      <c r="D712" s="467"/>
      <c r="E712" s="467"/>
      <c r="F712" s="467"/>
      <c r="G712" s="468"/>
    </row>
    <row r="713" ht="14.25" customHeight="1" spans="3:7">
      <c r="C713" s="467"/>
      <c r="D713" s="467"/>
      <c r="E713" s="467"/>
      <c r="F713" s="467"/>
      <c r="G713" s="468"/>
    </row>
    <row r="714" ht="14.25" customHeight="1" spans="3:7">
      <c r="C714" s="467"/>
      <c r="D714" s="467"/>
      <c r="E714" s="467"/>
      <c r="F714" s="467"/>
      <c r="G714" s="468"/>
    </row>
    <row r="715" ht="14.25" customHeight="1" spans="3:7">
      <c r="C715" s="467"/>
      <c r="D715" s="467"/>
      <c r="E715" s="467"/>
      <c r="F715" s="467"/>
      <c r="G715" s="468"/>
    </row>
    <row r="716" ht="14.25" customHeight="1" spans="3:7">
      <c r="C716" s="467"/>
      <c r="D716" s="467"/>
      <c r="E716" s="467"/>
      <c r="F716" s="467"/>
      <c r="G716" s="468"/>
    </row>
    <row r="717" ht="14.25" customHeight="1" spans="3:7">
      <c r="C717" s="467"/>
      <c r="D717" s="467"/>
      <c r="E717" s="467"/>
      <c r="F717" s="467"/>
      <c r="G717" s="468"/>
    </row>
    <row r="718" ht="14.25" customHeight="1" spans="3:7">
      <c r="C718" s="467"/>
      <c r="D718" s="467"/>
      <c r="E718" s="467"/>
      <c r="F718" s="467"/>
      <c r="G718" s="468"/>
    </row>
    <row r="719" ht="14.25" customHeight="1" spans="3:7">
      <c r="C719" s="467"/>
      <c r="D719" s="467"/>
      <c r="E719" s="467"/>
      <c r="F719" s="467"/>
      <c r="G719" s="468"/>
    </row>
    <row r="720" ht="14.25" customHeight="1" spans="3:7">
      <c r="C720" s="467"/>
      <c r="D720" s="467"/>
      <c r="E720" s="467"/>
      <c r="F720" s="467"/>
      <c r="G720" s="468"/>
    </row>
    <row r="721" ht="14.25" customHeight="1" spans="3:7">
      <c r="C721" s="467"/>
      <c r="D721" s="467"/>
      <c r="E721" s="467"/>
      <c r="F721" s="467"/>
      <c r="G721" s="468"/>
    </row>
    <row r="722" ht="14.25" customHeight="1" spans="3:7">
      <c r="C722" s="467"/>
      <c r="D722" s="467"/>
      <c r="E722" s="467"/>
      <c r="F722" s="467"/>
      <c r="G722" s="468"/>
    </row>
    <row r="723" ht="14.25" customHeight="1" spans="3:7">
      <c r="C723" s="467"/>
      <c r="D723" s="467"/>
      <c r="E723" s="467"/>
      <c r="F723" s="467"/>
      <c r="G723" s="468"/>
    </row>
    <row r="724" ht="14.25" customHeight="1" spans="3:7">
      <c r="C724" s="467"/>
      <c r="D724" s="467"/>
      <c r="E724" s="467"/>
      <c r="F724" s="467"/>
      <c r="G724" s="468"/>
    </row>
    <row r="725" ht="14.25" customHeight="1" spans="3:7">
      <c r="C725" s="467"/>
      <c r="D725" s="467"/>
      <c r="E725" s="467"/>
      <c r="F725" s="467"/>
      <c r="G725" s="468"/>
    </row>
    <row r="726" ht="14.25" customHeight="1" spans="3:7">
      <c r="C726" s="467"/>
      <c r="D726" s="467"/>
      <c r="E726" s="467"/>
      <c r="F726" s="467"/>
      <c r="G726" s="468"/>
    </row>
    <row r="727" ht="14.25" customHeight="1" spans="3:7">
      <c r="C727" s="467"/>
      <c r="D727" s="467"/>
      <c r="E727" s="467"/>
      <c r="F727" s="467"/>
      <c r="G727" s="468"/>
    </row>
    <row r="728" ht="14.25" customHeight="1" spans="3:7">
      <c r="C728" s="467"/>
      <c r="D728" s="467"/>
      <c r="E728" s="467"/>
      <c r="F728" s="467"/>
      <c r="G728" s="468"/>
    </row>
    <row r="729" ht="14.25" customHeight="1" spans="3:7">
      <c r="C729" s="467"/>
      <c r="D729" s="467"/>
      <c r="E729" s="467"/>
      <c r="F729" s="467"/>
      <c r="G729" s="468"/>
    </row>
    <row r="730" ht="14.25" customHeight="1" spans="3:7">
      <c r="C730" s="467"/>
      <c r="D730" s="467"/>
      <c r="E730" s="467"/>
      <c r="F730" s="467"/>
      <c r="G730" s="468"/>
    </row>
    <row r="731" ht="14.25" customHeight="1" spans="3:7">
      <c r="C731" s="467"/>
      <c r="D731" s="467"/>
      <c r="E731" s="467"/>
      <c r="F731" s="467"/>
      <c r="G731" s="468"/>
    </row>
    <row r="732" ht="14.25" customHeight="1" spans="3:7">
      <c r="C732" s="467"/>
      <c r="D732" s="467"/>
      <c r="E732" s="467"/>
      <c r="F732" s="467"/>
      <c r="G732" s="468"/>
    </row>
    <row r="733" ht="14.25" customHeight="1" spans="3:7">
      <c r="C733" s="467"/>
      <c r="D733" s="467"/>
      <c r="E733" s="467"/>
      <c r="F733" s="467"/>
      <c r="G733" s="468"/>
    </row>
    <row r="734" ht="14.25" customHeight="1" spans="3:7">
      <c r="C734" s="467"/>
      <c r="D734" s="467"/>
      <c r="E734" s="467"/>
      <c r="F734" s="467"/>
      <c r="G734" s="468"/>
    </row>
    <row r="735" ht="14.25" customHeight="1" spans="3:7">
      <c r="C735" s="467"/>
      <c r="D735" s="467"/>
      <c r="E735" s="467"/>
      <c r="F735" s="467"/>
      <c r="G735" s="468"/>
    </row>
    <row r="736" ht="14.25" customHeight="1" spans="3:7">
      <c r="C736" s="467"/>
      <c r="D736" s="467"/>
      <c r="E736" s="467"/>
      <c r="F736" s="467"/>
      <c r="G736" s="468"/>
    </row>
    <row r="737" ht="14.25" customHeight="1" spans="3:7">
      <c r="C737" s="467"/>
      <c r="D737" s="467"/>
      <c r="E737" s="467"/>
      <c r="F737" s="467"/>
      <c r="G737" s="468"/>
    </row>
    <row r="738" ht="14.25" customHeight="1" spans="3:7">
      <c r="C738" s="467"/>
      <c r="D738" s="467"/>
      <c r="E738" s="467"/>
      <c r="F738" s="467"/>
      <c r="G738" s="468"/>
    </row>
    <row r="739" ht="14.25" customHeight="1" spans="3:7">
      <c r="C739" s="467"/>
      <c r="D739" s="467"/>
      <c r="E739" s="467"/>
      <c r="F739" s="467"/>
      <c r="G739" s="468"/>
    </row>
    <row r="740" ht="14.25" customHeight="1" spans="3:7">
      <c r="C740" s="467"/>
      <c r="D740" s="467"/>
      <c r="E740" s="467"/>
      <c r="F740" s="467"/>
      <c r="G740" s="468"/>
    </row>
    <row r="741" ht="14.25" customHeight="1" spans="3:7">
      <c r="C741" s="467"/>
      <c r="D741" s="467"/>
      <c r="E741" s="467"/>
      <c r="F741" s="467"/>
      <c r="G741" s="468"/>
    </row>
    <row r="742" ht="14.25" customHeight="1" spans="3:7">
      <c r="C742" s="467"/>
      <c r="D742" s="467"/>
      <c r="E742" s="467"/>
      <c r="F742" s="467"/>
      <c r="G742" s="468"/>
    </row>
    <row r="743" ht="14.25" customHeight="1" spans="3:7">
      <c r="C743" s="467"/>
      <c r="D743" s="467"/>
      <c r="E743" s="467"/>
      <c r="F743" s="467"/>
      <c r="G743" s="468"/>
    </row>
    <row r="744" ht="14.25" customHeight="1" spans="3:7">
      <c r="C744" s="467"/>
      <c r="D744" s="467"/>
      <c r="E744" s="467"/>
      <c r="F744" s="467"/>
      <c r="G744" s="468"/>
    </row>
    <row r="745" ht="14.25" customHeight="1" spans="3:7">
      <c r="C745" s="467"/>
      <c r="D745" s="467"/>
      <c r="E745" s="467"/>
      <c r="F745" s="467"/>
      <c r="G745" s="468"/>
    </row>
    <row r="746" ht="14.25" customHeight="1" spans="3:7">
      <c r="C746" s="467"/>
      <c r="D746" s="467"/>
      <c r="E746" s="467"/>
      <c r="F746" s="467"/>
      <c r="G746" s="468"/>
    </row>
    <row r="747" ht="14.25" customHeight="1" spans="3:7">
      <c r="C747" s="467"/>
      <c r="D747" s="467"/>
      <c r="E747" s="467"/>
      <c r="F747" s="467"/>
      <c r="G747" s="468"/>
    </row>
    <row r="748" ht="14.25" customHeight="1" spans="3:7">
      <c r="C748" s="467"/>
      <c r="D748" s="467"/>
      <c r="E748" s="467"/>
      <c r="F748" s="467"/>
      <c r="G748" s="468"/>
    </row>
    <row r="749" ht="14.25" customHeight="1" spans="3:7">
      <c r="C749" s="467"/>
      <c r="D749" s="467"/>
      <c r="E749" s="467"/>
      <c r="F749" s="467"/>
      <c r="G749" s="468"/>
    </row>
    <row r="750" ht="14.25" customHeight="1" spans="3:7">
      <c r="C750" s="467"/>
      <c r="D750" s="467"/>
      <c r="E750" s="467"/>
      <c r="F750" s="467"/>
      <c r="G750" s="468"/>
    </row>
    <row r="751" ht="14.25" customHeight="1" spans="3:7">
      <c r="C751" s="467"/>
      <c r="D751" s="467"/>
      <c r="E751" s="467"/>
      <c r="F751" s="467"/>
      <c r="G751" s="468"/>
    </row>
    <row r="752" ht="14.25" customHeight="1" spans="3:7">
      <c r="C752" s="467"/>
      <c r="D752" s="467"/>
      <c r="E752" s="467"/>
      <c r="F752" s="467"/>
      <c r="G752" s="468"/>
    </row>
    <row r="753" ht="14.25" customHeight="1" spans="3:7">
      <c r="C753" s="467"/>
      <c r="D753" s="467"/>
      <c r="E753" s="467"/>
      <c r="F753" s="467"/>
      <c r="G753" s="468"/>
    </row>
    <row r="754" ht="14.25" customHeight="1" spans="3:7">
      <c r="C754" s="467"/>
      <c r="D754" s="467"/>
      <c r="E754" s="467"/>
      <c r="F754" s="467"/>
      <c r="G754" s="468"/>
    </row>
    <row r="755" ht="14.25" customHeight="1" spans="3:7">
      <c r="C755" s="467"/>
      <c r="D755" s="467"/>
      <c r="E755" s="467"/>
      <c r="F755" s="467"/>
      <c r="G755" s="468"/>
    </row>
    <row r="756" ht="14.25" customHeight="1" spans="3:7">
      <c r="C756" s="467"/>
      <c r="D756" s="467"/>
      <c r="E756" s="467"/>
      <c r="F756" s="467"/>
      <c r="G756" s="468"/>
    </row>
    <row r="757" ht="14.25" customHeight="1" spans="3:7">
      <c r="C757" s="467"/>
      <c r="D757" s="467"/>
      <c r="E757" s="467"/>
      <c r="F757" s="467"/>
      <c r="G757" s="468"/>
    </row>
    <row r="758" ht="14.25" customHeight="1" spans="3:7">
      <c r="C758" s="467"/>
      <c r="D758" s="467"/>
      <c r="E758" s="467"/>
      <c r="F758" s="467"/>
      <c r="G758" s="468"/>
    </row>
    <row r="759" ht="14.25" customHeight="1" spans="3:7">
      <c r="C759" s="467"/>
      <c r="D759" s="467"/>
      <c r="E759" s="467"/>
      <c r="F759" s="467"/>
      <c r="G759" s="468"/>
    </row>
    <row r="760" ht="14.25" customHeight="1" spans="3:7">
      <c r="C760" s="467"/>
      <c r="D760" s="467"/>
      <c r="E760" s="467"/>
      <c r="F760" s="467"/>
      <c r="G760" s="468"/>
    </row>
    <row r="761" ht="14.25" customHeight="1" spans="3:7">
      <c r="C761" s="467"/>
      <c r="D761" s="467"/>
      <c r="E761" s="467"/>
      <c r="F761" s="467"/>
      <c r="G761" s="468"/>
    </row>
    <row r="762" ht="14.25" customHeight="1" spans="3:7">
      <c r="C762" s="467"/>
      <c r="D762" s="467"/>
      <c r="E762" s="467"/>
      <c r="F762" s="467"/>
      <c r="G762" s="468"/>
    </row>
    <row r="763" ht="14.25" customHeight="1" spans="3:7">
      <c r="C763" s="467"/>
      <c r="D763" s="467"/>
      <c r="E763" s="467"/>
      <c r="F763" s="467"/>
      <c r="G763" s="468"/>
    </row>
    <row r="764" ht="14.25" customHeight="1" spans="3:7">
      <c r="C764" s="467"/>
      <c r="D764" s="467"/>
      <c r="E764" s="467"/>
      <c r="F764" s="467"/>
      <c r="G764" s="468"/>
    </row>
    <row r="765" ht="14.25" customHeight="1" spans="3:7">
      <c r="C765" s="467"/>
      <c r="D765" s="467"/>
      <c r="E765" s="467"/>
      <c r="F765" s="467"/>
      <c r="G765" s="468"/>
    </row>
    <row r="766" ht="14.25" customHeight="1" spans="3:7">
      <c r="C766" s="467"/>
      <c r="D766" s="467"/>
      <c r="E766" s="467"/>
      <c r="F766" s="467"/>
      <c r="G766" s="468"/>
    </row>
    <row r="767" ht="14.25" customHeight="1" spans="3:7">
      <c r="C767" s="467"/>
      <c r="D767" s="467"/>
      <c r="E767" s="467"/>
      <c r="F767" s="467"/>
      <c r="G767" s="468"/>
    </row>
    <row r="768" ht="14.25" customHeight="1" spans="3:7">
      <c r="C768" s="467"/>
      <c r="D768" s="467"/>
      <c r="E768" s="467"/>
      <c r="F768" s="467"/>
      <c r="G768" s="468"/>
    </row>
    <row r="769" ht="14.25" customHeight="1" spans="3:7">
      <c r="C769" s="467"/>
      <c r="D769" s="467"/>
      <c r="E769" s="467"/>
      <c r="F769" s="467"/>
      <c r="G769" s="468"/>
    </row>
    <row r="770" ht="14.25" customHeight="1" spans="3:7">
      <c r="C770" s="467"/>
      <c r="D770" s="467"/>
      <c r="E770" s="467"/>
      <c r="F770" s="467"/>
      <c r="G770" s="468"/>
    </row>
    <row r="771" ht="14.25" customHeight="1" spans="3:7">
      <c r="C771" s="467"/>
      <c r="D771" s="467"/>
      <c r="E771" s="467"/>
      <c r="F771" s="467"/>
      <c r="G771" s="468"/>
    </row>
    <row r="772" ht="14.25" customHeight="1" spans="3:7">
      <c r="C772" s="467"/>
      <c r="D772" s="467"/>
      <c r="E772" s="467"/>
      <c r="F772" s="467"/>
      <c r="G772" s="468"/>
    </row>
    <row r="773" ht="14.25" customHeight="1" spans="3:7">
      <c r="C773" s="467"/>
      <c r="D773" s="467"/>
      <c r="E773" s="467"/>
      <c r="F773" s="467"/>
      <c r="G773" s="468"/>
    </row>
    <row r="774" ht="14.25" customHeight="1" spans="3:7">
      <c r="C774" s="467"/>
      <c r="D774" s="467"/>
      <c r="E774" s="467"/>
      <c r="F774" s="467"/>
      <c r="G774" s="468"/>
    </row>
    <row r="775" ht="14.25" customHeight="1" spans="3:7">
      <c r="C775" s="467"/>
      <c r="D775" s="467"/>
      <c r="E775" s="467"/>
      <c r="F775" s="467"/>
      <c r="G775" s="468"/>
    </row>
    <row r="776" ht="14.25" customHeight="1" spans="3:7">
      <c r="C776" s="467"/>
      <c r="D776" s="467"/>
      <c r="E776" s="467"/>
      <c r="F776" s="467"/>
      <c r="G776" s="468"/>
    </row>
    <row r="777" ht="14.25" customHeight="1" spans="3:7">
      <c r="C777" s="467"/>
      <c r="D777" s="467"/>
      <c r="E777" s="467"/>
      <c r="F777" s="467"/>
      <c r="G777" s="468"/>
    </row>
    <row r="778" ht="14.25" customHeight="1" spans="3:7">
      <c r="C778" s="467"/>
      <c r="D778" s="467"/>
      <c r="E778" s="467"/>
      <c r="F778" s="467"/>
      <c r="G778" s="468"/>
    </row>
    <row r="779" ht="14.25" customHeight="1" spans="3:7">
      <c r="C779" s="467"/>
      <c r="D779" s="467"/>
      <c r="E779" s="467"/>
      <c r="F779" s="467"/>
      <c r="G779" s="468"/>
    </row>
    <row r="780" ht="14.25" customHeight="1" spans="3:7">
      <c r="C780" s="467"/>
      <c r="D780" s="467"/>
      <c r="E780" s="467"/>
      <c r="F780" s="467"/>
      <c r="G780" s="468"/>
    </row>
    <row r="781" ht="14.25" customHeight="1" spans="3:7">
      <c r="C781" s="467"/>
      <c r="D781" s="467"/>
      <c r="E781" s="467"/>
      <c r="F781" s="467"/>
      <c r="G781" s="468"/>
    </row>
    <row r="782" ht="14.25" customHeight="1" spans="3:7">
      <c r="C782" s="467"/>
      <c r="D782" s="467"/>
      <c r="E782" s="467"/>
      <c r="F782" s="467"/>
      <c r="G782" s="468"/>
    </row>
    <row r="783" ht="14.25" customHeight="1" spans="3:7">
      <c r="C783" s="467"/>
      <c r="D783" s="467"/>
      <c r="E783" s="467"/>
      <c r="F783" s="467"/>
      <c r="G783" s="468"/>
    </row>
    <row r="784" ht="14.25" customHeight="1" spans="3:7">
      <c r="C784" s="467"/>
      <c r="D784" s="467"/>
      <c r="E784" s="467"/>
      <c r="F784" s="467"/>
      <c r="G784" s="468"/>
    </row>
    <row r="785" ht="14.25" customHeight="1" spans="3:7">
      <c r="C785" s="467"/>
      <c r="D785" s="467"/>
      <c r="E785" s="467"/>
      <c r="F785" s="467"/>
      <c r="G785" s="468"/>
    </row>
    <row r="786" ht="14.25" customHeight="1" spans="3:7">
      <c r="C786" s="467"/>
      <c r="D786" s="467"/>
      <c r="E786" s="467"/>
      <c r="F786" s="467"/>
      <c r="G786" s="468"/>
    </row>
    <row r="787" ht="14.25" customHeight="1" spans="3:7">
      <c r="C787" s="467"/>
      <c r="D787" s="467"/>
      <c r="E787" s="467"/>
      <c r="F787" s="467"/>
      <c r="G787" s="468"/>
    </row>
    <row r="788" ht="14.25" customHeight="1" spans="3:7">
      <c r="C788" s="467"/>
      <c r="D788" s="467"/>
      <c r="E788" s="467"/>
      <c r="F788" s="467"/>
      <c r="G788" s="468"/>
    </row>
    <row r="789" ht="14.25" customHeight="1" spans="3:7">
      <c r="C789" s="467"/>
      <c r="D789" s="467"/>
      <c r="E789" s="467"/>
      <c r="F789" s="467"/>
      <c r="G789" s="468"/>
    </row>
    <row r="790" ht="14.25" customHeight="1" spans="3:7">
      <c r="C790" s="467"/>
      <c r="D790" s="467"/>
      <c r="E790" s="467"/>
      <c r="F790" s="467"/>
      <c r="G790" s="468"/>
    </row>
    <row r="791" ht="14.25" customHeight="1" spans="3:7">
      <c r="C791" s="467"/>
      <c r="D791" s="467"/>
      <c r="E791" s="467"/>
      <c r="F791" s="467"/>
      <c r="G791" s="468"/>
    </row>
    <row r="792" ht="14.25" customHeight="1" spans="3:7">
      <c r="C792" s="467"/>
      <c r="D792" s="467"/>
      <c r="E792" s="467"/>
      <c r="F792" s="467"/>
      <c r="G792" s="468"/>
    </row>
    <row r="793" ht="14.25" customHeight="1" spans="3:7">
      <c r="C793" s="467"/>
      <c r="D793" s="467"/>
      <c r="E793" s="467"/>
      <c r="F793" s="467"/>
      <c r="G793" s="468"/>
    </row>
    <row r="794" ht="14.25" customHeight="1" spans="3:7">
      <c r="C794" s="467"/>
      <c r="D794" s="467"/>
      <c r="E794" s="467"/>
      <c r="F794" s="467"/>
      <c r="G794" s="468"/>
    </row>
    <row r="795" ht="14.25" customHeight="1" spans="3:7">
      <c r="C795" s="467"/>
      <c r="D795" s="467"/>
      <c r="E795" s="467"/>
      <c r="F795" s="467"/>
      <c r="G795" s="468"/>
    </row>
    <row r="796" ht="14.25" customHeight="1" spans="3:7">
      <c r="C796" s="467"/>
      <c r="D796" s="467"/>
      <c r="E796" s="467"/>
      <c r="F796" s="467"/>
      <c r="G796" s="468"/>
    </row>
    <row r="797" ht="14.25" customHeight="1" spans="3:7">
      <c r="C797" s="467"/>
      <c r="D797" s="467"/>
      <c r="E797" s="467"/>
      <c r="F797" s="467"/>
      <c r="G797" s="468"/>
    </row>
    <row r="798" ht="14.25" customHeight="1" spans="3:7">
      <c r="C798" s="467"/>
      <c r="D798" s="467"/>
      <c r="E798" s="467"/>
      <c r="F798" s="467"/>
      <c r="G798" s="468"/>
    </row>
    <row r="799" ht="14.25" customHeight="1" spans="3:7">
      <c r="C799" s="467"/>
      <c r="D799" s="467"/>
      <c r="E799" s="467"/>
      <c r="F799" s="467"/>
      <c r="G799" s="468"/>
    </row>
    <row r="800" ht="14.25" customHeight="1" spans="3:7">
      <c r="C800" s="467"/>
      <c r="D800" s="467"/>
      <c r="E800" s="467"/>
      <c r="F800" s="467"/>
      <c r="G800" s="468"/>
    </row>
    <row r="801" ht="14.25" customHeight="1" spans="3:7">
      <c r="C801" s="467"/>
      <c r="D801" s="467"/>
      <c r="E801" s="467"/>
      <c r="F801" s="467"/>
      <c r="G801" s="468"/>
    </row>
    <row r="802" ht="14.25" customHeight="1" spans="3:7">
      <c r="C802" s="467"/>
      <c r="D802" s="467"/>
      <c r="E802" s="467"/>
      <c r="F802" s="467"/>
      <c r="G802" s="468"/>
    </row>
    <row r="803" ht="14.25" customHeight="1" spans="3:7">
      <c r="C803" s="467"/>
      <c r="D803" s="467"/>
      <c r="E803" s="467"/>
      <c r="F803" s="467"/>
      <c r="G803" s="468"/>
    </row>
    <row r="804" ht="14.25" customHeight="1" spans="3:7">
      <c r="C804" s="467"/>
      <c r="D804" s="467"/>
      <c r="E804" s="467"/>
      <c r="F804" s="467"/>
      <c r="G804" s="468"/>
    </row>
    <row r="805" ht="14.25" customHeight="1" spans="3:7">
      <c r="C805" s="467"/>
      <c r="D805" s="467"/>
      <c r="E805" s="467"/>
      <c r="F805" s="467"/>
      <c r="G805" s="468"/>
    </row>
    <row r="806" ht="14.25" customHeight="1" spans="3:7">
      <c r="C806" s="467"/>
      <c r="D806" s="467"/>
      <c r="E806" s="467"/>
      <c r="F806" s="467"/>
      <c r="G806" s="468"/>
    </row>
    <row r="807" ht="14.25" customHeight="1" spans="3:7">
      <c r="C807" s="467"/>
      <c r="D807" s="467"/>
      <c r="E807" s="467"/>
      <c r="F807" s="467"/>
      <c r="G807" s="468"/>
    </row>
    <row r="808" ht="14.25" customHeight="1" spans="3:7">
      <c r="C808" s="467"/>
      <c r="D808" s="467"/>
      <c r="E808" s="467"/>
      <c r="F808" s="467"/>
      <c r="G808" s="468"/>
    </row>
    <row r="809" ht="14.25" customHeight="1" spans="3:7">
      <c r="C809" s="467"/>
      <c r="D809" s="467"/>
      <c r="E809" s="467"/>
      <c r="F809" s="467"/>
      <c r="G809" s="468"/>
    </row>
    <row r="810" ht="14.25" customHeight="1" spans="3:7">
      <c r="C810" s="467"/>
      <c r="D810" s="467"/>
      <c r="E810" s="467"/>
      <c r="F810" s="467"/>
      <c r="G810" s="468"/>
    </row>
    <row r="811" ht="14.25" customHeight="1" spans="3:7">
      <c r="C811" s="467"/>
      <c r="D811" s="467"/>
      <c r="E811" s="467"/>
      <c r="F811" s="467"/>
      <c r="G811" s="468"/>
    </row>
    <row r="812" ht="14.25" customHeight="1" spans="3:7">
      <c r="C812" s="467"/>
      <c r="D812" s="467"/>
      <c r="E812" s="467"/>
      <c r="F812" s="467"/>
      <c r="G812" s="468"/>
    </row>
    <row r="813" ht="14.25" customHeight="1" spans="3:7">
      <c r="C813" s="467"/>
      <c r="D813" s="467"/>
      <c r="E813" s="467"/>
      <c r="F813" s="467"/>
      <c r="G813" s="468"/>
    </row>
    <row r="814" ht="14.25" customHeight="1" spans="3:7">
      <c r="C814" s="467"/>
      <c r="D814" s="467"/>
      <c r="E814" s="467"/>
      <c r="F814" s="467"/>
      <c r="G814" s="468"/>
    </row>
    <row r="815" ht="14.25" customHeight="1" spans="3:7">
      <c r="C815" s="467"/>
      <c r="D815" s="467"/>
      <c r="E815" s="467"/>
      <c r="F815" s="467"/>
      <c r="G815" s="468"/>
    </row>
    <row r="816" ht="14.25" customHeight="1" spans="3:7">
      <c r="C816" s="467"/>
      <c r="D816" s="467"/>
      <c r="E816" s="467"/>
      <c r="F816" s="467"/>
      <c r="G816" s="468"/>
    </row>
    <row r="817" ht="14.25" customHeight="1" spans="3:7">
      <c r="C817" s="467"/>
      <c r="D817" s="467"/>
      <c r="E817" s="467"/>
      <c r="F817" s="467"/>
      <c r="G817" s="468"/>
    </row>
    <row r="818" ht="14.25" customHeight="1" spans="3:7">
      <c r="C818" s="467"/>
      <c r="D818" s="467"/>
      <c r="E818" s="467"/>
      <c r="F818" s="467"/>
      <c r="G818" s="468"/>
    </row>
    <row r="819" ht="14.25" customHeight="1" spans="3:7">
      <c r="C819" s="467"/>
      <c r="D819" s="467"/>
      <c r="E819" s="467"/>
      <c r="F819" s="467"/>
      <c r="G819" s="468"/>
    </row>
    <row r="820" ht="14.25" customHeight="1" spans="3:7">
      <c r="C820" s="467"/>
      <c r="D820" s="467"/>
      <c r="E820" s="467"/>
      <c r="F820" s="467"/>
      <c r="G820" s="468"/>
    </row>
    <row r="821" ht="14.25" customHeight="1" spans="3:7">
      <c r="C821" s="467"/>
      <c r="D821" s="467"/>
      <c r="E821" s="467"/>
      <c r="F821" s="467"/>
      <c r="G821" s="468"/>
    </row>
    <row r="822" ht="14.25" customHeight="1" spans="3:7">
      <c r="C822" s="467"/>
      <c r="D822" s="467"/>
      <c r="E822" s="467"/>
      <c r="F822" s="467"/>
      <c r="G822" s="468"/>
    </row>
    <row r="823" ht="14.25" customHeight="1" spans="3:7">
      <c r="C823" s="467"/>
      <c r="D823" s="467"/>
      <c r="E823" s="467"/>
      <c r="F823" s="467"/>
      <c r="G823" s="468"/>
    </row>
    <row r="824" ht="14.25" customHeight="1" spans="3:7">
      <c r="C824" s="467"/>
      <c r="D824" s="467"/>
      <c r="E824" s="467"/>
      <c r="F824" s="467"/>
      <c r="G824" s="468"/>
    </row>
    <row r="825" ht="14.25" customHeight="1" spans="3:7">
      <c r="C825" s="467"/>
      <c r="D825" s="467"/>
      <c r="E825" s="467"/>
      <c r="F825" s="467"/>
      <c r="G825" s="468"/>
    </row>
    <row r="826" ht="14.25" customHeight="1" spans="3:7">
      <c r="C826" s="467"/>
      <c r="D826" s="467"/>
      <c r="E826" s="467"/>
      <c r="F826" s="467"/>
      <c r="G826" s="468"/>
    </row>
    <row r="827" ht="14.25" customHeight="1" spans="3:7">
      <c r="C827" s="467"/>
      <c r="D827" s="467"/>
      <c r="E827" s="467"/>
      <c r="F827" s="467"/>
      <c r="G827" s="468"/>
    </row>
    <row r="828" ht="14.25" customHeight="1" spans="3:7">
      <c r="C828" s="467"/>
      <c r="D828" s="467"/>
      <c r="E828" s="467"/>
      <c r="F828" s="467"/>
      <c r="G828" s="468"/>
    </row>
    <row r="829" ht="14.25" customHeight="1" spans="3:7">
      <c r="C829" s="467"/>
      <c r="D829" s="467"/>
      <c r="E829" s="467"/>
      <c r="F829" s="467"/>
      <c r="G829" s="468"/>
    </row>
    <row r="830" ht="14.25" customHeight="1" spans="3:7">
      <c r="C830" s="467"/>
      <c r="D830" s="467"/>
      <c r="E830" s="467"/>
      <c r="F830" s="467"/>
      <c r="G830" s="468"/>
    </row>
    <row r="831" ht="14.25" customHeight="1" spans="3:7">
      <c r="C831" s="467"/>
      <c r="D831" s="467"/>
      <c r="E831" s="467"/>
      <c r="F831" s="467"/>
      <c r="G831" s="468"/>
    </row>
    <row r="832" ht="14.25" customHeight="1" spans="3:7">
      <c r="C832" s="467"/>
      <c r="D832" s="467"/>
      <c r="E832" s="467"/>
      <c r="F832" s="467"/>
      <c r="G832" s="468"/>
    </row>
    <row r="833" ht="14.25" customHeight="1" spans="3:7">
      <c r="C833" s="467"/>
      <c r="D833" s="467"/>
      <c r="E833" s="467"/>
      <c r="F833" s="467"/>
      <c r="G833" s="468"/>
    </row>
    <row r="834" ht="14.25" customHeight="1" spans="3:7">
      <c r="C834" s="467"/>
      <c r="D834" s="467"/>
      <c r="E834" s="467"/>
      <c r="F834" s="467"/>
      <c r="G834" s="468"/>
    </row>
    <row r="835" ht="14.25" customHeight="1" spans="3:7">
      <c r="C835" s="467"/>
      <c r="D835" s="467"/>
      <c r="E835" s="467"/>
      <c r="F835" s="467"/>
      <c r="G835" s="468"/>
    </row>
    <row r="836" ht="14.25" customHeight="1" spans="3:7">
      <c r="C836" s="467"/>
      <c r="D836" s="467"/>
      <c r="E836" s="467"/>
      <c r="F836" s="467"/>
      <c r="G836" s="468"/>
    </row>
    <row r="837" ht="14.25" customHeight="1" spans="3:7">
      <c r="C837" s="467"/>
      <c r="D837" s="467"/>
      <c r="E837" s="467"/>
      <c r="F837" s="467"/>
      <c r="G837" s="468"/>
    </row>
    <row r="838" ht="14.25" customHeight="1" spans="3:7">
      <c r="C838" s="467"/>
      <c r="D838" s="467"/>
      <c r="E838" s="467"/>
      <c r="F838" s="467"/>
      <c r="G838" s="468"/>
    </row>
    <row r="839" ht="14.25" customHeight="1" spans="3:7">
      <c r="C839" s="467"/>
      <c r="D839" s="467"/>
      <c r="E839" s="467"/>
      <c r="F839" s="467"/>
      <c r="G839" s="468"/>
    </row>
    <row r="840" ht="14.25" customHeight="1" spans="3:7">
      <c r="C840" s="467"/>
      <c r="D840" s="467"/>
      <c r="E840" s="467"/>
      <c r="F840" s="467"/>
      <c r="G840" s="468"/>
    </row>
    <row r="841" ht="14.25" customHeight="1" spans="3:7">
      <c r="C841" s="467"/>
      <c r="D841" s="467"/>
      <c r="E841" s="467"/>
      <c r="F841" s="467"/>
      <c r="G841" s="468"/>
    </row>
    <row r="842" ht="14.25" customHeight="1" spans="3:7">
      <c r="C842" s="467"/>
      <c r="D842" s="467"/>
      <c r="E842" s="467"/>
      <c r="F842" s="467"/>
      <c r="G842" s="468"/>
    </row>
    <row r="843" ht="14.25" customHeight="1" spans="3:7">
      <c r="C843" s="467"/>
      <c r="D843" s="467"/>
      <c r="E843" s="467"/>
      <c r="F843" s="467"/>
      <c r="G843" s="468"/>
    </row>
    <row r="844" ht="14.25" customHeight="1" spans="3:7">
      <c r="C844" s="467"/>
      <c r="D844" s="467"/>
      <c r="E844" s="467"/>
      <c r="F844" s="467"/>
      <c r="G844" s="468"/>
    </row>
    <row r="845" ht="14.25" customHeight="1" spans="3:7">
      <c r="C845" s="467"/>
      <c r="D845" s="467"/>
      <c r="E845" s="467"/>
      <c r="F845" s="467"/>
      <c r="G845" s="468"/>
    </row>
    <row r="846" ht="14.25" customHeight="1" spans="3:7">
      <c r="C846" s="467"/>
      <c r="D846" s="467"/>
      <c r="E846" s="467"/>
      <c r="F846" s="467"/>
      <c r="G846" s="468"/>
    </row>
    <row r="847" ht="14.25" customHeight="1" spans="3:7">
      <c r="C847" s="467"/>
      <c r="D847" s="467"/>
      <c r="E847" s="467"/>
      <c r="F847" s="467"/>
      <c r="G847" s="468"/>
    </row>
    <row r="848" ht="14.25" customHeight="1" spans="3:7">
      <c r="C848" s="467"/>
      <c r="D848" s="467"/>
      <c r="E848" s="467"/>
      <c r="F848" s="467"/>
      <c r="G848" s="468"/>
    </row>
    <row r="849" ht="14.25" customHeight="1" spans="3:7">
      <c r="C849" s="467"/>
      <c r="D849" s="467"/>
      <c r="E849" s="467"/>
      <c r="F849" s="467"/>
      <c r="G849" s="468"/>
    </row>
    <row r="850" ht="14.25" customHeight="1" spans="3:7">
      <c r="C850" s="467"/>
      <c r="D850" s="467"/>
      <c r="E850" s="467"/>
      <c r="F850" s="467"/>
      <c r="G850" s="468"/>
    </row>
    <row r="851" ht="14.25" customHeight="1" spans="3:7">
      <c r="C851" s="467"/>
      <c r="D851" s="467"/>
      <c r="E851" s="467"/>
      <c r="F851" s="467"/>
      <c r="G851" s="468"/>
    </row>
    <row r="852" ht="14.25" customHeight="1" spans="3:7">
      <c r="C852" s="467"/>
      <c r="D852" s="467"/>
      <c r="E852" s="467"/>
      <c r="F852" s="467"/>
      <c r="G852" s="468"/>
    </row>
    <row r="853" ht="14.25" customHeight="1" spans="3:7">
      <c r="C853" s="467"/>
      <c r="D853" s="467"/>
      <c r="E853" s="467"/>
      <c r="F853" s="467"/>
      <c r="G853" s="468"/>
    </row>
    <row r="854" ht="14.25" customHeight="1" spans="3:7">
      <c r="C854" s="467"/>
      <c r="D854" s="467"/>
      <c r="E854" s="467"/>
      <c r="F854" s="467"/>
      <c r="G854" s="468"/>
    </row>
    <row r="855" ht="14.25" customHeight="1" spans="3:7">
      <c r="C855" s="467"/>
      <c r="D855" s="467"/>
      <c r="E855" s="467"/>
      <c r="F855" s="467"/>
      <c r="G855" s="468"/>
    </row>
    <row r="856" ht="14.25" customHeight="1" spans="3:7">
      <c r="C856" s="467"/>
      <c r="D856" s="467"/>
      <c r="E856" s="467"/>
      <c r="F856" s="467"/>
      <c r="G856" s="468"/>
    </row>
    <row r="857" ht="14.25" customHeight="1" spans="3:7">
      <c r="C857" s="467"/>
      <c r="D857" s="467"/>
      <c r="E857" s="467"/>
      <c r="F857" s="467"/>
      <c r="G857" s="468"/>
    </row>
    <row r="858" ht="14.25" customHeight="1" spans="3:7">
      <c r="C858" s="467"/>
      <c r="D858" s="467"/>
      <c r="E858" s="467"/>
      <c r="F858" s="467"/>
      <c r="G858" s="468"/>
    </row>
    <row r="859" ht="14.25" customHeight="1" spans="3:7">
      <c r="C859" s="467"/>
      <c r="D859" s="467"/>
      <c r="E859" s="467"/>
      <c r="F859" s="467"/>
      <c r="G859" s="468"/>
    </row>
    <row r="860" ht="14.25" customHeight="1" spans="3:7">
      <c r="C860" s="467"/>
      <c r="D860" s="467"/>
      <c r="E860" s="467"/>
      <c r="F860" s="467"/>
      <c r="G860" s="468"/>
    </row>
    <row r="861" ht="14.25" customHeight="1" spans="3:7">
      <c r="C861" s="467"/>
      <c r="D861" s="467"/>
      <c r="E861" s="467"/>
      <c r="F861" s="467"/>
      <c r="G861" s="468"/>
    </row>
    <row r="862" ht="14.25" customHeight="1" spans="3:7">
      <c r="C862" s="467"/>
      <c r="D862" s="467"/>
      <c r="E862" s="467"/>
      <c r="F862" s="467"/>
      <c r="G862" s="468"/>
    </row>
    <row r="863" ht="14.25" customHeight="1" spans="3:7">
      <c r="C863" s="467"/>
      <c r="D863" s="467"/>
      <c r="E863" s="467"/>
      <c r="F863" s="467"/>
      <c r="G863" s="468"/>
    </row>
    <row r="864" ht="14.25" customHeight="1" spans="3:7">
      <c r="C864" s="467"/>
      <c r="D864" s="467"/>
      <c r="E864" s="467"/>
      <c r="F864" s="467"/>
      <c r="G864" s="468"/>
    </row>
    <row r="865" ht="14.25" customHeight="1" spans="3:7">
      <c r="C865" s="467"/>
      <c r="D865" s="467"/>
      <c r="E865" s="467"/>
      <c r="F865" s="467"/>
      <c r="G865" s="468"/>
    </row>
    <row r="866" ht="14.25" customHeight="1" spans="3:7">
      <c r="C866" s="467"/>
      <c r="D866" s="467"/>
      <c r="E866" s="467"/>
      <c r="F866" s="467"/>
      <c r="G866" s="468"/>
    </row>
    <row r="867" ht="14.25" customHeight="1" spans="3:7">
      <c r="C867" s="467"/>
      <c r="D867" s="467"/>
      <c r="E867" s="467"/>
      <c r="F867" s="467"/>
      <c r="G867" s="468"/>
    </row>
    <row r="868" ht="14.25" customHeight="1" spans="3:7">
      <c r="C868" s="467"/>
      <c r="D868" s="467"/>
      <c r="E868" s="467"/>
      <c r="F868" s="467"/>
      <c r="G868" s="468"/>
    </row>
    <row r="869" ht="14.25" customHeight="1" spans="3:7">
      <c r="C869" s="467"/>
      <c r="D869" s="467"/>
      <c r="E869" s="467"/>
      <c r="F869" s="467"/>
      <c r="G869" s="468"/>
    </row>
    <row r="870" ht="14.25" customHeight="1" spans="3:7">
      <c r="C870" s="467"/>
      <c r="D870" s="467"/>
      <c r="E870" s="467"/>
      <c r="F870" s="467"/>
      <c r="G870" s="468"/>
    </row>
    <row r="871" ht="14.25" customHeight="1" spans="3:7">
      <c r="C871" s="467"/>
      <c r="D871" s="467"/>
      <c r="E871" s="467"/>
      <c r="F871" s="467"/>
      <c r="G871" s="468"/>
    </row>
    <row r="872" ht="14.25" customHeight="1" spans="3:7">
      <c r="C872" s="467"/>
      <c r="D872" s="467"/>
      <c r="E872" s="467"/>
      <c r="F872" s="467"/>
      <c r="G872" s="468"/>
    </row>
    <row r="873" ht="14.25" customHeight="1" spans="3:7">
      <c r="C873" s="467"/>
      <c r="D873" s="467"/>
      <c r="E873" s="467"/>
      <c r="F873" s="467"/>
      <c r="G873" s="468"/>
    </row>
    <row r="874" ht="14.25" customHeight="1" spans="3:7">
      <c r="C874" s="467"/>
      <c r="D874" s="467"/>
      <c r="E874" s="467"/>
      <c r="F874" s="467"/>
      <c r="G874" s="468"/>
    </row>
    <row r="875" ht="14.25" customHeight="1" spans="3:7">
      <c r="C875" s="467"/>
      <c r="D875" s="467"/>
      <c r="E875" s="467"/>
      <c r="F875" s="467"/>
      <c r="G875" s="468"/>
    </row>
    <row r="876" ht="14.25" customHeight="1" spans="3:7">
      <c r="C876" s="467"/>
      <c r="D876" s="467"/>
      <c r="E876" s="467"/>
      <c r="F876" s="467"/>
      <c r="G876" s="468"/>
    </row>
    <row r="877" ht="14.25" customHeight="1" spans="3:7">
      <c r="C877" s="467"/>
      <c r="D877" s="467"/>
      <c r="E877" s="467"/>
      <c r="F877" s="467"/>
      <c r="G877" s="468"/>
    </row>
    <row r="878" ht="14.25" customHeight="1" spans="3:7">
      <c r="C878" s="467"/>
      <c r="D878" s="467"/>
      <c r="E878" s="467"/>
      <c r="F878" s="467"/>
      <c r="G878" s="468"/>
    </row>
    <row r="879" ht="14.25" customHeight="1" spans="3:7">
      <c r="C879" s="467"/>
      <c r="D879" s="467"/>
      <c r="E879" s="467"/>
      <c r="F879" s="467"/>
      <c r="G879" s="468"/>
    </row>
    <row r="880" ht="14.25" customHeight="1" spans="3:7">
      <c r="C880" s="467"/>
      <c r="D880" s="467"/>
      <c r="E880" s="467"/>
      <c r="F880" s="467"/>
      <c r="G880" s="468"/>
    </row>
    <row r="881" ht="14.25" customHeight="1" spans="3:7">
      <c r="C881" s="467"/>
      <c r="D881" s="467"/>
      <c r="E881" s="467"/>
      <c r="F881" s="467"/>
      <c r="G881" s="468"/>
    </row>
    <row r="882" ht="14.25" customHeight="1" spans="3:7">
      <c r="C882" s="467"/>
      <c r="D882" s="467"/>
      <c r="E882" s="467"/>
      <c r="F882" s="467"/>
      <c r="G882" s="468"/>
    </row>
    <row r="883" ht="14.25" customHeight="1" spans="3:7">
      <c r="C883" s="467"/>
      <c r="D883" s="467"/>
      <c r="E883" s="467"/>
      <c r="F883" s="467"/>
      <c r="G883" s="468"/>
    </row>
    <row r="884" ht="14.25" customHeight="1" spans="3:7">
      <c r="C884" s="467"/>
      <c r="D884" s="467"/>
      <c r="E884" s="467"/>
      <c r="F884" s="467"/>
      <c r="G884" s="468"/>
    </row>
    <row r="885" ht="14.25" customHeight="1" spans="3:7">
      <c r="C885" s="467"/>
      <c r="D885" s="467"/>
      <c r="E885" s="467"/>
      <c r="F885" s="467"/>
      <c r="G885" s="468"/>
    </row>
    <row r="886" ht="14.25" customHeight="1" spans="3:7">
      <c r="C886" s="467"/>
      <c r="D886" s="467"/>
      <c r="E886" s="467"/>
      <c r="F886" s="467"/>
      <c r="G886" s="468"/>
    </row>
    <row r="887" ht="14.25" customHeight="1" spans="3:7">
      <c r="C887" s="467"/>
      <c r="D887" s="467"/>
      <c r="E887" s="467"/>
      <c r="F887" s="467"/>
      <c r="G887" s="468"/>
    </row>
    <row r="888" ht="14.25" customHeight="1" spans="3:7">
      <c r="C888" s="467"/>
      <c r="D888" s="467"/>
      <c r="E888" s="467"/>
      <c r="F888" s="467"/>
      <c r="G888" s="468"/>
    </row>
    <row r="889" ht="14.25" customHeight="1" spans="3:7">
      <c r="C889" s="467"/>
      <c r="D889" s="467"/>
      <c r="E889" s="467"/>
      <c r="F889" s="467"/>
      <c r="G889" s="468"/>
    </row>
    <row r="890" ht="14.25" customHeight="1" spans="3:7">
      <c r="C890" s="467"/>
      <c r="D890" s="467"/>
      <c r="E890" s="467"/>
      <c r="F890" s="467"/>
      <c r="G890" s="468"/>
    </row>
    <row r="891" ht="14.25" customHeight="1" spans="3:7">
      <c r="C891" s="467"/>
      <c r="D891" s="467"/>
      <c r="E891" s="467"/>
      <c r="F891" s="467"/>
      <c r="G891" s="468"/>
    </row>
    <row r="892" ht="14.25" customHeight="1" spans="3:7">
      <c r="C892" s="467"/>
      <c r="D892" s="467"/>
      <c r="E892" s="467"/>
      <c r="F892" s="467"/>
      <c r="G892" s="468"/>
    </row>
    <row r="893" ht="14.25" customHeight="1" spans="3:7">
      <c r="C893" s="467"/>
      <c r="D893" s="467"/>
      <c r="E893" s="467"/>
      <c r="F893" s="467"/>
      <c r="G893" s="468"/>
    </row>
    <row r="894" ht="14.25" customHeight="1" spans="3:7">
      <c r="C894" s="467"/>
      <c r="D894" s="467"/>
      <c r="E894" s="467"/>
      <c r="F894" s="467"/>
      <c r="G894" s="468"/>
    </row>
    <row r="895" ht="14.25" customHeight="1" spans="3:7">
      <c r="C895" s="467"/>
      <c r="D895" s="467"/>
      <c r="E895" s="467"/>
      <c r="F895" s="467"/>
      <c r="G895" s="468"/>
    </row>
    <row r="896" ht="14.25" customHeight="1" spans="3:7">
      <c r="C896" s="467"/>
      <c r="D896" s="467"/>
      <c r="E896" s="467"/>
      <c r="F896" s="467"/>
      <c r="G896" s="468"/>
    </row>
    <row r="897" ht="14.25" customHeight="1" spans="3:7">
      <c r="C897" s="467"/>
      <c r="D897" s="467"/>
      <c r="E897" s="467"/>
      <c r="F897" s="467"/>
      <c r="G897" s="468"/>
    </row>
    <row r="898" ht="14.25" customHeight="1" spans="3:7">
      <c r="C898" s="467"/>
      <c r="D898" s="467"/>
      <c r="E898" s="467"/>
      <c r="F898" s="467"/>
      <c r="G898" s="468"/>
    </row>
    <row r="899" ht="14.25" customHeight="1" spans="3:7">
      <c r="C899" s="467"/>
      <c r="D899" s="467"/>
      <c r="E899" s="467"/>
      <c r="F899" s="467"/>
      <c r="G899" s="468"/>
    </row>
    <row r="900" ht="14.25" customHeight="1" spans="3:7">
      <c r="C900" s="467"/>
      <c r="D900" s="467"/>
      <c r="E900" s="467"/>
      <c r="F900" s="467"/>
      <c r="G900" s="468"/>
    </row>
    <row r="901" ht="14.25" customHeight="1" spans="3:7">
      <c r="C901" s="467"/>
      <c r="D901" s="467"/>
      <c r="E901" s="467"/>
      <c r="F901" s="467"/>
      <c r="G901" s="468"/>
    </row>
    <row r="902" ht="14.25" customHeight="1" spans="3:7">
      <c r="C902" s="467"/>
      <c r="D902" s="467"/>
      <c r="E902" s="467"/>
      <c r="F902" s="467"/>
      <c r="G902" s="468"/>
    </row>
    <row r="903" ht="14.25" customHeight="1" spans="3:7">
      <c r="C903" s="467"/>
      <c r="D903" s="467"/>
      <c r="E903" s="467"/>
      <c r="F903" s="467"/>
      <c r="G903" s="468"/>
    </row>
    <row r="904" ht="14.25" customHeight="1" spans="3:7">
      <c r="C904" s="467"/>
      <c r="D904" s="467"/>
      <c r="E904" s="467"/>
      <c r="F904" s="467"/>
      <c r="G904" s="468"/>
    </row>
    <row r="905" ht="14.25" customHeight="1" spans="3:7">
      <c r="C905" s="467"/>
      <c r="D905" s="467"/>
      <c r="E905" s="467"/>
      <c r="F905" s="467"/>
      <c r="G905" s="468"/>
    </row>
    <row r="906" ht="14.25" customHeight="1" spans="3:7">
      <c r="C906" s="467"/>
      <c r="D906" s="467"/>
      <c r="E906" s="467"/>
      <c r="F906" s="467"/>
      <c r="G906" s="468"/>
    </row>
    <row r="907" ht="14.25" customHeight="1" spans="3:7">
      <c r="C907" s="467"/>
      <c r="D907" s="467"/>
      <c r="E907" s="467"/>
      <c r="F907" s="467"/>
      <c r="G907" s="468"/>
    </row>
    <row r="908" ht="14.25" customHeight="1" spans="3:7">
      <c r="C908" s="467"/>
      <c r="D908" s="467"/>
      <c r="E908" s="467"/>
      <c r="F908" s="467"/>
      <c r="G908" s="468"/>
    </row>
    <row r="909" ht="14.25" customHeight="1" spans="3:7">
      <c r="C909" s="467"/>
      <c r="D909" s="467"/>
      <c r="E909" s="467"/>
      <c r="F909" s="467"/>
      <c r="G909" s="468"/>
    </row>
    <row r="910" ht="14.25" customHeight="1" spans="3:7">
      <c r="C910" s="467"/>
      <c r="D910" s="467"/>
      <c r="E910" s="467"/>
      <c r="F910" s="467"/>
      <c r="G910" s="468"/>
    </row>
    <row r="911" ht="14.25" customHeight="1" spans="3:7">
      <c r="C911" s="467"/>
      <c r="D911" s="467"/>
      <c r="E911" s="467"/>
      <c r="F911" s="467"/>
      <c r="G911" s="468"/>
    </row>
    <row r="912" ht="14.25" customHeight="1" spans="3:7">
      <c r="C912" s="467"/>
      <c r="D912" s="467"/>
      <c r="E912" s="467"/>
      <c r="F912" s="467"/>
      <c r="G912" s="468"/>
    </row>
    <row r="913" ht="14.25" customHeight="1" spans="3:7">
      <c r="C913" s="467"/>
      <c r="D913" s="467"/>
      <c r="E913" s="467"/>
      <c r="F913" s="467"/>
      <c r="G913" s="468"/>
    </row>
    <row r="914" ht="14.25" customHeight="1" spans="3:7">
      <c r="C914" s="467"/>
      <c r="D914" s="467"/>
      <c r="E914" s="467"/>
      <c r="F914" s="467"/>
      <c r="G914" s="468"/>
    </row>
    <row r="915" ht="14.25" customHeight="1" spans="3:7">
      <c r="C915" s="467"/>
      <c r="D915" s="467"/>
      <c r="E915" s="467"/>
      <c r="F915" s="467"/>
      <c r="G915" s="468"/>
    </row>
    <row r="916" ht="14.25" customHeight="1" spans="3:7">
      <c r="C916" s="467"/>
      <c r="D916" s="467"/>
      <c r="E916" s="467"/>
      <c r="F916" s="467"/>
      <c r="G916" s="468"/>
    </row>
    <row r="917" ht="14.25" customHeight="1" spans="3:7">
      <c r="C917" s="467"/>
      <c r="D917" s="467"/>
      <c r="E917" s="467"/>
      <c r="F917" s="467"/>
      <c r="G917" s="468"/>
    </row>
    <row r="918" ht="14.25" customHeight="1" spans="3:7">
      <c r="C918" s="467"/>
      <c r="D918" s="467"/>
      <c r="E918" s="467"/>
      <c r="F918" s="467"/>
      <c r="G918" s="468"/>
    </row>
    <row r="919" ht="14.25" customHeight="1" spans="3:7">
      <c r="C919" s="467"/>
      <c r="D919" s="467"/>
      <c r="E919" s="467"/>
      <c r="F919" s="467"/>
      <c r="G919" s="468"/>
    </row>
    <row r="920" ht="14.25" customHeight="1" spans="3:7">
      <c r="C920" s="467"/>
      <c r="D920" s="467"/>
      <c r="E920" s="467"/>
      <c r="F920" s="467"/>
      <c r="G920" s="468"/>
    </row>
    <row r="921" ht="14.25" customHeight="1" spans="3:7">
      <c r="C921" s="467"/>
      <c r="D921" s="467"/>
      <c r="E921" s="467"/>
      <c r="F921" s="467"/>
      <c r="G921" s="468"/>
    </row>
    <row r="922" ht="14.25" customHeight="1" spans="3:7">
      <c r="C922" s="467"/>
      <c r="D922" s="467"/>
      <c r="E922" s="467"/>
      <c r="F922" s="467"/>
      <c r="G922" s="468"/>
    </row>
    <row r="923" ht="14.25" customHeight="1" spans="3:7">
      <c r="C923" s="467"/>
      <c r="D923" s="467"/>
      <c r="E923" s="467"/>
      <c r="F923" s="467"/>
      <c r="G923" s="468"/>
    </row>
    <row r="924" ht="14.25" customHeight="1" spans="3:7">
      <c r="C924" s="467"/>
      <c r="D924" s="467"/>
      <c r="E924" s="467"/>
      <c r="F924" s="467"/>
      <c r="G924" s="468"/>
    </row>
    <row r="925" ht="14.25" customHeight="1" spans="3:7">
      <c r="C925" s="467"/>
      <c r="D925" s="467"/>
      <c r="E925" s="467"/>
      <c r="F925" s="467"/>
      <c r="G925" s="468"/>
    </row>
    <row r="926" ht="14.25" customHeight="1" spans="3:7">
      <c r="C926" s="467"/>
      <c r="D926" s="467"/>
      <c r="E926" s="467"/>
      <c r="F926" s="467"/>
      <c r="G926" s="468"/>
    </row>
    <row r="927" ht="14.25" customHeight="1" spans="3:7">
      <c r="C927" s="467"/>
      <c r="D927" s="467"/>
      <c r="E927" s="467"/>
      <c r="F927" s="467"/>
      <c r="G927" s="468"/>
    </row>
    <row r="928" ht="14.25" customHeight="1" spans="3:7">
      <c r="C928" s="467"/>
      <c r="D928" s="467"/>
      <c r="E928" s="467"/>
      <c r="F928" s="467"/>
      <c r="G928" s="468"/>
    </row>
    <row r="929" ht="14.25" customHeight="1" spans="3:7">
      <c r="C929" s="467"/>
      <c r="D929" s="467"/>
      <c r="E929" s="467"/>
      <c r="F929" s="467"/>
      <c r="G929" s="468"/>
    </row>
    <row r="930" ht="14.25" customHeight="1" spans="3:7">
      <c r="C930" s="467"/>
      <c r="D930" s="467"/>
      <c r="E930" s="467"/>
      <c r="F930" s="467"/>
      <c r="G930" s="468"/>
    </row>
    <row r="931" ht="14.25" customHeight="1" spans="3:7">
      <c r="C931" s="467"/>
      <c r="D931" s="467"/>
      <c r="E931" s="467"/>
      <c r="F931" s="467"/>
      <c r="G931" s="468"/>
    </row>
    <row r="932" ht="14.25" customHeight="1" spans="3:7">
      <c r="C932" s="467"/>
      <c r="D932" s="467"/>
      <c r="E932" s="467"/>
      <c r="F932" s="467"/>
      <c r="G932" s="468"/>
    </row>
    <row r="933" ht="14.25" customHeight="1" spans="3:7">
      <c r="C933" s="467"/>
      <c r="D933" s="467"/>
      <c r="E933" s="467"/>
      <c r="F933" s="467"/>
      <c r="G933" s="468"/>
    </row>
    <row r="934" ht="14.25" customHeight="1" spans="3:7">
      <c r="C934" s="467"/>
      <c r="D934" s="467"/>
      <c r="E934" s="467"/>
      <c r="F934" s="467"/>
      <c r="G934" s="468"/>
    </row>
    <row r="935" ht="14.25" customHeight="1" spans="3:7">
      <c r="C935" s="467"/>
      <c r="D935" s="467"/>
      <c r="E935" s="467"/>
      <c r="F935" s="467"/>
      <c r="G935" s="468"/>
    </row>
    <row r="936" ht="14.25" customHeight="1" spans="3:7">
      <c r="C936" s="467"/>
      <c r="D936" s="467"/>
      <c r="E936" s="467"/>
      <c r="F936" s="467"/>
      <c r="G936" s="468"/>
    </row>
    <row r="937" ht="14.25" customHeight="1" spans="3:7">
      <c r="C937" s="467"/>
      <c r="D937" s="467"/>
      <c r="E937" s="467"/>
      <c r="F937" s="467"/>
      <c r="G937" s="468"/>
    </row>
    <row r="938" ht="14.25" customHeight="1" spans="3:7">
      <c r="C938" s="467"/>
      <c r="D938" s="467"/>
      <c r="E938" s="467"/>
      <c r="F938" s="467"/>
      <c r="G938" s="468"/>
    </row>
    <row r="939" ht="14.25" customHeight="1" spans="3:7">
      <c r="C939" s="467"/>
      <c r="D939" s="467"/>
      <c r="E939" s="467"/>
      <c r="F939" s="467"/>
      <c r="G939" s="468"/>
    </row>
    <row r="940" ht="14.25" customHeight="1" spans="3:7">
      <c r="C940" s="467"/>
      <c r="D940" s="467"/>
      <c r="E940" s="467"/>
      <c r="F940" s="467"/>
      <c r="G940" s="468"/>
    </row>
    <row r="941" ht="14.25" customHeight="1" spans="3:7">
      <c r="C941" s="467"/>
      <c r="D941" s="467"/>
      <c r="E941" s="467"/>
      <c r="F941" s="467"/>
      <c r="G941" s="468"/>
    </row>
    <row r="942" ht="14.25" customHeight="1" spans="3:7">
      <c r="C942" s="467"/>
      <c r="D942" s="467"/>
      <c r="E942" s="467"/>
      <c r="F942" s="467"/>
      <c r="G942" s="468"/>
    </row>
    <row r="943" ht="14.25" customHeight="1" spans="3:7">
      <c r="C943" s="467"/>
      <c r="D943" s="467"/>
      <c r="E943" s="467"/>
      <c r="F943" s="467"/>
      <c r="G943" s="468"/>
    </row>
    <row r="944" ht="14.25" customHeight="1" spans="3:7">
      <c r="C944" s="467"/>
      <c r="D944" s="467"/>
      <c r="E944" s="467"/>
      <c r="F944" s="467"/>
      <c r="G944" s="468"/>
    </row>
    <row r="945" ht="14.25" customHeight="1" spans="3:7">
      <c r="C945" s="467"/>
      <c r="D945" s="467"/>
      <c r="E945" s="467"/>
      <c r="F945" s="467"/>
      <c r="G945" s="468"/>
    </row>
    <row r="946" ht="14.25" customHeight="1" spans="3:7">
      <c r="C946" s="467"/>
      <c r="D946" s="467"/>
      <c r="E946" s="467"/>
      <c r="F946" s="467"/>
      <c r="G946" s="468"/>
    </row>
    <row r="947" ht="14.25" customHeight="1" spans="3:7">
      <c r="C947" s="467"/>
      <c r="D947" s="467"/>
      <c r="E947" s="467"/>
      <c r="F947" s="467"/>
      <c r="G947" s="468"/>
    </row>
    <row r="948" ht="14.25" customHeight="1" spans="3:7">
      <c r="C948" s="467"/>
      <c r="D948" s="467"/>
      <c r="E948" s="467"/>
      <c r="F948" s="467"/>
      <c r="G948" s="468"/>
    </row>
    <row r="949" ht="14.25" customHeight="1" spans="3:7">
      <c r="C949" s="467"/>
      <c r="D949" s="467"/>
      <c r="E949" s="467"/>
      <c r="F949" s="467"/>
      <c r="G949" s="468"/>
    </row>
    <row r="950" ht="14.25" customHeight="1" spans="3:7">
      <c r="C950" s="467"/>
      <c r="D950" s="467"/>
      <c r="E950" s="467"/>
      <c r="F950" s="467"/>
      <c r="G950" s="468"/>
    </row>
    <row r="951" ht="14.25" customHeight="1" spans="3:7">
      <c r="C951" s="467"/>
      <c r="D951" s="467"/>
      <c r="E951" s="467"/>
      <c r="F951" s="467"/>
      <c r="G951" s="468"/>
    </row>
    <row r="952" ht="14.25" customHeight="1" spans="3:7">
      <c r="C952" s="467"/>
      <c r="D952" s="467"/>
      <c r="E952" s="467"/>
      <c r="F952" s="467"/>
      <c r="G952" s="468"/>
    </row>
    <row r="953" ht="14.25" customHeight="1" spans="3:7">
      <c r="C953" s="467"/>
      <c r="D953" s="467"/>
      <c r="E953" s="467"/>
      <c r="F953" s="467"/>
      <c r="G953" s="468"/>
    </row>
    <row r="954" ht="14.25" customHeight="1" spans="3:7">
      <c r="C954" s="467"/>
      <c r="D954" s="467"/>
      <c r="E954" s="467"/>
      <c r="F954" s="467"/>
      <c r="G954" s="468"/>
    </row>
    <row r="955" ht="14.25" customHeight="1" spans="3:7">
      <c r="C955" s="467"/>
      <c r="D955" s="467"/>
      <c r="E955" s="467"/>
      <c r="F955" s="467"/>
      <c r="G955" s="468"/>
    </row>
    <row r="956" ht="14.25" customHeight="1" spans="3:7">
      <c r="C956" s="467"/>
      <c r="D956" s="467"/>
      <c r="E956" s="467"/>
      <c r="F956" s="467"/>
      <c r="G956" s="468"/>
    </row>
    <row r="957" ht="14.25" customHeight="1" spans="3:7">
      <c r="C957" s="467"/>
      <c r="D957" s="467"/>
      <c r="E957" s="467"/>
      <c r="F957" s="467"/>
      <c r="G957" s="468"/>
    </row>
    <row r="958" ht="14.25" customHeight="1" spans="3:7">
      <c r="C958" s="467"/>
      <c r="D958" s="467"/>
      <c r="E958" s="467"/>
      <c r="F958" s="467"/>
      <c r="G958" s="468"/>
    </row>
    <row r="959" ht="14.25" customHeight="1" spans="3:7">
      <c r="C959" s="467"/>
      <c r="D959" s="467"/>
      <c r="E959" s="467"/>
      <c r="F959" s="467"/>
      <c r="G959" s="468"/>
    </row>
    <row r="960" ht="14.25" customHeight="1" spans="3:7">
      <c r="C960" s="467"/>
      <c r="D960" s="467"/>
      <c r="E960" s="467"/>
      <c r="F960" s="467"/>
      <c r="G960" s="468"/>
    </row>
    <row r="961" ht="14.25" customHeight="1" spans="3:7">
      <c r="C961" s="467"/>
      <c r="D961" s="467"/>
      <c r="E961" s="467"/>
      <c r="F961" s="467"/>
      <c r="G961" s="468"/>
    </row>
    <row r="962" ht="14.25" customHeight="1" spans="3:7">
      <c r="C962" s="467"/>
      <c r="D962" s="467"/>
      <c r="E962" s="467"/>
      <c r="F962" s="467"/>
      <c r="G962" s="468"/>
    </row>
    <row r="963" ht="14.25" customHeight="1" spans="3:7">
      <c r="C963" s="467"/>
      <c r="D963" s="467"/>
      <c r="E963" s="467"/>
      <c r="F963" s="467"/>
      <c r="G963" s="468"/>
    </row>
    <row r="964" ht="14.25" customHeight="1" spans="3:7">
      <c r="C964" s="467"/>
      <c r="D964" s="467"/>
      <c r="E964" s="467"/>
      <c r="F964" s="467"/>
      <c r="G964" s="468"/>
    </row>
    <row r="965" ht="14.25" customHeight="1" spans="3:7">
      <c r="C965" s="467"/>
      <c r="D965" s="467"/>
      <c r="E965" s="467"/>
      <c r="F965" s="467"/>
      <c r="G965" s="468"/>
    </row>
    <row r="966" ht="14.25" customHeight="1" spans="3:7">
      <c r="C966" s="467"/>
      <c r="D966" s="467"/>
      <c r="E966" s="467"/>
      <c r="F966" s="467"/>
      <c r="G966" s="468"/>
    </row>
    <row r="967" ht="14.25" customHeight="1" spans="3:7">
      <c r="C967" s="467"/>
      <c r="D967" s="467"/>
      <c r="E967" s="467"/>
      <c r="F967" s="467"/>
      <c r="G967" s="468"/>
    </row>
    <row r="968" ht="14.25" customHeight="1" spans="3:7">
      <c r="C968" s="467"/>
      <c r="D968" s="467"/>
      <c r="E968" s="467"/>
      <c r="F968" s="467"/>
      <c r="G968" s="468"/>
    </row>
    <row r="969" ht="14.25" customHeight="1" spans="3:7">
      <c r="C969" s="467"/>
      <c r="D969" s="467"/>
      <c r="E969" s="467"/>
      <c r="F969" s="467"/>
      <c r="G969" s="468"/>
    </row>
    <row r="970" ht="14.25" customHeight="1" spans="3:7">
      <c r="C970" s="467"/>
      <c r="D970" s="467"/>
      <c r="E970" s="467"/>
      <c r="F970" s="467"/>
      <c r="G970" s="468"/>
    </row>
    <row r="971" ht="14.25" customHeight="1" spans="3:7">
      <c r="C971" s="467"/>
      <c r="D971" s="467"/>
      <c r="E971" s="467"/>
      <c r="F971" s="467"/>
      <c r="G971" s="468"/>
    </row>
    <row r="972" ht="14.25" customHeight="1" spans="3:7">
      <c r="C972" s="467"/>
      <c r="D972" s="467"/>
      <c r="E972" s="467"/>
      <c r="F972" s="467"/>
      <c r="G972" s="468"/>
    </row>
    <row r="973" ht="14.25" customHeight="1" spans="3:7">
      <c r="C973" s="467"/>
      <c r="D973" s="467"/>
      <c r="E973" s="467"/>
      <c r="F973" s="467"/>
      <c r="G973" s="468"/>
    </row>
    <row r="974" ht="14.25" customHeight="1" spans="3:7">
      <c r="C974" s="467"/>
      <c r="D974" s="467"/>
      <c r="E974" s="467"/>
      <c r="F974" s="467"/>
      <c r="G974" s="468"/>
    </row>
    <row r="975" ht="14.25" customHeight="1" spans="3:7">
      <c r="C975" s="467"/>
      <c r="D975" s="467"/>
      <c r="E975" s="467"/>
      <c r="F975" s="467"/>
      <c r="G975" s="468"/>
    </row>
    <row r="976" ht="14.25" customHeight="1" spans="3:7">
      <c r="C976" s="467"/>
      <c r="D976" s="467"/>
      <c r="E976" s="467"/>
      <c r="F976" s="467"/>
      <c r="G976" s="468"/>
    </row>
    <row r="977" ht="14.25" customHeight="1" spans="3:7">
      <c r="C977" s="467"/>
      <c r="D977" s="467"/>
      <c r="E977" s="467"/>
      <c r="F977" s="467"/>
      <c r="G977" s="468"/>
    </row>
    <row r="978" ht="14.25" customHeight="1" spans="3:7">
      <c r="C978" s="467"/>
      <c r="D978" s="467"/>
      <c r="E978" s="467"/>
      <c r="F978" s="467"/>
      <c r="G978" s="468"/>
    </row>
    <row r="979" ht="14.25" customHeight="1" spans="3:7">
      <c r="C979" s="467"/>
      <c r="D979" s="467"/>
      <c r="E979" s="467"/>
      <c r="F979" s="467"/>
      <c r="G979" s="468"/>
    </row>
    <row r="980" ht="14.25" customHeight="1" spans="3:7">
      <c r="C980" s="467"/>
      <c r="D980" s="467"/>
      <c r="E980" s="467"/>
      <c r="F980" s="467"/>
      <c r="G980" s="468"/>
    </row>
    <row r="981" ht="14.25" customHeight="1" spans="3:7">
      <c r="C981" s="467"/>
      <c r="D981" s="467"/>
      <c r="E981" s="467"/>
      <c r="F981" s="467"/>
      <c r="G981" s="468"/>
    </row>
    <row r="982" ht="14.25" customHeight="1" spans="3:7">
      <c r="C982" s="467"/>
      <c r="D982" s="467"/>
      <c r="E982" s="467"/>
      <c r="F982" s="467"/>
      <c r="G982" s="468"/>
    </row>
    <row r="983" ht="14.25" customHeight="1" spans="3:7">
      <c r="C983" s="467"/>
      <c r="D983" s="467"/>
      <c r="E983" s="467"/>
      <c r="F983" s="467"/>
      <c r="G983" s="468"/>
    </row>
    <row r="984" ht="14.25" customHeight="1" spans="3:7">
      <c r="C984" s="467"/>
      <c r="D984" s="467"/>
      <c r="E984" s="467"/>
      <c r="F984" s="467"/>
      <c r="G984" s="468"/>
    </row>
    <row r="985" ht="14.25" customHeight="1" spans="3:7">
      <c r="C985" s="467"/>
      <c r="D985" s="467"/>
      <c r="E985" s="467"/>
      <c r="F985" s="467"/>
      <c r="G985" s="468"/>
    </row>
    <row r="986" ht="14.25" customHeight="1" spans="3:7">
      <c r="C986" s="467"/>
      <c r="D986" s="467"/>
      <c r="E986" s="467"/>
      <c r="F986" s="467"/>
      <c r="G986" s="468"/>
    </row>
    <row r="987" ht="14.25" customHeight="1" spans="3:7">
      <c r="C987" s="467"/>
      <c r="D987" s="467"/>
      <c r="E987" s="467"/>
      <c r="F987" s="467"/>
      <c r="G987" s="468"/>
    </row>
    <row r="988" ht="14.25" customHeight="1" spans="3:7">
      <c r="C988" s="467"/>
      <c r="D988" s="467"/>
      <c r="E988" s="467"/>
      <c r="F988" s="467"/>
      <c r="G988" s="468"/>
    </row>
    <row r="989" ht="14.25" customHeight="1" spans="3:7">
      <c r="C989" s="467"/>
      <c r="D989" s="467"/>
      <c r="E989" s="467"/>
      <c r="F989" s="467"/>
      <c r="G989" s="468"/>
    </row>
    <row r="990" ht="14.25" customHeight="1" spans="3:7">
      <c r="C990" s="467"/>
      <c r="D990" s="467"/>
      <c r="E990" s="467"/>
      <c r="F990" s="467"/>
      <c r="G990" s="468"/>
    </row>
    <row r="991" ht="14.25" customHeight="1" spans="3:7">
      <c r="C991" s="467"/>
      <c r="D991" s="467"/>
      <c r="E991" s="467"/>
      <c r="F991" s="467"/>
      <c r="G991" s="468"/>
    </row>
    <row r="992" ht="14.25" customHeight="1" spans="3:7">
      <c r="C992" s="467"/>
      <c r="D992" s="467"/>
      <c r="E992" s="467"/>
      <c r="F992" s="467"/>
      <c r="G992" s="468"/>
    </row>
    <row r="993" ht="14.25" customHeight="1" spans="3:7">
      <c r="C993" s="467"/>
      <c r="D993" s="467"/>
      <c r="E993" s="467"/>
      <c r="F993" s="467"/>
      <c r="G993" s="468"/>
    </row>
    <row r="994" ht="14.25" customHeight="1" spans="3:7">
      <c r="C994" s="467"/>
      <c r="D994" s="467"/>
      <c r="E994" s="467"/>
      <c r="F994" s="467"/>
      <c r="G994" s="468"/>
    </row>
    <row r="995" ht="14.25" customHeight="1" spans="3:7">
      <c r="C995" s="467"/>
      <c r="D995" s="467"/>
      <c r="E995" s="467"/>
      <c r="F995" s="467"/>
      <c r="G995" s="468"/>
    </row>
    <row r="996" ht="14.25" customHeight="1" spans="3:7">
      <c r="C996" s="467"/>
      <c r="D996" s="467"/>
      <c r="E996" s="467"/>
      <c r="F996" s="467"/>
      <c r="G996" s="468"/>
    </row>
    <row r="997" ht="14.25" customHeight="1" spans="3:7">
      <c r="C997" s="467"/>
      <c r="D997" s="467"/>
      <c r="E997" s="467"/>
      <c r="F997" s="467"/>
      <c r="G997" s="468"/>
    </row>
    <row r="998" ht="14.25" customHeight="1" spans="3:7">
      <c r="C998" s="467"/>
      <c r="D998" s="467"/>
      <c r="E998" s="467"/>
      <c r="F998" s="467"/>
      <c r="G998" s="468"/>
    </row>
    <row r="999" ht="14.25" customHeight="1" spans="3:7">
      <c r="C999" s="467"/>
      <c r="D999" s="467"/>
      <c r="E999" s="467"/>
      <c r="F999" s="467"/>
      <c r="G999" s="468"/>
    </row>
    <row r="1000" ht="14.25" customHeight="1" spans="3:7">
      <c r="C1000" s="467"/>
      <c r="D1000" s="467"/>
      <c r="E1000" s="467"/>
      <c r="F1000" s="467"/>
      <c r="G1000" s="468"/>
    </row>
  </sheetData>
  <autoFilter xmlns:etc="http://www.wps.cn/officeDocument/2017/etCustomData" ref="A1:B102" etc:filterBottomFollowUsedRange="0">
    <extLst/>
  </autoFilter>
  <pageMargins left="0.7" right="0.7" top="0.75" bottom="0.75" header="0" footer="0"/>
  <pageSetup paperSize="1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30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2.6333333333333" defaultRowHeight="15" customHeight="1"/>
  <cols>
    <col min="1" max="1" width="5.38333333333333" customWidth="1"/>
    <col min="2" max="2" width="13.6333333333333" customWidth="1"/>
    <col min="3" max="3" width="14.5" customWidth="1"/>
    <col min="4" max="4" width="16.3833333333333" customWidth="1"/>
    <col min="5" max="5" width="26.8833333333333" customWidth="1"/>
    <col min="6" max="6" width="21.1333333333333" customWidth="1"/>
    <col min="7" max="8" width="15.5" customWidth="1"/>
    <col min="9" max="9" width="29" customWidth="1"/>
    <col min="10" max="10" width="9.5" customWidth="1"/>
    <col min="11" max="11" width="11.6333333333333" customWidth="1"/>
    <col min="12" max="12" width="9.25" customWidth="1"/>
    <col min="13" max="13" width="9" customWidth="1"/>
    <col min="14" max="14" width="8.63333333333333" customWidth="1"/>
    <col min="15" max="15" width="15.5" customWidth="1"/>
    <col min="16" max="18" width="14.6333333333333" customWidth="1"/>
  </cols>
  <sheetData>
    <row r="1" ht="28.5" customHeight="1" spans="1:18">
      <c r="A1" s="230" t="s">
        <v>7191</v>
      </c>
      <c r="B1" s="230"/>
      <c r="C1" s="230"/>
      <c r="D1" s="230"/>
      <c r="E1" s="230"/>
      <c r="F1" s="230"/>
      <c r="G1" s="297"/>
      <c r="H1" s="297"/>
      <c r="I1" s="230"/>
      <c r="J1" s="298" t="s">
        <v>420</v>
      </c>
      <c r="K1" s="230"/>
      <c r="L1" s="230"/>
      <c r="M1" s="230"/>
      <c r="N1" s="230"/>
      <c r="O1" s="230"/>
      <c r="P1" s="230"/>
      <c r="Q1" s="299"/>
      <c r="R1" s="299"/>
    </row>
    <row r="2" ht="12.75" customHeight="1" spans="1:18">
      <c r="A2" s="8" t="s">
        <v>421</v>
      </c>
      <c r="B2" s="6" t="s">
        <v>3571</v>
      </c>
      <c r="C2" s="7" t="s">
        <v>3572</v>
      </c>
      <c r="D2" s="6" t="s">
        <v>6130</v>
      </c>
      <c r="E2" s="6" t="s">
        <v>427</v>
      </c>
      <c r="F2" s="6" t="s">
        <v>6131</v>
      </c>
      <c r="G2" s="8" t="s">
        <v>3574</v>
      </c>
      <c r="H2" s="376" t="s">
        <v>7192</v>
      </c>
      <c r="I2" s="6" t="s">
        <v>443</v>
      </c>
      <c r="J2" s="232" t="s">
        <v>433</v>
      </c>
      <c r="K2" s="232" t="s">
        <v>434</v>
      </c>
      <c r="L2" s="232" t="s">
        <v>435</v>
      </c>
      <c r="M2" s="232" t="s">
        <v>436</v>
      </c>
      <c r="N2" s="232" t="s">
        <v>437</v>
      </c>
      <c r="O2" s="232" t="s">
        <v>6133</v>
      </c>
      <c r="P2" s="233" t="s">
        <v>6134</v>
      </c>
      <c r="Q2" s="300" t="s">
        <v>3581</v>
      </c>
      <c r="R2" s="301" t="s">
        <v>444</v>
      </c>
    </row>
    <row r="3" ht="27.75" customHeight="1" spans="1:18">
      <c r="A3" s="1109" t="s">
        <v>7193</v>
      </c>
      <c r="B3" s="377" t="s">
        <v>7156</v>
      </c>
      <c r="C3" s="232">
        <f>$C$4+$C$723+$C$155+$C$189</f>
        <v>171</v>
      </c>
      <c r="D3" s="378"/>
      <c r="E3" s="378"/>
      <c r="F3" s="379"/>
      <c r="G3" s="232"/>
      <c r="H3" s="379"/>
      <c r="I3" s="232"/>
      <c r="J3" s="379"/>
      <c r="K3" s="379"/>
      <c r="L3" s="378"/>
      <c r="M3" s="379"/>
      <c r="N3" s="379"/>
      <c r="O3" s="378"/>
      <c r="P3" s="378"/>
      <c r="Q3" s="380"/>
      <c r="R3" s="306" t="s">
        <v>445</v>
      </c>
    </row>
    <row r="4" ht="12.75" customHeight="1" spans="1:18">
      <c r="A4" s="381" t="s">
        <v>7194</v>
      </c>
      <c r="B4" s="382" t="s">
        <v>6748</v>
      </c>
      <c r="C4" s="383">
        <f>COUNTA($B$5:$B$152)</f>
        <v>131</v>
      </c>
      <c r="D4" s="384"/>
      <c r="E4" s="384"/>
      <c r="F4" s="385"/>
      <c r="G4" s="385"/>
      <c r="H4" s="385"/>
      <c r="I4" s="383"/>
      <c r="J4" s="385"/>
      <c r="K4" s="385"/>
      <c r="L4" s="383"/>
      <c r="M4" s="385"/>
      <c r="N4" s="385"/>
      <c r="O4" s="383"/>
      <c r="P4" s="383"/>
      <c r="Q4" s="386"/>
      <c r="R4" s="312" t="s">
        <v>447</v>
      </c>
    </row>
    <row r="5" ht="12.75" customHeight="1" spans="1:18">
      <c r="A5" s="249">
        <v>1</v>
      </c>
      <c r="B5" s="387" t="s">
        <v>6749</v>
      </c>
      <c r="C5" s="387"/>
      <c r="D5" s="388" t="s">
        <v>7195</v>
      </c>
      <c r="E5" s="388" t="s">
        <v>293</v>
      </c>
      <c r="F5" s="249" t="s">
        <v>1103</v>
      </c>
      <c r="G5" s="389" t="s">
        <v>7196</v>
      </c>
      <c r="H5" s="249" t="s">
        <v>7197</v>
      </c>
      <c r="I5" s="387" t="s">
        <v>7198</v>
      </c>
      <c r="J5" s="249" t="s">
        <v>7199</v>
      </c>
      <c r="K5" s="249" t="s">
        <v>1140</v>
      </c>
      <c r="L5" s="387"/>
      <c r="M5" s="249" t="s">
        <v>7200</v>
      </c>
      <c r="N5" s="249" t="s">
        <v>7201</v>
      </c>
      <c r="O5" s="387"/>
      <c r="P5" s="387"/>
      <c r="Q5" s="390">
        <v>1</v>
      </c>
      <c r="R5" s="390"/>
    </row>
    <row r="6" ht="12.75" customHeight="1" spans="1:18">
      <c r="A6" s="249">
        <f t="shared" ref="A6:A8" si="0">1+A5</f>
        <v>2</v>
      </c>
      <c r="B6" s="387" t="s">
        <v>6750</v>
      </c>
      <c r="C6" s="387"/>
      <c r="D6" s="388" t="s">
        <v>7195</v>
      </c>
      <c r="E6" s="388" t="s">
        <v>293</v>
      </c>
      <c r="F6" s="249" t="s">
        <v>1103</v>
      </c>
      <c r="G6" s="389" t="s">
        <v>7196</v>
      </c>
      <c r="H6" s="249" t="s">
        <v>7197</v>
      </c>
      <c r="I6" s="387" t="s">
        <v>7198</v>
      </c>
      <c r="J6" s="249" t="s">
        <v>7199</v>
      </c>
      <c r="K6" s="249" t="s">
        <v>1140</v>
      </c>
      <c r="L6" s="387"/>
      <c r="M6" s="249" t="s">
        <v>7200</v>
      </c>
      <c r="N6" s="249" t="s">
        <v>7201</v>
      </c>
      <c r="O6" s="387"/>
      <c r="P6" s="387"/>
      <c r="Q6" s="390">
        <v>1</v>
      </c>
      <c r="R6" s="390"/>
    </row>
    <row r="7" ht="12.75" customHeight="1" spans="1:18">
      <c r="A7" s="249">
        <f t="shared" si="0"/>
        <v>3</v>
      </c>
      <c r="B7" s="387" t="s">
        <v>6751</v>
      </c>
      <c r="C7" s="387"/>
      <c r="D7" s="388" t="s">
        <v>7195</v>
      </c>
      <c r="E7" s="388" t="s">
        <v>293</v>
      </c>
      <c r="F7" s="249" t="s">
        <v>1103</v>
      </c>
      <c r="G7" s="389" t="s">
        <v>7196</v>
      </c>
      <c r="H7" s="249" t="s">
        <v>7197</v>
      </c>
      <c r="I7" s="387" t="s">
        <v>7198</v>
      </c>
      <c r="J7" s="249" t="s">
        <v>7199</v>
      </c>
      <c r="K7" s="249" t="s">
        <v>1140</v>
      </c>
      <c r="L7" s="387"/>
      <c r="M7" s="249" t="s">
        <v>7200</v>
      </c>
      <c r="N7" s="249" t="s">
        <v>7201</v>
      </c>
      <c r="O7" s="387"/>
      <c r="P7" s="387"/>
      <c r="Q7" s="390">
        <v>1</v>
      </c>
      <c r="R7" s="390"/>
    </row>
    <row r="8" ht="12.75" customHeight="1" spans="1:18">
      <c r="A8" s="249">
        <f t="shared" si="0"/>
        <v>4</v>
      </c>
      <c r="B8" s="387" t="s">
        <v>6752</v>
      </c>
      <c r="C8" s="387"/>
      <c r="D8" s="388" t="s">
        <v>7195</v>
      </c>
      <c r="E8" s="388" t="s">
        <v>293</v>
      </c>
      <c r="F8" s="249" t="s">
        <v>1103</v>
      </c>
      <c r="G8" s="389" t="s">
        <v>7196</v>
      </c>
      <c r="H8" s="249" t="s">
        <v>7197</v>
      </c>
      <c r="I8" s="387" t="s">
        <v>7198</v>
      </c>
      <c r="J8" s="249" t="s">
        <v>7199</v>
      </c>
      <c r="K8" s="249" t="s">
        <v>1140</v>
      </c>
      <c r="L8" s="387"/>
      <c r="M8" s="249" t="s">
        <v>7200</v>
      </c>
      <c r="N8" s="249" t="s">
        <v>7201</v>
      </c>
      <c r="O8" s="387"/>
      <c r="P8" s="387"/>
      <c r="Q8" s="390">
        <v>1</v>
      </c>
      <c r="R8" s="390"/>
    </row>
    <row r="9" ht="12.75" customHeight="1" spans="1:18">
      <c r="A9" s="249">
        <f>1+A614</f>
        <v>6</v>
      </c>
      <c r="B9" s="387" t="s">
        <v>6753</v>
      </c>
      <c r="C9" s="387"/>
      <c r="D9" s="388"/>
      <c r="E9" s="388" t="s">
        <v>293</v>
      </c>
      <c r="F9" s="249" t="s">
        <v>1103</v>
      </c>
      <c r="G9" s="391">
        <v>45543</v>
      </c>
      <c r="H9" s="249" t="s">
        <v>7197</v>
      </c>
      <c r="I9" s="387" t="s">
        <v>7198</v>
      </c>
      <c r="J9" s="249" t="s">
        <v>7199</v>
      </c>
      <c r="K9" s="249" t="s">
        <v>1140</v>
      </c>
      <c r="L9" s="387"/>
      <c r="M9" s="249" t="s">
        <v>7200</v>
      </c>
      <c r="N9" s="249" t="s">
        <v>7201</v>
      </c>
      <c r="O9" s="387"/>
      <c r="P9" s="387"/>
      <c r="Q9" s="390">
        <v>1</v>
      </c>
      <c r="R9" s="390"/>
    </row>
    <row r="10" ht="12.75" customHeight="1" spans="1:18">
      <c r="A10" s="249">
        <f>1+A9</f>
        <v>7</v>
      </c>
      <c r="B10" s="387" t="s">
        <v>6754</v>
      </c>
      <c r="C10" s="387"/>
      <c r="D10" s="388"/>
      <c r="E10" s="388" t="s">
        <v>293</v>
      </c>
      <c r="F10" s="249" t="s">
        <v>1103</v>
      </c>
      <c r="G10" s="391">
        <v>45543</v>
      </c>
      <c r="H10" s="249" t="s">
        <v>7197</v>
      </c>
      <c r="I10" s="387" t="s">
        <v>7198</v>
      </c>
      <c r="J10" s="249" t="s">
        <v>7199</v>
      </c>
      <c r="K10" s="249" t="s">
        <v>1140</v>
      </c>
      <c r="L10" s="387"/>
      <c r="M10" s="249" t="s">
        <v>7200</v>
      </c>
      <c r="N10" s="249" t="s">
        <v>7201</v>
      </c>
      <c r="O10" s="387"/>
      <c r="P10" s="387"/>
      <c r="Q10" s="390">
        <v>1</v>
      </c>
      <c r="R10" s="390"/>
    </row>
    <row r="11" ht="12.75" customHeight="1" spans="1:18">
      <c r="A11" s="249">
        <f>1+A615</f>
        <v>9</v>
      </c>
      <c r="B11" s="387" t="s">
        <v>6755</v>
      </c>
      <c r="C11" s="387"/>
      <c r="D11" s="388"/>
      <c r="E11" s="388" t="s">
        <v>293</v>
      </c>
      <c r="F11" s="249" t="s">
        <v>1103</v>
      </c>
      <c r="G11" s="391">
        <v>45543</v>
      </c>
      <c r="H11" s="249" t="s">
        <v>7197</v>
      </c>
      <c r="I11" s="387" t="s">
        <v>7198</v>
      </c>
      <c r="J11" s="249" t="s">
        <v>7199</v>
      </c>
      <c r="K11" s="249" t="s">
        <v>1140</v>
      </c>
      <c r="L11" s="387"/>
      <c r="M11" s="249" t="s">
        <v>7200</v>
      </c>
      <c r="N11" s="249" t="s">
        <v>7201</v>
      </c>
      <c r="O11" s="387"/>
      <c r="P11" s="387"/>
      <c r="Q11" s="390">
        <v>1</v>
      </c>
      <c r="R11" s="390"/>
    </row>
    <row r="12" ht="12.75" customHeight="1" spans="1:18">
      <c r="A12" s="249">
        <f t="shared" ref="A12:A135" si="1">1+A11</f>
        <v>10</v>
      </c>
      <c r="B12" s="387" t="s">
        <v>6756</v>
      </c>
      <c r="C12" s="387"/>
      <c r="D12" s="388"/>
      <c r="E12" s="388" t="s">
        <v>293</v>
      </c>
      <c r="F12" s="249" t="s">
        <v>1103</v>
      </c>
      <c r="G12" s="391">
        <v>45543</v>
      </c>
      <c r="H12" s="249" t="s">
        <v>7197</v>
      </c>
      <c r="I12" s="387" t="s">
        <v>7198</v>
      </c>
      <c r="J12" s="249" t="s">
        <v>7199</v>
      </c>
      <c r="K12" s="249" t="s">
        <v>1140</v>
      </c>
      <c r="L12" s="387"/>
      <c r="M12" s="249" t="s">
        <v>7200</v>
      </c>
      <c r="N12" s="249" t="s">
        <v>7201</v>
      </c>
      <c r="O12" s="387"/>
      <c r="P12" s="387"/>
      <c r="Q12" s="390">
        <v>1</v>
      </c>
      <c r="R12" s="390"/>
    </row>
    <row r="13" ht="12.75" customHeight="1" spans="1:18">
      <c r="A13" s="249">
        <f t="shared" si="1"/>
        <v>11</v>
      </c>
      <c r="B13" s="387" t="s">
        <v>6757</v>
      </c>
      <c r="C13" s="387"/>
      <c r="D13" s="388"/>
      <c r="E13" s="388" t="s">
        <v>293</v>
      </c>
      <c r="F13" s="249" t="s">
        <v>1103</v>
      </c>
      <c r="G13" s="391">
        <v>45543</v>
      </c>
      <c r="H13" s="249" t="s">
        <v>7197</v>
      </c>
      <c r="I13" s="387" t="s">
        <v>7198</v>
      </c>
      <c r="J13" s="249" t="s">
        <v>7199</v>
      </c>
      <c r="K13" s="249" t="s">
        <v>1140</v>
      </c>
      <c r="L13" s="387"/>
      <c r="M13" s="249" t="s">
        <v>7200</v>
      </c>
      <c r="N13" s="249" t="s">
        <v>7201</v>
      </c>
      <c r="O13" s="387"/>
      <c r="P13" s="387"/>
      <c r="Q13" s="390">
        <v>1</v>
      </c>
      <c r="R13" s="390"/>
    </row>
    <row r="14" ht="12.75" customHeight="1" spans="1:18">
      <c r="A14" s="249">
        <f t="shared" si="1"/>
        <v>12</v>
      </c>
      <c r="B14" s="387" t="s">
        <v>6758</v>
      </c>
      <c r="C14" s="387"/>
      <c r="D14" s="388"/>
      <c r="E14" s="388" t="s">
        <v>293</v>
      </c>
      <c r="F14" s="249" t="s">
        <v>1103</v>
      </c>
      <c r="G14" s="391">
        <v>45543</v>
      </c>
      <c r="H14" s="249" t="s">
        <v>7197</v>
      </c>
      <c r="I14" s="387" t="s">
        <v>7198</v>
      </c>
      <c r="J14" s="249" t="s">
        <v>7199</v>
      </c>
      <c r="K14" s="249" t="s">
        <v>1140</v>
      </c>
      <c r="L14" s="387"/>
      <c r="M14" s="249" t="s">
        <v>7200</v>
      </c>
      <c r="N14" s="249" t="s">
        <v>7201</v>
      </c>
      <c r="O14" s="387"/>
      <c r="P14" s="387"/>
      <c r="Q14" s="390">
        <v>1</v>
      </c>
      <c r="R14" s="390"/>
    </row>
    <row r="15" ht="12.75" customHeight="1" spans="1:18">
      <c r="A15" s="249">
        <f t="shared" si="1"/>
        <v>13</v>
      </c>
      <c r="B15" s="387" t="s">
        <v>6759</v>
      </c>
      <c r="C15" s="387"/>
      <c r="D15" s="388"/>
      <c r="E15" s="388" t="s">
        <v>293</v>
      </c>
      <c r="F15" s="249" t="s">
        <v>1103</v>
      </c>
      <c r="G15" s="391">
        <v>45543</v>
      </c>
      <c r="H15" s="249" t="s">
        <v>7197</v>
      </c>
      <c r="I15" s="387" t="s">
        <v>7198</v>
      </c>
      <c r="J15" s="249" t="s">
        <v>7199</v>
      </c>
      <c r="K15" s="249" t="s">
        <v>1140</v>
      </c>
      <c r="L15" s="387"/>
      <c r="M15" s="249" t="s">
        <v>7200</v>
      </c>
      <c r="N15" s="249" t="s">
        <v>7201</v>
      </c>
      <c r="O15" s="387"/>
      <c r="P15" s="387"/>
      <c r="Q15" s="390">
        <v>1</v>
      </c>
      <c r="R15" s="390"/>
    </row>
    <row r="16" ht="12.75" customHeight="1" spans="1:18">
      <c r="A16" s="249">
        <f t="shared" si="1"/>
        <v>14</v>
      </c>
      <c r="B16" s="387" t="s">
        <v>6760</v>
      </c>
      <c r="C16" s="387"/>
      <c r="D16" s="388"/>
      <c r="E16" s="388" t="s">
        <v>293</v>
      </c>
      <c r="F16" s="249" t="s">
        <v>1103</v>
      </c>
      <c r="G16" s="391">
        <v>45543</v>
      </c>
      <c r="H16" s="249" t="s">
        <v>7197</v>
      </c>
      <c r="I16" s="387" t="s">
        <v>7198</v>
      </c>
      <c r="J16" s="249" t="s">
        <v>7199</v>
      </c>
      <c r="K16" s="249" t="s">
        <v>1140</v>
      </c>
      <c r="L16" s="387"/>
      <c r="M16" s="249" t="s">
        <v>7200</v>
      </c>
      <c r="N16" s="249" t="s">
        <v>7201</v>
      </c>
      <c r="O16" s="387"/>
      <c r="P16" s="387"/>
      <c r="Q16" s="390">
        <v>1</v>
      </c>
      <c r="R16" s="390"/>
    </row>
    <row r="17" ht="12.75" customHeight="1" spans="1:18">
      <c r="A17" s="249">
        <f t="shared" si="1"/>
        <v>15</v>
      </c>
      <c r="B17" s="387" t="s">
        <v>6761</v>
      </c>
      <c r="C17" s="387"/>
      <c r="D17" s="388"/>
      <c r="E17" s="388" t="s">
        <v>293</v>
      </c>
      <c r="F17" s="249" t="s">
        <v>1103</v>
      </c>
      <c r="G17" s="391">
        <v>45543</v>
      </c>
      <c r="H17" s="249" t="s">
        <v>7197</v>
      </c>
      <c r="I17" s="387" t="s">
        <v>7198</v>
      </c>
      <c r="J17" s="249" t="s">
        <v>7199</v>
      </c>
      <c r="K17" s="249" t="s">
        <v>1140</v>
      </c>
      <c r="L17" s="387"/>
      <c r="M17" s="249" t="s">
        <v>7200</v>
      </c>
      <c r="N17" s="249" t="s">
        <v>7201</v>
      </c>
      <c r="O17" s="387"/>
      <c r="P17" s="387"/>
      <c r="Q17" s="390">
        <v>1</v>
      </c>
      <c r="R17" s="390"/>
    </row>
    <row r="18" ht="12.75" customHeight="1" spans="1:18">
      <c r="A18" s="249">
        <f t="shared" si="1"/>
        <v>16</v>
      </c>
      <c r="B18" s="387" t="s">
        <v>6762</v>
      </c>
      <c r="C18" s="387"/>
      <c r="D18" s="388"/>
      <c r="E18" s="388" t="s">
        <v>293</v>
      </c>
      <c r="F18" s="249" t="s">
        <v>1103</v>
      </c>
      <c r="G18" s="391">
        <v>45543</v>
      </c>
      <c r="H18" s="249" t="s">
        <v>7197</v>
      </c>
      <c r="I18" s="387" t="s">
        <v>7198</v>
      </c>
      <c r="J18" s="249" t="s">
        <v>7199</v>
      </c>
      <c r="K18" s="249" t="s">
        <v>1140</v>
      </c>
      <c r="L18" s="387"/>
      <c r="M18" s="249" t="s">
        <v>7200</v>
      </c>
      <c r="N18" s="249" t="s">
        <v>7201</v>
      </c>
      <c r="O18" s="387"/>
      <c r="P18" s="387"/>
      <c r="Q18" s="390">
        <v>1</v>
      </c>
      <c r="R18" s="390"/>
    </row>
    <row r="19" ht="12.75" customHeight="1" spans="1:18">
      <c r="A19" s="249">
        <f t="shared" si="1"/>
        <v>17</v>
      </c>
      <c r="B19" s="387" t="s">
        <v>6763</v>
      </c>
      <c r="C19" s="387"/>
      <c r="D19" s="388"/>
      <c r="E19" s="388" t="s">
        <v>293</v>
      </c>
      <c r="F19" s="249" t="s">
        <v>1103</v>
      </c>
      <c r="G19" s="391">
        <v>45543</v>
      </c>
      <c r="H19" s="249" t="s">
        <v>7197</v>
      </c>
      <c r="I19" s="387" t="s">
        <v>7198</v>
      </c>
      <c r="J19" s="249" t="s">
        <v>7199</v>
      </c>
      <c r="K19" s="249" t="s">
        <v>1140</v>
      </c>
      <c r="L19" s="387"/>
      <c r="M19" s="249" t="s">
        <v>7200</v>
      </c>
      <c r="N19" s="249" t="s">
        <v>7201</v>
      </c>
      <c r="O19" s="387"/>
      <c r="P19" s="387"/>
      <c r="Q19" s="390">
        <v>1</v>
      </c>
      <c r="R19" s="390"/>
    </row>
    <row r="20" ht="12.75" customHeight="1" spans="1:18">
      <c r="A20" s="249">
        <f t="shared" si="1"/>
        <v>18</v>
      </c>
      <c r="B20" s="387" t="s">
        <v>6764</v>
      </c>
      <c r="C20" s="387"/>
      <c r="D20" s="388"/>
      <c r="E20" s="388" t="s">
        <v>293</v>
      </c>
      <c r="F20" s="249" t="s">
        <v>1103</v>
      </c>
      <c r="G20" s="391">
        <v>45543</v>
      </c>
      <c r="H20" s="249" t="s">
        <v>7197</v>
      </c>
      <c r="I20" s="387" t="s">
        <v>7198</v>
      </c>
      <c r="J20" s="249" t="s">
        <v>7199</v>
      </c>
      <c r="K20" s="249" t="s">
        <v>1140</v>
      </c>
      <c r="L20" s="387"/>
      <c r="M20" s="249" t="s">
        <v>7200</v>
      </c>
      <c r="N20" s="249" t="s">
        <v>7201</v>
      </c>
      <c r="O20" s="387"/>
      <c r="P20" s="387"/>
      <c r="Q20" s="390">
        <v>1</v>
      </c>
      <c r="R20" s="390"/>
    </row>
    <row r="21" ht="12.75" customHeight="1" spans="1:18">
      <c r="A21" s="249">
        <f t="shared" si="1"/>
        <v>19</v>
      </c>
      <c r="B21" s="387" t="s">
        <v>6765</v>
      </c>
      <c r="C21" s="387"/>
      <c r="D21" s="388"/>
      <c r="E21" s="388" t="s">
        <v>293</v>
      </c>
      <c r="F21" s="249" t="s">
        <v>1103</v>
      </c>
      <c r="G21" s="391">
        <v>45543</v>
      </c>
      <c r="H21" s="249" t="s">
        <v>7197</v>
      </c>
      <c r="I21" s="387" t="s">
        <v>7198</v>
      </c>
      <c r="J21" s="249" t="s">
        <v>7199</v>
      </c>
      <c r="K21" s="249" t="s">
        <v>1140</v>
      </c>
      <c r="L21" s="387"/>
      <c r="M21" s="249" t="s">
        <v>7200</v>
      </c>
      <c r="N21" s="249" t="s">
        <v>7201</v>
      </c>
      <c r="O21" s="387"/>
      <c r="P21" s="387"/>
      <c r="Q21" s="390">
        <v>1</v>
      </c>
      <c r="R21" s="390"/>
    </row>
    <row r="22" ht="12.75" customHeight="1" spans="1:18">
      <c r="A22" s="249">
        <f t="shared" si="1"/>
        <v>20</v>
      </c>
      <c r="B22" s="387" t="s">
        <v>6766</v>
      </c>
      <c r="C22" s="387"/>
      <c r="D22" s="388"/>
      <c r="E22" s="388" t="s">
        <v>293</v>
      </c>
      <c r="F22" s="249" t="s">
        <v>1103</v>
      </c>
      <c r="G22" s="391">
        <v>45543</v>
      </c>
      <c r="H22" s="249" t="s">
        <v>7197</v>
      </c>
      <c r="I22" s="387" t="s">
        <v>7198</v>
      </c>
      <c r="J22" s="249" t="s">
        <v>7199</v>
      </c>
      <c r="K22" s="249" t="s">
        <v>1140</v>
      </c>
      <c r="L22" s="387"/>
      <c r="M22" s="249" t="s">
        <v>7200</v>
      </c>
      <c r="N22" s="249" t="s">
        <v>7201</v>
      </c>
      <c r="O22" s="387"/>
      <c r="P22" s="387"/>
      <c r="Q22" s="390">
        <v>1</v>
      </c>
      <c r="R22" s="390"/>
    </row>
    <row r="23" ht="12.75" customHeight="1" spans="1:18">
      <c r="A23" s="249">
        <f t="shared" si="1"/>
        <v>21</v>
      </c>
      <c r="B23" s="387" t="s">
        <v>6767</v>
      </c>
      <c r="C23" s="387"/>
      <c r="D23" s="388"/>
      <c r="E23" s="388" t="s">
        <v>293</v>
      </c>
      <c r="F23" s="249" t="s">
        <v>1103</v>
      </c>
      <c r="G23" s="391">
        <v>45543</v>
      </c>
      <c r="H23" s="249" t="s">
        <v>7197</v>
      </c>
      <c r="I23" s="387" t="s">
        <v>7198</v>
      </c>
      <c r="J23" s="249" t="s">
        <v>7199</v>
      </c>
      <c r="K23" s="249" t="s">
        <v>1140</v>
      </c>
      <c r="L23" s="387"/>
      <c r="M23" s="249" t="s">
        <v>7200</v>
      </c>
      <c r="N23" s="249" t="s">
        <v>7201</v>
      </c>
      <c r="O23" s="387"/>
      <c r="P23" s="387"/>
      <c r="Q23" s="390">
        <v>1</v>
      </c>
      <c r="R23" s="390"/>
    </row>
    <row r="24" ht="12.75" customHeight="1" spans="1:18">
      <c r="A24" s="249">
        <f t="shared" si="1"/>
        <v>22</v>
      </c>
      <c r="B24" s="387" t="s">
        <v>6768</v>
      </c>
      <c r="C24" s="387"/>
      <c r="D24" s="388"/>
      <c r="E24" s="388" t="s">
        <v>293</v>
      </c>
      <c r="F24" s="249" t="s">
        <v>1103</v>
      </c>
      <c r="G24" s="391">
        <v>45543</v>
      </c>
      <c r="H24" s="249" t="s">
        <v>7197</v>
      </c>
      <c r="I24" s="387" t="s">
        <v>7198</v>
      </c>
      <c r="J24" s="249" t="s">
        <v>7199</v>
      </c>
      <c r="K24" s="249" t="s">
        <v>1140</v>
      </c>
      <c r="L24" s="387"/>
      <c r="M24" s="249" t="s">
        <v>7200</v>
      </c>
      <c r="N24" s="249" t="s">
        <v>7201</v>
      </c>
      <c r="O24" s="387"/>
      <c r="P24" s="387"/>
      <c r="Q24" s="390">
        <v>1</v>
      </c>
      <c r="R24" s="390"/>
    </row>
    <row r="25" ht="12.75" customHeight="1" spans="1:18">
      <c r="A25" s="249">
        <f t="shared" si="1"/>
        <v>23</v>
      </c>
      <c r="B25" s="387" t="s">
        <v>6769</v>
      </c>
      <c r="C25" s="387"/>
      <c r="D25" s="388"/>
      <c r="E25" s="388" t="s">
        <v>293</v>
      </c>
      <c r="F25" s="249" t="s">
        <v>1103</v>
      </c>
      <c r="G25" s="391">
        <v>45543</v>
      </c>
      <c r="H25" s="249" t="s">
        <v>7197</v>
      </c>
      <c r="I25" s="387" t="s">
        <v>7198</v>
      </c>
      <c r="J25" s="249" t="s">
        <v>7199</v>
      </c>
      <c r="K25" s="249" t="s">
        <v>1140</v>
      </c>
      <c r="L25" s="387"/>
      <c r="M25" s="249" t="s">
        <v>7200</v>
      </c>
      <c r="N25" s="249" t="s">
        <v>7201</v>
      </c>
      <c r="O25" s="387"/>
      <c r="P25" s="387"/>
      <c r="Q25" s="390">
        <v>1</v>
      </c>
      <c r="R25" s="390"/>
    </row>
    <row r="26" ht="12.75" customHeight="1" spans="1:18">
      <c r="A26" s="249">
        <f t="shared" si="1"/>
        <v>24</v>
      </c>
      <c r="B26" s="387" t="s">
        <v>6770</v>
      </c>
      <c r="C26" s="387"/>
      <c r="D26" s="388"/>
      <c r="E26" s="388" t="s">
        <v>293</v>
      </c>
      <c r="F26" s="249" t="s">
        <v>1103</v>
      </c>
      <c r="G26" s="391">
        <v>45543</v>
      </c>
      <c r="H26" s="249" t="s">
        <v>7197</v>
      </c>
      <c r="I26" s="387" t="s">
        <v>7198</v>
      </c>
      <c r="J26" s="249" t="s">
        <v>7199</v>
      </c>
      <c r="K26" s="249" t="s">
        <v>1140</v>
      </c>
      <c r="L26" s="387"/>
      <c r="M26" s="249" t="s">
        <v>7200</v>
      </c>
      <c r="N26" s="249" t="s">
        <v>7201</v>
      </c>
      <c r="O26" s="387"/>
      <c r="P26" s="387"/>
      <c r="Q26" s="390">
        <v>1</v>
      </c>
      <c r="R26" s="390"/>
    </row>
    <row r="27" ht="12.75" customHeight="1" spans="1:18">
      <c r="A27" s="249">
        <f t="shared" si="1"/>
        <v>25</v>
      </c>
      <c r="B27" s="387" t="s">
        <v>6771</v>
      </c>
      <c r="C27" s="387"/>
      <c r="D27" s="388"/>
      <c r="E27" s="388" t="s">
        <v>293</v>
      </c>
      <c r="F27" s="249" t="s">
        <v>1103</v>
      </c>
      <c r="G27" s="391">
        <v>45514</v>
      </c>
      <c r="H27" s="249" t="s">
        <v>7197</v>
      </c>
      <c r="I27" s="387" t="s">
        <v>7198</v>
      </c>
      <c r="J27" s="249" t="s">
        <v>7199</v>
      </c>
      <c r="K27" s="249" t="s">
        <v>1140</v>
      </c>
      <c r="L27" s="387"/>
      <c r="M27" s="249" t="s">
        <v>7200</v>
      </c>
      <c r="N27" s="249" t="s">
        <v>7201</v>
      </c>
      <c r="O27" s="387"/>
      <c r="P27" s="387"/>
      <c r="Q27" s="390">
        <v>1</v>
      </c>
      <c r="R27" s="390"/>
    </row>
    <row r="28" ht="12.75" customHeight="1" spans="1:18">
      <c r="A28" s="249">
        <f t="shared" si="1"/>
        <v>26</v>
      </c>
      <c r="B28" s="387" t="s">
        <v>6772</v>
      </c>
      <c r="C28" s="387"/>
      <c r="D28" s="388"/>
      <c r="E28" s="388" t="s">
        <v>293</v>
      </c>
      <c r="F28" s="249" t="s">
        <v>1103</v>
      </c>
      <c r="G28" s="391">
        <v>45514</v>
      </c>
      <c r="H28" s="249" t="s">
        <v>7197</v>
      </c>
      <c r="I28" s="387" t="s">
        <v>7198</v>
      </c>
      <c r="J28" s="249" t="s">
        <v>7199</v>
      </c>
      <c r="K28" s="249" t="s">
        <v>1140</v>
      </c>
      <c r="L28" s="387"/>
      <c r="M28" s="249" t="s">
        <v>7200</v>
      </c>
      <c r="N28" s="249" t="s">
        <v>7201</v>
      </c>
      <c r="O28" s="387"/>
      <c r="P28" s="387"/>
      <c r="Q28" s="390">
        <v>1</v>
      </c>
      <c r="R28" s="390"/>
    </row>
    <row r="29" ht="12.75" customHeight="1" spans="1:18">
      <c r="A29" s="249">
        <f t="shared" si="1"/>
        <v>27</v>
      </c>
      <c r="B29" s="387" t="s">
        <v>6773</v>
      </c>
      <c r="C29" s="387"/>
      <c r="D29" s="388"/>
      <c r="E29" s="388" t="s">
        <v>293</v>
      </c>
      <c r="F29" s="249" t="s">
        <v>1103</v>
      </c>
      <c r="G29" s="391">
        <v>45514</v>
      </c>
      <c r="H29" s="249" t="s">
        <v>7197</v>
      </c>
      <c r="I29" s="387" t="s">
        <v>7198</v>
      </c>
      <c r="J29" s="249" t="s">
        <v>7199</v>
      </c>
      <c r="K29" s="249" t="s">
        <v>1140</v>
      </c>
      <c r="L29" s="387"/>
      <c r="M29" s="249" t="s">
        <v>7200</v>
      </c>
      <c r="N29" s="249" t="s">
        <v>7201</v>
      </c>
      <c r="O29" s="387"/>
      <c r="P29" s="387"/>
      <c r="Q29" s="390">
        <v>1</v>
      </c>
      <c r="R29" s="390"/>
    </row>
    <row r="30" ht="12.75" customHeight="1" spans="1:18">
      <c r="A30" s="249">
        <f t="shared" si="1"/>
        <v>28</v>
      </c>
      <c r="B30" s="387" t="s">
        <v>6774</v>
      </c>
      <c r="C30" s="387"/>
      <c r="D30" s="388"/>
      <c r="E30" s="388" t="s">
        <v>293</v>
      </c>
      <c r="F30" s="249" t="s">
        <v>1103</v>
      </c>
      <c r="G30" s="391">
        <v>45514</v>
      </c>
      <c r="H30" s="249" t="s">
        <v>7197</v>
      </c>
      <c r="I30" s="387" t="s">
        <v>7198</v>
      </c>
      <c r="J30" s="249" t="s">
        <v>7199</v>
      </c>
      <c r="K30" s="249" t="s">
        <v>1140</v>
      </c>
      <c r="L30" s="387"/>
      <c r="M30" s="249" t="s">
        <v>7200</v>
      </c>
      <c r="N30" s="249" t="s">
        <v>7201</v>
      </c>
      <c r="O30" s="387"/>
      <c r="P30" s="387"/>
      <c r="Q30" s="390">
        <v>1</v>
      </c>
      <c r="R30" s="390"/>
    </row>
    <row r="31" ht="12.75" customHeight="1" spans="1:18">
      <c r="A31" s="249">
        <f t="shared" si="1"/>
        <v>29</v>
      </c>
      <c r="B31" s="387" t="s">
        <v>6775</v>
      </c>
      <c r="C31" s="387"/>
      <c r="D31" s="388"/>
      <c r="E31" s="388" t="s">
        <v>293</v>
      </c>
      <c r="F31" s="249" t="s">
        <v>1103</v>
      </c>
      <c r="G31" s="391">
        <v>45514</v>
      </c>
      <c r="H31" s="249" t="s">
        <v>7197</v>
      </c>
      <c r="I31" s="387" t="s">
        <v>7198</v>
      </c>
      <c r="J31" s="249" t="s">
        <v>7199</v>
      </c>
      <c r="K31" s="249" t="s">
        <v>1140</v>
      </c>
      <c r="L31" s="387"/>
      <c r="M31" s="249" t="s">
        <v>7200</v>
      </c>
      <c r="N31" s="249" t="s">
        <v>7201</v>
      </c>
      <c r="O31" s="387"/>
      <c r="P31" s="387"/>
      <c r="Q31" s="390">
        <v>1</v>
      </c>
      <c r="R31" s="390"/>
    </row>
    <row r="32" ht="12.75" customHeight="1" spans="1:18">
      <c r="A32" s="249">
        <f t="shared" si="1"/>
        <v>30</v>
      </c>
      <c r="B32" s="387" t="s">
        <v>6776</v>
      </c>
      <c r="C32" s="387"/>
      <c r="D32" s="388"/>
      <c r="E32" s="388" t="s">
        <v>293</v>
      </c>
      <c r="F32" s="249" t="s">
        <v>1103</v>
      </c>
      <c r="G32" s="391">
        <v>45514</v>
      </c>
      <c r="H32" s="249" t="s">
        <v>7197</v>
      </c>
      <c r="I32" s="387" t="s">
        <v>7198</v>
      </c>
      <c r="J32" s="249" t="s">
        <v>7199</v>
      </c>
      <c r="K32" s="249" t="s">
        <v>1140</v>
      </c>
      <c r="L32" s="387"/>
      <c r="M32" s="249" t="s">
        <v>7200</v>
      </c>
      <c r="N32" s="249" t="s">
        <v>7201</v>
      </c>
      <c r="O32" s="387"/>
      <c r="P32" s="387"/>
      <c r="Q32" s="390">
        <v>1</v>
      </c>
      <c r="R32" s="390"/>
    </row>
    <row r="33" ht="12.75" customHeight="1" spans="1:18">
      <c r="A33" s="249">
        <f t="shared" si="1"/>
        <v>31</v>
      </c>
      <c r="B33" s="387" t="s">
        <v>6777</v>
      </c>
      <c r="C33" s="387"/>
      <c r="D33" s="388"/>
      <c r="E33" s="388" t="s">
        <v>293</v>
      </c>
      <c r="F33" s="249" t="s">
        <v>1103</v>
      </c>
      <c r="G33" s="391">
        <v>45514</v>
      </c>
      <c r="H33" s="249" t="s">
        <v>7197</v>
      </c>
      <c r="I33" s="387" t="s">
        <v>7198</v>
      </c>
      <c r="J33" s="249" t="s">
        <v>7199</v>
      </c>
      <c r="K33" s="249" t="s">
        <v>1140</v>
      </c>
      <c r="L33" s="387"/>
      <c r="M33" s="249" t="s">
        <v>7200</v>
      </c>
      <c r="N33" s="249" t="s">
        <v>7201</v>
      </c>
      <c r="O33" s="387"/>
      <c r="P33" s="387"/>
      <c r="Q33" s="390">
        <v>1</v>
      </c>
      <c r="R33" s="390"/>
    </row>
    <row r="34" ht="12.75" customHeight="1" spans="1:18">
      <c r="A34" s="249">
        <f t="shared" si="1"/>
        <v>32</v>
      </c>
      <c r="B34" s="387" t="s">
        <v>6778</v>
      </c>
      <c r="C34" s="387"/>
      <c r="D34" s="388"/>
      <c r="E34" s="388" t="s">
        <v>293</v>
      </c>
      <c r="F34" s="249" t="s">
        <v>1103</v>
      </c>
      <c r="G34" s="391">
        <v>45514</v>
      </c>
      <c r="H34" s="249" t="s">
        <v>7197</v>
      </c>
      <c r="I34" s="387" t="s">
        <v>7198</v>
      </c>
      <c r="J34" s="249" t="s">
        <v>7199</v>
      </c>
      <c r="K34" s="249" t="s">
        <v>1140</v>
      </c>
      <c r="L34" s="387"/>
      <c r="M34" s="249" t="s">
        <v>7200</v>
      </c>
      <c r="N34" s="249" t="s">
        <v>7201</v>
      </c>
      <c r="O34" s="387"/>
      <c r="P34" s="387"/>
      <c r="Q34" s="390">
        <v>1</v>
      </c>
      <c r="R34" s="390"/>
    </row>
    <row r="35" ht="12.75" customHeight="1" spans="1:18">
      <c r="A35" s="249">
        <f t="shared" si="1"/>
        <v>33</v>
      </c>
      <c r="B35" s="387" t="s">
        <v>6779</v>
      </c>
      <c r="C35" s="387"/>
      <c r="D35" s="388"/>
      <c r="E35" s="388" t="s">
        <v>293</v>
      </c>
      <c r="F35" s="249" t="s">
        <v>1103</v>
      </c>
      <c r="G35" s="391">
        <v>45514</v>
      </c>
      <c r="H35" s="249" t="s">
        <v>7197</v>
      </c>
      <c r="I35" s="387" t="s">
        <v>7198</v>
      </c>
      <c r="J35" s="249" t="s">
        <v>7199</v>
      </c>
      <c r="K35" s="249" t="s">
        <v>1140</v>
      </c>
      <c r="L35" s="387"/>
      <c r="M35" s="249" t="s">
        <v>7200</v>
      </c>
      <c r="N35" s="249" t="s">
        <v>7201</v>
      </c>
      <c r="O35" s="387"/>
      <c r="P35" s="387"/>
      <c r="Q35" s="390">
        <v>1</v>
      </c>
      <c r="R35" s="390"/>
    </row>
    <row r="36" ht="12.75" customHeight="1" spans="1:18">
      <c r="A36" s="249">
        <f t="shared" si="1"/>
        <v>34</v>
      </c>
      <c r="B36" s="387" t="s">
        <v>6780</v>
      </c>
      <c r="C36" s="387"/>
      <c r="D36" s="388"/>
      <c r="E36" s="388" t="s">
        <v>293</v>
      </c>
      <c r="F36" s="249" t="s">
        <v>1103</v>
      </c>
      <c r="G36" s="391">
        <v>45514</v>
      </c>
      <c r="H36" s="249" t="s">
        <v>7197</v>
      </c>
      <c r="I36" s="387" t="s">
        <v>7198</v>
      </c>
      <c r="J36" s="249" t="s">
        <v>7199</v>
      </c>
      <c r="K36" s="249" t="s">
        <v>1140</v>
      </c>
      <c r="L36" s="387"/>
      <c r="M36" s="249" t="s">
        <v>7200</v>
      </c>
      <c r="N36" s="249" t="s">
        <v>7201</v>
      </c>
      <c r="O36" s="387"/>
      <c r="P36" s="387"/>
      <c r="Q36" s="390">
        <v>1</v>
      </c>
      <c r="R36" s="390"/>
    </row>
    <row r="37" ht="12.75" customHeight="1" spans="1:18">
      <c r="A37" s="249">
        <f t="shared" si="1"/>
        <v>35</v>
      </c>
      <c r="B37" s="387" t="s">
        <v>6781</v>
      </c>
      <c r="C37" s="387"/>
      <c r="D37" s="388"/>
      <c r="E37" s="388" t="s">
        <v>293</v>
      </c>
      <c r="F37" s="249" t="s">
        <v>1103</v>
      </c>
      <c r="G37" s="249" t="s">
        <v>1074</v>
      </c>
      <c r="H37" s="249" t="s">
        <v>7197</v>
      </c>
      <c r="I37" s="387" t="s">
        <v>7198</v>
      </c>
      <c r="J37" s="249" t="s">
        <v>7199</v>
      </c>
      <c r="K37" s="249" t="s">
        <v>1140</v>
      </c>
      <c r="L37" s="387"/>
      <c r="M37" s="249" t="s">
        <v>7200</v>
      </c>
      <c r="N37" s="249" t="s">
        <v>7201</v>
      </c>
      <c r="O37" s="387"/>
      <c r="P37" s="387"/>
      <c r="Q37" s="390">
        <v>1</v>
      </c>
      <c r="R37" s="390"/>
    </row>
    <row r="38" ht="12.75" customHeight="1" spans="1:18">
      <c r="A38" s="249">
        <f t="shared" si="1"/>
        <v>36</v>
      </c>
      <c r="B38" s="387" t="s">
        <v>6782</v>
      </c>
      <c r="C38" s="387"/>
      <c r="D38" s="388"/>
      <c r="E38" s="388" t="s">
        <v>293</v>
      </c>
      <c r="F38" s="249" t="s">
        <v>1103</v>
      </c>
      <c r="G38" s="249" t="s">
        <v>1074</v>
      </c>
      <c r="H38" s="249" t="s">
        <v>7197</v>
      </c>
      <c r="I38" s="387" t="s">
        <v>7198</v>
      </c>
      <c r="J38" s="249" t="s">
        <v>7199</v>
      </c>
      <c r="K38" s="249" t="s">
        <v>1140</v>
      </c>
      <c r="L38" s="387"/>
      <c r="M38" s="249" t="s">
        <v>7200</v>
      </c>
      <c r="N38" s="249" t="s">
        <v>7201</v>
      </c>
      <c r="O38" s="387"/>
      <c r="P38" s="387"/>
      <c r="Q38" s="390">
        <v>1</v>
      </c>
      <c r="R38" s="390"/>
    </row>
    <row r="39" ht="12.75" customHeight="1" spans="1:18">
      <c r="A39" s="249">
        <f t="shared" si="1"/>
        <v>37</v>
      </c>
      <c r="B39" s="387" t="s">
        <v>6783</v>
      </c>
      <c r="C39" s="387"/>
      <c r="D39" s="388"/>
      <c r="E39" s="388" t="s">
        <v>293</v>
      </c>
      <c r="F39" s="249" t="s">
        <v>1103</v>
      </c>
      <c r="G39" s="249" t="s">
        <v>1074</v>
      </c>
      <c r="H39" s="249" t="s">
        <v>7197</v>
      </c>
      <c r="I39" s="387" t="s">
        <v>7198</v>
      </c>
      <c r="J39" s="249" t="s">
        <v>7199</v>
      </c>
      <c r="K39" s="249" t="s">
        <v>1140</v>
      </c>
      <c r="L39" s="387"/>
      <c r="M39" s="249" t="s">
        <v>7200</v>
      </c>
      <c r="N39" s="249" t="s">
        <v>7201</v>
      </c>
      <c r="O39" s="387"/>
      <c r="P39" s="387"/>
      <c r="Q39" s="390">
        <v>1</v>
      </c>
      <c r="R39" s="390"/>
    </row>
    <row r="40" ht="12.75" customHeight="1" spans="1:18">
      <c r="A40" s="249">
        <f t="shared" si="1"/>
        <v>38</v>
      </c>
      <c r="B40" s="387" t="s">
        <v>6784</v>
      </c>
      <c r="C40" s="387"/>
      <c r="D40" s="388"/>
      <c r="E40" s="388" t="s">
        <v>293</v>
      </c>
      <c r="F40" s="249" t="s">
        <v>1103</v>
      </c>
      <c r="G40" s="249" t="s">
        <v>1074</v>
      </c>
      <c r="H40" s="249" t="s">
        <v>7197</v>
      </c>
      <c r="I40" s="387" t="s">
        <v>7198</v>
      </c>
      <c r="J40" s="249" t="s">
        <v>7199</v>
      </c>
      <c r="K40" s="249" t="s">
        <v>1140</v>
      </c>
      <c r="L40" s="387"/>
      <c r="M40" s="249" t="s">
        <v>7200</v>
      </c>
      <c r="N40" s="249" t="s">
        <v>7201</v>
      </c>
      <c r="O40" s="387"/>
      <c r="P40" s="387"/>
      <c r="Q40" s="390">
        <v>1</v>
      </c>
      <c r="R40" s="390"/>
    </row>
    <row r="41" ht="12.75" customHeight="1" spans="1:18">
      <c r="A41" s="249">
        <f t="shared" si="1"/>
        <v>39</v>
      </c>
      <c r="B41" s="387" t="s">
        <v>6785</v>
      </c>
      <c r="C41" s="387"/>
      <c r="D41" s="388"/>
      <c r="E41" s="388" t="s">
        <v>293</v>
      </c>
      <c r="F41" s="249" t="s">
        <v>1103</v>
      </c>
      <c r="G41" s="249" t="s">
        <v>1074</v>
      </c>
      <c r="H41" s="249" t="s">
        <v>7197</v>
      </c>
      <c r="I41" s="387" t="s">
        <v>7198</v>
      </c>
      <c r="J41" s="249" t="s">
        <v>7199</v>
      </c>
      <c r="K41" s="249" t="s">
        <v>1140</v>
      </c>
      <c r="L41" s="387"/>
      <c r="M41" s="249" t="s">
        <v>7200</v>
      </c>
      <c r="N41" s="249" t="s">
        <v>7201</v>
      </c>
      <c r="O41" s="387"/>
      <c r="P41" s="387"/>
      <c r="Q41" s="390">
        <v>1</v>
      </c>
      <c r="R41" s="390"/>
    </row>
    <row r="42" ht="12.75" customHeight="1" spans="1:18">
      <c r="A42" s="249">
        <f t="shared" si="1"/>
        <v>40</v>
      </c>
      <c r="B42" s="387" t="s">
        <v>6786</v>
      </c>
      <c r="C42" s="387"/>
      <c r="D42" s="388"/>
      <c r="E42" s="388" t="s">
        <v>293</v>
      </c>
      <c r="F42" s="249" t="s">
        <v>1103</v>
      </c>
      <c r="G42" s="249" t="s">
        <v>1074</v>
      </c>
      <c r="H42" s="249" t="s">
        <v>7197</v>
      </c>
      <c r="I42" s="387" t="s">
        <v>7198</v>
      </c>
      <c r="J42" s="249" t="s">
        <v>7199</v>
      </c>
      <c r="K42" s="249" t="s">
        <v>1140</v>
      </c>
      <c r="L42" s="387"/>
      <c r="M42" s="249" t="s">
        <v>7200</v>
      </c>
      <c r="N42" s="249" t="s">
        <v>7201</v>
      </c>
      <c r="O42" s="387"/>
      <c r="P42" s="387"/>
      <c r="Q42" s="390">
        <v>1</v>
      </c>
      <c r="R42" s="390"/>
    </row>
    <row r="43" ht="12.75" customHeight="1" spans="1:18">
      <c r="A43" s="249">
        <f t="shared" si="1"/>
        <v>41</v>
      </c>
      <c r="B43" s="387" t="s">
        <v>6787</v>
      </c>
      <c r="C43" s="387"/>
      <c r="D43" s="388"/>
      <c r="E43" s="388" t="s">
        <v>293</v>
      </c>
      <c r="F43" s="249" t="s">
        <v>1103</v>
      </c>
      <c r="G43" s="249" t="s">
        <v>1074</v>
      </c>
      <c r="H43" s="249" t="s">
        <v>7197</v>
      </c>
      <c r="I43" s="387" t="s">
        <v>7198</v>
      </c>
      <c r="J43" s="249" t="s">
        <v>7199</v>
      </c>
      <c r="K43" s="249" t="s">
        <v>1140</v>
      </c>
      <c r="L43" s="387"/>
      <c r="M43" s="249" t="s">
        <v>7200</v>
      </c>
      <c r="N43" s="249" t="s">
        <v>7201</v>
      </c>
      <c r="O43" s="387"/>
      <c r="P43" s="387"/>
      <c r="Q43" s="390">
        <v>1</v>
      </c>
      <c r="R43" s="390"/>
    </row>
    <row r="44" ht="12.75" customHeight="1" spans="1:18">
      <c r="A44" s="249">
        <f t="shared" si="1"/>
        <v>42</v>
      </c>
      <c r="B44" s="387" t="s">
        <v>6788</v>
      </c>
      <c r="C44" s="387"/>
      <c r="D44" s="388"/>
      <c r="E44" s="388" t="s">
        <v>293</v>
      </c>
      <c r="F44" s="249" t="s">
        <v>1103</v>
      </c>
      <c r="G44" s="249" t="s">
        <v>1074</v>
      </c>
      <c r="H44" s="249" t="s">
        <v>7197</v>
      </c>
      <c r="I44" s="387" t="s">
        <v>7198</v>
      </c>
      <c r="J44" s="249" t="s">
        <v>7199</v>
      </c>
      <c r="K44" s="249" t="s">
        <v>1140</v>
      </c>
      <c r="L44" s="387"/>
      <c r="M44" s="249" t="s">
        <v>7200</v>
      </c>
      <c r="N44" s="249" t="s">
        <v>7201</v>
      </c>
      <c r="O44" s="387"/>
      <c r="P44" s="387"/>
      <c r="Q44" s="390">
        <v>1</v>
      </c>
      <c r="R44" s="390"/>
    </row>
    <row r="45" ht="12.75" customHeight="1" spans="1:18">
      <c r="A45" s="249">
        <f t="shared" si="1"/>
        <v>43</v>
      </c>
      <c r="B45" s="387" t="s">
        <v>6789</v>
      </c>
      <c r="C45" s="387"/>
      <c r="D45" s="388"/>
      <c r="E45" s="388" t="s">
        <v>293</v>
      </c>
      <c r="F45" s="249" t="s">
        <v>1103</v>
      </c>
      <c r="G45" s="249" t="s">
        <v>1074</v>
      </c>
      <c r="H45" s="249" t="s">
        <v>7197</v>
      </c>
      <c r="I45" s="387" t="s">
        <v>7198</v>
      </c>
      <c r="J45" s="249" t="s">
        <v>7199</v>
      </c>
      <c r="K45" s="249" t="s">
        <v>1140</v>
      </c>
      <c r="L45" s="387"/>
      <c r="M45" s="249" t="s">
        <v>7200</v>
      </c>
      <c r="N45" s="249" t="s">
        <v>7201</v>
      </c>
      <c r="O45" s="387"/>
      <c r="P45" s="387"/>
      <c r="Q45" s="390">
        <v>1</v>
      </c>
      <c r="R45" s="390"/>
    </row>
    <row r="46" ht="12.75" customHeight="1" spans="1:18">
      <c r="A46" s="249">
        <f t="shared" si="1"/>
        <v>44</v>
      </c>
      <c r="B46" s="387" t="s">
        <v>6790</v>
      </c>
      <c r="C46" s="387"/>
      <c r="D46" s="388"/>
      <c r="E46" s="388" t="s">
        <v>293</v>
      </c>
      <c r="F46" s="249" t="s">
        <v>1103</v>
      </c>
      <c r="G46" s="249" t="s">
        <v>1074</v>
      </c>
      <c r="H46" s="249" t="s">
        <v>7197</v>
      </c>
      <c r="I46" s="387" t="s">
        <v>7198</v>
      </c>
      <c r="J46" s="249" t="s">
        <v>7199</v>
      </c>
      <c r="K46" s="249" t="s">
        <v>1140</v>
      </c>
      <c r="L46" s="387"/>
      <c r="M46" s="249" t="s">
        <v>7200</v>
      </c>
      <c r="N46" s="249" t="s">
        <v>7201</v>
      </c>
      <c r="O46" s="387"/>
      <c r="P46" s="387"/>
      <c r="Q46" s="390">
        <v>1</v>
      </c>
      <c r="R46" s="390"/>
    </row>
    <row r="47" ht="12.75" customHeight="1" spans="1:18">
      <c r="A47" s="249">
        <f t="shared" si="1"/>
        <v>45</v>
      </c>
      <c r="B47" s="387" t="s">
        <v>6791</v>
      </c>
      <c r="C47" s="387"/>
      <c r="D47" s="388"/>
      <c r="E47" s="388" t="s">
        <v>293</v>
      </c>
      <c r="F47" s="249" t="s">
        <v>1103</v>
      </c>
      <c r="G47" s="249" t="s">
        <v>1074</v>
      </c>
      <c r="H47" s="249" t="s">
        <v>7197</v>
      </c>
      <c r="I47" s="387" t="s">
        <v>7198</v>
      </c>
      <c r="J47" s="249" t="s">
        <v>7199</v>
      </c>
      <c r="K47" s="249" t="s">
        <v>1140</v>
      </c>
      <c r="L47" s="387"/>
      <c r="M47" s="249" t="s">
        <v>7200</v>
      </c>
      <c r="N47" s="249" t="s">
        <v>7201</v>
      </c>
      <c r="O47" s="387"/>
      <c r="P47" s="387"/>
      <c r="Q47" s="390">
        <v>1</v>
      </c>
      <c r="R47" s="390"/>
    </row>
    <row r="48" ht="12.75" customHeight="1" spans="1:18">
      <c r="A48" s="249">
        <f t="shared" si="1"/>
        <v>46</v>
      </c>
      <c r="B48" s="387" t="s">
        <v>6792</v>
      </c>
      <c r="C48" s="387"/>
      <c r="D48" s="388"/>
      <c r="E48" s="388" t="s">
        <v>293</v>
      </c>
      <c r="F48" s="249" t="s">
        <v>1103</v>
      </c>
      <c r="G48" s="249" t="s">
        <v>1074</v>
      </c>
      <c r="H48" s="249" t="s">
        <v>7197</v>
      </c>
      <c r="I48" s="387" t="s">
        <v>7198</v>
      </c>
      <c r="J48" s="249" t="s">
        <v>7199</v>
      </c>
      <c r="K48" s="249" t="s">
        <v>1140</v>
      </c>
      <c r="L48" s="387"/>
      <c r="M48" s="249" t="s">
        <v>7200</v>
      </c>
      <c r="N48" s="249" t="s">
        <v>7201</v>
      </c>
      <c r="O48" s="387"/>
      <c r="P48" s="387"/>
      <c r="Q48" s="390">
        <v>1</v>
      </c>
      <c r="R48" s="390"/>
    </row>
    <row r="49" ht="12.75" customHeight="1" spans="1:18">
      <c r="A49" s="249">
        <f t="shared" si="1"/>
        <v>47</v>
      </c>
      <c r="B49" s="387" t="s">
        <v>6793</v>
      </c>
      <c r="C49" s="387"/>
      <c r="D49" s="388"/>
      <c r="E49" s="388" t="s">
        <v>293</v>
      </c>
      <c r="F49" s="249" t="s">
        <v>1103</v>
      </c>
      <c r="G49" s="249" t="s">
        <v>1074</v>
      </c>
      <c r="H49" s="249" t="s">
        <v>7197</v>
      </c>
      <c r="I49" s="387" t="s">
        <v>7198</v>
      </c>
      <c r="J49" s="249" t="s">
        <v>7199</v>
      </c>
      <c r="K49" s="249" t="s">
        <v>1140</v>
      </c>
      <c r="L49" s="387"/>
      <c r="M49" s="249" t="s">
        <v>7200</v>
      </c>
      <c r="N49" s="249" t="s">
        <v>7201</v>
      </c>
      <c r="O49" s="387"/>
      <c r="P49" s="387"/>
      <c r="Q49" s="390">
        <v>1</v>
      </c>
      <c r="R49" s="390"/>
    </row>
    <row r="50" ht="12.75" customHeight="1" spans="1:18">
      <c r="A50" s="249">
        <f t="shared" si="1"/>
        <v>48</v>
      </c>
      <c r="B50" s="387" t="s">
        <v>6794</v>
      </c>
      <c r="C50" s="387"/>
      <c r="D50" s="388"/>
      <c r="E50" s="388" t="s">
        <v>293</v>
      </c>
      <c r="F50" s="249" t="s">
        <v>1103</v>
      </c>
      <c r="G50" s="249" t="s">
        <v>1074</v>
      </c>
      <c r="H50" s="249" t="s">
        <v>7197</v>
      </c>
      <c r="I50" s="387" t="s">
        <v>7198</v>
      </c>
      <c r="J50" s="249" t="s">
        <v>7199</v>
      </c>
      <c r="K50" s="249" t="s">
        <v>1140</v>
      </c>
      <c r="L50" s="387"/>
      <c r="M50" s="249" t="s">
        <v>7200</v>
      </c>
      <c r="N50" s="249" t="s">
        <v>7201</v>
      </c>
      <c r="O50" s="387"/>
      <c r="P50" s="387"/>
      <c r="Q50" s="390">
        <v>1</v>
      </c>
      <c r="R50" s="390"/>
    </row>
    <row r="51" ht="12.75" customHeight="1" spans="1:18">
      <c r="A51" s="249">
        <f t="shared" si="1"/>
        <v>49</v>
      </c>
      <c r="B51" s="387" t="s">
        <v>6795</v>
      </c>
      <c r="C51" s="387"/>
      <c r="D51" s="388"/>
      <c r="E51" s="388" t="s">
        <v>293</v>
      </c>
      <c r="F51" s="249" t="s">
        <v>1103</v>
      </c>
      <c r="G51" s="249" t="s">
        <v>1074</v>
      </c>
      <c r="H51" s="249" t="s">
        <v>7197</v>
      </c>
      <c r="I51" s="387" t="s">
        <v>7198</v>
      </c>
      <c r="J51" s="249" t="s">
        <v>7199</v>
      </c>
      <c r="K51" s="249" t="s">
        <v>1140</v>
      </c>
      <c r="L51" s="387"/>
      <c r="M51" s="249" t="s">
        <v>7200</v>
      </c>
      <c r="N51" s="249" t="s">
        <v>7201</v>
      </c>
      <c r="O51" s="387"/>
      <c r="P51" s="387"/>
      <c r="Q51" s="390">
        <v>1</v>
      </c>
      <c r="R51" s="390"/>
    </row>
    <row r="52" ht="12.75" customHeight="1" spans="1:18">
      <c r="A52" s="249">
        <f t="shared" si="1"/>
        <v>50</v>
      </c>
      <c r="B52" s="387" t="s">
        <v>6796</v>
      </c>
      <c r="C52" s="387"/>
      <c r="D52" s="388"/>
      <c r="E52" s="388" t="s">
        <v>293</v>
      </c>
      <c r="F52" s="249" t="s">
        <v>1103</v>
      </c>
      <c r="G52" s="249" t="s">
        <v>1074</v>
      </c>
      <c r="H52" s="249" t="s">
        <v>7197</v>
      </c>
      <c r="I52" s="387" t="s">
        <v>7198</v>
      </c>
      <c r="J52" s="249" t="s">
        <v>7199</v>
      </c>
      <c r="K52" s="249" t="s">
        <v>1140</v>
      </c>
      <c r="L52" s="387"/>
      <c r="M52" s="249" t="s">
        <v>7200</v>
      </c>
      <c r="N52" s="249" t="s">
        <v>7201</v>
      </c>
      <c r="O52" s="387"/>
      <c r="P52" s="387"/>
      <c r="Q52" s="390">
        <v>1</v>
      </c>
      <c r="R52" s="390"/>
    </row>
    <row r="53" ht="12.75" customHeight="1" spans="1:18">
      <c r="A53" s="249">
        <f t="shared" si="1"/>
        <v>51</v>
      </c>
      <c r="B53" s="387" t="s">
        <v>6797</v>
      </c>
      <c r="C53" s="387"/>
      <c r="D53" s="388"/>
      <c r="E53" s="388" t="s">
        <v>293</v>
      </c>
      <c r="F53" s="249" t="s">
        <v>1103</v>
      </c>
      <c r="G53" s="249" t="s">
        <v>1074</v>
      </c>
      <c r="H53" s="249" t="s">
        <v>7197</v>
      </c>
      <c r="I53" s="387" t="s">
        <v>7198</v>
      </c>
      <c r="J53" s="249" t="s">
        <v>7199</v>
      </c>
      <c r="K53" s="249" t="s">
        <v>1140</v>
      </c>
      <c r="L53" s="387"/>
      <c r="M53" s="249" t="s">
        <v>7200</v>
      </c>
      <c r="N53" s="249" t="s">
        <v>7201</v>
      </c>
      <c r="O53" s="387"/>
      <c r="P53" s="387"/>
      <c r="Q53" s="390">
        <v>1</v>
      </c>
      <c r="R53" s="390"/>
    </row>
    <row r="54" ht="12.75" customHeight="1" spans="1:18">
      <c r="A54" s="249">
        <f t="shared" si="1"/>
        <v>52</v>
      </c>
      <c r="B54" s="387" t="s">
        <v>6798</v>
      </c>
      <c r="C54" s="387"/>
      <c r="D54" s="388"/>
      <c r="E54" s="388" t="s">
        <v>293</v>
      </c>
      <c r="F54" s="249" t="s">
        <v>1103</v>
      </c>
      <c r="G54" s="249" t="s">
        <v>1074</v>
      </c>
      <c r="H54" s="249" t="s">
        <v>7197</v>
      </c>
      <c r="I54" s="387" t="s">
        <v>7198</v>
      </c>
      <c r="J54" s="249" t="s">
        <v>7199</v>
      </c>
      <c r="K54" s="249" t="s">
        <v>1140</v>
      </c>
      <c r="L54" s="387"/>
      <c r="M54" s="249" t="s">
        <v>7200</v>
      </c>
      <c r="N54" s="249" t="s">
        <v>7201</v>
      </c>
      <c r="O54" s="387"/>
      <c r="P54" s="387"/>
      <c r="Q54" s="390">
        <v>1</v>
      </c>
      <c r="R54" s="390"/>
    </row>
    <row r="55" ht="12.75" customHeight="1" spans="1:18">
      <c r="A55" s="249">
        <f t="shared" si="1"/>
        <v>53</v>
      </c>
      <c r="B55" s="387" t="s">
        <v>6799</v>
      </c>
      <c r="C55" s="387"/>
      <c r="D55" s="388"/>
      <c r="E55" s="388" t="s">
        <v>293</v>
      </c>
      <c r="F55" s="249" t="s">
        <v>1103</v>
      </c>
      <c r="G55" s="249" t="s">
        <v>1074</v>
      </c>
      <c r="H55" s="249" t="s">
        <v>7197</v>
      </c>
      <c r="I55" s="387" t="s">
        <v>7198</v>
      </c>
      <c r="J55" s="249" t="s">
        <v>7199</v>
      </c>
      <c r="K55" s="249" t="s">
        <v>1140</v>
      </c>
      <c r="L55" s="387"/>
      <c r="M55" s="249" t="s">
        <v>7200</v>
      </c>
      <c r="N55" s="249" t="s">
        <v>7201</v>
      </c>
      <c r="O55" s="387"/>
      <c r="P55" s="387"/>
      <c r="Q55" s="390">
        <v>1</v>
      </c>
      <c r="R55" s="390"/>
    </row>
    <row r="56" ht="12.75" customHeight="1" spans="1:18">
      <c r="A56" s="249">
        <f t="shared" si="1"/>
        <v>54</v>
      </c>
      <c r="B56" s="387" t="s">
        <v>6800</v>
      </c>
      <c r="C56" s="387"/>
      <c r="D56" s="388"/>
      <c r="E56" s="388" t="s">
        <v>293</v>
      </c>
      <c r="F56" s="249" t="s">
        <v>1103</v>
      </c>
      <c r="G56" s="249" t="s">
        <v>1074</v>
      </c>
      <c r="H56" s="249" t="s">
        <v>7197</v>
      </c>
      <c r="I56" s="387" t="s">
        <v>7198</v>
      </c>
      <c r="J56" s="249" t="s">
        <v>7199</v>
      </c>
      <c r="K56" s="249" t="s">
        <v>1140</v>
      </c>
      <c r="L56" s="387"/>
      <c r="M56" s="249" t="s">
        <v>7200</v>
      </c>
      <c r="N56" s="249" t="s">
        <v>7201</v>
      </c>
      <c r="O56" s="387"/>
      <c r="P56" s="387"/>
      <c r="Q56" s="390">
        <v>1</v>
      </c>
      <c r="R56" s="390"/>
    </row>
    <row r="57" ht="12.75" customHeight="1" spans="1:18">
      <c r="A57" s="249">
        <f t="shared" si="1"/>
        <v>55</v>
      </c>
      <c r="B57" s="387" t="s">
        <v>6801</v>
      </c>
      <c r="C57" s="387" t="s">
        <v>7202</v>
      </c>
      <c r="D57" s="392"/>
      <c r="E57" s="388" t="s">
        <v>294</v>
      </c>
      <c r="F57" s="249" t="s">
        <v>1103</v>
      </c>
      <c r="G57" s="393"/>
      <c r="H57" s="249" t="s">
        <v>7197</v>
      </c>
      <c r="I57" s="394" t="s">
        <v>7203</v>
      </c>
      <c r="J57" s="249" t="s">
        <v>7204</v>
      </c>
      <c r="K57" s="249" t="s">
        <v>811</v>
      </c>
      <c r="L57" s="387"/>
      <c r="M57" s="249" t="s">
        <v>7205</v>
      </c>
      <c r="N57" s="249" t="s">
        <v>7206</v>
      </c>
      <c r="O57" s="387"/>
      <c r="P57" s="387"/>
      <c r="Q57" s="390">
        <v>0.5</v>
      </c>
      <c r="R57" s="390"/>
    </row>
    <row r="58" ht="12.75" customHeight="1" spans="1:18">
      <c r="A58" s="249">
        <f t="shared" si="1"/>
        <v>56</v>
      </c>
      <c r="B58" s="387" t="s">
        <v>6802</v>
      </c>
      <c r="C58" s="387" t="s">
        <v>7207</v>
      </c>
      <c r="D58" s="392"/>
      <c r="E58" s="388" t="s">
        <v>294</v>
      </c>
      <c r="F58" s="249" t="s">
        <v>1103</v>
      </c>
      <c r="G58" s="393"/>
      <c r="H58" s="249" t="s">
        <v>7197</v>
      </c>
      <c r="I58" s="394" t="s">
        <v>7203</v>
      </c>
      <c r="J58" s="249" t="s">
        <v>7204</v>
      </c>
      <c r="K58" s="249" t="s">
        <v>811</v>
      </c>
      <c r="L58" s="387"/>
      <c r="M58" s="249" t="s">
        <v>7205</v>
      </c>
      <c r="N58" s="249" t="s">
        <v>7206</v>
      </c>
      <c r="O58" s="387"/>
      <c r="P58" s="387"/>
      <c r="Q58" s="390">
        <v>0.5</v>
      </c>
      <c r="R58" s="390"/>
    </row>
    <row r="59" ht="12.75" customHeight="1" spans="1:18">
      <c r="A59" s="249">
        <f t="shared" si="1"/>
        <v>57</v>
      </c>
      <c r="B59" s="387" t="s">
        <v>6803</v>
      </c>
      <c r="C59" s="387" t="s">
        <v>7208</v>
      </c>
      <c r="D59" s="392"/>
      <c r="E59" s="388" t="s">
        <v>294</v>
      </c>
      <c r="F59" s="249" t="s">
        <v>1103</v>
      </c>
      <c r="G59" s="393"/>
      <c r="H59" s="249" t="s">
        <v>7197</v>
      </c>
      <c r="I59" s="394" t="s">
        <v>7203</v>
      </c>
      <c r="J59" s="249" t="s">
        <v>7204</v>
      </c>
      <c r="K59" s="249" t="s">
        <v>811</v>
      </c>
      <c r="L59" s="387"/>
      <c r="M59" s="249" t="s">
        <v>7205</v>
      </c>
      <c r="N59" s="249" t="s">
        <v>7206</v>
      </c>
      <c r="O59" s="387"/>
      <c r="P59" s="387"/>
      <c r="Q59" s="390">
        <v>0.5</v>
      </c>
      <c r="R59" s="390"/>
    </row>
    <row r="60" ht="12.75" customHeight="1" spans="1:18">
      <c r="A60" s="249">
        <f t="shared" si="1"/>
        <v>58</v>
      </c>
      <c r="B60" s="387" t="s">
        <v>6804</v>
      </c>
      <c r="C60" s="387" t="s">
        <v>7209</v>
      </c>
      <c r="D60" s="392"/>
      <c r="E60" s="388" t="s">
        <v>294</v>
      </c>
      <c r="F60" s="249" t="s">
        <v>1103</v>
      </c>
      <c r="G60" s="393"/>
      <c r="H60" s="249" t="s">
        <v>7197</v>
      </c>
      <c r="I60" s="394" t="s">
        <v>7203</v>
      </c>
      <c r="J60" s="249" t="s">
        <v>7204</v>
      </c>
      <c r="K60" s="249" t="s">
        <v>811</v>
      </c>
      <c r="L60" s="387"/>
      <c r="M60" s="249" t="s">
        <v>7205</v>
      </c>
      <c r="N60" s="249" t="s">
        <v>7206</v>
      </c>
      <c r="O60" s="387"/>
      <c r="P60" s="387"/>
      <c r="Q60" s="390">
        <v>0.5</v>
      </c>
      <c r="R60" s="390"/>
    </row>
    <row r="61" ht="12.75" customHeight="1" spans="1:18">
      <c r="A61" s="385">
        <f t="shared" si="1"/>
        <v>59</v>
      </c>
      <c r="B61" s="383" t="s">
        <v>6805</v>
      </c>
      <c r="C61" s="383"/>
      <c r="D61" s="395"/>
      <c r="E61" s="384" t="s">
        <v>293</v>
      </c>
      <c r="F61" s="385" t="s">
        <v>1103</v>
      </c>
      <c r="G61" s="396" t="s">
        <v>7210</v>
      </c>
      <c r="H61" s="385" t="s">
        <v>7197</v>
      </c>
      <c r="I61" s="397"/>
      <c r="J61" s="249" t="s">
        <v>7211</v>
      </c>
      <c r="K61" s="249" t="s">
        <v>811</v>
      </c>
      <c r="L61" s="387"/>
      <c r="M61" s="249" t="s">
        <v>7212</v>
      </c>
      <c r="N61" s="249" t="s">
        <v>7213</v>
      </c>
      <c r="O61" s="383"/>
      <c r="P61" s="383"/>
      <c r="Q61" s="390">
        <v>1</v>
      </c>
      <c r="R61" s="390"/>
    </row>
    <row r="62" ht="12.75" customHeight="1" spans="1:18">
      <c r="A62" s="249">
        <f t="shared" si="1"/>
        <v>60</v>
      </c>
      <c r="B62" s="387" t="s">
        <v>6806</v>
      </c>
      <c r="C62" s="387"/>
      <c r="D62" s="392"/>
      <c r="E62" s="388" t="s">
        <v>293</v>
      </c>
      <c r="F62" s="249" t="s">
        <v>1103</v>
      </c>
      <c r="G62" s="393" t="s">
        <v>7210</v>
      </c>
      <c r="H62" s="249" t="s">
        <v>7197</v>
      </c>
      <c r="I62" s="394"/>
      <c r="J62" s="249" t="s">
        <v>7211</v>
      </c>
      <c r="K62" s="249" t="s">
        <v>811</v>
      </c>
      <c r="L62" s="387"/>
      <c r="M62" s="249" t="s">
        <v>7212</v>
      </c>
      <c r="N62" s="249" t="s">
        <v>7213</v>
      </c>
      <c r="O62" s="387"/>
      <c r="P62" s="387"/>
      <c r="Q62" s="390">
        <v>1</v>
      </c>
      <c r="R62" s="390"/>
    </row>
    <row r="63" ht="12.75" customHeight="1" spans="1:18">
      <c r="A63" s="249">
        <f t="shared" si="1"/>
        <v>61</v>
      </c>
      <c r="B63" s="387" t="s">
        <v>6807</v>
      </c>
      <c r="C63" s="387"/>
      <c r="D63" s="392"/>
      <c r="E63" s="388" t="s">
        <v>293</v>
      </c>
      <c r="F63" s="249" t="s">
        <v>1103</v>
      </c>
      <c r="G63" s="393" t="s">
        <v>7210</v>
      </c>
      <c r="H63" s="249" t="s">
        <v>7197</v>
      </c>
      <c r="I63" s="394"/>
      <c r="J63" s="249" t="s">
        <v>7211</v>
      </c>
      <c r="K63" s="249" t="s">
        <v>811</v>
      </c>
      <c r="L63" s="387"/>
      <c r="M63" s="249" t="s">
        <v>7212</v>
      </c>
      <c r="N63" s="249" t="s">
        <v>7213</v>
      </c>
      <c r="O63" s="387"/>
      <c r="P63" s="387"/>
      <c r="Q63" s="390">
        <v>1</v>
      </c>
      <c r="R63" s="390"/>
    </row>
    <row r="64" ht="12.75" customHeight="1" spans="1:18">
      <c r="A64" s="249">
        <f t="shared" si="1"/>
        <v>62</v>
      </c>
      <c r="B64" s="387" t="s">
        <v>6808</v>
      </c>
      <c r="C64" s="387"/>
      <c r="D64" s="392"/>
      <c r="E64" s="388" t="s">
        <v>293</v>
      </c>
      <c r="F64" s="249" t="s">
        <v>1103</v>
      </c>
      <c r="G64" s="393" t="s">
        <v>7210</v>
      </c>
      <c r="H64" s="249" t="s">
        <v>7197</v>
      </c>
      <c r="I64" s="394"/>
      <c r="J64" s="249" t="s">
        <v>7211</v>
      </c>
      <c r="K64" s="249" t="s">
        <v>811</v>
      </c>
      <c r="L64" s="387"/>
      <c r="M64" s="249" t="s">
        <v>7212</v>
      </c>
      <c r="N64" s="249" t="s">
        <v>7213</v>
      </c>
      <c r="O64" s="387"/>
      <c r="P64" s="387"/>
      <c r="Q64" s="390">
        <v>1</v>
      </c>
      <c r="R64" s="390"/>
    </row>
    <row r="65" ht="12.75" customHeight="1" spans="1:18">
      <c r="A65" s="249">
        <f t="shared" si="1"/>
        <v>63</v>
      </c>
      <c r="B65" s="387" t="s">
        <v>6809</v>
      </c>
      <c r="C65" s="387"/>
      <c r="D65" s="392"/>
      <c r="E65" s="388" t="s">
        <v>293</v>
      </c>
      <c r="F65" s="249" t="s">
        <v>1103</v>
      </c>
      <c r="G65" s="393" t="s">
        <v>7210</v>
      </c>
      <c r="H65" s="249" t="s">
        <v>7197</v>
      </c>
      <c r="I65" s="394"/>
      <c r="J65" s="249" t="s">
        <v>7211</v>
      </c>
      <c r="K65" s="249" t="s">
        <v>811</v>
      </c>
      <c r="L65" s="387"/>
      <c r="M65" s="249" t="s">
        <v>7212</v>
      </c>
      <c r="N65" s="249" t="s">
        <v>7213</v>
      </c>
      <c r="O65" s="387"/>
      <c r="P65" s="387"/>
      <c r="Q65" s="390">
        <v>1</v>
      </c>
      <c r="R65" s="390"/>
    </row>
    <row r="66" ht="12.75" customHeight="1" spans="1:18">
      <c r="A66" s="249">
        <f t="shared" si="1"/>
        <v>64</v>
      </c>
      <c r="B66" s="387" t="s">
        <v>6810</v>
      </c>
      <c r="C66" s="387"/>
      <c r="D66" s="392"/>
      <c r="E66" s="388" t="s">
        <v>293</v>
      </c>
      <c r="F66" s="249" t="s">
        <v>1103</v>
      </c>
      <c r="G66" s="393" t="s">
        <v>7210</v>
      </c>
      <c r="H66" s="249" t="s">
        <v>7197</v>
      </c>
      <c r="I66" s="394"/>
      <c r="J66" s="249" t="s">
        <v>7211</v>
      </c>
      <c r="K66" s="249" t="s">
        <v>811</v>
      </c>
      <c r="L66" s="387"/>
      <c r="M66" s="249" t="s">
        <v>7212</v>
      </c>
      <c r="N66" s="249" t="s">
        <v>7213</v>
      </c>
      <c r="O66" s="387"/>
      <c r="P66" s="387"/>
      <c r="Q66" s="390">
        <v>1</v>
      </c>
      <c r="R66" s="390"/>
    </row>
    <row r="67" ht="12.75" customHeight="1" spans="1:18">
      <c r="A67" s="249">
        <f t="shared" si="1"/>
        <v>65</v>
      </c>
      <c r="B67" s="387" t="s">
        <v>6811</v>
      </c>
      <c r="C67" s="387"/>
      <c r="D67" s="392"/>
      <c r="E67" s="388" t="s">
        <v>293</v>
      </c>
      <c r="F67" s="249" t="s">
        <v>1103</v>
      </c>
      <c r="G67" s="393" t="s">
        <v>7210</v>
      </c>
      <c r="H67" s="249" t="s">
        <v>7197</v>
      </c>
      <c r="I67" s="394"/>
      <c r="J67" s="249" t="s">
        <v>7211</v>
      </c>
      <c r="K67" s="249" t="s">
        <v>811</v>
      </c>
      <c r="L67" s="387"/>
      <c r="M67" s="249" t="s">
        <v>7212</v>
      </c>
      <c r="N67" s="249" t="s">
        <v>7213</v>
      </c>
      <c r="O67" s="387"/>
      <c r="P67" s="387"/>
      <c r="Q67" s="390">
        <v>1</v>
      </c>
      <c r="R67" s="390"/>
    </row>
    <row r="68" ht="12.75" customHeight="1" spans="1:18">
      <c r="A68" s="249">
        <f t="shared" si="1"/>
        <v>66</v>
      </c>
      <c r="B68" s="387" t="s">
        <v>6812</v>
      </c>
      <c r="C68" s="387"/>
      <c r="D68" s="392"/>
      <c r="E68" s="388" t="s">
        <v>293</v>
      </c>
      <c r="F68" s="249" t="s">
        <v>1103</v>
      </c>
      <c r="G68" s="393" t="s">
        <v>7210</v>
      </c>
      <c r="H68" s="249" t="s">
        <v>7197</v>
      </c>
      <c r="I68" s="394"/>
      <c r="J68" s="249" t="s">
        <v>7211</v>
      </c>
      <c r="K68" s="249" t="s">
        <v>811</v>
      </c>
      <c r="L68" s="387"/>
      <c r="M68" s="249" t="s">
        <v>7212</v>
      </c>
      <c r="N68" s="249" t="s">
        <v>7213</v>
      </c>
      <c r="O68" s="387"/>
      <c r="P68" s="387"/>
      <c r="Q68" s="390">
        <v>1</v>
      </c>
      <c r="R68" s="390"/>
    </row>
    <row r="69" ht="12.75" customHeight="1" spans="1:18">
      <c r="A69" s="249">
        <f t="shared" si="1"/>
        <v>67</v>
      </c>
      <c r="B69" s="387" t="s">
        <v>6813</v>
      </c>
      <c r="C69" s="387"/>
      <c r="D69" s="392"/>
      <c r="E69" s="388" t="s">
        <v>293</v>
      </c>
      <c r="F69" s="249" t="s">
        <v>1103</v>
      </c>
      <c r="G69" s="393" t="s">
        <v>7210</v>
      </c>
      <c r="H69" s="249" t="s">
        <v>7197</v>
      </c>
      <c r="I69" s="394"/>
      <c r="J69" s="249" t="s">
        <v>7211</v>
      </c>
      <c r="K69" s="249" t="s">
        <v>811</v>
      </c>
      <c r="L69" s="387"/>
      <c r="M69" s="249" t="s">
        <v>7212</v>
      </c>
      <c r="N69" s="249" t="s">
        <v>7213</v>
      </c>
      <c r="O69" s="387"/>
      <c r="P69" s="387"/>
      <c r="Q69" s="390">
        <v>1</v>
      </c>
      <c r="R69" s="390"/>
    </row>
    <row r="70" ht="12.75" customHeight="1" spans="1:18">
      <c r="A70" s="249">
        <f t="shared" si="1"/>
        <v>68</v>
      </c>
      <c r="B70" s="387" t="s">
        <v>6814</v>
      </c>
      <c r="C70" s="387"/>
      <c r="D70" s="392"/>
      <c r="E70" s="388" t="s">
        <v>293</v>
      </c>
      <c r="F70" s="249" t="s">
        <v>1103</v>
      </c>
      <c r="G70" s="393" t="s">
        <v>7210</v>
      </c>
      <c r="H70" s="249" t="s">
        <v>7197</v>
      </c>
      <c r="I70" s="394"/>
      <c r="J70" s="249" t="s">
        <v>7211</v>
      </c>
      <c r="K70" s="249" t="s">
        <v>811</v>
      </c>
      <c r="L70" s="387"/>
      <c r="M70" s="249" t="s">
        <v>7212</v>
      </c>
      <c r="N70" s="249" t="s">
        <v>7213</v>
      </c>
      <c r="O70" s="387"/>
      <c r="P70" s="387"/>
      <c r="Q70" s="390">
        <v>1</v>
      </c>
      <c r="R70" s="390"/>
    </row>
    <row r="71" ht="12.75" customHeight="1" spans="1:18">
      <c r="A71" s="249">
        <f t="shared" si="1"/>
        <v>69</v>
      </c>
      <c r="B71" s="387" t="s">
        <v>6815</v>
      </c>
      <c r="C71" s="387"/>
      <c r="D71" s="392"/>
      <c r="E71" s="388" t="s">
        <v>293</v>
      </c>
      <c r="F71" s="249" t="s">
        <v>1103</v>
      </c>
      <c r="G71" s="393" t="s">
        <v>7210</v>
      </c>
      <c r="H71" s="249" t="s">
        <v>7197</v>
      </c>
      <c r="I71" s="394"/>
      <c r="J71" s="249" t="s">
        <v>7211</v>
      </c>
      <c r="K71" s="249" t="s">
        <v>811</v>
      </c>
      <c r="L71" s="387"/>
      <c r="M71" s="249" t="s">
        <v>7212</v>
      </c>
      <c r="N71" s="249" t="s">
        <v>7213</v>
      </c>
      <c r="O71" s="387"/>
      <c r="P71" s="387"/>
      <c r="Q71" s="390">
        <v>1</v>
      </c>
      <c r="R71" s="390"/>
    </row>
    <row r="72" ht="12.75" customHeight="1" spans="1:18">
      <c r="A72" s="249">
        <f t="shared" si="1"/>
        <v>70</v>
      </c>
      <c r="B72" s="387" t="s">
        <v>6816</v>
      </c>
      <c r="C72" s="387"/>
      <c r="D72" s="392"/>
      <c r="E72" s="388" t="s">
        <v>293</v>
      </c>
      <c r="F72" s="249" t="s">
        <v>1103</v>
      </c>
      <c r="G72" s="393" t="s">
        <v>7210</v>
      </c>
      <c r="H72" s="249" t="s">
        <v>7197</v>
      </c>
      <c r="I72" s="394"/>
      <c r="J72" s="249" t="s">
        <v>7211</v>
      </c>
      <c r="K72" s="249" t="s">
        <v>811</v>
      </c>
      <c r="L72" s="387"/>
      <c r="M72" s="249" t="s">
        <v>7212</v>
      </c>
      <c r="N72" s="249" t="s">
        <v>7213</v>
      </c>
      <c r="O72" s="387"/>
      <c r="P72" s="387"/>
      <c r="Q72" s="390">
        <v>1</v>
      </c>
      <c r="R72" s="390"/>
    </row>
    <row r="73" ht="12.75" customHeight="1" spans="1:18">
      <c r="A73" s="249">
        <f t="shared" si="1"/>
        <v>71</v>
      </c>
      <c r="B73" s="387" t="s">
        <v>6817</v>
      </c>
      <c r="C73" s="387"/>
      <c r="D73" s="392"/>
      <c r="E73" s="388" t="s">
        <v>293</v>
      </c>
      <c r="F73" s="249" t="s">
        <v>1103</v>
      </c>
      <c r="G73" s="393" t="s">
        <v>7210</v>
      </c>
      <c r="H73" s="249" t="s">
        <v>7197</v>
      </c>
      <c r="I73" s="394"/>
      <c r="J73" s="249" t="s">
        <v>7211</v>
      </c>
      <c r="K73" s="249" t="s">
        <v>811</v>
      </c>
      <c r="L73" s="387"/>
      <c r="M73" s="249" t="s">
        <v>7212</v>
      </c>
      <c r="N73" s="249" t="s">
        <v>7213</v>
      </c>
      <c r="O73" s="387"/>
      <c r="P73" s="387"/>
      <c r="Q73" s="390">
        <v>1</v>
      </c>
      <c r="R73" s="390"/>
    </row>
    <row r="74" ht="12.75" customHeight="1" spans="1:18">
      <c r="A74" s="249">
        <f t="shared" si="1"/>
        <v>72</v>
      </c>
      <c r="B74" s="387" t="s">
        <v>6818</v>
      </c>
      <c r="C74" s="387"/>
      <c r="D74" s="392"/>
      <c r="E74" s="388" t="s">
        <v>293</v>
      </c>
      <c r="F74" s="249" t="s">
        <v>1103</v>
      </c>
      <c r="G74" s="393" t="s">
        <v>7210</v>
      </c>
      <c r="H74" s="249" t="s">
        <v>7197</v>
      </c>
      <c r="I74" s="394"/>
      <c r="J74" s="249" t="s">
        <v>7211</v>
      </c>
      <c r="K74" s="249" t="s">
        <v>811</v>
      </c>
      <c r="L74" s="387"/>
      <c r="M74" s="249" t="s">
        <v>7212</v>
      </c>
      <c r="N74" s="249" t="s">
        <v>7213</v>
      </c>
      <c r="O74" s="387"/>
      <c r="P74" s="387"/>
      <c r="Q74" s="390">
        <v>1</v>
      </c>
      <c r="R74" s="390"/>
    </row>
    <row r="75" ht="12.75" customHeight="1" spans="1:18">
      <c r="A75" s="249">
        <f t="shared" si="1"/>
        <v>73</v>
      </c>
      <c r="B75" s="387" t="s">
        <v>6819</v>
      </c>
      <c r="C75" s="387"/>
      <c r="D75" s="392"/>
      <c r="E75" s="388" t="s">
        <v>293</v>
      </c>
      <c r="F75" s="249" t="s">
        <v>1103</v>
      </c>
      <c r="G75" s="393" t="s">
        <v>7210</v>
      </c>
      <c r="H75" s="249" t="s">
        <v>7197</v>
      </c>
      <c r="I75" s="394"/>
      <c r="J75" s="249" t="s">
        <v>7211</v>
      </c>
      <c r="K75" s="249" t="s">
        <v>811</v>
      </c>
      <c r="L75" s="387"/>
      <c r="M75" s="249" t="s">
        <v>7212</v>
      </c>
      <c r="N75" s="249" t="s">
        <v>7213</v>
      </c>
      <c r="O75" s="387"/>
      <c r="P75" s="387"/>
      <c r="Q75" s="390">
        <v>1</v>
      </c>
      <c r="R75" s="390"/>
    </row>
    <row r="76" ht="12.75" customHeight="1" spans="1:18">
      <c r="A76" s="249">
        <f t="shared" si="1"/>
        <v>74</v>
      </c>
      <c r="B76" s="387" t="s">
        <v>6820</v>
      </c>
      <c r="C76" s="387"/>
      <c r="D76" s="392"/>
      <c r="E76" s="388" t="s">
        <v>293</v>
      </c>
      <c r="F76" s="249" t="s">
        <v>1103</v>
      </c>
      <c r="G76" s="393" t="s">
        <v>7214</v>
      </c>
      <c r="H76" s="249"/>
      <c r="I76" s="394"/>
      <c r="J76" s="249" t="s">
        <v>7215</v>
      </c>
      <c r="K76" s="249" t="s">
        <v>1140</v>
      </c>
      <c r="L76" s="387"/>
      <c r="M76" s="249" t="s">
        <v>7216</v>
      </c>
      <c r="N76" s="249" t="s">
        <v>7201</v>
      </c>
      <c r="O76" s="387"/>
      <c r="P76" s="387"/>
      <c r="Q76" s="390">
        <v>1</v>
      </c>
      <c r="R76" s="390"/>
    </row>
    <row r="77" ht="12.75" customHeight="1" spans="1:18">
      <c r="A77" s="249">
        <f t="shared" si="1"/>
        <v>75</v>
      </c>
      <c r="B77" s="387" t="s">
        <v>6821</v>
      </c>
      <c r="C77" s="387"/>
      <c r="D77" s="392"/>
      <c r="E77" s="388" t="s">
        <v>293</v>
      </c>
      <c r="F77" s="249" t="s">
        <v>1103</v>
      </c>
      <c r="G77" s="393" t="s">
        <v>7214</v>
      </c>
      <c r="H77" s="249"/>
      <c r="I77" s="394"/>
      <c r="J77" s="249" t="s">
        <v>7215</v>
      </c>
      <c r="K77" s="249" t="s">
        <v>1140</v>
      </c>
      <c r="L77" s="387"/>
      <c r="M77" s="249" t="s">
        <v>7216</v>
      </c>
      <c r="N77" s="249" t="s">
        <v>7201</v>
      </c>
      <c r="O77" s="387"/>
      <c r="P77" s="387"/>
      <c r="Q77" s="390">
        <v>1</v>
      </c>
      <c r="R77" s="390"/>
    </row>
    <row r="78" ht="12.75" customHeight="1" spans="1:18">
      <c r="A78" s="249">
        <f t="shared" si="1"/>
        <v>76</v>
      </c>
      <c r="B78" s="387" t="s">
        <v>6822</v>
      </c>
      <c r="C78" s="387"/>
      <c r="D78" s="392"/>
      <c r="E78" s="388" t="s">
        <v>293</v>
      </c>
      <c r="F78" s="249" t="s">
        <v>1103</v>
      </c>
      <c r="G78" s="393" t="s">
        <v>7214</v>
      </c>
      <c r="H78" s="249"/>
      <c r="I78" s="394"/>
      <c r="J78" s="249" t="s">
        <v>7215</v>
      </c>
      <c r="K78" s="249" t="s">
        <v>1140</v>
      </c>
      <c r="L78" s="387"/>
      <c r="M78" s="249" t="s">
        <v>7216</v>
      </c>
      <c r="N78" s="249" t="s">
        <v>7201</v>
      </c>
      <c r="O78" s="387"/>
      <c r="P78" s="387"/>
      <c r="Q78" s="390">
        <v>1</v>
      </c>
      <c r="R78" s="390"/>
    </row>
    <row r="79" ht="12.75" customHeight="1" spans="1:18">
      <c r="A79" s="249">
        <f t="shared" si="1"/>
        <v>77</v>
      </c>
      <c r="B79" s="387" t="s">
        <v>6823</v>
      </c>
      <c r="C79" s="387"/>
      <c r="D79" s="392"/>
      <c r="E79" s="388" t="s">
        <v>293</v>
      </c>
      <c r="F79" s="249" t="s">
        <v>1103</v>
      </c>
      <c r="G79" s="393" t="s">
        <v>7214</v>
      </c>
      <c r="H79" s="249"/>
      <c r="I79" s="394"/>
      <c r="J79" s="249" t="s">
        <v>7215</v>
      </c>
      <c r="K79" s="249" t="s">
        <v>1140</v>
      </c>
      <c r="L79" s="387"/>
      <c r="M79" s="249" t="s">
        <v>7216</v>
      </c>
      <c r="N79" s="249" t="s">
        <v>7201</v>
      </c>
      <c r="O79" s="387"/>
      <c r="P79" s="387"/>
      <c r="Q79" s="390">
        <v>1</v>
      </c>
      <c r="R79" s="390"/>
    </row>
    <row r="80" ht="12.75" customHeight="1" spans="1:18">
      <c r="A80" s="249">
        <f t="shared" si="1"/>
        <v>78</v>
      </c>
      <c r="B80" s="387" t="s">
        <v>6824</v>
      </c>
      <c r="C80" s="387"/>
      <c r="D80" s="392"/>
      <c r="E80" s="388" t="s">
        <v>293</v>
      </c>
      <c r="F80" s="249" t="s">
        <v>1103</v>
      </c>
      <c r="G80" s="393" t="s">
        <v>7214</v>
      </c>
      <c r="H80" s="249"/>
      <c r="I80" s="394"/>
      <c r="J80" s="249" t="s">
        <v>7215</v>
      </c>
      <c r="K80" s="249" t="s">
        <v>1140</v>
      </c>
      <c r="L80" s="387"/>
      <c r="M80" s="249" t="s">
        <v>7216</v>
      </c>
      <c r="N80" s="249" t="s">
        <v>7201</v>
      </c>
      <c r="O80" s="387"/>
      <c r="P80" s="387"/>
      <c r="Q80" s="390">
        <v>1</v>
      </c>
      <c r="R80" s="390"/>
    </row>
    <row r="81" ht="12.75" customHeight="1" spans="1:18">
      <c r="A81" s="249">
        <f t="shared" si="1"/>
        <v>79</v>
      </c>
      <c r="B81" s="387" t="s">
        <v>6825</v>
      </c>
      <c r="C81" s="387"/>
      <c r="D81" s="392"/>
      <c r="E81" s="388" t="s">
        <v>293</v>
      </c>
      <c r="F81" s="249" t="s">
        <v>1103</v>
      </c>
      <c r="G81" s="393" t="s">
        <v>7214</v>
      </c>
      <c r="H81" s="249"/>
      <c r="I81" s="394"/>
      <c r="J81" s="249" t="s">
        <v>7215</v>
      </c>
      <c r="K81" s="249" t="s">
        <v>1140</v>
      </c>
      <c r="L81" s="387"/>
      <c r="M81" s="249" t="s">
        <v>7216</v>
      </c>
      <c r="N81" s="249" t="s">
        <v>7201</v>
      </c>
      <c r="O81" s="387"/>
      <c r="P81" s="387"/>
      <c r="Q81" s="390">
        <v>1</v>
      </c>
      <c r="R81" s="390"/>
    </row>
    <row r="82" ht="12.75" customHeight="1" spans="1:18">
      <c r="A82" s="249">
        <f t="shared" si="1"/>
        <v>80</v>
      </c>
      <c r="B82" s="387" t="s">
        <v>6826</v>
      </c>
      <c r="C82" s="387"/>
      <c r="D82" s="392"/>
      <c r="E82" s="388" t="s">
        <v>293</v>
      </c>
      <c r="F82" s="249" t="s">
        <v>1103</v>
      </c>
      <c r="G82" s="393" t="s">
        <v>7214</v>
      </c>
      <c r="H82" s="249"/>
      <c r="I82" s="394"/>
      <c r="J82" s="249" t="s">
        <v>7215</v>
      </c>
      <c r="K82" s="249" t="s">
        <v>1140</v>
      </c>
      <c r="L82" s="387"/>
      <c r="M82" s="249" t="s">
        <v>7216</v>
      </c>
      <c r="N82" s="249" t="s">
        <v>7201</v>
      </c>
      <c r="O82" s="387"/>
      <c r="P82" s="387"/>
      <c r="Q82" s="390">
        <v>1</v>
      </c>
      <c r="R82" s="390"/>
    </row>
    <row r="83" ht="12.75" customHeight="1" spans="1:18">
      <c r="A83" s="249">
        <f t="shared" si="1"/>
        <v>81</v>
      </c>
      <c r="B83" s="387" t="s">
        <v>6827</v>
      </c>
      <c r="C83" s="387"/>
      <c r="D83" s="392"/>
      <c r="E83" s="388" t="s">
        <v>293</v>
      </c>
      <c r="F83" s="249" t="s">
        <v>1103</v>
      </c>
      <c r="G83" s="393" t="s">
        <v>7214</v>
      </c>
      <c r="H83" s="249"/>
      <c r="I83" s="394"/>
      <c r="J83" s="249" t="s">
        <v>7215</v>
      </c>
      <c r="K83" s="249" t="s">
        <v>1140</v>
      </c>
      <c r="L83" s="387"/>
      <c r="M83" s="249" t="s">
        <v>7216</v>
      </c>
      <c r="N83" s="249" t="s">
        <v>7201</v>
      </c>
      <c r="O83" s="387"/>
      <c r="P83" s="387"/>
      <c r="Q83" s="390">
        <v>1</v>
      </c>
      <c r="R83" s="390"/>
    </row>
    <row r="84" ht="12.75" customHeight="1" spans="1:18">
      <c r="A84" s="249">
        <f t="shared" si="1"/>
        <v>82</v>
      </c>
      <c r="B84" s="387" t="s">
        <v>6828</v>
      </c>
      <c r="C84" s="387"/>
      <c r="D84" s="392"/>
      <c r="E84" s="388" t="s">
        <v>293</v>
      </c>
      <c r="F84" s="249" t="s">
        <v>1103</v>
      </c>
      <c r="G84" s="393" t="s">
        <v>7214</v>
      </c>
      <c r="H84" s="249"/>
      <c r="I84" s="394"/>
      <c r="J84" s="249" t="s">
        <v>7215</v>
      </c>
      <c r="K84" s="249" t="s">
        <v>1140</v>
      </c>
      <c r="L84" s="387"/>
      <c r="M84" s="249" t="s">
        <v>7216</v>
      </c>
      <c r="N84" s="249" t="s">
        <v>7201</v>
      </c>
      <c r="O84" s="387"/>
      <c r="P84" s="387"/>
      <c r="Q84" s="390">
        <v>1</v>
      </c>
      <c r="R84" s="390"/>
    </row>
    <row r="85" ht="12.75" customHeight="1" spans="1:18">
      <c r="A85" s="249">
        <f t="shared" si="1"/>
        <v>83</v>
      </c>
      <c r="B85" s="387" t="s">
        <v>6829</v>
      </c>
      <c r="C85" s="387"/>
      <c r="D85" s="392"/>
      <c r="E85" s="388" t="s">
        <v>293</v>
      </c>
      <c r="F85" s="249" t="s">
        <v>1103</v>
      </c>
      <c r="G85" s="393" t="s">
        <v>7214</v>
      </c>
      <c r="H85" s="249"/>
      <c r="I85" s="394"/>
      <c r="J85" s="249" t="s">
        <v>7215</v>
      </c>
      <c r="K85" s="249" t="s">
        <v>1140</v>
      </c>
      <c r="L85" s="387"/>
      <c r="M85" s="249" t="s">
        <v>7216</v>
      </c>
      <c r="N85" s="249" t="s">
        <v>7201</v>
      </c>
      <c r="O85" s="387"/>
      <c r="P85" s="387"/>
      <c r="Q85" s="390">
        <v>1</v>
      </c>
      <c r="R85" s="390"/>
    </row>
    <row r="86" ht="12.75" customHeight="1" spans="1:18">
      <c r="A86" s="249">
        <f t="shared" si="1"/>
        <v>84</v>
      </c>
      <c r="B86" s="387" t="s">
        <v>6830</v>
      </c>
      <c r="C86" s="387"/>
      <c r="D86" s="392"/>
      <c r="E86" s="388" t="s">
        <v>293</v>
      </c>
      <c r="F86" s="249" t="s">
        <v>1103</v>
      </c>
      <c r="G86" s="393" t="s">
        <v>7214</v>
      </c>
      <c r="H86" s="249"/>
      <c r="I86" s="394"/>
      <c r="J86" s="249" t="s">
        <v>7215</v>
      </c>
      <c r="K86" s="249" t="s">
        <v>1140</v>
      </c>
      <c r="L86" s="387"/>
      <c r="M86" s="249" t="s">
        <v>7216</v>
      </c>
      <c r="N86" s="249" t="s">
        <v>7201</v>
      </c>
      <c r="O86" s="387"/>
      <c r="P86" s="387"/>
      <c r="Q86" s="390">
        <v>1</v>
      </c>
      <c r="R86" s="390"/>
    </row>
    <row r="87" ht="12.75" customHeight="1" spans="1:18">
      <c r="A87" s="249">
        <f t="shared" si="1"/>
        <v>85</v>
      </c>
      <c r="B87" s="387" t="s">
        <v>6831</v>
      </c>
      <c r="C87" s="387"/>
      <c r="D87" s="392"/>
      <c r="E87" s="388" t="s">
        <v>293</v>
      </c>
      <c r="F87" s="249" t="s">
        <v>1103</v>
      </c>
      <c r="G87" s="393" t="s">
        <v>7214</v>
      </c>
      <c r="H87" s="249"/>
      <c r="I87" s="394"/>
      <c r="J87" s="249" t="s">
        <v>7215</v>
      </c>
      <c r="K87" s="249" t="s">
        <v>1140</v>
      </c>
      <c r="L87" s="387"/>
      <c r="M87" s="249" t="s">
        <v>7216</v>
      </c>
      <c r="N87" s="249" t="s">
        <v>7201</v>
      </c>
      <c r="O87" s="387"/>
      <c r="P87" s="387"/>
      <c r="Q87" s="390">
        <v>1</v>
      </c>
      <c r="R87" s="390"/>
    </row>
    <row r="88" ht="12.75" customHeight="1" spans="1:18">
      <c r="A88" s="249">
        <f t="shared" si="1"/>
        <v>86</v>
      </c>
      <c r="B88" s="387" t="s">
        <v>6832</v>
      </c>
      <c r="C88" s="387"/>
      <c r="D88" s="392"/>
      <c r="E88" s="388" t="s">
        <v>293</v>
      </c>
      <c r="F88" s="249" t="s">
        <v>1103</v>
      </c>
      <c r="G88" s="393" t="s">
        <v>7214</v>
      </c>
      <c r="H88" s="249"/>
      <c r="I88" s="394"/>
      <c r="J88" s="249" t="s">
        <v>7215</v>
      </c>
      <c r="K88" s="249" t="s">
        <v>1140</v>
      </c>
      <c r="L88" s="387"/>
      <c r="M88" s="249" t="s">
        <v>7216</v>
      </c>
      <c r="N88" s="249" t="s">
        <v>7201</v>
      </c>
      <c r="O88" s="387"/>
      <c r="P88" s="387"/>
      <c r="Q88" s="390">
        <v>1</v>
      </c>
      <c r="R88" s="390"/>
    </row>
    <row r="89" ht="12.75" customHeight="1" spans="1:18">
      <c r="A89" s="249">
        <f t="shared" si="1"/>
        <v>87</v>
      </c>
      <c r="B89" s="387" t="s">
        <v>6833</v>
      </c>
      <c r="C89" s="387"/>
      <c r="D89" s="392"/>
      <c r="E89" s="388" t="s">
        <v>293</v>
      </c>
      <c r="F89" s="249" t="s">
        <v>1103</v>
      </c>
      <c r="G89" s="393" t="s">
        <v>7214</v>
      </c>
      <c r="H89" s="249"/>
      <c r="I89" s="394"/>
      <c r="J89" s="249" t="s">
        <v>7215</v>
      </c>
      <c r="K89" s="249" t="s">
        <v>1140</v>
      </c>
      <c r="L89" s="387"/>
      <c r="M89" s="249" t="s">
        <v>7216</v>
      </c>
      <c r="N89" s="249" t="s">
        <v>7201</v>
      </c>
      <c r="O89" s="387"/>
      <c r="P89" s="387"/>
      <c r="Q89" s="390">
        <v>1</v>
      </c>
      <c r="R89" s="390"/>
    </row>
    <row r="90" ht="12.75" customHeight="1" spans="1:18">
      <c r="A90" s="249">
        <f t="shared" si="1"/>
        <v>88</v>
      </c>
      <c r="B90" s="387" t="s">
        <v>6834</v>
      </c>
      <c r="C90" s="387"/>
      <c r="D90" s="392"/>
      <c r="E90" s="388" t="s">
        <v>293</v>
      </c>
      <c r="F90" s="249" t="s">
        <v>1103</v>
      </c>
      <c r="G90" s="393" t="s">
        <v>7214</v>
      </c>
      <c r="H90" s="249"/>
      <c r="I90" s="394"/>
      <c r="J90" s="249" t="s">
        <v>7215</v>
      </c>
      <c r="K90" s="249" t="s">
        <v>1140</v>
      </c>
      <c r="L90" s="387"/>
      <c r="M90" s="249" t="s">
        <v>7216</v>
      </c>
      <c r="N90" s="249" t="s">
        <v>7201</v>
      </c>
      <c r="O90" s="387"/>
      <c r="P90" s="387"/>
      <c r="Q90" s="390">
        <v>1</v>
      </c>
      <c r="R90" s="390"/>
    </row>
    <row r="91" ht="12.75" customHeight="1" spans="1:18">
      <c r="A91" s="249">
        <f t="shared" si="1"/>
        <v>89</v>
      </c>
      <c r="B91" s="387" t="s">
        <v>6835</v>
      </c>
      <c r="C91" s="387"/>
      <c r="D91" s="392"/>
      <c r="E91" s="388" t="s">
        <v>293</v>
      </c>
      <c r="F91" s="249" t="s">
        <v>1103</v>
      </c>
      <c r="G91" s="393" t="s">
        <v>7214</v>
      </c>
      <c r="H91" s="249"/>
      <c r="I91" s="394"/>
      <c r="J91" s="249" t="s">
        <v>7215</v>
      </c>
      <c r="K91" s="249" t="s">
        <v>1140</v>
      </c>
      <c r="L91" s="387"/>
      <c r="M91" s="249" t="s">
        <v>7216</v>
      </c>
      <c r="N91" s="249" t="s">
        <v>7201</v>
      </c>
      <c r="O91" s="387"/>
      <c r="P91" s="387"/>
      <c r="Q91" s="390">
        <v>1</v>
      </c>
      <c r="R91" s="390"/>
    </row>
    <row r="92" ht="12.75" customHeight="1" spans="1:18">
      <c r="A92" s="249">
        <f t="shared" si="1"/>
        <v>90</v>
      </c>
      <c r="B92" s="387" t="s">
        <v>6836</v>
      </c>
      <c r="C92" s="387"/>
      <c r="D92" s="392"/>
      <c r="E92" s="388" t="s">
        <v>293</v>
      </c>
      <c r="F92" s="249" t="s">
        <v>1103</v>
      </c>
      <c r="G92" s="393" t="s">
        <v>7214</v>
      </c>
      <c r="H92" s="249"/>
      <c r="I92" s="394"/>
      <c r="J92" s="249" t="s">
        <v>7215</v>
      </c>
      <c r="K92" s="249" t="s">
        <v>1140</v>
      </c>
      <c r="L92" s="387"/>
      <c r="M92" s="249" t="s">
        <v>7216</v>
      </c>
      <c r="N92" s="249" t="s">
        <v>7201</v>
      </c>
      <c r="O92" s="387"/>
      <c r="P92" s="387"/>
      <c r="Q92" s="390">
        <v>1</v>
      </c>
      <c r="R92" s="390"/>
    </row>
    <row r="93" ht="12.75" customHeight="1" spans="1:18">
      <c r="A93" s="249">
        <f t="shared" si="1"/>
        <v>91</v>
      </c>
      <c r="B93" s="387" t="s">
        <v>6837</v>
      </c>
      <c r="C93" s="387"/>
      <c r="D93" s="392"/>
      <c r="E93" s="388" t="s">
        <v>293</v>
      </c>
      <c r="F93" s="249" t="s">
        <v>1103</v>
      </c>
      <c r="G93" s="393" t="s">
        <v>7214</v>
      </c>
      <c r="H93" s="249"/>
      <c r="I93" s="394"/>
      <c r="J93" s="249" t="s">
        <v>7215</v>
      </c>
      <c r="K93" s="249" t="s">
        <v>1140</v>
      </c>
      <c r="L93" s="387"/>
      <c r="M93" s="249" t="s">
        <v>7216</v>
      </c>
      <c r="N93" s="249" t="s">
        <v>7201</v>
      </c>
      <c r="O93" s="387"/>
      <c r="P93" s="387"/>
      <c r="Q93" s="390">
        <v>1</v>
      </c>
      <c r="R93" s="390"/>
    </row>
    <row r="94" ht="12.75" customHeight="1" spans="1:18">
      <c r="A94" s="249">
        <f t="shared" si="1"/>
        <v>92</v>
      </c>
      <c r="B94" s="387" t="s">
        <v>6838</v>
      </c>
      <c r="C94" s="387"/>
      <c r="D94" s="392"/>
      <c r="E94" s="388" t="s">
        <v>293</v>
      </c>
      <c r="F94" s="249" t="s">
        <v>1103</v>
      </c>
      <c r="G94" s="393" t="s">
        <v>7214</v>
      </c>
      <c r="H94" s="249"/>
      <c r="I94" s="394"/>
      <c r="J94" s="249" t="s">
        <v>7215</v>
      </c>
      <c r="K94" s="249" t="s">
        <v>1140</v>
      </c>
      <c r="L94" s="387"/>
      <c r="M94" s="249" t="s">
        <v>7216</v>
      </c>
      <c r="N94" s="249" t="s">
        <v>7201</v>
      </c>
      <c r="O94" s="387"/>
      <c r="P94" s="387"/>
      <c r="Q94" s="390">
        <v>1</v>
      </c>
      <c r="R94" s="390"/>
    </row>
    <row r="95" ht="12.75" customHeight="1" spans="1:18">
      <c r="A95" s="249">
        <f t="shared" si="1"/>
        <v>93</v>
      </c>
      <c r="B95" s="387" t="s">
        <v>6839</v>
      </c>
      <c r="C95" s="387"/>
      <c r="D95" s="392"/>
      <c r="E95" s="388" t="s">
        <v>293</v>
      </c>
      <c r="F95" s="249" t="s">
        <v>1103</v>
      </c>
      <c r="G95" s="393" t="s">
        <v>7214</v>
      </c>
      <c r="H95" s="249"/>
      <c r="I95" s="394"/>
      <c r="J95" s="249" t="s">
        <v>7215</v>
      </c>
      <c r="K95" s="249" t="s">
        <v>1140</v>
      </c>
      <c r="L95" s="387"/>
      <c r="M95" s="249" t="s">
        <v>7216</v>
      </c>
      <c r="N95" s="249" t="s">
        <v>7201</v>
      </c>
      <c r="O95" s="387"/>
      <c r="P95" s="387"/>
      <c r="Q95" s="390">
        <v>1</v>
      </c>
      <c r="R95" s="390"/>
    </row>
    <row r="96" ht="12.75" customHeight="1" spans="1:18">
      <c r="A96" s="249">
        <f t="shared" si="1"/>
        <v>94</v>
      </c>
      <c r="B96" s="387" t="s">
        <v>6840</v>
      </c>
      <c r="C96" s="387"/>
      <c r="D96" s="392"/>
      <c r="E96" s="388" t="s">
        <v>293</v>
      </c>
      <c r="F96" s="249" t="s">
        <v>1103</v>
      </c>
      <c r="G96" s="393" t="s">
        <v>7214</v>
      </c>
      <c r="H96" s="249"/>
      <c r="I96" s="394"/>
      <c r="J96" s="249" t="s">
        <v>7215</v>
      </c>
      <c r="K96" s="249" t="s">
        <v>1140</v>
      </c>
      <c r="L96" s="387"/>
      <c r="M96" s="249" t="s">
        <v>7216</v>
      </c>
      <c r="N96" s="249" t="s">
        <v>7201</v>
      </c>
      <c r="O96" s="387"/>
      <c r="P96" s="387"/>
      <c r="Q96" s="390">
        <v>1</v>
      </c>
      <c r="R96" s="390"/>
    </row>
    <row r="97" ht="12.75" customHeight="1" spans="1:18">
      <c r="A97" s="249">
        <f t="shared" si="1"/>
        <v>95</v>
      </c>
      <c r="B97" s="387" t="s">
        <v>6841</v>
      </c>
      <c r="C97" s="387"/>
      <c r="D97" s="392"/>
      <c r="E97" s="388" t="s">
        <v>293</v>
      </c>
      <c r="F97" s="249" t="s">
        <v>1103</v>
      </c>
      <c r="G97" s="393" t="s">
        <v>7214</v>
      </c>
      <c r="H97" s="249"/>
      <c r="I97" s="394"/>
      <c r="J97" s="249" t="s">
        <v>7215</v>
      </c>
      <c r="K97" s="249" t="s">
        <v>1140</v>
      </c>
      <c r="L97" s="387"/>
      <c r="M97" s="249" t="s">
        <v>7216</v>
      </c>
      <c r="N97" s="249" t="s">
        <v>7201</v>
      </c>
      <c r="O97" s="387"/>
      <c r="P97" s="387"/>
      <c r="Q97" s="390">
        <v>1</v>
      </c>
      <c r="R97" s="390"/>
    </row>
    <row r="98" ht="12.75" customHeight="1" spans="1:18">
      <c r="A98" s="249">
        <f t="shared" si="1"/>
        <v>96</v>
      </c>
      <c r="B98" s="387" t="s">
        <v>6842</v>
      </c>
      <c r="C98" s="387"/>
      <c r="D98" s="392"/>
      <c r="E98" s="388" t="s">
        <v>293</v>
      </c>
      <c r="F98" s="249" t="s">
        <v>1103</v>
      </c>
      <c r="G98" s="393" t="s">
        <v>7214</v>
      </c>
      <c r="H98" s="249"/>
      <c r="I98" s="394"/>
      <c r="J98" s="249" t="s">
        <v>7215</v>
      </c>
      <c r="K98" s="249" t="s">
        <v>1140</v>
      </c>
      <c r="L98" s="387"/>
      <c r="M98" s="249" t="s">
        <v>7216</v>
      </c>
      <c r="N98" s="249" t="s">
        <v>7201</v>
      </c>
      <c r="O98" s="387"/>
      <c r="P98" s="387"/>
      <c r="Q98" s="390">
        <v>1</v>
      </c>
      <c r="R98" s="390"/>
    </row>
    <row r="99" ht="12.75" customHeight="1" spans="1:18">
      <c r="A99" s="249">
        <f t="shared" si="1"/>
        <v>97</v>
      </c>
      <c r="B99" s="387" t="s">
        <v>6843</v>
      </c>
      <c r="C99" s="387"/>
      <c r="D99" s="392"/>
      <c r="E99" s="388" t="s">
        <v>293</v>
      </c>
      <c r="F99" s="249" t="s">
        <v>1103</v>
      </c>
      <c r="G99" s="393" t="s">
        <v>7214</v>
      </c>
      <c r="H99" s="249"/>
      <c r="I99" s="394"/>
      <c r="J99" s="249" t="s">
        <v>7215</v>
      </c>
      <c r="K99" s="249" t="s">
        <v>1140</v>
      </c>
      <c r="L99" s="387"/>
      <c r="M99" s="249" t="s">
        <v>7216</v>
      </c>
      <c r="N99" s="249" t="s">
        <v>7201</v>
      </c>
      <c r="O99" s="387"/>
      <c r="P99" s="387"/>
      <c r="Q99" s="390">
        <v>1</v>
      </c>
      <c r="R99" s="390"/>
    </row>
    <row r="100" ht="12.75" customHeight="1" spans="1:18">
      <c r="A100" s="249">
        <f t="shared" si="1"/>
        <v>98</v>
      </c>
      <c r="B100" s="387" t="s">
        <v>6844</v>
      </c>
      <c r="C100" s="387"/>
      <c r="D100" s="392"/>
      <c r="E100" s="388" t="s">
        <v>293</v>
      </c>
      <c r="F100" s="249" t="s">
        <v>1103</v>
      </c>
      <c r="G100" s="393" t="s">
        <v>7214</v>
      </c>
      <c r="H100" s="249"/>
      <c r="I100" s="394"/>
      <c r="J100" s="249" t="s">
        <v>7215</v>
      </c>
      <c r="K100" s="249" t="s">
        <v>1140</v>
      </c>
      <c r="L100" s="387"/>
      <c r="M100" s="249" t="s">
        <v>7216</v>
      </c>
      <c r="N100" s="249" t="s">
        <v>7201</v>
      </c>
      <c r="O100" s="387"/>
      <c r="P100" s="387"/>
      <c r="Q100" s="390">
        <v>1</v>
      </c>
      <c r="R100" s="390"/>
    </row>
    <row r="101" ht="12.75" customHeight="1" spans="1:18">
      <c r="A101" s="249">
        <f t="shared" si="1"/>
        <v>99</v>
      </c>
      <c r="B101" s="387" t="s">
        <v>6845</v>
      </c>
      <c r="C101" s="387"/>
      <c r="D101" s="392"/>
      <c r="E101" s="388" t="s">
        <v>293</v>
      </c>
      <c r="F101" s="249" t="s">
        <v>1103</v>
      </c>
      <c r="G101" s="393" t="s">
        <v>7214</v>
      </c>
      <c r="H101" s="249"/>
      <c r="I101" s="394"/>
      <c r="J101" s="249" t="s">
        <v>7215</v>
      </c>
      <c r="K101" s="249" t="s">
        <v>1140</v>
      </c>
      <c r="L101" s="387"/>
      <c r="M101" s="249" t="s">
        <v>7216</v>
      </c>
      <c r="N101" s="249" t="s">
        <v>7201</v>
      </c>
      <c r="O101" s="387"/>
      <c r="P101" s="387"/>
      <c r="Q101" s="390">
        <v>1</v>
      </c>
      <c r="R101" s="390"/>
    </row>
    <row r="102" ht="12.75" customHeight="1" spans="1:18">
      <c r="A102" s="249">
        <f t="shared" si="1"/>
        <v>100</v>
      </c>
      <c r="B102" s="387" t="s">
        <v>6846</v>
      </c>
      <c r="C102" s="387"/>
      <c r="D102" s="392"/>
      <c r="E102" s="388" t="s">
        <v>293</v>
      </c>
      <c r="F102" s="249" t="s">
        <v>1103</v>
      </c>
      <c r="G102" s="393" t="s">
        <v>7214</v>
      </c>
      <c r="H102" s="249"/>
      <c r="I102" s="394"/>
      <c r="J102" s="249" t="s">
        <v>7215</v>
      </c>
      <c r="K102" s="249" t="s">
        <v>1140</v>
      </c>
      <c r="L102" s="387"/>
      <c r="M102" s="249" t="s">
        <v>7216</v>
      </c>
      <c r="N102" s="249" t="s">
        <v>7201</v>
      </c>
      <c r="O102" s="387"/>
      <c r="P102" s="387"/>
      <c r="Q102" s="390">
        <v>1</v>
      </c>
      <c r="R102" s="390"/>
    </row>
    <row r="103" ht="12.75" customHeight="1" spans="1:18">
      <c r="A103" s="249">
        <f t="shared" si="1"/>
        <v>101</v>
      </c>
      <c r="B103" s="387" t="s">
        <v>6847</v>
      </c>
      <c r="C103" s="387"/>
      <c r="D103" s="392"/>
      <c r="E103" s="388" t="s">
        <v>293</v>
      </c>
      <c r="F103" s="249" t="s">
        <v>1103</v>
      </c>
      <c r="G103" s="393" t="s">
        <v>7214</v>
      </c>
      <c r="H103" s="249"/>
      <c r="I103" s="394"/>
      <c r="J103" s="249" t="s">
        <v>7215</v>
      </c>
      <c r="K103" s="249" t="s">
        <v>1140</v>
      </c>
      <c r="L103" s="387"/>
      <c r="M103" s="249" t="s">
        <v>7216</v>
      </c>
      <c r="N103" s="249" t="s">
        <v>7201</v>
      </c>
      <c r="O103" s="387"/>
      <c r="P103" s="387"/>
      <c r="Q103" s="390">
        <v>1</v>
      </c>
      <c r="R103" s="390"/>
    </row>
    <row r="104" ht="12.75" customHeight="1" spans="1:18">
      <c r="A104" s="249">
        <f t="shared" si="1"/>
        <v>102</v>
      </c>
      <c r="B104" s="387" t="s">
        <v>6848</v>
      </c>
      <c r="C104" s="387"/>
      <c r="D104" s="392"/>
      <c r="E104" s="388" t="s">
        <v>293</v>
      </c>
      <c r="F104" s="249" t="s">
        <v>1103</v>
      </c>
      <c r="G104" s="393" t="s">
        <v>7214</v>
      </c>
      <c r="H104" s="249"/>
      <c r="I104" s="394"/>
      <c r="J104" s="249" t="s">
        <v>7215</v>
      </c>
      <c r="K104" s="249" t="s">
        <v>1140</v>
      </c>
      <c r="L104" s="387"/>
      <c r="M104" s="249" t="s">
        <v>7216</v>
      </c>
      <c r="N104" s="249" t="s">
        <v>7201</v>
      </c>
      <c r="O104" s="387"/>
      <c r="P104" s="387"/>
      <c r="Q104" s="390">
        <v>1</v>
      </c>
      <c r="R104" s="390"/>
    </row>
    <row r="105" ht="12.75" customHeight="1" spans="1:18">
      <c r="A105" s="249">
        <f t="shared" si="1"/>
        <v>103</v>
      </c>
      <c r="B105" s="387" t="s">
        <v>6849</v>
      </c>
      <c r="C105" s="387"/>
      <c r="D105" s="392"/>
      <c r="E105" s="388" t="s">
        <v>293</v>
      </c>
      <c r="F105" s="249" t="s">
        <v>1103</v>
      </c>
      <c r="G105" s="393" t="s">
        <v>7214</v>
      </c>
      <c r="H105" s="249"/>
      <c r="I105" s="394"/>
      <c r="J105" s="249" t="s">
        <v>7215</v>
      </c>
      <c r="K105" s="249" t="s">
        <v>1140</v>
      </c>
      <c r="L105" s="387"/>
      <c r="M105" s="249" t="s">
        <v>7216</v>
      </c>
      <c r="N105" s="249" t="s">
        <v>7201</v>
      </c>
      <c r="O105" s="387"/>
      <c r="P105" s="387"/>
      <c r="Q105" s="390">
        <v>1</v>
      </c>
      <c r="R105" s="390"/>
    </row>
    <row r="106" ht="12.75" customHeight="1" spans="1:18">
      <c r="A106" s="249">
        <f t="shared" si="1"/>
        <v>104</v>
      </c>
      <c r="B106" s="387" t="s">
        <v>7217</v>
      </c>
      <c r="C106" s="387"/>
      <c r="D106" s="392"/>
      <c r="E106" s="388" t="s">
        <v>293</v>
      </c>
      <c r="F106" s="249" t="s">
        <v>1103</v>
      </c>
      <c r="G106" s="393"/>
      <c r="H106" s="249"/>
      <c r="I106" s="394"/>
      <c r="J106" s="249" t="s">
        <v>7215</v>
      </c>
      <c r="K106" s="249" t="s">
        <v>1140</v>
      </c>
      <c r="L106" s="387"/>
      <c r="M106" s="249" t="s">
        <v>7216</v>
      </c>
      <c r="N106" s="249" t="s">
        <v>7201</v>
      </c>
      <c r="O106" s="387"/>
      <c r="P106" s="387"/>
      <c r="Q106" s="390"/>
      <c r="R106" s="390"/>
    </row>
    <row r="107" ht="12.75" customHeight="1" spans="1:18">
      <c r="A107" s="249">
        <f t="shared" si="1"/>
        <v>105</v>
      </c>
      <c r="B107" s="387" t="s">
        <v>7218</v>
      </c>
      <c r="C107" s="387"/>
      <c r="D107" s="392"/>
      <c r="E107" s="388" t="s">
        <v>293</v>
      </c>
      <c r="F107" s="249" t="s">
        <v>1103</v>
      </c>
      <c r="G107" s="393"/>
      <c r="H107" s="249"/>
      <c r="I107" s="394"/>
      <c r="J107" s="249" t="s">
        <v>7215</v>
      </c>
      <c r="K107" s="249" t="s">
        <v>1140</v>
      </c>
      <c r="L107" s="387"/>
      <c r="M107" s="249" t="s">
        <v>7216</v>
      </c>
      <c r="N107" s="249" t="s">
        <v>7201</v>
      </c>
      <c r="O107" s="387"/>
      <c r="P107" s="387"/>
      <c r="Q107" s="390"/>
      <c r="R107" s="390"/>
    </row>
    <row r="108" ht="12.75" customHeight="1" spans="1:18">
      <c r="A108" s="249">
        <f t="shared" si="1"/>
        <v>106</v>
      </c>
      <c r="B108" s="387" t="s">
        <v>7219</v>
      </c>
      <c r="C108" s="387"/>
      <c r="D108" s="392"/>
      <c r="E108" s="388" t="s">
        <v>293</v>
      </c>
      <c r="F108" s="249" t="s">
        <v>1103</v>
      </c>
      <c r="G108" s="393"/>
      <c r="H108" s="249"/>
      <c r="I108" s="394"/>
      <c r="J108" s="249" t="s">
        <v>7215</v>
      </c>
      <c r="K108" s="249" t="s">
        <v>1140</v>
      </c>
      <c r="L108" s="387"/>
      <c r="M108" s="249" t="s">
        <v>7216</v>
      </c>
      <c r="N108" s="249" t="s">
        <v>7201</v>
      </c>
      <c r="O108" s="387"/>
      <c r="P108" s="387"/>
      <c r="Q108" s="390"/>
      <c r="R108" s="390"/>
    </row>
    <row r="109" ht="12.75" customHeight="1" spans="1:18">
      <c r="A109" s="249">
        <f t="shared" si="1"/>
        <v>107</v>
      </c>
      <c r="B109" s="387" t="s">
        <v>7220</v>
      </c>
      <c r="C109" s="387"/>
      <c r="D109" s="392"/>
      <c r="E109" s="388" t="s">
        <v>293</v>
      </c>
      <c r="F109" s="249" t="s">
        <v>1103</v>
      </c>
      <c r="G109" s="393"/>
      <c r="H109" s="249"/>
      <c r="I109" s="394"/>
      <c r="J109" s="249" t="s">
        <v>7215</v>
      </c>
      <c r="K109" s="249" t="s">
        <v>1140</v>
      </c>
      <c r="L109" s="387"/>
      <c r="M109" s="249" t="s">
        <v>7216</v>
      </c>
      <c r="N109" s="249" t="s">
        <v>7201</v>
      </c>
      <c r="O109" s="387"/>
      <c r="P109" s="387"/>
      <c r="Q109" s="390"/>
      <c r="R109" s="390"/>
    </row>
    <row r="110" ht="12.75" customHeight="1" spans="1:18">
      <c r="A110" s="249">
        <f t="shared" si="1"/>
        <v>108</v>
      </c>
      <c r="B110" s="387" t="s">
        <v>7221</v>
      </c>
      <c r="C110" s="387"/>
      <c r="D110" s="392"/>
      <c r="E110" s="388" t="s">
        <v>293</v>
      </c>
      <c r="F110" s="249" t="s">
        <v>1103</v>
      </c>
      <c r="G110" s="393"/>
      <c r="H110" s="249"/>
      <c r="I110" s="394"/>
      <c r="J110" s="249" t="s">
        <v>7215</v>
      </c>
      <c r="K110" s="249" t="s">
        <v>1140</v>
      </c>
      <c r="L110" s="387"/>
      <c r="M110" s="249" t="s">
        <v>7216</v>
      </c>
      <c r="N110" s="249" t="s">
        <v>7201</v>
      </c>
      <c r="O110" s="387"/>
      <c r="P110" s="387"/>
      <c r="Q110" s="390"/>
      <c r="R110" s="390"/>
    </row>
    <row r="111" ht="12.75" customHeight="1" spans="1:18">
      <c r="A111" s="249">
        <f t="shared" si="1"/>
        <v>109</v>
      </c>
      <c r="B111" s="387" t="s">
        <v>7222</v>
      </c>
      <c r="C111" s="387"/>
      <c r="D111" s="392"/>
      <c r="E111" s="388" t="s">
        <v>293</v>
      </c>
      <c r="F111" s="249" t="s">
        <v>1103</v>
      </c>
      <c r="G111" s="393"/>
      <c r="H111" s="249"/>
      <c r="I111" s="394"/>
      <c r="J111" s="249" t="s">
        <v>7215</v>
      </c>
      <c r="K111" s="249" t="s">
        <v>1140</v>
      </c>
      <c r="L111" s="387"/>
      <c r="M111" s="249" t="s">
        <v>7216</v>
      </c>
      <c r="N111" s="249" t="s">
        <v>7201</v>
      </c>
      <c r="O111" s="387"/>
      <c r="P111" s="387"/>
      <c r="Q111" s="390"/>
      <c r="R111" s="390"/>
    </row>
    <row r="112" ht="12.75" customHeight="1" spans="1:18">
      <c r="A112" s="249">
        <f t="shared" si="1"/>
        <v>110</v>
      </c>
      <c r="B112" s="387" t="s">
        <v>7223</v>
      </c>
      <c r="C112" s="387"/>
      <c r="D112" s="392"/>
      <c r="E112" s="388" t="s">
        <v>293</v>
      </c>
      <c r="F112" s="249" t="s">
        <v>1103</v>
      </c>
      <c r="G112" s="393"/>
      <c r="H112" s="249"/>
      <c r="I112" s="394"/>
      <c r="J112" s="249" t="s">
        <v>7215</v>
      </c>
      <c r="K112" s="249" t="s">
        <v>1140</v>
      </c>
      <c r="L112" s="387"/>
      <c r="M112" s="249" t="s">
        <v>7216</v>
      </c>
      <c r="N112" s="249" t="s">
        <v>7201</v>
      </c>
      <c r="O112" s="387"/>
      <c r="P112" s="387"/>
      <c r="Q112" s="390"/>
      <c r="R112" s="390"/>
    </row>
    <row r="113" ht="12.75" customHeight="1" spans="1:18">
      <c r="A113" s="249">
        <f t="shared" si="1"/>
        <v>111</v>
      </c>
      <c r="B113" s="387" t="s">
        <v>7224</v>
      </c>
      <c r="C113" s="387"/>
      <c r="D113" s="392"/>
      <c r="E113" s="388" t="s">
        <v>293</v>
      </c>
      <c r="F113" s="249" t="s">
        <v>1103</v>
      </c>
      <c r="G113" s="393"/>
      <c r="H113" s="249"/>
      <c r="I113" s="394"/>
      <c r="J113" s="249" t="s">
        <v>7215</v>
      </c>
      <c r="K113" s="249" t="s">
        <v>1140</v>
      </c>
      <c r="L113" s="387"/>
      <c r="M113" s="249" t="s">
        <v>7216</v>
      </c>
      <c r="N113" s="249" t="s">
        <v>7201</v>
      </c>
      <c r="O113" s="387"/>
      <c r="P113" s="387"/>
      <c r="Q113" s="390"/>
      <c r="R113" s="390"/>
    </row>
    <row r="114" ht="12.75" customHeight="1" spans="1:18">
      <c r="A114" s="249">
        <f t="shared" si="1"/>
        <v>112</v>
      </c>
      <c r="B114" s="387" t="s">
        <v>7225</v>
      </c>
      <c r="C114" s="387"/>
      <c r="D114" s="392"/>
      <c r="E114" s="388" t="s">
        <v>293</v>
      </c>
      <c r="F114" s="249" t="s">
        <v>1103</v>
      </c>
      <c r="G114" s="393"/>
      <c r="H114" s="249"/>
      <c r="I114" s="394"/>
      <c r="J114" s="249" t="s">
        <v>7215</v>
      </c>
      <c r="K114" s="249" t="s">
        <v>1140</v>
      </c>
      <c r="L114" s="387"/>
      <c r="M114" s="249" t="s">
        <v>7216</v>
      </c>
      <c r="N114" s="249" t="s">
        <v>7201</v>
      </c>
      <c r="O114" s="387"/>
      <c r="P114" s="387"/>
      <c r="Q114" s="390"/>
      <c r="R114" s="390"/>
    </row>
    <row r="115" ht="12.75" customHeight="1" spans="1:18">
      <c r="A115" s="249">
        <f t="shared" si="1"/>
        <v>113</v>
      </c>
      <c r="B115" s="387" t="s">
        <v>7226</v>
      </c>
      <c r="C115" s="387"/>
      <c r="D115" s="392"/>
      <c r="E115" s="388" t="s">
        <v>293</v>
      </c>
      <c r="F115" s="249" t="s">
        <v>1103</v>
      </c>
      <c r="G115" s="393"/>
      <c r="H115" s="249"/>
      <c r="I115" s="394"/>
      <c r="J115" s="249" t="s">
        <v>7215</v>
      </c>
      <c r="K115" s="249" t="s">
        <v>1140</v>
      </c>
      <c r="L115" s="387"/>
      <c r="M115" s="249" t="s">
        <v>7216</v>
      </c>
      <c r="N115" s="249" t="s">
        <v>7201</v>
      </c>
      <c r="O115" s="387"/>
      <c r="P115" s="387"/>
      <c r="Q115" s="390"/>
      <c r="R115" s="390"/>
    </row>
    <row r="116" ht="12.75" customHeight="1" spans="1:18">
      <c r="A116" s="249">
        <f t="shared" si="1"/>
        <v>114</v>
      </c>
      <c r="B116" s="387" t="s">
        <v>7227</v>
      </c>
      <c r="C116" s="387"/>
      <c r="D116" s="392"/>
      <c r="E116" s="388" t="s">
        <v>293</v>
      </c>
      <c r="F116" s="249" t="s">
        <v>1103</v>
      </c>
      <c r="G116" s="393"/>
      <c r="H116" s="249"/>
      <c r="I116" s="394"/>
      <c r="J116" s="249" t="s">
        <v>7215</v>
      </c>
      <c r="K116" s="249" t="s">
        <v>1140</v>
      </c>
      <c r="L116" s="387"/>
      <c r="M116" s="249" t="s">
        <v>7216</v>
      </c>
      <c r="N116" s="249" t="s">
        <v>7201</v>
      </c>
      <c r="O116" s="387"/>
      <c r="P116" s="387"/>
      <c r="Q116" s="390"/>
      <c r="R116" s="390"/>
    </row>
    <row r="117" ht="12.75" customHeight="1" spans="1:18">
      <c r="A117" s="249">
        <f t="shared" si="1"/>
        <v>115</v>
      </c>
      <c r="B117" s="387" t="s">
        <v>7228</v>
      </c>
      <c r="C117" s="387"/>
      <c r="D117" s="392"/>
      <c r="E117" s="388" t="s">
        <v>293</v>
      </c>
      <c r="F117" s="249" t="s">
        <v>1103</v>
      </c>
      <c r="G117" s="393"/>
      <c r="H117" s="249"/>
      <c r="I117" s="394"/>
      <c r="J117" s="249" t="s">
        <v>7215</v>
      </c>
      <c r="K117" s="249" t="s">
        <v>1140</v>
      </c>
      <c r="L117" s="387"/>
      <c r="M117" s="249" t="s">
        <v>7216</v>
      </c>
      <c r="N117" s="249" t="s">
        <v>7201</v>
      </c>
      <c r="O117" s="387"/>
      <c r="P117" s="387"/>
      <c r="Q117" s="390"/>
      <c r="R117" s="390"/>
    </row>
    <row r="118" ht="12.75" customHeight="1" spans="1:18">
      <c r="A118" s="249">
        <f t="shared" si="1"/>
        <v>116</v>
      </c>
      <c r="B118" s="387" t="s">
        <v>7229</v>
      </c>
      <c r="C118" s="387"/>
      <c r="D118" s="392"/>
      <c r="E118" s="388" t="s">
        <v>293</v>
      </c>
      <c r="F118" s="249" t="s">
        <v>1103</v>
      </c>
      <c r="G118" s="393"/>
      <c r="H118" s="249"/>
      <c r="I118" s="394"/>
      <c r="J118" s="249" t="s">
        <v>7215</v>
      </c>
      <c r="K118" s="249" t="s">
        <v>1140</v>
      </c>
      <c r="L118" s="387"/>
      <c r="M118" s="249" t="s">
        <v>7216</v>
      </c>
      <c r="N118" s="249" t="s">
        <v>7201</v>
      </c>
      <c r="O118" s="387"/>
      <c r="P118" s="387"/>
      <c r="Q118" s="390"/>
      <c r="R118" s="390"/>
    </row>
    <row r="119" ht="12.75" customHeight="1" spans="1:18">
      <c r="A119" s="249">
        <f t="shared" si="1"/>
        <v>117</v>
      </c>
      <c r="B119" s="387" t="s">
        <v>7230</v>
      </c>
      <c r="C119" s="387"/>
      <c r="D119" s="392"/>
      <c r="E119" s="388" t="s">
        <v>293</v>
      </c>
      <c r="F119" s="249" t="s">
        <v>1103</v>
      </c>
      <c r="G119" s="393"/>
      <c r="H119" s="249"/>
      <c r="I119" s="394"/>
      <c r="J119" s="249" t="s">
        <v>7215</v>
      </c>
      <c r="K119" s="249" t="s">
        <v>1140</v>
      </c>
      <c r="L119" s="387"/>
      <c r="M119" s="249" t="s">
        <v>7216</v>
      </c>
      <c r="N119" s="249" t="s">
        <v>7201</v>
      </c>
      <c r="O119" s="387"/>
      <c r="P119" s="387"/>
      <c r="Q119" s="390"/>
      <c r="R119" s="390"/>
    </row>
    <row r="120" ht="12.75" customHeight="1" spans="1:18">
      <c r="A120" s="249">
        <f t="shared" si="1"/>
        <v>118</v>
      </c>
      <c r="B120" s="387" t="s">
        <v>7231</v>
      </c>
      <c r="C120" s="387"/>
      <c r="D120" s="392"/>
      <c r="E120" s="388" t="s">
        <v>293</v>
      </c>
      <c r="F120" s="249" t="s">
        <v>1103</v>
      </c>
      <c r="G120" s="393"/>
      <c r="H120" s="249"/>
      <c r="I120" s="394"/>
      <c r="J120" s="249" t="s">
        <v>7215</v>
      </c>
      <c r="K120" s="249" t="s">
        <v>1140</v>
      </c>
      <c r="L120" s="387"/>
      <c r="M120" s="249" t="s">
        <v>7216</v>
      </c>
      <c r="N120" s="249" t="s">
        <v>7201</v>
      </c>
      <c r="O120" s="387"/>
      <c r="P120" s="387"/>
      <c r="Q120" s="390"/>
      <c r="R120" s="390"/>
    </row>
    <row r="121" ht="12.75" customHeight="1" spans="1:18">
      <c r="A121" s="249">
        <f t="shared" si="1"/>
        <v>119</v>
      </c>
      <c r="B121" s="387" t="s">
        <v>7232</v>
      </c>
      <c r="C121" s="387"/>
      <c r="D121" s="392"/>
      <c r="E121" s="388" t="s">
        <v>293</v>
      </c>
      <c r="F121" s="249" t="s">
        <v>1103</v>
      </c>
      <c r="G121" s="393"/>
      <c r="H121" s="249"/>
      <c r="I121" s="394"/>
      <c r="J121" s="249" t="s">
        <v>7215</v>
      </c>
      <c r="K121" s="249" t="s">
        <v>1140</v>
      </c>
      <c r="L121" s="387"/>
      <c r="M121" s="249" t="s">
        <v>7216</v>
      </c>
      <c r="N121" s="249" t="s">
        <v>7201</v>
      </c>
      <c r="O121" s="387"/>
      <c r="P121" s="387"/>
      <c r="Q121" s="390"/>
      <c r="R121" s="390"/>
    </row>
    <row r="122" ht="12.75" customHeight="1" spans="1:18">
      <c r="A122" s="249">
        <f t="shared" si="1"/>
        <v>120</v>
      </c>
      <c r="B122" s="387" t="s">
        <v>7233</v>
      </c>
      <c r="C122" s="387"/>
      <c r="D122" s="392"/>
      <c r="E122" s="388" t="s">
        <v>293</v>
      </c>
      <c r="F122" s="249" t="s">
        <v>1103</v>
      </c>
      <c r="G122" s="393"/>
      <c r="H122" s="249"/>
      <c r="I122" s="394"/>
      <c r="J122" s="249" t="s">
        <v>7215</v>
      </c>
      <c r="K122" s="249" t="s">
        <v>1140</v>
      </c>
      <c r="L122" s="387"/>
      <c r="M122" s="249" t="s">
        <v>7216</v>
      </c>
      <c r="N122" s="249" t="s">
        <v>7201</v>
      </c>
      <c r="O122" s="387"/>
      <c r="P122" s="387"/>
      <c r="Q122" s="390"/>
      <c r="R122" s="390"/>
    </row>
    <row r="123" ht="12.75" customHeight="1" spans="1:18">
      <c r="A123" s="249">
        <f t="shared" si="1"/>
        <v>121</v>
      </c>
      <c r="B123" s="387" t="s">
        <v>7234</v>
      </c>
      <c r="C123" s="387"/>
      <c r="D123" s="392"/>
      <c r="E123" s="388" t="s">
        <v>293</v>
      </c>
      <c r="F123" s="249" t="s">
        <v>1103</v>
      </c>
      <c r="G123" s="393"/>
      <c r="H123" s="249"/>
      <c r="I123" s="394"/>
      <c r="J123" s="249" t="s">
        <v>7215</v>
      </c>
      <c r="K123" s="249" t="s">
        <v>1140</v>
      </c>
      <c r="L123" s="387"/>
      <c r="M123" s="249" t="s">
        <v>7216</v>
      </c>
      <c r="N123" s="249" t="s">
        <v>7201</v>
      </c>
      <c r="O123" s="387"/>
      <c r="P123" s="387"/>
      <c r="Q123" s="390"/>
      <c r="R123" s="390"/>
    </row>
    <row r="124" ht="12.75" customHeight="1" spans="1:18">
      <c r="A124" s="249">
        <f t="shared" si="1"/>
        <v>122</v>
      </c>
      <c r="B124" s="387" t="s">
        <v>7235</v>
      </c>
      <c r="C124" s="387"/>
      <c r="D124" s="392"/>
      <c r="E124" s="388" t="s">
        <v>293</v>
      </c>
      <c r="F124" s="249" t="s">
        <v>1103</v>
      </c>
      <c r="G124" s="393"/>
      <c r="H124" s="249"/>
      <c r="I124" s="394"/>
      <c r="J124" s="249" t="s">
        <v>7215</v>
      </c>
      <c r="K124" s="249" t="s">
        <v>1140</v>
      </c>
      <c r="L124" s="387"/>
      <c r="M124" s="249" t="s">
        <v>7216</v>
      </c>
      <c r="N124" s="249" t="s">
        <v>7201</v>
      </c>
      <c r="O124" s="387"/>
      <c r="P124" s="387"/>
      <c r="Q124" s="390"/>
      <c r="R124" s="390"/>
    </row>
    <row r="125" ht="12.75" customHeight="1" spans="1:18">
      <c r="A125" s="249">
        <f t="shared" si="1"/>
        <v>123</v>
      </c>
      <c r="B125" s="387" t="s">
        <v>7236</v>
      </c>
      <c r="C125" s="387"/>
      <c r="D125" s="392"/>
      <c r="E125" s="388" t="s">
        <v>293</v>
      </c>
      <c r="F125" s="249" t="s">
        <v>1103</v>
      </c>
      <c r="G125" s="393"/>
      <c r="H125" s="249"/>
      <c r="I125" s="394"/>
      <c r="J125" s="249" t="s">
        <v>7215</v>
      </c>
      <c r="K125" s="249" t="s">
        <v>1140</v>
      </c>
      <c r="L125" s="387"/>
      <c r="M125" s="249" t="s">
        <v>7216</v>
      </c>
      <c r="N125" s="249" t="s">
        <v>7201</v>
      </c>
      <c r="O125" s="387"/>
      <c r="P125" s="387"/>
      <c r="Q125" s="390"/>
      <c r="R125" s="390"/>
    </row>
    <row r="126" ht="12.75" customHeight="1" spans="1:18">
      <c r="A126" s="249">
        <f t="shared" si="1"/>
        <v>124</v>
      </c>
      <c r="B126" s="387" t="s">
        <v>7237</v>
      </c>
      <c r="C126" s="387"/>
      <c r="D126" s="392"/>
      <c r="E126" s="388" t="s">
        <v>293</v>
      </c>
      <c r="F126" s="249" t="s">
        <v>1103</v>
      </c>
      <c r="G126" s="393"/>
      <c r="H126" s="249"/>
      <c r="I126" s="394"/>
      <c r="J126" s="249" t="s">
        <v>7215</v>
      </c>
      <c r="K126" s="249" t="s">
        <v>1140</v>
      </c>
      <c r="L126" s="387"/>
      <c r="M126" s="249" t="s">
        <v>7216</v>
      </c>
      <c r="N126" s="249" t="s">
        <v>7201</v>
      </c>
      <c r="O126" s="387"/>
      <c r="P126" s="387"/>
      <c r="Q126" s="390"/>
      <c r="R126" s="390"/>
    </row>
    <row r="127" ht="12.75" customHeight="1" spans="1:18">
      <c r="A127" s="249">
        <f t="shared" si="1"/>
        <v>125</v>
      </c>
      <c r="B127" s="387" t="s">
        <v>7238</v>
      </c>
      <c r="C127" s="387"/>
      <c r="D127" s="392"/>
      <c r="E127" s="388" t="s">
        <v>293</v>
      </c>
      <c r="F127" s="249" t="s">
        <v>1103</v>
      </c>
      <c r="G127" s="393"/>
      <c r="H127" s="249"/>
      <c r="I127" s="394"/>
      <c r="J127" s="249" t="s">
        <v>7215</v>
      </c>
      <c r="K127" s="249" t="s">
        <v>1140</v>
      </c>
      <c r="L127" s="387"/>
      <c r="M127" s="249" t="s">
        <v>7216</v>
      </c>
      <c r="N127" s="249" t="s">
        <v>7201</v>
      </c>
      <c r="O127" s="387"/>
      <c r="P127" s="387"/>
      <c r="Q127" s="390"/>
      <c r="R127" s="390"/>
    </row>
    <row r="128" ht="12.75" customHeight="1" spans="1:18">
      <c r="A128" s="249">
        <f t="shared" si="1"/>
        <v>126</v>
      </c>
      <c r="B128" s="387" t="s">
        <v>7239</v>
      </c>
      <c r="C128" s="387"/>
      <c r="D128" s="392"/>
      <c r="E128" s="388" t="s">
        <v>293</v>
      </c>
      <c r="F128" s="249" t="s">
        <v>1103</v>
      </c>
      <c r="G128" s="393"/>
      <c r="H128" s="249"/>
      <c r="I128" s="394"/>
      <c r="J128" s="249" t="s">
        <v>7215</v>
      </c>
      <c r="K128" s="249" t="s">
        <v>1140</v>
      </c>
      <c r="L128" s="387"/>
      <c r="M128" s="249" t="s">
        <v>7216</v>
      </c>
      <c r="N128" s="249" t="s">
        <v>7201</v>
      </c>
      <c r="O128" s="387"/>
      <c r="P128" s="387"/>
      <c r="Q128" s="390"/>
      <c r="R128" s="390"/>
    </row>
    <row r="129" ht="12.75" customHeight="1" spans="1:18">
      <c r="A129" s="249">
        <f t="shared" si="1"/>
        <v>127</v>
      </c>
      <c r="B129" s="387" t="s">
        <v>7240</v>
      </c>
      <c r="C129" s="387"/>
      <c r="D129" s="392"/>
      <c r="E129" s="388" t="s">
        <v>293</v>
      </c>
      <c r="F129" s="249" t="s">
        <v>1103</v>
      </c>
      <c r="G129" s="393"/>
      <c r="H129" s="249"/>
      <c r="I129" s="394"/>
      <c r="J129" s="249" t="s">
        <v>7215</v>
      </c>
      <c r="K129" s="249" t="s">
        <v>1140</v>
      </c>
      <c r="L129" s="387"/>
      <c r="M129" s="249" t="s">
        <v>7216</v>
      </c>
      <c r="N129" s="249" t="s">
        <v>7201</v>
      </c>
      <c r="O129" s="387"/>
      <c r="P129" s="387"/>
      <c r="Q129" s="390"/>
      <c r="R129" s="390"/>
    </row>
    <row r="130" ht="12.75" customHeight="1" spans="1:18">
      <c r="A130" s="249">
        <f t="shared" si="1"/>
        <v>128</v>
      </c>
      <c r="B130" s="387" t="s">
        <v>7241</v>
      </c>
      <c r="C130" s="387"/>
      <c r="D130" s="392"/>
      <c r="E130" s="388" t="s">
        <v>293</v>
      </c>
      <c r="F130" s="249" t="s">
        <v>1103</v>
      </c>
      <c r="G130" s="393"/>
      <c r="H130" s="249"/>
      <c r="I130" s="394"/>
      <c r="J130" s="249" t="s">
        <v>7215</v>
      </c>
      <c r="K130" s="249" t="s">
        <v>1140</v>
      </c>
      <c r="L130" s="387"/>
      <c r="M130" s="249" t="s">
        <v>7216</v>
      </c>
      <c r="N130" s="249" t="s">
        <v>7201</v>
      </c>
      <c r="O130" s="387"/>
      <c r="P130" s="387"/>
      <c r="Q130" s="390"/>
      <c r="R130" s="390"/>
    </row>
    <row r="131" ht="12.75" customHeight="1" spans="1:18">
      <c r="A131" s="249">
        <f t="shared" si="1"/>
        <v>129</v>
      </c>
      <c r="B131" s="387" t="s">
        <v>7242</v>
      </c>
      <c r="C131" s="387"/>
      <c r="D131" s="392"/>
      <c r="E131" s="388" t="s">
        <v>293</v>
      </c>
      <c r="F131" s="249" t="s">
        <v>1103</v>
      </c>
      <c r="G131" s="393"/>
      <c r="H131" s="249"/>
      <c r="I131" s="394"/>
      <c r="J131" s="249" t="s">
        <v>7215</v>
      </c>
      <c r="K131" s="249" t="s">
        <v>1140</v>
      </c>
      <c r="L131" s="387"/>
      <c r="M131" s="249" t="s">
        <v>7216</v>
      </c>
      <c r="N131" s="249" t="s">
        <v>7201</v>
      </c>
      <c r="O131" s="387"/>
      <c r="P131" s="387"/>
      <c r="Q131" s="390"/>
      <c r="R131" s="390"/>
    </row>
    <row r="132" ht="12.75" customHeight="1" spans="1:18">
      <c r="A132" s="249">
        <f t="shared" si="1"/>
        <v>130</v>
      </c>
      <c r="B132" s="387" t="s">
        <v>7243</v>
      </c>
      <c r="C132" s="387"/>
      <c r="D132" s="392"/>
      <c r="E132" s="388" t="s">
        <v>293</v>
      </c>
      <c r="F132" s="249" t="s">
        <v>1103</v>
      </c>
      <c r="G132" s="393"/>
      <c r="H132" s="249"/>
      <c r="I132" s="394"/>
      <c r="J132" s="249" t="s">
        <v>7215</v>
      </c>
      <c r="K132" s="249" t="s">
        <v>1140</v>
      </c>
      <c r="L132" s="387"/>
      <c r="M132" s="249" t="s">
        <v>7216</v>
      </c>
      <c r="N132" s="249" t="s">
        <v>7201</v>
      </c>
      <c r="O132" s="387"/>
      <c r="P132" s="387"/>
      <c r="Q132" s="390"/>
      <c r="R132" s="390"/>
    </row>
    <row r="133" ht="12.75" customHeight="1" spans="1:18">
      <c r="A133" s="249">
        <f t="shared" si="1"/>
        <v>131</v>
      </c>
      <c r="B133" s="387" t="s">
        <v>7244</v>
      </c>
      <c r="C133" s="387"/>
      <c r="D133" s="392"/>
      <c r="E133" s="388" t="s">
        <v>293</v>
      </c>
      <c r="F133" s="249" t="s">
        <v>1103</v>
      </c>
      <c r="G133" s="393"/>
      <c r="H133" s="249"/>
      <c r="I133" s="394"/>
      <c r="J133" s="249" t="s">
        <v>7215</v>
      </c>
      <c r="K133" s="249" t="s">
        <v>1140</v>
      </c>
      <c r="L133" s="387"/>
      <c r="M133" s="249" t="s">
        <v>7216</v>
      </c>
      <c r="N133" s="249" t="s">
        <v>7201</v>
      </c>
      <c r="O133" s="387"/>
      <c r="P133" s="387"/>
      <c r="Q133" s="390"/>
      <c r="R133" s="390"/>
    </row>
    <row r="134" ht="12.75" customHeight="1" spans="1:18">
      <c r="A134" s="249">
        <f t="shared" si="1"/>
        <v>132</v>
      </c>
      <c r="B134" s="387" t="s">
        <v>7245</v>
      </c>
      <c r="C134" s="387"/>
      <c r="D134" s="392"/>
      <c r="E134" s="388" t="s">
        <v>293</v>
      </c>
      <c r="F134" s="249" t="s">
        <v>1103</v>
      </c>
      <c r="G134" s="393"/>
      <c r="H134" s="249"/>
      <c r="I134" s="394"/>
      <c r="J134" s="249" t="s">
        <v>7215</v>
      </c>
      <c r="K134" s="249" t="s">
        <v>1140</v>
      </c>
      <c r="L134" s="387"/>
      <c r="M134" s="249" t="s">
        <v>7216</v>
      </c>
      <c r="N134" s="249" t="s">
        <v>7201</v>
      </c>
      <c r="O134" s="387"/>
      <c r="P134" s="387"/>
      <c r="Q134" s="390"/>
      <c r="R134" s="390"/>
    </row>
    <row r="135" ht="12.75" customHeight="1" spans="1:18">
      <c r="A135" s="249">
        <f t="shared" si="1"/>
        <v>133</v>
      </c>
      <c r="B135" s="387" t="s">
        <v>7246</v>
      </c>
      <c r="C135" s="387"/>
      <c r="D135" s="392"/>
      <c r="E135" s="388" t="s">
        <v>293</v>
      </c>
      <c r="F135" s="249" t="s">
        <v>1103</v>
      </c>
      <c r="G135" s="393"/>
      <c r="H135" s="249"/>
      <c r="I135" s="394"/>
      <c r="J135" s="249" t="s">
        <v>7215</v>
      </c>
      <c r="K135" s="249" t="s">
        <v>1140</v>
      </c>
      <c r="L135" s="387"/>
      <c r="M135" s="249" t="s">
        <v>7216</v>
      </c>
      <c r="N135" s="249" t="s">
        <v>7201</v>
      </c>
      <c r="O135" s="387"/>
      <c r="P135" s="387"/>
      <c r="Q135" s="390"/>
      <c r="R135" s="390"/>
    </row>
    <row r="136" ht="12.75" customHeight="1" spans="1:18">
      <c r="A136" s="249"/>
      <c r="B136" s="387"/>
      <c r="C136" s="387"/>
      <c r="D136" s="392"/>
      <c r="E136" s="388"/>
      <c r="F136" s="249"/>
      <c r="G136" s="393"/>
      <c r="H136" s="249"/>
      <c r="I136" s="394"/>
      <c r="J136" s="249"/>
      <c r="K136" s="249"/>
      <c r="L136" s="387"/>
      <c r="M136" s="249"/>
      <c r="N136" s="249"/>
      <c r="O136" s="387"/>
      <c r="P136" s="387"/>
      <c r="Q136" s="390"/>
      <c r="R136" s="390"/>
    </row>
    <row r="137" ht="12.75" customHeight="1" spans="1:18">
      <c r="A137" s="249"/>
      <c r="B137" s="387"/>
      <c r="C137" s="387"/>
      <c r="D137" s="392"/>
      <c r="E137" s="388"/>
      <c r="F137" s="249"/>
      <c r="G137" s="393"/>
      <c r="H137" s="249"/>
      <c r="I137" s="394"/>
      <c r="J137" s="249"/>
      <c r="K137" s="249"/>
      <c r="L137" s="387"/>
      <c r="M137" s="249"/>
      <c r="N137" s="249"/>
      <c r="O137" s="387"/>
      <c r="P137" s="387"/>
      <c r="Q137" s="390"/>
      <c r="R137" s="390"/>
    </row>
    <row r="138" ht="12.75" customHeight="1" spans="1:18">
      <c r="A138" s="249"/>
      <c r="B138" s="387"/>
      <c r="C138" s="387"/>
      <c r="D138" s="392"/>
      <c r="E138" s="388"/>
      <c r="F138" s="249"/>
      <c r="G138" s="393"/>
      <c r="H138" s="249"/>
      <c r="I138" s="394"/>
      <c r="J138" s="249"/>
      <c r="K138" s="249"/>
      <c r="L138" s="387"/>
      <c r="M138" s="249"/>
      <c r="N138" s="249"/>
      <c r="O138" s="387"/>
      <c r="P138" s="387"/>
      <c r="Q138" s="390"/>
      <c r="R138" s="390"/>
    </row>
    <row r="139" ht="12.75" customHeight="1" spans="1:18">
      <c r="A139" s="249"/>
      <c r="B139" s="387"/>
      <c r="C139" s="387"/>
      <c r="D139" s="392"/>
      <c r="E139" s="388"/>
      <c r="F139" s="249"/>
      <c r="G139" s="393"/>
      <c r="H139" s="249"/>
      <c r="I139" s="394"/>
      <c r="J139" s="249"/>
      <c r="K139" s="249"/>
      <c r="L139" s="387"/>
      <c r="M139" s="249"/>
      <c r="N139" s="249"/>
      <c r="O139" s="387"/>
      <c r="P139" s="387"/>
      <c r="Q139" s="390"/>
      <c r="R139" s="390"/>
    </row>
    <row r="140" ht="12.75" customHeight="1" spans="1:18">
      <c r="A140" s="249"/>
      <c r="B140" s="387"/>
      <c r="C140" s="387"/>
      <c r="D140" s="392"/>
      <c r="E140" s="388"/>
      <c r="F140" s="249"/>
      <c r="G140" s="393"/>
      <c r="H140" s="249"/>
      <c r="I140" s="394"/>
      <c r="J140" s="249"/>
      <c r="K140" s="249"/>
      <c r="L140" s="387"/>
      <c r="M140" s="249"/>
      <c r="N140" s="249"/>
      <c r="O140" s="387"/>
      <c r="P140" s="387"/>
      <c r="Q140" s="390"/>
      <c r="R140" s="390"/>
    </row>
    <row r="141" ht="12.75" customHeight="1" spans="1:18">
      <c r="A141" s="249"/>
      <c r="B141" s="387"/>
      <c r="C141" s="387"/>
      <c r="D141" s="392"/>
      <c r="E141" s="388"/>
      <c r="F141" s="249"/>
      <c r="G141" s="393"/>
      <c r="H141" s="249"/>
      <c r="I141" s="394"/>
      <c r="J141" s="249"/>
      <c r="K141" s="249"/>
      <c r="L141" s="387"/>
      <c r="M141" s="249"/>
      <c r="N141" s="249"/>
      <c r="O141" s="387"/>
      <c r="P141" s="387"/>
      <c r="Q141" s="390"/>
      <c r="R141" s="390"/>
    </row>
    <row r="142" ht="12.75" hidden="1" customHeight="1" spans="1:18">
      <c r="A142" s="249"/>
      <c r="B142" s="387"/>
      <c r="C142" s="387"/>
      <c r="D142" s="392"/>
      <c r="E142" s="388"/>
      <c r="F142" s="249"/>
      <c r="G142" s="393"/>
      <c r="H142" s="249"/>
      <c r="I142" s="394"/>
      <c r="J142" s="249"/>
      <c r="K142" s="249"/>
      <c r="L142" s="387"/>
      <c r="M142" s="249"/>
      <c r="N142" s="249"/>
      <c r="O142" s="387"/>
      <c r="P142" s="387"/>
      <c r="Q142" s="390"/>
      <c r="R142" s="390"/>
    </row>
    <row r="143" ht="12.75" hidden="1" customHeight="1" spans="1:18">
      <c r="A143" s="249"/>
      <c r="B143" s="387"/>
      <c r="C143" s="387"/>
      <c r="D143" s="392"/>
      <c r="E143" s="388"/>
      <c r="F143" s="249"/>
      <c r="G143" s="393"/>
      <c r="H143" s="249"/>
      <c r="I143" s="394"/>
      <c r="J143" s="249"/>
      <c r="K143" s="249"/>
      <c r="L143" s="387"/>
      <c r="M143" s="249"/>
      <c r="N143" s="249"/>
      <c r="O143" s="387"/>
      <c r="P143" s="387"/>
      <c r="Q143" s="390"/>
      <c r="R143" s="390"/>
    </row>
    <row r="144" ht="12.75" hidden="1" customHeight="1" spans="1:18">
      <c r="A144" s="249"/>
      <c r="B144" s="387"/>
      <c r="C144" s="387"/>
      <c r="D144" s="392"/>
      <c r="E144" s="388"/>
      <c r="F144" s="249"/>
      <c r="G144" s="393"/>
      <c r="H144" s="249"/>
      <c r="I144" s="394"/>
      <c r="J144" s="249"/>
      <c r="K144" s="249"/>
      <c r="L144" s="387"/>
      <c r="M144" s="249"/>
      <c r="N144" s="249"/>
      <c r="O144" s="387"/>
      <c r="P144" s="387"/>
      <c r="Q144" s="390"/>
      <c r="R144" s="390"/>
    </row>
    <row r="145" ht="12.75" hidden="1" customHeight="1" spans="1:18">
      <c r="A145" s="249"/>
      <c r="B145" s="387"/>
      <c r="C145" s="387"/>
      <c r="D145" s="392"/>
      <c r="E145" s="388"/>
      <c r="F145" s="249"/>
      <c r="G145" s="393"/>
      <c r="H145" s="249"/>
      <c r="I145" s="394"/>
      <c r="J145" s="249"/>
      <c r="K145" s="249"/>
      <c r="L145" s="387"/>
      <c r="M145" s="249"/>
      <c r="N145" s="249"/>
      <c r="O145" s="387"/>
      <c r="P145" s="387"/>
      <c r="Q145" s="390"/>
      <c r="R145" s="390"/>
    </row>
    <row r="146" ht="12.75" hidden="1" customHeight="1" spans="1:18">
      <c r="A146" s="249"/>
      <c r="B146" s="387"/>
      <c r="C146" s="387"/>
      <c r="D146" s="392"/>
      <c r="E146" s="388"/>
      <c r="F146" s="249"/>
      <c r="G146" s="393"/>
      <c r="H146" s="249"/>
      <c r="I146" s="394"/>
      <c r="J146" s="249"/>
      <c r="K146" s="249"/>
      <c r="L146" s="387"/>
      <c r="M146" s="249"/>
      <c r="N146" s="249"/>
      <c r="O146" s="387"/>
      <c r="P146" s="387"/>
      <c r="Q146" s="390"/>
      <c r="R146" s="390"/>
    </row>
    <row r="147" ht="12.75" hidden="1" customHeight="1" spans="1:18">
      <c r="A147" s="249"/>
      <c r="B147" s="387"/>
      <c r="C147" s="387"/>
      <c r="D147" s="392"/>
      <c r="E147" s="388"/>
      <c r="F147" s="249"/>
      <c r="G147" s="393"/>
      <c r="H147" s="249"/>
      <c r="I147" s="394"/>
      <c r="J147" s="249"/>
      <c r="K147" s="249"/>
      <c r="L147" s="387"/>
      <c r="M147" s="249"/>
      <c r="N147" s="249"/>
      <c r="O147" s="387"/>
      <c r="P147" s="387"/>
      <c r="Q147" s="390"/>
      <c r="R147" s="390"/>
    </row>
    <row r="148" ht="12.75" hidden="1" customHeight="1" spans="1:18">
      <c r="A148" s="249"/>
      <c r="B148" s="387"/>
      <c r="C148" s="387"/>
      <c r="D148" s="392"/>
      <c r="E148" s="388"/>
      <c r="F148" s="249"/>
      <c r="G148" s="393"/>
      <c r="H148" s="249"/>
      <c r="I148" s="394"/>
      <c r="J148" s="249"/>
      <c r="K148" s="249"/>
      <c r="L148" s="387"/>
      <c r="M148" s="249"/>
      <c r="N148" s="249"/>
      <c r="O148" s="387"/>
      <c r="P148" s="387"/>
      <c r="Q148" s="390"/>
      <c r="R148" s="390"/>
    </row>
    <row r="149" ht="12.75" hidden="1" customHeight="1" spans="1:18">
      <c r="A149" s="249"/>
      <c r="B149" s="387"/>
      <c r="C149" s="387"/>
      <c r="D149" s="392"/>
      <c r="E149" s="388"/>
      <c r="F149" s="249"/>
      <c r="G149" s="393"/>
      <c r="H149" s="249"/>
      <c r="I149" s="394"/>
      <c r="J149" s="249"/>
      <c r="K149" s="249"/>
      <c r="L149" s="387"/>
      <c r="M149" s="249"/>
      <c r="N149" s="249"/>
      <c r="O149" s="387"/>
      <c r="P149" s="387"/>
      <c r="Q149" s="390"/>
      <c r="R149" s="390"/>
    </row>
    <row r="150" ht="12.75" hidden="1" customHeight="1" spans="1:18">
      <c r="A150" s="249"/>
      <c r="B150" s="387"/>
      <c r="C150" s="387"/>
      <c r="D150" s="388"/>
      <c r="E150" s="388"/>
      <c r="F150" s="249"/>
      <c r="G150" s="249"/>
      <c r="H150" s="249"/>
      <c r="I150" s="387"/>
      <c r="J150" s="249"/>
      <c r="K150" s="249"/>
      <c r="L150" s="387"/>
      <c r="M150" s="249"/>
      <c r="N150" s="249"/>
      <c r="O150" s="387"/>
      <c r="P150" s="387"/>
      <c r="Q150" s="390"/>
      <c r="R150" s="390"/>
    </row>
    <row r="151" ht="12.75" customHeight="1" spans="1:18">
      <c r="A151" s="249"/>
      <c r="B151" s="387"/>
      <c r="C151" s="387"/>
      <c r="D151" s="388"/>
      <c r="E151" s="388"/>
      <c r="F151" s="249"/>
      <c r="G151" s="249"/>
      <c r="H151" s="249"/>
      <c r="I151" s="387"/>
      <c r="J151" s="249"/>
      <c r="K151" s="249"/>
      <c r="L151" s="387"/>
      <c r="M151" s="249"/>
      <c r="N151" s="249"/>
      <c r="O151" s="387"/>
      <c r="P151" s="387"/>
      <c r="Q151" s="390"/>
      <c r="R151" s="390"/>
    </row>
    <row r="152" ht="12.75" hidden="1" customHeight="1" spans="1:18">
      <c r="A152" s="249"/>
      <c r="B152" s="387"/>
      <c r="C152" s="387" t="s">
        <v>4844</v>
      </c>
      <c r="D152" s="388"/>
      <c r="E152" s="388"/>
      <c r="F152" s="249"/>
      <c r="G152" s="249"/>
      <c r="H152" s="249"/>
      <c r="I152" s="387"/>
      <c r="J152" s="249"/>
      <c r="K152" s="249"/>
      <c r="L152" s="387"/>
      <c r="M152" s="249"/>
      <c r="N152" s="249"/>
      <c r="O152" s="387"/>
      <c r="P152" s="387"/>
      <c r="Q152" s="390"/>
      <c r="R152" s="390"/>
    </row>
    <row r="153" ht="12.75" customHeight="1" spans="1:18">
      <c r="A153" s="249"/>
      <c r="B153" s="387"/>
      <c r="C153" s="387"/>
      <c r="D153" s="394"/>
      <c r="E153" s="388"/>
      <c r="F153" s="249"/>
      <c r="G153" s="365"/>
      <c r="H153" s="249"/>
      <c r="I153" s="365"/>
      <c r="J153" s="249"/>
      <c r="K153" s="249"/>
      <c r="L153" s="387"/>
      <c r="M153" s="249"/>
      <c r="N153" s="249"/>
      <c r="O153" s="331"/>
      <c r="P153" s="387"/>
      <c r="Q153" s="390"/>
      <c r="R153" s="390"/>
    </row>
    <row r="154" ht="12.75" hidden="1" customHeight="1" spans="1:18">
      <c r="A154" s="249"/>
      <c r="B154" s="387"/>
      <c r="C154" s="387" t="s">
        <v>7247</v>
      </c>
      <c r="D154" s="394"/>
      <c r="E154" s="388"/>
      <c r="F154" s="249"/>
      <c r="G154" s="365"/>
      <c r="H154" s="249"/>
      <c r="I154" s="365"/>
      <c r="J154" s="249"/>
      <c r="K154" s="249"/>
      <c r="L154" s="387"/>
      <c r="M154" s="249"/>
      <c r="N154" s="249"/>
      <c r="O154" s="331"/>
      <c r="P154" s="387"/>
      <c r="Q154" s="390"/>
      <c r="R154" s="390"/>
    </row>
    <row r="155" ht="12.75" customHeight="1" spans="1:18">
      <c r="A155" s="381" t="s">
        <v>7248</v>
      </c>
      <c r="B155" s="382" t="s">
        <v>6850</v>
      </c>
      <c r="C155" s="383">
        <f>COUNTA($B$156:$B$188)</f>
        <v>27</v>
      </c>
      <c r="D155" s="384"/>
      <c r="E155" s="384"/>
      <c r="F155" s="385"/>
      <c r="G155" s="385"/>
      <c r="H155" s="385"/>
      <c r="I155" s="383"/>
      <c r="J155" s="385"/>
      <c r="K155" s="385"/>
      <c r="L155" s="383"/>
      <c r="M155" s="385"/>
      <c r="N155" s="385"/>
      <c r="O155" s="383"/>
      <c r="P155" s="383"/>
      <c r="Q155" s="386"/>
      <c r="R155" s="386"/>
    </row>
    <row r="156" ht="12.75" customHeight="1" spans="1:18">
      <c r="A156" s="249">
        <v>1</v>
      </c>
      <c r="B156" s="387" t="s">
        <v>6851</v>
      </c>
      <c r="C156" s="387"/>
      <c r="D156" s="387"/>
      <c r="E156" s="388" t="s">
        <v>294</v>
      </c>
      <c r="F156" s="249" t="s">
        <v>1776</v>
      </c>
      <c r="G156" s="398" t="s">
        <v>3073</v>
      </c>
      <c r="H156" s="398" t="s">
        <v>7197</v>
      </c>
      <c r="I156" s="399"/>
      <c r="J156" s="249" t="s">
        <v>7249</v>
      </c>
      <c r="K156" s="249" t="s">
        <v>1016</v>
      </c>
      <c r="L156" s="387"/>
      <c r="M156" s="249" t="s">
        <v>7205</v>
      </c>
      <c r="N156" s="249" t="s">
        <v>7206</v>
      </c>
      <c r="O156" s="365" t="s">
        <v>7250</v>
      </c>
      <c r="P156" s="387"/>
      <c r="Q156" s="390">
        <v>0.5</v>
      </c>
      <c r="R156" s="390"/>
    </row>
    <row r="157" ht="12.75" customHeight="1" spans="1:18">
      <c r="A157" s="249">
        <f t="shared" ref="A157:A182" si="2">A156+1</f>
        <v>2</v>
      </c>
      <c r="B157" s="387" t="s">
        <v>6853</v>
      </c>
      <c r="C157" s="387"/>
      <c r="D157" s="387"/>
      <c r="E157" s="388" t="s">
        <v>294</v>
      </c>
      <c r="F157" s="249" t="s">
        <v>1776</v>
      </c>
      <c r="G157" s="398" t="s">
        <v>3073</v>
      </c>
      <c r="H157" s="398" t="s">
        <v>7197</v>
      </c>
      <c r="I157" s="400"/>
      <c r="J157" s="249" t="s">
        <v>7249</v>
      </c>
      <c r="K157" s="249" t="s">
        <v>1016</v>
      </c>
      <c r="L157" s="387"/>
      <c r="M157" s="249" t="s">
        <v>7205</v>
      </c>
      <c r="N157" s="249" t="s">
        <v>7206</v>
      </c>
      <c r="O157" s="365" t="s">
        <v>7250</v>
      </c>
      <c r="P157" s="387"/>
      <c r="Q157" s="390">
        <v>0.5</v>
      </c>
      <c r="R157" s="390"/>
    </row>
    <row r="158" ht="12.75" customHeight="1" spans="1:18">
      <c r="A158" s="249">
        <f t="shared" si="2"/>
        <v>3</v>
      </c>
      <c r="B158" s="387" t="s">
        <v>6854</v>
      </c>
      <c r="C158" s="387"/>
      <c r="D158" s="387"/>
      <c r="E158" s="388" t="s">
        <v>294</v>
      </c>
      <c r="F158" s="249" t="s">
        <v>1776</v>
      </c>
      <c r="G158" s="398" t="s">
        <v>7251</v>
      </c>
      <c r="H158" s="398" t="s">
        <v>7197</v>
      </c>
      <c r="I158" s="400"/>
      <c r="J158" s="249" t="s">
        <v>1323</v>
      </c>
      <c r="K158" s="249" t="s">
        <v>1140</v>
      </c>
      <c r="L158" s="387"/>
      <c r="M158" s="249" t="s">
        <v>7252</v>
      </c>
      <c r="N158" s="249" t="s">
        <v>7253</v>
      </c>
      <c r="O158" s="365" t="s">
        <v>7254</v>
      </c>
      <c r="P158" s="387"/>
      <c r="Q158" s="390">
        <v>0.5</v>
      </c>
      <c r="R158" s="390"/>
    </row>
    <row r="159" ht="12.75" customHeight="1" spans="1:18">
      <c r="A159" s="249">
        <f t="shared" si="2"/>
        <v>4</v>
      </c>
      <c r="B159" s="387" t="s">
        <v>6855</v>
      </c>
      <c r="C159" s="387"/>
      <c r="D159" s="387"/>
      <c r="E159" s="388" t="s">
        <v>294</v>
      </c>
      <c r="F159" s="249" t="s">
        <v>1776</v>
      </c>
      <c r="G159" s="398" t="s">
        <v>7251</v>
      </c>
      <c r="H159" s="398" t="s">
        <v>7197</v>
      </c>
      <c r="I159" s="400"/>
      <c r="J159" s="249" t="s">
        <v>1323</v>
      </c>
      <c r="K159" s="249" t="s">
        <v>1140</v>
      </c>
      <c r="L159" s="387"/>
      <c r="M159" s="249" t="s">
        <v>7252</v>
      </c>
      <c r="N159" s="249" t="s">
        <v>7253</v>
      </c>
      <c r="O159" s="365" t="s">
        <v>7255</v>
      </c>
      <c r="P159" s="387"/>
      <c r="Q159" s="390">
        <v>0.5</v>
      </c>
      <c r="R159" s="390"/>
    </row>
    <row r="160" ht="12.75" customHeight="1" spans="1:18">
      <c r="A160" s="249">
        <f t="shared" si="2"/>
        <v>5</v>
      </c>
      <c r="B160" s="387" t="s">
        <v>6856</v>
      </c>
      <c r="C160" s="387"/>
      <c r="D160" s="387"/>
      <c r="E160" s="388" t="s">
        <v>294</v>
      </c>
      <c r="F160" s="249" t="s">
        <v>1776</v>
      </c>
      <c r="G160" s="398" t="s">
        <v>7251</v>
      </c>
      <c r="H160" s="398" t="s">
        <v>7197</v>
      </c>
      <c r="I160" s="400"/>
      <c r="J160" s="249" t="s">
        <v>1323</v>
      </c>
      <c r="K160" s="249" t="s">
        <v>1140</v>
      </c>
      <c r="L160" s="387"/>
      <c r="M160" s="249" t="s">
        <v>7252</v>
      </c>
      <c r="N160" s="249" t="s">
        <v>7253</v>
      </c>
      <c r="O160" s="365" t="s">
        <v>7256</v>
      </c>
      <c r="P160" s="387"/>
      <c r="Q160" s="390">
        <v>0.5</v>
      </c>
      <c r="R160" s="390"/>
    </row>
    <row r="161" ht="12.75" customHeight="1" spans="1:18">
      <c r="A161" s="249">
        <f t="shared" si="2"/>
        <v>6</v>
      </c>
      <c r="B161" s="387" t="s">
        <v>6857</v>
      </c>
      <c r="C161" s="387"/>
      <c r="D161" s="387"/>
      <c r="E161" s="388" t="s">
        <v>294</v>
      </c>
      <c r="F161" s="249" t="s">
        <v>1776</v>
      </c>
      <c r="G161" s="398" t="s">
        <v>7251</v>
      </c>
      <c r="H161" s="398" t="s">
        <v>7197</v>
      </c>
      <c r="I161" s="400"/>
      <c r="J161" s="249" t="s">
        <v>1323</v>
      </c>
      <c r="K161" s="249" t="s">
        <v>1140</v>
      </c>
      <c r="L161" s="387"/>
      <c r="M161" s="249" t="s">
        <v>7252</v>
      </c>
      <c r="N161" s="249" t="s">
        <v>7253</v>
      </c>
      <c r="O161" s="365" t="s">
        <v>7257</v>
      </c>
      <c r="P161" s="387"/>
      <c r="Q161" s="390">
        <v>0.5</v>
      </c>
      <c r="R161" s="390"/>
    </row>
    <row r="162" ht="12.75" customHeight="1" spans="1:18">
      <c r="A162" s="249">
        <f t="shared" si="2"/>
        <v>7</v>
      </c>
      <c r="B162" s="387" t="s">
        <v>6858</v>
      </c>
      <c r="C162" s="387"/>
      <c r="D162" s="387"/>
      <c r="E162" s="388" t="s">
        <v>294</v>
      </c>
      <c r="F162" s="249" t="s">
        <v>1776</v>
      </c>
      <c r="G162" s="398" t="s">
        <v>7251</v>
      </c>
      <c r="H162" s="398" t="s">
        <v>7197</v>
      </c>
      <c r="I162" s="400"/>
      <c r="J162" s="249" t="s">
        <v>1323</v>
      </c>
      <c r="K162" s="249" t="s">
        <v>1140</v>
      </c>
      <c r="L162" s="387"/>
      <c r="M162" s="249" t="s">
        <v>7252</v>
      </c>
      <c r="N162" s="249" t="s">
        <v>7253</v>
      </c>
      <c r="O162" s="365" t="s">
        <v>7258</v>
      </c>
      <c r="P162" s="387"/>
      <c r="Q162" s="390">
        <v>0.5</v>
      </c>
      <c r="R162" s="390"/>
    </row>
    <row r="163" ht="12.75" customHeight="1" spans="1:18">
      <c r="A163" s="249">
        <f t="shared" si="2"/>
        <v>8</v>
      </c>
      <c r="B163" s="387" t="s">
        <v>6859</v>
      </c>
      <c r="C163" s="387"/>
      <c r="D163" s="387"/>
      <c r="E163" s="388" t="s">
        <v>294</v>
      </c>
      <c r="F163" s="249" t="s">
        <v>1776</v>
      </c>
      <c r="G163" s="398" t="s">
        <v>7251</v>
      </c>
      <c r="H163" s="398" t="s">
        <v>7197</v>
      </c>
      <c r="I163" s="400"/>
      <c r="J163" s="249" t="s">
        <v>1323</v>
      </c>
      <c r="K163" s="249" t="s">
        <v>1140</v>
      </c>
      <c r="L163" s="387"/>
      <c r="M163" s="249" t="s">
        <v>7252</v>
      </c>
      <c r="N163" s="249" t="s">
        <v>7253</v>
      </c>
      <c r="O163" s="365" t="s">
        <v>7259</v>
      </c>
      <c r="P163" s="387"/>
      <c r="Q163" s="390">
        <v>0.5</v>
      </c>
      <c r="R163" s="390"/>
    </row>
    <row r="164" ht="12.75" customHeight="1" spans="1:18">
      <c r="A164" s="249">
        <f t="shared" si="2"/>
        <v>9</v>
      </c>
      <c r="B164" s="387" t="s">
        <v>6860</v>
      </c>
      <c r="C164" s="387"/>
      <c r="D164" s="387"/>
      <c r="E164" s="388" t="s">
        <v>294</v>
      </c>
      <c r="F164" s="249" t="s">
        <v>1776</v>
      </c>
      <c r="G164" s="398" t="s">
        <v>7251</v>
      </c>
      <c r="H164" s="398" t="s">
        <v>7197</v>
      </c>
      <c r="I164" s="400"/>
      <c r="J164" s="249" t="s">
        <v>1323</v>
      </c>
      <c r="K164" s="249" t="s">
        <v>1140</v>
      </c>
      <c r="L164" s="387"/>
      <c r="M164" s="249" t="s">
        <v>7252</v>
      </c>
      <c r="N164" s="249" t="s">
        <v>7253</v>
      </c>
      <c r="O164" s="365" t="s">
        <v>7260</v>
      </c>
      <c r="P164" s="387"/>
      <c r="Q164" s="390">
        <v>0.5</v>
      </c>
      <c r="R164" s="390"/>
    </row>
    <row r="165" ht="12.75" customHeight="1" spans="1:18">
      <c r="A165" s="249">
        <f t="shared" si="2"/>
        <v>10</v>
      </c>
      <c r="B165" s="387" t="s">
        <v>6861</v>
      </c>
      <c r="C165" s="387"/>
      <c r="D165" s="387"/>
      <c r="E165" s="388" t="s">
        <v>6054</v>
      </c>
      <c r="F165" s="249" t="s">
        <v>1776</v>
      </c>
      <c r="G165" s="401">
        <v>45968</v>
      </c>
      <c r="H165" s="398" t="s">
        <v>7197</v>
      </c>
      <c r="I165" s="400"/>
      <c r="J165" s="249" t="s">
        <v>7215</v>
      </c>
      <c r="K165" s="249" t="s">
        <v>1140</v>
      </c>
      <c r="L165" s="387"/>
      <c r="M165" s="249" t="s">
        <v>7200</v>
      </c>
      <c r="N165" s="249" t="s">
        <v>7201</v>
      </c>
      <c r="O165" s="365"/>
      <c r="P165" s="387"/>
      <c r="Q165" s="390"/>
      <c r="R165" s="390"/>
    </row>
    <row r="166" ht="12.75" customHeight="1" spans="1:18">
      <c r="A166" s="249">
        <f t="shared" si="2"/>
        <v>11</v>
      </c>
      <c r="B166" s="387" t="s">
        <v>6862</v>
      </c>
      <c r="C166" s="387"/>
      <c r="D166" s="387"/>
      <c r="E166" s="388" t="s">
        <v>6054</v>
      </c>
      <c r="F166" s="249" t="s">
        <v>1776</v>
      </c>
      <c r="G166" s="401">
        <v>45968</v>
      </c>
      <c r="H166" s="398" t="s">
        <v>7197</v>
      </c>
      <c r="I166" s="400"/>
      <c r="J166" s="249" t="s">
        <v>7215</v>
      </c>
      <c r="K166" s="249" t="s">
        <v>1140</v>
      </c>
      <c r="L166" s="387"/>
      <c r="M166" s="249" t="s">
        <v>7200</v>
      </c>
      <c r="N166" s="249" t="s">
        <v>7201</v>
      </c>
      <c r="O166" s="365"/>
      <c r="P166" s="387"/>
      <c r="Q166" s="390"/>
      <c r="R166" s="390"/>
    </row>
    <row r="167" ht="12.75" customHeight="1" spans="1:18">
      <c r="A167" s="249">
        <f t="shared" si="2"/>
        <v>12</v>
      </c>
      <c r="B167" s="387" t="s">
        <v>6863</v>
      </c>
      <c r="C167" s="387"/>
      <c r="D167" s="387"/>
      <c r="E167" s="388" t="s">
        <v>6054</v>
      </c>
      <c r="F167" s="249" t="s">
        <v>1776</v>
      </c>
      <c r="G167" s="401">
        <v>45968</v>
      </c>
      <c r="H167" s="398" t="s">
        <v>7197</v>
      </c>
      <c r="I167" s="400"/>
      <c r="J167" s="249" t="s">
        <v>7215</v>
      </c>
      <c r="K167" s="249" t="s">
        <v>1140</v>
      </c>
      <c r="L167" s="387"/>
      <c r="M167" s="249" t="s">
        <v>7200</v>
      </c>
      <c r="N167" s="249" t="s">
        <v>7201</v>
      </c>
      <c r="O167" s="365"/>
      <c r="P167" s="387"/>
      <c r="Q167" s="390"/>
      <c r="R167" s="390"/>
    </row>
    <row r="168" ht="12.75" customHeight="1" spans="1:18">
      <c r="A168" s="249">
        <f t="shared" si="2"/>
        <v>13</v>
      </c>
      <c r="B168" s="387" t="s">
        <v>6864</v>
      </c>
      <c r="C168" s="387"/>
      <c r="D168" s="387"/>
      <c r="E168" s="388" t="s">
        <v>6054</v>
      </c>
      <c r="F168" s="249" t="s">
        <v>1776</v>
      </c>
      <c r="G168" s="401">
        <v>45968</v>
      </c>
      <c r="H168" s="398" t="s">
        <v>7197</v>
      </c>
      <c r="I168" s="400"/>
      <c r="J168" s="249" t="s">
        <v>7215</v>
      </c>
      <c r="K168" s="249" t="s">
        <v>1140</v>
      </c>
      <c r="L168" s="387"/>
      <c r="M168" s="249" t="s">
        <v>7200</v>
      </c>
      <c r="N168" s="249" t="s">
        <v>7201</v>
      </c>
      <c r="O168" s="365"/>
      <c r="P168" s="387"/>
      <c r="Q168" s="390"/>
      <c r="R168" s="390"/>
    </row>
    <row r="169" ht="12.75" customHeight="1" spans="1:18">
      <c r="A169" s="249">
        <f t="shared" si="2"/>
        <v>14</v>
      </c>
      <c r="B169" s="387" t="s">
        <v>6865</v>
      </c>
      <c r="C169" s="387"/>
      <c r="D169" s="387"/>
      <c r="E169" s="388" t="s">
        <v>6054</v>
      </c>
      <c r="F169" s="249" t="s">
        <v>1776</v>
      </c>
      <c r="G169" s="401">
        <v>45968</v>
      </c>
      <c r="H169" s="398" t="s">
        <v>7197</v>
      </c>
      <c r="I169" s="400"/>
      <c r="J169" s="249" t="s">
        <v>7215</v>
      </c>
      <c r="K169" s="249" t="s">
        <v>1140</v>
      </c>
      <c r="L169" s="387"/>
      <c r="M169" s="249" t="s">
        <v>7200</v>
      </c>
      <c r="N169" s="249" t="s">
        <v>7201</v>
      </c>
      <c r="O169" s="365"/>
      <c r="P169" s="387"/>
      <c r="Q169" s="390"/>
      <c r="R169" s="390"/>
    </row>
    <row r="170" ht="12.75" customHeight="1" spans="1:18">
      <c r="A170" s="249">
        <f t="shared" si="2"/>
        <v>15</v>
      </c>
      <c r="B170" s="387" t="s">
        <v>6866</v>
      </c>
      <c r="C170" s="387"/>
      <c r="D170" s="387"/>
      <c r="E170" s="388" t="s">
        <v>6054</v>
      </c>
      <c r="F170" s="249" t="s">
        <v>1776</v>
      </c>
      <c r="G170" s="401">
        <v>45968</v>
      </c>
      <c r="H170" s="398" t="s">
        <v>7197</v>
      </c>
      <c r="I170" s="400"/>
      <c r="J170" s="249" t="s">
        <v>7215</v>
      </c>
      <c r="K170" s="249" t="s">
        <v>1140</v>
      </c>
      <c r="L170" s="387"/>
      <c r="M170" s="249" t="s">
        <v>7200</v>
      </c>
      <c r="N170" s="249" t="s">
        <v>7201</v>
      </c>
      <c r="O170" s="365"/>
      <c r="P170" s="387"/>
      <c r="Q170" s="390"/>
      <c r="R170" s="390"/>
    </row>
    <row r="171" ht="12.75" customHeight="1" spans="1:18">
      <c r="A171" s="249">
        <f t="shared" si="2"/>
        <v>16</v>
      </c>
      <c r="B171" s="387" t="s">
        <v>6867</v>
      </c>
      <c r="C171" s="387"/>
      <c r="D171" s="387"/>
      <c r="E171" s="388" t="s">
        <v>6054</v>
      </c>
      <c r="F171" s="249" t="s">
        <v>1776</v>
      </c>
      <c r="G171" s="401">
        <v>45968</v>
      </c>
      <c r="H171" s="398" t="s">
        <v>7197</v>
      </c>
      <c r="I171" s="400"/>
      <c r="J171" s="249" t="s">
        <v>7215</v>
      </c>
      <c r="K171" s="249" t="s">
        <v>1140</v>
      </c>
      <c r="L171" s="387"/>
      <c r="M171" s="249" t="s">
        <v>7200</v>
      </c>
      <c r="N171" s="249" t="s">
        <v>7201</v>
      </c>
      <c r="O171" s="365"/>
      <c r="P171" s="387"/>
      <c r="Q171" s="390"/>
      <c r="R171" s="390"/>
    </row>
    <row r="172" ht="12.75" customHeight="1" spans="1:18">
      <c r="A172" s="249">
        <f t="shared" si="2"/>
        <v>17</v>
      </c>
      <c r="B172" s="387" t="s">
        <v>6868</v>
      </c>
      <c r="C172" s="387"/>
      <c r="D172" s="387"/>
      <c r="E172" s="388" t="s">
        <v>6054</v>
      </c>
      <c r="F172" s="249" t="s">
        <v>1776</v>
      </c>
      <c r="G172" s="401">
        <v>45968</v>
      </c>
      <c r="H172" s="398" t="s">
        <v>7197</v>
      </c>
      <c r="I172" s="400"/>
      <c r="J172" s="249" t="s">
        <v>7215</v>
      </c>
      <c r="K172" s="249" t="s">
        <v>1140</v>
      </c>
      <c r="L172" s="387"/>
      <c r="M172" s="249" t="s">
        <v>7200</v>
      </c>
      <c r="N172" s="249" t="s">
        <v>7201</v>
      </c>
      <c r="O172" s="365"/>
      <c r="P172" s="387"/>
      <c r="Q172" s="390"/>
      <c r="R172" s="390"/>
    </row>
    <row r="173" ht="12.75" customHeight="1" spans="1:18">
      <c r="A173" s="249">
        <f t="shared" si="2"/>
        <v>18</v>
      </c>
      <c r="B173" s="387" t="s">
        <v>6869</v>
      </c>
      <c r="C173" s="387"/>
      <c r="D173" s="387"/>
      <c r="E173" s="388" t="s">
        <v>6054</v>
      </c>
      <c r="F173" s="249" t="s">
        <v>1776</v>
      </c>
      <c r="G173" s="401">
        <v>45968</v>
      </c>
      <c r="H173" s="398" t="s">
        <v>7197</v>
      </c>
      <c r="I173" s="400"/>
      <c r="J173" s="249" t="s">
        <v>7215</v>
      </c>
      <c r="K173" s="249" t="s">
        <v>1140</v>
      </c>
      <c r="L173" s="387"/>
      <c r="M173" s="249" t="s">
        <v>7200</v>
      </c>
      <c r="N173" s="249" t="s">
        <v>7201</v>
      </c>
      <c r="O173" s="365"/>
      <c r="P173" s="387"/>
      <c r="Q173" s="390"/>
      <c r="R173" s="390"/>
    </row>
    <row r="174" ht="12.75" customHeight="1" spans="1:18">
      <c r="A174" s="249">
        <f t="shared" si="2"/>
        <v>19</v>
      </c>
      <c r="B174" s="387" t="s">
        <v>6870</v>
      </c>
      <c r="C174" s="387"/>
      <c r="D174" s="387"/>
      <c r="E174" s="388" t="s">
        <v>6054</v>
      </c>
      <c r="F174" s="249" t="s">
        <v>1776</v>
      </c>
      <c r="G174" s="401">
        <v>45968</v>
      </c>
      <c r="H174" s="398" t="s">
        <v>7197</v>
      </c>
      <c r="I174" s="400"/>
      <c r="J174" s="249" t="s">
        <v>7215</v>
      </c>
      <c r="K174" s="249" t="s">
        <v>1140</v>
      </c>
      <c r="L174" s="387"/>
      <c r="M174" s="249" t="s">
        <v>7200</v>
      </c>
      <c r="N174" s="249" t="s">
        <v>7201</v>
      </c>
      <c r="O174" s="365"/>
      <c r="P174" s="387"/>
      <c r="Q174" s="390"/>
      <c r="R174" s="390"/>
    </row>
    <row r="175" ht="12.75" customHeight="1" spans="1:18">
      <c r="A175" s="249">
        <f t="shared" si="2"/>
        <v>20</v>
      </c>
      <c r="B175" s="387" t="s">
        <v>6871</v>
      </c>
      <c r="C175" s="387"/>
      <c r="D175" s="387"/>
      <c r="E175" s="388" t="s">
        <v>6054</v>
      </c>
      <c r="F175" s="249" t="s">
        <v>1776</v>
      </c>
      <c r="G175" s="401">
        <v>45968</v>
      </c>
      <c r="H175" s="398" t="s">
        <v>7197</v>
      </c>
      <c r="I175" s="400"/>
      <c r="J175" s="249" t="s">
        <v>7215</v>
      </c>
      <c r="K175" s="249" t="s">
        <v>1140</v>
      </c>
      <c r="L175" s="387"/>
      <c r="M175" s="249" t="s">
        <v>7200</v>
      </c>
      <c r="N175" s="249" t="s">
        <v>7201</v>
      </c>
      <c r="O175" s="365"/>
      <c r="P175" s="387"/>
      <c r="Q175" s="390"/>
      <c r="R175" s="390"/>
    </row>
    <row r="176" ht="12.75" customHeight="1" spans="1:18">
      <c r="A176" s="249">
        <f t="shared" si="2"/>
        <v>21</v>
      </c>
      <c r="B176" s="387" t="s">
        <v>6872</v>
      </c>
      <c r="C176" s="387"/>
      <c r="D176" s="387"/>
      <c r="E176" s="388" t="s">
        <v>6054</v>
      </c>
      <c r="F176" s="249" t="s">
        <v>1776</v>
      </c>
      <c r="G176" s="401">
        <v>45968</v>
      </c>
      <c r="H176" s="398" t="s">
        <v>7197</v>
      </c>
      <c r="I176" s="400"/>
      <c r="J176" s="249" t="s">
        <v>7215</v>
      </c>
      <c r="K176" s="249" t="s">
        <v>1140</v>
      </c>
      <c r="L176" s="387"/>
      <c r="M176" s="249" t="s">
        <v>7200</v>
      </c>
      <c r="N176" s="249" t="s">
        <v>7201</v>
      </c>
      <c r="O176" s="365"/>
      <c r="P176" s="387"/>
      <c r="Q176" s="390"/>
      <c r="R176" s="390"/>
    </row>
    <row r="177" ht="12.75" customHeight="1" spans="1:18">
      <c r="A177" s="249">
        <f t="shared" si="2"/>
        <v>22</v>
      </c>
      <c r="B177" s="387" t="s">
        <v>6873</v>
      </c>
      <c r="C177" s="387"/>
      <c r="D177" s="387"/>
      <c r="E177" s="388" t="s">
        <v>6054</v>
      </c>
      <c r="F177" s="249" t="s">
        <v>1776</v>
      </c>
      <c r="G177" s="401">
        <v>45968</v>
      </c>
      <c r="H177" s="398" t="s">
        <v>7197</v>
      </c>
      <c r="I177" s="400"/>
      <c r="J177" s="249" t="s">
        <v>7215</v>
      </c>
      <c r="K177" s="249" t="s">
        <v>1140</v>
      </c>
      <c r="L177" s="387"/>
      <c r="M177" s="249" t="s">
        <v>7200</v>
      </c>
      <c r="N177" s="249" t="s">
        <v>7201</v>
      </c>
      <c r="O177" s="365"/>
      <c r="P177" s="387"/>
      <c r="Q177" s="390"/>
      <c r="R177" s="390"/>
    </row>
    <row r="178" ht="12.75" customHeight="1" spans="1:18">
      <c r="A178" s="249">
        <f t="shared" si="2"/>
        <v>23</v>
      </c>
      <c r="B178" s="387" t="s">
        <v>6874</v>
      </c>
      <c r="C178" s="387"/>
      <c r="D178" s="387"/>
      <c r="E178" s="388" t="s">
        <v>6054</v>
      </c>
      <c r="F178" s="249" t="s">
        <v>1776</v>
      </c>
      <c r="G178" s="401">
        <v>45968</v>
      </c>
      <c r="H178" s="398" t="s">
        <v>7197</v>
      </c>
      <c r="I178" s="400"/>
      <c r="J178" s="249" t="s">
        <v>7215</v>
      </c>
      <c r="K178" s="249" t="s">
        <v>1140</v>
      </c>
      <c r="L178" s="387"/>
      <c r="M178" s="249" t="s">
        <v>7200</v>
      </c>
      <c r="N178" s="249" t="s">
        <v>7201</v>
      </c>
      <c r="O178" s="365"/>
      <c r="P178" s="387"/>
      <c r="Q178" s="390"/>
      <c r="R178" s="390"/>
    </row>
    <row r="179" ht="12.75" customHeight="1" spans="1:18">
      <c r="A179" s="249">
        <f t="shared" si="2"/>
        <v>24</v>
      </c>
      <c r="B179" s="387" t="s">
        <v>6875</v>
      </c>
      <c r="C179" s="387"/>
      <c r="D179" s="387"/>
      <c r="E179" s="388" t="s">
        <v>6054</v>
      </c>
      <c r="F179" s="249" t="s">
        <v>1776</v>
      </c>
      <c r="G179" s="401">
        <v>45968</v>
      </c>
      <c r="H179" s="398" t="s">
        <v>7197</v>
      </c>
      <c r="I179" s="400"/>
      <c r="J179" s="249" t="s">
        <v>7215</v>
      </c>
      <c r="K179" s="249" t="s">
        <v>1140</v>
      </c>
      <c r="L179" s="387"/>
      <c r="M179" s="249" t="s">
        <v>7200</v>
      </c>
      <c r="N179" s="249" t="s">
        <v>7201</v>
      </c>
      <c r="O179" s="365"/>
      <c r="P179" s="387"/>
      <c r="Q179" s="390"/>
      <c r="R179" s="390"/>
    </row>
    <row r="180" ht="12.75" customHeight="1" spans="1:18">
      <c r="A180" s="249">
        <f t="shared" si="2"/>
        <v>25</v>
      </c>
      <c r="B180" s="387" t="s">
        <v>6876</v>
      </c>
      <c r="C180" s="387"/>
      <c r="D180" s="387"/>
      <c r="E180" s="388" t="s">
        <v>6054</v>
      </c>
      <c r="F180" s="249" t="s">
        <v>1776</v>
      </c>
      <c r="G180" s="398" t="s">
        <v>7261</v>
      </c>
      <c r="H180" s="398" t="s">
        <v>7197</v>
      </c>
      <c r="I180" s="400"/>
      <c r="J180" s="249" t="s">
        <v>7215</v>
      </c>
      <c r="K180" s="249" t="s">
        <v>1140</v>
      </c>
      <c r="L180" s="387"/>
      <c r="M180" s="249" t="s">
        <v>7200</v>
      </c>
      <c r="N180" s="249" t="s">
        <v>7201</v>
      </c>
      <c r="O180" s="365"/>
      <c r="P180" s="387"/>
      <c r="Q180" s="390"/>
      <c r="R180" s="390"/>
    </row>
    <row r="181" ht="12.75" customHeight="1" spans="1:18">
      <c r="A181" s="249">
        <f t="shared" si="2"/>
        <v>26</v>
      </c>
      <c r="B181" s="387" t="s">
        <v>6877</v>
      </c>
      <c r="C181" s="387"/>
      <c r="D181" s="387"/>
      <c r="E181" s="388" t="s">
        <v>6054</v>
      </c>
      <c r="F181" s="249" t="s">
        <v>1776</v>
      </c>
      <c r="G181" s="398" t="s">
        <v>7261</v>
      </c>
      <c r="H181" s="398" t="s">
        <v>7197</v>
      </c>
      <c r="I181" s="400"/>
      <c r="J181" s="249" t="s">
        <v>7215</v>
      </c>
      <c r="K181" s="249" t="s">
        <v>1140</v>
      </c>
      <c r="L181" s="387"/>
      <c r="M181" s="249" t="s">
        <v>7200</v>
      </c>
      <c r="N181" s="249" t="s">
        <v>7201</v>
      </c>
      <c r="O181" s="365"/>
      <c r="P181" s="387"/>
      <c r="Q181" s="390"/>
      <c r="R181" s="390"/>
    </row>
    <row r="182" ht="12.75" customHeight="1" spans="1:18">
      <c r="A182" s="249">
        <f t="shared" si="2"/>
        <v>27</v>
      </c>
      <c r="B182" s="387" t="s">
        <v>6878</v>
      </c>
      <c r="C182" s="387"/>
      <c r="D182" s="387"/>
      <c r="E182" s="388" t="s">
        <v>6054</v>
      </c>
      <c r="F182" s="249" t="s">
        <v>1776</v>
      </c>
      <c r="G182" s="398" t="s">
        <v>7261</v>
      </c>
      <c r="H182" s="398" t="s">
        <v>7197</v>
      </c>
      <c r="I182" s="400"/>
      <c r="J182" s="249" t="s">
        <v>7215</v>
      </c>
      <c r="K182" s="249" t="s">
        <v>1140</v>
      </c>
      <c r="L182" s="387"/>
      <c r="M182" s="249" t="s">
        <v>7216</v>
      </c>
      <c r="N182" s="249" t="s">
        <v>7201</v>
      </c>
      <c r="O182" s="365"/>
      <c r="P182" s="387"/>
      <c r="Q182" s="390"/>
      <c r="R182" s="390"/>
    </row>
    <row r="183" ht="12.75" customHeight="1" spans="1:18">
      <c r="A183" s="249"/>
      <c r="B183" s="387"/>
      <c r="C183" s="387"/>
      <c r="D183" s="387"/>
      <c r="E183" s="388"/>
      <c r="F183" s="249"/>
      <c r="G183" s="398"/>
      <c r="H183" s="398"/>
      <c r="I183" s="400"/>
      <c r="J183" s="249"/>
      <c r="K183" s="249"/>
      <c r="L183" s="387"/>
      <c r="M183" s="249"/>
      <c r="N183" s="249"/>
      <c r="O183" s="365"/>
      <c r="P183" s="387"/>
      <c r="Q183" s="390"/>
      <c r="R183" s="390"/>
    </row>
    <row r="184" ht="12.75" customHeight="1" spans="1:18">
      <c r="A184" s="249"/>
      <c r="B184" s="387"/>
      <c r="C184" s="387"/>
      <c r="D184" s="387"/>
      <c r="E184" s="388"/>
      <c r="F184" s="249"/>
      <c r="G184" s="398"/>
      <c r="H184" s="398"/>
      <c r="I184" s="400"/>
      <c r="J184" s="249"/>
      <c r="K184" s="249"/>
      <c r="L184" s="387"/>
      <c r="M184" s="249"/>
      <c r="N184" s="249"/>
      <c r="O184" s="365"/>
      <c r="P184" s="387"/>
      <c r="Q184" s="390"/>
      <c r="R184" s="390"/>
    </row>
    <row r="185" ht="12.75" customHeight="1" spans="1:18">
      <c r="A185" s="249"/>
      <c r="B185" s="387"/>
      <c r="C185" s="387"/>
      <c r="D185" s="387"/>
      <c r="E185" s="388"/>
      <c r="F185" s="249"/>
      <c r="G185" s="398"/>
      <c r="H185" s="398"/>
      <c r="I185" s="400"/>
      <c r="J185" s="249"/>
      <c r="K185" s="249"/>
      <c r="L185" s="387"/>
      <c r="M185" s="249"/>
      <c r="N185" s="249"/>
      <c r="O185" s="365"/>
      <c r="P185" s="387"/>
      <c r="Q185" s="390"/>
      <c r="R185" s="390"/>
    </row>
    <row r="186" ht="12.75" customHeight="1" spans="1:18">
      <c r="A186" s="249"/>
      <c r="B186" s="387"/>
      <c r="C186" s="387"/>
      <c r="D186" s="387"/>
      <c r="E186" s="388"/>
      <c r="F186" s="249"/>
      <c r="G186" s="398"/>
      <c r="H186" s="398"/>
      <c r="I186" s="400"/>
      <c r="J186" s="249"/>
      <c r="K186" s="249"/>
      <c r="L186" s="387"/>
      <c r="M186" s="249"/>
      <c r="N186" s="249"/>
      <c r="O186" s="365"/>
      <c r="P186" s="387"/>
      <c r="Q186" s="390"/>
      <c r="R186" s="390"/>
    </row>
    <row r="187" ht="12.75" customHeight="1" spans="1:18">
      <c r="A187" s="249"/>
      <c r="B187" s="387"/>
      <c r="C187" s="387"/>
      <c r="D187" s="387"/>
      <c r="E187" s="388"/>
      <c r="F187" s="249"/>
      <c r="G187" s="398"/>
      <c r="H187" s="398"/>
      <c r="I187" s="400"/>
      <c r="J187" s="249"/>
      <c r="K187" s="249"/>
      <c r="L187" s="387"/>
      <c r="M187" s="249"/>
      <c r="N187" s="249"/>
      <c r="O187" s="365"/>
      <c r="P187" s="387"/>
      <c r="Q187" s="390"/>
      <c r="R187" s="390"/>
    </row>
    <row r="188" ht="12.75" customHeight="1" spans="1:18">
      <c r="A188" s="249"/>
      <c r="B188" s="387"/>
      <c r="C188" s="387" t="s">
        <v>7247</v>
      </c>
      <c r="D188" s="387"/>
      <c r="E188" s="388"/>
      <c r="F188" s="249"/>
      <c r="G188" s="398"/>
      <c r="H188" s="398"/>
      <c r="I188" s="400"/>
      <c r="J188" s="249"/>
      <c r="K188" s="249"/>
      <c r="L188" s="387"/>
      <c r="M188" s="249"/>
      <c r="N188" s="249"/>
      <c r="O188" s="365"/>
      <c r="P188" s="387"/>
      <c r="Q188" s="390"/>
      <c r="R188" s="390"/>
    </row>
    <row r="189" ht="12.75" customHeight="1" spans="1:18">
      <c r="A189" s="381" t="s">
        <v>7262</v>
      </c>
      <c r="B189" s="382" t="s">
        <v>6879</v>
      </c>
      <c r="C189" s="383">
        <f>COUNTA($B$190:$B$216)</f>
        <v>13</v>
      </c>
      <c r="D189" s="384"/>
      <c r="E189" s="384"/>
      <c r="F189" s="385"/>
      <c r="G189" s="385"/>
      <c r="H189" s="385"/>
      <c r="I189" s="383"/>
      <c r="J189" s="385"/>
      <c r="K189" s="385"/>
      <c r="L189" s="383"/>
      <c r="M189" s="385"/>
      <c r="N189" s="385"/>
      <c r="O189" s="383"/>
      <c r="P189" s="383"/>
      <c r="Q189" s="386"/>
      <c r="R189" s="386"/>
    </row>
    <row r="190" ht="12.75" customHeight="1" spans="1:18">
      <c r="A190" s="249">
        <v>1</v>
      </c>
      <c r="B190" s="387" t="s">
        <v>6880</v>
      </c>
      <c r="C190" s="387"/>
      <c r="D190" s="387"/>
      <c r="E190" s="388" t="s">
        <v>294</v>
      </c>
      <c r="F190" s="249" t="s">
        <v>1769</v>
      </c>
      <c r="G190" s="398" t="s">
        <v>7263</v>
      </c>
      <c r="H190" s="398" t="s">
        <v>7197</v>
      </c>
      <c r="I190" s="400" t="s">
        <v>7264</v>
      </c>
      <c r="J190" s="249" t="s">
        <v>1323</v>
      </c>
      <c r="K190" s="249" t="s">
        <v>1140</v>
      </c>
      <c r="L190" s="387"/>
      <c r="M190" s="249" t="s">
        <v>7252</v>
      </c>
      <c r="N190" s="249" t="s">
        <v>7253</v>
      </c>
      <c r="O190" s="365" t="s">
        <v>7265</v>
      </c>
      <c r="P190" s="387"/>
      <c r="Q190" s="390">
        <v>0.5</v>
      </c>
      <c r="R190" s="390"/>
    </row>
    <row r="191" ht="12.75" customHeight="1" spans="1:18">
      <c r="A191" s="249">
        <f>1+A798</f>
        <v>5</v>
      </c>
      <c r="B191" s="387" t="s">
        <v>6882</v>
      </c>
      <c r="C191" s="387"/>
      <c r="D191" s="387"/>
      <c r="E191" s="388" t="s">
        <v>294</v>
      </c>
      <c r="F191" s="249" t="s">
        <v>1769</v>
      </c>
      <c r="G191" s="398" t="s">
        <v>7251</v>
      </c>
      <c r="H191" s="398" t="s">
        <v>7197</v>
      </c>
      <c r="I191" s="400"/>
      <c r="J191" s="249" t="s">
        <v>1323</v>
      </c>
      <c r="K191" s="249" t="s">
        <v>1140</v>
      </c>
      <c r="L191" s="387"/>
      <c r="M191" s="249" t="s">
        <v>7252</v>
      </c>
      <c r="N191" s="249" t="s">
        <v>7253</v>
      </c>
      <c r="O191" s="365" t="s">
        <v>7266</v>
      </c>
      <c r="P191" s="387"/>
      <c r="Q191" s="390">
        <v>0.5</v>
      </c>
      <c r="R191" s="390"/>
    </row>
    <row r="192" ht="12.75" customHeight="1" spans="1:18">
      <c r="A192" s="249">
        <f t="shared" ref="A192:A202" si="3">1+A191</f>
        <v>6</v>
      </c>
      <c r="B192" s="387" t="s">
        <v>6883</v>
      </c>
      <c r="C192" s="387"/>
      <c r="D192" s="387"/>
      <c r="E192" s="388" t="s">
        <v>294</v>
      </c>
      <c r="F192" s="249" t="s">
        <v>1769</v>
      </c>
      <c r="G192" s="398" t="s">
        <v>7251</v>
      </c>
      <c r="H192" s="398" t="s">
        <v>7197</v>
      </c>
      <c r="I192" s="400"/>
      <c r="J192" s="249" t="s">
        <v>1323</v>
      </c>
      <c r="K192" s="249" t="s">
        <v>1140</v>
      </c>
      <c r="L192" s="387"/>
      <c r="M192" s="249" t="s">
        <v>7252</v>
      </c>
      <c r="N192" s="249" t="s">
        <v>7253</v>
      </c>
      <c r="O192" s="365" t="s">
        <v>7267</v>
      </c>
      <c r="P192" s="387"/>
      <c r="Q192" s="390">
        <v>0.5</v>
      </c>
      <c r="R192" s="390"/>
    </row>
    <row r="193" ht="12.75" customHeight="1" spans="1:18">
      <c r="A193" s="249">
        <f t="shared" si="3"/>
        <v>7</v>
      </c>
      <c r="B193" s="387" t="s">
        <v>6884</v>
      </c>
      <c r="C193" s="387"/>
      <c r="D193" s="387"/>
      <c r="E193" s="388" t="s">
        <v>6054</v>
      </c>
      <c r="F193" s="249" t="s">
        <v>1769</v>
      </c>
      <c r="G193" s="401">
        <v>45849</v>
      </c>
      <c r="H193" s="398" t="s">
        <v>7197</v>
      </c>
      <c r="I193" s="400"/>
      <c r="J193" s="249" t="s">
        <v>7215</v>
      </c>
      <c r="K193" s="249" t="s">
        <v>1140</v>
      </c>
      <c r="L193" s="387"/>
      <c r="M193" s="249" t="s">
        <v>7200</v>
      </c>
      <c r="N193" s="249" t="s">
        <v>7201</v>
      </c>
      <c r="O193" s="365"/>
      <c r="P193" s="387"/>
      <c r="Q193" s="390"/>
      <c r="R193" s="390"/>
    </row>
    <row r="194" ht="12.75" customHeight="1" spans="1:18">
      <c r="A194" s="249">
        <f t="shared" si="3"/>
        <v>8</v>
      </c>
      <c r="B194" s="387" t="s">
        <v>6885</v>
      </c>
      <c r="C194" s="387"/>
      <c r="D194" s="387"/>
      <c r="E194" s="388" t="s">
        <v>6054</v>
      </c>
      <c r="F194" s="249" t="s">
        <v>1769</v>
      </c>
      <c r="G194" s="401">
        <v>45849</v>
      </c>
      <c r="H194" s="398" t="s">
        <v>7197</v>
      </c>
      <c r="I194" s="400"/>
      <c r="J194" s="249" t="s">
        <v>7215</v>
      </c>
      <c r="K194" s="249" t="s">
        <v>1140</v>
      </c>
      <c r="L194" s="387"/>
      <c r="M194" s="249" t="s">
        <v>7200</v>
      </c>
      <c r="N194" s="249" t="s">
        <v>7201</v>
      </c>
      <c r="O194" s="365"/>
      <c r="P194" s="387"/>
      <c r="Q194" s="390"/>
      <c r="R194" s="390"/>
    </row>
    <row r="195" ht="12.75" customHeight="1" spans="1:18">
      <c r="A195" s="249">
        <f t="shared" si="3"/>
        <v>9</v>
      </c>
      <c r="B195" s="387" t="s">
        <v>6886</v>
      </c>
      <c r="C195" s="387"/>
      <c r="D195" s="387"/>
      <c r="E195" s="388" t="s">
        <v>6054</v>
      </c>
      <c r="F195" s="249" t="s">
        <v>1769</v>
      </c>
      <c r="G195" s="401">
        <v>45849</v>
      </c>
      <c r="H195" s="398" t="s">
        <v>7197</v>
      </c>
      <c r="I195" s="400"/>
      <c r="J195" s="249" t="s">
        <v>7215</v>
      </c>
      <c r="K195" s="249" t="s">
        <v>1140</v>
      </c>
      <c r="L195" s="387"/>
      <c r="M195" s="249" t="s">
        <v>7200</v>
      </c>
      <c r="N195" s="249" t="s">
        <v>7201</v>
      </c>
      <c r="O195" s="365"/>
      <c r="P195" s="387"/>
      <c r="Q195" s="390"/>
      <c r="R195" s="390"/>
    </row>
    <row r="196" ht="12.75" customHeight="1" spans="1:18">
      <c r="A196" s="249">
        <f t="shared" si="3"/>
        <v>10</v>
      </c>
      <c r="B196" s="387" t="s">
        <v>6887</v>
      </c>
      <c r="C196" s="387"/>
      <c r="D196" s="387"/>
      <c r="E196" s="388" t="s">
        <v>6054</v>
      </c>
      <c r="F196" s="249" t="s">
        <v>1769</v>
      </c>
      <c r="G196" s="401">
        <v>45849</v>
      </c>
      <c r="H196" s="398" t="s">
        <v>7197</v>
      </c>
      <c r="I196" s="400"/>
      <c r="J196" s="249" t="s">
        <v>7215</v>
      </c>
      <c r="K196" s="249" t="s">
        <v>1140</v>
      </c>
      <c r="L196" s="387"/>
      <c r="M196" s="249" t="s">
        <v>7200</v>
      </c>
      <c r="N196" s="249" t="s">
        <v>7201</v>
      </c>
      <c r="O196" s="365"/>
      <c r="P196" s="387"/>
      <c r="Q196" s="390"/>
      <c r="R196" s="390"/>
    </row>
    <row r="197" ht="12.75" customHeight="1" spans="1:18">
      <c r="A197" s="249">
        <f t="shared" si="3"/>
        <v>11</v>
      </c>
      <c r="B197" s="387" t="s">
        <v>6888</v>
      </c>
      <c r="C197" s="387"/>
      <c r="D197" s="387"/>
      <c r="E197" s="388" t="s">
        <v>6054</v>
      </c>
      <c r="F197" s="249" t="s">
        <v>1769</v>
      </c>
      <c r="G197" s="401">
        <v>45849</v>
      </c>
      <c r="H197" s="398" t="s">
        <v>7197</v>
      </c>
      <c r="I197" s="400"/>
      <c r="J197" s="249" t="s">
        <v>7215</v>
      </c>
      <c r="K197" s="249" t="s">
        <v>1140</v>
      </c>
      <c r="L197" s="387"/>
      <c r="M197" s="249" t="s">
        <v>7200</v>
      </c>
      <c r="N197" s="249" t="s">
        <v>7201</v>
      </c>
      <c r="O197" s="365"/>
      <c r="P197" s="387"/>
      <c r="Q197" s="390"/>
      <c r="R197" s="390"/>
    </row>
    <row r="198" ht="12.75" customHeight="1" spans="1:18">
      <c r="A198" s="249">
        <f t="shared" si="3"/>
        <v>12</v>
      </c>
      <c r="B198" s="387" t="s">
        <v>6889</v>
      </c>
      <c r="C198" s="387"/>
      <c r="D198" s="387"/>
      <c r="E198" s="388" t="s">
        <v>6054</v>
      </c>
      <c r="F198" s="249" t="s">
        <v>1769</v>
      </c>
      <c r="G198" s="401">
        <v>45849</v>
      </c>
      <c r="H198" s="398" t="s">
        <v>7197</v>
      </c>
      <c r="I198" s="400"/>
      <c r="J198" s="249" t="s">
        <v>7215</v>
      </c>
      <c r="K198" s="249" t="s">
        <v>1140</v>
      </c>
      <c r="L198" s="387"/>
      <c r="M198" s="249" t="s">
        <v>7200</v>
      </c>
      <c r="N198" s="249" t="s">
        <v>7201</v>
      </c>
      <c r="O198" s="365"/>
      <c r="P198" s="387"/>
      <c r="Q198" s="390"/>
      <c r="R198" s="390"/>
    </row>
    <row r="199" ht="12.75" customHeight="1" spans="1:18">
      <c r="A199" s="249">
        <f t="shared" si="3"/>
        <v>13</v>
      </c>
      <c r="B199" s="387" t="s">
        <v>6890</v>
      </c>
      <c r="C199" s="387"/>
      <c r="D199" s="387"/>
      <c r="E199" s="388" t="s">
        <v>6054</v>
      </c>
      <c r="F199" s="249" t="s">
        <v>1769</v>
      </c>
      <c r="G199" s="401">
        <v>45849</v>
      </c>
      <c r="H199" s="398" t="s">
        <v>7197</v>
      </c>
      <c r="I199" s="400"/>
      <c r="J199" s="249" t="s">
        <v>7215</v>
      </c>
      <c r="K199" s="249" t="s">
        <v>1140</v>
      </c>
      <c r="L199" s="387"/>
      <c r="M199" s="249" t="s">
        <v>7200</v>
      </c>
      <c r="N199" s="249" t="s">
        <v>7201</v>
      </c>
      <c r="O199" s="365"/>
      <c r="P199" s="387"/>
      <c r="Q199" s="390"/>
      <c r="R199" s="390"/>
    </row>
    <row r="200" ht="12.75" customHeight="1" spans="1:18">
      <c r="A200" s="249">
        <f t="shared" si="3"/>
        <v>14</v>
      </c>
      <c r="B200" s="387" t="s">
        <v>6891</v>
      </c>
      <c r="C200" s="387"/>
      <c r="D200" s="387"/>
      <c r="E200" s="388" t="s">
        <v>6054</v>
      </c>
      <c r="F200" s="249" t="s">
        <v>1769</v>
      </c>
      <c r="G200" s="401">
        <v>45849</v>
      </c>
      <c r="H200" s="398" t="s">
        <v>7197</v>
      </c>
      <c r="I200" s="400"/>
      <c r="J200" s="249" t="s">
        <v>7215</v>
      </c>
      <c r="K200" s="249" t="s">
        <v>1140</v>
      </c>
      <c r="L200" s="387"/>
      <c r="M200" s="249" t="s">
        <v>7200</v>
      </c>
      <c r="N200" s="249" t="s">
        <v>7201</v>
      </c>
      <c r="O200" s="365"/>
      <c r="P200" s="387"/>
      <c r="Q200" s="390"/>
      <c r="R200" s="390"/>
    </row>
    <row r="201" ht="12.75" customHeight="1" spans="1:18">
      <c r="A201" s="249">
        <f t="shared" si="3"/>
        <v>15</v>
      </c>
      <c r="B201" s="387" t="s">
        <v>6892</v>
      </c>
      <c r="C201" s="387"/>
      <c r="D201" s="387"/>
      <c r="E201" s="388" t="s">
        <v>6054</v>
      </c>
      <c r="F201" s="249" t="s">
        <v>1769</v>
      </c>
      <c r="G201" s="401">
        <v>45849</v>
      </c>
      <c r="H201" s="398" t="s">
        <v>7197</v>
      </c>
      <c r="I201" s="400"/>
      <c r="J201" s="249" t="s">
        <v>7215</v>
      </c>
      <c r="K201" s="249" t="s">
        <v>1140</v>
      </c>
      <c r="L201" s="387"/>
      <c r="M201" s="249" t="s">
        <v>7200</v>
      </c>
      <c r="N201" s="249" t="s">
        <v>7201</v>
      </c>
      <c r="O201" s="365"/>
      <c r="P201" s="387"/>
      <c r="Q201" s="390"/>
      <c r="R201" s="390"/>
    </row>
    <row r="202" ht="12.75" customHeight="1" spans="1:18">
      <c r="A202" s="249">
        <f t="shared" si="3"/>
        <v>16</v>
      </c>
      <c r="B202" s="387" t="s">
        <v>6893</v>
      </c>
      <c r="C202" s="387"/>
      <c r="D202" s="387"/>
      <c r="E202" s="388" t="s">
        <v>6054</v>
      </c>
      <c r="F202" s="249" t="s">
        <v>1769</v>
      </c>
      <c r="G202" s="401">
        <v>45849</v>
      </c>
      <c r="H202" s="398" t="s">
        <v>7197</v>
      </c>
      <c r="I202" s="400"/>
      <c r="J202" s="249" t="s">
        <v>7215</v>
      </c>
      <c r="K202" s="249" t="s">
        <v>1140</v>
      </c>
      <c r="L202" s="387"/>
      <c r="M202" s="249" t="s">
        <v>7200</v>
      </c>
      <c r="N202" s="249" t="s">
        <v>7201</v>
      </c>
      <c r="O202" s="365"/>
      <c r="P202" s="387"/>
      <c r="Q202" s="390"/>
      <c r="R202" s="390"/>
    </row>
    <row r="203" ht="12.75" customHeight="1" spans="1:18">
      <c r="A203" s="249"/>
      <c r="B203" s="387"/>
      <c r="C203" s="387"/>
      <c r="D203" s="387"/>
      <c r="E203" s="388"/>
      <c r="F203" s="249"/>
      <c r="G203" s="398"/>
      <c r="H203" s="398"/>
      <c r="I203" s="400"/>
      <c r="J203" s="249"/>
      <c r="K203" s="249"/>
      <c r="L203" s="387"/>
      <c r="M203" s="249"/>
      <c r="N203" s="249"/>
      <c r="O203" s="365"/>
      <c r="P203" s="387"/>
      <c r="Q203" s="390"/>
      <c r="R203" s="390"/>
    </row>
    <row r="204" ht="12.75" hidden="1" customHeight="1" spans="1:18">
      <c r="A204" s="249"/>
      <c r="B204" s="387"/>
      <c r="C204" s="387"/>
      <c r="D204" s="387"/>
      <c r="E204" s="388"/>
      <c r="F204" s="249"/>
      <c r="G204" s="398"/>
      <c r="H204" s="398"/>
      <c r="I204" s="400"/>
      <c r="J204" s="249"/>
      <c r="K204" s="249"/>
      <c r="L204" s="387"/>
      <c r="M204" s="249"/>
      <c r="N204" s="249"/>
      <c r="O204" s="365"/>
      <c r="P204" s="387"/>
      <c r="Q204" s="390"/>
      <c r="R204" s="390"/>
    </row>
    <row r="205" ht="12.75" hidden="1" customHeight="1" spans="1:18">
      <c r="A205" s="249"/>
      <c r="B205" s="387"/>
      <c r="C205" s="387"/>
      <c r="D205" s="387"/>
      <c r="E205" s="388"/>
      <c r="F205" s="249"/>
      <c r="G205" s="398"/>
      <c r="H205" s="398"/>
      <c r="I205" s="400"/>
      <c r="J205" s="249"/>
      <c r="K205" s="249"/>
      <c r="L205" s="387"/>
      <c r="M205" s="249"/>
      <c r="N205" s="249"/>
      <c r="O205" s="365"/>
      <c r="P205" s="387"/>
      <c r="Q205" s="390"/>
      <c r="R205" s="390"/>
    </row>
    <row r="206" ht="12.75" hidden="1" customHeight="1" spans="1:18">
      <c r="A206" s="249"/>
      <c r="B206" s="387"/>
      <c r="C206" s="387"/>
      <c r="D206" s="387"/>
      <c r="E206" s="388"/>
      <c r="F206" s="249"/>
      <c r="G206" s="398"/>
      <c r="H206" s="398"/>
      <c r="I206" s="400"/>
      <c r="J206" s="249"/>
      <c r="K206" s="249"/>
      <c r="L206" s="387"/>
      <c r="M206" s="249"/>
      <c r="N206" s="249"/>
      <c r="O206" s="365"/>
      <c r="P206" s="387"/>
      <c r="Q206" s="390"/>
      <c r="R206" s="390"/>
    </row>
    <row r="207" ht="12.75" hidden="1" customHeight="1" spans="1:18">
      <c r="A207" s="249"/>
      <c r="B207" s="387"/>
      <c r="C207" s="387"/>
      <c r="D207" s="387"/>
      <c r="E207" s="388"/>
      <c r="F207" s="249"/>
      <c r="G207" s="398"/>
      <c r="H207" s="398"/>
      <c r="I207" s="400"/>
      <c r="J207" s="249"/>
      <c r="K207" s="249"/>
      <c r="L207" s="387"/>
      <c r="M207" s="249"/>
      <c r="N207" s="249"/>
      <c r="O207" s="365"/>
      <c r="P207" s="387"/>
      <c r="Q207" s="390"/>
      <c r="R207" s="390"/>
    </row>
    <row r="208" ht="12.75" hidden="1" customHeight="1" spans="1:18">
      <c r="A208" s="249"/>
      <c r="B208" s="387"/>
      <c r="C208" s="387"/>
      <c r="D208" s="387"/>
      <c r="E208" s="388"/>
      <c r="F208" s="249"/>
      <c r="G208" s="398"/>
      <c r="H208" s="398"/>
      <c r="I208" s="400"/>
      <c r="J208" s="249"/>
      <c r="K208" s="249"/>
      <c r="L208" s="387"/>
      <c r="M208" s="249"/>
      <c r="N208" s="249"/>
      <c r="O208" s="365"/>
      <c r="P208" s="387"/>
      <c r="Q208" s="390"/>
      <c r="R208" s="390"/>
    </row>
    <row r="209" ht="12.75" hidden="1" customHeight="1" spans="1:18">
      <c r="A209" s="249"/>
      <c r="B209" s="387"/>
      <c r="C209" s="387"/>
      <c r="D209" s="387"/>
      <c r="E209" s="388"/>
      <c r="F209" s="249"/>
      <c r="G209" s="398"/>
      <c r="H209" s="398"/>
      <c r="I209" s="400"/>
      <c r="J209" s="249"/>
      <c r="K209" s="249"/>
      <c r="L209" s="387"/>
      <c r="M209" s="249"/>
      <c r="N209" s="249"/>
      <c r="O209" s="365"/>
      <c r="P209" s="387"/>
      <c r="Q209" s="390"/>
      <c r="R209" s="390"/>
    </row>
    <row r="210" ht="12.75" hidden="1" customHeight="1" spans="1:18">
      <c r="A210" s="249"/>
      <c r="B210" s="387"/>
      <c r="C210" s="387"/>
      <c r="D210" s="387"/>
      <c r="E210" s="388"/>
      <c r="F210" s="249"/>
      <c r="G210" s="398"/>
      <c r="H210" s="398"/>
      <c r="I210" s="400"/>
      <c r="J210" s="249"/>
      <c r="K210" s="249"/>
      <c r="L210" s="387"/>
      <c r="M210" s="249"/>
      <c r="N210" s="249"/>
      <c r="O210" s="365"/>
      <c r="P210" s="387"/>
      <c r="Q210" s="390"/>
      <c r="R210" s="390"/>
    </row>
    <row r="211" ht="12.75" hidden="1" customHeight="1" spans="1:18">
      <c r="A211" s="249"/>
      <c r="B211" s="387"/>
      <c r="C211" s="387"/>
      <c r="D211" s="387"/>
      <c r="E211" s="388"/>
      <c r="F211" s="249"/>
      <c r="G211" s="398"/>
      <c r="H211" s="398"/>
      <c r="I211" s="400"/>
      <c r="J211" s="249"/>
      <c r="K211" s="249"/>
      <c r="L211" s="387"/>
      <c r="M211" s="249"/>
      <c r="N211" s="249"/>
      <c r="O211" s="365"/>
      <c r="P211" s="387"/>
      <c r="Q211" s="390"/>
      <c r="R211" s="390"/>
    </row>
    <row r="212" ht="12.75" hidden="1" customHeight="1" spans="1:18">
      <c r="A212" s="249"/>
      <c r="B212" s="387"/>
      <c r="C212" s="387"/>
      <c r="D212" s="387"/>
      <c r="E212" s="388"/>
      <c r="F212" s="249"/>
      <c r="G212" s="398"/>
      <c r="H212" s="398"/>
      <c r="I212" s="400"/>
      <c r="J212" s="249"/>
      <c r="K212" s="249"/>
      <c r="L212" s="387"/>
      <c r="M212" s="249"/>
      <c r="N212" s="249"/>
      <c r="O212" s="365"/>
      <c r="P212" s="387"/>
      <c r="Q212" s="390"/>
      <c r="R212" s="390"/>
    </row>
    <row r="213" ht="12.75" hidden="1" customHeight="1" spans="1:18">
      <c r="A213" s="249"/>
      <c r="B213" s="387"/>
      <c r="C213" s="387"/>
      <c r="D213" s="387"/>
      <c r="E213" s="388"/>
      <c r="F213" s="249"/>
      <c r="G213" s="398"/>
      <c r="H213" s="398"/>
      <c r="I213" s="400"/>
      <c r="J213" s="249"/>
      <c r="K213" s="249"/>
      <c r="L213" s="387"/>
      <c r="M213" s="249"/>
      <c r="N213" s="249"/>
      <c r="O213" s="365"/>
      <c r="P213" s="387"/>
      <c r="Q213" s="390"/>
      <c r="R213" s="390"/>
    </row>
    <row r="214" ht="12.75" hidden="1" customHeight="1" spans="1:18">
      <c r="A214" s="249"/>
      <c r="B214" s="387"/>
      <c r="C214" s="387"/>
      <c r="D214" s="387"/>
      <c r="E214" s="388"/>
      <c r="F214" s="249"/>
      <c r="G214" s="398"/>
      <c r="H214" s="398"/>
      <c r="I214" s="400"/>
      <c r="J214" s="249"/>
      <c r="K214" s="249"/>
      <c r="L214" s="387"/>
      <c r="M214" s="249"/>
      <c r="N214" s="249"/>
      <c r="O214" s="365"/>
      <c r="P214" s="387"/>
      <c r="Q214" s="390"/>
      <c r="R214" s="390"/>
    </row>
    <row r="215" ht="12.75" hidden="1" customHeight="1" spans="1:18">
      <c r="A215" s="249"/>
      <c r="B215" s="387"/>
      <c r="C215" s="387"/>
      <c r="D215" s="387"/>
      <c r="E215" s="388"/>
      <c r="F215" s="249"/>
      <c r="G215" s="398"/>
      <c r="H215" s="398"/>
      <c r="I215" s="400"/>
      <c r="J215" s="249"/>
      <c r="K215" s="249"/>
      <c r="L215" s="387"/>
      <c r="M215" s="249"/>
      <c r="N215" s="249"/>
      <c r="O215" s="365"/>
      <c r="P215" s="387"/>
      <c r="Q215" s="390"/>
      <c r="R215" s="390"/>
    </row>
    <row r="216" ht="12.75" hidden="1" customHeight="1" spans="1:18">
      <c r="A216" s="249"/>
      <c r="B216" s="387"/>
      <c r="C216" s="387" t="s">
        <v>7247</v>
      </c>
      <c r="D216" s="387"/>
      <c r="E216" s="388"/>
      <c r="F216" s="249"/>
      <c r="G216" s="398"/>
      <c r="H216" s="398"/>
      <c r="I216" s="400"/>
      <c r="J216" s="249"/>
      <c r="K216" s="249"/>
      <c r="L216" s="387"/>
      <c r="M216" s="249"/>
      <c r="N216" s="249"/>
      <c r="O216" s="365"/>
      <c r="P216" s="387"/>
      <c r="Q216" s="390"/>
      <c r="R216" s="390"/>
    </row>
    <row r="217" ht="20.25" customHeight="1" spans="1:18">
      <c r="A217" s="232" t="s">
        <v>6229</v>
      </c>
      <c r="B217" s="377" t="s">
        <v>6230</v>
      </c>
      <c r="C217" s="232">
        <f>$C$218+$C$267+$C$709</f>
        <v>90</v>
      </c>
      <c r="D217" s="378"/>
      <c r="E217" s="378"/>
      <c r="F217" s="379"/>
      <c r="G217" s="379"/>
      <c r="H217" s="379"/>
      <c r="I217" s="378"/>
      <c r="J217" s="379"/>
      <c r="K217" s="379"/>
      <c r="L217" s="378"/>
      <c r="M217" s="379"/>
      <c r="N217" s="379"/>
      <c r="O217" s="378"/>
      <c r="P217" s="378"/>
      <c r="Q217" s="380"/>
      <c r="R217" s="380"/>
    </row>
    <row r="218" ht="12.75" customHeight="1" spans="1:18">
      <c r="A218" s="381" t="s">
        <v>7268</v>
      </c>
      <c r="B218" s="382" t="s">
        <v>6894</v>
      </c>
      <c r="C218" s="383">
        <f>COUNTA($B$219:$B$266)</f>
        <v>44</v>
      </c>
      <c r="D218" s="384"/>
      <c r="E218" s="384"/>
      <c r="F218" s="385"/>
      <c r="G218" s="385"/>
      <c r="H218" s="385"/>
      <c r="I218" s="383"/>
      <c r="J218" s="385"/>
      <c r="K218" s="385"/>
      <c r="L218" s="383"/>
      <c r="M218" s="385"/>
      <c r="N218" s="385"/>
      <c r="O218" s="383"/>
      <c r="P218" s="383"/>
      <c r="Q218" s="386"/>
      <c r="R218" s="386"/>
    </row>
    <row r="219" ht="12.75" customHeight="1" spans="1:18">
      <c r="A219" s="249">
        <v>1</v>
      </c>
      <c r="B219" s="387" t="s">
        <v>6895</v>
      </c>
      <c r="C219" s="387"/>
      <c r="D219" s="394"/>
      <c r="E219" s="388" t="s">
        <v>294</v>
      </c>
      <c r="F219" s="249" t="s">
        <v>1471</v>
      </c>
      <c r="G219" s="393" t="s">
        <v>7269</v>
      </c>
      <c r="H219" s="249" t="s">
        <v>7197</v>
      </c>
      <c r="I219" s="394"/>
      <c r="J219" s="249" t="s">
        <v>1323</v>
      </c>
      <c r="K219" s="249" t="s">
        <v>7270</v>
      </c>
      <c r="L219" s="387"/>
      <c r="M219" s="249" t="s">
        <v>7252</v>
      </c>
      <c r="N219" s="249" t="s">
        <v>7253</v>
      </c>
      <c r="O219" s="387"/>
      <c r="P219" s="387"/>
      <c r="Q219" s="390">
        <v>0.5</v>
      </c>
      <c r="R219" s="390"/>
    </row>
    <row r="220" ht="12.75" customHeight="1" spans="1:18">
      <c r="A220" s="249">
        <f t="shared" ref="A220:A242" si="4">A219+1</f>
        <v>2</v>
      </c>
      <c r="B220" s="387" t="s">
        <v>6896</v>
      </c>
      <c r="C220" s="387"/>
      <c r="D220" s="394"/>
      <c r="E220" s="388" t="s">
        <v>294</v>
      </c>
      <c r="F220" s="249" t="s">
        <v>1471</v>
      </c>
      <c r="G220" s="393" t="s">
        <v>7269</v>
      </c>
      <c r="H220" s="249" t="s">
        <v>7197</v>
      </c>
      <c r="I220" s="394"/>
      <c r="J220" s="249" t="s">
        <v>1323</v>
      </c>
      <c r="K220" s="249" t="s">
        <v>7270</v>
      </c>
      <c r="L220" s="387"/>
      <c r="M220" s="249" t="s">
        <v>7252</v>
      </c>
      <c r="N220" s="249" t="s">
        <v>7253</v>
      </c>
      <c r="O220" s="387"/>
      <c r="P220" s="387"/>
      <c r="Q220" s="390">
        <v>0.5</v>
      </c>
      <c r="R220" s="390"/>
    </row>
    <row r="221" ht="12.75" customHeight="1" spans="1:18">
      <c r="A221" s="249">
        <f t="shared" si="4"/>
        <v>3</v>
      </c>
      <c r="B221" s="387" t="s">
        <v>6897</v>
      </c>
      <c r="C221" s="387"/>
      <c r="D221" s="394"/>
      <c r="E221" s="388" t="s">
        <v>294</v>
      </c>
      <c r="F221" s="249" t="s">
        <v>1471</v>
      </c>
      <c r="G221" s="393" t="s">
        <v>7269</v>
      </c>
      <c r="H221" s="249" t="s">
        <v>7197</v>
      </c>
      <c r="I221" s="394"/>
      <c r="J221" s="249" t="s">
        <v>1323</v>
      </c>
      <c r="K221" s="249" t="s">
        <v>7270</v>
      </c>
      <c r="L221" s="387"/>
      <c r="M221" s="249" t="s">
        <v>7252</v>
      </c>
      <c r="N221" s="249" t="s">
        <v>7253</v>
      </c>
      <c r="O221" s="387"/>
      <c r="P221" s="387"/>
      <c r="Q221" s="390">
        <v>0.5</v>
      </c>
      <c r="R221" s="390"/>
    </row>
    <row r="222" ht="12.75" customHeight="1" spans="1:18">
      <c r="A222" s="249">
        <f t="shared" si="4"/>
        <v>4</v>
      </c>
      <c r="B222" s="387" t="s">
        <v>6898</v>
      </c>
      <c r="C222" s="387"/>
      <c r="D222" s="394"/>
      <c r="E222" s="388" t="s">
        <v>294</v>
      </c>
      <c r="F222" s="249" t="s">
        <v>1471</v>
      </c>
      <c r="G222" s="393" t="s">
        <v>7269</v>
      </c>
      <c r="H222" s="249" t="s">
        <v>7197</v>
      </c>
      <c r="I222" s="394"/>
      <c r="J222" s="249" t="s">
        <v>1323</v>
      </c>
      <c r="K222" s="249" t="s">
        <v>7270</v>
      </c>
      <c r="L222" s="387"/>
      <c r="M222" s="249" t="s">
        <v>7252</v>
      </c>
      <c r="N222" s="249" t="s">
        <v>7253</v>
      </c>
      <c r="O222" s="387"/>
      <c r="P222" s="387"/>
      <c r="Q222" s="390">
        <v>0.5</v>
      </c>
      <c r="R222" s="390"/>
    </row>
    <row r="223" ht="12.75" customHeight="1" spans="1:18">
      <c r="A223" s="249">
        <f t="shared" si="4"/>
        <v>5</v>
      </c>
      <c r="B223" s="387" t="s">
        <v>6899</v>
      </c>
      <c r="C223" s="387"/>
      <c r="D223" s="394"/>
      <c r="E223" s="388" t="s">
        <v>294</v>
      </c>
      <c r="F223" s="249" t="s">
        <v>1471</v>
      </c>
      <c r="G223" s="393" t="s">
        <v>7269</v>
      </c>
      <c r="H223" s="249" t="s">
        <v>7197</v>
      </c>
      <c r="I223" s="394"/>
      <c r="J223" s="249" t="s">
        <v>1323</v>
      </c>
      <c r="K223" s="249" t="s">
        <v>7270</v>
      </c>
      <c r="L223" s="387"/>
      <c r="M223" s="249" t="s">
        <v>7252</v>
      </c>
      <c r="N223" s="249" t="s">
        <v>7253</v>
      </c>
      <c r="O223" s="387"/>
      <c r="P223" s="387"/>
      <c r="Q223" s="390">
        <v>0.5</v>
      </c>
      <c r="R223" s="390"/>
    </row>
    <row r="224" ht="12.75" customHeight="1" spans="1:18">
      <c r="A224" s="249">
        <f t="shared" si="4"/>
        <v>6</v>
      </c>
      <c r="B224" s="387" t="s">
        <v>6900</v>
      </c>
      <c r="C224" s="387"/>
      <c r="D224" s="394"/>
      <c r="E224" s="388" t="s">
        <v>294</v>
      </c>
      <c r="F224" s="249" t="s">
        <v>1471</v>
      </c>
      <c r="G224" s="393" t="s">
        <v>7269</v>
      </c>
      <c r="H224" s="249" t="s">
        <v>7197</v>
      </c>
      <c r="I224" s="394"/>
      <c r="J224" s="249" t="s">
        <v>1323</v>
      </c>
      <c r="K224" s="249" t="s">
        <v>7270</v>
      </c>
      <c r="L224" s="387"/>
      <c r="M224" s="249" t="s">
        <v>7252</v>
      </c>
      <c r="N224" s="249" t="s">
        <v>7253</v>
      </c>
      <c r="O224" s="387"/>
      <c r="P224" s="387"/>
      <c r="Q224" s="390">
        <v>0.5</v>
      </c>
      <c r="R224" s="390"/>
    </row>
    <row r="225" ht="12.75" customHeight="1" spans="1:18">
      <c r="A225" s="249">
        <f t="shared" si="4"/>
        <v>7</v>
      </c>
      <c r="B225" s="387" t="s">
        <v>6901</v>
      </c>
      <c r="C225" s="387"/>
      <c r="D225" s="394"/>
      <c r="E225" s="388" t="s">
        <v>294</v>
      </c>
      <c r="F225" s="249" t="s">
        <v>1471</v>
      </c>
      <c r="G225" s="393" t="s">
        <v>7269</v>
      </c>
      <c r="H225" s="249" t="s">
        <v>7197</v>
      </c>
      <c r="I225" s="394"/>
      <c r="J225" s="249" t="s">
        <v>1323</v>
      </c>
      <c r="K225" s="249" t="s">
        <v>7270</v>
      </c>
      <c r="L225" s="387"/>
      <c r="M225" s="249" t="s">
        <v>7252</v>
      </c>
      <c r="N225" s="249" t="s">
        <v>7253</v>
      </c>
      <c r="O225" s="387"/>
      <c r="P225" s="387"/>
      <c r="Q225" s="390">
        <v>0.5</v>
      </c>
      <c r="R225" s="390"/>
    </row>
    <row r="226" ht="12.75" customHeight="1" spans="1:18">
      <c r="A226" s="249">
        <f t="shared" si="4"/>
        <v>8</v>
      </c>
      <c r="B226" s="387" t="s">
        <v>6902</v>
      </c>
      <c r="C226" s="387"/>
      <c r="D226" s="394"/>
      <c r="E226" s="388" t="s">
        <v>294</v>
      </c>
      <c r="F226" s="249" t="s">
        <v>1471</v>
      </c>
      <c r="G226" s="393" t="s">
        <v>7269</v>
      </c>
      <c r="H226" s="249" t="s">
        <v>7197</v>
      </c>
      <c r="I226" s="394"/>
      <c r="J226" s="249" t="s">
        <v>1323</v>
      </c>
      <c r="K226" s="249" t="s">
        <v>7270</v>
      </c>
      <c r="L226" s="387"/>
      <c r="M226" s="249" t="s">
        <v>7252</v>
      </c>
      <c r="N226" s="249" t="s">
        <v>7253</v>
      </c>
      <c r="O226" s="387"/>
      <c r="P226" s="387"/>
      <c r="Q226" s="390">
        <v>0.5</v>
      </c>
      <c r="R226" s="390"/>
    </row>
    <row r="227" ht="12.75" customHeight="1" spans="1:18">
      <c r="A227" s="249">
        <f t="shared" si="4"/>
        <v>9</v>
      </c>
      <c r="B227" s="387" t="s">
        <v>6903</v>
      </c>
      <c r="C227" s="387"/>
      <c r="D227" s="394"/>
      <c r="E227" s="388" t="s">
        <v>294</v>
      </c>
      <c r="F227" s="249" t="s">
        <v>1471</v>
      </c>
      <c r="G227" s="393" t="s">
        <v>7269</v>
      </c>
      <c r="H227" s="249" t="s">
        <v>7197</v>
      </c>
      <c r="I227" s="394"/>
      <c r="J227" s="249" t="s">
        <v>1323</v>
      </c>
      <c r="K227" s="249" t="s">
        <v>7270</v>
      </c>
      <c r="L227" s="387"/>
      <c r="M227" s="249" t="s">
        <v>7252</v>
      </c>
      <c r="N227" s="249" t="s">
        <v>7253</v>
      </c>
      <c r="O227" s="387"/>
      <c r="P227" s="387"/>
      <c r="Q227" s="390">
        <v>0.5</v>
      </c>
      <c r="R227" s="390"/>
    </row>
    <row r="228" ht="12.75" customHeight="1" spans="1:18">
      <c r="A228" s="249">
        <f t="shared" si="4"/>
        <v>10</v>
      </c>
      <c r="B228" s="387" t="s">
        <v>6904</v>
      </c>
      <c r="C228" s="387"/>
      <c r="D228" s="394"/>
      <c r="E228" s="388" t="s">
        <v>294</v>
      </c>
      <c r="F228" s="249" t="s">
        <v>1471</v>
      </c>
      <c r="G228" s="393" t="s">
        <v>7269</v>
      </c>
      <c r="H228" s="249" t="s">
        <v>7197</v>
      </c>
      <c r="I228" s="394"/>
      <c r="J228" s="249" t="s">
        <v>1323</v>
      </c>
      <c r="K228" s="249" t="s">
        <v>7270</v>
      </c>
      <c r="L228" s="387"/>
      <c r="M228" s="249" t="s">
        <v>7252</v>
      </c>
      <c r="N228" s="249" t="s">
        <v>7253</v>
      </c>
      <c r="O228" s="387"/>
      <c r="P228" s="387"/>
      <c r="Q228" s="390">
        <v>0.5</v>
      </c>
      <c r="R228" s="390"/>
    </row>
    <row r="229" ht="12.75" customHeight="1" spans="1:18">
      <c r="A229" s="249">
        <f t="shared" si="4"/>
        <v>11</v>
      </c>
      <c r="B229" s="387" t="s">
        <v>6905</v>
      </c>
      <c r="C229" s="387"/>
      <c r="D229" s="394"/>
      <c r="E229" s="388" t="s">
        <v>294</v>
      </c>
      <c r="F229" s="249" t="s">
        <v>1471</v>
      </c>
      <c r="G229" s="393" t="s">
        <v>7269</v>
      </c>
      <c r="H229" s="249" t="s">
        <v>7197</v>
      </c>
      <c r="I229" s="394"/>
      <c r="J229" s="249" t="s">
        <v>1323</v>
      </c>
      <c r="K229" s="249" t="s">
        <v>7270</v>
      </c>
      <c r="L229" s="387"/>
      <c r="M229" s="249" t="s">
        <v>7252</v>
      </c>
      <c r="N229" s="249" t="s">
        <v>7253</v>
      </c>
      <c r="O229" s="387"/>
      <c r="P229" s="387"/>
      <c r="Q229" s="390">
        <v>0.5</v>
      </c>
      <c r="R229" s="390"/>
    </row>
    <row r="230" ht="12.75" customHeight="1" spans="1:18">
      <c r="A230" s="249">
        <f t="shared" si="4"/>
        <v>12</v>
      </c>
      <c r="B230" s="387" t="s">
        <v>6906</v>
      </c>
      <c r="C230" s="387"/>
      <c r="D230" s="394"/>
      <c r="E230" s="388" t="s">
        <v>294</v>
      </c>
      <c r="F230" s="249" t="s">
        <v>1471</v>
      </c>
      <c r="G230" s="393" t="s">
        <v>7269</v>
      </c>
      <c r="H230" s="249" t="s">
        <v>7197</v>
      </c>
      <c r="I230" s="394"/>
      <c r="J230" s="249" t="s">
        <v>1323</v>
      </c>
      <c r="K230" s="249" t="s">
        <v>7270</v>
      </c>
      <c r="L230" s="387"/>
      <c r="M230" s="249" t="s">
        <v>7252</v>
      </c>
      <c r="N230" s="249" t="s">
        <v>7253</v>
      </c>
      <c r="O230" s="387"/>
      <c r="P230" s="387"/>
      <c r="Q230" s="390">
        <v>0.5</v>
      </c>
      <c r="R230" s="390"/>
    </row>
    <row r="231" ht="12.75" customHeight="1" spans="1:18">
      <c r="A231" s="249">
        <f t="shared" si="4"/>
        <v>13</v>
      </c>
      <c r="B231" s="387" t="s">
        <v>6907</v>
      </c>
      <c r="C231" s="387"/>
      <c r="D231" s="394"/>
      <c r="E231" s="388" t="s">
        <v>293</v>
      </c>
      <c r="F231" s="249" t="s">
        <v>1471</v>
      </c>
      <c r="G231" s="402">
        <v>45844</v>
      </c>
      <c r="H231" s="249" t="s">
        <v>7197</v>
      </c>
      <c r="I231" s="394"/>
      <c r="J231" s="249" t="s">
        <v>7271</v>
      </c>
      <c r="K231" s="249"/>
      <c r="L231" s="387"/>
      <c r="M231" s="249" t="s">
        <v>7200</v>
      </c>
      <c r="N231" s="249" t="s">
        <v>7201</v>
      </c>
      <c r="O231" s="387"/>
      <c r="P231" s="387"/>
      <c r="Q231" s="390">
        <v>1</v>
      </c>
      <c r="R231" s="390"/>
    </row>
    <row r="232" ht="12.75" customHeight="1" spans="1:18">
      <c r="A232" s="249">
        <f t="shared" si="4"/>
        <v>14</v>
      </c>
      <c r="B232" s="387" t="s">
        <v>6908</v>
      </c>
      <c r="C232" s="387"/>
      <c r="D232" s="394"/>
      <c r="E232" s="388" t="s">
        <v>293</v>
      </c>
      <c r="F232" s="249" t="s">
        <v>1471</v>
      </c>
      <c r="G232" s="402">
        <v>45844</v>
      </c>
      <c r="H232" s="249" t="s">
        <v>7197</v>
      </c>
      <c r="I232" s="394"/>
      <c r="J232" s="249" t="s">
        <v>7271</v>
      </c>
      <c r="K232" s="249"/>
      <c r="L232" s="387"/>
      <c r="M232" s="249" t="s">
        <v>7200</v>
      </c>
      <c r="N232" s="249" t="s">
        <v>7201</v>
      </c>
      <c r="O232" s="387"/>
      <c r="P232" s="387"/>
      <c r="Q232" s="390">
        <v>1</v>
      </c>
      <c r="R232" s="390"/>
    </row>
    <row r="233" ht="12.75" customHeight="1" spans="1:18">
      <c r="A233" s="249">
        <f t="shared" si="4"/>
        <v>15</v>
      </c>
      <c r="B233" s="387" t="s">
        <v>6909</v>
      </c>
      <c r="C233" s="387"/>
      <c r="D233" s="394"/>
      <c r="E233" s="388" t="s">
        <v>293</v>
      </c>
      <c r="F233" s="249" t="s">
        <v>1471</v>
      </c>
      <c r="G233" s="402">
        <v>45844</v>
      </c>
      <c r="H233" s="249" t="s">
        <v>7197</v>
      </c>
      <c r="I233" s="394"/>
      <c r="J233" s="249" t="s">
        <v>7271</v>
      </c>
      <c r="K233" s="249"/>
      <c r="L233" s="387"/>
      <c r="M233" s="249" t="s">
        <v>7200</v>
      </c>
      <c r="N233" s="249" t="s">
        <v>7201</v>
      </c>
      <c r="O233" s="387"/>
      <c r="P233" s="387"/>
      <c r="Q233" s="390">
        <v>1</v>
      </c>
      <c r="R233" s="390"/>
    </row>
    <row r="234" ht="12.75" customHeight="1" spans="1:18">
      <c r="A234" s="249">
        <f t="shared" si="4"/>
        <v>16</v>
      </c>
      <c r="B234" s="387" t="s">
        <v>6910</v>
      </c>
      <c r="C234" s="387"/>
      <c r="D234" s="394"/>
      <c r="E234" s="388" t="s">
        <v>293</v>
      </c>
      <c r="F234" s="249" t="s">
        <v>1471</v>
      </c>
      <c r="G234" s="402">
        <v>45844</v>
      </c>
      <c r="H234" s="249" t="s">
        <v>7197</v>
      </c>
      <c r="I234" s="394"/>
      <c r="J234" s="249" t="s">
        <v>7271</v>
      </c>
      <c r="K234" s="249"/>
      <c r="L234" s="387"/>
      <c r="M234" s="249" t="s">
        <v>7200</v>
      </c>
      <c r="N234" s="249" t="s">
        <v>7201</v>
      </c>
      <c r="O234" s="387"/>
      <c r="P234" s="387"/>
      <c r="Q234" s="390">
        <v>1</v>
      </c>
      <c r="R234" s="390"/>
    </row>
    <row r="235" ht="12.75" customHeight="1" spans="1:18">
      <c r="A235" s="249">
        <f t="shared" si="4"/>
        <v>17</v>
      </c>
      <c r="B235" s="387" t="s">
        <v>6911</v>
      </c>
      <c r="C235" s="387"/>
      <c r="D235" s="394"/>
      <c r="E235" s="388" t="s">
        <v>293</v>
      </c>
      <c r="F235" s="249" t="s">
        <v>1471</v>
      </c>
      <c r="G235" s="402">
        <v>45844</v>
      </c>
      <c r="H235" s="249" t="s">
        <v>7197</v>
      </c>
      <c r="I235" s="394"/>
      <c r="J235" s="249" t="s">
        <v>7271</v>
      </c>
      <c r="K235" s="249"/>
      <c r="L235" s="387"/>
      <c r="M235" s="249" t="s">
        <v>7200</v>
      </c>
      <c r="N235" s="249" t="s">
        <v>7201</v>
      </c>
      <c r="O235" s="387"/>
      <c r="P235" s="387"/>
      <c r="Q235" s="390">
        <v>1</v>
      </c>
      <c r="R235" s="390"/>
    </row>
    <row r="236" ht="12.75" customHeight="1" spans="1:18">
      <c r="A236" s="249">
        <f t="shared" si="4"/>
        <v>18</v>
      </c>
      <c r="B236" s="387" t="s">
        <v>6912</v>
      </c>
      <c r="C236" s="387"/>
      <c r="D236" s="394"/>
      <c r="E236" s="388" t="s">
        <v>293</v>
      </c>
      <c r="F236" s="249" t="s">
        <v>1471</v>
      </c>
      <c r="G236" s="402">
        <v>45844</v>
      </c>
      <c r="H236" s="249" t="s">
        <v>7197</v>
      </c>
      <c r="I236" s="394"/>
      <c r="J236" s="249" t="s">
        <v>7271</v>
      </c>
      <c r="K236" s="249"/>
      <c r="L236" s="387"/>
      <c r="M236" s="249" t="s">
        <v>7200</v>
      </c>
      <c r="N236" s="249" t="s">
        <v>7201</v>
      </c>
      <c r="O236" s="387"/>
      <c r="P236" s="387"/>
      <c r="Q236" s="390">
        <v>1</v>
      </c>
      <c r="R236" s="390"/>
    </row>
    <row r="237" ht="12.75" customHeight="1" spans="1:18">
      <c r="A237" s="249">
        <f t="shared" si="4"/>
        <v>19</v>
      </c>
      <c r="B237" s="387" t="s">
        <v>6913</v>
      </c>
      <c r="C237" s="387"/>
      <c r="D237" s="394"/>
      <c r="E237" s="388" t="s">
        <v>293</v>
      </c>
      <c r="F237" s="249" t="s">
        <v>1471</v>
      </c>
      <c r="G237" s="402">
        <v>45844</v>
      </c>
      <c r="H237" s="249" t="s">
        <v>7197</v>
      </c>
      <c r="I237" s="394"/>
      <c r="J237" s="249" t="s">
        <v>7271</v>
      </c>
      <c r="K237" s="249"/>
      <c r="L237" s="387"/>
      <c r="M237" s="249" t="s">
        <v>7200</v>
      </c>
      <c r="N237" s="249" t="s">
        <v>7201</v>
      </c>
      <c r="O237" s="387"/>
      <c r="P237" s="387"/>
      <c r="Q237" s="390">
        <v>1</v>
      </c>
      <c r="R237" s="390"/>
    </row>
    <row r="238" ht="12.75" customHeight="1" spans="1:18">
      <c r="A238" s="249">
        <f t="shared" si="4"/>
        <v>20</v>
      </c>
      <c r="B238" s="387" t="s">
        <v>6914</v>
      </c>
      <c r="C238" s="387"/>
      <c r="D238" s="394"/>
      <c r="E238" s="388" t="s">
        <v>293</v>
      </c>
      <c r="F238" s="249" t="s">
        <v>1471</v>
      </c>
      <c r="G238" s="402">
        <v>45844</v>
      </c>
      <c r="H238" s="249" t="s">
        <v>7197</v>
      </c>
      <c r="I238" s="394"/>
      <c r="J238" s="249" t="s">
        <v>7271</v>
      </c>
      <c r="K238" s="249"/>
      <c r="L238" s="387"/>
      <c r="M238" s="249" t="s">
        <v>7200</v>
      </c>
      <c r="N238" s="249" t="s">
        <v>7201</v>
      </c>
      <c r="O238" s="387"/>
      <c r="P238" s="387"/>
      <c r="Q238" s="390">
        <v>1</v>
      </c>
      <c r="R238" s="390"/>
    </row>
    <row r="239" ht="12.75" customHeight="1" spans="1:18">
      <c r="A239" s="249">
        <f t="shared" si="4"/>
        <v>21</v>
      </c>
      <c r="B239" s="387" t="s">
        <v>6915</v>
      </c>
      <c r="C239" s="387"/>
      <c r="D239" s="394"/>
      <c r="E239" s="388" t="s">
        <v>293</v>
      </c>
      <c r="F239" s="249" t="s">
        <v>1471</v>
      </c>
      <c r="G239" s="402">
        <v>45844</v>
      </c>
      <c r="H239" s="249" t="s">
        <v>7197</v>
      </c>
      <c r="I239" s="394"/>
      <c r="J239" s="249" t="s">
        <v>7271</v>
      </c>
      <c r="K239" s="249"/>
      <c r="L239" s="387"/>
      <c r="M239" s="249" t="s">
        <v>7200</v>
      </c>
      <c r="N239" s="249" t="s">
        <v>7201</v>
      </c>
      <c r="O239" s="387"/>
      <c r="P239" s="387"/>
      <c r="Q239" s="390">
        <v>1</v>
      </c>
      <c r="R239" s="390"/>
    </row>
    <row r="240" ht="12.75" customHeight="1" spans="1:18">
      <c r="A240" s="249">
        <f t="shared" si="4"/>
        <v>22</v>
      </c>
      <c r="B240" s="387" t="s">
        <v>6916</v>
      </c>
      <c r="C240" s="387"/>
      <c r="D240" s="394"/>
      <c r="E240" s="388" t="s">
        <v>293</v>
      </c>
      <c r="F240" s="249" t="s">
        <v>1471</v>
      </c>
      <c r="G240" s="402">
        <v>45844</v>
      </c>
      <c r="H240" s="249" t="s">
        <v>7197</v>
      </c>
      <c r="I240" s="394"/>
      <c r="J240" s="249" t="s">
        <v>7271</v>
      </c>
      <c r="K240" s="249"/>
      <c r="L240" s="387"/>
      <c r="M240" s="249" t="s">
        <v>7200</v>
      </c>
      <c r="N240" s="249" t="s">
        <v>7201</v>
      </c>
      <c r="O240" s="387"/>
      <c r="P240" s="387"/>
      <c r="Q240" s="390">
        <v>1</v>
      </c>
      <c r="R240" s="390"/>
    </row>
    <row r="241" ht="12.75" customHeight="1" spans="1:18">
      <c r="A241" s="249">
        <f t="shared" si="4"/>
        <v>23</v>
      </c>
      <c r="B241" s="387" t="s">
        <v>6917</v>
      </c>
      <c r="C241" s="387"/>
      <c r="D241" s="394"/>
      <c r="E241" s="388" t="s">
        <v>293</v>
      </c>
      <c r="F241" s="249" t="s">
        <v>1471</v>
      </c>
      <c r="G241" s="402">
        <v>45844</v>
      </c>
      <c r="H241" s="249" t="s">
        <v>7197</v>
      </c>
      <c r="I241" s="394"/>
      <c r="J241" s="249" t="s">
        <v>7271</v>
      </c>
      <c r="K241" s="249"/>
      <c r="L241" s="387"/>
      <c r="M241" s="249" t="s">
        <v>7200</v>
      </c>
      <c r="N241" s="249" t="s">
        <v>7201</v>
      </c>
      <c r="O241" s="387"/>
      <c r="P241" s="387"/>
      <c r="Q241" s="390">
        <v>1</v>
      </c>
      <c r="R241" s="390"/>
    </row>
    <row r="242" ht="12.75" customHeight="1" spans="1:18">
      <c r="A242" s="249">
        <f t="shared" si="4"/>
        <v>24</v>
      </c>
      <c r="B242" s="387" t="s">
        <v>6918</v>
      </c>
      <c r="C242" s="387"/>
      <c r="D242" s="394"/>
      <c r="E242" s="388" t="s">
        <v>293</v>
      </c>
      <c r="F242" s="249" t="s">
        <v>1471</v>
      </c>
      <c r="G242" s="402">
        <v>45844</v>
      </c>
      <c r="H242" s="249" t="s">
        <v>7197</v>
      </c>
      <c r="I242" s="394"/>
      <c r="J242" s="249" t="s">
        <v>7271</v>
      </c>
      <c r="K242" s="249"/>
      <c r="L242" s="387"/>
      <c r="M242" s="249" t="s">
        <v>7200</v>
      </c>
      <c r="N242" s="249" t="s">
        <v>7201</v>
      </c>
      <c r="O242" s="387"/>
      <c r="P242" s="387"/>
      <c r="Q242" s="390">
        <v>1</v>
      </c>
      <c r="R242" s="390"/>
    </row>
    <row r="243" ht="12.75" customHeight="1" spans="1:18">
      <c r="A243" s="249">
        <v>1</v>
      </c>
      <c r="B243" s="387" t="s">
        <v>7272</v>
      </c>
      <c r="C243" s="387"/>
      <c r="D243" s="394"/>
      <c r="E243" s="388" t="s">
        <v>293</v>
      </c>
      <c r="F243" s="249" t="s">
        <v>1471</v>
      </c>
      <c r="G243" s="393" t="s">
        <v>4031</v>
      </c>
      <c r="H243" s="249" t="s">
        <v>7197</v>
      </c>
      <c r="I243" s="394"/>
      <c r="J243" s="249" t="s">
        <v>7271</v>
      </c>
      <c r="K243" s="249"/>
      <c r="L243" s="387"/>
      <c r="M243" s="249" t="s">
        <v>7200</v>
      </c>
      <c r="N243" s="249" t="s">
        <v>7201</v>
      </c>
      <c r="O243" s="387"/>
      <c r="P243" s="387"/>
      <c r="Q243" s="390"/>
      <c r="R243" s="390"/>
    </row>
    <row r="244" ht="12.75" customHeight="1" spans="1:18">
      <c r="A244" s="249">
        <v>2</v>
      </c>
      <c r="B244" s="387" t="s">
        <v>7273</v>
      </c>
      <c r="C244" s="387"/>
      <c r="D244" s="394"/>
      <c r="E244" s="388" t="s">
        <v>293</v>
      </c>
      <c r="F244" s="249" t="s">
        <v>1471</v>
      </c>
      <c r="G244" s="393" t="s">
        <v>4031</v>
      </c>
      <c r="H244" s="249" t="s">
        <v>7197</v>
      </c>
      <c r="I244" s="394"/>
      <c r="J244" s="249" t="s">
        <v>7271</v>
      </c>
      <c r="K244" s="249"/>
      <c r="L244" s="387"/>
      <c r="M244" s="249" t="s">
        <v>7200</v>
      </c>
      <c r="N244" s="249" t="s">
        <v>7201</v>
      </c>
      <c r="O244" s="387"/>
      <c r="P244" s="387"/>
      <c r="Q244" s="390"/>
      <c r="R244" s="390"/>
    </row>
    <row r="245" ht="12.75" customHeight="1" spans="1:18">
      <c r="A245" s="249">
        <v>3</v>
      </c>
      <c r="B245" s="387" t="s">
        <v>7274</v>
      </c>
      <c r="C245" s="387"/>
      <c r="D245" s="394"/>
      <c r="E245" s="388" t="s">
        <v>293</v>
      </c>
      <c r="F245" s="249" t="s">
        <v>1471</v>
      </c>
      <c r="G245" s="393" t="s">
        <v>4031</v>
      </c>
      <c r="H245" s="249" t="s">
        <v>7197</v>
      </c>
      <c r="I245" s="394"/>
      <c r="J245" s="249" t="s">
        <v>7271</v>
      </c>
      <c r="K245" s="249"/>
      <c r="L245" s="387"/>
      <c r="M245" s="249" t="s">
        <v>7200</v>
      </c>
      <c r="N245" s="249" t="s">
        <v>7201</v>
      </c>
      <c r="O245" s="387"/>
      <c r="P245" s="387"/>
      <c r="Q245" s="390"/>
      <c r="R245" s="390"/>
    </row>
    <row r="246" ht="12.75" customHeight="1" spans="1:18">
      <c r="A246" s="249">
        <v>4</v>
      </c>
      <c r="B246" s="387" t="s">
        <v>7275</v>
      </c>
      <c r="C246" s="387"/>
      <c r="D246" s="394"/>
      <c r="E246" s="388" t="s">
        <v>293</v>
      </c>
      <c r="F246" s="249" t="s">
        <v>1471</v>
      </c>
      <c r="G246" s="393" t="s">
        <v>4031</v>
      </c>
      <c r="H246" s="249" t="s">
        <v>7197</v>
      </c>
      <c r="I246" s="394"/>
      <c r="J246" s="249" t="s">
        <v>7271</v>
      </c>
      <c r="K246" s="249"/>
      <c r="L246" s="387"/>
      <c r="M246" s="249" t="s">
        <v>7200</v>
      </c>
      <c r="N246" s="249" t="s">
        <v>7201</v>
      </c>
      <c r="O246" s="387"/>
      <c r="P246" s="387"/>
      <c r="Q246" s="390"/>
      <c r="R246" s="390"/>
    </row>
    <row r="247" ht="12.75" customHeight="1" spans="1:18">
      <c r="A247" s="249">
        <v>5</v>
      </c>
      <c r="B247" s="387" t="s">
        <v>7276</v>
      </c>
      <c r="C247" s="387"/>
      <c r="D247" s="394"/>
      <c r="E247" s="388" t="s">
        <v>293</v>
      </c>
      <c r="F247" s="249" t="s">
        <v>1471</v>
      </c>
      <c r="G247" s="393" t="s">
        <v>4031</v>
      </c>
      <c r="H247" s="249" t="s">
        <v>7197</v>
      </c>
      <c r="I247" s="394"/>
      <c r="J247" s="249" t="s">
        <v>7271</v>
      </c>
      <c r="K247" s="249"/>
      <c r="L247" s="387"/>
      <c r="M247" s="249" t="s">
        <v>7200</v>
      </c>
      <c r="N247" s="249" t="s">
        <v>7201</v>
      </c>
      <c r="O247" s="387"/>
      <c r="P247" s="387"/>
      <c r="Q247" s="390"/>
      <c r="R247" s="390"/>
    </row>
    <row r="248" ht="12.75" customHeight="1" spans="1:18">
      <c r="A248" s="249">
        <v>6</v>
      </c>
      <c r="B248" s="387" t="s">
        <v>7277</v>
      </c>
      <c r="C248" s="387"/>
      <c r="D248" s="394"/>
      <c r="E248" s="388" t="s">
        <v>293</v>
      </c>
      <c r="F248" s="249" t="s">
        <v>1471</v>
      </c>
      <c r="G248" s="393" t="s">
        <v>4031</v>
      </c>
      <c r="H248" s="249" t="s">
        <v>7197</v>
      </c>
      <c r="I248" s="394"/>
      <c r="J248" s="249" t="s">
        <v>7271</v>
      </c>
      <c r="K248" s="249"/>
      <c r="L248" s="387"/>
      <c r="M248" s="249" t="s">
        <v>7200</v>
      </c>
      <c r="N248" s="249" t="s">
        <v>7201</v>
      </c>
      <c r="O248" s="387"/>
      <c r="P248" s="387"/>
      <c r="Q248" s="390"/>
      <c r="R248" s="390"/>
    </row>
    <row r="249" ht="12.75" customHeight="1" spans="1:18">
      <c r="A249" s="249">
        <v>7</v>
      </c>
      <c r="B249" s="387" t="s">
        <v>7278</v>
      </c>
      <c r="C249" s="387"/>
      <c r="D249" s="394"/>
      <c r="E249" s="388" t="s">
        <v>293</v>
      </c>
      <c r="F249" s="249" t="s">
        <v>1471</v>
      </c>
      <c r="G249" s="393" t="s">
        <v>4031</v>
      </c>
      <c r="H249" s="249" t="s">
        <v>7197</v>
      </c>
      <c r="I249" s="394"/>
      <c r="J249" s="249" t="s">
        <v>7271</v>
      </c>
      <c r="K249" s="249"/>
      <c r="L249" s="387"/>
      <c r="M249" s="249" t="s">
        <v>7200</v>
      </c>
      <c r="N249" s="249" t="s">
        <v>7201</v>
      </c>
      <c r="O249" s="387"/>
      <c r="P249" s="387"/>
      <c r="Q249" s="390"/>
      <c r="R249" s="390"/>
    </row>
    <row r="250" ht="12.75" customHeight="1" spans="1:18">
      <c r="A250" s="249">
        <v>8</v>
      </c>
      <c r="B250" s="387" t="s">
        <v>7279</v>
      </c>
      <c r="C250" s="387"/>
      <c r="D250" s="394"/>
      <c r="E250" s="388" t="s">
        <v>293</v>
      </c>
      <c r="F250" s="249" t="s">
        <v>1471</v>
      </c>
      <c r="G250" s="393" t="s">
        <v>4031</v>
      </c>
      <c r="H250" s="249" t="s">
        <v>7197</v>
      </c>
      <c r="I250" s="394"/>
      <c r="J250" s="249" t="s">
        <v>7271</v>
      </c>
      <c r="K250" s="249"/>
      <c r="L250" s="387"/>
      <c r="M250" s="249" t="s">
        <v>7200</v>
      </c>
      <c r="N250" s="249" t="s">
        <v>7201</v>
      </c>
      <c r="O250" s="387"/>
      <c r="P250" s="387"/>
      <c r="Q250" s="390"/>
      <c r="R250" s="390"/>
    </row>
    <row r="251" ht="12.75" customHeight="1" spans="1:18">
      <c r="A251" s="249">
        <v>9</v>
      </c>
      <c r="B251" s="387" t="s">
        <v>7280</v>
      </c>
      <c r="C251" s="387"/>
      <c r="D251" s="394"/>
      <c r="E251" s="388" t="s">
        <v>293</v>
      </c>
      <c r="F251" s="249" t="s">
        <v>1471</v>
      </c>
      <c r="G251" s="393" t="s">
        <v>4031</v>
      </c>
      <c r="H251" s="249" t="s">
        <v>7197</v>
      </c>
      <c r="I251" s="394"/>
      <c r="J251" s="249" t="s">
        <v>7271</v>
      </c>
      <c r="K251" s="249"/>
      <c r="L251" s="387"/>
      <c r="M251" s="249" t="s">
        <v>7200</v>
      </c>
      <c r="N251" s="249" t="s">
        <v>7201</v>
      </c>
      <c r="O251" s="387"/>
      <c r="P251" s="387"/>
      <c r="Q251" s="390"/>
      <c r="R251" s="390"/>
    </row>
    <row r="252" ht="12.75" customHeight="1" spans="1:18">
      <c r="A252" s="249">
        <v>10</v>
      </c>
      <c r="B252" s="387" t="s">
        <v>7281</v>
      </c>
      <c r="C252" s="387"/>
      <c r="D252" s="394"/>
      <c r="E252" s="388" t="s">
        <v>293</v>
      </c>
      <c r="F252" s="249" t="s">
        <v>1471</v>
      </c>
      <c r="G252" s="393" t="s">
        <v>4031</v>
      </c>
      <c r="H252" s="249" t="s">
        <v>7197</v>
      </c>
      <c r="I252" s="394"/>
      <c r="J252" s="249" t="s">
        <v>7271</v>
      </c>
      <c r="K252" s="249"/>
      <c r="L252" s="387"/>
      <c r="M252" s="249" t="s">
        <v>7200</v>
      </c>
      <c r="N252" s="249" t="s">
        <v>7201</v>
      </c>
      <c r="O252" s="387"/>
      <c r="P252" s="387"/>
      <c r="Q252" s="390"/>
      <c r="R252" s="390"/>
    </row>
    <row r="253" ht="12.75" customHeight="1" spans="1:18">
      <c r="A253" s="249">
        <v>11</v>
      </c>
      <c r="B253" s="387" t="s">
        <v>7282</v>
      </c>
      <c r="C253" s="387"/>
      <c r="D253" s="394"/>
      <c r="E253" s="388" t="s">
        <v>293</v>
      </c>
      <c r="F253" s="249" t="s">
        <v>1471</v>
      </c>
      <c r="G253" s="393" t="s">
        <v>4031</v>
      </c>
      <c r="H253" s="249" t="s">
        <v>7197</v>
      </c>
      <c r="I253" s="394"/>
      <c r="J253" s="249" t="s">
        <v>7271</v>
      </c>
      <c r="K253" s="249"/>
      <c r="L253" s="387"/>
      <c r="M253" s="249" t="s">
        <v>7200</v>
      </c>
      <c r="N253" s="249" t="s">
        <v>7201</v>
      </c>
      <c r="O253" s="387"/>
      <c r="P253" s="387"/>
      <c r="Q253" s="390"/>
      <c r="R253" s="390"/>
    </row>
    <row r="254" ht="12.75" customHeight="1" spans="1:18">
      <c r="A254" s="249">
        <v>12</v>
      </c>
      <c r="B254" s="387" t="s">
        <v>7283</v>
      </c>
      <c r="C254" s="387"/>
      <c r="D254" s="394"/>
      <c r="E254" s="388" t="s">
        <v>293</v>
      </c>
      <c r="F254" s="249" t="s">
        <v>1471</v>
      </c>
      <c r="G254" s="393" t="s">
        <v>4031</v>
      </c>
      <c r="H254" s="249" t="s">
        <v>7197</v>
      </c>
      <c r="I254" s="394"/>
      <c r="J254" s="249" t="s">
        <v>7271</v>
      </c>
      <c r="K254" s="249"/>
      <c r="L254" s="387"/>
      <c r="M254" s="249" t="s">
        <v>7200</v>
      </c>
      <c r="N254" s="249" t="s">
        <v>7201</v>
      </c>
      <c r="O254" s="387"/>
      <c r="P254" s="387"/>
      <c r="Q254" s="390"/>
      <c r="R254" s="390"/>
    </row>
    <row r="255" ht="12.75" customHeight="1" spans="1:18">
      <c r="A255" s="249">
        <v>13</v>
      </c>
      <c r="B255" s="387" t="s">
        <v>7284</v>
      </c>
      <c r="C255" s="387"/>
      <c r="D255" s="387"/>
      <c r="E255" s="388" t="s">
        <v>293</v>
      </c>
      <c r="F255" s="249" t="s">
        <v>1471</v>
      </c>
      <c r="G255" s="393" t="s">
        <v>4031</v>
      </c>
      <c r="H255" s="249" t="s">
        <v>7197</v>
      </c>
      <c r="I255" s="387"/>
      <c r="J255" s="249" t="s">
        <v>7271</v>
      </c>
      <c r="K255" s="249"/>
      <c r="L255" s="387"/>
      <c r="M255" s="249" t="s">
        <v>7200</v>
      </c>
      <c r="N255" s="249" t="s">
        <v>7201</v>
      </c>
      <c r="O255" s="387"/>
      <c r="P255" s="387"/>
      <c r="Q255" s="390"/>
      <c r="R255" s="390"/>
    </row>
    <row r="256" ht="12.75" customHeight="1" spans="1:18">
      <c r="A256" s="249">
        <v>14</v>
      </c>
      <c r="B256" s="387" t="s">
        <v>7285</v>
      </c>
      <c r="C256" s="387"/>
      <c r="D256" s="387"/>
      <c r="E256" s="388" t="s">
        <v>293</v>
      </c>
      <c r="F256" s="249" t="s">
        <v>1471</v>
      </c>
      <c r="G256" s="393" t="s">
        <v>4031</v>
      </c>
      <c r="H256" s="249" t="s">
        <v>7197</v>
      </c>
      <c r="I256" s="387"/>
      <c r="J256" s="249" t="s">
        <v>7271</v>
      </c>
      <c r="K256" s="249"/>
      <c r="L256" s="387"/>
      <c r="M256" s="249" t="s">
        <v>7200</v>
      </c>
      <c r="N256" s="249" t="s">
        <v>7201</v>
      </c>
      <c r="O256" s="387"/>
      <c r="P256" s="387"/>
      <c r="Q256" s="390"/>
      <c r="R256" s="390"/>
    </row>
    <row r="257" ht="12.75" customHeight="1" spans="1:18">
      <c r="A257" s="249">
        <v>15</v>
      </c>
      <c r="B257" s="387" t="s">
        <v>7286</v>
      </c>
      <c r="C257" s="387"/>
      <c r="D257" s="387"/>
      <c r="E257" s="388" t="s">
        <v>293</v>
      </c>
      <c r="F257" s="249" t="s">
        <v>1471</v>
      </c>
      <c r="G257" s="393" t="s">
        <v>4031</v>
      </c>
      <c r="H257" s="249" t="s">
        <v>7197</v>
      </c>
      <c r="I257" s="387"/>
      <c r="J257" s="249" t="s">
        <v>7271</v>
      </c>
      <c r="K257" s="249"/>
      <c r="L257" s="387"/>
      <c r="M257" s="249" t="s">
        <v>7200</v>
      </c>
      <c r="N257" s="249" t="s">
        <v>7201</v>
      </c>
      <c r="O257" s="387"/>
      <c r="P257" s="387"/>
      <c r="Q257" s="390"/>
      <c r="R257" s="390"/>
    </row>
    <row r="258" ht="12.75" customHeight="1" spans="1:18">
      <c r="A258" s="249">
        <v>16</v>
      </c>
      <c r="B258" s="387" t="s">
        <v>7287</v>
      </c>
      <c r="C258" s="387"/>
      <c r="D258" s="387"/>
      <c r="E258" s="388" t="s">
        <v>293</v>
      </c>
      <c r="F258" s="249" t="s">
        <v>1471</v>
      </c>
      <c r="G258" s="393" t="s">
        <v>4031</v>
      </c>
      <c r="H258" s="249" t="s">
        <v>7197</v>
      </c>
      <c r="I258" s="387"/>
      <c r="J258" s="249" t="s">
        <v>7271</v>
      </c>
      <c r="K258" s="249"/>
      <c r="L258" s="387"/>
      <c r="M258" s="249" t="s">
        <v>7200</v>
      </c>
      <c r="N258" s="249" t="s">
        <v>7201</v>
      </c>
      <c r="O258" s="387"/>
      <c r="P258" s="387"/>
      <c r="Q258" s="390"/>
      <c r="R258" s="390"/>
    </row>
    <row r="259" ht="12.75" customHeight="1" spans="1:18">
      <c r="A259" s="249">
        <v>17</v>
      </c>
      <c r="B259" s="387" t="s">
        <v>7288</v>
      </c>
      <c r="C259" s="387"/>
      <c r="D259" s="387"/>
      <c r="E259" s="388" t="s">
        <v>293</v>
      </c>
      <c r="F259" s="249" t="s">
        <v>1471</v>
      </c>
      <c r="G259" s="393" t="s">
        <v>4031</v>
      </c>
      <c r="H259" s="249" t="s">
        <v>7197</v>
      </c>
      <c r="I259" s="387"/>
      <c r="J259" s="249" t="s">
        <v>7271</v>
      </c>
      <c r="K259" s="249"/>
      <c r="L259" s="387"/>
      <c r="M259" s="249" t="s">
        <v>7200</v>
      </c>
      <c r="N259" s="249" t="s">
        <v>7201</v>
      </c>
      <c r="O259" s="387"/>
      <c r="P259" s="387"/>
      <c r="Q259" s="390"/>
      <c r="R259" s="390"/>
    </row>
    <row r="260" ht="12.75" customHeight="1" spans="1:18">
      <c r="A260" s="249">
        <v>18</v>
      </c>
      <c r="B260" s="387" t="s">
        <v>7289</v>
      </c>
      <c r="C260" s="387"/>
      <c r="D260" s="387"/>
      <c r="E260" s="388" t="s">
        <v>293</v>
      </c>
      <c r="F260" s="249" t="s">
        <v>1471</v>
      </c>
      <c r="G260" s="393" t="s">
        <v>4031</v>
      </c>
      <c r="H260" s="249" t="s">
        <v>7197</v>
      </c>
      <c r="I260" s="387"/>
      <c r="J260" s="249" t="s">
        <v>7271</v>
      </c>
      <c r="K260" s="249"/>
      <c r="L260" s="387"/>
      <c r="M260" s="249" t="s">
        <v>7200</v>
      </c>
      <c r="N260" s="249" t="s">
        <v>7201</v>
      </c>
      <c r="O260" s="387"/>
      <c r="P260" s="387"/>
      <c r="Q260" s="390"/>
      <c r="R260" s="390"/>
    </row>
    <row r="261" ht="12.75" customHeight="1" spans="1:18">
      <c r="A261" s="249">
        <v>19</v>
      </c>
      <c r="B261" s="387" t="s">
        <v>7290</v>
      </c>
      <c r="C261" s="387"/>
      <c r="D261" s="387"/>
      <c r="E261" s="388" t="s">
        <v>293</v>
      </c>
      <c r="F261" s="249" t="s">
        <v>1471</v>
      </c>
      <c r="G261" s="393" t="s">
        <v>4031</v>
      </c>
      <c r="H261" s="249" t="s">
        <v>7197</v>
      </c>
      <c r="I261" s="387"/>
      <c r="J261" s="249" t="s">
        <v>7271</v>
      </c>
      <c r="K261" s="249"/>
      <c r="L261" s="387"/>
      <c r="M261" s="249" t="s">
        <v>7200</v>
      </c>
      <c r="N261" s="249" t="s">
        <v>7201</v>
      </c>
      <c r="O261" s="387"/>
      <c r="P261" s="387"/>
      <c r="Q261" s="390"/>
      <c r="R261" s="390"/>
    </row>
    <row r="262" ht="12.75" customHeight="1" spans="1:18">
      <c r="A262" s="249">
        <v>20</v>
      </c>
      <c r="B262" s="387" t="s">
        <v>7291</v>
      </c>
      <c r="C262" s="387"/>
      <c r="D262" s="387"/>
      <c r="E262" s="388" t="s">
        <v>293</v>
      </c>
      <c r="F262" s="249" t="s">
        <v>1471</v>
      </c>
      <c r="G262" s="393" t="s">
        <v>4031</v>
      </c>
      <c r="H262" s="249" t="s">
        <v>7197</v>
      </c>
      <c r="I262" s="387"/>
      <c r="J262" s="249" t="s">
        <v>7271</v>
      </c>
      <c r="K262" s="249"/>
      <c r="L262" s="387"/>
      <c r="M262" s="249" t="s">
        <v>7200</v>
      </c>
      <c r="N262" s="249" t="s">
        <v>7201</v>
      </c>
      <c r="O262" s="387"/>
      <c r="P262" s="387"/>
      <c r="Q262" s="390"/>
      <c r="R262" s="390"/>
    </row>
    <row r="263" ht="12.75" customHeight="1" spans="1:18">
      <c r="A263" s="249"/>
      <c r="B263" s="387"/>
      <c r="C263" s="387"/>
      <c r="D263" s="387"/>
      <c r="E263" s="388"/>
      <c r="F263" s="249"/>
      <c r="G263" s="249"/>
      <c r="H263" s="249"/>
      <c r="I263" s="387"/>
      <c r="J263" s="249"/>
      <c r="K263" s="249"/>
      <c r="L263" s="387"/>
      <c r="M263" s="249"/>
      <c r="N263" s="249"/>
      <c r="O263" s="387"/>
      <c r="P263" s="387"/>
      <c r="Q263" s="390"/>
      <c r="R263" s="390"/>
    </row>
    <row r="264" ht="12.75" customHeight="1" spans="1:18">
      <c r="A264" s="249"/>
      <c r="B264" s="387"/>
      <c r="C264" s="387"/>
      <c r="D264" s="387"/>
      <c r="E264" s="388"/>
      <c r="F264" s="249"/>
      <c r="G264" s="249"/>
      <c r="H264" s="249"/>
      <c r="I264" s="387"/>
      <c r="J264" s="249"/>
      <c r="K264" s="249"/>
      <c r="L264" s="387"/>
      <c r="M264" s="249"/>
      <c r="N264" s="249"/>
      <c r="O264" s="387"/>
      <c r="P264" s="387"/>
      <c r="Q264" s="390"/>
      <c r="R264" s="390"/>
    </row>
    <row r="265" ht="12.75" customHeight="1" spans="1:18">
      <c r="A265" s="249"/>
      <c r="B265" s="387"/>
      <c r="C265" s="387"/>
      <c r="D265" s="387"/>
      <c r="E265" s="388"/>
      <c r="F265" s="249"/>
      <c r="G265" s="249"/>
      <c r="H265" s="249"/>
      <c r="I265" s="387"/>
      <c r="J265" s="249"/>
      <c r="K265" s="249"/>
      <c r="L265" s="387"/>
      <c r="M265" s="249"/>
      <c r="N265" s="249"/>
      <c r="O265" s="387"/>
      <c r="P265" s="387"/>
      <c r="Q265" s="390"/>
      <c r="R265" s="390"/>
    </row>
    <row r="266" ht="12.75" customHeight="1" spans="1:18">
      <c r="A266" s="249"/>
      <c r="B266" s="387"/>
      <c r="C266" s="387" t="s">
        <v>689</v>
      </c>
      <c r="D266" s="387"/>
      <c r="E266" s="388"/>
      <c r="F266" s="249"/>
      <c r="G266" s="249"/>
      <c r="H266" s="249"/>
      <c r="I266" s="387"/>
      <c r="J266" s="249"/>
      <c r="K266" s="249"/>
      <c r="L266" s="387"/>
      <c r="M266" s="249"/>
      <c r="N266" s="249"/>
      <c r="O266" s="387"/>
      <c r="P266" s="387"/>
      <c r="Q266" s="390"/>
      <c r="R266" s="390"/>
    </row>
    <row r="267" ht="12.75" customHeight="1" spans="1:18">
      <c r="A267" s="381" t="s">
        <v>7292</v>
      </c>
      <c r="B267" s="382" t="s">
        <v>6919</v>
      </c>
      <c r="C267" s="383">
        <f>COUNTA($B$268:$B$314)</f>
        <v>46</v>
      </c>
      <c r="D267" s="384"/>
      <c r="E267" s="384"/>
      <c r="F267" s="385"/>
      <c r="G267" s="385"/>
      <c r="H267" s="385"/>
      <c r="I267" s="383"/>
      <c r="J267" s="385"/>
      <c r="K267" s="385"/>
      <c r="L267" s="383"/>
      <c r="M267" s="385"/>
      <c r="N267" s="385"/>
      <c r="O267" s="383"/>
      <c r="P267" s="383"/>
      <c r="Q267" s="386"/>
      <c r="R267" s="386"/>
    </row>
    <row r="268" ht="12.75" customHeight="1" spans="1:18">
      <c r="A268" s="249">
        <v>1</v>
      </c>
      <c r="B268" s="387" t="s">
        <v>6920</v>
      </c>
      <c r="C268" s="387"/>
      <c r="D268" s="387"/>
      <c r="E268" s="388" t="s">
        <v>294</v>
      </c>
      <c r="F268" s="249" t="s">
        <v>1593</v>
      </c>
      <c r="G268" s="249" t="s">
        <v>7293</v>
      </c>
      <c r="H268" s="249" t="s">
        <v>7197</v>
      </c>
      <c r="I268" s="387"/>
      <c r="J268" s="249" t="s">
        <v>1323</v>
      </c>
      <c r="K268" s="249" t="s">
        <v>7294</v>
      </c>
      <c r="L268" s="387"/>
      <c r="M268" s="249" t="s">
        <v>7252</v>
      </c>
      <c r="N268" s="249" t="s">
        <v>7253</v>
      </c>
      <c r="O268" s="387" t="s">
        <v>7295</v>
      </c>
      <c r="P268" s="387"/>
      <c r="Q268" s="390">
        <v>0.5</v>
      </c>
      <c r="R268" s="390"/>
    </row>
    <row r="269" ht="12.75" customHeight="1" spans="1:18">
      <c r="A269" s="249">
        <f t="shared" ref="A269:A313" si="5">A268+1</f>
        <v>2</v>
      </c>
      <c r="B269" s="387" t="s">
        <v>6921</v>
      </c>
      <c r="C269" s="387"/>
      <c r="D269" s="387"/>
      <c r="E269" s="388" t="s">
        <v>294</v>
      </c>
      <c r="F269" s="249" t="s">
        <v>1593</v>
      </c>
      <c r="G269" s="249" t="s">
        <v>7293</v>
      </c>
      <c r="H269" s="249" t="s">
        <v>7197</v>
      </c>
      <c r="I269" s="387"/>
      <c r="J269" s="249" t="s">
        <v>1323</v>
      </c>
      <c r="K269" s="249" t="s">
        <v>7294</v>
      </c>
      <c r="L269" s="387"/>
      <c r="M269" s="249" t="s">
        <v>7252</v>
      </c>
      <c r="N269" s="249" t="s">
        <v>7253</v>
      </c>
      <c r="O269" s="387" t="s">
        <v>7296</v>
      </c>
      <c r="P269" s="387"/>
      <c r="Q269" s="390">
        <v>0.5</v>
      </c>
      <c r="R269" s="390"/>
    </row>
    <row r="270" ht="12.75" customHeight="1" spans="1:18">
      <c r="A270" s="249">
        <f t="shared" si="5"/>
        <v>3</v>
      </c>
      <c r="B270" s="387" t="s">
        <v>6922</v>
      </c>
      <c r="C270" s="387"/>
      <c r="D270" s="387"/>
      <c r="E270" s="388" t="s">
        <v>294</v>
      </c>
      <c r="F270" s="249" t="s">
        <v>1593</v>
      </c>
      <c r="G270" s="249" t="s">
        <v>7293</v>
      </c>
      <c r="H270" s="249" t="s">
        <v>7197</v>
      </c>
      <c r="I270" s="387"/>
      <c r="J270" s="249" t="s">
        <v>1323</v>
      </c>
      <c r="K270" s="249" t="s">
        <v>7294</v>
      </c>
      <c r="L270" s="387"/>
      <c r="M270" s="249" t="s">
        <v>7252</v>
      </c>
      <c r="N270" s="249" t="s">
        <v>7253</v>
      </c>
      <c r="O270" s="387" t="s">
        <v>7297</v>
      </c>
      <c r="P270" s="387"/>
      <c r="Q270" s="390">
        <v>0.5</v>
      </c>
      <c r="R270" s="390"/>
    </row>
    <row r="271" ht="12.75" customHeight="1" spans="1:18">
      <c r="A271" s="249">
        <f t="shared" si="5"/>
        <v>4</v>
      </c>
      <c r="B271" s="387" t="s">
        <v>6923</v>
      </c>
      <c r="C271" s="387"/>
      <c r="D271" s="387"/>
      <c r="E271" s="388" t="s">
        <v>294</v>
      </c>
      <c r="F271" s="249" t="s">
        <v>1593</v>
      </c>
      <c r="G271" s="249" t="s">
        <v>7293</v>
      </c>
      <c r="H271" s="249" t="s">
        <v>7197</v>
      </c>
      <c r="I271" s="387"/>
      <c r="J271" s="249" t="s">
        <v>1323</v>
      </c>
      <c r="K271" s="249" t="s">
        <v>7294</v>
      </c>
      <c r="L271" s="387"/>
      <c r="M271" s="249" t="s">
        <v>7252</v>
      </c>
      <c r="N271" s="249" t="s">
        <v>7253</v>
      </c>
      <c r="O271" s="387" t="s">
        <v>7298</v>
      </c>
      <c r="P271" s="387"/>
      <c r="Q271" s="390">
        <v>0.5</v>
      </c>
      <c r="R271" s="390"/>
    </row>
    <row r="272" ht="12.75" customHeight="1" spans="1:18">
      <c r="A272" s="249">
        <f t="shared" si="5"/>
        <v>5</v>
      </c>
      <c r="B272" s="387" t="s">
        <v>6924</v>
      </c>
      <c r="C272" s="387"/>
      <c r="D272" s="387"/>
      <c r="E272" s="388" t="s">
        <v>294</v>
      </c>
      <c r="F272" s="249" t="s">
        <v>1593</v>
      </c>
      <c r="G272" s="249" t="s">
        <v>7293</v>
      </c>
      <c r="H272" s="249" t="s">
        <v>7197</v>
      </c>
      <c r="I272" s="387"/>
      <c r="J272" s="249" t="s">
        <v>1323</v>
      </c>
      <c r="K272" s="249" t="s">
        <v>7294</v>
      </c>
      <c r="L272" s="387"/>
      <c r="M272" s="249" t="s">
        <v>7252</v>
      </c>
      <c r="N272" s="249" t="s">
        <v>7253</v>
      </c>
      <c r="O272" s="387" t="s">
        <v>7299</v>
      </c>
      <c r="P272" s="387"/>
      <c r="Q272" s="390">
        <v>0.5</v>
      </c>
      <c r="R272" s="390"/>
    </row>
    <row r="273" ht="12.75" customHeight="1" spans="1:18">
      <c r="A273" s="249">
        <f t="shared" si="5"/>
        <v>6</v>
      </c>
      <c r="B273" s="387" t="s">
        <v>6925</v>
      </c>
      <c r="C273" s="387"/>
      <c r="D273" s="387"/>
      <c r="E273" s="388" t="s">
        <v>294</v>
      </c>
      <c r="F273" s="249" t="s">
        <v>1593</v>
      </c>
      <c r="G273" s="249" t="s">
        <v>7293</v>
      </c>
      <c r="H273" s="249" t="s">
        <v>7197</v>
      </c>
      <c r="I273" s="387"/>
      <c r="J273" s="249" t="s">
        <v>1323</v>
      </c>
      <c r="K273" s="249" t="s">
        <v>7294</v>
      </c>
      <c r="L273" s="387"/>
      <c r="M273" s="249" t="s">
        <v>7252</v>
      </c>
      <c r="N273" s="249" t="s">
        <v>7253</v>
      </c>
      <c r="O273" s="387" t="s">
        <v>7300</v>
      </c>
      <c r="P273" s="387"/>
      <c r="Q273" s="390">
        <v>0.5</v>
      </c>
      <c r="R273" s="390"/>
    </row>
    <row r="274" ht="12.75" customHeight="1" spans="1:18">
      <c r="A274" s="249">
        <f t="shared" si="5"/>
        <v>7</v>
      </c>
      <c r="B274" s="387" t="s">
        <v>6926</v>
      </c>
      <c r="C274" s="387"/>
      <c r="D274" s="387"/>
      <c r="E274" s="388" t="s">
        <v>294</v>
      </c>
      <c r="F274" s="249" t="s">
        <v>1593</v>
      </c>
      <c r="G274" s="249" t="s">
        <v>7293</v>
      </c>
      <c r="H274" s="249" t="s">
        <v>7197</v>
      </c>
      <c r="I274" s="387"/>
      <c r="J274" s="249" t="s">
        <v>1323</v>
      </c>
      <c r="K274" s="249" t="s">
        <v>7294</v>
      </c>
      <c r="L274" s="387"/>
      <c r="M274" s="249" t="s">
        <v>7252</v>
      </c>
      <c r="N274" s="249" t="s">
        <v>7253</v>
      </c>
      <c r="O274" s="387" t="s">
        <v>7301</v>
      </c>
      <c r="P274" s="387"/>
      <c r="Q274" s="390">
        <v>0.5</v>
      </c>
      <c r="R274" s="390"/>
    </row>
    <row r="275" ht="12.75" customHeight="1" spans="1:18">
      <c r="A275" s="249">
        <f t="shared" si="5"/>
        <v>8</v>
      </c>
      <c r="B275" s="387" t="s">
        <v>6927</v>
      </c>
      <c r="C275" s="387"/>
      <c r="D275" s="387"/>
      <c r="E275" s="388" t="s">
        <v>294</v>
      </c>
      <c r="F275" s="249" t="s">
        <v>1593</v>
      </c>
      <c r="G275" s="249" t="s">
        <v>7293</v>
      </c>
      <c r="H275" s="249" t="s">
        <v>7197</v>
      </c>
      <c r="I275" s="387"/>
      <c r="J275" s="249" t="s">
        <v>1323</v>
      </c>
      <c r="K275" s="249" t="s">
        <v>7294</v>
      </c>
      <c r="L275" s="387"/>
      <c r="M275" s="249" t="s">
        <v>7252</v>
      </c>
      <c r="N275" s="249" t="s">
        <v>7253</v>
      </c>
      <c r="O275" s="387" t="s">
        <v>7302</v>
      </c>
      <c r="P275" s="387"/>
      <c r="Q275" s="390">
        <v>0.5</v>
      </c>
      <c r="R275" s="390"/>
    </row>
    <row r="276" ht="12.75" customHeight="1" spans="1:18">
      <c r="A276" s="249">
        <f t="shared" si="5"/>
        <v>9</v>
      </c>
      <c r="B276" s="387" t="s">
        <v>6928</v>
      </c>
      <c r="C276" s="387"/>
      <c r="D276" s="387"/>
      <c r="E276" s="388" t="s">
        <v>294</v>
      </c>
      <c r="F276" s="249" t="s">
        <v>1593</v>
      </c>
      <c r="G276" s="249" t="s">
        <v>7293</v>
      </c>
      <c r="H276" s="249" t="s">
        <v>7197</v>
      </c>
      <c r="I276" s="387"/>
      <c r="J276" s="249" t="s">
        <v>1323</v>
      </c>
      <c r="K276" s="249" t="s">
        <v>7294</v>
      </c>
      <c r="L276" s="387"/>
      <c r="M276" s="249" t="s">
        <v>7252</v>
      </c>
      <c r="N276" s="249" t="s">
        <v>7253</v>
      </c>
      <c r="O276" s="387" t="s">
        <v>7303</v>
      </c>
      <c r="P276" s="387"/>
      <c r="Q276" s="390">
        <v>0.5</v>
      </c>
      <c r="R276" s="390"/>
    </row>
    <row r="277" ht="12.75" customHeight="1" spans="1:18">
      <c r="A277" s="249">
        <f t="shared" si="5"/>
        <v>10</v>
      </c>
      <c r="B277" s="387" t="s">
        <v>6929</v>
      </c>
      <c r="C277" s="387"/>
      <c r="D277" s="387"/>
      <c r="E277" s="388" t="s">
        <v>294</v>
      </c>
      <c r="F277" s="249" t="s">
        <v>1593</v>
      </c>
      <c r="G277" s="249" t="s">
        <v>7293</v>
      </c>
      <c r="H277" s="249" t="s">
        <v>7197</v>
      </c>
      <c r="I277" s="387"/>
      <c r="J277" s="249" t="s">
        <v>1323</v>
      </c>
      <c r="K277" s="249" t="s">
        <v>7294</v>
      </c>
      <c r="L277" s="387"/>
      <c r="M277" s="249" t="s">
        <v>7252</v>
      </c>
      <c r="N277" s="249" t="s">
        <v>7253</v>
      </c>
      <c r="O277" s="387" t="s">
        <v>7304</v>
      </c>
      <c r="P277" s="387"/>
      <c r="Q277" s="390">
        <v>0.5</v>
      </c>
      <c r="R277" s="390"/>
    </row>
    <row r="278" ht="12.75" customHeight="1" spans="1:18">
      <c r="A278" s="249">
        <f t="shared" si="5"/>
        <v>11</v>
      </c>
      <c r="B278" s="387" t="s">
        <v>6930</v>
      </c>
      <c r="C278" s="387"/>
      <c r="D278" s="387"/>
      <c r="E278" s="388" t="s">
        <v>294</v>
      </c>
      <c r="F278" s="249" t="s">
        <v>1593</v>
      </c>
      <c r="G278" s="249" t="s">
        <v>7293</v>
      </c>
      <c r="H278" s="249" t="s">
        <v>7197</v>
      </c>
      <c r="I278" s="387"/>
      <c r="J278" s="249" t="s">
        <v>1323</v>
      </c>
      <c r="K278" s="249" t="s">
        <v>7294</v>
      </c>
      <c r="L278" s="387"/>
      <c r="M278" s="249" t="s">
        <v>7252</v>
      </c>
      <c r="N278" s="249" t="s">
        <v>7253</v>
      </c>
      <c r="O278" s="387" t="s">
        <v>7305</v>
      </c>
      <c r="P278" s="387"/>
      <c r="Q278" s="390">
        <v>0.5</v>
      </c>
      <c r="R278" s="390"/>
    </row>
    <row r="279" ht="12.75" customHeight="1" spans="1:18">
      <c r="A279" s="249">
        <f t="shared" si="5"/>
        <v>12</v>
      </c>
      <c r="B279" s="387" t="s">
        <v>6931</v>
      </c>
      <c r="C279" s="387"/>
      <c r="D279" s="387"/>
      <c r="E279" s="388" t="s">
        <v>294</v>
      </c>
      <c r="F279" s="249" t="s">
        <v>1593</v>
      </c>
      <c r="G279" s="249" t="s">
        <v>7293</v>
      </c>
      <c r="H279" s="249" t="s">
        <v>7197</v>
      </c>
      <c r="I279" s="387"/>
      <c r="J279" s="249" t="s">
        <v>1323</v>
      </c>
      <c r="K279" s="249" t="s">
        <v>7294</v>
      </c>
      <c r="L279" s="387"/>
      <c r="M279" s="249" t="s">
        <v>7252</v>
      </c>
      <c r="N279" s="249" t="s">
        <v>7253</v>
      </c>
      <c r="O279" s="387" t="s">
        <v>7306</v>
      </c>
      <c r="P279" s="387"/>
      <c r="Q279" s="390">
        <v>0.5</v>
      </c>
      <c r="R279" s="390"/>
    </row>
    <row r="280" ht="12.75" customHeight="1" spans="1:18">
      <c r="A280" s="249">
        <f t="shared" si="5"/>
        <v>13</v>
      </c>
      <c r="B280" s="387" t="s">
        <v>6932</v>
      </c>
      <c r="C280" s="387"/>
      <c r="D280" s="387"/>
      <c r="E280" s="388" t="s">
        <v>294</v>
      </c>
      <c r="F280" s="249" t="s">
        <v>1593</v>
      </c>
      <c r="G280" s="249" t="s">
        <v>7293</v>
      </c>
      <c r="H280" s="249" t="s">
        <v>7197</v>
      </c>
      <c r="I280" s="387"/>
      <c r="J280" s="249" t="s">
        <v>1323</v>
      </c>
      <c r="K280" s="249" t="s">
        <v>7294</v>
      </c>
      <c r="L280" s="387"/>
      <c r="M280" s="249" t="s">
        <v>7252</v>
      </c>
      <c r="N280" s="249" t="s">
        <v>7253</v>
      </c>
      <c r="O280" s="387" t="s">
        <v>7307</v>
      </c>
      <c r="P280" s="387"/>
      <c r="Q280" s="390">
        <v>0.5</v>
      </c>
      <c r="R280" s="390"/>
    </row>
    <row r="281" ht="12.75" customHeight="1" spans="1:18">
      <c r="A281" s="249">
        <f t="shared" si="5"/>
        <v>14</v>
      </c>
      <c r="B281" s="387" t="s">
        <v>6933</v>
      </c>
      <c r="C281" s="387"/>
      <c r="D281" s="387"/>
      <c r="E281" s="388" t="s">
        <v>294</v>
      </c>
      <c r="F281" s="249" t="s">
        <v>1593</v>
      </c>
      <c r="G281" s="249" t="s">
        <v>7293</v>
      </c>
      <c r="H281" s="249" t="s">
        <v>7197</v>
      </c>
      <c r="I281" s="387"/>
      <c r="J281" s="249" t="s">
        <v>1323</v>
      </c>
      <c r="K281" s="249" t="s">
        <v>7294</v>
      </c>
      <c r="L281" s="387"/>
      <c r="M281" s="249" t="s">
        <v>7252</v>
      </c>
      <c r="N281" s="249" t="s">
        <v>7253</v>
      </c>
      <c r="O281" s="387" t="s">
        <v>7308</v>
      </c>
      <c r="P281" s="387"/>
      <c r="Q281" s="390">
        <v>0.5</v>
      </c>
      <c r="R281" s="390"/>
    </row>
    <row r="282" ht="12.75" customHeight="1" spans="1:18">
      <c r="A282" s="249">
        <f t="shared" si="5"/>
        <v>15</v>
      </c>
      <c r="B282" s="387" t="s">
        <v>6934</v>
      </c>
      <c r="C282" s="387"/>
      <c r="D282" s="387"/>
      <c r="E282" s="388" t="s">
        <v>294</v>
      </c>
      <c r="F282" s="249" t="s">
        <v>1593</v>
      </c>
      <c r="G282" s="249" t="s">
        <v>1074</v>
      </c>
      <c r="H282" s="249" t="s">
        <v>7197</v>
      </c>
      <c r="I282" s="387"/>
      <c r="J282" s="249" t="s">
        <v>1323</v>
      </c>
      <c r="K282" s="249" t="s">
        <v>7294</v>
      </c>
      <c r="L282" s="387"/>
      <c r="M282" s="249" t="s">
        <v>7252</v>
      </c>
      <c r="N282" s="249" t="s">
        <v>7253</v>
      </c>
      <c r="O282" s="387" t="s">
        <v>7309</v>
      </c>
      <c r="P282" s="387"/>
      <c r="Q282" s="390">
        <v>0.5</v>
      </c>
      <c r="R282" s="390"/>
    </row>
    <row r="283" ht="12.75" customHeight="1" spans="1:18">
      <c r="A283" s="249">
        <f t="shared" si="5"/>
        <v>16</v>
      </c>
      <c r="B283" s="387" t="s">
        <v>6935</v>
      </c>
      <c r="C283" s="387"/>
      <c r="D283" s="387"/>
      <c r="E283" s="388" t="s">
        <v>294</v>
      </c>
      <c r="F283" s="249" t="s">
        <v>1593</v>
      </c>
      <c r="G283" s="249" t="s">
        <v>1074</v>
      </c>
      <c r="H283" s="249" t="s">
        <v>7197</v>
      </c>
      <c r="I283" s="387"/>
      <c r="J283" s="249" t="s">
        <v>1323</v>
      </c>
      <c r="K283" s="249" t="s">
        <v>7294</v>
      </c>
      <c r="L283" s="387"/>
      <c r="M283" s="249" t="s">
        <v>7252</v>
      </c>
      <c r="N283" s="249" t="s">
        <v>7253</v>
      </c>
      <c r="O283" s="387" t="s">
        <v>7310</v>
      </c>
      <c r="P283" s="387"/>
      <c r="Q283" s="390">
        <v>0.5</v>
      </c>
      <c r="R283" s="390"/>
    </row>
    <row r="284" ht="14.25" customHeight="1" spans="1:18">
      <c r="A284" s="249">
        <f t="shared" si="5"/>
        <v>17</v>
      </c>
      <c r="B284" s="387" t="s">
        <v>6936</v>
      </c>
      <c r="C284" s="387"/>
      <c r="D284" s="394"/>
      <c r="E284" s="384" t="s">
        <v>293</v>
      </c>
      <c r="F284" s="249" t="s">
        <v>1593</v>
      </c>
      <c r="G284" s="393" t="s">
        <v>7269</v>
      </c>
      <c r="H284" s="249" t="s">
        <v>7197</v>
      </c>
      <c r="I284" s="394"/>
      <c r="J284" s="249" t="s">
        <v>7211</v>
      </c>
      <c r="K284" s="249" t="s">
        <v>811</v>
      </c>
      <c r="L284" s="387"/>
      <c r="M284" s="249" t="s">
        <v>7212</v>
      </c>
      <c r="N284" s="249" t="s">
        <v>7213</v>
      </c>
      <c r="O284" s="387"/>
      <c r="P284" s="387"/>
      <c r="Q284" s="390">
        <v>1</v>
      </c>
      <c r="R284" s="390"/>
    </row>
    <row r="285" ht="14.25" customHeight="1" spans="1:18">
      <c r="A285" s="249">
        <f t="shared" si="5"/>
        <v>18</v>
      </c>
      <c r="B285" s="387" t="s">
        <v>6937</v>
      </c>
      <c r="C285" s="387"/>
      <c r="D285" s="394"/>
      <c r="E285" s="384" t="s">
        <v>293</v>
      </c>
      <c r="F285" s="249" t="s">
        <v>1593</v>
      </c>
      <c r="G285" s="393" t="s">
        <v>7269</v>
      </c>
      <c r="H285" s="249" t="s">
        <v>7197</v>
      </c>
      <c r="I285" s="394"/>
      <c r="J285" s="249" t="s">
        <v>7211</v>
      </c>
      <c r="K285" s="249" t="s">
        <v>811</v>
      </c>
      <c r="L285" s="387"/>
      <c r="M285" s="249" t="s">
        <v>7212</v>
      </c>
      <c r="N285" s="249" t="s">
        <v>7213</v>
      </c>
      <c r="O285" s="387"/>
      <c r="P285" s="387"/>
      <c r="Q285" s="390">
        <v>1</v>
      </c>
      <c r="R285" s="390"/>
    </row>
    <row r="286" ht="14.25" customHeight="1" spans="1:18">
      <c r="A286" s="249">
        <f t="shared" si="5"/>
        <v>19</v>
      </c>
      <c r="B286" s="387" t="s">
        <v>6938</v>
      </c>
      <c r="C286" s="387"/>
      <c r="D286" s="394"/>
      <c r="E286" s="384" t="s">
        <v>293</v>
      </c>
      <c r="F286" s="249" t="s">
        <v>1593</v>
      </c>
      <c r="G286" s="393" t="s">
        <v>7269</v>
      </c>
      <c r="H286" s="249" t="s">
        <v>7197</v>
      </c>
      <c r="I286" s="394"/>
      <c r="J286" s="249" t="s">
        <v>7211</v>
      </c>
      <c r="K286" s="249" t="s">
        <v>811</v>
      </c>
      <c r="L286" s="387"/>
      <c r="M286" s="249" t="s">
        <v>7212</v>
      </c>
      <c r="N286" s="249" t="s">
        <v>7213</v>
      </c>
      <c r="O286" s="387"/>
      <c r="P286" s="387"/>
      <c r="Q286" s="390">
        <v>1</v>
      </c>
      <c r="R286" s="390"/>
    </row>
    <row r="287" ht="14.25" customHeight="1" spans="1:18">
      <c r="A287" s="249">
        <f t="shared" si="5"/>
        <v>20</v>
      </c>
      <c r="B287" s="387" t="s">
        <v>6939</v>
      </c>
      <c r="C287" s="387"/>
      <c r="D287" s="394"/>
      <c r="E287" s="384" t="s">
        <v>293</v>
      </c>
      <c r="F287" s="249" t="s">
        <v>1593</v>
      </c>
      <c r="G287" s="393" t="s">
        <v>7269</v>
      </c>
      <c r="H287" s="249" t="s">
        <v>7197</v>
      </c>
      <c r="I287" s="394"/>
      <c r="J287" s="249" t="s">
        <v>7211</v>
      </c>
      <c r="K287" s="249" t="s">
        <v>811</v>
      </c>
      <c r="L287" s="387"/>
      <c r="M287" s="249" t="s">
        <v>7212</v>
      </c>
      <c r="N287" s="249" t="s">
        <v>7213</v>
      </c>
      <c r="O287" s="387"/>
      <c r="P287" s="387"/>
      <c r="Q287" s="390">
        <v>1</v>
      </c>
      <c r="R287" s="390"/>
    </row>
    <row r="288" ht="14.25" customHeight="1" spans="1:18">
      <c r="A288" s="249">
        <f t="shared" si="5"/>
        <v>21</v>
      </c>
      <c r="B288" s="387" t="s">
        <v>6940</v>
      </c>
      <c r="C288" s="387"/>
      <c r="D288" s="394"/>
      <c r="E288" s="384" t="s">
        <v>293</v>
      </c>
      <c r="F288" s="249" t="s">
        <v>1593</v>
      </c>
      <c r="G288" s="393" t="s">
        <v>7269</v>
      </c>
      <c r="H288" s="249" t="s">
        <v>7197</v>
      </c>
      <c r="I288" s="394"/>
      <c r="J288" s="249" t="s">
        <v>7211</v>
      </c>
      <c r="K288" s="249" t="s">
        <v>811</v>
      </c>
      <c r="L288" s="387"/>
      <c r="M288" s="249" t="s">
        <v>7212</v>
      </c>
      <c r="N288" s="249" t="s">
        <v>7213</v>
      </c>
      <c r="O288" s="387"/>
      <c r="P288" s="387"/>
      <c r="Q288" s="390">
        <v>1</v>
      </c>
      <c r="R288" s="390"/>
    </row>
    <row r="289" ht="14.25" customHeight="1" spans="1:18">
      <c r="A289" s="249">
        <f t="shared" si="5"/>
        <v>22</v>
      </c>
      <c r="B289" s="387" t="s">
        <v>6941</v>
      </c>
      <c r="C289" s="387"/>
      <c r="D289" s="394"/>
      <c r="E289" s="384" t="s">
        <v>293</v>
      </c>
      <c r="F289" s="249" t="s">
        <v>1593</v>
      </c>
      <c r="G289" s="393" t="s">
        <v>7269</v>
      </c>
      <c r="H289" s="249" t="s">
        <v>7197</v>
      </c>
      <c r="I289" s="394"/>
      <c r="J289" s="249" t="s">
        <v>7211</v>
      </c>
      <c r="K289" s="249" t="s">
        <v>811</v>
      </c>
      <c r="L289" s="387"/>
      <c r="M289" s="249" t="s">
        <v>7212</v>
      </c>
      <c r="N289" s="249" t="s">
        <v>7213</v>
      </c>
      <c r="O289" s="387"/>
      <c r="P289" s="387"/>
      <c r="Q289" s="390">
        <v>1</v>
      </c>
      <c r="R289" s="390"/>
    </row>
    <row r="290" ht="12.75" customHeight="1" spans="1:18">
      <c r="A290" s="249">
        <f t="shared" si="5"/>
        <v>23</v>
      </c>
      <c r="B290" s="387" t="s">
        <v>6942</v>
      </c>
      <c r="C290" s="387"/>
      <c r="D290" s="394"/>
      <c r="E290" s="384" t="s">
        <v>293</v>
      </c>
      <c r="F290" s="249" t="s">
        <v>1593</v>
      </c>
      <c r="G290" s="393" t="s">
        <v>7269</v>
      </c>
      <c r="H290" s="249" t="s">
        <v>7197</v>
      </c>
      <c r="I290" s="394"/>
      <c r="J290" s="249" t="s">
        <v>7211</v>
      </c>
      <c r="K290" s="249" t="s">
        <v>811</v>
      </c>
      <c r="L290" s="387"/>
      <c r="M290" s="249" t="s">
        <v>7212</v>
      </c>
      <c r="N290" s="249" t="s">
        <v>7213</v>
      </c>
      <c r="O290" s="387"/>
      <c r="P290" s="387"/>
      <c r="Q290" s="390">
        <v>1</v>
      </c>
      <c r="R290" s="390"/>
    </row>
    <row r="291" ht="12.75" customHeight="1" spans="1:18">
      <c r="A291" s="249">
        <f t="shared" si="5"/>
        <v>24</v>
      </c>
      <c r="B291" s="387" t="s">
        <v>6943</v>
      </c>
      <c r="C291" s="387"/>
      <c r="D291" s="394"/>
      <c r="E291" s="384" t="s">
        <v>293</v>
      </c>
      <c r="F291" s="249" t="s">
        <v>1593</v>
      </c>
      <c r="G291" s="393" t="s">
        <v>7269</v>
      </c>
      <c r="H291" s="249" t="s">
        <v>7197</v>
      </c>
      <c r="I291" s="394"/>
      <c r="J291" s="249" t="s">
        <v>7211</v>
      </c>
      <c r="K291" s="249" t="s">
        <v>811</v>
      </c>
      <c r="L291" s="387"/>
      <c r="M291" s="249" t="s">
        <v>7212</v>
      </c>
      <c r="N291" s="249" t="s">
        <v>7213</v>
      </c>
      <c r="O291" s="387"/>
      <c r="P291" s="387"/>
      <c r="Q291" s="390">
        <v>1</v>
      </c>
      <c r="R291" s="390"/>
    </row>
    <row r="292" ht="12.75" customHeight="1" spans="1:18">
      <c r="A292" s="249">
        <f t="shared" si="5"/>
        <v>25</v>
      </c>
      <c r="B292" s="387" t="s">
        <v>6944</v>
      </c>
      <c r="C292" s="387"/>
      <c r="D292" s="387"/>
      <c r="E292" s="384" t="s">
        <v>293</v>
      </c>
      <c r="F292" s="249" t="s">
        <v>1593</v>
      </c>
      <c r="G292" s="393" t="s">
        <v>7269</v>
      </c>
      <c r="H292" s="249" t="s">
        <v>7197</v>
      </c>
      <c r="I292" s="394"/>
      <c r="J292" s="249" t="s">
        <v>7211</v>
      </c>
      <c r="K292" s="249" t="s">
        <v>811</v>
      </c>
      <c r="L292" s="387"/>
      <c r="M292" s="249" t="s">
        <v>7212</v>
      </c>
      <c r="N292" s="249" t="s">
        <v>7213</v>
      </c>
      <c r="O292" s="387"/>
      <c r="P292" s="387"/>
      <c r="Q292" s="390">
        <v>1</v>
      </c>
      <c r="R292" s="390"/>
    </row>
    <row r="293" ht="12.75" customHeight="1" spans="1:18">
      <c r="A293" s="249">
        <f t="shared" si="5"/>
        <v>26</v>
      </c>
      <c r="B293" s="387" t="s">
        <v>6945</v>
      </c>
      <c r="C293" s="387"/>
      <c r="D293" s="387"/>
      <c r="E293" s="384" t="s">
        <v>293</v>
      </c>
      <c r="F293" s="249" t="s">
        <v>1593</v>
      </c>
      <c r="G293" s="393" t="s">
        <v>7269</v>
      </c>
      <c r="H293" s="249" t="s">
        <v>7197</v>
      </c>
      <c r="I293" s="394"/>
      <c r="J293" s="249" t="s">
        <v>7211</v>
      </c>
      <c r="K293" s="249" t="s">
        <v>811</v>
      </c>
      <c r="L293" s="387"/>
      <c r="M293" s="249" t="s">
        <v>7212</v>
      </c>
      <c r="N293" s="249" t="s">
        <v>7213</v>
      </c>
      <c r="O293" s="387"/>
      <c r="P293" s="387"/>
      <c r="Q293" s="390">
        <v>1</v>
      </c>
      <c r="R293" s="390"/>
    </row>
    <row r="294" ht="12.75" customHeight="1" spans="1:18">
      <c r="A294" s="249">
        <f t="shared" si="5"/>
        <v>27</v>
      </c>
      <c r="B294" s="387" t="s">
        <v>6946</v>
      </c>
      <c r="C294" s="387"/>
      <c r="D294" s="387"/>
      <c r="E294" s="384" t="s">
        <v>293</v>
      </c>
      <c r="F294" s="249" t="s">
        <v>1593</v>
      </c>
      <c r="G294" s="402">
        <v>45816</v>
      </c>
      <c r="H294" s="249" t="s">
        <v>7197</v>
      </c>
      <c r="I294" s="394"/>
      <c r="J294" s="403" t="s">
        <v>7199</v>
      </c>
      <c r="K294" s="369"/>
      <c r="L294" s="404"/>
      <c r="M294" s="249" t="s">
        <v>7200</v>
      </c>
      <c r="N294" s="249" t="s">
        <v>7201</v>
      </c>
      <c r="O294" s="387"/>
      <c r="P294" s="387"/>
      <c r="Q294" s="390">
        <v>1</v>
      </c>
      <c r="R294" s="390"/>
    </row>
    <row r="295" ht="12.75" customHeight="1" spans="1:18">
      <c r="A295" s="249">
        <f t="shared" si="5"/>
        <v>28</v>
      </c>
      <c r="B295" s="387" t="s">
        <v>6947</v>
      </c>
      <c r="C295" s="387"/>
      <c r="D295" s="387"/>
      <c r="E295" s="384" t="s">
        <v>293</v>
      </c>
      <c r="F295" s="249" t="s">
        <v>1593</v>
      </c>
      <c r="G295" s="402">
        <v>45816</v>
      </c>
      <c r="H295" s="249" t="s">
        <v>7197</v>
      </c>
      <c r="I295" s="394"/>
      <c r="J295" s="403" t="s">
        <v>7199</v>
      </c>
      <c r="K295" s="369"/>
      <c r="L295" s="404"/>
      <c r="M295" s="249" t="s">
        <v>7200</v>
      </c>
      <c r="N295" s="249" t="s">
        <v>7201</v>
      </c>
      <c r="O295" s="387"/>
      <c r="P295" s="387"/>
      <c r="Q295" s="390">
        <v>1</v>
      </c>
      <c r="R295" s="390"/>
    </row>
    <row r="296" ht="12.75" customHeight="1" spans="1:18">
      <c r="A296" s="249">
        <f t="shared" si="5"/>
        <v>29</v>
      </c>
      <c r="B296" s="387" t="s">
        <v>6948</v>
      </c>
      <c r="C296" s="387"/>
      <c r="D296" s="387"/>
      <c r="E296" s="384" t="s">
        <v>293</v>
      </c>
      <c r="F296" s="249" t="s">
        <v>1593</v>
      </c>
      <c r="G296" s="402">
        <v>45816</v>
      </c>
      <c r="H296" s="249" t="s">
        <v>7197</v>
      </c>
      <c r="I296" s="394"/>
      <c r="J296" s="403" t="s">
        <v>7199</v>
      </c>
      <c r="K296" s="369"/>
      <c r="L296" s="404"/>
      <c r="M296" s="249" t="s">
        <v>7200</v>
      </c>
      <c r="N296" s="249" t="s">
        <v>7201</v>
      </c>
      <c r="O296" s="387"/>
      <c r="P296" s="387"/>
      <c r="Q296" s="390">
        <v>1</v>
      </c>
      <c r="R296" s="390"/>
    </row>
    <row r="297" ht="12.75" customHeight="1" spans="1:18">
      <c r="A297" s="249">
        <f t="shared" si="5"/>
        <v>30</v>
      </c>
      <c r="B297" s="387" t="s">
        <v>6949</v>
      </c>
      <c r="C297" s="387"/>
      <c r="D297" s="387"/>
      <c r="E297" s="384" t="s">
        <v>293</v>
      </c>
      <c r="F297" s="249" t="s">
        <v>1593</v>
      </c>
      <c r="G297" s="402">
        <v>45816</v>
      </c>
      <c r="H297" s="249" t="s">
        <v>7197</v>
      </c>
      <c r="I297" s="394"/>
      <c r="J297" s="403" t="s">
        <v>7199</v>
      </c>
      <c r="K297" s="369"/>
      <c r="L297" s="404"/>
      <c r="M297" s="249" t="s">
        <v>7200</v>
      </c>
      <c r="N297" s="249" t="s">
        <v>7201</v>
      </c>
      <c r="O297" s="387"/>
      <c r="P297" s="387"/>
      <c r="Q297" s="390">
        <v>1</v>
      </c>
      <c r="R297" s="390"/>
    </row>
    <row r="298" ht="12.75" customHeight="1" spans="1:18">
      <c r="A298" s="249">
        <f t="shared" si="5"/>
        <v>31</v>
      </c>
      <c r="B298" s="387" t="s">
        <v>6950</v>
      </c>
      <c r="C298" s="387"/>
      <c r="D298" s="387"/>
      <c r="E298" s="384" t="s">
        <v>293</v>
      </c>
      <c r="F298" s="249" t="s">
        <v>1593</v>
      </c>
      <c r="G298" s="402">
        <v>45816</v>
      </c>
      <c r="H298" s="249" t="s">
        <v>7197</v>
      </c>
      <c r="I298" s="394"/>
      <c r="J298" s="403" t="s">
        <v>7199</v>
      </c>
      <c r="K298" s="369"/>
      <c r="L298" s="404"/>
      <c r="M298" s="249" t="s">
        <v>7200</v>
      </c>
      <c r="N298" s="249" t="s">
        <v>7201</v>
      </c>
      <c r="O298" s="387"/>
      <c r="P298" s="387"/>
      <c r="Q298" s="390">
        <v>1</v>
      </c>
      <c r="R298" s="390"/>
    </row>
    <row r="299" ht="12.75" customHeight="1" spans="1:18">
      <c r="A299" s="249">
        <f t="shared" si="5"/>
        <v>32</v>
      </c>
      <c r="B299" s="387" t="s">
        <v>6951</v>
      </c>
      <c r="C299" s="387"/>
      <c r="D299" s="387"/>
      <c r="E299" s="384" t="s">
        <v>293</v>
      </c>
      <c r="F299" s="249" t="s">
        <v>1593</v>
      </c>
      <c r="G299" s="402">
        <v>45816</v>
      </c>
      <c r="H299" s="249" t="s">
        <v>7197</v>
      </c>
      <c r="I299" s="394"/>
      <c r="J299" s="403" t="s">
        <v>7199</v>
      </c>
      <c r="K299" s="369"/>
      <c r="L299" s="404"/>
      <c r="M299" s="249" t="s">
        <v>7200</v>
      </c>
      <c r="N299" s="249" t="s">
        <v>7201</v>
      </c>
      <c r="O299" s="387"/>
      <c r="P299" s="387"/>
      <c r="Q299" s="390">
        <v>1</v>
      </c>
      <c r="R299" s="390"/>
    </row>
    <row r="300" ht="12.75" customHeight="1" spans="1:18">
      <c r="A300" s="249">
        <f t="shared" si="5"/>
        <v>33</v>
      </c>
      <c r="B300" s="387" t="s">
        <v>6952</v>
      </c>
      <c r="C300" s="387"/>
      <c r="D300" s="387"/>
      <c r="E300" s="384" t="s">
        <v>293</v>
      </c>
      <c r="F300" s="249" t="s">
        <v>1593</v>
      </c>
      <c r="G300" s="402">
        <v>45816</v>
      </c>
      <c r="H300" s="249" t="s">
        <v>7197</v>
      </c>
      <c r="I300" s="394"/>
      <c r="J300" s="403" t="s">
        <v>7199</v>
      </c>
      <c r="K300" s="369"/>
      <c r="L300" s="404"/>
      <c r="M300" s="249" t="s">
        <v>7200</v>
      </c>
      <c r="N300" s="249" t="s">
        <v>7201</v>
      </c>
      <c r="O300" s="387"/>
      <c r="P300" s="387"/>
      <c r="Q300" s="390">
        <v>1</v>
      </c>
      <c r="R300" s="390"/>
    </row>
    <row r="301" ht="12.75" customHeight="1" spans="1:18">
      <c r="A301" s="249">
        <f t="shared" si="5"/>
        <v>34</v>
      </c>
      <c r="B301" s="387" t="s">
        <v>6953</v>
      </c>
      <c r="C301" s="387"/>
      <c r="D301" s="387"/>
      <c r="E301" s="384" t="s">
        <v>293</v>
      </c>
      <c r="F301" s="249" t="s">
        <v>1593</v>
      </c>
      <c r="G301" s="402">
        <v>45816</v>
      </c>
      <c r="H301" s="249" t="s">
        <v>7197</v>
      </c>
      <c r="I301" s="394"/>
      <c r="J301" s="403" t="s">
        <v>7199</v>
      </c>
      <c r="K301" s="369"/>
      <c r="L301" s="404"/>
      <c r="M301" s="249" t="s">
        <v>7200</v>
      </c>
      <c r="N301" s="249" t="s">
        <v>7201</v>
      </c>
      <c r="O301" s="387"/>
      <c r="P301" s="387"/>
      <c r="Q301" s="390">
        <v>1</v>
      </c>
      <c r="R301" s="390"/>
    </row>
    <row r="302" ht="12.75" customHeight="1" spans="1:18">
      <c r="A302" s="249">
        <f t="shared" si="5"/>
        <v>35</v>
      </c>
      <c r="B302" s="387" t="s">
        <v>6954</v>
      </c>
      <c r="C302" s="387"/>
      <c r="D302" s="387"/>
      <c r="E302" s="384" t="s">
        <v>293</v>
      </c>
      <c r="F302" s="249" t="s">
        <v>1593</v>
      </c>
      <c r="G302" s="402">
        <v>45816</v>
      </c>
      <c r="H302" s="249" t="s">
        <v>7197</v>
      </c>
      <c r="I302" s="394"/>
      <c r="J302" s="403" t="s">
        <v>7199</v>
      </c>
      <c r="K302" s="369"/>
      <c r="L302" s="404"/>
      <c r="M302" s="249" t="s">
        <v>7200</v>
      </c>
      <c r="N302" s="249" t="s">
        <v>7201</v>
      </c>
      <c r="O302" s="387"/>
      <c r="P302" s="387"/>
      <c r="Q302" s="390">
        <v>1</v>
      </c>
      <c r="R302" s="390"/>
    </row>
    <row r="303" ht="12.75" customHeight="1" spans="1:18">
      <c r="A303" s="249">
        <f t="shared" si="5"/>
        <v>36</v>
      </c>
      <c r="B303" s="387" t="s">
        <v>6955</v>
      </c>
      <c r="C303" s="387"/>
      <c r="D303" s="387"/>
      <c r="E303" s="384" t="s">
        <v>293</v>
      </c>
      <c r="F303" s="249" t="s">
        <v>1593</v>
      </c>
      <c r="G303" s="402">
        <v>45816</v>
      </c>
      <c r="H303" s="249" t="s">
        <v>7197</v>
      </c>
      <c r="I303" s="394"/>
      <c r="J303" s="403" t="s">
        <v>7199</v>
      </c>
      <c r="K303" s="369"/>
      <c r="L303" s="404"/>
      <c r="M303" s="249" t="s">
        <v>7200</v>
      </c>
      <c r="N303" s="249" t="s">
        <v>7201</v>
      </c>
      <c r="O303" s="387"/>
      <c r="P303" s="387"/>
      <c r="Q303" s="390">
        <v>1</v>
      </c>
      <c r="R303" s="390"/>
    </row>
    <row r="304" ht="12.75" customHeight="1" spans="1:18">
      <c r="A304" s="249">
        <f t="shared" si="5"/>
        <v>37</v>
      </c>
      <c r="B304" s="387" t="s">
        <v>6956</v>
      </c>
      <c r="C304" s="387"/>
      <c r="D304" s="387"/>
      <c r="E304" s="384" t="s">
        <v>293</v>
      </c>
      <c r="F304" s="249" t="s">
        <v>1593</v>
      </c>
      <c r="G304" s="402">
        <v>45816</v>
      </c>
      <c r="H304" s="249" t="s">
        <v>7197</v>
      </c>
      <c r="I304" s="394"/>
      <c r="J304" s="403" t="s">
        <v>7199</v>
      </c>
      <c r="K304" s="369"/>
      <c r="L304" s="404"/>
      <c r="M304" s="249" t="s">
        <v>7200</v>
      </c>
      <c r="N304" s="249" t="s">
        <v>7201</v>
      </c>
      <c r="O304" s="387"/>
      <c r="P304" s="387"/>
      <c r="Q304" s="390">
        <v>1</v>
      </c>
      <c r="R304" s="390"/>
    </row>
    <row r="305" ht="12.75" customHeight="1" spans="1:18">
      <c r="A305" s="249">
        <f t="shared" si="5"/>
        <v>38</v>
      </c>
      <c r="B305" s="387" t="s">
        <v>6957</v>
      </c>
      <c r="C305" s="387"/>
      <c r="D305" s="387"/>
      <c r="E305" s="384" t="s">
        <v>293</v>
      </c>
      <c r="F305" s="249" t="s">
        <v>1593</v>
      </c>
      <c r="G305" s="402">
        <v>45816</v>
      </c>
      <c r="H305" s="249" t="s">
        <v>7197</v>
      </c>
      <c r="I305" s="394"/>
      <c r="J305" s="403" t="s">
        <v>7199</v>
      </c>
      <c r="K305" s="369"/>
      <c r="L305" s="404"/>
      <c r="M305" s="249" t="s">
        <v>7200</v>
      </c>
      <c r="N305" s="249" t="s">
        <v>7201</v>
      </c>
      <c r="O305" s="387"/>
      <c r="P305" s="387"/>
      <c r="Q305" s="390">
        <v>1</v>
      </c>
      <c r="R305" s="390"/>
    </row>
    <row r="306" ht="12.75" customHeight="1" spans="1:18">
      <c r="A306" s="249">
        <f t="shared" si="5"/>
        <v>39</v>
      </c>
      <c r="B306" s="387" t="s">
        <v>6958</v>
      </c>
      <c r="C306" s="387"/>
      <c r="D306" s="387"/>
      <c r="E306" s="384" t="s">
        <v>293</v>
      </c>
      <c r="F306" s="249" t="s">
        <v>1593</v>
      </c>
      <c r="G306" s="402">
        <v>45816</v>
      </c>
      <c r="H306" s="249" t="s">
        <v>7197</v>
      </c>
      <c r="I306" s="394"/>
      <c r="J306" s="403" t="s">
        <v>7199</v>
      </c>
      <c r="K306" s="369"/>
      <c r="L306" s="404"/>
      <c r="M306" s="249" t="s">
        <v>7200</v>
      </c>
      <c r="N306" s="249" t="s">
        <v>7201</v>
      </c>
      <c r="O306" s="387"/>
      <c r="P306" s="387"/>
      <c r="Q306" s="390">
        <v>1</v>
      </c>
      <c r="R306" s="390"/>
    </row>
    <row r="307" ht="12.75" customHeight="1" spans="1:18">
      <c r="A307" s="249">
        <f t="shared" si="5"/>
        <v>40</v>
      </c>
      <c r="B307" s="387" t="s">
        <v>6959</v>
      </c>
      <c r="C307" s="387"/>
      <c r="D307" s="387"/>
      <c r="E307" s="384" t="s">
        <v>293</v>
      </c>
      <c r="F307" s="249" t="s">
        <v>1593</v>
      </c>
      <c r="G307" s="402">
        <v>45816</v>
      </c>
      <c r="H307" s="249" t="s">
        <v>7197</v>
      </c>
      <c r="I307" s="394"/>
      <c r="J307" s="403" t="s">
        <v>7199</v>
      </c>
      <c r="K307" s="369"/>
      <c r="L307" s="404"/>
      <c r="M307" s="249" t="s">
        <v>7200</v>
      </c>
      <c r="N307" s="249" t="s">
        <v>7201</v>
      </c>
      <c r="O307" s="387"/>
      <c r="P307" s="387"/>
      <c r="Q307" s="390">
        <v>1</v>
      </c>
      <c r="R307" s="390"/>
    </row>
    <row r="308" ht="12.75" customHeight="1" spans="1:18">
      <c r="A308" s="249">
        <f t="shared" si="5"/>
        <v>41</v>
      </c>
      <c r="B308" s="387" t="s">
        <v>6960</v>
      </c>
      <c r="C308" s="387"/>
      <c r="D308" s="387"/>
      <c r="E308" s="384" t="s">
        <v>293</v>
      </c>
      <c r="F308" s="249" t="s">
        <v>1593</v>
      </c>
      <c r="G308" s="402">
        <v>45816</v>
      </c>
      <c r="H308" s="249" t="s">
        <v>7197</v>
      </c>
      <c r="I308" s="394"/>
      <c r="J308" s="403" t="s">
        <v>7199</v>
      </c>
      <c r="K308" s="369"/>
      <c r="L308" s="404"/>
      <c r="M308" s="249" t="s">
        <v>7200</v>
      </c>
      <c r="N308" s="249" t="s">
        <v>7201</v>
      </c>
      <c r="O308" s="387"/>
      <c r="P308" s="387"/>
      <c r="Q308" s="390">
        <v>1</v>
      </c>
      <c r="R308" s="390"/>
    </row>
    <row r="309" ht="12.75" customHeight="1" spans="1:18">
      <c r="A309" s="249">
        <f t="shared" si="5"/>
        <v>42</v>
      </c>
      <c r="B309" s="387" t="s">
        <v>6961</v>
      </c>
      <c r="C309" s="387"/>
      <c r="D309" s="387"/>
      <c r="E309" s="384" t="s">
        <v>293</v>
      </c>
      <c r="F309" s="249" t="s">
        <v>1593</v>
      </c>
      <c r="G309" s="402">
        <v>45816</v>
      </c>
      <c r="H309" s="249" t="s">
        <v>7197</v>
      </c>
      <c r="I309" s="394"/>
      <c r="J309" s="403" t="s">
        <v>7199</v>
      </c>
      <c r="K309" s="369"/>
      <c r="L309" s="404"/>
      <c r="M309" s="249" t="s">
        <v>7200</v>
      </c>
      <c r="N309" s="249" t="s">
        <v>7201</v>
      </c>
      <c r="O309" s="387"/>
      <c r="P309" s="387"/>
      <c r="Q309" s="390">
        <v>1</v>
      </c>
      <c r="R309" s="390"/>
    </row>
    <row r="310" ht="12.75" customHeight="1" spans="1:18">
      <c r="A310" s="249">
        <f t="shared" si="5"/>
        <v>43</v>
      </c>
      <c r="B310" s="387" t="s">
        <v>6962</v>
      </c>
      <c r="C310" s="387"/>
      <c r="D310" s="387"/>
      <c r="E310" s="384" t="s">
        <v>293</v>
      </c>
      <c r="F310" s="249" t="s">
        <v>1593</v>
      </c>
      <c r="G310" s="402">
        <v>45816</v>
      </c>
      <c r="H310" s="249" t="s">
        <v>7197</v>
      </c>
      <c r="I310" s="394"/>
      <c r="J310" s="403" t="s">
        <v>7199</v>
      </c>
      <c r="K310" s="369"/>
      <c r="L310" s="404"/>
      <c r="M310" s="249" t="s">
        <v>7200</v>
      </c>
      <c r="N310" s="249" t="s">
        <v>7201</v>
      </c>
      <c r="O310" s="387"/>
      <c r="P310" s="387"/>
      <c r="Q310" s="390">
        <v>1</v>
      </c>
      <c r="R310" s="390"/>
    </row>
    <row r="311" ht="12.75" customHeight="1" spans="1:18">
      <c r="A311" s="249">
        <f t="shared" si="5"/>
        <v>44</v>
      </c>
      <c r="B311" s="387" t="s">
        <v>6963</v>
      </c>
      <c r="C311" s="387"/>
      <c r="D311" s="387"/>
      <c r="E311" s="384" t="s">
        <v>293</v>
      </c>
      <c r="F311" s="249" t="s">
        <v>1593</v>
      </c>
      <c r="G311" s="402">
        <v>45816</v>
      </c>
      <c r="H311" s="249" t="s">
        <v>7197</v>
      </c>
      <c r="I311" s="387"/>
      <c r="J311" s="403" t="s">
        <v>7199</v>
      </c>
      <c r="K311" s="369"/>
      <c r="L311" s="404"/>
      <c r="M311" s="249" t="s">
        <v>7200</v>
      </c>
      <c r="N311" s="249" t="s">
        <v>7201</v>
      </c>
      <c r="O311" s="387"/>
      <c r="P311" s="387"/>
      <c r="Q311" s="390">
        <v>1</v>
      </c>
      <c r="R311" s="390"/>
    </row>
    <row r="312" ht="12.75" customHeight="1" spans="1:18">
      <c r="A312" s="249">
        <f t="shared" si="5"/>
        <v>45</v>
      </c>
      <c r="B312" s="387" t="s">
        <v>6964</v>
      </c>
      <c r="C312" s="387"/>
      <c r="D312" s="387"/>
      <c r="E312" s="384" t="s">
        <v>293</v>
      </c>
      <c r="F312" s="249" t="s">
        <v>1593</v>
      </c>
      <c r="G312" s="402">
        <v>45816</v>
      </c>
      <c r="H312" s="249" t="s">
        <v>7197</v>
      </c>
      <c r="I312" s="387"/>
      <c r="J312" s="403" t="s">
        <v>7199</v>
      </c>
      <c r="K312" s="369"/>
      <c r="L312" s="404"/>
      <c r="M312" s="249" t="s">
        <v>7200</v>
      </c>
      <c r="N312" s="249" t="s">
        <v>7201</v>
      </c>
      <c r="O312" s="387"/>
      <c r="P312" s="387"/>
      <c r="Q312" s="390">
        <v>1</v>
      </c>
      <c r="R312" s="390"/>
    </row>
    <row r="313" ht="12.75" customHeight="1" spans="1:18">
      <c r="A313" s="249">
        <f t="shared" si="5"/>
        <v>46</v>
      </c>
      <c r="B313" s="387" t="s">
        <v>6965</v>
      </c>
      <c r="C313" s="387"/>
      <c r="D313" s="387"/>
      <c r="E313" s="384" t="s">
        <v>293</v>
      </c>
      <c r="F313" s="249" t="s">
        <v>1593</v>
      </c>
      <c r="G313" s="402">
        <v>45816</v>
      </c>
      <c r="H313" s="249" t="s">
        <v>7197</v>
      </c>
      <c r="I313" s="387"/>
      <c r="J313" s="403" t="s">
        <v>7199</v>
      </c>
      <c r="K313" s="369"/>
      <c r="L313" s="404"/>
      <c r="M313" s="249" t="s">
        <v>7200</v>
      </c>
      <c r="N313" s="249" t="s">
        <v>7201</v>
      </c>
      <c r="O313" s="387"/>
      <c r="P313" s="387"/>
      <c r="Q313" s="390">
        <v>1</v>
      </c>
      <c r="R313" s="390"/>
    </row>
    <row r="314" ht="12.75" customHeight="1" spans="1:18">
      <c r="A314" s="249"/>
      <c r="B314" s="387"/>
      <c r="C314" s="387"/>
      <c r="D314" s="387"/>
      <c r="E314" s="388"/>
      <c r="F314" s="249"/>
      <c r="G314" s="249"/>
      <c r="H314" s="249"/>
      <c r="I314" s="387"/>
      <c r="J314" s="249"/>
      <c r="K314" s="249"/>
      <c r="L314" s="387"/>
      <c r="M314" s="249"/>
      <c r="N314" s="249"/>
      <c r="O314" s="387"/>
      <c r="P314" s="387"/>
      <c r="Q314" s="390"/>
      <c r="R314" s="390"/>
    </row>
    <row r="315" ht="12.75" hidden="1" customHeight="1" spans="1:18">
      <c r="A315" s="249"/>
      <c r="B315" s="387"/>
      <c r="C315" s="387" t="s">
        <v>689</v>
      </c>
      <c r="D315" s="387"/>
      <c r="E315" s="388"/>
      <c r="F315" s="249"/>
      <c r="G315" s="249"/>
      <c r="H315" s="249"/>
      <c r="I315" s="387"/>
      <c r="J315" s="249"/>
      <c r="K315" s="249"/>
      <c r="L315" s="387"/>
      <c r="M315" s="249"/>
      <c r="N315" s="249"/>
      <c r="O315" s="387"/>
      <c r="P315" s="387"/>
      <c r="Q315" s="390"/>
      <c r="R315" s="390"/>
    </row>
    <row r="316" ht="20.25" customHeight="1" spans="1:18">
      <c r="A316" s="232" t="s">
        <v>6340</v>
      </c>
      <c r="B316" s="377" t="s">
        <v>6138</v>
      </c>
      <c r="C316" s="232">
        <f>$C$317+$C$375+$C$417+$C$492+$C$505</f>
        <v>173</v>
      </c>
      <c r="D316" s="378"/>
      <c r="E316" s="378"/>
      <c r="F316" s="379"/>
      <c r="G316" s="379"/>
      <c r="H316" s="379"/>
      <c r="I316" s="378"/>
      <c r="J316" s="379"/>
      <c r="K316" s="379"/>
      <c r="L316" s="378"/>
      <c r="M316" s="379"/>
      <c r="N316" s="379"/>
      <c r="O316" s="378"/>
      <c r="P316" s="378"/>
      <c r="Q316" s="380"/>
      <c r="R316" s="380"/>
    </row>
    <row r="317" ht="12.75" customHeight="1" spans="1:18">
      <c r="A317" s="381" t="s">
        <v>7311</v>
      </c>
      <c r="B317" s="382" t="s">
        <v>6139</v>
      </c>
      <c r="C317" s="383">
        <f>COUNTA($B$318:$B$374)</f>
        <v>55</v>
      </c>
      <c r="D317" s="384"/>
      <c r="E317" s="384"/>
      <c r="F317" s="385"/>
      <c r="G317" s="385"/>
      <c r="H317" s="385"/>
      <c r="I317" s="383"/>
      <c r="J317" s="385"/>
      <c r="K317" s="385"/>
      <c r="L317" s="383"/>
      <c r="M317" s="385"/>
      <c r="N317" s="385"/>
      <c r="O317" s="383"/>
      <c r="P317" s="383"/>
      <c r="Q317" s="386"/>
      <c r="R317" s="386"/>
    </row>
    <row r="318" ht="12.75" customHeight="1" spans="1:18">
      <c r="A318" s="249">
        <v>1</v>
      </c>
      <c r="B318" s="387" t="s">
        <v>6966</v>
      </c>
      <c r="C318" s="388"/>
      <c r="D318" s="388"/>
      <c r="E318" s="388" t="s">
        <v>294</v>
      </c>
      <c r="F318" s="249" t="s">
        <v>1121</v>
      </c>
      <c r="G318" s="249" t="s">
        <v>7269</v>
      </c>
      <c r="H318" s="249" t="s">
        <v>7197</v>
      </c>
      <c r="I318" s="387"/>
      <c r="J318" s="249" t="s">
        <v>1323</v>
      </c>
      <c r="K318" s="249" t="s">
        <v>1016</v>
      </c>
      <c r="L318" s="387"/>
      <c r="M318" s="249" t="s">
        <v>7252</v>
      </c>
      <c r="N318" s="249" t="s">
        <v>7253</v>
      </c>
      <c r="O318" s="387"/>
      <c r="P318" s="387"/>
      <c r="Q318" s="390">
        <v>0.5</v>
      </c>
      <c r="R318" s="390"/>
    </row>
    <row r="319" ht="12.75" customHeight="1" spans="1:18">
      <c r="A319" s="249">
        <v>2</v>
      </c>
      <c r="B319" s="387" t="s">
        <v>6967</v>
      </c>
      <c r="C319" s="388"/>
      <c r="D319" s="388"/>
      <c r="E319" s="388" t="s">
        <v>294</v>
      </c>
      <c r="F319" s="249" t="s">
        <v>1121</v>
      </c>
      <c r="G319" s="249" t="s">
        <v>7269</v>
      </c>
      <c r="H319" s="249" t="s">
        <v>7197</v>
      </c>
      <c r="I319" s="387"/>
      <c r="J319" s="249" t="s">
        <v>1323</v>
      </c>
      <c r="K319" s="249" t="s">
        <v>1016</v>
      </c>
      <c r="L319" s="387"/>
      <c r="M319" s="249" t="s">
        <v>7252</v>
      </c>
      <c r="N319" s="249" t="s">
        <v>7253</v>
      </c>
      <c r="O319" s="387"/>
      <c r="P319" s="387"/>
      <c r="Q319" s="390">
        <v>0.5</v>
      </c>
      <c r="R319" s="390"/>
    </row>
    <row r="320" ht="12.75" customHeight="1" spans="1:18">
      <c r="A320" s="249">
        <f t="shared" ref="A320:A352" si="6">1+A319</f>
        <v>3</v>
      </c>
      <c r="B320" s="387" t="s">
        <v>6968</v>
      </c>
      <c r="C320" s="388"/>
      <c r="D320" s="388"/>
      <c r="E320" s="388" t="s">
        <v>294</v>
      </c>
      <c r="F320" s="249" t="s">
        <v>1121</v>
      </c>
      <c r="G320" s="249" t="s">
        <v>7269</v>
      </c>
      <c r="H320" s="249" t="s">
        <v>7197</v>
      </c>
      <c r="I320" s="387"/>
      <c r="J320" s="249" t="s">
        <v>1323</v>
      </c>
      <c r="K320" s="249" t="s">
        <v>1016</v>
      </c>
      <c r="L320" s="387"/>
      <c r="M320" s="249" t="s">
        <v>7252</v>
      </c>
      <c r="N320" s="249" t="s">
        <v>7253</v>
      </c>
      <c r="O320" s="387"/>
      <c r="P320" s="387"/>
      <c r="Q320" s="390">
        <v>0.5</v>
      </c>
      <c r="R320" s="390"/>
    </row>
    <row r="321" ht="12.75" customHeight="1" spans="1:18">
      <c r="A321" s="249">
        <f t="shared" si="6"/>
        <v>4</v>
      </c>
      <c r="B321" s="387" t="s">
        <v>6969</v>
      </c>
      <c r="C321" s="388"/>
      <c r="D321" s="388"/>
      <c r="E321" s="388" t="s">
        <v>294</v>
      </c>
      <c r="F321" s="249" t="s">
        <v>1121</v>
      </c>
      <c r="G321" s="249" t="s">
        <v>7269</v>
      </c>
      <c r="H321" s="249" t="s">
        <v>7197</v>
      </c>
      <c r="I321" s="387"/>
      <c r="J321" s="249" t="s">
        <v>1323</v>
      </c>
      <c r="K321" s="249" t="s">
        <v>1016</v>
      </c>
      <c r="L321" s="387"/>
      <c r="M321" s="249" t="s">
        <v>7252</v>
      </c>
      <c r="N321" s="249" t="s">
        <v>7253</v>
      </c>
      <c r="O321" s="387"/>
      <c r="P321" s="387"/>
      <c r="Q321" s="390">
        <v>0.5</v>
      </c>
      <c r="R321" s="390"/>
    </row>
    <row r="322" ht="12.75" customHeight="1" spans="1:18">
      <c r="A322" s="249">
        <f t="shared" si="6"/>
        <v>5</v>
      </c>
      <c r="B322" s="387" t="s">
        <v>6970</v>
      </c>
      <c r="C322" s="388"/>
      <c r="D322" s="388"/>
      <c r="E322" s="388" t="s">
        <v>294</v>
      </c>
      <c r="F322" s="249" t="s">
        <v>1121</v>
      </c>
      <c r="G322" s="249" t="s">
        <v>7269</v>
      </c>
      <c r="H322" s="249" t="s">
        <v>7197</v>
      </c>
      <c r="I322" s="387"/>
      <c r="J322" s="249" t="s">
        <v>1323</v>
      </c>
      <c r="K322" s="249" t="s">
        <v>1016</v>
      </c>
      <c r="L322" s="387"/>
      <c r="M322" s="249" t="s">
        <v>7252</v>
      </c>
      <c r="N322" s="249" t="s">
        <v>7253</v>
      </c>
      <c r="O322" s="387"/>
      <c r="P322" s="387"/>
      <c r="Q322" s="390">
        <v>0.5</v>
      </c>
      <c r="R322" s="390"/>
    </row>
    <row r="323" ht="12.75" customHeight="1" spans="1:18">
      <c r="A323" s="249">
        <f t="shared" si="6"/>
        <v>6</v>
      </c>
      <c r="B323" s="387" t="s">
        <v>6971</v>
      </c>
      <c r="C323" s="388"/>
      <c r="D323" s="388"/>
      <c r="E323" s="388" t="s">
        <v>294</v>
      </c>
      <c r="F323" s="249" t="s">
        <v>1121</v>
      </c>
      <c r="G323" s="249" t="s">
        <v>7269</v>
      </c>
      <c r="H323" s="249" t="s">
        <v>7197</v>
      </c>
      <c r="I323" s="387"/>
      <c r="J323" s="249" t="s">
        <v>1323</v>
      </c>
      <c r="K323" s="249" t="s">
        <v>1016</v>
      </c>
      <c r="L323" s="387"/>
      <c r="M323" s="249" t="s">
        <v>7252</v>
      </c>
      <c r="N323" s="249" t="s">
        <v>7253</v>
      </c>
      <c r="O323" s="387"/>
      <c r="P323" s="387"/>
      <c r="Q323" s="390">
        <v>0.5</v>
      </c>
      <c r="R323" s="390"/>
    </row>
    <row r="324" ht="12.75" customHeight="1" spans="1:18">
      <c r="A324" s="249">
        <f t="shared" si="6"/>
        <v>7</v>
      </c>
      <c r="B324" s="387" t="s">
        <v>6972</v>
      </c>
      <c r="C324" s="388"/>
      <c r="D324" s="388"/>
      <c r="E324" s="388" t="s">
        <v>294</v>
      </c>
      <c r="F324" s="249" t="s">
        <v>1121</v>
      </c>
      <c r="G324" s="249" t="s">
        <v>7269</v>
      </c>
      <c r="H324" s="249" t="s">
        <v>7197</v>
      </c>
      <c r="I324" s="387"/>
      <c r="J324" s="249" t="s">
        <v>1323</v>
      </c>
      <c r="K324" s="249" t="s">
        <v>1016</v>
      </c>
      <c r="L324" s="387"/>
      <c r="M324" s="249" t="s">
        <v>7252</v>
      </c>
      <c r="N324" s="249" t="s">
        <v>7253</v>
      </c>
      <c r="O324" s="387"/>
      <c r="P324" s="387"/>
      <c r="Q324" s="390">
        <v>0.5</v>
      </c>
      <c r="R324" s="390"/>
    </row>
    <row r="325" ht="12.75" customHeight="1" spans="1:18">
      <c r="A325" s="249">
        <f t="shared" si="6"/>
        <v>8</v>
      </c>
      <c r="B325" s="387" t="s">
        <v>6973</v>
      </c>
      <c r="C325" s="388"/>
      <c r="D325" s="388"/>
      <c r="E325" s="388" t="s">
        <v>294</v>
      </c>
      <c r="F325" s="249" t="s">
        <v>1121</v>
      </c>
      <c r="G325" s="249" t="s">
        <v>7269</v>
      </c>
      <c r="H325" s="249" t="s">
        <v>7197</v>
      </c>
      <c r="I325" s="387"/>
      <c r="J325" s="249" t="s">
        <v>1323</v>
      </c>
      <c r="K325" s="249" t="s">
        <v>1016</v>
      </c>
      <c r="L325" s="387"/>
      <c r="M325" s="249" t="s">
        <v>7252</v>
      </c>
      <c r="N325" s="249" t="s">
        <v>7253</v>
      </c>
      <c r="O325" s="387"/>
      <c r="P325" s="387"/>
      <c r="Q325" s="390">
        <v>0.5</v>
      </c>
      <c r="R325" s="390"/>
    </row>
    <row r="326" ht="12.75" customHeight="1" spans="1:18">
      <c r="A326" s="249">
        <f t="shared" si="6"/>
        <v>9</v>
      </c>
      <c r="B326" s="387" t="s">
        <v>6974</v>
      </c>
      <c r="C326" s="388"/>
      <c r="D326" s="388"/>
      <c r="E326" s="388" t="s">
        <v>294</v>
      </c>
      <c r="F326" s="249" t="s">
        <v>1121</v>
      </c>
      <c r="G326" s="249" t="s">
        <v>7269</v>
      </c>
      <c r="H326" s="249" t="s">
        <v>7197</v>
      </c>
      <c r="I326" s="387"/>
      <c r="J326" s="249" t="s">
        <v>1323</v>
      </c>
      <c r="K326" s="249" t="s">
        <v>1016</v>
      </c>
      <c r="L326" s="387"/>
      <c r="M326" s="249" t="s">
        <v>7252</v>
      </c>
      <c r="N326" s="249" t="s">
        <v>7253</v>
      </c>
      <c r="O326" s="387"/>
      <c r="P326" s="387"/>
      <c r="Q326" s="390">
        <v>0.5</v>
      </c>
      <c r="R326" s="390"/>
    </row>
    <row r="327" ht="12.75" customHeight="1" spans="1:18">
      <c r="A327" s="249">
        <f t="shared" si="6"/>
        <v>10</v>
      </c>
      <c r="B327" s="387" t="s">
        <v>6975</v>
      </c>
      <c r="C327" s="388"/>
      <c r="D327" s="388"/>
      <c r="E327" s="388" t="s">
        <v>294</v>
      </c>
      <c r="F327" s="249" t="s">
        <v>1121</v>
      </c>
      <c r="G327" s="249" t="s">
        <v>7269</v>
      </c>
      <c r="H327" s="249" t="s">
        <v>7197</v>
      </c>
      <c r="I327" s="387"/>
      <c r="J327" s="249" t="s">
        <v>1323</v>
      </c>
      <c r="K327" s="249" t="s">
        <v>1016</v>
      </c>
      <c r="L327" s="387"/>
      <c r="M327" s="249" t="s">
        <v>7252</v>
      </c>
      <c r="N327" s="249" t="s">
        <v>7253</v>
      </c>
      <c r="O327" s="387"/>
      <c r="P327" s="387"/>
      <c r="Q327" s="390">
        <v>0.5</v>
      </c>
      <c r="R327" s="390"/>
    </row>
    <row r="328" ht="12.75" customHeight="1" spans="1:18">
      <c r="A328" s="249">
        <f t="shared" si="6"/>
        <v>11</v>
      </c>
      <c r="B328" s="387" t="s">
        <v>6976</v>
      </c>
      <c r="C328" s="388"/>
      <c r="D328" s="388"/>
      <c r="E328" s="388" t="s">
        <v>294</v>
      </c>
      <c r="F328" s="249" t="s">
        <v>1121</v>
      </c>
      <c r="G328" s="249" t="s">
        <v>7269</v>
      </c>
      <c r="H328" s="249" t="s">
        <v>7197</v>
      </c>
      <c r="I328" s="387"/>
      <c r="J328" s="249" t="s">
        <v>1323</v>
      </c>
      <c r="K328" s="249" t="s">
        <v>1016</v>
      </c>
      <c r="L328" s="387"/>
      <c r="M328" s="249" t="s">
        <v>7252</v>
      </c>
      <c r="N328" s="249" t="s">
        <v>7253</v>
      </c>
      <c r="O328" s="387"/>
      <c r="P328" s="387"/>
      <c r="Q328" s="390">
        <v>0.5</v>
      </c>
      <c r="R328" s="390"/>
    </row>
    <row r="329" ht="12.75" customHeight="1" spans="1:18">
      <c r="A329" s="249">
        <f t="shared" si="6"/>
        <v>12</v>
      </c>
      <c r="B329" s="387" t="s">
        <v>6977</v>
      </c>
      <c r="C329" s="388"/>
      <c r="D329" s="388"/>
      <c r="E329" s="388" t="s">
        <v>294</v>
      </c>
      <c r="F329" s="249" t="s">
        <v>1121</v>
      </c>
      <c r="G329" s="249" t="s">
        <v>7269</v>
      </c>
      <c r="H329" s="249" t="s">
        <v>7197</v>
      </c>
      <c r="I329" s="387"/>
      <c r="J329" s="249" t="s">
        <v>1323</v>
      </c>
      <c r="K329" s="249" t="s">
        <v>1016</v>
      </c>
      <c r="L329" s="387"/>
      <c r="M329" s="249" t="s">
        <v>7252</v>
      </c>
      <c r="N329" s="249" t="s">
        <v>7253</v>
      </c>
      <c r="O329" s="387"/>
      <c r="P329" s="387"/>
      <c r="Q329" s="390">
        <v>0.5</v>
      </c>
      <c r="R329" s="390"/>
    </row>
    <row r="330" ht="12.75" customHeight="1" spans="1:18">
      <c r="A330" s="249">
        <f t="shared" si="6"/>
        <v>13</v>
      </c>
      <c r="B330" s="387" t="s">
        <v>6978</v>
      </c>
      <c r="C330" s="388"/>
      <c r="D330" s="388"/>
      <c r="E330" s="388" t="s">
        <v>294</v>
      </c>
      <c r="F330" s="249" t="s">
        <v>1121</v>
      </c>
      <c r="G330" s="249" t="s">
        <v>7269</v>
      </c>
      <c r="H330" s="249" t="s">
        <v>7197</v>
      </c>
      <c r="I330" s="387"/>
      <c r="J330" s="249" t="s">
        <v>1323</v>
      </c>
      <c r="K330" s="249" t="s">
        <v>1016</v>
      </c>
      <c r="L330" s="387"/>
      <c r="M330" s="249" t="s">
        <v>7252</v>
      </c>
      <c r="N330" s="249" t="s">
        <v>7253</v>
      </c>
      <c r="O330" s="387"/>
      <c r="P330" s="387"/>
      <c r="Q330" s="390">
        <v>0.5</v>
      </c>
      <c r="R330" s="390"/>
    </row>
    <row r="331" ht="12.75" customHeight="1" spans="1:18">
      <c r="A331" s="249">
        <f t="shared" si="6"/>
        <v>14</v>
      </c>
      <c r="B331" s="387" t="s">
        <v>6979</v>
      </c>
      <c r="C331" s="388"/>
      <c r="D331" s="388"/>
      <c r="E331" s="388" t="s">
        <v>294</v>
      </c>
      <c r="F331" s="249" t="s">
        <v>1121</v>
      </c>
      <c r="G331" s="249" t="s">
        <v>7269</v>
      </c>
      <c r="H331" s="249" t="s">
        <v>7197</v>
      </c>
      <c r="I331" s="387"/>
      <c r="J331" s="249" t="s">
        <v>1323</v>
      </c>
      <c r="K331" s="249" t="s">
        <v>1016</v>
      </c>
      <c r="L331" s="387"/>
      <c r="M331" s="249" t="s">
        <v>7252</v>
      </c>
      <c r="N331" s="249" t="s">
        <v>7253</v>
      </c>
      <c r="O331" s="387"/>
      <c r="P331" s="387"/>
      <c r="Q331" s="390">
        <v>0.5</v>
      </c>
      <c r="R331" s="390"/>
    </row>
    <row r="332" ht="12.75" customHeight="1" spans="1:18">
      <c r="A332" s="249">
        <f t="shared" si="6"/>
        <v>15</v>
      </c>
      <c r="B332" s="387" t="s">
        <v>6980</v>
      </c>
      <c r="C332" s="388"/>
      <c r="D332" s="388"/>
      <c r="E332" s="388" t="s">
        <v>294</v>
      </c>
      <c r="F332" s="249" t="s">
        <v>1121</v>
      </c>
      <c r="G332" s="249" t="s">
        <v>7269</v>
      </c>
      <c r="H332" s="249" t="s">
        <v>7197</v>
      </c>
      <c r="I332" s="387"/>
      <c r="J332" s="249" t="s">
        <v>1323</v>
      </c>
      <c r="K332" s="249" t="s">
        <v>1016</v>
      </c>
      <c r="L332" s="387"/>
      <c r="M332" s="249" t="s">
        <v>7252</v>
      </c>
      <c r="N332" s="249" t="s">
        <v>7253</v>
      </c>
      <c r="O332" s="387"/>
      <c r="P332" s="387"/>
      <c r="Q332" s="390">
        <v>0.5</v>
      </c>
      <c r="R332" s="390"/>
    </row>
    <row r="333" ht="12.75" customHeight="1" spans="1:18">
      <c r="A333" s="249">
        <f t="shared" si="6"/>
        <v>16</v>
      </c>
      <c r="B333" s="387" t="s">
        <v>6981</v>
      </c>
      <c r="C333" s="388"/>
      <c r="D333" s="388"/>
      <c r="E333" s="388" t="s">
        <v>294</v>
      </c>
      <c r="F333" s="249" t="s">
        <v>1121</v>
      </c>
      <c r="G333" s="249" t="s">
        <v>7269</v>
      </c>
      <c r="H333" s="249" t="s">
        <v>7197</v>
      </c>
      <c r="I333" s="387"/>
      <c r="J333" s="249" t="s">
        <v>1323</v>
      </c>
      <c r="K333" s="249" t="s">
        <v>1016</v>
      </c>
      <c r="L333" s="387"/>
      <c r="M333" s="249" t="s">
        <v>7252</v>
      </c>
      <c r="N333" s="249" t="s">
        <v>7253</v>
      </c>
      <c r="O333" s="387"/>
      <c r="P333" s="387"/>
      <c r="Q333" s="390">
        <v>0.5</v>
      </c>
      <c r="R333" s="390"/>
    </row>
    <row r="334" ht="12.75" customHeight="1" spans="1:18">
      <c r="A334" s="249">
        <f t="shared" si="6"/>
        <v>17</v>
      </c>
      <c r="B334" s="387" t="s">
        <v>6982</v>
      </c>
      <c r="C334" s="388"/>
      <c r="D334" s="388"/>
      <c r="E334" s="388" t="s">
        <v>294</v>
      </c>
      <c r="F334" s="249" t="s">
        <v>1121</v>
      </c>
      <c r="G334" s="249" t="s">
        <v>7269</v>
      </c>
      <c r="H334" s="249" t="s">
        <v>7197</v>
      </c>
      <c r="I334" s="387"/>
      <c r="J334" s="249" t="s">
        <v>1323</v>
      </c>
      <c r="K334" s="249" t="s">
        <v>1016</v>
      </c>
      <c r="L334" s="387"/>
      <c r="M334" s="249" t="s">
        <v>7252</v>
      </c>
      <c r="N334" s="249" t="s">
        <v>7253</v>
      </c>
      <c r="O334" s="387"/>
      <c r="P334" s="387"/>
      <c r="Q334" s="390">
        <v>0.5</v>
      </c>
      <c r="R334" s="390"/>
    </row>
    <row r="335" ht="12.75" customHeight="1" spans="1:18">
      <c r="A335" s="249">
        <f t="shared" si="6"/>
        <v>18</v>
      </c>
      <c r="B335" s="387" t="s">
        <v>6983</v>
      </c>
      <c r="C335" s="388"/>
      <c r="D335" s="388"/>
      <c r="E335" s="388" t="s">
        <v>294</v>
      </c>
      <c r="F335" s="249" t="s">
        <v>1121</v>
      </c>
      <c r="G335" s="249" t="s">
        <v>7269</v>
      </c>
      <c r="H335" s="249" t="s">
        <v>7197</v>
      </c>
      <c r="I335" s="387"/>
      <c r="J335" s="249" t="s">
        <v>1323</v>
      </c>
      <c r="K335" s="249" t="s">
        <v>1016</v>
      </c>
      <c r="L335" s="387"/>
      <c r="M335" s="249" t="s">
        <v>7252</v>
      </c>
      <c r="N335" s="249" t="s">
        <v>7253</v>
      </c>
      <c r="O335" s="387"/>
      <c r="P335" s="387"/>
      <c r="Q335" s="390">
        <v>0.5</v>
      </c>
      <c r="R335" s="390"/>
    </row>
    <row r="336" ht="12.75" customHeight="1" spans="1:18">
      <c r="A336" s="249">
        <f t="shared" si="6"/>
        <v>19</v>
      </c>
      <c r="B336" s="387" t="s">
        <v>6984</v>
      </c>
      <c r="C336" s="388"/>
      <c r="D336" s="388"/>
      <c r="E336" s="388" t="s">
        <v>293</v>
      </c>
      <c r="F336" s="249" t="s">
        <v>1121</v>
      </c>
      <c r="G336" s="391">
        <v>45906</v>
      </c>
      <c r="H336" s="249" t="s">
        <v>7197</v>
      </c>
      <c r="I336" s="387"/>
      <c r="J336" s="249" t="s">
        <v>7271</v>
      </c>
      <c r="K336" s="249"/>
      <c r="L336" s="387"/>
      <c r="M336" s="249" t="s">
        <v>7200</v>
      </c>
      <c r="N336" s="249" t="s">
        <v>7201</v>
      </c>
      <c r="O336" s="387"/>
      <c r="P336" s="387"/>
      <c r="Q336" s="390">
        <v>1</v>
      </c>
      <c r="R336" s="390"/>
    </row>
    <row r="337" ht="12.75" customHeight="1" spans="1:18">
      <c r="A337" s="249">
        <f t="shared" si="6"/>
        <v>20</v>
      </c>
      <c r="B337" s="387" t="s">
        <v>6985</v>
      </c>
      <c r="C337" s="388"/>
      <c r="D337" s="388"/>
      <c r="E337" s="388" t="s">
        <v>293</v>
      </c>
      <c r="F337" s="249" t="s">
        <v>1121</v>
      </c>
      <c r="G337" s="391">
        <v>45906</v>
      </c>
      <c r="H337" s="249" t="s">
        <v>7197</v>
      </c>
      <c r="I337" s="387"/>
      <c r="J337" s="249" t="s">
        <v>7271</v>
      </c>
      <c r="K337" s="249"/>
      <c r="L337" s="387"/>
      <c r="M337" s="249" t="s">
        <v>7200</v>
      </c>
      <c r="N337" s="249" t="s">
        <v>7201</v>
      </c>
      <c r="O337" s="387"/>
      <c r="P337" s="387"/>
      <c r="Q337" s="390">
        <v>1</v>
      </c>
      <c r="R337" s="390"/>
    </row>
    <row r="338" ht="12.75" customHeight="1" spans="1:18">
      <c r="A338" s="249">
        <f t="shared" si="6"/>
        <v>21</v>
      </c>
      <c r="B338" s="387" t="s">
        <v>6986</v>
      </c>
      <c r="C338" s="388"/>
      <c r="D338" s="388"/>
      <c r="E338" s="388" t="s">
        <v>293</v>
      </c>
      <c r="F338" s="249" t="s">
        <v>1121</v>
      </c>
      <c r="G338" s="391">
        <v>45906</v>
      </c>
      <c r="H338" s="249" t="s">
        <v>7197</v>
      </c>
      <c r="I338" s="387"/>
      <c r="J338" s="249" t="s">
        <v>7271</v>
      </c>
      <c r="K338" s="249"/>
      <c r="L338" s="387"/>
      <c r="M338" s="249" t="s">
        <v>7200</v>
      </c>
      <c r="N338" s="249" t="s">
        <v>7201</v>
      </c>
      <c r="O338" s="387"/>
      <c r="P338" s="387"/>
      <c r="Q338" s="390">
        <v>1</v>
      </c>
      <c r="R338" s="390"/>
    </row>
    <row r="339" ht="12.75" customHeight="1" spans="1:18">
      <c r="A339" s="249">
        <f t="shared" si="6"/>
        <v>22</v>
      </c>
      <c r="B339" s="387" t="s">
        <v>6987</v>
      </c>
      <c r="C339" s="388"/>
      <c r="D339" s="388"/>
      <c r="E339" s="388" t="s">
        <v>293</v>
      </c>
      <c r="F339" s="249" t="s">
        <v>1121</v>
      </c>
      <c r="G339" s="391">
        <v>45906</v>
      </c>
      <c r="H339" s="249" t="s">
        <v>7197</v>
      </c>
      <c r="I339" s="387"/>
      <c r="J339" s="249" t="s">
        <v>7271</v>
      </c>
      <c r="K339" s="249"/>
      <c r="L339" s="387"/>
      <c r="M339" s="249" t="s">
        <v>7200</v>
      </c>
      <c r="N339" s="249" t="s">
        <v>7201</v>
      </c>
      <c r="O339" s="387"/>
      <c r="P339" s="387"/>
      <c r="Q339" s="390">
        <v>1</v>
      </c>
      <c r="R339" s="390"/>
    </row>
    <row r="340" ht="12.75" customHeight="1" spans="1:18">
      <c r="A340" s="249">
        <f t="shared" si="6"/>
        <v>23</v>
      </c>
      <c r="B340" s="387" t="s">
        <v>6988</v>
      </c>
      <c r="C340" s="388"/>
      <c r="D340" s="388"/>
      <c r="E340" s="388" t="s">
        <v>293</v>
      </c>
      <c r="F340" s="249" t="s">
        <v>1121</v>
      </c>
      <c r="G340" s="391">
        <v>45906</v>
      </c>
      <c r="H340" s="249" t="s">
        <v>7197</v>
      </c>
      <c r="I340" s="387"/>
      <c r="J340" s="249" t="s">
        <v>7271</v>
      </c>
      <c r="K340" s="249"/>
      <c r="L340" s="387"/>
      <c r="M340" s="249" t="s">
        <v>7200</v>
      </c>
      <c r="N340" s="249" t="s">
        <v>7201</v>
      </c>
      <c r="O340" s="387"/>
      <c r="P340" s="387"/>
      <c r="Q340" s="390">
        <v>1</v>
      </c>
      <c r="R340" s="390"/>
    </row>
    <row r="341" ht="12.75" customHeight="1" spans="1:18">
      <c r="A341" s="249">
        <f t="shared" si="6"/>
        <v>24</v>
      </c>
      <c r="B341" s="387" t="s">
        <v>6989</v>
      </c>
      <c r="C341" s="388"/>
      <c r="D341" s="388"/>
      <c r="E341" s="388" t="s">
        <v>293</v>
      </c>
      <c r="F341" s="249" t="s">
        <v>1121</v>
      </c>
      <c r="G341" s="391">
        <v>45906</v>
      </c>
      <c r="H341" s="249" t="s">
        <v>7197</v>
      </c>
      <c r="I341" s="387"/>
      <c r="J341" s="249" t="s">
        <v>7271</v>
      </c>
      <c r="K341" s="249"/>
      <c r="L341" s="387"/>
      <c r="M341" s="249" t="s">
        <v>7200</v>
      </c>
      <c r="N341" s="249" t="s">
        <v>7201</v>
      </c>
      <c r="O341" s="387"/>
      <c r="P341" s="387"/>
      <c r="Q341" s="390">
        <v>1</v>
      </c>
      <c r="R341" s="390"/>
    </row>
    <row r="342" ht="12.75" customHeight="1" spans="1:18">
      <c r="A342" s="249">
        <f t="shared" si="6"/>
        <v>25</v>
      </c>
      <c r="B342" s="387" t="s">
        <v>6990</v>
      </c>
      <c r="C342" s="388"/>
      <c r="D342" s="388"/>
      <c r="E342" s="388" t="s">
        <v>293</v>
      </c>
      <c r="F342" s="249" t="s">
        <v>1121</v>
      </c>
      <c r="G342" s="391">
        <v>45906</v>
      </c>
      <c r="H342" s="249" t="s">
        <v>7197</v>
      </c>
      <c r="I342" s="387"/>
      <c r="J342" s="249" t="s">
        <v>7271</v>
      </c>
      <c r="K342" s="249"/>
      <c r="L342" s="387"/>
      <c r="M342" s="249" t="s">
        <v>7200</v>
      </c>
      <c r="N342" s="249" t="s">
        <v>7201</v>
      </c>
      <c r="O342" s="387"/>
      <c r="P342" s="387"/>
      <c r="Q342" s="390">
        <v>1</v>
      </c>
      <c r="R342" s="390"/>
    </row>
    <row r="343" ht="12.75" customHeight="1" spans="1:18">
      <c r="A343" s="249">
        <f t="shared" si="6"/>
        <v>26</v>
      </c>
      <c r="B343" s="387" t="s">
        <v>6991</v>
      </c>
      <c r="C343" s="388"/>
      <c r="D343" s="388"/>
      <c r="E343" s="388" t="s">
        <v>293</v>
      </c>
      <c r="F343" s="249" t="s">
        <v>1121</v>
      </c>
      <c r="G343" s="391">
        <v>45906</v>
      </c>
      <c r="H343" s="249" t="s">
        <v>7197</v>
      </c>
      <c r="I343" s="387"/>
      <c r="J343" s="249" t="s">
        <v>7271</v>
      </c>
      <c r="K343" s="249"/>
      <c r="L343" s="387"/>
      <c r="M343" s="249" t="s">
        <v>7200</v>
      </c>
      <c r="N343" s="249" t="s">
        <v>7201</v>
      </c>
      <c r="O343" s="387"/>
      <c r="P343" s="387"/>
      <c r="Q343" s="390">
        <v>1</v>
      </c>
      <c r="R343" s="390"/>
    </row>
    <row r="344" ht="12.75" customHeight="1" spans="1:18">
      <c r="A344" s="249">
        <f t="shared" si="6"/>
        <v>27</v>
      </c>
      <c r="B344" s="387" t="s">
        <v>6992</v>
      </c>
      <c r="C344" s="388"/>
      <c r="D344" s="388"/>
      <c r="E344" s="388" t="s">
        <v>293</v>
      </c>
      <c r="F344" s="249" t="s">
        <v>1121</v>
      </c>
      <c r="G344" s="391">
        <v>45906</v>
      </c>
      <c r="H344" s="249" t="s">
        <v>7197</v>
      </c>
      <c r="I344" s="387"/>
      <c r="J344" s="249" t="s">
        <v>7271</v>
      </c>
      <c r="K344" s="249"/>
      <c r="L344" s="387"/>
      <c r="M344" s="249" t="s">
        <v>7200</v>
      </c>
      <c r="N344" s="249" t="s">
        <v>7201</v>
      </c>
      <c r="O344" s="387"/>
      <c r="P344" s="387"/>
      <c r="Q344" s="390">
        <v>1</v>
      </c>
      <c r="R344" s="390"/>
    </row>
    <row r="345" ht="12.75" customHeight="1" spans="1:18">
      <c r="A345" s="249">
        <f t="shared" si="6"/>
        <v>28</v>
      </c>
      <c r="B345" s="387" t="s">
        <v>6993</v>
      </c>
      <c r="C345" s="388"/>
      <c r="D345" s="388"/>
      <c r="E345" s="388" t="s">
        <v>293</v>
      </c>
      <c r="F345" s="249" t="s">
        <v>1121</v>
      </c>
      <c r="G345" s="391">
        <v>45906</v>
      </c>
      <c r="H345" s="249" t="s">
        <v>7197</v>
      </c>
      <c r="I345" s="387"/>
      <c r="J345" s="249" t="s">
        <v>7271</v>
      </c>
      <c r="K345" s="249"/>
      <c r="L345" s="387"/>
      <c r="M345" s="249" t="s">
        <v>7200</v>
      </c>
      <c r="N345" s="249" t="s">
        <v>7201</v>
      </c>
      <c r="O345" s="387"/>
      <c r="P345" s="387"/>
      <c r="Q345" s="390">
        <v>1</v>
      </c>
      <c r="R345" s="390"/>
    </row>
    <row r="346" ht="12.75" customHeight="1" spans="1:18">
      <c r="A346" s="249">
        <f t="shared" si="6"/>
        <v>29</v>
      </c>
      <c r="B346" s="387" t="s">
        <v>6994</v>
      </c>
      <c r="C346" s="388"/>
      <c r="D346" s="388"/>
      <c r="E346" s="388" t="s">
        <v>293</v>
      </c>
      <c r="F346" s="249" t="s">
        <v>1121</v>
      </c>
      <c r="G346" s="391">
        <v>45906</v>
      </c>
      <c r="H346" s="249" t="s">
        <v>7197</v>
      </c>
      <c r="I346" s="387"/>
      <c r="J346" s="249" t="s">
        <v>7271</v>
      </c>
      <c r="K346" s="249"/>
      <c r="L346" s="387"/>
      <c r="M346" s="249" t="s">
        <v>7200</v>
      </c>
      <c r="N346" s="249" t="s">
        <v>7201</v>
      </c>
      <c r="O346" s="387"/>
      <c r="P346" s="387"/>
      <c r="Q346" s="390">
        <v>1</v>
      </c>
      <c r="R346" s="390"/>
    </row>
    <row r="347" ht="12.75" customHeight="1" spans="1:18">
      <c r="A347" s="249">
        <f t="shared" si="6"/>
        <v>30</v>
      </c>
      <c r="B347" s="387" t="s">
        <v>6995</v>
      </c>
      <c r="C347" s="388"/>
      <c r="D347" s="388"/>
      <c r="E347" s="388" t="s">
        <v>293</v>
      </c>
      <c r="F347" s="249" t="s">
        <v>1121</v>
      </c>
      <c r="G347" s="391">
        <v>45906</v>
      </c>
      <c r="H347" s="249" t="s">
        <v>7197</v>
      </c>
      <c r="I347" s="387"/>
      <c r="J347" s="249" t="s">
        <v>7271</v>
      </c>
      <c r="K347" s="249"/>
      <c r="L347" s="387"/>
      <c r="M347" s="249" t="s">
        <v>7200</v>
      </c>
      <c r="N347" s="249" t="s">
        <v>7201</v>
      </c>
      <c r="O347" s="387"/>
      <c r="P347" s="387"/>
      <c r="Q347" s="390">
        <v>1</v>
      </c>
      <c r="R347" s="390"/>
    </row>
    <row r="348" ht="12.75" customHeight="1" spans="1:18">
      <c r="A348" s="249">
        <f t="shared" si="6"/>
        <v>31</v>
      </c>
      <c r="B348" s="387" t="s">
        <v>6996</v>
      </c>
      <c r="C348" s="388"/>
      <c r="D348" s="388"/>
      <c r="E348" s="388" t="s">
        <v>293</v>
      </c>
      <c r="F348" s="249" t="s">
        <v>1121</v>
      </c>
      <c r="G348" s="391">
        <v>45906</v>
      </c>
      <c r="H348" s="249" t="s">
        <v>7197</v>
      </c>
      <c r="I348" s="387"/>
      <c r="J348" s="249" t="s">
        <v>7271</v>
      </c>
      <c r="K348" s="249"/>
      <c r="L348" s="387"/>
      <c r="M348" s="249" t="s">
        <v>7200</v>
      </c>
      <c r="N348" s="249" t="s">
        <v>7201</v>
      </c>
      <c r="O348" s="387"/>
      <c r="P348" s="387"/>
      <c r="Q348" s="390">
        <v>1</v>
      </c>
      <c r="R348" s="390"/>
    </row>
    <row r="349" ht="12.75" customHeight="1" spans="1:18">
      <c r="A349" s="249">
        <f t="shared" si="6"/>
        <v>32</v>
      </c>
      <c r="B349" s="387" t="s">
        <v>6997</v>
      </c>
      <c r="C349" s="388"/>
      <c r="D349" s="388"/>
      <c r="E349" s="388" t="s">
        <v>293</v>
      </c>
      <c r="F349" s="249" t="s">
        <v>1121</v>
      </c>
      <c r="G349" s="391">
        <v>45906</v>
      </c>
      <c r="H349" s="249" t="s">
        <v>7197</v>
      </c>
      <c r="I349" s="387"/>
      <c r="J349" s="249" t="s">
        <v>7271</v>
      </c>
      <c r="K349" s="249"/>
      <c r="L349" s="387"/>
      <c r="M349" s="249" t="s">
        <v>7200</v>
      </c>
      <c r="N349" s="249" t="s">
        <v>7201</v>
      </c>
      <c r="O349" s="387"/>
      <c r="P349" s="387"/>
      <c r="Q349" s="390">
        <v>1</v>
      </c>
      <c r="R349" s="390"/>
    </row>
    <row r="350" ht="12.75" customHeight="1" spans="1:18">
      <c r="A350" s="249">
        <f t="shared" si="6"/>
        <v>33</v>
      </c>
      <c r="B350" s="387" t="s">
        <v>6998</v>
      </c>
      <c r="C350" s="388"/>
      <c r="D350" s="388"/>
      <c r="E350" s="388" t="s">
        <v>293</v>
      </c>
      <c r="F350" s="249" t="s">
        <v>1121</v>
      </c>
      <c r="G350" s="391">
        <v>45906</v>
      </c>
      <c r="H350" s="249" t="s">
        <v>7197</v>
      </c>
      <c r="I350" s="387"/>
      <c r="J350" s="249" t="s">
        <v>7271</v>
      </c>
      <c r="K350" s="249"/>
      <c r="L350" s="387"/>
      <c r="M350" s="249" t="s">
        <v>7200</v>
      </c>
      <c r="N350" s="249" t="s">
        <v>7201</v>
      </c>
      <c r="O350" s="387"/>
      <c r="P350" s="387"/>
      <c r="Q350" s="390">
        <v>1</v>
      </c>
      <c r="R350" s="390"/>
    </row>
    <row r="351" ht="12.75" customHeight="1" spans="1:18">
      <c r="A351" s="249">
        <f t="shared" si="6"/>
        <v>34</v>
      </c>
      <c r="B351" s="387" t="s">
        <v>6999</v>
      </c>
      <c r="C351" s="388"/>
      <c r="D351" s="388"/>
      <c r="E351" s="388" t="s">
        <v>293</v>
      </c>
      <c r="F351" s="249" t="s">
        <v>1121</v>
      </c>
      <c r="G351" s="391">
        <v>45906</v>
      </c>
      <c r="H351" s="249" t="s">
        <v>7197</v>
      </c>
      <c r="I351" s="387"/>
      <c r="J351" s="249" t="s">
        <v>7271</v>
      </c>
      <c r="K351" s="249"/>
      <c r="L351" s="387"/>
      <c r="M351" s="249" t="s">
        <v>7200</v>
      </c>
      <c r="N351" s="249" t="s">
        <v>7201</v>
      </c>
      <c r="O351" s="387"/>
      <c r="P351" s="387"/>
      <c r="Q351" s="390">
        <v>1</v>
      </c>
      <c r="R351" s="390"/>
    </row>
    <row r="352" ht="12.75" customHeight="1" spans="1:18">
      <c r="A352" s="249">
        <f t="shared" si="6"/>
        <v>35</v>
      </c>
      <c r="B352" s="387" t="s">
        <v>7000</v>
      </c>
      <c r="C352" s="388"/>
      <c r="D352" s="388"/>
      <c r="E352" s="388" t="s">
        <v>293</v>
      </c>
      <c r="F352" s="249" t="s">
        <v>1121</v>
      </c>
      <c r="G352" s="391">
        <v>45906</v>
      </c>
      <c r="H352" s="249" t="s">
        <v>7197</v>
      </c>
      <c r="I352" s="387"/>
      <c r="J352" s="249" t="s">
        <v>7271</v>
      </c>
      <c r="K352" s="249"/>
      <c r="L352" s="387"/>
      <c r="M352" s="249" t="s">
        <v>7200</v>
      </c>
      <c r="N352" s="249" t="s">
        <v>7201</v>
      </c>
      <c r="O352" s="387"/>
      <c r="P352" s="387"/>
      <c r="Q352" s="390">
        <v>1</v>
      </c>
      <c r="R352" s="390"/>
    </row>
    <row r="353" ht="12.75" customHeight="1" spans="1:18">
      <c r="A353" s="249">
        <v>1</v>
      </c>
      <c r="B353" s="387" t="s">
        <v>7312</v>
      </c>
      <c r="C353" s="388"/>
      <c r="D353" s="388"/>
      <c r="E353" s="388" t="s">
        <v>293</v>
      </c>
      <c r="F353" s="249" t="s">
        <v>1121</v>
      </c>
      <c r="G353" s="249" t="s">
        <v>7313</v>
      </c>
      <c r="H353" s="249" t="s">
        <v>7197</v>
      </c>
      <c r="I353" s="387"/>
      <c r="J353" s="249" t="s">
        <v>7271</v>
      </c>
      <c r="K353" s="249"/>
      <c r="L353" s="387"/>
      <c r="M353" s="249" t="s">
        <v>7200</v>
      </c>
      <c r="N353" s="249" t="s">
        <v>7201</v>
      </c>
      <c r="O353" s="387"/>
      <c r="P353" s="387"/>
      <c r="Q353" s="390"/>
      <c r="R353" s="390"/>
    </row>
    <row r="354" ht="12.75" customHeight="1" spans="1:18">
      <c r="A354" s="249">
        <v>2</v>
      </c>
      <c r="B354" s="387" t="s">
        <v>7314</v>
      </c>
      <c r="C354" s="388"/>
      <c r="D354" s="388"/>
      <c r="E354" s="388" t="s">
        <v>293</v>
      </c>
      <c r="F354" s="249" t="s">
        <v>1121</v>
      </c>
      <c r="G354" s="249" t="s">
        <v>7313</v>
      </c>
      <c r="H354" s="249" t="s">
        <v>7197</v>
      </c>
      <c r="I354" s="387"/>
      <c r="J354" s="249" t="s">
        <v>7271</v>
      </c>
      <c r="K354" s="249"/>
      <c r="L354" s="387"/>
      <c r="M354" s="249" t="s">
        <v>7200</v>
      </c>
      <c r="N354" s="249" t="s">
        <v>7201</v>
      </c>
      <c r="O354" s="387"/>
      <c r="P354" s="387"/>
      <c r="Q354" s="390"/>
      <c r="R354" s="390"/>
    </row>
    <row r="355" ht="12.75" customHeight="1" spans="1:18">
      <c r="A355" s="249">
        <v>3</v>
      </c>
      <c r="B355" s="387" t="s">
        <v>7315</v>
      </c>
      <c r="C355" s="388"/>
      <c r="D355" s="388"/>
      <c r="E355" s="388" t="s">
        <v>293</v>
      </c>
      <c r="F355" s="249" t="s">
        <v>1121</v>
      </c>
      <c r="G355" s="249" t="s">
        <v>7313</v>
      </c>
      <c r="H355" s="249" t="s">
        <v>7197</v>
      </c>
      <c r="I355" s="387"/>
      <c r="J355" s="249" t="s">
        <v>7271</v>
      </c>
      <c r="K355" s="249"/>
      <c r="L355" s="387"/>
      <c r="M355" s="249" t="s">
        <v>7200</v>
      </c>
      <c r="N355" s="249" t="s">
        <v>7201</v>
      </c>
      <c r="O355" s="387"/>
      <c r="P355" s="387"/>
      <c r="Q355" s="390"/>
      <c r="R355" s="390"/>
    </row>
    <row r="356" ht="12.75" customHeight="1" spans="1:18">
      <c r="A356" s="249">
        <v>4</v>
      </c>
      <c r="B356" s="387" t="s">
        <v>7316</v>
      </c>
      <c r="C356" s="388"/>
      <c r="D356" s="388"/>
      <c r="E356" s="388" t="s">
        <v>293</v>
      </c>
      <c r="F356" s="249" t="s">
        <v>1121</v>
      </c>
      <c r="G356" s="249" t="s">
        <v>7313</v>
      </c>
      <c r="H356" s="249" t="s">
        <v>7197</v>
      </c>
      <c r="I356" s="387"/>
      <c r="J356" s="249" t="s">
        <v>7271</v>
      </c>
      <c r="K356" s="249"/>
      <c r="L356" s="387"/>
      <c r="M356" s="249" t="s">
        <v>7200</v>
      </c>
      <c r="N356" s="249" t="s">
        <v>7201</v>
      </c>
      <c r="O356" s="387"/>
      <c r="P356" s="387"/>
      <c r="Q356" s="390"/>
      <c r="R356" s="390"/>
    </row>
    <row r="357" ht="12.75" customHeight="1" spans="1:18">
      <c r="A357" s="249">
        <v>5</v>
      </c>
      <c r="B357" s="387" t="s">
        <v>7317</v>
      </c>
      <c r="C357" s="388"/>
      <c r="D357" s="388"/>
      <c r="E357" s="388" t="s">
        <v>293</v>
      </c>
      <c r="F357" s="249" t="s">
        <v>1121</v>
      </c>
      <c r="G357" s="249" t="s">
        <v>7313</v>
      </c>
      <c r="H357" s="249" t="s">
        <v>7197</v>
      </c>
      <c r="I357" s="387"/>
      <c r="J357" s="249" t="s">
        <v>7271</v>
      </c>
      <c r="K357" s="249"/>
      <c r="L357" s="387"/>
      <c r="M357" s="249" t="s">
        <v>7200</v>
      </c>
      <c r="N357" s="249" t="s">
        <v>7201</v>
      </c>
      <c r="O357" s="387"/>
      <c r="P357" s="387"/>
      <c r="Q357" s="390"/>
      <c r="R357" s="390"/>
    </row>
    <row r="358" ht="12.75" customHeight="1" spans="1:18">
      <c r="A358" s="249">
        <v>6</v>
      </c>
      <c r="B358" s="387" t="s">
        <v>7318</v>
      </c>
      <c r="C358" s="388"/>
      <c r="D358" s="388"/>
      <c r="E358" s="388" t="s">
        <v>293</v>
      </c>
      <c r="F358" s="249" t="s">
        <v>1121</v>
      </c>
      <c r="G358" s="249" t="s">
        <v>7313</v>
      </c>
      <c r="H358" s="249" t="s">
        <v>7197</v>
      </c>
      <c r="I358" s="387"/>
      <c r="J358" s="249" t="s">
        <v>7271</v>
      </c>
      <c r="K358" s="249"/>
      <c r="L358" s="387"/>
      <c r="M358" s="249" t="s">
        <v>7200</v>
      </c>
      <c r="N358" s="249" t="s">
        <v>7201</v>
      </c>
      <c r="O358" s="387"/>
      <c r="P358" s="387"/>
      <c r="Q358" s="390"/>
      <c r="R358" s="390"/>
    </row>
    <row r="359" ht="12.75" customHeight="1" spans="1:18">
      <c r="A359" s="249">
        <v>7</v>
      </c>
      <c r="B359" s="387" t="s">
        <v>7319</v>
      </c>
      <c r="C359" s="388"/>
      <c r="D359" s="388"/>
      <c r="E359" s="388" t="s">
        <v>293</v>
      </c>
      <c r="F359" s="249" t="s">
        <v>1121</v>
      </c>
      <c r="G359" s="249" t="s">
        <v>7313</v>
      </c>
      <c r="H359" s="249" t="s">
        <v>7197</v>
      </c>
      <c r="I359" s="387"/>
      <c r="J359" s="249" t="s">
        <v>7271</v>
      </c>
      <c r="K359" s="249"/>
      <c r="L359" s="387"/>
      <c r="M359" s="249" t="s">
        <v>7200</v>
      </c>
      <c r="N359" s="249" t="s">
        <v>7201</v>
      </c>
      <c r="O359" s="387"/>
      <c r="P359" s="387"/>
      <c r="Q359" s="390"/>
      <c r="R359" s="390"/>
    </row>
    <row r="360" ht="12.75" customHeight="1" spans="1:18">
      <c r="A360" s="249">
        <v>8</v>
      </c>
      <c r="B360" s="387" t="s">
        <v>7320</v>
      </c>
      <c r="C360" s="388"/>
      <c r="D360" s="388"/>
      <c r="E360" s="388" t="s">
        <v>293</v>
      </c>
      <c r="F360" s="249" t="s">
        <v>1121</v>
      </c>
      <c r="G360" s="249" t="s">
        <v>7313</v>
      </c>
      <c r="H360" s="249" t="s">
        <v>7197</v>
      </c>
      <c r="I360" s="387"/>
      <c r="J360" s="249" t="s">
        <v>7271</v>
      </c>
      <c r="K360" s="249"/>
      <c r="L360" s="387"/>
      <c r="M360" s="249" t="s">
        <v>7200</v>
      </c>
      <c r="N360" s="249" t="s">
        <v>7201</v>
      </c>
      <c r="O360" s="387"/>
      <c r="P360" s="387"/>
      <c r="Q360" s="390"/>
      <c r="R360" s="390"/>
    </row>
    <row r="361" ht="12.75" customHeight="1" spans="1:18">
      <c r="A361" s="249">
        <v>9</v>
      </c>
      <c r="B361" s="387" t="s">
        <v>7321</v>
      </c>
      <c r="C361" s="388"/>
      <c r="D361" s="388"/>
      <c r="E361" s="388" t="s">
        <v>293</v>
      </c>
      <c r="F361" s="249" t="s">
        <v>1121</v>
      </c>
      <c r="G361" s="249" t="s">
        <v>7313</v>
      </c>
      <c r="H361" s="249" t="s">
        <v>7197</v>
      </c>
      <c r="I361" s="387"/>
      <c r="J361" s="249" t="s">
        <v>7271</v>
      </c>
      <c r="K361" s="249"/>
      <c r="L361" s="387"/>
      <c r="M361" s="249" t="s">
        <v>7200</v>
      </c>
      <c r="N361" s="249" t="s">
        <v>7201</v>
      </c>
      <c r="O361" s="387"/>
      <c r="P361" s="387"/>
      <c r="Q361" s="390"/>
      <c r="R361" s="390"/>
    </row>
    <row r="362" ht="12.75" customHeight="1" spans="1:18">
      <c r="A362" s="249">
        <v>10</v>
      </c>
      <c r="B362" s="387" t="s">
        <v>7322</v>
      </c>
      <c r="C362" s="388"/>
      <c r="D362" s="388"/>
      <c r="E362" s="388" t="s">
        <v>293</v>
      </c>
      <c r="F362" s="249" t="s">
        <v>1121</v>
      </c>
      <c r="G362" s="249" t="s">
        <v>7313</v>
      </c>
      <c r="H362" s="249" t="s">
        <v>7197</v>
      </c>
      <c r="I362" s="387"/>
      <c r="J362" s="249" t="s">
        <v>7271</v>
      </c>
      <c r="K362" s="249"/>
      <c r="L362" s="387"/>
      <c r="M362" s="249" t="s">
        <v>7200</v>
      </c>
      <c r="N362" s="249" t="s">
        <v>7201</v>
      </c>
      <c r="O362" s="387"/>
      <c r="P362" s="387"/>
      <c r="Q362" s="390"/>
      <c r="R362" s="390"/>
    </row>
    <row r="363" ht="12.75" customHeight="1" spans="1:18">
      <c r="A363" s="249">
        <v>11</v>
      </c>
      <c r="B363" s="387" t="s">
        <v>7323</v>
      </c>
      <c r="C363" s="388"/>
      <c r="D363" s="388"/>
      <c r="E363" s="388" t="s">
        <v>293</v>
      </c>
      <c r="F363" s="249" t="s">
        <v>1121</v>
      </c>
      <c r="G363" s="249" t="s">
        <v>7313</v>
      </c>
      <c r="H363" s="249" t="s">
        <v>7197</v>
      </c>
      <c r="I363" s="387"/>
      <c r="J363" s="249" t="s">
        <v>7271</v>
      </c>
      <c r="K363" s="249"/>
      <c r="L363" s="387"/>
      <c r="M363" s="249" t="s">
        <v>7200</v>
      </c>
      <c r="N363" s="249" t="s">
        <v>7201</v>
      </c>
      <c r="O363" s="387"/>
      <c r="P363" s="387"/>
      <c r="Q363" s="390"/>
      <c r="R363" s="390"/>
    </row>
    <row r="364" ht="12.75" customHeight="1" spans="1:18">
      <c r="A364" s="249">
        <v>12</v>
      </c>
      <c r="B364" s="387" t="s">
        <v>7324</v>
      </c>
      <c r="C364" s="388"/>
      <c r="D364" s="388"/>
      <c r="E364" s="388" t="s">
        <v>293</v>
      </c>
      <c r="F364" s="249" t="s">
        <v>1121</v>
      </c>
      <c r="G364" s="249" t="s">
        <v>7313</v>
      </c>
      <c r="H364" s="249" t="s">
        <v>7197</v>
      </c>
      <c r="I364" s="387"/>
      <c r="J364" s="249" t="s">
        <v>7271</v>
      </c>
      <c r="K364" s="249"/>
      <c r="L364" s="387"/>
      <c r="M364" s="249" t="s">
        <v>7200</v>
      </c>
      <c r="N364" s="249" t="s">
        <v>7201</v>
      </c>
      <c r="O364" s="387"/>
      <c r="P364" s="387"/>
      <c r="Q364" s="390"/>
      <c r="R364" s="390"/>
    </row>
    <row r="365" ht="12.75" customHeight="1" spans="1:18">
      <c r="A365" s="249">
        <v>13</v>
      </c>
      <c r="B365" s="387" t="s">
        <v>7325</v>
      </c>
      <c r="C365" s="388"/>
      <c r="D365" s="388"/>
      <c r="E365" s="388" t="s">
        <v>293</v>
      </c>
      <c r="F365" s="249" t="s">
        <v>1121</v>
      </c>
      <c r="G365" s="249" t="s">
        <v>7313</v>
      </c>
      <c r="H365" s="249" t="s">
        <v>7197</v>
      </c>
      <c r="I365" s="387"/>
      <c r="J365" s="249" t="s">
        <v>7271</v>
      </c>
      <c r="K365" s="249"/>
      <c r="L365" s="387"/>
      <c r="M365" s="249" t="s">
        <v>7200</v>
      </c>
      <c r="N365" s="249" t="s">
        <v>7201</v>
      </c>
      <c r="O365" s="387"/>
      <c r="P365" s="387"/>
      <c r="Q365" s="390"/>
      <c r="R365" s="390"/>
    </row>
    <row r="366" ht="12.75" customHeight="1" spans="1:18">
      <c r="A366" s="249">
        <v>14</v>
      </c>
      <c r="B366" s="387" t="s">
        <v>7326</v>
      </c>
      <c r="C366" s="388"/>
      <c r="D366" s="388"/>
      <c r="E366" s="388" t="s">
        <v>293</v>
      </c>
      <c r="F366" s="249" t="s">
        <v>1121</v>
      </c>
      <c r="G366" s="249" t="s">
        <v>7313</v>
      </c>
      <c r="H366" s="249" t="s">
        <v>7197</v>
      </c>
      <c r="I366" s="387"/>
      <c r="J366" s="249" t="s">
        <v>7271</v>
      </c>
      <c r="K366" s="249"/>
      <c r="L366" s="387"/>
      <c r="M366" s="249" t="s">
        <v>7200</v>
      </c>
      <c r="N366" s="249" t="s">
        <v>7201</v>
      </c>
      <c r="O366" s="387"/>
      <c r="P366" s="387"/>
      <c r="Q366" s="390"/>
      <c r="R366" s="390"/>
    </row>
    <row r="367" ht="12.75" customHeight="1" spans="1:18">
      <c r="A367" s="249">
        <v>15</v>
      </c>
      <c r="B367" s="387" t="s">
        <v>7327</v>
      </c>
      <c r="C367" s="388"/>
      <c r="D367" s="388"/>
      <c r="E367" s="388" t="s">
        <v>293</v>
      </c>
      <c r="F367" s="249" t="s">
        <v>1121</v>
      </c>
      <c r="G367" s="249" t="s">
        <v>7313</v>
      </c>
      <c r="H367" s="249" t="s">
        <v>7197</v>
      </c>
      <c r="I367" s="387"/>
      <c r="J367" s="249" t="s">
        <v>7271</v>
      </c>
      <c r="K367" s="249"/>
      <c r="L367" s="387"/>
      <c r="M367" s="249" t="s">
        <v>7200</v>
      </c>
      <c r="N367" s="249" t="s">
        <v>7201</v>
      </c>
      <c r="O367" s="387"/>
      <c r="P367" s="387"/>
      <c r="Q367" s="390"/>
      <c r="R367" s="390"/>
    </row>
    <row r="368" ht="12.75" customHeight="1" spans="1:18">
      <c r="A368" s="249">
        <v>16</v>
      </c>
      <c r="B368" s="387" t="s">
        <v>7328</v>
      </c>
      <c r="C368" s="388"/>
      <c r="D368" s="388"/>
      <c r="E368" s="388" t="s">
        <v>293</v>
      </c>
      <c r="F368" s="249" t="s">
        <v>1121</v>
      </c>
      <c r="G368" s="249" t="s">
        <v>7313</v>
      </c>
      <c r="H368" s="249" t="s">
        <v>7197</v>
      </c>
      <c r="I368" s="387"/>
      <c r="J368" s="249" t="s">
        <v>7271</v>
      </c>
      <c r="K368" s="249"/>
      <c r="L368" s="387"/>
      <c r="M368" s="249" t="s">
        <v>7200</v>
      </c>
      <c r="N368" s="249" t="s">
        <v>7201</v>
      </c>
      <c r="O368" s="387"/>
      <c r="P368" s="387"/>
      <c r="Q368" s="390"/>
      <c r="R368" s="390"/>
    </row>
    <row r="369" ht="12.75" customHeight="1" spans="1:18">
      <c r="A369" s="249">
        <v>17</v>
      </c>
      <c r="B369" s="387" t="s">
        <v>7329</v>
      </c>
      <c r="C369" s="388"/>
      <c r="D369" s="388"/>
      <c r="E369" s="388" t="s">
        <v>293</v>
      </c>
      <c r="F369" s="249" t="s">
        <v>1121</v>
      </c>
      <c r="G369" s="249" t="s">
        <v>7313</v>
      </c>
      <c r="H369" s="249" t="s">
        <v>7197</v>
      </c>
      <c r="I369" s="387"/>
      <c r="J369" s="249" t="s">
        <v>7271</v>
      </c>
      <c r="K369" s="249"/>
      <c r="L369" s="387"/>
      <c r="M369" s="249" t="s">
        <v>7200</v>
      </c>
      <c r="N369" s="249" t="s">
        <v>7201</v>
      </c>
      <c r="O369" s="387"/>
      <c r="P369" s="387"/>
      <c r="Q369" s="390"/>
      <c r="R369" s="390"/>
    </row>
    <row r="370" ht="12.75" customHeight="1" spans="1:18">
      <c r="A370" s="249">
        <v>18</v>
      </c>
      <c r="B370" s="387" t="s">
        <v>7330</v>
      </c>
      <c r="C370" s="388"/>
      <c r="D370" s="388"/>
      <c r="E370" s="388" t="s">
        <v>293</v>
      </c>
      <c r="F370" s="249" t="s">
        <v>1121</v>
      </c>
      <c r="G370" s="249" t="s">
        <v>7313</v>
      </c>
      <c r="H370" s="249" t="s">
        <v>7197</v>
      </c>
      <c r="I370" s="387"/>
      <c r="J370" s="249" t="s">
        <v>7271</v>
      </c>
      <c r="K370" s="249"/>
      <c r="L370" s="387"/>
      <c r="M370" s="249" t="s">
        <v>7200</v>
      </c>
      <c r="N370" s="249" t="s">
        <v>7201</v>
      </c>
      <c r="O370" s="387"/>
      <c r="P370" s="387"/>
      <c r="Q370" s="390"/>
      <c r="R370" s="390"/>
    </row>
    <row r="371" ht="12.75" customHeight="1" spans="1:18">
      <c r="A371" s="249">
        <v>19</v>
      </c>
      <c r="B371" s="387" t="s">
        <v>7331</v>
      </c>
      <c r="C371" s="388"/>
      <c r="D371" s="388"/>
      <c r="E371" s="388" t="s">
        <v>293</v>
      </c>
      <c r="F371" s="249" t="s">
        <v>1121</v>
      </c>
      <c r="G371" s="249" t="s">
        <v>7313</v>
      </c>
      <c r="H371" s="249" t="s">
        <v>7197</v>
      </c>
      <c r="I371" s="387"/>
      <c r="J371" s="249" t="s">
        <v>7271</v>
      </c>
      <c r="K371" s="249"/>
      <c r="L371" s="387"/>
      <c r="M371" s="249" t="s">
        <v>7200</v>
      </c>
      <c r="N371" s="249" t="s">
        <v>7201</v>
      </c>
      <c r="O371" s="387"/>
      <c r="P371" s="387"/>
      <c r="Q371" s="390"/>
      <c r="R371" s="390"/>
    </row>
    <row r="372" ht="12.75" customHeight="1" spans="1:18">
      <c r="A372" s="249">
        <v>20</v>
      </c>
      <c r="B372" s="387" t="s">
        <v>7332</v>
      </c>
      <c r="C372" s="388"/>
      <c r="D372" s="388"/>
      <c r="E372" s="388" t="s">
        <v>293</v>
      </c>
      <c r="F372" s="249" t="s">
        <v>1121</v>
      </c>
      <c r="G372" s="249" t="s">
        <v>7313</v>
      </c>
      <c r="H372" s="249" t="s">
        <v>7197</v>
      </c>
      <c r="I372" s="387"/>
      <c r="J372" s="249" t="s">
        <v>7271</v>
      </c>
      <c r="K372" s="249"/>
      <c r="L372" s="387"/>
      <c r="M372" s="249" t="s">
        <v>7200</v>
      </c>
      <c r="N372" s="249" t="s">
        <v>7201</v>
      </c>
      <c r="O372" s="387"/>
      <c r="P372" s="387"/>
      <c r="Q372" s="390"/>
      <c r="R372" s="390"/>
    </row>
    <row r="373" ht="12.75" customHeight="1" spans="1:18">
      <c r="A373" s="249"/>
      <c r="B373" s="387"/>
      <c r="C373" s="388"/>
      <c r="D373" s="388"/>
      <c r="E373" s="388"/>
      <c r="F373" s="249"/>
      <c r="G373" s="249"/>
      <c r="H373" s="249"/>
      <c r="I373" s="387"/>
      <c r="J373" s="249"/>
      <c r="K373" s="249"/>
      <c r="L373" s="387"/>
      <c r="M373" s="249"/>
      <c r="N373" s="249"/>
      <c r="O373" s="387"/>
      <c r="P373" s="387"/>
      <c r="Q373" s="390"/>
      <c r="R373" s="390"/>
    </row>
    <row r="374" ht="12.75" customHeight="1" spans="1:18">
      <c r="A374" s="249"/>
      <c r="B374" s="387"/>
      <c r="C374" s="388" t="s">
        <v>7247</v>
      </c>
      <c r="D374" s="388"/>
      <c r="E374" s="388"/>
      <c r="F374" s="249"/>
      <c r="G374" s="249"/>
      <c r="H374" s="249"/>
      <c r="I374" s="387"/>
      <c r="J374" s="249"/>
      <c r="K374" s="249"/>
      <c r="L374" s="387"/>
      <c r="M374" s="249"/>
      <c r="N374" s="249"/>
      <c r="O374" s="387"/>
      <c r="P374" s="387"/>
      <c r="Q374" s="390"/>
      <c r="R374" s="390"/>
    </row>
    <row r="375" ht="12.75" customHeight="1" spans="1:18">
      <c r="A375" s="381" t="s">
        <v>7333</v>
      </c>
      <c r="B375" s="382" t="s">
        <v>6176</v>
      </c>
      <c r="C375" s="383">
        <f>COUNTA($B$376:$B$416)</f>
        <v>38</v>
      </c>
      <c r="D375" s="384"/>
      <c r="E375" s="384"/>
      <c r="F375" s="385"/>
      <c r="G375" s="385"/>
      <c r="H375" s="385"/>
      <c r="I375" s="383"/>
      <c r="J375" s="385"/>
      <c r="K375" s="385"/>
      <c r="L375" s="383"/>
      <c r="M375" s="385"/>
      <c r="N375" s="385"/>
      <c r="O375" s="383"/>
      <c r="P375" s="383"/>
      <c r="Q375" s="386"/>
      <c r="R375" s="386"/>
    </row>
    <row r="376" ht="12.75" customHeight="1" spans="1:18">
      <c r="A376" s="249">
        <v>1</v>
      </c>
      <c r="B376" s="387" t="s">
        <v>7001</v>
      </c>
      <c r="C376" s="247" t="s">
        <v>7334</v>
      </c>
      <c r="D376" s="247"/>
      <c r="E376" s="388" t="s">
        <v>294</v>
      </c>
      <c r="F376" s="249" t="s">
        <v>1250</v>
      </c>
      <c r="G376" s="249"/>
      <c r="H376" s="249" t="s">
        <v>7197</v>
      </c>
      <c r="I376" s="387"/>
      <c r="J376" s="249" t="s">
        <v>7204</v>
      </c>
      <c r="K376" s="249" t="s">
        <v>1016</v>
      </c>
      <c r="L376" s="387"/>
      <c r="M376" s="249" t="s">
        <v>7205</v>
      </c>
      <c r="N376" s="249" t="s">
        <v>7206</v>
      </c>
      <c r="O376" s="387"/>
      <c r="P376" s="387"/>
      <c r="Q376" s="390">
        <v>0.5</v>
      </c>
      <c r="R376" s="390"/>
    </row>
    <row r="377" ht="12.75" customHeight="1" spans="1:18">
      <c r="A377" s="249">
        <f t="shared" ref="A377:A413" si="7">A376+1</f>
        <v>2</v>
      </c>
      <c r="B377" s="387" t="s">
        <v>7002</v>
      </c>
      <c r="C377" s="247" t="s">
        <v>7335</v>
      </c>
      <c r="D377" s="247"/>
      <c r="E377" s="388" t="s">
        <v>294</v>
      </c>
      <c r="F377" s="249" t="s">
        <v>1250</v>
      </c>
      <c r="G377" s="249"/>
      <c r="H377" s="249" t="s">
        <v>7197</v>
      </c>
      <c r="I377" s="387"/>
      <c r="J377" s="249" t="s">
        <v>7204</v>
      </c>
      <c r="K377" s="249" t="s">
        <v>1016</v>
      </c>
      <c r="L377" s="387"/>
      <c r="M377" s="249" t="s">
        <v>7205</v>
      </c>
      <c r="N377" s="249" t="s">
        <v>7206</v>
      </c>
      <c r="O377" s="387"/>
      <c r="P377" s="387"/>
      <c r="Q377" s="390">
        <v>0.5</v>
      </c>
      <c r="R377" s="390"/>
    </row>
    <row r="378" ht="12.75" customHeight="1" spans="1:18">
      <c r="A378" s="249">
        <f t="shared" si="7"/>
        <v>3</v>
      </c>
      <c r="B378" s="387" t="s">
        <v>7003</v>
      </c>
      <c r="C378" s="247" t="s">
        <v>7336</v>
      </c>
      <c r="D378" s="247"/>
      <c r="E378" s="388" t="s">
        <v>294</v>
      </c>
      <c r="F378" s="249" t="s">
        <v>1250</v>
      </c>
      <c r="G378" s="249"/>
      <c r="H378" s="249" t="s">
        <v>7197</v>
      </c>
      <c r="I378" s="387"/>
      <c r="J378" s="249" t="s">
        <v>7204</v>
      </c>
      <c r="K378" s="249" t="s">
        <v>1016</v>
      </c>
      <c r="L378" s="387"/>
      <c r="M378" s="249" t="s">
        <v>7205</v>
      </c>
      <c r="N378" s="249" t="s">
        <v>7206</v>
      </c>
      <c r="O378" s="387"/>
      <c r="P378" s="387"/>
      <c r="Q378" s="390">
        <v>0.5</v>
      </c>
      <c r="R378" s="390"/>
    </row>
    <row r="379" ht="12.75" customHeight="1" spans="1:18">
      <c r="A379" s="249">
        <f t="shared" si="7"/>
        <v>4</v>
      </c>
      <c r="B379" s="387" t="s">
        <v>7004</v>
      </c>
      <c r="C379" s="387" t="s">
        <v>7337</v>
      </c>
      <c r="D379" s="387"/>
      <c r="E379" s="388" t="s">
        <v>294</v>
      </c>
      <c r="F379" s="249" t="s">
        <v>1250</v>
      </c>
      <c r="G379" s="249"/>
      <c r="H379" s="249" t="s">
        <v>7197</v>
      </c>
      <c r="I379" s="387"/>
      <c r="J379" s="249" t="s">
        <v>7204</v>
      </c>
      <c r="K379" s="249" t="s">
        <v>1016</v>
      </c>
      <c r="L379" s="387"/>
      <c r="M379" s="249" t="s">
        <v>7205</v>
      </c>
      <c r="N379" s="249" t="s">
        <v>7206</v>
      </c>
      <c r="O379" s="387"/>
      <c r="P379" s="387"/>
      <c r="Q379" s="390">
        <v>0.5</v>
      </c>
      <c r="R379" s="390"/>
    </row>
    <row r="380" ht="12.75" customHeight="1" spans="1:18">
      <c r="A380" s="249">
        <f t="shared" si="7"/>
        <v>5</v>
      </c>
      <c r="B380" s="387" t="s">
        <v>7005</v>
      </c>
      <c r="C380" s="387"/>
      <c r="D380" s="387"/>
      <c r="E380" s="388" t="s">
        <v>294</v>
      </c>
      <c r="F380" s="249" t="s">
        <v>1250</v>
      </c>
      <c r="G380" s="249"/>
      <c r="H380" s="249" t="s">
        <v>7197</v>
      </c>
      <c r="I380" s="387"/>
      <c r="J380" s="249" t="s">
        <v>7204</v>
      </c>
      <c r="K380" s="249" t="s">
        <v>1016</v>
      </c>
      <c r="L380" s="387"/>
      <c r="M380" s="249" t="s">
        <v>7205</v>
      </c>
      <c r="N380" s="249" t="s">
        <v>7206</v>
      </c>
      <c r="O380" s="387"/>
      <c r="P380" s="387"/>
      <c r="Q380" s="390">
        <v>0.5</v>
      </c>
      <c r="R380" s="390"/>
    </row>
    <row r="381" ht="12.75" customHeight="1" spans="1:18">
      <c r="A381" s="249">
        <f t="shared" si="7"/>
        <v>6</v>
      </c>
      <c r="B381" s="387" t="s">
        <v>7006</v>
      </c>
      <c r="C381" s="387"/>
      <c r="D381" s="387"/>
      <c r="E381" s="388" t="s">
        <v>294</v>
      </c>
      <c r="F381" s="249" t="s">
        <v>1250</v>
      </c>
      <c r="G381" s="249" t="s">
        <v>7269</v>
      </c>
      <c r="H381" s="249" t="s">
        <v>7197</v>
      </c>
      <c r="I381" s="387"/>
      <c r="J381" s="403" t="s">
        <v>1323</v>
      </c>
      <c r="K381" s="369" t="s">
        <v>2450</v>
      </c>
      <c r="L381" s="404"/>
      <c r="M381" s="369" t="s">
        <v>7252</v>
      </c>
      <c r="N381" s="369" t="s">
        <v>7253</v>
      </c>
      <c r="O381" s="387"/>
      <c r="P381" s="387"/>
      <c r="Q381" s="390">
        <v>0.5</v>
      </c>
      <c r="R381" s="390"/>
    </row>
    <row r="382" ht="12.75" customHeight="1" spans="1:18">
      <c r="A382" s="249">
        <f t="shared" si="7"/>
        <v>7</v>
      </c>
      <c r="B382" s="387" t="s">
        <v>7007</v>
      </c>
      <c r="C382" s="387"/>
      <c r="D382" s="387"/>
      <c r="E382" s="388" t="s">
        <v>294</v>
      </c>
      <c r="F382" s="249" t="s">
        <v>1250</v>
      </c>
      <c r="G382" s="249" t="s">
        <v>7269</v>
      </c>
      <c r="H382" s="249" t="s">
        <v>7197</v>
      </c>
      <c r="I382" s="387"/>
      <c r="J382" s="403" t="s">
        <v>1323</v>
      </c>
      <c r="K382" s="369" t="s">
        <v>2450</v>
      </c>
      <c r="L382" s="404"/>
      <c r="M382" s="369" t="s">
        <v>7252</v>
      </c>
      <c r="N382" s="369" t="s">
        <v>7253</v>
      </c>
      <c r="O382" s="387"/>
      <c r="P382" s="387"/>
      <c r="Q382" s="390">
        <v>0.5</v>
      </c>
      <c r="R382" s="390"/>
    </row>
    <row r="383" ht="12.75" customHeight="1" spans="1:18">
      <c r="A383" s="249">
        <f t="shared" si="7"/>
        <v>8</v>
      </c>
      <c r="B383" s="387" t="s">
        <v>7008</v>
      </c>
      <c r="C383" s="387"/>
      <c r="D383" s="387"/>
      <c r="E383" s="388" t="s">
        <v>294</v>
      </c>
      <c r="F383" s="249" t="s">
        <v>1250</v>
      </c>
      <c r="G383" s="249" t="s">
        <v>7269</v>
      </c>
      <c r="H383" s="249" t="s">
        <v>7197</v>
      </c>
      <c r="I383" s="387"/>
      <c r="J383" s="403" t="s">
        <v>1323</v>
      </c>
      <c r="K383" s="369" t="s">
        <v>2450</v>
      </c>
      <c r="L383" s="404"/>
      <c r="M383" s="369" t="s">
        <v>7252</v>
      </c>
      <c r="N383" s="369" t="s">
        <v>7253</v>
      </c>
      <c r="O383" s="387"/>
      <c r="P383" s="387"/>
      <c r="Q383" s="390">
        <v>0.5</v>
      </c>
      <c r="R383" s="390"/>
    </row>
    <row r="384" ht="12.75" customHeight="1" spans="1:18">
      <c r="A384" s="249">
        <f t="shared" si="7"/>
        <v>9</v>
      </c>
      <c r="B384" s="387" t="s">
        <v>7009</v>
      </c>
      <c r="C384" s="387"/>
      <c r="D384" s="387"/>
      <c r="E384" s="388" t="s">
        <v>294</v>
      </c>
      <c r="F384" s="249" t="s">
        <v>1250</v>
      </c>
      <c r="G384" s="249" t="s">
        <v>7269</v>
      </c>
      <c r="H384" s="249" t="s">
        <v>7197</v>
      </c>
      <c r="I384" s="387"/>
      <c r="J384" s="403" t="s">
        <v>1323</v>
      </c>
      <c r="K384" s="369" t="s">
        <v>2450</v>
      </c>
      <c r="L384" s="404"/>
      <c r="M384" s="369" t="s">
        <v>7252</v>
      </c>
      <c r="N384" s="369" t="s">
        <v>7253</v>
      </c>
      <c r="O384" s="387"/>
      <c r="P384" s="387"/>
      <c r="Q384" s="390">
        <v>0.5</v>
      </c>
      <c r="R384" s="390"/>
    </row>
    <row r="385" ht="12.75" customHeight="1" spans="1:18">
      <c r="A385" s="249">
        <f t="shared" si="7"/>
        <v>10</v>
      </c>
      <c r="B385" s="387" t="s">
        <v>7010</v>
      </c>
      <c r="C385" s="387"/>
      <c r="D385" s="387"/>
      <c r="E385" s="388" t="s">
        <v>294</v>
      </c>
      <c r="F385" s="249" t="s">
        <v>1250</v>
      </c>
      <c r="G385" s="249" t="s">
        <v>7269</v>
      </c>
      <c r="H385" s="249" t="s">
        <v>7197</v>
      </c>
      <c r="I385" s="387"/>
      <c r="J385" s="403" t="s">
        <v>1323</v>
      </c>
      <c r="K385" s="369" t="s">
        <v>2450</v>
      </c>
      <c r="L385" s="404"/>
      <c r="M385" s="369" t="s">
        <v>7252</v>
      </c>
      <c r="N385" s="369" t="s">
        <v>7253</v>
      </c>
      <c r="O385" s="387"/>
      <c r="P385" s="387"/>
      <c r="Q385" s="390">
        <v>0.5</v>
      </c>
      <c r="R385" s="390"/>
    </row>
    <row r="386" ht="12.75" customHeight="1" spans="1:18">
      <c r="A386" s="249">
        <f t="shared" si="7"/>
        <v>11</v>
      </c>
      <c r="B386" s="387" t="s">
        <v>7011</v>
      </c>
      <c r="C386" s="387"/>
      <c r="D386" s="387"/>
      <c r="E386" s="388" t="s">
        <v>294</v>
      </c>
      <c r="F386" s="249" t="s">
        <v>1250</v>
      </c>
      <c r="G386" s="249" t="s">
        <v>7269</v>
      </c>
      <c r="H386" s="249" t="s">
        <v>7197</v>
      </c>
      <c r="I386" s="387"/>
      <c r="J386" s="403" t="s">
        <v>1323</v>
      </c>
      <c r="K386" s="369" t="s">
        <v>2450</v>
      </c>
      <c r="L386" s="404"/>
      <c r="M386" s="369" t="s">
        <v>7252</v>
      </c>
      <c r="N386" s="369" t="s">
        <v>7253</v>
      </c>
      <c r="O386" s="387"/>
      <c r="P386" s="387"/>
      <c r="Q386" s="390">
        <v>0.5</v>
      </c>
      <c r="R386" s="390"/>
    </row>
    <row r="387" ht="12.75" customHeight="1" spans="1:18">
      <c r="A387" s="249">
        <f t="shared" si="7"/>
        <v>12</v>
      </c>
      <c r="B387" s="387" t="s">
        <v>7012</v>
      </c>
      <c r="C387" s="387"/>
      <c r="D387" s="387"/>
      <c r="E387" s="388" t="s">
        <v>293</v>
      </c>
      <c r="F387" s="249" t="s">
        <v>1250</v>
      </c>
      <c r="G387" s="402">
        <v>45844</v>
      </c>
      <c r="H387" s="249" t="s">
        <v>7197</v>
      </c>
      <c r="I387" s="394"/>
      <c r="J387" s="249" t="s">
        <v>7271</v>
      </c>
      <c r="K387" s="249"/>
      <c r="L387" s="387"/>
      <c r="M387" s="249" t="s">
        <v>7200</v>
      </c>
      <c r="N387" s="249" t="s">
        <v>7201</v>
      </c>
      <c r="O387" s="387"/>
      <c r="P387" s="387"/>
      <c r="Q387" s="390">
        <v>1</v>
      </c>
      <c r="R387" s="390"/>
    </row>
    <row r="388" ht="12.75" customHeight="1" spans="1:18">
      <c r="A388" s="249">
        <f t="shared" si="7"/>
        <v>13</v>
      </c>
      <c r="B388" s="387" t="s">
        <v>7013</v>
      </c>
      <c r="C388" s="387"/>
      <c r="D388" s="387"/>
      <c r="E388" s="388" t="s">
        <v>293</v>
      </c>
      <c r="F388" s="249" t="s">
        <v>1250</v>
      </c>
      <c r="G388" s="402">
        <v>45844</v>
      </c>
      <c r="H388" s="249" t="s">
        <v>7197</v>
      </c>
      <c r="I388" s="394"/>
      <c r="J388" s="249" t="s">
        <v>7271</v>
      </c>
      <c r="K388" s="249"/>
      <c r="L388" s="387"/>
      <c r="M388" s="249" t="s">
        <v>7200</v>
      </c>
      <c r="N388" s="249" t="s">
        <v>7201</v>
      </c>
      <c r="O388" s="387"/>
      <c r="P388" s="387"/>
      <c r="Q388" s="390">
        <v>1</v>
      </c>
      <c r="R388" s="390"/>
    </row>
    <row r="389" ht="12.75" customHeight="1" spans="1:18">
      <c r="A389" s="249">
        <f t="shared" si="7"/>
        <v>14</v>
      </c>
      <c r="B389" s="387" t="s">
        <v>7014</v>
      </c>
      <c r="C389" s="387"/>
      <c r="D389" s="387"/>
      <c r="E389" s="388" t="s">
        <v>293</v>
      </c>
      <c r="F389" s="249" t="s">
        <v>1250</v>
      </c>
      <c r="G389" s="402">
        <v>45844</v>
      </c>
      <c r="H389" s="249" t="s">
        <v>7197</v>
      </c>
      <c r="I389" s="394"/>
      <c r="J389" s="249" t="s">
        <v>7271</v>
      </c>
      <c r="K389" s="249"/>
      <c r="L389" s="387"/>
      <c r="M389" s="249" t="s">
        <v>7200</v>
      </c>
      <c r="N389" s="249" t="s">
        <v>7201</v>
      </c>
      <c r="O389" s="387"/>
      <c r="P389" s="387"/>
      <c r="Q389" s="390">
        <v>1</v>
      </c>
      <c r="R389" s="390"/>
    </row>
    <row r="390" ht="12.75" customHeight="1" spans="1:18">
      <c r="A390" s="249">
        <f t="shared" si="7"/>
        <v>15</v>
      </c>
      <c r="B390" s="387" t="s">
        <v>7015</v>
      </c>
      <c r="C390" s="387"/>
      <c r="D390" s="387"/>
      <c r="E390" s="388" t="s">
        <v>293</v>
      </c>
      <c r="F390" s="249" t="s">
        <v>1250</v>
      </c>
      <c r="G390" s="402">
        <v>45844</v>
      </c>
      <c r="H390" s="249" t="s">
        <v>7197</v>
      </c>
      <c r="I390" s="394"/>
      <c r="J390" s="249" t="s">
        <v>7271</v>
      </c>
      <c r="K390" s="249"/>
      <c r="L390" s="387"/>
      <c r="M390" s="249" t="s">
        <v>7200</v>
      </c>
      <c r="N390" s="249" t="s">
        <v>7201</v>
      </c>
      <c r="O390" s="387"/>
      <c r="P390" s="387"/>
      <c r="Q390" s="390">
        <v>1</v>
      </c>
      <c r="R390" s="390"/>
    </row>
    <row r="391" ht="12.75" customHeight="1" spans="1:18">
      <c r="A391" s="249">
        <f t="shared" si="7"/>
        <v>16</v>
      </c>
      <c r="B391" s="387" t="s">
        <v>7016</v>
      </c>
      <c r="C391" s="387"/>
      <c r="D391" s="387"/>
      <c r="E391" s="388" t="s">
        <v>293</v>
      </c>
      <c r="F391" s="249" t="s">
        <v>1250</v>
      </c>
      <c r="G391" s="402">
        <v>45844</v>
      </c>
      <c r="H391" s="249" t="s">
        <v>7197</v>
      </c>
      <c r="I391" s="394"/>
      <c r="J391" s="249" t="s">
        <v>7271</v>
      </c>
      <c r="K391" s="249"/>
      <c r="L391" s="387"/>
      <c r="M391" s="249" t="s">
        <v>7200</v>
      </c>
      <c r="N391" s="249" t="s">
        <v>7201</v>
      </c>
      <c r="O391" s="387"/>
      <c r="P391" s="387"/>
      <c r="Q391" s="390">
        <v>1</v>
      </c>
      <c r="R391" s="390"/>
    </row>
    <row r="392" ht="12.75" customHeight="1" spans="1:18">
      <c r="A392" s="249">
        <f t="shared" si="7"/>
        <v>17</v>
      </c>
      <c r="B392" s="387" t="s">
        <v>7017</v>
      </c>
      <c r="C392" s="387"/>
      <c r="D392" s="387"/>
      <c r="E392" s="388" t="s">
        <v>293</v>
      </c>
      <c r="F392" s="249" t="s">
        <v>1250</v>
      </c>
      <c r="G392" s="402">
        <v>45844</v>
      </c>
      <c r="H392" s="249" t="s">
        <v>7197</v>
      </c>
      <c r="I392" s="394"/>
      <c r="J392" s="249" t="s">
        <v>7271</v>
      </c>
      <c r="K392" s="249"/>
      <c r="L392" s="387"/>
      <c r="M392" s="249" t="s">
        <v>7200</v>
      </c>
      <c r="N392" s="249" t="s">
        <v>7201</v>
      </c>
      <c r="O392" s="387"/>
      <c r="P392" s="387"/>
      <c r="Q392" s="390">
        <v>1</v>
      </c>
      <c r="R392" s="390"/>
    </row>
    <row r="393" ht="12.75" customHeight="1" spans="1:18">
      <c r="A393" s="249">
        <f t="shared" si="7"/>
        <v>18</v>
      </c>
      <c r="B393" s="387" t="s">
        <v>7018</v>
      </c>
      <c r="C393" s="387"/>
      <c r="D393" s="387"/>
      <c r="E393" s="388" t="s">
        <v>293</v>
      </c>
      <c r="F393" s="249" t="s">
        <v>1250</v>
      </c>
      <c r="G393" s="402">
        <v>45844</v>
      </c>
      <c r="H393" s="249" t="s">
        <v>7197</v>
      </c>
      <c r="I393" s="394"/>
      <c r="J393" s="249" t="s">
        <v>7271</v>
      </c>
      <c r="K393" s="249"/>
      <c r="L393" s="387"/>
      <c r="M393" s="249" t="s">
        <v>7200</v>
      </c>
      <c r="N393" s="249" t="s">
        <v>7201</v>
      </c>
      <c r="O393" s="387"/>
      <c r="P393" s="387"/>
      <c r="Q393" s="390">
        <v>1</v>
      </c>
      <c r="R393" s="390"/>
    </row>
    <row r="394" ht="12.75" customHeight="1" spans="1:18">
      <c r="A394" s="249">
        <f t="shared" si="7"/>
        <v>19</v>
      </c>
      <c r="B394" s="387" t="s">
        <v>7019</v>
      </c>
      <c r="C394" s="387"/>
      <c r="D394" s="387"/>
      <c r="E394" s="388" t="s">
        <v>293</v>
      </c>
      <c r="F394" s="249" t="s">
        <v>1250</v>
      </c>
      <c r="G394" s="402">
        <v>45844</v>
      </c>
      <c r="H394" s="249" t="s">
        <v>7197</v>
      </c>
      <c r="I394" s="394"/>
      <c r="J394" s="249" t="s">
        <v>7271</v>
      </c>
      <c r="K394" s="249"/>
      <c r="L394" s="387"/>
      <c r="M394" s="249" t="s">
        <v>7200</v>
      </c>
      <c r="N394" s="249" t="s">
        <v>7201</v>
      </c>
      <c r="O394" s="387"/>
      <c r="P394" s="387"/>
      <c r="Q394" s="390">
        <v>1</v>
      </c>
      <c r="R394" s="390"/>
    </row>
    <row r="395" ht="12.75" customHeight="1" spans="1:18">
      <c r="A395" s="249">
        <f t="shared" si="7"/>
        <v>20</v>
      </c>
      <c r="B395" s="387" t="s">
        <v>7020</v>
      </c>
      <c r="C395" s="387"/>
      <c r="D395" s="387"/>
      <c r="E395" s="388" t="s">
        <v>293</v>
      </c>
      <c r="F395" s="249" t="s">
        <v>1250</v>
      </c>
      <c r="G395" s="402">
        <v>45844</v>
      </c>
      <c r="H395" s="249" t="s">
        <v>7197</v>
      </c>
      <c r="I395" s="394"/>
      <c r="J395" s="249" t="s">
        <v>7271</v>
      </c>
      <c r="K395" s="249"/>
      <c r="L395" s="387"/>
      <c r="M395" s="249" t="s">
        <v>7200</v>
      </c>
      <c r="N395" s="249" t="s">
        <v>7201</v>
      </c>
      <c r="O395" s="387"/>
      <c r="P395" s="387"/>
      <c r="Q395" s="390">
        <v>1</v>
      </c>
      <c r="R395" s="390"/>
    </row>
    <row r="396" ht="12.75" customHeight="1" spans="1:18">
      <c r="A396" s="249">
        <f t="shared" si="7"/>
        <v>21</v>
      </c>
      <c r="B396" s="387" t="s">
        <v>7021</v>
      </c>
      <c r="C396" s="387"/>
      <c r="D396" s="387"/>
      <c r="E396" s="388" t="s">
        <v>293</v>
      </c>
      <c r="F396" s="249" t="s">
        <v>1250</v>
      </c>
      <c r="G396" s="402">
        <v>45844</v>
      </c>
      <c r="H396" s="249" t="s">
        <v>7197</v>
      </c>
      <c r="I396" s="394"/>
      <c r="J396" s="249" t="s">
        <v>7271</v>
      </c>
      <c r="K396" s="249"/>
      <c r="L396" s="387"/>
      <c r="M396" s="249" t="s">
        <v>7200</v>
      </c>
      <c r="N396" s="249" t="s">
        <v>7201</v>
      </c>
      <c r="O396" s="387"/>
      <c r="P396" s="387"/>
      <c r="Q396" s="390">
        <v>1</v>
      </c>
      <c r="R396" s="390"/>
    </row>
    <row r="397" ht="12.75" customHeight="1" spans="1:18">
      <c r="A397" s="249">
        <f t="shared" si="7"/>
        <v>22</v>
      </c>
      <c r="B397" s="387" t="s">
        <v>7022</v>
      </c>
      <c r="C397" s="387"/>
      <c r="D397" s="387"/>
      <c r="E397" s="388" t="s">
        <v>293</v>
      </c>
      <c r="F397" s="249" t="s">
        <v>1250</v>
      </c>
      <c r="G397" s="402">
        <v>45844</v>
      </c>
      <c r="H397" s="249" t="s">
        <v>7197</v>
      </c>
      <c r="I397" s="394"/>
      <c r="J397" s="249" t="s">
        <v>7271</v>
      </c>
      <c r="K397" s="249"/>
      <c r="L397" s="387"/>
      <c r="M397" s="249" t="s">
        <v>7200</v>
      </c>
      <c r="N397" s="249" t="s">
        <v>7201</v>
      </c>
      <c r="O397" s="387"/>
      <c r="P397" s="387"/>
      <c r="Q397" s="390">
        <v>1</v>
      </c>
      <c r="R397" s="390"/>
    </row>
    <row r="398" ht="12.75" customHeight="1" spans="1:18">
      <c r="A398" s="249">
        <f t="shared" si="7"/>
        <v>23</v>
      </c>
      <c r="B398" s="387" t="s">
        <v>7023</v>
      </c>
      <c r="C398" s="387"/>
      <c r="D398" s="387"/>
      <c r="E398" s="388" t="s">
        <v>293</v>
      </c>
      <c r="F398" s="249" t="s">
        <v>1250</v>
      </c>
      <c r="G398" s="402">
        <v>45844</v>
      </c>
      <c r="H398" s="249" t="s">
        <v>7197</v>
      </c>
      <c r="I398" s="394"/>
      <c r="J398" s="249" t="s">
        <v>7271</v>
      </c>
      <c r="K398" s="249"/>
      <c r="L398" s="387"/>
      <c r="M398" s="249" t="s">
        <v>7200</v>
      </c>
      <c r="N398" s="249" t="s">
        <v>7201</v>
      </c>
      <c r="O398" s="387"/>
      <c r="P398" s="387"/>
      <c r="Q398" s="390">
        <v>1</v>
      </c>
      <c r="R398" s="390"/>
    </row>
    <row r="399" ht="12.75" customHeight="1" spans="1:18">
      <c r="A399" s="249">
        <f t="shared" si="7"/>
        <v>24</v>
      </c>
      <c r="B399" s="387" t="s">
        <v>7338</v>
      </c>
      <c r="C399" s="387"/>
      <c r="D399" s="387"/>
      <c r="E399" s="388" t="s">
        <v>293</v>
      </c>
      <c r="F399" s="249" t="s">
        <v>1250</v>
      </c>
      <c r="G399" s="393" t="s">
        <v>7313</v>
      </c>
      <c r="H399" s="249" t="s">
        <v>7197</v>
      </c>
      <c r="I399" s="394"/>
      <c r="J399" s="249" t="s">
        <v>7271</v>
      </c>
      <c r="K399" s="249"/>
      <c r="L399" s="387"/>
      <c r="M399" s="249" t="s">
        <v>7200</v>
      </c>
      <c r="N399" s="249" t="s">
        <v>7201</v>
      </c>
      <c r="O399" s="387"/>
      <c r="P399" s="387"/>
      <c r="Q399" s="390"/>
      <c r="R399" s="390"/>
    </row>
    <row r="400" ht="12.75" customHeight="1" spans="1:18">
      <c r="A400" s="249">
        <f t="shared" si="7"/>
        <v>25</v>
      </c>
      <c r="B400" s="387" t="s">
        <v>7339</v>
      </c>
      <c r="C400" s="387"/>
      <c r="D400" s="387"/>
      <c r="E400" s="388" t="s">
        <v>293</v>
      </c>
      <c r="F400" s="249" t="s">
        <v>1250</v>
      </c>
      <c r="G400" s="393" t="s">
        <v>7313</v>
      </c>
      <c r="H400" s="249" t="s">
        <v>7197</v>
      </c>
      <c r="I400" s="394"/>
      <c r="J400" s="249" t="s">
        <v>7271</v>
      </c>
      <c r="K400" s="249"/>
      <c r="L400" s="387"/>
      <c r="M400" s="249" t="s">
        <v>7200</v>
      </c>
      <c r="N400" s="249" t="s">
        <v>7201</v>
      </c>
      <c r="O400" s="387"/>
      <c r="P400" s="387"/>
      <c r="Q400" s="390"/>
      <c r="R400" s="390"/>
    </row>
    <row r="401" ht="12.75" customHeight="1" spans="1:18">
      <c r="A401" s="249">
        <f t="shared" si="7"/>
        <v>26</v>
      </c>
      <c r="B401" s="387" t="s">
        <v>7340</v>
      </c>
      <c r="C401" s="387"/>
      <c r="D401" s="387"/>
      <c r="E401" s="388" t="s">
        <v>293</v>
      </c>
      <c r="F401" s="249" t="s">
        <v>1250</v>
      </c>
      <c r="G401" s="393" t="s">
        <v>7313</v>
      </c>
      <c r="H401" s="249" t="s">
        <v>7197</v>
      </c>
      <c r="I401" s="394"/>
      <c r="J401" s="249" t="s">
        <v>7271</v>
      </c>
      <c r="K401" s="249"/>
      <c r="L401" s="387"/>
      <c r="M401" s="249" t="s">
        <v>7200</v>
      </c>
      <c r="N401" s="249" t="s">
        <v>7201</v>
      </c>
      <c r="O401" s="387"/>
      <c r="P401" s="387"/>
      <c r="Q401" s="390"/>
      <c r="R401" s="390"/>
    </row>
    <row r="402" ht="12.75" customHeight="1" spans="1:18">
      <c r="A402" s="249">
        <f t="shared" si="7"/>
        <v>27</v>
      </c>
      <c r="B402" s="387" t="s">
        <v>7341</v>
      </c>
      <c r="C402" s="387"/>
      <c r="D402" s="387"/>
      <c r="E402" s="388" t="s">
        <v>293</v>
      </c>
      <c r="F402" s="249" t="s">
        <v>1250</v>
      </c>
      <c r="G402" s="393" t="s">
        <v>7313</v>
      </c>
      <c r="H402" s="249" t="s">
        <v>7197</v>
      </c>
      <c r="I402" s="394"/>
      <c r="J402" s="249" t="s">
        <v>7271</v>
      </c>
      <c r="K402" s="249"/>
      <c r="L402" s="387"/>
      <c r="M402" s="249" t="s">
        <v>7200</v>
      </c>
      <c r="N402" s="249" t="s">
        <v>7201</v>
      </c>
      <c r="O402" s="387"/>
      <c r="P402" s="387"/>
      <c r="Q402" s="390"/>
      <c r="R402" s="390"/>
    </row>
    <row r="403" ht="12.75" customHeight="1" spans="1:18">
      <c r="A403" s="249">
        <f t="shared" si="7"/>
        <v>28</v>
      </c>
      <c r="B403" s="387" t="s">
        <v>7342</v>
      </c>
      <c r="C403" s="387"/>
      <c r="D403" s="387"/>
      <c r="E403" s="388" t="s">
        <v>293</v>
      </c>
      <c r="F403" s="249" t="s">
        <v>1250</v>
      </c>
      <c r="G403" s="393" t="s">
        <v>7313</v>
      </c>
      <c r="H403" s="249" t="s">
        <v>7197</v>
      </c>
      <c r="I403" s="394"/>
      <c r="J403" s="249" t="s">
        <v>7271</v>
      </c>
      <c r="K403" s="249"/>
      <c r="L403" s="387"/>
      <c r="M403" s="249" t="s">
        <v>7200</v>
      </c>
      <c r="N403" s="249" t="s">
        <v>7201</v>
      </c>
      <c r="O403" s="387"/>
      <c r="P403" s="387"/>
      <c r="Q403" s="390"/>
      <c r="R403" s="390"/>
    </row>
    <row r="404" ht="12.75" customHeight="1" spans="1:18">
      <c r="A404" s="249">
        <f t="shared" si="7"/>
        <v>29</v>
      </c>
      <c r="B404" s="387" t="s">
        <v>7343</v>
      </c>
      <c r="C404" s="387"/>
      <c r="D404" s="387"/>
      <c r="E404" s="388" t="s">
        <v>293</v>
      </c>
      <c r="F404" s="249" t="s">
        <v>1250</v>
      </c>
      <c r="G404" s="393" t="s">
        <v>7313</v>
      </c>
      <c r="H404" s="249" t="s">
        <v>7197</v>
      </c>
      <c r="I404" s="394"/>
      <c r="J404" s="249" t="s">
        <v>7271</v>
      </c>
      <c r="K404" s="249"/>
      <c r="L404" s="387"/>
      <c r="M404" s="249" t="s">
        <v>7200</v>
      </c>
      <c r="N404" s="249" t="s">
        <v>7201</v>
      </c>
      <c r="O404" s="387"/>
      <c r="P404" s="387"/>
      <c r="Q404" s="390"/>
      <c r="R404" s="390"/>
    </row>
    <row r="405" ht="12.75" customHeight="1" spans="1:18">
      <c r="A405" s="249">
        <f t="shared" si="7"/>
        <v>30</v>
      </c>
      <c r="B405" s="387" t="s">
        <v>7344</v>
      </c>
      <c r="C405" s="387"/>
      <c r="D405" s="387"/>
      <c r="E405" s="388" t="s">
        <v>293</v>
      </c>
      <c r="F405" s="249" t="s">
        <v>1250</v>
      </c>
      <c r="G405" s="393" t="s">
        <v>7313</v>
      </c>
      <c r="H405" s="249" t="s">
        <v>7197</v>
      </c>
      <c r="I405" s="394"/>
      <c r="J405" s="249" t="s">
        <v>7271</v>
      </c>
      <c r="K405" s="249"/>
      <c r="L405" s="387"/>
      <c r="M405" s="249" t="s">
        <v>7200</v>
      </c>
      <c r="N405" s="249" t="s">
        <v>7201</v>
      </c>
      <c r="O405" s="387"/>
      <c r="P405" s="387"/>
      <c r="Q405" s="390"/>
      <c r="R405" s="390"/>
    </row>
    <row r="406" ht="12.75" customHeight="1" spans="1:18">
      <c r="A406" s="249">
        <f t="shared" si="7"/>
        <v>31</v>
      </c>
      <c r="B406" s="387" t="s">
        <v>7345</v>
      </c>
      <c r="C406" s="387"/>
      <c r="D406" s="387"/>
      <c r="E406" s="388" t="s">
        <v>293</v>
      </c>
      <c r="F406" s="249" t="s">
        <v>1250</v>
      </c>
      <c r="G406" s="393" t="s">
        <v>7313</v>
      </c>
      <c r="H406" s="249" t="s">
        <v>7197</v>
      </c>
      <c r="I406" s="394"/>
      <c r="J406" s="249" t="s">
        <v>7271</v>
      </c>
      <c r="K406" s="249"/>
      <c r="L406" s="387"/>
      <c r="M406" s="249" t="s">
        <v>7200</v>
      </c>
      <c r="N406" s="249" t="s">
        <v>7201</v>
      </c>
      <c r="O406" s="387"/>
      <c r="P406" s="387"/>
      <c r="Q406" s="390"/>
      <c r="R406" s="390"/>
    </row>
    <row r="407" ht="12.75" customHeight="1" spans="1:18">
      <c r="A407" s="249">
        <f t="shared" si="7"/>
        <v>32</v>
      </c>
      <c r="B407" s="387" t="s">
        <v>7346</v>
      </c>
      <c r="C407" s="387"/>
      <c r="D407" s="387"/>
      <c r="E407" s="388" t="s">
        <v>293</v>
      </c>
      <c r="F407" s="249" t="s">
        <v>1250</v>
      </c>
      <c r="G407" s="393" t="s">
        <v>7313</v>
      </c>
      <c r="H407" s="249" t="s">
        <v>7197</v>
      </c>
      <c r="I407" s="394"/>
      <c r="J407" s="249" t="s">
        <v>7271</v>
      </c>
      <c r="K407" s="249"/>
      <c r="L407" s="387"/>
      <c r="M407" s="249" t="s">
        <v>7200</v>
      </c>
      <c r="N407" s="249" t="s">
        <v>7201</v>
      </c>
      <c r="O407" s="387"/>
      <c r="P407" s="387"/>
      <c r="Q407" s="390"/>
      <c r="R407" s="390"/>
    </row>
    <row r="408" ht="12.75" customHeight="1" spans="1:18">
      <c r="A408" s="249">
        <f t="shared" si="7"/>
        <v>33</v>
      </c>
      <c r="B408" s="387" t="s">
        <v>7347</v>
      </c>
      <c r="C408" s="387"/>
      <c r="D408" s="387"/>
      <c r="E408" s="388" t="s">
        <v>293</v>
      </c>
      <c r="F408" s="249" t="s">
        <v>1250</v>
      </c>
      <c r="G408" s="393" t="s">
        <v>7313</v>
      </c>
      <c r="H408" s="249" t="s">
        <v>7197</v>
      </c>
      <c r="I408" s="394"/>
      <c r="J408" s="249" t="s">
        <v>7271</v>
      </c>
      <c r="K408" s="249"/>
      <c r="L408" s="387"/>
      <c r="M408" s="249" t="s">
        <v>7200</v>
      </c>
      <c r="N408" s="249" t="s">
        <v>7201</v>
      </c>
      <c r="O408" s="387"/>
      <c r="P408" s="387"/>
      <c r="Q408" s="390"/>
      <c r="R408" s="390"/>
    </row>
    <row r="409" ht="12.75" customHeight="1" spans="1:18">
      <c r="A409" s="249">
        <f t="shared" si="7"/>
        <v>34</v>
      </c>
      <c r="B409" s="387" t="s">
        <v>7348</v>
      </c>
      <c r="C409" s="387"/>
      <c r="D409" s="387"/>
      <c r="E409" s="388" t="s">
        <v>293</v>
      </c>
      <c r="F409" s="249" t="s">
        <v>1250</v>
      </c>
      <c r="G409" s="393" t="s">
        <v>7313</v>
      </c>
      <c r="H409" s="249" t="s">
        <v>7197</v>
      </c>
      <c r="I409" s="394"/>
      <c r="J409" s="249" t="s">
        <v>7271</v>
      </c>
      <c r="K409" s="249"/>
      <c r="L409" s="387"/>
      <c r="M409" s="249" t="s">
        <v>7200</v>
      </c>
      <c r="N409" s="249" t="s">
        <v>7201</v>
      </c>
      <c r="O409" s="387"/>
      <c r="P409" s="387"/>
      <c r="Q409" s="390"/>
      <c r="R409" s="390"/>
    </row>
    <row r="410" ht="12.75" customHeight="1" spans="1:18">
      <c r="A410" s="249">
        <f t="shared" si="7"/>
        <v>35</v>
      </c>
      <c r="B410" s="387" t="s">
        <v>7349</v>
      </c>
      <c r="C410" s="387"/>
      <c r="D410" s="387"/>
      <c r="E410" s="388" t="s">
        <v>293</v>
      </c>
      <c r="F410" s="249" t="s">
        <v>1250</v>
      </c>
      <c r="G410" s="393" t="s">
        <v>7313</v>
      </c>
      <c r="H410" s="249" t="s">
        <v>7197</v>
      </c>
      <c r="I410" s="394"/>
      <c r="J410" s="249" t="s">
        <v>7271</v>
      </c>
      <c r="K410" s="249"/>
      <c r="L410" s="387"/>
      <c r="M410" s="249" t="s">
        <v>7200</v>
      </c>
      <c r="N410" s="249" t="s">
        <v>7201</v>
      </c>
      <c r="O410" s="387"/>
      <c r="P410" s="387"/>
      <c r="Q410" s="390"/>
      <c r="R410" s="390"/>
    </row>
    <row r="411" ht="12.75" customHeight="1" spans="1:18">
      <c r="A411" s="249">
        <f t="shared" si="7"/>
        <v>36</v>
      </c>
      <c r="B411" s="387" t="s">
        <v>7350</v>
      </c>
      <c r="C411" s="387"/>
      <c r="D411" s="387"/>
      <c r="E411" s="388" t="s">
        <v>293</v>
      </c>
      <c r="F411" s="249" t="s">
        <v>1250</v>
      </c>
      <c r="G411" s="393" t="s">
        <v>7313</v>
      </c>
      <c r="H411" s="249" t="s">
        <v>7197</v>
      </c>
      <c r="I411" s="394"/>
      <c r="J411" s="249" t="s">
        <v>7271</v>
      </c>
      <c r="K411" s="249"/>
      <c r="L411" s="387"/>
      <c r="M411" s="249" t="s">
        <v>7200</v>
      </c>
      <c r="N411" s="249" t="s">
        <v>7201</v>
      </c>
      <c r="O411" s="387"/>
      <c r="P411" s="387"/>
      <c r="Q411" s="390"/>
      <c r="R411" s="390"/>
    </row>
    <row r="412" ht="12.75" customHeight="1" spans="1:18">
      <c r="A412" s="249">
        <f t="shared" si="7"/>
        <v>37</v>
      </c>
      <c r="B412" s="387" t="s">
        <v>7351</v>
      </c>
      <c r="C412" s="387"/>
      <c r="D412" s="387"/>
      <c r="E412" s="388" t="s">
        <v>293</v>
      </c>
      <c r="F412" s="249" t="s">
        <v>1250</v>
      </c>
      <c r="G412" s="393" t="s">
        <v>7313</v>
      </c>
      <c r="H412" s="249" t="s">
        <v>7197</v>
      </c>
      <c r="I412" s="394"/>
      <c r="J412" s="249" t="s">
        <v>7271</v>
      </c>
      <c r="K412" s="249"/>
      <c r="L412" s="387"/>
      <c r="M412" s="249" t="s">
        <v>7200</v>
      </c>
      <c r="N412" s="249" t="s">
        <v>7201</v>
      </c>
      <c r="O412" s="387"/>
      <c r="P412" s="387"/>
      <c r="Q412" s="390"/>
      <c r="R412" s="390"/>
    </row>
    <row r="413" ht="12.75" customHeight="1" spans="1:18">
      <c r="A413" s="249">
        <f t="shared" si="7"/>
        <v>38</v>
      </c>
      <c r="B413" s="387" t="s">
        <v>7352</v>
      </c>
      <c r="C413" s="387"/>
      <c r="D413" s="387"/>
      <c r="E413" s="388" t="s">
        <v>293</v>
      </c>
      <c r="F413" s="249" t="s">
        <v>1250</v>
      </c>
      <c r="G413" s="393" t="s">
        <v>7313</v>
      </c>
      <c r="H413" s="249" t="s">
        <v>7197</v>
      </c>
      <c r="I413" s="394"/>
      <c r="J413" s="249" t="s">
        <v>7271</v>
      </c>
      <c r="K413" s="249"/>
      <c r="L413" s="387"/>
      <c r="M413" s="249" t="s">
        <v>7200</v>
      </c>
      <c r="N413" s="249" t="s">
        <v>7201</v>
      </c>
      <c r="O413" s="387"/>
      <c r="P413" s="387"/>
      <c r="Q413" s="390"/>
      <c r="R413" s="390"/>
    </row>
    <row r="414" ht="12.75" customHeight="1" spans="1:18">
      <c r="A414" s="249"/>
      <c r="B414" s="387"/>
      <c r="C414" s="387"/>
      <c r="D414" s="387"/>
      <c r="E414" s="388"/>
      <c r="F414" s="249"/>
      <c r="G414" s="393"/>
      <c r="H414" s="369"/>
      <c r="I414" s="394"/>
      <c r="J414" s="249"/>
      <c r="K414" s="249"/>
      <c r="L414" s="387"/>
      <c r="M414" s="249"/>
      <c r="N414" s="249"/>
      <c r="O414" s="387"/>
      <c r="P414" s="387"/>
      <c r="Q414" s="390"/>
      <c r="R414" s="390"/>
    </row>
    <row r="415" ht="12.75" customHeight="1" spans="1:18">
      <c r="A415" s="249"/>
      <c r="B415" s="387"/>
      <c r="C415" s="387"/>
      <c r="D415" s="387"/>
      <c r="E415" s="388"/>
      <c r="F415" s="249"/>
      <c r="G415" s="249"/>
      <c r="H415" s="369"/>
      <c r="I415" s="387"/>
      <c r="J415" s="249"/>
      <c r="K415" s="249"/>
      <c r="L415" s="387"/>
      <c r="M415" s="249"/>
      <c r="N415" s="249"/>
      <c r="O415" s="387"/>
      <c r="P415" s="387"/>
      <c r="Q415" s="390"/>
      <c r="R415" s="390"/>
    </row>
    <row r="416" ht="12.75" customHeight="1" spans="1:18">
      <c r="A416" s="249"/>
      <c r="B416" s="387"/>
      <c r="C416" s="387" t="s">
        <v>7247</v>
      </c>
      <c r="D416" s="387"/>
      <c r="E416" s="388"/>
      <c r="F416" s="249"/>
      <c r="G416" s="249"/>
      <c r="H416" s="369"/>
      <c r="I416" s="387"/>
      <c r="J416" s="249"/>
      <c r="K416" s="249"/>
      <c r="L416" s="387"/>
      <c r="M416" s="249"/>
      <c r="N416" s="249"/>
      <c r="O416" s="387"/>
      <c r="P416" s="387"/>
      <c r="Q416" s="390"/>
      <c r="R416" s="390"/>
    </row>
    <row r="417" ht="12.75" customHeight="1" spans="1:18">
      <c r="A417" s="381" t="s">
        <v>7353</v>
      </c>
      <c r="B417" s="382" t="s">
        <v>6201</v>
      </c>
      <c r="C417" s="383">
        <f>COUNTA(B418:B491)</f>
        <v>63</v>
      </c>
      <c r="D417" s="384"/>
      <c r="E417" s="384"/>
      <c r="F417" s="385"/>
      <c r="G417" s="385"/>
      <c r="H417" s="385"/>
      <c r="I417" s="383"/>
      <c r="J417" s="385"/>
      <c r="K417" s="385"/>
      <c r="L417" s="383"/>
      <c r="M417" s="385"/>
      <c r="N417" s="385"/>
      <c r="O417" s="383"/>
      <c r="P417" s="383"/>
      <c r="Q417" s="386"/>
      <c r="R417" s="386"/>
    </row>
    <row r="418" ht="12.75" customHeight="1" spans="1:18">
      <c r="A418" s="249">
        <v>1</v>
      </c>
      <c r="B418" s="405" t="s">
        <v>7024</v>
      </c>
      <c r="C418" s="387"/>
      <c r="D418" s="247"/>
      <c r="E418" s="388" t="s">
        <v>294</v>
      </c>
      <c r="F418" s="249" t="s">
        <v>1348</v>
      </c>
      <c r="G418" s="249"/>
      <c r="H418" s="249" t="s">
        <v>7197</v>
      </c>
      <c r="I418" s="387"/>
      <c r="J418" s="249" t="s">
        <v>7204</v>
      </c>
      <c r="K418" s="249" t="s">
        <v>1016</v>
      </c>
      <c r="L418" s="387"/>
      <c r="M418" s="249" t="s">
        <v>7205</v>
      </c>
      <c r="N418" s="249" t="s">
        <v>7206</v>
      </c>
      <c r="O418" s="387"/>
      <c r="P418" s="387"/>
      <c r="Q418" s="390">
        <v>0.5</v>
      </c>
      <c r="R418" s="390"/>
    </row>
    <row r="419" ht="13.5" customHeight="1" spans="1:18">
      <c r="A419" s="369">
        <f t="shared" ref="A419:A480" si="8">A418+1</f>
        <v>2</v>
      </c>
      <c r="B419" s="405" t="s">
        <v>7025</v>
      </c>
      <c r="C419" s="387"/>
      <c r="D419" s="247"/>
      <c r="E419" s="388" t="s">
        <v>294</v>
      </c>
      <c r="F419" s="249" t="s">
        <v>1348</v>
      </c>
      <c r="G419" s="249"/>
      <c r="H419" s="249" t="s">
        <v>7197</v>
      </c>
      <c r="I419" s="387"/>
      <c r="J419" s="249" t="s">
        <v>7204</v>
      </c>
      <c r="K419" s="249" t="s">
        <v>1016</v>
      </c>
      <c r="L419" s="387"/>
      <c r="M419" s="249" t="s">
        <v>7205</v>
      </c>
      <c r="N419" s="249" t="s">
        <v>7206</v>
      </c>
      <c r="O419" s="387"/>
      <c r="P419" s="387"/>
      <c r="Q419" s="390">
        <v>0.5</v>
      </c>
      <c r="R419" s="390"/>
    </row>
    <row r="420" ht="12.75" customHeight="1" spans="1:18">
      <c r="A420" s="369">
        <f t="shared" si="8"/>
        <v>3</v>
      </c>
      <c r="B420" s="387" t="s">
        <v>7026</v>
      </c>
      <c r="C420" s="387"/>
      <c r="D420" s="247"/>
      <c r="E420" s="388" t="s">
        <v>294</v>
      </c>
      <c r="F420" s="249" t="s">
        <v>1348</v>
      </c>
      <c r="G420" s="249"/>
      <c r="H420" s="249" t="s">
        <v>7197</v>
      </c>
      <c r="I420" s="387"/>
      <c r="J420" s="249" t="s">
        <v>7204</v>
      </c>
      <c r="K420" s="249" t="s">
        <v>1016</v>
      </c>
      <c r="L420" s="387"/>
      <c r="M420" s="249" t="s">
        <v>7205</v>
      </c>
      <c r="N420" s="249" t="s">
        <v>7206</v>
      </c>
      <c r="O420" s="387"/>
      <c r="P420" s="387"/>
      <c r="Q420" s="390">
        <v>0.5</v>
      </c>
      <c r="R420" s="390"/>
    </row>
    <row r="421" ht="12.75" customHeight="1" spans="1:18">
      <c r="A421" s="369">
        <f t="shared" si="8"/>
        <v>4</v>
      </c>
      <c r="B421" s="405" t="s">
        <v>7027</v>
      </c>
      <c r="C421" s="404"/>
      <c r="D421" s="388"/>
      <c r="E421" s="388" t="s">
        <v>294</v>
      </c>
      <c r="F421" s="249" t="s">
        <v>1348</v>
      </c>
      <c r="G421" s="406">
        <v>45416</v>
      </c>
      <c r="H421" s="249" t="s">
        <v>7197</v>
      </c>
      <c r="I421" s="407"/>
      <c r="J421" s="403" t="s">
        <v>1323</v>
      </c>
      <c r="K421" s="369" t="s">
        <v>2450</v>
      </c>
      <c r="L421" s="404"/>
      <c r="M421" s="369" t="s">
        <v>7252</v>
      </c>
      <c r="N421" s="369" t="s">
        <v>7253</v>
      </c>
      <c r="O421" s="403"/>
      <c r="P421" s="404"/>
      <c r="Q421" s="390">
        <v>0.5</v>
      </c>
      <c r="R421" s="390"/>
    </row>
    <row r="422" ht="12.75" customHeight="1" spans="1:18">
      <c r="A422" s="369">
        <f t="shared" si="8"/>
        <v>5</v>
      </c>
      <c r="B422" s="405" t="s">
        <v>7028</v>
      </c>
      <c r="C422" s="404"/>
      <c r="D422" s="388"/>
      <c r="E422" s="388" t="s">
        <v>294</v>
      </c>
      <c r="F422" s="249" t="s">
        <v>1348</v>
      </c>
      <c r="G422" s="406">
        <v>45416</v>
      </c>
      <c r="H422" s="249" t="s">
        <v>7197</v>
      </c>
      <c r="I422" s="407"/>
      <c r="J422" s="403" t="s">
        <v>1323</v>
      </c>
      <c r="K422" s="369" t="s">
        <v>2450</v>
      </c>
      <c r="L422" s="404"/>
      <c r="M422" s="369" t="s">
        <v>7252</v>
      </c>
      <c r="N422" s="369" t="s">
        <v>7253</v>
      </c>
      <c r="O422" s="403"/>
      <c r="P422" s="404"/>
      <c r="Q422" s="390">
        <v>0.5</v>
      </c>
      <c r="R422" s="390"/>
    </row>
    <row r="423" ht="12.75" customHeight="1" spans="1:18">
      <c r="A423" s="369">
        <f t="shared" si="8"/>
        <v>6</v>
      </c>
      <c r="B423" s="405" t="s">
        <v>7029</v>
      </c>
      <c r="C423" s="404"/>
      <c r="D423" s="388"/>
      <c r="E423" s="388" t="s">
        <v>294</v>
      </c>
      <c r="F423" s="249" t="s">
        <v>1348</v>
      </c>
      <c r="G423" s="406">
        <v>45416</v>
      </c>
      <c r="H423" s="249" t="s">
        <v>7197</v>
      </c>
      <c r="I423" s="407"/>
      <c r="J423" s="403" t="s">
        <v>1323</v>
      </c>
      <c r="K423" s="369" t="s">
        <v>2450</v>
      </c>
      <c r="L423" s="404"/>
      <c r="M423" s="369" t="s">
        <v>7252</v>
      </c>
      <c r="N423" s="369" t="s">
        <v>7253</v>
      </c>
      <c r="O423" s="403"/>
      <c r="P423" s="404"/>
      <c r="Q423" s="390">
        <v>0.5</v>
      </c>
      <c r="R423" s="390"/>
    </row>
    <row r="424" ht="12.75" customHeight="1" spans="1:18">
      <c r="A424" s="369">
        <f t="shared" si="8"/>
        <v>7</v>
      </c>
      <c r="B424" s="387" t="s">
        <v>7030</v>
      </c>
      <c r="C424" s="404"/>
      <c r="D424" s="388"/>
      <c r="E424" s="388" t="s">
        <v>294</v>
      </c>
      <c r="F424" s="249" t="s">
        <v>1348</v>
      </c>
      <c r="G424" s="403" t="s">
        <v>5239</v>
      </c>
      <c r="H424" s="249" t="s">
        <v>7197</v>
      </c>
      <c r="I424" s="407"/>
      <c r="J424" s="403" t="s">
        <v>1323</v>
      </c>
      <c r="K424" s="369" t="s">
        <v>2450</v>
      </c>
      <c r="L424" s="404"/>
      <c r="M424" s="369" t="s">
        <v>7252</v>
      </c>
      <c r="N424" s="369" t="s">
        <v>7253</v>
      </c>
      <c r="O424" s="403" t="s">
        <v>7354</v>
      </c>
      <c r="P424" s="404"/>
      <c r="Q424" s="390">
        <v>0.5</v>
      </c>
      <c r="R424" s="390"/>
    </row>
    <row r="425" ht="12.75" customHeight="1" spans="1:18">
      <c r="A425" s="369">
        <f t="shared" si="8"/>
        <v>8</v>
      </c>
      <c r="B425" s="387" t="s">
        <v>7031</v>
      </c>
      <c r="C425" s="404"/>
      <c r="D425" s="388"/>
      <c r="E425" s="388" t="s">
        <v>294</v>
      </c>
      <c r="F425" s="249" t="s">
        <v>1348</v>
      </c>
      <c r="G425" s="403" t="s">
        <v>5239</v>
      </c>
      <c r="H425" s="249" t="s">
        <v>7197</v>
      </c>
      <c r="I425" s="407"/>
      <c r="J425" s="403" t="s">
        <v>1323</v>
      </c>
      <c r="K425" s="369" t="s">
        <v>2450</v>
      </c>
      <c r="L425" s="404"/>
      <c r="M425" s="369" t="s">
        <v>7252</v>
      </c>
      <c r="N425" s="369" t="s">
        <v>7253</v>
      </c>
      <c r="O425" s="403" t="s">
        <v>7355</v>
      </c>
      <c r="P425" s="404"/>
      <c r="Q425" s="390">
        <v>0.5</v>
      </c>
      <c r="R425" s="390"/>
    </row>
    <row r="426" ht="12.75" customHeight="1" spans="1:18">
      <c r="A426" s="369">
        <f t="shared" si="8"/>
        <v>9</v>
      </c>
      <c r="B426" s="387" t="s">
        <v>7032</v>
      </c>
      <c r="C426" s="404"/>
      <c r="D426" s="388"/>
      <c r="E426" s="388" t="s">
        <v>294</v>
      </c>
      <c r="F426" s="249" t="s">
        <v>1348</v>
      </c>
      <c r="G426" s="403" t="s">
        <v>5239</v>
      </c>
      <c r="H426" s="249" t="s">
        <v>7197</v>
      </c>
      <c r="I426" s="407"/>
      <c r="J426" s="403" t="s">
        <v>1323</v>
      </c>
      <c r="K426" s="369" t="s">
        <v>2450</v>
      </c>
      <c r="L426" s="404"/>
      <c r="M426" s="369" t="s">
        <v>7252</v>
      </c>
      <c r="N426" s="369" t="s">
        <v>7253</v>
      </c>
      <c r="O426" s="403" t="s">
        <v>7356</v>
      </c>
      <c r="P426" s="404"/>
      <c r="Q426" s="390">
        <v>0.5</v>
      </c>
      <c r="R426" s="390"/>
    </row>
    <row r="427" ht="12.75" customHeight="1" spans="1:18">
      <c r="A427" s="369">
        <f t="shared" si="8"/>
        <v>10</v>
      </c>
      <c r="B427" s="387" t="s">
        <v>7033</v>
      </c>
      <c r="C427" s="404"/>
      <c r="D427" s="388"/>
      <c r="E427" s="388" t="s">
        <v>294</v>
      </c>
      <c r="F427" s="249" t="s">
        <v>1348</v>
      </c>
      <c r="G427" s="403" t="s">
        <v>5239</v>
      </c>
      <c r="H427" s="249" t="s">
        <v>7197</v>
      </c>
      <c r="I427" s="407"/>
      <c r="J427" s="403" t="s">
        <v>1323</v>
      </c>
      <c r="K427" s="369" t="s">
        <v>2450</v>
      </c>
      <c r="L427" s="404"/>
      <c r="M427" s="369" t="s">
        <v>7252</v>
      </c>
      <c r="N427" s="369" t="s">
        <v>7253</v>
      </c>
      <c r="O427" s="403" t="s">
        <v>7357</v>
      </c>
      <c r="P427" s="404"/>
      <c r="Q427" s="390">
        <v>0.5</v>
      </c>
      <c r="R427" s="390"/>
    </row>
    <row r="428" ht="12.75" customHeight="1" spans="1:18">
      <c r="A428" s="369">
        <f t="shared" si="8"/>
        <v>11</v>
      </c>
      <c r="B428" s="387" t="s">
        <v>7034</v>
      </c>
      <c r="C428" s="404"/>
      <c r="D428" s="388"/>
      <c r="E428" s="388" t="s">
        <v>294</v>
      </c>
      <c r="F428" s="249" t="s">
        <v>1348</v>
      </c>
      <c r="G428" s="403" t="s">
        <v>5239</v>
      </c>
      <c r="H428" s="249" t="s">
        <v>7197</v>
      </c>
      <c r="I428" s="407"/>
      <c r="J428" s="403" t="s">
        <v>1323</v>
      </c>
      <c r="K428" s="369" t="s">
        <v>2450</v>
      </c>
      <c r="L428" s="404"/>
      <c r="M428" s="369" t="s">
        <v>7252</v>
      </c>
      <c r="N428" s="369" t="s">
        <v>7253</v>
      </c>
      <c r="O428" s="403" t="s">
        <v>7358</v>
      </c>
      <c r="P428" s="404"/>
      <c r="Q428" s="390">
        <v>0.5</v>
      </c>
      <c r="R428" s="390"/>
    </row>
    <row r="429" ht="12.75" customHeight="1" spans="1:18">
      <c r="A429" s="369">
        <f t="shared" si="8"/>
        <v>12</v>
      </c>
      <c r="B429" s="387" t="s">
        <v>7035</v>
      </c>
      <c r="C429" s="404"/>
      <c r="D429" s="388"/>
      <c r="E429" s="388" t="s">
        <v>294</v>
      </c>
      <c r="F429" s="249" t="s">
        <v>1348</v>
      </c>
      <c r="G429" s="403" t="s">
        <v>7269</v>
      </c>
      <c r="H429" s="249" t="s">
        <v>7197</v>
      </c>
      <c r="I429" s="407"/>
      <c r="J429" s="403" t="s">
        <v>1323</v>
      </c>
      <c r="K429" s="369" t="s">
        <v>2450</v>
      </c>
      <c r="L429" s="404"/>
      <c r="M429" s="369" t="s">
        <v>7252</v>
      </c>
      <c r="N429" s="369" t="s">
        <v>7253</v>
      </c>
      <c r="O429" s="403"/>
      <c r="P429" s="404"/>
      <c r="Q429" s="390">
        <v>0.5</v>
      </c>
      <c r="R429" s="390"/>
    </row>
    <row r="430" ht="12.75" customHeight="1" spans="1:18">
      <c r="A430" s="369">
        <f t="shared" si="8"/>
        <v>13</v>
      </c>
      <c r="B430" s="387" t="s">
        <v>7036</v>
      </c>
      <c r="C430" s="404"/>
      <c r="D430" s="388"/>
      <c r="E430" s="388" t="s">
        <v>294</v>
      </c>
      <c r="F430" s="249" t="s">
        <v>1348</v>
      </c>
      <c r="G430" s="403" t="s">
        <v>7269</v>
      </c>
      <c r="H430" s="249" t="s">
        <v>7197</v>
      </c>
      <c r="I430" s="407"/>
      <c r="J430" s="403" t="s">
        <v>1323</v>
      </c>
      <c r="K430" s="369" t="s">
        <v>2450</v>
      </c>
      <c r="L430" s="404"/>
      <c r="M430" s="369" t="s">
        <v>7252</v>
      </c>
      <c r="N430" s="369" t="s">
        <v>7253</v>
      </c>
      <c r="O430" s="403"/>
      <c r="P430" s="404"/>
      <c r="Q430" s="390">
        <v>0.5</v>
      </c>
      <c r="R430" s="390"/>
    </row>
    <row r="431" ht="12.75" customHeight="1" spans="1:18">
      <c r="A431" s="369">
        <f t="shared" si="8"/>
        <v>14</v>
      </c>
      <c r="B431" s="405" t="s">
        <v>7037</v>
      </c>
      <c r="C431" s="404"/>
      <c r="D431" s="388"/>
      <c r="E431" s="388" t="s">
        <v>294</v>
      </c>
      <c r="F431" s="249" t="s">
        <v>1348</v>
      </c>
      <c r="G431" s="403" t="s">
        <v>7269</v>
      </c>
      <c r="H431" s="249" t="s">
        <v>7197</v>
      </c>
      <c r="I431" s="407"/>
      <c r="J431" s="403" t="s">
        <v>1323</v>
      </c>
      <c r="K431" s="369" t="s">
        <v>2450</v>
      </c>
      <c r="L431" s="404"/>
      <c r="M431" s="369" t="s">
        <v>7252</v>
      </c>
      <c r="N431" s="369" t="s">
        <v>7253</v>
      </c>
      <c r="O431" s="403"/>
      <c r="P431" s="404"/>
      <c r="Q431" s="390">
        <v>0.5</v>
      </c>
      <c r="R431" s="390"/>
    </row>
    <row r="432" ht="12.75" customHeight="1" spans="1:18">
      <c r="A432" s="369">
        <f t="shared" si="8"/>
        <v>15</v>
      </c>
      <c r="B432" s="387" t="s">
        <v>7038</v>
      </c>
      <c r="C432" s="404"/>
      <c r="D432" s="388"/>
      <c r="E432" s="388" t="s">
        <v>294</v>
      </c>
      <c r="F432" s="249" t="s">
        <v>1348</v>
      </c>
      <c r="G432" s="403" t="s">
        <v>7269</v>
      </c>
      <c r="H432" s="249" t="s">
        <v>7197</v>
      </c>
      <c r="I432" s="407"/>
      <c r="J432" s="403" t="s">
        <v>1323</v>
      </c>
      <c r="K432" s="369" t="s">
        <v>2450</v>
      </c>
      <c r="L432" s="404"/>
      <c r="M432" s="369" t="s">
        <v>7252</v>
      </c>
      <c r="N432" s="369" t="s">
        <v>7253</v>
      </c>
      <c r="O432" s="403"/>
      <c r="P432" s="404"/>
      <c r="Q432" s="390">
        <v>0.5</v>
      </c>
      <c r="R432" s="390"/>
    </row>
    <row r="433" ht="12.75" customHeight="1" spans="1:18">
      <c r="A433" s="369">
        <f t="shared" si="8"/>
        <v>16</v>
      </c>
      <c r="B433" s="387" t="s">
        <v>7039</v>
      </c>
      <c r="C433" s="404"/>
      <c r="D433" s="388"/>
      <c r="E433" s="388" t="s">
        <v>294</v>
      </c>
      <c r="F433" s="249" t="s">
        <v>1348</v>
      </c>
      <c r="G433" s="403" t="s">
        <v>7269</v>
      </c>
      <c r="H433" s="249" t="s">
        <v>7197</v>
      </c>
      <c r="I433" s="407"/>
      <c r="J433" s="403" t="s">
        <v>1323</v>
      </c>
      <c r="K433" s="369" t="s">
        <v>2450</v>
      </c>
      <c r="L433" s="404"/>
      <c r="M433" s="369" t="s">
        <v>7252</v>
      </c>
      <c r="N433" s="369" t="s">
        <v>7253</v>
      </c>
      <c r="O433" s="403"/>
      <c r="P433" s="404"/>
      <c r="Q433" s="390">
        <v>0.5</v>
      </c>
      <c r="R433" s="390"/>
    </row>
    <row r="434" ht="12.75" customHeight="1" spans="1:18">
      <c r="A434" s="369">
        <f t="shared" si="8"/>
        <v>17</v>
      </c>
      <c r="B434" s="387" t="s">
        <v>7040</v>
      </c>
      <c r="C434" s="404"/>
      <c r="D434" s="388"/>
      <c r="E434" s="388" t="s">
        <v>294</v>
      </c>
      <c r="F434" s="249" t="s">
        <v>1348</v>
      </c>
      <c r="G434" s="403" t="s">
        <v>7269</v>
      </c>
      <c r="H434" s="249" t="s">
        <v>7197</v>
      </c>
      <c r="I434" s="407"/>
      <c r="J434" s="403" t="s">
        <v>1323</v>
      </c>
      <c r="K434" s="369" t="s">
        <v>2450</v>
      </c>
      <c r="L434" s="404"/>
      <c r="M434" s="369" t="s">
        <v>7252</v>
      </c>
      <c r="N434" s="369" t="s">
        <v>7253</v>
      </c>
      <c r="O434" s="403"/>
      <c r="P434" s="404"/>
      <c r="Q434" s="390">
        <v>0.5</v>
      </c>
      <c r="R434" s="390"/>
    </row>
    <row r="435" ht="12.75" customHeight="1" spans="1:18">
      <c r="A435" s="369">
        <f t="shared" si="8"/>
        <v>18</v>
      </c>
      <c r="B435" s="387" t="s">
        <v>7041</v>
      </c>
      <c r="C435" s="404"/>
      <c r="D435" s="388"/>
      <c r="E435" s="388" t="s">
        <v>294</v>
      </c>
      <c r="F435" s="249" t="s">
        <v>1348</v>
      </c>
      <c r="G435" s="403" t="s">
        <v>7269</v>
      </c>
      <c r="H435" s="249" t="s">
        <v>7197</v>
      </c>
      <c r="I435" s="407"/>
      <c r="J435" s="403" t="s">
        <v>1323</v>
      </c>
      <c r="K435" s="369" t="s">
        <v>2450</v>
      </c>
      <c r="L435" s="404"/>
      <c r="M435" s="369" t="s">
        <v>7252</v>
      </c>
      <c r="N435" s="369" t="s">
        <v>7253</v>
      </c>
      <c r="O435" s="403"/>
      <c r="P435" s="404"/>
      <c r="Q435" s="390">
        <v>0.5</v>
      </c>
      <c r="R435" s="390"/>
    </row>
    <row r="436" ht="12.75" customHeight="1" spans="1:18">
      <c r="A436" s="369">
        <f t="shared" si="8"/>
        <v>19</v>
      </c>
      <c r="B436" s="387" t="s">
        <v>7042</v>
      </c>
      <c r="C436" s="404"/>
      <c r="D436" s="388"/>
      <c r="E436" s="388" t="s">
        <v>294</v>
      </c>
      <c r="F436" s="249" t="s">
        <v>1348</v>
      </c>
      <c r="G436" s="403" t="s">
        <v>7269</v>
      </c>
      <c r="H436" s="249" t="s">
        <v>7197</v>
      </c>
      <c r="I436" s="407"/>
      <c r="J436" s="403" t="s">
        <v>1323</v>
      </c>
      <c r="K436" s="369" t="s">
        <v>2450</v>
      </c>
      <c r="L436" s="404"/>
      <c r="M436" s="369" t="s">
        <v>7252</v>
      </c>
      <c r="N436" s="369" t="s">
        <v>7253</v>
      </c>
      <c r="O436" s="403"/>
      <c r="P436" s="404"/>
      <c r="Q436" s="390">
        <v>0.5</v>
      </c>
      <c r="R436" s="390"/>
    </row>
    <row r="437" ht="12.75" customHeight="1" spans="1:18">
      <c r="A437" s="369">
        <f t="shared" si="8"/>
        <v>20</v>
      </c>
      <c r="B437" s="387" t="s">
        <v>7043</v>
      </c>
      <c r="C437" s="404"/>
      <c r="D437" s="388"/>
      <c r="E437" s="388" t="s">
        <v>294</v>
      </c>
      <c r="F437" s="249" t="s">
        <v>1348</v>
      </c>
      <c r="G437" s="403" t="s">
        <v>7269</v>
      </c>
      <c r="H437" s="249" t="s">
        <v>7197</v>
      </c>
      <c r="I437" s="407"/>
      <c r="J437" s="403" t="s">
        <v>1323</v>
      </c>
      <c r="K437" s="369" t="s">
        <v>2450</v>
      </c>
      <c r="L437" s="404"/>
      <c r="M437" s="369" t="s">
        <v>7252</v>
      </c>
      <c r="N437" s="369" t="s">
        <v>7253</v>
      </c>
      <c r="O437" s="403"/>
      <c r="P437" s="404"/>
      <c r="Q437" s="390">
        <v>0.5</v>
      </c>
      <c r="R437" s="390"/>
    </row>
    <row r="438" ht="12.75" customHeight="1" spans="1:18">
      <c r="A438" s="369">
        <f t="shared" si="8"/>
        <v>21</v>
      </c>
      <c r="B438" s="387" t="s">
        <v>7044</v>
      </c>
      <c r="C438" s="404"/>
      <c r="D438" s="388"/>
      <c r="E438" s="388" t="s">
        <v>294</v>
      </c>
      <c r="F438" s="249" t="s">
        <v>1348</v>
      </c>
      <c r="G438" s="403" t="s">
        <v>7269</v>
      </c>
      <c r="H438" s="249" t="s">
        <v>7197</v>
      </c>
      <c r="I438" s="407"/>
      <c r="J438" s="403" t="s">
        <v>1323</v>
      </c>
      <c r="K438" s="369" t="s">
        <v>2450</v>
      </c>
      <c r="L438" s="404"/>
      <c r="M438" s="369" t="s">
        <v>7252</v>
      </c>
      <c r="N438" s="369" t="s">
        <v>7253</v>
      </c>
      <c r="O438" s="403"/>
      <c r="P438" s="404"/>
      <c r="Q438" s="390">
        <v>0.5</v>
      </c>
      <c r="R438" s="390"/>
    </row>
    <row r="439" ht="12.75" customHeight="1" spans="1:18">
      <c r="A439" s="369">
        <f t="shared" si="8"/>
        <v>22</v>
      </c>
      <c r="B439" s="405" t="s">
        <v>7045</v>
      </c>
      <c r="C439" s="404"/>
      <c r="D439" s="388"/>
      <c r="E439" s="388" t="s">
        <v>294</v>
      </c>
      <c r="F439" s="249" t="s">
        <v>1348</v>
      </c>
      <c r="G439" s="403" t="s">
        <v>7269</v>
      </c>
      <c r="H439" s="249" t="s">
        <v>7197</v>
      </c>
      <c r="I439" s="407"/>
      <c r="J439" s="403" t="s">
        <v>1323</v>
      </c>
      <c r="K439" s="369" t="s">
        <v>2450</v>
      </c>
      <c r="L439" s="404"/>
      <c r="M439" s="369" t="s">
        <v>7252</v>
      </c>
      <c r="N439" s="369" t="s">
        <v>7253</v>
      </c>
      <c r="O439" s="403"/>
      <c r="P439" s="404"/>
      <c r="Q439" s="390">
        <v>0.5</v>
      </c>
      <c r="R439" s="390"/>
    </row>
    <row r="440" ht="12.75" customHeight="1" spans="1:18">
      <c r="A440" s="369">
        <f t="shared" si="8"/>
        <v>23</v>
      </c>
      <c r="B440" s="387" t="s">
        <v>7046</v>
      </c>
      <c r="C440" s="404"/>
      <c r="D440" s="388"/>
      <c r="E440" s="388" t="s">
        <v>294</v>
      </c>
      <c r="F440" s="249" t="s">
        <v>1348</v>
      </c>
      <c r="G440" s="403" t="s">
        <v>7269</v>
      </c>
      <c r="H440" s="249" t="s">
        <v>7197</v>
      </c>
      <c r="I440" s="407"/>
      <c r="J440" s="403" t="s">
        <v>1323</v>
      </c>
      <c r="K440" s="369" t="s">
        <v>2450</v>
      </c>
      <c r="L440" s="404"/>
      <c r="M440" s="369" t="s">
        <v>7252</v>
      </c>
      <c r="N440" s="369" t="s">
        <v>7253</v>
      </c>
      <c r="O440" s="403"/>
      <c r="P440" s="404"/>
      <c r="Q440" s="390">
        <v>0.5</v>
      </c>
      <c r="R440" s="390"/>
    </row>
    <row r="441" ht="12.75" customHeight="1" spans="1:18">
      <c r="A441" s="369">
        <f t="shared" si="8"/>
        <v>24</v>
      </c>
      <c r="B441" s="387" t="s">
        <v>7047</v>
      </c>
      <c r="C441" s="404"/>
      <c r="D441" s="388"/>
      <c r="E441" s="388" t="s">
        <v>293</v>
      </c>
      <c r="F441" s="249" t="s">
        <v>1348</v>
      </c>
      <c r="G441" s="406">
        <v>45844</v>
      </c>
      <c r="H441" s="249" t="s">
        <v>7197</v>
      </c>
      <c r="I441" s="407"/>
      <c r="J441" s="249" t="s">
        <v>7271</v>
      </c>
      <c r="K441" s="249"/>
      <c r="L441" s="387"/>
      <c r="M441" s="249" t="s">
        <v>7200</v>
      </c>
      <c r="N441" s="249" t="s">
        <v>7201</v>
      </c>
      <c r="O441" s="403"/>
      <c r="P441" s="404"/>
      <c r="Q441" s="390">
        <v>1</v>
      </c>
      <c r="R441" s="390"/>
    </row>
    <row r="442" ht="12.75" customHeight="1" spans="1:18">
      <c r="A442" s="369">
        <f t="shared" si="8"/>
        <v>25</v>
      </c>
      <c r="B442" s="405" t="s">
        <v>7048</v>
      </c>
      <c r="C442" s="404"/>
      <c r="D442" s="388"/>
      <c r="E442" s="388" t="s">
        <v>293</v>
      </c>
      <c r="F442" s="249" t="s">
        <v>1348</v>
      </c>
      <c r="G442" s="406">
        <v>45844</v>
      </c>
      <c r="H442" s="249" t="s">
        <v>7197</v>
      </c>
      <c r="I442" s="407"/>
      <c r="J442" s="249" t="s">
        <v>7271</v>
      </c>
      <c r="K442" s="249"/>
      <c r="L442" s="387"/>
      <c r="M442" s="249" t="s">
        <v>7200</v>
      </c>
      <c r="N442" s="249" t="s">
        <v>7201</v>
      </c>
      <c r="O442" s="403"/>
      <c r="P442" s="404"/>
      <c r="Q442" s="390">
        <v>1</v>
      </c>
      <c r="R442" s="390"/>
    </row>
    <row r="443" ht="12.75" customHeight="1" spans="1:18">
      <c r="A443" s="369">
        <f t="shared" si="8"/>
        <v>26</v>
      </c>
      <c r="B443" s="387" t="s">
        <v>7049</v>
      </c>
      <c r="C443" s="404"/>
      <c r="D443" s="388"/>
      <c r="E443" s="388" t="s">
        <v>293</v>
      </c>
      <c r="F443" s="249" t="s">
        <v>1348</v>
      </c>
      <c r="G443" s="406">
        <v>45844</v>
      </c>
      <c r="H443" s="249" t="s">
        <v>7197</v>
      </c>
      <c r="I443" s="407"/>
      <c r="J443" s="249" t="s">
        <v>7271</v>
      </c>
      <c r="K443" s="249"/>
      <c r="L443" s="387"/>
      <c r="M443" s="249" t="s">
        <v>7200</v>
      </c>
      <c r="N443" s="249" t="s">
        <v>7201</v>
      </c>
      <c r="O443" s="403"/>
      <c r="P443" s="404"/>
      <c r="Q443" s="390">
        <v>1</v>
      </c>
      <c r="R443" s="390"/>
    </row>
    <row r="444" ht="12.75" customHeight="1" spans="1:18">
      <c r="A444" s="369">
        <f t="shared" si="8"/>
        <v>27</v>
      </c>
      <c r="B444" s="405" t="s">
        <v>7050</v>
      </c>
      <c r="C444" s="404"/>
      <c r="D444" s="388"/>
      <c r="E444" s="388" t="s">
        <v>293</v>
      </c>
      <c r="F444" s="249" t="s">
        <v>1348</v>
      </c>
      <c r="G444" s="406">
        <v>45844</v>
      </c>
      <c r="H444" s="249" t="s">
        <v>7197</v>
      </c>
      <c r="I444" s="407"/>
      <c r="J444" s="249" t="s">
        <v>7271</v>
      </c>
      <c r="K444" s="249"/>
      <c r="L444" s="387"/>
      <c r="M444" s="249" t="s">
        <v>7200</v>
      </c>
      <c r="N444" s="249" t="s">
        <v>7201</v>
      </c>
      <c r="O444" s="403"/>
      <c r="P444" s="404"/>
      <c r="Q444" s="390">
        <v>1</v>
      </c>
      <c r="R444" s="390"/>
    </row>
    <row r="445" ht="12.75" customHeight="1" spans="1:18">
      <c r="A445" s="369">
        <f t="shared" si="8"/>
        <v>28</v>
      </c>
      <c r="B445" s="387" t="s">
        <v>7051</v>
      </c>
      <c r="C445" s="404"/>
      <c r="D445" s="388"/>
      <c r="E445" s="388" t="s">
        <v>293</v>
      </c>
      <c r="F445" s="249" t="s">
        <v>1348</v>
      </c>
      <c r="G445" s="406">
        <v>45844</v>
      </c>
      <c r="H445" s="249" t="s">
        <v>7197</v>
      </c>
      <c r="I445" s="407"/>
      <c r="J445" s="249" t="s">
        <v>7271</v>
      </c>
      <c r="K445" s="249"/>
      <c r="L445" s="387"/>
      <c r="M445" s="249" t="s">
        <v>7200</v>
      </c>
      <c r="N445" s="249" t="s">
        <v>7201</v>
      </c>
      <c r="O445" s="403"/>
      <c r="P445" s="404"/>
      <c r="Q445" s="390">
        <v>1</v>
      </c>
      <c r="R445" s="390"/>
    </row>
    <row r="446" ht="12.75" customHeight="1" spans="1:18">
      <c r="A446" s="369">
        <f t="shared" si="8"/>
        <v>29</v>
      </c>
      <c r="B446" s="387" t="s">
        <v>7052</v>
      </c>
      <c r="C446" s="404"/>
      <c r="D446" s="388"/>
      <c r="E446" s="388" t="s">
        <v>293</v>
      </c>
      <c r="F446" s="249" t="s">
        <v>1348</v>
      </c>
      <c r="G446" s="406">
        <v>45844</v>
      </c>
      <c r="H446" s="249" t="s">
        <v>7197</v>
      </c>
      <c r="I446" s="407"/>
      <c r="J446" s="249" t="s">
        <v>7271</v>
      </c>
      <c r="K446" s="249"/>
      <c r="L446" s="387"/>
      <c r="M446" s="249" t="s">
        <v>7200</v>
      </c>
      <c r="N446" s="249" t="s">
        <v>7201</v>
      </c>
      <c r="O446" s="403"/>
      <c r="P446" s="404"/>
      <c r="Q446" s="390">
        <v>1</v>
      </c>
      <c r="R446" s="390"/>
    </row>
    <row r="447" ht="12.75" customHeight="1" spans="1:18">
      <c r="A447" s="369">
        <f t="shared" si="8"/>
        <v>30</v>
      </c>
      <c r="B447" s="387" t="s">
        <v>7053</v>
      </c>
      <c r="C447" s="404"/>
      <c r="D447" s="388"/>
      <c r="E447" s="388" t="s">
        <v>293</v>
      </c>
      <c r="F447" s="249" t="s">
        <v>1348</v>
      </c>
      <c r="G447" s="406">
        <v>45844</v>
      </c>
      <c r="H447" s="249" t="s">
        <v>7197</v>
      </c>
      <c r="I447" s="407"/>
      <c r="J447" s="249" t="s">
        <v>7271</v>
      </c>
      <c r="K447" s="249"/>
      <c r="L447" s="387"/>
      <c r="M447" s="249" t="s">
        <v>7200</v>
      </c>
      <c r="N447" s="249" t="s">
        <v>7201</v>
      </c>
      <c r="O447" s="403"/>
      <c r="P447" s="404"/>
      <c r="Q447" s="390">
        <v>1</v>
      </c>
      <c r="R447" s="390"/>
    </row>
    <row r="448" ht="12.75" customHeight="1" spans="1:18">
      <c r="A448" s="369">
        <f t="shared" si="8"/>
        <v>31</v>
      </c>
      <c r="B448" s="405" t="s">
        <v>7054</v>
      </c>
      <c r="C448" s="404"/>
      <c r="D448" s="388"/>
      <c r="E448" s="388" t="s">
        <v>293</v>
      </c>
      <c r="F448" s="249" t="s">
        <v>1348</v>
      </c>
      <c r="G448" s="406">
        <v>45844</v>
      </c>
      <c r="H448" s="249" t="s">
        <v>7197</v>
      </c>
      <c r="I448" s="407"/>
      <c r="J448" s="249" t="s">
        <v>7271</v>
      </c>
      <c r="K448" s="249"/>
      <c r="L448" s="387"/>
      <c r="M448" s="249" t="s">
        <v>7200</v>
      </c>
      <c r="N448" s="249" t="s">
        <v>7201</v>
      </c>
      <c r="O448" s="403"/>
      <c r="P448" s="404"/>
      <c r="Q448" s="390">
        <v>1</v>
      </c>
      <c r="R448" s="390"/>
    </row>
    <row r="449" ht="12.75" customHeight="1" spans="1:18">
      <c r="A449" s="369">
        <f t="shared" si="8"/>
        <v>32</v>
      </c>
      <c r="B449" s="387" t="s">
        <v>7055</v>
      </c>
      <c r="C449" s="404"/>
      <c r="D449" s="388"/>
      <c r="E449" s="388" t="s">
        <v>293</v>
      </c>
      <c r="F449" s="249" t="s">
        <v>1348</v>
      </c>
      <c r="G449" s="406">
        <v>45844</v>
      </c>
      <c r="H449" s="249" t="s">
        <v>7197</v>
      </c>
      <c r="I449" s="407"/>
      <c r="J449" s="249" t="s">
        <v>7271</v>
      </c>
      <c r="K449" s="249"/>
      <c r="L449" s="387"/>
      <c r="M449" s="249" t="s">
        <v>7200</v>
      </c>
      <c r="N449" s="249" t="s">
        <v>7201</v>
      </c>
      <c r="O449" s="403"/>
      <c r="P449" s="404"/>
      <c r="Q449" s="390">
        <v>1</v>
      </c>
      <c r="R449" s="390"/>
    </row>
    <row r="450" ht="12.75" customHeight="1" spans="1:18">
      <c r="A450" s="369">
        <f t="shared" si="8"/>
        <v>33</v>
      </c>
      <c r="B450" s="387" t="s">
        <v>7056</v>
      </c>
      <c r="C450" s="404"/>
      <c r="D450" s="388"/>
      <c r="E450" s="388" t="s">
        <v>293</v>
      </c>
      <c r="F450" s="249" t="s">
        <v>1348</v>
      </c>
      <c r="G450" s="406">
        <v>45844</v>
      </c>
      <c r="H450" s="249" t="s">
        <v>7197</v>
      </c>
      <c r="I450" s="407"/>
      <c r="J450" s="249" t="s">
        <v>7271</v>
      </c>
      <c r="K450" s="249"/>
      <c r="L450" s="387"/>
      <c r="M450" s="249" t="s">
        <v>7200</v>
      </c>
      <c r="N450" s="249" t="s">
        <v>7201</v>
      </c>
      <c r="O450" s="403"/>
      <c r="P450" s="404"/>
      <c r="Q450" s="390">
        <v>1</v>
      </c>
      <c r="R450" s="390"/>
    </row>
    <row r="451" ht="12.75" customHeight="1" spans="1:18">
      <c r="A451" s="369">
        <f t="shared" si="8"/>
        <v>34</v>
      </c>
      <c r="B451" s="387" t="s">
        <v>7057</v>
      </c>
      <c r="C451" s="404"/>
      <c r="D451" s="388"/>
      <c r="E451" s="388" t="s">
        <v>293</v>
      </c>
      <c r="F451" s="249" t="s">
        <v>1348</v>
      </c>
      <c r="G451" s="403" t="s">
        <v>7359</v>
      </c>
      <c r="H451" s="249" t="s">
        <v>7197</v>
      </c>
      <c r="I451" s="407"/>
      <c r="J451" s="403" t="s">
        <v>7199</v>
      </c>
      <c r="K451" s="369"/>
      <c r="L451" s="404"/>
      <c r="M451" s="249" t="s">
        <v>7200</v>
      </c>
      <c r="N451" s="249" t="s">
        <v>7201</v>
      </c>
      <c r="O451" s="403"/>
      <c r="P451" s="404"/>
      <c r="Q451" s="390">
        <v>1</v>
      </c>
      <c r="R451" s="390"/>
    </row>
    <row r="452" ht="12.75" customHeight="1" spans="1:18">
      <c r="A452" s="369">
        <f t="shared" si="8"/>
        <v>35</v>
      </c>
      <c r="B452" s="387" t="s">
        <v>7058</v>
      </c>
      <c r="C452" s="404"/>
      <c r="D452" s="388"/>
      <c r="E452" s="388" t="s">
        <v>293</v>
      </c>
      <c r="F452" s="249" t="s">
        <v>1348</v>
      </c>
      <c r="G452" s="403" t="s">
        <v>7359</v>
      </c>
      <c r="H452" s="249" t="s">
        <v>7197</v>
      </c>
      <c r="I452" s="407"/>
      <c r="J452" s="403" t="s">
        <v>7199</v>
      </c>
      <c r="K452" s="369"/>
      <c r="L452" s="404"/>
      <c r="M452" s="249" t="s">
        <v>7200</v>
      </c>
      <c r="N452" s="249" t="s">
        <v>7201</v>
      </c>
      <c r="O452" s="403"/>
      <c r="P452" s="404"/>
      <c r="Q452" s="408"/>
      <c r="R452" s="408"/>
    </row>
    <row r="453" ht="12.75" customHeight="1" spans="1:18">
      <c r="A453" s="369">
        <f t="shared" si="8"/>
        <v>36</v>
      </c>
      <c r="B453" s="387" t="s">
        <v>7059</v>
      </c>
      <c r="C453" s="404"/>
      <c r="D453" s="388"/>
      <c r="E453" s="388" t="s">
        <v>293</v>
      </c>
      <c r="F453" s="249" t="s">
        <v>1348</v>
      </c>
      <c r="G453" s="403" t="s">
        <v>7359</v>
      </c>
      <c r="H453" s="249" t="s">
        <v>7197</v>
      </c>
      <c r="I453" s="407"/>
      <c r="J453" s="403" t="s">
        <v>7199</v>
      </c>
      <c r="K453" s="369"/>
      <c r="L453" s="404"/>
      <c r="M453" s="249" t="s">
        <v>7200</v>
      </c>
      <c r="N453" s="249" t="s">
        <v>7201</v>
      </c>
      <c r="O453" s="403"/>
      <c r="P453" s="404"/>
      <c r="Q453" s="408"/>
      <c r="R453" s="408"/>
    </row>
    <row r="454" ht="12.75" customHeight="1" spans="1:18">
      <c r="A454" s="369">
        <f t="shared" si="8"/>
        <v>37</v>
      </c>
      <c r="B454" s="387" t="s">
        <v>7060</v>
      </c>
      <c r="C454" s="404"/>
      <c r="D454" s="388"/>
      <c r="E454" s="388" t="s">
        <v>293</v>
      </c>
      <c r="F454" s="249" t="s">
        <v>1348</v>
      </c>
      <c r="G454" s="403" t="s">
        <v>7359</v>
      </c>
      <c r="H454" s="249" t="s">
        <v>7197</v>
      </c>
      <c r="I454" s="407"/>
      <c r="J454" s="403" t="s">
        <v>7199</v>
      </c>
      <c r="K454" s="369"/>
      <c r="L454" s="404"/>
      <c r="M454" s="249" t="s">
        <v>7200</v>
      </c>
      <c r="N454" s="249" t="s">
        <v>7201</v>
      </c>
      <c r="O454" s="403"/>
      <c r="P454" s="404"/>
      <c r="Q454" s="408"/>
      <c r="R454" s="408"/>
    </row>
    <row r="455" ht="12.75" customHeight="1" spans="1:18">
      <c r="A455" s="369">
        <f t="shared" si="8"/>
        <v>38</v>
      </c>
      <c r="B455" s="387" t="s">
        <v>7061</v>
      </c>
      <c r="C455" s="404"/>
      <c r="D455" s="388"/>
      <c r="E455" s="388" t="s">
        <v>293</v>
      </c>
      <c r="F455" s="249" t="s">
        <v>1348</v>
      </c>
      <c r="G455" s="403" t="s">
        <v>7359</v>
      </c>
      <c r="H455" s="249" t="s">
        <v>7197</v>
      </c>
      <c r="I455" s="407"/>
      <c r="J455" s="403" t="s">
        <v>7199</v>
      </c>
      <c r="K455" s="369"/>
      <c r="L455" s="404"/>
      <c r="M455" s="249" t="s">
        <v>7200</v>
      </c>
      <c r="N455" s="249" t="s">
        <v>7201</v>
      </c>
      <c r="O455" s="403"/>
      <c r="P455" s="404"/>
      <c r="Q455" s="408"/>
      <c r="R455" s="408"/>
    </row>
    <row r="456" ht="12.75" customHeight="1" spans="1:18">
      <c r="A456" s="369">
        <f t="shared" si="8"/>
        <v>39</v>
      </c>
      <c r="B456" s="387" t="s">
        <v>7062</v>
      </c>
      <c r="C456" s="404"/>
      <c r="D456" s="388"/>
      <c r="E456" s="388" t="s">
        <v>293</v>
      </c>
      <c r="F456" s="249" t="s">
        <v>1348</v>
      </c>
      <c r="G456" s="403" t="s">
        <v>2346</v>
      </c>
      <c r="H456" s="249" t="s">
        <v>7197</v>
      </c>
      <c r="I456" s="407"/>
      <c r="J456" s="403" t="s">
        <v>7199</v>
      </c>
      <c r="K456" s="369"/>
      <c r="L456" s="404"/>
      <c r="M456" s="249" t="s">
        <v>7200</v>
      </c>
      <c r="N456" s="249" t="s">
        <v>7201</v>
      </c>
      <c r="O456" s="403"/>
      <c r="P456" s="404"/>
      <c r="Q456" s="408"/>
      <c r="R456" s="408"/>
    </row>
    <row r="457" ht="12.75" customHeight="1" spans="1:18">
      <c r="A457" s="369">
        <f t="shared" si="8"/>
        <v>40</v>
      </c>
      <c r="B457" s="387" t="s">
        <v>7063</v>
      </c>
      <c r="C457" s="404"/>
      <c r="D457" s="388"/>
      <c r="E457" s="388" t="s">
        <v>293</v>
      </c>
      <c r="F457" s="249" t="s">
        <v>1348</v>
      </c>
      <c r="G457" s="403" t="s">
        <v>2346</v>
      </c>
      <c r="H457" s="249" t="s">
        <v>7197</v>
      </c>
      <c r="I457" s="407"/>
      <c r="J457" s="403" t="s">
        <v>7199</v>
      </c>
      <c r="K457" s="369"/>
      <c r="L457" s="404"/>
      <c r="M457" s="249" t="s">
        <v>7200</v>
      </c>
      <c r="N457" s="249" t="s">
        <v>7201</v>
      </c>
      <c r="O457" s="403"/>
      <c r="P457" s="404"/>
      <c r="Q457" s="408"/>
      <c r="R457" s="408"/>
    </row>
    <row r="458" ht="12.75" customHeight="1" spans="1:18">
      <c r="A458" s="369">
        <f t="shared" si="8"/>
        <v>41</v>
      </c>
      <c r="B458" s="387" t="s">
        <v>7064</v>
      </c>
      <c r="C458" s="404"/>
      <c r="D458" s="388"/>
      <c r="E458" s="388" t="s">
        <v>293</v>
      </c>
      <c r="F458" s="249" t="s">
        <v>1348</v>
      </c>
      <c r="G458" s="403" t="s">
        <v>2346</v>
      </c>
      <c r="H458" s="249" t="s">
        <v>7197</v>
      </c>
      <c r="I458" s="407"/>
      <c r="J458" s="403" t="s">
        <v>7199</v>
      </c>
      <c r="K458" s="369"/>
      <c r="L458" s="404"/>
      <c r="M458" s="249" t="s">
        <v>7200</v>
      </c>
      <c r="N458" s="249" t="s">
        <v>7201</v>
      </c>
      <c r="O458" s="403"/>
      <c r="P458" s="404"/>
      <c r="Q458" s="408"/>
      <c r="R458" s="408"/>
    </row>
    <row r="459" ht="12.75" customHeight="1" spans="1:18">
      <c r="A459" s="369">
        <f t="shared" si="8"/>
        <v>42</v>
      </c>
      <c r="B459" s="387" t="s">
        <v>7065</v>
      </c>
      <c r="C459" s="404"/>
      <c r="D459" s="388"/>
      <c r="E459" s="388" t="s">
        <v>293</v>
      </c>
      <c r="F459" s="249" t="s">
        <v>1348</v>
      </c>
      <c r="G459" s="403" t="s">
        <v>2346</v>
      </c>
      <c r="H459" s="249" t="s">
        <v>7197</v>
      </c>
      <c r="I459" s="407"/>
      <c r="J459" s="403" t="s">
        <v>7199</v>
      </c>
      <c r="K459" s="369"/>
      <c r="L459" s="404"/>
      <c r="M459" s="249" t="s">
        <v>7200</v>
      </c>
      <c r="N459" s="249" t="s">
        <v>7201</v>
      </c>
      <c r="O459" s="403"/>
      <c r="P459" s="404"/>
      <c r="Q459" s="408"/>
      <c r="R459" s="408"/>
    </row>
    <row r="460" ht="12.75" customHeight="1" spans="1:18">
      <c r="A460" s="369">
        <f t="shared" si="8"/>
        <v>43</v>
      </c>
      <c r="B460" s="387" t="s">
        <v>7066</v>
      </c>
      <c r="C460" s="404"/>
      <c r="D460" s="388"/>
      <c r="E460" s="388" t="s">
        <v>293</v>
      </c>
      <c r="F460" s="249" t="s">
        <v>1348</v>
      </c>
      <c r="G460" s="403" t="s">
        <v>2346</v>
      </c>
      <c r="H460" s="249" t="s">
        <v>7197</v>
      </c>
      <c r="I460" s="407"/>
      <c r="J460" s="403" t="s">
        <v>7199</v>
      </c>
      <c r="K460" s="369"/>
      <c r="L460" s="404"/>
      <c r="M460" s="249" t="s">
        <v>7200</v>
      </c>
      <c r="N460" s="249" t="s">
        <v>7201</v>
      </c>
      <c r="O460" s="403"/>
      <c r="P460" s="404"/>
      <c r="Q460" s="408"/>
      <c r="R460" s="408"/>
    </row>
    <row r="461" ht="12.75" customHeight="1" spans="1:18">
      <c r="A461" s="369">
        <f t="shared" si="8"/>
        <v>44</v>
      </c>
      <c r="B461" s="387" t="s">
        <v>7067</v>
      </c>
      <c r="C461" s="404"/>
      <c r="D461" s="388"/>
      <c r="E461" s="388" t="s">
        <v>293</v>
      </c>
      <c r="F461" s="249" t="s">
        <v>1348</v>
      </c>
      <c r="G461" s="403" t="s">
        <v>2346</v>
      </c>
      <c r="H461" s="249" t="s">
        <v>7197</v>
      </c>
      <c r="I461" s="407"/>
      <c r="J461" s="403" t="s">
        <v>7199</v>
      </c>
      <c r="K461" s="369"/>
      <c r="L461" s="404"/>
      <c r="M461" s="249" t="s">
        <v>7200</v>
      </c>
      <c r="N461" s="249" t="s">
        <v>7201</v>
      </c>
      <c r="O461" s="403"/>
      <c r="P461" s="404"/>
      <c r="Q461" s="408"/>
      <c r="R461" s="408"/>
    </row>
    <row r="462" ht="12.75" customHeight="1" spans="1:18">
      <c r="A462" s="369">
        <f t="shared" si="8"/>
        <v>45</v>
      </c>
      <c r="B462" s="387" t="s">
        <v>7068</v>
      </c>
      <c r="C462" s="404"/>
      <c r="D462" s="388"/>
      <c r="E462" s="388" t="s">
        <v>293</v>
      </c>
      <c r="F462" s="249" t="s">
        <v>1348</v>
      </c>
      <c r="G462" s="403" t="s">
        <v>2346</v>
      </c>
      <c r="H462" s="249" t="s">
        <v>7197</v>
      </c>
      <c r="I462" s="407"/>
      <c r="J462" s="403" t="s">
        <v>7199</v>
      </c>
      <c r="K462" s="369"/>
      <c r="L462" s="404"/>
      <c r="M462" s="249" t="s">
        <v>7200</v>
      </c>
      <c r="N462" s="249" t="s">
        <v>7201</v>
      </c>
      <c r="O462" s="403"/>
      <c r="P462" s="404"/>
      <c r="Q462" s="408"/>
      <c r="R462" s="408"/>
    </row>
    <row r="463" ht="12.75" customHeight="1" spans="1:18">
      <c r="A463" s="369">
        <f t="shared" si="8"/>
        <v>46</v>
      </c>
      <c r="B463" s="387" t="s">
        <v>7069</v>
      </c>
      <c r="C463" s="404"/>
      <c r="D463" s="388"/>
      <c r="E463" s="388" t="s">
        <v>293</v>
      </c>
      <c r="F463" s="249" t="s">
        <v>1348</v>
      </c>
      <c r="G463" s="403" t="s">
        <v>2346</v>
      </c>
      <c r="H463" s="249" t="s">
        <v>7197</v>
      </c>
      <c r="I463" s="407"/>
      <c r="J463" s="403" t="s">
        <v>7199</v>
      </c>
      <c r="K463" s="369"/>
      <c r="L463" s="404"/>
      <c r="M463" s="249" t="s">
        <v>7200</v>
      </c>
      <c r="N463" s="249" t="s">
        <v>7201</v>
      </c>
      <c r="O463" s="403"/>
      <c r="P463" s="404"/>
      <c r="Q463" s="408"/>
      <c r="R463" s="408"/>
    </row>
    <row r="464" ht="12.75" customHeight="1" spans="1:18">
      <c r="A464" s="369">
        <f t="shared" si="8"/>
        <v>47</v>
      </c>
      <c r="B464" s="387" t="s">
        <v>7070</v>
      </c>
      <c r="C464" s="404"/>
      <c r="D464" s="388"/>
      <c r="E464" s="388" t="s">
        <v>293</v>
      </c>
      <c r="F464" s="249" t="s">
        <v>1348</v>
      </c>
      <c r="G464" s="403" t="s">
        <v>2346</v>
      </c>
      <c r="H464" s="249" t="s">
        <v>7197</v>
      </c>
      <c r="I464" s="407"/>
      <c r="J464" s="403" t="s">
        <v>7199</v>
      </c>
      <c r="K464" s="369"/>
      <c r="L464" s="404"/>
      <c r="M464" s="249" t="s">
        <v>7200</v>
      </c>
      <c r="N464" s="249" t="s">
        <v>7201</v>
      </c>
      <c r="O464" s="403"/>
      <c r="P464" s="404"/>
      <c r="Q464" s="408"/>
      <c r="R464" s="408"/>
    </row>
    <row r="465" ht="12.75" customHeight="1" spans="1:18">
      <c r="A465" s="369">
        <f t="shared" si="8"/>
        <v>48</v>
      </c>
      <c r="B465" s="387" t="s">
        <v>7071</v>
      </c>
      <c r="C465" s="404"/>
      <c r="D465" s="388"/>
      <c r="E465" s="388" t="s">
        <v>293</v>
      </c>
      <c r="F465" s="249" t="s">
        <v>1348</v>
      </c>
      <c r="G465" s="403" t="s">
        <v>2346</v>
      </c>
      <c r="H465" s="249" t="s">
        <v>7197</v>
      </c>
      <c r="I465" s="407"/>
      <c r="J465" s="403" t="s">
        <v>7199</v>
      </c>
      <c r="K465" s="369"/>
      <c r="L465" s="404"/>
      <c r="M465" s="249" t="s">
        <v>7200</v>
      </c>
      <c r="N465" s="249" t="s">
        <v>7201</v>
      </c>
      <c r="O465" s="403"/>
      <c r="P465" s="404"/>
      <c r="Q465" s="408"/>
      <c r="R465" s="408"/>
    </row>
    <row r="466" ht="12.75" customHeight="1" spans="1:18">
      <c r="A466" s="369">
        <f t="shared" si="8"/>
        <v>49</v>
      </c>
      <c r="B466" s="387" t="s">
        <v>7360</v>
      </c>
      <c r="C466" s="404"/>
      <c r="D466" s="388"/>
      <c r="E466" s="388" t="s">
        <v>293</v>
      </c>
      <c r="F466" s="249" t="s">
        <v>1348</v>
      </c>
      <c r="G466" s="403" t="s">
        <v>5195</v>
      </c>
      <c r="H466" s="249" t="s">
        <v>7197</v>
      </c>
      <c r="I466" s="407"/>
      <c r="J466" s="403" t="s">
        <v>7199</v>
      </c>
      <c r="K466" s="369"/>
      <c r="L466" s="404"/>
      <c r="M466" s="249" t="s">
        <v>7200</v>
      </c>
      <c r="N466" s="249" t="s">
        <v>7201</v>
      </c>
      <c r="O466" s="403"/>
      <c r="P466" s="404"/>
      <c r="Q466" s="408"/>
      <c r="R466" s="408"/>
    </row>
    <row r="467" ht="12.75" customHeight="1" spans="1:18">
      <c r="A467" s="369">
        <f t="shared" si="8"/>
        <v>50</v>
      </c>
      <c r="B467" s="387" t="s">
        <v>7361</v>
      </c>
      <c r="C467" s="404"/>
      <c r="D467" s="388"/>
      <c r="E467" s="388" t="s">
        <v>293</v>
      </c>
      <c r="F467" s="249" t="s">
        <v>1348</v>
      </c>
      <c r="G467" s="403" t="s">
        <v>5195</v>
      </c>
      <c r="H467" s="249" t="s">
        <v>7197</v>
      </c>
      <c r="I467" s="407"/>
      <c r="J467" s="403" t="s">
        <v>7199</v>
      </c>
      <c r="K467" s="369"/>
      <c r="L467" s="404"/>
      <c r="M467" s="249" t="s">
        <v>7200</v>
      </c>
      <c r="N467" s="249" t="s">
        <v>7201</v>
      </c>
      <c r="O467" s="403"/>
      <c r="P467" s="404"/>
      <c r="Q467" s="408"/>
      <c r="R467" s="408"/>
    </row>
    <row r="468" ht="12.75" customHeight="1" spans="1:18">
      <c r="A468" s="369">
        <f t="shared" si="8"/>
        <v>51</v>
      </c>
      <c r="B468" s="387" t="s">
        <v>7362</v>
      </c>
      <c r="C468" s="404"/>
      <c r="D468" s="388"/>
      <c r="E468" s="388" t="s">
        <v>293</v>
      </c>
      <c r="F468" s="249" t="s">
        <v>1348</v>
      </c>
      <c r="G468" s="403" t="s">
        <v>5195</v>
      </c>
      <c r="H468" s="249" t="s">
        <v>7197</v>
      </c>
      <c r="I468" s="407"/>
      <c r="J468" s="403" t="s">
        <v>7199</v>
      </c>
      <c r="K468" s="369"/>
      <c r="L468" s="404"/>
      <c r="M468" s="249" t="s">
        <v>7200</v>
      </c>
      <c r="N468" s="249" t="s">
        <v>7201</v>
      </c>
      <c r="O468" s="403"/>
      <c r="P468" s="404"/>
      <c r="Q468" s="408"/>
      <c r="R468" s="408"/>
    </row>
    <row r="469" ht="12.75" customHeight="1" spans="1:18">
      <c r="A469" s="369">
        <f t="shared" si="8"/>
        <v>52</v>
      </c>
      <c r="B469" s="387" t="s">
        <v>7363</v>
      </c>
      <c r="C469" s="404"/>
      <c r="D469" s="388"/>
      <c r="E469" s="388" t="s">
        <v>293</v>
      </c>
      <c r="F469" s="249" t="s">
        <v>1348</v>
      </c>
      <c r="G469" s="403" t="s">
        <v>5195</v>
      </c>
      <c r="H469" s="249" t="s">
        <v>7197</v>
      </c>
      <c r="I469" s="407"/>
      <c r="J469" s="403" t="s">
        <v>7199</v>
      </c>
      <c r="K469" s="369"/>
      <c r="L469" s="404"/>
      <c r="M469" s="249" t="s">
        <v>7200</v>
      </c>
      <c r="N469" s="249" t="s">
        <v>7201</v>
      </c>
      <c r="O469" s="403"/>
      <c r="P469" s="404"/>
      <c r="Q469" s="408"/>
      <c r="R469" s="408"/>
    </row>
    <row r="470" ht="12.75" customHeight="1" spans="1:18">
      <c r="A470" s="369">
        <f t="shared" si="8"/>
        <v>53</v>
      </c>
      <c r="B470" s="387" t="s">
        <v>7364</v>
      </c>
      <c r="C470" s="404"/>
      <c r="D470" s="388"/>
      <c r="E470" s="388" t="s">
        <v>294</v>
      </c>
      <c r="F470" s="249" t="s">
        <v>1348</v>
      </c>
      <c r="G470" s="403" t="s">
        <v>5195</v>
      </c>
      <c r="H470" s="249" t="s">
        <v>7197</v>
      </c>
      <c r="I470" s="407"/>
      <c r="J470" s="403" t="s">
        <v>1323</v>
      </c>
      <c r="K470" s="369"/>
      <c r="L470" s="404"/>
      <c r="M470" s="369" t="s">
        <v>7252</v>
      </c>
      <c r="N470" s="369" t="s">
        <v>7253</v>
      </c>
      <c r="O470" s="403" t="s">
        <v>7365</v>
      </c>
      <c r="P470" s="404"/>
      <c r="Q470" s="408"/>
      <c r="R470" s="408"/>
    </row>
    <row r="471" ht="12.75" customHeight="1" spans="1:18">
      <c r="A471" s="369">
        <f t="shared" si="8"/>
        <v>54</v>
      </c>
      <c r="B471" s="387" t="s">
        <v>7366</v>
      </c>
      <c r="C471" s="404"/>
      <c r="D471" s="388"/>
      <c r="E471" s="388" t="s">
        <v>294</v>
      </c>
      <c r="F471" s="249" t="s">
        <v>1348</v>
      </c>
      <c r="G471" s="403" t="s">
        <v>5195</v>
      </c>
      <c r="H471" s="249" t="s">
        <v>7197</v>
      </c>
      <c r="I471" s="407"/>
      <c r="J471" s="403" t="s">
        <v>1323</v>
      </c>
      <c r="K471" s="369"/>
      <c r="L471" s="404"/>
      <c r="M471" s="369" t="s">
        <v>7252</v>
      </c>
      <c r="N471" s="369" t="s">
        <v>7253</v>
      </c>
      <c r="O471" s="403" t="s">
        <v>7367</v>
      </c>
      <c r="P471" s="404"/>
      <c r="Q471" s="408"/>
      <c r="R471" s="408"/>
    </row>
    <row r="472" ht="12.75" customHeight="1" spans="1:18">
      <c r="A472" s="369">
        <f t="shared" si="8"/>
        <v>55</v>
      </c>
      <c r="B472" s="387" t="s">
        <v>7368</v>
      </c>
      <c r="C472" s="404"/>
      <c r="D472" s="388"/>
      <c r="E472" s="388" t="s">
        <v>294</v>
      </c>
      <c r="F472" s="249" t="s">
        <v>1348</v>
      </c>
      <c r="G472" s="403" t="s">
        <v>5195</v>
      </c>
      <c r="H472" s="249" t="s">
        <v>7197</v>
      </c>
      <c r="I472" s="407"/>
      <c r="J472" s="403" t="s">
        <v>1323</v>
      </c>
      <c r="K472" s="369"/>
      <c r="L472" s="404"/>
      <c r="M472" s="369" t="s">
        <v>7252</v>
      </c>
      <c r="N472" s="369" t="s">
        <v>7253</v>
      </c>
      <c r="O472" s="403" t="s">
        <v>7369</v>
      </c>
      <c r="P472" s="404"/>
      <c r="Q472" s="408"/>
      <c r="R472" s="408"/>
    </row>
    <row r="473" ht="12.75" customHeight="1" spans="1:18">
      <c r="A473" s="369">
        <f t="shared" si="8"/>
        <v>56</v>
      </c>
      <c r="B473" s="387" t="s">
        <v>7370</v>
      </c>
      <c r="C473" s="404"/>
      <c r="D473" s="388"/>
      <c r="E473" s="388" t="s">
        <v>294</v>
      </c>
      <c r="F473" s="249" t="s">
        <v>1348</v>
      </c>
      <c r="G473" s="403" t="s">
        <v>5195</v>
      </c>
      <c r="H473" s="249" t="s">
        <v>7197</v>
      </c>
      <c r="I473" s="407"/>
      <c r="J473" s="403" t="s">
        <v>1323</v>
      </c>
      <c r="K473" s="369"/>
      <c r="L473" s="404"/>
      <c r="M473" s="369" t="s">
        <v>7252</v>
      </c>
      <c r="N473" s="369" t="s">
        <v>7253</v>
      </c>
      <c r="O473" s="403" t="s">
        <v>7371</v>
      </c>
      <c r="P473" s="404"/>
      <c r="Q473" s="408"/>
      <c r="R473" s="408"/>
    </row>
    <row r="474" ht="12.75" customHeight="1" spans="1:18">
      <c r="A474" s="369">
        <f t="shared" si="8"/>
        <v>57</v>
      </c>
      <c r="B474" s="387" t="s">
        <v>7372</v>
      </c>
      <c r="C474" s="404"/>
      <c r="D474" s="388"/>
      <c r="E474" s="388" t="s">
        <v>294</v>
      </c>
      <c r="F474" s="249" t="s">
        <v>1348</v>
      </c>
      <c r="G474" s="403" t="s">
        <v>5195</v>
      </c>
      <c r="H474" s="249" t="s">
        <v>7197</v>
      </c>
      <c r="I474" s="407"/>
      <c r="J474" s="403" t="s">
        <v>1323</v>
      </c>
      <c r="K474" s="369"/>
      <c r="L474" s="404"/>
      <c r="M474" s="369" t="s">
        <v>7252</v>
      </c>
      <c r="N474" s="369" t="s">
        <v>7253</v>
      </c>
      <c r="O474" s="403" t="s">
        <v>7373</v>
      </c>
      <c r="P474" s="404"/>
      <c r="Q474" s="408"/>
      <c r="R474" s="408"/>
    </row>
    <row r="475" ht="12.75" customHeight="1" spans="1:18">
      <c r="A475" s="369">
        <f t="shared" si="8"/>
        <v>58</v>
      </c>
      <c r="B475" s="387" t="s">
        <v>7374</v>
      </c>
      <c r="C475" s="404"/>
      <c r="D475" s="388"/>
      <c r="E475" s="388" t="s">
        <v>294</v>
      </c>
      <c r="F475" s="249" t="s">
        <v>1348</v>
      </c>
      <c r="G475" s="403" t="s">
        <v>5195</v>
      </c>
      <c r="H475" s="249" t="s">
        <v>7197</v>
      </c>
      <c r="I475" s="407"/>
      <c r="J475" s="403" t="s">
        <v>1323</v>
      </c>
      <c r="K475" s="369"/>
      <c r="L475" s="404"/>
      <c r="M475" s="369" t="s">
        <v>7252</v>
      </c>
      <c r="N475" s="369" t="s">
        <v>7253</v>
      </c>
      <c r="O475" s="403" t="s">
        <v>7375</v>
      </c>
      <c r="P475" s="404"/>
      <c r="Q475" s="408"/>
      <c r="R475" s="408"/>
    </row>
    <row r="476" ht="12.75" customHeight="1" spans="1:18">
      <c r="A476" s="369">
        <f t="shared" si="8"/>
        <v>59</v>
      </c>
      <c r="B476" s="387" t="s">
        <v>7376</v>
      </c>
      <c r="C476" s="404"/>
      <c r="D476" s="388"/>
      <c r="E476" s="388" t="s">
        <v>294</v>
      </c>
      <c r="F476" s="249" t="s">
        <v>1348</v>
      </c>
      <c r="G476" s="403" t="s">
        <v>5195</v>
      </c>
      <c r="H476" s="249" t="s">
        <v>7197</v>
      </c>
      <c r="I476" s="407"/>
      <c r="J476" s="403" t="s">
        <v>1323</v>
      </c>
      <c r="K476" s="369"/>
      <c r="L476" s="404"/>
      <c r="M476" s="369" t="s">
        <v>7252</v>
      </c>
      <c r="N476" s="369" t="s">
        <v>7253</v>
      </c>
      <c r="O476" s="403" t="s">
        <v>7377</v>
      </c>
      <c r="P476" s="404"/>
      <c r="Q476" s="408"/>
      <c r="R476" s="408"/>
    </row>
    <row r="477" ht="12.75" customHeight="1" spans="1:18">
      <c r="A477" s="369">
        <f t="shared" si="8"/>
        <v>60</v>
      </c>
      <c r="B477" s="387" t="s">
        <v>7378</v>
      </c>
      <c r="C477" s="404"/>
      <c r="D477" s="388"/>
      <c r="E477" s="388" t="s">
        <v>294</v>
      </c>
      <c r="F477" s="249" t="s">
        <v>1348</v>
      </c>
      <c r="G477" s="403" t="s">
        <v>5195</v>
      </c>
      <c r="H477" s="249" t="s">
        <v>7197</v>
      </c>
      <c r="I477" s="407"/>
      <c r="J477" s="403" t="s">
        <v>1323</v>
      </c>
      <c r="K477" s="369"/>
      <c r="L477" s="404"/>
      <c r="M477" s="369" t="s">
        <v>7252</v>
      </c>
      <c r="N477" s="369" t="s">
        <v>7253</v>
      </c>
      <c r="O477" s="403" t="s">
        <v>7379</v>
      </c>
      <c r="P477" s="404"/>
      <c r="Q477" s="408"/>
      <c r="R477" s="408"/>
    </row>
    <row r="478" ht="12.75" customHeight="1" spans="1:18">
      <c r="A478" s="369">
        <f t="shared" si="8"/>
        <v>61</v>
      </c>
      <c r="B478" s="387" t="s">
        <v>7380</v>
      </c>
      <c r="C478" s="404"/>
      <c r="D478" s="388"/>
      <c r="E478" s="388" t="s">
        <v>294</v>
      </c>
      <c r="F478" s="249" t="s">
        <v>1348</v>
      </c>
      <c r="G478" s="403" t="s">
        <v>5195</v>
      </c>
      <c r="H478" s="249" t="s">
        <v>7197</v>
      </c>
      <c r="I478" s="407"/>
      <c r="J478" s="403" t="s">
        <v>1323</v>
      </c>
      <c r="K478" s="369"/>
      <c r="L478" s="404"/>
      <c r="M478" s="369" t="s">
        <v>7252</v>
      </c>
      <c r="N478" s="369" t="s">
        <v>7253</v>
      </c>
      <c r="O478" s="403" t="s">
        <v>7381</v>
      </c>
      <c r="P478" s="404"/>
      <c r="Q478" s="408"/>
      <c r="R478" s="408"/>
    </row>
    <row r="479" ht="12.75" customHeight="1" spans="1:18">
      <c r="A479" s="369">
        <f t="shared" si="8"/>
        <v>62</v>
      </c>
      <c r="B479" s="387" t="s">
        <v>7382</v>
      </c>
      <c r="C479" s="404"/>
      <c r="D479" s="388"/>
      <c r="E479" s="388" t="s">
        <v>294</v>
      </c>
      <c r="F479" s="249" t="s">
        <v>1348</v>
      </c>
      <c r="G479" s="403" t="s">
        <v>5195</v>
      </c>
      <c r="H479" s="249" t="s">
        <v>7197</v>
      </c>
      <c r="I479" s="407"/>
      <c r="J479" s="403" t="s">
        <v>1323</v>
      </c>
      <c r="K479" s="369"/>
      <c r="L479" s="404"/>
      <c r="M479" s="369" t="s">
        <v>7252</v>
      </c>
      <c r="N479" s="369" t="s">
        <v>7253</v>
      </c>
      <c r="O479" s="403" t="s">
        <v>7383</v>
      </c>
      <c r="P479" s="404"/>
      <c r="Q479" s="408"/>
      <c r="R479" s="408"/>
    </row>
    <row r="480" ht="12.75" customHeight="1" spans="1:18">
      <c r="A480" s="369">
        <f t="shared" si="8"/>
        <v>63</v>
      </c>
      <c r="B480" s="387" t="s">
        <v>7384</v>
      </c>
      <c r="C480" s="404"/>
      <c r="D480" s="388"/>
      <c r="E480" s="388" t="s">
        <v>294</v>
      </c>
      <c r="F480" s="249" t="s">
        <v>1348</v>
      </c>
      <c r="G480" s="403" t="s">
        <v>5195</v>
      </c>
      <c r="H480" s="249" t="s">
        <v>7197</v>
      </c>
      <c r="I480" s="407"/>
      <c r="J480" s="403" t="s">
        <v>1323</v>
      </c>
      <c r="K480" s="369"/>
      <c r="L480" s="404"/>
      <c r="M480" s="369" t="s">
        <v>7252</v>
      </c>
      <c r="N480" s="369" t="s">
        <v>7253</v>
      </c>
      <c r="O480" s="403" t="s">
        <v>7385</v>
      </c>
      <c r="P480" s="404"/>
      <c r="Q480" s="408"/>
      <c r="R480" s="408"/>
    </row>
    <row r="481" ht="12.75" customHeight="1" spans="1:18">
      <c r="A481" s="249"/>
      <c r="B481" s="387"/>
      <c r="C481" s="404"/>
      <c r="D481" s="388"/>
      <c r="E481" s="388"/>
      <c r="F481" s="249"/>
      <c r="G481" s="403"/>
      <c r="H481" s="249"/>
      <c r="I481" s="407"/>
      <c r="J481" s="403"/>
      <c r="K481" s="369"/>
      <c r="L481" s="404"/>
      <c r="M481" s="369"/>
      <c r="N481" s="369"/>
      <c r="O481" s="403"/>
      <c r="P481" s="404"/>
      <c r="Q481" s="408"/>
      <c r="R481" s="408"/>
    </row>
    <row r="482" ht="12.75" customHeight="1" spans="1:18">
      <c r="A482" s="249"/>
      <c r="B482" s="387"/>
      <c r="C482" s="404"/>
      <c r="D482" s="388"/>
      <c r="E482" s="388"/>
      <c r="F482" s="249"/>
      <c r="G482" s="403"/>
      <c r="H482" s="249"/>
      <c r="I482" s="407"/>
      <c r="J482" s="403"/>
      <c r="K482" s="369"/>
      <c r="L482" s="404"/>
      <c r="M482" s="369"/>
      <c r="N482" s="369"/>
      <c r="O482" s="403"/>
      <c r="P482" s="404"/>
      <c r="Q482" s="408"/>
      <c r="R482" s="408"/>
    </row>
    <row r="483" ht="12.75" customHeight="1" spans="1:18">
      <c r="A483" s="249"/>
      <c r="B483" s="387"/>
      <c r="C483" s="404"/>
      <c r="D483" s="388"/>
      <c r="E483" s="388"/>
      <c r="F483" s="249"/>
      <c r="G483" s="403"/>
      <c r="H483" s="249"/>
      <c r="I483" s="407"/>
      <c r="J483" s="403"/>
      <c r="K483" s="369"/>
      <c r="L483" s="404"/>
      <c r="M483" s="369"/>
      <c r="N483" s="369"/>
      <c r="O483" s="403"/>
      <c r="P483" s="404"/>
      <c r="Q483" s="408"/>
      <c r="R483" s="408"/>
    </row>
    <row r="484" ht="12.75" customHeight="1" spans="1:18">
      <c r="A484" s="249"/>
      <c r="B484" s="387"/>
      <c r="C484" s="404"/>
      <c r="D484" s="388"/>
      <c r="E484" s="388"/>
      <c r="F484" s="249"/>
      <c r="G484" s="403"/>
      <c r="H484" s="249"/>
      <c r="I484" s="407"/>
      <c r="J484" s="403"/>
      <c r="K484" s="369"/>
      <c r="L484" s="404"/>
      <c r="M484" s="369"/>
      <c r="N484" s="369"/>
      <c r="O484" s="403"/>
      <c r="P484" s="404"/>
      <c r="Q484" s="408"/>
      <c r="R484" s="408"/>
    </row>
    <row r="485" ht="12.75" customHeight="1" spans="1:18">
      <c r="A485" s="249"/>
      <c r="B485" s="387"/>
      <c r="C485" s="404"/>
      <c r="D485" s="388"/>
      <c r="E485" s="388"/>
      <c r="F485" s="249"/>
      <c r="G485" s="403"/>
      <c r="H485" s="249"/>
      <c r="I485" s="407"/>
      <c r="J485" s="403"/>
      <c r="K485" s="369"/>
      <c r="L485" s="404"/>
      <c r="M485" s="369"/>
      <c r="N485" s="369"/>
      <c r="O485" s="403"/>
      <c r="P485" s="404"/>
      <c r="Q485" s="408"/>
      <c r="R485" s="408"/>
    </row>
    <row r="486" ht="12.75" customHeight="1" spans="1:18">
      <c r="A486" s="249"/>
      <c r="B486" s="387"/>
      <c r="C486" s="404"/>
      <c r="D486" s="388"/>
      <c r="E486" s="388"/>
      <c r="F486" s="249"/>
      <c r="G486" s="403"/>
      <c r="H486" s="249"/>
      <c r="I486" s="407"/>
      <c r="J486" s="403"/>
      <c r="K486" s="369"/>
      <c r="L486" s="404"/>
      <c r="M486" s="369"/>
      <c r="N486" s="369"/>
      <c r="O486" s="403"/>
      <c r="P486" s="404"/>
      <c r="Q486" s="408"/>
      <c r="R486" s="408"/>
    </row>
    <row r="487" ht="12.75" customHeight="1" spans="1:18">
      <c r="A487" s="249"/>
      <c r="B487" s="387"/>
      <c r="C487" s="404"/>
      <c r="D487" s="388"/>
      <c r="E487" s="388"/>
      <c r="F487" s="249"/>
      <c r="G487" s="403"/>
      <c r="H487" s="249"/>
      <c r="I487" s="407"/>
      <c r="J487" s="403"/>
      <c r="K487" s="369"/>
      <c r="L487" s="404"/>
      <c r="M487" s="369"/>
      <c r="N487" s="369"/>
      <c r="O487" s="403"/>
      <c r="P487" s="404"/>
      <c r="Q487" s="408"/>
      <c r="R487" s="408"/>
    </row>
    <row r="488" ht="12.75" customHeight="1" spans="1:18">
      <c r="A488" s="249"/>
      <c r="B488" s="387"/>
      <c r="C488" s="404"/>
      <c r="D488" s="388"/>
      <c r="E488" s="388"/>
      <c r="F488" s="249"/>
      <c r="G488" s="403"/>
      <c r="H488" s="249"/>
      <c r="I488" s="407"/>
      <c r="J488" s="403"/>
      <c r="K488" s="369"/>
      <c r="L488" s="404"/>
      <c r="M488" s="369"/>
      <c r="N488" s="369"/>
      <c r="O488" s="403"/>
      <c r="P488" s="404"/>
      <c r="Q488" s="408"/>
      <c r="R488" s="408"/>
    </row>
    <row r="489" ht="12.75" customHeight="1" spans="1:18">
      <c r="A489" s="249"/>
      <c r="B489" s="387"/>
      <c r="C489" s="404"/>
      <c r="D489" s="388"/>
      <c r="E489" s="388"/>
      <c r="F489" s="249"/>
      <c r="G489" s="403"/>
      <c r="H489" s="249"/>
      <c r="I489" s="407"/>
      <c r="J489" s="403"/>
      <c r="K489" s="369"/>
      <c r="L489" s="404"/>
      <c r="M489" s="369"/>
      <c r="N489" s="369"/>
      <c r="O489" s="403"/>
      <c r="P489" s="404"/>
      <c r="Q489" s="408"/>
      <c r="R489" s="408"/>
    </row>
    <row r="490" ht="12.75" customHeight="1" spans="1:18">
      <c r="A490" s="249"/>
      <c r="B490" s="387"/>
      <c r="C490" s="404"/>
      <c r="D490" s="388"/>
      <c r="E490" s="388"/>
      <c r="F490" s="249"/>
      <c r="G490" s="403"/>
      <c r="H490" s="249"/>
      <c r="I490" s="407"/>
      <c r="J490" s="403"/>
      <c r="K490" s="369"/>
      <c r="L490" s="404"/>
      <c r="M490" s="369"/>
      <c r="N490" s="369"/>
      <c r="O490" s="403"/>
      <c r="P490" s="404"/>
      <c r="Q490" s="408"/>
      <c r="R490" s="408"/>
    </row>
    <row r="491" ht="12.75" customHeight="1" spans="1:18">
      <c r="A491" s="381"/>
      <c r="B491" s="382"/>
      <c r="C491" s="383" t="s">
        <v>7247</v>
      </c>
      <c r="D491" s="384"/>
      <c r="E491" s="384"/>
      <c r="F491" s="385"/>
      <c r="G491" s="385"/>
      <c r="H491" s="385"/>
      <c r="I491" s="383"/>
      <c r="J491" s="385"/>
      <c r="K491" s="385"/>
      <c r="L491" s="383"/>
      <c r="M491" s="385"/>
      <c r="N491" s="385"/>
      <c r="O491" s="383"/>
      <c r="P491" s="383"/>
      <c r="Q491" s="386"/>
      <c r="R491" s="386"/>
    </row>
    <row r="492" ht="12.75" customHeight="1" spans="1:18">
      <c r="A492" s="381" t="s">
        <v>7386</v>
      </c>
      <c r="B492" s="382" t="s">
        <v>7072</v>
      </c>
      <c r="C492" s="383">
        <f>COUNTA($B$493:$B$504)</f>
        <v>11</v>
      </c>
      <c r="D492" s="384"/>
      <c r="E492" s="384"/>
      <c r="F492" s="385"/>
      <c r="G492" s="385"/>
      <c r="H492" s="385"/>
      <c r="I492" s="383"/>
      <c r="J492" s="385"/>
      <c r="K492" s="385"/>
      <c r="L492" s="383"/>
      <c r="M492" s="385"/>
      <c r="N492" s="385"/>
      <c r="O492" s="383"/>
      <c r="P492" s="383"/>
      <c r="Q492" s="386"/>
      <c r="R492" s="386"/>
    </row>
    <row r="493" ht="12.75" customHeight="1" spans="1:18">
      <c r="A493" s="369">
        <v>1</v>
      </c>
      <c r="B493" s="387" t="s">
        <v>7073</v>
      </c>
      <c r="C493" s="387"/>
      <c r="D493" s="247"/>
      <c r="E493" s="388" t="s">
        <v>294</v>
      </c>
      <c r="F493" s="331" t="s">
        <v>1749</v>
      </c>
      <c r="G493" s="409">
        <v>45271</v>
      </c>
      <c r="H493" s="249" t="s">
        <v>7197</v>
      </c>
      <c r="I493" s="407"/>
      <c r="J493" s="403" t="s">
        <v>7204</v>
      </c>
      <c r="K493" s="369" t="s">
        <v>1016</v>
      </c>
      <c r="L493" s="404"/>
      <c r="M493" s="369" t="s">
        <v>7205</v>
      </c>
      <c r="N493" s="369" t="s">
        <v>7206</v>
      </c>
      <c r="O493" s="403">
        <v>220317</v>
      </c>
      <c r="P493" s="387"/>
      <c r="Q493" s="390">
        <v>0.5</v>
      </c>
      <c r="R493" s="390"/>
    </row>
    <row r="494" ht="12.75" customHeight="1" spans="1:18">
      <c r="A494" s="249">
        <f t="shared" ref="A494:A503" si="9">A493+1</f>
        <v>2</v>
      </c>
      <c r="B494" s="387" t="s">
        <v>7074</v>
      </c>
      <c r="C494" s="387"/>
      <c r="D494" s="247"/>
      <c r="E494" s="388" t="s">
        <v>294</v>
      </c>
      <c r="F494" s="331" t="s">
        <v>1749</v>
      </c>
      <c r="G494" s="410"/>
      <c r="H494" s="249" t="s">
        <v>7197</v>
      </c>
      <c r="I494" s="407"/>
      <c r="J494" s="403" t="s">
        <v>7204</v>
      </c>
      <c r="K494" s="369" t="s">
        <v>1016</v>
      </c>
      <c r="L494" s="404"/>
      <c r="M494" s="369" t="s">
        <v>7205</v>
      </c>
      <c r="N494" s="369" t="s">
        <v>7206</v>
      </c>
      <c r="O494" s="403">
        <v>201511</v>
      </c>
      <c r="P494" s="387"/>
      <c r="Q494" s="390">
        <v>0.5</v>
      </c>
      <c r="R494" s="390"/>
    </row>
    <row r="495" ht="12.75" customHeight="1" spans="1:18">
      <c r="A495" s="249">
        <f t="shared" si="9"/>
        <v>3</v>
      </c>
      <c r="B495" s="387" t="s">
        <v>7075</v>
      </c>
      <c r="C495" s="387"/>
      <c r="D495" s="247"/>
      <c r="E495" s="388" t="s">
        <v>294</v>
      </c>
      <c r="F495" s="331" t="s">
        <v>1749</v>
      </c>
      <c r="G495" s="410"/>
      <c r="H495" s="249" t="s">
        <v>7197</v>
      </c>
      <c r="I495" s="407"/>
      <c r="J495" s="403" t="s">
        <v>7204</v>
      </c>
      <c r="K495" s="369" t="s">
        <v>1016</v>
      </c>
      <c r="L495" s="404"/>
      <c r="M495" s="369" t="s">
        <v>7205</v>
      </c>
      <c r="N495" s="369" t="s">
        <v>7206</v>
      </c>
      <c r="O495" s="403">
        <v>220330</v>
      </c>
      <c r="P495" s="387"/>
      <c r="Q495" s="390">
        <v>0.5</v>
      </c>
      <c r="R495" s="390"/>
    </row>
    <row r="496" ht="12.75" customHeight="1" spans="1:18">
      <c r="A496" s="249">
        <f t="shared" si="9"/>
        <v>4</v>
      </c>
      <c r="B496" s="387" t="s">
        <v>7076</v>
      </c>
      <c r="C496" s="387"/>
      <c r="D496" s="247"/>
      <c r="E496" s="388" t="s">
        <v>294</v>
      </c>
      <c r="F496" s="331" t="s">
        <v>1749</v>
      </c>
      <c r="G496" s="410"/>
      <c r="H496" s="249" t="s">
        <v>7197</v>
      </c>
      <c r="I496" s="407"/>
      <c r="J496" s="403" t="s">
        <v>7204</v>
      </c>
      <c r="K496" s="369" t="s">
        <v>1016</v>
      </c>
      <c r="L496" s="404"/>
      <c r="M496" s="369" t="s">
        <v>7205</v>
      </c>
      <c r="N496" s="369" t="s">
        <v>7206</v>
      </c>
      <c r="O496" s="403">
        <v>220330</v>
      </c>
      <c r="P496" s="387"/>
      <c r="Q496" s="390">
        <v>0.5</v>
      </c>
      <c r="R496" s="390"/>
    </row>
    <row r="497" ht="12.75" customHeight="1" spans="1:18">
      <c r="A497" s="249">
        <f t="shared" si="9"/>
        <v>5</v>
      </c>
      <c r="B497" s="387" t="s">
        <v>7077</v>
      </c>
      <c r="C497" s="387"/>
      <c r="D497" s="247"/>
      <c r="E497" s="388" t="s">
        <v>294</v>
      </c>
      <c r="F497" s="331" t="s">
        <v>1749</v>
      </c>
      <c r="G497" s="409">
        <v>45627</v>
      </c>
      <c r="H497" s="249" t="s">
        <v>7197</v>
      </c>
      <c r="I497" s="407"/>
      <c r="J497" s="403" t="s">
        <v>1323</v>
      </c>
      <c r="K497" s="369" t="s">
        <v>1016</v>
      </c>
      <c r="L497" s="404"/>
      <c r="M497" s="369" t="s">
        <v>7252</v>
      </c>
      <c r="N497" s="369" t="s">
        <v>7253</v>
      </c>
      <c r="O497" s="403">
        <v>220112</v>
      </c>
      <c r="P497" s="387"/>
      <c r="Q497" s="390">
        <v>0.5</v>
      </c>
      <c r="R497" s="390"/>
    </row>
    <row r="498" ht="12.75" customHeight="1" spans="1:18">
      <c r="A498" s="249">
        <f t="shared" si="9"/>
        <v>6</v>
      </c>
      <c r="B498" s="387" t="s">
        <v>7078</v>
      </c>
      <c r="C498" s="387"/>
      <c r="D498" s="247"/>
      <c r="E498" s="388" t="s">
        <v>294</v>
      </c>
      <c r="F498" s="331" t="s">
        <v>1749</v>
      </c>
      <c r="G498" s="409">
        <v>45627</v>
      </c>
      <c r="H498" s="249" t="s">
        <v>7197</v>
      </c>
      <c r="I498" s="407"/>
      <c r="J498" s="403" t="s">
        <v>1323</v>
      </c>
      <c r="K498" s="369" t="s">
        <v>1016</v>
      </c>
      <c r="L498" s="404"/>
      <c r="M498" s="369" t="s">
        <v>7252</v>
      </c>
      <c r="N498" s="369" t="s">
        <v>7253</v>
      </c>
      <c r="O498" s="25"/>
      <c r="P498" s="387"/>
      <c r="Q498" s="390">
        <v>0.5</v>
      </c>
      <c r="R498" s="390"/>
    </row>
    <row r="499" ht="12.75" customHeight="1" spans="1:18">
      <c r="A499" s="249">
        <f t="shared" si="9"/>
        <v>7</v>
      </c>
      <c r="B499" s="387" t="s">
        <v>7079</v>
      </c>
      <c r="C499" s="387"/>
      <c r="D499" s="247"/>
      <c r="E499" s="388" t="s">
        <v>294</v>
      </c>
      <c r="F499" s="331" t="s">
        <v>1749</v>
      </c>
      <c r="G499" s="410" t="s">
        <v>7387</v>
      </c>
      <c r="H499" s="249" t="s">
        <v>7197</v>
      </c>
      <c r="I499" s="407"/>
      <c r="J499" s="403" t="s">
        <v>1323</v>
      </c>
      <c r="K499" s="369" t="s">
        <v>1016</v>
      </c>
      <c r="L499" s="404"/>
      <c r="M499" s="369" t="s">
        <v>7252</v>
      </c>
      <c r="N499" s="369" t="s">
        <v>7253</v>
      </c>
      <c r="O499" s="403">
        <v>100124</v>
      </c>
      <c r="P499" s="387"/>
      <c r="Q499" s="390">
        <v>0.5</v>
      </c>
      <c r="R499" s="390"/>
    </row>
    <row r="500" ht="12.75" customHeight="1" spans="1:18">
      <c r="A500" s="249">
        <f t="shared" si="9"/>
        <v>8</v>
      </c>
      <c r="B500" s="387" t="s">
        <v>7080</v>
      </c>
      <c r="C500" s="387"/>
      <c r="D500" s="247"/>
      <c r="E500" s="388" t="s">
        <v>294</v>
      </c>
      <c r="F500" s="331" t="s">
        <v>1749</v>
      </c>
      <c r="G500" s="409">
        <v>45485</v>
      </c>
      <c r="H500" s="249" t="s">
        <v>7197</v>
      </c>
      <c r="I500" s="407"/>
      <c r="J500" s="403" t="s">
        <v>1323</v>
      </c>
      <c r="K500" s="369" t="s">
        <v>1016</v>
      </c>
      <c r="L500" s="404"/>
      <c r="M500" s="369" t="s">
        <v>7252</v>
      </c>
      <c r="N500" s="369" t="s">
        <v>7253</v>
      </c>
      <c r="O500" s="25" t="s">
        <v>7388</v>
      </c>
      <c r="P500" s="387"/>
      <c r="Q500" s="390">
        <v>0.5</v>
      </c>
      <c r="R500" s="390"/>
    </row>
    <row r="501" ht="12.75" customHeight="1" spans="1:18">
      <c r="A501" s="249">
        <f t="shared" si="9"/>
        <v>9</v>
      </c>
      <c r="B501" s="387" t="s">
        <v>7081</v>
      </c>
      <c r="C501" s="387"/>
      <c r="D501" s="247"/>
      <c r="E501" s="388" t="s">
        <v>294</v>
      </c>
      <c r="F501" s="331" t="s">
        <v>1749</v>
      </c>
      <c r="G501" s="409">
        <v>45485</v>
      </c>
      <c r="H501" s="249" t="s">
        <v>7197</v>
      </c>
      <c r="I501" s="407"/>
      <c r="J501" s="403" t="s">
        <v>1323</v>
      </c>
      <c r="K501" s="369" t="s">
        <v>1016</v>
      </c>
      <c r="L501" s="404"/>
      <c r="M501" s="369" t="s">
        <v>7252</v>
      </c>
      <c r="N501" s="369" t="s">
        <v>7253</v>
      </c>
      <c r="O501" s="25" t="s">
        <v>7389</v>
      </c>
      <c r="P501" s="387"/>
      <c r="Q501" s="390">
        <v>0.5</v>
      </c>
      <c r="R501" s="390"/>
    </row>
    <row r="502" ht="12.75" customHeight="1" spans="1:18">
      <c r="A502" s="249">
        <f t="shared" si="9"/>
        <v>10</v>
      </c>
      <c r="B502" s="387" t="s">
        <v>7082</v>
      </c>
      <c r="C502" s="387"/>
      <c r="D502" s="247"/>
      <c r="E502" s="388" t="s">
        <v>293</v>
      </c>
      <c r="F502" s="331" t="s">
        <v>1749</v>
      </c>
      <c r="G502" s="410" t="s">
        <v>5027</v>
      </c>
      <c r="H502" s="249" t="s">
        <v>7197</v>
      </c>
      <c r="I502" s="407"/>
      <c r="J502" s="369" t="s">
        <v>7271</v>
      </c>
      <c r="K502" s="369"/>
      <c r="L502" s="404"/>
      <c r="M502" s="369" t="s">
        <v>7200</v>
      </c>
      <c r="N502" s="369" t="s">
        <v>7201</v>
      </c>
      <c r="O502" s="403"/>
      <c r="P502" s="387"/>
      <c r="Q502" s="390"/>
      <c r="R502" s="390"/>
    </row>
    <row r="503" ht="12.75" customHeight="1" spans="1:18">
      <c r="A503" s="249">
        <f t="shared" si="9"/>
        <v>11</v>
      </c>
      <c r="B503" s="387" t="s">
        <v>7083</v>
      </c>
      <c r="C503" s="387"/>
      <c r="D503" s="247"/>
      <c r="E503" s="388" t="s">
        <v>293</v>
      </c>
      <c r="F503" s="331" t="s">
        <v>1749</v>
      </c>
      <c r="G503" s="410" t="s">
        <v>5027</v>
      </c>
      <c r="H503" s="249" t="s">
        <v>7197</v>
      </c>
      <c r="I503" s="407"/>
      <c r="J503" s="369" t="s">
        <v>7271</v>
      </c>
      <c r="K503" s="369"/>
      <c r="L503" s="404"/>
      <c r="M503" s="369" t="s">
        <v>7200</v>
      </c>
      <c r="N503" s="369" t="s">
        <v>7201</v>
      </c>
      <c r="O503" s="403"/>
      <c r="P503" s="387"/>
      <c r="Q503" s="390"/>
      <c r="R503" s="390"/>
    </row>
    <row r="504" ht="12.75" customHeight="1" spans="1:18">
      <c r="A504" s="249"/>
      <c r="B504" s="387"/>
      <c r="C504" s="387" t="s">
        <v>7247</v>
      </c>
      <c r="D504" s="247"/>
      <c r="E504" s="388"/>
      <c r="F504" s="331"/>
      <c r="G504" s="410"/>
      <c r="H504" s="249"/>
      <c r="I504" s="407"/>
      <c r="J504" s="369"/>
      <c r="K504" s="369"/>
      <c r="L504" s="404"/>
      <c r="M504" s="369"/>
      <c r="N504" s="369"/>
      <c r="O504" s="403"/>
      <c r="P504" s="387"/>
      <c r="Q504" s="390"/>
      <c r="R504" s="390"/>
    </row>
    <row r="505" ht="12.75" customHeight="1" spans="1:18">
      <c r="A505" s="381" t="s">
        <v>7390</v>
      </c>
      <c r="B505" s="382" t="s">
        <v>7084</v>
      </c>
      <c r="C505" s="383">
        <f>COUNTA($B$506:$B$513)</f>
        <v>6</v>
      </c>
      <c r="D505" s="384"/>
      <c r="E505" s="384"/>
      <c r="F505" s="385"/>
      <c r="G505" s="385"/>
      <c r="H505" s="385"/>
      <c r="I505" s="383"/>
      <c r="J505" s="385"/>
      <c r="K505" s="385"/>
      <c r="L505" s="383"/>
      <c r="M505" s="385"/>
      <c r="N505" s="385"/>
      <c r="O505" s="383"/>
      <c r="P505" s="383"/>
      <c r="Q505" s="386"/>
      <c r="R505" s="386"/>
    </row>
    <row r="506" ht="12.75" customHeight="1" spans="1:18">
      <c r="A506" s="249">
        <v>1</v>
      </c>
      <c r="B506" s="387" t="s">
        <v>7085</v>
      </c>
      <c r="C506" s="387"/>
      <c r="D506" s="247"/>
      <c r="E506" s="388" t="s">
        <v>294</v>
      </c>
      <c r="F506" s="331" t="s">
        <v>7391</v>
      </c>
      <c r="G506" s="411">
        <v>45242</v>
      </c>
      <c r="H506" s="249" t="s">
        <v>7197</v>
      </c>
      <c r="I506" s="407"/>
      <c r="J506" s="369" t="s">
        <v>7204</v>
      </c>
      <c r="K506" s="369" t="s">
        <v>1016</v>
      </c>
      <c r="L506" s="404"/>
      <c r="M506" s="369" t="s">
        <v>7205</v>
      </c>
      <c r="N506" s="369" t="s">
        <v>7206</v>
      </c>
      <c r="O506" s="407">
        <v>220330</v>
      </c>
      <c r="P506" s="387"/>
      <c r="Q506" s="390">
        <v>0.5</v>
      </c>
      <c r="R506" s="390"/>
    </row>
    <row r="507" ht="12.75" customHeight="1" spans="1:18">
      <c r="A507" s="249">
        <v>2</v>
      </c>
      <c r="B507" s="387" t="s">
        <v>7086</v>
      </c>
      <c r="C507" s="387"/>
      <c r="D507" s="247"/>
      <c r="E507" s="388" t="s">
        <v>294</v>
      </c>
      <c r="F507" s="331" t="s">
        <v>7391</v>
      </c>
      <c r="G507" s="411">
        <v>45242</v>
      </c>
      <c r="H507" s="249" t="s">
        <v>7197</v>
      </c>
      <c r="I507" s="407"/>
      <c r="J507" s="369" t="s">
        <v>7204</v>
      </c>
      <c r="K507" s="369" t="s">
        <v>1016</v>
      </c>
      <c r="L507" s="404"/>
      <c r="M507" s="369" t="s">
        <v>7205</v>
      </c>
      <c r="N507" s="369" t="s">
        <v>7206</v>
      </c>
      <c r="O507" s="407">
        <v>220112</v>
      </c>
      <c r="P507" s="387"/>
      <c r="Q507" s="390">
        <v>0.5</v>
      </c>
      <c r="R507" s="390"/>
    </row>
    <row r="508" ht="12.75" customHeight="1" spans="1:18">
      <c r="A508" s="249">
        <v>3</v>
      </c>
      <c r="B508" s="387" t="s">
        <v>7087</v>
      </c>
      <c r="C508" s="387"/>
      <c r="D508" s="247"/>
      <c r="E508" s="388" t="s">
        <v>294</v>
      </c>
      <c r="F508" s="331" t="s">
        <v>7391</v>
      </c>
      <c r="G508" s="411">
        <v>45242</v>
      </c>
      <c r="H508" s="249" t="s">
        <v>7197</v>
      </c>
      <c r="I508" s="407"/>
      <c r="J508" s="369" t="s">
        <v>7204</v>
      </c>
      <c r="K508" s="369" t="s">
        <v>1016</v>
      </c>
      <c r="L508" s="404"/>
      <c r="M508" s="369" t="s">
        <v>7205</v>
      </c>
      <c r="N508" s="369" t="s">
        <v>7206</v>
      </c>
      <c r="O508" s="407">
        <v>220511</v>
      </c>
      <c r="P508" s="387"/>
      <c r="Q508" s="390">
        <v>0.5</v>
      </c>
      <c r="R508" s="390"/>
    </row>
    <row r="509" ht="12.75" customHeight="1" spans="1:18">
      <c r="A509" s="249">
        <v>4</v>
      </c>
      <c r="B509" s="387" t="s">
        <v>7088</v>
      </c>
      <c r="C509" s="387"/>
      <c r="D509" s="247"/>
      <c r="E509" s="388" t="s">
        <v>294</v>
      </c>
      <c r="F509" s="331" t="s">
        <v>7391</v>
      </c>
      <c r="G509" s="411">
        <v>45242</v>
      </c>
      <c r="H509" s="249" t="s">
        <v>7197</v>
      </c>
      <c r="I509" s="407"/>
      <c r="J509" s="369" t="s">
        <v>7204</v>
      </c>
      <c r="K509" s="369" t="s">
        <v>1016</v>
      </c>
      <c r="L509" s="404"/>
      <c r="M509" s="369" t="s">
        <v>7205</v>
      </c>
      <c r="N509" s="369" t="s">
        <v>7206</v>
      </c>
      <c r="O509" s="407">
        <v>220330</v>
      </c>
      <c r="P509" s="387"/>
      <c r="Q509" s="390">
        <v>0.5</v>
      </c>
      <c r="R509" s="390"/>
    </row>
    <row r="510" ht="12.75" customHeight="1" spans="1:18">
      <c r="A510" s="249">
        <v>5</v>
      </c>
      <c r="B510" s="387" t="s">
        <v>7089</v>
      </c>
      <c r="C510" s="387"/>
      <c r="D510" s="247"/>
      <c r="E510" s="388" t="s">
        <v>294</v>
      </c>
      <c r="F510" s="331" t="s">
        <v>7391</v>
      </c>
      <c r="G510" s="411">
        <v>45396</v>
      </c>
      <c r="H510" s="249" t="s">
        <v>7197</v>
      </c>
      <c r="I510" s="407"/>
      <c r="J510" s="369" t="s">
        <v>7204</v>
      </c>
      <c r="K510" s="369" t="s">
        <v>1016</v>
      </c>
      <c r="L510" s="404"/>
      <c r="M510" s="369" t="s">
        <v>7205</v>
      </c>
      <c r="N510" s="369" t="s">
        <v>7206</v>
      </c>
      <c r="O510" s="407">
        <v>220317</v>
      </c>
      <c r="P510" s="387"/>
      <c r="Q510" s="390">
        <v>0.5</v>
      </c>
      <c r="R510" s="390"/>
    </row>
    <row r="511" ht="12.75" customHeight="1" spans="1:18">
      <c r="A511" s="249">
        <v>6</v>
      </c>
      <c r="B511" s="387" t="s">
        <v>7090</v>
      </c>
      <c r="C511" s="387"/>
      <c r="D511" s="247"/>
      <c r="E511" s="388" t="s">
        <v>294</v>
      </c>
      <c r="F511" s="331" t="s">
        <v>7391</v>
      </c>
      <c r="G511" s="411">
        <v>45242</v>
      </c>
      <c r="H511" s="249" t="s">
        <v>7197</v>
      </c>
      <c r="I511" s="407"/>
      <c r="J511" s="369" t="s">
        <v>7204</v>
      </c>
      <c r="K511" s="369" t="s">
        <v>1016</v>
      </c>
      <c r="L511" s="404"/>
      <c r="M511" s="369" t="s">
        <v>7205</v>
      </c>
      <c r="N511" s="369" t="s">
        <v>7206</v>
      </c>
      <c r="O511" s="407">
        <v>220112</v>
      </c>
      <c r="P511" s="387"/>
      <c r="Q511" s="390">
        <v>0.5</v>
      </c>
      <c r="R511" s="390"/>
    </row>
    <row r="512" ht="12.75" customHeight="1" spans="1:18">
      <c r="A512" s="249"/>
      <c r="B512" s="387"/>
      <c r="C512" s="387"/>
      <c r="D512" s="247"/>
      <c r="E512" s="388"/>
      <c r="F512" s="331"/>
      <c r="G512" s="411"/>
      <c r="H512" s="249"/>
      <c r="I512" s="407"/>
      <c r="J512" s="369"/>
      <c r="K512" s="369"/>
      <c r="L512" s="404"/>
      <c r="M512" s="369"/>
      <c r="N512" s="369"/>
      <c r="O512" s="407"/>
      <c r="P512" s="387"/>
      <c r="Q512" s="390"/>
      <c r="R512" s="390"/>
    </row>
    <row r="513" ht="12.75" hidden="1" customHeight="1" spans="1:18">
      <c r="A513" s="249"/>
      <c r="B513" s="387"/>
      <c r="C513" s="387" t="s">
        <v>7247</v>
      </c>
      <c r="D513" s="247"/>
      <c r="E513" s="388"/>
      <c r="F513" s="331"/>
      <c r="G513" s="411"/>
      <c r="H513" s="249"/>
      <c r="I513" s="407"/>
      <c r="J513" s="369"/>
      <c r="K513" s="369"/>
      <c r="L513" s="404"/>
      <c r="M513" s="369"/>
      <c r="N513" s="369"/>
      <c r="O513" s="407"/>
      <c r="P513" s="387"/>
      <c r="Q513" s="390"/>
      <c r="R513" s="390"/>
    </row>
    <row r="514" ht="20.25" customHeight="1" spans="1:18">
      <c r="A514" s="232" t="s">
        <v>7392</v>
      </c>
      <c r="B514" s="377" t="s">
        <v>7091</v>
      </c>
      <c r="C514" s="232">
        <f>$C$515+$C$522</f>
        <v>8</v>
      </c>
      <c r="D514" s="378"/>
      <c r="E514" s="378"/>
      <c r="F514" s="379"/>
      <c r="G514" s="379"/>
      <c r="H514" s="379"/>
      <c r="I514" s="378"/>
      <c r="J514" s="379"/>
      <c r="K514" s="379"/>
      <c r="L514" s="378"/>
      <c r="M514" s="379"/>
      <c r="N514" s="379"/>
      <c r="O514" s="378"/>
      <c r="P514" s="378"/>
      <c r="Q514" s="380"/>
      <c r="R514" s="380"/>
    </row>
    <row r="515" ht="12.75" customHeight="1" spans="1:18">
      <c r="A515" s="381" t="s">
        <v>7393</v>
      </c>
      <c r="B515" s="382" t="s">
        <v>7092</v>
      </c>
      <c r="C515" s="383">
        <f>COUNTA($B$516:$B$521)</f>
        <v>4</v>
      </c>
      <c r="D515" s="384"/>
      <c r="E515" s="384"/>
      <c r="F515" s="385"/>
      <c r="G515" s="385"/>
      <c r="H515" s="385"/>
      <c r="I515" s="383"/>
      <c r="J515" s="385"/>
      <c r="K515" s="385"/>
      <c r="L515" s="383"/>
      <c r="M515" s="385"/>
      <c r="N515" s="385"/>
      <c r="O515" s="383"/>
      <c r="P515" s="383"/>
      <c r="Q515" s="386"/>
      <c r="R515" s="386"/>
    </row>
    <row r="516" ht="12.75" customHeight="1" spans="1:18">
      <c r="A516" s="249">
        <v>1</v>
      </c>
      <c r="B516" s="387" t="s">
        <v>7093</v>
      </c>
      <c r="C516" s="387"/>
      <c r="D516" s="247"/>
      <c r="E516" s="388" t="s">
        <v>293</v>
      </c>
      <c r="F516" s="331" t="s">
        <v>7394</v>
      </c>
      <c r="G516" s="407"/>
      <c r="H516" s="249" t="s">
        <v>7197</v>
      </c>
      <c r="I516" s="407"/>
      <c r="J516" s="369" t="s">
        <v>7395</v>
      </c>
      <c r="K516" s="369"/>
      <c r="L516" s="404"/>
      <c r="M516" s="369" t="s">
        <v>7396</v>
      </c>
      <c r="N516" s="369" t="s">
        <v>7397</v>
      </c>
      <c r="O516" s="407"/>
      <c r="P516" s="387"/>
      <c r="Q516" s="390">
        <v>1</v>
      </c>
      <c r="R516" s="390"/>
    </row>
    <row r="517" ht="12.75" customHeight="1" spans="1:18">
      <c r="A517" s="249">
        <v>2</v>
      </c>
      <c r="B517" s="387" t="s">
        <v>7094</v>
      </c>
      <c r="C517" s="387"/>
      <c r="D517" s="247"/>
      <c r="E517" s="388" t="s">
        <v>293</v>
      </c>
      <c r="F517" s="331" t="s">
        <v>7394</v>
      </c>
      <c r="G517" s="365"/>
      <c r="H517" s="249" t="s">
        <v>7197</v>
      </c>
      <c r="I517" s="365"/>
      <c r="J517" s="249" t="s">
        <v>7395</v>
      </c>
      <c r="K517" s="249"/>
      <c r="L517" s="387"/>
      <c r="M517" s="249" t="s">
        <v>7396</v>
      </c>
      <c r="N517" s="249" t="s">
        <v>7397</v>
      </c>
      <c r="O517" s="365"/>
      <c r="P517" s="387"/>
      <c r="Q517" s="390">
        <v>1</v>
      </c>
      <c r="R517" s="390"/>
    </row>
    <row r="518" ht="12.75" customHeight="1" spans="1:18">
      <c r="A518" s="249">
        <v>7</v>
      </c>
      <c r="B518" s="387" t="s">
        <v>7095</v>
      </c>
      <c r="C518" s="387"/>
      <c r="D518" s="247"/>
      <c r="E518" s="388" t="s">
        <v>293</v>
      </c>
      <c r="F518" s="331" t="s">
        <v>7394</v>
      </c>
      <c r="G518" s="365"/>
      <c r="H518" s="249" t="s">
        <v>7197</v>
      </c>
      <c r="I518" s="365"/>
      <c r="J518" s="249" t="s">
        <v>7398</v>
      </c>
      <c r="K518" s="249" t="s">
        <v>1140</v>
      </c>
      <c r="L518" s="387"/>
      <c r="M518" s="249" t="s">
        <v>7399</v>
      </c>
      <c r="N518" s="249" t="s">
        <v>7400</v>
      </c>
      <c r="O518" s="365"/>
      <c r="P518" s="387"/>
      <c r="Q518" s="390">
        <v>1</v>
      </c>
      <c r="R518" s="390"/>
    </row>
    <row r="519" ht="12.75" customHeight="1" spans="1:18">
      <c r="A519" s="249">
        <v>8</v>
      </c>
      <c r="B519" s="387" t="s">
        <v>7096</v>
      </c>
      <c r="C519" s="387"/>
      <c r="D519" s="247"/>
      <c r="E519" s="388" t="s">
        <v>293</v>
      </c>
      <c r="F519" s="331" t="s">
        <v>7394</v>
      </c>
      <c r="G519" s="365"/>
      <c r="H519" s="249" t="s">
        <v>7197</v>
      </c>
      <c r="I519" s="365"/>
      <c r="J519" s="249" t="s">
        <v>7398</v>
      </c>
      <c r="K519" s="249" t="s">
        <v>1140</v>
      </c>
      <c r="L519" s="387"/>
      <c r="M519" s="249" t="s">
        <v>7399</v>
      </c>
      <c r="N519" s="249" t="s">
        <v>7400</v>
      </c>
      <c r="O519" s="365"/>
      <c r="P519" s="387"/>
      <c r="Q519" s="390">
        <v>1</v>
      </c>
      <c r="R519" s="390"/>
    </row>
    <row r="520" ht="12.75" customHeight="1" spans="1:18">
      <c r="A520" s="368"/>
      <c r="B520" s="412"/>
      <c r="C520" s="404"/>
      <c r="D520" s="388"/>
      <c r="E520" s="388"/>
      <c r="F520" s="369"/>
      <c r="G520" s="413"/>
      <c r="H520" s="369"/>
      <c r="I520" s="414"/>
      <c r="J520" s="369"/>
      <c r="K520" s="369"/>
      <c r="L520" s="404"/>
      <c r="M520" s="369"/>
      <c r="N520" s="369"/>
      <c r="O520" s="414"/>
      <c r="P520" s="404"/>
      <c r="Q520" s="408"/>
      <c r="R520" s="408"/>
    </row>
    <row r="521" ht="12.75" hidden="1" customHeight="1" spans="1:18">
      <c r="A521" s="381"/>
      <c r="B521" s="382"/>
      <c r="C521" s="387" t="s">
        <v>7247</v>
      </c>
      <c r="D521" s="384"/>
      <c r="E521" s="384"/>
      <c r="F521" s="385"/>
      <c r="G521" s="396"/>
      <c r="H521" s="385"/>
      <c r="I521" s="397"/>
      <c r="J521" s="385"/>
      <c r="K521" s="385"/>
      <c r="L521" s="383"/>
      <c r="M521" s="385"/>
      <c r="N521" s="385"/>
      <c r="O521" s="397"/>
      <c r="P521" s="383"/>
      <c r="Q521" s="386"/>
      <c r="R521" s="386"/>
    </row>
    <row r="522" ht="12.75" customHeight="1" spans="1:18">
      <c r="A522" s="381" t="s">
        <v>7401</v>
      </c>
      <c r="B522" s="382" t="s">
        <v>7097</v>
      </c>
      <c r="C522" s="383">
        <f>COUNTA($B$523:$B$528)</f>
        <v>4</v>
      </c>
      <c r="D522" s="384"/>
      <c r="E522" s="384"/>
      <c r="F522" s="385"/>
      <c r="G522" s="385"/>
      <c r="H522" s="385"/>
      <c r="I522" s="383"/>
      <c r="J522" s="385"/>
      <c r="K522" s="385"/>
      <c r="L522" s="383"/>
      <c r="M522" s="385"/>
      <c r="N522" s="385"/>
      <c r="O522" s="383"/>
      <c r="P522" s="383"/>
      <c r="Q522" s="386"/>
      <c r="R522" s="386"/>
    </row>
    <row r="523" ht="12.75" customHeight="1" spans="1:18">
      <c r="A523" s="249">
        <v>3</v>
      </c>
      <c r="B523" s="387" t="s">
        <v>7098</v>
      </c>
      <c r="C523" s="387"/>
      <c r="D523" s="247"/>
      <c r="E523" s="388" t="s">
        <v>294</v>
      </c>
      <c r="F523" s="331" t="s">
        <v>7097</v>
      </c>
      <c r="G523" s="365"/>
      <c r="H523" s="249" t="s">
        <v>7197</v>
      </c>
      <c r="I523" s="365" t="s">
        <v>5980</v>
      </c>
      <c r="J523" s="249" t="s">
        <v>1323</v>
      </c>
      <c r="K523" s="249"/>
      <c r="L523" s="387"/>
      <c r="M523" s="249" t="s">
        <v>7252</v>
      </c>
      <c r="N523" s="249" t="s">
        <v>7253</v>
      </c>
      <c r="O523" s="365"/>
      <c r="P523" s="387"/>
      <c r="Q523" s="390">
        <v>0.5</v>
      </c>
      <c r="R523" s="390"/>
    </row>
    <row r="524" ht="12.75" customHeight="1" spans="1:18">
      <c r="A524" s="249">
        <v>4</v>
      </c>
      <c r="B524" s="387" t="s">
        <v>7099</v>
      </c>
      <c r="C524" s="387"/>
      <c r="D524" s="247"/>
      <c r="E524" s="388" t="s">
        <v>294</v>
      </c>
      <c r="F524" s="331" t="s">
        <v>7097</v>
      </c>
      <c r="G524" s="365"/>
      <c r="H524" s="249" t="s">
        <v>7197</v>
      </c>
      <c r="I524" s="365" t="s">
        <v>5980</v>
      </c>
      <c r="J524" s="249" t="s">
        <v>1323</v>
      </c>
      <c r="K524" s="249"/>
      <c r="L524" s="387"/>
      <c r="M524" s="249" t="s">
        <v>7252</v>
      </c>
      <c r="N524" s="249" t="s">
        <v>7253</v>
      </c>
      <c r="O524" s="365"/>
      <c r="P524" s="387"/>
      <c r="Q524" s="390">
        <v>0.5</v>
      </c>
      <c r="R524" s="390"/>
    </row>
    <row r="525" ht="12.75" customHeight="1" spans="1:18">
      <c r="A525" s="249">
        <v>5</v>
      </c>
      <c r="B525" s="387" t="s">
        <v>7100</v>
      </c>
      <c r="C525" s="387"/>
      <c r="D525" s="247"/>
      <c r="E525" s="388" t="s">
        <v>294</v>
      </c>
      <c r="F525" s="331" t="s">
        <v>7097</v>
      </c>
      <c r="G525" s="365"/>
      <c r="H525" s="249" t="s">
        <v>7197</v>
      </c>
      <c r="I525" s="365" t="s">
        <v>5979</v>
      </c>
      <c r="J525" s="249" t="s">
        <v>1323</v>
      </c>
      <c r="K525" s="249"/>
      <c r="L525" s="387"/>
      <c r="M525" s="249" t="s">
        <v>7252</v>
      </c>
      <c r="N525" s="249" t="s">
        <v>7253</v>
      </c>
      <c r="O525" s="365"/>
      <c r="P525" s="387"/>
      <c r="Q525" s="390">
        <v>0.5</v>
      </c>
      <c r="R525" s="390"/>
    </row>
    <row r="526" ht="12.75" customHeight="1" spans="1:18">
      <c r="A526" s="249">
        <v>6</v>
      </c>
      <c r="B526" s="387" t="s">
        <v>7101</v>
      </c>
      <c r="C526" s="387"/>
      <c r="D526" s="247"/>
      <c r="E526" s="388" t="s">
        <v>294</v>
      </c>
      <c r="F526" s="331" t="s">
        <v>7097</v>
      </c>
      <c r="G526" s="365"/>
      <c r="H526" s="249" t="s">
        <v>7197</v>
      </c>
      <c r="I526" s="365" t="s">
        <v>5981</v>
      </c>
      <c r="J526" s="249" t="s">
        <v>1323</v>
      </c>
      <c r="K526" s="249"/>
      <c r="L526" s="387"/>
      <c r="M526" s="249" t="s">
        <v>7252</v>
      </c>
      <c r="N526" s="249" t="s">
        <v>7253</v>
      </c>
      <c r="O526" s="365"/>
      <c r="P526" s="387"/>
      <c r="Q526" s="390">
        <v>0.5</v>
      </c>
      <c r="R526" s="390"/>
    </row>
    <row r="527" ht="12.75" customHeight="1" spans="1:18">
      <c r="A527" s="249"/>
      <c r="B527" s="387"/>
      <c r="C527" s="387"/>
      <c r="D527" s="247"/>
      <c r="E527" s="388"/>
      <c r="F527" s="331"/>
      <c r="G527" s="365"/>
      <c r="H527" s="249"/>
      <c r="I527" s="365"/>
      <c r="J527" s="249"/>
      <c r="K527" s="249"/>
      <c r="L527" s="387"/>
      <c r="M527" s="249"/>
      <c r="N527" s="249"/>
      <c r="O527" s="365"/>
      <c r="P527" s="387"/>
      <c r="Q527" s="390"/>
      <c r="R527" s="390"/>
    </row>
    <row r="528" ht="12.75" hidden="1" customHeight="1" spans="1:18">
      <c r="A528" s="249"/>
      <c r="B528" s="387"/>
      <c r="C528" s="387" t="s">
        <v>7247</v>
      </c>
      <c r="D528" s="247"/>
      <c r="E528" s="388"/>
      <c r="F528" s="331"/>
      <c r="G528" s="365"/>
      <c r="H528" s="249"/>
      <c r="I528" s="365"/>
      <c r="J528" s="249"/>
      <c r="K528" s="249"/>
      <c r="L528" s="387"/>
      <c r="M528" s="249"/>
      <c r="N528" s="249"/>
      <c r="O528" s="365"/>
      <c r="P528" s="387"/>
      <c r="Q528" s="390"/>
      <c r="R528" s="390"/>
    </row>
    <row r="529" ht="20.25" customHeight="1" spans="1:18">
      <c r="A529" s="232"/>
      <c r="B529" s="377" t="s">
        <v>10</v>
      </c>
      <c r="C529" s="232">
        <f>$C$514+$C$316+$C$217+$C$3</f>
        <v>442</v>
      </c>
      <c r="D529" s="378"/>
      <c r="E529" s="378"/>
      <c r="F529" s="379"/>
      <c r="G529" s="379"/>
      <c r="H529" s="379"/>
      <c r="I529" s="378"/>
      <c r="J529" s="379"/>
      <c r="K529" s="379"/>
      <c r="L529" s="378"/>
      <c r="M529" s="379"/>
      <c r="N529" s="379"/>
      <c r="O529" s="378"/>
      <c r="P529" s="378"/>
      <c r="Q529" s="380"/>
      <c r="R529" s="380"/>
    </row>
    <row r="530" ht="26.25" customHeight="1" spans="1:18">
      <c r="A530" s="415" t="s">
        <v>7402</v>
      </c>
      <c r="D530" s="415"/>
      <c r="E530" s="415"/>
      <c r="F530" s="415"/>
      <c r="G530" s="415"/>
      <c r="H530" s="415"/>
      <c r="I530" s="415"/>
      <c r="J530" s="415"/>
      <c r="K530" s="415"/>
      <c r="L530" s="415"/>
      <c r="M530" s="415"/>
      <c r="N530" s="415"/>
      <c r="O530" s="415"/>
      <c r="P530" s="415"/>
      <c r="Q530" s="415"/>
      <c r="R530" s="415"/>
    </row>
    <row r="531" ht="12.75" customHeight="1" spans="1:18">
      <c r="A531" s="381" t="s">
        <v>3583</v>
      </c>
      <c r="B531" s="382" t="s">
        <v>10</v>
      </c>
      <c r="C531" s="383">
        <f>COUNTA(F532:F798)</f>
        <v>265</v>
      </c>
      <c r="D531" s="384"/>
      <c r="E531" s="384"/>
      <c r="F531" s="385"/>
      <c r="G531" s="385"/>
      <c r="H531" s="385"/>
      <c r="I531" s="383"/>
      <c r="J531" s="385"/>
      <c r="K531" s="385"/>
      <c r="L531" s="383"/>
      <c r="M531" s="385"/>
      <c r="N531" s="385"/>
      <c r="O531" s="383"/>
      <c r="P531" s="383"/>
      <c r="Q531" s="386"/>
      <c r="R531" s="386"/>
    </row>
    <row r="532" ht="12.75" customHeight="1" spans="1:18">
      <c r="A532" s="416">
        <v>1</v>
      </c>
      <c r="B532" s="417" t="s">
        <v>7403</v>
      </c>
      <c r="C532" s="417"/>
      <c r="D532" s="418"/>
      <c r="E532" s="418" t="s">
        <v>294</v>
      </c>
      <c r="F532" s="416" t="s">
        <v>3022</v>
      </c>
      <c r="G532" s="416" t="s">
        <v>7404</v>
      </c>
      <c r="H532" s="416" t="s">
        <v>1348</v>
      </c>
      <c r="I532" s="417"/>
      <c r="J532" s="416" t="s">
        <v>7204</v>
      </c>
      <c r="K532" s="416" t="s">
        <v>1016</v>
      </c>
      <c r="L532" s="417"/>
      <c r="M532" s="416" t="s">
        <v>7205</v>
      </c>
      <c r="N532" s="416" t="s">
        <v>7206</v>
      </c>
      <c r="O532" s="417"/>
      <c r="P532" s="417"/>
      <c r="Q532" s="419">
        <v>0.5</v>
      </c>
      <c r="R532" s="419"/>
    </row>
    <row r="533" ht="12.75" customHeight="1" spans="1:18">
      <c r="A533" s="420">
        <v>2</v>
      </c>
      <c r="B533" s="421" t="s">
        <v>7405</v>
      </c>
      <c r="C533" s="421"/>
      <c r="D533" s="422"/>
      <c r="E533" s="418" t="s">
        <v>294</v>
      </c>
      <c r="F533" s="416" t="s">
        <v>3022</v>
      </c>
      <c r="G533" s="416" t="s">
        <v>7404</v>
      </c>
      <c r="H533" s="420" t="s">
        <v>1348</v>
      </c>
      <c r="I533" s="421"/>
      <c r="J533" s="420" t="s">
        <v>7204</v>
      </c>
      <c r="K533" s="420" t="s">
        <v>1016</v>
      </c>
      <c r="L533" s="421"/>
      <c r="M533" s="420" t="s">
        <v>7205</v>
      </c>
      <c r="N533" s="420" t="s">
        <v>7206</v>
      </c>
      <c r="O533" s="421"/>
      <c r="P533" s="421"/>
      <c r="Q533" s="419">
        <v>0.5</v>
      </c>
      <c r="R533" s="419"/>
    </row>
    <row r="534" ht="12.75" customHeight="1" spans="1:18">
      <c r="A534" s="416">
        <v>3</v>
      </c>
      <c r="B534" s="421" t="s">
        <v>7406</v>
      </c>
      <c r="C534" s="421"/>
      <c r="D534" s="422"/>
      <c r="E534" s="418" t="s">
        <v>294</v>
      </c>
      <c r="F534" s="416" t="s">
        <v>3022</v>
      </c>
      <c r="G534" s="416" t="s">
        <v>7404</v>
      </c>
      <c r="H534" s="420" t="s">
        <v>1348</v>
      </c>
      <c r="I534" s="421"/>
      <c r="J534" s="420" t="s">
        <v>7204</v>
      </c>
      <c r="K534" s="420" t="s">
        <v>1016</v>
      </c>
      <c r="L534" s="421"/>
      <c r="M534" s="420" t="s">
        <v>7205</v>
      </c>
      <c r="N534" s="420" t="s">
        <v>7206</v>
      </c>
      <c r="O534" s="421"/>
      <c r="P534" s="421"/>
      <c r="Q534" s="419">
        <v>0.5</v>
      </c>
      <c r="R534" s="419"/>
    </row>
    <row r="535" ht="12.75" customHeight="1" spans="1:18">
      <c r="A535" s="420">
        <v>4</v>
      </c>
      <c r="B535" s="421" t="s">
        <v>7407</v>
      </c>
      <c r="C535" s="421"/>
      <c r="D535" s="422"/>
      <c r="E535" s="418" t="s">
        <v>294</v>
      </c>
      <c r="F535" s="416" t="s">
        <v>3022</v>
      </c>
      <c r="G535" s="416" t="s">
        <v>7404</v>
      </c>
      <c r="H535" s="420" t="s">
        <v>1348</v>
      </c>
      <c r="I535" s="421"/>
      <c r="J535" s="420" t="s">
        <v>7204</v>
      </c>
      <c r="K535" s="420" t="s">
        <v>1016</v>
      </c>
      <c r="L535" s="421"/>
      <c r="M535" s="420" t="s">
        <v>7205</v>
      </c>
      <c r="N535" s="420" t="s">
        <v>7206</v>
      </c>
      <c r="O535" s="421"/>
      <c r="P535" s="421"/>
      <c r="Q535" s="419">
        <v>0.5</v>
      </c>
      <c r="R535" s="419"/>
    </row>
    <row r="536" ht="12.75" customHeight="1" spans="1:18">
      <c r="A536" s="416">
        <v>5</v>
      </c>
      <c r="B536" s="421" t="s">
        <v>7408</v>
      </c>
      <c r="C536" s="421"/>
      <c r="D536" s="422"/>
      <c r="E536" s="418" t="s">
        <v>294</v>
      </c>
      <c r="F536" s="416" t="s">
        <v>3022</v>
      </c>
      <c r="G536" s="416" t="s">
        <v>7404</v>
      </c>
      <c r="H536" s="420" t="s">
        <v>1348</v>
      </c>
      <c r="I536" s="421"/>
      <c r="J536" s="420" t="s">
        <v>7204</v>
      </c>
      <c r="K536" s="420" t="s">
        <v>1016</v>
      </c>
      <c r="L536" s="421"/>
      <c r="M536" s="420" t="s">
        <v>7205</v>
      </c>
      <c r="N536" s="420" t="s">
        <v>7206</v>
      </c>
      <c r="O536" s="421"/>
      <c r="P536" s="421"/>
      <c r="Q536" s="419">
        <v>0.5</v>
      </c>
      <c r="R536" s="419"/>
    </row>
    <row r="537" ht="12.75" customHeight="1" spans="1:18">
      <c r="A537" s="420">
        <v>6</v>
      </c>
      <c r="B537" s="421" t="s">
        <v>7409</v>
      </c>
      <c r="C537" s="421"/>
      <c r="D537" s="422"/>
      <c r="E537" s="418" t="s">
        <v>294</v>
      </c>
      <c r="F537" s="416" t="s">
        <v>3022</v>
      </c>
      <c r="G537" s="416" t="s">
        <v>7404</v>
      </c>
      <c r="H537" s="420" t="s">
        <v>1348</v>
      </c>
      <c r="I537" s="421"/>
      <c r="J537" s="420" t="s">
        <v>7204</v>
      </c>
      <c r="K537" s="420" t="s">
        <v>1016</v>
      </c>
      <c r="L537" s="421"/>
      <c r="M537" s="420" t="s">
        <v>7205</v>
      </c>
      <c r="N537" s="420" t="s">
        <v>7206</v>
      </c>
      <c r="O537" s="421"/>
      <c r="P537" s="421"/>
      <c r="Q537" s="419">
        <v>0.5</v>
      </c>
      <c r="R537" s="419"/>
    </row>
    <row r="538" ht="12.75" customHeight="1" spans="1:18">
      <c r="A538" s="416">
        <v>7</v>
      </c>
      <c r="B538" s="421" t="s">
        <v>7410</v>
      </c>
      <c r="C538" s="421"/>
      <c r="D538" s="422"/>
      <c r="E538" s="418" t="s">
        <v>294</v>
      </c>
      <c r="F538" s="416" t="s">
        <v>3022</v>
      </c>
      <c r="G538" s="416" t="s">
        <v>7404</v>
      </c>
      <c r="H538" s="420" t="s">
        <v>1348</v>
      </c>
      <c r="I538" s="421"/>
      <c r="J538" s="420" t="s">
        <v>7204</v>
      </c>
      <c r="K538" s="420" t="s">
        <v>1016</v>
      </c>
      <c r="L538" s="421"/>
      <c r="M538" s="420" t="s">
        <v>7205</v>
      </c>
      <c r="N538" s="420" t="s">
        <v>7206</v>
      </c>
      <c r="O538" s="421"/>
      <c r="P538" s="421"/>
      <c r="Q538" s="419">
        <v>0.5</v>
      </c>
      <c r="R538" s="419"/>
    </row>
    <row r="539" ht="12.75" customHeight="1" spans="1:18">
      <c r="A539" s="420">
        <v>8</v>
      </c>
      <c r="B539" s="421" t="s">
        <v>7411</v>
      </c>
      <c r="C539" s="421"/>
      <c r="D539" s="422"/>
      <c r="E539" s="418" t="s">
        <v>294</v>
      </c>
      <c r="F539" s="416" t="s">
        <v>3022</v>
      </c>
      <c r="G539" s="416" t="s">
        <v>7404</v>
      </c>
      <c r="H539" s="420" t="s">
        <v>1348</v>
      </c>
      <c r="I539" s="421"/>
      <c r="J539" s="420" t="s">
        <v>7204</v>
      </c>
      <c r="K539" s="420" t="s">
        <v>1016</v>
      </c>
      <c r="L539" s="421"/>
      <c r="M539" s="420" t="s">
        <v>7205</v>
      </c>
      <c r="N539" s="420" t="s">
        <v>7206</v>
      </c>
      <c r="O539" s="421"/>
      <c r="P539" s="421"/>
      <c r="Q539" s="419">
        <v>0.5</v>
      </c>
      <c r="R539" s="419"/>
    </row>
    <row r="540" ht="12.75" customHeight="1" spans="1:18">
      <c r="A540" s="416">
        <v>9</v>
      </c>
      <c r="B540" s="421" t="s">
        <v>7412</v>
      </c>
      <c r="C540" s="421"/>
      <c r="D540" s="422"/>
      <c r="E540" s="418" t="s">
        <v>294</v>
      </c>
      <c r="F540" s="416" t="s">
        <v>3022</v>
      </c>
      <c r="G540" s="416" t="s">
        <v>7404</v>
      </c>
      <c r="H540" s="420" t="s">
        <v>1348</v>
      </c>
      <c r="I540" s="421"/>
      <c r="J540" s="420" t="s">
        <v>7204</v>
      </c>
      <c r="K540" s="420" t="s">
        <v>1016</v>
      </c>
      <c r="L540" s="421"/>
      <c r="M540" s="420" t="s">
        <v>7205</v>
      </c>
      <c r="N540" s="420" t="s">
        <v>7206</v>
      </c>
      <c r="O540" s="421"/>
      <c r="P540" s="421"/>
      <c r="Q540" s="419">
        <v>0.5</v>
      </c>
      <c r="R540" s="419"/>
    </row>
    <row r="541" ht="12.75" customHeight="1" spans="1:18">
      <c r="A541" s="420">
        <v>10</v>
      </c>
      <c r="B541" s="421" t="s">
        <v>7413</v>
      </c>
      <c r="C541" s="421"/>
      <c r="D541" s="422"/>
      <c r="E541" s="418" t="s">
        <v>294</v>
      </c>
      <c r="F541" s="416" t="s">
        <v>3022</v>
      </c>
      <c r="G541" s="416" t="s">
        <v>7404</v>
      </c>
      <c r="H541" s="420" t="s">
        <v>1348</v>
      </c>
      <c r="I541" s="421"/>
      <c r="J541" s="420" t="s">
        <v>7204</v>
      </c>
      <c r="K541" s="420" t="s">
        <v>1016</v>
      </c>
      <c r="L541" s="421"/>
      <c r="M541" s="420" t="s">
        <v>7205</v>
      </c>
      <c r="N541" s="420" t="s">
        <v>7206</v>
      </c>
      <c r="O541" s="421"/>
      <c r="P541" s="421"/>
      <c r="Q541" s="419">
        <v>0.5</v>
      </c>
      <c r="R541" s="419"/>
    </row>
    <row r="542" ht="12.75" customHeight="1" spans="1:18">
      <c r="A542" s="416">
        <v>11</v>
      </c>
      <c r="B542" s="421" t="s">
        <v>7414</v>
      </c>
      <c r="C542" s="421"/>
      <c r="D542" s="422"/>
      <c r="E542" s="418" t="s">
        <v>294</v>
      </c>
      <c r="F542" s="416" t="s">
        <v>3022</v>
      </c>
      <c r="G542" s="416" t="s">
        <v>7404</v>
      </c>
      <c r="H542" s="420" t="s">
        <v>1348</v>
      </c>
      <c r="I542" s="421"/>
      <c r="J542" s="420" t="s">
        <v>7204</v>
      </c>
      <c r="K542" s="420" t="s">
        <v>1016</v>
      </c>
      <c r="L542" s="421"/>
      <c r="M542" s="420" t="s">
        <v>7205</v>
      </c>
      <c r="N542" s="420" t="s">
        <v>7206</v>
      </c>
      <c r="O542" s="421"/>
      <c r="P542" s="421"/>
      <c r="Q542" s="419">
        <v>0.5</v>
      </c>
      <c r="R542" s="419"/>
    </row>
    <row r="543" ht="12.75" customHeight="1" spans="1:18">
      <c r="A543" s="420">
        <v>12</v>
      </c>
      <c r="B543" s="421" t="s">
        <v>7415</v>
      </c>
      <c r="C543" s="421"/>
      <c r="D543" s="422"/>
      <c r="E543" s="418" t="s">
        <v>294</v>
      </c>
      <c r="F543" s="416" t="s">
        <v>3022</v>
      </c>
      <c r="G543" s="416" t="s">
        <v>7404</v>
      </c>
      <c r="H543" s="420" t="s">
        <v>1348</v>
      </c>
      <c r="I543" s="421"/>
      <c r="J543" s="420" t="s">
        <v>7204</v>
      </c>
      <c r="K543" s="420" t="s">
        <v>1016</v>
      </c>
      <c r="L543" s="421"/>
      <c r="M543" s="420" t="s">
        <v>7205</v>
      </c>
      <c r="N543" s="420" t="s">
        <v>7206</v>
      </c>
      <c r="O543" s="421"/>
      <c r="P543" s="421"/>
      <c r="Q543" s="419">
        <v>0.5</v>
      </c>
      <c r="R543" s="419"/>
    </row>
    <row r="544" ht="12.75" customHeight="1" spans="1:18">
      <c r="A544" s="416">
        <v>13</v>
      </c>
      <c r="B544" s="421" t="s">
        <v>7416</v>
      </c>
      <c r="C544" s="422" t="s">
        <v>7417</v>
      </c>
      <c r="D544" s="422"/>
      <c r="E544" s="418" t="s">
        <v>294</v>
      </c>
      <c r="F544" s="416" t="s">
        <v>3022</v>
      </c>
      <c r="G544" s="420" t="s">
        <v>4006</v>
      </c>
      <c r="H544" s="420" t="s">
        <v>1250</v>
      </c>
      <c r="I544" s="421"/>
      <c r="J544" s="420" t="s">
        <v>7204</v>
      </c>
      <c r="K544" s="420" t="s">
        <v>1016</v>
      </c>
      <c r="L544" s="421"/>
      <c r="M544" s="420" t="s">
        <v>7205</v>
      </c>
      <c r="N544" s="420" t="s">
        <v>7206</v>
      </c>
      <c r="O544" s="421"/>
      <c r="P544" s="421"/>
      <c r="Q544" s="419">
        <v>0.5</v>
      </c>
      <c r="R544" s="419"/>
    </row>
    <row r="545" ht="12.75" customHeight="1" spans="1:18">
      <c r="A545" s="420">
        <v>14</v>
      </c>
      <c r="B545" s="421" t="s">
        <v>7418</v>
      </c>
      <c r="C545" s="422" t="s">
        <v>7419</v>
      </c>
      <c r="D545" s="422"/>
      <c r="E545" s="418" t="s">
        <v>294</v>
      </c>
      <c r="F545" s="416" t="s">
        <v>3022</v>
      </c>
      <c r="G545" s="420" t="s">
        <v>4006</v>
      </c>
      <c r="H545" s="420" t="s">
        <v>1250</v>
      </c>
      <c r="I545" s="421"/>
      <c r="J545" s="420" t="s">
        <v>7204</v>
      </c>
      <c r="K545" s="420" t="s">
        <v>1016</v>
      </c>
      <c r="L545" s="421"/>
      <c r="M545" s="420" t="s">
        <v>7205</v>
      </c>
      <c r="N545" s="420" t="s">
        <v>7206</v>
      </c>
      <c r="O545" s="421"/>
      <c r="P545" s="421"/>
      <c r="Q545" s="419">
        <v>0.5</v>
      </c>
      <c r="R545" s="419"/>
    </row>
    <row r="546" ht="12.75" customHeight="1" spans="1:18">
      <c r="A546" s="416">
        <v>15</v>
      </c>
      <c r="B546" s="421" t="s">
        <v>7420</v>
      </c>
      <c r="C546" s="422" t="s">
        <v>7421</v>
      </c>
      <c r="D546" s="422"/>
      <c r="E546" s="418" t="s">
        <v>294</v>
      </c>
      <c r="F546" s="416" t="s">
        <v>3022</v>
      </c>
      <c r="G546" s="420" t="s">
        <v>4006</v>
      </c>
      <c r="H546" s="420" t="s">
        <v>1250</v>
      </c>
      <c r="I546" s="421"/>
      <c r="J546" s="420" t="s">
        <v>7204</v>
      </c>
      <c r="K546" s="420" t="s">
        <v>1016</v>
      </c>
      <c r="L546" s="421"/>
      <c r="M546" s="420" t="s">
        <v>7205</v>
      </c>
      <c r="N546" s="420" t="s">
        <v>7206</v>
      </c>
      <c r="O546" s="421"/>
      <c r="P546" s="421"/>
      <c r="Q546" s="419">
        <v>0.5</v>
      </c>
      <c r="R546" s="419"/>
    </row>
    <row r="547" ht="12.75" customHeight="1" spans="1:18">
      <c r="A547" s="420">
        <v>16</v>
      </c>
      <c r="B547" s="421" t="s">
        <v>7422</v>
      </c>
      <c r="C547" s="422" t="s">
        <v>7423</v>
      </c>
      <c r="D547" s="422"/>
      <c r="E547" s="418" t="s">
        <v>294</v>
      </c>
      <c r="F547" s="416" t="s">
        <v>3022</v>
      </c>
      <c r="G547" s="420" t="s">
        <v>4006</v>
      </c>
      <c r="H547" s="420" t="s">
        <v>1250</v>
      </c>
      <c r="I547" s="421"/>
      <c r="J547" s="420" t="s">
        <v>7204</v>
      </c>
      <c r="K547" s="420" t="s">
        <v>1016</v>
      </c>
      <c r="L547" s="421"/>
      <c r="M547" s="420" t="s">
        <v>7205</v>
      </c>
      <c r="N547" s="420" t="s">
        <v>7206</v>
      </c>
      <c r="O547" s="421"/>
      <c r="P547" s="421"/>
      <c r="Q547" s="419">
        <v>0.5</v>
      </c>
      <c r="R547" s="419"/>
    </row>
    <row r="548" ht="12.75" customHeight="1" spans="1:18">
      <c r="A548" s="416">
        <v>17</v>
      </c>
      <c r="B548" s="421" t="s">
        <v>7424</v>
      </c>
      <c r="C548" s="422" t="s">
        <v>7425</v>
      </c>
      <c r="D548" s="422"/>
      <c r="E548" s="418" t="s">
        <v>294</v>
      </c>
      <c r="F548" s="416" t="s">
        <v>3022</v>
      </c>
      <c r="G548" s="420" t="s">
        <v>4006</v>
      </c>
      <c r="H548" s="420" t="s">
        <v>1250</v>
      </c>
      <c r="I548" s="421"/>
      <c r="J548" s="420" t="s">
        <v>7204</v>
      </c>
      <c r="K548" s="420" t="s">
        <v>1016</v>
      </c>
      <c r="L548" s="421"/>
      <c r="M548" s="420" t="s">
        <v>7205</v>
      </c>
      <c r="N548" s="420" t="s">
        <v>7206</v>
      </c>
      <c r="O548" s="421"/>
      <c r="P548" s="421"/>
      <c r="Q548" s="419">
        <v>0.5</v>
      </c>
      <c r="R548" s="419"/>
    </row>
    <row r="549" ht="12.75" customHeight="1" spans="1:18">
      <c r="A549" s="420">
        <v>18</v>
      </c>
      <c r="B549" s="421" t="s">
        <v>7426</v>
      </c>
      <c r="C549" s="421"/>
      <c r="D549" s="421"/>
      <c r="E549" s="418" t="s">
        <v>294</v>
      </c>
      <c r="F549" s="416" t="s">
        <v>3022</v>
      </c>
      <c r="G549" s="420" t="s">
        <v>4006</v>
      </c>
      <c r="H549" s="420" t="s">
        <v>1250</v>
      </c>
      <c r="I549" s="421"/>
      <c r="J549" s="420" t="s">
        <v>7204</v>
      </c>
      <c r="K549" s="420" t="s">
        <v>1016</v>
      </c>
      <c r="L549" s="421"/>
      <c r="M549" s="420" t="s">
        <v>7205</v>
      </c>
      <c r="N549" s="420" t="s">
        <v>7206</v>
      </c>
      <c r="O549" s="421"/>
      <c r="P549" s="421"/>
      <c r="Q549" s="419">
        <v>0.5</v>
      </c>
      <c r="R549" s="419"/>
    </row>
    <row r="550" ht="12.75" customHeight="1" spans="1:18">
      <c r="A550" s="420">
        <v>6</v>
      </c>
      <c r="B550" s="421" t="s">
        <v>7427</v>
      </c>
      <c r="C550" s="421"/>
      <c r="D550" s="422"/>
      <c r="E550" s="418" t="s">
        <v>294</v>
      </c>
      <c r="F550" s="416" t="s">
        <v>3022</v>
      </c>
      <c r="G550" s="420"/>
      <c r="H550" s="420" t="s">
        <v>1121</v>
      </c>
      <c r="I550" s="421"/>
      <c r="J550" s="420" t="s">
        <v>7204</v>
      </c>
      <c r="K550" s="420" t="s">
        <v>1016</v>
      </c>
      <c r="L550" s="421"/>
      <c r="M550" s="420" t="s">
        <v>7205</v>
      </c>
      <c r="N550" s="420" t="s">
        <v>7206</v>
      </c>
      <c r="O550" s="421"/>
      <c r="P550" s="421"/>
      <c r="Q550" s="419">
        <v>0.5</v>
      </c>
      <c r="R550" s="419"/>
    </row>
    <row r="551" ht="12.75" customHeight="1" spans="1:18">
      <c r="A551" s="420">
        <v>7</v>
      </c>
      <c r="B551" s="421" t="s">
        <v>7428</v>
      </c>
      <c r="C551" s="421"/>
      <c r="D551" s="422"/>
      <c r="E551" s="418" t="s">
        <v>294</v>
      </c>
      <c r="F551" s="416" t="s">
        <v>3022</v>
      </c>
      <c r="G551" s="420"/>
      <c r="H551" s="420" t="s">
        <v>1121</v>
      </c>
      <c r="I551" s="421"/>
      <c r="J551" s="420" t="s">
        <v>7204</v>
      </c>
      <c r="K551" s="420" t="s">
        <v>1016</v>
      </c>
      <c r="L551" s="421"/>
      <c r="M551" s="420" t="s">
        <v>7205</v>
      </c>
      <c r="N551" s="420" t="s">
        <v>7206</v>
      </c>
      <c r="O551" s="421"/>
      <c r="P551" s="421"/>
      <c r="Q551" s="419">
        <v>0.5</v>
      </c>
      <c r="R551" s="419"/>
    </row>
    <row r="552" ht="12.75" customHeight="1" spans="1:18">
      <c r="A552" s="420">
        <v>8</v>
      </c>
      <c r="B552" s="421" t="s">
        <v>7429</v>
      </c>
      <c r="C552" s="421"/>
      <c r="D552" s="422"/>
      <c r="E552" s="418" t="s">
        <v>294</v>
      </c>
      <c r="F552" s="416" t="s">
        <v>3022</v>
      </c>
      <c r="G552" s="420"/>
      <c r="H552" s="420" t="s">
        <v>1121</v>
      </c>
      <c r="I552" s="421"/>
      <c r="J552" s="420" t="s">
        <v>7204</v>
      </c>
      <c r="K552" s="420" t="s">
        <v>1016</v>
      </c>
      <c r="L552" s="421"/>
      <c r="M552" s="420" t="s">
        <v>7205</v>
      </c>
      <c r="N552" s="420" t="s">
        <v>7206</v>
      </c>
      <c r="O552" s="421"/>
      <c r="P552" s="421"/>
      <c r="Q552" s="419">
        <v>0.5</v>
      </c>
      <c r="R552" s="419"/>
    </row>
    <row r="553" ht="12.75" customHeight="1" spans="1:18">
      <c r="A553" s="420">
        <v>9</v>
      </c>
      <c r="B553" s="421" t="s">
        <v>7430</v>
      </c>
      <c r="C553" s="421"/>
      <c r="D553" s="422"/>
      <c r="E553" s="418" t="s">
        <v>294</v>
      </c>
      <c r="F553" s="416" t="s">
        <v>3022</v>
      </c>
      <c r="G553" s="420"/>
      <c r="H553" s="420" t="s">
        <v>1121</v>
      </c>
      <c r="I553" s="421"/>
      <c r="J553" s="420" t="s">
        <v>7204</v>
      </c>
      <c r="K553" s="420" t="s">
        <v>1016</v>
      </c>
      <c r="L553" s="421"/>
      <c r="M553" s="420" t="s">
        <v>7205</v>
      </c>
      <c r="N553" s="420" t="s">
        <v>7206</v>
      </c>
      <c r="O553" s="421"/>
      <c r="P553" s="421"/>
      <c r="Q553" s="419">
        <v>0.5</v>
      </c>
      <c r="R553" s="419"/>
    </row>
    <row r="554" ht="12.75" customHeight="1" spans="1:18">
      <c r="A554" s="420">
        <v>10</v>
      </c>
      <c r="B554" s="421" t="s">
        <v>7431</v>
      </c>
      <c r="C554" s="421"/>
      <c r="D554" s="422"/>
      <c r="E554" s="418" t="s">
        <v>294</v>
      </c>
      <c r="F554" s="416" t="s">
        <v>3022</v>
      </c>
      <c r="G554" s="420"/>
      <c r="H554" s="420" t="s">
        <v>1121</v>
      </c>
      <c r="I554" s="421"/>
      <c r="J554" s="420" t="s">
        <v>7204</v>
      </c>
      <c r="K554" s="420" t="s">
        <v>1016</v>
      </c>
      <c r="L554" s="421"/>
      <c r="M554" s="420" t="s">
        <v>7205</v>
      </c>
      <c r="N554" s="420" t="s">
        <v>7206</v>
      </c>
      <c r="O554" s="421"/>
      <c r="P554" s="421"/>
      <c r="Q554" s="419">
        <v>0.5</v>
      </c>
      <c r="R554" s="419"/>
    </row>
    <row r="555" ht="12.75" customHeight="1" spans="1:18">
      <c r="A555" s="420">
        <v>12</v>
      </c>
      <c r="B555" s="421" t="s">
        <v>7432</v>
      </c>
      <c r="C555" s="421"/>
      <c r="D555" s="422"/>
      <c r="E555" s="418" t="s">
        <v>294</v>
      </c>
      <c r="F555" s="416" t="s">
        <v>3022</v>
      </c>
      <c r="G555" s="420"/>
      <c r="H555" s="420" t="s">
        <v>1121</v>
      </c>
      <c r="I555" s="421"/>
      <c r="J555" s="420" t="s">
        <v>7204</v>
      </c>
      <c r="K555" s="420" t="s">
        <v>1016</v>
      </c>
      <c r="L555" s="421"/>
      <c r="M555" s="420" t="s">
        <v>7205</v>
      </c>
      <c r="N555" s="420" t="s">
        <v>7206</v>
      </c>
      <c r="O555" s="421"/>
      <c r="P555" s="421"/>
      <c r="Q555" s="419">
        <v>0.5</v>
      </c>
      <c r="R555" s="419"/>
    </row>
    <row r="556" ht="12.75" customHeight="1" spans="1:18">
      <c r="A556" s="420">
        <v>13</v>
      </c>
      <c r="B556" s="421" t="s">
        <v>7433</v>
      </c>
      <c r="C556" s="421"/>
      <c r="D556" s="422"/>
      <c r="E556" s="418" t="s">
        <v>294</v>
      </c>
      <c r="F556" s="416" t="s">
        <v>3022</v>
      </c>
      <c r="G556" s="420"/>
      <c r="H556" s="420" t="s">
        <v>1121</v>
      </c>
      <c r="I556" s="421"/>
      <c r="J556" s="420" t="s">
        <v>7204</v>
      </c>
      <c r="K556" s="420" t="s">
        <v>1016</v>
      </c>
      <c r="L556" s="421"/>
      <c r="M556" s="420" t="s">
        <v>7205</v>
      </c>
      <c r="N556" s="420" t="s">
        <v>7206</v>
      </c>
      <c r="O556" s="421"/>
      <c r="P556" s="421"/>
      <c r="Q556" s="419">
        <v>0.5</v>
      </c>
      <c r="R556" s="419"/>
    </row>
    <row r="557" ht="12.75" customHeight="1" spans="1:18">
      <c r="A557" s="420">
        <v>14</v>
      </c>
      <c r="B557" s="421" t="s">
        <v>7434</v>
      </c>
      <c r="C557" s="421"/>
      <c r="D557" s="422"/>
      <c r="E557" s="418" t="s">
        <v>294</v>
      </c>
      <c r="F557" s="416" t="s">
        <v>3022</v>
      </c>
      <c r="G557" s="420"/>
      <c r="H557" s="420" t="s">
        <v>1121</v>
      </c>
      <c r="I557" s="421"/>
      <c r="J557" s="420" t="s">
        <v>7204</v>
      </c>
      <c r="K557" s="420" t="s">
        <v>1016</v>
      </c>
      <c r="L557" s="421"/>
      <c r="M557" s="420" t="s">
        <v>7205</v>
      </c>
      <c r="N557" s="420" t="s">
        <v>7206</v>
      </c>
      <c r="O557" s="421"/>
      <c r="P557" s="421"/>
      <c r="Q557" s="419">
        <v>0.5</v>
      </c>
      <c r="R557" s="419"/>
    </row>
    <row r="558" ht="12.75" customHeight="1" spans="1:18">
      <c r="A558" s="420">
        <v>15</v>
      </c>
      <c r="B558" s="421" t="s">
        <v>7435</v>
      </c>
      <c r="C558" s="421"/>
      <c r="D558" s="422"/>
      <c r="E558" s="418" t="s">
        <v>294</v>
      </c>
      <c r="F558" s="416" t="s">
        <v>3022</v>
      </c>
      <c r="G558" s="420"/>
      <c r="H558" s="420" t="s">
        <v>1121</v>
      </c>
      <c r="I558" s="421"/>
      <c r="J558" s="420" t="s">
        <v>7204</v>
      </c>
      <c r="K558" s="420" t="s">
        <v>1016</v>
      </c>
      <c r="L558" s="421"/>
      <c r="M558" s="420" t="s">
        <v>7205</v>
      </c>
      <c r="N558" s="420" t="s">
        <v>7206</v>
      </c>
      <c r="O558" s="421"/>
      <c r="P558" s="421"/>
      <c r="Q558" s="419">
        <v>0.5</v>
      </c>
      <c r="R558" s="419"/>
    </row>
    <row r="559" ht="12.75" customHeight="1" spans="1:18">
      <c r="A559" s="420">
        <v>16</v>
      </c>
      <c r="B559" s="421" t="s">
        <v>7436</v>
      </c>
      <c r="C559" s="421"/>
      <c r="D559" s="422"/>
      <c r="E559" s="418" t="s">
        <v>294</v>
      </c>
      <c r="F559" s="416" t="s">
        <v>3022</v>
      </c>
      <c r="G559" s="420"/>
      <c r="H559" s="420" t="s">
        <v>1121</v>
      </c>
      <c r="I559" s="421"/>
      <c r="J559" s="420" t="s">
        <v>7204</v>
      </c>
      <c r="K559" s="420" t="s">
        <v>1016</v>
      </c>
      <c r="L559" s="421"/>
      <c r="M559" s="420" t="s">
        <v>7205</v>
      </c>
      <c r="N559" s="420" t="s">
        <v>7206</v>
      </c>
      <c r="O559" s="421"/>
      <c r="P559" s="421"/>
      <c r="Q559" s="419">
        <v>0.5</v>
      </c>
      <c r="R559" s="419"/>
    </row>
    <row r="560" ht="12.75" customHeight="1" spans="1:18">
      <c r="A560" s="420">
        <v>20</v>
      </c>
      <c r="B560" s="421" t="s">
        <v>6966</v>
      </c>
      <c r="C560" s="418"/>
      <c r="D560" s="418"/>
      <c r="E560" s="418" t="s">
        <v>294</v>
      </c>
      <c r="F560" s="416" t="s">
        <v>3022</v>
      </c>
      <c r="G560" s="420"/>
      <c r="H560" s="420" t="s">
        <v>1121</v>
      </c>
      <c r="I560" s="421"/>
      <c r="J560" s="420" t="s">
        <v>1323</v>
      </c>
      <c r="K560" s="420" t="s">
        <v>1016</v>
      </c>
      <c r="L560" s="421"/>
      <c r="M560" s="420" t="s">
        <v>7252</v>
      </c>
      <c r="N560" s="420" t="s">
        <v>7253</v>
      </c>
      <c r="O560" s="421" t="s">
        <v>7437</v>
      </c>
      <c r="P560" s="421"/>
      <c r="Q560" s="419">
        <v>0.5</v>
      </c>
      <c r="R560" s="419"/>
    </row>
    <row r="561" ht="12.75" customHeight="1" spans="1:18">
      <c r="A561" s="420">
        <v>21</v>
      </c>
      <c r="B561" s="421" t="s">
        <v>6967</v>
      </c>
      <c r="C561" s="418"/>
      <c r="D561" s="418"/>
      <c r="E561" s="418" t="s">
        <v>294</v>
      </c>
      <c r="F561" s="416" t="s">
        <v>3022</v>
      </c>
      <c r="G561" s="420"/>
      <c r="H561" s="420" t="s">
        <v>1121</v>
      </c>
      <c r="I561" s="421"/>
      <c r="J561" s="420" t="s">
        <v>1323</v>
      </c>
      <c r="K561" s="420" t="s">
        <v>1016</v>
      </c>
      <c r="L561" s="421"/>
      <c r="M561" s="420" t="s">
        <v>7252</v>
      </c>
      <c r="N561" s="420" t="s">
        <v>7253</v>
      </c>
      <c r="O561" s="421" t="s">
        <v>7437</v>
      </c>
      <c r="P561" s="421"/>
      <c r="Q561" s="419">
        <v>0.5</v>
      </c>
      <c r="R561" s="419"/>
    </row>
    <row r="562" ht="12.75" customHeight="1" spans="1:18">
      <c r="A562" s="420">
        <v>22</v>
      </c>
      <c r="B562" s="421" t="s">
        <v>6968</v>
      </c>
      <c r="C562" s="418"/>
      <c r="D562" s="418"/>
      <c r="E562" s="418" t="s">
        <v>294</v>
      </c>
      <c r="F562" s="416" t="s">
        <v>3022</v>
      </c>
      <c r="G562" s="420"/>
      <c r="H562" s="420" t="s">
        <v>1121</v>
      </c>
      <c r="I562" s="421"/>
      <c r="J562" s="420" t="s">
        <v>1323</v>
      </c>
      <c r="K562" s="420" t="s">
        <v>1016</v>
      </c>
      <c r="L562" s="421"/>
      <c r="M562" s="420" t="s">
        <v>7252</v>
      </c>
      <c r="N562" s="420" t="s">
        <v>7253</v>
      </c>
      <c r="O562" s="421" t="s">
        <v>7437</v>
      </c>
      <c r="P562" s="421"/>
      <c r="Q562" s="419">
        <v>0.5</v>
      </c>
      <c r="R562" s="419"/>
    </row>
    <row r="563" ht="12.75" customHeight="1" spans="1:18">
      <c r="A563" s="420">
        <v>23</v>
      </c>
      <c r="B563" s="421" t="s">
        <v>6969</v>
      </c>
      <c r="C563" s="418"/>
      <c r="D563" s="418"/>
      <c r="E563" s="418" t="s">
        <v>294</v>
      </c>
      <c r="F563" s="416" t="s">
        <v>3022</v>
      </c>
      <c r="G563" s="420"/>
      <c r="H563" s="420" t="s">
        <v>1121</v>
      </c>
      <c r="I563" s="421"/>
      <c r="J563" s="420" t="s">
        <v>1323</v>
      </c>
      <c r="K563" s="420" t="s">
        <v>1016</v>
      </c>
      <c r="L563" s="421"/>
      <c r="M563" s="420" t="s">
        <v>7252</v>
      </c>
      <c r="N563" s="420" t="s">
        <v>7253</v>
      </c>
      <c r="O563" s="421" t="s">
        <v>7437</v>
      </c>
      <c r="P563" s="421"/>
      <c r="Q563" s="419">
        <v>0.5</v>
      </c>
      <c r="R563" s="419"/>
    </row>
    <row r="564" ht="12.75" customHeight="1" spans="1:18">
      <c r="A564" s="420">
        <v>24</v>
      </c>
      <c r="B564" s="421" t="s">
        <v>6970</v>
      </c>
      <c r="C564" s="418"/>
      <c r="D564" s="418"/>
      <c r="E564" s="418" t="s">
        <v>294</v>
      </c>
      <c r="F564" s="416" t="s">
        <v>3022</v>
      </c>
      <c r="G564" s="420"/>
      <c r="H564" s="420" t="s">
        <v>1121</v>
      </c>
      <c r="I564" s="421"/>
      <c r="J564" s="420" t="s">
        <v>1323</v>
      </c>
      <c r="K564" s="420" t="s">
        <v>1016</v>
      </c>
      <c r="L564" s="421"/>
      <c r="M564" s="420" t="s">
        <v>7252</v>
      </c>
      <c r="N564" s="420" t="s">
        <v>7253</v>
      </c>
      <c r="O564" s="421" t="s">
        <v>7437</v>
      </c>
      <c r="P564" s="421"/>
      <c r="Q564" s="419">
        <v>0.5</v>
      </c>
      <c r="R564" s="419"/>
    </row>
    <row r="565" ht="12.75" customHeight="1" spans="1:18">
      <c r="A565" s="420">
        <v>1</v>
      </c>
      <c r="B565" s="421" t="s">
        <v>7438</v>
      </c>
      <c r="C565" s="421"/>
      <c r="D565" s="421"/>
      <c r="E565" s="418" t="s">
        <v>294</v>
      </c>
      <c r="F565" s="416" t="s">
        <v>3022</v>
      </c>
      <c r="G565" s="420"/>
      <c r="H565" s="420" t="s">
        <v>1593</v>
      </c>
      <c r="I565" s="421"/>
      <c r="J565" s="420" t="s">
        <v>7204</v>
      </c>
      <c r="K565" s="420" t="s">
        <v>1016</v>
      </c>
      <c r="L565" s="421"/>
      <c r="M565" s="420" t="s">
        <v>7205</v>
      </c>
      <c r="N565" s="420" t="s">
        <v>7206</v>
      </c>
      <c r="O565" s="421"/>
      <c r="P565" s="421"/>
      <c r="Q565" s="419">
        <v>0.5</v>
      </c>
      <c r="R565" s="419"/>
    </row>
    <row r="566" ht="12.75" customHeight="1" spans="1:18">
      <c r="A566" s="420">
        <v>2</v>
      </c>
      <c r="B566" s="421" t="s">
        <v>7439</v>
      </c>
      <c r="C566" s="421"/>
      <c r="D566" s="421"/>
      <c r="E566" s="418" t="s">
        <v>294</v>
      </c>
      <c r="F566" s="416" t="s">
        <v>3022</v>
      </c>
      <c r="G566" s="420"/>
      <c r="H566" s="420" t="s">
        <v>1593</v>
      </c>
      <c r="I566" s="421"/>
      <c r="J566" s="420" t="s">
        <v>7204</v>
      </c>
      <c r="K566" s="420" t="s">
        <v>1016</v>
      </c>
      <c r="L566" s="421"/>
      <c r="M566" s="420" t="s">
        <v>7205</v>
      </c>
      <c r="N566" s="420" t="s">
        <v>7206</v>
      </c>
      <c r="O566" s="421"/>
      <c r="P566" s="421"/>
      <c r="Q566" s="419">
        <v>0.5</v>
      </c>
      <c r="R566" s="419"/>
    </row>
    <row r="567" ht="12.75" customHeight="1" spans="1:18">
      <c r="A567" s="420">
        <v>3</v>
      </c>
      <c r="B567" s="421" t="s">
        <v>7440</v>
      </c>
      <c r="C567" s="421"/>
      <c r="D567" s="421"/>
      <c r="E567" s="418" t="s">
        <v>294</v>
      </c>
      <c r="F567" s="416" t="s">
        <v>3022</v>
      </c>
      <c r="G567" s="420"/>
      <c r="H567" s="420" t="s">
        <v>1593</v>
      </c>
      <c r="I567" s="421"/>
      <c r="J567" s="420" t="s">
        <v>7204</v>
      </c>
      <c r="K567" s="420" t="s">
        <v>1016</v>
      </c>
      <c r="L567" s="421"/>
      <c r="M567" s="420" t="s">
        <v>7205</v>
      </c>
      <c r="N567" s="420" t="s">
        <v>7206</v>
      </c>
      <c r="O567" s="421"/>
      <c r="P567" s="421"/>
      <c r="Q567" s="419">
        <v>0.5</v>
      </c>
      <c r="R567" s="419"/>
    </row>
    <row r="568" ht="12.75" customHeight="1" spans="1:18">
      <c r="A568" s="420">
        <v>4</v>
      </c>
      <c r="B568" s="421" t="s">
        <v>7441</v>
      </c>
      <c r="C568" s="421"/>
      <c r="D568" s="421"/>
      <c r="E568" s="418" t="s">
        <v>294</v>
      </c>
      <c r="F568" s="416" t="s">
        <v>3022</v>
      </c>
      <c r="G568" s="420"/>
      <c r="H568" s="420" t="s">
        <v>1593</v>
      </c>
      <c r="I568" s="421"/>
      <c r="J568" s="420" t="s">
        <v>7204</v>
      </c>
      <c r="K568" s="420" t="s">
        <v>1016</v>
      </c>
      <c r="L568" s="421"/>
      <c r="M568" s="420" t="s">
        <v>7205</v>
      </c>
      <c r="N568" s="420" t="s">
        <v>7206</v>
      </c>
      <c r="O568" s="421"/>
      <c r="P568" s="421"/>
      <c r="Q568" s="419">
        <v>0.5</v>
      </c>
      <c r="R568" s="419"/>
    </row>
    <row r="569" ht="12.75" customHeight="1" spans="1:18">
      <c r="A569" s="420">
        <v>5</v>
      </c>
      <c r="B569" s="421" t="s">
        <v>7442</v>
      </c>
      <c r="C569" s="421"/>
      <c r="D569" s="421"/>
      <c r="E569" s="418" t="s">
        <v>294</v>
      </c>
      <c r="F569" s="416" t="s">
        <v>3022</v>
      </c>
      <c r="G569" s="420"/>
      <c r="H569" s="420" t="s">
        <v>1593</v>
      </c>
      <c r="I569" s="421"/>
      <c r="J569" s="420" t="s">
        <v>7204</v>
      </c>
      <c r="K569" s="420" t="s">
        <v>1016</v>
      </c>
      <c r="L569" s="421"/>
      <c r="M569" s="420" t="s">
        <v>7205</v>
      </c>
      <c r="N569" s="420" t="s">
        <v>7206</v>
      </c>
      <c r="O569" s="421"/>
      <c r="P569" s="421"/>
      <c r="Q569" s="419">
        <v>0.5</v>
      </c>
      <c r="R569" s="419"/>
    </row>
    <row r="570" ht="12.75" customHeight="1" spans="1:18">
      <c r="A570" s="420">
        <v>6</v>
      </c>
      <c r="B570" s="421" t="s">
        <v>7443</v>
      </c>
      <c r="C570" s="421"/>
      <c r="D570" s="421"/>
      <c r="E570" s="418" t="s">
        <v>294</v>
      </c>
      <c r="F570" s="416" t="s">
        <v>3022</v>
      </c>
      <c r="G570" s="420"/>
      <c r="H570" s="420" t="s">
        <v>1593</v>
      </c>
      <c r="I570" s="421"/>
      <c r="J570" s="420" t="s">
        <v>7204</v>
      </c>
      <c r="K570" s="420" t="s">
        <v>1016</v>
      </c>
      <c r="L570" s="421"/>
      <c r="M570" s="420" t="s">
        <v>7205</v>
      </c>
      <c r="N570" s="420" t="s">
        <v>7206</v>
      </c>
      <c r="O570" s="421"/>
      <c r="P570" s="421"/>
      <c r="Q570" s="419">
        <v>0.5</v>
      </c>
      <c r="R570" s="419"/>
    </row>
    <row r="571" ht="12.75" customHeight="1" spans="1:18">
      <c r="A571" s="420">
        <v>7</v>
      </c>
      <c r="B571" s="421" t="s">
        <v>7444</v>
      </c>
      <c r="C571" s="421"/>
      <c r="D571" s="421"/>
      <c r="E571" s="418" t="s">
        <v>294</v>
      </c>
      <c r="F571" s="416" t="s">
        <v>3022</v>
      </c>
      <c r="G571" s="420"/>
      <c r="H571" s="420" t="s">
        <v>1593</v>
      </c>
      <c r="I571" s="421"/>
      <c r="J571" s="420" t="s">
        <v>7204</v>
      </c>
      <c r="K571" s="420" t="s">
        <v>1016</v>
      </c>
      <c r="L571" s="421"/>
      <c r="M571" s="420" t="s">
        <v>7205</v>
      </c>
      <c r="N571" s="420" t="s">
        <v>7206</v>
      </c>
      <c r="O571" s="421"/>
      <c r="P571" s="421"/>
      <c r="Q571" s="419">
        <v>0.5</v>
      </c>
      <c r="R571" s="419"/>
    </row>
    <row r="572" ht="12.75" customHeight="1" spans="1:18">
      <c r="A572" s="420">
        <v>8</v>
      </c>
      <c r="B572" s="421" t="s">
        <v>7445</v>
      </c>
      <c r="C572" s="421"/>
      <c r="D572" s="421"/>
      <c r="E572" s="418" t="s">
        <v>294</v>
      </c>
      <c r="F572" s="416" t="s">
        <v>3022</v>
      </c>
      <c r="G572" s="420"/>
      <c r="H572" s="420" t="s">
        <v>1593</v>
      </c>
      <c r="I572" s="421"/>
      <c r="J572" s="420" t="s">
        <v>7204</v>
      </c>
      <c r="K572" s="420" t="s">
        <v>1016</v>
      </c>
      <c r="L572" s="421"/>
      <c r="M572" s="420" t="s">
        <v>7205</v>
      </c>
      <c r="N572" s="420" t="s">
        <v>7206</v>
      </c>
      <c r="O572" s="421"/>
      <c r="P572" s="421"/>
      <c r="Q572" s="419">
        <v>0.5</v>
      </c>
      <c r="R572" s="419"/>
    </row>
    <row r="573" ht="12.75" customHeight="1" spans="1:18">
      <c r="A573" s="420">
        <v>9</v>
      </c>
      <c r="B573" s="421" t="s">
        <v>7446</v>
      </c>
      <c r="C573" s="421" t="s">
        <v>7447</v>
      </c>
      <c r="D573" s="421"/>
      <c r="E573" s="418" t="s">
        <v>294</v>
      </c>
      <c r="F573" s="416" t="s">
        <v>3022</v>
      </c>
      <c r="G573" s="420"/>
      <c r="H573" s="420" t="s">
        <v>1593</v>
      </c>
      <c r="I573" s="421" t="s">
        <v>7448</v>
      </c>
      <c r="J573" s="420" t="s">
        <v>7204</v>
      </c>
      <c r="K573" s="420" t="s">
        <v>1016</v>
      </c>
      <c r="L573" s="421"/>
      <c r="M573" s="420" t="s">
        <v>7205</v>
      </c>
      <c r="N573" s="420" t="s">
        <v>7206</v>
      </c>
      <c r="O573" s="421"/>
      <c r="P573" s="421"/>
      <c r="Q573" s="419">
        <v>0.5</v>
      </c>
      <c r="R573" s="419"/>
    </row>
    <row r="574" ht="12.75" customHeight="1" spans="1:18">
      <c r="A574" s="420">
        <v>10</v>
      </c>
      <c r="B574" s="421" t="s">
        <v>7449</v>
      </c>
      <c r="C574" s="421" t="s">
        <v>7450</v>
      </c>
      <c r="D574" s="421"/>
      <c r="E574" s="418" t="s">
        <v>294</v>
      </c>
      <c r="F574" s="416" t="s">
        <v>3022</v>
      </c>
      <c r="G574" s="420"/>
      <c r="H574" s="420" t="s">
        <v>1593</v>
      </c>
      <c r="I574" s="421" t="s">
        <v>7448</v>
      </c>
      <c r="J574" s="420" t="s">
        <v>7204</v>
      </c>
      <c r="K574" s="420" t="s">
        <v>1016</v>
      </c>
      <c r="L574" s="421"/>
      <c r="M574" s="420" t="s">
        <v>7205</v>
      </c>
      <c r="N574" s="420" t="s">
        <v>7206</v>
      </c>
      <c r="O574" s="421"/>
      <c r="P574" s="421"/>
      <c r="Q574" s="419">
        <v>0.5</v>
      </c>
      <c r="R574" s="419"/>
    </row>
    <row r="575" ht="12.75" customHeight="1" spans="1:18">
      <c r="A575" s="420">
        <v>11</v>
      </c>
      <c r="B575" s="421" t="s">
        <v>7451</v>
      </c>
      <c r="C575" s="421" t="s">
        <v>7452</v>
      </c>
      <c r="D575" s="421"/>
      <c r="E575" s="418" t="s">
        <v>294</v>
      </c>
      <c r="F575" s="416" t="s">
        <v>3022</v>
      </c>
      <c r="G575" s="420"/>
      <c r="H575" s="420" t="s">
        <v>1593</v>
      </c>
      <c r="I575" s="421" t="s">
        <v>7448</v>
      </c>
      <c r="J575" s="420" t="s">
        <v>7204</v>
      </c>
      <c r="K575" s="420" t="s">
        <v>1016</v>
      </c>
      <c r="L575" s="421"/>
      <c r="M575" s="420" t="s">
        <v>7205</v>
      </c>
      <c r="N575" s="420" t="s">
        <v>7206</v>
      </c>
      <c r="O575" s="421"/>
      <c r="P575" s="421"/>
      <c r="Q575" s="419">
        <v>0.5</v>
      </c>
      <c r="R575" s="419"/>
    </row>
    <row r="576" ht="12.75" customHeight="1" spans="1:18">
      <c r="A576" s="420">
        <v>12</v>
      </c>
      <c r="B576" s="421" t="s">
        <v>7453</v>
      </c>
      <c r="C576" s="421" t="s">
        <v>7454</v>
      </c>
      <c r="D576" s="421"/>
      <c r="E576" s="418" t="s">
        <v>294</v>
      </c>
      <c r="F576" s="416" t="s">
        <v>3022</v>
      </c>
      <c r="G576" s="420"/>
      <c r="H576" s="420" t="s">
        <v>1593</v>
      </c>
      <c r="I576" s="421" t="s">
        <v>7448</v>
      </c>
      <c r="J576" s="420" t="s">
        <v>7204</v>
      </c>
      <c r="K576" s="420" t="s">
        <v>1016</v>
      </c>
      <c r="L576" s="421"/>
      <c r="M576" s="420" t="s">
        <v>7205</v>
      </c>
      <c r="N576" s="420" t="s">
        <v>7206</v>
      </c>
      <c r="O576" s="421"/>
      <c r="P576" s="421"/>
      <c r="Q576" s="419">
        <v>0.5</v>
      </c>
      <c r="R576" s="419"/>
    </row>
    <row r="577" ht="12.75" customHeight="1" spans="1:18">
      <c r="A577" s="420">
        <v>15</v>
      </c>
      <c r="B577" s="421" t="s">
        <v>7455</v>
      </c>
      <c r="C577" s="421"/>
      <c r="D577" s="421"/>
      <c r="E577" s="418" t="s">
        <v>294</v>
      </c>
      <c r="F577" s="416" t="s">
        <v>3022</v>
      </c>
      <c r="G577" s="420" t="s">
        <v>7293</v>
      </c>
      <c r="H577" s="420" t="s">
        <v>1593</v>
      </c>
      <c r="I577" s="421"/>
      <c r="J577" s="420" t="s">
        <v>1323</v>
      </c>
      <c r="K577" s="420" t="s">
        <v>7294</v>
      </c>
      <c r="L577" s="421"/>
      <c r="M577" s="420" t="s">
        <v>7252</v>
      </c>
      <c r="N577" s="420" t="s">
        <v>7253</v>
      </c>
      <c r="O577" s="421" t="s">
        <v>7456</v>
      </c>
      <c r="P577" s="421"/>
      <c r="Q577" s="419">
        <v>0.5</v>
      </c>
      <c r="R577" s="419"/>
    </row>
    <row r="578" ht="12.75" customHeight="1" spans="1:18">
      <c r="A578" s="420">
        <v>16</v>
      </c>
      <c r="B578" s="421" t="s">
        <v>7457</v>
      </c>
      <c r="C578" s="421"/>
      <c r="D578" s="421"/>
      <c r="E578" s="418" t="s">
        <v>294</v>
      </c>
      <c r="F578" s="416" t="s">
        <v>3022</v>
      </c>
      <c r="G578" s="420" t="s">
        <v>7293</v>
      </c>
      <c r="H578" s="420" t="s">
        <v>1593</v>
      </c>
      <c r="I578" s="421"/>
      <c r="J578" s="420" t="s">
        <v>1323</v>
      </c>
      <c r="K578" s="420" t="s">
        <v>7294</v>
      </c>
      <c r="L578" s="421"/>
      <c r="M578" s="420" t="s">
        <v>7252</v>
      </c>
      <c r="N578" s="420" t="s">
        <v>7253</v>
      </c>
      <c r="O578" s="421" t="s">
        <v>7458</v>
      </c>
      <c r="P578" s="421"/>
      <c r="Q578" s="419">
        <v>0.5</v>
      </c>
      <c r="R578" s="419"/>
    </row>
    <row r="579" ht="12.75" customHeight="1" spans="1:18">
      <c r="A579" s="420">
        <v>20</v>
      </c>
      <c r="B579" s="421" t="s">
        <v>7459</v>
      </c>
      <c r="C579" s="421"/>
      <c r="D579" s="421"/>
      <c r="E579" s="418" t="s">
        <v>294</v>
      </c>
      <c r="F579" s="416" t="s">
        <v>3022</v>
      </c>
      <c r="G579" s="420" t="s">
        <v>7293</v>
      </c>
      <c r="H579" s="420" t="s">
        <v>1593</v>
      </c>
      <c r="I579" s="421"/>
      <c r="J579" s="420" t="s">
        <v>1323</v>
      </c>
      <c r="K579" s="420" t="s">
        <v>7294</v>
      </c>
      <c r="L579" s="421"/>
      <c r="M579" s="420" t="s">
        <v>7252</v>
      </c>
      <c r="N579" s="420" t="s">
        <v>7253</v>
      </c>
      <c r="O579" s="421" t="s">
        <v>7460</v>
      </c>
      <c r="P579" s="421"/>
      <c r="Q579" s="419">
        <v>0.5</v>
      </c>
      <c r="R579" s="419"/>
    </row>
    <row r="580" ht="12.75" customHeight="1" spans="1:18">
      <c r="A580" s="420">
        <v>21</v>
      </c>
      <c r="B580" s="421" t="s">
        <v>7461</v>
      </c>
      <c r="C580" s="421"/>
      <c r="D580" s="421"/>
      <c r="E580" s="418" t="s">
        <v>294</v>
      </c>
      <c r="F580" s="416" t="s">
        <v>3022</v>
      </c>
      <c r="G580" s="420" t="s">
        <v>7293</v>
      </c>
      <c r="H580" s="420" t="s">
        <v>1593</v>
      </c>
      <c r="I580" s="421"/>
      <c r="J580" s="420" t="s">
        <v>1323</v>
      </c>
      <c r="K580" s="420" t="s">
        <v>7294</v>
      </c>
      <c r="L580" s="421"/>
      <c r="M580" s="420" t="s">
        <v>7252</v>
      </c>
      <c r="N580" s="420" t="s">
        <v>7253</v>
      </c>
      <c r="O580" s="421" t="s">
        <v>7462</v>
      </c>
      <c r="P580" s="421"/>
      <c r="Q580" s="419">
        <v>0.5</v>
      </c>
      <c r="R580" s="419"/>
    </row>
    <row r="581" ht="12.75" customHeight="1" spans="1:18">
      <c r="A581" s="420">
        <v>27</v>
      </c>
      <c r="B581" s="421" t="s">
        <v>7463</v>
      </c>
      <c r="C581" s="421"/>
      <c r="D581" s="421"/>
      <c r="E581" s="418" t="s">
        <v>294</v>
      </c>
      <c r="F581" s="416" t="s">
        <v>3022</v>
      </c>
      <c r="G581" s="420" t="s">
        <v>7293</v>
      </c>
      <c r="H581" s="420" t="s">
        <v>1593</v>
      </c>
      <c r="I581" s="421"/>
      <c r="J581" s="420" t="s">
        <v>1323</v>
      </c>
      <c r="K581" s="420" t="s">
        <v>7294</v>
      </c>
      <c r="L581" s="421"/>
      <c r="M581" s="420" t="s">
        <v>7252</v>
      </c>
      <c r="N581" s="420" t="s">
        <v>7253</v>
      </c>
      <c r="O581" s="421" t="s">
        <v>7464</v>
      </c>
      <c r="P581" s="421"/>
      <c r="Q581" s="419">
        <v>0.5</v>
      </c>
      <c r="R581" s="419"/>
    </row>
    <row r="582" ht="12.75" customHeight="1" spans="1:18">
      <c r="A582" s="420">
        <v>28</v>
      </c>
      <c r="B582" s="421" t="s">
        <v>7465</v>
      </c>
      <c r="C582" s="421"/>
      <c r="D582" s="421"/>
      <c r="E582" s="418" t="s">
        <v>294</v>
      </c>
      <c r="F582" s="416" t="s">
        <v>3022</v>
      </c>
      <c r="G582" s="420" t="s">
        <v>7293</v>
      </c>
      <c r="H582" s="420" t="s">
        <v>1593</v>
      </c>
      <c r="I582" s="421"/>
      <c r="J582" s="420" t="s">
        <v>1323</v>
      </c>
      <c r="K582" s="420" t="s">
        <v>7294</v>
      </c>
      <c r="L582" s="421"/>
      <c r="M582" s="420" t="s">
        <v>7252</v>
      </c>
      <c r="N582" s="420" t="s">
        <v>7253</v>
      </c>
      <c r="O582" s="421" t="s">
        <v>7466</v>
      </c>
      <c r="P582" s="421"/>
      <c r="Q582" s="419">
        <v>0.5</v>
      </c>
      <c r="R582" s="419"/>
    </row>
    <row r="583" ht="12.75" customHeight="1" spans="1:18">
      <c r="A583" s="420">
        <v>31</v>
      </c>
      <c r="B583" s="421" t="s">
        <v>7467</v>
      </c>
      <c r="C583" s="421"/>
      <c r="D583" s="421"/>
      <c r="E583" s="418" t="s">
        <v>294</v>
      </c>
      <c r="F583" s="416" t="s">
        <v>3022</v>
      </c>
      <c r="G583" s="420" t="s">
        <v>7293</v>
      </c>
      <c r="H583" s="420" t="s">
        <v>1593</v>
      </c>
      <c r="I583" s="421"/>
      <c r="J583" s="420" t="s">
        <v>1323</v>
      </c>
      <c r="K583" s="420" t="s">
        <v>7294</v>
      </c>
      <c r="L583" s="421"/>
      <c r="M583" s="420" t="s">
        <v>7252</v>
      </c>
      <c r="N583" s="420" t="s">
        <v>7253</v>
      </c>
      <c r="O583" s="421" t="s">
        <v>7468</v>
      </c>
      <c r="P583" s="421"/>
      <c r="Q583" s="419">
        <v>0.5</v>
      </c>
      <c r="R583" s="419"/>
    </row>
    <row r="584" ht="12.75" customHeight="1" spans="1:18">
      <c r="A584" s="420">
        <v>35</v>
      </c>
      <c r="B584" s="421" t="s">
        <v>7469</v>
      </c>
      <c r="C584" s="421"/>
      <c r="D584" s="421"/>
      <c r="E584" s="418" t="s">
        <v>294</v>
      </c>
      <c r="F584" s="416" t="s">
        <v>3022</v>
      </c>
      <c r="G584" s="420" t="s">
        <v>1074</v>
      </c>
      <c r="H584" s="420" t="s">
        <v>1593</v>
      </c>
      <c r="I584" s="421"/>
      <c r="J584" s="420" t="s">
        <v>1323</v>
      </c>
      <c r="K584" s="420" t="s">
        <v>7294</v>
      </c>
      <c r="L584" s="421"/>
      <c r="M584" s="420" t="s">
        <v>7252</v>
      </c>
      <c r="N584" s="420" t="s">
        <v>7253</v>
      </c>
      <c r="O584" s="421" t="s">
        <v>7470</v>
      </c>
      <c r="P584" s="421"/>
      <c r="Q584" s="419">
        <v>0.5</v>
      </c>
      <c r="R584" s="419"/>
    </row>
    <row r="585" ht="12.75" customHeight="1" spans="1:18">
      <c r="A585" s="420">
        <v>37</v>
      </c>
      <c r="B585" s="421" t="s">
        <v>7471</v>
      </c>
      <c r="C585" s="421"/>
      <c r="D585" s="421"/>
      <c r="E585" s="418" t="s">
        <v>294</v>
      </c>
      <c r="F585" s="416" t="s">
        <v>3022</v>
      </c>
      <c r="G585" s="420" t="s">
        <v>1074</v>
      </c>
      <c r="H585" s="420" t="s">
        <v>1593</v>
      </c>
      <c r="I585" s="421"/>
      <c r="J585" s="420" t="s">
        <v>1323</v>
      </c>
      <c r="K585" s="420" t="s">
        <v>7294</v>
      </c>
      <c r="L585" s="421"/>
      <c r="M585" s="420" t="s">
        <v>7252</v>
      </c>
      <c r="N585" s="420" t="s">
        <v>7253</v>
      </c>
      <c r="O585" s="421" t="s">
        <v>7472</v>
      </c>
      <c r="P585" s="421"/>
      <c r="Q585" s="419">
        <v>0.5</v>
      </c>
      <c r="R585" s="419"/>
    </row>
    <row r="586" ht="12.75" customHeight="1" spans="1:18">
      <c r="A586" s="420">
        <v>38</v>
      </c>
      <c r="B586" s="421" t="s">
        <v>7473</v>
      </c>
      <c r="C586" s="421" t="s">
        <v>7474</v>
      </c>
      <c r="D586" s="423"/>
      <c r="E586" s="418" t="s">
        <v>294</v>
      </c>
      <c r="F586" s="416" t="s">
        <v>3022</v>
      </c>
      <c r="G586" s="424"/>
      <c r="H586" s="420" t="s">
        <v>1593</v>
      </c>
      <c r="I586" s="425" t="s">
        <v>7475</v>
      </c>
      <c r="J586" s="420" t="s">
        <v>7204</v>
      </c>
      <c r="K586" s="420" t="s">
        <v>811</v>
      </c>
      <c r="L586" s="421"/>
      <c r="M586" s="420" t="s">
        <v>7205</v>
      </c>
      <c r="N586" s="420" t="s">
        <v>7206</v>
      </c>
      <c r="O586" s="421"/>
      <c r="P586" s="421"/>
      <c r="Q586" s="419">
        <v>0.5</v>
      </c>
      <c r="R586" s="419"/>
    </row>
    <row r="587" ht="12.75" customHeight="1" spans="1:18">
      <c r="A587" s="420">
        <v>39</v>
      </c>
      <c r="B587" s="421" t="s">
        <v>7476</v>
      </c>
      <c r="C587" s="421" t="s">
        <v>7477</v>
      </c>
      <c r="D587" s="423"/>
      <c r="E587" s="418" t="s">
        <v>294</v>
      </c>
      <c r="F587" s="416" t="s">
        <v>3022</v>
      </c>
      <c r="G587" s="424"/>
      <c r="H587" s="420" t="s">
        <v>1593</v>
      </c>
      <c r="I587" s="425" t="s">
        <v>7475</v>
      </c>
      <c r="J587" s="420" t="s">
        <v>7204</v>
      </c>
      <c r="K587" s="420" t="s">
        <v>811</v>
      </c>
      <c r="L587" s="421"/>
      <c r="M587" s="420" t="s">
        <v>7205</v>
      </c>
      <c r="N587" s="420" t="s">
        <v>7206</v>
      </c>
      <c r="O587" s="421"/>
      <c r="P587" s="421"/>
      <c r="Q587" s="419">
        <v>0.5</v>
      </c>
      <c r="R587" s="419"/>
    </row>
    <row r="588" ht="12.75" customHeight="1" spans="1:18">
      <c r="A588" s="420">
        <v>40</v>
      </c>
      <c r="B588" s="421" t="s">
        <v>7478</v>
      </c>
      <c r="C588" s="421" t="s">
        <v>7479</v>
      </c>
      <c r="D588" s="423"/>
      <c r="E588" s="418" t="s">
        <v>294</v>
      </c>
      <c r="F588" s="416" t="s">
        <v>3022</v>
      </c>
      <c r="G588" s="424"/>
      <c r="H588" s="420" t="s">
        <v>1593</v>
      </c>
      <c r="I588" s="425" t="s">
        <v>7475</v>
      </c>
      <c r="J588" s="420" t="s">
        <v>7204</v>
      </c>
      <c r="K588" s="420" t="s">
        <v>811</v>
      </c>
      <c r="L588" s="421"/>
      <c r="M588" s="420" t="s">
        <v>7205</v>
      </c>
      <c r="N588" s="420" t="s">
        <v>7206</v>
      </c>
      <c r="O588" s="421"/>
      <c r="P588" s="421"/>
      <c r="Q588" s="419">
        <v>0.5</v>
      </c>
      <c r="R588" s="419"/>
    </row>
    <row r="589" ht="12.75" customHeight="1" spans="1:18">
      <c r="A589" s="420">
        <v>1</v>
      </c>
      <c r="B589" s="421" t="s">
        <v>7480</v>
      </c>
      <c r="C589" s="421" t="s">
        <v>7481</v>
      </c>
      <c r="D589" s="418"/>
      <c r="E589" s="418" t="s">
        <v>293</v>
      </c>
      <c r="F589" s="416" t="s">
        <v>3022</v>
      </c>
      <c r="G589" s="420"/>
      <c r="H589" s="420" t="s">
        <v>7482</v>
      </c>
      <c r="I589" s="421" t="s">
        <v>7198</v>
      </c>
      <c r="J589" s="420" t="s">
        <v>7199</v>
      </c>
      <c r="K589" s="420" t="s">
        <v>1140</v>
      </c>
      <c r="L589" s="421"/>
      <c r="M589" s="420" t="s">
        <v>7200</v>
      </c>
      <c r="N589" s="420" t="s">
        <v>7201</v>
      </c>
      <c r="O589" s="421"/>
      <c r="P589" s="421"/>
      <c r="Q589" s="419">
        <v>1</v>
      </c>
      <c r="R589" s="419"/>
    </row>
    <row r="590" ht="12.75" customHeight="1" spans="1:18">
      <c r="A590" s="420">
        <f t="shared" ref="A590:A613" si="10">1+A589</f>
        <v>2</v>
      </c>
      <c r="B590" s="421" t="s">
        <v>7483</v>
      </c>
      <c r="C590" s="421" t="s">
        <v>7484</v>
      </c>
      <c r="D590" s="418"/>
      <c r="E590" s="418" t="s">
        <v>293</v>
      </c>
      <c r="F590" s="416" t="s">
        <v>3022</v>
      </c>
      <c r="G590" s="420"/>
      <c r="H590" s="420" t="s">
        <v>7482</v>
      </c>
      <c r="I590" s="421" t="s">
        <v>7198</v>
      </c>
      <c r="J590" s="420" t="s">
        <v>7199</v>
      </c>
      <c r="K590" s="420" t="s">
        <v>1140</v>
      </c>
      <c r="L590" s="421"/>
      <c r="M590" s="420" t="s">
        <v>7200</v>
      </c>
      <c r="N590" s="420" t="s">
        <v>7201</v>
      </c>
      <c r="O590" s="421"/>
      <c r="P590" s="421"/>
      <c r="Q590" s="419">
        <v>1</v>
      </c>
      <c r="R590" s="419"/>
    </row>
    <row r="591" ht="12.75" customHeight="1" spans="1:18">
      <c r="A591" s="420">
        <f t="shared" si="10"/>
        <v>3</v>
      </c>
      <c r="B591" s="421" t="s">
        <v>7485</v>
      </c>
      <c r="C591" s="421" t="s">
        <v>7486</v>
      </c>
      <c r="D591" s="418"/>
      <c r="E591" s="418" t="s">
        <v>293</v>
      </c>
      <c r="F591" s="416" t="s">
        <v>3022</v>
      </c>
      <c r="G591" s="420"/>
      <c r="H591" s="420" t="s">
        <v>7482</v>
      </c>
      <c r="I591" s="421" t="s">
        <v>7198</v>
      </c>
      <c r="J591" s="420" t="s">
        <v>7199</v>
      </c>
      <c r="K591" s="420" t="s">
        <v>1140</v>
      </c>
      <c r="L591" s="421"/>
      <c r="M591" s="420" t="s">
        <v>7200</v>
      </c>
      <c r="N591" s="420" t="s">
        <v>7201</v>
      </c>
      <c r="O591" s="421"/>
      <c r="P591" s="421"/>
      <c r="Q591" s="419">
        <v>1</v>
      </c>
      <c r="R591" s="419"/>
    </row>
    <row r="592" ht="12.75" customHeight="1" spans="1:18">
      <c r="A592" s="420">
        <f t="shared" si="10"/>
        <v>4</v>
      </c>
      <c r="B592" s="421" t="s">
        <v>7487</v>
      </c>
      <c r="C592" s="421" t="s">
        <v>7488</v>
      </c>
      <c r="D592" s="418"/>
      <c r="E592" s="418" t="s">
        <v>293</v>
      </c>
      <c r="F592" s="416" t="s">
        <v>3022</v>
      </c>
      <c r="G592" s="420"/>
      <c r="H592" s="420" t="s">
        <v>7482</v>
      </c>
      <c r="I592" s="421" t="s">
        <v>7198</v>
      </c>
      <c r="J592" s="420" t="s">
        <v>7199</v>
      </c>
      <c r="K592" s="420" t="s">
        <v>1140</v>
      </c>
      <c r="L592" s="421"/>
      <c r="M592" s="420" t="s">
        <v>7200</v>
      </c>
      <c r="N592" s="420" t="s">
        <v>7201</v>
      </c>
      <c r="O592" s="421"/>
      <c r="P592" s="421"/>
      <c r="Q592" s="419">
        <v>1</v>
      </c>
      <c r="R592" s="419"/>
    </row>
    <row r="593" ht="12.75" customHeight="1" spans="1:18">
      <c r="A593" s="420">
        <f t="shared" si="10"/>
        <v>5</v>
      </c>
      <c r="B593" s="421" t="s">
        <v>7489</v>
      </c>
      <c r="C593" s="421" t="s">
        <v>7490</v>
      </c>
      <c r="D593" s="418"/>
      <c r="E593" s="418" t="s">
        <v>293</v>
      </c>
      <c r="F593" s="416" t="s">
        <v>3022</v>
      </c>
      <c r="G593" s="420"/>
      <c r="H593" s="420" t="s">
        <v>7482</v>
      </c>
      <c r="I593" s="421" t="s">
        <v>7198</v>
      </c>
      <c r="J593" s="420" t="s">
        <v>7199</v>
      </c>
      <c r="K593" s="420" t="s">
        <v>1140</v>
      </c>
      <c r="L593" s="421"/>
      <c r="M593" s="420" t="s">
        <v>7200</v>
      </c>
      <c r="N593" s="420" t="s">
        <v>7201</v>
      </c>
      <c r="O593" s="421"/>
      <c r="P593" s="421"/>
      <c r="Q593" s="419">
        <v>1</v>
      </c>
      <c r="R593" s="419"/>
    </row>
    <row r="594" ht="12.75" customHeight="1" spans="1:18">
      <c r="A594" s="420">
        <f t="shared" si="10"/>
        <v>6</v>
      </c>
      <c r="B594" s="421" t="s">
        <v>7491</v>
      </c>
      <c r="C594" s="421" t="s">
        <v>7492</v>
      </c>
      <c r="D594" s="418"/>
      <c r="E594" s="418" t="s">
        <v>293</v>
      </c>
      <c r="F594" s="416" t="s">
        <v>3022</v>
      </c>
      <c r="G594" s="420"/>
      <c r="H594" s="420" t="s">
        <v>7482</v>
      </c>
      <c r="I594" s="421" t="s">
        <v>7198</v>
      </c>
      <c r="J594" s="420" t="s">
        <v>7199</v>
      </c>
      <c r="K594" s="420" t="s">
        <v>1140</v>
      </c>
      <c r="L594" s="421"/>
      <c r="M594" s="420" t="s">
        <v>7200</v>
      </c>
      <c r="N594" s="420" t="s">
        <v>7201</v>
      </c>
      <c r="O594" s="421"/>
      <c r="P594" s="421"/>
      <c r="Q594" s="419">
        <v>1</v>
      </c>
      <c r="R594" s="419"/>
    </row>
    <row r="595" ht="12.75" customHeight="1" spans="1:18">
      <c r="A595" s="420">
        <f t="shared" si="10"/>
        <v>7</v>
      </c>
      <c r="B595" s="421" t="s">
        <v>7493</v>
      </c>
      <c r="C595" s="421" t="s">
        <v>7494</v>
      </c>
      <c r="D595" s="418"/>
      <c r="E595" s="418" t="s">
        <v>293</v>
      </c>
      <c r="F595" s="416" t="s">
        <v>3022</v>
      </c>
      <c r="G595" s="420"/>
      <c r="H595" s="420" t="s">
        <v>7482</v>
      </c>
      <c r="I595" s="421" t="s">
        <v>7198</v>
      </c>
      <c r="J595" s="420" t="s">
        <v>7199</v>
      </c>
      <c r="K595" s="420" t="s">
        <v>1140</v>
      </c>
      <c r="L595" s="421"/>
      <c r="M595" s="420" t="s">
        <v>7200</v>
      </c>
      <c r="N595" s="420" t="s">
        <v>7201</v>
      </c>
      <c r="O595" s="421"/>
      <c r="P595" s="421"/>
      <c r="Q595" s="419">
        <v>1</v>
      </c>
      <c r="R595" s="419"/>
    </row>
    <row r="596" ht="12.75" customHeight="1" spans="1:18">
      <c r="A596" s="420">
        <f t="shared" si="10"/>
        <v>8</v>
      </c>
      <c r="B596" s="421" t="s">
        <v>7495</v>
      </c>
      <c r="C596" s="421" t="s">
        <v>7496</v>
      </c>
      <c r="D596" s="418"/>
      <c r="E596" s="418" t="s">
        <v>293</v>
      </c>
      <c r="F596" s="416" t="s">
        <v>3022</v>
      </c>
      <c r="G596" s="420"/>
      <c r="H596" s="420" t="s">
        <v>7482</v>
      </c>
      <c r="I596" s="421" t="s">
        <v>7198</v>
      </c>
      <c r="J596" s="420" t="s">
        <v>7199</v>
      </c>
      <c r="K596" s="420" t="s">
        <v>1140</v>
      </c>
      <c r="L596" s="421"/>
      <c r="M596" s="420" t="s">
        <v>7200</v>
      </c>
      <c r="N596" s="420" t="s">
        <v>7201</v>
      </c>
      <c r="O596" s="421"/>
      <c r="P596" s="421"/>
      <c r="Q596" s="419">
        <v>1</v>
      </c>
      <c r="R596" s="419"/>
    </row>
    <row r="597" ht="12.75" customHeight="1" spans="1:18">
      <c r="A597" s="420">
        <f t="shared" si="10"/>
        <v>9</v>
      </c>
      <c r="B597" s="421" t="s">
        <v>7497</v>
      </c>
      <c r="C597" s="421" t="s">
        <v>7498</v>
      </c>
      <c r="D597" s="418"/>
      <c r="E597" s="418" t="s">
        <v>293</v>
      </c>
      <c r="F597" s="416" t="s">
        <v>3022</v>
      </c>
      <c r="G597" s="420"/>
      <c r="H597" s="420" t="s">
        <v>7482</v>
      </c>
      <c r="I597" s="421" t="s">
        <v>7198</v>
      </c>
      <c r="J597" s="420" t="s">
        <v>7199</v>
      </c>
      <c r="K597" s="420" t="s">
        <v>1140</v>
      </c>
      <c r="L597" s="421"/>
      <c r="M597" s="420" t="s">
        <v>7200</v>
      </c>
      <c r="N597" s="420" t="s">
        <v>7201</v>
      </c>
      <c r="O597" s="421"/>
      <c r="P597" s="421"/>
      <c r="Q597" s="419">
        <v>1</v>
      </c>
      <c r="R597" s="419"/>
    </row>
    <row r="598" ht="12.75" customHeight="1" spans="1:18">
      <c r="A598" s="420">
        <f t="shared" si="10"/>
        <v>10</v>
      </c>
      <c r="B598" s="421" t="s">
        <v>7499</v>
      </c>
      <c r="C598" s="421" t="s">
        <v>7500</v>
      </c>
      <c r="D598" s="418"/>
      <c r="E598" s="418" t="s">
        <v>293</v>
      </c>
      <c r="F598" s="416" t="s">
        <v>3022</v>
      </c>
      <c r="G598" s="420"/>
      <c r="H598" s="420" t="s">
        <v>7482</v>
      </c>
      <c r="I598" s="421" t="s">
        <v>7198</v>
      </c>
      <c r="J598" s="420" t="s">
        <v>7199</v>
      </c>
      <c r="K598" s="420" t="s">
        <v>1140</v>
      </c>
      <c r="L598" s="421"/>
      <c r="M598" s="420" t="s">
        <v>7200</v>
      </c>
      <c r="N598" s="420" t="s">
        <v>7201</v>
      </c>
      <c r="O598" s="421"/>
      <c r="P598" s="421"/>
      <c r="Q598" s="419">
        <v>1</v>
      </c>
      <c r="R598" s="419"/>
    </row>
    <row r="599" ht="12.75" customHeight="1" spans="1:18">
      <c r="A599" s="420">
        <f t="shared" si="10"/>
        <v>11</v>
      </c>
      <c r="B599" s="421" t="s">
        <v>7501</v>
      </c>
      <c r="C599" s="421" t="s">
        <v>7502</v>
      </c>
      <c r="D599" s="418"/>
      <c r="E599" s="418" t="s">
        <v>293</v>
      </c>
      <c r="F599" s="416" t="s">
        <v>3022</v>
      </c>
      <c r="G599" s="420"/>
      <c r="H599" s="420" t="s">
        <v>7482</v>
      </c>
      <c r="I599" s="421" t="s">
        <v>7198</v>
      </c>
      <c r="J599" s="420" t="s">
        <v>7199</v>
      </c>
      <c r="K599" s="420" t="s">
        <v>1140</v>
      </c>
      <c r="L599" s="421"/>
      <c r="M599" s="420" t="s">
        <v>7200</v>
      </c>
      <c r="N599" s="420" t="s">
        <v>7201</v>
      </c>
      <c r="O599" s="421"/>
      <c r="P599" s="421"/>
      <c r="Q599" s="419">
        <v>1</v>
      </c>
      <c r="R599" s="419"/>
    </row>
    <row r="600" ht="12.75" customHeight="1" spans="1:18">
      <c r="A600" s="420">
        <f t="shared" si="10"/>
        <v>12</v>
      </c>
      <c r="B600" s="421" t="s">
        <v>7503</v>
      </c>
      <c r="C600" s="421" t="s">
        <v>7504</v>
      </c>
      <c r="D600" s="418"/>
      <c r="E600" s="418" t="s">
        <v>293</v>
      </c>
      <c r="F600" s="416" t="s">
        <v>3022</v>
      </c>
      <c r="G600" s="420"/>
      <c r="H600" s="420" t="s">
        <v>7482</v>
      </c>
      <c r="I600" s="421" t="s">
        <v>7198</v>
      </c>
      <c r="J600" s="420" t="s">
        <v>7199</v>
      </c>
      <c r="K600" s="420" t="s">
        <v>1140</v>
      </c>
      <c r="L600" s="421"/>
      <c r="M600" s="420" t="s">
        <v>7200</v>
      </c>
      <c r="N600" s="420" t="s">
        <v>7201</v>
      </c>
      <c r="O600" s="421"/>
      <c r="P600" s="421"/>
      <c r="Q600" s="419">
        <v>1</v>
      </c>
      <c r="R600" s="419"/>
    </row>
    <row r="601" ht="12.75" customHeight="1" spans="1:18">
      <c r="A601" s="420">
        <f t="shared" si="10"/>
        <v>13</v>
      </c>
      <c r="B601" s="421" t="s">
        <v>7505</v>
      </c>
      <c r="C601" s="421" t="s">
        <v>7506</v>
      </c>
      <c r="D601" s="418"/>
      <c r="E601" s="418" t="s">
        <v>293</v>
      </c>
      <c r="F601" s="416" t="s">
        <v>3022</v>
      </c>
      <c r="G601" s="420"/>
      <c r="H601" s="420" t="s">
        <v>7482</v>
      </c>
      <c r="I601" s="421" t="s">
        <v>7198</v>
      </c>
      <c r="J601" s="420" t="s">
        <v>7199</v>
      </c>
      <c r="K601" s="420" t="s">
        <v>1140</v>
      </c>
      <c r="L601" s="421"/>
      <c r="M601" s="420" t="s">
        <v>7200</v>
      </c>
      <c r="N601" s="420" t="s">
        <v>7201</v>
      </c>
      <c r="O601" s="421"/>
      <c r="P601" s="421"/>
      <c r="Q601" s="419">
        <v>1</v>
      </c>
      <c r="R601" s="419"/>
    </row>
    <row r="602" ht="12.75" customHeight="1" spans="1:18">
      <c r="A602" s="420">
        <f t="shared" si="10"/>
        <v>14</v>
      </c>
      <c r="B602" s="421" t="s">
        <v>7507</v>
      </c>
      <c r="C602" s="421" t="s">
        <v>7508</v>
      </c>
      <c r="D602" s="418"/>
      <c r="E602" s="418" t="s">
        <v>293</v>
      </c>
      <c r="F602" s="416" t="s">
        <v>3022</v>
      </c>
      <c r="G602" s="420"/>
      <c r="H602" s="420" t="s">
        <v>7482</v>
      </c>
      <c r="I602" s="421" t="s">
        <v>7198</v>
      </c>
      <c r="J602" s="420" t="s">
        <v>7199</v>
      </c>
      <c r="K602" s="420" t="s">
        <v>1140</v>
      </c>
      <c r="L602" s="421"/>
      <c r="M602" s="420" t="s">
        <v>7200</v>
      </c>
      <c r="N602" s="420" t="s">
        <v>7201</v>
      </c>
      <c r="O602" s="421"/>
      <c r="P602" s="421"/>
      <c r="Q602" s="419">
        <v>1</v>
      </c>
      <c r="R602" s="419"/>
    </row>
    <row r="603" ht="12.75" customHeight="1" spans="1:18">
      <c r="A603" s="420">
        <f t="shared" si="10"/>
        <v>15</v>
      </c>
      <c r="B603" s="421" t="s">
        <v>7509</v>
      </c>
      <c r="C603" s="421" t="s">
        <v>7510</v>
      </c>
      <c r="D603" s="418"/>
      <c r="E603" s="418" t="s">
        <v>293</v>
      </c>
      <c r="F603" s="416" t="s">
        <v>3022</v>
      </c>
      <c r="G603" s="420"/>
      <c r="H603" s="420" t="s">
        <v>7482</v>
      </c>
      <c r="I603" s="421" t="s">
        <v>7198</v>
      </c>
      <c r="J603" s="420" t="s">
        <v>7199</v>
      </c>
      <c r="K603" s="420" t="s">
        <v>1140</v>
      </c>
      <c r="L603" s="421"/>
      <c r="M603" s="420" t="s">
        <v>7200</v>
      </c>
      <c r="N603" s="420" t="s">
        <v>7201</v>
      </c>
      <c r="O603" s="421"/>
      <c r="P603" s="421"/>
      <c r="Q603" s="419">
        <v>1</v>
      </c>
      <c r="R603" s="419"/>
    </row>
    <row r="604" ht="12.75" customHeight="1" spans="1:18">
      <c r="A604" s="420">
        <f t="shared" si="10"/>
        <v>16</v>
      </c>
      <c r="B604" s="421" t="s">
        <v>7511</v>
      </c>
      <c r="C604" s="421" t="s">
        <v>7512</v>
      </c>
      <c r="D604" s="418"/>
      <c r="E604" s="418" t="s">
        <v>293</v>
      </c>
      <c r="F604" s="416" t="s">
        <v>3022</v>
      </c>
      <c r="G604" s="420"/>
      <c r="H604" s="420" t="s">
        <v>7482</v>
      </c>
      <c r="I604" s="421" t="s">
        <v>7198</v>
      </c>
      <c r="J604" s="420" t="s">
        <v>7199</v>
      </c>
      <c r="K604" s="420" t="s">
        <v>1140</v>
      </c>
      <c r="L604" s="421"/>
      <c r="M604" s="420" t="s">
        <v>7200</v>
      </c>
      <c r="N604" s="420" t="s">
        <v>7201</v>
      </c>
      <c r="O604" s="421"/>
      <c r="P604" s="421"/>
      <c r="Q604" s="419">
        <v>1</v>
      </c>
      <c r="R604" s="419"/>
    </row>
    <row r="605" ht="12.75" customHeight="1" spans="1:18">
      <c r="A605" s="420">
        <f t="shared" si="10"/>
        <v>17</v>
      </c>
      <c r="B605" s="421" t="s">
        <v>7513</v>
      </c>
      <c r="C605" s="421" t="s">
        <v>7514</v>
      </c>
      <c r="D605" s="418"/>
      <c r="E605" s="418" t="s">
        <v>293</v>
      </c>
      <c r="F605" s="416" t="s">
        <v>3022</v>
      </c>
      <c r="G605" s="420"/>
      <c r="H605" s="420" t="s">
        <v>7482</v>
      </c>
      <c r="I605" s="421" t="s">
        <v>7198</v>
      </c>
      <c r="J605" s="420" t="s">
        <v>7199</v>
      </c>
      <c r="K605" s="420" t="s">
        <v>1140</v>
      </c>
      <c r="L605" s="421"/>
      <c r="M605" s="420" t="s">
        <v>7200</v>
      </c>
      <c r="N605" s="420" t="s">
        <v>7201</v>
      </c>
      <c r="O605" s="421"/>
      <c r="P605" s="421"/>
      <c r="Q605" s="419">
        <v>1</v>
      </c>
      <c r="R605" s="419"/>
    </row>
    <row r="606" ht="12.75" customHeight="1" spans="1:18">
      <c r="A606" s="420">
        <f t="shared" si="10"/>
        <v>18</v>
      </c>
      <c r="B606" s="421" t="s">
        <v>7515</v>
      </c>
      <c r="C606" s="421" t="s">
        <v>7516</v>
      </c>
      <c r="D606" s="418"/>
      <c r="E606" s="418" t="s">
        <v>293</v>
      </c>
      <c r="F606" s="416" t="s">
        <v>3022</v>
      </c>
      <c r="G606" s="420"/>
      <c r="H606" s="420" t="s">
        <v>7482</v>
      </c>
      <c r="I606" s="421" t="s">
        <v>7198</v>
      </c>
      <c r="J606" s="420" t="s">
        <v>7199</v>
      </c>
      <c r="K606" s="420" t="s">
        <v>1140</v>
      </c>
      <c r="L606" s="421"/>
      <c r="M606" s="420" t="s">
        <v>7200</v>
      </c>
      <c r="N606" s="420" t="s">
        <v>7201</v>
      </c>
      <c r="O606" s="421"/>
      <c r="P606" s="421"/>
      <c r="Q606" s="419">
        <v>1</v>
      </c>
      <c r="R606" s="419"/>
    </row>
    <row r="607" ht="12.75" customHeight="1" spans="1:18">
      <c r="A607" s="420">
        <f t="shared" si="10"/>
        <v>19</v>
      </c>
      <c r="B607" s="421" t="s">
        <v>7517</v>
      </c>
      <c r="C607" s="421" t="s">
        <v>7518</v>
      </c>
      <c r="D607" s="418"/>
      <c r="E607" s="418" t="s">
        <v>293</v>
      </c>
      <c r="F607" s="416" t="s">
        <v>3022</v>
      </c>
      <c r="G607" s="420"/>
      <c r="H607" s="420" t="s">
        <v>7482</v>
      </c>
      <c r="I607" s="421" t="s">
        <v>7198</v>
      </c>
      <c r="J607" s="420" t="s">
        <v>7199</v>
      </c>
      <c r="K607" s="420" t="s">
        <v>1140</v>
      </c>
      <c r="L607" s="421"/>
      <c r="M607" s="420" t="s">
        <v>7200</v>
      </c>
      <c r="N607" s="420" t="s">
        <v>7201</v>
      </c>
      <c r="O607" s="421"/>
      <c r="P607" s="421"/>
      <c r="Q607" s="419">
        <v>1</v>
      </c>
      <c r="R607" s="419"/>
    </row>
    <row r="608" ht="12.75" customHeight="1" spans="1:18">
      <c r="A608" s="420">
        <f t="shared" si="10"/>
        <v>20</v>
      </c>
      <c r="B608" s="421" t="s">
        <v>7519</v>
      </c>
      <c r="C608" s="421" t="s">
        <v>7520</v>
      </c>
      <c r="D608" s="418"/>
      <c r="E608" s="418" t="s">
        <v>293</v>
      </c>
      <c r="F608" s="416" t="s">
        <v>3022</v>
      </c>
      <c r="G608" s="420"/>
      <c r="H608" s="420" t="s">
        <v>7482</v>
      </c>
      <c r="I608" s="421" t="s">
        <v>7198</v>
      </c>
      <c r="J608" s="420" t="s">
        <v>7199</v>
      </c>
      <c r="K608" s="420" t="s">
        <v>1140</v>
      </c>
      <c r="L608" s="421"/>
      <c r="M608" s="420" t="s">
        <v>7200</v>
      </c>
      <c r="N608" s="420" t="s">
        <v>7201</v>
      </c>
      <c r="O608" s="421"/>
      <c r="P608" s="421"/>
      <c r="Q608" s="419">
        <v>1</v>
      </c>
      <c r="R608" s="419"/>
    </row>
    <row r="609" ht="12.75" customHeight="1" spans="1:18">
      <c r="A609" s="420">
        <f t="shared" si="10"/>
        <v>21</v>
      </c>
      <c r="B609" s="421" t="s">
        <v>7521</v>
      </c>
      <c r="C609" s="421" t="s">
        <v>7522</v>
      </c>
      <c r="D609" s="418"/>
      <c r="E609" s="418" t="s">
        <v>293</v>
      </c>
      <c r="F609" s="416" t="s">
        <v>3022</v>
      </c>
      <c r="G609" s="420"/>
      <c r="H609" s="420" t="s">
        <v>7482</v>
      </c>
      <c r="I609" s="421" t="s">
        <v>7198</v>
      </c>
      <c r="J609" s="420" t="s">
        <v>7199</v>
      </c>
      <c r="K609" s="420" t="s">
        <v>1140</v>
      </c>
      <c r="L609" s="421"/>
      <c r="M609" s="420" t="s">
        <v>7200</v>
      </c>
      <c r="N609" s="420" t="s">
        <v>7201</v>
      </c>
      <c r="O609" s="421"/>
      <c r="P609" s="421"/>
      <c r="Q609" s="419">
        <v>1</v>
      </c>
      <c r="R609" s="419"/>
    </row>
    <row r="610" ht="12.75" customHeight="1" spans="1:18">
      <c r="A610" s="420">
        <f t="shared" si="10"/>
        <v>22</v>
      </c>
      <c r="B610" s="421" t="s">
        <v>7523</v>
      </c>
      <c r="C610" s="421" t="s">
        <v>7524</v>
      </c>
      <c r="D610" s="418"/>
      <c r="E610" s="418" t="s">
        <v>293</v>
      </c>
      <c r="F610" s="416" t="s">
        <v>3022</v>
      </c>
      <c r="G610" s="420"/>
      <c r="H610" s="420" t="s">
        <v>7482</v>
      </c>
      <c r="I610" s="421" t="s">
        <v>7198</v>
      </c>
      <c r="J610" s="420" t="s">
        <v>7199</v>
      </c>
      <c r="K610" s="420" t="s">
        <v>1140</v>
      </c>
      <c r="L610" s="421"/>
      <c r="M610" s="420" t="s">
        <v>7200</v>
      </c>
      <c r="N610" s="420" t="s">
        <v>7201</v>
      </c>
      <c r="O610" s="421"/>
      <c r="P610" s="421"/>
      <c r="Q610" s="419">
        <v>1</v>
      </c>
      <c r="R610" s="419"/>
    </row>
    <row r="611" ht="12.75" customHeight="1" spans="1:18">
      <c r="A611" s="420">
        <f t="shared" si="10"/>
        <v>23</v>
      </c>
      <c r="B611" s="421" t="s">
        <v>7525</v>
      </c>
      <c r="C611" s="421" t="s">
        <v>7526</v>
      </c>
      <c r="D611" s="418"/>
      <c r="E611" s="418" t="s">
        <v>293</v>
      </c>
      <c r="F611" s="416" t="s">
        <v>3022</v>
      </c>
      <c r="G611" s="420"/>
      <c r="H611" s="420" t="s">
        <v>7482</v>
      </c>
      <c r="I611" s="421" t="s">
        <v>7198</v>
      </c>
      <c r="J611" s="420" t="s">
        <v>7199</v>
      </c>
      <c r="K611" s="420" t="s">
        <v>1140</v>
      </c>
      <c r="L611" s="421"/>
      <c r="M611" s="420" t="s">
        <v>7200</v>
      </c>
      <c r="N611" s="420" t="s">
        <v>7201</v>
      </c>
      <c r="O611" s="421"/>
      <c r="P611" s="421"/>
      <c r="Q611" s="419">
        <v>1</v>
      </c>
      <c r="R611" s="419"/>
    </row>
    <row r="612" ht="12.75" customHeight="1" spans="1:18">
      <c r="A612" s="420">
        <f t="shared" si="10"/>
        <v>24</v>
      </c>
      <c r="B612" s="421" t="s">
        <v>7527</v>
      </c>
      <c r="C612" s="421" t="s">
        <v>7528</v>
      </c>
      <c r="D612" s="418"/>
      <c r="E612" s="418" t="s">
        <v>293</v>
      </c>
      <c r="F612" s="416" t="s">
        <v>3022</v>
      </c>
      <c r="G612" s="420"/>
      <c r="H612" s="420" t="s">
        <v>7482</v>
      </c>
      <c r="I612" s="421" t="s">
        <v>7198</v>
      </c>
      <c r="J612" s="420" t="s">
        <v>7199</v>
      </c>
      <c r="K612" s="420" t="s">
        <v>1140</v>
      </c>
      <c r="L612" s="421"/>
      <c r="M612" s="420" t="s">
        <v>7200</v>
      </c>
      <c r="N612" s="420" t="s">
        <v>7201</v>
      </c>
      <c r="O612" s="421"/>
      <c r="P612" s="421"/>
      <c r="Q612" s="419">
        <v>1</v>
      </c>
      <c r="R612" s="419"/>
    </row>
    <row r="613" ht="12.75" customHeight="1" spans="1:18">
      <c r="A613" s="420">
        <f t="shared" si="10"/>
        <v>25</v>
      </c>
      <c r="B613" s="426" t="s">
        <v>7529</v>
      </c>
      <c r="C613" s="426"/>
      <c r="D613" s="427" t="s">
        <v>7195</v>
      </c>
      <c r="E613" s="427" t="s">
        <v>293</v>
      </c>
      <c r="F613" s="416"/>
      <c r="G613" s="428" t="s">
        <v>7196</v>
      </c>
      <c r="H613" s="428" t="s">
        <v>7482</v>
      </c>
      <c r="I613" s="426" t="s">
        <v>7198</v>
      </c>
      <c r="J613" s="428" t="s">
        <v>7199</v>
      </c>
      <c r="K613" s="428" t="s">
        <v>1140</v>
      </c>
      <c r="L613" s="426"/>
      <c r="M613" s="428" t="s">
        <v>7200</v>
      </c>
      <c r="N613" s="428" t="s">
        <v>7201</v>
      </c>
      <c r="O613" s="426"/>
      <c r="P613" s="426"/>
      <c r="Q613" s="419">
        <v>1</v>
      </c>
      <c r="R613" s="419"/>
    </row>
    <row r="614" ht="12.75" customHeight="1" spans="1:18">
      <c r="A614" s="420">
        <f>1+A8</f>
        <v>5</v>
      </c>
      <c r="B614" s="421" t="s">
        <v>7530</v>
      </c>
      <c r="C614" s="421"/>
      <c r="D614" s="418"/>
      <c r="E614" s="418" t="s">
        <v>293</v>
      </c>
      <c r="F614" s="416" t="s">
        <v>3022</v>
      </c>
      <c r="G614" s="429">
        <v>45543</v>
      </c>
      <c r="H614" s="420" t="s">
        <v>7482</v>
      </c>
      <c r="I614" s="421" t="s">
        <v>7198</v>
      </c>
      <c r="J614" s="420" t="s">
        <v>7199</v>
      </c>
      <c r="K614" s="420" t="s">
        <v>1140</v>
      </c>
      <c r="L614" s="421"/>
      <c r="M614" s="420" t="s">
        <v>7200</v>
      </c>
      <c r="N614" s="420" t="s">
        <v>7201</v>
      </c>
      <c r="O614" s="421"/>
      <c r="P614" s="421"/>
      <c r="Q614" s="419">
        <v>1</v>
      </c>
      <c r="R614" s="419"/>
    </row>
    <row r="615" ht="12.75" customHeight="1" spans="1:18">
      <c r="A615" s="420">
        <f>1+A10</f>
        <v>8</v>
      </c>
      <c r="B615" s="421" t="s">
        <v>7531</v>
      </c>
      <c r="C615" s="421"/>
      <c r="D615" s="418"/>
      <c r="E615" s="418" t="s">
        <v>293</v>
      </c>
      <c r="F615" s="416" t="s">
        <v>3022</v>
      </c>
      <c r="G615" s="429">
        <v>45543</v>
      </c>
      <c r="H615" s="420" t="s">
        <v>7482</v>
      </c>
      <c r="I615" s="421" t="s">
        <v>7198</v>
      </c>
      <c r="J615" s="420" t="s">
        <v>7199</v>
      </c>
      <c r="K615" s="420" t="s">
        <v>1140</v>
      </c>
      <c r="L615" s="421"/>
      <c r="M615" s="420" t="s">
        <v>7200</v>
      </c>
      <c r="N615" s="420" t="s">
        <v>7201</v>
      </c>
      <c r="O615" s="421"/>
      <c r="P615" s="421"/>
      <c r="Q615" s="419">
        <v>1</v>
      </c>
      <c r="R615" s="419"/>
    </row>
    <row r="616" ht="12.75" customHeight="1" spans="1:18">
      <c r="A616" s="420">
        <f>1+A613</f>
        <v>26</v>
      </c>
      <c r="B616" s="421" t="s">
        <v>7532</v>
      </c>
      <c r="C616" s="421"/>
      <c r="D616" s="418" t="s">
        <v>7195</v>
      </c>
      <c r="E616" s="418" t="s">
        <v>293</v>
      </c>
      <c r="F616" s="416" t="s">
        <v>3022</v>
      </c>
      <c r="G616" s="428" t="s">
        <v>7196</v>
      </c>
      <c r="H616" s="420" t="s">
        <v>7482</v>
      </c>
      <c r="I616" s="421" t="s">
        <v>7198</v>
      </c>
      <c r="J616" s="420" t="s">
        <v>7199</v>
      </c>
      <c r="K616" s="420" t="s">
        <v>1140</v>
      </c>
      <c r="L616" s="421"/>
      <c r="M616" s="420" t="s">
        <v>7200</v>
      </c>
      <c r="N616" s="420" t="s">
        <v>7201</v>
      </c>
      <c r="O616" s="421"/>
      <c r="P616" s="421"/>
      <c r="Q616" s="419">
        <v>1</v>
      </c>
      <c r="R616" s="419"/>
    </row>
    <row r="617" ht="12.75" customHeight="1" spans="1:18">
      <c r="A617" s="416">
        <v>1</v>
      </c>
      <c r="B617" s="417" t="s">
        <v>7533</v>
      </c>
      <c r="C617" s="417"/>
      <c r="D617" s="418"/>
      <c r="E617" s="418" t="s">
        <v>294</v>
      </c>
      <c r="F617" s="416" t="s">
        <v>3022</v>
      </c>
      <c r="G617" s="430">
        <v>45305</v>
      </c>
      <c r="H617" s="416" t="s">
        <v>7534</v>
      </c>
      <c r="I617" s="416"/>
      <c r="J617" s="431" t="s">
        <v>7204</v>
      </c>
      <c r="K617" s="416" t="s">
        <v>1016</v>
      </c>
      <c r="L617" s="417"/>
      <c r="M617" s="416" t="s">
        <v>7205</v>
      </c>
      <c r="N617" s="416" t="s">
        <v>7206</v>
      </c>
      <c r="O617" s="431">
        <v>220330</v>
      </c>
      <c r="P617" s="417"/>
      <c r="Q617" s="419">
        <v>0.5</v>
      </c>
      <c r="R617" s="419"/>
    </row>
    <row r="618" ht="12.75" customHeight="1" spans="1:18">
      <c r="A618" s="420">
        <v>2</v>
      </c>
      <c r="B618" s="421" t="s">
        <v>7535</v>
      </c>
      <c r="C618" s="421"/>
      <c r="D618" s="422"/>
      <c r="E618" s="418" t="s">
        <v>294</v>
      </c>
      <c r="F618" s="416" t="s">
        <v>3022</v>
      </c>
      <c r="G618" s="430">
        <v>45305</v>
      </c>
      <c r="H618" s="420" t="s">
        <v>7534</v>
      </c>
      <c r="I618" s="416"/>
      <c r="J618" s="431" t="s">
        <v>7204</v>
      </c>
      <c r="K618" s="416" t="s">
        <v>1016</v>
      </c>
      <c r="L618" s="417"/>
      <c r="M618" s="416" t="s">
        <v>7205</v>
      </c>
      <c r="N618" s="416" t="s">
        <v>7206</v>
      </c>
      <c r="O618" s="431">
        <v>201511</v>
      </c>
      <c r="P618" s="421"/>
      <c r="Q618" s="419">
        <v>0.5</v>
      </c>
      <c r="R618" s="419"/>
    </row>
    <row r="619" ht="12.75" customHeight="1" spans="1:18">
      <c r="A619" s="416">
        <v>3</v>
      </c>
      <c r="B619" s="421" t="s">
        <v>7536</v>
      </c>
      <c r="C619" s="421"/>
      <c r="D619" s="422"/>
      <c r="E619" s="418" t="s">
        <v>294</v>
      </c>
      <c r="F619" s="416" t="s">
        <v>3022</v>
      </c>
      <c r="G619" s="430">
        <v>45241</v>
      </c>
      <c r="H619" s="420" t="s">
        <v>7534</v>
      </c>
      <c r="I619" s="416"/>
      <c r="J619" s="431" t="s">
        <v>7204</v>
      </c>
      <c r="K619" s="416" t="s">
        <v>1016</v>
      </c>
      <c r="L619" s="417"/>
      <c r="M619" s="416" t="s">
        <v>7205</v>
      </c>
      <c r="N619" s="416" t="s">
        <v>7206</v>
      </c>
      <c r="O619" s="431">
        <v>230317</v>
      </c>
      <c r="P619" s="421"/>
      <c r="Q619" s="419">
        <v>0.5</v>
      </c>
      <c r="R619" s="419"/>
    </row>
    <row r="620" ht="12.75" customHeight="1" spans="1:18">
      <c r="A620" s="420">
        <v>4</v>
      </c>
      <c r="B620" s="421" t="s">
        <v>7537</v>
      </c>
      <c r="C620" s="421"/>
      <c r="D620" s="422"/>
      <c r="E620" s="418" t="s">
        <v>294</v>
      </c>
      <c r="F620" s="416" t="s">
        <v>3022</v>
      </c>
      <c r="G620" s="430">
        <v>45241</v>
      </c>
      <c r="H620" s="420" t="s">
        <v>7534</v>
      </c>
      <c r="I620" s="416"/>
      <c r="J620" s="431" t="s">
        <v>7204</v>
      </c>
      <c r="K620" s="416" t="s">
        <v>1016</v>
      </c>
      <c r="L620" s="417"/>
      <c r="M620" s="416" t="s">
        <v>7205</v>
      </c>
      <c r="N620" s="416" t="s">
        <v>7206</v>
      </c>
      <c r="O620" s="431">
        <v>220330</v>
      </c>
      <c r="P620" s="421"/>
      <c r="Q620" s="419">
        <v>0.5</v>
      </c>
      <c r="R620" s="419"/>
    </row>
    <row r="621" ht="12.75" customHeight="1" spans="1:18">
      <c r="A621" s="416">
        <v>5</v>
      </c>
      <c r="B621" s="421" t="s">
        <v>7538</v>
      </c>
      <c r="C621" s="421"/>
      <c r="D621" s="422"/>
      <c r="E621" s="418" t="s">
        <v>294</v>
      </c>
      <c r="F621" s="416" t="s">
        <v>3022</v>
      </c>
      <c r="G621" s="430">
        <v>45241</v>
      </c>
      <c r="H621" s="420" t="s">
        <v>7534</v>
      </c>
      <c r="I621" s="416"/>
      <c r="J621" s="431" t="s">
        <v>7204</v>
      </c>
      <c r="K621" s="416" t="s">
        <v>1016</v>
      </c>
      <c r="L621" s="417"/>
      <c r="M621" s="416" t="s">
        <v>7205</v>
      </c>
      <c r="N621" s="416" t="s">
        <v>7206</v>
      </c>
      <c r="O621" s="431">
        <v>201511</v>
      </c>
      <c r="P621" s="421"/>
      <c r="Q621" s="419">
        <v>0.5</v>
      </c>
      <c r="R621" s="419"/>
    </row>
    <row r="622" ht="12.75" customHeight="1" spans="1:18">
      <c r="A622" s="420">
        <v>6</v>
      </c>
      <c r="B622" s="421" t="s">
        <v>7539</v>
      </c>
      <c r="C622" s="421"/>
      <c r="D622" s="422"/>
      <c r="E622" s="418" t="s">
        <v>294</v>
      </c>
      <c r="F622" s="416" t="s">
        <v>3022</v>
      </c>
      <c r="G622" s="430">
        <v>45241</v>
      </c>
      <c r="H622" s="420" t="s">
        <v>7534</v>
      </c>
      <c r="I622" s="416"/>
      <c r="J622" s="431" t="s">
        <v>7204</v>
      </c>
      <c r="K622" s="416" t="s">
        <v>1016</v>
      </c>
      <c r="L622" s="417"/>
      <c r="M622" s="416" t="s">
        <v>7205</v>
      </c>
      <c r="N622" s="416" t="s">
        <v>7206</v>
      </c>
      <c r="O622" s="431">
        <v>220317</v>
      </c>
      <c r="P622" s="421"/>
      <c r="Q622" s="419">
        <v>0.5</v>
      </c>
      <c r="R622" s="419"/>
    </row>
    <row r="623" ht="12.75" customHeight="1" spans="1:18">
      <c r="A623" s="416">
        <v>7</v>
      </c>
      <c r="B623" s="421" t="s">
        <v>7540</v>
      </c>
      <c r="C623" s="421"/>
      <c r="D623" s="422"/>
      <c r="E623" s="418" t="s">
        <v>294</v>
      </c>
      <c r="F623" s="416" t="s">
        <v>3022</v>
      </c>
      <c r="G623" s="430">
        <v>45241</v>
      </c>
      <c r="H623" s="420" t="s">
        <v>7534</v>
      </c>
      <c r="I623" s="416"/>
      <c r="J623" s="431" t="s">
        <v>7204</v>
      </c>
      <c r="K623" s="416" t="s">
        <v>1016</v>
      </c>
      <c r="L623" s="417"/>
      <c r="M623" s="416" t="s">
        <v>7205</v>
      </c>
      <c r="N623" s="416" t="s">
        <v>7206</v>
      </c>
      <c r="O623" s="431">
        <v>220317</v>
      </c>
      <c r="P623" s="421"/>
      <c r="Q623" s="419">
        <v>0.5</v>
      </c>
      <c r="R623" s="419"/>
    </row>
    <row r="624" ht="12.75" customHeight="1" spans="1:18">
      <c r="A624" s="420">
        <v>8</v>
      </c>
      <c r="B624" s="421" t="s">
        <v>7541</v>
      </c>
      <c r="C624" s="421"/>
      <c r="D624" s="422"/>
      <c r="E624" s="418" t="s">
        <v>294</v>
      </c>
      <c r="F624" s="416" t="s">
        <v>3022</v>
      </c>
      <c r="G624" s="430">
        <v>45241</v>
      </c>
      <c r="H624" s="420" t="s">
        <v>7534</v>
      </c>
      <c r="I624" s="416"/>
      <c r="J624" s="431" t="s">
        <v>7204</v>
      </c>
      <c r="K624" s="416" t="s">
        <v>1016</v>
      </c>
      <c r="L624" s="417"/>
      <c r="M624" s="416" t="s">
        <v>7205</v>
      </c>
      <c r="N624" s="416" t="s">
        <v>7206</v>
      </c>
      <c r="O624" s="431">
        <v>220317</v>
      </c>
      <c r="P624" s="421"/>
      <c r="Q624" s="419">
        <v>0.5</v>
      </c>
      <c r="R624" s="419"/>
    </row>
    <row r="625" ht="12.75" customHeight="1" spans="1:18">
      <c r="A625" s="420">
        <v>24</v>
      </c>
      <c r="B625" s="421" t="s">
        <v>7542</v>
      </c>
      <c r="C625" s="421"/>
      <c r="D625" s="422"/>
      <c r="E625" s="418" t="s">
        <v>294</v>
      </c>
      <c r="F625" s="416" t="s">
        <v>3022</v>
      </c>
      <c r="G625" s="432">
        <v>45485</v>
      </c>
      <c r="H625" s="420" t="s">
        <v>7534</v>
      </c>
      <c r="I625" s="416"/>
      <c r="J625" s="431" t="s">
        <v>1323</v>
      </c>
      <c r="K625" s="416" t="s">
        <v>1016</v>
      </c>
      <c r="L625" s="417"/>
      <c r="M625" s="416" t="s">
        <v>7252</v>
      </c>
      <c r="N625" s="416" t="s">
        <v>7253</v>
      </c>
      <c r="O625" s="433" t="s">
        <v>7543</v>
      </c>
      <c r="P625" s="421"/>
      <c r="Q625" s="419">
        <v>0.5</v>
      </c>
      <c r="R625" s="419"/>
    </row>
    <row r="626" ht="12.75" customHeight="1" spans="1:18">
      <c r="A626" s="416">
        <v>25</v>
      </c>
      <c r="B626" s="421" t="s">
        <v>7544</v>
      </c>
      <c r="C626" s="421"/>
      <c r="D626" s="422"/>
      <c r="E626" s="418" t="s">
        <v>294</v>
      </c>
      <c r="F626" s="416" t="s">
        <v>3022</v>
      </c>
      <c r="G626" s="432">
        <v>45871</v>
      </c>
      <c r="H626" s="420" t="s">
        <v>7534</v>
      </c>
      <c r="I626" s="416"/>
      <c r="J626" s="431" t="s">
        <v>1323</v>
      </c>
      <c r="K626" s="416" t="s">
        <v>1016</v>
      </c>
      <c r="L626" s="417"/>
      <c r="M626" s="416" t="s">
        <v>7252</v>
      </c>
      <c r="N626" s="416" t="s">
        <v>7253</v>
      </c>
      <c r="O626" s="431" t="s">
        <v>7545</v>
      </c>
      <c r="P626" s="421"/>
      <c r="Q626" s="419">
        <v>0.5</v>
      </c>
      <c r="R626" s="419"/>
    </row>
    <row r="627" ht="12.75" customHeight="1" spans="1:18">
      <c r="A627" s="420">
        <v>26</v>
      </c>
      <c r="B627" s="421" t="s">
        <v>7546</v>
      </c>
      <c r="C627" s="421"/>
      <c r="D627" s="422"/>
      <c r="E627" s="418" t="s">
        <v>294</v>
      </c>
      <c r="F627" s="416" t="s">
        <v>3022</v>
      </c>
      <c r="G627" s="432">
        <v>45871</v>
      </c>
      <c r="H627" s="420" t="s">
        <v>7534</v>
      </c>
      <c r="I627" s="416"/>
      <c r="J627" s="431" t="s">
        <v>1323</v>
      </c>
      <c r="K627" s="416" t="s">
        <v>1016</v>
      </c>
      <c r="L627" s="417"/>
      <c r="M627" s="416" t="s">
        <v>7252</v>
      </c>
      <c r="N627" s="416" t="s">
        <v>7253</v>
      </c>
      <c r="O627" s="431" t="s">
        <v>7547</v>
      </c>
      <c r="P627" s="421"/>
      <c r="Q627" s="419">
        <v>0.5</v>
      </c>
      <c r="R627" s="419"/>
    </row>
    <row r="628" ht="12.75" customHeight="1" spans="1:18">
      <c r="A628" s="416">
        <v>27</v>
      </c>
      <c r="B628" s="421" t="s">
        <v>7548</v>
      </c>
      <c r="C628" s="421"/>
      <c r="D628" s="422"/>
      <c r="E628" s="418" t="s">
        <v>294</v>
      </c>
      <c r="F628" s="416" t="s">
        <v>3022</v>
      </c>
      <c r="G628" s="432">
        <v>45871</v>
      </c>
      <c r="H628" s="420" t="s">
        <v>7534</v>
      </c>
      <c r="I628" s="416"/>
      <c r="J628" s="431" t="s">
        <v>1323</v>
      </c>
      <c r="K628" s="416" t="s">
        <v>1016</v>
      </c>
      <c r="L628" s="417"/>
      <c r="M628" s="416" t="s">
        <v>7252</v>
      </c>
      <c r="N628" s="416" t="s">
        <v>7253</v>
      </c>
      <c r="O628" s="431" t="s">
        <v>7549</v>
      </c>
      <c r="P628" s="421"/>
      <c r="Q628" s="419">
        <v>0.5</v>
      </c>
      <c r="R628" s="419"/>
    </row>
    <row r="629" ht="12.75" customHeight="1" spans="1:18">
      <c r="A629" s="420">
        <v>18</v>
      </c>
      <c r="B629" s="421" t="s">
        <v>7550</v>
      </c>
      <c r="C629" s="421"/>
      <c r="D629" s="422"/>
      <c r="E629" s="418" t="s">
        <v>294</v>
      </c>
      <c r="F629" s="416" t="s">
        <v>3022</v>
      </c>
      <c r="G629" s="434"/>
      <c r="H629" s="420" t="s">
        <v>7534</v>
      </c>
      <c r="I629" s="416" t="s">
        <v>7551</v>
      </c>
      <c r="J629" s="431" t="s">
        <v>1323</v>
      </c>
      <c r="K629" s="416" t="s">
        <v>1016</v>
      </c>
      <c r="L629" s="417"/>
      <c r="M629" s="416" t="s">
        <v>7252</v>
      </c>
      <c r="N629" s="416" t="s">
        <v>7253</v>
      </c>
      <c r="O629" s="431"/>
      <c r="P629" s="421"/>
      <c r="Q629" s="419">
        <v>0.5</v>
      </c>
      <c r="R629" s="419"/>
    </row>
    <row r="630" ht="12.75" customHeight="1" spans="1:18">
      <c r="A630" s="416">
        <v>19</v>
      </c>
      <c r="B630" s="421" t="s">
        <v>7552</v>
      </c>
      <c r="C630" s="421"/>
      <c r="D630" s="422"/>
      <c r="E630" s="418" t="s">
        <v>294</v>
      </c>
      <c r="F630" s="416" t="s">
        <v>3022</v>
      </c>
      <c r="G630" s="434"/>
      <c r="H630" s="420" t="s">
        <v>7534</v>
      </c>
      <c r="I630" s="416" t="s">
        <v>7551</v>
      </c>
      <c r="J630" s="431" t="s">
        <v>1323</v>
      </c>
      <c r="K630" s="416" t="s">
        <v>1016</v>
      </c>
      <c r="L630" s="417"/>
      <c r="M630" s="416" t="s">
        <v>7252</v>
      </c>
      <c r="N630" s="416" t="s">
        <v>7253</v>
      </c>
      <c r="O630" s="431"/>
      <c r="P630" s="421"/>
      <c r="Q630" s="419">
        <v>0.5</v>
      </c>
      <c r="R630" s="419"/>
    </row>
    <row r="631" ht="12.75" customHeight="1" spans="1:18">
      <c r="A631" s="420">
        <v>20</v>
      </c>
      <c r="B631" s="421" t="s">
        <v>7553</v>
      </c>
      <c r="C631" s="421"/>
      <c r="D631" s="422"/>
      <c r="E631" s="418" t="s">
        <v>294</v>
      </c>
      <c r="F631" s="416" t="s">
        <v>3022</v>
      </c>
      <c r="G631" s="434"/>
      <c r="H631" s="420" t="s">
        <v>7534</v>
      </c>
      <c r="I631" s="416" t="s">
        <v>7551</v>
      </c>
      <c r="J631" s="416" t="s">
        <v>7204</v>
      </c>
      <c r="K631" s="416" t="s">
        <v>1016</v>
      </c>
      <c r="L631" s="417"/>
      <c r="M631" s="416" t="s">
        <v>7205</v>
      </c>
      <c r="N631" s="416" t="s">
        <v>7206</v>
      </c>
      <c r="O631" s="431"/>
      <c r="P631" s="421"/>
      <c r="Q631" s="419">
        <v>0.5</v>
      </c>
      <c r="R631" s="419"/>
    </row>
    <row r="632" ht="12.75" customHeight="1" spans="1:18">
      <c r="A632" s="416">
        <v>21</v>
      </c>
      <c r="B632" s="421" t="s">
        <v>7554</v>
      </c>
      <c r="C632" s="421"/>
      <c r="D632" s="422"/>
      <c r="E632" s="418" t="s">
        <v>294</v>
      </c>
      <c r="F632" s="416" t="s">
        <v>3022</v>
      </c>
      <c r="G632" s="432">
        <v>45485</v>
      </c>
      <c r="H632" s="420" t="s">
        <v>7534</v>
      </c>
      <c r="I632" s="416"/>
      <c r="J632" s="431" t="s">
        <v>1323</v>
      </c>
      <c r="K632" s="416" t="s">
        <v>1016</v>
      </c>
      <c r="L632" s="417"/>
      <c r="M632" s="416" t="s">
        <v>7252</v>
      </c>
      <c r="N632" s="416" t="s">
        <v>7253</v>
      </c>
      <c r="O632" s="433" t="s">
        <v>7555</v>
      </c>
      <c r="P632" s="421"/>
      <c r="Q632" s="419">
        <v>0.5</v>
      </c>
      <c r="R632" s="419"/>
    </row>
    <row r="633" ht="12.75" customHeight="1" spans="1:18">
      <c r="A633" s="420">
        <v>14</v>
      </c>
      <c r="B633" s="421" t="s">
        <v>7556</v>
      </c>
      <c r="C633" s="421"/>
      <c r="D633" s="422"/>
      <c r="E633" s="418" t="s">
        <v>294</v>
      </c>
      <c r="F633" s="416" t="s">
        <v>3022</v>
      </c>
      <c r="G633" s="432">
        <v>45627</v>
      </c>
      <c r="H633" s="420" t="s">
        <v>7534</v>
      </c>
      <c r="I633" s="416"/>
      <c r="J633" s="431" t="s">
        <v>1323</v>
      </c>
      <c r="K633" s="416" t="s">
        <v>1016</v>
      </c>
      <c r="L633" s="417"/>
      <c r="M633" s="416" t="s">
        <v>7252</v>
      </c>
      <c r="N633" s="416" t="s">
        <v>7253</v>
      </c>
      <c r="O633" s="433"/>
      <c r="P633" s="421"/>
      <c r="Q633" s="419">
        <v>0.5</v>
      </c>
      <c r="R633" s="419"/>
    </row>
    <row r="634" ht="12.75" customHeight="1" spans="1:18">
      <c r="A634" s="420">
        <v>16</v>
      </c>
      <c r="B634" s="421" t="s">
        <v>7557</v>
      </c>
      <c r="C634" s="421"/>
      <c r="D634" s="422"/>
      <c r="E634" s="418" t="s">
        <v>294</v>
      </c>
      <c r="F634" s="416" t="s">
        <v>3022</v>
      </c>
      <c r="G634" s="434" t="s">
        <v>7387</v>
      </c>
      <c r="H634" s="420" t="s">
        <v>7534</v>
      </c>
      <c r="I634" s="416"/>
      <c r="J634" s="431" t="s">
        <v>1323</v>
      </c>
      <c r="K634" s="416" t="s">
        <v>1016</v>
      </c>
      <c r="L634" s="417"/>
      <c r="M634" s="416" t="s">
        <v>7252</v>
      </c>
      <c r="N634" s="416" t="s">
        <v>7253</v>
      </c>
      <c r="O634" s="431">
        <v>120124</v>
      </c>
      <c r="P634" s="421"/>
      <c r="Q634" s="419">
        <v>0.5</v>
      </c>
      <c r="R634" s="419"/>
    </row>
    <row r="635" ht="12.75" customHeight="1" spans="1:18">
      <c r="A635" s="420">
        <v>1</v>
      </c>
      <c r="B635" s="435" t="s">
        <v>7558</v>
      </c>
      <c r="C635" s="421"/>
      <c r="D635" s="421"/>
      <c r="E635" s="418" t="s">
        <v>294</v>
      </c>
      <c r="F635" s="416" t="s">
        <v>3022</v>
      </c>
      <c r="G635" s="420"/>
      <c r="H635" s="420" t="s">
        <v>1471</v>
      </c>
      <c r="I635" s="421" t="s">
        <v>7559</v>
      </c>
      <c r="J635" s="420" t="s">
        <v>7204</v>
      </c>
      <c r="K635" s="420" t="s">
        <v>1016</v>
      </c>
      <c r="L635" s="421"/>
      <c r="M635" s="420" t="s">
        <v>7205</v>
      </c>
      <c r="N635" s="420" t="s">
        <v>7206</v>
      </c>
      <c r="O635" s="421"/>
      <c r="P635" s="421"/>
      <c r="Q635" s="419">
        <v>0.5</v>
      </c>
      <c r="R635" s="419"/>
    </row>
    <row r="636" ht="12.75" customHeight="1" spans="1:18">
      <c r="A636" s="420">
        <v>2</v>
      </c>
      <c r="B636" s="435" t="s">
        <v>7560</v>
      </c>
      <c r="C636" s="421"/>
      <c r="D636" s="421"/>
      <c r="E636" s="418" t="s">
        <v>294</v>
      </c>
      <c r="F636" s="416" t="s">
        <v>3022</v>
      </c>
      <c r="G636" s="420"/>
      <c r="H636" s="420" t="s">
        <v>1471</v>
      </c>
      <c r="I636" s="421"/>
      <c r="J636" s="420" t="s">
        <v>7204</v>
      </c>
      <c r="K636" s="420" t="s">
        <v>1016</v>
      </c>
      <c r="L636" s="421"/>
      <c r="M636" s="420" t="s">
        <v>7205</v>
      </c>
      <c r="N636" s="420" t="s">
        <v>7206</v>
      </c>
      <c r="O636" s="421"/>
      <c r="P636" s="421"/>
      <c r="Q636" s="419">
        <v>0.5</v>
      </c>
      <c r="R636" s="419"/>
    </row>
    <row r="637" ht="12.75" customHeight="1" spans="1:18">
      <c r="A637" s="420">
        <v>3</v>
      </c>
      <c r="B637" s="435" t="s">
        <v>7561</v>
      </c>
      <c r="C637" s="421"/>
      <c r="D637" s="421"/>
      <c r="E637" s="418" t="s">
        <v>294</v>
      </c>
      <c r="F637" s="416" t="s">
        <v>3022</v>
      </c>
      <c r="G637" s="420"/>
      <c r="H637" s="420" t="s">
        <v>1471</v>
      </c>
      <c r="I637" s="421"/>
      <c r="J637" s="420" t="s">
        <v>7204</v>
      </c>
      <c r="K637" s="420" t="s">
        <v>1016</v>
      </c>
      <c r="L637" s="421"/>
      <c r="M637" s="420" t="s">
        <v>7205</v>
      </c>
      <c r="N637" s="420" t="s">
        <v>7206</v>
      </c>
      <c r="O637" s="421"/>
      <c r="P637" s="421"/>
      <c r="Q637" s="419">
        <v>0.5</v>
      </c>
      <c r="R637" s="419"/>
    </row>
    <row r="638" ht="12.75" customHeight="1" spans="1:18">
      <c r="A638" s="420">
        <v>4</v>
      </c>
      <c r="B638" s="435" t="s">
        <v>7562</v>
      </c>
      <c r="C638" s="421" t="s">
        <v>7563</v>
      </c>
      <c r="D638" s="421"/>
      <c r="E638" s="418" t="s">
        <v>294</v>
      </c>
      <c r="F638" s="416" t="s">
        <v>3022</v>
      </c>
      <c r="G638" s="420"/>
      <c r="H638" s="420" t="s">
        <v>1471</v>
      </c>
      <c r="I638" s="421" t="s">
        <v>7564</v>
      </c>
      <c r="J638" s="420" t="s">
        <v>7204</v>
      </c>
      <c r="K638" s="420" t="s">
        <v>1016</v>
      </c>
      <c r="L638" s="421"/>
      <c r="M638" s="420" t="s">
        <v>7205</v>
      </c>
      <c r="N638" s="420" t="s">
        <v>7206</v>
      </c>
      <c r="O638" s="421"/>
      <c r="P638" s="421"/>
      <c r="Q638" s="419">
        <v>0.5</v>
      </c>
      <c r="R638" s="419"/>
    </row>
    <row r="639" ht="12.75" customHeight="1" spans="1:18">
      <c r="A639" s="420">
        <v>5</v>
      </c>
      <c r="B639" s="435" t="s">
        <v>7565</v>
      </c>
      <c r="C639" s="421" t="s">
        <v>7566</v>
      </c>
      <c r="D639" s="421"/>
      <c r="E639" s="418" t="s">
        <v>294</v>
      </c>
      <c r="F639" s="416" t="s">
        <v>3022</v>
      </c>
      <c r="G639" s="420"/>
      <c r="H639" s="420" t="s">
        <v>1471</v>
      </c>
      <c r="I639" s="421" t="s">
        <v>7564</v>
      </c>
      <c r="J639" s="420" t="s">
        <v>7204</v>
      </c>
      <c r="K639" s="420" t="s">
        <v>1016</v>
      </c>
      <c r="L639" s="421"/>
      <c r="M639" s="420" t="s">
        <v>7205</v>
      </c>
      <c r="N639" s="420" t="s">
        <v>7206</v>
      </c>
      <c r="O639" s="421"/>
      <c r="P639" s="421"/>
      <c r="Q639" s="419">
        <v>0.5</v>
      </c>
      <c r="R639" s="419"/>
    </row>
    <row r="640" ht="12.75" customHeight="1" spans="1:18">
      <c r="A640" s="420">
        <v>6</v>
      </c>
      <c r="B640" s="435" t="s">
        <v>7567</v>
      </c>
      <c r="C640" s="421" t="s">
        <v>7568</v>
      </c>
      <c r="D640" s="421"/>
      <c r="E640" s="418" t="s">
        <v>294</v>
      </c>
      <c r="F640" s="416" t="s">
        <v>3022</v>
      </c>
      <c r="G640" s="420"/>
      <c r="H640" s="420" t="s">
        <v>1471</v>
      </c>
      <c r="I640" s="421" t="s">
        <v>7564</v>
      </c>
      <c r="J640" s="420" t="s">
        <v>7204</v>
      </c>
      <c r="K640" s="420" t="s">
        <v>1016</v>
      </c>
      <c r="L640" s="421"/>
      <c r="M640" s="420" t="s">
        <v>7205</v>
      </c>
      <c r="N640" s="420" t="s">
        <v>7206</v>
      </c>
      <c r="O640" s="421"/>
      <c r="P640" s="421"/>
      <c r="Q640" s="419">
        <v>0.5</v>
      </c>
      <c r="R640" s="419"/>
    </row>
    <row r="641" ht="12.75" customHeight="1" spans="1:18">
      <c r="A641" s="420">
        <v>7</v>
      </c>
      <c r="B641" s="435" t="s">
        <v>7569</v>
      </c>
      <c r="C641" s="421" t="s">
        <v>7570</v>
      </c>
      <c r="D641" s="421"/>
      <c r="E641" s="418" t="s">
        <v>294</v>
      </c>
      <c r="F641" s="416" t="s">
        <v>3022</v>
      </c>
      <c r="G641" s="420"/>
      <c r="H641" s="420" t="s">
        <v>1471</v>
      </c>
      <c r="I641" s="421" t="s">
        <v>7564</v>
      </c>
      <c r="J641" s="420" t="s">
        <v>7204</v>
      </c>
      <c r="K641" s="420" t="s">
        <v>1016</v>
      </c>
      <c r="L641" s="421"/>
      <c r="M641" s="420" t="s">
        <v>7205</v>
      </c>
      <c r="N641" s="420" t="s">
        <v>7206</v>
      </c>
      <c r="O641" s="421"/>
      <c r="P641" s="421"/>
      <c r="Q641" s="419">
        <v>0.5</v>
      </c>
      <c r="R641" s="419"/>
    </row>
    <row r="642" ht="12.75" customHeight="1" spans="1:18">
      <c r="A642" s="420">
        <v>8</v>
      </c>
      <c r="B642" s="435" t="s">
        <v>7571</v>
      </c>
      <c r="C642" s="421" t="s">
        <v>7572</v>
      </c>
      <c r="D642" s="421"/>
      <c r="E642" s="418" t="s">
        <v>294</v>
      </c>
      <c r="F642" s="416" t="s">
        <v>3022</v>
      </c>
      <c r="G642" s="420"/>
      <c r="H642" s="420" t="s">
        <v>1471</v>
      </c>
      <c r="I642" s="421" t="s">
        <v>7564</v>
      </c>
      <c r="J642" s="420" t="s">
        <v>7204</v>
      </c>
      <c r="K642" s="420" t="s">
        <v>1016</v>
      </c>
      <c r="L642" s="421"/>
      <c r="M642" s="420" t="s">
        <v>7205</v>
      </c>
      <c r="N642" s="420" t="s">
        <v>7206</v>
      </c>
      <c r="O642" s="421"/>
      <c r="P642" s="421"/>
      <c r="Q642" s="419">
        <v>0.5</v>
      </c>
      <c r="R642" s="419"/>
    </row>
    <row r="643" ht="12.75" customHeight="1" spans="1:18">
      <c r="A643" s="420">
        <v>9</v>
      </c>
      <c r="B643" s="435" t="s">
        <v>7573</v>
      </c>
      <c r="C643" s="421" t="s">
        <v>7574</v>
      </c>
      <c r="D643" s="421"/>
      <c r="E643" s="418" t="s">
        <v>294</v>
      </c>
      <c r="F643" s="416" t="s">
        <v>3022</v>
      </c>
      <c r="G643" s="420"/>
      <c r="H643" s="420" t="s">
        <v>1471</v>
      </c>
      <c r="I643" s="421" t="s">
        <v>7564</v>
      </c>
      <c r="J643" s="420" t="s">
        <v>7204</v>
      </c>
      <c r="K643" s="420" t="s">
        <v>1016</v>
      </c>
      <c r="L643" s="421"/>
      <c r="M643" s="420" t="s">
        <v>7205</v>
      </c>
      <c r="N643" s="420" t="s">
        <v>7206</v>
      </c>
      <c r="O643" s="421"/>
      <c r="P643" s="421"/>
      <c r="Q643" s="419">
        <v>0.5</v>
      </c>
      <c r="R643" s="419"/>
    </row>
    <row r="644" ht="12.75" customHeight="1" spans="1:18">
      <c r="A644" s="420">
        <v>10</v>
      </c>
      <c r="B644" s="435" t="s">
        <v>7575</v>
      </c>
      <c r="C644" s="421" t="s">
        <v>7576</v>
      </c>
      <c r="D644" s="421"/>
      <c r="E644" s="418" t="s">
        <v>294</v>
      </c>
      <c r="F644" s="416" t="s">
        <v>3022</v>
      </c>
      <c r="G644" s="420"/>
      <c r="H644" s="420" t="s">
        <v>1471</v>
      </c>
      <c r="I644" s="421" t="s">
        <v>7564</v>
      </c>
      <c r="J644" s="420" t="s">
        <v>7204</v>
      </c>
      <c r="K644" s="420" t="s">
        <v>1016</v>
      </c>
      <c r="L644" s="421"/>
      <c r="M644" s="420" t="s">
        <v>7205</v>
      </c>
      <c r="N644" s="420" t="s">
        <v>7206</v>
      </c>
      <c r="O644" s="421"/>
      <c r="P644" s="421"/>
      <c r="Q644" s="419">
        <v>0.5</v>
      </c>
      <c r="R644" s="419"/>
    </row>
    <row r="645" ht="12.75" customHeight="1" spans="1:18">
      <c r="A645" s="420">
        <v>11</v>
      </c>
      <c r="B645" s="435" t="s">
        <v>7577</v>
      </c>
      <c r="C645" s="421" t="s">
        <v>7578</v>
      </c>
      <c r="D645" s="421"/>
      <c r="E645" s="418" t="s">
        <v>294</v>
      </c>
      <c r="F645" s="416" t="s">
        <v>3022</v>
      </c>
      <c r="G645" s="420"/>
      <c r="H645" s="420" t="s">
        <v>1471</v>
      </c>
      <c r="I645" s="421" t="s">
        <v>7564</v>
      </c>
      <c r="J645" s="420" t="s">
        <v>7204</v>
      </c>
      <c r="K645" s="420" t="s">
        <v>1016</v>
      </c>
      <c r="L645" s="421"/>
      <c r="M645" s="420" t="s">
        <v>7205</v>
      </c>
      <c r="N645" s="420" t="s">
        <v>7206</v>
      </c>
      <c r="O645" s="421"/>
      <c r="P645" s="421"/>
      <c r="Q645" s="419">
        <v>0.5</v>
      </c>
      <c r="R645" s="419"/>
    </row>
    <row r="646" ht="12.75" customHeight="1" spans="1:18">
      <c r="A646" s="420">
        <v>12</v>
      </c>
      <c r="B646" s="435" t="s">
        <v>7579</v>
      </c>
      <c r="C646" s="421" t="s">
        <v>7580</v>
      </c>
      <c r="D646" s="421"/>
      <c r="E646" s="418" t="s">
        <v>294</v>
      </c>
      <c r="F646" s="416" t="s">
        <v>3022</v>
      </c>
      <c r="G646" s="420"/>
      <c r="H646" s="420" t="s">
        <v>1471</v>
      </c>
      <c r="I646" s="421" t="s">
        <v>7564</v>
      </c>
      <c r="J646" s="420" t="s">
        <v>7204</v>
      </c>
      <c r="K646" s="420" t="s">
        <v>1016</v>
      </c>
      <c r="L646" s="421"/>
      <c r="M646" s="420" t="s">
        <v>7205</v>
      </c>
      <c r="N646" s="420" t="s">
        <v>7206</v>
      </c>
      <c r="O646" s="421"/>
      <c r="P646" s="421"/>
      <c r="Q646" s="419">
        <v>0.5</v>
      </c>
      <c r="R646" s="419"/>
    </row>
    <row r="647" ht="12.75" customHeight="1" spans="1:18">
      <c r="A647" s="420">
        <v>13</v>
      </c>
      <c r="B647" s="435" t="s">
        <v>7581</v>
      </c>
      <c r="C647" s="421" t="s">
        <v>7582</v>
      </c>
      <c r="D647" s="421"/>
      <c r="E647" s="418" t="s">
        <v>294</v>
      </c>
      <c r="F647" s="416" t="s">
        <v>3022</v>
      </c>
      <c r="G647" s="420"/>
      <c r="H647" s="420" t="s">
        <v>1471</v>
      </c>
      <c r="I647" s="421" t="s">
        <v>7564</v>
      </c>
      <c r="J647" s="420" t="s">
        <v>7204</v>
      </c>
      <c r="K647" s="420" t="s">
        <v>1016</v>
      </c>
      <c r="L647" s="421"/>
      <c r="M647" s="420" t="s">
        <v>7205</v>
      </c>
      <c r="N647" s="420" t="s">
        <v>7206</v>
      </c>
      <c r="O647" s="421"/>
      <c r="P647" s="421"/>
      <c r="Q647" s="419">
        <v>0.5</v>
      </c>
      <c r="R647" s="419"/>
    </row>
    <row r="648" ht="12.75" customHeight="1" spans="1:18">
      <c r="A648" s="420">
        <v>14</v>
      </c>
      <c r="B648" s="435" t="s">
        <v>7583</v>
      </c>
      <c r="C648" s="421" t="s">
        <v>7584</v>
      </c>
      <c r="D648" s="421"/>
      <c r="E648" s="418" t="s">
        <v>294</v>
      </c>
      <c r="F648" s="416" t="s">
        <v>3022</v>
      </c>
      <c r="G648" s="420"/>
      <c r="H648" s="420" t="s">
        <v>1471</v>
      </c>
      <c r="I648" s="421" t="s">
        <v>7564</v>
      </c>
      <c r="J648" s="420" t="s">
        <v>7204</v>
      </c>
      <c r="K648" s="420" t="s">
        <v>1016</v>
      </c>
      <c r="L648" s="421"/>
      <c r="M648" s="420" t="s">
        <v>7205</v>
      </c>
      <c r="N648" s="420" t="s">
        <v>7206</v>
      </c>
      <c r="O648" s="421"/>
      <c r="P648" s="421"/>
      <c r="Q648" s="419">
        <v>0.5</v>
      </c>
      <c r="R648" s="419"/>
    </row>
    <row r="649" ht="12.75" customHeight="1" spans="1:18">
      <c r="A649" s="420">
        <v>15</v>
      </c>
      <c r="B649" s="435" t="s">
        <v>7585</v>
      </c>
      <c r="C649" s="421" t="s">
        <v>7586</v>
      </c>
      <c r="D649" s="421"/>
      <c r="E649" s="418" t="s">
        <v>294</v>
      </c>
      <c r="F649" s="416" t="s">
        <v>3022</v>
      </c>
      <c r="G649" s="420"/>
      <c r="H649" s="420" t="s">
        <v>1471</v>
      </c>
      <c r="I649" s="421" t="s">
        <v>7564</v>
      </c>
      <c r="J649" s="420" t="s">
        <v>7204</v>
      </c>
      <c r="K649" s="420" t="s">
        <v>1016</v>
      </c>
      <c r="L649" s="421"/>
      <c r="M649" s="420" t="s">
        <v>7205</v>
      </c>
      <c r="N649" s="420" t="s">
        <v>7206</v>
      </c>
      <c r="O649" s="421"/>
      <c r="P649" s="421"/>
      <c r="Q649" s="419">
        <v>0.5</v>
      </c>
      <c r="R649" s="419"/>
    </row>
    <row r="650" ht="12.75" customHeight="1" spans="1:18">
      <c r="A650" s="420">
        <v>16</v>
      </c>
      <c r="B650" s="435" t="s">
        <v>7587</v>
      </c>
      <c r="C650" s="421" t="s">
        <v>7588</v>
      </c>
      <c r="D650" s="421"/>
      <c r="E650" s="418" t="s">
        <v>294</v>
      </c>
      <c r="F650" s="416" t="s">
        <v>3022</v>
      </c>
      <c r="G650" s="420"/>
      <c r="H650" s="420" t="s">
        <v>1471</v>
      </c>
      <c r="I650" s="421" t="s">
        <v>7564</v>
      </c>
      <c r="J650" s="420" t="s">
        <v>7204</v>
      </c>
      <c r="K650" s="420" t="s">
        <v>1016</v>
      </c>
      <c r="L650" s="421"/>
      <c r="M650" s="420" t="s">
        <v>7205</v>
      </c>
      <c r="N650" s="420" t="s">
        <v>7206</v>
      </c>
      <c r="O650" s="421"/>
      <c r="P650" s="421"/>
      <c r="Q650" s="419">
        <v>0.5</v>
      </c>
      <c r="R650" s="419"/>
    </row>
    <row r="651" ht="12.75" customHeight="1" spans="1:18">
      <c r="A651" s="420">
        <v>17</v>
      </c>
      <c r="B651" s="435" t="s">
        <v>7589</v>
      </c>
      <c r="C651" s="421" t="s">
        <v>7590</v>
      </c>
      <c r="D651" s="421"/>
      <c r="E651" s="418" t="s">
        <v>294</v>
      </c>
      <c r="F651" s="416" t="s">
        <v>3022</v>
      </c>
      <c r="G651" s="420"/>
      <c r="H651" s="420" t="s">
        <v>1471</v>
      </c>
      <c r="I651" s="421" t="s">
        <v>7564</v>
      </c>
      <c r="J651" s="420" t="s">
        <v>7204</v>
      </c>
      <c r="K651" s="420" t="s">
        <v>1016</v>
      </c>
      <c r="L651" s="421"/>
      <c r="M651" s="420" t="s">
        <v>7205</v>
      </c>
      <c r="N651" s="420" t="s">
        <v>7206</v>
      </c>
      <c r="O651" s="421" t="s">
        <v>7591</v>
      </c>
      <c r="P651" s="421"/>
      <c r="Q651" s="419">
        <v>0.5</v>
      </c>
      <c r="R651" s="419"/>
    </row>
    <row r="652" ht="12.75" customHeight="1" spans="1:18">
      <c r="A652" s="420">
        <v>18</v>
      </c>
      <c r="B652" s="435" t="s">
        <v>7592</v>
      </c>
      <c r="C652" s="421" t="s">
        <v>7593</v>
      </c>
      <c r="D652" s="421"/>
      <c r="E652" s="418" t="s">
        <v>294</v>
      </c>
      <c r="F652" s="416" t="s">
        <v>3022</v>
      </c>
      <c r="G652" s="420"/>
      <c r="H652" s="420" t="s">
        <v>1471</v>
      </c>
      <c r="I652" s="421" t="s">
        <v>7564</v>
      </c>
      <c r="J652" s="420" t="s">
        <v>7204</v>
      </c>
      <c r="K652" s="420" t="s">
        <v>1016</v>
      </c>
      <c r="L652" s="421"/>
      <c r="M652" s="420" t="s">
        <v>7205</v>
      </c>
      <c r="N652" s="420" t="s">
        <v>7206</v>
      </c>
      <c r="O652" s="421" t="s">
        <v>7594</v>
      </c>
      <c r="P652" s="421"/>
      <c r="Q652" s="419">
        <v>0.5</v>
      </c>
      <c r="R652" s="419"/>
    </row>
    <row r="653" ht="12.75" customHeight="1" spans="1:18">
      <c r="A653" s="420">
        <v>19</v>
      </c>
      <c r="B653" s="435" t="s">
        <v>7595</v>
      </c>
      <c r="C653" s="421" t="s">
        <v>7596</v>
      </c>
      <c r="D653" s="421"/>
      <c r="E653" s="418" t="s">
        <v>294</v>
      </c>
      <c r="F653" s="416" t="s">
        <v>3022</v>
      </c>
      <c r="G653" s="420"/>
      <c r="H653" s="420" t="s">
        <v>1471</v>
      </c>
      <c r="I653" s="421" t="s">
        <v>7564</v>
      </c>
      <c r="J653" s="420" t="s">
        <v>7204</v>
      </c>
      <c r="K653" s="420" t="s">
        <v>1016</v>
      </c>
      <c r="L653" s="421"/>
      <c r="M653" s="420" t="s">
        <v>7205</v>
      </c>
      <c r="N653" s="420" t="s">
        <v>7206</v>
      </c>
      <c r="O653" s="421" t="s">
        <v>7597</v>
      </c>
      <c r="P653" s="421"/>
      <c r="Q653" s="419">
        <v>0.5</v>
      </c>
      <c r="R653" s="419"/>
    </row>
    <row r="654" ht="12.75" customHeight="1" spans="1:18">
      <c r="A654" s="420">
        <v>20</v>
      </c>
      <c r="B654" s="435" t="s">
        <v>7598</v>
      </c>
      <c r="C654" s="421" t="s">
        <v>7599</v>
      </c>
      <c r="D654" s="421"/>
      <c r="E654" s="418" t="s">
        <v>294</v>
      </c>
      <c r="F654" s="416" t="s">
        <v>3022</v>
      </c>
      <c r="G654" s="420"/>
      <c r="H654" s="420" t="s">
        <v>1471</v>
      </c>
      <c r="I654" s="421" t="s">
        <v>7564</v>
      </c>
      <c r="J654" s="420" t="s">
        <v>7204</v>
      </c>
      <c r="K654" s="420" t="s">
        <v>1016</v>
      </c>
      <c r="L654" s="421"/>
      <c r="M654" s="420" t="s">
        <v>7205</v>
      </c>
      <c r="N654" s="420" t="s">
        <v>7206</v>
      </c>
      <c r="O654" s="421" t="s">
        <v>7600</v>
      </c>
      <c r="P654" s="421"/>
      <c r="Q654" s="419">
        <v>0.5</v>
      </c>
      <c r="R654" s="419"/>
    </row>
    <row r="655" ht="12.75" customHeight="1" spans="1:18">
      <c r="A655" s="420">
        <v>21</v>
      </c>
      <c r="B655" s="435" t="s">
        <v>7601</v>
      </c>
      <c r="C655" s="421" t="s">
        <v>7602</v>
      </c>
      <c r="D655" s="423"/>
      <c r="E655" s="418" t="s">
        <v>294</v>
      </c>
      <c r="F655" s="416" t="s">
        <v>3022</v>
      </c>
      <c r="G655" s="424"/>
      <c r="H655" s="420" t="s">
        <v>1471</v>
      </c>
      <c r="I655" s="425" t="s">
        <v>7603</v>
      </c>
      <c r="J655" s="420" t="s">
        <v>7204</v>
      </c>
      <c r="K655" s="420" t="s">
        <v>811</v>
      </c>
      <c r="L655" s="421"/>
      <c r="M655" s="420" t="s">
        <v>7205</v>
      </c>
      <c r="N655" s="420" t="s">
        <v>7206</v>
      </c>
      <c r="O655" s="421"/>
      <c r="P655" s="421"/>
      <c r="Q655" s="419">
        <v>0.5</v>
      </c>
      <c r="R655" s="419"/>
    </row>
    <row r="656" ht="12.75" customHeight="1" spans="1:18">
      <c r="A656" s="420">
        <v>22</v>
      </c>
      <c r="B656" s="435" t="s">
        <v>7604</v>
      </c>
      <c r="C656" s="421" t="s">
        <v>7605</v>
      </c>
      <c r="D656" s="423"/>
      <c r="E656" s="418" t="s">
        <v>294</v>
      </c>
      <c r="F656" s="416" t="s">
        <v>3022</v>
      </c>
      <c r="G656" s="424"/>
      <c r="H656" s="420" t="s">
        <v>1471</v>
      </c>
      <c r="I656" s="425" t="s">
        <v>7603</v>
      </c>
      <c r="J656" s="420" t="s">
        <v>7204</v>
      </c>
      <c r="K656" s="420" t="s">
        <v>811</v>
      </c>
      <c r="L656" s="421"/>
      <c r="M656" s="420" t="s">
        <v>7205</v>
      </c>
      <c r="N656" s="420" t="s">
        <v>7206</v>
      </c>
      <c r="O656" s="421"/>
      <c r="P656" s="421"/>
      <c r="Q656" s="419">
        <v>0.5</v>
      </c>
      <c r="R656" s="419"/>
    </row>
    <row r="657" ht="12.75" customHeight="1" spans="1:18">
      <c r="A657" s="420">
        <v>23</v>
      </c>
      <c r="B657" s="435" t="s">
        <v>7606</v>
      </c>
      <c r="C657" s="421" t="s">
        <v>7607</v>
      </c>
      <c r="D657" s="423"/>
      <c r="E657" s="418" t="s">
        <v>294</v>
      </c>
      <c r="F657" s="416" t="s">
        <v>3022</v>
      </c>
      <c r="G657" s="424"/>
      <c r="H657" s="420" t="s">
        <v>1471</v>
      </c>
      <c r="I657" s="425" t="s">
        <v>7603</v>
      </c>
      <c r="J657" s="420" t="s">
        <v>7204</v>
      </c>
      <c r="K657" s="420" t="s">
        <v>811</v>
      </c>
      <c r="L657" s="421"/>
      <c r="M657" s="420" t="s">
        <v>7205</v>
      </c>
      <c r="N657" s="420" t="s">
        <v>7206</v>
      </c>
      <c r="O657" s="421"/>
      <c r="P657" s="421"/>
      <c r="Q657" s="419">
        <v>0.5</v>
      </c>
      <c r="R657" s="419"/>
    </row>
    <row r="658" ht="12.75" customHeight="1" spans="1:18">
      <c r="A658" s="420">
        <v>24</v>
      </c>
      <c r="B658" s="435" t="s">
        <v>7608</v>
      </c>
      <c r="C658" s="421" t="s">
        <v>7609</v>
      </c>
      <c r="D658" s="425"/>
      <c r="E658" s="418" t="s">
        <v>294</v>
      </c>
      <c r="F658" s="416" t="s">
        <v>3022</v>
      </c>
      <c r="G658" s="424" t="s">
        <v>7610</v>
      </c>
      <c r="H658" s="420" t="s">
        <v>1471</v>
      </c>
      <c r="I658" s="425" t="s">
        <v>7603</v>
      </c>
      <c r="J658" s="420" t="s">
        <v>1323</v>
      </c>
      <c r="K658" s="420" t="s">
        <v>811</v>
      </c>
      <c r="L658" s="421"/>
      <c r="M658" s="420" t="s">
        <v>7252</v>
      </c>
      <c r="N658" s="420" t="s">
        <v>7253</v>
      </c>
      <c r="O658" s="420"/>
      <c r="P658" s="421" t="s">
        <v>7611</v>
      </c>
      <c r="Q658" s="419">
        <v>0.5</v>
      </c>
      <c r="R658" s="419"/>
    </row>
    <row r="659" ht="12.75" customHeight="1" spans="1:18">
      <c r="A659" s="420">
        <v>25</v>
      </c>
      <c r="B659" s="435" t="s">
        <v>7612</v>
      </c>
      <c r="C659" s="421" t="s">
        <v>7613</v>
      </c>
      <c r="D659" s="425"/>
      <c r="E659" s="418" t="s">
        <v>294</v>
      </c>
      <c r="F659" s="416" t="s">
        <v>3022</v>
      </c>
      <c r="G659" s="424" t="s">
        <v>7610</v>
      </c>
      <c r="H659" s="420" t="s">
        <v>1471</v>
      </c>
      <c r="I659" s="425" t="s">
        <v>7603</v>
      </c>
      <c r="J659" s="420" t="s">
        <v>1323</v>
      </c>
      <c r="K659" s="420" t="s">
        <v>811</v>
      </c>
      <c r="L659" s="421"/>
      <c r="M659" s="420" t="s">
        <v>7252</v>
      </c>
      <c r="N659" s="420" t="s">
        <v>7253</v>
      </c>
      <c r="O659" s="420"/>
      <c r="P659" s="421" t="s">
        <v>7614</v>
      </c>
      <c r="Q659" s="419">
        <v>0.5</v>
      </c>
      <c r="R659" s="419"/>
    </row>
    <row r="660" ht="12.75" customHeight="1" spans="1:18">
      <c r="A660" s="420">
        <v>26</v>
      </c>
      <c r="B660" s="435" t="s">
        <v>7615</v>
      </c>
      <c r="C660" s="421" t="s">
        <v>7616</v>
      </c>
      <c r="D660" s="425"/>
      <c r="E660" s="418" t="s">
        <v>294</v>
      </c>
      <c r="F660" s="416" t="s">
        <v>3022</v>
      </c>
      <c r="G660" s="424" t="s">
        <v>7610</v>
      </c>
      <c r="H660" s="420" t="s">
        <v>1471</v>
      </c>
      <c r="I660" s="425" t="s">
        <v>7603</v>
      </c>
      <c r="J660" s="420" t="s">
        <v>1323</v>
      </c>
      <c r="K660" s="420" t="s">
        <v>811</v>
      </c>
      <c r="L660" s="421"/>
      <c r="M660" s="420" t="s">
        <v>7252</v>
      </c>
      <c r="N660" s="420" t="s">
        <v>7253</v>
      </c>
      <c r="O660" s="420"/>
      <c r="P660" s="421" t="s">
        <v>7617</v>
      </c>
      <c r="Q660" s="419">
        <v>0.5</v>
      </c>
      <c r="R660" s="419"/>
    </row>
    <row r="661" ht="12.75" customHeight="1" spans="1:18">
      <c r="A661" s="420">
        <v>27</v>
      </c>
      <c r="B661" s="435" t="s">
        <v>7618</v>
      </c>
      <c r="C661" s="421" t="s">
        <v>7619</v>
      </c>
      <c r="D661" s="425"/>
      <c r="E661" s="418" t="s">
        <v>294</v>
      </c>
      <c r="F661" s="416" t="s">
        <v>3022</v>
      </c>
      <c r="G661" s="424" t="s">
        <v>7610</v>
      </c>
      <c r="H661" s="420" t="s">
        <v>1471</v>
      </c>
      <c r="I661" s="425" t="s">
        <v>7603</v>
      </c>
      <c r="J661" s="420" t="s">
        <v>1323</v>
      </c>
      <c r="K661" s="420" t="s">
        <v>811</v>
      </c>
      <c r="L661" s="421"/>
      <c r="M661" s="420" t="s">
        <v>7252</v>
      </c>
      <c r="N661" s="420" t="s">
        <v>7253</v>
      </c>
      <c r="O661" s="420"/>
      <c r="P661" s="421" t="s">
        <v>7620</v>
      </c>
      <c r="Q661" s="419">
        <v>0.5</v>
      </c>
      <c r="R661" s="419"/>
    </row>
    <row r="662" ht="12.75" customHeight="1" spans="1:18">
      <c r="A662" s="420">
        <v>28</v>
      </c>
      <c r="B662" s="435" t="s">
        <v>7621</v>
      </c>
      <c r="C662" s="421" t="s">
        <v>7622</v>
      </c>
      <c r="D662" s="425"/>
      <c r="E662" s="418" t="s">
        <v>294</v>
      </c>
      <c r="F662" s="416" t="s">
        <v>3022</v>
      </c>
      <c r="G662" s="424" t="s">
        <v>7610</v>
      </c>
      <c r="H662" s="420" t="s">
        <v>1471</v>
      </c>
      <c r="I662" s="425" t="s">
        <v>7603</v>
      </c>
      <c r="J662" s="420" t="s">
        <v>1323</v>
      </c>
      <c r="K662" s="420" t="s">
        <v>811</v>
      </c>
      <c r="L662" s="421"/>
      <c r="M662" s="420" t="s">
        <v>7252</v>
      </c>
      <c r="N662" s="420" t="s">
        <v>7253</v>
      </c>
      <c r="O662" s="420"/>
      <c r="P662" s="421" t="s">
        <v>7623</v>
      </c>
      <c r="Q662" s="419">
        <v>0.5</v>
      </c>
      <c r="R662" s="419"/>
    </row>
    <row r="663" ht="12.75" customHeight="1" spans="1:18">
      <c r="A663" s="420">
        <v>29</v>
      </c>
      <c r="B663" s="435" t="s">
        <v>7624</v>
      </c>
      <c r="C663" s="421" t="s">
        <v>7625</v>
      </c>
      <c r="D663" s="425"/>
      <c r="E663" s="418" t="s">
        <v>294</v>
      </c>
      <c r="F663" s="416" t="s">
        <v>3022</v>
      </c>
      <c r="G663" s="424" t="s">
        <v>7610</v>
      </c>
      <c r="H663" s="420" t="s">
        <v>1471</v>
      </c>
      <c r="I663" s="425" t="s">
        <v>7603</v>
      </c>
      <c r="J663" s="420" t="s">
        <v>1323</v>
      </c>
      <c r="K663" s="420" t="s">
        <v>811</v>
      </c>
      <c r="L663" s="421"/>
      <c r="M663" s="420" t="s">
        <v>7252</v>
      </c>
      <c r="N663" s="420" t="s">
        <v>7253</v>
      </c>
      <c r="O663" s="420"/>
      <c r="P663" s="421" t="s">
        <v>7626</v>
      </c>
      <c r="Q663" s="419">
        <v>0.5</v>
      </c>
      <c r="R663" s="419"/>
    </row>
    <row r="664" ht="12.75" customHeight="1" spans="1:18">
      <c r="A664" s="420">
        <v>30</v>
      </c>
      <c r="B664" s="435" t="s">
        <v>7627</v>
      </c>
      <c r="C664" s="421" t="s">
        <v>7628</v>
      </c>
      <c r="D664" s="423"/>
      <c r="E664" s="418" t="s">
        <v>294</v>
      </c>
      <c r="F664" s="416" t="s">
        <v>3022</v>
      </c>
      <c r="G664" s="424"/>
      <c r="H664" s="420" t="s">
        <v>1471</v>
      </c>
      <c r="I664" s="425" t="s">
        <v>7603</v>
      </c>
      <c r="J664" s="420" t="s">
        <v>7204</v>
      </c>
      <c r="K664" s="420" t="s">
        <v>811</v>
      </c>
      <c r="L664" s="421"/>
      <c r="M664" s="420" t="s">
        <v>7205</v>
      </c>
      <c r="N664" s="420" t="s">
        <v>7206</v>
      </c>
      <c r="O664" s="421"/>
      <c r="P664" s="421"/>
      <c r="Q664" s="419">
        <v>0.5</v>
      </c>
      <c r="R664" s="419"/>
    </row>
    <row r="665" ht="12.75" customHeight="1" spans="1:18">
      <c r="A665" s="420">
        <v>31</v>
      </c>
      <c r="B665" s="435" t="s">
        <v>7629</v>
      </c>
      <c r="C665" s="421" t="s">
        <v>7630</v>
      </c>
      <c r="D665" s="423"/>
      <c r="E665" s="418" t="s">
        <v>294</v>
      </c>
      <c r="F665" s="416" t="s">
        <v>3022</v>
      </c>
      <c r="G665" s="424"/>
      <c r="H665" s="420" t="s">
        <v>1471</v>
      </c>
      <c r="I665" s="425" t="s">
        <v>7603</v>
      </c>
      <c r="J665" s="420" t="s">
        <v>7204</v>
      </c>
      <c r="K665" s="420" t="s">
        <v>811</v>
      </c>
      <c r="L665" s="421"/>
      <c r="M665" s="420" t="s">
        <v>7205</v>
      </c>
      <c r="N665" s="420" t="s">
        <v>7206</v>
      </c>
      <c r="O665" s="421"/>
      <c r="P665" s="421"/>
      <c r="Q665" s="419">
        <v>0.5</v>
      </c>
      <c r="R665" s="419"/>
    </row>
    <row r="666" ht="12.75" customHeight="1" spans="1:18">
      <c r="A666" s="420">
        <v>32</v>
      </c>
      <c r="B666" s="435" t="s">
        <v>7631</v>
      </c>
      <c r="C666" s="421" t="s">
        <v>7632</v>
      </c>
      <c r="D666" s="423"/>
      <c r="E666" s="418" t="s">
        <v>294</v>
      </c>
      <c r="F666" s="416" t="s">
        <v>3022</v>
      </c>
      <c r="G666" s="424"/>
      <c r="H666" s="420" t="s">
        <v>1471</v>
      </c>
      <c r="I666" s="425" t="s">
        <v>7603</v>
      </c>
      <c r="J666" s="420" t="s">
        <v>7204</v>
      </c>
      <c r="K666" s="420" t="s">
        <v>811</v>
      </c>
      <c r="L666" s="421"/>
      <c r="M666" s="420" t="s">
        <v>7205</v>
      </c>
      <c r="N666" s="420" t="s">
        <v>7206</v>
      </c>
      <c r="O666" s="421"/>
      <c r="P666" s="421"/>
      <c r="Q666" s="419">
        <v>0.5</v>
      </c>
      <c r="R666" s="419"/>
    </row>
    <row r="667" ht="12.75" customHeight="1" spans="1:18">
      <c r="A667" s="420">
        <v>1</v>
      </c>
      <c r="B667" s="421" t="s">
        <v>7633</v>
      </c>
      <c r="C667" s="421"/>
      <c r="D667" s="418"/>
      <c r="E667" s="418" t="s">
        <v>294</v>
      </c>
      <c r="F667" s="416" t="s">
        <v>3022</v>
      </c>
      <c r="G667" s="420"/>
      <c r="H667" s="420" t="s">
        <v>1121</v>
      </c>
      <c r="I667" s="421" t="s">
        <v>7634</v>
      </c>
      <c r="J667" s="420" t="s">
        <v>7204</v>
      </c>
      <c r="K667" s="420" t="s">
        <v>1016</v>
      </c>
      <c r="L667" s="421"/>
      <c r="M667" s="420" t="s">
        <v>7205</v>
      </c>
      <c r="N667" s="420" t="s">
        <v>7206</v>
      </c>
      <c r="O667" s="421"/>
      <c r="P667" s="421"/>
      <c r="Q667" s="419">
        <v>0.5</v>
      </c>
      <c r="R667" s="419"/>
    </row>
    <row r="668" ht="12.75" customHeight="1" spans="1:18">
      <c r="A668" s="420">
        <f t="shared" ref="A668:A675" si="11">1+A667</f>
        <v>2</v>
      </c>
      <c r="B668" s="421" t="s">
        <v>7635</v>
      </c>
      <c r="C668" s="421"/>
      <c r="D668" s="422"/>
      <c r="E668" s="418" t="s">
        <v>294</v>
      </c>
      <c r="F668" s="416" t="s">
        <v>3022</v>
      </c>
      <c r="G668" s="420"/>
      <c r="H668" s="420" t="s">
        <v>1121</v>
      </c>
      <c r="I668" s="421" t="s">
        <v>7634</v>
      </c>
      <c r="J668" s="420" t="s">
        <v>7204</v>
      </c>
      <c r="K668" s="420" t="s">
        <v>1016</v>
      </c>
      <c r="L668" s="421"/>
      <c r="M668" s="420" t="s">
        <v>7205</v>
      </c>
      <c r="N668" s="420" t="s">
        <v>7206</v>
      </c>
      <c r="O668" s="421"/>
      <c r="P668" s="421"/>
      <c r="Q668" s="419">
        <v>0.5</v>
      </c>
      <c r="R668" s="419"/>
    </row>
    <row r="669" ht="12.75" customHeight="1" spans="1:18">
      <c r="A669" s="420">
        <f t="shared" si="11"/>
        <v>3</v>
      </c>
      <c r="B669" s="421" t="s">
        <v>7636</v>
      </c>
      <c r="C669" s="421"/>
      <c r="D669" s="422"/>
      <c r="E669" s="418" t="s">
        <v>294</v>
      </c>
      <c r="F669" s="416" t="s">
        <v>3022</v>
      </c>
      <c r="G669" s="420"/>
      <c r="H669" s="420" t="s">
        <v>1121</v>
      </c>
      <c r="I669" s="421"/>
      <c r="J669" s="420" t="s">
        <v>7204</v>
      </c>
      <c r="K669" s="420" t="s">
        <v>1016</v>
      </c>
      <c r="L669" s="421"/>
      <c r="M669" s="420" t="s">
        <v>7205</v>
      </c>
      <c r="N669" s="420" t="s">
        <v>7206</v>
      </c>
      <c r="O669" s="421"/>
      <c r="P669" s="421"/>
      <c r="Q669" s="419">
        <v>0.5</v>
      </c>
      <c r="R669" s="419"/>
    </row>
    <row r="670" ht="12.75" customHeight="1" spans="1:18">
      <c r="A670" s="420">
        <f t="shared" si="11"/>
        <v>4</v>
      </c>
      <c r="B670" s="421" t="s">
        <v>7637</v>
      </c>
      <c r="C670" s="421"/>
      <c r="D670" s="422"/>
      <c r="E670" s="418" t="s">
        <v>294</v>
      </c>
      <c r="F670" s="416" t="s">
        <v>3022</v>
      </c>
      <c r="G670" s="420"/>
      <c r="H670" s="420" t="s">
        <v>1121</v>
      </c>
      <c r="I670" s="421"/>
      <c r="J670" s="420" t="s">
        <v>7204</v>
      </c>
      <c r="K670" s="420" t="s">
        <v>1016</v>
      </c>
      <c r="L670" s="421"/>
      <c r="M670" s="420" t="s">
        <v>7205</v>
      </c>
      <c r="N670" s="420" t="s">
        <v>7206</v>
      </c>
      <c r="O670" s="421"/>
      <c r="P670" s="421"/>
      <c r="Q670" s="419">
        <v>0.5</v>
      </c>
      <c r="R670" s="419"/>
    </row>
    <row r="671" ht="12.75" customHeight="1" spans="1:18">
      <c r="A671" s="420">
        <f t="shared" si="11"/>
        <v>5</v>
      </c>
      <c r="B671" s="421" t="s">
        <v>7638</v>
      </c>
      <c r="C671" s="421"/>
      <c r="D671" s="422"/>
      <c r="E671" s="418" t="s">
        <v>294</v>
      </c>
      <c r="F671" s="416" t="s">
        <v>3022</v>
      </c>
      <c r="G671" s="420"/>
      <c r="H671" s="420" t="s">
        <v>1121</v>
      </c>
      <c r="I671" s="421"/>
      <c r="J671" s="420" t="s">
        <v>7204</v>
      </c>
      <c r="K671" s="420" t="s">
        <v>1016</v>
      </c>
      <c r="L671" s="421"/>
      <c r="M671" s="420" t="s">
        <v>7205</v>
      </c>
      <c r="N671" s="420" t="s">
        <v>7206</v>
      </c>
      <c r="O671" s="421"/>
      <c r="P671" s="421"/>
      <c r="Q671" s="419">
        <v>0.5</v>
      </c>
      <c r="R671" s="419"/>
    </row>
    <row r="672" ht="12.75" customHeight="1" spans="1:18">
      <c r="A672" s="420">
        <f t="shared" si="11"/>
        <v>6</v>
      </c>
      <c r="B672" s="421" t="s">
        <v>7639</v>
      </c>
      <c r="C672" s="421"/>
      <c r="D672" s="422"/>
      <c r="E672" s="418" t="s">
        <v>294</v>
      </c>
      <c r="F672" s="416" t="s">
        <v>3022</v>
      </c>
      <c r="G672" s="420"/>
      <c r="H672" s="420" t="s">
        <v>1121</v>
      </c>
      <c r="I672" s="421"/>
      <c r="J672" s="420" t="s">
        <v>7204</v>
      </c>
      <c r="K672" s="420" t="s">
        <v>1016</v>
      </c>
      <c r="L672" s="421"/>
      <c r="M672" s="420" t="s">
        <v>7205</v>
      </c>
      <c r="N672" s="420" t="s">
        <v>7206</v>
      </c>
      <c r="O672" s="421"/>
      <c r="P672" s="421"/>
      <c r="Q672" s="419">
        <v>0.5</v>
      </c>
      <c r="R672" s="419"/>
    </row>
    <row r="673" ht="12.75" customHeight="1" spans="1:18">
      <c r="A673" s="420">
        <f t="shared" si="11"/>
        <v>7</v>
      </c>
      <c r="B673" s="421" t="s">
        <v>7640</v>
      </c>
      <c r="C673" s="418"/>
      <c r="D673" s="418"/>
      <c r="E673" s="418" t="s">
        <v>294</v>
      </c>
      <c r="F673" s="416" t="s">
        <v>3022</v>
      </c>
      <c r="G673" s="436" t="s">
        <v>7641</v>
      </c>
      <c r="H673" s="420" t="s">
        <v>1121</v>
      </c>
      <c r="I673" s="437" t="s">
        <v>7642</v>
      </c>
      <c r="J673" s="420" t="s">
        <v>1323</v>
      </c>
      <c r="K673" s="420" t="s">
        <v>1016</v>
      </c>
      <c r="L673" s="421"/>
      <c r="M673" s="420" t="s">
        <v>7252</v>
      </c>
      <c r="N673" s="420" t="s">
        <v>7253</v>
      </c>
      <c r="O673" s="421" t="s">
        <v>7437</v>
      </c>
      <c r="P673" s="421"/>
      <c r="Q673" s="419">
        <v>0.5</v>
      </c>
      <c r="R673" s="419"/>
    </row>
    <row r="674" ht="12.75" customHeight="1" spans="1:18">
      <c r="A674" s="420">
        <f t="shared" si="11"/>
        <v>8</v>
      </c>
      <c r="B674" s="421" t="s">
        <v>7643</v>
      </c>
      <c r="C674" s="418"/>
      <c r="D674" s="418"/>
      <c r="E674" s="418" t="s">
        <v>294</v>
      </c>
      <c r="F674" s="416" t="s">
        <v>3022</v>
      </c>
      <c r="G674" s="420"/>
      <c r="H674" s="420" t="s">
        <v>1121</v>
      </c>
      <c r="I674" s="421"/>
      <c r="J674" s="420" t="s">
        <v>1323</v>
      </c>
      <c r="K674" s="420" t="s">
        <v>1016</v>
      </c>
      <c r="L674" s="421"/>
      <c r="M674" s="420" t="s">
        <v>7252</v>
      </c>
      <c r="N674" s="420" t="s">
        <v>7253</v>
      </c>
      <c r="O674" s="421" t="s">
        <v>7437</v>
      </c>
      <c r="P674" s="421"/>
      <c r="Q674" s="419">
        <v>0.5</v>
      </c>
      <c r="R674" s="419"/>
    </row>
    <row r="675" ht="12.75" customHeight="1" spans="1:18">
      <c r="A675" s="420">
        <f t="shared" si="11"/>
        <v>9</v>
      </c>
      <c r="B675" s="421" t="s">
        <v>7644</v>
      </c>
      <c r="C675" s="418"/>
      <c r="D675" s="418"/>
      <c r="E675" s="418" t="s">
        <v>294</v>
      </c>
      <c r="F675" s="416" t="s">
        <v>3022</v>
      </c>
      <c r="G675" s="420"/>
      <c r="H675" s="420" t="s">
        <v>1121</v>
      </c>
      <c r="I675" s="421"/>
      <c r="J675" s="420" t="s">
        <v>1323</v>
      </c>
      <c r="K675" s="420" t="s">
        <v>1016</v>
      </c>
      <c r="L675" s="421"/>
      <c r="M675" s="420" t="s">
        <v>7252</v>
      </c>
      <c r="N675" s="420" t="s">
        <v>7253</v>
      </c>
      <c r="O675" s="421" t="s">
        <v>7437</v>
      </c>
      <c r="P675" s="421"/>
      <c r="Q675" s="419">
        <v>0.5</v>
      </c>
      <c r="R675" s="419"/>
    </row>
    <row r="676" ht="12.75" customHeight="1" spans="1:18">
      <c r="A676" s="420">
        <v>1</v>
      </c>
      <c r="B676" s="421" t="s">
        <v>7645</v>
      </c>
      <c r="C676" s="418" t="s">
        <v>7646</v>
      </c>
      <c r="D676" s="418"/>
      <c r="E676" s="418" t="s">
        <v>294</v>
      </c>
      <c r="F676" s="416" t="s">
        <v>3022</v>
      </c>
      <c r="G676" s="420"/>
      <c r="H676" s="420" t="s">
        <v>1250</v>
      </c>
      <c r="I676" s="421"/>
      <c r="J676" s="420" t="s">
        <v>7204</v>
      </c>
      <c r="K676" s="420" t="s">
        <v>1016</v>
      </c>
      <c r="L676" s="421"/>
      <c r="M676" s="420" t="s">
        <v>7205</v>
      </c>
      <c r="N676" s="420" t="s">
        <v>7206</v>
      </c>
      <c r="O676" s="421"/>
      <c r="P676" s="421"/>
      <c r="Q676" s="419">
        <v>0.5</v>
      </c>
      <c r="R676" s="419"/>
    </row>
    <row r="677" ht="12.75" customHeight="1" spans="1:18">
      <c r="A677" s="420">
        <v>2</v>
      </c>
      <c r="B677" s="421" t="s">
        <v>7647</v>
      </c>
      <c r="C677" s="422" t="s">
        <v>7648</v>
      </c>
      <c r="D677" s="422"/>
      <c r="E677" s="418" t="s">
        <v>294</v>
      </c>
      <c r="F677" s="416" t="s">
        <v>3022</v>
      </c>
      <c r="G677" s="420"/>
      <c r="H677" s="420" t="s">
        <v>1250</v>
      </c>
      <c r="I677" s="421"/>
      <c r="J677" s="420" t="s">
        <v>7204</v>
      </c>
      <c r="K677" s="420" t="s">
        <v>1016</v>
      </c>
      <c r="L677" s="421"/>
      <c r="M677" s="420" t="s">
        <v>7205</v>
      </c>
      <c r="N677" s="420" t="s">
        <v>7206</v>
      </c>
      <c r="O677" s="421"/>
      <c r="P677" s="421"/>
      <c r="Q677" s="419">
        <v>0.5</v>
      </c>
      <c r="R677" s="419"/>
    </row>
    <row r="678" ht="12.75" customHeight="1" spans="1:18">
      <c r="A678" s="420">
        <v>3</v>
      </c>
      <c r="B678" s="421" t="s">
        <v>7649</v>
      </c>
      <c r="C678" s="422" t="s">
        <v>7650</v>
      </c>
      <c r="D678" s="422"/>
      <c r="E678" s="418" t="s">
        <v>294</v>
      </c>
      <c r="F678" s="416" t="s">
        <v>3022</v>
      </c>
      <c r="G678" s="420"/>
      <c r="H678" s="420" t="s">
        <v>1250</v>
      </c>
      <c r="I678" s="421"/>
      <c r="J678" s="420" t="s">
        <v>7204</v>
      </c>
      <c r="K678" s="420" t="s">
        <v>1016</v>
      </c>
      <c r="L678" s="421"/>
      <c r="M678" s="420" t="s">
        <v>7205</v>
      </c>
      <c r="N678" s="420" t="s">
        <v>7206</v>
      </c>
      <c r="O678" s="421"/>
      <c r="P678" s="421"/>
      <c r="Q678" s="419">
        <v>0.5</v>
      </c>
      <c r="R678" s="419"/>
    </row>
    <row r="679" ht="12.75" customHeight="1" spans="1:18">
      <c r="A679" s="420">
        <v>4</v>
      </c>
      <c r="B679" s="421" t="s">
        <v>7651</v>
      </c>
      <c r="C679" s="422" t="s">
        <v>7652</v>
      </c>
      <c r="D679" s="422"/>
      <c r="E679" s="418" t="s">
        <v>294</v>
      </c>
      <c r="F679" s="416" t="s">
        <v>3022</v>
      </c>
      <c r="G679" s="420"/>
      <c r="H679" s="420" t="s">
        <v>1250</v>
      </c>
      <c r="I679" s="421"/>
      <c r="J679" s="420" t="s">
        <v>7204</v>
      </c>
      <c r="K679" s="420" t="s">
        <v>1016</v>
      </c>
      <c r="L679" s="421"/>
      <c r="M679" s="420" t="s">
        <v>7205</v>
      </c>
      <c r="N679" s="420" t="s">
        <v>7206</v>
      </c>
      <c r="O679" s="421"/>
      <c r="P679" s="421"/>
      <c r="Q679" s="419">
        <v>0.5</v>
      </c>
      <c r="R679" s="419"/>
    </row>
    <row r="680" ht="12.75" customHeight="1" spans="1:18">
      <c r="A680" s="420">
        <v>6</v>
      </c>
      <c r="B680" s="421" t="s">
        <v>7653</v>
      </c>
      <c r="C680" s="422" t="s">
        <v>7654</v>
      </c>
      <c r="D680" s="422"/>
      <c r="E680" s="418" t="s">
        <v>294</v>
      </c>
      <c r="F680" s="416" t="s">
        <v>3022</v>
      </c>
      <c r="G680" s="420"/>
      <c r="H680" s="420" t="s">
        <v>1250</v>
      </c>
      <c r="I680" s="421"/>
      <c r="J680" s="420" t="s">
        <v>7204</v>
      </c>
      <c r="K680" s="420" t="s">
        <v>1016</v>
      </c>
      <c r="L680" s="421"/>
      <c r="M680" s="420" t="s">
        <v>7205</v>
      </c>
      <c r="N680" s="420" t="s">
        <v>7206</v>
      </c>
      <c r="O680" s="421"/>
      <c r="P680" s="421"/>
      <c r="Q680" s="419">
        <v>0.5</v>
      </c>
      <c r="R680" s="419"/>
    </row>
    <row r="681" ht="12.75" customHeight="1" spans="1:18">
      <c r="A681" s="420">
        <v>7</v>
      </c>
      <c r="B681" s="421" t="s">
        <v>7655</v>
      </c>
      <c r="C681" s="422" t="s">
        <v>7656</v>
      </c>
      <c r="D681" s="422"/>
      <c r="E681" s="418" t="s">
        <v>294</v>
      </c>
      <c r="F681" s="416" t="s">
        <v>3022</v>
      </c>
      <c r="G681" s="420"/>
      <c r="H681" s="420" t="s">
        <v>1250</v>
      </c>
      <c r="I681" s="421"/>
      <c r="J681" s="420" t="s">
        <v>7204</v>
      </c>
      <c r="K681" s="420" t="s">
        <v>1016</v>
      </c>
      <c r="L681" s="421"/>
      <c r="M681" s="420" t="s">
        <v>7205</v>
      </c>
      <c r="N681" s="420" t="s">
        <v>7206</v>
      </c>
      <c r="O681" s="421"/>
      <c r="P681" s="421"/>
      <c r="Q681" s="419">
        <v>0.5</v>
      </c>
      <c r="R681" s="419"/>
    </row>
    <row r="682" ht="12.75" customHeight="1" spans="1:18">
      <c r="A682" s="420">
        <v>10</v>
      </c>
      <c r="B682" s="421" t="s">
        <v>7657</v>
      </c>
      <c r="C682" s="422" t="s">
        <v>7658</v>
      </c>
      <c r="D682" s="422"/>
      <c r="E682" s="418" t="s">
        <v>294</v>
      </c>
      <c r="F682" s="416" t="s">
        <v>3022</v>
      </c>
      <c r="G682" s="420"/>
      <c r="H682" s="420" t="s">
        <v>1250</v>
      </c>
      <c r="I682" s="421"/>
      <c r="J682" s="420" t="s">
        <v>7204</v>
      </c>
      <c r="K682" s="420" t="s">
        <v>1016</v>
      </c>
      <c r="L682" s="421"/>
      <c r="M682" s="420" t="s">
        <v>7205</v>
      </c>
      <c r="N682" s="420" t="s">
        <v>7206</v>
      </c>
      <c r="O682" s="421"/>
      <c r="P682" s="421"/>
      <c r="Q682" s="419">
        <v>0.5</v>
      </c>
      <c r="R682" s="419"/>
    </row>
    <row r="683" ht="12.75" customHeight="1" spans="1:18">
      <c r="A683" s="420">
        <v>11</v>
      </c>
      <c r="B683" s="421" t="s">
        <v>7659</v>
      </c>
      <c r="C683" s="422" t="s">
        <v>7660</v>
      </c>
      <c r="D683" s="422"/>
      <c r="E683" s="418" t="s">
        <v>294</v>
      </c>
      <c r="F683" s="416" t="s">
        <v>3022</v>
      </c>
      <c r="G683" s="420"/>
      <c r="H683" s="420" t="s">
        <v>1250</v>
      </c>
      <c r="I683" s="421"/>
      <c r="J683" s="420" t="s">
        <v>7204</v>
      </c>
      <c r="K683" s="420" t="s">
        <v>1016</v>
      </c>
      <c r="L683" s="421"/>
      <c r="M683" s="420" t="s">
        <v>7205</v>
      </c>
      <c r="N683" s="420" t="s">
        <v>7206</v>
      </c>
      <c r="O683" s="421"/>
      <c r="P683" s="421"/>
      <c r="Q683" s="419">
        <v>0.5</v>
      </c>
      <c r="R683" s="419"/>
    </row>
    <row r="684" ht="12.75" customHeight="1" spans="1:18">
      <c r="A684" s="420">
        <v>12</v>
      </c>
      <c r="B684" s="421" t="s">
        <v>7661</v>
      </c>
      <c r="C684" s="422" t="s">
        <v>7662</v>
      </c>
      <c r="D684" s="422"/>
      <c r="E684" s="418" t="s">
        <v>294</v>
      </c>
      <c r="F684" s="416" t="s">
        <v>3022</v>
      </c>
      <c r="G684" s="420"/>
      <c r="H684" s="420" t="s">
        <v>1250</v>
      </c>
      <c r="I684" s="421"/>
      <c r="J684" s="420" t="s">
        <v>7204</v>
      </c>
      <c r="K684" s="420" t="s">
        <v>1016</v>
      </c>
      <c r="L684" s="421"/>
      <c r="M684" s="420" t="s">
        <v>7205</v>
      </c>
      <c r="N684" s="420" t="s">
        <v>7206</v>
      </c>
      <c r="O684" s="421"/>
      <c r="P684" s="421"/>
      <c r="Q684" s="419">
        <v>0.5</v>
      </c>
      <c r="R684" s="419"/>
    </row>
    <row r="685" ht="12.75" customHeight="1" spans="1:18">
      <c r="A685" s="420">
        <v>13</v>
      </c>
      <c r="B685" s="421" t="s">
        <v>7663</v>
      </c>
      <c r="C685" s="421" t="s">
        <v>7664</v>
      </c>
      <c r="D685" s="421"/>
      <c r="E685" s="418" t="s">
        <v>294</v>
      </c>
      <c r="F685" s="416" t="s">
        <v>3022</v>
      </c>
      <c r="G685" s="420"/>
      <c r="H685" s="420" t="s">
        <v>1250</v>
      </c>
      <c r="I685" s="421" t="s">
        <v>7448</v>
      </c>
      <c r="J685" s="420" t="s">
        <v>7204</v>
      </c>
      <c r="K685" s="420" t="s">
        <v>1016</v>
      </c>
      <c r="L685" s="421"/>
      <c r="M685" s="420" t="s">
        <v>7205</v>
      </c>
      <c r="N685" s="420" t="s">
        <v>7206</v>
      </c>
      <c r="O685" s="421"/>
      <c r="P685" s="421"/>
      <c r="Q685" s="419">
        <v>0.5</v>
      </c>
      <c r="R685" s="419"/>
    </row>
    <row r="686" ht="12.75" customHeight="1" spans="1:18">
      <c r="A686" s="420">
        <v>15</v>
      </c>
      <c r="B686" s="421" t="s">
        <v>7665</v>
      </c>
      <c r="C686" s="421"/>
      <c r="D686" s="421"/>
      <c r="E686" s="418" t="s">
        <v>294</v>
      </c>
      <c r="F686" s="416" t="s">
        <v>3022</v>
      </c>
      <c r="G686" s="420"/>
      <c r="H686" s="420" t="s">
        <v>1250</v>
      </c>
      <c r="I686" s="421"/>
      <c r="J686" s="420" t="s">
        <v>7204</v>
      </c>
      <c r="K686" s="420" t="s">
        <v>1016</v>
      </c>
      <c r="L686" s="421"/>
      <c r="M686" s="420" t="s">
        <v>7205</v>
      </c>
      <c r="N686" s="420" t="s">
        <v>7206</v>
      </c>
      <c r="O686" s="421"/>
      <c r="P686" s="421"/>
      <c r="Q686" s="419">
        <v>0.5</v>
      </c>
      <c r="R686" s="419"/>
    </row>
    <row r="687" ht="12.75" customHeight="1" spans="1:18">
      <c r="A687" s="420">
        <v>16</v>
      </c>
      <c r="B687" s="421" t="s">
        <v>7666</v>
      </c>
      <c r="C687" s="421"/>
      <c r="D687" s="421"/>
      <c r="E687" s="418" t="s">
        <v>294</v>
      </c>
      <c r="F687" s="416" t="s">
        <v>3022</v>
      </c>
      <c r="G687" s="420"/>
      <c r="H687" s="420" t="s">
        <v>1250</v>
      </c>
      <c r="I687" s="421"/>
      <c r="J687" s="420" t="s">
        <v>7204</v>
      </c>
      <c r="K687" s="420" t="s">
        <v>1016</v>
      </c>
      <c r="L687" s="421"/>
      <c r="M687" s="420" t="s">
        <v>7205</v>
      </c>
      <c r="N687" s="420" t="s">
        <v>7206</v>
      </c>
      <c r="O687" s="421"/>
      <c r="P687" s="421"/>
      <c r="Q687" s="419">
        <v>0.5</v>
      </c>
      <c r="R687" s="419"/>
    </row>
    <row r="688" ht="12.75" customHeight="1" spans="1:18">
      <c r="A688" s="420">
        <v>17</v>
      </c>
      <c r="B688" s="421" t="s">
        <v>7667</v>
      </c>
      <c r="C688" s="421"/>
      <c r="D688" s="421"/>
      <c r="E688" s="418" t="s">
        <v>294</v>
      </c>
      <c r="F688" s="416" t="s">
        <v>3022</v>
      </c>
      <c r="G688" s="420"/>
      <c r="H688" s="420" t="s">
        <v>1250</v>
      </c>
      <c r="I688" s="421"/>
      <c r="J688" s="420" t="s">
        <v>7204</v>
      </c>
      <c r="K688" s="420" t="s">
        <v>1016</v>
      </c>
      <c r="L688" s="421"/>
      <c r="M688" s="420" t="s">
        <v>7205</v>
      </c>
      <c r="N688" s="420" t="s">
        <v>7206</v>
      </c>
      <c r="O688" s="421"/>
      <c r="P688" s="421"/>
      <c r="Q688" s="419">
        <v>0.5</v>
      </c>
      <c r="R688" s="419"/>
    </row>
    <row r="689" ht="12.75" customHeight="1" spans="1:18">
      <c r="A689" s="420">
        <v>1</v>
      </c>
      <c r="B689" s="421" t="s">
        <v>7668</v>
      </c>
      <c r="C689" s="421"/>
      <c r="D689" s="422"/>
      <c r="E689" s="418" t="s">
        <v>294</v>
      </c>
      <c r="F689" s="416" t="s">
        <v>3022</v>
      </c>
      <c r="G689" s="420"/>
      <c r="H689" s="420" t="s">
        <v>1348</v>
      </c>
      <c r="I689" s="421"/>
      <c r="J689" s="420" t="s">
        <v>7204</v>
      </c>
      <c r="K689" s="420" t="s">
        <v>1016</v>
      </c>
      <c r="L689" s="421"/>
      <c r="M689" s="420" t="s">
        <v>7205</v>
      </c>
      <c r="N689" s="420" t="s">
        <v>7206</v>
      </c>
      <c r="O689" s="421"/>
      <c r="P689" s="421"/>
      <c r="Q689" s="419">
        <v>0.5</v>
      </c>
      <c r="R689" s="419"/>
    </row>
    <row r="690" ht="12.75" customHeight="1" spans="1:18">
      <c r="A690" s="416">
        <v>2</v>
      </c>
      <c r="B690" s="421" t="s">
        <v>7669</v>
      </c>
      <c r="C690" s="421"/>
      <c r="D690" s="422"/>
      <c r="E690" s="418" t="s">
        <v>294</v>
      </c>
      <c r="F690" s="416" t="s">
        <v>3022</v>
      </c>
      <c r="G690" s="420"/>
      <c r="H690" s="420" t="s">
        <v>1348</v>
      </c>
      <c r="I690" s="421"/>
      <c r="J690" s="420" t="s">
        <v>7204</v>
      </c>
      <c r="K690" s="420" t="s">
        <v>1016</v>
      </c>
      <c r="L690" s="421"/>
      <c r="M690" s="420" t="s">
        <v>7205</v>
      </c>
      <c r="N690" s="420" t="s">
        <v>7206</v>
      </c>
      <c r="O690" s="421"/>
      <c r="P690" s="421"/>
      <c r="Q690" s="419">
        <v>0.5</v>
      </c>
      <c r="R690" s="419"/>
    </row>
    <row r="691" ht="12.75" customHeight="1" spans="1:18">
      <c r="A691" s="416">
        <v>4</v>
      </c>
      <c r="B691" s="421" t="s">
        <v>7670</v>
      </c>
      <c r="C691" s="421"/>
      <c r="D691" s="422"/>
      <c r="E691" s="418" t="s">
        <v>294</v>
      </c>
      <c r="F691" s="416" t="s">
        <v>3022</v>
      </c>
      <c r="G691" s="420"/>
      <c r="H691" s="420" t="s">
        <v>1348</v>
      </c>
      <c r="I691" s="421" t="s">
        <v>7671</v>
      </c>
      <c r="J691" s="420" t="s">
        <v>7204</v>
      </c>
      <c r="K691" s="420" t="s">
        <v>1016</v>
      </c>
      <c r="L691" s="421"/>
      <c r="M691" s="420" t="s">
        <v>7205</v>
      </c>
      <c r="N691" s="420" t="s">
        <v>7206</v>
      </c>
      <c r="O691" s="421"/>
      <c r="P691" s="421"/>
      <c r="Q691" s="419">
        <v>0.5</v>
      </c>
      <c r="R691" s="419"/>
    </row>
    <row r="692" ht="12.75" customHeight="1" spans="1:18">
      <c r="A692" s="420">
        <v>5</v>
      </c>
      <c r="B692" s="421" t="s">
        <v>7672</v>
      </c>
      <c r="C692" s="421"/>
      <c r="D692" s="422"/>
      <c r="E692" s="418" t="s">
        <v>294</v>
      </c>
      <c r="F692" s="416" t="s">
        <v>3022</v>
      </c>
      <c r="G692" s="420"/>
      <c r="H692" s="420" t="s">
        <v>1348</v>
      </c>
      <c r="I692" s="421" t="s">
        <v>7671</v>
      </c>
      <c r="J692" s="420" t="s">
        <v>7204</v>
      </c>
      <c r="K692" s="420" t="s">
        <v>1016</v>
      </c>
      <c r="L692" s="421"/>
      <c r="M692" s="420" t="s">
        <v>7205</v>
      </c>
      <c r="N692" s="420" t="s">
        <v>7206</v>
      </c>
      <c r="O692" s="421"/>
      <c r="P692" s="421"/>
      <c r="Q692" s="419">
        <v>0.5</v>
      </c>
      <c r="R692" s="419"/>
    </row>
    <row r="693" ht="12.75" customHeight="1" spans="1:18">
      <c r="A693" s="416">
        <v>6</v>
      </c>
      <c r="B693" s="421" t="s">
        <v>7673</v>
      </c>
      <c r="C693" s="421"/>
      <c r="D693" s="422"/>
      <c r="E693" s="418" t="s">
        <v>294</v>
      </c>
      <c r="F693" s="416" t="s">
        <v>3022</v>
      </c>
      <c r="G693" s="420"/>
      <c r="H693" s="420" t="s">
        <v>1348</v>
      </c>
      <c r="I693" s="421" t="s">
        <v>7671</v>
      </c>
      <c r="J693" s="420" t="s">
        <v>7204</v>
      </c>
      <c r="K693" s="420" t="s">
        <v>1016</v>
      </c>
      <c r="L693" s="421"/>
      <c r="M693" s="420" t="s">
        <v>7205</v>
      </c>
      <c r="N693" s="420" t="s">
        <v>7206</v>
      </c>
      <c r="O693" s="421"/>
      <c r="P693" s="421"/>
      <c r="Q693" s="419">
        <v>0.5</v>
      </c>
      <c r="R693" s="419"/>
    </row>
    <row r="694" ht="12.75" customHeight="1" spans="1:18">
      <c r="A694" s="420">
        <v>7</v>
      </c>
      <c r="B694" s="421" t="s">
        <v>7674</v>
      </c>
      <c r="C694" s="421"/>
      <c r="D694" s="422"/>
      <c r="E694" s="418" t="s">
        <v>294</v>
      </c>
      <c r="F694" s="416" t="s">
        <v>3022</v>
      </c>
      <c r="G694" s="420"/>
      <c r="H694" s="420" t="s">
        <v>1348</v>
      </c>
      <c r="I694" s="421" t="s">
        <v>7671</v>
      </c>
      <c r="J694" s="420" t="s">
        <v>7204</v>
      </c>
      <c r="K694" s="420" t="s">
        <v>1016</v>
      </c>
      <c r="L694" s="421"/>
      <c r="M694" s="420" t="s">
        <v>7205</v>
      </c>
      <c r="N694" s="420" t="s">
        <v>7206</v>
      </c>
      <c r="O694" s="421"/>
      <c r="P694" s="421"/>
      <c r="Q694" s="419">
        <v>0.5</v>
      </c>
      <c r="R694" s="419"/>
    </row>
    <row r="695" ht="12.75" customHeight="1" spans="1:18">
      <c r="A695" s="416">
        <v>8</v>
      </c>
      <c r="B695" s="421" t="s">
        <v>7675</v>
      </c>
      <c r="C695" s="421"/>
      <c r="D695" s="422"/>
      <c r="E695" s="418" t="s">
        <v>294</v>
      </c>
      <c r="F695" s="416" t="s">
        <v>3022</v>
      </c>
      <c r="G695" s="420"/>
      <c r="H695" s="420" t="s">
        <v>1348</v>
      </c>
      <c r="I695" s="421" t="s">
        <v>7671</v>
      </c>
      <c r="J695" s="420" t="s">
        <v>7204</v>
      </c>
      <c r="K695" s="420" t="s">
        <v>1016</v>
      </c>
      <c r="L695" s="421"/>
      <c r="M695" s="420" t="s">
        <v>7205</v>
      </c>
      <c r="N695" s="420" t="s">
        <v>7206</v>
      </c>
      <c r="O695" s="421"/>
      <c r="P695" s="421"/>
      <c r="Q695" s="419">
        <v>0.5</v>
      </c>
      <c r="R695" s="419"/>
    </row>
    <row r="696" ht="12.75" customHeight="1" spans="1:18">
      <c r="A696" s="420">
        <v>9</v>
      </c>
      <c r="B696" s="421" t="s">
        <v>7676</v>
      </c>
      <c r="C696" s="421"/>
      <c r="D696" s="422"/>
      <c r="E696" s="418" t="s">
        <v>294</v>
      </c>
      <c r="F696" s="416" t="s">
        <v>3022</v>
      </c>
      <c r="G696" s="420"/>
      <c r="H696" s="420" t="s">
        <v>1348</v>
      </c>
      <c r="I696" s="421"/>
      <c r="J696" s="420" t="s">
        <v>7204</v>
      </c>
      <c r="K696" s="420" t="s">
        <v>1016</v>
      </c>
      <c r="L696" s="421"/>
      <c r="M696" s="420" t="s">
        <v>7205</v>
      </c>
      <c r="N696" s="420" t="s">
        <v>7206</v>
      </c>
      <c r="O696" s="421"/>
      <c r="P696" s="421"/>
      <c r="Q696" s="419">
        <v>0.5</v>
      </c>
      <c r="R696" s="419"/>
    </row>
    <row r="697" ht="12.75" customHeight="1" spans="1:18">
      <c r="A697" s="416">
        <v>10</v>
      </c>
      <c r="B697" s="421" t="s">
        <v>7677</v>
      </c>
      <c r="C697" s="421"/>
      <c r="D697" s="422"/>
      <c r="E697" s="418" t="s">
        <v>294</v>
      </c>
      <c r="F697" s="416" t="s">
        <v>3022</v>
      </c>
      <c r="G697" s="420"/>
      <c r="H697" s="420" t="s">
        <v>1348</v>
      </c>
      <c r="I697" s="421"/>
      <c r="J697" s="420" t="s">
        <v>7204</v>
      </c>
      <c r="K697" s="420" t="s">
        <v>1016</v>
      </c>
      <c r="L697" s="421"/>
      <c r="M697" s="420" t="s">
        <v>7205</v>
      </c>
      <c r="N697" s="420" t="s">
        <v>7206</v>
      </c>
      <c r="O697" s="421"/>
      <c r="P697" s="421"/>
      <c r="Q697" s="419">
        <v>0.5</v>
      </c>
      <c r="R697" s="419"/>
    </row>
    <row r="698" ht="12.75" customHeight="1" spans="1:18">
      <c r="A698" s="420">
        <v>11</v>
      </c>
      <c r="B698" s="421" t="s">
        <v>7678</v>
      </c>
      <c r="C698" s="421"/>
      <c r="D698" s="422"/>
      <c r="E698" s="418" t="s">
        <v>294</v>
      </c>
      <c r="F698" s="416" t="s">
        <v>3022</v>
      </c>
      <c r="G698" s="420"/>
      <c r="H698" s="420" t="s">
        <v>1348</v>
      </c>
      <c r="I698" s="421" t="s">
        <v>7671</v>
      </c>
      <c r="J698" s="420" t="s">
        <v>7204</v>
      </c>
      <c r="K698" s="420" t="s">
        <v>1016</v>
      </c>
      <c r="L698" s="421"/>
      <c r="M698" s="420" t="s">
        <v>7205</v>
      </c>
      <c r="N698" s="420" t="s">
        <v>7206</v>
      </c>
      <c r="O698" s="421"/>
      <c r="P698" s="421"/>
      <c r="Q698" s="419">
        <v>0.5</v>
      </c>
      <c r="R698" s="419"/>
    </row>
    <row r="699" ht="12.75" customHeight="1" spans="1:18">
      <c r="A699" s="420">
        <v>13</v>
      </c>
      <c r="B699" s="421" t="s">
        <v>7679</v>
      </c>
      <c r="C699" s="421"/>
      <c r="D699" s="422"/>
      <c r="E699" s="418" t="s">
        <v>294</v>
      </c>
      <c r="F699" s="416" t="s">
        <v>3022</v>
      </c>
      <c r="G699" s="420"/>
      <c r="H699" s="420" t="s">
        <v>1348</v>
      </c>
      <c r="I699" s="421"/>
      <c r="J699" s="420" t="s">
        <v>7204</v>
      </c>
      <c r="K699" s="420" t="s">
        <v>1016</v>
      </c>
      <c r="L699" s="421"/>
      <c r="M699" s="420" t="s">
        <v>7205</v>
      </c>
      <c r="N699" s="420" t="s">
        <v>7206</v>
      </c>
      <c r="O699" s="421"/>
      <c r="P699" s="421"/>
      <c r="Q699" s="419">
        <v>0.5</v>
      </c>
      <c r="R699" s="419"/>
    </row>
    <row r="700" ht="12.75" customHeight="1" spans="1:18">
      <c r="A700" s="416">
        <v>14</v>
      </c>
      <c r="B700" s="421" t="s">
        <v>7680</v>
      </c>
      <c r="C700" s="421"/>
      <c r="D700" s="422"/>
      <c r="E700" s="418" t="s">
        <v>294</v>
      </c>
      <c r="F700" s="416" t="s">
        <v>3022</v>
      </c>
      <c r="G700" s="420"/>
      <c r="H700" s="420" t="s">
        <v>1348</v>
      </c>
      <c r="I700" s="421" t="s">
        <v>7671</v>
      </c>
      <c r="J700" s="420" t="s">
        <v>7204</v>
      </c>
      <c r="K700" s="420" t="s">
        <v>1016</v>
      </c>
      <c r="L700" s="421"/>
      <c r="M700" s="420" t="s">
        <v>7205</v>
      </c>
      <c r="N700" s="420" t="s">
        <v>7206</v>
      </c>
      <c r="O700" s="421"/>
      <c r="P700" s="421"/>
      <c r="Q700" s="419">
        <v>0.5</v>
      </c>
      <c r="R700" s="419"/>
    </row>
    <row r="701" ht="12.75" customHeight="1" spans="1:18">
      <c r="A701" s="420">
        <v>15</v>
      </c>
      <c r="B701" s="421" t="s">
        <v>7681</v>
      </c>
      <c r="C701" s="421"/>
      <c r="D701" s="422"/>
      <c r="E701" s="418" t="s">
        <v>294</v>
      </c>
      <c r="F701" s="416" t="s">
        <v>3022</v>
      </c>
      <c r="G701" s="420"/>
      <c r="H701" s="420" t="s">
        <v>1348</v>
      </c>
      <c r="I701" s="421"/>
      <c r="J701" s="420" t="s">
        <v>7204</v>
      </c>
      <c r="K701" s="420" t="s">
        <v>1016</v>
      </c>
      <c r="L701" s="421"/>
      <c r="M701" s="420" t="s">
        <v>7205</v>
      </c>
      <c r="N701" s="420" t="s">
        <v>7206</v>
      </c>
      <c r="O701" s="421"/>
      <c r="P701" s="421"/>
      <c r="Q701" s="419">
        <v>0.5</v>
      </c>
      <c r="R701" s="419"/>
    </row>
    <row r="702" ht="12.75" customHeight="1" spans="1:18">
      <c r="A702" s="416">
        <v>16</v>
      </c>
      <c r="B702" s="421" t="s">
        <v>7682</v>
      </c>
      <c r="C702" s="421"/>
      <c r="D702" s="422"/>
      <c r="E702" s="418" t="s">
        <v>294</v>
      </c>
      <c r="F702" s="416" t="s">
        <v>3022</v>
      </c>
      <c r="G702" s="420"/>
      <c r="H702" s="420" t="s">
        <v>1348</v>
      </c>
      <c r="I702" s="421"/>
      <c r="J702" s="420" t="s">
        <v>7204</v>
      </c>
      <c r="K702" s="420" t="s">
        <v>1016</v>
      </c>
      <c r="L702" s="421"/>
      <c r="M702" s="420" t="s">
        <v>7205</v>
      </c>
      <c r="N702" s="420" t="s">
        <v>7206</v>
      </c>
      <c r="O702" s="421"/>
      <c r="P702" s="421"/>
      <c r="Q702" s="419">
        <v>0.5</v>
      </c>
      <c r="R702" s="419"/>
    </row>
    <row r="703" ht="12.75" customHeight="1" spans="1:18">
      <c r="A703" s="416">
        <v>20</v>
      </c>
      <c r="B703" s="421" t="s">
        <v>7683</v>
      </c>
      <c r="C703" s="417"/>
      <c r="D703" s="418"/>
      <c r="E703" s="418" t="s">
        <v>294</v>
      </c>
      <c r="F703" s="416" t="s">
        <v>3022</v>
      </c>
      <c r="G703" s="438">
        <v>45416</v>
      </c>
      <c r="H703" s="420" t="s">
        <v>1348</v>
      </c>
      <c r="I703" s="416"/>
      <c r="J703" s="431" t="s">
        <v>1323</v>
      </c>
      <c r="K703" s="416" t="s">
        <v>2450</v>
      </c>
      <c r="L703" s="417"/>
      <c r="M703" s="416" t="s">
        <v>7252</v>
      </c>
      <c r="N703" s="416" t="s">
        <v>7253</v>
      </c>
      <c r="O703" s="431"/>
      <c r="P703" s="417"/>
      <c r="Q703" s="419">
        <v>0.5</v>
      </c>
      <c r="R703" s="419"/>
    </row>
    <row r="704" ht="12.75" customHeight="1" spans="1:18">
      <c r="A704" s="420">
        <v>21</v>
      </c>
      <c r="B704" s="421" t="s">
        <v>7684</v>
      </c>
      <c r="C704" s="417"/>
      <c r="D704" s="418"/>
      <c r="E704" s="418" t="s">
        <v>294</v>
      </c>
      <c r="F704" s="416" t="s">
        <v>3022</v>
      </c>
      <c r="G704" s="438">
        <v>45416</v>
      </c>
      <c r="H704" s="420" t="s">
        <v>1348</v>
      </c>
      <c r="I704" s="416"/>
      <c r="J704" s="431" t="s">
        <v>1323</v>
      </c>
      <c r="K704" s="416" t="s">
        <v>2450</v>
      </c>
      <c r="L704" s="417"/>
      <c r="M704" s="416" t="s">
        <v>7252</v>
      </c>
      <c r="N704" s="416" t="s">
        <v>7253</v>
      </c>
      <c r="O704" s="431"/>
      <c r="P704" s="417"/>
      <c r="Q704" s="419">
        <v>0.5</v>
      </c>
      <c r="R704" s="419"/>
    </row>
    <row r="705" ht="12.75" customHeight="1" spans="1:18">
      <c r="A705" s="416">
        <v>22</v>
      </c>
      <c r="B705" s="421" t="s">
        <v>7685</v>
      </c>
      <c r="C705" s="417"/>
      <c r="D705" s="418"/>
      <c r="E705" s="418" t="s">
        <v>294</v>
      </c>
      <c r="F705" s="416" t="s">
        <v>3022</v>
      </c>
      <c r="G705" s="438">
        <v>45416</v>
      </c>
      <c r="H705" s="420" t="s">
        <v>1348</v>
      </c>
      <c r="I705" s="416"/>
      <c r="J705" s="431" t="s">
        <v>1323</v>
      </c>
      <c r="K705" s="416" t="s">
        <v>2450</v>
      </c>
      <c r="L705" s="417"/>
      <c r="M705" s="416" t="s">
        <v>7252</v>
      </c>
      <c r="N705" s="416" t="s">
        <v>7253</v>
      </c>
      <c r="O705" s="431"/>
      <c r="P705" s="417"/>
      <c r="Q705" s="419">
        <v>0.5</v>
      </c>
      <c r="R705" s="419"/>
    </row>
    <row r="706" ht="12.75" customHeight="1" spans="1:18">
      <c r="A706" s="420">
        <v>23</v>
      </c>
      <c r="B706" s="421" t="s">
        <v>7686</v>
      </c>
      <c r="C706" s="417"/>
      <c r="D706" s="418"/>
      <c r="E706" s="418" t="s">
        <v>294</v>
      </c>
      <c r="F706" s="416" t="s">
        <v>3022</v>
      </c>
      <c r="G706" s="438">
        <v>45416</v>
      </c>
      <c r="H706" s="420" t="s">
        <v>1348</v>
      </c>
      <c r="I706" s="416"/>
      <c r="J706" s="431" t="s">
        <v>1323</v>
      </c>
      <c r="K706" s="416" t="s">
        <v>2450</v>
      </c>
      <c r="L706" s="417"/>
      <c r="M706" s="416" t="s">
        <v>7252</v>
      </c>
      <c r="N706" s="416" t="s">
        <v>7253</v>
      </c>
      <c r="O706" s="431"/>
      <c r="P706" s="417"/>
      <c r="Q706" s="419">
        <v>0.5</v>
      </c>
      <c r="R706" s="419"/>
    </row>
    <row r="707" ht="12.75" customHeight="1" spans="1:18">
      <c r="A707" s="416">
        <v>26</v>
      </c>
      <c r="B707" s="421" t="s">
        <v>7687</v>
      </c>
      <c r="C707" s="417"/>
      <c r="D707" s="418"/>
      <c r="E707" s="418" t="s">
        <v>294</v>
      </c>
      <c r="F707" s="416" t="s">
        <v>3022</v>
      </c>
      <c r="G707" s="431" t="s">
        <v>5239</v>
      </c>
      <c r="H707" s="420" t="s">
        <v>1348</v>
      </c>
      <c r="I707" s="416"/>
      <c r="J707" s="431" t="s">
        <v>1323</v>
      </c>
      <c r="K707" s="416" t="s">
        <v>2450</v>
      </c>
      <c r="L707" s="417"/>
      <c r="M707" s="416" t="s">
        <v>7252</v>
      </c>
      <c r="N707" s="416" t="s">
        <v>7253</v>
      </c>
      <c r="O707" s="431" t="s">
        <v>7688</v>
      </c>
      <c r="P707" s="417"/>
      <c r="Q707" s="419">
        <v>0.5</v>
      </c>
      <c r="R707" s="419"/>
    </row>
    <row r="708" ht="12.75" customHeight="1" spans="1:18">
      <c r="A708" s="420">
        <v>27</v>
      </c>
      <c r="B708" s="421" t="s">
        <v>7689</v>
      </c>
      <c r="C708" s="417"/>
      <c r="D708" s="418"/>
      <c r="E708" s="418" t="s">
        <v>294</v>
      </c>
      <c r="F708" s="416" t="s">
        <v>3022</v>
      </c>
      <c r="G708" s="431" t="s">
        <v>5239</v>
      </c>
      <c r="H708" s="420" t="s">
        <v>1348</v>
      </c>
      <c r="I708" s="416"/>
      <c r="J708" s="431" t="s">
        <v>1323</v>
      </c>
      <c r="K708" s="416" t="s">
        <v>2450</v>
      </c>
      <c r="L708" s="417"/>
      <c r="M708" s="416" t="s">
        <v>7252</v>
      </c>
      <c r="N708" s="416" t="s">
        <v>7253</v>
      </c>
      <c r="O708" s="431" t="s">
        <v>7690</v>
      </c>
      <c r="P708" s="417"/>
      <c r="Q708" s="419">
        <v>0.5</v>
      </c>
      <c r="R708" s="419"/>
    </row>
    <row r="709" ht="12.75" customHeight="1" spans="1:18">
      <c r="A709" s="439" t="s">
        <v>7691</v>
      </c>
      <c r="B709" s="440" t="s">
        <v>7692</v>
      </c>
      <c r="C709" s="441">
        <f>COUNTA($B$314:$B$315)</f>
        <v>0</v>
      </c>
      <c r="D709" s="442"/>
      <c r="E709" s="442"/>
      <c r="F709" s="416"/>
      <c r="G709" s="443"/>
      <c r="H709" s="443"/>
      <c r="I709" s="441"/>
      <c r="J709" s="443"/>
      <c r="K709" s="443"/>
      <c r="L709" s="441"/>
      <c r="M709" s="443"/>
      <c r="N709" s="443"/>
      <c r="O709" s="441"/>
      <c r="P709" s="441"/>
      <c r="Q709" s="444"/>
      <c r="R709" s="444"/>
    </row>
    <row r="710" ht="12.75" customHeight="1" spans="1:18">
      <c r="A710" s="420">
        <v>1</v>
      </c>
      <c r="B710" s="421" t="s">
        <v>7693</v>
      </c>
      <c r="C710" s="421" t="s">
        <v>7694</v>
      </c>
      <c r="D710" s="421"/>
      <c r="E710" s="418" t="s">
        <v>294</v>
      </c>
      <c r="F710" s="416" t="s">
        <v>3022</v>
      </c>
      <c r="G710" s="420"/>
      <c r="H710" s="420" t="s">
        <v>5049</v>
      </c>
      <c r="I710" s="421"/>
      <c r="J710" s="420" t="s">
        <v>7204</v>
      </c>
      <c r="K710" s="420" t="s">
        <v>1016</v>
      </c>
      <c r="L710" s="421"/>
      <c r="M710" s="420" t="s">
        <v>7205</v>
      </c>
      <c r="N710" s="420" t="s">
        <v>7206</v>
      </c>
      <c r="O710" s="421"/>
      <c r="P710" s="421"/>
      <c r="Q710" s="419">
        <v>0.5</v>
      </c>
      <c r="R710" s="419"/>
    </row>
    <row r="711" ht="12.75" customHeight="1" spans="1:18">
      <c r="A711" s="420">
        <f t="shared" ref="A711:A722" si="12">1+A710</f>
        <v>2</v>
      </c>
      <c r="B711" s="421" t="s">
        <v>7695</v>
      </c>
      <c r="C711" s="421" t="s">
        <v>7696</v>
      </c>
      <c r="D711" s="421"/>
      <c r="E711" s="418" t="s">
        <v>294</v>
      </c>
      <c r="F711" s="416" t="s">
        <v>3022</v>
      </c>
      <c r="G711" s="420"/>
      <c r="H711" s="420" t="s">
        <v>5049</v>
      </c>
      <c r="I711" s="421"/>
      <c r="J711" s="420" t="s">
        <v>7204</v>
      </c>
      <c r="K711" s="420" t="s">
        <v>1016</v>
      </c>
      <c r="L711" s="421"/>
      <c r="M711" s="420" t="s">
        <v>7205</v>
      </c>
      <c r="N711" s="420" t="s">
        <v>7206</v>
      </c>
      <c r="O711" s="421"/>
      <c r="P711" s="421"/>
      <c r="Q711" s="419">
        <v>0.5</v>
      </c>
      <c r="R711" s="419"/>
    </row>
    <row r="712" ht="12.75" customHeight="1" spans="1:18">
      <c r="A712" s="420">
        <f t="shared" si="12"/>
        <v>3</v>
      </c>
      <c r="B712" s="421" t="s">
        <v>7697</v>
      </c>
      <c r="C712" s="421" t="s">
        <v>7698</v>
      </c>
      <c r="D712" s="421"/>
      <c r="E712" s="418" t="s">
        <v>294</v>
      </c>
      <c r="F712" s="416" t="s">
        <v>3022</v>
      </c>
      <c r="G712" s="420"/>
      <c r="H712" s="420" t="s">
        <v>5049</v>
      </c>
      <c r="I712" s="421"/>
      <c r="J712" s="420" t="s">
        <v>7204</v>
      </c>
      <c r="K712" s="420" t="s">
        <v>1016</v>
      </c>
      <c r="L712" s="421"/>
      <c r="M712" s="420" t="s">
        <v>7205</v>
      </c>
      <c r="N712" s="420" t="s">
        <v>7206</v>
      </c>
      <c r="O712" s="421"/>
      <c r="P712" s="421"/>
      <c r="Q712" s="419">
        <v>0.5</v>
      </c>
      <c r="R712" s="419"/>
    </row>
    <row r="713" ht="12.75" customHeight="1" spans="1:18">
      <c r="A713" s="420">
        <f t="shared" si="12"/>
        <v>4</v>
      </c>
      <c r="B713" s="421" t="s">
        <v>7699</v>
      </c>
      <c r="C713" s="421" t="s">
        <v>7700</v>
      </c>
      <c r="D713" s="421"/>
      <c r="E713" s="418" t="s">
        <v>294</v>
      </c>
      <c r="F713" s="416" t="s">
        <v>3022</v>
      </c>
      <c r="G713" s="420"/>
      <c r="H713" s="420" t="s">
        <v>5049</v>
      </c>
      <c r="I713" s="421"/>
      <c r="J713" s="420" t="s">
        <v>7204</v>
      </c>
      <c r="K713" s="420" t="s">
        <v>1016</v>
      </c>
      <c r="L713" s="421"/>
      <c r="M713" s="420" t="s">
        <v>7205</v>
      </c>
      <c r="N713" s="420" t="s">
        <v>7206</v>
      </c>
      <c r="O713" s="421"/>
      <c r="P713" s="421"/>
      <c r="Q713" s="419">
        <v>0.5</v>
      </c>
      <c r="R713" s="419"/>
    </row>
    <row r="714" ht="12.75" customHeight="1" spans="1:18">
      <c r="A714" s="420">
        <f t="shared" si="12"/>
        <v>5</v>
      </c>
      <c r="B714" s="421" t="s">
        <v>7701</v>
      </c>
      <c r="C714" s="421" t="s">
        <v>7702</v>
      </c>
      <c r="D714" s="421"/>
      <c r="E714" s="418" t="s">
        <v>294</v>
      </c>
      <c r="F714" s="416" t="s">
        <v>3022</v>
      </c>
      <c r="G714" s="420"/>
      <c r="H714" s="420" t="s">
        <v>5049</v>
      </c>
      <c r="I714" s="421"/>
      <c r="J714" s="420" t="s">
        <v>7204</v>
      </c>
      <c r="K714" s="420" t="s">
        <v>1016</v>
      </c>
      <c r="L714" s="421"/>
      <c r="M714" s="420" t="s">
        <v>7205</v>
      </c>
      <c r="N714" s="420" t="s">
        <v>7206</v>
      </c>
      <c r="O714" s="421"/>
      <c r="P714" s="421"/>
      <c r="Q714" s="419">
        <v>0.5</v>
      </c>
      <c r="R714" s="419"/>
    </row>
    <row r="715" ht="12.75" customHeight="1" spans="1:18">
      <c r="A715" s="420">
        <f t="shared" si="12"/>
        <v>6</v>
      </c>
      <c r="B715" s="421" t="s">
        <v>7703</v>
      </c>
      <c r="C715" s="421" t="s">
        <v>7704</v>
      </c>
      <c r="D715" s="421"/>
      <c r="E715" s="418" t="s">
        <v>294</v>
      </c>
      <c r="F715" s="416" t="s">
        <v>3022</v>
      </c>
      <c r="G715" s="420"/>
      <c r="H715" s="420" t="s">
        <v>5049</v>
      </c>
      <c r="I715" s="421"/>
      <c r="J715" s="420" t="s">
        <v>7204</v>
      </c>
      <c r="K715" s="420" t="s">
        <v>1016</v>
      </c>
      <c r="L715" s="421"/>
      <c r="M715" s="420" t="s">
        <v>7205</v>
      </c>
      <c r="N715" s="420" t="s">
        <v>7206</v>
      </c>
      <c r="O715" s="421"/>
      <c r="P715" s="421"/>
      <c r="Q715" s="419">
        <v>0.5</v>
      </c>
      <c r="R715" s="419"/>
    </row>
    <row r="716" ht="12.75" customHeight="1" spans="1:18">
      <c r="A716" s="420">
        <f t="shared" si="12"/>
        <v>7</v>
      </c>
      <c r="B716" s="421" t="s">
        <v>7705</v>
      </c>
      <c r="C716" s="421" t="s">
        <v>7706</v>
      </c>
      <c r="D716" s="421"/>
      <c r="E716" s="418" t="s">
        <v>294</v>
      </c>
      <c r="F716" s="416" t="s">
        <v>3022</v>
      </c>
      <c r="G716" s="420"/>
      <c r="H716" s="420" t="s">
        <v>5049</v>
      </c>
      <c r="I716" s="421"/>
      <c r="J716" s="420" t="s">
        <v>7204</v>
      </c>
      <c r="K716" s="420" t="s">
        <v>1016</v>
      </c>
      <c r="L716" s="421"/>
      <c r="M716" s="420" t="s">
        <v>7205</v>
      </c>
      <c r="N716" s="420" t="s">
        <v>7206</v>
      </c>
      <c r="O716" s="421"/>
      <c r="P716" s="421"/>
      <c r="Q716" s="419">
        <v>0.5</v>
      </c>
      <c r="R716" s="419"/>
    </row>
    <row r="717" ht="12.75" customHeight="1" spans="1:18">
      <c r="A717" s="420">
        <f t="shared" si="12"/>
        <v>8</v>
      </c>
      <c r="B717" s="421" t="s">
        <v>7707</v>
      </c>
      <c r="C717" s="421" t="s">
        <v>7708</v>
      </c>
      <c r="D717" s="421"/>
      <c r="E717" s="418" t="s">
        <v>294</v>
      </c>
      <c r="F717" s="416" t="s">
        <v>3022</v>
      </c>
      <c r="G717" s="420"/>
      <c r="H717" s="420" t="s">
        <v>5049</v>
      </c>
      <c r="I717" s="421"/>
      <c r="J717" s="420" t="s">
        <v>7204</v>
      </c>
      <c r="K717" s="420" t="s">
        <v>1016</v>
      </c>
      <c r="L717" s="421"/>
      <c r="M717" s="420" t="s">
        <v>7205</v>
      </c>
      <c r="N717" s="420" t="s">
        <v>7206</v>
      </c>
      <c r="O717" s="421"/>
      <c r="P717" s="421"/>
      <c r="Q717" s="419">
        <v>0.5</v>
      </c>
      <c r="R717" s="419"/>
    </row>
    <row r="718" ht="12.75" customHeight="1" spans="1:18">
      <c r="A718" s="420">
        <f t="shared" si="12"/>
        <v>9</v>
      </c>
      <c r="B718" s="435" t="s">
        <v>7709</v>
      </c>
      <c r="C718" s="435" t="s">
        <v>7710</v>
      </c>
      <c r="D718" s="435"/>
      <c r="E718" s="445" t="s">
        <v>294</v>
      </c>
      <c r="F718" s="416" t="s">
        <v>3022</v>
      </c>
      <c r="G718" s="446"/>
      <c r="H718" s="446" t="s">
        <v>5049</v>
      </c>
      <c r="I718" s="435"/>
      <c r="J718" s="446" t="s">
        <v>7204</v>
      </c>
      <c r="K718" s="446" t="s">
        <v>1016</v>
      </c>
      <c r="L718" s="435"/>
      <c r="M718" s="446" t="s">
        <v>7205</v>
      </c>
      <c r="N718" s="446" t="s">
        <v>7206</v>
      </c>
      <c r="O718" s="435"/>
      <c r="P718" s="435"/>
      <c r="Q718" s="419">
        <v>0.5</v>
      </c>
      <c r="R718" s="419"/>
    </row>
    <row r="719" ht="12.75" customHeight="1" spans="1:18">
      <c r="A719" s="420">
        <f t="shared" si="12"/>
        <v>10</v>
      </c>
      <c r="B719" s="435" t="s">
        <v>7711</v>
      </c>
      <c r="C719" s="435" t="s">
        <v>7712</v>
      </c>
      <c r="D719" s="435"/>
      <c r="E719" s="445" t="s">
        <v>294</v>
      </c>
      <c r="F719" s="416" t="s">
        <v>3022</v>
      </c>
      <c r="G719" s="446"/>
      <c r="H719" s="446" t="s">
        <v>5049</v>
      </c>
      <c r="I719" s="435"/>
      <c r="J719" s="446" t="s">
        <v>7204</v>
      </c>
      <c r="K719" s="446" t="s">
        <v>1016</v>
      </c>
      <c r="L719" s="435"/>
      <c r="M719" s="446" t="s">
        <v>7205</v>
      </c>
      <c r="N719" s="446" t="s">
        <v>7206</v>
      </c>
      <c r="O719" s="435"/>
      <c r="P719" s="435"/>
      <c r="Q719" s="419">
        <v>0.5</v>
      </c>
      <c r="R719" s="419"/>
    </row>
    <row r="720" ht="12.75" customHeight="1" spans="1:18">
      <c r="A720" s="420">
        <f t="shared" si="12"/>
        <v>11</v>
      </c>
      <c r="B720" s="435" t="s">
        <v>7713</v>
      </c>
      <c r="C720" s="435" t="s">
        <v>7714</v>
      </c>
      <c r="D720" s="435"/>
      <c r="E720" s="445" t="s">
        <v>294</v>
      </c>
      <c r="F720" s="416" t="s">
        <v>3022</v>
      </c>
      <c r="G720" s="446"/>
      <c r="H720" s="446" t="s">
        <v>5049</v>
      </c>
      <c r="I720" s="435"/>
      <c r="J720" s="446" t="s">
        <v>7204</v>
      </c>
      <c r="K720" s="446" t="s">
        <v>1016</v>
      </c>
      <c r="L720" s="435"/>
      <c r="M720" s="446" t="s">
        <v>7205</v>
      </c>
      <c r="N720" s="446" t="s">
        <v>7206</v>
      </c>
      <c r="O720" s="435"/>
      <c r="P720" s="435"/>
      <c r="Q720" s="419">
        <v>0.5</v>
      </c>
      <c r="R720" s="419"/>
    </row>
    <row r="721" ht="12.75" customHeight="1" spans="1:18">
      <c r="A721" s="420">
        <f t="shared" si="12"/>
        <v>12</v>
      </c>
      <c r="B721" s="421" t="s">
        <v>7715</v>
      </c>
      <c r="C721" s="421" t="s">
        <v>7716</v>
      </c>
      <c r="D721" s="421"/>
      <c r="E721" s="418" t="s">
        <v>294</v>
      </c>
      <c r="F721" s="416" t="s">
        <v>3022</v>
      </c>
      <c r="G721" s="420"/>
      <c r="H721" s="420" t="s">
        <v>5049</v>
      </c>
      <c r="I721" s="421" t="s">
        <v>7448</v>
      </c>
      <c r="J721" s="420" t="s">
        <v>7204</v>
      </c>
      <c r="K721" s="420" t="s">
        <v>1016</v>
      </c>
      <c r="L721" s="421"/>
      <c r="M721" s="420" t="s">
        <v>7205</v>
      </c>
      <c r="N721" s="420" t="s">
        <v>7206</v>
      </c>
      <c r="O721" s="421"/>
      <c r="P721" s="421"/>
      <c r="Q721" s="419">
        <v>0.5</v>
      </c>
      <c r="R721" s="419"/>
    </row>
    <row r="722" ht="12.75" customHeight="1" spans="1:18">
      <c r="A722" s="420">
        <f t="shared" si="12"/>
        <v>13</v>
      </c>
      <c r="B722" s="421" t="s">
        <v>7717</v>
      </c>
      <c r="C722" s="421" t="s">
        <v>7718</v>
      </c>
      <c r="D722" s="421"/>
      <c r="E722" s="418" t="s">
        <v>294</v>
      </c>
      <c r="F722" s="416" t="s">
        <v>3022</v>
      </c>
      <c r="G722" s="420"/>
      <c r="H722" s="420" t="s">
        <v>5049</v>
      </c>
      <c r="I722" s="421" t="s">
        <v>7448</v>
      </c>
      <c r="J722" s="420" t="s">
        <v>7204</v>
      </c>
      <c r="K722" s="420" t="s">
        <v>1016</v>
      </c>
      <c r="L722" s="421"/>
      <c r="M722" s="420" t="s">
        <v>7205</v>
      </c>
      <c r="N722" s="420" t="s">
        <v>7206</v>
      </c>
      <c r="O722" s="421"/>
      <c r="P722" s="421"/>
      <c r="Q722" s="419">
        <v>0.5</v>
      </c>
      <c r="R722" s="419"/>
    </row>
    <row r="723" ht="12.75" customHeight="1" spans="1:18">
      <c r="A723" s="439" t="s">
        <v>7719</v>
      </c>
      <c r="B723" s="440" t="s">
        <v>7720</v>
      </c>
      <c r="C723" s="441">
        <f>COUNTA($B$153:$B$154)</f>
        <v>0</v>
      </c>
      <c r="D723" s="442"/>
      <c r="E723" s="442"/>
      <c r="F723" s="416" t="s">
        <v>3022</v>
      </c>
      <c r="G723" s="443"/>
      <c r="H723" s="443"/>
      <c r="I723" s="441"/>
      <c r="J723" s="443"/>
      <c r="K723" s="443"/>
      <c r="L723" s="441"/>
      <c r="M723" s="443"/>
      <c r="N723" s="443"/>
      <c r="O723" s="441"/>
      <c r="P723" s="441"/>
      <c r="Q723" s="444"/>
      <c r="R723" s="444"/>
    </row>
    <row r="724" ht="12.75" customHeight="1" spans="1:18">
      <c r="A724" s="420">
        <v>1</v>
      </c>
      <c r="B724" s="421" t="s">
        <v>7721</v>
      </c>
      <c r="C724" s="421"/>
      <c r="D724" s="418"/>
      <c r="E724" s="418" t="s">
        <v>294</v>
      </c>
      <c r="F724" s="416" t="s">
        <v>3022</v>
      </c>
      <c r="G724" s="420"/>
      <c r="H724" s="420" t="s">
        <v>7722</v>
      </c>
      <c r="I724" s="421"/>
      <c r="J724" s="420" t="s">
        <v>7204</v>
      </c>
      <c r="K724" s="420" t="s">
        <v>811</v>
      </c>
      <c r="L724" s="421"/>
      <c r="M724" s="420" t="s">
        <v>7205</v>
      </c>
      <c r="N724" s="420" t="s">
        <v>7206</v>
      </c>
      <c r="O724" s="421"/>
      <c r="P724" s="421"/>
      <c r="Q724" s="419">
        <v>0.5</v>
      </c>
      <c r="R724" s="419"/>
    </row>
    <row r="725" ht="12.75" customHeight="1" spans="1:18">
      <c r="A725" s="420">
        <v>2</v>
      </c>
      <c r="B725" s="421" t="s">
        <v>7723</v>
      </c>
      <c r="C725" s="421"/>
      <c r="D725" s="423"/>
      <c r="E725" s="418" t="s">
        <v>294</v>
      </c>
      <c r="F725" s="416" t="s">
        <v>3022</v>
      </c>
      <c r="G725" s="424"/>
      <c r="H725" s="420" t="s">
        <v>7722</v>
      </c>
      <c r="I725" s="425"/>
      <c r="J725" s="420" t="s">
        <v>7204</v>
      </c>
      <c r="K725" s="420" t="s">
        <v>811</v>
      </c>
      <c r="L725" s="421"/>
      <c r="M725" s="420" t="s">
        <v>7205</v>
      </c>
      <c r="N725" s="420" t="s">
        <v>7206</v>
      </c>
      <c r="O725" s="421"/>
      <c r="P725" s="421"/>
      <c r="Q725" s="419">
        <v>0.5</v>
      </c>
      <c r="R725" s="419"/>
    </row>
    <row r="726" ht="12.75" customHeight="1" spans="1:18">
      <c r="A726" s="420">
        <v>3</v>
      </c>
      <c r="B726" s="421" t="s">
        <v>7724</v>
      </c>
      <c r="C726" s="421"/>
      <c r="D726" s="423"/>
      <c r="E726" s="418" t="s">
        <v>294</v>
      </c>
      <c r="F726" s="416" t="s">
        <v>3022</v>
      </c>
      <c r="G726" s="424"/>
      <c r="H726" s="420" t="s">
        <v>7722</v>
      </c>
      <c r="I726" s="425" t="s">
        <v>7725</v>
      </c>
      <c r="J726" s="420" t="s">
        <v>7204</v>
      </c>
      <c r="K726" s="420" t="s">
        <v>811</v>
      </c>
      <c r="L726" s="421"/>
      <c r="M726" s="420" t="s">
        <v>7205</v>
      </c>
      <c r="N726" s="420" t="s">
        <v>7206</v>
      </c>
      <c r="O726" s="421"/>
      <c r="P726" s="421"/>
      <c r="Q726" s="419">
        <v>0.5</v>
      </c>
      <c r="R726" s="419"/>
    </row>
    <row r="727" ht="12.75" customHeight="1" spans="1:18">
      <c r="A727" s="420">
        <v>4</v>
      </c>
      <c r="B727" s="421" t="s">
        <v>7726</v>
      </c>
      <c r="C727" s="421"/>
      <c r="D727" s="423"/>
      <c r="E727" s="418" t="s">
        <v>294</v>
      </c>
      <c r="F727" s="416" t="s">
        <v>3022</v>
      </c>
      <c r="G727" s="424"/>
      <c r="H727" s="420" t="s">
        <v>7722</v>
      </c>
      <c r="I727" s="425" t="s">
        <v>7725</v>
      </c>
      <c r="J727" s="420" t="s">
        <v>7204</v>
      </c>
      <c r="K727" s="420" t="s">
        <v>811</v>
      </c>
      <c r="L727" s="421"/>
      <c r="M727" s="420" t="s">
        <v>7205</v>
      </c>
      <c r="N727" s="420" t="s">
        <v>7206</v>
      </c>
      <c r="O727" s="421"/>
      <c r="P727" s="421"/>
      <c r="Q727" s="419">
        <v>0.5</v>
      </c>
      <c r="R727" s="419"/>
    </row>
    <row r="728" ht="12.75" customHeight="1" spans="1:18">
      <c r="A728" s="420">
        <v>5</v>
      </c>
      <c r="B728" s="421" t="s">
        <v>7727</v>
      </c>
      <c r="C728" s="421"/>
      <c r="D728" s="423"/>
      <c r="E728" s="418" t="s">
        <v>294</v>
      </c>
      <c r="F728" s="416" t="s">
        <v>3022</v>
      </c>
      <c r="G728" s="424"/>
      <c r="H728" s="420" t="s">
        <v>7722</v>
      </c>
      <c r="I728" s="425"/>
      <c r="J728" s="420" t="s">
        <v>7204</v>
      </c>
      <c r="K728" s="420" t="s">
        <v>811</v>
      </c>
      <c r="L728" s="421"/>
      <c r="M728" s="420" t="s">
        <v>7205</v>
      </c>
      <c r="N728" s="420" t="s">
        <v>7206</v>
      </c>
      <c r="O728" s="421"/>
      <c r="P728" s="421"/>
      <c r="Q728" s="419">
        <v>0.5</v>
      </c>
      <c r="R728" s="419"/>
    </row>
    <row r="729" ht="12.75" customHeight="1" spans="1:18">
      <c r="A729" s="420">
        <v>6</v>
      </c>
      <c r="B729" s="421" t="s">
        <v>7728</v>
      </c>
      <c r="C729" s="421"/>
      <c r="D729" s="423"/>
      <c r="E729" s="418" t="s">
        <v>294</v>
      </c>
      <c r="F729" s="416" t="s">
        <v>3022</v>
      </c>
      <c r="G729" s="424"/>
      <c r="H729" s="420" t="s">
        <v>7722</v>
      </c>
      <c r="I729" s="425"/>
      <c r="J729" s="420" t="s">
        <v>7204</v>
      </c>
      <c r="K729" s="420" t="s">
        <v>811</v>
      </c>
      <c r="L729" s="421"/>
      <c r="M729" s="420" t="s">
        <v>7205</v>
      </c>
      <c r="N729" s="420" t="s">
        <v>7206</v>
      </c>
      <c r="O729" s="421"/>
      <c r="P729" s="421"/>
      <c r="Q729" s="419">
        <v>0.5</v>
      </c>
      <c r="R729" s="419"/>
    </row>
    <row r="730" ht="12.75" customHeight="1" spans="1:18">
      <c r="A730" s="420">
        <v>7</v>
      </c>
      <c r="B730" s="421" t="s">
        <v>7729</v>
      </c>
      <c r="C730" s="421"/>
      <c r="D730" s="423"/>
      <c r="E730" s="418" t="s">
        <v>294</v>
      </c>
      <c r="F730" s="416" t="s">
        <v>3022</v>
      </c>
      <c r="G730" s="424"/>
      <c r="H730" s="420" t="s">
        <v>7722</v>
      </c>
      <c r="I730" s="425" t="s">
        <v>7725</v>
      </c>
      <c r="J730" s="420" t="s">
        <v>7204</v>
      </c>
      <c r="K730" s="420" t="s">
        <v>811</v>
      </c>
      <c r="L730" s="421"/>
      <c r="M730" s="420" t="s">
        <v>7205</v>
      </c>
      <c r="N730" s="420" t="s">
        <v>7206</v>
      </c>
      <c r="O730" s="421"/>
      <c r="P730" s="421"/>
      <c r="Q730" s="419">
        <v>0.5</v>
      </c>
      <c r="R730" s="419"/>
    </row>
    <row r="731" ht="12.75" customHeight="1" spans="1:18">
      <c r="A731" s="420">
        <v>8</v>
      </c>
      <c r="B731" s="421" t="s">
        <v>7730</v>
      </c>
      <c r="C731" s="421"/>
      <c r="D731" s="423"/>
      <c r="E731" s="418" t="s">
        <v>294</v>
      </c>
      <c r="F731" s="416" t="s">
        <v>3022</v>
      </c>
      <c r="G731" s="424"/>
      <c r="H731" s="420" t="s">
        <v>7722</v>
      </c>
      <c r="I731" s="425"/>
      <c r="J731" s="420" t="s">
        <v>7204</v>
      </c>
      <c r="K731" s="420" t="s">
        <v>811</v>
      </c>
      <c r="L731" s="421"/>
      <c r="M731" s="420" t="s">
        <v>7205</v>
      </c>
      <c r="N731" s="420" t="s">
        <v>7206</v>
      </c>
      <c r="O731" s="421"/>
      <c r="P731" s="421"/>
      <c r="Q731" s="419">
        <v>0.5</v>
      </c>
      <c r="R731" s="419"/>
    </row>
    <row r="732" ht="12.75" customHeight="1" spans="1:18">
      <c r="A732" s="420">
        <v>9</v>
      </c>
      <c r="B732" s="447" t="s">
        <v>7731</v>
      </c>
      <c r="C732" s="421"/>
      <c r="D732" s="423"/>
      <c r="E732" s="418" t="s">
        <v>294</v>
      </c>
      <c r="F732" s="416" t="s">
        <v>3022</v>
      </c>
      <c r="G732" s="424"/>
      <c r="H732" s="420" t="s">
        <v>7722</v>
      </c>
      <c r="I732" s="425"/>
      <c r="J732" s="420" t="s">
        <v>7204</v>
      </c>
      <c r="K732" s="420" t="s">
        <v>811</v>
      </c>
      <c r="L732" s="421"/>
      <c r="M732" s="420" t="s">
        <v>7205</v>
      </c>
      <c r="N732" s="420" t="s">
        <v>7206</v>
      </c>
      <c r="O732" s="421"/>
      <c r="P732" s="421"/>
      <c r="Q732" s="419">
        <v>0.5</v>
      </c>
      <c r="R732" s="419"/>
    </row>
    <row r="733" ht="12.75" customHeight="1" spans="1:18">
      <c r="A733" s="420">
        <v>10</v>
      </c>
      <c r="B733" s="447" t="s">
        <v>7732</v>
      </c>
      <c r="C733" s="421"/>
      <c r="D733" s="423"/>
      <c r="E733" s="418" t="s">
        <v>294</v>
      </c>
      <c r="F733" s="416" t="s">
        <v>3022</v>
      </c>
      <c r="G733" s="424"/>
      <c r="H733" s="420" t="s">
        <v>7722</v>
      </c>
      <c r="I733" s="425"/>
      <c r="J733" s="420" t="s">
        <v>7204</v>
      </c>
      <c r="K733" s="420" t="s">
        <v>811</v>
      </c>
      <c r="L733" s="421"/>
      <c r="M733" s="420" t="s">
        <v>7205</v>
      </c>
      <c r="N733" s="420" t="s">
        <v>7206</v>
      </c>
      <c r="O733" s="421"/>
      <c r="P733" s="421"/>
      <c r="Q733" s="419">
        <v>0.5</v>
      </c>
      <c r="R733" s="419"/>
    </row>
    <row r="734" ht="12.75" customHeight="1" spans="1:18">
      <c r="A734" s="420">
        <v>11</v>
      </c>
      <c r="B734" s="421" t="s">
        <v>7733</v>
      </c>
      <c r="C734" s="421"/>
      <c r="D734" s="425"/>
      <c r="E734" s="418" t="s">
        <v>294</v>
      </c>
      <c r="F734" s="416" t="s">
        <v>3022</v>
      </c>
      <c r="G734" s="424" t="s">
        <v>2077</v>
      </c>
      <c r="H734" s="420" t="s">
        <v>7722</v>
      </c>
      <c r="I734" s="424"/>
      <c r="J734" s="420" t="s">
        <v>1323</v>
      </c>
      <c r="K734" s="420" t="s">
        <v>811</v>
      </c>
      <c r="L734" s="421"/>
      <c r="M734" s="420" t="s">
        <v>7252</v>
      </c>
      <c r="N734" s="420" t="s">
        <v>7253</v>
      </c>
      <c r="O734" s="420" t="s">
        <v>7734</v>
      </c>
      <c r="P734" s="421" t="s">
        <v>7735</v>
      </c>
      <c r="Q734" s="419">
        <v>0.5</v>
      </c>
      <c r="R734" s="419"/>
    </row>
    <row r="735" ht="12.75" customHeight="1" spans="1:18">
      <c r="A735" s="420">
        <v>12</v>
      </c>
      <c r="B735" s="421" t="s">
        <v>7736</v>
      </c>
      <c r="C735" s="421"/>
      <c r="D735" s="425"/>
      <c r="E735" s="418" t="s">
        <v>294</v>
      </c>
      <c r="F735" s="416" t="s">
        <v>3022</v>
      </c>
      <c r="G735" s="424"/>
      <c r="H735" s="420" t="s">
        <v>7722</v>
      </c>
      <c r="I735" s="424"/>
      <c r="J735" s="420" t="s">
        <v>1323</v>
      </c>
      <c r="K735" s="420" t="s">
        <v>811</v>
      </c>
      <c r="L735" s="421"/>
      <c r="M735" s="420" t="s">
        <v>7252</v>
      </c>
      <c r="N735" s="420" t="s">
        <v>7253</v>
      </c>
      <c r="O735" s="420" t="s">
        <v>7737</v>
      </c>
      <c r="P735" s="421" t="s">
        <v>7738</v>
      </c>
      <c r="Q735" s="419">
        <v>0.5</v>
      </c>
      <c r="R735" s="419"/>
    </row>
    <row r="736" ht="14.25" customHeight="1" spans="1:18">
      <c r="A736" s="420">
        <v>13</v>
      </c>
      <c r="B736" s="421" t="s">
        <v>7739</v>
      </c>
      <c r="C736" s="421"/>
      <c r="D736" s="425"/>
      <c r="E736" s="418" t="s">
        <v>294</v>
      </c>
      <c r="F736" s="416" t="s">
        <v>3022</v>
      </c>
      <c r="G736" s="424"/>
      <c r="H736" s="420" t="s">
        <v>7722</v>
      </c>
      <c r="I736" s="424"/>
      <c r="J736" s="420" t="s">
        <v>1323</v>
      </c>
      <c r="K736" s="420" t="s">
        <v>811</v>
      </c>
      <c r="L736" s="421"/>
      <c r="M736" s="420" t="s">
        <v>7252</v>
      </c>
      <c r="N736" s="420" t="s">
        <v>7253</v>
      </c>
      <c r="O736" s="420" t="s">
        <v>7740</v>
      </c>
      <c r="P736" s="421" t="s">
        <v>7741</v>
      </c>
      <c r="Q736" s="419">
        <v>0.5</v>
      </c>
      <c r="R736" s="419"/>
    </row>
    <row r="737" ht="12.75" customHeight="1" spans="1:18">
      <c r="A737" s="420">
        <v>14</v>
      </c>
      <c r="B737" s="421" t="s">
        <v>7742</v>
      </c>
      <c r="C737" s="421"/>
      <c r="D737" s="425"/>
      <c r="E737" s="418" t="s">
        <v>294</v>
      </c>
      <c r="F737" s="416" t="s">
        <v>3022</v>
      </c>
      <c r="G737" s="424"/>
      <c r="H737" s="420" t="s">
        <v>7722</v>
      </c>
      <c r="I737" s="424"/>
      <c r="J737" s="420" t="s">
        <v>1323</v>
      </c>
      <c r="K737" s="420" t="s">
        <v>811</v>
      </c>
      <c r="L737" s="421"/>
      <c r="M737" s="420" t="s">
        <v>7252</v>
      </c>
      <c r="N737" s="420" t="s">
        <v>7253</v>
      </c>
      <c r="O737" s="420" t="s">
        <v>7743</v>
      </c>
      <c r="P737" s="421" t="s">
        <v>7744</v>
      </c>
      <c r="Q737" s="419">
        <v>0.5</v>
      </c>
      <c r="R737" s="419"/>
    </row>
    <row r="738" ht="12.75" customHeight="1" spans="1:18">
      <c r="A738" s="420">
        <v>15</v>
      </c>
      <c r="B738" s="421" t="s">
        <v>7745</v>
      </c>
      <c r="C738" s="421"/>
      <c r="D738" s="425"/>
      <c r="E738" s="418" t="s">
        <v>294</v>
      </c>
      <c r="F738" s="416" t="s">
        <v>3022</v>
      </c>
      <c r="G738" s="424"/>
      <c r="H738" s="420" t="s">
        <v>7722</v>
      </c>
      <c r="I738" s="424"/>
      <c r="J738" s="420" t="s">
        <v>1323</v>
      </c>
      <c r="K738" s="420" t="s">
        <v>811</v>
      </c>
      <c r="L738" s="421"/>
      <c r="M738" s="420" t="s">
        <v>7252</v>
      </c>
      <c r="N738" s="420" t="s">
        <v>7253</v>
      </c>
      <c r="O738" s="420"/>
      <c r="P738" s="421" t="s">
        <v>7746</v>
      </c>
      <c r="Q738" s="419">
        <v>0.5</v>
      </c>
      <c r="R738" s="419"/>
    </row>
    <row r="739" ht="12.75" customHeight="1" spans="1:18">
      <c r="A739" s="420">
        <v>16</v>
      </c>
      <c r="B739" s="421" t="s">
        <v>7747</v>
      </c>
      <c r="C739" s="421"/>
      <c r="D739" s="425"/>
      <c r="E739" s="418" t="s">
        <v>294</v>
      </c>
      <c r="F739" s="416" t="s">
        <v>3022</v>
      </c>
      <c r="G739" s="424" t="s">
        <v>7610</v>
      </c>
      <c r="H739" s="420" t="s">
        <v>7722</v>
      </c>
      <c r="I739" s="424"/>
      <c r="J739" s="420" t="s">
        <v>1323</v>
      </c>
      <c r="K739" s="420" t="s">
        <v>811</v>
      </c>
      <c r="L739" s="421"/>
      <c r="M739" s="420" t="s">
        <v>7252</v>
      </c>
      <c r="N739" s="420" t="s">
        <v>7253</v>
      </c>
      <c r="O739" s="420"/>
      <c r="P739" s="421" t="s">
        <v>7748</v>
      </c>
      <c r="Q739" s="419">
        <v>0.5</v>
      </c>
      <c r="R739" s="419"/>
    </row>
    <row r="740" ht="12.75" customHeight="1" spans="1:18">
      <c r="A740" s="420">
        <v>17</v>
      </c>
      <c r="B740" s="421" t="s">
        <v>7749</v>
      </c>
      <c r="C740" s="421"/>
      <c r="D740" s="425"/>
      <c r="E740" s="418" t="s">
        <v>294</v>
      </c>
      <c r="F740" s="416" t="s">
        <v>3022</v>
      </c>
      <c r="G740" s="424" t="s">
        <v>7610</v>
      </c>
      <c r="H740" s="420" t="s">
        <v>7722</v>
      </c>
      <c r="I740" s="424"/>
      <c r="J740" s="420" t="s">
        <v>1323</v>
      </c>
      <c r="K740" s="420" t="s">
        <v>811</v>
      </c>
      <c r="L740" s="421"/>
      <c r="M740" s="420" t="s">
        <v>7252</v>
      </c>
      <c r="N740" s="420" t="s">
        <v>7253</v>
      </c>
      <c r="O740" s="420"/>
      <c r="P740" s="421" t="s">
        <v>7750</v>
      </c>
      <c r="Q740" s="419">
        <v>0.5</v>
      </c>
      <c r="R740" s="419"/>
    </row>
    <row r="741" ht="12.75" customHeight="1" spans="1:18">
      <c r="A741" s="420">
        <v>18</v>
      </c>
      <c r="B741" s="421" t="s">
        <v>7751</v>
      </c>
      <c r="C741" s="421"/>
      <c r="D741" s="425"/>
      <c r="E741" s="418" t="s">
        <v>294</v>
      </c>
      <c r="F741" s="416" t="s">
        <v>3022</v>
      </c>
      <c r="G741" s="424" t="s">
        <v>7610</v>
      </c>
      <c r="H741" s="420" t="s">
        <v>7722</v>
      </c>
      <c r="I741" s="424"/>
      <c r="J741" s="420" t="s">
        <v>1323</v>
      </c>
      <c r="K741" s="420" t="s">
        <v>811</v>
      </c>
      <c r="L741" s="421"/>
      <c r="M741" s="420" t="s">
        <v>7252</v>
      </c>
      <c r="N741" s="420" t="s">
        <v>7253</v>
      </c>
      <c r="O741" s="420"/>
      <c r="P741" s="421" t="s">
        <v>7752</v>
      </c>
      <c r="Q741" s="419">
        <v>0.5</v>
      </c>
      <c r="R741" s="419"/>
    </row>
    <row r="742" ht="12.75" customHeight="1" spans="1:18">
      <c r="A742" s="420">
        <v>19</v>
      </c>
      <c r="B742" s="421" t="s">
        <v>7753</v>
      </c>
      <c r="C742" s="421"/>
      <c r="D742" s="425"/>
      <c r="E742" s="418" t="s">
        <v>294</v>
      </c>
      <c r="F742" s="416" t="s">
        <v>3022</v>
      </c>
      <c r="G742" s="424" t="s">
        <v>7610</v>
      </c>
      <c r="H742" s="420" t="s">
        <v>7722</v>
      </c>
      <c r="I742" s="424"/>
      <c r="J742" s="420" t="s">
        <v>1323</v>
      </c>
      <c r="K742" s="420" t="s">
        <v>811</v>
      </c>
      <c r="L742" s="421"/>
      <c r="M742" s="420" t="s">
        <v>7252</v>
      </c>
      <c r="N742" s="420" t="s">
        <v>7253</v>
      </c>
      <c r="O742" s="420"/>
      <c r="P742" s="421" t="s">
        <v>7754</v>
      </c>
      <c r="Q742" s="419">
        <v>0.5</v>
      </c>
      <c r="R742" s="419"/>
    </row>
    <row r="743" ht="12.75" customHeight="1" spans="1:18">
      <c r="A743" s="420">
        <v>20</v>
      </c>
      <c r="B743" s="421" t="s">
        <v>7755</v>
      </c>
      <c r="C743" s="421"/>
      <c r="D743" s="425"/>
      <c r="E743" s="418" t="s">
        <v>294</v>
      </c>
      <c r="F743" s="416" t="s">
        <v>3022</v>
      </c>
      <c r="G743" s="424" t="s">
        <v>7610</v>
      </c>
      <c r="H743" s="420" t="s">
        <v>7722</v>
      </c>
      <c r="I743" s="424"/>
      <c r="J743" s="420" t="s">
        <v>1323</v>
      </c>
      <c r="K743" s="420" t="s">
        <v>811</v>
      </c>
      <c r="L743" s="421"/>
      <c r="M743" s="420" t="s">
        <v>7252</v>
      </c>
      <c r="N743" s="420" t="s">
        <v>7253</v>
      </c>
      <c r="O743" s="420"/>
      <c r="P743" s="421" t="s">
        <v>7756</v>
      </c>
      <c r="Q743" s="419">
        <v>0.5</v>
      </c>
      <c r="R743" s="419"/>
    </row>
    <row r="744" ht="12.75" customHeight="1" spans="1:18">
      <c r="A744" s="420">
        <v>1</v>
      </c>
      <c r="B744" s="421" t="s">
        <v>7757</v>
      </c>
      <c r="C744" s="421"/>
      <c r="D744" s="421"/>
      <c r="E744" s="418" t="s">
        <v>294</v>
      </c>
      <c r="F744" s="416" t="s">
        <v>3022</v>
      </c>
      <c r="G744" s="448">
        <v>44968</v>
      </c>
      <c r="H744" s="420" t="s">
        <v>6852</v>
      </c>
      <c r="I744" s="449"/>
      <c r="J744" s="420" t="s">
        <v>7249</v>
      </c>
      <c r="K744" s="420" t="s">
        <v>1016</v>
      </c>
      <c r="L744" s="421"/>
      <c r="M744" s="420" t="s">
        <v>7205</v>
      </c>
      <c r="N744" s="420" t="s">
        <v>7206</v>
      </c>
      <c r="O744" s="420" t="s">
        <v>7250</v>
      </c>
      <c r="P744" s="421"/>
      <c r="Q744" s="419">
        <v>0.5</v>
      </c>
      <c r="R744" s="419"/>
    </row>
    <row r="745" ht="12.75" customHeight="1" spans="1:18">
      <c r="A745" s="420">
        <v>2</v>
      </c>
      <c r="B745" s="421" t="s">
        <v>7758</v>
      </c>
      <c r="C745" s="421"/>
      <c r="D745" s="421"/>
      <c r="E745" s="418" t="s">
        <v>294</v>
      </c>
      <c r="F745" s="416" t="s">
        <v>3022</v>
      </c>
      <c r="G745" s="450">
        <v>44968</v>
      </c>
      <c r="H745" s="420" t="s">
        <v>6852</v>
      </c>
      <c r="I745" s="451"/>
      <c r="J745" s="420" t="s">
        <v>7249</v>
      </c>
      <c r="K745" s="420" t="s">
        <v>1016</v>
      </c>
      <c r="L745" s="421"/>
      <c r="M745" s="420" t="s">
        <v>7205</v>
      </c>
      <c r="N745" s="420" t="s">
        <v>7206</v>
      </c>
      <c r="O745" s="424" t="s">
        <v>7250</v>
      </c>
      <c r="P745" s="421"/>
      <c r="Q745" s="419">
        <v>0.5</v>
      </c>
      <c r="R745" s="419"/>
    </row>
    <row r="746" ht="12.75" customHeight="1" spans="1:18">
      <c r="A746" s="420">
        <v>3</v>
      </c>
      <c r="B746" s="421" t="s">
        <v>7759</v>
      </c>
      <c r="C746" s="421"/>
      <c r="D746" s="421"/>
      <c r="E746" s="418" t="s">
        <v>294</v>
      </c>
      <c r="F746" s="416" t="s">
        <v>3022</v>
      </c>
      <c r="G746" s="450">
        <v>44968</v>
      </c>
      <c r="H746" s="420" t="s">
        <v>6852</v>
      </c>
      <c r="I746" s="452"/>
      <c r="J746" s="420" t="s">
        <v>7249</v>
      </c>
      <c r="K746" s="420" t="s">
        <v>1016</v>
      </c>
      <c r="L746" s="421"/>
      <c r="M746" s="420" t="s">
        <v>7205</v>
      </c>
      <c r="N746" s="420" t="s">
        <v>7206</v>
      </c>
      <c r="O746" s="424" t="s">
        <v>7250</v>
      </c>
      <c r="P746" s="421"/>
      <c r="Q746" s="419">
        <v>0.5</v>
      </c>
      <c r="R746" s="419"/>
    </row>
    <row r="747" ht="12.75" customHeight="1" spans="1:18">
      <c r="A747" s="420">
        <v>4</v>
      </c>
      <c r="B747" s="421" t="s">
        <v>7760</v>
      </c>
      <c r="C747" s="421"/>
      <c r="D747" s="421"/>
      <c r="E747" s="418" t="s">
        <v>294</v>
      </c>
      <c r="F747" s="416" t="s">
        <v>3022</v>
      </c>
      <c r="G747" s="450">
        <v>44968</v>
      </c>
      <c r="H747" s="420" t="s">
        <v>6852</v>
      </c>
      <c r="I747" s="451"/>
      <c r="J747" s="420" t="s">
        <v>7249</v>
      </c>
      <c r="K747" s="420" t="s">
        <v>1016</v>
      </c>
      <c r="L747" s="421"/>
      <c r="M747" s="420" t="s">
        <v>7205</v>
      </c>
      <c r="N747" s="420" t="s">
        <v>7206</v>
      </c>
      <c r="O747" s="424" t="s">
        <v>7250</v>
      </c>
      <c r="P747" s="421"/>
      <c r="Q747" s="419">
        <v>0.5</v>
      </c>
      <c r="R747" s="419"/>
    </row>
    <row r="748" ht="12.75" customHeight="1" spans="1:18">
      <c r="A748" s="420">
        <v>5</v>
      </c>
      <c r="B748" s="421" t="s">
        <v>7761</v>
      </c>
      <c r="C748" s="421"/>
      <c r="D748" s="421"/>
      <c r="E748" s="418" t="s">
        <v>294</v>
      </c>
      <c r="F748" s="416" t="s">
        <v>3022</v>
      </c>
      <c r="G748" s="450">
        <v>44968</v>
      </c>
      <c r="H748" s="420" t="s">
        <v>6852</v>
      </c>
      <c r="I748" s="451"/>
      <c r="J748" s="420" t="s">
        <v>7249</v>
      </c>
      <c r="K748" s="420" t="s">
        <v>1016</v>
      </c>
      <c r="L748" s="421"/>
      <c r="M748" s="420" t="s">
        <v>7205</v>
      </c>
      <c r="N748" s="420" t="s">
        <v>7206</v>
      </c>
      <c r="O748" s="424" t="s">
        <v>7250</v>
      </c>
      <c r="P748" s="421"/>
      <c r="Q748" s="419">
        <v>0.5</v>
      </c>
      <c r="R748" s="419"/>
    </row>
    <row r="749" ht="12.75" customHeight="1" spans="1:18">
      <c r="A749" s="420">
        <v>6</v>
      </c>
      <c r="B749" s="421" t="s">
        <v>7762</v>
      </c>
      <c r="C749" s="421"/>
      <c r="D749" s="421"/>
      <c r="E749" s="418" t="s">
        <v>294</v>
      </c>
      <c r="F749" s="416" t="s">
        <v>3022</v>
      </c>
      <c r="G749" s="450">
        <v>45118</v>
      </c>
      <c r="H749" s="420" t="s">
        <v>6852</v>
      </c>
      <c r="I749" s="451"/>
      <c r="J749" s="420" t="s">
        <v>7249</v>
      </c>
      <c r="K749" s="420" t="s">
        <v>1016</v>
      </c>
      <c r="L749" s="421"/>
      <c r="M749" s="420" t="s">
        <v>7205</v>
      </c>
      <c r="N749" s="420" t="s">
        <v>7206</v>
      </c>
      <c r="O749" s="424" t="s">
        <v>7250</v>
      </c>
      <c r="P749" s="421"/>
      <c r="Q749" s="419">
        <v>0.5</v>
      </c>
      <c r="R749" s="419"/>
    </row>
    <row r="750" ht="12.75" customHeight="1" spans="1:18">
      <c r="A750" s="420">
        <v>7</v>
      </c>
      <c r="B750" s="421" t="s">
        <v>7763</v>
      </c>
      <c r="C750" s="421"/>
      <c r="D750" s="421"/>
      <c r="E750" s="418" t="s">
        <v>294</v>
      </c>
      <c r="F750" s="416" t="s">
        <v>3022</v>
      </c>
      <c r="G750" s="450">
        <v>45118</v>
      </c>
      <c r="H750" s="420" t="s">
        <v>6852</v>
      </c>
      <c r="I750" s="452"/>
      <c r="J750" s="420" t="s">
        <v>7249</v>
      </c>
      <c r="K750" s="420" t="s">
        <v>1016</v>
      </c>
      <c r="L750" s="421"/>
      <c r="M750" s="420" t="s">
        <v>7205</v>
      </c>
      <c r="N750" s="420" t="s">
        <v>7206</v>
      </c>
      <c r="O750" s="424" t="s">
        <v>7250</v>
      </c>
      <c r="P750" s="421"/>
      <c r="Q750" s="419">
        <v>0.5</v>
      </c>
      <c r="R750" s="419"/>
    </row>
    <row r="751" ht="12.75" customHeight="1" spans="1:18">
      <c r="A751" s="420">
        <v>8</v>
      </c>
      <c r="B751" s="421" t="s">
        <v>7764</v>
      </c>
      <c r="C751" s="421"/>
      <c r="D751" s="421"/>
      <c r="E751" s="418" t="s">
        <v>294</v>
      </c>
      <c r="F751" s="416" t="s">
        <v>3022</v>
      </c>
      <c r="G751" s="450">
        <v>45118</v>
      </c>
      <c r="H751" s="420" t="s">
        <v>6852</v>
      </c>
      <c r="I751" s="451"/>
      <c r="J751" s="420" t="s">
        <v>7249</v>
      </c>
      <c r="K751" s="420" t="s">
        <v>1016</v>
      </c>
      <c r="L751" s="421"/>
      <c r="M751" s="420" t="s">
        <v>7205</v>
      </c>
      <c r="N751" s="420" t="s">
        <v>7206</v>
      </c>
      <c r="O751" s="424" t="s">
        <v>7250</v>
      </c>
      <c r="P751" s="421"/>
      <c r="Q751" s="419">
        <v>0.5</v>
      </c>
      <c r="R751" s="419"/>
    </row>
    <row r="752" ht="12.75" customHeight="1" spans="1:18">
      <c r="A752" s="420">
        <v>9</v>
      </c>
      <c r="B752" s="421" t="s">
        <v>7765</v>
      </c>
      <c r="C752" s="421"/>
      <c r="D752" s="421"/>
      <c r="E752" s="418" t="s">
        <v>294</v>
      </c>
      <c r="F752" s="416" t="s">
        <v>3022</v>
      </c>
      <c r="G752" s="450">
        <v>45118</v>
      </c>
      <c r="H752" s="420" t="s">
        <v>6852</v>
      </c>
      <c r="I752" s="451"/>
      <c r="J752" s="420" t="s">
        <v>7249</v>
      </c>
      <c r="K752" s="420" t="s">
        <v>1016</v>
      </c>
      <c r="L752" s="421"/>
      <c r="M752" s="420" t="s">
        <v>7205</v>
      </c>
      <c r="N752" s="420" t="s">
        <v>7206</v>
      </c>
      <c r="O752" s="424" t="s">
        <v>7250</v>
      </c>
      <c r="P752" s="421"/>
      <c r="Q752" s="419">
        <v>0.5</v>
      </c>
      <c r="R752" s="419"/>
    </row>
    <row r="753" ht="12.75" customHeight="1" spans="1:18">
      <c r="A753" s="420">
        <v>10</v>
      </c>
      <c r="B753" s="421" t="s">
        <v>7766</v>
      </c>
      <c r="C753" s="421"/>
      <c r="D753" s="421"/>
      <c r="E753" s="418" t="s">
        <v>294</v>
      </c>
      <c r="F753" s="416" t="s">
        <v>3022</v>
      </c>
      <c r="G753" s="450">
        <v>45118</v>
      </c>
      <c r="H753" s="420" t="s">
        <v>6852</v>
      </c>
      <c r="I753" s="451"/>
      <c r="J753" s="420" t="s">
        <v>7249</v>
      </c>
      <c r="K753" s="420" t="s">
        <v>1016</v>
      </c>
      <c r="L753" s="421"/>
      <c r="M753" s="420" t="s">
        <v>7205</v>
      </c>
      <c r="N753" s="420" t="s">
        <v>7206</v>
      </c>
      <c r="O753" s="424" t="s">
        <v>7250</v>
      </c>
      <c r="P753" s="421"/>
      <c r="Q753" s="419">
        <v>0.5</v>
      </c>
      <c r="R753" s="419"/>
    </row>
    <row r="754" ht="12.75" customHeight="1" spans="1:18">
      <c r="A754" s="420">
        <v>11</v>
      </c>
      <c r="B754" s="421" t="s">
        <v>7767</v>
      </c>
      <c r="C754" s="421"/>
      <c r="D754" s="421"/>
      <c r="E754" s="418" t="s">
        <v>294</v>
      </c>
      <c r="F754" s="416" t="s">
        <v>3022</v>
      </c>
      <c r="G754" s="453" t="s">
        <v>3073</v>
      </c>
      <c r="H754" s="420" t="s">
        <v>6852</v>
      </c>
      <c r="I754" s="451"/>
      <c r="J754" s="420" t="s">
        <v>7249</v>
      </c>
      <c r="K754" s="420" t="s">
        <v>1016</v>
      </c>
      <c r="L754" s="421"/>
      <c r="M754" s="420" t="s">
        <v>7205</v>
      </c>
      <c r="N754" s="420" t="s">
        <v>7206</v>
      </c>
      <c r="O754" s="424" t="s">
        <v>7250</v>
      </c>
      <c r="P754" s="421"/>
      <c r="Q754" s="419">
        <v>0.5</v>
      </c>
      <c r="R754" s="419"/>
    </row>
    <row r="755" ht="12.75" customHeight="1" spans="1:18">
      <c r="A755" s="420">
        <v>12</v>
      </c>
      <c r="B755" s="421" t="s">
        <v>7768</v>
      </c>
      <c r="C755" s="421"/>
      <c r="D755" s="421"/>
      <c r="E755" s="418" t="s">
        <v>294</v>
      </c>
      <c r="F755" s="416" t="s">
        <v>3022</v>
      </c>
      <c r="G755" s="453" t="s">
        <v>3073</v>
      </c>
      <c r="H755" s="420" t="s">
        <v>6852</v>
      </c>
      <c r="I755" s="451"/>
      <c r="J755" s="420" t="s">
        <v>7249</v>
      </c>
      <c r="K755" s="420" t="s">
        <v>1016</v>
      </c>
      <c r="L755" s="421"/>
      <c r="M755" s="420" t="s">
        <v>7205</v>
      </c>
      <c r="N755" s="420" t="s">
        <v>7206</v>
      </c>
      <c r="O755" s="424" t="s">
        <v>7250</v>
      </c>
      <c r="P755" s="421"/>
      <c r="Q755" s="419">
        <v>0.5</v>
      </c>
      <c r="R755" s="419"/>
    </row>
    <row r="756" ht="12.75" customHeight="1" spans="1:18">
      <c r="A756" s="420">
        <v>13</v>
      </c>
      <c r="B756" s="421" t="s">
        <v>7769</v>
      </c>
      <c r="C756" s="421"/>
      <c r="D756" s="421"/>
      <c r="E756" s="418" t="s">
        <v>294</v>
      </c>
      <c r="F756" s="416" t="s">
        <v>3022</v>
      </c>
      <c r="G756" s="453" t="s">
        <v>3073</v>
      </c>
      <c r="H756" s="420" t="s">
        <v>6852</v>
      </c>
      <c r="I756" s="452"/>
      <c r="J756" s="420" t="s">
        <v>7249</v>
      </c>
      <c r="K756" s="420" t="s">
        <v>1016</v>
      </c>
      <c r="L756" s="421"/>
      <c r="M756" s="420" t="s">
        <v>7205</v>
      </c>
      <c r="N756" s="420" t="s">
        <v>7206</v>
      </c>
      <c r="O756" s="424" t="s">
        <v>7250</v>
      </c>
      <c r="P756" s="421"/>
      <c r="Q756" s="419">
        <v>0.5</v>
      </c>
      <c r="R756" s="419"/>
    </row>
    <row r="757" ht="12.75" customHeight="1" spans="1:18">
      <c r="A757" s="420">
        <v>14</v>
      </c>
      <c r="B757" s="421" t="s">
        <v>7770</v>
      </c>
      <c r="C757" s="421"/>
      <c r="D757" s="421"/>
      <c r="E757" s="418" t="s">
        <v>294</v>
      </c>
      <c r="F757" s="416" t="s">
        <v>3022</v>
      </c>
      <c r="G757" s="453" t="s">
        <v>3073</v>
      </c>
      <c r="H757" s="420" t="s">
        <v>6852</v>
      </c>
      <c r="I757" s="451"/>
      <c r="J757" s="420" t="s">
        <v>7249</v>
      </c>
      <c r="K757" s="420" t="s">
        <v>1016</v>
      </c>
      <c r="L757" s="421"/>
      <c r="M757" s="420" t="s">
        <v>7205</v>
      </c>
      <c r="N757" s="420" t="s">
        <v>7206</v>
      </c>
      <c r="O757" s="424" t="s">
        <v>7250</v>
      </c>
      <c r="P757" s="421"/>
      <c r="Q757" s="419">
        <v>0.5</v>
      </c>
      <c r="R757" s="419"/>
    </row>
    <row r="758" ht="12.75" customHeight="1" spans="1:18">
      <c r="A758" s="420">
        <v>15</v>
      </c>
      <c r="B758" s="421" t="s">
        <v>7771</v>
      </c>
      <c r="C758" s="421"/>
      <c r="D758" s="421"/>
      <c r="E758" s="418" t="s">
        <v>294</v>
      </c>
      <c r="F758" s="416" t="s">
        <v>3022</v>
      </c>
      <c r="G758" s="453" t="s">
        <v>3073</v>
      </c>
      <c r="H758" s="420" t="s">
        <v>6852</v>
      </c>
      <c r="I758" s="451"/>
      <c r="J758" s="420" t="s">
        <v>7249</v>
      </c>
      <c r="K758" s="420" t="s">
        <v>1016</v>
      </c>
      <c r="L758" s="421"/>
      <c r="M758" s="420" t="s">
        <v>7205</v>
      </c>
      <c r="N758" s="420" t="s">
        <v>7206</v>
      </c>
      <c r="O758" s="424" t="s">
        <v>7250</v>
      </c>
      <c r="P758" s="421"/>
      <c r="Q758" s="419">
        <v>0.5</v>
      </c>
      <c r="R758" s="419"/>
    </row>
    <row r="759" ht="12.75" customHeight="1" spans="1:18">
      <c r="A759" s="420">
        <v>16</v>
      </c>
      <c r="B759" s="421" t="s">
        <v>7772</v>
      </c>
      <c r="C759" s="421"/>
      <c r="D759" s="421"/>
      <c r="E759" s="418" t="s">
        <v>294</v>
      </c>
      <c r="F759" s="416" t="s">
        <v>3022</v>
      </c>
      <c r="G759" s="453" t="s">
        <v>3073</v>
      </c>
      <c r="H759" s="420" t="s">
        <v>6852</v>
      </c>
      <c r="I759" s="451"/>
      <c r="J759" s="420" t="s">
        <v>7249</v>
      </c>
      <c r="K759" s="420" t="s">
        <v>1016</v>
      </c>
      <c r="L759" s="421"/>
      <c r="M759" s="420" t="s">
        <v>7205</v>
      </c>
      <c r="N759" s="420" t="s">
        <v>7206</v>
      </c>
      <c r="O759" s="424" t="s">
        <v>7250</v>
      </c>
      <c r="P759" s="421"/>
      <c r="Q759" s="419">
        <v>0.5</v>
      </c>
      <c r="R759" s="419"/>
    </row>
    <row r="760" ht="12.75" customHeight="1" spans="1:18">
      <c r="A760" s="420">
        <v>19</v>
      </c>
      <c r="B760" s="417" t="s">
        <v>7773</v>
      </c>
      <c r="C760" s="417"/>
      <c r="D760" s="417"/>
      <c r="E760" s="418" t="s">
        <v>294</v>
      </c>
      <c r="F760" s="416" t="s">
        <v>3022</v>
      </c>
      <c r="G760" s="453" t="s">
        <v>7263</v>
      </c>
      <c r="H760" s="454" t="s">
        <v>6852</v>
      </c>
      <c r="I760" s="453"/>
      <c r="J760" s="420" t="s">
        <v>1323</v>
      </c>
      <c r="K760" s="420" t="s">
        <v>1140</v>
      </c>
      <c r="L760" s="455"/>
      <c r="M760" s="420" t="s">
        <v>7252</v>
      </c>
      <c r="N760" s="420" t="s">
        <v>7253</v>
      </c>
      <c r="O760" s="456" t="s">
        <v>7774</v>
      </c>
      <c r="P760" s="455"/>
      <c r="Q760" s="419">
        <v>0.5</v>
      </c>
      <c r="R760" s="419"/>
    </row>
    <row r="761" ht="12.75" customHeight="1" spans="1:18">
      <c r="A761" s="420">
        <v>20</v>
      </c>
      <c r="B761" s="417" t="s">
        <v>7775</v>
      </c>
      <c r="C761" s="421"/>
      <c r="D761" s="421"/>
      <c r="E761" s="418" t="s">
        <v>294</v>
      </c>
      <c r="F761" s="416" t="s">
        <v>3022</v>
      </c>
      <c r="G761" s="453" t="s">
        <v>7263</v>
      </c>
      <c r="H761" s="420" t="s">
        <v>6852</v>
      </c>
      <c r="I761" s="451"/>
      <c r="J761" s="420" t="s">
        <v>1323</v>
      </c>
      <c r="K761" s="420" t="s">
        <v>1140</v>
      </c>
      <c r="L761" s="421"/>
      <c r="M761" s="420" t="s">
        <v>7252</v>
      </c>
      <c r="N761" s="420" t="s">
        <v>7253</v>
      </c>
      <c r="O761" s="424" t="s">
        <v>7776</v>
      </c>
      <c r="P761" s="421"/>
      <c r="Q761" s="419">
        <v>0.5</v>
      </c>
      <c r="R761" s="419"/>
    </row>
    <row r="762" ht="12.75" customHeight="1" spans="1:18">
      <c r="A762" s="420">
        <v>21</v>
      </c>
      <c r="B762" s="417" t="s">
        <v>7777</v>
      </c>
      <c r="C762" s="421"/>
      <c r="D762" s="421"/>
      <c r="E762" s="418" t="s">
        <v>294</v>
      </c>
      <c r="F762" s="416" t="s">
        <v>3022</v>
      </c>
      <c r="G762" s="453" t="s">
        <v>7263</v>
      </c>
      <c r="H762" s="420" t="s">
        <v>6852</v>
      </c>
      <c r="I762" s="452"/>
      <c r="J762" s="420" t="s">
        <v>1323</v>
      </c>
      <c r="K762" s="420" t="s">
        <v>1140</v>
      </c>
      <c r="L762" s="421"/>
      <c r="M762" s="420" t="s">
        <v>7252</v>
      </c>
      <c r="N762" s="420" t="s">
        <v>7253</v>
      </c>
      <c r="O762" s="424" t="s">
        <v>7778</v>
      </c>
      <c r="P762" s="421"/>
      <c r="Q762" s="419">
        <v>0.5</v>
      </c>
      <c r="R762" s="419"/>
    </row>
    <row r="763" ht="12.75" customHeight="1" spans="1:18">
      <c r="A763" s="420">
        <v>22</v>
      </c>
      <c r="B763" s="417" t="s">
        <v>7779</v>
      </c>
      <c r="C763" s="421"/>
      <c r="D763" s="421"/>
      <c r="E763" s="418" t="s">
        <v>294</v>
      </c>
      <c r="F763" s="416" t="s">
        <v>3022</v>
      </c>
      <c r="G763" s="453" t="s">
        <v>7263</v>
      </c>
      <c r="H763" s="420" t="s">
        <v>6852</v>
      </c>
      <c r="I763" s="451"/>
      <c r="J763" s="420" t="s">
        <v>1323</v>
      </c>
      <c r="K763" s="420" t="s">
        <v>1140</v>
      </c>
      <c r="L763" s="421"/>
      <c r="M763" s="420" t="s">
        <v>7252</v>
      </c>
      <c r="N763" s="420" t="s">
        <v>7253</v>
      </c>
      <c r="O763" s="424" t="s">
        <v>7780</v>
      </c>
      <c r="P763" s="421"/>
      <c r="Q763" s="419">
        <v>0.5</v>
      </c>
      <c r="R763" s="419"/>
    </row>
    <row r="764" ht="12.75" customHeight="1" spans="1:18">
      <c r="A764" s="420">
        <v>23</v>
      </c>
      <c r="B764" s="421" t="s">
        <v>7781</v>
      </c>
      <c r="C764" s="421"/>
      <c r="D764" s="421"/>
      <c r="E764" s="418" t="s">
        <v>294</v>
      </c>
      <c r="F764" s="416" t="s">
        <v>3022</v>
      </c>
      <c r="G764" s="453" t="s">
        <v>7263</v>
      </c>
      <c r="H764" s="420" t="s">
        <v>6852</v>
      </c>
      <c r="I764" s="452"/>
      <c r="J764" s="420" t="s">
        <v>1323</v>
      </c>
      <c r="K764" s="420" t="s">
        <v>1140</v>
      </c>
      <c r="L764" s="421"/>
      <c r="M764" s="420" t="s">
        <v>7252</v>
      </c>
      <c r="N764" s="420" t="s">
        <v>7253</v>
      </c>
      <c r="O764" s="424" t="s">
        <v>7782</v>
      </c>
      <c r="P764" s="421"/>
      <c r="Q764" s="419">
        <v>0.5</v>
      </c>
      <c r="R764" s="419"/>
    </row>
    <row r="765" ht="12.75" customHeight="1" spans="1:18">
      <c r="A765" s="420">
        <v>24</v>
      </c>
      <c r="B765" s="421" t="s">
        <v>7783</v>
      </c>
      <c r="C765" s="421"/>
      <c r="D765" s="421"/>
      <c r="E765" s="418" t="s">
        <v>294</v>
      </c>
      <c r="F765" s="416" t="s">
        <v>3022</v>
      </c>
      <c r="G765" s="453" t="s">
        <v>7263</v>
      </c>
      <c r="H765" s="420" t="s">
        <v>6852</v>
      </c>
      <c r="I765" s="451"/>
      <c r="J765" s="420" t="s">
        <v>1323</v>
      </c>
      <c r="K765" s="420" t="s">
        <v>1140</v>
      </c>
      <c r="L765" s="421"/>
      <c r="M765" s="420" t="s">
        <v>7252</v>
      </c>
      <c r="N765" s="420" t="s">
        <v>7253</v>
      </c>
      <c r="O765" s="424" t="s">
        <v>7784</v>
      </c>
      <c r="P765" s="421"/>
      <c r="Q765" s="419">
        <v>0.5</v>
      </c>
      <c r="R765" s="419"/>
    </row>
    <row r="766" ht="12.75" customHeight="1" spans="1:18">
      <c r="A766" s="420">
        <v>25</v>
      </c>
      <c r="B766" s="421" t="s">
        <v>7785</v>
      </c>
      <c r="C766" s="421"/>
      <c r="D766" s="421"/>
      <c r="E766" s="418" t="s">
        <v>294</v>
      </c>
      <c r="F766" s="416" t="s">
        <v>3022</v>
      </c>
      <c r="G766" s="453" t="s">
        <v>7263</v>
      </c>
      <c r="H766" s="420" t="s">
        <v>6852</v>
      </c>
      <c r="I766" s="452"/>
      <c r="J766" s="420" t="s">
        <v>1323</v>
      </c>
      <c r="K766" s="420" t="s">
        <v>1140</v>
      </c>
      <c r="L766" s="421"/>
      <c r="M766" s="420" t="s">
        <v>7252</v>
      </c>
      <c r="N766" s="420" t="s">
        <v>7253</v>
      </c>
      <c r="O766" s="424" t="s">
        <v>7786</v>
      </c>
      <c r="P766" s="421"/>
      <c r="Q766" s="419">
        <v>0.5</v>
      </c>
      <c r="R766" s="419"/>
    </row>
    <row r="767" ht="12.75" customHeight="1" spans="1:18">
      <c r="A767" s="420">
        <v>26</v>
      </c>
      <c r="B767" s="421" t="s">
        <v>7787</v>
      </c>
      <c r="C767" s="421"/>
      <c r="D767" s="421"/>
      <c r="E767" s="418" t="s">
        <v>294</v>
      </c>
      <c r="F767" s="416" t="s">
        <v>3022</v>
      </c>
      <c r="G767" s="453" t="s">
        <v>7263</v>
      </c>
      <c r="H767" s="420" t="s">
        <v>6852</v>
      </c>
      <c r="I767" s="451"/>
      <c r="J767" s="420" t="s">
        <v>1323</v>
      </c>
      <c r="K767" s="420" t="s">
        <v>1140</v>
      </c>
      <c r="L767" s="421"/>
      <c r="M767" s="420" t="s">
        <v>7252</v>
      </c>
      <c r="N767" s="420" t="s">
        <v>7253</v>
      </c>
      <c r="O767" s="424" t="s">
        <v>7788</v>
      </c>
      <c r="P767" s="421"/>
      <c r="Q767" s="419">
        <v>0.5</v>
      </c>
      <c r="R767" s="419"/>
    </row>
    <row r="768" ht="12.75" customHeight="1" spans="1:18">
      <c r="A768" s="420">
        <v>27</v>
      </c>
      <c r="B768" s="421" t="s">
        <v>7789</v>
      </c>
      <c r="C768" s="421"/>
      <c r="D768" s="421"/>
      <c r="E768" s="418" t="s">
        <v>294</v>
      </c>
      <c r="F768" s="416" t="s">
        <v>3022</v>
      </c>
      <c r="G768" s="453" t="s">
        <v>7263</v>
      </c>
      <c r="H768" s="420" t="s">
        <v>6852</v>
      </c>
      <c r="I768" s="451"/>
      <c r="J768" s="420" t="s">
        <v>1323</v>
      </c>
      <c r="K768" s="420" t="s">
        <v>1140</v>
      </c>
      <c r="L768" s="421"/>
      <c r="M768" s="420" t="s">
        <v>7252</v>
      </c>
      <c r="N768" s="420" t="s">
        <v>7253</v>
      </c>
      <c r="O768" s="424" t="s">
        <v>7790</v>
      </c>
      <c r="P768" s="421"/>
      <c r="Q768" s="419">
        <v>0.5</v>
      </c>
      <c r="R768" s="419"/>
    </row>
    <row r="769" ht="12.75" customHeight="1" spans="1:18">
      <c r="A769" s="420">
        <v>28</v>
      </c>
      <c r="B769" s="421" t="s">
        <v>7791</v>
      </c>
      <c r="C769" s="421"/>
      <c r="D769" s="421"/>
      <c r="E769" s="418" t="s">
        <v>294</v>
      </c>
      <c r="F769" s="416" t="s">
        <v>3022</v>
      </c>
      <c r="G769" s="453" t="s">
        <v>7263</v>
      </c>
      <c r="H769" s="420" t="s">
        <v>6852</v>
      </c>
      <c r="I769" s="451"/>
      <c r="J769" s="420" t="s">
        <v>1323</v>
      </c>
      <c r="K769" s="420" t="s">
        <v>1140</v>
      </c>
      <c r="L769" s="421"/>
      <c r="M769" s="420" t="s">
        <v>7252</v>
      </c>
      <c r="N769" s="420" t="s">
        <v>7253</v>
      </c>
      <c r="O769" s="424" t="s">
        <v>7792</v>
      </c>
      <c r="P769" s="421"/>
      <c r="Q769" s="419">
        <v>0.5</v>
      </c>
      <c r="R769" s="419"/>
    </row>
    <row r="770" ht="12.75" customHeight="1" spans="1:18">
      <c r="A770" s="420">
        <v>29</v>
      </c>
      <c r="B770" s="421" t="s">
        <v>7793</v>
      </c>
      <c r="C770" s="421"/>
      <c r="D770" s="421"/>
      <c r="E770" s="418" t="s">
        <v>294</v>
      </c>
      <c r="F770" s="416" t="s">
        <v>3022</v>
      </c>
      <c r="G770" s="453" t="s">
        <v>7263</v>
      </c>
      <c r="H770" s="420" t="s">
        <v>6852</v>
      </c>
      <c r="I770" s="452"/>
      <c r="J770" s="420" t="s">
        <v>1323</v>
      </c>
      <c r="K770" s="420" t="s">
        <v>1140</v>
      </c>
      <c r="L770" s="421"/>
      <c r="M770" s="420" t="s">
        <v>7252</v>
      </c>
      <c r="N770" s="420" t="s">
        <v>7253</v>
      </c>
      <c r="O770" s="424" t="s">
        <v>7794</v>
      </c>
      <c r="P770" s="421"/>
      <c r="Q770" s="419">
        <v>0.5</v>
      </c>
      <c r="R770" s="419"/>
    </row>
    <row r="771" ht="12.75" customHeight="1" spans="1:18">
      <c r="A771" s="420">
        <v>30</v>
      </c>
      <c r="B771" s="421" t="s">
        <v>7795</v>
      </c>
      <c r="C771" s="421"/>
      <c r="D771" s="421"/>
      <c r="E771" s="418" t="s">
        <v>294</v>
      </c>
      <c r="F771" s="416" t="s">
        <v>3022</v>
      </c>
      <c r="G771" s="453" t="s">
        <v>7263</v>
      </c>
      <c r="H771" s="420" t="s">
        <v>6852</v>
      </c>
      <c r="I771" s="452"/>
      <c r="J771" s="420" t="s">
        <v>1323</v>
      </c>
      <c r="K771" s="420" t="s">
        <v>1140</v>
      </c>
      <c r="L771" s="421"/>
      <c r="M771" s="420" t="s">
        <v>7252</v>
      </c>
      <c r="N771" s="420" t="s">
        <v>7253</v>
      </c>
      <c r="O771" s="424" t="s">
        <v>7796</v>
      </c>
      <c r="P771" s="421"/>
      <c r="Q771" s="419">
        <v>0.5</v>
      </c>
      <c r="R771" s="419"/>
    </row>
    <row r="772" ht="12.75" customHeight="1" spans="1:18">
      <c r="A772" s="420">
        <v>31</v>
      </c>
      <c r="B772" s="421" t="s">
        <v>7797</v>
      </c>
      <c r="C772" s="421"/>
      <c r="D772" s="421"/>
      <c r="E772" s="418" t="s">
        <v>294</v>
      </c>
      <c r="F772" s="416" t="s">
        <v>3022</v>
      </c>
      <c r="G772" s="453" t="s">
        <v>7263</v>
      </c>
      <c r="H772" s="420" t="s">
        <v>6852</v>
      </c>
      <c r="I772" s="451"/>
      <c r="J772" s="420" t="s">
        <v>1323</v>
      </c>
      <c r="K772" s="420" t="s">
        <v>1140</v>
      </c>
      <c r="L772" s="421"/>
      <c r="M772" s="420" t="s">
        <v>7252</v>
      </c>
      <c r="N772" s="420" t="s">
        <v>7253</v>
      </c>
      <c r="O772" s="424" t="s">
        <v>7798</v>
      </c>
      <c r="P772" s="421"/>
      <c r="Q772" s="419">
        <v>0.5</v>
      </c>
      <c r="R772" s="419"/>
    </row>
    <row r="773" ht="12.75" customHeight="1" spans="1:18">
      <c r="A773" s="420">
        <v>32</v>
      </c>
      <c r="B773" s="421" t="s">
        <v>7799</v>
      </c>
      <c r="C773" s="421"/>
      <c r="D773" s="421"/>
      <c r="E773" s="418" t="s">
        <v>294</v>
      </c>
      <c r="F773" s="416" t="s">
        <v>3022</v>
      </c>
      <c r="G773" s="453" t="s">
        <v>7263</v>
      </c>
      <c r="H773" s="420" t="s">
        <v>6852</v>
      </c>
      <c r="I773" s="451"/>
      <c r="J773" s="420" t="s">
        <v>1323</v>
      </c>
      <c r="K773" s="420" t="s">
        <v>1140</v>
      </c>
      <c r="L773" s="421"/>
      <c r="M773" s="420" t="s">
        <v>7252</v>
      </c>
      <c r="N773" s="420" t="s">
        <v>7253</v>
      </c>
      <c r="O773" s="424" t="s">
        <v>7800</v>
      </c>
      <c r="P773" s="421"/>
      <c r="Q773" s="419">
        <v>0.5</v>
      </c>
      <c r="R773" s="419"/>
    </row>
    <row r="774" ht="12.75" customHeight="1" spans="1:18">
      <c r="A774" s="420">
        <v>33</v>
      </c>
      <c r="B774" s="421" t="s">
        <v>7801</v>
      </c>
      <c r="C774" s="421"/>
      <c r="D774" s="421"/>
      <c r="E774" s="418" t="s">
        <v>294</v>
      </c>
      <c r="F774" s="416" t="s">
        <v>3022</v>
      </c>
      <c r="G774" s="453" t="s">
        <v>7263</v>
      </c>
      <c r="H774" s="420" t="s">
        <v>6852</v>
      </c>
      <c r="I774" s="451"/>
      <c r="J774" s="420" t="s">
        <v>1323</v>
      </c>
      <c r="K774" s="420" t="s">
        <v>1140</v>
      </c>
      <c r="L774" s="421"/>
      <c r="M774" s="420" t="s">
        <v>7252</v>
      </c>
      <c r="N774" s="420" t="s">
        <v>7253</v>
      </c>
      <c r="O774" s="424" t="s">
        <v>7802</v>
      </c>
      <c r="P774" s="421"/>
      <c r="Q774" s="419">
        <v>0.5</v>
      </c>
      <c r="R774" s="419"/>
    </row>
    <row r="775" ht="12.75" customHeight="1" spans="1:18">
      <c r="A775" s="420">
        <v>34</v>
      </c>
      <c r="B775" s="421" t="s">
        <v>7803</v>
      </c>
      <c r="C775" s="421"/>
      <c r="D775" s="421"/>
      <c r="E775" s="418" t="s">
        <v>294</v>
      </c>
      <c r="F775" s="416" t="s">
        <v>3022</v>
      </c>
      <c r="G775" s="453" t="s">
        <v>7251</v>
      </c>
      <c r="H775" s="420" t="s">
        <v>6852</v>
      </c>
      <c r="I775" s="451"/>
      <c r="J775" s="420" t="s">
        <v>1323</v>
      </c>
      <c r="K775" s="420" t="s">
        <v>1140</v>
      </c>
      <c r="L775" s="421"/>
      <c r="M775" s="420" t="s">
        <v>7252</v>
      </c>
      <c r="N775" s="420" t="s">
        <v>7253</v>
      </c>
      <c r="O775" s="424" t="s">
        <v>7804</v>
      </c>
      <c r="P775" s="421"/>
      <c r="Q775" s="419">
        <v>0.5</v>
      </c>
      <c r="R775" s="419"/>
    </row>
    <row r="776" ht="12.75" customHeight="1" spans="1:18">
      <c r="A776" s="420">
        <v>35</v>
      </c>
      <c r="B776" s="421" t="s">
        <v>7805</v>
      </c>
      <c r="C776" s="421"/>
      <c r="D776" s="421"/>
      <c r="E776" s="418" t="s">
        <v>294</v>
      </c>
      <c r="F776" s="416" t="s">
        <v>3022</v>
      </c>
      <c r="G776" s="453" t="s">
        <v>7251</v>
      </c>
      <c r="H776" s="420" t="s">
        <v>6852</v>
      </c>
      <c r="I776" s="451"/>
      <c r="J776" s="420" t="s">
        <v>1323</v>
      </c>
      <c r="K776" s="420" t="s">
        <v>1140</v>
      </c>
      <c r="L776" s="421"/>
      <c r="M776" s="420" t="s">
        <v>7252</v>
      </c>
      <c r="N776" s="420" t="s">
        <v>7253</v>
      </c>
      <c r="O776" s="424" t="s">
        <v>7806</v>
      </c>
      <c r="P776" s="421"/>
      <c r="Q776" s="419">
        <v>0.5</v>
      </c>
      <c r="R776" s="419"/>
    </row>
    <row r="777" ht="12.75" customHeight="1" spans="1:18">
      <c r="A777" s="420">
        <v>36</v>
      </c>
      <c r="B777" s="421" t="s">
        <v>7807</v>
      </c>
      <c r="C777" s="421"/>
      <c r="D777" s="421"/>
      <c r="E777" s="418" t="s">
        <v>294</v>
      </c>
      <c r="F777" s="416" t="s">
        <v>3022</v>
      </c>
      <c r="G777" s="453" t="s">
        <v>7251</v>
      </c>
      <c r="H777" s="420" t="s">
        <v>6852</v>
      </c>
      <c r="I777" s="451"/>
      <c r="J777" s="420" t="s">
        <v>1323</v>
      </c>
      <c r="K777" s="420" t="s">
        <v>1140</v>
      </c>
      <c r="L777" s="421"/>
      <c r="M777" s="420" t="s">
        <v>7252</v>
      </c>
      <c r="N777" s="420" t="s">
        <v>7253</v>
      </c>
      <c r="O777" s="424" t="s">
        <v>7808</v>
      </c>
      <c r="P777" s="421"/>
      <c r="Q777" s="419">
        <v>0.5</v>
      </c>
      <c r="R777" s="419"/>
    </row>
    <row r="778" ht="12.75" customHeight="1" spans="1:18">
      <c r="A778" s="420">
        <v>37</v>
      </c>
      <c r="B778" s="421" t="s">
        <v>7809</v>
      </c>
      <c r="C778" s="421"/>
      <c r="D778" s="421"/>
      <c r="E778" s="418" t="s">
        <v>294</v>
      </c>
      <c r="F778" s="416" t="s">
        <v>3022</v>
      </c>
      <c r="G778" s="453" t="s">
        <v>7251</v>
      </c>
      <c r="H778" s="420" t="s">
        <v>6852</v>
      </c>
      <c r="I778" s="451"/>
      <c r="J778" s="420" t="s">
        <v>1323</v>
      </c>
      <c r="K778" s="420" t="s">
        <v>1140</v>
      </c>
      <c r="L778" s="421"/>
      <c r="M778" s="420" t="s">
        <v>7252</v>
      </c>
      <c r="N778" s="420" t="s">
        <v>7253</v>
      </c>
      <c r="O778" s="424" t="s">
        <v>7810</v>
      </c>
      <c r="P778" s="421"/>
      <c r="Q778" s="419">
        <v>0.5</v>
      </c>
      <c r="R778" s="419"/>
    </row>
    <row r="779" ht="12.75" customHeight="1" spans="1:18">
      <c r="A779" s="420">
        <v>38</v>
      </c>
      <c r="B779" s="421" t="s">
        <v>7811</v>
      </c>
      <c r="C779" s="421"/>
      <c r="D779" s="421"/>
      <c r="E779" s="418" t="s">
        <v>294</v>
      </c>
      <c r="F779" s="416" t="s">
        <v>3022</v>
      </c>
      <c r="G779" s="453" t="s">
        <v>7251</v>
      </c>
      <c r="H779" s="420" t="s">
        <v>6852</v>
      </c>
      <c r="I779" s="451"/>
      <c r="J779" s="420" t="s">
        <v>1323</v>
      </c>
      <c r="K779" s="420" t="s">
        <v>1140</v>
      </c>
      <c r="L779" s="421"/>
      <c r="M779" s="420" t="s">
        <v>7252</v>
      </c>
      <c r="N779" s="420" t="s">
        <v>7253</v>
      </c>
      <c r="O779" s="424" t="s">
        <v>7812</v>
      </c>
      <c r="P779" s="421"/>
      <c r="Q779" s="419">
        <v>0.5</v>
      </c>
      <c r="R779" s="419"/>
    </row>
    <row r="780" ht="12.75" customHeight="1" spans="1:18">
      <c r="A780" s="420">
        <v>39</v>
      </c>
      <c r="B780" s="421" t="s">
        <v>7813</v>
      </c>
      <c r="C780" s="421"/>
      <c r="D780" s="421"/>
      <c r="E780" s="418" t="s">
        <v>294</v>
      </c>
      <c r="F780" s="416" t="s">
        <v>3022</v>
      </c>
      <c r="G780" s="453" t="s">
        <v>7251</v>
      </c>
      <c r="H780" s="420" t="s">
        <v>6852</v>
      </c>
      <c r="I780" s="451"/>
      <c r="J780" s="420" t="s">
        <v>1323</v>
      </c>
      <c r="K780" s="420" t="s">
        <v>1140</v>
      </c>
      <c r="L780" s="421"/>
      <c r="M780" s="420" t="s">
        <v>7252</v>
      </c>
      <c r="N780" s="420" t="s">
        <v>7253</v>
      </c>
      <c r="O780" s="424" t="s">
        <v>7814</v>
      </c>
      <c r="P780" s="421"/>
      <c r="Q780" s="419">
        <v>0.5</v>
      </c>
      <c r="R780" s="419"/>
    </row>
    <row r="781" ht="12.75" customHeight="1" spans="1:18">
      <c r="A781" s="420">
        <v>40</v>
      </c>
      <c r="B781" s="421" t="s">
        <v>7815</v>
      </c>
      <c r="C781" s="421"/>
      <c r="D781" s="421"/>
      <c r="E781" s="418" t="s">
        <v>294</v>
      </c>
      <c r="F781" s="416" t="s">
        <v>3022</v>
      </c>
      <c r="G781" s="453" t="s">
        <v>7251</v>
      </c>
      <c r="H781" s="420" t="s">
        <v>6852</v>
      </c>
      <c r="I781" s="451"/>
      <c r="J781" s="420" t="s">
        <v>1323</v>
      </c>
      <c r="K781" s="420" t="s">
        <v>1140</v>
      </c>
      <c r="L781" s="421"/>
      <c r="M781" s="420" t="s">
        <v>7252</v>
      </c>
      <c r="N781" s="420" t="s">
        <v>7253</v>
      </c>
      <c r="O781" s="424" t="s">
        <v>7816</v>
      </c>
      <c r="P781" s="421"/>
      <c r="Q781" s="419">
        <v>0.5</v>
      </c>
      <c r="R781" s="419"/>
    </row>
    <row r="782" ht="12.75" customHeight="1" spans="1:18">
      <c r="A782" s="420">
        <v>41</v>
      </c>
      <c r="B782" s="421" t="s">
        <v>7817</v>
      </c>
      <c r="C782" s="421"/>
      <c r="D782" s="421"/>
      <c r="E782" s="418" t="s">
        <v>294</v>
      </c>
      <c r="F782" s="416" t="s">
        <v>3022</v>
      </c>
      <c r="G782" s="453" t="s">
        <v>7251</v>
      </c>
      <c r="H782" s="420" t="s">
        <v>6852</v>
      </c>
      <c r="I782" s="451"/>
      <c r="J782" s="420" t="s">
        <v>1323</v>
      </c>
      <c r="K782" s="420" t="s">
        <v>1140</v>
      </c>
      <c r="L782" s="421"/>
      <c r="M782" s="420" t="s">
        <v>7252</v>
      </c>
      <c r="N782" s="420" t="s">
        <v>7253</v>
      </c>
      <c r="O782" s="424" t="s">
        <v>7818</v>
      </c>
      <c r="P782" s="421"/>
      <c r="Q782" s="419">
        <v>0.5</v>
      </c>
      <c r="R782" s="419"/>
    </row>
    <row r="783" ht="12.75" customHeight="1" spans="1:18">
      <c r="A783" s="420">
        <v>42</v>
      </c>
      <c r="B783" s="421" t="s">
        <v>7819</v>
      </c>
      <c r="C783" s="421"/>
      <c r="D783" s="421"/>
      <c r="E783" s="418" t="s">
        <v>294</v>
      </c>
      <c r="F783" s="416" t="s">
        <v>3022</v>
      </c>
      <c r="G783" s="453" t="s">
        <v>7251</v>
      </c>
      <c r="H783" s="420" t="s">
        <v>6852</v>
      </c>
      <c r="I783" s="451"/>
      <c r="J783" s="420" t="s">
        <v>1323</v>
      </c>
      <c r="K783" s="420" t="s">
        <v>1140</v>
      </c>
      <c r="L783" s="421"/>
      <c r="M783" s="420" t="s">
        <v>7252</v>
      </c>
      <c r="N783" s="420" t="s">
        <v>7253</v>
      </c>
      <c r="O783" s="424" t="s">
        <v>7820</v>
      </c>
      <c r="P783" s="421"/>
      <c r="Q783" s="419">
        <v>0.5</v>
      </c>
      <c r="R783" s="419"/>
    </row>
    <row r="784" ht="12.75" customHeight="1" spans="1:18">
      <c r="A784" s="420">
        <v>43</v>
      </c>
      <c r="B784" s="421" t="s">
        <v>7821</v>
      </c>
      <c r="C784" s="421"/>
      <c r="D784" s="421"/>
      <c r="E784" s="418" t="s">
        <v>294</v>
      </c>
      <c r="F784" s="416" t="s">
        <v>3022</v>
      </c>
      <c r="G784" s="453" t="s">
        <v>7251</v>
      </c>
      <c r="H784" s="420" t="s">
        <v>6852</v>
      </c>
      <c r="I784" s="451"/>
      <c r="J784" s="420" t="s">
        <v>1323</v>
      </c>
      <c r="K784" s="420" t="s">
        <v>1140</v>
      </c>
      <c r="L784" s="421"/>
      <c r="M784" s="420" t="s">
        <v>7252</v>
      </c>
      <c r="N784" s="420" t="s">
        <v>7253</v>
      </c>
      <c r="O784" s="424" t="s">
        <v>7822</v>
      </c>
      <c r="P784" s="421"/>
      <c r="Q784" s="419">
        <v>0.5</v>
      </c>
      <c r="R784" s="419"/>
    </row>
    <row r="785" ht="12.75" customHeight="1" spans="1:18">
      <c r="A785" s="416">
        <v>1</v>
      </c>
      <c r="B785" s="417" t="s">
        <v>7823</v>
      </c>
      <c r="C785" s="417"/>
      <c r="D785" s="417"/>
      <c r="E785" s="418" t="s">
        <v>294</v>
      </c>
      <c r="F785" s="416" t="s">
        <v>3022</v>
      </c>
      <c r="G785" s="457">
        <v>45118</v>
      </c>
      <c r="H785" s="416" t="s">
        <v>6881</v>
      </c>
      <c r="I785" s="458"/>
      <c r="J785" s="416" t="s">
        <v>7249</v>
      </c>
      <c r="K785" s="416" t="s">
        <v>1016</v>
      </c>
      <c r="L785" s="417"/>
      <c r="M785" s="416" t="s">
        <v>7205</v>
      </c>
      <c r="N785" s="416" t="s">
        <v>7206</v>
      </c>
      <c r="O785" s="459" t="s">
        <v>7250</v>
      </c>
      <c r="P785" s="417"/>
      <c r="Q785" s="419">
        <v>0.5</v>
      </c>
      <c r="R785" s="419"/>
    </row>
    <row r="786" ht="12.75" customHeight="1" spans="1:18">
      <c r="A786" s="420">
        <v>2</v>
      </c>
      <c r="B786" s="421" t="s">
        <v>7824</v>
      </c>
      <c r="C786" s="421"/>
      <c r="D786" s="421"/>
      <c r="E786" s="418" t="s">
        <v>294</v>
      </c>
      <c r="F786" s="416" t="s">
        <v>3022</v>
      </c>
      <c r="G786" s="450">
        <v>45118</v>
      </c>
      <c r="H786" s="420" t="s">
        <v>6881</v>
      </c>
      <c r="I786" s="451" t="s">
        <v>7825</v>
      </c>
      <c r="J786" s="420" t="s">
        <v>7249</v>
      </c>
      <c r="K786" s="420" t="s">
        <v>1016</v>
      </c>
      <c r="L786" s="421"/>
      <c r="M786" s="420" t="s">
        <v>7205</v>
      </c>
      <c r="N786" s="420" t="s">
        <v>7206</v>
      </c>
      <c r="O786" s="424" t="s">
        <v>7250</v>
      </c>
      <c r="P786" s="421"/>
      <c r="Q786" s="419">
        <v>0.5</v>
      </c>
      <c r="R786" s="419"/>
    </row>
    <row r="787" ht="12.75" customHeight="1" spans="1:18">
      <c r="A787" s="420">
        <f t="shared" ref="A787:A789" si="13">1+A786</f>
        <v>3</v>
      </c>
      <c r="B787" s="421" t="s">
        <v>7826</v>
      </c>
      <c r="C787" s="421"/>
      <c r="D787" s="421"/>
      <c r="E787" s="418" t="s">
        <v>294</v>
      </c>
      <c r="F787" s="416" t="s">
        <v>3022</v>
      </c>
      <c r="G787" s="453" t="s">
        <v>3073</v>
      </c>
      <c r="H787" s="420" t="s">
        <v>6881</v>
      </c>
      <c r="I787" s="451" t="s">
        <v>7827</v>
      </c>
      <c r="J787" s="420" t="s">
        <v>7249</v>
      </c>
      <c r="K787" s="420" t="s">
        <v>1016</v>
      </c>
      <c r="L787" s="421"/>
      <c r="M787" s="420" t="s">
        <v>7205</v>
      </c>
      <c r="N787" s="420" t="s">
        <v>7206</v>
      </c>
      <c r="O787" s="424" t="s">
        <v>7250</v>
      </c>
      <c r="P787" s="421"/>
      <c r="Q787" s="419">
        <v>0.5</v>
      </c>
      <c r="R787" s="419"/>
    </row>
    <row r="788" ht="12.75" customHeight="1" spans="1:18">
      <c r="A788" s="420">
        <f t="shared" si="13"/>
        <v>4</v>
      </c>
      <c r="B788" s="421" t="s">
        <v>7828</v>
      </c>
      <c r="C788" s="421"/>
      <c r="D788" s="421"/>
      <c r="E788" s="418" t="s">
        <v>294</v>
      </c>
      <c r="F788" s="416" t="s">
        <v>3022</v>
      </c>
      <c r="G788" s="453" t="s">
        <v>3073</v>
      </c>
      <c r="H788" s="420" t="s">
        <v>6881</v>
      </c>
      <c r="I788" s="451"/>
      <c r="J788" s="420" t="s">
        <v>7249</v>
      </c>
      <c r="K788" s="420" t="s">
        <v>1016</v>
      </c>
      <c r="L788" s="421"/>
      <c r="M788" s="420" t="s">
        <v>7205</v>
      </c>
      <c r="N788" s="420" t="s">
        <v>7206</v>
      </c>
      <c r="O788" s="424" t="s">
        <v>7250</v>
      </c>
      <c r="P788" s="421"/>
      <c r="Q788" s="419">
        <v>0.5</v>
      </c>
      <c r="R788" s="419"/>
    </row>
    <row r="789" ht="12.75" customHeight="1" spans="1:18">
      <c r="A789" s="420">
        <f t="shared" si="13"/>
        <v>5</v>
      </c>
      <c r="B789" s="421" t="s">
        <v>7829</v>
      </c>
      <c r="C789" s="421"/>
      <c r="D789" s="421"/>
      <c r="E789" s="418" t="s">
        <v>294</v>
      </c>
      <c r="F789" s="416" t="s">
        <v>3022</v>
      </c>
      <c r="G789" s="453" t="s">
        <v>3073</v>
      </c>
      <c r="H789" s="420" t="s">
        <v>6881</v>
      </c>
      <c r="I789" s="451"/>
      <c r="J789" s="420" t="s">
        <v>7249</v>
      </c>
      <c r="K789" s="420" t="s">
        <v>1016</v>
      </c>
      <c r="L789" s="421"/>
      <c r="M789" s="420" t="s">
        <v>7205</v>
      </c>
      <c r="N789" s="420" t="s">
        <v>7206</v>
      </c>
      <c r="O789" s="424" t="s">
        <v>7250</v>
      </c>
      <c r="P789" s="421"/>
      <c r="Q789" s="419">
        <v>0.5</v>
      </c>
      <c r="R789" s="419"/>
    </row>
    <row r="790" ht="12.75" customHeight="1" spans="1:18">
      <c r="A790" s="420">
        <v>1</v>
      </c>
      <c r="B790" s="421" t="s">
        <v>7830</v>
      </c>
      <c r="C790" s="421"/>
      <c r="D790" s="421"/>
      <c r="E790" s="418" t="s">
        <v>294</v>
      </c>
      <c r="F790" s="416" t="s">
        <v>3022</v>
      </c>
      <c r="G790" s="453" t="s">
        <v>3073</v>
      </c>
      <c r="H790" s="420" t="s">
        <v>6881</v>
      </c>
      <c r="I790" s="451"/>
      <c r="J790" s="420" t="s">
        <v>7249</v>
      </c>
      <c r="K790" s="420" t="s">
        <v>1016</v>
      </c>
      <c r="L790" s="421"/>
      <c r="M790" s="420" t="s">
        <v>7205</v>
      </c>
      <c r="N790" s="420" t="s">
        <v>7206</v>
      </c>
      <c r="O790" s="424" t="s">
        <v>7250</v>
      </c>
      <c r="P790" s="421"/>
      <c r="Q790" s="419">
        <v>0.5</v>
      </c>
      <c r="R790" s="419"/>
    </row>
    <row r="791" ht="12.75" customHeight="1" spans="1:18">
      <c r="A791" s="420">
        <f t="shared" ref="A791:A795" si="14">1+A790</f>
        <v>2</v>
      </c>
      <c r="B791" s="421" t="s">
        <v>7831</v>
      </c>
      <c r="C791" s="421"/>
      <c r="D791" s="421"/>
      <c r="E791" s="418" t="s">
        <v>294</v>
      </c>
      <c r="F791" s="416" t="s">
        <v>3022</v>
      </c>
      <c r="G791" s="453" t="s">
        <v>7263</v>
      </c>
      <c r="H791" s="420" t="s">
        <v>6881</v>
      </c>
      <c r="I791" s="451"/>
      <c r="J791" s="420" t="s">
        <v>1323</v>
      </c>
      <c r="K791" s="420" t="s">
        <v>1140</v>
      </c>
      <c r="L791" s="421"/>
      <c r="M791" s="420" t="s">
        <v>7252</v>
      </c>
      <c r="N791" s="420" t="s">
        <v>7253</v>
      </c>
      <c r="O791" s="424" t="s">
        <v>7832</v>
      </c>
      <c r="P791" s="421"/>
      <c r="Q791" s="419">
        <v>0.5</v>
      </c>
      <c r="R791" s="419"/>
    </row>
    <row r="792" ht="12.75" customHeight="1" spans="1:18">
      <c r="A792" s="420">
        <f t="shared" si="14"/>
        <v>3</v>
      </c>
      <c r="B792" s="421" t="s">
        <v>7833</v>
      </c>
      <c r="C792" s="421"/>
      <c r="D792" s="421"/>
      <c r="E792" s="418" t="s">
        <v>294</v>
      </c>
      <c r="F792" s="416" t="s">
        <v>3022</v>
      </c>
      <c r="G792" s="453" t="s">
        <v>7263</v>
      </c>
      <c r="H792" s="420" t="s">
        <v>6881</v>
      </c>
      <c r="I792" s="451"/>
      <c r="J792" s="420" t="s">
        <v>1323</v>
      </c>
      <c r="K792" s="420" t="s">
        <v>1140</v>
      </c>
      <c r="L792" s="421"/>
      <c r="M792" s="420" t="s">
        <v>7252</v>
      </c>
      <c r="N792" s="420" t="s">
        <v>7253</v>
      </c>
      <c r="O792" s="424" t="s">
        <v>7834</v>
      </c>
      <c r="P792" s="421"/>
      <c r="Q792" s="419">
        <v>0.5</v>
      </c>
      <c r="R792" s="419"/>
    </row>
    <row r="793" ht="12.75" customHeight="1" spans="1:18">
      <c r="A793" s="420">
        <f t="shared" si="14"/>
        <v>4</v>
      </c>
      <c r="B793" s="421" t="s">
        <v>7835</v>
      </c>
      <c r="C793" s="421"/>
      <c r="D793" s="421"/>
      <c r="E793" s="418" t="s">
        <v>294</v>
      </c>
      <c r="F793" s="416" t="s">
        <v>3022</v>
      </c>
      <c r="G793" s="453" t="s">
        <v>7263</v>
      </c>
      <c r="H793" s="420" t="s">
        <v>6881</v>
      </c>
      <c r="I793" s="451"/>
      <c r="J793" s="420" t="s">
        <v>1323</v>
      </c>
      <c r="K793" s="420" t="s">
        <v>1140</v>
      </c>
      <c r="L793" s="421"/>
      <c r="M793" s="420" t="s">
        <v>7252</v>
      </c>
      <c r="N793" s="420" t="s">
        <v>7253</v>
      </c>
      <c r="O793" s="424" t="s">
        <v>7836</v>
      </c>
      <c r="P793" s="421"/>
      <c r="Q793" s="419">
        <v>0.5</v>
      </c>
      <c r="R793" s="419"/>
    </row>
    <row r="794" ht="12.75" customHeight="1" spans="1:18">
      <c r="A794" s="420">
        <f t="shared" si="14"/>
        <v>5</v>
      </c>
      <c r="B794" s="421" t="s">
        <v>7837</v>
      </c>
      <c r="C794" s="421"/>
      <c r="D794" s="421"/>
      <c r="E794" s="418" t="s">
        <v>294</v>
      </c>
      <c r="F794" s="416" t="s">
        <v>3022</v>
      </c>
      <c r="G794" s="453" t="s">
        <v>7263</v>
      </c>
      <c r="H794" s="420" t="s">
        <v>6881</v>
      </c>
      <c r="I794" s="451"/>
      <c r="J794" s="420" t="s">
        <v>1323</v>
      </c>
      <c r="K794" s="420" t="s">
        <v>1140</v>
      </c>
      <c r="L794" s="421"/>
      <c r="M794" s="420" t="s">
        <v>7252</v>
      </c>
      <c r="N794" s="420" t="s">
        <v>7253</v>
      </c>
      <c r="O794" s="424" t="s">
        <v>7838</v>
      </c>
      <c r="P794" s="421"/>
      <c r="Q794" s="419">
        <v>0.5</v>
      </c>
      <c r="R794" s="419"/>
    </row>
    <row r="795" ht="12.75" customHeight="1" spans="1:18">
      <c r="A795" s="420">
        <f t="shared" si="14"/>
        <v>6</v>
      </c>
      <c r="B795" s="421" t="s">
        <v>7839</v>
      </c>
      <c r="C795" s="421"/>
      <c r="D795" s="421"/>
      <c r="E795" s="418" t="s">
        <v>294</v>
      </c>
      <c r="F795" s="416" t="s">
        <v>3022</v>
      </c>
      <c r="G795" s="453" t="s">
        <v>7263</v>
      </c>
      <c r="H795" s="420" t="s">
        <v>6881</v>
      </c>
      <c r="I795" s="451" t="s">
        <v>7840</v>
      </c>
      <c r="J795" s="420" t="s">
        <v>1323</v>
      </c>
      <c r="K795" s="420" t="s">
        <v>1140</v>
      </c>
      <c r="L795" s="421"/>
      <c r="M795" s="420" t="s">
        <v>7252</v>
      </c>
      <c r="N795" s="420" t="s">
        <v>7253</v>
      </c>
      <c r="O795" s="424" t="s">
        <v>7841</v>
      </c>
      <c r="P795" s="421"/>
      <c r="Q795" s="419">
        <v>0.5</v>
      </c>
      <c r="R795" s="419"/>
    </row>
    <row r="796" ht="12.75" customHeight="1" spans="1:18">
      <c r="A796" s="420">
        <f>1+A190</f>
        <v>2</v>
      </c>
      <c r="B796" s="421" t="s">
        <v>7842</v>
      </c>
      <c r="C796" s="421"/>
      <c r="D796" s="421"/>
      <c r="E796" s="418" t="s">
        <v>294</v>
      </c>
      <c r="F796" s="416" t="s">
        <v>3022</v>
      </c>
      <c r="G796" s="453" t="s">
        <v>7251</v>
      </c>
      <c r="H796" s="420" t="s">
        <v>6881</v>
      </c>
      <c r="I796" s="451"/>
      <c r="J796" s="420" t="s">
        <v>1323</v>
      </c>
      <c r="K796" s="420" t="s">
        <v>1140</v>
      </c>
      <c r="L796" s="421"/>
      <c r="M796" s="420" t="s">
        <v>7252</v>
      </c>
      <c r="N796" s="420" t="s">
        <v>7253</v>
      </c>
      <c r="O796" s="424" t="s">
        <v>7843</v>
      </c>
      <c r="P796" s="421"/>
      <c r="Q796" s="419">
        <v>0.5</v>
      </c>
      <c r="R796" s="419"/>
    </row>
    <row r="797" ht="12.75" customHeight="1" spans="1:18">
      <c r="A797" s="420">
        <f t="shared" ref="A797:A798" si="15">1+A796</f>
        <v>3</v>
      </c>
      <c r="B797" s="421" t="s">
        <v>7844</v>
      </c>
      <c r="C797" s="421"/>
      <c r="D797" s="421"/>
      <c r="E797" s="418" t="s">
        <v>294</v>
      </c>
      <c r="F797" s="416" t="s">
        <v>3022</v>
      </c>
      <c r="G797" s="453" t="s">
        <v>7251</v>
      </c>
      <c r="H797" s="420" t="s">
        <v>6881</v>
      </c>
      <c r="I797" s="451"/>
      <c r="J797" s="420" t="s">
        <v>1323</v>
      </c>
      <c r="K797" s="420" t="s">
        <v>1140</v>
      </c>
      <c r="L797" s="421"/>
      <c r="M797" s="420" t="s">
        <v>7252</v>
      </c>
      <c r="N797" s="420" t="s">
        <v>7253</v>
      </c>
      <c r="O797" s="424" t="s">
        <v>7845</v>
      </c>
      <c r="P797" s="421"/>
      <c r="Q797" s="419">
        <v>0.5</v>
      </c>
      <c r="R797" s="419"/>
    </row>
    <row r="798" ht="12.75" customHeight="1" spans="1:18">
      <c r="A798" s="420">
        <f t="shared" si="15"/>
        <v>4</v>
      </c>
      <c r="B798" s="421" t="s">
        <v>7846</v>
      </c>
      <c r="C798" s="421"/>
      <c r="D798" s="421"/>
      <c r="E798" s="418" t="s">
        <v>294</v>
      </c>
      <c r="F798" s="416" t="s">
        <v>3022</v>
      </c>
      <c r="G798" s="453" t="s">
        <v>7251</v>
      </c>
      <c r="H798" s="420" t="s">
        <v>6881</v>
      </c>
      <c r="I798" s="451"/>
      <c r="J798" s="420" t="s">
        <v>1323</v>
      </c>
      <c r="K798" s="420" t="s">
        <v>1140</v>
      </c>
      <c r="L798" s="421"/>
      <c r="M798" s="420" t="s">
        <v>7252</v>
      </c>
      <c r="N798" s="420" t="s">
        <v>7253</v>
      </c>
      <c r="O798" s="424" t="s">
        <v>7847</v>
      </c>
      <c r="P798" s="421"/>
      <c r="Q798" s="419">
        <v>0.5</v>
      </c>
      <c r="R798" s="419"/>
    </row>
    <row r="799" ht="12.75" customHeight="1" spans="1:18">
      <c r="A799" s="249">
        <f>A380+1</f>
        <v>6</v>
      </c>
      <c r="B799" s="387" t="s">
        <v>7848</v>
      </c>
      <c r="C799" s="387"/>
      <c r="D799" s="387"/>
      <c r="E799" s="388" t="s">
        <v>294</v>
      </c>
      <c r="F799" s="416" t="s">
        <v>3022</v>
      </c>
      <c r="G799" s="249"/>
      <c r="H799" s="363" t="s">
        <v>4632</v>
      </c>
      <c r="I799" s="387" t="s">
        <v>7849</v>
      </c>
      <c r="J799" s="249" t="s">
        <v>7204</v>
      </c>
      <c r="K799" s="249" t="s">
        <v>1016</v>
      </c>
      <c r="L799" s="387"/>
      <c r="M799" s="249" t="s">
        <v>7205</v>
      </c>
      <c r="N799" s="249" t="s">
        <v>7206</v>
      </c>
      <c r="O799" s="387"/>
      <c r="P799" s="387"/>
      <c r="Q799" s="390">
        <v>0.5</v>
      </c>
      <c r="R799" s="390"/>
    </row>
    <row r="800" ht="12.75" customHeight="1" spans="1:18">
      <c r="A800" s="249">
        <f>A799+1</f>
        <v>7</v>
      </c>
      <c r="B800" s="387" t="s">
        <v>7850</v>
      </c>
      <c r="C800" s="387"/>
      <c r="D800" s="387"/>
      <c r="E800" s="388" t="s">
        <v>294</v>
      </c>
      <c r="F800" s="416" t="s">
        <v>3022</v>
      </c>
      <c r="G800" s="249"/>
      <c r="H800" s="363" t="s">
        <v>4632</v>
      </c>
      <c r="I800" s="387" t="s">
        <v>7849</v>
      </c>
      <c r="J800" s="249" t="s">
        <v>7204</v>
      </c>
      <c r="K800" s="249" t="s">
        <v>1016</v>
      </c>
      <c r="L800" s="387"/>
      <c r="M800" s="249" t="s">
        <v>7205</v>
      </c>
      <c r="N800" s="249" t="s">
        <v>7206</v>
      </c>
      <c r="O800" s="387"/>
      <c r="P800" s="387"/>
      <c r="Q800" s="390">
        <v>0.5</v>
      </c>
      <c r="R800" s="390"/>
    </row>
    <row r="801" ht="12.75" customHeight="1" spans="1:18">
      <c r="A801" s="460"/>
      <c r="B801" s="461"/>
      <c r="C801" s="461"/>
      <c r="D801" s="461"/>
      <c r="E801" s="461"/>
      <c r="F801" s="460"/>
      <c r="G801" s="460"/>
      <c r="H801" s="460"/>
      <c r="I801" s="461"/>
      <c r="J801" s="460"/>
      <c r="K801" s="460"/>
      <c r="L801" s="461"/>
      <c r="M801" s="460"/>
      <c r="N801" s="460"/>
      <c r="O801" s="461"/>
      <c r="P801" s="461"/>
      <c r="Q801" s="461"/>
      <c r="R801" s="461"/>
    </row>
    <row r="802" ht="12.75" customHeight="1" spans="1:18">
      <c r="A802" s="460"/>
      <c r="B802" s="461"/>
      <c r="C802" s="461"/>
      <c r="D802" s="461"/>
      <c r="E802" s="461"/>
      <c r="F802" s="460"/>
      <c r="G802" s="460"/>
      <c r="H802" s="460"/>
      <c r="I802" s="461"/>
      <c r="J802" s="460"/>
      <c r="K802" s="460"/>
      <c r="L802" s="461"/>
      <c r="M802" s="460"/>
      <c r="N802" s="460"/>
      <c r="O802" s="461"/>
      <c r="P802" s="461"/>
      <c r="Q802" s="461"/>
      <c r="R802" s="461"/>
    </row>
    <row r="803" ht="12.75" customHeight="1" spans="1:18">
      <c r="A803" s="460"/>
      <c r="B803" s="461"/>
      <c r="C803" s="461"/>
      <c r="D803" s="461"/>
      <c r="E803" s="461"/>
      <c r="F803" s="460"/>
      <c r="G803" s="460"/>
      <c r="H803" s="460"/>
      <c r="I803" s="461"/>
      <c r="J803" s="460"/>
      <c r="K803" s="460"/>
      <c r="L803" s="461"/>
      <c r="M803" s="460"/>
      <c r="N803" s="460"/>
      <c r="O803" s="461"/>
      <c r="P803" s="461"/>
      <c r="Q803" s="461"/>
      <c r="R803" s="461"/>
    </row>
    <row r="804" ht="12.75" customHeight="1" spans="1:18">
      <c r="A804" s="460"/>
      <c r="B804" s="461"/>
      <c r="C804" s="461"/>
      <c r="D804" s="461"/>
      <c r="E804" s="461"/>
      <c r="F804" s="460"/>
      <c r="G804" s="460"/>
      <c r="H804" s="460"/>
      <c r="I804" s="461"/>
      <c r="J804" s="460"/>
      <c r="K804" s="460"/>
      <c r="L804" s="461"/>
      <c r="M804" s="460"/>
      <c r="N804" s="460"/>
      <c r="O804" s="461"/>
      <c r="P804" s="461"/>
      <c r="Q804" s="461"/>
      <c r="R804" s="461"/>
    </row>
    <row r="805" ht="12.75" customHeight="1" spans="1:18">
      <c r="A805" s="460"/>
      <c r="B805" s="461"/>
      <c r="C805" s="461"/>
      <c r="D805" s="461"/>
      <c r="E805" s="461"/>
      <c r="F805" s="460"/>
      <c r="G805" s="460"/>
      <c r="H805" s="460"/>
      <c r="I805" s="461"/>
      <c r="J805" s="460"/>
      <c r="K805" s="460"/>
      <c r="L805" s="461"/>
      <c r="M805" s="460"/>
      <c r="N805" s="460"/>
      <c r="O805" s="461"/>
      <c r="P805" s="461"/>
      <c r="Q805" s="461"/>
      <c r="R805" s="461"/>
    </row>
    <row r="806" ht="12.75" customHeight="1" spans="1:18">
      <c r="A806" s="460"/>
      <c r="B806" s="461"/>
      <c r="C806" s="461"/>
      <c r="D806" s="461"/>
      <c r="E806" s="461"/>
      <c r="F806" s="460"/>
      <c r="G806" s="460"/>
      <c r="H806" s="460"/>
      <c r="I806" s="461"/>
      <c r="J806" s="460"/>
      <c r="K806" s="460"/>
      <c r="L806" s="461"/>
      <c r="M806" s="460"/>
      <c r="N806" s="460"/>
      <c r="O806" s="461"/>
      <c r="P806" s="461"/>
      <c r="Q806" s="461"/>
      <c r="R806" s="461"/>
    </row>
    <row r="807" ht="12.75" customHeight="1" spans="1:18">
      <c r="A807" s="460"/>
      <c r="B807" s="461"/>
      <c r="C807" s="461"/>
      <c r="D807" s="461"/>
      <c r="E807" s="461"/>
      <c r="F807" s="460"/>
      <c r="G807" s="460"/>
      <c r="H807" s="460"/>
      <c r="I807" s="461"/>
      <c r="J807" s="460"/>
      <c r="K807" s="460"/>
      <c r="L807" s="461"/>
      <c r="M807" s="460"/>
      <c r="N807" s="460"/>
      <c r="O807" s="461"/>
      <c r="P807" s="461"/>
      <c r="Q807" s="461"/>
      <c r="R807" s="461"/>
    </row>
    <row r="808" ht="12.75" customHeight="1" spans="1:18">
      <c r="A808" s="460"/>
      <c r="B808" s="461"/>
      <c r="C808" s="461"/>
      <c r="D808" s="461"/>
      <c r="E808" s="461"/>
      <c r="F808" s="460"/>
      <c r="G808" s="460"/>
      <c r="H808" s="460"/>
      <c r="I808" s="461"/>
      <c r="J808" s="460"/>
      <c r="K808" s="460"/>
      <c r="L808" s="461"/>
      <c r="M808" s="460"/>
      <c r="N808" s="460"/>
      <c r="O808" s="461"/>
      <c r="P808" s="461"/>
      <c r="Q808" s="461"/>
      <c r="R808" s="461"/>
    </row>
    <row r="809" ht="12.75" customHeight="1" spans="1:18">
      <c r="A809" s="460"/>
      <c r="B809" s="461"/>
      <c r="C809" s="461"/>
      <c r="D809" s="461"/>
      <c r="E809" s="461"/>
      <c r="F809" s="460"/>
      <c r="G809" s="460"/>
      <c r="H809" s="460"/>
      <c r="I809" s="461"/>
      <c r="J809" s="460"/>
      <c r="K809" s="460"/>
      <c r="L809" s="461"/>
      <c r="M809" s="460"/>
      <c r="N809" s="460"/>
      <c r="O809" s="461"/>
      <c r="P809" s="461"/>
      <c r="Q809" s="461"/>
      <c r="R809" s="461"/>
    </row>
    <row r="810" ht="12.75" customHeight="1" spans="1:18">
      <c r="A810" s="460"/>
      <c r="B810" s="461"/>
      <c r="C810" s="461"/>
      <c r="D810" s="461"/>
      <c r="E810" s="461"/>
      <c r="F810" s="460"/>
      <c r="G810" s="460"/>
      <c r="H810" s="460"/>
      <c r="I810" s="461"/>
      <c r="J810" s="460"/>
      <c r="K810" s="460"/>
      <c r="L810" s="461"/>
      <c r="M810" s="460"/>
      <c r="N810" s="460"/>
      <c r="O810" s="461"/>
      <c r="P810" s="461"/>
      <c r="Q810" s="461"/>
      <c r="R810" s="461"/>
    </row>
    <row r="811" ht="12.75" customHeight="1" spans="1:18">
      <c r="A811" s="460"/>
      <c r="B811" s="461"/>
      <c r="C811" s="461"/>
      <c r="D811" s="461"/>
      <c r="E811" s="461"/>
      <c r="F811" s="460"/>
      <c r="G811" s="460"/>
      <c r="H811" s="460"/>
      <c r="I811" s="461"/>
      <c r="J811" s="460"/>
      <c r="K811" s="460"/>
      <c r="L811" s="461"/>
      <c r="M811" s="460"/>
      <c r="N811" s="460"/>
      <c r="O811" s="461"/>
      <c r="P811" s="461"/>
      <c r="Q811" s="461"/>
      <c r="R811" s="461"/>
    </row>
    <row r="812" ht="12.75" customHeight="1" spans="1:18">
      <c r="A812" s="460"/>
      <c r="B812" s="461"/>
      <c r="C812" s="461"/>
      <c r="D812" s="461"/>
      <c r="E812" s="461"/>
      <c r="F812" s="460"/>
      <c r="G812" s="460"/>
      <c r="H812" s="460"/>
      <c r="I812" s="461"/>
      <c r="J812" s="460"/>
      <c r="K812" s="460"/>
      <c r="L812" s="461"/>
      <c r="M812" s="460"/>
      <c r="N812" s="460"/>
      <c r="O812" s="461"/>
      <c r="P812" s="461"/>
      <c r="Q812" s="461"/>
      <c r="R812" s="461"/>
    </row>
    <row r="813" ht="12.75" customHeight="1" spans="1:18">
      <c r="A813" s="460"/>
      <c r="B813" s="461"/>
      <c r="C813" s="461"/>
      <c r="D813" s="461"/>
      <c r="E813" s="461"/>
      <c r="F813" s="460"/>
      <c r="G813" s="460"/>
      <c r="H813" s="460"/>
      <c r="I813" s="461"/>
      <c r="J813" s="460"/>
      <c r="K813" s="460"/>
      <c r="L813" s="461"/>
      <c r="M813" s="460"/>
      <c r="N813" s="460"/>
      <c r="O813" s="461"/>
      <c r="P813" s="461"/>
      <c r="Q813" s="461"/>
      <c r="R813" s="461"/>
    </row>
    <row r="814" ht="12.75" customHeight="1" spans="1:18">
      <c r="A814" s="460"/>
      <c r="B814" s="461"/>
      <c r="C814" s="461"/>
      <c r="D814" s="461"/>
      <c r="E814" s="461"/>
      <c r="F814" s="460"/>
      <c r="G814" s="460"/>
      <c r="H814" s="460"/>
      <c r="I814" s="461"/>
      <c r="J814" s="460"/>
      <c r="K814" s="460"/>
      <c r="L814" s="461"/>
      <c r="M814" s="460"/>
      <c r="N814" s="460"/>
      <c r="O814" s="461"/>
      <c r="P814" s="461"/>
      <c r="Q814" s="461"/>
      <c r="R814" s="461"/>
    </row>
    <row r="815" ht="12.75" customHeight="1" spans="1:18">
      <c r="A815" s="460"/>
      <c r="B815" s="461"/>
      <c r="C815" s="461"/>
      <c r="D815" s="461"/>
      <c r="E815" s="461"/>
      <c r="F815" s="460"/>
      <c r="G815" s="460"/>
      <c r="H815" s="460"/>
      <c r="I815" s="461"/>
      <c r="J815" s="460"/>
      <c r="K815" s="460"/>
      <c r="L815" s="461"/>
      <c r="M815" s="460"/>
      <c r="N815" s="460"/>
      <c r="O815" s="461"/>
      <c r="P815" s="461"/>
      <c r="Q815" s="461"/>
      <c r="R815" s="461"/>
    </row>
    <row r="816" ht="12.75" customHeight="1" spans="1:18">
      <c r="A816" s="460"/>
      <c r="B816" s="461"/>
      <c r="C816" s="461"/>
      <c r="D816" s="461"/>
      <c r="E816" s="461"/>
      <c r="F816" s="460"/>
      <c r="G816" s="460"/>
      <c r="H816" s="460"/>
      <c r="I816" s="461"/>
      <c r="J816" s="460"/>
      <c r="K816" s="460"/>
      <c r="L816" s="461"/>
      <c r="M816" s="460"/>
      <c r="N816" s="460"/>
      <c r="O816" s="461"/>
      <c r="P816" s="461"/>
      <c r="Q816" s="461"/>
      <c r="R816" s="461"/>
    </row>
    <row r="817" ht="12.75" customHeight="1" spans="1:18">
      <c r="A817" s="460"/>
      <c r="B817" s="461"/>
      <c r="C817" s="461"/>
      <c r="D817" s="461"/>
      <c r="E817" s="461"/>
      <c r="F817" s="460"/>
      <c r="G817" s="460"/>
      <c r="H817" s="460"/>
      <c r="I817" s="461"/>
      <c r="J817" s="460"/>
      <c r="K817" s="460"/>
      <c r="L817" s="461"/>
      <c r="M817" s="460"/>
      <c r="N817" s="460"/>
      <c r="O817" s="461"/>
      <c r="P817" s="461"/>
      <c r="Q817" s="461"/>
      <c r="R817" s="461"/>
    </row>
    <row r="818" ht="12.75" customHeight="1" spans="1:18">
      <c r="A818" s="460"/>
      <c r="B818" s="461"/>
      <c r="C818" s="461"/>
      <c r="D818" s="461"/>
      <c r="E818" s="461"/>
      <c r="F818" s="460"/>
      <c r="G818" s="460"/>
      <c r="H818" s="460"/>
      <c r="I818" s="461"/>
      <c r="J818" s="460"/>
      <c r="K818" s="460"/>
      <c r="L818" s="461"/>
      <c r="M818" s="460"/>
      <c r="N818" s="460"/>
      <c r="O818" s="461"/>
      <c r="P818" s="461"/>
      <c r="Q818" s="461"/>
      <c r="R818" s="461"/>
    </row>
    <row r="819" ht="12.75" customHeight="1" spans="1:18">
      <c r="A819" s="460"/>
      <c r="B819" s="461"/>
      <c r="C819" s="461"/>
      <c r="D819" s="461"/>
      <c r="E819" s="461"/>
      <c r="F819" s="460"/>
      <c r="G819" s="460"/>
      <c r="H819" s="460"/>
      <c r="I819" s="461"/>
      <c r="J819" s="460"/>
      <c r="K819" s="460"/>
      <c r="L819" s="461"/>
      <c r="M819" s="460"/>
      <c r="N819" s="460"/>
      <c r="O819" s="461"/>
      <c r="P819" s="461"/>
      <c r="Q819" s="461"/>
      <c r="R819" s="461"/>
    </row>
    <row r="820" ht="12.75" customHeight="1" spans="1:18">
      <c r="A820" s="460"/>
      <c r="B820" s="461"/>
      <c r="C820" s="461"/>
      <c r="D820" s="461"/>
      <c r="E820" s="461"/>
      <c r="F820" s="460"/>
      <c r="G820" s="460"/>
      <c r="H820" s="460"/>
      <c r="I820" s="461"/>
      <c r="J820" s="460"/>
      <c r="K820" s="460"/>
      <c r="L820" s="461"/>
      <c r="M820" s="460"/>
      <c r="N820" s="460"/>
      <c r="O820" s="461"/>
      <c r="P820" s="461"/>
      <c r="Q820" s="461"/>
      <c r="R820" s="461"/>
    </row>
    <row r="821" ht="12.75" customHeight="1" spans="1:18">
      <c r="A821" s="460"/>
      <c r="B821" s="461"/>
      <c r="C821" s="461"/>
      <c r="D821" s="461"/>
      <c r="E821" s="461"/>
      <c r="F821" s="460"/>
      <c r="G821" s="460"/>
      <c r="H821" s="460"/>
      <c r="I821" s="461"/>
      <c r="J821" s="460"/>
      <c r="K821" s="460"/>
      <c r="L821" s="461"/>
      <c r="M821" s="460"/>
      <c r="N821" s="460"/>
      <c r="O821" s="461"/>
      <c r="P821" s="461"/>
      <c r="Q821" s="461"/>
      <c r="R821" s="461"/>
    </row>
    <row r="822" ht="12.75" customHeight="1" spans="1:18">
      <c r="A822" s="460"/>
      <c r="B822" s="461"/>
      <c r="C822" s="461"/>
      <c r="D822" s="461"/>
      <c r="E822" s="461"/>
      <c r="F822" s="460"/>
      <c r="G822" s="460"/>
      <c r="H822" s="460"/>
      <c r="I822" s="461"/>
      <c r="J822" s="460"/>
      <c r="K822" s="460"/>
      <c r="L822" s="461"/>
      <c r="M822" s="460"/>
      <c r="N822" s="460"/>
      <c r="O822" s="461"/>
      <c r="P822" s="461"/>
      <c r="Q822" s="461"/>
      <c r="R822" s="461"/>
    </row>
    <row r="823" ht="12.75" customHeight="1" spans="1:18">
      <c r="A823" s="460"/>
      <c r="B823" s="461"/>
      <c r="C823" s="461"/>
      <c r="D823" s="461"/>
      <c r="E823" s="461"/>
      <c r="F823" s="460"/>
      <c r="G823" s="460"/>
      <c r="H823" s="460"/>
      <c r="I823" s="461"/>
      <c r="J823" s="460"/>
      <c r="K823" s="460"/>
      <c r="L823" s="461"/>
      <c r="M823" s="460"/>
      <c r="N823" s="460"/>
      <c r="O823" s="461"/>
      <c r="P823" s="461"/>
      <c r="Q823" s="461"/>
      <c r="R823" s="461"/>
    </row>
    <row r="824" ht="12.75" customHeight="1" spans="1:18">
      <c r="A824" s="460"/>
      <c r="B824" s="461"/>
      <c r="C824" s="461"/>
      <c r="D824" s="461"/>
      <c r="E824" s="461"/>
      <c r="F824" s="460"/>
      <c r="G824" s="460"/>
      <c r="H824" s="460"/>
      <c r="I824" s="461"/>
      <c r="J824" s="460"/>
      <c r="K824" s="460"/>
      <c r="L824" s="461"/>
      <c r="M824" s="460"/>
      <c r="N824" s="460"/>
      <c r="O824" s="461"/>
      <c r="P824" s="461"/>
      <c r="Q824" s="461"/>
      <c r="R824" s="461"/>
    </row>
    <row r="825" ht="12.75" customHeight="1" spans="1:18">
      <c r="A825" s="460"/>
      <c r="B825" s="461"/>
      <c r="C825" s="461"/>
      <c r="D825" s="461"/>
      <c r="E825" s="461"/>
      <c r="F825" s="460"/>
      <c r="G825" s="460"/>
      <c r="H825" s="460"/>
      <c r="I825" s="461"/>
      <c r="J825" s="460"/>
      <c r="K825" s="460"/>
      <c r="L825" s="461"/>
      <c r="M825" s="460"/>
      <c r="N825" s="460"/>
      <c r="O825" s="461"/>
      <c r="P825" s="461"/>
      <c r="Q825" s="461"/>
      <c r="R825" s="461"/>
    </row>
    <row r="826" ht="12.75" customHeight="1" spans="1:18">
      <c r="A826" s="460"/>
      <c r="B826" s="461"/>
      <c r="C826" s="461"/>
      <c r="D826" s="461"/>
      <c r="E826" s="461"/>
      <c r="F826" s="460"/>
      <c r="G826" s="460"/>
      <c r="H826" s="460"/>
      <c r="I826" s="461"/>
      <c r="J826" s="460"/>
      <c r="K826" s="460"/>
      <c r="L826" s="461"/>
      <c r="M826" s="460"/>
      <c r="N826" s="460"/>
      <c r="O826" s="461"/>
      <c r="P826" s="461"/>
      <c r="Q826" s="461"/>
      <c r="R826" s="461"/>
    </row>
    <row r="827" ht="12.75" customHeight="1" spans="1:18">
      <c r="A827" s="460"/>
      <c r="B827" s="461"/>
      <c r="C827" s="461"/>
      <c r="D827" s="461"/>
      <c r="E827" s="461"/>
      <c r="F827" s="460"/>
      <c r="G827" s="460"/>
      <c r="H827" s="460"/>
      <c r="I827" s="461"/>
      <c r="J827" s="460"/>
      <c r="K827" s="460"/>
      <c r="L827" s="461"/>
      <c r="M827" s="460"/>
      <c r="N827" s="460"/>
      <c r="O827" s="461"/>
      <c r="P827" s="461"/>
      <c r="Q827" s="461"/>
      <c r="R827" s="461"/>
    </row>
    <row r="828" ht="12.75" customHeight="1" spans="1:18">
      <c r="A828" s="460"/>
      <c r="B828" s="461"/>
      <c r="C828" s="461"/>
      <c r="D828" s="461"/>
      <c r="E828" s="461"/>
      <c r="F828" s="460"/>
      <c r="G828" s="460"/>
      <c r="H828" s="460"/>
      <c r="I828" s="461"/>
      <c r="J828" s="460"/>
      <c r="K828" s="460"/>
      <c r="L828" s="461"/>
      <c r="M828" s="460"/>
      <c r="N828" s="460"/>
      <c r="O828" s="461"/>
      <c r="P828" s="461"/>
      <c r="Q828" s="461"/>
      <c r="R828" s="461"/>
    </row>
    <row r="829" ht="12.75" customHeight="1" spans="1:18">
      <c r="A829" s="460"/>
      <c r="B829" s="461"/>
      <c r="C829" s="461"/>
      <c r="D829" s="461"/>
      <c r="E829" s="461"/>
      <c r="F829" s="460"/>
      <c r="G829" s="460"/>
      <c r="H829" s="460"/>
      <c r="I829" s="461"/>
      <c r="J829" s="460"/>
      <c r="K829" s="460"/>
      <c r="L829" s="461"/>
      <c r="M829" s="460"/>
      <c r="N829" s="460"/>
      <c r="O829" s="461"/>
      <c r="P829" s="461"/>
      <c r="Q829" s="461"/>
      <c r="R829" s="461"/>
    </row>
    <row r="830" ht="12.75" customHeight="1" spans="1:18">
      <c r="A830" s="460"/>
      <c r="B830" s="461"/>
      <c r="C830" s="461"/>
      <c r="D830" s="461"/>
      <c r="E830" s="461"/>
      <c r="F830" s="460"/>
      <c r="G830" s="460"/>
      <c r="H830" s="460"/>
      <c r="I830" s="461"/>
      <c r="J830" s="460"/>
      <c r="K830" s="460"/>
      <c r="L830" s="461"/>
      <c r="M830" s="460"/>
      <c r="N830" s="460"/>
      <c r="O830" s="461"/>
      <c r="P830" s="461"/>
      <c r="Q830" s="461"/>
      <c r="R830" s="461"/>
    </row>
    <row r="831" ht="12.75" customHeight="1" spans="1:18">
      <c r="A831" s="460"/>
      <c r="B831" s="461"/>
      <c r="C831" s="461"/>
      <c r="D831" s="461"/>
      <c r="E831" s="461"/>
      <c r="F831" s="460"/>
      <c r="G831" s="460"/>
      <c r="H831" s="460"/>
      <c r="I831" s="461"/>
      <c r="J831" s="460"/>
      <c r="K831" s="460"/>
      <c r="L831" s="461"/>
      <c r="M831" s="460"/>
      <c r="N831" s="460"/>
      <c r="O831" s="461"/>
      <c r="P831" s="461"/>
      <c r="Q831" s="461"/>
      <c r="R831" s="461"/>
    </row>
    <row r="832" ht="12.75" customHeight="1" spans="1:18">
      <c r="A832" s="460"/>
      <c r="B832" s="461"/>
      <c r="C832" s="461"/>
      <c r="D832" s="461"/>
      <c r="E832" s="461"/>
      <c r="F832" s="460"/>
      <c r="G832" s="460"/>
      <c r="H832" s="460"/>
      <c r="I832" s="461"/>
      <c r="J832" s="460"/>
      <c r="K832" s="460"/>
      <c r="L832" s="461"/>
      <c r="M832" s="460"/>
      <c r="N832" s="460"/>
      <c r="O832" s="461"/>
      <c r="P832" s="461"/>
      <c r="Q832" s="461"/>
      <c r="R832" s="461"/>
    </row>
    <row r="833" ht="12.75" customHeight="1" spans="1:18">
      <c r="A833" s="460"/>
      <c r="B833" s="461"/>
      <c r="C833" s="461"/>
      <c r="D833" s="461"/>
      <c r="E833" s="461"/>
      <c r="F833" s="460"/>
      <c r="G833" s="460"/>
      <c r="H833" s="460"/>
      <c r="I833" s="461"/>
      <c r="J833" s="460"/>
      <c r="K833" s="460"/>
      <c r="L833" s="461"/>
      <c r="M833" s="460"/>
      <c r="N833" s="460"/>
      <c r="O833" s="461"/>
      <c r="P833" s="461"/>
      <c r="Q833" s="461"/>
      <c r="R833" s="461"/>
    </row>
    <row r="834" ht="12.75" customHeight="1" spans="1:18">
      <c r="A834" s="460"/>
      <c r="B834" s="461"/>
      <c r="C834" s="461"/>
      <c r="D834" s="461"/>
      <c r="E834" s="461"/>
      <c r="F834" s="460"/>
      <c r="G834" s="460"/>
      <c r="H834" s="460"/>
      <c r="I834" s="461"/>
      <c r="J834" s="460"/>
      <c r="K834" s="460"/>
      <c r="L834" s="461"/>
      <c r="M834" s="460"/>
      <c r="N834" s="460"/>
      <c r="O834" s="461"/>
      <c r="P834" s="461"/>
      <c r="Q834" s="461"/>
      <c r="R834" s="461"/>
    </row>
    <row r="835" ht="12.75" customHeight="1" spans="1:18">
      <c r="A835" s="460"/>
      <c r="B835" s="461"/>
      <c r="C835" s="461"/>
      <c r="D835" s="461"/>
      <c r="E835" s="461"/>
      <c r="F835" s="460"/>
      <c r="G835" s="460"/>
      <c r="H835" s="460"/>
      <c r="I835" s="461"/>
      <c r="J835" s="460"/>
      <c r="K835" s="460"/>
      <c r="L835" s="461"/>
      <c r="M835" s="460"/>
      <c r="N835" s="460"/>
      <c r="O835" s="461"/>
      <c r="P835" s="461"/>
      <c r="Q835" s="461"/>
      <c r="R835" s="461"/>
    </row>
    <row r="836" ht="12.75" customHeight="1" spans="1:18">
      <c r="A836" s="460"/>
      <c r="B836" s="461"/>
      <c r="C836" s="461"/>
      <c r="D836" s="461"/>
      <c r="E836" s="461"/>
      <c r="F836" s="460"/>
      <c r="G836" s="460"/>
      <c r="H836" s="460"/>
      <c r="I836" s="461"/>
      <c r="J836" s="460"/>
      <c r="K836" s="460"/>
      <c r="L836" s="461"/>
      <c r="M836" s="460"/>
      <c r="N836" s="460"/>
      <c r="O836" s="461"/>
      <c r="P836" s="461"/>
      <c r="Q836" s="461"/>
      <c r="R836" s="461"/>
    </row>
    <row r="837" ht="12.75" customHeight="1" spans="1:18">
      <c r="A837" s="460"/>
      <c r="B837" s="461"/>
      <c r="C837" s="461"/>
      <c r="D837" s="461"/>
      <c r="E837" s="461"/>
      <c r="F837" s="460"/>
      <c r="G837" s="460"/>
      <c r="H837" s="460"/>
      <c r="I837" s="461"/>
      <c r="J837" s="460"/>
      <c r="K837" s="460"/>
      <c r="L837" s="461"/>
      <c r="M837" s="460"/>
      <c r="N837" s="460"/>
      <c r="O837" s="461"/>
      <c r="P837" s="461"/>
      <c r="Q837" s="461"/>
      <c r="R837" s="461"/>
    </row>
    <row r="838" ht="12.75" customHeight="1" spans="1:18">
      <c r="A838" s="460"/>
      <c r="B838" s="461"/>
      <c r="C838" s="461"/>
      <c r="D838" s="461"/>
      <c r="E838" s="461"/>
      <c r="F838" s="460"/>
      <c r="G838" s="460"/>
      <c r="H838" s="460"/>
      <c r="I838" s="461"/>
      <c r="J838" s="460"/>
      <c r="K838" s="460"/>
      <c r="L838" s="461"/>
      <c r="M838" s="460"/>
      <c r="N838" s="460"/>
      <c r="O838" s="461"/>
      <c r="P838" s="461"/>
      <c r="Q838" s="461"/>
      <c r="R838" s="461"/>
    </row>
    <row r="839" ht="12.75" customHeight="1" spans="1:18">
      <c r="A839" s="460"/>
      <c r="B839" s="461"/>
      <c r="C839" s="461"/>
      <c r="D839" s="461"/>
      <c r="E839" s="461"/>
      <c r="F839" s="460"/>
      <c r="G839" s="460"/>
      <c r="H839" s="460"/>
      <c r="I839" s="461"/>
      <c r="J839" s="460"/>
      <c r="K839" s="460"/>
      <c r="L839" s="461"/>
      <c r="M839" s="460"/>
      <c r="N839" s="460"/>
      <c r="O839" s="461"/>
      <c r="P839" s="461"/>
      <c r="Q839" s="461"/>
      <c r="R839" s="461"/>
    </row>
    <row r="840" ht="12.75" customHeight="1" spans="1:18">
      <c r="A840" s="460"/>
      <c r="B840" s="461"/>
      <c r="C840" s="461"/>
      <c r="D840" s="461"/>
      <c r="E840" s="461"/>
      <c r="F840" s="460"/>
      <c r="G840" s="460"/>
      <c r="H840" s="460"/>
      <c r="I840" s="461"/>
      <c r="J840" s="460"/>
      <c r="K840" s="460"/>
      <c r="L840" s="461"/>
      <c r="M840" s="460"/>
      <c r="N840" s="460"/>
      <c r="O840" s="461"/>
      <c r="P840" s="461"/>
      <c r="Q840" s="461"/>
      <c r="R840" s="461"/>
    </row>
    <row r="841" ht="12.75" customHeight="1" spans="1:18">
      <c r="A841" s="460"/>
      <c r="B841" s="461"/>
      <c r="C841" s="461"/>
      <c r="D841" s="461"/>
      <c r="E841" s="461"/>
      <c r="F841" s="460"/>
      <c r="G841" s="460"/>
      <c r="H841" s="460"/>
      <c r="I841" s="461"/>
      <c r="J841" s="460"/>
      <c r="K841" s="460"/>
      <c r="L841" s="461"/>
      <c r="M841" s="460"/>
      <c r="N841" s="460"/>
      <c r="O841" s="461"/>
      <c r="P841" s="461"/>
      <c r="Q841" s="461"/>
      <c r="R841" s="461"/>
    </row>
    <row r="842" ht="12.75" customHeight="1" spans="1:18">
      <c r="A842" s="460"/>
      <c r="B842" s="461"/>
      <c r="C842" s="461"/>
      <c r="D842" s="461"/>
      <c r="E842" s="461"/>
      <c r="F842" s="460"/>
      <c r="G842" s="460"/>
      <c r="H842" s="460"/>
      <c r="I842" s="461"/>
      <c r="J842" s="460"/>
      <c r="K842" s="460"/>
      <c r="L842" s="461"/>
      <c r="M842" s="460"/>
      <c r="N842" s="460"/>
      <c r="O842" s="461"/>
      <c r="P842" s="461"/>
      <c r="Q842" s="461"/>
      <c r="R842" s="461"/>
    </row>
    <row r="843" ht="12.75" customHeight="1" spans="1:18">
      <c r="A843" s="460"/>
      <c r="B843" s="461"/>
      <c r="C843" s="461"/>
      <c r="D843" s="461"/>
      <c r="E843" s="461"/>
      <c r="F843" s="460"/>
      <c r="G843" s="460"/>
      <c r="H843" s="460"/>
      <c r="I843" s="461"/>
      <c r="J843" s="460"/>
      <c r="K843" s="460"/>
      <c r="L843" s="461"/>
      <c r="M843" s="460"/>
      <c r="N843" s="460"/>
      <c r="O843" s="461"/>
      <c r="P843" s="461"/>
      <c r="Q843" s="461"/>
      <c r="R843" s="461"/>
    </row>
    <row r="844" ht="12.75" customHeight="1" spans="1:18">
      <c r="A844" s="460"/>
      <c r="B844" s="461"/>
      <c r="C844" s="461"/>
      <c r="D844" s="461"/>
      <c r="E844" s="461"/>
      <c r="F844" s="460"/>
      <c r="G844" s="460"/>
      <c r="H844" s="460"/>
      <c r="I844" s="461"/>
      <c r="J844" s="460"/>
      <c r="K844" s="460"/>
      <c r="L844" s="461"/>
      <c r="M844" s="460"/>
      <c r="N844" s="460"/>
      <c r="O844" s="461"/>
      <c r="P844" s="461"/>
      <c r="Q844" s="461"/>
      <c r="R844" s="461"/>
    </row>
    <row r="845" ht="12.75" customHeight="1" spans="1:18">
      <c r="A845" s="460"/>
      <c r="B845" s="461"/>
      <c r="C845" s="461"/>
      <c r="D845" s="461"/>
      <c r="E845" s="461"/>
      <c r="F845" s="460"/>
      <c r="G845" s="460"/>
      <c r="H845" s="460"/>
      <c r="I845" s="461"/>
      <c r="J845" s="460"/>
      <c r="K845" s="460"/>
      <c r="L845" s="461"/>
      <c r="M845" s="460"/>
      <c r="N845" s="460"/>
      <c r="O845" s="461"/>
      <c r="P845" s="461"/>
      <c r="Q845" s="461"/>
      <c r="R845" s="461"/>
    </row>
    <row r="846" ht="12.75" customHeight="1" spans="1:18">
      <c r="A846" s="460"/>
      <c r="B846" s="461"/>
      <c r="C846" s="461"/>
      <c r="D846" s="461"/>
      <c r="E846" s="461"/>
      <c r="F846" s="460"/>
      <c r="G846" s="460"/>
      <c r="H846" s="460"/>
      <c r="I846" s="461"/>
      <c r="J846" s="460"/>
      <c r="K846" s="460"/>
      <c r="L846" s="461"/>
      <c r="M846" s="460"/>
      <c r="N846" s="460"/>
      <c r="O846" s="461"/>
      <c r="P846" s="461"/>
      <c r="Q846" s="461"/>
      <c r="R846" s="461"/>
    </row>
    <row r="847" ht="12.75" customHeight="1" spans="1:18">
      <c r="A847" s="460"/>
      <c r="B847" s="461"/>
      <c r="C847" s="461"/>
      <c r="D847" s="461"/>
      <c r="E847" s="461"/>
      <c r="F847" s="460"/>
      <c r="G847" s="460"/>
      <c r="H847" s="460"/>
      <c r="I847" s="461"/>
      <c r="J847" s="460"/>
      <c r="K847" s="460"/>
      <c r="L847" s="461"/>
      <c r="M847" s="460"/>
      <c r="N847" s="460"/>
      <c r="O847" s="461"/>
      <c r="P847" s="461"/>
      <c r="Q847" s="461"/>
      <c r="R847" s="461"/>
    </row>
    <row r="848" ht="12.75" customHeight="1" spans="1:18">
      <c r="A848" s="460"/>
      <c r="B848" s="461"/>
      <c r="C848" s="461"/>
      <c r="D848" s="461"/>
      <c r="E848" s="461"/>
      <c r="F848" s="460"/>
      <c r="G848" s="460"/>
      <c r="H848" s="460"/>
      <c r="I848" s="461"/>
      <c r="J848" s="460"/>
      <c r="K848" s="460"/>
      <c r="L848" s="461"/>
      <c r="M848" s="460"/>
      <c r="N848" s="460"/>
      <c r="O848" s="461"/>
      <c r="P848" s="461"/>
      <c r="Q848" s="461"/>
      <c r="R848" s="461"/>
    </row>
    <row r="849" ht="12.75" customHeight="1" spans="1:18">
      <c r="A849" s="460"/>
      <c r="B849" s="461"/>
      <c r="C849" s="461"/>
      <c r="D849" s="461"/>
      <c r="E849" s="461"/>
      <c r="F849" s="460"/>
      <c r="G849" s="460"/>
      <c r="H849" s="460"/>
      <c r="I849" s="461"/>
      <c r="J849" s="460"/>
      <c r="K849" s="460"/>
      <c r="L849" s="461"/>
      <c r="M849" s="460"/>
      <c r="N849" s="460"/>
      <c r="O849" s="461"/>
      <c r="P849" s="461"/>
      <c r="Q849" s="461"/>
      <c r="R849" s="461"/>
    </row>
    <row r="850" ht="12.75" customHeight="1" spans="1:18">
      <c r="A850" s="460"/>
      <c r="B850" s="461"/>
      <c r="C850" s="461"/>
      <c r="D850" s="461"/>
      <c r="E850" s="461"/>
      <c r="F850" s="460"/>
      <c r="G850" s="460"/>
      <c r="H850" s="460"/>
      <c r="I850" s="461"/>
      <c r="J850" s="460"/>
      <c r="K850" s="460"/>
      <c r="L850" s="461"/>
      <c r="M850" s="460"/>
      <c r="N850" s="460"/>
      <c r="O850" s="461"/>
      <c r="P850" s="461"/>
      <c r="Q850" s="461"/>
      <c r="R850" s="461"/>
    </row>
    <row r="851" ht="12.75" customHeight="1" spans="1:18">
      <c r="A851" s="460"/>
      <c r="B851" s="461"/>
      <c r="C851" s="461"/>
      <c r="D851" s="461"/>
      <c r="E851" s="461"/>
      <c r="F851" s="460"/>
      <c r="G851" s="460"/>
      <c r="H851" s="460"/>
      <c r="I851" s="461"/>
      <c r="J851" s="460"/>
      <c r="K851" s="460"/>
      <c r="L851" s="461"/>
      <c r="M851" s="460"/>
      <c r="N851" s="460"/>
      <c r="O851" s="461"/>
      <c r="P851" s="461"/>
      <c r="Q851" s="461"/>
      <c r="R851" s="461"/>
    </row>
    <row r="852" ht="12.75" customHeight="1" spans="1:18">
      <c r="A852" s="460"/>
      <c r="B852" s="461"/>
      <c r="C852" s="461"/>
      <c r="D852" s="461"/>
      <c r="E852" s="461"/>
      <c r="F852" s="460"/>
      <c r="G852" s="460"/>
      <c r="H852" s="460"/>
      <c r="I852" s="461"/>
      <c r="J852" s="460"/>
      <c r="K852" s="460"/>
      <c r="L852" s="461"/>
      <c r="M852" s="460"/>
      <c r="N852" s="460"/>
      <c r="O852" s="461"/>
      <c r="P852" s="461"/>
      <c r="Q852" s="461"/>
      <c r="R852" s="461"/>
    </row>
    <row r="853" ht="12.75" customHeight="1" spans="1:18">
      <c r="A853" s="460"/>
      <c r="B853" s="461"/>
      <c r="C853" s="461"/>
      <c r="D853" s="461"/>
      <c r="E853" s="461"/>
      <c r="F853" s="460"/>
      <c r="G853" s="460"/>
      <c r="H853" s="460"/>
      <c r="I853" s="461"/>
      <c r="J853" s="460"/>
      <c r="K853" s="460"/>
      <c r="L853" s="461"/>
      <c r="M853" s="460"/>
      <c r="N853" s="460"/>
      <c r="O853" s="461"/>
      <c r="P853" s="461"/>
      <c r="Q853" s="461"/>
      <c r="R853" s="461"/>
    </row>
    <row r="854" ht="12.75" customHeight="1" spans="1:18">
      <c r="A854" s="460"/>
      <c r="B854" s="461"/>
      <c r="C854" s="461"/>
      <c r="D854" s="461"/>
      <c r="E854" s="461"/>
      <c r="F854" s="460"/>
      <c r="G854" s="460"/>
      <c r="H854" s="460"/>
      <c r="I854" s="461"/>
      <c r="J854" s="460"/>
      <c r="K854" s="460"/>
      <c r="L854" s="461"/>
      <c r="M854" s="460"/>
      <c r="N854" s="460"/>
      <c r="O854" s="461"/>
      <c r="P854" s="461"/>
      <c r="Q854" s="461"/>
      <c r="R854" s="461"/>
    </row>
    <row r="855" ht="12.75" customHeight="1" spans="1:18">
      <c r="A855" s="460"/>
      <c r="B855" s="461"/>
      <c r="C855" s="461"/>
      <c r="D855" s="461"/>
      <c r="E855" s="461"/>
      <c r="F855" s="460"/>
      <c r="G855" s="460"/>
      <c r="H855" s="460"/>
      <c r="I855" s="461"/>
      <c r="J855" s="460"/>
      <c r="K855" s="460"/>
      <c r="L855" s="461"/>
      <c r="M855" s="460"/>
      <c r="N855" s="460"/>
      <c r="O855" s="461"/>
      <c r="P855" s="461"/>
      <c r="Q855" s="461"/>
      <c r="R855" s="461"/>
    </row>
    <row r="856" ht="12.75" customHeight="1" spans="1:18">
      <c r="A856" s="460"/>
      <c r="B856" s="461"/>
      <c r="C856" s="461"/>
      <c r="D856" s="461"/>
      <c r="E856" s="461"/>
      <c r="F856" s="460"/>
      <c r="G856" s="460"/>
      <c r="H856" s="460"/>
      <c r="I856" s="461"/>
      <c r="J856" s="460"/>
      <c r="K856" s="460"/>
      <c r="L856" s="461"/>
      <c r="M856" s="460"/>
      <c r="N856" s="460"/>
      <c r="O856" s="461"/>
      <c r="P856" s="461"/>
      <c r="Q856" s="461"/>
      <c r="R856" s="461"/>
    </row>
    <row r="857" ht="12.75" customHeight="1" spans="1:18">
      <c r="A857" s="460"/>
      <c r="B857" s="461"/>
      <c r="C857" s="461"/>
      <c r="D857" s="461"/>
      <c r="E857" s="461"/>
      <c r="F857" s="460"/>
      <c r="G857" s="460"/>
      <c r="H857" s="460"/>
      <c r="I857" s="461"/>
      <c r="J857" s="460"/>
      <c r="K857" s="460"/>
      <c r="L857" s="461"/>
      <c r="M857" s="460"/>
      <c r="N857" s="460"/>
      <c r="O857" s="461"/>
      <c r="P857" s="461"/>
      <c r="Q857" s="461"/>
      <c r="R857" s="461"/>
    </row>
    <row r="858" ht="12.75" customHeight="1" spans="1:18">
      <c r="A858" s="460"/>
      <c r="B858" s="461"/>
      <c r="C858" s="461"/>
      <c r="D858" s="461"/>
      <c r="E858" s="461"/>
      <c r="F858" s="460"/>
      <c r="G858" s="460"/>
      <c r="H858" s="460"/>
      <c r="I858" s="461"/>
      <c r="J858" s="460"/>
      <c r="K858" s="460"/>
      <c r="L858" s="461"/>
      <c r="M858" s="460"/>
      <c r="N858" s="460"/>
      <c r="O858" s="461"/>
      <c r="P858" s="461"/>
      <c r="Q858" s="461"/>
      <c r="R858" s="461"/>
    </row>
    <row r="859" ht="12.75" customHeight="1" spans="1:18">
      <c r="A859" s="460"/>
      <c r="B859" s="461"/>
      <c r="C859" s="461"/>
      <c r="D859" s="461"/>
      <c r="E859" s="461"/>
      <c r="F859" s="460"/>
      <c r="G859" s="460"/>
      <c r="H859" s="460"/>
      <c r="I859" s="461"/>
      <c r="J859" s="460"/>
      <c r="K859" s="460"/>
      <c r="L859" s="461"/>
      <c r="M859" s="460"/>
      <c r="N859" s="460"/>
      <c r="O859" s="461"/>
      <c r="P859" s="461"/>
      <c r="Q859" s="461"/>
      <c r="R859" s="461"/>
    </row>
    <row r="860" ht="12.75" customHeight="1" spans="1:18">
      <c r="A860" s="460"/>
      <c r="B860" s="461"/>
      <c r="C860" s="461"/>
      <c r="D860" s="461"/>
      <c r="E860" s="461"/>
      <c r="F860" s="460"/>
      <c r="G860" s="460"/>
      <c r="H860" s="460"/>
      <c r="I860" s="461"/>
      <c r="J860" s="460"/>
      <c r="K860" s="460"/>
      <c r="L860" s="461"/>
      <c r="M860" s="460"/>
      <c r="N860" s="460"/>
      <c r="O860" s="461"/>
      <c r="P860" s="461"/>
      <c r="Q860" s="461"/>
      <c r="R860" s="461"/>
    </row>
    <row r="861" ht="12.75" customHeight="1" spans="1:18">
      <c r="A861" s="460"/>
      <c r="B861" s="461"/>
      <c r="C861" s="461"/>
      <c r="D861" s="461"/>
      <c r="E861" s="461"/>
      <c r="F861" s="460"/>
      <c r="G861" s="460"/>
      <c r="H861" s="460"/>
      <c r="I861" s="461"/>
      <c r="J861" s="460"/>
      <c r="K861" s="460"/>
      <c r="L861" s="461"/>
      <c r="M861" s="460"/>
      <c r="N861" s="460"/>
      <c r="O861" s="461"/>
      <c r="P861" s="461"/>
      <c r="Q861" s="461"/>
      <c r="R861" s="461"/>
    </row>
    <row r="862" ht="12.75" customHeight="1" spans="1:18">
      <c r="A862" s="460"/>
      <c r="B862" s="461"/>
      <c r="C862" s="461"/>
      <c r="D862" s="461"/>
      <c r="E862" s="461"/>
      <c r="F862" s="460"/>
      <c r="G862" s="460"/>
      <c r="H862" s="460"/>
      <c r="I862" s="461"/>
      <c r="J862" s="460"/>
      <c r="K862" s="460"/>
      <c r="L862" s="461"/>
      <c r="M862" s="460"/>
      <c r="N862" s="460"/>
      <c r="O862" s="461"/>
      <c r="P862" s="461"/>
      <c r="Q862" s="461"/>
      <c r="R862" s="461"/>
    </row>
    <row r="863" ht="12.75" customHeight="1" spans="1:18">
      <c r="A863" s="460"/>
      <c r="B863" s="461"/>
      <c r="C863" s="461"/>
      <c r="D863" s="461"/>
      <c r="E863" s="461"/>
      <c r="F863" s="460"/>
      <c r="G863" s="460"/>
      <c r="H863" s="460"/>
      <c r="I863" s="461"/>
      <c r="J863" s="460"/>
      <c r="K863" s="460"/>
      <c r="L863" s="461"/>
      <c r="M863" s="460"/>
      <c r="N863" s="460"/>
      <c r="O863" s="461"/>
      <c r="P863" s="461"/>
      <c r="Q863" s="461"/>
      <c r="R863" s="461"/>
    </row>
    <row r="864" ht="12.75" customHeight="1" spans="1:18">
      <c r="A864" s="460"/>
      <c r="B864" s="461"/>
      <c r="C864" s="461"/>
      <c r="D864" s="461"/>
      <c r="E864" s="461"/>
      <c r="F864" s="460"/>
      <c r="G864" s="460"/>
      <c r="H864" s="460"/>
      <c r="I864" s="461"/>
      <c r="J864" s="460"/>
      <c r="K864" s="460"/>
      <c r="L864" s="461"/>
      <c r="M864" s="460"/>
      <c r="N864" s="460"/>
      <c r="O864" s="461"/>
      <c r="P864" s="461"/>
      <c r="Q864" s="461"/>
      <c r="R864" s="461"/>
    </row>
    <row r="865" ht="12.75" customHeight="1" spans="1:18">
      <c r="A865" s="460"/>
      <c r="B865" s="461"/>
      <c r="C865" s="461"/>
      <c r="D865" s="461"/>
      <c r="E865" s="461"/>
      <c r="F865" s="460"/>
      <c r="G865" s="460"/>
      <c r="H865" s="460"/>
      <c r="I865" s="461"/>
      <c r="J865" s="460"/>
      <c r="K865" s="460"/>
      <c r="L865" s="461"/>
      <c r="M865" s="460"/>
      <c r="N865" s="460"/>
      <c r="O865" s="461"/>
      <c r="P865" s="461"/>
      <c r="Q865" s="461"/>
      <c r="R865" s="461"/>
    </row>
    <row r="866" ht="12.75" customHeight="1" spans="1:18">
      <c r="A866" s="460"/>
      <c r="B866" s="461"/>
      <c r="C866" s="461"/>
      <c r="D866" s="461"/>
      <c r="E866" s="461"/>
      <c r="F866" s="460"/>
      <c r="G866" s="460"/>
      <c r="H866" s="460"/>
      <c r="I866" s="461"/>
      <c r="J866" s="460"/>
      <c r="K866" s="460"/>
      <c r="L866" s="461"/>
      <c r="M866" s="460"/>
      <c r="N866" s="460"/>
      <c r="O866" s="461"/>
      <c r="P866" s="461"/>
      <c r="Q866" s="461"/>
      <c r="R866" s="461"/>
    </row>
    <row r="867" ht="12.75" customHeight="1" spans="1:18">
      <c r="A867" s="460"/>
      <c r="B867" s="461"/>
      <c r="C867" s="461"/>
      <c r="D867" s="461"/>
      <c r="E867" s="461"/>
      <c r="F867" s="460"/>
      <c r="G867" s="460"/>
      <c r="H867" s="460"/>
      <c r="I867" s="461"/>
      <c r="J867" s="460"/>
      <c r="K867" s="460"/>
      <c r="L867" s="461"/>
      <c r="M867" s="460"/>
      <c r="N867" s="460"/>
      <c r="O867" s="461"/>
      <c r="P867" s="461"/>
      <c r="Q867" s="461"/>
      <c r="R867" s="461"/>
    </row>
    <row r="868" ht="12.75" customHeight="1" spans="1:18">
      <c r="A868" s="460"/>
      <c r="B868" s="461"/>
      <c r="C868" s="461"/>
      <c r="D868" s="461"/>
      <c r="E868" s="461"/>
      <c r="F868" s="460"/>
      <c r="G868" s="460"/>
      <c r="H868" s="460"/>
      <c r="I868" s="461"/>
      <c r="J868" s="460"/>
      <c r="K868" s="460"/>
      <c r="L868" s="461"/>
      <c r="M868" s="460"/>
      <c r="N868" s="460"/>
      <c r="O868" s="461"/>
      <c r="P868" s="461"/>
      <c r="Q868" s="461"/>
      <c r="R868" s="461"/>
    </row>
    <row r="869" ht="12.75" customHeight="1" spans="1:18">
      <c r="A869" s="460"/>
      <c r="B869" s="461"/>
      <c r="C869" s="461"/>
      <c r="D869" s="461"/>
      <c r="E869" s="461"/>
      <c r="F869" s="460"/>
      <c r="G869" s="460"/>
      <c r="H869" s="460"/>
      <c r="I869" s="461"/>
      <c r="J869" s="460"/>
      <c r="K869" s="460"/>
      <c r="L869" s="461"/>
      <c r="M869" s="460"/>
      <c r="N869" s="460"/>
      <c r="O869" s="461"/>
      <c r="P869" s="461"/>
      <c r="Q869" s="461"/>
      <c r="R869" s="461"/>
    </row>
    <row r="870" ht="12.75" customHeight="1" spans="1:18">
      <c r="A870" s="460"/>
      <c r="B870" s="461"/>
      <c r="C870" s="461"/>
      <c r="D870" s="461"/>
      <c r="E870" s="461"/>
      <c r="F870" s="460"/>
      <c r="G870" s="460"/>
      <c r="H870" s="460"/>
      <c r="I870" s="461"/>
      <c r="J870" s="460"/>
      <c r="K870" s="460"/>
      <c r="L870" s="461"/>
      <c r="M870" s="460"/>
      <c r="N870" s="460"/>
      <c r="O870" s="461"/>
      <c r="P870" s="461"/>
      <c r="Q870" s="461"/>
      <c r="R870" s="461"/>
    </row>
    <row r="871" ht="12.75" customHeight="1" spans="1:18">
      <c r="A871" s="460"/>
      <c r="B871" s="461"/>
      <c r="C871" s="461"/>
      <c r="D871" s="461"/>
      <c r="E871" s="461"/>
      <c r="F871" s="460"/>
      <c r="G871" s="460"/>
      <c r="H871" s="460"/>
      <c r="I871" s="461"/>
      <c r="J871" s="460"/>
      <c r="K871" s="460"/>
      <c r="L871" s="461"/>
      <c r="M871" s="460"/>
      <c r="N871" s="460"/>
      <c r="O871" s="461"/>
      <c r="P871" s="461"/>
      <c r="Q871" s="461"/>
      <c r="R871" s="461"/>
    </row>
    <row r="872" ht="12.75" customHeight="1" spans="1:18">
      <c r="A872" s="460"/>
      <c r="B872" s="461"/>
      <c r="C872" s="461"/>
      <c r="D872" s="461"/>
      <c r="E872" s="461"/>
      <c r="F872" s="460"/>
      <c r="G872" s="460"/>
      <c r="H872" s="460"/>
      <c r="I872" s="461"/>
      <c r="J872" s="460"/>
      <c r="K872" s="460"/>
      <c r="L872" s="461"/>
      <c r="M872" s="460"/>
      <c r="N872" s="460"/>
      <c r="O872" s="461"/>
      <c r="P872" s="461"/>
      <c r="Q872" s="461"/>
      <c r="R872" s="461"/>
    </row>
    <row r="873" ht="12.75" customHeight="1" spans="1:18">
      <c r="A873" s="460"/>
      <c r="B873" s="461"/>
      <c r="C873" s="461"/>
      <c r="D873" s="461"/>
      <c r="E873" s="461"/>
      <c r="F873" s="460"/>
      <c r="G873" s="460"/>
      <c r="H873" s="460"/>
      <c r="I873" s="461"/>
      <c r="J873" s="460"/>
      <c r="K873" s="460"/>
      <c r="L873" s="461"/>
      <c r="M873" s="460"/>
      <c r="N873" s="460"/>
      <c r="O873" s="461"/>
      <c r="P873" s="461"/>
      <c r="Q873" s="461"/>
      <c r="R873" s="461"/>
    </row>
    <row r="874" ht="12.75" customHeight="1" spans="1:18">
      <c r="A874" s="460"/>
      <c r="B874" s="461"/>
      <c r="C874" s="461"/>
      <c r="D874" s="461"/>
      <c r="E874" s="461"/>
      <c r="F874" s="460"/>
      <c r="G874" s="460"/>
      <c r="H874" s="460"/>
      <c r="I874" s="461"/>
      <c r="J874" s="460"/>
      <c r="K874" s="460"/>
      <c r="L874" s="461"/>
      <c r="M874" s="460"/>
      <c r="N874" s="460"/>
      <c r="O874" s="461"/>
      <c r="P874" s="461"/>
      <c r="Q874" s="461"/>
      <c r="R874" s="461"/>
    </row>
    <row r="875" ht="12.75" customHeight="1" spans="1:18">
      <c r="A875" s="460"/>
      <c r="B875" s="461"/>
      <c r="C875" s="461"/>
      <c r="D875" s="461"/>
      <c r="E875" s="461"/>
      <c r="F875" s="460"/>
      <c r="G875" s="460"/>
      <c r="H875" s="460"/>
      <c r="I875" s="461"/>
      <c r="J875" s="460"/>
      <c r="K875" s="460"/>
      <c r="L875" s="461"/>
      <c r="M875" s="460"/>
      <c r="N875" s="460"/>
      <c r="O875" s="461"/>
      <c r="P875" s="461"/>
      <c r="Q875" s="461"/>
      <c r="R875" s="461"/>
    </row>
    <row r="876" ht="12.75" customHeight="1" spans="1:18">
      <c r="A876" s="460"/>
      <c r="B876" s="461"/>
      <c r="C876" s="461"/>
      <c r="D876" s="461"/>
      <c r="E876" s="461"/>
      <c r="F876" s="460"/>
      <c r="G876" s="460"/>
      <c r="H876" s="460"/>
      <c r="I876" s="461"/>
      <c r="J876" s="460"/>
      <c r="K876" s="460"/>
      <c r="L876" s="461"/>
      <c r="M876" s="460"/>
      <c r="N876" s="460"/>
      <c r="O876" s="461"/>
      <c r="P876" s="461"/>
      <c r="Q876" s="461"/>
      <c r="R876" s="461"/>
    </row>
    <row r="877" ht="12.75" customHeight="1" spans="1:18">
      <c r="A877" s="460"/>
      <c r="B877" s="461"/>
      <c r="C877" s="461"/>
      <c r="D877" s="461"/>
      <c r="E877" s="461"/>
      <c r="F877" s="460"/>
      <c r="G877" s="460"/>
      <c r="H877" s="460"/>
      <c r="I877" s="461"/>
      <c r="J877" s="460"/>
      <c r="K877" s="460"/>
      <c r="L877" s="461"/>
      <c r="M877" s="460"/>
      <c r="N877" s="460"/>
      <c r="O877" s="461"/>
      <c r="P877" s="461"/>
      <c r="Q877" s="461"/>
      <c r="R877" s="461"/>
    </row>
    <row r="878" ht="12.75" customHeight="1" spans="1:18">
      <c r="A878" s="460"/>
      <c r="B878" s="461"/>
      <c r="C878" s="461"/>
      <c r="D878" s="461"/>
      <c r="E878" s="461"/>
      <c r="F878" s="460"/>
      <c r="G878" s="460"/>
      <c r="H878" s="460"/>
      <c r="I878" s="461"/>
      <c r="J878" s="460"/>
      <c r="K878" s="460"/>
      <c r="L878" s="461"/>
      <c r="M878" s="460"/>
      <c r="N878" s="460"/>
      <c r="O878" s="461"/>
      <c r="P878" s="461"/>
      <c r="Q878" s="461"/>
      <c r="R878" s="461"/>
    </row>
    <row r="879" ht="12.75" customHeight="1" spans="1:18">
      <c r="A879" s="460"/>
      <c r="B879" s="461"/>
      <c r="C879" s="461"/>
      <c r="D879" s="461"/>
      <c r="E879" s="461"/>
      <c r="F879" s="460"/>
      <c r="G879" s="460"/>
      <c r="H879" s="460"/>
      <c r="I879" s="461"/>
      <c r="J879" s="460"/>
      <c r="K879" s="460"/>
      <c r="L879" s="461"/>
      <c r="M879" s="460"/>
      <c r="N879" s="460"/>
      <c r="O879" s="461"/>
      <c r="P879" s="461"/>
      <c r="Q879" s="461"/>
      <c r="R879" s="461"/>
    </row>
    <row r="880" ht="12.75" customHeight="1" spans="1:18">
      <c r="A880" s="460"/>
      <c r="B880" s="461"/>
      <c r="C880" s="461"/>
      <c r="D880" s="461"/>
      <c r="E880" s="461"/>
      <c r="F880" s="460"/>
      <c r="G880" s="460"/>
      <c r="H880" s="460"/>
      <c r="I880" s="461"/>
      <c r="J880" s="460"/>
      <c r="K880" s="460"/>
      <c r="L880" s="461"/>
      <c r="M880" s="460"/>
      <c r="N880" s="460"/>
      <c r="O880" s="461"/>
      <c r="P880" s="461"/>
      <c r="Q880" s="461"/>
      <c r="R880" s="461"/>
    </row>
    <row r="881" ht="12.75" customHeight="1" spans="1:18">
      <c r="A881" s="460"/>
      <c r="B881" s="461"/>
      <c r="C881" s="461"/>
      <c r="D881" s="461"/>
      <c r="E881" s="461"/>
      <c r="F881" s="460"/>
      <c r="G881" s="460"/>
      <c r="H881" s="460"/>
      <c r="I881" s="461"/>
      <c r="J881" s="460"/>
      <c r="K881" s="460"/>
      <c r="L881" s="461"/>
      <c r="M881" s="460"/>
      <c r="N881" s="460"/>
      <c r="O881" s="461"/>
      <c r="P881" s="461"/>
      <c r="Q881" s="461"/>
      <c r="R881" s="461"/>
    </row>
    <row r="882" ht="12.75" customHeight="1" spans="1:18">
      <c r="A882" s="460"/>
      <c r="B882" s="461"/>
      <c r="C882" s="461"/>
      <c r="D882" s="461"/>
      <c r="E882" s="461"/>
      <c r="F882" s="460"/>
      <c r="G882" s="460"/>
      <c r="H882" s="460"/>
      <c r="I882" s="461"/>
      <c r="J882" s="460"/>
      <c r="K882" s="460"/>
      <c r="L882" s="461"/>
      <c r="M882" s="460"/>
      <c r="N882" s="460"/>
      <c r="O882" s="461"/>
      <c r="P882" s="461"/>
      <c r="Q882" s="461"/>
      <c r="R882" s="461"/>
    </row>
    <row r="883" ht="12.75" customHeight="1" spans="1:18">
      <c r="A883" s="460"/>
      <c r="B883" s="461"/>
      <c r="C883" s="461"/>
      <c r="D883" s="461"/>
      <c r="E883" s="461"/>
      <c r="F883" s="460"/>
      <c r="G883" s="460"/>
      <c r="H883" s="460"/>
      <c r="I883" s="461"/>
      <c r="J883" s="460"/>
      <c r="K883" s="460"/>
      <c r="L883" s="461"/>
      <c r="M883" s="460"/>
      <c r="N883" s="460"/>
      <c r="O883" s="461"/>
      <c r="P883" s="461"/>
      <c r="Q883" s="461"/>
      <c r="R883" s="461"/>
    </row>
    <row r="884" ht="12.75" customHeight="1" spans="1:18">
      <c r="A884" s="460"/>
      <c r="B884" s="461"/>
      <c r="C884" s="461"/>
      <c r="D884" s="461"/>
      <c r="E884" s="461"/>
      <c r="F884" s="460"/>
      <c r="G884" s="460"/>
      <c r="H884" s="460"/>
      <c r="I884" s="461"/>
      <c r="J884" s="460"/>
      <c r="K884" s="460"/>
      <c r="L884" s="461"/>
      <c r="M884" s="460"/>
      <c r="N884" s="460"/>
      <c r="O884" s="461"/>
      <c r="P884" s="461"/>
      <c r="Q884" s="461"/>
      <c r="R884" s="461"/>
    </row>
    <row r="885" ht="12.75" customHeight="1" spans="1:18">
      <c r="A885" s="460"/>
      <c r="B885" s="461"/>
      <c r="C885" s="461"/>
      <c r="D885" s="461"/>
      <c r="E885" s="461"/>
      <c r="F885" s="460"/>
      <c r="G885" s="460"/>
      <c r="H885" s="460"/>
      <c r="I885" s="461"/>
      <c r="J885" s="460"/>
      <c r="K885" s="460"/>
      <c r="L885" s="461"/>
      <c r="M885" s="460"/>
      <c r="N885" s="460"/>
      <c r="O885" s="461"/>
      <c r="P885" s="461"/>
      <c r="Q885" s="461"/>
      <c r="R885" s="461"/>
    </row>
    <row r="886" ht="12.75" customHeight="1" spans="1:18">
      <c r="A886" s="460"/>
      <c r="B886" s="461"/>
      <c r="C886" s="461"/>
      <c r="D886" s="461"/>
      <c r="E886" s="461"/>
      <c r="F886" s="460"/>
      <c r="G886" s="460"/>
      <c r="H886" s="460"/>
      <c r="I886" s="461"/>
      <c r="J886" s="460"/>
      <c r="K886" s="460"/>
      <c r="L886" s="461"/>
      <c r="M886" s="460"/>
      <c r="N886" s="460"/>
      <c r="O886" s="461"/>
      <c r="P886" s="461"/>
      <c r="Q886" s="461"/>
      <c r="R886" s="461"/>
    </row>
    <row r="887" ht="12.75" customHeight="1" spans="1:18">
      <c r="A887" s="460"/>
      <c r="B887" s="461"/>
      <c r="C887" s="461"/>
      <c r="D887" s="461"/>
      <c r="E887" s="461"/>
      <c r="F887" s="460"/>
      <c r="G887" s="460"/>
      <c r="H887" s="460"/>
      <c r="I887" s="461"/>
      <c r="J887" s="460"/>
      <c r="K887" s="460"/>
      <c r="L887" s="461"/>
      <c r="M887" s="460"/>
      <c r="N887" s="460"/>
      <c r="O887" s="461"/>
      <c r="P887" s="461"/>
      <c r="Q887" s="461"/>
      <c r="R887" s="461"/>
    </row>
    <row r="888" ht="12.75" customHeight="1" spans="1:18">
      <c r="A888" s="460"/>
      <c r="B888" s="461"/>
      <c r="C888" s="461"/>
      <c r="D888" s="461"/>
      <c r="E888" s="461"/>
      <c r="F888" s="460"/>
      <c r="G888" s="460"/>
      <c r="H888" s="460"/>
      <c r="I888" s="461"/>
      <c r="J888" s="460"/>
      <c r="K888" s="460"/>
      <c r="L888" s="461"/>
      <c r="M888" s="460"/>
      <c r="N888" s="460"/>
      <c r="O888" s="461"/>
      <c r="P888" s="461"/>
      <c r="Q888" s="461"/>
      <c r="R888" s="461"/>
    </row>
    <row r="889" ht="12.75" customHeight="1" spans="1:18">
      <c r="A889" s="460"/>
      <c r="B889" s="461"/>
      <c r="C889" s="461"/>
      <c r="D889" s="461"/>
      <c r="E889" s="461"/>
      <c r="F889" s="460"/>
      <c r="G889" s="460"/>
      <c r="H889" s="460"/>
      <c r="I889" s="461"/>
      <c r="J889" s="460"/>
      <c r="K889" s="460"/>
      <c r="L889" s="461"/>
      <c r="M889" s="460"/>
      <c r="N889" s="460"/>
      <c r="O889" s="461"/>
      <c r="P889" s="461"/>
      <c r="Q889" s="461"/>
      <c r="R889" s="461"/>
    </row>
    <row r="890" ht="12.75" customHeight="1" spans="1:18">
      <c r="A890" s="460"/>
      <c r="B890" s="461"/>
      <c r="C890" s="461"/>
      <c r="D890" s="461"/>
      <c r="E890" s="461"/>
      <c r="F890" s="460"/>
      <c r="G890" s="460"/>
      <c r="H890" s="460"/>
      <c r="I890" s="461"/>
      <c r="J890" s="460"/>
      <c r="K890" s="460"/>
      <c r="L890" s="461"/>
      <c r="M890" s="460"/>
      <c r="N890" s="460"/>
      <c r="O890" s="461"/>
      <c r="P890" s="461"/>
      <c r="Q890" s="461"/>
      <c r="R890" s="461"/>
    </row>
    <row r="891" ht="12.75" customHeight="1" spans="1:18">
      <c r="A891" s="460"/>
      <c r="B891" s="461"/>
      <c r="C891" s="461"/>
      <c r="D891" s="461"/>
      <c r="E891" s="461"/>
      <c r="F891" s="460"/>
      <c r="G891" s="460"/>
      <c r="H891" s="460"/>
      <c r="I891" s="461"/>
      <c r="J891" s="460"/>
      <c r="K891" s="460"/>
      <c r="L891" s="461"/>
      <c r="M891" s="460"/>
      <c r="N891" s="460"/>
      <c r="O891" s="461"/>
      <c r="P891" s="461"/>
      <c r="Q891" s="461"/>
      <c r="R891" s="461"/>
    </row>
    <row r="892" ht="12.75" customHeight="1" spans="1:18">
      <c r="A892" s="460"/>
      <c r="B892" s="461"/>
      <c r="C892" s="461"/>
      <c r="D892" s="461"/>
      <c r="E892" s="461"/>
      <c r="F892" s="460"/>
      <c r="G892" s="460"/>
      <c r="H892" s="460"/>
      <c r="I892" s="461"/>
      <c r="J892" s="460"/>
      <c r="K892" s="460"/>
      <c r="L892" s="461"/>
      <c r="M892" s="460"/>
      <c r="N892" s="460"/>
      <c r="O892" s="461"/>
      <c r="P892" s="461"/>
      <c r="Q892" s="461"/>
      <c r="R892" s="461"/>
    </row>
    <row r="893" ht="12.75" customHeight="1" spans="1:18">
      <c r="A893" s="460"/>
      <c r="B893" s="461"/>
      <c r="C893" s="461"/>
      <c r="D893" s="461"/>
      <c r="E893" s="461"/>
      <c r="F893" s="460"/>
      <c r="G893" s="460"/>
      <c r="H893" s="460"/>
      <c r="I893" s="461"/>
      <c r="J893" s="460"/>
      <c r="K893" s="460"/>
      <c r="L893" s="461"/>
      <c r="M893" s="460"/>
      <c r="N893" s="460"/>
      <c r="O893" s="461"/>
      <c r="P893" s="461"/>
      <c r="Q893" s="461"/>
      <c r="R893" s="461"/>
    </row>
    <row r="894" ht="12.75" customHeight="1" spans="1:18">
      <c r="A894" s="460"/>
      <c r="B894" s="461"/>
      <c r="C894" s="461"/>
      <c r="D894" s="461"/>
      <c r="E894" s="461"/>
      <c r="F894" s="460"/>
      <c r="G894" s="460"/>
      <c r="H894" s="460"/>
      <c r="I894" s="461"/>
      <c r="J894" s="460"/>
      <c r="K894" s="460"/>
      <c r="L894" s="461"/>
      <c r="M894" s="460"/>
      <c r="N894" s="460"/>
      <c r="O894" s="461"/>
      <c r="P894" s="461"/>
      <c r="Q894" s="461"/>
      <c r="R894" s="461"/>
    </row>
    <row r="895" ht="12.75" customHeight="1" spans="1:18">
      <c r="A895" s="460"/>
      <c r="B895" s="461"/>
      <c r="C895" s="461"/>
      <c r="D895" s="461"/>
      <c r="E895" s="461"/>
      <c r="F895" s="460"/>
      <c r="G895" s="460"/>
      <c r="H895" s="460"/>
      <c r="I895" s="461"/>
      <c r="J895" s="460"/>
      <c r="K895" s="460"/>
      <c r="L895" s="461"/>
      <c r="M895" s="460"/>
      <c r="N895" s="460"/>
      <c r="O895" s="461"/>
      <c r="P895" s="461"/>
      <c r="Q895" s="461"/>
      <c r="R895" s="461"/>
    </row>
    <row r="896" ht="12.75" customHeight="1" spans="1:18">
      <c r="A896" s="460"/>
      <c r="B896" s="461"/>
      <c r="C896" s="461"/>
      <c r="D896" s="461"/>
      <c r="E896" s="461"/>
      <c r="F896" s="460"/>
      <c r="G896" s="460"/>
      <c r="H896" s="460"/>
      <c r="I896" s="461"/>
      <c r="J896" s="460"/>
      <c r="K896" s="460"/>
      <c r="L896" s="461"/>
      <c r="M896" s="460"/>
      <c r="N896" s="460"/>
      <c r="O896" s="461"/>
      <c r="P896" s="461"/>
      <c r="Q896" s="461"/>
      <c r="R896" s="461"/>
    </row>
    <row r="897" ht="12.75" customHeight="1" spans="1:18">
      <c r="A897" s="460"/>
      <c r="B897" s="461"/>
      <c r="C897" s="461"/>
      <c r="D897" s="461"/>
      <c r="E897" s="461"/>
      <c r="F897" s="460"/>
      <c r="G897" s="460"/>
      <c r="H897" s="460"/>
      <c r="I897" s="461"/>
      <c r="J897" s="460"/>
      <c r="K897" s="460"/>
      <c r="L897" s="461"/>
      <c r="M897" s="460"/>
      <c r="N897" s="460"/>
      <c r="O897" s="461"/>
      <c r="P897" s="461"/>
      <c r="Q897" s="461"/>
      <c r="R897" s="461"/>
    </row>
    <row r="898" ht="12.75" customHeight="1" spans="1:18">
      <c r="A898" s="460"/>
      <c r="B898" s="461"/>
      <c r="C898" s="461"/>
      <c r="D898" s="461"/>
      <c r="E898" s="461"/>
      <c r="F898" s="460"/>
      <c r="G898" s="460"/>
      <c r="H898" s="460"/>
      <c r="I898" s="461"/>
      <c r="J898" s="460"/>
      <c r="K898" s="460"/>
      <c r="L898" s="461"/>
      <c r="M898" s="460"/>
      <c r="N898" s="460"/>
      <c r="O898" s="461"/>
      <c r="P898" s="461"/>
      <c r="Q898" s="461"/>
      <c r="R898" s="461"/>
    </row>
    <row r="899" ht="12.75" customHeight="1" spans="1:18">
      <c r="A899" s="460"/>
      <c r="B899" s="461"/>
      <c r="C899" s="461"/>
      <c r="D899" s="461"/>
      <c r="E899" s="461"/>
      <c r="F899" s="460"/>
      <c r="G899" s="460"/>
      <c r="H899" s="460"/>
      <c r="I899" s="461"/>
      <c r="J899" s="460"/>
      <c r="K899" s="460"/>
      <c r="L899" s="461"/>
      <c r="M899" s="460"/>
      <c r="N899" s="460"/>
      <c r="O899" s="461"/>
      <c r="P899" s="461"/>
      <c r="Q899" s="461"/>
      <c r="R899" s="461"/>
    </row>
    <row r="900" ht="12.75" customHeight="1" spans="1:18">
      <c r="A900" s="460"/>
      <c r="B900" s="461"/>
      <c r="C900" s="461"/>
      <c r="D900" s="461"/>
      <c r="E900" s="461"/>
      <c r="F900" s="460"/>
      <c r="G900" s="460"/>
      <c r="H900" s="460"/>
      <c r="I900" s="461"/>
      <c r="J900" s="460"/>
      <c r="K900" s="460"/>
      <c r="L900" s="461"/>
      <c r="M900" s="460"/>
      <c r="N900" s="460"/>
      <c r="O900" s="461"/>
      <c r="P900" s="461"/>
      <c r="Q900" s="461"/>
      <c r="R900" s="461"/>
    </row>
    <row r="901" ht="12.75" customHeight="1" spans="1:18">
      <c r="A901" s="460"/>
      <c r="B901" s="461"/>
      <c r="C901" s="461"/>
      <c r="D901" s="461"/>
      <c r="E901" s="461"/>
      <c r="F901" s="460"/>
      <c r="G901" s="460"/>
      <c r="H901" s="460"/>
      <c r="I901" s="461"/>
      <c r="J901" s="460"/>
      <c r="K901" s="460"/>
      <c r="L901" s="461"/>
      <c r="M901" s="460"/>
      <c r="N901" s="460"/>
      <c r="O901" s="461"/>
      <c r="P901" s="461"/>
      <c r="Q901" s="461"/>
      <c r="R901" s="461"/>
    </row>
    <row r="902" ht="12.75" customHeight="1" spans="1:18">
      <c r="A902" s="460"/>
      <c r="B902" s="461"/>
      <c r="C902" s="461"/>
      <c r="D902" s="461"/>
      <c r="E902" s="461"/>
      <c r="F902" s="460"/>
      <c r="G902" s="460"/>
      <c r="H902" s="460"/>
      <c r="I902" s="461"/>
      <c r="J902" s="460"/>
      <c r="K902" s="460"/>
      <c r="L902" s="461"/>
      <c r="M902" s="460"/>
      <c r="N902" s="460"/>
      <c r="O902" s="461"/>
      <c r="P902" s="461"/>
      <c r="Q902" s="461"/>
      <c r="R902" s="461"/>
    </row>
    <row r="903" ht="12.75" customHeight="1" spans="1:18">
      <c r="A903" s="460"/>
      <c r="B903" s="461"/>
      <c r="C903" s="461"/>
      <c r="D903" s="461"/>
      <c r="E903" s="461"/>
      <c r="F903" s="460"/>
      <c r="G903" s="460"/>
      <c r="H903" s="460"/>
      <c r="I903" s="461"/>
      <c r="J903" s="460"/>
      <c r="K903" s="460"/>
      <c r="L903" s="461"/>
      <c r="M903" s="460"/>
      <c r="N903" s="460"/>
      <c r="O903" s="461"/>
      <c r="P903" s="461"/>
      <c r="Q903" s="461"/>
      <c r="R903" s="461"/>
    </row>
    <row r="904" ht="12.75" customHeight="1" spans="1:18">
      <c r="A904" s="460"/>
      <c r="B904" s="461"/>
      <c r="C904" s="461"/>
      <c r="D904" s="461"/>
      <c r="E904" s="461"/>
      <c r="F904" s="460"/>
      <c r="G904" s="460"/>
      <c r="H904" s="460"/>
      <c r="I904" s="461"/>
      <c r="J904" s="460"/>
      <c r="K904" s="460"/>
      <c r="L904" s="461"/>
      <c r="M904" s="460"/>
      <c r="N904" s="460"/>
      <c r="O904" s="461"/>
      <c r="P904" s="461"/>
      <c r="Q904" s="461"/>
      <c r="R904" s="461"/>
    </row>
    <row r="905" ht="12.75" customHeight="1" spans="1:18">
      <c r="A905" s="460"/>
      <c r="B905" s="461"/>
      <c r="C905" s="461"/>
      <c r="D905" s="461"/>
      <c r="E905" s="461"/>
      <c r="F905" s="460"/>
      <c r="G905" s="460"/>
      <c r="H905" s="460"/>
      <c r="I905" s="461"/>
      <c r="J905" s="460"/>
      <c r="K905" s="460"/>
      <c r="L905" s="461"/>
      <c r="M905" s="460"/>
      <c r="N905" s="460"/>
      <c r="O905" s="461"/>
      <c r="P905" s="461"/>
      <c r="Q905" s="461"/>
      <c r="R905" s="461"/>
    </row>
    <row r="906" ht="12.75" customHeight="1" spans="1:18">
      <c r="A906" s="460"/>
      <c r="B906" s="461"/>
      <c r="C906" s="461"/>
      <c r="D906" s="461"/>
      <c r="E906" s="461"/>
      <c r="F906" s="460"/>
      <c r="G906" s="460"/>
      <c r="H906" s="460"/>
      <c r="I906" s="461"/>
      <c r="J906" s="460"/>
      <c r="K906" s="460"/>
      <c r="L906" s="461"/>
      <c r="M906" s="460"/>
      <c r="N906" s="460"/>
      <c r="O906" s="461"/>
      <c r="P906" s="461"/>
      <c r="Q906" s="461"/>
      <c r="R906" s="461"/>
    </row>
    <row r="907" ht="12.75" customHeight="1" spans="1:18">
      <c r="A907" s="460"/>
      <c r="B907" s="461"/>
      <c r="C907" s="461"/>
      <c r="D907" s="461"/>
      <c r="E907" s="461"/>
      <c r="F907" s="460"/>
      <c r="G907" s="460"/>
      <c r="H907" s="460"/>
      <c r="I907" s="461"/>
      <c r="J907" s="460"/>
      <c r="K907" s="460"/>
      <c r="L907" s="461"/>
      <c r="M907" s="460"/>
      <c r="N907" s="460"/>
      <c r="O907" s="461"/>
      <c r="P907" s="461"/>
      <c r="Q907" s="461"/>
      <c r="R907" s="461"/>
    </row>
    <row r="908" ht="12.75" customHeight="1" spans="1:18">
      <c r="A908" s="460"/>
      <c r="B908" s="461"/>
      <c r="C908" s="461"/>
      <c r="D908" s="461"/>
      <c r="E908" s="461"/>
      <c r="F908" s="460"/>
      <c r="G908" s="460"/>
      <c r="H908" s="460"/>
      <c r="I908" s="461"/>
      <c r="J908" s="460"/>
      <c r="K908" s="460"/>
      <c r="L908" s="461"/>
      <c r="M908" s="460"/>
      <c r="N908" s="460"/>
      <c r="O908" s="461"/>
      <c r="P908" s="461"/>
      <c r="Q908" s="461"/>
      <c r="R908" s="461"/>
    </row>
    <row r="909" ht="12.75" customHeight="1" spans="1:18">
      <c r="A909" s="460"/>
      <c r="B909" s="461"/>
      <c r="C909" s="461"/>
      <c r="D909" s="461"/>
      <c r="E909" s="461"/>
      <c r="F909" s="460"/>
      <c r="G909" s="460"/>
      <c r="H909" s="460"/>
      <c r="I909" s="461"/>
      <c r="J909" s="460"/>
      <c r="K909" s="460"/>
      <c r="L909" s="461"/>
      <c r="M909" s="460"/>
      <c r="N909" s="460"/>
      <c r="O909" s="461"/>
      <c r="P909" s="461"/>
      <c r="Q909" s="461"/>
      <c r="R909" s="461"/>
    </row>
    <row r="910" ht="12.75" customHeight="1" spans="1:18">
      <c r="A910" s="460"/>
      <c r="B910" s="461"/>
      <c r="C910" s="461"/>
      <c r="D910" s="461"/>
      <c r="E910" s="461"/>
      <c r="F910" s="460"/>
      <c r="G910" s="460"/>
      <c r="H910" s="460"/>
      <c r="I910" s="461"/>
      <c r="J910" s="460"/>
      <c r="K910" s="460"/>
      <c r="L910" s="461"/>
      <c r="M910" s="460"/>
      <c r="N910" s="460"/>
      <c r="O910" s="461"/>
      <c r="P910" s="461"/>
      <c r="Q910" s="461"/>
      <c r="R910" s="461"/>
    </row>
    <row r="911" ht="12.75" customHeight="1" spans="1:18">
      <c r="A911" s="460"/>
      <c r="B911" s="461"/>
      <c r="C911" s="461"/>
      <c r="D911" s="461"/>
      <c r="E911" s="461"/>
      <c r="F911" s="460"/>
      <c r="G911" s="460"/>
      <c r="H911" s="460"/>
      <c r="I911" s="461"/>
      <c r="J911" s="460"/>
      <c r="K911" s="460"/>
      <c r="L911" s="461"/>
      <c r="M911" s="460"/>
      <c r="N911" s="460"/>
      <c r="O911" s="461"/>
      <c r="P911" s="461"/>
      <c r="Q911" s="461"/>
      <c r="R911" s="461"/>
    </row>
    <row r="912" ht="12.75" customHeight="1" spans="1:18">
      <c r="A912" s="460"/>
      <c r="B912" s="461"/>
      <c r="C912" s="461"/>
      <c r="D912" s="461"/>
      <c r="E912" s="461"/>
      <c r="F912" s="460"/>
      <c r="G912" s="460"/>
      <c r="H912" s="460"/>
      <c r="I912" s="461"/>
      <c r="J912" s="460"/>
      <c r="K912" s="460"/>
      <c r="L912" s="461"/>
      <c r="M912" s="460"/>
      <c r="N912" s="460"/>
      <c r="O912" s="461"/>
      <c r="P912" s="461"/>
      <c r="Q912" s="461"/>
      <c r="R912" s="461"/>
    </row>
    <row r="913" ht="12.75" customHeight="1" spans="1:18">
      <c r="A913" s="460"/>
      <c r="B913" s="461"/>
      <c r="C913" s="461"/>
      <c r="D913" s="461"/>
      <c r="E913" s="461"/>
      <c r="F913" s="460"/>
      <c r="G913" s="460"/>
      <c r="H913" s="460"/>
      <c r="I913" s="461"/>
      <c r="J913" s="460"/>
      <c r="K913" s="460"/>
      <c r="L913" s="461"/>
      <c r="M913" s="460"/>
      <c r="N913" s="460"/>
      <c r="O913" s="461"/>
      <c r="P913" s="461"/>
      <c r="Q913" s="461"/>
      <c r="R913" s="461"/>
    </row>
    <row r="914" ht="12.75" customHeight="1" spans="1:18">
      <c r="A914" s="460"/>
      <c r="B914" s="461"/>
      <c r="C914" s="461"/>
      <c r="D914" s="461"/>
      <c r="E914" s="461"/>
      <c r="F914" s="460"/>
      <c r="G914" s="460"/>
      <c r="H914" s="460"/>
      <c r="I914" s="461"/>
      <c r="J914" s="460"/>
      <c r="K914" s="460"/>
      <c r="L914" s="461"/>
      <c r="M914" s="460"/>
      <c r="N914" s="460"/>
      <c r="O914" s="461"/>
      <c r="P914" s="461"/>
      <c r="Q914" s="461"/>
      <c r="R914" s="461"/>
    </row>
    <row r="915" ht="12.75" customHeight="1" spans="1:18">
      <c r="A915" s="460"/>
      <c r="B915" s="461"/>
      <c r="C915" s="461"/>
      <c r="D915" s="461"/>
      <c r="E915" s="461"/>
      <c r="F915" s="460"/>
      <c r="G915" s="460"/>
      <c r="H915" s="460"/>
      <c r="I915" s="461"/>
      <c r="J915" s="460"/>
      <c r="K915" s="460"/>
      <c r="L915" s="461"/>
      <c r="M915" s="460"/>
      <c r="N915" s="460"/>
      <c r="O915" s="461"/>
      <c r="P915" s="461"/>
      <c r="Q915" s="461"/>
      <c r="R915" s="461"/>
    </row>
    <row r="916" ht="12.75" customHeight="1" spans="1:18">
      <c r="A916" s="460"/>
      <c r="B916" s="461"/>
      <c r="C916" s="461"/>
      <c r="D916" s="461"/>
      <c r="E916" s="461"/>
      <c r="F916" s="460"/>
      <c r="G916" s="460"/>
      <c r="H916" s="460"/>
      <c r="I916" s="461"/>
      <c r="J916" s="460"/>
      <c r="K916" s="460"/>
      <c r="L916" s="461"/>
      <c r="M916" s="460"/>
      <c r="N916" s="460"/>
      <c r="O916" s="461"/>
      <c r="P916" s="461"/>
      <c r="Q916" s="461"/>
      <c r="R916" s="461"/>
    </row>
    <row r="917" ht="12.75" customHeight="1" spans="1:18">
      <c r="A917" s="460"/>
      <c r="B917" s="461"/>
      <c r="C917" s="461"/>
      <c r="D917" s="461"/>
      <c r="E917" s="461"/>
      <c r="F917" s="460"/>
      <c r="G917" s="460"/>
      <c r="H917" s="460"/>
      <c r="I917" s="461"/>
      <c r="J917" s="460"/>
      <c r="K917" s="460"/>
      <c r="L917" s="461"/>
      <c r="M917" s="460"/>
      <c r="N917" s="460"/>
      <c r="O917" s="461"/>
      <c r="P917" s="461"/>
      <c r="Q917" s="461"/>
      <c r="R917" s="461"/>
    </row>
    <row r="918" ht="12.75" customHeight="1" spans="1:18">
      <c r="A918" s="460"/>
      <c r="B918" s="461"/>
      <c r="C918" s="461"/>
      <c r="D918" s="461"/>
      <c r="E918" s="461"/>
      <c r="F918" s="460"/>
      <c r="G918" s="460"/>
      <c r="H918" s="460"/>
      <c r="I918" s="461"/>
      <c r="J918" s="460"/>
      <c r="K918" s="460"/>
      <c r="L918" s="461"/>
      <c r="M918" s="460"/>
      <c r="N918" s="460"/>
      <c r="O918" s="461"/>
      <c r="P918" s="461"/>
      <c r="Q918" s="461"/>
      <c r="R918" s="461"/>
    </row>
    <row r="919" ht="12.75" customHeight="1" spans="1:18">
      <c r="A919" s="460"/>
      <c r="B919" s="461"/>
      <c r="C919" s="461"/>
      <c r="D919" s="461"/>
      <c r="E919" s="461"/>
      <c r="F919" s="460"/>
      <c r="G919" s="460"/>
      <c r="H919" s="460"/>
      <c r="I919" s="461"/>
      <c r="J919" s="460"/>
      <c r="K919" s="460"/>
      <c r="L919" s="461"/>
      <c r="M919" s="460"/>
      <c r="N919" s="460"/>
      <c r="O919" s="461"/>
      <c r="P919" s="461"/>
      <c r="Q919" s="461"/>
      <c r="R919" s="461"/>
    </row>
    <row r="920" ht="12.75" customHeight="1" spans="1:18">
      <c r="A920" s="460"/>
      <c r="B920" s="461"/>
      <c r="C920" s="461"/>
      <c r="D920" s="461"/>
      <c r="E920" s="461"/>
      <c r="F920" s="460"/>
      <c r="G920" s="460"/>
      <c r="H920" s="460"/>
      <c r="I920" s="461"/>
      <c r="J920" s="460"/>
      <c r="K920" s="460"/>
      <c r="L920" s="461"/>
      <c r="M920" s="460"/>
      <c r="N920" s="460"/>
      <c r="O920" s="461"/>
      <c r="P920" s="461"/>
      <c r="Q920" s="461"/>
      <c r="R920" s="461"/>
    </row>
    <row r="921" ht="12.75" customHeight="1" spans="1:18">
      <c r="A921" s="460"/>
      <c r="B921" s="461"/>
      <c r="C921" s="461"/>
      <c r="D921" s="461"/>
      <c r="E921" s="461"/>
      <c r="F921" s="460"/>
      <c r="G921" s="460"/>
      <c r="H921" s="460"/>
      <c r="I921" s="461"/>
      <c r="J921" s="460"/>
      <c r="K921" s="460"/>
      <c r="L921" s="461"/>
      <c r="M921" s="460"/>
      <c r="N921" s="460"/>
      <c r="O921" s="461"/>
      <c r="P921" s="461"/>
      <c r="Q921" s="461"/>
      <c r="R921" s="461"/>
    </row>
    <row r="922" ht="12.75" customHeight="1" spans="1:18">
      <c r="A922" s="460"/>
      <c r="B922" s="461"/>
      <c r="C922" s="461"/>
      <c r="D922" s="461"/>
      <c r="E922" s="461"/>
      <c r="F922" s="460"/>
      <c r="G922" s="460"/>
      <c r="H922" s="460"/>
      <c r="I922" s="461"/>
      <c r="J922" s="460"/>
      <c r="K922" s="460"/>
      <c r="L922" s="461"/>
      <c r="M922" s="460"/>
      <c r="N922" s="460"/>
      <c r="O922" s="461"/>
      <c r="P922" s="461"/>
      <c r="Q922" s="461"/>
      <c r="R922" s="461"/>
    </row>
    <row r="923" ht="12.75" customHeight="1" spans="1:18">
      <c r="A923" s="460"/>
      <c r="B923" s="461"/>
      <c r="C923" s="461"/>
      <c r="D923" s="461"/>
      <c r="E923" s="461"/>
      <c r="F923" s="460"/>
      <c r="G923" s="460"/>
      <c r="H923" s="460"/>
      <c r="I923" s="461"/>
      <c r="J923" s="460"/>
      <c r="K923" s="460"/>
      <c r="L923" s="461"/>
      <c r="M923" s="460"/>
      <c r="N923" s="460"/>
      <c r="O923" s="461"/>
      <c r="P923" s="461"/>
      <c r="Q923" s="461"/>
      <c r="R923" s="461"/>
    </row>
    <row r="924" ht="12.75" customHeight="1" spans="1:18">
      <c r="A924" s="460"/>
      <c r="B924" s="461"/>
      <c r="C924" s="461"/>
      <c r="D924" s="461"/>
      <c r="E924" s="461"/>
      <c r="F924" s="460"/>
      <c r="G924" s="460"/>
      <c r="H924" s="460"/>
      <c r="I924" s="461"/>
      <c r="J924" s="460"/>
      <c r="K924" s="460"/>
      <c r="L924" s="461"/>
      <c r="M924" s="460"/>
      <c r="N924" s="460"/>
      <c r="O924" s="461"/>
      <c r="P924" s="461"/>
      <c r="Q924" s="461"/>
      <c r="R924" s="461"/>
    </row>
    <row r="925" ht="12.75" customHeight="1" spans="1:18">
      <c r="A925" s="460"/>
      <c r="B925" s="461"/>
      <c r="C925" s="461"/>
      <c r="D925" s="461"/>
      <c r="E925" s="461"/>
      <c r="F925" s="460"/>
      <c r="G925" s="460"/>
      <c r="H925" s="460"/>
      <c r="I925" s="461"/>
      <c r="J925" s="460"/>
      <c r="K925" s="460"/>
      <c r="L925" s="461"/>
      <c r="M925" s="460"/>
      <c r="N925" s="460"/>
      <c r="O925" s="461"/>
      <c r="P925" s="461"/>
      <c r="Q925" s="461"/>
      <c r="R925" s="461"/>
    </row>
    <row r="926" ht="12.75" customHeight="1" spans="1:18">
      <c r="A926" s="460"/>
      <c r="B926" s="461"/>
      <c r="C926" s="461"/>
      <c r="D926" s="461"/>
      <c r="E926" s="461"/>
      <c r="F926" s="460"/>
      <c r="G926" s="460"/>
      <c r="H926" s="460"/>
      <c r="I926" s="461"/>
      <c r="J926" s="460"/>
      <c r="K926" s="460"/>
      <c r="L926" s="461"/>
      <c r="M926" s="460"/>
      <c r="N926" s="460"/>
      <c r="O926" s="461"/>
      <c r="P926" s="461"/>
      <c r="Q926" s="461"/>
      <c r="R926" s="461"/>
    </row>
    <row r="927" ht="12.75" customHeight="1" spans="1:18">
      <c r="A927" s="460"/>
      <c r="B927" s="461"/>
      <c r="C927" s="461"/>
      <c r="D927" s="461"/>
      <c r="E927" s="461"/>
      <c r="F927" s="460"/>
      <c r="G927" s="460"/>
      <c r="H927" s="460"/>
      <c r="I927" s="461"/>
      <c r="J927" s="460"/>
      <c r="K927" s="460"/>
      <c r="L927" s="461"/>
      <c r="M927" s="460"/>
      <c r="N927" s="460"/>
      <c r="O927" s="461"/>
      <c r="P927" s="461"/>
      <c r="Q927" s="461"/>
      <c r="R927" s="461"/>
    </row>
    <row r="928" ht="12.75" customHeight="1" spans="1:18">
      <c r="A928" s="460"/>
      <c r="B928" s="461"/>
      <c r="C928" s="461"/>
      <c r="D928" s="461"/>
      <c r="E928" s="461"/>
      <c r="F928" s="460"/>
      <c r="G928" s="460"/>
      <c r="H928" s="460"/>
      <c r="I928" s="461"/>
      <c r="J928" s="460"/>
      <c r="K928" s="460"/>
      <c r="L928" s="461"/>
      <c r="M928" s="460"/>
      <c r="N928" s="460"/>
      <c r="O928" s="461"/>
      <c r="P928" s="461"/>
      <c r="Q928" s="461"/>
      <c r="R928" s="461"/>
    </row>
    <row r="929" ht="12.75" customHeight="1" spans="1:18">
      <c r="A929" s="460"/>
      <c r="B929" s="461"/>
      <c r="C929" s="461"/>
      <c r="D929" s="461"/>
      <c r="E929" s="461"/>
      <c r="F929" s="460"/>
      <c r="G929" s="460"/>
      <c r="H929" s="460"/>
      <c r="I929" s="461"/>
      <c r="J929" s="460"/>
      <c r="K929" s="460"/>
      <c r="L929" s="461"/>
      <c r="M929" s="460"/>
      <c r="N929" s="460"/>
      <c r="O929" s="461"/>
      <c r="P929" s="461"/>
      <c r="Q929" s="461"/>
      <c r="R929" s="461"/>
    </row>
    <row r="930" ht="12.75" customHeight="1" spans="1:18">
      <c r="A930" s="460"/>
      <c r="B930" s="461"/>
      <c r="C930" s="461"/>
      <c r="D930" s="461"/>
      <c r="E930" s="461"/>
      <c r="F930" s="460"/>
      <c r="G930" s="460"/>
      <c r="H930" s="460"/>
      <c r="I930" s="461"/>
      <c r="J930" s="460"/>
      <c r="K930" s="460"/>
      <c r="L930" s="461"/>
      <c r="M930" s="460"/>
      <c r="N930" s="460"/>
      <c r="O930" s="461"/>
      <c r="P930" s="461"/>
      <c r="Q930" s="461"/>
      <c r="R930" s="461"/>
    </row>
    <row r="931" ht="12.75" customHeight="1" spans="1:18">
      <c r="A931" s="460"/>
      <c r="B931" s="461"/>
      <c r="C931" s="461"/>
      <c r="D931" s="461"/>
      <c r="E931" s="461"/>
      <c r="F931" s="460"/>
      <c r="G931" s="460"/>
      <c r="H931" s="460"/>
      <c r="I931" s="461"/>
      <c r="J931" s="460"/>
      <c r="K931" s="460"/>
      <c r="L931" s="461"/>
      <c r="M931" s="460"/>
      <c r="N931" s="460"/>
      <c r="O931" s="461"/>
      <c r="P931" s="461"/>
      <c r="Q931" s="461"/>
      <c r="R931" s="461"/>
    </row>
    <row r="932" ht="12.75" customHeight="1" spans="1:18">
      <c r="A932" s="460"/>
      <c r="B932" s="461"/>
      <c r="C932" s="461"/>
      <c r="D932" s="461"/>
      <c r="E932" s="461"/>
      <c r="F932" s="460"/>
      <c r="G932" s="460"/>
      <c r="H932" s="460"/>
      <c r="I932" s="461"/>
      <c r="J932" s="460"/>
      <c r="K932" s="460"/>
      <c r="L932" s="461"/>
      <c r="M932" s="460"/>
      <c r="N932" s="460"/>
      <c r="O932" s="461"/>
      <c r="P932" s="461"/>
      <c r="Q932" s="461"/>
      <c r="R932" s="461"/>
    </row>
    <row r="933" ht="12.75" customHeight="1" spans="1:18">
      <c r="A933" s="460"/>
      <c r="B933" s="461"/>
      <c r="C933" s="461"/>
      <c r="D933" s="461"/>
      <c r="E933" s="461"/>
      <c r="F933" s="460"/>
      <c r="G933" s="460"/>
      <c r="H933" s="460"/>
      <c r="I933" s="461"/>
      <c r="J933" s="460"/>
      <c r="K933" s="460"/>
      <c r="L933" s="461"/>
      <c r="M933" s="460"/>
      <c r="N933" s="460"/>
      <c r="O933" s="461"/>
      <c r="P933" s="461"/>
      <c r="Q933" s="461"/>
      <c r="R933" s="461"/>
    </row>
    <row r="934" ht="12.75" customHeight="1" spans="1:18">
      <c r="A934" s="460"/>
      <c r="B934" s="461"/>
      <c r="C934" s="461"/>
      <c r="D934" s="461"/>
      <c r="E934" s="461"/>
      <c r="F934" s="460"/>
      <c r="G934" s="460"/>
      <c r="H934" s="460"/>
      <c r="I934" s="461"/>
      <c r="J934" s="460"/>
      <c r="K934" s="460"/>
      <c r="L934" s="461"/>
      <c r="M934" s="460"/>
      <c r="N934" s="460"/>
      <c r="O934" s="461"/>
      <c r="P934" s="461"/>
      <c r="Q934" s="461"/>
      <c r="R934" s="461"/>
    </row>
    <row r="935" ht="12.75" customHeight="1" spans="1:18">
      <c r="A935" s="460"/>
      <c r="B935" s="461"/>
      <c r="C935" s="461"/>
      <c r="D935" s="461"/>
      <c r="E935" s="461"/>
      <c r="F935" s="460"/>
      <c r="G935" s="460"/>
      <c r="H935" s="460"/>
      <c r="I935" s="461"/>
      <c r="J935" s="460"/>
      <c r="K935" s="460"/>
      <c r="L935" s="461"/>
      <c r="M935" s="460"/>
      <c r="N935" s="460"/>
      <c r="O935" s="461"/>
      <c r="P935" s="461"/>
      <c r="Q935" s="461"/>
      <c r="R935" s="461"/>
    </row>
    <row r="936" ht="12.75" customHeight="1" spans="1:18">
      <c r="A936" s="460"/>
      <c r="B936" s="461"/>
      <c r="C936" s="461"/>
      <c r="D936" s="461"/>
      <c r="E936" s="461"/>
      <c r="F936" s="460"/>
      <c r="G936" s="460"/>
      <c r="H936" s="460"/>
      <c r="I936" s="461"/>
      <c r="J936" s="460"/>
      <c r="K936" s="460"/>
      <c r="L936" s="461"/>
      <c r="M936" s="460"/>
      <c r="N936" s="460"/>
      <c r="O936" s="461"/>
      <c r="P936" s="461"/>
      <c r="Q936" s="461"/>
      <c r="R936" s="461"/>
    </row>
    <row r="937" ht="12.75" customHeight="1" spans="1:18">
      <c r="A937" s="460"/>
      <c r="B937" s="461"/>
      <c r="C937" s="461"/>
      <c r="D937" s="461"/>
      <c r="E937" s="461"/>
      <c r="F937" s="460"/>
      <c r="G937" s="460"/>
      <c r="H937" s="460"/>
      <c r="I937" s="461"/>
      <c r="J937" s="460"/>
      <c r="K937" s="460"/>
      <c r="L937" s="461"/>
      <c r="M937" s="460"/>
      <c r="N937" s="460"/>
      <c r="O937" s="461"/>
      <c r="P937" s="461"/>
      <c r="Q937" s="461"/>
      <c r="R937" s="461"/>
    </row>
    <row r="938" ht="12.75" customHeight="1" spans="1:18">
      <c r="A938" s="460"/>
      <c r="B938" s="461"/>
      <c r="C938" s="461"/>
      <c r="D938" s="461"/>
      <c r="E938" s="461"/>
      <c r="F938" s="460"/>
      <c r="G938" s="460"/>
      <c r="H938" s="460"/>
      <c r="I938" s="461"/>
      <c r="J938" s="460"/>
      <c r="K938" s="460"/>
      <c r="L938" s="461"/>
      <c r="M938" s="460"/>
      <c r="N938" s="460"/>
      <c r="O938" s="461"/>
      <c r="P938" s="461"/>
      <c r="Q938" s="461"/>
      <c r="R938" s="461"/>
    </row>
    <row r="939" ht="12.75" customHeight="1" spans="1:18">
      <c r="A939" s="460"/>
      <c r="B939" s="461"/>
      <c r="C939" s="461"/>
      <c r="D939" s="461"/>
      <c r="E939" s="461"/>
      <c r="F939" s="460"/>
      <c r="G939" s="460"/>
      <c r="H939" s="460"/>
      <c r="I939" s="461"/>
      <c r="J939" s="460"/>
      <c r="K939" s="460"/>
      <c r="L939" s="461"/>
      <c r="M939" s="460"/>
      <c r="N939" s="460"/>
      <c r="O939" s="461"/>
      <c r="P939" s="461"/>
      <c r="Q939" s="461"/>
      <c r="R939" s="461"/>
    </row>
    <row r="940" ht="12.75" customHeight="1" spans="1:18">
      <c r="A940" s="460"/>
      <c r="B940" s="461"/>
      <c r="C940" s="461"/>
      <c r="D940" s="461"/>
      <c r="E940" s="461"/>
      <c r="F940" s="460"/>
      <c r="G940" s="460"/>
      <c r="H940" s="460"/>
      <c r="I940" s="461"/>
      <c r="J940" s="460"/>
      <c r="K940" s="460"/>
      <c r="L940" s="461"/>
      <c r="M940" s="460"/>
      <c r="N940" s="460"/>
      <c r="O940" s="461"/>
      <c r="P940" s="461"/>
      <c r="Q940" s="461"/>
      <c r="R940" s="461"/>
    </row>
    <row r="941" ht="12.75" customHeight="1" spans="1:18">
      <c r="A941" s="460"/>
      <c r="B941" s="461"/>
      <c r="C941" s="461"/>
      <c r="D941" s="461"/>
      <c r="E941" s="461"/>
      <c r="F941" s="460"/>
      <c r="G941" s="460"/>
      <c r="H941" s="460"/>
      <c r="I941" s="461"/>
      <c r="J941" s="460"/>
      <c r="K941" s="460"/>
      <c r="L941" s="461"/>
      <c r="M941" s="460"/>
      <c r="N941" s="460"/>
      <c r="O941" s="461"/>
      <c r="P941" s="461"/>
      <c r="Q941" s="461"/>
      <c r="R941" s="461"/>
    </row>
    <row r="942" ht="12.75" customHeight="1" spans="1:18">
      <c r="A942" s="460"/>
      <c r="B942" s="461"/>
      <c r="C942" s="461"/>
      <c r="D942" s="461"/>
      <c r="E942" s="461"/>
      <c r="F942" s="460"/>
      <c r="G942" s="460"/>
      <c r="H942" s="460"/>
      <c r="I942" s="461"/>
      <c r="J942" s="460"/>
      <c r="K942" s="460"/>
      <c r="L942" s="461"/>
      <c r="M942" s="460"/>
      <c r="N942" s="460"/>
      <c r="O942" s="461"/>
      <c r="P942" s="461"/>
      <c r="Q942" s="461"/>
      <c r="R942" s="461"/>
    </row>
    <row r="943" ht="12.75" customHeight="1" spans="1:18">
      <c r="A943" s="460"/>
      <c r="B943" s="461"/>
      <c r="C943" s="461"/>
      <c r="D943" s="461"/>
      <c r="E943" s="461"/>
      <c r="F943" s="460"/>
      <c r="G943" s="460"/>
      <c r="H943" s="460"/>
      <c r="I943" s="461"/>
      <c r="J943" s="460"/>
      <c r="K943" s="460"/>
      <c r="L943" s="461"/>
      <c r="M943" s="460"/>
      <c r="N943" s="460"/>
      <c r="O943" s="461"/>
      <c r="P943" s="461"/>
      <c r="Q943" s="461"/>
      <c r="R943" s="461"/>
    </row>
    <row r="944" ht="12.75" customHeight="1" spans="1:18">
      <c r="A944" s="460"/>
      <c r="B944" s="461"/>
      <c r="C944" s="461"/>
      <c r="D944" s="461"/>
      <c r="E944" s="461"/>
      <c r="F944" s="460"/>
      <c r="G944" s="460"/>
      <c r="H944" s="460"/>
      <c r="I944" s="461"/>
      <c r="J944" s="460"/>
      <c r="K944" s="460"/>
      <c r="L944" s="461"/>
      <c r="M944" s="460"/>
      <c r="N944" s="460"/>
      <c r="O944" s="461"/>
      <c r="P944" s="461"/>
      <c r="Q944" s="461"/>
      <c r="R944" s="461"/>
    </row>
    <row r="945" ht="12.75" customHeight="1" spans="1:18">
      <c r="A945" s="460"/>
      <c r="B945" s="461"/>
      <c r="C945" s="461"/>
      <c r="D945" s="461"/>
      <c r="E945" s="461"/>
      <c r="F945" s="460"/>
      <c r="G945" s="460"/>
      <c r="H945" s="460"/>
      <c r="I945" s="461"/>
      <c r="J945" s="460"/>
      <c r="K945" s="460"/>
      <c r="L945" s="461"/>
      <c r="M945" s="460"/>
      <c r="N945" s="460"/>
      <c r="O945" s="461"/>
      <c r="P945" s="461"/>
      <c r="Q945" s="461"/>
      <c r="R945" s="461"/>
    </row>
    <row r="946" ht="12.75" customHeight="1" spans="1:18">
      <c r="A946" s="460"/>
      <c r="B946" s="461"/>
      <c r="C946" s="461"/>
      <c r="D946" s="461"/>
      <c r="E946" s="461"/>
      <c r="F946" s="460"/>
      <c r="G946" s="460"/>
      <c r="H946" s="460"/>
      <c r="I946" s="461"/>
      <c r="J946" s="460"/>
      <c r="K946" s="460"/>
      <c r="L946" s="461"/>
      <c r="M946" s="460"/>
      <c r="N946" s="460"/>
      <c r="O946" s="461"/>
      <c r="P946" s="461"/>
      <c r="Q946" s="461"/>
      <c r="R946" s="461"/>
    </row>
    <row r="947" ht="12.75" customHeight="1" spans="1:18">
      <c r="A947" s="460"/>
      <c r="B947" s="461"/>
      <c r="C947" s="461"/>
      <c r="D947" s="461"/>
      <c r="E947" s="461"/>
      <c r="F947" s="460"/>
      <c r="G947" s="460"/>
      <c r="H947" s="460"/>
      <c r="I947" s="461"/>
      <c r="J947" s="460"/>
      <c r="K947" s="460"/>
      <c r="L947" s="461"/>
      <c r="M947" s="460"/>
      <c r="N947" s="460"/>
      <c r="O947" s="461"/>
      <c r="P947" s="461"/>
      <c r="Q947" s="461"/>
      <c r="R947" s="461"/>
    </row>
    <row r="948" ht="12.75" customHeight="1" spans="1:18">
      <c r="A948" s="460"/>
      <c r="B948" s="461"/>
      <c r="C948" s="461"/>
      <c r="D948" s="461"/>
      <c r="E948" s="461"/>
      <c r="F948" s="460"/>
      <c r="G948" s="460"/>
      <c r="H948" s="460"/>
      <c r="I948" s="461"/>
      <c r="J948" s="460"/>
      <c r="K948" s="460"/>
      <c r="L948" s="461"/>
      <c r="M948" s="460"/>
      <c r="N948" s="460"/>
      <c r="O948" s="461"/>
      <c r="P948" s="461"/>
      <c r="Q948" s="461"/>
      <c r="R948" s="461"/>
    </row>
    <row r="949" ht="12.75" customHeight="1" spans="1:18">
      <c r="A949" s="460"/>
      <c r="B949" s="461"/>
      <c r="C949" s="461"/>
      <c r="D949" s="461"/>
      <c r="E949" s="461"/>
      <c r="F949" s="460"/>
      <c r="G949" s="460"/>
      <c r="H949" s="460"/>
      <c r="I949" s="461"/>
      <c r="J949" s="460"/>
      <c r="K949" s="460"/>
      <c r="L949" s="461"/>
      <c r="M949" s="460"/>
      <c r="N949" s="460"/>
      <c r="O949" s="461"/>
      <c r="P949" s="461"/>
      <c r="Q949" s="461"/>
      <c r="R949" s="461"/>
    </row>
    <row r="950" ht="12.75" customHeight="1" spans="1:18">
      <c r="A950" s="460"/>
      <c r="B950" s="461"/>
      <c r="C950" s="461"/>
      <c r="D950" s="461"/>
      <c r="E950" s="461"/>
      <c r="F950" s="460"/>
      <c r="G950" s="460"/>
      <c r="H950" s="460"/>
      <c r="I950" s="461"/>
      <c r="J950" s="460"/>
      <c r="K950" s="460"/>
      <c r="L950" s="461"/>
      <c r="M950" s="460"/>
      <c r="N950" s="460"/>
      <c r="O950" s="461"/>
      <c r="P950" s="461"/>
      <c r="Q950" s="461"/>
      <c r="R950" s="461"/>
    </row>
    <row r="951" ht="12.75" customHeight="1" spans="1:18">
      <c r="A951" s="460"/>
      <c r="B951" s="461"/>
      <c r="C951" s="461"/>
      <c r="D951" s="461"/>
      <c r="E951" s="461"/>
      <c r="F951" s="460"/>
      <c r="G951" s="460"/>
      <c r="H951" s="460"/>
      <c r="I951" s="461"/>
      <c r="J951" s="460"/>
      <c r="K951" s="460"/>
      <c r="L951" s="461"/>
      <c r="M951" s="460"/>
      <c r="N951" s="460"/>
      <c r="O951" s="461"/>
      <c r="P951" s="461"/>
      <c r="Q951" s="461"/>
      <c r="R951" s="461"/>
    </row>
    <row r="952" ht="12.75" customHeight="1" spans="1:18">
      <c r="A952" s="460"/>
      <c r="B952" s="461"/>
      <c r="C952" s="461"/>
      <c r="D952" s="461"/>
      <c r="E952" s="461"/>
      <c r="F952" s="460"/>
      <c r="G952" s="460"/>
      <c r="H952" s="460"/>
      <c r="I952" s="461"/>
      <c r="J952" s="460"/>
      <c r="K952" s="460"/>
      <c r="L952" s="461"/>
      <c r="M952" s="460"/>
      <c r="N952" s="460"/>
      <c r="O952" s="461"/>
      <c r="P952" s="461"/>
      <c r="Q952" s="461"/>
      <c r="R952" s="461"/>
    </row>
    <row r="953" ht="12.75" customHeight="1" spans="1:18">
      <c r="A953" s="460"/>
      <c r="B953" s="461"/>
      <c r="C953" s="461"/>
      <c r="D953" s="461"/>
      <c r="E953" s="461"/>
      <c r="F953" s="460"/>
      <c r="G953" s="460"/>
      <c r="H953" s="460"/>
      <c r="I953" s="461"/>
      <c r="J953" s="460"/>
      <c r="K953" s="460"/>
      <c r="L953" s="461"/>
      <c r="M953" s="460"/>
      <c r="N953" s="460"/>
      <c r="O953" s="461"/>
      <c r="P953" s="461"/>
      <c r="Q953" s="461"/>
      <c r="R953" s="461"/>
    </row>
    <row r="954" ht="12.75" customHeight="1" spans="1:18">
      <c r="A954" s="460"/>
      <c r="B954" s="461"/>
      <c r="C954" s="461"/>
      <c r="D954" s="461"/>
      <c r="E954" s="461"/>
      <c r="F954" s="460"/>
      <c r="G954" s="460"/>
      <c r="H954" s="460"/>
      <c r="I954" s="461"/>
      <c r="J954" s="460"/>
      <c r="K954" s="460"/>
      <c r="L954" s="461"/>
      <c r="M954" s="460"/>
      <c r="N954" s="460"/>
      <c r="O954" s="461"/>
      <c r="P954" s="461"/>
      <c r="Q954" s="461"/>
      <c r="R954" s="461"/>
    </row>
    <row r="955" ht="12.75" customHeight="1" spans="1:18">
      <c r="A955" s="460"/>
      <c r="B955" s="461"/>
      <c r="C955" s="461"/>
      <c r="D955" s="461"/>
      <c r="E955" s="461"/>
      <c r="F955" s="460"/>
      <c r="G955" s="460"/>
      <c r="H955" s="460"/>
      <c r="I955" s="461"/>
      <c r="J955" s="460"/>
      <c r="K955" s="460"/>
      <c r="L955" s="461"/>
      <c r="M955" s="460"/>
      <c r="N955" s="460"/>
      <c r="O955" s="461"/>
      <c r="P955" s="461"/>
      <c r="Q955" s="461"/>
      <c r="R955" s="461"/>
    </row>
    <row r="956" ht="12.75" customHeight="1" spans="1:18">
      <c r="A956" s="460"/>
      <c r="B956" s="461"/>
      <c r="C956" s="461"/>
      <c r="D956" s="461"/>
      <c r="E956" s="461"/>
      <c r="F956" s="460"/>
      <c r="G956" s="460"/>
      <c r="H956" s="460"/>
      <c r="I956" s="461"/>
      <c r="J956" s="460"/>
      <c r="K956" s="460"/>
      <c r="L956" s="461"/>
      <c r="M956" s="460"/>
      <c r="N956" s="460"/>
      <c r="O956" s="461"/>
      <c r="P956" s="461"/>
      <c r="Q956" s="461"/>
      <c r="R956" s="461"/>
    </row>
    <row r="957" ht="12.75" customHeight="1" spans="1:18">
      <c r="A957" s="460"/>
      <c r="B957" s="461"/>
      <c r="C957" s="461"/>
      <c r="D957" s="461"/>
      <c r="E957" s="461"/>
      <c r="F957" s="460"/>
      <c r="G957" s="460"/>
      <c r="H957" s="460"/>
      <c r="I957" s="461"/>
      <c r="J957" s="460"/>
      <c r="K957" s="460"/>
      <c r="L957" s="461"/>
      <c r="M957" s="460"/>
      <c r="N957" s="460"/>
      <c r="O957" s="461"/>
      <c r="P957" s="461"/>
      <c r="Q957" s="461"/>
      <c r="R957" s="461"/>
    </row>
    <row r="958" ht="12.75" customHeight="1" spans="1:18">
      <c r="A958" s="460"/>
      <c r="B958" s="461"/>
      <c r="C958" s="461"/>
      <c r="D958" s="461"/>
      <c r="E958" s="461"/>
      <c r="F958" s="460"/>
      <c r="G958" s="460"/>
      <c r="H958" s="460"/>
      <c r="I958" s="461"/>
      <c r="J958" s="460"/>
      <c r="K958" s="460"/>
      <c r="L958" s="461"/>
      <c r="M958" s="460"/>
      <c r="N958" s="460"/>
      <c r="O958" s="461"/>
      <c r="P958" s="461"/>
      <c r="Q958" s="461"/>
      <c r="R958" s="461"/>
    </row>
    <row r="959" ht="12.75" customHeight="1" spans="1:18">
      <c r="A959" s="460"/>
      <c r="B959" s="461"/>
      <c r="C959" s="461"/>
      <c r="D959" s="461"/>
      <c r="E959" s="461"/>
      <c r="F959" s="460"/>
      <c r="G959" s="460"/>
      <c r="H959" s="460"/>
      <c r="I959" s="461"/>
      <c r="J959" s="460"/>
      <c r="K959" s="460"/>
      <c r="L959" s="461"/>
      <c r="M959" s="460"/>
      <c r="N959" s="460"/>
      <c r="O959" s="461"/>
      <c r="P959" s="461"/>
      <c r="Q959" s="461"/>
      <c r="R959" s="461"/>
    </row>
    <row r="960" ht="12.75" customHeight="1" spans="1:18">
      <c r="A960" s="460"/>
      <c r="B960" s="461"/>
      <c r="C960" s="461"/>
      <c r="D960" s="461"/>
      <c r="E960" s="461"/>
      <c r="F960" s="460"/>
      <c r="G960" s="460"/>
      <c r="H960" s="460"/>
      <c r="I960" s="461"/>
      <c r="J960" s="460"/>
      <c r="K960" s="460"/>
      <c r="L960" s="461"/>
      <c r="M960" s="460"/>
      <c r="N960" s="460"/>
      <c r="O960" s="461"/>
      <c r="P960" s="461"/>
      <c r="Q960" s="461"/>
      <c r="R960" s="461"/>
    </row>
    <row r="961" ht="12.75" customHeight="1" spans="1:18">
      <c r="A961" s="460"/>
      <c r="B961" s="461"/>
      <c r="C961" s="461"/>
      <c r="D961" s="461"/>
      <c r="E961" s="461"/>
      <c r="F961" s="460"/>
      <c r="G961" s="460"/>
      <c r="H961" s="460"/>
      <c r="I961" s="461"/>
      <c r="J961" s="460"/>
      <c r="K961" s="460"/>
      <c r="L961" s="461"/>
      <c r="M961" s="460"/>
      <c r="N961" s="460"/>
      <c r="O961" s="461"/>
      <c r="P961" s="461"/>
      <c r="Q961" s="461"/>
      <c r="R961" s="461"/>
    </row>
    <row r="962" ht="12.75" customHeight="1" spans="1:18">
      <c r="A962" s="460"/>
      <c r="B962" s="461"/>
      <c r="C962" s="461"/>
      <c r="D962" s="461"/>
      <c r="E962" s="461"/>
      <c r="F962" s="460"/>
      <c r="G962" s="460"/>
      <c r="H962" s="460"/>
      <c r="I962" s="461"/>
      <c r="J962" s="460"/>
      <c r="K962" s="460"/>
      <c r="L962" s="461"/>
      <c r="M962" s="460"/>
      <c r="N962" s="460"/>
      <c r="O962" s="461"/>
      <c r="P962" s="461"/>
      <c r="Q962" s="461"/>
      <c r="R962" s="461"/>
    </row>
    <row r="963" ht="12.75" customHeight="1" spans="1:18">
      <c r="A963" s="460"/>
      <c r="B963" s="461"/>
      <c r="C963" s="461"/>
      <c r="D963" s="461"/>
      <c r="E963" s="461"/>
      <c r="F963" s="460"/>
      <c r="G963" s="460"/>
      <c r="H963" s="460"/>
      <c r="I963" s="461"/>
      <c r="J963" s="460"/>
      <c r="K963" s="460"/>
      <c r="L963" s="461"/>
      <c r="M963" s="460"/>
      <c r="N963" s="460"/>
      <c r="O963" s="461"/>
      <c r="P963" s="461"/>
      <c r="Q963" s="461"/>
      <c r="R963" s="461"/>
    </row>
    <row r="964" ht="12.75" customHeight="1" spans="1:18">
      <c r="A964" s="460"/>
      <c r="B964" s="461"/>
      <c r="C964" s="461"/>
      <c r="D964" s="461"/>
      <c r="E964" s="461"/>
      <c r="F964" s="460"/>
      <c r="G964" s="460"/>
      <c r="H964" s="460"/>
      <c r="I964" s="461"/>
      <c r="J964" s="460"/>
      <c r="K964" s="460"/>
      <c r="L964" s="461"/>
      <c r="M964" s="460"/>
      <c r="N964" s="460"/>
      <c r="O964" s="461"/>
      <c r="P964" s="461"/>
      <c r="Q964" s="461"/>
      <c r="R964" s="461"/>
    </row>
    <row r="965" ht="12.75" customHeight="1" spans="1:18">
      <c r="A965" s="460"/>
      <c r="B965" s="461"/>
      <c r="C965" s="461"/>
      <c r="D965" s="461"/>
      <c r="E965" s="461"/>
      <c r="F965" s="460"/>
      <c r="G965" s="460"/>
      <c r="H965" s="460"/>
      <c r="I965" s="461"/>
      <c r="J965" s="460"/>
      <c r="K965" s="460"/>
      <c r="L965" s="461"/>
      <c r="M965" s="460"/>
      <c r="N965" s="460"/>
      <c r="O965" s="461"/>
      <c r="P965" s="461"/>
      <c r="Q965" s="461"/>
      <c r="R965" s="461"/>
    </row>
    <row r="966" ht="12.75" customHeight="1" spans="1:18">
      <c r="A966" s="460"/>
      <c r="B966" s="461"/>
      <c r="C966" s="461"/>
      <c r="D966" s="461"/>
      <c r="E966" s="461"/>
      <c r="F966" s="460"/>
      <c r="G966" s="460"/>
      <c r="H966" s="460"/>
      <c r="I966" s="461"/>
      <c r="J966" s="460"/>
      <c r="K966" s="460"/>
      <c r="L966" s="461"/>
      <c r="M966" s="460"/>
      <c r="N966" s="460"/>
      <c r="O966" s="461"/>
      <c r="P966" s="461"/>
      <c r="Q966" s="461"/>
      <c r="R966" s="461"/>
    </row>
    <row r="967" ht="12.75" customHeight="1" spans="1:18">
      <c r="A967" s="460"/>
      <c r="B967" s="461"/>
      <c r="C967" s="461"/>
      <c r="D967" s="461"/>
      <c r="E967" s="461"/>
      <c r="F967" s="460"/>
      <c r="G967" s="460"/>
      <c r="H967" s="460"/>
      <c r="I967" s="461"/>
      <c r="J967" s="460"/>
      <c r="K967" s="460"/>
      <c r="L967" s="461"/>
      <c r="M967" s="460"/>
      <c r="N967" s="460"/>
      <c r="O967" s="461"/>
      <c r="P967" s="461"/>
      <c r="Q967" s="461"/>
      <c r="R967" s="461"/>
    </row>
    <row r="968" ht="12.75" customHeight="1" spans="1:18">
      <c r="A968" s="460"/>
      <c r="B968" s="461"/>
      <c r="C968" s="461"/>
      <c r="D968" s="461"/>
      <c r="E968" s="461"/>
      <c r="F968" s="460"/>
      <c r="G968" s="460"/>
      <c r="H968" s="460"/>
      <c r="I968" s="461"/>
      <c r="J968" s="460"/>
      <c r="K968" s="460"/>
      <c r="L968" s="461"/>
      <c r="M968" s="460"/>
      <c r="N968" s="460"/>
      <c r="O968" s="461"/>
      <c r="P968" s="461"/>
      <c r="Q968" s="461"/>
      <c r="R968" s="461"/>
    </row>
    <row r="969" ht="12.75" customHeight="1" spans="1:18">
      <c r="A969" s="460"/>
      <c r="B969" s="461"/>
      <c r="C969" s="461"/>
      <c r="D969" s="461"/>
      <c r="E969" s="461"/>
      <c r="F969" s="460"/>
      <c r="G969" s="460"/>
      <c r="H969" s="460"/>
      <c r="I969" s="461"/>
      <c r="J969" s="460"/>
      <c r="K969" s="460"/>
      <c r="L969" s="461"/>
      <c r="M969" s="460"/>
      <c r="N969" s="460"/>
      <c r="O969" s="461"/>
      <c r="P969" s="461"/>
      <c r="Q969" s="461"/>
      <c r="R969" s="461"/>
    </row>
    <row r="970" ht="12.75" customHeight="1" spans="1:18">
      <c r="A970" s="460"/>
      <c r="B970" s="461"/>
      <c r="C970" s="461"/>
      <c r="D970" s="461"/>
      <c r="E970" s="461"/>
      <c r="F970" s="460"/>
      <c r="G970" s="460"/>
      <c r="H970" s="460"/>
      <c r="I970" s="461"/>
      <c r="J970" s="460"/>
      <c r="K970" s="460"/>
      <c r="L970" s="461"/>
      <c r="M970" s="460"/>
      <c r="N970" s="460"/>
      <c r="O970" s="461"/>
      <c r="P970" s="461"/>
      <c r="Q970" s="461"/>
      <c r="R970" s="461"/>
    </row>
    <row r="971" ht="12.75" customHeight="1" spans="1:18">
      <c r="A971" s="460"/>
      <c r="B971" s="461"/>
      <c r="C971" s="461"/>
      <c r="D971" s="461"/>
      <c r="E971" s="461"/>
      <c r="F971" s="460"/>
      <c r="G971" s="460"/>
      <c r="H971" s="460"/>
      <c r="I971" s="461"/>
      <c r="J971" s="460"/>
      <c r="K971" s="460"/>
      <c r="L971" s="461"/>
      <c r="M971" s="460"/>
      <c r="N971" s="460"/>
      <c r="O971" s="461"/>
      <c r="P971" s="461"/>
      <c r="Q971" s="461"/>
      <c r="R971" s="461"/>
    </row>
    <row r="972" ht="12.75" customHeight="1" spans="1:18">
      <c r="A972" s="460"/>
      <c r="B972" s="461"/>
      <c r="C972" s="461"/>
      <c r="D972" s="461"/>
      <c r="E972" s="461"/>
      <c r="F972" s="460"/>
      <c r="G972" s="460"/>
      <c r="H972" s="460"/>
      <c r="I972" s="461"/>
      <c r="J972" s="460"/>
      <c r="K972" s="460"/>
      <c r="L972" s="461"/>
      <c r="M972" s="460"/>
      <c r="N972" s="460"/>
      <c r="O972" s="461"/>
      <c r="P972" s="461"/>
      <c r="Q972" s="461"/>
      <c r="R972" s="461"/>
    </row>
    <row r="973" ht="12.75" customHeight="1" spans="1:18">
      <c r="A973" s="460"/>
      <c r="B973" s="461"/>
      <c r="C973" s="461"/>
      <c r="D973" s="461"/>
      <c r="E973" s="461"/>
      <c r="F973" s="460"/>
      <c r="G973" s="460"/>
      <c r="H973" s="460"/>
      <c r="I973" s="461"/>
      <c r="J973" s="460"/>
      <c r="K973" s="460"/>
      <c r="L973" s="461"/>
      <c r="M973" s="460"/>
      <c r="N973" s="460"/>
      <c r="O973" s="461"/>
      <c r="P973" s="461"/>
      <c r="Q973" s="461"/>
      <c r="R973" s="461"/>
    </row>
    <row r="974" ht="12.75" customHeight="1" spans="1:18">
      <c r="A974" s="460"/>
      <c r="B974" s="461"/>
      <c r="C974" s="461"/>
      <c r="D974" s="461"/>
      <c r="E974" s="461"/>
      <c r="F974" s="460"/>
      <c r="G974" s="460"/>
      <c r="H974" s="460"/>
      <c r="I974" s="461"/>
      <c r="J974" s="460"/>
      <c r="K974" s="460"/>
      <c r="L974" s="461"/>
      <c r="M974" s="460"/>
      <c r="N974" s="460"/>
      <c r="O974" s="461"/>
      <c r="P974" s="461"/>
      <c r="Q974" s="461"/>
      <c r="R974" s="461"/>
    </row>
    <row r="975" ht="12.75" customHeight="1" spans="1:18">
      <c r="A975" s="460"/>
      <c r="B975" s="461"/>
      <c r="C975" s="461"/>
      <c r="D975" s="461"/>
      <c r="E975" s="461"/>
      <c r="F975" s="460"/>
      <c r="G975" s="460"/>
      <c r="H975" s="460"/>
      <c r="I975" s="461"/>
      <c r="J975" s="460"/>
      <c r="K975" s="460"/>
      <c r="L975" s="461"/>
      <c r="M975" s="460"/>
      <c r="N975" s="460"/>
      <c r="O975" s="461"/>
      <c r="P975" s="461"/>
      <c r="Q975" s="461"/>
      <c r="R975" s="461"/>
    </row>
    <row r="976" ht="12.75" customHeight="1" spans="1:18">
      <c r="A976" s="460"/>
      <c r="B976" s="461"/>
      <c r="C976" s="461"/>
      <c r="D976" s="461"/>
      <c r="E976" s="461"/>
      <c r="F976" s="460"/>
      <c r="G976" s="460"/>
      <c r="H976" s="460"/>
      <c r="I976" s="461"/>
      <c r="J976" s="460"/>
      <c r="K976" s="460"/>
      <c r="L976" s="461"/>
      <c r="M976" s="460"/>
      <c r="N976" s="460"/>
      <c r="O976" s="461"/>
      <c r="P976" s="461"/>
      <c r="Q976" s="461"/>
      <c r="R976" s="461"/>
    </row>
    <row r="977" ht="12.75" customHeight="1" spans="1:18">
      <c r="A977" s="460"/>
      <c r="B977" s="461"/>
      <c r="C977" s="461"/>
      <c r="D977" s="461"/>
      <c r="E977" s="461"/>
      <c r="F977" s="460"/>
      <c r="G977" s="460"/>
      <c r="H977" s="460"/>
      <c r="I977" s="461"/>
      <c r="J977" s="460"/>
      <c r="K977" s="460"/>
      <c r="L977" s="461"/>
      <c r="M977" s="460"/>
      <c r="N977" s="460"/>
      <c r="O977" s="461"/>
      <c r="P977" s="461"/>
      <c r="Q977" s="461"/>
      <c r="R977" s="461"/>
    </row>
    <row r="978" ht="12.75" customHeight="1" spans="1:18">
      <c r="A978" s="460"/>
      <c r="B978" s="461"/>
      <c r="C978" s="461"/>
      <c r="D978" s="461"/>
      <c r="E978" s="461"/>
      <c r="F978" s="460"/>
      <c r="G978" s="460"/>
      <c r="H978" s="460"/>
      <c r="I978" s="461"/>
      <c r="J978" s="460"/>
      <c r="K978" s="460"/>
      <c r="L978" s="461"/>
      <c r="M978" s="460"/>
      <c r="N978" s="460"/>
      <c r="O978" s="461"/>
      <c r="P978" s="461"/>
      <c r="Q978" s="461"/>
      <c r="R978" s="461"/>
    </row>
    <row r="979" ht="12.75" customHeight="1" spans="1:18">
      <c r="A979" s="460"/>
      <c r="B979" s="461"/>
      <c r="C979" s="461"/>
      <c r="D979" s="461"/>
      <c r="E979" s="461"/>
      <c r="F979" s="460"/>
      <c r="G979" s="460"/>
      <c r="H979" s="460"/>
      <c r="I979" s="461"/>
      <c r="J979" s="460"/>
      <c r="K979" s="460"/>
      <c r="L979" s="461"/>
      <c r="M979" s="460"/>
      <c r="N979" s="460"/>
      <c r="O979" s="461"/>
      <c r="P979" s="461"/>
      <c r="Q979" s="461"/>
      <c r="R979" s="461"/>
    </row>
    <row r="980" ht="12.75" customHeight="1" spans="1:18">
      <c r="A980" s="460"/>
      <c r="B980" s="461"/>
      <c r="C980" s="461"/>
      <c r="D980" s="461"/>
      <c r="E980" s="461"/>
      <c r="F980" s="460"/>
      <c r="G980" s="460"/>
      <c r="H980" s="460"/>
      <c r="I980" s="461"/>
      <c r="J980" s="460"/>
      <c r="K980" s="460"/>
      <c r="L980" s="461"/>
      <c r="M980" s="460"/>
      <c r="N980" s="460"/>
      <c r="O980" s="461"/>
      <c r="P980" s="461"/>
      <c r="Q980" s="461"/>
      <c r="R980" s="461"/>
    </row>
    <row r="981" ht="12.75" customHeight="1" spans="1:18">
      <c r="A981" s="460"/>
      <c r="B981" s="461"/>
      <c r="C981" s="461"/>
      <c r="D981" s="461"/>
      <c r="E981" s="461"/>
      <c r="F981" s="460"/>
      <c r="G981" s="460"/>
      <c r="H981" s="460"/>
      <c r="I981" s="461"/>
      <c r="J981" s="460"/>
      <c r="K981" s="460"/>
      <c r="L981" s="461"/>
      <c r="M981" s="460"/>
      <c r="N981" s="460"/>
      <c r="O981" s="461"/>
      <c r="P981" s="461"/>
      <c r="Q981" s="461"/>
      <c r="R981" s="461"/>
    </row>
    <row r="982" ht="12.75" customHeight="1" spans="1:18">
      <c r="A982" s="460"/>
      <c r="B982" s="461"/>
      <c r="C982" s="461"/>
      <c r="D982" s="461"/>
      <c r="E982" s="461"/>
      <c r="F982" s="460"/>
      <c r="G982" s="460"/>
      <c r="H982" s="460"/>
      <c r="I982" s="461"/>
      <c r="J982" s="460"/>
      <c r="K982" s="460"/>
      <c r="L982" s="461"/>
      <c r="M982" s="460"/>
      <c r="N982" s="460"/>
      <c r="O982" s="461"/>
      <c r="P982" s="461"/>
      <c r="Q982" s="461"/>
      <c r="R982" s="461"/>
    </row>
    <row r="983" ht="12.75" customHeight="1" spans="1:18">
      <c r="A983" s="460"/>
      <c r="B983" s="461"/>
      <c r="C983" s="461"/>
      <c r="D983" s="461"/>
      <c r="E983" s="461"/>
      <c r="F983" s="460"/>
      <c r="G983" s="460"/>
      <c r="H983" s="460"/>
      <c r="I983" s="461"/>
      <c r="J983" s="460"/>
      <c r="K983" s="460"/>
      <c r="L983" s="461"/>
      <c r="M983" s="460"/>
      <c r="N983" s="460"/>
      <c r="O983" s="461"/>
      <c r="P983" s="461"/>
      <c r="Q983" s="461"/>
      <c r="R983" s="461"/>
    </row>
    <row r="984" ht="12.75" customHeight="1" spans="1:18">
      <c r="A984" s="460"/>
      <c r="B984" s="461"/>
      <c r="C984" s="461"/>
      <c r="D984" s="461"/>
      <c r="E984" s="461"/>
      <c r="F984" s="460"/>
      <c r="G984" s="460"/>
      <c r="H984" s="460"/>
      <c r="I984" s="461"/>
      <c r="J984" s="460"/>
      <c r="K984" s="460"/>
      <c r="L984" s="461"/>
      <c r="M984" s="460"/>
      <c r="N984" s="460"/>
      <c r="O984" s="461"/>
      <c r="P984" s="461"/>
      <c r="Q984" s="461"/>
      <c r="R984" s="461"/>
    </row>
    <row r="985" ht="12.75" customHeight="1" spans="1:18">
      <c r="A985" s="460"/>
      <c r="B985" s="461"/>
      <c r="C985" s="461"/>
      <c r="D985" s="461"/>
      <c r="E985" s="461"/>
      <c r="F985" s="460"/>
      <c r="G985" s="460"/>
      <c r="H985" s="460"/>
      <c r="I985" s="461"/>
      <c r="J985" s="460"/>
      <c r="K985" s="460"/>
      <c r="L985" s="461"/>
      <c r="M985" s="460"/>
      <c r="N985" s="460"/>
      <c r="O985" s="461"/>
      <c r="P985" s="461"/>
      <c r="Q985" s="461"/>
      <c r="R985" s="461"/>
    </row>
    <row r="986" ht="12.75" customHeight="1" spans="1:18">
      <c r="A986" s="460"/>
      <c r="B986" s="461"/>
      <c r="C986" s="461"/>
      <c r="D986" s="461"/>
      <c r="E986" s="461"/>
      <c r="F986" s="460"/>
      <c r="G986" s="460"/>
      <c r="H986" s="460"/>
      <c r="I986" s="461"/>
      <c r="J986" s="460"/>
      <c r="K986" s="460"/>
      <c r="L986" s="461"/>
      <c r="M986" s="460"/>
      <c r="N986" s="460"/>
      <c r="O986" s="461"/>
      <c r="P986" s="461"/>
      <c r="Q986" s="461"/>
      <c r="R986" s="461"/>
    </row>
    <row r="987" ht="12.75" customHeight="1" spans="1:18">
      <c r="A987" s="460"/>
      <c r="B987" s="461"/>
      <c r="C987" s="461"/>
      <c r="D987" s="461"/>
      <c r="E987" s="461"/>
      <c r="F987" s="460"/>
      <c r="G987" s="460"/>
      <c r="H987" s="460"/>
      <c r="I987" s="461"/>
      <c r="J987" s="460"/>
      <c r="K987" s="460"/>
      <c r="L987" s="461"/>
      <c r="M987" s="460"/>
      <c r="N987" s="460"/>
      <c r="O987" s="461"/>
      <c r="P987" s="461"/>
      <c r="Q987" s="461"/>
      <c r="R987" s="461"/>
    </row>
    <row r="988" ht="12.75" customHeight="1" spans="1:18">
      <c r="A988" s="460"/>
      <c r="B988" s="461"/>
      <c r="C988" s="461"/>
      <c r="D988" s="461"/>
      <c r="E988" s="461"/>
      <c r="F988" s="460"/>
      <c r="G988" s="460"/>
      <c r="H988" s="460"/>
      <c r="I988" s="461"/>
      <c r="J988" s="460"/>
      <c r="K988" s="460"/>
      <c r="L988" s="461"/>
      <c r="M988" s="460"/>
      <c r="N988" s="460"/>
      <c r="O988" s="461"/>
      <c r="P988" s="461"/>
      <c r="Q988" s="461"/>
      <c r="R988" s="461"/>
    </row>
    <row r="989" ht="12.75" customHeight="1" spans="1:18">
      <c r="A989" s="460"/>
      <c r="B989" s="461"/>
      <c r="C989" s="461"/>
      <c r="D989" s="461"/>
      <c r="E989" s="461"/>
      <c r="F989" s="460"/>
      <c r="G989" s="460"/>
      <c r="H989" s="460"/>
      <c r="I989" s="461"/>
      <c r="J989" s="460"/>
      <c r="K989" s="460"/>
      <c r="L989" s="461"/>
      <c r="M989" s="460"/>
      <c r="N989" s="460"/>
      <c r="O989" s="461"/>
      <c r="P989" s="461"/>
      <c r="Q989" s="461"/>
      <c r="R989" s="461"/>
    </row>
    <row r="990" ht="12.75" customHeight="1" spans="1:18">
      <c r="A990" s="460"/>
      <c r="B990" s="461"/>
      <c r="C990" s="461"/>
      <c r="D990" s="461"/>
      <c r="E990" s="461"/>
      <c r="F990" s="460"/>
      <c r="G990" s="460"/>
      <c r="H990" s="460"/>
      <c r="I990" s="461"/>
      <c r="J990" s="460"/>
      <c r="K990" s="460"/>
      <c r="L990" s="461"/>
      <c r="M990" s="460"/>
      <c r="N990" s="460"/>
      <c r="O990" s="461"/>
      <c r="P990" s="461"/>
      <c r="Q990" s="461"/>
      <c r="R990" s="461"/>
    </row>
    <row r="991" ht="12.75" customHeight="1" spans="1:18">
      <c r="A991" s="460"/>
      <c r="B991" s="461"/>
      <c r="C991" s="461"/>
      <c r="D991" s="461"/>
      <c r="E991" s="461"/>
      <c r="F991" s="460"/>
      <c r="G991" s="460"/>
      <c r="H991" s="460"/>
      <c r="I991" s="461"/>
      <c r="J991" s="460"/>
      <c r="K991" s="460"/>
      <c r="L991" s="461"/>
      <c r="M991" s="460"/>
      <c r="N991" s="460"/>
      <c r="O991" s="461"/>
      <c r="P991" s="461"/>
      <c r="Q991" s="461"/>
      <c r="R991" s="461"/>
    </row>
    <row r="992" ht="12.75" customHeight="1" spans="1:18">
      <c r="A992" s="460"/>
      <c r="B992" s="461"/>
      <c r="C992" s="461"/>
      <c r="D992" s="461"/>
      <c r="E992" s="461"/>
      <c r="F992" s="460"/>
      <c r="G992" s="460"/>
      <c r="H992" s="460"/>
      <c r="I992" s="461"/>
      <c r="J992" s="460"/>
      <c r="K992" s="460"/>
      <c r="L992" s="461"/>
      <c r="M992" s="460"/>
      <c r="N992" s="460"/>
      <c r="O992" s="461"/>
      <c r="P992" s="461"/>
      <c r="Q992" s="461"/>
      <c r="R992" s="461"/>
    </row>
    <row r="993" ht="12.75" customHeight="1" spans="1:18">
      <c r="A993" s="460"/>
      <c r="B993" s="461"/>
      <c r="C993" s="461"/>
      <c r="D993" s="461"/>
      <c r="E993" s="461"/>
      <c r="F993" s="460"/>
      <c r="G993" s="460"/>
      <c r="H993" s="460"/>
      <c r="I993" s="461"/>
      <c r="J993" s="460"/>
      <c r="K993" s="460"/>
      <c r="L993" s="461"/>
      <c r="M993" s="460"/>
      <c r="N993" s="460"/>
      <c r="O993" s="461"/>
      <c r="P993" s="461"/>
      <c r="Q993" s="461"/>
      <c r="R993" s="461"/>
    </row>
    <row r="994" ht="12.75" customHeight="1" spans="1:18">
      <c r="A994" s="460"/>
      <c r="B994" s="461"/>
      <c r="C994" s="461"/>
      <c r="D994" s="461"/>
      <c r="E994" s="461"/>
      <c r="F994" s="460"/>
      <c r="G994" s="460"/>
      <c r="H994" s="460"/>
      <c r="I994" s="461"/>
      <c r="J994" s="460"/>
      <c r="K994" s="460"/>
      <c r="L994" s="461"/>
      <c r="M994" s="460"/>
      <c r="N994" s="460"/>
      <c r="O994" s="461"/>
      <c r="P994" s="461"/>
      <c r="Q994" s="461"/>
      <c r="R994" s="461"/>
    </row>
    <row r="995" ht="12.75" customHeight="1" spans="1:18">
      <c r="A995" s="460"/>
      <c r="B995" s="461"/>
      <c r="C995" s="461"/>
      <c r="D995" s="461"/>
      <c r="E995" s="461"/>
      <c r="F995" s="460"/>
      <c r="G995" s="460"/>
      <c r="H995" s="460"/>
      <c r="I995" s="461"/>
      <c r="J995" s="460"/>
      <c r="K995" s="460"/>
      <c r="L995" s="461"/>
      <c r="M995" s="460"/>
      <c r="N995" s="460"/>
      <c r="O995" s="461"/>
      <c r="P995" s="461"/>
      <c r="Q995" s="461"/>
      <c r="R995" s="461"/>
    </row>
    <row r="996" ht="12.75" customHeight="1" spans="1:18">
      <c r="A996" s="460"/>
      <c r="B996" s="461"/>
      <c r="C996" s="461"/>
      <c r="D996" s="461"/>
      <c r="E996" s="461"/>
      <c r="F996" s="460"/>
      <c r="G996" s="460"/>
      <c r="H996" s="460"/>
      <c r="I996" s="461"/>
      <c r="J996" s="460"/>
      <c r="K996" s="460"/>
      <c r="L996" s="461"/>
      <c r="M996" s="460"/>
      <c r="N996" s="460"/>
      <c r="O996" s="461"/>
      <c r="P996" s="461"/>
      <c r="Q996" s="461"/>
      <c r="R996" s="461"/>
    </row>
    <row r="997" ht="12.75" customHeight="1" spans="1:18">
      <c r="A997" s="460"/>
      <c r="B997" s="461"/>
      <c r="C997" s="461"/>
      <c r="D997" s="461"/>
      <c r="E997" s="461"/>
      <c r="F997" s="460"/>
      <c r="G997" s="460"/>
      <c r="H997" s="460"/>
      <c r="I997" s="461"/>
      <c r="J997" s="460"/>
      <c r="K997" s="460"/>
      <c r="L997" s="461"/>
      <c r="M997" s="460"/>
      <c r="N997" s="460"/>
      <c r="O997" s="461"/>
      <c r="P997" s="461"/>
      <c r="Q997" s="461"/>
      <c r="R997" s="461"/>
    </row>
    <row r="998" ht="12.75" customHeight="1" spans="1:18">
      <c r="A998" s="460"/>
      <c r="B998" s="461"/>
      <c r="C998" s="461"/>
      <c r="D998" s="461"/>
      <c r="E998" s="461"/>
      <c r="F998" s="460"/>
      <c r="G998" s="460"/>
      <c r="H998" s="460"/>
      <c r="I998" s="461"/>
      <c r="J998" s="460"/>
      <c r="K998" s="460"/>
      <c r="L998" s="461"/>
      <c r="M998" s="460"/>
      <c r="N998" s="460"/>
      <c r="O998" s="461"/>
      <c r="P998" s="461"/>
      <c r="Q998" s="461"/>
      <c r="R998" s="461"/>
    </row>
    <row r="999" ht="12.75" customHeight="1" spans="1:18">
      <c r="A999" s="460"/>
      <c r="B999" s="461"/>
      <c r="C999" s="461"/>
      <c r="D999" s="461"/>
      <c r="E999" s="461"/>
      <c r="F999" s="460"/>
      <c r="G999" s="460"/>
      <c r="H999" s="460"/>
      <c r="I999" s="461"/>
      <c r="J999" s="460"/>
      <c r="K999" s="460"/>
      <c r="L999" s="461"/>
      <c r="M999" s="460"/>
      <c r="N999" s="460"/>
      <c r="O999" s="461"/>
      <c r="P999" s="461"/>
      <c r="Q999" s="461"/>
      <c r="R999" s="461"/>
    </row>
    <row r="1000" ht="12.75" customHeight="1" spans="1:18">
      <c r="A1000" s="460"/>
      <c r="B1000" s="461"/>
      <c r="C1000" s="461"/>
      <c r="D1000" s="461"/>
      <c r="E1000" s="461"/>
      <c r="F1000" s="460"/>
      <c r="G1000" s="460"/>
      <c r="H1000" s="460"/>
      <c r="I1000" s="461"/>
      <c r="J1000" s="460"/>
      <c r="K1000" s="460"/>
      <c r="L1000" s="461"/>
      <c r="M1000" s="460"/>
      <c r="N1000" s="460"/>
      <c r="O1000" s="461"/>
      <c r="P1000" s="461"/>
      <c r="Q1000" s="461"/>
      <c r="R1000" s="461"/>
    </row>
    <row r="1001" ht="12.75" customHeight="1" spans="1:18">
      <c r="A1001" s="460"/>
      <c r="B1001" s="461"/>
      <c r="C1001" s="461"/>
      <c r="D1001" s="461"/>
      <c r="E1001" s="461"/>
      <c r="F1001" s="460"/>
      <c r="G1001" s="460"/>
      <c r="H1001" s="460"/>
      <c r="I1001" s="461"/>
      <c r="J1001" s="460"/>
      <c r="K1001" s="460"/>
      <c r="L1001" s="461"/>
      <c r="M1001" s="460"/>
      <c r="N1001" s="460"/>
      <c r="O1001" s="461"/>
      <c r="P1001" s="461"/>
      <c r="Q1001" s="461"/>
      <c r="R1001" s="461"/>
    </row>
    <row r="1002" ht="12.75" customHeight="1" spans="1:18">
      <c r="A1002" s="460"/>
      <c r="B1002" s="461"/>
      <c r="C1002" s="461"/>
      <c r="D1002" s="461"/>
      <c r="E1002" s="461"/>
      <c r="F1002" s="460"/>
      <c r="G1002" s="460"/>
      <c r="H1002" s="460"/>
      <c r="I1002" s="461"/>
      <c r="J1002" s="460"/>
      <c r="K1002" s="460"/>
      <c r="L1002" s="461"/>
      <c r="M1002" s="460"/>
      <c r="N1002" s="460"/>
      <c r="O1002" s="461"/>
      <c r="P1002" s="461"/>
      <c r="Q1002" s="461"/>
      <c r="R1002" s="461"/>
    </row>
    <row r="1003" ht="12.75" customHeight="1" spans="1:18">
      <c r="A1003" s="460"/>
      <c r="B1003" s="461"/>
      <c r="C1003" s="461"/>
      <c r="D1003" s="461"/>
      <c r="E1003" s="461"/>
      <c r="F1003" s="460"/>
      <c r="G1003" s="460"/>
      <c r="H1003" s="460"/>
      <c r="I1003" s="461"/>
      <c r="J1003" s="460"/>
      <c r="K1003" s="460"/>
      <c r="L1003" s="461"/>
      <c r="M1003" s="460"/>
      <c r="N1003" s="460"/>
      <c r="O1003" s="461"/>
      <c r="P1003" s="461"/>
      <c r="Q1003" s="461"/>
      <c r="R1003" s="461"/>
    </row>
    <row r="1004" ht="12.75" customHeight="1" spans="1:18">
      <c r="A1004" s="460"/>
      <c r="B1004" s="461"/>
      <c r="C1004" s="461"/>
      <c r="D1004" s="461"/>
      <c r="E1004" s="461"/>
      <c r="F1004" s="460"/>
      <c r="G1004" s="460"/>
      <c r="H1004" s="460"/>
      <c r="I1004" s="461"/>
      <c r="J1004" s="460"/>
      <c r="K1004" s="460"/>
      <c r="L1004" s="461"/>
      <c r="M1004" s="460"/>
      <c r="N1004" s="460"/>
      <c r="O1004" s="461"/>
      <c r="P1004" s="461"/>
      <c r="Q1004" s="461"/>
      <c r="R1004" s="461"/>
    </row>
    <row r="1005" ht="12.75" customHeight="1" spans="1:18">
      <c r="A1005" s="460"/>
      <c r="B1005" s="461"/>
      <c r="C1005" s="461"/>
      <c r="D1005" s="461"/>
      <c r="E1005" s="461"/>
      <c r="F1005" s="460"/>
      <c r="G1005" s="460"/>
      <c r="H1005" s="460"/>
      <c r="I1005" s="461"/>
      <c r="J1005" s="460"/>
      <c r="K1005" s="460"/>
      <c r="L1005" s="461"/>
      <c r="M1005" s="460"/>
      <c r="N1005" s="460"/>
      <c r="O1005" s="461"/>
      <c r="P1005" s="461"/>
      <c r="Q1005" s="461"/>
      <c r="R1005" s="461"/>
    </row>
    <row r="1006" ht="12.75" customHeight="1" spans="1:18">
      <c r="A1006" s="460"/>
      <c r="B1006" s="461"/>
      <c r="C1006" s="461"/>
      <c r="D1006" s="461"/>
      <c r="E1006" s="461"/>
      <c r="F1006" s="460"/>
      <c r="G1006" s="460"/>
      <c r="H1006" s="460"/>
      <c r="I1006" s="461"/>
      <c r="J1006" s="460"/>
      <c r="K1006" s="460"/>
      <c r="L1006" s="461"/>
      <c r="M1006" s="460"/>
      <c r="N1006" s="460"/>
      <c r="O1006" s="461"/>
      <c r="P1006" s="461"/>
      <c r="Q1006" s="461"/>
      <c r="R1006" s="461"/>
    </row>
    <row r="1007" ht="12.75" customHeight="1" spans="1:18">
      <c r="A1007" s="460"/>
      <c r="B1007" s="461"/>
      <c r="C1007" s="461"/>
      <c r="D1007" s="461"/>
      <c r="E1007" s="461"/>
      <c r="F1007" s="460"/>
      <c r="G1007" s="460"/>
      <c r="H1007" s="460"/>
      <c r="I1007" s="461"/>
      <c r="J1007" s="460"/>
      <c r="K1007" s="460"/>
      <c r="L1007" s="461"/>
      <c r="M1007" s="460"/>
      <c r="N1007" s="460"/>
      <c r="O1007" s="461"/>
      <c r="P1007" s="461"/>
      <c r="Q1007" s="461"/>
      <c r="R1007" s="461"/>
    </row>
    <row r="1008" ht="12.75" customHeight="1" spans="1:18">
      <c r="A1008" s="460"/>
      <c r="B1008" s="461"/>
      <c r="C1008" s="461"/>
      <c r="D1008" s="461"/>
      <c r="E1008" s="461"/>
      <c r="F1008" s="460"/>
      <c r="G1008" s="460"/>
      <c r="H1008" s="460"/>
      <c r="I1008" s="461"/>
      <c r="J1008" s="460"/>
      <c r="K1008" s="460"/>
      <c r="L1008" s="461"/>
      <c r="M1008" s="460"/>
      <c r="N1008" s="460"/>
      <c r="O1008" s="461"/>
      <c r="P1008" s="461"/>
      <c r="Q1008" s="461"/>
      <c r="R1008" s="461"/>
    </row>
    <row r="1009" ht="12.75" customHeight="1" spans="1:18">
      <c r="A1009" s="460"/>
      <c r="B1009" s="461"/>
      <c r="C1009" s="461"/>
      <c r="D1009" s="461"/>
      <c r="E1009" s="461"/>
      <c r="F1009" s="460"/>
      <c r="G1009" s="460"/>
      <c r="H1009" s="460"/>
      <c r="I1009" s="461"/>
      <c r="J1009" s="460"/>
      <c r="K1009" s="460"/>
      <c r="L1009" s="461"/>
      <c r="M1009" s="460"/>
      <c r="N1009" s="460"/>
      <c r="O1009" s="461"/>
      <c r="P1009" s="461"/>
      <c r="Q1009" s="461"/>
      <c r="R1009" s="461"/>
    </row>
    <row r="1010" ht="12.75" customHeight="1" spans="1:18">
      <c r="A1010" s="460"/>
      <c r="B1010" s="461"/>
      <c r="C1010" s="461"/>
      <c r="D1010" s="461"/>
      <c r="E1010" s="461"/>
      <c r="F1010" s="460"/>
      <c r="G1010" s="460"/>
      <c r="H1010" s="460"/>
      <c r="I1010" s="461"/>
      <c r="J1010" s="460"/>
      <c r="K1010" s="460"/>
      <c r="L1010" s="461"/>
      <c r="M1010" s="460"/>
      <c r="N1010" s="460"/>
      <c r="O1010" s="461"/>
      <c r="P1010" s="461"/>
      <c r="Q1010" s="461"/>
      <c r="R1010" s="461"/>
    </row>
    <row r="1011" ht="12.75" customHeight="1" spans="1:18">
      <c r="A1011" s="460"/>
      <c r="B1011" s="461"/>
      <c r="C1011" s="461"/>
      <c r="D1011" s="461"/>
      <c r="E1011" s="461"/>
      <c r="F1011" s="460"/>
      <c r="G1011" s="460"/>
      <c r="H1011" s="460"/>
      <c r="I1011" s="461"/>
      <c r="J1011" s="460"/>
      <c r="K1011" s="460"/>
      <c r="L1011" s="461"/>
      <c r="M1011" s="460"/>
      <c r="N1011" s="460"/>
      <c r="O1011" s="461"/>
      <c r="P1011" s="461"/>
      <c r="Q1011" s="461"/>
      <c r="R1011" s="461"/>
    </row>
    <row r="1012" ht="12.75" customHeight="1" spans="1:18">
      <c r="A1012" s="460"/>
      <c r="B1012" s="461"/>
      <c r="C1012" s="461"/>
      <c r="D1012" s="461"/>
      <c r="E1012" s="461"/>
      <c r="F1012" s="460"/>
      <c r="G1012" s="460"/>
      <c r="H1012" s="460"/>
      <c r="I1012" s="461"/>
      <c r="J1012" s="460"/>
      <c r="K1012" s="460"/>
      <c r="L1012" s="461"/>
      <c r="M1012" s="460"/>
      <c r="N1012" s="460"/>
      <c r="O1012" s="461"/>
      <c r="P1012" s="461"/>
      <c r="Q1012" s="461"/>
      <c r="R1012" s="461"/>
    </row>
    <row r="1013" ht="12.75" customHeight="1" spans="1:18">
      <c r="A1013" s="460"/>
      <c r="B1013" s="461"/>
      <c r="C1013" s="461"/>
      <c r="D1013" s="461"/>
      <c r="E1013" s="461"/>
      <c r="F1013" s="460"/>
      <c r="G1013" s="460"/>
      <c r="H1013" s="460"/>
      <c r="I1013" s="461"/>
      <c r="J1013" s="460"/>
      <c r="K1013" s="460"/>
      <c r="L1013" s="461"/>
      <c r="M1013" s="460"/>
      <c r="N1013" s="460"/>
      <c r="O1013" s="461"/>
      <c r="P1013" s="461"/>
      <c r="Q1013" s="461"/>
      <c r="R1013" s="461"/>
    </row>
    <row r="1014" ht="12.75" customHeight="1" spans="1:18">
      <c r="A1014" s="460"/>
      <c r="B1014" s="461"/>
      <c r="C1014" s="461"/>
      <c r="D1014" s="461"/>
      <c r="E1014" s="461"/>
      <c r="F1014" s="460"/>
      <c r="G1014" s="460"/>
      <c r="H1014" s="460"/>
      <c r="I1014" s="461"/>
      <c r="J1014" s="460"/>
      <c r="K1014" s="460"/>
      <c r="L1014" s="461"/>
      <c r="M1014" s="460"/>
      <c r="N1014" s="460"/>
      <c r="O1014" s="461"/>
      <c r="P1014" s="461"/>
      <c r="Q1014" s="461"/>
      <c r="R1014" s="461"/>
    </row>
    <row r="1015" ht="12.75" customHeight="1" spans="1:18">
      <c r="A1015" s="460"/>
      <c r="B1015" s="461"/>
      <c r="C1015" s="461"/>
      <c r="D1015" s="461"/>
      <c r="E1015" s="461"/>
      <c r="F1015" s="460"/>
      <c r="G1015" s="460"/>
      <c r="H1015" s="460"/>
      <c r="I1015" s="461"/>
      <c r="J1015" s="460"/>
      <c r="K1015" s="460"/>
      <c r="L1015" s="461"/>
      <c r="M1015" s="460"/>
      <c r="N1015" s="460"/>
      <c r="O1015" s="461"/>
      <c r="P1015" s="461"/>
      <c r="Q1015" s="461"/>
      <c r="R1015" s="461"/>
    </row>
    <row r="1016" ht="12.75" customHeight="1" spans="1:18">
      <c r="A1016" s="460"/>
      <c r="B1016" s="461"/>
      <c r="C1016" s="461"/>
      <c r="D1016" s="461"/>
      <c r="E1016" s="461"/>
      <c r="F1016" s="460"/>
      <c r="G1016" s="460"/>
      <c r="H1016" s="460"/>
      <c r="I1016" s="461"/>
      <c r="J1016" s="460"/>
      <c r="K1016" s="460"/>
      <c r="L1016" s="461"/>
      <c r="M1016" s="460"/>
      <c r="N1016" s="460"/>
      <c r="O1016" s="461"/>
      <c r="P1016" s="461"/>
      <c r="Q1016" s="461"/>
      <c r="R1016" s="461"/>
    </row>
    <row r="1017" ht="12.75" customHeight="1" spans="1:18">
      <c r="A1017" s="460"/>
      <c r="B1017" s="461"/>
      <c r="C1017" s="461"/>
      <c r="D1017" s="461"/>
      <c r="E1017" s="461"/>
      <c r="F1017" s="460"/>
      <c r="G1017" s="460"/>
      <c r="H1017" s="460"/>
      <c r="I1017" s="461"/>
      <c r="J1017" s="460"/>
      <c r="K1017" s="460"/>
      <c r="L1017" s="461"/>
      <c r="M1017" s="460"/>
      <c r="N1017" s="460"/>
      <c r="O1017" s="461"/>
      <c r="P1017" s="461"/>
      <c r="Q1017" s="461"/>
      <c r="R1017" s="461"/>
    </row>
    <row r="1018" ht="12.75" customHeight="1" spans="1:18">
      <c r="A1018" s="460"/>
      <c r="B1018" s="461"/>
      <c r="C1018" s="461"/>
      <c r="D1018" s="461"/>
      <c r="E1018" s="461"/>
      <c r="F1018" s="460"/>
      <c r="G1018" s="460"/>
      <c r="H1018" s="460"/>
      <c r="I1018" s="461"/>
      <c r="J1018" s="460"/>
      <c r="K1018" s="460"/>
      <c r="L1018" s="461"/>
      <c r="M1018" s="460"/>
      <c r="N1018" s="460"/>
      <c r="O1018" s="461"/>
      <c r="P1018" s="461"/>
      <c r="Q1018" s="461"/>
      <c r="R1018" s="461"/>
    </row>
    <row r="1019" ht="12.75" customHeight="1" spans="1:18">
      <c r="A1019" s="460"/>
      <c r="B1019" s="461"/>
      <c r="C1019" s="461"/>
      <c r="D1019" s="461"/>
      <c r="E1019" s="461"/>
      <c r="F1019" s="460"/>
      <c r="G1019" s="460"/>
      <c r="H1019" s="460"/>
      <c r="I1019" s="461"/>
      <c r="J1019" s="460"/>
      <c r="K1019" s="460"/>
      <c r="L1019" s="461"/>
      <c r="M1019" s="460"/>
      <c r="N1019" s="460"/>
      <c r="O1019" s="461"/>
      <c r="P1019" s="461"/>
      <c r="Q1019" s="461"/>
      <c r="R1019" s="461"/>
    </row>
    <row r="1020" ht="12.75" customHeight="1" spans="1:18">
      <c r="A1020" s="460"/>
      <c r="B1020" s="461"/>
      <c r="C1020" s="461"/>
      <c r="D1020" s="461"/>
      <c r="E1020" s="461"/>
      <c r="F1020" s="460"/>
      <c r="G1020" s="460"/>
      <c r="H1020" s="460"/>
      <c r="I1020" s="461"/>
      <c r="J1020" s="460"/>
      <c r="K1020" s="460"/>
      <c r="L1020" s="461"/>
      <c r="M1020" s="460"/>
      <c r="N1020" s="460"/>
      <c r="O1020" s="461"/>
      <c r="P1020" s="461"/>
      <c r="Q1020" s="461"/>
      <c r="R1020" s="461"/>
    </row>
    <row r="1021" ht="12.75" customHeight="1" spans="1:18">
      <c r="A1021" s="460"/>
      <c r="B1021" s="461"/>
      <c r="C1021" s="461"/>
      <c r="D1021" s="461"/>
      <c r="E1021" s="461"/>
      <c r="F1021" s="460"/>
      <c r="G1021" s="460"/>
      <c r="H1021" s="460"/>
      <c r="I1021" s="461"/>
      <c r="J1021" s="460"/>
      <c r="K1021" s="460"/>
      <c r="L1021" s="461"/>
      <c r="M1021" s="460"/>
      <c r="N1021" s="460"/>
      <c r="O1021" s="461"/>
      <c r="P1021" s="461"/>
      <c r="Q1021" s="461"/>
      <c r="R1021" s="461"/>
    </row>
    <row r="1022" ht="12.75" customHeight="1" spans="1:18">
      <c r="A1022" s="460"/>
      <c r="B1022" s="461"/>
      <c r="C1022" s="461"/>
      <c r="D1022" s="461"/>
      <c r="E1022" s="461"/>
      <c r="F1022" s="460"/>
      <c r="G1022" s="460"/>
      <c r="H1022" s="460"/>
      <c r="I1022" s="461"/>
      <c r="J1022" s="460"/>
      <c r="K1022" s="460"/>
      <c r="L1022" s="461"/>
      <c r="M1022" s="460"/>
      <c r="N1022" s="460"/>
      <c r="O1022" s="461"/>
      <c r="P1022" s="461"/>
      <c r="Q1022" s="461"/>
      <c r="R1022" s="461"/>
    </row>
    <row r="1023" ht="12.75" customHeight="1" spans="1:18">
      <c r="A1023" s="460"/>
      <c r="B1023" s="461"/>
      <c r="C1023" s="461"/>
      <c r="D1023" s="461"/>
      <c r="E1023" s="461"/>
      <c r="F1023" s="460"/>
      <c r="G1023" s="460"/>
      <c r="H1023" s="460"/>
      <c r="I1023" s="461"/>
      <c r="J1023" s="460"/>
      <c r="K1023" s="460"/>
      <c r="L1023" s="461"/>
      <c r="M1023" s="460"/>
      <c r="N1023" s="460"/>
      <c r="O1023" s="461"/>
      <c r="P1023" s="461"/>
      <c r="Q1023" s="461"/>
      <c r="R1023" s="461"/>
    </row>
    <row r="1024" ht="12.75" customHeight="1" spans="1:18">
      <c r="A1024" s="460"/>
      <c r="B1024" s="461"/>
      <c r="C1024" s="461"/>
      <c r="D1024" s="461"/>
      <c r="E1024" s="461"/>
      <c r="F1024" s="460"/>
      <c r="G1024" s="460"/>
      <c r="H1024" s="460"/>
      <c r="I1024" s="461"/>
      <c r="J1024" s="460"/>
      <c r="K1024" s="460"/>
      <c r="L1024" s="461"/>
      <c r="M1024" s="460"/>
      <c r="N1024" s="460"/>
      <c r="O1024" s="461"/>
      <c r="P1024" s="461"/>
      <c r="Q1024" s="461"/>
      <c r="R1024" s="461"/>
    </row>
    <row r="1025" ht="12.75" customHeight="1" spans="1:18">
      <c r="A1025" s="460"/>
      <c r="B1025" s="461"/>
      <c r="C1025" s="461"/>
      <c r="D1025" s="461"/>
      <c r="E1025" s="461"/>
      <c r="F1025" s="460"/>
      <c r="G1025" s="460"/>
      <c r="H1025" s="460"/>
      <c r="I1025" s="461"/>
      <c r="J1025" s="460"/>
      <c r="K1025" s="460"/>
      <c r="L1025" s="461"/>
      <c r="M1025" s="460"/>
      <c r="N1025" s="460"/>
      <c r="O1025" s="461"/>
      <c r="P1025" s="461"/>
      <c r="Q1025" s="461"/>
      <c r="R1025" s="461"/>
    </row>
    <row r="1026" ht="12.75" customHeight="1" spans="1:18">
      <c r="A1026" s="460"/>
      <c r="B1026" s="461"/>
      <c r="C1026" s="461"/>
      <c r="D1026" s="461"/>
      <c r="E1026" s="461"/>
      <c r="F1026" s="460"/>
      <c r="G1026" s="460"/>
      <c r="H1026" s="460"/>
      <c r="I1026" s="461"/>
      <c r="J1026" s="460"/>
      <c r="K1026" s="460"/>
      <c r="L1026" s="461"/>
      <c r="M1026" s="460"/>
      <c r="N1026" s="460"/>
      <c r="O1026" s="461"/>
      <c r="P1026" s="461"/>
      <c r="Q1026" s="461"/>
      <c r="R1026" s="461"/>
    </row>
    <row r="1027" ht="12.75" customHeight="1" spans="1:18">
      <c r="A1027" s="460"/>
      <c r="B1027" s="461"/>
      <c r="C1027" s="461"/>
      <c r="D1027" s="461"/>
      <c r="E1027" s="461"/>
      <c r="F1027" s="460"/>
      <c r="G1027" s="460"/>
      <c r="H1027" s="460"/>
      <c r="I1027" s="461"/>
      <c r="J1027" s="460"/>
      <c r="K1027" s="460"/>
      <c r="L1027" s="461"/>
      <c r="M1027" s="460"/>
      <c r="N1027" s="460"/>
      <c r="O1027" s="461"/>
      <c r="P1027" s="461"/>
      <c r="Q1027" s="461"/>
      <c r="R1027" s="461"/>
    </row>
    <row r="1028" ht="12.75" customHeight="1" spans="1:18">
      <c r="A1028" s="460"/>
      <c r="B1028" s="461"/>
      <c r="C1028" s="461"/>
      <c r="D1028" s="461"/>
      <c r="E1028" s="461"/>
      <c r="F1028" s="460"/>
      <c r="G1028" s="460"/>
      <c r="H1028" s="460"/>
      <c r="I1028" s="461"/>
      <c r="J1028" s="460"/>
      <c r="K1028" s="460"/>
      <c r="L1028" s="461"/>
      <c r="M1028" s="460"/>
      <c r="N1028" s="460"/>
      <c r="O1028" s="461"/>
      <c r="P1028" s="461"/>
      <c r="Q1028" s="461"/>
      <c r="R1028" s="461"/>
    </row>
    <row r="1029" ht="12.75" customHeight="1" spans="1:18">
      <c r="A1029" s="460"/>
      <c r="B1029" s="461"/>
      <c r="C1029" s="461"/>
      <c r="D1029" s="461"/>
      <c r="E1029" s="461"/>
      <c r="F1029" s="460"/>
      <c r="G1029" s="460"/>
      <c r="H1029" s="460"/>
      <c r="I1029" s="461"/>
      <c r="J1029" s="460"/>
      <c r="K1029" s="460"/>
      <c r="L1029" s="461"/>
      <c r="M1029" s="460"/>
      <c r="N1029" s="460"/>
      <c r="O1029" s="461"/>
      <c r="P1029" s="461"/>
      <c r="Q1029" s="461"/>
      <c r="R1029" s="461"/>
    </row>
    <row r="1030" ht="12.75" customHeight="1" spans="1:18">
      <c r="A1030" s="460"/>
      <c r="B1030" s="461"/>
      <c r="C1030" s="461"/>
      <c r="D1030" s="461"/>
      <c r="E1030" s="461"/>
      <c r="F1030" s="460"/>
      <c r="G1030" s="460"/>
      <c r="H1030" s="460"/>
      <c r="I1030" s="461"/>
      <c r="J1030" s="460"/>
      <c r="K1030" s="460"/>
      <c r="L1030" s="461"/>
      <c r="M1030" s="460"/>
      <c r="N1030" s="460"/>
      <c r="O1030" s="461"/>
      <c r="P1030" s="461"/>
      <c r="Q1030" s="461"/>
      <c r="R1030" s="461"/>
    </row>
    <row r="1031" ht="12.75" customHeight="1" spans="1:18">
      <c r="A1031" s="460"/>
      <c r="B1031" s="461"/>
      <c r="C1031" s="461"/>
      <c r="D1031" s="461"/>
      <c r="E1031" s="461"/>
      <c r="F1031" s="460"/>
      <c r="G1031" s="460"/>
      <c r="H1031" s="460"/>
      <c r="I1031" s="461"/>
      <c r="J1031" s="460"/>
      <c r="K1031" s="460"/>
      <c r="L1031" s="461"/>
      <c r="M1031" s="460"/>
      <c r="N1031" s="460"/>
      <c r="O1031" s="461"/>
      <c r="P1031" s="461"/>
      <c r="Q1031" s="461"/>
      <c r="R1031" s="461"/>
    </row>
    <row r="1032" ht="12.75" customHeight="1" spans="1:18">
      <c r="A1032" s="460"/>
      <c r="B1032" s="461"/>
      <c r="C1032" s="461"/>
      <c r="D1032" s="461"/>
      <c r="E1032" s="461"/>
      <c r="F1032" s="460"/>
      <c r="G1032" s="460"/>
      <c r="H1032" s="460"/>
      <c r="I1032" s="461"/>
      <c r="J1032" s="460"/>
      <c r="K1032" s="460"/>
      <c r="L1032" s="461"/>
      <c r="M1032" s="460"/>
      <c r="N1032" s="460"/>
      <c r="O1032" s="461"/>
      <c r="P1032" s="461"/>
      <c r="Q1032" s="461"/>
      <c r="R1032" s="461"/>
    </row>
    <row r="1033" ht="12.75" customHeight="1" spans="1:18">
      <c r="A1033" s="460"/>
      <c r="B1033" s="461"/>
      <c r="C1033" s="461"/>
      <c r="D1033" s="461"/>
      <c r="E1033" s="461"/>
      <c r="F1033" s="460"/>
      <c r="G1033" s="460"/>
      <c r="H1033" s="460"/>
      <c r="I1033" s="461"/>
      <c r="J1033" s="460"/>
      <c r="K1033" s="460"/>
      <c r="L1033" s="461"/>
      <c r="M1033" s="460"/>
      <c r="N1033" s="460"/>
      <c r="O1033" s="461"/>
      <c r="P1033" s="461"/>
      <c r="Q1033" s="461"/>
      <c r="R1033" s="461"/>
    </row>
    <row r="1034" ht="12.75" customHeight="1" spans="1:18">
      <c r="A1034" s="460"/>
      <c r="B1034" s="461"/>
      <c r="C1034" s="461"/>
      <c r="D1034" s="461"/>
      <c r="E1034" s="461"/>
      <c r="F1034" s="460"/>
      <c r="G1034" s="460"/>
      <c r="H1034" s="460"/>
      <c r="I1034" s="461"/>
      <c r="J1034" s="460"/>
      <c r="K1034" s="460"/>
      <c r="L1034" s="461"/>
      <c r="M1034" s="460"/>
      <c r="N1034" s="460"/>
      <c r="O1034" s="461"/>
      <c r="P1034" s="461"/>
      <c r="Q1034" s="461"/>
      <c r="R1034" s="461"/>
    </row>
    <row r="1035" ht="12.75" customHeight="1" spans="1:18">
      <c r="A1035" s="460"/>
      <c r="B1035" s="461"/>
      <c r="C1035" s="461"/>
      <c r="D1035" s="461"/>
      <c r="E1035" s="461"/>
      <c r="F1035" s="460"/>
      <c r="G1035" s="460"/>
      <c r="H1035" s="460"/>
      <c r="I1035" s="461"/>
      <c r="J1035" s="460"/>
      <c r="K1035" s="460"/>
      <c r="L1035" s="461"/>
      <c r="M1035" s="460"/>
      <c r="N1035" s="460"/>
      <c r="O1035" s="461"/>
      <c r="P1035" s="461"/>
      <c r="Q1035" s="461"/>
      <c r="R1035" s="461"/>
    </row>
    <row r="1036" ht="12.75" customHeight="1" spans="1:18">
      <c r="A1036" s="460"/>
      <c r="B1036" s="461"/>
      <c r="C1036" s="461"/>
      <c r="D1036" s="461"/>
      <c r="E1036" s="461"/>
      <c r="F1036" s="460"/>
      <c r="G1036" s="460"/>
      <c r="H1036" s="460"/>
      <c r="I1036" s="461"/>
      <c r="J1036" s="460"/>
      <c r="K1036" s="460"/>
      <c r="L1036" s="461"/>
      <c r="M1036" s="460"/>
      <c r="N1036" s="460"/>
      <c r="O1036" s="461"/>
      <c r="P1036" s="461"/>
      <c r="Q1036" s="461"/>
      <c r="R1036" s="461"/>
    </row>
    <row r="1037" ht="12.75" customHeight="1" spans="1:18">
      <c r="A1037" s="460"/>
      <c r="B1037" s="461"/>
      <c r="C1037" s="461"/>
      <c r="D1037" s="461"/>
      <c r="E1037" s="461"/>
      <c r="F1037" s="460"/>
      <c r="G1037" s="460"/>
      <c r="H1037" s="460"/>
      <c r="I1037" s="461"/>
      <c r="J1037" s="460"/>
      <c r="K1037" s="460"/>
      <c r="L1037" s="461"/>
      <c r="M1037" s="460"/>
      <c r="N1037" s="460"/>
      <c r="O1037" s="461"/>
      <c r="P1037" s="461"/>
      <c r="Q1037" s="461"/>
      <c r="R1037" s="461"/>
    </row>
    <row r="1038" ht="12.75" customHeight="1" spans="1:18">
      <c r="A1038" s="460"/>
      <c r="B1038" s="461"/>
      <c r="C1038" s="461"/>
      <c r="D1038" s="461"/>
      <c r="E1038" s="461"/>
      <c r="F1038" s="460"/>
      <c r="G1038" s="460"/>
      <c r="H1038" s="460"/>
      <c r="I1038" s="461"/>
      <c r="J1038" s="460"/>
      <c r="K1038" s="460"/>
      <c r="L1038" s="461"/>
      <c r="M1038" s="460"/>
      <c r="N1038" s="460"/>
      <c r="O1038" s="461"/>
      <c r="P1038" s="461"/>
      <c r="Q1038" s="461"/>
      <c r="R1038" s="461"/>
    </row>
    <row r="1039" ht="12.75" customHeight="1" spans="1:18">
      <c r="A1039" s="460"/>
      <c r="B1039" s="461"/>
      <c r="C1039" s="461"/>
      <c r="D1039" s="461"/>
      <c r="E1039" s="461"/>
      <c r="F1039" s="460"/>
      <c r="G1039" s="460"/>
      <c r="H1039" s="460"/>
      <c r="I1039" s="461"/>
      <c r="J1039" s="460"/>
      <c r="K1039" s="460"/>
      <c r="L1039" s="461"/>
      <c r="M1039" s="460"/>
      <c r="N1039" s="460"/>
      <c r="O1039" s="461"/>
      <c r="P1039" s="461"/>
      <c r="Q1039" s="461"/>
      <c r="R1039" s="461"/>
    </row>
    <row r="1040" ht="12.75" customHeight="1" spans="1:18">
      <c r="A1040" s="460"/>
      <c r="B1040" s="461"/>
      <c r="C1040" s="461"/>
      <c r="D1040" s="461"/>
      <c r="E1040" s="461"/>
      <c r="F1040" s="460"/>
      <c r="G1040" s="460"/>
      <c r="H1040" s="460"/>
      <c r="I1040" s="461"/>
      <c r="J1040" s="460"/>
      <c r="K1040" s="460"/>
      <c r="L1040" s="461"/>
      <c r="M1040" s="460"/>
      <c r="N1040" s="460"/>
      <c r="O1040" s="461"/>
      <c r="P1040" s="461"/>
      <c r="Q1040" s="461"/>
      <c r="R1040" s="461"/>
    </row>
    <row r="1041" ht="12.75" customHeight="1" spans="1:18">
      <c r="A1041" s="460"/>
      <c r="B1041" s="461"/>
      <c r="C1041" s="461"/>
      <c r="D1041" s="461"/>
      <c r="E1041" s="461"/>
      <c r="F1041" s="460"/>
      <c r="G1041" s="460"/>
      <c r="H1041" s="460"/>
      <c r="I1041" s="461"/>
      <c r="J1041" s="460"/>
      <c r="K1041" s="460"/>
      <c r="L1041" s="461"/>
      <c r="M1041" s="460"/>
      <c r="N1041" s="460"/>
      <c r="O1041" s="461"/>
      <c r="P1041" s="461"/>
      <c r="Q1041" s="461"/>
      <c r="R1041" s="461"/>
    </row>
    <row r="1042" ht="12.75" customHeight="1" spans="1:18">
      <c r="A1042" s="460"/>
      <c r="B1042" s="461"/>
      <c r="C1042" s="461"/>
      <c r="D1042" s="461"/>
      <c r="E1042" s="461"/>
      <c r="F1042" s="460"/>
      <c r="G1042" s="460"/>
      <c r="H1042" s="460"/>
      <c r="I1042" s="461"/>
      <c r="J1042" s="460"/>
      <c r="K1042" s="460"/>
      <c r="L1042" s="461"/>
      <c r="M1042" s="460"/>
      <c r="N1042" s="460"/>
      <c r="O1042" s="461"/>
      <c r="P1042" s="461"/>
      <c r="Q1042" s="461"/>
      <c r="R1042" s="461"/>
    </row>
    <row r="1043" ht="12.75" customHeight="1" spans="1:18">
      <c r="A1043" s="460"/>
      <c r="B1043" s="461"/>
      <c r="C1043" s="461"/>
      <c r="D1043" s="461"/>
      <c r="E1043" s="461"/>
      <c r="F1043" s="460"/>
      <c r="G1043" s="460"/>
      <c r="H1043" s="460"/>
      <c r="I1043" s="461"/>
      <c r="J1043" s="460"/>
      <c r="K1043" s="460"/>
      <c r="L1043" s="461"/>
      <c r="M1043" s="460"/>
      <c r="N1043" s="460"/>
      <c r="O1043" s="461"/>
      <c r="P1043" s="461"/>
      <c r="Q1043" s="461"/>
      <c r="R1043" s="461"/>
    </row>
    <row r="1044" ht="12.75" customHeight="1" spans="1:18">
      <c r="A1044" s="460"/>
      <c r="B1044" s="461"/>
      <c r="C1044" s="461"/>
      <c r="D1044" s="461"/>
      <c r="E1044" s="461"/>
      <c r="F1044" s="460"/>
      <c r="G1044" s="460"/>
      <c r="H1044" s="460"/>
      <c r="I1044" s="461"/>
      <c r="J1044" s="460"/>
      <c r="K1044" s="460"/>
      <c r="L1044" s="461"/>
      <c r="M1044" s="460"/>
      <c r="N1044" s="460"/>
      <c r="O1044" s="461"/>
      <c r="P1044" s="461"/>
      <c r="Q1044" s="461"/>
      <c r="R1044" s="461"/>
    </row>
    <row r="1045" ht="12.75" customHeight="1" spans="1:18">
      <c r="A1045" s="460"/>
      <c r="B1045" s="461"/>
      <c r="C1045" s="461"/>
      <c r="D1045" s="461"/>
      <c r="E1045" s="461"/>
      <c r="F1045" s="460"/>
      <c r="G1045" s="460"/>
      <c r="H1045" s="460"/>
      <c r="I1045" s="461"/>
      <c r="J1045" s="460"/>
      <c r="K1045" s="460"/>
      <c r="L1045" s="461"/>
      <c r="M1045" s="460"/>
      <c r="N1045" s="460"/>
      <c r="O1045" s="461"/>
      <c r="P1045" s="461"/>
      <c r="Q1045" s="461"/>
      <c r="R1045" s="461"/>
    </row>
    <row r="1046" ht="12.75" customHeight="1" spans="1:18">
      <c r="A1046" s="460"/>
      <c r="B1046" s="461"/>
      <c r="C1046" s="461"/>
      <c r="D1046" s="461"/>
      <c r="E1046" s="461"/>
      <c r="F1046" s="460"/>
      <c r="G1046" s="460"/>
      <c r="H1046" s="460"/>
      <c r="I1046" s="461"/>
      <c r="J1046" s="460"/>
      <c r="K1046" s="460"/>
      <c r="L1046" s="461"/>
      <c r="M1046" s="460"/>
      <c r="N1046" s="460"/>
      <c r="O1046" s="461"/>
      <c r="P1046" s="461"/>
      <c r="Q1046" s="461"/>
      <c r="R1046" s="461"/>
    </row>
    <row r="1047" ht="12.75" customHeight="1" spans="1:18">
      <c r="A1047" s="460"/>
      <c r="B1047" s="461"/>
      <c r="C1047" s="461"/>
      <c r="D1047" s="461"/>
      <c r="E1047" s="461"/>
      <c r="F1047" s="460"/>
      <c r="G1047" s="460"/>
      <c r="H1047" s="460"/>
      <c r="I1047" s="461"/>
      <c r="J1047" s="460"/>
      <c r="K1047" s="460"/>
      <c r="L1047" s="461"/>
      <c r="M1047" s="460"/>
      <c r="N1047" s="460"/>
      <c r="O1047" s="461"/>
      <c r="P1047" s="461"/>
      <c r="Q1047" s="461"/>
      <c r="R1047" s="461"/>
    </row>
    <row r="1048" ht="12.75" customHeight="1" spans="1:18">
      <c r="A1048" s="460"/>
      <c r="B1048" s="461"/>
      <c r="C1048" s="461"/>
      <c r="D1048" s="461"/>
      <c r="E1048" s="461"/>
      <c r="F1048" s="460"/>
      <c r="G1048" s="460"/>
      <c r="H1048" s="460"/>
      <c r="I1048" s="461"/>
      <c r="J1048" s="460"/>
      <c r="K1048" s="460"/>
      <c r="L1048" s="461"/>
      <c r="M1048" s="460"/>
      <c r="N1048" s="460"/>
      <c r="O1048" s="461"/>
      <c r="P1048" s="461"/>
      <c r="Q1048" s="461"/>
      <c r="R1048" s="461"/>
    </row>
    <row r="1049" ht="12.75" customHeight="1" spans="1:18">
      <c r="A1049" s="460"/>
      <c r="B1049" s="461"/>
      <c r="C1049" s="461"/>
      <c r="D1049" s="461"/>
      <c r="E1049" s="461"/>
      <c r="F1049" s="460"/>
      <c r="G1049" s="460"/>
      <c r="H1049" s="460"/>
      <c r="I1049" s="461"/>
      <c r="J1049" s="460"/>
      <c r="K1049" s="460"/>
      <c r="L1049" s="461"/>
      <c r="M1049" s="460"/>
      <c r="N1049" s="460"/>
      <c r="O1049" s="461"/>
      <c r="P1049" s="461"/>
      <c r="Q1049" s="461"/>
      <c r="R1049" s="461"/>
    </row>
    <row r="1050" ht="12.75" customHeight="1" spans="1:18">
      <c r="A1050" s="460"/>
      <c r="B1050" s="461"/>
      <c r="C1050" s="461"/>
      <c r="D1050" s="461"/>
      <c r="E1050" s="461"/>
      <c r="F1050" s="460"/>
      <c r="G1050" s="460"/>
      <c r="H1050" s="460"/>
      <c r="I1050" s="461"/>
      <c r="J1050" s="460"/>
      <c r="K1050" s="460"/>
      <c r="L1050" s="461"/>
      <c r="M1050" s="460"/>
      <c r="N1050" s="460"/>
      <c r="O1050" s="461"/>
      <c r="P1050" s="461"/>
      <c r="Q1050" s="461"/>
      <c r="R1050" s="461"/>
    </row>
    <row r="1051" ht="12.75" customHeight="1" spans="1:18">
      <c r="A1051" s="460"/>
      <c r="B1051" s="461"/>
      <c r="C1051" s="461"/>
      <c r="D1051" s="461"/>
      <c r="E1051" s="461"/>
      <c r="F1051" s="460"/>
      <c r="G1051" s="460"/>
      <c r="H1051" s="460"/>
      <c r="I1051" s="461"/>
      <c r="J1051" s="460"/>
      <c r="K1051" s="460"/>
      <c r="L1051" s="461"/>
      <c r="M1051" s="460"/>
      <c r="N1051" s="460"/>
      <c r="O1051" s="461"/>
      <c r="P1051" s="461"/>
      <c r="Q1051" s="461"/>
      <c r="R1051" s="461"/>
    </row>
    <row r="1052" ht="12.75" customHeight="1" spans="1:18">
      <c r="A1052" s="460"/>
      <c r="B1052" s="461"/>
      <c r="C1052" s="461"/>
      <c r="D1052" s="461"/>
      <c r="E1052" s="461"/>
      <c r="F1052" s="460"/>
      <c r="G1052" s="460"/>
      <c r="H1052" s="460"/>
      <c r="I1052" s="461"/>
      <c r="J1052" s="460"/>
      <c r="K1052" s="460"/>
      <c r="L1052" s="461"/>
      <c r="M1052" s="460"/>
      <c r="N1052" s="460"/>
      <c r="O1052" s="461"/>
      <c r="P1052" s="461"/>
      <c r="Q1052" s="461"/>
      <c r="R1052" s="461"/>
    </row>
    <row r="1053" ht="12.75" customHeight="1" spans="1:18">
      <c r="A1053" s="460"/>
      <c r="B1053" s="461"/>
      <c r="C1053" s="461"/>
      <c r="D1053" s="461"/>
      <c r="E1053" s="461"/>
      <c r="F1053" s="460"/>
      <c r="G1053" s="460"/>
      <c r="H1053" s="460"/>
      <c r="I1053" s="461"/>
      <c r="J1053" s="460"/>
      <c r="K1053" s="460"/>
      <c r="L1053" s="461"/>
      <c r="M1053" s="460"/>
      <c r="N1053" s="460"/>
      <c r="O1053" s="461"/>
      <c r="P1053" s="461"/>
      <c r="Q1053" s="461"/>
      <c r="R1053" s="461"/>
    </row>
    <row r="1054" ht="12.75" customHeight="1" spans="1:18">
      <c r="A1054" s="460"/>
      <c r="B1054" s="461"/>
      <c r="C1054" s="461"/>
      <c r="D1054" s="461"/>
      <c r="E1054" s="461"/>
      <c r="F1054" s="460"/>
      <c r="G1054" s="460"/>
      <c r="H1054" s="460"/>
      <c r="I1054" s="461"/>
      <c r="J1054" s="460"/>
      <c r="K1054" s="460"/>
      <c r="L1054" s="461"/>
      <c r="M1054" s="460"/>
      <c r="N1054" s="460"/>
      <c r="O1054" s="461"/>
      <c r="P1054" s="461"/>
      <c r="Q1054" s="461"/>
      <c r="R1054" s="461"/>
    </row>
    <row r="1055" ht="12.75" customHeight="1" spans="1:18">
      <c r="A1055" s="460"/>
      <c r="B1055" s="461"/>
      <c r="C1055" s="461"/>
      <c r="D1055" s="461"/>
      <c r="E1055" s="461"/>
      <c r="F1055" s="460"/>
      <c r="G1055" s="460"/>
      <c r="H1055" s="460"/>
      <c r="I1055" s="461"/>
      <c r="J1055" s="460"/>
      <c r="K1055" s="460"/>
      <c r="L1055" s="461"/>
      <c r="M1055" s="460"/>
      <c r="N1055" s="460"/>
      <c r="O1055" s="461"/>
      <c r="P1055" s="461"/>
      <c r="Q1055" s="461"/>
      <c r="R1055" s="461"/>
    </row>
    <row r="1056" ht="12.75" customHeight="1" spans="1:18">
      <c r="A1056" s="460"/>
      <c r="B1056" s="461"/>
      <c r="C1056" s="461"/>
      <c r="D1056" s="461"/>
      <c r="E1056" s="461"/>
      <c r="F1056" s="460"/>
      <c r="G1056" s="460"/>
      <c r="H1056" s="460"/>
      <c r="I1056" s="461"/>
      <c r="J1056" s="460"/>
      <c r="K1056" s="460"/>
      <c r="L1056" s="461"/>
      <c r="M1056" s="460"/>
      <c r="N1056" s="460"/>
      <c r="O1056" s="461"/>
      <c r="P1056" s="461"/>
      <c r="Q1056" s="461"/>
      <c r="R1056" s="461"/>
    </row>
    <row r="1057" ht="12.75" customHeight="1" spans="1:18">
      <c r="A1057" s="460"/>
      <c r="B1057" s="461"/>
      <c r="C1057" s="461"/>
      <c r="D1057" s="461"/>
      <c r="E1057" s="461"/>
      <c r="F1057" s="460"/>
      <c r="G1057" s="460"/>
      <c r="H1057" s="460"/>
      <c r="I1057" s="461"/>
      <c r="J1057" s="460"/>
      <c r="K1057" s="460"/>
      <c r="L1057" s="461"/>
      <c r="M1057" s="460"/>
      <c r="N1057" s="460"/>
      <c r="O1057" s="461"/>
      <c r="P1057" s="461"/>
      <c r="Q1057" s="461"/>
      <c r="R1057" s="461"/>
    </row>
    <row r="1058" ht="12.75" customHeight="1" spans="1:18">
      <c r="A1058" s="460"/>
      <c r="B1058" s="461"/>
      <c r="C1058" s="461"/>
      <c r="D1058" s="461"/>
      <c r="E1058" s="461"/>
      <c r="F1058" s="460"/>
      <c r="G1058" s="460"/>
      <c r="H1058" s="460"/>
      <c r="I1058" s="461"/>
      <c r="J1058" s="460"/>
      <c r="K1058" s="460"/>
      <c r="L1058" s="461"/>
      <c r="M1058" s="460"/>
      <c r="N1058" s="460"/>
      <c r="O1058" s="461"/>
      <c r="P1058" s="461"/>
      <c r="Q1058" s="461"/>
      <c r="R1058" s="461"/>
    </row>
    <row r="1059" ht="12.75" customHeight="1" spans="1:18">
      <c r="A1059" s="460"/>
      <c r="B1059" s="461"/>
      <c r="C1059" s="461"/>
      <c r="D1059" s="461"/>
      <c r="E1059" s="461"/>
      <c r="F1059" s="460"/>
      <c r="G1059" s="460"/>
      <c r="H1059" s="460"/>
      <c r="I1059" s="461"/>
      <c r="J1059" s="460"/>
      <c r="K1059" s="460"/>
      <c r="L1059" s="461"/>
      <c r="M1059" s="460"/>
      <c r="N1059" s="460"/>
      <c r="O1059" s="461"/>
      <c r="P1059" s="461"/>
      <c r="Q1059" s="461"/>
      <c r="R1059" s="461"/>
    </row>
    <row r="1060" ht="12.75" customHeight="1" spans="1:18">
      <c r="A1060" s="460"/>
      <c r="B1060" s="461"/>
      <c r="C1060" s="461"/>
      <c r="D1060" s="461"/>
      <c r="E1060" s="461"/>
      <c r="F1060" s="460"/>
      <c r="G1060" s="460"/>
      <c r="H1060" s="460"/>
      <c r="I1060" s="461"/>
      <c r="J1060" s="460"/>
      <c r="K1060" s="460"/>
      <c r="L1060" s="461"/>
      <c r="M1060" s="460"/>
      <c r="N1060" s="460"/>
      <c r="O1060" s="461"/>
      <c r="P1060" s="461"/>
      <c r="Q1060" s="461"/>
      <c r="R1060" s="461"/>
    </row>
    <row r="1061" ht="12.75" customHeight="1" spans="1:18">
      <c r="A1061" s="460"/>
      <c r="B1061" s="461"/>
      <c r="C1061" s="461"/>
      <c r="D1061" s="461"/>
      <c r="E1061" s="461"/>
      <c r="F1061" s="460"/>
      <c r="G1061" s="460"/>
      <c r="H1061" s="460"/>
      <c r="I1061" s="461"/>
      <c r="J1061" s="460"/>
      <c r="K1061" s="460"/>
      <c r="L1061" s="461"/>
      <c r="M1061" s="460"/>
      <c r="N1061" s="460"/>
      <c r="O1061" s="461"/>
      <c r="P1061" s="461"/>
      <c r="Q1061" s="461"/>
      <c r="R1061" s="461"/>
    </row>
    <row r="1062" ht="12.75" customHeight="1" spans="1:18">
      <c r="A1062" s="460"/>
      <c r="B1062" s="461"/>
      <c r="C1062" s="461"/>
      <c r="D1062" s="461"/>
      <c r="E1062" s="461"/>
      <c r="F1062" s="460"/>
      <c r="G1062" s="460"/>
      <c r="H1062" s="460"/>
      <c r="I1062" s="461"/>
      <c r="J1062" s="460"/>
      <c r="K1062" s="460"/>
      <c r="L1062" s="461"/>
      <c r="M1062" s="460"/>
      <c r="N1062" s="460"/>
      <c r="O1062" s="461"/>
      <c r="P1062" s="461"/>
      <c r="Q1062" s="461"/>
      <c r="R1062" s="461"/>
    </row>
    <row r="1063" ht="12.75" customHeight="1" spans="1:18">
      <c r="A1063" s="460"/>
      <c r="B1063" s="461"/>
      <c r="C1063" s="461"/>
      <c r="D1063" s="461"/>
      <c r="E1063" s="461"/>
      <c r="F1063" s="460"/>
      <c r="G1063" s="460"/>
      <c r="H1063" s="460"/>
      <c r="I1063" s="461"/>
      <c r="J1063" s="460"/>
      <c r="K1063" s="460"/>
      <c r="L1063" s="461"/>
      <c r="M1063" s="460"/>
      <c r="N1063" s="460"/>
      <c r="O1063" s="461"/>
      <c r="P1063" s="461"/>
      <c r="Q1063" s="461"/>
      <c r="R1063" s="461"/>
    </row>
    <row r="1064" ht="12.75" customHeight="1" spans="1:18">
      <c r="A1064" s="460"/>
      <c r="B1064" s="461"/>
      <c r="C1064" s="461"/>
      <c r="D1064" s="461"/>
      <c r="E1064" s="461"/>
      <c r="F1064" s="460"/>
      <c r="G1064" s="460"/>
      <c r="H1064" s="460"/>
      <c r="I1064" s="461"/>
      <c r="J1064" s="460"/>
      <c r="K1064" s="460"/>
      <c r="L1064" s="461"/>
      <c r="M1064" s="460"/>
      <c r="N1064" s="460"/>
      <c r="O1064" s="461"/>
      <c r="P1064" s="461"/>
      <c r="Q1064" s="461"/>
      <c r="R1064" s="461"/>
    </row>
    <row r="1065" ht="12.75" customHeight="1" spans="1:18">
      <c r="A1065" s="460"/>
      <c r="B1065" s="461"/>
      <c r="C1065" s="461"/>
      <c r="D1065" s="461"/>
      <c r="E1065" s="461"/>
      <c r="F1065" s="460"/>
      <c r="G1065" s="460"/>
      <c r="H1065" s="460"/>
      <c r="I1065" s="461"/>
      <c r="J1065" s="460"/>
      <c r="K1065" s="460"/>
      <c r="L1065" s="461"/>
      <c r="M1065" s="460"/>
      <c r="N1065" s="460"/>
      <c r="O1065" s="461"/>
      <c r="P1065" s="461"/>
      <c r="Q1065" s="461"/>
      <c r="R1065" s="461"/>
    </row>
    <row r="1066" ht="12.75" customHeight="1" spans="1:18">
      <c r="A1066" s="460"/>
      <c r="B1066" s="461"/>
      <c r="C1066" s="461"/>
      <c r="D1066" s="461"/>
      <c r="E1066" s="461"/>
      <c r="F1066" s="460"/>
      <c r="G1066" s="460"/>
      <c r="H1066" s="460"/>
      <c r="I1066" s="461"/>
      <c r="J1066" s="460"/>
      <c r="K1066" s="460"/>
      <c r="L1066" s="461"/>
      <c r="M1066" s="460"/>
      <c r="N1066" s="460"/>
      <c r="O1066" s="461"/>
      <c r="P1066" s="461"/>
      <c r="Q1066" s="461"/>
      <c r="R1066" s="461"/>
    </row>
    <row r="1067" ht="12.75" customHeight="1" spans="1:18">
      <c r="A1067" s="460"/>
      <c r="B1067" s="461"/>
      <c r="C1067" s="461"/>
      <c r="D1067" s="461"/>
      <c r="E1067" s="461"/>
      <c r="F1067" s="460"/>
      <c r="G1067" s="460"/>
      <c r="H1067" s="460"/>
      <c r="I1067" s="461"/>
      <c r="J1067" s="460"/>
      <c r="K1067" s="460"/>
      <c r="L1067" s="461"/>
      <c r="M1067" s="460"/>
      <c r="N1067" s="460"/>
      <c r="O1067" s="461"/>
      <c r="P1067" s="461"/>
      <c r="Q1067" s="461"/>
      <c r="R1067" s="461"/>
    </row>
    <row r="1068" ht="12.75" customHeight="1" spans="1:18">
      <c r="A1068" s="460"/>
      <c r="B1068" s="461"/>
      <c r="C1068" s="461"/>
      <c r="D1068" s="461"/>
      <c r="E1068" s="461"/>
      <c r="F1068" s="460"/>
      <c r="G1068" s="460"/>
      <c r="H1068" s="460"/>
      <c r="I1068" s="461"/>
      <c r="J1068" s="460"/>
      <c r="K1068" s="460"/>
      <c r="L1068" s="461"/>
      <c r="M1068" s="460"/>
      <c r="N1068" s="460"/>
      <c r="O1068" s="461"/>
      <c r="P1068" s="461"/>
      <c r="Q1068" s="461"/>
      <c r="R1068" s="461"/>
    </row>
    <row r="1069" ht="12.75" customHeight="1" spans="1:18">
      <c r="A1069" s="460"/>
      <c r="B1069" s="461"/>
      <c r="C1069" s="461"/>
      <c r="D1069" s="461"/>
      <c r="E1069" s="461"/>
      <c r="F1069" s="460"/>
      <c r="G1069" s="460"/>
      <c r="H1069" s="460"/>
      <c r="I1069" s="461"/>
      <c r="J1069" s="460"/>
      <c r="K1069" s="460"/>
      <c r="L1069" s="461"/>
      <c r="M1069" s="460"/>
      <c r="N1069" s="460"/>
      <c r="O1069" s="461"/>
      <c r="P1069" s="461"/>
      <c r="Q1069" s="461"/>
      <c r="R1069" s="461"/>
    </row>
    <row r="1070" ht="12.75" customHeight="1" spans="1:18">
      <c r="A1070" s="460"/>
      <c r="B1070" s="461"/>
      <c r="C1070" s="461"/>
      <c r="D1070" s="461"/>
      <c r="E1070" s="461"/>
      <c r="F1070" s="460"/>
      <c r="G1070" s="460"/>
      <c r="H1070" s="460"/>
      <c r="I1070" s="461"/>
      <c r="J1070" s="460"/>
      <c r="K1070" s="460"/>
      <c r="L1070" s="461"/>
      <c r="M1070" s="460"/>
      <c r="N1070" s="460"/>
      <c r="O1070" s="461"/>
      <c r="P1070" s="461"/>
      <c r="Q1070" s="461"/>
      <c r="R1070" s="461"/>
    </row>
    <row r="1071" ht="12.75" customHeight="1" spans="1:18">
      <c r="A1071" s="460"/>
      <c r="B1071" s="461"/>
      <c r="C1071" s="461"/>
      <c r="D1071" s="461"/>
      <c r="E1071" s="461"/>
      <c r="F1071" s="460"/>
      <c r="G1071" s="460"/>
      <c r="H1071" s="460"/>
      <c r="I1071" s="461"/>
      <c r="J1071" s="460"/>
      <c r="K1071" s="460"/>
      <c r="L1071" s="461"/>
      <c r="M1071" s="460"/>
      <c r="N1071" s="460"/>
      <c r="O1071" s="461"/>
      <c r="P1071" s="461"/>
      <c r="Q1071" s="461"/>
      <c r="R1071" s="461"/>
    </row>
    <row r="1072" ht="12.75" customHeight="1" spans="1:18">
      <c r="A1072" s="460"/>
      <c r="B1072" s="461"/>
      <c r="C1072" s="461"/>
      <c r="D1072" s="461"/>
      <c r="E1072" s="461"/>
      <c r="F1072" s="460"/>
      <c r="G1072" s="460"/>
      <c r="H1072" s="460"/>
      <c r="I1072" s="461"/>
      <c r="J1072" s="460"/>
      <c r="K1072" s="460"/>
      <c r="L1072" s="461"/>
      <c r="M1072" s="460"/>
      <c r="N1072" s="460"/>
      <c r="O1072" s="461"/>
      <c r="P1072" s="461"/>
      <c r="Q1072" s="461"/>
      <c r="R1072" s="461"/>
    </row>
    <row r="1073" ht="12.75" customHeight="1" spans="1:18">
      <c r="A1073" s="460"/>
      <c r="B1073" s="461"/>
      <c r="C1073" s="461"/>
      <c r="D1073" s="461"/>
      <c r="E1073" s="461"/>
      <c r="F1073" s="460"/>
      <c r="G1073" s="460"/>
      <c r="H1073" s="460"/>
      <c r="I1073" s="461"/>
      <c r="J1073" s="460"/>
      <c r="K1073" s="460"/>
      <c r="L1073" s="461"/>
      <c r="M1073" s="460"/>
      <c r="N1073" s="460"/>
      <c r="O1073" s="461"/>
      <c r="P1073" s="461"/>
      <c r="Q1073" s="461"/>
      <c r="R1073" s="461"/>
    </row>
    <row r="1074" ht="12.75" customHeight="1" spans="1:18">
      <c r="A1074" s="460"/>
      <c r="B1074" s="461"/>
      <c r="C1074" s="461"/>
      <c r="D1074" s="461"/>
      <c r="E1074" s="461"/>
      <c r="F1074" s="460"/>
      <c r="G1074" s="460"/>
      <c r="H1074" s="460"/>
      <c r="I1074" s="461"/>
      <c r="J1074" s="460"/>
      <c r="K1074" s="460"/>
      <c r="L1074" s="461"/>
      <c r="M1074" s="460"/>
      <c r="N1074" s="460"/>
      <c r="O1074" s="461"/>
      <c r="P1074" s="461"/>
      <c r="Q1074" s="461"/>
      <c r="R1074" s="461"/>
    </row>
    <row r="1075" ht="12.75" customHeight="1" spans="1:18">
      <c r="A1075" s="460"/>
      <c r="B1075" s="461"/>
      <c r="C1075" s="461"/>
      <c r="D1075" s="461"/>
      <c r="E1075" s="461"/>
      <c r="F1075" s="460"/>
      <c r="G1075" s="460"/>
      <c r="H1075" s="460"/>
      <c r="I1075" s="461"/>
      <c r="J1075" s="460"/>
      <c r="K1075" s="460"/>
      <c r="L1075" s="461"/>
      <c r="M1075" s="460"/>
      <c r="N1075" s="460"/>
      <c r="O1075" s="461"/>
      <c r="P1075" s="461"/>
      <c r="Q1075" s="461"/>
      <c r="R1075" s="461"/>
    </row>
    <row r="1076" ht="12.75" customHeight="1" spans="1:18">
      <c r="A1076" s="460"/>
      <c r="B1076" s="461"/>
      <c r="C1076" s="461"/>
      <c r="D1076" s="461"/>
      <c r="E1076" s="461"/>
      <c r="F1076" s="460"/>
      <c r="G1076" s="460"/>
      <c r="H1076" s="460"/>
      <c r="I1076" s="461"/>
      <c r="J1076" s="460"/>
      <c r="K1076" s="460"/>
      <c r="L1076" s="461"/>
      <c r="M1076" s="460"/>
      <c r="N1076" s="460"/>
      <c r="O1076" s="461"/>
      <c r="P1076" s="461"/>
      <c r="Q1076" s="461"/>
      <c r="R1076" s="461"/>
    </row>
    <row r="1077" ht="12.75" customHeight="1" spans="1:18">
      <c r="A1077" s="460"/>
      <c r="B1077" s="461"/>
      <c r="C1077" s="461"/>
      <c r="D1077" s="461"/>
      <c r="E1077" s="461"/>
      <c r="F1077" s="460"/>
      <c r="G1077" s="460"/>
      <c r="H1077" s="460"/>
      <c r="I1077" s="461"/>
      <c r="J1077" s="460"/>
      <c r="K1077" s="460"/>
      <c r="L1077" s="461"/>
      <c r="M1077" s="460"/>
      <c r="N1077" s="460"/>
      <c r="O1077" s="461"/>
      <c r="P1077" s="461"/>
      <c r="Q1077" s="461"/>
      <c r="R1077" s="461"/>
    </row>
    <row r="1078" ht="12.75" customHeight="1" spans="1:18">
      <c r="A1078" s="460"/>
      <c r="B1078" s="461"/>
      <c r="C1078" s="461"/>
      <c r="D1078" s="461"/>
      <c r="E1078" s="461"/>
      <c r="F1078" s="460"/>
      <c r="G1078" s="460"/>
      <c r="H1078" s="460"/>
      <c r="I1078" s="461"/>
      <c r="J1078" s="460"/>
      <c r="K1078" s="460"/>
      <c r="L1078" s="461"/>
      <c r="M1078" s="460"/>
      <c r="N1078" s="460"/>
      <c r="O1078" s="461"/>
      <c r="P1078" s="461"/>
      <c r="Q1078" s="461"/>
      <c r="R1078" s="461"/>
    </row>
    <row r="1079" ht="12.75" customHeight="1" spans="1:18">
      <c r="A1079" s="460"/>
      <c r="B1079" s="461"/>
      <c r="C1079" s="461"/>
      <c r="D1079" s="461"/>
      <c r="E1079" s="461"/>
      <c r="F1079" s="460"/>
      <c r="G1079" s="460"/>
      <c r="H1079" s="460"/>
      <c r="I1079" s="461"/>
      <c r="J1079" s="460"/>
      <c r="K1079" s="460"/>
      <c r="L1079" s="461"/>
      <c r="M1079" s="460"/>
      <c r="N1079" s="460"/>
      <c r="O1079" s="461"/>
      <c r="P1079" s="461"/>
      <c r="Q1079" s="461"/>
      <c r="R1079" s="461"/>
    </row>
    <row r="1080" ht="12.75" customHeight="1" spans="1:18">
      <c r="A1080" s="460"/>
      <c r="B1080" s="461"/>
      <c r="C1080" s="461"/>
      <c r="D1080" s="461"/>
      <c r="E1080" s="461"/>
      <c r="F1080" s="460"/>
      <c r="G1080" s="460"/>
      <c r="H1080" s="460"/>
      <c r="I1080" s="461"/>
      <c r="J1080" s="460"/>
      <c r="K1080" s="460"/>
      <c r="L1080" s="461"/>
      <c r="M1080" s="460"/>
      <c r="N1080" s="460"/>
      <c r="O1080" s="461"/>
      <c r="P1080" s="461"/>
      <c r="Q1080" s="461"/>
      <c r="R1080" s="461"/>
    </row>
    <row r="1081" ht="12.75" customHeight="1" spans="1:18">
      <c r="A1081" s="460"/>
      <c r="B1081" s="461"/>
      <c r="C1081" s="461"/>
      <c r="D1081" s="461"/>
      <c r="E1081" s="461"/>
      <c r="F1081" s="460"/>
      <c r="G1081" s="460"/>
      <c r="H1081" s="460"/>
      <c r="I1081" s="461"/>
      <c r="J1081" s="460"/>
      <c r="K1081" s="460"/>
      <c r="L1081" s="461"/>
      <c r="M1081" s="460"/>
      <c r="N1081" s="460"/>
      <c r="O1081" s="461"/>
      <c r="P1081" s="461"/>
      <c r="Q1081" s="461"/>
      <c r="R1081" s="461"/>
    </row>
    <row r="1082" ht="12.75" customHeight="1" spans="1:18">
      <c r="A1082" s="460"/>
      <c r="B1082" s="461"/>
      <c r="C1082" s="461"/>
      <c r="D1082" s="461"/>
      <c r="E1082" s="461"/>
      <c r="F1082" s="460"/>
      <c r="G1082" s="460"/>
      <c r="H1082" s="460"/>
      <c r="I1082" s="461"/>
      <c r="J1082" s="460"/>
      <c r="K1082" s="460"/>
      <c r="L1082" s="461"/>
      <c r="M1082" s="460"/>
      <c r="N1082" s="460"/>
      <c r="O1082" s="461"/>
      <c r="P1082" s="461"/>
      <c r="Q1082" s="461"/>
      <c r="R1082" s="461"/>
    </row>
    <row r="1083" ht="12.75" customHeight="1" spans="1:18">
      <c r="A1083" s="460"/>
      <c r="B1083" s="461"/>
      <c r="C1083" s="461"/>
      <c r="D1083" s="461"/>
      <c r="E1083" s="461"/>
      <c r="F1083" s="460"/>
      <c r="G1083" s="460"/>
      <c r="H1083" s="460"/>
      <c r="I1083" s="461"/>
      <c r="J1083" s="460"/>
      <c r="K1083" s="460"/>
      <c r="L1083" s="461"/>
      <c r="M1083" s="460"/>
      <c r="N1083" s="460"/>
      <c r="O1083" s="461"/>
      <c r="P1083" s="461"/>
      <c r="Q1083" s="461"/>
      <c r="R1083" s="461"/>
    </row>
    <row r="1084" ht="12.75" customHeight="1" spans="1:18">
      <c r="A1084" s="460"/>
      <c r="B1084" s="461"/>
      <c r="C1084" s="461"/>
      <c r="D1084" s="461"/>
      <c r="E1084" s="461"/>
      <c r="F1084" s="460"/>
      <c r="G1084" s="460"/>
      <c r="H1084" s="460"/>
      <c r="I1084" s="461"/>
      <c r="J1084" s="460"/>
      <c r="K1084" s="460"/>
      <c r="L1084" s="461"/>
      <c r="M1084" s="460"/>
      <c r="N1084" s="460"/>
      <c r="O1084" s="461"/>
      <c r="P1084" s="461"/>
      <c r="Q1084" s="461"/>
      <c r="R1084" s="461"/>
    </row>
    <row r="1085" ht="12.75" customHeight="1" spans="1:18">
      <c r="A1085" s="460"/>
      <c r="B1085" s="461"/>
      <c r="C1085" s="461"/>
      <c r="D1085" s="461"/>
      <c r="E1085" s="461"/>
      <c r="F1085" s="460"/>
      <c r="G1085" s="460"/>
      <c r="H1085" s="460"/>
      <c r="I1085" s="461"/>
      <c r="J1085" s="460"/>
      <c r="K1085" s="460"/>
      <c r="L1085" s="461"/>
      <c r="M1085" s="460"/>
      <c r="N1085" s="460"/>
      <c r="O1085" s="461"/>
      <c r="P1085" s="461"/>
      <c r="Q1085" s="461"/>
      <c r="R1085" s="461"/>
    </row>
    <row r="1086" ht="12.75" customHeight="1" spans="1:18">
      <c r="A1086" s="460"/>
      <c r="B1086" s="461"/>
      <c r="C1086" s="461"/>
      <c r="D1086" s="461"/>
      <c r="E1086" s="461"/>
      <c r="F1086" s="460"/>
      <c r="G1086" s="460"/>
      <c r="H1086" s="460"/>
      <c r="I1086" s="461"/>
      <c r="J1086" s="460"/>
      <c r="K1086" s="460"/>
      <c r="L1086" s="461"/>
      <c r="M1086" s="460"/>
      <c r="N1086" s="460"/>
      <c r="O1086" s="461"/>
      <c r="P1086" s="461"/>
      <c r="Q1086" s="461"/>
      <c r="R1086" s="461"/>
    </row>
    <row r="1087" ht="12.75" customHeight="1" spans="1:18">
      <c r="A1087" s="460"/>
      <c r="B1087" s="461"/>
      <c r="C1087" s="461"/>
      <c r="D1087" s="461"/>
      <c r="E1087" s="461"/>
      <c r="F1087" s="460"/>
      <c r="G1087" s="460"/>
      <c r="H1087" s="460"/>
      <c r="I1087" s="461"/>
      <c r="J1087" s="460"/>
      <c r="K1087" s="460"/>
      <c r="L1087" s="461"/>
      <c r="M1087" s="460"/>
      <c r="N1087" s="460"/>
      <c r="O1087" s="461"/>
      <c r="P1087" s="461"/>
      <c r="Q1087" s="461"/>
      <c r="R1087" s="461"/>
    </row>
    <row r="1088" ht="12.75" customHeight="1" spans="1:18">
      <c r="A1088" s="460"/>
      <c r="B1088" s="461"/>
      <c r="C1088" s="461"/>
      <c r="D1088" s="461"/>
      <c r="E1088" s="461"/>
      <c r="F1088" s="460"/>
      <c r="G1088" s="460"/>
      <c r="H1088" s="460"/>
      <c r="I1088" s="461"/>
      <c r="J1088" s="460"/>
      <c r="K1088" s="460"/>
      <c r="L1088" s="461"/>
      <c r="M1088" s="460"/>
      <c r="N1088" s="460"/>
      <c r="O1088" s="461"/>
      <c r="P1088" s="461"/>
      <c r="Q1088" s="461"/>
      <c r="R1088" s="461"/>
    </row>
    <row r="1089" ht="12.75" customHeight="1" spans="1:18">
      <c r="A1089" s="460"/>
      <c r="B1089" s="461"/>
      <c r="C1089" s="461"/>
      <c r="D1089" s="461"/>
      <c r="E1089" s="461"/>
      <c r="F1089" s="460"/>
      <c r="G1089" s="460"/>
      <c r="H1089" s="460"/>
      <c r="I1089" s="461"/>
      <c r="J1089" s="460"/>
      <c r="K1089" s="460"/>
      <c r="L1089" s="461"/>
      <c r="M1089" s="460"/>
      <c r="N1089" s="460"/>
      <c r="O1089" s="461"/>
      <c r="P1089" s="461"/>
      <c r="Q1089" s="461"/>
      <c r="R1089" s="461"/>
    </row>
    <row r="1090" ht="12.75" customHeight="1" spans="1:18">
      <c r="A1090" s="460"/>
      <c r="B1090" s="461"/>
      <c r="C1090" s="461"/>
      <c r="D1090" s="461"/>
      <c r="E1090" s="461"/>
      <c r="F1090" s="460"/>
      <c r="G1090" s="460"/>
      <c r="H1090" s="460"/>
      <c r="I1090" s="461"/>
      <c r="J1090" s="460"/>
      <c r="K1090" s="460"/>
      <c r="L1090" s="461"/>
      <c r="M1090" s="460"/>
      <c r="N1090" s="460"/>
      <c r="O1090" s="461"/>
      <c r="P1090" s="461"/>
      <c r="Q1090" s="461"/>
      <c r="R1090" s="461"/>
    </row>
    <row r="1091" ht="12.75" customHeight="1" spans="1:18">
      <c r="A1091" s="460"/>
      <c r="B1091" s="461"/>
      <c r="C1091" s="461"/>
      <c r="D1091" s="461"/>
      <c r="E1091" s="461"/>
      <c r="F1091" s="460"/>
      <c r="G1091" s="460"/>
      <c r="H1091" s="460"/>
      <c r="I1091" s="461"/>
      <c r="J1091" s="460"/>
      <c r="K1091" s="460"/>
      <c r="L1091" s="461"/>
      <c r="M1091" s="460"/>
      <c r="N1091" s="460"/>
      <c r="O1091" s="461"/>
      <c r="P1091" s="461"/>
      <c r="Q1091" s="461"/>
      <c r="R1091" s="461"/>
    </row>
    <row r="1092" ht="12.75" customHeight="1" spans="1:18">
      <c r="A1092" s="460"/>
      <c r="B1092" s="461"/>
      <c r="C1092" s="461"/>
      <c r="D1092" s="461"/>
      <c r="E1092" s="461"/>
      <c r="F1092" s="460"/>
      <c r="G1092" s="460"/>
      <c r="H1092" s="460"/>
      <c r="I1092" s="461"/>
      <c r="J1092" s="460"/>
      <c r="K1092" s="460"/>
      <c r="L1092" s="461"/>
      <c r="M1092" s="460"/>
      <c r="N1092" s="460"/>
      <c r="O1092" s="461"/>
      <c r="P1092" s="461"/>
      <c r="Q1092" s="461"/>
      <c r="R1092" s="461"/>
    </row>
    <row r="1093" ht="12.75" customHeight="1" spans="1:18">
      <c r="A1093" s="460"/>
      <c r="B1093" s="461"/>
      <c r="C1093" s="461"/>
      <c r="D1093" s="461"/>
      <c r="E1093" s="461"/>
      <c r="F1093" s="460"/>
      <c r="G1093" s="460"/>
      <c r="H1093" s="460"/>
      <c r="I1093" s="461"/>
      <c r="J1093" s="460"/>
      <c r="K1093" s="460"/>
      <c r="L1093" s="461"/>
      <c r="M1093" s="460"/>
      <c r="N1093" s="460"/>
      <c r="O1093" s="461"/>
      <c r="P1093" s="461"/>
      <c r="Q1093" s="461"/>
      <c r="R1093" s="461"/>
    </row>
    <row r="1094" ht="12.75" customHeight="1" spans="1:18">
      <c r="A1094" s="460"/>
      <c r="B1094" s="461"/>
      <c r="C1094" s="461"/>
      <c r="D1094" s="461"/>
      <c r="E1094" s="461"/>
      <c r="F1094" s="460"/>
      <c r="G1094" s="460"/>
      <c r="H1094" s="460"/>
      <c r="I1094" s="461"/>
      <c r="J1094" s="460"/>
      <c r="K1094" s="460"/>
      <c r="L1094" s="461"/>
      <c r="M1094" s="460"/>
      <c r="N1094" s="460"/>
      <c r="O1094" s="461"/>
      <c r="P1094" s="461"/>
      <c r="Q1094" s="461"/>
      <c r="R1094" s="461"/>
    </row>
    <row r="1095" ht="12.75" customHeight="1" spans="1:18">
      <c r="A1095" s="460"/>
      <c r="B1095" s="461"/>
      <c r="C1095" s="461"/>
      <c r="D1095" s="461"/>
      <c r="E1095" s="461"/>
      <c r="F1095" s="460"/>
      <c r="G1095" s="460"/>
      <c r="H1095" s="460"/>
      <c r="I1095" s="461"/>
      <c r="J1095" s="460"/>
      <c r="K1095" s="460"/>
      <c r="L1095" s="461"/>
      <c r="M1095" s="460"/>
      <c r="N1095" s="460"/>
      <c r="O1095" s="461"/>
      <c r="P1095" s="461"/>
      <c r="Q1095" s="461"/>
      <c r="R1095" s="461"/>
    </row>
    <row r="1096" ht="12.75" customHeight="1" spans="1:18">
      <c r="A1096" s="460"/>
      <c r="B1096" s="461"/>
      <c r="C1096" s="461"/>
      <c r="D1096" s="461"/>
      <c r="E1096" s="461"/>
      <c r="F1096" s="460"/>
      <c r="G1096" s="460"/>
      <c r="H1096" s="460"/>
      <c r="I1096" s="461"/>
      <c r="J1096" s="460"/>
      <c r="K1096" s="460"/>
      <c r="L1096" s="461"/>
      <c r="M1096" s="460"/>
      <c r="N1096" s="460"/>
      <c r="O1096" s="461"/>
      <c r="P1096" s="461"/>
      <c r="Q1096" s="461"/>
      <c r="R1096" s="461"/>
    </row>
    <row r="1097" ht="12.75" customHeight="1" spans="1:18">
      <c r="A1097" s="460"/>
      <c r="B1097" s="461"/>
      <c r="C1097" s="461"/>
      <c r="D1097" s="461"/>
      <c r="E1097" s="461"/>
      <c r="F1097" s="460"/>
      <c r="G1097" s="460"/>
      <c r="H1097" s="460"/>
      <c r="I1097" s="461"/>
      <c r="J1097" s="460"/>
      <c r="K1097" s="460"/>
      <c r="L1097" s="461"/>
      <c r="M1097" s="460"/>
      <c r="N1097" s="460"/>
      <c r="O1097" s="461"/>
      <c r="P1097" s="461"/>
      <c r="Q1097" s="461"/>
      <c r="R1097" s="461"/>
    </row>
    <row r="1098" ht="12.75" customHeight="1" spans="1:18">
      <c r="A1098" s="460"/>
      <c r="B1098" s="461"/>
      <c r="C1098" s="461"/>
      <c r="D1098" s="461"/>
      <c r="E1098" s="461"/>
      <c r="F1098" s="460"/>
      <c r="G1098" s="460"/>
      <c r="H1098" s="460"/>
      <c r="I1098" s="461"/>
      <c r="J1098" s="460"/>
      <c r="K1098" s="460"/>
      <c r="L1098" s="461"/>
      <c r="M1098" s="460"/>
      <c r="N1098" s="460"/>
      <c r="O1098" s="461"/>
      <c r="P1098" s="461"/>
      <c r="Q1098" s="461"/>
      <c r="R1098" s="461"/>
    </row>
    <row r="1099" ht="12.75" customHeight="1" spans="1:18">
      <c r="A1099" s="460"/>
      <c r="B1099" s="461"/>
      <c r="C1099" s="461"/>
      <c r="D1099" s="461"/>
      <c r="E1099" s="461"/>
      <c r="F1099" s="460"/>
      <c r="G1099" s="460"/>
      <c r="H1099" s="460"/>
      <c r="I1099" s="461"/>
      <c r="J1099" s="460"/>
      <c r="K1099" s="460"/>
      <c r="L1099" s="461"/>
      <c r="M1099" s="460"/>
      <c r="N1099" s="460"/>
      <c r="O1099" s="461"/>
      <c r="P1099" s="461"/>
      <c r="Q1099" s="461"/>
      <c r="R1099" s="461"/>
    </row>
    <row r="1100" ht="12.75" customHeight="1" spans="1:18">
      <c r="A1100" s="460"/>
      <c r="B1100" s="461"/>
      <c r="C1100" s="461"/>
      <c r="D1100" s="461"/>
      <c r="E1100" s="461"/>
      <c r="F1100" s="460"/>
      <c r="G1100" s="460"/>
      <c r="H1100" s="460"/>
      <c r="I1100" s="461"/>
      <c r="J1100" s="460"/>
      <c r="K1100" s="460"/>
      <c r="L1100" s="461"/>
      <c r="M1100" s="460"/>
      <c r="N1100" s="460"/>
      <c r="O1100" s="461"/>
      <c r="P1100" s="461"/>
      <c r="Q1100" s="461"/>
      <c r="R1100" s="461"/>
    </row>
    <row r="1101" ht="12.75" customHeight="1" spans="1:18">
      <c r="A1101" s="460"/>
      <c r="B1101" s="461"/>
      <c r="C1101" s="461"/>
      <c r="D1101" s="461"/>
      <c r="E1101" s="461"/>
      <c r="F1101" s="460"/>
      <c r="G1101" s="460"/>
      <c r="H1101" s="460"/>
      <c r="I1101" s="461"/>
      <c r="J1101" s="460"/>
      <c r="K1101" s="460"/>
      <c r="L1101" s="461"/>
      <c r="M1101" s="460"/>
      <c r="N1101" s="460"/>
      <c r="O1101" s="461"/>
      <c r="P1101" s="461"/>
      <c r="Q1101" s="461"/>
      <c r="R1101" s="461"/>
    </row>
    <row r="1102" ht="12.75" customHeight="1" spans="1:18">
      <c r="A1102" s="460"/>
      <c r="B1102" s="461"/>
      <c r="C1102" s="461"/>
      <c r="D1102" s="461"/>
      <c r="E1102" s="461"/>
      <c r="F1102" s="460"/>
      <c r="G1102" s="460"/>
      <c r="H1102" s="460"/>
      <c r="I1102" s="461"/>
      <c r="J1102" s="460"/>
      <c r="K1102" s="460"/>
      <c r="L1102" s="461"/>
      <c r="M1102" s="460"/>
      <c r="N1102" s="460"/>
      <c r="O1102" s="461"/>
      <c r="P1102" s="461"/>
      <c r="Q1102" s="461"/>
      <c r="R1102" s="461"/>
    </row>
    <row r="1103" ht="12.75" customHeight="1" spans="1:18">
      <c r="A1103" s="460"/>
      <c r="B1103" s="461"/>
      <c r="C1103" s="461"/>
      <c r="D1103" s="461"/>
      <c r="E1103" s="461"/>
      <c r="F1103" s="460"/>
      <c r="G1103" s="460"/>
      <c r="H1103" s="460"/>
      <c r="I1103" s="461"/>
      <c r="J1103" s="460"/>
      <c r="K1103" s="460"/>
      <c r="L1103" s="461"/>
      <c r="M1103" s="460"/>
      <c r="N1103" s="460"/>
      <c r="O1103" s="461"/>
      <c r="P1103" s="461"/>
      <c r="Q1103" s="461"/>
      <c r="R1103" s="461"/>
    </row>
    <row r="1104" ht="12.75" customHeight="1" spans="1:18">
      <c r="A1104" s="460"/>
      <c r="B1104" s="461"/>
      <c r="C1104" s="461"/>
      <c r="D1104" s="461"/>
      <c r="E1104" s="461"/>
      <c r="F1104" s="460"/>
      <c r="G1104" s="460"/>
      <c r="H1104" s="460"/>
      <c r="I1104" s="461"/>
      <c r="J1104" s="460"/>
      <c r="K1104" s="460"/>
      <c r="L1104" s="461"/>
      <c r="M1104" s="460"/>
      <c r="N1104" s="460"/>
      <c r="O1104" s="461"/>
      <c r="P1104" s="461"/>
      <c r="Q1104" s="461"/>
      <c r="R1104" s="461"/>
    </row>
    <row r="1105" ht="12.75" customHeight="1" spans="1:18">
      <c r="A1105" s="460"/>
      <c r="B1105" s="461"/>
      <c r="C1105" s="461"/>
      <c r="D1105" s="461"/>
      <c r="E1105" s="461"/>
      <c r="F1105" s="460"/>
      <c r="G1105" s="460"/>
      <c r="H1105" s="460"/>
      <c r="I1105" s="461"/>
      <c r="J1105" s="460"/>
      <c r="K1105" s="460"/>
      <c r="L1105" s="461"/>
      <c r="M1105" s="460"/>
      <c r="N1105" s="460"/>
      <c r="O1105" s="461"/>
      <c r="P1105" s="461"/>
      <c r="Q1105" s="461"/>
      <c r="R1105" s="461"/>
    </row>
    <row r="1106" ht="12.75" customHeight="1" spans="1:18">
      <c r="A1106" s="460"/>
      <c r="B1106" s="461"/>
      <c r="C1106" s="461"/>
      <c r="D1106" s="461"/>
      <c r="E1106" s="461"/>
      <c r="F1106" s="460"/>
      <c r="G1106" s="460"/>
      <c r="H1106" s="460"/>
      <c r="I1106" s="461"/>
      <c r="J1106" s="460"/>
      <c r="K1106" s="460"/>
      <c r="L1106" s="461"/>
      <c r="M1106" s="460"/>
      <c r="N1106" s="460"/>
      <c r="O1106" s="461"/>
      <c r="P1106" s="461"/>
      <c r="Q1106" s="461"/>
      <c r="R1106" s="461"/>
    </row>
    <row r="1107" ht="12.75" customHeight="1" spans="1:18">
      <c r="A1107" s="460"/>
      <c r="B1107" s="461"/>
      <c r="C1107" s="461"/>
      <c r="D1107" s="461"/>
      <c r="E1107" s="461"/>
      <c r="F1107" s="460"/>
      <c r="G1107" s="460"/>
      <c r="H1107" s="460"/>
      <c r="I1107" s="461"/>
      <c r="J1107" s="460"/>
      <c r="K1107" s="460"/>
      <c r="L1107" s="461"/>
      <c r="M1107" s="460"/>
      <c r="N1107" s="460"/>
      <c r="O1107" s="461"/>
      <c r="P1107" s="461"/>
      <c r="Q1107" s="461"/>
      <c r="R1107" s="461"/>
    </row>
    <row r="1108" ht="12.75" customHeight="1" spans="1:18">
      <c r="A1108" s="460"/>
      <c r="B1108" s="461"/>
      <c r="C1108" s="461"/>
      <c r="D1108" s="461"/>
      <c r="E1108" s="461"/>
      <c r="F1108" s="460"/>
      <c r="G1108" s="460"/>
      <c r="H1108" s="460"/>
      <c r="I1108" s="461"/>
      <c r="J1108" s="460"/>
      <c r="K1108" s="460"/>
      <c r="L1108" s="461"/>
      <c r="M1108" s="460"/>
      <c r="N1108" s="460"/>
      <c r="O1108" s="461"/>
      <c r="P1108" s="461"/>
      <c r="Q1108" s="461"/>
      <c r="R1108" s="461"/>
    </row>
    <row r="1109" ht="12.75" customHeight="1" spans="1:18">
      <c r="A1109" s="460"/>
      <c r="B1109" s="461"/>
      <c r="C1109" s="461"/>
      <c r="D1109" s="461"/>
      <c r="E1109" s="461"/>
      <c r="F1109" s="460"/>
      <c r="G1109" s="460"/>
      <c r="H1109" s="460"/>
      <c r="I1109" s="461"/>
      <c r="J1109" s="460"/>
      <c r="K1109" s="460"/>
      <c r="L1109" s="461"/>
      <c r="M1109" s="460"/>
      <c r="N1109" s="460"/>
      <c r="O1109" s="461"/>
      <c r="P1109" s="461"/>
      <c r="Q1109" s="461"/>
      <c r="R1109" s="461"/>
    </row>
    <row r="1110" ht="12.75" customHeight="1" spans="1:18">
      <c r="A1110" s="460"/>
      <c r="B1110" s="461"/>
      <c r="C1110" s="461"/>
      <c r="D1110" s="461"/>
      <c r="E1110" s="461"/>
      <c r="F1110" s="460"/>
      <c r="G1110" s="460"/>
      <c r="H1110" s="460"/>
      <c r="I1110" s="461"/>
      <c r="J1110" s="460"/>
      <c r="K1110" s="460"/>
      <c r="L1110" s="461"/>
      <c r="M1110" s="460"/>
      <c r="N1110" s="460"/>
      <c r="O1110" s="461"/>
      <c r="P1110" s="461"/>
      <c r="Q1110" s="461"/>
      <c r="R1110" s="461"/>
    </row>
    <row r="1111" ht="12.75" customHeight="1" spans="1:18">
      <c r="A1111" s="460"/>
      <c r="B1111" s="461"/>
      <c r="C1111" s="461"/>
      <c r="D1111" s="461"/>
      <c r="E1111" s="461"/>
      <c r="F1111" s="460"/>
      <c r="G1111" s="460"/>
      <c r="H1111" s="460"/>
      <c r="I1111" s="461"/>
      <c r="J1111" s="460"/>
      <c r="K1111" s="460"/>
      <c r="L1111" s="461"/>
      <c r="M1111" s="460"/>
      <c r="N1111" s="460"/>
      <c r="O1111" s="461"/>
      <c r="P1111" s="461"/>
      <c r="Q1111" s="461"/>
      <c r="R1111" s="461"/>
    </row>
    <row r="1112" ht="12.75" customHeight="1" spans="1:18">
      <c r="A1112" s="460"/>
      <c r="B1112" s="461"/>
      <c r="C1112" s="461"/>
      <c r="D1112" s="461"/>
      <c r="E1112" s="461"/>
      <c r="F1112" s="460"/>
      <c r="G1112" s="460"/>
      <c r="H1112" s="460"/>
      <c r="I1112" s="461"/>
      <c r="J1112" s="460"/>
      <c r="K1112" s="460"/>
      <c r="L1112" s="461"/>
      <c r="M1112" s="460"/>
      <c r="N1112" s="460"/>
      <c r="O1112" s="461"/>
      <c r="P1112" s="461"/>
      <c r="Q1112" s="461"/>
      <c r="R1112" s="461"/>
    </row>
    <row r="1113" ht="12.75" customHeight="1" spans="1:18">
      <c r="A1113" s="460"/>
      <c r="B1113" s="461"/>
      <c r="C1113" s="461"/>
      <c r="D1113" s="461"/>
      <c r="E1113" s="461"/>
      <c r="F1113" s="460"/>
      <c r="G1113" s="460"/>
      <c r="H1113" s="460"/>
      <c r="I1113" s="461"/>
      <c r="J1113" s="460"/>
      <c r="K1113" s="460"/>
      <c r="L1113" s="461"/>
      <c r="M1113" s="460"/>
      <c r="N1113" s="460"/>
      <c r="O1113" s="461"/>
      <c r="P1113" s="461"/>
      <c r="Q1113" s="461"/>
      <c r="R1113" s="461"/>
    </row>
    <row r="1114" ht="12.75" customHeight="1" spans="1:18">
      <c r="A1114" s="460"/>
      <c r="B1114" s="461"/>
      <c r="C1114" s="461"/>
      <c r="D1114" s="461"/>
      <c r="E1114" s="461"/>
      <c r="F1114" s="460"/>
      <c r="G1114" s="460"/>
      <c r="H1114" s="460"/>
      <c r="I1114" s="461"/>
      <c r="J1114" s="460"/>
      <c r="K1114" s="460"/>
      <c r="L1114" s="461"/>
      <c r="M1114" s="460"/>
      <c r="N1114" s="460"/>
      <c r="O1114" s="461"/>
      <c r="P1114" s="461"/>
      <c r="Q1114" s="461"/>
      <c r="R1114" s="461"/>
    </row>
    <row r="1115" ht="12.75" customHeight="1" spans="1:18">
      <c r="A1115" s="460"/>
      <c r="B1115" s="461"/>
      <c r="C1115" s="461"/>
      <c r="D1115" s="461"/>
      <c r="E1115" s="461"/>
      <c r="F1115" s="460"/>
      <c r="G1115" s="460"/>
      <c r="H1115" s="460"/>
      <c r="I1115" s="461"/>
      <c r="J1115" s="460"/>
      <c r="K1115" s="460"/>
      <c r="L1115" s="461"/>
      <c r="M1115" s="460"/>
      <c r="N1115" s="460"/>
      <c r="O1115" s="461"/>
      <c r="P1115" s="461"/>
      <c r="Q1115" s="461"/>
      <c r="R1115" s="461"/>
    </row>
    <row r="1116" ht="12.75" customHeight="1" spans="1:18">
      <c r="A1116" s="460"/>
      <c r="B1116" s="461"/>
      <c r="C1116" s="461"/>
      <c r="D1116" s="461"/>
      <c r="E1116" s="461"/>
      <c r="F1116" s="460"/>
      <c r="G1116" s="460"/>
      <c r="H1116" s="460"/>
      <c r="I1116" s="461"/>
      <c r="J1116" s="460"/>
      <c r="K1116" s="460"/>
      <c r="L1116" s="461"/>
      <c r="M1116" s="460"/>
      <c r="N1116" s="460"/>
      <c r="O1116" s="461"/>
      <c r="P1116" s="461"/>
      <c r="Q1116" s="461"/>
      <c r="R1116" s="461"/>
    </row>
    <row r="1117" ht="12.75" customHeight="1" spans="1:18">
      <c r="A1117" s="460"/>
      <c r="B1117" s="461"/>
      <c r="C1117" s="461"/>
      <c r="D1117" s="461"/>
      <c r="E1117" s="461"/>
      <c r="F1117" s="460"/>
      <c r="G1117" s="460"/>
      <c r="H1117" s="460"/>
      <c r="I1117" s="461"/>
      <c r="J1117" s="460"/>
      <c r="K1117" s="460"/>
      <c r="L1117" s="461"/>
      <c r="M1117" s="460"/>
      <c r="N1117" s="460"/>
      <c r="O1117" s="461"/>
      <c r="P1117" s="461"/>
      <c r="Q1117" s="461"/>
      <c r="R1117" s="461"/>
    </row>
    <row r="1118" ht="12.75" customHeight="1" spans="1:18">
      <c r="A1118" s="460"/>
      <c r="B1118" s="461"/>
      <c r="C1118" s="461"/>
      <c r="D1118" s="461"/>
      <c r="E1118" s="461"/>
      <c r="F1118" s="460"/>
      <c r="G1118" s="460"/>
      <c r="H1118" s="460"/>
      <c r="I1118" s="461"/>
      <c r="J1118" s="460"/>
      <c r="K1118" s="460"/>
      <c r="L1118" s="461"/>
      <c r="M1118" s="460"/>
      <c r="N1118" s="460"/>
      <c r="O1118" s="461"/>
      <c r="P1118" s="461"/>
      <c r="Q1118" s="461"/>
      <c r="R1118" s="461"/>
    </row>
    <row r="1119" ht="12.75" customHeight="1" spans="1:18">
      <c r="A1119" s="460"/>
      <c r="B1119" s="461"/>
      <c r="C1119" s="461"/>
      <c r="D1119" s="461"/>
      <c r="E1119" s="461"/>
      <c r="F1119" s="460"/>
      <c r="G1119" s="460"/>
      <c r="H1119" s="460"/>
      <c r="I1119" s="461"/>
      <c r="J1119" s="460"/>
      <c r="K1119" s="460"/>
      <c r="L1119" s="461"/>
      <c r="M1119" s="460"/>
      <c r="N1119" s="460"/>
      <c r="O1119" s="461"/>
      <c r="P1119" s="461"/>
      <c r="Q1119" s="461"/>
      <c r="R1119" s="461"/>
    </row>
    <row r="1120" ht="12.75" customHeight="1" spans="1:18">
      <c r="A1120" s="460"/>
      <c r="B1120" s="461"/>
      <c r="C1120" s="461"/>
      <c r="D1120" s="461"/>
      <c r="E1120" s="461"/>
      <c r="F1120" s="460"/>
      <c r="G1120" s="460"/>
      <c r="H1120" s="460"/>
      <c r="I1120" s="461"/>
      <c r="J1120" s="460"/>
      <c r="K1120" s="460"/>
      <c r="L1120" s="461"/>
      <c r="M1120" s="460"/>
      <c r="N1120" s="460"/>
      <c r="O1120" s="461"/>
      <c r="P1120" s="461"/>
      <c r="Q1120" s="461"/>
      <c r="R1120" s="461"/>
    </row>
    <row r="1121" ht="12.75" customHeight="1" spans="1:18">
      <c r="A1121" s="460"/>
      <c r="B1121" s="461"/>
      <c r="C1121" s="461"/>
      <c r="D1121" s="461"/>
      <c r="E1121" s="461"/>
      <c r="F1121" s="460"/>
      <c r="G1121" s="460"/>
      <c r="H1121" s="460"/>
      <c r="I1121" s="461"/>
      <c r="J1121" s="460"/>
      <c r="K1121" s="460"/>
      <c r="L1121" s="461"/>
      <c r="M1121" s="460"/>
      <c r="N1121" s="460"/>
      <c r="O1121" s="461"/>
      <c r="P1121" s="461"/>
      <c r="Q1121" s="461"/>
      <c r="R1121" s="461"/>
    </row>
    <row r="1122" ht="12.75" customHeight="1" spans="1:18">
      <c r="A1122" s="460"/>
      <c r="B1122" s="461"/>
      <c r="C1122" s="461"/>
      <c r="D1122" s="461"/>
      <c r="E1122" s="461"/>
      <c r="F1122" s="460"/>
      <c r="G1122" s="460"/>
      <c r="H1122" s="460"/>
      <c r="I1122" s="461"/>
      <c r="J1122" s="460"/>
      <c r="K1122" s="460"/>
      <c r="L1122" s="461"/>
      <c r="M1122" s="460"/>
      <c r="N1122" s="460"/>
      <c r="O1122" s="461"/>
      <c r="P1122" s="461"/>
      <c r="Q1122" s="461"/>
      <c r="R1122" s="461"/>
    </row>
    <row r="1123" ht="12.75" customHeight="1" spans="1:18">
      <c r="A1123" s="460"/>
      <c r="B1123" s="461"/>
      <c r="C1123" s="461"/>
      <c r="D1123" s="461"/>
      <c r="E1123" s="461"/>
      <c r="F1123" s="460"/>
      <c r="G1123" s="460"/>
      <c r="H1123" s="460"/>
      <c r="I1123" s="461"/>
      <c r="J1123" s="460"/>
      <c r="K1123" s="460"/>
      <c r="L1123" s="461"/>
      <c r="M1123" s="460"/>
      <c r="N1123" s="460"/>
      <c r="O1123" s="461"/>
      <c r="P1123" s="461"/>
      <c r="Q1123" s="461"/>
      <c r="R1123" s="461"/>
    </row>
    <row r="1124" ht="12.75" customHeight="1" spans="1:18">
      <c r="A1124" s="460"/>
      <c r="B1124" s="461"/>
      <c r="C1124" s="461"/>
      <c r="D1124" s="461"/>
      <c r="E1124" s="461"/>
      <c r="F1124" s="460"/>
      <c r="G1124" s="460"/>
      <c r="H1124" s="460"/>
      <c r="I1124" s="461"/>
      <c r="J1124" s="460"/>
      <c r="K1124" s="460"/>
      <c r="L1124" s="461"/>
      <c r="M1124" s="460"/>
      <c r="N1124" s="460"/>
      <c r="O1124" s="461"/>
      <c r="P1124" s="461"/>
      <c r="Q1124" s="461"/>
      <c r="R1124" s="461"/>
    </row>
    <row r="1125" ht="12.75" customHeight="1" spans="1:18">
      <c r="A1125" s="460"/>
      <c r="B1125" s="461"/>
      <c r="C1125" s="461"/>
      <c r="D1125" s="461"/>
      <c r="E1125" s="461"/>
      <c r="F1125" s="460"/>
      <c r="G1125" s="460"/>
      <c r="H1125" s="460"/>
      <c r="I1125" s="461"/>
      <c r="J1125" s="460"/>
      <c r="K1125" s="460"/>
      <c r="L1125" s="461"/>
      <c r="M1125" s="460"/>
      <c r="N1125" s="460"/>
      <c r="O1125" s="461"/>
      <c r="P1125" s="461"/>
      <c r="Q1125" s="461"/>
      <c r="R1125" s="461"/>
    </row>
    <row r="1126" ht="12.75" customHeight="1" spans="1:18">
      <c r="A1126" s="460"/>
      <c r="B1126" s="461"/>
      <c r="C1126" s="461"/>
      <c r="D1126" s="461"/>
      <c r="E1126" s="461"/>
      <c r="F1126" s="460"/>
      <c r="G1126" s="460"/>
      <c r="H1126" s="460"/>
      <c r="I1126" s="461"/>
      <c r="J1126" s="460"/>
      <c r="K1126" s="460"/>
      <c r="L1126" s="461"/>
      <c r="M1126" s="460"/>
      <c r="N1126" s="460"/>
      <c r="O1126" s="461"/>
      <c r="P1126" s="461"/>
      <c r="Q1126" s="461"/>
      <c r="R1126" s="461"/>
    </row>
    <row r="1127" ht="12.75" customHeight="1" spans="1:18">
      <c r="A1127" s="460"/>
      <c r="B1127" s="461"/>
      <c r="C1127" s="461"/>
      <c r="D1127" s="461"/>
      <c r="E1127" s="461"/>
      <c r="F1127" s="460"/>
      <c r="G1127" s="460"/>
      <c r="H1127" s="460"/>
      <c r="I1127" s="461"/>
      <c r="J1127" s="460"/>
      <c r="K1127" s="460"/>
      <c r="L1127" s="461"/>
      <c r="M1127" s="460"/>
      <c r="N1127" s="460"/>
      <c r="O1127" s="461"/>
      <c r="P1127" s="461"/>
      <c r="Q1127" s="461"/>
      <c r="R1127" s="461"/>
    </row>
    <row r="1128" ht="12.75" customHeight="1" spans="1:18">
      <c r="A1128" s="460"/>
      <c r="B1128" s="461"/>
      <c r="C1128" s="461"/>
      <c r="D1128" s="461"/>
      <c r="E1128" s="461"/>
      <c r="F1128" s="460"/>
      <c r="G1128" s="460"/>
      <c r="H1128" s="460"/>
      <c r="I1128" s="461"/>
      <c r="J1128" s="460"/>
      <c r="K1128" s="460"/>
      <c r="L1128" s="461"/>
      <c r="M1128" s="460"/>
      <c r="N1128" s="460"/>
      <c r="O1128" s="461"/>
      <c r="P1128" s="461"/>
      <c r="Q1128" s="461"/>
      <c r="R1128" s="461"/>
    </row>
    <row r="1129" ht="12.75" customHeight="1" spans="1:18">
      <c r="A1129" s="460"/>
      <c r="B1129" s="461"/>
      <c r="C1129" s="461"/>
      <c r="D1129" s="461"/>
      <c r="E1129" s="461"/>
      <c r="F1129" s="460"/>
      <c r="G1129" s="460"/>
      <c r="H1129" s="460"/>
      <c r="I1129" s="461"/>
      <c r="J1129" s="460"/>
      <c r="K1129" s="460"/>
      <c r="L1129" s="461"/>
      <c r="M1129" s="460"/>
      <c r="N1129" s="460"/>
      <c r="O1129" s="461"/>
      <c r="P1129" s="461"/>
      <c r="Q1129" s="461"/>
      <c r="R1129" s="461"/>
    </row>
    <row r="1130" ht="12.75" customHeight="1" spans="1:18">
      <c r="A1130" s="460"/>
      <c r="B1130" s="461"/>
      <c r="C1130" s="461"/>
      <c r="D1130" s="461"/>
      <c r="E1130" s="461"/>
      <c r="F1130" s="460"/>
      <c r="G1130" s="460"/>
      <c r="H1130" s="460"/>
      <c r="I1130" s="461"/>
      <c r="J1130" s="460"/>
      <c r="K1130" s="460"/>
      <c r="L1130" s="461"/>
      <c r="M1130" s="460"/>
      <c r="N1130" s="460"/>
      <c r="O1130" s="461"/>
      <c r="P1130" s="461"/>
      <c r="Q1130" s="461"/>
      <c r="R1130" s="461"/>
    </row>
    <row r="1131" ht="12.75" customHeight="1" spans="1:18">
      <c r="A1131" s="460"/>
      <c r="B1131" s="461"/>
      <c r="C1131" s="461"/>
      <c r="D1131" s="461"/>
      <c r="E1131" s="461"/>
      <c r="F1131" s="460"/>
      <c r="G1131" s="460"/>
      <c r="H1131" s="460"/>
      <c r="I1131" s="461"/>
      <c r="J1131" s="460"/>
      <c r="K1131" s="460"/>
      <c r="L1131" s="461"/>
      <c r="M1131" s="460"/>
      <c r="N1131" s="460"/>
      <c r="O1131" s="461"/>
      <c r="P1131" s="461"/>
      <c r="Q1131" s="461"/>
      <c r="R1131" s="461"/>
    </row>
    <row r="1132" ht="12.75" customHeight="1" spans="1:18">
      <c r="A1132" s="460"/>
      <c r="B1132" s="461"/>
      <c r="C1132" s="461"/>
      <c r="D1132" s="461"/>
      <c r="E1132" s="461"/>
      <c r="F1132" s="460"/>
      <c r="G1132" s="460"/>
      <c r="H1132" s="460"/>
      <c r="I1132" s="461"/>
      <c r="J1132" s="460"/>
      <c r="K1132" s="460"/>
      <c r="L1132" s="461"/>
      <c r="M1132" s="460"/>
      <c r="N1132" s="460"/>
      <c r="O1132" s="461"/>
      <c r="P1132" s="461"/>
      <c r="Q1132" s="461"/>
      <c r="R1132" s="461"/>
    </row>
    <row r="1133" ht="12.75" customHeight="1" spans="1:18">
      <c r="A1133" s="460"/>
      <c r="B1133" s="461"/>
      <c r="C1133" s="461"/>
      <c r="D1133" s="461"/>
      <c r="E1133" s="461"/>
      <c r="F1133" s="460"/>
      <c r="G1133" s="460"/>
      <c r="H1133" s="460"/>
      <c r="I1133" s="461"/>
      <c r="J1133" s="460"/>
      <c r="K1133" s="460"/>
      <c r="L1133" s="461"/>
      <c r="M1133" s="460"/>
      <c r="N1133" s="460"/>
      <c r="O1133" s="461"/>
      <c r="P1133" s="461"/>
      <c r="Q1133" s="461"/>
      <c r="R1133" s="461"/>
    </row>
    <row r="1134" ht="12.75" customHeight="1" spans="1:18">
      <c r="A1134" s="460"/>
      <c r="B1134" s="461"/>
      <c r="C1134" s="461"/>
      <c r="D1134" s="461"/>
      <c r="E1134" s="461"/>
      <c r="F1134" s="460"/>
      <c r="G1134" s="460"/>
      <c r="H1134" s="460"/>
      <c r="I1134" s="461"/>
      <c r="J1134" s="460"/>
      <c r="K1134" s="460"/>
      <c r="L1134" s="461"/>
      <c r="M1134" s="460"/>
      <c r="N1134" s="460"/>
      <c r="O1134" s="461"/>
      <c r="P1134" s="461"/>
      <c r="Q1134" s="461"/>
      <c r="R1134" s="461"/>
    </row>
    <row r="1135" ht="12.75" customHeight="1" spans="1:18">
      <c r="A1135" s="460"/>
      <c r="B1135" s="461"/>
      <c r="C1135" s="461"/>
      <c r="D1135" s="461"/>
      <c r="E1135" s="461"/>
      <c r="F1135" s="460"/>
      <c r="G1135" s="460"/>
      <c r="H1135" s="460"/>
      <c r="I1135" s="461"/>
      <c r="J1135" s="460"/>
      <c r="K1135" s="460"/>
      <c r="L1135" s="461"/>
      <c r="M1135" s="460"/>
      <c r="N1135" s="460"/>
      <c r="O1135" s="461"/>
      <c r="P1135" s="461"/>
      <c r="Q1135" s="461"/>
      <c r="R1135" s="461"/>
    </row>
    <row r="1136" ht="12.75" customHeight="1" spans="1:18">
      <c r="A1136" s="460"/>
      <c r="B1136" s="461"/>
      <c r="C1136" s="461"/>
      <c r="D1136" s="461"/>
      <c r="E1136" s="461"/>
      <c r="F1136" s="460"/>
      <c r="G1136" s="460"/>
      <c r="H1136" s="460"/>
      <c r="I1136" s="461"/>
      <c r="J1136" s="460"/>
      <c r="K1136" s="460"/>
      <c r="L1136" s="461"/>
      <c r="M1136" s="460"/>
      <c r="N1136" s="460"/>
      <c r="O1136" s="461"/>
      <c r="P1136" s="461"/>
      <c r="Q1136" s="461"/>
      <c r="R1136" s="461"/>
    </row>
    <row r="1137" ht="12.75" customHeight="1" spans="1:18">
      <c r="A1137" s="460"/>
      <c r="B1137" s="461"/>
      <c r="C1137" s="461"/>
      <c r="D1137" s="461"/>
      <c r="E1137" s="461"/>
      <c r="F1137" s="460"/>
      <c r="G1137" s="460"/>
      <c r="H1137" s="460"/>
      <c r="I1137" s="461"/>
      <c r="J1137" s="460"/>
      <c r="K1137" s="460"/>
      <c r="L1137" s="461"/>
      <c r="M1137" s="460"/>
      <c r="N1137" s="460"/>
      <c r="O1137" s="461"/>
      <c r="P1137" s="461"/>
      <c r="Q1137" s="461"/>
      <c r="R1137" s="461"/>
    </row>
    <row r="1138" ht="12.75" customHeight="1" spans="1:18">
      <c r="A1138" s="460"/>
      <c r="B1138" s="461"/>
      <c r="C1138" s="461"/>
      <c r="D1138" s="461"/>
      <c r="E1138" s="461"/>
      <c r="F1138" s="460"/>
      <c r="G1138" s="460"/>
      <c r="H1138" s="460"/>
      <c r="I1138" s="461"/>
      <c r="J1138" s="460"/>
      <c r="K1138" s="460"/>
      <c r="L1138" s="461"/>
      <c r="M1138" s="460"/>
      <c r="N1138" s="460"/>
      <c r="O1138" s="461"/>
      <c r="P1138" s="461"/>
      <c r="Q1138" s="461"/>
      <c r="R1138" s="461"/>
    </row>
    <row r="1139" ht="12.75" customHeight="1" spans="1:18">
      <c r="A1139" s="460"/>
      <c r="B1139" s="461"/>
      <c r="C1139" s="461"/>
      <c r="D1139" s="461"/>
      <c r="E1139" s="461"/>
      <c r="F1139" s="460"/>
      <c r="G1139" s="460"/>
      <c r="H1139" s="460"/>
      <c r="I1139" s="461"/>
      <c r="J1139" s="460"/>
      <c r="K1139" s="460"/>
      <c r="L1139" s="461"/>
      <c r="M1139" s="460"/>
      <c r="N1139" s="460"/>
      <c r="O1139" s="461"/>
      <c r="P1139" s="461"/>
      <c r="Q1139" s="461"/>
      <c r="R1139" s="461"/>
    </row>
    <row r="1140" ht="12.75" customHeight="1" spans="1:18">
      <c r="A1140" s="460"/>
      <c r="B1140" s="461"/>
      <c r="C1140" s="461"/>
      <c r="D1140" s="461"/>
      <c r="E1140" s="461"/>
      <c r="F1140" s="460"/>
      <c r="G1140" s="460"/>
      <c r="H1140" s="460"/>
      <c r="I1140" s="461"/>
      <c r="J1140" s="460"/>
      <c r="K1140" s="460"/>
      <c r="L1140" s="461"/>
      <c r="M1140" s="460"/>
      <c r="N1140" s="460"/>
      <c r="O1140" s="461"/>
      <c r="P1140" s="461"/>
      <c r="Q1140" s="461"/>
      <c r="R1140" s="461"/>
    </row>
    <row r="1141" ht="12.75" customHeight="1" spans="1:18">
      <c r="A1141" s="460"/>
      <c r="B1141" s="461"/>
      <c r="C1141" s="461"/>
      <c r="D1141" s="461"/>
      <c r="E1141" s="461"/>
      <c r="F1141" s="460"/>
      <c r="G1141" s="460"/>
      <c r="H1141" s="460"/>
      <c r="I1141" s="461"/>
      <c r="J1141" s="460"/>
      <c r="K1141" s="460"/>
      <c r="L1141" s="461"/>
      <c r="M1141" s="460"/>
      <c r="N1141" s="460"/>
      <c r="O1141" s="461"/>
      <c r="P1141" s="461"/>
      <c r="Q1141" s="461"/>
      <c r="R1141" s="461"/>
    </row>
    <row r="1142" ht="12.75" customHeight="1" spans="1:18">
      <c r="A1142" s="460"/>
      <c r="B1142" s="461"/>
      <c r="C1142" s="461"/>
      <c r="D1142" s="461"/>
      <c r="E1142" s="461"/>
      <c r="F1142" s="460"/>
      <c r="G1142" s="460"/>
      <c r="H1142" s="460"/>
      <c r="I1142" s="461"/>
      <c r="J1142" s="460"/>
      <c r="K1142" s="460"/>
      <c r="L1142" s="461"/>
      <c r="M1142" s="460"/>
      <c r="N1142" s="460"/>
      <c r="O1142" s="461"/>
      <c r="P1142" s="461"/>
      <c r="Q1142" s="461"/>
      <c r="R1142" s="461"/>
    </row>
    <row r="1143" ht="12.75" customHeight="1" spans="1:18">
      <c r="A1143" s="460"/>
      <c r="B1143" s="461"/>
      <c r="C1143" s="461"/>
      <c r="D1143" s="461"/>
      <c r="E1143" s="461"/>
      <c r="F1143" s="460"/>
      <c r="G1143" s="460"/>
      <c r="H1143" s="460"/>
      <c r="I1143" s="461"/>
      <c r="J1143" s="460"/>
      <c r="K1143" s="460"/>
      <c r="L1143" s="461"/>
      <c r="M1143" s="460"/>
      <c r="N1143" s="460"/>
      <c r="O1143" s="461"/>
      <c r="P1143" s="461"/>
      <c r="Q1143" s="461"/>
      <c r="R1143" s="461"/>
    </row>
    <row r="1144" ht="12.75" customHeight="1" spans="1:18">
      <c r="A1144" s="460"/>
      <c r="B1144" s="461"/>
      <c r="C1144" s="461"/>
      <c r="D1144" s="461"/>
      <c r="E1144" s="461"/>
      <c r="F1144" s="460"/>
      <c r="G1144" s="460"/>
      <c r="H1144" s="460"/>
      <c r="I1144" s="461"/>
      <c r="J1144" s="460"/>
      <c r="K1144" s="460"/>
      <c r="L1144" s="461"/>
      <c r="M1144" s="460"/>
      <c r="N1144" s="460"/>
      <c r="O1144" s="461"/>
      <c r="P1144" s="461"/>
      <c r="Q1144" s="461"/>
      <c r="R1144" s="461"/>
    </row>
    <row r="1145" ht="12.75" customHeight="1" spans="1:18">
      <c r="A1145" s="460"/>
      <c r="B1145" s="461"/>
      <c r="C1145" s="461"/>
      <c r="D1145" s="461"/>
      <c r="E1145" s="461"/>
      <c r="F1145" s="460"/>
      <c r="G1145" s="460"/>
      <c r="H1145" s="460"/>
      <c r="I1145" s="461"/>
      <c r="J1145" s="460"/>
      <c r="K1145" s="460"/>
      <c r="L1145" s="461"/>
      <c r="M1145" s="460"/>
      <c r="N1145" s="460"/>
      <c r="O1145" s="461"/>
      <c r="P1145" s="461"/>
      <c r="Q1145" s="461"/>
      <c r="R1145" s="461"/>
    </row>
    <row r="1146" ht="12.75" customHeight="1" spans="1:18">
      <c r="A1146" s="460"/>
      <c r="B1146" s="461"/>
      <c r="C1146" s="461"/>
      <c r="D1146" s="461"/>
      <c r="E1146" s="461"/>
      <c r="F1146" s="460"/>
      <c r="G1146" s="460"/>
      <c r="H1146" s="460"/>
      <c r="I1146" s="461"/>
      <c r="J1146" s="460"/>
      <c r="K1146" s="460"/>
      <c r="L1146" s="461"/>
      <c r="M1146" s="460"/>
      <c r="N1146" s="460"/>
      <c r="O1146" s="461"/>
      <c r="P1146" s="461"/>
      <c r="Q1146" s="461"/>
      <c r="R1146" s="461"/>
    </row>
    <row r="1147" ht="12.75" customHeight="1" spans="1:18">
      <c r="A1147" s="460"/>
      <c r="B1147" s="461"/>
      <c r="C1147" s="461"/>
      <c r="D1147" s="461"/>
      <c r="E1147" s="461"/>
      <c r="F1147" s="460"/>
      <c r="G1147" s="460"/>
      <c r="H1147" s="460"/>
      <c r="I1147" s="461"/>
      <c r="J1147" s="460"/>
      <c r="K1147" s="460"/>
      <c r="L1147" s="461"/>
      <c r="M1147" s="460"/>
      <c r="N1147" s="460"/>
      <c r="O1147" s="461"/>
      <c r="P1147" s="461"/>
      <c r="Q1147" s="461"/>
      <c r="R1147" s="461"/>
    </row>
    <row r="1148" ht="12.75" customHeight="1" spans="1:18">
      <c r="A1148" s="460"/>
      <c r="B1148" s="461"/>
      <c r="C1148" s="461"/>
      <c r="D1148" s="461"/>
      <c r="E1148" s="461"/>
      <c r="F1148" s="460"/>
      <c r="G1148" s="460"/>
      <c r="H1148" s="460"/>
      <c r="I1148" s="461"/>
      <c r="J1148" s="460"/>
      <c r="K1148" s="460"/>
      <c r="L1148" s="461"/>
      <c r="M1148" s="460"/>
      <c r="N1148" s="460"/>
      <c r="O1148" s="461"/>
      <c r="P1148" s="461"/>
      <c r="Q1148" s="461"/>
      <c r="R1148" s="461"/>
    </row>
    <row r="1149" ht="12.75" customHeight="1" spans="1:18">
      <c r="A1149" s="460"/>
      <c r="B1149" s="461"/>
      <c r="C1149" s="461"/>
      <c r="D1149" s="461"/>
      <c r="E1149" s="461"/>
      <c r="F1149" s="460"/>
      <c r="G1149" s="460"/>
      <c r="H1149" s="460"/>
      <c r="I1149" s="461"/>
      <c r="J1149" s="460"/>
      <c r="K1149" s="460"/>
      <c r="L1149" s="461"/>
      <c r="M1149" s="460"/>
      <c r="N1149" s="460"/>
      <c r="O1149" s="461"/>
      <c r="P1149" s="461"/>
      <c r="Q1149" s="461"/>
      <c r="R1149" s="461"/>
    </row>
    <row r="1150" ht="12.75" customHeight="1" spans="1:18">
      <c r="A1150" s="460"/>
      <c r="B1150" s="461"/>
      <c r="C1150" s="461"/>
      <c r="D1150" s="461"/>
      <c r="E1150" s="461"/>
      <c r="F1150" s="460"/>
      <c r="G1150" s="460"/>
      <c r="H1150" s="460"/>
      <c r="I1150" s="461"/>
      <c r="J1150" s="460"/>
      <c r="K1150" s="460"/>
      <c r="L1150" s="461"/>
      <c r="M1150" s="460"/>
      <c r="N1150" s="460"/>
      <c r="O1150" s="461"/>
      <c r="P1150" s="461"/>
      <c r="Q1150" s="461"/>
      <c r="R1150" s="461"/>
    </row>
    <row r="1151" ht="12.75" customHeight="1" spans="1:18">
      <c r="A1151" s="460"/>
      <c r="B1151" s="461"/>
      <c r="C1151" s="461"/>
      <c r="D1151" s="461"/>
      <c r="E1151" s="461"/>
      <c r="F1151" s="460"/>
      <c r="G1151" s="460"/>
      <c r="H1151" s="460"/>
      <c r="I1151" s="461"/>
      <c r="J1151" s="460"/>
      <c r="K1151" s="460"/>
      <c r="L1151" s="461"/>
      <c r="M1151" s="460"/>
      <c r="N1151" s="460"/>
      <c r="O1151" s="461"/>
      <c r="P1151" s="461"/>
      <c r="Q1151" s="461"/>
      <c r="R1151" s="461"/>
    </row>
    <row r="1152" ht="12.75" customHeight="1" spans="1:18">
      <c r="A1152" s="460"/>
      <c r="B1152" s="461"/>
      <c r="C1152" s="461"/>
      <c r="D1152" s="461"/>
      <c r="E1152" s="461"/>
      <c r="F1152" s="460"/>
      <c r="G1152" s="460"/>
      <c r="H1152" s="460"/>
      <c r="I1152" s="461"/>
      <c r="J1152" s="460"/>
      <c r="K1152" s="460"/>
      <c r="L1152" s="461"/>
      <c r="M1152" s="460"/>
      <c r="N1152" s="460"/>
      <c r="O1152" s="461"/>
      <c r="P1152" s="461"/>
      <c r="Q1152" s="461"/>
      <c r="R1152" s="461"/>
    </row>
    <row r="1153" ht="12.75" customHeight="1" spans="1:18">
      <c r="A1153" s="460"/>
      <c r="B1153" s="461"/>
      <c r="C1153" s="461"/>
      <c r="D1153" s="461"/>
      <c r="E1153" s="461"/>
      <c r="F1153" s="460"/>
      <c r="G1153" s="460"/>
      <c r="H1153" s="460"/>
      <c r="I1153" s="461"/>
      <c r="J1153" s="460"/>
      <c r="K1153" s="460"/>
      <c r="L1153" s="461"/>
      <c r="M1153" s="460"/>
      <c r="N1153" s="460"/>
      <c r="O1153" s="461"/>
      <c r="P1153" s="461"/>
      <c r="Q1153" s="461"/>
      <c r="R1153" s="461"/>
    </row>
    <row r="1154" ht="12.75" customHeight="1" spans="1:18">
      <c r="A1154" s="460"/>
      <c r="B1154" s="461"/>
      <c r="C1154" s="461"/>
      <c r="D1154" s="461"/>
      <c r="E1154" s="461"/>
      <c r="F1154" s="460"/>
      <c r="G1154" s="460"/>
      <c r="H1154" s="460"/>
      <c r="I1154" s="461"/>
      <c r="J1154" s="460"/>
      <c r="K1154" s="460"/>
      <c r="L1154" s="461"/>
      <c r="M1154" s="460"/>
      <c r="N1154" s="460"/>
      <c r="O1154" s="461"/>
      <c r="P1154" s="461"/>
      <c r="Q1154" s="461"/>
      <c r="R1154" s="461"/>
    </row>
    <row r="1155" ht="12.75" customHeight="1" spans="1:18">
      <c r="A1155" s="460"/>
      <c r="B1155" s="461"/>
      <c r="C1155" s="461"/>
      <c r="D1155" s="461"/>
      <c r="E1155" s="461"/>
      <c r="F1155" s="460"/>
      <c r="G1155" s="460"/>
      <c r="H1155" s="460"/>
      <c r="I1155" s="461"/>
      <c r="J1155" s="460"/>
      <c r="K1155" s="460"/>
      <c r="L1155" s="461"/>
      <c r="M1155" s="460"/>
      <c r="N1155" s="460"/>
      <c r="O1155" s="461"/>
      <c r="P1155" s="461"/>
      <c r="Q1155" s="461"/>
      <c r="R1155" s="461"/>
    </row>
    <row r="1156" ht="12.75" customHeight="1" spans="1:18">
      <c r="A1156" s="460"/>
      <c r="B1156" s="461"/>
      <c r="C1156" s="461"/>
      <c r="D1156" s="461"/>
      <c r="E1156" s="461"/>
      <c r="F1156" s="460"/>
      <c r="G1156" s="460"/>
      <c r="H1156" s="460"/>
      <c r="I1156" s="461"/>
      <c r="J1156" s="460"/>
      <c r="K1156" s="460"/>
      <c r="L1156" s="461"/>
      <c r="M1156" s="460"/>
      <c r="N1156" s="460"/>
      <c r="O1156" s="461"/>
      <c r="P1156" s="461"/>
      <c r="Q1156" s="461"/>
      <c r="R1156" s="461"/>
    </row>
    <row r="1157" ht="12.75" customHeight="1" spans="1:18">
      <c r="A1157" s="460"/>
      <c r="B1157" s="461"/>
      <c r="C1157" s="461"/>
      <c r="D1157" s="461"/>
      <c r="E1157" s="461"/>
      <c r="F1157" s="460"/>
      <c r="G1157" s="460"/>
      <c r="H1157" s="460"/>
      <c r="I1157" s="461"/>
      <c r="J1157" s="460"/>
      <c r="K1157" s="460"/>
      <c r="L1157" s="461"/>
      <c r="M1157" s="460"/>
      <c r="N1157" s="460"/>
      <c r="O1157" s="461"/>
      <c r="P1157" s="461"/>
      <c r="Q1157" s="461"/>
      <c r="R1157" s="461"/>
    </row>
    <row r="1158" ht="12.75" customHeight="1" spans="1:18">
      <c r="A1158" s="460"/>
      <c r="B1158" s="461"/>
      <c r="C1158" s="461"/>
      <c r="D1158" s="461"/>
      <c r="E1158" s="461"/>
      <c r="F1158" s="460"/>
      <c r="G1158" s="460"/>
      <c r="H1158" s="460"/>
      <c r="I1158" s="461"/>
      <c r="J1158" s="460"/>
      <c r="K1158" s="460"/>
      <c r="L1158" s="461"/>
      <c r="M1158" s="460"/>
      <c r="N1158" s="460"/>
      <c r="O1158" s="461"/>
      <c r="P1158" s="461"/>
      <c r="Q1158" s="461"/>
      <c r="R1158" s="461"/>
    </row>
    <row r="1159" ht="12.75" customHeight="1" spans="1:18">
      <c r="A1159" s="460"/>
      <c r="B1159" s="461"/>
      <c r="C1159" s="461"/>
      <c r="D1159" s="461"/>
      <c r="E1159" s="461"/>
      <c r="F1159" s="460"/>
      <c r="G1159" s="460"/>
      <c r="H1159" s="460"/>
      <c r="I1159" s="461"/>
      <c r="J1159" s="460"/>
      <c r="K1159" s="460"/>
      <c r="L1159" s="461"/>
      <c r="M1159" s="460"/>
      <c r="N1159" s="460"/>
      <c r="O1159" s="461"/>
      <c r="P1159" s="461"/>
      <c r="Q1159" s="461"/>
      <c r="R1159" s="461"/>
    </row>
    <row r="1160" ht="12.75" customHeight="1" spans="1:18">
      <c r="A1160" s="460"/>
      <c r="B1160" s="461"/>
      <c r="C1160" s="461"/>
      <c r="D1160" s="461"/>
      <c r="E1160" s="461"/>
      <c r="F1160" s="460"/>
      <c r="G1160" s="460"/>
      <c r="H1160" s="460"/>
      <c r="I1160" s="461"/>
      <c r="J1160" s="460"/>
      <c r="K1160" s="460"/>
      <c r="L1160" s="461"/>
      <c r="M1160" s="460"/>
      <c r="N1160" s="460"/>
      <c r="O1160" s="461"/>
      <c r="P1160" s="461"/>
      <c r="Q1160" s="461"/>
      <c r="R1160" s="461"/>
    </row>
    <row r="1161" ht="12.75" customHeight="1" spans="1:18">
      <c r="A1161" s="460"/>
      <c r="B1161" s="461"/>
      <c r="C1161" s="461"/>
      <c r="D1161" s="461"/>
      <c r="E1161" s="461"/>
      <c r="F1161" s="460"/>
      <c r="G1161" s="460"/>
      <c r="H1161" s="460"/>
      <c r="I1161" s="461"/>
      <c r="J1161" s="460"/>
      <c r="K1161" s="460"/>
      <c r="L1161" s="461"/>
      <c r="M1161" s="460"/>
      <c r="N1161" s="460"/>
      <c r="O1161" s="461"/>
      <c r="P1161" s="461"/>
      <c r="Q1161" s="461"/>
      <c r="R1161" s="461"/>
    </row>
    <row r="1162" ht="12.75" customHeight="1" spans="1:18">
      <c r="A1162" s="460"/>
      <c r="B1162" s="461"/>
      <c r="C1162" s="461"/>
      <c r="D1162" s="461"/>
      <c r="E1162" s="461"/>
      <c r="F1162" s="460"/>
      <c r="G1162" s="460"/>
      <c r="H1162" s="460"/>
      <c r="I1162" s="461"/>
      <c r="J1162" s="460"/>
      <c r="K1162" s="460"/>
      <c r="L1162" s="461"/>
      <c r="M1162" s="460"/>
      <c r="N1162" s="460"/>
      <c r="O1162" s="461"/>
      <c r="P1162" s="461"/>
      <c r="Q1162" s="461"/>
      <c r="R1162" s="461"/>
    </row>
    <row r="1163" ht="12.75" customHeight="1" spans="1:18">
      <c r="A1163" s="460"/>
      <c r="B1163" s="461"/>
      <c r="C1163" s="461"/>
      <c r="D1163" s="461"/>
      <c r="E1163" s="461"/>
      <c r="F1163" s="460"/>
      <c r="G1163" s="460"/>
      <c r="H1163" s="460"/>
      <c r="I1163" s="461"/>
      <c r="J1163" s="460"/>
      <c r="K1163" s="460"/>
      <c r="L1163" s="461"/>
      <c r="M1163" s="460"/>
      <c r="N1163" s="460"/>
      <c r="O1163" s="461"/>
      <c r="P1163" s="461"/>
      <c r="Q1163" s="461"/>
      <c r="R1163" s="461"/>
    </row>
    <row r="1164" ht="12.75" customHeight="1" spans="1:18">
      <c r="A1164" s="460"/>
      <c r="B1164" s="461"/>
      <c r="C1164" s="461"/>
      <c r="D1164" s="461"/>
      <c r="E1164" s="461"/>
      <c r="F1164" s="460"/>
      <c r="G1164" s="460"/>
      <c r="H1164" s="460"/>
      <c r="I1164" s="461"/>
      <c r="J1164" s="460"/>
      <c r="K1164" s="460"/>
      <c r="L1164" s="461"/>
      <c r="M1164" s="460"/>
      <c r="N1164" s="460"/>
      <c r="O1164" s="461"/>
      <c r="P1164" s="461"/>
      <c r="Q1164" s="461"/>
      <c r="R1164" s="461"/>
    </row>
    <row r="1165" ht="12.75" customHeight="1" spans="1:18">
      <c r="A1165" s="460"/>
      <c r="B1165" s="461"/>
      <c r="C1165" s="461"/>
      <c r="D1165" s="461"/>
      <c r="E1165" s="461"/>
      <c r="F1165" s="460"/>
      <c r="G1165" s="460"/>
      <c r="H1165" s="460"/>
      <c r="I1165" s="461"/>
      <c r="J1165" s="460"/>
      <c r="K1165" s="460"/>
      <c r="L1165" s="461"/>
      <c r="M1165" s="460"/>
      <c r="N1165" s="460"/>
      <c r="O1165" s="461"/>
      <c r="P1165" s="461"/>
      <c r="Q1165" s="461"/>
      <c r="R1165" s="461"/>
    </row>
    <row r="1166" ht="12.75" customHeight="1" spans="1:18">
      <c r="A1166" s="460"/>
      <c r="B1166" s="461"/>
      <c r="C1166" s="461"/>
      <c r="D1166" s="461"/>
      <c r="E1166" s="461"/>
      <c r="F1166" s="460"/>
      <c r="G1166" s="460"/>
      <c r="H1166" s="460"/>
      <c r="I1166" s="461"/>
      <c r="J1166" s="460"/>
      <c r="K1166" s="460"/>
      <c r="L1166" s="461"/>
      <c r="M1166" s="460"/>
      <c r="N1166" s="460"/>
      <c r="O1166" s="461"/>
      <c r="P1166" s="461"/>
      <c r="Q1166" s="461"/>
      <c r="R1166" s="461"/>
    </row>
    <row r="1167" ht="12.75" customHeight="1" spans="1:18">
      <c r="A1167" s="460"/>
      <c r="B1167" s="461"/>
      <c r="C1167" s="461"/>
      <c r="D1167" s="461"/>
      <c r="E1167" s="461"/>
      <c r="F1167" s="460"/>
      <c r="G1167" s="460"/>
      <c r="H1167" s="460"/>
      <c r="I1167" s="461"/>
      <c r="J1167" s="460"/>
      <c r="K1167" s="460"/>
      <c r="L1167" s="461"/>
      <c r="M1167" s="460"/>
      <c r="N1167" s="460"/>
      <c r="O1167" s="461"/>
      <c r="P1167" s="461"/>
      <c r="Q1167" s="461"/>
      <c r="R1167" s="461"/>
    </row>
    <row r="1168" ht="12.75" customHeight="1" spans="1:18">
      <c r="A1168" s="460"/>
      <c r="B1168" s="461"/>
      <c r="C1168" s="461"/>
      <c r="D1168" s="461"/>
      <c r="E1168" s="461"/>
      <c r="F1168" s="460"/>
      <c r="G1168" s="460"/>
      <c r="H1168" s="460"/>
      <c r="I1168" s="461"/>
      <c r="J1168" s="460"/>
      <c r="K1168" s="460"/>
      <c r="L1168" s="461"/>
      <c r="M1168" s="460"/>
      <c r="N1168" s="460"/>
      <c r="O1168" s="461"/>
      <c r="P1168" s="461"/>
      <c r="Q1168" s="461"/>
      <c r="R1168" s="461"/>
    </row>
    <row r="1169" ht="12.75" customHeight="1" spans="1:18">
      <c r="A1169" s="460"/>
      <c r="B1169" s="461"/>
      <c r="C1169" s="461"/>
      <c r="D1169" s="461"/>
      <c r="E1169" s="461"/>
      <c r="F1169" s="460"/>
      <c r="G1169" s="460"/>
      <c r="H1169" s="460"/>
      <c r="I1169" s="461"/>
      <c r="J1169" s="460"/>
      <c r="K1169" s="460"/>
      <c r="L1169" s="461"/>
      <c r="M1169" s="460"/>
      <c r="N1169" s="460"/>
      <c r="O1169" s="461"/>
      <c r="P1169" s="461"/>
      <c r="Q1169" s="461"/>
      <c r="R1169" s="461"/>
    </row>
    <row r="1170" ht="12.75" customHeight="1" spans="1:18">
      <c r="A1170" s="460"/>
      <c r="B1170" s="461"/>
      <c r="C1170" s="461"/>
      <c r="D1170" s="461"/>
      <c r="E1170" s="461"/>
      <c r="F1170" s="460"/>
      <c r="G1170" s="460"/>
      <c r="H1170" s="460"/>
      <c r="I1170" s="461"/>
      <c r="J1170" s="460"/>
      <c r="K1170" s="460"/>
      <c r="L1170" s="461"/>
      <c r="M1170" s="460"/>
      <c r="N1170" s="460"/>
      <c r="O1170" s="461"/>
      <c r="P1170" s="461"/>
      <c r="Q1170" s="461"/>
      <c r="R1170" s="461"/>
    </row>
    <row r="1171" ht="12.75" customHeight="1" spans="1:18">
      <c r="A1171" s="460"/>
      <c r="B1171" s="461"/>
      <c r="C1171" s="461"/>
      <c r="D1171" s="461"/>
      <c r="E1171" s="461"/>
      <c r="F1171" s="460"/>
      <c r="G1171" s="460"/>
      <c r="H1171" s="460"/>
      <c r="I1171" s="461"/>
      <c r="J1171" s="460"/>
      <c r="K1171" s="460"/>
      <c r="L1171" s="461"/>
      <c r="M1171" s="460"/>
      <c r="N1171" s="460"/>
      <c r="O1171" s="461"/>
      <c r="P1171" s="461"/>
      <c r="Q1171" s="461"/>
      <c r="R1171" s="461"/>
    </row>
    <row r="1172" ht="12.75" customHeight="1" spans="1:18">
      <c r="A1172" s="460"/>
      <c r="B1172" s="461"/>
      <c r="C1172" s="461"/>
      <c r="D1172" s="461"/>
      <c r="E1172" s="461"/>
      <c r="F1172" s="460"/>
      <c r="G1172" s="460"/>
      <c r="H1172" s="460"/>
      <c r="I1172" s="461"/>
      <c r="J1172" s="460"/>
      <c r="K1172" s="460"/>
      <c r="L1172" s="461"/>
      <c r="M1172" s="460"/>
      <c r="N1172" s="460"/>
      <c r="O1172" s="461"/>
      <c r="P1172" s="461"/>
      <c r="Q1172" s="461"/>
      <c r="R1172" s="461"/>
    </row>
    <row r="1173" ht="12.75" customHeight="1" spans="1:18">
      <c r="A1173" s="460"/>
      <c r="B1173" s="461"/>
      <c r="C1173" s="461"/>
      <c r="D1173" s="461"/>
      <c r="E1173" s="461"/>
      <c r="F1173" s="460"/>
      <c r="G1173" s="460"/>
      <c r="H1173" s="460"/>
      <c r="I1173" s="461"/>
      <c r="J1173" s="460"/>
      <c r="K1173" s="460"/>
      <c r="L1173" s="461"/>
      <c r="M1173" s="460"/>
      <c r="N1173" s="460"/>
      <c r="O1173" s="461"/>
      <c r="P1173" s="461"/>
      <c r="Q1173" s="461"/>
      <c r="R1173" s="461"/>
    </row>
    <row r="1174" ht="12.75" customHeight="1" spans="1:18">
      <c r="A1174" s="460"/>
      <c r="B1174" s="461"/>
      <c r="C1174" s="461"/>
      <c r="D1174" s="461"/>
      <c r="E1174" s="461"/>
      <c r="F1174" s="460"/>
      <c r="G1174" s="460"/>
      <c r="H1174" s="460"/>
      <c r="I1174" s="461"/>
      <c r="J1174" s="460"/>
      <c r="K1174" s="460"/>
      <c r="L1174" s="461"/>
      <c r="M1174" s="460"/>
      <c r="N1174" s="460"/>
      <c r="O1174" s="461"/>
      <c r="P1174" s="461"/>
      <c r="Q1174" s="461"/>
      <c r="R1174" s="461"/>
    </row>
    <row r="1175" ht="12.75" customHeight="1" spans="1:18">
      <c r="A1175" s="460"/>
      <c r="B1175" s="461"/>
      <c r="C1175" s="461"/>
      <c r="D1175" s="461"/>
      <c r="E1175" s="461"/>
      <c r="F1175" s="460"/>
      <c r="G1175" s="460"/>
      <c r="H1175" s="460"/>
      <c r="I1175" s="461"/>
      <c r="J1175" s="460"/>
      <c r="K1175" s="460"/>
      <c r="L1175" s="461"/>
      <c r="M1175" s="460"/>
      <c r="N1175" s="460"/>
      <c r="O1175" s="461"/>
      <c r="P1175" s="461"/>
      <c r="Q1175" s="461"/>
      <c r="R1175" s="461"/>
    </row>
    <row r="1176" ht="12.75" customHeight="1" spans="1:18">
      <c r="A1176" s="460"/>
      <c r="B1176" s="461"/>
      <c r="C1176" s="461"/>
      <c r="D1176" s="461"/>
      <c r="E1176" s="461"/>
      <c r="F1176" s="460"/>
      <c r="G1176" s="460"/>
      <c r="H1176" s="460"/>
      <c r="I1176" s="461"/>
      <c r="J1176" s="460"/>
      <c r="K1176" s="460"/>
      <c r="L1176" s="461"/>
      <c r="M1176" s="460"/>
      <c r="N1176" s="460"/>
      <c r="O1176" s="461"/>
      <c r="P1176" s="461"/>
      <c r="Q1176" s="461"/>
      <c r="R1176" s="461"/>
    </row>
    <row r="1177" ht="12.75" customHeight="1" spans="1:18">
      <c r="A1177" s="460"/>
      <c r="B1177" s="461"/>
      <c r="C1177" s="461"/>
      <c r="D1177" s="461"/>
      <c r="E1177" s="461"/>
      <c r="F1177" s="460"/>
      <c r="G1177" s="460"/>
      <c r="H1177" s="460"/>
      <c r="I1177" s="461"/>
      <c r="J1177" s="460"/>
      <c r="K1177" s="460"/>
      <c r="L1177" s="461"/>
      <c r="M1177" s="460"/>
      <c r="N1177" s="460"/>
      <c r="O1177" s="461"/>
      <c r="P1177" s="461"/>
      <c r="Q1177" s="461"/>
      <c r="R1177" s="461"/>
    </row>
    <row r="1178" ht="12.75" customHeight="1" spans="1:18">
      <c r="A1178" s="460"/>
      <c r="B1178" s="461"/>
      <c r="C1178" s="461"/>
      <c r="D1178" s="461"/>
      <c r="E1178" s="461"/>
      <c r="F1178" s="460"/>
      <c r="G1178" s="460"/>
      <c r="H1178" s="460"/>
      <c r="I1178" s="461"/>
      <c r="J1178" s="460"/>
      <c r="K1178" s="460"/>
      <c r="L1178" s="461"/>
      <c r="M1178" s="460"/>
      <c r="N1178" s="460"/>
      <c r="O1178" s="461"/>
      <c r="P1178" s="461"/>
      <c r="Q1178" s="461"/>
      <c r="R1178" s="461"/>
    </row>
    <row r="1179" ht="12.75" customHeight="1" spans="1:18">
      <c r="A1179" s="460"/>
      <c r="B1179" s="461"/>
      <c r="C1179" s="461"/>
      <c r="D1179" s="461"/>
      <c r="E1179" s="461"/>
      <c r="F1179" s="460"/>
      <c r="G1179" s="460"/>
      <c r="H1179" s="460"/>
      <c r="I1179" s="461"/>
      <c r="J1179" s="460"/>
      <c r="K1179" s="460"/>
      <c r="L1179" s="461"/>
      <c r="M1179" s="460"/>
      <c r="N1179" s="460"/>
      <c r="O1179" s="461"/>
      <c r="P1179" s="461"/>
      <c r="Q1179" s="461"/>
      <c r="R1179" s="461"/>
    </row>
    <row r="1180" ht="12.75" customHeight="1" spans="1:18">
      <c r="A1180" s="460"/>
      <c r="B1180" s="461"/>
      <c r="C1180" s="461"/>
      <c r="D1180" s="461"/>
      <c r="E1180" s="461"/>
      <c r="F1180" s="460"/>
      <c r="G1180" s="460"/>
      <c r="H1180" s="460"/>
      <c r="I1180" s="461"/>
      <c r="J1180" s="460"/>
      <c r="K1180" s="460"/>
      <c r="L1180" s="461"/>
      <c r="M1180" s="460"/>
      <c r="N1180" s="460"/>
      <c r="O1180" s="461"/>
      <c r="P1180" s="461"/>
      <c r="Q1180" s="461"/>
      <c r="R1180" s="461"/>
    </row>
    <row r="1181" ht="12.75" customHeight="1" spans="1:18">
      <c r="A1181" s="460"/>
      <c r="B1181" s="461"/>
      <c r="C1181" s="461"/>
      <c r="D1181" s="461"/>
      <c r="E1181" s="461"/>
      <c r="F1181" s="460"/>
      <c r="G1181" s="460"/>
      <c r="H1181" s="460"/>
      <c r="I1181" s="461"/>
      <c r="J1181" s="460"/>
      <c r="K1181" s="460"/>
      <c r="L1181" s="461"/>
      <c r="M1181" s="460"/>
      <c r="N1181" s="460"/>
      <c r="O1181" s="461"/>
      <c r="P1181" s="461"/>
      <c r="Q1181" s="461"/>
      <c r="R1181" s="461"/>
    </row>
    <row r="1182" ht="12.75" customHeight="1" spans="1:18">
      <c r="A1182" s="460"/>
      <c r="B1182" s="461"/>
      <c r="C1182" s="461"/>
      <c r="D1182" s="461"/>
      <c r="E1182" s="461"/>
      <c r="F1182" s="460"/>
      <c r="G1182" s="460"/>
      <c r="H1182" s="460"/>
      <c r="I1182" s="461"/>
      <c r="J1182" s="460"/>
      <c r="K1182" s="460"/>
      <c r="L1182" s="461"/>
      <c r="M1182" s="460"/>
      <c r="N1182" s="460"/>
      <c r="O1182" s="461"/>
      <c r="P1182" s="461"/>
      <c r="Q1182" s="461"/>
      <c r="R1182" s="461"/>
    </row>
    <row r="1183" ht="12.75" customHeight="1" spans="1:18">
      <c r="A1183" s="460"/>
      <c r="B1183" s="461"/>
      <c r="C1183" s="461"/>
      <c r="D1183" s="461"/>
      <c r="E1183" s="461"/>
      <c r="F1183" s="460"/>
      <c r="G1183" s="460"/>
      <c r="H1183" s="460"/>
      <c r="I1183" s="461"/>
      <c r="J1183" s="460"/>
      <c r="K1183" s="460"/>
      <c r="L1183" s="461"/>
      <c r="M1183" s="460"/>
      <c r="N1183" s="460"/>
      <c r="O1183" s="461"/>
      <c r="P1183" s="461"/>
      <c r="Q1183" s="461"/>
      <c r="R1183" s="461"/>
    </row>
    <row r="1184" ht="12.75" customHeight="1" spans="1:18">
      <c r="A1184" s="460"/>
      <c r="B1184" s="461"/>
      <c r="C1184" s="461"/>
      <c r="D1184" s="461"/>
      <c r="E1184" s="461"/>
      <c r="F1184" s="460"/>
      <c r="G1184" s="460"/>
      <c r="H1184" s="460"/>
      <c r="I1184" s="461"/>
      <c r="J1184" s="460"/>
      <c r="K1184" s="460"/>
      <c r="L1184" s="461"/>
      <c r="M1184" s="460"/>
      <c r="N1184" s="460"/>
      <c r="O1184" s="461"/>
      <c r="P1184" s="461"/>
      <c r="Q1184" s="461"/>
      <c r="R1184" s="461"/>
    </row>
    <row r="1185" ht="12.75" customHeight="1" spans="1:18">
      <c r="A1185" s="460"/>
      <c r="B1185" s="461"/>
      <c r="C1185" s="461"/>
      <c r="D1185" s="461"/>
      <c r="E1185" s="461"/>
      <c r="F1185" s="460"/>
      <c r="G1185" s="460"/>
      <c r="H1185" s="460"/>
      <c r="I1185" s="461"/>
      <c r="J1185" s="460"/>
      <c r="K1185" s="460"/>
      <c r="L1185" s="461"/>
      <c r="M1185" s="460"/>
      <c r="N1185" s="460"/>
      <c r="O1185" s="461"/>
      <c r="P1185" s="461"/>
      <c r="Q1185" s="461"/>
      <c r="R1185" s="461"/>
    </row>
    <row r="1186" ht="12.75" customHeight="1" spans="1:18">
      <c r="A1186" s="460"/>
      <c r="B1186" s="461"/>
      <c r="C1186" s="461"/>
      <c r="D1186" s="461"/>
      <c r="E1186" s="461"/>
      <c r="F1186" s="460"/>
      <c r="G1186" s="460"/>
      <c r="H1186" s="460"/>
      <c r="I1186" s="461"/>
      <c r="J1186" s="460"/>
      <c r="K1186" s="460"/>
      <c r="L1186" s="461"/>
      <c r="M1186" s="460"/>
      <c r="N1186" s="460"/>
      <c r="O1186" s="461"/>
      <c r="P1186" s="461"/>
      <c r="Q1186" s="461"/>
      <c r="R1186" s="461"/>
    </row>
    <row r="1187" ht="12.75" customHeight="1" spans="1:18">
      <c r="A1187" s="460"/>
      <c r="B1187" s="461"/>
      <c r="C1187" s="461"/>
      <c r="D1187" s="461"/>
      <c r="E1187" s="461"/>
      <c r="F1187" s="460"/>
      <c r="G1187" s="460"/>
      <c r="H1187" s="460"/>
      <c r="I1187" s="461"/>
      <c r="J1187" s="460"/>
      <c r="K1187" s="460"/>
      <c r="L1187" s="461"/>
      <c r="M1187" s="460"/>
      <c r="N1187" s="460"/>
      <c r="O1187" s="461"/>
      <c r="P1187" s="461"/>
      <c r="Q1187" s="461"/>
      <c r="R1187" s="461"/>
    </row>
    <row r="1188" ht="12.75" customHeight="1" spans="1:18">
      <c r="A1188" s="460"/>
      <c r="B1188" s="461"/>
      <c r="C1188" s="461"/>
      <c r="D1188" s="461"/>
      <c r="E1188" s="461"/>
      <c r="F1188" s="460"/>
      <c r="G1188" s="460"/>
      <c r="H1188" s="460"/>
      <c r="I1188" s="461"/>
      <c r="J1188" s="460"/>
      <c r="K1188" s="460"/>
      <c r="L1188" s="461"/>
      <c r="M1188" s="460"/>
      <c r="N1188" s="460"/>
      <c r="O1188" s="461"/>
      <c r="P1188" s="461"/>
      <c r="Q1188" s="461"/>
      <c r="R1188" s="461"/>
    </row>
    <row r="1189" ht="12.75" customHeight="1" spans="1:18">
      <c r="A1189" s="460"/>
      <c r="B1189" s="461"/>
      <c r="C1189" s="461"/>
      <c r="D1189" s="461"/>
      <c r="E1189" s="461"/>
      <c r="F1189" s="460"/>
      <c r="G1189" s="460"/>
      <c r="H1189" s="460"/>
      <c r="I1189" s="461"/>
      <c r="J1189" s="460"/>
      <c r="K1189" s="460"/>
      <c r="L1189" s="461"/>
      <c r="M1189" s="460"/>
      <c r="N1189" s="460"/>
      <c r="O1189" s="461"/>
      <c r="P1189" s="461"/>
      <c r="Q1189" s="461"/>
      <c r="R1189" s="461"/>
    </row>
    <row r="1190" ht="12.75" customHeight="1" spans="1:18">
      <c r="A1190" s="460"/>
      <c r="B1190" s="461"/>
      <c r="C1190" s="461"/>
      <c r="D1190" s="461"/>
      <c r="E1190" s="461"/>
      <c r="F1190" s="460"/>
      <c r="G1190" s="460"/>
      <c r="H1190" s="460"/>
      <c r="I1190" s="461"/>
      <c r="J1190" s="460"/>
      <c r="K1190" s="460"/>
      <c r="L1190" s="461"/>
      <c r="M1190" s="460"/>
      <c r="N1190" s="460"/>
      <c r="O1190" s="461"/>
      <c r="P1190" s="461"/>
      <c r="Q1190" s="461"/>
      <c r="R1190" s="461"/>
    </row>
    <row r="1191" ht="12.75" customHeight="1" spans="1:18">
      <c r="A1191" s="460"/>
      <c r="B1191" s="461"/>
      <c r="C1191" s="461"/>
      <c r="D1191" s="461"/>
      <c r="E1191" s="461"/>
      <c r="F1191" s="460"/>
      <c r="G1191" s="460"/>
      <c r="H1191" s="460"/>
      <c r="I1191" s="461"/>
      <c r="J1191" s="460"/>
      <c r="K1191" s="460"/>
      <c r="L1191" s="461"/>
      <c r="M1191" s="460"/>
      <c r="N1191" s="460"/>
      <c r="O1191" s="461"/>
      <c r="P1191" s="461"/>
      <c r="Q1191" s="461"/>
      <c r="R1191" s="461"/>
    </row>
    <row r="1192" ht="12.75" customHeight="1" spans="1:18">
      <c r="A1192" s="460"/>
      <c r="B1192" s="461"/>
      <c r="C1192" s="461"/>
      <c r="D1192" s="461"/>
      <c r="E1192" s="461"/>
      <c r="F1192" s="460"/>
      <c r="G1192" s="460"/>
      <c r="H1192" s="460"/>
      <c r="I1192" s="461"/>
      <c r="J1192" s="460"/>
      <c r="K1192" s="460"/>
      <c r="L1192" s="461"/>
      <c r="M1192" s="460"/>
      <c r="N1192" s="460"/>
      <c r="O1192" s="461"/>
      <c r="P1192" s="461"/>
      <c r="Q1192" s="461"/>
      <c r="R1192" s="461"/>
    </row>
    <row r="1193" ht="12.75" customHeight="1" spans="1:18">
      <c r="A1193" s="460"/>
      <c r="B1193" s="461"/>
      <c r="C1193" s="461"/>
      <c r="D1193" s="461"/>
      <c r="E1193" s="461"/>
      <c r="F1193" s="460"/>
      <c r="G1193" s="460"/>
      <c r="H1193" s="460"/>
      <c r="I1193" s="461"/>
      <c r="J1193" s="460"/>
      <c r="K1193" s="460"/>
      <c r="L1193" s="461"/>
      <c r="M1193" s="460"/>
      <c r="N1193" s="460"/>
      <c r="O1193" s="461"/>
      <c r="P1193" s="461"/>
      <c r="Q1193" s="461"/>
      <c r="R1193" s="461"/>
    </row>
    <row r="1194" ht="12.75" customHeight="1" spans="1:18">
      <c r="A1194" s="460"/>
      <c r="B1194" s="461"/>
      <c r="C1194" s="461"/>
      <c r="D1194" s="461"/>
      <c r="E1194" s="461"/>
      <c r="F1194" s="460"/>
      <c r="G1194" s="460"/>
      <c r="H1194" s="460"/>
      <c r="I1194" s="461"/>
      <c r="J1194" s="460"/>
      <c r="K1194" s="460"/>
      <c r="L1194" s="461"/>
      <c r="M1194" s="460"/>
      <c r="N1194" s="460"/>
      <c r="O1194" s="461"/>
      <c r="P1194" s="461"/>
      <c r="Q1194" s="461"/>
      <c r="R1194" s="461"/>
    </row>
    <row r="1195" ht="12.75" customHeight="1" spans="1:18">
      <c r="A1195" s="460"/>
      <c r="B1195" s="461"/>
      <c r="C1195" s="461"/>
      <c r="D1195" s="461"/>
      <c r="E1195" s="461"/>
      <c r="F1195" s="460"/>
      <c r="G1195" s="460"/>
      <c r="H1195" s="460"/>
      <c r="I1195" s="461"/>
      <c r="J1195" s="460"/>
      <c r="K1195" s="460"/>
      <c r="L1195" s="461"/>
      <c r="M1195" s="460"/>
      <c r="N1195" s="460"/>
      <c r="O1195" s="461"/>
      <c r="P1195" s="461"/>
      <c r="Q1195" s="461"/>
      <c r="R1195" s="461"/>
    </row>
    <row r="1196" ht="12.75" customHeight="1" spans="1:18">
      <c r="A1196" s="460"/>
      <c r="B1196" s="461"/>
      <c r="C1196" s="461"/>
      <c r="D1196" s="461"/>
      <c r="E1196" s="461"/>
      <c r="F1196" s="460"/>
      <c r="G1196" s="460"/>
      <c r="H1196" s="460"/>
      <c r="I1196" s="461"/>
      <c r="J1196" s="460"/>
      <c r="K1196" s="460"/>
      <c r="L1196" s="461"/>
      <c r="M1196" s="460"/>
      <c r="N1196" s="460"/>
      <c r="O1196" s="461"/>
      <c r="P1196" s="461"/>
      <c r="Q1196" s="461"/>
      <c r="R1196" s="461"/>
    </row>
    <row r="1197" ht="12.75" customHeight="1" spans="1:18">
      <c r="A1197" s="460"/>
      <c r="B1197" s="461"/>
      <c r="C1197" s="461"/>
      <c r="D1197" s="461"/>
      <c r="E1197" s="461"/>
      <c r="F1197" s="460"/>
      <c r="G1197" s="460"/>
      <c r="H1197" s="460"/>
      <c r="I1197" s="461"/>
      <c r="J1197" s="460"/>
      <c r="K1197" s="460"/>
      <c r="L1197" s="461"/>
      <c r="M1197" s="460"/>
      <c r="N1197" s="460"/>
      <c r="O1197" s="461"/>
      <c r="P1197" s="461"/>
      <c r="Q1197" s="461"/>
      <c r="R1197" s="461"/>
    </row>
    <row r="1198" ht="12.75" customHeight="1" spans="1:18">
      <c r="A1198" s="460"/>
      <c r="B1198" s="461"/>
      <c r="C1198" s="461"/>
      <c r="D1198" s="461"/>
      <c r="E1198" s="461"/>
      <c r="F1198" s="460"/>
      <c r="G1198" s="460"/>
      <c r="H1198" s="460"/>
      <c r="I1198" s="461"/>
      <c r="J1198" s="460"/>
      <c r="K1198" s="460"/>
      <c r="L1198" s="461"/>
      <c r="M1198" s="460"/>
      <c r="N1198" s="460"/>
      <c r="O1198" s="461"/>
      <c r="P1198" s="461"/>
      <c r="Q1198" s="461"/>
      <c r="R1198" s="461"/>
    </row>
    <row r="1199" ht="12.75" customHeight="1" spans="1:18">
      <c r="A1199" s="460"/>
      <c r="B1199" s="461"/>
      <c r="C1199" s="461"/>
      <c r="D1199" s="461"/>
      <c r="E1199" s="461"/>
      <c r="F1199" s="460"/>
      <c r="G1199" s="460"/>
      <c r="H1199" s="460"/>
      <c r="I1199" s="461"/>
      <c r="J1199" s="460"/>
      <c r="K1199" s="460"/>
      <c r="L1199" s="461"/>
      <c r="M1199" s="460"/>
      <c r="N1199" s="460"/>
      <c r="O1199" s="461"/>
      <c r="P1199" s="461"/>
      <c r="Q1199" s="461"/>
      <c r="R1199" s="461"/>
    </row>
    <row r="1200" ht="12.75" customHeight="1" spans="1:18">
      <c r="A1200" s="460"/>
      <c r="B1200" s="461"/>
      <c r="C1200" s="461"/>
      <c r="D1200" s="461"/>
      <c r="E1200" s="461"/>
      <c r="F1200" s="460"/>
      <c r="G1200" s="460"/>
      <c r="H1200" s="460"/>
      <c r="I1200" s="461"/>
      <c r="J1200" s="460"/>
      <c r="K1200" s="460"/>
      <c r="L1200" s="461"/>
      <c r="M1200" s="460"/>
      <c r="N1200" s="460"/>
      <c r="O1200" s="461"/>
      <c r="P1200" s="461"/>
      <c r="Q1200" s="461"/>
      <c r="R1200" s="461"/>
    </row>
    <row r="1201" ht="12.75" customHeight="1" spans="1:18">
      <c r="A1201" s="460"/>
      <c r="B1201" s="461"/>
      <c r="C1201" s="461"/>
      <c r="D1201" s="461"/>
      <c r="E1201" s="461"/>
      <c r="F1201" s="460"/>
      <c r="G1201" s="460"/>
      <c r="H1201" s="460"/>
      <c r="I1201" s="461"/>
      <c r="J1201" s="460"/>
      <c r="K1201" s="460"/>
      <c r="L1201" s="461"/>
      <c r="M1201" s="460"/>
      <c r="N1201" s="460"/>
      <c r="O1201" s="461"/>
      <c r="P1201" s="461"/>
      <c r="Q1201" s="461"/>
      <c r="R1201" s="461"/>
    </row>
    <row r="1202" ht="12.75" customHeight="1" spans="1:18">
      <c r="A1202" s="460"/>
      <c r="B1202" s="461"/>
      <c r="C1202" s="461"/>
      <c r="D1202" s="461"/>
      <c r="E1202" s="461"/>
      <c r="F1202" s="460"/>
      <c r="G1202" s="460"/>
      <c r="H1202" s="460"/>
      <c r="I1202" s="461"/>
      <c r="J1202" s="460"/>
      <c r="K1202" s="460"/>
      <c r="L1202" s="461"/>
      <c r="M1202" s="460"/>
      <c r="N1202" s="460"/>
      <c r="O1202" s="461"/>
      <c r="P1202" s="461"/>
      <c r="Q1202" s="461"/>
      <c r="R1202" s="461"/>
    </row>
    <row r="1203" ht="12.75" customHeight="1" spans="1:18">
      <c r="A1203" s="460"/>
      <c r="B1203" s="461"/>
      <c r="C1203" s="461"/>
      <c r="D1203" s="461"/>
      <c r="E1203" s="461"/>
      <c r="F1203" s="460"/>
      <c r="G1203" s="460"/>
      <c r="H1203" s="460"/>
      <c r="I1203" s="461"/>
      <c r="J1203" s="460"/>
      <c r="K1203" s="460"/>
      <c r="L1203" s="461"/>
      <c r="M1203" s="460"/>
      <c r="N1203" s="460"/>
      <c r="O1203" s="461"/>
      <c r="P1203" s="461"/>
      <c r="Q1203" s="461"/>
      <c r="R1203" s="461"/>
    </row>
    <row r="1204" ht="12.75" customHeight="1" spans="1:18">
      <c r="A1204" s="460"/>
      <c r="B1204" s="461"/>
      <c r="C1204" s="461"/>
      <c r="D1204" s="461"/>
      <c r="E1204" s="461"/>
      <c r="F1204" s="460"/>
      <c r="G1204" s="460"/>
      <c r="H1204" s="460"/>
      <c r="I1204" s="461"/>
      <c r="J1204" s="460"/>
      <c r="K1204" s="460"/>
      <c r="L1204" s="461"/>
      <c r="M1204" s="460"/>
      <c r="N1204" s="460"/>
      <c r="O1204" s="461"/>
      <c r="P1204" s="461"/>
      <c r="Q1204" s="461"/>
      <c r="R1204" s="461"/>
    </row>
    <row r="1205" ht="12.75" customHeight="1" spans="1:18">
      <c r="A1205" s="460"/>
      <c r="B1205" s="461"/>
      <c r="C1205" s="461"/>
      <c r="D1205" s="461"/>
      <c r="E1205" s="461"/>
      <c r="F1205" s="460"/>
      <c r="G1205" s="460"/>
      <c r="H1205" s="460"/>
      <c r="I1205" s="461"/>
      <c r="J1205" s="460"/>
      <c r="K1205" s="460"/>
      <c r="L1205" s="461"/>
      <c r="M1205" s="460"/>
      <c r="N1205" s="460"/>
      <c r="O1205" s="461"/>
      <c r="P1205" s="461"/>
      <c r="Q1205" s="461"/>
      <c r="R1205" s="461"/>
    </row>
    <row r="1206" ht="12.75" customHeight="1" spans="1:18">
      <c r="A1206" s="460"/>
      <c r="B1206" s="461"/>
      <c r="C1206" s="461"/>
      <c r="D1206" s="461"/>
      <c r="E1206" s="461"/>
      <c r="F1206" s="460"/>
      <c r="G1206" s="460"/>
      <c r="H1206" s="460"/>
      <c r="I1206" s="461"/>
      <c r="J1206" s="460"/>
      <c r="K1206" s="460"/>
      <c r="L1206" s="461"/>
      <c r="M1206" s="460"/>
      <c r="N1206" s="460"/>
      <c r="O1206" s="461"/>
      <c r="P1206" s="461"/>
      <c r="Q1206" s="461"/>
      <c r="R1206" s="461"/>
    </row>
    <row r="1207" ht="12.75" customHeight="1" spans="1:18">
      <c r="A1207" s="460"/>
      <c r="B1207" s="461"/>
      <c r="C1207" s="461"/>
      <c r="D1207" s="461"/>
      <c r="E1207" s="461"/>
      <c r="F1207" s="460"/>
      <c r="G1207" s="460"/>
      <c r="H1207" s="460"/>
      <c r="I1207" s="461"/>
      <c r="J1207" s="460"/>
      <c r="K1207" s="460"/>
      <c r="L1207" s="461"/>
      <c r="M1207" s="460"/>
      <c r="N1207" s="460"/>
      <c r="O1207" s="461"/>
      <c r="P1207" s="461"/>
      <c r="Q1207" s="461"/>
      <c r="R1207" s="461"/>
    </row>
    <row r="1208" ht="12.75" customHeight="1" spans="1:18">
      <c r="A1208" s="460"/>
      <c r="B1208" s="461"/>
      <c r="C1208" s="461"/>
      <c r="D1208" s="461"/>
      <c r="E1208" s="461"/>
      <c r="F1208" s="460"/>
      <c r="G1208" s="460"/>
      <c r="H1208" s="460"/>
      <c r="I1208" s="461"/>
      <c r="J1208" s="460"/>
      <c r="K1208" s="460"/>
      <c r="L1208" s="461"/>
      <c r="M1208" s="460"/>
      <c r="N1208" s="460"/>
      <c r="O1208" s="461"/>
      <c r="P1208" s="461"/>
      <c r="Q1208" s="461"/>
      <c r="R1208" s="461"/>
    </row>
    <row r="1209" ht="12.75" customHeight="1" spans="1:18">
      <c r="A1209" s="460"/>
      <c r="B1209" s="461"/>
      <c r="C1209" s="461"/>
      <c r="D1209" s="461"/>
      <c r="E1209" s="461"/>
      <c r="F1209" s="460"/>
      <c r="G1209" s="460"/>
      <c r="H1209" s="460"/>
      <c r="I1209" s="461"/>
      <c r="J1209" s="460"/>
      <c r="K1209" s="460"/>
      <c r="L1209" s="461"/>
      <c r="M1209" s="460"/>
      <c r="N1209" s="460"/>
      <c r="O1209" s="461"/>
      <c r="P1209" s="461"/>
      <c r="Q1209" s="461"/>
      <c r="R1209" s="461"/>
    </row>
    <row r="1210" ht="12.75" customHeight="1" spans="1:18">
      <c r="A1210" s="460"/>
      <c r="B1210" s="461"/>
      <c r="C1210" s="461"/>
      <c r="D1210" s="461"/>
      <c r="E1210" s="461"/>
      <c r="F1210" s="460"/>
      <c r="G1210" s="460"/>
      <c r="H1210" s="460"/>
      <c r="I1210" s="461"/>
      <c r="J1210" s="460"/>
      <c r="K1210" s="460"/>
      <c r="L1210" s="461"/>
      <c r="M1210" s="460"/>
      <c r="N1210" s="460"/>
      <c r="O1210" s="461"/>
      <c r="P1210" s="461"/>
      <c r="Q1210" s="461"/>
      <c r="R1210" s="461"/>
    </row>
    <row r="1211" ht="12.75" customHeight="1" spans="1:18">
      <c r="A1211" s="460"/>
      <c r="B1211" s="461"/>
      <c r="C1211" s="461"/>
      <c r="D1211" s="461"/>
      <c r="E1211" s="461"/>
      <c r="F1211" s="460"/>
      <c r="G1211" s="460"/>
      <c r="H1211" s="460"/>
      <c r="I1211" s="461"/>
      <c r="J1211" s="460"/>
      <c r="K1211" s="460"/>
      <c r="L1211" s="461"/>
      <c r="M1211" s="460"/>
      <c r="N1211" s="460"/>
      <c r="O1211" s="461"/>
      <c r="P1211" s="461"/>
      <c r="Q1211" s="461"/>
      <c r="R1211" s="461"/>
    </row>
    <row r="1212" ht="12.75" customHeight="1" spans="1:18">
      <c r="A1212" s="460"/>
      <c r="B1212" s="461"/>
      <c r="C1212" s="461"/>
      <c r="D1212" s="461"/>
      <c r="E1212" s="461"/>
      <c r="F1212" s="460"/>
      <c r="G1212" s="460"/>
      <c r="H1212" s="460"/>
      <c r="I1212" s="461"/>
      <c r="J1212" s="460"/>
      <c r="K1212" s="460"/>
      <c r="L1212" s="461"/>
      <c r="M1212" s="460"/>
      <c r="N1212" s="460"/>
      <c r="O1212" s="461"/>
      <c r="P1212" s="461"/>
      <c r="Q1212" s="461"/>
      <c r="R1212" s="461"/>
    </row>
    <row r="1213" ht="12.75" customHeight="1" spans="1:18">
      <c r="A1213" s="460"/>
      <c r="B1213" s="461"/>
      <c r="C1213" s="461"/>
      <c r="D1213" s="461"/>
      <c r="E1213" s="461"/>
      <c r="F1213" s="460"/>
      <c r="G1213" s="460"/>
      <c r="H1213" s="460"/>
      <c r="I1213" s="461"/>
      <c r="J1213" s="460"/>
      <c r="K1213" s="460"/>
      <c r="L1213" s="461"/>
      <c r="M1213" s="460"/>
      <c r="N1213" s="460"/>
      <c r="O1213" s="461"/>
      <c r="P1213" s="461"/>
      <c r="Q1213" s="461"/>
      <c r="R1213" s="461"/>
    </row>
    <row r="1214" ht="12.75" customHeight="1" spans="1:18">
      <c r="A1214" s="460"/>
      <c r="B1214" s="461"/>
      <c r="C1214" s="461"/>
      <c r="D1214" s="461"/>
      <c r="E1214" s="461"/>
      <c r="F1214" s="460"/>
      <c r="G1214" s="460"/>
      <c r="H1214" s="460"/>
      <c r="I1214" s="461"/>
      <c r="J1214" s="460"/>
      <c r="K1214" s="460"/>
      <c r="L1214" s="461"/>
      <c r="M1214" s="460"/>
      <c r="N1214" s="460"/>
      <c r="O1214" s="461"/>
      <c r="P1214" s="461"/>
      <c r="Q1214" s="461"/>
      <c r="R1214" s="461"/>
    </row>
    <row r="1215" ht="12.75" customHeight="1" spans="1:18">
      <c r="A1215" s="460"/>
      <c r="B1215" s="461"/>
      <c r="C1215" s="461"/>
      <c r="D1215" s="461"/>
      <c r="E1215" s="461"/>
      <c r="F1215" s="460"/>
      <c r="G1215" s="460"/>
      <c r="H1215" s="460"/>
      <c r="I1215" s="461"/>
      <c r="J1215" s="460"/>
      <c r="K1215" s="460"/>
      <c r="L1215" s="461"/>
      <c r="M1215" s="460"/>
      <c r="N1215" s="460"/>
      <c r="O1215" s="461"/>
      <c r="P1215" s="461"/>
      <c r="Q1215" s="461"/>
      <c r="R1215" s="461"/>
    </row>
    <row r="1216" ht="12.75" customHeight="1" spans="1:18">
      <c r="A1216" s="460"/>
      <c r="B1216" s="461"/>
      <c r="C1216" s="461"/>
      <c r="D1216" s="461"/>
      <c r="E1216" s="461"/>
      <c r="F1216" s="460"/>
      <c r="G1216" s="460"/>
      <c r="H1216" s="460"/>
      <c r="I1216" s="461"/>
      <c r="J1216" s="460"/>
      <c r="K1216" s="460"/>
      <c r="L1216" s="461"/>
      <c r="M1216" s="460"/>
      <c r="N1216" s="460"/>
      <c r="O1216" s="461"/>
      <c r="P1216" s="461"/>
      <c r="Q1216" s="461"/>
      <c r="R1216" s="461"/>
    </row>
    <row r="1217" ht="12.75" customHeight="1" spans="1:18">
      <c r="A1217" s="460"/>
      <c r="B1217" s="461"/>
      <c r="C1217" s="461"/>
      <c r="D1217" s="461"/>
      <c r="E1217" s="461"/>
      <c r="F1217" s="460"/>
      <c r="G1217" s="460"/>
      <c r="H1217" s="460"/>
      <c r="I1217" s="461"/>
      <c r="J1217" s="460"/>
      <c r="K1217" s="460"/>
      <c r="L1217" s="461"/>
      <c r="M1217" s="460"/>
      <c r="N1217" s="460"/>
      <c r="O1217" s="461"/>
      <c r="P1217" s="461"/>
      <c r="Q1217" s="461"/>
      <c r="R1217" s="461"/>
    </row>
    <row r="1218" ht="12.75" customHeight="1" spans="1:18">
      <c r="A1218" s="460"/>
      <c r="B1218" s="461"/>
      <c r="C1218" s="461"/>
      <c r="D1218" s="461"/>
      <c r="E1218" s="461"/>
      <c r="F1218" s="460"/>
      <c r="G1218" s="460"/>
      <c r="H1218" s="460"/>
      <c r="I1218" s="461"/>
      <c r="J1218" s="460"/>
      <c r="K1218" s="460"/>
      <c r="L1218" s="461"/>
      <c r="M1218" s="460"/>
      <c r="N1218" s="460"/>
      <c r="O1218" s="461"/>
      <c r="P1218" s="461"/>
      <c r="Q1218" s="461"/>
      <c r="R1218" s="461"/>
    </row>
    <row r="1219" ht="12.75" customHeight="1" spans="1:18">
      <c r="A1219" s="460"/>
      <c r="B1219" s="461"/>
      <c r="C1219" s="461"/>
      <c r="D1219" s="461"/>
      <c r="E1219" s="461"/>
      <c r="F1219" s="460"/>
      <c r="G1219" s="460"/>
      <c r="H1219" s="460"/>
      <c r="I1219" s="461"/>
      <c r="J1219" s="460"/>
      <c r="K1219" s="460"/>
      <c r="L1219" s="461"/>
      <c r="M1219" s="460"/>
      <c r="N1219" s="460"/>
      <c r="O1219" s="461"/>
      <c r="P1219" s="461"/>
      <c r="Q1219" s="461"/>
      <c r="R1219" s="461"/>
    </row>
    <row r="1220" ht="12.75" customHeight="1" spans="1:18">
      <c r="A1220" s="460"/>
      <c r="B1220" s="461"/>
      <c r="C1220" s="461"/>
      <c r="D1220" s="461"/>
      <c r="E1220" s="461"/>
      <c r="F1220" s="460"/>
      <c r="G1220" s="460"/>
      <c r="H1220" s="460"/>
      <c r="I1220" s="461"/>
      <c r="J1220" s="460"/>
      <c r="K1220" s="460"/>
      <c r="L1220" s="461"/>
      <c r="M1220" s="460"/>
      <c r="N1220" s="460"/>
      <c r="O1220" s="461"/>
      <c r="P1220" s="461"/>
      <c r="Q1220" s="461"/>
      <c r="R1220" s="461"/>
    </row>
    <row r="1221" ht="12.75" customHeight="1" spans="1:18">
      <c r="A1221" s="460"/>
      <c r="B1221" s="461"/>
      <c r="C1221" s="461"/>
      <c r="D1221" s="461"/>
      <c r="E1221" s="461"/>
      <c r="F1221" s="460"/>
      <c r="G1221" s="460"/>
      <c r="H1221" s="460"/>
      <c r="I1221" s="461"/>
      <c r="J1221" s="460"/>
      <c r="K1221" s="460"/>
      <c r="L1221" s="461"/>
      <c r="M1221" s="460"/>
      <c r="N1221" s="460"/>
      <c r="O1221" s="461"/>
      <c r="P1221" s="461"/>
      <c r="Q1221" s="461"/>
      <c r="R1221" s="461"/>
    </row>
    <row r="1222" ht="12.75" customHeight="1" spans="1:18">
      <c r="A1222" s="460"/>
      <c r="B1222" s="461"/>
      <c r="C1222" s="461"/>
      <c r="D1222" s="461"/>
      <c r="E1222" s="461"/>
      <c r="F1222" s="460"/>
      <c r="G1222" s="460"/>
      <c r="H1222" s="460"/>
      <c r="I1222" s="461"/>
      <c r="J1222" s="460"/>
      <c r="K1222" s="460"/>
      <c r="L1222" s="461"/>
      <c r="M1222" s="460"/>
      <c r="N1222" s="460"/>
      <c r="O1222" s="461"/>
      <c r="P1222" s="461"/>
      <c r="Q1222" s="461"/>
      <c r="R1222" s="461"/>
    </row>
    <row r="1223" ht="12.75" customHeight="1" spans="1:18">
      <c r="A1223" s="460"/>
      <c r="B1223" s="461"/>
      <c r="C1223" s="461"/>
      <c r="D1223" s="461"/>
      <c r="E1223" s="461"/>
      <c r="F1223" s="460"/>
      <c r="G1223" s="460"/>
      <c r="H1223" s="460"/>
      <c r="I1223" s="461"/>
      <c r="J1223" s="460"/>
      <c r="K1223" s="460"/>
      <c r="L1223" s="461"/>
      <c r="M1223" s="460"/>
      <c r="N1223" s="460"/>
      <c r="O1223" s="461"/>
      <c r="P1223" s="461"/>
      <c r="Q1223" s="461"/>
      <c r="R1223" s="461"/>
    </row>
    <row r="1224" ht="12.75" customHeight="1" spans="1:18">
      <c r="A1224" s="460"/>
      <c r="B1224" s="461"/>
      <c r="C1224" s="461"/>
      <c r="D1224" s="461"/>
      <c r="E1224" s="461"/>
      <c r="F1224" s="460"/>
      <c r="G1224" s="460"/>
      <c r="H1224" s="460"/>
      <c r="I1224" s="461"/>
      <c r="J1224" s="460"/>
      <c r="K1224" s="460"/>
      <c r="L1224" s="461"/>
      <c r="M1224" s="460"/>
      <c r="N1224" s="460"/>
      <c r="O1224" s="461"/>
      <c r="P1224" s="461"/>
      <c r="Q1224" s="461"/>
      <c r="R1224" s="461"/>
    </row>
    <row r="1225" ht="12.75" customHeight="1" spans="1:18">
      <c r="A1225" s="460"/>
      <c r="B1225" s="461"/>
      <c r="C1225" s="461"/>
      <c r="D1225" s="461"/>
      <c r="E1225" s="461"/>
      <c r="F1225" s="460"/>
      <c r="G1225" s="460"/>
      <c r="H1225" s="460"/>
      <c r="I1225" s="461"/>
      <c r="J1225" s="460"/>
      <c r="K1225" s="460"/>
      <c r="L1225" s="461"/>
      <c r="M1225" s="460"/>
      <c r="N1225" s="460"/>
      <c r="O1225" s="461"/>
      <c r="P1225" s="461"/>
      <c r="Q1225" s="461"/>
      <c r="R1225" s="461"/>
    </row>
    <row r="1226" ht="12.75" customHeight="1" spans="1:18">
      <c r="A1226" s="460"/>
      <c r="B1226" s="461"/>
      <c r="C1226" s="461"/>
      <c r="D1226" s="461"/>
      <c r="E1226" s="461"/>
      <c r="F1226" s="460"/>
      <c r="G1226" s="460"/>
      <c r="H1226" s="460"/>
      <c r="I1226" s="461"/>
      <c r="J1226" s="460"/>
      <c r="K1226" s="460"/>
      <c r="L1226" s="461"/>
      <c r="M1226" s="460"/>
      <c r="N1226" s="460"/>
      <c r="O1226" s="461"/>
      <c r="P1226" s="461"/>
      <c r="Q1226" s="461"/>
      <c r="R1226" s="461"/>
    </row>
    <row r="1227" ht="12.75" customHeight="1" spans="1:18">
      <c r="A1227" s="460"/>
      <c r="B1227" s="461"/>
      <c r="C1227" s="461"/>
      <c r="D1227" s="461"/>
      <c r="E1227" s="461"/>
      <c r="F1227" s="460"/>
      <c r="G1227" s="460"/>
      <c r="H1227" s="460"/>
      <c r="I1227" s="461"/>
      <c r="J1227" s="460"/>
      <c r="K1227" s="460"/>
      <c r="L1227" s="461"/>
      <c r="M1227" s="460"/>
      <c r="N1227" s="460"/>
      <c r="O1227" s="461"/>
      <c r="P1227" s="461"/>
      <c r="Q1227" s="461"/>
      <c r="R1227" s="461"/>
    </row>
    <row r="1228" ht="12.75" customHeight="1" spans="1:18">
      <c r="A1228" s="460"/>
      <c r="B1228" s="461"/>
      <c r="C1228" s="461"/>
      <c r="D1228" s="461"/>
      <c r="E1228" s="461"/>
      <c r="F1228" s="460"/>
      <c r="G1228" s="460"/>
      <c r="H1228" s="460"/>
      <c r="I1228" s="461"/>
      <c r="J1228" s="460"/>
      <c r="K1228" s="460"/>
      <c r="L1228" s="461"/>
      <c r="M1228" s="460"/>
      <c r="N1228" s="460"/>
      <c r="O1228" s="461"/>
      <c r="P1228" s="461"/>
      <c r="Q1228" s="461"/>
      <c r="R1228" s="461"/>
    </row>
    <row r="1229" ht="12.75" customHeight="1" spans="1:18">
      <c r="A1229" s="460"/>
      <c r="B1229" s="461"/>
      <c r="C1229" s="461"/>
      <c r="D1229" s="461"/>
      <c r="E1229" s="461"/>
      <c r="F1229" s="460"/>
      <c r="G1229" s="460"/>
      <c r="H1229" s="460"/>
      <c r="I1229" s="461"/>
      <c r="J1229" s="460"/>
      <c r="K1229" s="460"/>
      <c r="L1229" s="461"/>
      <c r="M1229" s="460"/>
      <c r="N1229" s="460"/>
      <c r="O1229" s="461"/>
      <c r="P1229" s="461"/>
      <c r="Q1229" s="461"/>
      <c r="R1229" s="461"/>
    </row>
    <row r="1230" ht="12.75" customHeight="1" spans="1:18">
      <c r="A1230" s="460"/>
      <c r="B1230" s="461"/>
      <c r="C1230" s="461"/>
      <c r="D1230" s="461"/>
      <c r="E1230" s="461"/>
      <c r="F1230" s="460"/>
      <c r="G1230" s="460"/>
      <c r="H1230" s="460"/>
      <c r="I1230" s="461"/>
      <c r="J1230" s="460"/>
      <c r="K1230" s="460"/>
      <c r="L1230" s="461"/>
      <c r="M1230" s="460"/>
      <c r="N1230" s="460"/>
      <c r="O1230" s="461"/>
      <c r="P1230" s="461"/>
      <c r="Q1230" s="461"/>
      <c r="R1230" s="461"/>
    </row>
    <row r="1231" ht="12.75" customHeight="1" spans="1:18">
      <c r="A1231" s="460"/>
      <c r="B1231" s="461"/>
      <c r="C1231" s="461"/>
      <c r="D1231" s="461"/>
      <c r="E1231" s="461"/>
      <c r="F1231" s="460"/>
      <c r="G1231" s="460"/>
      <c r="H1231" s="460"/>
      <c r="I1231" s="461"/>
      <c r="J1231" s="460"/>
      <c r="K1231" s="460"/>
      <c r="L1231" s="461"/>
      <c r="M1231" s="460"/>
      <c r="N1231" s="460"/>
      <c r="O1231" s="461"/>
      <c r="P1231" s="461"/>
      <c r="Q1231" s="461"/>
      <c r="R1231" s="461"/>
    </row>
    <row r="1232" ht="12.75" customHeight="1" spans="1:18">
      <c r="A1232" s="460"/>
      <c r="B1232" s="461"/>
      <c r="C1232" s="461"/>
      <c r="D1232" s="461"/>
      <c r="E1232" s="461"/>
      <c r="F1232" s="460"/>
      <c r="G1232" s="460"/>
      <c r="H1232" s="460"/>
      <c r="I1232" s="461"/>
      <c r="J1232" s="460"/>
      <c r="K1232" s="460"/>
      <c r="L1232" s="461"/>
      <c r="M1232" s="460"/>
      <c r="N1232" s="460"/>
      <c r="O1232" s="461"/>
      <c r="P1232" s="461"/>
      <c r="Q1232" s="461"/>
      <c r="R1232" s="461"/>
    </row>
    <row r="1233" ht="12.75" customHeight="1" spans="1:18">
      <c r="A1233" s="460"/>
      <c r="B1233" s="461"/>
      <c r="C1233" s="461"/>
      <c r="D1233" s="461"/>
      <c r="E1233" s="461"/>
      <c r="F1233" s="460"/>
      <c r="G1233" s="460"/>
      <c r="H1233" s="460"/>
      <c r="I1233" s="461"/>
      <c r="J1233" s="460"/>
      <c r="K1233" s="460"/>
      <c r="L1233" s="461"/>
      <c r="M1233" s="460"/>
      <c r="N1233" s="460"/>
      <c r="O1233" s="461"/>
      <c r="P1233" s="461"/>
      <c r="Q1233" s="461"/>
      <c r="R1233" s="461"/>
    </row>
    <row r="1234" ht="12.75" customHeight="1" spans="1:18">
      <c r="A1234" s="460"/>
      <c r="B1234" s="461"/>
      <c r="C1234" s="461"/>
      <c r="D1234" s="461"/>
      <c r="E1234" s="461"/>
      <c r="F1234" s="460"/>
      <c r="G1234" s="460"/>
      <c r="H1234" s="460"/>
      <c r="I1234" s="461"/>
      <c r="J1234" s="460"/>
      <c r="K1234" s="460"/>
      <c r="L1234" s="461"/>
      <c r="M1234" s="460"/>
      <c r="N1234" s="460"/>
      <c r="O1234" s="461"/>
      <c r="P1234" s="461"/>
      <c r="Q1234" s="461"/>
      <c r="R1234" s="461"/>
    </row>
    <row r="1235" ht="12.75" customHeight="1" spans="1:18">
      <c r="A1235" s="460"/>
      <c r="B1235" s="461"/>
      <c r="C1235" s="461"/>
      <c r="D1235" s="461"/>
      <c r="E1235" s="461"/>
      <c r="F1235" s="460"/>
      <c r="G1235" s="460"/>
      <c r="H1235" s="460"/>
      <c r="I1235" s="461"/>
      <c r="J1235" s="460"/>
      <c r="K1235" s="460"/>
      <c r="L1235" s="461"/>
      <c r="M1235" s="460"/>
      <c r="N1235" s="460"/>
      <c r="O1235" s="461"/>
      <c r="P1235" s="461"/>
      <c r="Q1235" s="461"/>
      <c r="R1235" s="461"/>
    </row>
    <row r="1236" ht="12.75" customHeight="1" spans="1:18">
      <c r="A1236" s="460"/>
      <c r="B1236" s="461"/>
      <c r="C1236" s="461"/>
      <c r="D1236" s="461"/>
      <c r="E1236" s="461"/>
      <c r="F1236" s="460"/>
      <c r="G1236" s="460"/>
      <c r="H1236" s="460"/>
      <c r="I1236" s="461"/>
      <c r="J1236" s="460"/>
      <c r="K1236" s="460"/>
      <c r="L1236" s="461"/>
      <c r="M1236" s="460"/>
      <c r="N1236" s="460"/>
      <c r="O1236" s="461"/>
      <c r="P1236" s="461"/>
      <c r="Q1236" s="461"/>
      <c r="R1236" s="461"/>
    </row>
    <row r="1237" ht="12.75" customHeight="1" spans="1:18">
      <c r="A1237" s="460"/>
      <c r="B1237" s="461"/>
      <c r="C1237" s="461"/>
      <c r="D1237" s="461"/>
      <c r="E1237" s="461"/>
      <c r="F1237" s="460"/>
      <c r="G1237" s="460"/>
      <c r="H1237" s="460"/>
      <c r="I1237" s="461"/>
      <c r="J1237" s="460"/>
      <c r="K1237" s="460"/>
      <c r="L1237" s="461"/>
      <c r="M1237" s="460"/>
      <c r="N1237" s="460"/>
      <c r="O1237" s="461"/>
      <c r="P1237" s="461"/>
      <c r="Q1237" s="461"/>
      <c r="R1237" s="461"/>
    </row>
    <row r="1238" ht="12.75" customHeight="1" spans="1:18">
      <c r="A1238" s="460"/>
      <c r="B1238" s="461"/>
      <c r="C1238" s="461"/>
      <c r="D1238" s="461"/>
      <c r="E1238" s="461"/>
      <c r="F1238" s="460"/>
      <c r="G1238" s="460"/>
      <c r="H1238" s="460"/>
      <c r="I1238" s="461"/>
      <c r="J1238" s="460"/>
      <c r="K1238" s="460"/>
      <c r="L1238" s="461"/>
      <c r="M1238" s="460"/>
      <c r="N1238" s="460"/>
      <c r="O1238" s="461"/>
      <c r="P1238" s="461"/>
      <c r="Q1238" s="461"/>
      <c r="R1238" s="461"/>
    </row>
    <row r="1239" ht="12.75" customHeight="1" spans="1:18">
      <c r="A1239" s="460"/>
      <c r="B1239" s="461"/>
      <c r="C1239" s="461"/>
      <c r="D1239" s="461"/>
      <c r="E1239" s="461"/>
      <c r="F1239" s="460"/>
      <c r="G1239" s="460"/>
      <c r="H1239" s="460"/>
      <c r="I1239" s="461"/>
      <c r="J1239" s="460"/>
      <c r="K1239" s="460"/>
      <c r="L1239" s="461"/>
      <c r="M1239" s="460"/>
      <c r="N1239" s="460"/>
      <c r="O1239" s="461"/>
      <c r="P1239" s="461"/>
      <c r="Q1239" s="461"/>
      <c r="R1239" s="461"/>
    </row>
    <row r="1240" ht="12.75" customHeight="1" spans="1:18">
      <c r="A1240" s="460"/>
      <c r="B1240" s="461"/>
      <c r="C1240" s="461"/>
      <c r="D1240" s="461"/>
      <c r="E1240" s="461"/>
      <c r="F1240" s="460"/>
      <c r="G1240" s="460"/>
      <c r="H1240" s="460"/>
      <c r="I1240" s="461"/>
      <c r="J1240" s="460"/>
      <c r="K1240" s="460"/>
      <c r="L1240" s="461"/>
      <c r="M1240" s="460"/>
      <c r="N1240" s="460"/>
      <c r="O1240" s="461"/>
      <c r="P1240" s="461"/>
      <c r="Q1240" s="461"/>
      <c r="R1240" s="461"/>
    </row>
    <row r="1241" ht="12.75" customHeight="1" spans="1:18">
      <c r="A1241" s="460"/>
      <c r="B1241" s="461"/>
      <c r="C1241" s="461"/>
      <c r="D1241" s="461"/>
      <c r="E1241" s="461"/>
      <c r="F1241" s="460"/>
      <c r="G1241" s="460"/>
      <c r="H1241" s="460"/>
      <c r="I1241" s="461"/>
      <c r="J1241" s="460"/>
      <c r="K1241" s="460"/>
      <c r="L1241" s="461"/>
      <c r="M1241" s="460"/>
      <c r="N1241" s="460"/>
      <c r="O1241" s="461"/>
      <c r="P1241" s="461"/>
      <c r="Q1241" s="461"/>
      <c r="R1241" s="461"/>
    </row>
    <row r="1242" ht="12.75" customHeight="1" spans="1:18">
      <c r="A1242" s="460"/>
      <c r="B1242" s="461"/>
      <c r="C1242" s="461"/>
      <c r="D1242" s="461"/>
      <c r="E1242" s="461"/>
      <c r="F1242" s="460"/>
      <c r="G1242" s="460"/>
      <c r="H1242" s="460"/>
      <c r="I1242" s="461"/>
      <c r="J1242" s="460"/>
      <c r="K1242" s="460"/>
      <c r="L1242" s="461"/>
      <c r="M1242" s="460"/>
      <c r="N1242" s="460"/>
      <c r="O1242" s="461"/>
      <c r="P1242" s="461"/>
      <c r="Q1242" s="461"/>
      <c r="R1242" s="461"/>
    </row>
    <row r="1243" ht="12.75" customHeight="1" spans="1:18">
      <c r="A1243" s="460"/>
      <c r="B1243" s="461"/>
      <c r="C1243" s="461"/>
      <c r="D1243" s="461"/>
      <c r="E1243" s="461"/>
      <c r="F1243" s="460"/>
      <c r="G1243" s="460"/>
      <c r="H1243" s="460"/>
      <c r="I1243" s="461"/>
      <c r="J1243" s="460"/>
      <c r="K1243" s="460"/>
      <c r="L1243" s="461"/>
      <c r="M1243" s="460"/>
      <c r="N1243" s="460"/>
      <c r="O1243" s="461"/>
      <c r="P1243" s="461"/>
      <c r="Q1243" s="461"/>
      <c r="R1243" s="461"/>
    </row>
    <row r="1244" ht="12.75" customHeight="1" spans="1:18">
      <c r="A1244" s="460"/>
      <c r="B1244" s="461"/>
      <c r="C1244" s="461"/>
      <c r="D1244" s="461"/>
      <c r="E1244" s="461"/>
      <c r="F1244" s="460"/>
      <c r="G1244" s="460"/>
      <c r="H1244" s="460"/>
      <c r="I1244" s="461"/>
      <c r="J1244" s="460"/>
      <c r="K1244" s="460"/>
      <c r="L1244" s="461"/>
      <c r="M1244" s="460"/>
      <c r="N1244" s="460"/>
      <c r="O1244" s="461"/>
      <c r="P1244" s="461"/>
      <c r="Q1244" s="461"/>
      <c r="R1244" s="461"/>
    </row>
    <row r="1245" ht="12.75" customHeight="1" spans="1:18">
      <c r="A1245" s="460"/>
      <c r="B1245" s="461"/>
      <c r="C1245" s="461"/>
      <c r="D1245" s="461"/>
      <c r="E1245" s="461"/>
      <c r="F1245" s="460"/>
      <c r="G1245" s="460"/>
      <c r="H1245" s="460"/>
      <c r="I1245" s="461"/>
      <c r="J1245" s="460"/>
      <c r="K1245" s="460"/>
      <c r="L1245" s="461"/>
      <c r="M1245" s="460"/>
      <c r="N1245" s="460"/>
      <c r="O1245" s="461"/>
      <c r="P1245" s="461"/>
      <c r="Q1245" s="461"/>
      <c r="R1245" s="461"/>
    </row>
    <row r="1246" ht="12.75" customHeight="1" spans="1:18">
      <c r="A1246" s="460"/>
      <c r="B1246" s="461"/>
      <c r="C1246" s="461"/>
      <c r="D1246" s="461"/>
      <c r="E1246" s="461"/>
      <c r="F1246" s="460"/>
      <c r="G1246" s="460"/>
      <c r="H1246" s="460"/>
      <c r="I1246" s="461"/>
      <c r="J1246" s="460"/>
      <c r="K1246" s="460"/>
      <c r="L1246" s="461"/>
      <c r="M1246" s="460"/>
      <c r="N1246" s="460"/>
      <c r="O1246" s="461"/>
      <c r="P1246" s="461"/>
      <c r="Q1246" s="461"/>
      <c r="R1246" s="461"/>
    </row>
    <row r="1247" ht="12.75" customHeight="1" spans="1:18">
      <c r="A1247" s="460"/>
      <c r="B1247" s="461"/>
      <c r="C1247" s="461"/>
      <c r="D1247" s="461"/>
      <c r="E1247" s="461"/>
      <c r="F1247" s="460"/>
      <c r="G1247" s="460"/>
      <c r="H1247" s="460"/>
      <c r="I1247" s="461"/>
      <c r="J1247" s="460"/>
      <c r="K1247" s="460"/>
      <c r="L1247" s="461"/>
      <c r="M1247" s="460"/>
      <c r="N1247" s="460"/>
      <c r="O1247" s="461"/>
      <c r="P1247" s="461"/>
      <c r="Q1247" s="461"/>
      <c r="R1247" s="461"/>
    </row>
    <row r="1248" ht="12.75" customHeight="1" spans="1:18">
      <c r="A1248" s="460"/>
      <c r="B1248" s="461"/>
      <c r="C1248" s="461"/>
      <c r="D1248" s="461"/>
      <c r="E1248" s="461"/>
      <c r="F1248" s="460"/>
      <c r="G1248" s="460"/>
      <c r="H1248" s="460"/>
      <c r="I1248" s="461"/>
      <c r="J1248" s="460"/>
      <c r="K1248" s="460"/>
      <c r="L1248" s="461"/>
      <c r="M1248" s="460"/>
      <c r="N1248" s="460"/>
      <c r="O1248" s="461"/>
      <c r="P1248" s="461"/>
      <c r="Q1248" s="461"/>
      <c r="R1248" s="461"/>
    </row>
    <row r="1249" ht="12.75" customHeight="1" spans="1:18">
      <c r="A1249" s="460"/>
      <c r="B1249" s="461"/>
      <c r="C1249" s="461"/>
      <c r="D1249" s="461"/>
      <c r="E1249" s="461"/>
      <c r="F1249" s="460"/>
      <c r="G1249" s="460"/>
      <c r="H1249" s="460"/>
      <c r="I1249" s="461"/>
      <c r="J1249" s="460"/>
      <c r="K1249" s="460"/>
      <c r="L1249" s="461"/>
      <c r="M1249" s="460"/>
      <c r="N1249" s="460"/>
      <c r="O1249" s="461"/>
      <c r="P1249" s="461"/>
      <c r="Q1249" s="461"/>
      <c r="R1249" s="461"/>
    </row>
    <row r="1250" ht="12.75" customHeight="1" spans="1:18">
      <c r="A1250" s="460"/>
      <c r="B1250" s="461"/>
      <c r="C1250" s="461"/>
      <c r="D1250" s="461"/>
      <c r="E1250" s="461"/>
      <c r="F1250" s="460"/>
      <c r="G1250" s="460"/>
      <c r="H1250" s="460"/>
      <c r="I1250" s="461"/>
      <c r="J1250" s="460"/>
      <c r="K1250" s="460"/>
      <c r="L1250" s="461"/>
      <c r="M1250" s="460"/>
      <c r="N1250" s="460"/>
      <c r="O1250" s="461"/>
      <c r="P1250" s="461"/>
      <c r="Q1250" s="461"/>
      <c r="R1250" s="461"/>
    </row>
    <row r="1251" ht="12.75" customHeight="1" spans="1:18">
      <c r="A1251" s="460"/>
      <c r="B1251" s="461"/>
      <c r="C1251" s="461"/>
      <c r="D1251" s="461"/>
      <c r="E1251" s="461"/>
      <c r="F1251" s="460"/>
      <c r="G1251" s="460"/>
      <c r="H1251" s="460"/>
      <c r="I1251" s="461"/>
      <c r="J1251" s="460"/>
      <c r="K1251" s="460"/>
      <c r="L1251" s="461"/>
      <c r="M1251" s="460"/>
      <c r="N1251" s="460"/>
      <c r="O1251" s="461"/>
      <c r="P1251" s="461"/>
      <c r="Q1251" s="461"/>
      <c r="R1251" s="461"/>
    </row>
    <row r="1252" ht="12.75" customHeight="1" spans="1:18">
      <c r="A1252" s="460"/>
      <c r="B1252" s="461"/>
      <c r="C1252" s="461"/>
      <c r="D1252" s="461"/>
      <c r="E1252" s="461"/>
      <c r="F1252" s="460"/>
      <c r="G1252" s="460"/>
      <c r="H1252" s="460"/>
      <c r="I1252" s="461"/>
      <c r="J1252" s="460"/>
      <c r="K1252" s="460"/>
      <c r="L1252" s="461"/>
      <c r="M1252" s="460"/>
      <c r="N1252" s="460"/>
      <c r="O1252" s="461"/>
      <c r="P1252" s="461"/>
      <c r="Q1252" s="461"/>
      <c r="R1252" s="461"/>
    </row>
    <row r="1253" ht="12.75" customHeight="1" spans="1:18">
      <c r="A1253" s="460"/>
      <c r="B1253" s="461"/>
      <c r="C1253" s="461"/>
      <c r="D1253" s="461"/>
      <c r="E1253" s="461"/>
      <c r="F1253" s="460"/>
      <c r="G1253" s="460"/>
      <c r="H1253" s="460"/>
      <c r="I1253" s="461"/>
      <c r="J1253" s="460"/>
      <c r="K1253" s="460"/>
      <c r="L1253" s="461"/>
      <c r="M1253" s="460"/>
      <c r="N1253" s="460"/>
      <c r="O1253" s="461"/>
      <c r="P1253" s="461"/>
      <c r="Q1253" s="461"/>
      <c r="R1253" s="461"/>
    </row>
    <row r="1254" ht="12.75" customHeight="1" spans="1:18">
      <c r="A1254" s="460"/>
      <c r="B1254" s="461"/>
      <c r="C1254" s="461"/>
      <c r="D1254" s="461"/>
      <c r="E1254" s="461"/>
      <c r="F1254" s="460"/>
      <c r="G1254" s="460"/>
      <c r="H1254" s="460"/>
      <c r="I1254" s="461"/>
      <c r="J1254" s="460"/>
      <c r="K1254" s="460"/>
      <c r="L1254" s="461"/>
      <c r="M1254" s="460"/>
      <c r="N1254" s="460"/>
      <c r="O1254" s="461"/>
      <c r="P1254" s="461"/>
      <c r="Q1254" s="461"/>
      <c r="R1254" s="461"/>
    </row>
    <row r="1255" ht="12.75" customHeight="1" spans="1:18">
      <c r="A1255" s="460"/>
      <c r="B1255" s="461"/>
      <c r="C1255" s="461"/>
      <c r="D1255" s="461"/>
      <c r="E1255" s="461"/>
      <c r="F1255" s="460"/>
      <c r="G1255" s="460"/>
      <c r="H1255" s="460"/>
      <c r="I1255" s="461"/>
      <c r="J1255" s="460"/>
      <c r="K1255" s="460"/>
      <c r="L1255" s="461"/>
      <c r="M1255" s="460"/>
      <c r="N1255" s="460"/>
      <c r="O1255" s="461"/>
      <c r="P1255" s="461"/>
      <c r="Q1255" s="461"/>
      <c r="R1255" s="461"/>
    </row>
    <row r="1256" ht="12.75" customHeight="1" spans="1:18">
      <c r="A1256" s="460"/>
      <c r="B1256" s="461"/>
      <c r="C1256" s="461"/>
      <c r="D1256" s="461"/>
      <c r="E1256" s="461"/>
      <c r="F1256" s="460"/>
      <c r="G1256" s="460"/>
      <c r="H1256" s="460"/>
      <c r="I1256" s="461"/>
      <c r="J1256" s="460"/>
      <c r="K1256" s="460"/>
      <c r="L1256" s="461"/>
      <c r="M1256" s="460"/>
      <c r="N1256" s="460"/>
      <c r="O1256" s="461"/>
      <c r="P1256" s="461"/>
      <c r="Q1256" s="461"/>
      <c r="R1256" s="461"/>
    </row>
    <row r="1257" ht="12.75" customHeight="1" spans="1:18">
      <c r="A1257" s="460"/>
      <c r="B1257" s="461"/>
      <c r="C1257" s="461"/>
      <c r="D1257" s="461"/>
      <c r="E1257" s="461"/>
      <c r="F1257" s="460"/>
      <c r="G1257" s="460"/>
      <c r="H1257" s="460"/>
      <c r="I1257" s="461"/>
      <c r="J1257" s="460"/>
      <c r="K1257" s="460"/>
      <c r="L1257" s="461"/>
      <c r="M1257" s="460"/>
      <c r="N1257" s="460"/>
      <c r="O1257" s="461"/>
      <c r="P1257" s="461"/>
      <c r="Q1257" s="461"/>
      <c r="R1257" s="461"/>
    </row>
    <row r="1258" ht="12.75" customHeight="1" spans="1:18">
      <c r="A1258" s="460"/>
      <c r="B1258" s="461"/>
      <c r="C1258" s="461"/>
      <c r="D1258" s="461"/>
      <c r="E1258" s="461"/>
      <c r="F1258" s="460"/>
      <c r="G1258" s="460"/>
      <c r="H1258" s="460"/>
      <c r="I1258" s="461"/>
      <c r="J1258" s="460"/>
      <c r="K1258" s="460"/>
      <c r="L1258" s="461"/>
      <c r="M1258" s="460"/>
      <c r="N1258" s="460"/>
      <c r="O1258" s="461"/>
      <c r="P1258" s="461"/>
      <c r="Q1258" s="461"/>
      <c r="R1258" s="461"/>
    </row>
    <row r="1259" ht="12.75" customHeight="1" spans="1:18">
      <c r="A1259" s="460"/>
      <c r="B1259" s="461"/>
      <c r="C1259" s="461"/>
      <c r="D1259" s="461"/>
      <c r="E1259" s="461"/>
      <c r="F1259" s="460"/>
      <c r="G1259" s="460"/>
      <c r="H1259" s="460"/>
      <c r="I1259" s="461"/>
      <c r="J1259" s="460"/>
      <c r="K1259" s="460"/>
      <c r="L1259" s="461"/>
      <c r="M1259" s="460"/>
      <c r="N1259" s="460"/>
      <c r="O1259" s="461"/>
      <c r="P1259" s="461"/>
      <c r="Q1259" s="461"/>
      <c r="R1259" s="461"/>
    </row>
    <row r="1260" ht="12.75" customHeight="1" spans="1:18">
      <c r="A1260" s="460"/>
      <c r="B1260" s="461"/>
      <c r="C1260" s="461"/>
      <c r="D1260" s="461"/>
      <c r="E1260" s="461"/>
      <c r="F1260" s="460"/>
      <c r="G1260" s="460"/>
      <c r="H1260" s="460"/>
      <c r="I1260" s="461"/>
      <c r="J1260" s="460"/>
      <c r="K1260" s="460"/>
      <c r="L1260" s="461"/>
      <c r="M1260" s="460"/>
      <c r="N1260" s="460"/>
      <c r="O1260" s="461"/>
      <c r="P1260" s="461"/>
      <c r="Q1260" s="461"/>
      <c r="R1260" s="461"/>
    </row>
    <row r="1261" ht="12.75" customHeight="1" spans="1:18">
      <c r="A1261" s="460"/>
      <c r="B1261" s="461"/>
      <c r="C1261" s="461"/>
      <c r="D1261" s="461"/>
      <c r="E1261" s="461"/>
      <c r="F1261" s="460"/>
      <c r="G1261" s="460"/>
      <c r="H1261" s="460"/>
      <c r="I1261" s="461"/>
      <c r="J1261" s="460"/>
      <c r="K1261" s="460"/>
      <c r="L1261" s="461"/>
      <c r="M1261" s="460"/>
      <c r="N1261" s="460"/>
      <c r="O1261" s="461"/>
      <c r="P1261" s="461"/>
      <c r="Q1261" s="461"/>
      <c r="R1261" s="461"/>
    </row>
    <row r="1262" ht="12.75" customHeight="1" spans="1:18">
      <c r="A1262" s="460"/>
      <c r="B1262" s="461"/>
      <c r="C1262" s="461"/>
      <c r="D1262" s="461"/>
      <c r="E1262" s="461"/>
      <c r="F1262" s="460"/>
      <c r="G1262" s="460"/>
      <c r="H1262" s="460"/>
      <c r="I1262" s="461"/>
      <c r="J1262" s="460"/>
      <c r="K1262" s="460"/>
      <c r="L1262" s="461"/>
      <c r="M1262" s="460"/>
      <c r="N1262" s="460"/>
      <c r="O1262" s="461"/>
      <c r="P1262" s="461"/>
      <c r="Q1262" s="461"/>
      <c r="R1262" s="461"/>
    </row>
    <row r="1263" ht="12.75" customHeight="1" spans="1:18">
      <c r="A1263" s="460"/>
      <c r="B1263" s="461"/>
      <c r="C1263" s="461"/>
      <c r="D1263" s="461"/>
      <c r="E1263" s="461"/>
      <c r="F1263" s="460"/>
      <c r="G1263" s="460"/>
      <c r="H1263" s="460"/>
      <c r="I1263" s="461"/>
      <c r="J1263" s="460"/>
      <c r="K1263" s="460"/>
      <c r="L1263" s="461"/>
      <c r="M1263" s="460"/>
      <c r="N1263" s="460"/>
      <c r="O1263" s="461"/>
      <c r="P1263" s="461"/>
      <c r="Q1263" s="461"/>
      <c r="R1263" s="461"/>
    </row>
    <row r="1264" ht="12.75" customHeight="1" spans="1:18">
      <c r="A1264" s="460"/>
      <c r="B1264" s="461"/>
      <c r="C1264" s="461"/>
      <c r="D1264" s="461"/>
      <c r="E1264" s="461"/>
      <c r="F1264" s="460"/>
      <c r="G1264" s="460"/>
      <c r="H1264" s="460"/>
      <c r="I1264" s="461"/>
      <c r="J1264" s="460"/>
      <c r="K1264" s="460"/>
      <c r="L1264" s="461"/>
      <c r="M1264" s="460"/>
      <c r="N1264" s="460"/>
      <c r="O1264" s="461"/>
      <c r="P1264" s="461"/>
      <c r="Q1264" s="461"/>
      <c r="R1264" s="461"/>
    </row>
    <row r="1265" ht="12.75" customHeight="1" spans="1:18">
      <c r="A1265" s="460"/>
      <c r="B1265" s="461"/>
      <c r="C1265" s="461"/>
      <c r="D1265" s="461"/>
      <c r="E1265" s="461"/>
      <c r="F1265" s="460"/>
      <c r="G1265" s="460"/>
      <c r="H1265" s="460"/>
      <c r="I1265" s="461"/>
      <c r="J1265" s="460"/>
      <c r="K1265" s="460"/>
      <c r="L1265" s="461"/>
      <c r="M1265" s="460"/>
      <c r="N1265" s="460"/>
      <c r="O1265" s="461"/>
      <c r="P1265" s="461"/>
      <c r="Q1265" s="461"/>
      <c r="R1265" s="461"/>
    </row>
    <row r="1266" ht="12.75" customHeight="1" spans="1:18">
      <c r="A1266" s="460"/>
      <c r="B1266" s="461"/>
      <c r="C1266" s="461"/>
      <c r="D1266" s="461"/>
      <c r="E1266" s="461"/>
      <c r="F1266" s="460"/>
      <c r="G1266" s="460"/>
      <c r="H1266" s="460"/>
      <c r="I1266" s="461"/>
      <c r="J1266" s="460"/>
      <c r="K1266" s="460"/>
      <c r="L1266" s="461"/>
      <c r="M1266" s="460"/>
      <c r="N1266" s="460"/>
      <c r="O1266" s="461"/>
      <c r="P1266" s="461"/>
      <c r="Q1266" s="461"/>
      <c r="R1266" s="461"/>
    </row>
    <row r="1267" ht="12.75" customHeight="1" spans="1:18">
      <c r="A1267" s="460"/>
      <c r="B1267" s="461"/>
      <c r="C1267" s="461"/>
      <c r="D1267" s="461"/>
      <c r="E1267" s="461"/>
      <c r="F1267" s="460"/>
      <c r="G1267" s="460"/>
      <c r="H1267" s="460"/>
      <c r="I1267" s="461"/>
      <c r="J1267" s="460"/>
      <c r="K1267" s="460"/>
      <c r="L1267" s="461"/>
      <c r="M1267" s="460"/>
      <c r="N1267" s="460"/>
      <c r="O1267" s="461"/>
      <c r="P1267" s="461"/>
      <c r="Q1267" s="461"/>
      <c r="R1267" s="461"/>
    </row>
    <row r="1268" ht="12.75" customHeight="1" spans="1:18">
      <c r="A1268" s="460"/>
      <c r="B1268" s="461"/>
      <c r="C1268" s="461"/>
      <c r="D1268" s="461"/>
      <c r="E1268" s="461"/>
      <c r="F1268" s="460"/>
      <c r="G1268" s="460"/>
      <c r="H1268" s="460"/>
      <c r="I1268" s="461"/>
      <c r="J1268" s="460"/>
      <c r="K1268" s="460"/>
      <c r="L1268" s="461"/>
      <c r="M1268" s="460"/>
      <c r="N1268" s="460"/>
      <c r="O1268" s="461"/>
      <c r="P1268" s="461"/>
      <c r="Q1268" s="461"/>
      <c r="R1268" s="461"/>
    </row>
    <row r="1269" ht="12.75" customHeight="1" spans="1:18">
      <c r="A1269" s="460"/>
      <c r="B1269" s="461"/>
      <c r="C1269" s="461"/>
      <c r="D1269" s="461"/>
      <c r="E1269" s="461"/>
      <c r="F1269" s="460"/>
      <c r="G1269" s="460"/>
      <c r="H1269" s="460"/>
      <c r="I1269" s="461"/>
      <c r="J1269" s="460"/>
      <c r="K1269" s="460"/>
      <c r="L1269" s="461"/>
      <c r="M1269" s="460"/>
      <c r="N1269" s="460"/>
      <c r="O1269" s="461"/>
      <c r="P1269" s="461"/>
      <c r="Q1269" s="461"/>
      <c r="R1269" s="461"/>
    </row>
    <row r="1270" ht="12.75" customHeight="1" spans="1:18">
      <c r="A1270" s="460"/>
      <c r="B1270" s="461"/>
      <c r="C1270" s="461"/>
      <c r="D1270" s="461"/>
      <c r="E1270" s="461"/>
      <c r="F1270" s="460"/>
      <c r="G1270" s="460"/>
      <c r="H1270" s="460"/>
      <c r="I1270" s="461"/>
      <c r="J1270" s="460"/>
      <c r="K1270" s="460"/>
      <c r="L1270" s="461"/>
      <c r="M1270" s="460"/>
      <c r="N1270" s="460"/>
      <c r="O1270" s="461"/>
      <c r="P1270" s="461"/>
      <c r="Q1270" s="461"/>
      <c r="R1270" s="461"/>
    </row>
    <row r="1271" ht="12.75" customHeight="1" spans="1:18">
      <c r="A1271" s="460"/>
      <c r="B1271" s="461"/>
      <c r="C1271" s="461"/>
      <c r="D1271" s="461"/>
      <c r="E1271" s="461"/>
      <c r="F1271" s="460"/>
      <c r="G1271" s="460"/>
      <c r="H1271" s="460"/>
      <c r="I1271" s="461"/>
      <c r="J1271" s="460"/>
      <c r="K1271" s="460"/>
      <c r="L1271" s="461"/>
      <c r="M1271" s="460"/>
      <c r="N1271" s="460"/>
      <c r="O1271" s="461"/>
      <c r="P1271" s="461"/>
      <c r="Q1271" s="461"/>
      <c r="R1271" s="461"/>
    </row>
    <row r="1272" ht="12.75" customHeight="1" spans="1:18">
      <c r="A1272" s="460"/>
      <c r="B1272" s="461"/>
      <c r="C1272" s="461"/>
      <c r="D1272" s="461"/>
      <c r="E1272" s="461"/>
      <c r="F1272" s="460"/>
      <c r="G1272" s="460"/>
      <c r="H1272" s="460"/>
      <c r="I1272" s="461"/>
      <c r="J1272" s="460"/>
      <c r="K1272" s="460"/>
      <c r="L1272" s="461"/>
      <c r="M1272" s="460"/>
      <c r="N1272" s="460"/>
      <c r="O1272" s="461"/>
      <c r="P1272" s="461"/>
      <c r="Q1272" s="461"/>
      <c r="R1272" s="461"/>
    </row>
    <row r="1273" ht="12.75" customHeight="1" spans="1:18">
      <c r="A1273" s="460"/>
      <c r="B1273" s="461"/>
      <c r="C1273" s="461"/>
      <c r="D1273" s="461"/>
      <c r="E1273" s="461"/>
      <c r="F1273" s="460"/>
      <c r="G1273" s="460"/>
      <c r="H1273" s="460"/>
      <c r="I1273" s="461"/>
      <c r="J1273" s="460"/>
      <c r="K1273" s="460"/>
      <c r="L1273" s="461"/>
      <c r="M1273" s="460"/>
      <c r="N1273" s="460"/>
      <c r="O1273" s="461"/>
      <c r="P1273" s="461"/>
      <c r="Q1273" s="461"/>
      <c r="R1273" s="461"/>
    </row>
    <row r="1274" ht="12.75" customHeight="1" spans="1:18">
      <c r="A1274" s="460"/>
      <c r="B1274" s="461"/>
      <c r="C1274" s="461"/>
      <c r="D1274" s="461"/>
      <c r="E1274" s="461"/>
      <c r="F1274" s="460"/>
      <c r="G1274" s="460"/>
      <c r="H1274" s="460"/>
      <c r="I1274" s="461"/>
      <c r="J1274" s="460"/>
      <c r="K1274" s="460"/>
      <c r="L1274" s="461"/>
      <c r="M1274" s="460"/>
      <c r="N1274" s="460"/>
      <c r="O1274" s="461"/>
      <c r="P1274" s="461"/>
      <c r="Q1274" s="461"/>
      <c r="R1274" s="461"/>
    </row>
    <row r="1275" ht="12.75" customHeight="1" spans="1:18">
      <c r="A1275" s="460"/>
      <c r="B1275" s="461"/>
      <c r="C1275" s="461"/>
      <c r="D1275" s="461"/>
      <c r="E1275" s="461"/>
      <c r="F1275" s="460"/>
      <c r="G1275" s="460"/>
      <c r="H1275" s="460"/>
      <c r="I1275" s="461"/>
      <c r="J1275" s="460"/>
      <c r="K1275" s="460"/>
      <c r="L1275" s="461"/>
      <c r="M1275" s="460"/>
      <c r="N1275" s="460"/>
      <c r="O1275" s="461"/>
      <c r="P1275" s="461"/>
      <c r="Q1275" s="461"/>
      <c r="R1275" s="461"/>
    </row>
    <row r="1276" ht="12.75" customHeight="1" spans="1:18">
      <c r="A1276" s="460"/>
      <c r="B1276" s="461"/>
      <c r="C1276" s="461"/>
      <c r="D1276" s="461"/>
      <c r="E1276" s="461"/>
      <c r="F1276" s="460"/>
      <c r="G1276" s="460"/>
      <c r="H1276" s="460"/>
      <c r="I1276" s="461"/>
      <c r="J1276" s="460"/>
      <c r="K1276" s="460"/>
      <c r="L1276" s="461"/>
      <c r="M1276" s="460"/>
      <c r="N1276" s="460"/>
      <c r="O1276" s="461"/>
      <c r="P1276" s="461"/>
      <c r="Q1276" s="461"/>
      <c r="R1276" s="461"/>
    </row>
    <row r="1277" ht="12.75" customHeight="1" spans="1:18">
      <c r="A1277" s="460"/>
      <c r="B1277" s="461"/>
      <c r="C1277" s="461"/>
      <c r="D1277" s="461"/>
      <c r="E1277" s="461"/>
      <c r="F1277" s="460"/>
      <c r="G1277" s="460"/>
      <c r="H1277" s="460"/>
      <c r="I1277" s="461"/>
      <c r="J1277" s="460"/>
      <c r="K1277" s="460"/>
      <c r="L1277" s="461"/>
      <c r="M1277" s="460"/>
      <c r="N1277" s="460"/>
      <c r="O1277" s="461"/>
      <c r="P1277" s="461"/>
      <c r="Q1277" s="461"/>
      <c r="R1277" s="461"/>
    </row>
    <row r="1278" ht="12.75" customHeight="1" spans="1:18">
      <c r="A1278" s="460"/>
      <c r="B1278" s="461"/>
      <c r="C1278" s="461"/>
      <c r="D1278" s="461"/>
      <c r="E1278" s="461"/>
      <c r="F1278" s="460"/>
      <c r="G1278" s="460"/>
      <c r="H1278" s="460"/>
      <c r="I1278" s="461"/>
      <c r="J1278" s="460"/>
      <c r="K1278" s="460"/>
      <c r="L1278" s="461"/>
      <c r="M1278" s="460"/>
      <c r="N1278" s="460"/>
      <c r="O1278" s="461"/>
      <c r="P1278" s="461"/>
      <c r="Q1278" s="461"/>
      <c r="R1278" s="461"/>
    </row>
    <row r="1279" ht="12.75" customHeight="1" spans="1:18">
      <c r="A1279" s="460"/>
      <c r="B1279" s="461"/>
      <c r="C1279" s="461"/>
      <c r="D1279" s="461"/>
      <c r="E1279" s="461"/>
      <c r="F1279" s="460"/>
      <c r="G1279" s="460"/>
      <c r="H1279" s="460"/>
      <c r="I1279" s="461"/>
      <c r="J1279" s="460"/>
      <c r="K1279" s="460"/>
      <c r="L1279" s="461"/>
      <c r="M1279" s="460"/>
      <c r="N1279" s="460"/>
      <c r="O1279" s="461"/>
      <c r="P1279" s="461"/>
      <c r="Q1279" s="461"/>
      <c r="R1279" s="461"/>
    </row>
    <row r="1280" ht="12.75" customHeight="1" spans="1:18">
      <c r="A1280" s="460"/>
      <c r="B1280" s="461"/>
      <c r="C1280" s="461"/>
      <c r="D1280" s="461"/>
      <c r="E1280" s="461"/>
      <c r="F1280" s="460"/>
      <c r="G1280" s="460"/>
      <c r="H1280" s="460"/>
      <c r="I1280" s="461"/>
      <c r="J1280" s="460"/>
      <c r="K1280" s="460"/>
      <c r="L1280" s="461"/>
      <c r="M1280" s="460"/>
      <c r="N1280" s="460"/>
      <c r="O1280" s="461"/>
      <c r="P1280" s="461"/>
      <c r="Q1280" s="461"/>
      <c r="R1280" s="461"/>
    </row>
    <row r="1281" ht="12.75" customHeight="1" spans="1:18">
      <c r="A1281" s="460"/>
      <c r="B1281" s="461"/>
      <c r="C1281" s="461"/>
      <c r="D1281" s="461"/>
      <c r="E1281" s="461"/>
      <c r="F1281" s="460"/>
      <c r="G1281" s="460"/>
      <c r="H1281" s="460"/>
      <c r="I1281" s="461"/>
      <c r="J1281" s="460"/>
      <c r="K1281" s="460"/>
      <c r="L1281" s="461"/>
      <c r="M1281" s="460"/>
      <c r="N1281" s="460"/>
      <c r="O1281" s="461"/>
      <c r="P1281" s="461"/>
      <c r="Q1281" s="461"/>
      <c r="R1281" s="461"/>
    </row>
    <row r="1282" ht="12.75" customHeight="1" spans="1:18">
      <c r="A1282" s="460"/>
      <c r="B1282" s="461"/>
      <c r="C1282" s="461"/>
      <c r="D1282" s="461"/>
      <c r="E1282" s="461"/>
      <c r="F1282" s="460"/>
      <c r="G1282" s="460"/>
      <c r="H1282" s="460"/>
      <c r="I1282" s="461"/>
      <c r="J1282" s="460"/>
      <c r="K1282" s="460"/>
      <c r="L1282" s="461"/>
      <c r="M1282" s="460"/>
      <c r="N1282" s="460"/>
      <c r="O1282" s="461"/>
      <c r="P1282" s="461"/>
      <c r="Q1282" s="461"/>
      <c r="R1282" s="461"/>
    </row>
    <row r="1283" ht="12.75" customHeight="1" spans="1:18">
      <c r="A1283" s="460"/>
      <c r="B1283" s="461"/>
      <c r="C1283" s="461"/>
      <c r="D1283" s="461"/>
      <c r="E1283" s="461"/>
      <c r="F1283" s="460"/>
      <c r="G1283" s="460"/>
      <c r="H1283" s="460"/>
      <c r="I1283" s="461"/>
      <c r="J1283" s="460"/>
      <c r="K1283" s="460"/>
      <c r="L1283" s="461"/>
      <c r="M1283" s="460"/>
      <c r="N1283" s="460"/>
      <c r="O1283" s="461"/>
      <c r="P1283" s="461"/>
      <c r="Q1283" s="461"/>
      <c r="R1283" s="461"/>
    </row>
    <row r="1284" ht="12.75" customHeight="1" spans="1:18">
      <c r="A1284" s="460"/>
      <c r="B1284" s="461"/>
      <c r="C1284" s="461"/>
      <c r="D1284" s="461"/>
      <c r="E1284" s="461"/>
      <c r="F1284" s="460"/>
      <c r="G1284" s="460"/>
      <c r="H1284" s="460"/>
      <c r="I1284" s="461"/>
      <c r="J1284" s="460"/>
      <c r="K1284" s="460"/>
      <c r="L1284" s="461"/>
      <c r="M1284" s="460"/>
      <c r="N1284" s="460"/>
      <c r="O1284" s="461"/>
      <c r="P1284" s="461"/>
      <c r="Q1284" s="461"/>
      <c r="R1284" s="461"/>
    </row>
    <row r="1285" ht="12.75" customHeight="1" spans="1:18">
      <c r="A1285" s="460"/>
      <c r="B1285" s="461"/>
      <c r="C1285" s="461"/>
      <c r="D1285" s="461"/>
      <c r="E1285" s="461"/>
      <c r="F1285" s="460"/>
      <c r="G1285" s="460"/>
      <c r="H1285" s="460"/>
      <c r="I1285" s="461"/>
      <c r="J1285" s="460"/>
      <c r="K1285" s="460"/>
      <c r="L1285" s="461"/>
      <c r="M1285" s="460"/>
      <c r="N1285" s="460"/>
      <c r="O1285" s="461"/>
      <c r="P1285" s="461"/>
      <c r="Q1285" s="461"/>
      <c r="R1285" s="461"/>
    </row>
    <row r="1286" ht="12.75" customHeight="1" spans="1:18">
      <c r="A1286" s="460"/>
      <c r="B1286" s="461"/>
      <c r="C1286" s="461"/>
      <c r="D1286" s="461"/>
      <c r="E1286" s="461"/>
      <c r="F1286" s="460"/>
      <c r="G1286" s="460"/>
      <c r="H1286" s="460"/>
      <c r="I1286" s="461"/>
      <c r="J1286" s="460"/>
      <c r="K1286" s="460"/>
      <c r="L1286" s="461"/>
      <c r="M1286" s="460"/>
      <c r="N1286" s="460"/>
      <c r="O1286" s="461"/>
      <c r="P1286" s="461"/>
      <c r="Q1286" s="461"/>
      <c r="R1286" s="461"/>
    </row>
    <row r="1287" ht="12.75" customHeight="1" spans="1:18">
      <c r="A1287" s="460"/>
      <c r="B1287" s="461"/>
      <c r="C1287" s="461"/>
      <c r="D1287" s="461"/>
      <c r="E1287" s="461"/>
      <c r="F1287" s="460"/>
      <c r="G1287" s="460"/>
      <c r="H1287" s="460"/>
      <c r="I1287" s="461"/>
      <c r="J1287" s="460"/>
      <c r="K1287" s="460"/>
      <c r="L1287" s="461"/>
      <c r="M1287" s="460"/>
      <c r="N1287" s="460"/>
      <c r="O1287" s="461"/>
      <c r="P1287" s="461"/>
      <c r="Q1287" s="461"/>
      <c r="R1287" s="461"/>
    </row>
    <row r="1288" ht="12.75" customHeight="1" spans="1:18">
      <c r="A1288" s="460"/>
      <c r="B1288" s="461"/>
      <c r="C1288" s="461"/>
      <c r="D1288" s="461"/>
      <c r="E1288" s="461"/>
      <c r="F1288" s="460"/>
      <c r="G1288" s="460"/>
      <c r="H1288" s="460"/>
      <c r="I1288" s="461"/>
      <c r="J1288" s="460"/>
      <c r="K1288" s="460"/>
      <c r="L1288" s="461"/>
      <c r="M1288" s="460"/>
      <c r="N1288" s="460"/>
      <c r="O1288" s="461"/>
      <c r="P1288" s="461"/>
      <c r="Q1288" s="461"/>
      <c r="R1288" s="461"/>
    </row>
    <row r="1289" ht="12.75" customHeight="1" spans="1:18">
      <c r="A1289" s="460"/>
      <c r="B1289" s="461"/>
      <c r="C1289" s="461"/>
      <c r="D1289" s="461"/>
      <c r="E1289" s="461"/>
      <c r="F1289" s="460"/>
      <c r="G1289" s="460"/>
      <c r="H1289" s="460"/>
      <c r="I1289" s="461"/>
      <c r="J1289" s="460"/>
      <c r="K1289" s="460"/>
      <c r="L1289" s="461"/>
      <c r="M1289" s="460"/>
      <c r="N1289" s="460"/>
      <c r="O1289" s="461"/>
      <c r="P1289" s="461"/>
      <c r="Q1289" s="461"/>
      <c r="R1289" s="461"/>
    </row>
    <row r="1290" ht="12.75" customHeight="1" spans="1:18">
      <c r="A1290" s="460"/>
      <c r="B1290" s="461"/>
      <c r="C1290" s="461"/>
      <c r="D1290" s="461"/>
      <c r="E1290" s="461"/>
      <c r="F1290" s="460"/>
      <c r="G1290" s="460"/>
      <c r="H1290" s="460"/>
      <c r="I1290" s="461"/>
      <c r="J1290" s="460"/>
      <c r="K1290" s="460"/>
      <c r="L1290" s="461"/>
      <c r="M1290" s="460"/>
      <c r="N1290" s="460"/>
      <c r="O1290" s="461"/>
      <c r="P1290" s="461"/>
      <c r="Q1290" s="461"/>
      <c r="R1290" s="461"/>
    </row>
    <row r="1291" ht="12.75" customHeight="1" spans="1:18">
      <c r="A1291" s="460"/>
      <c r="B1291" s="461"/>
      <c r="C1291" s="461"/>
      <c r="D1291" s="461"/>
      <c r="E1291" s="461"/>
      <c r="F1291" s="460"/>
      <c r="G1291" s="460"/>
      <c r="H1291" s="460"/>
      <c r="I1291" s="461"/>
      <c r="J1291" s="460"/>
      <c r="K1291" s="460"/>
      <c r="L1291" s="461"/>
      <c r="M1291" s="460"/>
      <c r="N1291" s="460"/>
      <c r="O1291" s="461"/>
      <c r="P1291" s="461"/>
      <c r="Q1291" s="461"/>
      <c r="R1291" s="461"/>
    </row>
    <row r="1292" ht="12.75" customHeight="1" spans="1:18">
      <c r="A1292" s="460"/>
      <c r="B1292" s="461"/>
      <c r="C1292" s="461"/>
      <c r="D1292" s="461"/>
      <c r="E1292" s="461"/>
      <c r="F1292" s="460"/>
      <c r="G1292" s="460"/>
      <c r="H1292" s="460"/>
      <c r="I1292" s="461"/>
      <c r="J1292" s="460"/>
      <c r="K1292" s="460"/>
      <c r="L1292" s="461"/>
      <c r="M1292" s="460"/>
      <c r="N1292" s="460"/>
      <c r="O1292" s="461"/>
      <c r="P1292" s="461"/>
      <c r="Q1292" s="461"/>
      <c r="R1292" s="461"/>
    </row>
    <row r="1293" ht="12.75" customHeight="1" spans="1:18">
      <c r="A1293" s="460"/>
      <c r="B1293" s="461"/>
      <c r="C1293" s="461"/>
      <c r="D1293" s="461"/>
      <c r="E1293" s="461"/>
      <c r="F1293" s="460"/>
      <c r="G1293" s="460"/>
      <c r="H1293" s="460"/>
      <c r="I1293" s="461"/>
      <c r="J1293" s="460"/>
      <c r="K1293" s="460"/>
      <c r="L1293" s="461"/>
      <c r="M1293" s="460"/>
      <c r="N1293" s="460"/>
      <c r="O1293" s="461"/>
      <c r="P1293" s="461"/>
      <c r="Q1293" s="461"/>
      <c r="R1293" s="461"/>
    </row>
    <row r="1294" ht="12.75" customHeight="1" spans="1:18">
      <c r="A1294" s="460"/>
      <c r="B1294" s="461"/>
      <c r="C1294" s="461"/>
      <c r="D1294" s="461"/>
      <c r="E1294" s="461"/>
      <c r="F1294" s="460"/>
      <c r="G1294" s="460"/>
      <c r="H1294" s="460"/>
      <c r="I1294" s="461"/>
      <c r="J1294" s="460"/>
      <c r="K1294" s="460"/>
      <c r="L1294" s="461"/>
      <c r="M1294" s="460"/>
      <c r="N1294" s="460"/>
      <c r="O1294" s="461"/>
      <c r="P1294" s="461"/>
      <c r="Q1294" s="461"/>
      <c r="R1294" s="461"/>
    </row>
    <row r="1295" ht="12.75" customHeight="1" spans="1:18">
      <c r="A1295" s="460"/>
      <c r="B1295" s="461"/>
      <c r="C1295" s="461"/>
      <c r="D1295" s="461"/>
      <c r="E1295" s="461"/>
      <c r="F1295" s="460"/>
      <c r="G1295" s="460"/>
      <c r="H1295" s="460"/>
      <c r="I1295" s="461"/>
      <c r="J1295" s="460"/>
      <c r="K1295" s="460"/>
      <c r="L1295" s="461"/>
      <c r="M1295" s="460"/>
      <c r="N1295" s="460"/>
      <c r="O1295" s="461"/>
      <c r="P1295" s="461"/>
      <c r="Q1295" s="461"/>
      <c r="R1295" s="461"/>
    </row>
    <row r="1296" ht="12.75" customHeight="1" spans="1:18">
      <c r="A1296" s="460"/>
      <c r="B1296" s="461"/>
      <c r="C1296" s="461"/>
      <c r="D1296" s="461"/>
      <c r="E1296" s="461"/>
      <c r="F1296" s="460"/>
      <c r="G1296" s="460"/>
      <c r="H1296" s="460"/>
      <c r="I1296" s="461"/>
      <c r="J1296" s="460"/>
      <c r="K1296" s="460"/>
      <c r="L1296" s="461"/>
      <c r="M1296" s="460"/>
      <c r="N1296" s="460"/>
      <c r="O1296" s="461"/>
      <c r="P1296" s="461"/>
      <c r="Q1296" s="461"/>
      <c r="R1296" s="461"/>
    </row>
    <row r="1297" ht="12.75" customHeight="1" spans="1:18">
      <c r="A1297" s="460"/>
      <c r="B1297" s="461"/>
      <c r="C1297" s="461"/>
      <c r="D1297" s="461"/>
      <c r="E1297" s="461"/>
      <c r="F1297" s="460"/>
      <c r="G1297" s="460"/>
      <c r="H1297" s="460"/>
      <c r="I1297" s="461"/>
      <c r="J1297" s="460"/>
      <c r="K1297" s="460"/>
      <c r="L1297" s="461"/>
      <c r="M1297" s="460"/>
      <c r="N1297" s="460"/>
      <c r="O1297" s="461"/>
      <c r="P1297" s="461"/>
      <c r="Q1297" s="461"/>
      <c r="R1297" s="461"/>
    </row>
    <row r="1298" ht="12.75" customHeight="1" spans="1:18">
      <c r="A1298" s="460"/>
      <c r="B1298" s="461"/>
      <c r="C1298" s="461"/>
      <c r="D1298" s="461"/>
      <c r="E1298" s="461"/>
      <c r="F1298" s="460"/>
      <c r="G1298" s="460"/>
      <c r="H1298" s="460"/>
      <c r="I1298" s="461"/>
      <c r="J1298" s="460"/>
      <c r="K1298" s="460"/>
      <c r="L1298" s="461"/>
      <c r="M1298" s="460"/>
      <c r="N1298" s="460"/>
      <c r="O1298" s="461"/>
      <c r="P1298" s="461"/>
      <c r="Q1298" s="461"/>
      <c r="R1298" s="461"/>
    </row>
    <row r="1299" ht="12.75" customHeight="1" spans="1:18">
      <c r="A1299" s="460"/>
      <c r="B1299" s="461"/>
      <c r="C1299" s="461"/>
      <c r="D1299" s="461"/>
      <c r="E1299" s="461"/>
      <c r="F1299" s="460"/>
      <c r="G1299" s="460"/>
      <c r="H1299" s="460"/>
      <c r="I1299" s="461"/>
      <c r="J1299" s="460"/>
      <c r="K1299" s="460"/>
      <c r="L1299" s="461"/>
      <c r="M1299" s="460"/>
      <c r="N1299" s="460"/>
      <c r="O1299" s="461"/>
      <c r="P1299" s="461"/>
      <c r="Q1299" s="461"/>
      <c r="R1299" s="461"/>
    </row>
    <row r="1300" ht="12.75" customHeight="1" spans="1:18">
      <c r="A1300" s="460"/>
      <c r="B1300" s="461"/>
      <c r="C1300" s="461"/>
      <c r="D1300" s="461"/>
      <c r="E1300" s="461"/>
      <c r="F1300" s="460"/>
      <c r="G1300" s="460"/>
      <c r="H1300" s="460"/>
      <c r="I1300" s="461"/>
      <c r="J1300" s="460"/>
      <c r="K1300" s="460"/>
      <c r="L1300" s="461"/>
      <c r="M1300" s="460"/>
      <c r="N1300" s="460"/>
      <c r="O1300" s="461"/>
      <c r="P1300" s="461"/>
      <c r="Q1300" s="461"/>
      <c r="R1300" s="461"/>
    </row>
    <row r="1301" ht="12.75" customHeight="1" spans="1:18">
      <c r="A1301" s="460"/>
      <c r="B1301" s="461"/>
      <c r="C1301" s="461"/>
      <c r="D1301" s="461"/>
      <c r="E1301" s="461"/>
      <c r="F1301" s="460"/>
      <c r="G1301" s="460"/>
      <c r="H1301" s="460"/>
      <c r="I1301" s="461"/>
      <c r="J1301" s="460"/>
      <c r="K1301" s="460"/>
      <c r="L1301" s="461"/>
      <c r="M1301" s="460"/>
      <c r="N1301" s="460"/>
      <c r="O1301" s="461"/>
      <c r="P1301" s="461"/>
      <c r="Q1301" s="461"/>
      <c r="R1301" s="461"/>
    </row>
    <row r="1302" ht="12.75" customHeight="1" spans="1:18">
      <c r="A1302" s="460"/>
      <c r="B1302" s="461"/>
      <c r="C1302" s="461"/>
      <c r="D1302" s="461"/>
      <c r="E1302" s="461"/>
      <c r="F1302" s="460"/>
      <c r="G1302" s="460"/>
      <c r="H1302" s="460"/>
      <c r="I1302" s="461"/>
      <c r="J1302" s="460"/>
      <c r="K1302" s="460"/>
      <c r="L1302" s="461"/>
      <c r="M1302" s="460"/>
      <c r="N1302" s="460"/>
      <c r="O1302" s="461"/>
      <c r="P1302" s="461"/>
      <c r="Q1302" s="461"/>
      <c r="R1302" s="461"/>
    </row>
    <row r="1303" ht="12.75" customHeight="1" spans="1:18">
      <c r="A1303" s="460"/>
      <c r="B1303" s="461"/>
      <c r="C1303" s="461"/>
      <c r="D1303" s="461"/>
      <c r="E1303" s="461"/>
      <c r="F1303" s="460"/>
      <c r="G1303" s="460"/>
      <c r="H1303" s="460"/>
      <c r="I1303" s="461"/>
      <c r="J1303" s="460"/>
      <c r="K1303" s="460"/>
      <c r="L1303" s="461"/>
      <c r="M1303" s="460"/>
      <c r="N1303" s="460"/>
      <c r="O1303" s="461"/>
      <c r="P1303" s="461"/>
      <c r="Q1303" s="461"/>
      <c r="R1303" s="461"/>
    </row>
    <row r="1304" ht="12.75" customHeight="1" spans="1:18">
      <c r="A1304" s="460"/>
      <c r="B1304" s="461"/>
      <c r="C1304" s="461"/>
      <c r="D1304" s="461"/>
      <c r="E1304" s="461"/>
      <c r="F1304" s="460"/>
      <c r="G1304" s="460"/>
      <c r="H1304" s="460"/>
      <c r="I1304" s="461"/>
      <c r="J1304" s="460"/>
      <c r="K1304" s="460"/>
      <c r="L1304" s="461"/>
      <c r="M1304" s="460"/>
      <c r="N1304" s="460"/>
      <c r="O1304" s="461"/>
      <c r="P1304" s="461"/>
      <c r="Q1304" s="461"/>
      <c r="R1304" s="461"/>
    </row>
    <row r="1305" ht="12.75" customHeight="1" spans="1:18">
      <c r="A1305" s="460"/>
      <c r="B1305" s="461"/>
      <c r="C1305" s="461"/>
      <c r="D1305" s="461"/>
      <c r="E1305" s="461"/>
      <c r="F1305" s="460"/>
      <c r="G1305" s="460"/>
      <c r="H1305" s="460"/>
      <c r="I1305" s="461"/>
      <c r="J1305" s="460"/>
      <c r="K1305" s="460"/>
      <c r="L1305" s="461"/>
      <c r="M1305" s="460"/>
      <c r="N1305" s="460"/>
      <c r="O1305" s="461"/>
      <c r="P1305" s="461"/>
      <c r="Q1305" s="461"/>
      <c r="R1305" s="461"/>
    </row>
    <row r="1306" ht="12.75" customHeight="1" spans="1:18">
      <c r="A1306" s="460"/>
      <c r="B1306" s="461"/>
      <c r="C1306" s="461"/>
      <c r="D1306" s="461"/>
      <c r="E1306" s="461"/>
      <c r="F1306" s="460"/>
      <c r="G1306" s="460"/>
      <c r="H1306" s="460"/>
      <c r="I1306" s="461"/>
      <c r="J1306" s="460"/>
      <c r="K1306" s="460"/>
      <c r="L1306" s="461"/>
      <c r="M1306" s="460"/>
      <c r="N1306" s="460"/>
      <c r="O1306" s="461"/>
      <c r="P1306" s="461"/>
      <c r="Q1306" s="461"/>
      <c r="R1306" s="461"/>
    </row>
    <row r="1307" ht="12.75" customHeight="1" spans="1:18">
      <c r="A1307" s="460"/>
      <c r="B1307" s="461"/>
      <c r="C1307" s="461"/>
      <c r="D1307" s="461"/>
      <c r="E1307" s="461"/>
      <c r="F1307" s="460"/>
      <c r="G1307" s="460"/>
      <c r="H1307" s="460"/>
      <c r="I1307" s="461"/>
      <c r="J1307" s="460"/>
      <c r="K1307" s="460"/>
      <c r="L1307" s="461"/>
      <c r="M1307" s="460"/>
      <c r="N1307" s="460"/>
      <c r="O1307" s="461"/>
      <c r="P1307" s="461"/>
      <c r="Q1307" s="461"/>
      <c r="R1307" s="461"/>
    </row>
    <row r="1308" ht="12.75" customHeight="1" spans="1:18">
      <c r="A1308" s="460"/>
      <c r="B1308" s="461"/>
      <c r="C1308" s="461"/>
      <c r="D1308" s="461"/>
      <c r="E1308" s="461"/>
      <c r="F1308" s="460"/>
      <c r="G1308" s="460"/>
      <c r="H1308" s="460"/>
      <c r="I1308" s="461"/>
      <c r="J1308" s="460"/>
      <c r="K1308" s="460"/>
      <c r="L1308" s="461"/>
      <c r="M1308" s="460"/>
      <c r="N1308" s="460"/>
      <c r="O1308" s="461"/>
      <c r="P1308" s="461"/>
      <c r="Q1308" s="461"/>
      <c r="R1308" s="461"/>
    </row>
    <row r="1309" ht="12.75" customHeight="1" spans="1:18">
      <c r="A1309" s="460"/>
      <c r="B1309" s="461"/>
      <c r="C1309" s="461"/>
      <c r="D1309" s="461"/>
      <c r="E1309" s="461"/>
      <c r="F1309" s="460"/>
      <c r="G1309" s="460"/>
      <c r="H1309" s="460"/>
      <c r="I1309" s="461"/>
      <c r="J1309" s="460"/>
      <c r="K1309" s="460"/>
      <c r="L1309" s="461"/>
      <c r="M1309" s="460"/>
      <c r="N1309" s="460"/>
      <c r="O1309" s="461"/>
      <c r="P1309" s="461"/>
      <c r="Q1309" s="461"/>
      <c r="R1309" s="461"/>
    </row>
    <row r="1310" ht="12.75" customHeight="1" spans="1:18">
      <c r="A1310" s="460"/>
      <c r="B1310" s="461"/>
      <c r="C1310" s="461"/>
      <c r="D1310" s="461"/>
      <c r="E1310" s="461"/>
      <c r="F1310" s="460"/>
      <c r="G1310" s="460"/>
      <c r="H1310" s="460"/>
      <c r="I1310" s="461"/>
      <c r="J1310" s="460"/>
      <c r="K1310" s="460"/>
      <c r="L1310" s="461"/>
      <c r="M1310" s="460"/>
      <c r="N1310" s="460"/>
      <c r="O1310" s="461"/>
      <c r="P1310" s="461"/>
      <c r="Q1310" s="461"/>
      <c r="R1310" s="461"/>
    </row>
    <row r="1311" ht="12.75" customHeight="1" spans="1:18">
      <c r="A1311" s="460"/>
      <c r="B1311" s="461"/>
      <c r="C1311" s="461"/>
      <c r="D1311" s="461"/>
      <c r="E1311" s="461"/>
      <c r="F1311" s="460"/>
      <c r="G1311" s="460"/>
      <c r="H1311" s="460"/>
      <c r="I1311" s="461"/>
      <c r="J1311" s="460"/>
      <c r="K1311" s="460"/>
      <c r="L1311" s="461"/>
      <c r="M1311" s="460"/>
      <c r="N1311" s="460"/>
      <c r="O1311" s="461"/>
      <c r="P1311" s="461"/>
      <c r="Q1311" s="461"/>
      <c r="R1311" s="461"/>
    </row>
    <row r="1312" ht="12.75" customHeight="1" spans="1:18">
      <c r="A1312" s="460"/>
      <c r="B1312" s="461"/>
      <c r="C1312" s="461"/>
      <c r="D1312" s="461"/>
      <c r="E1312" s="461"/>
      <c r="F1312" s="460"/>
      <c r="G1312" s="460"/>
      <c r="H1312" s="460"/>
      <c r="I1312" s="461"/>
      <c r="J1312" s="460"/>
      <c r="K1312" s="460"/>
      <c r="L1312" s="461"/>
      <c r="M1312" s="460"/>
      <c r="N1312" s="460"/>
      <c r="O1312" s="461"/>
      <c r="P1312" s="461"/>
      <c r="Q1312" s="461"/>
      <c r="R1312" s="461"/>
    </row>
    <row r="1313" ht="12.75" customHeight="1" spans="1:18">
      <c r="A1313" s="460"/>
      <c r="B1313" s="461"/>
      <c r="C1313" s="461"/>
      <c r="D1313" s="461"/>
      <c r="E1313" s="461"/>
      <c r="F1313" s="460"/>
      <c r="G1313" s="460"/>
      <c r="H1313" s="460"/>
      <c r="I1313" s="461"/>
      <c r="J1313" s="460"/>
      <c r="K1313" s="460"/>
      <c r="L1313" s="461"/>
      <c r="M1313" s="460"/>
      <c r="N1313" s="460"/>
      <c r="O1313" s="461"/>
      <c r="P1313" s="461"/>
      <c r="Q1313" s="461"/>
      <c r="R1313" s="461"/>
    </row>
    <row r="1314" ht="12.75" customHeight="1" spans="1:18">
      <c r="A1314" s="460"/>
      <c r="B1314" s="461"/>
      <c r="C1314" s="461"/>
      <c r="D1314" s="461"/>
      <c r="E1314" s="461"/>
      <c r="F1314" s="460"/>
      <c r="G1314" s="460"/>
      <c r="H1314" s="460"/>
      <c r="I1314" s="461"/>
      <c r="J1314" s="460"/>
      <c r="K1314" s="460"/>
      <c r="L1314" s="461"/>
      <c r="M1314" s="460"/>
      <c r="N1314" s="460"/>
      <c r="O1314" s="461"/>
      <c r="P1314" s="461"/>
      <c r="Q1314" s="461"/>
      <c r="R1314" s="461"/>
    </row>
    <row r="1315" ht="12.75" customHeight="1" spans="1:18">
      <c r="A1315" s="460"/>
      <c r="B1315" s="461"/>
      <c r="C1315" s="461"/>
      <c r="D1315" s="461"/>
      <c r="E1315" s="461"/>
      <c r="F1315" s="460"/>
      <c r="G1315" s="460"/>
      <c r="H1315" s="460"/>
      <c r="I1315" s="461"/>
      <c r="J1315" s="460"/>
      <c r="K1315" s="460"/>
      <c r="L1315" s="461"/>
      <c r="M1315" s="460"/>
      <c r="N1315" s="460"/>
      <c r="O1315" s="461"/>
      <c r="P1315" s="461"/>
      <c r="Q1315" s="461"/>
      <c r="R1315" s="461"/>
    </row>
    <row r="1316" ht="12.75" customHeight="1" spans="1:18">
      <c r="A1316" s="460"/>
      <c r="B1316" s="461"/>
      <c r="C1316" s="461"/>
      <c r="D1316" s="461"/>
      <c r="E1316" s="461"/>
      <c r="F1316" s="460"/>
      <c r="G1316" s="460"/>
      <c r="H1316" s="460"/>
      <c r="I1316" s="461"/>
      <c r="J1316" s="460"/>
      <c r="K1316" s="460"/>
      <c r="L1316" s="461"/>
      <c r="M1316" s="460"/>
      <c r="N1316" s="460"/>
      <c r="O1316" s="461"/>
      <c r="P1316" s="461"/>
      <c r="Q1316" s="461"/>
      <c r="R1316" s="461"/>
    </row>
    <row r="1317" ht="12.75" customHeight="1" spans="1:18">
      <c r="A1317" s="460"/>
      <c r="B1317" s="461"/>
      <c r="C1317" s="461"/>
      <c r="D1317" s="461"/>
      <c r="E1317" s="461"/>
      <c r="F1317" s="460"/>
      <c r="G1317" s="460"/>
      <c r="H1317" s="460"/>
      <c r="I1317" s="461"/>
      <c r="J1317" s="460"/>
      <c r="K1317" s="460"/>
      <c r="L1317" s="461"/>
      <c r="M1317" s="460"/>
      <c r="N1317" s="460"/>
      <c r="O1317" s="461"/>
      <c r="P1317" s="461"/>
      <c r="Q1317" s="461"/>
      <c r="R1317" s="461"/>
    </row>
    <row r="1318" ht="12.75" customHeight="1" spans="1:18">
      <c r="A1318" s="460"/>
      <c r="B1318" s="461"/>
      <c r="C1318" s="461"/>
      <c r="D1318" s="461"/>
      <c r="E1318" s="461"/>
      <c r="F1318" s="460"/>
      <c r="G1318" s="460"/>
      <c r="H1318" s="460"/>
      <c r="I1318" s="461"/>
      <c r="J1318" s="460"/>
      <c r="K1318" s="460"/>
      <c r="L1318" s="461"/>
      <c r="M1318" s="460"/>
      <c r="N1318" s="460"/>
      <c r="O1318" s="461"/>
      <c r="P1318" s="461"/>
      <c r="Q1318" s="461"/>
      <c r="R1318" s="461"/>
    </row>
    <row r="1319" ht="12.75" customHeight="1" spans="1:18">
      <c r="A1319" s="460"/>
      <c r="B1319" s="461"/>
      <c r="C1319" s="461"/>
      <c r="D1319" s="461"/>
      <c r="E1319" s="461"/>
      <c r="F1319" s="460"/>
      <c r="G1319" s="460"/>
      <c r="H1319" s="460"/>
      <c r="I1319" s="461"/>
      <c r="J1319" s="460"/>
      <c r="K1319" s="460"/>
      <c r="L1319" s="461"/>
      <c r="M1319" s="460"/>
      <c r="N1319" s="460"/>
      <c r="O1319" s="461"/>
      <c r="P1319" s="461"/>
      <c r="Q1319" s="461"/>
      <c r="R1319" s="461"/>
    </row>
    <row r="1320" ht="12.75" customHeight="1" spans="1:18">
      <c r="A1320" s="460"/>
      <c r="B1320" s="461"/>
      <c r="C1320" s="461"/>
      <c r="D1320" s="461"/>
      <c r="E1320" s="461"/>
      <c r="F1320" s="460"/>
      <c r="G1320" s="460"/>
      <c r="H1320" s="460"/>
      <c r="I1320" s="461"/>
      <c r="J1320" s="460"/>
      <c r="K1320" s="460"/>
      <c r="L1320" s="461"/>
      <c r="M1320" s="460"/>
      <c r="N1320" s="460"/>
      <c r="O1320" s="461"/>
      <c r="P1320" s="461"/>
      <c r="Q1320" s="461"/>
      <c r="R1320" s="461"/>
    </row>
    <row r="1321" ht="12.75" customHeight="1" spans="1:18">
      <c r="A1321" s="460"/>
      <c r="B1321" s="461"/>
      <c r="C1321" s="461"/>
      <c r="D1321" s="461"/>
      <c r="E1321" s="461"/>
      <c r="F1321" s="460"/>
      <c r="G1321" s="460"/>
      <c r="H1321" s="460"/>
      <c r="I1321" s="461"/>
      <c r="J1321" s="460"/>
      <c r="K1321" s="460"/>
      <c r="L1321" s="461"/>
      <c r="M1321" s="460"/>
      <c r="N1321" s="460"/>
      <c r="O1321" s="461"/>
      <c r="P1321" s="461"/>
      <c r="Q1321" s="461"/>
      <c r="R1321" s="461"/>
    </row>
    <row r="1322" ht="12.75" customHeight="1" spans="1:18">
      <c r="A1322" s="460"/>
      <c r="B1322" s="461"/>
      <c r="C1322" s="461"/>
      <c r="D1322" s="461"/>
      <c r="E1322" s="461"/>
      <c r="F1322" s="460"/>
      <c r="G1322" s="460"/>
      <c r="H1322" s="460"/>
      <c r="I1322" s="461"/>
      <c r="J1322" s="460"/>
      <c r="K1322" s="460"/>
      <c r="L1322" s="461"/>
      <c r="M1322" s="460"/>
      <c r="N1322" s="460"/>
      <c r="O1322" s="461"/>
      <c r="P1322" s="461"/>
      <c r="Q1322" s="461"/>
      <c r="R1322" s="461"/>
    </row>
    <row r="1323" ht="12.75" customHeight="1" spans="1:18">
      <c r="A1323" s="460"/>
      <c r="B1323" s="461"/>
      <c r="C1323" s="461"/>
      <c r="D1323" s="461"/>
      <c r="E1323" s="461"/>
      <c r="F1323" s="460"/>
      <c r="G1323" s="460"/>
      <c r="H1323" s="460"/>
      <c r="I1323" s="461"/>
      <c r="J1323" s="460"/>
      <c r="K1323" s="460"/>
      <c r="L1323" s="461"/>
      <c r="M1323" s="460"/>
      <c r="N1323" s="460"/>
      <c r="O1323" s="461"/>
      <c r="P1323" s="461"/>
      <c r="Q1323" s="461"/>
      <c r="R1323" s="461"/>
    </row>
    <row r="1324" ht="12.75" customHeight="1" spans="1:18">
      <c r="A1324" s="460"/>
      <c r="B1324" s="461"/>
      <c r="C1324" s="461"/>
      <c r="D1324" s="461"/>
      <c r="E1324" s="461"/>
      <c r="F1324" s="460"/>
      <c r="G1324" s="460"/>
      <c r="H1324" s="460"/>
      <c r="I1324" s="461"/>
      <c r="J1324" s="460"/>
      <c r="K1324" s="460"/>
      <c r="L1324" s="461"/>
      <c r="M1324" s="460"/>
      <c r="N1324" s="460"/>
      <c r="O1324" s="461"/>
      <c r="P1324" s="461"/>
      <c r="Q1324" s="461"/>
      <c r="R1324" s="461"/>
    </row>
    <row r="1325" ht="12.75" customHeight="1" spans="1:18">
      <c r="A1325" s="460"/>
      <c r="B1325" s="461"/>
      <c r="C1325" s="461"/>
      <c r="D1325" s="461"/>
      <c r="E1325" s="461"/>
      <c r="F1325" s="460"/>
      <c r="G1325" s="460"/>
      <c r="H1325" s="460"/>
      <c r="I1325" s="461"/>
      <c r="J1325" s="460"/>
      <c r="K1325" s="460"/>
      <c r="L1325" s="461"/>
      <c r="M1325" s="460"/>
      <c r="N1325" s="460"/>
      <c r="O1325" s="461"/>
      <c r="P1325" s="461"/>
      <c r="Q1325" s="461"/>
      <c r="R1325" s="461"/>
    </row>
    <row r="1326" ht="12.75" customHeight="1" spans="1:18">
      <c r="A1326" s="460"/>
      <c r="B1326" s="461"/>
      <c r="C1326" s="461"/>
      <c r="D1326" s="461"/>
      <c r="E1326" s="461"/>
      <c r="F1326" s="460"/>
      <c r="G1326" s="460"/>
      <c r="H1326" s="460"/>
      <c r="I1326" s="461"/>
      <c r="J1326" s="460"/>
      <c r="K1326" s="460"/>
      <c r="L1326" s="461"/>
      <c r="M1326" s="460"/>
      <c r="N1326" s="460"/>
      <c r="O1326" s="461"/>
      <c r="P1326" s="461"/>
      <c r="Q1326" s="461"/>
      <c r="R1326" s="461"/>
    </row>
    <row r="1327" ht="12.75" customHeight="1" spans="1:18">
      <c r="A1327" s="460"/>
      <c r="B1327" s="461"/>
      <c r="C1327" s="461"/>
      <c r="D1327" s="461"/>
      <c r="E1327" s="461"/>
      <c r="F1327" s="460"/>
      <c r="G1327" s="460"/>
      <c r="H1327" s="460"/>
      <c r="I1327" s="461"/>
      <c r="J1327" s="460"/>
      <c r="K1327" s="460"/>
      <c r="L1327" s="461"/>
      <c r="M1327" s="460"/>
      <c r="N1327" s="460"/>
      <c r="O1327" s="461"/>
      <c r="P1327" s="461"/>
      <c r="Q1327" s="461"/>
      <c r="R1327" s="461"/>
    </row>
    <row r="1328" ht="12.75" customHeight="1" spans="1:18">
      <c r="A1328" s="460"/>
      <c r="B1328" s="461"/>
      <c r="C1328" s="461"/>
      <c r="D1328" s="461"/>
      <c r="E1328" s="461"/>
      <c r="F1328" s="460"/>
      <c r="G1328" s="460"/>
      <c r="H1328" s="460"/>
      <c r="I1328" s="461"/>
      <c r="J1328" s="460"/>
      <c r="K1328" s="460"/>
      <c r="L1328" s="461"/>
      <c r="M1328" s="460"/>
      <c r="N1328" s="460"/>
      <c r="O1328" s="461"/>
      <c r="P1328" s="461"/>
      <c r="Q1328" s="461"/>
      <c r="R1328" s="461"/>
    </row>
    <row r="1329" ht="12.75" customHeight="1" spans="1:18">
      <c r="A1329" s="460"/>
      <c r="B1329" s="461"/>
      <c r="C1329" s="461"/>
      <c r="D1329" s="461"/>
      <c r="E1329" s="461"/>
      <c r="F1329" s="460"/>
      <c r="G1329" s="460"/>
      <c r="H1329" s="460"/>
      <c r="I1329" s="461"/>
      <c r="J1329" s="460"/>
      <c r="K1329" s="460"/>
      <c r="L1329" s="461"/>
      <c r="M1329" s="460"/>
      <c r="N1329" s="460"/>
      <c r="O1329" s="461"/>
      <c r="P1329" s="461"/>
      <c r="Q1329" s="461"/>
      <c r="R1329" s="461"/>
    </row>
    <row r="1330" ht="12.75" customHeight="1" spans="1:18">
      <c r="A1330" s="460"/>
      <c r="B1330" s="461"/>
      <c r="C1330" s="461"/>
      <c r="D1330" s="461"/>
      <c r="E1330" s="461"/>
      <c r="F1330" s="460"/>
      <c r="G1330" s="460"/>
      <c r="H1330" s="460"/>
      <c r="I1330" s="461"/>
      <c r="J1330" s="460"/>
      <c r="K1330" s="460"/>
      <c r="L1330" s="461"/>
      <c r="M1330" s="460"/>
      <c r="N1330" s="460"/>
      <c r="O1330" s="461"/>
      <c r="P1330" s="461"/>
      <c r="Q1330" s="461"/>
      <c r="R1330" s="461"/>
    </row>
    <row r="1331" ht="12.75" customHeight="1" spans="1:18">
      <c r="A1331" s="460"/>
      <c r="B1331" s="461"/>
      <c r="C1331" s="461"/>
      <c r="D1331" s="461"/>
      <c r="E1331" s="461"/>
      <c r="F1331" s="460"/>
      <c r="G1331" s="460"/>
      <c r="H1331" s="460"/>
      <c r="I1331" s="461"/>
      <c r="J1331" s="460"/>
      <c r="K1331" s="460"/>
      <c r="L1331" s="461"/>
      <c r="M1331" s="460"/>
      <c r="N1331" s="460"/>
      <c r="O1331" s="461"/>
      <c r="P1331" s="461"/>
      <c r="Q1331" s="461"/>
      <c r="R1331" s="461"/>
    </row>
    <row r="1332" ht="12.75" customHeight="1" spans="1:18">
      <c r="A1332" s="460"/>
      <c r="B1332" s="461"/>
      <c r="C1332" s="461"/>
      <c r="D1332" s="461"/>
      <c r="E1332" s="461"/>
      <c r="F1332" s="460"/>
      <c r="G1332" s="460"/>
      <c r="H1332" s="460"/>
      <c r="I1332" s="461"/>
      <c r="J1332" s="460"/>
      <c r="K1332" s="460"/>
      <c r="L1332" s="461"/>
      <c r="M1332" s="460"/>
      <c r="N1332" s="460"/>
      <c r="O1332" s="461"/>
      <c r="P1332" s="461"/>
      <c r="Q1332" s="461"/>
      <c r="R1332" s="461"/>
    </row>
    <row r="1333" ht="12.75" customHeight="1" spans="1:18">
      <c r="A1333" s="460"/>
      <c r="B1333" s="461"/>
      <c r="C1333" s="461"/>
      <c r="D1333" s="461"/>
      <c r="E1333" s="461"/>
      <c r="F1333" s="460"/>
      <c r="G1333" s="460"/>
      <c r="H1333" s="460"/>
      <c r="I1333" s="461"/>
      <c r="J1333" s="460"/>
      <c r="K1333" s="460"/>
      <c r="L1333" s="461"/>
      <c r="M1333" s="460"/>
      <c r="N1333" s="460"/>
      <c r="O1333" s="461"/>
      <c r="P1333" s="461"/>
      <c r="Q1333" s="461"/>
      <c r="R1333" s="461"/>
    </row>
    <row r="1334" ht="12.75" customHeight="1" spans="1:18">
      <c r="A1334" s="460"/>
      <c r="B1334" s="461"/>
      <c r="C1334" s="461"/>
      <c r="D1334" s="461"/>
      <c r="E1334" s="461"/>
      <c r="F1334" s="460"/>
      <c r="G1334" s="460"/>
      <c r="H1334" s="460"/>
      <c r="I1334" s="461"/>
      <c r="J1334" s="460"/>
      <c r="K1334" s="460"/>
      <c r="L1334" s="461"/>
      <c r="M1334" s="460"/>
      <c r="N1334" s="460"/>
      <c r="O1334" s="461"/>
      <c r="P1334" s="461"/>
      <c r="Q1334" s="461"/>
      <c r="R1334" s="461"/>
    </row>
    <row r="1335" ht="12.75" customHeight="1" spans="1:18">
      <c r="A1335" s="460"/>
      <c r="B1335" s="461"/>
      <c r="C1335" s="461"/>
      <c r="D1335" s="461"/>
      <c r="E1335" s="461"/>
      <c r="F1335" s="460"/>
      <c r="G1335" s="460"/>
      <c r="H1335" s="460"/>
      <c r="I1335" s="461"/>
      <c r="J1335" s="460"/>
      <c r="K1335" s="460"/>
      <c r="L1335" s="461"/>
      <c r="M1335" s="460"/>
      <c r="N1335" s="460"/>
      <c r="O1335" s="461"/>
      <c r="P1335" s="461"/>
      <c r="Q1335" s="461"/>
      <c r="R1335" s="461"/>
    </row>
    <row r="1336" ht="12.75" customHeight="1" spans="1:18">
      <c r="A1336" s="460"/>
      <c r="B1336" s="461"/>
      <c r="C1336" s="461"/>
      <c r="D1336" s="461"/>
      <c r="E1336" s="461"/>
      <c r="F1336" s="460"/>
      <c r="G1336" s="460"/>
      <c r="H1336" s="460"/>
      <c r="I1336" s="461"/>
      <c r="J1336" s="460"/>
      <c r="K1336" s="460"/>
      <c r="L1336" s="461"/>
      <c r="M1336" s="460"/>
      <c r="N1336" s="460"/>
      <c r="O1336" s="461"/>
      <c r="P1336" s="461"/>
      <c r="Q1336" s="461"/>
      <c r="R1336" s="461"/>
    </row>
    <row r="1337" ht="12.75" customHeight="1" spans="1:18">
      <c r="A1337" s="460"/>
      <c r="B1337" s="461"/>
      <c r="C1337" s="461"/>
      <c r="D1337" s="461"/>
      <c r="E1337" s="461"/>
      <c r="F1337" s="460"/>
      <c r="G1337" s="460"/>
      <c r="H1337" s="460"/>
      <c r="I1337" s="461"/>
      <c r="J1337" s="460"/>
      <c r="K1337" s="460"/>
      <c r="L1337" s="461"/>
      <c r="M1337" s="460"/>
      <c r="N1337" s="460"/>
      <c r="O1337" s="461"/>
      <c r="P1337" s="461"/>
      <c r="Q1337" s="461"/>
      <c r="R1337" s="461"/>
    </row>
    <row r="1338" ht="12.75" customHeight="1" spans="1:18">
      <c r="A1338" s="460"/>
      <c r="B1338" s="461"/>
      <c r="C1338" s="461"/>
      <c r="D1338" s="461"/>
      <c r="E1338" s="461"/>
      <c r="F1338" s="460"/>
      <c r="G1338" s="460"/>
      <c r="H1338" s="460"/>
      <c r="I1338" s="461"/>
      <c r="J1338" s="460"/>
      <c r="K1338" s="460"/>
      <c r="L1338" s="461"/>
      <c r="M1338" s="460"/>
      <c r="N1338" s="460"/>
      <c r="O1338" s="461"/>
      <c r="P1338" s="461"/>
      <c r="Q1338" s="461"/>
      <c r="R1338" s="461"/>
    </row>
    <row r="1339" ht="12.75" customHeight="1" spans="1:18">
      <c r="A1339" s="460"/>
      <c r="B1339" s="461"/>
      <c r="C1339" s="461"/>
      <c r="D1339" s="461"/>
      <c r="E1339" s="461"/>
      <c r="F1339" s="460"/>
      <c r="G1339" s="460"/>
      <c r="H1339" s="460"/>
      <c r="I1339" s="461"/>
      <c r="J1339" s="460"/>
      <c r="K1339" s="460"/>
      <c r="L1339" s="461"/>
      <c r="M1339" s="460"/>
      <c r="N1339" s="460"/>
      <c r="O1339" s="461"/>
      <c r="P1339" s="461"/>
      <c r="Q1339" s="461"/>
      <c r="R1339" s="461"/>
    </row>
    <row r="1340" ht="12.75" customHeight="1" spans="1:18">
      <c r="A1340" s="460"/>
      <c r="B1340" s="461"/>
      <c r="C1340" s="461"/>
      <c r="D1340" s="461"/>
      <c r="E1340" s="461"/>
      <c r="F1340" s="460"/>
      <c r="G1340" s="460"/>
      <c r="H1340" s="460"/>
      <c r="I1340" s="461"/>
      <c r="J1340" s="460"/>
      <c r="K1340" s="460"/>
      <c r="L1340" s="461"/>
      <c r="M1340" s="460"/>
      <c r="N1340" s="460"/>
      <c r="O1340" s="461"/>
      <c r="P1340" s="461"/>
      <c r="Q1340" s="461"/>
      <c r="R1340" s="461"/>
    </row>
    <row r="1341" ht="12.75" customHeight="1" spans="1:18">
      <c r="A1341" s="460"/>
      <c r="B1341" s="461"/>
      <c r="C1341" s="461"/>
      <c r="D1341" s="461"/>
      <c r="E1341" s="461"/>
      <c r="F1341" s="460"/>
      <c r="G1341" s="460"/>
      <c r="H1341" s="460"/>
      <c r="I1341" s="461"/>
      <c r="J1341" s="460"/>
      <c r="K1341" s="460"/>
      <c r="L1341" s="461"/>
      <c r="M1341" s="460"/>
      <c r="N1341" s="460"/>
      <c r="O1341" s="461"/>
      <c r="P1341" s="461"/>
      <c r="Q1341" s="461"/>
      <c r="R1341" s="461"/>
    </row>
    <row r="1342" ht="12.75" customHeight="1" spans="1:18">
      <c r="A1342" s="460"/>
      <c r="B1342" s="461"/>
      <c r="C1342" s="461"/>
      <c r="D1342" s="461"/>
      <c r="E1342" s="461"/>
      <c r="F1342" s="460"/>
      <c r="G1342" s="460"/>
      <c r="H1342" s="460"/>
      <c r="I1342" s="461"/>
      <c r="J1342" s="460"/>
      <c r="K1342" s="460"/>
      <c r="L1342" s="461"/>
      <c r="M1342" s="460"/>
      <c r="N1342" s="460"/>
      <c r="O1342" s="461"/>
      <c r="P1342" s="461"/>
      <c r="Q1342" s="461"/>
      <c r="R1342" s="461"/>
    </row>
    <row r="1343" ht="12.75" customHeight="1" spans="1:18">
      <c r="A1343" s="460"/>
      <c r="B1343" s="461"/>
      <c r="C1343" s="461"/>
      <c r="D1343" s="461"/>
      <c r="E1343" s="461"/>
      <c r="F1343" s="460"/>
      <c r="G1343" s="460"/>
      <c r="H1343" s="460"/>
      <c r="I1343" s="461"/>
      <c r="J1343" s="460"/>
      <c r="K1343" s="460"/>
      <c r="L1343" s="461"/>
      <c r="M1343" s="460"/>
      <c r="N1343" s="460"/>
      <c r="O1343" s="461"/>
      <c r="P1343" s="461"/>
      <c r="Q1343" s="461"/>
      <c r="R1343" s="461"/>
    </row>
    <row r="1344" ht="12.75" customHeight="1" spans="1:18">
      <c r="A1344" s="460"/>
      <c r="B1344" s="461"/>
      <c r="C1344" s="461"/>
      <c r="D1344" s="461"/>
      <c r="E1344" s="461"/>
      <c r="F1344" s="460"/>
      <c r="G1344" s="460"/>
      <c r="H1344" s="460"/>
      <c r="I1344" s="461"/>
      <c r="J1344" s="460"/>
      <c r="K1344" s="460"/>
      <c r="L1344" s="461"/>
      <c r="M1344" s="460"/>
      <c r="N1344" s="460"/>
      <c r="O1344" s="461"/>
      <c r="P1344" s="461"/>
      <c r="Q1344" s="461"/>
      <c r="R1344" s="461"/>
    </row>
    <row r="1345" ht="12.75" customHeight="1" spans="1:18">
      <c r="A1345" s="460"/>
      <c r="B1345" s="461"/>
      <c r="C1345" s="461"/>
      <c r="D1345" s="461"/>
      <c r="E1345" s="461"/>
      <c r="F1345" s="460"/>
      <c r="G1345" s="460"/>
      <c r="H1345" s="460"/>
      <c r="I1345" s="461"/>
      <c r="J1345" s="460"/>
      <c r="K1345" s="460"/>
      <c r="L1345" s="461"/>
      <c r="M1345" s="460"/>
      <c r="N1345" s="460"/>
      <c r="O1345" s="461"/>
      <c r="P1345" s="461"/>
      <c r="Q1345" s="461"/>
      <c r="R1345" s="461"/>
    </row>
    <row r="1346" ht="12.75" customHeight="1" spans="1:18">
      <c r="A1346" s="460"/>
      <c r="B1346" s="461"/>
      <c r="C1346" s="461"/>
      <c r="D1346" s="461"/>
      <c r="E1346" s="461"/>
      <c r="F1346" s="460"/>
      <c r="G1346" s="460"/>
      <c r="H1346" s="460"/>
      <c r="I1346" s="461"/>
      <c r="J1346" s="460"/>
      <c r="K1346" s="460"/>
      <c r="L1346" s="461"/>
      <c r="M1346" s="460"/>
      <c r="N1346" s="460"/>
      <c r="O1346" s="461"/>
      <c r="P1346" s="461"/>
      <c r="Q1346" s="461"/>
      <c r="R1346" s="461"/>
    </row>
    <row r="1347" ht="12.75" customHeight="1" spans="1:18">
      <c r="A1347" s="460"/>
      <c r="B1347" s="461"/>
      <c r="C1347" s="461"/>
      <c r="D1347" s="461"/>
      <c r="E1347" s="461"/>
      <c r="F1347" s="460"/>
      <c r="G1347" s="460"/>
      <c r="H1347" s="460"/>
      <c r="I1347" s="461"/>
      <c r="J1347" s="460"/>
      <c r="K1347" s="460"/>
      <c r="L1347" s="461"/>
      <c r="M1347" s="460"/>
      <c r="N1347" s="460"/>
      <c r="O1347" s="461"/>
      <c r="P1347" s="461"/>
      <c r="Q1347" s="461"/>
      <c r="R1347" s="461"/>
    </row>
    <row r="1348" ht="12.75" customHeight="1" spans="1:18">
      <c r="A1348" s="460"/>
      <c r="B1348" s="461"/>
      <c r="C1348" s="461"/>
      <c r="D1348" s="461"/>
      <c r="E1348" s="461"/>
      <c r="F1348" s="460"/>
      <c r="G1348" s="460"/>
      <c r="H1348" s="460"/>
      <c r="I1348" s="461"/>
      <c r="J1348" s="460"/>
      <c r="K1348" s="460"/>
      <c r="L1348" s="461"/>
      <c r="M1348" s="460"/>
      <c r="N1348" s="460"/>
      <c r="O1348" s="461"/>
      <c r="P1348" s="461"/>
      <c r="Q1348" s="461"/>
      <c r="R1348" s="461"/>
    </row>
    <row r="1349" ht="12.75" customHeight="1" spans="1:18">
      <c r="A1349" s="460"/>
      <c r="B1349" s="461"/>
      <c r="C1349" s="461"/>
      <c r="D1349" s="461"/>
      <c r="E1349" s="461"/>
      <c r="F1349" s="460"/>
      <c r="G1349" s="460"/>
      <c r="H1349" s="460"/>
      <c r="I1349" s="461"/>
      <c r="J1349" s="460"/>
      <c r="K1349" s="460"/>
      <c r="L1349" s="461"/>
      <c r="M1349" s="460"/>
      <c r="N1349" s="460"/>
      <c r="O1349" s="461"/>
      <c r="P1349" s="461"/>
      <c r="Q1349" s="461"/>
      <c r="R1349" s="461"/>
    </row>
    <row r="1350" ht="12.75" customHeight="1" spans="1:18">
      <c r="A1350" s="460"/>
      <c r="B1350" s="461"/>
      <c r="C1350" s="461"/>
      <c r="D1350" s="461"/>
      <c r="E1350" s="461"/>
      <c r="F1350" s="460"/>
      <c r="G1350" s="460"/>
      <c r="H1350" s="460"/>
      <c r="I1350" s="461"/>
      <c r="J1350" s="460"/>
      <c r="K1350" s="460"/>
      <c r="L1350" s="461"/>
      <c r="M1350" s="460"/>
      <c r="N1350" s="460"/>
      <c r="O1350" s="461"/>
      <c r="P1350" s="461"/>
      <c r="Q1350" s="461"/>
      <c r="R1350" s="461"/>
    </row>
    <row r="1351" ht="12.75" customHeight="1" spans="1:18">
      <c r="A1351" s="460"/>
      <c r="B1351" s="461"/>
      <c r="C1351" s="461"/>
      <c r="D1351" s="461"/>
      <c r="E1351" s="461"/>
      <c r="F1351" s="460"/>
      <c r="G1351" s="460"/>
      <c r="H1351" s="460"/>
      <c r="I1351" s="461"/>
      <c r="J1351" s="460"/>
      <c r="K1351" s="460"/>
      <c r="L1351" s="461"/>
      <c r="M1351" s="460"/>
      <c r="N1351" s="460"/>
      <c r="O1351" s="461"/>
      <c r="P1351" s="461"/>
      <c r="Q1351" s="461"/>
      <c r="R1351" s="461"/>
    </row>
    <row r="1352" ht="12.75" customHeight="1" spans="1:18">
      <c r="A1352" s="460"/>
      <c r="B1352" s="461"/>
      <c r="C1352" s="461"/>
      <c r="D1352" s="461"/>
      <c r="E1352" s="461"/>
      <c r="F1352" s="460"/>
      <c r="G1352" s="460"/>
      <c r="H1352" s="460"/>
      <c r="I1352" s="461"/>
      <c r="J1352" s="460"/>
      <c r="K1352" s="460"/>
      <c r="L1352" s="461"/>
      <c r="M1352" s="460"/>
      <c r="N1352" s="460"/>
      <c r="O1352" s="461"/>
      <c r="P1352" s="461"/>
      <c r="Q1352" s="461"/>
      <c r="R1352" s="461"/>
    </row>
    <row r="1353" ht="12.75" customHeight="1" spans="1:18">
      <c r="A1353" s="460"/>
      <c r="B1353" s="461"/>
      <c r="C1353" s="461"/>
      <c r="D1353" s="461"/>
      <c r="E1353" s="461"/>
      <c r="F1353" s="460"/>
      <c r="G1353" s="460"/>
      <c r="H1353" s="460"/>
      <c r="I1353" s="461"/>
      <c r="J1353" s="460"/>
      <c r="K1353" s="460"/>
      <c r="L1353" s="461"/>
      <c r="M1353" s="460"/>
      <c r="N1353" s="460"/>
      <c r="O1353" s="461"/>
      <c r="P1353" s="461"/>
      <c r="Q1353" s="461"/>
      <c r="R1353" s="461"/>
    </row>
    <row r="1354" ht="12.75" customHeight="1" spans="1:18">
      <c r="A1354" s="460"/>
      <c r="B1354" s="461"/>
      <c r="C1354" s="461"/>
      <c r="D1354" s="461"/>
      <c r="E1354" s="461"/>
      <c r="F1354" s="460"/>
      <c r="G1354" s="460"/>
      <c r="H1354" s="460"/>
      <c r="I1354" s="461"/>
      <c r="J1354" s="460"/>
      <c r="K1354" s="460"/>
      <c r="L1354" s="461"/>
      <c r="M1354" s="460"/>
      <c r="N1354" s="460"/>
      <c r="O1354" s="461"/>
      <c r="P1354" s="461"/>
      <c r="Q1354" s="461"/>
      <c r="R1354" s="461"/>
    </row>
    <row r="1355" ht="12.75" customHeight="1" spans="1:18">
      <c r="A1355" s="460"/>
      <c r="B1355" s="461"/>
      <c r="C1355" s="461"/>
      <c r="D1355" s="461"/>
      <c r="E1355" s="461"/>
      <c r="F1355" s="460"/>
      <c r="G1355" s="460"/>
      <c r="H1355" s="460"/>
      <c r="I1355" s="461"/>
      <c r="J1355" s="460"/>
      <c r="K1355" s="460"/>
      <c r="L1355" s="461"/>
      <c r="M1355" s="460"/>
      <c r="N1355" s="460"/>
      <c r="O1355" s="461"/>
      <c r="P1355" s="461"/>
      <c r="Q1355" s="461"/>
      <c r="R1355" s="461"/>
    </row>
    <row r="1356" ht="12.75" customHeight="1" spans="1:18">
      <c r="A1356" s="460"/>
      <c r="B1356" s="461"/>
      <c r="C1356" s="461"/>
      <c r="D1356" s="461"/>
      <c r="E1356" s="461"/>
      <c r="F1356" s="460"/>
      <c r="G1356" s="460"/>
      <c r="H1356" s="460"/>
      <c r="I1356" s="461"/>
      <c r="J1356" s="460"/>
      <c r="K1356" s="460"/>
      <c r="L1356" s="461"/>
      <c r="M1356" s="460"/>
      <c r="N1356" s="460"/>
      <c r="O1356" s="461"/>
      <c r="P1356" s="461"/>
      <c r="Q1356" s="461"/>
      <c r="R1356" s="461"/>
    </row>
    <row r="1357" ht="12.75" customHeight="1" spans="1:18">
      <c r="A1357" s="460"/>
      <c r="B1357" s="461"/>
      <c r="C1357" s="461"/>
      <c r="D1357" s="461"/>
      <c r="E1357" s="461"/>
      <c r="F1357" s="460"/>
      <c r="G1357" s="460"/>
      <c r="H1357" s="460"/>
      <c r="I1357" s="461"/>
      <c r="J1357" s="460"/>
      <c r="K1357" s="460"/>
      <c r="L1357" s="461"/>
      <c r="M1357" s="460"/>
      <c r="N1357" s="460"/>
      <c r="O1357" s="461"/>
      <c r="P1357" s="461"/>
      <c r="Q1357" s="461"/>
      <c r="R1357" s="461"/>
    </row>
    <row r="1358" ht="12.75" customHeight="1" spans="1:18">
      <c r="A1358" s="460"/>
      <c r="B1358" s="461"/>
      <c r="C1358" s="461"/>
      <c r="D1358" s="461"/>
      <c r="E1358" s="461"/>
      <c r="F1358" s="460"/>
      <c r="G1358" s="460"/>
      <c r="H1358" s="460"/>
      <c r="I1358" s="461"/>
      <c r="J1358" s="460"/>
      <c r="K1358" s="460"/>
      <c r="L1358" s="461"/>
      <c r="M1358" s="460"/>
      <c r="N1358" s="460"/>
      <c r="O1358" s="461"/>
      <c r="P1358" s="461"/>
      <c r="Q1358" s="461"/>
      <c r="R1358" s="461"/>
    </row>
    <row r="1359" ht="12.75" customHeight="1" spans="1:18">
      <c r="A1359" s="460"/>
      <c r="B1359" s="461"/>
      <c r="C1359" s="461"/>
      <c r="D1359" s="461"/>
      <c r="E1359" s="461"/>
      <c r="F1359" s="460"/>
      <c r="G1359" s="460"/>
      <c r="H1359" s="460"/>
      <c r="I1359" s="461"/>
      <c r="J1359" s="460"/>
      <c r="K1359" s="460"/>
      <c r="L1359" s="461"/>
      <c r="M1359" s="460"/>
      <c r="N1359" s="460"/>
      <c r="O1359" s="461"/>
      <c r="P1359" s="461"/>
      <c r="Q1359" s="461"/>
      <c r="R1359" s="461"/>
    </row>
    <row r="1360" ht="12.75" customHeight="1" spans="1:18">
      <c r="A1360" s="460"/>
      <c r="B1360" s="461"/>
      <c r="C1360" s="461"/>
      <c r="D1360" s="461"/>
      <c r="E1360" s="461"/>
      <c r="F1360" s="460"/>
      <c r="G1360" s="460"/>
      <c r="H1360" s="460"/>
      <c r="I1360" s="461"/>
      <c r="J1360" s="460"/>
      <c r="K1360" s="460"/>
      <c r="L1360" s="461"/>
      <c r="M1360" s="460"/>
      <c r="N1360" s="460"/>
      <c r="O1360" s="461"/>
      <c r="P1360" s="461"/>
      <c r="Q1360" s="461"/>
      <c r="R1360" s="461"/>
    </row>
    <row r="1361" ht="12.75" customHeight="1" spans="1:18">
      <c r="A1361" s="460"/>
      <c r="B1361" s="461"/>
      <c r="C1361" s="461"/>
      <c r="D1361" s="461"/>
      <c r="E1361" s="461"/>
      <c r="F1361" s="460"/>
      <c r="G1361" s="460"/>
      <c r="H1361" s="460"/>
      <c r="I1361" s="461"/>
      <c r="J1361" s="460"/>
      <c r="K1361" s="460"/>
      <c r="L1361" s="461"/>
      <c r="M1361" s="460"/>
      <c r="N1361" s="460"/>
      <c r="O1361" s="461"/>
      <c r="P1361" s="461"/>
      <c r="Q1361" s="461"/>
      <c r="R1361" s="461"/>
    </row>
    <row r="1362" ht="12.75" customHeight="1" spans="1:18">
      <c r="A1362" s="460"/>
      <c r="B1362" s="461"/>
      <c r="C1362" s="461"/>
      <c r="D1362" s="461"/>
      <c r="E1362" s="461"/>
      <c r="F1362" s="460"/>
      <c r="G1362" s="460"/>
      <c r="H1362" s="460"/>
      <c r="I1362" s="461"/>
      <c r="J1362" s="460"/>
      <c r="K1362" s="460"/>
      <c r="L1362" s="461"/>
      <c r="M1362" s="460"/>
      <c r="N1362" s="460"/>
      <c r="O1362" s="461"/>
      <c r="P1362" s="461"/>
      <c r="Q1362" s="461"/>
      <c r="R1362" s="461"/>
    </row>
    <row r="1363" ht="12.75" customHeight="1" spans="1:18">
      <c r="A1363" s="460"/>
      <c r="B1363" s="461"/>
      <c r="C1363" s="461"/>
      <c r="D1363" s="461"/>
      <c r="E1363" s="461"/>
      <c r="F1363" s="460"/>
      <c r="G1363" s="460"/>
      <c r="H1363" s="460"/>
      <c r="I1363" s="461"/>
      <c r="J1363" s="460"/>
      <c r="K1363" s="460"/>
      <c r="L1363" s="461"/>
      <c r="M1363" s="460"/>
      <c r="N1363" s="460"/>
      <c r="O1363" s="461"/>
      <c r="P1363" s="461"/>
      <c r="Q1363" s="461"/>
      <c r="R1363" s="461"/>
    </row>
    <row r="1364" ht="12.75" customHeight="1" spans="1:18">
      <c r="A1364" s="460"/>
      <c r="B1364" s="461"/>
      <c r="C1364" s="461"/>
      <c r="D1364" s="461"/>
      <c r="E1364" s="461"/>
      <c r="F1364" s="460"/>
      <c r="G1364" s="460"/>
      <c r="H1364" s="460"/>
      <c r="I1364" s="461"/>
      <c r="J1364" s="460"/>
      <c r="K1364" s="460"/>
      <c r="L1364" s="461"/>
      <c r="M1364" s="460"/>
      <c r="N1364" s="460"/>
      <c r="O1364" s="461"/>
      <c r="P1364" s="461"/>
      <c r="Q1364" s="461"/>
      <c r="R1364" s="461"/>
    </row>
    <row r="1365" ht="12.75" customHeight="1" spans="1:18">
      <c r="A1365" s="460"/>
      <c r="B1365" s="461"/>
      <c r="C1365" s="461"/>
      <c r="D1365" s="461"/>
      <c r="E1365" s="461"/>
      <c r="F1365" s="460"/>
      <c r="G1365" s="460"/>
      <c r="H1365" s="460"/>
      <c r="I1365" s="461"/>
      <c r="J1365" s="460"/>
      <c r="K1365" s="460"/>
      <c r="L1365" s="461"/>
      <c r="M1365" s="460"/>
      <c r="N1365" s="460"/>
      <c r="O1365" s="461"/>
      <c r="P1365" s="461"/>
      <c r="Q1365" s="461"/>
      <c r="R1365" s="461"/>
    </row>
    <row r="1366" ht="12.75" customHeight="1" spans="1:18">
      <c r="A1366" s="460"/>
      <c r="B1366" s="461"/>
      <c r="C1366" s="461"/>
      <c r="D1366" s="461"/>
      <c r="E1366" s="461"/>
      <c r="F1366" s="460"/>
      <c r="G1366" s="460"/>
      <c r="H1366" s="460"/>
      <c r="I1366" s="461"/>
      <c r="J1366" s="460"/>
      <c r="K1366" s="460"/>
      <c r="L1366" s="461"/>
      <c r="M1366" s="460"/>
      <c r="N1366" s="460"/>
      <c r="O1366" s="461"/>
      <c r="P1366" s="461"/>
      <c r="Q1366" s="461"/>
      <c r="R1366" s="461"/>
    </row>
    <row r="1367" ht="12.75" customHeight="1" spans="1:18">
      <c r="A1367" s="460"/>
      <c r="B1367" s="461"/>
      <c r="C1367" s="461"/>
      <c r="D1367" s="461"/>
      <c r="E1367" s="461"/>
      <c r="F1367" s="460"/>
      <c r="G1367" s="460"/>
      <c r="H1367" s="460"/>
      <c r="I1367" s="461"/>
      <c r="J1367" s="460"/>
      <c r="K1367" s="460"/>
      <c r="L1367" s="461"/>
      <c r="M1367" s="460"/>
      <c r="N1367" s="460"/>
      <c r="O1367" s="461"/>
      <c r="P1367" s="461"/>
      <c r="Q1367" s="461"/>
      <c r="R1367" s="461"/>
    </row>
    <row r="1368" ht="12.75" customHeight="1" spans="1:18">
      <c r="A1368" s="460"/>
      <c r="B1368" s="461"/>
      <c r="C1368" s="461"/>
      <c r="D1368" s="461"/>
      <c r="E1368" s="461"/>
      <c r="F1368" s="460"/>
      <c r="G1368" s="460"/>
      <c r="H1368" s="460"/>
      <c r="I1368" s="461"/>
      <c r="J1368" s="460"/>
      <c r="K1368" s="460"/>
      <c r="L1368" s="461"/>
      <c r="M1368" s="460"/>
      <c r="N1368" s="460"/>
      <c r="O1368" s="461"/>
      <c r="P1368" s="461"/>
      <c r="Q1368" s="461"/>
      <c r="R1368" s="461"/>
    </row>
    <row r="1369" ht="12.75" customHeight="1" spans="1:18">
      <c r="A1369" s="460"/>
      <c r="B1369" s="461"/>
      <c r="C1369" s="461"/>
      <c r="D1369" s="461"/>
      <c r="E1369" s="461"/>
      <c r="F1369" s="460"/>
      <c r="G1369" s="460"/>
      <c r="H1369" s="460"/>
      <c r="I1369" s="461"/>
      <c r="J1369" s="460"/>
      <c r="K1369" s="460"/>
      <c r="L1369" s="461"/>
      <c r="M1369" s="460"/>
      <c r="N1369" s="460"/>
      <c r="O1369" s="461"/>
      <c r="P1369" s="461"/>
      <c r="Q1369" s="461"/>
      <c r="R1369" s="461"/>
    </row>
    <row r="1370" ht="12.75" customHeight="1" spans="1:18">
      <c r="A1370" s="460"/>
      <c r="B1370" s="461"/>
      <c r="C1370" s="461"/>
      <c r="D1370" s="461"/>
      <c r="E1370" s="461"/>
      <c r="F1370" s="460"/>
      <c r="G1370" s="460"/>
      <c r="H1370" s="460"/>
      <c r="I1370" s="461"/>
      <c r="J1370" s="460"/>
      <c r="K1370" s="460"/>
      <c r="L1370" s="461"/>
      <c r="M1370" s="460"/>
      <c r="N1370" s="460"/>
      <c r="O1370" s="461"/>
      <c r="P1370" s="461"/>
      <c r="Q1370" s="461"/>
      <c r="R1370" s="461"/>
    </row>
    <row r="1371" ht="12.75" customHeight="1" spans="1:18">
      <c r="A1371" s="460"/>
      <c r="B1371" s="461"/>
      <c r="C1371" s="461"/>
      <c r="D1371" s="461"/>
      <c r="E1371" s="461"/>
      <c r="F1371" s="460"/>
      <c r="G1371" s="460"/>
      <c r="H1371" s="460"/>
      <c r="I1371" s="461"/>
      <c r="J1371" s="460"/>
      <c r="K1371" s="460"/>
      <c r="L1371" s="461"/>
      <c r="M1371" s="460"/>
      <c r="N1371" s="460"/>
      <c r="O1371" s="461"/>
      <c r="P1371" s="461"/>
      <c r="Q1371" s="461"/>
      <c r="R1371" s="461"/>
    </row>
    <row r="1372" ht="12.75" customHeight="1" spans="1:18">
      <c r="A1372" s="460"/>
      <c r="B1372" s="461"/>
      <c r="C1372" s="461"/>
      <c r="D1372" s="461"/>
      <c r="E1372" s="461"/>
      <c r="F1372" s="460"/>
      <c r="G1372" s="460"/>
      <c r="H1372" s="460"/>
      <c r="I1372" s="461"/>
      <c r="J1372" s="460"/>
      <c r="K1372" s="460"/>
      <c r="L1372" s="461"/>
      <c r="M1372" s="460"/>
      <c r="N1372" s="460"/>
      <c r="O1372" s="461"/>
      <c r="P1372" s="461"/>
      <c r="Q1372" s="461"/>
      <c r="R1372" s="461"/>
    </row>
    <row r="1373" ht="12.75" customHeight="1" spans="1:18">
      <c r="A1373" s="460"/>
      <c r="B1373" s="461"/>
      <c r="C1373" s="461"/>
      <c r="D1373" s="461"/>
      <c r="E1373" s="461"/>
      <c r="F1373" s="460"/>
      <c r="G1373" s="460"/>
      <c r="H1373" s="460"/>
      <c r="I1373" s="461"/>
      <c r="J1373" s="460"/>
      <c r="K1373" s="460"/>
      <c r="L1373" s="461"/>
      <c r="M1373" s="460"/>
      <c r="N1373" s="460"/>
      <c r="O1373" s="461"/>
      <c r="P1373" s="461"/>
      <c r="Q1373" s="461"/>
      <c r="R1373" s="461"/>
    </row>
    <row r="1374" ht="12.75" customHeight="1" spans="1:18">
      <c r="A1374" s="460"/>
      <c r="B1374" s="461"/>
      <c r="C1374" s="461"/>
      <c r="D1374" s="461"/>
      <c r="E1374" s="461"/>
      <c r="F1374" s="460"/>
      <c r="G1374" s="460"/>
      <c r="H1374" s="460"/>
      <c r="I1374" s="461"/>
      <c r="J1374" s="460"/>
      <c r="K1374" s="460"/>
      <c r="L1374" s="461"/>
      <c r="M1374" s="460"/>
      <c r="N1374" s="460"/>
      <c r="O1374" s="461"/>
      <c r="P1374" s="461"/>
      <c r="Q1374" s="461"/>
      <c r="R1374" s="461"/>
    </row>
    <row r="1375" ht="12.75" customHeight="1" spans="1:18">
      <c r="A1375" s="460"/>
      <c r="B1375" s="461"/>
      <c r="C1375" s="461"/>
      <c r="D1375" s="461"/>
      <c r="E1375" s="461"/>
      <c r="F1375" s="460"/>
      <c r="G1375" s="460"/>
      <c r="H1375" s="460"/>
      <c r="I1375" s="461"/>
      <c r="J1375" s="460"/>
      <c r="K1375" s="460"/>
      <c r="L1375" s="461"/>
      <c r="M1375" s="460"/>
      <c r="N1375" s="460"/>
      <c r="O1375" s="461"/>
      <c r="P1375" s="461"/>
      <c r="Q1375" s="461"/>
      <c r="R1375" s="461"/>
    </row>
    <row r="1376" ht="12.75" customHeight="1" spans="1:18">
      <c r="A1376" s="460"/>
      <c r="B1376" s="461"/>
      <c r="C1376" s="461"/>
      <c r="D1376" s="461"/>
      <c r="E1376" s="461"/>
      <c r="F1376" s="460"/>
      <c r="G1376" s="460"/>
      <c r="H1376" s="460"/>
      <c r="I1376" s="461"/>
      <c r="J1376" s="460"/>
      <c r="K1376" s="460"/>
      <c r="L1376" s="461"/>
      <c r="M1376" s="460"/>
      <c r="N1376" s="460"/>
      <c r="O1376" s="461"/>
      <c r="P1376" s="461"/>
      <c r="Q1376" s="461"/>
      <c r="R1376" s="461"/>
    </row>
    <row r="1377" ht="12.75" customHeight="1" spans="1:18">
      <c r="A1377" s="460"/>
      <c r="B1377" s="461"/>
      <c r="C1377" s="461"/>
      <c r="D1377" s="461"/>
      <c r="E1377" s="461"/>
      <c r="F1377" s="460"/>
      <c r="G1377" s="460"/>
      <c r="H1377" s="460"/>
      <c r="I1377" s="461"/>
      <c r="J1377" s="460"/>
      <c r="K1377" s="460"/>
      <c r="L1377" s="461"/>
      <c r="M1377" s="460"/>
      <c r="N1377" s="460"/>
      <c r="O1377" s="461"/>
      <c r="P1377" s="461"/>
      <c r="Q1377" s="461"/>
      <c r="R1377" s="461"/>
    </row>
    <row r="1378" ht="12.75" customHeight="1" spans="1:18">
      <c r="A1378" s="460"/>
      <c r="B1378" s="461"/>
      <c r="C1378" s="461"/>
      <c r="D1378" s="461"/>
      <c r="E1378" s="461"/>
      <c r="F1378" s="460"/>
      <c r="G1378" s="460"/>
      <c r="H1378" s="460"/>
      <c r="I1378" s="461"/>
      <c r="J1378" s="460"/>
      <c r="K1378" s="460"/>
      <c r="L1378" s="461"/>
      <c r="M1378" s="460"/>
      <c r="N1378" s="460"/>
      <c r="O1378" s="461"/>
      <c r="P1378" s="461"/>
      <c r="Q1378" s="461"/>
      <c r="R1378" s="461"/>
    </row>
    <row r="1379" ht="12.75" customHeight="1" spans="1:18">
      <c r="A1379" s="460"/>
      <c r="B1379" s="461"/>
      <c r="C1379" s="461"/>
      <c r="D1379" s="461"/>
      <c r="E1379" s="461"/>
      <c r="F1379" s="460"/>
      <c r="G1379" s="460"/>
      <c r="H1379" s="460"/>
      <c r="I1379" s="461"/>
      <c r="J1379" s="460"/>
      <c r="K1379" s="460"/>
      <c r="L1379" s="461"/>
      <c r="M1379" s="460"/>
      <c r="N1379" s="460"/>
      <c r="O1379" s="461"/>
      <c r="P1379" s="461"/>
      <c r="Q1379" s="461"/>
      <c r="R1379" s="461"/>
    </row>
    <row r="1380" ht="12.75" customHeight="1" spans="1:18">
      <c r="A1380" s="460"/>
      <c r="B1380" s="461"/>
      <c r="C1380" s="461"/>
      <c r="D1380" s="461"/>
      <c r="E1380" s="461"/>
      <c r="F1380" s="460"/>
      <c r="G1380" s="460"/>
      <c r="H1380" s="460"/>
      <c r="I1380" s="461"/>
      <c r="J1380" s="460"/>
      <c r="K1380" s="460"/>
      <c r="L1380" s="461"/>
      <c r="M1380" s="460"/>
      <c r="N1380" s="460"/>
      <c r="O1380" s="461"/>
      <c r="P1380" s="461"/>
      <c r="Q1380" s="461"/>
      <c r="R1380" s="461"/>
    </row>
    <row r="1381" ht="12.75" customHeight="1" spans="1:18">
      <c r="A1381" s="460"/>
      <c r="B1381" s="461"/>
      <c r="C1381" s="461"/>
      <c r="D1381" s="461"/>
      <c r="E1381" s="461"/>
      <c r="F1381" s="460"/>
      <c r="G1381" s="460"/>
      <c r="H1381" s="460"/>
      <c r="I1381" s="461"/>
      <c r="J1381" s="460"/>
      <c r="K1381" s="460"/>
      <c r="L1381" s="461"/>
      <c r="M1381" s="460"/>
      <c r="N1381" s="460"/>
      <c r="O1381" s="461"/>
      <c r="P1381" s="461"/>
      <c r="Q1381" s="461"/>
      <c r="R1381" s="461"/>
    </row>
    <row r="1382" ht="12.75" customHeight="1" spans="1:18">
      <c r="A1382" s="460"/>
      <c r="B1382" s="461"/>
      <c r="C1382" s="461"/>
      <c r="D1382" s="461"/>
      <c r="E1382" s="461"/>
      <c r="F1382" s="460"/>
      <c r="G1382" s="460"/>
      <c r="H1382" s="460"/>
      <c r="I1382" s="461"/>
      <c r="J1382" s="460"/>
      <c r="K1382" s="460"/>
      <c r="L1382" s="461"/>
      <c r="M1382" s="460"/>
      <c r="N1382" s="460"/>
      <c r="O1382" s="461"/>
      <c r="P1382" s="461"/>
      <c r="Q1382" s="461"/>
      <c r="R1382" s="461"/>
    </row>
    <row r="1383" ht="12.75" customHeight="1" spans="1:18">
      <c r="A1383" s="460"/>
      <c r="B1383" s="461"/>
      <c r="C1383" s="461"/>
      <c r="D1383" s="461"/>
      <c r="E1383" s="461"/>
      <c r="F1383" s="460"/>
      <c r="G1383" s="460"/>
      <c r="H1383" s="460"/>
      <c r="I1383" s="461"/>
      <c r="J1383" s="460"/>
      <c r="K1383" s="460"/>
      <c r="L1383" s="461"/>
      <c r="M1383" s="460"/>
      <c r="N1383" s="460"/>
      <c r="O1383" s="461"/>
      <c r="P1383" s="461"/>
      <c r="Q1383" s="461"/>
      <c r="R1383" s="461"/>
    </row>
    <row r="1384" ht="12.75" customHeight="1" spans="1:18">
      <c r="A1384" s="460"/>
      <c r="B1384" s="461"/>
      <c r="C1384" s="461"/>
      <c r="D1384" s="461"/>
      <c r="E1384" s="461"/>
      <c r="F1384" s="460"/>
      <c r="G1384" s="460"/>
      <c r="H1384" s="460"/>
      <c r="I1384" s="461"/>
      <c r="J1384" s="460"/>
      <c r="K1384" s="460"/>
      <c r="L1384" s="461"/>
      <c r="M1384" s="460"/>
      <c r="N1384" s="460"/>
      <c r="O1384" s="461"/>
      <c r="P1384" s="461"/>
      <c r="Q1384" s="461"/>
      <c r="R1384" s="461"/>
    </row>
    <row r="1385" ht="12.75" customHeight="1" spans="1:18">
      <c r="A1385" s="460"/>
      <c r="B1385" s="461"/>
      <c r="C1385" s="461"/>
      <c r="D1385" s="461"/>
      <c r="E1385" s="461"/>
      <c r="F1385" s="460"/>
      <c r="G1385" s="460"/>
      <c r="H1385" s="460"/>
      <c r="I1385" s="461"/>
      <c r="J1385" s="460"/>
      <c r="K1385" s="460"/>
      <c r="L1385" s="461"/>
      <c r="M1385" s="460"/>
      <c r="N1385" s="460"/>
      <c r="O1385" s="461"/>
      <c r="P1385" s="461"/>
      <c r="Q1385" s="461"/>
      <c r="R1385" s="461"/>
    </row>
    <row r="1386" ht="12.75" customHeight="1" spans="1:18">
      <c r="A1386" s="460"/>
      <c r="B1386" s="461"/>
      <c r="C1386" s="461"/>
      <c r="D1386" s="461"/>
      <c r="E1386" s="461"/>
      <c r="F1386" s="460"/>
      <c r="G1386" s="460"/>
      <c r="H1386" s="460"/>
      <c r="I1386" s="461"/>
      <c r="J1386" s="460"/>
      <c r="K1386" s="460"/>
      <c r="L1386" s="461"/>
      <c r="M1386" s="460"/>
      <c r="N1386" s="460"/>
      <c r="O1386" s="461"/>
      <c r="P1386" s="461"/>
      <c r="Q1386" s="461"/>
      <c r="R1386" s="461"/>
    </row>
    <row r="1387" ht="12.75" customHeight="1" spans="1:18">
      <c r="A1387" s="460"/>
      <c r="B1387" s="461"/>
      <c r="C1387" s="461"/>
      <c r="D1387" s="461"/>
      <c r="E1387" s="461"/>
      <c r="F1387" s="460"/>
      <c r="G1387" s="460"/>
      <c r="H1387" s="460"/>
      <c r="I1387" s="461"/>
      <c r="J1387" s="460"/>
      <c r="K1387" s="460"/>
      <c r="L1387" s="461"/>
      <c r="M1387" s="460"/>
      <c r="N1387" s="460"/>
      <c r="O1387" s="461"/>
      <c r="P1387" s="461"/>
      <c r="Q1387" s="461"/>
      <c r="R1387" s="461"/>
    </row>
    <row r="1388" ht="12.75" customHeight="1" spans="1:18">
      <c r="A1388" s="460"/>
      <c r="B1388" s="461"/>
      <c r="C1388" s="461"/>
      <c r="D1388" s="461"/>
      <c r="E1388" s="461"/>
      <c r="F1388" s="460"/>
      <c r="G1388" s="460"/>
      <c r="H1388" s="460"/>
      <c r="I1388" s="461"/>
      <c r="J1388" s="460"/>
      <c r="K1388" s="460"/>
      <c r="L1388" s="461"/>
      <c r="M1388" s="460"/>
      <c r="N1388" s="460"/>
      <c r="O1388" s="461"/>
      <c r="P1388" s="461"/>
      <c r="Q1388" s="461"/>
      <c r="R1388" s="461"/>
    </row>
    <row r="1389" ht="12.75" customHeight="1" spans="1:18">
      <c r="A1389" s="460"/>
      <c r="B1389" s="461"/>
      <c r="C1389" s="461"/>
      <c r="D1389" s="461"/>
      <c r="E1389" s="461"/>
      <c r="F1389" s="460"/>
      <c r="G1389" s="460"/>
      <c r="H1389" s="460"/>
      <c r="I1389" s="461"/>
      <c r="J1389" s="460"/>
      <c r="K1389" s="460"/>
      <c r="L1389" s="461"/>
      <c r="M1389" s="460"/>
      <c r="N1389" s="460"/>
      <c r="O1389" s="461"/>
      <c r="P1389" s="461"/>
      <c r="Q1389" s="461"/>
      <c r="R1389" s="461"/>
    </row>
    <row r="1390" ht="12.75" customHeight="1" spans="1:18">
      <c r="A1390" s="460"/>
      <c r="B1390" s="461"/>
      <c r="C1390" s="461"/>
      <c r="D1390" s="461"/>
      <c r="E1390" s="461"/>
      <c r="F1390" s="460"/>
      <c r="G1390" s="460"/>
      <c r="H1390" s="460"/>
      <c r="I1390" s="461"/>
      <c r="J1390" s="460"/>
      <c r="K1390" s="460"/>
      <c r="L1390" s="461"/>
      <c r="M1390" s="460"/>
      <c r="N1390" s="460"/>
      <c r="O1390" s="461"/>
      <c r="P1390" s="461"/>
      <c r="Q1390" s="461"/>
      <c r="R1390" s="461"/>
    </row>
    <row r="1391" ht="12.75" customHeight="1" spans="1:18">
      <c r="A1391" s="460"/>
      <c r="B1391" s="461"/>
      <c r="C1391" s="461"/>
      <c r="D1391" s="461"/>
      <c r="E1391" s="461"/>
      <c r="F1391" s="460"/>
      <c r="G1391" s="460"/>
      <c r="H1391" s="460"/>
      <c r="I1391" s="461"/>
      <c r="J1391" s="460"/>
      <c r="K1391" s="460"/>
      <c r="L1391" s="461"/>
      <c r="M1391" s="460"/>
      <c r="N1391" s="460"/>
      <c r="O1391" s="461"/>
      <c r="P1391" s="461"/>
      <c r="Q1391" s="461"/>
      <c r="R1391" s="461"/>
    </row>
    <row r="1392" ht="12.75" customHeight="1" spans="1:18">
      <c r="A1392" s="460"/>
      <c r="B1392" s="461"/>
      <c r="C1392" s="461"/>
      <c r="D1392" s="461"/>
      <c r="E1392" s="461"/>
      <c r="F1392" s="460"/>
      <c r="G1392" s="460"/>
      <c r="H1392" s="460"/>
      <c r="I1392" s="461"/>
      <c r="J1392" s="460"/>
      <c r="K1392" s="460"/>
      <c r="L1392" s="461"/>
      <c r="M1392" s="460"/>
      <c r="N1392" s="460"/>
      <c r="O1392" s="461"/>
      <c r="P1392" s="461"/>
      <c r="Q1392" s="461"/>
      <c r="R1392" s="461"/>
    </row>
    <row r="1393" ht="12.75" customHeight="1" spans="1:18">
      <c r="A1393" s="460"/>
      <c r="B1393" s="461"/>
      <c r="C1393" s="461"/>
      <c r="D1393" s="461"/>
      <c r="E1393" s="461"/>
      <c r="F1393" s="460"/>
      <c r="G1393" s="460"/>
      <c r="H1393" s="460"/>
      <c r="I1393" s="461"/>
      <c r="J1393" s="460"/>
      <c r="K1393" s="460"/>
      <c r="L1393" s="461"/>
      <c r="M1393" s="460"/>
      <c r="N1393" s="460"/>
      <c r="O1393" s="461"/>
      <c r="P1393" s="461"/>
      <c r="Q1393" s="461"/>
      <c r="R1393" s="461"/>
    </row>
    <row r="1394" ht="12.75" customHeight="1" spans="1:18">
      <c r="A1394" s="460"/>
      <c r="B1394" s="461"/>
      <c r="C1394" s="461"/>
      <c r="D1394" s="461"/>
      <c r="E1394" s="461"/>
      <c r="F1394" s="460"/>
      <c r="G1394" s="460"/>
      <c r="H1394" s="460"/>
      <c r="I1394" s="461"/>
      <c r="J1394" s="460"/>
      <c r="K1394" s="460"/>
      <c r="L1394" s="461"/>
      <c r="M1394" s="460"/>
      <c r="N1394" s="460"/>
      <c r="O1394" s="461"/>
      <c r="P1394" s="461"/>
      <c r="Q1394" s="461"/>
      <c r="R1394" s="461"/>
    </row>
    <row r="1395" ht="12.75" customHeight="1" spans="1:18">
      <c r="A1395" s="460"/>
      <c r="B1395" s="461"/>
      <c r="C1395" s="461"/>
      <c r="D1395" s="461"/>
      <c r="E1395" s="461"/>
      <c r="F1395" s="460"/>
      <c r="G1395" s="460"/>
      <c r="H1395" s="460"/>
      <c r="I1395" s="461"/>
      <c r="J1395" s="460"/>
      <c r="K1395" s="460"/>
      <c r="L1395" s="461"/>
      <c r="M1395" s="460"/>
      <c r="N1395" s="460"/>
      <c r="O1395" s="461"/>
      <c r="P1395" s="461"/>
      <c r="Q1395" s="461"/>
      <c r="R1395" s="461"/>
    </row>
    <row r="1396" ht="12.75" customHeight="1" spans="1:18">
      <c r="A1396" s="460"/>
      <c r="B1396" s="461"/>
      <c r="C1396" s="461"/>
      <c r="D1396" s="461"/>
      <c r="E1396" s="461"/>
      <c r="F1396" s="460"/>
      <c r="G1396" s="460"/>
      <c r="H1396" s="460"/>
      <c r="I1396" s="461"/>
      <c r="J1396" s="460"/>
      <c r="K1396" s="460"/>
      <c r="L1396" s="461"/>
      <c r="M1396" s="460"/>
      <c r="N1396" s="460"/>
      <c r="O1396" s="461"/>
      <c r="P1396" s="461"/>
      <c r="Q1396" s="461"/>
      <c r="R1396" s="461"/>
    </row>
    <row r="1397" ht="12.75" customHeight="1" spans="1:18">
      <c r="A1397" s="460"/>
      <c r="B1397" s="461"/>
      <c r="C1397" s="461"/>
      <c r="D1397" s="461"/>
      <c r="E1397" s="461"/>
      <c r="F1397" s="460"/>
      <c r="G1397" s="460"/>
      <c r="H1397" s="460"/>
      <c r="I1397" s="461"/>
      <c r="J1397" s="460"/>
      <c r="K1397" s="460"/>
      <c r="L1397" s="461"/>
      <c r="M1397" s="460"/>
      <c r="N1397" s="460"/>
      <c r="O1397" s="461"/>
      <c r="P1397" s="461"/>
      <c r="Q1397" s="461"/>
      <c r="R1397" s="461"/>
    </row>
    <row r="1398" ht="12.75" customHeight="1" spans="1:18">
      <c r="A1398" s="460"/>
      <c r="B1398" s="461"/>
      <c r="C1398" s="461"/>
      <c r="D1398" s="461"/>
      <c r="E1398" s="461"/>
      <c r="F1398" s="460"/>
      <c r="G1398" s="460"/>
      <c r="H1398" s="460"/>
      <c r="I1398" s="461"/>
      <c r="J1398" s="460"/>
      <c r="K1398" s="460"/>
      <c r="L1398" s="461"/>
      <c r="M1398" s="460"/>
      <c r="N1398" s="460"/>
      <c r="O1398" s="461"/>
      <c r="P1398" s="461"/>
      <c r="Q1398" s="461"/>
      <c r="R1398" s="461"/>
    </row>
    <row r="1399" ht="12.75" customHeight="1" spans="1:18">
      <c r="A1399" s="460"/>
      <c r="B1399" s="461"/>
      <c r="C1399" s="461"/>
      <c r="D1399" s="461"/>
      <c r="E1399" s="461"/>
      <c r="F1399" s="460"/>
      <c r="G1399" s="460"/>
      <c r="H1399" s="460"/>
      <c r="I1399" s="461"/>
      <c r="J1399" s="460"/>
      <c r="K1399" s="460"/>
      <c r="L1399" s="461"/>
      <c r="M1399" s="460"/>
      <c r="N1399" s="460"/>
      <c r="O1399" s="461"/>
      <c r="P1399" s="461"/>
      <c r="Q1399" s="461"/>
      <c r="R1399" s="461"/>
    </row>
    <row r="1400" ht="12.75" customHeight="1" spans="1:18">
      <c r="A1400" s="460"/>
      <c r="B1400" s="461"/>
      <c r="C1400" s="461"/>
      <c r="D1400" s="461"/>
      <c r="E1400" s="461"/>
      <c r="F1400" s="460"/>
      <c r="G1400" s="460"/>
      <c r="H1400" s="460"/>
      <c r="I1400" s="461"/>
      <c r="J1400" s="460"/>
      <c r="K1400" s="460"/>
      <c r="L1400" s="461"/>
      <c r="M1400" s="460"/>
      <c r="N1400" s="460"/>
      <c r="O1400" s="461"/>
      <c r="P1400" s="461"/>
      <c r="Q1400" s="461"/>
      <c r="R1400" s="461"/>
    </row>
    <row r="1401" ht="12.75" customHeight="1" spans="1:18">
      <c r="A1401" s="460"/>
      <c r="B1401" s="461"/>
      <c r="C1401" s="461"/>
      <c r="D1401" s="461"/>
      <c r="E1401" s="461"/>
      <c r="F1401" s="460"/>
      <c r="G1401" s="460"/>
      <c r="H1401" s="460"/>
      <c r="I1401" s="461"/>
      <c r="J1401" s="460"/>
      <c r="K1401" s="460"/>
      <c r="L1401" s="461"/>
      <c r="M1401" s="460"/>
      <c r="N1401" s="460"/>
      <c r="O1401" s="461"/>
      <c r="P1401" s="461"/>
      <c r="Q1401" s="461"/>
      <c r="R1401" s="461"/>
    </row>
    <row r="1402" ht="12.75" customHeight="1" spans="1:18">
      <c r="A1402" s="460"/>
      <c r="B1402" s="461"/>
      <c r="C1402" s="461"/>
      <c r="D1402" s="461"/>
      <c r="E1402" s="461"/>
      <c r="F1402" s="460"/>
      <c r="G1402" s="460"/>
      <c r="H1402" s="460"/>
      <c r="I1402" s="461"/>
      <c r="J1402" s="460"/>
      <c r="K1402" s="460"/>
      <c r="L1402" s="461"/>
      <c r="M1402" s="460"/>
      <c r="N1402" s="460"/>
      <c r="O1402" s="461"/>
      <c r="P1402" s="461"/>
      <c r="Q1402" s="461"/>
      <c r="R1402" s="461"/>
    </row>
    <row r="1403" ht="12.75" customHeight="1" spans="1:18">
      <c r="A1403" s="460"/>
      <c r="B1403" s="461"/>
      <c r="C1403" s="461"/>
      <c r="D1403" s="461"/>
      <c r="E1403" s="461"/>
      <c r="F1403" s="460"/>
      <c r="G1403" s="460"/>
      <c r="H1403" s="460"/>
      <c r="I1403" s="461"/>
      <c r="J1403" s="460"/>
      <c r="K1403" s="460"/>
      <c r="L1403" s="461"/>
      <c r="M1403" s="460"/>
      <c r="N1403" s="460"/>
      <c r="O1403" s="461"/>
      <c r="P1403" s="461"/>
      <c r="Q1403" s="461"/>
      <c r="R1403" s="461"/>
    </row>
    <row r="1404" ht="12.75" customHeight="1" spans="1:18">
      <c r="A1404" s="460"/>
      <c r="B1404" s="461"/>
      <c r="C1404" s="461"/>
      <c r="D1404" s="461"/>
      <c r="E1404" s="461"/>
      <c r="F1404" s="460"/>
      <c r="G1404" s="460"/>
      <c r="H1404" s="460"/>
      <c r="I1404" s="461"/>
      <c r="J1404" s="460"/>
      <c r="K1404" s="460"/>
      <c r="L1404" s="461"/>
      <c r="M1404" s="460"/>
      <c r="N1404" s="460"/>
      <c r="O1404" s="461"/>
      <c r="P1404" s="461"/>
      <c r="Q1404" s="461"/>
      <c r="R1404" s="461"/>
    </row>
    <row r="1405" ht="12.75" customHeight="1" spans="1:18">
      <c r="A1405" s="460"/>
      <c r="B1405" s="461"/>
      <c r="C1405" s="461"/>
      <c r="D1405" s="461"/>
      <c r="E1405" s="461"/>
      <c r="F1405" s="460"/>
      <c r="G1405" s="460"/>
      <c r="H1405" s="460"/>
      <c r="I1405" s="461"/>
      <c r="J1405" s="460"/>
      <c r="K1405" s="460"/>
      <c r="L1405" s="461"/>
      <c r="M1405" s="460"/>
      <c r="N1405" s="460"/>
      <c r="O1405" s="461"/>
      <c r="P1405" s="461"/>
      <c r="Q1405" s="461"/>
      <c r="R1405" s="461"/>
    </row>
    <row r="1406" ht="12.75" customHeight="1" spans="1:18">
      <c r="A1406" s="460"/>
      <c r="B1406" s="461"/>
      <c r="C1406" s="461"/>
      <c r="D1406" s="461"/>
      <c r="E1406" s="461"/>
      <c r="F1406" s="460"/>
      <c r="G1406" s="460"/>
      <c r="H1406" s="460"/>
      <c r="I1406" s="461"/>
      <c r="J1406" s="460"/>
      <c r="K1406" s="460"/>
      <c r="L1406" s="461"/>
      <c r="M1406" s="460"/>
      <c r="N1406" s="460"/>
      <c r="O1406" s="461"/>
      <c r="P1406" s="461"/>
      <c r="Q1406" s="461"/>
      <c r="R1406" s="461"/>
    </row>
    <row r="1407" ht="12.75" customHeight="1" spans="1:18">
      <c r="A1407" s="460"/>
      <c r="B1407" s="461"/>
      <c r="C1407" s="461"/>
      <c r="D1407" s="461"/>
      <c r="E1407" s="461"/>
      <c r="F1407" s="460"/>
      <c r="G1407" s="460"/>
      <c r="H1407" s="460"/>
      <c r="I1407" s="461"/>
      <c r="J1407" s="460"/>
      <c r="K1407" s="460"/>
      <c r="L1407" s="461"/>
      <c r="M1407" s="460"/>
      <c r="N1407" s="460"/>
      <c r="O1407" s="461"/>
      <c r="P1407" s="461"/>
      <c r="Q1407" s="461"/>
      <c r="R1407" s="461"/>
    </row>
    <row r="1408" ht="12.75" customHeight="1" spans="1:18">
      <c r="A1408" s="460"/>
      <c r="B1408" s="461"/>
      <c r="C1408" s="461"/>
      <c r="D1408" s="461"/>
      <c r="E1408" s="461"/>
      <c r="F1408" s="460"/>
      <c r="G1408" s="460"/>
      <c r="H1408" s="460"/>
      <c r="I1408" s="461"/>
      <c r="J1408" s="460"/>
      <c r="K1408" s="460"/>
      <c r="L1408" s="461"/>
      <c r="M1408" s="460"/>
      <c r="N1408" s="460"/>
      <c r="O1408" s="461"/>
      <c r="P1408" s="461"/>
      <c r="Q1408" s="461"/>
      <c r="R1408" s="461"/>
    </row>
    <row r="1409" ht="12.75" customHeight="1" spans="1:18">
      <c r="A1409" s="460"/>
      <c r="B1409" s="461"/>
      <c r="C1409" s="461"/>
      <c r="D1409" s="461"/>
      <c r="E1409" s="461"/>
      <c r="F1409" s="460"/>
      <c r="G1409" s="460"/>
      <c r="H1409" s="460"/>
      <c r="I1409" s="461"/>
      <c r="J1409" s="460"/>
      <c r="K1409" s="460"/>
      <c r="L1409" s="461"/>
      <c r="M1409" s="460"/>
      <c r="N1409" s="460"/>
      <c r="O1409" s="461"/>
      <c r="P1409" s="461"/>
      <c r="Q1409" s="461"/>
      <c r="R1409" s="461"/>
    </row>
    <row r="1410" ht="12.75" customHeight="1" spans="1:18">
      <c r="A1410" s="460"/>
      <c r="B1410" s="461"/>
      <c r="C1410" s="461"/>
      <c r="D1410" s="461"/>
      <c r="E1410" s="461"/>
      <c r="F1410" s="460"/>
      <c r="G1410" s="460"/>
      <c r="H1410" s="460"/>
      <c r="I1410" s="461"/>
      <c r="J1410" s="460"/>
      <c r="K1410" s="460"/>
      <c r="L1410" s="461"/>
      <c r="M1410" s="460"/>
      <c r="N1410" s="460"/>
      <c r="O1410" s="461"/>
      <c r="P1410" s="461"/>
      <c r="Q1410" s="461"/>
      <c r="R1410" s="461"/>
    </row>
    <row r="1411" ht="12.75" customHeight="1" spans="1:18">
      <c r="A1411" s="460"/>
      <c r="B1411" s="461"/>
      <c r="C1411" s="461"/>
      <c r="D1411" s="461"/>
      <c r="E1411" s="461"/>
      <c r="F1411" s="460"/>
      <c r="G1411" s="460"/>
      <c r="H1411" s="460"/>
      <c r="I1411" s="461"/>
      <c r="J1411" s="460"/>
      <c r="K1411" s="460"/>
      <c r="L1411" s="461"/>
      <c r="M1411" s="460"/>
      <c r="N1411" s="460"/>
      <c r="O1411" s="461"/>
      <c r="P1411" s="461"/>
      <c r="Q1411" s="461"/>
      <c r="R1411" s="461"/>
    </row>
    <row r="1412" ht="12.75" customHeight="1" spans="1:18">
      <c r="A1412" s="460"/>
      <c r="B1412" s="461"/>
      <c r="C1412" s="461"/>
      <c r="D1412" s="461"/>
      <c r="E1412" s="461"/>
      <c r="F1412" s="460"/>
      <c r="G1412" s="460"/>
      <c r="H1412" s="460"/>
      <c r="I1412" s="461"/>
      <c r="J1412" s="460"/>
      <c r="K1412" s="460"/>
      <c r="L1412" s="461"/>
      <c r="M1412" s="460"/>
      <c r="N1412" s="460"/>
      <c r="O1412" s="461"/>
      <c r="P1412" s="461"/>
      <c r="Q1412" s="461"/>
      <c r="R1412" s="461"/>
    </row>
    <row r="1413" ht="12.75" customHeight="1" spans="1:18">
      <c r="A1413" s="460"/>
      <c r="B1413" s="461"/>
      <c r="C1413" s="461"/>
      <c r="D1413" s="461"/>
      <c r="E1413" s="461"/>
      <c r="F1413" s="460"/>
      <c r="G1413" s="460"/>
      <c r="H1413" s="460"/>
      <c r="I1413" s="461"/>
      <c r="J1413" s="460"/>
      <c r="K1413" s="460"/>
      <c r="L1413" s="461"/>
      <c r="M1413" s="460"/>
      <c r="N1413" s="460"/>
      <c r="O1413" s="461"/>
      <c r="P1413" s="461"/>
      <c r="Q1413" s="461"/>
      <c r="R1413" s="461"/>
    </row>
    <row r="1414" ht="12.75" customHeight="1" spans="1:18">
      <c r="A1414" s="460"/>
      <c r="B1414" s="461"/>
      <c r="C1414" s="461"/>
      <c r="D1414" s="461"/>
      <c r="E1414" s="461"/>
      <c r="F1414" s="460"/>
      <c r="G1414" s="460"/>
      <c r="H1414" s="460"/>
      <c r="I1414" s="461"/>
      <c r="J1414" s="460"/>
      <c r="K1414" s="460"/>
      <c r="L1414" s="461"/>
      <c r="M1414" s="460"/>
      <c r="N1414" s="460"/>
      <c r="O1414" s="461"/>
      <c r="P1414" s="461"/>
      <c r="Q1414" s="461"/>
      <c r="R1414" s="461"/>
    </row>
    <row r="1415" ht="12.75" customHeight="1" spans="1:18">
      <c r="A1415" s="460"/>
      <c r="B1415" s="461"/>
      <c r="C1415" s="461"/>
      <c r="D1415" s="461"/>
      <c r="E1415" s="461"/>
      <c r="F1415" s="460"/>
      <c r="G1415" s="460"/>
      <c r="H1415" s="460"/>
      <c r="I1415" s="461"/>
      <c r="J1415" s="460"/>
      <c r="K1415" s="460"/>
      <c r="L1415" s="461"/>
      <c r="M1415" s="460"/>
      <c r="N1415" s="460"/>
      <c r="O1415" s="461"/>
      <c r="P1415" s="461"/>
      <c r="Q1415" s="461"/>
      <c r="R1415" s="461"/>
    </row>
    <row r="1416" ht="12.75" customHeight="1" spans="1:18">
      <c r="A1416" s="460"/>
      <c r="B1416" s="461"/>
      <c r="C1416" s="461"/>
      <c r="D1416" s="461"/>
      <c r="E1416" s="461"/>
      <c r="F1416" s="460"/>
      <c r="G1416" s="460"/>
      <c r="H1416" s="460"/>
      <c r="I1416" s="461"/>
      <c r="J1416" s="460"/>
      <c r="K1416" s="460"/>
      <c r="L1416" s="461"/>
      <c r="M1416" s="460"/>
      <c r="N1416" s="460"/>
      <c r="O1416" s="461"/>
      <c r="P1416" s="461"/>
      <c r="Q1416" s="461"/>
      <c r="R1416" s="461"/>
    </row>
    <row r="1417" ht="12.75" customHeight="1" spans="1:18">
      <c r="A1417" s="460"/>
      <c r="B1417" s="461"/>
      <c r="C1417" s="461"/>
      <c r="D1417" s="461"/>
      <c r="E1417" s="461"/>
      <c r="F1417" s="460"/>
      <c r="G1417" s="460"/>
      <c r="H1417" s="460"/>
      <c r="I1417" s="461"/>
      <c r="J1417" s="460"/>
      <c r="K1417" s="460"/>
      <c r="L1417" s="461"/>
      <c r="M1417" s="460"/>
      <c r="N1417" s="460"/>
      <c r="O1417" s="461"/>
      <c r="P1417" s="461"/>
      <c r="Q1417" s="461"/>
      <c r="R1417" s="461"/>
    </row>
    <row r="1418" ht="12.75" customHeight="1" spans="1:18">
      <c r="A1418" s="460"/>
      <c r="B1418" s="461"/>
      <c r="C1418" s="461"/>
      <c r="D1418" s="461"/>
      <c r="E1418" s="461"/>
      <c r="F1418" s="460"/>
      <c r="G1418" s="460"/>
      <c r="H1418" s="460"/>
      <c r="I1418" s="461"/>
      <c r="J1418" s="460"/>
      <c r="K1418" s="460"/>
      <c r="L1418" s="461"/>
      <c r="M1418" s="460"/>
      <c r="N1418" s="460"/>
      <c r="O1418" s="461"/>
      <c r="P1418" s="461"/>
      <c r="Q1418" s="461"/>
      <c r="R1418" s="461"/>
    </row>
    <row r="1419" ht="12.75" customHeight="1" spans="1:18">
      <c r="A1419" s="460"/>
      <c r="B1419" s="461"/>
      <c r="C1419" s="461"/>
      <c r="D1419" s="461"/>
      <c r="E1419" s="461"/>
      <c r="F1419" s="460"/>
      <c r="G1419" s="460"/>
      <c r="H1419" s="460"/>
      <c r="I1419" s="461"/>
      <c r="J1419" s="460"/>
      <c r="K1419" s="460"/>
      <c r="L1419" s="461"/>
      <c r="M1419" s="460"/>
      <c r="N1419" s="460"/>
      <c r="O1419" s="461"/>
      <c r="P1419" s="461"/>
      <c r="Q1419" s="461"/>
      <c r="R1419" s="461"/>
    </row>
    <row r="1420" ht="12.75" customHeight="1" spans="1:18">
      <c r="A1420" s="460"/>
      <c r="B1420" s="461"/>
      <c r="C1420" s="461"/>
      <c r="D1420" s="461"/>
      <c r="E1420" s="461"/>
      <c r="F1420" s="460"/>
      <c r="G1420" s="460"/>
      <c r="H1420" s="460"/>
      <c r="I1420" s="461"/>
      <c r="J1420" s="460"/>
      <c r="K1420" s="460"/>
      <c r="L1420" s="461"/>
      <c r="M1420" s="460"/>
      <c r="N1420" s="460"/>
      <c r="O1420" s="461"/>
      <c r="P1420" s="461"/>
      <c r="Q1420" s="461"/>
      <c r="R1420" s="461"/>
    </row>
    <row r="1421" ht="12.75" customHeight="1" spans="1:18">
      <c r="A1421" s="460"/>
      <c r="B1421" s="461"/>
      <c r="C1421" s="461"/>
      <c r="D1421" s="461"/>
      <c r="E1421" s="461"/>
      <c r="F1421" s="460"/>
      <c r="G1421" s="460"/>
      <c r="H1421" s="460"/>
      <c r="I1421" s="461"/>
      <c r="J1421" s="460"/>
      <c r="K1421" s="460"/>
      <c r="L1421" s="461"/>
      <c r="M1421" s="460"/>
      <c r="N1421" s="460"/>
      <c r="O1421" s="461"/>
      <c r="P1421" s="461"/>
      <c r="Q1421" s="461"/>
      <c r="R1421" s="461"/>
    </row>
    <row r="1422" ht="12.75" customHeight="1" spans="1:18">
      <c r="A1422" s="460"/>
      <c r="B1422" s="461"/>
      <c r="C1422" s="461"/>
      <c r="D1422" s="461"/>
      <c r="E1422" s="461"/>
      <c r="F1422" s="460"/>
      <c r="G1422" s="460"/>
      <c r="H1422" s="460"/>
      <c r="I1422" s="461"/>
      <c r="J1422" s="460"/>
      <c r="K1422" s="460"/>
      <c r="L1422" s="461"/>
      <c r="M1422" s="460"/>
      <c r="N1422" s="460"/>
      <c r="O1422" s="461"/>
      <c r="P1422" s="461"/>
      <c r="Q1422" s="461"/>
      <c r="R1422" s="461"/>
    </row>
    <row r="1423" ht="12.75" customHeight="1" spans="1:18">
      <c r="A1423" s="460"/>
      <c r="B1423" s="461"/>
      <c r="C1423" s="461"/>
      <c r="D1423" s="461"/>
      <c r="E1423" s="461"/>
      <c r="F1423" s="460"/>
      <c r="G1423" s="460"/>
      <c r="H1423" s="460"/>
      <c r="I1423" s="461"/>
      <c r="J1423" s="460"/>
      <c r="K1423" s="460"/>
      <c r="L1423" s="461"/>
      <c r="M1423" s="460"/>
      <c r="N1423" s="460"/>
      <c r="O1423" s="461"/>
      <c r="P1423" s="461"/>
      <c r="Q1423" s="461"/>
      <c r="R1423" s="461"/>
    </row>
    <row r="1424" ht="12.75" customHeight="1" spans="1:18">
      <c r="A1424" s="460"/>
      <c r="B1424" s="461"/>
      <c r="C1424" s="461"/>
      <c r="D1424" s="461"/>
      <c r="E1424" s="461"/>
      <c r="F1424" s="460"/>
      <c r="G1424" s="460"/>
      <c r="H1424" s="460"/>
      <c r="I1424" s="461"/>
      <c r="J1424" s="460"/>
      <c r="K1424" s="460"/>
      <c r="L1424" s="461"/>
      <c r="M1424" s="460"/>
      <c r="N1424" s="460"/>
      <c r="O1424" s="461"/>
      <c r="P1424" s="461"/>
      <c r="Q1424" s="461"/>
      <c r="R1424" s="461"/>
    </row>
    <row r="1425" ht="12.75" customHeight="1" spans="1:18">
      <c r="A1425" s="460"/>
      <c r="B1425" s="461"/>
      <c r="C1425" s="461"/>
      <c r="D1425" s="461"/>
      <c r="E1425" s="461"/>
      <c r="F1425" s="460"/>
      <c r="G1425" s="460"/>
      <c r="H1425" s="460"/>
      <c r="I1425" s="461"/>
      <c r="J1425" s="460"/>
      <c r="K1425" s="460"/>
      <c r="L1425" s="461"/>
      <c r="M1425" s="460"/>
      <c r="N1425" s="460"/>
      <c r="O1425" s="461"/>
      <c r="P1425" s="461"/>
      <c r="Q1425" s="461"/>
      <c r="R1425" s="461"/>
    </row>
    <row r="1426" ht="12.75" customHeight="1" spans="1:18">
      <c r="A1426" s="460"/>
      <c r="B1426" s="461"/>
      <c r="C1426" s="461"/>
      <c r="D1426" s="461"/>
      <c r="E1426" s="461"/>
      <c r="F1426" s="460"/>
      <c r="G1426" s="460"/>
      <c r="H1426" s="460"/>
      <c r="I1426" s="461"/>
      <c r="J1426" s="460"/>
      <c r="K1426" s="460"/>
      <c r="L1426" s="461"/>
      <c r="M1426" s="460"/>
      <c r="N1426" s="460"/>
      <c r="O1426" s="461"/>
      <c r="P1426" s="461"/>
      <c r="Q1426" s="461"/>
      <c r="R1426" s="461"/>
    </row>
    <row r="1427" ht="12.75" customHeight="1" spans="1:18">
      <c r="A1427" s="460"/>
      <c r="B1427" s="461"/>
      <c r="C1427" s="461"/>
      <c r="D1427" s="461"/>
      <c r="E1427" s="461"/>
      <c r="F1427" s="460"/>
      <c r="G1427" s="460"/>
      <c r="H1427" s="460"/>
      <c r="I1427" s="461"/>
      <c r="J1427" s="460"/>
      <c r="K1427" s="460"/>
      <c r="L1427" s="461"/>
      <c r="M1427" s="460"/>
      <c r="N1427" s="460"/>
      <c r="O1427" s="461"/>
      <c r="P1427" s="461"/>
      <c r="Q1427" s="461"/>
      <c r="R1427" s="461"/>
    </row>
    <row r="1428" ht="12.75" customHeight="1" spans="1:18">
      <c r="A1428" s="460"/>
      <c r="B1428" s="461"/>
      <c r="C1428" s="461"/>
      <c r="D1428" s="461"/>
      <c r="E1428" s="461"/>
      <c r="F1428" s="460"/>
      <c r="G1428" s="460"/>
      <c r="H1428" s="460"/>
      <c r="I1428" s="461"/>
      <c r="J1428" s="460"/>
      <c r="K1428" s="460"/>
      <c r="L1428" s="461"/>
      <c r="M1428" s="460"/>
      <c r="N1428" s="460"/>
      <c r="O1428" s="461"/>
      <c r="P1428" s="461"/>
      <c r="Q1428" s="461"/>
      <c r="R1428" s="461"/>
    </row>
    <row r="1429" ht="12.75" customHeight="1" spans="1:18">
      <c r="A1429" s="460"/>
      <c r="B1429" s="461"/>
      <c r="C1429" s="461"/>
      <c r="D1429" s="461"/>
      <c r="E1429" s="461"/>
      <c r="F1429" s="460"/>
      <c r="G1429" s="460"/>
      <c r="H1429" s="460"/>
      <c r="I1429" s="461"/>
      <c r="J1429" s="460"/>
      <c r="K1429" s="460"/>
      <c r="L1429" s="461"/>
      <c r="M1429" s="460"/>
      <c r="N1429" s="460"/>
      <c r="O1429" s="461"/>
      <c r="P1429" s="461"/>
      <c r="Q1429" s="461"/>
      <c r="R1429" s="461"/>
    </row>
    <row r="1430" ht="12.75" customHeight="1" spans="1:18">
      <c r="A1430" s="460"/>
      <c r="B1430" s="461"/>
      <c r="C1430" s="461"/>
      <c r="D1430" s="461"/>
      <c r="E1430" s="461"/>
      <c r="F1430" s="460"/>
      <c r="G1430" s="460"/>
      <c r="H1430" s="460"/>
      <c r="I1430" s="461"/>
      <c r="J1430" s="460"/>
      <c r="K1430" s="460"/>
      <c r="L1430" s="461"/>
      <c r="M1430" s="460"/>
      <c r="N1430" s="460"/>
      <c r="O1430" s="461"/>
      <c r="P1430" s="461"/>
      <c r="Q1430" s="461"/>
      <c r="R1430" s="461"/>
    </row>
    <row r="1431" ht="12.75" customHeight="1" spans="1:18">
      <c r="A1431" s="460"/>
      <c r="B1431" s="461"/>
      <c r="C1431" s="461"/>
      <c r="D1431" s="461"/>
      <c r="E1431" s="461"/>
      <c r="F1431" s="460"/>
      <c r="G1431" s="460"/>
      <c r="H1431" s="460"/>
      <c r="I1431" s="461"/>
      <c r="J1431" s="460"/>
      <c r="K1431" s="460"/>
      <c r="L1431" s="461"/>
      <c r="M1431" s="460"/>
      <c r="N1431" s="460"/>
      <c r="O1431" s="461"/>
      <c r="P1431" s="461"/>
      <c r="Q1431" s="461"/>
      <c r="R1431" s="461"/>
    </row>
    <row r="1432" ht="12.75" customHeight="1" spans="1:18">
      <c r="A1432" s="460"/>
      <c r="B1432" s="461"/>
      <c r="C1432" s="461"/>
      <c r="D1432" s="461"/>
      <c r="E1432" s="461"/>
      <c r="F1432" s="460"/>
      <c r="G1432" s="460"/>
      <c r="H1432" s="460"/>
      <c r="I1432" s="461"/>
      <c r="J1432" s="460"/>
      <c r="K1432" s="460"/>
      <c r="L1432" s="461"/>
      <c r="M1432" s="460"/>
      <c r="N1432" s="460"/>
      <c r="O1432" s="461"/>
      <c r="P1432" s="461"/>
      <c r="Q1432" s="461"/>
      <c r="R1432" s="461"/>
    </row>
    <row r="1433" ht="12.75" customHeight="1" spans="1:18">
      <c r="A1433" s="460"/>
      <c r="B1433" s="461"/>
      <c r="C1433" s="461"/>
      <c r="D1433" s="461"/>
      <c r="E1433" s="461"/>
      <c r="F1433" s="460"/>
      <c r="G1433" s="460"/>
      <c r="H1433" s="460"/>
      <c r="I1433" s="461"/>
      <c r="J1433" s="460"/>
      <c r="K1433" s="460"/>
      <c r="L1433" s="461"/>
      <c r="M1433" s="460"/>
      <c r="N1433" s="460"/>
      <c r="O1433" s="461"/>
      <c r="P1433" s="461"/>
      <c r="Q1433" s="461"/>
      <c r="R1433" s="461"/>
    </row>
    <row r="1434" ht="12.75" customHeight="1" spans="1:18">
      <c r="A1434" s="460"/>
      <c r="B1434" s="461"/>
      <c r="C1434" s="461"/>
      <c r="D1434" s="461"/>
      <c r="E1434" s="461"/>
      <c r="F1434" s="460"/>
      <c r="G1434" s="460"/>
      <c r="H1434" s="460"/>
      <c r="I1434" s="461"/>
      <c r="J1434" s="460"/>
      <c r="K1434" s="460"/>
      <c r="L1434" s="461"/>
      <c r="M1434" s="460"/>
      <c r="N1434" s="460"/>
      <c r="O1434" s="461"/>
      <c r="P1434" s="461"/>
      <c r="Q1434" s="461"/>
      <c r="R1434" s="461"/>
    </row>
    <row r="1435" ht="12.75" customHeight="1" spans="1:18">
      <c r="A1435" s="460"/>
      <c r="B1435" s="461"/>
      <c r="C1435" s="461"/>
      <c r="D1435" s="461"/>
      <c r="E1435" s="461"/>
      <c r="F1435" s="460"/>
      <c r="G1435" s="460"/>
      <c r="H1435" s="460"/>
      <c r="I1435" s="461"/>
      <c r="J1435" s="460"/>
      <c r="K1435" s="460"/>
      <c r="L1435" s="461"/>
      <c r="M1435" s="460"/>
      <c r="N1435" s="460"/>
      <c r="O1435" s="461"/>
      <c r="P1435" s="461"/>
      <c r="Q1435" s="461"/>
      <c r="R1435" s="461"/>
    </row>
    <row r="1436" ht="12.75" customHeight="1" spans="1:18">
      <c r="A1436" s="460"/>
      <c r="B1436" s="461"/>
      <c r="C1436" s="461"/>
      <c r="D1436" s="461"/>
      <c r="E1436" s="461"/>
      <c r="F1436" s="460"/>
      <c r="G1436" s="460"/>
      <c r="H1436" s="460"/>
      <c r="I1436" s="461"/>
      <c r="J1436" s="460"/>
      <c r="K1436" s="460"/>
      <c r="L1436" s="461"/>
      <c r="M1436" s="460"/>
      <c r="N1436" s="460"/>
      <c r="O1436" s="461"/>
      <c r="P1436" s="461"/>
      <c r="Q1436" s="461"/>
      <c r="R1436" s="461"/>
    </row>
    <row r="1437" ht="12.75" customHeight="1" spans="1:18">
      <c r="A1437" s="460"/>
      <c r="B1437" s="461"/>
      <c r="C1437" s="461"/>
      <c r="D1437" s="461"/>
      <c r="E1437" s="461"/>
      <c r="F1437" s="460"/>
      <c r="G1437" s="460"/>
      <c r="H1437" s="460"/>
      <c r="I1437" s="461"/>
      <c r="J1437" s="460"/>
      <c r="K1437" s="460"/>
      <c r="L1437" s="461"/>
      <c r="M1437" s="460"/>
      <c r="N1437" s="460"/>
      <c r="O1437" s="461"/>
      <c r="P1437" s="461"/>
      <c r="Q1437" s="461"/>
      <c r="R1437" s="461"/>
    </row>
    <row r="1438" ht="12.75" customHeight="1" spans="1:18">
      <c r="A1438" s="460"/>
      <c r="B1438" s="461"/>
      <c r="C1438" s="461"/>
      <c r="D1438" s="461"/>
      <c r="E1438" s="461"/>
      <c r="F1438" s="460"/>
      <c r="G1438" s="460"/>
      <c r="H1438" s="460"/>
      <c r="I1438" s="461"/>
      <c r="J1438" s="460"/>
      <c r="K1438" s="460"/>
      <c r="L1438" s="461"/>
      <c r="M1438" s="460"/>
      <c r="N1438" s="460"/>
      <c r="O1438" s="461"/>
      <c r="P1438" s="461"/>
      <c r="Q1438" s="461"/>
      <c r="R1438" s="461"/>
    </row>
    <row r="1439" ht="12.75" customHeight="1" spans="1:18">
      <c r="A1439" s="460"/>
      <c r="B1439" s="461"/>
      <c r="C1439" s="461"/>
      <c r="D1439" s="461"/>
      <c r="E1439" s="461"/>
      <c r="F1439" s="460"/>
      <c r="G1439" s="460"/>
      <c r="H1439" s="460"/>
      <c r="I1439" s="461"/>
      <c r="J1439" s="460"/>
      <c r="K1439" s="460"/>
      <c r="L1439" s="461"/>
      <c r="M1439" s="460"/>
      <c r="N1439" s="460"/>
      <c r="O1439" s="461"/>
      <c r="P1439" s="461"/>
      <c r="Q1439" s="461"/>
      <c r="R1439" s="461"/>
    </row>
    <row r="1440" ht="12.75" customHeight="1" spans="1:18">
      <c r="A1440" s="460"/>
      <c r="B1440" s="461"/>
      <c r="C1440" s="461"/>
      <c r="D1440" s="461"/>
      <c r="E1440" s="461"/>
      <c r="F1440" s="460"/>
      <c r="G1440" s="460"/>
      <c r="H1440" s="460"/>
      <c r="I1440" s="461"/>
      <c r="J1440" s="460"/>
      <c r="K1440" s="460"/>
      <c r="L1440" s="461"/>
      <c r="M1440" s="460"/>
      <c r="N1440" s="460"/>
      <c r="O1440" s="461"/>
      <c r="P1440" s="461"/>
      <c r="Q1440" s="461"/>
      <c r="R1440" s="461"/>
    </row>
    <row r="1441" ht="12.75" customHeight="1" spans="1:18">
      <c r="A1441" s="460"/>
      <c r="B1441" s="461"/>
      <c r="C1441" s="461"/>
      <c r="D1441" s="461"/>
      <c r="E1441" s="461"/>
      <c r="F1441" s="460"/>
      <c r="G1441" s="460"/>
      <c r="H1441" s="460"/>
      <c r="I1441" s="461"/>
      <c r="J1441" s="460"/>
      <c r="K1441" s="460"/>
      <c r="L1441" s="461"/>
      <c r="M1441" s="460"/>
      <c r="N1441" s="460"/>
      <c r="O1441" s="461"/>
      <c r="P1441" s="461"/>
      <c r="Q1441" s="461"/>
      <c r="R1441" s="461"/>
    </row>
    <row r="1442" ht="12.75" customHeight="1" spans="1:18">
      <c r="A1442" s="460"/>
      <c r="B1442" s="461"/>
      <c r="C1442" s="461"/>
      <c r="D1442" s="461"/>
      <c r="E1442" s="461"/>
      <c r="F1442" s="460"/>
      <c r="G1442" s="460"/>
      <c r="H1442" s="460"/>
      <c r="I1442" s="461"/>
      <c r="J1442" s="460"/>
      <c r="K1442" s="460"/>
      <c r="L1442" s="461"/>
      <c r="M1442" s="460"/>
      <c r="N1442" s="460"/>
      <c r="O1442" s="461"/>
      <c r="P1442" s="461"/>
      <c r="Q1442" s="461"/>
      <c r="R1442" s="461"/>
    </row>
    <row r="1443" ht="12.75" customHeight="1" spans="1:18">
      <c r="A1443" s="460"/>
      <c r="B1443" s="461"/>
      <c r="C1443" s="461"/>
      <c r="D1443" s="461"/>
      <c r="E1443" s="461"/>
      <c r="F1443" s="460"/>
      <c r="G1443" s="460"/>
      <c r="H1443" s="460"/>
      <c r="I1443" s="461"/>
      <c r="J1443" s="460"/>
      <c r="K1443" s="460"/>
      <c r="L1443" s="461"/>
      <c r="M1443" s="460"/>
      <c r="N1443" s="460"/>
      <c r="O1443" s="461"/>
      <c r="P1443" s="461"/>
      <c r="Q1443" s="461"/>
      <c r="R1443" s="461"/>
    </row>
    <row r="1444" ht="12.75" customHeight="1" spans="1:18">
      <c r="A1444" s="460"/>
      <c r="B1444" s="461"/>
      <c r="C1444" s="461"/>
      <c r="D1444" s="461"/>
      <c r="E1444" s="461"/>
      <c r="F1444" s="460"/>
      <c r="G1444" s="460"/>
      <c r="H1444" s="460"/>
      <c r="I1444" s="461"/>
      <c r="J1444" s="460"/>
      <c r="K1444" s="460"/>
      <c r="L1444" s="461"/>
      <c r="M1444" s="460"/>
      <c r="N1444" s="460"/>
      <c r="O1444" s="461"/>
      <c r="P1444" s="461"/>
      <c r="Q1444" s="461"/>
      <c r="R1444" s="461"/>
    </row>
    <row r="1445" ht="12.75" customHeight="1" spans="1:18">
      <c r="A1445" s="460"/>
      <c r="B1445" s="461"/>
      <c r="C1445" s="461"/>
      <c r="D1445" s="461"/>
      <c r="E1445" s="461"/>
      <c r="F1445" s="460"/>
      <c r="G1445" s="460"/>
      <c r="H1445" s="460"/>
      <c r="I1445" s="461"/>
      <c r="J1445" s="460"/>
      <c r="K1445" s="460"/>
      <c r="L1445" s="461"/>
      <c r="M1445" s="460"/>
      <c r="N1445" s="460"/>
      <c r="O1445" s="461"/>
      <c r="P1445" s="461"/>
      <c r="Q1445" s="461"/>
      <c r="R1445" s="461"/>
    </row>
    <row r="1446" ht="12.75" customHeight="1" spans="1:18">
      <c r="A1446" s="460"/>
      <c r="B1446" s="461"/>
      <c r="C1446" s="461"/>
      <c r="D1446" s="461"/>
      <c r="E1446" s="461"/>
      <c r="F1446" s="460"/>
      <c r="G1446" s="460"/>
      <c r="H1446" s="460"/>
      <c r="I1446" s="461"/>
      <c r="J1446" s="460"/>
      <c r="K1446" s="460"/>
      <c r="L1446" s="461"/>
      <c r="M1446" s="460"/>
      <c r="N1446" s="460"/>
      <c r="O1446" s="461"/>
      <c r="P1446" s="461"/>
      <c r="Q1446" s="461"/>
      <c r="R1446" s="461"/>
    </row>
    <row r="1447" ht="12.75" customHeight="1" spans="1:18">
      <c r="A1447" s="460"/>
      <c r="B1447" s="461"/>
      <c r="C1447" s="461"/>
      <c r="D1447" s="461"/>
      <c r="E1447" s="461"/>
      <c r="F1447" s="460"/>
      <c r="G1447" s="460"/>
      <c r="H1447" s="460"/>
      <c r="I1447" s="461"/>
      <c r="J1447" s="460"/>
      <c r="K1447" s="460"/>
      <c r="L1447" s="461"/>
      <c r="M1447" s="460"/>
      <c r="N1447" s="460"/>
      <c r="O1447" s="461"/>
      <c r="P1447" s="461"/>
      <c r="Q1447" s="461"/>
      <c r="R1447" s="461"/>
    </row>
    <row r="1448" ht="12.75" customHeight="1" spans="1:18">
      <c r="A1448" s="460"/>
      <c r="B1448" s="461"/>
      <c r="C1448" s="461"/>
      <c r="D1448" s="461"/>
      <c r="E1448" s="461"/>
      <c r="F1448" s="460"/>
      <c r="G1448" s="460"/>
      <c r="H1448" s="460"/>
      <c r="I1448" s="461"/>
      <c r="J1448" s="460"/>
      <c r="K1448" s="460"/>
      <c r="L1448" s="461"/>
      <c r="M1448" s="460"/>
      <c r="N1448" s="460"/>
      <c r="O1448" s="461"/>
      <c r="P1448" s="461"/>
      <c r="Q1448" s="461"/>
      <c r="R1448" s="461"/>
    </row>
    <row r="1449" ht="12.75" customHeight="1" spans="1:18">
      <c r="A1449" s="460"/>
      <c r="B1449" s="461"/>
      <c r="C1449" s="461"/>
      <c r="D1449" s="461"/>
      <c r="E1449" s="461"/>
      <c r="F1449" s="460"/>
      <c r="G1449" s="460"/>
      <c r="H1449" s="460"/>
      <c r="I1449" s="461"/>
      <c r="J1449" s="460"/>
      <c r="K1449" s="460"/>
      <c r="L1449" s="461"/>
      <c r="M1449" s="460"/>
      <c r="N1449" s="460"/>
      <c r="O1449" s="461"/>
      <c r="P1449" s="461"/>
      <c r="Q1449" s="461"/>
      <c r="R1449" s="461"/>
    </row>
    <row r="1450" ht="12.75" customHeight="1" spans="1:18">
      <c r="A1450" s="460"/>
      <c r="B1450" s="461"/>
      <c r="C1450" s="461"/>
      <c r="D1450" s="461"/>
      <c r="E1450" s="461"/>
      <c r="F1450" s="460"/>
      <c r="G1450" s="460"/>
      <c r="H1450" s="460"/>
      <c r="I1450" s="461"/>
      <c r="J1450" s="460"/>
      <c r="K1450" s="460"/>
      <c r="L1450" s="461"/>
      <c r="M1450" s="460"/>
      <c r="N1450" s="460"/>
      <c r="O1450" s="461"/>
      <c r="P1450" s="461"/>
      <c r="Q1450" s="461"/>
      <c r="R1450" s="461"/>
    </row>
    <row r="1451" ht="12.75" customHeight="1" spans="1:18">
      <c r="A1451" s="460"/>
      <c r="B1451" s="461"/>
      <c r="C1451" s="461"/>
      <c r="D1451" s="461"/>
      <c r="E1451" s="461"/>
      <c r="F1451" s="460"/>
      <c r="G1451" s="460"/>
      <c r="H1451" s="460"/>
      <c r="I1451" s="461"/>
      <c r="J1451" s="460"/>
      <c r="K1451" s="460"/>
      <c r="L1451" s="461"/>
      <c r="M1451" s="460"/>
      <c r="N1451" s="460"/>
      <c r="O1451" s="461"/>
      <c r="P1451" s="461"/>
      <c r="Q1451" s="461"/>
      <c r="R1451" s="461"/>
    </row>
    <row r="1452" ht="12.75" customHeight="1" spans="1:18">
      <c r="A1452" s="460"/>
      <c r="B1452" s="461"/>
      <c r="C1452" s="461"/>
      <c r="D1452" s="461"/>
      <c r="E1452" s="461"/>
      <c r="F1452" s="460"/>
      <c r="G1452" s="460"/>
      <c r="H1452" s="460"/>
      <c r="I1452" s="461"/>
      <c r="J1452" s="460"/>
      <c r="K1452" s="460"/>
      <c r="L1452" s="461"/>
      <c r="M1452" s="460"/>
      <c r="N1452" s="460"/>
      <c r="O1452" s="461"/>
      <c r="P1452" s="461"/>
      <c r="Q1452" s="461"/>
      <c r="R1452" s="461"/>
    </row>
    <row r="1453" ht="12.75" customHeight="1" spans="1:18">
      <c r="A1453" s="460"/>
      <c r="B1453" s="461"/>
      <c r="C1453" s="461"/>
      <c r="D1453" s="461"/>
      <c r="E1453" s="461"/>
      <c r="F1453" s="460"/>
      <c r="G1453" s="460"/>
      <c r="H1453" s="460"/>
      <c r="I1453" s="461"/>
      <c r="J1453" s="460"/>
      <c r="K1453" s="460"/>
      <c r="L1453" s="461"/>
      <c r="M1453" s="460"/>
      <c r="N1453" s="460"/>
      <c r="O1453" s="461"/>
      <c r="P1453" s="461"/>
      <c r="Q1453" s="461"/>
      <c r="R1453" s="461"/>
    </row>
    <row r="1454" ht="12.75" customHeight="1" spans="1:18">
      <c r="A1454" s="460"/>
      <c r="B1454" s="461"/>
      <c r="C1454" s="461"/>
      <c r="D1454" s="461"/>
      <c r="E1454" s="461"/>
      <c r="F1454" s="460"/>
      <c r="G1454" s="460"/>
      <c r="H1454" s="460"/>
      <c r="I1454" s="461"/>
      <c r="J1454" s="460"/>
      <c r="K1454" s="460"/>
      <c r="L1454" s="461"/>
      <c r="M1454" s="460"/>
      <c r="N1454" s="460"/>
      <c r="O1454" s="461"/>
      <c r="P1454" s="461"/>
      <c r="Q1454" s="461"/>
      <c r="R1454" s="461"/>
    </row>
    <row r="1455" ht="12.75" customHeight="1" spans="1:18">
      <c r="A1455" s="460"/>
      <c r="B1455" s="461"/>
      <c r="C1455" s="461"/>
      <c r="D1455" s="461"/>
      <c r="E1455" s="461"/>
      <c r="F1455" s="460"/>
      <c r="G1455" s="460"/>
      <c r="H1455" s="460"/>
      <c r="I1455" s="461"/>
      <c r="J1455" s="460"/>
      <c r="K1455" s="460"/>
      <c r="L1455" s="461"/>
      <c r="M1455" s="460"/>
      <c r="N1455" s="460"/>
      <c r="O1455" s="461"/>
      <c r="P1455" s="461"/>
      <c r="Q1455" s="461"/>
      <c r="R1455" s="461"/>
    </row>
    <row r="1456" ht="12.75" customHeight="1" spans="1:18">
      <c r="A1456" s="460"/>
      <c r="B1456" s="461"/>
      <c r="C1456" s="461"/>
      <c r="D1456" s="461"/>
      <c r="E1456" s="461"/>
      <c r="F1456" s="460"/>
      <c r="G1456" s="460"/>
      <c r="H1456" s="460"/>
      <c r="I1456" s="461"/>
      <c r="J1456" s="460"/>
      <c r="K1456" s="460"/>
      <c r="L1456" s="461"/>
      <c r="M1456" s="460"/>
      <c r="N1456" s="460"/>
      <c r="O1456" s="461"/>
      <c r="P1456" s="461"/>
      <c r="Q1456" s="461"/>
      <c r="R1456" s="461"/>
    </row>
    <row r="1457" ht="12.75" customHeight="1" spans="1:18">
      <c r="A1457" s="460"/>
      <c r="B1457" s="461"/>
      <c r="C1457" s="461"/>
      <c r="D1457" s="461"/>
      <c r="E1457" s="461"/>
      <c r="F1457" s="460"/>
      <c r="G1457" s="460"/>
      <c r="H1457" s="460"/>
      <c r="I1457" s="461"/>
      <c r="J1457" s="460"/>
      <c r="K1457" s="460"/>
      <c r="L1457" s="461"/>
      <c r="M1457" s="460"/>
      <c r="N1457" s="460"/>
      <c r="O1457" s="461"/>
      <c r="P1457" s="461"/>
      <c r="Q1457" s="461"/>
      <c r="R1457" s="461"/>
    </row>
    <row r="1458" ht="12.75" customHeight="1" spans="1:18">
      <c r="A1458" s="460"/>
      <c r="B1458" s="461"/>
      <c r="C1458" s="461"/>
      <c r="D1458" s="461"/>
      <c r="E1458" s="461"/>
      <c r="F1458" s="460"/>
      <c r="G1458" s="460"/>
      <c r="H1458" s="460"/>
      <c r="I1458" s="461"/>
      <c r="J1458" s="460"/>
      <c r="K1458" s="460"/>
      <c r="L1458" s="461"/>
      <c r="M1458" s="460"/>
      <c r="N1458" s="460"/>
      <c r="O1458" s="461"/>
      <c r="P1458" s="461"/>
      <c r="Q1458" s="461"/>
      <c r="R1458" s="461"/>
    </row>
    <row r="1459" ht="12.75" customHeight="1" spans="1:18">
      <c r="A1459" s="460"/>
      <c r="B1459" s="461"/>
      <c r="C1459" s="461"/>
      <c r="D1459" s="461"/>
      <c r="E1459" s="461"/>
      <c r="F1459" s="460"/>
      <c r="G1459" s="460"/>
      <c r="H1459" s="460"/>
      <c r="I1459" s="461"/>
      <c r="J1459" s="460"/>
      <c r="K1459" s="460"/>
      <c r="L1459" s="461"/>
      <c r="M1459" s="460"/>
      <c r="N1459" s="460"/>
      <c r="O1459" s="461"/>
      <c r="P1459" s="461"/>
      <c r="Q1459" s="461"/>
      <c r="R1459" s="461"/>
    </row>
    <row r="1460" ht="12.75" customHeight="1" spans="1:18">
      <c r="A1460" s="460"/>
      <c r="B1460" s="461"/>
      <c r="C1460" s="461"/>
      <c r="D1460" s="461"/>
      <c r="E1460" s="461"/>
      <c r="F1460" s="460"/>
      <c r="G1460" s="460"/>
      <c r="H1460" s="460"/>
      <c r="I1460" s="461"/>
      <c r="J1460" s="460"/>
      <c r="K1460" s="460"/>
      <c r="L1460" s="461"/>
      <c r="M1460" s="460"/>
      <c r="N1460" s="460"/>
      <c r="O1460" s="461"/>
      <c r="P1460" s="461"/>
      <c r="Q1460" s="461"/>
      <c r="R1460" s="461"/>
    </row>
    <row r="1461" ht="12.75" customHeight="1" spans="1:18">
      <c r="A1461" s="460"/>
      <c r="B1461" s="461"/>
      <c r="C1461" s="461"/>
      <c r="D1461" s="461"/>
      <c r="E1461" s="461"/>
      <c r="F1461" s="460"/>
      <c r="G1461" s="460"/>
      <c r="H1461" s="460"/>
      <c r="I1461" s="461"/>
      <c r="J1461" s="460"/>
      <c r="K1461" s="460"/>
      <c r="L1461" s="461"/>
      <c r="M1461" s="460"/>
      <c r="N1461" s="460"/>
      <c r="O1461" s="461"/>
      <c r="P1461" s="461"/>
      <c r="Q1461" s="461"/>
      <c r="R1461" s="461"/>
    </row>
    <row r="1462" ht="12.75" customHeight="1" spans="1:18">
      <c r="A1462" s="460"/>
      <c r="B1462" s="461"/>
      <c r="C1462" s="461"/>
      <c r="D1462" s="461"/>
      <c r="E1462" s="461"/>
      <c r="F1462" s="460"/>
      <c r="G1462" s="460"/>
      <c r="H1462" s="460"/>
      <c r="I1462" s="461"/>
      <c r="J1462" s="460"/>
      <c r="K1462" s="460"/>
      <c r="L1462" s="461"/>
      <c r="M1462" s="460"/>
      <c r="N1462" s="460"/>
      <c r="O1462" s="461"/>
      <c r="P1462" s="461"/>
      <c r="Q1462" s="461"/>
      <c r="R1462" s="461"/>
    </row>
    <row r="1463" ht="12.75" customHeight="1" spans="1:18">
      <c r="A1463" s="460"/>
      <c r="B1463" s="461"/>
      <c r="C1463" s="461"/>
      <c r="D1463" s="461"/>
      <c r="E1463" s="461"/>
      <c r="F1463" s="460"/>
      <c r="G1463" s="460"/>
      <c r="H1463" s="460"/>
      <c r="I1463" s="461"/>
      <c r="J1463" s="460"/>
      <c r="K1463" s="460"/>
      <c r="L1463" s="461"/>
      <c r="M1463" s="460"/>
      <c r="N1463" s="460"/>
      <c r="O1463" s="461"/>
      <c r="P1463" s="461"/>
      <c r="Q1463" s="461"/>
      <c r="R1463" s="461"/>
    </row>
    <row r="1464" ht="12.75" customHeight="1" spans="1:18">
      <c r="A1464" s="460"/>
      <c r="B1464" s="461"/>
      <c r="C1464" s="461"/>
      <c r="D1464" s="461"/>
      <c r="E1464" s="461"/>
      <c r="F1464" s="460"/>
      <c r="G1464" s="460"/>
      <c r="H1464" s="460"/>
      <c r="I1464" s="461"/>
      <c r="J1464" s="460"/>
      <c r="K1464" s="460"/>
      <c r="L1464" s="461"/>
      <c r="M1464" s="460"/>
      <c r="N1464" s="460"/>
      <c r="O1464" s="461"/>
      <c r="P1464" s="461"/>
      <c r="Q1464" s="461"/>
      <c r="R1464" s="461"/>
    </row>
    <row r="1465" ht="12.75" customHeight="1" spans="1:18">
      <c r="A1465" s="460"/>
      <c r="B1465" s="461"/>
      <c r="C1465" s="461"/>
      <c r="D1465" s="461"/>
      <c r="E1465" s="461"/>
      <c r="F1465" s="460"/>
      <c r="G1465" s="460"/>
      <c r="H1465" s="460"/>
      <c r="I1465" s="461"/>
      <c r="J1465" s="460"/>
      <c r="K1465" s="460"/>
      <c r="L1465" s="461"/>
      <c r="M1465" s="460"/>
      <c r="N1465" s="460"/>
      <c r="O1465" s="461"/>
      <c r="P1465" s="461"/>
      <c r="Q1465" s="461"/>
      <c r="R1465" s="461"/>
    </row>
    <row r="1466" ht="12.75" customHeight="1" spans="1:18">
      <c r="A1466" s="460"/>
      <c r="B1466" s="461"/>
      <c r="C1466" s="461"/>
      <c r="D1466" s="461"/>
      <c r="E1466" s="461"/>
      <c r="F1466" s="460"/>
      <c r="G1466" s="460"/>
      <c r="H1466" s="460"/>
      <c r="I1466" s="461"/>
      <c r="J1466" s="460"/>
      <c r="K1466" s="460"/>
      <c r="L1466" s="461"/>
      <c r="M1466" s="460"/>
      <c r="N1466" s="460"/>
      <c r="O1466" s="461"/>
      <c r="P1466" s="461"/>
      <c r="Q1466" s="461"/>
      <c r="R1466" s="461"/>
    </row>
    <row r="1467" ht="12.75" customHeight="1" spans="1:18">
      <c r="A1467" s="460"/>
      <c r="B1467" s="461"/>
      <c r="C1467" s="461"/>
      <c r="D1467" s="461"/>
      <c r="E1467" s="461"/>
      <c r="F1467" s="460"/>
      <c r="G1467" s="460"/>
      <c r="H1467" s="460"/>
      <c r="I1467" s="461"/>
      <c r="J1467" s="460"/>
      <c r="K1467" s="460"/>
      <c r="L1467" s="461"/>
      <c r="M1467" s="460"/>
      <c r="N1467" s="460"/>
      <c r="O1467" s="461"/>
      <c r="P1467" s="461"/>
      <c r="Q1467" s="461"/>
      <c r="R1467" s="461"/>
    </row>
    <row r="1468" ht="12.75" customHeight="1" spans="1:18">
      <c r="A1468" s="460"/>
      <c r="B1468" s="461"/>
      <c r="C1468" s="461"/>
      <c r="D1468" s="461"/>
      <c r="E1468" s="461"/>
      <c r="F1468" s="460"/>
      <c r="G1468" s="460"/>
      <c r="H1468" s="460"/>
      <c r="I1468" s="461"/>
      <c r="J1468" s="460"/>
      <c r="K1468" s="460"/>
      <c r="L1468" s="461"/>
      <c r="M1468" s="460"/>
      <c r="N1468" s="460"/>
      <c r="O1468" s="461"/>
      <c r="P1468" s="461"/>
      <c r="Q1468" s="461"/>
      <c r="R1468" s="461"/>
    </row>
    <row r="1469" ht="12.75" customHeight="1" spans="1:18">
      <c r="A1469" s="460"/>
      <c r="B1469" s="461"/>
      <c r="C1469" s="461"/>
      <c r="D1469" s="461"/>
      <c r="E1469" s="461"/>
      <c r="F1469" s="460"/>
      <c r="G1469" s="460"/>
      <c r="H1469" s="460"/>
      <c r="I1469" s="461"/>
      <c r="J1469" s="460"/>
      <c r="K1469" s="460"/>
      <c r="L1469" s="461"/>
      <c r="M1469" s="460"/>
      <c r="N1469" s="460"/>
      <c r="O1469" s="461"/>
      <c r="P1469" s="461"/>
      <c r="Q1469" s="461"/>
      <c r="R1469" s="461"/>
    </row>
    <row r="1470" ht="12.75" customHeight="1" spans="1:18">
      <c r="A1470" s="460"/>
      <c r="B1470" s="461"/>
      <c r="C1470" s="461"/>
      <c r="D1470" s="461"/>
      <c r="E1470" s="461"/>
      <c r="F1470" s="460"/>
      <c r="G1470" s="460"/>
      <c r="H1470" s="460"/>
      <c r="I1470" s="461"/>
      <c r="J1470" s="460"/>
      <c r="K1470" s="460"/>
      <c r="L1470" s="461"/>
      <c r="M1470" s="460"/>
      <c r="N1470" s="460"/>
      <c r="O1470" s="461"/>
      <c r="P1470" s="461"/>
      <c r="Q1470" s="461"/>
      <c r="R1470" s="461"/>
    </row>
    <row r="1471" ht="12.75" customHeight="1" spans="1:18">
      <c r="A1471" s="460"/>
      <c r="B1471" s="461"/>
      <c r="C1471" s="461"/>
      <c r="D1471" s="461"/>
      <c r="E1471" s="461"/>
      <c r="F1471" s="460"/>
      <c r="G1471" s="460"/>
      <c r="H1471" s="460"/>
      <c r="I1471" s="461"/>
      <c r="J1471" s="460"/>
      <c r="K1471" s="460"/>
      <c r="L1471" s="461"/>
      <c r="M1471" s="460"/>
      <c r="N1471" s="460"/>
      <c r="O1471" s="461"/>
      <c r="P1471" s="461"/>
      <c r="Q1471" s="461"/>
      <c r="R1471" s="461"/>
    </row>
    <row r="1472" ht="12.75" customHeight="1" spans="1:18">
      <c r="A1472" s="460"/>
      <c r="B1472" s="461"/>
      <c r="C1472" s="461"/>
      <c r="D1472" s="461"/>
      <c r="E1472" s="461"/>
      <c r="F1472" s="460"/>
      <c r="G1472" s="460"/>
      <c r="H1472" s="460"/>
      <c r="I1472" s="461"/>
      <c r="J1472" s="460"/>
      <c r="K1472" s="460"/>
      <c r="L1472" s="461"/>
      <c r="M1472" s="460"/>
      <c r="N1472" s="460"/>
      <c r="O1472" s="461"/>
      <c r="P1472" s="461"/>
      <c r="Q1472" s="461"/>
      <c r="R1472" s="461"/>
    </row>
    <row r="1473" ht="12.75" customHeight="1" spans="1:18">
      <c r="A1473" s="460"/>
      <c r="B1473" s="461"/>
      <c r="C1473" s="461"/>
      <c r="D1473" s="461"/>
      <c r="E1473" s="461"/>
      <c r="F1473" s="460"/>
      <c r="G1473" s="460"/>
      <c r="H1473" s="460"/>
      <c r="I1473" s="461"/>
      <c r="J1473" s="460"/>
      <c r="K1473" s="460"/>
      <c r="L1473" s="461"/>
      <c r="M1473" s="460"/>
      <c r="N1473" s="460"/>
      <c r="O1473" s="461"/>
      <c r="P1473" s="461"/>
      <c r="Q1473" s="461"/>
      <c r="R1473" s="461"/>
    </row>
    <row r="1474" ht="12.75" customHeight="1" spans="1:18">
      <c r="A1474" s="460"/>
      <c r="B1474" s="461"/>
      <c r="C1474" s="461"/>
      <c r="D1474" s="461"/>
      <c r="E1474" s="461"/>
      <c r="F1474" s="460"/>
      <c r="G1474" s="460"/>
      <c r="H1474" s="460"/>
      <c r="I1474" s="461"/>
      <c r="J1474" s="460"/>
      <c r="K1474" s="460"/>
      <c r="L1474" s="461"/>
      <c r="M1474" s="460"/>
      <c r="N1474" s="460"/>
      <c r="O1474" s="461"/>
      <c r="P1474" s="461"/>
      <c r="Q1474" s="461"/>
      <c r="R1474" s="461"/>
    </row>
    <row r="1475" ht="12.75" customHeight="1" spans="1:18">
      <c r="A1475" s="460"/>
      <c r="B1475" s="461"/>
      <c r="C1475" s="461"/>
      <c r="D1475" s="461"/>
      <c r="E1475" s="461"/>
      <c r="F1475" s="460"/>
      <c r="G1475" s="460"/>
      <c r="H1475" s="460"/>
      <c r="I1475" s="461"/>
      <c r="J1475" s="460"/>
      <c r="K1475" s="460"/>
      <c r="L1475" s="461"/>
      <c r="M1475" s="460"/>
      <c r="N1475" s="460"/>
      <c r="O1475" s="461"/>
      <c r="P1475" s="461"/>
      <c r="Q1475" s="461"/>
      <c r="R1475" s="461"/>
    </row>
    <row r="1476" ht="12.75" customHeight="1" spans="1:18">
      <c r="A1476" s="460"/>
      <c r="B1476" s="461"/>
      <c r="C1476" s="461"/>
      <c r="D1476" s="461"/>
      <c r="E1476" s="461"/>
      <c r="F1476" s="460"/>
      <c r="G1476" s="460"/>
      <c r="H1476" s="460"/>
      <c r="I1476" s="461"/>
      <c r="J1476" s="460"/>
      <c r="K1476" s="460"/>
      <c r="L1476" s="461"/>
      <c r="M1476" s="460"/>
      <c r="N1476" s="460"/>
      <c r="O1476" s="461"/>
      <c r="P1476" s="461"/>
      <c r="Q1476" s="461"/>
      <c r="R1476" s="461"/>
    </row>
    <row r="1477" ht="12.75" customHeight="1" spans="1:18">
      <c r="A1477" s="460"/>
      <c r="B1477" s="461"/>
      <c r="C1477" s="461"/>
      <c r="D1477" s="461"/>
      <c r="E1477" s="461"/>
      <c r="F1477" s="460"/>
      <c r="G1477" s="460"/>
      <c r="H1477" s="460"/>
      <c r="I1477" s="461"/>
      <c r="J1477" s="460"/>
      <c r="K1477" s="460"/>
      <c r="L1477" s="461"/>
      <c r="M1477" s="460"/>
      <c r="N1477" s="460"/>
      <c r="O1477" s="461"/>
      <c r="P1477" s="461"/>
      <c r="Q1477" s="461"/>
      <c r="R1477" s="461"/>
    </row>
    <row r="1478" ht="12.75" customHeight="1" spans="1:18">
      <c r="A1478" s="460"/>
      <c r="B1478" s="461"/>
      <c r="C1478" s="461"/>
      <c r="D1478" s="461"/>
      <c r="E1478" s="461"/>
      <c r="F1478" s="460"/>
      <c r="G1478" s="460"/>
      <c r="H1478" s="460"/>
      <c r="I1478" s="461"/>
      <c r="J1478" s="460"/>
      <c r="K1478" s="460"/>
      <c r="L1478" s="461"/>
      <c r="M1478" s="460"/>
      <c r="N1478" s="460"/>
      <c r="O1478" s="461"/>
      <c r="P1478" s="461"/>
      <c r="Q1478" s="461"/>
      <c r="R1478" s="461"/>
    </row>
    <row r="1479" ht="12.75" customHeight="1" spans="1:18">
      <c r="A1479" s="460"/>
      <c r="B1479" s="461"/>
      <c r="C1479" s="461"/>
      <c r="D1479" s="461"/>
      <c r="E1479" s="461"/>
      <c r="F1479" s="460"/>
      <c r="G1479" s="460"/>
      <c r="H1479" s="460"/>
      <c r="I1479" s="461"/>
      <c r="J1479" s="460"/>
      <c r="K1479" s="460"/>
      <c r="L1479" s="461"/>
      <c r="M1479" s="460"/>
      <c r="N1479" s="460"/>
      <c r="O1479" s="461"/>
      <c r="P1479" s="461"/>
      <c r="Q1479" s="461"/>
      <c r="R1479" s="461"/>
    </row>
    <row r="1480" ht="12.75" customHeight="1" spans="1:18">
      <c r="A1480" s="460"/>
      <c r="B1480" s="461"/>
      <c r="C1480" s="461"/>
      <c r="D1480" s="461"/>
      <c r="E1480" s="461"/>
      <c r="F1480" s="460"/>
      <c r="G1480" s="460"/>
      <c r="H1480" s="460"/>
      <c r="I1480" s="461"/>
      <c r="J1480" s="460"/>
      <c r="K1480" s="460"/>
      <c r="L1480" s="461"/>
      <c r="M1480" s="460"/>
      <c r="N1480" s="460"/>
      <c r="O1480" s="461"/>
      <c r="P1480" s="461"/>
      <c r="Q1480" s="461"/>
      <c r="R1480" s="461"/>
    </row>
    <row r="1481" ht="12.75" customHeight="1" spans="1:18">
      <c r="A1481" s="460"/>
      <c r="B1481" s="461"/>
      <c r="C1481" s="461"/>
      <c r="D1481" s="461"/>
      <c r="E1481" s="461"/>
      <c r="F1481" s="460"/>
      <c r="G1481" s="460"/>
      <c r="H1481" s="460"/>
      <c r="I1481" s="461"/>
      <c r="J1481" s="460"/>
      <c r="K1481" s="460"/>
      <c r="L1481" s="461"/>
      <c r="M1481" s="460"/>
      <c r="N1481" s="460"/>
      <c r="O1481" s="461"/>
      <c r="P1481" s="461"/>
      <c r="Q1481" s="461"/>
      <c r="R1481" s="461"/>
    </row>
    <row r="1482" ht="12.75" customHeight="1" spans="1:18">
      <c r="A1482" s="460"/>
      <c r="B1482" s="461"/>
      <c r="C1482" s="461"/>
      <c r="D1482" s="461"/>
      <c r="E1482" s="461"/>
      <c r="F1482" s="460"/>
      <c r="G1482" s="460"/>
      <c r="H1482" s="460"/>
      <c r="I1482" s="461"/>
      <c r="J1482" s="460"/>
      <c r="K1482" s="460"/>
      <c r="L1482" s="461"/>
      <c r="M1482" s="460"/>
      <c r="N1482" s="460"/>
      <c r="O1482" s="461"/>
      <c r="P1482" s="461"/>
      <c r="Q1482" s="461"/>
      <c r="R1482" s="461"/>
    </row>
    <row r="1483" ht="12.75" customHeight="1" spans="1:18">
      <c r="A1483" s="460"/>
      <c r="B1483" s="461"/>
      <c r="C1483" s="461"/>
      <c r="D1483" s="461"/>
      <c r="E1483" s="461"/>
      <c r="F1483" s="460"/>
      <c r="G1483" s="460"/>
      <c r="H1483" s="460"/>
      <c r="I1483" s="461"/>
      <c r="J1483" s="460"/>
      <c r="K1483" s="460"/>
      <c r="L1483" s="461"/>
      <c r="M1483" s="460"/>
      <c r="N1483" s="460"/>
      <c r="O1483" s="461"/>
      <c r="P1483" s="461"/>
      <c r="Q1483" s="461"/>
      <c r="R1483" s="461"/>
    </row>
    <row r="1484" ht="12.75" customHeight="1" spans="1:18">
      <c r="A1484" s="460"/>
      <c r="B1484" s="461"/>
      <c r="C1484" s="461"/>
      <c r="D1484" s="461"/>
      <c r="E1484" s="461"/>
      <c r="F1484" s="460"/>
      <c r="G1484" s="460"/>
      <c r="H1484" s="460"/>
      <c r="I1484" s="461"/>
      <c r="J1484" s="460"/>
      <c r="K1484" s="460"/>
      <c r="L1484" s="461"/>
      <c r="M1484" s="460"/>
      <c r="N1484" s="460"/>
      <c r="O1484" s="461"/>
      <c r="P1484" s="461"/>
      <c r="Q1484" s="461"/>
      <c r="R1484" s="461"/>
    </row>
    <row r="1485" ht="12.75" customHeight="1" spans="1:18">
      <c r="A1485" s="460"/>
      <c r="B1485" s="461"/>
      <c r="C1485" s="461"/>
      <c r="D1485" s="461"/>
      <c r="E1485" s="461"/>
      <c r="F1485" s="460"/>
      <c r="G1485" s="460"/>
      <c r="H1485" s="460"/>
      <c r="I1485" s="461"/>
      <c r="J1485" s="460"/>
      <c r="K1485" s="460"/>
      <c r="L1485" s="461"/>
      <c r="M1485" s="460"/>
      <c r="N1485" s="460"/>
      <c r="O1485" s="461"/>
      <c r="P1485" s="461"/>
      <c r="Q1485" s="461"/>
      <c r="R1485" s="461"/>
    </row>
    <row r="1486" ht="12.75" customHeight="1" spans="1:18">
      <c r="A1486" s="460"/>
      <c r="B1486" s="461"/>
      <c r="C1486" s="461"/>
      <c r="D1486" s="461"/>
      <c r="E1486" s="461"/>
      <c r="F1486" s="460"/>
      <c r="G1486" s="460"/>
      <c r="H1486" s="460"/>
      <c r="I1486" s="461"/>
      <c r="J1486" s="460"/>
      <c r="K1486" s="460"/>
      <c r="L1486" s="461"/>
      <c r="M1486" s="460"/>
      <c r="N1486" s="460"/>
      <c r="O1486" s="461"/>
      <c r="P1486" s="461"/>
      <c r="Q1486" s="461"/>
      <c r="R1486" s="461"/>
    </row>
    <row r="1487" ht="12.75" customHeight="1" spans="1:18">
      <c r="A1487" s="460"/>
      <c r="B1487" s="461"/>
      <c r="C1487" s="461"/>
      <c r="D1487" s="461"/>
      <c r="E1487" s="461"/>
      <c r="F1487" s="460"/>
      <c r="G1487" s="460"/>
      <c r="H1487" s="460"/>
      <c r="I1487" s="461"/>
      <c r="J1487" s="460"/>
      <c r="K1487" s="460"/>
      <c r="L1487" s="461"/>
      <c r="M1487" s="460"/>
      <c r="N1487" s="460"/>
      <c r="O1487" s="461"/>
      <c r="P1487" s="461"/>
      <c r="Q1487" s="461"/>
      <c r="R1487" s="461"/>
    </row>
    <row r="1488" ht="12.75" customHeight="1" spans="1:18">
      <c r="A1488" s="460"/>
      <c r="B1488" s="461"/>
      <c r="C1488" s="461"/>
      <c r="D1488" s="461"/>
      <c r="E1488" s="461"/>
      <c r="F1488" s="460"/>
      <c r="G1488" s="460"/>
      <c r="H1488" s="460"/>
      <c r="I1488" s="461"/>
      <c r="J1488" s="460"/>
      <c r="K1488" s="460"/>
      <c r="L1488" s="461"/>
      <c r="M1488" s="460"/>
      <c r="N1488" s="460"/>
      <c r="O1488" s="461"/>
      <c r="P1488" s="461"/>
      <c r="Q1488" s="461"/>
      <c r="R1488" s="461"/>
    </row>
    <row r="1489" ht="12.75" customHeight="1" spans="1:18">
      <c r="A1489" s="460"/>
      <c r="B1489" s="461"/>
      <c r="C1489" s="461"/>
      <c r="D1489" s="461"/>
      <c r="E1489" s="461"/>
      <c r="F1489" s="460"/>
      <c r="G1489" s="460"/>
      <c r="H1489" s="460"/>
      <c r="I1489" s="461"/>
      <c r="J1489" s="460"/>
      <c r="K1489" s="460"/>
      <c r="L1489" s="461"/>
      <c r="M1489" s="460"/>
      <c r="N1489" s="460"/>
      <c r="O1489" s="461"/>
      <c r="P1489" s="461"/>
      <c r="Q1489" s="461"/>
      <c r="R1489" s="461"/>
    </row>
    <row r="1490" ht="12.75" customHeight="1" spans="1:18">
      <c r="A1490" s="460"/>
      <c r="B1490" s="461"/>
      <c r="C1490" s="461"/>
      <c r="D1490" s="461"/>
      <c r="E1490" s="461"/>
      <c r="F1490" s="460"/>
      <c r="G1490" s="460"/>
      <c r="H1490" s="460"/>
      <c r="I1490" s="461"/>
      <c r="J1490" s="460"/>
      <c r="K1490" s="460"/>
      <c r="L1490" s="461"/>
      <c r="M1490" s="460"/>
      <c r="N1490" s="460"/>
      <c r="O1490" s="461"/>
      <c r="P1490" s="461"/>
      <c r="Q1490" s="461"/>
      <c r="R1490" s="461"/>
    </row>
    <row r="1491" ht="12.75" customHeight="1" spans="1:18">
      <c r="A1491" s="460"/>
      <c r="B1491" s="461"/>
      <c r="C1491" s="461"/>
      <c r="D1491" s="461"/>
      <c r="E1491" s="461"/>
      <c r="F1491" s="460"/>
      <c r="G1491" s="460"/>
      <c r="H1491" s="460"/>
      <c r="I1491" s="461"/>
      <c r="J1491" s="460"/>
      <c r="K1491" s="460"/>
      <c r="L1491" s="461"/>
      <c r="M1491" s="460"/>
      <c r="N1491" s="460"/>
      <c r="O1491" s="461"/>
      <c r="P1491" s="461"/>
      <c r="Q1491" s="461"/>
      <c r="R1491" s="461"/>
    </row>
    <row r="1492" ht="12.75" customHeight="1" spans="1:18">
      <c r="A1492" s="460"/>
      <c r="B1492" s="461"/>
      <c r="C1492" s="461"/>
      <c r="D1492" s="461"/>
      <c r="E1492" s="461"/>
      <c r="F1492" s="460"/>
      <c r="G1492" s="460"/>
      <c r="H1492" s="460"/>
      <c r="I1492" s="461"/>
      <c r="J1492" s="460"/>
      <c r="K1492" s="460"/>
      <c r="L1492" s="461"/>
      <c r="M1492" s="460"/>
      <c r="N1492" s="460"/>
      <c r="O1492" s="461"/>
      <c r="P1492" s="461"/>
      <c r="Q1492" s="461"/>
      <c r="R1492" s="461"/>
    </row>
    <row r="1493" ht="12.75" customHeight="1" spans="1:18">
      <c r="A1493" s="460"/>
      <c r="B1493" s="461"/>
      <c r="C1493" s="461"/>
      <c r="D1493" s="461"/>
      <c r="E1493" s="461"/>
      <c r="F1493" s="460"/>
      <c r="G1493" s="460"/>
      <c r="H1493" s="460"/>
      <c r="I1493" s="461"/>
      <c r="J1493" s="460"/>
      <c r="K1493" s="460"/>
      <c r="L1493" s="461"/>
      <c r="M1493" s="460"/>
      <c r="N1493" s="460"/>
      <c r="O1493" s="461"/>
      <c r="P1493" s="461"/>
      <c r="Q1493" s="461"/>
      <c r="R1493" s="461"/>
    </row>
    <row r="1494" ht="12.75" customHeight="1" spans="1:18">
      <c r="A1494" s="460"/>
      <c r="B1494" s="461"/>
      <c r="C1494" s="461"/>
      <c r="D1494" s="461"/>
      <c r="E1494" s="461"/>
      <c r="F1494" s="460"/>
      <c r="G1494" s="460"/>
      <c r="H1494" s="460"/>
      <c r="I1494" s="461"/>
      <c r="J1494" s="460"/>
      <c r="K1494" s="460"/>
      <c r="L1494" s="461"/>
      <c r="M1494" s="460"/>
      <c r="N1494" s="460"/>
      <c r="O1494" s="461"/>
      <c r="P1494" s="461"/>
      <c r="Q1494" s="461"/>
      <c r="R1494" s="461"/>
    </row>
    <row r="1495" ht="12.75" customHeight="1" spans="1:18">
      <c r="A1495" s="460"/>
      <c r="B1495" s="461"/>
      <c r="C1495" s="461"/>
      <c r="D1495" s="461"/>
      <c r="E1495" s="461"/>
      <c r="F1495" s="460"/>
      <c r="G1495" s="460"/>
      <c r="H1495" s="460"/>
      <c r="I1495" s="461"/>
      <c r="J1495" s="460"/>
      <c r="K1495" s="460"/>
      <c r="L1495" s="461"/>
      <c r="M1495" s="460"/>
      <c r="N1495" s="460"/>
      <c r="O1495" s="461"/>
      <c r="P1495" s="461"/>
      <c r="Q1495" s="461"/>
      <c r="R1495" s="461"/>
    </row>
    <row r="1496" ht="12.75" customHeight="1" spans="1:18">
      <c r="A1496" s="460"/>
      <c r="B1496" s="461"/>
      <c r="C1496" s="461"/>
      <c r="D1496" s="461"/>
      <c r="E1496" s="461"/>
      <c r="F1496" s="460"/>
      <c r="G1496" s="460"/>
      <c r="H1496" s="460"/>
      <c r="I1496" s="461"/>
      <c r="J1496" s="460"/>
      <c r="K1496" s="460"/>
      <c r="L1496" s="461"/>
      <c r="M1496" s="460"/>
      <c r="N1496" s="460"/>
      <c r="O1496" s="461"/>
      <c r="P1496" s="461"/>
      <c r="Q1496" s="461"/>
      <c r="R1496" s="461"/>
    </row>
    <row r="1497" ht="12.75" customHeight="1" spans="1:18">
      <c r="A1497" s="460"/>
      <c r="B1497" s="461"/>
      <c r="C1497" s="461"/>
      <c r="D1497" s="461"/>
      <c r="E1497" s="461"/>
      <c r="F1497" s="460"/>
      <c r="G1497" s="460"/>
      <c r="H1497" s="460"/>
      <c r="I1497" s="461"/>
      <c r="J1497" s="460"/>
      <c r="K1497" s="460"/>
      <c r="L1497" s="461"/>
      <c r="M1497" s="460"/>
      <c r="N1497" s="460"/>
      <c r="O1497" s="461"/>
      <c r="P1497" s="461"/>
      <c r="Q1497" s="461"/>
      <c r="R1497" s="461"/>
    </row>
    <row r="1498" ht="12.75" customHeight="1" spans="1:18">
      <c r="A1498" s="460"/>
      <c r="B1498" s="461"/>
      <c r="C1498" s="461"/>
      <c r="D1498" s="461"/>
      <c r="E1498" s="461"/>
      <c r="F1498" s="460"/>
      <c r="G1498" s="460"/>
      <c r="H1498" s="460"/>
      <c r="I1498" s="461"/>
      <c r="J1498" s="460"/>
      <c r="K1498" s="460"/>
      <c r="L1498" s="461"/>
      <c r="M1498" s="460"/>
      <c r="N1498" s="460"/>
      <c r="O1498" s="461"/>
      <c r="P1498" s="461"/>
      <c r="Q1498" s="461"/>
      <c r="R1498" s="461"/>
    </row>
    <row r="1499" ht="12.75" customHeight="1" spans="1:18">
      <c r="A1499" s="460"/>
      <c r="B1499" s="461"/>
      <c r="C1499" s="461"/>
      <c r="D1499" s="461"/>
      <c r="E1499" s="461"/>
      <c r="F1499" s="460"/>
      <c r="G1499" s="460"/>
      <c r="H1499" s="460"/>
      <c r="I1499" s="461"/>
      <c r="J1499" s="460"/>
      <c r="K1499" s="460"/>
      <c r="L1499" s="461"/>
      <c r="M1499" s="460"/>
      <c r="N1499" s="460"/>
      <c r="O1499" s="461"/>
      <c r="P1499" s="461"/>
      <c r="Q1499" s="461"/>
      <c r="R1499" s="461"/>
    </row>
    <row r="1500" ht="12.75" customHeight="1" spans="1:18">
      <c r="A1500" s="460"/>
      <c r="B1500" s="461"/>
      <c r="C1500" s="461"/>
      <c r="D1500" s="461"/>
      <c r="E1500" s="461"/>
      <c r="F1500" s="460"/>
      <c r="G1500" s="460"/>
      <c r="H1500" s="460"/>
      <c r="I1500" s="461"/>
      <c r="J1500" s="460"/>
      <c r="K1500" s="460"/>
      <c r="L1500" s="461"/>
      <c r="M1500" s="460"/>
      <c r="N1500" s="460"/>
      <c r="O1500" s="461"/>
      <c r="P1500" s="461"/>
      <c r="Q1500" s="461"/>
      <c r="R1500" s="461"/>
    </row>
    <row r="1501" ht="12.75" customHeight="1" spans="1:18">
      <c r="A1501" s="460"/>
      <c r="B1501" s="461"/>
      <c r="C1501" s="461"/>
      <c r="D1501" s="461"/>
      <c r="E1501" s="461"/>
      <c r="F1501" s="460"/>
      <c r="G1501" s="460"/>
      <c r="H1501" s="460"/>
      <c r="I1501" s="461"/>
      <c r="J1501" s="460"/>
      <c r="K1501" s="460"/>
      <c r="L1501" s="461"/>
      <c r="M1501" s="460"/>
      <c r="N1501" s="460"/>
      <c r="O1501" s="461"/>
      <c r="P1501" s="461"/>
      <c r="Q1501" s="461"/>
      <c r="R1501" s="461"/>
    </row>
    <row r="1502" ht="12.75" customHeight="1" spans="1:18">
      <c r="A1502" s="460"/>
      <c r="B1502" s="461"/>
      <c r="C1502" s="461"/>
      <c r="D1502" s="461"/>
      <c r="E1502" s="461"/>
      <c r="F1502" s="460"/>
      <c r="G1502" s="460"/>
      <c r="H1502" s="460"/>
      <c r="I1502" s="461"/>
      <c r="J1502" s="460"/>
      <c r="K1502" s="460"/>
      <c r="L1502" s="461"/>
      <c r="M1502" s="460"/>
      <c r="N1502" s="460"/>
      <c r="O1502" s="461"/>
      <c r="P1502" s="461"/>
      <c r="Q1502" s="461"/>
      <c r="R1502" s="461"/>
    </row>
    <row r="1503" ht="12.75" customHeight="1" spans="1:18">
      <c r="A1503" s="460"/>
      <c r="B1503" s="461"/>
      <c r="C1503" s="461"/>
      <c r="D1503" s="461"/>
      <c r="E1503" s="461"/>
      <c r="F1503" s="460"/>
      <c r="G1503" s="460"/>
      <c r="H1503" s="460"/>
      <c r="I1503" s="461"/>
      <c r="J1503" s="460"/>
      <c r="K1503" s="460"/>
      <c r="L1503" s="461"/>
      <c r="M1503" s="460"/>
      <c r="N1503" s="460"/>
      <c r="O1503" s="461"/>
      <c r="P1503" s="461"/>
      <c r="Q1503" s="461"/>
      <c r="R1503" s="461"/>
    </row>
    <row r="1504" ht="12.75" customHeight="1" spans="1:18">
      <c r="A1504" s="460"/>
      <c r="B1504" s="461"/>
      <c r="C1504" s="461"/>
      <c r="D1504" s="461"/>
      <c r="E1504" s="461"/>
      <c r="F1504" s="460"/>
      <c r="G1504" s="460"/>
      <c r="H1504" s="460"/>
      <c r="I1504" s="461"/>
      <c r="J1504" s="460"/>
      <c r="K1504" s="460"/>
      <c r="L1504" s="461"/>
      <c r="M1504" s="460"/>
      <c r="N1504" s="460"/>
      <c r="O1504" s="461"/>
      <c r="P1504" s="461"/>
      <c r="Q1504" s="461"/>
      <c r="R1504" s="461"/>
    </row>
    <row r="1505" ht="12.75" customHeight="1" spans="1:18">
      <c r="A1505" s="460"/>
      <c r="B1505" s="461"/>
      <c r="C1505" s="461"/>
      <c r="D1505" s="461"/>
      <c r="E1505" s="461"/>
      <c r="F1505" s="460"/>
      <c r="G1505" s="460"/>
      <c r="H1505" s="460"/>
      <c r="I1505" s="461"/>
      <c r="J1505" s="460"/>
      <c r="K1505" s="460"/>
      <c r="L1505" s="461"/>
      <c r="M1505" s="460"/>
      <c r="N1505" s="460"/>
      <c r="O1505" s="461"/>
      <c r="P1505" s="461"/>
      <c r="Q1505" s="461"/>
      <c r="R1505" s="461"/>
    </row>
    <row r="1506" ht="12.75" customHeight="1" spans="1:18">
      <c r="A1506" s="460"/>
      <c r="B1506" s="461"/>
      <c r="C1506" s="461"/>
      <c r="D1506" s="461"/>
      <c r="E1506" s="461"/>
      <c r="F1506" s="460"/>
      <c r="G1506" s="460"/>
      <c r="H1506" s="460"/>
      <c r="I1506" s="461"/>
      <c r="J1506" s="460"/>
      <c r="K1506" s="460"/>
      <c r="L1506" s="461"/>
      <c r="M1506" s="460"/>
      <c r="N1506" s="460"/>
      <c r="O1506" s="461"/>
      <c r="P1506" s="461"/>
      <c r="Q1506" s="461"/>
      <c r="R1506" s="461"/>
    </row>
    <row r="1507" ht="12.75" customHeight="1" spans="1:18">
      <c r="A1507" s="460"/>
      <c r="B1507" s="461"/>
      <c r="C1507" s="461"/>
      <c r="D1507" s="461"/>
      <c r="E1507" s="461"/>
      <c r="F1507" s="460"/>
      <c r="G1507" s="460"/>
      <c r="H1507" s="460"/>
      <c r="I1507" s="461"/>
      <c r="J1507" s="460"/>
      <c r="K1507" s="460"/>
      <c r="L1507" s="461"/>
      <c r="M1507" s="460"/>
      <c r="N1507" s="460"/>
      <c r="O1507" s="461"/>
      <c r="P1507" s="461"/>
      <c r="Q1507" s="461"/>
      <c r="R1507" s="461"/>
    </row>
    <row r="1508" ht="12.75" customHeight="1" spans="1:18">
      <c r="A1508" s="460"/>
      <c r="B1508" s="461"/>
      <c r="C1508" s="461"/>
      <c r="D1508" s="461"/>
      <c r="E1508" s="461"/>
      <c r="F1508" s="460"/>
      <c r="G1508" s="460"/>
      <c r="H1508" s="460"/>
      <c r="I1508" s="461"/>
      <c r="J1508" s="460"/>
      <c r="K1508" s="460"/>
      <c r="L1508" s="461"/>
      <c r="M1508" s="460"/>
      <c r="N1508" s="460"/>
      <c r="O1508" s="461"/>
      <c r="P1508" s="461"/>
      <c r="Q1508" s="461"/>
      <c r="R1508" s="461"/>
    </row>
    <row r="1509" ht="12.75" customHeight="1" spans="1:18">
      <c r="A1509" s="460"/>
      <c r="B1509" s="461"/>
      <c r="C1509" s="461"/>
      <c r="D1509" s="461"/>
      <c r="E1509" s="461"/>
      <c r="F1509" s="460"/>
      <c r="G1509" s="460"/>
      <c r="H1509" s="460"/>
      <c r="I1509" s="461"/>
      <c r="J1509" s="460"/>
      <c r="K1509" s="460"/>
      <c r="L1509" s="461"/>
      <c r="M1509" s="460"/>
      <c r="N1509" s="460"/>
      <c r="O1509" s="461"/>
      <c r="P1509" s="461"/>
      <c r="Q1509" s="461"/>
      <c r="R1509" s="461"/>
    </row>
    <row r="1510" ht="12.75" customHeight="1" spans="1:18">
      <c r="A1510" s="460"/>
      <c r="B1510" s="461"/>
      <c r="C1510" s="461"/>
      <c r="D1510" s="461"/>
      <c r="E1510" s="461"/>
      <c r="F1510" s="460"/>
      <c r="G1510" s="460"/>
      <c r="H1510" s="460"/>
      <c r="I1510" s="461"/>
      <c r="J1510" s="460"/>
      <c r="K1510" s="460"/>
      <c r="L1510" s="461"/>
      <c r="M1510" s="460"/>
      <c r="N1510" s="460"/>
      <c r="O1510" s="461"/>
      <c r="P1510" s="461"/>
      <c r="Q1510" s="461"/>
      <c r="R1510" s="461"/>
    </row>
    <row r="1511" ht="12.75" customHeight="1" spans="1:18">
      <c r="A1511" s="460"/>
      <c r="B1511" s="461"/>
      <c r="C1511" s="461"/>
      <c r="D1511" s="461"/>
      <c r="E1511" s="461"/>
      <c r="F1511" s="460"/>
      <c r="G1511" s="460"/>
      <c r="H1511" s="460"/>
      <c r="I1511" s="461"/>
      <c r="J1511" s="460"/>
      <c r="K1511" s="460"/>
      <c r="L1511" s="461"/>
      <c r="M1511" s="460"/>
      <c r="N1511" s="460"/>
      <c r="O1511" s="461"/>
      <c r="P1511" s="461"/>
      <c r="Q1511" s="461"/>
      <c r="R1511" s="461"/>
    </row>
    <row r="1512" ht="12.75" customHeight="1" spans="1:18">
      <c r="A1512" s="460"/>
      <c r="B1512" s="461"/>
      <c r="C1512" s="461"/>
      <c r="D1512" s="461"/>
      <c r="E1512" s="461"/>
      <c r="F1512" s="460"/>
      <c r="G1512" s="460"/>
      <c r="H1512" s="460"/>
      <c r="I1512" s="461"/>
      <c r="J1512" s="460"/>
      <c r="K1512" s="460"/>
      <c r="L1512" s="461"/>
      <c r="M1512" s="460"/>
      <c r="N1512" s="460"/>
      <c r="O1512" s="461"/>
      <c r="P1512" s="461"/>
      <c r="Q1512" s="461"/>
      <c r="R1512" s="461"/>
    </row>
    <row r="1513" ht="12.75" customHeight="1" spans="1:18">
      <c r="A1513" s="460"/>
      <c r="B1513" s="461"/>
      <c r="C1513" s="461"/>
      <c r="D1513" s="461"/>
      <c r="E1513" s="461"/>
      <c r="F1513" s="460"/>
      <c r="G1513" s="460"/>
      <c r="H1513" s="460"/>
      <c r="I1513" s="461"/>
      <c r="J1513" s="460"/>
      <c r="K1513" s="460"/>
      <c r="L1513" s="461"/>
      <c r="M1513" s="460"/>
      <c r="N1513" s="460"/>
      <c r="O1513" s="461"/>
      <c r="P1513" s="461"/>
      <c r="Q1513" s="461"/>
      <c r="R1513" s="461"/>
    </row>
    <row r="1514" ht="12.75" customHeight="1" spans="1:18">
      <c r="A1514" s="460"/>
      <c r="B1514" s="461"/>
      <c r="C1514" s="461"/>
      <c r="D1514" s="461"/>
      <c r="E1514" s="461"/>
      <c r="F1514" s="460"/>
      <c r="G1514" s="460"/>
      <c r="H1514" s="460"/>
      <c r="I1514" s="461"/>
      <c r="J1514" s="460"/>
      <c r="K1514" s="460"/>
      <c r="L1514" s="461"/>
      <c r="M1514" s="460"/>
      <c r="N1514" s="460"/>
      <c r="O1514" s="461"/>
      <c r="P1514" s="461"/>
      <c r="Q1514" s="461"/>
      <c r="R1514" s="461"/>
    </row>
    <row r="1515" ht="12.75" customHeight="1" spans="1:18">
      <c r="A1515" s="460"/>
      <c r="B1515" s="461"/>
      <c r="C1515" s="461"/>
      <c r="D1515" s="461"/>
      <c r="E1515" s="461"/>
      <c r="F1515" s="460"/>
      <c r="G1515" s="460"/>
      <c r="H1515" s="460"/>
      <c r="I1515" s="461"/>
      <c r="J1515" s="460"/>
      <c r="K1515" s="460"/>
      <c r="L1515" s="461"/>
      <c r="M1515" s="460"/>
      <c r="N1515" s="460"/>
      <c r="O1515" s="461"/>
      <c r="P1515" s="461"/>
      <c r="Q1515" s="461"/>
      <c r="R1515" s="461"/>
    </row>
    <row r="1516" ht="12.75" customHeight="1" spans="1:18">
      <c r="A1516" s="460"/>
      <c r="B1516" s="461"/>
      <c r="C1516" s="461"/>
      <c r="D1516" s="461"/>
      <c r="E1516" s="461"/>
      <c r="F1516" s="460"/>
      <c r="G1516" s="460"/>
      <c r="H1516" s="460"/>
      <c r="I1516" s="461"/>
      <c r="J1516" s="460"/>
      <c r="K1516" s="460"/>
      <c r="L1516" s="461"/>
      <c r="M1516" s="460"/>
      <c r="N1516" s="460"/>
      <c r="O1516" s="461"/>
      <c r="P1516" s="461"/>
      <c r="Q1516" s="461"/>
      <c r="R1516" s="461"/>
    </row>
    <row r="1517" ht="12.75" customHeight="1" spans="1:18">
      <c r="A1517" s="460"/>
      <c r="B1517" s="461"/>
      <c r="C1517" s="461"/>
      <c r="D1517" s="461"/>
      <c r="E1517" s="461"/>
      <c r="F1517" s="460"/>
      <c r="G1517" s="460"/>
      <c r="H1517" s="460"/>
      <c r="I1517" s="461"/>
      <c r="J1517" s="460"/>
      <c r="K1517" s="460"/>
      <c r="L1517" s="461"/>
      <c r="M1517" s="460"/>
      <c r="N1517" s="460"/>
      <c r="O1517" s="461"/>
      <c r="P1517" s="461"/>
      <c r="Q1517" s="461"/>
      <c r="R1517" s="461"/>
    </row>
    <row r="1518" ht="12.75" customHeight="1" spans="1:18">
      <c r="A1518" s="460"/>
      <c r="B1518" s="461"/>
      <c r="C1518" s="461"/>
      <c r="D1518" s="461"/>
      <c r="E1518" s="461"/>
      <c r="F1518" s="460"/>
      <c r="G1518" s="460"/>
      <c r="H1518" s="460"/>
      <c r="I1518" s="461"/>
      <c r="J1518" s="460"/>
      <c r="K1518" s="460"/>
      <c r="L1518" s="461"/>
      <c r="M1518" s="460"/>
      <c r="N1518" s="460"/>
      <c r="O1518" s="461"/>
      <c r="P1518" s="461"/>
      <c r="Q1518" s="461"/>
      <c r="R1518" s="461"/>
    </row>
    <row r="1519" ht="12.75" customHeight="1" spans="1:18">
      <c r="A1519" s="460"/>
      <c r="B1519" s="461"/>
      <c r="C1519" s="461"/>
      <c r="D1519" s="461"/>
      <c r="E1519" s="461"/>
      <c r="F1519" s="460"/>
      <c r="G1519" s="460"/>
      <c r="H1519" s="460"/>
      <c r="I1519" s="461"/>
      <c r="J1519" s="460"/>
      <c r="K1519" s="460"/>
      <c r="L1519" s="461"/>
      <c r="M1519" s="460"/>
      <c r="N1519" s="460"/>
      <c r="O1519" s="461"/>
      <c r="P1519" s="461"/>
      <c r="Q1519" s="461"/>
      <c r="R1519" s="461"/>
    </row>
    <row r="1520" ht="12.75" customHeight="1" spans="1:18">
      <c r="A1520" s="460"/>
      <c r="B1520" s="461"/>
      <c r="C1520" s="461"/>
      <c r="D1520" s="461"/>
      <c r="E1520" s="461"/>
      <c r="F1520" s="460"/>
      <c r="G1520" s="460"/>
      <c r="H1520" s="460"/>
      <c r="I1520" s="461"/>
      <c r="J1520" s="460"/>
      <c r="K1520" s="460"/>
      <c r="L1520" s="461"/>
      <c r="M1520" s="460"/>
      <c r="N1520" s="460"/>
      <c r="O1520" s="461"/>
      <c r="P1520" s="461"/>
      <c r="Q1520" s="461"/>
      <c r="R1520" s="461"/>
    </row>
    <row r="1521" ht="12.75" customHeight="1" spans="1:18">
      <c r="A1521" s="460"/>
      <c r="B1521" s="461"/>
      <c r="C1521" s="461"/>
      <c r="D1521" s="461"/>
      <c r="E1521" s="461"/>
      <c r="F1521" s="460"/>
      <c r="G1521" s="460"/>
      <c r="H1521" s="460"/>
      <c r="I1521" s="461"/>
      <c r="J1521" s="460"/>
      <c r="K1521" s="460"/>
      <c r="L1521" s="461"/>
      <c r="M1521" s="460"/>
      <c r="N1521" s="460"/>
      <c r="O1521" s="461"/>
      <c r="P1521" s="461"/>
      <c r="Q1521" s="461"/>
      <c r="R1521" s="461"/>
    </row>
    <row r="1522" ht="12.75" customHeight="1" spans="1:18">
      <c r="A1522" s="460"/>
      <c r="B1522" s="461"/>
      <c r="C1522" s="461"/>
      <c r="D1522" s="461"/>
      <c r="E1522" s="461"/>
      <c r="F1522" s="460"/>
      <c r="G1522" s="460"/>
      <c r="H1522" s="460"/>
      <c r="I1522" s="461"/>
      <c r="J1522" s="460"/>
      <c r="K1522" s="460"/>
      <c r="L1522" s="461"/>
      <c r="M1522" s="460"/>
      <c r="N1522" s="460"/>
      <c r="O1522" s="461"/>
      <c r="P1522" s="461"/>
      <c r="Q1522" s="461"/>
      <c r="R1522" s="461"/>
    </row>
    <row r="1523" ht="12.75" customHeight="1" spans="1:18">
      <c r="A1523" s="460"/>
      <c r="B1523" s="461"/>
      <c r="C1523" s="461"/>
      <c r="D1523" s="461"/>
      <c r="E1523" s="461"/>
      <c r="F1523" s="460"/>
      <c r="G1523" s="460"/>
      <c r="H1523" s="460"/>
      <c r="I1523" s="461"/>
      <c r="J1523" s="460"/>
      <c r="K1523" s="460"/>
      <c r="L1523" s="461"/>
      <c r="M1523" s="460"/>
      <c r="N1523" s="460"/>
      <c r="O1523" s="461"/>
      <c r="P1523" s="461"/>
      <c r="Q1523" s="461"/>
      <c r="R1523" s="461"/>
    </row>
    <row r="1524" ht="12.75" customHeight="1" spans="1:18">
      <c r="A1524" s="460"/>
      <c r="B1524" s="461"/>
      <c r="C1524" s="461"/>
      <c r="D1524" s="461"/>
      <c r="E1524" s="461"/>
      <c r="F1524" s="460"/>
      <c r="G1524" s="460"/>
      <c r="H1524" s="460"/>
      <c r="I1524" s="461"/>
      <c r="J1524" s="460"/>
      <c r="K1524" s="460"/>
      <c r="L1524" s="461"/>
      <c r="M1524" s="460"/>
      <c r="N1524" s="460"/>
      <c r="O1524" s="461"/>
      <c r="P1524" s="461"/>
      <c r="Q1524" s="461"/>
      <c r="R1524" s="461"/>
    </row>
    <row r="1525" ht="12.75" customHeight="1" spans="1:18">
      <c r="A1525" s="460"/>
      <c r="B1525" s="461"/>
      <c r="C1525" s="461"/>
      <c r="D1525" s="461"/>
      <c r="E1525" s="461"/>
      <c r="F1525" s="460"/>
      <c r="G1525" s="460"/>
      <c r="H1525" s="460"/>
      <c r="I1525" s="461"/>
      <c r="J1525" s="460"/>
      <c r="K1525" s="460"/>
      <c r="L1525" s="461"/>
      <c r="M1525" s="460"/>
      <c r="N1525" s="460"/>
      <c r="O1525" s="461"/>
      <c r="P1525" s="461"/>
      <c r="Q1525" s="461"/>
      <c r="R1525" s="461"/>
    </row>
    <row r="1526" ht="12.75" customHeight="1" spans="1:18">
      <c r="A1526" s="460"/>
      <c r="B1526" s="461"/>
      <c r="C1526" s="461"/>
      <c r="D1526" s="461"/>
      <c r="E1526" s="461"/>
      <c r="F1526" s="460"/>
      <c r="G1526" s="460"/>
      <c r="H1526" s="460"/>
      <c r="I1526" s="461"/>
      <c r="J1526" s="460"/>
      <c r="K1526" s="460"/>
      <c r="L1526" s="461"/>
      <c r="M1526" s="460"/>
      <c r="N1526" s="460"/>
      <c r="O1526" s="461"/>
      <c r="P1526" s="461"/>
      <c r="Q1526" s="461"/>
      <c r="R1526" s="461"/>
    </row>
    <row r="1527" ht="12.75" customHeight="1" spans="1:18">
      <c r="A1527" s="460"/>
      <c r="B1527" s="461"/>
      <c r="C1527" s="461"/>
      <c r="D1527" s="461"/>
      <c r="E1527" s="461"/>
      <c r="F1527" s="460"/>
      <c r="G1527" s="460"/>
      <c r="H1527" s="460"/>
      <c r="I1527" s="461"/>
      <c r="J1527" s="460"/>
      <c r="K1527" s="460"/>
      <c r="L1527" s="461"/>
      <c r="M1527" s="460"/>
      <c r="N1527" s="460"/>
      <c r="O1527" s="461"/>
      <c r="P1527" s="461"/>
      <c r="Q1527" s="461"/>
      <c r="R1527" s="461"/>
    </row>
    <row r="1528" ht="12.75" customHeight="1" spans="1:18">
      <c r="A1528" s="460"/>
      <c r="B1528" s="461"/>
      <c r="C1528" s="461"/>
      <c r="D1528" s="461"/>
      <c r="E1528" s="461"/>
      <c r="F1528" s="460"/>
      <c r="G1528" s="460"/>
      <c r="H1528" s="460"/>
      <c r="I1528" s="461"/>
      <c r="J1528" s="460"/>
      <c r="K1528" s="460"/>
      <c r="L1528" s="461"/>
      <c r="M1528" s="460"/>
      <c r="N1528" s="460"/>
      <c r="O1528" s="461"/>
      <c r="P1528" s="461"/>
      <c r="Q1528" s="461"/>
      <c r="R1528" s="461"/>
    </row>
    <row r="1529" ht="12.75" customHeight="1" spans="1:18">
      <c r="A1529" s="460"/>
      <c r="B1529" s="461"/>
      <c r="C1529" s="461"/>
      <c r="D1529" s="461"/>
      <c r="E1529" s="461"/>
      <c r="F1529" s="460"/>
      <c r="G1529" s="460"/>
      <c r="H1529" s="460"/>
      <c r="I1529" s="461"/>
      <c r="J1529" s="460"/>
      <c r="K1529" s="460"/>
      <c r="L1529" s="461"/>
      <c r="M1529" s="460"/>
      <c r="N1529" s="460"/>
      <c r="O1529" s="461"/>
      <c r="P1529" s="461"/>
      <c r="Q1529" s="461"/>
      <c r="R1529" s="461"/>
    </row>
    <row r="1530" ht="12.75" customHeight="1" spans="1:18">
      <c r="A1530" s="460"/>
      <c r="B1530" s="461"/>
      <c r="C1530" s="461"/>
      <c r="D1530" s="461"/>
      <c r="E1530" s="461"/>
      <c r="F1530" s="460"/>
      <c r="G1530" s="460"/>
      <c r="H1530" s="460"/>
      <c r="I1530" s="461"/>
      <c r="J1530" s="460"/>
      <c r="K1530" s="460"/>
      <c r="L1530" s="461"/>
      <c r="M1530" s="460"/>
      <c r="N1530" s="460"/>
      <c r="O1530" s="461"/>
      <c r="P1530" s="461"/>
      <c r="Q1530" s="461"/>
      <c r="R1530" s="461"/>
    </row>
  </sheetData>
  <mergeCells count="1">
    <mergeCell ref="A530:C530"/>
  </mergeCells>
  <conditionalFormatting sqref="G596">
    <cfRule type="notContainsBlanks" dxfId="0" priority="3">
      <formula>LEN(TRIM(G596))&gt;0</formula>
    </cfRule>
  </conditionalFormatting>
  <conditionalFormatting sqref="R2:R4">
    <cfRule type="expression" dxfId="1" priority="1">
      <formula>$K2="Hư hỏng"</formula>
    </cfRule>
  </conditionalFormatting>
  <conditionalFormatting sqref="B700:E700 G700:H700 J700:P700">
    <cfRule type="notContainsBlanks" dxfId="0" priority="2">
      <formula>LEN(TRIM(B700))&gt;0</formula>
    </cfRule>
  </conditionalFormatting>
  <hyperlinks>
    <hyperlink ref="R4" r:id="rId1" display="Thư mục Hình ảnh"/>
  </hyperlinks>
  <pageMargins left="0.7" right="0.7" top="0.75" bottom="0.75" header="0" footer="0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59"/>
  <sheetViews>
    <sheetView showGridLines="0" workbookViewId="0">
      <pane xSplit="6" ySplit="2" topLeftCell="G3" activePane="bottomRight" state="frozen"/>
      <selection/>
      <selection pane="topRight"/>
      <selection pane="bottomLeft"/>
      <selection pane="bottomRight" activeCell="G3" sqref="G3"/>
    </sheetView>
  </sheetViews>
  <sheetFormatPr defaultColWidth="12.6333333333333" defaultRowHeight="15" customHeight="1"/>
  <cols>
    <col min="1" max="1" width="7" customWidth="1"/>
    <col min="2" max="2" width="20.6333333333333" customWidth="1"/>
    <col min="3" max="3" width="14.75" customWidth="1"/>
    <col min="4" max="5" width="18.5" customWidth="1"/>
    <col min="6" max="6" width="14.5" customWidth="1"/>
    <col min="7" max="7" width="18.75" customWidth="1"/>
    <col min="8" max="8" width="12" customWidth="1"/>
    <col min="9" max="9" width="12.6333333333333" customWidth="1"/>
    <col min="10" max="10" width="10.6333333333333" customWidth="1"/>
    <col min="11" max="11" width="10.1333333333333" customWidth="1"/>
    <col min="12" max="12" width="9.13333333333333" customWidth="1"/>
    <col min="13" max="13" width="15.8833333333333" customWidth="1"/>
    <col min="14" max="15" width="13.25" customWidth="1"/>
    <col min="16" max="16" width="14" customWidth="1"/>
    <col min="17" max="25" width="29.6333333333333" customWidth="1"/>
  </cols>
  <sheetData>
    <row r="1" ht="28.5" customHeight="1" spans="1:25">
      <c r="A1" s="297" t="s">
        <v>7851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326"/>
      <c r="S1" s="326"/>
      <c r="T1" s="326"/>
      <c r="U1" s="326"/>
      <c r="V1" s="326"/>
      <c r="W1" s="326"/>
      <c r="X1" s="326"/>
      <c r="Y1" s="326"/>
    </row>
    <row r="2" ht="33" customHeight="1" spans="1:25">
      <c r="A2" s="232" t="s">
        <v>421</v>
      </c>
      <c r="B2" s="232" t="s">
        <v>7852</v>
      </c>
      <c r="C2" s="233" t="s">
        <v>7853</v>
      </c>
      <c r="D2" s="232" t="s">
        <v>6130</v>
      </c>
      <c r="E2" s="232" t="s">
        <v>7854</v>
      </c>
      <c r="F2" s="232" t="s">
        <v>7855</v>
      </c>
      <c r="G2" s="232" t="s">
        <v>7856</v>
      </c>
      <c r="H2" s="232" t="s">
        <v>436</v>
      </c>
      <c r="I2" s="232" t="s">
        <v>433</v>
      </c>
      <c r="J2" s="232" t="s">
        <v>435</v>
      </c>
      <c r="K2" s="232" t="s">
        <v>434</v>
      </c>
      <c r="L2" s="232" t="s">
        <v>437</v>
      </c>
      <c r="M2" s="233" t="s">
        <v>7857</v>
      </c>
      <c r="N2" s="233" t="s">
        <v>7858</v>
      </c>
      <c r="O2" s="232" t="s">
        <v>7859</v>
      </c>
      <c r="P2" s="234" t="s">
        <v>13</v>
      </c>
      <c r="Q2" s="234" t="s">
        <v>7860</v>
      </c>
      <c r="R2" s="327"/>
      <c r="S2" s="327"/>
      <c r="T2" s="327"/>
      <c r="U2" s="327"/>
      <c r="V2" s="327"/>
      <c r="W2" s="327"/>
      <c r="X2" s="327"/>
      <c r="Y2" s="327"/>
    </row>
    <row r="3" ht="22.5" customHeight="1" spans="1:25">
      <c r="A3" s="235" t="s">
        <v>3583</v>
      </c>
      <c r="B3" s="235" t="s">
        <v>7861</v>
      </c>
      <c r="C3" s="235">
        <f>$C$4+$C$10+$C$16+$C$29+$C$25</f>
        <v>30</v>
      </c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9"/>
      <c r="Q3" s="239"/>
      <c r="R3" s="328"/>
      <c r="S3" s="328"/>
      <c r="T3" s="328"/>
      <c r="U3" s="328"/>
      <c r="V3" s="328"/>
      <c r="W3" s="328"/>
      <c r="X3" s="328"/>
      <c r="Y3" s="328"/>
    </row>
    <row r="4" ht="17.25" customHeight="1" spans="1:25">
      <c r="A4" s="8">
        <v>1</v>
      </c>
      <c r="B4" s="8" t="s">
        <v>6139</v>
      </c>
      <c r="C4" s="8">
        <f>COUNTA($B$5:$B$9)</f>
        <v>4</v>
      </c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4"/>
      <c r="Q4" s="244"/>
      <c r="R4" s="329"/>
      <c r="S4" s="329"/>
      <c r="T4" s="329"/>
      <c r="U4" s="329"/>
      <c r="V4" s="329"/>
      <c r="W4" s="329"/>
      <c r="X4" s="329"/>
      <c r="Y4" s="329"/>
    </row>
    <row r="5" ht="12.75" customHeight="1" spans="1:25">
      <c r="A5" s="245">
        <v>1</v>
      </c>
      <c r="B5" s="330" t="s">
        <v>7862</v>
      </c>
      <c r="C5" s="331" t="s">
        <v>7863</v>
      </c>
      <c r="D5" s="245"/>
      <c r="E5" s="245" t="s">
        <v>7864</v>
      </c>
      <c r="F5" s="331" t="s">
        <v>7865</v>
      </c>
      <c r="G5" s="249" t="s">
        <v>6139</v>
      </c>
      <c r="H5" s="332" t="s">
        <v>7866</v>
      </c>
      <c r="I5" s="332" t="s">
        <v>7867</v>
      </c>
      <c r="J5" s="245"/>
      <c r="K5" s="245"/>
      <c r="L5" s="245" t="s">
        <v>7868</v>
      </c>
      <c r="M5" s="245">
        <v>7.5</v>
      </c>
      <c r="N5" s="245"/>
      <c r="O5" s="245"/>
      <c r="P5" s="193"/>
      <c r="Q5" s="193" t="s">
        <v>7869</v>
      </c>
      <c r="R5" s="333"/>
      <c r="S5" s="333"/>
      <c r="T5" s="333"/>
      <c r="U5" s="333"/>
      <c r="V5" s="333"/>
      <c r="W5" s="333"/>
      <c r="X5" s="333"/>
      <c r="Y5" s="333"/>
    </row>
    <row r="6" ht="12.75" customHeight="1" spans="1:25">
      <c r="A6" s="245">
        <f>1+A5</f>
        <v>2</v>
      </c>
      <c r="B6" s="330" t="s">
        <v>7870</v>
      </c>
      <c r="C6" s="249"/>
      <c r="D6" s="245"/>
      <c r="E6" s="245" t="s">
        <v>7871</v>
      </c>
      <c r="F6" s="249"/>
      <c r="G6" s="249" t="s">
        <v>6139</v>
      </c>
      <c r="H6" s="334" t="s">
        <v>7872</v>
      </c>
      <c r="I6" s="334" t="s">
        <v>7873</v>
      </c>
      <c r="J6" s="245">
        <v>2023</v>
      </c>
      <c r="K6" s="245" t="s">
        <v>1016</v>
      </c>
      <c r="L6" s="245" t="s">
        <v>7874</v>
      </c>
      <c r="M6" s="255">
        <v>4</v>
      </c>
      <c r="N6" s="335">
        <v>45150</v>
      </c>
      <c r="O6" s="245" t="s">
        <v>1146</v>
      </c>
      <c r="P6" s="101"/>
      <c r="Q6" s="101" t="s">
        <v>7875</v>
      </c>
      <c r="R6" s="227"/>
      <c r="S6" s="227"/>
      <c r="T6" s="227"/>
      <c r="U6" s="227"/>
      <c r="V6" s="227"/>
      <c r="W6" s="227"/>
      <c r="X6" s="227"/>
      <c r="Y6" s="227"/>
    </row>
    <row r="7" ht="12.75" customHeight="1" spans="1:25">
      <c r="A7" s="245">
        <f>A58+1</f>
        <v>2</v>
      </c>
      <c r="B7" s="330" t="s">
        <v>7876</v>
      </c>
      <c r="C7" s="249" t="s">
        <v>7877</v>
      </c>
      <c r="D7" s="245"/>
      <c r="E7" s="245" t="s">
        <v>7878</v>
      </c>
      <c r="F7" s="249"/>
      <c r="G7" s="249" t="s">
        <v>6139</v>
      </c>
      <c r="H7" s="332" t="s">
        <v>7879</v>
      </c>
      <c r="I7" s="332" t="s">
        <v>7880</v>
      </c>
      <c r="J7" s="245">
        <v>2020</v>
      </c>
      <c r="K7" s="245"/>
      <c r="L7" s="245" t="s">
        <v>7881</v>
      </c>
      <c r="M7" s="245">
        <v>7</v>
      </c>
      <c r="N7" s="245"/>
      <c r="O7" s="245"/>
      <c r="P7" s="256"/>
      <c r="Q7" s="256" t="s">
        <v>7882</v>
      </c>
      <c r="R7" s="267"/>
      <c r="S7" s="267"/>
      <c r="T7" s="267"/>
      <c r="U7" s="267"/>
      <c r="V7" s="267"/>
      <c r="W7" s="267"/>
      <c r="X7" s="267"/>
      <c r="Y7" s="267"/>
    </row>
    <row r="8" ht="12.75" customHeight="1" spans="1:25">
      <c r="A8" s="245">
        <v>4</v>
      </c>
      <c r="B8" s="330" t="s">
        <v>7883</v>
      </c>
      <c r="C8" s="249"/>
      <c r="D8" s="245"/>
      <c r="E8" s="245" t="s">
        <v>7884</v>
      </c>
      <c r="F8" s="249"/>
      <c r="G8" s="249" t="s">
        <v>6139</v>
      </c>
      <c r="H8" s="334"/>
      <c r="I8" s="334" t="s">
        <v>7885</v>
      </c>
      <c r="J8" s="245"/>
      <c r="K8" s="245"/>
      <c r="L8" s="245" t="s">
        <v>7886</v>
      </c>
      <c r="M8" s="255">
        <v>1.5</v>
      </c>
      <c r="N8" s="335">
        <v>46000</v>
      </c>
      <c r="O8" s="245" t="s">
        <v>1146</v>
      </c>
      <c r="P8" s="101"/>
      <c r="Q8" s="101" t="s">
        <v>7887</v>
      </c>
      <c r="R8" s="227"/>
      <c r="S8" s="227"/>
      <c r="T8" s="227"/>
      <c r="U8" s="227"/>
      <c r="V8" s="227"/>
      <c r="W8" s="227"/>
      <c r="X8" s="227"/>
      <c r="Y8" s="227"/>
    </row>
    <row r="9" ht="12.75" customHeight="1" spans="1:25">
      <c r="A9" s="245"/>
      <c r="B9" s="330"/>
      <c r="C9" s="249" t="s">
        <v>946</v>
      </c>
      <c r="D9" s="245"/>
      <c r="E9" s="245"/>
      <c r="F9" s="249"/>
      <c r="G9" s="249"/>
      <c r="H9" s="334"/>
      <c r="I9" s="334"/>
      <c r="J9" s="245"/>
      <c r="K9" s="245"/>
      <c r="L9" s="245"/>
      <c r="M9" s="255"/>
      <c r="N9" s="335"/>
      <c r="O9" s="245"/>
      <c r="P9" s="101"/>
      <c r="Q9" s="101"/>
      <c r="R9" s="227"/>
      <c r="S9" s="227"/>
      <c r="T9" s="227"/>
      <c r="U9" s="227"/>
      <c r="V9" s="227"/>
      <c r="W9" s="227"/>
      <c r="X9" s="227"/>
      <c r="Y9" s="227"/>
    </row>
    <row r="10" ht="17.25" customHeight="1" spans="1:25">
      <c r="A10" s="8">
        <v>2</v>
      </c>
      <c r="B10" s="8" t="s">
        <v>6176</v>
      </c>
      <c r="C10" s="8">
        <f>COUNTA($B$11:$B$15)</f>
        <v>3</v>
      </c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4"/>
      <c r="Q10" s="244"/>
      <c r="R10" s="329"/>
      <c r="S10" s="329"/>
      <c r="T10" s="329"/>
      <c r="U10" s="329"/>
      <c r="V10" s="329"/>
      <c r="W10" s="329"/>
      <c r="X10" s="329"/>
      <c r="Y10" s="329"/>
    </row>
    <row r="11" ht="12.75" customHeight="1" spans="1:25">
      <c r="A11" s="245">
        <v>1</v>
      </c>
      <c r="B11" s="330" t="s">
        <v>7888</v>
      </c>
      <c r="C11" s="331" t="s">
        <v>7889</v>
      </c>
      <c r="D11" s="245"/>
      <c r="E11" s="245" t="s">
        <v>7864</v>
      </c>
      <c r="F11" s="331" t="s">
        <v>7890</v>
      </c>
      <c r="G11" s="249" t="s">
        <v>6176</v>
      </c>
      <c r="H11" s="332" t="s">
        <v>7866</v>
      </c>
      <c r="I11" s="332" t="s">
        <v>7867</v>
      </c>
      <c r="J11" s="245"/>
      <c r="K11" s="245"/>
      <c r="L11" s="245" t="s">
        <v>7868</v>
      </c>
      <c r="M11" s="336">
        <v>7.5</v>
      </c>
      <c r="N11" s="245"/>
      <c r="O11" s="245"/>
      <c r="P11" s="193"/>
      <c r="Q11" s="193" t="s">
        <v>7891</v>
      </c>
      <c r="R11" s="333"/>
      <c r="S11" s="333"/>
      <c r="T11" s="333"/>
      <c r="U11" s="333"/>
      <c r="V11" s="333"/>
      <c r="W11" s="333"/>
      <c r="X11" s="333"/>
      <c r="Y11" s="333"/>
    </row>
    <row r="12" ht="12.75" customHeight="1" spans="1:25">
      <c r="A12" s="245">
        <f>A11+1</f>
        <v>2</v>
      </c>
      <c r="B12" s="330" t="s">
        <v>7892</v>
      </c>
      <c r="C12" s="331" t="s">
        <v>7893</v>
      </c>
      <c r="D12" s="245"/>
      <c r="E12" s="245" t="s">
        <v>7864</v>
      </c>
      <c r="F12" s="331" t="s">
        <v>7894</v>
      </c>
      <c r="G12" s="249" t="s">
        <v>6176</v>
      </c>
      <c r="H12" s="332" t="s">
        <v>7895</v>
      </c>
      <c r="I12" s="332" t="s">
        <v>7896</v>
      </c>
      <c r="J12" s="245"/>
      <c r="K12" s="245"/>
      <c r="L12" s="245" t="s">
        <v>7868</v>
      </c>
      <c r="M12" s="245">
        <v>7.5</v>
      </c>
      <c r="N12" s="245"/>
      <c r="O12" s="245"/>
      <c r="P12" s="193"/>
      <c r="Q12" s="193" t="s">
        <v>7897</v>
      </c>
      <c r="R12" s="333"/>
      <c r="S12" s="333"/>
      <c r="T12" s="333"/>
      <c r="U12" s="333"/>
      <c r="V12" s="333"/>
      <c r="W12" s="333"/>
      <c r="X12" s="333"/>
      <c r="Y12" s="333"/>
    </row>
    <row r="13" ht="12.75" customHeight="1" spans="1:25">
      <c r="A13" s="245">
        <v>3</v>
      </c>
      <c r="B13" s="330" t="s">
        <v>7898</v>
      </c>
      <c r="C13" s="249"/>
      <c r="D13" s="245"/>
      <c r="E13" s="245" t="s">
        <v>7884</v>
      </c>
      <c r="F13" s="249"/>
      <c r="G13" s="249" t="s">
        <v>6176</v>
      </c>
      <c r="H13" s="334"/>
      <c r="I13" s="334" t="s">
        <v>7885</v>
      </c>
      <c r="J13" s="245"/>
      <c r="K13" s="245"/>
      <c r="L13" s="245" t="s">
        <v>7886</v>
      </c>
      <c r="M13" s="255">
        <v>1.5</v>
      </c>
      <c r="N13" s="335">
        <v>46000</v>
      </c>
      <c r="O13" s="245" t="s">
        <v>1146</v>
      </c>
      <c r="P13" s="101"/>
      <c r="Q13" s="101" t="s">
        <v>7899</v>
      </c>
      <c r="R13" s="227"/>
      <c r="S13" s="227"/>
      <c r="T13" s="227"/>
      <c r="U13" s="227"/>
      <c r="V13" s="227"/>
      <c r="W13" s="227"/>
      <c r="X13" s="227"/>
      <c r="Y13" s="227"/>
    </row>
    <row r="14" ht="12.75" customHeight="1" spans="1:25">
      <c r="A14" s="245"/>
      <c r="B14" s="330"/>
      <c r="C14" s="331"/>
      <c r="D14" s="245"/>
      <c r="E14" s="245"/>
      <c r="F14" s="331"/>
      <c r="G14" s="249"/>
      <c r="H14" s="332"/>
      <c r="I14" s="332"/>
      <c r="J14" s="245"/>
      <c r="K14" s="245"/>
      <c r="L14" s="245"/>
      <c r="M14" s="245"/>
      <c r="N14" s="245"/>
      <c r="O14" s="245"/>
      <c r="P14" s="193"/>
      <c r="Q14" s="193"/>
      <c r="R14" s="333"/>
      <c r="S14" s="333"/>
      <c r="T14" s="333"/>
      <c r="U14" s="333"/>
      <c r="V14" s="333"/>
      <c r="W14" s="333"/>
      <c r="X14" s="333"/>
      <c r="Y14" s="333"/>
    </row>
    <row r="15" ht="12.75" hidden="1" customHeight="1" spans="1:25">
      <c r="A15" s="245"/>
      <c r="B15" s="330"/>
      <c r="C15" s="249" t="s">
        <v>946</v>
      </c>
      <c r="D15" s="245"/>
      <c r="E15" s="245"/>
      <c r="F15" s="331"/>
      <c r="G15" s="249"/>
      <c r="H15" s="332"/>
      <c r="I15" s="332"/>
      <c r="J15" s="245"/>
      <c r="K15" s="245"/>
      <c r="L15" s="245"/>
      <c r="M15" s="245"/>
      <c r="N15" s="245"/>
      <c r="O15" s="245"/>
      <c r="P15" s="193"/>
      <c r="Q15" s="193"/>
      <c r="R15" s="333"/>
      <c r="S15" s="333"/>
      <c r="T15" s="333"/>
      <c r="U15" s="333"/>
      <c r="V15" s="333"/>
      <c r="W15" s="333"/>
      <c r="X15" s="333"/>
      <c r="Y15" s="333"/>
    </row>
    <row r="16" ht="17.25" customHeight="1" spans="1:25">
      <c r="A16" s="8">
        <v>3</v>
      </c>
      <c r="B16" s="8" t="s">
        <v>6201</v>
      </c>
      <c r="C16" s="8">
        <f>COUNTA($B$17:$B$24)</f>
        <v>6</v>
      </c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4"/>
      <c r="Q16" s="244"/>
      <c r="R16" s="329"/>
      <c r="S16" s="329"/>
      <c r="T16" s="329"/>
      <c r="U16" s="329"/>
      <c r="V16" s="329"/>
      <c r="W16" s="329"/>
      <c r="X16" s="329"/>
      <c r="Y16" s="329"/>
    </row>
    <row r="17" ht="12.75" customHeight="1" spans="1:25">
      <c r="A17" s="245">
        <v>1</v>
      </c>
      <c r="B17" s="330" t="s">
        <v>7900</v>
      </c>
      <c r="C17" s="331" t="s">
        <v>7901</v>
      </c>
      <c r="D17" s="245"/>
      <c r="E17" s="245" t="s">
        <v>7864</v>
      </c>
      <c r="F17" s="331" t="s">
        <v>7902</v>
      </c>
      <c r="G17" s="249" t="s">
        <v>6201</v>
      </c>
      <c r="H17" s="332" t="s">
        <v>7866</v>
      </c>
      <c r="I17" s="332" t="s">
        <v>7867</v>
      </c>
      <c r="J17" s="245"/>
      <c r="K17" s="245"/>
      <c r="L17" s="245" t="s">
        <v>7868</v>
      </c>
      <c r="M17" s="336">
        <v>7.5</v>
      </c>
      <c r="N17" s="245"/>
      <c r="O17" s="245"/>
      <c r="P17" s="337"/>
      <c r="Q17" s="337" t="s">
        <v>7903</v>
      </c>
      <c r="R17" s="338"/>
      <c r="S17" s="338"/>
      <c r="T17" s="338"/>
      <c r="U17" s="338"/>
      <c r="V17" s="338"/>
      <c r="W17" s="338"/>
      <c r="X17" s="338"/>
      <c r="Y17" s="338"/>
    </row>
    <row r="18" ht="12.75" customHeight="1" spans="1:25">
      <c r="A18" s="245">
        <f t="shared" ref="A18:A21" si="0">A17+1</f>
        <v>2</v>
      </c>
      <c r="B18" s="330" t="s">
        <v>7904</v>
      </c>
      <c r="C18" s="331" t="s">
        <v>7905</v>
      </c>
      <c r="D18" s="245"/>
      <c r="E18" s="245" t="s">
        <v>7864</v>
      </c>
      <c r="F18" s="331" t="s">
        <v>7906</v>
      </c>
      <c r="G18" s="249" t="s">
        <v>6201</v>
      </c>
      <c r="H18" s="332" t="s">
        <v>7895</v>
      </c>
      <c r="I18" s="332" t="s">
        <v>7896</v>
      </c>
      <c r="J18" s="245"/>
      <c r="K18" s="245"/>
      <c r="L18" s="245" t="s">
        <v>7868</v>
      </c>
      <c r="M18" s="245">
        <v>7.5</v>
      </c>
      <c r="N18" s="245"/>
      <c r="O18" s="245"/>
      <c r="P18" s="193"/>
      <c r="Q18" s="193" t="s">
        <v>7907</v>
      </c>
      <c r="R18" s="333"/>
      <c r="S18" s="333"/>
      <c r="T18" s="333"/>
      <c r="U18" s="333"/>
      <c r="V18" s="333"/>
      <c r="W18" s="333"/>
      <c r="X18" s="333"/>
      <c r="Y18" s="333"/>
    </row>
    <row r="19" ht="12.75" customHeight="1" spans="1:25">
      <c r="A19" s="245">
        <f t="shared" si="0"/>
        <v>3</v>
      </c>
      <c r="B19" s="330" t="s">
        <v>7908</v>
      </c>
      <c r="C19" s="331" t="s">
        <v>7909</v>
      </c>
      <c r="D19" s="245"/>
      <c r="E19" s="245" t="s">
        <v>7910</v>
      </c>
      <c r="F19" s="249"/>
      <c r="G19" s="249" t="s">
        <v>6201</v>
      </c>
      <c r="H19" s="332"/>
      <c r="I19" s="332"/>
      <c r="J19" s="245"/>
      <c r="K19" s="245"/>
      <c r="L19" s="245" t="s">
        <v>7911</v>
      </c>
      <c r="M19" s="245">
        <v>12.5</v>
      </c>
      <c r="N19" s="245"/>
      <c r="O19" s="245"/>
      <c r="P19" s="193"/>
      <c r="Q19" s="193" t="s">
        <v>7912</v>
      </c>
      <c r="R19" s="333"/>
      <c r="S19" s="333"/>
      <c r="T19" s="333"/>
      <c r="U19" s="333"/>
      <c r="V19" s="333"/>
      <c r="W19" s="333"/>
      <c r="X19" s="333"/>
      <c r="Y19" s="333"/>
    </row>
    <row r="20" ht="12.75" customHeight="1" spans="1:25">
      <c r="A20" s="245">
        <f t="shared" si="0"/>
        <v>4</v>
      </c>
      <c r="B20" s="330" t="s">
        <v>7913</v>
      </c>
      <c r="C20" s="331" t="s">
        <v>7914</v>
      </c>
      <c r="D20" s="245"/>
      <c r="E20" s="245" t="s">
        <v>7864</v>
      </c>
      <c r="F20" s="249"/>
      <c r="G20" s="249" t="s">
        <v>6201</v>
      </c>
      <c r="H20" s="332"/>
      <c r="I20" s="332"/>
      <c r="J20" s="245"/>
      <c r="K20" s="245"/>
      <c r="L20" s="245" t="s">
        <v>7868</v>
      </c>
      <c r="M20" s="245">
        <v>7.5</v>
      </c>
      <c r="N20" s="245"/>
      <c r="O20" s="245"/>
      <c r="P20" s="193"/>
      <c r="Q20" s="193" t="s">
        <v>7915</v>
      </c>
      <c r="R20" s="333"/>
      <c r="S20" s="333"/>
      <c r="T20" s="333"/>
      <c r="U20" s="333"/>
      <c r="V20" s="333"/>
      <c r="W20" s="333"/>
      <c r="X20" s="333"/>
      <c r="Y20" s="333"/>
    </row>
    <row r="21" ht="12.75" customHeight="1" spans="1:25">
      <c r="A21" s="245">
        <f t="shared" si="0"/>
        <v>5</v>
      </c>
      <c r="B21" s="330" t="s">
        <v>7916</v>
      </c>
      <c r="C21" s="249"/>
      <c r="D21" s="245"/>
      <c r="E21" s="245" t="s">
        <v>7871</v>
      </c>
      <c r="F21" s="249"/>
      <c r="G21" s="249" t="s">
        <v>6201</v>
      </c>
      <c r="H21" s="334" t="s">
        <v>7872</v>
      </c>
      <c r="I21" s="334" t="s">
        <v>7873</v>
      </c>
      <c r="J21" s="245">
        <v>2023</v>
      </c>
      <c r="K21" s="245" t="s">
        <v>1016</v>
      </c>
      <c r="L21" s="245" t="s">
        <v>7874</v>
      </c>
      <c r="M21" s="255">
        <v>4</v>
      </c>
      <c r="N21" s="339">
        <v>45272</v>
      </c>
      <c r="O21" s="245" t="s">
        <v>1146</v>
      </c>
      <c r="P21" s="101"/>
      <c r="Q21" s="101" t="s">
        <v>7917</v>
      </c>
      <c r="R21" s="227"/>
      <c r="S21" s="227"/>
      <c r="T21" s="227"/>
      <c r="U21" s="227"/>
      <c r="V21" s="227"/>
      <c r="W21" s="227"/>
      <c r="X21" s="227"/>
      <c r="Y21" s="227"/>
    </row>
    <row r="22" ht="12.75" customHeight="1" spans="1:25">
      <c r="A22" s="245">
        <v>6</v>
      </c>
      <c r="B22" s="330" t="s">
        <v>7918</v>
      </c>
      <c r="C22" s="249"/>
      <c r="D22" s="245"/>
      <c r="E22" s="245" t="s">
        <v>7884</v>
      </c>
      <c r="F22" s="249"/>
      <c r="G22" s="249" t="s">
        <v>6201</v>
      </c>
      <c r="H22" s="334"/>
      <c r="I22" s="334" t="s">
        <v>7885</v>
      </c>
      <c r="J22" s="245"/>
      <c r="K22" s="245"/>
      <c r="L22" s="245" t="s">
        <v>7886</v>
      </c>
      <c r="M22" s="255">
        <v>1.5</v>
      </c>
      <c r="N22" s="335">
        <v>46000</v>
      </c>
      <c r="O22" s="245" t="s">
        <v>1146</v>
      </c>
      <c r="P22" s="101"/>
      <c r="Q22" s="101" t="s">
        <v>7919</v>
      </c>
      <c r="R22" s="227"/>
      <c r="S22" s="227"/>
      <c r="T22" s="227"/>
      <c r="U22" s="227"/>
      <c r="V22" s="227"/>
      <c r="W22" s="227"/>
      <c r="X22" s="227"/>
      <c r="Y22" s="227"/>
    </row>
    <row r="23" ht="12.75" customHeight="1" spans="1:25">
      <c r="A23" s="245"/>
      <c r="B23" s="177"/>
      <c r="C23" s="249"/>
      <c r="D23" s="330"/>
      <c r="E23" s="245"/>
      <c r="F23" s="249"/>
      <c r="G23" s="249"/>
      <c r="H23" s="334"/>
      <c r="I23" s="334"/>
      <c r="J23" s="245"/>
      <c r="K23" s="245"/>
      <c r="L23" s="245"/>
      <c r="M23" s="255"/>
      <c r="N23" s="339"/>
      <c r="O23" s="245"/>
      <c r="P23" s="101"/>
      <c r="Q23" s="101"/>
      <c r="R23" s="227"/>
      <c r="S23" s="227"/>
      <c r="T23" s="227"/>
      <c r="U23" s="227"/>
      <c r="V23" s="227"/>
      <c r="W23" s="227"/>
      <c r="X23" s="227"/>
      <c r="Y23" s="227"/>
    </row>
    <row r="24" ht="12.75" hidden="1" customHeight="1" spans="1:25">
      <c r="A24" s="245"/>
      <c r="B24" s="330"/>
      <c r="C24" s="249" t="s">
        <v>946</v>
      </c>
      <c r="D24" s="245"/>
      <c r="E24" s="245"/>
      <c r="F24" s="331"/>
      <c r="G24" s="249"/>
      <c r="H24" s="332"/>
      <c r="I24" s="332"/>
      <c r="J24" s="245"/>
      <c r="K24" s="245"/>
      <c r="L24" s="245"/>
      <c r="M24" s="245"/>
      <c r="N24" s="245"/>
      <c r="O24" s="245"/>
      <c r="P24" s="101"/>
      <c r="Q24" s="101"/>
      <c r="R24" s="227"/>
      <c r="S24" s="227"/>
      <c r="T24" s="227"/>
      <c r="U24" s="227"/>
      <c r="V24" s="227"/>
      <c r="W24" s="227"/>
      <c r="X24" s="227"/>
      <c r="Y24" s="227"/>
    </row>
    <row r="25" ht="17.25" customHeight="1" spans="1:25">
      <c r="A25" s="8">
        <v>4</v>
      </c>
      <c r="B25" s="8" t="s">
        <v>19</v>
      </c>
      <c r="C25" s="8">
        <f>COUNTA($B$26:$B$28)</f>
        <v>0</v>
      </c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4"/>
      <c r="Q25" s="244"/>
      <c r="R25" s="329"/>
      <c r="S25" s="329"/>
      <c r="T25" s="329"/>
      <c r="U25" s="329"/>
      <c r="V25" s="329"/>
      <c r="W25" s="329"/>
      <c r="X25" s="329"/>
      <c r="Y25" s="329"/>
    </row>
    <row r="26" ht="12.75" customHeight="1" spans="1:25">
      <c r="A26" s="340"/>
      <c r="B26" s="340"/>
      <c r="C26" s="340"/>
      <c r="D26" s="341"/>
      <c r="E26" s="341"/>
      <c r="F26" s="341"/>
      <c r="G26" s="341"/>
      <c r="H26" s="341"/>
      <c r="I26" s="341"/>
      <c r="J26" s="341"/>
      <c r="K26" s="341"/>
      <c r="L26" s="341"/>
      <c r="M26" s="341"/>
      <c r="N26" s="341"/>
      <c r="O26" s="341"/>
      <c r="P26" s="341"/>
      <c r="Q26" s="341"/>
      <c r="R26" s="342"/>
      <c r="S26" s="342"/>
      <c r="T26" s="342"/>
      <c r="U26" s="342"/>
      <c r="V26" s="342"/>
      <c r="W26" s="342"/>
      <c r="X26" s="342"/>
      <c r="Y26" s="342"/>
    </row>
    <row r="27" ht="12.75" customHeight="1" spans="1:25">
      <c r="A27" s="340"/>
      <c r="B27" s="340"/>
      <c r="C27" s="340"/>
      <c r="D27" s="341"/>
      <c r="E27" s="341"/>
      <c r="F27" s="341"/>
      <c r="G27" s="341"/>
      <c r="H27" s="341"/>
      <c r="I27" s="341"/>
      <c r="J27" s="341"/>
      <c r="K27" s="341"/>
      <c r="L27" s="341"/>
      <c r="M27" s="341"/>
      <c r="N27" s="341"/>
      <c r="O27" s="341"/>
      <c r="P27" s="341"/>
      <c r="Q27" s="341"/>
      <c r="R27" s="342"/>
      <c r="S27" s="342"/>
      <c r="T27" s="342"/>
      <c r="U27" s="342"/>
      <c r="V27" s="342"/>
      <c r="W27" s="342"/>
      <c r="X27" s="342"/>
      <c r="Y27" s="342"/>
    </row>
    <row r="28" ht="12.75" hidden="1" customHeight="1" spans="1:25">
      <c r="A28" s="340"/>
      <c r="B28" s="340"/>
      <c r="C28" s="340" t="s">
        <v>7247</v>
      </c>
      <c r="D28" s="341"/>
      <c r="E28" s="341"/>
      <c r="F28" s="341"/>
      <c r="G28" s="341"/>
      <c r="H28" s="341"/>
      <c r="I28" s="341"/>
      <c r="J28" s="341"/>
      <c r="K28" s="341"/>
      <c r="L28" s="341"/>
      <c r="M28" s="341"/>
      <c r="N28" s="341"/>
      <c r="O28" s="341"/>
      <c r="P28" s="341"/>
      <c r="Q28" s="341"/>
      <c r="R28" s="342"/>
      <c r="S28" s="342"/>
      <c r="T28" s="342"/>
      <c r="U28" s="342"/>
      <c r="V28" s="342"/>
      <c r="W28" s="342"/>
      <c r="X28" s="342"/>
      <c r="Y28" s="342"/>
    </row>
    <row r="29" ht="12.75" customHeight="1" spans="1:25">
      <c r="A29" s="343">
        <v>4</v>
      </c>
      <c r="B29" s="343" t="s">
        <v>7129</v>
      </c>
      <c r="C29" s="343">
        <f>COUNTA($B$30:$B$48)</f>
        <v>17</v>
      </c>
      <c r="D29" s="344"/>
      <c r="E29" s="344"/>
      <c r="F29" s="344"/>
      <c r="G29" s="344"/>
      <c r="H29" s="344"/>
      <c r="I29" s="344"/>
      <c r="J29" s="344"/>
      <c r="K29" s="344"/>
      <c r="L29" s="344"/>
      <c r="M29" s="344"/>
      <c r="N29" s="344"/>
      <c r="O29" s="344"/>
      <c r="P29" s="344"/>
      <c r="Q29" s="344"/>
      <c r="R29" s="345"/>
      <c r="S29" s="345"/>
      <c r="T29" s="345"/>
      <c r="U29" s="345"/>
      <c r="V29" s="345"/>
      <c r="W29" s="345"/>
      <c r="X29" s="345"/>
      <c r="Y29" s="345"/>
    </row>
    <row r="30" ht="12.75" customHeight="1" spans="1:25">
      <c r="A30" s="245">
        <v>1</v>
      </c>
      <c r="B30" s="330" t="s">
        <v>7920</v>
      </c>
      <c r="C30" s="249"/>
      <c r="D30" s="245"/>
      <c r="E30" s="245" t="s">
        <v>7864</v>
      </c>
      <c r="F30" s="331" t="s">
        <v>7921</v>
      </c>
      <c r="G30" s="249" t="s">
        <v>2727</v>
      </c>
      <c r="H30" s="332" t="s">
        <v>7895</v>
      </c>
      <c r="I30" s="332" t="s">
        <v>7896</v>
      </c>
      <c r="J30" s="245"/>
      <c r="K30" s="245"/>
      <c r="L30" s="245" t="s">
        <v>7868</v>
      </c>
      <c r="M30" s="245">
        <v>7.5</v>
      </c>
      <c r="N30" s="245"/>
      <c r="O30" s="245"/>
      <c r="P30" s="101"/>
      <c r="Q30" s="101" t="s">
        <v>7922</v>
      </c>
      <c r="R30" s="227"/>
      <c r="S30" s="227"/>
      <c r="T30" s="227"/>
      <c r="U30" s="227"/>
      <c r="V30" s="227"/>
      <c r="W30" s="227"/>
      <c r="X30" s="227"/>
      <c r="Y30" s="227"/>
    </row>
    <row r="31" ht="12.75" customHeight="1" spans="1:25">
      <c r="A31" s="245">
        <f t="shared" ref="A31:A39" si="1">A30+1</f>
        <v>2</v>
      </c>
      <c r="B31" s="330" t="s">
        <v>7923</v>
      </c>
      <c r="C31" s="249"/>
      <c r="D31" s="245"/>
      <c r="E31" s="245" t="s">
        <v>7924</v>
      </c>
      <c r="F31" s="331" t="s">
        <v>7925</v>
      </c>
      <c r="G31" s="249" t="s">
        <v>22</v>
      </c>
      <c r="H31" s="332" t="s">
        <v>7926</v>
      </c>
      <c r="I31" s="332" t="s">
        <v>7927</v>
      </c>
      <c r="J31" s="245"/>
      <c r="K31" s="245"/>
      <c r="L31" s="245" t="s">
        <v>7928</v>
      </c>
      <c r="M31" s="245">
        <v>55</v>
      </c>
      <c r="N31" s="245"/>
      <c r="O31" s="245"/>
      <c r="P31" s="101"/>
      <c r="Q31" s="101" t="s">
        <v>7929</v>
      </c>
      <c r="R31" s="227"/>
      <c r="S31" s="227"/>
      <c r="T31" s="227"/>
      <c r="U31" s="227"/>
      <c r="V31" s="227"/>
      <c r="W31" s="227"/>
      <c r="X31" s="227"/>
      <c r="Y31" s="227"/>
    </row>
    <row r="32" ht="12.75" customHeight="1" spans="1:25">
      <c r="A32" s="245">
        <f t="shared" si="1"/>
        <v>3</v>
      </c>
      <c r="B32" s="330" t="s">
        <v>7930</v>
      </c>
      <c r="C32" s="249" t="s">
        <v>7931</v>
      </c>
      <c r="D32" s="245"/>
      <c r="E32" s="245" t="s">
        <v>7932</v>
      </c>
      <c r="F32" s="249"/>
      <c r="G32" s="249" t="s">
        <v>7933</v>
      </c>
      <c r="H32" s="334" t="s">
        <v>7934</v>
      </c>
      <c r="I32" s="332"/>
      <c r="J32" s="245"/>
      <c r="K32" s="245"/>
      <c r="L32" s="245" t="s">
        <v>7935</v>
      </c>
      <c r="M32" s="177">
        <v>1.8</v>
      </c>
      <c r="N32" s="346"/>
      <c r="O32" s="245"/>
      <c r="P32" s="101"/>
      <c r="Q32" s="101"/>
      <c r="R32" s="227"/>
      <c r="S32" s="227"/>
      <c r="T32" s="227"/>
      <c r="U32" s="227"/>
      <c r="V32" s="227"/>
      <c r="W32" s="227"/>
      <c r="X32" s="227"/>
      <c r="Y32" s="227"/>
    </row>
    <row r="33" ht="12.75" customHeight="1" spans="1:25">
      <c r="A33" s="245">
        <f t="shared" si="1"/>
        <v>4</v>
      </c>
      <c r="B33" s="330" t="s">
        <v>7936</v>
      </c>
      <c r="C33" s="249" t="s">
        <v>7937</v>
      </c>
      <c r="D33" s="245"/>
      <c r="E33" s="245" t="s">
        <v>7938</v>
      </c>
      <c r="F33" s="249"/>
      <c r="G33" s="249" t="s">
        <v>7933</v>
      </c>
      <c r="H33" s="334" t="s">
        <v>5883</v>
      </c>
      <c r="I33" s="332"/>
      <c r="J33" s="245"/>
      <c r="K33" s="245"/>
      <c r="L33" s="245" t="s">
        <v>7939</v>
      </c>
      <c r="M33" s="245">
        <v>1.8</v>
      </c>
      <c r="N33" s="245"/>
      <c r="O33" s="245"/>
      <c r="P33" s="101"/>
      <c r="Q33" s="101"/>
      <c r="R33" s="227"/>
      <c r="S33" s="227"/>
      <c r="T33" s="227"/>
      <c r="U33" s="227"/>
      <c r="V33" s="227"/>
      <c r="W33" s="227"/>
      <c r="X33" s="227"/>
      <c r="Y33" s="227"/>
    </row>
    <row r="34" ht="12.75" customHeight="1" spans="1:25">
      <c r="A34" s="245">
        <f t="shared" si="1"/>
        <v>5</v>
      </c>
      <c r="B34" s="330" t="s">
        <v>7940</v>
      </c>
      <c r="C34" s="249" t="s">
        <v>7941</v>
      </c>
      <c r="D34" s="245"/>
      <c r="E34" s="245" t="s">
        <v>7942</v>
      </c>
      <c r="F34" s="249"/>
      <c r="G34" s="249" t="s">
        <v>7933</v>
      </c>
      <c r="H34" s="334" t="s">
        <v>7943</v>
      </c>
      <c r="I34" s="332"/>
      <c r="J34" s="245"/>
      <c r="K34" s="245"/>
      <c r="L34" s="245" t="s">
        <v>7944</v>
      </c>
      <c r="M34" s="245">
        <v>1.8</v>
      </c>
      <c r="N34" s="245"/>
      <c r="O34" s="245"/>
      <c r="P34" s="101"/>
      <c r="Q34" s="101"/>
      <c r="R34" s="227"/>
      <c r="S34" s="227"/>
      <c r="T34" s="227"/>
      <c r="U34" s="227"/>
      <c r="V34" s="227"/>
      <c r="W34" s="227"/>
      <c r="X34" s="227"/>
      <c r="Y34" s="227"/>
    </row>
    <row r="35" ht="12.75" customHeight="1" spans="1:25">
      <c r="A35" s="245">
        <f t="shared" si="1"/>
        <v>6</v>
      </c>
      <c r="B35" s="347" t="s">
        <v>7945</v>
      </c>
      <c r="C35" s="348" t="s">
        <v>7946</v>
      </c>
      <c r="D35" s="349"/>
      <c r="E35" s="349" t="s">
        <v>7932</v>
      </c>
      <c r="F35" s="348"/>
      <c r="G35" s="348" t="s">
        <v>7933</v>
      </c>
      <c r="H35" s="350" t="s">
        <v>7934</v>
      </c>
      <c r="I35" s="350"/>
      <c r="J35" s="349"/>
      <c r="K35" s="349"/>
      <c r="L35" s="349" t="s">
        <v>7935</v>
      </c>
      <c r="M35" s="349">
        <v>1.8</v>
      </c>
      <c r="N35" s="349"/>
      <c r="O35" s="349"/>
      <c r="P35" s="351" t="s">
        <v>1126</v>
      </c>
      <c r="Q35" s="351"/>
      <c r="R35" s="352"/>
      <c r="S35" s="352"/>
      <c r="T35" s="352"/>
      <c r="U35" s="352"/>
      <c r="V35" s="352"/>
      <c r="W35" s="352"/>
      <c r="X35" s="352"/>
      <c r="Y35" s="352"/>
    </row>
    <row r="36" ht="12.75" customHeight="1" spans="1:25">
      <c r="A36" s="245">
        <f t="shared" si="1"/>
        <v>7</v>
      </c>
      <c r="B36" s="330" t="s">
        <v>7947</v>
      </c>
      <c r="C36" s="249"/>
      <c r="D36" s="245"/>
      <c r="E36" s="245" t="s">
        <v>7864</v>
      </c>
      <c r="F36" s="249" t="s">
        <v>7948</v>
      </c>
      <c r="G36" s="249" t="s">
        <v>7949</v>
      </c>
      <c r="H36" s="334" t="s">
        <v>7895</v>
      </c>
      <c r="I36" s="177"/>
      <c r="J36" s="245"/>
      <c r="K36" s="245"/>
      <c r="L36" s="245" t="s">
        <v>7950</v>
      </c>
      <c r="M36" s="255">
        <v>7.5</v>
      </c>
      <c r="N36" s="335">
        <v>45383</v>
      </c>
      <c r="O36" s="245"/>
      <c r="P36" s="101"/>
      <c r="Q36" s="101" t="s">
        <v>7951</v>
      </c>
      <c r="R36" s="227"/>
      <c r="S36" s="227"/>
      <c r="T36" s="227"/>
      <c r="U36" s="227"/>
      <c r="V36" s="227"/>
      <c r="W36" s="227"/>
      <c r="X36" s="227"/>
      <c r="Y36" s="227"/>
    </row>
    <row r="37" ht="12.75" customHeight="1" spans="1:25">
      <c r="A37" s="245">
        <f t="shared" si="1"/>
        <v>8</v>
      </c>
      <c r="B37" s="330" t="s">
        <v>7952</v>
      </c>
      <c r="C37" s="249"/>
      <c r="D37" s="245"/>
      <c r="E37" s="245" t="s">
        <v>7864</v>
      </c>
      <c r="F37" s="249" t="s">
        <v>7953</v>
      </c>
      <c r="G37" s="249" t="s">
        <v>7949</v>
      </c>
      <c r="H37" s="334" t="s">
        <v>7895</v>
      </c>
      <c r="I37" s="334" t="s">
        <v>7896</v>
      </c>
      <c r="J37" s="245"/>
      <c r="K37" s="245"/>
      <c r="L37" s="245" t="s">
        <v>7950</v>
      </c>
      <c r="M37" s="255">
        <v>7.5</v>
      </c>
      <c r="N37" s="245" t="s">
        <v>7954</v>
      </c>
      <c r="O37" s="245"/>
      <c r="P37" s="101"/>
      <c r="Q37" s="101" t="s">
        <v>7955</v>
      </c>
      <c r="R37" s="227"/>
      <c r="S37" s="227"/>
      <c r="T37" s="227"/>
      <c r="U37" s="227"/>
      <c r="V37" s="227"/>
      <c r="W37" s="227"/>
      <c r="X37" s="227"/>
      <c r="Y37" s="227"/>
    </row>
    <row r="38" ht="12.75" customHeight="1" spans="1:25">
      <c r="A38" s="245">
        <f t="shared" si="1"/>
        <v>9</v>
      </c>
      <c r="B38" s="330" t="s">
        <v>7956</v>
      </c>
      <c r="C38" s="249" t="s">
        <v>7957</v>
      </c>
      <c r="D38" s="245"/>
      <c r="E38" s="245" t="s">
        <v>7910</v>
      </c>
      <c r="F38" s="249"/>
      <c r="G38" s="249"/>
      <c r="H38" s="334"/>
      <c r="I38" s="334" t="s">
        <v>7896</v>
      </c>
      <c r="J38" s="245"/>
      <c r="K38" s="245"/>
      <c r="L38" s="245" t="s">
        <v>7958</v>
      </c>
      <c r="M38" s="255">
        <v>12.5</v>
      </c>
      <c r="N38" s="245" t="s">
        <v>7959</v>
      </c>
      <c r="O38" s="245" t="s">
        <v>2422</v>
      </c>
      <c r="P38" s="245" t="s">
        <v>7960</v>
      </c>
      <c r="Q38" s="101" t="s">
        <v>7961</v>
      </c>
      <c r="R38" s="227"/>
      <c r="S38" s="227"/>
      <c r="T38" s="227"/>
      <c r="U38" s="227"/>
      <c r="V38" s="227"/>
      <c r="W38" s="227"/>
      <c r="X38" s="227"/>
      <c r="Y38" s="227"/>
    </row>
    <row r="39" ht="12.75" customHeight="1" spans="1:25">
      <c r="A39" s="245">
        <f t="shared" si="1"/>
        <v>10</v>
      </c>
      <c r="B39" s="330" t="s">
        <v>7962</v>
      </c>
      <c r="C39" s="249"/>
      <c r="D39" s="245"/>
      <c r="E39" s="245" t="s">
        <v>7963</v>
      </c>
      <c r="F39" s="249" t="s">
        <v>7964</v>
      </c>
      <c r="G39" s="249" t="s">
        <v>7965</v>
      </c>
      <c r="H39" s="334" t="s">
        <v>7966</v>
      </c>
      <c r="I39" s="334" t="s">
        <v>1323</v>
      </c>
      <c r="J39" s="245"/>
      <c r="K39" s="245"/>
      <c r="L39" s="245" t="s">
        <v>7967</v>
      </c>
      <c r="M39" s="245">
        <v>1.8</v>
      </c>
      <c r="N39" s="245" t="s">
        <v>7968</v>
      </c>
      <c r="O39" s="245" t="s">
        <v>1146</v>
      </c>
      <c r="P39" s="101"/>
      <c r="Q39" s="101" t="s">
        <v>7969</v>
      </c>
      <c r="R39" s="227"/>
      <c r="S39" s="227"/>
      <c r="T39" s="227"/>
      <c r="U39" s="227"/>
      <c r="V39" s="227"/>
      <c r="W39" s="227"/>
      <c r="X39" s="227"/>
      <c r="Y39" s="227"/>
    </row>
    <row r="40" ht="12.75" customHeight="1" spans="1:25">
      <c r="A40" s="245">
        <v>11</v>
      </c>
      <c r="B40" s="330" t="s">
        <v>7970</v>
      </c>
      <c r="C40" s="249"/>
      <c r="D40" s="245"/>
      <c r="E40" s="245" t="s">
        <v>7963</v>
      </c>
      <c r="F40" s="249" t="s">
        <v>7971</v>
      </c>
      <c r="G40" s="249" t="s">
        <v>7965</v>
      </c>
      <c r="H40" s="334" t="s">
        <v>7966</v>
      </c>
      <c r="I40" s="334" t="s">
        <v>1323</v>
      </c>
      <c r="J40" s="245"/>
      <c r="K40" s="245"/>
      <c r="L40" s="245" t="s">
        <v>7967</v>
      </c>
      <c r="M40" s="245">
        <v>1.8</v>
      </c>
      <c r="N40" s="245" t="s">
        <v>7968</v>
      </c>
      <c r="O40" s="245" t="s">
        <v>1146</v>
      </c>
      <c r="P40" s="101"/>
      <c r="Q40" s="101" t="s">
        <v>7969</v>
      </c>
      <c r="R40" s="227"/>
      <c r="S40" s="227"/>
      <c r="T40" s="227"/>
      <c r="U40" s="227"/>
      <c r="V40" s="227"/>
      <c r="W40" s="227"/>
      <c r="X40" s="227"/>
      <c r="Y40" s="227"/>
    </row>
    <row r="41" ht="12.75" customHeight="1" spans="1:25">
      <c r="A41" s="245">
        <v>12</v>
      </c>
      <c r="B41" s="330" t="s">
        <v>7972</v>
      </c>
      <c r="C41" s="249"/>
      <c r="D41" s="245" t="s">
        <v>7973</v>
      </c>
      <c r="E41" s="245" t="s">
        <v>7974</v>
      </c>
      <c r="F41" s="249"/>
      <c r="G41" s="249" t="s">
        <v>7975</v>
      </c>
      <c r="H41" s="334"/>
      <c r="I41" s="334" t="s">
        <v>480</v>
      </c>
      <c r="J41" s="245"/>
      <c r="K41" s="245"/>
      <c r="L41" s="245" t="s">
        <v>7976</v>
      </c>
      <c r="M41" s="255">
        <v>25</v>
      </c>
      <c r="N41" s="245" t="s">
        <v>7977</v>
      </c>
      <c r="O41" s="245" t="s">
        <v>2422</v>
      </c>
      <c r="P41" s="101"/>
      <c r="Q41" s="101" t="s">
        <v>7978</v>
      </c>
      <c r="R41" s="227"/>
      <c r="S41" s="227"/>
      <c r="T41" s="227"/>
      <c r="U41" s="227"/>
      <c r="V41" s="227"/>
      <c r="W41" s="227"/>
      <c r="X41" s="227"/>
      <c r="Y41" s="227"/>
    </row>
    <row r="42" ht="12.75" customHeight="1" spans="1:25">
      <c r="A42" s="245">
        <v>13</v>
      </c>
      <c r="B42" s="330" t="s">
        <v>7979</v>
      </c>
      <c r="C42" s="249"/>
      <c r="D42" s="245"/>
      <c r="E42" s="245" t="s">
        <v>7910</v>
      </c>
      <c r="F42" s="249"/>
      <c r="G42" s="249" t="s">
        <v>7980</v>
      </c>
      <c r="H42" s="334"/>
      <c r="I42" s="334"/>
      <c r="J42" s="245"/>
      <c r="K42" s="245"/>
      <c r="L42" s="245"/>
      <c r="M42" s="255"/>
      <c r="N42" s="245" t="s">
        <v>7981</v>
      </c>
      <c r="O42" s="245" t="s">
        <v>1146</v>
      </c>
      <c r="P42" s="101"/>
      <c r="Q42" s="101"/>
      <c r="R42" s="227"/>
      <c r="S42" s="227"/>
      <c r="T42" s="227"/>
      <c r="U42" s="227"/>
      <c r="V42" s="227"/>
      <c r="W42" s="227"/>
      <c r="X42" s="227"/>
      <c r="Y42" s="227"/>
    </row>
    <row r="43" ht="12.75" customHeight="1" spans="1:25">
      <c r="A43" s="245">
        <v>14</v>
      </c>
      <c r="B43" s="330" t="s">
        <v>7982</v>
      </c>
      <c r="C43" s="249"/>
      <c r="D43" s="245"/>
      <c r="E43" s="245" t="s">
        <v>7910</v>
      </c>
      <c r="F43" s="249"/>
      <c r="G43" s="249"/>
      <c r="H43" s="334"/>
      <c r="I43" s="334"/>
      <c r="J43" s="245"/>
      <c r="K43" s="245"/>
      <c r="L43" s="245"/>
      <c r="M43" s="245">
        <v>12.5</v>
      </c>
      <c r="N43" s="245"/>
      <c r="O43" s="245" t="s">
        <v>2422</v>
      </c>
      <c r="P43" s="101"/>
      <c r="Q43" s="101" t="s">
        <v>7983</v>
      </c>
      <c r="R43" s="227"/>
      <c r="S43" s="227"/>
      <c r="T43" s="227"/>
      <c r="U43" s="227"/>
      <c r="V43" s="227"/>
      <c r="W43" s="227"/>
      <c r="X43" s="227"/>
      <c r="Y43" s="227"/>
    </row>
    <row r="44" ht="12.75" customHeight="1" spans="1:25">
      <c r="A44" s="353">
        <v>15</v>
      </c>
      <c r="B44" s="353" t="s">
        <v>7984</v>
      </c>
      <c r="C44" s="354"/>
      <c r="D44" s="353"/>
      <c r="E44" s="245" t="s">
        <v>7985</v>
      </c>
      <c r="F44" s="249" t="s">
        <v>7986</v>
      </c>
      <c r="G44" s="249" t="s">
        <v>7987</v>
      </c>
      <c r="H44" s="334" t="s">
        <v>7988</v>
      </c>
      <c r="I44" s="249" t="s">
        <v>7989</v>
      </c>
      <c r="J44" s="354"/>
      <c r="K44" s="353"/>
      <c r="L44" s="255" t="s">
        <v>7990</v>
      </c>
      <c r="M44" s="354"/>
      <c r="N44" s="353"/>
      <c r="O44" s="354"/>
      <c r="P44" s="353"/>
      <c r="Q44" s="101" t="s">
        <v>7991</v>
      </c>
      <c r="R44" s="355"/>
      <c r="S44" s="355"/>
      <c r="T44" s="355"/>
      <c r="U44" s="355"/>
      <c r="V44" s="355"/>
      <c r="W44" s="355"/>
      <c r="X44" s="355"/>
      <c r="Y44" s="355"/>
    </row>
    <row r="45" ht="12.75" customHeight="1" spans="1:25">
      <c r="A45" s="353">
        <v>8</v>
      </c>
      <c r="B45" s="353" t="s">
        <v>7992</v>
      </c>
      <c r="C45" s="354"/>
      <c r="D45" s="353"/>
      <c r="E45" s="353" t="s">
        <v>7993</v>
      </c>
      <c r="F45" s="353" t="s">
        <v>7994</v>
      </c>
      <c r="G45" s="353" t="s">
        <v>7995</v>
      </c>
      <c r="H45" s="356" t="s">
        <v>7996</v>
      </c>
      <c r="I45" s="354"/>
      <c r="J45" s="354"/>
      <c r="K45" s="353"/>
      <c r="L45" s="353" t="s">
        <v>7997</v>
      </c>
      <c r="M45" s="354"/>
      <c r="N45" s="353"/>
      <c r="O45" s="354"/>
      <c r="P45" s="353"/>
      <c r="Q45" s="353" t="s">
        <v>7995</v>
      </c>
      <c r="R45" s="355"/>
      <c r="S45" s="355"/>
      <c r="T45" s="355"/>
      <c r="U45" s="355"/>
      <c r="V45" s="355"/>
      <c r="W45" s="355"/>
      <c r="X45" s="355"/>
      <c r="Y45" s="355"/>
    </row>
    <row r="46" ht="12.75" customHeight="1" spans="1:25">
      <c r="A46" s="353">
        <v>9</v>
      </c>
      <c r="B46" s="353" t="s">
        <v>7998</v>
      </c>
      <c r="C46" s="354"/>
      <c r="D46" s="353"/>
      <c r="E46" s="353" t="s">
        <v>7993</v>
      </c>
      <c r="F46" s="353" t="s">
        <v>7999</v>
      </c>
      <c r="G46" s="353" t="s">
        <v>7995</v>
      </c>
      <c r="H46" s="356" t="s">
        <v>7996</v>
      </c>
      <c r="I46" s="354"/>
      <c r="J46" s="354"/>
      <c r="K46" s="353"/>
      <c r="L46" s="353" t="s">
        <v>7997</v>
      </c>
      <c r="M46" s="354"/>
      <c r="N46" s="353"/>
      <c r="O46" s="354"/>
      <c r="P46" s="353"/>
      <c r="Q46" s="353" t="s">
        <v>7995</v>
      </c>
      <c r="R46" s="355"/>
      <c r="S46" s="355"/>
      <c r="T46" s="355"/>
      <c r="U46" s="355"/>
      <c r="V46" s="355"/>
      <c r="W46" s="355"/>
      <c r="X46" s="355"/>
      <c r="Y46" s="355"/>
    </row>
    <row r="47" ht="12.75" customHeight="1" spans="1:25">
      <c r="A47" s="245"/>
      <c r="B47" s="330"/>
      <c r="C47" s="249"/>
      <c r="D47" s="245"/>
      <c r="E47" s="245"/>
      <c r="F47" s="249"/>
      <c r="G47" s="249"/>
      <c r="H47" s="334"/>
      <c r="I47" s="334"/>
      <c r="J47" s="245"/>
      <c r="K47" s="245"/>
      <c r="L47" s="245"/>
      <c r="M47" s="255"/>
      <c r="N47" s="245"/>
      <c r="O47" s="245"/>
      <c r="P47" s="101"/>
      <c r="Q47" s="101"/>
      <c r="R47" s="227"/>
      <c r="S47" s="227"/>
      <c r="T47" s="227"/>
      <c r="U47" s="227"/>
      <c r="V47" s="227"/>
      <c r="W47" s="227"/>
      <c r="X47" s="227"/>
      <c r="Y47" s="227"/>
    </row>
    <row r="48" ht="12.75" customHeight="1" spans="1:25">
      <c r="A48" s="245"/>
      <c r="B48" s="330"/>
      <c r="C48" s="249" t="s">
        <v>946</v>
      </c>
      <c r="D48" s="245"/>
      <c r="E48" s="245"/>
      <c r="F48" s="249"/>
      <c r="G48" s="249"/>
      <c r="H48" s="334"/>
      <c r="I48" s="334"/>
      <c r="J48" s="245"/>
      <c r="K48" s="245"/>
      <c r="L48" s="245"/>
      <c r="M48" s="255"/>
      <c r="N48" s="245"/>
      <c r="O48" s="245"/>
      <c r="P48" s="101"/>
      <c r="Q48" s="101"/>
      <c r="R48" s="227"/>
      <c r="S48" s="227"/>
      <c r="T48" s="227"/>
      <c r="U48" s="227"/>
      <c r="V48" s="227"/>
      <c r="W48" s="227"/>
      <c r="X48" s="227"/>
      <c r="Y48" s="227"/>
    </row>
    <row r="49" ht="17.25" customHeight="1" spans="1:25">
      <c r="A49" s="235" t="s">
        <v>3866</v>
      </c>
      <c r="B49" s="235" t="s">
        <v>8000</v>
      </c>
      <c r="C49" s="235">
        <f>$C$50+$C$57+$C$62+$C$66</f>
        <v>14</v>
      </c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8"/>
      <c r="P49" s="239"/>
      <c r="Q49" s="239"/>
      <c r="R49" s="328"/>
      <c r="S49" s="328"/>
      <c r="T49" s="328"/>
      <c r="U49" s="328"/>
      <c r="V49" s="328"/>
      <c r="W49" s="328"/>
      <c r="X49" s="328"/>
      <c r="Y49" s="328"/>
    </row>
    <row r="50" ht="17.25" customHeight="1" spans="1:25">
      <c r="A50" s="8">
        <v>1</v>
      </c>
      <c r="B50" s="8" t="s">
        <v>6894</v>
      </c>
      <c r="C50" s="8">
        <f>COUNTA($B$51:$B$56)</f>
        <v>4</v>
      </c>
      <c r="D50" s="243"/>
      <c r="E50" s="243"/>
      <c r="F50" s="243"/>
      <c r="G50" s="243"/>
      <c r="H50" s="243"/>
      <c r="I50" s="243"/>
      <c r="J50" s="243"/>
      <c r="K50" s="243"/>
      <c r="L50" s="243"/>
      <c r="M50" s="243"/>
      <c r="N50" s="243"/>
      <c r="O50" s="243"/>
      <c r="P50" s="244"/>
      <c r="Q50" s="244"/>
      <c r="R50" s="329"/>
      <c r="S50" s="329"/>
      <c r="T50" s="329"/>
      <c r="U50" s="329"/>
      <c r="V50" s="329"/>
      <c r="W50" s="329"/>
      <c r="X50" s="329"/>
      <c r="Y50" s="329"/>
    </row>
    <row r="51" ht="12.75" customHeight="1" spans="1:25">
      <c r="A51" s="245">
        <v>1</v>
      </c>
      <c r="B51" s="330" t="s">
        <v>8001</v>
      </c>
      <c r="C51" s="331" t="s">
        <v>8002</v>
      </c>
      <c r="D51" s="245"/>
      <c r="E51" s="245" t="s">
        <v>7864</v>
      </c>
      <c r="F51" s="331" t="s">
        <v>8003</v>
      </c>
      <c r="G51" s="249" t="s">
        <v>6894</v>
      </c>
      <c r="H51" s="332" t="s">
        <v>7895</v>
      </c>
      <c r="I51" s="332" t="s">
        <v>7896</v>
      </c>
      <c r="J51" s="245"/>
      <c r="K51" s="245"/>
      <c r="L51" s="245" t="s">
        <v>7868</v>
      </c>
      <c r="M51" s="245">
        <v>7.5</v>
      </c>
      <c r="N51" s="245"/>
      <c r="O51" s="245"/>
      <c r="P51" s="193"/>
      <c r="Q51" s="193" t="s">
        <v>8004</v>
      </c>
      <c r="R51" s="333"/>
      <c r="S51" s="333"/>
      <c r="T51" s="333"/>
      <c r="U51" s="333"/>
      <c r="V51" s="333"/>
      <c r="W51" s="333"/>
      <c r="X51" s="333"/>
      <c r="Y51" s="333"/>
    </row>
    <row r="52" ht="12.75" customHeight="1" spans="1:25">
      <c r="A52" s="245">
        <v>1</v>
      </c>
      <c r="B52" s="330" t="s">
        <v>8005</v>
      </c>
      <c r="C52" s="331" t="s">
        <v>8006</v>
      </c>
      <c r="D52" s="245"/>
      <c r="E52" s="245" t="s">
        <v>7864</v>
      </c>
      <c r="F52" s="331" t="s">
        <v>8007</v>
      </c>
      <c r="G52" s="249" t="s">
        <v>6894</v>
      </c>
      <c r="H52" s="332" t="s">
        <v>7895</v>
      </c>
      <c r="I52" s="332" t="s">
        <v>7896</v>
      </c>
      <c r="J52" s="245"/>
      <c r="K52" s="245"/>
      <c r="L52" s="245" t="s">
        <v>7868</v>
      </c>
      <c r="M52" s="245">
        <v>7.5</v>
      </c>
      <c r="N52" s="245"/>
      <c r="O52" s="245"/>
      <c r="P52" s="193"/>
      <c r="Q52" s="193" t="s">
        <v>8008</v>
      </c>
      <c r="R52" s="333"/>
      <c r="S52" s="333"/>
      <c r="T52" s="333"/>
      <c r="U52" s="333"/>
      <c r="V52" s="333"/>
      <c r="W52" s="333"/>
      <c r="X52" s="333"/>
      <c r="Y52" s="333"/>
    </row>
    <row r="53" ht="12.75" customHeight="1" spans="1:25">
      <c r="A53" s="245">
        <v>2</v>
      </c>
      <c r="B53" s="330" t="s">
        <v>7877</v>
      </c>
      <c r="C53" s="331"/>
      <c r="D53" s="245"/>
      <c r="E53" s="245" t="s">
        <v>7871</v>
      </c>
      <c r="F53" s="331" t="s">
        <v>8009</v>
      </c>
      <c r="G53" s="249" t="s">
        <v>6894</v>
      </c>
      <c r="H53" s="332" t="s">
        <v>8010</v>
      </c>
      <c r="I53" s="332" t="s">
        <v>8011</v>
      </c>
      <c r="J53" s="245"/>
      <c r="K53" s="245"/>
      <c r="L53" s="245" t="s">
        <v>8012</v>
      </c>
      <c r="M53" s="245">
        <v>1.5</v>
      </c>
      <c r="N53" s="258">
        <v>45695</v>
      </c>
      <c r="O53" s="245" t="s">
        <v>1146</v>
      </c>
      <c r="P53" s="193"/>
      <c r="Q53" s="193" t="s">
        <v>8013</v>
      </c>
      <c r="R53" s="333"/>
      <c r="S53" s="333"/>
      <c r="T53" s="333"/>
      <c r="U53" s="333"/>
      <c r="V53" s="333"/>
      <c r="W53" s="333"/>
      <c r="X53" s="333"/>
      <c r="Y53" s="333"/>
    </row>
    <row r="54" ht="12.75" customHeight="1" spans="1:25">
      <c r="A54" s="245">
        <v>3</v>
      </c>
      <c r="B54" s="330" t="s">
        <v>8014</v>
      </c>
      <c r="C54" s="249"/>
      <c r="D54" s="245"/>
      <c r="E54" s="245" t="s">
        <v>7884</v>
      </c>
      <c r="F54" s="249"/>
      <c r="G54" s="249" t="s">
        <v>6894</v>
      </c>
      <c r="H54" s="334"/>
      <c r="I54" s="334" t="s">
        <v>7885</v>
      </c>
      <c r="J54" s="245"/>
      <c r="K54" s="245"/>
      <c r="L54" s="245" t="s">
        <v>7886</v>
      </c>
      <c r="M54" s="255">
        <v>1.5</v>
      </c>
      <c r="N54" s="335">
        <v>46000</v>
      </c>
      <c r="O54" s="245" t="s">
        <v>1146</v>
      </c>
      <c r="P54" s="101"/>
      <c r="Q54" s="101" t="s">
        <v>8015</v>
      </c>
      <c r="R54" s="227"/>
      <c r="S54" s="227"/>
      <c r="T54" s="227"/>
      <c r="U54" s="227"/>
      <c r="V54" s="227"/>
      <c r="W54" s="227"/>
      <c r="X54" s="227"/>
      <c r="Y54" s="227"/>
    </row>
    <row r="55" ht="12.75" customHeight="1" spans="1:25">
      <c r="A55" s="245"/>
      <c r="B55" s="330"/>
      <c r="C55" s="331"/>
      <c r="D55" s="245"/>
      <c r="E55" s="245"/>
      <c r="F55" s="331"/>
      <c r="G55" s="249"/>
      <c r="H55" s="332"/>
      <c r="I55" s="332"/>
      <c r="J55" s="245"/>
      <c r="K55" s="245"/>
      <c r="L55" s="245"/>
      <c r="M55" s="245"/>
      <c r="N55" s="245"/>
      <c r="O55" s="245"/>
      <c r="P55" s="193"/>
      <c r="Q55" s="193"/>
      <c r="R55" s="333"/>
      <c r="S55" s="333"/>
      <c r="T55" s="333"/>
      <c r="U55" s="333"/>
      <c r="V55" s="333"/>
      <c r="W55" s="333"/>
      <c r="X55" s="333"/>
      <c r="Y55" s="333"/>
    </row>
    <row r="56" ht="12.75" hidden="1" customHeight="1" spans="1:25">
      <c r="A56" s="245"/>
      <c r="B56" s="330"/>
      <c r="C56" s="331" t="s">
        <v>689</v>
      </c>
      <c r="D56" s="245"/>
      <c r="E56" s="245"/>
      <c r="F56" s="331"/>
      <c r="G56" s="249"/>
      <c r="H56" s="332"/>
      <c r="I56" s="332"/>
      <c r="J56" s="245"/>
      <c r="K56" s="245"/>
      <c r="L56" s="245"/>
      <c r="M56" s="245"/>
      <c r="N56" s="245"/>
      <c r="O56" s="245"/>
      <c r="P56" s="193"/>
      <c r="Q56" s="193"/>
      <c r="R56" s="333"/>
      <c r="S56" s="333"/>
      <c r="T56" s="333"/>
      <c r="U56" s="333"/>
      <c r="V56" s="333"/>
      <c r="W56" s="333"/>
      <c r="X56" s="333"/>
      <c r="Y56" s="333"/>
    </row>
    <row r="57" ht="17.25" customHeight="1" spans="1:25">
      <c r="A57" s="8">
        <v>2</v>
      </c>
      <c r="B57" s="8" t="s">
        <v>6919</v>
      </c>
      <c r="C57" s="8">
        <f>COUNTA($B$58:$B$61)</f>
        <v>3</v>
      </c>
      <c r="D57" s="243"/>
      <c r="E57" s="243"/>
      <c r="F57" s="243"/>
      <c r="G57" s="243"/>
      <c r="H57" s="243"/>
      <c r="I57" s="243"/>
      <c r="J57" s="243"/>
      <c r="K57" s="243"/>
      <c r="L57" s="243"/>
      <c r="M57" s="243"/>
      <c r="N57" s="243"/>
      <c r="O57" s="243"/>
      <c r="P57" s="244"/>
      <c r="Q57" s="244"/>
      <c r="R57" s="329"/>
      <c r="S57" s="329"/>
      <c r="T57" s="329"/>
      <c r="U57" s="329"/>
      <c r="V57" s="329"/>
      <c r="W57" s="329"/>
      <c r="X57" s="329"/>
      <c r="Y57" s="329"/>
    </row>
    <row r="58" ht="12.75" customHeight="1" spans="1:25">
      <c r="A58" s="245">
        <v>1</v>
      </c>
      <c r="B58" s="347" t="s">
        <v>8016</v>
      </c>
      <c r="C58" s="348"/>
      <c r="D58" s="349"/>
      <c r="E58" s="349" t="s">
        <v>7871</v>
      </c>
      <c r="F58" s="348" t="s">
        <v>8017</v>
      </c>
      <c r="G58" s="348" t="s">
        <v>6919</v>
      </c>
      <c r="H58" s="350" t="s">
        <v>7872</v>
      </c>
      <c r="I58" s="350" t="s">
        <v>7873</v>
      </c>
      <c r="J58" s="349">
        <v>2023</v>
      </c>
      <c r="K58" s="349" t="s">
        <v>1140</v>
      </c>
      <c r="L58" s="349" t="s">
        <v>7874</v>
      </c>
      <c r="M58" s="357">
        <v>4</v>
      </c>
      <c r="N58" s="358">
        <v>45272</v>
      </c>
      <c r="O58" s="349" t="s">
        <v>1755</v>
      </c>
      <c r="P58" s="359"/>
      <c r="Q58" s="359" t="s">
        <v>6919</v>
      </c>
      <c r="R58" s="360"/>
      <c r="S58" s="360"/>
      <c r="T58" s="360"/>
      <c r="U58" s="360"/>
      <c r="V58" s="360"/>
      <c r="W58" s="360"/>
      <c r="X58" s="360"/>
      <c r="Y58" s="360"/>
    </row>
    <row r="59" ht="12.75" customHeight="1" spans="1:25">
      <c r="A59" s="245">
        <v>2</v>
      </c>
      <c r="B59" s="330" t="s">
        <v>8018</v>
      </c>
      <c r="C59" s="249"/>
      <c r="D59" s="245"/>
      <c r="E59" s="245" t="s">
        <v>7884</v>
      </c>
      <c r="F59" s="249"/>
      <c r="G59" s="249" t="s">
        <v>6919</v>
      </c>
      <c r="H59" s="334"/>
      <c r="I59" s="334" t="s">
        <v>7885</v>
      </c>
      <c r="J59" s="245"/>
      <c r="K59" s="245"/>
      <c r="L59" s="245" t="s">
        <v>7886</v>
      </c>
      <c r="M59" s="255">
        <v>1.5</v>
      </c>
      <c r="N59" s="335">
        <v>46000</v>
      </c>
      <c r="O59" s="245" t="s">
        <v>1146</v>
      </c>
      <c r="P59" s="101"/>
      <c r="Q59" s="101" t="s">
        <v>8019</v>
      </c>
      <c r="R59" s="227"/>
      <c r="S59" s="227"/>
      <c r="T59" s="227"/>
      <c r="U59" s="227"/>
      <c r="V59" s="227"/>
      <c r="W59" s="227"/>
      <c r="X59" s="227"/>
      <c r="Y59" s="227"/>
    </row>
    <row r="60" ht="12.75" customHeight="1" spans="1:25">
      <c r="A60" s="245">
        <v>3</v>
      </c>
      <c r="B60" s="330" t="s">
        <v>8020</v>
      </c>
      <c r="C60" s="331"/>
      <c r="D60" s="245"/>
      <c r="E60" s="245" t="s">
        <v>8021</v>
      </c>
      <c r="F60" s="331" t="s">
        <v>2159</v>
      </c>
      <c r="G60" s="249" t="s">
        <v>6919</v>
      </c>
      <c r="H60" s="332" t="s">
        <v>8022</v>
      </c>
      <c r="I60" s="332"/>
      <c r="J60" s="245"/>
      <c r="K60" s="245"/>
      <c r="L60" s="245" t="s">
        <v>8023</v>
      </c>
      <c r="M60" s="245"/>
      <c r="N60" s="335">
        <v>45996</v>
      </c>
      <c r="O60" s="245" t="s">
        <v>2861</v>
      </c>
      <c r="P60" s="193"/>
      <c r="Q60" s="193" t="s">
        <v>8024</v>
      </c>
      <c r="R60" s="333"/>
      <c r="S60" s="333"/>
      <c r="T60" s="333"/>
      <c r="U60" s="333"/>
      <c r="V60" s="333"/>
      <c r="W60" s="333"/>
      <c r="X60" s="333"/>
      <c r="Y60" s="333"/>
    </row>
    <row r="61" ht="12.75" customHeight="1" spans="1:25">
      <c r="A61" s="245"/>
      <c r="B61" s="330"/>
      <c r="C61" s="331" t="s">
        <v>689</v>
      </c>
      <c r="D61" s="245"/>
      <c r="E61" s="245"/>
      <c r="F61" s="331"/>
      <c r="G61" s="249"/>
      <c r="H61" s="332"/>
      <c r="I61" s="332"/>
      <c r="J61" s="245"/>
      <c r="K61" s="245"/>
      <c r="L61" s="245"/>
      <c r="M61" s="245"/>
      <c r="N61" s="245"/>
      <c r="O61" s="245"/>
      <c r="P61" s="193"/>
      <c r="Q61" s="193"/>
      <c r="R61" s="333"/>
      <c r="S61" s="333"/>
      <c r="T61" s="333"/>
      <c r="U61" s="333"/>
      <c r="V61" s="333"/>
      <c r="W61" s="333"/>
      <c r="X61" s="333"/>
      <c r="Y61" s="333"/>
    </row>
    <row r="62" ht="17.25" customHeight="1" spans="1:25">
      <c r="A62" s="8">
        <v>3</v>
      </c>
      <c r="B62" s="8" t="s">
        <v>7692</v>
      </c>
      <c r="C62" s="8">
        <f>COUNTA($B$63:$B$65)</f>
        <v>1</v>
      </c>
      <c r="D62" s="243"/>
      <c r="E62" s="243"/>
      <c r="F62" s="243"/>
      <c r="G62" s="243"/>
      <c r="H62" s="243"/>
      <c r="I62" s="243"/>
      <c r="J62" s="243"/>
      <c r="K62" s="243"/>
      <c r="L62" s="243"/>
      <c r="M62" s="243"/>
      <c r="N62" s="243"/>
      <c r="O62" s="243"/>
      <c r="P62" s="244"/>
      <c r="Q62" s="244"/>
      <c r="R62" s="329"/>
      <c r="S62" s="329"/>
      <c r="T62" s="329"/>
      <c r="U62" s="329"/>
      <c r="V62" s="329"/>
      <c r="W62" s="329"/>
      <c r="X62" s="329"/>
      <c r="Y62" s="329"/>
    </row>
    <row r="63" ht="12.75" customHeight="1" spans="1:25">
      <c r="A63" s="245">
        <v>1</v>
      </c>
      <c r="B63" s="330" t="s">
        <v>8025</v>
      </c>
      <c r="C63" s="331" t="s">
        <v>8026</v>
      </c>
      <c r="D63" s="245"/>
      <c r="E63" s="245" t="s">
        <v>7864</v>
      </c>
      <c r="F63" s="331" t="s">
        <v>8027</v>
      </c>
      <c r="G63" s="249" t="s">
        <v>7692</v>
      </c>
      <c r="H63" s="332" t="s">
        <v>7866</v>
      </c>
      <c r="I63" s="332" t="s">
        <v>7867</v>
      </c>
      <c r="J63" s="245"/>
      <c r="K63" s="245"/>
      <c r="L63" s="245" t="s">
        <v>7868</v>
      </c>
      <c r="M63" s="245">
        <v>7.5</v>
      </c>
      <c r="N63" s="245"/>
      <c r="O63" s="245"/>
      <c r="P63" s="193"/>
      <c r="Q63" s="193" t="s">
        <v>8028</v>
      </c>
      <c r="R63" s="333"/>
      <c r="S63" s="333"/>
      <c r="T63" s="333"/>
      <c r="U63" s="333"/>
      <c r="V63" s="333"/>
      <c r="W63" s="333"/>
      <c r="X63" s="333"/>
      <c r="Y63" s="333"/>
    </row>
    <row r="64" ht="12.75" customHeight="1" spans="1:25">
      <c r="A64" s="245"/>
      <c r="B64" s="330"/>
      <c r="C64" s="331"/>
      <c r="D64" s="245"/>
      <c r="E64" s="245"/>
      <c r="F64" s="331"/>
      <c r="G64" s="249"/>
      <c r="H64" s="332"/>
      <c r="I64" s="332"/>
      <c r="J64" s="245"/>
      <c r="K64" s="245"/>
      <c r="L64" s="245"/>
      <c r="M64" s="245"/>
      <c r="N64" s="245"/>
      <c r="O64" s="245"/>
      <c r="P64" s="193"/>
      <c r="Q64" s="193"/>
      <c r="R64" s="333"/>
      <c r="S64" s="333"/>
      <c r="T64" s="333"/>
      <c r="U64" s="333"/>
      <c r="V64" s="333"/>
      <c r="W64" s="333"/>
      <c r="X64" s="333"/>
      <c r="Y64" s="333"/>
    </row>
    <row r="65" ht="12.75" hidden="1" customHeight="1" spans="1:25">
      <c r="A65" s="245"/>
      <c r="B65" s="330"/>
      <c r="C65" s="331" t="s">
        <v>689</v>
      </c>
      <c r="D65" s="245"/>
      <c r="E65" s="245"/>
      <c r="F65" s="331"/>
      <c r="G65" s="249"/>
      <c r="H65" s="332"/>
      <c r="I65" s="332"/>
      <c r="J65" s="245"/>
      <c r="K65" s="245"/>
      <c r="L65" s="245"/>
      <c r="M65" s="245"/>
      <c r="N65" s="245"/>
      <c r="O65" s="245"/>
      <c r="P65" s="193"/>
      <c r="Q65" s="193"/>
      <c r="R65" s="333"/>
      <c r="S65" s="333"/>
      <c r="T65" s="333"/>
      <c r="U65" s="333"/>
      <c r="V65" s="333"/>
      <c r="W65" s="333"/>
      <c r="X65" s="333"/>
      <c r="Y65" s="333"/>
    </row>
    <row r="66" ht="17.25" customHeight="1" spans="1:25">
      <c r="A66" s="8">
        <v>4</v>
      </c>
      <c r="B66" s="8" t="s">
        <v>7129</v>
      </c>
      <c r="C66" s="8">
        <f>COUNTA($B$67:$B$74)</f>
        <v>6</v>
      </c>
      <c r="D66" s="243"/>
      <c r="E66" s="243"/>
      <c r="F66" s="243"/>
      <c r="G66" s="243"/>
      <c r="H66" s="243"/>
      <c r="I66" s="243"/>
      <c r="J66" s="243"/>
      <c r="K66" s="243"/>
      <c r="L66" s="243"/>
      <c r="M66" s="243"/>
      <c r="N66" s="243"/>
      <c r="O66" s="243"/>
      <c r="P66" s="244"/>
      <c r="Q66" s="244"/>
      <c r="R66" s="329"/>
      <c r="S66" s="329"/>
      <c r="T66" s="329"/>
      <c r="U66" s="329"/>
      <c r="V66" s="329"/>
      <c r="W66" s="329"/>
      <c r="X66" s="329"/>
      <c r="Y66" s="329"/>
    </row>
    <row r="67" ht="12.75" customHeight="1" spans="1:25">
      <c r="A67" s="245">
        <v>1</v>
      </c>
      <c r="B67" s="330" t="s">
        <v>8029</v>
      </c>
      <c r="C67" s="249"/>
      <c r="D67" s="245"/>
      <c r="E67" s="245" t="s">
        <v>7864</v>
      </c>
      <c r="F67" s="331" t="s">
        <v>8030</v>
      </c>
      <c r="G67" s="249" t="s">
        <v>8031</v>
      </c>
      <c r="H67" s="332" t="s">
        <v>7895</v>
      </c>
      <c r="I67" s="332" t="s">
        <v>7896</v>
      </c>
      <c r="J67" s="245"/>
      <c r="K67" s="245"/>
      <c r="L67" s="245" t="s">
        <v>7868</v>
      </c>
      <c r="M67" s="245">
        <v>7.5</v>
      </c>
      <c r="N67" s="245"/>
      <c r="O67" s="245"/>
      <c r="P67" s="256"/>
      <c r="Q67" s="256" t="s">
        <v>8032</v>
      </c>
      <c r="R67" s="267"/>
      <c r="S67" s="267"/>
      <c r="T67" s="267"/>
      <c r="U67" s="267"/>
      <c r="V67" s="267"/>
      <c r="W67" s="267"/>
      <c r="X67" s="267"/>
      <c r="Y67" s="267"/>
    </row>
    <row r="68" ht="12.75" customHeight="1" spans="1:25">
      <c r="A68" s="245">
        <f t="shared" ref="A68:A71" si="2">A67+1</f>
        <v>2</v>
      </c>
      <c r="B68" s="330" t="s">
        <v>8033</v>
      </c>
      <c r="C68" s="249" t="s">
        <v>8034</v>
      </c>
      <c r="D68" s="245"/>
      <c r="E68" s="245" t="s">
        <v>7864</v>
      </c>
      <c r="F68" s="249"/>
      <c r="G68" s="249" t="s">
        <v>32</v>
      </c>
      <c r="H68" s="332"/>
      <c r="I68" s="332"/>
      <c r="J68" s="245"/>
      <c r="K68" s="245"/>
      <c r="L68" s="245" t="s">
        <v>7868</v>
      </c>
      <c r="M68" s="245">
        <v>7.5</v>
      </c>
      <c r="N68" s="245"/>
      <c r="O68" s="245"/>
      <c r="P68" s="256"/>
      <c r="Q68" s="256"/>
      <c r="R68" s="267"/>
      <c r="S68" s="267"/>
      <c r="T68" s="267"/>
      <c r="U68" s="267"/>
      <c r="V68" s="267"/>
      <c r="W68" s="267"/>
      <c r="X68" s="267"/>
      <c r="Y68" s="267"/>
    </row>
    <row r="69" ht="12.75" customHeight="1" spans="1:25">
      <c r="A69" s="245">
        <f t="shared" si="2"/>
        <v>3</v>
      </c>
      <c r="B69" s="330" t="s">
        <v>8035</v>
      </c>
      <c r="C69" s="249"/>
      <c r="D69" s="245"/>
      <c r="E69" s="245" t="s">
        <v>7864</v>
      </c>
      <c r="F69" s="249"/>
      <c r="G69" s="249" t="s">
        <v>8036</v>
      </c>
      <c r="H69" s="332"/>
      <c r="I69" s="332"/>
      <c r="J69" s="245"/>
      <c r="K69" s="245"/>
      <c r="L69" s="245" t="s">
        <v>7868</v>
      </c>
      <c r="M69" s="245">
        <v>7.5</v>
      </c>
      <c r="N69" s="245"/>
      <c r="O69" s="245"/>
      <c r="P69" s="256"/>
      <c r="Q69" s="256" t="s">
        <v>8037</v>
      </c>
      <c r="R69" s="267"/>
      <c r="S69" s="267"/>
      <c r="T69" s="267"/>
      <c r="U69" s="267"/>
      <c r="V69" s="267"/>
      <c r="W69" s="267"/>
      <c r="X69" s="267"/>
      <c r="Y69" s="267"/>
    </row>
    <row r="70" ht="12.75" customHeight="1" spans="1:25">
      <c r="A70" s="245">
        <f t="shared" si="2"/>
        <v>4</v>
      </c>
      <c r="B70" s="330" t="s">
        <v>8038</v>
      </c>
      <c r="C70" s="249"/>
      <c r="D70" s="245"/>
      <c r="E70" s="245" t="s">
        <v>7864</v>
      </c>
      <c r="F70" s="331" t="s">
        <v>8039</v>
      </c>
      <c r="G70" s="249" t="s">
        <v>8036</v>
      </c>
      <c r="H70" s="332" t="s">
        <v>7895</v>
      </c>
      <c r="I70" s="332" t="s">
        <v>7896</v>
      </c>
      <c r="J70" s="245"/>
      <c r="K70" s="245"/>
      <c r="L70" s="245" t="s">
        <v>7868</v>
      </c>
      <c r="M70" s="245">
        <v>7.5</v>
      </c>
      <c r="N70" s="245"/>
      <c r="O70" s="245"/>
      <c r="P70" s="256"/>
      <c r="Q70" s="256" t="s">
        <v>8040</v>
      </c>
      <c r="R70" s="267"/>
      <c r="S70" s="267"/>
      <c r="T70" s="267"/>
      <c r="U70" s="267"/>
      <c r="V70" s="267"/>
      <c r="W70" s="267"/>
      <c r="X70" s="267"/>
      <c r="Y70" s="267"/>
    </row>
    <row r="71" ht="12.75" customHeight="1" spans="1:25">
      <c r="A71" s="361">
        <f t="shared" si="2"/>
        <v>5</v>
      </c>
      <c r="B71" s="362" t="s">
        <v>8041</v>
      </c>
      <c r="C71" s="363"/>
      <c r="D71" s="361"/>
      <c r="E71" s="361" t="s">
        <v>7974</v>
      </c>
      <c r="F71" s="363"/>
      <c r="G71" s="363" t="s">
        <v>8042</v>
      </c>
      <c r="H71" s="332"/>
      <c r="I71" s="332" t="s">
        <v>8043</v>
      </c>
      <c r="J71" s="245"/>
      <c r="K71" s="245"/>
      <c r="L71" s="245" t="s">
        <v>7976</v>
      </c>
      <c r="M71" s="245">
        <v>25</v>
      </c>
      <c r="N71" s="245"/>
      <c r="O71" s="245"/>
      <c r="P71" s="256" t="s">
        <v>8044</v>
      </c>
      <c r="Q71" s="256" t="s">
        <v>8045</v>
      </c>
      <c r="R71" s="267"/>
      <c r="S71" s="267"/>
      <c r="T71" s="267"/>
      <c r="U71" s="267"/>
      <c r="V71" s="267"/>
      <c r="W71" s="267"/>
      <c r="X71" s="267"/>
      <c r="Y71" s="267"/>
    </row>
    <row r="72" ht="12.75" customHeight="1" spans="1:25">
      <c r="A72" s="245"/>
      <c r="B72" s="364" t="s">
        <v>8046</v>
      </c>
      <c r="C72" s="249"/>
      <c r="D72" s="245"/>
      <c r="E72" s="249" t="s">
        <v>8047</v>
      </c>
      <c r="F72" s="249" t="s">
        <v>8048</v>
      </c>
      <c r="G72" s="249" t="s">
        <v>6919</v>
      </c>
      <c r="H72" s="334"/>
      <c r="I72" s="332" t="s">
        <v>8049</v>
      </c>
      <c r="J72" s="245"/>
      <c r="K72" s="245"/>
      <c r="L72" s="249" t="s">
        <v>8050</v>
      </c>
      <c r="M72" s="249">
        <v>3.5</v>
      </c>
      <c r="N72" s="245"/>
      <c r="O72" s="245"/>
      <c r="P72" s="249" t="s">
        <v>1263</v>
      </c>
      <c r="Q72" s="249" t="s">
        <v>8051</v>
      </c>
      <c r="R72" s="267"/>
      <c r="S72" s="267"/>
      <c r="T72" s="267"/>
      <c r="U72" s="267"/>
      <c r="V72" s="267"/>
      <c r="W72" s="267"/>
      <c r="X72" s="267"/>
      <c r="Y72" s="267"/>
    </row>
    <row r="73" ht="12.75" customHeight="1" spans="1:25">
      <c r="A73" s="361"/>
      <c r="B73" s="362"/>
      <c r="C73" s="363"/>
      <c r="D73" s="361"/>
      <c r="E73" s="361"/>
      <c r="F73" s="363"/>
      <c r="G73" s="363"/>
      <c r="H73" s="332"/>
      <c r="I73" s="332"/>
      <c r="J73" s="245"/>
      <c r="K73" s="245"/>
      <c r="L73" s="245"/>
      <c r="M73" s="245"/>
      <c r="N73" s="245"/>
      <c r="O73" s="245"/>
      <c r="P73" s="256"/>
      <c r="Q73" s="256"/>
      <c r="R73" s="267"/>
      <c r="S73" s="267"/>
      <c r="T73" s="267"/>
      <c r="U73" s="267"/>
      <c r="V73" s="267"/>
      <c r="W73" s="267"/>
      <c r="X73" s="267"/>
      <c r="Y73" s="267"/>
    </row>
    <row r="74" ht="12.75" hidden="1" customHeight="1" spans="1:25">
      <c r="A74" s="245"/>
      <c r="B74" s="330"/>
      <c r="C74" s="331" t="s">
        <v>689</v>
      </c>
      <c r="D74" s="245"/>
      <c r="E74" s="245"/>
      <c r="F74" s="249"/>
      <c r="G74" s="249"/>
      <c r="H74" s="332"/>
      <c r="I74" s="332"/>
      <c r="J74" s="245"/>
      <c r="K74" s="245"/>
      <c r="L74" s="245"/>
      <c r="M74" s="245"/>
      <c r="N74" s="245"/>
      <c r="O74" s="245"/>
      <c r="P74" s="256"/>
      <c r="Q74" s="256"/>
      <c r="R74" s="267"/>
      <c r="S74" s="267"/>
      <c r="T74" s="267"/>
      <c r="U74" s="267"/>
      <c r="V74" s="267"/>
      <c r="W74" s="267"/>
      <c r="X74" s="267"/>
      <c r="Y74" s="267"/>
    </row>
    <row r="75" ht="21.75" customHeight="1" spans="1:25">
      <c r="A75" s="235" t="s">
        <v>4215</v>
      </c>
      <c r="B75" s="235" t="s">
        <v>8052</v>
      </c>
      <c r="C75" s="235">
        <f>$C$76+$C$85+$C$94+$C$90</f>
        <v>26</v>
      </c>
      <c r="D75" s="238"/>
      <c r="E75" s="238"/>
      <c r="F75" s="238"/>
      <c r="G75" s="238"/>
      <c r="H75" s="238"/>
      <c r="I75" s="238"/>
      <c r="J75" s="238"/>
      <c r="K75" s="238"/>
      <c r="L75" s="238"/>
      <c r="M75" s="238"/>
      <c r="N75" s="238"/>
      <c r="O75" s="238"/>
      <c r="P75" s="239"/>
      <c r="Q75" s="239"/>
      <c r="R75" s="328"/>
      <c r="S75" s="328"/>
      <c r="T75" s="328"/>
      <c r="U75" s="328"/>
      <c r="V75" s="328"/>
      <c r="W75" s="328"/>
      <c r="X75" s="328"/>
      <c r="Y75" s="328"/>
    </row>
    <row r="76" ht="17.25" customHeight="1" spans="1:25">
      <c r="A76" s="8">
        <v>1</v>
      </c>
      <c r="B76" s="8" t="s">
        <v>6374</v>
      </c>
      <c r="C76" s="8">
        <f>COUNTA($B$77:$B$84)</f>
        <v>7</v>
      </c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4"/>
      <c r="Q76" s="244"/>
      <c r="R76" s="329"/>
      <c r="S76" s="329"/>
      <c r="T76" s="329"/>
      <c r="U76" s="329"/>
      <c r="V76" s="329"/>
      <c r="W76" s="329"/>
      <c r="X76" s="329"/>
      <c r="Y76" s="329"/>
    </row>
    <row r="77" ht="12.75" customHeight="1" spans="1:25">
      <c r="A77" s="245">
        <v>1</v>
      </c>
      <c r="B77" s="330" t="s">
        <v>8053</v>
      </c>
      <c r="C77" s="331" t="s">
        <v>8054</v>
      </c>
      <c r="D77" s="245"/>
      <c r="E77" s="245" t="s">
        <v>8055</v>
      </c>
      <c r="F77" s="249"/>
      <c r="G77" s="249" t="s">
        <v>7482</v>
      </c>
      <c r="H77" s="332"/>
      <c r="I77" s="332" t="s">
        <v>8056</v>
      </c>
      <c r="J77" s="245"/>
      <c r="K77" s="245"/>
      <c r="L77" s="245" t="s">
        <v>8057</v>
      </c>
      <c r="M77" s="245">
        <v>3.25</v>
      </c>
      <c r="N77" s="245"/>
      <c r="O77" s="245"/>
      <c r="P77" s="256"/>
      <c r="Q77" s="256" t="s">
        <v>8058</v>
      </c>
      <c r="R77" s="267"/>
      <c r="S77" s="267"/>
      <c r="T77" s="267"/>
      <c r="U77" s="267"/>
      <c r="V77" s="267"/>
      <c r="W77" s="267"/>
      <c r="X77" s="267"/>
      <c r="Y77" s="267"/>
    </row>
    <row r="78" ht="12.75" customHeight="1" spans="1:25">
      <c r="A78" s="245">
        <f t="shared" ref="A78:A83" si="3">A77+1</f>
        <v>2</v>
      </c>
      <c r="B78" s="330" t="s">
        <v>8059</v>
      </c>
      <c r="C78" s="331" t="s">
        <v>8060</v>
      </c>
      <c r="D78" s="245"/>
      <c r="E78" s="245" t="s">
        <v>7974</v>
      </c>
      <c r="F78" s="249"/>
      <c r="G78" s="249" t="s">
        <v>7482</v>
      </c>
      <c r="H78" s="332"/>
      <c r="I78" s="332"/>
      <c r="J78" s="245"/>
      <c r="K78" s="245"/>
      <c r="L78" s="245" t="s">
        <v>7976</v>
      </c>
      <c r="M78" s="245">
        <v>25</v>
      </c>
      <c r="N78" s="245"/>
      <c r="O78" s="245"/>
      <c r="P78" s="193"/>
      <c r="Q78" s="193" t="s">
        <v>8061</v>
      </c>
      <c r="R78" s="333"/>
      <c r="S78" s="333"/>
      <c r="T78" s="333"/>
      <c r="U78" s="333"/>
      <c r="V78" s="333"/>
      <c r="W78" s="333"/>
      <c r="X78" s="333"/>
      <c r="Y78" s="333"/>
    </row>
    <row r="79" ht="12.75" customHeight="1" spans="1:25">
      <c r="A79" s="245">
        <f t="shared" si="3"/>
        <v>3</v>
      </c>
      <c r="B79" s="330" t="s">
        <v>8062</v>
      </c>
      <c r="C79" s="331" t="s">
        <v>8063</v>
      </c>
      <c r="D79" s="245"/>
      <c r="E79" s="245" t="s">
        <v>7864</v>
      </c>
      <c r="F79" s="331" t="s">
        <v>8064</v>
      </c>
      <c r="G79" s="249" t="s">
        <v>7482</v>
      </c>
      <c r="H79" s="332" t="s">
        <v>7895</v>
      </c>
      <c r="I79" s="332" t="s">
        <v>7896</v>
      </c>
      <c r="J79" s="245"/>
      <c r="K79" s="245"/>
      <c r="L79" s="245" t="s">
        <v>7868</v>
      </c>
      <c r="M79" s="245">
        <v>7.5</v>
      </c>
      <c r="N79" s="245"/>
      <c r="O79" s="245"/>
      <c r="P79" s="193"/>
      <c r="Q79" s="193" t="s">
        <v>8065</v>
      </c>
      <c r="R79" s="333"/>
      <c r="S79" s="333"/>
      <c r="T79" s="333"/>
      <c r="U79" s="333"/>
      <c r="V79" s="333"/>
      <c r="W79" s="333"/>
      <c r="X79" s="333"/>
      <c r="Y79" s="333"/>
    </row>
    <row r="80" ht="12.75" customHeight="1" spans="1:25">
      <c r="A80" s="245">
        <f t="shared" si="3"/>
        <v>4</v>
      </c>
      <c r="B80" s="330" t="s">
        <v>8066</v>
      </c>
      <c r="C80" s="365" t="s">
        <v>1146</v>
      </c>
      <c r="D80" s="365" t="s">
        <v>8067</v>
      </c>
      <c r="E80" s="245" t="s">
        <v>8068</v>
      </c>
      <c r="F80" s="249"/>
      <c r="G80" s="249" t="s">
        <v>7482</v>
      </c>
      <c r="H80" s="332" t="s">
        <v>8069</v>
      </c>
      <c r="I80" s="332">
        <v>3800</v>
      </c>
      <c r="J80" s="245"/>
      <c r="K80" s="245"/>
      <c r="L80" s="245" t="s">
        <v>8070</v>
      </c>
      <c r="M80" s="260">
        <v>2</v>
      </c>
      <c r="N80" s="245" t="s">
        <v>1854</v>
      </c>
      <c r="O80" s="245" t="s">
        <v>2083</v>
      </c>
      <c r="P80" s="101"/>
      <c r="Q80" s="101" t="s">
        <v>7482</v>
      </c>
      <c r="R80" s="227"/>
      <c r="S80" s="227"/>
      <c r="T80" s="227"/>
      <c r="U80" s="227"/>
      <c r="V80" s="227"/>
      <c r="W80" s="227"/>
      <c r="X80" s="227"/>
      <c r="Y80" s="227"/>
    </row>
    <row r="81" ht="12.75" customHeight="1" spans="1:25">
      <c r="A81" s="245">
        <f t="shared" si="3"/>
        <v>5</v>
      </c>
      <c r="B81" s="330" t="s">
        <v>8071</v>
      </c>
      <c r="C81" s="365" t="s">
        <v>1146</v>
      </c>
      <c r="D81" s="366"/>
      <c r="E81" s="245" t="s">
        <v>7864</v>
      </c>
      <c r="F81" s="249" t="s">
        <v>8072</v>
      </c>
      <c r="G81" s="249" t="s">
        <v>8073</v>
      </c>
      <c r="H81" s="332" t="s">
        <v>7866</v>
      </c>
      <c r="I81" s="332" t="s">
        <v>7867</v>
      </c>
      <c r="J81" s="245">
        <v>2021</v>
      </c>
      <c r="K81" s="245" t="s">
        <v>1140</v>
      </c>
      <c r="L81" s="245" t="s">
        <v>7868</v>
      </c>
      <c r="M81" s="260">
        <v>7.5</v>
      </c>
      <c r="N81" s="367">
        <v>45211</v>
      </c>
      <c r="O81" s="245" t="s">
        <v>2083</v>
      </c>
      <c r="P81" s="101"/>
      <c r="Q81" s="101" t="s">
        <v>8074</v>
      </c>
      <c r="R81" s="227"/>
      <c r="S81" s="227"/>
      <c r="T81" s="227"/>
      <c r="U81" s="227"/>
      <c r="V81" s="227"/>
      <c r="W81" s="227"/>
      <c r="X81" s="227"/>
      <c r="Y81" s="227"/>
    </row>
    <row r="82" ht="12.75" customHeight="1" spans="1:25">
      <c r="A82" s="245">
        <f t="shared" si="3"/>
        <v>6</v>
      </c>
      <c r="B82" s="330" t="s">
        <v>7982</v>
      </c>
      <c r="C82" s="365" t="s">
        <v>2422</v>
      </c>
      <c r="D82" s="366"/>
      <c r="E82" s="245" t="s">
        <v>7864</v>
      </c>
      <c r="F82" s="249"/>
      <c r="G82" s="249" t="s">
        <v>7482</v>
      </c>
      <c r="H82" s="332"/>
      <c r="I82" s="332"/>
      <c r="J82" s="245"/>
      <c r="K82" s="245"/>
      <c r="L82" s="245" t="s">
        <v>7950</v>
      </c>
      <c r="M82" s="260">
        <v>7.5</v>
      </c>
      <c r="N82" s="335">
        <v>45536</v>
      </c>
      <c r="O82" s="245" t="s">
        <v>2422</v>
      </c>
      <c r="P82" s="178" t="s">
        <v>8075</v>
      </c>
      <c r="Q82" s="101" t="s">
        <v>8076</v>
      </c>
      <c r="R82" s="227"/>
      <c r="S82" s="227"/>
      <c r="T82" s="227"/>
      <c r="U82" s="227"/>
      <c r="V82" s="227"/>
      <c r="W82" s="227"/>
      <c r="X82" s="227"/>
      <c r="Y82" s="227"/>
    </row>
    <row r="83" ht="12.75" customHeight="1" spans="1:25">
      <c r="A83" s="245">
        <f t="shared" si="3"/>
        <v>7</v>
      </c>
      <c r="B83" s="330" t="s">
        <v>8077</v>
      </c>
      <c r="C83" s="365" t="s">
        <v>2422</v>
      </c>
      <c r="D83" s="366"/>
      <c r="E83" s="245" t="s">
        <v>7864</v>
      </c>
      <c r="F83" s="249">
        <v>82269979</v>
      </c>
      <c r="G83" s="249" t="s">
        <v>7482</v>
      </c>
      <c r="H83" s="332" t="s">
        <v>8078</v>
      </c>
      <c r="I83" s="332" t="s">
        <v>8079</v>
      </c>
      <c r="J83" s="245"/>
      <c r="K83" s="245" t="s">
        <v>1140</v>
      </c>
      <c r="L83" s="245" t="s">
        <v>7950</v>
      </c>
      <c r="M83" s="260">
        <v>7.5</v>
      </c>
      <c r="N83" s="335">
        <v>45512</v>
      </c>
      <c r="O83" s="245" t="s">
        <v>8080</v>
      </c>
      <c r="P83" s="178"/>
      <c r="Q83" s="101" t="s">
        <v>8081</v>
      </c>
      <c r="R83" s="227"/>
      <c r="S83" s="227"/>
      <c r="T83" s="227"/>
      <c r="U83" s="227"/>
      <c r="V83" s="227"/>
      <c r="W83" s="227"/>
      <c r="X83" s="227"/>
      <c r="Y83" s="227"/>
    </row>
    <row r="84" ht="12.75" hidden="1" customHeight="1" spans="1:25">
      <c r="A84" s="245"/>
      <c r="B84" s="330"/>
      <c r="C84" s="365" t="s">
        <v>689</v>
      </c>
      <c r="D84" s="366"/>
      <c r="E84" s="245"/>
      <c r="F84" s="249"/>
      <c r="G84" s="249"/>
      <c r="H84" s="332"/>
      <c r="I84" s="332"/>
      <c r="J84" s="245"/>
      <c r="K84" s="245"/>
      <c r="L84" s="245"/>
      <c r="M84" s="260"/>
      <c r="N84" s="335"/>
      <c r="O84" s="245"/>
      <c r="P84" s="178"/>
      <c r="Q84" s="101"/>
      <c r="R84" s="227"/>
      <c r="S84" s="227"/>
      <c r="T84" s="227"/>
      <c r="U84" s="227"/>
      <c r="V84" s="227"/>
      <c r="W84" s="227"/>
      <c r="X84" s="227"/>
      <c r="Y84" s="227"/>
    </row>
    <row r="85" ht="17.25" customHeight="1" spans="1:25">
      <c r="A85" s="8">
        <v>2</v>
      </c>
      <c r="B85" s="8" t="s">
        <v>3532</v>
      </c>
      <c r="C85" s="8">
        <f>COUNTA($B$86:$B$89)</f>
        <v>3</v>
      </c>
      <c r="D85" s="243"/>
      <c r="E85" s="243"/>
      <c r="F85" s="243"/>
      <c r="G85" s="243"/>
      <c r="H85" s="243"/>
      <c r="I85" s="243"/>
      <c r="J85" s="243"/>
      <c r="K85" s="243"/>
      <c r="L85" s="243"/>
      <c r="M85" s="243"/>
      <c r="N85" s="243"/>
      <c r="O85" s="243"/>
      <c r="P85" s="244"/>
      <c r="Q85" s="244"/>
      <c r="R85" s="329"/>
      <c r="S85" s="329"/>
      <c r="T85" s="329"/>
      <c r="U85" s="329"/>
      <c r="V85" s="329"/>
      <c r="W85" s="329"/>
      <c r="X85" s="329"/>
      <c r="Y85" s="329"/>
    </row>
    <row r="86" ht="12.75" customHeight="1" spans="1:25">
      <c r="A86" s="245">
        <v>1</v>
      </c>
      <c r="B86" s="330" t="s">
        <v>8082</v>
      </c>
      <c r="C86" s="331" t="s">
        <v>8083</v>
      </c>
      <c r="D86" s="245"/>
      <c r="E86" s="245" t="s">
        <v>7910</v>
      </c>
      <c r="F86" s="249"/>
      <c r="G86" s="249" t="s">
        <v>3532</v>
      </c>
      <c r="H86" s="332"/>
      <c r="I86" s="332"/>
      <c r="J86" s="245"/>
      <c r="K86" s="245"/>
      <c r="L86" s="245" t="s">
        <v>7911</v>
      </c>
      <c r="M86" s="245">
        <v>12.5</v>
      </c>
      <c r="N86" s="245"/>
      <c r="O86" s="245"/>
      <c r="P86" s="193"/>
      <c r="Q86" s="193" t="s">
        <v>8084</v>
      </c>
      <c r="R86" s="333"/>
      <c r="S86" s="333"/>
      <c r="T86" s="333"/>
      <c r="U86" s="333"/>
      <c r="V86" s="333"/>
      <c r="W86" s="333"/>
      <c r="X86" s="333"/>
      <c r="Y86" s="333"/>
    </row>
    <row r="87" ht="12.75" customHeight="1" spans="1:25">
      <c r="A87" s="245">
        <f t="shared" ref="A87:A88" si="4">A86+1</f>
        <v>2</v>
      </c>
      <c r="B87" s="330" t="s">
        <v>8085</v>
      </c>
      <c r="C87" s="331" t="s">
        <v>8086</v>
      </c>
      <c r="D87" s="245"/>
      <c r="E87" s="245" t="s">
        <v>7910</v>
      </c>
      <c r="F87" s="249"/>
      <c r="G87" s="249" t="s">
        <v>3532</v>
      </c>
      <c r="H87" s="332"/>
      <c r="I87" s="332" t="s">
        <v>7867</v>
      </c>
      <c r="J87" s="245"/>
      <c r="K87" s="245"/>
      <c r="L87" s="245" t="s">
        <v>7911</v>
      </c>
      <c r="M87" s="245">
        <v>12.5</v>
      </c>
      <c r="N87" s="245"/>
      <c r="O87" s="245"/>
      <c r="P87" s="193"/>
      <c r="Q87" s="193" t="s">
        <v>8087</v>
      </c>
      <c r="R87" s="333"/>
      <c r="S87" s="333"/>
      <c r="T87" s="333"/>
      <c r="U87" s="333"/>
      <c r="V87" s="333"/>
      <c r="W87" s="333"/>
      <c r="X87" s="333"/>
      <c r="Y87" s="333"/>
    </row>
    <row r="88" ht="12.75" customHeight="1" spans="1:25">
      <c r="A88" s="245">
        <f t="shared" si="4"/>
        <v>3</v>
      </c>
      <c r="B88" s="330" t="s">
        <v>8088</v>
      </c>
      <c r="C88" s="249" t="s">
        <v>1146</v>
      </c>
      <c r="D88" s="245" t="s">
        <v>8089</v>
      </c>
      <c r="E88" s="245" t="s">
        <v>7871</v>
      </c>
      <c r="F88" s="249" t="s">
        <v>8090</v>
      </c>
      <c r="G88" s="249" t="s">
        <v>3532</v>
      </c>
      <c r="H88" s="332" t="s">
        <v>7872</v>
      </c>
      <c r="I88" s="332" t="s">
        <v>7873</v>
      </c>
      <c r="J88" s="245">
        <v>2023</v>
      </c>
      <c r="K88" s="245" t="s">
        <v>1140</v>
      </c>
      <c r="L88" s="245" t="s">
        <v>7874</v>
      </c>
      <c r="M88" s="260">
        <v>4</v>
      </c>
      <c r="N88" s="339">
        <v>45508</v>
      </c>
      <c r="O88" s="245" t="s">
        <v>1850</v>
      </c>
      <c r="P88" s="256"/>
      <c r="Q88" s="256" t="s">
        <v>8091</v>
      </c>
      <c r="R88" s="267"/>
      <c r="S88" s="267"/>
      <c r="T88" s="267"/>
      <c r="U88" s="267"/>
      <c r="V88" s="267"/>
      <c r="W88" s="267"/>
      <c r="X88" s="267"/>
      <c r="Y88" s="267"/>
    </row>
    <row r="89" ht="12.75" hidden="1" customHeight="1" spans="1:25">
      <c r="A89" s="245"/>
      <c r="B89" s="330"/>
      <c r="C89" s="249" t="s">
        <v>689</v>
      </c>
      <c r="D89" s="245"/>
      <c r="E89" s="245"/>
      <c r="F89" s="249"/>
      <c r="G89" s="249"/>
      <c r="H89" s="332"/>
      <c r="I89" s="332"/>
      <c r="J89" s="245"/>
      <c r="K89" s="245"/>
      <c r="L89" s="245"/>
      <c r="M89" s="260"/>
      <c r="N89" s="339"/>
      <c r="O89" s="245"/>
      <c r="P89" s="256"/>
      <c r="Q89" s="256"/>
      <c r="R89" s="267"/>
      <c r="S89" s="267"/>
      <c r="T89" s="267"/>
      <c r="U89" s="267"/>
      <c r="V89" s="267"/>
      <c r="W89" s="267"/>
      <c r="X89" s="267"/>
      <c r="Y89" s="267"/>
    </row>
    <row r="90" ht="17.25" customHeight="1" spans="1:25">
      <c r="A90" s="8">
        <v>3</v>
      </c>
      <c r="B90" s="8" t="s">
        <v>8092</v>
      </c>
      <c r="C90" s="8">
        <f>COUNTA($B$91:$B$93)</f>
        <v>1</v>
      </c>
      <c r="D90" s="243"/>
      <c r="E90" s="243"/>
      <c r="F90" s="243"/>
      <c r="G90" s="243"/>
      <c r="H90" s="243"/>
      <c r="I90" s="243"/>
      <c r="J90" s="243"/>
      <c r="K90" s="243"/>
      <c r="L90" s="243"/>
      <c r="M90" s="243"/>
      <c r="N90" s="243"/>
      <c r="O90" s="243"/>
      <c r="P90" s="244"/>
      <c r="Q90" s="244"/>
      <c r="R90" s="329"/>
      <c r="S90" s="329"/>
      <c r="T90" s="329"/>
      <c r="U90" s="329"/>
      <c r="V90" s="329"/>
      <c r="W90" s="329"/>
      <c r="X90" s="329"/>
      <c r="Y90" s="329"/>
    </row>
    <row r="91" ht="17.25" customHeight="1" spans="1:25">
      <c r="A91" s="368"/>
      <c r="B91" s="364" t="s">
        <v>8093</v>
      </c>
      <c r="C91" s="368"/>
      <c r="D91" s="369"/>
      <c r="E91" s="245" t="s">
        <v>8094</v>
      </c>
      <c r="F91" s="249" t="s">
        <v>8095</v>
      </c>
      <c r="G91" s="249" t="s">
        <v>7987</v>
      </c>
      <c r="H91" s="369"/>
      <c r="I91" s="249" t="s">
        <v>8096</v>
      </c>
      <c r="J91" s="369"/>
      <c r="K91" s="249" t="s">
        <v>8097</v>
      </c>
      <c r="L91" s="249" t="s">
        <v>8098</v>
      </c>
      <c r="M91" s="369"/>
      <c r="N91" s="369"/>
      <c r="O91" s="245" t="s">
        <v>8080</v>
      </c>
      <c r="P91" s="146"/>
      <c r="Q91" s="146"/>
      <c r="R91" s="370"/>
      <c r="S91" s="370"/>
      <c r="T91" s="370"/>
      <c r="U91" s="370"/>
      <c r="V91" s="370"/>
      <c r="W91" s="370"/>
      <c r="X91" s="370"/>
      <c r="Y91" s="370"/>
    </row>
    <row r="92" ht="17.25" customHeight="1" spans="1:25">
      <c r="A92" s="368"/>
      <c r="B92" s="368"/>
      <c r="C92" s="368"/>
      <c r="D92" s="369"/>
      <c r="E92" s="369"/>
      <c r="F92" s="369"/>
      <c r="G92" s="369"/>
      <c r="H92" s="369"/>
      <c r="I92" s="369"/>
      <c r="J92" s="369"/>
      <c r="K92" s="369"/>
      <c r="L92" s="369"/>
      <c r="M92" s="369"/>
      <c r="N92" s="369"/>
      <c r="O92" s="369"/>
      <c r="P92" s="146"/>
      <c r="Q92" s="146"/>
      <c r="R92" s="370"/>
      <c r="S92" s="370"/>
      <c r="T92" s="370"/>
      <c r="U92" s="370"/>
      <c r="V92" s="370"/>
      <c r="W92" s="370"/>
      <c r="X92" s="370"/>
      <c r="Y92" s="370"/>
    </row>
    <row r="93" ht="17.25" hidden="1" customHeight="1" spans="1:25">
      <c r="A93" s="368"/>
      <c r="B93" s="368"/>
      <c r="C93" s="368" t="s">
        <v>946</v>
      </c>
      <c r="D93" s="369"/>
      <c r="E93" s="369"/>
      <c r="F93" s="369"/>
      <c r="G93" s="369"/>
      <c r="H93" s="369"/>
      <c r="I93" s="369"/>
      <c r="J93" s="369"/>
      <c r="K93" s="369"/>
      <c r="L93" s="369"/>
      <c r="M93" s="369"/>
      <c r="N93" s="369"/>
      <c r="O93" s="369"/>
      <c r="P93" s="146"/>
      <c r="Q93" s="146"/>
      <c r="R93" s="370"/>
      <c r="S93" s="370"/>
      <c r="T93" s="370"/>
      <c r="U93" s="370"/>
      <c r="V93" s="370"/>
      <c r="W93" s="370"/>
      <c r="X93" s="370"/>
      <c r="Y93" s="370"/>
    </row>
    <row r="94" ht="17.25" customHeight="1" spans="1:25">
      <c r="A94" s="8">
        <v>3</v>
      </c>
      <c r="B94" s="8" t="s">
        <v>7129</v>
      </c>
      <c r="C94" s="8">
        <f>COUNTA($B$95:$B$110)</f>
        <v>15</v>
      </c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3"/>
      <c r="P94" s="244"/>
      <c r="Q94" s="244"/>
      <c r="R94" s="329"/>
      <c r="S94" s="329"/>
      <c r="T94" s="329"/>
      <c r="U94" s="329"/>
      <c r="V94" s="329"/>
      <c r="W94" s="329"/>
      <c r="X94" s="329"/>
      <c r="Y94" s="329"/>
    </row>
    <row r="95" ht="12.75" customHeight="1" spans="1:25">
      <c r="A95" s="245">
        <v>1</v>
      </c>
      <c r="B95" s="330" t="s">
        <v>8099</v>
      </c>
      <c r="C95" s="249"/>
      <c r="D95" s="245"/>
      <c r="E95" s="245" t="s">
        <v>7864</v>
      </c>
      <c r="F95" s="331" t="s">
        <v>8100</v>
      </c>
      <c r="G95" s="249" t="s">
        <v>8101</v>
      </c>
      <c r="H95" s="332"/>
      <c r="I95" s="332" t="s">
        <v>7896</v>
      </c>
      <c r="J95" s="245"/>
      <c r="K95" s="245"/>
      <c r="L95" s="245" t="s">
        <v>7868</v>
      </c>
      <c r="M95" s="245">
        <v>7.5</v>
      </c>
      <c r="N95" s="245"/>
      <c r="O95" s="245"/>
      <c r="P95" s="256"/>
      <c r="Q95" s="256" t="s">
        <v>8102</v>
      </c>
      <c r="R95" s="267"/>
      <c r="S95" s="267"/>
      <c r="T95" s="267"/>
      <c r="U95" s="267"/>
      <c r="V95" s="267"/>
      <c r="W95" s="267"/>
      <c r="X95" s="267"/>
      <c r="Y95" s="267"/>
    </row>
    <row r="96" ht="12.75" customHeight="1" spans="1:25">
      <c r="A96" s="245">
        <f t="shared" ref="A96:A109" si="5">A95+1</f>
        <v>2</v>
      </c>
      <c r="B96" s="330" t="s">
        <v>8103</v>
      </c>
      <c r="C96" s="249"/>
      <c r="D96" s="245"/>
      <c r="E96" s="245" t="s">
        <v>7864</v>
      </c>
      <c r="F96" s="249"/>
      <c r="G96" s="249" t="s">
        <v>8104</v>
      </c>
      <c r="H96" s="332"/>
      <c r="I96" s="332" t="s">
        <v>8105</v>
      </c>
      <c r="J96" s="245"/>
      <c r="K96" s="245"/>
      <c r="L96" s="245" t="s">
        <v>7868</v>
      </c>
      <c r="M96" s="245">
        <v>7.5</v>
      </c>
      <c r="N96" s="245"/>
      <c r="O96" s="245"/>
      <c r="P96" s="193"/>
      <c r="Q96" s="193" t="s">
        <v>8106</v>
      </c>
      <c r="R96" s="333"/>
      <c r="S96" s="333"/>
      <c r="T96" s="333"/>
      <c r="U96" s="333"/>
      <c r="V96" s="333"/>
      <c r="W96" s="333"/>
      <c r="X96" s="333"/>
      <c r="Y96" s="333"/>
    </row>
    <row r="97" ht="12.75" customHeight="1" spans="1:25">
      <c r="A97" s="245">
        <f t="shared" si="5"/>
        <v>3</v>
      </c>
      <c r="B97" s="330" t="s">
        <v>8107</v>
      </c>
      <c r="C97" s="331" t="s">
        <v>8108</v>
      </c>
      <c r="D97" s="245"/>
      <c r="E97" s="245" t="s">
        <v>8109</v>
      </c>
      <c r="F97" s="249"/>
      <c r="G97" s="249" t="s">
        <v>8104</v>
      </c>
      <c r="H97" s="332" t="s">
        <v>8110</v>
      </c>
      <c r="I97" s="332"/>
      <c r="J97" s="245"/>
      <c r="K97" s="245"/>
      <c r="L97" s="245" t="s">
        <v>8111</v>
      </c>
      <c r="M97" s="245">
        <v>3</v>
      </c>
      <c r="N97" s="245"/>
      <c r="O97" s="245"/>
      <c r="P97" s="193"/>
      <c r="Q97" s="193" t="s">
        <v>8112</v>
      </c>
      <c r="R97" s="333"/>
      <c r="S97" s="333"/>
      <c r="T97" s="333"/>
      <c r="U97" s="333"/>
      <c r="V97" s="333"/>
      <c r="W97" s="333"/>
      <c r="X97" s="333"/>
      <c r="Y97" s="333"/>
    </row>
    <row r="98" ht="12.75" customHeight="1" spans="1:25">
      <c r="A98" s="245">
        <f t="shared" si="5"/>
        <v>4</v>
      </c>
      <c r="B98" s="330" t="s">
        <v>8113</v>
      </c>
      <c r="C98" s="331" t="s">
        <v>8114</v>
      </c>
      <c r="D98" s="245"/>
      <c r="E98" s="245" t="s">
        <v>7910</v>
      </c>
      <c r="F98" s="249"/>
      <c r="G98" s="249" t="s">
        <v>8115</v>
      </c>
      <c r="H98" s="332"/>
      <c r="I98" s="332" t="s">
        <v>8116</v>
      </c>
      <c r="J98" s="245"/>
      <c r="K98" s="245"/>
      <c r="L98" s="245" t="s">
        <v>7911</v>
      </c>
      <c r="M98" s="245">
        <v>12.5</v>
      </c>
      <c r="N98" s="245"/>
      <c r="O98" s="245"/>
      <c r="P98" s="256"/>
      <c r="Q98" s="256" t="s">
        <v>8117</v>
      </c>
      <c r="R98" s="267"/>
      <c r="S98" s="267"/>
      <c r="T98" s="267"/>
      <c r="U98" s="267"/>
      <c r="V98" s="267"/>
      <c r="W98" s="267"/>
      <c r="X98" s="267"/>
      <c r="Y98" s="267"/>
    </row>
    <row r="99" ht="12.75" customHeight="1" spans="1:25">
      <c r="A99" s="245">
        <f t="shared" si="5"/>
        <v>5</v>
      </c>
      <c r="B99" s="330" t="s">
        <v>8118</v>
      </c>
      <c r="C99" s="331" t="s">
        <v>8119</v>
      </c>
      <c r="D99" s="245"/>
      <c r="E99" s="245" t="s">
        <v>7864</v>
      </c>
      <c r="F99" s="331"/>
      <c r="G99" s="249" t="s">
        <v>8120</v>
      </c>
      <c r="H99" s="332"/>
      <c r="I99" s="332"/>
      <c r="J99" s="245"/>
      <c r="K99" s="245"/>
      <c r="L99" s="245" t="s">
        <v>7868</v>
      </c>
      <c r="M99" s="245">
        <v>7.5</v>
      </c>
      <c r="N99" s="245"/>
      <c r="O99" s="245"/>
      <c r="P99" s="193"/>
      <c r="Q99" s="193" t="s">
        <v>8121</v>
      </c>
      <c r="R99" s="333"/>
      <c r="S99" s="333"/>
      <c r="T99" s="333"/>
      <c r="U99" s="333"/>
      <c r="V99" s="333"/>
      <c r="W99" s="333"/>
      <c r="X99" s="333"/>
      <c r="Y99" s="333"/>
    </row>
    <row r="100" ht="12.75" customHeight="1" spans="1:25">
      <c r="A100" s="245">
        <f t="shared" si="5"/>
        <v>6</v>
      </c>
      <c r="B100" s="330" t="s">
        <v>8122</v>
      </c>
      <c r="C100" s="331" t="s">
        <v>8123</v>
      </c>
      <c r="D100" s="245"/>
      <c r="E100" s="245" t="s">
        <v>7864</v>
      </c>
      <c r="F100" s="331" t="s">
        <v>8124</v>
      </c>
      <c r="G100" s="249" t="s">
        <v>8120</v>
      </c>
      <c r="H100" s="332" t="s">
        <v>7895</v>
      </c>
      <c r="I100" s="332" t="s">
        <v>7896</v>
      </c>
      <c r="J100" s="245"/>
      <c r="K100" s="245"/>
      <c r="L100" s="245" t="s">
        <v>7868</v>
      </c>
      <c r="M100" s="245">
        <v>7.5</v>
      </c>
      <c r="N100" s="245"/>
      <c r="O100" s="245"/>
      <c r="P100" s="256"/>
      <c r="Q100" s="256" t="s">
        <v>8125</v>
      </c>
      <c r="R100" s="267"/>
      <c r="S100" s="267"/>
      <c r="T100" s="267"/>
      <c r="U100" s="267"/>
      <c r="V100" s="267"/>
      <c r="W100" s="267"/>
      <c r="X100" s="267"/>
      <c r="Y100" s="267"/>
    </row>
    <row r="101" ht="12.75" customHeight="1" spans="1:25">
      <c r="A101" s="245">
        <f t="shared" si="5"/>
        <v>7</v>
      </c>
      <c r="B101" s="330" t="s">
        <v>8126</v>
      </c>
      <c r="C101" s="331" t="s">
        <v>8127</v>
      </c>
      <c r="D101" s="245"/>
      <c r="E101" s="245" t="s">
        <v>7910</v>
      </c>
      <c r="F101" s="331" t="s">
        <v>8128</v>
      </c>
      <c r="G101" s="249" t="s">
        <v>8120</v>
      </c>
      <c r="H101" s="332"/>
      <c r="I101" s="332" t="s">
        <v>8116</v>
      </c>
      <c r="J101" s="245"/>
      <c r="K101" s="245"/>
      <c r="L101" s="245" t="s">
        <v>7911</v>
      </c>
      <c r="M101" s="245">
        <v>12.5</v>
      </c>
      <c r="N101" s="245"/>
      <c r="O101" s="245"/>
      <c r="P101" s="256"/>
      <c r="Q101" s="256" t="s">
        <v>8129</v>
      </c>
      <c r="R101" s="267"/>
      <c r="S101" s="267"/>
      <c r="T101" s="267"/>
      <c r="U101" s="267"/>
      <c r="V101" s="267"/>
      <c r="W101" s="267"/>
      <c r="X101" s="267"/>
      <c r="Y101" s="267"/>
    </row>
    <row r="102" ht="12.75" customHeight="1" spans="1:25">
      <c r="A102" s="245">
        <f t="shared" si="5"/>
        <v>8</v>
      </c>
      <c r="B102" s="330" t="s">
        <v>8130</v>
      </c>
      <c r="C102" s="249"/>
      <c r="D102" s="245"/>
      <c r="E102" s="245" t="s">
        <v>8109</v>
      </c>
      <c r="F102" s="249"/>
      <c r="G102" s="249" t="s">
        <v>8131</v>
      </c>
      <c r="H102" s="332"/>
      <c r="I102" s="332"/>
      <c r="J102" s="245"/>
      <c r="K102" s="245"/>
      <c r="L102" s="245" t="s">
        <v>8111</v>
      </c>
      <c r="M102" s="245">
        <v>3</v>
      </c>
      <c r="N102" s="245"/>
      <c r="O102" s="245"/>
      <c r="P102" s="193"/>
      <c r="Q102" s="193" t="s">
        <v>8132</v>
      </c>
      <c r="R102" s="333"/>
      <c r="S102" s="333"/>
      <c r="T102" s="333"/>
      <c r="U102" s="333"/>
      <c r="V102" s="333"/>
      <c r="W102" s="333"/>
      <c r="X102" s="333"/>
      <c r="Y102" s="333"/>
    </row>
    <row r="103" ht="12.75" customHeight="1" spans="1:25">
      <c r="A103" s="245">
        <f t="shared" si="5"/>
        <v>9</v>
      </c>
      <c r="B103" s="330" t="s">
        <v>8133</v>
      </c>
      <c r="C103" s="249"/>
      <c r="D103" s="245"/>
      <c r="E103" s="245" t="s">
        <v>7864</v>
      </c>
      <c r="F103" s="331" t="s">
        <v>8134</v>
      </c>
      <c r="G103" s="249" t="s">
        <v>8135</v>
      </c>
      <c r="H103" s="332" t="s">
        <v>7866</v>
      </c>
      <c r="I103" s="332" t="s">
        <v>7867</v>
      </c>
      <c r="J103" s="245"/>
      <c r="K103" s="245"/>
      <c r="L103" s="245" t="s">
        <v>7868</v>
      </c>
      <c r="M103" s="245">
        <v>7.5</v>
      </c>
      <c r="N103" s="245"/>
      <c r="O103" s="245"/>
      <c r="P103" s="256"/>
      <c r="Q103" s="256" t="s">
        <v>8136</v>
      </c>
      <c r="R103" s="267"/>
      <c r="S103" s="267"/>
      <c r="T103" s="267"/>
      <c r="U103" s="267"/>
      <c r="V103" s="267"/>
      <c r="W103" s="267"/>
      <c r="X103" s="267"/>
      <c r="Y103" s="267"/>
    </row>
    <row r="104" ht="12.75" customHeight="1" spans="1:25">
      <c r="A104" s="245">
        <f t="shared" si="5"/>
        <v>10</v>
      </c>
      <c r="B104" s="330" t="s">
        <v>8137</v>
      </c>
      <c r="C104" s="331" t="s">
        <v>8138</v>
      </c>
      <c r="D104" s="245"/>
      <c r="E104" s="245" t="s">
        <v>8055</v>
      </c>
      <c r="F104" s="249"/>
      <c r="G104" s="249" t="s">
        <v>8139</v>
      </c>
      <c r="H104" s="332"/>
      <c r="I104" s="332"/>
      <c r="J104" s="245"/>
      <c r="K104" s="245"/>
      <c r="L104" s="245" t="s">
        <v>8057</v>
      </c>
      <c r="M104" s="245">
        <v>3.25</v>
      </c>
      <c r="N104" s="245"/>
      <c r="O104" s="245"/>
      <c r="P104" s="101"/>
      <c r="Q104" s="371" t="s">
        <v>8140</v>
      </c>
      <c r="R104" s="227"/>
      <c r="S104" s="227"/>
      <c r="T104" s="227"/>
      <c r="U104" s="227"/>
      <c r="V104" s="227"/>
      <c r="W104" s="227"/>
      <c r="X104" s="227"/>
      <c r="Y104" s="227"/>
    </row>
    <row r="105" ht="12.75" customHeight="1" spans="1:25">
      <c r="A105" s="245">
        <f t="shared" si="5"/>
        <v>11</v>
      </c>
      <c r="B105" s="330" t="s">
        <v>8141</v>
      </c>
      <c r="C105" s="365" t="s">
        <v>8142</v>
      </c>
      <c r="D105" s="366"/>
      <c r="E105" s="245" t="s">
        <v>8143</v>
      </c>
      <c r="F105" s="249"/>
      <c r="G105" s="249" t="s">
        <v>8139</v>
      </c>
      <c r="H105" s="332"/>
      <c r="I105" s="332"/>
      <c r="J105" s="245"/>
      <c r="K105" s="245"/>
      <c r="L105" s="245" t="s">
        <v>8144</v>
      </c>
      <c r="M105" s="245">
        <v>2.5</v>
      </c>
      <c r="N105" s="245"/>
      <c r="O105" s="245"/>
      <c r="P105" s="101"/>
      <c r="Q105" s="275"/>
      <c r="R105" s="227"/>
      <c r="S105" s="227"/>
      <c r="T105" s="227"/>
      <c r="U105" s="227"/>
      <c r="V105" s="227"/>
      <c r="W105" s="227"/>
      <c r="X105" s="227"/>
      <c r="Y105" s="227"/>
    </row>
    <row r="106" ht="12.75" customHeight="1" spans="1:25">
      <c r="A106" s="245">
        <f t="shared" si="5"/>
        <v>12</v>
      </c>
      <c r="B106" s="330" t="s">
        <v>8145</v>
      </c>
      <c r="C106" s="365" t="s">
        <v>8146</v>
      </c>
      <c r="D106" s="366"/>
      <c r="E106" s="245" t="s">
        <v>8147</v>
      </c>
      <c r="F106" s="249"/>
      <c r="G106" s="249" t="s">
        <v>8139</v>
      </c>
      <c r="H106" s="332"/>
      <c r="I106" s="332"/>
      <c r="J106" s="245"/>
      <c r="K106" s="245"/>
      <c r="L106" s="245" t="s">
        <v>8148</v>
      </c>
      <c r="M106" s="245">
        <v>5</v>
      </c>
      <c r="N106" s="245"/>
      <c r="O106" s="245"/>
      <c r="P106" s="101"/>
      <c r="Q106" s="278"/>
      <c r="R106" s="227"/>
      <c r="S106" s="227"/>
      <c r="T106" s="227"/>
      <c r="U106" s="227"/>
      <c r="V106" s="227"/>
      <c r="W106" s="227"/>
      <c r="X106" s="227"/>
      <c r="Y106" s="227"/>
    </row>
    <row r="107" ht="12.75" customHeight="1" spans="1:25">
      <c r="A107" s="245">
        <f t="shared" si="5"/>
        <v>13</v>
      </c>
      <c r="B107" s="330" t="s">
        <v>8149</v>
      </c>
      <c r="C107" s="331" t="s">
        <v>8150</v>
      </c>
      <c r="D107" s="245"/>
      <c r="E107" s="245" t="s">
        <v>8151</v>
      </c>
      <c r="F107" s="249"/>
      <c r="G107" s="249" t="s">
        <v>8152</v>
      </c>
      <c r="H107" s="332" t="s">
        <v>8153</v>
      </c>
      <c r="I107" s="332" t="s">
        <v>1323</v>
      </c>
      <c r="J107" s="245"/>
      <c r="K107" s="245"/>
      <c r="L107" s="245" t="s">
        <v>8154</v>
      </c>
      <c r="M107" s="260">
        <v>2.6</v>
      </c>
      <c r="N107" s="245"/>
      <c r="O107" s="245"/>
      <c r="P107" s="101"/>
      <c r="Q107" s="371" t="s">
        <v>8155</v>
      </c>
      <c r="R107" s="227"/>
      <c r="S107" s="227"/>
      <c r="T107" s="227"/>
      <c r="U107" s="227"/>
      <c r="V107" s="227"/>
      <c r="W107" s="227"/>
      <c r="X107" s="227"/>
      <c r="Y107" s="227"/>
    </row>
    <row r="108" ht="12.75" customHeight="1" spans="1:25">
      <c r="A108" s="245">
        <f t="shared" si="5"/>
        <v>14</v>
      </c>
      <c r="B108" s="330" t="s">
        <v>8156</v>
      </c>
      <c r="C108" s="365" t="s">
        <v>8157</v>
      </c>
      <c r="D108" s="366"/>
      <c r="E108" s="245" t="s">
        <v>8158</v>
      </c>
      <c r="F108" s="249"/>
      <c r="G108" s="249" t="s">
        <v>8152</v>
      </c>
      <c r="H108" s="332" t="s">
        <v>8159</v>
      </c>
      <c r="I108" s="332" t="s">
        <v>8011</v>
      </c>
      <c r="J108" s="245"/>
      <c r="K108" s="245"/>
      <c r="L108" s="245" t="s">
        <v>8160</v>
      </c>
      <c r="M108" s="260">
        <v>3.5</v>
      </c>
      <c r="N108" s="245"/>
      <c r="O108" s="245"/>
      <c r="P108" s="101"/>
      <c r="Q108" s="278"/>
      <c r="R108" s="227"/>
      <c r="S108" s="227"/>
      <c r="T108" s="227"/>
      <c r="U108" s="227"/>
      <c r="V108" s="227"/>
      <c r="W108" s="227"/>
      <c r="X108" s="227"/>
      <c r="Y108" s="227"/>
    </row>
    <row r="109" ht="12.75" customHeight="1" spans="1:25">
      <c r="A109" s="245">
        <f t="shared" si="5"/>
        <v>15</v>
      </c>
      <c r="B109" s="330" t="s">
        <v>8161</v>
      </c>
      <c r="C109" s="365" t="s">
        <v>2422</v>
      </c>
      <c r="D109" s="366"/>
      <c r="E109" s="245" t="s">
        <v>7910</v>
      </c>
      <c r="F109" s="249"/>
      <c r="G109" s="249" t="s">
        <v>32</v>
      </c>
      <c r="H109" s="332"/>
      <c r="I109" s="332"/>
      <c r="J109" s="245"/>
      <c r="K109" s="245"/>
      <c r="L109" s="245" t="s">
        <v>7958</v>
      </c>
      <c r="M109" s="260">
        <v>12.5</v>
      </c>
      <c r="N109" s="245"/>
      <c r="O109" s="245"/>
      <c r="P109" s="178"/>
      <c r="Q109" s="101" t="s">
        <v>8162</v>
      </c>
      <c r="R109" s="227"/>
      <c r="S109" s="227"/>
      <c r="T109" s="227"/>
      <c r="U109" s="227"/>
      <c r="V109" s="227"/>
      <c r="W109" s="227"/>
      <c r="X109" s="227"/>
      <c r="Y109" s="227"/>
    </row>
    <row r="110" ht="12.75" hidden="1" customHeight="1" spans="1:25">
      <c r="A110" s="245"/>
      <c r="B110" s="330"/>
      <c r="C110" s="365" t="s">
        <v>689</v>
      </c>
      <c r="D110" s="366"/>
      <c r="E110" s="245"/>
      <c r="F110" s="249"/>
      <c r="G110" s="249"/>
      <c r="H110" s="332"/>
      <c r="I110" s="332"/>
      <c r="J110" s="245"/>
      <c r="K110" s="245"/>
      <c r="L110" s="245"/>
      <c r="M110" s="260"/>
      <c r="N110" s="245"/>
      <c r="O110" s="245"/>
      <c r="P110" s="178"/>
      <c r="Q110" s="101"/>
      <c r="R110" s="227"/>
      <c r="S110" s="227"/>
      <c r="T110" s="227"/>
      <c r="U110" s="227"/>
      <c r="V110" s="227"/>
      <c r="W110" s="227"/>
      <c r="X110" s="227"/>
      <c r="Y110" s="227"/>
    </row>
    <row r="111" ht="21.75" customHeight="1" spans="1:25">
      <c r="A111" s="372" t="s">
        <v>8163</v>
      </c>
      <c r="B111" s="372"/>
      <c r="C111" s="372">
        <f>$C$3+$C$49+$C$75</f>
        <v>70</v>
      </c>
      <c r="D111" s="373"/>
      <c r="E111" s="373"/>
      <c r="F111" s="373"/>
      <c r="G111" s="373"/>
      <c r="H111" s="373"/>
      <c r="I111" s="373"/>
      <c r="J111" s="373"/>
      <c r="K111" s="373"/>
      <c r="L111" s="373"/>
      <c r="M111" s="373"/>
      <c r="N111" s="373"/>
      <c r="O111" s="373"/>
      <c r="P111" s="374"/>
      <c r="Q111" s="374"/>
      <c r="R111" s="375"/>
      <c r="S111" s="375"/>
      <c r="T111" s="375"/>
      <c r="U111" s="375"/>
      <c r="V111" s="375"/>
      <c r="W111" s="375"/>
      <c r="X111" s="375"/>
      <c r="Y111" s="375"/>
    </row>
    <row r="112" ht="12.75" customHeight="1" spans="1:25">
      <c r="A112" s="266"/>
      <c r="B112" s="266"/>
      <c r="C112" s="266"/>
      <c r="D112" s="266"/>
      <c r="E112" s="266"/>
      <c r="F112" s="266"/>
      <c r="G112" s="266"/>
      <c r="H112" s="266"/>
      <c r="I112" s="266"/>
      <c r="J112" s="266"/>
      <c r="K112" s="266"/>
      <c r="L112" s="266"/>
      <c r="M112" s="266"/>
      <c r="N112" s="266"/>
      <c r="O112" s="266"/>
      <c r="P112" s="267"/>
      <c r="Q112" s="267"/>
      <c r="R112" s="267"/>
      <c r="S112" s="267"/>
      <c r="T112" s="267"/>
      <c r="U112" s="267"/>
      <c r="V112" s="267"/>
      <c r="W112" s="267"/>
      <c r="X112" s="267"/>
      <c r="Y112" s="267"/>
    </row>
    <row r="113" ht="12.75" customHeight="1" spans="1:25">
      <c r="A113" s="266"/>
      <c r="B113" s="266"/>
      <c r="C113" s="266"/>
      <c r="D113" s="266"/>
      <c r="E113" s="266"/>
      <c r="F113" s="266"/>
      <c r="G113" s="266"/>
      <c r="H113" s="266"/>
      <c r="I113" s="266"/>
      <c r="J113" s="266"/>
      <c r="K113" s="266"/>
      <c r="L113" s="266"/>
      <c r="M113" s="266"/>
      <c r="N113" s="266"/>
      <c r="O113" s="266"/>
      <c r="P113" s="267"/>
      <c r="Q113" s="267"/>
      <c r="R113" s="267"/>
      <c r="S113" s="267"/>
      <c r="T113" s="267"/>
      <c r="U113" s="267"/>
      <c r="V113" s="267"/>
      <c r="W113" s="267"/>
      <c r="X113" s="267"/>
      <c r="Y113" s="267"/>
    </row>
    <row r="114" ht="12.75" customHeight="1" spans="1:25">
      <c r="A114" s="266"/>
      <c r="B114" s="266"/>
      <c r="C114" s="266"/>
      <c r="D114" s="266"/>
      <c r="E114" s="266"/>
      <c r="F114" s="266"/>
      <c r="G114" s="266"/>
      <c r="H114" s="266"/>
      <c r="I114" s="266"/>
      <c r="J114" s="266"/>
      <c r="K114" s="266"/>
      <c r="L114" s="266"/>
      <c r="M114" s="266"/>
      <c r="N114" s="266"/>
      <c r="O114" s="266"/>
      <c r="P114" s="267"/>
      <c r="Q114" s="267"/>
      <c r="R114" s="267"/>
      <c r="S114" s="267"/>
      <c r="T114" s="267"/>
      <c r="U114" s="267"/>
      <c r="V114" s="267"/>
      <c r="W114" s="267"/>
      <c r="X114" s="267"/>
      <c r="Y114" s="267"/>
    </row>
    <row r="115" ht="12.75" customHeight="1" spans="1:25">
      <c r="A115" s="266"/>
      <c r="B115" s="266"/>
      <c r="C115" s="266"/>
      <c r="D115" s="266"/>
      <c r="E115" s="266"/>
      <c r="F115" s="266"/>
      <c r="G115" s="266"/>
      <c r="H115" s="266"/>
      <c r="I115" s="266"/>
      <c r="J115" s="266"/>
      <c r="K115" s="266"/>
      <c r="L115" s="266"/>
      <c r="M115" s="266"/>
      <c r="N115" s="266"/>
      <c r="O115" s="266"/>
      <c r="P115" s="267"/>
      <c r="Q115" s="267"/>
      <c r="R115" s="267"/>
      <c r="S115" s="267"/>
      <c r="T115" s="267"/>
      <c r="U115" s="267"/>
      <c r="V115" s="267"/>
      <c r="W115" s="267"/>
      <c r="X115" s="267"/>
      <c r="Y115" s="267"/>
    </row>
    <row r="116" ht="12.75" customHeight="1" spans="1:25">
      <c r="A116" s="266"/>
      <c r="B116" s="266"/>
      <c r="C116" s="266"/>
      <c r="D116" s="266"/>
      <c r="E116" s="266"/>
      <c r="F116" s="266"/>
      <c r="G116" s="266"/>
      <c r="H116" s="266"/>
      <c r="I116" s="266"/>
      <c r="J116" s="266"/>
      <c r="K116" s="266"/>
      <c r="L116" s="266"/>
      <c r="M116" s="266"/>
      <c r="N116" s="266"/>
      <c r="O116" s="266"/>
      <c r="P116" s="267"/>
      <c r="Q116" s="267"/>
      <c r="R116" s="267"/>
      <c r="S116" s="267"/>
      <c r="T116" s="267"/>
      <c r="U116" s="267"/>
      <c r="V116" s="267"/>
      <c r="W116" s="267"/>
      <c r="X116" s="267"/>
      <c r="Y116" s="267"/>
    </row>
    <row r="117" ht="12.75" customHeight="1" spans="1:25">
      <c r="A117" s="266"/>
      <c r="B117" s="266"/>
      <c r="C117" s="266"/>
      <c r="D117" s="266"/>
      <c r="E117" s="266"/>
      <c r="F117" s="266"/>
      <c r="G117" s="266"/>
      <c r="H117" s="266"/>
      <c r="I117" s="266"/>
      <c r="J117" s="266"/>
      <c r="K117" s="266"/>
      <c r="L117" s="266"/>
      <c r="M117" s="266"/>
      <c r="N117" s="266"/>
      <c r="O117" s="266"/>
      <c r="P117" s="267"/>
      <c r="Q117" s="267"/>
      <c r="R117" s="267"/>
      <c r="S117" s="267"/>
      <c r="T117" s="267"/>
      <c r="U117" s="267"/>
      <c r="V117" s="267"/>
      <c r="W117" s="267"/>
      <c r="X117" s="267"/>
      <c r="Y117" s="267"/>
    </row>
    <row r="118" ht="12.75" customHeight="1" spans="1:25">
      <c r="A118" s="266"/>
      <c r="B118" s="266"/>
      <c r="C118" s="266"/>
      <c r="D118" s="266"/>
      <c r="E118" s="266"/>
      <c r="F118" s="266"/>
      <c r="G118" s="266"/>
      <c r="H118" s="266"/>
      <c r="I118" s="266"/>
      <c r="J118" s="266"/>
      <c r="K118" s="266"/>
      <c r="L118" s="266"/>
      <c r="M118" s="266"/>
      <c r="N118" s="266"/>
      <c r="O118" s="266"/>
      <c r="P118" s="267"/>
      <c r="Q118" s="267"/>
      <c r="R118" s="267"/>
      <c r="S118" s="267"/>
      <c r="T118" s="267"/>
      <c r="U118" s="267"/>
      <c r="V118" s="267"/>
      <c r="W118" s="267"/>
      <c r="X118" s="267"/>
      <c r="Y118" s="267"/>
    </row>
    <row r="119" ht="12.75" customHeight="1" spans="1:25">
      <c r="A119" s="266"/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7"/>
      <c r="Q119" s="267"/>
      <c r="R119" s="267"/>
      <c r="S119" s="267"/>
      <c r="T119" s="267"/>
      <c r="U119" s="267"/>
      <c r="V119" s="267"/>
      <c r="W119" s="267"/>
      <c r="X119" s="267"/>
      <c r="Y119" s="267"/>
    </row>
    <row r="120" ht="12.75" customHeight="1" spans="1:25">
      <c r="A120" s="266"/>
      <c r="B120" s="266"/>
      <c r="C120" s="266"/>
      <c r="D120" s="266"/>
      <c r="E120" s="266"/>
      <c r="F120" s="266"/>
      <c r="G120" s="266"/>
      <c r="H120" s="266"/>
      <c r="I120" s="266"/>
      <c r="J120" s="266"/>
      <c r="K120" s="266"/>
      <c r="L120" s="266"/>
      <c r="M120" s="266"/>
      <c r="N120" s="266"/>
      <c r="O120" s="266"/>
      <c r="P120" s="267"/>
      <c r="Q120" s="267"/>
      <c r="R120" s="267"/>
      <c r="S120" s="267"/>
      <c r="T120" s="267"/>
      <c r="U120" s="267"/>
      <c r="V120" s="267"/>
      <c r="W120" s="267"/>
      <c r="X120" s="267"/>
      <c r="Y120" s="267"/>
    </row>
    <row r="121" ht="12.75" customHeight="1" spans="1:25">
      <c r="A121" s="266"/>
      <c r="B121" s="266"/>
      <c r="C121" s="266"/>
      <c r="D121" s="266"/>
      <c r="E121" s="266"/>
      <c r="F121" s="266"/>
      <c r="G121" s="266"/>
      <c r="H121" s="266"/>
      <c r="I121" s="266"/>
      <c r="J121" s="266"/>
      <c r="K121" s="266"/>
      <c r="L121" s="266"/>
      <c r="M121" s="266"/>
      <c r="N121" s="266"/>
      <c r="O121" s="266"/>
      <c r="P121" s="267"/>
      <c r="Q121" s="267"/>
      <c r="R121" s="267"/>
      <c r="S121" s="267"/>
      <c r="T121" s="267"/>
      <c r="U121" s="267"/>
      <c r="V121" s="267"/>
      <c r="W121" s="267"/>
      <c r="X121" s="267"/>
      <c r="Y121" s="267"/>
    </row>
    <row r="122" ht="12.75" customHeight="1" spans="1:25">
      <c r="A122" s="266"/>
      <c r="B122" s="266"/>
      <c r="C122" s="266"/>
      <c r="D122" s="266"/>
      <c r="E122" s="266"/>
      <c r="F122" s="266"/>
      <c r="G122" s="266"/>
      <c r="H122" s="266"/>
      <c r="I122" s="266"/>
      <c r="J122" s="266"/>
      <c r="K122" s="266"/>
      <c r="L122" s="266"/>
      <c r="M122" s="266"/>
      <c r="N122" s="266"/>
      <c r="O122" s="266"/>
      <c r="P122" s="267"/>
      <c r="Q122" s="267"/>
      <c r="R122" s="267"/>
      <c r="S122" s="267"/>
      <c r="T122" s="267"/>
      <c r="U122" s="267"/>
      <c r="V122" s="267"/>
      <c r="W122" s="267"/>
      <c r="X122" s="267"/>
      <c r="Y122" s="267"/>
    </row>
    <row r="123" ht="12.75" customHeight="1" spans="1:25">
      <c r="A123" s="266"/>
      <c r="B123" s="266"/>
      <c r="C123" s="266"/>
      <c r="D123" s="266"/>
      <c r="E123" s="266"/>
      <c r="F123" s="266"/>
      <c r="G123" s="266"/>
      <c r="H123" s="266"/>
      <c r="I123" s="266"/>
      <c r="J123" s="266"/>
      <c r="K123" s="266"/>
      <c r="L123" s="266"/>
      <c r="M123" s="266"/>
      <c r="N123" s="266"/>
      <c r="O123" s="266"/>
      <c r="P123" s="267"/>
      <c r="Q123" s="267"/>
      <c r="R123" s="267"/>
      <c r="S123" s="267"/>
      <c r="T123" s="267"/>
      <c r="U123" s="267"/>
      <c r="V123" s="267"/>
      <c r="W123" s="267"/>
      <c r="X123" s="267"/>
      <c r="Y123" s="267"/>
    </row>
    <row r="124" ht="12.75" customHeight="1" spans="1:25">
      <c r="A124" s="266"/>
      <c r="B124" s="266"/>
      <c r="C124" s="266"/>
      <c r="D124" s="266"/>
      <c r="E124" s="266"/>
      <c r="F124" s="266"/>
      <c r="G124" s="266"/>
      <c r="H124" s="266"/>
      <c r="I124" s="266"/>
      <c r="J124" s="266"/>
      <c r="K124" s="266"/>
      <c r="L124" s="266"/>
      <c r="M124" s="266"/>
      <c r="N124" s="266"/>
      <c r="O124" s="266"/>
      <c r="P124" s="267"/>
      <c r="Q124" s="267"/>
      <c r="R124" s="267"/>
      <c r="S124" s="267"/>
      <c r="T124" s="267"/>
      <c r="U124" s="267"/>
      <c r="V124" s="267"/>
      <c r="W124" s="267"/>
      <c r="X124" s="267"/>
      <c r="Y124" s="267"/>
    </row>
    <row r="125" ht="12.75" customHeight="1" spans="1:25">
      <c r="A125" s="266"/>
      <c r="B125" s="266"/>
      <c r="C125" s="266"/>
      <c r="D125" s="266"/>
      <c r="E125" s="266"/>
      <c r="F125" s="266"/>
      <c r="G125" s="266"/>
      <c r="H125" s="266"/>
      <c r="I125" s="266"/>
      <c r="J125" s="266"/>
      <c r="K125" s="266"/>
      <c r="L125" s="266"/>
      <c r="M125" s="266"/>
      <c r="N125" s="266"/>
      <c r="O125" s="266"/>
      <c r="P125" s="267"/>
      <c r="Q125" s="267"/>
      <c r="R125" s="267"/>
      <c r="S125" s="267"/>
      <c r="T125" s="267"/>
      <c r="U125" s="267"/>
      <c r="V125" s="267"/>
      <c r="W125" s="267"/>
      <c r="X125" s="267"/>
      <c r="Y125" s="267"/>
    </row>
    <row r="126" ht="12.75" customHeight="1" spans="1:25">
      <c r="A126" s="266"/>
      <c r="B126" s="266"/>
      <c r="C126" s="266"/>
      <c r="D126" s="266"/>
      <c r="E126" s="266"/>
      <c r="F126" s="266"/>
      <c r="G126" s="266"/>
      <c r="H126" s="266"/>
      <c r="I126" s="266"/>
      <c r="J126" s="266"/>
      <c r="K126" s="266"/>
      <c r="L126" s="266"/>
      <c r="M126" s="266"/>
      <c r="N126" s="266"/>
      <c r="O126" s="266"/>
      <c r="P126" s="267"/>
      <c r="Q126" s="267"/>
      <c r="R126" s="267"/>
      <c r="S126" s="267"/>
      <c r="T126" s="267"/>
      <c r="U126" s="267"/>
      <c r="V126" s="267"/>
      <c r="W126" s="267"/>
      <c r="X126" s="267"/>
      <c r="Y126" s="267"/>
    </row>
    <row r="127" ht="12.75" customHeight="1" spans="1:25">
      <c r="A127" s="266"/>
      <c r="B127" s="266"/>
      <c r="C127" s="266"/>
      <c r="D127" s="266"/>
      <c r="E127" s="266"/>
      <c r="F127" s="266"/>
      <c r="G127" s="266"/>
      <c r="H127" s="266"/>
      <c r="I127" s="266"/>
      <c r="J127" s="266"/>
      <c r="K127" s="266"/>
      <c r="L127" s="266"/>
      <c r="M127" s="266"/>
      <c r="N127" s="266"/>
      <c r="O127" s="266"/>
      <c r="P127" s="267"/>
      <c r="Q127" s="267"/>
      <c r="R127" s="267"/>
      <c r="S127" s="267"/>
      <c r="T127" s="267"/>
      <c r="U127" s="267"/>
      <c r="V127" s="267"/>
      <c r="W127" s="267"/>
      <c r="X127" s="267"/>
      <c r="Y127" s="267"/>
    </row>
    <row r="128" ht="12.75" customHeight="1" spans="1:25">
      <c r="A128" s="266"/>
      <c r="B128" s="266"/>
      <c r="C128" s="266"/>
      <c r="D128" s="266"/>
      <c r="E128" s="266"/>
      <c r="F128" s="266"/>
      <c r="G128" s="266"/>
      <c r="H128" s="266"/>
      <c r="I128" s="266"/>
      <c r="J128" s="266"/>
      <c r="K128" s="266"/>
      <c r="L128" s="266"/>
      <c r="M128" s="266"/>
      <c r="N128" s="266"/>
      <c r="O128" s="266"/>
      <c r="P128" s="267"/>
      <c r="Q128" s="267"/>
      <c r="R128" s="267"/>
      <c r="S128" s="267"/>
      <c r="T128" s="267"/>
      <c r="U128" s="267"/>
      <c r="V128" s="267"/>
      <c r="W128" s="267"/>
      <c r="X128" s="267"/>
      <c r="Y128" s="267"/>
    </row>
    <row r="129" ht="12.75" customHeight="1" spans="1:25">
      <c r="A129" s="266"/>
      <c r="B129" s="266"/>
      <c r="C129" s="266"/>
      <c r="D129" s="266"/>
      <c r="E129" s="266"/>
      <c r="F129" s="266"/>
      <c r="G129" s="266"/>
      <c r="H129" s="266"/>
      <c r="I129" s="266"/>
      <c r="J129" s="266"/>
      <c r="K129" s="266"/>
      <c r="L129" s="266"/>
      <c r="M129" s="266"/>
      <c r="N129" s="266"/>
      <c r="O129" s="266"/>
      <c r="P129" s="267"/>
      <c r="Q129" s="267"/>
      <c r="R129" s="267"/>
      <c r="S129" s="267"/>
      <c r="T129" s="267"/>
      <c r="U129" s="267"/>
      <c r="V129" s="267"/>
      <c r="W129" s="267"/>
      <c r="X129" s="267"/>
      <c r="Y129" s="267"/>
    </row>
    <row r="130" ht="12.75" customHeight="1" spans="1:25">
      <c r="A130" s="266"/>
      <c r="B130" s="266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266"/>
      <c r="N130" s="266"/>
      <c r="O130" s="266"/>
      <c r="P130" s="267"/>
      <c r="Q130" s="267"/>
      <c r="R130" s="267"/>
      <c r="S130" s="267"/>
      <c r="T130" s="267"/>
      <c r="U130" s="267"/>
      <c r="V130" s="267"/>
      <c r="W130" s="267"/>
      <c r="X130" s="267"/>
      <c r="Y130" s="267"/>
    </row>
    <row r="131" ht="12.75" customHeight="1" spans="1:25">
      <c r="A131" s="266"/>
      <c r="B131" s="266"/>
      <c r="C131" s="266"/>
      <c r="D131" s="266"/>
      <c r="E131" s="266"/>
      <c r="F131" s="266"/>
      <c r="G131" s="266"/>
      <c r="H131" s="266"/>
      <c r="I131" s="266"/>
      <c r="J131" s="266"/>
      <c r="K131" s="266"/>
      <c r="L131" s="266"/>
      <c r="M131" s="266"/>
      <c r="N131" s="266"/>
      <c r="O131" s="266"/>
      <c r="P131" s="267"/>
      <c r="Q131" s="267"/>
      <c r="R131" s="267"/>
      <c r="S131" s="267"/>
      <c r="T131" s="267"/>
      <c r="U131" s="267"/>
      <c r="V131" s="267"/>
      <c r="W131" s="267"/>
      <c r="X131" s="267"/>
      <c r="Y131" s="267"/>
    </row>
    <row r="132" ht="12.75" customHeight="1" spans="1:25">
      <c r="A132" s="266"/>
      <c r="B132" s="266"/>
      <c r="C132" s="266"/>
      <c r="D132" s="266"/>
      <c r="E132" s="266"/>
      <c r="F132" s="266"/>
      <c r="G132" s="266"/>
      <c r="H132" s="266"/>
      <c r="I132" s="266"/>
      <c r="J132" s="266"/>
      <c r="K132" s="266"/>
      <c r="L132" s="266"/>
      <c r="M132" s="266"/>
      <c r="N132" s="266"/>
      <c r="O132" s="266"/>
      <c r="P132" s="267"/>
      <c r="Q132" s="267"/>
      <c r="R132" s="267"/>
      <c r="S132" s="267"/>
      <c r="T132" s="267"/>
      <c r="U132" s="267"/>
      <c r="V132" s="267"/>
      <c r="W132" s="267"/>
      <c r="X132" s="267"/>
      <c r="Y132" s="267"/>
    </row>
    <row r="133" ht="12.75" customHeight="1" spans="1:25">
      <c r="A133" s="266"/>
      <c r="B133" s="266"/>
      <c r="C133" s="266"/>
      <c r="D133" s="266"/>
      <c r="E133" s="266"/>
      <c r="F133" s="266"/>
      <c r="G133" s="266"/>
      <c r="H133" s="266"/>
      <c r="I133" s="266"/>
      <c r="J133" s="266"/>
      <c r="K133" s="266"/>
      <c r="L133" s="266"/>
      <c r="M133" s="266"/>
      <c r="N133" s="266"/>
      <c r="O133" s="266"/>
      <c r="P133" s="267"/>
      <c r="Q133" s="267"/>
      <c r="R133" s="267"/>
      <c r="S133" s="267"/>
      <c r="T133" s="267"/>
      <c r="U133" s="267"/>
      <c r="V133" s="267"/>
      <c r="W133" s="267"/>
      <c r="X133" s="267"/>
      <c r="Y133" s="267"/>
    </row>
    <row r="134" ht="12.75" customHeight="1" spans="1:25">
      <c r="A134" s="266"/>
      <c r="B134" s="266"/>
      <c r="C134" s="266"/>
      <c r="D134" s="266"/>
      <c r="E134" s="266"/>
      <c r="F134" s="266"/>
      <c r="G134" s="266"/>
      <c r="H134" s="266"/>
      <c r="I134" s="266"/>
      <c r="J134" s="266"/>
      <c r="K134" s="266"/>
      <c r="L134" s="266"/>
      <c r="M134" s="266"/>
      <c r="N134" s="266"/>
      <c r="O134" s="266"/>
      <c r="P134" s="267"/>
      <c r="Q134" s="267"/>
      <c r="R134" s="267"/>
      <c r="S134" s="267"/>
      <c r="T134" s="267"/>
      <c r="U134" s="267"/>
      <c r="V134" s="267"/>
      <c r="W134" s="267"/>
      <c r="X134" s="267"/>
      <c r="Y134" s="267"/>
    </row>
    <row r="135" ht="12.75" customHeight="1" spans="1:25">
      <c r="A135" s="266"/>
      <c r="B135" s="266"/>
      <c r="C135" s="266"/>
      <c r="D135" s="266"/>
      <c r="E135" s="266"/>
      <c r="F135" s="266"/>
      <c r="G135" s="266"/>
      <c r="H135" s="266"/>
      <c r="I135" s="266"/>
      <c r="J135" s="266"/>
      <c r="K135" s="266"/>
      <c r="L135" s="266"/>
      <c r="M135" s="266"/>
      <c r="N135" s="266"/>
      <c r="O135" s="266"/>
      <c r="P135" s="267"/>
      <c r="Q135" s="267"/>
      <c r="R135" s="267"/>
      <c r="S135" s="267"/>
      <c r="T135" s="267"/>
      <c r="U135" s="267"/>
      <c r="V135" s="267"/>
      <c r="W135" s="267"/>
      <c r="X135" s="267"/>
      <c r="Y135" s="267"/>
    </row>
    <row r="136" ht="12.75" customHeight="1" spans="1:25">
      <c r="A136" s="266"/>
      <c r="B136" s="266"/>
      <c r="C136" s="266"/>
      <c r="D136" s="266"/>
      <c r="E136" s="266"/>
      <c r="F136" s="266"/>
      <c r="G136" s="266"/>
      <c r="H136" s="266"/>
      <c r="I136" s="266"/>
      <c r="J136" s="266"/>
      <c r="K136" s="266"/>
      <c r="L136" s="266"/>
      <c r="M136" s="266"/>
      <c r="N136" s="266"/>
      <c r="O136" s="266"/>
      <c r="P136" s="267"/>
      <c r="Q136" s="267"/>
      <c r="R136" s="267"/>
      <c r="S136" s="267"/>
      <c r="T136" s="267"/>
      <c r="U136" s="267"/>
      <c r="V136" s="267"/>
      <c r="W136" s="267"/>
      <c r="X136" s="267"/>
      <c r="Y136" s="267"/>
    </row>
    <row r="137" ht="12.75" customHeight="1" spans="1:25">
      <c r="A137" s="266"/>
      <c r="B137" s="266"/>
      <c r="C137" s="266"/>
      <c r="D137" s="266"/>
      <c r="E137" s="266"/>
      <c r="F137" s="266"/>
      <c r="G137" s="266"/>
      <c r="H137" s="266"/>
      <c r="I137" s="266"/>
      <c r="J137" s="266"/>
      <c r="K137" s="266"/>
      <c r="L137" s="266"/>
      <c r="M137" s="266"/>
      <c r="N137" s="266"/>
      <c r="O137" s="266"/>
      <c r="P137" s="267"/>
      <c r="Q137" s="267"/>
      <c r="R137" s="267"/>
      <c r="S137" s="267"/>
      <c r="T137" s="267"/>
      <c r="U137" s="267"/>
      <c r="V137" s="267"/>
      <c r="W137" s="267"/>
      <c r="X137" s="267"/>
      <c r="Y137" s="267"/>
    </row>
    <row r="138" ht="12.75" customHeight="1" spans="1:25">
      <c r="A138" s="266"/>
      <c r="B138" s="266"/>
      <c r="C138" s="266"/>
      <c r="D138" s="266"/>
      <c r="E138" s="266"/>
      <c r="F138" s="266"/>
      <c r="G138" s="266"/>
      <c r="H138" s="266"/>
      <c r="I138" s="266"/>
      <c r="J138" s="266"/>
      <c r="K138" s="266"/>
      <c r="L138" s="266"/>
      <c r="M138" s="266"/>
      <c r="N138" s="266"/>
      <c r="O138" s="266"/>
      <c r="P138" s="267"/>
      <c r="Q138" s="267"/>
      <c r="R138" s="267"/>
      <c r="S138" s="267"/>
      <c r="T138" s="267"/>
      <c r="U138" s="267"/>
      <c r="V138" s="267"/>
      <c r="W138" s="267"/>
      <c r="X138" s="267"/>
      <c r="Y138" s="267"/>
    </row>
    <row r="139" ht="12.75" customHeight="1" spans="1:25">
      <c r="A139" s="266"/>
      <c r="B139" s="266"/>
      <c r="C139" s="266"/>
      <c r="D139" s="266"/>
      <c r="E139" s="266"/>
      <c r="F139" s="266"/>
      <c r="G139" s="266"/>
      <c r="H139" s="266"/>
      <c r="I139" s="266"/>
      <c r="J139" s="266"/>
      <c r="K139" s="266"/>
      <c r="L139" s="266"/>
      <c r="M139" s="266"/>
      <c r="N139" s="266"/>
      <c r="O139" s="266"/>
      <c r="P139" s="267"/>
      <c r="Q139" s="267"/>
      <c r="R139" s="267"/>
      <c r="S139" s="267"/>
      <c r="T139" s="267"/>
      <c r="U139" s="267"/>
      <c r="V139" s="267"/>
      <c r="W139" s="267"/>
      <c r="X139" s="267"/>
      <c r="Y139" s="267"/>
    </row>
    <row r="140" ht="12.75" customHeight="1" spans="1:25">
      <c r="A140" s="266"/>
      <c r="B140" s="266"/>
      <c r="C140" s="266"/>
      <c r="D140" s="266"/>
      <c r="E140" s="266"/>
      <c r="F140" s="266"/>
      <c r="G140" s="266"/>
      <c r="H140" s="266"/>
      <c r="I140" s="266"/>
      <c r="J140" s="266"/>
      <c r="K140" s="266"/>
      <c r="L140" s="266"/>
      <c r="M140" s="266"/>
      <c r="N140" s="266"/>
      <c r="O140" s="266"/>
      <c r="P140" s="267"/>
      <c r="Q140" s="267"/>
      <c r="R140" s="267"/>
      <c r="S140" s="267"/>
      <c r="T140" s="267"/>
      <c r="U140" s="267"/>
      <c r="V140" s="267"/>
      <c r="W140" s="267"/>
      <c r="X140" s="267"/>
      <c r="Y140" s="267"/>
    </row>
    <row r="141" ht="12.75" customHeight="1" spans="1:25">
      <c r="A141" s="266"/>
      <c r="B141" s="266"/>
      <c r="C141" s="266"/>
      <c r="D141" s="266"/>
      <c r="E141" s="266"/>
      <c r="F141" s="266"/>
      <c r="G141" s="266"/>
      <c r="H141" s="266"/>
      <c r="I141" s="266"/>
      <c r="J141" s="266"/>
      <c r="K141" s="266"/>
      <c r="L141" s="266"/>
      <c r="M141" s="266"/>
      <c r="N141" s="266"/>
      <c r="O141" s="266"/>
      <c r="P141" s="267"/>
      <c r="Q141" s="267"/>
      <c r="R141" s="267"/>
      <c r="S141" s="267"/>
      <c r="T141" s="267"/>
      <c r="U141" s="267"/>
      <c r="V141" s="267"/>
      <c r="W141" s="267"/>
      <c r="X141" s="267"/>
      <c r="Y141" s="267"/>
    </row>
    <row r="142" ht="12.75" customHeight="1" spans="1:25">
      <c r="A142" s="266"/>
      <c r="B142" s="266"/>
      <c r="C142" s="266"/>
      <c r="D142" s="266"/>
      <c r="E142" s="266"/>
      <c r="F142" s="266"/>
      <c r="G142" s="266"/>
      <c r="H142" s="266"/>
      <c r="I142" s="266"/>
      <c r="J142" s="266"/>
      <c r="K142" s="266"/>
      <c r="L142" s="266"/>
      <c r="M142" s="266"/>
      <c r="N142" s="266"/>
      <c r="O142" s="266"/>
      <c r="P142" s="267"/>
      <c r="Q142" s="267"/>
      <c r="R142" s="267"/>
      <c r="S142" s="267"/>
      <c r="T142" s="267"/>
      <c r="U142" s="267"/>
      <c r="V142" s="267"/>
      <c r="W142" s="267"/>
      <c r="X142" s="267"/>
      <c r="Y142" s="267"/>
    </row>
    <row r="143" ht="12.75" customHeight="1" spans="1:25">
      <c r="A143" s="266"/>
      <c r="B143" s="266"/>
      <c r="C143" s="266"/>
      <c r="D143" s="266"/>
      <c r="E143" s="266"/>
      <c r="F143" s="266"/>
      <c r="G143" s="266"/>
      <c r="H143" s="266"/>
      <c r="I143" s="266"/>
      <c r="J143" s="266"/>
      <c r="K143" s="266"/>
      <c r="L143" s="266"/>
      <c r="M143" s="266"/>
      <c r="N143" s="266"/>
      <c r="O143" s="266"/>
      <c r="P143" s="267"/>
      <c r="Q143" s="267"/>
      <c r="R143" s="267"/>
      <c r="S143" s="267"/>
      <c r="T143" s="267"/>
      <c r="U143" s="267"/>
      <c r="V143" s="267"/>
      <c r="W143" s="267"/>
      <c r="X143" s="267"/>
      <c r="Y143" s="267"/>
    </row>
    <row r="144" ht="12.75" customHeight="1" spans="1:25">
      <c r="A144" s="266"/>
      <c r="B144" s="266"/>
      <c r="C144" s="266"/>
      <c r="D144" s="266"/>
      <c r="E144" s="266"/>
      <c r="F144" s="266"/>
      <c r="G144" s="266"/>
      <c r="H144" s="266"/>
      <c r="I144" s="266"/>
      <c r="J144" s="266"/>
      <c r="K144" s="266"/>
      <c r="L144" s="266"/>
      <c r="M144" s="266"/>
      <c r="N144" s="266"/>
      <c r="O144" s="266"/>
      <c r="P144" s="267"/>
      <c r="Q144" s="267"/>
      <c r="R144" s="267"/>
      <c r="S144" s="267"/>
      <c r="T144" s="267"/>
      <c r="U144" s="267"/>
      <c r="V144" s="267"/>
      <c r="W144" s="267"/>
      <c r="X144" s="267"/>
      <c r="Y144" s="267"/>
    </row>
    <row r="145" ht="12.75" customHeight="1" spans="1:25">
      <c r="A145" s="266"/>
      <c r="B145" s="266"/>
      <c r="C145" s="266"/>
      <c r="D145" s="266"/>
      <c r="E145" s="266"/>
      <c r="F145" s="266"/>
      <c r="G145" s="266"/>
      <c r="H145" s="266"/>
      <c r="I145" s="266"/>
      <c r="J145" s="266"/>
      <c r="K145" s="266"/>
      <c r="L145" s="266"/>
      <c r="M145" s="266"/>
      <c r="N145" s="266"/>
      <c r="O145" s="266"/>
      <c r="P145" s="267"/>
      <c r="Q145" s="267"/>
      <c r="R145" s="267"/>
      <c r="S145" s="267"/>
      <c r="T145" s="267"/>
      <c r="U145" s="267"/>
      <c r="V145" s="267"/>
      <c r="W145" s="267"/>
      <c r="X145" s="267"/>
      <c r="Y145" s="267"/>
    </row>
    <row r="146" ht="12.75" customHeight="1" spans="1:25">
      <c r="A146" s="266"/>
      <c r="B146" s="266"/>
      <c r="C146" s="266"/>
      <c r="D146" s="266"/>
      <c r="E146" s="266"/>
      <c r="F146" s="266"/>
      <c r="G146" s="266"/>
      <c r="H146" s="266"/>
      <c r="I146" s="266"/>
      <c r="J146" s="266"/>
      <c r="K146" s="266"/>
      <c r="L146" s="266"/>
      <c r="M146" s="266"/>
      <c r="N146" s="266"/>
      <c r="O146" s="266"/>
      <c r="P146" s="267"/>
      <c r="Q146" s="267"/>
      <c r="R146" s="267"/>
      <c r="S146" s="267"/>
      <c r="T146" s="267"/>
      <c r="U146" s="267"/>
      <c r="V146" s="267"/>
      <c r="W146" s="267"/>
      <c r="X146" s="267"/>
      <c r="Y146" s="267"/>
    </row>
    <row r="147" ht="12.75" customHeight="1" spans="1:25">
      <c r="A147" s="266"/>
      <c r="B147" s="266"/>
      <c r="C147" s="266"/>
      <c r="D147" s="266"/>
      <c r="E147" s="266"/>
      <c r="F147" s="266"/>
      <c r="G147" s="266"/>
      <c r="H147" s="266"/>
      <c r="I147" s="266"/>
      <c r="J147" s="266"/>
      <c r="K147" s="266"/>
      <c r="L147" s="266"/>
      <c r="M147" s="266"/>
      <c r="N147" s="266"/>
      <c r="O147" s="266"/>
      <c r="P147" s="267"/>
      <c r="Q147" s="267"/>
      <c r="R147" s="267"/>
      <c r="S147" s="267"/>
      <c r="T147" s="267"/>
      <c r="U147" s="267"/>
      <c r="V147" s="267"/>
      <c r="W147" s="267"/>
      <c r="X147" s="267"/>
      <c r="Y147" s="267"/>
    </row>
    <row r="148" ht="12.75" customHeight="1" spans="1:25">
      <c r="A148" s="266"/>
      <c r="B148" s="266"/>
      <c r="C148" s="266"/>
      <c r="D148" s="266"/>
      <c r="E148" s="266"/>
      <c r="F148" s="266"/>
      <c r="G148" s="266"/>
      <c r="H148" s="266"/>
      <c r="I148" s="266"/>
      <c r="J148" s="266"/>
      <c r="K148" s="266"/>
      <c r="L148" s="266"/>
      <c r="M148" s="266"/>
      <c r="N148" s="266"/>
      <c r="O148" s="266"/>
      <c r="P148" s="267"/>
      <c r="Q148" s="267"/>
      <c r="R148" s="267"/>
      <c r="S148" s="267"/>
      <c r="T148" s="267"/>
      <c r="U148" s="267"/>
      <c r="V148" s="267"/>
      <c r="W148" s="267"/>
      <c r="X148" s="267"/>
      <c r="Y148" s="267"/>
    </row>
    <row r="149" ht="12.75" customHeight="1" spans="1:25">
      <c r="A149" s="266"/>
      <c r="B149" s="266"/>
      <c r="C149" s="266"/>
      <c r="D149" s="266"/>
      <c r="E149" s="266"/>
      <c r="F149" s="266"/>
      <c r="G149" s="266"/>
      <c r="H149" s="266"/>
      <c r="I149" s="266"/>
      <c r="J149" s="266"/>
      <c r="K149" s="266"/>
      <c r="L149" s="266"/>
      <c r="M149" s="266"/>
      <c r="N149" s="266"/>
      <c r="O149" s="266"/>
      <c r="P149" s="267"/>
      <c r="Q149" s="267"/>
      <c r="R149" s="267"/>
      <c r="S149" s="267"/>
      <c r="T149" s="267"/>
      <c r="U149" s="267"/>
      <c r="V149" s="267"/>
      <c r="W149" s="267"/>
      <c r="X149" s="267"/>
      <c r="Y149" s="267"/>
    </row>
    <row r="150" ht="12.75" customHeight="1" spans="1:25">
      <c r="A150" s="266"/>
      <c r="B150" s="266"/>
      <c r="C150" s="266"/>
      <c r="D150" s="266"/>
      <c r="E150" s="266"/>
      <c r="F150" s="266"/>
      <c r="G150" s="266"/>
      <c r="H150" s="266"/>
      <c r="I150" s="266"/>
      <c r="J150" s="266"/>
      <c r="K150" s="266"/>
      <c r="L150" s="266"/>
      <c r="M150" s="266"/>
      <c r="N150" s="266"/>
      <c r="O150" s="266"/>
      <c r="P150" s="267"/>
      <c r="Q150" s="267"/>
      <c r="R150" s="267"/>
      <c r="S150" s="267"/>
      <c r="T150" s="267"/>
      <c r="U150" s="267"/>
      <c r="V150" s="267"/>
      <c r="W150" s="267"/>
      <c r="X150" s="267"/>
      <c r="Y150" s="267"/>
    </row>
    <row r="151" ht="12.75" customHeight="1" spans="1:25">
      <c r="A151" s="266"/>
      <c r="B151" s="266"/>
      <c r="C151" s="266"/>
      <c r="D151" s="266"/>
      <c r="E151" s="266"/>
      <c r="F151" s="266"/>
      <c r="G151" s="266"/>
      <c r="H151" s="266"/>
      <c r="I151" s="266"/>
      <c r="J151" s="266"/>
      <c r="K151" s="266"/>
      <c r="L151" s="266"/>
      <c r="M151" s="266"/>
      <c r="N151" s="266"/>
      <c r="O151" s="266"/>
      <c r="P151" s="267"/>
      <c r="Q151" s="267"/>
      <c r="R151" s="267"/>
      <c r="S151" s="267"/>
      <c r="T151" s="267"/>
      <c r="U151" s="267"/>
      <c r="V151" s="267"/>
      <c r="W151" s="267"/>
      <c r="X151" s="267"/>
      <c r="Y151" s="267"/>
    </row>
    <row r="152" ht="12.75" customHeight="1" spans="1:25">
      <c r="A152" s="266"/>
      <c r="B152" s="266"/>
      <c r="C152" s="266"/>
      <c r="D152" s="266"/>
      <c r="E152" s="266"/>
      <c r="F152" s="266"/>
      <c r="G152" s="266"/>
      <c r="H152" s="266"/>
      <c r="I152" s="266"/>
      <c r="J152" s="266"/>
      <c r="K152" s="266"/>
      <c r="L152" s="266"/>
      <c r="M152" s="266"/>
      <c r="N152" s="266"/>
      <c r="O152" s="266"/>
      <c r="P152" s="267"/>
      <c r="Q152" s="267"/>
      <c r="R152" s="267"/>
      <c r="S152" s="267"/>
      <c r="T152" s="267"/>
      <c r="U152" s="267"/>
      <c r="V152" s="267"/>
      <c r="W152" s="267"/>
      <c r="X152" s="267"/>
      <c r="Y152" s="267"/>
    </row>
    <row r="153" ht="12.75" customHeight="1" spans="1:25">
      <c r="A153" s="266"/>
      <c r="B153" s="266"/>
      <c r="C153" s="266"/>
      <c r="D153" s="266"/>
      <c r="E153" s="266"/>
      <c r="F153" s="266"/>
      <c r="G153" s="266"/>
      <c r="H153" s="266"/>
      <c r="I153" s="266"/>
      <c r="J153" s="266"/>
      <c r="K153" s="266"/>
      <c r="L153" s="266"/>
      <c r="M153" s="266"/>
      <c r="N153" s="266"/>
      <c r="O153" s="266"/>
      <c r="P153" s="267"/>
      <c r="Q153" s="267"/>
      <c r="R153" s="267"/>
      <c r="S153" s="267"/>
      <c r="T153" s="267"/>
      <c r="U153" s="267"/>
      <c r="V153" s="267"/>
      <c r="W153" s="267"/>
      <c r="X153" s="267"/>
      <c r="Y153" s="267"/>
    </row>
    <row r="154" ht="12.75" customHeight="1" spans="1:25">
      <c r="A154" s="266"/>
      <c r="B154" s="266"/>
      <c r="C154" s="266"/>
      <c r="D154" s="266"/>
      <c r="E154" s="266"/>
      <c r="F154" s="266"/>
      <c r="G154" s="266"/>
      <c r="H154" s="266"/>
      <c r="I154" s="266"/>
      <c r="J154" s="266"/>
      <c r="K154" s="266"/>
      <c r="L154" s="266"/>
      <c r="M154" s="266"/>
      <c r="N154" s="266"/>
      <c r="O154" s="266"/>
      <c r="P154" s="267"/>
      <c r="Q154" s="267"/>
      <c r="R154" s="267"/>
      <c r="S154" s="267"/>
      <c r="T154" s="267"/>
      <c r="U154" s="267"/>
      <c r="V154" s="267"/>
      <c r="W154" s="267"/>
      <c r="X154" s="267"/>
      <c r="Y154" s="267"/>
    </row>
    <row r="155" ht="12.75" customHeight="1" spans="1:25">
      <c r="A155" s="266"/>
      <c r="B155" s="266"/>
      <c r="C155" s="266"/>
      <c r="D155" s="266"/>
      <c r="E155" s="266"/>
      <c r="F155" s="266"/>
      <c r="G155" s="266"/>
      <c r="H155" s="266"/>
      <c r="I155" s="266"/>
      <c r="J155" s="266"/>
      <c r="K155" s="266"/>
      <c r="L155" s="266"/>
      <c r="M155" s="266"/>
      <c r="N155" s="266"/>
      <c r="O155" s="266"/>
      <c r="P155" s="267"/>
      <c r="Q155" s="267"/>
      <c r="R155" s="267"/>
      <c r="S155" s="267"/>
      <c r="T155" s="267"/>
      <c r="U155" s="267"/>
      <c r="V155" s="267"/>
      <c r="W155" s="267"/>
      <c r="X155" s="267"/>
      <c r="Y155" s="267"/>
    </row>
    <row r="156" ht="12.75" customHeight="1" spans="1:25">
      <c r="A156" s="266"/>
      <c r="B156" s="266"/>
      <c r="C156" s="266"/>
      <c r="D156" s="266"/>
      <c r="E156" s="266"/>
      <c r="F156" s="266"/>
      <c r="G156" s="266"/>
      <c r="H156" s="266"/>
      <c r="I156" s="266"/>
      <c r="J156" s="266"/>
      <c r="K156" s="266"/>
      <c r="L156" s="266"/>
      <c r="M156" s="266"/>
      <c r="N156" s="266"/>
      <c r="O156" s="266"/>
      <c r="P156" s="267"/>
      <c r="Q156" s="267"/>
      <c r="R156" s="267"/>
      <c r="S156" s="267"/>
      <c r="T156" s="267"/>
      <c r="U156" s="267"/>
      <c r="V156" s="267"/>
      <c r="W156" s="267"/>
      <c r="X156" s="267"/>
      <c r="Y156" s="267"/>
    </row>
    <row r="157" ht="12.75" customHeight="1" spans="1:25">
      <c r="A157" s="266"/>
      <c r="B157" s="266"/>
      <c r="C157" s="266"/>
      <c r="D157" s="266"/>
      <c r="E157" s="266"/>
      <c r="F157" s="266"/>
      <c r="G157" s="266"/>
      <c r="H157" s="266"/>
      <c r="I157" s="266"/>
      <c r="J157" s="266"/>
      <c r="K157" s="266"/>
      <c r="L157" s="266"/>
      <c r="M157" s="266"/>
      <c r="N157" s="266"/>
      <c r="O157" s="266"/>
      <c r="P157" s="267"/>
      <c r="Q157" s="267"/>
      <c r="R157" s="267"/>
      <c r="S157" s="267"/>
      <c r="T157" s="267"/>
      <c r="U157" s="267"/>
      <c r="V157" s="267"/>
      <c r="W157" s="267"/>
      <c r="X157" s="267"/>
      <c r="Y157" s="267"/>
    </row>
    <row r="158" ht="12.75" customHeight="1" spans="1:25">
      <c r="A158" s="266"/>
      <c r="B158" s="266"/>
      <c r="C158" s="266"/>
      <c r="D158" s="266"/>
      <c r="E158" s="266"/>
      <c r="F158" s="266"/>
      <c r="G158" s="266"/>
      <c r="H158" s="266"/>
      <c r="I158" s="266"/>
      <c r="J158" s="266"/>
      <c r="K158" s="266"/>
      <c r="L158" s="266"/>
      <c r="M158" s="266"/>
      <c r="N158" s="266"/>
      <c r="O158" s="266"/>
      <c r="P158" s="267"/>
      <c r="Q158" s="267"/>
      <c r="R158" s="267"/>
      <c r="S158" s="267"/>
      <c r="T158" s="267"/>
      <c r="U158" s="267"/>
      <c r="V158" s="267"/>
      <c r="W158" s="267"/>
      <c r="X158" s="267"/>
      <c r="Y158" s="267"/>
    </row>
    <row r="159" ht="12.75" customHeight="1" spans="1:25">
      <c r="A159" s="266"/>
      <c r="B159" s="266"/>
      <c r="C159" s="266"/>
      <c r="D159" s="266"/>
      <c r="E159" s="266"/>
      <c r="F159" s="266"/>
      <c r="G159" s="266"/>
      <c r="H159" s="266"/>
      <c r="I159" s="266"/>
      <c r="J159" s="266"/>
      <c r="K159" s="266"/>
      <c r="L159" s="266"/>
      <c r="M159" s="266"/>
      <c r="N159" s="266"/>
      <c r="O159" s="266"/>
      <c r="P159" s="267"/>
      <c r="Q159" s="267"/>
      <c r="R159" s="267"/>
      <c r="S159" s="267"/>
      <c r="T159" s="267"/>
      <c r="U159" s="267"/>
      <c r="V159" s="267"/>
      <c r="W159" s="267"/>
      <c r="X159" s="267"/>
      <c r="Y159" s="267"/>
    </row>
    <row r="160" ht="12.75" customHeight="1" spans="1:25">
      <c r="A160" s="266"/>
      <c r="B160" s="266"/>
      <c r="C160" s="266"/>
      <c r="D160" s="266"/>
      <c r="E160" s="266"/>
      <c r="F160" s="266"/>
      <c r="G160" s="266"/>
      <c r="H160" s="266"/>
      <c r="I160" s="266"/>
      <c r="J160" s="266"/>
      <c r="K160" s="266"/>
      <c r="L160" s="266"/>
      <c r="M160" s="266"/>
      <c r="N160" s="266"/>
      <c r="O160" s="266"/>
      <c r="P160" s="267"/>
      <c r="Q160" s="267"/>
      <c r="R160" s="267"/>
      <c r="S160" s="267"/>
      <c r="T160" s="267"/>
      <c r="U160" s="267"/>
      <c r="V160" s="267"/>
      <c r="W160" s="267"/>
      <c r="X160" s="267"/>
      <c r="Y160" s="267"/>
    </row>
    <row r="161" ht="12.75" customHeight="1" spans="1:25">
      <c r="A161" s="266"/>
      <c r="B161" s="266"/>
      <c r="C161" s="266"/>
      <c r="D161" s="266"/>
      <c r="E161" s="266"/>
      <c r="F161" s="266"/>
      <c r="G161" s="266"/>
      <c r="H161" s="266"/>
      <c r="I161" s="266"/>
      <c r="J161" s="266"/>
      <c r="K161" s="266"/>
      <c r="L161" s="266"/>
      <c r="M161" s="266"/>
      <c r="N161" s="266"/>
      <c r="O161" s="266"/>
      <c r="P161" s="267"/>
      <c r="Q161" s="267"/>
      <c r="R161" s="267"/>
      <c r="S161" s="267"/>
      <c r="T161" s="267"/>
      <c r="U161" s="267"/>
      <c r="V161" s="267"/>
      <c r="W161" s="267"/>
      <c r="X161" s="267"/>
      <c r="Y161" s="267"/>
    </row>
    <row r="162" ht="12.75" customHeight="1" spans="1:25">
      <c r="A162" s="266"/>
      <c r="B162" s="266"/>
      <c r="C162" s="266"/>
      <c r="D162" s="266"/>
      <c r="E162" s="266"/>
      <c r="F162" s="266"/>
      <c r="G162" s="266"/>
      <c r="H162" s="266"/>
      <c r="I162" s="266"/>
      <c r="J162" s="266"/>
      <c r="K162" s="266"/>
      <c r="L162" s="266"/>
      <c r="M162" s="266"/>
      <c r="N162" s="266"/>
      <c r="O162" s="266"/>
      <c r="P162" s="267"/>
      <c r="Q162" s="267"/>
      <c r="R162" s="267"/>
      <c r="S162" s="267"/>
      <c r="T162" s="267"/>
      <c r="U162" s="267"/>
      <c r="V162" s="267"/>
      <c r="W162" s="267"/>
      <c r="X162" s="267"/>
      <c r="Y162" s="267"/>
    </row>
    <row r="163" ht="12.75" customHeight="1" spans="1:25">
      <c r="A163" s="266"/>
      <c r="B163" s="266"/>
      <c r="C163" s="266"/>
      <c r="D163" s="266"/>
      <c r="E163" s="266"/>
      <c r="F163" s="266"/>
      <c r="G163" s="266"/>
      <c r="H163" s="266"/>
      <c r="I163" s="266"/>
      <c r="J163" s="266"/>
      <c r="K163" s="266"/>
      <c r="L163" s="266"/>
      <c r="M163" s="266"/>
      <c r="N163" s="266"/>
      <c r="O163" s="266"/>
      <c r="P163" s="267"/>
      <c r="Q163" s="267"/>
      <c r="R163" s="267"/>
      <c r="S163" s="267"/>
      <c r="T163" s="267"/>
      <c r="U163" s="267"/>
      <c r="V163" s="267"/>
      <c r="W163" s="267"/>
      <c r="X163" s="267"/>
      <c r="Y163" s="267"/>
    </row>
    <row r="164" ht="12.75" customHeight="1" spans="1:25">
      <c r="A164" s="266"/>
      <c r="B164" s="266"/>
      <c r="C164" s="266"/>
      <c r="D164" s="266"/>
      <c r="E164" s="266"/>
      <c r="F164" s="266"/>
      <c r="G164" s="266"/>
      <c r="H164" s="266"/>
      <c r="I164" s="266"/>
      <c r="J164" s="266"/>
      <c r="K164" s="266"/>
      <c r="L164" s="266"/>
      <c r="M164" s="266"/>
      <c r="N164" s="266"/>
      <c r="O164" s="266"/>
      <c r="P164" s="267"/>
      <c r="Q164" s="267"/>
      <c r="R164" s="267"/>
      <c r="S164" s="267"/>
      <c r="T164" s="267"/>
      <c r="U164" s="267"/>
      <c r="V164" s="267"/>
      <c r="W164" s="267"/>
      <c r="X164" s="267"/>
      <c r="Y164" s="267"/>
    </row>
    <row r="165" ht="12.75" customHeight="1" spans="1:25">
      <c r="A165" s="266"/>
      <c r="B165" s="266"/>
      <c r="C165" s="266"/>
      <c r="D165" s="266"/>
      <c r="E165" s="266"/>
      <c r="F165" s="266"/>
      <c r="G165" s="266"/>
      <c r="H165" s="266"/>
      <c r="I165" s="266"/>
      <c r="J165" s="266"/>
      <c r="K165" s="266"/>
      <c r="L165" s="266"/>
      <c r="M165" s="266"/>
      <c r="N165" s="266"/>
      <c r="O165" s="266"/>
      <c r="P165" s="267"/>
      <c r="Q165" s="267"/>
      <c r="R165" s="267"/>
      <c r="S165" s="267"/>
      <c r="T165" s="267"/>
      <c r="U165" s="267"/>
      <c r="V165" s="267"/>
      <c r="W165" s="267"/>
      <c r="X165" s="267"/>
      <c r="Y165" s="267"/>
    </row>
    <row r="166" ht="12.75" customHeight="1" spans="1:25">
      <c r="A166" s="266"/>
      <c r="B166" s="266"/>
      <c r="C166" s="266"/>
      <c r="D166" s="266"/>
      <c r="E166" s="266"/>
      <c r="F166" s="266"/>
      <c r="G166" s="266"/>
      <c r="H166" s="266"/>
      <c r="I166" s="266"/>
      <c r="J166" s="266"/>
      <c r="K166" s="266"/>
      <c r="L166" s="266"/>
      <c r="M166" s="266"/>
      <c r="N166" s="266"/>
      <c r="O166" s="266"/>
      <c r="P166" s="267"/>
      <c r="Q166" s="267"/>
      <c r="R166" s="267"/>
      <c r="S166" s="267"/>
      <c r="T166" s="267"/>
      <c r="U166" s="267"/>
      <c r="V166" s="267"/>
      <c r="W166" s="267"/>
      <c r="X166" s="267"/>
      <c r="Y166" s="267"/>
    </row>
    <row r="167" ht="12.75" customHeight="1" spans="1:25">
      <c r="A167" s="266"/>
      <c r="B167" s="266"/>
      <c r="C167" s="266"/>
      <c r="D167" s="266"/>
      <c r="E167" s="266"/>
      <c r="F167" s="266"/>
      <c r="G167" s="266"/>
      <c r="H167" s="266"/>
      <c r="I167" s="266"/>
      <c r="J167" s="266"/>
      <c r="K167" s="266"/>
      <c r="L167" s="266"/>
      <c r="M167" s="266"/>
      <c r="N167" s="266"/>
      <c r="O167" s="266"/>
      <c r="P167" s="267"/>
      <c r="Q167" s="267"/>
      <c r="R167" s="267"/>
      <c r="S167" s="267"/>
      <c r="T167" s="267"/>
      <c r="U167" s="267"/>
      <c r="V167" s="267"/>
      <c r="W167" s="267"/>
      <c r="X167" s="267"/>
      <c r="Y167" s="267"/>
    </row>
    <row r="168" ht="12.75" customHeight="1" spans="1:25">
      <c r="A168" s="266"/>
      <c r="B168" s="266"/>
      <c r="C168" s="266"/>
      <c r="D168" s="266"/>
      <c r="E168" s="266"/>
      <c r="F168" s="266"/>
      <c r="G168" s="266"/>
      <c r="H168" s="266"/>
      <c r="I168" s="266"/>
      <c r="J168" s="266"/>
      <c r="K168" s="266"/>
      <c r="L168" s="266"/>
      <c r="M168" s="266"/>
      <c r="N168" s="266"/>
      <c r="O168" s="266"/>
      <c r="P168" s="267"/>
      <c r="Q168" s="267"/>
      <c r="R168" s="267"/>
      <c r="S168" s="267"/>
      <c r="T168" s="267"/>
      <c r="U168" s="267"/>
      <c r="V168" s="267"/>
      <c r="W168" s="267"/>
      <c r="X168" s="267"/>
      <c r="Y168" s="267"/>
    </row>
    <row r="169" ht="12.75" customHeight="1" spans="1:25">
      <c r="A169" s="266"/>
      <c r="B169" s="266"/>
      <c r="C169" s="266"/>
      <c r="D169" s="266"/>
      <c r="E169" s="266"/>
      <c r="F169" s="266"/>
      <c r="G169" s="266"/>
      <c r="H169" s="266"/>
      <c r="I169" s="266"/>
      <c r="J169" s="266"/>
      <c r="K169" s="266"/>
      <c r="L169" s="266"/>
      <c r="M169" s="266"/>
      <c r="N169" s="266"/>
      <c r="O169" s="266"/>
      <c r="P169" s="267"/>
      <c r="Q169" s="267"/>
      <c r="R169" s="267"/>
      <c r="S169" s="267"/>
      <c r="T169" s="267"/>
      <c r="U169" s="267"/>
      <c r="V169" s="267"/>
      <c r="W169" s="267"/>
      <c r="X169" s="267"/>
      <c r="Y169" s="267"/>
    </row>
    <row r="170" ht="12.75" customHeight="1" spans="1:25">
      <c r="A170" s="266"/>
      <c r="B170" s="266"/>
      <c r="C170" s="266"/>
      <c r="D170" s="266"/>
      <c r="E170" s="266"/>
      <c r="F170" s="266"/>
      <c r="G170" s="266"/>
      <c r="H170" s="266"/>
      <c r="I170" s="266"/>
      <c r="J170" s="266"/>
      <c r="K170" s="266"/>
      <c r="L170" s="266"/>
      <c r="M170" s="266"/>
      <c r="N170" s="266"/>
      <c r="O170" s="266"/>
      <c r="P170" s="267"/>
      <c r="Q170" s="267"/>
      <c r="R170" s="267"/>
      <c r="S170" s="267"/>
      <c r="T170" s="267"/>
      <c r="U170" s="267"/>
      <c r="V170" s="267"/>
      <c r="W170" s="267"/>
      <c r="X170" s="267"/>
      <c r="Y170" s="267"/>
    </row>
    <row r="171" ht="12.75" customHeight="1" spans="1:25">
      <c r="A171" s="266"/>
      <c r="B171" s="266"/>
      <c r="C171" s="266"/>
      <c r="D171" s="266"/>
      <c r="E171" s="266"/>
      <c r="F171" s="266"/>
      <c r="G171" s="266"/>
      <c r="H171" s="266"/>
      <c r="I171" s="266"/>
      <c r="J171" s="266"/>
      <c r="K171" s="266"/>
      <c r="L171" s="266"/>
      <c r="M171" s="266"/>
      <c r="N171" s="266"/>
      <c r="O171" s="266"/>
      <c r="P171" s="267"/>
      <c r="Q171" s="267"/>
      <c r="R171" s="267"/>
      <c r="S171" s="267"/>
      <c r="T171" s="267"/>
      <c r="U171" s="267"/>
      <c r="V171" s="267"/>
      <c r="W171" s="267"/>
      <c r="X171" s="267"/>
      <c r="Y171" s="267"/>
    </row>
    <row r="172" ht="12.75" customHeight="1" spans="1:25">
      <c r="A172" s="266"/>
      <c r="B172" s="266"/>
      <c r="C172" s="266"/>
      <c r="D172" s="266"/>
      <c r="E172" s="266"/>
      <c r="F172" s="266"/>
      <c r="G172" s="266"/>
      <c r="H172" s="266"/>
      <c r="I172" s="266"/>
      <c r="J172" s="266"/>
      <c r="K172" s="266"/>
      <c r="L172" s="266"/>
      <c r="M172" s="266"/>
      <c r="N172" s="266"/>
      <c r="O172" s="266"/>
      <c r="P172" s="267"/>
      <c r="Q172" s="267"/>
      <c r="R172" s="267"/>
      <c r="S172" s="267"/>
      <c r="T172" s="267"/>
      <c r="U172" s="267"/>
      <c r="V172" s="267"/>
      <c r="W172" s="267"/>
      <c r="X172" s="267"/>
      <c r="Y172" s="267"/>
    </row>
    <row r="173" ht="12.75" customHeight="1" spans="1:25">
      <c r="A173" s="266"/>
      <c r="B173" s="266"/>
      <c r="C173" s="266"/>
      <c r="D173" s="266"/>
      <c r="E173" s="266"/>
      <c r="F173" s="266"/>
      <c r="G173" s="266"/>
      <c r="H173" s="266"/>
      <c r="I173" s="266"/>
      <c r="J173" s="266"/>
      <c r="K173" s="266"/>
      <c r="L173" s="266"/>
      <c r="M173" s="266"/>
      <c r="N173" s="266"/>
      <c r="O173" s="266"/>
      <c r="P173" s="267"/>
      <c r="Q173" s="267"/>
      <c r="R173" s="267"/>
      <c r="S173" s="267"/>
      <c r="T173" s="267"/>
      <c r="U173" s="267"/>
      <c r="V173" s="267"/>
      <c r="W173" s="267"/>
      <c r="X173" s="267"/>
      <c r="Y173" s="267"/>
    </row>
    <row r="174" ht="12.75" customHeight="1" spans="1:25">
      <c r="A174" s="266"/>
      <c r="B174" s="266"/>
      <c r="C174" s="266"/>
      <c r="D174" s="266"/>
      <c r="E174" s="266"/>
      <c r="F174" s="266"/>
      <c r="G174" s="266"/>
      <c r="H174" s="266"/>
      <c r="I174" s="266"/>
      <c r="J174" s="266"/>
      <c r="K174" s="266"/>
      <c r="L174" s="266"/>
      <c r="M174" s="266"/>
      <c r="N174" s="266"/>
      <c r="O174" s="266"/>
      <c r="P174" s="267"/>
      <c r="Q174" s="267"/>
      <c r="R174" s="267"/>
      <c r="S174" s="267"/>
      <c r="T174" s="267"/>
      <c r="U174" s="267"/>
      <c r="V174" s="267"/>
      <c r="W174" s="267"/>
      <c r="X174" s="267"/>
      <c r="Y174" s="267"/>
    </row>
    <row r="175" ht="12.75" customHeight="1" spans="1:25">
      <c r="A175" s="266"/>
      <c r="B175" s="266"/>
      <c r="C175" s="266"/>
      <c r="D175" s="266"/>
      <c r="E175" s="266"/>
      <c r="F175" s="266"/>
      <c r="G175" s="266"/>
      <c r="H175" s="266"/>
      <c r="I175" s="266"/>
      <c r="J175" s="266"/>
      <c r="K175" s="266"/>
      <c r="L175" s="266"/>
      <c r="M175" s="266"/>
      <c r="N175" s="266"/>
      <c r="O175" s="266"/>
      <c r="P175" s="267"/>
      <c r="Q175" s="267"/>
      <c r="R175" s="267"/>
      <c r="S175" s="267"/>
      <c r="T175" s="267"/>
      <c r="U175" s="267"/>
      <c r="V175" s="267"/>
      <c r="W175" s="267"/>
      <c r="X175" s="267"/>
      <c r="Y175" s="267"/>
    </row>
    <row r="176" ht="12.75" customHeight="1" spans="1:25">
      <c r="A176" s="266"/>
      <c r="B176" s="266"/>
      <c r="C176" s="266"/>
      <c r="D176" s="266"/>
      <c r="E176" s="266"/>
      <c r="F176" s="266"/>
      <c r="G176" s="266"/>
      <c r="H176" s="266"/>
      <c r="I176" s="266"/>
      <c r="J176" s="266"/>
      <c r="K176" s="266"/>
      <c r="L176" s="266"/>
      <c r="M176" s="266"/>
      <c r="N176" s="266"/>
      <c r="O176" s="266"/>
      <c r="P176" s="267"/>
      <c r="Q176" s="267"/>
      <c r="R176" s="267"/>
      <c r="S176" s="267"/>
      <c r="T176" s="267"/>
      <c r="U176" s="267"/>
      <c r="V176" s="267"/>
      <c r="W176" s="267"/>
      <c r="X176" s="267"/>
      <c r="Y176" s="267"/>
    </row>
    <row r="177" ht="12.75" customHeight="1" spans="1:25">
      <c r="A177" s="266"/>
      <c r="B177" s="266"/>
      <c r="C177" s="266"/>
      <c r="D177" s="266"/>
      <c r="E177" s="266"/>
      <c r="F177" s="266"/>
      <c r="G177" s="266"/>
      <c r="H177" s="266"/>
      <c r="I177" s="266"/>
      <c r="J177" s="266"/>
      <c r="K177" s="266"/>
      <c r="L177" s="266"/>
      <c r="M177" s="266"/>
      <c r="N177" s="266"/>
      <c r="O177" s="266"/>
      <c r="P177" s="267"/>
      <c r="Q177" s="267"/>
      <c r="R177" s="267"/>
      <c r="S177" s="267"/>
      <c r="T177" s="267"/>
      <c r="U177" s="267"/>
      <c r="V177" s="267"/>
      <c r="W177" s="267"/>
      <c r="X177" s="267"/>
      <c r="Y177" s="267"/>
    </row>
    <row r="178" ht="12.75" customHeight="1" spans="1:25">
      <c r="A178" s="266"/>
      <c r="B178" s="266"/>
      <c r="C178" s="266"/>
      <c r="D178" s="266"/>
      <c r="E178" s="266"/>
      <c r="F178" s="266"/>
      <c r="G178" s="266"/>
      <c r="H178" s="266"/>
      <c r="I178" s="266"/>
      <c r="J178" s="266"/>
      <c r="K178" s="266"/>
      <c r="L178" s="266"/>
      <c r="M178" s="266"/>
      <c r="N178" s="266"/>
      <c r="O178" s="266"/>
      <c r="P178" s="267"/>
      <c r="Q178" s="267"/>
      <c r="R178" s="267"/>
      <c r="S178" s="267"/>
      <c r="T178" s="267"/>
      <c r="U178" s="267"/>
      <c r="V178" s="267"/>
      <c r="W178" s="267"/>
      <c r="X178" s="267"/>
      <c r="Y178" s="267"/>
    </row>
    <row r="179" ht="12.75" customHeight="1" spans="1:25">
      <c r="A179" s="266"/>
      <c r="B179" s="266"/>
      <c r="C179" s="266"/>
      <c r="D179" s="266"/>
      <c r="E179" s="266"/>
      <c r="F179" s="266"/>
      <c r="G179" s="266"/>
      <c r="H179" s="266"/>
      <c r="I179" s="266"/>
      <c r="J179" s="266"/>
      <c r="K179" s="266"/>
      <c r="L179" s="266"/>
      <c r="M179" s="266"/>
      <c r="N179" s="266"/>
      <c r="O179" s="266"/>
      <c r="P179" s="267"/>
      <c r="Q179" s="267"/>
      <c r="R179" s="267"/>
      <c r="S179" s="267"/>
      <c r="T179" s="267"/>
      <c r="U179" s="267"/>
      <c r="V179" s="267"/>
      <c r="W179" s="267"/>
      <c r="X179" s="267"/>
      <c r="Y179" s="267"/>
    </row>
    <row r="180" ht="12.75" customHeight="1" spans="1:25">
      <c r="A180" s="266"/>
      <c r="B180" s="266"/>
      <c r="C180" s="266"/>
      <c r="D180" s="266"/>
      <c r="E180" s="266"/>
      <c r="F180" s="266"/>
      <c r="G180" s="266"/>
      <c r="H180" s="266"/>
      <c r="I180" s="266"/>
      <c r="J180" s="266"/>
      <c r="K180" s="266"/>
      <c r="L180" s="266"/>
      <c r="M180" s="266"/>
      <c r="N180" s="266"/>
      <c r="O180" s="266"/>
      <c r="P180" s="267"/>
      <c r="Q180" s="267"/>
      <c r="R180" s="267"/>
      <c r="S180" s="267"/>
      <c r="T180" s="267"/>
      <c r="U180" s="267"/>
      <c r="V180" s="267"/>
      <c r="W180" s="267"/>
      <c r="X180" s="267"/>
      <c r="Y180" s="267"/>
    </row>
    <row r="181" ht="12.75" customHeight="1" spans="1:25">
      <c r="A181" s="266"/>
      <c r="B181" s="266"/>
      <c r="C181" s="266"/>
      <c r="D181" s="266"/>
      <c r="E181" s="266"/>
      <c r="F181" s="266"/>
      <c r="G181" s="266"/>
      <c r="H181" s="266"/>
      <c r="I181" s="266"/>
      <c r="J181" s="266"/>
      <c r="K181" s="266"/>
      <c r="L181" s="266"/>
      <c r="M181" s="266"/>
      <c r="N181" s="266"/>
      <c r="O181" s="266"/>
      <c r="P181" s="267"/>
      <c r="Q181" s="267"/>
      <c r="R181" s="267"/>
      <c r="S181" s="267"/>
      <c r="T181" s="267"/>
      <c r="U181" s="267"/>
      <c r="V181" s="267"/>
      <c r="W181" s="267"/>
      <c r="X181" s="267"/>
      <c r="Y181" s="267"/>
    </row>
    <row r="182" ht="12.75" customHeight="1" spans="1:25">
      <c r="A182" s="266"/>
      <c r="B182" s="266"/>
      <c r="C182" s="266"/>
      <c r="D182" s="266"/>
      <c r="E182" s="266"/>
      <c r="F182" s="266"/>
      <c r="G182" s="266"/>
      <c r="H182" s="266"/>
      <c r="I182" s="266"/>
      <c r="J182" s="266"/>
      <c r="K182" s="266"/>
      <c r="L182" s="266"/>
      <c r="M182" s="266"/>
      <c r="N182" s="266"/>
      <c r="O182" s="266"/>
      <c r="P182" s="267"/>
      <c r="Q182" s="267"/>
      <c r="R182" s="267"/>
      <c r="S182" s="267"/>
      <c r="T182" s="267"/>
      <c r="U182" s="267"/>
      <c r="V182" s="267"/>
      <c r="W182" s="267"/>
      <c r="X182" s="267"/>
      <c r="Y182" s="267"/>
    </row>
    <row r="183" ht="12.75" customHeight="1" spans="1:25">
      <c r="A183" s="266"/>
      <c r="B183" s="266"/>
      <c r="C183" s="266"/>
      <c r="D183" s="266"/>
      <c r="E183" s="266"/>
      <c r="F183" s="266"/>
      <c r="G183" s="266"/>
      <c r="H183" s="266"/>
      <c r="I183" s="266"/>
      <c r="J183" s="266"/>
      <c r="K183" s="266"/>
      <c r="L183" s="266"/>
      <c r="M183" s="266"/>
      <c r="N183" s="266"/>
      <c r="O183" s="266"/>
      <c r="P183" s="267"/>
      <c r="Q183" s="267"/>
      <c r="R183" s="267"/>
      <c r="S183" s="267"/>
      <c r="T183" s="267"/>
      <c r="U183" s="267"/>
      <c r="V183" s="267"/>
      <c r="W183" s="267"/>
      <c r="X183" s="267"/>
      <c r="Y183" s="267"/>
    </row>
    <row r="184" ht="12.75" customHeight="1" spans="1:25">
      <c r="A184" s="266"/>
      <c r="B184" s="266"/>
      <c r="C184" s="266"/>
      <c r="D184" s="266"/>
      <c r="E184" s="266"/>
      <c r="F184" s="266"/>
      <c r="G184" s="266"/>
      <c r="H184" s="266"/>
      <c r="I184" s="266"/>
      <c r="J184" s="266"/>
      <c r="K184" s="266"/>
      <c r="L184" s="266"/>
      <c r="M184" s="266"/>
      <c r="N184" s="266"/>
      <c r="O184" s="266"/>
      <c r="P184" s="267"/>
      <c r="Q184" s="267"/>
      <c r="R184" s="267"/>
      <c r="S184" s="267"/>
      <c r="T184" s="267"/>
      <c r="U184" s="267"/>
      <c r="V184" s="267"/>
      <c r="W184" s="267"/>
      <c r="X184" s="267"/>
      <c r="Y184" s="267"/>
    </row>
    <row r="185" ht="12.75" customHeight="1" spans="1:25">
      <c r="A185" s="266"/>
      <c r="B185" s="266"/>
      <c r="C185" s="266"/>
      <c r="D185" s="266"/>
      <c r="E185" s="266"/>
      <c r="F185" s="266"/>
      <c r="G185" s="266"/>
      <c r="H185" s="266"/>
      <c r="I185" s="266"/>
      <c r="J185" s="266"/>
      <c r="K185" s="266"/>
      <c r="L185" s="266"/>
      <c r="M185" s="266"/>
      <c r="N185" s="266"/>
      <c r="O185" s="266"/>
      <c r="P185" s="267"/>
      <c r="Q185" s="267"/>
      <c r="R185" s="267"/>
      <c r="S185" s="267"/>
      <c r="T185" s="267"/>
      <c r="U185" s="267"/>
      <c r="V185" s="267"/>
      <c r="W185" s="267"/>
      <c r="X185" s="267"/>
      <c r="Y185" s="267"/>
    </row>
    <row r="186" ht="12.75" customHeight="1" spans="1:25">
      <c r="A186" s="266"/>
      <c r="B186" s="266"/>
      <c r="C186" s="266"/>
      <c r="D186" s="266"/>
      <c r="E186" s="266"/>
      <c r="F186" s="266"/>
      <c r="G186" s="266"/>
      <c r="H186" s="266"/>
      <c r="I186" s="266"/>
      <c r="J186" s="266"/>
      <c r="K186" s="266"/>
      <c r="L186" s="266"/>
      <c r="M186" s="266"/>
      <c r="N186" s="266"/>
      <c r="O186" s="266"/>
      <c r="P186" s="267"/>
      <c r="Q186" s="267"/>
      <c r="R186" s="267"/>
      <c r="S186" s="267"/>
      <c r="T186" s="267"/>
      <c r="U186" s="267"/>
      <c r="V186" s="267"/>
      <c r="W186" s="267"/>
      <c r="X186" s="267"/>
      <c r="Y186" s="267"/>
    </row>
    <row r="187" ht="12.75" customHeight="1" spans="1:25">
      <c r="A187" s="266"/>
      <c r="B187" s="266"/>
      <c r="C187" s="266"/>
      <c r="D187" s="266"/>
      <c r="E187" s="266"/>
      <c r="F187" s="266"/>
      <c r="G187" s="266"/>
      <c r="H187" s="266"/>
      <c r="I187" s="266"/>
      <c r="J187" s="266"/>
      <c r="K187" s="266"/>
      <c r="L187" s="266"/>
      <c r="M187" s="266"/>
      <c r="N187" s="266"/>
      <c r="O187" s="266"/>
      <c r="P187" s="267"/>
      <c r="Q187" s="267"/>
      <c r="R187" s="267"/>
      <c r="S187" s="267"/>
      <c r="T187" s="267"/>
      <c r="U187" s="267"/>
      <c r="V187" s="267"/>
      <c r="W187" s="267"/>
      <c r="X187" s="267"/>
      <c r="Y187" s="267"/>
    </row>
    <row r="188" ht="12.75" customHeight="1" spans="1:25">
      <c r="A188" s="266"/>
      <c r="B188" s="266"/>
      <c r="C188" s="266"/>
      <c r="D188" s="266"/>
      <c r="E188" s="266"/>
      <c r="F188" s="266"/>
      <c r="G188" s="266"/>
      <c r="H188" s="266"/>
      <c r="I188" s="266"/>
      <c r="J188" s="266"/>
      <c r="K188" s="266"/>
      <c r="L188" s="266"/>
      <c r="M188" s="266"/>
      <c r="N188" s="266"/>
      <c r="O188" s="266"/>
      <c r="P188" s="267"/>
      <c r="Q188" s="267"/>
      <c r="R188" s="267"/>
      <c r="S188" s="267"/>
      <c r="T188" s="267"/>
      <c r="U188" s="267"/>
      <c r="V188" s="267"/>
      <c r="W188" s="267"/>
      <c r="X188" s="267"/>
      <c r="Y188" s="267"/>
    </row>
    <row r="189" ht="12.75" customHeight="1" spans="1:25">
      <c r="A189" s="266"/>
      <c r="B189" s="266"/>
      <c r="C189" s="266"/>
      <c r="D189" s="266"/>
      <c r="E189" s="266"/>
      <c r="F189" s="266"/>
      <c r="G189" s="266"/>
      <c r="H189" s="266"/>
      <c r="I189" s="266"/>
      <c r="J189" s="266"/>
      <c r="K189" s="266"/>
      <c r="L189" s="266"/>
      <c r="M189" s="266"/>
      <c r="N189" s="266"/>
      <c r="O189" s="266"/>
      <c r="P189" s="267"/>
      <c r="Q189" s="267"/>
      <c r="R189" s="267"/>
      <c r="S189" s="267"/>
      <c r="T189" s="267"/>
      <c r="U189" s="267"/>
      <c r="V189" s="267"/>
      <c r="W189" s="267"/>
      <c r="X189" s="267"/>
      <c r="Y189" s="267"/>
    </row>
    <row r="190" ht="12.75" customHeight="1" spans="1:25">
      <c r="A190" s="266"/>
      <c r="B190" s="266"/>
      <c r="C190" s="266"/>
      <c r="D190" s="266"/>
      <c r="E190" s="266"/>
      <c r="F190" s="266"/>
      <c r="G190" s="266"/>
      <c r="H190" s="266"/>
      <c r="I190" s="266"/>
      <c r="J190" s="266"/>
      <c r="K190" s="266"/>
      <c r="L190" s="266"/>
      <c r="M190" s="266"/>
      <c r="N190" s="266"/>
      <c r="O190" s="266"/>
      <c r="P190" s="267"/>
      <c r="Q190" s="267"/>
      <c r="R190" s="267"/>
      <c r="S190" s="267"/>
      <c r="T190" s="267"/>
      <c r="U190" s="267"/>
      <c r="V190" s="267"/>
      <c r="W190" s="267"/>
      <c r="X190" s="267"/>
      <c r="Y190" s="267"/>
    </row>
    <row r="191" ht="12.75" customHeight="1" spans="1:25">
      <c r="A191" s="266"/>
      <c r="B191" s="266"/>
      <c r="C191" s="266"/>
      <c r="D191" s="266"/>
      <c r="E191" s="266"/>
      <c r="F191" s="266"/>
      <c r="G191" s="266"/>
      <c r="H191" s="266"/>
      <c r="I191" s="266"/>
      <c r="J191" s="266"/>
      <c r="K191" s="266"/>
      <c r="L191" s="266"/>
      <c r="M191" s="266"/>
      <c r="N191" s="266"/>
      <c r="O191" s="266"/>
      <c r="P191" s="267"/>
      <c r="Q191" s="267"/>
      <c r="R191" s="267"/>
      <c r="S191" s="267"/>
      <c r="T191" s="267"/>
      <c r="U191" s="267"/>
      <c r="V191" s="267"/>
      <c r="W191" s="267"/>
      <c r="X191" s="267"/>
      <c r="Y191" s="267"/>
    </row>
    <row r="192" ht="12.75" customHeight="1" spans="1:25">
      <c r="A192" s="266"/>
      <c r="B192" s="266"/>
      <c r="C192" s="266"/>
      <c r="D192" s="266"/>
      <c r="E192" s="266"/>
      <c r="F192" s="266"/>
      <c r="G192" s="266"/>
      <c r="H192" s="266"/>
      <c r="I192" s="266"/>
      <c r="J192" s="266"/>
      <c r="K192" s="266"/>
      <c r="L192" s="266"/>
      <c r="M192" s="266"/>
      <c r="N192" s="266"/>
      <c r="O192" s="266"/>
      <c r="P192" s="267"/>
      <c r="Q192" s="267"/>
      <c r="R192" s="267"/>
      <c r="S192" s="267"/>
      <c r="T192" s="267"/>
      <c r="U192" s="267"/>
      <c r="V192" s="267"/>
      <c r="W192" s="267"/>
      <c r="X192" s="267"/>
      <c r="Y192" s="267"/>
    </row>
    <row r="193" ht="12.75" customHeight="1" spans="1:25">
      <c r="A193" s="266"/>
      <c r="B193" s="266"/>
      <c r="C193" s="266"/>
      <c r="D193" s="266"/>
      <c r="E193" s="266"/>
      <c r="F193" s="266"/>
      <c r="G193" s="266"/>
      <c r="H193" s="266"/>
      <c r="I193" s="266"/>
      <c r="J193" s="266"/>
      <c r="K193" s="266"/>
      <c r="L193" s="266"/>
      <c r="M193" s="266"/>
      <c r="N193" s="266"/>
      <c r="O193" s="266"/>
      <c r="P193" s="267"/>
      <c r="Q193" s="267"/>
      <c r="R193" s="267"/>
      <c r="S193" s="267"/>
      <c r="T193" s="267"/>
      <c r="U193" s="267"/>
      <c r="V193" s="267"/>
      <c r="W193" s="267"/>
      <c r="X193" s="267"/>
      <c r="Y193" s="267"/>
    </row>
    <row r="194" ht="12.75" customHeight="1" spans="1:25">
      <c r="A194" s="266"/>
      <c r="B194" s="266"/>
      <c r="C194" s="266"/>
      <c r="D194" s="266"/>
      <c r="E194" s="266"/>
      <c r="F194" s="266"/>
      <c r="G194" s="266"/>
      <c r="H194" s="266"/>
      <c r="I194" s="266"/>
      <c r="J194" s="266"/>
      <c r="K194" s="266"/>
      <c r="L194" s="266"/>
      <c r="M194" s="266"/>
      <c r="N194" s="266"/>
      <c r="O194" s="266"/>
      <c r="P194" s="267"/>
      <c r="Q194" s="267"/>
      <c r="R194" s="267"/>
      <c r="S194" s="267"/>
      <c r="T194" s="267"/>
      <c r="U194" s="267"/>
      <c r="V194" s="267"/>
      <c r="W194" s="267"/>
      <c r="X194" s="267"/>
      <c r="Y194" s="267"/>
    </row>
    <row r="195" ht="12.75" customHeight="1" spans="1:25">
      <c r="A195" s="266"/>
      <c r="B195" s="266"/>
      <c r="C195" s="266"/>
      <c r="D195" s="266"/>
      <c r="E195" s="266"/>
      <c r="F195" s="266"/>
      <c r="G195" s="266"/>
      <c r="H195" s="266"/>
      <c r="I195" s="266"/>
      <c r="J195" s="266"/>
      <c r="K195" s="266"/>
      <c r="L195" s="266"/>
      <c r="M195" s="266"/>
      <c r="N195" s="266"/>
      <c r="O195" s="266"/>
      <c r="P195" s="267"/>
      <c r="Q195" s="267"/>
      <c r="R195" s="267"/>
      <c r="S195" s="267"/>
      <c r="T195" s="267"/>
      <c r="U195" s="267"/>
      <c r="V195" s="267"/>
      <c r="W195" s="267"/>
      <c r="X195" s="267"/>
      <c r="Y195" s="267"/>
    </row>
    <row r="196" ht="12.75" customHeight="1" spans="1:25">
      <c r="A196" s="266"/>
      <c r="B196" s="266"/>
      <c r="C196" s="266"/>
      <c r="D196" s="266"/>
      <c r="E196" s="266"/>
      <c r="F196" s="266"/>
      <c r="G196" s="266"/>
      <c r="H196" s="266"/>
      <c r="I196" s="266"/>
      <c r="J196" s="266"/>
      <c r="K196" s="266"/>
      <c r="L196" s="266"/>
      <c r="M196" s="266"/>
      <c r="N196" s="266"/>
      <c r="O196" s="266"/>
      <c r="P196" s="267"/>
      <c r="Q196" s="267"/>
      <c r="R196" s="267"/>
      <c r="S196" s="267"/>
      <c r="T196" s="267"/>
      <c r="U196" s="267"/>
      <c r="V196" s="267"/>
      <c r="W196" s="267"/>
      <c r="X196" s="267"/>
      <c r="Y196" s="267"/>
    </row>
    <row r="197" ht="12.75" customHeight="1" spans="1:25">
      <c r="A197" s="266"/>
      <c r="B197" s="266"/>
      <c r="C197" s="266"/>
      <c r="D197" s="266"/>
      <c r="E197" s="266"/>
      <c r="F197" s="266"/>
      <c r="G197" s="266"/>
      <c r="H197" s="266"/>
      <c r="I197" s="266"/>
      <c r="J197" s="266"/>
      <c r="K197" s="266"/>
      <c r="L197" s="266"/>
      <c r="M197" s="266"/>
      <c r="N197" s="266"/>
      <c r="O197" s="266"/>
      <c r="P197" s="267"/>
      <c r="Q197" s="267"/>
      <c r="R197" s="267"/>
      <c r="S197" s="267"/>
      <c r="T197" s="267"/>
      <c r="U197" s="267"/>
      <c r="V197" s="267"/>
      <c r="W197" s="267"/>
      <c r="X197" s="267"/>
      <c r="Y197" s="267"/>
    </row>
    <row r="198" ht="12.75" customHeight="1" spans="1:25">
      <c r="A198" s="266"/>
      <c r="B198" s="266"/>
      <c r="C198" s="266"/>
      <c r="D198" s="266"/>
      <c r="E198" s="266"/>
      <c r="F198" s="266"/>
      <c r="G198" s="266"/>
      <c r="H198" s="266"/>
      <c r="I198" s="266"/>
      <c r="J198" s="266"/>
      <c r="K198" s="266"/>
      <c r="L198" s="266"/>
      <c r="M198" s="266"/>
      <c r="N198" s="266"/>
      <c r="O198" s="266"/>
      <c r="P198" s="267"/>
      <c r="Q198" s="267"/>
      <c r="R198" s="267"/>
      <c r="S198" s="267"/>
      <c r="T198" s="267"/>
      <c r="U198" s="267"/>
      <c r="V198" s="267"/>
      <c r="W198" s="267"/>
      <c r="X198" s="267"/>
      <c r="Y198" s="267"/>
    </row>
    <row r="199" ht="12.75" customHeight="1" spans="1:25">
      <c r="A199" s="266"/>
      <c r="B199" s="266"/>
      <c r="C199" s="266"/>
      <c r="D199" s="266"/>
      <c r="E199" s="266"/>
      <c r="F199" s="266"/>
      <c r="G199" s="266"/>
      <c r="H199" s="266"/>
      <c r="I199" s="266"/>
      <c r="J199" s="266"/>
      <c r="K199" s="266"/>
      <c r="L199" s="266"/>
      <c r="M199" s="266"/>
      <c r="N199" s="266"/>
      <c r="O199" s="266"/>
      <c r="P199" s="267"/>
      <c r="Q199" s="267"/>
      <c r="R199" s="267"/>
      <c r="S199" s="267"/>
      <c r="T199" s="267"/>
      <c r="U199" s="267"/>
      <c r="V199" s="267"/>
      <c r="W199" s="267"/>
      <c r="X199" s="267"/>
      <c r="Y199" s="267"/>
    </row>
    <row r="200" ht="12.75" customHeight="1" spans="1:25">
      <c r="A200" s="266"/>
      <c r="B200" s="266"/>
      <c r="C200" s="266"/>
      <c r="D200" s="266"/>
      <c r="E200" s="266"/>
      <c r="F200" s="266"/>
      <c r="G200" s="266"/>
      <c r="H200" s="266"/>
      <c r="I200" s="266"/>
      <c r="J200" s="266"/>
      <c r="K200" s="266"/>
      <c r="L200" s="266"/>
      <c r="M200" s="266"/>
      <c r="N200" s="266"/>
      <c r="O200" s="266"/>
      <c r="P200" s="267"/>
      <c r="Q200" s="267"/>
      <c r="R200" s="267"/>
      <c r="S200" s="267"/>
      <c r="T200" s="267"/>
      <c r="U200" s="267"/>
      <c r="V200" s="267"/>
      <c r="W200" s="267"/>
      <c r="X200" s="267"/>
      <c r="Y200" s="267"/>
    </row>
    <row r="201" ht="12.75" customHeight="1" spans="1:25">
      <c r="A201" s="266"/>
      <c r="B201" s="266"/>
      <c r="C201" s="266"/>
      <c r="D201" s="266"/>
      <c r="E201" s="266"/>
      <c r="F201" s="266"/>
      <c r="G201" s="266"/>
      <c r="H201" s="266"/>
      <c r="I201" s="266"/>
      <c r="J201" s="266"/>
      <c r="K201" s="266"/>
      <c r="L201" s="266"/>
      <c r="M201" s="266"/>
      <c r="N201" s="266"/>
      <c r="O201" s="266"/>
      <c r="P201" s="267"/>
      <c r="Q201" s="267"/>
      <c r="R201" s="267"/>
      <c r="S201" s="267"/>
      <c r="T201" s="267"/>
      <c r="U201" s="267"/>
      <c r="V201" s="267"/>
      <c r="W201" s="267"/>
      <c r="X201" s="267"/>
      <c r="Y201" s="267"/>
    </row>
    <row r="202" ht="12.75" customHeight="1" spans="1:25">
      <c r="A202" s="266"/>
      <c r="B202" s="266"/>
      <c r="C202" s="266"/>
      <c r="D202" s="266"/>
      <c r="E202" s="266"/>
      <c r="F202" s="266"/>
      <c r="G202" s="266"/>
      <c r="H202" s="266"/>
      <c r="I202" s="266"/>
      <c r="J202" s="266"/>
      <c r="K202" s="266"/>
      <c r="L202" s="266"/>
      <c r="M202" s="266"/>
      <c r="N202" s="266"/>
      <c r="O202" s="266"/>
      <c r="P202" s="267"/>
      <c r="Q202" s="267"/>
      <c r="R202" s="267"/>
      <c r="S202" s="267"/>
      <c r="T202" s="267"/>
      <c r="U202" s="267"/>
      <c r="V202" s="267"/>
      <c r="W202" s="267"/>
      <c r="X202" s="267"/>
      <c r="Y202" s="267"/>
    </row>
    <row r="203" ht="12.75" customHeight="1" spans="1:25">
      <c r="A203" s="266"/>
      <c r="B203" s="266"/>
      <c r="C203" s="266"/>
      <c r="D203" s="266"/>
      <c r="E203" s="266"/>
      <c r="F203" s="266"/>
      <c r="G203" s="266"/>
      <c r="H203" s="266"/>
      <c r="I203" s="266"/>
      <c r="J203" s="266"/>
      <c r="K203" s="266"/>
      <c r="L203" s="266"/>
      <c r="M203" s="266"/>
      <c r="N203" s="266"/>
      <c r="O203" s="266"/>
      <c r="P203" s="267"/>
      <c r="Q203" s="267"/>
      <c r="R203" s="267"/>
      <c r="S203" s="267"/>
      <c r="T203" s="267"/>
      <c r="U203" s="267"/>
      <c r="V203" s="267"/>
      <c r="W203" s="267"/>
      <c r="X203" s="267"/>
      <c r="Y203" s="267"/>
    </row>
    <row r="204" ht="12.75" customHeight="1" spans="1:25">
      <c r="A204" s="266"/>
      <c r="B204" s="266"/>
      <c r="C204" s="266"/>
      <c r="D204" s="266"/>
      <c r="E204" s="266"/>
      <c r="F204" s="266"/>
      <c r="G204" s="266"/>
      <c r="H204" s="266"/>
      <c r="I204" s="266"/>
      <c r="J204" s="266"/>
      <c r="K204" s="266"/>
      <c r="L204" s="266"/>
      <c r="M204" s="266"/>
      <c r="N204" s="266"/>
      <c r="O204" s="266"/>
      <c r="P204" s="267"/>
      <c r="Q204" s="267"/>
      <c r="R204" s="267"/>
      <c r="S204" s="267"/>
      <c r="T204" s="267"/>
      <c r="U204" s="267"/>
      <c r="V204" s="267"/>
      <c r="W204" s="267"/>
      <c r="X204" s="267"/>
      <c r="Y204" s="267"/>
    </row>
    <row r="205" ht="12.75" customHeight="1" spans="1:25">
      <c r="A205" s="266"/>
      <c r="B205" s="266"/>
      <c r="C205" s="266"/>
      <c r="D205" s="266"/>
      <c r="E205" s="266"/>
      <c r="F205" s="266"/>
      <c r="G205" s="266"/>
      <c r="H205" s="266"/>
      <c r="I205" s="266"/>
      <c r="J205" s="266"/>
      <c r="K205" s="266"/>
      <c r="L205" s="266"/>
      <c r="M205" s="266"/>
      <c r="N205" s="266"/>
      <c r="O205" s="266"/>
      <c r="P205" s="267"/>
      <c r="Q205" s="267"/>
      <c r="R205" s="267"/>
      <c r="S205" s="267"/>
      <c r="T205" s="267"/>
      <c r="U205" s="267"/>
      <c r="V205" s="267"/>
      <c r="W205" s="267"/>
      <c r="X205" s="267"/>
      <c r="Y205" s="267"/>
    </row>
    <row r="206" ht="12.75" customHeight="1" spans="1:25">
      <c r="A206" s="266"/>
      <c r="B206" s="266"/>
      <c r="C206" s="266"/>
      <c r="D206" s="266"/>
      <c r="E206" s="266"/>
      <c r="F206" s="266"/>
      <c r="G206" s="266"/>
      <c r="H206" s="266"/>
      <c r="I206" s="266"/>
      <c r="J206" s="266"/>
      <c r="K206" s="266"/>
      <c r="L206" s="266"/>
      <c r="M206" s="266"/>
      <c r="N206" s="266"/>
      <c r="O206" s="266"/>
      <c r="P206" s="267"/>
      <c r="Q206" s="267"/>
      <c r="R206" s="267"/>
      <c r="S206" s="267"/>
      <c r="T206" s="267"/>
      <c r="U206" s="267"/>
      <c r="V206" s="267"/>
      <c r="W206" s="267"/>
      <c r="X206" s="267"/>
      <c r="Y206" s="267"/>
    </row>
    <row r="207" ht="12.75" customHeight="1" spans="1:25">
      <c r="A207" s="266"/>
      <c r="B207" s="266"/>
      <c r="C207" s="266"/>
      <c r="D207" s="266"/>
      <c r="E207" s="266"/>
      <c r="F207" s="266"/>
      <c r="G207" s="266"/>
      <c r="H207" s="266"/>
      <c r="I207" s="266"/>
      <c r="J207" s="266"/>
      <c r="K207" s="266"/>
      <c r="L207" s="266"/>
      <c r="M207" s="266"/>
      <c r="N207" s="266"/>
      <c r="O207" s="266"/>
      <c r="P207" s="267"/>
      <c r="Q207" s="267"/>
      <c r="R207" s="267"/>
      <c r="S207" s="267"/>
      <c r="T207" s="267"/>
      <c r="U207" s="267"/>
      <c r="V207" s="267"/>
      <c r="W207" s="267"/>
      <c r="X207" s="267"/>
      <c r="Y207" s="267"/>
    </row>
    <row r="208" ht="12.75" customHeight="1" spans="1:25">
      <c r="A208" s="266"/>
      <c r="B208" s="266"/>
      <c r="C208" s="266"/>
      <c r="D208" s="266"/>
      <c r="E208" s="266"/>
      <c r="F208" s="266"/>
      <c r="G208" s="266"/>
      <c r="H208" s="266"/>
      <c r="I208" s="266"/>
      <c r="J208" s="266"/>
      <c r="K208" s="266"/>
      <c r="L208" s="266"/>
      <c r="M208" s="266"/>
      <c r="N208" s="266"/>
      <c r="O208" s="266"/>
      <c r="P208" s="267"/>
      <c r="Q208" s="267"/>
      <c r="R208" s="267"/>
      <c r="S208" s="267"/>
      <c r="T208" s="267"/>
      <c r="U208" s="267"/>
      <c r="V208" s="267"/>
      <c r="W208" s="267"/>
      <c r="X208" s="267"/>
      <c r="Y208" s="267"/>
    </row>
    <row r="209" ht="12.75" customHeight="1" spans="1:25">
      <c r="A209" s="266"/>
      <c r="B209" s="266"/>
      <c r="C209" s="266"/>
      <c r="D209" s="266"/>
      <c r="E209" s="266"/>
      <c r="F209" s="266"/>
      <c r="G209" s="266"/>
      <c r="H209" s="266"/>
      <c r="I209" s="266"/>
      <c r="J209" s="266"/>
      <c r="K209" s="266"/>
      <c r="L209" s="266"/>
      <c r="M209" s="266"/>
      <c r="N209" s="266"/>
      <c r="O209" s="266"/>
      <c r="P209" s="267"/>
      <c r="Q209" s="267"/>
      <c r="R209" s="267"/>
      <c r="S209" s="267"/>
      <c r="T209" s="267"/>
      <c r="U209" s="267"/>
      <c r="V209" s="267"/>
      <c r="W209" s="267"/>
      <c r="X209" s="267"/>
      <c r="Y209" s="267"/>
    </row>
    <row r="210" ht="12.75" customHeight="1" spans="1:25">
      <c r="A210" s="266"/>
      <c r="B210" s="266"/>
      <c r="C210" s="266"/>
      <c r="D210" s="266"/>
      <c r="E210" s="266"/>
      <c r="F210" s="266"/>
      <c r="G210" s="266"/>
      <c r="H210" s="266"/>
      <c r="I210" s="266"/>
      <c r="J210" s="266"/>
      <c r="K210" s="266"/>
      <c r="L210" s="266"/>
      <c r="M210" s="266"/>
      <c r="N210" s="266"/>
      <c r="O210" s="266"/>
      <c r="P210" s="267"/>
      <c r="Q210" s="267"/>
      <c r="R210" s="267"/>
      <c r="S210" s="267"/>
      <c r="T210" s="267"/>
      <c r="U210" s="267"/>
      <c r="V210" s="267"/>
      <c r="W210" s="267"/>
      <c r="X210" s="267"/>
      <c r="Y210" s="267"/>
    </row>
    <row r="211" ht="12.75" customHeight="1" spans="1:25">
      <c r="A211" s="266"/>
      <c r="B211" s="266"/>
      <c r="C211" s="266"/>
      <c r="D211" s="266"/>
      <c r="E211" s="266"/>
      <c r="F211" s="266"/>
      <c r="G211" s="266"/>
      <c r="H211" s="266"/>
      <c r="I211" s="266"/>
      <c r="J211" s="266"/>
      <c r="K211" s="266"/>
      <c r="L211" s="266"/>
      <c r="M211" s="266"/>
      <c r="N211" s="266"/>
      <c r="O211" s="266"/>
      <c r="P211" s="267"/>
      <c r="Q211" s="267"/>
      <c r="R211" s="267"/>
      <c r="S211" s="267"/>
      <c r="T211" s="267"/>
      <c r="U211" s="267"/>
      <c r="V211" s="267"/>
      <c r="W211" s="267"/>
      <c r="X211" s="267"/>
      <c r="Y211" s="267"/>
    </row>
    <row r="212" ht="12.75" customHeight="1" spans="1:25">
      <c r="A212" s="266"/>
      <c r="B212" s="266"/>
      <c r="C212" s="266"/>
      <c r="D212" s="266"/>
      <c r="E212" s="266"/>
      <c r="F212" s="266"/>
      <c r="G212" s="266"/>
      <c r="H212" s="266"/>
      <c r="I212" s="266"/>
      <c r="J212" s="266"/>
      <c r="K212" s="266"/>
      <c r="L212" s="266"/>
      <c r="M212" s="266"/>
      <c r="N212" s="266"/>
      <c r="O212" s="266"/>
      <c r="P212" s="267"/>
      <c r="Q212" s="267"/>
      <c r="R212" s="267"/>
      <c r="S212" s="267"/>
      <c r="T212" s="267"/>
      <c r="U212" s="267"/>
      <c r="V212" s="267"/>
      <c r="W212" s="267"/>
      <c r="X212" s="267"/>
      <c r="Y212" s="267"/>
    </row>
    <row r="213" ht="12.75" customHeight="1" spans="1:25">
      <c r="A213" s="266"/>
      <c r="B213" s="266"/>
      <c r="C213" s="266"/>
      <c r="D213" s="266"/>
      <c r="E213" s="266"/>
      <c r="F213" s="266"/>
      <c r="G213" s="266"/>
      <c r="H213" s="266"/>
      <c r="I213" s="266"/>
      <c r="J213" s="266"/>
      <c r="K213" s="266"/>
      <c r="L213" s="266"/>
      <c r="M213" s="266"/>
      <c r="N213" s="266"/>
      <c r="O213" s="266"/>
      <c r="P213" s="267"/>
      <c r="Q213" s="267"/>
      <c r="R213" s="267"/>
      <c r="S213" s="267"/>
      <c r="T213" s="267"/>
      <c r="U213" s="267"/>
      <c r="V213" s="267"/>
      <c r="W213" s="267"/>
      <c r="X213" s="267"/>
      <c r="Y213" s="267"/>
    </row>
    <row r="214" ht="12.75" customHeight="1" spans="1:25">
      <c r="A214" s="266"/>
      <c r="B214" s="266"/>
      <c r="C214" s="266"/>
      <c r="D214" s="266"/>
      <c r="E214" s="266"/>
      <c r="F214" s="266"/>
      <c r="G214" s="266"/>
      <c r="H214" s="266"/>
      <c r="I214" s="266"/>
      <c r="J214" s="266"/>
      <c r="K214" s="266"/>
      <c r="L214" s="266"/>
      <c r="M214" s="266"/>
      <c r="N214" s="266"/>
      <c r="O214" s="266"/>
      <c r="P214" s="267"/>
      <c r="Q214" s="267"/>
      <c r="R214" s="267"/>
      <c r="S214" s="267"/>
      <c r="T214" s="267"/>
      <c r="U214" s="267"/>
      <c r="V214" s="267"/>
      <c r="W214" s="267"/>
      <c r="X214" s="267"/>
      <c r="Y214" s="267"/>
    </row>
    <row r="215" ht="12.75" customHeight="1" spans="1:25">
      <c r="A215" s="266"/>
      <c r="B215" s="266"/>
      <c r="C215" s="266"/>
      <c r="D215" s="266"/>
      <c r="E215" s="266"/>
      <c r="F215" s="266"/>
      <c r="G215" s="266"/>
      <c r="H215" s="266"/>
      <c r="I215" s="266"/>
      <c r="J215" s="266"/>
      <c r="K215" s="266"/>
      <c r="L215" s="266"/>
      <c r="M215" s="266"/>
      <c r="N215" s="266"/>
      <c r="O215" s="266"/>
      <c r="P215" s="267"/>
      <c r="Q215" s="267"/>
      <c r="R215" s="267"/>
      <c r="S215" s="267"/>
      <c r="T215" s="267"/>
      <c r="U215" s="267"/>
      <c r="V215" s="267"/>
      <c r="W215" s="267"/>
      <c r="X215" s="267"/>
      <c r="Y215" s="267"/>
    </row>
    <row r="216" ht="12.75" customHeight="1" spans="1:25">
      <c r="A216" s="266"/>
      <c r="B216" s="266"/>
      <c r="C216" s="266"/>
      <c r="D216" s="266"/>
      <c r="E216" s="266"/>
      <c r="F216" s="266"/>
      <c r="G216" s="266"/>
      <c r="H216" s="266"/>
      <c r="I216" s="266"/>
      <c r="J216" s="266"/>
      <c r="K216" s="266"/>
      <c r="L216" s="266"/>
      <c r="M216" s="266"/>
      <c r="N216" s="266"/>
      <c r="O216" s="266"/>
      <c r="P216" s="267"/>
      <c r="Q216" s="267"/>
      <c r="R216" s="267"/>
      <c r="S216" s="267"/>
      <c r="T216" s="267"/>
      <c r="U216" s="267"/>
      <c r="V216" s="267"/>
      <c r="W216" s="267"/>
      <c r="X216" s="267"/>
      <c r="Y216" s="267"/>
    </row>
    <row r="217" ht="12.75" customHeight="1" spans="1:25">
      <c r="A217" s="266"/>
      <c r="B217" s="266"/>
      <c r="C217" s="266"/>
      <c r="D217" s="266"/>
      <c r="E217" s="266"/>
      <c r="F217" s="266"/>
      <c r="G217" s="266"/>
      <c r="H217" s="266"/>
      <c r="I217" s="266"/>
      <c r="J217" s="266"/>
      <c r="K217" s="266"/>
      <c r="L217" s="266"/>
      <c r="M217" s="266"/>
      <c r="N217" s="266"/>
      <c r="O217" s="266"/>
      <c r="P217" s="267"/>
      <c r="Q217" s="267"/>
      <c r="R217" s="267"/>
      <c r="S217" s="267"/>
      <c r="T217" s="267"/>
      <c r="U217" s="267"/>
      <c r="V217" s="267"/>
      <c r="W217" s="267"/>
      <c r="X217" s="267"/>
      <c r="Y217" s="267"/>
    </row>
    <row r="218" ht="12.75" customHeight="1" spans="1:25">
      <c r="A218" s="266"/>
      <c r="B218" s="266"/>
      <c r="C218" s="266"/>
      <c r="D218" s="266"/>
      <c r="E218" s="266"/>
      <c r="F218" s="266"/>
      <c r="G218" s="266"/>
      <c r="H218" s="266"/>
      <c r="I218" s="266"/>
      <c r="J218" s="266"/>
      <c r="K218" s="266"/>
      <c r="L218" s="266"/>
      <c r="M218" s="266"/>
      <c r="N218" s="266"/>
      <c r="O218" s="266"/>
      <c r="P218" s="267"/>
      <c r="Q218" s="267"/>
      <c r="R218" s="267"/>
      <c r="S218" s="267"/>
      <c r="T218" s="267"/>
      <c r="U218" s="267"/>
      <c r="V218" s="267"/>
      <c r="W218" s="267"/>
      <c r="X218" s="267"/>
      <c r="Y218" s="267"/>
    </row>
    <row r="219" ht="12.75" customHeight="1" spans="1:25">
      <c r="A219" s="266"/>
      <c r="B219" s="266"/>
      <c r="C219" s="266"/>
      <c r="D219" s="266"/>
      <c r="E219" s="266"/>
      <c r="F219" s="266"/>
      <c r="G219" s="266"/>
      <c r="H219" s="266"/>
      <c r="I219" s="266"/>
      <c r="J219" s="266"/>
      <c r="K219" s="266"/>
      <c r="L219" s="266"/>
      <c r="M219" s="266"/>
      <c r="N219" s="266"/>
      <c r="O219" s="266"/>
      <c r="P219" s="267"/>
      <c r="Q219" s="267"/>
      <c r="R219" s="267"/>
      <c r="S219" s="267"/>
      <c r="T219" s="267"/>
      <c r="U219" s="267"/>
      <c r="V219" s="267"/>
      <c r="W219" s="267"/>
      <c r="X219" s="267"/>
      <c r="Y219" s="267"/>
    </row>
    <row r="220" ht="12.75" customHeight="1" spans="1:25">
      <c r="A220" s="266"/>
      <c r="B220" s="266"/>
      <c r="C220" s="266"/>
      <c r="D220" s="266"/>
      <c r="E220" s="266"/>
      <c r="F220" s="266"/>
      <c r="G220" s="266"/>
      <c r="H220" s="266"/>
      <c r="I220" s="266"/>
      <c r="J220" s="266"/>
      <c r="K220" s="266"/>
      <c r="L220" s="266"/>
      <c r="M220" s="266"/>
      <c r="N220" s="266"/>
      <c r="O220" s="266"/>
      <c r="P220" s="267"/>
      <c r="Q220" s="267"/>
      <c r="R220" s="267"/>
      <c r="S220" s="267"/>
      <c r="T220" s="267"/>
      <c r="U220" s="267"/>
      <c r="V220" s="267"/>
      <c r="W220" s="267"/>
      <c r="X220" s="267"/>
      <c r="Y220" s="267"/>
    </row>
    <row r="221" ht="12.75" customHeight="1" spans="1:25">
      <c r="A221" s="266"/>
      <c r="B221" s="266"/>
      <c r="C221" s="266"/>
      <c r="D221" s="266"/>
      <c r="E221" s="266"/>
      <c r="F221" s="266"/>
      <c r="G221" s="266"/>
      <c r="H221" s="266"/>
      <c r="I221" s="266"/>
      <c r="J221" s="266"/>
      <c r="K221" s="266"/>
      <c r="L221" s="266"/>
      <c r="M221" s="266"/>
      <c r="N221" s="266"/>
      <c r="O221" s="266"/>
      <c r="P221" s="267"/>
      <c r="Q221" s="267"/>
      <c r="R221" s="267"/>
      <c r="S221" s="267"/>
      <c r="T221" s="267"/>
      <c r="U221" s="267"/>
      <c r="V221" s="267"/>
      <c r="W221" s="267"/>
      <c r="X221" s="267"/>
      <c r="Y221" s="267"/>
    </row>
    <row r="222" ht="12.75" customHeight="1" spans="1:25">
      <c r="A222" s="266"/>
      <c r="B222" s="266"/>
      <c r="C222" s="266"/>
      <c r="D222" s="266"/>
      <c r="E222" s="266"/>
      <c r="F222" s="266"/>
      <c r="G222" s="266"/>
      <c r="H222" s="266"/>
      <c r="I222" s="266"/>
      <c r="J222" s="266"/>
      <c r="K222" s="266"/>
      <c r="L222" s="266"/>
      <c r="M222" s="266"/>
      <c r="N222" s="266"/>
      <c r="O222" s="266"/>
      <c r="P222" s="267"/>
      <c r="Q222" s="267"/>
      <c r="R222" s="267"/>
      <c r="S222" s="267"/>
      <c r="T222" s="267"/>
      <c r="U222" s="267"/>
      <c r="V222" s="267"/>
      <c r="W222" s="267"/>
      <c r="X222" s="267"/>
      <c r="Y222" s="267"/>
    </row>
    <row r="223" ht="12.75" customHeight="1" spans="1:25">
      <c r="A223" s="266"/>
      <c r="B223" s="266"/>
      <c r="C223" s="266"/>
      <c r="D223" s="266"/>
      <c r="E223" s="266"/>
      <c r="F223" s="266"/>
      <c r="G223" s="266"/>
      <c r="H223" s="266"/>
      <c r="I223" s="266"/>
      <c r="J223" s="266"/>
      <c r="K223" s="266"/>
      <c r="L223" s="266"/>
      <c r="M223" s="266"/>
      <c r="N223" s="266"/>
      <c r="O223" s="266"/>
      <c r="P223" s="267"/>
      <c r="Q223" s="267"/>
      <c r="R223" s="267"/>
      <c r="S223" s="267"/>
      <c r="T223" s="267"/>
      <c r="U223" s="267"/>
      <c r="V223" s="267"/>
      <c r="W223" s="267"/>
      <c r="X223" s="267"/>
      <c r="Y223" s="267"/>
    </row>
    <row r="224" ht="12.75" customHeight="1" spans="1:25">
      <c r="A224" s="266"/>
      <c r="B224" s="266"/>
      <c r="C224" s="266"/>
      <c r="D224" s="266"/>
      <c r="E224" s="266"/>
      <c r="F224" s="266"/>
      <c r="G224" s="266"/>
      <c r="H224" s="266"/>
      <c r="I224" s="266"/>
      <c r="J224" s="266"/>
      <c r="K224" s="266"/>
      <c r="L224" s="266"/>
      <c r="M224" s="266"/>
      <c r="N224" s="266"/>
      <c r="O224" s="266"/>
      <c r="P224" s="267"/>
      <c r="Q224" s="267"/>
      <c r="R224" s="267"/>
      <c r="S224" s="267"/>
      <c r="T224" s="267"/>
      <c r="U224" s="267"/>
      <c r="V224" s="267"/>
      <c r="W224" s="267"/>
      <c r="X224" s="267"/>
      <c r="Y224" s="267"/>
    </row>
    <row r="225" ht="12.75" customHeight="1" spans="1:25">
      <c r="A225" s="266"/>
      <c r="B225" s="266"/>
      <c r="C225" s="266"/>
      <c r="D225" s="266"/>
      <c r="E225" s="266"/>
      <c r="F225" s="266"/>
      <c r="G225" s="266"/>
      <c r="H225" s="266"/>
      <c r="I225" s="266"/>
      <c r="J225" s="266"/>
      <c r="K225" s="266"/>
      <c r="L225" s="266"/>
      <c r="M225" s="266"/>
      <c r="N225" s="266"/>
      <c r="O225" s="266"/>
      <c r="P225" s="267"/>
      <c r="Q225" s="267"/>
      <c r="R225" s="267"/>
      <c r="S225" s="267"/>
      <c r="T225" s="267"/>
      <c r="U225" s="267"/>
      <c r="V225" s="267"/>
      <c r="W225" s="267"/>
      <c r="X225" s="267"/>
      <c r="Y225" s="267"/>
    </row>
    <row r="226" ht="12.75" customHeight="1" spans="1:25">
      <c r="A226" s="266"/>
      <c r="B226" s="266"/>
      <c r="C226" s="266"/>
      <c r="D226" s="266"/>
      <c r="E226" s="266"/>
      <c r="F226" s="266"/>
      <c r="G226" s="266"/>
      <c r="H226" s="266"/>
      <c r="I226" s="266"/>
      <c r="J226" s="266"/>
      <c r="K226" s="266"/>
      <c r="L226" s="266"/>
      <c r="M226" s="266"/>
      <c r="N226" s="266"/>
      <c r="O226" s="266"/>
      <c r="P226" s="267"/>
      <c r="Q226" s="267"/>
      <c r="R226" s="267"/>
      <c r="S226" s="267"/>
      <c r="T226" s="267"/>
      <c r="U226" s="267"/>
      <c r="V226" s="267"/>
      <c r="W226" s="267"/>
      <c r="X226" s="267"/>
      <c r="Y226" s="267"/>
    </row>
    <row r="227" ht="12.75" customHeight="1" spans="1:25">
      <c r="A227" s="266"/>
      <c r="B227" s="266"/>
      <c r="C227" s="266"/>
      <c r="D227" s="266"/>
      <c r="E227" s="266"/>
      <c r="F227" s="266"/>
      <c r="G227" s="266"/>
      <c r="H227" s="266"/>
      <c r="I227" s="266"/>
      <c r="J227" s="266"/>
      <c r="K227" s="266"/>
      <c r="L227" s="266"/>
      <c r="M227" s="266"/>
      <c r="N227" s="266"/>
      <c r="O227" s="266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</row>
    <row r="228" ht="12.75" customHeight="1" spans="1:25">
      <c r="A228" s="266"/>
      <c r="B228" s="266"/>
      <c r="C228" s="266"/>
      <c r="D228" s="266"/>
      <c r="E228" s="266"/>
      <c r="F228" s="266"/>
      <c r="G228" s="266"/>
      <c r="H228" s="266"/>
      <c r="I228" s="266"/>
      <c r="J228" s="266"/>
      <c r="K228" s="266"/>
      <c r="L228" s="266"/>
      <c r="M228" s="266"/>
      <c r="N228" s="266"/>
      <c r="O228" s="266"/>
      <c r="P228" s="267"/>
      <c r="Q228" s="267"/>
      <c r="R228" s="267"/>
      <c r="S228" s="267"/>
      <c r="T228" s="267"/>
      <c r="U228" s="267"/>
      <c r="V228" s="267"/>
      <c r="W228" s="267"/>
      <c r="X228" s="267"/>
      <c r="Y228" s="267"/>
    </row>
    <row r="229" ht="12.75" customHeight="1" spans="1:25">
      <c r="A229" s="266"/>
      <c r="B229" s="266"/>
      <c r="C229" s="266"/>
      <c r="D229" s="266"/>
      <c r="E229" s="266"/>
      <c r="F229" s="266"/>
      <c r="G229" s="266"/>
      <c r="H229" s="266"/>
      <c r="I229" s="266"/>
      <c r="J229" s="266"/>
      <c r="K229" s="266"/>
      <c r="L229" s="266"/>
      <c r="M229" s="266"/>
      <c r="N229" s="266"/>
      <c r="O229" s="266"/>
      <c r="P229" s="267"/>
      <c r="Q229" s="267"/>
      <c r="R229" s="267"/>
      <c r="S229" s="267"/>
      <c r="T229" s="267"/>
      <c r="U229" s="267"/>
      <c r="V229" s="267"/>
      <c r="W229" s="267"/>
      <c r="X229" s="267"/>
      <c r="Y229" s="267"/>
    </row>
    <row r="230" ht="12.75" customHeight="1" spans="1:25">
      <c r="A230" s="266"/>
      <c r="B230" s="266"/>
      <c r="C230" s="266"/>
      <c r="D230" s="266"/>
      <c r="E230" s="266"/>
      <c r="F230" s="266"/>
      <c r="G230" s="266"/>
      <c r="H230" s="266"/>
      <c r="I230" s="266"/>
      <c r="J230" s="266"/>
      <c r="K230" s="266"/>
      <c r="L230" s="266"/>
      <c r="M230" s="266"/>
      <c r="N230" s="266"/>
      <c r="O230" s="266"/>
      <c r="P230" s="267"/>
      <c r="Q230" s="267"/>
      <c r="R230" s="267"/>
      <c r="S230" s="267"/>
      <c r="T230" s="267"/>
      <c r="U230" s="267"/>
      <c r="V230" s="267"/>
      <c r="W230" s="267"/>
      <c r="X230" s="267"/>
      <c r="Y230" s="267"/>
    </row>
    <row r="231" ht="12.75" customHeight="1" spans="1:25">
      <c r="A231" s="266"/>
      <c r="B231" s="266"/>
      <c r="C231" s="266"/>
      <c r="D231" s="266"/>
      <c r="E231" s="266"/>
      <c r="F231" s="266"/>
      <c r="G231" s="266"/>
      <c r="H231" s="266"/>
      <c r="I231" s="266"/>
      <c r="J231" s="266"/>
      <c r="K231" s="266"/>
      <c r="L231" s="266"/>
      <c r="M231" s="266"/>
      <c r="N231" s="266"/>
      <c r="O231" s="266"/>
      <c r="P231" s="267"/>
      <c r="Q231" s="267"/>
      <c r="R231" s="267"/>
      <c r="S231" s="267"/>
      <c r="T231" s="267"/>
      <c r="U231" s="267"/>
      <c r="V231" s="267"/>
      <c r="W231" s="267"/>
      <c r="X231" s="267"/>
      <c r="Y231" s="267"/>
    </row>
    <row r="232" ht="12.75" customHeight="1" spans="1:25">
      <c r="A232" s="266"/>
      <c r="B232" s="266"/>
      <c r="C232" s="266"/>
      <c r="D232" s="266"/>
      <c r="E232" s="266"/>
      <c r="F232" s="266"/>
      <c r="G232" s="266"/>
      <c r="H232" s="266"/>
      <c r="I232" s="266"/>
      <c r="J232" s="266"/>
      <c r="K232" s="266"/>
      <c r="L232" s="266"/>
      <c r="M232" s="266"/>
      <c r="N232" s="266"/>
      <c r="O232" s="266"/>
      <c r="P232" s="267"/>
      <c r="Q232" s="267"/>
      <c r="R232" s="267"/>
      <c r="S232" s="267"/>
      <c r="T232" s="267"/>
      <c r="U232" s="267"/>
      <c r="V232" s="267"/>
      <c r="W232" s="267"/>
      <c r="X232" s="267"/>
      <c r="Y232" s="267"/>
    </row>
    <row r="233" ht="12.75" customHeight="1" spans="1:25">
      <c r="A233" s="266"/>
      <c r="B233" s="266"/>
      <c r="C233" s="266"/>
      <c r="D233" s="266"/>
      <c r="E233" s="266"/>
      <c r="F233" s="266"/>
      <c r="G233" s="266"/>
      <c r="H233" s="266"/>
      <c r="I233" s="266"/>
      <c r="J233" s="266"/>
      <c r="K233" s="266"/>
      <c r="L233" s="266"/>
      <c r="M233" s="266"/>
      <c r="N233" s="266"/>
      <c r="O233" s="266"/>
      <c r="P233" s="267"/>
      <c r="Q233" s="267"/>
      <c r="R233" s="267"/>
      <c r="S233" s="267"/>
      <c r="T233" s="267"/>
      <c r="U233" s="267"/>
      <c r="V233" s="267"/>
      <c r="W233" s="267"/>
      <c r="X233" s="267"/>
      <c r="Y233" s="267"/>
    </row>
    <row r="234" ht="12.75" customHeight="1" spans="1:25">
      <c r="A234" s="266"/>
      <c r="B234" s="266"/>
      <c r="C234" s="266"/>
      <c r="D234" s="266"/>
      <c r="E234" s="266"/>
      <c r="F234" s="266"/>
      <c r="G234" s="266"/>
      <c r="H234" s="266"/>
      <c r="I234" s="266"/>
      <c r="J234" s="266"/>
      <c r="K234" s="266"/>
      <c r="L234" s="266"/>
      <c r="M234" s="266"/>
      <c r="N234" s="266"/>
      <c r="O234" s="266"/>
      <c r="P234" s="267"/>
      <c r="Q234" s="267"/>
      <c r="R234" s="267"/>
      <c r="S234" s="267"/>
      <c r="T234" s="267"/>
      <c r="U234" s="267"/>
      <c r="V234" s="267"/>
      <c r="W234" s="267"/>
      <c r="X234" s="267"/>
      <c r="Y234" s="267"/>
    </row>
    <row r="235" ht="12.75" customHeight="1" spans="1:25">
      <c r="A235" s="266"/>
      <c r="B235" s="266"/>
      <c r="C235" s="266"/>
      <c r="D235" s="266"/>
      <c r="E235" s="266"/>
      <c r="F235" s="266"/>
      <c r="G235" s="266"/>
      <c r="H235" s="266"/>
      <c r="I235" s="266"/>
      <c r="J235" s="266"/>
      <c r="K235" s="266"/>
      <c r="L235" s="266"/>
      <c r="M235" s="266"/>
      <c r="N235" s="266"/>
      <c r="O235" s="266"/>
      <c r="P235" s="267"/>
      <c r="Q235" s="267"/>
      <c r="R235" s="267"/>
      <c r="S235" s="267"/>
      <c r="T235" s="267"/>
      <c r="U235" s="267"/>
      <c r="V235" s="267"/>
      <c r="W235" s="267"/>
      <c r="X235" s="267"/>
      <c r="Y235" s="267"/>
    </row>
    <row r="236" ht="12.75" customHeight="1" spans="1:25">
      <c r="A236" s="266"/>
      <c r="B236" s="266"/>
      <c r="C236" s="266"/>
      <c r="D236" s="266"/>
      <c r="E236" s="266"/>
      <c r="F236" s="266"/>
      <c r="G236" s="266"/>
      <c r="H236" s="266"/>
      <c r="I236" s="266"/>
      <c r="J236" s="266"/>
      <c r="K236" s="266"/>
      <c r="L236" s="266"/>
      <c r="M236" s="266"/>
      <c r="N236" s="266"/>
      <c r="O236" s="266"/>
      <c r="P236" s="267"/>
      <c r="Q236" s="267"/>
      <c r="R236" s="267"/>
      <c r="S236" s="267"/>
      <c r="T236" s="267"/>
      <c r="U236" s="267"/>
      <c r="V236" s="267"/>
      <c r="W236" s="267"/>
      <c r="X236" s="267"/>
      <c r="Y236" s="267"/>
    </row>
    <row r="237" ht="12.75" customHeight="1" spans="1:25">
      <c r="A237" s="266"/>
      <c r="B237" s="266"/>
      <c r="C237" s="266"/>
      <c r="D237" s="266"/>
      <c r="E237" s="266"/>
      <c r="F237" s="266"/>
      <c r="G237" s="266"/>
      <c r="H237" s="266"/>
      <c r="I237" s="266"/>
      <c r="J237" s="266"/>
      <c r="K237" s="266"/>
      <c r="L237" s="266"/>
      <c r="M237" s="266"/>
      <c r="N237" s="266"/>
      <c r="O237" s="266"/>
      <c r="P237" s="267"/>
      <c r="Q237" s="267"/>
      <c r="R237" s="267"/>
      <c r="S237" s="267"/>
      <c r="T237" s="267"/>
      <c r="U237" s="267"/>
      <c r="V237" s="267"/>
      <c r="W237" s="267"/>
      <c r="X237" s="267"/>
      <c r="Y237" s="267"/>
    </row>
    <row r="238" ht="12.75" customHeight="1" spans="1:25">
      <c r="A238" s="266"/>
      <c r="B238" s="266"/>
      <c r="C238" s="266"/>
      <c r="D238" s="266"/>
      <c r="E238" s="266"/>
      <c r="F238" s="266"/>
      <c r="G238" s="266"/>
      <c r="H238" s="266"/>
      <c r="I238" s="266"/>
      <c r="J238" s="266"/>
      <c r="K238" s="266"/>
      <c r="L238" s="266"/>
      <c r="M238" s="266"/>
      <c r="N238" s="266"/>
      <c r="O238" s="266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</row>
    <row r="239" ht="12.75" customHeight="1" spans="1:25">
      <c r="A239" s="266"/>
      <c r="B239" s="266"/>
      <c r="C239" s="266"/>
      <c r="D239" s="266"/>
      <c r="E239" s="266"/>
      <c r="F239" s="266"/>
      <c r="G239" s="266"/>
      <c r="H239" s="266"/>
      <c r="I239" s="266"/>
      <c r="J239" s="266"/>
      <c r="K239" s="266"/>
      <c r="L239" s="266"/>
      <c r="M239" s="266"/>
      <c r="N239" s="266"/>
      <c r="O239" s="266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</row>
    <row r="240" ht="12.75" customHeight="1" spans="1:25">
      <c r="A240" s="266"/>
      <c r="B240" s="266"/>
      <c r="C240" s="266"/>
      <c r="D240" s="266"/>
      <c r="E240" s="266"/>
      <c r="F240" s="266"/>
      <c r="G240" s="266"/>
      <c r="H240" s="266"/>
      <c r="I240" s="266"/>
      <c r="J240" s="266"/>
      <c r="K240" s="266"/>
      <c r="L240" s="266"/>
      <c r="M240" s="266"/>
      <c r="N240" s="266"/>
      <c r="O240" s="266"/>
      <c r="P240" s="267"/>
      <c r="Q240" s="267"/>
      <c r="R240" s="267"/>
      <c r="S240" s="267"/>
      <c r="T240" s="267"/>
      <c r="U240" s="267"/>
      <c r="V240" s="267"/>
      <c r="W240" s="267"/>
      <c r="X240" s="267"/>
      <c r="Y240" s="267"/>
    </row>
    <row r="241" ht="12.75" customHeight="1" spans="1:25">
      <c r="A241" s="266"/>
      <c r="B241" s="266"/>
      <c r="C241" s="266"/>
      <c r="D241" s="266"/>
      <c r="E241" s="266"/>
      <c r="F241" s="266"/>
      <c r="G241" s="266"/>
      <c r="H241" s="266"/>
      <c r="I241" s="266"/>
      <c r="J241" s="266"/>
      <c r="K241" s="266"/>
      <c r="L241" s="266"/>
      <c r="M241" s="266"/>
      <c r="N241" s="266"/>
      <c r="O241" s="266"/>
      <c r="P241" s="267"/>
      <c r="Q241" s="267"/>
      <c r="R241" s="267"/>
      <c r="S241" s="267"/>
      <c r="T241" s="267"/>
      <c r="U241" s="267"/>
      <c r="V241" s="267"/>
      <c r="W241" s="267"/>
      <c r="X241" s="267"/>
      <c r="Y241" s="267"/>
    </row>
    <row r="242" ht="12.75" customHeight="1" spans="1:25">
      <c r="A242" s="266"/>
      <c r="B242" s="266"/>
      <c r="C242" s="266"/>
      <c r="D242" s="266"/>
      <c r="E242" s="266"/>
      <c r="F242" s="266"/>
      <c r="G242" s="266"/>
      <c r="H242" s="266"/>
      <c r="I242" s="266"/>
      <c r="J242" s="266"/>
      <c r="K242" s="266"/>
      <c r="L242" s="266"/>
      <c r="M242" s="266"/>
      <c r="N242" s="266"/>
      <c r="O242" s="266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</row>
    <row r="243" ht="12.75" customHeight="1" spans="1:25">
      <c r="A243" s="266"/>
      <c r="B243" s="266"/>
      <c r="C243" s="266"/>
      <c r="D243" s="266"/>
      <c r="E243" s="266"/>
      <c r="F243" s="266"/>
      <c r="G243" s="266"/>
      <c r="H243" s="266"/>
      <c r="I243" s="266"/>
      <c r="J243" s="266"/>
      <c r="K243" s="266"/>
      <c r="L243" s="266"/>
      <c r="M243" s="266"/>
      <c r="N243" s="266"/>
      <c r="O243" s="266"/>
      <c r="P243" s="267"/>
      <c r="Q243" s="267"/>
      <c r="R243" s="267"/>
      <c r="S243" s="267"/>
      <c r="T243" s="267"/>
      <c r="U243" s="267"/>
      <c r="V243" s="267"/>
      <c r="W243" s="267"/>
      <c r="X243" s="267"/>
      <c r="Y243" s="267"/>
    </row>
    <row r="244" ht="12.75" customHeight="1" spans="1:25">
      <c r="A244" s="266"/>
      <c r="B244" s="266"/>
      <c r="C244" s="266"/>
      <c r="D244" s="266"/>
      <c r="E244" s="266"/>
      <c r="F244" s="266"/>
      <c r="G244" s="266"/>
      <c r="H244" s="266"/>
      <c r="I244" s="266"/>
      <c r="J244" s="266"/>
      <c r="K244" s="266"/>
      <c r="L244" s="266"/>
      <c r="M244" s="266"/>
      <c r="N244" s="266"/>
      <c r="O244" s="266"/>
      <c r="P244" s="267"/>
      <c r="Q244" s="267"/>
      <c r="R244" s="267"/>
      <c r="S244" s="267"/>
      <c r="T244" s="267"/>
      <c r="U244" s="267"/>
      <c r="V244" s="267"/>
      <c r="W244" s="267"/>
      <c r="X244" s="267"/>
      <c r="Y244" s="267"/>
    </row>
    <row r="245" ht="12.75" customHeight="1" spans="1:25">
      <c r="A245" s="266"/>
      <c r="B245" s="266"/>
      <c r="C245" s="266"/>
      <c r="D245" s="266"/>
      <c r="E245" s="266"/>
      <c r="F245" s="266"/>
      <c r="G245" s="266"/>
      <c r="H245" s="266"/>
      <c r="I245" s="266"/>
      <c r="J245" s="266"/>
      <c r="K245" s="266"/>
      <c r="L245" s="266"/>
      <c r="M245" s="266"/>
      <c r="N245" s="266"/>
      <c r="O245" s="266"/>
      <c r="P245" s="267"/>
      <c r="Q245" s="267"/>
      <c r="R245" s="267"/>
      <c r="S245" s="267"/>
      <c r="T245" s="267"/>
      <c r="U245" s="267"/>
      <c r="V245" s="267"/>
      <c r="W245" s="267"/>
      <c r="X245" s="267"/>
      <c r="Y245" s="267"/>
    </row>
    <row r="246" ht="12.75" customHeight="1" spans="1:25">
      <c r="A246" s="266"/>
      <c r="B246" s="266"/>
      <c r="C246" s="266"/>
      <c r="D246" s="266"/>
      <c r="E246" s="266"/>
      <c r="F246" s="266"/>
      <c r="G246" s="266"/>
      <c r="H246" s="266"/>
      <c r="I246" s="266"/>
      <c r="J246" s="266"/>
      <c r="K246" s="266"/>
      <c r="L246" s="266"/>
      <c r="M246" s="266"/>
      <c r="N246" s="266"/>
      <c r="O246" s="266"/>
      <c r="P246" s="267"/>
      <c r="Q246" s="267"/>
      <c r="R246" s="267"/>
      <c r="S246" s="267"/>
      <c r="T246" s="267"/>
      <c r="U246" s="267"/>
      <c r="V246" s="267"/>
      <c r="W246" s="267"/>
      <c r="X246" s="267"/>
      <c r="Y246" s="267"/>
    </row>
    <row r="247" ht="12.75" customHeight="1" spans="1:25">
      <c r="A247" s="266"/>
      <c r="B247" s="266"/>
      <c r="C247" s="266"/>
      <c r="D247" s="266"/>
      <c r="E247" s="266"/>
      <c r="F247" s="266"/>
      <c r="G247" s="266"/>
      <c r="H247" s="266"/>
      <c r="I247" s="266"/>
      <c r="J247" s="266"/>
      <c r="K247" s="266"/>
      <c r="L247" s="266"/>
      <c r="M247" s="266"/>
      <c r="N247" s="266"/>
      <c r="O247" s="266"/>
      <c r="P247" s="267"/>
      <c r="Q247" s="267"/>
      <c r="R247" s="267"/>
      <c r="S247" s="267"/>
      <c r="T247" s="267"/>
      <c r="U247" s="267"/>
      <c r="V247" s="267"/>
      <c r="W247" s="267"/>
      <c r="X247" s="267"/>
      <c r="Y247" s="267"/>
    </row>
    <row r="248" ht="12.75" customHeight="1" spans="1:25">
      <c r="A248" s="266"/>
      <c r="B248" s="266"/>
      <c r="C248" s="266"/>
      <c r="D248" s="266"/>
      <c r="E248" s="266"/>
      <c r="F248" s="266"/>
      <c r="G248" s="266"/>
      <c r="H248" s="266"/>
      <c r="I248" s="266"/>
      <c r="J248" s="266"/>
      <c r="K248" s="266"/>
      <c r="L248" s="266"/>
      <c r="M248" s="266"/>
      <c r="N248" s="266"/>
      <c r="O248" s="266"/>
      <c r="P248" s="267"/>
      <c r="Q248" s="267"/>
      <c r="R248" s="267"/>
      <c r="S248" s="267"/>
      <c r="T248" s="267"/>
      <c r="U248" s="267"/>
      <c r="V248" s="267"/>
      <c r="W248" s="267"/>
      <c r="X248" s="267"/>
      <c r="Y248" s="267"/>
    </row>
    <row r="249" ht="12.75" customHeight="1" spans="1:25">
      <c r="A249" s="266"/>
      <c r="B249" s="266"/>
      <c r="C249" s="266"/>
      <c r="D249" s="266"/>
      <c r="E249" s="266"/>
      <c r="F249" s="266"/>
      <c r="G249" s="266"/>
      <c r="H249" s="266"/>
      <c r="I249" s="266"/>
      <c r="J249" s="266"/>
      <c r="K249" s="266"/>
      <c r="L249" s="266"/>
      <c r="M249" s="266"/>
      <c r="N249" s="266"/>
      <c r="O249" s="266"/>
      <c r="P249" s="267"/>
      <c r="Q249" s="267"/>
      <c r="R249" s="267"/>
      <c r="S249" s="267"/>
      <c r="T249" s="267"/>
      <c r="U249" s="267"/>
      <c r="V249" s="267"/>
      <c r="W249" s="267"/>
      <c r="X249" s="267"/>
      <c r="Y249" s="267"/>
    </row>
    <row r="250" ht="12.75" customHeight="1" spans="1:25">
      <c r="A250" s="266"/>
      <c r="B250" s="266"/>
      <c r="C250" s="266"/>
      <c r="D250" s="266"/>
      <c r="E250" s="266"/>
      <c r="F250" s="266"/>
      <c r="G250" s="266"/>
      <c r="H250" s="266"/>
      <c r="I250" s="266"/>
      <c r="J250" s="266"/>
      <c r="K250" s="266"/>
      <c r="L250" s="266"/>
      <c r="M250" s="266"/>
      <c r="N250" s="266"/>
      <c r="O250" s="266"/>
      <c r="P250" s="267"/>
      <c r="Q250" s="267"/>
      <c r="R250" s="267"/>
      <c r="S250" s="267"/>
      <c r="T250" s="267"/>
      <c r="U250" s="267"/>
      <c r="V250" s="267"/>
      <c r="W250" s="267"/>
      <c r="X250" s="267"/>
      <c r="Y250" s="267"/>
    </row>
    <row r="251" ht="12.75" customHeight="1" spans="1:25">
      <c r="A251" s="266"/>
      <c r="B251" s="266"/>
      <c r="C251" s="266"/>
      <c r="D251" s="266"/>
      <c r="E251" s="266"/>
      <c r="F251" s="266"/>
      <c r="G251" s="266"/>
      <c r="H251" s="266"/>
      <c r="I251" s="266"/>
      <c r="J251" s="266"/>
      <c r="K251" s="266"/>
      <c r="L251" s="266"/>
      <c r="M251" s="266"/>
      <c r="N251" s="266"/>
      <c r="O251" s="266"/>
      <c r="P251" s="267"/>
      <c r="Q251" s="267"/>
      <c r="R251" s="267"/>
      <c r="S251" s="267"/>
      <c r="T251" s="267"/>
      <c r="U251" s="267"/>
      <c r="V251" s="267"/>
      <c r="W251" s="267"/>
      <c r="X251" s="267"/>
      <c r="Y251" s="267"/>
    </row>
    <row r="252" ht="12.75" customHeight="1" spans="1:25">
      <c r="A252" s="266"/>
      <c r="B252" s="266"/>
      <c r="C252" s="266"/>
      <c r="D252" s="266"/>
      <c r="E252" s="266"/>
      <c r="F252" s="266"/>
      <c r="G252" s="266"/>
      <c r="H252" s="266"/>
      <c r="I252" s="266"/>
      <c r="J252" s="266"/>
      <c r="K252" s="266"/>
      <c r="L252" s="266"/>
      <c r="M252" s="266"/>
      <c r="N252" s="266"/>
      <c r="O252" s="266"/>
      <c r="P252" s="267"/>
      <c r="Q252" s="267"/>
      <c r="R252" s="267"/>
      <c r="S252" s="267"/>
      <c r="T252" s="267"/>
      <c r="U252" s="267"/>
      <c r="V252" s="267"/>
      <c r="W252" s="267"/>
      <c r="X252" s="267"/>
      <c r="Y252" s="267"/>
    </row>
    <row r="253" ht="12.75" customHeight="1" spans="1:25">
      <c r="A253" s="266"/>
      <c r="B253" s="266"/>
      <c r="C253" s="266"/>
      <c r="D253" s="266"/>
      <c r="E253" s="266"/>
      <c r="F253" s="266"/>
      <c r="G253" s="266"/>
      <c r="H253" s="266"/>
      <c r="I253" s="266"/>
      <c r="J253" s="266"/>
      <c r="K253" s="266"/>
      <c r="L253" s="266"/>
      <c r="M253" s="266"/>
      <c r="N253" s="266"/>
      <c r="O253" s="266"/>
      <c r="P253" s="267"/>
      <c r="Q253" s="267"/>
      <c r="R253" s="267"/>
      <c r="S253" s="267"/>
      <c r="T253" s="267"/>
      <c r="U253" s="267"/>
      <c r="V253" s="267"/>
      <c r="W253" s="267"/>
      <c r="X253" s="267"/>
      <c r="Y253" s="267"/>
    </row>
    <row r="254" ht="12.75" customHeight="1" spans="1:25">
      <c r="A254" s="266"/>
      <c r="B254" s="266"/>
      <c r="C254" s="266"/>
      <c r="D254" s="266"/>
      <c r="E254" s="266"/>
      <c r="F254" s="266"/>
      <c r="G254" s="266"/>
      <c r="H254" s="266"/>
      <c r="I254" s="266"/>
      <c r="J254" s="266"/>
      <c r="K254" s="266"/>
      <c r="L254" s="266"/>
      <c r="M254" s="266"/>
      <c r="N254" s="266"/>
      <c r="O254" s="266"/>
      <c r="P254" s="267"/>
      <c r="Q254" s="267"/>
      <c r="R254" s="267"/>
      <c r="S254" s="267"/>
      <c r="T254" s="267"/>
      <c r="U254" s="267"/>
      <c r="V254" s="267"/>
      <c r="W254" s="267"/>
      <c r="X254" s="267"/>
      <c r="Y254" s="267"/>
    </row>
    <row r="255" ht="12.75" customHeight="1" spans="1:25">
      <c r="A255" s="266"/>
      <c r="B255" s="266"/>
      <c r="C255" s="266"/>
      <c r="D255" s="266"/>
      <c r="E255" s="266"/>
      <c r="F255" s="266"/>
      <c r="G255" s="266"/>
      <c r="H255" s="266"/>
      <c r="I255" s="266"/>
      <c r="J255" s="266"/>
      <c r="K255" s="266"/>
      <c r="L255" s="266"/>
      <c r="M255" s="266"/>
      <c r="N255" s="266"/>
      <c r="O255" s="266"/>
      <c r="P255" s="267"/>
      <c r="Q255" s="267"/>
      <c r="R255" s="267"/>
      <c r="S255" s="267"/>
      <c r="T255" s="267"/>
      <c r="U255" s="267"/>
      <c r="V255" s="267"/>
      <c r="W255" s="267"/>
      <c r="X255" s="267"/>
      <c r="Y255" s="267"/>
    </row>
    <row r="256" ht="12.75" customHeight="1" spans="1:25">
      <c r="A256" s="266"/>
      <c r="B256" s="266"/>
      <c r="C256" s="266"/>
      <c r="D256" s="266"/>
      <c r="E256" s="266"/>
      <c r="F256" s="266"/>
      <c r="G256" s="266"/>
      <c r="H256" s="266"/>
      <c r="I256" s="266"/>
      <c r="J256" s="266"/>
      <c r="K256" s="266"/>
      <c r="L256" s="266"/>
      <c r="M256" s="266"/>
      <c r="N256" s="266"/>
      <c r="O256" s="266"/>
      <c r="P256" s="267"/>
      <c r="Q256" s="267"/>
      <c r="R256" s="267"/>
      <c r="S256" s="267"/>
      <c r="T256" s="267"/>
      <c r="U256" s="267"/>
      <c r="V256" s="267"/>
      <c r="W256" s="267"/>
      <c r="X256" s="267"/>
      <c r="Y256" s="267"/>
    </row>
    <row r="257" ht="12.75" customHeight="1" spans="1:25">
      <c r="A257" s="266"/>
      <c r="B257" s="266"/>
      <c r="C257" s="266"/>
      <c r="D257" s="266"/>
      <c r="E257" s="266"/>
      <c r="F257" s="266"/>
      <c r="G257" s="266"/>
      <c r="H257" s="266"/>
      <c r="I257" s="266"/>
      <c r="J257" s="266"/>
      <c r="K257" s="266"/>
      <c r="L257" s="266"/>
      <c r="M257" s="266"/>
      <c r="N257" s="266"/>
      <c r="O257" s="266"/>
      <c r="P257" s="267"/>
      <c r="Q257" s="267"/>
      <c r="R257" s="267"/>
      <c r="S257" s="267"/>
      <c r="T257" s="267"/>
      <c r="U257" s="267"/>
      <c r="V257" s="267"/>
      <c r="W257" s="267"/>
      <c r="X257" s="267"/>
      <c r="Y257" s="267"/>
    </row>
    <row r="258" ht="12.75" customHeight="1" spans="1:25">
      <c r="A258" s="266"/>
      <c r="B258" s="266"/>
      <c r="C258" s="266"/>
      <c r="D258" s="266"/>
      <c r="E258" s="266"/>
      <c r="F258" s="266"/>
      <c r="G258" s="266"/>
      <c r="H258" s="266"/>
      <c r="I258" s="266"/>
      <c r="J258" s="266"/>
      <c r="K258" s="266"/>
      <c r="L258" s="266"/>
      <c r="M258" s="266"/>
      <c r="N258" s="266"/>
      <c r="O258" s="266"/>
      <c r="P258" s="267"/>
      <c r="Q258" s="267"/>
      <c r="R258" s="267"/>
      <c r="S258" s="267"/>
      <c r="T258" s="267"/>
      <c r="U258" s="267"/>
      <c r="V258" s="267"/>
      <c r="W258" s="267"/>
      <c r="X258" s="267"/>
      <c r="Y258" s="267"/>
    </row>
    <row r="259" ht="12.75" customHeight="1" spans="1:25">
      <c r="A259" s="266"/>
      <c r="B259" s="266"/>
      <c r="C259" s="266"/>
      <c r="D259" s="266"/>
      <c r="E259" s="266"/>
      <c r="F259" s="266"/>
      <c r="G259" s="266"/>
      <c r="H259" s="266"/>
      <c r="I259" s="266"/>
      <c r="J259" s="266"/>
      <c r="K259" s="266"/>
      <c r="L259" s="266"/>
      <c r="M259" s="266"/>
      <c r="N259" s="266"/>
      <c r="O259" s="266"/>
      <c r="P259" s="267"/>
      <c r="Q259" s="267"/>
      <c r="R259" s="267"/>
      <c r="S259" s="267"/>
      <c r="T259" s="267"/>
      <c r="U259" s="267"/>
      <c r="V259" s="267"/>
      <c r="W259" s="267"/>
      <c r="X259" s="267"/>
      <c r="Y259" s="267"/>
    </row>
    <row r="260" ht="12.75" customHeight="1" spans="1:25">
      <c r="A260" s="266"/>
      <c r="B260" s="266"/>
      <c r="C260" s="266"/>
      <c r="D260" s="266"/>
      <c r="E260" s="266"/>
      <c r="F260" s="266"/>
      <c r="G260" s="266"/>
      <c r="H260" s="266"/>
      <c r="I260" s="266"/>
      <c r="J260" s="266"/>
      <c r="K260" s="266"/>
      <c r="L260" s="266"/>
      <c r="M260" s="266"/>
      <c r="N260" s="266"/>
      <c r="O260" s="266"/>
      <c r="P260" s="267"/>
      <c r="Q260" s="267"/>
      <c r="R260" s="267"/>
      <c r="S260" s="267"/>
      <c r="T260" s="267"/>
      <c r="U260" s="267"/>
      <c r="V260" s="267"/>
      <c r="W260" s="267"/>
      <c r="X260" s="267"/>
      <c r="Y260" s="267"/>
    </row>
    <row r="261" ht="12.75" customHeight="1" spans="1:25">
      <c r="A261" s="266"/>
      <c r="B261" s="266"/>
      <c r="C261" s="266"/>
      <c r="D261" s="266"/>
      <c r="E261" s="266"/>
      <c r="F261" s="266"/>
      <c r="G261" s="266"/>
      <c r="H261" s="266"/>
      <c r="I261" s="266"/>
      <c r="J261" s="266"/>
      <c r="K261" s="266"/>
      <c r="L261" s="266"/>
      <c r="M261" s="266"/>
      <c r="N261" s="266"/>
      <c r="O261" s="266"/>
      <c r="P261" s="267"/>
      <c r="Q261" s="267"/>
      <c r="R261" s="267"/>
      <c r="S261" s="267"/>
      <c r="T261" s="267"/>
      <c r="U261" s="267"/>
      <c r="V261" s="267"/>
      <c r="W261" s="267"/>
      <c r="X261" s="267"/>
      <c r="Y261" s="267"/>
    </row>
    <row r="262" ht="12.75" customHeight="1" spans="1:25">
      <c r="A262" s="266"/>
      <c r="B262" s="266"/>
      <c r="C262" s="266"/>
      <c r="D262" s="266"/>
      <c r="E262" s="266"/>
      <c r="F262" s="266"/>
      <c r="G262" s="266"/>
      <c r="H262" s="266"/>
      <c r="I262" s="266"/>
      <c r="J262" s="266"/>
      <c r="K262" s="266"/>
      <c r="L262" s="266"/>
      <c r="M262" s="266"/>
      <c r="N262" s="266"/>
      <c r="O262" s="266"/>
      <c r="P262" s="267"/>
      <c r="Q262" s="267"/>
      <c r="R262" s="267"/>
      <c r="S262" s="267"/>
      <c r="T262" s="267"/>
      <c r="U262" s="267"/>
      <c r="V262" s="267"/>
      <c r="W262" s="267"/>
      <c r="X262" s="267"/>
      <c r="Y262" s="267"/>
    </row>
    <row r="263" ht="12.75" customHeight="1" spans="1:25">
      <c r="A263" s="266"/>
      <c r="B263" s="266"/>
      <c r="C263" s="266"/>
      <c r="D263" s="266"/>
      <c r="E263" s="266"/>
      <c r="F263" s="266"/>
      <c r="G263" s="266"/>
      <c r="H263" s="266"/>
      <c r="I263" s="266"/>
      <c r="J263" s="266"/>
      <c r="K263" s="266"/>
      <c r="L263" s="266"/>
      <c r="M263" s="266"/>
      <c r="N263" s="266"/>
      <c r="O263" s="266"/>
      <c r="P263" s="267"/>
      <c r="Q263" s="267"/>
      <c r="R263" s="267"/>
      <c r="S263" s="267"/>
      <c r="T263" s="267"/>
      <c r="U263" s="267"/>
      <c r="V263" s="267"/>
      <c r="W263" s="267"/>
      <c r="X263" s="267"/>
      <c r="Y263" s="267"/>
    </row>
    <row r="264" ht="12.75" customHeight="1" spans="1:25">
      <c r="A264" s="266"/>
      <c r="B264" s="266"/>
      <c r="C264" s="266"/>
      <c r="D264" s="266"/>
      <c r="E264" s="266"/>
      <c r="F264" s="266"/>
      <c r="G264" s="266"/>
      <c r="H264" s="266"/>
      <c r="I264" s="266"/>
      <c r="J264" s="266"/>
      <c r="K264" s="266"/>
      <c r="L264" s="266"/>
      <c r="M264" s="266"/>
      <c r="N264" s="266"/>
      <c r="O264" s="266"/>
      <c r="P264" s="267"/>
      <c r="Q264" s="267"/>
      <c r="R264" s="267"/>
      <c r="S264" s="267"/>
      <c r="T264" s="267"/>
      <c r="U264" s="267"/>
      <c r="V264" s="267"/>
      <c r="W264" s="267"/>
      <c r="X264" s="267"/>
      <c r="Y264" s="267"/>
    </row>
    <row r="265" ht="12.75" customHeight="1" spans="1:25">
      <c r="A265" s="266"/>
      <c r="B265" s="266"/>
      <c r="C265" s="266"/>
      <c r="D265" s="266"/>
      <c r="E265" s="266"/>
      <c r="F265" s="266"/>
      <c r="G265" s="266"/>
      <c r="H265" s="266"/>
      <c r="I265" s="266"/>
      <c r="J265" s="266"/>
      <c r="K265" s="266"/>
      <c r="L265" s="266"/>
      <c r="M265" s="266"/>
      <c r="N265" s="266"/>
      <c r="O265" s="266"/>
      <c r="P265" s="267"/>
      <c r="Q265" s="267"/>
      <c r="R265" s="267"/>
      <c r="S265" s="267"/>
      <c r="T265" s="267"/>
      <c r="U265" s="267"/>
      <c r="V265" s="267"/>
      <c r="W265" s="267"/>
      <c r="X265" s="267"/>
      <c r="Y265" s="267"/>
    </row>
    <row r="266" ht="12.75" customHeight="1" spans="1:25">
      <c r="A266" s="266"/>
      <c r="B266" s="266"/>
      <c r="C266" s="266"/>
      <c r="D266" s="266"/>
      <c r="E266" s="266"/>
      <c r="F266" s="266"/>
      <c r="G266" s="266"/>
      <c r="H266" s="266"/>
      <c r="I266" s="266"/>
      <c r="J266" s="266"/>
      <c r="K266" s="266"/>
      <c r="L266" s="266"/>
      <c r="M266" s="266"/>
      <c r="N266" s="266"/>
      <c r="O266" s="266"/>
      <c r="P266" s="267"/>
      <c r="Q266" s="267"/>
      <c r="R266" s="267"/>
      <c r="S266" s="267"/>
      <c r="T266" s="267"/>
      <c r="U266" s="267"/>
      <c r="V266" s="267"/>
      <c r="W266" s="267"/>
      <c r="X266" s="267"/>
      <c r="Y266" s="267"/>
    </row>
    <row r="267" ht="12.75" customHeight="1" spans="1:25">
      <c r="A267" s="266"/>
      <c r="B267" s="266"/>
      <c r="C267" s="266"/>
      <c r="D267" s="266"/>
      <c r="E267" s="266"/>
      <c r="F267" s="266"/>
      <c r="G267" s="266"/>
      <c r="H267" s="266"/>
      <c r="I267" s="266"/>
      <c r="J267" s="266"/>
      <c r="K267" s="266"/>
      <c r="L267" s="266"/>
      <c r="M267" s="266"/>
      <c r="N267" s="266"/>
      <c r="O267" s="266"/>
      <c r="P267" s="267"/>
      <c r="Q267" s="267"/>
      <c r="R267" s="267"/>
      <c r="S267" s="267"/>
      <c r="T267" s="267"/>
      <c r="U267" s="267"/>
      <c r="V267" s="267"/>
      <c r="W267" s="267"/>
      <c r="X267" s="267"/>
      <c r="Y267" s="267"/>
    </row>
    <row r="268" ht="12.75" customHeight="1" spans="1:25">
      <c r="A268" s="266"/>
      <c r="B268" s="266"/>
      <c r="C268" s="266"/>
      <c r="D268" s="266"/>
      <c r="E268" s="266"/>
      <c r="F268" s="266"/>
      <c r="G268" s="266"/>
      <c r="H268" s="266"/>
      <c r="I268" s="266"/>
      <c r="J268" s="266"/>
      <c r="K268" s="266"/>
      <c r="L268" s="266"/>
      <c r="M268" s="266"/>
      <c r="N268" s="266"/>
      <c r="O268" s="266"/>
      <c r="P268" s="267"/>
      <c r="Q268" s="267"/>
      <c r="R268" s="267"/>
      <c r="S268" s="267"/>
      <c r="T268" s="267"/>
      <c r="U268" s="267"/>
      <c r="V268" s="267"/>
      <c r="W268" s="267"/>
      <c r="X268" s="267"/>
      <c r="Y268" s="267"/>
    </row>
    <row r="269" ht="12.75" customHeight="1" spans="1:25">
      <c r="A269" s="266"/>
      <c r="B269" s="266"/>
      <c r="C269" s="266"/>
      <c r="D269" s="266"/>
      <c r="E269" s="266"/>
      <c r="F269" s="266"/>
      <c r="G269" s="266"/>
      <c r="H269" s="266"/>
      <c r="I269" s="266"/>
      <c r="J269" s="266"/>
      <c r="K269" s="266"/>
      <c r="L269" s="266"/>
      <c r="M269" s="266"/>
      <c r="N269" s="266"/>
      <c r="O269" s="266"/>
      <c r="P269" s="267"/>
      <c r="Q269" s="267"/>
      <c r="R269" s="267"/>
      <c r="S269" s="267"/>
      <c r="T269" s="267"/>
      <c r="U269" s="267"/>
      <c r="V269" s="267"/>
      <c r="W269" s="267"/>
      <c r="X269" s="267"/>
      <c r="Y269" s="267"/>
    </row>
    <row r="270" ht="12.75" customHeight="1" spans="1:25">
      <c r="A270" s="266"/>
      <c r="B270" s="266"/>
      <c r="C270" s="266"/>
      <c r="D270" s="266"/>
      <c r="E270" s="266"/>
      <c r="F270" s="266"/>
      <c r="G270" s="266"/>
      <c r="H270" s="266"/>
      <c r="I270" s="266"/>
      <c r="J270" s="266"/>
      <c r="K270" s="266"/>
      <c r="L270" s="266"/>
      <c r="M270" s="266"/>
      <c r="N270" s="266"/>
      <c r="O270" s="266"/>
      <c r="P270" s="267"/>
      <c r="Q270" s="267"/>
      <c r="R270" s="267"/>
      <c r="S270" s="267"/>
      <c r="T270" s="267"/>
      <c r="U270" s="267"/>
      <c r="V270" s="267"/>
      <c r="W270" s="267"/>
      <c r="X270" s="267"/>
      <c r="Y270" s="267"/>
    </row>
    <row r="271" ht="12.75" customHeight="1" spans="1:25">
      <c r="A271" s="266"/>
      <c r="B271" s="266"/>
      <c r="C271" s="266"/>
      <c r="D271" s="266"/>
      <c r="E271" s="266"/>
      <c r="F271" s="266"/>
      <c r="G271" s="266"/>
      <c r="H271" s="266"/>
      <c r="I271" s="266"/>
      <c r="J271" s="266"/>
      <c r="K271" s="266"/>
      <c r="L271" s="266"/>
      <c r="M271" s="266"/>
      <c r="N271" s="266"/>
      <c r="O271" s="266"/>
      <c r="P271" s="267"/>
      <c r="Q271" s="267"/>
      <c r="R271" s="267"/>
      <c r="S271" s="267"/>
      <c r="T271" s="267"/>
      <c r="U271" s="267"/>
      <c r="V271" s="267"/>
      <c r="W271" s="267"/>
      <c r="X271" s="267"/>
      <c r="Y271" s="267"/>
    </row>
    <row r="272" ht="12.75" customHeight="1" spans="1:25">
      <c r="A272" s="266"/>
      <c r="B272" s="266"/>
      <c r="C272" s="266"/>
      <c r="D272" s="266"/>
      <c r="E272" s="266"/>
      <c r="F272" s="266"/>
      <c r="G272" s="266"/>
      <c r="H272" s="266"/>
      <c r="I272" s="266"/>
      <c r="J272" s="266"/>
      <c r="K272" s="266"/>
      <c r="L272" s="266"/>
      <c r="M272" s="266"/>
      <c r="N272" s="266"/>
      <c r="O272" s="266"/>
      <c r="P272" s="267"/>
      <c r="Q272" s="267"/>
      <c r="R272" s="267"/>
      <c r="S272" s="267"/>
      <c r="T272" s="267"/>
      <c r="U272" s="267"/>
      <c r="V272" s="267"/>
      <c r="W272" s="267"/>
      <c r="X272" s="267"/>
      <c r="Y272" s="267"/>
    </row>
    <row r="273" ht="12.75" customHeight="1" spans="1:25">
      <c r="A273" s="266"/>
      <c r="B273" s="266"/>
      <c r="C273" s="266"/>
      <c r="D273" s="266"/>
      <c r="E273" s="266"/>
      <c r="F273" s="266"/>
      <c r="G273" s="266"/>
      <c r="H273" s="266"/>
      <c r="I273" s="266"/>
      <c r="J273" s="266"/>
      <c r="K273" s="266"/>
      <c r="L273" s="266"/>
      <c r="M273" s="266"/>
      <c r="N273" s="266"/>
      <c r="O273" s="266"/>
      <c r="P273" s="267"/>
      <c r="Q273" s="267"/>
      <c r="R273" s="267"/>
      <c r="S273" s="267"/>
      <c r="T273" s="267"/>
      <c r="U273" s="267"/>
      <c r="V273" s="267"/>
      <c r="W273" s="267"/>
      <c r="X273" s="267"/>
      <c r="Y273" s="267"/>
    </row>
    <row r="274" ht="12.75" customHeight="1" spans="1:25">
      <c r="A274" s="266"/>
      <c r="B274" s="266"/>
      <c r="C274" s="266"/>
      <c r="D274" s="266"/>
      <c r="E274" s="266"/>
      <c r="F274" s="266"/>
      <c r="G274" s="266"/>
      <c r="H274" s="266"/>
      <c r="I274" s="266"/>
      <c r="J274" s="266"/>
      <c r="K274" s="266"/>
      <c r="L274" s="266"/>
      <c r="M274" s="266"/>
      <c r="N274" s="266"/>
      <c r="O274" s="266"/>
      <c r="P274" s="267"/>
      <c r="Q274" s="267"/>
      <c r="R274" s="267"/>
      <c r="S274" s="267"/>
      <c r="T274" s="267"/>
      <c r="U274" s="267"/>
      <c r="V274" s="267"/>
      <c r="W274" s="267"/>
      <c r="X274" s="267"/>
      <c r="Y274" s="267"/>
    </row>
    <row r="275" ht="12.75" customHeight="1" spans="1:25">
      <c r="A275" s="266"/>
      <c r="B275" s="266"/>
      <c r="C275" s="266"/>
      <c r="D275" s="266"/>
      <c r="E275" s="266"/>
      <c r="F275" s="266"/>
      <c r="G275" s="266"/>
      <c r="H275" s="266"/>
      <c r="I275" s="266"/>
      <c r="J275" s="266"/>
      <c r="K275" s="266"/>
      <c r="L275" s="266"/>
      <c r="M275" s="266"/>
      <c r="N275" s="266"/>
      <c r="O275" s="266"/>
      <c r="P275" s="267"/>
      <c r="Q275" s="267"/>
      <c r="R275" s="267"/>
      <c r="S275" s="267"/>
      <c r="T275" s="267"/>
      <c r="U275" s="267"/>
      <c r="V275" s="267"/>
      <c r="W275" s="267"/>
      <c r="X275" s="267"/>
      <c r="Y275" s="267"/>
    </row>
    <row r="276" ht="12.75" customHeight="1" spans="1:25">
      <c r="A276" s="266"/>
      <c r="B276" s="266"/>
      <c r="C276" s="266"/>
      <c r="D276" s="266"/>
      <c r="E276" s="266"/>
      <c r="F276" s="266"/>
      <c r="G276" s="266"/>
      <c r="H276" s="266"/>
      <c r="I276" s="266"/>
      <c r="J276" s="266"/>
      <c r="K276" s="266"/>
      <c r="L276" s="266"/>
      <c r="M276" s="266"/>
      <c r="N276" s="266"/>
      <c r="O276" s="266"/>
      <c r="P276" s="267"/>
      <c r="Q276" s="267"/>
      <c r="R276" s="267"/>
      <c r="S276" s="267"/>
      <c r="T276" s="267"/>
      <c r="U276" s="267"/>
      <c r="V276" s="267"/>
      <c r="W276" s="267"/>
      <c r="X276" s="267"/>
      <c r="Y276" s="267"/>
    </row>
    <row r="277" ht="12.75" customHeight="1" spans="1:25">
      <c r="A277" s="266"/>
      <c r="B277" s="266"/>
      <c r="C277" s="266"/>
      <c r="D277" s="266"/>
      <c r="E277" s="266"/>
      <c r="F277" s="266"/>
      <c r="G277" s="266"/>
      <c r="H277" s="266"/>
      <c r="I277" s="266"/>
      <c r="J277" s="266"/>
      <c r="K277" s="266"/>
      <c r="L277" s="266"/>
      <c r="M277" s="266"/>
      <c r="N277" s="266"/>
      <c r="O277" s="266"/>
      <c r="P277" s="267"/>
      <c r="Q277" s="267"/>
      <c r="R277" s="267"/>
      <c r="S277" s="267"/>
      <c r="T277" s="267"/>
      <c r="U277" s="267"/>
      <c r="V277" s="267"/>
      <c r="W277" s="267"/>
      <c r="X277" s="267"/>
      <c r="Y277" s="267"/>
    </row>
    <row r="278" ht="12.75" customHeight="1" spans="1:25">
      <c r="A278" s="266"/>
      <c r="B278" s="266"/>
      <c r="C278" s="266"/>
      <c r="D278" s="266"/>
      <c r="E278" s="266"/>
      <c r="F278" s="266"/>
      <c r="G278" s="266"/>
      <c r="H278" s="266"/>
      <c r="I278" s="266"/>
      <c r="J278" s="266"/>
      <c r="K278" s="266"/>
      <c r="L278" s="266"/>
      <c r="M278" s="266"/>
      <c r="N278" s="266"/>
      <c r="O278" s="266"/>
      <c r="P278" s="267"/>
      <c r="Q278" s="267"/>
      <c r="R278" s="267"/>
      <c r="S278" s="267"/>
      <c r="T278" s="267"/>
      <c r="U278" s="267"/>
      <c r="V278" s="267"/>
      <c r="W278" s="267"/>
      <c r="X278" s="267"/>
      <c r="Y278" s="267"/>
    </row>
    <row r="279" ht="12.75" customHeight="1" spans="1:25">
      <c r="A279" s="266"/>
      <c r="B279" s="266"/>
      <c r="C279" s="266"/>
      <c r="D279" s="266"/>
      <c r="E279" s="266"/>
      <c r="F279" s="266"/>
      <c r="G279" s="266"/>
      <c r="H279" s="266"/>
      <c r="I279" s="266"/>
      <c r="J279" s="266"/>
      <c r="K279" s="266"/>
      <c r="L279" s="266"/>
      <c r="M279" s="266"/>
      <c r="N279" s="266"/>
      <c r="O279" s="266"/>
      <c r="P279" s="267"/>
      <c r="Q279" s="267"/>
      <c r="R279" s="267"/>
      <c r="S279" s="267"/>
      <c r="T279" s="267"/>
      <c r="U279" s="267"/>
      <c r="V279" s="267"/>
      <c r="W279" s="267"/>
      <c r="X279" s="267"/>
      <c r="Y279" s="267"/>
    </row>
    <row r="280" ht="12.75" customHeight="1" spans="1:25">
      <c r="A280" s="266"/>
      <c r="B280" s="266"/>
      <c r="C280" s="266"/>
      <c r="D280" s="266"/>
      <c r="E280" s="266"/>
      <c r="F280" s="266"/>
      <c r="G280" s="266"/>
      <c r="H280" s="266"/>
      <c r="I280" s="266"/>
      <c r="J280" s="266"/>
      <c r="K280" s="266"/>
      <c r="L280" s="266"/>
      <c r="M280" s="266"/>
      <c r="N280" s="266"/>
      <c r="O280" s="266"/>
      <c r="P280" s="267"/>
      <c r="Q280" s="267"/>
      <c r="R280" s="267"/>
      <c r="S280" s="267"/>
      <c r="T280" s="267"/>
      <c r="U280" s="267"/>
      <c r="V280" s="267"/>
      <c r="W280" s="267"/>
      <c r="X280" s="267"/>
      <c r="Y280" s="267"/>
    </row>
    <row r="281" ht="12.75" customHeight="1" spans="1:25">
      <c r="A281" s="266"/>
      <c r="B281" s="266"/>
      <c r="C281" s="266"/>
      <c r="D281" s="266"/>
      <c r="E281" s="266"/>
      <c r="F281" s="266"/>
      <c r="G281" s="266"/>
      <c r="H281" s="266"/>
      <c r="I281" s="266"/>
      <c r="J281" s="266"/>
      <c r="K281" s="266"/>
      <c r="L281" s="266"/>
      <c r="M281" s="266"/>
      <c r="N281" s="266"/>
      <c r="O281" s="266"/>
      <c r="P281" s="267"/>
      <c r="Q281" s="267"/>
      <c r="R281" s="267"/>
      <c r="S281" s="267"/>
      <c r="T281" s="267"/>
      <c r="U281" s="267"/>
      <c r="V281" s="267"/>
      <c r="W281" s="267"/>
      <c r="X281" s="267"/>
      <c r="Y281" s="267"/>
    </row>
    <row r="282" ht="12.75" customHeight="1" spans="1:25">
      <c r="A282" s="266"/>
      <c r="B282" s="266"/>
      <c r="C282" s="266"/>
      <c r="D282" s="266"/>
      <c r="E282" s="266"/>
      <c r="F282" s="266"/>
      <c r="G282" s="266"/>
      <c r="H282" s="266"/>
      <c r="I282" s="266"/>
      <c r="J282" s="266"/>
      <c r="K282" s="266"/>
      <c r="L282" s="266"/>
      <c r="M282" s="266"/>
      <c r="N282" s="266"/>
      <c r="O282" s="266"/>
      <c r="P282" s="267"/>
      <c r="Q282" s="267"/>
      <c r="R282" s="267"/>
      <c r="S282" s="267"/>
      <c r="T282" s="267"/>
      <c r="U282" s="267"/>
      <c r="V282" s="267"/>
      <c r="W282" s="267"/>
      <c r="X282" s="267"/>
      <c r="Y282" s="267"/>
    </row>
    <row r="283" ht="12.75" customHeight="1" spans="1:25">
      <c r="A283" s="266"/>
      <c r="B283" s="266"/>
      <c r="C283" s="266"/>
      <c r="D283" s="266"/>
      <c r="E283" s="266"/>
      <c r="F283" s="266"/>
      <c r="G283" s="266"/>
      <c r="H283" s="266"/>
      <c r="I283" s="266"/>
      <c r="J283" s="266"/>
      <c r="K283" s="266"/>
      <c r="L283" s="266"/>
      <c r="M283" s="266"/>
      <c r="N283" s="266"/>
      <c r="O283" s="266"/>
      <c r="P283" s="267"/>
      <c r="Q283" s="267"/>
      <c r="R283" s="267"/>
      <c r="S283" s="267"/>
      <c r="T283" s="267"/>
      <c r="U283" s="267"/>
      <c r="V283" s="267"/>
      <c r="W283" s="267"/>
      <c r="X283" s="267"/>
      <c r="Y283" s="267"/>
    </row>
    <row r="284" ht="12.75" customHeight="1" spans="1:25">
      <c r="A284" s="266"/>
      <c r="B284" s="266"/>
      <c r="C284" s="266"/>
      <c r="D284" s="266"/>
      <c r="E284" s="266"/>
      <c r="F284" s="266"/>
      <c r="G284" s="266"/>
      <c r="H284" s="266"/>
      <c r="I284" s="266"/>
      <c r="J284" s="266"/>
      <c r="K284" s="266"/>
      <c r="L284" s="266"/>
      <c r="M284" s="266"/>
      <c r="N284" s="266"/>
      <c r="O284" s="266"/>
      <c r="P284" s="267"/>
      <c r="Q284" s="267"/>
      <c r="R284" s="267"/>
      <c r="S284" s="267"/>
      <c r="T284" s="267"/>
      <c r="U284" s="267"/>
      <c r="V284" s="267"/>
      <c r="W284" s="267"/>
      <c r="X284" s="267"/>
      <c r="Y284" s="267"/>
    </row>
    <row r="285" ht="12.75" customHeight="1" spans="1:25">
      <c r="A285" s="266"/>
      <c r="B285" s="266"/>
      <c r="C285" s="266"/>
      <c r="D285" s="266"/>
      <c r="E285" s="266"/>
      <c r="F285" s="266"/>
      <c r="G285" s="266"/>
      <c r="H285" s="266"/>
      <c r="I285" s="266"/>
      <c r="J285" s="266"/>
      <c r="K285" s="266"/>
      <c r="L285" s="266"/>
      <c r="M285" s="266"/>
      <c r="N285" s="266"/>
      <c r="O285" s="266"/>
      <c r="P285" s="267"/>
      <c r="Q285" s="267"/>
      <c r="R285" s="267"/>
      <c r="S285" s="267"/>
      <c r="T285" s="267"/>
      <c r="U285" s="267"/>
      <c r="V285" s="267"/>
      <c r="W285" s="267"/>
      <c r="X285" s="267"/>
      <c r="Y285" s="267"/>
    </row>
    <row r="286" ht="12.75" customHeight="1" spans="1:25">
      <c r="A286" s="266"/>
      <c r="B286" s="266"/>
      <c r="C286" s="266"/>
      <c r="D286" s="266"/>
      <c r="E286" s="266"/>
      <c r="F286" s="266"/>
      <c r="G286" s="266"/>
      <c r="H286" s="266"/>
      <c r="I286" s="266"/>
      <c r="J286" s="266"/>
      <c r="K286" s="266"/>
      <c r="L286" s="266"/>
      <c r="M286" s="266"/>
      <c r="N286" s="266"/>
      <c r="O286" s="266"/>
      <c r="P286" s="267"/>
      <c r="Q286" s="267"/>
      <c r="R286" s="267"/>
      <c r="S286" s="267"/>
      <c r="T286" s="267"/>
      <c r="U286" s="267"/>
      <c r="V286" s="267"/>
      <c r="W286" s="267"/>
      <c r="X286" s="267"/>
      <c r="Y286" s="267"/>
    </row>
    <row r="287" ht="12.75" customHeight="1" spans="1:25">
      <c r="A287" s="266"/>
      <c r="B287" s="266"/>
      <c r="C287" s="266"/>
      <c r="D287" s="266"/>
      <c r="E287" s="266"/>
      <c r="F287" s="266"/>
      <c r="G287" s="266"/>
      <c r="H287" s="266"/>
      <c r="I287" s="266"/>
      <c r="J287" s="266"/>
      <c r="K287" s="266"/>
      <c r="L287" s="266"/>
      <c r="M287" s="266"/>
      <c r="N287" s="266"/>
      <c r="O287" s="266"/>
      <c r="P287" s="267"/>
      <c r="Q287" s="267"/>
      <c r="R287" s="267"/>
      <c r="S287" s="267"/>
      <c r="T287" s="267"/>
      <c r="U287" s="267"/>
      <c r="V287" s="267"/>
      <c r="W287" s="267"/>
      <c r="X287" s="267"/>
      <c r="Y287" s="267"/>
    </row>
    <row r="288" ht="12.75" customHeight="1" spans="1:25">
      <c r="A288" s="266"/>
      <c r="B288" s="266"/>
      <c r="C288" s="266"/>
      <c r="D288" s="266"/>
      <c r="E288" s="266"/>
      <c r="F288" s="266"/>
      <c r="G288" s="266"/>
      <c r="H288" s="266"/>
      <c r="I288" s="266"/>
      <c r="J288" s="266"/>
      <c r="K288" s="266"/>
      <c r="L288" s="266"/>
      <c r="M288" s="266"/>
      <c r="N288" s="266"/>
      <c r="O288" s="266"/>
      <c r="P288" s="267"/>
      <c r="Q288" s="267"/>
      <c r="R288" s="267"/>
      <c r="S288" s="267"/>
      <c r="T288" s="267"/>
      <c r="U288" s="267"/>
      <c r="V288" s="267"/>
      <c r="W288" s="267"/>
      <c r="X288" s="267"/>
      <c r="Y288" s="267"/>
    </row>
    <row r="289" ht="12.75" customHeight="1" spans="1:25">
      <c r="A289" s="266"/>
      <c r="B289" s="266"/>
      <c r="C289" s="266"/>
      <c r="D289" s="266"/>
      <c r="E289" s="266"/>
      <c r="F289" s="266"/>
      <c r="G289" s="266"/>
      <c r="H289" s="266"/>
      <c r="I289" s="266"/>
      <c r="J289" s="266"/>
      <c r="K289" s="266"/>
      <c r="L289" s="266"/>
      <c r="M289" s="266"/>
      <c r="N289" s="266"/>
      <c r="O289" s="266"/>
      <c r="P289" s="267"/>
      <c r="Q289" s="267"/>
      <c r="R289" s="267"/>
      <c r="S289" s="267"/>
      <c r="T289" s="267"/>
      <c r="U289" s="267"/>
      <c r="V289" s="267"/>
      <c r="W289" s="267"/>
      <c r="X289" s="267"/>
      <c r="Y289" s="267"/>
    </row>
    <row r="290" ht="12.75" customHeight="1" spans="1:25">
      <c r="A290" s="266"/>
      <c r="B290" s="266"/>
      <c r="C290" s="266"/>
      <c r="D290" s="266"/>
      <c r="E290" s="266"/>
      <c r="F290" s="266"/>
      <c r="G290" s="266"/>
      <c r="H290" s="266"/>
      <c r="I290" s="266"/>
      <c r="J290" s="266"/>
      <c r="K290" s="266"/>
      <c r="L290" s="266"/>
      <c r="M290" s="266"/>
      <c r="N290" s="266"/>
      <c r="O290" s="266"/>
      <c r="P290" s="267"/>
      <c r="Q290" s="267"/>
      <c r="R290" s="267"/>
      <c r="S290" s="267"/>
      <c r="T290" s="267"/>
      <c r="U290" s="267"/>
      <c r="V290" s="267"/>
      <c r="W290" s="267"/>
      <c r="X290" s="267"/>
      <c r="Y290" s="267"/>
    </row>
    <row r="291" ht="12.75" customHeight="1" spans="1:25">
      <c r="A291" s="266"/>
      <c r="B291" s="266"/>
      <c r="C291" s="266"/>
      <c r="D291" s="266"/>
      <c r="E291" s="266"/>
      <c r="F291" s="266"/>
      <c r="G291" s="266"/>
      <c r="H291" s="266"/>
      <c r="I291" s="266"/>
      <c r="J291" s="266"/>
      <c r="K291" s="266"/>
      <c r="L291" s="266"/>
      <c r="M291" s="266"/>
      <c r="N291" s="266"/>
      <c r="O291" s="266"/>
      <c r="P291" s="267"/>
      <c r="Q291" s="267"/>
      <c r="R291" s="267"/>
      <c r="S291" s="267"/>
      <c r="T291" s="267"/>
      <c r="U291" s="267"/>
      <c r="V291" s="267"/>
      <c r="W291" s="267"/>
      <c r="X291" s="267"/>
      <c r="Y291" s="267"/>
    </row>
    <row r="292" ht="12.75" customHeight="1" spans="1:25">
      <c r="A292" s="266"/>
      <c r="B292" s="266"/>
      <c r="C292" s="266"/>
      <c r="D292" s="266"/>
      <c r="E292" s="266"/>
      <c r="F292" s="266"/>
      <c r="G292" s="266"/>
      <c r="H292" s="266"/>
      <c r="I292" s="266"/>
      <c r="J292" s="266"/>
      <c r="K292" s="266"/>
      <c r="L292" s="266"/>
      <c r="M292" s="266"/>
      <c r="N292" s="266"/>
      <c r="O292" s="266"/>
      <c r="P292" s="267"/>
      <c r="Q292" s="267"/>
      <c r="R292" s="267"/>
      <c r="S292" s="267"/>
      <c r="T292" s="267"/>
      <c r="U292" s="267"/>
      <c r="V292" s="267"/>
      <c r="W292" s="267"/>
      <c r="X292" s="267"/>
      <c r="Y292" s="267"/>
    </row>
    <row r="293" ht="12.75" customHeight="1" spans="1:25">
      <c r="A293" s="266"/>
      <c r="B293" s="266"/>
      <c r="C293" s="266"/>
      <c r="D293" s="266"/>
      <c r="E293" s="266"/>
      <c r="F293" s="266"/>
      <c r="G293" s="266"/>
      <c r="H293" s="266"/>
      <c r="I293" s="266"/>
      <c r="J293" s="266"/>
      <c r="K293" s="266"/>
      <c r="L293" s="266"/>
      <c r="M293" s="266"/>
      <c r="N293" s="266"/>
      <c r="O293" s="266"/>
      <c r="P293" s="267"/>
      <c r="Q293" s="267"/>
      <c r="R293" s="267"/>
      <c r="S293" s="267"/>
      <c r="T293" s="267"/>
      <c r="U293" s="267"/>
      <c r="V293" s="267"/>
      <c r="W293" s="267"/>
      <c r="X293" s="267"/>
      <c r="Y293" s="267"/>
    </row>
    <row r="294" ht="12.75" customHeight="1" spans="1:25">
      <c r="A294" s="266"/>
      <c r="B294" s="266"/>
      <c r="C294" s="266"/>
      <c r="D294" s="266"/>
      <c r="E294" s="266"/>
      <c r="F294" s="266"/>
      <c r="G294" s="266"/>
      <c r="H294" s="266"/>
      <c r="I294" s="266"/>
      <c r="J294" s="266"/>
      <c r="K294" s="266"/>
      <c r="L294" s="266"/>
      <c r="M294" s="266"/>
      <c r="N294" s="266"/>
      <c r="O294" s="266"/>
      <c r="P294" s="267"/>
      <c r="Q294" s="267"/>
      <c r="R294" s="267"/>
      <c r="S294" s="267"/>
      <c r="T294" s="267"/>
      <c r="U294" s="267"/>
      <c r="V294" s="267"/>
      <c r="W294" s="267"/>
      <c r="X294" s="267"/>
      <c r="Y294" s="267"/>
    </row>
    <row r="295" ht="12.75" customHeight="1" spans="1:25">
      <c r="A295" s="266"/>
      <c r="B295" s="266"/>
      <c r="C295" s="266"/>
      <c r="D295" s="266"/>
      <c r="E295" s="266"/>
      <c r="F295" s="266"/>
      <c r="G295" s="266"/>
      <c r="H295" s="266"/>
      <c r="I295" s="266"/>
      <c r="J295" s="266"/>
      <c r="K295" s="266"/>
      <c r="L295" s="266"/>
      <c r="M295" s="266"/>
      <c r="N295" s="266"/>
      <c r="O295" s="266"/>
      <c r="P295" s="267"/>
      <c r="Q295" s="267"/>
      <c r="R295" s="267"/>
      <c r="S295" s="267"/>
      <c r="T295" s="267"/>
      <c r="U295" s="267"/>
      <c r="V295" s="267"/>
      <c r="W295" s="267"/>
      <c r="X295" s="267"/>
      <c r="Y295" s="267"/>
    </row>
    <row r="296" ht="12.75" customHeight="1" spans="1:25">
      <c r="A296" s="266"/>
      <c r="B296" s="266"/>
      <c r="C296" s="266"/>
      <c r="D296" s="266"/>
      <c r="E296" s="266"/>
      <c r="F296" s="266"/>
      <c r="G296" s="266"/>
      <c r="H296" s="266"/>
      <c r="I296" s="266"/>
      <c r="J296" s="266"/>
      <c r="K296" s="266"/>
      <c r="L296" s="266"/>
      <c r="M296" s="266"/>
      <c r="N296" s="266"/>
      <c r="O296" s="266"/>
      <c r="P296" s="267"/>
      <c r="Q296" s="267"/>
      <c r="R296" s="267"/>
      <c r="S296" s="267"/>
      <c r="T296" s="267"/>
      <c r="U296" s="267"/>
      <c r="V296" s="267"/>
      <c r="W296" s="267"/>
      <c r="X296" s="267"/>
      <c r="Y296" s="267"/>
    </row>
    <row r="297" ht="12.75" customHeight="1" spans="1:25">
      <c r="A297" s="266"/>
      <c r="B297" s="266"/>
      <c r="C297" s="266"/>
      <c r="D297" s="266"/>
      <c r="E297" s="266"/>
      <c r="F297" s="266"/>
      <c r="G297" s="266"/>
      <c r="H297" s="266"/>
      <c r="I297" s="266"/>
      <c r="J297" s="266"/>
      <c r="K297" s="266"/>
      <c r="L297" s="266"/>
      <c r="M297" s="266"/>
      <c r="N297" s="266"/>
      <c r="O297" s="266"/>
      <c r="P297" s="267"/>
      <c r="Q297" s="267"/>
      <c r="R297" s="267"/>
      <c r="S297" s="267"/>
      <c r="T297" s="267"/>
      <c r="U297" s="267"/>
      <c r="V297" s="267"/>
      <c r="W297" s="267"/>
      <c r="X297" s="267"/>
      <c r="Y297" s="267"/>
    </row>
    <row r="298" ht="12.75" customHeight="1" spans="1:25">
      <c r="A298" s="266"/>
      <c r="B298" s="266"/>
      <c r="C298" s="266"/>
      <c r="D298" s="266"/>
      <c r="E298" s="266"/>
      <c r="F298" s="266"/>
      <c r="G298" s="266"/>
      <c r="H298" s="266"/>
      <c r="I298" s="266"/>
      <c r="J298" s="266"/>
      <c r="K298" s="266"/>
      <c r="L298" s="266"/>
      <c r="M298" s="266"/>
      <c r="N298" s="266"/>
      <c r="O298" s="266"/>
      <c r="P298" s="267"/>
      <c r="Q298" s="267"/>
      <c r="R298" s="267"/>
      <c r="S298" s="267"/>
      <c r="T298" s="267"/>
      <c r="U298" s="267"/>
      <c r="V298" s="267"/>
      <c r="W298" s="267"/>
      <c r="X298" s="267"/>
      <c r="Y298" s="267"/>
    </row>
    <row r="299" ht="12.75" customHeight="1" spans="1:25">
      <c r="A299" s="266"/>
      <c r="B299" s="266"/>
      <c r="C299" s="266"/>
      <c r="D299" s="266"/>
      <c r="E299" s="266"/>
      <c r="F299" s="266"/>
      <c r="G299" s="266"/>
      <c r="H299" s="266"/>
      <c r="I299" s="266"/>
      <c r="J299" s="266"/>
      <c r="K299" s="266"/>
      <c r="L299" s="266"/>
      <c r="M299" s="266"/>
      <c r="N299" s="266"/>
      <c r="O299" s="266"/>
      <c r="P299" s="267"/>
      <c r="Q299" s="267"/>
      <c r="R299" s="267"/>
      <c r="S299" s="267"/>
      <c r="T299" s="267"/>
      <c r="U299" s="267"/>
      <c r="V299" s="267"/>
      <c r="W299" s="267"/>
      <c r="X299" s="267"/>
      <c r="Y299" s="267"/>
    </row>
    <row r="300" ht="12.75" customHeight="1" spans="1:25">
      <c r="A300" s="266"/>
      <c r="B300" s="266"/>
      <c r="C300" s="266"/>
      <c r="D300" s="266"/>
      <c r="E300" s="266"/>
      <c r="F300" s="266"/>
      <c r="G300" s="266"/>
      <c r="H300" s="266"/>
      <c r="I300" s="266"/>
      <c r="J300" s="266"/>
      <c r="K300" s="266"/>
      <c r="L300" s="266"/>
      <c r="M300" s="266"/>
      <c r="N300" s="266"/>
      <c r="O300" s="266"/>
      <c r="P300" s="267"/>
      <c r="Q300" s="267"/>
      <c r="R300" s="267"/>
      <c r="S300" s="267"/>
      <c r="T300" s="267"/>
      <c r="U300" s="267"/>
      <c r="V300" s="267"/>
      <c r="W300" s="267"/>
      <c r="X300" s="267"/>
      <c r="Y300" s="267"/>
    </row>
    <row r="301" ht="12.75" customHeight="1" spans="1:25">
      <c r="A301" s="266"/>
      <c r="B301" s="266"/>
      <c r="C301" s="266"/>
      <c r="D301" s="266"/>
      <c r="E301" s="266"/>
      <c r="F301" s="266"/>
      <c r="G301" s="266"/>
      <c r="H301" s="266"/>
      <c r="I301" s="266"/>
      <c r="J301" s="266"/>
      <c r="K301" s="266"/>
      <c r="L301" s="266"/>
      <c r="M301" s="266"/>
      <c r="N301" s="266"/>
      <c r="O301" s="266"/>
      <c r="P301" s="267"/>
      <c r="Q301" s="267"/>
      <c r="R301" s="267"/>
      <c r="S301" s="267"/>
      <c r="T301" s="267"/>
      <c r="U301" s="267"/>
      <c r="V301" s="267"/>
      <c r="W301" s="267"/>
      <c r="X301" s="267"/>
      <c r="Y301" s="267"/>
    </row>
    <row r="302" ht="12.75" customHeight="1" spans="1:25">
      <c r="A302" s="266"/>
      <c r="B302" s="266"/>
      <c r="C302" s="266"/>
      <c r="D302" s="266"/>
      <c r="E302" s="266"/>
      <c r="F302" s="266"/>
      <c r="G302" s="266"/>
      <c r="H302" s="266"/>
      <c r="I302" s="266"/>
      <c r="J302" s="266"/>
      <c r="K302" s="266"/>
      <c r="L302" s="266"/>
      <c r="M302" s="266"/>
      <c r="N302" s="266"/>
      <c r="O302" s="266"/>
      <c r="P302" s="267"/>
      <c r="Q302" s="267"/>
      <c r="R302" s="267"/>
      <c r="S302" s="267"/>
      <c r="T302" s="267"/>
      <c r="U302" s="267"/>
      <c r="V302" s="267"/>
      <c r="W302" s="267"/>
      <c r="X302" s="267"/>
      <c r="Y302" s="267"/>
    </row>
    <row r="303" ht="12.75" customHeight="1" spans="1:25">
      <c r="A303" s="266"/>
      <c r="B303" s="266"/>
      <c r="C303" s="266"/>
      <c r="D303" s="266"/>
      <c r="E303" s="266"/>
      <c r="F303" s="266"/>
      <c r="G303" s="266"/>
      <c r="H303" s="266"/>
      <c r="I303" s="266"/>
      <c r="J303" s="266"/>
      <c r="K303" s="266"/>
      <c r="L303" s="266"/>
      <c r="M303" s="266"/>
      <c r="N303" s="266"/>
      <c r="O303" s="266"/>
      <c r="P303" s="267"/>
      <c r="Q303" s="267"/>
      <c r="R303" s="267"/>
      <c r="S303" s="267"/>
      <c r="T303" s="267"/>
      <c r="U303" s="267"/>
      <c r="V303" s="267"/>
      <c r="W303" s="267"/>
      <c r="X303" s="267"/>
      <c r="Y303" s="267"/>
    </row>
    <row r="304" ht="12.75" customHeight="1" spans="1:25">
      <c r="A304" s="266"/>
      <c r="B304" s="266"/>
      <c r="C304" s="266"/>
      <c r="D304" s="266"/>
      <c r="E304" s="266"/>
      <c r="F304" s="266"/>
      <c r="G304" s="266"/>
      <c r="H304" s="266"/>
      <c r="I304" s="266"/>
      <c r="J304" s="266"/>
      <c r="K304" s="266"/>
      <c r="L304" s="266"/>
      <c r="M304" s="266"/>
      <c r="N304" s="266"/>
      <c r="O304" s="266"/>
      <c r="P304" s="267"/>
      <c r="Q304" s="267"/>
      <c r="R304" s="267"/>
      <c r="S304" s="267"/>
      <c r="T304" s="267"/>
      <c r="U304" s="267"/>
      <c r="V304" s="267"/>
      <c r="W304" s="267"/>
      <c r="X304" s="267"/>
      <c r="Y304" s="267"/>
    </row>
    <row r="305" ht="12.75" customHeight="1" spans="1:25">
      <c r="A305" s="266"/>
      <c r="B305" s="266"/>
      <c r="C305" s="266"/>
      <c r="D305" s="266"/>
      <c r="E305" s="266"/>
      <c r="F305" s="266"/>
      <c r="G305" s="266"/>
      <c r="H305" s="266"/>
      <c r="I305" s="266"/>
      <c r="J305" s="266"/>
      <c r="K305" s="266"/>
      <c r="L305" s="266"/>
      <c r="M305" s="266"/>
      <c r="N305" s="266"/>
      <c r="O305" s="266"/>
      <c r="P305" s="267"/>
      <c r="Q305" s="267"/>
      <c r="R305" s="267"/>
      <c r="S305" s="267"/>
      <c r="T305" s="267"/>
      <c r="U305" s="267"/>
      <c r="V305" s="267"/>
      <c r="W305" s="267"/>
      <c r="X305" s="267"/>
      <c r="Y305" s="267"/>
    </row>
    <row r="306" ht="12.75" customHeight="1" spans="1:25">
      <c r="A306" s="266"/>
      <c r="B306" s="266"/>
      <c r="C306" s="266"/>
      <c r="D306" s="266"/>
      <c r="E306" s="266"/>
      <c r="F306" s="266"/>
      <c r="G306" s="266"/>
      <c r="H306" s="266"/>
      <c r="I306" s="266"/>
      <c r="J306" s="266"/>
      <c r="K306" s="266"/>
      <c r="L306" s="266"/>
      <c r="M306" s="266"/>
      <c r="N306" s="266"/>
      <c r="O306" s="266"/>
      <c r="P306" s="267"/>
      <c r="Q306" s="267"/>
      <c r="R306" s="267"/>
      <c r="S306" s="267"/>
      <c r="T306" s="267"/>
      <c r="U306" s="267"/>
      <c r="V306" s="267"/>
      <c r="W306" s="267"/>
      <c r="X306" s="267"/>
      <c r="Y306" s="267"/>
    </row>
    <row r="307" ht="12.75" customHeight="1" spans="1:25">
      <c r="A307" s="266"/>
      <c r="B307" s="266"/>
      <c r="C307" s="266"/>
      <c r="D307" s="266"/>
      <c r="E307" s="266"/>
      <c r="F307" s="266"/>
      <c r="G307" s="266"/>
      <c r="H307" s="266"/>
      <c r="I307" s="266"/>
      <c r="J307" s="266"/>
      <c r="K307" s="266"/>
      <c r="L307" s="266"/>
      <c r="M307" s="266"/>
      <c r="N307" s="266"/>
      <c r="O307" s="266"/>
      <c r="P307" s="267"/>
      <c r="Q307" s="267"/>
      <c r="R307" s="267"/>
      <c r="S307" s="267"/>
      <c r="T307" s="267"/>
      <c r="U307" s="267"/>
      <c r="V307" s="267"/>
      <c r="W307" s="267"/>
      <c r="X307" s="267"/>
      <c r="Y307" s="267"/>
    </row>
    <row r="308" ht="12.75" customHeight="1" spans="1:25">
      <c r="A308" s="266"/>
      <c r="B308" s="266"/>
      <c r="C308" s="266"/>
      <c r="D308" s="266"/>
      <c r="E308" s="266"/>
      <c r="F308" s="266"/>
      <c r="G308" s="266"/>
      <c r="H308" s="266"/>
      <c r="I308" s="266"/>
      <c r="J308" s="266"/>
      <c r="K308" s="266"/>
      <c r="L308" s="266"/>
      <c r="M308" s="266"/>
      <c r="N308" s="266"/>
      <c r="O308" s="266"/>
      <c r="P308" s="267"/>
      <c r="Q308" s="267"/>
      <c r="R308" s="267"/>
      <c r="S308" s="267"/>
      <c r="T308" s="267"/>
      <c r="U308" s="267"/>
      <c r="V308" s="267"/>
      <c r="W308" s="267"/>
      <c r="X308" s="267"/>
      <c r="Y308" s="267"/>
    </row>
    <row r="309" ht="12.75" customHeight="1" spans="1:25">
      <c r="A309" s="266"/>
      <c r="B309" s="266"/>
      <c r="C309" s="266"/>
      <c r="D309" s="266"/>
      <c r="E309" s="266"/>
      <c r="F309" s="266"/>
      <c r="G309" s="266"/>
      <c r="H309" s="266"/>
      <c r="I309" s="266"/>
      <c r="J309" s="266"/>
      <c r="K309" s="266"/>
      <c r="L309" s="266"/>
      <c r="M309" s="266"/>
      <c r="N309" s="266"/>
      <c r="O309" s="266"/>
      <c r="P309" s="267"/>
      <c r="Q309" s="267"/>
      <c r="R309" s="267"/>
      <c r="S309" s="267"/>
      <c r="T309" s="267"/>
      <c r="U309" s="267"/>
      <c r="V309" s="267"/>
      <c r="W309" s="267"/>
      <c r="X309" s="267"/>
      <c r="Y309" s="267"/>
    </row>
    <row r="310" ht="12.75" customHeight="1" spans="1:25">
      <c r="A310" s="266"/>
      <c r="B310" s="266"/>
      <c r="C310" s="266"/>
      <c r="D310" s="266"/>
      <c r="E310" s="266"/>
      <c r="F310" s="266"/>
      <c r="G310" s="266"/>
      <c r="H310" s="266"/>
      <c r="I310" s="266"/>
      <c r="J310" s="266"/>
      <c r="K310" s="266"/>
      <c r="L310" s="266"/>
      <c r="M310" s="266"/>
      <c r="N310" s="266"/>
      <c r="O310" s="266"/>
      <c r="P310" s="267"/>
      <c r="Q310" s="267"/>
      <c r="R310" s="267"/>
      <c r="S310" s="267"/>
      <c r="T310" s="267"/>
      <c r="U310" s="267"/>
      <c r="V310" s="267"/>
      <c r="W310" s="267"/>
      <c r="X310" s="267"/>
      <c r="Y310" s="267"/>
    </row>
    <row r="311" ht="12.75" customHeight="1" spans="1:25">
      <c r="A311" s="266"/>
      <c r="B311" s="266"/>
      <c r="C311" s="266"/>
      <c r="D311" s="266"/>
      <c r="E311" s="266"/>
      <c r="F311" s="266"/>
      <c r="G311" s="266"/>
      <c r="H311" s="266"/>
      <c r="I311" s="266"/>
      <c r="J311" s="266"/>
      <c r="K311" s="266"/>
      <c r="L311" s="266"/>
      <c r="M311" s="266"/>
      <c r="N311" s="266"/>
      <c r="O311" s="266"/>
      <c r="P311" s="267"/>
      <c r="Q311" s="267"/>
      <c r="R311" s="267"/>
      <c r="S311" s="267"/>
      <c r="T311" s="267"/>
      <c r="U311" s="267"/>
      <c r="V311" s="267"/>
      <c r="W311" s="267"/>
      <c r="X311" s="267"/>
      <c r="Y311" s="267"/>
    </row>
    <row r="312" ht="12.75" customHeight="1" spans="1:25">
      <c r="A312" s="266"/>
      <c r="B312" s="266"/>
      <c r="C312" s="266"/>
      <c r="D312" s="266"/>
      <c r="E312" s="266"/>
      <c r="F312" s="266"/>
      <c r="G312" s="266"/>
      <c r="H312" s="266"/>
      <c r="I312" s="266"/>
      <c r="J312" s="266"/>
      <c r="K312" s="266"/>
      <c r="L312" s="266"/>
      <c r="M312" s="266"/>
      <c r="N312" s="266"/>
      <c r="O312" s="266"/>
      <c r="P312" s="267"/>
      <c r="Q312" s="267"/>
      <c r="R312" s="267"/>
      <c r="S312" s="267"/>
      <c r="T312" s="267"/>
      <c r="U312" s="267"/>
      <c r="V312" s="267"/>
      <c r="W312" s="267"/>
      <c r="X312" s="267"/>
      <c r="Y312" s="267"/>
    </row>
    <row r="313" ht="12.75" customHeight="1" spans="1:25">
      <c r="A313" s="266"/>
      <c r="B313" s="266"/>
      <c r="C313" s="266"/>
      <c r="D313" s="266"/>
      <c r="E313" s="266"/>
      <c r="F313" s="266"/>
      <c r="G313" s="266"/>
      <c r="H313" s="266"/>
      <c r="I313" s="266"/>
      <c r="J313" s="266"/>
      <c r="K313" s="266"/>
      <c r="L313" s="266"/>
      <c r="M313" s="266"/>
      <c r="N313" s="266"/>
      <c r="O313" s="266"/>
      <c r="P313" s="267"/>
      <c r="Q313" s="267"/>
      <c r="R313" s="267"/>
      <c r="S313" s="267"/>
      <c r="T313" s="267"/>
      <c r="U313" s="267"/>
      <c r="V313" s="267"/>
      <c r="W313" s="267"/>
      <c r="X313" s="267"/>
      <c r="Y313" s="267"/>
    </row>
    <row r="314" ht="12.75" customHeight="1" spans="1:25">
      <c r="A314" s="266"/>
      <c r="B314" s="266"/>
      <c r="C314" s="266"/>
      <c r="D314" s="266"/>
      <c r="E314" s="266"/>
      <c r="F314" s="266"/>
      <c r="G314" s="266"/>
      <c r="H314" s="266"/>
      <c r="I314" s="266"/>
      <c r="J314" s="266"/>
      <c r="K314" s="266"/>
      <c r="L314" s="266"/>
      <c r="M314" s="266"/>
      <c r="N314" s="266"/>
      <c r="O314" s="266"/>
      <c r="P314" s="267"/>
      <c r="Q314" s="267"/>
      <c r="R314" s="267"/>
      <c r="S314" s="267"/>
      <c r="T314" s="267"/>
      <c r="U314" s="267"/>
      <c r="V314" s="267"/>
      <c r="W314" s="267"/>
      <c r="X314" s="267"/>
      <c r="Y314" s="267"/>
    </row>
    <row r="315" ht="12.75" customHeight="1" spans="1:25">
      <c r="A315" s="266"/>
      <c r="B315" s="266"/>
      <c r="C315" s="266"/>
      <c r="D315" s="266"/>
      <c r="E315" s="266"/>
      <c r="F315" s="266"/>
      <c r="G315" s="266"/>
      <c r="H315" s="266"/>
      <c r="I315" s="266"/>
      <c r="J315" s="266"/>
      <c r="K315" s="266"/>
      <c r="L315" s="266"/>
      <c r="M315" s="266"/>
      <c r="N315" s="266"/>
      <c r="O315" s="266"/>
      <c r="P315" s="267"/>
      <c r="Q315" s="267"/>
      <c r="R315" s="267"/>
      <c r="S315" s="267"/>
      <c r="T315" s="267"/>
      <c r="U315" s="267"/>
      <c r="V315" s="267"/>
      <c r="W315" s="267"/>
      <c r="X315" s="267"/>
      <c r="Y315" s="267"/>
    </row>
    <row r="316" ht="12.75" customHeight="1" spans="1:25">
      <c r="A316" s="266"/>
      <c r="B316" s="266"/>
      <c r="C316" s="266"/>
      <c r="D316" s="266"/>
      <c r="E316" s="266"/>
      <c r="F316" s="266"/>
      <c r="G316" s="266"/>
      <c r="H316" s="266"/>
      <c r="I316" s="266"/>
      <c r="J316" s="266"/>
      <c r="K316" s="266"/>
      <c r="L316" s="266"/>
      <c r="M316" s="266"/>
      <c r="N316" s="266"/>
      <c r="O316" s="266"/>
      <c r="P316" s="267"/>
      <c r="Q316" s="267"/>
      <c r="R316" s="267"/>
      <c r="S316" s="267"/>
      <c r="T316" s="267"/>
      <c r="U316" s="267"/>
      <c r="V316" s="267"/>
      <c r="W316" s="267"/>
      <c r="X316" s="267"/>
      <c r="Y316" s="267"/>
    </row>
    <row r="317" ht="12.75" customHeight="1" spans="1:25">
      <c r="A317" s="266"/>
      <c r="B317" s="266"/>
      <c r="C317" s="266"/>
      <c r="D317" s="266"/>
      <c r="E317" s="266"/>
      <c r="F317" s="266"/>
      <c r="G317" s="266"/>
      <c r="H317" s="266"/>
      <c r="I317" s="266"/>
      <c r="J317" s="266"/>
      <c r="K317" s="266"/>
      <c r="L317" s="266"/>
      <c r="M317" s="266"/>
      <c r="N317" s="266"/>
      <c r="O317" s="266"/>
      <c r="P317" s="267"/>
      <c r="Q317" s="267"/>
      <c r="R317" s="267"/>
      <c r="S317" s="267"/>
      <c r="T317" s="267"/>
      <c r="U317" s="267"/>
      <c r="V317" s="267"/>
      <c r="W317" s="267"/>
      <c r="X317" s="267"/>
      <c r="Y317" s="267"/>
    </row>
    <row r="318" ht="12.75" customHeight="1" spans="1:25">
      <c r="A318" s="266"/>
      <c r="B318" s="266"/>
      <c r="C318" s="266"/>
      <c r="D318" s="266"/>
      <c r="E318" s="266"/>
      <c r="F318" s="266"/>
      <c r="G318" s="266"/>
      <c r="H318" s="266"/>
      <c r="I318" s="266"/>
      <c r="J318" s="266"/>
      <c r="K318" s="266"/>
      <c r="L318" s="266"/>
      <c r="M318" s="266"/>
      <c r="N318" s="266"/>
      <c r="O318" s="266"/>
      <c r="P318" s="267"/>
      <c r="Q318" s="267"/>
      <c r="R318" s="267"/>
      <c r="S318" s="267"/>
      <c r="T318" s="267"/>
      <c r="U318" s="267"/>
      <c r="V318" s="267"/>
      <c r="W318" s="267"/>
      <c r="X318" s="267"/>
      <c r="Y318" s="267"/>
    </row>
    <row r="319" ht="12.75" customHeight="1" spans="1:25">
      <c r="A319" s="266"/>
      <c r="B319" s="266"/>
      <c r="C319" s="266"/>
      <c r="D319" s="266"/>
      <c r="E319" s="266"/>
      <c r="F319" s="266"/>
      <c r="G319" s="266"/>
      <c r="H319" s="266"/>
      <c r="I319" s="266"/>
      <c r="J319" s="266"/>
      <c r="K319" s="266"/>
      <c r="L319" s="266"/>
      <c r="M319" s="266"/>
      <c r="N319" s="266"/>
      <c r="O319" s="266"/>
      <c r="P319" s="267"/>
      <c r="Q319" s="267"/>
      <c r="R319" s="267"/>
      <c r="S319" s="267"/>
      <c r="T319" s="267"/>
      <c r="U319" s="267"/>
      <c r="V319" s="267"/>
      <c r="W319" s="267"/>
      <c r="X319" s="267"/>
      <c r="Y319" s="267"/>
    </row>
    <row r="320" ht="12.75" customHeight="1" spans="1:25">
      <c r="A320" s="266"/>
      <c r="B320" s="266"/>
      <c r="C320" s="266"/>
      <c r="D320" s="266"/>
      <c r="E320" s="266"/>
      <c r="F320" s="266"/>
      <c r="G320" s="266"/>
      <c r="H320" s="266"/>
      <c r="I320" s="266"/>
      <c r="J320" s="266"/>
      <c r="K320" s="266"/>
      <c r="L320" s="266"/>
      <c r="M320" s="266"/>
      <c r="N320" s="266"/>
      <c r="O320" s="266"/>
      <c r="P320" s="267"/>
      <c r="Q320" s="267"/>
      <c r="R320" s="267"/>
      <c r="S320" s="267"/>
      <c r="T320" s="267"/>
      <c r="U320" s="267"/>
      <c r="V320" s="267"/>
      <c r="W320" s="267"/>
      <c r="X320" s="267"/>
      <c r="Y320" s="267"/>
    </row>
    <row r="321" ht="12.75" customHeight="1" spans="1:25">
      <c r="A321" s="266"/>
      <c r="B321" s="266"/>
      <c r="C321" s="266"/>
      <c r="D321" s="266"/>
      <c r="E321" s="266"/>
      <c r="F321" s="266"/>
      <c r="G321" s="266"/>
      <c r="H321" s="266"/>
      <c r="I321" s="266"/>
      <c r="J321" s="266"/>
      <c r="K321" s="266"/>
      <c r="L321" s="266"/>
      <c r="M321" s="266"/>
      <c r="N321" s="266"/>
      <c r="O321" s="266"/>
      <c r="P321" s="267"/>
      <c r="Q321" s="267"/>
      <c r="R321" s="267"/>
      <c r="S321" s="267"/>
      <c r="T321" s="267"/>
      <c r="U321" s="267"/>
      <c r="V321" s="267"/>
      <c r="W321" s="267"/>
      <c r="X321" s="267"/>
      <c r="Y321" s="267"/>
    </row>
    <row r="322" ht="12.75" customHeight="1" spans="1:25">
      <c r="A322" s="266"/>
      <c r="B322" s="266"/>
      <c r="C322" s="266"/>
      <c r="D322" s="266"/>
      <c r="E322" s="266"/>
      <c r="F322" s="266"/>
      <c r="G322" s="266"/>
      <c r="H322" s="266"/>
      <c r="I322" s="266"/>
      <c r="J322" s="266"/>
      <c r="K322" s="266"/>
      <c r="L322" s="266"/>
      <c r="M322" s="266"/>
      <c r="N322" s="266"/>
      <c r="O322" s="266"/>
      <c r="P322" s="267"/>
      <c r="Q322" s="267"/>
      <c r="R322" s="267"/>
      <c r="S322" s="267"/>
      <c r="T322" s="267"/>
      <c r="U322" s="267"/>
      <c r="V322" s="267"/>
      <c r="W322" s="267"/>
      <c r="X322" s="267"/>
      <c r="Y322" s="267"/>
    </row>
    <row r="323" ht="12.75" customHeight="1" spans="1:25">
      <c r="A323" s="266"/>
      <c r="B323" s="266"/>
      <c r="C323" s="266"/>
      <c r="D323" s="266"/>
      <c r="E323" s="266"/>
      <c r="F323" s="266"/>
      <c r="G323" s="266"/>
      <c r="H323" s="266"/>
      <c r="I323" s="266"/>
      <c r="J323" s="266"/>
      <c r="K323" s="266"/>
      <c r="L323" s="266"/>
      <c r="M323" s="266"/>
      <c r="N323" s="266"/>
      <c r="O323" s="266"/>
      <c r="P323" s="267"/>
      <c r="Q323" s="267"/>
      <c r="R323" s="267"/>
      <c r="S323" s="267"/>
      <c r="T323" s="267"/>
      <c r="U323" s="267"/>
      <c r="V323" s="267"/>
      <c r="W323" s="267"/>
      <c r="X323" s="267"/>
      <c r="Y323" s="267"/>
    </row>
    <row r="324" ht="12.75" customHeight="1" spans="1:25">
      <c r="A324" s="266"/>
      <c r="B324" s="266"/>
      <c r="C324" s="266"/>
      <c r="D324" s="266"/>
      <c r="E324" s="266"/>
      <c r="F324" s="266"/>
      <c r="G324" s="266"/>
      <c r="H324" s="266"/>
      <c r="I324" s="266"/>
      <c r="J324" s="266"/>
      <c r="K324" s="266"/>
      <c r="L324" s="266"/>
      <c r="M324" s="266"/>
      <c r="N324" s="266"/>
      <c r="O324" s="266"/>
      <c r="P324" s="267"/>
      <c r="Q324" s="267"/>
      <c r="R324" s="267"/>
      <c r="S324" s="267"/>
      <c r="T324" s="267"/>
      <c r="U324" s="267"/>
      <c r="V324" s="267"/>
      <c r="W324" s="267"/>
      <c r="X324" s="267"/>
      <c r="Y324" s="267"/>
    </row>
    <row r="325" ht="12.75" customHeight="1" spans="1:25">
      <c r="A325" s="266"/>
      <c r="B325" s="266"/>
      <c r="C325" s="266"/>
      <c r="D325" s="266"/>
      <c r="E325" s="266"/>
      <c r="F325" s="266"/>
      <c r="G325" s="266"/>
      <c r="H325" s="266"/>
      <c r="I325" s="266"/>
      <c r="J325" s="266"/>
      <c r="K325" s="266"/>
      <c r="L325" s="266"/>
      <c r="M325" s="266"/>
      <c r="N325" s="266"/>
      <c r="O325" s="266"/>
      <c r="P325" s="267"/>
      <c r="Q325" s="267"/>
      <c r="R325" s="267"/>
      <c r="S325" s="267"/>
      <c r="T325" s="267"/>
      <c r="U325" s="267"/>
      <c r="V325" s="267"/>
      <c r="W325" s="267"/>
      <c r="X325" s="267"/>
      <c r="Y325" s="267"/>
    </row>
    <row r="326" ht="12.75" customHeight="1" spans="1:25">
      <c r="A326" s="266"/>
      <c r="B326" s="266"/>
      <c r="C326" s="266"/>
      <c r="D326" s="266"/>
      <c r="E326" s="266"/>
      <c r="F326" s="266"/>
      <c r="G326" s="266"/>
      <c r="H326" s="266"/>
      <c r="I326" s="266"/>
      <c r="J326" s="266"/>
      <c r="K326" s="266"/>
      <c r="L326" s="266"/>
      <c r="M326" s="266"/>
      <c r="N326" s="266"/>
      <c r="O326" s="266"/>
      <c r="P326" s="267"/>
      <c r="Q326" s="267"/>
      <c r="R326" s="267"/>
      <c r="S326" s="267"/>
      <c r="T326" s="267"/>
      <c r="U326" s="267"/>
      <c r="V326" s="267"/>
      <c r="W326" s="267"/>
      <c r="X326" s="267"/>
      <c r="Y326" s="267"/>
    </row>
    <row r="327" ht="12.75" customHeight="1" spans="1:25">
      <c r="A327" s="266"/>
      <c r="B327" s="266"/>
      <c r="C327" s="266"/>
      <c r="D327" s="266"/>
      <c r="E327" s="266"/>
      <c r="F327" s="266"/>
      <c r="G327" s="266"/>
      <c r="H327" s="266"/>
      <c r="I327" s="266"/>
      <c r="J327" s="266"/>
      <c r="K327" s="266"/>
      <c r="L327" s="266"/>
      <c r="M327" s="266"/>
      <c r="N327" s="266"/>
      <c r="O327" s="266"/>
      <c r="P327" s="267"/>
      <c r="Q327" s="267"/>
      <c r="R327" s="267"/>
      <c r="S327" s="267"/>
      <c r="T327" s="267"/>
      <c r="U327" s="267"/>
      <c r="V327" s="267"/>
      <c r="W327" s="267"/>
      <c r="X327" s="267"/>
      <c r="Y327" s="267"/>
    </row>
    <row r="328" ht="12.75" customHeight="1" spans="1:25">
      <c r="A328" s="266"/>
      <c r="B328" s="266"/>
      <c r="C328" s="266"/>
      <c r="D328" s="266"/>
      <c r="E328" s="266"/>
      <c r="F328" s="266"/>
      <c r="G328" s="266"/>
      <c r="H328" s="266"/>
      <c r="I328" s="266"/>
      <c r="J328" s="266"/>
      <c r="K328" s="266"/>
      <c r="L328" s="266"/>
      <c r="M328" s="266"/>
      <c r="N328" s="266"/>
      <c r="O328" s="266"/>
      <c r="P328" s="267"/>
      <c r="Q328" s="267"/>
      <c r="R328" s="267"/>
      <c r="S328" s="267"/>
      <c r="T328" s="267"/>
      <c r="U328" s="267"/>
      <c r="V328" s="267"/>
      <c r="W328" s="267"/>
      <c r="X328" s="267"/>
      <c r="Y328" s="267"/>
    </row>
    <row r="329" ht="12.75" customHeight="1" spans="1:25">
      <c r="A329" s="266"/>
      <c r="B329" s="266"/>
      <c r="C329" s="266"/>
      <c r="D329" s="266"/>
      <c r="E329" s="266"/>
      <c r="F329" s="266"/>
      <c r="G329" s="266"/>
      <c r="H329" s="266"/>
      <c r="I329" s="266"/>
      <c r="J329" s="266"/>
      <c r="K329" s="266"/>
      <c r="L329" s="266"/>
      <c r="M329" s="266"/>
      <c r="N329" s="266"/>
      <c r="O329" s="266"/>
      <c r="P329" s="267"/>
      <c r="Q329" s="267"/>
      <c r="R329" s="267"/>
      <c r="S329" s="267"/>
      <c r="T329" s="267"/>
      <c r="U329" s="267"/>
      <c r="V329" s="267"/>
      <c r="W329" s="267"/>
      <c r="X329" s="267"/>
      <c r="Y329" s="267"/>
    </row>
    <row r="330" ht="12.75" customHeight="1" spans="1:25">
      <c r="A330" s="266"/>
      <c r="B330" s="266"/>
      <c r="C330" s="266"/>
      <c r="D330" s="266"/>
      <c r="E330" s="266"/>
      <c r="F330" s="266"/>
      <c r="G330" s="266"/>
      <c r="H330" s="266"/>
      <c r="I330" s="266"/>
      <c r="J330" s="266"/>
      <c r="K330" s="266"/>
      <c r="L330" s="266"/>
      <c r="M330" s="266"/>
      <c r="N330" s="266"/>
      <c r="O330" s="266"/>
      <c r="P330" s="267"/>
      <c r="Q330" s="267"/>
      <c r="R330" s="267"/>
      <c r="S330" s="267"/>
      <c r="T330" s="267"/>
      <c r="U330" s="267"/>
      <c r="V330" s="267"/>
      <c r="W330" s="267"/>
      <c r="X330" s="267"/>
      <c r="Y330" s="267"/>
    </row>
    <row r="331" ht="12.75" customHeight="1" spans="1:25">
      <c r="A331" s="266"/>
      <c r="B331" s="266"/>
      <c r="C331" s="266"/>
      <c r="D331" s="266"/>
      <c r="E331" s="266"/>
      <c r="F331" s="266"/>
      <c r="G331" s="266"/>
      <c r="H331" s="266"/>
      <c r="I331" s="266"/>
      <c r="J331" s="266"/>
      <c r="K331" s="266"/>
      <c r="L331" s="266"/>
      <c r="M331" s="266"/>
      <c r="N331" s="266"/>
      <c r="O331" s="266"/>
      <c r="P331" s="267"/>
      <c r="Q331" s="267"/>
      <c r="R331" s="267"/>
      <c r="S331" s="267"/>
      <c r="T331" s="267"/>
      <c r="U331" s="267"/>
      <c r="V331" s="267"/>
      <c r="W331" s="267"/>
      <c r="X331" s="267"/>
      <c r="Y331" s="267"/>
    </row>
    <row r="332" ht="12.75" customHeight="1" spans="1:25">
      <c r="A332" s="266"/>
      <c r="B332" s="266"/>
      <c r="C332" s="266"/>
      <c r="D332" s="266"/>
      <c r="E332" s="266"/>
      <c r="F332" s="266"/>
      <c r="G332" s="266"/>
      <c r="H332" s="266"/>
      <c r="I332" s="266"/>
      <c r="J332" s="266"/>
      <c r="K332" s="266"/>
      <c r="L332" s="266"/>
      <c r="M332" s="266"/>
      <c r="N332" s="266"/>
      <c r="O332" s="266"/>
      <c r="P332" s="267"/>
      <c r="Q332" s="267"/>
      <c r="R332" s="267"/>
      <c r="S332" s="267"/>
      <c r="T332" s="267"/>
      <c r="U332" s="267"/>
      <c r="V332" s="267"/>
      <c r="W332" s="267"/>
      <c r="X332" s="267"/>
      <c r="Y332" s="267"/>
    </row>
    <row r="333" ht="12.75" customHeight="1" spans="1:25">
      <c r="A333" s="266"/>
      <c r="B333" s="266"/>
      <c r="C333" s="266"/>
      <c r="D333" s="266"/>
      <c r="E333" s="266"/>
      <c r="F333" s="266"/>
      <c r="G333" s="266"/>
      <c r="H333" s="266"/>
      <c r="I333" s="266"/>
      <c r="J333" s="266"/>
      <c r="K333" s="266"/>
      <c r="L333" s="266"/>
      <c r="M333" s="266"/>
      <c r="N333" s="266"/>
      <c r="O333" s="266"/>
      <c r="P333" s="267"/>
      <c r="Q333" s="267"/>
      <c r="R333" s="267"/>
      <c r="S333" s="267"/>
      <c r="T333" s="267"/>
      <c r="U333" s="267"/>
      <c r="V333" s="267"/>
      <c r="W333" s="267"/>
      <c r="X333" s="267"/>
      <c r="Y333" s="267"/>
    </row>
    <row r="334" ht="12.75" customHeight="1" spans="1:25">
      <c r="A334" s="266"/>
      <c r="B334" s="266"/>
      <c r="C334" s="266"/>
      <c r="D334" s="266"/>
      <c r="E334" s="266"/>
      <c r="F334" s="266"/>
      <c r="G334" s="266"/>
      <c r="H334" s="266"/>
      <c r="I334" s="266"/>
      <c r="J334" s="266"/>
      <c r="K334" s="266"/>
      <c r="L334" s="266"/>
      <c r="M334" s="266"/>
      <c r="N334" s="266"/>
      <c r="O334" s="266"/>
      <c r="P334" s="267"/>
      <c r="Q334" s="267"/>
      <c r="R334" s="267"/>
      <c r="S334" s="267"/>
      <c r="T334" s="267"/>
      <c r="U334" s="267"/>
      <c r="V334" s="267"/>
      <c r="W334" s="267"/>
      <c r="X334" s="267"/>
      <c r="Y334" s="267"/>
    </row>
    <row r="335" ht="12.75" customHeight="1" spans="1:25">
      <c r="A335" s="266"/>
      <c r="B335" s="266"/>
      <c r="C335" s="266"/>
      <c r="D335" s="266"/>
      <c r="E335" s="266"/>
      <c r="F335" s="266"/>
      <c r="G335" s="266"/>
      <c r="H335" s="266"/>
      <c r="I335" s="266"/>
      <c r="J335" s="266"/>
      <c r="K335" s="266"/>
      <c r="L335" s="266"/>
      <c r="M335" s="266"/>
      <c r="N335" s="266"/>
      <c r="O335" s="266"/>
      <c r="P335" s="267"/>
      <c r="Q335" s="267"/>
      <c r="R335" s="267"/>
      <c r="S335" s="267"/>
      <c r="T335" s="267"/>
      <c r="U335" s="267"/>
      <c r="V335" s="267"/>
      <c r="W335" s="267"/>
      <c r="X335" s="267"/>
      <c r="Y335" s="267"/>
    </row>
    <row r="336" ht="12.75" customHeight="1" spans="1:25">
      <c r="A336" s="266"/>
      <c r="B336" s="266"/>
      <c r="C336" s="266"/>
      <c r="D336" s="266"/>
      <c r="E336" s="266"/>
      <c r="F336" s="266"/>
      <c r="G336" s="266"/>
      <c r="H336" s="266"/>
      <c r="I336" s="266"/>
      <c r="J336" s="266"/>
      <c r="K336" s="266"/>
      <c r="L336" s="266"/>
      <c r="M336" s="266"/>
      <c r="N336" s="266"/>
      <c r="O336" s="266"/>
      <c r="P336" s="267"/>
      <c r="Q336" s="267"/>
      <c r="R336" s="267"/>
      <c r="S336" s="267"/>
      <c r="T336" s="267"/>
      <c r="U336" s="267"/>
      <c r="V336" s="267"/>
      <c r="W336" s="267"/>
      <c r="X336" s="267"/>
      <c r="Y336" s="267"/>
    </row>
    <row r="337" ht="12.75" customHeight="1" spans="1:25">
      <c r="A337" s="266"/>
      <c r="B337" s="266"/>
      <c r="C337" s="266"/>
      <c r="D337" s="266"/>
      <c r="E337" s="266"/>
      <c r="F337" s="266"/>
      <c r="G337" s="266"/>
      <c r="H337" s="266"/>
      <c r="I337" s="266"/>
      <c r="J337" s="266"/>
      <c r="K337" s="266"/>
      <c r="L337" s="266"/>
      <c r="M337" s="266"/>
      <c r="N337" s="266"/>
      <c r="O337" s="266"/>
      <c r="P337" s="267"/>
      <c r="Q337" s="267"/>
      <c r="R337" s="267"/>
      <c r="S337" s="267"/>
      <c r="T337" s="267"/>
      <c r="U337" s="267"/>
      <c r="V337" s="267"/>
      <c r="W337" s="267"/>
      <c r="X337" s="267"/>
      <c r="Y337" s="267"/>
    </row>
    <row r="338" ht="12.75" customHeight="1" spans="1:25">
      <c r="A338" s="266"/>
      <c r="B338" s="266"/>
      <c r="C338" s="266"/>
      <c r="D338" s="266"/>
      <c r="E338" s="266"/>
      <c r="F338" s="266"/>
      <c r="G338" s="266"/>
      <c r="H338" s="266"/>
      <c r="I338" s="266"/>
      <c r="J338" s="266"/>
      <c r="K338" s="266"/>
      <c r="L338" s="266"/>
      <c r="M338" s="266"/>
      <c r="N338" s="266"/>
      <c r="O338" s="266"/>
      <c r="P338" s="267"/>
      <c r="Q338" s="267"/>
      <c r="R338" s="267"/>
      <c r="S338" s="267"/>
      <c r="T338" s="267"/>
      <c r="U338" s="267"/>
      <c r="V338" s="267"/>
      <c r="W338" s="267"/>
      <c r="X338" s="267"/>
      <c r="Y338" s="267"/>
    </row>
    <row r="339" ht="12.75" customHeight="1" spans="1:25">
      <c r="A339" s="266"/>
      <c r="B339" s="266"/>
      <c r="C339" s="266"/>
      <c r="D339" s="266"/>
      <c r="E339" s="266"/>
      <c r="F339" s="266"/>
      <c r="G339" s="266"/>
      <c r="H339" s="266"/>
      <c r="I339" s="266"/>
      <c r="J339" s="266"/>
      <c r="K339" s="266"/>
      <c r="L339" s="266"/>
      <c r="M339" s="266"/>
      <c r="N339" s="266"/>
      <c r="O339" s="266"/>
      <c r="P339" s="267"/>
      <c r="Q339" s="267"/>
      <c r="R339" s="267"/>
      <c r="S339" s="267"/>
      <c r="T339" s="267"/>
      <c r="U339" s="267"/>
      <c r="V339" s="267"/>
      <c r="W339" s="267"/>
      <c r="X339" s="267"/>
      <c r="Y339" s="267"/>
    </row>
    <row r="340" ht="12.75" customHeight="1" spans="1:25">
      <c r="A340" s="266"/>
      <c r="B340" s="266"/>
      <c r="C340" s="266"/>
      <c r="D340" s="266"/>
      <c r="E340" s="266"/>
      <c r="F340" s="266"/>
      <c r="G340" s="266"/>
      <c r="H340" s="266"/>
      <c r="I340" s="266"/>
      <c r="J340" s="266"/>
      <c r="K340" s="266"/>
      <c r="L340" s="266"/>
      <c r="M340" s="266"/>
      <c r="N340" s="266"/>
      <c r="O340" s="266"/>
      <c r="P340" s="267"/>
      <c r="Q340" s="267"/>
      <c r="R340" s="267"/>
      <c r="S340" s="267"/>
      <c r="T340" s="267"/>
      <c r="U340" s="267"/>
      <c r="V340" s="267"/>
      <c r="W340" s="267"/>
      <c r="X340" s="267"/>
      <c r="Y340" s="267"/>
    </row>
    <row r="341" ht="12.75" customHeight="1" spans="1:25">
      <c r="A341" s="266"/>
      <c r="B341" s="266"/>
      <c r="C341" s="266"/>
      <c r="D341" s="266"/>
      <c r="E341" s="266"/>
      <c r="F341" s="266"/>
      <c r="G341" s="266"/>
      <c r="H341" s="266"/>
      <c r="I341" s="266"/>
      <c r="J341" s="266"/>
      <c r="K341" s="266"/>
      <c r="L341" s="266"/>
      <c r="M341" s="266"/>
      <c r="N341" s="266"/>
      <c r="O341" s="266"/>
      <c r="P341" s="267"/>
      <c r="Q341" s="267"/>
      <c r="R341" s="267"/>
      <c r="S341" s="267"/>
      <c r="T341" s="267"/>
      <c r="U341" s="267"/>
      <c r="V341" s="267"/>
      <c r="W341" s="267"/>
      <c r="X341" s="267"/>
      <c r="Y341" s="267"/>
    </row>
    <row r="342" ht="12.75" customHeight="1" spans="1:25">
      <c r="A342" s="266"/>
      <c r="B342" s="266"/>
      <c r="C342" s="266"/>
      <c r="D342" s="266"/>
      <c r="E342" s="266"/>
      <c r="F342" s="266"/>
      <c r="G342" s="266"/>
      <c r="H342" s="266"/>
      <c r="I342" s="266"/>
      <c r="J342" s="266"/>
      <c r="K342" s="266"/>
      <c r="L342" s="266"/>
      <c r="M342" s="266"/>
      <c r="N342" s="266"/>
      <c r="O342" s="266"/>
      <c r="P342" s="267"/>
      <c r="Q342" s="267"/>
      <c r="R342" s="267"/>
      <c r="S342" s="267"/>
      <c r="T342" s="267"/>
      <c r="U342" s="267"/>
      <c r="V342" s="267"/>
      <c r="W342" s="267"/>
      <c r="X342" s="267"/>
      <c r="Y342" s="267"/>
    </row>
    <row r="343" ht="12.75" customHeight="1" spans="1:25">
      <c r="A343" s="266"/>
      <c r="B343" s="266"/>
      <c r="C343" s="266"/>
      <c r="D343" s="266"/>
      <c r="E343" s="266"/>
      <c r="F343" s="266"/>
      <c r="G343" s="266"/>
      <c r="H343" s="266"/>
      <c r="I343" s="266"/>
      <c r="J343" s="266"/>
      <c r="K343" s="266"/>
      <c r="L343" s="266"/>
      <c r="M343" s="266"/>
      <c r="N343" s="266"/>
      <c r="O343" s="266"/>
      <c r="P343" s="267"/>
      <c r="Q343" s="267"/>
      <c r="R343" s="267"/>
      <c r="S343" s="267"/>
      <c r="T343" s="267"/>
      <c r="U343" s="267"/>
      <c r="V343" s="267"/>
      <c r="W343" s="267"/>
      <c r="X343" s="267"/>
      <c r="Y343" s="267"/>
    </row>
    <row r="344" ht="12.75" customHeight="1" spans="1:25">
      <c r="A344" s="266"/>
      <c r="B344" s="266"/>
      <c r="C344" s="266"/>
      <c r="D344" s="266"/>
      <c r="E344" s="266"/>
      <c r="F344" s="266"/>
      <c r="G344" s="266"/>
      <c r="H344" s="266"/>
      <c r="I344" s="266"/>
      <c r="J344" s="266"/>
      <c r="K344" s="266"/>
      <c r="L344" s="266"/>
      <c r="M344" s="266"/>
      <c r="N344" s="266"/>
      <c r="O344" s="266"/>
      <c r="P344" s="267"/>
      <c r="Q344" s="267"/>
      <c r="R344" s="267"/>
      <c r="S344" s="267"/>
      <c r="T344" s="267"/>
      <c r="U344" s="267"/>
      <c r="V344" s="267"/>
      <c r="W344" s="267"/>
      <c r="X344" s="267"/>
      <c r="Y344" s="267"/>
    </row>
    <row r="345" ht="12.75" customHeight="1" spans="1:25">
      <c r="A345" s="266"/>
      <c r="B345" s="266"/>
      <c r="C345" s="266"/>
      <c r="D345" s="266"/>
      <c r="E345" s="266"/>
      <c r="F345" s="266"/>
      <c r="G345" s="266"/>
      <c r="H345" s="266"/>
      <c r="I345" s="266"/>
      <c r="J345" s="266"/>
      <c r="K345" s="266"/>
      <c r="L345" s="266"/>
      <c r="M345" s="266"/>
      <c r="N345" s="266"/>
      <c r="O345" s="266"/>
      <c r="P345" s="267"/>
      <c r="Q345" s="267"/>
      <c r="R345" s="267"/>
      <c r="S345" s="267"/>
      <c r="T345" s="267"/>
      <c r="U345" s="267"/>
      <c r="V345" s="267"/>
      <c r="W345" s="267"/>
      <c r="X345" s="267"/>
      <c r="Y345" s="267"/>
    </row>
    <row r="346" ht="12.75" customHeight="1" spans="1:25">
      <c r="A346" s="266"/>
      <c r="B346" s="266"/>
      <c r="C346" s="266"/>
      <c r="D346" s="266"/>
      <c r="E346" s="266"/>
      <c r="F346" s="266"/>
      <c r="G346" s="266"/>
      <c r="H346" s="266"/>
      <c r="I346" s="266"/>
      <c r="J346" s="266"/>
      <c r="K346" s="266"/>
      <c r="L346" s="266"/>
      <c r="M346" s="266"/>
      <c r="N346" s="266"/>
      <c r="O346" s="266"/>
      <c r="P346" s="267"/>
      <c r="Q346" s="267"/>
      <c r="R346" s="267"/>
      <c r="S346" s="267"/>
      <c r="T346" s="267"/>
      <c r="U346" s="267"/>
      <c r="V346" s="267"/>
      <c r="W346" s="267"/>
      <c r="X346" s="267"/>
      <c r="Y346" s="267"/>
    </row>
    <row r="347" ht="12.75" customHeight="1" spans="1:25">
      <c r="A347" s="266"/>
      <c r="B347" s="266"/>
      <c r="C347" s="266"/>
      <c r="D347" s="266"/>
      <c r="E347" s="266"/>
      <c r="F347" s="266"/>
      <c r="G347" s="266"/>
      <c r="H347" s="266"/>
      <c r="I347" s="266"/>
      <c r="J347" s="266"/>
      <c r="K347" s="266"/>
      <c r="L347" s="266"/>
      <c r="M347" s="266"/>
      <c r="N347" s="266"/>
      <c r="O347" s="266"/>
      <c r="P347" s="267"/>
      <c r="Q347" s="267"/>
      <c r="R347" s="267"/>
      <c r="S347" s="267"/>
      <c r="T347" s="267"/>
      <c r="U347" s="267"/>
      <c r="V347" s="267"/>
      <c r="W347" s="267"/>
      <c r="X347" s="267"/>
      <c r="Y347" s="267"/>
    </row>
    <row r="348" ht="12.75" customHeight="1" spans="1:25">
      <c r="A348" s="266"/>
      <c r="B348" s="266"/>
      <c r="C348" s="266"/>
      <c r="D348" s="266"/>
      <c r="E348" s="266"/>
      <c r="F348" s="266"/>
      <c r="G348" s="266"/>
      <c r="H348" s="266"/>
      <c r="I348" s="266"/>
      <c r="J348" s="266"/>
      <c r="K348" s="266"/>
      <c r="L348" s="266"/>
      <c r="M348" s="266"/>
      <c r="N348" s="266"/>
      <c r="O348" s="266"/>
      <c r="P348" s="267"/>
      <c r="Q348" s="267"/>
      <c r="R348" s="267"/>
      <c r="S348" s="267"/>
      <c r="T348" s="267"/>
      <c r="U348" s="267"/>
      <c r="V348" s="267"/>
      <c r="W348" s="267"/>
      <c r="X348" s="267"/>
      <c r="Y348" s="267"/>
    </row>
    <row r="349" ht="12.75" customHeight="1" spans="1:25">
      <c r="A349" s="266"/>
      <c r="B349" s="266"/>
      <c r="C349" s="266"/>
      <c r="D349" s="266"/>
      <c r="E349" s="266"/>
      <c r="F349" s="266"/>
      <c r="G349" s="266"/>
      <c r="H349" s="266"/>
      <c r="I349" s="266"/>
      <c r="J349" s="266"/>
      <c r="K349" s="266"/>
      <c r="L349" s="266"/>
      <c r="M349" s="266"/>
      <c r="N349" s="266"/>
      <c r="O349" s="266"/>
      <c r="P349" s="267"/>
      <c r="Q349" s="267"/>
      <c r="R349" s="267"/>
      <c r="S349" s="267"/>
      <c r="T349" s="267"/>
      <c r="U349" s="267"/>
      <c r="V349" s="267"/>
      <c r="W349" s="267"/>
      <c r="X349" s="267"/>
      <c r="Y349" s="267"/>
    </row>
    <row r="350" ht="12.75" customHeight="1" spans="1:25">
      <c r="A350" s="266"/>
      <c r="B350" s="266"/>
      <c r="C350" s="266"/>
      <c r="D350" s="266"/>
      <c r="E350" s="266"/>
      <c r="F350" s="266"/>
      <c r="G350" s="266"/>
      <c r="H350" s="266"/>
      <c r="I350" s="266"/>
      <c r="J350" s="266"/>
      <c r="K350" s="266"/>
      <c r="L350" s="266"/>
      <c r="M350" s="266"/>
      <c r="N350" s="266"/>
      <c r="O350" s="266"/>
      <c r="P350" s="267"/>
      <c r="Q350" s="267"/>
      <c r="R350" s="267"/>
      <c r="S350" s="267"/>
      <c r="T350" s="267"/>
      <c r="U350" s="267"/>
      <c r="V350" s="267"/>
      <c r="W350" s="267"/>
      <c r="X350" s="267"/>
      <c r="Y350" s="267"/>
    </row>
    <row r="351" ht="12.75" customHeight="1" spans="1:25">
      <c r="A351" s="266"/>
      <c r="B351" s="266"/>
      <c r="C351" s="266"/>
      <c r="D351" s="266"/>
      <c r="E351" s="266"/>
      <c r="F351" s="266"/>
      <c r="G351" s="266"/>
      <c r="H351" s="266"/>
      <c r="I351" s="266"/>
      <c r="J351" s="266"/>
      <c r="K351" s="266"/>
      <c r="L351" s="266"/>
      <c r="M351" s="266"/>
      <c r="N351" s="266"/>
      <c r="O351" s="266"/>
      <c r="P351" s="267"/>
      <c r="Q351" s="267"/>
      <c r="R351" s="267"/>
      <c r="S351" s="267"/>
      <c r="T351" s="267"/>
      <c r="U351" s="267"/>
      <c r="V351" s="267"/>
      <c r="W351" s="267"/>
      <c r="X351" s="267"/>
      <c r="Y351" s="267"/>
    </row>
    <row r="352" ht="12.75" customHeight="1" spans="1:25">
      <c r="A352" s="266"/>
      <c r="B352" s="266"/>
      <c r="C352" s="266"/>
      <c r="D352" s="266"/>
      <c r="E352" s="266"/>
      <c r="F352" s="266"/>
      <c r="G352" s="266"/>
      <c r="H352" s="266"/>
      <c r="I352" s="266"/>
      <c r="J352" s="266"/>
      <c r="K352" s="266"/>
      <c r="L352" s="266"/>
      <c r="M352" s="266"/>
      <c r="N352" s="266"/>
      <c r="O352" s="266"/>
      <c r="P352" s="267"/>
      <c r="Q352" s="267"/>
      <c r="R352" s="267"/>
      <c r="S352" s="267"/>
      <c r="T352" s="267"/>
      <c r="U352" s="267"/>
      <c r="V352" s="267"/>
      <c r="W352" s="267"/>
      <c r="X352" s="267"/>
      <c r="Y352" s="267"/>
    </row>
    <row r="353" ht="12.75" customHeight="1" spans="1:25">
      <c r="A353" s="266"/>
      <c r="B353" s="266"/>
      <c r="C353" s="266"/>
      <c r="D353" s="266"/>
      <c r="E353" s="266"/>
      <c r="F353" s="266"/>
      <c r="G353" s="266"/>
      <c r="H353" s="266"/>
      <c r="I353" s="266"/>
      <c r="J353" s="266"/>
      <c r="K353" s="266"/>
      <c r="L353" s="266"/>
      <c r="M353" s="266"/>
      <c r="N353" s="266"/>
      <c r="O353" s="266"/>
      <c r="P353" s="267"/>
      <c r="Q353" s="267"/>
      <c r="R353" s="267"/>
      <c r="S353" s="267"/>
      <c r="T353" s="267"/>
      <c r="U353" s="267"/>
      <c r="V353" s="267"/>
      <c r="W353" s="267"/>
      <c r="X353" s="267"/>
      <c r="Y353" s="267"/>
    </row>
    <row r="354" ht="12.75" customHeight="1" spans="1:25">
      <c r="A354" s="266"/>
      <c r="B354" s="266"/>
      <c r="C354" s="266"/>
      <c r="D354" s="266"/>
      <c r="E354" s="266"/>
      <c r="F354" s="266"/>
      <c r="G354" s="266"/>
      <c r="H354" s="266"/>
      <c r="I354" s="266"/>
      <c r="J354" s="266"/>
      <c r="K354" s="266"/>
      <c r="L354" s="266"/>
      <c r="M354" s="266"/>
      <c r="N354" s="266"/>
      <c r="O354" s="266"/>
      <c r="P354" s="267"/>
      <c r="Q354" s="267"/>
      <c r="R354" s="267"/>
      <c r="S354" s="267"/>
      <c r="T354" s="267"/>
      <c r="U354" s="267"/>
      <c r="V354" s="267"/>
      <c r="W354" s="267"/>
      <c r="X354" s="267"/>
      <c r="Y354" s="267"/>
    </row>
    <row r="355" ht="12.75" customHeight="1" spans="1:25">
      <c r="A355" s="266"/>
      <c r="B355" s="266"/>
      <c r="C355" s="266"/>
      <c r="D355" s="266"/>
      <c r="E355" s="266"/>
      <c r="F355" s="266"/>
      <c r="G355" s="266"/>
      <c r="H355" s="266"/>
      <c r="I355" s="266"/>
      <c r="J355" s="266"/>
      <c r="K355" s="266"/>
      <c r="L355" s="266"/>
      <c r="M355" s="266"/>
      <c r="N355" s="266"/>
      <c r="O355" s="266"/>
      <c r="P355" s="267"/>
      <c r="Q355" s="267"/>
      <c r="R355" s="267"/>
      <c r="S355" s="267"/>
      <c r="T355" s="267"/>
      <c r="U355" s="267"/>
      <c r="V355" s="267"/>
      <c r="W355" s="267"/>
      <c r="X355" s="267"/>
      <c r="Y355" s="267"/>
    </row>
    <row r="356" ht="12.75" customHeight="1" spans="1:25">
      <c r="A356" s="266"/>
      <c r="B356" s="266"/>
      <c r="C356" s="266"/>
      <c r="D356" s="266"/>
      <c r="E356" s="266"/>
      <c r="F356" s="266"/>
      <c r="G356" s="266"/>
      <c r="H356" s="266"/>
      <c r="I356" s="266"/>
      <c r="J356" s="266"/>
      <c r="K356" s="266"/>
      <c r="L356" s="266"/>
      <c r="M356" s="266"/>
      <c r="N356" s="266"/>
      <c r="O356" s="266"/>
      <c r="P356" s="267"/>
      <c r="Q356" s="267"/>
      <c r="R356" s="267"/>
      <c r="S356" s="267"/>
      <c r="T356" s="267"/>
      <c r="U356" s="267"/>
      <c r="V356" s="267"/>
      <c r="W356" s="267"/>
      <c r="X356" s="267"/>
      <c r="Y356" s="267"/>
    </row>
    <row r="357" ht="12.75" customHeight="1" spans="1:25">
      <c r="A357" s="266"/>
      <c r="B357" s="266"/>
      <c r="C357" s="266"/>
      <c r="D357" s="266"/>
      <c r="E357" s="266"/>
      <c r="F357" s="266"/>
      <c r="G357" s="266"/>
      <c r="H357" s="266"/>
      <c r="I357" s="266"/>
      <c r="J357" s="266"/>
      <c r="K357" s="266"/>
      <c r="L357" s="266"/>
      <c r="M357" s="266"/>
      <c r="N357" s="266"/>
      <c r="O357" s="266"/>
      <c r="P357" s="267"/>
      <c r="Q357" s="267"/>
      <c r="R357" s="267"/>
      <c r="S357" s="267"/>
      <c r="T357" s="267"/>
      <c r="U357" s="267"/>
      <c r="V357" s="267"/>
      <c r="W357" s="267"/>
      <c r="X357" s="267"/>
      <c r="Y357" s="267"/>
    </row>
    <row r="358" ht="12.75" customHeight="1" spans="1:25">
      <c r="A358" s="266"/>
      <c r="B358" s="266"/>
      <c r="C358" s="266"/>
      <c r="D358" s="266"/>
      <c r="E358" s="266"/>
      <c r="F358" s="266"/>
      <c r="G358" s="266"/>
      <c r="H358" s="266"/>
      <c r="I358" s="266"/>
      <c r="J358" s="266"/>
      <c r="K358" s="266"/>
      <c r="L358" s="266"/>
      <c r="M358" s="266"/>
      <c r="N358" s="266"/>
      <c r="O358" s="266"/>
      <c r="P358" s="267"/>
      <c r="Q358" s="267"/>
      <c r="R358" s="267"/>
      <c r="S358" s="267"/>
      <c r="T358" s="267"/>
      <c r="U358" s="267"/>
      <c r="V358" s="267"/>
      <c r="W358" s="267"/>
      <c r="X358" s="267"/>
      <c r="Y358" s="267"/>
    </row>
    <row r="359" ht="12.75" customHeight="1" spans="1:25">
      <c r="A359" s="266"/>
      <c r="B359" s="266"/>
      <c r="C359" s="266"/>
      <c r="D359" s="266"/>
      <c r="E359" s="266"/>
      <c r="F359" s="266"/>
      <c r="G359" s="266"/>
      <c r="H359" s="266"/>
      <c r="I359" s="266"/>
      <c r="J359" s="266"/>
      <c r="K359" s="266"/>
      <c r="L359" s="266"/>
      <c r="M359" s="266"/>
      <c r="N359" s="266"/>
      <c r="O359" s="266"/>
      <c r="P359" s="267"/>
      <c r="Q359" s="267"/>
      <c r="R359" s="267"/>
      <c r="S359" s="267"/>
      <c r="T359" s="267"/>
      <c r="U359" s="267"/>
      <c r="V359" s="267"/>
      <c r="W359" s="267"/>
      <c r="X359" s="267"/>
      <c r="Y359" s="267"/>
    </row>
    <row r="360" ht="12.75" customHeight="1" spans="1:25">
      <c r="A360" s="266"/>
      <c r="B360" s="266"/>
      <c r="C360" s="266"/>
      <c r="D360" s="266"/>
      <c r="E360" s="266"/>
      <c r="F360" s="266"/>
      <c r="G360" s="266"/>
      <c r="H360" s="266"/>
      <c r="I360" s="266"/>
      <c r="J360" s="266"/>
      <c r="K360" s="266"/>
      <c r="L360" s="266"/>
      <c r="M360" s="266"/>
      <c r="N360" s="266"/>
      <c r="O360" s="266"/>
      <c r="P360" s="267"/>
      <c r="Q360" s="267"/>
      <c r="R360" s="267"/>
      <c r="S360" s="267"/>
      <c r="T360" s="267"/>
      <c r="U360" s="267"/>
      <c r="V360" s="267"/>
      <c r="W360" s="267"/>
      <c r="X360" s="267"/>
      <c r="Y360" s="267"/>
    </row>
    <row r="361" ht="12.75" customHeight="1" spans="1:25">
      <c r="A361" s="266"/>
      <c r="B361" s="266"/>
      <c r="C361" s="266"/>
      <c r="D361" s="266"/>
      <c r="E361" s="266"/>
      <c r="F361" s="266"/>
      <c r="G361" s="266"/>
      <c r="H361" s="266"/>
      <c r="I361" s="266"/>
      <c r="J361" s="266"/>
      <c r="K361" s="266"/>
      <c r="L361" s="266"/>
      <c r="M361" s="266"/>
      <c r="N361" s="266"/>
      <c r="O361" s="266"/>
      <c r="P361" s="267"/>
      <c r="Q361" s="267"/>
      <c r="R361" s="267"/>
      <c r="S361" s="267"/>
      <c r="T361" s="267"/>
      <c r="U361" s="267"/>
      <c r="V361" s="267"/>
      <c r="W361" s="267"/>
      <c r="X361" s="267"/>
      <c r="Y361" s="267"/>
    </row>
    <row r="362" ht="12.75" customHeight="1" spans="1:25">
      <c r="A362" s="266"/>
      <c r="B362" s="266"/>
      <c r="C362" s="266"/>
      <c r="D362" s="266"/>
      <c r="E362" s="266"/>
      <c r="F362" s="266"/>
      <c r="G362" s="266"/>
      <c r="H362" s="266"/>
      <c r="I362" s="266"/>
      <c r="J362" s="266"/>
      <c r="K362" s="266"/>
      <c r="L362" s="266"/>
      <c r="M362" s="266"/>
      <c r="N362" s="266"/>
      <c r="O362" s="266"/>
      <c r="P362" s="267"/>
      <c r="Q362" s="267"/>
      <c r="R362" s="267"/>
      <c r="S362" s="267"/>
      <c r="T362" s="267"/>
      <c r="U362" s="267"/>
      <c r="V362" s="267"/>
      <c r="W362" s="267"/>
      <c r="X362" s="267"/>
      <c r="Y362" s="267"/>
    </row>
    <row r="363" ht="12.75" customHeight="1" spans="1:25">
      <c r="A363" s="266"/>
      <c r="B363" s="266"/>
      <c r="C363" s="266"/>
      <c r="D363" s="266"/>
      <c r="E363" s="266"/>
      <c r="F363" s="266"/>
      <c r="G363" s="266"/>
      <c r="H363" s="266"/>
      <c r="I363" s="266"/>
      <c r="J363" s="266"/>
      <c r="K363" s="266"/>
      <c r="L363" s="266"/>
      <c r="M363" s="266"/>
      <c r="N363" s="266"/>
      <c r="O363" s="266"/>
      <c r="P363" s="267"/>
      <c r="Q363" s="267"/>
      <c r="R363" s="267"/>
      <c r="S363" s="267"/>
      <c r="T363" s="267"/>
      <c r="U363" s="267"/>
      <c r="V363" s="267"/>
      <c r="W363" s="267"/>
      <c r="X363" s="267"/>
      <c r="Y363" s="267"/>
    </row>
    <row r="364" ht="12.75" customHeight="1" spans="1:25">
      <c r="A364" s="266"/>
      <c r="B364" s="266"/>
      <c r="C364" s="266"/>
      <c r="D364" s="266"/>
      <c r="E364" s="266"/>
      <c r="F364" s="266"/>
      <c r="G364" s="266"/>
      <c r="H364" s="266"/>
      <c r="I364" s="266"/>
      <c r="J364" s="266"/>
      <c r="K364" s="266"/>
      <c r="L364" s="266"/>
      <c r="M364" s="266"/>
      <c r="N364" s="266"/>
      <c r="O364" s="266"/>
      <c r="P364" s="267"/>
      <c r="Q364" s="267"/>
      <c r="R364" s="267"/>
      <c r="S364" s="267"/>
      <c r="T364" s="267"/>
      <c r="U364" s="267"/>
      <c r="V364" s="267"/>
      <c r="W364" s="267"/>
      <c r="X364" s="267"/>
      <c r="Y364" s="267"/>
    </row>
    <row r="365" ht="12.75" customHeight="1" spans="1:25">
      <c r="A365" s="266"/>
      <c r="B365" s="266"/>
      <c r="C365" s="266"/>
      <c r="D365" s="266"/>
      <c r="E365" s="266"/>
      <c r="F365" s="266"/>
      <c r="G365" s="266"/>
      <c r="H365" s="266"/>
      <c r="I365" s="266"/>
      <c r="J365" s="266"/>
      <c r="K365" s="266"/>
      <c r="L365" s="266"/>
      <c r="M365" s="266"/>
      <c r="N365" s="266"/>
      <c r="O365" s="266"/>
      <c r="P365" s="267"/>
      <c r="Q365" s="267"/>
      <c r="R365" s="267"/>
      <c r="S365" s="267"/>
      <c r="T365" s="267"/>
      <c r="U365" s="267"/>
      <c r="V365" s="267"/>
      <c r="W365" s="267"/>
      <c r="X365" s="267"/>
      <c r="Y365" s="267"/>
    </row>
    <row r="366" ht="12.75" customHeight="1" spans="1:25">
      <c r="A366" s="266"/>
      <c r="B366" s="266"/>
      <c r="C366" s="266"/>
      <c r="D366" s="266"/>
      <c r="E366" s="266"/>
      <c r="F366" s="266"/>
      <c r="G366" s="266"/>
      <c r="H366" s="266"/>
      <c r="I366" s="266"/>
      <c r="J366" s="266"/>
      <c r="K366" s="266"/>
      <c r="L366" s="266"/>
      <c r="M366" s="266"/>
      <c r="N366" s="266"/>
      <c r="O366" s="266"/>
      <c r="P366" s="267"/>
      <c r="Q366" s="267"/>
      <c r="R366" s="267"/>
      <c r="S366" s="267"/>
      <c r="T366" s="267"/>
      <c r="U366" s="267"/>
      <c r="V366" s="267"/>
      <c r="W366" s="267"/>
      <c r="X366" s="267"/>
      <c r="Y366" s="267"/>
    </row>
    <row r="367" ht="12.75" customHeight="1" spans="1:25">
      <c r="A367" s="266"/>
      <c r="B367" s="266"/>
      <c r="C367" s="266"/>
      <c r="D367" s="266"/>
      <c r="E367" s="266"/>
      <c r="F367" s="266"/>
      <c r="G367" s="266"/>
      <c r="H367" s="266"/>
      <c r="I367" s="266"/>
      <c r="J367" s="266"/>
      <c r="K367" s="266"/>
      <c r="L367" s="266"/>
      <c r="M367" s="266"/>
      <c r="N367" s="266"/>
      <c r="O367" s="266"/>
      <c r="P367" s="267"/>
      <c r="Q367" s="267"/>
      <c r="R367" s="267"/>
      <c r="S367" s="267"/>
      <c r="T367" s="267"/>
      <c r="U367" s="267"/>
      <c r="V367" s="267"/>
      <c r="W367" s="267"/>
      <c r="X367" s="267"/>
      <c r="Y367" s="267"/>
    </row>
    <row r="368" ht="12.75" customHeight="1" spans="1:25">
      <c r="A368" s="266"/>
      <c r="B368" s="266"/>
      <c r="C368" s="266"/>
      <c r="D368" s="266"/>
      <c r="E368" s="266"/>
      <c r="F368" s="266"/>
      <c r="G368" s="266"/>
      <c r="H368" s="266"/>
      <c r="I368" s="266"/>
      <c r="J368" s="266"/>
      <c r="K368" s="266"/>
      <c r="L368" s="266"/>
      <c r="M368" s="266"/>
      <c r="N368" s="266"/>
      <c r="O368" s="266"/>
      <c r="P368" s="267"/>
      <c r="Q368" s="267"/>
      <c r="R368" s="267"/>
      <c r="S368" s="267"/>
      <c r="T368" s="267"/>
      <c r="U368" s="267"/>
      <c r="V368" s="267"/>
      <c r="W368" s="267"/>
      <c r="X368" s="267"/>
      <c r="Y368" s="267"/>
    </row>
    <row r="369" ht="12.75" customHeight="1" spans="1:25">
      <c r="A369" s="266"/>
      <c r="B369" s="266"/>
      <c r="C369" s="266"/>
      <c r="D369" s="266"/>
      <c r="E369" s="266"/>
      <c r="F369" s="266"/>
      <c r="G369" s="266"/>
      <c r="H369" s="266"/>
      <c r="I369" s="266"/>
      <c r="J369" s="266"/>
      <c r="K369" s="266"/>
      <c r="L369" s="266"/>
      <c r="M369" s="266"/>
      <c r="N369" s="266"/>
      <c r="O369" s="266"/>
      <c r="P369" s="267"/>
      <c r="Q369" s="267"/>
      <c r="R369" s="267"/>
      <c r="S369" s="267"/>
      <c r="T369" s="267"/>
      <c r="U369" s="267"/>
      <c r="V369" s="267"/>
      <c r="W369" s="267"/>
      <c r="X369" s="267"/>
      <c r="Y369" s="267"/>
    </row>
    <row r="370" ht="12.75" customHeight="1" spans="1:25">
      <c r="A370" s="266"/>
      <c r="B370" s="266"/>
      <c r="C370" s="266"/>
      <c r="D370" s="266"/>
      <c r="E370" s="266"/>
      <c r="F370" s="266"/>
      <c r="G370" s="266"/>
      <c r="H370" s="266"/>
      <c r="I370" s="266"/>
      <c r="J370" s="266"/>
      <c r="K370" s="266"/>
      <c r="L370" s="266"/>
      <c r="M370" s="266"/>
      <c r="N370" s="266"/>
      <c r="O370" s="266"/>
      <c r="P370" s="267"/>
      <c r="Q370" s="267"/>
      <c r="R370" s="267"/>
      <c r="S370" s="267"/>
      <c r="T370" s="267"/>
      <c r="U370" s="267"/>
      <c r="V370" s="267"/>
      <c r="W370" s="267"/>
      <c r="X370" s="267"/>
      <c r="Y370" s="267"/>
    </row>
    <row r="371" ht="12.75" customHeight="1" spans="1:25">
      <c r="A371" s="266"/>
      <c r="B371" s="266"/>
      <c r="C371" s="266"/>
      <c r="D371" s="266"/>
      <c r="E371" s="266"/>
      <c r="F371" s="266"/>
      <c r="G371" s="266"/>
      <c r="H371" s="266"/>
      <c r="I371" s="266"/>
      <c r="J371" s="266"/>
      <c r="K371" s="266"/>
      <c r="L371" s="266"/>
      <c r="M371" s="266"/>
      <c r="N371" s="266"/>
      <c r="O371" s="266"/>
      <c r="P371" s="267"/>
      <c r="Q371" s="267"/>
      <c r="R371" s="267"/>
      <c r="S371" s="267"/>
      <c r="T371" s="267"/>
      <c r="U371" s="267"/>
      <c r="V371" s="267"/>
      <c r="W371" s="267"/>
      <c r="X371" s="267"/>
      <c r="Y371" s="267"/>
    </row>
    <row r="372" ht="12.75" customHeight="1" spans="1:25">
      <c r="A372" s="266"/>
      <c r="B372" s="266"/>
      <c r="C372" s="266"/>
      <c r="D372" s="266"/>
      <c r="E372" s="266"/>
      <c r="F372" s="266"/>
      <c r="G372" s="266"/>
      <c r="H372" s="266"/>
      <c r="I372" s="266"/>
      <c r="J372" s="266"/>
      <c r="K372" s="266"/>
      <c r="L372" s="266"/>
      <c r="M372" s="266"/>
      <c r="N372" s="266"/>
      <c r="O372" s="266"/>
      <c r="P372" s="267"/>
      <c r="Q372" s="267"/>
      <c r="R372" s="267"/>
      <c r="S372" s="267"/>
      <c r="T372" s="267"/>
      <c r="U372" s="267"/>
      <c r="V372" s="267"/>
      <c r="W372" s="267"/>
      <c r="X372" s="267"/>
      <c r="Y372" s="267"/>
    </row>
    <row r="373" ht="12.75" customHeight="1" spans="1:25">
      <c r="A373" s="266"/>
      <c r="B373" s="266"/>
      <c r="C373" s="266"/>
      <c r="D373" s="266"/>
      <c r="E373" s="266"/>
      <c r="F373" s="266"/>
      <c r="G373" s="266"/>
      <c r="H373" s="266"/>
      <c r="I373" s="266"/>
      <c r="J373" s="266"/>
      <c r="K373" s="266"/>
      <c r="L373" s="266"/>
      <c r="M373" s="266"/>
      <c r="N373" s="266"/>
      <c r="O373" s="266"/>
      <c r="P373" s="267"/>
      <c r="Q373" s="267"/>
      <c r="R373" s="267"/>
      <c r="S373" s="267"/>
      <c r="T373" s="267"/>
      <c r="U373" s="267"/>
      <c r="V373" s="267"/>
      <c r="W373" s="267"/>
      <c r="X373" s="267"/>
      <c r="Y373" s="267"/>
    </row>
    <row r="374" ht="12.75" customHeight="1" spans="1:25">
      <c r="A374" s="266"/>
      <c r="B374" s="266"/>
      <c r="C374" s="266"/>
      <c r="D374" s="266"/>
      <c r="E374" s="266"/>
      <c r="F374" s="266"/>
      <c r="G374" s="266"/>
      <c r="H374" s="266"/>
      <c r="I374" s="266"/>
      <c r="J374" s="266"/>
      <c r="K374" s="266"/>
      <c r="L374" s="266"/>
      <c r="M374" s="266"/>
      <c r="N374" s="266"/>
      <c r="O374" s="266"/>
      <c r="P374" s="267"/>
      <c r="Q374" s="267"/>
      <c r="R374" s="267"/>
      <c r="S374" s="267"/>
      <c r="T374" s="267"/>
      <c r="U374" s="267"/>
      <c r="V374" s="267"/>
      <c r="W374" s="267"/>
      <c r="X374" s="267"/>
      <c r="Y374" s="267"/>
    </row>
    <row r="375" ht="12.75" customHeight="1" spans="1:25">
      <c r="A375" s="266"/>
      <c r="B375" s="266"/>
      <c r="C375" s="266"/>
      <c r="D375" s="266"/>
      <c r="E375" s="266"/>
      <c r="F375" s="266"/>
      <c r="G375" s="266"/>
      <c r="H375" s="266"/>
      <c r="I375" s="266"/>
      <c r="J375" s="266"/>
      <c r="K375" s="266"/>
      <c r="L375" s="266"/>
      <c r="M375" s="266"/>
      <c r="N375" s="266"/>
      <c r="O375" s="266"/>
      <c r="P375" s="267"/>
      <c r="Q375" s="267"/>
      <c r="R375" s="267"/>
      <c r="S375" s="267"/>
      <c r="T375" s="267"/>
      <c r="U375" s="267"/>
      <c r="V375" s="267"/>
      <c r="W375" s="267"/>
      <c r="X375" s="267"/>
      <c r="Y375" s="267"/>
    </row>
    <row r="376" ht="12.75" customHeight="1" spans="1:25">
      <c r="A376" s="266"/>
      <c r="B376" s="266"/>
      <c r="C376" s="266"/>
      <c r="D376" s="266"/>
      <c r="E376" s="266"/>
      <c r="F376" s="266"/>
      <c r="G376" s="266"/>
      <c r="H376" s="266"/>
      <c r="I376" s="266"/>
      <c r="J376" s="266"/>
      <c r="K376" s="266"/>
      <c r="L376" s="266"/>
      <c r="M376" s="266"/>
      <c r="N376" s="266"/>
      <c r="O376" s="266"/>
      <c r="P376" s="267"/>
      <c r="Q376" s="267"/>
      <c r="R376" s="267"/>
      <c r="S376" s="267"/>
      <c r="T376" s="267"/>
      <c r="U376" s="267"/>
      <c r="V376" s="267"/>
      <c r="W376" s="267"/>
      <c r="X376" s="267"/>
      <c r="Y376" s="267"/>
    </row>
    <row r="377" ht="12.75" customHeight="1" spans="1:25">
      <c r="A377" s="266"/>
      <c r="B377" s="266"/>
      <c r="C377" s="266"/>
      <c r="D377" s="266"/>
      <c r="E377" s="266"/>
      <c r="F377" s="266"/>
      <c r="G377" s="266"/>
      <c r="H377" s="266"/>
      <c r="I377" s="266"/>
      <c r="J377" s="266"/>
      <c r="K377" s="266"/>
      <c r="L377" s="266"/>
      <c r="M377" s="266"/>
      <c r="N377" s="266"/>
      <c r="O377" s="266"/>
      <c r="P377" s="267"/>
      <c r="Q377" s="267"/>
      <c r="R377" s="267"/>
      <c r="S377" s="267"/>
      <c r="T377" s="267"/>
      <c r="U377" s="267"/>
      <c r="V377" s="267"/>
      <c r="W377" s="267"/>
      <c r="X377" s="267"/>
      <c r="Y377" s="267"/>
    </row>
    <row r="378" ht="12.75" customHeight="1" spans="1:25">
      <c r="A378" s="266"/>
      <c r="B378" s="266"/>
      <c r="C378" s="266"/>
      <c r="D378" s="266"/>
      <c r="E378" s="266"/>
      <c r="F378" s="266"/>
      <c r="G378" s="266"/>
      <c r="H378" s="266"/>
      <c r="I378" s="266"/>
      <c r="J378" s="266"/>
      <c r="K378" s="266"/>
      <c r="L378" s="266"/>
      <c r="M378" s="266"/>
      <c r="N378" s="266"/>
      <c r="O378" s="266"/>
      <c r="P378" s="267"/>
      <c r="Q378" s="267"/>
      <c r="R378" s="267"/>
      <c r="S378" s="267"/>
      <c r="T378" s="267"/>
      <c r="U378" s="267"/>
      <c r="V378" s="267"/>
      <c r="W378" s="267"/>
      <c r="X378" s="267"/>
      <c r="Y378" s="267"/>
    </row>
    <row r="379" ht="12.75" customHeight="1" spans="1:25">
      <c r="A379" s="266"/>
      <c r="B379" s="266"/>
      <c r="C379" s="266"/>
      <c r="D379" s="266"/>
      <c r="E379" s="266"/>
      <c r="F379" s="266"/>
      <c r="G379" s="266"/>
      <c r="H379" s="266"/>
      <c r="I379" s="266"/>
      <c r="J379" s="266"/>
      <c r="K379" s="266"/>
      <c r="L379" s="266"/>
      <c r="M379" s="266"/>
      <c r="N379" s="266"/>
      <c r="O379" s="266"/>
      <c r="P379" s="267"/>
      <c r="Q379" s="267"/>
      <c r="R379" s="267"/>
      <c r="S379" s="267"/>
      <c r="T379" s="267"/>
      <c r="U379" s="267"/>
      <c r="V379" s="267"/>
      <c r="W379" s="267"/>
      <c r="X379" s="267"/>
      <c r="Y379" s="267"/>
    </row>
    <row r="380" ht="12.75" customHeight="1" spans="1:25">
      <c r="A380" s="266"/>
      <c r="B380" s="266"/>
      <c r="C380" s="266"/>
      <c r="D380" s="266"/>
      <c r="E380" s="266"/>
      <c r="F380" s="266"/>
      <c r="G380" s="266"/>
      <c r="H380" s="266"/>
      <c r="I380" s="266"/>
      <c r="J380" s="266"/>
      <c r="K380" s="266"/>
      <c r="L380" s="266"/>
      <c r="M380" s="266"/>
      <c r="N380" s="266"/>
      <c r="O380" s="266"/>
      <c r="P380" s="267"/>
      <c r="Q380" s="267"/>
      <c r="R380" s="267"/>
      <c r="S380" s="267"/>
      <c r="T380" s="267"/>
      <c r="U380" s="267"/>
      <c r="V380" s="267"/>
      <c r="W380" s="267"/>
      <c r="X380" s="267"/>
      <c r="Y380" s="267"/>
    </row>
    <row r="381" ht="12.75" customHeight="1" spans="1:25">
      <c r="A381" s="266"/>
      <c r="B381" s="266"/>
      <c r="C381" s="266"/>
      <c r="D381" s="266"/>
      <c r="E381" s="266"/>
      <c r="F381" s="266"/>
      <c r="G381" s="266"/>
      <c r="H381" s="266"/>
      <c r="I381" s="266"/>
      <c r="J381" s="266"/>
      <c r="K381" s="266"/>
      <c r="L381" s="266"/>
      <c r="M381" s="266"/>
      <c r="N381" s="266"/>
      <c r="O381" s="266"/>
      <c r="P381" s="267"/>
      <c r="Q381" s="267"/>
      <c r="R381" s="267"/>
      <c r="S381" s="267"/>
      <c r="T381" s="267"/>
      <c r="U381" s="267"/>
      <c r="V381" s="267"/>
      <c r="W381" s="267"/>
      <c r="X381" s="267"/>
      <c r="Y381" s="267"/>
    </row>
    <row r="382" ht="12.75" customHeight="1" spans="1:25">
      <c r="A382" s="266"/>
      <c r="B382" s="266"/>
      <c r="C382" s="266"/>
      <c r="D382" s="266"/>
      <c r="E382" s="266"/>
      <c r="F382" s="266"/>
      <c r="G382" s="266"/>
      <c r="H382" s="266"/>
      <c r="I382" s="266"/>
      <c r="J382" s="266"/>
      <c r="K382" s="266"/>
      <c r="L382" s="266"/>
      <c r="M382" s="266"/>
      <c r="N382" s="266"/>
      <c r="O382" s="266"/>
      <c r="P382" s="267"/>
      <c r="Q382" s="267"/>
      <c r="R382" s="267"/>
      <c r="S382" s="267"/>
      <c r="T382" s="267"/>
      <c r="U382" s="267"/>
      <c r="V382" s="267"/>
      <c r="W382" s="267"/>
      <c r="X382" s="267"/>
      <c r="Y382" s="267"/>
    </row>
    <row r="383" ht="12.75" customHeight="1" spans="1:25">
      <c r="A383" s="266"/>
      <c r="B383" s="266"/>
      <c r="C383" s="266"/>
      <c r="D383" s="266"/>
      <c r="E383" s="266"/>
      <c r="F383" s="266"/>
      <c r="G383" s="266"/>
      <c r="H383" s="266"/>
      <c r="I383" s="266"/>
      <c r="J383" s="266"/>
      <c r="K383" s="266"/>
      <c r="L383" s="266"/>
      <c r="M383" s="266"/>
      <c r="N383" s="266"/>
      <c r="O383" s="266"/>
      <c r="P383" s="267"/>
      <c r="Q383" s="267"/>
      <c r="R383" s="267"/>
      <c r="S383" s="267"/>
      <c r="T383" s="267"/>
      <c r="U383" s="267"/>
      <c r="V383" s="267"/>
      <c r="W383" s="267"/>
      <c r="X383" s="267"/>
      <c r="Y383" s="267"/>
    </row>
    <row r="384" ht="12.75" customHeight="1" spans="1:25">
      <c r="A384" s="266"/>
      <c r="B384" s="266"/>
      <c r="C384" s="266"/>
      <c r="D384" s="266"/>
      <c r="E384" s="266"/>
      <c r="F384" s="266"/>
      <c r="G384" s="266"/>
      <c r="H384" s="266"/>
      <c r="I384" s="266"/>
      <c r="J384" s="266"/>
      <c r="K384" s="266"/>
      <c r="L384" s="266"/>
      <c r="M384" s="266"/>
      <c r="N384" s="266"/>
      <c r="O384" s="266"/>
      <c r="P384" s="267"/>
      <c r="Q384" s="267"/>
      <c r="R384" s="267"/>
      <c r="S384" s="267"/>
      <c r="T384" s="267"/>
      <c r="U384" s="267"/>
      <c r="V384" s="267"/>
      <c r="W384" s="267"/>
      <c r="X384" s="267"/>
      <c r="Y384" s="267"/>
    </row>
    <row r="385" ht="12.75" customHeight="1" spans="1:25">
      <c r="A385" s="266"/>
      <c r="B385" s="266"/>
      <c r="C385" s="266"/>
      <c r="D385" s="266"/>
      <c r="E385" s="266"/>
      <c r="F385" s="266"/>
      <c r="G385" s="266"/>
      <c r="H385" s="266"/>
      <c r="I385" s="266"/>
      <c r="J385" s="266"/>
      <c r="K385" s="266"/>
      <c r="L385" s="266"/>
      <c r="M385" s="266"/>
      <c r="N385" s="266"/>
      <c r="O385" s="266"/>
      <c r="P385" s="267"/>
      <c r="Q385" s="267"/>
      <c r="R385" s="267"/>
      <c r="S385" s="267"/>
      <c r="T385" s="267"/>
      <c r="U385" s="267"/>
      <c r="V385" s="267"/>
      <c r="W385" s="267"/>
      <c r="X385" s="267"/>
      <c r="Y385" s="267"/>
    </row>
    <row r="386" ht="12.75" customHeight="1" spans="1:25">
      <c r="A386" s="266"/>
      <c r="B386" s="266"/>
      <c r="C386" s="266"/>
      <c r="D386" s="266"/>
      <c r="E386" s="266"/>
      <c r="F386" s="266"/>
      <c r="G386" s="266"/>
      <c r="H386" s="266"/>
      <c r="I386" s="266"/>
      <c r="J386" s="266"/>
      <c r="K386" s="266"/>
      <c r="L386" s="266"/>
      <c r="M386" s="266"/>
      <c r="N386" s="266"/>
      <c r="O386" s="266"/>
      <c r="P386" s="267"/>
      <c r="Q386" s="267"/>
      <c r="R386" s="267"/>
      <c r="S386" s="267"/>
      <c r="T386" s="267"/>
      <c r="U386" s="267"/>
      <c r="V386" s="267"/>
      <c r="W386" s="267"/>
      <c r="X386" s="267"/>
      <c r="Y386" s="267"/>
    </row>
    <row r="387" ht="12.75" customHeight="1" spans="1:25">
      <c r="A387" s="266"/>
      <c r="B387" s="266"/>
      <c r="C387" s="266"/>
      <c r="D387" s="266"/>
      <c r="E387" s="266"/>
      <c r="F387" s="266"/>
      <c r="G387" s="266"/>
      <c r="H387" s="266"/>
      <c r="I387" s="266"/>
      <c r="J387" s="266"/>
      <c r="K387" s="266"/>
      <c r="L387" s="266"/>
      <c r="M387" s="266"/>
      <c r="N387" s="266"/>
      <c r="O387" s="266"/>
      <c r="P387" s="267"/>
      <c r="Q387" s="267"/>
      <c r="R387" s="267"/>
      <c r="S387" s="267"/>
      <c r="T387" s="267"/>
      <c r="U387" s="267"/>
      <c r="V387" s="267"/>
      <c r="W387" s="267"/>
      <c r="X387" s="267"/>
      <c r="Y387" s="267"/>
    </row>
    <row r="388" ht="12.75" customHeight="1" spans="1:25">
      <c r="A388" s="266"/>
      <c r="B388" s="266"/>
      <c r="C388" s="266"/>
      <c r="D388" s="266"/>
      <c r="E388" s="266"/>
      <c r="F388" s="266"/>
      <c r="G388" s="266"/>
      <c r="H388" s="266"/>
      <c r="I388" s="266"/>
      <c r="J388" s="266"/>
      <c r="K388" s="266"/>
      <c r="L388" s="266"/>
      <c r="M388" s="266"/>
      <c r="N388" s="266"/>
      <c r="O388" s="266"/>
      <c r="P388" s="267"/>
      <c r="Q388" s="267"/>
      <c r="R388" s="267"/>
      <c r="S388" s="267"/>
      <c r="T388" s="267"/>
      <c r="U388" s="267"/>
      <c r="V388" s="267"/>
      <c r="W388" s="267"/>
      <c r="X388" s="267"/>
      <c r="Y388" s="267"/>
    </row>
    <row r="389" ht="12.75" customHeight="1" spans="1:25">
      <c r="A389" s="266"/>
      <c r="B389" s="266"/>
      <c r="C389" s="266"/>
      <c r="D389" s="266"/>
      <c r="E389" s="266"/>
      <c r="F389" s="266"/>
      <c r="G389" s="266"/>
      <c r="H389" s="266"/>
      <c r="I389" s="266"/>
      <c r="J389" s="266"/>
      <c r="K389" s="266"/>
      <c r="L389" s="266"/>
      <c r="M389" s="266"/>
      <c r="N389" s="266"/>
      <c r="O389" s="266"/>
      <c r="P389" s="267"/>
      <c r="Q389" s="267"/>
      <c r="R389" s="267"/>
      <c r="S389" s="267"/>
      <c r="T389" s="267"/>
      <c r="U389" s="267"/>
      <c r="V389" s="267"/>
      <c r="W389" s="267"/>
      <c r="X389" s="267"/>
      <c r="Y389" s="267"/>
    </row>
    <row r="390" ht="12.75" customHeight="1" spans="1:25">
      <c r="A390" s="266"/>
      <c r="B390" s="266"/>
      <c r="C390" s="266"/>
      <c r="D390" s="266"/>
      <c r="E390" s="266"/>
      <c r="F390" s="266"/>
      <c r="G390" s="266"/>
      <c r="H390" s="266"/>
      <c r="I390" s="266"/>
      <c r="J390" s="266"/>
      <c r="K390" s="266"/>
      <c r="L390" s="266"/>
      <c r="M390" s="266"/>
      <c r="N390" s="266"/>
      <c r="O390" s="266"/>
      <c r="P390" s="267"/>
      <c r="Q390" s="267"/>
      <c r="R390" s="267"/>
      <c r="S390" s="267"/>
      <c r="T390" s="267"/>
      <c r="U390" s="267"/>
      <c r="V390" s="267"/>
      <c r="W390" s="267"/>
      <c r="X390" s="267"/>
      <c r="Y390" s="267"/>
    </row>
    <row r="391" ht="12.75" customHeight="1" spans="1:25">
      <c r="A391" s="266"/>
      <c r="B391" s="266"/>
      <c r="C391" s="266"/>
      <c r="D391" s="266"/>
      <c r="E391" s="266"/>
      <c r="F391" s="266"/>
      <c r="G391" s="266"/>
      <c r="H391" s="266"/>
      <c r="I391" s="266"/>
      <c r="J391" s="266"/>
      <c r="K391" s="266"/>
      <c r="L391" s="266"/>
      <c r="M391" s="266"/>
      <c r="N391" s="266"/>
      <c r="O391" s="266"/>
      <c r="P391" s="267"/>
      <c r="Q391" s="267"/>
      <c r="R391" s="267"/>
      <c r="S391" s="267"/>
      <c r="T391" s="267"/>
      <c r="U391" s="267"/>
      <c r="V391" s="267"/>
      <c r="W391" s="267"/>
      <c r="X391" s="267"/>
      <c r="Y391" s="267"/>
    </row>
    <row r="392" ht="12.75" customHeight="1" spans="1:25">
      <c r="A392" s="266"/>
      <c r="B392" s="266"/>
      <c r="C392" s="266"/>
      <c r="D392" s="266"/>
      <c r="E392" s="266"/>
      <c r="F392" s="266"/>
      <c r="G392" s="266"/>
      <c r="H392" s="266"/>
      <c r="I392" s="266"/>
      <c r="J392" s="266"/>
      <c r="K392" s="266"/>
      <c r="L392" s="266"/>
      <c r="M392" s="266"/>
      <c r="N392" s="266"/>
      <c r="O392" s="266"/>
      <c r="P392" s="267"/>
      <c r="Q392" s="267"/>
      <c r="R392" s="267"/>
      <c r="S392" s="267"/>
      <c r="T392" s="267"/>
      <c r="U392" s="267"/>
      <c r="V392" s="267"/>
      <c r="W392" s="267"/>
      <c r="X392" s="267"/>
      <c r="Y392" s="267"/>
    </row>
    <row r="393" ht="12.75" customHeight="1" spans="1:25">
      <c r="A393" s="266"/>
      <c r="B393" s="266"/>
      <c r="C393" s="266"/>
      <c r="D393" s="266"/>
      <c r="E393" s="266"/>
      <c r="F393" s="266"/>
      <c r="G393" s="266"/>
      <c r="H393" s="266"/>
      <c r="I393" s="266"/>
      <c r="J393" s="266"/>
      <c r="K393" s="266"/>
      <c r="L393" s="266"/>
      <c r="M393" s="266"/>
      <c r="N393" s="266"/>
      <c r="O393" s="266"/>
      <c r="P393" s="267"/>
      <c r="Q393" s="267"/>
      <c r="R393" s="267"/>
      <c r="S393" s="267"/>
      <c r="T393" s="267"/>
      <c r="U393" s="267"/>
      <c r="V393" s="267"/>
      <c r="W393" s="267"/>
      <c r="X393" s="267"/>
      <c r="Y393" s="267"/>
    </row>
    <row r="394" ht="12.75" customHeight="1" spans="1:25">
      <c r="A394" s="266"/>
      <c r="B394" s="266"/>
      <c r="C394" s="266"/>
      <c r="D394" s="266"/>
      <c r="E394" s="266"/>
      <c r="F394" s="266"/>
      <c r="G394" s="266"/>
      <c r="H394" s="266"/>
      <c r="I394" s="266"/>
      <c r="J394" s="266"/>
      <c r="K394" s="266"/>
      <c r="L394" s="266"/>
      <c r="M394" s="266"/>
      <c r="N394" s="266"/>
      <c r="O394" s="266"/>
      <c r="P394" s="267"/>
      <c r="Q394" s="267"/>
      <c r="R394" s="267"/>
      <c r="S394" s="267"/>
      <c r="T394" s="267"/>
      <c r="U394" s="267"/>
      <c r="V394" s="267"/>
      <c r="W394" s="267"/>
      <c r="X394" s="267"/>
      <c r="Y394" s="267"/>
    </row>
    <row r="395" ht="12.75" customHeight="1" spans="1:25">
      <c r="A395" s="266"/>
      <c r="B395" s="266"/>
      <c r="C395" s="266"/>
      <c r="D395" s="266"/>
      <c r="E395" s="266"/>
      <c r="F395" s="266"/>
      <c r="G395" s="266"/>
      <c r="H395" s="266"/>
      <c r="I395" s="266"/>
      <c r="J395" s="266"/>
      <c r="K395" s="266"/>
      <c r="L395" s="266"/>
      <c r="M395" s="266"/>
      <c r="N395" s="266"/>
      <c r="O395" s="266"/>
      <c r="P395" s="267"/>
      <c r="Q395" s="267"/>
      <c r="R395" s="267"/>
      <c r="S395" s="267"/>
      <c r="T395" s="267"/>
      <c r="U395" s="267"/>
      <c r="V395" s="267"/>
      <c r="W395" s="267"/>
      <c r="X395" s="267"/>
      <c r="Y395" s="267"/>
    </row>
    <row r="396" ht="12.75" customHeight="1" spans="1:25">
      <c r="A396" s="266"/>
      <c r="B396" s="266"/>
      <c r="C396" s="266"/>
      <c r="D396" s="266"/>
      <c r="E396" s="266"/>
      <c r="F396" s="266"/>
      <c r="G396" s="266"/>
      <c r="H396" s="266"/>
      <c r="I396" s="266"/>
      <c r="J396" s="266"/>
      <c r="K396" s="266"/>
      <c r="L396" s="266"/>
      <c r="M396" s="266"/>
      <c r="N396" s="266"/>
      <c r="O396" s="266"/>
      <c r="P396" s="267"/>
      <c r="Q396" s="267"/>
      <c r="R396" s="267"/>
      <c r="S396" s="267"/>
      <c r="T396" s="267"/>
      <c r="U396" s="267"/>
      <c r="V396" s="267"/>
      <c r="W396" s="267"/>
      <c r="X396" s="267"/>
      <c r="Y396" s="267"/>
    </row>
    <row r="397" ht="12.75" customHeight="1" spans="1:25">
      <c r="A397" s="266"/>
      <c r="B397" s="266"/>
      <c r="C397" s="266"/>
      <c r="D397" s="266"/>
      <c r="E397" s="266"/>
      <c r="F397" s="266"/>
      <c r="G397" s="266"/>
      <c r="H397" s="266"/>
      <c r="I397" s="266"/>
      <c r="J397" s="266"/>
      <c r="K397" s="266"/>
      <c r="L397" s="266"/>
      <c r="M397" s="266"/>
      <c r="N397" s="266"/>
      <c r="O397" s="266"/>
      <c r="P397" s="267"/>
      <c r="Q397" s="267"/>
      <c r="R397" s="267"/>
      <c r="S397" s="267"/>
      <c r="T397" s="267"/>
      <c r="U397" s="267"/>
      <c r="V397" s="267"/>
      <c r="W397" s="267"/>
      <c r="X397" s="267"/>
      <c r="Y397" s="267"/>
    </row>
    <row r="398" ht="12.75" customHeight="1" spans="1:25">
      <c r="A398" s="266"/>
      <c r="B398" s="266"/>
      <c r="C398" s="266"/>
      <c r="D398" s="266"/>
      <c r="E398" s="266"/>
      <c r="F398" s="266"/>
      <c r="G398" s="266"/>
      <c r="H398" s="266"/>
      <c r="I398" s="266"/>
      <c r="J398" s="266"/>
      <c r="K398" s="266"/>
      <c r="L398" s="266"/>
      <c r="M398" s="266"/>
      <c r="N398" s="266"/>
      <c r="O398" s="266"/>
      <c r="P398" s="267"/>
      <c r="Q398" s="267"/>
      <c r="R398" s="267"/>
      <c r="S398" s="267"/>
      <c r="T398" s="267"/>
      <c r="U398" s="267"/>
      <c r="V398" s="267"/>
      <c r="W398" s="267"/>
      <c r="X398" s="267"/>
      <c r="Y398" s="267"/>
    </row>
    <row r="399" ht="12.75" customHeight="1" spans="1:25">
      <c r="A399" s="266"/>
      <c r="B399" s="266"/>
      <c r="C399" s="266"/>
      <c r="D399" s="266"/>
      <c r="E399" s="266"/>
      <c r="F399" s="266"/>
      <c r="G399" s="266"/>
      <c r="H399" s="266"/>
      <c r="I399" s="266"/>
      <c r="J399" s="266"/>
      <c r="K399" s="266"/>
      <c r="L399" s="266"/>
      <c r="M399" s="266"/>
      <c r="N399" s="266"/>
      <c r="O399" s="266"/>
      <c r="P399" s="267"/>
      <c r="Q399" s="267"/>
      <c r="R399" s="267"/>
      <c r="S399" s="267"/>
      <c r="T399" s="267"/>
      <c r="U399" s="267"/>
      <c r="V399" s="267"/>
      <c r="W399" s="267"/>
      <c r="X399" s="267"/>
      <c r="Y399" s="267"/>
    </row>
    <row r="400" ht="12.75" customHeight="1" spans="1:25">
      <c r="A400" s="266"/>
      <c r="B400" s="266"/>
      <c r="C400" s="266"/>
      <c r="D400" s="266"/>
      <c r="E400" s="266"/>
      <c r="F400" s="266"/>
      <c r="G400" s="266"/>
      <c r="H400" s="266"/>
      <c r="I400" s="266"/>
      <c r="J400" s="266"/>
      <c r="K400" s="266"/>
      <c r="L400" s="266"/>
      <c r="M400" s="266"/>
      <c r="N400" s="266"/>
      <c r="O400" s="266"/>
      <c r="P400" s="267"/>
      <c r="Q400" s="267"/>
      <c r="R400" s="267"/>
      <c r="S400" s="267"/>
      <c r="T400" s="267"/>
      <c r="U400" s="267"/>
      <c r="V400" s="267"/>
      <c r="W400" s="267"/>
      <c r="X400" s="267"/>
      <c r="Y400" s="267"/>
    </row>
    <row r="401" ht="12.75" customHeight="1" spans="1:25">
      <c r="A401" s="266"/>
      <c r="B401" s="266"/>
      <c r="C401" s="266"/>
      <c r="D401" s="266"/>
      <c r="E401" s="266"/>
      <c r="F401" s="266"/>
      <c r="G401" s="266"/>
      <c r="H401" s="266"/>
      <c r="I401" s="266"/>
      <c r="J401" s="266"/>
      <c r="K401" s="266"/>
      <c r="L401" s="266"/>
      <c r="M401" s="266"/>
      <c r="N401" s="266"/>
      <c r="O401" s="266"/>
      <c r="P401" s="267"/>
      <c r="Q401" s="267"/>
      <c r="R401" s="267"/>
      <c r="S401" s="267"/>
      <c r="T401" s="267"/>
      <c r="U401" s="267"/>
      <c r="V401" s="267"/>
      <c r="W401" s="267"/>
      <c r="X401" s="267"/>
      <c r="Y401" s="267"/>
    </row>
    <row r="402" ht="12.75" customHeight="1" spans="1:25">
      <c r="A402" s="266"/>
      <c r="B402" s="266"/>
      <c r="C402" s="266"/>
      <c r="D402" s="266"/>
      <c r="E402" s="266"/>
      <c r="F402" s="266"/>
      <c r="G402" s="266"/>
      <c r="H402" s="266"/>
      <c r="I402" s="266"/>
      <c r="J402" s="266"/>
      <c r="K402" s="266"/>
      <c r="L402" s="266"/>
      <c r="M402" s="266"/>
      <c r="N402" s="266"/>
      <c r="O402" s="266"/>
      <c r="P402" s="267"/>
      <c r="Q402" s="267"/>
      <c r="R402" s="267"/>
      <c r="S402" s="267"/>
      <c r="T402" s="267"/>
      <c r="U402" s="267"/>
      <c r="V402" s="267"/>
      <c r="W402" s="267"/>
      <c r="X402" s="267"/>
      <c r="Y402" s="267"/>
    </row>
    <row r="403" ht="12.75" customHeight="1" spans="1:25">
      <c r="A403" s="266"/>
      <c r="B403" s="266"/>
      <c r="C403" s="266"/>
      <c r="D403" s="266"/>
      <c r="E403" s="266"/>
      <c r="F403" s="266"/>
      <c r="G403" s="266"/>
      <c r="H403" s="266"/>
      <c r="I403" s="266"/>
      <c r="J403" s="266"/>
      <c r="K403" s="266"/>
      <c r="L403" s="266"/>
      <c r="M403" s="266"/>
      <c r="N403" s="266"/>
      <c r="O403" s="266"/>
      <c r="P403" s="267"/>
      <c r="Q403" s="267"/>
      <c r="R403" s="267"/>
      <c r="S403" s="267"/>
      <c r="T403" s="267"/>
      <c r="U403" s="267"/>
      <c r="V403" s="267"/>
      <c r="W403" s="267"/>
      <c r="X403" s="267"/>
      <c r="Y403" s="267"/>
    </row>
    <row r="404" ht="12.75" customHeight="1" spans="1:25">
      <c r="A404" s="266"/>
      <c r="B404" s="266"/>
      <c r="C404" s="266"/>
      <c r="D404" s="266"/>
      <c r="E404" s="266"/>
      <c r="F404" s="266"/>
      <c r="G404" s="266"/>
      <c r="H404" s="266"/>
      <c r="I404" s="266"/>
      <c r="J404" s="266"/>
      <c r="K404" s="266"/>
      <c r="L404" s="266"/>
      <c r="M404" s="266"/>
      <c r="N404" s="266"/>
      <c r="O404" s="266"/>
      <c r="P404" s="267"/>
      <c r="Q404" s="267"/>
      <c r="R404" s="267"/>
      <c r="S404" s="267"/>
      <c r="T404" s="267"/>
      <c r="U404" s="267"/>
      <c r="V404" s="267"/>
      <c r="W404" s="267"/>
      <c r="X404" s="267"/>
      <c r="Y404" s="267"/>
    </row>
    <row r="405" ht="12.75" customHeight="1" spans="1:25">
      <c r="A405" s="266"/>
      <c r="B405" s="266"/>
      <c r="C405" s="266"/>
      <c r="D405" s="266"/>
      <c r="E405" s="266"/>
      <c r="F405" s="266"/>
      <c r="G405" s="266"/>
      <c r="H405" s="266"/>
      <c r="I405" s="266"/>
      <c r="J405" s="266"/>
      <c r="K405" s="266"/>
      <c r="L405" s="266"/>
      <c r="M405" s="266"/>
      <c r="N405" s="266"/>
      <c r="O405" s="266"/>
      <c r="P405" s="267"/>
      <c r="Q405" s="267"/>
      <c r="R405" s="267"/>
      <c r="S405" s="267"/>
      <c r="T405" s="267"/>
      <c r="U405" s="267"/>
      <c r="V405" s="267"/>
      <c r="W405" s="267"/>
      <c r="X405" s="267"/>
      <c r="Y405" s="267"/>
    </row>
    <row r="406" ht="12.75" customHeight="1" spans="1:25">
      <c r="A406" s="266"/>
      <c r="B406" s="266"/>
      <c r="C406" s="266"/>
      <c r="D406" s="266"/>
      <c r="E406" s="266"/>
      <c r="F406" s="266"/>
      <c r="G406" s="266"/>
      <c r="H406" s="266"/>
      <c r="I406" s="266"/>
      <c r="J406" s="266"/>
      <c r="K406" s="266"/>
      <c r="L406" s="266"/>
      <c r="M406" s="266"/>
      <c r="N406" s="266"/>
      <c r="O406" s="266"/>
      <c r="P406" s="267"/>
      <c r="Q406" s="267"/>
      <c r="R406" s="267"/>
      <c r="S406" s="267"/>
      <c r="T406" s="267"/>
      <c r="U406" s="267"/>
      <c r="V406" s="267"/>
      <c r="W406" s="267"/>
      <c r="X406" s="267"/>
      <c r="Y406" s="267"/>
    </row>
    <row r="407" ht="12.75" customHeight="1" spans="1:25">
      <c r="A407" s="266"/>
      <c r="B407" s="266"/>
      <c r="C407" s="266"/>
      <c r="D407" s="266"/>
      <c r="E407" s="266"/>
      <c r="F407" s="266"/>
      <c r="G407" s="266"/>
      <c r="H407" s="266"/>
      <c r="I407" s="266"/>
      <c r="J407" s="266"/>
      <c r="K407" s="266"/>
      <c r="L407" s="266"/>
      <c r="M407" s="266"/>
      <c r="N407" s="266"/>
      <c r="O407" s="266"/>
      <c r="P407" s="267"/>
      <c r="Q407" s="267"/>
      <c r="R407" s="267"/>
      <c r="S407" s="267"/>
      <c r="T407" s="267"/>
      <c r="U407" s="267"/>
      <c r="V407" s="267"/>
      <c r="W407" s="267"/>
      <c r="X407" s="267"/>
      <c r="Y407" s="267"/>
    </row>
    <row r="408" ht="12.75" customHeight="1" spans="1:25">
      <c r="A408" s="266"/>
      <c r="B408" s="266"/>
      <c r="C408" s="266"/>
      <c r="D408" s="266"/>
      <c r="E408" s="266"/>
      <c r="F408" s="266"/>
      <c r="G408" s="266"/>
      <c r="H408" s="266"/>
      <c r="I408" s="266"/>
      <c r="J408" s="266"/>
      <c r="K408" s="266"/>
      <c r="L408" s="266"/>
      <c r="M408" s="266"/>
      <c r="N408" s="266"/>
      <c r="O408" s="266"/>
      <c r="P408" s="267"/>
      <c r="Q408" s="267"/>
      <c r="R408" s="267"/>
      <c r="S408" s="267"/>
      <c r="T408" s="267"/>
      <c r="U408" s="267"/>
      <c r="V408" s="267"/>
      <c r="W408" s="267"/>
      <c r="X408" s="267"/>
      <c r="Y408" s="267"/>
    </row>
    <row r="409" ht="12.75" customHeight="1" spans="1:25">
      <c r="A409" s="266"/>
      <c r="B409" s="266"/>
      <c r="C409" s="266"/>
      <c r="D409" s="266"/>
      <c r="E409" s="266"/>
      <c r="F409" s="266"/>
      <c r="G409" s="266"/>
      <c r="H409" s="266"/>
      <c r="I409" s="266"/>
      <c r="J409" s="266"/>
      <c r="K409" s="266"/>
      <c r="L409" s="266"/>
      <c r="M409" s="266"/>
      <c r="N409" s="266"/>
      <c r="O409" s="266"/>
      <c r="P409" s="267"/>
      <c r="Q409" s="267"/>
      <c r="R409" s="267"/>
      <c r="S409" s="267"/>
      <c r="T409" s="267"/>
      <c r="U409" s="267"/>
      <c r="V409" s="267"/>
      <c r="W409" s="267"/>
      <c r="X409" s="267"/>
      <c r="Y409" s="267"/>
    </row>
    <row r="410" ht="12.75" customHeight="1" spans="1:25">
      <c r="A410" s="266"/>
      <c r="B410" s="266"/>
      <c r="C410" s="266"/>
      <c r="D410" s="266"/>
      <c r="E410" s="266"/>
      <c r="F410" s="266"/>
      <c r="G410" s="266"/>
      <c r="H410" s="266"/>
      <c r="I410" s="266"/>
      <c r="J410" s="266"/>
      <c r="K410" s="266"/>
      <c r="L410" s="266"/>
      <c r="M410" s="266"/>
      <c r="N410" s="266"/>
      <c r="O410" s="266"/>
      <c r="P410" s="267"/>
      <c r="Q410" s="267"/>
      <c r="R410" s="267"/>
      <c r="S410" s="267"/>
      <c r="T410" s="267"/>
      <c r="U410" s="267"/>
      <c r="V410" s="267"/>
      <c r="W410" s="267"/>
      <c r="X410" s="267"/>
      <c r="Y410" s="267"/>
    </row>
    <row r="411" ht="12.75" customHeight="1" spans="1:25">
      <c r="A411" s="266"/>
      <c r="B411" s="266"/>
      <c r="C411" s="266"/>
      <c r="D411" s="266"/>
      <c r="E411" s="266"/>
      <c r="F411" s="266"/>
      <c r="G411" s="266"/>
      <c r="H411" s="266"/>
      <c r="I411" s="266"/>
      <c r="J411" s="266"/>
      <c r="K411" s="266"/>
      <c r="L411" s="266"/>
      <c r="M411" s="266"/>
      <c r="N411" s="266"/>
      <c r="O411" s="266"/>
      <c r="P411" s="267"/>
      <c r="Q411" s="267"/>
      <c r="R411" s="267"/>
      <c r="S411" s="267"/>
      <c r="T411" s="267"/>
      <c r="U411" s="267"/>
      <c r="V411" s="267"/>
      <c r="W411" s="267"/>
      <c r="X411" s="267"/>
      <c r="Y411" s="267"/>
    </row>
    <row r="412" ht="12.75" customHeight="1" spans="1:25">
      <c r="A412" s="266"/>
      <c r="B412" s="266"/>
      <c r="C412" s="266"/>
      <c r="D412" s="266"/>
      <c r="E412" s="266"/>
      <c r="F412" s="266"/>
      <c r="G412" s="266"/>
      <c r="H412" s="266"/>
      <c r="I412" s="266"/>
      <c r="J412" s="266"/>
      <c r="K412" s="266"/>
      <c r="L412" s="266"/>
      <c r="M412" s="266"/>
      <c r="N412" s="266"/>
      <c r="O412" s="266"/>
      <c r="P412" s="267"/>
      <c r="Q412" s="267"/>
      <c r="R412" s="267"/>
      <c r="S412" s="267"/>
      <c r="T412" s="267"/>
      <c r="U412" s="267"/>
      <c r="V412" s="267"/>
      <c r="W412" s="267"/>
      <c r="X412" s="267"/>
      <c r="Y412" s="267"/>
    </row>
    <row r="413" ht="12.75" customHeight="1" spans="1:25">
      <c r="A413" s="266"/>
      <c r="B413" s="266"/>
      <c r="C413" s="266"/>
      <c r="D413" s="266"/>
      <c r="E413" s="266"/>
      <c r="F413" s="266"/>
      <c r="G413" s="266"/>
      <c r="H413" s="266"/>
      <c r="I413" s="266"/>
      <c r="J413" s="266"/>
      <c r="K413" s="266"/>
      <c r="L413" s="266"/>
      <c r="M413" s="266"/>
      <c r="N413" s="266"/>
      <c r="O413" s="266"/>
      <c r="P413" s="267"/>
      <c r="Q413" s="267"/>
      <c r="R413" s="267"/>
      <c r="S413" s="267"/>
      <c r="T413" s="267"/>
      <c r="U413" s="267"/>
      <c r="V413" s="267"/>
      <c r="W413" s="267"/>
      <c r="X413" s="267"/>
      <c r="Y413" s="267"/>
    </row>
    <row r="414" ht="12.75" customHeight="1" spans="1:25">
      <c r="A414" s="266"/>
      <c r="B414" s="266"/>
      <c r="C414" s="266"/>
      <c r="D414" s="266"/>
      <c r="E414" s="266"/>
      <c r="F414" s="266"/>
      <c r="G414" s="266"/>
      <c r="H414" s="266"/>
      <c r="I414" s="266"/>
      <c r="J414" s="266"/>
      <c r="K414" s="266"/>
      <c r="L414" s="266"/>
      <c r="M414" s="266"/>
      <c r="N414" s="266"/>
      <c r="O414" s="266"/>
      <c r="P414" s="267"/>
      <c r="Q414" s="267"/>
      <c r="R414" s="267"/>
      <c r="S414" s="267"/>
      <c r="T414" s="267"/>
      <c r="U414" s="267"/>
      <c r="V414" s="267"/>
      <c r="W414" s="267"/>
      <c r="X414" s="267"/>
      <c r="Y414" s="267"/>
    </row>
    <row r="415" ht="12.75" customHeight="1" spans="1:25">
      <c r="A415" s="266"/>
      <c r="B415" s="266"/>
      <c r="C415" s="266"/>
      <c r="D415" s="266"/>
      <c r="E415" s="266"/>
      <c r="F415" s="266"/>
      <c r="G415" s="266"/>
      <c r="H415" s="266"/>
      <c r="I415" s="266"/>
      <c r="J415" s="266"/>
      <c r="K415" s="266"/>
      <c r="L415" s="266"/>
      <c r="M415" s="266"/>
      <c r="N415" s="266"/>
      <c r="O415" s="266"/>
      <c r="P415" s="267"/>
      <c r="Q415" s="267"/>
      <c r="R415" s="267"/>
      <c r="S415" s="267"/>
      <c r="T415" s="267"/>
      <c r="U415" s="267"/>
      <c r="V415" s="267"/>
      <c r="W415" s="267"/>
      <c r="X415" s="267"/>
      <c r="Y415" s="267"/>
    </row>
    <row r="416" ht="12.75" customHeight="1" spans="1:25">
      <c r="A416" s="266"/>
      <c r="B416" s="266"/>
      <c r="C416" s="266"/>
      <c r="D416" s="266"/>
      <c r="E416" s="266"/>
      <c r="F416" s="266"/>
      <c r="G416" s="266"/>
      <c r="H416" s="266"/>
      <c r="I416" s="266"/>
      <c r="J416" s="266"/>
      <c r="K416" s="266"/>
      <c r="L416" s="266"/>
      <c r="M416" s="266"/>
      <c r="N416" s="266"/>
      <c r="O416" s="266"/>
      <c r="P416" s="267"/>
      <c r="Q416" s="267"/>
      <c r="R416" s="267"/>
      <c r="S416" s="267"/>
      <c r="T416" s="267"/>
      <c r="U416" s="267"/>
      <c r="V416" s="267"/>
      <c r="W416" s="267"/>
      <c r="X416" s="267"/>
      <c r="Y416" s="267"/>
    </row>
    <row r="417" ht="12.75" customHeight="1" spans="1:25">
      <c r="A417" s="266"/>
      <c r="B417" s="266"/>
      <c r="C417" s="266"/>
      <c r="D417" s="266"/>
      <c r="E417" s="266"/>
      <c r="F417" s="266"/>
      <c r="G417" s="266"/>
      <c r="H417" s="266"/>
      <c r="I417" s="266"/>
      <c r="J417" s="266"/>
      <c r="K417" s="266"/>
      <c r="L417" s="266"/>
      <c r="M417" s="266"/>
      <c r="N417" s="266"/>
      <c r="O417" s="266"/>
      <c r="P417" s="267"/>
      <c r="Q417" s="267"/>
      <c r="R417" s="267"/>
      <c r="S417" s="267"/>
      <c r="T417" s="267"/>
      <c r="U417" s="267"/>
      <c r="V417" s="267"/>
      <c r="W417" s="267"/>
      <c r="X417" s="267"/>
      <c r="Y417" s="267"/>
    </row>
    <row r="418" ht="12.75" customHeight="1" spans="1:25">
      <c r="A418" s="266"/>
      <c r="B418" s="266"/>
      <c r="C418" s="266"/>
      <c r="D418" s="266"/>
      <c r="E418" s="266"/>
      <c r="F418" s="266"/>
      <c r="G418" s="266"/>
      <c r="H418" s="266"/>
      <c r="I418" s="266"/>
      <c r="J418" s="266"/>
      <c r="K418" s="266"/>
      <c r="L418" s="266"/>
      <c r="M418" s="266"/>
      <c r="N418" s="266"/>
      <c r="O418" s="266"/>
      <c r="P418" s="267"/>
      <c r="Q418" s="267"/>
      <c r="R418" s="267"/>
      <c r="S418" s="267"/>
      <c r="T418" s="267"/>
      <c r="U418" s="267"/>
      <c r="V418" s="267"/>
      <c r="W418" s="267"/>
      <c r="X418" s="267"/>
      <c r="Y418" s="267"/>
    </row>
    <row r="419" ht="12.75" customHeight="1" spans="1:25">
      <c r="A419" s="266"/>
      <c r="B419" s="266"/>
      <c r="C419" s="266"/>
      <c r="D419" s="266"/>
      <c r="E419" s="266"/>
      <c r="F419" s="266"/>
      <c r="G419" s="266"/>
      <c r="H419" s="266"/>
      <c r="I419" s="266"/>
      <c r="J419" s="266"/>
      <c r="K419" s="266"/>
      <c r="L419" s="266"/>
      <c r="M419" s="266"/>
      <c r="N419" s="266"/>
      <c r="O419" s="266"/>
      <c r="P419" s="267"/>
      <c r="Q419" s="267"/>
      <c r="R419" s="267"/>
      <c r="S419" s="267"/>
      <c r="T419" s="267"/>
      <c r="U419" s="267"/>
      <c r="V419" s="267"/>
      <c r="W419" s="267"/>
      <c r="X419" s="267"/>
      <c r="Y419" s="267"/>
    </row>
    <row r="420" ht="12.75" customHeight="1" spans="1:25">
      <c r="A420" s="266"/>
      <c r="B420" s="266"/>
      <c r="C420" s="266"/>
      <c r="D420" s="266"/>
      <c r="E420" s="266"/>
      <c r="F420" s="266"/>
      <c r="G420" s="266"/>
      <c r="H420" s="266"/>
      <c r="I420" s="266"/>
      <c r="J420" s="266"/>
      <c r="K420" s="266"/>
      <c r="L420" s="266"/>
      <c r="M420" s="266"/>
      <c r="N420" s="266"/>
      <c r="O420" s="266"/>
      <c r="P420" s="267"/>
      <c r="Q420" s="267"/>
      <c r="R420" s="267"/>
      <c r="S420" s="267"/>
      <c r="T420" s="267"/>
      <c r="U420" s="267"/>
      <c r="V420" s="267"/>
      <c r="W420" s="267"/>
      <c r="X420" s="267"/>
      <c r="Y420" s="267"/>
    </row>
    <row r="421" ht="12.75" customHeight="1" spans="1:25">
      <c r="A421" s="266"/>
      <c r="B421" s="266"/>
      <c r="C421" s="266"/>
      <c r="D421" s="266"/>
      <c r="E421" s="266"/>
      <c r="F421" s="266"/>
      <c r="G421" s="266"/>
      <c r="H421" s="266"/>
      <c r="I421" s="266"/>
      <c r="J421" s="266"/>
      <c r="K421" s="266"/>
      <c r="L421" s="266"/>
      <c r="M421" s="266"/>
      <c r="N421" s="266"/>
      <c r="O421" s="266"/>
      <c r="P421" s="267"/>
      <c r="Q421" s="267"/>
      <c r="R421" s="267"/>
      <c r="S421" s="267"/>
      <c r="T421" s="267"/>
      <c r="U421" s="267"/>
      <c r="V421" s="267"/>
      <c r="W421" s="267"/>
      <c r="X421" s="267"/>
      <c r="Y421" s="267"/>
    </row>
    <row r="422" ht="12.75" customHeight="1" spans="1:25">
      <c r="A422" s="266"/>
      <c r="B422" s="266"/>
      <c r="C422" s="266"/>
      <c r="D422" s="266"/>
      <c r="E422" s="266"/>
      <c r="F422" s="266"/>
      <c r="G422" s="266"/>
      <c r="H422" s="266"/>
      <c r="I422" s="266"/>
      <c r="J422" s="266"/>
      <c r="K422" s="266"/>
      <c r="L422" s="266"/>
      <c r="M422" s="266"/>
      <c r="N422" s="266"/>
      <c r="O422" s="266"/>
      <c r="P422" s="267"/>
      <c r="Q422" s="267"/>
      <c r="R422" s="267"/>
      <c r="S422" s="267"/>
      <c r="T422" s="267"/>
      <c r="U422" s="267"/>
      <c r="V422" s="267"/>
      <c r="W422" s="267"/>
      <c r="X422" s="267"/>
      <c r="Y422" s="267"/>
    </row>
    <row r="423" ht="12.75" customHeight="1" spans="1:25">
      <c r="A423" s="266"/>
      <c r="B423" s="266"/>
      <c r="C423" s="266"/>
      <c r="D423" s="266"/>
      <c r="E423" s="266"/>
      <c r="F423" s="266"/>
      <c r="G423" s="266"/>
      <c r="H423" s="266"/>
      <c r="I423" s="266"/>
      <c r="J423" s="266"/>
      <c r="K423" s="266"/>
      <c r="L423" s="266"/>
      <c r="M423" s="266"/>
      <c r="N423" s="266"/>
      <c r="O423" s="266"/>
      <c r="P423" s="267"/>
      <c r="Q423" s="267"/>
      <c r="R423" s="267"/>
      <c r="S423" s="267"/>
      <c r="T423" s="267"/>
      <c r="U423" s="267"/>
      <c r="V423" s="267"/>
      <c r="W423" s="267"/>
      <c r="X423" s="267"/>
      <c r="Y423" s="267"/>
    </row>
    <row r="424" ht="12.75" customHeight="1" spans="1:25">
      <c r="A424" s="266"/>
      <c r="B424" s="266"/>
      <c r="C424" s="266"/>
      <c r="D424" s="266"/>
      <c r="E424" s="266"/>
      <c r="F424" s="266"/>
      <c r="G424" s="266"/>
      <c r="H424" s="266"/>
      <c r="I424" s="266"/>
      <c r="J424" s="266"/>
      <c r="K424" s="266"/>
      <c r="L424" s="266"/>
      <c r="M424" s="266"/>
      <c r="N424" s="266"/>
      <c r="O424" s="266"/>
      <c r="P424" s="267"/>
      <c r="Q424" s="267"/>
      <c r="R424" s="267"/>
      <c r="S424" s="267"/>
      <c r="T424" s="267"/>
      <c r="U424" s="267"/>
      <c r="V424" s="267"/>
      <c r="W424" s="267"/>
      <c r="X424" s="267"/>
      <c r="Y424" s="267"/>
    </row>
    <row r="425" ht="12.75" customHeight="1" spans="1:25">
      <c r="A425" s="266"/>
      <c r="B425" s="266"/>
      <c r="C425" s="266"/>
      <c r="D425" s="266"/>
      <c r="E425" s="266"/>
      <c r="F425" s="266"/>
      <c r="G425" s="266"/>
      <c r="H425" s="266"/>
      <c r="I425" s="266"/>
      <c r="J425" s="266"/>
      <c r="K425" s="266"/>
      <c r="L425" s="266"/>
      <c r="M425" s="266"/>
      <c r="N425" s="266"/>
      <c r="O425" s="266"/>
      <c r="P425" s="267"/>
      <c r="Q425" s="267"/>
      <c r="R425" s="267"/>
      <c r="S425" s="267"/>
      <c r="T425" s="267"/>
      <c r="U425" s="267"/>
      <c r="V425" s="267"/>
      <c r="W425" s="267"/>
      <c r="X425" s="267"/>
      <c r="Y425" s="267"/>
    </row>
    <row r="426" ht="12.75" customHeight="1" spans="1:25">
      <c r="A426" s="266"/>
      <c r="B426" s="266"/>
      <c r="C426" s="266"/>
      <c r="D426" s="266"/>
      <c r="E426" s="266"/>
      <c r="F426" s="266"/>
      <c r="G426" s="266"/>
      <c r="H426" s="266"/>
      <c r="I426" s="266"/>
      <c r="J426" s="266"/>
      <c r="K426" s="266"/>
      <c r="L426" s="266"/>
      <c r="M426" s="266"/>
      <c r="N426" s="266"/>
      <c r="O426" s="266"/>
      <c r="P426" s="267"/>
      <c r="Q426" s="267"/>
      <c r="R426" s="267"/>
      <c r="S426" s="267"/>
      <c r="T426" s="267"/>
      <c r="U426" s="267"/>
      <c r="V426" s="267"/>
      <c r="W426" s="267"/>
      <c r="X426" s="267"/>
      <c r="Y426" s="267"/>
    </row>
    <row r="427" ht="12.75" customHeight="1" spans="1:25">
      <c r="A427" s="266"/>
      <c r="B427" s="266"/>
      <c r="C427" s="266"/>
      <c r="D427" s="266"/>
      <c r="E427" s="266"/>
      <c r="F427" s="266"/>
      <c r="G427" s="266"/>
      <c r="H427" s="266"/>
      <c r="I427" s="266"/>
      <c r="J427" s="266"/>
      <c r="K427" s="266"/>
      <c r="L427" s="266"/>
      <c r="M427" s="266"/>
      <c r="N427" s="266"/>
      <c r="O427" s="266"/>
      <c r="P427" s="267"/>
      <c r="Q427" s="267"/>
      <c r="R427" s="267"/>
      <c r="S427" s="267"/>
      <c r="T427" s="267"/>
      <c r="U427" s="267"/>
      <c r="V427" s="267"/>
      <c r="W427" s="267"/>
      <c r="X427" s="267"/>
      <c r="Y427" s="267"/>
    </row>
    <row r="428" ht="12.75" customHeight="1" spans="1:25">
      <c r="A428" s="266"/>
      <c r="B428" s="266"/>
      <c r="C428" s="266"/>
      <c r="D428" s="266"/>
      <c r="E428" s="266"/>
      <c r="F428" s="266"/>
      <c r="G428" s="266"/>
      <c r="H428" s="266"/>
      <c r="I428" s="266"/>
      <c r="J428" s="266"/>
      <c r="K428" s="266"/>
      <c r="L428" s="266"/>
      <c r="M428" s="266"/>
      <c r="N428" s="266"/>
      <c r="O428" s="266"/>
      <c r="P428" s="267"/>
      <c r="Q428" s="267"/>
      <c r="R428" s="267"/>
      <c r="S428" s="267"/>
      <c r="T428" s="267"/>
      <c r="U428" s="267"/>
      <c r="V428" s="267"/>
      <c r="W428" s="267"/>
      <c r="X428" s="267"/>
      <c r="Y428" s="267"/>
    </row>
    <row r="429" ht="12.75" customHeight="1" spans="1:25">
      <c r="A429" s="266"/>
      <c r="B429" s="266"/>
      <c r="C429" s="266"/>
      <c r="D429" s="266"/>
      <c r="E429" s="266"/>
      <c r="F429" s="266"/>
      <c r="G429" s="266"/>
      <c r="H429" s="266"/>
      <c r="I429" s="266"/>
      <c r="J429" s="266"/>
      <c r="K429" s="266"/>
      <c r="L429" s="266"/>
      <c r="M429" s="266"/>
      <c r="N429" s="266"/>
      <c r="O429" s="266"/>
      <c r="P429" s="267"/>
      <c r="Q429" s="267"/>
      <c r="R429" s="267"/>
      <c r="S429" s="267"/>
      <c r="T429" s="267"/>
      <c r="U429" s="267"/>
      <c r="V429" s="267"/>
      <c r="W429" s="267"/>
      <c r="X429" s="267"/>
      <c r="Y429" s="267"/>
    </row>
    <row r="430" ht="12.75" customHeight="1" spans="1:25">
      <c r="A430" s="266"/>
      <c r="B430" s="266"/>
      <c r="C430" s="266"/>
      <c r="D430" s="266"/>
      <c r="E430" s="266"/>
      <c r="F430" s="266"/>
      <c r="G430" s="266"/>
      <c r="H430" s="266"/>
      <c r="I430" s="266"/>
      <c r="J430" s="266"/>
      <c r="K430" s="266"/>
      <c r="L430" s="266"/>
      <c r="M430" s="266"/>
      <c r="N430" s="266"/>
      <c r="O430" s="266"/>
      <c r="P430" s="267"/>
      <c r="Q430" s="267"/>
      <c r="R430" s="267"/>
      <c r="S430" s="267"/>
      <c r="T430" s="267"/>
      <c r="U430" s="267"/>
      <c r="V430" s="267"/>
      <c r="W430" s="267"/>
      <c r="X430" s="267"/>
      <c r="Y430" s="267"/>
    </row>
    <row r="431" ht="12.75" customHeight="1" spans="1:25">
      <c r="A431" s="266"/>
      <c r="B431" s="266"/>
      <c r="C431" s="266"/>
      <c r="D431" s="266"/>
      <c r="E431" s="266"/>
      <c r="F431" s="266"/>
      <c r="G431" s="266"/>
      <c r="H431" s="266"/>
      <c r="I431" s="266"/>
      <c r="J431" s="266"/>
      <c r="K431" s="266"/>
      <c r="L431" s="266"/>
      <c r="M431" s="266"/>
      <c r="N431" s="266"/>
      <c r="O431" s="266"/>
      <c r="P431" s="267"/>
      <c r="Q431" s="267"/>
      <c r="R431" s="267"/>
      <c r="S431" s="267"/>
      <c r="T431" s="267"/>
      <c r="U431" s="267"/>
      <c r="V431" s="267"/>
      <c r="W431" s="267"/>
      <c r="X431" s="267"/>
      <c r="Y431" s="267"/>
    </row>
    <row r="432" ht="12.75" customHeight="1" spans="1:25">
      <c r="A432" s="266"/>
      <c r="B432" s="266"/>
      <c r="C432" s="266"/>
      <c r="D432" s="266"/>
      <c r="E432" s="266"/>
      <c r="F432" s="266"/>
      <c r="G432" s="266"/>
      <c r="H432" s="266"/>
      <c r="I432" s="266"/>
      <c r="J432" s="266"/>
      <c r="K432" s="266"/>
      <c r="L432" s="266"/>
      <c r="M432" s="266"/>
      <c r="N432" s="266"/>
      <c r="O432" s="266"/>
      <c r="P432" s="267"/>
      <c r="Q432" s="267"/>
      <c r="R432" s="267"/>
      <c r="S432" s="267"/>
      <c r="T432" s="267"/>
      <c r="U432" s="267"/>
      <c r="V432" s="267"/>
      <c r="W432" s="267"/>
      <c r="X432" s="267"/>
      <c r="Y432" s="267"/>
    </row>
    <row r="433" ht="12.75" customHeight="1" spans="1:25">
      <c r="A433" s="266"/>
      <c r="B433" s="266"/>
      <c r="C433" s="266"/>
      <c r="D433" s="266"/>
      <c r="E433" s="266"/>
      <c r="F433" s="266"/>
      <c r="G433" s="266"/>
      <c r="H433" s="266"/>
      <c r="I433" s="266"/>
      <c r="J433" s="266"/>
      <c r="K433" s="266"/>
      <c r="L433" s="266"/>
      <c r="M433" s="266"/>
      <c r="N433" s="266"/>
      <c r="O433" s="266"/>
      <c r="P433" s="267"/>
      <c r="Q433" s="267"/>
      <c r="R433" s="267"/>
      <c r="S433" s="267"/>
      <c r="T433" s="267"/>
      <c r="U433" s="267"/>
      <c r="V433" s="267"/>
      <c r="W433" s="267"/>
      <c r="X433" s="267"/>
      <c r="Y433" s="267"/>
    </row>
    <row r="434" ht="12.75" customHeight="1" spans="1:25">
      <c r="A434" s="266"/>
      <c r="B434" s="266"/>
      <c r="C434" s="266"/>
      <c r="D434" s="266"/>
      <c r="E434" s="266"/>
      <c r="F434" s="266"/>
      <c r="G434" s="266"/>
      <c r="H434" s="266"/>
      <c r="I434" s="266"/>
      <c r="J434" s="266"/>
      <c r="K434" s="266"/>
      <c r="L434" s="266"/>
      <c r="M434" s="266"/>
      <c r="N434" s="266"/>
      <c r="O434" s="266"/>
      <c r="P434" s="267"/>
      <c r="Q434" s="267"/>
      <c r="R434" s="267"/>
      <c r="S434" s="267"/>
      <c r="T434" s="267"/>
      <c r="U434" s="267"/>
      <c r="V434" s="267"/>
      <c r="W434" s="267"/>
      <c r="X434" s="267"/>
      <c r="Y434" s="267"/>
    </row>
    <row r="435" ht="12.75" customHeight="1" spans="1:25">
      <c r="A435" s="266"/>
      <c r="B435" s="266"/>
      <c r="C435" s="266"/>
      <c r="D435" s="266"/>
      <c r="E435" s="266"/>
      <c r="F435" s="266"/>
      <c r="G435" s="266"/>
      <c r="H435" s="266"/>
      <c r="I435" s="266"/>
      <c r="J435" s="266"/>
      <c r="K435" s="266"/>
      <c r="L435" s="266"/>
      <c r="M435" s="266"/>
      <c r="N435" s="266"/>
      <c r="O435" s="266"/>
      <c r="P435" s="267"/>
      <c r="Q435" s="267"/>
      <c r="R435" s="267"/>
      <c r="S435" s="267"/>
      <c r="T435" s="267"/>
      <c r="U435" s="267"/>
      <c r="V435" s="267"/>
      <c r="W435" s="267"/>
      <c r="X435" s="267"/>
      <c r="Y435" s="267"/>
    </row>
    <row r="436" ht="12.75" customHeight="1" spans="1:25">
      <c r="A436" s="266"/>
      <c r="B436" s="266"/>
      <c r="C436" s="266"/>
      <c r="D436" s="266"/>
      <c r="E436" s="266"/>
      <c r="F436" s="266"/>
      <c r="G436" s="266"/>
      <c r="H436" s="266"/>
      <c r="I436" s="266"/>
      <c r="J436" s="266"/>
      <c r="K436" s="266"/>
      <c r="L436" s="266"/>
      <c r="M436" s="266"/>
      <c r="N436" s="266"/>
      <c r="O436" s="266"/>
      <c r="P436" s="267"/>
      <c r="Q436" s="267"/>
      <c r="R436" s="267"/>
      <c r="S436" s="267"/>
      <c r="T436" s="267"/>
      <c r="U436" s="267"/>
      <c r="V436" s="267"/>
      <c r="W436" s="267"/>
      <c r="X436" s="267"/>
      <c r="Y436" s="267"/>
    </row>
    <row r="437" ht="12.75" customHeight="1" spans="1:25">
      <c r="A437" s="266"/>
      <c r="B437" s="266"/>
      <c r="C437" s="266"/>
      <c r="D437" s="266"/>
      <c r="E437" s="266"/>
      <c r="F437" s="266"/>
      <c r="G437" s="266"/>
      <c r="H437" s="266"/>
      <c r="I437" s="266"/>
      <c r="J437" s="266"/>
      <c r="K437" s="266"/>
      <c r="L437" s="266"/>
      <c r="M437" s="266"/>
      <c r="N437" s="266"/>
      <c r="O437" s="266"/>
      <c r="P437" s="267"/>
      <c r="Q437" s="267"/>
      <c r="R437" s="267"/>
      <c r="S437" s="267"/>
      <c r="T437" s="267"/>
      <c r="U437" s="267"/>
      <c r="V437" s="267"/>
      <c r="W437" s="267"/>
      <c r="X437" s="267"/>
      <c r="Y437" s="267"/>
    </row>
    <row r="438" ht="12.75" customHeight="1" spans="1:25">
      <c r="A438" s="266"/>
      <c r="B438" s="266"/>
      <c r="C438" s="266"/>
      <c r="D438" s="266"/>
      <c r="E438" s="266"/>
      <c r="F438" s="266"/>
      <c r="G438" s="266"/>
      <c r="H438" s="266"/>
      <c r="I438" s="266"/>
      <c r="J438" s="266"/>
      <c r="K438" s="266"/>
      <c r="L438" s="266"/>
      <c r="M438" s="266"/>
      <c r="N438" s="266"/>
      <c r="O438" s="266"/>
      <c r="P438" s="267"/>
      <c r="Q438" s="267"/>
      <c r="R438" s="267"/>
      <c r="S438" s="267"/>
      <c r="T438" s="267"/>
      <c r="U438" s="267"/>
      <c r="V438" s="267"/>
      <c r="W438" s="267"/>
      <c r="X438" s="267"/>
      <c r="Y438" s="267"/>
    </row>
    <row r="439" ht="12.75" customHeight="1" spans="1:25">
      <c r="A439" s="266"/>
      <c r="B439" s="266"/>
      <c r="C439" s="266"/>
      <c r="D439" s="266"/>
      <c r="E439" s="266"/>
      <c r="F439" s="266"/>
      <c r="G439" s="266"/>
      <c r="H439" s="266"/>
      <c r="I439" s="266"/>
      <c r="J439" s="266"/>
      <c r="K439" s="266"/>
      <c r="L439" s="266"/>
      <c r="M439" s="266"/>
      <c r="N439" s="266"/>
      <c r="O439" s="266"/>
      <c r="P439" s="267"/>
      <c r="Q439" s="267"/>
      <c r="R439" s="267"/>
      <c r="S439" s="267"/>
      <c r="T439" s="267"/>
      <c r="U439" s="267"/>
      <c r="V439" s="267"/>
      <c r="W439" s="267"/>
      <c r="X439" s="267"/>
      <c r="Y439" s="267"/>
    </row>
    <row r="440" ht="12.75" customHeight="1" spans="1:25">
      <c r="A440" s="266"/>
      <c r="B440" s="266"/>
      <c r="C440" s="266"/>
      <c r="D440" s="266"/>
      <c r="E440" s="266"/>
      <c r="F440" s="266"/>
      <c r="G440" s="266"/>
      <c r="H440" s="266"/>
      <c r="I440" s="266"/>
      <c r="J440" s="266"/>
      <c r="K440" s="266"/>
      <c r="L440" s="266"/>
      <c r="M440" s="266"/>
      <c r="N440" s="266"/>
      <c r="O440" s="266"/>
      <c r="P440" s="267"/>
      <c r="Q440" s="267"/>
      <c r="R440" s="267"/>
      <c r="S440" s="267"/>
      <c r="T440" s="267"/>
      <c r="U440" s="267"/>
      <c r="V440" s="267"/>
      <c r="W440" s="267"/>
      <c r="X440" s="267"/>
      <c r="Y440" s="267"/>
    </row>
    <row r="441" ht="12.75" customHeight="1" spans="1:25">
      <c r="A441" s="266"/>
      <c r="B441" s="266"/>
      <c r="C441" s="266"/>
      <c r="D441" s="266"/>
      <c r="E441" s="266"/>
      <c r="F441" s="266"/>
      <c r="G441" s="266"/>
      <c r="H441" s="266"/>
      <c r="I441" s="266"/>
      <c r="J441" s="266"/>
      <c r="K441" s="266"/>
      <c r="L441" s="266"/>
      <c r="M441" s="266"/>
      <c r="N441" s="266"/>
      <c r="O441" s="266"/>
      <c r="P441" s="267"/>
      <c r="Q441" s="267"/>
      <c r="R441" s="267"/>
      <c r="S441" s="267"/>
      <c r="T441" s="267"/>
      <c r="U441" s="267"/>
      <c r="V441" s="267"/>
      <c r="W441" s="267"/>
      <c r="X441" s="267"/>
      <c r="Y441" s="267"/>
    </row>
    <row r="442" ht="12.75" customHeight="1" spans="1:25">
      <c r="A442" s="266"/>
      <c r="B442" s="266"/>
      <c r="C442" s="266"/>
      <c r="D442" s="266"/>
      <c r="E442" s="266"/>
      <c r="F442" s="266"/>
      <c r="G442" s="266"/>
      <c r="H442" s="266"/>
      <c r="I442" s="266"/>
      <c r="J442" s="266"/>
      <c r="K442" s="266"/>
      <c r="L442" s="266"/>
      <c r="M442" s="266"/>
      <c r="N442" s="266"/>
      <c r="O442" s="266"/>
      <c r="P442" s="267"/>
      <c r="Q442" s="267"/>
      <c r="R442" s="267"/>
      <c r="S442" s="267"/>
      <c r="T442" s="267"/>
      <c r="U442" s="267"/>
      <c r="V442" s="267"/>
      <c r="W442" s="267"/>
      <c r="X442" s="267"/>
      <c r="Y442" s="267"/>
    </row>
    <row r="443" ht="12.75" customHeight="1" spans="1:25">
      <c r="A443" s="266"/>
      <c r="B443" s="266"/>
      <c r="C443" s="266"/>
      <c r="D443" s="266"/>
      <c r="E443" s="266"/>
      <c r="F443" s="266"/>
      <c r="G443" s="266"/>
      <c r="H443" s="266"/>
      <c r="I443" s="266"/>
      <c r="J443" s="266"/>
      <c r="K443" s="266"/>
      <c r="L443" s="266"/>
      <c r="M443" s="266"/>
      <c r="N443" s="266"/>
      <c r="O443" s="266"/>
      <c r="P443" s="267"/>
      <c r="Q443" s="267"/>
      <c r="R443" s="267"/>
      <c r="S443" s="267"/>
      <c r="T443" s="267"/>
      <c r="U443" s="267"/>
      <c r="V443" s="267"/>
      <c r="W443" s="267"/>
      <c r="X443" s="267"/>
      <c r="Y443" s="267"/>
    </row>
    <row r="444" ht="12.75" customHeight="1" spans="1:25">
      <c r="A444" s="266"/>
      <c r="B444" s="266"/>
      <c r="C444" s="266"/>
      <c r="D444" s="266"/>
      <c r="E444" s="266"/>
      <c r="F444" s="266"/>
      <c r="G444" s="266"/>
      <c r="H444" s="266"/>
      <c r="I444" s="266"/>
      <c r="J444" s="266"/>
      <c r="K444" s="266"/>
      <c r="L444" s="266"/>
      <c r="M444" s="266"/>
      <c r="N444" s="266"/>
      <c r="O444" s="266"/>
      <c r="P444" s="267"/>
      <c r="Q444" s="267"/>
      <c r="R444" s="267"/>
      <c r="S444" s="267"/>
      <c r="T444" s="267"/>
      <c r="U444" s="267"/>
      <c r="V444" s="267"/>
      <c r="W444" s="267"/>
      <c r="X444" s="267"/>
      <c r="Y444" s="267"/>
    </row>
    <row r="445" ht="12.75" customHeight="1" spans="1:25">
      <c r="A445" s="266"/>
      <c r="B445" s="266"/>
      <c r="C445" s="266"/>
      <c r="D445" s="266"/>
      <c r="E445" s="266"/>
      <c r="F445" s="266"/>
      <c r="G445" s="266"/>
      <c r="H445" s="266"/>
      <c r="I445" s="266"/>
      <c r="J445" s="266"/>
      <c r="K445" s="266"/>
      <c r="L445" s="266"/>
      <c r="M445" s="266"/>
      <c r="N445" s="266"/>
      <c r="O445" s="266"/>
      <c r="P445" s="267"/>
      <c r="Q445" s="267"/>
      <c r="R445" s="267"/>
      <c r="S445" s="267"/>
      <c r="T445" s="267"/>
      <c r="U445" s="267"/>
      <c r="V445" s="267"/>
      <c r="W445" s="267"/>
      <c r="X445" s="267"/>
      <c r="Y445" s="267"/>
    </row>
    <row r="446" ht="12.75" customHeight="1" spans="1:25">
      <c r="A446" s="266"/>
      <c r="B446" s="266"/>
      <c r="C446" s="266"/>
      <c r="D446" s="266"/>
      <c r="E446" s="266"/>
      <c r="F446" s="266"/>
      <c r="G446" s="266"/>
      <c r="H446" s="266"/>
      <c r="I446" s="266"/>
      <c r="J446" s="266"/>
      <c r="K446" s="266"/>
      <c r="L446" s="266"/>
      <c r="M446" s="266"/>
      <c r="N446" s="266"/>
      <c r="O446" s="266"/>
      <c r="P446" s="267"/>
      <c r="Q446" s="267"/>
      <c r="R446" s="267"/>
      <c r="S446" s="267"/>
      <c r="T446" s="267"/>
      <c r="U446" s="267"/>
      <c r="V446" s="267"/>
      <c r="W446" s="267"/>
      <c r="X446" s="267"/>
      <c r="Y446" s="267"/>
    </row>
    <row r="447" ht="12.75" customHeight="1" spans="1:25">
      <c r="A447" s="266"/>
      <c r="B447" s="266"/>
      <c r="C447" s="266"/>
      <c r="D447" s="266"/>
      <c r="E447" s="266"/>
      <c r="F447" s="266"/>
      <c r="G447" s="266"/>
      <c r="H447" s="266"/>
      <c r="I447" s="266"/>
      <c r="J447" s="266"/>
      <c r="K447" s="266"/>
      <c r="L447" s="266"/>
      <c r="M447" s="266"/>
      <c r="N447" s="266"/>
      <c r="O447" s="266"/>
      <c r="P447" s="267"/>
      <c r="Q447" s="267"/>
      <c r="R447" s="267"/>
      <c r="S447" s="267"/>
      <c r="T447" s="267"/>
      <c r="U447" s="267"/>
      <c r="V447" s="267"/>
      <c r="W447" s="267"/>
      <c r="X447" s="267"/>
      <c r="Y447" s="267"/>
    </row>
    <row r="448" ht="12.75" customHeight="1" spans="1:25">
      <c r="A448" s="266"/>
      <c r="B448" s="266"/>
      <c r="C448" s="266"/>
      <c r="D448" s="266"/>
      <c r="E448" s="266"/>
      <c r="F448" s="266"/>
      <c r="G448" s="266"/>
      <c r="H448" s="266"/>
      <c r="I448" s="266"/>
      <c r="J448" s="266"/>
      <c r="K448" s="266"/>
      <c r="L448" s="266"/>
      <c r="M448" s="266"/>
      <c r="N448" s="266"/>
      <c r="O448" s="266"/>
      <c r="P448" s="267"/>
      <c r="Q448" s="267"/>
      <c r="R448" s="267"/>
      <c r="S448" s="267"/>
      <c r="T448" s="267"/>
      <c r="U448" s="267"/>
      <c r="V448" s="267"/>
      <c r="W448" s="267"/>
      <c r="X448" s="267"/>
      <c r="Y448" s="267"/>
    </row>
    <row r="449" ht="12.75" customHeight="1" spans="1:25">
      <c r="A449" s="266"/>
      <c r="B449" s="266"/>
      <c r="C449" s="266"/>
      <c r="D449" s="266"/>
      <c r="E449" s="266"/>
      <c r="F449" s="266"/>
      <c r="G449" s="266"/>
      <c r="H449" s="266"/>
      <c r="I449" s="266"/>
      <c r="J449" s="266"/>
      <c r="K449" s="266"/>
      <c r="L449" s="266"/>
      <c r="M449" s="266"/>
      <c r="N449" s="266"/>
      <c r="O449" s="266"/>
      <c r="P449" s="267"/>
      <c r="Q449" s="267"/>
      <c r="R449" s="267"/>
      <c r="S449" s="267"/>
      <c r="T449" s="267"/>
      <c r="U449" s="267"/>
      <c r="V449" s="267"/>
      <c r="W449" s="267"/>
      <c r="X449" s="267"/>
      <c r="Y449" s="267"/>
    </row>
    <row r="450" ht="12.75" customHeight="1" spans="1:25">
      <c r="A450" s="266"/>
      <c r="B450" s="266"/>
      <c r="C450" s="266"/>
      <c r="D450" s="266"/>
      <c r="E450" s="266"/>
      <c r="F450" s="266"/>
      <c r="G450" s="266"/>
      <c r="H450" s="266"/>
      <c r="I450" s="266"/>
      <c r="J450" s="266"/>
      <c r="K450" s="266"/>
      <c r="L450" s="266"/>
      <c r="M450" s="266"/>
      <c r="N450" s="266"/>
      <c r="O450" s="266"/>
      <c r="P450" s="267"/>
      <c r="Q450" s="267"/>
      <c r="R450" s="267"/>
      <c r="S450" s="267"/>
      <c r="T450" s="267"/>
      <c r="U450" s="267"/>
      <c r="V450" s="267"/>
      <c r="W450" s="267"/>
      <c r="X450" s="267"/>
      <c r="Y450" s="267"/>
    </row>
    <row r="451" ht="12.75" customHeight="1" spans="1:25">
      <c r="A451" s="266"/>
      <c r="B451" s="266"/>
      <c r="C451" s="266"/>
      <c r="D451" s="266"/>
      <c r="E451" s="266"/>
      <c r="F451" s="266"/>
      <c r="G451" s="266"/>
      <c r="H451" s="266"/>
      <c r="I451" s="266"/>
      <c r="J451" s="266"/>
      <c r="K451" s="266"/>
      <c r="L451" s="266"/>
      <c r="M451" s="266"/>
      <c r="N451" s="266"/>
      <c r="O451" s="266"/>
      <c r="P451" s="267"/>
      <c r="Q451" s="267"/>
      <c r="R451" s="267"/>
      <c r="S451" s="267"/>
      <c r="T451" s="267"/>
      <c r="U451" s="267"/>
      <c r="V451" s="267"/>
      <c r="W451" s="267"/>
      <c r="X451" s="267"/>
      <c r="Y451" s="267"/>
    </row>
    <row r="452" ht="12.75" customHeight="1" spans="1:25">
      <c r="A452" s="266"/>
      <c r="B452" s="266"/>
      <c r="C452" s="266"/>
      <c r="D452" s="266"/>
      <c r="E452" s="266"/>
      <c r="F452" s="266"/>
      <c r="G452" s="266"/>
      <c r="H452" s="266"/>
      <c r="I452" s="266"/>
      <c r="J452" s="266"/>
      <c r="K452" s="266"/>
      <c r="L452" s="266"/>
      <c r="M452" s="266"/>
      <c r="N452" s="266"/>
      <c r="O452" s="266"/>
      <c r="P452" s="267"/>
      <c r="Q452" s="267"/>
      <c r="R452" s="267"/>
      <c r="S452" s="267"/>
      <c r="T452" s="267"/>
      <c r="U452" s="267"/>
      <c r="V452" s="267"/>
      <c r="W452" s="267"/>
      <c r="X452" s="267"/>
      <c r="Y452" s="267"/>
    </row>
    <row r="453" ht="12.75" customHeight="1" spans="1:25">
      <c r="A453" s="266"/>
      <c r="B453" s="266"/>
      <c r="C453" s="266"/>
      <c r="D453" s="266"/>
      <c r="E453" s="266"/>
      <c r="F453" s="266"/>
      <c r="G453" s="266"/>
      <c r="H453" s="266"/>
      <c r="I453" s="266"/>
      <c r="J453" s="266"/>
      <c r="K453" s="266"/>
      <c r="L453" s="266"/>
      <c r="M453" s="266"/>
      <c r="N453" s="266"/>
      <c r="O453" s="266"/>
      <c r="P453" s="267"/>
      <c r="Q453" s="267"/>
      <c r="R453" s="267"/>
      <c r="S453" s="267"/>
      <c r="T453" s="267"/>
      <c r="U453" s="267"/>
      <c r="V453" s="267"/>
      <c r="W453" s="267"/>
      <c r="X453" s="267"/>
      <c r="Y453" s="267"/>
    </row>
    <row r="454" ht="12.75" customHeight="1" spans="1:25">
      <c r="A454" s="266"/>
      <c r="B454" s="266"/>
      <c r="C454" s="266"/>
      <c r="D454" s="266"/>
      <c r="E454" s="266"/>
      <c r="F454" s="266"/>
      <c r="G454" s="266"/>
      <c r="H454" s="266"/>
      <c r="I454" s="266"/>
      <c r="J454" s="266"/>
      <c r="K454" s="266"/>
      <c r="L454" s="266"/>
      <c r="M454" s="266"/>
      <c r="N454" s="266"/>
      <c r="O454" s="266"/>
      <c r="P454" s="267"/>
      <c r="Q454" s="267"/>
      <c r="R454" s="267"/>
      <c r="S454" s="267"/>
      <c r="T454" s="267"/>
      <c r="U454" s="267"/>
      <c r="V454" s="267"/>
      <c r="W454" s="267"/>
      <c r="X454" s="267"/>
      <c r="Y454" s="267"/>
    </row>
    <row r="455" ht="12.75" customHeight="1" spans="1:25">
      <c r="A455" s="266"/>
      <c r="B455" s="266"/>
      <c r="C455" s="266"/>
      <c r="D455" s="266"/>
      <c r="E455" s="266"/>
      <c r="F455" s="266"/>
      <c r="G455" s="266"/>
      <c r="H455" s="266"/>
      <c r="I455" s="266"/>
      <c r="J455" s="266"/>
      <c r="K455" s="266"/>
      <c r="L455" s="266"/>
      <c r="M455" s="266"/>
      <c r="N455" s="266"/>
      <c r="O455" s="266"/>
      <c r="P455" s="267"/>
      <c r="Q455" s="267"/>
      <c r="R455" s="267"/>
      <c r="S455" s="267"/>
      <c r="T455" s="267"/>
      <c r="U455" s="267"/>
      <c r="V455" s="267"/>
      <c r="W455" s="267"/>
      <c r="X455" s="267"/>
      <c r="Y455" s="267"/>
    </row>
    <row r="456" ht="12.75" customHeight="1" spans="1:25">
      <c r="A456" s="266"/>
      <c r="B456" s="266"/>
      <c r="C456" s="266"/>
      <c r="D456" s="266"/>
      <c r="E456" s="266"/>
      <c r="F456" s="266"/>
      <c r="G456" s="266"/>
      <c r="H456" s="266"/>
      <c r="I456" s="266"/>
      <c r="J456" s="266"/>
      <c r="K456" s="266"/>
      <c r="L456" s="266"/>
      <c r="M456" s="266"/>
      <c r="N456" s="266"/>
      <c r="O456" s="266"/>
      <c r="P456" s="267"/>
      <c r="Q456" s="267"/>
      <c r="R456" s="267"/>
      <c r="S456" s="267"/>
      <c r="T456" s="267"/>
      <c r="U456" s="267"/>
      <c r="V456" s="267"/>
      <c r="W456" s="267"/>
      <c r="X456" s="267"/>
      <c r="Y456" s="267"/>
    </row>
    <row r="457" ht="12.75" customHeight="1" spans="1:25">
      <c r="A457" s="266"/>
      <c r="B457" s="266"/>
      <c r="C457" s="266"/>
      <c r="D457" s="266"/>
      <c r="E457" s="266"/>
      <c r="F457" s="266"/>
      <c r="G457" s="266"/>
      <c r="H457" s="266"/>
      <c r="I457" s="266"/>
      <c r="J457" s="266"/>
      <c r="K457" s="266"/>
      <c r="L457" s="266"/>
      <c r="M457" s="266"/>
      <c r="N457" s="266"/>
      <c r="O457" s="266"/>
      <c r="P457" s="267"/>
      <c r="Q457" s="267"/>
      <c r="R457" s="267"/>
      <c r="S457" s="267"/>
      <c r="T457" s="267"/>
      <c r="U457" s="267"/>
      <c r="V457" s="267"/>
      <c r="W457" s="267"/>
      <c r="X457" s="267"/>
      <c r="Y457" s="267"/>
    </row>
    <row r="458" ht="12.75" customHeight="1" spans="1:25">
      <c r="A458" s="266"/>
      <c r="B458" s="266"/>
      <c r="C458" s="266"/>
      <c r="D458" s="266"/>
      <c r="E458" s="266"/>
      <c r="F458" s="266"/>
      <c r="G458" s="266"/>
      <c r="H458" s="266"/>
      <c r="I458" s="266"/>
      <c r="J458" s="266"/>
      <c r="K458" s="266"/>
      <c r="L458" s="266"/>
      <c r="M458" s="266"/>
      <c r="N458" s="266"/>
      <c r="O458" s="266"/>
      <c r="P458" s="267"/>
      <c r="Q458" s="267"/>
      <c r="R458" s="267"/>
      <c r="S458" s="267"/>
      <c r="T458" s="267"/>
      <c r="U458" s="267"/>
      <c r="V458" s="267"/>
      <c r="W458" s="267"/>
      <c r="X458" s="267"/>
      <c r="Y458" s="267"/>
    </row>
    <row r="459" ht="12.75" customHeight="1" spans="1:25">
      <c r="A459" s="266"/>
      <c r="B459" s="266"/>
      <c r="C459" s="266"/>
      <c r="D459" s="266"/>
      <c r="E459" s="266"/>
      <c r="F459" s="266"/>
      <c r="G459" s="266"/>
      <c r="H459" s="266"/>
      <c r="I459" s="266"/>
      <c r="J459" s="266"/>
      <c r="K459" s="266"/>
      <c r="L459" s="266"/>
      <c r="M459" s="266"/>
      <c r="N459" s="266"/>
      <c r="O459" s="266"/>
      <c r="P459" s="267"/>
      <c r="Q459" s="267"/>
      <c r="R459" s="267"/>
      <c r="S459" s="267"/>
      <c r="T459" s="267"/>
      <c r="U459" s="267"/>
      <c r="V459" s="267"/>
      <c r="W459" s="267"/>
      <c r="X459" s="267"/>
      <c r="Y459" s="267"/>
    </row>
    <row r="460" ht="12.75" customHeight="1" spans="1:25">
      <c r="A460" s="266"/>
      <c r="B460" s="266"/>
      <c r="C460" s="266"/>
      <c r="D460" s="266"/>
      <c r="E460" s="266"/>
      <c r="F460" s="266"/>
      <c r="G460" s="266"/>
      <c r="H460" s="266"/>
      <c r="I460" s="266"/>
      <c r="J460" s="266"/>
      <c r="K460" s="266"/>
      <c r="L460" s="266"/>
      <c r="M460" s="266"/>
      <c r="N460" s="266"/>
      <c r="O460" s="266"/>
      <c r="P460" s="267"/>
      <c r="Q460" s="267"/>
      <c r="R460" s="267"/>
      <c r="S460" s="267"/>
      <c r="T460" s="267"/>
      <c r="U460" s="267"/>
      <c r="V460" s="267"/>
      <c r="W460" s="267"/>
      <c r="X460" s="267"/>
      <c r="Y460" s="267"/>
    </row>
    <row r="461" ht="12.75" customHeight="1" spans="1:25">
      <c r="A461" s="266"/>
      <c r="B461" s="266"/>
      <c r="C461" s="266"/>
      <c r="D461" s="266"/>
      <c r="E461" s="266"/>
      <c r="F461" s="266"/>
      <c r="G461" s="266"/>
      <c r="H461" s="266"/>
      <c r="I461" s="266"/>
      <c r="J461" s="266"/>
      <c r="K461" s="266"/>
      <c r="L461" s="266"/>
      <c r="M461" s="266"/>
      <c r="N461" s="266"/>
      <c r="O461" s="266"/>
      <c r="P461" s="267"/>
      <c r="Q461" s="267"/>
      <c r="R461" s="267"/>
      <c r="S461" s="267"/>
      <c r="T461" s="267"/>
      <c r="U461" s="267"/>
      <c r="V461" s="267"/>
      <c r="W461" s="267"/>
      <c r="X461" s="267"/>
      <c r="Y461" s="267"/>
    </row>
    <row r="462" ht="12.75" customHeight="1" spans="1:25">
      <c r="A462" s="266"/>
      <c r="B462" s="266"/>
      <c r="C462" s="266"/>
      <c r="D462" s="266"/>
      <c r="E462" s="266"/>
      <c r="F462" s="266"/>
      <c r="G462" s="266"/>
      <c r="H462" s="266"/>
      <c r="I462" s="266"/>
      <c r="J462" s="266"/>
      <c r="K462" s="266"/>
      <c r="L462" s="266"/>
      <c r="M462" s="266"/>
      <c r="N462" s="266"/>
      <c r="O462" s="266"/>
      <c r="P462" s="267"/>
      <c r="Q462" s="267"/>
      <c r="R462" s="267"/>
      <c r="S462" s="267"/>
      <c r="T462" s="267"/>
      <c r="U462" s="267"/>
      <c r="V462" s="267"/>
      <c r="W462" s="267"/>
      <c r="X462" s="267"/>
      <c r="Y462" s="267"/>
    </row>
    <row r="463" ht="12.75" customHeight="1" spans="1:25">
      <c r="A463" s="266"/>
      <c r="B463" s="266"/>
      <c r="C463" s="266"/>
      <c r="D463" s="266"/>
      <c r="E463" s="266"/>
      <c r="F463" s="266"/>
      <c r="G463" s="266"/>
      <c r="H463" s="266"/>
      <c r="I463" s="266"/>
      <c r="J463" s="266"/>
      <c r="K463" s="266"/>
      <c r="L463" s="266"/>
      <c r="M463" s="266"/>
      <c r="N463" s="266"/>
      <c r="O463" s="266"/>
      <c r="P463" s="267"/>
      <c r="Q463" s="267"/>
      <c r="R463" s="267"/>
      <c r="S463" s="267"/>
      <c r="T463" s="267"/>
      <c r="U463" s="267"/>
      <c r="V463" s="267"/>
      <c r="W463" s="267"/>
      <c r="X463" s="267"/>
      <c r="Y463" s="267"/>
    </row>
    <row r="464" ht="12.75" customHeight="1" spans="1:25">
      <c r="A464" s="266"/>
      <c r="B464" s="266"/>
      <c r="C464" s="266"/>
      <c r="D464" s="266"/>
      <c r="E464" s="266"/>
      <c r="F464" s="266"/>
      <c r="G464" s="266"/>
      <c r="H464" s="266"/>
      <c r="I464" s="266"/>
      <c r="J464" s="266"/>
      <c r="K464" s="266"/>
      <c r="L464" s="266"/>
      <c r="M464" s="266"/>
      <c r="N464" s="266"/>
      <c r="O464" s="266"/>
      <c r="P464" s="267"/>
      <c r="Q464" s="267"/>
      <c r="R464" s="267"/>
      <c r="S464" s="267"/>
      <c r="T464" s="267"/>
      <c r="U464" s="267"/>
      <c r="V464" s="267"/>
      <c r="W464" s="267"/>
      <c r="X464" s="267"/>
      <c r="Y464" s="267"/>
    </row>
    <row r="465" ht="12.75" customHeight="1" spans="1:25">
      <c r="A465" s="266"/>
      <c r="B465" s="266"/>
      <c r="C465" s="266"/>
      <c r="D465" s="266"/>
      <c r="E465" s="266"/>
      <c r="F465" s="266"/>
      <c r="G465" s="266"/>
      <c r="H465" s="266"/>
      <c r="I465" s="266"/>
      <c r="J465" s="266"/>
      <c r="K465" s="266"/>
      <c r="L465" s="266"/>
      <c r="M465" s="266"/>
      <c r="N465" s="266"/>
      <c r="O465" s="266"/>
      <c r="P465" s="267"/>
      <c r="Q465" s="267"/>
      <c r="R465" s="267"/>
      <c r="S465" s="267"/>
      <c r="T465" s="267"/>
      <c r="U465" s="267"/>
      <c r="V465" s="267"/>
      <c r="W465" s="267"/>
      <c r="X465" s="267"/>
      <c r="Y465" s="267"/>
    </row>
    <row r="466" ht="12.75" customHeight="1" spans="1:25">
      <c r="A466" s="266"/>
      <c r="B466" s="266"/>
      <c r="C466" s="266"/>
      <c r="D466" s="266"/>
      <c r="E466" s="266"/>
      <c r="F466" s="266"/>
      <c r="G466" s="266"/>
      <c r="H466" s="266"/>
      <c r="I466" s="266"/>
      <c r="J466" s="266"/>
      <c r="K466" s="266"/>
      <c r="L466" s="266"/>
      <c r="M466" s="266"/>
      <c r="N466" s="266"/>
      <c r="O466" s="266"/>
      <c r="P466" s="267"/>
      <c r="Q466" s="267"/>
      <c r="R466" s="267"/>
      <c r="S466" s="267"/>
      <c r="T466" s="267"/>
      <c r="U466" s="267"/>
      <c r="V466" s="267"/>
      <c r="W466" s="267"/>
      <c r="X466" s="267"/>
      <c r="Y466" s="267"/>
    </row>
    <row r="467" ht="12.75" customHeight="1" spans="1:25">
      <c r="A467" s="266"/>
      <c r="B467" s="266"/>
      <c r="C467" s="266"/>
      <c r="D467" s="266"/>
      <c r="E467" s="266"/>
      <c r="F467" s="266"/>
      <c r="G467" s="266"/>
      <c r="H467" s="266"/>
      <c r="I467" s="266"/>
      <c r="J467" s="266"/>
      <c r="K467" s="266"/>
      <c r="L467" s="266"/>
      <c r="M467" s="266"/>
      <c r="N467" s="266"/>
      <c r="O467" s="266"/>
      <c r="P467" s="267"/>
      <c r="Q467" s="267"/>
      <c r="R467" s="267"/>
      <c r="S467" s="267"/>
      <c r="T467" s="267"/>
      <c r="U467" s="267"/>
      <c r="V467" s="267"/>
      <c r="W467" s="267"/>
      <c r="X467" s="267"/>
      <c r="Y467" s="267"/>
    </row>
    <row r="468" ht="12.75" customHeight="1" spans="1:25">
      <c r="A468" s="266"/>
      <c r="B468" s="266"/>
      <c r="C468" s="266"/>
      <c r="D468" s="266"/>
      <c r="E468" s="266"/>
      <c r="F468" s="266"/>
      <c r="G468" s="266"/>
      <c r="H468" s="266"/>
      <c r="I468" s="266"/>
      <c r="J468" s="266"/>
      <c r="K468" s="266"/>
      <c r="L468" s="266"/>
      <c r="M468" s="266"/>
      <c r="N468" s="266"/>
      <c r="O468" s="266"/>
      <c r="P468" s="267"/>
      <c r="Q468" s="267"/>
      <c r="R468" s="267"/>
      <c r="S468" s="267"/>
      <c r="T468" s="267"/>
      <c r="U468" s="267"/>
      <c r="V468" s="267"/>
      <c r="W468" s="267"/>
      <c r="X468" s="267"/>
      <c r="Y468" s="267"/>
    </row>
    <row r="469" ht="12.75" customHeight="1" spans="1:25">
      <c r="A469" s="266"/>
      <c r="B469" s="266"/>
      <c r="C469" s="266"/>
      <c r="D469" s="266"/>
      <c r="E469" s="266"/>
      <c r="F469" s="266"/>
      <c r="G469" s="266"/>
      <c r="H469" s="266"/>
      <c r="I469" s="266"/>
      <c r="J469" s="266"/>
      <c r="K469" s="266"/>
      <c r="L469" s="266"/>
      <c r="M469" s="266"/>
      <c r="N469" s="266"/>
      <c r="O469" s="266"/>
      <c r="P469" s="267"/>
      <c r="Q469" s="267"/>
      <c r="R469" s="267"/>
      <c r="S469" s="267"/>
      <c r="T469" s="267"/>
      <c r="U469" s="267"/>
      <c r="V469" s="267"/>
      <c r="W469" s="267"/>
      <c r="X469" s="267"/>
      <c r="Y469" s="267"/>
    </row>
    <row r="470" ht="12.75" customHeight="1" spans="1:25">
      <c r="A470" s="266"/>
      <c r="B470" s="266"/>
      <c r="C470" s="266"/>
      <c r="D470" s="266"/>
      <c r="E470" s="266"/>
      <c r="F470" s="266"/>
      <c r="G470" s="266"/>
      <c r="H470" s="266"/>
      <c r="I470" s="266"/>
      <c r="J470" s="266"/>
      <c r="K470" s="266"/>
      <c r="L470" s="266"/>
      <c r="M470" s="266"/>
      <c r="N470" s="266"/>
      <c r="O470" s="266"/>
      <c r="P470" s="267"/>
      <c r="Q470" s="267"/>
      <c r="R470" s="267"/>
      <c r="S470" s="267"/>
      <c r="T470" s="267"/>
      <c r="U470" s="267"/>
      <c r="V470" s="267"/>
      <c r="W470" s="267"/>
      <c r="X470" s="267"/>
      <c r="Y470" s="267"/>
    </row>
    <row r="471" ht="12.75" customHeight="1" spans="1:25">
      <c r="A471" s="266"/>
      <c r="B471" s="266"/>
      <c r="C471" s="266"/>
      <c r="D471" s="266"/>
      <c r="E471" s="266"/>
      <c r="F471" s="266"/>
      <c r="G471" s="266"/>
      <c r="H471" s="266"/>
      <c r="I471" s="266"/>
      <c r="J471" s="266"/>
      <c r="K471" s="266"/>
      <c r="L471" s="266"/>
      <c r="M471" s="266"/>
      <c r="N471" s="266"/>
      <c r="O471" s="266"/>
      <c r="P471" s="267"/>
      <c r="Q471" s="267"/>
      <c r="R471" s="267"/>
      <c r="S471" s="267"/>
      <c r="T471" s="267"/>
      <c r="U471" s="267"/>
      <c r="V471" s="267"/>
      <c r="W471" s="267"/>
      <c r="X471" s="267"/>
      <c r="Y471" s="267"/>
    </row>
    <row r="472" ht="12.75" customHeight="1" spans="1:25">
      <c r="A472" s="266"/>
      <c r="B472" s="266"/>
      <c r="C472" s="266"/>
      <c r="D472" s="266"/>
      <c r="E472" s="266"/>
      <c r="F472" s="266"/>
      <c r="G472" s="266"/>
      <c r="H472" s="266"/>
      <c r="I472" s="266"/>
      <c r="J472" s="266"/>
      <c r="K472" s="266"/>
      <c r="L472" s="266"/>
      <c r="M472" s="266"/>
      <c r="N472" s="266"/>
      <c r="O472" s="266"/>
      <c r="P472" s="267"/>
      <c r="Q472" s="267"/>
      <c r="R472" s="267"/>
      <c r="S472" s="267"/>
      <c r="T472" s="267"/>
      <c r="U472" s="267"/>
      <c r="V472" s="267"/>
      <c r="W472" s="267"/>
      <c r="X472" s="267"/>
      <c r="Y472" s="267"/>
    </row>
    <row r="473" ht="12.75" customHeight="1" spans="1:25">
      <c r="A473" s="266"/>
      <c r="B473" s="266"/>
      <c r="C473" s="266"/>
      <c r="D473" s="266"/>
      <c r="E473" s="266"/>
      <c r="F473" s="266"/>
      <c r="G473" s="266"/>
      <c r="H473" s="266"/>
      <c r="I473" s="266"/>
      <c r="J473" s="266"/>
      <c r="K473" s="266"/>
      <c r="L473" s="266"/>
      <c r="M473" s="266"/>
      <c r="N473" s="266"/>
      <c r="O473" s="266"/>
      <c r="P473" s="267"/>
      <c r="Q473" s="267"/>
      <c r="R473" s="267"/>
      <c r="S473" s="267"/>
      <c r="T473" s="267"/>
      <c r="U473" s="267"/>
      <c r="V473" s="267"/>
      <c r="W473" s="267"/>
      <c r="X473" s="267"/>
      <c r="Y473" s="267"/>
    </row>
    <row r="474" ht="12.75" customHeight="1" spans="1:25">
      <c r="A474" s="266"/>
      <c r="B474" s="266"/>
      <c r="C474" s="266"/>
      <c r="D474" s="266"/>
      <c r="E474" s="266"/>
      <c r="F474" s="266"/>
      <c r="G474" s="266"/>
      <c r="H474" s="266"/>
      <c r="I474" s="266"/>
      <c r="J474" s="266"/>
      <c r="K474" s="266"/>
      <c r="L474" s="266"/>
      <c r="M474" s="266"/>
      <c r="N474" s="266"/>
      <c r="O474" s="266"/>
      <c r="P474" s="267"/>
      <c r="Q474" s="267"/>
      <c r="R474" s="267"/>
      <c r="S474" s="267"/>
      <c r="T474" s="267"/>
      <c r="U474" s="267"/>
      <c r="V474" s="267"/>
      <c r="W474" s="267"/>
      <c r="X474" s="267"/>
      <c r="Y474" s="267"/>
    </row>
    <row r="475" ht="12.75" customHeight="1" spans="1:25">
      <c r="A475" s="266"/>
      <c r="B475" s="266"/>
      <c r="C475" s="266"/>
      <c r="D475" s="266"/>
      <c r="E475" s="266"/>
      <c r="F475" s="266"/>
      <c r="G475" s="266"/>
      <c r="H475" s="266"/>
      <c r="I475" s="266"/>
      <c r="J475" s="266"/>
      <c r="K475" s="266"/>
      <c r="L475" s="266"/>
      <c r="M475" s="266"/>
      <c r="N475" s="266"/>
      <c r="O475" s="266"/>
      <c r="P475" s="267"/>
      <c r="Q475" s="267"/>
      <c r="R475" s="267"/>
      <c r="S475" s="267"/>
      <c r="T475" s="267"/>
      <c r="U475" s="267"/>
      <c r="V475" s="267"/>
      <c r="W475" s="267"/>
      <c r="X475" s="267"/>
      <c r="Y475" s="267"/>
    </row>
    <row r="476" ht="12.75" customHeight="1" spans="1:25">
      <c r="A476" s="266"/>
      <c r="B476" s="266"/>
      <c r="C476" s="266"/>
      <c r="D476" s="266"/>
      <c r="E476" s="266"/>
      <c r="F476" s="266"/>
      <c r="G476" s="266"/>
      <c r="H476" s="266"/>
      <c r="I476" s="266"/>
      <c r="J476" s="266"/>
      <c r="K476" s="266"/>
      <c r="L476" s="266"/>
      <c r="M476" s="266"/>
      <c r="N476" s="266"/>
      <c r="O476" s="266"/>
      <c r="P476" s="267"/>
      <c r="Q476" s="267"/>
      <c r="R476" s="267"/>
      <c r="S476" s="267"/>
      <c r="T476" s="267"/>
      <c r="U476" s="267"/>
      <c r="V476" s="267"/>
      <c r="W476" s="267"/>
      <c r="X476" s="267"/>
      <c r="Y476" s="267"/>
    </row>
    <row r="477" ht="12.75" customHeight="1" spans="1:25">
      <c r="A477" s="266"/>
      <c r="B477" s="266"/>
      <c r="C477" s="266"/>
      <c r="D477" s="266"/>
      <c r="E477" s="266"/>
      <c r="F477" s="266"/>
      <c r="G477" s="266"/>
      <c r="H477" s="266"/>
      <c r="I477" s="266"/>
      <c r="J477" s="266"/>
      <c r="K477" s="266"/>
      <c r="L477" s="266"/>
      <c r="M477" s="266"/>
      <c r="N477" s="266"/>
      <c r="O477" s="266"/>
      <c r="P477" s="267"/>
      <c r="Q477" s="267"/>
      <c r="R477" s="267"/>
      <c r="S477" s="267"/>
      <c r="T477" s="267"/>
      <c r="U477" s="267"/>
      <c r="V477" s="267"/>
      <c r="W477" s="267"/>
      <c r="X477" s="267"/>
      <c r="Y477" s="267"/>
    </row>
    <row r="478" ht="12.75" customHeight="1" spans="1:25">
      <c r="A478" s="266"/>
      <c r="B478" s="266"/>
      <c r="C478" s="266"/>
      <c r="D478" s="266"/>
      <c r="E478" s="266"/>
      <c r="F478" s="266"/>
      <c r="G478" s="266"/>
      <c r="H478" s="266"/>
      <c r="I478" s="266"/>
      <c r="J478" s="266"/>
      <c r="K478" s="266"/>
      <c r="L478" s="266"/>
      <c r="M478" s="266"/>
      <c r="N478" s="266"/>
      <c r="O478" s="266"/>
      <c r="P478" s="267"/>
      <c r="Q478" s="267"/>
      <c r="R478" s="267"/>
      <c r="S478" s="267"/>
      <c r="T478" s="267"/>
      <c r="U478" s="267"/>
      <c r="V478" s="267"/>
      <c r="W478" s="267"/>
      <c r="X478" s="267"/>
      <c r="Y478" s="267"/>
    </row>
    <row r="479" ht="12.75" customHeight="1" spans="1:25">
      <c r="A479" s="266"/>
      <c r="B479" s="266"/>
      <c r="C479" s="266"/>
      <c r="D479" s="266"/>
      <c r="E479" s="266"/>
      <c r="F479" s="266"/>
      <c r="G479" s="266"/>
      <c r="H479" s="266"/>
      <c r="I479" s="266"/>
      <c r="J479" s="266"/>
      <c r="K479" s="266"/>
      <c r="L479" s="266"/>
      <c r="M479" s="266"/>
      <c r="N479" s="266"/>
      <c r="O479" s="266"/>
      <c r="P479" s="267"/>
      <c r="Q479" s="267"/>
      <c r="R479" s="267"/>
      <c r="S479" s="267"/>
      <c r="T479" s="267"/>
      <c r="U479" s="267"/>
      <c r="V479" s="267"/>
      <c r="W479" s="267"/>
      <c r="X479" s="267"/>
      <c r="Y479" s="267"/>
    </row>
    <row r="480" ht="12.75" customHeight="1" spans="1:25">
      <c r="A480" s="266"/>
      <c r="B480" s="266"/>
      <c r="C480" s="266"/>
      <c r="D480" s="266"/>
      <c r="E480" s="266"/>
      <c r="F480" s="266"/>
      <c r="G480" s="266"/>
      <c r="H480" s="266"/>
      <c r="I480" s="266"/>
      <c r="J480" s="266"/>
      <c r="K480" s="266"/>
      <c r="L480" s="266"/>
      <c r="M480" s="266"/>
      <c r="N480" s="266"/>
      <c r="O480" s="266"/>
      <c r="P480" s="267"/>
      <c r="Q480" s="267"/>
      <c r="R480" s="267"/>
      <c r="S480" s="267"/>
      <c r="T480" s="267"/>
      <c r="U480" s="267"/>
      <c r="V480" s="267"/>
      <c r="W480" s="267"/>
      <c r="X480" s="267"/>
      <c r="Y480" s="267"/>
    </row>
    <row r="481" ht="12.75" customHeight="1" spans="1:25">
      <c r="A481" s="266"/>
      <c r="B481" s="266"/>
      <c r="C481" s="266"/>
      <c r="D481" s="266"/>
      <c r="E481" s="266"/>
      <c r="F481" s="266"/>
      <c r="G481" s="266"/>
      <c r="H481" s="266"/>
      <c r="I481" s="266"/>
      <c r="J481" s="266"/>
      <c r="K481" s="266"/>
      <c r="L481" s="266"/>
      <c r="M481" s="266"/>
      <c r="N481" s="266"/>
      <c r="O481" s="266"/>
      <c r="P481" s="267"/>
      <c r="Q481" s="267"/>
      <c r="R481" s="267"/>
      <c r="S481" s="267"/>
      <c r="T481" s="267"/>
      <c r="U481" s="267"/>
      <c r="V481" s="267"/>
      <c r="W481" s="267"/>
      <c r="X481" s="267"/>
      <c r="Y481" s="267"/>
    </row>
    <row r="482" ht="12.75" customHeight="1" spans="1:25">
      <c r="A482" s="266"/>
      <c r="B482" s="266"/>
      <c r="C482" s="266"/>
      <c r="D482" s="266"/>
      <c r="E482" s="266"/>
      <c r="F482" s="266"/>
      <c r="G482" s="266"/>
      <c r="H482" s="266"/>
      <c r="I482" s="266"/>
      <c r="J482" s="266"/>
      <c r="K482" s="266"/>
      <c r="L482" s="266"/>
      <c r="M482" s="266"/>
      <c r="N482" s="266"/>
      <c r="O482" s="266"/>
      <c r="P482" s="267"/>
      <c r="Q482" s="267"/>
      <c r="R482" s="267"/>
      <c r="S482" s="267"/>
      <c r="T482" s="267"/>
      <c r="U482" s="267"/>
      <c r="V482" s="267"/>
      <c r="W482" s="267"/>
      <c r="X482" s="267"/>
      <c r="Y482" s="267"/>
    </row>
    <row r="483" ht="12.75" customHeight="1" spans="1:25">
      <c r="A483" s="266"/>
      <c r="B483" s="266"/>
      <c r="C483" s="266"/>
      <c r="D483" s="266"/>
      <c r="E483" s="266"/>
      <c r="F483" s="266"/>
      <c r="G483" s="266"/>
      <c r="H483" s="266"/>
      <c r="I483" s="266"/>
      <c r="J483" s="266"/>
      <c r="K483" s="266"/>
      <c r="L483" s="266"/>
      <c r="M483" s="266"/>
      <c r="N483" s="266"/>
      <c r="O483" s="266"/>
      <c r="P483" s="267"/>
      <c r="Q483" s="267"/>
      <c r="R483" s="267"/>
      <c r="S483" s="267"/>
      <c r="T483" s="267"/>
      <c r="U483" s="267"/>
      <c r="V483" s="267"/>
      <c r="W483" s="267"/>
      <c r="X483" s="267"/>
      <c r="Y483" s="267"/>
    </row>
    <row r="484" ht="12.75" customHeight="1" spans="1:25">
      <c r="A484" s="266"/>
      <c r="B484" s="266"/>
      <c r="C484" s="266"/>
      <c r="D484" s="266"/>
      <c r="E484" s="266"/>
      <c r="F484" s="266"/>
      <c r="G484" s="266"/>
      <c r="H484" s="266"/>
      <c r="I484" s="266"/>
      <c r="J484" s="266"/>
      <c r="K484" s="266"/>
      <c r="L484" s="266"/>
      <c r="M484" s="266"/>
      <c r="N484" s="266"/>
      <c r="O484" s="266"/>
      <c r="P484" s="267"/>
      <c r="Q484" s="267"/>
      <c r="R484" s="267"/>
      <c r="S484" s="267"/>
      <c r="T484" s="267"/>
      <c r="U484" s="267"/>
      <c r="V484" s="267"/>
      <c r="W484" s="267"/>
      <c r="X484" s="267"/>
      <c r="Y484" s="267"/>
    </row>
    <row r="485" ht="12.75" customHeight="1" spans="1:25">
      <c r="A485" s="266"/>
      <c r="B485" s="266"/>
      <c r="C485" s="266"/>
      <c r="D485" s="266"/>
      <c r="E485" s="266"/>
      <c r="F485" s="266"/>
      <c r="G485" s="266"/>
      <c r="H485" s="266"/>
      <c r="I485" s="266"/>
      <c r="J485" s="266"/>
      <c r="K485" s="266"/>
      <c r="L485" s="266"/>
      <c r="M485" s="266"/>
      <c r="N485" s="266"/>
      <c r="O485" s="266"/>
      <c r="P485" s="267"/>
      <c r="Q485" s="267"/>
      <c r="R485" s="267"/>
      <c r="S485" s="267"/>
      <c r="T485" s="267"/>
      <c r="U485" s="267"/>
      <c r="V485" s="267"/>
      <c r="W485" s="267"/>
      <c r="X485" s="267"/>
      <c r="Y485" s="267"/>
    </row>
    <row r="486" ht="12.75" customHeight="1" spans="1:25">
      <c r="A486" s="266"/>
      <c r="B486" s="266"/>
      <c r="C486" s="266"/>
      <c r="D486" s="266"/>
      <c r="E486" s="266"/>
      <c r="F486" s="266"/>
      <c r="G486" s="266"/>
      <c r="H486" s="266"/>
      <c r="I486" s="266"/>
      <c r="J486" s="266"/>
      <c r="K486" s="266"/>
      <c r="L486" s="266"/>
      <c r="M486" s="266"/>
      <c r="N486" s="266"/>
      <c r="O486" s="266"/>
      <c r="P486" s="267"/>
      <c r="Q486" s="267"/>
      <c r="R486" s="267"/>
      <c r="S486" s="267"/>
      <c r="T486" s="267"/>
      <c r="U486" s="267"/>
      <c r="V486" s="267"/>
      <c r="W486" s="267"/>
      <c r="X486" s="267"/>
      <c r="Y486" s="267"/>
    </row>
    <row r="487" ht="12.75" customHeight="1" spans="1:25">
      <c r="A487" s="266"/>
      <c r="B487" s="266"/>
      <c r="C487" s="266"/>
      <c r="D487" s="266"/>
      <c r="E487" s="266"/>
      <c r="F487" s="266"/>
      <c r="G487" s="266"/>
      <c r="H487" s="266"/>
      <c r="I487" s="266"/>
      <c r="J487" s="266"/>
      <c r="K487" s="266"/>
      <c r="L487" s="266"/>
      <c r="M487" s="266"/>
      <c r="N487" s="266"/>
      <c r="O487" s="266"/>
      <c r="P487" s="267"/>
      <c r="Q487" s="267"/>
      <c r="R487" s="267"/>
      <c r="S487" s="267"/>
      <c r="T487" s="267"/>
      <c r="U487" s="267"/>
      <c r="V487" s="267"/>
      <c r="W487" s="267"/>
      <c r="X487" s="267"/>
      <c r="Y487" s="267"/>
    </row>
    <row r="488" ht="12.75" customHeight="1" spans="1:25">
      <c r="A488" s="266"/>
      <c r="B488" s="266"/>
      <c r="C488" s="266"/>
      <c r="D488" s="266"/>
      <c r="E488" s="266"/>
      <c r="F488" s="266"/>
      <c r="G488" s="266"/>
      <c r="H488" s="266"/>
      <c r="I488" s="266"/>
      <c r="J488" s="266"/>
      <c r="K488" s="266"/>
      <c r="L488" s="266"/>
      <c r="M488" s="266"/>
      <c r="N488" s="266"/>
      <c r="O488" s="266"/>
      <c r="P488" s="267"/>
      <c r="Q488" s="267"/>
      <c r="R488" s="267"/>
      <c r="S488" s="267"/>
      <c r="T488" s="267"/>
      <c r="U488" s="267"/>
      <c r="V488" s="267"/>
      <c r="W488" s="267"/>
      <c r="X488" s="267"/>
      <c r="Y488" s="267"/>
    </row>
    <row r="489" ht="12.75" customHeight="1" spans="1:25">
      <c r="A489" s="266"/>
      <c r="B489" s="266"/>
      <c r="C489" s="266"/>
      <c r="D489" s="266"/>
      <c r="E489" s="266"/>
      <c r="F489" s="266"/>
      <c r="G489" s="266"/>
      <c r="H489" s="266"/>
      <c r="I489" s="266"/>
      <c r="J489" s="266"/>
      <c r="K489" s="266"/>
      <c r="L489" s="266"/>
      <c r="M489" s="266"/>
      <c r="N489" s="266"/>
      <c r="O489" s="266"/>
      <c r="P489" s="267"/>
      <c r="Q489" s="267"/>
      <c r="R489" s="267"/>
      <c r="S489" s="267"/>
      <c r="T489" s="267"/>
      <c r="U489" s="267"/>
      <c r="V489" s="267"/>
      <c r="W489" s="267"/>
      <c r="X489" s="267"/>
      <c r="Y489" s="267"/>
    </row>
    <row r="490" ht="12.75" customHeight="1" spans="1:25">
      <c r="A490" s="266"/>
      <c r="B490" s="266"/>
      <c r="C490" s="266"/>
      <c r="D490" s="266"/>
      <c r="E490" s="266"/>
      <c r="F490" s="266"/>
      <c r="G490" s="266"/>
      <c r="H490" s="266"/>
      <c r="I490" s="266"/>
      <c r="J490" s="266"/>
      <c r="K490" s="266"/>
      <c r="L490" s="266"/>
      <c r="M490" s="266"/>
      <c r="N490" s="266"/>
      <c r="O490" s="266"/>
      <c r="P490" s="267"/>
      <c r="Q490" s="267"/>
      <c r="R490" s="267"/>
      <c r="S490" s="267"/>
      <c r="T490" s="267"/>
      <c r="U490" s="267"/>
      <c r="V490" s="267"/>
      <c r="W490" s="267"/>
      <c r="X490" s="267"/>
      <c r="Y490" s="267"/>
    </row>
    <row r="491" ht="12.75" customHeight="1" spans="1:25">
      <c r="A491" s="266"/>
      <c r="B491" s="266"/>
      <c r="C491" s="266"/>
      <c r="D491" s="266"/>
      <c r="E491" s="266"/>
      <c r="F491" s="266"/>
      <c r="G491" s="266"/>
      <c r="H491" s="266"/>
      <c r="I491" s="266"/>
      <c r="J491" s="266"/>
      <c r="K491" s="266"/>
      <c r="L491" s="266"/>
      <c r="M491" s="266"/>
      <c r="N491" s="266"/>
      <c r="O491" s="266"/>
      <c r="P491" s="267"/>
      <c r="Q491" s="267"/>
      <c r="R491" s="267"/>
      <c r="S491" s="267"/>
      <c r="T491" s="267"/>
      <c r="U491" s="267"/>
      <c r="V491" s="267"/>
      <c r="W491" s="267"/>
      <c r="X491" s="267"/>
      <c r="Y491" s="267"/>
    </row>
    <row r="492" ht="12.75" customHeight="1" spans="1:25">
      <c r="A492" s="266"/>
      <c r="B492" s="266"/>
      <c r="C492" s="266"/>
      <c r="D492" s="266"/>
      <c r="E492" s="266"/>
      <c r="F492" s="266"/>
      <c r="G492" s="266"/>
      <c r="H492" s="266"/>
      <c r="I492" s="266"/>
      <c r="J492" s="266"/>
      <c r="K492" s="266"/>
      <c r="L492" s="266"/>
      <c r="M492" s="266"/>
      <c r="N492" s="266"/>
      <c r="O492" s="266"/>
      <c r="P492" s="267"/>
      <c r="Q492" s="267"/>
      <c r="R492" s="267"/>
      <c r="S492" s="267"/>
      <c r="T492" s="267"/>
      <c r="U492" s="267"/>
      <c r="V492" s="267"/>
      <c r="W492" s="267"/>
      <c r="X492" s="267"/>
      <c r="Y492" s="267"/>
    </row>
    <row r="493" ht="12.75" customHeight="1" spans="1:25">
      <c r="A493" s="266"/>
      <c r="B493" s="266"/>
      <c r="C493" s="266"/>
      <c r="D493" s="266"/>
      <c r="E493" s="266"/>
      <c r="F493" s="266"/>
      <c r="G493" s="266"/>
      <c r="H493" s="266"/>
      <c r="I493" s="266"/>
      <c r="J493" s="266"/>
      <c r="K493" s="266"/>
      <c r="L493" s="266"/>
      <c r="M493" s="266"/>
      <c r="N493" s="266"/>
      <c r="O493" s="266"/>
      <c r="P493" s="267"/>
      <c r="Q493" s="267"/>
      <c r="R493" s="267"/>
      <c r="S493" s="267"/>
      <c r="T493" s="267"/>
      <c r="U493" s="267"/>
      <c r="V493" s="267"/>
      <c r="W493" s="267"/>
      <c r="X493" s="267"/>
      <c r="Y493" s="267"/>
    </row>
    <row r="494" ht="12.75" customHeight="1" spans="1:25">
      <c r="A494" s="266"/>
      <c r="B494" s="266"/>
      <c r="C494" s="266"/>
      <c r="D494" s="266"/>
      <c r="E494" s="266"/>
      <c r="F494" s="266"/>
      <c r="G494" s="266"/>
      <c r="H494" s="266"/>
      <c r="I494" s="266"/>
      <c r="J494" s="266"/>
      <c r="K494" s="266"/>
      <c r="L494" s="266"/>
      <c r="M494" s="266"/>
      <c r="N494" s="266"/>
      <c r="O494" s="266"/>
      <c r="P494" s="267"/>
      <c r="Q494" s="267"/>
      <c r="R494" s="267"/>
      <c r="S494" s="267"/>
      <c r="T494" s="267"/>
      <c r="U494" s="267"/>
      <c r="V494" s="267"/>
      <c r="W494" s="267"/>
      <c r="X494" s="267"/>
      <c r="Y494" s="267"/>
    </row>
    <row r="495" ht="12.75" customHeight="1" spans="1:25">
      <c r="A495" s="266"/>
      <c r="B495" s="266"/>
      <c r="C495" s="266"/>
      <c r="D495" s="266"/>
      <c r="E495" s="266"/>
      <c r="F495" s="266"/>
      <c r="G495" s="266"/>
      <c r="H495" s="266"/>
      <c r="I495" s="266"/>
      <c r="J495" s="266"/>
      <c r="K495" s="266"/>
      <c r="L495" s="266"/>
      <c r="M495" s="266"/>
      <c r="N495" s="266"/>
      <c r="O495" s="266"/>
      <c r="P495" s="267"/>
      <c r="Q495" s="267"/>
      <c r="R495" s="267"/>
      <c r="S495" s="267"/>
      <c r="T495" s="267"/>
      <c r="U495" s="267"/>
      <c r="V495" s="267"/>
      <c r="W495" s="267"/>
      <c r="X495" s="267"/>
      <c r="Y495" s="267"/>
    </row>
    <row r="496" ht="12.75" customHeight="1" spans="1:25">
      <c r="A496" s="266"/>
      <c r="B496" s="266"/>
      <c r="C496" s="266"/>
      <c r="D496" s="266"/>
      <c r="E496" s="266"/>
      <c r="F496" s="266"/>
      <c r="G496" s="266"/>
      <c r="H496" s="266"/>
      <c r="I496" s="266"/>
      <c r="J496" s="266"/>
      <c r="K496" s="266"/>
      <c r="L496" s="266"/>
      <c r="M496" s="266"/>
      <c r="N496" s="266"/>
      <c r="O496" s="266"/>
      <c r="P496" s="267"/>
      <c r="Q496" s="267"/>
      <c r="R496" s="267"/>
      <c r="S496" s="267"/>
      <c r="T496" s="267"/>
      <c r="U496" s="267"/>
      <c r="V496" s="267"/>
      <c r="W496" s="267"/>
      <c r="X496" s="267"/>
      <c r="Y496" s="267"/>
    </row>
    <row r="497" ht="12.75" customHeight="1" spans="1:25">
      <c r="A497" s="266"/>
      <c r="B497" s="266"/>
      <c r="C497" s="266"/>
      <c r="D497" s="266"/>
      <c r="E497" s="266"/>
      <c r="F497" s="266"/>
      <c r="G497" s="266"/>
      <c r="H497" s="266"/>
      <c r="I497" s="266"/>
      <c r="J497" s="266"/>
      <c r="K497" s="266"/>
      <c r="L497" s="266"/>
      <c r="M497" s="266"/>
      <c r="N497" s="266"/>
      <c r="O497" s="266"/>
      <c r="P497" s="267"/>
      <c r="Q497" s="267"/>
      <c r="R497" s="267"/>
      <c r="S497" s="267"/>
      <c r="T497" s="267"/>
      <c r="U497" s="267"/>
      <c r="V497" s="267"/>
      <c r="W497" s="267"/>
      <c r="X497" s="267"/>
      <c r="Y497" s="267"/>
    </row>
    <row r="498" ht="12.75" customHeight="1" spans="1:25">
      <c r="A498" s="266"/>
      <c r="B498" s="266"/>
      <c r="C498" s="266"/>
      <c r="D498" s="266"/>
      <c r="E498" s="266"/>
      <c r="F498" s="266"/>
      <c r="G498" s="266"/>
      <c r="H498" s="266"/>
      <c r="I498" s="266"/>
      <c r="J498" s="266"/>
      <c r="K498" s="266"/>
      <c r="L498" s="266"/>
      <c r="M498" s="266"/>
      <c r="N498" s="266"/>
      <c r="O498" s="266"/>
      <c r="P498" s="267"/>
      <c r="Q498" s="267"/>
      <c r="R498" s="267"/>
      <c r="S498" s="267"/>
      <c r="T498" s="267"/>
      <c r="U498" s="267"/>
      <c r="V498" s="267"/>
      <c r="W498" s="267"/>
      <c r="X498" s="267"/>
      <c r="Y498" s="267"/>
    </row>
    <row r="499" ht="12.75" customHeight="1" spans="1:25">
      <c r="A499" s="266"/>
      <c r="B499" s="266"/>
      <c r="C499" s="266"/>
      <c r="D499" s="266"/>
      <c r="E499" s="266"/>
      <c r="F499" s="266"/>
      <c r="G499" s="266"/>
      <c r="H499" s="266"/>
      <c r="I499" s="266"/>
      <c r="J499" s="266"/>
      <c r="K499" s="266"/>
      <c r="L499" s="266"/>
      <c r="M499" s="266"/>
      <c r="N499" s="266"/>
      <c r="O499" s="266"/>
      <c r="P499" s="267"/>
      <c r="Q499" s="267"/>
      <c r="R499" s="267"/>
      <c r="S499" s="267"/>
      <c r="T499" s="267"/>
      <c r="U499" s="267"/>
      <c r="V499" s="267"/>
      <c r="W499" s="267"/>
      <c r="X499" s="267"/>
      <c r="Y499" s="267"/>
    </row>
    <row r="500" ht="12.75" customHeight="1" spans="1:25">
      <c r="A500" s="266"/>
      <c r="B500" s="266"/>
      <c r="C500" s="266"/>
      <c r="D500" s="266"/>
      <c r="E500" s="266"/>
      <c r="F500" s="266"/>
      <c r="G500" s="266"/>
      <c r="H500" s="266"/>
      <c r="I500" s="266"/>
      <c r="J500" s="266"/>
      <c r="K500" s="266"/>
      <c r="L500" s="266"/>
      <c r="M500" s="266"/>
      <c r="N500" s="266"/>
      <c r="O500" s="266"/>
      <c r="P500" s="267"/>
      <c r="Q500" s="267"/>
      <c r="R500" s="267"/>
      <c r="S500" s="267"/>
      <c r="T500" s="267"/>
      <c r="U500" s="267"/>
      <c r="V500" s="267"/>
      <c r="W500" s="267"/>
      <c r="X500" s="267"/>
      <c r="Y500" s="267"/>
    </row>
    <row r="501" ht="12.75" customHeight="1" spans="1:25">
      <c r="A501" s="266"/>
      <c r="B501" s="266"/>
      <c r="C501" s="266"/>
      <c r="D501" s="266"/>
      <c r="E501" s="266"/>
      <c r="F501" s="266"/>
      <c r="G501" s="266"/>
      <c r="H501" s="266"/>
      <c r="I501" s="266"/>
      <c r="J501" s="266"/>
      <c r="K501" s="266"/>
      <c r="L501" s="266"/>
      <c r="M501" s="266"/>
      <c r="N501" s="266"/>
      <c r="O501" s="266"/>
      <c r="P501" s="267"/>
      <c r="Q501" s="267"/>
      <c r="R501" s="267"/>
      <c r="S501" s="267"/>
      <c r="T501" s="267"/>
      <c r="U501" s="267"/>
      <c r="V501" s="267"/>
      <c r="W501" s="267"/>
      <c r="X501" s="267"/>
      <c r="Y501" s="267"/>
    </row>
    <row r="502" ht="12.75" customHeight="1" spans="1:25">
      <c r="A502" s="266"/>
      <c r="B502" s="266"/>
      <c r="C502" s="266"/>
      <c r="D502" s="266"/>
      <c r="E502" s="266"/>
      <c r="F502" s="266"/>
      <c r="G502" s="266"/>
      <c r="H502" s="266"/>
      <c r="I502" s="266"/>
      <c r="J502" s="266"/>
      <c r="K502" s="266"/>
      <c r="L502" s="266"/>
      <c r="M502" s="266"/>
      <c r="N502" s="266"/>
      <c r="O502" s="266"/>
      <c r="P502" s="267"/>
      <c r="Q502" s="267"/>
      <c r="R502" s="267"/>
      <c r="S502" s="267"/>
      <c r="T502" s="267"/>
      <c r="U502" s="267"/>
      <c r="V502" s="267"/>
      <c r="W502" s="267"/>
      <c r="X502" s="267"/>
      <c r="Y502" s="267"/>
    </row>
    <row r="503" ht="12.75" customHeight="1" spans="1:25">
      <c r="A503" s="266"/>
      <c r="B503" s="266"/>
      <c r="C503" s="266"/>
      <c r="D503" s="266"/>
      <c r="E503" s="266"/>
      <c r="F503" s="266"/>
      <c r="G503" s="266"/>
      <c r="H503" s="266"/>
      <c r="I503" s="266"/>
      <c r="J503" s="266"/>
      <c r="K503" s="266"/>
      <c r="L503" s="266"/>
      <c r="M503" s="266"/>
      <c r="N503" s="266"/>
      <c r="O503" s="266"/>
      <c r="P503" s="267"/>
      <c r="Q503" s="267"/>
      <c r="R503" s="267"/>
      <c r="S503" s="267"/>
      <c r="T503" s="267"/>
      <c r="U503" s="267"/>
      <c r="V503" s="267"/>
      <c r="W503" s="267"/>
      <c r="X503" s="267"/>
      <c r="Y503" s="267"/>
    </row>
    <row r="504" ht="12.75" customHeight="1" spans="1:25">
      <c r="A504" s="266"/>
      <c r="B504" s="266"/>
      <c r="C504" s="266"/>
      <c r="D504" s="266"/>
      <c r="E504" s="266"/>
      <c r="F504" s="266"/>
      <c r="G504" s="266"/>
      <c r="H504" s="266"/>
      <c r="I504" s="266"/>
      <c r="J504" s="266"/>
      <c r="K504" s="266"/>
      <c r="L504" s="266"/>
      <c r="M504" s="266"/>
      <c r="N504" s="266"/>
      <c r="O504" s="266"/>
      <c r="P504" s="267"/>
      <c r="Q504" s="267"/>
      <c r="R504" s="267"/>
      <c r="S504" s="267"/>
      <c r="T504" s="267"/>
      <c r="U504" s="267"/>
      <c r="V504" s="267"/>
      <c r="W504" s="267"/>
      <c r="X504" s="267"/>
      <c r="Y504" s="267"/>
    </row>
    <row r="505" ht="12.75" customHeight="1" spans="1:25">
      <c r="A505" s="266"/>
      <c r="B505" s="266"/>
      <c r="C505" s="266"/>
      <c r="D505" s="266"/>
      <c r="E505" s="266"/>
      <c r="F505" s="266"/>
      <c r="G505" s="266"/>
      <c r="H505" s="266"/>
      <c r="I505" s="266"/>
      <c r="J505" s="266"/>
      <c r="K505" s="266"/>
      <c r="L505" s="266"/>
      <c r="M505" s="266"/>
      <c r="N505" s="266"/>
      <c r="O505" s="266"/>
      <c r="P505" s="267"/>
      <c r="Q505" s="267"/>
      <c r="R505" s="267"/>
      <c r="S505" s="267"/>
      <c r="T505" s="267"/>
      <c r="U505" s="267"/>
      <c r="V505" s="267"/>
      <c r="W505" s="267"/>
      <c r="X505" s="267"/>
      <c r="Y505" s="267"/>
    </row>
    <row r="506" ht="12.75" customHeight="1" spans="1:25">
      <c r="A506" s="266"/>
      <c r="B506" s="266"/>
      <c r="C506" s="266"/>
      <c r="D506" s="266"/>
      <c r="E506" s="266"/>
      <c r="F506" s="266"/>
      <c r="G506" s="266"/>
      <c r="H506" s="266"/>
      <c r="I506" s="266"/>
      <c r="J506" s="266"/>
      <c r="K506" s="266"/>
      <c r="L506" s="266"/>
      <c r="M506" s="266"/>
      <c r="N506" s="266"/>
      <c r="O506" s="266"/>
      <c r="P506" s="267"/>
      <c r="Q506" s="267"/>
      <c r="R506" s="267"/>
      <c r="S506" s="267"/>
      <c r="T506" s="267"/>
      <c r="U506" s="267"/>
      <c r="V506" s="267"/>
      <c r="W506" s="267"/>
      <c r="X506" s="267"/>
      <c r="Y506" s="267"/>
    </row>
    <row r="507" ht="12.75" customHeight="1" spans="1:25">
      <c r="A507" s="266"/>
      <c r="B507" s="266"/>
      <c r="C507" s="266"/>
      <c r="D507" s="266"/>
      <c r="E507" s="266"/>
      <c r="F507" s="266"/>
      <c r="G507" s="266"/>
      <c r="H507" s="266"/>
      <c r="I507" s="266"/>
      <c r="J507" s="266"/>
      <c r="K507" s="266"/>
      <c r="L507" s="266"/>
      <c r="M507" s="266"/>
      <c r="N507" s="266"/>
      <c r="O507" s="266"/>
      <c r="P507" s="267"/>
      <c r="Q507" s="267"/>
      <c r="R507" s="267"/>
      <c r="S507" s="267"/>
      <c r="T507" s="267"/>
      <c r="U507" s="267"/>
      <c r="V507" s="267"/>
      <c r="W507" s="267"/>
      <c r="X507" s="267"/>
      <c r="Y507" s="267"/>
    </row>
    <row r="508" ht="12.75" customHeight="1" spans="1:25">
      <c r="A508" s="266"/>
      <c r="B508" s="266"/>
      <c r="C508" s="266"/>
      <c r="D508" s="266"/>
      <c r="E508" s="266"/>
      <c r="F508" s="266"/>
      <c r="G508" s="266"/>
      <c r="H508" s="266"/>
      <c r="I508" s="266"/>
      <c r="J508" s="266"/>
      <c r="K508" s="266"/>
      <c r="L508" s="266"/>
      <c r="M508" s="266"/>
      <c r="N508" s="266"/>
      <c r="O508" s="266"/>
      <c r="P508" s="267"/>
      <c r="Q508" s="267"/>
      <c r="R508" s="267"/>
      <c r="S508" s="267"/>
      <c r="T508" s="267"/>
      <c r="U508" s="267"/>
      <c r="V508" s="267"/>
      <c r="W508" s="267"/>
      <c r="X508" s="267"/>
      <c r="Y508" s="267"/>
    </row>
    <row r="509" ht="12.75" customHeight="1" spans="1:25">
      <c r="A509" s="266"/>
      <c r="B509" s="266"/>
      <c r="C509" s="266"/>
      <c r="D509" s="266"/>
      <c r="E509" s="266"/>
      <c r="F509" s="266"/>
      <c r="G509" s="266"/>
      <c r="H509" s="266"/>
      <c r="I509" s="266"/>
      <c r="J509" s="266"/>
      <c r="K509" s="266"/>
      <c r="L509" s="266"/>
      <c r="M509" s="266"/>
      <c r="N509" s="266"/>
      <c r="O509" s="266"/>
      <c r="P509" s="267"/>
      <c r="Q509" s="267"/>
      <c r="R509" s="267"/>
      <c r="S509" s="267"/>
      <c r="T509" s="267"/>
      <c r="U509" s="267"/>
      <c r="V509" s="267"/>
      <c r="W509" s="267"/>
      <c r="X509" s="267"/>
      <c r="Y509" s="267"/>
    </row>
    <row r="510" ht="12.75" customHeight="1" spans="1:25">
      <c r="A510" s="266"/>
      <c r="B510" s="266"/>
      <c r="C510" s="266"/>
      <c r="D510" s="266"/>
      <c r="E510" s="266"/>
      <c r="F510" s="266"/>
      <c r="G510" s="266"/>
      <c r="H510" s="266"/>
      <c r="I510" s="266"/>
      <c r="J510" s="266"/>
      <c r="K510" s="266"/>
      <c r="L510" s="266"/>
      <c r="M510" s="266"/>
      <c r="N510" s="266"/>
      <c r="O510" s="266"/>
      <c r="P510" s="267"/>
      <c r="Q510" s="267"/>
      <c r="R510" s="267"/>
      <c r="S510" s="267"/>
      <c r="T510" s="267"/>
      <c r="U510" s="267"/>
      <c r="V510" s="267"/>
      <c r="W510" s="267"/>
      <c r="X510" s="267"/>
      <c r="Y510" s="267"/>
    </row>
    <row r="511" ht="12.75" customHeight="1" spans="1:25">
      <c r="A511" s="266"/>
      <c r="B511" s="266"/>
      <c r="C511" s="266"/>
      <c r="D511" s="266"/>
      <c r="E511" s="266"/>
      <c r="F511" s="266"/>
      <c r="G511" s="266"/>
      <c r="H511" s="266"/>
      <c r="I511" s="266"/>
      <c r="J511" s="266"/>
      <c r="K511" s="266"/>
      <c r="L511" s="266"/>
      <c r="M511" s="266"/>
      <c r="N511" s="266"/>
      <c r="O511" s="266"/>
      <c r="P511" s="267"/>
      <c r="Q511" s="267"/>
      <c r="R511" s="267"/>
      <c r="S511" s="267"/>
      <c r="T511" s="267"/>
      <c r="U511" s="267"/>
      <c r="V511" s="267"/>
      <c r="W511" s="267"/>
      <c r="X511" s="267"/>
      <c r="Y511" s="267"/>
    </row>
    <row r="512" ht="12.75" customHeight="1" spans="1:25">
      <c r="A512" s="266"/>
      <c r="B512" s="266"/>
      <c r="C512" s="266"/>
      <c r="D512" s="266"/>
      <c r="E512" s="266"/>
      <c r="F512" s="266"/>
      <c r="G512" s="266"/>
      <c r="H512" s="266"/>
      <c r="I512" s="266"/>
      <c r="J512" s="266"/>
      <c r="K512" s="266"/>
      <c r="L512" s="266"/>
      <c r="M512" s="266"/>
      <c r="N512" s="266"/>
      <c r="O512" s="266"/>
      <c r="P512" s="267"/>
      <c r="Q512" s="267"/>
      <c r="R512" s="267"/>
      <c r="S512" s="267"/>
      <c r="T512" s="267"/>
      <c r="U512" s="267"/>
      <c r="V512" s="267"/>
      <c r="W512" s="267"/>
      <c r="X512" s="267"/>
      <c r="Y512" s="267"/>
    </row>
    <row r="513" ht="12.75" customHeight="1" spans="1:25">
      <c r="A513" s="266"/>
      <c r="B513" s="266"/>
      <c r="C513" s="266"/>
      <c r="D513" s="266"/>
      <c r="E513" s="266"/>
      <c r="F513" s="266"/>
      <c r="G513" s="266"/>
      <c r="H513" s="266"/>
      <c r="I513" s="266"/>
      <c r="J513" s="266"/>
      <c r="K513" s="266"/>
      <c r="L513" s="266"/>
      <c r="M513" s="266"/>
      <c r="N513" s="266"/>
      <c r="O513" s="266"/>
      <c r="P513" s="267"/>
      <c r="Q513" s="267"/>
      <c r="R513" s="267"/>
      <c r="S513" s="267"/>
      <c r="T513" s="267"/>
      <c r="U513" s="267"/>
      <c r="V513" s="267"/>
      <c r="W513" s="267"/>
      <c r="X513" s="267"/>
      <c r="Y513" s="267"/>
    </row>
    <row r="514" ht="12.75" customHeight="1" spans="1:25">
      <c r="A514" s="266"/>
      <c r="B514" s="266"/>
      <c r="C514" s="266"/>
      <c r="D514" s="266"/>
      <c r="E514" s="266"/>
      <c r="F514" s="266"/>
      <c r="G514" s="266"/>
      <c r="H514" s="266"/>
      <c r="I514" s="266"/>
      <c r="J514" s="266"/>
      <c r="K514" s="266"/>
      <c r="L514" s="266"/>
      <c r="M514" s="266"/>
      <c r="N514" s="266"/>
      <c r="O514" s="266"/>
      <c r="P514" s="267"/>
      <c r="Q514" s="267"/>
      <c r="R514" s="267"/>
      <c r="S514" s="267"/>
      <c r="T514" s="267"/>
      <c r="U514" s="267"/>
      <c r="V514" s="267"/>
      <c r="W514" s="267"/>
      <c r="X514" s="267"/>
      <c r="Y514" s="267"/>
    </row>
    <row r="515" ht="12.75" customHeight="1" spans="1:25">
      <c r="A515" s="266"/>
      <c r="B515" s="266"/>
      <c r="C515" s="266"/>
      <c r="D515" s="266"/>
      <c r="E515" s="266"/>
      <c r="F515" s="266"/>
      <c r="G515" s="266"/>
      <c r="H515" s="266"/>
      <c r="I515" s="266"/>
      <c r="J515" s="266"/>
      <c r="K515" s="266"/>
      <c r="L515" s="266"/>
      <c r="M515" s="266"/>
      <c r="N515" s="266"/>
      <c r="O515" s="266"/>
      <c r="P515" s="267"/>
      <c r="Q515" s="267"/>
      <c r="R515" s="267"/>
      <c r="S515" s="267"/>
      <c r="T515" s="267"/>
      <c r="U515" s="267"/>
      <c r="V515" s="267"/>
      <c r="W515" s="267"/>
      <c r="X515" s="267"/>
      <c r="Y515" s="267"/>
    </row>
    <row r="516" ht="12.75" customHeight="1" spans="1:25">
      <c r="A516" s="266"/>
      <c r="B516" s="266"/>
      <c r="C516" s="266"/>
      <c r="D516" s="266"/>
      <c r="E516" s="266"/>
      <c r="F516" s="266"/>
      <c r="G516" s="266"/>
      <c r="H516" s="266"/>
      <c r="I516" s="266"/>
      <c r="J516" s="266"/>
      <c r="K516" s="266"/>
      <c r="L516" s="266"/>
      <c r="M516" s="266"/>
      <c r="N516" s="266"/>
      <c r="O516" s="266"/>
      <c r="P516" s="267"/>
      <c r="Q516" s="267"/>
      <c r="R516" s="267"/>
      <c r="S516" s="267"/>
      <c r="T516" s="267"/>
      <c r="U516" s="267"/>
      <c r="V516" s="267"/>
      <c r="W516" s="267"/>
      <c r="X516" s="267"/>
      <c r="Y516" s="267"/>
    </row>
    <row r="517" ht="12.75" customHeight="1" spans="1:25">
      <c r="A517" s="266"/>
      <c r="B517" s="266"/>
      <c r="C517" s="266"/>
      <c r="D517" s="266"/>
      <c r="E517" s="266"/>
      <c r="F517" s="266"/>
      <c r="G517" s="266"/>
      <c r="H517" s="266"/>
      <c r="I517" s="266"/>
      <c r="J517" s="266"/>
      <c r="K517" s="266"/>
      <c r="L517" s="266"/>
      <c r="M517" s="266"/>
      <c r="N517" s="266"/>
      <c r="O517" s="266"/>
      <c r="P517" s="267"/>
      <c r="Q517" s="267"/>
      <c r="R517" s="267"/>
      <c r="S517" s="267"/>
      <c r="T517" s="267"/>
      <c r="U517" s="267"/>
      <c r="V517" s="267"/>
      <c r="W517" s="267"/>
      <c r="X517" s="267"/>
      <c r="Y517" s="267"/>
    </row>
    <row r="518" ht="12.75" customHeight="1" spans="1:25">
      <c r="A518" s="266"/>
      <c r="B518" s="266"/>
      <c r="C518" s="266"/>
      <c r="D518" s="266"/>
      <c r="E518" s="266"/>
      <c r="F518" s="266"/>
      <c r="G518" s="266"/>
      <c r="H518" s="266"/>
      <c r="I518" s="266"/>
      <c r="J518" s="266"/>
      <c r="K518" s="266"/>
      <c r="L518" s="266"/>
      <c r="M518" s="266"/>
      <c r="N518" s="266"/>
      <c r="O518" s="266"/>
      <c r="P518" s="267"/>
      <c r="Q518" s="267"/>
      <c r="R518" s="267"/>
      <c r="S518" s="267"/>
      <c r="T518" s="267"/>
      <c r="U518" s="267"/>
      <c r="V518" s="267"/>
      <c r="W518" s="267"/>
      <c r="X518" s="267"/>
      <c r="Y518" s="267"/>
    </row>
    <row r="519" ht="12.75" customHeight="1" spans="1:25">
      <c r="A519" s="266"/>
      <c r="B519" s="266"/>
      <c r="C519" s="266"/>
      <c r="D519" s="266"/>
      <c r="E519" s="266"/>
      <c r="F519" s="266"/>
      <c r="G519" s="266"/>
      <c r="H519" s="266"/>
      <c r="I519" s="266"/>
      <c r="J519" s="266"/>
      <c r="K519" s="266"/>
      <c r="L519" s="266"/>
      <c r="M519" s="266"/>
      <c r="N519" s="266"/>
      <c r="O519" s="266"/>
      <c r="P519" s="267"/>
      <c r="Q519" s="267"/>
      <c r="R519" s="267"/>
      <c r="S519" s="267"/>
      <c r="T519" s="267"/>
      <c r="U519" s="267"/>
      <c r="V519" s="267"/>
      <c r="W519" s="267"/>
      <c r="X519" s="267"/>
      <c r="Y519" s="267"/>
    </row>
    <row r="520" ht="12.75" customHeight="1" spans="1:25">
      <c r="A520" s="266"/>
      <c r="B520" s="266"/>
      <c r="C520" s="266"/>
      <c r="D520" s="266"/>
      <c r="E520" s="266"/>
      <c r="F520" s="266"/>
      <c r="G520" s="266"/>
      <c r="H520" s="266"/>
      <c r="I520" s="266"/>
      <c r="J520" s="266"/>
      <c r="K520" s="266"/>
      <c r="L520" s="266"/>
      <c r="M520" s="266"/>
      <c r="N520" s="266"/>
      <c r="O520" s="266"/>
      <c r="P520" s="267"/>
      <c r="Q520" s="267"/>
      <c r="R520" s="267"/>
      <c r="S520" s="267"/>
      <c r="T520" s="267"/>
      <c r="U520" s="267"/>
      <c r="V520" s="267"/>
      <c r="W520" s="267"/>
      <c r="X520" s="267"/>
      <c r="Y520" s="267"/>
    </row>
    <row r="521" ht="12.75" customHeight="1" spans="1:25">
      <c r="A521" s="266"/>
      <c r="B521" s="266"/>
      <c r="C521" s="266"/>
      <c r="D521" s="266"/>
      <c r="E521" s="266"/>
      <c r="F521" s="266"/>
      <c r="G521" s="266"/>
      <c r="H521" s="266"/>
      <c r="I521" s="266"/>
      <c r="J521" s="266"/>
      <c r="K521" s="266"/>
      <c r="L521" s="266"/>
      <c r="M521" s="266"/>
      <c r="N521" s="266"/>
      <c r="O521" s="266"/>
      <c r="P521" s="267"/>
      <c r="Q521" s="267"/>
      <c r="R521" s="267"/>
      <c r="S521" s="267"/>
      <c r="T521" s="267"/>
      <c r="U521" s="267"/>
      <c r="V521" s="267"/>
      <c r="W521" s="267"/>
      <c r="X521" s="267"/>
      <c r="Y521" s="267"/>
    </row>
    <row r="522" ht="12.75" customHeight="1" spans="1:25">
      <c r="A522" s="266"/>
      <c r="B522" s="266"/>
      <c r="C522" s="266"/>
      <c r="D522" s="266"/>
      <c r="E522" s="266"/>
      <c r="F522" s="266"/>
      <c r="G522" s="266"/>
      <c r="H522" s="266"/>
      <c r="I522" s="266"/>
      <c r="J522" s="266"/>
      <c r="K522" s="266"/>
      <c r="L522" s="266"/>
      <c r="M522" s="266"/>
      <c r="N522" s="266"/>
      <c r="O522" s="266"/>
      <c r="P522" s="267"/>
      <c r="Q522" s="267"/>
      <c r="R522" s="267"/>
      <c r="S522" s="267"/>
      <c r="T522" s="267"/>
      <c r="U522" s="267"/>
      <c r="V522" s="267"/>
      <c r="W522" s="267"/>
      <c r="X522" s="267"/>
      <c r="Y522" s="267"/>
    </row>
    <row r="523" ht="12.75" customHeight="1" spans="1:25">
      <c r="A523" s="266"/>
      <c r="B523" s="266"/>
      <c r="C523" s="266"/>
      <c r="D523" s="266"/>
      <c r="E523" s="266"/>
      <c r="F523" s="266"/>
      <c r="G523" s="266"/>
      <c r="H523" s="266"/>
      <c r="I523" s="266"/>
      <c r="J523" s="266"/>
      <c r="K523" s="266"/>
      <c r="L523" s="266"/>
      <c r="M523" s="266"/>
      <c r="N523" s="266"/>
      <c r="O523" s="266"/>
      <c r="P523" s="267"/>
      <c r="Q523" s="267"/>
      <c r="R523" s="267"/>
      <c r="S523" s="267"/>
      <c r="T523" s="267"/>
      <c r="U523" s="267"/>
      <c r="V523" s="267"/>
      <c r="W523" s="267"/>
      <c r="X523" s="267"/>
      <c r="Y523" s="267"/>
    </row>
    <row r="524" ht="12.75" customHeight="1" spans="1:25">
      <c r="A524" s="266"/>
      <c r="B524" s="266"/>
      <c r="C524" s="266"/>
      <c r="D524" s="266"/>
      <c r="E524" s="266"/>
      <c r="F524" s="266"/>
      <c r="G524" s="266"/>
      <c r="H524" s="266"/>
      <c r="I524" s="266"/>
      <c r="J524" s="266"/>
      <c r="K524" s="266"/>
      <c r="L524" s="266"/>
      <c r="M524" s="266"/>
      <c r="N524" s="266"/>
      <c r="O524" s="266"/>
      <c r="P524" s="267"/>
      <c r="Q524" s="267"/>
      <c r="R524" s="267"/>
      <c r="S524" s="267"/>
      <c r="T524" s="267"/>
      <c r="U524" s="267"/>
      <c r="V524" s="267"/>
      <c r="W524" s="267"/>
      <c r="X524" s="267"/>
      <c r="Y524" s="267"/>
    </row>
    <row r="525" ht="12.75" customHeight="1" spans="1:25">
      <c r="A525" s="266"/>
      <c r="B525" s="266"/>
      <c r="C525" s="266"/>
      <c r="D525" s="266"/>
      <c r="E525" s="266"/>
      <c r="F525" s="266"/>
      <c r="G525" s="266"/>
      <c r="H525" s="266"/>
      <c r="I525" s="266"/>
      <c r="J525" s="266"/>
      <c r="K525" s="266"/>
      <c r="L525" s="266"/>
      <c r="M525" s="266"/>
      <c r="N525" s="266"/>
      <c r="O525" s="266"/>
      <c r="P525" s="267"/>
      <c r="Q525" s="267"/>
      <c r="R525" s="267"/>
      <c r="S525" s="267"/>
      <c r="T525" s="267"/>
      <c r="U525" s="267"/>
      <c r="V525" s="267"/>
      <c r="W525" s="267"/>
      <c r="X525" s="267"/>
      <c r="Y525" s="267"/>
    </row>
    <row r="526" ht="12.75" customHeight="1" spans="1:25">
      <c r="A526" s="266"/>
      <c r="B526" s="266"/>
      <c r="C526" s="266"/>
      <c r="D526" s="266"/>
      <c r="E526" s="266"/>
      <c r="F526" s="266"/>
      <c r="G526" s="266"/>
      <c r="H526" s="266"/>
      <c r="I526" s="266"/>
      <c r="J526" s="266"/>
      <c r="K526" s="266"/>
      <c r="L526" s="266"/>
      <c r="M526" s="266"/>
      <c r="N526" s="266"/>
      <c r="O526" s="266"/>
      <c r="P526" s="267"/>
      <c r="Q526" s="267"/>
      <c r="R526" s="267"/>
      <c r="S526" s="267"/>
      <c r="T526" s="267"/>
      <c r="U526" s="267"/>
      <c r="V526" s="267"/>
      <c r="W526" s="267"/>
      <c r="X526" s="267"/>
      <c r="Y526" s="267"/>
    </row>
    <row r="527" ht="12.75" customHeight="1" spans="1:25">
      <c r="A527" s="266"/>
      <c r="B527" s="266"/>
      <c r="C527" s="266"/>
      <c r="D527" s="266"/>
      <c r="E527" s="266"/>
      <c r="F527" s="266"/>
      <c r="G527" s="266"/>
      <c r="H527" s="266"/>
      <c r="I527" s="266"/>
      <c r="J527" s="266"/>
      <c r="K527" s="266"/>
      <c r="L527" s="266"/>
      <c r="M527" s="266"/>
      <c r="N527" s="266"/>
      <c r="O527" s="266"/>
      <c r="P527" s="267"/>
      <c r="Q527" s="267"/>
      <c r="R527" s="267"/>
      <c r="S527" s="267"/>
      <c r="T527" s="267"/>
      <c r="U527" s="267"/>
      <c r="V527" s="267"/>
      <c r="W527" s="267"/>
      <c r="X527" s="267"/>
      <c r="Y527" s="267"/>
    </row>
    <row r="528" ht="12.75" customHeight="1" spans="1:25">
      <c r="A528" s="266"/>
      <c r="B528" s="266"/>
      <c r="C528" s="266"/>
      <c r="D528" s="266"/>
      <c r="E528" s="266"/>
      <c r="F528" s="266"/>
      <c r="G528" s="266"/>
      <c r="H528" s="266"/>
      <c r="I528" s="266"/>
      <c r="J528" s="266"/>
      <c r="K528" s="266"/>
      <c r="L528" s="266"/>
      <c r="M528" s="266"/>
      <c r="N528" s="266"/>
      <c r="O528" s="266"/>
      <c r="P528" s="267"/>
      <c r="Q528" s="267"/>
      <c r="R528" s="267"/>
      <c r="S528" s="267"/>
      <c r="T528" s="267"/>
      <c r="U528" s="267"/>
      <c r="V528" s="267"/>
      <c r="W528" s="267"/>
      <c r="X528" s="267"/>
      <c r="Y528" s="267"/>
    </row>
    <row r="529" ht="12.75" customHeight="1" spans="1:25">
      <c r="A529" s="266"/>
      <c r="B529" s="266"/>
      <c r="C529" s="266"/>
      <c r="D529" s="266"/>
      <c r="E529" s="266"/>
      <c r="F529" s="266"/>
      <c r="G529" s="266"/>
      <c r="H529" s="266"/>
      <c r="I529" s="266"/>
      <c r="J529" s="266"/>
      <c r="K529" s="266"/>
      <c r="L529" s="266"/>
      <c r="M529" s="266"/>
      <c r="N529" s="266"/>
      <c r="O529" s="266"/>
      <c r="P529" s="267"/>
      <c r="Q529" s="267"/>
      <c r="R529" s="267"/>
      <c r="S529" s="267"/>
      <c r="T529" s="267"/>
      <c r="U529" s="267"/>
      <c r="V529" s="267"/>
      <c r="W529" s="267"/>
      <c r="X529" s="267"/>
      <c r="Y529" s="267"/>
    </row>
    <row r="530" ht="12.75" customHeight="1" spans="1:25">
      <c r="A530" s="266"/>
      <c r="B530" s="266"/>
      <c r="C530" s="266"/>
      <c r="D530" s="266"/>
      <c r="E530" s="266"/>
      <c r="F530" s="266"/>
      <c r="G530" s="266"/>
      <c r="H530" s="266"/>
      <c r="I530" s="266"/>
      <c r="J530" s="266"/>
      <c r="K530" s="266"/>
      <c r="L530" s="266"/>
      <c r="M530" s="266"/>
      <c r="N530" s="266"/>
      <c r="O530" s="266"/>
      <c r="P530" s="267"/>
      <c r="Q530" s="267"/>
      <c r="R530" s="267"/>
      <c r="S530" s="267"/>
      <c r="T530" s="267"/>
      <c r="U530" s="267"/>
      <c r="V530" s="267"/>
      <c r="W530" s="267"/>
      <c r="X530" s="267"/>
      <c r="Y530" s="267"/>
    </row>
    <row r="531" ht="12.75" customHeight="1" spans="1:25">
      <c r="A531" s="266"/>
      <c r="B531" s="266"/>
      <c r="C531" s="266"/>
      <c r="D531" s="266"/>
      <c r="E531" s="266"/>
      <c r="F531" s="266"/>
      <c r="G531" s="266"/>
      <c r="H531" s="266"/>
      <c r="I531" s="266"/>
      <c r="J531" s="266"/>
      <c r="K531" s="266"/>
      <c r="L531" s="266"/>
      <c r="M531" s="266"/>
      <c r="N531" s="266"/>
      <c r="O531" s="266"/>
      <c r="P531" s="267"/>
      <c r="Q531" s="267"/>
      <c r="R531" s="267"/>
      <c r="S531" s="267"/>
      <c r="T531" s="267"/>
      <c r="U531" s="267"/>
      <c r="V531" s="267"/>
      <c r="W531" s="267"/>
      <c r="X531" s="267"/>
      <c r="Y531" s="267"/>
    </row>
    <row r="532" ht="12.75" customHeight="1" spans="1:25">
      <c r="A532" s="266"/>
      <c r="B532" s="266"/>
      <c r="C532" s="266"/>
      <c r="D532" s="266"/>
      <c r="E532" s="266"/>
      <c r="F532" s="266"/>
      <c r="G532" s="266"/>
      <c r="H532" s="266"/>
      <c r="I532" s="266"/>
      <c r="J532" s="266"/>
      <c r="K532" s="266"/>
      <c r="L532" s="266"/>
      <c r="M532" s="266"/>
      <c r="N532" s="266"/>
      <c r="O532" s="266"/>
      <c r="P532" s="267"/>
      <c r="Q532" s="267"/>
      <c r="R532" s="267"/>
      <c r="S532" s="267"/>
      <c r="T532" s="267"/>
      <c r="U532" s="267"/>
      <c r="V532" s="267"/>
      <c r="W532" s="267"/>
      <c r="X532" s="267"/>
      <c r="Y532" s="267"/>
    </row>
    <row r="533" ht="12.75" customHeight="1" spans="1:25">
      <c r="A533" s="266"/>
      <c r="B533" s="266"/>
      <c r="C533" s="266"/>
      <c r="D533" s="266"/>
      <c r="E533" s="266"/>
      <c r="F533" s="266"/>
      <c r="G533" s="266"/>
      <c r="H533" s="266"/>
      <c r="I533" s="266"/>
      <c r="J533" s="266"/>
      <c r="K533" s="266"/>
      <c r="L533" s="266"/>
      <c r="M533" s="266"/>
      <c r="N533" s="266"/>
      <c r="O533" s="266"/>
      <c r="P533" s="267"/>
      <c r="Q533" s="267"/>
      <c r="R533" s="267"/>
      <c r="S533" s="267"/>
      <c r="T533" s="267"/>
      <c r="U533" s="267"/>
      <c r="V533" s="267"/>
      <c r="W533" s="267"/>
      <c r="X533" s="267"/>
      <c r="Y533" s="267"/>
    </row>
    <row r="534" ht="12.75" customHeight="1" spans="1:25">
      <c r="A534" s="266"/>
      <c r="B534" s="266"/>
      <c r="C534" s="266"/>
      <c r="D534" s="266"/>
      <c r="E534" s="266"/>
      <c r="F534" s="266"/>
      <c r="G534" s="266"/>
      <c r="H534" s="266"/>
      <c r="I534" s="266"/>
      <c r="J534" s="266"/>
      <c r="K534" s="266"/>
      <c r="L534" s="266"/>
      <c r="M534" s="266"/>
      <c r="N534" s="266"/>
      <c r="O534" s="266"/>
      <c r="P534" s="267"/>
      <c r="Q534" s="267"/>
      <c r="R534" s="267"/>
      <c r="S534" s="267"/>
      <c r="T534" s="267"/>
      <c r="U534" s="267"/>
      <c r="V534" s="267"/>
      <c r="W534" s="267"/>
      <c r="X534" s="267"/>
      <c r="Y534" s="267"/>
    </row>
    <row r="535" ht="12.75" customHeight="1" spans="1:25">
      <c r="A535" s="266"/>
      <c r="B535" s="266"/>
      <c r="C535" s="266"/>
      <c r="D535" s="266"/>
      <c r="E535" s="266"/>
      <c r="F535" s="266"/>
      <c r="G535" s="266"/>
      <c r="H535" s="266"/>
      <c r="I535" s="266"/>
      <c r="J535" s="266"/>
      <c r="K535" s="266"/>
      <c r="L535" s="266"/>
      <c r="M535" s="266"/>
      <c r="N535" s="266"/>
      <c r="O535" s="266"/>
      <c r="P535" s="267"/>
      <c r="Q535" s="267"/>
      <c r="R535" s="267"/>
      <c r="S535" s="267"/>
      <c r="T535" s="267"/>
      <c r="U535" s="267"/>
      <c r="V535" s="267"/>
      <c r="W535" s="267"/>
      <c r="X535" s="267"/>
      <c r="Y535" s="267"/>
    </row>
    <row r="536" ht="12.75" customHeight="1" spans="1:25">
      <c r="A536" s="266"/>
      <c r="B536" s="266"/>
      <c r="C536" s="266"/>
      <c r="D536" s="266"/>
      <c r="E536" s="266"/>
      <c r="F536" s="266"/>
      <c r="G536" s="266"/>
      <c r="H536" s="266"/>
      <c r="I536" s="266"/>
      <c r="J536" s="266"/>
      <c r="K536" s="266"/>
      <c r="L536" s="266"/>
      <c r="M536" s="266"/>
      <c r="N536" s="266"/>
      <c r="O536" s="266"/>
      <c r="P536" s="267"/>
      <c r="Q536" s="267"/>
      <c r="R536" s="267"/>
      <c r="S536" s="267"/>
      <c r="T536" s="267"/>
      <c r="U536" s="267"/>
      <c r="V536" s="267"/>
      <c r="W536" s="267"/>
      <c r="X536" s="267"/>
      <c r="Y536" s="267"/>
    </row>
    <row r="537" ht="12.75" customHeight="1" spans="1:25">
      <c r="A537" s="266"/>
      <c r="B537" s="266"/>
      <c r="C537" s="266"/>
      <c r="D537" s="266"/>
      <c r="E537" s="266"/>
      <c r="F537" s="266"/>
      <c r="G537" s="266"/>
      <c r="H537" s="266"/>
      <c r="I537" s="266"/>
      <c r="J537" s="266"/>
      <c r="K537" s="266"/>
      <c r="L537" s="266"/>
      <c r="M537" s="266"/>
      <c r="N537" s="266"/>
      <c r="O537" s="266"/>
      <c r="P537" s="267"/>
      <c r="Q537" s="267"/>
      <c r="R537" s="267"/>
      <c r="S537" s="267"/>
      <c r="T537" s="267"/>
      <c r="U537" s="267"/>
      <c r="V537" s="267"/>
      <c r="W537" s="267"/>
      <c r="X537" s="267"/>
      <c r="Y537" s="267"/>
    </row>
    <row r="538" ht="12.75" customHeight="1" spans="1:25">
      <c r="A538" s="266"/>
      <c r="B538" s="266"/>
      <c r="C538" s="266"/>
      <c r="D538" s="266"/>
      <c r="E538" s="266"/>
      <c r="F538" s="266"/>
      <c r="G538" s="266"/>
      <c r="H538" s="266"/>
      <c r="I538" s="266"/>
      <c r="J538" s="266"/>
      <c r="K538" s="266"/>
      <c r="L538" s="266"/>
      <c r="M538" s="266"/>
      <c r="N538" s="266"/>
      <c r="O538" s="266"/>
      <c r="P538" s="267"/>
      <c r="Q538" s="267"/>
      <c r="R538" s="267"/>
      <c r="S538" s="267"/>
      <c r="T538" s="267"/>
      <c r="U538" s="267"/>
      <c r="V538" s="267"/>
      <c r="W538" s="267"/>
      <c r="X538" s="267"/>
      <c r="Y538" s="267"/>
    </row>
    <row r="539" ht="12.75" customHeight="1" spans="1:25">
      <c r="A539" s="266"/>
      <c r="B539" s="266"/>
      <c r="C539" s="266"/>
      <c r="D539" s="266"/>
      <c r="E539" s="266"/>
      <c r="F539" s="266"/>
      <c r="G539" s="266"/>
      <c r="H539" s="266"/>
      <c r="I539" s="266"/>
      <c r="J539" s="266"/>
      <c r="K539" s="266"/>
      <c r="L539" s="266"/>
      <c r="M539" s="266"/>
      <c r="N539" s="266"/>
      <c r="O539" s="266"/>
      <c r="P539" s="267"/>
      <c r="Q539" s="267"/>
      <c r="R539" s="267"/>
      <c r="S539" s="267"/>
      <c r="T539" s="267"/>
      <c r="U539" s="267"/>
      <c r="V539" s="267"/>
      <c r="W539" s="267"/>
      <c r="X539" s="267"/>
      <c r="Y539" s="267"/>
    </row>
    <row r="540" ht="12.75" customHeight="1" spans="1:25">
      <c r="A540" s="266"/>
      <c r="B540" s="266"/>
      <c r="C540" s="266"/>
      <c r="D540" s="266"/>
      <c r="E540" s="266"/>
      <c r="F540" s="266"/>
      <c r="G540" s="266"/>
      <c r="H540" s="266"/>
      <c r="I540" s="266"/>
      <c r="J540" s="266"/>
      <c r="K540" s="266"/>
      <c r="L540" s="266"/>
      <c r="M540" s="266"/>
      <c r="N540" s="266"/>
      <c r="O540" s="266"/>
      <c r="P540" s="267"/>
      <c r="Q540" s="267"/>
      <c r="R540" s="267"/>
      <c r="S540" s="267"/>
      <c r="T540" s="267"/>
      <c r="U540" s="267"/>
      <c r="V540" s="267"/>
      <c r="W540" s="267"/>
      <c r="X540" s="267"/>
      <c r="Y540" s="267"/>
    </row>
    <row r="541" ht="12.75" customHeight="1" spans="1:25">
      <c r="A541" s="266"/>
      <c r="B541" s="266"/>
      <c r="C541" s="266"/>
      <c r="D541" s="266"/>
      <c r="E541" s="266"/>
      <c r="F541" s="266"/>
      <c r="G541" s="266"/>
      <c r="H541" s="266"/>
      <c r="I541" s="266"/>
      <c r="J541" s="266"/>
      <c r="K541" s="266"/>
      <c r="L541" s="266"/>
      <c r="M541" s="266"/>
      <c r="N541" s="266"/>
      <c r="O541" s="266"/>
      <c r="P541" s="267"/>
      <c r="Q541" s="267"/>
      <c r="R541" s="267"/>
      <c r="S541" s="267"/>
      <c r="T541" s="267"/>
      <c r="U541" s="267"/>
      <c r="V541" s="267"/>
      <c r="W541" s="267"/>
      <c r="X541" s="267"/>
      <c r="Y541" s="267"/>
    </row>
    <row r="542" ht="12.75" customHeight="1" spans="1:25">
      <c r="A542" s="266"/>
      <c r="B542" s="266"/>
      <c r="C542" s="266"/>
      <c r="D542" s="266"/>
      <c r="E542" s="266"/>
      <c r="F542" s="266"/>
      <c r="G542" s="266"/>
      <c r="H542" s="266"/>
      <c r="I542" s="266"/>
      <c r="J542" s="266"/>
      <c r="K542" s="266"/>
      <c r="L542" s="266"/>
      <c r="M542" s="266"/>
      <c r="N542" s="266"/>
      <c r="O542" s="266"/>
      <c r="P542" s="267"/>
      <c r="Q542" s="267"/>
      <c r="R542" s="267"/>
      <c r="S542" s="267"/>
      <c r="T542" s="267"/>
      <c r="U542" s="267"/>
      <c r="V542" s="267"/>
      <c r="W542" s="267"/>
      <c r="X542" s="267"/>
      <c r="Y542" s="267"/>
    </row>
    <row r="543" ht="12.75" customHeight="1" spans="1:25">
      <c r="A543" s="266"/>
      <c r="B543" s="266"/>
      <c r="C543" s="266"/>
      <c r="D543" s="266"/>
      <c r="E543" s="266"/>
      <c r="F543" s="266"/>
      <c r="G543" s="266"/>
      <c r="H543" s="266"/>
      <c r="I543" s="266"/>
      <c r="J543" s="266"/>
      <c r="K543" s="266"/>
      <c r="L543" s="266"/>
      <c r="M543" s="266"/>
      <c r="N543" s="266"/>
      <c r="O543" s="266"/>
      <c r="P543" s="267"/>
      <c r="Q543" s="267"/>
      <c r="R543" s="267"/>
      <c r="S543" s="267"/>
      <c r="T543" s="267"/>
      <c r="U543" s="267"/>
      <c r="V543" s="267"/>
      <c r="W543" s="267"/>
      <c r="X543" s="267"/>
      <c r="Y543" s="267"/>
    </row>
    <row r="544" ht="12.75" customHeight="1" spans="1:25">
      <c r="A544" s="266"/>
      <c r="B544" s="266"/>
      <c r="C544" s="266"/>
      <c r="D544" s="266"/>
      <c r="E544" s="266"/>
      <c r="F544" s="266"/>
      <c r="G544" s="266"/>
      <c r="H544" s="266"/>
      <c r="I544" s="266"/>
      <c r="J544" s="266"/>
      <c r="K544" s="266"/>
      <c r="L544" s="266"/>
      <c r="M544" s="266"/>
      <c r="N544" s="266"/>
      <c r="O544" s="266"/>
      <c r="P544" s="267"/>
      <c r="Q544" s="267"/>
      <c r="R544" s="267"/>
      <c r="S544" s="267"/>
      <c r="T544" s="267"/>
      <c r="U544" s="267"/>
      <c r="V544" s="267"/>
      <c r="W544" s="267"/>
      <c r="X544" s="267"/>
      <c r="Y544" s="267"/>
    </row>
    <row r="545" ht="12.75" customHeight="1" spans="1:25">
      <c r="A545" s="266"/>
      <c r="B545" s="266"/>
      <c r="C545" s="266"/>
      <c r="D545" s="266"/>
      <c r="E545" s="266"/>
      <c r="F545" s="266"/>
      <c r="G545" s="266"/>
      <c r="H545" s="266"/>
      <c r="I545" s="266"/>
      <c r="J545" s="266"/>
      <c r="K545" s="266"/>
      <c r="L545" s="266"/>
      <c r="M545" s="266"/>
      <c r="N545" s="266"/>
      <c r="O545" s="266"/>
      <c r="P545" s="267"/>
      <c r="Q545" s="267"/>
      <c r="R545" s="267"/>
      <c r="S545" s="267"/>
      <c r="T545" s="267"/>
      <c r="U545" s="267"/>
      <c r="V545" s="267"/>
      <c r="W545" s="267"/>
      <c r="X545" s="267"/>
      <c r="Y545" s="267"/>
    </row>
    <row r="546" ht="12.75" customHeight="1" spans="1:25">
      <c r="A546" s="266"/>
      <c r="B546" s="266"/>
      <c r="C546" s="266"/>
      <c r="D546" s="266"/>
      <c r="E546" s="266"/>
      <c r="F546" s="266"/>
      <c r="G546" s="266"/>
      <c r="H546" s="266"/>
      <c r="I546" s="266"/>
      <c r="J546" s="266"/>
      <c r="K546" s="266"/>
      <c r="L546" s="266"/>
      <c r="M546" s="266"/>
      <c r="N546" s="266"/>
      <c r="O546" s="266"/>
      <c r="P546" s="267"/>
      <c r="Q546" s="267"/>
      <c r="R546" s="267"/>
      <c r="S546" s="267"/>
      <c r="T546" s="267"/>
      <c r="U546" s="267"/>
      <c r="V546" s="267"/>
      <c r="W546" s="267"/>
      <c r="X546" s="267"/>
      <c r="Y546" s="267"/>
    </row>
    <row r="547" ht="12.75" customHeight="1" spans="1:25">
      <c r="A547" s="266"/>
      <c r="B547" s="266"/>
      <c r="C547" s="266"/>
      <c r="D547" s="266"/>
      <c r="E547" s="266"/>
      <c r="F547" s="266"/>
      <c r="G547" s="266"/>
      <c r="H547" s="266"/>
      <c r="I547" s="266"/>
      <c r="J547" s="266"/>
      <c r="K547" s="266"/>
      <c r="L547" s="266"/>
      <c r="M547" s="266"/>
      <c r="N547" s="266"/>
      <c r="O547" s="266"/>
      <c r="P547" s="267"/>
      <c r="Q547" s="267"/>
      <c r="R547" s="267"/>
      <c r="S547" s="267"/>
      <c r="T547" s="267"/>
      <c r="U547" s="267"/>
      <c r="V547" s="267"/>
      <c r="W547" s="267"/>
      <c r="X547" s="267"/>
      <c r="Y547" s="267"/>
    </row>
    <row r="548" ht="12.75" customHeight="1" spans="1:25">
      <c r="A548" s="266"/>
      <c r="B548" s="266"/>
      <c r="C548" s="266"/>
      <c r="D548" s="266"/>
      <c r="E548" s="266"/>
      <c r="F548" s="266"/>
      <c r="G548" s="266"/>
      <c r="H548" s="266"/>
      <c r="I548" s="266"/>
      <c r="J548" s="266"/>
      <c r="K548" s="266"/>
      <c r="L548" s="266"/>
      <c r="M548" s="266"/>
      <c r="N548" s="266"/>
      <c r="O548" s="266"/>
      <c r="P548" s="267"/>
      <c r="Q548" s="267"/>
      <c r="R548" s="267"/>
      <c r="S548" s="267"/>
      <c r="T548" s="267"/>
      <c r="U548" s="267"/>
      <c r="V548" s="267"/>
      <c r="W548" s="267"/>
      <c r="X548" s="267"/>
      <c r="Y548" s="267"/>
    </row>
    <row r="549" ht="12.75" customHeight="1" spans="1:25">
      <c r="A549" s="266"/>
      <c r="B549" s="266"/>
      <c r="C549" s="266"/>
      <c r="D549" s="266"/>
      <c r="E549" s="266"/>
      <c r="F549" s="266"/>
      <c r="G549" s="266"/>
      <c r="H549" s="266"/>
      <c r="I549" s="266"/>
      <c r="J549" s="266"/>
      <c r="K549" s="266"/>
      <c r="L549" s="266"/>
      <c r="M549" s="266"/>
      <c r="N549" s="266"/>
      <c r="O549" s="266"/>
      <c r="P549" s="267"/>
      <c r="Q549" s="267"/>
      <c r="R549" s="267"/>
      <c r="S549" s="267"/>
      <c r="T549" s="267"/>
      <c r="U549" s="267"/>
      <c r="V549" s="267"/>
      <c r="W549" s="267"/>
      <c r="X549" s="267"/>
      <c r="Y549" s="267"/>
    </row>
    <row r="550" ht="12.75" customHeight="1" spans="1:25">
      <c r="A550" s="266"/>
      <c r="B550" s="266"/>
      <c r="C550" s="266"/>
      <c r="D550" s="266"/>
      <c r="E550" s="266"/>
      <c r="F550" s="266"/>
      <c r="G550" s="266"/>
      <c r="H550" s="266"/>
      <c r="I550" s="266"/>
      <c r="J550" s="266"/>
      <c r="K550" s="266"/>
      <c r="L550" s="266"/>
      <c r="M550" s="266"/>
      <c r="N550" s="266"/>
      <c r="O550" s="266"/>
      <c r="P550" s="267"/>
      <c r="Q550" s="267"/>
      <c r="R550" s="267"/>
      <c r="S550" s="267"/>
      <c r="T550" s="267"/>
      <c r="U550" s="267"/>
      <c r="V550" s="267"/>
      <c r="W550" s="267"/>
      <c r="X550" s="267"/>
      <c r="Y550" s="267"/>
    </row>
    <row r="551" ht="12.75" customHeight="1" spans="1:25">
      <c r="A551" s="266"/>
      <c r="B551" s="266"/>
      <c r="C551" s="266"/>
      <c r="D551" s="266"/>
      <c r="E551" s="266"/>
      <c r="F551" s="266"/>
      <c r="G551" s="266"/>
      <c r="H551" s="266"/>
      <c r="I551" s="266"/>
      <c r="J551" s="266"/>
      <c r="K551" s="266"/>
      <c r="L551" s="266"/>
      <c r="M551" s="266"/>
      <c r="N551" s="266"/>
      <c r="O551" s="266"/>
      <c r="P551" s="267"/>
      <c r="Q551" s="267"/>
      <c r="R551" s="267"/>
      <c r="S551" s="267"/>
      <c r="T551" s="267"/>
      <c r="U551" s="267"/>
      <c r="V551" s="267"/>
      <c r="W551" s="267"/>
      <c r="X551" s="267"/>
      <c r="Y551" s="267"/>
    </row>
    <row r="552" ht="12.75" customHeight="1" spans="1:25">
      <c r="A552" s="266"/>
      <c r="B552" s="266"/>
      <c r="C552" s="266"/>
      <c r="D552" s="266"/>
      <c r="E552" s="266"/>
      <c r="F552" s="266"/>
      <c r="G552" s="266"/>
      <c r="H552" s="266"/>
      <c r="I552" s="266"/>
      <c r="J552" s="266"/>
      <c r="K552" s="266"/>
      <c r="L552" s="266"/>
      <c r="M552" s="266"/>
      <c r="N552" s="266"/>
      <c r="O552" s="266"/>
      <c r="P552" s="267"/>
      <c r="Q552" s="267"/>
      <c r="R552" s="267"/>
      <c r="S552" s="267"/>
      <c r="T552" s="267"/>
      <c r="U552" s="267"/>
      <c r="V552" s="267"/>
      <c r="W552" s="267"/>
      <c r="X552" s="267"/>
      <c r="Y552" s="267"/>
    </row>
    <row r="553" ht="12.75" customHeight="1" spans="1:25">
      <c r="A553" s="266"/>
      <c r="B553" s="266"/>
      <c r="C553" s="266"/>
      <c r="D553" s="266"/>
      <c r="E553" s="266"/>
      <c r="F553" s="266"/>
      <c r="G553" s="266"/>
      <c r="H553" s="266"/>
      <c r="I553" s="266"/>
      <c r="J553" s="266"/>
      <c r="K553" s="266"/>
      <c r="L553" s="266"/>
      <c r="M553" s="266"/>
      <c r="N553" s="266"/>
      <c r="O553" s="266"/>
      <c r="P553" s="267"/>
      <c r="Q553" s="267"/>
      <c r="R553" s="267"/>
      <c r="S553" s="267"/>
      <c r="T553" s="267"/>
      <c r="U553" s="267"/>
      <c r="V553" s="267"/>
      <c r="W553" s="267"/>
      <c r="X553" s="267"/>
      <c r="Y553" s="267"/>
    </row>
    <row r="554" ht="12.75" customHeight="1" spans="1:25">
      <c r="A554" s="266"/>
      <c r="B554" s="266"/>
      <c r="C554" s="266"/>
      <c r="D554" s="266"/>
      <c r="E554" s="266"/>
      <c r="F554" s="266"/>
      <c r="G554" s="266"/>
      <c r="H554" s="266"/>
      <c r="I554" s="266"/>
      <c r="J554" s="266"/>
      <c r="K554" s="266"/>
      <c r="L554" s="266"/>
      <c r="M554" s="266"/>
      <c r="N554" s="266"/>
      <c r="O554" s="266"/>
      <c r="P554" s="267"/>
      <c r="Q554" s="267"/>
      <c r="R554" s="267"/>
      <c r="S554" s="267"/>
      <c r="T554" s="267"/>
      <c r="U554" s="267"/>
      <c r="V554" s="267"/>
      <c r="W554" s="267"/>
      <c r="X554" s="267"/>
      <c r="Y554" s="267"/>
    </row>
    <row r="555" ht="12.75" customHeight="1" spans="1:25">
      <c r="A555" s="266"/>
      <c r="B555" s="266"/>
      <c r="C555" s="266"/>
      <c r="D555" s="266"/>
      <c r="E555" s="266"/>
      <c r="F555" s="266"/>
      <c r="G555" s="266"/>
      <c r="H555" s="266"/>
      <c r="I555" s="266"/>
      <c r="J555" s="266"/>
      <c r="K555" s="266"/>
      <c r="L555" s="266"/>
      <c r="M555" s="266"/>
      <c r="N555" s="266"/>
      <c r="O555" s="266"/>
      <c r="P555" s="267"/>
      <c r="Q555" s="267"/>
      <c r="R555" s="267"/>
      <c r="S555" s="267"/>
      <c r="T555" s="267"/>
      <c r="U555" s="267"/>
      <c r="V555" s="267"/>
      <c r="W555" s="267"/>
      <c r="X555" s="267"/>
      <c r="Y555" s="267"/>
    </row>
    <row r="556" ht="12.75" customHeight="1" spans="1:25">
      <c r="A556" s="266"/>
      <c r="B556" s="266"/>
      <c r="C556" s="266"/>
      <c r="D556" s="266"/>
      <c r="E556" s="266"/>
      <c r="F556" s="266"/>
      <c r="G556" s="266"/>
      <c r="H556" s="266"/>
      <c r="I556" s="266"/>
      <c r="J556" s="266"/>
      <c r="K556" s="266"/>
      <c r="L556" s="266"/>
      <c r="M556" s="266"/>
      <c r="N556" s="266"/>
      <c r="O556" s="266"/>
      <c r="P556" s="267"/>
      <c r="Q556" s="267"/>
      <c r="R556" s="267"/>
      <c r="S556" s="267"/>
      <c r="T556" s="267"/>
      <c r="U556" s="267"/>
      <c r="V556" s="267"/>
      <c r="W556" s="267"/>
      <c r="X556" s="267"/>
      <c r="Y556" s="267"/>
    </row>
    <row r="557" ht="12.75" customHeight="1" spans="1:25">
      <c r="A557" s="266"/>
      <c r="B557" s="266"/>
      <c r="C557" s="266"/>
      <c r="D557" s="266"/>
      <c r="E557" s="266"/>
      <c r="F557" s="266"/>
      <c r="G557" s="266"/>
      <c r="H557" s="266"/>
      <c r="I557" s="266"/>
      <c r="J557" s="266"/>
      <c r="K557" s="266"/>
      <c r="L557" s="266"/>
      <c r="M557" s="266"/>
      <c r="N557" s="266"/>
      <c r="O557" s="266"/>
      <c r="P557" s="267"/>
      <c r="Q557" s="267"/>
      <c r="R557" s="267"/>
      <c r="S557" s="267"/>
      <c r="T557" s="267"/>
      <c r="U557" s="267"/>
      <c r="V557" s="267"/>
      <c r="W557" s="267"/>
      <c r="X557" s="267"/>
      <c r="Y557" s="267"/>
    </row>
    <row r="558" ht="12.75" customHeight="1" spans="1:25">
      <c r="A558" s="266"/>
      <c r="B558" s="266"/>
      <c r="C558" s="266"/>
      <c r="D558" s="266"/>
      <c r="E558" s="266"/>
      <c r="F558" s="266"/>
      <c r="G558" s="266"/>
      <c r="H558" s="266"/>
      <c r="I558" s="266"/>
      <c r="J558" s="266"/>
      <c r="K558" s="266"/>
      <c r="L558" s="266"/>
      <c r="M558" s="266"/>
      <c r="N558" s="266"/>
      <c r="O558" s="266"/>
      <c r="P558" s="267"/>
      <c r="Q558" s="267"/>
      <c r="R558" s="267"/>
      <c r="S558" s="267"/>
      <c r="T558" s="267"/>
      <c r="U558" s="267"/>
      <c r="V558" s="267"/>
      <c r="W558" s="267"/>
      <c r="X558" s="267"/>
      <c r="Y558" s="267"/>
    </row>
    <row r="559" ht="12.75" customHeight="1" spans="1:25">
      <c r="A559" s="266"/>
      <c r="B559" s="266"/>
      <c r="C559" s="266"/>
      <c r="D559" s="266"/>
      <c r="E559" s="266"/>
      <c r="F559" s="266"/>
      <c r="G559" s="266"/>
      <c r="H559" s="266"/>
      <c r="I559" s="266"/>
      <c r="J559" s="266"/>
      <c r="K559" s="266"/>
      <c r="L559" s="266"/>
      <c r="M559" s="266"/>
      <c r="N559" s="266"/>
      <c r="O559" s="266"/>
      <c r="P559" s="267"/>
      <c r="Q559" s="267"/>
      <c r="R559" s="267"/>
      <c r="S559" s="267"/>
      <c r="T559" s="267"/>
      <c r="U559" s="267"/>
      <c r="V559" s="267"/>
      <c r="W559" s="267"/>
      <c r="X559" s="267"/>
      <c r="Y559" s="267"/>
    </row>
    <row r="560" ht="12.75" customHeight="1" spans="1:25">
      <c r="A560" s="266"/>
      <c r="B560" s="266"/>
      <c r="C560" s="266"/>
      <c r="D560" s="266"/>
      <c r="E560" s="266"/>
      <c r="F560" s="266"/>
      <c r="G560" s="266"/>
      <c r="H560" s="266"/>
      <c r="I560" s="266"/>
      <c r="J560" s="266"/>
      <c r="K560" s="266"/>
      <c r="L560" s="266"/>
      <c r="M560" s="266"/>
      <c r="N560" s="266"/>
      <c r="O560" s="266"/>
      <c r="P560" s="267"/>
      <c r="Q560" s="267"/>
      <c r="R560" s="267"/>
      <c r="S560" s="267"/>
      <c r="T560" s="267"/>
      <c r="U560" s="267"/>
      <c r="V560" s="267"/>
      <c r="W560" s="267"/>
      <c r="X560" s="267"/>
      <c r="Y560" s="267"/>
    </row>
    <row r="561" ht="12.75" customHeight="1" spans="1:25">
      <c r="A561" s="266"/>
      <c r="B561" s="266"/>
      <c r="C561" s="266"/>
      <c r="D561" s="266"/>
      <c r="E561" s="266"/>
      <c r="F561" s="266"/>
      <c r="G561" s="266"/>
      <c r="H561" s="266"/>
      <c r="I561" s="266"/>
      <c r="J561" s="266"/>
      <c r="K561" s="266"/>
      <c r="L561" s="266"/>
      <c r="M561" s="266"/>
      <c r="N561" s="266"/>
      <c r="O561" s="266"/>
      <c r="P561" s="267"/>
      <c r="Q561" s="267"/>
      <c r="R561" s="267"/>
      <c r="S561" s="267"/>
      <c r="T561" s="267"/>
      <c r="U561" s="267"/>
      <c r="V561" s="267"/>
      <c r="W561" s="267"/>
      <c r="X561" s="267"/>
      <c r="Y561" s="267"/>
    </row>
    <row r="562" ht="12.75" customHeight="1" spans="1:25">
      <c r="A562" s="266"/>
      <c r="B562" s="266"/>
      <c r="C562" s="266"/>
      <c r="D562" s="266"/>
      <c r="E562" s="266"/>
      <c r="F562" s="266"/>
      <c r="G562" s="266"/>
      <c r="H562" s="266"/>
      <c r="I562" s="266"/>
      <c r="J562" s="266"/>
      <c r="K562" s="266"/>
      <c r="L562" s="266"/>
      <c r="M562" s="266"/>
      <c r="N562" s="266"/>
      <c r="O562" s="266"/>
      <c r="P562" s="267"/>
      <c r="Q562" s="267"/>
      <c r="R562" s="267"/>
      <c r="S562" s="267"/>
      <c r="T562" s="267"/>
      <c r="U562" s="267"/>
      <c r="V562" s="267"/>
      <c r="W562" s="267"/>
      <c r="X562" s="267"/>
      <c r="Y562" s="267"/>
    </row>
    <row r="563" ht="12.75" customHeight="1" spans="1:25">
      <c r="A563" s="266"/>
      <c r="B563" s="266"/>
      <c r="C563" s="266"/>
      <c r="D563" s="266"/>
      <c r="E563" s="266"/>
      <c r="F563" s="266"/>
      <c r="G563" s="266"/>
      <c r="H563" s="266"/>
      <c r="I563" s="266"/>
      <c r="J563" s="266"/>
      <c r="K563" s="266"/>
      <c r="L563" s="266"/>
      <c r="M563" s="266"/>
      <c r="N563" s="266"/>
      <c r="O563" s="266"/>
      <c r="P563" s="267"/>
      <c r="Q563" s="267"/>
      <c r="R563" s="267"/>
      <c r="S563" s="267"/>
      <c r="T563" s="267"/>
      <c r="U563" s="267"/>
      <c r="V563" s="267"/>
      <c r="W563" s="267"/>
      <c r="X563" s="267"/>
      <c r="Y563" s="267"/>
    </row>
    <row r="564" ht="12.75" customHeight="1" spans="1:25">
      <c r="A564" s="266"/>
      <c r="B564" s="266"/>
      <c r="C564" s="266"/>
      <c r="D564" s="266"/>
      <c r="E564" s="266"/>
      <c r="F564" s="266"/>
      <c r="G564" s="266"/>
      <c r="H564" s="266"/>
      <c r="I564" s="266"/>
      <c r="J564" s="266"/>
      <c r="K564" s="266"/>
      <c r="L564" s="266"/>
      <c r="M564" s="266"/>
      <c r="N564" s="266"/>
      <c r="O564" s="266"/>
      <c r="P564" s="267"/>
      <c r="Q564" s="267"/>
      <c r="R564" s="267"/>
      <c r="S564" s="267"/>
      <c r="T564" s="267"/>
      <c r="U564" s="267"/>
      <c r="V564" s="267"/>
      <c r="W564" s="267"/>
      <c r="X564" s="267"/>
      <c r="Y564" s="267"/>
    </row>
    <row r="565" ht="12.75" customHeight="1" spans="1:25">
      <c r="A565" s="266"/>
      <c r="B565" s="266"/>
      <c r="C565" s="266"/>
      <c r="D565" s="266"/>
      <c r="E565" s="266"/>
      <c r="F565" s="266"/>
      <c r="G565" s="266"/>
      <c r="H565" s="266"/>
      <c r="I565" s="266"/>
      <c r="J565" s="266"/>
      <c r="K565" s="266"/>
      <c r="L565" s="266"/>
      <c r="M565" s="266"/>
      <c r="N565" s="266"/>
      <c r="O565" s="266"/>
      <c r="P565" s="267"/>
      <c r="Q565" s="267"/>
      <c r="R565" s="267"/>
      <c r="S565" s="267"/>
      <c r="T565" s="267"/>
      <c r="U565" s="267"/>
      <c r="V565" s="267"/>
      <c r="W565" s="267"/>
      <c r="X565" s="267"/>
      <c r="Y565" s="267"/>
    </row>
    <row r="566" ht="12.75" customHeight="1" spans="1:25">
      <c r="A566" s="266"/>
      <c r="B566" s="266"/>
      <c r="C566" s="266"/>
      <c r="D566" s="266"/>
      <c r="E566" s="266"/>
      <c r="F566" s="266"/>
      <c r="G566" s="266"/>
      <c r="H566" s="266"/>
      <c r="I566" s="266"/>
      <c r="J566" s="266"/>
      <c r="K566" s="266"/>
      <c r="L566" s="266"/>
      <c r="M566" s="266"/>
      <c r="N566" s="266"/>
      <c r="O566" s="266"/>
      <c r="P566" s="267"/>
      <c r="Q566" s="267"/>
      <c r="R566" s="267"/>
      <c r="S566" s="267"/>
      <c r="T566" s="267"/>
      <c r="U566" s="267"/>
      <c r="V566" s="267"/>
      <c r="W566" s="267"/>
      <c r="X566" s="267"/>
      <c r="Y566" s="267"/>
    </row>
    <row r="567" ht="12.75" customHeight="1" spans="1:25">
      <c r="A567" s="266"/>
      <c r="B567" s="266"/>
      <c r="C567" s="266"/>
      <c r="D567" s="266"/>
      <c r="E567" s="266"/>
      <c r="F567" s="266"/>
      <c r="G567" s="266"/>
      <c r="H567" s="266"/>
      <c r="I567" s="266"/>
      <c r="J567" s="266"/>
      <c r="K567" s="266"/>
      <c r="L567" s="266"/>
      <c r="M567" s="266"/>
      <c r="N567" s="266"/>
      <c r="O567" s="266"/>
      <c r="P567" s="267"/>
      <c r="Q567" s="267"/>
      <c r="R567" s="267"/>
      <c r="S567" s="267"/>
      <c r="T567" s="267"/>
      <c r="U567" s="267"/>
      <c r="V567" s="267"/>
      <c r="W567" s="267"/>
      <c r="X567" s="267"/>
      <c r="Y567" s="267"/>
    </row>
    <row r="568" ht="12.75" customHeight="1" spans="1:25">
      <c r="A568" s="266"/>
      <c r="B568" s="266"/>
      <c r="C568" s="266"/>
      <c r="D568" s="266"/>
      <c r="E568" s="266"/>
      <c r="F568" s="266"/>
      <c r="G568" s="266"/>
      <c r="H568" s="266"/>
      <c r="I568" s="266"/>
      <c r="J568" s="266"/>
      <c r="K568" s="266"/>
      <c r="L568" s="266"/>
      <c r="M568" s="266"/>
      <c r="N568" s="266"/>
      <c r="O568" s="266"/>
      <c r="P568" s="267"/>
      <c r="Q568" s="267"/>
      <c r="R568" s="267"/>
      <c r="S568" s="267"/>
      <c r="T568" s="267"/>
      <c r="U568" s="267"/>
      <c r="V568" s="267"/>
      <c r="W568" s="267"/>
      <c r="X568" s="267"/>
      <c r="Y568" s="267"/>
    </row>
    <row r="569" ht="12.75" customHeight="1" spans="1:25">
      <c r="A569" s="266"/>
      <c r="B569" s="266"/>
      <c r="C569" s="266"/>
      <c r="D569" s="266"/>
      <c r="E569" s="266"/>
      <c r="F569" s="266"/>
      <c r="G569" s="266"/>
      <c r="H569" s="266"/>
      <c r="I569" s="266"/>
      <c r="J569" s="266"/>
      <c r="K569" s="266"/>
      <c r="L569" s="266"/>
      <c r="M569" s="266"/>
      <c r="N569" s="266"/>
      <c r="O569" s="266"/>
      <c r="P569" s="267"/>
      <c r="Q569" s="267"/>
      <c r="R569" s="267"/>
      <c r="S569" s="267"/>
      <c r="T569" s="267"/>
      <c r="U569" s="267"/>
      <c r="V569" s="267"/>
      <c r="W569" s="267"/>
      <c r="X569" s="267"/>
      <c r="Y569" s="267"/>
    </row>
    <row r="570" ht="12.75" customHeight="1" spans="1:25">
      <c r="A570" s="266"/>
      <c r="B570" s="266"/>
      <c r="C570" s="266"/>
      <c r="D570" s="266"/>
      <c r="E570" s="266"/>
      <c r="F570" s="266"/>
      <c r="G570" s="266"/>
      <c r="H570" s="266"/>
      <c r="I570" s="266"/>
      <c r="J570" s="266"/>
      <c r="K570" s="266"/>
      <c r="L570" s="266"/>
      <c r="M570" s="266"/>
      <c r="N570" s="266"/>
      <c r="O570" s="266"/>
      <c r="P570" s="267"/>
      <c r="Q570" s="267"/>
      <c r="R570" s="267"/>
      <c r="S570" s="267"/>
      <c r="T570" s="267"/>
      <c r="U570" s="267"/>
      <c r="V570" s="267"/>
      <c r="W570" s="267"/>
      <c r="X570" s="267"/>
      <c r="Y570" s="267"/>
    </row>
    <row r="571" ht="12.75" customHeight="1" spans="1:25">
      <c r="A571" s="266"/>
      <c r="B571" s="266"/>
      <c r="C571" s="266"/>
      <c r="D571" s="266"/>
      <c r="E571" s="266"/>
      <c r="F571" s="266"/>
      <c r="G571" s="266"/>
      <c r="H571" s="266"/>
      <c r="I571" s="266"/>
      <c r="J571" s="266"/>
      <c r="K571" s="266"/>
      <c r="L571" s="266"/>
      <c r="M571" s="266"/>
      <c r="N571" s="266"/>
      <c r="O571" s="266"/>
      <c r="P571" s="267"/>
      <c r="Q571" s="267"/>
      <c r="R571" s="267"/>
      <c r="S571" s="267"/>
      <c r="T571" s="267"/>
      <c r="U571" s="267"/>
      <c r="V571" s="267"/>
      <c r="W571" s="267"/>
      <c r="X571" s="267"/>
      <c r="Y571" s="267"/>
    </row>
    <row r="572" ht="12.75" customHeight="1" spans="1:25">
      <c r="A572" s="266"/>
      <c r="B572" s="266"/>
      <c r="C572" s="266"/>
      <c r="D572" s="266"/>
      <c r="E572" s="266"/>
      <c r="F572" s="266"/>
      <c r="G572" s="266"/>
      <c r="H572" s="266"/>
      <c r="I572" s="266"/>
      <c r="J572" s="266"/>
      <c r="K572" s="266"/>
      <c r="L572" s="266"/>
      <c r="M572" s="266"/>
      <c r="N572" s="266"/>
      <c r="O572" s="266"/>
      <c r="P572" s="267"/>
      <c r="Q572" s="267"/>
      <c r="R572" s="267"/>
      <c r="S572" s="267"/>
      <c r="T572" s="267"/>
      <c r="U572" s="267"/>
      <c r="V572" s="267"/>
      <c r="W572" s="267"/>
      <c r="X572" s="267"/>
      <c r="Y572" s="267"/>
    </row>
    <row r="573" ht="12.75" customHeight="1" spans="1:25">
      <c r="A573" s="266"/>
      <c r="B573" s="266"/>
      <c r="C573" s="266"/>
      <c r="D573" s="266"/>
      <c r="E573" s="266"/>
      <c r="F573" s="266"/>
      <c r="G573" s="266"/>
      <c r="H573" s="266"/>
      <c r="I573" s="266"/>
      <c r="J573" s="266"/>
      <c r="K573" s="266"/>
      <c r="L573" s="266"/>
      <c r="M573" s="266"/>
      <c r="N573" s="266"/>
      <c r="O573" s="266"/>
      <c r="P573" s="267"/>
      <c r="Q573" s="267"/>
      <c r="R573" s="267"/>
      <c r="S573" s="267"/>
      <c r="T573" s="267"/>
      <c r="U573" s="267"/>
      <c r="V573" s="267"/>
      <c r="W573" s="267"/>
      <c r="X573" s="267"/>
      <c r="Y573" s="267"/>
    </row>
    <row r="574" ht="12.75" customHeight="1" spans="1:25">
      <c r="A574" s="266"/>
      <c r="B574" s="266"/>
      <c r="C574" s="266"/>
      <c r="D574" s="266"/>
      <c r="E574" s="266"/>
      <c r="F574" s="266"/>
      <c r="G574" s="266"/>
      <c r="H574" s="266"/>
      <c r="I574" s="266"/>
      <c r="J574" s="266"/>
      <c r="K574" s="266"/>
      <c r="L574" s="266"/>
      <c r="M574" s="266"/>
      <c r="N574" s="266"/>
      <c r="O574" s="266"/>
      <c r="P574" s="267"/>
      <c r="Q574" s="267"/>
      <c r="R574" s="267"/>
      <c r="S574" s="267"/>
      <c r="T574" s="267"/>
      <c r="U574" s="267"/>
      <c r="V574" s="267"/>
      <c r="W574" s="267"/>
      <c r="X574" s="267"/>
      <c r="Y574" s="267"/>
    </row>
    <row r="575" ht="12.75" customHeight="1" spans="1:25">
      <c r="A575" s="266"/>
      <c r="B575" s="266"/>
      <c r="C575" s="266"/>
      <c r="D575" s="266"/>
      <c r="E575" s="266"/>
      <c r="F575" s="266"/>
      <c r="G575" s="266"/>
      <c r="H575" s="266"/>
      <c r="I575" s="266"/>
      <c r="J575" s="266"/>
      <c r="K575" s="266"/>
      <c r="L575" s="266"/>
      <c r="M575" s="266"/>
      <c r="N575" s="266"/>
      <c r="O575" s="266"/>
      <c r="P575" s="267"/>
      <c r="Q575" s="267"/>
      <c r="R575" s="267"/>
      <c r="S575" s="267"/>
      <c r="T575" s="267"/>
      <c r="U575" s="267"/>
      <c r="V575" s="267"/>
      <c r="W575" s="267"/>
      <c r="X575" s="267"/>
      <c r="Y575" s="267"/>
    </row>
    <row r="576" ht="12.75" customHeight="1" spans="1:25">
      <c r="A576" s="266"/>
      <c r="B576" s="266"/>
      <c r="C576" s="266"/>
      <c r="D576" s="266"/>
      <c r="E576" s="266"/>
      <c r="F576" s="266"/>
      <c r="G576" s="266"/>
      <c r="H576" s="266"/>
      <c r="I576" s="266"/>
      <c r="J576" s="266"/>
      <c r="K576" s="266"/>
      <c r="L576" s="266"/>
      <c r="M576" s="266"/>
      <c r="N576" s="266"/>
      <c r="O576" s="266"/>
      <c r="P576" s="267"/>
      <c r="Q576" s="267"/>
      <c r="R576" s="267"/>
      <c r="S576" s="267"/>
      <c r="T576" s="267"/>
      <c r="U576" s="267"/>
      <c r="V576" s="267"/>
      <c r="W576" s="267"/>
      <c r="X576" s="267"/>
      <c r="Y576" s="267"/>
    </row>
    <row r="577" ht="12.75" customHeight="1" spans="1:25">
      <c r="A577" s="266"/>
      <c r="B577" s="266"/>
      <c r="C577" s="266"/>
      <c r="D577" s="266"/>
      <c r="E577" s="266"/>
      <c r="F577" s="266"/>
      <c r="G577" s="266"/>
      <c r="H577" s="266"/>
      <c r="I577" s="266"/>
      <c r="J577" s="266"/>
      <c r="K577" s="266"/>
      <c r="L577" s="266"/>
      <c r="M577" s="266"/>
      <c r="N577" s="266"/>
      <c r="O577" s="266"/>
      <c r="P577" s="267"/>
      <c r="Q577" s="267"/>
      <c r="R577" s="267"/>
      <c r="S577" s="267"/>
      <c r="T577" s="267"/>
      <c r="U577" s="267"/>
      <c r="V577" s="267"/>
      <c r="W577" s="267"/>
      <c r="X577" s="267"/>
      <c r="Y577" s="267"/>
    </row>
    <row r="578" ht="12.75" customHeight="1" spans="1:25">
      <c r="A578" s="266"/>
      <c r="B578" s="266"/>
      <c r="C578" s="266"/>
      <c r="D578" s="266"/>
      <c r="E578" s="266"/>
      <c r="F578" s="266"/>
      <c r="G578" s="266"/>
      <c r="H578" s="266"/>
      <c r="I578" s="266"/>
      <c r="J578" s="266"/>
      <c r="K578" s="266"/>
      <c r="L578" s="266"/>
      <c r="M578" s="266"/>
      <c r="N578" s="266"/>
      <c r="O578" s="266"/>
      <c r="P578" s="267"/>
      <c r="Q578" s="267"/>
      <c r="R578" s="267"/>
      <c r="S578" s="267"/>
      <c r="T578" s="267"/>
      <c r="U578" s="267"/>
      <c r="V578" s="267"/>
      <c r="W578" s="267"/>
      <c r="X578" s="267"/>
      <c r="Y578" s="267"/>
    </row>
    <row r="579" ht="12.75" customHeight="1" spans="1:25">
      <c r="A579" s="266"/>
      <c r="B579" s="266"/>
      <c r="C579" s="266"/>
      <c r="D579" s="266"/>
      <c r="E579" s="266"/>
      <c r="F579" s="266"/>
      <c r="G579" s="266"/>
      <c r="H579" s="266"/>
      <c r="I579" s="266"/>
      <c r="J579" s="266"/>
      <c r="K579" s="266"/>
      <c r="L579" s="266"/>
      <c r="M579" s="266"/>
      <c r="N579" s="266"/>
      <c r="O579" s="266"/>
      <c r="P579" s="267"/>
      <c r="Q579" s="267"/>
      <c r="R579" s="267"/>
      <c r="S579" s="267"/>
      <c r="T579" s="267"/>
      <c r="U579" s="267"/>
      <c r="V579" s="267"/>
      <c r="W579" s="267"/>
      <c r="X579" s="267"/>
      <c r="Y579" s="267"/>
    </row>
    <row r="580" ht="12.75" customHeight="1" spans="1:25">
      <c r="A580" s="266"/>
      <c r="B580" s="266"/>
      <c r="C580" s="266"/>
      <c r="D580" s="266"/>
      <c r="E580" s="266"/>
      <c r="F580" s="266"/>
      <c r="G580" s="266"/>
      <c r="H580" s="266"/>
      <c r="I580" s="266"/>
      <c r="J580" s="266"/>
      <c r="K580" s="266"/>
      <c r="L580" s="266"/>
      <c r="M580" s="266"/>
      <c r="N580" s="266"/>
      <c r="O580" s="266"/>
      <c r="P580" s="267"/>
      <c r="Q580" s="267"/>
      <c r="R580" s="267"/>
      <c r="S580" s="267"/>
      <c r="T580" s="267"/>
      <c r="U580" s="267"/>
      <c r="V580" s="267"/>
      <c r="W580" s="267"/>
      <c r="X580" s="267"/>
      <c r="Y580" s="267"/>
    </row>
    <row r="581" ht="12.75" customHeight="1" spans="1:25">
      <c r="A581" s="266"/>
      <c r="B581" s="266"/>
      <c r="C581" s="266"/>
      <c r="D581" s="266"/>
      <c r="E581" s="266"/>
      <c r="F581" s="266"/>
      <c r="G581" s="266"/>
      <c r="H581" s="266"/>
      <c r="I581" s="266"/>
      <c r="J581" s="266"/>
      <c r="K581" s="266"/>
      <c r="L581" s="266"/>
      <c r="M581" s="266"/>
      <c r="N581" s="266"/>
      <c r="O581" s="266"/>
      <c r="P581" s="267"/>
      <c r="Q581" s="267"/>
      <c r="R581" s="267"/>
      <c r="S581" s="267"/>
      <c r="T581" s="267"/>
      <c r="U581" s="267"/>
      <c r="V581" s="267"/>
      <c r="W581" s="267"/>
      <c r="X581" s="267"/>
      <c r="Y581" s="267"/>
    </row>
    <row r="582" ht="12.75" customHeight="1" spans="1:25">
      <c r="A582" s="266"/>
      <c r="B582" s="266"/>
      <c r="C582" s="266"/>
      <c r="D582" s="266"/>
      <c r="E582" s="266"/>
      <c r="F582" s="266"/>
      <c r="G582" s="266"/>
      <c r="H582" s="266"/>
      <c r="I582" s="266"/>
      <c r="J582" s="266"/>
      <c r="K582" s="266"/>
      <c r="L582" s="266"/>
      <c r="M582" s="266"/>
      <c r="N582" s="266"/>
      <c r="O582" s="266"/>
      <c r="P582" s="267"/>
      <c r="Q582" s="267"/>
      <c r="R582" s="267"/>
      <c r="S582" s="267"/>
      <c r="T582" s="267"/>
      <c r="U582" s="267"/>
      <c r="V582" s="267"/>
      <c r="W582" s="267"/>
      <c r="X582" s="267"/>
      <c r="Y582" s="267"/>
    </row>
    <row r="583" ht="12.75" customHeight="1" spans="1:25">
      <c r="A583" s="266"/>
      <c r="B583" s="266"/>
      <c r="C583" s="266"/>
      <c r="D583" s="266"/>
      <c r="E583" s="266"/>
      <c r="F583" s="266"/>
      <c r="G583" s="266"/>
      <c r="H583" s="266"/>
      <c r="I583" s="266"/>
      <c r="J583" s="266"/>
      <c r="K583" s="266"/>
      <c r="L583" s="266"/>
      <c r="M583" s="266"/>
      <c r="N583" s="266"/>
      <c r="O583" s="266"/>
      <c r="P583" s="267"/>
      <c r="Q583" s="267"/>
      <c r="R583" s="267"/>
      <c r="S583" s="267"/>
      <c r="T583" s="267"/>
      <c r="U583" s="267"/>
      <c r="V583" s="267"/>
      <c r="W583" s="267"/>
      <c r="X583" s="267"/>
      <c r="Y583" s="267"/>
    </row>
    <row r="584" ht="12.75" customHeight="1" spans="1:25">
      <c r="A584" s="266"/>
      <c r="B584" s="266"/>
      <c r="C584" s="266"/>
      <c r="D584" s="266"/>
      <c r="E584" s="266"/>
      <c r="F584" s="266"/>
      <c r="G584" s="266"/>
      <c r="H584" s="266"/>
      <c r="I584" s="266"/>
      <c r="J584" s="266"/>
      <c r="K584" s="266"/>
      <c r="L584" s="266"/>
      <c r="M584" s="266"/>
      <c r="N584" s="266"/>
      <c r="O584" s="266"/>
      <c r="P584" s="267"/>
      <c r="Q584" s="267"/>
      <c r="R584" s="267"/>
      <c r="S584" s="267"/>
      <c r="T584" s="267"/>
      <c r="U584" s="267"/>
      <c r="V584" s="267"/>
      <c r="W584" s="267"/>
      <c r="X584" s="267"/>
      <c r="Y584" s="267"/>
    </row>
    <row r="585" ht="12.75" customHeight="1" spans="1:25">
      <c r="A585" s="266"/>
      <c r="B585" s="266"/>
      <c r="C585" s="266"/>
      <c r="D585" s="266"/>
      <c r="E585" s="266"/>
      <c r="F585" s="266"/>
      <c r="G585" s="266"/>
      <c r="H585" s="266"/>
      <c r="I585" s="266"/>
      <c r="J585" s="266"/>
      <c r="K585" s="266"/>
      <c r="L585" s="266"/>
      <c r="M585" s="266"/>
      <c r="N585" s="266"/>
      <c r="O585" s="266"/>
      <c r="P585" s="267"/>
      <c r="Q585" s="267"/>
      <c r="R585" s="267"/>
      <c r="S585" s="267"/>
      <c r="T585" s="267"/>
      <c r="U585" s="267"/>
      <c r="V585" s="267"/>
      <c r="W585" s="267"/>
      <c r="X585" s="267"/>
      <c r="Y585" s="267"/>
    </row>
    <row r="586" ht="12.75" customHeight="1" spans="1:25">
      <c r="A586" s="266"/>
      <c r="B586" s="266"/>
      <c r="C586" s="266"/>
      <c r="D586" s="266"/>
      <c r="E586" s="266"/>
      <c r="F586" s="266"/>
      <c r="G586" s="266"/>
      <c r="H586" s="266"/>
      <c r="I586" s="266"/>
      <c r="J586" s="266"/>
      <c r="K586" s="266"/>
      <c r="L586" s="266"/>
      <c r="M586" s="266"/>
      <c r="N586" s="266"/>
      <c r="O586" s="266"/>
      <c r="P586" s="267"/>
      <c r="Q586" s="267"/>
      <c r="R586" s="267"/>
      <c r="S586" s="267"/>
      <c r="T586" s="267"/>
      <c r="U586" s="267"/>
      <c r="V586" s="267"/>
      <c r="W586" s="267"/>
      <c r="X586" s="267"/>
      <c r="Y586" s="267"/>
    </row>
    <row r="587" ht="12.75" customHeight="1" spans="1:25">
      <c r="A587" s="266"/>
      <c r="B587" s="266"/>
      <c r="C587" s="266"/>
      <c r="D587" s="266"/>
      <c r="E587" s="266"/>
      <c r="F587" s="266"/>
      <c r="G587" s="266"/>
      <c r="H587" s="266"/>
      <c r="I587" s="266"/>
      <c r="J587" s="266"/>
      <c r="K587" s="266"/>
      <c r="L587" s="266"/>
      <c r="M587" s="266"/>
      <c r="N587" s="266"/>
      <c r="O587" s="266"/>
      <c r="P587" s="267"/>
      <c r="Q587" s="267"/>
      <c r="R587" s="267"/>
      <c r="S587" s="267"/>
      <c r="T587" s="267"/>
      <c r="U587" s="267"/>
      <c r="V587" s="267"/>
      <c r="W587" s="267"/>
      <c r="X587" s="267"/>
      <c r="Y587" s="267"/>
    </row>
    <row r="588" ht="12.75" customHeight="1" spans="1:25">
      <c r="A588" s="266"/>
      <c r="B588" s="266"/>
      <c r="C588" s="266"/>
      <c r="D588" s="266"/>
      <c r="E588" s="266"/>
      <c r="F588" s="266"/>
      <c r="G588" s="266"/>
      <c r="H588" s="266"/>
      <c r="I588" s="266"/>
      <c r="J588" s="266"/>
      <c r="K588" s="266"/>
      <c r="L588" s="266"/>
      <c r="M588" s="266"/>
      <c r="N588" s="266"/>
      <c r="O588" s="266"/>
      <c r="P588" s="267"/>
      <c r="Q588" s="267"/>
      <c r="R588" s="267"/>
      <c r="S588" s="267"/>
      <c r="T588" s="267"/>
      <c r="U588" s="267"/>
      <c r="V588" s="267"/>
      <c r="W588" s="267"/>
      <c r="X588" s="267"/>
      <c r="Y588" s="267"/>
    </row>
    <row r="589" ht="12.75" customHeight="1" spans="1:25">
      <c r="A589" s="266"/>
      <c r="B589" s="266"/>
      <c r="C589" s="266"/>
      <c r="D589" s="266"/>
      <c r="E589" s="266"/>
      <c r="F589" s="266"/>
      <c r="G589" s="266"/>
      <c r="H589" s="266"/>
      <c r="I589" s="266"/>
      <c r="J589" s="266"/>
      <c r="K589" s="266"/>
      <c r="L589" s="266"/>
      <c r="M589" s="266"/>
      <c r="N589" s="266"/>
      <c r="O589" s="266"/>
      <c r="P589" s="267"/>
      <c r="Q589" s="267"/>
      <c r="R589" s="267"/>
      <c r="S589" s="267"/>
      <c r="T589" s="267"/>
      <c r="U589" s="267"/>
      <c r="V589" s="267"/>
      <c r="W589" s="267"/>
      <c r="X589" s="267"/>
      <c r="Y589" s="267"/>
    </row>
    <row r="590" ht="12.75" customHeight="1" spans="1:25">
      <c r="A590" s="266"/>
      <c r="B590" s="266"/>
      <c r="C590" s="266"/>
      <c r="D590" s="266"/>
      <c r="E590" s="266"/>
      <c r="F590" s="266"/>
      <c r="G590" s="266"/>
      <c r="H590" s="266"/>
      <c r="I590" s="266"/>
      <c r="J590" s="266"/>
      <c r="K590" s="266"/>
      <c r="L590" s="266"/>
      <c r="M590" s="266"/>
      <c r="N590" s="266"/>
      <c r="O590" s="266"/>
      <c r="P590" s="267"/>
      <c r="Q590" s="267"/>
      <c r="R590" s="267"/>
      <c r="S590" s="267"/>
      <c r="T590" s="267"/>
      <c r="U590" s="267"/>
      <c r="V590" s="267"/>
      <c r="W590" s="267"/>
      <c r="X590" s="267"/>
      <c r="Y590" s="267"/>
    </row>
    <row r="591" ht="12.75" customHeight="1" spans="1:25">
      <c r="A591" s="266"/>
      <c r="B591" s="266"/>
      <c r="C591" s="266"/>
      <c r="D591" s="266"/>
      <c r="E591" s="266"/>
      <c r="F591" s="266"/>
      <c r="G591" s="266"/>
      <c r="H591" s="266"/>
      <c r="I591" s="266"/>
      <c r="J591" s="266"/>
      <c r="K591" s="266"/>
      <c r="L591" s="266"/>
      <c r="M591" s="266"/>
      <c r="N591" s="266"/>
      <c r="O591" s="266"/>
      <c r="P591" s="267"/>
      <c r="Q591" s="267"/>
      <c r="R591" s="267"/>
      <c r="S591" s="267"/>
      <c r="T591" s="267"/>
      <c r="U591" s="267"/>
      <c r="V591" s="267"/>
      <c r="W591" s="267"/>
      <c r="X591" s="267"/>
      <c r="Y591" s="267"/>
    </row>
    <row r="592" ht="12.75" customHeight="1" spans="1:25">
      <c r="A592" s="266"/>
      <c r="B592" s="266"/>
      <c r="C592" s="266"/>
      <c r="D592" s="266"/>
      <c r="E592" s="266"/>
      <c r="F592" s="266"/>
      <c r="G592" s="266"/>
      <c r="H592" s="266"/>
      <c r="I592" s="266"/>
      <c r="J592" s="266"/>
      <c r="K592" s="266"/>
      <c r="L592" s="266"/>
      <c r="M592" s="266"/>
      <c r="N592" s="266"/>
      <c r="O592" s="266"/>
      <c r="P592" s="267"/>
      <c r="Q592" s="267"/>
      <c r="R592" s="267"/>
      <c r="S592" s="267"/>
      <c r="T592" s="267"/>
      <c r="U592" s="267"/>
      <c r="V592" s="267"/>
      <c r="W592" s="267"/>
      <c r="X592" s="267"/>
      <c r="Y592" s="267"/>
    </row>
    <row r="593" ht="12.75" customHeight="1" spans="1:25">
      <c r="A593" s="266"/>
      <c r="B593" s="266"/>
      <c r="C593" s="266"/>
      <c r="D593" s="266"/>
      <c r="E593" s="266"/>
      <c r="F593" s="266"/>
      <c r="G593" s="266"/>
      <c r="H593" s="266"/>
      <c r="I593" s="266"/>
      <c r="J593" s="266"/>
      <c r="K593" s="266"/>
      <c r="L593" s="266"/>
      <c r="M593" s="266"/>
      <c r="N593" s="266"/>
      <c r="O593" s="266"/>
      <c r="P593" s="267"/>
      <c r="Q593" s="267"/>
      <c r="R593" s="267"/>
      <c r="S593" s="267"/>
      <c r="T593" s="267"/>
      <c r="U593" s="267"/>
      <c r="V593" s="267"/>
      <c r="W593" s="267"/>
      <c r="X593" s="267"/>
      <c r="Y593" s="267"/>
    </row>
    <row r="594" ht="12.75" customHeight="1" spans="1:25">
      <c r="A594" s="266"/>
      <c r="B594" s="266"/>
      <c r="C594" s="266"/>
      <c r="D594" s="266"/>
      <c r="E594" s="266"/>
      <c r="F594" s="266"/>
      <c r="G594" s="266"/>
      <c r="H594" s="266"/>
      <c r="I594" s="266"/>
      <c r="J594" s="266"/>
      <c r="K594" s="266"/>
      <c r="L594" s="266"/>
      <c r="M594" s="266"/>
      <c r="N594" s="266"/>
      <c r="O594" s="266"/>
      <c r="P594" s="267"/>
      <c r="Q594" s="267"/>
      <c r="R594" s="267"/>
      <c r="S594" s="267"/>
      <c r="T594" s="267"/>
      <c r="U594" s="267"/>
      <c r="V594" s="267"/>
      <c r="W594" s="267"/>
      <c r="X594" s="267"/>
      <c r="Y594" s="267"/>
    </row>
    <row r="595" ht="12.75" customHeight="1" spans="1:25">
      <c r="A595" s="266"/>
      <c r="B595" s="266"/>
      <c r="C595" s="266"/>
      <c r="D595" s="266"/>
      <c r="E595" s="266"/>
      <c r="F595" s="266"/>
      <c r="G595" s="266"/>
      <c r="H595" s="266"/>
      <c r="I595" s="266"/>
      <c r="J595" s="266"/>
      <c r="K595" s="266"/>
      <c r="L595" s="266"/>
      <c r="M595" s="266"/>
      <c r="N595" s="266"/>
      <c r="O595" s="266"/>
      <c r="P595" s="267"/>
      <c r="Q595" s="267"/>
      <c r="R595" s="267"/>
      <c r="S595" s="267"/>
      <c r="T595" s="267"/>
      <c r="U595" s="267"/>
      <c r="V595" s="267"/>
      <c r="W595" s="267"/>
      <c r="X595" s="267"/>
      <c r="Y595" s="267"/>
    </row>
    <row r="596" ht="12.75" customHeight="1" spans="1:25">
      <c r="A596" s="266"/>
      <c r="B596" s="266"/>
      <c r="C596" s="266"/>
      <c r="D596" s="266"/>
      <c r="E596" s="266"/>
      <c r="F596" s="266"/>
      <c r="G596" s="266"/>
      <c r="H596" s="266"/>
      <c r="I596" s="266"/>
      <c r="J596" s="266"/>
      <c r="K596" s="266"/>
      <c r="L596" s="266"/>
      <c r="M596" s="266"/>
      <c r="N596" s="266"/>
      <c r="O596" s="266"/>
      <c r="P596" s="267"/>
      <c r="Q596" s="267"/>
      <c r="R596" s="267"/>
      <c r="S596" s="267"/>
      <c r="T596" s="267"/>
      <c r="U596" s="267"/>
      <c r="V596" s="267"/>
      <c r="W596" s="267"/>
      <c r="X596" s="267"/>
      <c r="Y596" s="267"/>
    </row>
    <row r="597" ht="12.75" customHeight="1" spans="1:25">
      <c r="A597" s="266"/>
      <c r="B597" s="266"/>
      <c r="C597" s="266"/>
      <c r="D597" s="266"/>
      <c r="E597" s="266"/>
      <c r="F597" s="266"/>
      <c r="G597" s="266"/>
      <c r="H597" s="266"/>
      <c r="I597" s="266"/>
      <c r="J597" s="266"/>
      <c r="K597" s="266"/>
      <c r="L597" s="266"/>
      <c r="M597" s="266"/>
      <c r="N597" s="266"/>
      <c r="O597" s="266"/>
      <c r="P597" s="267"/>
      <c r="Q597" s="267"/>
      <c r="R597" s="267"/>
      <c r="S597" s="267"/>
      <c r="T597" s="267"/>
      <c r="U597" s="267"/>
      <c r="V597" s="267"/>
      <c r="W597" s="267"/>
      <c r="X597" s="267"/>
      <c r="Y597" s="267"/>
    </row>
    <row r="598" ht="12.75" customHeight="1" spans="1:25">
      <c r="A598" s="266"/>
      <c r="B598" s="266"/>
      <c r="C598" s="266"/>
      <c r="D598" s="266"/>
      <c r="E598" s="266"/>
      <c r="F598" s="266"/>
      <c r="G598" s="266"/>
      <c r="H598" s="266"/>
      <c r="I598" s="266"/>
      <c r="J598" s="266"/>
      <c r="K598" s="266"/>
      <c r="L598" s="266"/>
      <c r="M598" s="266"/>
      <c r="N598" s="266"/>
      <c r="O598" s="266"/>
      <c r="P598" s="267"/>
      <c r="Q598" s="267"/>
      <c r="R598" s="267"/>
      <c r="S598" s="267"/>
      <c r="T598" s="267"/>
      <c r="U598" s="267"/>
      <c r="V598" s="267"/>
      <c r="W598" s="267"/>
      <c r="X598" s="267"/>
      <c r="Y598" s="267"/>
    </row>
    <row r="599" ht="12.75" customHeight="1" spans="1:25">
      <c r="A599" s="266"/>
      <c r="B599" s="266"/>
      <c r="C599" s="266"/>
      <c r="D599" s="266"/>
      <c r="E599" s="266"/>
      <c r="F599" s="266"/>
      <c r="G599" s="266"/>
      <c r="H599" s="266"/>
      <c r="I599" s="266"/>
      <c r="J599" s="266"/>
      <c r="K599" s="266"/>
      <c r="L599" s="266"/>
      <c r="M599" s="266"/>
      <c r="N599" s="266"/>
      <c r="O599" s="266"/>
      <c r="P599" s="267"/>
      <c r="Q599" s="267"/>
      <c r="R599" s="267"/>
      <c r="S599" s="267"/>
      <c r="T599" s="267"/>
      <c r="U599" s="267"/>
      <c r="V599" s="267"/>
      <c r="W599" s="267"/>
      <c r="X599" s="267"/>
      <c r="Y599" s="267"/>
    </row>
    <row r="600" ht="12.75" customHeight="1" spans="1:25">
      <c r="A600" s="266"/>
      <c r="B600" s="266"/>
      <c r="C600" s="266"/>
      <c r="D600" s="266"/>
      <c r="E600" s="266"/>
      <c r="F600" s="266"/>
      <c r="G600" s="266"/>
      <c r="H600" s="266"/>
      <c r="I600" s="266"/>
      <c r="J600" s="266"/>
      <c r="K600" s="266"/>
      <c r="L600" s="266"/>
      <c r="M600" s="266"/>
      <c r="N600" s="266"/>
      <c r="O600" s="266"/>
      <c r="P600" s="267"/>
      <c r="Q600" s="267"/>
      <c r="R600" s="267"/>
      <c r="S600" s="267"/>
      <c r="T600" s="267"/>
      <c r="U600" s="267"/>
      <c r="V600" s="267"/>
      <c r="W600" s="267"/>
      <c r="X600" s="267"/>
      <c r="Y600" s="267"/>
    </row>
    <row r="601" ht="12.75" customHeight="1" spans="1:25">
      <c r="A601" s="266"/>
      <c r="B601" s="266"/>
      <c r="C601" s="266"/>
      <c r="D601" s="266"/>
      <c r="E601" s="266"/>
      <c r="F601" s="266"/>
      <c r="G601" s="266"/>
      <c r="H601" s="266"/>
      <c r="I601" s="266"/>
      <c r="J601" s="266"/>
      <c r="K601" s="266"/>
      <c r="L601" s="266"/>
      <c r="M601" s="266"/>
      <c r="N601" s="266"/>
      <c r="O601" s="266"/>
      <c r="P601" s="267"/>
      <c r="Q601" s="267"/>
      <c r="R601" s="267"/>
      <c r="S601" s="267"/>
      <c r="T601" s="267"/>
      <c r="U601" s="267"/>
      <c r="V601" s="267"/>
      <c r="W601" s="267"/>
      <c r="X601" s="267"/>
      <c r="Y601" s="267"/>
    </row>
    <row r="602" ht="12.75" customHeight="1" spans="1:25">
      <c r="A602" s="266"/>
      <c r="B602" s="266"/>
      <c r="C602" s="266"/>
      <c r="D602" s="266"/>
      <c r="E602" s="266"/>
      <c r="F602" s="266"/>
      <c r="G602" s="266"/>
      <c r="H602" s="266"/>
      <c r="I602" s="266"/>
      <c r="J602" s="266"/>
      <c r="K602" s="266"/>
      <c r="L602" s="266"/>
      <c r="M602" s="266"/>
      <c r="N602" s="266"/>
      <c r="O602" s="266"/>
      <c r="P602" s="267"/>
      <c r="Q602" s="267"/>
      <c r="R602" s="267"/>
      <c r="S602" s="267"/>
      <c r="T602" s="267"/>
      <c r="U602" s="267"/>
      <c r="V602" s="267"/>
      <c r="W602" s="267"/>
      <c r="X602" s="267"/>
      <c r="Y602" s="267"/>
    </row>
    <row r="603" ht="12.75" customHeight="1" spans="1:25">
      <c r="A603" s="266"/>
      <c r="B603" s="266"/>
      <c r="C603" s="266"/>
      <c r="D603" s="266"/>
      <c r="E603" s="266"/>
      <c r="F603" s="266"/>
      <c r="G603" s="266"/>
      <c r="H603" s="266"/>
      <c r="I603" s="266"/>
      <c r="J603" s="266"/>
      <c r="K603" s="266"/>
      <c r="L603" s="266"/>
      <c r="M603" s="266"/>
      <c r="N603" s="266"/>
      <c r="O603" s="266"/>
      <c r="P603" s="267"/>
      <c r="Q603" s="267"/>
      <c r="R603" s="267"/>
      <c r="S603" s="267"/>
      <c r="T603" s="267"/>
      <c r="U603" s="267"/>
      <c r="V603" s="267"/>
      <c r="W603" s="267"/>
      <c r="X603" s="267"/>
      <c r="Y603" s="267"/>
    </row>
    <row r="604" ht="12.75" customHeight="1" spans="1:25">
      <c r="A604" s="266"/>
      <c r="B604" s="266"/>
      <c r="C604" s="266"/>
      <c r="D604" s="266"/>
      <c r="E604" s="266"/>
      <c r="F604" s="266"/>
      <c r="G604" s="266"/>
      <c r="H604" s="266"/>
      <c r="I604" s="266"/>
      <c r="J604" s="266"/>
      <c r="K604" s="266"/>
      <c r="L604" s="266"/>
      <c r="M604" s="266"/>
      <c r="N604" s="266"/>
      <c r="O604" s="266"/>
      <c r="P604" s="267"/>
      <c r="Q604" s="267"/>
      <c r="R604" s="267"/>
      <c r="S604" s="267"/>
      <c r="T604" s="267"/>
      <c r="U604" s="267"/>
      <c r="V604" s="267"/>
      <c r="W604" s="267"/>
      <c r="X604" s="267"/>
      <c r="Y604" s="267"/>
    </row>
    <row r="605" ht="12.75" customHeight="1" spans="1:25">
      <c r="A605" s="266"/>
      <c r="B605" s="266"/>
      <c r="C605" s="266"/>
      <c r="D605" s="266"/>
      <c r="E605" s="266"/>
      <c r="F605" s="266"/>
      <c r="G605" s="266"/>
      <c r="H605" s="266"/>
      <c r="I605" s="266"/>
      <c r="J605" s="266"/>
      <c r="K605" s="266"/>
      <c r="L605" s="266"/>
      <c r="M605" s="266"/>
      <c r="N605" s="266"/>
      <c r="O605" s="266"/>
      <c r="P605" s="267"/>
      <c r="Q605" s="267"/>
      <c r="R605" s="267"/>
      <c r="S605" s="267"/>
      <c r="T605" s="267"/>
      <c r="U605" s="267"/>
      <c r="V605" s="267"/>
      <c r="W605" s="267"/>
      <c r="X605" s="267"/>
      <c r="Y605" s="267"/>
    </row>
    <row r="606" ht="12.75" customHeight="1" spans="1:25">
      <c r="A606" s="266"/>
      <c r="B606" s="266"/>
      <c r="C606" s="266"/>
      <c r="D606" s="266"/>
      <c r="E606" s="266"/>
      <c r="F606" s="266"/>
      <c r="G606" s="266"/>
      <c r="H606" s="266"/>
      <c r="I606" s="266"/>
      <c r="J606" s="266"/>
      <c r="K606" s="266"/>
      <c r="L606" s="266"/>
      <c r="M606" s="266"/>
      <c r="N606" s="266"/>
      <c r="O606" s="266"/>
      <c r="P606" s="267"/>
      <c r="Q606" s="267"/>
      <c r="R606" s="267"/>
      <c r="S606" s="267"/>
      <c r="T606" s="267"/>
      <c r="U606" s="267"/>
      <c r="V606" s="267"/>
      <c r="W606" s="267"/>
      <c r="X606" s="267"/>
      <c r="Y606" s="267"/>
    </row>
    <row r="607" ht="12.75" customHeight="1" spans="1:25">
      <c r="A607" s="266"/>
      <c r="B607" s="266"/>
      <c r="C607" s="266"/>
      <c r="D607" s="266"/>
      <c r="E607" s="266"/>
      <c r="F607" s="266"/>
      <c r="G607" s="266"/>
      <c r="H607" s="266"/>
      <c r="I607" s="266"/>
      <c r="J607" s="266"/>
      <c r="K607" s="266"/>
      <c r="L607" s="266"/>
      <c r="M607" s="266"/>
      <c r="N607" s="266"/>
      <c r="O607" s="266"/>
      <c r="P607" s="267"/>
      <c r="Q607" s="267"/>
      <c r="R607" s="267"/>
      <c r="S607" s="267"/>
      <c r="T607" s="267"/>
      <c r="U607" s="267"/>
      <c r="V607" s="267"/>
      <c r="W607" s="267"/>
      <c r="X607" s="267"/>
      <c r="Y607" s="267"/>
    </row>
    <row r="608" ht="12.75" customHeight="1" spans="1:25">
      <c r="A608" s="266"/>
      <c r="B608" s="266"/>
      <c r="C608" s="266"/>
      <c r="D608" s="266"/>
      <c r="E608" s="266"/>
      <c r="F608" s="266"/>
      <c r="G608" s="266"/>
      <c r="H608" s="266"/>
      <c r="I608" s="266"/>
      <c r="J608" s="266"/>
      <c r="K608" s="266"/>
      <c r="L608" s="266"/>
      <c r="M608" s="266"/>
      <c r="N608" s="266"/>
      <c r="O608" s="266"/>
      <c r="P608" s="267"/>
      <c r="Q608" s="267"/>
      <c r="R608" s="267"/>
      <c r="S608" s="267"/>
      <c r="T608" s="267"/>
      <c r="U608" s="267"/>
      <c r="V608" s="267"/>
      <c r="W608" s="267"/>
      <c r="X608" s="267"/>
      <c r="Y608" s="267"/>
    </row>
    <row r="609" ht="12.75" customHeight="1" spans="1:25">
      <c r="A609" s="266"/>
      <c r="B609" s="266"/>
      <c r="C609" s="266"/>
      <c r="D609" s="266"/>
      <c r="E609" s="266"/>
      <c r="F609" s="266"/>
      <c r="G609" s="266"/>
      <c r="H609" s="266"/>
      <c r="I609" s="266"/>
      <c r="J609" s="266"/>
      <c r="K609" s="266"/>
      <c r="L609" s="266"/>
      <c r="M609" s="266"/>
      <c r="N609" s="266"/>
      <c r="O609" s="266"/>
      <c r="P609" s="267"/>
      <c r="Q609" s="267"/>
      <c r="R609" s="267"/>
      <c r="S609" s="267"/>
      <c r="T609" s="267"/>
      <c r="U609" s="267"/>
      <c r="V609" s="267"/>
      <c r="W609" s="267"/>
      <c r="X609" s="267"/>
      <c r="Y609" s="267"/>
    </row>
    <row r="610" ht="12.75" customHeight="1" spans="1:25">
      <c r="A610" s="266"/>
      <c r="B610" s="266"/>
      <c r="C610" s="266"/>
      <c r="D610" s="266"/>
      <c r="E610" s="266"/>
      <c r="F610" s="266"/>
      <c r="G610" s="266"/>
      <c r="H610" s="266"/>
      <c r="I610" s="266"/>
      <c r="J610" s="266"/>
      <c r="K610" s="266"/>
      <c r="L610" s="266"/>
      <c r="M610" s="266"/>
      <c r="N610" s="266"/>
      <c r="O610" s="266"/>
      <c r="P610" s="267"/>
      <c r="Q610" s="267"/>
      <c r="R610" s="267"/>
      <c r="S610" s="267"/>
      <c r="T610" s="267"/>
      <c r="U610" s="267"/>
      <c r="V610" s="267"/>
      <c r="W610" s="267"/>
      <c r="X610" s="267"/>
      <c r="Y610" s="267"/>
    </row>
    <row r="611" ht="12.75" customHeight="1" spans="1:25">
      <c r="A611" s="266"/>
      <c r="B611" s="266"/>
      <c r="C611" s="266"/>
      <c r="D611" s="266"/>
      <c r="E611" s="266"/>
      <c r="F611" s="266"/>
      <c r="G611" s="266"/>
      <c r="H611" s="266"/>
      <c r="I611" s="266"/>
      <c r="J611" s="266"/>
      <c r="K611" s="266"/>
      <c r="L611" s="266"/>
      <c r="M611" s="266"/>
      <c r="N611" s="266"/>
      <c r="O611" s="266"/>
      <c r="P611" s="267"/>
      <c r="Q611" s="267"/>
      <c r="R611" s="267"/>
      <c r="S611" s="267"/>
      <c r="T611" s="267"/>
      <c r="U611" s="267"/>
      <c r="V611" s="267"/>
      <c r="W611" s="267"/>
      <c r="X611" s="267"/>
      <c r="Y611" s="267"/>
    </row>
    <row r="612" ht="12.75" customHeight="1" spans="1:25">
      <c r="A612" s="266"/>
      <c r="B612" s="266"/>
      <c r="C612" s="266"/>
      <c r="D612" s="266"/>
      <c r="E612" s="266"/>
      <c r="F612" s="266"/>
      <c r="G612" s="266"/>
      <c r="H612" s="266"/>
      <c r="I612" s="266"/>
      <c r="J612" s="266"/>
      <c r="K612" s="266"/>
      <c r="L612" s="266"/>
      <c r="M612" s="266"/>
      <c r="N612" s="266"/>
      <c r="O612" s="266"/>
      <c r="P612" s="267"/>
      <c r="Q612" s="267"/>
      <c r="R612" s="267"/>
      <c r="S612" s="267"/>
      <c r="T612" s="267"/>
      <c r="U612" s="267"/>
      <c r="V612" s="267"/>
      <c r="W612" s="267"/>
      <c r="X612" s="267"/>
      <c r="Y612" s="267"/>
    </row>
    <row r="613" ht="12.75" customHeight="1" spans="1:25">
      <c r="A613" s="266"/>
      <c r="B613" s="266"/>
      <c r="C613" s="266"/>
      <c r="D613" s="266"/>
      <c r="E613" s="266"/>
      <c r="F613" s="266"/>
      <c r="G613" s="266"/>
      <c r="H613" s="266"/>
      <c r="I613" s="266"/>
      <c r="J613" s="266"/>
      <c r="K613" s="266"/>
      <c r="L613" s="266"/>
      <c r="M613" s="266"/>
      <c r="N613" s="266"/>
      <c r="O613" s="266"/>
      <c r="P613" s="267"/>
      <c r="Q613" s="267"/>
      <c r="R613" s="267"/>
      <c r="S613" s="267"/>
      <c r="T613" s="267"/>
      <c r="U613" s="267"/>
      <c r="V613" s="267"/>
      <c r="W613" s="267"/>
      <c r="X613" s="267"/>
      <c r="Y613" s="267"/>
    </row>
    <row r="614" ht="12.75" customHeight="1" spans="1:25">
      <c r="A614" s="266"/>
      <c r="B614" s="266"/>
      <c r="C614" s="266"/>
      <c r="D614" s="266"/>
      <c r="E614" s="266"/>
      <c r="F614" s="266"/>
      <c r="G614" s="266"/>
      <c r="H614" s="266"/>
      <c r="I614" s="266"/>
      <c r="J614" s="266"/>
      <c r="K614" s="266"/>
      <c r="L614" s="266"/>
      <c r="M614" s="266"/>
      <c r="N614" s="266"/>
      <c r="O614" s="266"/>
      <c r="P614" s="267"/>
      <c r="Q614" s="267"/>
      <c r="R614" s="267"/>
      <c r="S614" s="267"/>
      <c r="T614" s="267"/>
      <c r="U614" s="267"/>
      <c r="V614" s="267"/>
      <c r="W614" s="267"/>
      <c r="X614" s="267"/>
      <c r="Y614" s="267"/>
    </row>
    <row r="615" ht="12.75" customHeight="1" spans="1:25">
      <c r="A615" s="266"/>
      <c r="B615" s="266"/>
      <c r="C615" s="266"/>
      <c r="D615" s="266"/>
      <c r="E615" s="266"/>
      <c r="F615" s="266"/>
      <c r="G615" s="266"/>
      <c r="H615" s="266"/>
      <c r="I615" s="266"/>
      <c r="J615" s="266"/>
      <c r="K615" s="266"/>
      <c r="L615" s="266"/>
      <c r="M615" s="266"/>
      <c r="N615" s="266"/>
      <c r="O615" s="266"/>
      <c r="P615" s="267"/>
      <c r="Q615" s="267"/>
      <c r="R615" s="267"/>
      <c r="S615" s="267"/>
      <c r="T615" s="267"/>
      <c r="U615" s="267"/>
      <c r="V615" s="267"/>
      <c r="W615" s="267"/>
      <c r="X615" s="267"/>
      <c r="Y615" s="267"/>
    </row>
    <row r="616" ht="12.75" customHeight="1" spans="1:25">
      <c r="A616" s="266"/>
      <c r="B616" s="266"/>
      <c r="C616" s="266"/>
      <c r="D616" s="266"/>
      <c r="E616" s="266"/>
      <c r="F616" s="266"/>
      <c r="G616" s="266"/>
      <c r="H616" s="266"/>
      <c r="I616" s="266"/>
      <c r="J616" s="266"/>
      <c r="K616" s="266"/>
      <c r="L616" s="266"/>
      <c r="M616" s="266"/>
      <c r="N616" s="266"/>
      <c r="O616" s="266"/>
      <c r="P616" s="267"/>
      <c r="Q616" s="267"/>
      <c r="R616" s="267"/>
      <c r="S616" s="267"/>
      <c r="T616" s="267"/>
      <c r="U616" s="267"/>
      <c r="V616" s="267"/>
      <c r="W616" s="267"/>
      <c r="X616" s="267"/>
      <c r="Y616" s="267"/>
    </row>
    <row r="617" ht="12.75" customHeight="1" spans="1:25">
      <c r="A617" s="266"/>
      <c r="B617" s="266"/>
      <c r="C617" s="266"/>
      <c r="D617" s="266"/>
      <c r="E617" s="266"/>
      <c r="F617" s="266"/>
      <c r="G617" s="266"/>
      <c r="H617" s="266"/>
      <c r="I617" s="266"/>
      <c r="J617" s="266"/>
      <c r="K617" s="266"/>
      <c r="L617" s="266"/>
      <c r="M617" s="266"/>
      <c r="N617" s="266"/>
      <c r="O617" s="266"/>
      <c r="P617" s="267"/>
      <c r="Q617" s="267"/>
      <c r="R617" s="267"/>
      <c r="S617" s="267"/>
      <c r="T617" s="267"/>
      <c r="U617" s="267"/>
      <c r="V617" s="267"/>
      <c r="W617" s="267"/>
      <c r="X617" s="267"/>
      <c r="Y617" s="267"/>
    </row>
    <row r="618" ht="12.75" customHeight="1" spans="1:25">
      <c r="A618" s="266"/>
      <c r="B618" s="266"/>
      <c r="C618" s="266"/>
      <c r="D618" s="266"/>
      <c r="E618" s="266"/>
      <c r="F618" s="266"/>
      <c r="G618" s="266"/>
      <c r="H618" s="266"/>
      <c r="I618" s="266"/>
      <c r="J618" s="266"/>
      <c r="K618" s="266"/>
      <c r="L618" s="266"/>
      <c r="M618" s="266"/>
      <c r="N618" s="266"/>
      <c r="O618" s="266"/>
      <c r="P618" s="267"/>
      <c r="Q618" s="267"/>
      <c r="R618" s="267"/>
      <c r="S618" s="267"/>
      <c r="T618" s="267"/>
      <c r="U618" s="267"/>
      <c r="V618" s="267"/>
      <c r="W618" s="267"/>
      <c r="X618" s="267"/>
      <c r="Y618" s="267"/>
    </row>
    <row r="619" ht="12.75" customHeight="1" spans="1:25">
      <c r="A619" s="266"/>
      <c r="B619" s="266"/>
      <c r="C619" s="266"/>
      <c r="D619" s="266"/>
      <c r="E619" s="266"/>
      <c r="F619" s="266"/>
      <c r="G619" s="266"/>
      <c r="H619" s="266"/>
      <c r="I619" s="266"/>
      <c r="J619" s="266"/>
      <c r="K619" s="266"/>
      <c r="L619" s="266"/>
      <c r="M619" s="266"/>
      <c r="N619" s="266"/>
      <c r="O619" s="266"/>
      <c r="P619" s="267"/>
      <c r="Q619" s="267"/>
      <c r="R619" s="267"/>
      <c r="S619" s="267"/>
      <c r="T619" s="267"/>
      <c r="U619" s="267"/>
      <c r="V619" s="267"/>
      <c r="W619" s="267"/>
      <c r="X619" s="267"/>
      <c r="Y619" s="267"/>
    </row>
    <row r="620" ht="12.75" customHeight="1" spans="1:25">
      <c r="A620" s="266"/>
      <c r="B620" s="266"/>
      <c r="C620" s="266"/>
      <c r="D620" s="266"/>
      <c r="E620" s="266"/>
      <c r="F620" s="266"/>
      <c r="G620" s="266"/>
      <c r="H620" s="266"/>
      <c r="I620" s="266"/>
      <c r="J620" s="266"/>
      <c r="K620" s="266"/>
      <c r="L620" s="266"/>
      <c r="M620" s="266"/>
      <c r="N620" s="266"/>
      <c r="O620" s="266"/>
      <c r="P620" s="267"/>
      <c r="Q620" s="267"/>
      <c r="R620" s="267"/>
      <c r="S620" s="267"/>
      <c r="T620" s="267"/>
      <c r="U620" s="267"/>
      <c r="V620" s="267"/>
      <c r="W620" s="267"/>
      <c r="X620" s="267"/>
      <c r="Y620" s="267"/>
    </row>
    <row r="621" ht="12.75" customHeight="1" spans="1:25">
      <c r="A621" s="266"/>
      <c r="B621" s="266"/>
      <c r="C621" s="266"/>
      <c r="D621" s="266"/>
      <c r="E621" s="266"/>
      <c r="F621" s="266"/>
      <c r="G621" s="266"/>
      <c r="H621" s="266"/>
      <c r="I621" s="266"/>
      <c r="J621" s="266"/>
      <c r="K621" s="266"/>
      <c r="L621" s="266"/>
      <c r="M621" s="266"/>
      <c r="N621" s="266"/>
      <c r="O621" s="266"/>
      <c r="P621" s="267"/>
      <c r="Q621" s="267"/>
      <c r="R621" s="267"/>
      <c r="S621" s="267"/>
      <c r="T621" s="267"/>
      <c r="U621" s="267"/>
      <c r="V621" s="267"/>
      <c r="W621" s="267"/>
      <c r="X621" s="267"/>
      <c r="Y621" s="267"/>
    </row>
    <row r="622" ht="12.75" customHeight="1" spans="1:25">
      <c r="A622" s="266"/>
      <c r="B622" s="266"/>
      <c r="C622" s="266"/>
      <c r="D622" s="266"/>
      <c r="E622" s="266"/>
      <c r="F622" s="266"/>
      <c r="G622" s="266"/>
      <c r="H622" s="266"/>
      <c r="I622" s="266"/>
      <c r="J622" s="266"/>
      <c r="K622" s="266"/>
      <c r="L622" s="266"/>
      <c r="M622" s="266"/>
      <c r="N622" s="266"/>
      <c r="O622" s="266"/>
      <c r="P622" s="267"/>
      <c r="Q622" s="267"/>
      <c r="R622" s="267"/>
      <c r="S622" s="267"/>
      <c r="T622" s="267"/>
      <c r="U622" s="267"/>
      <c r="V622" s="267"/>
      <c r="W622" s="267"/>
      <c r="X622" s="267"/>
      <c r="Y622" s="267"/>
    </row>
    <row r="623" ht="12.75" customHeight="1" spans="1:25">
      <c r="A623" s="266"/>
      <c r="B623" s="266"/>
      <c r="C623" s="266"/>
      <c r="D623" s="266"/>
      <c r="E623" s="266"/>
      <c r="F623" s="266"/>
      <c r="G623" s="266"/>
      <c r="H623" s="266"/>
      <c r="I623" s="266"/>
      <c r="J623" s="266"/>
      <c r="K623" s="266"/>
      <c r="L623" s="266"/>
      <c r="M623" s="266"/>
      <c r="N623" s="266"/>
      <c r="O623" s="266"/>
      <c r="P623" s="267"/>
      <c r="Q623" s="267"/>
      <c r="R623" s="267"/>
      <c r="S623" s="267"/>
      <c r="T623" s="267"/>
      <c r="U623" s="267"/>
      <c r="V623" s="267"/>
      <c r="W623" s="267"/>
      <c r="X623" s="267"/>
      <c r="Y623" s="267"/>
    </row>
    <row r="624" ht="12.75" customHeight="1" spans="1:25">
      <c r="A624" s="266"/>
      <c r="B624" s="266"/>
      <c r="C624" s="266"/>
      <c r="D624" s="266"/>
      <c r="E624" s="266"/>
      <c r="F624" s="266"/>
      <c r="G624" s="266"/>
      <c r="H624" s="266"/>
      <c r="I624" s="266"/>
      <c r="J624" s="266"/>
      <c r="K624" s="266"/>
      <c r="L624" s="266"/>
      <c r="M624" s="266"/>
      <c r="N624" s="266"/>
      <c r="O624" s="266"/>
      <c r="P624" s="267"/>
      <c r="Q624" s="267"/>
      <c r="R624" s="267"/>
      <c r="S624" s="267"/>
      <c r="T624" s="267"/>
      <c r="U624" s="267"/>
      <c r="V624" s="267"/>
      <c r="W624" s="267"/>
      <c r="X624" s="267"/>
      <c r="Y624" s="267"/>
    </row>
    <row r="625" ht="12.75" customHeight="1" spans="1:25">
      <c r="A625" s="266"/>
      <c r="B625" s="266"/>
      <c r="C625" s="266"/>
      <c r="D625" s="266"/>
      <c r="E625" s="266"/>
      <c r="F625" s="266"/>
      <c r="G625" s="266"/>
      <c r="H625" s="266"/>
      <c r="I625" s="266"/>
      <c r="J625" s="266"/>
      <c r="K625" s="266"/>
      <c r="L625" s="266"/>
      <c r="M625" s="266"/>
      <c r="N625" s="266"/>
      <c r="O625" s="266"/>
      <c r="P625" s="267"/>
      <c r="Q625" s="267"/>
      <c r="R625" s="267"/>
      <c r="S625" s="267"/>
      <c r="T625" s="267"/>
      <c r="U625" s="267"/>
      <c r="V625" s="267"/>
      <c r="W625" s="267"/>
      <c r="X625" s="267"/>
      <c r="Y625" s="267"/>
    </row>
    <row r="626" ht="12.75" customHeight="1" spans="1:25">
      <c r="A626" s="266"/>
      <c r="B626" s="266"/>
      <c r="C626" s="266"/>
      <c r="D626" s="266"/>
      <c r="E626" s="266"/>
      <c r="F626" s="266"/>
      <c r="G626" s="266"/>
      <c r="H626" s="266"/>
      <c r="I626" s="266"/>
      <c r="J626" s="266"/>
      <c r="K626" s="266"/>
      <c r="L626" s="266"/>
      <c r="M626" s="266"/>
      <c r="N626" s="266"/>
      <c r="O626" s="266"/>
      <c r="P626" s="267"/>
      <c r="Q626" s="267"/>
      <c r="R626" s="267"/>
      <c r="S626" s="267"/>
      <c r="T626" s="267"/>
      <c r="U626" s="267"/>
      <c r="V626" s="267"/>
      <c r="W626" s="267"/>
      <c r="X626" s="267"/>
      <c r="Y626" s="267"/>
    </row>
    <row r="627" ht="12.75" customHeight="1" spans="1:25">
      <c r="A627" s="266"/>
      <c r="B627" s="266"/>
      <c r="C627" s="266"/>
      <c r="D627" s="266"/>
      <c r="E627" s="266"/>
      <c r="F627" s="266"/>
      <c r="G627" s="266"/>
      <c r="H627" s="266"/>
      <c r="I627" s="266"/>
      <c r="J627" s="266"/>
      <c r="K627" s="266"/>
      <c r="L627" s="266"/>
      <c r="M627" s="266"/>
      <c r="N627" s="266"/>
      <c r="O627" s="266"/>
      <c r="P627" s="267"/>
      <c r="Q627" s="267"/>
      <c r="R627" s="267"/>
      <c r="S627" s="267"/>
      <c r="T627" s="267"/>
      <c r="U627" s="267"/>
      <c r="V627" s="267"/>
      <c r="W627" s="267"/>
      <c r="X627" s="267"/>
      <c r="Y627" s="267"/>
    </row>
    <row r="628" ht="12.75" customHeight="1" spans="1:25">
      <c r="A628" s="266"/>
      <c r="B628" s="266"/>
      <c r="C628" s="266"/>
      <c r="D628" s="266"/>
      <c r="E628" s="266"/>
      <c r="F628" s="266"/>
      <c r="G628" s="266"/>
      <c r="H628" s="266"/>
      <c r="I628" s="266"/>
      <c r="J628" s="266"/>
      <c r="K628" s="266"/>
      <c r="L628" s="266"/>
      <c r="M628" s="266"/>
      <c r="N628" s="266"/>
      <c r="O628" s="266"/>
      <c r="P628" s="267"/>
      <c r="Q628" s="267"/>
      <c r="R628" s="267"/>
      <c r="S628" s="267"/>
      <c r="T628" s="267"/>
      <c r="U628" s="267"/>
      <c r="V628" s="267"/>
      <c r="W628" s="267"/>
      <c r="X628" s="267"/>
      <c r="Y628" s="267"/>
    </row>
    <row r="629" ht="12.75" customHeight="1" spans="1:25">
      <c r="A629" s="266"/>
      <c r="B629" s="266"/>
      <c r="C629" s="266"/>
      <c r="D629" s="266"/>
      <c r="E629" s="266"/>
      <c r="F629" s="266"/>
      <c r="G629" s="266"/>
      <c r="H629" s="266"/>
      <c r="I629" s="266"/>
      <c r="J629" s="266"/>
      <c r="K629" s="266"/>
      <c r="L629" s="266"/>
      <c r="M629" s="266"/>
      <c r="N629" s="266"/>
      <c r="O629" s="266"/>
      <c r="P629" s="267"/>
      <c r="Q629" s="267"/>
      <c r="R629" s="267"/>
      <c r="S629" s="267"/>
      <c r="T629" s="267"/>
      <c r="U629" s="267"/>
      <c r="V629" s="267"/>
      <c r="W629" s="267"/>
      <c r="X629" s="267"/>
      <c r="Y629" s="267"/>
    </row>
    <row r="630" ht="12.75" customHeight="1" spans="1:25">
      <c r="A630" s="266"/>
      <c r="B630" s="266"/>
      <c r="C630" s="266"/>
      <c r="D630" s="266"/>
      <c r="E630" s="266"/>
      <c r="F630" s="266"/>
      <c r="G630" s="266"/>
      <c r="H630" s="266"/>
      <c r="I630" s="266"/>
      <c r="J630" s="266"/>
      <c r="K630" s="266"/>
      <c r="L630" s="266"/>
      <c r="M630" s="266"/>
      <c r="N630" s="266"/>
      <c r="O630" s="266"/>
      <c r="P630" s="267"/>
      <c r="Q630" s="267"/>
      <c r="R630" s="267"/>
      <c r="S630" s="267"/>
      <c r="T630" s="267"/>
      <c r="U630" s="267"/>
      <c r="V630" s="267"/>
      <c r="W630" s="267"/>
      <c r="X630" s="267"/>
      <c r="Y630" s="267"/>
    </row>
    <row r="631" ht="12.75" customHeight="1" spans="1:25">
      <c r="A631" s="266"/>
      <c r="B631" s="266"/>
      <c r="C631" s="266"/>
      <c r="D631" s="266"/>
      <c r="E631" s="266"/>
      <c r="F631" s="266"/>
      <c r="G631" s="266"/>
      <c r="H631" s="266"/>
      <c r="I631" s="266"/>
      <c r="J631" s="266"/>
      <c r="K631" s="266"/>
      <c r="L631" s="266"/>
      <c r="M631" s="266"/>
      <c r="N631" s="266"/>
      <c r="O631" s="266"/>
      <c r="P631" s="267"/>
      <c r="Q631" s="267"/>
      <c r="R631" s="267"/>
      <c r="S631" s="267"/>
      <c r="T631" s="267"/>
      <c r="U631" s="267"/>
      <c r="V631" s="267"/>
      <c r="W631" s="267"/>
      <c r="X631" s="267"/>
      <c r="Y631" s="267"/>
    </row>
    <row r="632" ht="12.75" customHeight="1" spans="1:25">
      <c r="A632" s="266"/>
      <c r="B632" s="266"/>
      <c r="C632" s="266"/>
      <c r="D632" s="266"/>
      <c r="E632" s="266"/>
      <c r="F632" s="266"/>
      <c r="G632" s="266"/>
      <c r="H632" s="266"/>
      <c r="I632" s="266"/>
      <c r="J632" s="266"/>
      <c r="K632" s="266"/>
      <c r="L632" s="266"/>
      <c r="M632" s="266"/>
      <c r="N632" s="266"/>
      <c r="O632" s="266"/>
      <c r="P632" s="267"/>
      <c r="Q632" s="267"/>
      <c r="R632" s="267"/>
      <c r="S632" s="267"/>
      <c r="T632" s="267"/>
      <c r="U632" s="267"/>
      <c r="V632" s="267"/>
      <c r="W632" s="267"/>
      <c r="X632" s="267"/>
      <c r="Y632" s="267"/>
    </row>
    <row r="633" ht="12.75" customHeight="1" spans="1:25">
      <c r="A633" s="266"/>
      <c r="B633" s="266"/>
      <c r="C633" s="266"/>
      <c r="D633" s="266"/>
      <c r="E633" s="266"/>
      <c r="F633" s="266"/>
      <c r="G633" s="266"/>
      <c r="H633" s="266"/>
      <c r="I633" s="266"/>
      <c r="J633" s="266"/>
      <c r="K633" s="266"/>
      <c r="L633" s="266"/>
      <c r="M633" s="266"/>
      <c r="N633" s="266"/>
      <c r="O633" s="266"/>
      <c r="P633" s="267"/>
      <c r="Q633" s="267"/>
      <c r="R633" s="267"/>
      <c r="S633" s="267"/>
      <c r="T633" s="267"/>
      <c r="U633" s="267"/>
      <c r="V633" s="267"/>
      <c r="W633" s="267"/>
      <c r="X633" s="267"/>
      <c r="Y633" s="267"/>
    </row>
    <row r="634" ht="12.75" customHeight="1" spans="1:25">
      <c r="A634" s="266"/>
      <c r="B634" s="266"/>
      <c r="C634" s="266"/>
      <c r="D634" s="266"/>
      <c r="E634" s="266"/>
      <c r="F634" s="266"/>
      <c r="G634" s="266"/>
      <c r="H634" s="266"/>
      <c r="I634" s="266"/>
      <c r="J634" s="266"/>
      <c r="K634" s="266"/>
      <c r="L634" s="266"/>
      <c r="M634" s="266"/>
      <c r="N634" s="266"/>
      <c r="O634" s="266"/>
      <c r="P634" s="267"/>
      <c r="Q634" s="267"/>
      <c r="R634" s="267"/>
      <c r="S634" s="267"/>
      <c r="T634" s="267"/>
      <c r="U634" s="267"/>
      <c r="V634" s="267"/>
      <c r="W634" s="267"/>
      <c r="X634" s="267"/>
      <c r="Y634" s="267"/>
    </row>
    <row r="635" ht="12.75" customHeight="1" spans="1:25">
      <c r="A635" s="266"/>
      <c r="B635" s="266"/>
      <c r="C635" s="266"/>
      <c r="D635" s="266"/>
      <c r="E635" s="266"/>
      <c r="F635" s="266"/>
      <c r="G635" s="266"/>
      <c r="H635" s="266"/>
      <c r="I635" s="266"/>
      <c r="J635" s="266"/>
      <c r="K635" s="266"/>
      <c r="L635" s="266"/>
      <c r="M635" s="266"/>
      <c r="N635" s="266"/>
      <c r="O635" s="266"/>
      <c r="P635" s="267"/>
      <c r="Q635" s="267"/>
      <c r="R635" s="267"/>
      <c r="S635" s="267"/>
      <c r="T635" s="267"/>
      <c r="U635" s="267"/>
      <c r="V635" s="267"/>
      <c r="W635" s="267"/>
      <c r="X635" s="267"/>
      <c r="Y635" s="267"/>
    </row>
    <row r="636" ht="12.75" customHeight="1" spans="1:25">
      <c r="A636" s="266"/>
      <c r="B636" s="266"/>
      <c r="C636" s="266"/>
      <c r="D636" s="266"/>
      <c r="E636" s="266"/>
      <c r="F636" s="266"/>
      <c r="G636" s="266"/>
      <c r="H636" s="266"/>
      <c r="I636" s="266"/>
      <c r="J636" s="266"/>
      <c r="K636" s="266"/>
      <c r="L636" s="266"/>
      <c r="M636" s="266"/>
      <c r="N636" s="266"/>
      <c r="O636" s="266"/>
      <c r="P636" s="267"/>
      <c r="Q636" s="267"/>
      <c r="R636" s="267"/>
      <c r="S636" s="267"/>
      <c r="T636" s="267"/>
      <c r="U636" s="267"/>
      <c r="V636" s="267"/>
      <c r="W636" s="267"/>
      <c r="X636" s="267"/>
      <c r="Y636" s="267"/>
    </row>
    <row r="637" ht="12.75" customHeight="1" spans="1:25">
      <c r="A637" s="266"/>
      <c r="B637" s="266"/>
      <c r="C637" s="266"/>
      <c r="D637" s="266"/>
      <c r="E637" s="266"/>
      <c r="F637" s="266"/>
      <c r="G637" s="266"/>
      <c r="H637" s="266"/>
      <c r="I637" s="266"/>
      <c r="J637" s="266"/>
      <c r="K637" s="266"/>
      <c r="L637" s="266"/>
      <c r="M637" s="266"/>
      <c r="N637" s="266"/>
      <c r="O637" s="266"/>
      <c r="P637" s="267"/>
      <c r="Q637" s="267"/>
      <c r="R637" s="267"/>
      <c r="S637" s="267"/>
      <c r="T637" s="267"/>
      <c r="U637" s="267"/>
      <c r="V637" s="267"/>
      <c r="W637" s="267"/>
      <c r="X637" s="267"/>
      <c r="Y637" s="267"/>
    </row>
    <row r="638" ht="12.75" customHeight="1" spans="1:25">
      <c r="A638" s="266"/>
      <c r="B638" s="266"/>
      <c r="C638" s="266"/>
      <c r="D638" s="266"/>
      <c r="E638" s="266"/>
      <c r="F638" s="266"/>
      <c r="G638" s="266"/>
      <c r="H638" s="266"/>
      <c r="I638" s="266"/>
      <c r="J638" s="266"/>
      <c r="K638" s="266"/>
      <c r="L638" s="266"/>
      <c r="M638" s="266"/>
      <c r="N638" s="266"/>
      <c r="O638" s="266"/>
      <c r="P638" s="267"/>
      <c r="Q638" s="267"/>
      <c r="R638" s="267"/>
      <c r="S638" s="267"/>
      <c r="T638" s="267"/>
      <c r="U638" s="267"/>
      <c r="V638" s="267"/>
      <c r="W638" s="267"/>
      <c r="X638" s="267"/>
      <c r="Y638" s="267"/>
    </row>
    <row r="639" ht="12.75" customHeight="1" spans="1:25">
      <c r="A639" s="266"/>
      <c r="B639" s="266"/>
      <c r="C639" s="266"/>
      <c r="D639" s="266"/>
      <c r="E639" s="266"/>
      <c r="F639" s="266"/>
      <c r="G639" s="266"/>
      <c r="H639" s="266"/>
      <c r="I639" s="266"/>
      <c r="J639" s="266"/>
      <c r="K639" s="266"/>
      <c r="L639" s="266"/>
      <c r="M639" s="266"/>
      <c r="N639" s="266"/>
      <c r="O639" s="266"/>
      <c r="P639" s="267"/>
      <c r="Q639" s="267"/>
      <c r="R639" s="267"/>
      <c r="S639" s="267"/>
      <c r="T639" s="267"/>
      <c r="U639" s="267"/>
      <c r="V639" s="267"/>
      <c r="W639" s="267"/>
      <c r="X639" s="267"/>
      <c r="Y639" s="267"/>
    </row>
    <row r="640" ht="12.75" customHeight="1" spans="1:25">
      <c r="A640" s="266"/>
      <c r="B640" s="266"/>
      <c r="C640" s="266"/>
      <c r="D640" s="266"/>
      <c r="E640" s="266"/>
      <c r="F640" s="266"/>
      <c r="G640" s="266"/>
      <c r="H640" s="266"/>
      <c r="I640" s="266"/>
      <c r="J640" s="266"/>
      <c r="K640" s="266"/>
      <c r="L640" s="266"/>
      <c r="M640" s="266"/>
      <c r="N640" s="266"/>
      <c r="O640" s="266"/>
      <c r="P640" s="267"/>
      <c r="Q640" s="267"/>
      <c r="R640" s="267"/>
      <c r="S640" s="267"/>
      <c r="T640" s="267"/>
      <c r="U640" s="267"/>
      <c r="V640" s="267"/>
      <c r="W640" s="267"/>
      <c r="X640" s="267"/>
      <c r="Y640" s="267"/>
    </row>
    <row r="641" ht="12.75" customHeight="1" spans="1:25">
      <c r="A641" s="266"/>
      <c r="B641" s="266"/>
      <c r="C641" s="266"/>
      <c r="D641" s="266"/>
      <c r="E641" s="266"/>
      <c r="F641" s="266"/>
      <c r="G641" s="266"/>
      <c r="H641" s="266"/>
      <c r="I641" s="266"/>
      <c r="J641" s="266"/>
      <c r="K641" s="266"/>
      <c r="L641" s="266"/>
      <c r="M641" s="266"/>
      <c r="N641" s="266"/>
      <c r="O641" s="266"/>
      <c r="P641" s="267"/>
      <c r="Q641" s="267"/>
      <c r="R641" s="267"/>
      <c r="S641" s="267"/>
      <c r="T641" s="267"/>
      <c r="U641" s="267"/>
      <c r="V641" s="267"/>
      <c r="W641" s="267"/>
      <c r="X641" s="267"/>
      <c r="Y641" s="267"/>
    </row>
    <row r="642" ht="12.75" customHeight="1" spans="1:25">
      <c r="A642" s="266"/>
      <c r="B642" s="266"/>
      <c r="C642" s="266"/>
      <c r="D642" s="266"/>
      <c r="E642" s="266"/>
      <c r="F642" s="266"/>
      <c r="G642" s="266"/>
      <c r="H642" s="266"/>
      <c r="I642" s="266"/>
      <c r="J642" s="266"/>
      <c r="K642" s="266"/>
      <c r="L642" s="266"/>
      <c r="M642" s="266"/>
      <c r="N642" s="266"/>
      <c r="O642" s="266"/>
      <c r="P642" s="267"/>
      <c r="Q642" s="267"/>
      <c r="R642" s="267"/>
      <c r="S642" s="267"/>
      <c r="T642" s="267"/>
      <c r="U642" s="267"/>
      <c r="V642" s="267"/>
      <c r="W642" s="267"/>
      <c r="X642" s="267"/>
      <c r="Y642" s="267"/>
    </row>
    <row r="643" ht="12.75" customHeight="1" spans="1:25">
      <c r="A643" s="266"/>
      <c r="B643" s="266"/>
      <c r="C643" s="266"/>
      <c r="D643" s="266"/>
      <c r="E643" s="266"/>
      <c r="F643" s="266"/>
      <c r="G643" s="266"/>
      <c r="H643" s="266"/>
      <c r="I643" s="266"/>
      <c r="J643" s="266"/>
      <c r="K643" s="266"/>
      <c r="L643" s="266"/>
      <c r="M643" s="266"/>
      <c r="N643" s="266"/>
      <c r="O643" s="266"/>
      <c r="P643" s="267"/>
      <c r="Q643" s="267"/>
      <c r="R643" s="267"/>
      <c r="S643" s="267"/>
      <c r="T643" s="267"/>
      <c r="U643" s="267"/>
      <c r="V643" s="267"/>
      <c r="W643" s="267"/>
      <c r="X643" s="267"/>
      <c r="Y643" s="267"/>
    </row>
    <row r="644" ht="12.75" customHeight="1" spans="1:25">
      <c r="A644" s="266"/>
      <c r="B644" s="266"/>
      <c r="C644" s="266"/>
      <c r="D644" s="266"/>
      <c r="E644" s="266"/>
      <c r="F644" s="266"/>
      <c r="G644" s="266"/>
      <c r="H644" s="266"/>
      <c r="I644" s="266"/>
      <c r="J644" s="266"/>
      <c r="K644" s="266"/>
      <c r="L644" s="266"/>
      <c r="M644" s="266"/>
      <c r="N644" s="266"/>
      <c r="O644" s="266"/>
      <c r="P644" s="267"/>
      <c r="Q644" s="267"/>
      <c r="R644" s="267"/>
      <c r="S644" s="267"/>
      <c r="T644" s="267"/>
      <c r="U644" s="267"/>
      <c r="V644" s="267"/>
      <c r="W644" s="267"/>
      <c r="X644" s="267"/>
      <c r="Y644" s="267"/>
    </row>
    <row r="645" ht="12.75" customHeight="1" spans="1:25">
      <c r="A645" s="266"/>
      <c r="B645" s="266"/>
      <c r="C645" s="266"/>
      <c r="D645" s="266"/>
      <c r="E645" s="266"/>
      <c r="F645" s="266"/>
      <c r="G645" s="266"/>
      <c r="H645" s="266"/>
      <c r="I645" s="266"/>
      <c r="J645" s="266"/>
      <c r="K645" s="266"/>
      <c r="L645" s="266"/>
      <c r="M645" s="266"/>
      <c r="N645" s="266"/>
      <c r="O645" s="266"/>
      <c r="P645" s="267"/>
      <c r="Q645" s="267"/>
      <c r="R645" s="267"/>
      <c r="S645" s="267"/>
      <c r="T645" s="267"/>
      <c r="U645" s="267"/>
      <c r="V645" s="267"/>
      <c r="W645" s="267"/>
      <c r="X645" s="267"/>
      <c r="Y645" s="267"/>
    </row>
    <row r="646" ht="12.75" customHeight="1" spans="1:25">
      <c r="A646" s="266"/>
      <c r="B646" s="266"/>
      <c r="C646" s="266"/>
      <c r="D646" s="266"/>
      <c r="E646" s="266"/>
      <c r="F646" s="266"/>
      <c r="G646" s="266"/>
      <c r="H646" s="266"/>
      <c r="I646" s="266"/>
      <c r="J646" s="266"/>
      <c r="K646" s="266"/>
      <c r="L646" s="266"/>
      <c r="M646" s="266"/>
      <c r="N646" s="266"/>
      <c r="O646" s="266"/>
      <c r="P646" s="267"/>
      <c r="Q646" s="267"/>
      <c r="R646" s="267"/>
      <c r="S646" s="267"/>
      <c r="T646" s="267"/>
      <c r="U646" s="267"/>
      <c r="V646" s="267"/>
      <c r="W646" s="267"/>
      <c r="X646" s="267"/>
      <c r="Y646" s="267"/>
    </row>
    <row r="647" ht="12.75" customHeight="1" spans="1:25">
      <c r="A647" s="266"/>
      <c r="B647" s="266"/>
      <c r="C647" s="266"/>
      <c r="D647" s="266"/>
      <c r="E647" s="266"/>
      <c r="F647" s="266"/>
      <c r="G647" s="266"/>
      <c r="H647" s="266"/>
      <c r="I647" s="266"/>
      <c r="J647" s="266"/>
      <c r="K647" s="266"/>
      <c r="L647" s="266"/>
      <c r="M647" s="266"/>
      <c r="N647" s="266"/>
      <c r="O647" s="266"/>
      <c r="P647" s="267"/>
      <c r="Q647" s="267"/>
      <c r="R647" s="267"/>
      <c r="S647" s="267"/>
      <c r="T647" s="267"/>
      <c r="U647" s="267"/>
      <c r="V647" s="267"/>
      <c r="W647" s="267"/>
      <c r="X647" s="267"/>
      <c r="Y647" s="267"/>
    </row>
    <row r="648" ht="12.75" customHeight="1" spans="1:25">
      <c r="A648" s="266"/>
      <c r="B648" s="266"/>
      <c r="C648" s="266"/>
      <c r="D648" s="266"/>
      <c r="E648" s="266"/>
      <c r="F648" s="266"/>
      <c r="G648" s="266"/>
      <c r="H648" s="266"/>
      <c r="I648" s="266"/>
      <c r="J648" s="266"/>
      <c r="K648" s="266"/>
      <c r="L648" s="266"/>
      <c r="M648" s="266"/>
      <c r="N648" s="266"/>
      <c r="O648" s="266"/>
      <c r="P648" s="267"/>
      <c r="Q648" s="267"/>
      <c r="R648" s="267"/>
      <c r="S648" s="267"/>
      <c r="T648" s="267"/>
      <c r="U648" s="267"/>
      <c r="V648" s="267"/>
      <c r="W648" s="267"/>
      <c r="X648" s="267"/>
      <c r="Y648" s="267"/>
    </row>
    <row r="649" ht="12.75" customHeight="1" spans="1:25">
      <c r="A649" s="266"/>
      <c r="B649" s="266"/>
      <c r="C649" s="266"/>
      <c r="D649" s="266"/>
      <c r="E649" s="266"/>
      <c r="F649" s="266"/>
      <c r="G649" s="266"/>
      <c r="H649" s="266"/>
      <c r="I649" s="266"/>
      <c r="J649" s="266"/>
      <c r="K649" s="266"/>
      <c r="L649" s="266"/>
      <c r="M649" s="266"/>
      <c r="N649" s="266"/>
      <c r="O649" s="266"/>
      <c r="P649" s="267"/>
      <c r="Q649" s="267"/>
      <c r="R649" s="267"/>
      <c r="S649" s="267"/>
      <c r="T649" s="267"/>
      <c r="U649" s="267"/>
      <c r="V649" s="267"/>
      <c r="W649" s="267"/>
      <c r="X649" s="267"/>
      <c r="Y649" s="267"/>
    </row>
    <row r="650" ht="12.75" customHeight="1" spans="1:25">
      <c r="A650" s="266"/>
      <c r="B650" s="266"/>
      <c r="C650" s="266"/>
      <c r="D650" s="266"/>
      <c r="E650" s="266"/>
      <c r="F650" s="266"/>
      <c r="G650" s="266"/>
      <c r="H650" s="266"/>
      <c r="I650" s="266"/>
      <c r="J650" s="266"/>
      <c r="K650" s="266"/>
      <c r="L650" s="266"/>
      <c r="M650" s="266"/>
      <c r="N650" s="266"/>
      <c r="O650" s="266"/>
      <c r="P650" s="267"/>
      <c r="Q650" s="267"/>
      <c r="R650" s="267"/>
      <c r="S650" s="267"/>
      <c r="T650" s="267"/>
      <c r="U650" s="267"/>
      <c r="V650" s="267"/>
      <c r="W650" s="267"/>
      <c r="X650" s="267"/>
      <c r="Y650" s="267"/>
    </row>
    <row r="651" ht="12.75" customHeight="1" spans="1:25">
      <c r="A651" s="266"/>
      <c r="B651" s="266"/>
      <c r="C651" s="266"/>
      <c r="D651" s="266"/>
      <c r="E651" s="266"/>
      <c r="F651" s="266"/>
      <c r="G651" s="266"/>
      <c r="H651" s="266"/>
      <c r="I651" s="266"/>
      <c r="J651" s="266"/>
      <c r="K651" s="266"/>
      <c r="L651" s="266"/>
      <c r="M651" s="266"/>
      <c r="N651" s="266"/>
      <c r="O651" s="266"/>
      <c r="P651" s="267"/>
      <c r="Q651" s="267"/>
      <c r="R651" s="267"/>
      <c r="S651" s="267"/>
      <c r="T651" s="267"/>
      <c r="U651" s="267"/>
      <c r="V651" s="267"/>
      <c r="W651" s="267"/>
      <c r="X651" s="267"/>
      <c r="Y651" s="267"/>
    </row>
    <row r="652" ht="12.75" customHeight="1" spans="1:25">
      <c r="A652" s="266"/>
      <c r="B652" s="266"/>
      <c r="C652" s="266"/>
      <c r="D652" s="266"/>
      <c r="E652" s="266"/>
      <c r="F652" s="266"/>
      <c r="G652" s="266"/>
      <c r="H652" s="266"/>
      <c r="I652" s="266"/>
      <c r="J652" s="266"/>
      <c r="K652" s="266"/>
      <c r="L652" s="266"/>
      <c r="M652" s="266"/>
      <c r="N652" s="266"/>
      <c r="O652" s="266"/>
      <c r="P652" s="267"/>
      <c r="Q652" s="267"/>
      <c r="R652" s="267"/>
      <c r="S652" s="267"/>
      <c r="T652" s="267"/>
      <c r="U652" s="267"/>
      <c r="V652" s="267"/>
      <c r="W652" s="267"/>
      <c r="X652" s="267"/>
      <c r="Y652" s="267"/>
    </row>
    <row r="653" ht="12.75" customHeight="1" spans="1:25">
      <c r="A653" s="266"/>
      <c r="B653" s="266"/>
      <c r="C653" s="266"/>
      <c r="D653" s="266"/>
      <c r="E653" s="266"/>
      <c r="F653" s="266"/>
      <c r="G653" s="266"/>
      <c r="H653" s="266"/>
      <c r="I653" s="266"/>
      <c r="J653" s="266"/>
      <c r="K653" s="266"/>
      <c r="L653" s="266"/>
      <c r="M653" s="266"/>
      <c r="N653" s="266"/>
      <c r="O653" s="266"/>
      <c r="P653" s="267"/>
      <c r="Q653" s="267"/>
      <c r="R653" s="267"/>
      <c r="S653" s="267"/>
      <c r="T653" s="267"/>
      <c r="U653" s="267"/>
      <c r="V653" s="267"/>
      <c r="W653" s="267"/>
      <c r="X653" s="267"/>
      <c r="Y653" s="267"/>
    </row>
    <row r="654" ht="12.75" customHeight="1" spans="1:25">
      <c r="A654" s="266"/>
      <c r="B654" s="266"/>
      <c r="C654" s="266"/>
      <c r="D654" s="266"/>
      <c r="E654" s="266"/>
      <c r="F654" s="266"/>
      <c r="G654" s="266"/>
      <c r="H654" s="266"/>
      <c r="I654" s="266"/>
      <c r="J654" s="266"/>
      <c r="K654" s="266"/>
      <c r="L654" s="266"/>
      <c r="M654" s="266"/>
      <c r="N654" s="266"/>
      <c r="O654" s="266"/>
      <c r="P654" s="267"/>
      <c r="Q654" s="267"/>
      <c r="R654" s="267"/>
      <c r="S654" s="267"/>
      <c r="T654" s="267"/>
      <c r="U654" s="267"/>
      <c r="V654" s="267"/>
      <c r="W654" s="267"/>
      <c r="X654" s="267"/>
      <c r="Y654" s="267"/>
    </row>
    <row r="655" ht="12.75" customHeight="1" spans="1:25">
      <c r="A655" s="266"/>
      <c r="B655" s="266"/>
      <c r="C655" s="266"/>
      <c r="D655" s="266"/>
      <c r="E655" s="266"/>
      <c r="F655" s="266"/>
      <c r="G655" s="266"/>
      <c r="H655" s="266"/>
      <c r="I655" s="266"/>
      <c r="J655" s="266"/>
      <c r="K655" s="266"/>
      <c r="L655" s="266"/>
      <c r="M655" s="266"/>
      <c r="N655" s="266"/>
      <c r="O655" s="266"/>
      <c r="P655" s="267"/>
      <c r="Q655" s="267"/>
      <c r="R655" s="267"/>
      <c r="S655" s="267"/>
      <c r="T655" s="267"/>
      <c r="U655" s="267"/>
      <c r="V655" s="267"/>
      <c r="W655" s="267"/>
      <c r="X655" s="267"/>
      <c r="Y655" s="267"/>
    </row>
    <row r="656" ht="12.75" customHeight="1" spans="1:25">
      <c r="A656" s="266"/>
      <c r="B656" s="266"/>
      <c r="C656" s="266"/>
      <c r="D656" s="266"/>
      <c r="E656" s="266"/>
      <c r="F656" s="266"/>
      <c r="G656" s="266"/>
      <c r="H656" s="266"/>
      <c r="I656" s="266"/>
      <c r="J656" s="266"/>
      <c r="K656" s="266"/>
      <c r="L656" s="266"/>
      <c r="M656" s="266"/>
      <c r="N656" s="266"/>
      <c r="O656" s="266"/>
      <c r="P656" s="267"/>
      <c r="Q656" s="267"/>
      <c r="R656" s="267"/>
      <c r="S656" s="267"/>
      <c r="T656" s="267"/>
      <c r="U656" s="267"/>
      <c r="V656" s="267"/>
      <c r="W656" s="267"/>
      <c r="X656" s="267"/>
      <c r="Y656" s="267"/>
    </row>
    <row r="657" ht="12.75" customHeight="1" spans="1:25">
      <c r="A657" s="266"/>
      <c r="B657" s="266"/>
      <c r="C657" s="266"/>
      <c r="D657" s="266"/>
      <c r="E657" s="266"/>
      <c r="F657" s="266"/>
      <c r="G657" s="266"/>
      <c r="H657" s="266"/>
      <c r="I657" s="266"/>
      <c r="J657" s="266"/>
      <c r="K657" s="266"/>
      <c r="L657" s="266"/>
      <c r="M657" s="266"/>
      <c r="N657" s="266"/>
      <c r="O657" s="266"/>
      <c r="P657" s="267"/>
      <c r="Q657" s="267"/>
      <c r="R657" s="267"/>
      <c r="S657" s="267"/>
      <c r="T657" s="267"/>
      <c r="U657" s="267"/>
      <c r="V657" s="267"/>
      <c r="W657" s="267"/>
      <c r="X657" s="267"/>
      <c r="Y657" s="267"/>
    </row>
    <row r="658" ht="12.75" customHeight="1" spans="1:25">
      <c r="A658" s="266"/>
      <c r="B658" s="266"/>
      <c r="C658" s="266"/>
      <c r="D658" s="266"/>
      <c r="E658" s="266"/>
      <c r="F658" s="266"/>
      <c r="G658" s="266"/>
      <c r="H658" s="266"/>
      <c r="I658" s="266"/>
      <c r="J658" s="266"/>
      <c r="K658" s="266"/>
      <c r="L658" s="266"/>
      <c r="M658" s="266"/>
      <c r="N658" s="266"/>
      <c r="O658" s="266"/>
      <c r="P658" s="267"/>
      <c r="Q658" s="267"/>
      <c r="R658" s="267"/>
      <c r="S658" s="267"/>
      <c r="T658" s="267"/>
      <c r="U658" s="267"/>
      <c r="V658" s="267"/>
      <c r="W658" s="267"/>
      <c r="X658" s="267"/>
      <c r="Y658" s="267"/>
    </row>
    <row r="659" ht="12.75" customHeight="1" spans="1:25">
      <c r="A659" s="266"/>
      <c r="B659" s="266"/>
      <c r="C659" s="266"/>
      <c r="D659" s="266"/>
      <c r="E659" s="266"/>
      <c r="F659" s="266"/>
      <c r="G659" s="266"/>
      <c r="H659" s="266"/>
      <c r="I659" s="266"/>
      <c r="J659" s="266"/>
      <c r="K659" s="266"/>
      <c r="L659" s="266"/>
      <c r="M659" s="266"/>
      <c r="N659" s="266"/>
      <c r="O659" s="266"/>
      <c r="P659" s="267"/>
      <c r="Q659" s="267"/>
      <c r="R659" s="267"/>
      <c r="S659" s="267"/>
      <c r="T659" s="267"/>
      <c r="U659" s="267"/>
      <c r="V659" s="267"/>
      <c r="W659" s="267"/>
      <c r="X659" s="267"/>
      <c r="Y659" s="267"/>
    </row>
    <row r="660" ht="12.75" customHeight="1" spans="1:25">
      <c r="A660" s="266"/>
      <c r="B660" s="266"/>
      <c r="C660" s="266"/>
      <c r="D660" s="266"/>
      <c r="E660" s="266"/>
      <c r="F660" s="266"/>
      <c r="G660" s="266"/>
      <c r="H660" s="266"/>
      <c r="I660" s="266"/>
      <c r="J660" s="266"/>
      <c r="K660" s="266"/>
      <c r="L660" s="266"/>
      <c r="M660" s="266"/>
      <c r="N660" s="266"/>
      <c r="O660" s="266"/>
      <c r="P660" s="267"/>
      <c r="Q660" s="267"/>
      <c r="R660" s="267"/>
      <c r="S660" s="267"/>
      <c r="T660" s="267"/>
      <c r="U660" s="267"/>
      <c r="V660" s="267"/>
      <c r="W660" s="267"/>
      <c r="X660" s="267"/>
      <c r="Y660" s="267"/>
    </row>
    <row r="661" ht="12.75" customHeight="1" spans="1:25">
      <c r="A661" s="266"/>
      <c r="B661" s="266"/>
      <c r="C661" s="266"/>
      <c r="D661" s="266"/>
      <c r="E661" s="266"/>
      <c r="F661" s="266"/>
      <c r="G661" s="266"/>
      <c r="H661" s="266"/>
      <c r="I661" s="266"/>
      <c r="J661" s="266"/>
      <c r="K661" s="266"/>
      <c r="L661" s="266"/>
      <c r="M661" s="266"/>
      <c r="N661" s="266"/>
      <c r="O661" s="266"/>
      <c r="P661" s="267"/>
      <c r="Q661" s="267"/>
      <c r="R661" s="267"/>
      <c r="S661" s="267"/>
      <c r="T661" s="267"/>
      <c r="U661" s="267"/>
      <c r="V661" s="267"/>
      <c r="W661" s="267"/>
      <c r="X661" s="267"/>
      <c r="Y661" s="267"/>
    </row>
    <row r="662" ht="12.75" customHeight="1" spans="1:25">
      <c r="A662" s="266"/>
      <c r="B662" s="266"/>
      <c r="C662" s="266"/>
      <c r="D662" s="266"/>
      <c r="E662" s="266"/>
      <c r="F662" s="266"/>
      <c r="G662" s="266"/>
      <c r="H662" s="266"/>
      <c r="I662" s="266"/>
      <c r="J662" s="266"/>
      <c r="K662" s="266"/>
      <c r="L662" s="266"/>
      <c r="M662" s="266"/>
      <c r="N662" s="266"/>
      <c r="O662" s="266"/>
      <c r="P662" s="267"/>
      <c r="Q662" s="267"/>
      <c r="R662" s="267"/>
      <c r="S662" s="267"/>
      <c r="T662" s="267"/>
      <c r="U662" s="267"/>
      <c r="V662" s="267"/>
      <c r="W662" s="267"/>
      <c r="X662" s="267"/>
      <c r="Y662" s="267"/>
    </row>
    <row r="663" ht="12.75" customHeight="1" spans="1:25">
      <c r="A663" s="266"/>
      <c r="B663" s="266"/>
      <c r="C663" s="266"/>
      <c r="D663" s="266"/>
      <c r="E663" s="266"/>
      <c r="F663" s="266"/>
      <c r="G663" s="266"/>
      <c r="H663" s="266"/>
      <c r="I663" s="266"/>
      <c r="J663" s="266"/>
      <c r="K663" s="266"/>
      <c r="L663" s="266"/>
      <c r="M663" s="266"/>
      <c r="N663" s="266"/>
      <c r="O663" s="266"/>
      <c r="P663" s="267"/>
      <c r="Q663" s="267"/>
      <c r="R663" s="267"/>
      <c r="S663" s="267"/>
      <c r="T663" s="267"/>
      <c r="U663" s="267"/>
      <c r="V663" s="267"/>
      <c r="W663" s="267"/>
      <c r="X663" s="267"/>
      <c r="Y663" s="267"/>
    </row>
    <row r="664" ht="12.75" customHeight="1" spans="1:25">
      <c r="A664" s="266"/>
      <c r="B664" s="266"/>
      <c r="C664" s="266"/>
      <c r="D664" s="266"/>
      <c r="E664" s="266"/>
      <c r="F664" s="266"/>
      <c r="G664" s="266"/>
      <c r="H664" s="266"/>
      <c r="I664" s="266"/>
      <c r="J664" s="266"/>
      <c r="K664" s="266"/>
      <c r="L664" s="266"/>
      <c r="M664" s="266"/>
      <c r="N664" s="266"/>
      <c r="O664" s="266"/>
      <c r="P664" s="267"/>
      <c r="Q664" s="267"/>
      <c r="R664" s="267"/>
      <c r="S664" s="267"/>
      <c r="T664" s="267"/>
      <c r="U664" s="267"/>
      <c r="V664" s="267"/>
      <c r="W664" s="267"/>
      <c r="X664" s="267"/>
      <c r="Y664" s="267"/>
    </row>
    <row r="665" ht="12.75" customHeight="1" spans="1:25">
      <c r="A665" s="266"/>
      <c r="B665" s="266"/>
      <c r="C665" s="266"/>
      <c r="D665" s="266"/>
      <c r="E665" s="266"/>
      <c r="F665" s="266"/>
      <c r="G665" s="266"/>
      <c r="H665" s="266"/>
      <c r="I665" s="266"/>
      <c r="J665" s="266"/>
      <c r="K665" s="266"/>
      <c r="L665" s="266"/>
      <c r="M665" s="266"/>
      <c r="N665" s="266"/>
      <c r="O665" s="266"/>
      <c r="P665" s="267"/>
      <c r="Q665" s="267"/>
      <c r="R665" s="267"/>
      <c r="S665" s="267"/>
      <c r="T665" s="267"/>
      <c r="U665" s="267"/>
      <c r="V665" s="267"/>
      <c r="W665" s="267"/>
      <c r="X665" s="267"/>
      <c r="Y665" s="267"/>
    </row>
    <row r="666" ht="12.75" customHeight="1" spans="1:25">
      <c r="A666" s="266"/>
      <c r="B666" s="266"/>
      <c r="C666" s="266"/>
      <c r="D666" s="266"/>
      <c r="E666" s="266"/>
      <c r="F666" s="266"/>
      <c r="G666" s="266"/>
      <c r="H666" s="266"/>
      <c r="I666" s="266"/>
      <c r="J666" s="266"/>
      <c r="K666" s="266"/>
      <c r="L666" s="266"/>
      <c r="M666" s="266"/>
      <c r="N666" s="266"/>
      <c r="O666" s="266"/>
      <c r="P666" s="267"/>
      <c r="Q666" s="267"/>
      <c r="R666" s="267"/>
      <c r="S666" s="267"/>
      <c r="T666" s="267"/>
      <c r="U666" s="267"/>
      <c r="V666" s="267"/>
      <c r="W666" s="267"/>
      <c r="X666" s="267"/>
      <c r="Y666" s="267"/>
    </row>
    <row r="667" ht="12.75" customHeight="1" spans="1:25">
      <c r="A667" s="266"/>
      <c r="B667" s="266"/>
      <c r="C667" s="266"/>
      <c r="D667" s="266"/>
      <c r="E667" s="266"/>
      <c r="F667" s="266"/>
      <c r="G667" s="266"/>
      <c r="H667" s="266"/>
      <c r="I667" s="266"/>
      <c r="J667" s="266"/>
      <c r="K667" s="266"/>
      <c r="L667" s="266"/>
      <c r="M667" s="266"/>
      <c r="N667" s="266"/>
      <c r="O667" s="266"/>
      <c r="P667" s="267"/>
      <c r="Q667" s="267"/>
      <c r="R667" s="267"/>
      <c r="S667" s="267"/>
      <c r="T667" s="267"/>
      <c r="U667" s="267"/>
      <c r="V667" s="267"/>
      <c r="W667" s="267"/>
      <c r="X667" s="267"/>
      <c r="Y667" s="267"/>
    </row>
    <row r="668" ht="12.75" customHeight="1" spans="1:25">
      <c r="A668" s="266"/>
      <c r="B668" s="266"/>
      <c r="C668" s="266"/>
      <c r="D668" s="266"/>
      <c r="E668" s="266"/>
      <c r="F668" s="266"/>
      <c r="G668" s="266"/>
      <c r="H668" s="266"/>
      <c r="I668" s="266"/>
      <c r="J668" s="266"/>
      <c r="K668" s="266"/>
      <c r="L668" s="266"/>
      <c r="M668" s="266"/>
      <c r="N668" s="266"/>
      <c r="O668" s="266"/>
      <c r="P668" s="267"/>
      <c r="Q668" s="267"/>
      <c r="R668" s="267"/>
      <c r="S668" s="267"/>
      <c r="T668" s="267"/>
      <c r="U668" s="267"/>
      <c r="V668" s="267"/>
      <c r="W668" s="267"/>
      <c r="X668" s="267"/>
      <c r="Y668" s="267"/>
    </row>
    <row r="669" ht="12.75" customHeight="1" spans="1:25">
      <c r="A669" s="266"/>
      <c r="B669" s="266"/>
      <c r="C669" s="266"/>
      <c r="D669" s="266"/>
      <c r="E669" s="266"/>
      <c r="F669" s="266"/>
      <c r="G669" s="266"/>
      <c r="H669" s="266"/>
      <c r="I669" s="266"/>
      <c r="J669" s="266"/>
      <c r="K669" s="266"/>
      <c r="L669" s="266"/>
      <c r="M669" s="266"/>
      <c r="N669" s="266"/>
      <c r="O669" s="266"/>
      <c r="P669" s="267"/>
      <c r="Q669" s="267"/>
      <c r="R669" s="267"/>
      <c r="S669" s="267"/>
      <c r="T669" s="267"/>
      <c r="U669" s="267"/>
      <c r="V669" s="267"/>
      <c r="W669" s="267"/>
      <c r="X669" s="267"/>
      <c r="Y669" s="267"/>
    </row>
    <row r="670" ht="12.75" customHeight="1" spans="1:25">
      <c r="A670" s="266"/>
      <c r="B670" s="266"/>
      <c r="C670" s="266"/>
      <c r="D670" s="266"/>
      <c r="E670" s="266"/>
      <c r="F670" s="266"/>
      <c r="G670" s="266"/>
      <c r="H670" s="266"/>
      <c r="I670" s="266"/>
      <c r="J670" s="266"/>
      <c r="K670" s="266"/>
      <c r="L670" s="266"/>
      <c r="M670" s="266"/>
      <c r="N670" s="266"/>
      <c r="O670" s="266"/>
      <c r="P670" s="267"/>
      <c r="Q670" s="267"/>
      <c r="R670" s="267"/>
      <c r="S670" s="267"/>
      <c r="T670" s="267"/>
      <c r="U670" s="267"/>
      <c r="V670" s="267"/>
      <c r="W670" s="267"/>
      <c r="X670" s="267"/>
      <c r="Y670" s="267"/>
    </row>
    <row r="671" ht="12.75" customHeight="1" spans="1:25">
      <c r="A671" s="266"/>
      <c r="B671" s="266"/>
      <c r="C671" s="266"/>
      <c r="D671" s="266"/>
      <c r="E671" s="266"/>
      <c r="F671" s="266"/>
      <c r="G671" s="266"/>
      <c r="H671" s="266"/>
      <c r="I671" s="266"/>
      <c r="J671" s="266"/>
      <c r="K671" s="266"/>
      <c r="L671" s="266"/>
      <c r="M671" s="266"/>
      <c r="N671" s="266"/>
      <c r="O671" s="266"/>
      <c r="P671" s="267"/>
      <c r="Q671" s="267"/>
      <c r="R671" s="267"/>
      <c r="S671" s="267"/>
      <c r="T671" s="267"/>
      <c r="U671" s="267"/>
      <c r="V671" s="267"/>
      <c r="W671" s="267"/>
      <c r="X671" s="267"/>
      <c r="Y671" s="267"/>
    </row>
    <row r="672" ht="12.75" customHeight="1" spans="1:25">
      <c r="A672" s="266"/>
      <c r="B672" s="266"/>
      <c r="C672" s="266"/>
      <c r="D672" s="266"/>
      <c r="E672" s="266"/>
      <c r="F672" s="266"/>
      <c r="G672" s="266"/>
      <c r="H672" s="266"/>
      <c r="I672" s="266"/>
      <c r="J672" s="266"/>
      <c r="K672" s="266"/>
      <c r="L672" s="266"/>
      <c r="M672" s="266"/>
      <c r="N672" s="266"/>
      <c r="O672" s="266"/>
      <c r="P672" s="267"/>
      <c r="Q672" s="267"/>
      <c r="R672" s="267"/>
      <c r="S672" s="267"/>
      <c r="T672" s="267"/>
      <c r="U672" s="267"/>
      <c r="V672" s="267"/>
      <c r="W672" s="267"/>
      <c r="X672" s="267"/>
      <c r="Y672" s="267"/>
    </row>
    <row r="673" ht="12.75" customHeight="1" spans="1:25">
      <c r="A673" s="266"/>
      <c r="B673" s="266"/>
      <c r="C673" s="266"/>
      <c r="D673" s="266"/>
      <c r="E673" s="266"/>
      <c r="F673" s="266"/>
      <c r="G673" s="266"/>
      <c r="H673" s="266"/>
      <c r="I673" s="266"/>
      <c r="J673" s="266"/>
      <c r="K673" s="266"/>
      <c r="L673" s="266"/>
      <c r="M673" s="266"/>
      <c r="N673" s="266"/>
      <c r="O673" s="266"/>
      <c r="P673" s="267"/>
      <c r="Q673" s="267"/>
      <c r="R673" s="267"/>
      <c r="S673" s="267"/>
      <c r="T673" s="267"/>
      <c r="U673" s="267"/>
      <c r="V673" s="267"/>
      <c r="W673" s="267"/>
      <c r="X673" s="267"/>
      <c r="Y673" s="267"/>
    </row>
    <row r="674" ht="12.75" customHeight="1" spans="1:25">
      <c r="A674" s="266"/>
      <c r="B674" s="266"/>
      <c r="C674" s="266"/>
      <c r="D674" s="266"/>
      <c r="E674" s="266"/>
      <c r="F674" s="266"/>
      <c r="G674" s="266"/>
      <c r="H674" s="266"/>
      <c r="I674" s="266"/>
      <c r="J674" s="266"/>
      <c r="K674" s="266"/>
      <c r="L674" s="266"/>
      <c r="M674" s="266"/>
      <c r="N674" s="266"/>
      <c r="O674" s="266"/>
      <c r="P674" s="267"/>
      <c r="Q674" s="267"/>
      <c r="R674" s="267"/>
      <c r="S674" s="267"/>
      <c r="T674" s="267"/>
      <c r="U674" s="267"/>
      <c r="V674" s="267"/>
      <c r="W674" s="267"/>
      <c r="X674" s="267"/>
      <c r="Y674" s="267"/>
    </row>
    <row r="675" ht="12.75" customHeight="1" spans="1:25">
      <c r="A675" s="266"/>
      <c r="B675" s="266"/>
      <c r="C675" s="266"/>
      <c r="D675" s="266"/>
      <c r="E675" s="266"/>
      <c r="F675" s="266"/>
      <c r="G675" s="266"/>
      <c r="H675" s="266"/>
      <c r="I675" s="266"/>
      <c r="J675" s="266"/>
      <c r="K675" s="266"/>
      <c r="L675" s="266"/>
      <c r="M675" s="266"/>
      <c r="N675" s="266"/>
      <c r="O675" s="266"/>
      <c r="P675" s="267"/>
      <c r="Q675" s="267"/>
      <c r="R675" s="267"/>
      <c r="S675" s="267"/>
      <c r="T675" s="267"/>
      <c r="U675" s="267"/>
      <c r="V675" s="267"/>
      <c r="W675" s="267"/>
      <c r="X675" s="267"/>
      <c r="Y675" s="267"/>
    </row>
    <row r="676" ht="12.75" customHeight="1" spans="1:25">
      <c r="A676" s="266"/>
      <c r="B676" s="266"/>
      <c r="C676" s="266"/>
      <c r="D676" s="266"/>
      <c r="E676" s="266"/>
      <c r="F676" s="266"/>
      <c r="G676" s="266"/>
      <c r="H676" s="266"/>
      <c r="I676" s="266"/>
      <c r="J676" s="266"/>
      <c r="K676" s="266"/>
      <c r="L676" s="266"/>
      <c r="M676" s="266"/>
      <c r="N676" s="266"/>
      <c r="O676" s="266"/>
      <c r="P676" s="267"/>
      <c r="Q676" s="267"/>
      <c r="R676" s="267"/>
      <c r="S676" s="267"/>
      <c r="T676" s="267"/>
      <c r="U676" s="267"/>
      <c r="V676" s="267"/>
      <c r="W676" s="267"/>
      <c r="X676" s="267"/>
      <c r="Y676" s="267"/>
    </row>
    <row r="677" ht="12.75" customHeight="1" spans="1:25">
      <c r="A677" s="266"/>
      <c r="B677" s="266"/>
      <c r="C677" s="266"/>
      <c r="D677" s="266"/>
      <c r="E677" s="266"/>
      <c r="F677" s="266"/>
      <c r="G677" s="266"/>
      <c r="H677" s="266"/>
      <c r="I677" s="266"/>
      <c r="J677" s="266"/>
      <c r="K677" s="266"/>
      <c r="L677" s="266"/>
      <c r="M677" s="266"/>
      <c r="N677" s="266"/>
      <c r="O677" s="266"/>
      <c r="P677" s="267"/>
      <c r="Q677" s="267"/>
      <c r="R677" s="267"/>
      <c r="S677" s="267"/>
      <c r="T677" s="267"/>
      <c r="U677" s="267"/>
      <c r="V677" s="267"/>
      <c r="W677" s="267"/>
      <c r="X677" s="267"/>
      <c r="Y677" s="267"/>
    </row>
    <row r="678" ht="12.75" customHeight="1" spans="1:25">
      <c r="A678" s="266"/>
      <c r="B678" s="266"/>
      <c r="C678" s="266"/>
      <c r="D678" s="266"/>
      <c r="E678" s="266"/>
      <c r="F678" s="266"/>
      <c r="G678" s="266"/>
      <c r="H678" s="266"/>
      <c r="I678" s="266"/>
      <c r="J678" s="266"/>
      <c r="K678" s="266"/>
      <c r="L678" s="266"/>
      <c r="M678" s="266"/>
      <c r="N678" s="266"/>
      <c r="O678" s="266"/>
      <c r="P678" s="267"/>
      <c r="Q678" s="267"/>
      <c r="R678" s="267"/>
      <c r="S678" s="267"/>
      <c r="T678" s="267"/>
      <c r="U678" s="267"/>
      <c r="V678" s="267"/>
      <c r="W678" s="267"/>
      <c r="X678" s="267"/>
      <c r="Y678" s="267"/>
    </row>
    <row r="679" ht="12.75" customHeight="1" spans="1:25">
      <c r="A679" s="266"/>
      <c r="B679" s="266"/>
      <c r="C679" s="266"/>
      <c r="D679" s="266"/>
      <c r="E679" s="266"/>
      <c r="F679" s="266"/>
      <c r="G679" s="266"/>
      <c r="H679" s="266"/>
      <c r="I679" s="266"/>
      <c r="J679" s="266"/>
      <c r="K679" s="266"/>
      <c r="L679" s="266"/>
      <c r="M679" s="266"/>
      <c r="N679" s="266"/>
      <c r="O679" s="266"/>
      <c r="P679" s="267"/>
      <c r="Q679" s="267"/>
      <c r="R679" s="267"/>
      <c r="S679" s="267"/>
      <c r="T679" s="267"/>
      <c r="U679" s="267"/>
      <c r="V679" s="267"/>
      <c r="W679" s="267"/>
      <c r="X679" s="267"/>
      <c r="Y679" s="267"/>
    </row>
    <row r="680" ht="12.75" customHeight="1" spans="1:25">
      <c r="A680" s="266"/>
      <c r="B680" s="266"/>
      <c r="C680" s="266"/>
      <c r="D680" s="266"/>
      <c r="E680" s="266"/>
      <c r="F680" s="266"/>
      <c r="G680" s="266"/>
      <c r="H680" s="266"/>
      <c r="I680" s="266"/>
      <c r="J680" s="266"/>
      <c r="K680" s="266"/>
      <c r="L680" s="266"/>
      <c r="M680" s="266"/>
      <c r="N680" s="266"/>
      <c r="O680" s="266"/>
      <c r="P680" s="267"/>
      <c r="Q680" s="267"/>
      <c r="R680" s="267"/>
      <c r="S680" s="267"/>
      <c r="T680" s="267"/>
      <c r="U680" s="267"/>
      <c r="V680" s="267"/>
      <c r="W680" s="267"/>
      <c r="X680" s="267"/>
      <c r="Y680" s="267"/>
    </row>
    <row r="681" ht="12.75" customHeight="1" spans="1:25">
      <c r="A681" s="266"/>
      <c r="B681" s="266"/>
      <c r="C681" s="266"/>
      <c r="D681" s="266"/>
      <c r="E681" s="266"/>
      <c r="F681" s="266"/>
      <c r="G681" s="266"/>
      <c r="H681" s="266"/>
      <c r="I681" s="266"/>
      <c r="J681" s="266"/>
      <c r="K681" s="266"/>
      <c r="L681" s="266"/>
      <c r="M681" s="266"/>
      <c r="N681" s="266"/>
      <c r="O681" s="266"/>
      <c r="P681" s="267"/>
      <c r="Q681" s="267"/>
      <c r="R681" s="267"/>
      <c r="S681" s="267"/>
      <c r="T681" s="267"/>
      <c r="U681" s="267"/>
      <c r="V681" s="267"/>
      <c r="W681" s="267"/>
      <c r="X681" s="267"/>
      <c r="Y681" s="267"/>
    </row>
    <row r="682" ht="12.75" customHeight="1" spans="1:25">
      <c r="A682" s="266"/>
      <c r="B682" s="266"/>
      <c r="C682" s="266"/>
      <c r="D682" s="266"/>
      <c r="E682" s="266"/>
      <c r="F682" s="266"/>
      <c r="G682" s="266"/>
      <c r="H682" s="266"/>
      <c r="I682" s="266"/>
      <c r="J682" s="266"/>
      <c r="K682" s="266"/>
      <c r="L682" s="266"/>
      <c r="M682" s="266"/>
      <c r="N682" s="266"/>
      <c r="O682" s="266"/>
      <c r="P682" s="267"/>
      <c r="Q682" s="267"/>
      <c r="R682" s="267"/>
      <c r="S682" s="267"/>
      <c r="T682" s="267"/>
      <c r="U682" s="267"/>
      <c r="V682" s="267"/>
      <c r="W682" s="267"/>
      <c r="X682" s="267"/>
      <c r="Y682" s="267"/>
    </row>
    <row r="683" ht="12.75" customHeight="1" spans="1:25">
      <c r="A683" s="266"/>
      <c r="B683" s="266"/>
      <c r="C683" s="266"/>
      <c r="D683" s="266"/>
      <c r="E683" s="266"/>
      <c r="F683" s="266"/>
      <c r="G683" s="266"/>
      <c r="H683" s="266"/>
      <c r="I683" s="266"/>
      <c r="J683" s="266"/>
      <c r="K683" s="266"/>
      <c r="L683" s="266"/>
      <c r="M683" s="266"/>
      <c r="N683" s="266"/>
      <c r="O683" s="266"/>
      <c r="P683" s="267"/>
      <c r="Q683" s="267"/>
      <c r="R683" s="267"/>
      <c r="S683" s="267"/>
      <c r="T683" s="267"/>
      <c r="U683" s="267"/>
      <c r="V683" s="267"/>
      <c r="W683" s="267"/>
      <c r="X683" s="267"/>
      <c r="Y683" s="267"/>
    </row>
    <row r="684" ht="12.75" customHeight="1" spans="1:25">
      <c r="A684" s="266"/>
      <c r="B684" s="266"/>
      <c r="C684" s="266"/>
      <c r="D684" s="266"/>
      <c r="E684" s="266"/>
      <c r="F684" s="266"/>
      <c r="G684" s="266"/>
      <c r="H684" s="266"/>
      <c r="I684" s="266"/>
      <c r="J684" s="266"/>
      <c r="K684" s="266"/>
      <c r="L684" s="266"/>
      <c r="M684" s="266"/>
      <c r="N684" s="266"/>
      <c r="O684" s="266"/>
      <c r="P684" s="267"/>
      <c r="Q684" s="267"/>
      <c r="R684" s="267"/>
      <c r="S684" s="267"/>
      <c r="T684" s="267"/>
      <c r="U684" s="267"/>
      <c r="V684" s="267"/>
      <c r="W684" s="267"/>
      <c r="X684" s="267"/>
      <c r="Y684" s="267"/>
    </row>
    <row r="685" ht="12.75" customHeight="1" spans="1:25">
      <c r="A685" s="266"/>
      <c r="B685" s="266"/>
      <c r="C685" s="266"/>
      <c r="D685" s="266"/>
      <c r="E685" s="266"/>
      <c r="F685" s="266"/>
      <c r="G685" s="266"/>
      <c r="H685" s="266"/>
      <c r="I685" s="266"/>
      <c r="J685" s="266"/>
      <c r="K685" s="266"/>
      <c r="L685" s="266"/>
      <c r="M685" s="266"/>
      <c r="N685" s="266"/>
      <c r="O685" s="266"/>
      <c r="P685" s="267"/>
      <c r="Q685" s="267"/>
      <c r="R685" s="267"/>
      <c r="S685" s="267"/>
      <c r="T685" s="267"/>
      <c r="U685" s="267"/>
      <c r="V685" s="267"/>
      <c r="W685" s="267"/>
      <c r="X685" s="267"/>
      <c r="Y685" s="267"/>
    </row>
    <row r="686" ht="12.75" customHeight="1" spans="1:25">
      <c r="A686" s="266"/>
      <c r="B686" s="266"/>
      <c r="C686" s="266"/>
      <c r="D686" s="266"/>
      <c r="E686" s="266"/>
      <c r="F686" s="266"/>
      <c r="G686" s="266"/>
      <c r="H686" s="266"/>
      <c r="I686" s="266"/>
      <c r="J686" s="266"/>
      <c r="K686" s="266"/>
      <c r="L686" s="266"/>
      <c r="M686" s="266"/>
      <c r="N686" s="266"/>
      <c r="O686" s="266"/>
      <c r="P686" s="267"/>
      <c r="Q686" s="267"/>
      <c r="R686" s="267"/>
      <c r="S686" s="267"/>
      <c r="T686" s="267"/>
      <c r="U686" s="267"/>
      <c r="V686" s="267"/>
      <c r="W686" s="267"/>
      <c r="X686" s="267"/>
      <c r="Y686" s="267"/>
    </row>
    <row r="687" ht="12.75" customHeight="1" spans="1:25">
      <c r="A687" s="266"/>
      <c r="B687" s="266"/>
      <c r="C687" s="266"/>
      <c r="D687" s="266"/>
      <c r="E687" s="266"/>
      <c r="F687" s="266"/>
      <c r="G687" s="266"/>
      <c r="H687" s="266"/>
      <c r="I687" s="266"/>
      <c r="J687" s="266"/>
      <c r="K687" s="266"/>
      <c r="L687" s="266"/>
      <c r="M687" s="266"/>
      <c r="N687" s="266"/>
      <c r="O687" s="266"/>
      <c r="P687" s="267"/>
      <c r="Q687" s="267"/>
      <c r="R687" s="267"/>
      <c r="S687" s="267"/>
      <c r="T687" s="267"/>
      <c r="U687" s="267"/>
      <c r="V687" s="267"/>
      <c r="W687" s="267"/>
      <c r="X687" s="267"/>
      <c r="Y687" s="267"/>
    </row>
    <row r="688" ht="12.75" customHeight="1" spans="1:25">
      <c r="A688" s="266"/>
      <c r="B688" s="266"/>
      <c r="C688" s="266"/>
      <c r="D688" s="266"/>
      <c r="E688" s="266"/>
      <c r="F688" s="266"/>
      <c r="G688" s="266"/>
      <c r="H688" s="266"/>
      <c r="I688" s="266"/>
      <c r="J688" s="266"/>
      <c r="K688" s="266"/>
      <c r="L688" s="266"/>
      <c r="M688" s="266"/>
      <c r="N688" s="266"/>
      <c r="O688" s="266"/>
      <c r="P688" s="267"/>
      <c r="Q688" s="267"/>
      <c r="R688" s="267"/>
      <c r="S688" s="267"/>
      <c r="T688" s="267"/>
      <c r="U688" s="267"/>
      <c r="V688" s="267"/>
      <c r="W688" s="267"/>
      <c r="X688" s="267"/>
      <c r="Y688" s="267"/>
    </row>
    <row r="689" ht="12.75" customHeight="1" spans="1:25">
      <c r="A689" s="266"/>
      <c r="B689" s="266"/>
      <c r="C689" s="266"/>
      <c r="D689" s="266"/>
      <c r="E689" s="266"/>
      <c r="F689" s="266"/>
      <c r="G689" s="266"/>
      <c r="H689" s="266"/>
      <c r="I689" s="266"/>
      <c r="J689" s="266"/>
      <c r="K689" s="266"/>
      <c r="L689" s="266"/>
      <c r="M689" s="266"/>
      <c r="N689" s="266"/>
      <c r="O689" s="266"/>
      <c r="P689" s="267"/>
      <c r="Q689" s="267"/>
      <c r="R689" s="267"/>
      <c r="S689" s="267"/>
      <c r="T689" s="267"/>
      <c r="U689" s="267"/>
      <c r="V689" s="267"/>
      <c r="W689" s="267"/>
      <c r="X689" s="267"/>
      <c r="Y689" s="267"/>
    </row>
    <row r="690" ht="12.75" customHeight="1" spans="1:25">
      <c r="A690" s="266"/>
      <c r="B690" s="266"/>
      <c r="C690" s="266"/>
      <c r="D690" s="266"/>
      <c r="E690" s="266"/>
      <c r="F690" s="266"/>
      <c r="G690" s="266"/>
      <c r="H690" s="266"/>
      <c r="I690" s="266"/>
      <c r="J690" s="266"/>
      <c r="K690" s="266"/>
      <c r="L690" s="266"/>
      <c r="M690" s="266"/>
      <c r="N690" s="266"/>
      <c r="O690" s="266"/>
      <c r="P690" s="267"/>
      <c r="Q690" s="267"/>
      <c r="R690" s="267"/>
      <c r="S690" s="267"/>
      <c r="T690" s="267"/>
      <c r="U690" s="267"/>
      <c r="V690" s="267"/>
      <c r="W690" s="267"/>
      <c r="X690" s="267"/>
      <c r="Y690" s="267"/>
    </row>
    <row r="691" ht="12.75" customHeight="1" spans="1:25">
      <c r="A691" s="266"/>
      <c r="B691" s="266"/>
      <c r="C691" s="266"/>
      <c r="D691" s="266"/>
      <c r="E691" s="266"/>
      <c r="F691" s="266"/>
      <c r="G691" s="266"/>
      <c r="H691" s="266"/>
      <c r="I691" s="266"/>
      <c r="J691" s="266"/>
      <c r="K691" s="266"/>
      <c r="L691" s="266"/>
      <c r="M691" s="266"/>
      <c r="N691" s="266"/>
      <c r="O691" s="266"/>
      <c r="P691" s="267"/>
      <c r="Q691" s="267"/>
      <c r="R691" s="267"/>
      <c r="S691" s="267"/>
      <c r="T691" s="267"/>
      <c r="U691" s="267"/>
      <c r="V691" s="267"/>
      <c r="W691" s="267"/>
      <c r="X691" s="267"/>
      <c r="Y691" s="267"/>
    </row>
    <row r="692" ht="12.75" customHeight="1" spans="1:25">
      <c r="A692" s="266"/>
      <c r="B692" s="266"/>
      <c r="C692" s="266"/>
      <c r="D692" s="266"/>
      <c r="E692" s="266"/>
      <c r="F692" s="266"/>
      <c r="G692" s="266"/>
      <c r="H692" s="266"/>
      <c r="I692" s="266"/>
      <c r="J692" s="266"/>
      <c r="K692" s="266"/>
      <c r="L692" s="266"/>
      <c r="M692" s="266"/>
      <c r="N692" s="266"/>
      <c r="O692" s="266"/>
      <c r="P692" s="267"/>
      <c r="Q692" s="267"/>
      <c r="R692" s="267"/>
      <c r="S692" s="267"/>
      <c r="T692" s="267"/>
      <c r="U692" s="267"/>
      <c r="V692" s="267"/>
      <c r="W692" s="267"/>
      <c r="X692" s="267"/>
      <c r="Y692" s="267"/>
    </row>
    <row r="693" ht="12.75" customHeight="1" spans="1:25">
      <c r="A693" s="266"/>
      <c r="B693" s="266"/>
      <c r="C693" s="266"/>
      <c r="D693" s="266"/>
      <c r="E693" s="266"/>
      <c r="F693" s="266"/>
      <c r="G693" s="266"/>
      <c r="H693" s="266"/>
      <c r="I693" s="266"/>
      <c r="J693" s="266"/>
      <c r="K693" s="266"/>
      <c r="L693" s="266"/>
      <c r="M693" s="266"/>
      <c r="N693" s="266"/>
      <c r="O693" s="266"/>
      <c r="P693" s="267"/>
      <c r="Q693" s="267"/>
      <c r="R693" s="267"/>
      <c r="S693" s="267"/>
      <c r="T693" s="267"/>
      <c r="U693" s="267"/>
      <c r="V693" s="267"/>
      <c r="W693" s="267"/>
      <c r="X693" s="267"/>
      <c r="Y693" s="267"/>
    </row>
    <row r="694" ht="12.75" customHeight="1" spans="1:25">
      <c r="A694" s="266"/>
      <c r="B694" s="266"/>
      <c r="C694" s="266"/>
      <c r="D694" s="266"/>
      <c r="E694" s="266"/>
      <c r="F694" s="266"/>
      <c r="G694" s="266"/>
      <c r="H694" s="266"/>
      <c r="I694" s="266"/>
      <c r="J694" s="266"/>
      <c r="K694" s="266"/>
      <c r="L694" s="266"/>
      <c r="M694" s="266"/>
      <c r="N694" s="266"/>
      <c r="O694" s="266"/>
      <c r="P694" s="267"/>
      <c r="Q694" s="267"/>
      <c r="R694" s="267"/>
      <c r="S694" s="267"/>
      <c r="T694" s="267"/>
      <c r="U694" s="267"/>
      <c r="V694" s="267"/>
      <c r="W694" s="267"/>
      <c r="X694" s="267"/>
      <c r="Y694" s="267"/>
    </row>
    <row r="695" ht="12.75" customHeight="1" spans="1:25">
      <c r="A695" s="266"/>
      <c r="B695" s="266"/>
      <c r="C695" s="266"/>
      <c r="D695" s="266"/>
      <c r="E695" s="266"/>
      <c r="F695" s="266"/>
      <c r="G695" s="266"/>
      <c r="H695" s="266"/>
      <c r="I695" s="266"/>
      <c r="J695" s="266"/>
      <c r="K695" s="266"/>
      <c r="L695" s="266"/>
      <c r="M695" s="266"/>
      <c r="N695" s="266"/>
      <c r="O695" s="266"/>
      <c r="P695" s="267"/>
      <c r="Q695" s="267"/>
      <c r="R695" s="267"/>
      <c r="S695" s="267"/>
      <c r="T695" s="267"/>
      <c r="U695" s="267"/>
      <c r="V695" s="267"/>
      <c r="W695" s="267"/>
      <c r="X695" s="267"/>
      <c r="Y695" s="267"/>
    </row>
    <row r="696" ht="12.75" customHeight="1" spans="1:25">
      <c r="A696" s="266"/>
      <c r="B696" s="266"/>
      <c r="C696" s="266"/>
      <c r="D696" s="266"/>
      <c r="E696" s="266"/>
      <c r="F696" s="266"/>
      <c r="G696" s="266"/>
      <c r="H696" s="266"/>
      <c r="I696" s="266"/>
      <c r="J696" s="266"/>
      <c r="K696" s="266"/>
      <c r="L696" s="266"/>
      <c r="M696" s="266"/>
      <c r="N696" s="266"/>
      <c r="O696" s="266"/>
      <c r="P696" s="267"/>
      <c r="Q696" s="267"/>
      <c r="R696" s="267"/>
      <c r="S696" s="267"/>
      <c r="T696" s="267"/>
      <c r="U696" s="267"/>
      <c r="V696" s="267"/>
      <c r="W696" s="267"/>
      <c r="X696" s="267"/>
      <c r="Y696" s="267"/>
    </row>
    <row r="697" ht="12.75" customHeight="1" spans="1:25">
      <c r="A697" s="266"/>
      <c r="B697" s="266"/>
      <c r="C697" s="266"/>
      <c r="D697" s="266"/>
      <c r="E697" s="266"/>
      <c r="F697" s="266"/>
      <c r="G697" s="266"/>
      <c r="H697" s="266"/>
      <c r="I697" s="266"/>
      <c r="J697" s="266"/>
      <c r="K697" s="266"/>
      <c r="L697" s="266"/>
      <c r="M697" s="266"/>
      <c r="N697" s="266"/>
      <c r="O697" s="266"/>
      <c r="P697" s="267"/>
      <c r="Q697" s="267"/>
      <c r="R697" s="267"/>
      <c r="S697" s="267"/>
      <c r="T697" s="267"/>
      <c r="U697" s="267"/>
      <c r="V697" s="267"/>
      <c r="W697" s="267"/>
      <c r="X697" s="267"/>
      <c r="Y697" s="267"/>
    </row>
    <row r="698" ht="12.75" customHeight="1" spans="1:25">
      <c r="A698" s="266"/>
      <c r="B698" s="266"/>
      <c r="C698" s="266"/>
      <c r="D698" s="266"/>
      <c r="E698" s="266"/>
      <c r="F698" s="266"/>
      <c r="G698" s="266"/>
      <c r="H698" s="266"/>
      <c r="I698" s="266"/>
      <c r="J698" s="266"/>
      <c r="K698" s="266"/>
      <c r="L698" s="266"/>
      <c r="M698" s="266"/>
      <c r="N698" s="266"/>
      <c r="O698" s="266"/>
      <c r="P698" s="267"/>
      <c r="Q698" s="267"/>
      <c r="R698" s="267"/>
      <c r="S698" s="267"/>
      <c r="T698" s="267"/>
      <c r="U698" s="267"/>
      <c r="V698" s="267"/>
      <c r="W698" s="267"/>
      <c r="X698" s="267"/>
      <c r="Y698" s="267"/>
    </row>
    <row r="699" ht="12.75" customHeight="1" spans="1:25">
      <c r="A699" s="266"/>
      <c r="B699" s="266"/>
      <c r="C699" s="266"/>
      <c r="D699" s="266"/>
      <c r="E699" s="266"/>
      <c r="F699" s="266"/>
      <c r="G699" s="266"/>
      <c r="H699" s="266"/>
      <c r="I699" s="266"/>
      <c r="J699" s="266"/>
      <c r="K699" s="266"/>
      <c r="L699" s="266"/>
      <c r="M699" s="266"/>
      <c r="N699" s="266"/>
      <c r="O699" s="266"/>
      <c r="P699" s="267"/>
      <c r="Q699" s="267"/>
      <c r="R699" s="267"/>
      <c r="S699" s="267"/>
      <c r="T699" s="267"/>
      <c r="U699" s="267"/>
      <c r="V699" s="267"/>
      <c r="W699" s="267"/>
      <c r="X699" s="267"/>
      <c r="Y699" s="267"/>
    </row>
    <row r="700" ht="12.75" customHeight="1" spans="1:25">
      <c r="A700" s="266"/>
      <c r="B700" s="266"/>
      <c r="C700" s="266"/>
      <c r="D700" s="266"/>
      <c r="E700" s="266"/>
      <c r="F700" s="266"/>
      <c r="G700" s="266"/>
      <c r="H700" s="266"/>
      <c r="I700" s="266"/>
      <c r="J700" s="266"/>
      <c r="K700" s="266"/>
      <c r="L700" s="266"/>
      <c r="M700" s="266"/>
      <c r="N700" s="266"/>
      <c r="O700" s="266"/>
      <c r="P700" s="267"/>
      <c r="Q700" s="267"/>
      <c r="R700" s="267"/>
      <c r="S700" s="267"/>
      <c r="T700" s="267"/>
      <c r="U700" s="267"/>
      <c r="V700" s="267"/>
      <c r="W700" s="267"/>
      <c r="X700" s="267"/>
      <c r="Y700" s="267"/>
    </row>
    <row r="701" ht="12.75" customHeight="1" spans="1:25">
      <c r="A701" s="266"/>
      <c r="B701" s="266"/>
      <c r="C701" s="266"/>
      <c r="D701" s="266"/>
      <c r="E701" s="266"/>
      <c r="F701" s="266"/>
      <c r="G701" s="266"/>
      <c r="H701" s="266"/>
      <c r="I701" s="266"/>
      <c r="J701" s="266"/>
      <c r="K701" s="266"/>
      <c r="L701" s="266"/>
      <c r="M701" s="266"/>
      <c r="N701" s="266"/>
      <c r="O701" s="266"/>
      <c r="P701" s="267"/>
      <c r="Q701" s="267"/>
      <c r="R701" s="267"/>
      <c r="S701" s="267"/>
      <c r="T701" s="267"/>
      <c r="U701" s="267"/>
      <c r="V701" s="267"/>
      <c r="W701" s="267"/>
      <c r="X701" s="267"/>
      <c r="Y701" s="267"/>
    </row>
    <row r="702" ht="12.75" customHeight="1" spans="1:25">
      <c r="A702" s="266"/>
      <c r="B702" s="266"/>
      <c r="C702" s="266"/>
      <c r="D702" s="266"/>
      <c r="E702" s="266"/>
      <c r="F702" s="266"/>
      <c r="G702" s="266"/>
      <c r="H702" s="266"/>
      <c r="I702" s="266"/>
      <c r="J702" s="266"/>
      <c r="K702" s="266"/>
      <c r="L702" s="266"/>
      <c r="M702" s="266"/>
      <c r="N702" s="266"/>
      <c r="O702" s="266"/>
      <c r="P702" s="267"/>
      <c r="Q702" s="267"/>
      <c r="R702" s="267"/>
      <c r="S702" s="267"/>
      <c r="T702" s="267"/>
      <c r="U702" s="267"/>
      <c r="V702" s="267"/>
      <c r="W702" s="267"/>
      <c r="X702" s="267"/>
      <c r="Y702" s="267"/>
    </row>
    <row r="703" ht="12.75" customHeight="1" spans="1:25">
      <c r="A703" s="266"/>
      <c r="B703" s="266"/>
      <c r="C703" s="266"/>
      <c r="D703" s="266"/>
      <c r="E703" s="266"/>
      <c r="F703" s="266"/>
      <c r="G703" s="266"/>
      <c r="H703" s="266"/>
      <c r="I703" s="266"/>
      <c r="J703" s="266"/>
      <c r="K703" s="266"/>
      <c r="L703" s="266"/>
      <c r="M703" s="266"/>
      <c r="N703" s="266"/>
      <c r="O703" s="266"/>
      <c r="P703" s="267"/>
      <c r="Q703" s="267"/>
      <c r="R703" s="267"/>
      <c r="S703" s="267"/>
      <c r="T703" s="267"/>
      <c r="U703" s="267"/>
      <c r="V703" s="267"/>
      <c r="W703" s="267"/>
      <c r="X703" s="267"/>
      <c r="Y703" s="267"/>
    </row>
    <row r="704" ht="12.75" customHeight="1" spans="1:25">
      <c r="A704" s="266"/>
      <c r="B704" s="266"/>
      <c r="C704" s="266"/>
      <c r="D704" s="266"/>
      <c r="E704" s="266"/>
      <c r="F704" s="266"/>
      <c r="G704" s="266"/>
      <c r="H704" s="266"/>
      <c r="I704" s="266"/>
      <c r="J704" s="266"/>
      <c r="K704" s="266"/>
      <c r="L704" s="266"/>
      <c r="M704" s="266"/>
      <c r="N704" s="266"/>
      <c r="O704" s="266"/>
      <c r="P704" s="267"/>
      <c r="Q704" s="267"/>
      <c r="R704" s="267"/>
      <c r="S704" s="267"/>
      <c r="T704" s="267"/>
      <c r="U704" s="267"/>
      <c r="V704" s="267"/>
      <c r="W704" s="267"/>
      <c r="X704" s="267"/>
      <c r="Y704" s="267"/>
    </row>
    <row r="705" ht="12.75" customHeight="1" spans="1:25">
      <c r="A705" s="266"/>
      <c r="B705" s="266"/>
      <c r="C705" s="266"/>
      <c r="D705" s="266"/>
      <c r="E705" s="266"/>
      <c r="F705" s="266"/>
      <c r="G705" s="266"/>
      <c r="H705" s="266"/>
      <c r="I705" s="266"/>
      <c r="J705" s="266"/>
      <c r="K705" s="266"/>
      <c r="L705" s="266"/>
      <c r="M705" s="266"/>
      <c r="N705" s="266"/>
      <c r="O705" s="266"/>
      <c r="P705" s="267"/>
      <c r="Q705" s="267"/>
      <c r="R705" s="267"/>
      <c r="S705" s="267"/>
      <c r="T705" s="267"/>
      <c r="U705" s="267"/>
      <c r="V705" s="267"/>
      <c r="W705" s="267"/>
      <c r="X705" s="267"/>
      <c r="Y705" s="267"/>
    </row>
    <row r="706" ht="12.75" customHeight="1" spans="1:25">
      <c r="A706" s="266"/>
      <c r="B706" s="266"/>
      <c r="C706" s="266"/>
      <c r="D706" s="266"/>
      <c r="E706" s="266"/>
      <c r="F706" s="266"/>
      <c r="G706" s="266"/>
      <c r="H706" s="266"/>
      <c r="I706" s="266"/>
      <c r="J706" s="266"/>
      <c r="K706" s="266"/>
      <c r="L706" s="266"/>
      <c r="M706" s="266"/>
      <c r="N706" s="266"/>
      <c r="O706" s="266"/>
      <c r="P706" s="267"/>
      <c r="Q706" s="267"/>
      <c r="R706" s="267"/>
      <c r="S706" s="267"/>
      <c r="T706" s="267"/>
      <c r="U706" s="267"/>
      <c r="V706" s="267"/>
      <c r="W706" s="267"/>
      <c r="X706" s="267"/>
      <c r="Y706" s="267"/>
    </row>
    <row r="707" ht="12.75" customHeight="1" spans="1:25">
      <c r="A707" s="266"/>
      <c r="B707" s="266"/>
      <c r="C707" s="266"/>
      <c r="D707" s="266"/>
      <c r="E707" s="266"/>
      <c r="F707" s="266"/>
      <c r="G707" s="266"/>
      <c r="H707" s="266"/>
      <c r="I707" s="266"/>
      <c r="J707" s="266"/>
      <c r="K707" s="266"/>
      <c r="L707" s="266"/>
      <c r="M707" s="266"/>
      <c r="N707" s="266"/>
      <c r="O707" s="266"/>
      <c r="P707" s="267"/>
      <c r="Q707" s="267"/>
      <c r="R707" s="267"/>
      <c r="S707" s="267"/>
      <c r="T707" s="267"/>
      <c r="U707" s="267"/>
      <c r="V707" s="267"/>
      <c r="W707" s="267"/>
      <c r="X707" s="267"/>
      <c r="Y707" s="267"/>
    </row>
    <row r="708" ht="12.75" customHeight="1" spans="1:25">
      <c r="A708" s="266"/>
      <c r="B708" s="266"/>
      <c r="C708" s="266"/>
      <c r="D708" s="266"/>
      <c r="E708" s="266"/>
      <c r="F708" s="266"/>
      <c r="G708" s="266"/>
      <c r="H708" s="266"/>
      <c r="I708" s="266"/>
      <c r="J708" s="266"/>
      <c r="K708" s="266"/>
      <c r="L708" s="266"/>
      <c r="M708" s="266"/>
      <c r="N708" s="266"/>
      <c r="O708" s="266"/>
      <c r="P708" s="267"/>
      <c r="Q708" s="267"/>
      <c r="R708" s="267"/>
      <c r="S708" s="267"/>
      <c r="T708" s="267"/>
      <c r="U708" s="267"/>
      <c r="V708" s="267"/>
      <c r="W708" s="267"/>
      <c r="X708" s="267"/>
      <c r="Y708" s="267"/>
    </row>
    <row r="709" ht="12.75" customHeight="1" spans="1:25">
      <c r="A709" s="266"/>
      <c r="B709" s="266"/>
      <c r="C709" s="266"/>
      <c r="D709" s="266"/>
      <c r="E709" s="266"/>
      <c r="F709" s="266"/>
      <c r="G709" s="266"/>
      <c r="H709" s="266"/>
      <c r="I709" s="266"/>
      <c r="J709" s="266"/>
      <c r="K709" s="266"/>
      <c r="L709" s="266"/>
      <c r="M709" s="266"/>
      <c r="N709" s="266"/>
      <c r="O709" s="266"/>
      <c r="P709" s="267"/>
      <c r="Q709" s="267"/>
      <c r="R709" s="267"/>
      <c r="S709" s="267"/>
      <c r="T709" s="267"/>
      <c r="U709" s="267"/>
      <c r="V709" s="267"/>
      <c r="W709" s="267"/>
      <c r="X709" s="267"/>
      <c r="Y709" s="267"/>
    </row>
    <row r="710" ht="12.75" customHeight="1" spans="1:25">
      <c r="A710" s="266"/>
      <c r="B710" s="266"/>
      <c r="C710" s="266"/>
      <c r="D710" s="266"/>
      <c r="E710" s="266"/>
      <c r="F710" s="266"/>
      <c r="G710" s="266"/>
      <c r="H710" s="266"/>
      <c r="I710" s="266"/>
      <c r="J710" s="266"/>
      <c r="K710" s="266"/>
      <c r="L710" s="266"/>
      <c r="M710" s="266"/>
      <c r="N710" s="266"/>
      <c r="O710" s="266"/>
      <c r="P710" s="267"/>
      <c r="Q710" s="267"/>
      <c r="R710" s="267"/>
      <c r="S710" s="267"/>
      <c r="T710" s="267"/>
      <c r="U710" s="267"/>
      <c r="V710" s="267"/>
      <c r="W710" s="267"/>
      <c r="X710" s="267"/>
      <c r="Y710" s="267"/>
    </row>
    <row r="711" ht="12.75" customHeight="1" spans="1:25">
      <c r="A711" s="266"/>
      <c r="B711" s="266"/>
      <c r="C711" s="266"/>
      <c r="D711" s="266"/>
      <c r="E711" s="266"/>
      <c r="F711" s="266"/>
      <c r="G711" s="266"/>
      <c r="H711" s="266"/>
      <c r="I711" s="266"/>
      <c r="J711" s="266"/>
      <c r="K711" s="266"/>
      <c r="L711" s="266"/>
      <c r="M711" s="266"/>
      <c r="N711" s="266"/>
      <c r="O711" s="266"/>
      <c r="P711" s="267"/>
      <c r="Q711" s="267"/>
      <c r="R711" s="267"/>
      <c r="S711" s="267"/>
      <c r="T711" s="267"/>
      <c r="U711" s="267"/>
      <c r="V711" s="267"/>
      <c r="W711" s="267"/>
      <c r="X711" s="267"/>
      <c r="Y711" s="267"/>
    </row>
    <row r="712" ht="12.75" customHeight="1" spans="1:25">
      <c r="A712" s="266"/>
      <c r="B712" s="266"/>
      <c r="C712" s="266"/>
      <c r="D712" s="266"/>
      <c r="E712" s="266"/>
      <c r="F712" s="266"/>
      <c r="G712" s="266"/>
      <c r="H712" s="266"/>
      <c r="I712" s="266"/>
      <c r="J712" s="266"/>
      <c r="K712" s="266"/>
      <c r="L712" s="266"/>
      <c r="M712" s="266"/>
      <c r="N712" s="266"/>
      <c r="O712" s="266"/>
      <c r="P712" s="267"/>
      <c r="Q712" s="267"/>
      <c r="R712" s="267"/>
      <c r="S712" s="267"/>
      <c r="T712" s="267"/>
      <c r="U712" s="267"/>
      <c r="V712" s="267"/>
      <c r="W712" s="267"/>
      <c r="X712" s="267"/>
      <c r="Y712" s="267"/>
    </row>
    <row r="713" ht="12.75" customHeight="1" spans="1:25">
      <c r="A713" s="266"/>
      <c r="B713" s="266"/>
      <c r="C713" s="266"/>
      <c r="D713" s="266"/>
      <c r="E713" s="266"/>
      <c r="F713" s="266"/>
      <c r="G713" s="266"/>
      <c r="H713" s="266"/>
      <c r="I713" s="266"/>
      <c r="J713" s="266"/>
      <c r="K713" s="266"/>
      <c r="L713" s="266"/>
      <c r="M713" s="266"/>
      <c r="N713" s="266"/>
      <c r="O713" s="266"/>
      <c r="P713" s="267"/>
      <c r="Q713" s="267"/>
      <c r="R713" s="267"/>
      <c r="S713" s="267"/>
      <c r="T713" s="267"/>
      <c r="U713" s="267"/>
      <c r="V713" s="267"/>
      <c r="W713" s="267"/>
      <c r="X713" s="267"/>
      <c r="Y713" s="267"/>
    </row>
    <row r="714" ht="12.75" customHeight="1" spans="1:25">
      <c r="A714" s="266"/>
      <c r="B714" s="266"/>
      <c r="C714" s="266"/>
      <c r="D714" s="266"/>
      <c r="E714" s="266"/>
      <c r="F714" s="266"/>
      <c r="G714" s="266"/>
      <c r="H714" s="266"/>
      <c r="I714" s="266"/>
      <c r="J714" s="266"/>
      <c r="K714" s="266"/>
      <c r="L714" s="266"/>
      <c r="M714" s="266"/>
      <c r="N714" s="266"/>
      <c r="O714" s="266"/>
      <c r="P714" s="267"/>
      <c r="Q714" s="267"/>
      <c r="R714" s="267"/>
      <c r="S714" s="267"/>
      <c r="T714" s="267"/>
      <c r="U714" s="267"/>
      <c r="V714" s="267"/>
      <c r="W714" s="267"/>
      <c r="X714" s="267"/>
      <c r="Y714" s="267"/>
    </row>
    <row r="715" ht="12.75" customHeight="1" spans="1:25">
      <c r="A715" s="266"/>
      <c r="B715" s="266"/>
      <c r="C715" s="266"/>
      <c r="D715" s="266"/>
      <c r="E715" s="266"/>
      <c r="F715" s="266"/>
      <c r="G715" s="266"/>
      <c r="H715" s="266"/>
      <c r="I715" s="266"/>
      <c r="J715" s="266"/>
      <c r="K715" s="266"/>
      <c r="L715" s="266"/>
      <c r="M715" s="266"/>
      <c r="N715" s="266"/>
      <c r="O715" s="266"/>
      <c r="P715" s="267"/>
      <c r="Q715" s="267"/>
      <c r="R715" s="267"/>
      <c r="S715" s="267"/>
      <c r="T715" s="267"/>
      <c r="U715" s="267"/>
      <c r="V715" s="267"/>
      <c r="W715" s="267"/>
      <c r="X715" s="267"/>
      <c r="Y715" s="267"/>
    </row>
    <row r="716" ht="12.75" customHeight="1" spans="1:25">
      <c r="A716" s="266"/>
      <c r="B716" s="266"/>
      <c r="C716" s="266"/>
      <c r="D716" s="266"/>
      <c r="E716" s="266"/>
      <c r="F716" s="266"/>
      <c r="G716" s="266"/>
      <c r="H716" s="266"/>
      <c r="I716" s="266"/>
      <c r="J716" s="266"/>
      <c r="K716" s="266"/>
      <c r="L716" s="266"/>
      <c r="M716" s="266"/>
      <c r="N716" s="266"/>
      <c r="O716" s="266"/>
      <c r="P716" s="267"/>
      <c r="Q716" s="267"/>
      <c r="R716" s="267"/>
      <c r="S716" s="267"/>
      <c r="T716" s="267"/>
      <c r="U716" s="267"/>
      <c r="V716" s="267"/>
      <c r="W716" s="267"/>
      <c r="X716" s="267"/>
      <c r="Y716" s="267"/>
    </row>
    <row r="717" ht="12.75" customHeight="1" spans="1:25">
      <c r="A717" s="266"/>
      <c r="B717" s="266"/>
      <c r="C717" s="266"/>
      <c r="D717" s="266"/>
      <c r="E717" s="266"/>
      <c r="F717" s="266"/>
      <c r="G717" s="266"/>
      <c r="H717" s="266"/>
      <c r="I717" s="266"/>
      <c r="J717" s="266"/>
      <c r="K717" s="266"/>
      <c r="L717" s="266"/>
      <c r="M717" s="266"/>
      <c r="N717" s="266"/>
      <c r="O717" s="266"/>
      <c r="P717" s="267"/>
      <c r="Q717" s="267"/>
      <c r="R717" s="267"/>
      <c r="S717" s="267"/>
      <c r="T717" s="267"/>
      <c r="U717" s="267"/>
      <c r="V717" s="267"/>
      <c r="W717" s="267"/>
      <c r="X717" s="267"/>
      <c r="Y717" s="267"/>
    </row>
    <row r="718" ht="12.75" customHeight="1" spans="1:25">
      <c r="A718" s="266"/>
      <c r="B718" s="266"/>
      <c r="C718" s="266"/>
      <c r="D718" s="266"/>
      <c r="E718" s="266"/>
      <c r="F718" s="266"/>
      <c r="G718" s="266"/>
      <c r="H718" s="266"/>
      <c r="I718" s="266"/>
      <c r="J718" s="266"/>
      <c r="K718" s="266"/>
      <c r="L718" s="266"/>
      <c r="M718" s="266"/>
      <c r="N718" s="266"/>
      <c r="O718" s="266"/>
      <c r="P718" s="267"/>
      <c r="Q718" s="267"/>
      <c r="R718" s="267"/>
      <c r="S718" s="267"/>
      <c r="T718" s="267"/>
      <c r="U718" s="267"/>
      <c r="V718" s="267"/>
      <c r="W718" s="267"/>
      <c r="X718" s="267"/>
      <c r="Y718" s="267"/>
    </row>
    <row r="719" ht="12.75" customHeight="1" spans="1:25">
      <c r="A719" s="266"/>
      <c r="B719" s="266"/>
      <c r="C719" s="266"/>
      <c r="D719" s="266"/>
      <c r="E719" s="266"/>
      <c r="F719" s="266"/>
      <c r="G719" s="266"/>
      <c r="H719" s="266"/>
      <c r="I719" s="266"/>
      <c r="J719" s="266"/>
      <c r="K719" s="266"/>
      <c r="L719" s="266"/>
      <c r="M719" s="266"/>
      <c r="N719" s="266"/>
      <c r="O719" s="266"/>
      <c r="P719" s="267"/>
      <c r="Q719" s="267"/>
      <c r="R719" s="267"/>
      <c r="S719" s="267"/>
      <c r="T719" s="267"/>
      <c r="U719" s="267"/>
      <c r="V719" s="267"/>
      <c r="W719" s="267"/>
      <c r="X719" s="267"/>
      <c r="Y719" s="267"/>
    </row>
    <row r="720" ht="12.75" customHeight="1" spans="1:25">
      <c r="A720" s="266"/>
      <c r="B720" s="266"/>
      <c r="C720" s="266"/>
      <c r="D720" s="266"/>
      <c r="E720" s="266"/>
      <c r="F720" s="266"/>
      <c r="G720" s="266"/>
      <c r="H720" s="266"/>
      <c r="I720" s="266"/>
      <c r="J720" s="266"/>
      <c r="K720" s="266"/>
      <c r="L720" s="266"/>
      <c r="M720" s="266"/>
      <c r="N720" s="266"/>
      <c r="O720" s="266"/>
      <c r="P720" s="267"/>
      <c r="Q720" s="267"/>
      <c r="R720" s="267"/>
      <c r="S720" s="267"/>
      <c r="T720" s="267"/>
      <c r="U720" s="267"/>
      <c r="V720" s="267"/>
      <c r="W720" s="267"/>
      <c r="X720" s="267"/>
      <c r="Y720" s="267"/>
    </row>
    <row r="721" ht="12.75" customHeight="1" spans="1:25">
      <c r="A721" s="266"/>
      <c r="B721" s="266"/>
      <c r="C721" s="266"/>
      <c r="D721" s="266"/>
      <c r="E721" s="266"/>
      <c r="F721" s="266"/>
      <c r="G721" s="266"/>
      <c r="H721" s="266"/>
      <c r="I721" s="266"/>
      <c r="J721" s="266"/>
      <c r="K721" s="266"/>
      <c r="L721" s="266"/>
      <c r="M721" s="266"/>
      <c r="N721" s="266"/>
      <c r="O721" s="266"/>
      <c r="P721" s="267"/>
      <c r="Q721" s="267"/>
      <c r="R721" s="267"/>
      <c r="S721" s="267"/>
      <c r="T721" s="267"/>
      <c r="U721" s="267"/>
      <c r="V721" s="267"/>
      <c r="W721" s="267"/>
      <c r="X721" s="267"/>
      <c r="Y721" s="267"/>
    </row>
    <row r="722" ht="12.75" customHeight="1" spans="1:25">
      <c r="A722" s="266"/>
      <c r="B722" s="266"/>
      <c r="C722" s="266"/>
      <c r="D722" s="266"/>
      <c r="E722" s="266"/>
      <c r="F722" s="266"/>
      <c r="G722" s="266"/>
      <c r="H722" s="266"/>
      <c r="I722" s="266"/>
      <c r="J722" s="266"/>
      <c r="K722" s="266"/>
      <c r="L722" s="266"/>
      <c r="M722" s="266"/>
      <c r="N722" s="266"/>
      <c r="O722" s="266"/>
      <c r="P722" s="267"/>
      <c r="Q722" s="267"/>
      <c r="R722" s="267"/>
      <c r="S722" s="267"/>
      <c r="T722" s="267"/>
      <c r="U722" s="267"/>
      <c r="V722" s="267"/>
      <c r="W722" s="267"/>
      <c r="X722" s="267"/>
      <c r="Y722" s="267"/>
    </row>
    <row r="723" ht="12.75" customHeight="1" spans="1:25">
      <c r="A723" s="266"/>
      <c r="B723" s="266"/>
      <c r="C723" s="266"/>
      <c r="D723" s="266"/>
      <c r="E723" s="266"/>
      <c r="F723" s="266"/>
      <c r="G723" s="266"/>
      <c r="H723" s="266"/>
      <c r="I723" s="266"/>
      <c r="J723" s="266"/>
      <c r="K723" s="266"/>
      <c r="L723" s="266"/>
      <c r="M723" s="266"/>
      <c r="N723" s="266"/>
      <c r="O723" s="266"/>
      <c r="P723" s="267"/>
      <c r="Q723" s="267"/>
      <c r="R723" s="267"/>
      <c r="S723" s="267"/>
      <c r="T723" s="267"/>
      <c r="U723" s="267"/>
      <c r="V723" s="267"/>
      <c r="W723" s="267"/>
      <c r="X723" s="267"/>
      <c r="Y723" s="267"/>
    </row>
    <row r="724" ht="12.75" customHeight="1" spans="1:25">
      <c r="A724" s="266"/>
      <c r="B724" s="266"/>
      <c r="C724" s="266"/>
      <c r="D724" s="266"/>
      <c r="E724" s="266"/>
      <c r="F724" s="266"/>
      <c r="G724" s="266"/>
      <c r="H724" s="266"/>
      <c r="I724" s="266"/>
      <c r="J724" s="266"/>
      <c r="K724" s="266"/>
      <c r="L724" s="266"/>
      <c r="M724" s="266"/>
      <c r="N724" s="266"/>
      <c r="O724" s="266"/>
      <c r="P724" s="267"/>
      <c r="Q724" s="267"/>
      <c r="R724" s="267"/>
      <c r="S724" s="267"/>
      <c r="T724" s="267"/>
      <c r="U724" s="267"/>
      <c r="V724" s="267"/>
      <c r="W724" s="267"/>
      <c r="X724" s="267"/>
      <c r="Y724" s="267"/>
    </row>
    <row r="725" ht="12.75" customHeight="1" spans="1:25">
      <c r="A725" s="266"/>
      <c r="B725" s="266"/>
      <c r="C725" s="266"/>
      <c r="D725" s="266"/>
      <c r="E725" s="266"/>
      <c r="F725" s="266"/>
      <c r="G725" s="266"/>
      <c r="H725" s="266"/>
      <c r="I725" s="266"/>
      <c r="J725" s="266"/>
      <c r="K725" s="266"/>
      <c r="L725" s="266"/>
      <c r="M725" s="266"/>
      <c r="N725" s="266"/>
      <c r="O725" s="266"/>
      <c r="P725" s="267"/>
      <c r="Q725" s="267"/>
      <c r="R725" s="267"/>
      <c r="S725" s="267"/>
      <c r="T725" s="267"/>
      <c r="U725" s="267"/>
      <c r="V725" s="267"/>
      <c r="W725" s="267"/>
      <c r="X725" s="267"/>
      <c r="Y725" s="267"/>
    </row>
    <row r="726" ht="12.75" customHeight="1" spans="1:25">
      <c r="A726" s="266"/>
      <c r="B726" s="266"/>
      <c r="C726" s="266"/>
      <c r="D726" s="266"/>
      <c r="E726" s="266"/>
      <c r="F726" s="266"/>
      <c r="G726" s="266"/>
      <c r="H726" s="266"/>
      <c r="I726" s="266"/>
      <c r="J726" s="266"/>
      <c r="K726" s="266"/>
      <c r="L726" s="266"/>
      <c r="M726" s="266"/>
      <c r="N726" s="266"/>
      <c r="O726" s="266"/>
      <c r="P726" s="267"/>
      <c r="Q726" s="267"/>
      <c r="R726" s="267"/>
      <c r="S726" s="267"/>
      <c r="T726" s="267"/>
      <c r="U726" s="267"/>
      <c r="V726" s="267"/>
      <c r="W726" s="267"/>
      <c r="X726" s="267"/>
      <c r="Y726" s="267"/>
    </row>
    <row r="727" ht="12.75" customHeight="1" spans="1:25">
      <c r="A727" s="266"/>
      <c r="B727" s="266"/>
      <c r="C727" s="266"/>
      <c r="D727" s="266"/>
      <c r="E727" s="266"/>
      <c r="F727" s="266"/>
      <c r="G727" s="266"/>
      <c r="H727" s="266"/>
      <c r="I727" s="266"/>
      <c r="J727" s="266"/>
      <c r="K727" s="266"/>
      <c r="L727" s="266"/>
      <c r="M727" s="266"/>
      <c r="N727" s="266"/>
      <c r="O727" s="266"/>
      <c r="P727" s="267"/>
      <c r="Q727" s="267"/>
      <c r="R727" s="267"/>
      <c r="S727" s="267"/>
      <c r="T727" s="267"/>
      <c r="U727" s="267"/>
      <c r="V727" s="267"/>
      <c r="W727" s="267"/>
      <c r="X727" s="267"/>
      <c r="Y727" s="267"/>
    </row>
    <row r="728" ht="12.75" customHeight="1" spans="1:25">
      <c r="A728" s="266"/>
      <c r="B728" s="266"/>
      <c r="C728" s="266"/>
      <c r="D728" s="266"/>
      <c r="E728" s="266"/>
      <c r="F728" s="266"/>
      <c r="G728" s="266"/>
      <c r="H728" s="266"/>
      <c r="I728" s="266"/>
      <c r="J728" s="266"/>
      <c r="K728" s="266"/>
      <c r="L728" s="266"/>
      <c r="M728" s="266"/>
      <c r="N728" s="266"/>
      <c r="O728" s="266"/>
      <c r="P728" s="267"/>
      <c r="Q728" s="267"/>
      <c r="R728" s="267"/>
      <c r="S728" s="267"/>
      <c r="T728" s="267"/>
      <c r="U728" s="267"/>
      <c r="V728" s="267"/>
      <c r="W728" s="267"/>
      <c r="X728" s="267"/>
      <c r="Y728" s="267"/>
    </row>
    <row r="729" ht="12.75" customHeight="1" spans="1:25">
      <c r="A729" s="266"/>
      <c r="B729" s="266"/>
      <c r="C729" s="266"/>
      <c r="D729" s="266"/>
      <c r="E729" s="266"/>
      <c r="F729" s="266"/>
      <c r="G729" s="266"/>
      <c r="H729" s="266"/>
      <c r="I729" s="266"/>
      <c r="J729" s="266"/>
      <c r="K729" s="266"/>
      <c r="L729" s="266"/>
      <c r="M729" s="266"/>
      <c r="N729" s="266"/>
      <c r="O729" s="266"/>
      <c r="P729" s="267"/>
      <c r="Q729" s="267"/>
      <c r="R729" s="267"/>
      <c r="S729" s="267"/>
      <c r="T729" s="267"/>
      <c r="U729" s="267"/>
      <c r="V729" s="267"/>
      <c r="W729" s="267"/>
      <c r="X729" s="267"/>
      <c r="Y729" s="267"/>
    </row>
    <row r="730" ht="12.75" customHeight="1" spans="1:25">
      <c r="A730" s="266"/>
      <c r="B730" s="266"/>
      <c r="C730" s="266"/>
      <c r="D730" s="266"/>
      <c r="E730" s="266"/>
      <c r="F730" s="266"/>
      <c r="G730" s="266"/>
      <c r="H730" s="266"/>
      <c r="I730" s="266"/>
      <c r="J730" s="266"/>
      <c r="K730" s="266"/>
      <c r="L730" s="266"/>
      <c r="M730" s="266"/>
      <c r="N730" s="266"/>
      <c r="O730" s="266"/>
      <c r="P730" s="267"/>
      <c r="Q730" s="267"/>
      <c r="R730" s="267"/>
      <c r="S730" s="267"/>
      <c r="T730" s="267"/>
      <c r="U730" s="267"/>
      <c r="V730" s="267"/>
      <c r="W730" s="267"/>
      <c r="X730" s="267"/>
      <c r="Y730" s="267"/>
    </row>
    <row r="731" ht="12.75" customHeight="1" spans="1:25">
      <c r="A731" s="266"/>
      <c r="B731" s="266"/>
      <c r="C731" s="266"/>
      <c r="D731" s="266"/>
      <c r="E731" s="266"/>
      <c r="F731" s="266"/>
      <c r="G731" s="266"/>
      <c r="H731" s="266"/>
      <c r="I731" s="266"/>
      <c r="J731" s="266"/>
      <c r="K731" s="266"/>
      <c r="L731" s="266"/>
      <c r="M731" s="266"/>
      <c r="N731" s="266"/>
      <c r="O731" s="266"/>
      <c r="P731" s="267"/>
      <c r="Q731" s="267"/>
      <c r="R731" s="267"/>
      <c r="S731" s="267"/>
      <c r="T731" s="267"/>
      <c r="U731" s="267"/>
      <c r="V731" s="267"/>
      <c r="W731" s="267"/>
      <c r="X731" s="267"/>
      <c r="Y731" s="267"/>
    </row>
    <row r="732" ht="12.75" customHeight="1" spans="1:25">
      <c r="A732" s="266"/>
      <c r="B732" s="266"/>
      <c r="C732" s="266"/>
      <c r="D732" s="266"/>
      <c r="E732" s="266"/>
      <c r="F732" s="266"/>
      <c r="G732" s="266"/>
      <c r="H732" s="266"/>
      <c r="I732" s="266"/>
      <c r="J732" s="266"/>
      <c r="K732" s="266"/>
      <c r="L732" s="266"/>
      <c r="M732" s="266"/>
      <c r="N732" s="266"/>
      <c r="O732" s="266"/>
      <c r="P732" s="267"/>
      <c r="Q732" s="267"/>
      <c r="R732" s="267"/>
      <c r="S732" s="267"/>
      <c r="T732" s="267"/>
      <c r="U732" s="267"/>
      <c r="V732" s="267"/>
      <c r="W732" s="267"/>
      <c r="X732" s="267"/>
      <c r="Y732" s="267"/>
    </row>
    <row r="733" ht="12.75" customHeight="1" spans="1:25">
      <c r="A733" s="266"/>
      <c r="B733" s="266"/>
      <c r="C733" s="266"/>
      <c r="D733" s="266"/>
      <c r="E733" s="266"/>
      <c r="F733" s="266"/>
      <c r="G733" s="266"/>
      <c r="H733" s="266"/>
      <c r="I733" s="266"/>
      <c r="J733" s="266"/>
      <c r="K733" s="266"/>
      <c r="L733" s="266"/>
      <c r="M733" s="266"/>
      <c r="N733" s="266"/>
      <c r="O733" s="266"/>
      <c r="P733" s="267"/>
      <c r="Q733" s="267"/>
      <c r="R733" s="267"/>
      <c r="S733" s="267"/>
      <c r="T733" s="267"/>
      <c r="U733" s="267"/>
      <c r="V733" s="267"/>
      <c r="W733" s="267"/>
      <c r="X733" s="267"/>
      <c r="Y733" s="267"/>
    </row>
    <row r="734" ht="12.75" customHeight="1" spans="1:25">
      <c r="A734" s="266"/>
      <c r="B734" s="266"/>
      <c r="C734" s="266"/>
      <c r="D734" s="266"/>
      <c r="E734" s="266"/>
      <c r="F734" s="266"/>
      <c r="G734" s="266"/>
      <c r="H734" s="266"/>
      <c r="I734" s="266"/>
      <c r="J734" s="266"/>
      <c r="K734" s="266"/>
      <c r="L734" s="266"/>
      <c r="M734" s="266"/>
      <c r="N734" s="266"/>
      <c r="O734" s="266"/>
      <c r="P734" s="267"/>
      <c r="Q734" s="267"/>
      <c r="R734" s="267"/>
      <c r="S734" s="267"/>
      <c r="T734" s="267"/>
      <c r="U734" s="267"/>
      <c r="V734" s="267"/>
      <c r="W734" s="267"/>
      <c r="X734" s="267"/>
      <c r="Y734" s="267"/>
    </row>
    <row r="735" ht="12.75" customHeight="1" spans="1:25">
      <c r="A735" s="266"/>
      <c r="B735" s="266"/>
      <c r="C735" s="266"/>
      <c r="D735" s="266"/>
      <c r="E735" s="266"/>
      <c r="F735" s="266"/>
      <c r="G735" s="266"/>
      <c r="H735" s="266"/>
      <c r="I735" s="266"/>
      <c r="J735" s="266"/>
      <c r="K735" s="266"/>
      <c r="L735" s="266"/>
      <c r="M735" s="266"/>
      <c r="N735" s="266"/>
      <c r="O735" s="266"/>
      <c r="P735" s="267"/>
      <c r="Q735" s="267"/>
      <c r="R735" s="267"/>
      <c r="S735" s="267"/>
      <c r="T735" s="267"/>
      <c r="U735" s="267"/>
      <c r="V735" s="267"/>
      <c r="W735" s="267"/>
      <c r="X735" s="267"/>
      <c r="Y735" s="267"/>
    </row>
    <row r="736" ht="12.75" customHeight="1" spans="1:25">
      <c r="A736" s="266"/>
      <c r="B736" s="266"/>
      <c r="C736" s="266"/>
      <c r="D736" s="266"/>
      <c r="E736" s="266"/>
      <c r="F736" s="266"/>
      <c r="G736" s="266"/>
      <c r="H736" s="266"/>
      <c r="I736" s="266"/>
      <c r="J736" s="266"/>
      <c r="K736" s="266"/>
      <c r="L736" s="266"/>
      <c r="M736" s="266"/>
      <c r="N736" s="266"/>
      <c r="O736" s="266"/>
      <c r="P736" s="267"/>
      <c r="Q736" s="267"/>
      <c r="R736" s="267"/>
      <c r="S736" s="267"/>
      <c r="T736" s="267"/>
      <c r="U736" s="267"/>
      <c r="V736" s="267"/>
      <c r="W736" s="267"/>
      <c r="X736" s="267"/>
      <c r="Y736" s="267"/>
    </row>
    <row r="737" ht="12.75" customHeight="1" spans="1:25">
      <c r="A737" s="266"/>
      <c r="B737" s="266"/>
      <c r="C737" s="266"/>
      <c r="D737" s="266"/>
      <c r="E737" s="266"/>
      <c r="F737" s="266"/>
      <c r="G737" s="266"/>
      <c r="H737" s="266"/>
      <c r="I737" s="266"/>
      <c r="J737" s="266"/>
      <c r="K737" s="266"/>
      <c r="L737" s="266"/>
      <c r="M737" s="266"/>
      <c r="N737" s="266"/>
      <c r="O737" s="266"/>
      <c r="P737" s="267"/>
      <c r="Q737" s="267"/>
      <c r="R737" s="267"/>
      <c r="S737" s="267"/>
      <c r="T737" s="267"/>
      <c r="U737" s="267"/>
      <c r="V737" s="267"/>
      <c r="W737" s="267"/>
      <c r="X737" s="267"/>
      <c r="Y737" s="267"/>
    </row>
    <row r="738" ht="12.75" customHeight="1" spans="1:25">
      <c r="A738" s="266"/>
      <c r="B738" s="266"/>
      <c r="C738" s="266"/>
      <c r="D738" s="266"/>
      <c r="E738" s="266"/>
      <c r="F738" s="266"/>
      <c r="G738" s="266"/>
      <c r="H738" s="266"/>
      <c r="I738" s="266"/>
      <c r="J738" s="266"/>
      <c r="K738" s="266"/>
      <c r="L738" s="266"/>
      <c r="M738" s="266"/>
      <c r="N738" s="266"/>
      <c r="O738" s="266"/>
      <c r="P738" s="267"/>
      <c r="Q738" s="267"/>
      <c r="R738" s="267"/>
      <c r="S738" s="267"/>
      <c r="T738" s="267"/>
      <c r="U738" s="267"/>
      <c r="V738" s="267"/>
      <c r="W738" s="267"/>
      <c r="X738" s="267"/>
      <c r="Y738" s="267"/>
    </row>
    <row r="739" ht="12.75" customHeight="1" spans="1:25">
      <c r="A739" s="266"/>
      <c r="B739" s="266"/>
      <c r="C739" s="266"/>
      <c r="D739" s="266"/>
      <c r="E739" s="266"/>
      <c r="F739" s="266"/>
      <c r="G739" s="266"/>
      <c r="H739" s="266"/>
      <c r="I739" s="266"/>
      <c r="J739" s="266"/>
      <c r="K739" s="266"/>
      <c r="L739" s="266"/>
      <c r="M739" s="266"/>
      <c r="N739" s="266"/>
      <c r="O739" s="266"/>
      <c r="P739" s="267"/>
      <c r="Q739" s="267"/>
      <c r="R739" s="267"/>
      <c r="S739" s="267"/>
      <c r="T739" s="267"/>
      <c r="U739" s="267"/>
      <c r="V739" s="267"/>
      <c r="W739" s="267"/>
      <c r="X739" s="267"/>
      <c r="Y739" s="267"/>
    </row>
    <row r="740" ht="12.75" customHeight="1" spans="1:25">
      <c r="A740" s="266"/>
      <c r="B740" s="266"/>
      <c r="C740" s="266"/>
      <c r="D740" s="266"/>
      <c r="E740" s="266"/>
      <c r="F740" s="266"/>
      <c r="G740" s="266"/>
      <c r="H740" s="266"/>
      <c r="I740" s="266"/>
      <c r="J740" s="266"/>
      <c r="K740" s="266"/>
      <c r="L740" s="266"/>
      <c r="M740" s="266"/>
      <c r="N740" s="266"/>
      <c r="O740" s="266"/>
      <c r="P740" s="267"/>
      <c r="Q740" s="267"/>
      <c r="R740" s="267"/>
      <c r="S740" s="267"/>
      <c r="T740" s="267"/>
      <c r="U740" s="267"/>
      <c r="V740" s="267"/>
      <c r="W740" s="267"/>
      <c r="X740" s="267"/>
      <c r="Y740" s="267"/>
    </row>
    <row r="741" ht="12.75" customHeight="1" spans="1:25">
      <c r="A741" s="266"/>
      <c r="B741" s="266"/>
      <c r="C741" s="266"/>
      <c r="D741" s="266"/>
      <c r="E741" s="266"/>
      <c r="F741" s="266"/>
      <c r="G741" s="266"/>
      <c r="H741" s="266"/>
      <c r="I741" s="266"/>
      <c r="J741" s="266"/>
      <c r="K741" s="266"/>
      <c r="L741" s="266"/>
      <c r="M741" s="266"/>
      <c r="N741" s="266"/>
      <c r="O741" s="266"/>
      <c r="P741" s="267"/>
      <c r="Q741" s="267"/>
      <c r="R741" s="267"/>
      <c r="S741" s="267"/>
      <c r="T741" s="267"/>
      <c r="U741" s="267"/>
      <c r="V741" s="267"/>
      <c r="W741" s="267"/>
      <c r="X741" s="267"/>
      <c r="Y741" s="267"/>
    </row>
    <row r="742" ht="12.75" customHeight="1" spans="1:25">
      <c r="A742" s="266"/>
      <c r="B742" s="266"/>
      <c r="C742" s="266"/>
      <c r="D742" s="266"/>
      <c r="E742" s="266"/>
      <c r="F742" s="266"/>
      <c r="G742" s="266"/>
      <c r="H742" s="266"/>
      <c r="I742" s="266"/>
      <c r="J742" s="266"/>
      <c r="K742" s="266"/>
      <c r="L742" s="266"/>
      <c r="M742" s="266"/>
      <c r="N742" s="266"/>
      <c r="O742" s="266"/>
      <c r="P742" s="267"/>
      <c r="Q742" s="267"/>
      <c r="R742" s="267"/>
      <c r="S742" s="267"/>
      <c r="T742" s="267"/>
      <c r="U742" s="267"/>
      <c r="V742" s="267"/>
      <c r="W742" s="267"/>
      <c r="X742" s="267"/>
      <c r="Y742" s="267"/>
    </row>
    <row r="743" ht="12.75" customHeight="1" spans="1:25">
      <c r="A743" s="266"/>
      <c r="B743" s="266"/>
      <c r="C743" s="266"/>
      <c r="D743" s="266"/>
      <c r="E743" s="266"/>
      <c r="F743" s="266"/>
      <c r="G743" s="266"/>
      <c r="H743" s="266"/>
      <c r="I743" s="266"/>
      <c r="J743" s="266"/>
      <c r="K743" s="266"/>
      <c r="L743" s="266"/>
      <c r="M743" s="266"/>
      <c r="N743" s="266"/>
      <c r="O743" s="266"/>
      <c r="P743" s="267"/>
      <c r="Q743" s="267"/>
      <c r="R743" s="267"/>
      <c r="S743" s="267"/>
      <c r="T743" s="267"/>
      <c r="U743" s="267"/>
      <c r="V743" s="267"/>
      <c r="W743" s="267"/>
      <c r="X743" s="267"/>
      <c r="Y743" s="267"/>
    </row>
    <row r="744" ht="12.75" customHeight="1" spans="1:25">
      <c r="A744" s="266"/>
      <c r="B744" s="266"/>
      <c r="C744" s="266"/>
      <c r="D744" s="266"/>
      <c r="E744" s="266"/>
      <c r="F744" s="266"/>
      <c r="G744" s="266"/>
      <c r="H744" s="266"/>
      <c r="I744" s="266"/>
      <c r="J744" s="266"/>
      <c r="K744" s="266"/>
      <c r="L744" s="266"/>
      <c r="M744" s="266"/>
      <c r="N744" s="266"/>
      <c r="O744" s="266"/>
      <c r="P744" s="267"/>
      <c r="Q744" s="267"/>
      <c r="R744" s="267"/>
      <c r="S744" s="267"/>
      <c r="T744" s="267"/>
      <c r="U744" s="267"/>
      <c r="V744" s="267"/>
      <c r="W744" s="267"/>
      <c r="X744" s="267"/>
      <c r="Y744" s="267"/>
    </row>
    <row r="745" ht="12.75" customHeight="1" spans="1:25">
      <c r="A745" s="266"/>
      <c r="B745" s="266"/>
      <c r="C745" s="266"/>
      <c r="D745" s="266"/>
      <c r="E745" s="266"/>
      <c r="F745" s="266"/>
      <c r="G745" s="266"/>
      <c r="H745" s="266"/>
      <c r="I745" s="266"/>
      <c r="J745" s="266"/>
      <c r="K745" s="266"/>
      <c r="L745" s="266"/>
      <c r="M745" s="266"/>
      <c r="N745" s="266"/>
      <c r="O745" s="266"/>
      <c r="P745" s="267"/>
      <c r="Q745" s="267"/>
      <c r="R745" s="267"/>
      <c r="S745" s="267"/>
      <c r="T745" s="267"/>
      <c r="U745" s="267"/>
      <c r="V745" s="267"/>
      <c r="W745" s="267"/>
      <c r="X745" s="267"/>
      <c r="Y745" s="267"/>
    </row>
    <row r="746" ht="12.75" customHeight="1" spans="1:25">
      <c r="A746" s="266"/>
      <c r="B746" s="266"/>
      <c r="C746" s="266"/>
      <c r="D746" s="266"/>
      <c r="E746" s="266"/>
      <c r="F746" s="266"/>
      <c r="G746" s="266"/>
      <c r="H746" s="266"/>
      <c r="I746" s="266"/>
      <c r="J746" s="266"/>
      <c r="K746" s="266"/>
      <c r="L746" s="266"/>
      <c r="M746" s="266"/>
      <c r="N746" s="266"/>
      <c r="O746" s="266"/>
      <c r="P746" s="267"/>
      <c r="Q746" s="267"/>
      <c r="R746" s="267"/>
      <c r="S746" s="267"/>
      <c r="T746" s="267"/>
      <c r="U746" s="267"/>
      <c r="V746" s="267"/>
      <c r="W746" s="267"/>
      <c r="X746" s="267"/>
      <c r="Y746" s="267"/>
    </row>
    <row r="747" ht="12.75" customHeight="1" spans="1:25">
      <c r="A747" s="266"/>
      <c r="B747" s="266"/>
      <c r="C747" s="266"/>
      <c r="D747" s="266"/>
      <c r="E747" s="266"/>
      <c r="F747" s="266"/>
      <c r="G747" s="266"/>
      <c r="H747" s="266"/>
      <c r="I747" s="266"/>
      <c r="J747" s="266"/>
      <c r="K747" s="266"/>
      <c r="L747" s="266"/>
      <c r="M747" s="266"/>
      <c r="N747" s="266"/>
      <c r="O747" s="266"/>
      <c r="P747" s="267"/>
      <c r="Q747" s="267"/>
      <c r="R747" s="267"/>
      <c r="S747" s="267"/>
      <c r="T747" s="267"/>
      <c r="U747" s="267"/>
      <c r="V747" s="267"/>
      <c r="W747" s="267"/>
      <c r="X747" s="267"/>
      <c r="Y747" s="267"/>
    </row>
    <row r="748" ht="12.75" customHeight="1" spans="1:25">
      <c r="A748" s="266"/>
      <c r="B748" s="266"/>
      <c r="C748" s="266"/>
      <c r="D748" s="266"/>
      <c r="E748" s="266"/>
      <c r="F748" s="266"/>
      <c r="G748" s="266"/>
      <c r="H748" s="266"/>
      <c r="I748" s="266"/>
      <c r="J748" s="266"/>
      <c r="K748" s="266"/>
      <c r="L748" s="266"/>
      <c r="M748" s="266"/>
      <c r="N748" s="266"/>
      <c r="O748" s="266"/>
      <c r="P748" s="267"/>
      <c r="Q748" s="267"/>
      <c r="R748" s="267"/>
      <c r="S748" s="267"/>
      <c r="T748" s="267"/>
      <c r="U748" s="267"/>
      <c r="V748" s="267"/>
      <c r="W748" s="267"/>
      <c r="X748" s="267"/>
      <c r="Y748" s="267"/>
    </row>
    <row r="749" ht="12.75" customHeight="1" spans="1:25">
      <c r="A749" s="266"/>
      <c r="B749" s="266"/>
      <c r="C749" s="266"/>
      <c r="D749" s="266"/>
      <c r="E749" s="266"/>
      <c r="F749" s="266"/>
      <c r="G749" s="266"/>
      <c r="H749" s="266"/>
      <c r="I749" s="266"/>
      <c r="J749" s="266"/>
      <c r="K749" s="266"/>
      <c r="L749" s="266"/>
      <c r="M749" s="266"/>
      <c r="N749" s="266"/>
      <c r="O749" s="266"/>
      <c r="P749" s="267"/>
      <c r="Q749" s="267"/>
      <c r="R749" s="267"/>
      <c r="S749" s="267"/>
      <c r="T749" s="267"/>
      <c r="U749" s="267"/>
      <c r="V749" s="267"/>
      <c r="W749" s="267"/>
      <c r="X749" s="267"/>
      <c r="Y749" s="267"/>
    </row>
    <row r="750" ht="12.75" customHeight="1" spans="1:25">
      <c r="A750" s="266"/>
      <c r="B750" s="266"/>
      <c r="C750" s="266"/>
      <c r="D750" s="266"/>
      <c r="E750" s="266"/>
      <c r="F750" s="266"/>
      <c r="G750" s="266"/>
      <c r="H750" s="266"/>
      <c r="I750" s="266"/>
      <c r="J750" s="266"/>
      <c r="K750" s="266"/>
      <c r="L750" s="266"/>
      <c r="M750" s="266"/>
      <c r="N750" s="266"/>
      <c r="O750" s="266"/>
      <c r="P750" s="267"/>
      <c r="Q750" s="267"/>
      <c r="R750" s="267"/>
      <c r="S750" s="267"/>
      <c r="T750" s="267"/>
      <c r="U750" s="267"/>
      <c r="V750" s="267"/>
      <c r="W750" s="267"/>
      <c r="X750" s="267"/>
      <c r="Y750" s="267"/>
    </row>
    <row r="751" ht="12.75" customHeight="1" spans="1:25">
      <c r="A751" s="266"/>
      <c r="B751" s="266"/>
      <c r="C751" s="266"/>
      <c r="D751" s="266"/>
      <c r="E751" s="266"/>
      <c r="F751" s="266"/>
      <c r="G751" s="266"/>
      <c r="H751" s="266"/>
      <c r="I751" s="266"/>
      <c r="J751" s="266"/>
      <c r="K751" s="266"/>
      <c r="L751" s="266"/>
      <c r="M751" s="266"/>
      <c r="N751" s="266"/>
      <c r="O751" s="266"/>
      <c r="P751" s="267"/>
      <c r="Q751" s="267"/>
      <c r="R751" s="267"/>
      <c r="S751" s="267"/>
      <c r="T751" s="267"/>
      <c r="U751" s="267"/>
      <c r="V751" s="267"/>
      <c r="W751" s="267"/>
      <c r="X751" s="267"/>
      <c r="Y751" s="267"/>
    </row>
    <row r="752" ht="12.75" customHeight="1" spans="1:25">
      <c r="A752" s="266"/>
      <c r="B752" s="266"/>
      <c r="C752" s="266"/>
      <c r="D752" s="266"/>
      <c r="E752" s="266"/>
      <c r="F752" s="266"/>
      <c r="G752" s="266"/>
      <c r="H752" s="266"/>
      <c r="I752" s="266"/>
      <c r="J752" s="266"/>
      <c r="K752" s="266"/>
      <c r="L752" s="266"/>
      <c r="M752" s="266"/>
      <c r="N752" s="266"/>
      <c r="O752" s="266"/>
      <c r="P752" s="267"/>
      <c r="Q752" s="267"/>
      <c r="R752" s="267"/>
      <c r="S752" s="267"/>
      <c r="T752" s="267"/>
      <c r="U752" s="267"/>
      <c r="V752" s="267"/>
      <c r="W752" s="267"/>
      <c r="X752" s="267"/>
      <c r="Y752" s="267"/>
    </row>
    <row r="753" ht="12.75" customHeight="1" spans="1:25">
      <c r="A753" s="266"/>
      <c r="B753" s="266"/>
      <c r="C753" s="266"/>
      <c r="D753" s="266"/>
      <c r="E753" s="266"/>
      <c r="F753" s="266"/>
      <c r="G753" s="266"/>
      <c r="H753" s="266"/>
      <c r="I753" s="266"/>
      <c r="J753" s="266"/>
      <c r="K753" s="266"/>
      <c r="L753" s="266"/>
      <c r="M753" s="266"/>
      <c r="N753" s="266"/>
      <c r="O753" s="266"/>
      <c r="P753" s="267"/>
      <c r="Q753" s="267"/>
      <c r="R753" s="267"/>
      <c r="S753" s="267"/>
      <c r="T753" s="267"/>
      <c r="U753" s="267"/>
      <c r="V753" s="267"/>
      <c r="W753" s="267"/>
      <c r="X753" s="267"/>
      <c r="Y753" s="267"/>
    </row>
    <row r="754" ht="12.75" customHeight="1" spans="1:25">
      <c r="A754" s="266"/>
      <c r="B754" s="266"/>
      <c r="C754" s="266"/>
      <c r="D754" s="266"/>
      <c r="E754" s="266"/>
      <c r="F754" s="266"/>
      <c r="G754" s="266"/>
      <c r="H754" s="266"/>
      <c r="I754" s="266"/>
      <c r="J754" s="266"/>
      <c r="K754" s="266"/>
      <c r="L754" s="266"/>
      <c r="M754" s="266"/>
      <c r="N754" s="266"/>
      <c r="O754" s="266"/>
      <c r="P754" s="267"/>
      <c r="Q754" s="267"/>
      <c r="R754" s="267"/>
      <c r="S754" s="267"/>
      <c r="T754" s="267"/>
      <c r="U754" s="267"/>
      <c r="V754" s="267"/>
      <c r="W754" s="267"/>
      <c r="X754" s="267"/>
      <c r="Y754" s="267"/>
    </row>
    <row r="755" ht="12.75" customHeight="1" spans="1:25">
      <c r="A755" s="266"/>
      <c r="B755" s="266"/>
      <c r="C755" s="266"/>
      <c r="D755" s="266"/>
      <c r="E755" s="266"/>
      <c r="F755" s="266"/>
      <c r="G755" s="266"/>
      <c r="H755" s="266"/>
      <c r="I755" s="266"/>
      <c r="J755" s="266"/>
      <c r="K755" s="266"/>
      <c r="L755" s="266"/>
      <c r="M755" s="266"/>
      <c r="N755" s="266"/>
      <c r="O755" s="266"/>
      <c r="P755" s="267"/>
      <c r="Q755" s="267"/>
      <c r="R755" s="267"/>
      <c r="S755" s="267"/>
      <c r="T755" s="267"/>
      <c r="U755" s="267"/>
      <c r="V755" s="267"/>
      <c r="W755" s="267"/>
      <c r="X755" s="267"/>
      <c r="Y755" s="267"/>
    </row>
    <row r="756" ht="12.75" customHeight="1" spans="1:25">
      <c r="A756" s="266"/>
      <c r="B756" s="266"/>
      <c r="C756" s="266"/>
      <c r="D756" s="266"/>
      <c r="E756" s="266"/>
      <c r="F756" s="266"/>
      <c r="G756" s="266"/>
      <c r="H756" s="266"/>
      <c r="I756" s="266"/>
      <c r="J756" s="266"/>
      <c r="K756" s="266"/>
      <c r="L756" s="266"/>
      <c r="M756" s="266"/>
      <c r="N756" s="266"/>
      <c r="O756" s="266"/>
      <c r="P756" s="267"/>
      <c r="Q756" s="267"/>
      <c r="R756" s="267"/>
      <c r="S756" s="267"/>
      <c r="T756" s="267"/>
      <c r="U756" s="267"/>
      <c r="V756" s="267"/>
      <c r="W756" s="267"/>
      <c r="X756" s="267"/>
      <c r="Y756" s="267"/>
    </row>
    <row r="757" ht="12.75" customHeight="1" spans="1:25">
      <c r="A757" s="266"/>
      <c r="B757" s="266"/>
      <c r="C757" s="266"/>
      <c r="D757" s="266"/>
      <c r="E757" s="266"/>
      <c r="F757" s="266"/>
      <c r="G757" s="266"/>
      <c r="H757" s="266"/>
      <c r="I757" s="266"/>
      <c r="J757" s="266"/>
      <c r="K757" s="266"/>
      <c r="L757" s="266"/>
      <c r="M757" s="266"/>
      <c r="N757" s="266"/>
      <c r="O757" s="266"/>
      <c r="P757" s="267"/>
      <c r="Q757" s="267"/>
      <c r="R757" s="267"/>
      <c r="S757" s="267"/>
      <c r="T757" s="267"/>
      <c r="U757" s="267"/>
      <c r="V757" s="267"/>
      <c r="W757" s="267"/>
      <c r="X757" s="267"/>
      <c r="Y757" s="267"/>
    </row>
    <row r="758" ht="12.75" customHeight="1" spans="1:25">
      <c r="A758" s="266"/>
      <c r="B758" s="266"/>
      <c r="C758" s="266"/>
      <c r="D758" s="266"/>
      <c r="E758" s="266"/>
      <c r="F758" s="266"/>
      <c r="G758" s="266"/>
      <c r="H758" s="266"/>
      <c r="I758" s="266"/>
      <c r="J758" s="266"/>
      <c r="K758" s="266"/>
      <c r="L758" s="266"/>
      <c r="M758" s="266"/>
      <c r="N758" s="266"/>
      <c r="O758" s="266"/>
      <c r="P758" s="267"/>
      <c r="Q758" s="267"/>
      <c r="R758" s="267"/>
      <c r="S758" s="267"/>
      <c r="T758" s="267"/>
      <c r="U758" s="267"/>
      <c r="V758" s="267"/>
      <c r="W758" s="267"/>
      <c r="X758" s="267"/>
      <c r="Y758" s="267"/>
    </row>
    <row r="759" ht="12.75" customHeight="1" spans="1:25">
      <c r="A759" s="266"/>
      <c r="B759" s="266"/>
      <c r="C759" s="266"/>
      <c r="D759" s="266"/>
      <c r="E759" s="266"/>
      <c r="F759" s="266"/>
      <c r="G759" s="266"/>
      <c r="H759" s="266"/>
      <c r="I759" s="266"/>
      <c r="J759" s="266"/>
      <c r="K759" s="266"/>
      <c r="L759" s="266"/>
      <c r="M759" s="266"/>
      <c r="N759" s="266"/>
      <c r="O759" s="266"/>
      <c r="P759" s="267"/>
      <c r="Q759" s="267"/>
      <c r="R759" s="267"/>
      <c r="S759" s="267"/>
      <c r="T759" s="267"/>
      <c r="U759" s="267"/>
      <c r="V759" s="267"/>
      <c r="W759" s="267"/>
      <c r="X759" s="267"/>
      <c r="Y759" s="267"/>
    </row>
    <row r="760" ht="12.75" customHeight="1" spans="1:25">
      <c r="A760" s="266"/>
      <c r="B760" s="266"/>
      <c r="C760" s="266"/>
      <c r="D760" s="266"/>
      <c r="E760" s="266"/>
      <c r="F760" s="266"/>
      <c r="G760" s="266"/>
      <c r="H760" s="266"/>
      <c r="I760" s="266"/>
      <c r="J760" s="266"/>
      <c r="K760" s="266"/>
      <c r="L760" s="266"/>
      <c r="M760" s="266"/>
      <c r="N760" s="266"/>
      <c r="O760" s="266"/>
      <c r="P760" s="267"/>
      <c r="Q760" s="267"/>
      <c r="R760" s="267"/>
      <c r="S760" s="267"/>
      <c r="T760" s="267"/>
      <c r="U760" s="267"/>
      <c r="V760" s="267"/>
      <c r="W760" s="267"/>
      <c r="X760" s="267"/>
      <c r="Y760" s="267"/>
    </row>
    <row r="761" ht="12.75" customHeight="1" spans="1:25">
      <c r="A761" s="266"/>
      <c r="B761" s="266"/>
      <c r="C761" s="266"/>
      <c r="D761" s="266"/>
      <c r="E761" s="266"/>
      <c r="F761" s="266"/>
      <c r="G761" s="266"/>
      <c r="H761" s="266"/>
      <c r="I761" s="266"/>
      <c r="J761" s="266"/>
      <c r="K761" s="266"/>
      <c r="L761" s="266"/>
      <c r="M761" s="266"/>
      <c r="N761" s="266"/>
      <c r="O761" s="266"/>
      <c r="P761" s="267"/>
      <c r="Q761" s="267"/>
      <c r="R761" s="267"/>
      <c r="S761" s="267"/>
      <c r="T761" s="267"/>
      <c r="U761" s="267"/>
      <c r="V761" s="267"/>
      <c r="W761" s="267"/>
      <c r="X761" s="267"/>
      <c r="Y761" s="267"/>
    </row>
    <row r="762" ht="12.75" customHeight="1" spans="1:25">
      <c r="A762" s="266"/>
      <c r="B762" s="266"/>
      <c r="C762" s="266"/>
      <c r="D762" s="266"/>
      <c r="E762" s="266"/>
      <c r="F762" s="266"/>
      <c r="G762" s="266"/>
      <c r="H762" s="266"/>
      <c r="I762" s="266"/>
      <c r="J762" s="266"/>
      <c r="K762" s="266"/>
      <c r="L762" s="266"/>
      <c r="M762" s="266"/>
      <c r="N762" s="266"/>
      <c r="O762" s="266"/>
      <c r="P762" s="267"/>
      <c r="Q762" s="267"/>
      <c r="R762" s="267"/>
      <c r="S762" s="267"/>
      <c r="T762" s="267"/>
      <c r="U762" s="267"/>
      <c r="V762" s="267"/>
      <c r="W762" s="267"/>
      <c r="X762" s="267"/>
      <c r="Y762" s="267"/>
    </row>
    <row r="763" ht="12.75" customHeight="1" spans="1:25">
      <c r="A763" s="266"/>
      <c r="B763" s="266"/>
      <c r="C763" s="266"/>
      <c r="D763" s="266"/>
      <c r="E763" s="266"/>
      <c r="F763" s="266"/>
      <c r="G763" s="266"/>
      <c r="H763" s="266"/>
      <c r="I763" s="266"/>
      <c r="J763" s="266"/>
      <c r="K763" s="266"/>
      <c r="L763" s="266"/>
      <c r="M763" s="266"/>
      <c r="N763" s="266"/>
      <c r="O763" s="266"/>
      <c r="P763" s="267"/>
      <c r="Q763" s="267"/>
      <c r="R763" s="267"/>
      <c r="S763" s="267"/>
      <c r="T763" s="267"/>
      <c r="U763" s="267"/>
      <c r="V763" s="267"/>
      <c r="W763" s="267"/>
      <c r="X763" s="267"/>
      <c r="Y763" s="267"/>
    </row>
    <row r="764" ht="12.75" customHeight="1" spans="1:25">
      <c r="A764" s="266"/>
      <c r="B764" s="266"/>
      <c r="C764" s="266"/>
      <c r="D764" s="266"/>
      <c r="E764" s="266"/>
      <c r="F764" s="266"/>
      <c r="G764" s="266"/>
      <c r="H764" s="266"/>
      <c r="I764" s="266"/>
      <c r="J764" s="266"/>
      <c r="K764" s="266"/>
      <c r="L764" s="266"/>
      <c r="M764" s="266"/>
      <c r="N764" s="266"/>
      <c r="O764" s="266"/>
      <c r="P764" s="267"/>
      <c r="Q764" s="267"/>
      <c r="R764" s="267"/>
      <c r="S764" s="267"/>
      <c r="T764" s="267"/>
      <c r="U764" s="267"/>
      <c r="V764" s="267"/>
      <c r="W764" s="267"/>
      <c r="X764" s="267"/>
      <c r="Y764" s="267"/>
    </row>
    <row r="765" ht="12.75" customHeight="1" spans="1:25">
      <c r="A765" s="266"/>
      <c r="B765" s="266"/>
      <c r="C765" s="266"/>
      <c r="D765" s="266"/>
      <c r="E765" s="266"/>
      <c r="F765" s="266"/>
      <c r="G765" s="266"/>
      <c r="H765" s="266"/>
      <c r="I765" s="266"/>
      <c r="J765" s="266"/>
      <c r="K765" s="266"/>
      <c r="L765" s="266"/>
      <c r="M765" s="266"/>
      <c r="N765" s="266"/>
      <c r="O765" s="266"/>
      <c r="P765" s="267"/>
      <c r="Q765" s="267"/>
      <c r="R765" s="267"/>
      <c r="S765" s="267"/>
      <c r="T765" s="267"/>
      <c r="U765" s="267"/>
      <c r="V765" s="267"/>
      <c r="W765" s="267"/>
      <c r="X765" s="267"/>
      <c r="Y765" s="267"/>
    </row>
    <row r="766" ht="12.75" customHeight="1" spans="1:25">
      <c r="A766" s="266"/>
      <c r="B766" s="266"/>
      <c r="C766" s="266"/>
      <c r="D766" s="266"/>
      <c r="E766" s="266"/>
      <c r="F766" s="266"/>
      <c r="G766" s="266"/>
      <c r="H766" s="266"/>
      <c r="I766" s="266"/>
      <c r="J766" s="266"/>
      <c r="K766" s="266"/>
      <c r="L766" s="266"/>
      <c r="M766" s="266"/>
      <c r="N766" s="266"/>
      <c r="O766" s="266"/>
      <c r="P766" s="267"/>
      <c r="Q766" s="267"/>
      <c r="R766" s="267"/>
      <c r="S766" s="267"/>
      <c r="T766" s="267"/>
      <c r="U766" s="267"/>
      <c r="V766" s="267"/>
      <c r="W766" s="267"/>
      <c r="X766" s="267"/>
      <c r="Y766" s="267"/>
    </row>
    <row r="767" ht="12.75" customHeight="1" spans="1:25">
      <c r="A767" s="266"/>
      <c r="B767" s="266"/>
      <c r="C767" s="266"/>
      <c r="D767" s="266"/>
      <c r="E767" s="266"/>
      <c r="F767" s="266"/>
      <c r="G767" s="266"/>
      <c r="H767" s="266"/>
      <c r="I767" s="266"/>
      <c r="J767" s="266"/>
      <c r="K767" s="266"/>
      <c r="L767" s="266"/>
      <c r="M767" s="266"/>
      <c r="N767" s="266"/>
      <c r="O767" s="266"/>
      <c r="P767" s="267"/>
      <c r="Q767" s="267"/>
      <c r="R767" s="267"/>
      <c r="S767" s="267"/>
      <c r="T767" s="267"/>
      <c r="U767" s="267"/>
      <c r="V767" s="267"/>
      <c r="W767" s="267"/>
      <c r="X767" s="267"/>
      <c r="Y767" s="267"/>
    </row>
    <row r="768" ht="12.75" customHeight="1" spans="1:25">
      <c r="A768" s="266"/>
      <c r="B768" s="266"/>
      <c r="C768" s="266"/>
      <c r="D768" s="266"/>
      <c r="E768" s="266"/>
      <c r="F768" s="266"/>
      <c r="G768" s="266"/>
      <c r="H768" s="266"/>
      <c r="I768" s="266"/>
      <c r="J768" s="266"/>
      <c r="K768" s="266"/>
      <c r="L768" s="266"/>
      <c r="M768" s="266"/>
      <c r="N768" s="266"/>
      <c r="O768" s="266"/>
      <c r="P768" s="267"/>
      <c r="Q768" s="267"/>
      <c r="R768" s="267"/>
      <c r="S768" s="267"/>
      <c r="T768" s="267"/>
      <c r="U768" s="267"/>
      <c r="V768" s="267"/>
      <c r="W768" s="267"/>
      <c r="X768" s="267"/>
      <c r="Y768" s="267"/>
    </row>
    <row r="769" ht="12.75" customHeight="1" spans="1:25">
      <c r="A769" s="266"/>
      <c r="B769" s="266"/>
      <c r="C769" s="266"/>
      <c r="D769" s="266"/>
      <c r="E769" s="266"/>
      <c r="F769" s="266"/>
      <c r="G769" s="266"/>
      <c r="H769" s="266"/>
      <c r="I769" s="266"/>
      <c r="J769" s="266"/>
      <c r="K769" s="266"/>
      <c r="L769" s="266"/>
      <c r="M769" s="266"/>
      <c r="N769" s="266"/>
      <c r="O769" s="266"/>
      <c r="P769" s="267"/>
      <c r="Q769" s="267"/>
      <c r="R769" s="267"/>
      <c r="S769" s="267"/>
      <c r="T769" s="267"/>
      <c r="U769" s="267"/>
      <c r="V769" s="267"/>
      <c r="W769" s="267"/>
      <c r="X769" s="267"/>
      <c r="Y769" s="267"/>
    </row>
    <row r="770" ht="12.75" customHeight="1" spans="1:25">
      <c r="A770" s="266"/>
      <c r="B770" s="266"/>
      <c r="C770" s="266"/>
      <c r="D770" s="266"/>
      <c r="E770" s="266"/>
      <c r="F770" s="266"/>
      <c r="G770" s="266"/>
      <c r="H770" s="266"/>
      <c r="I770" s="266"/>
      <c r="J770" s="266"/>
      <c r="K770" s="266"/>
      <c r="L770" s="266"/>
      <c r="M770" s="266"/>
      <c r="N770" s="266"/>
      <c r="O770" s="266"/>
      <c r="P770" s="267"/>
      <c r="Q770" s="267"/>
      <c r="R770" s="267"/>
      <c r="S770" s="267"/>
      <c r="T770" s="267"/>
      <c r="U770" s="267"/>
      <c r="V770" s="267"/>
      <c r="W770" s="267"/>
      <c r="X770" s="267"/>
      <c r="Y770" s="267"/>
    </row>
    <row r="771" ht="12.75" customHeight="1" spans="1:25">
      <c r="A771" s="266"/>
      <c r="B771" s="266"/>
      <c r="C771" s="266"/>
      <c r="D771" s="266"/>
      <c r="E771" s="266"/>
      <c r="F771" s="266"/>
      <c r="G771" s="266"/>
      <c r="H771" s="266"/>
      <c r="I771" s="266"/>
      <c r="J771" s="266"/>
      <c r="K771" s="266"/>
      <c r="L771" s="266"/>
      <c r="M771" s="266"/>
      <c r="N771" s="266"/>
      <c r="O771" s="266"/>
      <c r="P771" s="267"/>
      <c r="Q771" s="267"/>
      <c r="R771" s="267"/>
      <c r="S771" s="267"/>
      <c r="T771" s="267"/>
      <c r="U771" s="267"/>
      <c r="V771" s="267"/>
      <c r="W771" s="267"/>
      <c r="X771" s="267"/>
      <c r="Y771" s="267"/>
    </row>
    <row r="772" ht="12.75" customHeight="1" spans="1:25">
      <c r="A772" s="266"/>
      <c r="B772" s="266"/>
      <c r="C772" s="266"/>
      <c r="D772" s="266"/>
      <c r="E772" s="266"/>
      <c r="F772" s="266"/>
      <c r="G772" s="266"/>
      <c r="H772" s="266"/>
      <c r="I772" s="266"/>
      <c r="J772" s="266"/>
      <c r="K772" s="266"/>
      <c r="L772" s="266"/>
      <c r="M772" s="266"/>
      <c r="N772" s="266"/>
      <c r="O772" s="266"/>
      <c r="P772" s="267"/>
      <c r="Q772" s="267"/>
      <c r="R772" s="267"/>
      <c r="S772" s="267"/>
      <c r="T772" s="267"/>
      <c r="U772" s="267"/>
      <c r="V772" s="267"/>
      <c r="W772" s="267"/>
      <c r="X772" s="267"/>
      <c r="Y772" s="267"/>
    </row>
    <row r="773" ht="12.75" customHeight="1" spans="1:25">
      <c r="A773" s="266"/>
      <c r="B773" s="266"/>
      <c r="C773" s="266"/>
      <c r="D773" s="266"/>
      <c r="E773" s="266"/>
      <c r="F773" s="266"/>
      <c r="G773" s="266"/>
      <c r="H773" s="266"/>
      <c r="I773" s="266"/>
      <c r="J773" s="266"/>
      <c r="K773" s="266"/>
      <c r="L773" s="266"/>
      <c r="M773" s="266"/>
      <c r="N773" s="266"/>
      <c r="O773" s="266"/>
      <c r="P773" s="267"/>
      <c r="Q773" s="267"/>
      <c r="R773" s="267"/>
      <c r="S773" s="267"/>
      <c r="T773" s="267"/>
      <c r="U773" s="267"/>
      <c r="V773" s="267"/>
      <c r="W773" s="267"/>
      <c r="X773" s="267"/>
      <c r="Y773" s="267"/>
    </row>
    <row r="774" ht="12.75" customHeight="1" spans="1:25">
      <c r="A774" s="266"/>
      <c r="B774" s="266"/>
      <c r="C774" s="266"/>
      <c r="D774" s="266"/>
      <c r="E774" s="266"/>
      <c r="F774" s="266"/>
      <c r="G774" s="266"/>
      <c r="H774" s="266"/>
      <c r="I774" s="266"/>
      <c r="J774" s="266"/>
      <c r="K774" s="266"/>
      <c r="L774" s="266"/>
      <c r="M774" s="266"/>
      <c r="N774" s="266"/>
      <c r="O774" s="266"/>
      <c r="P774" s="267"/>
      <c r="Q774" s="267"/>
      <c r="R774" s="267"/>
      <c r="S774" s="267"/>
      <c r="T774" s="267"/>
      <c r="U774" s="267"/>
      <c r="V774" s="267"/>
      <c r="W774" s="267"/>
      <c r="X774" s="267"/>
      <c r="Y774" s="267"/>
    </row>
    <row r="775" ht="12.75" customHeight="1" spans="1:25">
      <c r="A775" s="266"/>
      <c r="B775" s="266"/>
      <c r="C775" s="266"/>
      <c r="D775" s="266"/>
      <c r="E775" s="266"/>
      <c r="F775" s="266"/>
      <c r="G775" s="266"/>
      <c r="H775" s="266"/>
      <c r="I775" s="266"/>
      <c r="J775" s="266"/>
      <c r="K775" s="266"/>
      <c r="L775" s="266"/>
      <c r="M775" s="266"/>
      <c r="N775" s="266"/>
      <c r="O775" s="266"/>
      <c r="P775" s="267"/>
      <c r="Q775" s="267"/>
      <c r="R775" s="267"/>
      <c r="S775" s="267"/>
      <c r="T775" s="267"/>
      <c r="U775" s="267"/>
      <c r="V775" s="267"/>
      <c r="W775" s="267"/>
      <c r="X775" s="267"/>
      <c r="Y775" s="267"/>
    </row>
    <row r="776" ht="12.75" customHeight="1" spans="1:25">
      <c r="A776" s="266"/>
      <c r="B776" s="266"/>
      <c r="C776" s="266"/>
      <c r="D776" s="266"/>
      <c r="E776" s="266"/>
      <c r="F776" s="266"/>
      <c r="G776" s="266"/>
      <c r="H776" s="266"/>
      <c r="I776" s="266"/>
      <c r="J776" s="266"/>
      <c r="K776" s="266"/>
      <c r="L776" s="266"/>
      <c r="M776" s="266"/>
      <c r="N776" s="266"/>
      <c r="O776" s="266"/>
      <c r="P776" s="267"/>
      <c r="Q776" s="267"/>
      <c r="R776" s="267"/>
      <c r="S776" s="267"/>
      <c r="T776" s="267"/>
      <c r="U776" s="267"/>
      <c r="V776" s="267"/>
      <c r="W776" s="267"/>
      <c r="X776" s="267"/>
      <c r="Y776" s="267"/>
    </row>
    <row r="777" ht="12.75" customHeight="1" spans="1:25">
      <c r="A777" s="266"/>
      <c r="B777" s="266"/>
      <c r="C777" s="266"/>
      <c r="D777" s="266"/>
      <c r="E777" s="266"/>
      <c r="F777" s="266"/>
      <c r="G777" s="266"/>
      <c r="H777" s="266"/>
      <c r="I777" s="266"/>
      <c r="J777" s="266"/>
      <c r="K777" s="266"/>
      <c r="L777" s="266"/>
      <c r="M777" s="266"/>
      <c r="N777" s="266"/>
      <c r="O777" s="266"/>
      <c r="P777" s="267"/>
      <c r="Q777" s="267"/>
      <c r="R777" s="267"/>
      <c r="S777" s="267"/>
      <c r="T777" s="267"/>
      <c r="U777" s="267"/>
      <c r="V777" s="267"/>
      <c r="W777" s="267"/>
      <c r="X777" s="267"/>
      <c r="Y777" s="267"/>
    </row>
    <row r="778" ht="12.75" customHeight="1" spans="1:25">
      <c r="A778" s="266"/>
      <c r="B778" s="266"/>
      <c r="C778" s="266"/>
      <c r="D778" s="266"/>
      <c r="E778" s="266"/>
      <c r="F778" s="266"/>
      <c r="G778" s="266"/>
      <c r="H778" s="266"/>
      <c r="I778" s="266"/>
      <c r="J778" s="266"/>
      <c r="K778" s="266"/>
      <c r="L778" s="266"/>
      <c r="M778" s="266"/>
      <c r="N778" s="266"/>
      <c r="O778" s="266"/>
      <c r="P778" s="267"/>
      <c r="Q778" s="267"/>
      <c r="R778" s="267"/>
      <c r="S778" s="267"/>
      <c r="T778" s="267"/>
      <c r="U778" s="267"/>
      <c r="V778" s="267"/>
      <c r="W778" s="267"/>
      <c r="X778" s="267"/>
      <c r="Y778" s="267"/>
    </row>
    <row r="779" ht="12.75" customHeight="1" spans="1:25">
      <c r="A779" s="266"/>
      <c r="B779" s="266"/>
      <c r="C779" s="266"/>
      <c r="D779" s="266"/>
      <c r="E779" s="266"/>
      <c r="F779" s="266"/>
      <c r="G779" s="266"/>
      <c r="H779" s="266"/>
      <c r="I779" s="266"/>
      <c r="J779" s="266"/>
      <c r="K779" s="266"/>
      <c r="L779" s="266"/>
      <c r="M779" s="266"/>
      <c r="N779" s="266"/>
      <c r="O779" s="266"/>
      <c r="P779" s="267"/>
      <c r="Q779" s="267"/>
      <c r="R779" s="267"/>
      <c r="S779" s="267"/>
      <c r="T779" s="267"/>
      <c r="U779" s="267"/>
      <c r="V779" s="267"/>
      <c r="W779" s="267"/>
      <c r="X779" s="267"/>
      <c r="Y779" s="267"/>
    </row>
    <row r="780" ht="12.75" customHeight="1" spans="1:25">
      <c r="A780" s="266"/>
      <c r="B780" s="266"/>
      <c r="C780" s="266"/>
      <c r="D780" s="266"/>
      <c r="E780" s="266"/>
      <c r="F780" s="266"/>
      <c r="G780" s="266"/>
      <c r="H780" s="266"/>
      <c r="I780" s="266"/>
      <c r="J780" s="266"/>
      <c r="K780" s="266"/>
      <c r="L780" s="266"/>
      <c r="M780" s="266"/>
      <c r="N780" s="266"/>
      <c r="O780" s="266"/>
      <c r="P780" s="267"/>
      <c r="Q780" s="267"/>
      <c r="R780" s="267"/>
      <c r="S780" s="267"/>
      <c r="T780" s="267"/>
      <c r="U780" s="267"/>
      <c r="V780" s="267"/>
      <c r="W780" s="267"/>
      <c r="X780" s="267"/>
      <c r="Y780" s="267"/>
    </row>
    <row r="781" ht="12.75" customHeight="1" spans="1:25">
      <c r="A781" s="266"/>
      <c r="B781" s="266"/>
      <c r="C781" s="266"/>
      <c r="D781" s="266"/>
      <c r="E781" s="266"/>
      <c r="F781" s="266"/>
      <c r="G781" s="266"/>
      <c r="H781" s="266"/>
      <c r="I781" s="266"/>
      <c r="J781" s="266"/>
      <c r="K781" s="266"/>
      <c r="L781" s="266"/>
      <c r="M781" s="266"/>
      <c r="N781" s="266"/>
      <c r="O781" s="266"/>
      <c r="P781" s="267"/>
      <c r="Q781" s="267"/>
      <c r="R781" s="267"/>
      <c r="S781" s="267"/>
      <c r="T781" s="267"/>
      <c r="U781" s="267"/>
      <c r="V781" s="267"/>
      <c r="W781" s="267"/>
      <c r="X781" s="267"/>
      <c r="Y781" s="267"/>
    </row>
    <row r="782" ht="12.75" customHeight="1" spans="1:25">
      <c r="A782" s="266"/>
      <c r="B782" s="266"/>
      <c r="C782" s="266"/>
      <c r="D782" s="266"/>
      <c r="E782" s="266"/>
      <c r="F782" s="266"/>
      <c r="G782" s="266"/>
      <c r="H782" s="266"/>
      <c r="I782" s="266"/>
      <c r="J782" s="266"/>
      <c r="K782" s="266"/>
      <c r="L782" s="266"/>
      <c r="M782" s="266"/>
      <c r="N782" s="266"/>
      <c r="O782" s="266"/>
      <c r="P782" s="267"/>
      <c r="Q782" s="267"/>
      <c r="R782" s="267"/>
      <c r="S782" s="267"/>
      <c r="T782" s="267"/>
      <c r="U782" s="267"/>
      <c r="V782" s="267"/>
      <c r="W782" s="267"/>
      <c r="X782" s="267"/>
      <c r="Y782" s="267"/>
    </row>
    <row r="783" ht="12.75" customHeight="1" spans="1:25">
      <c r="A783" s="266"/>
      <c r="B783" s="266"/>
      <c r="C783" s="266"/>
      <c r="D783" s="266"/>
      <c r="E783" s="266"/>
      <c r="F783" s="266"/>
      <c r="G783" s="266"/>
      <c r="H783" s="266"/>
      <c r="I783" s="266"/>
      <c r="J783" s="266"/>
      <c r="K783" s="266"/>
      <c r="L783" s="266"/>
      <c r="M783" s="266"/>
      <c r="N783" s="266"/>
      <c r="O783" s="266"/>
      <c r="P783" s="267"/>
      <c r="Q783" s="267"/>
      <c r="R783" s="267"/>
      <c r="S783" s="267"/>
      <c r="T783" s="267"/>
      <c r="U783" s="267"/>
      <c r="V783" s="267"/>
      <c r="W783" s="267"/>
      <c r="X783" s="267"/>
      <c r="Y783" s="267"/>
    </row>
    <row r="784" ht="12.75" customHeight="1" spans="1:25">
      <c r="A784" s="266"/>
      <c r="B784" s="266"/>
      <c r="C784" s="266"/>
      <c r="D784" s="266"/>
      <c r="E784" s="266"/>
      <c r="F784" s="266"/>
      <c r="G784" s="266"/>
      <c r="H784" s="266"/>
      <c r="I784" s="266"/>
      <c r="J784" s="266"/>
      <c r="K784" s="266"/>
      <c r="L784" s="266"/>
      <c r="M784" s="266"/>
      <c r="N784" s="266"/>
      <c r="O784" s="266"/>
      <c r="P784" s="267"/>
      <c r="Q784" s="267"/>
      <c r="R784" s="267"/>
      <c r="S784" s="267"/>
      <c r="T784" s="267"/>
      <c r="U784" s="267"/>
      <c r="V784" s="267"/>
      <c r="W784" s="267"/>
      <c r="X784" s="267"/>
      <c r="Y784" s="267"/>
    </row>
    <row r="785" ht="12.75" customHeight="1" spans="1:25">
      <c r="A785" s="266"/>
      <c r="B785" s="266"/>
      <c r="C785" s="266"/>
      <c r="D785" s="266"/>
      <c r="E785" s="266"/>
      <c r="F785" s="266"/>
      <c r="G785" s="266"/>
      <c r="H785" s="266"/>
      <c r="I785" s="266"/>
      <c r="J785" s="266"/>
      <c r="K785" s="266"/>
      <c r="L785" s="266"/>
      <c r="M785" s="266"/>
      <c r="N785" s="266"/>
      <c r="O785" s="266"/>
      <c r="P785" s="267"/>
      <c r="Q785" s="267"/>
      <c r="R785" s="267"/>
      <c r="S785" s="267"/>
      <c r="T785" s="267"/>
      <c r="U785" s="267"/>
      <c r="V785" s="267"/>
      <c r="W785" s="267"/>
      <c r="X785" s="267"/>
      <c r="Y785" s="267"/>
    </row>
    <row r="786" ht="12.75" customHeight="1" spans="1:25">
      <c r="A786" s="266"/>
      <c r="B786" s="266"/>
      <c r="C786" s="266"/>
      <c r="D786" s="266"/>
      <c r="E786" s="266"/>
      <c r="F786" s="266"/>
      <c r="G786" s="266"/>
      <c r="H786" s="266"/>
      <c r="I786" s="266"/>
      <c r="J786" s="266"/>
      <c r="K786" s="266"/>
      <c r="L786" s="266"/>
      <c r="M786" s="266"/>
      <c r="N786" s="266"/>
      <c r="O786" s="266"/>
      <c r="P786" s="267"/>
      <c r="Q786" s="267"/>
      <c r="R786" s="267"/>
      <c r="S786" s="267"/>
      <c r="T786" s="267"/>
      <c r="U786" s="267"/>
      <c r="V786" s="267"/>
      <c r="W786" s="267"/>
      <c r="X786" s="267"/>
      <c r="Y786" s="267"/>
    </row>
    <row r="787" ht="12.75" customHeight="1" spans="1:25">
      <c r="A787" s="266"/>
      <c r="B787" s="266"/>
      <c r="C787" s="266"/>
      <c r="D787" s="266"/>
      <c r="E787" s="266"/>
      <c r="F787" s="266"/>
      <c r="G787" s="266"/>
      <c r="H787" s="266"/>
      <c r="I787" s="266"/>
      <c r="J787" s="266"/>
      <c r="K787" s="266"/>
      <c r="L787" s="266"/>
      <c r="M787" s="266"/>
      <c r="N787" s="266"/>
      <c r="O787" s="266"/>
      <c r="P787" s="267"/>
      <c r="Q787" s="267"/>
      <c r="R787" s="267"/>
      <c r="S787" s="267"/>
      <c r="T787" s="267"/>
      <c r="U787" s="267"/>
      <c r="V787" s="267"/>
      <c r="W787" s="267"/>
      <c r="X787" s="267"/>
      <c r="Y787" s="267"/>
    </row>
    <row r="788" ht="12.75" customHeight="1" spans="1:25">
      <c r="A788" s="266"/>
      <c r="B788" s="266"/>
      <c r="C788" s="266"/>
      <c r="D788" s="266"/>
      <c r="E788" s="266"/>
      <c r="F788" s="266"/>
      <c r="G788" s="266"/>
      <c r="H788" s="266"/>
      <c r="I788" s="266"/>
      <c r="J788" s="266"/>
      <c r="K788" s="266"/>
      <c r="L788" s="266"/>
      <c r="M788" s="266"/>
      <c r="N788" s="266"/>
      <c r="O788" s="266"/>
      <c r="P788" s="267"/>
      <c r="Q788" s="267"/>
      <c r="R788" s="267"/>
      <c r="S788" s="267"/>
      <c r="T788" s="267"/>
      <c r="U788" s="267"/>
      <c r="V788" s="267"/>
      <c r="W788" s="267"/>
      <c r="X788" s="267"/>
      <c r="Y788" s="267"/>
    </row>
    <row r="789" ht="12.75" customHeight="1" spans="1:25">
      <c r="A789" s="266"/>
      <c r="B789" s="266"/>
      <c r="C789" s="266"/>
      <c r="D789" s="266"/>
      <c r="E789" s="266"/>
      <c r="F789" s="266"/>
      <c r="G789" s="266"/>
      <c r="H789" s="266"/>
      <c r="I789" s="266"/>
      <c r="J789" s="266"/>
      <c r="K789" s="266"/>
      <c r="L789" s="266"/>
      <c r="M789" s="266"/>
      <c r="N789" s="266"/>
      <c r="O789" s="266"/>
      <c r="P789" s="267"/>
      <c r="Q789" s="267"/>
      <c r="R789" s="267"/>
      <c r="S789" s="267"/>
      <c r="T789" s="267"/>
      <c r="U789" s="267"/>
      <c r="V789" s="267"/>
      <c r="W789" s="267"/>
      <c r="X789" s="267"/>
      <c r="Y789" s="267"/>
    </row>
    <row r="790" ht="12.75" customHeight="1" spans="1:25">
      <c r="A790" s="266"/>
      <c r="B790" s="266"/>
      <c r="C790" s="266"/>
      <c r="D790" s="266"/>
      <c r="E790" s="266"/>
      <c r="F790" s="266"/>
      <c r="G790" s="266"/>
      <c r="H790" s="266"/>
      <c r="I790" s="266"/>
      <c r="J790" s="266"/>
      <c r="K790" s="266"/>
      <c r="L790" s="266"/>
      <c r="M790" s="266"/>
      <c r="N790" s="266"/>
      <c r="O790" s="266"/>
      <c r="P790" s="267"/>
      <c r="Q790" s="267"/>
      <c r="R790" s="267"/>
      <c r="S790" s="267"/>
      <c r="T790" s="267"/>
      <c r="U790" s="267"/>
      <c r="V790" s="267"/>
      <c r="W790" s="267"/>
      <c r="X790" s="267"/>
      <c r="Y790" s="267"/>
    </row>
    <row r="791" ht="12.75" customHeight="1" spans="1:25">
      <c r="A791" s="266"/>
      <c r="B791" s="266"/>
      <c r="C791" s="266"/>
      <c r="D791" s="266"/>
      <c r="E791" s="266"/>
      <c r="F791" s="266"/>
      <c r="G791" s="266"/>
      <c r="H791" s="266"/>
      <c r="I791" s="266"/>
      <c r="J791" s="266"/>
      <c r="K791" s="266"/>
      <c r="L791" s="266"/>
      <c r="M791" s="266"/>
      <c r="N791" s="266"/>
      <c r="O791" s="266"/>
      <c r="P791" s="267"/>
      <c r="Q791" s="267"/>
      <c r="R791" s="267"/>
      <c r="S791" s="267"/>
      <c r="T791" s="267"/>
      <c r="U791" s="267"/>
      <c r="V791" s="267"/>
      <c r="W791" s="267"/>
      <c r="X791" s="267"/>
      <c r="Y791" s="267"/>
    </row>
    <row r="792" ht="12.75" customHeight="1" spans="1:25">
      <c r="A792" s="266"/>
      <c r="B792" s="266"/>
      <c r="C792" s="266"/>
      <c r="D792" s="266"/>
      <c r="E792" s="266"/>
      <c r="F792" s="266"/>
      <c r="G792" s="266"/>
      <c r="H792" s="266"/>
      <c r="I792" s="266"/>
      <c r="J792" s="266"/>
      <c r="K792" s="266"/>
      <c r="L792" s="266"/>
      <c r="M792" s="266"/>
      <c r="N792" s="266"/>
      <c r="O792" s="266"/>
      <c r="P792" s="267"/>
      <c r="Q792" s="267"/>
      <c r="R792" s="267"/>
      <c r="S792" s="267"/>
      <c r="T792" s="267"/>
      <c r="U792" s="267"/>
      <c r="V792" s="267"/>
      <c r="W792" s="267"/>
      <c r="X792" s="267"/>
      <c r="Y792" s="267"/>
    </row>
    <row r="793" ht="12.75" customHeight="1" spans="1:25">
      <c r="A793" s="266"/>
      <c r="B793" s="266"/>
      <c r="C793" s="266"/>
      <c r="D793" s="266"/>
      <c r="E793" s="266"/>
      <c r="F793" s="266"/>
      <c r="G793" s="266"/>
      <c r="H793" s="266"/>
      <c r="I793" s="266"/>
      <c r="J793" s="266"/>
      <c r="K793" s="266"/>
      <c r="L793" s="266"/>
      <c r="M793" s="266"/>
      <c r="N793" s="266"/>
      <c r="O793" s="266"/>
      <c r="P793" s="267"/>
      <c r="Q793" s="267"/>
      <c r="R793" s="267"/>
      <c r="S793" s="267"/>
      <c r="T793" s="267"/>
      <c r="U793" s="267"/>
      <c r="V793" s="267"/>
      <c r="W793" s="267"/>
      <c r="X793" s="267"/>
      <c r="Y793" s="267"/>
    </row>
    <row r="794" ht="12.75" customHeight="1" spans="1:25">
      <c r="A794" s="266"/>
      <c r="B794" s="266"/>
      <c r="C794" s="266"/>
      <c r="D794" s="266"/>
      <c r="E794" s="266"/>
      <c r="F794" s="266"/>
      <c r="G794" s="266"/>
      <c r="H794" s="266"/>
      <c r="I794" s="266"/>
      <c r="J794" s="266"/>
      <c r="K794" s="266"/>
      <c r="L794" s="266"/>
      <c r="M794" s="266"/>
      <c r="N794" s="266"/>
      <c r="O794" s="266"/>
      <c r="P794" s="267"/>
      <c r="Q794" s="267"/>
      <c r="R794" s="267"/>
      <c r="S794" s="267"/>
      <c r="T794" s="267"/>
      <c r="U794" s="267"/>
      <c r="V794" s="267"/>
      <c r="W794" s="267"/>
      <c r="X794" s="267"/>
      <c r="Y794" s="267"/>
    </row>
    <row r="795" ht="12.75" customHeight="1" spans="1:25">
      <c r="A795" s="266"/>
      <c r="B795" s="266"/>
      <c r="C795" s="266"/>
      <c r="D795" s="266"/>
      <c r="E795" s="266"/>
      <c r="F795" s="266"/>
      <c r="G795" s="266"/>
      <c r="H795" s="266"/>
      <c r="I795" s="266"/>
      <c r="J795" s="266"/>
      <c r="K795" s="266"/>
      <c r="L795" s="266"/>
      <c r="M795" s="266"/>
      <c r="N795" s="266"/>
      <c r="O795" s="266"/>
      <c r="P795" s="267"/>
      <c r="Q795" s="267"/>
      <c r="R795" s="267"/>
      <c r="S795" s="267"/>
      <c r="T795" s="267"/>
      <c r="U795" s="267"/>
      <c r="V795" s="267"/>
      <c r="W795" s="267"/>
      <c r="X795" s="267"/>
      <c r="Y795" s="267"/>
    </row>
    <row r="796" ht="12.75" customHeight="1" spans="1:25">
      <c r="A796" s="266"/>
      <c r="B796" s="266"/>
      <c r="C796" s="266"/>
      <c r="D796" s="266"/>
      <c r="E796" s="266"/>
      <c r="F796" s="266"/>
      <c r="G796" s="266"/>
      <c r="H796" s="266"/>
      <c r="I796" s="266"/>
      <c r="J796" s="266"/>
      <c r="K796" s="266"/>
      <c r="L796" s="266"/>
      <c r="M796" s="266"/>
      <c r="N796" s="266"/>
      <c r="O796" s="266"/>
      <c r="P796" s="267"/>
      <c r="Q796" s="267"/>
      <c r="R796" s="267"/>
      <c r="S796" s="267"/>
      <c r="T796" s="267"/>
      <c r="U796" s="267"/>
      <c r="V796" s="267"/>
      <c r="W796" s="267"/>
      <c r="X796" s="267"/>
      <c r="Y796" s="267"/>
    </row>
    <row r="797" ht="12.75" customHeight="1" spans="1:25">
      <c r="A797" s="266"/>
      <c r="B797" s="266"/>
      <c r="C797" s="266"/>
      <c r="D797" s="266"/>
      <c r="E797" s="266"/>
      <c r="F797" s="266"/>
      <c r="G797" s="266"/>
      <c r="H797" s="266"/>
      <c r="I797" s="266"/>
      <c r="J797" s="266"/>
      <c r="K797" s="266"/>
      <c r="L797" s="266"/>
      <c r="M797" s="266"/>
      <c r="N797" s="266"/>
      <c r="O797" s="266"/>
      <c r="P797" s="267"/>
      <c r="Q797" s="267"/>
      <c r="R797" s="267"/>
      <c r="S797" s="267"/>
      <c r="T797" s="267"/>
      <c r="U797" s="267"/>
      <c r="V797" s="267"/>
      <c r="W797" s="267"/>
      <c r="X797" s="267"/>
      <c r="Y797" s="267"/>
    </row>
    <row r="798" ht="12.75" customHeight="1" spans="1:25">
      <c r="A798" s="266"/>
      <c r="B798" s="266"/>
      <c r="C798" s="266"/>
      <c r="D798" s="266"/>
      <c r="E798" s="266"/>
      <c r="F798" s="266"/>
      <c r="G798" s="266"/>
      <c r="H798" s="266"/>
      <c r="I798" s="266"/>
      <c r="J798" s="266"/>
      <c r="K798" s="266"/>
      <c r="L798" s="266"/>
      <c r="M798" s="266"/>
      <c r="N798" s="266"/>
      <c r="O798" s="266"/>
      <c r="P798" s="267"/>
      <c r="Q798" s="267"/>
      <c r="R798" s="267"/>
      <c r="S798" s="267"/>
      <c r="T798" s="267"/>
      <c r="U798" s="267"/>
      <c r="V798" s="267"/>
      <c r="W798" s="267"/>
      <c r="X798" s="267"/>
      <c r="Y798" s="267"/>
    </row>
    <row r="799" ht="12.75" customHeight="1" spans="1:25">
      <c r="A799" s="266"/>
      <c r="B799" s="266"/>
      <c r="C799" s="266"/>
      <c r="D799" s="266"/>
      <c r="E799" s="266"/>
      <c r="F799" s="266"/>
      <c r="G799" s="266"/>
      <c r="H799" s="266"/>
      <c r="I799" s="266"/>
      <c r="J799" s="266"/>
      <c r="K799" s="266"/>
      <c r="L799" s="266"/>
      <c r="M799" s="266"/>
      <c r="N799" s="266"/>
      <c r="O799" s="266"/>
      <c r="P799" s="267"/>
      <c r="Q799" s="267"/>
      <c r="R799" s="267"/>
      <c r="S799" s="267"/>
      <c r="T799" s="267"/>
      <c r="U799" s="267"/>
      <c r="V799" s="267"/>
      <c r="W799" s="267"/>
      <c r="X799" s="267"/>
      <c r="Y799" s="267"/>
    </row>
    <row r="800" ht="12.75" customHeight="1" spans="1:25">
      <c r="A800" s="266"/>
      <c r="B800" s="266"/>
      <c r="C800" s="266"/>
      <c r="D800" s="266"/>
      <c r="E800" s="266"/>
      <c r="F800" s="266"/>
      <c r="G800" s="266"/>
      <c r="H800" s="266"/>
      <c r="I800" s="266"/>
      <c r="J800" s="266"/>
      <c r="K800" s="266"/>
      <c r="L800" s="266"/>
      <c r="M800" s="266"/>
      <c r="N800" s="266"/>
      <c r="O800" s="266"/>
      <c r="P800" s="267"/>
      <c r="Q800" s="267"/>
      <c r="R800" s="267"/>
      <c r="S800" s="267"/>
      <c r="T800" s="267"/>
      <c r="U800" s="267"/>
      <c r="V800" s="267"/>
      <c r="W800" s="267"/>
      <c r="X800" s="267"/>
      <c r="Y800" s="267"/>
    </row>
    <row r="801" ht="12.75" customHeight="1" spans="1:25">
      <c r="A801" s="266"/>
      <c r="B801" s="266"/>
      <c r="C801" s="266"/>
      <c r="D801" s="266"/>
      <c r="E801" s="266"/>
      <c r="F801" s="266"/>
      <c r="G801" s="266"/>
      <c r="H801" s="266"/>
      <c r="I801" s="266"/>
      <c r="J801" s="266"/>
      <c r="K801" s="266"/>
      <c r="L801" s="266"/>
      <c r="M801" s="266"/>
      <c r="N801" s="266"/>
      <c r="O801" s="266"/>
      <c r="P801" s="267"/>
      <c r="Q801" s="267"/>
      <c r="R801" s="267"/>
      <c r="S801" s="267"/>
      <c r="T801" s="267"/>
      <c r="U801" s="267"/>
      <c r="V801" s="267"/>
      <c r="W801" s="267"/>
      <c r="X801" s="267"/>
      <c r="Y801" s="267"/>
    </row>
    <row r="802" ht="12.75" customHeight="1" spans="1:25">
      <c r="A802" s="266"/>
      <c r="B802" s="266"/>
      <c r="C802" s="266"/>
      <c r="D802" s="266"/>
      <c r="E802" s="266"/>
      <c r="F802" s="266"/>
      <c r="G802" s="266"/>
      <c r="H802" s="266"/>
      <c r="I802" s="266"/>
      <c r="J802" s="266"/>
      <c r="K802" s="266"/>
      <c r="L802" s="266"/>
      <c r="M802" s="266"/>
      <c r="N802" s="266"/>
      <c r="O802" s="266"/>
      <c r="P802" s="267"/>
      <c r="Q802" s="267"/>
      <c r="R802" s="267"/>
      <c r="S802" s="267"/>
      <c r="T802" s="267"/>
      <c r="U802" s="267"/>
      <c r="V802" s="267"/>
      <c r="W802" s="267"/>
      <c r="X802" s="267"/>
      <c r="Y802" s="267"/>
    </row>
    <row r="803" ht="12.75" customHeight="1" spans="1:25">
      <c r="A803" s="266"/>
      <c r="B803" s="266"/>
      <c r="C803" s="266"/>
      <c r="D803" s="266"/>
      <c r="E803" s="266"/>
      <c r="F803" s="266"/>
      <c r="G803" s="266"/>
      <c r="H803" s="266"/>
      <c r="I803" s="266"/>
      <c r="J803" s="266"/>
      <c r="K803" s="266"/>
      <c r="L803" s="266"/>
      <c r="M803" s="266"/>
      <c r="N803" s="266"/>
      <c r="O803" s="266"/>
      <c r="P803" s="267"/>
      <c r="Q803" s="267"/>
      <c r="R803" s="267"/>
      <c r="S803" s="267"/>
      <c r="T803" s="267"/>
      <c r="U803" s="267"/>
      <c r="V803" s="267"/>
      <c r="W803" s="267"/>
      <c r="X803" s="267"/>
      <c r="Y803" s="267"/>
    </row>
    <row r="804" ht="12.75" customHeight="1" spans="1:25">
      <c r="A804" s="266"/>
      <c r="B804" s="266"/>
      <c r="C804" s="266"/>
      <c r="D804" s="266"/>
      <c r="E804" s="266"/>
      <c r="F804" s="266"/>
      <c r="G804" s="266"/>
      <c r="H804" s="266"/>
      <c r="I804" s="266"/>
      <c r="J804" s="266"/>
      <c r="K804" s="266"/>
      <c r="L804" s="266"/>
      <c r="M804" s="266"/>
      <c r="N804" s="266"/>
      <c r="O804" s="266"/>
      <c r="P804" s="267"/>
      <c r="Q804" s="267"/>
      <c r="R804" s="267"/>
      <c r="S804" s="267"/>
      <c r="T804" s="267"/>
      <c r="U804" s="267"/>
      <c r="V804" s="267"/>
      <c r="W804" s="267"/>
      <c r="X804" s="267"/>
      <c r="Y804" s="267"/>
    </row>
    <row r="805" ht="12.75" customHeight="1" spans="1:25">
      <c r="A805" s="266"/>
      <c r="B805" s="266"/>
      <c r="C805" s="266"/>
      <c r="D805" s="266"/>
      <c r="E805" s="266"/>
      <c r="F805" s="266"/>
      <c r="G805" s="266"/>
      <c r="H805" s="266"/>
      <c r="I805" s="266"/>
      <c r="J805" s="266"/>
      <c r="K805" s="266"/>
      <c r="L805" s="266"/>
      <c r="M805" s="266"/>
      <c r="N805" s="266"/>
      <c r="O805" s="266"/>
      <c r="P805" s="267"/>
      <c r="Q805" s="267"/>
      <c r="R805" s="267"/>
      <c r="S805" s="267"/>
      <c r="T805" s="267"/>
      <c r="U805" s="267"/>
      <c r="V805" s="267"/>
      <c r="W805" s="267"/>
      <c r="X805" s="267"/>
      <c r="Y805" s="267"/>
    </row>
    <row r="806" ht="12.75" customHeight="1" spans="1:25">
      <c r="A806" s="266"/>
      <c r="B806" s="266"/>
      <c r="C806" s="266"/>
      <c r="D806" s="266"/>
      <c r="E806" s="266"/>
      <c r="F806" s="266"/>
      <c r="G806" s="266"/>
      <c r="H806" s="266"/>
      <c r="I806" s="266"/>
      <c r="J806" s="266"/>
      <c r="K806" s="266"/>
      <c r="L806" s="266"/>
      <c r="M806" s="266"/>
      <c r="N806" s="266"/>
      <c r="O806" s="266"/>
      <c r="P806" s="267"/>
      <c r="Q806" s="267"/>
      <c r="R806" s="267"/>
      <c r="S806" s="267"/>
      <c r="T806" s="267"/>
      <c r="U806" s="267"/>
      <c r="V806" s="267"/>
      <c r="W806" s="267"/>
      <c r="X806" s="267"/>
      <c r="Y806" s="267"/>
    </row>
    <row r="807" ht="12.75" customHeight="1" spans="1:25">
      <c r="A807" s="266"/>
      <c r="B807" s="266"/>
      <c r="C807" s="266"/>
      <c r="D807" s="266"/>
      <c r="E807" s="266"/>
      <c r="F807" s="266"/>
      <c r="G807" s="266"/>
      <c r="H807" s="266"/>
      <c r="I807" s="266"/>
      <c r="J807" s="266"/>
      <c r="K807" s="266"/>
      <c r="L807" s="266"/>
      <c r="M807" s="266"/>
      <c r="N807" s="266"/>
      <c r="O807" s="266"/>
      <c r="P807" s="267"/>
      <c r="Q807" s="267"/>
      <c r="R807" s="267"/>
      <c r="S807" s="267"/>
      <c r="T807" s="267"/>
      <c r="U807" s="267"/>
      <c r="V807" s="267"/>
      <c r="W807" s="267"/>
      <c r="X807" s="267"/>
      <c r="Y807" s="267"/>
    </row>
    <row r="808" ht="12.75" customHeight="1" spans="1:25">
      <c r="A808" s="266"/>
      <c r="B808" s="266"/>
      <c r="C808" s="266"/>
      <c r="D808" s="266"/>
      <c r="E808" s="266"/>
      <c r="F808" s="266"/>
      <c r="G808" s="266"/>
      <c r="H808" s="266"/>
      <c r="I808" s="266"/>
      <c r="J808" s="266"/>
      <c r="K808" s="266"/>
      <c r="L808" s="266"/>
      <c r="M808" s="266"/>
      <c r="N808" s="266"/>
      <c r="O808" s="266"/>
      <c r="P808" s="267"/>
      <c r="Q808" s="267"/>
      <c r="R808" s="267"/>
      <c r="S808" s="267"/>
      <c r="T808" s="267"/>
      <c r="U808" s="267"/>
      <c r="V808" s="267"/>
      <c r="W808" s="267"/>
      <c r="X808" s="267"/>
      <c r="Y808" s="267"/>
    </row>
    <row r="809" ht="12.75" customHeight="1" spans="1:25">
      <c r="A809" s="266"/>
      <c r="B809" s="266"/>
      <c r="C809" s="266"/>
      <c r="D809" s="266"/>
      <c r="E809" s="266"/>
      <c r="F809" s="266"/>
      <c r="G809" s="266"/>
      <c r="H809" s="266"/>
      <c r="I809" s="266"/>
      <c r="J809" s="266"/>
      <c r="K809" s="266"/>
      <c r="L809" s="266"/>
      <c r="M809" s="266"/>
      <c r="N809" s="266"/>
      <c r="O809" s="266"/>
      <c r="P809" s="267"/>
      <c r="Q809" s="267"/>
      <c r="R809" s="267"/>
      <c r="S809" s="267"/>
      <c r="T809" s="267"/>
      <c r="U809" s="267"/>
      <c r="V809" s="267"/>
      <c r="W809" s="267"/>
      <c r="X809" s="267"/>
      <c r="Y809" s="267"/>
    </row>
    <row r="810" ht="12.75" customHeight="1" spans="1:25">
      <c r="A810" s="266"/>
      <c r="B810" s="266"/>
      <c r="C810" s="266"/>
      <c r="D810" s="266"/>
      <c r="E810" s="266"/>
      <c r="F810" s="266"/>
      <c r="G810" s="266"/>
      <c r="H810" s="266"/>
      <c r="I810" s="266"/>
      <c r="J810" s="266"/>
      <c r="K810" s="266"/>
      <c r="L810" s="266"/>
      <c r="M810" s="266"/>
      <c r="N810" s="266"/>
      <c r="O810" s="266"/>
      <c r="P810" s="267"/>
      <c r="Q810" s="267"/>
      <c r="R810" s="267"/>
      <c r="S810" s="267"/>
      <c r="T810" s="267"/>
      <c r="U810" s="267"/>
      <c r="V810" s="267"/>
      <c r="W810" s="267"/>
      <c r="X810" s="267"/>
      <c r="Y810" s="267"/>
    </row>
    <row r="811" ht="12.75" customHeight="1" spans="1:25">
      <c r="A811" s="266"/>
      <c r="B811" s="266"/>
      <c r="C811" s="266"/>
      <c r="D811" s="266"/>
      <c r="E811" s="266"/>
      <c r="F811" s="266"/>
      <c r="G811" s="266"/>
      <c r="H811" s="266"/>
      <c r="I811" s="266"/>
      <c r="J811" s="266"/>
      <c r="K811" s="266"/>
      <c r="L811" s="266"/>
      <c r="M811" s="266"/>
      <c r="N811" s="266"/>
      <c r="O811" s="266"/>
      <c r="P811" s="267"/>
      <c r="Q811" s="267"/>
      <c r="R811" s="267"/>
      <c r="S811" s="267"/>
      <c r="T811" s="267"/>
      <c r="U811" s="267"/>
      <c r="V811" s="267"/>
      <c r="W811" s="267"/>
      <c r="X811" s="267"/>
      <c r="Y811" s="267"/>
    </row>
    <row r="812" ht="12.75" customHeight="1" spans="1:25">
      <c r="A812" s="266"/>
      <c r="B812" s="266"/>
      <c r="C812" s="266"/>
      <c r="D812" s="266"/>
      <c r="E812" s="266"/>
      <c r="F812" s="266"/>
      <c r="G812" s="266"/>
      <c r="H812" s="266"/>
      <c r="I812" s="266"/>
      <c r="J812" s="266"/>
      <c r="K812" s="266"/>
      <c r="L812" s="266"/>
      <c r="M812" s="266"/>
      <c r="N812" s="266"/>
      <c r="O812" s="266"/>
      <c r="P812" s="267"/>
      <c r="Q812" s="267"/>
      <c r="R812" s="267"/>
      <c r="S812" s="267"/>
      <c r="T812" s="267"/>
      <c r="U812" s="267"/>
      <c r="V812" s="267"/>
      <c r="W812" s="267"/>
      <c r="X812" s="267"/>
      <c r="Y812" s="267"/>
    </row>
    <row r="813" ht="12.75" customHeight="1" spans="1:25">
      <c r="A813" s="266"/>
      <c r="B813" s="266"/>
      <c r="C813" s="266"/>
      <c r="D813" s="266"/>
      <c r="E813" s="266"/>
      <c r="F813" s="266"/>
      <c r="G813" s="266"/>
      <c r="H813" s="266"/>
      <c r="I813" s="266"/>
      <c r="J813" s="266"/>
      <c r="K813" s="266"/>
      <c r="L813" s="266"/>
      <c r="M813" s="266"/>
      <c r="N813" s="266"/>
      <c r="O813" s="266"/>
      <c r="P813" s="267"/>
      <c r="Q813" s="267"/>
      <c r="R813" s="267"/>
      <c r="S813" s="267"/>
      <c r="T813" s="267"/>
      <c r="U813" s="267"/>
      <c r="V813" s="267"/>
      <c r="W813" s="267"/>
      <c r="X813" s="267"/>
      <c r="Y813" s="267"/>
    </row>
    <row r="814" ht="12.75" customHeight="1" spans="1:25">
      <c r="A814" s="266"/>
      <c r="B814" s="266"/>
      <c r="C814" s="266"/>
      <c r="D814" s="266"/>
      <c r="E814" s="266"/>
      <c r="F814" s="266"/>
      <c r="G814" s="266"/>
      <c r="H814" s="266"/>
      <c r="I814" s="266"/>
      <c r="J814" s="266"/>
      <c r="K814" s="266"/>
      <c r="L814" s="266"/>
      <c r="M814" s="266"/>
      <c r="N814" s="266"/>
      <c r="O814" s="266"/>
      <c r="P814" s="267"/>
      <c r="Q814" s="267"/>
      <c r="R814" s="267"/>
      <c r="S814" s="267"/>
      <c r="T814" s="267"/>
      <c r="U814" s="267"/>
      <c r="V814" s="267"/>
      <c r="W814" s="267"/>
      <c r="X814" s="267"/>
      <c r="Y814" s="267"/>
    </row>
    <row r="815" ht="12.75" customHeight="1" spans="1:25">
      <c r="A815" s="266"/>
      <c r="B815" s="266"/>
      <c r="C815" s="266"/>
      <c r="D815" s="266"/>
      <c r="E815" s="266"/>
      <c r="F815" s="266"/>
      <c r="G815" s="266"/>
      <c r="H815" s="266"/>
      <c r="I815" s="266"/>
      <c r="J815" s="266"/>
      <c r="K815" s="266"/>
      <c r="L815" s="266"/>
      <c r="M815" s="266"/>
      <c r="N815" s="266"/>
      <c r="O815" s="266"/>
      <c r="P815" s="267"/>
      <c r="Q815" s="267"/>
      <c r="R815" s="267"/>
      <c r="S815" s="267"/>
      <c r="T815" s="267"/>
      <c r="U815" s="267"/>
      <c r="V815" s="267"/>
      <c r="W815" s="267"/>
      <c r="X815" s="267"/>
      <c r="Y815" s="267"/>
    </row>
    <row r="816" ht="12.75" customHeight="1" spans="1:25">
      <c r="A816" s="266"/>
      <c r="B816" s="266"/>
      <c r="C816" s="266"/>
      <c r="D816" s="266"/>
      <c r="E816" s="266"/>
      <c r="F816" s="266"/>
      <c r="G816" s="266"/>
      <c r="H816" s="266"/>
      <c r="I816" s="266"/>
      <c r="J816" s="266"/>
      <c r="K816" s="266"/>
      <c r="L816" s="266"/>
      <c r="M816" s="266"/>
      <c r="N816" s="266"/>
      <c r="O816" s="266"/>
      <c r="P816" s="267"/>
      <c r="Q816" s="267"/>
      <c r="R816" s="267"/>
      <c r="S816" s="267"/>
      <c r="T816" s="267"/>
      <c r="U816" s="267"/>
      <c r="V816" s="267"/>
      <c r="W816" s="267"/>
      <c r="X816" s="267"/>
      <c r="Y816" s="267"/>
    </row>
    <row r="817" ht="12.75" customHeight="1" spans="1:25">
      <c r="A817" s="266"/>
      <c r="B817" s="266"/>
      <c r="C817" s="266"/>
      <c r="D817" s="266"/>
      <c r="E817" s="266"/>
      <c r="F817" s="266"/>
      <c r="G817" s="266"/>
      <c r="H817" s="266"/>
      <c r="I817" s="266"/>
      <c r="J817" s="266"/>
      <c r="K817" s="266"/>
      <c r="L817" s="266"/>
      <c r="M817" s="266"/>
      <c r="N817" s="266"/>
      <c r="O817" s="266"/>
      <c r="P817" s="267"/>
      <c r="Q817" s="267"/>
      <c r="R817" s="267"/>
      <c r="S817" s="267"/>
      <c r="T817" s="267"/>
      <c r="U817" s="267"/>
      <c r="V817" s="267"/>
      <c r="W817" s="267"/>
      <c r="X817" s="267"/>
      <c r="Y817" s="267"/>
    </row>
    <row r="818" ht="12.75" customHeight="1" spans="1:25">
      <c r="A818" s="266"/>
      <c r="B818" s="266"/>
      <c r="C818" s="266"/>
      <c r="D818" s="266"/>
      <c r="E818" s="266"/>
      <c r="F818" s="266"/>
      <c r="G818" s="266"/>
      <c r="H818" s="266"/>
      <c r="I818" s="266"/>
      <c r="J818" s="266"/>
      <c r="K818" s="266"/>
      <c r="L818" s="266"/>
      <c r="M818" s="266"/>
      <c r="N818" s="266"/>
      <c r="O818" s="266"/>
      <c r="P818" s="267"/>
      <c r="Q818" s="267"/>
      <c r="R818" s="267"/>
      <c r="S818" s="267"/>
      <c r="T818" s="267"/>
      <c r="U818" s="267"/>
      <c r="V818" s="267"/>
      <c r="W818" s="267"/>
      <c r="X818" s="267"/>
      <c r="Y818" s="267"/>
    </row>
    <row r="819" ht="12.75" customHeight="1" spans="1:25">
      <c r="A819" s="266"/>
      <c r="B819" s="266"/>
      <c r="C819" s="266"/>
      <c r="D819" s="266"/>
      <c r="E819" s="266"/>
      <c r="F819" s="266"/>
      <c r="G819" s="266"/>
      <c r="H819" s="266"/>
      <c r="I819" s="266"/>
      <c r="J819" s="266"/>
      <c r="K819" s="266"/>
      <c r="L819" s="266"/>
      <c r="M819" s="266"/>
      <c r="N819" s="266"/>
      <c r="O819" s="266"/>
      <c r="P819" s="267"/>
      <c r="Q819" s="267"/>
      <c r="R819" s="267"/>
      <c r="S819" s="267"/>
      <c r="T819" s="267"/>
      <c r="U819" s="267"/>
      <c r="V819" s="267"/>
      <c r="W819" s="267"/>
      <c r="X819" s="267"/>
      <c r="Y819" s="267"/>
    </row>
    <row r="820" ht="12.75" customHeight="1" spans="1:25">
      <c r="A820" s="266"/>
      <c r="B820" s="266"/>
      <c r="C820" s="266"/>
      <c r="D820" s="266"/>
      <c r="E820" s="266"/>
      <c r="F820" s="266"/>
      <c r="G820" s="266"/>
      <c r="H820" s="266"/>
      <c r="I820" s="266"/>
      <c r="J820" s="266"/>
      <c r="K820" s="266"/>
      <c r="L820" s="266"/>
      <c r="M820" s="266"/>
      <c r="N820" s="266"/>
      <c r="O820" s="266"/>
      <c r="P820" s="267"/>
      <c r="Q820" s="267"/>
      <c r="R820" s="267"/>
      <c r="S820" s="267"/>
      <c r="T820" s="267"/>
      <c r="U820" s="267"/>
      <c r="V820" s="267"/>
      <c r="W820" s="267"/>
      <c r="X820" s="267"/>
      <c r="Y820" s="267"/>
    </row>
    <row r="821" ht="12.75" customHeight="1" spans="1:25">
      <c r="A821" s="266"/>
      <c r="B821" s="266"/>
      <c r="C821" s="266"/>
      <c r="D821" s="266"/>
      <c r="E821" s="266"/>
      <c r="F821" s="266"/>
      <c r="G821" s="266"/>
      <c r="H821" s="266"/>
      <c r="I821" s="266"/>
      <c r="J821" s="266"/>
      <c r="K821" s="266"/>
      <c r="L821" s="266"/>
      <c r="M821" s="266"/>
      <c r="N821" s="266"/>
      <c r="O821" s="266"/>
      <c r="P821" s="267"/>
      <c r="Q821" s="267"/>
      <c r="R821" s="267"/>
      <c r="S821" s="267"/>
      <c r="T821" s="267"/>
      <c r="U821" s="267"/>
      <c r="V821" s="267"/>
      <c r="W821" s="267"/>
      <c r="X821" s="267"/>
      <c r="Y821" s="267"/>
    </row>
    <row r="822" ht="12.75" customHeight="1" spans="1:25">
      <c r="A822" s="266"/>
      <c r="B822" s="266"/>
      <c r="C822" s="266"/>
      <c r="D822" s="266"/>
      <c r="E822" s="266"/>
      <c r="F822" s="266"/>
      <c r="G822" s="266"/>
      <c r="H822" s="266"/>
      <c r="I822" s="266"/>
      <c r="J822" s="266"/>
      <c r="K822" s="266"/>
      <c r="L822" s="266"/>
      <c r="M822" s="266"/>
      <c r="N822" s="266"/>
      <c r="O822" s="266"/>
      <c r="P822" s="267"/>
      <c r="Q822" s="267"/>
      <c r="R822" s="267"/>
      <c r="S822" s="267"/>
      <c r="T822" s="267"/>
      <c r="U822" s="267"/>
      <c r="V822" s="267"/>
      <c r="W822" s="267"/>
      <c r="X822" s="267"/>
      <c r="Y822" s="267"/>
    </row>
    <row r="823" ht="12.75" customHeight="1" spans="1:25">
      <c r="A823" s="266"/>
      <c r="B823" s="266"/>
      <c r="C823" s="266"/>
      <c r="D823" s="266"/>
      <c r="E823" s="266"/>
      <c r="F823" s="266"/>
      <c r="G823" s="266"/>
      <c r="H823" s="266"/>
      <c r="I823" s="266"/>
      <c r="J823" s="266"/>
      <c r="K823" s="266"/>
      <c r="L823" s="266"/>
      <c r="M823" s="266"/>
      <c r="N823" s="266"/>
      <c r="O823" s="266"/>
      <c r="P823" s="267"/>
      <c r="Q823" s="267"/>
      <c r="R823" s="267"/>
      <c r="S823" s="267"/>
      <c r="T823" s="267"/>
      <c r="U823" s="267"/>
      <c r="V823" s="267"/>
      <c r="W823" s="267"/>
      <c r="X823" s="267"/>
      <c r="Y823" s="267"/>
    </row>
    <row r="824" ht="12.75" customHeight="1" spans="1:25">
      <c r="A824" s="266"/>
      <c r="B824" s="266"/>
      <c r="C824" s="266"/>
      <c r="D824" s="266"/>
      <c r="E824" s="266"/>
      <c r="F824" s="266"/>
      <c r="G824" s="266"/>
      <c r="H824" s="266"/>
      <c r="I824" s="266"/>
      <c r="J824" s="266"/>
      <c r="K824" s="266"/>
      <c r="L824" s="266"/>
      <c r="M824" s="266"/>
      <c r="N824" s="266"/>
      <c r="O824" s="266"/>
      <c r="P824" s="267"/>
      <c r="Q824" s="267"/>
      <c r="R824" s="267"/>
      <c r="S824" s="267"/>
      <c r="T824" s="267"/>
      <c r="U824" s="267"/>
      <c r="V824" s="267"/>
      <c r="W824" s="267"/>
      <c r="X824" s="267"/>
      <c r="Y824" s="267"/>
    </row>
    <row r="825" ht="12.75" customHeight="1" spans="1:25">
      <c r="A825" s="266"/>
      <c r="B825" s="266"/>
      <c r="C825" s="266"/>
      <c r="D825" s="266"/>
      <c r="E825" s="266"/>
      <c r="F825" s="266"/>
      <c r="G825" s="266"/>
      <c r="H825" s="266"/>
      <c r="I825" s="266"/>
      <c r="J825" s="266"/>
      <c r="K825" s="266"/>
      <c r="L825" s="266"/>
      <c r="M825" s="266"/>
      <c r="N825" s="266"/>
      <c r="O825" s="266"/>
      <c r="P825" s="267"/>
      <c r="Q825" s="267"/>
      <c r="R825" s="267"/>
      <c r="S825" s="267"/>
      <c r="T825" s="267"/>
      <c r="U825" s="267"/>
      <c r="V825" s="267"/>
      <c r="W825" s="267"/>
      <c r="X825" s="267"/>
      <c r="Y825" s="267"/>
    </row>
    <row r="826" ht="12.75" customHeight="1" spans="1:25">
      <c r="A826" s="266"/>
      <c r="B826" s="266"/>
      <c r="C826" s="266"/>
      <c r="D826" s="266"/>
      <c r="E826" s="266"/>
      <c r="F826" s="266"/>
      <c r="G826" s="266"/>
      <c r="H826" s="266"/>
      <c r="I826" s="266"/>
      <c r="J826" s="266"/>
      <c r="K826" s="266"/>
      <c r="L826" s="266"/>
      <c r="M826" s="266"/>
      <c r="N826" s="266"/>
      <c r="O826" s="266"/>
      <c r="P826" s="267"/>
      <c r="Q826" s="267"/>
      <c r="R826" s="267"/>
      <c r="S826" s="267"/>
      <c r="T826" s="267"/>
      <c r="U826" s="267"/>
      <c r="V826" s="267"/>
      <c r="W826" s="267"/>
      <c r="X826" s="267"/>
      <c r="Y826" s="267"/>
    </row>
    <row r="827" ht="12.75" customHeight="1" spans="1:25">
      <c r="A827" s="266"/>
      <c r="B827" s="266"/>
      <c r="C827" s="266"/>
      <c r="D827" s="266"/>
      <c r="E827" s="266"/>
      <c r="F827" s="266"/>
      <c r="G827" s="266"/>
      <c r="H827" s="266"/>
      <c r="I827" s="266"/>
      <c r="J827" s="266"/>
      <c r="K827" s="266"/>
      <c r="L827" s="266"/>
      <c r="M827" s="266"/>
      <c r="N827" s="266"/>
      <c r="O827" s="266"/>
      <c r="P827" s="267"/>
      <c r="Q827" s="267"/>
      <c r="R827" s="267"/>
      <c r="S827" s="267"/>
      <c r="T827" s="267"/>
      <c r="U827" s="267"/>
      <c r="V827" s="267"/>
      <c r="W827" s="267"/>
      <c r="X827" s="267"/>
      <c r="Y827" s="267"/>
    </row>
    <row r="828" ht="12.75" customHeight="1" spans="1:25">
      <c r="A828" s="266"/>
      <c r="B828" s="266"/>
      <c r="C828" s="266"/>
      <c r="D828" s="266"/>
      <c r="E828" s="266"/>
      <c r="F828" s="266"/>
      <c r="G828" s="266"/>
      <c r="H828" s="266"/>
      <c r="I828" s="266"/>
      <c r="J828" s="266"/>
      <c r="K828" s="266"/>
      <c r="L828" s="266"/>
      <c r="M828" s="266"/>
      <c r="N828" s="266"/>
      <c r="O828" s="266"/>
      <c r="P828" s="267"/>
      <c r="Q828" s="267"/>
      <c r="R828" s="267"/>
      <c r="S828" s="267"/>
      <c r="T828" s="267"/>
      <c r="U828" s="267"/>
      <c r="V828" s="267"/>
      <c r="W828" s="267"/>
      <c r="X828" s="267"/>
      <c r="Y828" s="267"/>
    </row>
    <row r="829" ht="12.75" customHeight="1" spans="1:25">
      <c r="A829" s="266"/>
      <c r="B829" s="266"/>
      <c r="C829" s="266"/>
      <c r="D829" s="266"/>
      <c r="E829" s="266"/>
      <c r="F829" s="266"/>
      <c r="G829" s="266"/>
      <c r="H829" s="266"/>
      <c r="I829" s="266"/>
      <c r="J829" s="266"/>
      <c r="K829" s="266"/>
      <c r="L829" s="266"/>
      <c r="M829" s="266"/>
      <c r="N829" s="266"/>
      <c r="O829" s="266"/>
      <c r="P829" s="267"/>
      <c r="Q829" s="267"/>
      <c r="R829" s="267"/>
      <c r="S829" s="267"/>
      <c r="T829" s="267"/>
      <c r="U829" s="267"/>
      <c r="V829" s="267"/>
      <c r="W829" s="267"/>
      <c r="X829" s="267"/>
      <c r="Y829" s="267"/>
    </row>
    <row r="830" ht="12.75" customHeight="1" spans="1:25">
      <c r="A830" s="266"/>
      <c r="B830" s="266"/>
      <c r="C830" s="266"/>
      <c r="D830" s="266"/>
      <c r="E830" s="266"/>
      <c r="F830" s="266"/>
      <c r="G830" s="266"/>
      <c r="H830" s="266"/>
      <c r="I830" s="266"/>
      <c r="J830" s="266"/>
      <c r="K830" s="266"/>
      <c r="L830" s="266"/>
      <c r="M830" s="266"/>
      <c r="N830" s="266"/>
      <c r="O830" s="266"/>
      <c r="P830" s="267"/>
      <c r="Q830" s="267"/>
      <c r="R830" s="267"/>
      <c r="S830" s="267"/>
      <c r="T830" s="267"/>
      <c r="U830" s="267"/>
      <c r="V830" s="267"/>
      <c r="W830" s="267"/>
      <c r="X830" s="267"/>
      <c r="Y830" s="267"/>
    </row>
    <row r="831" ht="12.75" customHeight="1" spans="1:25">
      <c r="A831" s="266"/>
      <c r="B831" s="266"/>
      <c r="C831" s="266"/>
      <c r="D831" s="266"/>
      <c r="E831" s="266"/>
      <c r="F831" s="266"/>
      <c r="G831" s="266"/>
      <c r="H831" s="266"/>
      <c r="I831" s="266"/>
      <c r="J831" s="266"/>
      <c r="K831" s="266"/>
      <c r="L831" s="266"/>
      <c r="M831" s="266"/>
      <c r="N831" s="266"/>
      <c r="O831" s="266"/>
      <c r="P831" s="267"/>
      <c r="Q831" s="267"/>
      <c r="R831" s="267"/>
      <c r="S831" s="267"/>
      <c r="T831" s="267"/>
      <c r="U831" s="267"/>
      <c r="V831" s="267"/>
      <c r="W831" s="267"/>
      <c r="X831" s="267"/>
      <c r="Y831" s="267"/>
    </row>
    <row r="832" ht="12.75" customHeight="1" spans="1:25">
      <c r="A832" s="266"/>
      <c r="B832" s="266"/>
      <c r="C832" s="266"/>
      <c r="D832" s="266"/>
      <c r="E832" s="266"/>
      <c r="F832" s="266"/>
      <c r="G832" s="266"/>
      <c r="H832" s="266"/>
      <c r="I832" s="266"/>
      <c r="J832" s="266"/>
      <c r="K832" s="266"/>
      <c r="L832" s="266"/>
      <c r="M832" s="266"/>
      <c r="N832" s="266"/>
      <c r="O832" s="266"/>
      <c r="P832" s="267"/>
      <c r="Q832" s="267"/>
      <c r="R832" s="267"/>
      <c r="S832" s="267"/>
      <c r="T832" s="267"/>
      <c r="U832" s="267"/>
      <c r="V832" s="267"/>
      <c r="W832" s="267"/>
      <c r="X832" s="267"/>
      <c r="Y832" s="267"/>
    </row>
    <row r="833" ht="12.75" customHeight="1" spans="1:25">
      <c r="A833" s="266"/>
      <c r="B833" s="266"/>
      <c r="C833" s="266"/>
      <c r="D833" s="266"/>
      <c r="E833" s="266"/>
      <c r="F833" s="266"/>
      <c r="G833" s="266"/>
      <c r="H833" s="266"/>
      <c r="I833" s="266"/>
      <c r="J833" s="266"/>
      <c r="K833" s="266"/>
      <c r="L833" s="266"/>
      <c r="M833" s="266"/>
      <c r="N833" s="266"/>
      <c r="O833" s="266"/>
      <c r="P833" s="267"/>
      <c r="Q833" s="267"/>
      <c r="R833" s="267"/>
      <c r="S833" s="267"/>
      <c r="T833" s="267"/>
      <c r="U833" s="267"/>
      <c r="V833" s="267"/>
      <c r="W833" s="267"/>
      <c r="X833" s="267"/>
      <c r="Y833" s="267"/>
    </row>
    <row r="834" ht="12.75" customHeight="1" spans="1:25">
      <c r="A834" s="266"/>
      <c r="B834" s="266"/>
      <c r="C834" s="266"/>
      <c r="D834" s="266"/>
      <c r="E834" s="266"/>
      <c r="F834" s="266"/>
      <c r="G834" s="266"/>
      <c r="H834" s="266"/>
      <c r="I834" s="266"/>
      <c r="J834" s="266"/>
      <c r="K834" s="266"/>
      <c r="L834" s="266"/>
      <c r="M834" s="266"/>
      <c r="N834" s="266"/>
      <c r="O834" s="266"/>
      <c r="P834" s="267"/>
      <c r="Q834" s="267"/>
      <c r="R834" s="267"/>
      <c r="S834" s="267"/>
      <c r="T834" s="267"/>
      <c r="U834" s="267"/>
      <c r="V834" s="267"/>
      <c r="W834" s="267"/>
      <c r="X834" s="267"/>
      <c r="Y834" s="267"/>
    </row>
    <row r="835" ht="12.75" customHeight="1" spans="1:25">
      <c r="A835" s="266"/>
      <c r="B835" s="266"/>
      <c r="C835" s="266"/>
      <c r="D835" s="266"/>
      <c r="E835" s="266"/>
      <c r="F835" s="266"/>
      <c r="G835" s="266"/>
      <c r="H835" s="266"/>
      <c r="I835" s="266"/>
      <c r="J835" s="266"/>
      <c r="K835" s="266"/>
      <c r="L835" s="266"/>
      <c r="M835" s="266"/>
      <c r="N835" s="266"/>
      <c r="O835" s="266"/>
      <c r="P835" s="267"/>
      <c r="Q835" s="267"/>
      <c r="R835" s="267"/>
      <c r="S835" s="267"/>
      <c r="T835" s="267"/>
      <c r="U835" s="267"/>
      <c r="V835" s="267"/>
      <c r="W835" s="267"/>
      <c r="X835" s="267"/>
      <c r="Y835" s="267"/>
    </row>
    <row r="836" ht="12.75" customHeight="1" spans="1:25">
      <c r="A836" s="266"/>
      <c r="B836" s="266"/>
      <c r="C836" s="266"/>
      <c r="D836" s="266"/>
      <c r="E836" s="266"/>
      <c r="F836" s="266"/>
      <c r="G836" s="266"/>
      <c r="H836" s="266"/>
      <c r="I836" s="266"/>
      <c r="J836" s="266"/>
      <c r="K836" s="266"/>
      <c r="L836" s="266"/>
      <c r="M836" s="266"/>
      <c r="N836" s="266"/>
      <c r="O836" s="266"/>
      <c r="P836" s="267"/>
      <c r="Q836" s="267"/>
      <c r="R836" s="267"/>
      <c r="S836" s="267"/>
      <c r="T836" s="267"/>
      <c r="U836" s="267"/>
      <c r="V836" s="267"/>
      <c r="W836" s="267"/>
      <c r="X836" s="267"/>
      <c r="Y836" s="267"/>
    </row>
    <row r="837" ht="12.75" customHeight="1" spans="1:25">
      <c r="A837" s="266"/>
      <c r="B837" s="266"/>
      <c r="C837" s="266"/>
      <c r="D837" s="266"/>
      <c r="E837" s="266"/>
      <c r="F837" s="266"/>
      <c r="G837" s="266"/>
      <c r="H837" s="266"/>
      <c r="I837" s="266"/>
      <c r="J837" s="266"/>
      <c r="K837" s="266"/>
      <c r="L837" s="266"/>
      <c r="M837" s="266"/>
      <c r="N837" s="266"/>
      <c r="O837" s="266"/>
      <c r="P837" s="267"/>
      <c r="Q837" s="267"/>
      <c r="R837" s="267"/>
      <c r="S837" s="267"/>
      <c r="T837" s="267"/>
      <c r="U837" s="267"/>
      <c r="V837" s="267"/>
      <c r="W837" s="267"/>
      <c r="X837" s="267"/>
      <c r="Y837" s="267"/>
    </row>
    <row r="838" ht="12.75" customHeight="1" spans="1:25">
      <c r="A838" s="266"/>
      <c r="B838" s="266"/>
      <c r="C838" s="266"/>
      <c r="D838" s="266"/>
      <c r="E838" s="266"/>
      <c r="F838" s="266"/>
      <c r="G838" s="266"/>
      <c r="H838" s="266"/>
      <c r="I838" s="266"/>
      <c r="J838" s="266"/>
      <c r="K838" s="266"/>
      <c r="L838" s="266"/>
      <c r="M838" s="266"/>
      <c r="N838" s="266"/>
      <c r="O838" s="266"/>
      <c r="P838" s="267"/>
      <c r="Q838" s="267"/>
      <c r="R838" s="267"/>
      <c r="S838" s="267"/>
      <c r="T838" s="267"/>
      <c r="U838" s="267"/>
      <c r="V838" s="267"/>
      <c r="W838" s="267"/>
      <c r="X838" s="267"/>
      <c r="Y838" s="267"/>
    </row>
    <row r="839" ht="12.75" customHeight="1" spans="1:25">
      <c r="A839" s="266"/>
      <c r="B839" s="266"/>
      <c r="C839" s="266"/>
      <c r="D839" s="266"/>
      <c r="E839" s="266"/>
      <c r="F839" s="266"/>
      <c r="G839" s="266"/>
      <c r="H839" s="266"/>
      <c r="I839" s="266"/>
      <c r="J839" s="266"/>
      <c r="K839" s="266"/>
      <c r="L839" s="266"/>
      <c r="M839" s="266"/>
      <c r="N839" s="266"/>
      <c r="O839" s="266"/>
      <c r="P839" s="267"/>
      <c r="Q839" s="267"/>
      <c r="R839" s="267"/>
      <c r="S839" s="267"/>
      <c r="T839" s="267"/>
      <c r="U839" s="267"/>
      <c r="V839" s="267"/>
      <c r="W839" s="267"/>
      <c r="X839" s="267"/>
      <c r="Y839" s="267"/>
    </row>
    <row r="840" ht="12.75" customHeight="1" spans="1:25">
      <c r="A840" s="266"/>
      <c r="B840" s="266"/>
      <c r="C840" s="266"/>
      <c r="D840" s="266"/>
      <c r="E840" s="266"/>
      <c r="F840" s="266"/>
      <c r="G840" s="266"/>
      <c r="H840" s="266"/>
      <c r="I840" s="266"/>
      <c r="J840" s="266"/>
      <c r="K840" s="266"/>
      <c r="L840" s="266"/>
      <c r="M840" s="266"/>
      <c r="N840" s="266"/>
      <c r="O840" s="266"/>
      <c r="P840" s="267"/>
      <c r="Q840" s="267"/>
      <c r="R840" s="267"/>
      <c r="S840" s="267"/>
      <c r="T840" s="267"/>
      <c r="U840" s="267"/>
      <c r="V840" s="267"/>
      <c r="W840" s="267"/>
      <c r="X840" s="267"/>
      <c r="Y840" s="267"/>
    </row>
    <row r="841" ht="12.75" customHeight="1" spans="1:25">
      <c r="A841" s="266"/>
      <c r="B841" s="266"/>
      <c r="C841" s="266"/>
      <c r="D841" s="266"/>
      <c r="E841" s="266"/>
      <c r="F841" s="266"/>
      <c r="G841" s="266"/>
      <c r="H841" s="266"/>
      <c r="I841" s="266"/>
      <c r="J841" s="266"/>
      <c r="K841" s="266"/>
      <c r="L841" s="266"/>
      <c r="M841" s="266"/>
      <c r="N841" s="266"/>
      <c r="O841" s="266"/>
      <c r="P841" s="267"/>
      <c r="Q841" s="267"/>
      <c r="R841" s="267"/>
      <c r="S841" s="267"/>
      <c r="T841" s="267"/>
      <c r="U841" s="267"/>
      <c r="V841" s="267"/>
      <c r="W841" s="267"/>
      <c r="X841" s="267"/>
      <c r="Y841" s="267"/>
    </row>
    <row r="842" ht="12.75" customHeight="1" spans="1:25">
      <c r="A842" s="266"/>
      <c r="B842" s="266"/>
      <c r="C842" s="266"/>
      <c r="D842" s="266"/>
      <c r="E842" s="266"/>
      <c r="F842" s="266"/>
      <c r="G842" s="266"/>
      <c r="H842" s="266"/>
      <c r="I842" s="266"/>
      <c r="J842" s="266"/>
      <c r="K842" s="266"/>
      <c r="L842" s="266"/>
      <c r="M842" s="266"/>
      <c r="N842" s="266"/>
      <c r="O842" s="266"/>
      <c r="P842" s="267"/>
      <c r="Q842" s="267"/>
      <c r="R842" s="267"/>
      <c r="S842" s="267"/>
      <c r="T842" s="267"/>
      <c r="U842" s="267"/>
      <c r="V842" s="267"/>
      <c r="W842" s="267"/>
      <c r="X842" s="267"/>
      <c r="Y842" s="267"/>
    </row>
    <row r="843" ht="12.75" customHeight="1" spans="1:25">
      <c r="A843" s="266"/>
      <c r="B843" s="266"/>
      <c r="C843" s="266"/>
      <c r="D843" s="266"/>
      <c r="E843" s="266"/>
      <c r="F843" s="266"/>
      <c r="G843" s="266"/>
      <c r="H843" s="266"/>
      <c r="I843" s="266"/>
      <c r="J843" s="266"/>
      <c r="K843" s="266"/>
      <c r="L843" s="266"/>
      <c r="M843" s="266"/>
      <c r="N843" s="266"/>
      <c r="O843" s="266"/>
      <c r="P843" s="267"/>
      <c r="Q843" s="267"/>
      <c r="R843" s="267"/>
      <c r="S843" s="267"/>
      <c r="T843" s="267"/>
      <c r="U843" s="267"/>
      <c r="V843" s="267"/>
      <c r="W843" s="267"/>
      <c r="X843" s="267"/>
      <c r="Y843" s="267"/>
    </row>
    <row r="844" ht="12.75" customHeight="1" spans="1:25">
      <c r="A844" s="266"/>
      <c r="B844" s="266"/>
      <c r="C844" s="266"/>
      <c r="D844" s="266"/>
      <c r="E844" s="266"/>
      <c r="F844" s="266"/>
      <c r="G844" s="266"/>
      <c r="H844" s="266"/>
      <c r="I844" s="266"/>
      <c r="J844" s="266"/>
      <c r="K844" s="266"/>
      <c r="L844" s="266"/>
      <c r="M844" s="266"/>
      <c r="N844" s="266"/>
      <c r="O844" s="266"/>
      <c r="P844" s="267"/>
      <c r="Q844" s="267"/>
      <c r="R844" s="267"/>
      <c r="S844" s="267"/>
      <c r="T844" s="267"/>
      <c r="U844" s="267"/>
      <c r="V844" s="267"/>
      <c r="W844" s="267"/>
      <c r="X844" s="267"/>
      <c r="Y844" s="267"/>
    </row>
    <row r="845" ht="12.75" customHeight="1" spans="1:25">
      <c r="A845" s="266"/>
      <c r="B845" s="266"/>
      <c r="C845" s="266"/>
      <c r="D845" s="266"/>
      <c r="E845" s="266"/>
      <c r="F845" s="266"/>
      <c r="G845" s="266"/>
      <c r="H845" s="266"/>
      <c r="I845" s="266"/>
      <c r="J845" s="266"/>
      <c r="K845" s="266"/>
      <c r="L845" s="266"/>
      <c r="M845" s="266"/>
      <c r="N845" s="266"/>
      <c r="O845" s="266"/>
      <c r="P845" s="267"/>
      <c r="Q845" s="267"/>
      <c r="R845" s="267"/>
      <c r="S845" s="267"/>
      <c r="T845" s="267"/>
      <c r="U845" s="267"/>
      <c r="V845" s="267"/>
      <c r="W845" s="267"/>
      <c r="X845" s="267"/>
      <c r="Y845" s="267"/>
    </row>
    <row r="846" ht="12.75" customHeight="1" spans="1:25">
      <c r="A846" s="266"/>
      <c r="B846" s="266"/>
      <c r="C846" s="266"/>
      <c r="D846" s="266"/>
      <c r="E846" s="266"/>
      <c r="F846" s="266"/>
      <c r="G846" s="266"/>
      <c r="H846" s="266"/>
      <c r="I846" s="266"/>
      <c r="J846" s="266"/>
      <c r="K846" s="266"/>
      <c r="L846" s="266"/>
      <c r="M846" s="266"/>
      <c r="N846" s="266"/>
      <c r="O846" s="266"/>
      <c r="P846" s="267"/>
      <c r="Q846" s="267"/>
      <c r="R846" s="267"/>
      <c r="S846" s="267"/>
      <c r="T846" s="267"/>
      <c r="U846" s="267"/>
      <c r="V846" s="267"/>
      <c r="W846" s="267"/>
      <c r="X846" s="267"/>
      <c r="Y846" s="267"/>
    </row>
    <row r="847" ht="12.75" customHeight="1" spans="1:25">
      <c r="A847" s="266"/>
      <c r="B847" s="266"/>
      <c r="C847" s="266"/>
      <c r="D847" s="266"/>
      <c r="E847" s="266"/>
      <c r="F847" s="266"/>
      <c r="G847" s="266"/>
      <c r="H847" s="266"/>
      <c r="I847" s="266"/>
      <c r="J847" s="266"/>
      <c r="K847" s="266"/>
      <c r="L847" s="266"/>
      <c r="M847" s="266"/>
      <c r="N847" s="266"/>
      <c r="O847" s="266"/>
      <c r="P847" s="267"/>
      <c r="Q847" s="267"/>
      <c r="R847" s="267"/>
      <c r="S847" s="267"/>
      <c r="T847" s="267"/>
      <c r="U847" s="267"/>
      <c r="V847" s="267"/>
      <c r="W847" s="267"/>
      <c r="X847" s="267"/>
      <c r="Y847" s="267"/>
    </row>
    <row r="848" ht="12.75" customHeight="1" spans="1:25">
      <c r="A848" s="266"/>
      <c r="B848" s="266"/>
      <c r="C848" s="266"/>
      <c r="D848" s="266"/>
      <c r="E848" s="266"/>
      <c r="F848" s="266"/>
      <c r="G848" s="266"/>
      <c r="H848" s="266"/>
      <c r="I848" s="266"/>
      <c r="J848" s="266"/>
      <c r="K848" s="266"/>
      <c r="L848" s="266"/>
      <c r="M848" s="266"/>
      <c r="N848" s="266"/>
      <c r="O848" s="266"/>
      <c r="P848" s="267"/>
      <c r="Q848" s="267"/>
      <c r="R848" s="267"/>
      <c r="S848" s="267"/>
      <c r="T848" s="267"/>
      <c r="U848" s="267"/>
      <c r="V848" s="267"/>
      <c r="W848" s="267"/>
      <c r="X848" s="267"/>
      <c r="Y848" s="267"/>
    </row>
    <row r="849" ht="12.75" customHeight="1" spans="1:25">
      <c r="A849" s="266"/>
      <c r="B849" s="266"/>
      <c r="C849" s="266"/>
      <c r="D849" s="266"/>
      <c r="E849" s="266"/>
      <c r="F849" s="266"/>
      <c r="G849" s="266"/>
      <c r="H849" s="266"/>
      <c r="I849" s="266"/>
      <c r="J849" s="266"/>
      <c r="K849" s="266"/>
      <c r="L849" s="266"/>
      <c r="M849" s="266"/>
      <c r="N849" s="266"/>
      <c r="O849" s="266"/>
      <c r="P849" s="267"/>
      <c r="Q849" s="267"/>
      <c r="R849" s="267"/>
      <c r="S849" s="267"/>
      <c r="T849" s="267"/>
      <c r="U849" s="267"/>
      <c r="V849" s="267"/>
      <c r="W849" s="267"/>
      <c r="X849" s="267"/>
      <c r="Y849" s="267"/>
    </row>
    <row r="850" ht="12.75" customHeight="1" spans="1:25">
      <c r="A850" s="266"/>
      <c r="B850" s="266"/>
      <c r="C850" s="266"/>
      <c r="D850" s="266"/>
      <c r="E850" s="266"/>
      <c r="F850" s="266"/>
      <c r="G850" s="266"/>
      <c r="H850" s="266"/>
      <c r="I850" s="266"/>
      <c r="J850" s="266"/>
      <c r="K850" s="266"/>
      <c r="L850" s="266"/>
      <c r="M850" s="266"/>
      <c r="N850" s="266"/>
      <c r="O850" s="266"/>
      <c r="P850" s="267"/>
      <c r="Q850" s="267"/>
      <c r="R850" s="267"/>
      <c r="S850" s="267"/>
      <c r="T850" s="267"/>
      <c r="U850" s="267"/>
      <c r="V850" s="267"/>
      <c r="W850" s="267"/>
      <c r="X850" s="267"/>
      <c r="Y850" s="267"/>
    </row>
    <row r="851" ht="12.75" customHeight="1" spans="1:25">
      <c r="A851" s="266"/>
      <c r="B851" s="266"/>
      <c r="C851" s="266"/>
      <c r="D851" s="266"/>
      <c r="E851" s="266"/>
      <c r="F851" s="266"/>
      <c r="G851" s="266"/>
      <c r="H851" s="266"/>
      <c r="I851" s="266"/>
      <c r="J851" s="266"/>
      <c r="K851" s="266"/>
      <c r="L851" s="266"/>
      <c r="M851" s="266"/>
      <c r="N851" s="266"/>
      <c r="O851" s="266"/>
      <c r="P851" s="267"/>
      <c r="Q851" s="267"/>
      <c r="R851" s="267"/>
      <c r="S851" s="267"/>
      <c r="T851" s="267"/>
      <c r="U851" s="267"/>
      <c r="V851" s="267"/>
      <c r="W851" s="267"/>
      <c r="X851" s="267"/>
      <c r="Y851" s="267"/>
    </row>
    <row r="852" ht="12.75" customHeight="1" spans="1:25">
      <c r="A852" s="266"/>
      <c r="B852" s="266"/>
      <c r="C852" s="266"/>
      <c r="D852" s="266"/>
      <c r="E852" s="266"/>
      <c r="F852" s="266"/>
      <c r="G852" s="266"/>
      <c r="H852" s="266"/>
      <c r="I852" s="266"/>
      <c r="J852" s="266"/>
      <c r="K852" s="266"/>
      <c r="L852" s="266"/>
      <c r="M852" s="266"/>
      <c r="N852" s="266"/>
      <c r="O852" s="266"/>
      <c r="P852" s="267"/>
      <c r="Q852" s="267"/>
      <c r="R852" s="267"/>
      <c r="S852" s="267"/>
      <c r="T852" s="267"/>
      <c r="U852" s="267"/>
      <c r="V852" s="267"/>
      <c r="W852" s="267"/>
      <c r="X852" s="267"/>
      <c r="Y852" s="267"/>
    </row>
    <row r="853" ht="12.75" customHeight="1" spans="1:25">
      <c r="A853" s="266"/>
      <c r="B853" s="266"/>
      <c r="C853" s="266"/>
      <c r="D853" s="266"/>
      <c r="E853" s="266"/>
      <c r="F853" s="266"/>
      <c r="G853" s="266"/>
      <c r="H853" s="266"/>
      <c r="I853" s="266"/>
      <c r="J853" s="266"/>
      <c r="K853" s="266"/>
      <c r="L853" s="266"/>
      <c r="M853" s="266"/>
      <c r="N853" s="266"/>
      <c r="O853" s="266"/>
      <c r="P853" s="267"/>
      <c r="Q853" s="267"/>
      <c r="R853" s="267"/>
      <c r="S853" s="267"/>
      <c r="T853" s="267"/>
      <c r="U853" s="267"/>
      <c r="V853" s="267"/>
      <c r="W853" s="267"/>
      <c r="X853" s="267"/>
      <c r="Y853" s="267"/>
    </row>
    <row r="854" ht="12.75" customHeight="1" spans="1:25">
      <c r="A854" s="266"/>
      <c r="B854" s="266"/>
      <c r="C854" s="266"/>
      <c r="D854" s="266"/>
      <c r="E854" s="266"/>
      <c r="F854" s="266"/>
      <c r="G854" s="266"/>
      <c r="H854" s="266"/>
      <c r="I854" s="266"/>
      <c r="J854" s="266"/>
      <c r="K854" s="266"/>
      <c r="L854" s="266"/>
      <c r="M854" s="266"/>
      <c r="N854" s="266"/>
      <c r="O854" s="266"/>
      <c r="P854" s="267"/>
      <c r="Q854" s="267"/>
      <c r="R854" s="267"/>
      <c r="S854" s="267"/>
      <c r="T854" s="267"/>
      <c r="U854" s="267"/>
      <c r="V854" s="267"/>
      <c r="W854" s="267"/>
      <c r="X854" s="267"/>
      <c r="Y854" s="267"/>
    </row>
    <row r="855" ht="12.75" customHeight="1" spans="1:25">
      <c r="A855" s="266"/>
      <c r="B855" s="266"/>
      <c r="C855" s="266"/>
      <c r="D855" s="266"/>
      <c r="E855" s="266"/>
      <c r="F855" s="266"/>
      <c r="G855" s="266"/>
      <c r="H855" s="266"/>
      <c r="I855" s="266"/>
      <c r="J855" s="266"/>
      <c r="K855" s="266"/>
      <c r="L855" s="266"/>
      <c r="M855" s="266"/>
      <c r="N855" s="266"/>
      <c r="O855" s="266"/>
      <c r="P855" s="267"/>
      <c r="Q855" s="267"/>
      <c r="R855" s="267"/>
      <c r="S855" s="267"/>
      <c r="T855" s="267"/>
      <c r="U855" s="267"/>
      <c r="V855" s="267"/>
      <c r="W855" s="267"/>
      <c r="X855" s="267"/>
      <c r="Y855" s="267"/>
    </row>
    <row r="856" ht="12.75" customHeight="1" spans="1:25">
      <c r="A856" s="266"/>
      <c r="B856" s="266"/>
      <c r="C856" s="266"/>
      <c r="D856" s="266"/>
      <c r="E856" s="266"/>
      <c r="F856" s="266"/>
      <c r="G856" s="266"/>
      <c r="H856" s="266"/>
      <c r="I856" s="266"/>
      <c r="J856" s="266"/>
      <c r="K856" s="266"/>
      <c r="L856" s="266"/>
      <c r="M856" s="266"/>
      <c r="N856" s="266"/>
      <c r="O856" s="266"/>
      <c r="P856" s="267"/>
      <c r="Q856" s="267"/>
      <c r="R856" s="267"/>
      <c r="S856" s="267"/>
      <c r="T856" s="267"/>
      <c r="U856" s="267"/>
      <c r="V856" s="267"/>
      <c r="W856" s="267"/>
      <c r="X856" s="267"/>
      <c r="Y856" s="267"/>
    </row>
    <row r="857" ht="12.75" customHeight="1" spans="1:25">
      <c r="A857" s="266"/>
      <c r="B857" s="266"/>
      <c r="C857" s="266"/>
      <c r="D857" s="266"/>
      <c r="E857" s="266"/>
      <c r="F857" s="266"/>
      <c r="G857" s="266"/>
      <c r="H857" s="266"/>
      <c r="I857" s="266"/>
      <c r="J857" s="266"/>
      <c r="K857" s="266"/>
      <c r="L857" s="266"/>
      <c r="M857" s="266"/>
      <c r="N857" s="266"/>
      <c r="O857" s="266"/>
      <c r="P857" s="267"/>
      <c r="Q857" s="267"/>
      <c r="R857" s="267"/>
      <c r="S857" s="267"/>
      <c r="T857" s="267"/>
      <c r="U857" s="267"/>
      <c r="V857" s="267"/>
      <c r="W857" s="267"/>
      <c r="X857" s="267"/>
      <c r="Y857" s="267"/>
    </row>
    <row r="858" ht="12.75" customHeight="1" spans="1:25">
      <c r="A858" s="266"/>
      <c r="B858" s="266"/>
      <c r="C858" s="266"/>
      <c r="D858" s="266"/>
      <c r="E858" s="266"/>
      <c r="F858" s="266"/>
      <c r="G858" s="266"/>
      <c r="H858" s="266"/>
      <c r="I858" s="266"/>
      <c r="J858" s="266"/>
      <c r="K858" s="266"/>
      <c r="L858" s="266"/>
      <c r="M858" s="266"/>
      <c r="N858" s="266"/>
      <c r="O858" s="266"/>
      <c r="P858" s="267"/>
      <c r="Q858" s="267"/>
      <c r="R858" s="267"/>
      <c r="S858" s="267"/>
      <c r="T858" s="267"/>
      <c r="U858" s="267"/>
      <c r="V858" s="267"/>
      <c r="W858" s="267"/>
      <c r="X858" s="267"/>
      <c r="Y858" s="267"/>
    </row>
    <row r="859" ht="12.75" customHeight="1" spans="1:25">
      <c r="A859" s="266"/>
      <c r="B859" s="266"/>
      <c r="C859" s="266"/>
      <c r="D859" s="266"/>
      <c r="E859" s="266"/>
      <c r="F859" s="266"/>
      <c r="G859" s="266"/>
      <c r="H859" s="266"/>
      <c r="I859" s="266"/>
      <c r="J859" s="266"/>
      <c r="K859" s="266"/>
      <c r="L859" s="266"/>
      <c r="M859" s="266"/>
      <c r="N859" s="266"/>
      <c r="O859" s="266"/>
      <c r="P859" s="267"/>
      <c r="Q859" s="267"/>
      <c r="R859" s="267"/>
      <c r="S859" s="267"/>
      <c r="T859" s="267"/>
      <c r="U859" s="267"/>
      <c r="V859" s="267"/>
      <c r="W859" s="267"/>
      <c r="X859" s="267"/>
      <c r="Y859" s="267"/>
    </row>
    <row r="860" ht="12.75" customHeight="1" spans="1:25">
      <c r="A860" s="266"/>
      <c r="B860" s="266"/>
      <c r="C860" s="266"/>
      <c r="D860" s="266"/>
      <c r="E860" s="266"/>
      <c r="F860" s="266"/>
      <c r="G860" s="266"/>
      <c r="H860" s="266"/>
      <c r="I860" s="266"/>
      <c r="J860" s="266"/>
      <c r="K860" s="266"/>
      <c r="L860" s="266"/>
      <c r="M860" s="266"/>
      <c r="N860" s="266"/>
      <c r="O860" s="266"/>
      <c r="P860" s="267"/>
      <c r="Q860" s="267"/>
      <c r="R860" s="267"/>
      <c r="S860" s="267"/>
      <c r="T860" s="267"/>
      <c r="U860" s="267"/>
      <c r="V860" s="267"/>
      <c r="W860" s="267"/>
      <c r="X860" s="267"/>
      <c r="Y860" s="267"/>
    </row>
    <row r="861" ht="12.75" customHeight="1" spans="1:25">
      <c r="A861" s="266"/>
      <c r="B861" s="266"/>
      <c r="C861" s="266"/>
      <c r="D861" s="266"/>
      <c r="E861" s="266"/>
      <c r="F861" s="266"/>
      <c r="G861" s="266"/>
      <c r="H861" s="266"/>
      <c r="I861" s="266"/>
      <c r="J861" s="266"/>
      <c r="K861" s="266"/>
      <c r="L861" s="266"/>
      <c r="M861" s="266"/>
      <c r="N861" s="266"/>
      <c r="O861" s="266"/>
      <c r="P861" s="267"/>
      <c r="Q861" s="267"/>
      <c r="R861" s="267"/>
      <c r="S861" s="267"/>
      <c r="T861" s="267"/>
      <c r="U861" s="267"/>
      <c r="V861" s="267"/>
      <c r="W861" s="267"/>
      <c r="X861" s="267"/>
      <c r="Y861" s="267"/>
    </row>
    <row r="862" ht="12.75" customHeight="1" spans="1:25">
      <c r="A862" s="266"/>
      <c r="B862" s="266"/>
      <c r="C862" s="266"/>
      <c r="D862" s="266"/>
      <c r="E862" s="266"/>
      <c r="F862" s="266"/>
      <c r="G862" s="266"/>
      <c r="H862" s="266"/>
      <c r="I862" s="266"/>
      <c r="J862" s="266"/>
      <c r="K862" s="266"/>
      <c r="L862" s="266"/>
      <c r="M862" s="266"/>
      <c r="N862" s="266"/>
      <c r="O862" s="266"/>
      <c r="P862" s="267"/>
      <c r="Q862" s="267"/>
      <c r="R862" s="267"/>
      <c r="S862" s="267"/>
      <c r="T862" s="267"/>
      <c r="U862" s="267"/>
      <c r="V862" s="267"/>
      <c r="W862" s="267"/>
      <c r="X862" s="267"/>
      <c r="Y862" s="267"/>
    </row>
    <row r="863" ht="12.75" customHeight="1" spans="1:25">
      <c r="A863" s="266"/>
      <c r="B863" s="266"/>
      <c r="C863" s="266"/>
      <c r="D863" s="266"/>
      <c r="E863" s="266"/>
      <c r="F863" s="266"/>
      <c r="G863" s="266"/>
      <c r="H863" s="266"/>
      <c r="I863" s="266"/>
      <c r="J863" s="266"/>
      <c r="K863" s="266"/>
      <c r="L863" s="266"/>
      <c r="M863" s="266"/>
      <c r="N863" s="266"/>
      <c r="O863" s="266"/>
      <c r="P863" s="267"/>
      <c r="Q863" s="267"/>
      <c r="R863" s="267"/>
      <c r="S863" s="267"/>
      <c r="T863" s="267"/>
      <c r="U863" s="267"/>
      <c r="V863" s="267"/>
      <c r="W863" s="267"/>
      <c r="X863" s="267"/>
      <c r="Y863" s="267"/>
    </row>
    <row r="864" ht="12.75" customHeight="1" spans="1:25">
      <c r="A864" s="266"/>
      <c r="B864" s="266"/>
      <c r="C864" s="266"/>
      <c r="D864" s="266"/>
      <c r="E864" s="266"/>
      <c r="F864" s="266"/>
      <c r="G864" s="266"/>
      <c r="H864" s="266"/>
      <c r="I864" s="266"/>
      <c r="J864" s="266"/>
      <c r="K864" s="266"/>
      <c r="L864" s="266"/>
      <c r="M864" s="266"/>
      <c r="N864" s="266"/>
      <c r="O864" s="266"/>
      <c r="P864" s="267"/>
      <c r="Q864" s="267"/>
      <c r="R864" s="267"/>
      <c r="S864" s="267"/>
      <c r="T864" s="267"/>
      <c r="U864" s="267"/>
      <c r="V864" s="267"/>
      <c r="W864" s="267"/>
      <c r="X864" s="267"/>
      <c r="Y864" s="267"/>
    </row>
    <row r="865" ht="12.75" customHeight="1" spans="1:25">
      <c r="A865" s="266"/>
      <c r="B865" s="266"/>
      <c r="C865" s="266"/>
      <c r="D865" s="266"/>
      <c r="E865" s="266"/>
      <c r="F865" s="266"/>
      <c r="G865" s="266"/>
      <c r="H865" s="266"/>
      <c r="I865" s="266"/>
      <c r="J865" s="266"/>
      <c r="K865" s="266"/>
      <c r="L865" s="266"/>
      <c r="M865" s="266"/>
      <c r="N865" s="266"/>
      <c r="O865" s="266"/>
      <c r="P865" s="267"/>
      <c r="Q865" s="267"/>
      <c r="R865" s="267"/>
      <c r="S865" s="267"/>
      <c r="T865" s="267"/>
      <c r="U865" s="267"/>
      <c r="V865" s="267"/>
      <c r="W865" s="267"/>
      <c r="X865" s="267"/>
      <c r="Y865" s="267"/>
    </row>
    <row r="866" ht="12.75" customHeight="1" spans="1:25">
      <c r="A866" s="266"/>
      <c r="B866" s="266"/>
      <c r="C866" s="266"/>
      <c r="D866" s="266"/>
      <c r="E866" s="266"/>
      <c r="F866" s="266"/>
      <c r="G866" s="266"/>
      <c r="H866" s="266"/>
      <c r="I866" s="266"/>
      <c r="J866" s="266"/>
      <c r="K866" s="266"/>
      <c r="L866" s="266"/>
      <c r="M866" s="266"/>
      <c r="N866" s="266"/>
      <c r="O866" s="266"/>
      <c r="P866" s="267"/>
      <c r="Q866" s="267"/>
      <c r="R866" s="267"/>
      <c r="S866" s="267"/>
      <c r="T866" s="267"/>
      <c r="U866" s="267"/>
      <c r="V866" s="267"/>
      <c r="W866" s="267"/>
      <c r="X866" s="267"/>
      <c r="Y866" s="267"/>
    </row>
    <row r="867" ht="12.75" customHeight="1" spans="1:25">
      <c r="A867" s="266"/>
      <c r="B867" s="266"/>
      <c r="C867" s="266"/>
      <c r="D867" s="266"/>
      <c r="E867" s="266"/>
      <c r="F867" s="266"/>
      <c r="G867" s="266"/>
      <c r="H867" s="266"/>
      <c r="I867" s="266"/>
      <c r="J867" s="266"/>
      <c r="K867" s="266"/>
      <c r="L867" s="266"/>
      <c r="M867" s="266"/>
      <c r="N867" s="266"/>
      <c r="O867" s="266"/>
      <c r="P867" s="267"/>
      <c r="Q867" s="267"/>
      <c r="R867" s="267"/>
      <c r="S867" s="267"/>
      <c r="T867" s="267"/>
      <c r="U867" s="267"/>
      <c r="V867" s="267"/>
      <c r="W867" s="267"/>
      <c r="X867" s="267"/>
      <c r="Y867" s="267"/>
    </row>
    <row r="868" ht="12.75" customHeight="1" spans="1:25">
      <c r="A868" s="266"/>
      <c r="B868" s="266"/>
      <c r="C868" s="266"/>
      <c r="D868" s="266"/>
      <c r="E868" s="266"/>
      <c r="F868" s="266"/>
      <c r="G868" s="266"/>
      <c r="H868" s="266"/>
      <c r="I868" s="266"/>
      <c r="J868" s="266"/>
      <c r="K868" s="266"/>
      <c r="L868" s="266"/>
      <c r="M868" s="266"/>
      <c r="N868" s="266"/>
      <c r="O868" s="266"/>
      <c r="P868" s="267"/>
      <c r="Q868" s="267"/>
      <c r="R868" s="267"/>
      <c r="S868" s="267"/>
      <c r="T868" s="267"/>
      <c r="U868" s="267"/>
      <c r="V868" s="267"/>
      <c r="W868" s="267"/>
      <c r="X868" s="267"/>
      <c r="Y868" s="267"/>
    </row>
    <row r="869" ht="12.75" customHeight="1" spans="1:25">
      <c r="A869" s="266"/>
      <c r="B869" s="266"/>
      <c r="C869" s="266"/>
      <c r="D869" s="266"/>
      <c r="E869" s="266"/>
      <c r="F869" s="266"/>
      <c r="G869" s="266"/>
      <c r="H869" s="266"/>
      <c r="I869" s="266"/>
      <c r="J869" s="266"/>
      <c r="K869" s="266"/>
      <c r="L869" s="266"/>
      <c r="M869" s="266"/>
      <c r="N869" s="266"/>
      <c r="O869" s="266"/>
      <c r="P869" s="267"/>
      <c r="Q869" s="267"/>
      <c r="R869" s="267"/>
      <c r="S869" s="267"/>
      <c r="T869" s="267"/>
      <c r="U869" s="267"/>
      <c r="V869" s="267"/>
      <c r="W869" s="267"/>
      <c r="X869" s="267"/>
      <c r="Y869" s="267"/>
    </row>
    <row r="870" ht="12.75" customHeight="1" spans="1:25">
      <c r="A870" s="266"/>
      <c r="B870" s="266"/>
      <c r="C870" s="266"/>
      <c r="D870" s="266"/>
      <c r="E870" s="266"/>
      <c r="F870" s="266"/>
      <c r="G870" s="266"/>
      <c r="H870" s="266"/>
      <c r="I870" s="266"/>
      <c r="J870" s="266"/>
      <c r="K870" s="266"/>
      <c r="L870" s="266"/>
      <c r="M870" s="266"/>
      <c r="N870" s="266"/>
      <c r="O870" s="266"/>
      <c r="P870" s="267"/>
      <c r="Q870" s="267"/>
      <c r="R870" s="267"/>
      <c r="S870" s="267"/>
      <c r="T870" s="267"/>
      <c r="U870" s="267"/>
      <c r="V870" s="267"/>
      <c r="W870" s="267"/>
      <c r="X870" s="267"/>
      <c r="Y870" s="267"/>
    </row>
    <row r="871" ht="12.75" customHeight="1" spans="1:25">
      <c r="A871" s="266"/>
      <c r="B871" s="266"/>
      <c r="C871" s="266"/>
      <c r="D871" s="266"/>
      <c r="E871" s="266"/>
      <c r="F871" s="266"/>
      <c r="G871" s="266"/>
      <c r="H871" s="266"/>
      <c r="I871" s="266"/>
      <c r="J871" s="266"/>
      <c r="K871" s="266"/>
      <c r="L871" s="266"/>
      <c r="M871" s="266"/>
      <c r="N871" s="266"/>
      <c r="O871" s="266"/>
      <c r="P871" s="267"/>
      <c r="Q871" s="267"/>
      <c r="R871" s="267"/>
      <c r="S871" s="267"/>
      <c r="T871" s="267"/>
      <c r="U871" s="267"/>
      <c r="V871" s="267"/>
      <c r="W871" s="267"/>
      <c r="X871" s="267"/>
      <c r="Y871" s="267"/>
    </row>
    <row r="872" ht="12.75" customHeight="1" spans="1:25">
      <c r="A872" s="266"/>
      <c r="B872" s="266"/>
      <c r="C872" s="266"/>
      <c r="D872" s="266"/>
      <c r="E872" s="266"/>
      <c r="F872" s="266"/>
      <c r="G872" s="266"/>
      <c r="H872" s="266"/>
      <c r="I872" s="266"/>
      <c r="J872" s="266"/>
      <c r="K872" s="266"/>
      <c r="L872" s="266"/>
      <c r="M872" s="266"/>
      <c r="N872" s="266"/>
      <c r="O872" s="266"/>
      <c r="P872" s="267"/>
      <c r="Q872" s="267"/>
      <c r="R872" s="267"/>
      <c r="S872" s="267"/>
      <c r="T872" s="267"/>
      <c r="U872" s="267"/>
      <c r="V872" s="267"/>
      <c r="W872" s="267"/>
      <c r="X872" s="267"/>
      <c r="Y872" s="267"/>
    </row>
    <row r="873" ht="12.75" customHeight="1" spans="1:25">
      <c r="A873" s="266"/>
      <c r="B873" s="266"/>
      <c r="C873" s="266"/>
      <c r="D873" s="266"/>
      <c r="E873" s="266"/>
      <c r="F873" s="266"/>
      <c r="G873" s="266"/>
      <c r="H873" s="266"/>
      <c r="I873" s="266"/>
      <c r="J873" s="266"/>
      <c r="K873" s="266"/>
      <c r="L873" s="266"/>
      <c r="M873" s="266"/>
      <c r="N873" s="266"/>
      <c r="O873" s="266"/>
      <c r="P873" s="267"/>
      <c r="Q873" s="267"/>
      <c r="R873" s="267"/>
      <c r="S873" s="267"/>
      <c r="T873" s="267"/>
      <c r="U873" s="267"/>
      <c r="V873" s="267"/>
      <c r="W873" s="267"/>
      <c r="X873" s="267"/>
      <c r="Y873" s="267"/>
    </row>
    <row r="874" ht="12.75" customHeight="1" spans="1:25">
      <c r="A874" s="266"/>
      <c r="B874" s="266"/>
      <c r="C874" s="266"/>
      <c r="D874" s="266"/>
      <c r="E874" s="266"/>
      <c r="F874" s="266"/>
      <c r="G874" s="266"/>
      <c r="H874" s="266"/>
      <c r="I874" s="266"/>
      <c r="J874" s="266"/>
      <c r="K874" s="266"/>
      <c r="L874" s="266"/>
      <c r="M874" s="266"/>
      <c r="N874" s="266"/>
      <c r="O874" s="266"/>
      <c r="P874" s="267"/>
      <c r="Q874" s="267"/>
      <c r="R874" s="267"/>
      <c r="S874" s="267"/>
      <c r="T874" s="267"/>
      <c r="U874" s="267"/>
      <c r="V874" s="267"/>
      <c r="W874" s="267"/>
      <c r="X874" s="267"/>
      <c r="Y874" s="267"/>
    </row>
    <row r="875" ht="12.75" customHeight="1" spans="1:25">
      <c r="A875" s="266"/>
      <c r="B875" s="266"/>
      <c r="C875" s="266"/>
      <c r="D875" s="266"/>
      <c r="E875" s="266"/>
      <c r="F875" s="266"/>
      <c r="G875" s="266"/>
      <c r="H875" s="266"/>
      <c r="I875" s="266"/>
      <c r="J875" s="266"/>
      <c r="K875" s="266"/>
      <c r="L875" s="266"/>
      <c r="M875" s="266"/>
      <c r="N875" s="266"/>
      <c r="O875" s="266"/>
      <c r="P875" s="267"/>
      <c r="Q875" s="267"/>
      <c r="R875" s="267"/>
      <c r="S875" s="267"/>
      <c r="T875" s="267"/>
      <c r="U875" s="267"/>
      <c r="V875" s="267"/>
      <c r="W875" s="267"/>
      <c r="X875" s="267"/>
      <c r="Y875" s="267"/>
    </row>
    <row r="876" ht="12.75" customHeight="1" spans="1:25">
      <c r="A876" s="266"/>
      <c r="B876" s="266"/>
      <c r="C876" s="266"/>
      <c r="D876" s="266"/>
      <c r="E876" s="266"/>
      <c r="F876" s="266"/>
      <c r="G876" s="266"/>
      <c r="H876" s="266"/>
      <c r="I876" s="266"/>
      <c r="J876" s="266"/>
      <c r="K876" s="266"/>
      <c r="L876" s="266"/>
      <c r="M876" s="266"/>
      <c r="N876" s="266"/>
      <c r="O876" s="266"/>
      <c r="P876" s="267"/>
      <c r="Q876" s="267"/>
      <c r="R876" s="267"/>
      <c r="S876" s="267"/>
      <c r="T876" s="267"/>
      <c r="U876" s="267"/>
      <c r="V876" s="267"/>
      <c r="W876" s="267"/>
      <c r="X876" s="267"/>
      <c r="Y876" s="267"/>
    </row>
    <row r="877" ht="12.75" customHeight="1" spans="1:25">
      <c r="A877" s="266"/>
      <c r="B877" s="266"/>
      <c r="C877" s="266"/>
      <c r="D877" s="266"/>
      <c r="E877" s="266"/>
      <c r="F877" s="266"/>
      <c r="G877" s="266"/>
      <c r="H877" s="266"/>
      <c r="I877" s="266"/>
      <c r="J877" s="266"/>
      <c r="K877" s="266"/>
      <c r="L877" s="266"/>
      <c r="M877" s="266"/>
      <c r="N877" s="266"/>
      <c r="O877" s="266"/>
      <c r="P877" s="267"/>
      <c r="Q877" s="267"/>
      <c r="R877" s="267"/>
      <c r="S877" s="267"/>
      <c r="T877" s="267"/>
      <c r="U877" s="267"/>
      <c r="V877" s="267"/>
      <c r="W877" s="267"/>
      <c r="X877" s="267"/>
      <c r="Y877" s="267"/>
    </row>
    <row r="878" ht="12.75" customHeight="1" spans="1:25">
      <c r="A878" s="266"/>
      <c r="B878" s="266"/>
      <c r="C878" s="266"/>
      <c r="D878" s="266"/>
      <c r="E878" s="266"/>
      <c r="F878" s="266"/>
      <c r="G878" s="266"/>
      <c r="H878" s="266"/>
      <c r="I878" s="266"/>
      <c r="J878" s="266"/>
      <c r="K878" s="266"/>
      <c r="L878" s="266"/>
      <c r="M878" s="266"/>
      <c r="N878" s="266"/>
      <c r="O878" s="266"/>
      <c r="P878" s="267"/>
      <c r="Q878" s="267"/>
      <c r="R878" s="267"/>
      <c r="S878" s="267"/>
      <c r="T878" s="267"/>
      <c r="U878" s="267"/>
      <c r="V878" s="267"/>
      <c r="W878" s="267"/>
      <c r="X878" s="267"/>
      <c r="Y878" s="267"/>
    </row>
    <row r="879" ht="12.75" customHeight="1" spans="1:25">
      <c r="A879" s="266"/>
      <c r="B879" s="266"/>
      <c r="C879" s="266"/>
      <c r="D879" s="266"/>
      <c r="E879" s="266"/>
      <c r="F879" s="266"/>
      <c r="G879" s="266"/>
      <c r="H879" s="266"/>
      <c r="I879" s="266"/>
      <c r="J879" s="266"/>
      <c r="K879" s="266"/>
      <c r="L879" s="266"/>
      <c r="M879" s="266"/>
      <c r="N879" s="266"/>
      <c r="O879" s="266"/>
      <c r="P879" s="267"/>
      <c r="Q879" s="267"/>
      <c r="R879" s="267"/>
      <c r="S879" s="267"/>
      <c r="T879" s="267"/>
      <c r="U879" s="267"/>
      <c r="V879" s="267"/>
      <c r="W879" s="267"/>
      <c r="X879" s="267"/>
      <c r="Y879" s="267"/>
    </row>
    <row r="880" ht="12.75" customHeight="1" spans="1:25">
      <c r="A880" s="266"/>
      <c r="B880" s="266"/>
      <c r="C880" s="266"/>
      <c r="D880" s="266"/>
      <c r="E880" s="266"/>
      <c r="F880" s="266"/>
      <c r="G880" s="266"/>
      <c r="H880" s="266"/>
      <c r="I880" s="266"/>
      <c r="J880" s="266"/>
      <c r="K880" s="266"/>
      <c r="L880" s="266"/>
      <c r="M880" s="266"/>
      <c r="N880" s="266"/>
      <c r="O880" s="266"/>
      <c r="P880" s="267"/>
      <c r="Q880" s="267"/>
      <c r="R880" s="267"/>
      <c r="S880" s="267"/>
      <c r="T880" s="267"/>
      <c r="U880" s="267"/>
      <c r="V880" s="267"/>
      <c r="W880" s="267"/>
      <c r="X880" s="267"/>
      <c r="Y880" s="267"/>
    </row>
    <row r="881" ht="12.75" customHeight="1" spans="1:25">
      <c r="A881" s="266"/>
      <c r="B881" s="266"/>
      <c r="C881" s="266"/>
      <c r="D881" s="266"/>
      <c r="E881" s="266"/>
      <c r="F881" s="266"/>
      <c r="G881" s="266"/>
      <c r="H881" s="266"/>
      <c r="I881" s="266"/>
      <c r="J881" s="266"/>
      <c r="K881" s="266"/>
      <c r="L881" s="266"/>
      <c r="M881" s="266"/>
      <c r="N881" s="266"/>
      <c r="O881" s="266"/>
      <c r="P881" s="267"/>
      <c r="Q881" s="267"/>
      <c r="R881" s="267"/>
      <c r="S881" s="267"/>
      <c r="T881" s="267"/>
      <c r="U881" s="267"/>
      <c r="V881" s="267"/>
      <c r="W881" s="267"/>
      <c r="X881" s="267"/>
      <c r="Y881" s="267"/>
    </row>
    <row r="882" ht="12.75" customHeight="1" spans="1:25">
      <c r="A882" s="266"/>
      <c r="B882" s="266"/>
      <c r="C882" s="266"/>
      <c r="D882" s="266"/>
      <c r="E882" s="266"/>
      <c r="F882" s="266"/>
      <c r="G882" s="266"/>
      <c r="H882" s="266"/>
      <c r="I882" s="266"/>
      <c r="J882" s="266"/>
      <c r="K882" s="266"/>
      <c r="L882" s="266"/>
      <c r="M882" s="266"/>
      <c r="N882" s="266"/>
      <c r="O882" s="266"/>
      <c r="P882" s="267"/>
      <c r="Q882" s="267"/>
      <c r="R882" s="267"/>
      <c r="S882" s="267"/>
      <c r="T882" s="267"/>
      <c r="U882" s="267"/>
      <c r="V882" s="267"/>
      <c r="W882" s="267"/>
      <c r="X882" s="267"/>
      <c r="Y882" s="267"/>
    </row>
    <row r="883" ht="12.75" customHeight="1" spans="1:25">
      <c r="A883" s="266"/>
      <c r="B883" s="266"/>
      <c r="C883" s="266"/>
      <c r="D883" s="266"/>
      <c r="E883" s="266"/>
      <c r="F883" s="266"/>
      <c r="G883" s="266"/>
      <c r="H883" s="266"/>
      <c r="I883" s="266"/>
      <c r="J883" s="266"/>
      <c r="K883" s="266"/>
      <c r="L883" s="266"/>
      <c r="M883" s="266"/>
      <c r="N883" s="266"/>
      <c r="O883" s="266"/>
      <c r="P883" s="267"/>
      <c r="Q883" s="267"/>
      <c r="R883" s="267"/>
      <c r="S883" s="267"/>
      <c r="T883" s="267"/>
      <c r="U883" s="267"/>
      <c r="V883" s="267"/>
      <c r="W883" s="267"/>
      <c r="X883" s="267"/>
      <c r="Y883" s="267"/>
    </row>
    <row r="884" ht="12.75" customHeight="1" spans="1:25">
      <c r="A884" s="266"/>
      <c r="B884" s="266"/>
      <c r="C884" s="266"/>
      <c r="D884" s="266"/>
      <c r="E884" s="266"/>
      <c r="F884" s="266"/>
      <c r="G884" s="266"/>
      <c r="H884" s="266"/>
      <c r="I884" s="266"/>
      <c r="J884" s="266"/>
      <c r="K884" s="266"/>
      <c r="L884" s="266"/>
      <c r="M884" s="266"/>
      <c r="N884" s="266"/>
      <c r="O884" s="266"/>
      <c r="P884" s="267"/>
      <c r="Q884" s="267"/>
      <c r="R884" s="267"/>
      <c r="S884" s="267"/>
      <c r="T884" s="267"/>
      <c r="U884" s="267"/>
      <c r="V884" s="267"/>
      <c r="W884" s="267"/>
      <c r="X884" s="267"/>
      <c r="Y884" s="267"/>
    </row>
    <row r="885" ht="12.75" customHeight="1" spans="1:25">
      <c r="A885" s="266"/>
      <c r="B885" s="266"/>
      <c r="C885" s="266"/>
      <c r="D885" s="266"/>
      <c r="E885" s="266"/>
      <c r="F885" s="266"/>
      <c r="G885" s="266"/>
      <c r="H885" s="266"/>
      <c r="I885" s="266"/>
      <c r="J885" s="266"/>
      <c r="K885" s="266"/>
      <c r="L885" s="266"/>
      <c r="M885" s="266"/>
      <c r="N885" s="266"/>
      <c r="O885" s="266"/>
      <c r="P885" s="267"/>
      <c r="Q885" s="267"/>
      <c r="R885" s="267"/>
      <c r="S885" s="267"/>
      <c r="T885" s="267"/>
      <c r="U885" s="267"/>
      <c r="V885" s="267"/>
      <c r="W885" s="267"/>
      <c r="X885" s="267"/>
      <c r="Y885" s="267"/>
    </row>
    <row r="886" ht="12.75" customHeight="1" spans="1:25">
      <c r="A886" s="266"/>
      <c r="B886" s="266"/>
      <c r="C886" s="266"/>
      <c r="D886" s="266"/>
      <c r="E886" s="266"/>
      <c r="F886" s="266"/>
      <c r="G886" s="266"/>
      <c r="H886" s="266"/>
      <c r="I886" s="266"/>
      <c r="J886" s="266"/>
      <c r="K886" s="266"/>
      <c r="L886" s="266"/>
      <c r="M886" s="266"/>
      <c r="N886" s="266"/>
      <c r="O886" s="266"/>
      <c r="P886" s="267"/>
      <c r="Q886" s="267"/>
      <c r="R886" s="267"/>
      <c r="S886" s="267"/>
      <c r="T886" s="267"/>
      <c r="U886" s="267"/>
      <c r="V886" s="267"/>
      <c r="W886" s="267"/>
      <c r="X886" s="267"/>
      <c r="Y886" s="267"/>
    </row>
    <row r="887" ht="12.75" customHeight="1" spans="1:25">
      <c r="A887" s="266"/>
      <c r="B887" s="266"/>
      <c r="C887" s="266"/>
      <c r="D887" s="266"/>
      <c r="E887" s="266"/>
      <c r="F887" s="266"/>
      <c r="G887" s="266"/>
      <c r="H887" s="266"/>
      <c r="I887" s="266"/>
      <c r="J887" s="266"/>
      <c r="K887" s="266"/>
      <c r="L887" s="266"/>
      <c r="M887" s="266"/>
      <c r="N887" s="266"/>
      <c r="O887" s="266"/>
      <c r="P887" s="267"/>
      <c r="Q887" s="267"/>
      <c r="R887" s="267"/>
      <c r="S887" s="267"/>
      <c r="T887" s="267"/>
      <c r="U887" s="267"/>
      <c r="V887" s="267"/>
      <c r="W887" s="267"/>
      <c r="X887" s="267"/>
      <c r="Y887" s="267"/>
    </row>
    <row r="888" ht="12.75" customHeight="1" spans="1:25">
      <c r="A888" s="266"/>
      <c r="B888" s="266"/>
      <c r="C888" s="266"/>
      <c r="D888" s="266"/>
      <c r="E888" s="266"/>
      <c r="F888" s="266"/>
      <c r="G888" s="266"/>
      <c r="H888" s="266"/>
      <c r="I888" s="266"/>
      <c r="J888" s="266"/>
      <c r="K888" s="266"/>
      <c r="L888" s="266"/>
      <c r="M888" s="266"/>
      <c r="N888" s="266"/>
      <c r="O888" s="266"/>
      <c r="P888" s="267"/>
      <c r="Q888" s="267"/>
      <c r="R888" s="267"/>
      <c r="S888" s="267"/>
      <c r="T888" s="267"/>
      <c r="U888" s="267"/>
      <c r="V888" s="267"/>
      <c r="W888" s="267"/>
      <c r="X888" s="267"/>
      <c r="Y888" s="267"/>
    </row>
    <row r="889" ht="12.75" customHeight="1" spans="1:25">
      <c r="A889" s="266"/>
      <c r="B889" s="266"/>
      <c r="C889" s="266"/>
      <c r="D889" s="266"/>
      <c r="E889" s="266"/>
      <c r="F889" s="266"/>
      <c r="G889" s="266"/>
      <c r="H889" s="266"/>
      <c r="I889" s="266"/>
      <c r="J889" s="266"/>
      <c r="K889" s="266"/>
      <c r="L889" s="266"/>
      <c r="M889" s="266"/>
      <c r="N889" s="266"/>
      <c r="O889" s="266"/>
      <c r="P889" s="267"/>
      <c r="Q889" s="267"/>
      <c r="R889" s="267"/>
      <c r="S889" s="267"/>
      <c r="T889" s="267"/>
      <c r="U889" s="267"/>
      <c r="V889" s="267"/>
      <c r="W889" s="267"/>
      <c r="X889" s="267"/>
      <c r="Y889" s="267"/>
    </row>
    <row r="890" ht="12.75" customHeight="1" spans="1:25">
      <c r="A890" s="266"/>
      <c r="B890" s="266"/>
      <c r="C890" s="266"/>
      <c r="D890" s="266"/>
      <c r="E890" s="266"/>
      <c r="F890" s="266"/>
      <c r="G890" s="266"/>
      <c r="H890" s="266"/>
      <c r="I890" s="266"/>
      <c r="J890" s="266"/>
      <c r="K890" s="266"/>
      <c r="L890" s="266"/>
      <c r="M890" s="266"/>
      <c r="N890" s="266"/>
      <c r="O890" s="266"/>
      <c r="P890" s="267"/>
      <c r="Q890" s="267"/>
      <c r="R890" s="267"/>
      <c r="S890" s="267"/>
      <c r="T890" s="267"/>
      <c r="U890" s="267"/>
      <c r="V890" s="267"/>
      <c r="W890" s="267"/>
      <c r="X890" s="267"/>
      <c r="Y890" s="267"/>
    </row>
    <row r="891" ht="12.75" customHeight="1" spans="1:25">
      <c r="A891" s="266"/>
      <c r="B891" s="266"/>
      <c r="C891" s="266"/>
      <c r="D891" s="266"/>
      <c r="E891" s="266"/>
      <c r="F891" s="266"/>
      <c r="G891" s="266"/>
      <c r="H891" s="266"/>
      <c r="I891" s="266"/>
      <c r="J891" s="266"/>
      <c r="K891" s="266"/>
      <c r="L891" s="266"/>
      <c r="M891" s="266"/>
      <c r="N891" s="266"/>
      <c r="O891" s="266"/>
      <c r="P891" s="267"/>
      <c r="Q891" s="267"/>
      <c r="R891" s="267"/>
      <c r="S891" s="267"/>
      <c r="T891" s="267"/>
      <c r="U891" s="267"/>
      <c r="V891" s="267"/>
      <c r="W891" s="267"/>
      <c r="X891" s="267"/>
      <c r="Y891" s="267"/>
    </row>
    <row r="892" ht="12.75" customHeight="1" spans="1:25">
      <c r="A892" s="266"/>
      <c r="B892" s="266"/>
      <c r="C892" s="266"/>
      <c r="D892" s="266"/>
      <c r="E892" s="266"/>
      <c r="F892" s="266"/>
      <c r="G892" s="266"/>
      <c r="H892" s="266"/>
      <c r="I892" s="266"/>
      <c r="J892" s="266"/>
      <c r="K892" s="266"/>
      <c r="L892" s="266"/>
      <c r="M892" s="266"/>
      <c r="N892" s="266"/>
      <c r="O892" s="266"/>
      <c r="P892" s="267"/>
      <c r="Q892" s="267"/>
      <c r="R892" s="267"/>
      <c r="S892" s="267"/>
      <c r="T892" s="267"/>
      <c r="U892" s="267"/>
      <c r="V892" s="267"/>
      <c r="W892" s="267"/>
      <c r="X892" s="267"/>
      <c r="Y892" s="267"/>
    </row>
    <row r="893" ht="12.75" customHeight="1" spans="1:25">
      <c r="A893" s="266"/>
      <c r="B893" s="266"/>
      <c r="C893" s="266"/>
      <c r="D893" s="266"/>
      <c r="E893" s="266"/>
      <c r="F893" s="266"/>
      <c r="G893" s="266"/>
      <c r="H893" s="266"/>
      <c r="I893" s="266"/>
      <c r="J893" s="266"/>
      <c r="K893" s="266"/>
      <c r="L893" s="266"/>
      <c r="M893" s="266"/>
      <c r="N893" s="266"/>
      <c r="O893" s="266"/>
      <c r="P893" s="267"/>
      <c r="Q893" s="267"/>
      <c r="R893" s="267"/>
      <c r="S893" s="267"/>
      <c r="T893" s="267"/>
      <c r="U893" s="267"/>
      <c r="V893" s="267"/>
      <c r="W893" s="267"/>
      <c r="X893" s="267"/>
      <c r="Y893" s="267"/>
    </row>
    <row r="894" ht="12.75" customHeight="1" spans="1:25">
      <c r="A894" s="266"/>
      <c r="B894" s="266"/>
      <c r="C894" s="266"/>
      <c r="D894" s="266"/>
      <c r="E894" s="266"/>
      <c r="F894" s="266"/>
      <c r="G894" s="266"/>
      <c r="H894" s="266"/>
      <c r="I894" s="266"/>
      <c r="J894" s="266"/>
      <c r="K894" s="266"/>
      <c r="L894" s="266"/>
      <c r="M894" s="266"/>
      <c r="N894" s="266"/>
      <c r="O894" s="266"/>
      <c r="P894" s="267"/>
      <c r="Q894" s="267"/>
      <c r="R894" s="267"/>
      <c r="S894" s="267"/>
      <c r="T894" s="267"/>
      <c r="U894" s="267"/>
      <c r="V894" s="267"/>
      <c r="W894" s="267"/>
      <c r="X894" s="267"/>
      <c r="Y894" s="267"/>
    </row>
    <row r="895" ht="12.75" customHeight="1" spans="1:25">
      <c r="A895" s="266"/>
      <c r="B895" s="266"/>
      <c r="C895" s="266"/>
      <c r="D895" s="266"/>
      <c r="E895" s="266"/>
      <c r="F895" s="266"/>
      <c r="G895" s="266"/>
      <c r="H895" s="266"/>
      <c r="I895" s="266"/>
      <c r="J895" s="266"/>
      <c r="K895" s="266"/>
      <c r="L895" s="266"/>
      <c r="M895" s="266"/>
      <c r="N895" s="266"/>
      <c r="O895" s="266"/>
      <c r="P895" s="267"/>
      <c r="Q895" s="267"/>
      <c r="R895" s="267"/>
      <c r="S895" s="267"/>
      <c r="T895" s="267"/>
      <c r="U895" s="267"/>
      <c r="V895" s="267"/>
      <c r="W895" s="267"/>
      <c r="X895" s="267"/>
      <c r="Y895" s="267"/>
    </row>
    <row r="896" ht="12.75" customHeight="1" spans="1:25">
      <c r="A896" s="266"/>
      <c r="B896" s="266"/>
      <c r="C896" s="266"/>
      <c r="D896" s="266"/>
      <c r="E896" s="266"/>
      <c r="F896" s="266"/>
      <c r="G896" s="266"/>
      <c r="H896" s="266"/>
      <c r="I896" s="266"/>
      <c r="J896" s="266"/>
      <c r="K896" s="266"/>
      <c r="L896" s="266"/>
      <c r="M896" s="266"/>
      <c r="N896" s="266"/>
      <c r="O896" s="266"/>
      <c r="P896" s="267"/>
      <c r="Q896" s="267"/>
      <c r="R896" s="267"/>
      <c r="S896" s="267"/>
      <c r="T896" s="267"/>
      <c r="U896" s="267"/>
      <c r="V896" s="267"/>
      <c r="W896" s="267"/>
      <c r="X896" s="267"/>
      <c r="Y896" s="267"/>
    </row>
    <row r="897" ht="12.75" customHeight="1" spans="1:25">
      <c r="A897" s="266"/>
      <c r="B897" s="266"/>
      <c r="C897" s="266"/>
      <c r="D897" s="266"/>
      <c r="E897" s="266"/>
      <c r="F897" s="266"/>
      <c r="G897" s="266"/>
      <c r="H897" s="266"/>
      <c r="I897" s="266"/>
      <c r="J897" s="266"/>
      <c r="K897" s="266"/>
      <c r="L897" s="266"/>
      <c r="M897" s="266"/>
      <c r="N897" s="266"/>
      <c r="O897" s="266"/>
      <c r="P897" s="267"/>
      <c r="Q897" s="267"/>
      <c r="R897" s="267"/>
      <c r="S897" s="267"/>
      <c r="T897" s="267"/>
      <c r="U897" s="267"/>
      <c r="V897" s="267"/>
      <c r="W897" s="267"/>
      <c r="X897" s="267"/>
      <c r="Y897" s="267"/>
    </row>
    <row r="898" ht="12.75" customHeight="1" spans="1:25">
      <c r="A898" s="266"/>
      <c r="B898" s="266"/>
      <c r="C898" s="266"/>
      <c r="D898" s="266"/>
      <c r="E898" s="266"/>
      <c r="F898" s="266"/>
      <c r="G898" s="266"/>
      <c r="H898" s="266"/>
      <c r="I898" s="266"/>
      <c r="J898" s="266"/>
      <c r="K898" s="266"/>
      <c r="L898" s="266"/>
      <c r="M898" s="266"/>
      <c r="N898" s="266"/>
      <c r="O898" s="266"/>
      <c r="P898" s="267"/>
      <c r="Q898" s="267"/>
      <c r="R898" s="267"/>
      <c r="S898" s="267"/>
      <c r="T898" s="267"/>
      <c r="U898" s="267"/>
      <c r="V898" s="267"/>
      <c r="W898" s="267"/>
      <c r="X898" s="267"/>
      <c r="Y898" s="267"/>
    </row>
    <row r="899" ht="12.75" customHeight="1" spans="1:25">
      <c r="A899" s="266"/>
      <c r="B899" s="266"/>
      <c r="C899" s="266"/>
      <c r="D899" s="266"/>
      <c r="E899" s="266"/>
      <c r="F899" s="266"/>
      <c r="G899" s="266"/>
      <c r="H899" s="266"/>
      <c r="I899" s="266"/>
      <c r="J899" s="266"/>
      <c r="K899" s="266"/>
      <c r="L899" s="266"/>
      <c r="M899" s="266"/>
      <c r="N899" s="266"/>
      <c r="O899" s="266"/>
      <c r="P899" s="267"/>
      <c r="Q899" s="267"/>
      <c r="R899" s="267"/>
      <c r="S899" s="267"/>
      <c r="T899" s="267"/>
      <c r="U899" s="267"/>
      <c r="V899" s="267"/>
      <c r="W899" s="267"/>
      <c r="X899" s="267"/>
      <c r="Y899" s="267"/>
    </row>
    <row r="900" ht="12.75" customHeight="1" spans="1:25">
      <c r="A900" s="266"/>
      <c r="B900" s="266"/>
      <c r="C900" s="266"/>
      <c r="D900" s="266"/>
      <c r="E900" s="266"/>
      <c r="F900" s="266"/>
      <c r="G900" s="266"/>
      <c r="H900" s="266"/>
      <c r="I900" s="266"/>
      <c r="J900" s="266"/>
      <c r="K900" s="266"/>
      <c r="L900" s="266"/>
      <c r="M900" s="266"/>
      <c r="N900" s="266"/>
      <c r="O900" s="266"/>
      <c r="P900" s="267"/>
      <c r="Q900" s="267"/>
      <c r="R900" s="267"/>
      <c r="S900" s="267"/>
      <c r="T900" s="267"/>
      <c r="U900" s="267"/>
      <c r="V900" s="267"/>
      <c r="W900" s="267"/>
      <c r="X900" s="267"/>
      <c r="Y900" s="267"/>
    </row>
    <row r="901" ht="12.75" customHeight="1" spans="1:25">
      <c r="A901" s="266"/>
      <c r="B901" s="266"/>
      <c r="C901" s="266"/>
      <c r="D901" s="266"/>
      <c r="E901" s="266"/>
      <c r="F901" s="266"/>
      <c r="G901" s="266"/>
      <c r="H901" s="266"/>
      <c r="I901" s="266"/>
      <c r="J901" s="266"/>
      <c r="K901" s="266"/>
      <c r="L901" s="266"/>
      <c r="M901" s="266"/>
      <c r="N901" s="266"/>
      <c r="O901" s="266"/>
      <c r="P901" s="267"/>
      <c r="Q901" s="267"/>
      <c r="R901" s="267"/>
      <c r="S901" s="267"/>
      <c r="T901" s="267"/>
      <c r="U901" s="267"/>
      <c r="V901" s="267"/>
      <c r="W901" s="267"/>
      <c r="X901" s="267"/>
      <c r="Y901" s="267"/>
    </row>
    <row r="902" ht="12.75" customHeight="1" spans="1:25">
      <c r="A902" s="266"/>
      <c r="B902" s="266"/>
      <c r="C902" s="266"/>
      <c r="D902" s="266"/>
      <c r="E902" s="266"/>
      <c r="F902" s="266"/>
      <c r="G902" s="266"/>
      <c r="H902" s="266"/>
      <c r="I902" s="266"/>
      <c r="J902" s="266"/>
      <c r="K902" s="266"/>
      <c r="L902" s="266"/>
      <c r="M902" s="266"/>
      <c r="N902" s="266"/>
      <c r="O902" s="266"/>
      <c r="P902" s="267"/>
      <c r="Q902" s="267"/>
      <c r="R902" s="267"/>
      <c r="S902" s="267"/>
      <c r="T902" s="267"/>
      <c r="U902" s="267"/>
      <c r="V902" s="267"/>
      <c r="W902" s="267"/>
      <c r="X902" s="267"/>
      <c r="Y902" s="267"/>
    </row>
    <row r="903" ht="12.75" customHeight="1" spans="1:25">
      <c r="A903" s="266"/>
      <c r="B903" s="266"/>
      <c r="C903" s="266"/>
      <c r="D903" s="266"/>
      <c r="E903" s="266"/>
      <c r="F903" s="266"/>
      <c r="G903" s="266"/>
      <c r="H903" s="266"/>
      <c r="I903" s="266"/>
      <c r="J903" s="266"/>
      <c r="K903" s="266"/>
      <c r="L903" s="266"/>
      <c r="M903" s="266"/>
      <c r="N903" s="266"/>
      <c r="O903" s="266"/>
      <c r="P903" s="267"/>
      <c r="Q903" s="267"/>
      <c r="R903" s="267"/>
      <c r="S903" s="267"/>
      <c r="T903" s="267"/>
      <c r="U903" s="267"/>
      <c r="V903" s="267"/>
      <c r="W903" s="267"/>
      <c r="X903" s="267"/>
      <c r="Y903" s="267"/>
    </row>
    <row r="904" ht="12.75" customHeight="1" spans="1:25">
      <c r="A904" s="266"/>
      <c r="B904" s="266"/>
      <c r="C904" s="266"/>
      <c r="D904" s="266"/>
      <c r="E904" s="266"/>
      <c r="F904" s="266"/>
      <c r="G904" s="266"/>
      <c r="H904" s="266"/>
      <c r="I904" s="266"/>
      <c r="J904" s="266"/>
      <c r="K904" s="266"/>
      <c r="L904" s="266"/>
      <c r="M904" s="266"/>
      <c r="N904" s="266"/>
      <c r="O904" s="266"/>
      <c r="P904" s="267"/>
      <c r="Q904" s="267"/>
      <c r="R904" s="267"/>
      <c r="S904" s="267"/>
      <c r="T904" s="267"/>
      <c r="U904" s="267"/>
      <c r="V904" s="267"/>
      <c r="W904" s="267"/>
      <c r="X904" s="267"/>
      <c r="Y904" s="267"/>
    </row>
    <row r="905" ht="12.75" customHeight="1" spans="1:25">
      <c r="A905" s="266"/>
      <c r="B905" s="266"/>
      <c r="C905" s="266"/>
      <c r="D905" s="266"/>
      <c r="E905" s="266"/>
      <c r="F905" s="266"/>
      <c r="G905" s="266"/>
      <c r="H905" s="266"/>
      <c r="I905" s="266"/>
      <c r="J905" s="266"/>
      <c r="K905" s="266"/>
      <c r="L905" s="266"/>
      <c r="M905" s="266"/>
      <c r="N905" s="266"/>
      <c r="O905" s="266"/>
      <c r="P905" s="267"/>
      <c r="Q905" s="267"/>
      <c r="R905" s="267"/>
      <c r="S905" s="267"/>
      <c r="T905" s="267"/>
      <c r="U905" s="267"/>
      <c r="V905" s="267"/>
      <c r="W905" s="267"/>
      <c r="X905" s="267"/>
      <c r="Y905" s="267"/>
    </row>
    <row r="906" ht="12.75" customHeight="1" spans="1:25">
      <c r="A906" s="266"/>
      <c r="B906" s="266"/>
      <c r="C906" s="266"/>
      <c r="D906" s="266"/>
      <c r="E906" s="266"/>
      <c r="F906" s="266"/>
      <c r="G906" s="266"/>
      <c r="H906" s="266"/>
      <c r="I906" s="266"/>
      <c r="J906" s="266"/>
      <c r="K906" s="266"/>
      <c r="L906" s="266"/>
      <c r="M906" s="266"/>
      <c r="N906" s="266"/>
      <c r="O906" s="266"/>
      <c r="P906" s="267"/>
      <c r="Q906" s="267"/>
      <c r="R906" s="267"/>
      <c r="S906" s="267"/>
      <c r="T906" s="267"/>
      <c r="U906" s="267"/>
      <c r="V906" s="267"/>
      <c r="W906" s="267"/>
      <c r="X906" s="267"/>
      <c r="Y906" s="267"/>
    </row>
    <row r="907" ht="12.75" customHeight="1" spans="1:25">
      <c r="A907" s="266"/>
      <c r="B907" s="266"/>
      <c r="C907" s="266"/>
      <c r="D907" s="266"/>
      <c r="E907" s="266"/>
      <c r="F907" s="266"/>
      <c r="G907" s="266"/>
      <c r="H907" s="266"/>
      <c r="I907" s="266"/>
      <c r="J907" s="266"/>
      <c r="K907" s="266"/>
      <c r="L907" s="266"/>
      <c r="M907" s="266"/>
      <c r="N907" s="266"/>
      <c r="O907" s="266"/>
      <c r="P907" s="267"/>
      <c r="Q907" s="267"/>
      <c r="R907" s="267"/>
      <c r="S907" s="267"/>
      <c r="T907" s="267"/>
      <c r="U907" s="267"/>
      <c r="V907" s="267"/>
      <c r="W907" s="267"/>
      <c r="X907" s="267"/>
      <c r="Y907" s="267"/>
    </row>
    <row r="908" ht="12.75" customHeight="1" spans="1:25">
      <c r="A908" s="266"/>
      <c r="B908" s="266"/>
      <c r="C908" s="266"/>
      <c r="D908" s="266"/>
      <c r="E908" s="266"/>
      <c r="F908" s="266"/>
      <c r="G908" s="266"/>
      <c r="H908" s="266"/>
      <c r="I908" s="266"/>
      <c r="J908" s="266"/>
      <c r="K908" s="266"/>
      <c r="L908" s="266"/>
      <c r="M908" s="266"/>
      <c r="N908" s="266"/>
      <c r="O908" s="266"/>
      <c r="P908" s="267"/>
      <c r="Q908" s="267"/>
      <c r="R908" s="267"/>
      <c r="S908" s="267"/>
      <c r="T908" s="267"/>
      <c r="U908" s="267"/>
      <c r="V908" s="267"/>
      <c r="W908" s="267"/>
      <c r="X908" s="267"/>
      <c r="Y908" s="267"/>
    </row>
    <row r="909" ht="12.75" customHeight="1" spans="1:25">
      <c r="A909" s="266"/>
      <c r="B909" s="266"/>
      <c r="C909" s="266"/>
      <c r="D909" s="266"/>
      <c r="E909" s="266"/>
      <c r="F909" s="266"/>
      <c r="G909" s="266"/>
      <c r="H909" s="266"/>
      <c r="I909" s="266"/>
      <c r="J909" s="266"/>
      <c r="K909" s="266"/>
      <c r="L909" s="266"/>
      <c r="M909" s="266"/>
      <c r="N909" s="266"/>
      <c r="O909" s="266"/>
      <c r="P909" s="267"/>
      <c r="Q909" s="267"/>
      <c r="R909" s="267"/>
      <c r="S909" s="267"/>
      <c r="T909" s="267"/>
      <c r="U909" s="267"/>
      <c r="V909" s="267"/>
      <c r="W909" s="267"/>
      <c r="X909" s="267"/>
      <c r="Y909" s="267"/>
    </row>
    <row r="910" ht="12.75" customHeight="1" spans="1:25">
      <c r="A910" s="266"/>
      <c r="B910" s="266"/>
      <c r="C910" s="266"/>
      <c r="D910" s="266"/>
      <c r="E910" s="266"/>
      <c r="F910" s="266"/>
      <c r="G910" s="266"/>
      <c r="H910" s="266"/>
      <c r="I910" s="266"/>
      <c r="J910" s="266"/>
      <c r="K910" s="266"/>
      <c r="L910" s="266"/>
      <c r="M910" s="266"/>
      <c r="N910" s="266"/>
      <c r="O910" s="266"/>
      <c r="P910" s="267"/>
      <c r="Q910" s="267"/>
      <c r="R910" s="267"/>
      <c r="S910" s="267"/>
      <c r="T910" s="267"/>
      <c r="U910" s="267"/>
      <c r="V910" s="267"/>
      <c r="W910" s="267"/>
      <c r="X910" s="267"/>
      <c r="Y910" s="267"/>
    </row>
    <row r="911" ht="12.75" customHeight="1" spans="1:25">
      <c r="A911" s="266"/>
      <c r="B911" s="266"/>
      <c r="C911" s="266"/>
      <c r="D911" s="266"/>
      <c r="E911" s="266"/>
      <c r="F911" s="266"/>
      <c r="G911" s="266"/>
      <c r="H911" s="266"/>
      <c r="I911" s="266"/>
      <c r="J911" s="266"/>
      <c r="K911" s="266"/>
      <c r="L911" s="266"/>
      <c r="M911" s="266"/>
      <c r="N911" s="266"/>
      <c r="O911" s="266"/>
      <c r="P911" s="267"/>
      <c r="Q911" s="267"/>
      <c r="R911" s="267"/>
      <c r="S911" s="267"/>
      <c r="T911" s="267"/>
      <c r="U911" s="267"/>
      <c r="V911" s="267"/>
      <c r="W911" s="267"/>
      <c r="X911" s="267"/>
      <c r="Y911" s="267"/>
    </row>
    <row r="912" ht="12.75" customHeight="1" spans="1:25">
      <c r="A912" s="266"/>
      <c r="B912" s="266"/>
      <c r="C912" s="266"/>
      <c r="D912" s="266"/>
      <c r="E912" s="266"/>
      <c r="F912" s="266"/>
      <c r="G912" s="266"/>
      <c r="H912" s="266"/>
      <c r="I912" s="266"/>
      <c r="J912" s="266"/>
      <c r="K912" s="266"/>
      <c r="L912" s="266"/>
      <c r="M912" s="266"/>
      <c r="N912" s="266"/>
      <c r="O912" s="266"/>
      <c r="P912" s="267"/>
      <c r="Q912" s="267"/>
      <c r="R912" s="267"/>
      <c r="S912" s="267"/>
      <c r="T912" s="267"/>
      <c r="U912" s="267"/>
      <c r="V912" s="267"/>
      <c r="W912" s="267"/>
      <c r="X912" s="267"/>
      <c r="Y912" s="267"/>
    </row>
    <row r="913" ht="12.75" customHeight="1" spans="1:25">
      <c r="A913" s="266"/>
      <c r="B913" s="266"/>
      <c r="C913" s="266"/>
      <c r="D913" s="266"/>
      <c r="E913" s="266"/>
      <c r="F913" s="266"/>
      <c r="G913" s="266"/>
      <c r="H913" s="266"/>
      <c r="I913" s="266"/>
      <c r="J913" s="266"/>
      <c r="K913" s="266"/>
      <c r="L913" s="266"/>
      <c r="M913" s="266"/>
      <c r="N913" s="266"/>
      <c r="O913" s="266"/>
      <c r="P913" s="267"/>
      <c r="Q913" s="267"/>
      <c r="R913" s="267"/>
      <c r="S913" s="267"/>
      <c r="T913" s="267"/>
      <c r="U913" s="267"/>
      <c r="V913" s="267"/>
      <c r="W913" s="267"/>
      <c r="X913" s="267"/>
      <c r="Y913" s="267"/>
    </row>
    <row r="914" ht="12.75" customHeight="1" spans="1:25">
      <c r="A914" s="266"/>
      <c r="B914" s="266"/>
      <c r="C914" s="266"/>
      <c r="D914" s="266"/>
      <c r="E914" s="266"/>
      <c r="F914" s="266"/>
      <c r="G914" s="266"/>
      <c r="H914" s="266"/>
      <c r="I914" s="266"/>
      <c r="J914" s="266"/>
      <c r="K914" s="266"/>
      <c r="L914" s="266"/>
      <c r="M914" s="266"/>
      <c r="N914" s="266"/>
      <c r="O914" s="266"/>
      <c r="P914" s="267"/>
      <c r="Q914" s="267"/>
      <c r="R914" s="267"/>
      <c r="S914" s="267"/>
      <c r="T914" s="267"/>
      <c r="U914" s="267"/>
      <c r="V914" s="267"/>
      <c r="W914" s="267"/>
      <c r="X914" s="267"/>
      <c r="Y914" s="267"/>
    </row>
    <row r="915" ht="12.75" customHeight="1" spans="1:25">
      <c r="A915" s="266"/>
      <c r="B915" s="266"/>
      <c r="C915" s="266"/>
      <c r="D915" s="266"/>
      <c r="E915" s="266"/>
      <c r="F915" s="266"/>
      <c r="G915" s="266"/>
      <c r="H915" s="266"/>
      <c r="I915" s="266"/>
      <c r="J915" s="266"/>
      <c r="K915" s="266"/>
      <c r="L915" s="266"/>
      <c r="M915" s="266"/>
      <c r="N915" s="266"/>
      <c r="O915" s="266"/>
      <c r="P915" s="267"/>
      <c r="Q915" s="267"/>
      <c r="R915" s="267"/>
      <c r="S915" s="267"/>
      <c r="T915" s="267"/>
      <c r="U915" s="267"/>
      <c r="V915" s="267"/>
      <c r="W915" s="267"/>
      <c r="X915" s="267"/>
      <c r="Y915" s="267"/>
    </row>
    <row r="916" ht="12.75" customHeight="1" spans="1:25">
      <c r="A916" s="266"/>
      <c r="B916" s="266"/>
      <c r="C916" s="266"/>
      <c r="D916" s="266"/>
      <c r="E916" s="266"/>
      <c r="F916" s="266"/>
      <c r="G916" s="266"/>
      <c r="H916" s="266"/>
      <c r="I916" s="266"/>
      <c r="J916" s="266"/>
      <c r="K916" s="266"/>
      <c r="L916" s="266"/>
      <c r="M916" s="266"/>
      <c r="N916" s="266"/>
      <c r="O916" s="266"/>
      <c r="P916" s="267"/>
      <c r="Q916" s="267"/>
      <c r="R916" s="267"/>
      <c r="S916" s="267"/>
      <c r="T916" s="267"/>
      <c r="U916" s="267"/>
      <c r="V916" s="267"/>
      <c r="W916" s="267"/>
      <c r="X916" s="267"/>
      <c r="Y916" s="267"/>
    </row>
    <row r="917" ht="12.75" customHeight="1" spans="1:25">
      <c r="A917" s="266"/>
      <c r="B917" s="266"/>
      <c r="C917" s="266"/>
      <c r="D917" s="266"/>
      <c r="E917" s="266"/>
      <c r="F917" s="266"/>
      <c r="G917" s="266"/>
      <c r="H917" s="266"/>
      <c r="I917" s="266"/>
      <c r="J917" s="266"/>
      <c r="K917" s="266"/>
      <c r="L917" s="266"/>
      <c r="M917" s="266"/>
      <c r="N917" s="266"/>
      <c r="O917" s="266"/>
      <c r="P917" s="267"/>
      <c r="Q917" s="267"/>
      <c r="R917" s="267"/>
      <c r="S917" s="267"/>
      <c r="T917" s="267"/>
      <c r="U917" s="267"/>
      <c r="V917" s="267"/>
      <c r="W917" s="267"/>
      <c r="X917" s="267"/>
      <c r="Y917" s="267"/>
    </row>
    <row r="918" ht="12.75" customHeight="1" spans="1:25">
      <c r="A918" s="266"/>
      <c r="B918" s="266"/>
      <c r="C918" s="266"/>
      <c r="D918" s="266"/>
      <c r="E918" s="266"/>
      <c r="F918" s="266"/>
      <c r="G918" s="266"/>
      <c r="H918" s="266"/>
      <c r="I918" s="266"/>
      <c r="J918" s="266"/>
      <c r="K918" s="266"/>
      <c r="L918" s="266"/>
      <c r="M918" s="266"/>
      <c r="N918" s="266"/>
      <c r="O918" s="266"/>
      <c r="P918" s="267"/>
      <c r="Q918" s="267"/>
      <c r="R918" s="267"/>
      <c r="S918" s="267"/>
      <c r="T918" s="267"/>
      <c r="U918" s="267"/>
      <c r="V918" s="267"/>
      <c r="W918" s="267"/>
      <c r="X918" s="267"/>
      <c r="Y918" s="267"/>
    </row>
    <row r="919" ht="12.75" customHeight="1" spans="1:25">
      <c r="A919" s="266"/>
      <c r="B919" s="266"/>
      <c r="C919" s="266"/>
      <c r="D919" s="266"/>
      <c r="E919" s="266"/>
      <c r="F919" s="266"/>
      <c r="G919" s="266"/>
      <c r="H919" s="266"/>
      <c r="I919" s="266"/>
      <c r="J919" s="266"/>
      <c r="K919" s="266"/>
      <c r="L919" s="266"/>
      <c r="M919" s="266"/>
      <c r="N919" s="266"/>
      <c r="O919" s="266"/>
      <c r="P919" s="267"/>
      <c r="Q919" s="267"/>
      <c r="R919" s="267"/>
      <c r="S919" s="267"/>
      <c r="T919" s="267"/>
      <c r="U919" s="267"/>
      <c r="V919" s="267"/>
      <c r="W919" s="267"/>
      <c r="X919" s="267"/>
      <c r="Y919" s="267"/>
    </row>
    <row r="920" ht="12.75" customHeight="1" spans="1:25">
      <c r="A920" s="266"/>
      <c r="B920" s="266"/>
      <c r="C920" s="266"/>
      <c r="D920" s="266"/>
      <c r="E920" s="266"/>
      <c r="F920" s="266"/>
      <c r="G920" s="266"/>
      <c r="H920" s="266"/>
      <c r="I920" s="266"/>
      <c r="J920" s="266"/>
      <c r="K920" s="266"/>
      <c r="L920" s="266"/>
      <c r="M920" s="266"/>
      <c r="N920" s="266"/>
      <c r="O920" s="266"/>
      <c r="P920" s="267"/>
      <c r="Q920" s="267"/>
      <c r="R920" s="267"/>
      <c r="S920" s="267"/>
      <c r="T920" s="267"/>
      <c r="U920" s="267"/>
      <c r="V920" s="267"/>
      <c r="W920" s="267"/>
      <c r="X920" s="267"/>
      <c r="Y920" s="267"/>
    </row>
    <row r="921" ht="12.75" customHeight="1" spans="1:25">
      <c r="A921" s="266"/>
      <c r="B921" s="266"/>
      <c r="C921" s="266"/>
      <c r="D921" s="266"/>
      <c r="E921" s="266"/>
      <c r="F921" s="266"/>
      <c r="G921" s="266"/>
      <c r="H921" s="266"/>
      <c r="I921" s="266"/>
      <c r="J921" s="266"/>
      <c r="K921" s="266"/>
      <c r="L921" s="266"/>
      <c r="M921" s="266"/>
      <c r="N921" s="266"/>
      <c r="O921" s="266"/>
      <c r="P921" s="267"/>
      <c r="Q921" s="267"/>
      <c r="R921" s="267"/>
      <c r="S921" s="267"/>
      <c r="T921" s="267"/>
      <c r="U921" s="267"/>
      <c r="V921" s="267"/>
      <c r="W921" s="267"/>
      <c r="X921" s="267"/>
      <c r="Y921" s="267"/>
    </row>
    <row r="922" ht="12.75" customHeight="1" spans="1:25">
      <c r="A922" s="266"/>
      <c r="B922" s="266"/>
      <c r="C922" s="266"/>
      <c r="D922" s="266"/>
      <c r="E922" s="266"/>
      <c r="F922" s="266"/>
      <c r="G922" s="266"/>
      <c r="H922" s="266"/>
      <c r="I922" s="266"/>
      <c r="J922" s="266"/>
      <c r="K922" s="266"/>
      <c r="L922" s="266"/>
      <c r="M922" s="266"/>
      <c r="N922" s="266"/>
      <c r="O922" s="266"/>
      <c r="P922" s="267"/>
      <c r="Q922" s="267"/>
      <c r="R922" s="267"/>
      <c r="S922" s="267"/>
      <c r="T922" s="267"/>
      <c r="U922" s="267"/>
      <c r="V922" s="267"/>
      <c r="W922" s="267"/>
      <c r="X922" s="267"/>
      <c r="Y922" s="267"/>
    </row>
    <row r="923" ht="12.75" customHeight="1" spans="1:25">
      <c r="A923" s="266"/>
      <c r="B923" s="266"/>
      <c r="C923" s="266"/>
      <c r="D923" s="266"/>
      <c r="E923" s="266"/>
      <c r="F923" s="266"/>
      <c r="G923" s="266"/>
      <c r="H923" s="266"/>
      <c r="I923" s="266"/>
      <c r="J923" s="266"/>
      <c r="K923" s="266"/>
      <c r="L923" s="266"/>
      <c r="M923" s="266"/>
      <c r="N923" s="266"/>
      <c r="O923" s="266"/>
      <c r="P923" s="267"/>
      <c r="Q923" s="267"/>
      <c r="R923" s="267"/>
      <c r="S923" s="267"/>
      <c r="T923" s="267"/>
      <c r="U923" s="267"/>
      <c r="V923" s="267"/>
      <c r="W923" s="267"/>
      <c r="X923" s="267"/>
      <c r="Y923" s="267"/>
    </row>
    <row r="924" ht="12.75" customHeight="1" spans="1:25">
      <c r="A924" s="266"/>
      <c r="B924" s="266"/>
      <c r="C924" s="266"/>
      <c r="D924" s="266"/>
      <c r="E924" s="266"/>
      <c r="F924" s="266"/>
      <c r="G924" s="266"/>
      <c r="H924" s="266"/>
      <c r="I924" s="266"/>
      <c r="J924" s="266"/>
      <c r="K924" s="266"/>
      <c r="L924" s="266"/>
      <c r="M924" s="266"/>
      <c r="N924" s="266"/>
      <c r="O924" s="266"/>
      <c r="P924" s="267"/>
      <c r="Q924" s="267"/>
      <c r="R924" s="267"/>
      <c r="S924" s="267"/>
      <c r="T924" s="267"/>
      <c r="U924" s="267"/>
      <c r="V924" s="267"/>
      <c r="W924" s="267"/>
      <c r="X924" s="267"/>
      <c r="Y924" s="267"/>
    </row>
    <row r="925" ht="12.75" customHeight="1" spans="1:25">
      <c r="A925" s="266"/>
      <c r="B925" s="266"/>
      <c r="C925" s="266"/>
      <c r="D925" s="266"/>
      <c r="E925" s="266"/>
      <c r="F925" s="266"/>
      <c r="G925" s="266"/>
      <c r="H925" s="266"/>
      <c r="I925" s="266"/>
      <c r="J925" s="266"/>
      <c r="K925" s="266"/>
      <c r="L925" s="266"/>
      <c r="M925" s="266"/>
      <c r="N925" s="266"/>
      <c r="O925" s="266"/>
      <c r="P925" s="267"/>
      <c r="Q925" s="267"/>
      <c r="R925" s="267"/>
      <c r="S925" s="267"/>
      <c r="T925" s="267"/>
      <c r="U925" s="267"/>
      <c r="V925" s="267"/>
      <c r="W925" s="267"/>
      <c r="X925" s="267"/>
      <c r="Y925" s="267"/>
    </row>
    <row r="926" ht="12.75" customHeight="1" spans="1:25">
      <c r="A926" s="266"/>
      <c r="B926" s="266"/>
      <c r="C926" s="266"/>
      <c r="D926" s="266"/>
      <c r="E926" s="266"/>
      <c r="F926" s="266"/>
      <c r="G926" s="266"/>
      <c r="H926" s="266"/>
      <c r="I926" s="266"/>
      <c r="J926" s="266"/>
      <c r="K926" s="266"/>
      <c r="L926" s="266"/>
      <c r="M926" s="266"/>
      <c r="N926" s="266"/>
      <c r="O926" s="266"/>
      <c r="P926" s="267"/>
      <c r="Q926" s="267"/>
      <c r="R926" s="267"/>
      <c r="S926" s="267"/>
      <c r="T926" s="267"/>
      <c r="U926" s="267"/>
      <c r="V926" s="267"/>
      <c r="W926" s="267"/>
      <c r="X926" s="267"/>
      <c r="Y926" s="267"/>
    </row>
    <row r="927" ht="12.75" customHeight="1" spans="1:25">
      <c r="A927" s="266"/>
      <c r="B927" s="266"/>
      <c r="C927" s="266"/>
      <c r="D927" s="266"/>
      <c r="E927" s="266"/>
      <c r="F927" s="266"/>
      <c r="G927" s="266"/>
      <c r="H927" s="266"/>
      <c r="I927" s="266"/>
      <c r="J927" s="266"/>
      <c r="K927" s="266"/>
      <c r="L927" s="266"/>
      <c r="M927" s="266"/>
      <c r="N927" s="266"/>
      <c r="O927" s="266"/>
      <c r="P927" s="267"/>
      <c r="Q927" s="267"/>
      <c r="R927" s="267"/>
      <c r="S927" s="267"/>
      <c r="T927" s="267"/>
      <c r="U927" s="267"/>
      <c r="V927" s="267"/>
      <c r="W927" s="267"/>
      <c r="X927" s="267"/>
      <c r="Y927" s="267"/>
    </row>
    <row r="928" ht="12.75" customHeight="1" spans="1:25">
      <c r="A928" s="266"/>
      <c r="B928" s="266"/>
      <c r="C928" s="266"/>
      <c r="D928" s="266"/>
      <c r="E928" s="266"/>
      <c r="F928" s="266"/>
      <c r="G928" s="266"/>
      <c r="H928" s="266"/>
      <c r="I928" s="266"/>
      <c r="J928" s="266"/>
      <c r="K928" s="266"/>
      <c r="L928" s="266"/>
      <c r="M928" s="266"/>
      <c r="N928" s="266"/>
      <c r="O928" s="266"/>
      <c r="P928" s="267"/>
      <c r="Q928" s="267"/>
      <c r="R928" s="267"/>
      <c r="S928" s="267"/>
      <c r="T928" s="267"/>
      <c r="U928" s="267"/>
      <c r="V928" s="267"/>
      <c r="W928" s="267"/>
      <c r="X928" s="267"/>
      <c r="Y928" s="267"/>
    </row>
    <row r="929" ht="12.75" customHeight="1" spans="1:25">
      <c r="A929" s="266"/>
      <c r="B929" s="266"/>
      <c r="C929" s="266"/>
      <c r="D929" s="266"/>
      <c r="E929" s="266"/>
      <c r="F929" s="266"/>
      <c r="G929" s="266"/>
      <c r="H929" s="266"/>
      <c r="I929" s="266"/>
      <c r="J929" s="266"/>
      <c r="K929" s="266"/>
      <c r="L929" s="266"/>
      <c r="M929" s="266"/>
      <c r="N929" s="266"/>
      <c r="O929" s="266"/>
      <c r="P929" s="267"/>
      <c r="Q929" s="267"/>
      <c r="R929" s="267"/>
      <c r="S929" s="267"/>
      <c r="T929" s="267"/>
      <c r="U929" s="267"/>
      <c r="V929" s="267"/>
      <c r="W929" s="267"/>
      <c r="X929" s="267"/>
      <c r="Y929" s="267"/>
    </row>
    <row r="930" ht="12.75" customHeight="1" spans="1:25">
      <c r="A930" s="266"/>
      <c r="B930" s="266"/>
      <c r="C930" s="266"/>
      <c r="D930" s="266"/>
      <c r="E930" s="266"/>
      <c r="F930" s="266"/>
      <c r="G930" s="266"/>
      <c r="H930" s="266"/>
      <c r="I930" s="266"/>
      <c r="J930" s="266"/>
      <c r="K930" s="266"/>
      <c r="L930" s="266"/>
      <c r="M930" s="266"/>
      <c r="N930" s="266"/>
      <c r="O930" s="266"/>
      <c r="P930" s="267"/>
      <c r="Q930" s="267"/>
      <c r="R930" s="267"/>
      <c r="S930" s="267"/>
      <c r="T930" s="267"/>
      <c r="U930" s="267"/>
      <c r="V930" s="267"/>
      <c r="W930" s="267"/>
      <c r="X930" s="267"/>
      <c r="Y930" s="267"/>
    </row>
    <row r="931" ht="12.75" customHeight="1" spans="1:25">
      <c r="A931" s="266"/>
      <c r="B931" s="266"/>
      <c r="C931" s="266"/>
      <c r="D931" s="266"/>
      <c r="E931" s="266"/>
      <c r="F931" s="266"/>
      <c r="G931" s="266"/>
      <c r="H931" s="266"/>
      <c r="I931" s="266"/>
      <c r="J931" s="266"/>
      <c r="K931" s="266"/>
      <c r="L931" s="266"/>
      <c r="M931" s="266"/>
      <c r="N931" s="266"/>
      <c r="O931" s="266"/>
      <c r="P931" s="267"/>
      <c r="Q931" s="267"/>
      <c r="R931" s="267"/>
      <c r="S931" s="267"/>
      <c r="T931" s="267"/>
      <c r="U931" s="267"/>
      <c r="V931" s="267"/>
      <c r="W931" s="267"/>
      <c r="X931" s="267"/>
      <c r="Y931" s="267"/>
    </row>
    <row r="932" ht="12.75" customHeight="1" spans="1:25">
      <c r="A932" s="266"/>
      <c r="B932" s="266"/>
      <c r="C932" s="266"/>
      <c r="D932" s="266"/>
      <c r="E932" s="266"/>
      <c r="F932" s="266"/>
      <c r="G932" s="266"/>
      <c r="H932" s="266"/>
      <c r="I932" s="266"/>
      <c r="J932" s="266"/>
      <c r="K932" s="266"/>
      <c r="L932" s="266"/>
      <c r="M932" s="266"/>
      <c r="N932" s="266"/>
      <c r="O932" s="266"/>
      <c r="P932" s="267"/>
      <c r="Q932" s="267"/>
      <c r="R932" s="267"/>
      <c r="S932" s="267"/>
      <c r="T932" s="267"/>
      <c r="U932" s="267"/>
      <c r="V932" s="267"/>
      <c r="W932" s="267"/>
      <c r="X932" s="267"/>
      <c r="Y932" s="267"/>
    </row>
    <row r="933" ht="12.75" customHeight="1" spans="1:25">
      <c r="A933" s="266"/>
      <c r="B933" s="266"/>
      <c r="C933" s="266"/>
      <c r="D933" s="266"/>
      <c r="E933" s="266"/>
      <c r="F933" s="266"/>
      <c r="G933" s="266"/>
      <c r="H933" s="266"/>
      <c r="I933" s="266"/>
      <c r="J933" s="266"/>
      <c r="K933" s="266"/>
      <c r="L933" s="266"/>
      <c r="M933" s="266"/>
      <c r="N933" s="266"/>
      <c r="O933" s="266"/>
      <c r="P933" s="267"/>
      <c r="Q933" s="267"/>
      <c r="R933" s="267"/>
      <c r="S933" s="267"/>
      <c r="T933" s="267"/>
      <c r="U933" s="267"/>
      <c r="V933" s="267"/>
      <c r="W933" s="267"/>
      <c r="X933" s="267"/>
      <c r="Y933" s="267"/>
    </row>
    <row r="934" ht="12.75" customHeight="1" spans="1:25">
      <c r="A934" s="266"/>
      <c r="B934" s="266"/>
      <c r="C934" s="266"/>
      <c r="D934" s="266"/>
      <c r="E934" s="266"/>
      <c r="F934" s="266"/>
      <c r="G934" s="266"/>
      <c r="H934" s="266"/>
      <c r="I934" s="266"/>
      <c r="J934" s="266"/>
      <c r="K934" s="266"/>
      <c r="L934" s="266"/>
      <c r="M934" s="266"/>
      <c r="N934" s="266"/>
      <c r="O934" s="266"/>
      <c r="P934" s="267"/>
      <c r="Q934" s="267"/>
      <c r="R934" s="267"/>
      <c r="S934" s="267"/>
      <c r="T934" s="267"/>
      <c r="U934" s="267"/>
      <c r="V934" s="267"/>
      <c r="W934" s="267"/>
      <c r="X934" s="267"/>
      <c r="Y934" s="267"/>
    </row>
    <row r="935" ht="12.75" customHeight="1" spans="1:25">
      <c r="A935" s="266"/>
      <c r="B935" s="266"/>
      <c r="C935" s="266"/>
      <c r="D935" s="266"/>
      <c r="E935" s="266"/>
      <c r="F935" s="266"/>
      <c r="G935" s="266"/>
      <c r="H935" s="266"/>
      <c r="I935" s="266"/>
      <c r="J935" s="266"/>
      <c r="K935" s="266"/>
      <c r="L935" s="266"/>
      <c r="M935" s="266"/>
      <c r="N935" s="266"/>
      <c r="O935" s="266"/>
      <c r="P935" s="267"/>
      <c r="Q935" s="267"/>
      <c r="R935" s="267"/>
      <c r="S935" s="267"/>
      <c r="T935" s="267"/>
      <c r="U935" s="267"/>
      <c r="V935" s="267"/>
      <c r="W935" s="267"/>
      <c r="X935" s="267"/>
      <c r="Y935" s="267"/>
    </row>
    <row r="936" ht="12.75" customHeight="1" spans="1:25">
      <c r="A936" s="266"/>
      <c r="B936" s="266"/>
      <c r="C936" s="266"/>
      <c r="D936" s="266"/>
      <c r="E936" s="266"/>
      <c r="F936" s="266"/>
      <c r="G936" s="266"/>
      <c r="H936" s="266"/>
      <c r="I936" s="266"/>
      <c r="J936" s="266"/>
      <c r="K936" s="266"/>
      <c r="L936" s="266"/>
      <c r="M936" s="266"/>
      <c r="N936" s="266"/>
      <c r="O936" s="266"/>
      <c r="P936" s="267"/>
      <c r="Q936" s="267"/>
      <c r="R936" s="267"/>
      <c r="S936" s="267"/>
      <c r="T936" s="267"/>
      <c r="U936" s="267"/>
      <c r="V936" s="267"/>
      <c r="W936" s="267"/>
      <c r="X936" s="267"/>
      <c r="Y936" s="267"/>
    </row>
    <row r="937" ht="12.75" customHeight="1" spans="1:25">
      <c r="A937" s="266"/>
      <c r="B937" s="266"/>
      <c r="C937" s="266"/>
      <c r="D937" s="266"/>
      <c r="E937" s="266"/>
      <c r="F937" s="266"/>
      <c r="G937" s="266"/>
      <c r="H937" s="266"/>
      <c r="I937" s="266"/>
      <c r="J937" s="266"/>
      <c r="K937" s="266"/>
      <c r="L937" s="266"/>
      <c r="M937" s="266"/>
      <c r="N937" s="266"/>
      <c r="O937" s="266"/>
      <c r="P937" s="267"/>
      <c r="Q937" s="267"/>
      <c r="R937" s="267"/>
      <c r="S937" s="267"/>
      <c r="T937" s="267"/>
      <c r="U937" s="267"/>
      <c r="V937" s="267"/>
      <c r="W937" s="267"/>
      <c r="X937" s="267"/>
      <c r="Y937" s="267"/>
    </row>
    <row r="938" ht="12.75" customHeight="1" spans="1:25">
      <c r="A938" s="266"/>
      <c r="B938" s="266"/>
      <c r="C938" s="266"/>
      <c r="D938" s="266"/>
      <c r="E938" s="266"/>
      <c r="F938" s="266"/>
      <c r="G938" s="266"/>
      <c r="H938" s="266"/>
      <c r="I938" s="266"/>
      <c r="J938" s="266"/>
      <c r="K938" s="266"/>
      <c r="L938" s="266"/>
      <c r="M938" s="266"/>
      <c r="N938" s="266"/>
      <c r="O938" s="266"/>
      <c r="P938" s="267"/>
      <c r="Q938" s="267"/>
      <c r="R938" s="267"/>
      <c r="S938" s="267"/>
      <c r="T938" s="267"/>
      <c r="U938" s="267"/>
      <c r="V938" s="267"/>
      <c r="W938" s="267"/>
      <c r="X938" s="267"/>
      <c r="Y938" s="267"/>
    </row>
    <row r="939" ht="12.75" customHeight="1" spans="1:25">
      <c r="A939" s="266"/>
      <c r="B939" s="266"/>
      <c r="C939" s="266"/>
      <c r="D939" s="266"/>
      <c r="E939" s="266"/>
      <c r="F939" s="266"/>
      <c r="G939" s="266"/>
      <c r="H939" s="266"/>
      <c r="I939" s="266"/>
      <c r="J939" s="266"/>
      <c r="K939" s="266"/>
      <c r="L939" s="266"/>
      <c r="M939" s="266"/>
      <c r="N939" s="266"/>
      <c r="O939" s="266"/>
      <c r="P939" s="267"/>
      <c r="Q939" s="267"/>
      <c r="R939" s="267"/>
      <c r="S939" s="267"/>
      <c r="T939" s="267"/>
      <c r="U939" s="267"/>
      <c r="V939" s="267"/>
      <c r="W939" s="267"/>
      <c r="X939" s="267"/>
      <c r="Y939" s="267"/>
    </row>
    <row r="940" ht="12.75" customHeight="1" spans="1:25">
      <c r="A940" s="266"/>
      <c r="B940" s="266"/>
      <c r="C940" s="266"/>
      <c r="D940" s="266"/>
      <c r="E940" s="266"/>
      <c r="F940" s="266"/>
      <c r="G940" s="266"/>
      <c r="H940" s="266"/>
      <c r="I940" s="266"/>
      <c r="J940" s="266"/>
      <c r="K940" s="266"/>
      <c r="L940" s="266"/>
      <c r="M940" s="266"/>
      <c r="N940" s="266"/>
      <c r="O940" s="266"/>
      <c r="P940" s="267"/>
      <c r="Q940" s="267"/>
      <c r="R940" s="267"/>
      <c r="S940" s="267"/>
      <c r="T940" s="267"/>
      <c r="U940" s="267"/>
      <c r="V940" s="267"/>
      <c r="W940" s="267"/>
      <c r="X940" s="267"/>
      <c r="Y940" s="267"/>
    </row>
    <row r="941" ht="12.75" customHeight="1" spans="1:25">
      <c r="A941" s="266"/>
      <c r="B941" s="266"/>
      <c r="C941" s="266"/>
      <c r="D941" s="266"/>
      <c r="E941" s="266"/>
      <c r="F941" s="266"/>
      <c r="G941" s="266"/>
      <c r="H941" s="266"/>
      <c r="I941" s="266"/>
      <c r="J941" s="266"/>
      <c r="K941" s="266"/>
      <c r="L941" s="266"/>
      <c r="M941" s="266"/>
      <c r="N941" s="266"/>
      <c r="O941" s="266"/>
      <c r="P941" s="267"/>
      <c r="Q941" s="267"/>
      <c r="R941" s="267"/>
      <c r="S941" s="267"/>
      <c r="T941" s="267"/>
      <c r="U941" s="267"/>
      <c r="V941" s="267"/>
      <c r="W941" s="267"/>
      <c r="X941" s="267"/>
      <c r="Y941" s="267"/>
    </row>
    <row r="942" ht="12.75" customHeight="1" spans="1:25">
      <c r="A942" s="266"/>
      <c r="B942" s="266"/>
      <c r="C942" s="266"/>
      <c r="D942" s="266"/>
      <c r="E942" s="266"/>
      <c r="F942" s="266"/>
      <c r="G942" s="266"/>
      <c r="H942" s="266"/>
      <c r="I942" s="266"/>
      <c r="J942" s="266"/>
      <c r="K942" s="266"/>
      <c r="L942" s="266"/>
      <c r="M942" s="266"/>
      <c r="N942" s="266"/>
      <c r="O942" s="266"/>
      <c r="P942" s="267"/>
      <c r="Q942" s="267"/>
      <c r="R942" s="267"/>
      <c r="S942" s="267"/>
      <c r="T942" s="267"/>
      <c r="U942" s="267"/>
      <c r="V942" s="267"/>
      <c r="W942" s="267"/>
      <c r="X942" s="267"/>
      <c r="Y942" s="267"/>
    </row>
    <row r="943" ht="12.75" customHeight="1" spans="1:25">
      <c r="A943" s="266"/>
      <c r="B943" s="266"/>
      <c r="C943" s="266"/>
      <c r="D943" s="266"/>
      <c r="E943" s="266"/>
      <c r="F943" s="266"/>
      <c r="G943" s="266"/>
      <c r="H943" s="266"/>
      <c r="I943" s="266"/>
      <c r="J943" s="266"/>
      <c r="K943" s="266"/>
      <c r="L943" s="266"/>
      <c r="M943" s="266"/>
      <c r="N943" s="266"/>
      <c r="O943" s="266"/>
      <c r="P943" s="267"/>
      <c r="Q943" s="267"/>
      <c r="R943" s="267"/>
      <c r="S943" s="267"/>
      <c r="T943" s="267"/>
      <c r="U943" s="267"/>
      <c r="V943" s="267"/>
      <c r="W943" s="267"/>
      <c r="X943" s="267"/>
      <c r="Y943" s="267"/>
    </row>
    <row r="944" ht="12.75" customHeight="1" spans="1:25">
      <c r="A944" s="266"/>
      <c r="B944" s="266"/>
      <c r="C944" s="266"/>
      <c r="D944" s="266"/>
      <c r="E944" s="266"/>
      <c r="F944" s="266"/>
      <c r="G944" s="266"/>
      <c r="H944" s="266"/>
      <c r="I944" s="266"/>
      <c r="J944" s="266"/>
      <c r="K944" s="266"/>
      <c r="L944" s="266"/>
      <c r="M944" s="266"/>
      <c r="N944" s="266"/>
      <c r="O944" s="266"/>
      <c r="P944" s="267"/>
      <c r="Q944" s="267"/>
      <c r="R944" s="267"/>
      <c r="S944" s="267"/>
      <c r="T944" s="267"/>
      <c r="U944" s="267"/>
      <c r="V944" s="267"/>
      <c r="W944" s="267"/>
      <c r="X944" s="267"/>
      <c r="Y944" s="267"/>
    </row>
    <row r="945" ht="12.75" customHeight="1" spans="1:25">
      <c r="A945" s="266"/>
      <c r="B945" s="266"/>
      <c r="C945" s="266"/>
      <c r="D945" s="266"/>
      <c r="E945" s="266"/>
      <c r="F945" s="266"/>
      <c r="G945" s="266"/>
      <c r="H945" s="266"/>
      <c r="I945" s="266"/>
      <c r="J945" s="266"/>
      <c r="K945" s="266"/>
      <c r="L945" s="266"/>
      <c r="M945" s="266"/>
      <c r="N945" s="266"/>
      <c r="O945" s="266"/>
      <c r="P945" s="267"/>
      <c r="Q945" s="267"/>
      <c r="R945" s="267"/>
      <c r="S945" s="267"/>
      <c r="T945" s="267"/>
      <c r="U945" s="267"/>
      <c r="V945" s="267"/>
      <c r="W945" s="267"/>
      <c r="X945" s="267"/>
      <c r="Y945" s="267"/>
    </row>
    <row r="946" ht="12.75" customHeight="1" spans="1:25">
      <c r="A946" s="266"/>
      <c r="B946" s="266"/>
      <c r="C946" s="266"/>
      <c r="D946" s="266"/>
      <c r="E946" s="266"/>
      <c r="F946" s="266"/>
      <c r="G946" s="266"/>
      <c r="H946" s="266"/>
      <c r="I946" s="266"/>
      <c r="J946" s="266"/>
      <c r="K946" s="266"/>
      <c r="L946" s="266"/>
      <c r="M946" s="266"/>
      <c r="N946" s="266"/>
      <c r="O946" s="266"/>
      <c r="P946" s="267"/>
      <c r="Q946" s="267"/>
      <c r="R946" s="267"/>
      <c r="S946" s="267"/>
      <c r="T946" s="267"/>
      <c r="U946" s="267"/>
      <c r="V946" s="267"/>
      <c r="W946" s="267"/>
      <c r="X946" s="267"/>
      <c r="Y946" s="267"/>
    </row>
    <row r="947" ht="12.75" customHeight="1" spans="1:25">
      <c r="A947" s="266"/>
      <c r="B947" s="266"/>
      <c r="C947" s="266"/>
      <c r="D947" s="266"/>
      <c r="E947" s="266"/>
      <c r="F947" s="266"/>
      <c r="G947" s="266"/>
      <c r="H947" s="266"/>
      <c r="I947" s="266"/>
      <c r="J947" s="266"/>
      <c r="K947" s="266"/>
      <c r="L947" s="266"/>
      <c r="M947" s="266"/>
      <c r="N947" s="266"/>
      <c r="O947" s="266"/>
      <c r="P947" s="267"/>
      <c r="Q947" s="267"/>
      <c r="R947" s="267"/>
      <c r="S947" s="267"/>
      <c r="T947" s="267"/>
      <c r="U947" s="267"/>
      <c r="V947" s="267"/>
      <c r="W947" s="267"/>
      <c r="X947" s="267"/>
      <c r="Y947" s="267"/>
    </row>
    <row r="948" ht="12.75" customHeight="1" spans="1:25">
      <c r="A948" s="266"/>
      <c r="B948" s="266"/>
      <c r="C948" s="266"/>
      <c r="D948" s="266"/>
      <c r="E948" s="266"/>
      <c r="F948" s="266"/>
      <c r="G948" s="266"/>
      <c r="H948" s="266"/>
      <c r="I948" s="266"/>
      <c r="J948" s="266"/>
      <c r="K948" s="266"/>
      <c r="L948" s="266"/>
      <c r="M948" s="266"/>
      <c r="N948" s="266"/>
      <c r="O948" s="266"/>
      <c r="P948" s="267"/>
      <c r="Q948" s="267"/>
      <c r="R948" s="267"/>
      <c r="S948" s="267"/>
      <c r="T948" s="267"/>
      <c r="U948" s="267"/>
      <c r="V948" s="267"/>
      <c r="W948" s="267"/>
      <c r="X948" s="267"/>
      <c r="Y948" s="267"/>
    </row>
    <row r="949" ht="12.75" customHeight="1" spans="1:25">
      <c r="A949" s="266"/>
      <c r="B949" s="266"/>
      <c r="C949" s="266"/>
      <c r="D949" s="266"/>
      <c r="E949" s="266"/>
      <c r="F949" s="266"/>
      <c r="G949" s="266"/>
      <c r="H949" s="266"/>
      <c r="I949" s="266"/>
      <c r="J949" s="266"/>
      <c r="K949" s="266"/>
      <c r="L949" s="266"/>
      <c r="M949" s="266"/>
      <c r="N949" s="266"/>
      <c r="O949" s="266"/>
      <c r="P949" s="267"/>
      <c r="Q949" s="267"/>
      <c r="R949" s="267"/>
      <c r="S949" s="267"/>
      <c r="T949" s="267"/>
      <c r="U949" s="267"/>
      <c r="V949" s="267"/>
      <c r="W949" s="267"/>
      <c r="X949" s="267"/>
      <c r="Y949" s="267"/>
    </row>
    <row r="950" ht="12.75" customHeight="1" spans="1:25">
      <c r="A950" s="266"/>
      <c r="B950" s="266"/>
      <c r="C950" s="266"/>
      <c r="D950" s="266"/>
      <c r="E950" s="266"/>
      <c r="F950" s="266"/>
      <c r="G950" s="266"/>
      <c r="H950" s="266"/>
      <c r="I950" s="266"/>
      <c r="J950" s="266"/>
      <c r="K950" s="266"/>
      <c r="L950" s="266"/>
      <c r="M950" s="266"/>
      <c r="N950" s="266"/>
      <c r="O950" s="266"/>
      <c r="P950" s="267"/>
      <c r="Q950" s="267"/>
      <c r="R950" s="267"/>
      <c r="S950" s="267"/>
      <c r="T950" s="267"/>
      <c r="U950" s="267"/>
      <c r="V950" s="267"/>
      <c r="W950" s="267"/>
      <c r="X950" s="267"/>
      <c r="Y950" s="267"/>
    </row>
    <row r="951" ht="12.75" customHeight="1" spans="1:25">
      <c r="A951" s="266"/>
      <c r="B951" s="266"/>
      <c r="C951" s="266"/>
      <c r="D951" s="266"/>
      <c r="E951" s="266"/>
      <c r="F951" s="266"/>
      <c r="G951" s="266"/>
      <c r="H951" s="266"/>
      <c r="I951" s="266"/>
      <c r="J951" s="266"/>
      <c r="K951" s="266"/>
      <c r="L951" s="266"/>
      <c r="M951" s="266"/>
      <c r="N951" s="266"/>
      <c r="O951" s="266"/>
      <c r="P951" s="267"/>
      <c r="Q951" s="267"/>
      <c r="R951" s="267"/>
      <c r="S951" s="267"/>
      <c r="T951" s="267"/>
      <c r="U951" s="267"/>
      <c r="V951" s="267"/>
      <c r="W951" s="267"/>
      <c r="X951" s="267"/>
      <c r="Y951" s="267"/>
    </row>
    <row r="952" ht="12.75" customHeight="1" spans="1:25">
      <c r="A952" s="266"/>
      <c r="B952" s="266"/>
      <c r="C952" s="266"/>
      <c r="D952" s="266"/>
      <c r="E952" s="266"/>
      <c r="F952" s="266"/>
      <c r="G952" s="266"/>
      <c r="H952" s="266"/>
      <c r="I952" s="266"/>
      <c r="J952" s="266"/>
      <c r="K952" s="266"/>
      <c r="L952" s="266"/>
      <c r="M952" s="266"/>
      <c r="N952" s="266"/>
      <c r="O952" s="266"/>
      <c r="P952" s="267"/>
      <c r="Q952" s="267"/>
      <c r="R952" s="267"/>
      <c r="S952" s="267"/>
      <c r="T952" s="267"/>
      <c r="U952" s="267"/>
      <c r="V952" s="267"/>
      <c r="W952" s="267"/>
      <c r="X952" s="267"/>
      <c r="Y952" s="267"/>
    </row>
    <row r="953" ht="12.75" customHeight="1" spans="1:25">
      <c r="A953" s="266"/>
      <c r="B953" s="266"/>
      <c r="C953" s="266"/>
      <c r="D953" s="266"/>
      <c r="E953" s="266"/>
      <c r="F953" s="266"/>
      <c r="G953" s="266"/>
      <c r="H953" s="266"/>
      <c r="I953" s="266"/>
      <c r="J953" s="266"/>
      <c r="K953" s="266"/>
      <c r="L953" s="266"/>
      <c r="M953" s="266"/>
      <c r="N953" s="266"/>
      <c r="O953" s="266"/>
      <c r="P953" s="267"/>
      <c r="Q953" s="267"/>
      <c r="R953" s="267"/>
      <c r="S953" s="267"/>
      <c r="T953" s="267"/>
      <c r="U953" s="267"/>
      <c r="V953" s="267"/>
      <c r="W953" s="267"/>
      <c r="X953" s="267"/>
      <c r="Y953" s="267"/>
    </row>
    <row r="954" ht="12.75" customHeight="1" spans="1:25">
      <c r="A954" s="266"/>
      <c r="B954" s="266"/>
      <c r="C954" s="266"/>
      <c r="D954" s="266"/>
      <c r="E954" s="266"/>
      <c r="F954" s="266"/>
      <c r="G954" s="266"/>
      <c r="H954" s="266"/>
      <c r="I954" s="266"/>
      <c r="J954" s="266"/>
      <c r="K954" s="266"/>
      <c r="L954" s="266"/>
      <c r="M954" s="266"/>
      <c r="N954" s="266"/>
      <c r="O954" s="266"/>
      <c r="P954" s="267"/>
      <c r="Q954" s="267"/>
      <c r="R954" s="267"/>
      <c r="S954" s="267"/>
      <c r="T954" s="267"/>
      <c r="U954" s="267"/>
      <c r="V954" s="267"/>
      <c r="W954" s="267"/>
      <c r="X954" s="267"/>
      <c r="Y954" s="267"/>
    </row>
    <row r="955" ht="12.75" customHeight="1" spans="1:25">
      <c r="A955" s="266"/>
      <c r="B955" s="266"/>
      <c r="C955" s="266"/>
      <c r="D955" s="266"/>
      <c r="E955" s="266"/>
      <c r="F955" s="266"/>
      <c r="G955" s="266"/>
      <c r="H955" s="266"/>
      <c r="I955" s="266"/>
      <c r="J955" s="266"/>
      <c r="K955" s="266"/>
      <c r="L955" s="266"/>
      <c r="M955" s="266"/>
      <c r="N955" s="266"/>
      <c r="O955" s="266"/>
      <c r="P955" s="267"/>
      <c r="Q955" s="267"/>
      <c r="R955" s="267"/>
      <c r="S955" s="267"/>
      <c r="T955" s="267"/>
      <c r="U955" s="267"/>
      <c r="V955" s="267"/>
      <c r="W955" s="267"/>
      <c r="X955" s="267"/>
      <c r="Y955" s="267"/>
    </row>
    <row r="956" ht="12.75" customHeight="1" spans="1:25">
      <c r="A956" s="266"/>
      <c r="B956" s="266"/>
      <c r="C956" s="266"/>
      <c r="D956" s="266"/>
      <c r="E956" s="266"/>
      <c r="F956" s="266"/>
      <c r="G956" s="266"/>
      <c r="H956" s="266"/>
      <c r="I956" s="266"/>
      <c r="J956" s="266"/>
      <c r="K956" s="266"/>
      <c r="L956" s="266"/>
      <c r="M956" s="266"/>
      <c r="N956" s="266"/>
      <c r="O956" s="266"/>
      <c r="P956" s="267"/>
      <c r="Q956" s="267"/>
      <c r="R956" s="267"/>
      <c r="S956" s="267"/>
      <c r="T956" s="267"/>
      <c r="U956" s="267"/>
      <c r="V956" s="267"/>
      <c r="W956" s="267"/>
      <c r="X956" s="267"/>
      <c r="Y956" s="267"/>
    </row>
    <row r="957" ht="12.75" customHeight="1" spans="1:25">
      <c r="A957" s="266"/>
      <c r="B957" s="266"/>
      <c r="C957" s="266"/>
      <c r="D957" s="266"/>
      <c r="E957" s="266"/>
      <c r="F957" s="266"/>
      <c r="G957" s="266"/>
      <c r="H957" s="266"/>
      <c r="I957" s="266"/>
      <c r="J957" s="266"/>
      <c r="K957" s="266"/>
      <c r="L957" s="266"/>
      <c r="M957" s="266"/>
      <c r="N957" s="266"/>
      <c r="O957" s="266"/>
      <c r="P957" s="267"/>
      <c r="Q957" s="267"/>
      <c r="R957" s="267"/>
      <c r="S957" s="267"/>
      <c r="T957" s="267"/>
      <c r="U957" s="267"/>
      <c r="V957" s="267"/>
      <c r="W957" s="267"/>
      <c r="X957" s="267"/>
      <c r="Y957" s="267"/>
    </row>
    <row r="958" ht="12.75" customHeight="1" spans="1:25">
      <c r="A958" s="266"/>
      <c r="B958" s="266"/>
      <c r="C958" s="266"/>
      <c r="D958" s="266"/>
      <c r="E958" s="266"/>
      <c r="F958" s="266"/>
      <c r="G958" s="266"/>
      <c r="H958" s="266"/>
      <c r="I958" s="266"/>
      <c r="J958" s="266"/>
      <c r="K958" s="266"/>
      <c r="L958" s="266"/>
      <c r="M958" s="266"/>
      <c r="N958" s="266"/>
      <c r="O958" s="266"/>
      <c r="P958" s="267"/>
      <c r="Q958" s="267"/>
      <c r="R958" s="267"/>
      <c r="S958" s="267"/>
      <c r="T958" s="267"/>
      <c r="U958" s="267"/>
      <c r="V958" s="267"/>
      <c r="W958" s="267"/>
      <c r="X958" s="267"/>
      <c r="Y958" s="267"/>
    </row>
    <row r="959" ht="12.75" customHeight="1" spans="1:25">
      <c r="A959" s="266"/>
      <c r="B959" s="266"/>
      <c r="C959" s="266"/>
      <c r="D959" s="266"/>
      <c r="E959" s="266"/>
      <c r="F959" s="266"/>
      <c r="G959" s="266"/>
      <c r="H959" s="266"/>
      <c r="I959" s="266"/>
      <c r="J959" s="266"/>
      <c r="K959" s="266"/>
      <c r="L959" s="266"/>
      <c r="M959" s="266"/>
      <c r="N959" s="266"/>
      <c r="O959" s="266"/>
      <c r="P959" s="267"/>
      <c r="Q959" s="267"/>
      <c r="R959" s="267"/>
      <c r="S959" s="267"/>
      <c r="T959" s="267"/>
      <c r="U959" s="267"/>
      <c r="V959" s="267"/>
      <c r="W959" s="267"/>
      <c r="X959" s="267"/>
      <c r="Y959" s="267"/>
    </row>
    <row r="960" ht="12.75" customHeight="1" spans="1:25">
      <c r="A960" s="266"/>
      <c r="B960" s="266"/>
      <c r="C960" s="266"/>
      <c r="D960" s="266"/>
      <c r="E960" s="266"/>
      <c r="F960" s="266"/>
      <c r="G960" s="266"/>
      <c r="H960" s="266"/>
      <c r="I960" s="266"/>
      <c r="J960" s="266"/>
      <c r="K960" s="266"/>
      <c r="L960" s="266"/>
      <c r="M960" s="266"/>
      <c r="N960" s="266"/>
      <c r="O960" s="266"/>
      <c r="P960" s="267"/>
      <c r="Q960" s="267"/>
      <c r="R960" s="267"/>
      <c r="S960" s="267"/>
      <c r="T960" s="267"/>
      <c r="U960" s="267"/>
      <c r="V960" s="267"/>
      <c r="W960" s="267"/>
      <c r="X960" s="267"/>
      <c r="Y960" s="267"/>
    </row>
    <row r="961" ht="12.75" customHeight="1" spans="1:25">
      <c r="A961" s="266"/>
      <c r="B961" s="266"/>
      <c r="C961" s="266"/>
      <c r="D961" s="266"/>
      <c r="E961" s="266"/>
      <c r="F961" s="266"/>
      <c r="G961" s="266"/>
      <c r="H961" s="266"/>
      <c r="I961" s="266"/>
      <c r="J961" s="266"/>
      <c r="K961" s="266"/>
      <c r="L961" s="266"/>
      <c r="M961" s="266"/>
      <c r="N961" s="266"/>
      <c r="O961" s="266"/>
      <c r="P961" s="267"/>
      <c r="Q961" s="267"/>
      <c r="R961" s="267"/>
      <c r="S961" s="267"/>
      <c r="T961" s="267"/>
      <c r="U961" s="267"/>
      <c r="V961" s="267"/>
      <c r="W961" s="267"/>
      <c r="X961" s="267"/>
      <c r="Y961" s="267"/>
    </row>
    <row r="962" ht="12.75" customHeight="1" spans="1:25">
      <c r="A962" s="266"/>
      <c r="B962" s="266"/>
      <c r="C962" s="266"/>
      <c r="D962" s="266"/>
      <c r="E962" s="266"/>
      <c r="F962" s="266"/>
      <c r="G962" s="266"/>
      <c r="H962" s="266"/>
      <c r="I962" s="266"/>
      <c r="J962" s="266"/>
      <c r="K962" s="266"/>
      <c r="L962" s="266"/>
      <c r="M962" s="266"/>
      <c r="N962" s="266"/>
      <c r="O962" s="266"/>
      <c r="P962" s="267"/>
      <c r="Q962" s="267"/>
      <c r="R962" s="267"/>
      <c r="S962" s="267"/>
      <c r="T962" s="267"/>
      <c r="U962" s="267"/>
      <c r="V962" s="267"/>
      <c r="W962" s="267"/>
      <c r="X962" s="267"/>
      <c r="Y962" s="267"/>
    </row>
    <row r="963" ht="12.75" customHeight="1" spans="1:25">
      <c r="A963" s="266"/>
      <c r="B963" s="266"/>
      <c r="C963" s="266"/>
      <c r="D963" s="266"/>
      <c r="E963" s="266"/>
      <c r="F963" s="266"/>
      <c r="G963" s="266"/>
      <c r="H963" s="266"/>
      <c r="I963" s="266"/>
      <c r="J963" s="266"/>
      <c r="K963" s="266"/>
      <c r="L963" s="266"/>
      <c r="M963" s="266"/>
      <c r="N963" s="266"/>
      <c r="O963" s="266"/>
      <c r="P963" s="267"/>
      <c r="Q963" s="267"/>
      <c r="R963" s="267"/>
      <c r="S963" s="267"/>
      <c r="T963" s="267"/>
      <c r="U963" s="267"/>
      <c r="V963" s="267"/>
      <c r="W963" s="267"/>
      <c r="X963" s="267"/>
      <c r="Y963" s="267"/>
    </row>
    <row r="964" ht="12.75" customHeight="1" spans="1:25">
      <c r="A964" s="266"/>
      <c r="B964" s="266"/>
      <c r="C964" s="266"/>
      <c r="D964" s="266"/>
      <c r="E964" s="266"/>
      <c r="F964" s="266"/>
      <c r="G964" s="266"/>
      <c r="H964" s="266"/>
      <c r="I964" s="266"/>
      <c r="J964" s="266"/>
      <c r="K964" s="266"/>
      <c r="L964" s="266"/>
      <c r="M964" s="266"/>
      <c r="N964" s="266"/>
      <c r="O964" s="266"/>
      <c r="P964" s="267"/>
      <c r="Q964" s="267"/>
      <c r="R964" s="267"/>
      <c r="S964" s="267"/>
      <c r="T964" s="267"/>
      <c r="U964" s="267"/>
      <c r="V964" s="267"/>
      <c r="W964" s="267"/>
      <c r="X964" s="267"/>
      <c r="Y964" s="267"/>
    </row>
    <row r="965" ht="12.75" customHeight="1" spans="1:25">
      <c r="A965" s="266"/>
      <c r="B965" s="266"/>
      <c r="C965" s="266"/>
      <c r="D965" s="266"/>
      <c r="E965" s="266"/>
      <c r="F965" s="266"/>
      <c r="G965" s="266"/>
      <c r="H965" s="266"/>
      <c r="I965" s="266"/>
      <c r="J965" s="266"/>
      <c r="K965" s="266"/>
      <c r="L965" s="266"/>
      <c r="M965" s="266"/>
      <c r="N965" s="266"/>
      <c r="O965" s="266"/>
      <c r="P965" s="267"/>
      <c r="Q965" s="267"/>
      <c r="R965" s="267"/>
      <c r="S965" s="267"/>
      <c r="T965" s="267"/>
      <c r="U965" s="267"/>
      <c r="V965" s="267"/>
      <c r="W965" s="267"/>
      <c r="X965" s="267"/>
      <c r="Y965" s="267"/>
    </row>
    <row r="966" ht="12.75" customHeight="1" spans="1:25">
      <c r="A966" s="266"/>
      <c r="B966" s="266"/>
      <c r="C966" s="266"/>
      <c r="D966" s="266"/>
      <c r="E966" s="266"/>
      <c r="F966" s="266"/>
      <c r="G966" s="266"/>
      <c r="H966" s="266"/>
      <c r="I966" s="266"/>
      <c r="J966" s="266"/>
      <c r="K966" s="266"/>
      <c r="L966" s="266"/>
      <c r="M966" s="266"/>
      <c r="N966" s="266"/>
      <c r="O966" s="266"/>
      <c r="P966" s="267"/>
      <c r="Q966" s="267"/>
      <c r="R966" s="267"/>
      <c r="S966" s="267"/>
      <c r="T966" s="267"/>
      <c r="U966" s="267"/>
      <c r="V966" s="267"/>
      <c r="W966" s="267"/>
      <c r="X966" s="267"/>
      <c r="Y966" s="267"/>
    </row>
    <row r="967" ht="12.75" customHeight="1" spans="1:25">
      <c r="A967" s="266"/>
      <c r="B967" s="266"/>
      <c r="C967" s="266"/>
      <c r="D967" s="266"/>
      <c r="E967" s="266"/>
      <c r="F967" s="266"/>
      <c r="G967" s="266"/>
      <c r="H967" s="266"/>
      <c r="I967" s="266"/>
      <c r="J967" s="266"/>
      <c r="K967" s="266"/>
      <c r="L967" s="266"/>
      <c r="M967" s="266"/>
      <c r="N967" s="266"/>
      <c r="O967" s="266"/>
      <c r="P967" s="267"/>
      <c r="Q967" s="267"/>
      <c r="R967" s="267"/>
      <c r="S967" s="267"/>
      <c r="T967" s="267"/>
      <c r="U967" s="267"/>
      <c r="V967" s="267"/>
      <c r="W967" s="267"/>
      <c r="X967" s="267"/>
      <c r="Y967" s="267"/>
    </row>
    <row r="968" ht="12.75" customHeight="1" spans="1:25">
      <c r="A968" s="266"/>
      <c r="B968" s="266"/>
      <c r="C968" s="266"/>
      <c r="D968" s="266"/>
      <c r="E968" s="266"/>
      <c r="F968" s="266"/>
      <c r="G968" s="266"/>
      <c r="H968" s="266"/>
      <c r="I968" s="266"/>
      <c r="J968" s="266"/>
      <c r="K968" s="266"/>
      <c r="L968" s="266"/>
      <c r="M968" s="266"/>
      <c r="N968" s="266"/>
      <c r="O968" s="266"/>
      <c r="P968" s="267"/>
      <c r="Q968" s="267"/>
      <c r="R968" s="267"/>
      <c r="S968" s="267"/>
      <c r="T968" s="267"/>
      <c r="U968" s="267"/>
      <c r="V968" s="267"/>
      <c r="W968" s="267"/>
      <c r="X968" s="267"/>
      <c r="Y968" s="267"/>
    </row>
    <row r="969" ht="12.75" customHeight="1" spans="1:25">
      <c r="A969" s="266"/>
      <c r="B969" s="266"/>
      <c r="C969" s="266"/>
      <c r="D969" s="266"/>
      <c r="E969" s="266"/>
      <c r="F969" s="266"/>
      <c r="G969" s="266"/>
      <c r="H969" s="266"/>
      <c r="I969" s="266"/>
      <c r="J969" s="266"/>
      <c r="K969" s="266"/>
      <c r="L969" s="266"/>
      <c r="M969" s="266"/>
      <c r="N969" s="266"/>
      <c r="O969" s="266"/>
      <c r="P969" s="267"/>
      <c r="Q969" s="267"/>
      <c r="R969" s="267"/>
      <c r="S969" s="267"/>
      <c r="T969" s="267"/>
      <c r="U969" s="267"/>
      <c r="V969" s="267"/>
      <c r="W969" s="267"/>
      <c r="X969" s="267"/>
      <c r="Y969" s="267"/>
    </row>
    <row r="970" ht="12.75" customHeight="1" spans="1:25">
      <c r="A970" s="266"/>
      <c r="B970" s="266"/>
      <c r="C970" s="266"/>
      <c r="D970" s="266"/>
      <c r="E970" s="266"/>
      <c r="F970" s="266"/>
      <c r="G970" s="266"/>
      <c r="H970" s="266"/>
      <c r="I970" s="266"/>
      <c r="J970" s="266"/>
      <c r="K970" s="266"/>
      <c r="L970" s="266"/>
      <c r="M970" s="266"/>
      <c r="N970" s="266"/>
      <c r="O970" s="266"/>
      <c r="P970" s="267"/>
      <c r="Q970" s="267"/>
      <c r="R970" s="267"/>
      <c r="S970" s="267"/>
      <c r="T970" s="267"/>
      <c r="U970" s="267"/>
      <c r="V970" s="267"/>
      <c r="W970" s="267"/>
      <c r="X970" s="267"/>
      <c r="Y970" s="267"/>
    </row>
    <row r="971" ht="12.75" customHeight="1" spans="1:25">
      <c r="A971" s="266"/>
      <c r="B971" s="266"/>
      <c r="C971" s="266"/>
      <c r="D971" s="266"/>
      <c r="E971" s="266"/>
      <c r="F971" s="266"/>
      <c r="G971" s="266"/>
      <c r="H971" s="266"/>
      <c r="I971" s="266"/>
      <c r="J971" s="266"/>
      <c r="K971" s="266"/>
      <c r="L971" s="266"/>
      <c r="M971" s="266"/>
      <c r="N971" s="266"/>
      <c r="O971" s="266"/>
      <c r="P971" s="267"/>
      <c r="Q971" s="267"/>
      <c r="R971" s="267"/>
      <c r="S971" s="267"/>
      <c r="T971" s="267"/>
      <c r="U971" s="267"/>
      <c r="V971" s="267"/>
      <c r="W971" s="267"/>
      <c r="X971" s="267"/>
      <c r="Y971" s="267"/>
    </row>
    <row r="972" ht="12.75" customHeight="1" spans="1:25">
      <c r="A972" s="266"/>
      <c r="B972" s="266"/>
      <c r="C972" s="266"/>
      <c r="D972" s="266"/>
      <c r="E972" s="266"/>
      <c r="F972" s="266"/>
      <c r="G972" s="266"/>
      <c r="H972" s="266"/>
      <c r="I972" s="266"/>
      <c r="J972" s="266"/>
      <c r="K972" s="266"/>
      <c r="L972" s="266"/>
      <c r="M972" s="266"/>
      <c r="N972" s="266"/>
      <c r="O972" s="266"/>
      <c r="P972" s="267"/>
      <c r="Q972" s="267"/>
      <c r="R972" s="267"/>
      <c r="S972" s="267"/>
      <c r="T972" s="267"/>
      <c r="U972" s="267"/>
      <c r="V972" s="267"/>
      <c r="W972" s="267"/>
      <c r="X972" s="267"/>
      <c r="Y972" s="267"/>
    </row>
    <row r="973" ht="12.75" customHeight="1" spans="1:25">
      <c r="A973" s="266"/>
      <c r="B973" s="266"/>
      <c r="C973" s="266"/>
      <c r="D973" s="266"/>
      <c r="E973" s="266"/>
      <c r="F973" s="266"/>
      <c r="G973" s="266"/>
      <c r="H973" s="266"/>
      <c r="I973" s="266"/>
      <c r="J973" s="266"/>
      <c r="K973" s="266"/>
      <c r="L973" s="266"/>
      <c r="M973" s="266"/>
      <c r="N973" s="266"/>
      <c r="O973" s="266"/>
      <c r="P973" s="267"/>
      <c r="Q973" s="267"/>
      <c r="R973" s="267"/>
      <c r="S973" s="267"/>
      <c r="T973" s="267"/>
      <c r="U973" s="267"/>
      <c r="V973" s="267"/>
      <c r="W973" s="267"/>
      <c r="X973" s="267"/>
      <c r="Y973" s="267"/>
    </row>
    <row r="974" ht="12.75" customHeight="1" spans="1:25">
      <c r="A974" s="266"/>
      <c r="B974" s="266"/>
      <c r="C974" s="266"/>
      <c r="D974" s="266"/>
      <c r="E974" s="266"/>
      <c r="F974" s="266"/>
      <c r="G974" s="266"/>
      <c r="H974" s="266"/>
      <c r="I974" s="266"/>
      <c r="J974" s="266"/>
      <c r="K974" s="266"/>
      <c r="L974" s="266"/>
      <c r="M974" s="266"/>
      <c r="N974" s="266"/>
      <c r="O974" s="266"/>
      <c r="P974" s="267"/>
      <c r="Q974" s="267"/>
      <c r="R974" s="267"/>
      <c r="S974" s="267"/>
      <c r="T974" s="267"/>
      <c r="U974" s="267"/>
      <c r="V974" s="267"/>
      <c r="W974" s="267"/>
      <c r="X974" s="267"/>
      <c r="Y974" s="267"/>
    </row>
    <row r="975" ht="12.75" customHeight="1" spans="1:25">
      <c r="A975" s="266"/>
      <c r="B975" s="266"/>
      <c r="C975" s="266"/>
      <c r="D975" s="266"/>
      <c r="E975" s="266"/>
      <c r="F975" s="266"/>
      <c r="G975" s="266"/>
      <c r="H975" s="266"/>
      <c r="I975" s="266"/>
      <c r="J975" s="266"/>
      <c r="K975" s="266"/>
      <c r="L975" s="266"/>
      <c r="M975" s="266"/>
      <c r="N975" s="266"/>
      <c r="O975" s="266"/>
      <c r="P975" s="267"/>
      <c r="Q975" s="267"/>
      <c r="R975" s="267"/>
      <c r="S975" s="267"/>
      <c r="T975" s="267"/>
      <c r="U975" s="267"/>
      <c r="V975" s="267"/>
      <c r="W975" s="267"/>
      <c r="X975" s="267"/>
      <c r="Y975" s="267"/>
    </row>
    <row r="976" ht="12.75" customHeight="1" spans="1:25">
      <c r="A976" s="266"/>
      <c r="B976" s="266"/>
      <c r="C976" s="266"/>
      <c r="D976" s="266"/>
      <c r="E976" s="266"/>
      <c r="F976" s="266"/>
      <c r="G976" s="266"/>
      <c r="H976" s="266"/>
      <c r="I976" s="266"/>
      <c r="J976" s="266"/>
      <c r="K976" s="266"/>
      <c r="L976" s="266"/>
      <c r="M976" s="266"/>
      <c r="N976" s="266"/>
      <c r="O976" s="266"/>
      <c r="P976" s="267"/>
      <c r="Q976" s="267"/>
      <c r="R976" s="267"/>
      <c r="S976" s="267"/>
      <c r="T976" s="267"/>
      <c r="U976" s="267"/>
      <c r="V976" s="267"/>
      <c r="W976" s="267"/>
      <c r="X976" s="267"/>
      <c r="Y976" s="267"/>
    </row>
    <row r="977" ht="12.75" customHeight="1" spans="1:25">
      <c r="A977" s="266"/>
      <c r="B977" s="266"/>
      <c r="C977" s="266"/>
      <c r="D977" s="266"/>
      <c r="E977" s="266"/>
      <c r="F977" s="266"/>
      <c r="G977" s="266"/>
      <c r="H977" s="266"/>
      <c r="I977" s="266"/>
      <c r="J977" s="266"/>
      <c r="K977" s="266"/>
      <c r="L977" s="266"/>
      <c r="M977" s="266"/>
      <c r="N977" s="266"/>
      <c r="O977" s="266"/>
      <c r="P977" s="267"/>
      <c r="Q977" s="267"/>
      <c r="R977" s="267"/>
      <c r="S977" s="267"/>
      <c r="T977" s="267"/>
      <c r="U977" s="267"/>
      <c r="V977" s="267"/>
      <c r="W977" s="267"/>
      <c r="X977" s="267"/>
      <c r="Y977" s="267"/>
    </row>
    <row r="978" ht="12.75" customHeight="1" spans="1:25">
      <c r="A978" s="266"/>
      <c r="B978" s="266"/>
      <c r="C978" s="266"/>
      <c r="D978" s="266"/>
      <c r="E978" s="266"/>
      <c r="F978" s="266"/>
      <c r="G978" s="266"/>
      <c r="H978" s="266"/>
      <c r="I978" s="266"/>
      <c r="J978" s="266"/>
      <c r="K978" s="266"/>
      <c r="L978" s="266"/>
      <c r="M978" s="266"/>
      <c r="N978" s="266"/>
      <c r="O978" s="266"/>
      <c r="P978" s="267"/>
      <c r="Q978" s="267"/>
      <c r="R978" s="267"/>
      <c r="S978" s="267"/>
      <c r="T978" s="267"/>
      <c r="U978" s="267"/>
      <c r="V978" s="267"/>
      <c r="W978" s="267"/>
      <c r="X978" s="267"/>
      <c r="Y978" s="267"/>
    </row>
    <row r="979" ht="12.75" customHeight="1" spans="1:25">
      <c r="A979" s="266"/>
      <c r="B979" s="266"/>
      <c r="C979" s="266"/>
      <c r="D979" s="266"/>
      <c r="E979" s="266"/>
      <c r="F979" s="266"/>
      <c r="G979" s="266"/>
      <c r="H979" s="266"/>
      <c r="I979" s="266"/>
      <c r="J979" s="266"/>
      <c r="K979" s="266"/>
      <c r="L979" s="266"/>
      <c r="M979" s="266"/>
      <c r="N979" s="266"/>
      <c r="O979" s="266"/>
      <c r="P979" s="267"/>
      <c r="Q979" s="267"/>
      <c r="R979" s="267"/>
      <c r="S979" s="267"/>
      <c r="T979" s="267"/>
      <c r="U979" s="267"/>
      <c r="V979" s="267"/>
      <c r="W979" s="267"/>
      <c r="X979" s="267"/>
      <c r="Y979" s="267"/>
    </row>
    <row r="980" ht="12.75" customHeight="1" spans="1:25">
      <c r="A980" s="266"/>
      <c r="B980" s="266"/>
      <c r="C980" s="266"/>
      <c r="D980" s="266"/>
      <c r="E980" s="266"/>
      <c r="F980" s="266"/>
      <c r="G980" s="266"/>
      <c r="H980" s="266"/>
      <c r="I980" s="266"/>
      <c r="J980" s="266"/>
      <c r="K980" s="266"/>
      <c r="L980" s="266"/>
      <c r="M980" s="266"/>
      <c r="N980" s="266"/>
      <c r="O980" s="266"/>
      <c r="P980" s="267"/>
      <c r="Q980" s="267"/>
      <c r="R980" s="267"/>
      <c r="S980" s="267"/>
      <c r="T980" s="267"/>
      <c r="U980" s="267"/>
      <c r="V980" s="267"/>
      <c r="W980" s="267"/>
      <c r="X980" s="267"/>
      <c r="Y980" s="267"/>
    </row>
    <row r="981" ht="12.75" customHeight="1" spans="1:25">
      <c r="A981" s="266"/>
      <c r="B981" s="266"/>
      <c r="C981" s="266"/>
      <c r="D981" s="266"/>
      <c r="E981" s="266"/>
      <c r="F981" s="266"/>
      <c r="G981" s="266"/>
      <c r="H981" s="266"/>
      <c r="I981" s="266"/>
      <c r="J981" s="266"/>
      <c r="K981" s="266"/>
      <c r="L981" s="266"/>
      <c r="M981" s="266"/>
      <c r="N981" s="266"/>
      <c r="O981" s="266"/>
      <c r="P981" s="267"/>
      <c r="Q981" s="267"/>
      <c r="R981" s="267"/>
      <c r="S981" s="267"/>
      <c r="T981" s="267"/>
      <c r="U981" s="267"/>
      <c r="V981" s="267"/>
      <c r="W981" s="267"/>
      <c r="X981" s="267"/>
      <c r="Y981" s="267"/>
    </row>
    <row r="982" ht="12.75" customHeight="1" spans="1:25">
      <c r="A982" s="266"/>
      <c r="B982" s="266"/>
      <c r="C982" s="266"/>
      <c r="D982" s="266"/>
      <c r="E982" s="266"/>
      <c r="F982" s="266"/>
      <c r="G982" s="266"/>
      <c r="H982" s="266"/>
      <c r="I982" s="266"/>
      <c r="J982" s="266"/>
      <c r="K982" s="266"/>
      <c r="L982" s="266"/>
      <c r="M982" s="266"/>
      <c r="N982" s="266"/>
      <c r="O982" s="266"/>
      <c r="P982" s="267"/>
      <c r="Q982" s="267"/>
      <c r="R982" s="267"/>
      <c r="S982" s="267"/>
      <c r="T982" s="267"/>
      <c r="U982" s="267"/>
      <c r="V982" s="267"/>
      <c r="W982" s="267"/>
      <c r="X982" s="267"/>
      <c r="Y982" s="267"/>
    </row>
    <row r="983" ht="12.75" customHeight="1" spans="1:25">
      <c r="A983" s="266"/>
      <c r="B983" s="266"/>
      <c r="C983" s="266"/>
      <c r="D983" s="266"/>
      <c r="E983" s="266"/>
      <c r="F983" s="266"/>
      <c r="G983" s="266"/>
      <c r="H983" s="266"/>
      <c r="I983" s="266"/>
      <c r="J983" s="266"/>
      <c r="K983" s="266"/>
      <c r="L983" s="266"/>
      <c r="M983" s="266"/>
      <c r="N983" s="266"/>
      <c r="O983" s="266"/>
      <c r="P983" s="267"/>
      <c r="Q983" s="267"/>
      <c r="R983" s="267"/>
      <c r="S983" s="267"/>
      <c r="T983" s="267"/>
      <c r="U983" s="267"/>
      <c r="V983" s="267"/>
      <c r="W983" s="267"/>
      <c r="X983" s="267"/>
      <c r="Y983" s="267"/>
    </row>
    <row r="984" ht="12.75" customHeight="1" spans="1:25">
      <c r="A984" s="266"/>
      <c r="B984" s="266"/>
      <c r="C984" s="266"/>
      <c r="D984" s="266"/>
      <c r="E984" s="266"/>
      <c r="F984" s="266"/>
      <c r="G984" s="266"/>
      <c r="H984" s="266"/>
      <c r="I984" s="266"/>
      <c r="J984" s="266"/>
      <c r="K984" s="266"/>
      <c r="L984" s="266"/>
      <c r="M984" s="266"/>
      <c r="N984" s="266"/>
      <c r="O984" s="266"/>
      <c r="P984" s="267"/>
      <c r="Q984" s="267"/>
      <c r="R984" s="267"/>
      <c r="S984" s="267"/>
      <c r="T984" s="267"/>
      <c r="U984" s="267"/>
      <c r="V984" s="267"/>
      <c r="W984" s="267"/>
      <c r="X984" s="267"/>
      <c r="Y984" s="267"/>
    </row>
    <row r="985" ht="12.75" customHeight="1" spans="1:25">
      <c r="A985" s="266"/>
      <c r="B985" s="266"/>
      <c r="C985" s="266"/>
      <c r="D985" s="266"/>
      <c r="E985" s="266"/>
      <c r="F985" s="266"/>
      <c r="G985" s="266"/>
      <c r="H985" s="266"/>
      <c r="I985" s="266"/>
      <c r="J985" s="266"/>
      <c r="K985" s="266"/>
      <c r="L985" s="266"/>
      <c r="M985" s="266"/>
      <c r="N985" s="266"/>
      <c r="O985" s="266"/>
      <c r="P985" s="267"/>
      <c r="Q985" s="267"/>
      <c r="R985" s="267"/>
      <c r="S985" s="267"/>
      <c r="T985" s="267"/>
      <c r="U985" s="267"/>
      <c r="V985" s="267"/>
      <c r="W985" s="267"/>
      <c r="X985" s="267"/>
      <c r="Y985" s="267"/>
    </row>
    <row r="986" ht="12.75" customHeight="1" spans="1:25">
      <c r="A986" s="266"/>
      <c r="B986" s="266"/>
      <c r="C986" s="266"/>
      <c r="D986" s="266"/>
      <c r="E986" s="266"/>
      <c r="F986" s="266"/>
      <c r="G986" s="266"/>
      <c r="H986" s="266"/>
      <c r="I986" s="266"/>
      <c r="J986" s="266"/>
      <c r="K986" s="266"/>
      <c r="L986" s="266"/>
      <c r="M986" s="266"/>
      <c r="N986" s="266"/>
      <c r="O986" s="266"/>
      <c r="P986" s="267"/>
      <c r="Q986" s="267"/>
      <c r="R986" s="267"/>
      <c r="S986" s="267"/>
      <c r="T986" s="267"/>
      <c r="U986" s="267"/>
      <c r="V986" s="267"/>
      <c r="W986" s="267"/>
      <c r="X986" s="267"/>
      <c r="Y986" s="267"/>
    </row>
    <row r="987" ht="12.75" customHeight="1" spans="1:25">
      <c r="A987" s="266"/>
      <c r="B987" s="266"/>
      <c r="C987" s="266"/>
      <c r="D987" s="266"/>
      <c r="E987" s="266"/>
      <c r="F987" s="266"/>
      <c r="G987" s="266"/>
      <c r="H987" s="266"/>
      <c r="I987" s="266"/>
      <c r="J987" s="266"/>
      <c r="K987" s="266"/>
      <c r="L987" s="266"/>
      <c r="M987" s="266"/>
      <c r="N987" s="266"/>
      <c r="O987" s="266"/>
      <c r="P987" s="267"/>
      <c r="Q987" s="267"/>
      <c r="R987" s="267"/>
      <c r="S987" s="267"/>
      <c r="T987" s="267"/>
      <c r="U987" s="267"/>
      <c r="V987" s="267"/>
      <c r="W987" s="267"/>
      <c r="X987" s="267"/>
      <c r="Y987" s="267"/>
    </row>
    <row r="988" ht="12.75" customHeight="1" spans="1:25">
      <c r="A988" s="266"/>
      <c r="B988" s="266"/>
      <c r="C988" s="266"/>
      <c r="D988" s="266"/>
      <c r="E988" s="266"/>
      <c r="F988" s="266"/>
      <c r="G988" s="266"/>
      <c r="H988" s="266"/>
      <c r="I988" s="266"/>
      <c r="J988" s="266"/>
      <c r="K988" s="266"/>
      <c r="L988" s="266"/>
      <c r="M988" s="266"/>
      <c r="N988" s="266"/>
      <c r="O988" s="266"/>
      <c r="P988" s="267"/>
      <c r="Q988" s="267"/>
      <c r="R988" s="267"/>
      <c r="S988" s="267"/>
      <c r="T988" s="267"/>
      <c r="U988" s="267"/>
      <c r="V988" s="267"/>
      <c r="W988" s="267"/>
      <c r="X988" s="267"/>
      <c r="Y988" s="267"/>
    </row>
    <row r="989" ht="12.75" customHeight="1" spans="1:25">
      <c r="A989" s="266"/>
      <c r="B989" s="266"/>
      <c r="C989" s="266"/>
      <c r="D989" s="266"/>
      <c r="E989" s="266"/>
      <c r="F989" s="266"/>
      <c r="G989" s="266"/>
      <c r="H989" s="266"/>
      <c r="I989" s="266"/>
      <c r="J989" s="266"/>
      <c r="K989" s="266"/>
      <c r="L989" s="266"/>
      <c r="M989" s="266"/>
      <c r="N989" s="266"/>
      <c r="O989" s="266"/>
      <c r="P989" s="267"/>
      <c r="Q989" s="267"/>
      <c r="R989" s="267"/>
      <c r="S989" s="267"/>
      <c r="T989" s="267"/>
      <c r="U989" s="267"/>
      <c r="V989" s="267"/>
      <c r="W989" s="267"/>
      <c r="X989" s="267"/>
      <c r="Y989" s="267"/>
    </row>
    <row r="990" ht="12.75" customHeight="1" spans="1:25">
      <c r="A990" s="266"/>
      <c r="B990" s="266"/>
      <c r="C990" s="266"/>
      <c r="D990" s="266"/>
      <c r="E990" s="266"/>
      <c r="F990" s="266"/>
      <c r="G990" s="266"/>
      <c r="H990" s="266"/>
      <c r="I990" s="266"/>
      <c r="J990" s="266"/>
      <c r="K990" s="266"/>
      <c r="L990" s="266"/>
      <c r="M990" s="266"/>
      <c r="N990" s="266"/>
      <c r="O990" s="266"/>
      <c r="P990" s="267"/>
      <c r="Q990" s="267"/>
      <c r="R990" s="267"/>
      <c r="S990" s="267"/>
      <c r="T990" s="267"/>
      <c r="U990" s="267"/>
      <c r="V990" s="267"/>
      <c r="W990" s="267"/>
      <c r="X990" s="267"/>
      <c r="Y990" s="267"/>
    </row>
    <row r="991" ht="12.75" customHeight="1" spans="1:25">
      <c r="A991" s="266"/>
      <c r="B991" s="266"/>
      <c r="C991" s="266"/>
      <c r="D991" s="266"/>
      <c r="E991" s="266"/>
      <c r="F991" s="266"/>
      <c r="G991" s="266"/>
      <c r="H991" s="266"/>
      <c r="I991" s="266"/>
      <c r="J991" s="266"/>
      <c r="K991" s="266"/>
      <c r="L991" s="266"/>
      <c r="M991" s="266"/>
      <c r="N991" s="266"/>
      <c r="O991" s="266"/>
      <c r="P991" s="267"/>
      <c r="Q991" s="267"/>
      <c r="R991" s="267"/>
      <c r="S991" s="267"/>
      <c r="T991" s="267"/>
      <c r="U991" s="267"/>
      <c r="V991" s="267"/>
      <c r="W991" s="267"/>
      <c r="X991" s="267"/>
      <c r="Y991" s="267"/>
    </row>
    <row r="992" ht="12.75" customHeight="1" spans="1:25">
      <c r="A992" s="266"/>
      <c r="B992" s="266"/>
      <c r="C992" s="266"/>
      <c r="D992" s="266"/>
      <c r="E992" s="266"/>
      <c r="F992" s="266"/>
      <c r="G992" s="266"/>
      <c r="H992" s="266"/>
      <c r="I992" s="266"/>
      <c r="J992" s="266"/>
      <c r="K992" s="266"/>
      <c r="L992" s="266"/>
      <c r="M992" s="266"/>
      <c r="N992" s="266"/>
      <c r="O992" s="266"/>
      <c r="P992" s="267"/>
      <c r="Q992" s="267"/>
      <c r="R992" s="267"/>
      <c r="S992" s="267"/>
      <c r="T992" s="267"/>
      <c r="U992" s="267"/>
      <c r="V992" s="267"/>
      <c r="W992" s="267"/>
      <c r="X992" s="267"/>
      <c r="Y992" s="267"/>
    </row>
    <row r="993" ht="12.75" customHeight="1" spans="1:25">
      <c r="A993" s="266"/>
      <c r="B993" s="266"/>
      <c r="C993" s="266"/>
      <c r="D993" s="266"/>
      <c r="E993" s="266"/>
      <c r="F993" s="266"/>
      <c r="G993" s="266"/>
      <c r="H993" s="266"/>
      <c r="I993" s="266"/>
      <c r="J993" s="266"/>
      <c r="K993" s="266"/>
      <c r="L993" s="266"/>
      <c r="M993" s="266"/>
      <c r="N993" s="266"/>
      <c r="O993" s="266"/>
      <c r="P993" s="267"/>
      <c r="Q993" s="267"/>
      <c r="R993" s="267"/>
      <c r="S993" s="267"/>
      <c r="T993" s="267"/>
      <c r="U993" s="267"/>
      <c r="V993" s="267"/>
      <c r="W993" s="267"/>
      <c r="X993" s="267"/>
      <c r="Y993" s="267"/>
    </row>
    <row r="994" ht="12.75" customHeight="1" spans="1:25">
      <c r="A994" s="266"/>
      <c r="B994" s="266"/>
      <c r="C994" s="266"/>
      <c r="D994" s="266"/>
      <c r="E994" s="266"/>
      <c r="F994" s="266"/>
      <c r="G994" s="266"/>
      <c r="H994" s="266"/>
      <c r="I994" s="266"/>
      <c r="J994" s="266"/>
      <c r="K994" s="266"/>
      <c r="L994" s="266"/>
      <c r="M994" s="266"/>
      <c r="N994" s="266"/>
      <c r="O994" s="266"/>
      <c r="P994" s="267"/>
      <c r="Q994" s="267"/>
      <c r="R994" s="267"/>
      <c r="S994" s="267"/>
      <c r="T994" s="267"/>
      <c r="U994" s="267"/>
      <c r="V994" s="267"/>
      <c r="W994" s="267"/>
      <c r="X994" s="267"/>
      <c r="Y994" s="267"/>
    </row>
    <row r="995" ht="12.75" customHeight="1" spans="1:25">
      <c r="A995" s="266"/>
      <c r="B995" s="266"/>
      <c r="C995" s="266"/>
      <c r="D995" s="266"/>
      <c r="E995" s="266"/>
      <c r="F995" s="266"/>
      <c r="G995" s="266"/>
      <c r="H995" s="266"/>
      <c r="I995" s="266"/>
      <c r="J995" s="266"/>
      <c r="K995" s="266"/>
      <c r="L995" s="266"/>
      <c r="M995" s="266"/>
      <c r="N995" s="266"/>
      <c r="O995" s="266"/>
      <c r="P995" s="267"/>
      <c r="Q995" s="267"/>
      <c r="R995" s="267"/>
      <c r="S995" s="267"/>
      <c r="T995" s="267"/>
      <c r="U995" s="267"/>
      <c r="V995" s="267"/>
      <c r="W995" s="267"/>
      <c r="X995" s="267"/>
      <c r="Y995" s="267"/>
    </row>
    <row r="996" ht="12.75" customHeight="1" spans="1:25">
      <c r="A996" s="266"/>
      <c r="B996" s="266"/>
      <c r="C996" s="266"/>
      <c r="D996" s="266"/>
      <c r="E996" s="266"/>
      <c r="F996" s="266"/>
      <c r="G996" s="266"/>
      <c r="H996" s="266"/>
      <c r="I996" s="266"/>
      <c r="J996" s="266"/>
      <c r="K996" s="266"/>
      <c r="L996" s="266"/>
      <c r="M996" s="266"/>
      <c r="N996" s="266"/>
      <c r="O996" s="266"/>
      <c r="P996" s="267"/>
      <c r="Q996" s="267"/>
      <c r="R996" s="267"/>
      <c r="S996" s="267"/>
      <c r="T996" s="267"/>
      <c r="U996" s="267"/>
      <c r="V996" s="267"/>
      <c r="W996" s="267"/>
      <c r="X996" s="267"/>
      <c r="Y996" s="267"/>
    </row>
    <row r="997" ht="12.75" customHeight="1" spans="1:25">
      <c r="A997" s="266"/>
      <c r="B997" s="266"/>
      <c r="C997" s="266"/>
      <c r="D997" s="266"/>
      <c r="E997" s="266"/>
      <c r="F997" s="266"/>
      <c r="G997" s="266"/>
      <c r="H997" s="266"/>
      <c r="I997" s="266"/>
      <c r="J997" s="266"/>
      <c r="K997" s="266"/>
      <c r="L997" s="266"/>
      <c r="M997" s="266"/>
      <c r="N997" s="266"/>
      <c r="O997" s="266"/>
      <c r="P997" s="267"/>
      <c r="Q997" s="267"/>
      <c r="R997" s="267"/>
      <c r="S997" s="267"/>
      <c r="T997" s="267"/>
      <c r="U997" s="267"/>
      <c r="V997" s="267"/>
      <c r="W997" s="267"/>
      <c r="X997" s="267"/>
      <c r="Y997" s="267"/>
    </row>
    <row r="998" ht="12.75" customHeight="1" spans="1:25">
      <c r="A998" s="266"/>
      <c r="B998" s="266"/>
      <c r="C998" s="266"/>
      <c r="D998" s="266"/>
      <c r="E998" s="266"/>
      <c r="F998" s="266"/>
      <c r="G998" s="266"/>
      <c r="H998" s="266"/>
      <c r="I998" s="266"/>
      <c r="J998" s="266"/>
      <c r="K998" s="266"/>
      <c r="L998" s="266"/>
      <c r="M998" s="266"/>
      <c r="N998" s="266"/>
      <c r="O998" s="266"/>
      <c r="P998" s="267"/>
      <c r="Q998" s="267"/>
      <c r="R998" s="267"/>
      <c r="S998" s="267"/>
      <c r="T998" s="267"/>
      <c r="U998" s="267"/>
      <c r="V998" s="267"/>
      <c r="W998" s="267"/>
      <c r="X998" s="267"/>
      <c r="Y998" s="267"/>
    </row>
    <row r="999" ht="12.75" customHeight="1" spans="1:25">
      <c r="A999" s="266"/>
      <c r="B999" s="266"/>
      <c r="C999" s="266"/>
      <c r="D999" s="266"/>
      <c r="E999" s="266"/>
      <c r="F999" s="266"/>
      <c r="G999" s="266"/>
      <c r="H999" s="266"/>
      <c r="I999" s="266"/>
      <c r="J999" s="266"/>
      <c r="K999" s="266"/>
      <c r="L999" s="266"/>
      <c r="M999" s="266"/>
      <c r="N999" s="266"/>
      <c r="O999" s="266"/>
      <c r="P999" s="267"/>
      <c r="Q999" s="267"/>
      <c r="R999" s="267"/>
      <c r="S999" s="267"/>
      <c r="T999" s="267"/>
      <c r="U999" s="267"/>
      <c r="V999" s="267"/>
      <c r="W999" s="267"/>
      <c r="X999" s="267"/>
      <c r="Y999" s="267"/>
    </row>
    <row r="1000" ht="12.75" customHeight="1" spans="1:25">
      <c r="A1000" s="266"/>
      <c r="B1000" s="266"/>
      <c r="C1000" s="266"/>
      <c r="D1000" s="266"/>
      <c r="E1000" s="266"/>
      <c r="F1000" s="266"/>
      <c r="G1000" s="266"/>
      <c r="H1000" s="266"/>
      <c r="I1000" s="266"/>
      <c r="J1000" s="266"/>
      <c r="K1000" s="266"/>
      <c r="L1000" s="266"/>
      <c r="M1000" s="266"/>
      <c r="N1000" s="266"/>
      <c r="O1000" s="266"/>
      <c r="P1000" s="267"/>
      <c r="Q1000" s="267"/>
      <c r="R1000" s="267"/>
      <c r="S1000" s="267"/>
      <c r="T1000" s="267"/>
      <c r="U1000" s="267"/>
      <c r="V1000" s="267"/>
      <c r="W1000" s="267"/>
      <c r="X1000" s="267"/>
      <c r="Y1000" s="267"/>
    </row>
    <row r="1001" ht="12.75" customHeight="1" spans="1:25">
      <c r="A1001" s="266"/>
      <c r="B1001" s="266"/>
      <c r="C1001" s="266"/>
      <c r="D1001" s="266"/>
      <c r="E1001" s="266"/>
      <c r="F1001" s="266"/>
      <c r="G1001" s="266"/>
      <c r="H1001" s="266"/>
      <c r="I1001" s="266"/>
      <c r="J1001" s="266"/>
      <c r="K1001" s="266"/>
      <c r="L1001" s="266"/>
      <c r="M1001" s="266"/>
      <c r="N1001" s="266"/>
      <c r="O1001" s="266"/>
      <c r="P1001" s="267"/>
      <c r="Q1001" s="267"/>
      <c r="R1001" s="267"/>
      <c r="S1001" s="267"/>
      <c r="T1001" s="267"/>
      <c r="U1001" s="267"/>
      <c r="V1001" s="267"/>
      <c r="W1001" s="267"/>
      <c r="X1001" s="267"/>
      <c r="Y1001" s="267"/>
    </row>
    <row r="1002" ht="12.75" customHeight="1" spans="1:25">
      <c r="A1002" s="266"/>
      <c r="B1002" s="266"/>
      <c r="C1002" s="266"/>
      <c r="D1002" s="266"/>
      <c r="E1002" s="266"/>
      <c r="F1002" s="266"/>
      <c r="G1002" s="266"/>
      <c r="H1002" s="266"/>
      <c r="I1002" s="266"/>
      <c r="J1002" s="266"/>
      <c r="K1002" s="266"/>
      <c r="L1002" s="266"/>
      <c r="M1002" s="266"/>
      <c r="N1002" s="266"/>
      <c r="O1002" s="266"/>
      <c r="P1002" s="267"/>
      <c r="Q1002" s="267"/>
      <c r="R1002" s="267"/>
      <c r="S1002" s="267"/>
      <c r="T1002" s="267"/>
      <c r="U1002" s="267"/>
      <c r="V1002" s="267"/>
      <c r="W1002" s="267"/>
      <c r="X1002" s="267"/>
      <c r="Y1002" s="267"/>
    </row>
    <row r="1003" ht="12.75" customHeight="1" spans="1:25">
      <c r="A1003" s="266"/>
      <c r="B1003" s="266"/>
      <c r="C1003" s="266"/>
      <c r="D1003" s="266"/>
      <c r="E1003" s="266"/>
      <c r="F1003" s="266"/>
      <c r="G1003" s="266"/>
      <c r="H1003" s="266"/>
      <c r="I1003" s="266"/>
      <c r="J1003" s="266"/>
      <c r="K1003" s="266"/>
      <c r="L1003" s="266"/>
      <c r="M1003" s="266"/>
      <c r="N1003" s="266"/>
      <c r="O1003" s="266"/>
      <c r="P1003" s="267"/>
      <c r="Q1003" s="267"/>
      <c r="R1003" s="267"/>
      <c r="S1003" s="267"/>
      <c r="T1003" s="267"/>
      <c r="U1003" s="267"/>
      <c r="V1003" s="267"/>
      <c r="W1003" s="267"/>
      <c r="X1003" s="267"/>
      <c r="Y1003" s="267"/>
    </row>
    <row r="1004" ht="12.75" customHeight="1" spans="1:25">
      <c r="A1004" s="266"/>
      <c r="B1004" s="266"/>
      <c r="C1004" s="266"/>
      <c r="D1004" s="266"/>
      <c r="E1004" s="266"/>
      <c r="F1004" s="266"/>
      <c r="G1004" s="266"/>
      <c r="H1004" s="266"/>
      <c r="I1004" s="266"/>
      <c r="J1004" s="266"/>
      <c r="K1004" s="266"/>
      <c r="L1004" s="266"/>
      <c r="M1004" s="266"/>
      <c r="N1004" s="266"/>
      <c r="O1004" s="266"/>
      <c r="P1004" s="267"/>
      <c r="Q1004" s="267"/>
      <c r="R1004" s="267"/>
      <c r="S1004" s="267"/>
      <c r="T1004" s="267"/>
      <c r="U1004" s="267"/>
      <c r="V1004" s="267"/>
      <c r="W1004" s="267"/>
      <c r="X1004" s="267"/>
      <c r="Y1004" s="267"/>
    </row>
    <row r="1005" ht="12.75" customHeight="1" spans="1:25">
      <c r="A1005" s="266"/>
      <c r="B1005" s="266"/>
      <c r="C1005" s="266"/>
      <c r="D1005" s="266"/>
      <c r="E1005" s="266"/>
      <c r="F1005" s="266"/>
      <c r="G1005" s="266"/>
      <c r="H1005" s="266"/>
      <c r="I1005" s="266"/>
      <c r="J1005" s="266"/>
      <c r="K1005" s="266"/>
      <c r="L1005" s="266"/>
      <c r="M1005" s="266"/>
      <c r="N1005" s="266"/>
      <c r="O1005" s="266"/>
      <c r="P1005" s="267"/>
      <c r="Q1005" s="267"/>
      <c r="R1005" s="267"/>
      <c r="S1005" s="267"/>
      <c r="T1005" s="267"/>
      <c r="U1005" s="267"/>
      <c r="V1005" s="267"/>
      <c r="W1005" s="267"/>
      <c r="X1005" s="267"/>
      <c r="Y1005" s="267"/>
    </row>
    <row r="1006" ht="12.75" customHeight="1" spans="1:25">
      <c r="A1006" s="266"/>
      <c r="B1006" s="266"/>
      <c r="C1006" s="266"/>
      <c r="D1006" s="266"/>
      <c r="E1006" s="266"/>
      <c r="F1006" s="266"/>
      <c r="G1006" s="266"/>
      <c r="H1006" s="266"/>
      <c r="I1006" s="266"/>
      <c r="J1006" s="266"/>
      <c r="K1006" s="266"/>
      <c r="L1006" s="266"/>
      <c r="M1006" s="266"/>
      <c r="N1006" s="266"/>
      <c r="O1006" s="266"/>
      <c r="P1006" s="267"/>
      <c r="Q1006" s="267"/>
      <c r="R1006" s="267"/>
      <c r="S1006" s="267"/>
      <c r="T1006" s="267"/>
      <c r="U1006" s="267"/>
      <c r="V1006" s="267"/>
      <c r="W1006" s="267"/>
      <c r="X1006" s="267"/>
      <c r="Y1006" s="267"/>
    </row>
    <row r="1007" ht="12.75" customHeight="1" spans="1:25">
      <c r="A1007" s="266"/>
      <c r="B1007" s="266"/>
      <c r="C1007" s="266"/>
      <c r="D1007" s="266"/>
      <c r="E1007" s="266"/>
      <c r="F1007" s="266"/>
      <c r="G1007" s="266"/>
      <c r="H1007" s="266"/>
      <c r="I1007" s="266"/>
      <c r="J1007" s="266"/>
      <c r="K1007" s="266"/>
      <c r="L1007" s="266"/>
      <c r="M1007" s="266"/>
      <c r="N1007" s="266"/>
      <c r="O1007" s="266"/>
      <c r="P1007" s="267"/>
      <c r="Q1007" s="267"/>
      <c r="R1007" s="267"/>
      <c r="S1007" s="267"/>
      <c r="T1007" s="267"/>
      <c r="U1007" s="267"/>
      <c r="V1007" s="267"/>
      <c r="W1007" s="267"/>
      <c r="X1007" s="267"/>
      <c r="Y1007" s="267"/>
    </row>
    <row r="1008" ht="12.75" customHeight="1" spans="1:25">
      <c r="A1008" s="266"/>
      <c r="B1008" s="266"/>
      <c r="C1008" s="266"/>
      <c r="D1008" s="266"/>
      <c r="E1008" s="266"/>
      <c r="F1008" s="266"/>
      <c r="G1008" s="266"/>
      <c r="H1008" s="266"/>
      <c r="I1008" s="266"/>
      <c r="J1008" s="266"/>
      <c r="K1008" s="266"/>
      <c r="L1008" s="266"/>
      <c r="M1008" s="266"/>
      <c r="N1008" s="266"/>
      <c r="O1008" s="266"/>
      <c r="P1008" s="267"/>
      <c r="Q1008" s="267"/>
      <c r="R1008" s="267"/>
      <c r="S1008" s="267"/>
      <c r="T1008" s="267"/>
      <c r="U1008" s="267"/>
      <c r="V1008" s="267"/>
      <c r="W1008" s="267"/>
      <c r="X1008" s="267"/>
      <c r="Y1008" s="267"/>
    </row>
    <row r="1009" ht="12.75" customHeight="1" spans="1:25">
      <c r="A1009" s="266"/>
      <c r="B1009" s="266"/>
      <c r="C1009" s="266"/>
      <c r="D1009" s="266"/>
      <c r="E1009" s="266"/>
      <c r="F1009" s="266"/>
      <c r="G1009" s="266"/>
      <c r="H1009" s="266"/>
      <c r="I1009" s="266"/>
      <c r="J1009" s="266"/>
      <c r="K1009" s="266"/>
      <c r="L1009" s="266"/>
      <c r="M1009" s="266"/>
      <c r="N1009" s="266"/>
      <c r="O1009" s="266"/>
      <c r="P1009" s="267"/>
      <c r="Q1009" s="267"/>
      <c r="R1009" s="267"/>
      <c r="S1009" s="267"/>
      <c r="T1009" s="267"/>
      <c r="U1009" s="267"/>
      <c r="V1009" s="267"/>
      <c r="W1009" s="267"/>
      <c r="X1009" s="267"/>
      <c r="Y1009" s="267"/>
    </row>
    <row r="1010" ht="12.75" customHeight="1" spans="1:25">
      <c r="A1010" s="266"/>
      <c r="B1010" s="266"/>
      <c r="C1010" s="266"/>
      <c r="D1010" s="266"/>
      <c r="E1010" s="266"/>
      <c r="F1010" s="266"/>
      <c r="G1010" s="266"/>
      <c r="H1010" s="266"/>
      <c r="I1010" s="266"/>
      <c r="J1010" s="266"/>
      <c r="K1010" s="266"/>
      <c r="L1010" s="266"/>
      <c r="M1010" s="266"/>
      <c r="N1010" s="266"/>
      <c r="O1010" s="266"/>
      <c r="P1010" s="267"/>
      <c r="Q1010" s="267"/>
      <c r="R1010" s="267"/>
      <c r="S1010" s="267"/>
      <c r="T1010" s="267"/>
      <c r="U1010" s="267"/>
      <c r="V1010" s="267"/>
      <c r="W1010" s="267"/>
      <c r="X1010" s="267"/>
      <c r="Y1010" s="267"/>
    </row>
    <row r="1011" ht="12.75" customHeight="1" spans="1:25">
      <c r="A1011" s="266"/>
      <c r="B1011" s="266"/>
      <c r="C1011" s="266"/>
      <c r="D1011" s="266"/>
      <c r="E1011" s="266"/>
      <c r="F1011" s="266"/>
      <c r="G1011" s="266"/>
      <c r="H1011" s="266"/>
      <c r="I1011" s="266"/>
      <c r="J1011" s="266"/>
      <c r="K1011" s="266"/>
      <c r="L1011" s="266"/>
      <c r="M1011" s="266"/>
      <c r="N1011" s="266"/>
      <c r="O1011" s="266"/>
      <c r="P1011" s="267"/>
      <c r="Q1011" s="267"/>
      <c r="R1011" s="267"/>
      <c r="S1011" s="267"/>
      <c r="T1011" s="267"/>
      <c r="U1011" s="267"/>
      <c r="V1011" s="267"/>
      <c r="W1011" s="267"/>
      <c r="X1011" s="267"/>
      <c r="Y1011" s="267"/>
    </row>
    <row r="1012" ht="12.75" customHeight="1" spans="1:25">
      <c r="A1012" s="266"/>
      <c r="B1012" s="266"/>
      <c r="C1012" s="266"/>
      <c r="D1012" s="266"/>
      <c r="E1012" s="266"/>
      <c r="F1012" s="266"/>
      <c r="G1012" s="266"/>
      <c r="H1012" s="266"/>
      <c r="I1012" s="266"/>
      <c r="J1012" s="266"/>
      <c r="K1012" s="266"/>
      <c r="L1012" s="266"/>
      <c r="M1012" s="266"/>
      <c r="N1012" s="266"/>
      <c r="O1012" s="266"/>
      <c r="P1012" s="267"/>
      <c r="Q1012" s="267"/>
      <c r="R1012" s="267"/>
      <c r="S1012" s="267"/>
      <c r="T1012" s="267"/>
      <c r="U1012" s="267"/>
      <c r="V1012" s="267"/>
      <c r="W1012" s="267"/>
      <c r="X1012" s="267"/>
      <c r="Y1012" s="267"/>
    </row>
    <row r="1013" ht="12.75" customHeight="1" spans="1:25">
      <c r="A1013" s="266"/>
      <c r="B1013" s="266"/>
      <c r="C1013" s="266"/>
      <c r="D1013" s="266"/>
      <c r="E1013" s="266"/>
      <c r="F1013" s="266"/>
      <c r="G1013" s="266"/>
      <c r="H1013" s="266"/>
      <c r="I1013" s="266"/>
      <c r="J1013" s="266"/>
      <c r="K1013" s="266"/>
      <c r="L1013" s="266"/>
      <c r="M1013" s="266"/>
      <c r="N1013" s="266"/>
      <c r="O1013" s="266"/>
      <c r="P1013" s="267"/>
      <c r="Q1013" s="267"/>
      <c r="R1013" s="267"/>
      <c r="S1013" s="267"/>
      <c r="T1013" s="267"/>
      <c r="U1013" s="267"/>
      <c r="V1013" s="267"/>
      <c r="W1013" s="267"/>
      <c r="X1013" s="267"/>
      <c r="Y1013" s="267"/>
    </row>
    <row r="1014" ht="12.75" customHeight="1" spans="1:25">
      <c r="A1014" s="266"/>
      <c r="B1014" s="266"/>
      <c r="C1014" s="266"/>
      <c r="D1014" s="266"/>
      <c r="E1014" s="266"/>
      <c r="F1014" s="266"/>
      <c r="G1014" s="266"/>
      <c r="H1014" s="266"/>
      <c r="I1014" s="266"/>
      <c r="J1014" s="266"/>
      <c r="K1014" s="266"/>
      <c r="L1014" s="266"/>
      <c r="M1014" s="266"/>
      <c r="N1014" s="266"/>
      <c r="O1014" s="266"/>
      <c r="P1014" s="267"/>
      <c r="Q1014" s="267"/>
      <c r="R1014" s="267"/>
      <c r="S1014" s="267"/>
      <c r="T1014" s="267"/>
      <c r="U1014" s="267"/>
      <c r="V1014" s="267"/>
      <c r="W1014" s="267"/>
      <c r="X1014" s="267"/>
      <c r="Y1014" s="267"/>
    </row>
    <row r="1015" ht="12.75" customHeight="1" spans="1:25">
      <c r="A1015" s="266"/>
      <c r="B1015" s="266"/>
      <c r="C1015" s="266"/>
      <c r="D1015" s="266"/>
      <c r="E1015" s="266"/>
      <c r="F1015" s="266"/>
      <c r="G1015" s="266"/>
      <c r="H1015" s="266"/>
      <c r="I1015" s="266"/>
      <c r="J1015" s="266"/>
      <c r="K1015" s="266"/>
      <c r="L1015" s="266"/>
      <c r="M1015" s="266"/>
      <c r="N1015" s="266"/>
      <c r="O1015" s="266"/>
      <c r="P1015" s="267"/>
      <c r="Q1015" s="267"/>
      <c r="R1015" s="267"/>
      <c r="S1015" s="267"/>
      <c r="T1015" s="267"/>
      <c r="U1015" s="267"/>
      <c r="V1015" s="267"/>
      <c r="W1015" s="267"/>
      <c r="X1015" s="267"/>
      <c r="Y1015" s="267"/>
    </row>
    <row r="1016" ht="12.75" customHeight="1" spans="1:25">
      <c r="A1016" s="266"/>
      <c r="B1016" s="266"/>
      <c r="C1016" s="266"/>
      <c r="D1016" s="266"/>
      <c r="E1016" s="266"/>
      <c r="F1016" s="266"/>
      <c r="G1016" s="266"/>
      <c r="H1016" s="266"/>
      <c r="I1016" s="266"/>
      <c r="J1016" s="266"/>
      <c r="K1016" s="266"/>
      <c r="L1016" s="266"/>
      <c r="M1016" s="266"/>
      <c r="N1016" s="266"/>
      <c r="O1016" s="266"/>
      <c r="P1016" s="267"/>
      <c r="Q1016" s="267"/>
      <c r="R1016" s="267"/>
      <c r="S1016" s="267"/>
      <c r="T1016" s="267"/>
      <c r="U1016" s="267"/>
      <c r="V1016" s="267"/>
      <c r="W1016" s="267"/>
      <c r="X1016" s="267"/>
      <c r="Y1016" s="267"/>
    </row>
    <row r="1017" ht="12.75" customHeight="1" spans="1:25">
      <c r="A1017" s="266"/>
      <c r="B1017" s="266"/>
      <c r="C1017" s="266"/>
      <c r="D1017" s="266"/>
      <c r="E1017" s="266"/>
      <c r="F1017" s="266"/>
      <c r="G1017" s="266"/>
      <c r="H1017" s="266"/>
      <c r="I1017" s="266"/>
      <c r="J1017" s="266"/>
      <c r="K1017" s="266"/>
      <c r="L1017" s="266"/>
      <c r="M1017" s="266"/>
      <c r="N1017" s="266"/>
      <c r="O1017" s="266"/>
      <c r="P1017" s="267"/>
      <c r="Q1017" s="267"/>
      <c r="R1017" s="267"/>
      <c r="S1017" s="267"/>
      <c r="T1017" s="267"/>
      <c r="U1017" s="267"/>
      <c r="V1017" s="267"/>
      <c r="W1017" s="267"/>
      <c r="X1017" s="267"/>
      <c r="Y1017" s="267"/>
    </row>
    <row r="1018" ht="12.75" customHeight="1" spans="1:25">
      <c r="A1018" s="266"/>
      <c r="B1018" s="266"/>
      <c r="C1018" s="266"/>
      <c r="D1018" s="266"/>
      <c r="E1018" s="266"/>
      <c r="F1018" s="266"/>
      <c r="G1018" s="266"/>
      <c r="H1018" s="266"/>
      <c r="I1018" s="266"/>
      <c r="J1018" s="266"/>
      <c r="K1018" s="266"/>
      <c r="L1018" s="266"/>
      <c r="M1018" s="266"/>
      <c r="N1018" s="266"/>
      <c r="O1018" s="266"/>
      <c r="P1018" s="267"/>
      <c r="Q1018" s="267"/>
      <c r="R1018" s="267"/>
      <c r="S1018" s="267"/>
      <c r="T1018" s="267"/>
      <c r="U1018" s="267"/>
      <c r="V1018" s="267"/>
      <c r="W1018" s="267"/>
      <c r="X1018" s="267"/>
      <c r="Y1018" s="267"/>
    </row>
    <row r="1019" ht="12.75" customHeight="1" spans="1:25">
      <c r="A1019" s="266"/>
      <c r="B1019" s="266"/>
      <c r="C1019" s="266"/>
      <c r="D1019" s="266"/>
      <c r="E1019" s="266"/>
      <c r="F1019" s="266"/>
      <c r="G1019" s="266"/>
      <c r="H1019" s="266"/>
      <c r="I1019" s="266"/>
      <c r="J1019" s="266"/>
      <c r="K1019" s="266"/>
      <c r="L1019" s="266"/>
      <c r="M1019" s="266"/>
      <c r="N1019" s="266"/>
      <c r="O1019" s="266"/>
      <c r="P1019" s="267"/>
      <c r="Q1019" s="267"/>
      <c r="R1019" s="267"/>
      <c r="S1019" s="267"/>
      <c r="T1019" s="267"/>
      <c r="U1019" s="267"/>
      <c r="V1019" s="267"/>
      <c r="W1019" s="267"/>
      <c r="X1019" s="267"/>
      <c r="Y1019" s="267"/>
    </row>
    <row r="1020" ht="12.75" customHeight="1" spans="1:25">
      <c r="A1020" s="266"/>
      <c r="B1020" s="266"/>
      <c r="C1020" s="266"/>
      <c r="D1020" s="266"/>
      <c r="E1020" s="266"/>
      <c r="F1020" s="266"/>
      <c r="G1020" s="266"/>
      <c r="H1020" s="266"/>
      <c r="I1020" s="266"/>
      <c r="J1020" s="266"/>
      <c r="K1020" s="266"/>
      <c r="L1020" s="266"/>
      <c r="M1020" s="266"/>
      <c r="N1020" s="266"/>
      <c r="O1020" s="266"/>
      <c r="P1020" s="267"/>
      <c r="Q1020" s="267"/>
      <c r="R1020" s="267"/>
      <c r="S1020" s="267"/>
      <c r="T1020" s="267"/>
      <c r="U1020" s="267"/>
      <c r="V1020" s="267"/>
      <c r="W1020" s="267"/>
      <c r="X1020" s="267"/>
      <c r="Y1020" s="267"/>
    </row>
    <row r="1021" ht="12.75" customHeight="1" spans="1:25">
      <c r="A1021" s="266"/>
      <c r="B1021" s="266"/>
      <c r="C1021" s="266"/>
      <c r="D1021" s="266"/>
      <c r="E1021" s="266"/>
      <c r="F1021" s="266"/>
      <c r="G1021" s="266"/>
      <c r="H1021" s="266"/>
      <c r="I1021" s="266"/>
      <c r="J1021" s="266"/>
      <c r="K1021" s="266"/>
      <c r="L1021" s="266"/>
      <c r="M1021" s="266"/>
      <c r="N1021" s="266"/>
      <c r="O1021" s="266"/>
      <c r="P1021" s="267"/>
      <c r="Q1021" s="267"/>
      <c r="R1021" s="267"/>
      <c r="S1021" s="267"/>
      <c r="T1021" s="267"/>
      <c r="U1021" s="267"/>
      <c r="V1021" s="267"/>
      <c r="W1021" s="267"/>
      <c r="X1021" s="267"/>
      <c r="Y1021" s="267"/>
    </row>
    <row r="1022" ht="12.75" customHeight="1" spans="1:25">
      <c r="A1022" s="266"/>
      <c r="B1022" s="266"/>
      <c r="C1022" s="266"/>
      <c r="D1022" s="266"/>
      <c r="E1022" s="266"/>
      <c r="F1022" s="266"/>
      <c r="G1022" s="266"/>
      <c r="H1022" s="266"/>
      <c r="I1022" s="266"/>
      <c r="J1022" s="266"/>
      <c r="K1022" s="266"/>
      <c r="L1022" s="266"/>
      <c r="M1022" s="266"/>
      <c r="N1022" s="266"/>
      <c r="O1022" s="266"/>
      <c r="P1022" s="267"/>
      <c r="Q1022" s="267"/>
      <c r="R1022" s="267"/>
      <c r="S1022" s="267"/>
      <c r="T1022" s="267"/>
      <c r="U1022" s="267"/>
      <c r="V1022" s="267"/>
      <c r="W1022" s="267"/>
      <c r="X1022" s="267"/>
      <c r="Y1022" s="267"/>
    </row>
    <row r="1023" ht="12.75" customHeight="1" spans="1:25">
      <c r="A1023" s="266"/>
      <c r="B1023" s="266"/>
      <c r="C1023" s="266"/>
      <c r="D1023" s="266"/>
      <c r="E1023" s="266"/>
      <c r="F1023" s="266"/>
      <c r="G1023" s="266"/>
      <c r="H1023" s="266"/>
      <c r="I1023" s="266"/>
      <c r="J1023" s="266"/>
      <c r="K1023" s="266"/>
      <c r="L1023" s="266"/>
      <c r="M1023" s="266"/>
      <c r="N1023" s="266"/>
      <c r="O1023" s="266"/>
      <c r="P1023" s="267"/>
      <c r="Q1023" s="267"/>
      <c r="R1023" s="267"/>
      <c r="S1023" s="267"/>
      <c r="T1023" s="267"/>
      <c r="U1023" s="267"/>
      <c r="V1023" s="267"/>
      <c r="W1023" s="267"/>
      <c r="X1023" s="267"/>
      <c r="Y1023" s="267"/>
    </row>
    <row r="1024" ht="12.75" customHeight="1" spans="1:25">
      <c r="A1024" s="266"/>
      <c r="B1024" s="266"/>
      <c r="C1024" s="266"/>
      <c r="D1024" s="266"/>
      <c r="E1024" s="266"/>
      <c r="F1024" s="266"/>
      <c r="G1024" s="266"/>
      <c r="H1024" s="266"/>
      <c r="I1024" s="266"/>
      <c r="J1024" s="266"/>
      <c r="K1024" s="266"/>
      <c r="L1024" s="266"/>
      <c r="M1024" s="266"/>
      <c r="N1024" s="266"/>
      <c r="O1024" s="266"/>
      <c r="P1024" s="267"/>
      <c r="Q1024" s="267"/>
      <c r="R1024" s="267"/>
      <c r="S1024" s="267"/>
      <c r="T1024" s="267"/>
      <c r="U1024" s="267"/>
      <c r="V1024" s="267"/>
      <c r="W1024" s="267"/>
      <c r="X1024" s="267"/>
      <c r="Y1024" s="267"/>
    </row>
    <row r="1025" ht="12.75" customHeight="1" spans="1:25">
      <c r="A1025" s="266"/>
      <c r="B1025" s="266"/>
      <c r="C1025" s="266"/>
      <c r="D1025" s="266"/>
      <c r="E1025" s="266"/>
      <c r="F1025" s="266"/>
      <c r="G1025" s="266"/>
      <c r="H1025" s="266"/>
      <c r="I1025" s="266"/>
      <c r="J1025" s="266"/>
      <c r="K1025" s="266"/>
      <c r="L1025" s="266"/>
      <c r="M1025" s="266"/>
      <c r="N1025" s="266"/>
      <c r="O1025" s="266"/>
      <c r="P1025" s="267"/>
      <c r="Q1025" s="267"/>
      <c r="R1025" s="267"/>
      <c r="S1025" s="267"/>
      <c r="T1025" s="267"/>
      <c r="U1025" s="267"/>
      <c r="V1025" s="267"/>
      <c r="W1025" s="267"/>
      <c r="X1025" s="267"/>
      <c r="Y1025" s="267"/>
    </row>
    <row r="1026" ht="12.75" customHeight="1" spans="1:25">
      <c r="A1026" s="266"/>
      <c r="B1026" s="266"/>
      <c r="C1026" s="266"/>
      <c r="D1026" s="266"/>
      <c r="E1026" s="266"/>
      <c r="F1026" s="266"/>
      <c r="G1026" s="266"/>
      <c r="H1026" s="266"/>
      <c r="I1026" s="266"/>
      <c r="J1026" s="266"/>
      <c r="K1026" s="266"/>
      <c r="L1026" s="266"/>
      <c r="M1026" s="266"/>
      <c r="N1026" s="266"/>
      <c r="O1026" s="266"/>
      <c r="P1026" s="267"/>
      <c r="Q1026" s="267"/>
      <c r="R1026" s="267"/>
      <c r="S1026" s="267"/>
      <c r="T1026" s="267"/>
      <c r="U1026" s="267"/>
      <c r="V1026" s="267"/>
      <c r="W1026" s="267"/>
      <c r="X1026" s="267"/>
      <c r="Y1026" s="267"/>
    </row>
    <row r="1027" ht="12.75" customHeight="1" spans="1:25">
      <c r="A1027" s="266"/>
      <c r="B1027" s="266"/>
      <c r="C1027" s="266"/>
      <c r="D1027" s="266"/>
      <c r="E1027" s="266"/>
      <c r="F1027" s="266"/>
      <c r="G1027" s="266"/>
      <c r="H1027" s="266"/>
      <c r="I1027" s="266"/>
      <c r="J1027" s="266"/>
      <c r="K1027" s="266"/>
      <c r="L1027" s="266"/>
      <c r="M1027" s="266"/>
      <c r="N1027" s="266"/>
      <c r="O1027" s="266"/>
      <c r="P1027" s="267"/>
      <c r="Q1027" s="267"/>
      <c r="R1027" s="267"/>
      <c r="S1027" s="267"/>
      <c r="T1027" s="267"/>
      <c r="U1027" s="267"/>
      <c r="V1027" s="267"/>
      <c r="W1027" s="267"/>
      <c r="X1027" s="267"/>
      <c r="Y1027" s="267"/>
    </row>
    <row r="1028" ht="12.75" customHeight="1" spans="1:25">
      <c r="A1028" s="266"/>
      <c r="B1028" s="266"/>
      <c r="C1028" s="266"/>
      <c r="D1028" s="266"/>
      <c r="E1028" s="266"/>
      <c r="F1028" s="266"/>
      <c r="G1028" s="266"/>
      <c r="H1028" s="266"/>
      <c r="I1028" s="266"/>
      <c r="J1028" s="266"/>
      <c r="K1028" s="266"/>
      <c r="L1028" s="266"/>
      <c r="M1028" s="266"/>
      <c r="N1028" s="266"/>
      <c r="O1028" s="266"/>
      <c r="P1028" s="267"/>
      <c r="Q1028" s="267"/>
      <c r="R1028" s="267"/>
      <c r="S1028" s="267"/>
      <c r="T1028" s="267"/>
      <c r="U1028" s="267"/>
      <c r="V1028" s="267"/>
      <c r="W1028" s="267"/>
      <c r="X1028" s="267"/>
      <c r="Y1028" s="267"/>
    </row>
    <row r="1029" ht="12.75" customHeight="1" spans="1:25">
      <c r="A1029" s="266"/>
      <c r="B1029" s="266"/>
      <c r="C1029" s="266"/>
      <c r="D1029" s="266"/>
      <c r="E1029" s="266"/>
      <c r="F1029" s="266"/>
      <c r="G1029" s="266"/>
      <c r="H1029" s="266"/>
      <c r="I1029" s="266"/>
      <c r="J1029" s="266"/>
      <c r="K1029" s="266"/>
      <c r="L1029" s="266"/>
      <c r="M1029" s="266"/>
      <c r="N1029" s="266"/>
      <c r="O1029" s="266"/>
      <c r="P1029" s="267"/>
      <c r="Q1029" s="267"/>
      <c r="R1029" s="267"/>
      <c r="S1029" s="267"/>
      <c r="T1029" s="267"/>
      <c r="U1029" s="267"/>
      <c r="V1029" s="267"/>
      <c r="W1029" s="267"/>
      <c r="X1029" s="267"/>
      <c r="Y1029" s="267"/>
    </row>
    <row r="1030" ht="12.75" customHeight="1" spans="1:25">
      <c r="A1030" s="266"/>
      <c r="B1030" s="266"/>
      <c r="C1030" s="266"/>
      <c r="D1030" s="266"/>
      <c r="E1030" s="266"/>
      <c r="F1030" s="266"/>
      <c r="G1030" s="266"/>
      <c r="H1030" s="266"/>
      <c r="I1030" s="266"/>
      <c r="J1030" s="266"/>
      <c r="K1030" s="266"/>
      <c r="L1030" s="266"/>
      <c r="M1030" s="266"/>
      <c r="N1030" s="266"/>
      <c r="O1030" s="266"/>
      <c r="P1030" s="267"/>
      <c r="Q1030" s="267"/>
      <c r="R1030" s="267"/>
      <c r="S1030" s="267"/>
      <c r="T1030" s="267"/>
      <c r="U1030" s="267"/>
      <c r="V1030" s="267"/>
      <c r="W1030" s="267"/>
      <c r="X1030" s="267"/>
      <c r="Y1030" s="267"/>
    </row>
    <row r="1031" ht="12.75" customHeight="1" spans="1:25">
      <c r="A1031" s="266"/>
      <c r="B1031" s="266"/>
      <c r="C1031" s="266"/>
      <c r="D1031" s="266"/>
      <c r="E1031" s="266"/>
      <c r="F1031" s="266"/>
      <c r="G1031" s="266"/>
      <c r="H1031" s="266"/>
      <c r="I1031" s="266"/>
      <c r="J1031" s="266"/>
      <c r="K1031" s="266"/>
      <c r="L1031" s="266"/>
      <c r="M1031" s="266"/>
      <c r="N1031" s="266"/>
      <c r="O1031" s="266"/>
      <c r="P1031" s="267"/>
      <c r="Q1031" s="267"/>
      <c r="R1031" s="267"/>
      <c r="S1031" s="267"/>
      <c r="T1031" s="267"/>
      <c r="U1031" s="267"/>
      <c r="V1031" s="267"/>
      <c r="W1031" s="267"/>
      <c r="X1031" s="267"/>
      <c r="Y1031" s="267"/>
    </row>
    <row r="1032" ht="12.75" customHeight="1" spans="1:25">
      <c r="A1032" s="266"/>
      <c r="B1032" s="266"/>
      <c r="C1032" s="266"/>
      <c r="D1032" s="266"/>
      <c r="E1032" s="266"/>
      <c r="F1032" s="266"/>
      <c r="G1032" s="266"/>
      <c r="H1032" s="266"/>
      <c r="I1032" s="266"/>
      <c r="J1032" s="266"/>
      <c r="K1032" s="266"/>
      <c r="L1032" s="266"/>
      <c r="M1032" s="266"/>
      <c r="N1032" s="266"/>
      <c r="O1032" s="266"/>
      <c r="P1032" s="267"/>
      <c r="Q1032" s="267"/>
      <c r="R1032" s="267"/>
      <c r="S1032" s="267"/>
      <c r="T1032" s="267"/>
      <c r="U1032" s="267"/>
      <c r="V1032" s="267"/>
      <c r="W1032" s="267"/>
      <c r="X1032" s="267"/>
      <c r="Y1032" s="267"/>
    </row>
    <row r="1033" ht="12.75" customHeight="1" spans="1:25">
      <c r="A1033" s="266"/>
      <c r="B1033" s="266"/>
      <c r="C1033" s="266"/>
      <c r="D1033" s="266"/>
      <c r="E1033" s="266"/>
      <c r="F1033" s="266"/>
      <c r="G1033" s="266"/>
      <c r="H1033" s="266"/>
      <c r="I1033" s="266"/>
      <c r="J1033" s="266"/>
      <c r="K1033" s="266"/>
      <c r="L1033" s="266"/>
      <c r="M1033" s="266"/>
      <c r="N1033" s="266"/>
      <c r="O1033" s="266"/>
      <c r="P1033" s="267"/>
      <c r="Q1033" s="267"/>
      <c r="R1033" s="267"/>
      <c r="S1033" s="267"/>
      <c r="T1033" s="267"/>
      <c r="U1033" s="267"/>
      <c r="V1033" s="267"/>
      <c r="W1033" s="267"/>
      <c r="X1033" s="267"/>
      <c r="Y1033" s="267"/>
    </row>
    <row r="1034" ht="12.75" customHeight="1" spans="1:25">
      <c r="A1034" s="266"/>
      <c r="B1034" s="266"/>
      <c r="C1034" s="266"/>
      <c r="D1034" s="266"/>
      <c r="E1034" s="266"/>
      <c r="F1034" s="266"/>
      <c r="G1034" s="266"/>
      <c r="H1034" s="266"/>
      <c r="I1034" s="266"/>
      <c r="J1034" s="266"/>
      <c r="K1034" s="266"/>
      <c r="L1034" s="266"/>
      <c r="M1034" s="266"/>
      <c r="N1034" s="266"/>
      <c r="O1034" s="266"/>
      <c r="P1034" s="267"/>
      <c r="Q1034" s="267"/>
      <c r="R1034" s="267"/>
      <c r="S1034" s="267"/>
      <c r="T1034" s="267"/>
      <c r="U1034" s="267"/>
      <c r="V1034" s="267"/>
      <c r="W1034" s="267"/>
      <c r="X1034" s="267"/>
      <c r="Y1034" s="267"/>
    </row>
    <row r="1035" ht="12.75" customHeight="1" spans="1:25">
      <c r="A1035" s="266"/>
      <c r="B1035" s="266"/>
      <c r="C1035" s="266"/>
      <c r="D1035" s="266"/>
      <c r="E1035" s="266"/>
      <c r="F1035" s="266"/>
      <c r="G1035" s="266"/>
      <c r="H1035" s="266"/>
      <c r="I1035" s="266"/>
      <c r="J1035" s="266"/>
      <c r="K1035" s="266"/>
      <c r="L1035" s="266"/>
      <c r="M1035" s="266"/>
      <c r="N1035" s="266"/>
      <c r="O1035" s="266"/>
      <c r="P1035" s="267"/>
      <c r="Q1035" s="267"/>
      <c r="R1035" s="267"/>
      <c r="S1035" s="267"/>
      <c r="T1035" s="267"/>
      <c r="U1035" s="267"/>
      <c r="V1035" s="267"/>
      <c r="W1035" s="267"/>
      <c r="X1035" s="267"/>
      <c r="Y1035" s="267"/>
    </row>
    <row r="1036" ht="12.75" customHeight="1" spans="1:25">
      <c r="A1036" s="266"/>
      <c r="B1036" s="266"/>
      <c r="C1036" s="266"/>
      <c r="D1036" s="266"/>
      <c r="E1036" s="266"/>
      <c r="F1036" s="266"/>
      <c r="G1036" s="266"/>
      <c r="H1036" s="266"/>
      <c r="I1036" s="266"/>
      <c r="J1036" s="266"/>
      <c r="K1036" s="266"/>
      <c r="L1036" s="266"/>
      <c r="M1036" s="266"/>
      <c r="N1036" s="266"/>
      <c r="O1036" s="266"/>
      <c r="P1036" s="267"/>
      <c r="Q1036" s="267"/>
      <c r="R1036" s="267"/>
      <c r="S1036" s="267"/>
      <c r="T1036" s="267"/>
      <c r="U1036" s="267"/>
      <c r="V1036" s="267"/>
      <c r="W1036" s="267"/>
      <c r="X1036" s="267"/>
      <c r="Y1036" s="267"/>
    </row>
    <row r="1037" ht="12.75" customHeight="1" spans="1:25">
      <c r="A1037" s="266"/>
      <c r="B1037" s="266"/>
      <c r="C1037" s="266"/>
      <c r="D1037" s="266"/>
      <c r="E1037" s="266"/>
      <c r="F1037" s="266"/>
      <c r="G1037" s="266"/>
      <c r="H1037" s="266"/>
      <c r="I1037" s="266"/>
      <c r="J1037" s="266"/>
      <c r="K1037" s="266"/>
      <c r="L1037" s="266"/>
      <c r="M1037" s="266"/>
      <c r="N1037" s="266"/>
      <c r="O1037" s="266"/>
      <c r="P1037" s="267"/>
      <c r="Q1037" s="267"/>
      <c r="R1037" s="267"/>
      <c r="S1037" s="267"/>
      <c r="T1037" s="267"/>
      <c r="U1037" s="267"/>
      <c r="V1037" s="267"/>
      <c r="W1037" s="267"/>
      <c r="X1037" s="267"/>
      <c r="Y1037" s="267"/>
    </row>
    <row r="1038" ht="12.75" customHeight="1" spans="1:25">
      <c r="A1038" s="266"/>
      <c r="B1038" s="266"/>
      <c r="C1038" s="266"/>
      <c r="D1038" s="266"/>
      <c r="E1038" s="266"/>
      <c r="F1038" s="266"/>
      <c r="G1038" s="266"/>
      <c r="H1038" s="266"/>
      <c r="I1038" s="266"/>
      <c r="J1038" s="266"/>
      <c r="K1038" s="266"/>
      <c r="L1038" s="266"/>
      <c r="M1038" s="266"/>
      <c r="N1038" s="266"/>
      <c r="O1038" s="266"/>
      <c r="P1038" s="267"/>
      <c r="Q1038" s="267"/>
      <c r="R1038" s="267"/>
      <c r="S1038" s="267"/>
      <c r="T1038" s="267"/>
      <c r="U1038" s="267"/>
      <c r="V1038" s="267"/>
      <c r="W1038" s="267"/>
      <c r="X1038" s="267"/>
      <c r="Y1038" s="267"/>
    </row>
    <row r="1039" ht="12.75" customHeight="1" spans="1:25">
      <c r="A1039" s="266"/>
      <c r="B1039" s="266"/>
      <c r="C1039" s="266"/>
      <c r="D1039" s="266"/>
      <c r="E1039" s="266"/>
      <c r="F1039" s="266"/>
      <c r="G1039" s="266"/>
      <c r="H1039" s="266"/>
      <c r="I1039" s="266"/>
      <c r="J1039" s="266"/>
      <c r="K1039" s="266"/>
      <c r="L1039" s="266"/>
      <c r="M1039" s="266"/>
      <c r="N1039" s="266"/>
      <c r="O1039" s="266"/>
      <c r="P1039" s="267"/>
      <c r="Q1039" s="267"/>
      <c r="R1039" s="267"/>
      <c r="S1039" s="267"/>
      <c r="T1039" s="267"/>
      <c r="U1039" s="267"/>
      <c r="V1039" s="267"/>
      <c r="W1039" s="267"/>
      <c r="X1039" s="267"/>
      <c r="Y1039" s="267"/>
    </row>
    <row r="1040" ht="12.75" customHeight="1" spans="1:25">
      <c r="A1040" s="266"/>
      <c r="B1040" s="266"/>
      <c r="C1040" s="266"/>
      <c r="D1040" s="266"/>
      <c r="E1040" s="266"/>
      <c r="F1040" s="266"/>
      <c r="G1040" s="266"/>
      <c r="H1040" s="266"/>
      <c r="I1040" s="266"/>
      <c r="J1040" s="266"/>
      <c r="K1040" s="266"/>
      <c r="L1040" s="266"/>
      <c r="M1040" s="266"/>
      <c r="N1040" s="266"/>
      <c r="O1040" s="266"/>
      <c r="P1040" s="267"/>
      <c r="Q1040" s="267"/>
      <c r="R1040" s="267"/>
      <c r="S1040" s="267"/>
      <c r="T1040" s="267"/>
      <c r="U1040" s="267"/>
      <c r="V1040" s="267"/>
      <c r="W1040" s="267"/>
      <c r="X1040" s="267"/>
      <c r="Y1040" s="267"/>
    </row>
    <row r="1041" ht="12.75" customHeight="1" spans="1:25">
      <c r="A1041" s="266"/>
      <c r="B1041" s="266"/>
      <c r="C1041" s="266"/>
      <c r="D1041" s="266"/>
      <c r="E1041" s="266"/>
      <c r="F1041" s="266"/>
      <c r="G1041" s="266"/>
      <c r="H1041" s="266"/>
      <c r="I1041" s="266"/>
      <c r="J1041" s="266"/>
      <c r="K1041" s="266"/>
      <c r="L1041" s="266"/>
      <c r="M1041" s="266"/>
      <c r="N1041" s="266"/>
      <c r="O1041" s="266"/>
      <c r="P1041" s="267"/>
      <c r="Q1041" s="267"/>
      <c r="R1041" s="267"/>
      <c r="S1041" s="267"/>
      <c r="T1041" s="267"/>
      <c r="U1041" s="267"/>
      <c r="V1041" s="267"/>
      <c r="W1041" s="267"/>
      <c r="X1041" s="267"/>
      <c r="Y1041" s="267"/>
    </row>
    <row r="1042" ht="12.75" customHeight="1" spans="1:25">
      <c r="A1042" s="266"/>
      <c r="B1042" s="266"/>
      <c r="C1042" s="266"/>
      <c r="D1042" s="266"/>
      <c r="E1042" s="266"/>
      <c r="F1042" s="266"/>
      <c r="G1042" s="266"/>
      <c r="H1042" s="266"/>
      <c r="I1042" s="266"/>
      <c r="J1042" s="266"/>
      <c r="K1042" s="266"/>
      <c r="L1042" s="266"/>
      <c r="M1042" s="266"/>
      <c r="N1042" s="266"/>
      <c r="O1042" s="266"/>
      <c r="P1042" s="267"/>
      <c r="Q1042" s="267"/>
      <c r="R1042" s="267"/>
      <c r="S1042" s="267"/>
      <c r="T1042" s="267"/>
      <c r="U1042" s="267"/>
      <c r="V1042" s="267"/>
      <c r="W1042" s="267"/>
      <c r="X1042" s="267"/>
      <c r="Y1042" s="267"/>
    </row>
    <row r="1043" ht="12.75" customHeight="1" spans="1:25">
      <c r="A1043" s="266"/>
      <c r="B1043" s="266"/>
      <c r="C1043" s="266"/>
      <c r="D1043" s="266"/>
      <c r="E1043" s="266"/>
      <c r="F1043" s="266"/>
      <c r="G1043" s="266"/>
      <c r="H1043" s="266"/>
      <c r="I1043" s="266"/>
      <c r="J1043" s="266"/>
      <c r="K1043" s="266"/>
      <c r="L1043" s="266"/>
      <c r="M1043" s="266"/>
      <c r="N1043" s="266"/>
      <c r="O1043" s="266"/>
      <c r="P1043" s="267"/>
      <c r="Q1043" s="267"/>
      <c r="R1043" s="267"/>
      <c r="S1043" s="267"/>
      <c r="T1043" s="267"/>
      <c r="U1043" s="267"/>
      <c r="V1043" s="267"/>
      <c r="W1043" s="267"/>
      <c r="X1043" s="267"/>
      <c r="Y1043" s="267"/>
    </row>
    <row r="1044" ht="12.75" customHeight="1" spans="1:25">
      <c r="A1044" s="266"/>
      <c r="B1044" s="266"/>
      <c r="C1044" s="266"/>
      <c r="D1044" s="266"/>
      <c r="E1044" s="266"/>
      <c r="F1044" s="266"/>
      <c r="G1044" s="266"/>
      <c r="H1044" s="266"/>
      <c r="I1044" s="266"/>
      <c r="J1044" s="266"/>
      <c r="K1044" s="266"/>
      <c r="L1044" s="266"/>
      <c r="M1044" s="266"/>
      <c r="N1044" s="266"/>
      <c r="O1044" s="266"/>
      <c r="P1044" s="267"/>
      <c r="Q1044" s="267"/>
      <c r="R1044" s="267"/>
      <c r="S1044" s="267"/>
      <c r="T1044" s="267"/>
      <c r="U1044" s="267"/>
      <c r="V1044" s="267"/>
      <c r="W1044" s="267"/>
      <c r="X1044" s="267"/>
      <c r="Y1044" s="267"/>
    </row>
    <row r="1045" ht="12.75" customHeight="1" spans="1:25">
      <c r="A1045" s="266"/>
      <c r="B1045" s="266"/>
      <c r="C1045" s="266"/>
      <c r="D1045" s="266"/>
      <c r="E1045" s="266"/>
      <c r="F1045" s="266"/>
      <c r="G1045" s="266"/>
      <c r="H1045" s="266"/>
      <c r="I1045" s="266"/>
      <c r="J1045" s="266"/>
      <c r="K1045" s="266"/>
      <c r="L1045" s="266"/>
      <c r="M1045" s="266"/>
      <c r="N1045" s="266"/>
      <c r="O1045" s="266"/>
      <c r="P1045" s="267"/>
      <c r="Q1045" s="267"/>
      <c r="R1045" s="267"/>
      <c r="S1045" s="267"/>
      <c r="T1045" s="267"/>
      <c r="U1045" s="267"/>
      <c r="V1045" s="267"/>
      <c r="W1045" s="267"/>
      <c r="X1045" s="267"/>
      <c r="Y1045" s="267"/>
    </row>
    <row r="1046" ht="12.75" customHeight="1" spans="1:25">
      <c r="A1046" s="266"/>
      <c r="B1046" s="266"/>
      <c r="C1046" s="266"/>
      <c r="D1046" s="266"/>
      <c r="E1046" s="266"/>
      <c r="F1046" s="266"/>
      <c r="G1046" s="266"/>
      <c r="H1046" s="266"/>
      <c r="I1046" s="266"/>
      <c r="J1046" s="266"/>
      <c r="K1046" s="266"/>
      <c r="L1046" s="266"/>
      <c r="M1046" s="266"/>
      <c r="N1046" s="266"/>
      <c r="O1046" s="266"/>
      <c r="P1046" s="267"/>
      <c r="Q1046" s="267"/>
      <c r="R1046" s="267"/>
      <c r="S1046" s="267"/>
      <c r="T1046" s="267"/>
      <c r="U1046" s="267"/>
      <c r="V1046" s="267"/>
      <c r="W1046" s="267"/>
      <c r="X1046" s="267"/>
      <c r="Y1046" s="267"/>
    </row>
    <row r="1047" ht="12.75" customHeight="1" spans="1:25">
      <c r="A1047" s="266"/>
      <c r="B1047" s="266"/>
      <c r="C1047" s="266"/>
      <c r="D1047" s="266"/>
      <c r="E1047" s="266"/>
      <c r="F1047" s="266"/>
      <c r="G1047" s="266"/>
      <c r="H1047" s="266"/>
      <c r="I1047" s="266"/>
      <c r="J1047" s="266"/>
      <c r="K1047" s="266"/>
      <c r="L1047" s="266"/>
      <c r="M1047" s="266"/>
      <c r="N1047" s="266"/>
      <c r="O1047" s="266"/>
      <c r="P1047" s="267"/>
      <c r="Q1047" s="267"/>
      <c r="R1047" s="267"/>
      <c r="S1047" s="267"/>
      <c r="T1047" s="267"/>
      <c r="U1047" s="267"/>
      <c r="V1047" s="267"/>
      <c r="W1047" s="267"/>
      <c r="X1047" s="267"/>
      <c r="Y1047" s="267"/>
    </row>
    <row r="1048" ht="12.75" customHeight="1" spans="1:25">
      <c r="A1048" s="266"/>
      <c r="B1048" s="266"/>
      <c r="C1048" s="266"/>
      <c r="D1048" s="266"/>
      <c r="E1048" s="266"/>
      <c r="F1048" s="266"/>
      <c r="G1048" s="266"/>
      <c r="H1048" s="266"/>
      <c r="I1048" s="266"/>
      <c r="J1048" s="266"/>
      <c r="K1048" s="266"/>
      <c r="L1048" s="266"/>
      <c r="M1048" s="266"/>
      <c r="N1048" s="266"/>
      <c r="O1048" s="266"/>
      <c r="P1048" s="267"/>
      <c r="Q1048" s="267"/>
      <c r="R1048" s="267"/>
      <c r="S1048" s="267"/>
      <c r="T1048" s="267"/>
      <c r="U1048" s="267"/>
      <c r="V1048" s="267"/>
      <c r="W1048" s="267"/>
      <c r="X1048" s="267"/>
      <c r="Y1048" s="267"/>
    </row>
    <row r="1049" ht="12.75" customHeight="1" spans="1:25">
      <c r="A1049" s="266"/>
      <c r="B1049" s="266"/>
      <c r="C1049" s="266"/>
      <c r="D1049" s="266"/>
      <c r="E1049" s="266"/>
      <c r="F1049" s="266"/>
      <c r="G1049" s="266"/>
      <c r="H1049" s="266"/>
      <c r="I1049" s="266"/>
      <c r="J1049" s="266"/>
      <c r="K1049" s="266"/>
      <c r="L1049" s="266"/>
      <c r="M1049" s="266"/>
      <c r="N1049" s="266"/>
      <c r="O1049" s="266"/>
      <c r="P1049" s="267"/>
      <c r="Q1049" s="267"/>
      <c r="R1049" s="267"/>
      <c r="S1049" s="267"/>
      <c r="T1049" s="267"/>
      <c r="U1049" s="267"/>
      <c r="V1049" s="267"/>
      <c r="W1049" s="267"/>
      <c r="X1049" s="267"/>
      <c r="Y1049" s="267"/>
    </row>
    <row r="1050" ht="12.75" customHeight="1" spans="1:25">
      <c r="A1050" s="266"/>
      <c r="B1050" s="266"/>
      <c r="C1050" s="266"/>
      <c r="D1050" s="266"/>
      <c r="E1050" s="266"/>
      <c r="F1050" s="266"/>
      <c r="G1050" s="266"/>
      <c r="H1050" s="266"/>
      <c r="I1050" s="266"/>
      <c r="J1050" s="266"/>
      <c r="K1050" s="266"/>
      <c r="L1050" s="266"/>
      <c r="M1050" s="266"/>
      <c r="N1050" s="266"/>
      <c r="O1050" s="266"/>
      <c r="P1050" s="267"/>
      <c r="Q1050" s="267"/>
      <c r="R1050" s="267"/>
      <c r="S1050" s="267"/>
      <c r="T1050" s="267"/>
      <c r="U1050" s="267"/>
      <c r="V1050" s="267"/>
      <c r="W1050" s="267"/>
      <c r="X1050" s="267"/>
      <c r="Y1050" s="267"/>
    </row>
    <row r="1051" ht="12.75" customHeight="1" spans="1:25">
      <c r="A1051" s="266"/>
      <c r="B1051" s="266"/>
      <c r="C1051" s="266"/>
      <c r="D1051" s="266"/>
      <c r="E1051" s="266"/>
      <c r="F1051" s="266"/>
      <c r="G1051" s="266"/>
      <c r="H1051" s="266"/>
      <c r="I1051" s="266"/>
      <c r="J1051" s="266"/>
      <c r="K1051" s="266"/>
      <c r="L1051" s="266"/>
      <c r="M1051" s="266"/>
      <c r="N1051" s="266"/>
      <c r="O1051" s="266"/>
      <c r="P1051" s="267"/>
      <c r="Q1051" s="267"/>
      <c r="R1051" s="267"/>
      <c r="S1051" s="267"/>
      <c r="T1051" s="267"/>
      <c r="U1051" s="267"/>
      <c r="V1051" s="267"/>
      <c r="W1051" s="267"/>
      <c r="X1051" s="267"/>
      <c r="Y1051" s="267"/>
    </row>
    <row r="1052" ht="12.75" customHeight="1" spans="1:25">
      <c r="A1052" s="266"/>
      <c r="B1052" s="266"/>
      <c r="C1052" s="266"/>
      <c r="D1052" s="266"/>
      <c r="E1052" s="266"/>
      <c r="F1052" s="266"/>
      <c r="G1052" s="266"/>
      <c r="H1052" s="266"/>
      <c r="I1052" s="266"/>
      <c r="J1052" s="266"/>
      <c r="K1052" s="266"/>
      <c r="L1052" s="266"/>
      <c r="M1052" s="266"/>
      <c r="N1052" s="266"/>
      <c r="O1052" s="266"/>
      <c r="P1052" s="267"/>
      <c r="Q1052" s="267"/>
      <c r="R1052" s="267"/>
      <c r="S1052" s="267"/>
      <c r="T1052" s="267"/>
      <c r="U1052" s="267"/>
      <c r="V1052" s="267"/>
      <c r="W1052" s="267"/>
      <c r="X1052" s="267"/>
      <c r="Y1052" s="267"/>
    </row>
    <row r="1053" ht="12.75" customHeight="1" spans="1:25">
      <c r="A1053" s="266"/>
      <c r="B1053" s="266"/>
      <c r="C1053" s="266"/>
      <c r="D1053" s="266"/>
      <c r="E1053" s="266"/>
      <c r="F1053" s="266"/>
      <c r="G1053" s="266"/>
      <c r="H1053" s="266"/>
      <c r="I1053" s="266"/>
      <c r="J1053" s="266"/>
      <c r="K1053" s="266"/>
      <c r="L1053" s="266"/>
      <c r="M1053" s="266"/>
      <c r="N1053" s="266"/>
      <c r="O1053" s="266"/>
      <c r="P1053" s="267"/>
      <c r="Q1053" s="267"/>
      <c r="R1053" s="267"/>
      <c r="S1053" s="267"/>
      <c r="T1053" s="267"/>
      <c r="U1053" s="267"/>
      <c r="V1053" s="267"/>
      <c r="W1053" s="267"/>
      <c r="X1053" s="267"/>
      <c r="Y1053" s="267"/>
    </row>
    <row r="1054" ht="12.75" customHeight="1" spans="1:25">
      <c r="A1054" s="266"/>
      <c r="B1054" s="266"/>
      <c r="C1054" s="266"/>
      <c r="D1054" s="266"/>
      <c r="E1054" s="266"/>
      <c r="F1054" s="266"/>
      <c r="G1054" s="266"/>
      <c r="H1054" s="266"/>
      <c r="I1054" s="266"/>
      <c r="J1054" s="266"/>
      <c r="K1054" s="266"/>
      <c r="L1054" s="266"/>
      <c r="M1054" s="266"/>
      <c r="N1054" s="266"/>
      <c r="O1054" s="266"/>
      <c r="P1054" s="267"/>
      <c r="Q1054" s="267"/>
      <c r="R1054" s="267"/>
      <c r="S1054" s="267"/>
      <c r="T1054" s="267"/>
      <c r="U1054" s="267"/>
      <c r="V1054" s="267"/>
      <c r="W1054" s="267"/>
      <c r="X1054" s="267"/>
      <c r="Y1054" s="267"/>
    </row>
    <row r="1055" ht="12.75" customHeight="1" spans="1:25">
      <c r="A1055" s="266"/>
      <c r="B1055" s="266"/>
      <c r="C1055" s="266"/>
      <c r="D1055" s="266"/>
      <c r="E1055" s="266"/>
      <c r="F1055" s="266"/>
      <c r="G1055" s="266"/>
      <c r="H1055" s="266"/>
      <c r="I1055" s="266"/>
      <c r="J1055" s="266"/>
      <c r="K1055" s="266"/>
      <c r="L1055" s="266"/>
      <c r="M1055" s="266"/>
      <c r="N1055" s="266"/>
      <c r="O1055" s="266"/>
      <c r="P1055" s="267"/>
      <c r="Q1055" s="267"/>
      <c r="R1055" s="267"/>
      <c r="S1055" s="267"/>
      <c r="T1055" s="267"/>
      <c r="U1055" s="267"/>
      <c r="V1055" s="267"/>
      <c r="W1055" s="267"/>
      <c r="X1055" s="267"/>
      <c r="Y1055" s="267"/>
    </row>
    <row r="1056" ht="12.75" customHeight="1" spans="1:25">
      <c r="A1056" s="266"/>
      <c r="B1056" s="266"/>
      <c r="C1056" s="266"/>
      <c r="D1056" s="266"/>
      <c r="E1056" s="266"/>
      <c r="F1056" s="266"/>
      <c r="G1056" s="266"/>
      <c r="H1056" s="266"/>
      <c r="I1056" s="266"/>
      <c r="J1056" s="266"/>
      <c r="K1056" s="266"/>
      <c r="L1056" s="266"/>
      <c r="M1056" s="266"/>
      <c r="N1056" s="266"/>
      <c r="O1056" s="266"/>
      <c r="P1056" s="267"/>
      <c r="Q1056" s="267"/>
      <c r="R1056" s="267"/>
      <c r="S1056" s="267"/>
      <c r="T1056" s="267"/>
      <c r="U1056" s="267"/>
      <c r="V1056" s="267"/>
      <c r="W1056" s="267"/>
      <c r="X1056" s="267"/>
      <c r="Y1056" s="267"/>
    </row>
    <row r="1057" ht="12.75" customHeight="1" spans="1:25">
      <c r="A1057" s="266"/>
      <c r="B1057" s="266"/>
      <c r="C1057" s="266"/>
      <c r="D1057" s="266"/>
      <c r="E1057" s="266"/>
      <c r="F1057" s="266"/>
      <c r="G1057" s="266"/>
      <c r="H1057" s="266"/>
      <c r="I1057" s="266"/>
      <c r="J1057" s="266"/>
      <c r="K1057" s="266"/>
      <c r="L1057" s="266"/>
      <c r="M1057" s="266"/>
      <c r="N1057" s="266"/>
      <c r="O1057" s="266"/>
      <c r="P1057" s="267"/>
      <c r="Q1057" s="267"/>
      <c r="R1057" s="267"/>
      <c r="S1057" s="267"/>
      <c r="T1057" s="267"/>
      <c r="U1057" s="267"/>
      <c r="V1057" s="267"/>
      <c r="W1057" s="267"/>
      <c r="X1057" s="267"/>
      <c r="Y1057" s="267"/>
    </row>
    <row r="1058" ht="12.75" customHeight="1" spans="1:25">
      <c r="A1058" s="266"/>
      <c r="B1058" s="266"/>
      <c r="C1058" s="266"/>
      <c r="D1058" s="266"/>
      <c r="E1058" s="266"/>
      <c r="F1058" s="266"/>
      <c r="G1058" s="266"/>
      <c r="H1058" s="266"/>
      <c r="I1058" s="266"/>
      <c r="J1058" s="266"/>
      <c r="K1058" s="266"/>
      <c r="L1058" s="266"/>
      <c r="M1058" s="266"/>
      <c r="N1058" s="266"/>
      <c r="O1058" s="266"/>
      <c r="P1058" s="267"/>
      <c r="Q1058" s="267"/>
      <c r="R1058" s="267"/>
      <c r="S1058" s="267"/>
      <c r="T1058" s="267"/>
      <c r="U1058" s="267"/>
      <c r="V1058" s="267"/>
      <c r="W1058" s="267"/>
      <c r="X1058" s="267"/>
      <c r="Y1058" s="267"/>
    </row>
    <row r="1059" ht="12.75" customHeight="1" spans="1:25">
      <c r="A1059" s="266"/>
      <c r="B1059" s="266"/>
      <c r="C1059" s="266"/>
      <c r="D1059" s="266"/>
      <c r="E1059" s="266"/>
      <c r="F1059" s="266"/>
      <c r="G1059" s="266"/>
      <c r="H1059" s="266"/>
      <c r="I1059" s="266"/>
      <c r="J1059" s="266"/>
      <c r="K1059" s="266"/>
      <c r="L1059" s="266"/>
      <c r="M1059" s="266"/>
      <c r="N1059" s="266"/>
      <c r="O1059" s="266"/>
      <c r="P1059" s="267"/>
      <c r="Q1059" s="267"/>
      <c r="R1059" s="267"/>
      <c r="S1059" s="267"/>
      <c r="T1059" s="267"/>
      <c r="U1059" s="267"/>
      <c r="V1059" s="267"/>
      <c r="W1059" s="267"/>
      <c r="X1059" s="267"/>
      <c r="Y1059" s="267"/>
    </row>
  </sheetData>
  <mergeCells count="3">
    <mergeCell ref="A1:Q1"/>
    <mergeCell ref="Q104:Q106"/>
    <mergeCell ref="Q107:Q108"/>
  </mergeCells>
  <pageMargins left="0.7" right="0.7" top="0.75" bottom="0.75" header="0" footer="0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3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333333333333" defaultRowHeight="15" customHeight="1"/>
  <cols>
    <col min="1" max="1" width="5.38333333333333" customWidth="1"/>
    <col min="2" max="2" width="21" customWidth="1"/>
    <col min="3" max="3" width="14.5" customWidth="1"/>
    <col min="4" max="4" width="16.3833333333333" customWidth="1"/>
    <col min="5" max="5" width="26.8833333333333" customWidth="1"/>
    <col min="6" max="6" width="21.1333333333333" customWidth="1"/>
    <col min="7" max="8" width="15.5" customWidth="1"/>
    <col min="9" max="9" width="34.1333333333333" customWidth="1"/>
    <col min="10" max="10" width="9.5" customWidth="1"/>
    <col min="11" max="11" width="10" customWidth="1"/>
    <col min="12" max="12" width="9.25" customWidth="1"/>
    <col min="13" max="13" width="13" customWidth="1"/>
    <col min="14" max="14" width="8.63333333333333" customWidth="1"/>
    <col min="15" max="15" width="15.5" customWidth="1"/>
    <col min="16" max="16" width="14.6333333333333" customWidth="1"/>
    <col min="17" max="18" width="12.8833333333333" customWidth="1"/>
  </cols>
  <sheetData>
    <row r="1" ht="28.5" customHeight="1" spans="1:18">
      <c r="A1" s="230" t="s">
        <v>8164</v>
      </c>
      <c r="B1" s="297"/>
      <c r="C1" s="297"/>
      <c r="D1" s="230"/>
      <c r="E1" s="230"/>
      <c r="F1" s="230"/>
      <c r="G1" s="230"/>
      <c r="H1" s="230"/>
      <c r="I1" s="230"/>
      <c r="J1" s="298" t="s">
        <v>420</v>
      </c>
      <c r="K1" s="230"/>
      <c r="L1" s="230"/>
      <c r="M1" s="230"/>
      <c r="N1" s="230"/>
      <c r="O1" s="230"/>
      <c r="P1" s="230"/>
      <c r="Q1" s="299"/>
      <c r="R1" s="299"/>
    </row>
    <row r="2" ht="12.75" customHeight="1" spans="1:18">
      <c r="A2" s="232" t="s">
        <v>421</v>
      </c>
      <c r="B2" s="6" t="s">
        <v>3571</v>
      </c>
      <c r="C2" s="6" t="s">
        <v>3572</v>
      </c>
      <c r="D2" s="6" t="s">
        <v>6130</v>
      </c>
      <c r="E2" s="6" t="s">
        <v>427</v>
      </c>
      <c r="F2" s="6" t="s">
        <v>6131</v>
      </c>
      <c r="G2" s="232" t="s">
        <v>3574</v>
      </c>
      <c r="H2" s="6" t="s">
        <v>3576</v>
      </c>
      <c r="I2" s="6" t="s">
        <v>443</v>
      </c>
      <c r="J2" s="232" t="s">
        <v>433</v>
      </c>
      <c r="K2" s="232" t="s">
        <v>434</v>
      </c>
      <c r="L2" s="232" t="s">
        <v>435</v>
      </c>
      <c r="M2" s="232" t="s">
        <v>436</v>
      </c>
      <c r="N2" s="232" t="s">
        <v>437</v>
      </c>
      <c r="O2" s="232" t="s">
        <v>6133</v>
      </c>
      <c r="P2" s="233" t="s">
        <v>6134</v>
      </c>
      <c r="Q2" s="300" t="s">
        <v>3581</v>
      </c>
      <c r="R2" s="301" t="s">
        <v>444</v>
      </c>
    </row>
    <row r="3" ht="20.25" customHeight="1" spans="1:18">
      <c r="A3" s="1110" t="s">
        <v>7193</v>
      </c>
      <c r="B3" s="7" t="s">
        <v>8165</v>
      </c>
      <c r="C3" s="302"/>
      <c r="D3" s="303">
        <f>SUM($C$4,$C$23,$C$31,$C$62)</f>
        <v>25</v>
      </c>
      <c r="E3" s="304"/>
      <c r="F3" s="302"/>
      <c r="G3" s="304"/>
      <c r="H3" s="304"/>
      <c r="I3" s="304"/>
      <c r="J3" s="302"/>
      <c r="K3" s="302"/>
      <c r="L3" s="304"/>
      <c r="M3" s="302"/>
      <c r="N3" s="302"/>
      <c r="O3" s="304"/>
      <c r="P3" s="304"/>
      <c r="Q3" s="305"/>
      <c r="R3" s="306" t="s">
        <v>445</v>
      </c>
    </row>
    <row r="4" ht="21.75" customHeight="1" spans="1:18">
      <c r="A4" s="307" t="s">
        <v>3007</v>
      </c>
      <c r="B4" s="307" t="s">
        <v>7102</v>
      </c>
      <c r="C4" s="308">
        <f>SUM($C$5,$C$9,$C$13,$C$17)</f>
        <v>5</v>
      </c>
      <c r="D4" s="309"/>
      <c r="E4" s="309"/>
      <c r="F4" s="310"/>
      <c r="G4" s="309"/>
      <c r="H4" s="309"/>
      <c r="I4" s="309"/>
      <c r="J4" s="310"/>
      <c r="K4" s="310"/>
      <c r="L4" s="309"/>
      <c r="M4" s="310"/>
      <c r="N4" s="310"/>
      <c r="O4" s="309"/>
      <c r="P4" s="309"/>
      <c r="Q4" s="311"/>
      <c r="R4" s="312" t="s">
        <v>447</v>
      </c>
    </row>
    <row r="5" ht="21.75" customHeight="1" spans="1:18">
      <c r="A5" s="290" t="s">
        <v>448</v>
      </c>
      <c r="B5" s="290" t="s">
        <v>7103</v>
      </c>
      <c r="C5" s="313">
        <f>COUNTA($B$6:$B$8)</f>
        <v>1</v>
      </c>
      <c r="D5" s="314"/>
      <c r="E5" s="314"/>
      <c r="F5" s="313"/>
      <c r="G5" s="314"/>
      <c r="H5" s="314"/>
      <c r="I5" s="314"/>
      <c r="J5" s="313"/>
      <c r="K5" s="313"/>
      <c r="L5" s="314"/>
      <c r="M5" s="313"/>
      <c r="N5" s="313"/>
      <c r="O5" s="314"/>
      <c r="P5" s="314"/>
      <c r="Q5" s="315"/>
      <c r="R5" s="315"/>
    </row>
    <row r="6" ht="21.75" customHeight="1" spans="1:18">
      <c r="A6" s="316"/>
      <c r="B6" s="316" t="s">
        <v>7104</v>
      </c>
      <c r="C6" s="317"/>
      <c r="D6" s="318"/>
      <c r="E6" s="20" t="s">
        <v>295</v>
      </c>
      <c r="F6" s="19" t="s">
        <v>16</v>
      </c>
      <c r="G6" s="319">
        <v>45420</v>
      </c>
      <c r="H6" s="20" t="s">
        <v>1839</v>
      </c>
      <c r="I6" s="318"/>
      <c r="J6" s="19" t="s">
        <v>8166</v>
      </c>
      <c r="K6" s="19" t="s">
        <v>8167</v>
      </c>
      <c r="L6" s="20"/>
      <c r="M6" s="19" t="s">
        <v>8168</v>
      </c>
      <c r="N6" s="19" t="s">
        <v>8169</v>
      </c>
      <c r="O6" s="318"/>
      <c r="P6" s="318"/>
      <c r="Q6" s="320">
        <v>0.63</v>
      </c>
      <c r="R6" s="320"/>
    </row>
    <row r="7" ht="21.75" customHeight="1" spans="1:18">
      <c r="A7" s="316"/>
      <c r="B7" s="316"/>
      <c r="C7" s="317"/>
      <c r="D7" s="318"/>
      <c r="E7" s="318"/>
      <c r="F7" s="317"/>
      <c r="G7" s="318"/>
      <c r="H7" s="318"/>
      <c r="I7" s="318"/>
      <c r="J7" s="317"/>
      <c r="K7" s="317"/>
      <c r="L7" s="318"/>
      <c r="M7" s="317"/>
      <c r="N7" s="317"/>
      <c r="O7" s="318"/>
      <c r="P7" s="318"/>
      <c r="Q7" s="320"/>
      <c r="R7" s="320"/>
    </row>
    <row r="8" ht="21.75" hidden="1" customHeight="1" spans="1:18">
      <c r="A8" s="316"/>
      <c r="B8" s="316"/>
      <c r="C8" s="317" t="s">
        <v>2536</v>
      </c>
      <c r="D8" s="318"/>
      <c r="E8" s="318"/>
      <c r="F8" s="317"/>
      <c r="G8" s="318"/>
      <c r="H8" s="318"/>
      <c r="I8" s="318"/>
      <c r="J8" s="317"/>
      <c r="K8" s="317"/>
      <c r="L8" s="318"/>
      <c r="M8" s="317"/>
      <c r="N8" s="317"/>
      <c r="O8" s="318"/>
      <c r="P8" s="318"/>
      <c r="Q8" s="320"/>
      <c r="R8" s="320"/>
    </row>
    <row r="9" ht="21.75" customHeight="1" spans="1:18">
      <c r="A9" s="290" t="s">
        <v>690</v>
      </c>
      <c r="B9" s="290" t="s">
        <v>7105</v>
      </c>
      <c r="C9" s="313">
        <f>COUNTA($B$10:$B$12)</f>
        <v>0</v>
      </c>
      <c r="D9" s="314"/>
      <c r="E9" s="314"/>
      <c r="F9" s="313"/>
      <c r="G9" s="314"/>
      <c r="H9" s="314"/>
      <c r="I9" s="314"/>
      <c r="J9" s="313"/>
      <c r="K9" s="313"/>
      <c r="L9" s="314"/>
      <c r="M9" s="313"/>
      <c r="N9" s="313"/>
      <c r="O9" s="314"/>
      <c r="P9" s="314"/>
      <c r="Q9" s="315"/>
      <c r="R9" s="315"/>
    </row>
    <row r="10" ht="21.75" customHeight="1" spans="1:18">
      <c r="A10" s="316"/>
      <c r="B10" s="316"/>
      <c r="C10" s="317"/>
      <c r="D10" s="318"/>
      <c r="E10" s="318"/>
      <c r="F10" s="317"/>
      <c r="G10" s="318"/>
      <c r="H10" s="318"/>
      <c r="I10" s="318"/>
      <c r="J10" s="317"/>
      <c r="K10" s="317"/>
      <c r="L10" s="318"/>
      <c r="M10" s="317"/>
      <c r="N10" s="317"/>
      <c r="O10" s="318"/>
      <c r="P10" s="318"/>
      <c r="Q10" s="320"/>
      <c r="R10" s="320"/>
    </row>
    <row r="11" ht="21.75" customHeight="1" spans="1:18">
      <c r="A11" s="316"/>
      <c r="B11" s="316"/>
      <c r="C11" s="317"/>
      <c r="D11" s="318"/>
      <c r="E11" s="318"/>
      <c r="F11" s="317"/>
      <c r="G11" s="318"/>
      <c r="H11" s="318"/>
      <c r="I11" s="318"/>
      <c r="J11" s="317"/>
      <c r="K11" s="317"/>
      <c r="L11" s="318"/>
      <c r="M11" s="317"/>
      <c r="N11" s="317"/>
      <c r="O11" s="318"/>
      <c r="P11" s="318"/>
      <c r="Q11" s="320"/>
      <c r="R11" s="320"/>
    </row>
    <row r="12" ht="21.75" hidden="1" customHeight="1" spans="1:18">
      <c r="A12" s="316"/>
      <c r="B12" s="316"/>
      <c r="C12" s="317" t="s">
        <v>2536</v>
      </c>
      <c r="D12" s="318"/>
      <c r="E12" s="318"/>
      <c r="F12" s="317"/>
      <c r="G12" s="318"/>
      <c r="H12" s="318"/>
      <c r="I12" s="318"/>
      <c r="J12" s="317"/>
      <c r="K12" s="317"/>
      <c r="L12" s="318"/>
      <c r="M12" s="317"/>
      <c r="N12" s="317"/>
      <c r="O12" s="318"/>
      <c r="P12" s="318"/>
      <c r="Q12" s="320"/>
      <c r="R12" s="320"/>
    </row>
    <row r="13" ht="21.75" customHeight="1" spans="1:18">
      <c r="A13" s="290" t="s">
        <v>815</v>
      </c>
      <c r="B13" s="290" t="s">
        <v>7106</v>
      </c>
      <c r="C13" s="313">
        <f>COUNTA($B$14:$B$16)</f>
        <v>0</v>
      </c>
      <c r="D13" s="314"/>
      <c r="E13" s="314"/>
      <c r="F13" s="313"/>
      <c r="G13" s="314"/>
      <c r="H13" s="314"/>
      <c r="I13" s="314"/>
      <c r="J13" s="313"/>
      <c r="K13" s="313"/>
      <c r="L13" s="314"/>
      <c r="M13" s="313"/>
      <c r="N13" s="313"/>
      <c r="O13" s="314"/>
      <c r="P13" s="314"/>
      <c r="Q13" s="315"/>
      <c r="R13" s="315"/>
    </row>
    <row r="14" ht="21.75" customHeight="1" spans="1:18">
      <c r="A14" s="316"/>
      <c r="B14" s="316"/>
      <c r="C14" s="317"/>
      <c r="D14" s="318"/>
      <c r="E14" s="318"/>
      <c r="F14" s="317"/>
      <c r="G14" s="318"/>
      <c r="H14" s="318"/>
      <c r="I14" s="318"/>
      <c r="J14" s="317"/>
      <c r="K14" s="317"/>
      <c r="L14" s="318"/>
      <c r="M14" s="317"/>
      <c r="N14" s="317"/>
      <c r="O14" s="318"/>
      <c r="P14" s="318"/>
      <c r="Q14" s="320"/>
      <c r="R14" s="320"/>
    </row>
    <row r="15" ht="21.75" customHeight="1" spans="1:18">
      <c r="A15" s="316"/>
      <c r="B15" s="316"/>
      <c r="C15" s="317"/>
      <c r="D15" s="318"/>
      <c r="E15" s="318"/>
      <c r="F15" s="317"/>
      <c r="G15" s="318"/>
      <c r="H15" s="318"/>
      <c r="I15" s="318"/>
      <c r="J15" s="317"/>
      <c r="K15" s="317"/>
      <c r="L15" s="318"/>
      <c r="M15" s="317"/>
      <c r="N15" s="317"/>
      <c r="O15" s="318"/>
      <c r="P15" s="318"/>
      <c r="Q15" s="320"/>
      <c r="R15" s="320"/>
    </row>
    <row r="16" ht="21.75" hidden="1" customHeight="1" spans="1:18">
      <c r="A16" s="316"/>
      <c r="B16" s="316"/>
      <c r="C16" s="317" t="s">
        <v>2536</v>
      </c>
      <c r="D16" s="318"/>
      <c r="E16" s="318"/>
      <c r="F16" s="317"/>
      <c r="G16" s="318"/>
      <c r="H16" s="318"/>
      <c r="I16" s="318"/>
      <c r="J16" s="317"/>
      <c r="K16" s="317"/>
      <c r="L16" s="318"/>
      <c r="M16" s="317"/>
      <c r="N16" s="317"/>
      <c r="O16" s="318"/>
      <c r="P16" s="318"/>
      <c r="Q16" s="320"/>
      <c r="R16" s="320"/>
    </row>
    <row r="17" ht="21.75" customHeight="1" spans="1:18">
      <c r="A17" s="290" t="s">
        <v>8170</v>
      </c>
      <c r="B17" s="290" t="s">
        <v>19</v>
      </c>
      <c r="C17" s="313">
        <f>COUNTA(B18:B21)</f>
        <v>4</v>
      </c>
      <c r="D17" s="314"/>
      <c r="E17" s="314"/>
      <c r="F17" s="313"/>
      <c r="G17" s="314"/>
      <c r="H17" s="314"/>
      <c r="I17" s="314"/>
      <c r="J17" s="313"/>
      <c r="K17" s="313"/>
      <c r="L17" s="314"/>
      <c r="M17" s="313"/>
      <c r="N17" s="313"/>
      <c r="O17" s="314"/>
      <c r="P17" s="314"/>
      <c r="Q17" s="315"/>
      <c r="R17" s="315"/>
    </row>
    <row r="18" ht="21.75" customHeight="1" spans="1:18">
      <c r="A18" s="317">
        <v>1</v>
      </c>
      <c r="B18" s="317" t="s">
        <v>7107</v>
      </c>
      <c r="C18" s="317"/>
      <c r="D18" s="318"/>
      <c r="E18" s="20" t="s">
        <v>295</v>
      </c>
      <c r="F18" s="317" t="s">
        <v>5203</v>
      </c>
      <c r="G18" s="318" t="s">
        <v>8171</v>
      </c>
      <c r="H18" s="20" t="s">
        <v>1839</v>
      </c>
      <c r="I18" s="318"/>
      <c r="J18" s="317" t="s">
        <v>8166</v>
      </c>
      <c r="K18" s="19" t="s">
        <v>8167</v>
      </c>
      <c r="L18" s="318"/>
      <c r="M18" s="317" t="s">
        <v>8172</v>
      </c>
      <c r="N18" s="317" t="s">
        <v>8173</v>
      </c>
      <c r="O18" s="19">
        <v>837566473</v>
      </c>
      <c r="P18" s="19">
        <v>134</v>
      </c>
      <c r="Q18" s="320">
        <v>0.63</v>
      </c>
      <c r="R18" s="320"/>
    </row>
    <row r="19" ht="21.75" customHeight="1" spans="1:18">
      <c r="A19" s="317">
        <v>2</v>
      </c>
      <c r="B19" s="317" t="s">
        <v>7108</v>
      </c>
      <c r="C19" s="317"/>
      <c r="D19" s="318"/>
      <c r="E19" s="20" t="s">
        <v>295</v>
      </c>
      <c r="F19" s="317" t="s">
        <v>5203</v>
      </c>
      <c r="G19" s="318" t="s">
        <v>8171</v>
      </c>
      <c r="H19" s="20" t="s">
        <v>1839</v>
      </c>
      <c r="I19" s="318"/>
      <c r="J19" s="317" t="s">
        <v>8166</v>
      </c>
      <c r="K19" s="19" t="s">
        <v>8167</v>
      </c>
      <c r="L19" s="318"/>
      <c r="M19" s="317" t="s">
        <v>8172</v>
      </c>
      <c r="N19" s="317" t="s">
        <v>8173</v>
      </c>
      <c r="O19" s="19">
        <v>837566474</v>
      </c>
      <c r="P19" s="19">
        <v>135</v>
      </c>
      <c r="Q19" s="320">
        <v>0.63</v>
      </c>
      <c r="R19" s="320"/>
    </row>
    <row r="20" ht="21.75" customHeight="1" spans="1:18">
      <c r="A20" s="317">
        <v>3</v>
      </c>
      <c r="B20" s="317" t="s">
        <v>7109</v>
      </c>
      <c r="C20" s="317"/>
      <c r="D20" s="318"/>
      <c r="E20" s="20" t="s">
        <v>295</v>
      </c>
      <c r="F20" s="317" t="s">
        <v>5203</v>
      </c>
      <c r="G20" s="318" t="s">
        <v>8171</v>
      </c>
      <c r="H20" s="20" t="s">
        <v>1839</v>
      </c>
      <c r="I20" s="318"/>
      <c r="J20" s="317" t="s">
        <v>8166</v>
      </c>
      <c r="K20" s="19" t="s">
        <v>8167</v>
      </c>
      <c r="L20" s="318"/>
      <c r="M20" s="317" t="s">
        <v>8172</v>
      </c>
      <c r="N20" s="317" t="s">
        <v>8173</v>
      </c>
      <c r="O20" s="19">
        <v>837566439</v>
      </c>
      <c r="P20" s="19">
        <v>100</v>
      </c>
      <c r="Q20" s="320">
        <v>0.63</v>
      </c>
      <c r="R20" s="320"/>
    </row>
    <row r="21" ht="21.75" customHeight="1" spans="1:18">
      <c r="A21" s="317">
        <v>4</v>
      </c>
      <c r="B21" s="317" t="s">
        <v>7110</v>
      </c>
      <c r="C21" s="317"/>
      <c r="D21" s="318"/>
      <c r="E21" s="20" t="s">
        <v>295</v>
      </c>
      <c r="F21" s="317" t="s">
        <v>5203</v>
      </c>
      <c r="G21" s="318" t="s">
        <v>8171</v>
      </c>
      <c r="H21" s="20" t="s">
        <v>1839</v>
      </c>
      <c r="I21" s="318"/>
      <c r="J21" s="317" t="s">
        <v>8166</v>
      </c>
      <c r="K21" s="19" t="s">
        <v>8167</v>
      </c>
      <c r="L21" s="318"/>
      <c r="M21" s="317" t="s">
        <v>8172</v>
      </c>
      <c r="N21" s="317" t="s">
        <v>8173</v>
      </c>
      <c r="O21" s="19">
        <v>837566434</v>
      </c>
      <c r="P21" s="19">
        <v>95</v>
      </c>
      <c r="Q21" s="320">
        <v>0.63</v>
      </c>
      <c r="R21" s="320"/>
    </row>
    <row r="22" ht="21.75" customHeight="1" spans="1:18">
      <c r="A22" s="316"/>
      <c r="B22" s="316"/>
      <c r="C22" s="317" t="s">
        <v>2536</v>
      </c>
      <c r="D22" s="318"/>
      <c r="E22" s="318"/>
      <c r="F22" s="317"/>
      <c r="G22" s="318"/>
      <c r="H22" s="318"/>
      <c r="I22" s="318"/>
      <c r="J22" s="317"/>
      <c r="K22" s="317"/>
      <c r="L22" s="318"/>
      <c r="M22" s="317"/>
      <c r="N22" s="317"/>
      <c r="O22" s="318"/>
      <c r="P22" s="318"/>
      <c r="Q22" s="320"/>
      <c r="R22" s="320"/>
    </row>
    <row r="23" ht="21.75" customHeight="1" spans="1:18">
      <c r="A23" s="307" t="s">
        <v>3335</v>
      </c>
      <c r="B23" s="307" t="s">
        <v>6230</v>
      </c>
      <c r="C23" s="308">
        <f>SUM($C$24,$C$27)</f>
        <v>1</v>
      </c>
      <c r="D23" s="309"/>
      <c r="E23" s="309"/>
      <c r="F23" s="310"/>
      <c r="G23" s="309"/>
      <c r="H23" s="309"/>
      <c r="I23" s="309"/>
      <c r="J23" s="310"/>
      <c r="K23" s="310"/>
      <c r="L23" s="309"/>
      <c r="M23" s="310"/>
      <c r="N23" s="310"/>
      <c r="O23" s="309"/>
      <c r="P23" s="309"/>
      <c r="Q23" s="311"/>
      <c r="R23" s="311"/>
    </row>
    <row r="24" ht="21.75" customHeight="1" spans="1:18">
      <c r="A24" s="290" t="s">
        <v>948</v>
      </c>
      <c r="B24" s="290" t="s">
        <v>6231</v>
      </c>
      <c r="C24" s="313">
        <f>COUNTA($B$25:$B$26)</f>
        <v>1</v>
      </c>
      <c r="D24" s="314"/>
      <c r="E24" s="314"/>
      <c r="F24" s="313"/>
      <c r="G24" s="314"/>
      <c r="H24" s="314"/>
      <c r="I24" s="314"/>
      <c r="J24" s="313"/>
      <c r="K24" s="313"/>
      <c r="L24" s="314"/>
      <c r="M24" s="313"/>
      <c r="N24" s="313"/>
      <c r="O24" s="314"/>
      <c r="P24" s="314"/>
      <c r="Q24" s="315"/>
      <c r="R24" s="315"/>
    </row>
    <row r="25" ht="21.75" customHeight="1" spans="1:18">
      <c r="A25" s="19">
        <v>1</v>
      </c>
      <c r="B25" s="49" t="s">
        <v>7111</v>
      </c>
      <c r="C25" s="19"/>
      <c r="D25" s="20"/>
      <c r="E25" s="20" t="s">
        <v>295</v>
      </c>
      <c r="F25" s="19" t="s">
        <v>25</v>
      </c>
      <c r="G25" s="20" t="s">
        <v>5031</v>
      </c>
      <c r="H25" s="20" t="s">
        <v>1839</v>
      </c>
      <c r="I25" s="20"/>
      <c r="J25" s="19" t="s">
        <v>8166</v>
      </c>
      <c r="K25" s="19" t="s">
        <v>8167</v>
      </c>
      <c r="L25" s="20"/>
      <c r="M25" s="19" t="s">
        <v>8168</v>
      </c>
      <c r="N25" s="19" t="s">
        <v>8169</v>
      </c>
      <c r="O25" s="20"/>
      <c r="P25" s="20"/>
      <c r="Q25" s="320">
        <v>0.63</v>
      </c>
      <c r="R25" s="320"/>
    </row>
    <row r="26" ht="21.75" hidden="1" customHeight="1" spans="1:18">
      <c r="A26" s="316"/>
      <c r="B26" s="316"/>
      <c r="C26" s="317" t="s">
        <v>2536</v>
      </c>
      <c r="D26" s="318"/>
      <c r="E26" s="318"/>
      <c r="F26" s="317"/>
      <c r="G26" s="318"/>
      <c r="H26" s="318"/>
      <c r="I26" s="318"/>
      <c r="J26" s="317"/>
      <c r="K26" s="317"/>
      <c r="L26" s="318"/>
      <c r="M26" s="317"/>
      <c r="N26" s="317"/>
      <c r="O26" s="318"/>
      <c r="P26" s="318"/>
      <c r="Q26" s="320"/>
      <c r="R26" s="320"/>
    </row>
    <row r="27" ht="21.75" customHeight="1" spans="1:18">
      <c r="A27" s="290" t="s">
        <v>1035</v>
      </c>
      <c r="B27" s="290" t="s">
        <v>6278</v>
      </c>
      <c r="C27" s="313">
        <f>COUNTA($B$28:$B$30)</f>
        <v>0</v>
      </c>
      <c r="D27" s="314"/>
      <c r="E27" s="314"/>
      <c r="F27" s="313"/>
      <c r="G27" s="314"/>
      <c r="H27" s="314"/>
      <c r="I27" s="314"/>
      <c r="J27" s="313"/>
      <c r="K27" s="313"/>
      <c r="L27" s="314"/>
      <c r="M27" s="313"/>
      <c r="N27" s="313"/>
      <c r="O27" s="314"/>
      <c r="P27" s="314"/>
      <c r="Q27" s="315"/>
      <c r="R27" s="315"/>
    </row>
    <row r="28" ht="21.75" customHeight="1" spans="1:18">
      <c r="A28" s="316"/>
      <c r="B28" s="316"/>
      <c r="C28" s="317"/>
      <c r="D28" s="318"/>
      <c r="E28" s="318"/>
      <c r="F28" s="317"/>
      <c r="G28" s="318"/>
      <c r="H28" s="318"/>
      <c r="I28" s="318"/>
      <c r="J28" s="317"/>
      <c r="K28" s="317"/>
      <c r="L28" s="318"/>
      <c r="M28" s="317"/>
      <c r="N28" s="317"/>
      <c r="O28" s="318"/>
      <c r="P28" s="318"/>
      <c r="Q28" s="320"/>
      <c r="R28" s="320"/>
    </row>
    <row r="29" ht="21.75" customHeight="1" spans="1:18">
      <c r="A29" s="316"/>
      <c r="B29" s="316"/>
      <c r="C29" s="317"/>
      <c r="D29" s="318"/>
      <c r="E29" s="318"/>
      <c r="F29" s="317"/>
      <c r="G29" s="318"/>
      <c r="H29" s="318"/>
      <c r="I29" s="318"/>
      <c r="J29" s="317"/>
      <c r="K29" s="317"/>
      <c r="L29" s="318"/>
      <c r="M29" s="317"/>
      <c r="N29" s="317"/>
      <c r="O29" s="318"/>
      <c r="P29" s="318"/>
      <c r="Q29" s="320"/>
      <c r="R29" s="320"/>
    </row>
    <row r="30" ht="21.75" hidden="1" customHeight="1" spans="1:18">
      <c r="A30" s="316"/>
      <c r="B30" s="316"/>
      <c r="C30" s="317" t="s">
        <v>2536</v>
      </c>
      <c r="D30" s="318"/>
      <c r="E30" s="318"/>
      <c r="F30" s="317"/>
      <c r="G30" s="318"/>
      <c r="H30" s="318"/>
      <c r="I30" s="318"/>
      <c r="J30" s="317"/>
      <c r="K30" s="317"/>
      <c r="L30" s="318"/>
      <c r="M30" s="317"/>
      <c r="N30" s="317"/>
      <c r="O30" s="318"/>
      <c r="P30" s="318"/>
      <c r="Q30" s="320"/>
      <c r="R30" s="320"/>
    </row>
    <row r="31" ht="21.75" customHeight="1" spans="1:18">
      <c r="A31" s="307" t="s">
        <v>3352</v>
      </c>
      <c r="B31" s="307" t="s">
        <v>6341</v>
      </c>
      <c r="C31" s="308">
        <f>SUM($C$32,$C$36,$C$43)</f>
        <v>16</v>
      </c>
      <c r="D31" s="309"/>
      <c r="E31" s="309"/>
      <c r="F31" s="310"/>
      <c r="G31" s="309"/>
      <c r="H31" s="309"/>
      <c r="I31" s="309"/>
      <c r="J31" s="310"/>
      <c r="K31" s="310"/>
      <c r="L31" s="309"/>
      <c r="M31" s="310"/>
      <c r="N31" s="310"/>
      <c r="O31" s="309"/>
      <c r="P31" s="309"/>
      <c r="Q31" s="311"/>
      <c r="R31" s="311"/>
    </row>
    <row r="32" ht="21.75" customHeight="1" spans="1:18">
      <c r="A32" s="290" t="s">
        <v>1117</v>
      </c>
      <c r="B32" s="290" t="s">
        <v>3532</v>
      </c>
      <c r="C32" s="313">
        <f>COUNTA($B$33:$B$35)</f>
        <v>0</v>
      </c>
      <c r="D32" s="314"/>
      <c r="E32" s="314"/>
      <c r="F32" s="313"/>
      <c r="G32" s="314"/>
      <c r="H32" s="314"/>
      <c r="I32" s="314"/>
      <c r="J32" s="313"/>
      <c r="K32" s="313"/>
      <c r="L32" s="314"/>
      <c r="M32" s="313"/>
      <c r="N32" s="313"/>
      <c r="O32" s="314"/>
      <c r="P32" s="314"/>
      <c r="Q32" s="315"/>
      <c r="R32" s="315"/>
    </row>
    <row r="33" ht="21.75" customHeight="1" spans="1:18">
      <c r="A33" s="316"/>
      <c r="B33" s="316"/>
      <c r="C33" s="317"/>
      <c r="D33" s="318"/>
      <c r="E33" s="318"/>
      <c r="F33" s="317"/>
      <c r="G33" s="318"/>
      <c r="H33" s="318"/>
      <c r="I33" s="318"/>
      <c r="J33" s="317"/>
      <c r="K33" s="317"/>
      <c r="L33" s="318"/>
      <c r="M33" s="317"/>
      <c r="N33" s="317"/>
      <c r="O33" s="318"/>
      <c r="P33" s="318"/>
      <c r="Q33" s="320"/>
      <c r="R33" s="320"/>
    </row>
    <row r="34" ht="21.75" customHeight="1" spans="1:18">
      <c r="A34" s="316"/>
      <c r="B34" s="316"/>
      <c r="C34" s="317"/>
      <c r="D34" s="318"/>
      <c r="E34" s="318"/>
      <c r="F34" s="317"/>
      <c r="G34" s="318"/>
      <c r="H34" s="318"/>
      <c r="I34" s="318"/>
      <c r="J34" s="317"/>
      <c r="K34" s="317"/>
      <c r="L34" s="318"/>
      <c r="M34" s="317"/>
      <c r="N34" s="317"/>
      <c r="O34" s="318"/>
      <c r="P34" s="318"/>
      <c r="Q34" s="320"/>
      <c r="R34" s="320"/>
    </row>
    <row r="35" ht="21.75" hidden="1" customHeight="1" spans="1:18">
      <c r="A35" s="316"/>
      <c r="B35" s="316"/>
      <c r="C35" s="317" t="s">
        <v>2536</v>
      </c>
      <c r="D35" s="318"/>
      <c r="E35" s="318"/>
      <c r="F35" s="317"/>
      <c r="G35" s="318"/>
      <c r="H35" s="318"/>
      <c r="I35" s="318"/>
      <c r="J35" s="317"/>
      <c r="K35" s="317"/>
      <c r="L35" s="318"/>
      <c r="M35" s="317"/>
      <c r="N35" s="317"/>
      <c r="O35" s="318"/>
      <c r="P35" s="318"/>
      <c r="Q35" s="320"/>
      <c r="R35" s="320"/>
    </row>
    <row r="36" ht="21.75" customHeight="1" spans="1:18">
      <c r="A36" s="290" t="s">
        <v>1246</v>
      </c>
      <c r="B36" s="290" t="s">
        <v>28</v>
      </c>
      <c r="C36" s="313">
        <f>COUNTA($B$37:$B$42)</f>
        <v>5</v>
      </c>
      <c r="D36" s="314"/>
      <c r="E36" s="314"/>
      <c r="F36" s="313"/>
      <c r="G36" s="314"/>
      <c r="H36" s="314"/>
      <c r="I36" s="314"/>
      <c r="J36" s="313"/>
      <c r="K36" s="313"/>
      <c r="L36" s="314"/>
      <c r="M36" s="313"/>
      <c r="N36" s="313"/>
      <c r="O36" s="314"/>
      <c r="P36" s="314"/>
      <c r="Q36" s="315"/>
      <c r="R36" s="315"/>
    </row>
    <row r="37" ht="21.75" customHeight="1" spans="1:18">
      <c r="A37" s="19">
        <v>1</v>
      </c>
      <c r="B37" s="49" t="s">
        <v>7112</v>
      </c>
      <c r="C37" s="19"/>
      <c r="D37" s="20" t="s">
        <v>8174</v>
      </c>
      <c r="E37" s="20" t="s">
        <v>295</v>
      </c>
      <c r="F37" s="19" t="s">
        <v>6108</v>
      </c>
      <c r="G37" s="20" t="s">
        <v>8175</v>
      </c>
      <c r="H37" s="20" t="s">
        <v>1839</v>
      </c>
      <c r="I37" s="20"/>
      <c r="J37" s="19" t="s">
        <v>8176</v>
      </c>
      <c r="K37" s="19"/>
      <c r="L37" s="20"/>
      <c r="M37" s="19" t="s">
        <v>8177</v>
      </c>
      <c r="N37" s="19" t="s">
        <v>7201</v>
      </c>
      <c r="O37" s="20" t="s">
        <v>8178</v>
      </c>
      <c r="P37" s="20" t="s">
        <v>8179</v>
      </c>
      <c r="Q37" s="320">
        <v>0.63</v>
      </c>
      <c r="R37" s="320"/>
    </row>
    <row r="38" ht="21.75" customHeight="1" spans="1:18">
      <c r="A38" s="19">
        <f t="shared" ref="A38:A41" si="0">1+A37</f>
        <v>2</v>
      </c>
      <c r="B38" s="49" t="s">
        <v>7113</v>
      </c>
      <c r="C38" s="19"/>
      <c r="D38" s="20" t="s">
        <v>8174</v>
      </c>
      <c r="E38" s="20" t="s">
        <v>295</v>
      </c>
      <c r="F38" s="19" t="s">
        <v>6108</v>
      </c>
      <c r="G38" s="20" t="s">
        <v>8175</v>
      </c>
      <c r="H38" s="20" t="s">
        <v>1839</v>
      </c>
      <c r="I38" s="20"/>
      <c r="J38" s="19" t="s">
        <v>8176</v>
      </c>
      <c r="K38" s="19"/>
      <c r="L38" s="20"/>
      <c r="M38" s="19" t="s">
        <v>8177</v>
      </c>
      <c r="N38" s="19" t="s">
        <v>7201</v>
      </c>
      <c r="O38" s="20" t="s">
        <v>8180</v>
      </c>
      <c r="P38" s="20" t="s">
        <v>8181</v>
      </c>
      <c r="Q38" s="320">
        <v>0.63</v>
      </c>
      <c r="R38" s="320"/>
    </row>
    <row r="39" ht="21.75" customHeight="1" spans="1:18">
      <c r="A39" s="19">
        <f t="shared" si="0"/>
        <v>3</v>
      </c>
      <c r="B39" s="49" t="s">
        <v>7114</v>
      </c>
      <c r="C39" s="19"/>
      <c r="D39" s="20" t="s">
        <v>8174</v>
      </c>
      <c r="E39" s="20" t="s">
        <v>295</v>
      </c>
      <c r="F39" s="19" t="s">
        <v>6108</v>
      </c>
      <c r="G39" s="20" t="s">
        <v>8175</v>
      </c>
      <c r="H39" s="20" t="s">
        <v>1839</v>
      </c>
      <c r="I39" s="20"/>
      <c r="J39" s="19" t="s">
        <v>8176</v>
      </c>
      <c r="K39" s="19"/>
      <c r="L39" s="20"/>
      <c r="M39" s="19" t="s">
        <v>8177</v>
      </c>
      <c r="N39" s="19" t="s">
        <v>7201</v>
      </c>
      <c r="O39" s="20" t="s">
        <v>8182</v>
      </c>
      <c r="P39" s="20" t="s">
        <v>8183</v>
      </c>
      <c r="Q39" s="320">
        <v>0.63</v>
      </c>
      <c r="R39" s="320"/>
    </row>
    <row r="40" ht="21.75" customHeight="1" spans="1:18">
      <c r="A40" s="19">
        <f t="shared" si="0"/>
        <v>4</v>
      </c>
      <c r="B40" s="49" t="s">
        <v>7115</v>
      </c>
      <c r="C40" s="19"/>
      <c r="D40" s="20" t="s">
        <v>8174</v>
      </c>
      <c r="E40" s="20" t="s">
        <v>295</v>
      </c>
      <c r="F40" s="19" t="s">
        <v>6108</v>
      </c>
      <c r="G40" s="20" t="s">
        <v>8175</v>
      </c>
      <c r="H40" s="20" t="s">
        <v>1839</v>
      </c>
      <c r="I40" s="20"/>
      <c r="J40" s="19" t="s">
        <v>8176</v>
      </c>
      <c r="K40" s="19"/>
      <c r="L40" s="20"/>
      <c r="M40" s="19" t="s">
        <v>8177</v>
      </c>
      <c r="N40" s="19" t="s">
        <v>7201</v>
      </c>
      <c r="O40" s="20" t="s">
        <v>8184</v>
      </c>
      <c r="P40" s="20" t="s">
        <v>8185</v>
      </c>
      <c r="Q40" s="320">
        <v>0.63</v>
      </c>
      <c r="R40" s="320"/>
    </row>
    <row r="41" ht="21.75" customHeight="1" spans="1:18">
      <c r="A41" s="19">
        <f t="shared" si="0"/>
        <v>5</v>
      </c>
      <c r="B41" s="49" t="s">
        <v>7116</v>
      </c>
      <c r="C41" s="19"/>
      <c r="D41" s="20" t="s">
        <v>8174</v>
      </c>
      <c r="E41" s="20" t="s">
        <v>295</v>
      </c>
      <c r="F41" s="19" t="s">
        <v>6108</v>
      </c>
      <c r="G41" s="20" t="s">
        <v>8175</v>
      </c>
      <c r="H41" s="20" t="s">
        <v>1839</v>
      </c>
      <c r="I41" s="20"/>
      <c r="J41" s="19" t="s">
        <v>8176</v>
      </c>
      <c r="K41" s="19"/>
      <c r="L41" s="20"/>
      <c r="M41" s="19" t="s">
        <v>8177</v>
      </c>
      <c r="N41" s="19" t="s">
        <v>7201</v>
      </c>
      <c r="O41" s="20" t="s">
        <v>8182</v>
      </c>
      <c r="P41" s="20" t="s">
        <v>8186</v>
      </c>
      <c r="Q41" s="320">
        <v>0.63</v>
      </c>
      <c r="R41" s="320"/>
    </row>
    <row r="42" ht="21.75" customHeight="1" spans="1:18">
      <c r="A42" s="316"/>
      <c r="B42" s="316"/>
      <c r="C42" s="317" t="s">
        <v>4844</v>
      </c>
      <c r="D42" s="318"/>
      <c r="E42" s="318"/>
      <c r="F42" s="317"/>
      <c r="G42" s="318"/>
      <c r="H42" s="318"/>
      <c r="I42" s="318"/>
      <c r="J42" s="317"/>
      <c r="K42" s="317"/>
      <c r="L42" s="318"/>
      <c r="M42" s="317"/>
      <c r="N42" s="317"/>
      <c r="O42" s="318"/>
      <c r="P42" s="318"/>
      <c r="Q42" s="320"/>
      <c r="R42" s="320"/>
    </row>
    <row r="43" ht="21.75" customHeight="1" spans="1:18">
      <c r="A43" s="290" t="s">
        <v>1344</v>
      </c>
      <c r="B43" s="290" t="s">
        <v>7117</v>
      </c>
      <c r="C43" s="313">
        <f>COUNTA($B$44:$B$55)</f>
        <v>11</v>
      </c>
      <c r="D43" s="314"/>
      <c r="E43" s="314"/>
      <c r="F43" s="313"/>
      <c r="G43" s="314"/>
      <c r="H43" s="314"/>
      <c r="I43" s="314"/>
      <c r="J43" s="313"/>
      <c r="K43" s="313"/>
      <c r="L43" s="314"/>
      <c r="M43" s="313"/>
      <c r="N43" s="313"/>
      <c r="O43" s="314"/>
      <c r="P43" s="314"/>
      <c r="Q43" s="315"/>
      <c r="R43" s="315"/>
    </row>
    <row r="44" ht="21.75" customHeight="1" spans="1:18">
      <c r="A44" s="19">
        <v>1</v>
      </c>
      <c r="B44" s="19" t="s">
        <v>7118</v>
      </c>
      <c r="C44" s="19"/>
      <c r="D44" s="20"/>
      <c r="E44" s="20" t="s">
        <v>295</v>
      </c>
      <c r="F44" s="19" t="s">
        <v>29</v>
      </c>
      <c r="G44" s="20" t="s">
        <v>8187</v>
      </c>
      <c r="H44" s="20" t="s">
        <v>1839</v>
      </c>
      <c r="I44" s="20"/>
      <c r="J44" s="19" t="s">
        <v>8188</v>
      </c>
      <c r="K44" s="19"/>
      <c r="L44" s="20"/>
      <c r="M44" s="19"/>
      <c r="N44" s="19"/>
      <c r="O44" s="20"/>
      <c r="P44" s="20"/>
      <c r="Q44" s="320">
        <v>0.63</v>
      </c>
      <c r="R44" s="320"/>
    </row>
    <row r="45" ht="21.75" customHeight="1" spans="1:18">
      <c r="A45" s="19">
        <v>2</v>
      </c>
      <c r="B45" s="19" t="s">
        <v>7119</v>
      </c>
      <c r="C45" s="19"/>
      <c r="D45" s="20"/>
      <c r="E45" s="20" t="s">
        <v>295</v>
      </c>
      <c r="F45" s="19" t="s">
        <v>29</v>
      </c>
      <c r="G45" s="20" t="s">
        <v>8187</v>
      </c>
      <c r="H45" s="20" t="s">
        <v>1839</v>
      </c>
      <c r="I45" s="20"/>
      <c r="J45" s="19" t="s">
        <v>8188</v>
      </c>
      <c r="K45" s="19"/>
      <c r="L45" s="20"/>
      <c r="M45" s="19"/>
      <c r="N45" s="19"/>
      <c r="O45" s="20"/>
      <c r="P45" s="20"/>
      <c r="Q45" s="320">
        <v>0.63</v>
      </c>
      <c r="R45" s="320"/>
    </row>
    <row r="46" ht="21.75" customHeight="1" spans="1:18">
      <c r="A46" s="19">
        <v>3</v>
      </c>
      <c r="B46" s="19" t="s">
        <v>7120</v>
      </c>
      <c r="C46" s="19"/>
      <c r="D46" s="20"/>
      <c r="E46" s="20" t="s">
        <v>295</v>
      </c>
      <c r="F46" s="19" t="s">
        <v>29</v>
      </c>
      <c r="G46" s="20" t="s">
        <v>8187</v>
      </c>
      <c r="H46" s="20" t="s">
        <v>1839</v>
      </c>
      <c r="I46" s="20"/>
      <c r="J46" s="19" t="s">
        <v>8188</v>
      </c>
      <c r="K46" s="19"/>
      <c r="L46" s="20"/>
      <c r="M46" s="19"/>
      <c r="N46" s="19"/>
      <c r="O46" s="20"/>
      <c r="P46" s="20"/>
      <c r="Q46" s="320">
        <v>0.63</v>
      </c>
      <c r="R46" s="320"/>
    </row>
    <row r="47" ht="21.75" customHeight="1" spans="1:18">
      <c r="A47" s="19">
        <v>4</v>
      </c>
      <c r="B47" s="19" t="s">
        <v>7121</v>
      </c>
      <c r="C47" s="19"/>
      <c r="D47" s="20"/>
      <c r="E47" s="20" t="s">
        <v>295</v>
      </c>
      <c r="F47" s="19" t="s">
        <v>29</v>
      </c>
      <c r="G47" s="20" t="s">
        <v>8187</v>
      </c>
      <c r="H47" s="20" t="s">
        <v>1839</v>
      </c>
      <c r="I47" s="20"/>
      <c r="J47" s="19" t="s">
        <v>8188</v>
      </c>
      <c r="K47" s="19"/>
      <c r="L47" s="20"/>
      <c r="M47" s="19"/>
      <c r="N47" s="19"/>
      <c r="O47" s="20"/>
      <c r="P47" s="20"/>
      <c r="Q47" s="320">
        <v>0.63</v>
      </c>
      <c r="R47" s="320"/>
    </row>
    <row r="48" ht="21.75" customHeight="1" spans="1:18">
      <c r="A48" s="19">
        <v>5</v>
      </c>
      <c r="B48" s="49" t="s">
        <v>7122</v>
      </c>
      <c r="C48" s="19"/>
      <c r="D48" s="20"/>
      <c r="E48" s="20" t="s">
        <v>295</v>
      </c>
      <c r="F48" s="19" t="s">
        <v>29</v>
      </c>
      <c r="G48" s="20" t="s">
        <v>8187</v>
      </c>
      <c r="H48" s="20" t="s">
        <v>1839</v>
      </c>
      <c r="I48" s="20"/>
      <c r="J48" s="19" t="s">
        <v>8188</v>
      </c>
      <c r="K48" s="19"/>
      <c r="L48" s="20"/>
      <c r="M48" s="19"/>
      <c r="N48" s="19"/>
      <c r="O48" s="20"/>
      <c r="P48" s="20"/>
      <c r="Q48" s="320">
        <v>0.63</v>
      </c>
      <c r="R48" s="320"/>
    </row>
    <row r="49" ht="21.75" customHeight="1" spans="1:18">
      <c r="A49" s="19">
        <v>6</v>
      </c>
      <c r="B49" s="49" t="s">
        <v>7123</v>
      </c>
      <c r="C49" s="19"/>
      <c r="D49" s="20"/>
      <c r="E49" s="20" t="s">
        <v>295</v>
      </c>
      <c r="F49" s="19" t="s">
        <v>29</v>
      </c>
      <c r="G49" s="20" t="s">
        <v>290</v>
      </c>
      <c r="H49" s="20" t="s">
        <v>1839</v>
      </c>
      <c r="I49" s="20"/>
      <c r="J49" s="19"/>
      <c r="K49" s="19"/>
      <c r="L49" s="20"/>
      <c r="M49" s="19"/>
      <c r="N49" s="19"/>
      <c r="O49" s="20"/>
      <c r="P49" s="20"/>
      <c r="Q49" s="320">
        <v>0.63</v>
      </c>
      <c r="R49" s="320"/>
    </row>
    <row r="50" ht="21.75" customHeight="1" spans="1:18">
      <c r="A50" s="19">
        <v>7</v>
      </c>
      <c r="B50" s="49" t="s">
        <v>7124</v>
      </c>
      <c r="C50" s="19"/>
      <c r="D50" s="20"/>
      <c r="E50" s="20" t="s">
        <v>295</v>
      </c>
      <c r="F50" s="19" t="s">
        <v>29</v>
      </c>
      <c r="G50" s="20" t="s">
        <v>290</v>
      </c>
      <c r="H50" s="20" t="s">
        <v>1839</v>
      </c>
      <c r="I50" s="20"/>
      <c r="J50" s="19"/>
      <c r="K50" s="19"/>
      <c r="L50" s="20"/>
      <c r="M50" s="19"/>
      <c r="N50" s="19"/>
      <c r="O50" s="20"/>
      <c r="P50" s="20"/>
      <c r="Q50" s="320">
        <v>0.63</v>
      </c>
      <c r="R50" s="320"/>
    </row>
    <row r="51" ht="21.75" customHeight="1" spans="1:18">
      <c r="A51" s="19">
        <v>8</v>
      </c>
      <c r="B51" s="19" t="s">
        <v>7125</v>
      </c>
      <c r="C51" s="19"/>
      <c r="D51" s="20"/>
      <c r="E51" s="20" t="s">
        <v>295</v>
      </c>
      <c r="F51" s="19" t="s">
        <v>29</v>
      </c>
      <c r="G51" s="20" t="s">
        <v>2095</v>
      </c>
      <c r="H51" s="20" t="s">
        <v>1839</v>
      </c>
      <c r="I51" s="20"/>
      <c r="J51" s="19" t="s">
        <v>8166</v>
      </c>
      <c r="K51" s="19" t="s">
        <v>1016</v>
      </c>
      <c r="L51" s="20"/>
      <c r="M51" s="19" t="s">
        <v>8168</v>
      </c>
      <c r="N51" s="19" t="s">
        <v>8169</v>
      </c>
      <c r="O51" s="20"/>
      <c r="P51" s="20">
        <v>372768383</v>
      </c>
      <c r="Q51" s="320">
        <v>0.63</v>
      </c>
      <c r="R51" s="320"/>
    </row>
    <row r="52" ht="21.75" customHeight="1" spans="1:18">
      <c r="A52" s="19">
        <v>9</v>
      </c>
      <c r="B52" s="19" t="s">
        <v>7126</v>
      </c>
      <c r="C52" s="19"/>
      <c r="D52" s="20"/>
      <c r="E52" s="20" t="s">
        <v>295</v>
      </c>
      <c r="F52" s="19" t="s">
        <v>29</v>
      </c>
      <c r="G52" s="20" t="s">
        <v>2095</v>
      </c>
      <c r="H52" s="20" t="s">
        <v>1839</v>
      </c>
      <c r="I52" s="20"/>
      <c r="J52" s="19" t="s">
        <v>8166</v>
      </c>
      <c r="K52" s="19" t="s">
        <v>1016</v>
      </c>
      <c r="L52" s="20"/>
      <c r="M52" s="19" t="s">
        <v>8168</v>
      </c>
      <c r="N52" s="19" t="s">
        <v>8169</v>
      </c>
      <c r="O52" s="20"/>
      <c r="P52" s="20">
        <v>372768436</v>
      </c>
      <c r="Q52" s="320">
        <v>0.63</v>
      </c>
      <c r="R52" s="320"/>
    </row>
    <row r="53" ht="21.75" customHeight="1" spans="1:18">
      <c r="A53" s="19">
        <v>10</v>
      </c>
      <c r="B53" s="19" t="s">
        <v>7127</v>
      </c>
      <c r="C53" s="19"/>
      <c r="D53" s="20"/>
      <c r="E53" s="20" t="s">
        <v>295</v>
      </c>
      <c r="F53" s="19" t="s">
        <v>29</v>
      </c>
      <c r="G53" s="20" t="s">
        <v>8189</v>
      </c>
      <c r="H53" s="20" t="s">
        <v>1839</v>
      </c>
      <c r="I53" s="20"/>
      <c r="J53" s="19" t="s">
        <v>8166</v>
      </c>
      <c r="K53" s="19" t="s">
        <v>1016</v>
      </c>
      <c r="L53" s="20"/>
      <c r="M53" s="19" t="s">
        <v>8168</v>
      </c>
      <c r="N53" s="19" t="s">
        <v>8169</v>
      </c>
      <c r="O53" s="20"/>
      <c r="P53" s="20">
        <v>372733522</v>
      </c>
      <c r="Q53" s="320">
        <v>0.63</v>
      </c>
      <c r="R53" s="320"/>
    </row>
    <row r="54" ht="21.75" customHeight="1" spans="1:18">
      <c r="A54" s="1111" t="s">
        <v>8190</v>
      </c>
      <c r="B54" s="19" t="s">
        <v>7128</v>
      </c>
      <c r="C54" s="19"/>
      <c r="D54" s="20"/>
      <c r="E54" s="20" t="s">
        <v>295</v>
      </c>
      <c r="F54" s="19" t="s">
        <v>29</v>
      </c>
      <c r="G54" s="20" t="s">
        <v>8189</v>
      </c>
      <c r="H54" s="20" t="s">
        <v>1839</v>
      </c>
      <c r="I54" s="20"/>
      <c r="J54" s="19" t="s">
        <v>8166</v>
      </c>
      <c r="K54" s="19" t="s">
        <v>1016</v>
      </c>
      <c r="L54" s="20"/>
      <c r="M54" s="19" t="s">
        <v>8168</v>
      </c>
      <c r="N54" s="19" t="s">
        <v>8169</v>
      </c>
      <c r="O54" s="20"/>
      <c r="P54" s="20">
        <v>372733505</v>
      </c>
      <c r="Q54" s="320">
        <v>0.63</v>
      </c>
      <c r="R54" s="320"/>
    </row>
    <row r="55" ht="21.75" hidden="1" customHeight="1" spans="1:18">
      <c r="A55" s="19" t="s">
        <v>8191</v>
      </c>
      <c r="B55" s="6"/>
      <c r="C55" s="302" t="s">
        <v>2536</v>
      </c>
      <c r="D55" s="304"/>
      <c r="E55" s="304"/>
      <c r="F55" s="302"/>
      <c r="G55" s="304"/>
      <c r="H55" s="304"/>
      <c r="I55" s="304"/>
      <c r="J55" s="302"/>
      <c r="K55" s="302"/>
      <c r="L55" s="304"/>
      <c r="M55" s="302"/>
      <c r="N55" s="302"/>
      <c r="O55" s="304"/>
      <c r="P55" s="304"/>
      <c r="Q55" s="305"/>
      <c r="R55" s="305"/>
    </row>
    <row r="56" ht="27.6" spans="1:18">
      <c r="A56" s="19" t="s">
        <v>8192</v>
      </c>
      <c r="B56" s="19" t="s">
        <v>8193</v>
      </c>
      <c r="C56" s="19"/>
      <c r="D56" s="19" t="s">
        <v>8194</v>
      </c>
      <c r="E56" s="20" t="s">
        <v>295</v>
      </c>
      <c r="F56" s="19" t="s">
        <v>29</v>
      </c>
      <c r="G56" s="20" t="s">
        <v>8195</v>
      </c>
      <c r="H56" s="20" t="s">
        <v>1839</v>
      </c>
      <c r="I56" s="1112" t="s">
        <v>8196</v>
      </c>
      <c r="J56" s="19" t="s">
        <v>8166</v>
      </c>
      <c r="K56" s="23" t="s">
        <v>3967</v>
      </c>
      <c r="L56" s="23">
        <v>2025</v>
      </c>
      <c r="M56" s="23" t="s">
        <v>8197</v>
      </c>
      <c r="N56" s="23" t="s">
        <v>8198</v>
      </c>
      <c r="O56" s="322"/>
      <c r="P56" s="25">
        <v>374308719</v>
      </c>
      <c r="Q56" s="19"/>
      <c r="R56" s="19"/>
    </row>
    <row r="57" ht="27.6" spans="1:18">
      <c r="A57" s="19" t="s">
        <v>8199</v>
      </c>
      <c r="B57" s="19" t="s">
        <v>8200</v>
      </c>
      <c r="C57" s="19"/>
      <c r="D57" s="19" t="s">
        <v>8201</v>
      </c>
      <c r="E57" s="20" t="s">
        <v>295</v>
      </c>
      <c r="F57" s="19" t="s">
        <v>29</v>
      </c>
      <c r="G57" s="20" t="s">
        <v>8195</v>
      </c>
      <c r="H57" s="20" t="s">
        <v>1839</v>
      </c>
      <c r="I57" s="1112" t="s">
        <v>8196</v>
      </c>
      <c r="J57" s="19" t="s">
        <v>8166</v>
      </c>
      <c r="K57" s="23" t="s">
        <v>3967</v>
      </c>
      <c r="L57" s="23">
        <v>2025</v>
      </c>
      <c r="M57" s="23" t="s">
        <v>8197</v>
      </c>
      <c r="N57" s="23" t="s">
        <v>8198</v>
      </c>
      <c r="O57" s="322"/>
      <c r="P57" s="25">
        <v>374500128</v>
      </c>
      <c r="Q57" s="19"/>
      <c r="R57" s="19"/>
    </row>
    <row r="58" ht="27.6" spans="1:18">
      <c r="A58" s="19" t="s">
        <v>8202</v>
      </c>
      <c r="B58" s="19" t="s">
        <v>8203</v>
      </c>
      <c r="C58" s="19"/>
      <c r="D58" s="19" t="s">
        <v>8204</v>
      </c>
      <c r="E58" s="20" t="s">
        <v>295</v>
      </c>
      <c r="F58" s="19" t="s">
        <v>29</v>
      </c>
      <c r="G58" s="20" t="s">
        <v>8195</v>
      </c>
      <c r="H58" s="20" t="s">
        <v>1839</v>
      </c>
      <c r="I58" s="1112" t="s">
        <v>8196</v>
      </c>
      <c r="J58" s="19" t="s">
        <v>8166</v>
      </c>
      <c r="K58" s="23" t="s">
        <v>3967</v>
      </c>
      <c r="L58" s="23">
        <v>2025</v>
      </c>
      <c r="M58" s="23" t="s">
        <v>8197</v>
      </c>
      <c r="N58" s="23" t="s">
        <v>8198</v>
      </c>
      <c r="O58" s="322"/>
      <c r="P58" s="25">
        <v>374500138</v>
      </c>
      <c r="Q58" s="19"/>
      <c r="R58" s="19"/>
    </row>
    <row r="59" ht="27.6" spans="1:18">
      <c r="A59" s="19" t="s">
        <v>8205</v>
      </c>
      <c r="B59" s="19" t="s">
        <v>8206</v>
      </c>
      <c r="C59" s="19"/>
      <c r="D59" s="19" t="s">
        <v>8207</v>
      </c>
      <c r="E59" s="20" t="s">
        <v>295</v>
      </c>
      <c r="F59" s="19" t="s">
        <v>29</v>
      </c>
      <c r="G59" s="20" t="s">
        <v>8195</v>
      </c>
      <c r="H59" s="20" t="s">
        <v>1839</v>
      </c>
      <c r="I59" s="1112" t="s">
        <v>8196</v>
      </c>
      <c r="J59" s="19" t="s">
        <v>8166</v>
      </c>
      <c r="K59" s="23" t="s">
        <v>3967</v>
      </c>
      <c r="L59" s="23">
        <v>2025</v>
      </c>
      <c r="M59" s="23" t="s">
        <v>8197</v>
      </c>
      <c r="N59" s="23" t="s">
        <v>8198</v>
      </c>
      <c r="O59" s="322"/>
      <c r="P59" s="25">
        <v>374450480</v>
      </c>
      <c r="Q59" s="19"/>
      <c r="R59" s="19"/>
    </row>
    <row r="60" ht="27.6" spans="1:18">
      <c r="A60" s="19" t="s">
        <v>8208</v>
      </c>
      <c r="B60" s="19" t="s">
        <v>8209</v>
      </c>
      <c r="C60" s="19"/>
      <c r="D60" s="19" t="s">
        <v>8210</v>
      </c>
      <c r="E60" s="20" t="s">
        <v>295</v>
      </c>
      <c r="F60" s="19" t="s">
        <v>29</v>
      </c>
      <c r="G60" s="20" t="s">
        <v>8195</v>
      </c>
      <c r="H60" s="20" t="s">
        <v>1839</v>
      </c>
      <c r="I60" s="1112" t="s">
        <v>8196</v>
      </c>
      <c r="J60" s="19" t="s">
        <v>8166</v>
      </c>
      <c r="K60" s="23" t="s">
        <v>3967</v>
      </c>
      <c r="L60" s="23">
        <v>2025</v>
      </c>
      <c r="M60" s="23" t="s">
        <v>8197</v>
      </c>
      <c r="N60" s="23" t="s">
        <v>8198</v>
      </c>
      <c r="O60" s="322"/>
      <c r="P60" s="25">
        <v>374450513</v>
      </c>
      <c r="Q60" s="19"/>
      <c r="R60" s="19"/>
    </row>
    <row r="61" ht="21.75" customHeight="1" spans="1:18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</row>
    <row r="62" ht="21.75" customHeight="1" spans="1:18">
      <c r="A62" s="19" t="s">
        <v>3375</v>
      </c>
      <c r="B62" s="19" t="s">
        <v>7129</v>
      </c>
      <c r="C62" s="19">
        <f>SUM($C$63)</f>
        <v>3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</row>
    <row r="63" ht="21.75" customHeight="1" spans="1:18">
      <c r="A63" s="290" t="s">
        <v>8211</v>
      </c>
      <c r="B63" s="290" t="s">
        <v>7097</v>
      </c>
      <c r="C63" s="313">
        <f>COUNTA($B$64:$B$67)</f>
        <v>3</v>
      </c>
      <c r="D63" s="314"/>
      <c r="E63" s="314"/>
      <c r="F63" s="313"/>
      <c r="G63" s="314"/>
      <c r="H63" s="314"/>
      <c r="I63" s="314"/>
      <c r="J63" s="313"/>
      <c r="K63" s="313"/>
      <c r="L63" s="314"/>
      <c r="M63" s="313"/>
      <c r="N63" s="313"/>
      <c r="O63" s="314"/>
      <c r="P63" s="314"/>
      <c r="Q63" s="315"/>
      <c r="R63" s="315"/>
    </row>
    <row r="64" ht="21.75" customHeight="1" spans="1:18">
      <c r="A64" s="19">
        <v>1</v>
      </c>
      <c r="B64" s="49" t="s">
        <v>7130</v>
      </c>
      <c r="C64" s="19" t="s">
        <v>8212</v>
      </c>
      <c r="D64" s="20"/>
      <c r="E64" s="20" t="s">
        <v>295</v>
      </c>
      <c r="F64" s="19" t="s">
        <v>6116</v>
      </c>
      <c r="G64" s="20"/>
      <c r="H64" s="20" t="s">
        <v>1839</v>
      </c>
      <c r="I64" s="20" t="s">
        <v>5980</v>
      </c>
      <c r="J64" s="19" t="s">
        <v>8166</v>
      </c>
      <c r="K64" s="19" t="s">
        <v>1016</v>
      </c>
      <c r="L64" s="20"/>
      <c r="M64" s="19" t="s">
        <v>8168</v>
      </c>
      <c r="N64" s="19" t="s">
        <v>8169</v>
      </c>
      <c r="O64" s="20"/>
      <c r="P64" s="20"/>
      <c r="Q64" s="320">
        <v>0.63</v>
      </c>
      <c r="R64" s="320"/>
    </row>
    <row r="65" ht="21.75" customHeight="1" spans="1:18">
      <c r="A65" s="19">
        <f t="shared" ref="A65:A66" si="1">1+A64</f>
        <v>2</v>
      </c>
      <c r="B65" s="49" t="s">
        <v>7131</v>
      </c>
      <c r="C65" s="19" t="s">
        <v>8213</v>
      </c>
      <c r="D65" s="20"/>
      <c r="E65" s="20" t="s">
        <v>295</v>
      </c>
      <c r="F65" s="19" t="s">
        <v>6116</v>
      </c>
      <c r="G65" s="20"/>
      <c r="H65" s="20" t="s">
        <v>1839</v>
      </c>
      <c r="I65" s="20" t="s">
        <v>5981</v>
      </c>
      <c r="J65" s="19" t="s">
        <v>8214</v>
      </c>
      <c r="K65" s="19" t="s">
        <v>1016</v>
      </c>
      <c r="L65" s="20"/>
      <c r="M65" s="19" t="s">
        <v>8215</v>
      </c>
      <c r="N65" s="19" t="s">
        <v>8216</v>
      </c>
      <c r="O65" s="20"/>
      <c r="P65" s="20"/>
      <c r="Q65" s="320">
        <v>0.63</v>
      </c>
      <c r="R65" s="320"/>
    </row>
    <row r="66" ht="21.75" customHeight="1" spans="1:18">
      <c r="A66" s="19">
        <f t="shared" si="1"/>
        <v>3</v>
      </c>
      <c r="B66" s="49" t="s">
        <v>7132</v>
      </c>
      <c r="C66" s="19" t="s">
        <v>8217</v>
      </c>
      <c r="D66" s="20"/>
      <c r="E66" s="20" t="s">
        <v>295</v>
      </c>
      <c r="F66" s="19" t="s">
        <v>6116</v>
      </c>
      <c r="G66" s="20"/>
      <c r="H66" s="20" t="s">
        <v>1839</v>
      </c>
      <c r="I66" s="20" t="s">
        <v>5979</v>
      </c>
      <c r="J66" s="19" t="s">
        <v>8166</v>
      </c>
      <c r="K66" s="19" t="s">
        <v>1016</v>
      </c>
      <c r="L66" s="20"/>
      <c r="M66" s="19" t="s">
        <v>8168</v>
      </c>
      <c r="N66" s="19" t="s">
        <v>8169</v>
      </c>
      <c r="O66" s="20"/>
      <c r="P66" s="20"/>
      <c r="Q66" s="320">
        <v>0.63</v>
      </c>
      <c r="R66" s="320"/>
    </row>
    <row r="67" ht="21.75" hidden="1" customHeight="1" spans="1:18">
      <c r="A67" s="6"/>
      <c r="B67" s="6"/>
      <c r="C67" s="302" t="s">
        <v>689</v>
      </c>
      <c r="D67" s="304"/>
      <c r="E67" s="304"/>
      <c r="F67" s="302"/>
      <c r="G67" s="304"/>
      <c r="H67" s="304"/>
      <c r="I67" s="304"/>
      <c r="J67" s="302"/>
      <c r="K67" s="302"/>
      <c r="L67" s="304"/>
      <c r="M67" s="302"/>
      <c r="N67" s="302"/>
      <c r="O67" s="304"/>
      <c r="P67" s="304"/>
      <c r="Q67" s="305"/>
      <c r="R67" s="305"/>
    </row>
    <row r="68" ht="21.75" customHeight="1" spans="1:18">
      <c r="A68" s="6" t="s">
        <v>6229</v>
      </c>
      <c r="B68" s="6" t="s">
        <v>7133</v>
      </c>
      <c r="C68" s="303">
        <f>SUM($C$69,$C$91,$C$108,$C$120)</f>
        <v>22</v>
      </c>
      <c r="D68" s="304"/>
      <c r="E68" s="304"/>
      <c r="F68" s="302"/>
      <c r="G68" s="304"/>
      <c r="H68" s="304"/>
      <c r="I68" s="304"/>
      <c r="J68" s="302"/>
      <c r="K68" s="302"/>
      <c r="L68" s="304"/>
      <c r="M68" s="302"/>
      <c r="N68" s="302"/>
      <c r="O68" s="304"/>
      <c r="P68" s="304"/>
      <c r="Q68" s="305"/>
      <c r="R68" s="305"/>
    </row>
    <row r="69" ht="21.75" customHeight="1" spans="1:18">
      <c r="A69" s="307" t="s">
        <v>3007</v>
      </c>
      <c r="B69" s="307" t="s">
        <v>7102</v>
      </c>
      <c r="C69" s="308">
        <f>SUM($C$70,$C$78,$C$82,$C$87)</f>
        <v>11</v>
      </c>
      <c r="D69" s="309"/>
      <c r="E69" s="309"/>
      <c r="F69" s="310"/>
      <c r="G69" s="309"/>
      <c r="H69" s="309"/>
      <c r="I69" s="309"/>
      <c r="J69" s="310"/>
      <c r="K69" s="310"/>
      <c r="L69" s="309"/>
      <c r="M69" s="310"/>
      <c r="N69" s="310"/>
      <c r="O69" s="309"/>
      <c r="P69" s="309"/>
      <c r="Q69" s="311"/>
      <c r="R69" s="311"/>
    </row>
    <row r="70" ht="21.75" customHeight="1" spans="1:18">
      <c r="A70" s="290" t="s">
        <v>448</v>
      </c>
      <c r="B70" s="290" t="s">
        <v>7103</v>
      </c>
      <c r="C70" s="313">
        <f>COUNTA($B$71:$B$77)</f>
        <v>6</v>
      </c>
      <c r="D70" s="314"/>
      <c r="E70" s="314"/>
      <c r="F70" s="313"/>
      <c r="G70" s="314"/>
      <c r="H70" s="314"/>
      <c r="I70" s="314"/>
      <c r="J70" s="313"/>
      <c r="K70" s="313"/>
      <c r="L70" s="314"/>
      <c r="M70" s="313"/>
      <c r="N70" s="313"/>
      <c r="O70" s="314"/>
      <c r="P70" s="314"/>
      <c r="Q70" s="315"/>
      <c r="R70" s="315"/>
    </row>
    <row r="71" ht="21.75" customHeight="1" spans="1:18">
      <c r="A71" s="19">
        <v>1</v>
      </c>
      <c r="B71" s="49" t="s">
        <v>7134</v>
      </c>
      <c r="C71" s="19" t="s">
        <v>504</v>
      </c>
      <c r="D71" s="20"/>
      <c r="E71" s="20" t="s">
        <v>296</v>
      </c>
      <c r="F71" s="19" t="s">
        <v>16</v>
      </c>
      <c r="G71" s="20" t="s">
        <v>8218</v>
      </c>
      <c r="H71" s="20" t="s">
        <v>1263</v>
      </c>
      <c r="I71" s="20"/>
      <c r="J71" s="19" t="s">
        <v>7204</v>
      </c>
      <c r="K71" s="20" t="s">
        <v>1140</v>
      </c>
      <c r="L71" s="19">
        <v>2022</v>
      </c>
      <c r="M71" s="19" t="s">
        <v>8219</v>
      </c>
      <c r="N71" s="20" t="s">
        <v>8220</v>
      </c>
      <c r="O71" s="20"/>
      <c r="P71" s="20"/>
      <c r="Q71" s="41">
        <v>1.2</v>
      </c>
      <c r="R71" s="41"/>
    </row>
    <row r="72" ht="21.75" customHeight="1" spans="1:18">
      <c r="A72" s="19">
        <f t="shared" ref="A72:A76" si="2">1+A71</f>
        <v>2</v>
      </c>
      <c r="B72" s="49" t="s">
        <v>7135</v>
      </c>
      <c r="C72" s="19"/>
      <c r="D72" s="20"/>
      <c r="E72" s="20" t="s">
        <v>296</v>
      </c>
      <c r="F72" s="19" t="s">
        <v>16</v>
      </c>
      <c r="G72" s="20" t="s">
        <v>8218</v>
      </c>
      <c r="H72" s="20" t="s">
        <v>1263</v>
      </c>
      <c r="I72" s="20"/>
      <c r="J72" s="19" t="s">
        <v>7204</v>
      </c>
      <c r="K72" s="20" t="s">
        <v>1140</v>
      </c>
      <c r="L72" s="19">
        <v>2022</v>
      </c>
      <c r="M72" s="19" t="s">
        <v>8219</v>
      </c>
      <c r="N72" s="20" t="s">
        <v>8220</v>
      </c>
      <c r="O72" s="20"/>
      <c r="P72" s="20"/>
      <c r="Q72" s="41">
        <v>1.2</v>
      </c>
      <c r="R72" s="41"/>
    </row>
    <row r="73" ht="21.75" customHeight="1" spans="1:18">
      <c r="A73" s="19">
        <f t="shared" si="2"/>
        <v>3</v>
      </c>
      <c r="B73" s="49" t="s">
        <v>7136</v>
      </c>
      <c r="C73" s="19"/>
      <c r="D73" s="20"/>
      <c r="E73" s="20" t="s">
        <v>296</v>
      </c>
      <c r="F73" s="19" t="s">
        <v>16</v>
      </c>
      <c r="G73" s="20" t="s">
        <v>8218</v>
      </c>
      <c r="H73" s="20" t="s">
        <v>1263</v>
      </c>
      <c r="I73" s="20"/>
      <c r="J73" s="19" t="s">
        <v>7204</v>
      </c>
      <c r="K73" s="20" t="s">
        <v>1140</v>
      </c>
      <c r="L73" s="19">
        <v>2022</v>
      </c>
      <c r="M73" s="19" t="s">
        <v>8219</v>
      </c>
      <c r="N73" s="20" t="s">
        <v>8220</v>
      </c>
      <c r="O73" s="20"/>
      <c r="P73" s="20"/>
      <c r="Q73" s="41">
        <v>1.2</v>
      </c>
      <c r="R73" s="41"/>
    </row>
    <row r="74" ht="21.75" customHeight="1" spans="1:18">
      <c r="A74" s="19">
        <f t="shared" si="2"/>
        <v>4</v>
      </c>
      <c r="B74" s="49" t="s">
        <v>7137</v>
      </c>
      <c r="C74" s="19"/>
      <c r="D74" s="20"/>
      <c r="E74" s="20" t="s">
        <v>296</v>
      </c>
      <c r="F74" s="19" t="s">
        <v>16</v>
      </c>
      <c r="G74" s="20" t="s">
        <v>8218</v>
      </c>
      <c r="H74" s="20" t="s">
        <v>1263</v>
      </c>
      <c r="I74" s="20"/>
      <c r="J74" s="19" t="s">
        <v>7204</v>
      </c>
      <c r="K74" s="20" t="s">
        <v>1140</v>
      </c>
      <c r="L74" s="19">
        <v>2022</v>
      </c>
      <c r="M74" s="19" t="s">
        <v>8219</v>
      </c>
      <c r="N74" s="20" t="s">
        <v>8220</v>
      </c>
      <c r="O74" s="20"/>
      <c r="P74" s="20"/>
      <c r="Q74" s="41">
        <v>1.2</v>
      </c>
      <c r="R74" s="41"/>
    </row>
    <row r="75" ht="21.75" customHeight="1" spans="1:18">
      <c r="A75" s="19">
        <f t="shared" si="2"/>
        <v>5</v>
      </c>
      <c r="B75" s="49" t="s">
        <v>7138</v>
      </c>
      <c r="C75" s="19" t="s">
        <v>981</v>
      </c>
      <c r="D75" s="20"/>
      <c r="E75" s="20" t="s">
        <v>296</v>
      </c>
      <c r="F75" s="19" t="s">
        <v>16</v>
      </c>
      <c r="G75" s="20" t="s">
        <v>1899</v>
      </c>
      <c r="H75" s="20" t="s">
        <v>1263</v>
      </c>
      <c r="I75" s="20"/>
      <c r="J75" s="19" t="s">
        <v>7204</v>
      </c>
      <c r="K75" s="20" t="s">
        <v>1140</v>
      </c>
      <c r="L75" s="19">
        <v>2022</v>
      </c>
      <c r="M75" s="19" t="s">
        <v>8219</v>
      </c>
      <c r="N75" s="20" t="s">
        <v>8220</v>
      </c>
      <c r="O75" s="20"/>
      <c r="P75" s="20"/>
      <c r="Q75" s="41">
        <v>1.2</v>
      </c>
      <c r="R75" s="41"/>
    </row>
    <row r="76" ht="21.75" customHeight="1" spans="1:18">
      <c r="A76" s="19">
        <f t="shared" si="2"/>
        <v>6</v>
      </c>
      <c r="B76" s="49" t="s">
        <v>7139</v>
      </c>
      <c r="C76" s="19" t="s">
        <v>981</v>
      </c>
      <c r="D76" s="20"/>
      <c r="E76" s="20" t="s">
        <v>296</v>
      </c>
      <c r="F76" s="19" t="s">
        <v>16</v>
      </c>
      <c r="G76" s="20" t="s">
        <v>1899</v>
      </c>
      <c r="H76" s="20" t="s">
        <v>1263</v>
      </c>
      <c r="I76" s="20"/>
      <c r="J76" s="19" t="s">
        <v>7204</v>
      </c>
      <c r="K76" s="20" t="s">
        <v>1140</v>
      </c>
      <c r="L76" s="19">
        <v>2022</v>
      </c>
      <c r="M76" s="19" t="s">
        <v>8219</v>
      </c>
      <c r="N76" s="20" t="s">
        <v>8220</v>
      </c>
      <c r="O76" s="20"/>
      <c r="P76" s="20"/>
      <c r="Q76" s="41">
        <v>1.2</v>
      </c>
      <c r="R76" s="41"/>
    </row>
    <row r="77" ht="21.75" hidden="1" customHeight="1" spans="1:18">
      <c r="A77" s="19"/>
      <c r="B77" s="19"/>
      <c r="C77" s="19" t="s">
        <v>2536</v>
      </c>
      <c r="D77" s="20"/>
      <c r="E77" s="20"/>
      <c r="F77" s="19"/>
      <c r="G77" s="20"/>
      <c r="H77" s="20"/>
      <c r="I77" s="20"/>
      <c r="J77" s="19"/>
      <c r="K77" s="20"/>
      <c r="L77" s="19"/>
      <c r="M77" s="19"/>
      <c r="N77" s="20"/>
      <c r="O77" s="20"/>
      <c r="P77" s="20"/>
      <c r="Q77" s="41"/>
      <c r="R77" s="41"/>
    </row>
    <row r="78" ht="21.75" customHeight="1" spans="1:18">
      <c r="A78" s="290" t="s">
        <v>690</v>
      </c>
      <c r="B78" s="290" t="s">
        <v>7105</v>
      </c>
      <c r="C78" s="313">
        <f>COUNTA($B$79:$B$81)</f>
        <v>2</v>
      </c>
      <c r="D78" s="314"/>
      <c r="E78" s="314"/>
      <c r="F78" s="313"/>
      <c r="G78" s="314"/>
      <c r="H78" s="314"/>
      <c r="I78" s="314"/>
      <c r="J78" s="313"/>
      <c r="K78" s="313"/>
      <c r="L78" s="314"/>
      <c r="M78" s="313"/>
      <c r="N78" s="313"/>
      <c r="O78" s="314"/>
      <c r="P78" s="314"/>
      <c r="Q78" s="315"/>
      <c r="R78" s="315"/>
    </row>
    <row r="79" ht="21.75" customHeight="1" spans="1:18">
      <c r="A79" s="19">
        <v>1</v>
      </c>
      <c r="B79" s="49" t="s">
        <v>7140</v>
      </c>
      <c r="C79" s="19" t="s">
        <v>1048</v>
      </c>
      <c r="D79" s="20"/>
      <c r="E79" s="20" t="s">
        <v>296</v>
      </c>
      <c r="F79" s="19" t="s">
        <v>17</v>
      </c>
      <c r="G79" s="37">
        <v>45571</v>
      </c>
      <c r="H79" s="20" t="s">
        <v>1263</v>
      </c>
      <c r="I79" s="20"/>
      <c r="J79" s="19" t="s">
        <v>8221</v>
      </c>
      <c r="K79" s="20" t="s">
        <v>1140</v>
      </c>
      <c r="L79" s="19">
        <v>2022</v>
      </c>
      <c r="M79" s="19" t="s">
        <v>8222</v>
      </c>
      <c r="N79" s="20" t="s">
        <v>8220</v>
      </c>
      <c r="O79" s="20"/>
      <c r="P79" s="20"/>
      <c r="Q79" s="41">
        <v>1.2</v>
      </c>
      <c r="R79" s="41"/>
    </row>
    <row r="80" ht="21.75" customHeight="1" spans="1:18">
      <c r="A80" s="19">
        <f>1+A79</f>
        <v>2</v>
      </c>
      <c r="B80" s="49" t="s">
        <v>7141</v>
      </c>
      <c r="C80" s="19" t="s">
        <v>1048</v>
      </c>
      <c r="D80" s="20"/>
      <c r="E80" s="20" t="s">
        <v>296</v>
      </c>
      <c r="F80" s="19" t="s">
        <v>17</v>
      </c>
      <c r="G80" s="37">
        <v>45571</v>
      </c>
      <c r="H80" s="20" t="s">
        <v>1263</v>
      </c>
      <c r="I80" s="20"/>
      <c r="J80" s="19" t="s">
        <v>8221</v>
      </c>
      <c r="K80" s="20" t="s">
        <v>1140</v>
      </c>
      <c r="L80" s="19">
        <v>2022</v>
      </c>
      <c r="M80" s="19" t="s">
        <v>8222</v>
      </c>
      <c r="N80" s="20" t="s">
        <v>8220</v>
      </c>
      <c r="O80" s="20"/>
      <c r="P80" s="20"/>
      <c r="Q80" s="41">
        <v>1.2</v>
      </c>
      <c r="R80" s="41"/>
    </row>
    <row r="81" ht="21.75" hidden="1" customHeight="1" spans="1:18">
      <c r="A81" s="19"/>
      <c r="B81" s="19"/>
      <c r="C81" s="20" t="s">
        <v>2536</v>
      </c>
      <c r="D81" s="20"/>
      <c r="E81" s="20"/>
      <c r="F81" s="19"/>
      <c r="G81" s="20"/>
      <c r="H81" s="20"/>
      <c r="I81" s="20"/>
      <c r="J81" s="19"/>
      <c r="K81" s="20"/>
      <c r="L81" s="19"/>
      <c r="M81" s="19"/>
      <c r="N81" s="20"/>
      <c r="O81" s="20"/>
      <c r="P81" s="20"/>
      <c r="Q81" s="41"/>
      <c r="R81" s="41"/>
    </row>
    <row r="82" ht="21.75" customHeight="1" spans="1:18">
      <c r="A82" s="290" t="s">
        <v>815</v>
      </c>
      <c r="B82" s="290" t="s">
        <v>7106</v>
      </c>
      <c r="C82" s="313">
        <f>COUNTA($B$83:$B$86)</f>
        <v>3</v>
      </c>
      <c r="D82" s="314"/>
      <c r="E82" s="314"/>
      <c r="F82" s="313"/>
      <c r="G82" s="314"/>
      <c r="H82" s="314"/>
      <c r="I82" s="314"/>
      <c r="J82" s="313"/>
      <c r="K82" s="313"/>
      <c r="L82" s="314"/>
      <c r="M82" s="313"/>
      <c r="N82" s="313"/>
      <c r="O82" s="314"/>
      <c r="P82" s="314"/>
      <c r="Q82" s="315"/>
      <c r="R82" s="315"/>
    </row>
    <row r="83" ht="21.75" customHeight="1" spans="1:18">
      <c r="A83" s="19">
        <v>1</v>
      </c>
      <c r="B83" s="49" t="s">
        <v>7142</v>
      </c>
      <c r="C83" s="19" t="s">
        <v>504</v>
      </c>
      <c r="D83" s="20"/>
      <c r="E83" s="20" t="s">
        <v>296</v>
      </c>
      <c r="F83" s="19" t="s">
        <v>18</v>
      </c>
      <c r="G83" s="20" t="s">
        <v>8223</v>
      </c>
      <c r="H83" s="20" t="s">
        <v>1263</v>
      </c>
      <c r="I83" s="20"/>
      <c r="J83" s="19" t="s">
        <v>7204</v>
      </c>
      <c r="K83" s="20" t="s">
        <v>1140</v>
      </c>
      <c r="L83" s="19">
        <v>2022</v>
      </c>
      <c r="M83" s="19" t="s">
        <v>8219</v>
      </c>
      <c r="N83" s="20" t="s">
        <v>8220</v>
      </c>
      <c r="O83" s="20"/>
      <c r="P83" s="20"/>
      <c r="Q83" s="41">
        <v>1.2</v>
      </c>
      <c r="R83" s="41"/>
    </row>
    <row r="84" ht="21.75" customHeight="1" spans="1:18">
      <c r="A84" s="19">
        <f t="shared" ref="A84:A85" si="3">1+A83</f>
        <v>2</v>
      </c>
      <c r="B84" s="49" t="s">
        <v>7143</v>
      </c>
      <c r="C84" s="19" t="s">
        <v>504</v>
      </c>
      <c r="D84" s="20"/>
      <c r="E84" s="20" t="s">
        <v>296</v>
      </c>
      <c r="F84" s="19" t="s">
        <v>18</v>
      </c>
      <c r="G84" s="22" t="s">
        <v>5031</v>
      </c>
      <c r="H84" s="20" t="s">
        <v>1263</v>
      </c>
      <c r="I84" s="20"/>
      <c r="J84" s="19" t="s">
        <v>7204</v>
      </c>
      <c r="K84" s="20" t="s">
        <v>1140</v>
      </c>
      <c r="L84" s="19">
        <v>2022</v>
      </c>
      <c r="M84" s="19" t="s">
        <v>8219</v>
      </c>
      <c r="N84" s="20" t="s">
        <v>8220</v>
      </c>
      <c r="O84" s="20"/>
      <c r="P84" s="20"/>
      <c r="Q84" s="41">
        <v>1.2</v>
      </c>
      <c r="R84" s="41"/>
    </row>
    <row r="85" ht="21.75" customHeight="1" spans="1:18">
      <c r="A85" s="19">
        <f t="shared" si="3"/>
        <v>3</v>
      </c>
      <c r="B85" s="49" t="s">
        <v>7144</v>
      </c>
      <c r="C85" s="19" t="s">
        <v>504</v>
      </c>
      <c r="D85" s="20"/>
      <c r="E85" s="20" t="s">
        <v>296</v>
      </c>
      <c r="F85" s="19" t="s">
        <v>18</v>
      </c>
      <c r="G85" s="22" t="s">
        <v>5031</v>
      </c>
      <c r="H85" s="20" t="s">
        <v>1263</v>
      </c>
      <c r="I85" s="20"/>
      <c r="J85" s="19" t="s">
        <v>7204</v>
      </c>
      <c r="K85" s="20" t="s">
        <v>1140</v>
      </c>
      <c r="L85" s="19">
        <v>2022</v>
      </c>
      <c r="M85" s="19" t="s">
        <v>8219</v>
      </c>
      <c r="N85" s="20" t="s">
        <v>8220</v>
      </c>
      <c r="O85" s="20"/>
      <c r="P85" s="20"/>
      <c r="Q85" s="41">
        <v>1.2</v>
      </c>
      <c r="R85" s="41"/>
    </row>
    <row r="86" ht="13.8" hidden="1" spans="1:18">
      <c r="A86" s="81"/>
      <c r="B86" s="80"/>
      <c r="C86" s="81" t="s">
        <v>4844</v>
      </c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</row>
    <row r="87" ht="21.75" customHeight="1" spans="1:18">
      <c r="A87" s="290" t="s">
        <v>8170</v>
      </c>
      <c r="B87" s="290" t="s">
        <v>19</v>
      </c>
      <c r="C87" s="313">
        <f>COUNTA($B$88:$B$90)</f>
        <v>0</v>
      </c>
      <c r="D87" s="314"/>
      <c r="E87" s="314"/>
      <c r="F87" s="313"/>
      <c r="G87" s="314"/>
      <c r="H87" s="314"/>
      <c r="I87" s="314"/>
      <c r="J87" s="313"/>
      <c r="K87" s="313"/>
      <c r="L87" s="314"/>
      <c r="M87" s="313"/>
      <c r="N87" s="313"/>
      <c r="O87" s="314"/>
      <c r="P87" s="314"/>
      <c r="Q87" s="315"/>
      <c r="R87" s="315"/>
    </row>
    <row r="88" ht="21.75" customHeight="1" spans="1:18">
      <c r="A88" s="316"/>
      <c r="B88" s="316"/>
      <c r="C88" s="323"/>
      <c r="D88" s="318"/>
      <c r="E88" s="318"/>
      <c r="F88" s="317"/>
      <c r="G88" s="318"/>
      <c r="H88" s="318"/>
      <c r="I88" s="318"/>
      <c r="J88" s="317"/>
      <c r="K88" s="317"/>
      <c r="L88" s="318"/>
      <c r="M88" s="317"/>
      <c r="N88" s="317"/>
      <c r="O88" s="318"/>
      <c r="P88" s="318"/>
      <c r="Q88" s="318"/>
      <c r="R88" s="320"/>
    </row>
    <row r="89" ht="21.75" customHeight="1" spans="1:18">
      <c r="A89" s="316"/>
      <c r="B89" s="316"/>
      <c r="C89" s="323"/>
      <c r="D89" s="318"/>
      <c r="E89" s="318"/>
      <c r="F89" s="317"/>
      <c r="G89" s="318"/>
      <c r="H89" s="318"/>
      <c r="I89" s="318"/>
      <c r="J89" s="317"/>
      <c r="K89" s="317"/>
      <c r="L89" s="318"/>
      <c r="M89" s="317"/>
      <c r="N89" s="317"/>
      <c r="O89" s="318"/>
      <c r="P89" s="318"/>
      <c r="Q89" s="318"/>
      <c r="R89" s="320"/>
    </row>
    <row r="90" ht="21.75" hidden="1" customHeight="1" spans="1:18">
      <c r="A90" s="316"/>
      <c r="B90" s="316"/>
      <c r="C90" s="323" t="s">
        <v>4844</v>
      </c>
      <c r="D90" s="318"/>
      <c r="E90" s="318"/>
      <c r="F90" s="317"/>
      <c r="G90" s="318"/>
      <c r="H90" s="318"/>
      <c r="I90" s="318"/>
      <c r="J90" s="317"/>
      <c r="K90" s="317"/>
      <c r="L90" s="318"/>
      <c r="M90" s="317"/>
      <c r="N90" s="317"/>
      <c r="O90" s="318"/>
      <c r="P90" s="318"/>
      <c r="Q90" s="318"/>
      <c r="R90" s="320"/>
    </row>
    <row r="91" ht="21.75" customHeight="1" spans="1:18">
      <c r="A91" s="307" t="s">
        <v>3335</v>
      </c>
      <c r="B91" s="307" t="s">
        <v>6230</v>
      </c>
      <c r="C91" s="308">
        <f>SUM($C$92,$C$97,$C$101)</f>
        <v>10</v>
      </c>
      <c r="D91" s="309"/>
      <c r="E91" s="309"/>
      <c r="F91" s="310"/>
      <c r="G91" s="309"/>
      <c r="H91" s="309"/>
      <c r="I91" s="309"/>
      <c r="J91" s="310"/>
      <c r="K91" s="310"/>
      <c r="L91" s="309"/>
      <c r="M91" s="310"/>
      <c r="N91" s="310"/>
      <c r="O91" s="309"/>
      <c r="P91" s="309"/>
      <c r="Q91" s="311"/>
      <c r="R91" s="311"/>
    </row>
    <row r="92" ht="21.75" customHeight="1" spans="1:18">
      <c r="A92" s="290" t="s">
        <v>948</v>
      </c>
      <c r="B92" s="290" t="s">
        <v>6231</v>
      </c>
      <c r="C92" s="313">
        <f>COUNTA($B$93:$B$96)</f>
        <v>3</v>
      </c>
      <c r="D92" s="314"/>
      <c r="E92" s="314"/>
      <c r="F92" s="313"/>
      <c r="G92" s="314"/>
      <c r="H92" s="314"/>
      <c r="I92" s="314"/>
      <c r="J92" s="313"/>
      <c r="K92" s="313"/>
      <c r="L92" s="314"/>
      <c r="M92" s="313"/>
      <c r="N92" s="313"/>
      <c r="O92" s="314"/>
      <c r="P92" s="314"/>
      <c r="Q92" s="315"/>
      <c r="R92" s="315"/>
    </row>
    <row r="93" ht="21.75" customHeight="1" spans="1:18">
      <c r="A93" s="19">
        <v>1</v>
      </c>
      <c r="B93" s="19" t="s">
        <v>7145</v>
      </c>
      <c r="C93" s="19"/>
      <c r="D93" s="20"/>
      <c r="E93" s="20" t="s">
        <v>296</v>
      </c>
      <c r="F93" s="19" t="s">
        <v>25</v>
      </c>
      <c r="G93" s="20" t="s">
        <v>5031</v>
      </c>
      <c r="H93" s="20" t="s">
        <v>1263</v>
      </c>
      <c r="I93" s="20"/>
      <c r="J93" s="19" t="s">
        <v>7204</v>
      </c>
      <c r="K93" s="20" t="s">
        <v>1140</v>
      </c>
      <c r="L93" s="19"/>
      <c r="M93" s="19" t="s">
        <v>8219</v>
      </c>
      <c r="N93" s="20" t="s">
        <v>8220</v>
      </c>
      <c r="O93" s="20"/>
      <c r="P93" s="20"/>
      <c r="Q93" s="41">
        <v>1.2</v>
      </c>
      <c r="R93" s="41"/>
    </row>
    <row r="94" ht="21.75" customHeight="1" spans="1:18">
      <c r="A94" s="19">
        <v>2</v>
      </c>
      <c r="B94" s="19" t="s">
        <v>7146</v>
      </c>
      <c r="C94" s="19"/>
      <c r="D94" s="20"/>
      <c r="E94" s="20" t="s">
        <v>296</v>
      </c>
      <c r="F94" s="19" t="s">
        <v>25</v>
      </c>
      <c r="G94" s="20" t="s">
        <v>5031</v>
      </c>
      <c r="H94" s="20" t="s">
        <v>1263</v>
      </c>
      <c r="I94" s="20"/>
      <c r="J94" s="19" t="s">
        <v>7204</v>
      </c>
      <c r="K94" s="20" t="s">
        <v>1140</v>
      </c>
      <c r="L94" s="19"/>
      <c r="M94" s="19" t="s">
        <v>8219</v>
      </c>
      <c r="N94" s="20" t="s">
        <v>8220</v>
      </c>
      <c r="O94" s="20"/>
      <c r="P94" s="20"/>
      <c r="Q94" s="41">
        <v>1.2</v>
      </c>
      <c r="R94" s="41"/>
    </row>
    <row r="95" ht="21.75" customHeight="1" spans="1:18">
      <c r="A95" s="19">
        <v>3</v>
      </c>
      <c r="B95" s="19" t="s">
        <v>7147</v>
      </c>
      <c r="C95" s="19"/>
      <c r="D95" s="20"/>
      <c r="E95" s="20" t="s">
        <v>296</v>
      </c>
      <c r="F95" s="19" t="s">
        <v>25</v>
      </c>
      <c r="G95" s="20" t="s">
        <v>5031</v>
      </c>
      <c r="H95" s="20" t="s">
        <v>1263</v>
      </c>
      <c r="I95" s="20"/>
      <c r="J95" s="19" t="s">
        <v>7204</v>
      </c>
      <c r="K95" s="20" t="s">
        <v>1140</v>
      </c>
      <c r="L95" s="19"/>
      <c r="M95" s="19" t="s">
        <v>8219</v>
      </c>
      <c r="N95" s="20" t="s">
        <v>8220</v>
      </c>
      <c r="O95" s="20"/>
      <c r="P95" s="20"/>
      <c r="Q95" s="41">
        <v>1.2</v>
      </c>
      <c r="R95" s="41"/>
    </row>
    <row r="96" ht="21.75" hidden="1" customHeight="1" spans="1:18">
      <c r="A96" s="19"/>
      <c r="B96" s="19"/>
      <c r="C96" s="19" t="s">
        <v>4844</v>
      </c>
      <c r="D96" s="20"/>
      <c r="E96" s="20"/>
      <c r="F96" s="19"/>
      <c r="G96" s="20"/>
      <c r="H96" s="20"/>
      <c r="I96" s="20"/>
      <c r="J96" s="19"/>
      <c r="K96" s="20"/>
      <c r="L96" s="19"/>
      <c r="M96" s="19"/>
      <c r="N96" s="20"/>
      <c r="O96" s="20"/>
      <c r="P96" s="20"/>
      <c r="Q96" s="41"/>
      <c r="R96" s="41"/>
    </row>
    <row r="97" ht="21.75" customHeight="1" spans="1:18">
      <c r="A97" s="290" t="s">
        <v>1035</v>
      </c>
      <c r="B97" s="290" t="s">
        <v>6278</v>
      </c>
      <c r="C97" s="313">
        <f>COUNTA($B$98:$B$100)</f>
        <v>2</v>
      </c>
      <c r="D97" s="314"/>
      <c r="E97" s="314"/>
      <c r="F97" s="313"/>
      <c r="G97" s="314"/>
      <c r="H97" s="314"/>
      <c r="I97" s="314"/>
      <c r="J97" s="313"/>
      <c r="K97" s="313"/>
      <c r="L97" s="314"/>
      <c r="M97" s="313"/>
      <c r="N97" s="313"/>
      <c r="O97" s="314"/>
      <c r="P97" s="314"/>
      <c r="Q97" s="315"/>
      <c r="R97" s="315"/>
    </row>
    <row r="98" ht="21.75" customHeight="1" spans="1:18">
      <c r="A98" s="317">
        <v>1</v>
      </c>
      <c r="B98" s="317" t="s">
        <v>7148</v>
      </c>
      <c r="C98" s="317"/>
      <c r="D98" s="318"/>
      <c r="E98" s="20" t="s">
        <v>296</v>
      </c>
      <c r="F98" s="19" t="s">
        <v>26</v>
      </c>
      <c r="G98" s="318" t="s">
        <v>4011</v>
      </c>
      <c r="H98" s="20" t="s">
        <v>1263</v>
      </c>
      <c r="I98" s="318"/>
      <c r="J98" s="19" t="s">
        <v>7204</v>
      </c>
      <c r="K98" s="20" t="s">
        <v>1140</v>
      </c>
      <c r="L98" s="19"/>
      <c r="M98" s="19" t="s">
        <v>8219</v>
      </c>
      <c r="N98" s="20" t="s">
        <v>8220</v>
      </c>
      <c r="O98" s="318"/>
      <c r="P98" s="318"/>
      <c r="Q98" s="41">
        <v>1.2</v>
      </c>
      <c r="R98" s="41"/>
    </row>
    <row r="99" ht="21.75" customHeight="1" spans="1:18">
      <c r="A99" s="317">
        <v>2</v>
      </c>
      <c r="B99" s="317" t="s">
        <v>7149</v>
      </c>
      <c r="C99" s="317"/>
      <c r="D99" s="318"/>
      <c r="E99" s="20" t="s">
        <v>296</v>
      </c>
      <c r="F99" s="19" t="s">
        <v>26</v>
      </c>
      <c r="G99" s="318" t="s">
        <v>4011</v>
      </c>
      <c r="H99" s="20" t="s">
        <v>1263</v>
      </c>
      <c r="I99" s="318"/>
      <c r="J99" s="19" t="s">
        <v>7204</v>
      </c>
      <c r="K99" s="20" t="s">
        <v>1140</v>
      </c>
      <c r="L99" s="19"/>
      <c r="M99" s="19" t="s">
        <v>8219</v>
      </c>
      <c r="N99" s="20" t="s">
        <v>8220</v>
      </c>
      <c r="O99" s="318"/>
      <c r="P99" s="318"/>
      <c r="Q99" s="41">
        <v>1.2</v>
      </c>
      <c r="R99" s="41"/>
    </row>
    <row r="100" ht="21.75" hidden="1" customHeight="1" spans="1:18">
      <c r="A100" s="316"/>
      <c r="B100" s="316"/>
      <c r="C100" s="317" t="s">
        <v>2536</v>
      </c>
      <c r="D100" s="318"/>
      <c r="E100" s="318"/>
      <c r="F100" s="317"/>
      <c r="G100" s="318"/>
      <c r="H100" s="318"/>
      <c r="I100" s="318"/>
      <c r="J100" s="317"/>
      <c r="K100" s="317"/>
      <c r="L100" s="318"/>
      <c r="M100" s="317"/>
      <c r="N100" s="317"/>
      <c r="O100" s="318"/>
      <c r="P100" s="318"/>
      <c r="Q100" s="320"/>
      <c r="R100" s="320"/>
    </row>
    <row r="101" ht="21.75" customHeight="1" spans="1:18">
      <c r="A101" s="290" t="s">
        <v>1099</v>
      </c>
      <c r="B101" s="290" t="s">
        <v>6322</v>
      </c>
      <c r="C101" s="313">
        <f>COUNTA($B$102:$B$107)</f>
        <v>5</v>
      </c>
      <c r="D101" s="314"/>
      <c r="E101" s="314"/>
      <c r="F101" s="313"/>
      <c r="G101" s="314"/>
      <c r="H101" s="314"/>
      <c r="I101" s="314"/>
      <c r="J101" s="313"/>
      <c r="K101" s="313"/>
      <c r="L101" s="314"/>
      <c r="M101" s="313"/>
      <c r="N101" s="313"/>
      <c r="O101" s="314"/>
      <c r="P101" s="314"/>
      <c r="Q101" s="315"/>
      <c r="R101" s="315"/>
    </row>
    <row r="102" ht="21.75" customHeight="1" spans="1:18">
      <c r="A102" s="19">
        <v>4</v>
      </c>
      <c r="B102" s="19" t="s">
        <v>7150</v>
      </c>
      <c r="C102" s="19"/>
      <c r="D102" s="20"/>
      <c r="E102" s="20" t="s">
        <v>296</v>
      </c>
      <c r="F102" s="19" t="s">
        <v>7151</v>
      </c>
      <c r="G102" s="20"/>
      <c r="H102" s="20" t="s">
        <v>1755</v>
      </c>
      <c r="I102" s="20"/>
      <c r="J102" s="19" t="s">
        <v>8221</v>
      </c>
      <c r="K102" s="20" t="s">
        <v>1140</v>
      </c>
      <c r="L102" s="19">
        <v>2022</v>
      </c>
      <c r="M102" s="19" t="s">
        <v>8222</v>
      </c>
      <c r="N102" s="20" t="s">
        <v>8220</v>
      </c>
      <c r="O102" s="20"/>
      <c r="P102" s="20"/>
      <c r="Q102" s="41">
        <v>1.2</v>
      </c>
      <c r="R102" s="41"/>
    </row>
    <row r="103" ht="21.75" customHeight="1" spans="1:18">
      <c r="A103" s="19">
        <v>5</v>
      </c>
      <c r="B103" s="19" t="s">
        <v>7152</v>
      </c>
      <c r="C103" s="19"/>
      <c r="D103" s="20"/>
      <c r="E103" s="20" t="s">
        <v>296</v>
      </c>
      <c r="F103" s="19" t="s">
        <v>7151</v>
      </c>
      <c r="G103" s="20"/>
      <c r="H103" s="20" t="s">
        <v>1755</v>
      </c>
      <c r="I103" s="20"/>
      <c r="J103" s="19" t="s">
        <v>8221</v>
      </c>
      <c r="K103" s="20" t="s">
        <v>1140</v>
      </c>
      <c r="L103" s="19">
        <v>2022</v>
      </c>
      <c r="M103" s="19" t="s">
        <v>8222</v>
      </c>
      <c r="N103" s="20" t="s">
        <v>8220</v>
      </c>
      <c r="O103" s="20"/>
      <c r="P103" s="20"/>
      <c r="Q103" s="41">
        <v>1.2</v>
      </c>
      <c r="R103" s="41"/>
    </row>
    <row r="104" ht="21.75" customHeight="1" spans="1:18">
      <c r="A104" s="19">
        <v>6</v>
      </c>
      <c r="B104" s="19" t="s">
        <v>7153</v>
      </c>
      <c r="C104" s="19"/>
      <c r="D104" s="20"/>
      <c r="E104" s="20" t="s">
        <v>296</v>
      </c>
      <c r="F104" s="19" t="s">
        <v>7151</v>
      </c>
      <c r="G104" s="20"/>
      <c r="H104" s="20" t="s">
        <v>1755</v>
      </c>
      <c r="I104" s="20"/>
      <c r="J104" s="19" t="s">
        <v>8221</v>
      </c>
      <c r="K104" s="20" t="s">
        <v>1140</v>
      </c>
      <c r="L104" s="19">
        <v>2022</v>
      </c>
      <c r="M104" s="19" t="s">
        <v>8222</v>
      </c>
      <c r="N104" s="20" t="s">
        <v>8220</v>
      </c>
      <c r="O104" s="20"/>
      <c r="P104" s="20"/>
      <c r="Q104" s="41">
        <v>1.2</v>
      </c>
      <c r="R104" s="41"/>
    </row>
    <row r="105" ht="21.75" customHeight="1" spans="1:18">
      <c r="A105" s="19">
        <v>7</v>
      </c>
      <c r="B105" s="49" t="s">
        <v>7154</v>
      </c>
      <c r="C105" s="19"/>
      <c r="D105" s="20"/>
      <c r="E105" s="20" t="s">
        <v>296</v>
      </c>
      <c r="F105" s="19" t="s">
        <v>7151</v>
      </c>
      <c r="G105" s="20"/>
      <c r="H105" s="20" t="s">
        <v>1755</v>
      </c>
      <c r="I105" s="20"/>
      <c r="J105" s="19" t="s">
        <v>8221</v>
      </c>
      <c r="K105" s="20" t="s">
        <v>1140</v>
      </c>
      <c r="L105" s="19">
        <v>2022</v>
      </c>
      <c r="M105" s="19" t="s">
        <v>8222</v>
      </c>
      <c r="N105" s="20" t="s">
        <v>8220</v>
      </c>
      <c r="O105" s="20"/>
      <c r="P105" s="20"/>
      <c r="Q105" s="41">
        <v>1.2</v>
      </c>
      <c r="R105" s="41"/>
    </row>
    <row r="106" ht="21.75" customHeight="1" spans="1:18">
      <c r="A106" s="19">
        <v>8</v>
      </c>
      <c r="B106" s="49" t="s">
        <v>7155</v>
      </c>
      <c r="C106" s="19"/>
      <c r="D106" s="20"/>
      <c r="E106" s="20" t="s">
        <v>296</v>
      </c>
      <c r="F106" s="19" t="s">
        <v>7151</v>
      </c>
      <c r="G106" s="20"/>
      <c r="H106" s="20" t="s">
        <v>1755</v>
      </c>
      <c r="I106" s="20"/>
      <c r="J106" s="19" t="s">
        <v>8221</v>
      </c>
      <c r="K106" s="20" t="s">
        <v>1140</v>
      </c>
      <c r="L106" s="19">
        <v>2022</v>
      </c>
      <c r="M106" s="19" t="s">
        <v>8222</v>
      </c>
      <c r="N106" s="20" t="s">
        <v>8220</v>
      </c>
      <c r="O106" s="20"/>
      <c r="P106" s="20"/>
      <c r="Q106" s="41">
        <v>1.2</v>
      </c>
      <c r="R106" s="41"/>
    </row>
    <row r="107" ht="13.8" hidden="1" spans="1:18">
      <c r="A107" s="81"/>
      <c r="B107" s="80"/>
      <c r="C107" s="81" t="s">
        <v>4695</v>
      </c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</row>
    <row r="108" ht="21.75" customHeight="1" spans="1:18">
      <c r="A108" s="307" t="s">
        <v>3352</v>
      </c>
      <c r="B108" s="307" t="s">
        <v>7156</v>
      </c>
      <c r="C108" s="308">
        <f>SUM($C$109,$C$112,$C$116)</f>
        <v>1</v>
      </c>
      <c r="D108" s="309"/>
      <c r="E108" s="309"/>
      <c r="F108" s="310"/>
      <c r="G108" s="309"/>
      <c r="H108" s="309"/>
      <c r="I108" s="309"/>
      <c r="J108" s="310"/>
      <c r="K108" s="310"/>
      <c r="L108" s="309"/>
      <c r="M108" s="310"/>
      <c r="N108" s="310"/>
      <c r="O108" s="309"/>
      <c r="P108" s="309"/>
      <c r="Q108" s="311"/>
      <c r="R108" s="311"/>
    </row>
    <row r="109" ht="21.75" customHeight="1" spans="1:18">
      <c r="A109" s="290" t="s">
        <v>948</v>
      </c>
      <c r="B109" s="290" t="s">
        <v>3532</v>
      </c>
      <c r="C109" s="313">
        <f>COUNTA($B$110:$B$111)</f>
        <v>1</v>
      </c>
      <c r="D109" s="314"/>
      <c r="E109" s="314"/>
      <c r="F109" s="313"/>
      <c r="G109" s="314"/>
      <c r="H109" s="314"/>
      <c r="I109" s="314"/>
      <c r="J109" s="313"/>
      <c r="K109" s="313"/>
      <c r="L109" s="314"/>
      <c r="M109" s="313"/>
      <c r="N109" s="313"/>
      <c r="O109" s="314"/>
      <c r="P109" s="314"/>
      <c r="Q109" s="315"/>
      <c r="R109" s="315"/>
    </row>
    <row r="110" ht="21.75" customHeight="1" spans="1:18">
      <c r="A110" s="19">
        <v>1</v>
      </c>
      <c r="B110" s="49" t="s">
        <v>7157</v>
      </c>
      <c r="C110" s="19" t="s">
        <v>1048</v>
      </c>
      <c r="D110" s="20"/>
      <c r="E110" s="20" t="s">
        <v>296</v>
      </c>
      <c r="F110" s="19" t="s">
        <v>3023</v>
      </c>
      <c r="G110" s="20"/>
      <c r="H110" s="20" t="s">
        <v>1263</v>
      </c>
      <c r="I110" s="20"/>
      <c r="J110" s="19" t="s">
        <v>7204</v>
      </c>
      <c r="K110" s="20" t="s">
        <v>1140</v>
      </c>
      <c r="L110" s="19">
        <v>2022</v>
      </c>
      <c r="M110" s="19" t="s">
        <v>8219</v>
      </c>
      <c r="N110" s="20" t="s">
        <v>8220</v>
      </c>
      <c r="O110" s="20"/>
      <c r="P110" s="20"/>
      <c r="Q110" s="41">
        <v>1.2</v>
      </c>
      <c r="R110" s="41"/>
    </row>
    <row r="111" ht="13.8" hidden="1" spans="1:18">
      <c r="A111" s="81"/>
      <c r="B111" s="80"/>
      <c r="C111" s="81" t="s">
        <v>8224</v>
      </c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</row>
    <row r="112" ht="21.75" customHeight="1" spans="1:18">
      <c r="A112" s="290" t="s">
        <v>1035</v>
      </c>
      <c r="B112" s="290" t="s">
        <v>28</v>
      </c>
      <c r="C112" s="313">
        <f>COUNTA($B$113:$B$115)</f>
        <v>0</v>
      </c>
      <c r="D112" s="314"/>
      <c r="E112" s="314"/>
      <c r="F112" s="313"/>
      <c r="G112" s="314"/>
      <c r="H112" s="314"/>
      <c r="I112" s="314"/>
      <c r="J112" s="313"/>
      <c r="K112" s="313"/>
      <c r="L112" s="314"/>
      <c r="M112" s="313"/>
      <c r="N112" s="313"/>
      <c r="O112" s="314"/>
      <c r="P112" s="314"/>
      <c r="Q112" s="315"/>
      <c r="R112" s="315"/>
    </row>
    <row r="113" ht="21.75" customHeight="1" spans="1:18">
      <c r="A113" s="19"/>
      <c r="B113" s="49"/>
      <c r="C113" s="19"/>
      <c r="D113" s="20"/>
      <c r="E113" s="20"/>
      <c r="F113" s="19"/>
      <c r="G113" s="20"/>
      <c r="H113" s="20"/>
      <c r="I113" s="20"/>
      <c r="J113" s="19"/>
      <c r="K113" s="20"/>
      <c r="L113" s="19"/>
      <c r="M113" s="19"/>
      <c r="N113" s="20"/>
      <c r="O113" s="20"/>
      <c r="P113" s="20"/>
      <c r="Q113" s="41"/>
      <c r="R113" s="41"/>
    </row>
    <row r="114" ht="21.75" customHeight="1" spans="1:18">
      <c r="A114" s="19"/>
      <c r="B114" s="49"/>
      <c r="C114" s="19"/>
      <c r="D114" s="20"/>
      <c r="E114" s="20"/>
      <c r="F114" s="19"/>
      <c r="G114" s="20"/>
      <c r="H114" s="20"/>
      <c r="I114" s="20"/>
      <c r="J114" s="19"/>
      <c r="K114" s="20"/>
      <c r="L114" s="19"/>
      <c r="M114" s="19"/>
      <c r="N114" s="20"/>
      <c r="O114" s="20"/>
      <c r="P114" s="20"/>
      <c r="Q114" s="41"/>
      <c r="R114" s="41"/>
    </row>
    <row r="115" ht="13.8" hidden="1" spans="1:18">
      <c r="A115" s="81"/>
      <c r="B115" s="80"/>
      <c r="C115" s="81" t="s">
        <v>2536</v>
      </c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</row>
    <row r="116" ht="21.75" customHeight="1" spans="1:18">
      <c r="A116" s="290" t="s">
        <v>1099</v>
      </c>
      <c r="B116" s="290" t="s">
        <v>6374</v>
      </c>
      <c r="C116" s="313">
        <f>COUNTA($B$117:$B$119)</f>
        <v>0</v>
      </c>
      <c r="D116" s="314"/>
      <c r="E116" s="314"/>
      <c r="F116" s="313"/>
      <c r="G116" s="314"/>
      <c r="H116" s="314"/>
      <c r="I116" s="314"/>
      <c r="J116" s="313"/>
      <c r="K116" s="313"/>
      <c r="L116" s="314"/>
      <c r="M116" s="313"/>
      <c r="N116" s="313"/>
      <c r="O116" s="314"/>
      <c r="P116" s="314"/>
      <c r="Q116" s="315"/>
      <c r="R116" s="315"/>
    </row>
    <row r="117" ht="21.75" customHeight="1" spans="1:18">
      <c r="A117" s="19"/>
      <c r="B117" s="49"/>
      <c r="C117" s="19"/>
      <c r="D117" s="20"/>
      <c r="E117" s="20"/>
      <c r="F117" s="19"/>
      <c r="G117" s="20"/>
      <c r="H117" s="20"/>
      <c r="I117" s="20"/>
      <c r="J117" s="19"/>
      <c r="K117" s="20"/>
      <c r="L117" s="19"/>
      <c r="M117" s="19"/>
      <c r="N117" s="20"/>
      <c r="O117" s="20"/>
      <c r="P117" s="20"/>
      <c r="Q117" s="41"/>
      <c r="R117" s="41"/>
    </row>
    <row r="118" ht="21.75" customHeight="1" spans="1:18">
      <c r="A118" s="19"/>
      <c r="B118" s="49"/>
      <c r="C118" s="19"/>
      <c r="D118" s="20"/>
      <c r="E118" s="20"/>
      <c r="F118" s="19"/>
      <c r="G118" s="20"/>
      <c r="H118" s="20"/>
      <c r="I118" s="20"/>
      <c r="J118" s="19"/>
      <c r="K118" s="20"/>
      <c r="L118" s="19"/>
      <c r="M118" s="19"/>
      <c r="N118" s="20"/>
      <c r="O118" s="20"/>
      <c r="P118" s="20"/>
      <c r="Q118" s="41"/>
      <c r="R118" s="41"/>
    </row>
    <row r="119" ht="21.75" hidden="1" customHeight="1" spans="1:18">
      <c r="A119" s="324"/>
      <c r="B119" s="325"/>
      <c r="C119" s="324" t="s">
        <v>4844</v>
      </c>
      <c r="D119" s="41"/>
      <c r="E119" s="41"/>
      <c r="F119" s="324"/>
      <c r="G119" s="41"/>
      <c r="H119" s="41"/>
      <c r="I119" s="41"/>
      <c r="J119" s="324"/>
      <c r="K119" s="41"/>
      <c r="L119" s="324"/>
      <c r="M119" s="324"/>
      <c r="N119" s="41"/>
      <c r="O119" s="41"/>
      <c r="P119" s="41"/>
      <c r="Q119" s="41"/>
      <c r="R119" s="41"/>
    </row>
    <row r="120" ht="21.75" customHeight="1" spans="1:18">
      <c r="A120" s="307" t="s">
        <v>3375</v>
      </c>
      <c r="B120" s="307" t="s">
        <v>7129</v>
      </c>
      <c r="C120" s="308"/>
      <c r="D120" s="309"/>
      <c r="E120" s="309"/>
      <c r="F120" s="310"/>
      <c r="G120" s="309"/>
      <c r="H120" s="309"/>
      <c r="I120" s="309"/>
      <c r="J120" s="310"/>
      <c r="K120" s="310"/>
      <c r="L120" s="309"/>
      <c r="M120" s="310"/>
      <c r="N120" s="310"/>
      <c r="O120" s="309"/>
      <c r="P120" s="309"/>
      <c r="Q120" s="311"/>
      <c r="R120" s="311"/>
    </row>
    <row r="121" ht="21.75" customHeight="1" spans="1:18">
      <c r="A121" s="290"/>
      <c r="B121" s="290"/>
      <c r="C121" s="313"/>
      <c r="D121" s="314"/>
      <c r="E121" s="314"/>
      <c r="F121" s="313"/>
      <c r="G121" s="314"/>
      <c r="H121" s="314"/>
      <c r="I121" s="314"/>
      <c r="J121" s="313"/>
      <c r="K121" s="313"/>
      <c r="L121" s="314"/>
      <c r="M121" s="313"/>
      <c r="N121" s="313"/>
      <c r="O121" s="314"/>
      <c r="P121" s="314"/>
      <c r="Q121" s="315"/>
      <c r="R121" s="315"/>
    </row>
    <row r="122" ht="21.75" customHeight="1" spans="1:18">
      <c r="A122" s="19"/>
      <c r="B122" s="49"/>
      <c r="C122" s="19"/>
      <c r="D122" s="20"/>
      <c r="E122" s="20"/>
      <c r="F122" s="19"/>
      <c r="G122" s="20"/>
      <c r="H122" s="20"/>
      <c r="I122" s="20"/>
      <c r="J122" s="19"/>
      <c r="K122" s="20"/>
      <c r="L122" s="19"/>
      <c r="M122" s="19"/>
      <c r="N122" s="20"/>
      <c r="O122" s="20"/>
      <c r="P122" s="20"/>
      <c r="Q122" s="41"/>
      <c r="R122" s="41"/>
    </row>
    <row r="123" ht="21.75" customHeight="1" spans="1:18">
      <c r="A123" s="324"/>
      <c r="B123" s="325"/>
      <c r="C123" s="324"/>
      <c r="D123" s="41"/>
      <c r="E123" s="41"/>
      <c r="F123" s="324"/>
      <c r="G123" s="41"/>
      <c r="H123" s="41"/>
      <c r="I123" s="41"/>
      <c r="J123" s="324"/>
      <c r="K123" s="41"/>
      <c r="L123" s="324"/>
      <c r="M123" s="324"/>
      <c r="N123" s="41"/>
      <c r="O123" s="41"/>
      <c r="P123" s="41"/>
      <c r="Q123" s="41"/>
      <c r="R123" s="41"/>
    </row>
  </sheetData>
  <conditionalFormatting sqref="R2:R4">
    <cfRule type="expression" dxfId="1" priority="1">
      <formula>$K2="Hư hỏng"</formula>
    </cfRule>
  </conditionalFormatting>
  <hyperlinks>
    <hyperlink ref="R4" r:id="rId1" display="Thư mục Hình ảnh"/>
  </hyperlinks>
  <pageMargins left="0.7" right="0.7" top="0.75" bottom="0.75" header="0" footer="0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0"/>
  <sheetViews>
    <sheetView showGridLines="0" workbookViewId="0">
      <pane ySplit="5" topLeftCell="A56" activePane="bottomLeft" state="frozen"/>
      <selection/>
      <selection pane="bottomLeft" activeCell="F56" sqref="F56"/>
    </sheetView>
  </sheetViews>
  <sheetFormatPr defaultColWidth="12.6333333333333" defaultRowHeight="15" customHeight="1"/>
  <cols>
    <col min="1" max="1" width="5.75" customWidth="1"/>
    <col min="2" max="2" width="13.1333333333333" customWidth="1"/>
    <col min="3" max="3" width="13.8833333333333" customWidth="1"/>
    <col min="4" max="4" width="15.3833333333333" customWidth="1"/>
    <col min="5" max="5" width="18.75" customWidth="1"/>
    <col min="6" max="6" width="19.3833333333333" customWidth="1"/>
    <col min="7" max="7" width="11.75" customWidth="1"/>
    <col min="8" max="8" width="10.6333333333333" customWidth="1"/>
    <col min="9" max="9" width="18.25" customWidth="1"/>
    <col min="10" max="10" width="11" customWidth="1"/>
    <col min="11" max="11" width="22.25" customWidth="1"/>
    <col min="12" max="12" width="26.8833333333333" customWidth="1"/>
    <col min="13" max="14" width="15.8833333333333" customWidth="1"/>
    <col min="15" max="15" width="18.25" customWidth="1"/>
    <col min="16" max="17" width="16.1333333333333" customWidth="1"/>
    <col min="18" max="18" width="18.3833333333333" customWidth="1"/>
  </cols>
  <sheetData>
    <row r="1" ht="24" customHeight="1" spans="1:18">
      <c r="A1" s="21"/>
      <c r="B1" s="21"/>
      <c r="C1" s="21"/>
      <c r="D1" s="21"/>
      <c r="E1" s="268"/>
      <c r="F1" s="21"/>
      <c r="G1" s="21"/>
      <c r="H1" s="21"/>
      <c r="I1" s="21"/>
      <c r="J1" s="21"/>
      <c r="K1" s="21"/>
      <c r="L1" s="21"/>
      <c r="M1" s="21"/>
      <c r="N1" s="21"/>
      <c r="O1" s="21"/>
      <c r="P1" s="269"/>
      <c r="Q1" s="269"/>
      <c r="R1" s="269"/>
    </row>
    <row r="2" ht="49.5" customHeight="1" spans="1:18">
      <c r="A2" s="270" t="s">
        <v>8225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2"/>
    </row>
    <row r="3" ht="37.5" customHeight="1" spans="1:18">
      <c r="A3" s="273" t="s">
        <v>2</v>
      </c>
      <c r="B3" s="273" t="s">
        <v>5953</v>
      </c>
      <c r="C3" s="273" t="s">
        <v>8226</v>
      </c>
      <c r="D3" s="273" t="s">
        <v>8227</v>
      </c>
      <c r="E3" s="273" t="s">
        <v>427</v>
      </c>
      <c r="F3" s="273" t="s">
        <v>6131</v>
      </c>
      <c r="G3" s="273" t="s">
        <v>8228</v>
      </c>
      <c r="H3" s="273" t="s">
        <v>8229</v>
      </c>
      <c r="I3" s="273" t="s">
        <v>3578</v>
      </c>
      <c r="J3" s="273" t="s">
        <v>5967</v>
      </c>
      <c r="K3" s="273" t="s">
        <v>438</v>
      </c>
      <c r="L3" s="273" t="s">
        <v>439</v>
      </c>
      <c r="M3" s="274" t="s">
        <v>8230</v>
      </c>
      <c r="N3" s="271"/>
      <c r="O3" s="271"/>
      <c r="P3" s="271"/>
      <c r="Q3" s="271"/>
      <c r="R3" s="272"/>
    </row>
    <row r="4" ht="37.5" customHeight="1" spans="1:18">
      <c r="A4" s="275"/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6" t="s">
        <v>8231</v>
      </c>
      <c r="N4" s="271"/>
      <c r="O4" s="272"/>
      <c r="P4" s="277" t="s">
        <v>8232</v>
      </c>
      <c r="Q4" s="271"/>
      <c r="R4" s="272"/>
    </row>
    <row r="5" ht="37.5" customHeight="1" spans="1:18">
      <c r="A5" s="278"/>
      <c r="B5" s="278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9" t="s">
        <v>8233</v>
      </c>
      <c r="N5" s="279" t="s">
        <v>8234</v>
      </c>
      <c r="O5" s="280" t="s">
        <v>8235</v>
      </c>
      <c r="P5" s="281" t="s">
        <v>8233</v>
      </c>
      <c r="Q5" s="281" t="s">
        <v>8234</v>
      </c>
      <c r="R5" s="280" t="s">
        <v>8235</v>
      </c>
    </row>
    <row r="6" ht="14.25" customHeight="1" spans="1:18">
      <c r="A6" s="1113" t="s">
        <v>8236</v>
      </c>
      <c r="B6" s="282"/>
      <c r="C6" s="282"/>
      <c r="D6" s="282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82"/>
    </row>
    <row r="7" ht="33.75" hidden="1" customHeight="1" spans="1:18">
      <c r="A7" s="1114" t="s">
        <v>8237</v>
      </c>
      <c r="B7" s="284" t="s">
        <v>1150</v>
      </c>
      <c r="C7" s="284" t="s">
        <v>8238</v>
      </c>
      <c r="D7" s="283" t="s">
        <v>3456</v>
      </c>
      <c r="E7" s="285" t="s">
        <v>3457</v>
      </c>
      <c r="F7" s="283" t="s">
        <v>1121</v>
      </c>
      <c r="G7" s="283" t="s">
        <v>1152</v>
      </c>
      <c r="H7" s="283">
        <v>2021</v>
      </c>
      <c r="I7" s="286" t="s">
        <v>1153</v>
      </c>
      <c r="J7" s="283" t="s">
        <v>44</v>
      </c>
      <c r="K7" s="286" t="s">
        <v>1154</v>
      </c>
      <c r="L7" s="286" t="s">
        <v>1155</v>
      </c>
      <c r="M7" s="287">
        <v>45370</v>
      </c>
      <c r="N7" s="287">
        <v>45735</v>
      </c>
      <c r="O7" s="288">
        <v>45731</v>
      </c>
      <c r="P7" s="289">
        <v>45463</v>
      </c>
      <c r="Q7" s="289">
        <v>45828</v>
      </c>
      <c r="R7" s="288">
        <v>45797</v>
      </c>
    </row>
    <row r="8" ht="33.75" hidden="1" customHeight="1" spans="1:18">
      <c r="A8" s="1114" t="s">
        <v>8239</v>
      </c>
      <c r="B8" s="284" t="s">
        <v>1273</v>
      </c>
      <c r="C8" s="284" t="s">
        <v>1274</v>
      </c>
      <c r="D8" s="283" t="s">
        <v>3458</v>
      </c>
      <c r="E8" s="285" t="s">
        <v>3457</v>
      </c>
      <c r="F8" s="283" t="s">
        <v>1250</v>
      </c>
      <c r="G8" s="283" t="s">
        <v>1152</v>
      </c>
      <c r="H8" s="283">
        <v>2021</v>
      </c>
      <c r="I8" s="286" t="s">
        <v>1153</v>
      </c>
      <c r="J8" s="283" t="s">
        <v>44</v>
      </c>
      <c r="K8" s="286" t="s">
        <v>1276</v>
      </c>
      <c r="L8" s="286" t="s">
        <v>1277</v>
      </c>
      <c r="M8" s="287">
        <v>45370</v>
      </c>
      <c r="N8" s="287">
        <v>45735</v>
      </c>
      <c r="O8" s="288">
        <v>45731</v>
      </c>
      <c r="P8" s="289">
        <v>45463</v>
      </c>
      <c r="Q8" s="289">
        <v>45828</v>
      </c>
      <c r="R8" s="288">
        <v>45797</v>
      </c>
    </row>
    <row r="9" ht="33.75" hidden="1" customHeight="1" spans="1:18">
      <c r="A9" s="1114" t="s">
        <v>8240</v>
      </c>
      <c r="B9" s="283" t="s">
        <v>1374</v>
      </c>
      <c r="C9" s="283" t="s">
        <v>1375</v>
      </c>
      <c r="D9" s="283" t="s">
        <v>3459</v>
      </c>
      <c r="E9" s="285" t="s">
        <v>3457</v>
      </c>
      <c r="F9" s="283" t="s">
        <v>1348</v>
      </c>
      <c r="G9" s="283" t="s">
        <v>1152</v>
      </c>
      <c r="H9" s="283">
        <v>2021</v>
      </c>
      <c r="I9" s="286" t="s">
        <v>1153</v>
      </c>
      <c r="J9" s="283" t="s">
        <v>44</v>
      </c>
      <c r="K9" s="286" t="s">
        <v>1376</v>
      </c>
      <c r="L9" s="286" t="s">
        <v>1377</v>
      </c>
      <c r="M9" s="287">
        <v>45370</v>
      </c>
      <c r="N9" s="287">
        <v>45735</v>
      </c>
      <c r="O9" s="288">
        <v>45731</v>
      </c>
      <c r="P9" s="289">
        <v>45463</v>
      </c>
      <c r="Q9" s="289">
        <v>45828</v>
      </c>
      <c r="R9" s="288">
        <v>45797</v>
      </c>
    </row>
    <row r="10" ht="33.75" hidden="1" customHeight="1" spans="1:18">
      <c r="A10" s="1114" t="s">
        <v>8241</v>
      </c>
      <c r="B10" s="283" t="s">
        <v>1645</v>
      </c>
      <c r="C10" s="283" t="s">
        <v>1646</v>
      </c>
      <c r="D10" s="283" t="s">
        <v>3460</v>
      </c>
      <c r="E10" s="285" t="s">
        <v>3457</v>
      </c>
      <c r="F10" s="283" t="s">
        <v>1593</v>
      </c>
      <c r="G10" s="283" t="s">
        <v>1152</v>
      </c>
      <c r="H10" s="283">
        <v>2021</v>
      </c>
      <c r="I10" s="286" t="s">
        <v>1153</v>
      </c>
      <c r="J10" s="283" t="s">
        <v>44</v>
      </c>
      <c r="K10" s="286" t="s">
        <v>1648</v>
      </c>
      <c r="L10" s="286" t="s">
        <v>1649</v>
      </c>
      <c r="M10" s="287">
        <v>45370</v>
      </c>
      <c r="N10" s="287">
        <v>45735</v>
      </c>
      <c r="O10" s="288">
        <v>45731</v>
      </c>
      <c r="P10" s="289">
        <v>45463</v>
      </c>
      <c r="Q10" s="289">
        <v>45828</v>
      </c>
      <c r="R10" s="288">
        <v>45797</v>
      </c>
    </row>
    <row r="11" ht="33.75" hidden="1" customHeight="1" spans="1:18">
      <c r="A11" s="1114" t="s">
        <v>8242</v>
      </c>
      <c r="B11" s="283" t="s">
        <v>8243</v>
      </c>
      <c r="C11" s="283" t="s">
        <v>2731</v>
      </c>
      <c r="D11" s="283" t="s">
        <v>2730</v>
      </c>
      <c r="E11" s="285" t="s">
        <v>3457</v>
      </c>
      <c r="F11" s="283" t="s">
        <v>3023</v>
      </c>
      <c r="G11" s="283" t="s">
        <v>1152</v>
      </c>
      <c r="H11" s="283">
        <v>2021</v>
      </c>
      <c r="I11" s="286" t="s">
        <v>1153</v>
      </c>
      <c r="J11" s="283" t="s">
        <v>44</v>
      </c>
      <c r="K11" s="286" t="s">
        <v>2733</v>
      </c>
      <c r="L11" s="286" t="s">
        <v>2734</v>
      </c>
      <c r="M11" s="287">
        <v>45370</v>
      </c>
      <c r="N11" s="287">
        <v>45735</v>
      </c>
      <c r="O11" s="288">
        <v>45731</v>
      </c>
      <c r="P11" s="289">
        <v>45463</v>
      </c>
      <c r="Q11" s="289">
        <v>45828</v>
      </c>
      <c r="R11" s="288">
        <v>45797</v>
      </c>
    </row>
    <row r="12" ht="33.75" hidden="1" customHeight="1" spans="1:18">
      <c r="A12" s="1114" t="s">
        <v>8244</v>
      </c>
      <c r="B12" s="283" t="s">
        <v>2410</v>
      </c>
      <c r="C12" s="283" t="s">
        <v>2411</v>
      </c>
      <c r="D12" s="283" t="s">
        <v>3461</v>
      </c>
      <c r="E12" s="285" t="s">
        <v>3457</v>
      </c>
      <c r="F12" s="283" t="s">
        <v>1103</v>
      </c>
      <c r="G12" s="283" t="s">
        <v>1152</v>
      </c>
      <c r="H12" s="283">
        <v>2021</v>
      </c>
      <c r="I12" s="286" t="s">
        <v>1153</v>
      </c>
      <c r="J12" s="283" t="s">
        <v>44</v>
      </c>
      <c r="K12" s="286" t="s">
        <v>2412</v>
      </c>
      <c r="L12" s="286" t="s">
        <v>2413</v>
      </c>
      <c r="M12" s="287">
        <v>45370</v>
      </c>
      <c r="N12" s="287">
        <v>45735</v>
      </c>
      <c r="O12" s="288">
        <v>45731</v>
      </c>
      <c r="P12" s="289">
        <v>45463</v>
      </c>
      <c r="Q12" s="289">
        <v>45828</v>
      </c>
      <c r="R12" s="288">
        <v>45797</v>
      </c>
    </row>
    <row r="13" ht="33.75" hidden="1" customHeight="1" spans="1:18">
      <c r="A13" s="1114" t="s">
        <v>8245</v>
      </c>
      <c r="B13" s="283" t="s">
        <v>2937</v>
      </c>
      <c r="C13" s="283" t="s">
        <v>2940</v>
      </c>
      <c r="D13" s="283"/>
      <c r="E13" s="285" t="s">
        <v>3457</v>
      </c>
      <c r="F13" s="283" t="s">
        <v>38</v>
      </c>
      <c r="G13" s="283" t="s">
        <v>1152</v>
      </c>
      <c r="H13" s="283">
        <v>2021</v>
      </c>
      <c r="I13" s="286" t="s">
        <v>1153</v>
      </c>
      <c r="J13" s="283" t="s">
        <v>44</v>
      </c>
      <c r="K13" s="286" t="s">
        <v>2943</v>
      </c>
      <c r="L13" s="286" t="s">
        <v>2944</v>
      </c>
      <c r="M13" s="287">
        <v>45370</v>
      </c>
      <c r="N13" s="287">
        <v>45735</v>
      </c>
      <c r="O13" s="288">
        <v>45731</v>
      </c>
      <c r="P13" s="289">
        <v>45463</v>
      </c>
      <c r="Q13" s="289">
        <v>45828</v>
      </c>
      <c r="R13" s="288">
        <v>45797</v>
      </c>
    </row>
    <row r="14" ht="33.75" hidden="1" customHeight="1" spans="1:18">
      <c r="A14" s="1114" t="s">
        <v>8246</v>
      </c>
      <c r="B14" s="283" t="s">
        <v>2826</v>
      </c>
      <c r="C14" s="283" t="s">
        <v>2828</v>
      </c>
      <c r="D14" s="283" t="s">
        <v>2827</v>
      </c>
      <c r="E14" s="285" t="s">
        <v>8247</v>
      </c>
      <c r="F14" s="283" t="s">
        <v>35</v>
      </c>
      <c r="G14" s="283" t="s">
        <v>1152</v>
      </c>
      <c r="H14" s="283">
        <v>2024</v>
      </c>
      <c r="I14" s="286" t="s">
        <v>2829</v>
      </c>
      <c r="J14" s="283" t="s">
        <v>44</v>
      </c>
      <c r="K14" s="286" t="s">
        <v>2830</v>
      </c>
      <c r="L14" s="286" t="s">
        <v>2831</v>
      </c>
      <c r="M14" s="287">
        <v>45560</v>
      </c>
      <c r="N14" s="287">
        <v>45560</v>
      </c>
      <c r="O14" s="287">
        <v>46285</v>
      </c>
      <c r="P14" s="290" t="s">
        <v>8248</v>
      </c>
      <c r="Q14" s="290"/>
      <c r="R14" s="291"/>
    </row>
    <row r="15" ht="33.75" hidden="1" customHeight="1" spans="1:18">
      <c r="A15" s="1114" t="s">
        <v>8249</v>
      </c>
      <c r="B15" s="283" t="s">
        <v>2832</v>
      </c>
      <c r="C15" s="283" t="s">
        <v>2834</v>
      </c>
      <c r="D15" s="283" t="s">
        <v>2833</v>
      </c>
      <c r="E15" s="285" t="s">
        <v>8247</v>
      </c>
      <c r="F15" s="283" t="s">
        <v>35</v>
      </c>
      <c r="G15" s="283" t="s">
        <v>1152</v>
      </c>
      <c r="H15" s="283">
        <v>2024</v>
      </c>
      <c r="I15" s="286" t="s">
        <v>2829</v>
      </c>
      <c r="J15" s="283" t="s">
        <v>44</v>
      </c>
      <c r="K15" s="286" t="s">
        <v>2835</v>
      </c>
      <c r="L15" s="286" t="s">
        <v>2836</v>
      </c>
      <c r="M15" s="287">
        <v>45560</v>
      </c>
      <c r="N15" s="287">
        <v>45560</v>
      </c>
      <c r="O15" s="287">
        <v>46285</v>
      </c>
      <c r="P15" s="290" t="s">
        <v>8248</v>
      </c>
      <c r="Q15" s="290"/>
      <c r="R15" s="291"/>
    </row>
    <row r="16" ht="33.75" hidden="1" customHeight="1" spans="1:18">
      <c r="A16" s="1114" t="s">
        <v>8250</v>
      </c>
      <c r="B16" s="283" t="s">
        <v>2837</v>
      </c>
      <c r="C16" s="283" t="s">
        <v>2839</v>
      </c>
      <c r="D16" s="283" t="s">
        <v>2838</v>
      </c>
      <c r="E16" s="285" t="s">
        <v>8247</v>
      </c>
      <c r="F16" s="283" t="s">
        <v>35</v>
      </c>
      <c r="G16" s="283" t="s">
        <v>1152</v>
      </c>
      <c r="H16" s="283">
        <v>2024</v>
      </c>
      <c r="I16" s="286" t="s">
        <v>2829</v>
      </c>
      <c r="J16" s="283" t="s">
        <v>44</v>
      </c>
      <c r="K16" s="286" t="s">
        <v>2840</v>
      </c>
      <c r="L16" s="286" t="s">
        <v>2841</v>
      </c>
      <c r="M16" s="287">
        <v>45560</v>
      </c>
      <c r="N16" s="287">
        <v>45560</v>
      </c>
      <c r="O16" s="287">
        <v>46285</v>
      </c>
      <c r="P16" s="290" t="s">
        <v>8248</v>
      </c>
      <c r="Q16" s="290"/>
      <c r="R16" s="291"/>
    </row>
    <row r="17" ht="14.25" customHeight="1" spans="1:18">
      <c r="A17" s="1115" t="s">
        <v>8251</v>
      </c>
      <c r="B17" s="271"/>
      <c r="C17" s="271"/>
      <c r="D17" s="271"/>
      <c r="E17" s="271"/>
      <c r="F17" s="271"/>
      <c r="G17" s="271"/>
      <c r="H17" s="271"/>
      <c r="I17" s="271"/>
      <c r="J17" s="271"/>
      <c r="K17" s="271"/>
      <c r="L17" s="271"/>
      <c r="M17" s="271"/>
      <c r="N17" s="271"/>
      <c r="O17" s="271"/>
      <c r="P17" s="271"/>
      <c r="Q17" s="271"/>
      <c r="R17" s="272"/>
    </row>
    <row r="18" ht="33" hidden="1" customHeight="1" spans="1:18">
      <c r="A18" s="283">
        <v>1</v>
      </c>
      <c r="B18" s="283" t="s">
        <v>2553</v>
      </c>
      <c r="C18" s="285" t="str">
        <f>VLOOKUP(B18,'02. MM-KLH'!$B:$T,4,0)</f>
        <v>5A-0004</v>
      </c>
      <c r="D18" s="285" t="str">
        <f>VLOOKUP(B18,'02. MM-KLH'!$B:$T,3,0)</f>
        <v>ATT-A22-0311</v>
      </c>
      <c r="E18" s="285" t="str">
        <f>VLOOKUP(B18,'02. MM-KLH'!$B:$T,6,0)</f>
        <v>Xe tải bồn CNHTC Sinotruk</v>
      </c>
      <c r="F18" s="285" t="str">
        <f>VLOOKUP(B18,'02. MM-KLH'!$B:$T,8,0)</f>
        <v>Trạm trộn bê tông</v>
      </c>
      <c r="G18" s="285" t="str">
        <f>VLOOKUP(B18,'02. MM-KLH'!$B:$T,13,0)</f>
        <v>CNHTC Sinotruk</v>
      </c>
      <c r="H18" s="283">
        <f>VLOOKUP(B18,'02. MM-KLH'!$B:$T,15,0)</f>
        <v>2023</v>
      </c>
      <c r="I18" s="286" t="str">
        <f>VLOOKUP(B18,'02. MM-KLH'!$B:$T,16,0)</f>
        <v>ZZ5257GJBN3847E1</v>
      </c>
      <c r="J18" s="283" t="str">
        <f>VLOOKUP(B18,'02. MM-KLH'!$B:$T,17,0)</f>
        <v>338.5HP</v>
      </c>
      <c r="K18" s="286" t="str">
        <f>VLOOKUP(B18,'02. MM-KLH'!$B:$T,18,0)</f>
        <v>LZZ1BLND6PA126475</v>
      </c>
      <c r="L18" s="286" t="str">
        <f>VLOOKUP(B18,'02. MM-KLH'!$B:$T,19,0)</f>
        <v>D103450230507007387</v>
      </c>
      <c r="M18" s="6" t="s">
        <v>2587</v>
      </c>
      <c r="N18" s="6" t="s">
        <v>8252</v>
      </c>
      <c r="O18" s="291" t="s">
        <v>5827</v>
      </c>
      <c r="P18" s="290" t="s">
        <v>8253</v>
      </c>
      <c r="Q18" s="290" t="s">
        <v>8254</v>
      </c>
      <c r="R18" s="291" t="s">
        <v>8255</v>
      </c>
    </row>
    <row r="19" ht="33" hidden="1" customHeight="1" spans="1:18">
      <c r="A19" s="283">
        <f t="shared" ref="A19:A23" si="0">A18+1</f>
        <v>2</v>
      </c>
      <c r="B19" s="283" t="s">
        <v>2561</v>
      </c>
      <c r="C19" s="285" t="str">
        <f>VLOOKUP(B19,'02. MM-KLH'!$B:$T,4,0)</f>
        <v>5A-0006</v>
      </c>
      <c r="D19" s="285" t="str">
        <f>VLOOKUP(B19,'02. MM-KLH'!$B:$T,3,0)</f>
        <v>ATT-A22-0306</v>
      </c>
      <c r="E19" s="285" t="str">
        <f>VLOOKUP(B19,'02. MM-KLH'!$B:$T,6,0)</f>
        <v>Xe tải bồn CNHTC Sinotruk</v>
      </c>
      <c r="F19" s="285" t="str">
        <f>VLOOKUP(B19,'02. MM-KLH'!$B:$T,8,0)</f>
        <v>Trạm trộn bê tông</v>
      </c>
      <c r="G19" s="285" t="str">
        <f>VLOOKUP(B19,'02. MM-KLH'!$B:$T,13,0)</f>
        <v>CNHTC Sinotruk</v>
      </c>
      <c r="H19" s="283">
        <f>VLOOKUP(B19,'02. MM-KLH'!$B:$T,15,0)</f>
        <v>2023</v>
      </c>
      <c r="I19" s="286" t="str">
        <f>VLOOKUP(B19,'02. MM-KLH'!$B:$T,16,0)</f>
        <v>ZZ5257GJBN3847E1</v>
      </c>
      <c r="J19" s="283" t="str">
        <f>VLOOKUP(B19,'02. MM-KLH'!$B:$T,17,0)</f>
        <v>338.5HP</v>
      </c>
      <c r="K19" s="286" t="str">
        <f>VLOOKUP(B19,'02. MM-KLH'!$B:$T,18,0)</f>
        <v>LZZ1BLND8PA126476</v>
      </c>
      <c r="L19" s="286" t="str">
        <f>VLOOKUP(B19,'02. MM-KLH'!$B:$T,19,0)</f>
        <v>D103450230507007397</v>
      </c>
      <c r="M19" s="6" t="s">
        <v>2587</v>
      </c>
      <c r="N19" s="6" t="s">
        <v>8252</v>
      </c>
      <c r="O19" s="291" t="s">
        <v>5827</v>
      </c>
      <c r="P19" s="290" t="s">
        <v>8253</v>
      </c>
      <c r="Q19" s="290" t="s">
        <v>8254</v>
      </c>
      <c r="R19" s="291" t="s">
        <v>8255</v>
      </c>
    </row>
    <row r="20" ht="33" hidden="1" customHeight="1" spans="1:18">
      <c r="A20" s="283">
        <f t="shared" si="0"/>
        <v>3</v>
      </c>
      <c r="B20" s="283" t="s">
        <v>2565</v>
      </c>
      <c r="C20" s="285" t="str">
        <f>VLOOKUP(B20,'02. MM-KLH'!$B:$T,4,0)</f>
        <v>5A-0002</v>
      </c>
      <c r="D20" s="285" t="str">
        <f>VLOOKUP(B20,'02. MM-KLH'!$B:$T,3,0)</f>
        <v>ATT-A22-0307</v>
      </c>
      <c r="E20" s="285" t="str">
        <f>VLOOKUP(B20,'02. MM-KLH'!$B:$T,6,0)</f>
        <v>Xe tải bồn CNHTC Sinotruk</v>
      </c>
      <c r="F20" s="285" t="str">
        <f>VLOOKUP(B20,'02. MM-KLH'!$B:$T,8,0)</f>
        <v>Trạm trộn bê tông</v>
      </c>
      <c r="G20" s="285" t="str">
        <f>VLOOKUP(B20,'02. MM-KLH'!$B:$T,13,0)</f>
        <v>CNHTC Sinotruk</v>
      </c>
      <c r="H20" s="283">
        <f>VLOOKUP(B20,'02. MM-KLH'!$B:$T,15,0)</f>
        <v>2023</v>
      </c>
      <c r="I20" s="286" t="str">
        <f>VLOOKUP(B20,'02. MM-KLH'!$B:$T,16,0)</f>
        <v>ZZ5257GJBN3847E1</v>
      </c>
      <c r="J20" s="283" t="str">
        <f>VLOOKUP(B20,'02. MM-KLH'!$B:$T,17,0)</f>
        <v>338.5HP</v>
      </c>
      <c r="K20" s="286" t="str">
        <f>VLOOKUP(B20,'02. MM-KLH'!$B:$T,18,0)</f>
        <v>LZZ1BLNDXPA126477</v>
      </c>
      <c r="L20" s="286" t="str">
        <f>VLOOKUP(B20,'02. MM-KLH'!$B:$T,19,0)</f>
        <v>D103450230507007367</v>
      </c>
      <c r="M20" s="6" t="s">
        <v>2587</v>
      </c>
      <c r="N20" s="6" t="s">
        <v>8252</v>
      </c>
      <c r="O20" s="291" t="s">
        <v>5827</v>
      </c>
      <c r="P20" s="290" t="s">
        <v>8253</v>
      </c>
      <c r="Q20" s="290" t="s">
        <v>8254</v>
      </c>
      <c r="R20" s="291" t="s">
        <v>8255</v>
      </c>
    </row>
    <row r="21" ht="33" hidden="1" customHeight="1" spans="1:18">
      <c r="A21" s="283">
        <f t="shared" si="0"/>
        <v>4</v>
      </c>
      <c r="B21" s="283" t="s">
        <v>2569</v>
      </c>
      <c r="C21" s="285" t="str">
        <f>VLOOKUP(B21,'02. MM-KLH'!$B:$T,4,0)</f>
        <v>5A-0005</v>
      </c>
      <c r="D21" s="285" t="str">
        <f>VLOOKUP(B21,'02. MM-KLH'!$B:$T,3,0)</f>
        <v>ATT-A22-0308</v>
      </c>
      <c r="E21" s="285" t="str">
        <f>VLOOKUP(B21,'02. MM-KLH'!$B:$T,6,0)</f>
        <v>Xe tải bồn CNHTC Sinotruk</v>
      </c>
      <c r="F21" s="285" t="str">
        <f>VLOOKUP(B21,'02. MM-KLH'!$B:$T,8,0)</f>
        <v>Trạm trộn bê tông</v>
      </c>
      <c r="G21" s="285" t="str">
        <f>VLOOKUP(B21,'02. MM-KLH'!$B:$T,13,0)</f>
        <v>CNHTC Sinotruk</v>
      </c>
      <c r="H21" s="283">
        <f>VLOOKUP(B21,'02. MM-KLH'!$B:$T,15,0)</f>
        <v>2023</v>
      </c>
      <c r="I21" s="286" t="str">
        <f>VLOOKUP(B21,'02. MM-KLH'!$B:$T,16,0)</f>
        <v>ZZ5257GJBN3847E1</v>
      </c>
      <c r="J21" s="283" t="str">
        <f>VLOOKUP(B21,'02. MM-KLH'!$B:$T,17,0)</f>
        <v>338.5HP</v>
      </c>
      <c r="K21" s="286" t="str">
        <f>VLOOKUP(B21,'02. MM-KLH'!$B:$T,18,0)</f>
        <v>LZZ1BLND1PA126478</v>
      </c>
      <c r="L21" s="286" t="str">
        <f>VLOOKUP(B21,'02. MM-KLH'!$B:$T,19,0)</f>
        <v>D103450230507007327</v>
      </c>
      <c r="M21" s="6" t="s">
        <v>2587</v>
      </c>
      <c r="N21" s="6" t="s">
        <v>8252</v>
      </c>
      <c r="O21" s="291" t="s">
        <v>5827</v>
      </c>
      <c r="P21" s="290" t="s">
        <v>8253</v>
      </c>
      <c r="Q21" s="290" t="s">
        <v>8254</v>
      </c>
      <c r="R21" s="291" t="s">
        <v>8255</v>
      </c>
    </row>
    <row r="22" ht="33" hidden="1" customHeight="1" spans="1:18">
      <c r="A22" s="283">
        <f t="shared" si="0"/>
        <v>5</v>
      </c>
      <c r="B22" s="283" t="s">
        <v>2573</v>
      </c>
      <c r="C22" s="285" t="str">
        <f>VLOOKUP(B22,'02. MM-KLH'!$B:$T,4,0)</f>
        <v>5A-0003</v>
      </c>
      <c r="D22" s="285" t="str">
        <f>VLOOKUP(B22,'02. MM-KLH'!$B:$T,3,0)</f>
        <v>ATT-A22-0309</v>
      </c>
      <c r="E22" s="285" t="str">
        <f>VLOOKUP(B22,'02. MM-KLH'!$B:$T,6,0)</f>
        <v>Xe tải bồn CNHTC Sinotruk</v>
      </c>
      <c r="F22" s="285" t="str">
        <f>VLOOKUP(B22,'02. MM-KLH'!$B:$T,8,0)</f>
        <v>Trạm trộn bê tông</v>
      </c>
      <c r="G22" s="285" t="str">
        <f>VLOOKUP(B22,'02. MM-KLH'!$B:$T,13,0)</f>
        <v>CNHTC Sinotruk</v>
      </c>
      <c r="H22" s="283">
        <f>VLOOKUP(B22,'02. MM-KLH'!$B:$T,15,0)</f>
        <v>2023</v>
      </c>
      <c r="I22" s="286" t="str">
        <f>VLOOKUP(B22,'02. MM-KLH'!$B:$T,16,0)</f>
        <v>ZZ5257GJBN3847E1</v>
      </c>
      <c r="J22" s="283" t="str">
        <f>VLOOKUP(B22,'02. MM-KLH'!$B:$T,17,0)</f>
        <v>338.5HP</v>
      </c>
      <c r="K22" s="286" t="str">
        <f>VLOOKUP(B22,'02. MM-KLH'!$B:$T,18,0)</f>
        <v>LZZ1BLND3PA126479</v>
      </c>
      <c r="L22" s="286" t="str">
        <f>VLOOKUP(B22,'02. MM-KLH'!$B:$T,19,0)</f>
        <v>D103450230507007377</v>
      </c>
      <c r="M22" s="6" t="s">
        <v>2587</v>
      </c>
      <c r="N22" s="6" t="s">
        <v>8252</v>
      </c>
      <c r="O22" s="291" t="s">
        <v>5827</v>
      </c>
      <c r="P22" s="290" t="s">
        <v>8253</v>
      </c>
      <c r="Q22" s="290" t="s">
        <v>8254</v>
      </c>
      <c r="R22" s="291" t="s">
        <v>8255</v>
      </c>
    </row>
    <row r="23" ht="33" hidden="1" customHeight="1" spans="1:18">
      <c r="A23" s="283">
        <f t="shared" si="0"/>
        <v>6</v>
      </c>
      <c r="B23" s="283" t="s">
        <v>2577</v>
      </c>
      <c r="C23" s="285" t="str">
        <f>VLOOKUP(B23,'02. MM-KLH'!$B:$T,4,0)</f>
        <v>5A-0001</v>
      </c>
      <c r="D23" s="285" t="str">
        <f>VLOOKUP(B23,'02. MM-KLH'!$B:$T,3,0)</f>
        <v>ATT-A22-0310</v>
      </c>
      <c r="E23" s="285" t="str">
        <f>VLOOKUP(B23,'02. MM-KLH'!$B:$T,6,0)</f>
        <v>Xe tải bồn CNHTC Sinotruk</v>
      </c>
      <c r="F23" s="285" t="str">
        <f>VLOOKUP(B23,'02. MM-KLH'!$B:$T,8,0)</f>
        <v>Trạm trộn bê tông</v>
      </c>
      <c r="G23" s="285" t="str">
        <f>VLOOKUP(B23,'02. MM-KLH'!$B:$T,13,0)</f>
        <v>CNHTC Sinotruk</v>
      </c>
      <c r="H23" s="283">
        <f>VLOOKUP(B23,'02. MM-KLH'!$B:$T,15,0)</f>
        <v>2023</v>
      </c>
      <c r="I23" s="286" t="str">
        <f>VLOOKUP(B23,'02. MM-KLH'!$B:$T,16,0)</f>
        <v>ZZ5257GJBN3847E1</v>
      </c>
      <c r="J23" s="283" t="str">
        <f>VLOOKUP(B23,'02. MM-KLH'!$B:$T,17,0)</f>
        <v>338.5HP</v>
      </c>
      <c r="K23" s="286" t="str">
        <f>VLOOKUP(B23,'02. MM-KLH'!$B:$T,18,0)</f>
        <v>LZZ1BLND3PA126482</v>
      </c>
      <c r="L23" s="286" t="str">
        <f>VLOOKUP(B23,'02. MM-KLH'!$B:$T,19,0)</f>
        <v>D103450230507007347</v>
      </c>
      <c r="M23" s="6" t="s">
        <v>2587</v>
      </c>
      <c r="N23" s="6" t="s">
        <v>8252</v>
      </c>
      <c r="O23" s="291" t="s">
        <v>5827</v>
      </c>
      <c r="P23" s="290" t="s">
        <v>8253</v>
      </c>
      <c r="Q23" s="290" t="s">
        <v>8254</v>
      </c>
      <c r="R23" s="291" t="s">
        <v>8255</v>
      </c>
    </row>
    <row r="24" ht="18" customHeight="1" spans="1:18">
      <c r="A24" s="1116" t="s">
        <v>8256</v>
      </c>
      <c r="B24" s="271"/>
      <c r="C24" s="271"/>
      <c r="D24" s="271"/>
      <c r="E24" s="271"/>
      <c r="F24" s="271"/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2"/>
    </row>
    <row r="25" ht="33" customHeight="1" spans="1:18">
      <c r="A25" s="283">
        <v>1</v>
      </c>
      <c r="B25" s="285" t="s">
        <v>2465</v>
      </c>
      <c r="C25" s="285" t="str">
        <f>VLOOKUP(B25,'02. MM-KLH'!$B:$T,4,0)</f>
        <v>3A-0813</v>
      </c>
      <c r="D25" s="285" t="str">
        <f>VLOOKUP(B25,'02. MM-KLH'!$B:$T,3,0)</f>
        <v>ATT-A23-0023</v>
      </c>
      <c r="E25" s="285" t="str">
        <f>VLOOKUP(B25,'02. MM-KLH'!$B:$T,6,0)</f>
        <v>Xe tải thùng Auman C160</v>
      </c>
      <c r="F25" s="285" t="str">
        <f>VLOOKUP(B25,'02. MM-KLH'!$B:$T,8,0)</f>
        <v>Phòng GNVC</v>
      </c>
      <c r="G25" s="285" t="str">
        <f>VLOOKUP(B25,'02. MM-KLH'!$B:$T,13,0)</f>
        <v>THACO AUMAN</v>
      </c>
      <c r="H25" s="283">
        <f>VLOOKUP(B25,'02. MM-KLH'!$B:$T,15,0)</f>
        <v>2012</v>
      </c>
      <c r="I25" s="286" t="str">
        <f>VLOOKUP(B25,'02. MM-KLH'!$B:$T,16,0)</f>
        <v>C160</v>
      </c>
      <c r="J25" s="283" t="str">
        <f>VLOOKUP(B25,'02. MM-KLH'!$B:$T,17,0)</f>
        <v>96HP</v>
      </c>
      <c r="K25" s="286">
        <f>VLOOKUP(B25,'02. MM-KLH'!$B:$T,18,0)</f>
        <v>6005</v>
      </c>
      <c r="L25" s="286">
        <f>VLOOKUP(B25,'02. MM-KLH'!$B:$T,19,0)</f>
        <v>495027</v>
      </c>
      <c r="M25" s="287">
        <v>45973</v>
      </c>
      <c r="N25" s="287">
        <v>46338</v>
      </c>
      <c r="O25" s="288">
        <v>46337</v>
      </c>
      <c r="P25" s="1117" t="s">
        <v>8257</v>
      </c>
      <c r="Q25" s="1117" t="s">
        <v>8258</v>
      </c>
      <c r="R25" s="1118" t="s">
        <v>8259</v>
      </c>
    </row>
    <row r="26" ht="33" customHeight="1" spans="1:18">
      <c r="A26" s="283">
        <f t="shared" ref="A26:A116" si="1">A25+1</f>
        <v>2</v>
      </c>
      <c r="B26" s="285" t="s">
        <v>1669</v>
      </c>
      <c r="C26" s="285" t="str">
        <f>VLOOKUP(B26,'02. MM-KLH'!$B:$T,4,0)</f>
        <v>3A-6824</v>
      </c>
      <c r="D26" s="285" t="str">
        <f>VLOOKUP(B26,'02. MM-KLH'!$B:$T,3,0)</f>
        <v>A24-XTA-018</v>
      </c>
      <c r="E26" s="285" t="str">
        <f>VLOOKUP(B26,'02. MM-KLH'!$B:$T,6,0)</f>
        <v>Xe ben Forland FD990-4WDXTH4-5T</v>
      </c>
      <c r="F26" s="285" t="str">
        <f>VLOOKUP(B26,'02. MM-KLH'!$B:$T,8,0)</f>
        <v>XN Chuối LP3</v>
      </c>
      <c r="G26" s="285" t="str">
        <f>VLOOKUP(B26,'02. MM-KLH'!$B:$T,13,0)</f>
        <v>THACO FORLAND</v>
      </c>
      <c r="H26" s="283">
        <f>VLOOKUP(B26,'02. MM-KLH'!$B:$T,15,0)</f>
        <v>2024</v>
      </c>
      <c r="I26" s="286" t="str">
        <f>VLOOKUP(B26,'02. MM-KLH'!$B:$T,16,0)</f>
        <v> FD990-4WD</v>
      </c>
      <c r="J26" s="283" t="str">
        <f>VLOOKUP(B26,'02. MM-KLH'!$B:$T,17,0)</f>
        <v>94HP</v>
      </c>
      <c r="K26" s="286" t="str">
        <f>VLOOKUP(B26,'02. MM-KLH'!$B:$T,18,0)</f>
        <v>RNHF99FACRT092726</v>
      </c>
      <c r="L26" s="286" t="str">
        <f>VLOOKUP(B26,'02. MM-KLH'!$B:$T,19,0)</f>
        <v>B0577285</v>
      </c>
      <c r="M26" s="6" t="s">
        <v>8260</v>
      </c>
      <c r="N26" s="6" t="s">
        <v>8261</v>
      </c>
      <c r="O26" s="291" t="s">
        <v>8262</v>
      </c>
      <c r="P26" s="294" t="s">
        <v>290</v>
      </c>
      <c r="Q26" s="294" t="s">
        <v>290</v>
      </c>
      <c r="R26" s="291" t="s">
        <v>290</v>
      </c>
    </row>
    <row r="27" ht="33" customHeight="1" spans="1:18">
      <c r="A27" s="283">
        <f t="shared" si="1"/>
        <v>3</v>
      </c>
      <c r="B27" s="285" t="s">
        <v>617</v>
      </c>
      <c r="C27" s="285" t="str">
        <f>VLOOKUP(B27,'02. MM-KLH'!$B:$T,4,0)</f>
        <v>3A-6816</v>
      </c>
      <c r="D27" s="285" t="str">
        <f>VLOOKUP(B27,'02. MM-KLH'!$B:$T,3,0)</f>
        <v>A23-XTA-030</v>
      </c>
      <c r="E27" s="285" t="str">
        <f>VLOOKUP(B27,'02. MM-KLH'!$B:$T,6,0)</f>
        <v>Xe ben FD150</v>
      </c>
      <c r="F27" s="285" t="str">
        <f>VLOOKUP(B27,'02. MM-KLH'!$B:$T,8,0)</f>
        <v>CGTC DP</v>
      </c>
      <c r="G27" s="285" t="str">
        <f>VLOOKUP(B27,'02. MM-KLH'!$B:$T,13,0)</f>
        <v>THACO FORLAND</v>
      </c>
      <c r="H27" s="283">
        <f>VLOOKUP(B27,'02. MM-KLH'!$B:$T,15,0)</f>
        <v>2024</v>
      </c>
      <c r="I27" s="286" t="str">
        <f>VLOOKUP(B27,'02. MM-KLH'!$B:$T,16,0)</f>
        <v>FD150-4WD </v>
      </c>
      <c r="J27" s="283" t="str">
        <f>VLOOKUP(B27,'02. MM-KLH'!$B:$T,17,0)</f>
        <v>150HP</v>
      </c>
      <c r="K27" s="286" t="str">
        <f>VLOOKUP(B27,'02. MM-KLH'!$B:$T,18,0)</f>
        <v>RNHF16FYART000834</v>
      </c>
      <c r="L27" s="286" t="str">
        <f>VLOOKUP(B27,'02. MM-KLH'!$B:$T,19,0)</f>
        <v>D59M1N01254</v>
      </c>
      <c r="M27" s="6" t="s">
        <v>8260</v>
      </c>
      <c r="N27" s="6" t="s">
        <v>8261</v>
      </c>
      <c r="O27" s="291" t="s">
        <v>8262</v>
      </c>
      <c r="P27" s="294" t="s">
        <v>290</v>
      </c>
      <c r="Q27" s="294" t="s">
        <v>290</v>
      </c>
      <c r="R27" s="291" t="s">
        <v>290</v>
      </c>
    </row>
    <row r="28" ht="33" customHeight="1" spans="1:18">
      <c r="A28" s="283">
        <f t="shared" si="1"/>
        <v>4</v>
      </c>
      <c r="B28" s="285" t="s">
        <v>625</v>
      </c>
      <c r="C28" s="285" t="str">
        <f>VLOOKUP(B28,'02. MM-KLH'!$B:$T,4,0)</f>
        <v>3A-6817</v>
      </c>
      <c r="D28" s="285" t="str">
        <f>VLOOKUP(B28,'02. MM-KLH'!$B:$T,3,0)</f>
        <v>A23-XTA-031</v>
      </c>
      <c r="E28" s="285" t="str">
        <f>VLOOKUP(B28,'02. MM-KLH'!$B:$T,6,0)</f>
        <v>Xe ben FD150</v>
      </c>
      <c r="F28" s="285" t="str">
        <f>VLOOKUP(B28,'02. MM-KLH'!$B:$T,8,0)</f>
        <v>CGTC DP</v>
      </c>
      <c r="G28" s="285" t="str">
        <f>VLOOKUP(B28,'02. MM-KLH'!$B:$T,13,0)</f>
        <v>THACO FORLAND</v>
      </c>
      <c r="H28" s="283">
        <f>VLOOKUP(B28,'02. MM-KLH'!$B:$T,15,0)</f>
        <v>2024</v>
      </c>
      <c r="I28" s="286" t="str">
        <f>VLOOKUP(B28,'02. MM-KLH'!$B:$T,16,0)</f>
        <v>FD150-4WD</v>
      </c>
      <c r="J28" s="283" t="str">
        <f>VLOOKUP(B28,'02. MM-KLH'!$B:$T,17,0)</f>
        <v>150HP</v>
      </c>
      <c r="K28" s="286" t="str">
        <f>VLOOKUP(B28,'02. MM-KLH'!$B:$T,18,0)</f>
        <v>RNHF16FYART000835</v>
      </c>
      <c r="L28" s="286" t="str">
        <f>VLOOKUP(B28,'02. MM-KLH'!$B:$T,19,0)</f>
        <v>D59M1N01360</v>
      </c>
      <c r="M28" s="6" t="s">
        <v>8260</v>
      </c>
      <c r="N28" s="6" t="s">
        <v>8261</v>
      </c>
      <c r="O28" s="291" t="s">
        <v>8262</v>
      </c>
      <c r="P28" s="294" t="s">
        <v>290</v>
      </c>
      <c r="Q28" s="294" t="s">
        <v>290</v>
      </c>
      <c r="R28" s="291" t="s">
        <v>290</v>
      </c>
    </row>
    <row r="29" ht="33" customHeight="1" spans="1:18">
      <c r="A29" s="283">
        <f t="shared" si="1"/>
        <v>5</v>
      </c>
      <c r="B29" s="285" t="s">
        <v>650</v>
      </c>
      <c r="C29" s="285" t="str">
        <f>VLOOKUP(B29,'02. MM-KLH'!$B:$T,4,0)</f>
        <v>3A-6828</v>
      </c>
      <c r="D29" s="285" t="str">
        <f>VLOOKUP(B29,'02. MM-KLH'!$B:$T,3,0)</f>
        <v>A23-XTA-041</v>
      </c>
      <c r="E29" s="285" t="str">
        <f>VLOOKUP(B29,'02. MM-KLH'!$B:$T,6,0)</f>
        <v>Xe ben FD120</v>
      </c>
      <c r="F29" s="285" t="str">
        <f>VLOOKUP(B29,'02. MM-KLH'!$B:$T,8,0)</f>
        <v>CGTC DP</v>
      </c>
      <c r="G29" s="285" t="str">
        <f>VLOOKUP(B29,'02. MM-KLH'!$B:$T,13,0)</f>
        <v>THACO FORLAND</v>
      </c>
      <c r="H29" s="283">
        <f>VLOOKUP(B29,'02. MM-KLH'!$B:$T,15,0)</f>
        <v>2024</v>
      </c>
      <c r="I29" s="286" t="str">
        <f>VLOOKUP(B29,'02. MM-KLH'!$B:$T,16,0)</f>
        <v>FD120-4WD</v>
      </c>
      <c r="J29" s="283" t="str">
        <f>VLOOKUP(B29,'02. MM-KLH'!$B:$T,17,0)</f>
        <v>129HP</v>
      </c>
      <c r="K29" s="286" t="str">
        <f>VLOOKUP(B29,'02. MM-KLH'!$B:$T,18,0)</f>
        <v>RNHF12FNBRT002062</v>
      </c>
      <c r="L29" s="286" t="str">
        <f>VLOOKUP(B29,'02. MM-KLH'!$B:$T,19,0)</f>
        <v>YN38CRD1*AGN22000242*</v>
      </c>
      <c r="M29" s="6" t="s">
        <v>8260</v>
      </c>
      <c r="N29" s="6" t="s">
        <v>8261</v>
      </c>
      <c r="O29" s="291" t="s">
        <v>8262</v>
      </c>
      <c r="P29" s="294" t="s">
        <v>290</v>
      </c>
      <c r="Q29" s="294" t="s">
        <v>290</v>
      </c>
      <c r="R29" s="291" t="s">
        <v>290</v>
      </c>
    </row>
    <row r="30" ht="33" customHeight="1" spans="1:18">
      <c r="A30" s="283">
        <f t="shared" si="1"/>
        <v>6</v>
      </c>
      <c r="B30" s="285" t="s">
        <v>658</v>
      </c>
      <c r="C30" s="285" t="str">
        <f>VLOOKUP(B30,'02. MM-KLH'!$B:$T,4,0)</f>
        <v>3A-6827</v>
      </c>
      <c r="D30" s="285" t="str">
        <f>VLOOKUP(B30,'02. MM-KLH'!$B:$T,3,0)</f>
        <v>A23-XTA-042</v>
      </c>
      <c r="E30" s="285" t="str">
        <f>VLOOKUP(B30,'02. MM-KLH'!$B:$T,6,0)</f>
        <v>Xe ben FD120</v>
      </c>
      <c r="F30" s="285" t="str">
        <f>VLOOKUP(B30,'02. MM-KLH'!$B:$T,8,0)</f>
        <v>CGTC DP</v>
      </c>
      <c r="G30" s="285" t="str">
        <f>VLOOKUP(B30,'02. MM-KLH'!$B:$T,13,0)</f>
        <v>THACO FORLAND</v>
      </c>
      <c r="H30" s="283">
        <f>VLOOKUP(B30,'02. MM-KLH'!$B:$T,15,0)</f>
        <v>2024</v>
      </c>
      <c r="I30" s="286" t="str">
        <f>VLOOKUP(B30,'02. MM-KLH'!$B:$T,16,0)</f>
        <v>FD120-4WD</v>
      </c>
      <c r="J30" s="283" t="str">
        <f>VLOOKUP(B30,'02. MM-KLH'!$B:$T,17,0)</f>
        <v>129HP</v>
      </c>
      <c r="K30" s="286" t="str">
        <f>VLOOKUP(B30,'02. MM-KLH'!$B:$T,18,0)</f>
        <v>RNHF12FNBRT002063</v>
      </c>
      <c r="L30" s="286" t="str">
        <f>VLOOKUP(B30,'02. MM-KLH'!$B:$T,19,0)</f>
        <v>YN38CRD1*AGN22000243*</v>
      </c>
      <c r="M30" s="6" t="s">
        <v>8260</v>
      </c>
      <c r="N30" s="6" t="s">
        <v>8261</v>
      </c>
      <c r="O30" s="291" t="s">
        <v>8262</v>
      </c>
      <c r="P30" s="294" t="s">
        <v>290</v>
      </c>
      <c r="Q30" s="294" t="s">
        <v>290</v>
      </c>
      <c r="R30" s="291" t="s">
        <v>290</v>
      </c>
    </row>
    <row r="31" ht="33" customHeight="1" spans="1:18">
      <c r="A31" s="283">
        <f t="shared" si="1"/>
        <v>7</v>
      </c>
      <c r="B31" s="285" t="s">
        <v>663</v>
      </c>
      <c r="C31" s="285" t="str">
        <f>VLOOKUP(B31,'02. MM-KLH'!$B:$T,4,0)</f>
        <v>3A-6826</v>
      </c>
      <c r="D31" s="285" t="str">
        <f>VLOOKUP(B31,'02. MM-KLH'!$B:$T,3,0)</f>
        <v>A23-XTA-043</v>
      </c>
      <c r="E31" s="285" t="str">
        <f>VLOOKUP(B31,'02. MM-KLH'!$B:$T,6,0)</f>
        <v>Xe ben FD120</v>
      </c>
      <c r="F31" s="285" t="str">
        <f>VLOOKUP(B31,'02. MM-KLH'!$B:$T,8,0)</f>
        <v>CGTC DP</v>
      </c>
      <c r="G31" s="285" t="str">
        <f>VLOOKUP(B31,'02. MM-KLH'!$B:$T,13,0)</f>
        <v>THACO FORLAND</v>
      </c>
      <c r="H31" s="283">
        <f>VLOOKUP(B31,'02. MM-KLH'!$B:$T,15,0)</f>
        <v>2024</v>
      </c>
      <c r="I31" s="286" t="str">
        <f>VLOOKUP(B31,'02. MM-KLH'!$B:$T,16,0)</f>
        <v>FD120-4WD</v>
      </c>
      <c r="J31" s="283" t="str">
        <f>VLOOKUP(B31,'02. MM-KLH'!$B:$T,17,0)</f>
        <v>129HP</v>
      </c>
      <c r="K31" s="286" t="str">
        <f>VLOOKUP(B31,'02. MM-KLH'!$B:$T,18,0)</f>
        <v>RNHF12FNBRT002064</v>
      </c>
      <c r="L31" s="286" t="str">
        <f>VLOOKUP(B31,'02. MM-KLH'!$B:$T,19,0)</f>
        <v>YN38CRD1*AGN22000244*</v>
      </c>
      <c r="M31" s="6" t="s">
        <v>8260</v>
      </c>
      <c r="N31" s="6" t="s">
        <v>8261</v>
      </c>
      <c r="O31" s="291" t="s">
        <v>8262</v>
      </c>
      <c r="P31" s="294" t="s">
        <v>290</v>
      </c>
      <c r="Q31" s="294" t="s">
        <v>290</v>
      </c>
      <c r="R31" s="291" t="s">
        <v>290</v>
      </c>
    </row>
    <row r="32" ht="33" customHeight="1" spans="1:18">
      <c r="A32" s="283">
        <f t="shared" si="1"/>
        <v>8</v>
      </c>
      <c r="B32" s="285" t="s">
        <v>668</v>
      </c>
      <c r="C32" s="285" t="str">
        <f>VLOOKUP(B32,'02. MM-KLH'!$B:$T,4,0)</f>
        <v>3A-6825</v>
      </c>
      <c r="D32" s="285" t="str">
        <f>VLOOKUP(B32,'02. MM-KLH'!$B:$T,3,0)</f>
        <v>A23-XTA-044</v>
      </c>
      <c r="E32" s="285" t="str">
        <f>VLOOKUP(B32,'02. MM-KLH'!$B:$T,6,0)</f>
        <v>Xe ben FD120</v>
      </c>
      <c r="F32" s="285" t="str">
        <f>VLOOKUP(B32,'02. MM-KLH'!$B:$T,8,0)</f>
        <v>CGTC DP</v>
      </c>
      <c r="G32" s="285" t="str">
        <f>VLOOKUP(B32,'02. MM-KLH'!$B:$T,13,0)</f>
        <v>THACO FORLAND</v>
      </c>
      <c r="H32" s="283">
        <f>VLOOKUP(B32,'02. MM-KLH'!$B:$T,15,0)</f>
        <v>2024</v>
      </c>
      <c r="I32" s="286" t="str">
        <f>VLOOKUP(B32,'02. MM-KLH'!$B:$T,16,0)</f>
        <v>FD120-4WD</v>
      </c>
      <c r="J32" s="283" t="str">
        <f>VLOOKUP(B32,'02. MM-KLH'!$B:$T,17,0)</f>
        <v>129HP</v>
      </c>
      <c r="K32" s="286" t="str">
        <f>VLOOKUP(B32,'02. MM-KLH'!$B:$T,18,0)</f>
        <v>RNHF12FNBRT002065</v>
      </c>
      <c r="L32" s="286" t="str">
        <f>VLOOKUP(B32,'02. MM-KLH'!$B:$T,19,0)</f>
        <v>YN38CRD1*AGN22000245*</v>
      </c>
      <c r="M32" s="6" t="s">
        <v>8260</v>
      </c>
      <c r="N32" s="6" t="s">
        <v>8261</v>
      </c>
      <c r="O32" s="291" t="s">
        <v>8262</v>
      </c>
      <c r="P32" s="294" t="s">
        <v>290</v>
      </c>
      <c r="Q32" s="294" t="s">
        <v>290</v>
      </c>
      <c r="R32" s="291" t="s">
        <v>290</v>
      </c>
    </row>
    <row r="33" ht="33" customHeight="1" spans="1:18">
      <c r="A33" s="283">
        <f t="shared" si="1"/>
        <v>9</v>
      </c>
      <c r="B33" s="285" t="s">
        <v>503</v>
      </c>
      <c r="C33" s="285" t="str">
        <f>VLOOKUP(B33,'02. MM-KLH'!$B:$T,4,0)</f>
        <v>3A-6815</v>
      </c>
      <c r="D33" s="285" t="str">
        <f>VLOOKUP(B33,'02. MM-KLH'!$B:$T,3,0)</f>
        <v>A23-XTA-024</v>
      </c>
      <c r="E33" s="285" t="str">
        <f>VLOOKUP(B33,'02. MM-KLH'!$B:$T,6,0)</f>
        <v>Xe ben HOWO TXD600</v>
      </c>
      <c r="F33" s="285" t="str">
        <f>VLOOKUP(B33,'02. MM-KLH'!$B:$T,8,0)</f>
        <v>CGTC DP</v>
      </c>
      <c r="G33" s="285" t="str">
        <f>VLOOKUP(B33,'02. MM-KLH'!$B:$T,13,0)</f>
        <v>HOWO</v>
      </c>
      <c r="H33" s="283">
        <f>VLOOKUP(B33,'02. MM-KLH'!$B:$T,15,0)</f>
        <v>2022</v>
      </c>
      <c r="I33" s="286" t="str">
        <f>VLOOKUP(B33,'02. MM-KLH'!$B:$T,16,0)</f>
        <v>HOWO TX D600</v>
      </c>
      <c r="J33" s="283" t="str">
        <f>VLOOKUP(B33,'02. MM-KLH'!$B:$T,17,0)</f>
        <v>380HP</v>
      </c>
      <c r="K33" s="286" t="str">
        <f>VLOOKUP(B33,'02. MM-KLH'!$B:$T,18,0)</f>
        <v>RNHD24CWANT057806</v>
      </c>
      <c r="L33" s="286" t="str">
        <f>VLOOKUP(B33,'02. MM-KLH'!$B:$T,19,0)</f>
        <v>1622B008395</v>
      </c>
      <c r="M33" s="6" t="s">
        <v>8260</v>
      </c>
      <c r="N33" s="6" t="s">
        <v>8261</v>
      </c>
      <c r="O33" s="291" t="s">
        <v>8262</v>
      </c>
      <c r="P33" s="294" t="s">
        <v>290</v>
      </c>
      <c r="Q33" s="294" t="s">
        <v>290</v>
      </c>
      <c r="R33" s="291" t="s">
        <v>290</v>
      </c>
    </row>
    <row r="34" ht="33" customHeight="1" spans="1:18">
      <c r="A34" s="283">
        <f t="shared" si="1"/>
        <v>10</v>
      </c>
      <c r="B34" s="285" t="s">
        <v>512</v>
      </c>
      <c r="C34" s="285" t="str">
        <f>VLOOKUP(B34,'02. MM-KLH'!$B:$T,4,0)</f>
        <v>3A-6820</v>
      </c>
      <c r="D34" s="285" t="str">
        <f>VLOOKUP(B34,'02. MM-KLH'!$B:$T,3,0)</f>
        <v>A23-XTA-025</v>
      </c>
      <c r="E34" s="285" t="str">
        <f>VLOOKUP(B34,'02. MM-KLH'!$B:$T,6,0)</f>
        <v>Xe ben HOWO TXD600</v>
      </c>
      <c r="F34" s="285" t="str">
        <f>VLOOKUP(B34,'02. MM-KLH'!$B:$T,8,0)</f>
        <v>CGTC DP</v>
      </c>
      <c r="G34" s="285" t="str">
        <f>VLOOKUP(B34,'02. MM-KLH'!$B:$T,13,0)</f>
        <v>HOWO</v>
      </c>
      <c r="H34" s="283">
        <f>VLOOKUP(B34,'02. MM-KLH'!$B:$T,15,0)</f>
        <v>2022</v>
      </c>
      <c r="I34" s="286" t="str">
        <f>VLOOKUP(B34,'02. MM-KLH'!$B:$T,16,0)</f>
        <v>HOWO TX D600</v>
      </c>
      <c r="J34" s="283" t="str">
        <f>VLOOKUP(B34,'02. MM-KLH'!$B:$T,17,0)</f>
        <v>380HP</v>
      </c>
      <c r="K34" s="286" t="str">
        <f>VLOOKUP(B34,'02. MM-KLH'!$B:$T,18,0)</f>
        <v>RNHD24CWANT057808</v>
      </c>
      <c r="L34" s="286" t="str">
        <f>VLOOKUP(B34,'02. MM-KLH'!$B:$T,19,0)</f>
        <v>1622B008391</v>
      </c>
      <c r="M34" s="6" t="s">
        <v>8260</v>
      </c>
      <c r="N34" s="6" t="s">
        <v>8261</v>
      </c>
      <c r="O34" s="291" t="s">
        <v>8262</v>
      </c>
      <c r="P34" s="294" t="s">
        <v>290</v>
      </c>
      <c r="Q34" s="294" t="s">
        <v>290</v>
      </c>
      <c r="R34" s="291" t="s">
        <v>290</v>
      </c>
    </row>
    <row r="35" ht="33" customHeight="1" spans="1:18">
      <c r="A35" s="283">
        <f t="shared" si="1"/>
        <v>11</v>
      </c>
      <c r="B35" s="285" t="s">
        <v>517</v>
      </c>
      <c r="C35" s="285" t="str">
        <f>VLOOKUP(B35,'02. MM-KLH'!$B:$T,4,0)</f>
        <v>3A-6821</v>
      </c>
      <c r="D35" s="285" t="str">
        <f>VLOOKUP(B35,'02. MM-KLH'!$B:$T,3,0)</f>
        <v>A23-XTA-026</v>
      </c>
      <c r="E35" s="285" t="str">
        <f>VLOOKUP(B35,'02. MM-KLH'!$B:$T,6,0)</f>
        <v>Xe ben HOWO TXD600</v>
      </c>
      <c r="F35" s="285" t="str">
        <f>VLOOKUP(B35,'02. MM-KLH'!$B:$T,8,0)</f>
        <v>CGTC DP</v>
      </c>
      <c r="G35" s="285" t="str">
        <f>VLOOKUP(B35,'02. MM-KLH'!$B:$T,13,0)</f>
        <v>HOWO</v>
      </c>
      <c r="H35" s="283">
        <f>VLOOKUP(B35,'02. MM-KLH'!$B:$T,15,0)</f>
        <v>2022</v>
      </c>
      <c r="I35" s="286" t="str">
        <f>VLOOKUP(B35,'02. MM-KLH'!$B:$T,16,0)</f>
        <v>HOWO TX D600</v>
      </c>
      <c r="J35" s="283" t="str">
        <f>VLOOKUP(B35,'02. MM-KLH'!$B:$T,17,0)</f>
        <v>380HP</v>
      </c>
      <c r="K35" s="286" t="str">
        <f>VLOOKUP(B35,'02. MM-KLH'!$B:$T,18,0)</f>
        <v>RNHD24CWANT057810</v>
      </c>
      <c r="L35" s="286" t="str">
        <f>VLOOKUP(B35,'02. MM-KLH'!$B:$T,19,0)</f>
        <v>1622B008389</v>
      </c>
      <c r="M35" s="6" t="s">
        <v>8260</v>
      </c>
      <c r="N35" s="6" t="s">
        <v>8261</v>
      </c>
      <c r="O35" s="291" t="s">
        <v>8262</v>
      </c>
      <c r="P35" s="294" t="s">
        <v>290</v>
      </c>
      <c r="Q35" s="294" t="s">
        <v>290</v>
      </c>
      <c r="R35" s="291" t="s">
        <v>290</v>
      </c>
    </row>
    <row r="36" ht="33" customHeight="1" spans="1:18">
      <c r="A36" s="283">
        <f t="shared" si="1"/>
        <v>12</v>
      </c>
      <c r="B36" s="285" t="s">
        <v>914</v>
      </c>
      <c r="C36" s="285" t="str">
        <f>VLOOKUP(B36,'02. MM-KLH'!$B:$T,4,0)</f>
        <v>3A-6823</v>
      </c>
      <c r="D36" s="285" t="str">
        <f>VLOOKUP(B36,'02. MM-KLH'!$B:$T,3,0)</f>
        <v>A23-XTA-034</v>
      </c>
      <c r="E36" s="285" t="str">
        <f>VLOOKUP(B36,'02. MM-KLH'!$B:$T,6,0)</f>
        <v>Xe ben HOWO TXD600</v>
      </c>
      <c r="F36" s="285" t="str">
        <f>VLOOKUP(B36,'02. MM-KLH'!$B:$T,8,0)</f>
        <v>CGTC AD</v>
      </c>
      <c r="G36" s="285" t="str">
        <f>VLOOKUP(B36,'02. MM-KLH'!$B:$T,13,0)</f>
        <v>HOWO</v>
      </c>
      <c r="H36" s="283">
        <f>VLOOKUP(B36,'02. MM-KLH'!$B:$T,15,0)</f>
        <v>2022</v>
      </c>
      <c r="I36" s="286" t="str">
        <f>VLOOKUP(B36,'02. MM-KLH'!$B:$T,16,0)</f>
        <v>HOWO TX D600</v>
      </c>
      <c r="J36" s="283" t="str">
        <f>VLOOKUP(B36,'02. MM-KLH'!$B:$T,17,0)</f>
        <v>380HP</v>
      </c>
      <c r="K36" s="286" t="str">
        <f>VLOOKUP(B36,'02. MM-KLH'!$B:$T,18,0)</f>
        <v>RNHD24CWART000063</v>
      </c>
      <c r="L36" s="286" t="str">
        <f>VLOOKUP(B36,'02. MM-KLH'!$B:$T,19,0)</f>
        <v>1622F024356</v>
      </c>
      <c r="M36" s="6" t="s">
        <v>8260</v>
      </c>
      <c r="N36" s="6" t="s">
        <v>8261</v>
      </c>
      <c r="O36" s="291" t="s">
        <v>8262</v>
      </c>
      <c r="P36" s="294" t="s">
        <v>290</v>
      </c>
      <c r="Q36" s="294" t="s">
        <v>290</v>
      </c>
      <c r="R36" s="291" t="s">
        <v>290</v>
      </c>
    </row>
    <row r="37" ht="33" customHeight="1" spans="1:18">
      <c r="A37" s="283">
        <f t="shared" si="1"/>
        <v>13</v>
      </c>
      <c r="B37" s="285" t="s">
        <v>920</v>
      </c>
      <c r="C37" s="285" t="str">
        <f>VLOOKUP(B37,'02. MM-KLH'!$B:$T,4,0)</f>
        <v>3A-6822</v>
      </c>
      <c r="D37" s="285" t="str">
        <f>VLOOKUP(B37,'02. MM-KLH'!$B:$T,3,0)</f>
        <v>A23-XTA-035</v>
      </c>
      <c r="E37" s="285" t="str">
        <f>VLOOKUP(B37,'02. MM-KLH'!$B:$T,6,0)</f>
        <v>Xe ben HOWO TXD600</v>
      </c>
      <c r="F37" s="285" t="str">
        <f>VLOOKUP(B37,'02. MM-KLH'!$B:$T,8,0)</f>
        <v>CGTC AD</v>
      </c>
      <c r="G37" s="285" t="str">
        <f>VLOOKUP(B37,'02. MM-KLH'!$B:$T,13,0)</f>
        <v>HOWO</v>
      </c>
      <c r="H37" s="283">
        <f>VLOOKUP(B37,'02. MM-KLH'!$B:$T,15,0)</f>
        <v>2022</v>
      </c>
      <c r="I37" s="286" t="str">
        <f>VLOOKUP(B37,'02. MM-KLH'!$B:$T,16,0)</f>
        <v>HOWO TX D600</v>
      </c>
      <c r="J37" s="283" t="str">
        <f>VLOOKUP(B37,'02. MM-KLH'!$B:$T,17,0)</f>
        <v>380HP</v>
      </c>
      <c r="K37" s="286" t="str">
        <f>VLOOKUP(B37,'02. MM-KLH'!$B:$T,18,0)</f>
        <v>RNHD24CWART000064</v>
      </c>
      <c r="L37" s="286" t="str">
        <f>VLOOKUP(B37,'02. MM-KLH'!$B:$T,19,0)</f>
        <v>1622F024357</v>
      </c>
      <c r="M37" s="6" t="s">
        <v>8260</v>
      </c>
      <c r="N37" s="6" t="s">
        <v>8261</v>
      </c>
      <c r="O37" s="291" t="s">
        <v>8262</v>
      </c>
      <c r="P37" s="294" t="s">
        <v>290</v>
      </c>
      <c r="Q37" s="294" t="s">
        <v>290</v>
      </c>
      <c r="R37" s="291" t="s">
        <v>290</v>
      </c>
    </row>
    <row r="38" ht="33" customHeight="1" spans="1:18">
      <c r="A38" s="283">
        <f t="shared" si="1"/>
        <v>14</v>
      </c>
      <c r="B38" s="285" t="s">
        <v>524</v>
      </c>
      <c r="C38" s="285" t="str">
        <f>VLOOKUP(B38,'02. MM-KLH'!$B:$T,4,0)</f>
        <v>3A-6818</v>
      </c>
      <c r="D38" s="285" t="str">
        <f>VLOOKUP(B38,'02. MM-KLH'!$B:$T,3,0)</f>
        <v>A23-XTA-036</v>
      </c>
      <c r="E38" s="285" t="str">
        <f>VLOOKUP(B38,'02. MM-KLH'!$B:$T,6,0)</f>
        <v>Xe ben HOWO TXD600</v>
      </c>
      <c r="F38" s="285" t="str">
        <f>VLOOKUP(B38,'02. MM-KLH'!$B:$T,8,0)</f>
        <v>CGTC DP</v>
      </c>
      <c r="G38" s="285" t="str">
        <f>VLOOKUP(B38,'02. MM-KLH'!$B:$T,13,0)</f>
        <v>HOWO</v>
      </c>
      <c r="H38" s="283">
        <f>VLOOKUP(B38,'02. MM-KLH'!$B:$T,15,0)</f>
        <v>2022</v>
      </c>
      <c r="I38" s="286" t="str">
        <f>VLOOKUP(B38,'02. MM-KLH'!$B:$T,16,0)</f>
        <v>HOWO TX D600</v>
      </c>
      <c r="J38" s="283" t="str">
        <f>VLOOKUP(B38,'02. MM-KLH'!$B:$T,17,0)</f>
        <v>380HP</v>
      </c>
      <c r="K38" s="286" t="str">
        <f>VLOOKUP(B38,'02. MM-KLH'!$B:$T,18,0)</f>
        <v>RNHD24CWART000069</v>
      </c>
      <c r="L38" s="286" t="str">
        <f>VLOOKUP(B38,'02. MM-KLH'!$B:$T,19,0)</f>
        <v>1622F024360</v>
      </c>
      <c r="M38" s="6" t="s">
        <v>8260</v>
      </c>
      <c r="N38" s="6" t="s">
        <v>8261</v>
      </c>
      <c r="O38" s="291" t="s">
        <v>8262</v>
      </c>
      <c r="P38" s="294" t="s">
        <v>290</v>
      </c>
      <c r="Q38" s="294" t="s">
        <v>290</v>
      </c>
      <c r="R38" s="291" t="s">
        <v>290</v>
      </c>
    </row>
    <row r="39" ht="33" customHeight="1" spans="1:18">
      <c r="A39" s="283">
        <f t="shared" si="1"/>
        <v>15</v>
      </c>
      <c r="B39" s="285" t="s">
        <v>673</v>
      </c>
      <c r="C39" s="285" t="str">
        <f>VLOOKUP(B39,'02. MM-KLH'!$B:$T,4,0)</f>
        <v>3A-6829</v>
      </c>
      <c r="D39" s="285" t="str">
        <f>VLOOKUP(B39,'02. MM-KLH'!$B:$T,3,0)</f>
        <v>A23-XTA-045</v>
      </c>
      <c r="E39" s="285" t="str">
        <f>VLOOKUP(B39,'02. MM-KLH'!$B:$T,6,0)</f>
        <v>Xe ben HOWO TXD600</v>
      </c>
      <c r="F39" s="285" t="str">
        <f>VLOOKUP(B39,'02. MM-KLH'!$B:$T,8,0)</f>
        <v>CGTC DP</v>
      </c>
      <c r="G39" s="285" t="str">
        <f>VLOOKUP(B39,'02. MM-KLH'!$B:$T,13,0)</f>
        <v>HOWO</v>
      </c>
      <c r="H39" s="283">
        <f>VLOOKUP(B39,'02. MM-KLH'!$B:$T,15,0)</f>
        <v>2022</v>
      </c>
      <c r="I39" s="286" t="str">
        <f>VLOOKUP(B39,'02. MM-KLH'!$B:$T,16,0)</f>
        <v>HOWO TX D600</v>
      </c>
      <c r="J39" s="283" t="str">
        <f>VLOOKUP(B39,'02. MM-KLH'!$B:$T,17,0)</f>
        <v>380HP</v>
      </c>
      <c r="K39" s="286" t="str">
        <f>VLOOKUP(B39,'02. MM-KLH'!$B:$T,18,0)</f>
        <v>RNHD24CWART00061</v>
      </c>
      <c r="L39" s="286" t="str">
        <f>VLOOKUP(B39,'02. MM-KLH'!$B:$T,19,0)</f>
        <v>WP10380E53*1622F024366*</v>
      </c>
      <c r="M39" s="6" t="s">
        <v>8260</v>
      </c>
      <c r="N39" s="6" t="s">
        <v>8261</v>
      </c>
      <c r="O39" s="291" t="s">
        <v>8262</v>
      </c>
      <c r="P39" s="294" t="s">
        <v>290</v>
      </c>
      <c r="Q39" s="294" t="s">
        <v>290</v>
      </c>
      <c r="R39" s="291" t="s">
        <v>290</v>
      </c>
    </row>
    <row r="40" ht="33" customHeight="1" spans="1:18">
      <c r="A40" s="283">
        <f t="shared" si="1"/>
        <v>16</v>
      </c>
      <c r="B40" s="285" t="s">
        <v>678</v>
      </c>
      <c r="C40" s="285" t="str">
        <f>VLOOKUP(B40,'02. MM-KLH'!$B:$T,4,0)</f>
        <v>3A-6819</v>
      </c>
      <c r="D40" s="285" t="str">
        <f>VLOOKUP(B40,'02. MM-KLH'!$B:$T,3,0)</f>
        <v>A23-XTA-046</v>
      </c>
      <c r="E40" s="285" t="str">
        <f>VLOOKUP(B40,'02. MM-KLH'!$B:$T,6,0)</f>
        <v>Xe ben HOWO TXD600</v>
      </c>
      <c r="F40" s="285" t="str">
        <f>VLOOKUP(B40,'02. MM-KLH'!$B:$T,8,0)</f>
        <v>CGTC DP</v>
      </c>
      <c r="G40" s="285" t="str">
        <f>VLOOKUP(B40,'02. MM-KLH'!$B:$T,13,0)</f>
        <v>HOWO</v>
      </c>
      <c r="H40" s="283">
        <f>VLOOKUP(B40,'02. MM-KLH'!$B:$T,15,0)</f>
        <v>2022</v>
      </c>
      <c r="I40" s="286" t="str">
        <f>VLOOKUP(B40,'02. MM-KLH'!$B:$T,16,0)</f>
        <v>HOWO TX D600</v>
      </c>
      <c r="J40" s="283" t="str">
        <f>VLOOKUP(B40,'02. MM-KLH'!$B:$T,17,0)</f>
        <v>380HP</v>
      </c>
      <c r="K40" s="286" t="str">
        <f>VLOOKUP(B40,'02. MM-KLH'!$B:$T,18,0)</f>
        <v>RNHD24CWART00062</v>
      </c>
      <c r="L40" s="286" t="str">
        <f>VLOOKUP(B40,'02. MM-KLH'!$B:$T,19,0)</f>
        <v>WP10380E53*1622F024350*</v>
      </c>
      <c r="M40" s="6" t="s">
        <v>8260</v>
      </c>
      <c r="N40" s="6" t="s">
        <v>8261</v>
      </c>
      <c r="O40" s="291" t="s">
        <v>8262</v>
      </c>
      <c r="P40" s="294" t="s">
        <v>290</v>
      </c>
      <c r="Q40" s="294" t="s">
        <v>290</v>
      </c>
      <c r="R40" s="291" t="s">
        <v>290</v>
      </c>
    </row>
    <row r="41" ht="33" customHeight="1" spans="1:18">
      <c r="A41" s="283">
        <f t="shared" si="1"/>
        <v>17</v>
      </c>
      <c r="B41" s="285" t="s">
        <v>1394</v>
      </c>
      <c r="C41" s="285" t="str">
        <f>VLOOKUP(B41,'02. MM-KLH'!$B:$T,4,0)</f>
        <v>3A-6810</v>
      </c>
      <c r="D41" s="285" t="str">
        <f>VLOOKUP(B41,'02. MM-KLH'!$B:$T,3,0)</f>
        <v>A23-XTA-021</v>
      </c>
      <c r="E41" s="285" t="str">
        <f>VLOOKUP(B41,'02. MM-KLH'!$B:$T,6,0)</f>
        <v>Xe ben Forland FD990-4WDXTH4-5T</v>
      </c>
      <c r="F41" s="285" t="str">
        <f>VLOOKUP(B41,'02. MM-KLH'!$B:$T,8,0)</f>
        <v>XN Chuối DP3</v>
      </c>
      <c r="G41" s="285" t="str">
        <f>VLOOKUP(B41,'02. MM-KLH'!$B:$T,13,0)</f>
        <v>FORLAND</v>
      </c>
      <c r="H41" s="283">
        <f>VLOOKUP(B41,'02. MM-KLH'!$B:$T,15,0)</f>
        <v>2024</v>
      </c>
      <c r="I41" s="286" t="str">
        <f>VLOOKUP(B41,'02. MM-KLH'!$B:$T,16,0)</f>
        <v> FD990-4WD</v>
      </c>
      <c r="J41" s="283" t="str">
        <f>VLOOKUP(B41,'02. MM-KLH'!$B:$T,17,0)</f>
        <v>94HP</v>
      </c>
      <c r="K41" s="286" t="str">
        <f>VLOOKUP(B41,'02. MM-KLH'!$B:$T,18,0)</f>
        <v>RNHF99FACRT092725</v>
      </c>
      <c r="L41" s="286" t="str">
        <f>VLOOKUP(B41,'02. MM-KLH'!$B:$T,19,0)</f>
        <v>B0576973</v>
      </c>
      <c r="M41" s="6" t="s">
        <v>8260</v>
      </c>
      <c r="N41" s="6" t="s">
        <v>8261</v>
      </c>
      <c r="O41" s="291" t="s">
        <v>8262</v>
      </c>
      <c r="P41" s="294" t="s">
        <v>290</v>
      </c>
      <c r="Q41" s="294" t="s">
        <v>290</v>
      </c>
      <c r="R41" s="291" t="s">
        <v>290</v>
      </c>
    </row>
    <row r="42" ht="33" customHeight="1" spans="1:18">
      <c r="A42" s="283">
        <f t="shared" si="1"/>
        <v>18</v>
      </c>
      <c r="B42" s="285" t="s">
        <v>1399</v>
      </c>
      <c r="C42" s="285" t="str">
        <f>VLOOKUP(B42,'02. MM-KLH'!$B:$T,4,0)</f>
        <v>3A-6811</v>
      </c>
      <c r="D42" s="285" t="str">
        <f>VLOOKUP(B42,'02. MM-KLH'!$B:$T,3,0)</f>
        <v>A23-XTA-022</v>
      </c>
      <c r="E42" s="285" t="str">
        <f>VLOOKUP(B42,'02. MM-KLH'!$B:$T,6,0)</f>
        <v>Xe ben Forland FD990-4WDXTH4-5T</v>
      </c>
      <c r="F42" s="285" t="str">
        <f>VLOOKUP(B42,'02. MM-KLH'!$B:$T,8,0)</f>
        <v>XN Chuối DP3</v>
      </c>
      <c r="G42" s="285" t="str">
        <f>VLOOKUP(B42,'02. MM-KLH'!$B:$T,13,0)</f>
        <v>FORLAND</v>
      </c>
      <c r="H42" s="283">
        <f>VLOOKUP(B42,'02. MM-KLH'!$B:$T,15,0)</f>
        <v>2024</v>
      </c>
      <c r="I42" s="286" t="str">
        <f>VLOOKUP(B42,'02. MM-KLH'!$B:$T,16,0)</f>
        <v> FD990-4WD</v>
      </c>
      <c r="J42" s="283" t="str">
        <f>VLOOKUP(B42,'02. MM-KLH'!$B:$T,17,0)</f>
        <v>94HP</v>
      </c>
      <c r="K42" s="286" t="str">
        <f>VLOOKUP(B42,'02. MM-KLH'!$B:$T,18,0)</f>
        <v>RNHF99FACRT090615</v>
      </c>
      <c r="L42" s="286" t="str">
        <f>VLOOKUP(B42,'02. MM-KLH'!$B:$T,19,0)</f>
        <v>B0576944</v>
      </c>
      <c r="M42" s="6" t="s">
        <v>8260</v>
      </c>
      <c r="N42" s="6" t="s">
        <v>8261</v>
      </c>
      <c r="O42" s="291" t="s">
        <v>8262</v>
      </c>
      <c r="P42" s="294" t="s">
        <v>290</v>
      </c>
      <c r="Q42" s="294" t="s">
        <v>290</v>
      </c>
      <c r="R42" s="291" t="s">
        <v>290</v>
      </c>
    </row>
    <row r="43" ht="33" customHeight="1" spans="1:18">
      <c r="A43" s="283">
        <f t="shared" si="1"/>
        <v>19</v>
      </c>
      <c r="B43" s="285" t="s">
        <v>1531</v>
      </c>
      <c r="C43" s="285" t="str">
        <f>VLOOKUP(B43,'02. MM-KLH'!$B:$T,4,0)</f>
        <v>3A-6812</v>
      </c>
      <c r="D43" s="285" t="str">
        <f>VLOOKUP(B43,'02. MM-KLH'!$B:$T,3,0)</f>
        <v>A24-XTA-019</v>
      </c>
      <c r="E43" s="285" t="str">
        <f>VLOOKUP(B43,'02. MM-KLH'!$B:$T,6,0)</f>
        <v>Xe ben Forland FD990-4WDXTH4-5T</v>
      </c>
      <c r="F43" s="285" t="str">
        <f>VLOOKUP(B43,'02. MM-KLH'!$B:$T,8,0)</f>
        <v>XN Chuối LP1</v>
      </c>
      <c r="G43" s="285" t="str">
        <f>VLOOKUP(B43,'02. MM-KLH'!$B:$T,13,0)</f>
        <v>THACO FORLAND</v>
      </c>
      <c r="H43" s="283">
        <f>VLOOKUP(B43,'02. MM-KLH'!$B:$T,15,0)</f>
        <v>2024</v>
      </c>
      <c r="I43" s="286" t="str">
        <f>VLOOKUP(B43,'02. MM-KLH'!$B:$T,16,0)</f>
        <v> FD990-4WD</v>
      </c>
      <c r="J43" s="283" t="str">
        <f>VLOOKUP(B43,'02. MM-KLH'!$B:$T,17,0)</f>
        <v>94HP</v>
      </c>
      <c r="K43" s="286" t="str">
        <f>VLOOKUP(B43,'02. MM-KLH'!$B:$T,18,0)</f>
        <v>RNHF99FACRT090616</v>
      </c>
      <c r="L43" s="286" t="str">
        <f>VLOOKUP(B43,'02. MM-KLH'!$B:$T,19,0)</f>
        <v>B0577292</v>
      </c>
      <c r="M43" s="6" t="s">
        <v>8260</v>
      </c>
      <c r="N43" s="6" t="s">
        <v>8261</v>
      </c>
      <c r="O43" s="291" t="s">
        <v>8262</v>
      </c>
      <c r="P43" s="294" t="s">
        <v>290</v>
      </c>
      <c r="Q43" s="294" t="s">
        <v>290</v>
      </c>
      <c r="R43" s="291" t="s">
        <v>290</v>
      </c>
    </row>
    <row r="44" ht="33" customHeight="1" spans="1:18">
      <c r="A44" s="283">
        <f t="shared" si="1"/>
        <v>20</v>
      </c>
      <c r="B44" s="285" t="s">
        <v>768</v>
      </c>
      <c r="C44" s="285" t="str">
        <f>VLOOKUP(B44,'02. MM-KLH'!$B:$T,4,0)</f>
        <v>3A-6813</v>
      </c>
      <c r="D44" s="285" t="str">
        <f>VLOOKUP(B44,'02. MM-KLH'!$B:$T,3,0)</f>
        <v>A24-XTA-032</v>
      </c>
      <c r="E44" s="285" t="str">
        <f>VLOOKUP(B44,'02. MM-KLH'!$B:$T,6,0)</f>
        <v>Xe ben FD150</v>
      </c>
      <c r="F44" s="285" t="str">
        <f>VLOOKUP(B44,'02. MM-KLH'!$B:$T,8,0)</f>
        <v>CGTC LP</v>
      </c>
      <c r="G44" s="285" t="str">
        <f>VLOOKUP(B44,'02. MM-KLH'!$B:$T,13,0)</f>
        <v>FORLAND</v>
      </c>
      <c r="H44" s="283">
        <f>VLOOKUP(B44,'02. MM-KLH'!$B:$T,15,0)</f>
        <v>2024</v>
      </c>
      <c r="I44" s="286" t="str">
        <f>VLOOKUP(B44,'02. MM-KLH'!$B:$T,16,0)</f>
        <v>FD150-4WD</v>
      </c>
      <c r="J44" s="283" t="str">
        <f>VLOOKUP(B44,'02. MM-KLH'!$B:$T,17,0)</f>
        <v>150HP</v>
      </c>
      <c r="K44" s="286" t="str">
        <f>VLOOKUP(B44,'02. MM-KLH'!$B:$T,18,0)</f>
        <v>RNHF16FYART000830</v>
      </c>
      <c r="L44" s="286" t="str">
        <f>VLOOKUP(B44,'02. MM-KLH'!$B:$T,19,0)</f>
        <v>D59M1N01292</v>
      </c>
      <c r="M44" s="6" t="s">
        <v>8260</v>
      </c>
      <c r="N44" s="6" t="s">
        <v>8261</v>
      </c>
      <c r="O44" s="291" t="s">
        <v>8262</v>
      </c>
      <c r="P44" s="294" t="s">
        <v>290</v>
      </c>
      <c r="Q44" s="294" t="s">
        <v>290</v>
      </c>
      <c r="R44" s="291" t="s">
        <v>290</v>
      </c>
    </row>
    <row r="45" ht="33" customHeight="1" spans="1:18">
      <c r="A45" s="283">
        <f t="shared" si="1"/>
        <v>21</v>
      </c>
      <c r="B45" s="285" t="s">
        <v>774</v>
      </c>
      <c r="C45" s="285" t="str">
        <f>VLOOKUP(B45,'02. MM-KLH'!$B:$T,4,0)</f>
        <v>3A-6804</v>
      </c>
      <c r="D45" s="285" t="str">
        <f>VLOOKUP(B45,'02. MM-KLH'!$B:$T,3,0)</f>
        <v>A24-XTA-033</v>
      </c>
      <c r="E45" s="285" t="str">
        <f>VLOOKUP(B45,'02. MM-KLH'!$B:$T,6,0)</f>
        <v>Xe ben FD150</v>
      </c>
      <c r="F45" s="285" t="str">
        <f>VLOOKUP(B45,'02. MM-KLH'!$B:$T,8,0)</f>
        <v>CGTC LP</v>
      </c>
      <c r="G45" s="285" t="str">
        <f>VLOOKUP(B45,'02. MM-KLH'!$B:$T,13,0)</f>
        <v>FORLAND</v>
      </c>
      <c r="H45" s="283">
        <f>VLOOKUP(B45,'02. MM-KLH'!$B:$T,15,0)</f>
        <v>2024</v>
      </c>
      <c r="I45" s="286" t="str">
        <f>VLOOKUP(B45,'02. MM-KLH'!$B:$T,16,0)</f>
        <v>FD150-4WD</v>
      </c>
      <c r="J45" s="283" t="str">
        <f>VLOOKUP(B45,'02. MM-KLH'!$B:$T,17,0)</f>
        <v>150HP</v>
      </c>
      <c r="K45" s="286" t="str">
        <f>VLOOKUP(B45,'02. MM-KLH'!$B:$T,18,0)</f>
        <v>RNHF16FYART000831</v>
      </c>
      <c r="L45" s="286" t="str">
        <f>VLOOKUP(B45,'02. MM-KLH'!$B:$T,19,0)</f>
        <v>D59M1N01308</v>
      </c>
      <c r="M45" s="6" t="s">
        <v>8260</v>
      </c>
      <c r="N45" s="6" t="s">
        <v>8261</v>
      </c>
      <c r="O45" s="291" t="s">
        <v>8262</v>
      </c>
      <c r="P45" s="294" t="s">
        <v>290</v>
      </c>
      <c r="Q45" s="294" t="s">
        <v>290</v>
      </c>
      <c r="R45" s="291" t="s">
        <v>290</v>
      </c>
    </row>
    <row r="46" ht="33" customHeight="1" spans="1:18">
      <c r="A46" s="283">
        <f t="shared" si="1"/>
        <v>22</v>
      </c>
      <c r="B46" s="285" t="s">
        <v>925</v>
      </c>
      <c r="C46" s="285" t="str">
        <f>VLOOKUP(B46,'02. MM-KLH'!$B:$T,4,0)</f>
        <v>3A-6814</v>
      </c>
      <c r="D46" s="285" t="str">
        <f>VLOOKUP(B46,'02. MM-KLH'!$B:$T,3,0)</f>
        <v>A24-XTA-020</v>
      </c>
      <c r="E46" s="285" t="str">
        <f>VLOOKUP(B46,'02. MM-KLH'!$B:$T,6,0)</f>
        <v>Xe ben HOWO TXD600</v>
      </c>
      <c r="F46" s="285" t="str">
        <f>VLOOKUP(B46,'02. MM-KLH'!$B:$T,8,0)</f>
        <v>CGTC AD</v>
      </c>
      <c r="G46" s="285" t="str">
        <f>VLOOKUP(B46,'02. MM-KLH'!$B:$T,13,0)</f>
        <v>HOWO</v>
      </c>
      <c r="H46" s="283">
        <f>VLOOKUP(B46,'02. MM-KLH'!$B:$T,15,0)</f>
        <v>2022</v>
      </c>
      <c r="I46" s="286" t="str">
        <f>VLOOKUP(B46,'02. MM-KLH'!$B:$T,16,0)</f>
        <v>HOWO TX D600</v>
      </c>
      <c r="J46" s="283" t="str">
        <f>VLOOKUP(B46,'02. MM-KLH'!$B:$T,17,0)</f>
        <v>380HP</v>
      </c>
      <c r="K46" s="286" t="str">
        <f>VLOOKUP(B46,'02. MM-KLH'!$B:$T,18,0)</f>
        <v>RNHD24CWANT063481</v>
      </c>
      <c r="L46" s="286" t="str">
        <f>VLOOKUP(B46,'02. MM-KLH'!$B:$T,19,0)</f>
        <v>1622D017402</v>
      </c>
      <c r="M46" s="6" t="s">
        <v>8260</v>
      </c>
      <c r="N46" s="6" t="s">
        <v>8261</v>
      </c>
      <c r="O46" s="291" t="s">
        <v>8262</v>
      </c>
      <c r="P46" s="294" t="s">
        <v>290</v>
      </c>
      <c r="Q46" s="294" t="s">
        <v>290</v>
      </c>
      <c r="R46" s="291" t="s">
        <v>290</v>
      </c>
    </row>
    <row r="47" ht="33" customHeight="1" spans="1:18">
      <c r="A47" s="283">
        <f t="shared" si="1"/>
        <v>23</v>
      </c>
      <c r="B47" s="285" t="s">
        <v>731</v>
      </c>
      <c r="C47" s="285" t="str">
        <f>VLOOKUP(B47,'02. MM-KLH'!$B:$T,4,0)</f>
        <v>3A-6808</v>
      </c>
      <c r="D47" s="285" t="str">
        <f>VLOOKUP(B47,'02. MM-KLH'!$B:$T,3,0)</f>
        <v>A24-XTA-021</v>
      </c>
      <c r="E47" s="285" t="str">
        <f>VLOOKUP(B47,'02. MM-KLH'!$B:$T,6,0)</f>
        <v>Xe ben HOWO TXD600</v>
      </c>
      <c r="F47" s="285" t="str">
        <f>VLOOKUP(B47,'02. MM-KLH'!$B:$T,8,0)</f>
        <v>CGTC LP</v>
      </c>
      <c r="G47" s="285" t="str">
        <f>VLOOKUP(B47,'02. MM-KLH'!$B:$T,13,0)</f>
        <v>HOWO</v>
      </c>
      <c r="H47" s="283">
        <f>VLOOKUP(B47,'02. MM-KLH'!$B:$T,15,0)</f>
        <v>2022</v>
      </c>
      <c r="I47" s="286" t="str">
        <f>VLOOKUP(B47,'02. MM-KLH'!$B:$T,16,0)</f>
        <v>HOWO TX D600</v>
      </c>
      <c r="J47" s="283" t="str">
        <f>VLOOKUP(B47,'02. MM-KLH'!$B:$T,17,0)</f>
        <v>380HP</v>
      </c>
      <c r="K47" s="286" t="str">
        <f>VLOOKUP(B47,'02. MM-KLH'!$B:$T,18,0)</f>
        <v>RNHD24CWANT063483</v>
      </c>
      <c r="L47" s="286" t="str">
        <f>VLOOKUP(B47,'02. MM-KLH'!$B:$T,19,0)</f>
        <v>1622D017391</v>
      </c>
      <c r="M47" s="6" t="s">
        <v>8260</v>
      </c>
      <c r="N47" s="6" t="s">
        <v>8261</v>
      </c>
      <c r="O47" s="291" t="s">
        <v>8262</v>
      </c>
      <c r="P47" s="294" t="s">
        <v>290</v>
      </c>
      <c r="Q47" s="294" t="s">
        <v>290</v>
      </c>
      <c r="R47" s="291" t="s">
        <v>290</v>
      </c>
    </row>
    <row r="48" ht="33" customHeight="1" spans="1:18">
      <c r="A48" s="283">
        <f t="shared" si="1"/>
        <v>24</v>
      </c>
      <c r="B48" s="285" t="s">
        <v>736</v>
      </c>
      <c r="C48" s="285" t="str">
        <f>VLOOKUP(B48,'02. MM-KLH'!$B:$T,4,0)</f>
        <v>3A-6809</v>
      </c>
      <c r="D48" s="285" t="str">
        <f>VLOOKUP(B48,'02. MM-KLH'!$B:$T,3,0)</f>
        <v>A24-XTA-022</v>
      </c>
      <c r="E48" s="285" t="str">
        <f>VLOOKUP(B48,'02. MM-KLH'!$B:$T,6,0)</f>
        <v>Xe ben HOWO TXD600</v>
      </c>
      <c r="F48" s="285" t="str">
        <f>VLOOKUP(B48,'02. MM-KLH'!$B:$T,8,0)</f>
        <v>CGTC LP</v>
      </c>
      <c r="G48" s="285" t="str">
        <f>VLOOKUP(B48,'02. MM-KLH'!$B:$T,13,0)</f>
        <v>HOWO</v>
      </c>
      <c r="H48" s="283">
        <f>VLOOKUP(B48,'02. MM-KLH'!$B:$T,15,0)</f>
        <v>2022</v>
      </c>
      <c r="I48" s="286" t="str">
        <f>VLOOKUP(B48,'02. MM-KLH'!$B:$T,16,0)</f>
        <v>HOWO TX D600</v>
      </c>
      <c r="J48" s="283" t="str">
        <f>VLOOKUP(B48,'02. MM-KLH'!$B:$T,17,0)</f>
        <v>380HP</v>
      </c>
      <c r="K48" s="286" t="str">
        <f>VLOOKUP(B48,'02. MM-KLH'!$B:$T,18,0)</f>
        <v>RNHD24CWANT063484</v>
      </c>
      <c r="L48" s="286" t="str">
        <f>VLOOKUP(B48,'02. MM-KLH'!$B:$T,19,0)</f>
        <v>1622D017399</v>
      </c>
      <c r="M48" s="6" t="s">
        <v>8260</v>
      </c>
      <c r="N48" s="6" t="s">
        <v>8261</v>
      </c>
      <c r="O48" s="291" t="s">
        <v>8262</v>
      </c>
      <c r="P48" s="294" t="s">
        <v>290</v>
      </c>
      <c r="Q48" s="294" t="s">
        <v>290</v>
      </c>
      <c r="R48" s="291" t="s">
        <v>290</v>
      </c>
    </row>
    <row r="49" ht="33" customHeight="1" spans="1:18">
      <c r="A49" s="283">
        <f t="shared" si="1"/>
        <v>25</v>
      </c>
      <c r="B49" s="285" t="s">
        <v>2305</v>
      </c>
      <c r="C49" s="285" t="str">
        <f>VLOOKUP(B49,'02. MM-KLH'!$B:$T,4,0)</f>
        <v>3A-6805</v>
      </c>
      <c r="D49" s="285" t="str">
        <f>VLOOKUP(B49,'02. MM-KLH'!$B:$T,3,0)</f>
        <v>A22-XTA-006</v>
      </c>
      <c r="E49" s="285" t="str">
        <f>VLOOKUP(B49,'02. MM-KLH'!$B:$T,6,0)</f>
        <v>Xe tải thùng FC150</v>
      </c>
      <c r="F49" s="285" t="str">
        <f>VLOOKUP(B49,'02. MM-KLH'!$B:$T,8,0)</f>
        <v>XN Bò AD</v>
      </c>
      <c r="G49" s="285" t="str">
        <f>VLOOKUP(B49,'02. MM-KLH'!$B:$T,13,0)</f>
        <v>THACO FORLAND</v>
      </c>
      <c r="H49" s="283">
        <f>VLOOKUP(B49,'02. MM-KLH'!$B:$T,15,0)</f>
        <v>2024</v>
      </c>
      <c r="I49" s="286" t="str">
        <f>VLOOKUP(B49,'02. MM-KLH'!$B:$T,16,0)</f>
        <v>FC150-4WD</v>
      </c>
      <c r="J49" s="283" t="str">
        <f>VLOOKUP(B49,'02. MM-KLH'!$B:$T,17,0)</f>
        <v>147HP</v>
      </c>
      <c r="K49" s="286" t="str">
        <f>VLOOKUP(B49,'02. MM-KLH'!$B:$T,18,0)</f>
        <v>RNHF16FYBRT077509</v>
      </c>
      <c r="L49" s="286" t="str">
        <f>VLOOKUP(B49,'02. MM-KLH'!$B:$T,19,0)</f>
        <v>D59M1N01082</v>
      </c>
      <c r="M49" s="6" t="s">
        <v>8260</v>
      </c>
      <c r="N49" s="6" t="s">
        <v>8261</v>
      </c>
      <c r="O49" s="291" t="s">
        <v>8262</v>
      </c>
      <c r="P49" s="294" t="s">
        <v>290</v>
      </c>
      <c r="Q49" s="294" t="s">
        <v>290</v>
      </c>
      <c r="R49" s="291" t="s">
        <v>290</v>
      </c>
    </row>
    <row r="50" ht="33" customHeight="1" spans="1:18">
      <c r="A50" s="283">
        <f t="shared" si="1"/>
        <v>26</v>
      </c>
      <c r="B50" s="285" t="s">
        <v>940</v>
      </c>
      <c r="C50" s="285" t="str">
        <f>VLOOKUP(B50,'02. MM-KLH'!$B:$T,4,0)</f>
        <v>3A-6800</v>
      </c>
      <c r="D50" s="285" t="str">
        <f>VLOOKUP(B50,'02. MM-KLH'!$B:$T,3,0)</f>
        <v>A22-XTA-048</v>
      </c>
      <c r="E50" s="285" t="str">
        <f>VLOOKUP(B50,'02. MM-KLH'!$B:$T,6,0)</f>
        <v>Xe ben FD120</v>
      </c>
      <c r="F50" s="285" t="str">
        <f>VLOOKUP(B50,'02. MM-KLH'!$B:$T,8,0)</f>
        <v>CGTC AD</v>
      </c>
      <c r="G50" s="285" t="str">
        <f>VLOOKUP(B50,'02. MM-KLH'!$B:$T,13,0)</f>
        <v>FORLAND</v>
      </c>
      <c r="H50" s="283">
        <f>VLOOKUP(B50,'02. MM-KLH'!$B:$T,15,0)</f>
        <v>2024</v>
      </c>
      <c r="I50" s="286" t="str">
        <f>VLOOKUP(B50,'02. MM-KLH'!$B:$T,16,0)</f>
        <v>FD120-4WD</v>
      </c>
      <c r="J50" s="283" t="str">
        <f>VLOOKUP(B50,'02. MM-KLH'!$B:$T,17,0)</f>
        <v>129HP</v>
      </c>
      <c r="K50" s="286" t="str">
        <f>VLOOKUP(B50,'02. MM-KLH'!$B:$T,18,0)</f>
        <v>RNHF12FNBRT002066</v>
      </c>
      <c r="L50" s="286" t="str">
        <f>VLOOKUP(B50,'02. MM-KLH'!$B:$T,19,0)</f>
        <v>YN38CRD1*AGN22000246*</v>
      </c>
      <c r="M50" s="6" t="s">
        <v>8260</v>
      </c>
      <c r="N50" s="6" t="s">
        <v>8261</v>
      </c>
      <c r="O50" s="291" t="s">
        <v>8262</v>
      </c>
      <c r="P50" s="294" t="s">
        <v>290</v>
      </c>
      <c r="Q50" s="294" t="s">
        <v>290</v>
      </c>
      <c r="R50" s="291" t="s">
        <v>290</v>
      </c>
    </row>
    <row r="51" ht="33" customHeight="1" spans="1:18">
      <c r="A51" s="283">
        <f t="shared" si="1"/>
        <v>27</v>
      </c>
      <c r="B51" s="285" t="s">
        <v>2268</v>
      </c>
      <c r="C51" s="285" t="str">
        <f>VLOOKUP(B51,'02. MM-KLH'!$B:$T,4,0)</f>
        <v>3A-6801</v>
      </c>
      <c r="D51" s="285" t="str">
        <f>VLOOKUP(B51,'02. MM-KLH'!$B:$T,3,0)</f>
        <v>A22-XCP-009</v>
      </c>
      <c r="E51" s="285" t="str">
        <f>VLOOKUP(B51,'02. MM-KLH'!$B:$T,6,0)</f>
        <v>Xe chở phân FD150 (8.7m3)</v>
      </c>
      <c r="F51" s="285" t="str">
        <f>VLOOKUP(B51,'02. MM-KLH'!$B:$T,8,0)</f>
        <v>XN Bò AD</v>
      </c>
      <c r="G51" s="285" t="str">
        <f>VLOOKUP(B51,'02. MM-KLH'!$B:$T,13,0)</f>
        <v>THACO FORLAND</v>
      </c>
      <c r="H51" s="283">
        <f>VLOOKUP(B51,'02. MM-KLH'!$B:$T,15,0)</f>
        <v>2024</v>
      </c>
      <c r="I51" s="286" t="str">
        <f>VLOOKUP(B51,'02. MM-KLH'!$B:$T,16,0)</f>
        <v>FD150-4WD</v>
      </c>
      <c r="J51" s="283" t="str">
        <f>VLOOKUP(B51,'02. MM-KLH'!$B:$T,17,0)</f>
        <v>150HP</v>
      </c>
      <c r="K51" s="286" t="str">
        <f>VLOOKUP(B51,'02. MM-KLH'!$B:$T,18,0)</f>
        <v>RNHF16FYART095002</v>
      </c>
      <c r="L51" s="286" t="str">
        <f>VLOOKUP(B51,'02. MM-KLH'!$B:$T,19,0)</f>
        <v>D59M1N01437</v>
      </c>
      <c r="M51" s="6" t="s">
        <v>8260</v>
      </c>
      <c r="N51" s="6" t="s">
        <v>8261</v>
      </c>
      <c r="O51" s="291" t="s">
        <v>8262</v>
      </c>
      <c r="P51" s="294" t="s">
        <v>290</v>
      </c>
      <c r="Q51" s="294" t="s">
        <v>290</v>
      </c>
      <c r="R51" s="291" t="s">
        <v>290</v>
      </c>
    </row>
    <row r="52" ht="33" customHeight="1" spans="1:18">
      <c r="A52" s="283">
        <f t="shared" si="1"/>
        <v>28</v>
      </c>
      <c r="B52" s="285" t="s">
        <v>2263</v>
      </c>
      <c r="C52" s="285" t="str">
        <f>VLOOKUP(B52,'02. MM-KLH'!$B:$T,4,0)</f>
        <v>3A-6803</v>
      </c>
      <c r="D52" s="285" t="str">
        <f>VLOOKUP(B52,'02. MM-KLH'!$B:$T,3,0)</f>
        <v>A22-XCP-008</v>
      </c>
      <c r="E52" s="285" t="str">
        <f>VLOOKUP(B52,'02. MM-KLH'!$B:$T,6,0)</f>
        <v>Xe chở phân FD150 (8.7m3)</v>
      </c>
      <c r="F52" s="285" t="str">
        <f>VLOOKUP(B52,'02. MM-KLH'!$B:$T,8,0)</f>
        <v>XN Bò AD</v>
      </c>
      <c r="G52" s="285" t="str">
        <f>VLOOKUP(B52,'02. MM-KLH'!$B:$T,13,0)</f>
        <v>THACO FORLAND</v>
      </c>
      <c r="H52" s="283">
        <f>VLOOKUP(B52,'02. MM-KLH'!$B:$T,15,0)</f>
        <v>2024</v>
      </c>
      <c r="I52" s="286" t="str">
        <f>VLOOKUP(B52,'02. MM-KLH'!$B:$T,16,0)</f>
        <v>FD150-4WD</v>
      </c>
      <c r="J52" s="283" t="str">
        <f>VLOOKUP(B52,'02. MM-KLH'!$B:$T,17,0)</f>
        <v>150HP</v>
      </c>
      <c r="K52" s="286" t="str">
        <f>VLOOKUP(B52,'02. MM-KLH'!$B:$T,18,0)</f>
        <v>RNHF16FYART095004</v>
      </c>
      <c r="L52" s="286" t="str">
        <f>VLOOKUP(B52,'02. MM-KLH'!$B:$T,19,0)</f>
        <v>D59M1N01406</v>
      </c>
      <c r="M52" s="6" t="s">
        <v>8260</v>
      </c>
      <c r="N52" s="6" t="s">
        <v>8261</v>
      </c>
      <c r="O52" s="291" t="s">
        <v>8262</v>
      </c>
      <c r="P52" s="294" t="s">
        <v>290</v>
      </c>
      <c r="Q52" s="294" t="s">
        <v>290</v>
      </c>
      <c r="R52" s="291" t="s">
        <v>290</v>
      </c>
    </row>
    <row r="53" ht="33" customHeight="1" spans="1:18">
      <c r="A53" s="283">
        <f t="shared" si="1"/>
        <v>29</v>
      </c>
      <c r="B53" s="285" t="s">
        <v>2278</v>
      </c>
      <c r="C53" s="285" t="str">
        <f>VLOOKUP(B53,'02. MM-KLH'!$B:$T,4,0)</f>
        <v>3A-6802</v>
      </c>
      <c r="D53" s="285" t="str">
        <f>VLOOKUP(B53,'02. MM-KLH'!$B:$T,3,0)</f>
        <v>A22-XCP-011</v>
      </c>
      <c r="E53" s="285" t="str">
        <f>VLOOKUP(B53,'02. MM-KLH'!$B:$T,6,0)</f>
        <v>Xe chở phân FD150 (8.7m3)</v>
      </c>
      <c r="F53" s="285" t="str">
        <f>VLOOKUP(B53,'02. MM-KLH'!$B:$T,8,0)</f>
        <v>XN Bò AD</v>
      </c>
      <c r="G53" s="285" t="str">
        <f>VLOOKUP(B53,'02. MM-KLH'!$B:$T,13,0)</f>
        <v>THACO FORLAND</v>
      </c>
      <c r="H53" s="283">
        <f>VLOOKUP(B53,'02. MM-KLH'!$B:$T,15,0)</f>
        <v>2024</v>
      </c>
      <c r="I53" s="286" t="str">
        <f>VLOOKUP(B53,'02. MM-KLH'!$B:$T,16,0)</f>
        <v>FD150-4WD</v>
      </c>
      <c r="J53" s="283" t="str">
        <f>VLOOKUP(B53,'02. MM-KLH'!$B:$T,17,0)</f>
        <v>150HP</v>
      </c>
      <c r="K53" s="286" t="str">
        <f>VLOOKUP(B53,'02. MM-KLH'!$B:$T,18,0)</f>
        <v>RNHF16FYART094996</v>
      </c>
      <c r="L53" s="286" t="str">
        <f>VLOOKUP(B53,'02. MM-KLH'!$B:$T,19,0)</f>
        <v>D59M1N01392</v>
      </c>
      <c r="M53" s="6" t="s">
        <v>8260</v>
      </c>
      <c r="N53" s="6" t="s">
        <v>8261</v>
      </c>
      <c r="O53" s="291" t="s">
        <v>8262</v>
      </c>
      <c r="P53" s="294" t="s">
        <v>290</v>
      </c>
      <c r="Q53" s="294" t="s">
        <v>290</v>
      </c>
      <c r="R53" s="291" t="s">
        <v>290</v>
      </c>
    </row>
    <row r="54" ht="33" customHeight="1" spans="1:18">
      <c r="A54" s="283">
        <f t="shared" si="1"/>
        <v>30</v>
      </c>
      <c r="B54" s="285" t="s">
        <v>2273</v>
      </c>
      <c r="C54" s="285" t="str">
        <f>VLOOKUP(B54,'02. MM-KLH'!$B:$T,4,0)</f>
        <v>3A-6807</v>
      </c>
      <c r="D54" s="285" t="str">
        <f>VLOOKUP(B54,'02. MM-KLH'!$B:$T,3,0)</f>
        <v>A22-XCP-010</v>
      </c>
      <c r="E54" s="285" t="str">
        <f>VLOOKUP(B54,'02. MM-KLH'!$B:$T,6,0)</f>
        <v>Xe chở phân FD150 (8.7m3)</v>
      </c>
      <c r="F54" s="285" t="str">
        <f>VLOOKUP(B54,'02. MM-KLH'!$B:$T,8,0)</f>
        <v>XN Bò AD</v>
      </c>
      <c r="G54" s="285" t="str">
        <f>VLOOKUP(B54,'02. MM-KLH'!$B:$T,13,0)</f>
        <v>THACO FORLAND</v>
      </c>
      <c r="H54" s="283">
        <f>VLOOKUP(B54,'02. MM-KLH'!$B:$T,15,0)</f>
        <v>2024</v>
      </c>
      <c r="I54" s="286" t="str">
        <f>VLOOKUP(B54,'02. MM-KLH'!$B:$T,16,0)</f>
        <v>FD150-4WD</v>
      </c>
      <c r="J54" s="283" t="str">
        <f>VLOOKUP(B54,'02. MM-KLH'!$B:$T,17,0)</f>
        <v>150HP</v>
      </c>
      <c r="K54" s="286" t="str">
        <f>VLOOKUP(B54,'02. MM-KLH'!$B:$T,18,0)</f>
        <v>RNHF16FYART095001</v>
      </c>
      <c r="L54" s="286" t="str">
        <f>VLOOKUP(B54,'02. MM-KLH'!$B:$T,19,0)</f>
        <v>D59M1N01416</v>
      </c>
      <c r="M54" s="6" t="s">
        <v>8260</v>
      </c>
      <c r="N54" s="6" t="s">
        <v>8261</v>
      </c>
      <c r="O54" s="291" t="s">
        <v>8262</v>
      </c>
      <c r="P54" s="294" t="s">
        <v>290</v>
      </c>
      <c r="Q54" s="294" t="s">
        <v>290</v>
      </c>
      <c r="R54" s="291" t="s">
        <v>290</v>
      </c>
    </row>
    <row r="55" ht="33" customHeight="1" spans="1:18">
      <c r="A55" s="283">
        <f t="shared" si="1"/>
        <v>31</v>
      </c>
      <c r="B55" s="285" t="s">
        <v>2316</v>
      </c>
      <c r="C55" s="285" t="str">
        <f>VLOOKUP(B55,'02. MM-KLH'!$B:$T,4,0)</f>
        <v>3A-6806</v>
      </c>
      <c r="D55" s="285" t="str">
        <f>VLOOKUP(B55,'02. MM-KLH'!$B:$T,3,0)</f>
        <v>A22-XĐK-002</v>
      </c>
      <c r="E55" s="285" t="str">
        <f>VLOOKUP(B55,'02. MM-KLH'!$B:$T,6,0)</f>
        <v>Xe đầu kéo TT261J-MT</v>
      </c>
      <c r="F55" s="285" t="str">
        <f>VLOOKUP(B55,'02. MM-KLH'!$B:$T,8,0)</f>
        <v>XN Bò AD</v>
      </c>
      <c r="G55" s="285" t="str">
        <f>VLOOKUP(B55,'02. MM-KLH'!$B:$T,13,0)</f>
        <v>THACO</v>
      </c>
      <c r="H55" s="283">
        <f>VLOOKUP(B55,'02. MM-KLH'!$B:$T,15,0)</f>
        <v>2024</v>
      </c>
      <c r="I55" s="286" t="str">
        <f>VLOOKUP(B55,'02. MM-KLH'!$B:$T,16,0)</f>
        <v>THACO TT261J-MT</v>
      </c>
      <c r="J55" s="283" t="str">
        <f>VLOOKUP(B55,'02. MM-KLH'!$B:$T,17,0)</f>
        <v>295HP</v>
      </c>
      <c r="K55" s="286" t="str">
        <f>VLOOKUP(B55,'02. MM-KLH'!$B:$T,18,0)</f>
        <v>RNHT16TWART098475</v>
      </c>
      <c r="L55" s="286" t="str">
        <f>VLOOKUP(B55,'02. MM-KLH'!$B:$T,19,0)</f>
        <v>1024A000597</v>
      </c>
      <c r="M55" s="6" t="s">
        <v>8260</v>
      </c>
      <c r="N55" s="6" t="s">
        <v>8261</v>
      </c>
      <c r="O55" s="291" t="s">
        <v>8262</v>
      </c>
      <c r="P55" s="294" t="s">
        <v>290</v>
      </c>
      <c r="Q55" s="294" t="s">
        <v>290</v>
      </c>
      <c r="R55" s="291" t="s">
        <v>290</v>
      </c>
    </row>
    <row r="56" ht="33" customHeight="1" spans="1:18">
      <c r="A56" s="283">
        <f t="shared" si="1"/>
        <v>32</v>
      </c>
      <c r="B56" s="285" t="s">
        <v>2323</v>
      </c>
      <c r="C56" s="285" t="str">
        <f>VLOOKUP(B56,'02. MM-KLH'!$B:$T,4,0)</f>
        <v>3A-6837</v>
      </c>
      <c r="D56" s="285" t="str">
        <f>VLOOKUP(B56,'02. MM-KLH'!$B:$T,3,0)</f>
        <v>A22-XĐK-003</v>
      </c>
      <c r="E56" s="285" t="str">
        <f>VLOOKUP(B56,'02. MM-KLH'!$B:$T,6,0)</f>
        <v>Xe đầu kéo HOWO</v>
      </c>
      <c r="F56" s="285" t="str">
        <f>VLOOKUP(B56,'02. MM-KLH'!$B:$T,8,0)</f>
        <v>XN Bò AD</v>
      </c>
      <c r="G56" s="285" t="str">
        <f>VLOOKUP(B56,'02. MM-KLH'!$B:$T,13,0)</f>
        <v>CNHTC</v>
      </c>
      <c r="H56" s="283">
        <f>VLOOKUP(B56,'02. MM-KLH'!$B:$T,15,0)</f>
        <v>2025</v>
      </c>
      <c r="I56" s="286" t="str">
        <f>VLOOKUP(B56,'02. MM-KLH'!$B:$T,16,0)</f>
        <v>ZZ4187N391JE1</v>
      </c>
      <c r="J56" s="283" t="str">
        <f>VLOOKUP(B56,'02. MM-KLH'!$B:$T,17,0)</f>
        <v>299HP</v>
      </c>
      <c r="K56" s="286" t="str">
        <f>VLOOKUP(B56,'02. MM-KLH'!$B:$T,18,0)</f>
        <v>LZZ1CCMD2SJ416137</v>
      </c>
      <c r="L56" s="286" t="str">
        <f>VLOOKUP(B56,'02. MM-KLH'!$B:$T,19,0)</f>
        <v>WP7.300E51*1025G007299*</v>
      </c>
      <c r="M56" s="295">
        <v>46177</v>
      </c>
      <c r="N56" s="295">
        <v>46908</v>
      </c>
      <c r="O56" s="296">
        <v>46755</v>
      </c>
      <c r="P56" s="294" t="s">
        <v>290</v>
      </c>
      <c r="Q56" s="294" t="s">
        <v>290</v>
      </c>
      <c r="R56" s="291" t="s">
        <v>290</v>
      </c>
    </row>
    <row r="57" ht="33" customHeight="1" spans="1:18">
      <c r="A57" s="283">
        <f t="shared" si="1"/>
        <v>33</v>
      </c>
      <c r="B57" s="285" t="s">
        <v>2331</v>
      </c>
      <c r="C57" s="285" t="str">
        <f>VLOOKUP(B57,'02. MM-KLH'!$B:$T,4,0)</f>
        <v>3A-6839</v>
      </c>
      <c r="D57" s="285" t="str">
        <f>VLOOKUP(B57,'02. MM-KLH'!$B:$T,3,0)</f>
        <v>A22-XĐK-004</v>
      </c>
      <c r="E57" s="285" t="str">
        <f>VLOOKUP(B57,'02. MM-KLH'!$B:$T,6,0)</f>
        <v>Xe đầu kéo HOWO</v>
      </c>
      <c r="F57" s="285" t="str">
        <f>VLOOKUP(B57,'02. MM-KLH'!$B:$T,8,0)</f>
        <v>XN Bò AD</v>
      </c>
      <c r="G57" s="285" t="str">
        <f>VLOOKUP(B57,'02. MM-KLH'!$B:$T,13,0)</f>
        <v>CNHTC</v>
      </c>
      <c r="H57" s="283">
        <f>VLOOKUP(B57,'02. MM-KLH'!$B:$T,15,0)</f>
        <v>2025</v>
      </c>
      <c r="I57" s="286" t="str">
        <f>VLOOKUP(B57,'02. MM-KLH'!$B:$T,16,0)</f>
        <v>ZZ4187N391JE1</v>
      </c>
      <c r="J57" s="283" t="str">
        <f>VLOOKUP(B57,'02. MM-KLH'!$B:$T,17,0)</f>
        <v>299HP</v>
      </c>
      <c r="K57" s="286" t="str">
        <f>VLOOKUP(B57,'02. MM-KLH'!$B:$T,18,0)</f>
        <v>LZZ1CCMD7SJ415209</v>
      </c>
      <c r="L57" s="286" t="str">
        <f>VLOOKUP(B57,'02. MM-KLH'!$B:$T,19,0)</f>
        <v>WP7.300E51*1025G006835*</v>
      </c>
      <c r="M57" s="295">
        <v>46026</v>
      </c>
      <c r="N57" s="295">
        <v>46756</v>
      </c>
      <c r="O57" s="296">
        <v>46755</v>
      </c>
      <c r="P57" s="294" t="s">
        <v>290</v>
      </c>
      <c r="Q57" s="294" t="s">
        <v>290</v>
      </c>
      <c r="R57" s="291" t="s">
        <v>290</v>
      </c>
    </row>
    <row r="58" ht="33" customHeight="1" spans="1:18">
      <c r="A58" s="283">
        <f t="shared" si="1"/>
        <v>34</v>
      </c>
      <c r="B58" s="285" t="s">
        <v>2337</v>
      </c>
      <c r="C58" s="285" t="str">
        <f>VLOOKUP(B58,'02. MM-KLH'!$B:$T,4,0)</f>
        <v>3A-6836</v>
      </c>
      <c r="D58" s="285" t="str">
        <f>VLOOKUP(B58,'02. MM-KLH'!$B:$T,3,0)</f>
        <v>A22-XĐK-005</v>
      </c>
      <c r="E58" s="285" t="str">
        <f>VLOOKUP(B58,'02. MM-KLH'!$B:$T,6,0)</f>
        <v>Xe đầu kéo HOWO</v>
      </c>
      <c r="F58" s="285" t="str">
        <f>VLOOKUP(B58,'02. MM-KLH'!$B:$T,8,0)</f>
        <v>XN Bò AD</v>
      </c>
      <c r="G58" s="285" t="str">
        <f>VLOOKUP(B58,'02. MM-KLH'!$B:$T,13,0)</f>
        <v>CNHTC</v>
      </c>
      <c r="H58" s="283">
        <f>VLOOKUP(B58,'02. MM-KLH'!$B:$T,15,0)</f>
        <v>2025</v>
      </c>
      <c r="I58" s="286" t="str">
        <f>VLOOKUP(B58,'02. MM-KLH'!$B:$T,16,0)</f>
        <v>ZZ4187N391JE1</v>
      </c>
      <c r="J58" s="283" t="str">
        <f>VLOOKUP(B58,'02. MM-KLH'!$B:$T,17,0)</f>
        <v>299HP</v>
      </c>
      <c r="K58" s="286" t="str">
        <f>VLOOKUP(B58,'02. MM-KLH'!$B:$T,18,0)</f>
        <v>LZZ1CCMD3SJ415210</v>
      </c>
      <c r="L58" s="286" t="str">
        <f>VLOOKUP(B58,'02. MM-KLH'!$B:$T,19,0)</f>
        <v>WP7.300E51*1025G006838*</v>
      </c>
      <c r="M58" s="295">
        <v>46026</v>
      </c>
      <c r="N58" s="295">
        <v>46756</v>
      </c>
      <c r="O58" s="296">
        <v>46755</v>
      </c>
      <c r="P58" s="294" t="s">
        <v>290</v>
      </c>
      <c r="Q58" s="294" t="s">
        <v>290</v>
      </c>
      <c r="R58" s="291" t="s">
        <v>290</v>
      </c>
    </row>
    <row r="59" ht="33" customHeight="1" spans="1:18">
      <c r="A59" s="283">
        <f t="shared" si="1"/>
        <v>35</v>
      </c>
      <c r="B59" s="285" t="s">
        <v>2343</v>
      </c>
      <c r="C59" s="285" t="str">
        <f>VLOOKUP(B59,'02. MM-KLH'!$B:$T,4,0)</f>
        <v>3A-6835</v>
      </c>
      <c r="D59" s="285" t="str">
        <f>VLOOKUP(B59,'02. MM-KLH'!$B:$T,3,0)</f>
        <v>A22-XĐK-006</v>
      </c>
      <c r="E59" s="285" t="str">
        <f>VLOOKUP(B59,'02. MM-KLH'!$B:$T,6,0)</f>
        <v>Xe đầu kéo HOWO</v>
      </c>
      <c r="F59" s="285" t="str">
        <f>VLOOKUP(B59,'02. MM-KLH'!$B:$T,8,0)</f>
        <v>XN Bò AD</v>
      </c>
      <c r="G59" s="285" t="str">
        <f>VLOOKUP(B59,'02. MM-KLH'!$B:$T,13,0)</f>
        <v>CNHTC</v>
      </c>
      <c r="H59" s="283">
        <f>VLOOKUP(B59,'02. MM-KLH'!$B:$T,15,0)</f>
        <v>2025</v>
      </c>
      <c r="I59" s="286" t="str">
        <f>VLOOKUP(B59,'02. MM-KLH'!$B:$T,16,0)</f>
        <v>ZZ4187N391JE1</v>
      </c>
      <c r="J59" s="283" t="str">
        <f>VLOOKUP(B59,'02. MM-KLH'!$B:$T,17,0)</f>
        <v>299HP</v>
      </c>
      <c r="K59" s="286" t="str">
        <f>VLOOKUP(B59,'02. MM-KLH'!$B:$T,18,0)</f>
        <v>LZZ1CCMD3SJ415207</v>
      </c>
      <c r="L59" s="286" t="str">
        <f>VLOOKUP(B59,'02. MM-KLH'!$B:$T,19,0)</f>
        <v>WP7.300E51*1025G006833*</v>
      </c>
      <c r="M59" s="295">
        <v>46177</v>
      </c>
      <c r="N59" s="295">
        <v>46908</v>
      </c>
      <c r="O59" s="296">
        <v>46755</v>
      </c>
      <c r="P59" s="294" t="s">
        <v>290</v>
      </c>
      <c r="Q59" s="294" t="s">
        <v>290</v>
      </c>
      <c r="R59" s="291" t="s">
        <v>290</v>
      </c>
    </row>
    <row r="60" ht="33" customHeight="1" spans="1:18">
      <c r="A60" s="283">
        <f t="shared" si="1"/>
        <v>36</v>
      </c>
      <c r="B60" s="285" t="s">
        <v>2350</v>
      </c>
      <c r="C60" s="285" t="str">
        <f>VLOOKUP(B60,'02. MM-KLH'!$B:$T,4,0)</f>
        <v>3A-6840</v>
      </c>
      <c r="D60" s="285" t="str">
        <f>VLOOKUP(B60,'02. MM-KLH'!$B:$T,3,0)</f>
        <v>A22-XĐK-007</v>
      </c>
      <c r="E60" s="285" t="str">
        <f>VLOOKUP(B60,'02. MM-KLH'!$B:$T,6,0)</f>
        <v>Xe đầu kéo HOWO</v>
      </c>
      <c r="F60" s="285" t="str">
        <f>VLOOKUP(B60,'02. MM-KLH'!$B:$T,8,0)</f>
        <v>XN Bò AD</v>
      </c>
      <c r="G60" s="285" t="str">
        <f>VLOOKUP(B60,'02. MM-KLH'!$B:$T,13,0)</f>
        <v>CNHTC</v>
      </c>
      <c r="H60" s="283">
        <f>VLOOKUP(B60,'02. MM-KLH'!$B:$T,15,0)</f>
        <v>2025</v>
      </c>
      <c r="I60" s="286" t="str">
        <f>VLOOKUP(B60,'02. MM-KLH'!$B:$T,16,0)</f>
        <v>ZZ4187N391JE1</v>
      </c>
      <c r="J60" s="283" t="str">
        <f>VLOOKUP(B60,'02. MM-KLH'!$B:$T,17,0)</f>
        <v>299HP</v>
      </c>
      <c r="K60" s="286" t="str">
        <f>VLOOKUP(B60,'02. MM-KLH'!$B:$T,18,0)</f>
        <v>LZZ1CCMD3SJ415208</v>
      </c>
      <c r="L60" s="286" t="str">
        <f>VLOOKUP(B60,'02. MM-KLH'!$B:$T,19,0)</f>
        <v>WP7.300E51*1025G006834*</v>
      </c>
      <c r="M60" s="295">
        <v>46177</v>
      </c>
      <c r="N60" s="295">
        <v>46908</v>
      </c>
      <c r="O60" s="296">
        <v>46755</v>
      </c>
      <c r="P60" s="294" t="s">
        <v>290</v>
      </c>
      <c r="Q60" s="294" t="s">
        <v>290</v>
      </c>
      <c r="R60" s="291" t="s">
        <v>290</v>
      </c>
    </row>
    <row r="61" ht="33" customHeight="1" spans="1:18">
      <c r="A61" s="283">
        <f t="shared" si="1"/>
        <v>37</v>
      </c>
      <c r="B61" s="285" t="s">
        <v>2357</v>
      </c>
      <c r="C61" s="285" t="str">
        <f>VLOOKUP(B61,'02. MM-KLH'!$B:$T,4,0)</f>
        <v>3A-6832</v>
      </c>
      <c r="D61" s="285" t="str">
        <f>VLOOKUP(B61,'02. MM-KLH'!$B:$T,3,0)</f>
        <v>A22-XĐK-008</v>
      </c>
      <c r="E61" s="285" t="str">
        <f>VLOOKUP(B61,'02. MM-KLH'!$B:$T,6,0)</f>
        <v>Xe đầu kéo HOWO</v>
      </c>
      <c r="F61" s="285" t="str">
        <f>VLOOKUP(B61,'02. MM-KLH'!$B:$T,8,0)</f>
        <v>XN Bò AD</v>
      </c>
      <c r="G61" s="285" t="str">
        <f>VLOOKUP(B61,'02. MM-KLH'!$B:$T,13,0)</f>
        <v>CNHTC</v>
      </c>
      <c r="H61" s="283">
        <f>VLOOKUP(B61,'02. MM-KLH'!$B:$T,15,0)</f>
        <v>2025</v>
      </c>
      <c r="I61" s="286" t="str">
        <f>VLOOKUP(B61,'02. MM-KLH'!$B:$T,16,0)</f>
        <v>ZZ4187N391JE1</v>
      </c>
      <c r="J61" s="283" t="str">
        <f>VLOOKUP(B61,'02. MM-KLH'!$B:$T,17,0)</f>
        <v>299HP</v>
      </c>
      <c r="K61" s="286" t="str">
        <f>VLOOKUP(B61,'02. MM-KLH'!$B:$T,18,0)</f>
        <v>LZZ1CCMD4SJ416138</v>
      </c>
      <c r="L61" s="286" t="str">
        <f>VLOOKUP(B61,'02. MM-KLH'!$B:$T,19,0)</f>
        <v>WP7.300E51*1025G007295*</v>
      </c>
      <c r="M61" s="295">
        <v>46026</v>
      </c>
      <c r="N61" s="295">
        <v>46756</v>
      </c>
      <c r="O61" s="296">
        <v>46755</v>
      </c>
      <c r="P61" s="294" t="s">
        <v>290</v>
      </c>
      <c r="Q61" s="294" t="s">
        <v>290</v>
      </c>
      <c r="R61" s="291" t="s">
        <v>290</v>
      </c>
    </row>
    <row r="62" ht="33" customHeight="1" spans="1:18">
      <c r="A62" s="283">
        <f t="shared" si="1"/>
        <v>38</v>
      </c>
      <c r="B62" s="285" t="s">
        <v>2362</v>
      </c>
      <c r="C62" s="285" t="str">
        <f>VLOOKUP(B62,'02. MM-KLH'!$B:$T,4,0)</f>
        <v>3A-6831</v>
      </c>
      <c r="D62" s="285" t="str">
        <f>VLOOKUP(B62,'02. MM-KLH'!$B:$T,3,0)</f>
        <v>A22-XĐK-009</v>
      </c>
      <c r="E62" s="285" t="str">
        <f>VLOOKUP(B62,'02. MM-KLH'!$B:$T,6,0)</f>
        <v>Xe đầu kéo HOWO</v>
      </c>
      <c r="F62" s="285" t="str">
        <f>VLOOKUP(B62,'02. MM-KLH'!$B:$T,8,0)</f>
        <v>XN Bò AD</v>
      </c>
      <c r="G62" s="285" t="str">
        <f>VLOOKUP(B62,'02. MM-KLH'!$B:$T,13,0)</f>
        <v>CNHTC</v>
      </c>
      <c r="H62" s="283">
        <f>VLOOKUP(B62,'02. MM-KLH'!$B:$T,15,0)</f>
        <v>2025</v>
      </c>
      <c r="I62" s="286" t="str">
        <f>VLOOKUP(B62,'02. MM-KLH'!$B:$T,16,0)</f>
        <v>ZZ4187N391JE1</v>
      </c>
      <c r="J62" s="283" t="str">
        <f>VLOOKUP(B62,'02. MM-KLH'!$B:$T,17,0)</f>
        <v>299HP</v>
      </c>
      <c r="K62" s="286" t="str">
        <f>VLOOKUP(B62,'02. MM-KLH'!$B:$T,18,0)</f>
        <v>LZZ1CCMD5SJ416133</v>
      </c>
      <c r="L62" s="286" t="str">
        <f>VLOOKUP(B62,'02. MM-KLH'!$B:$T,19,0)</f>
        <v>WP7.300E51*1025G007305*</v>
      </c>
      <c r="M62" s="295">
        <v>46026</v>
      </c>
      <c r="N62" s="295">
        <v>46756</v>
      </c>
      <c r="O62" s="296">
        <v>46755</v>
      </c>
      <c r="P62" s="294" t="s">
        <v>290</v>
      </c>
      <c r="Q62" s="294" t="s">
        <v>290</v>
      </c>
      <c r="R62" s="291" t="s">
        <v>290</v>
      </c>
    </row>
    <row r="63" ht="33" customHeight="1" spans="1:18">
      <c r="A63" s="283">
        <f t="shared" si="1"/>
        <v>39</v>
      </c>
      <c r="B63" s="285" t="s">
        <v>2369</v>
      </c>
      <c r="C63" s="285" t="str">
        <f>VLOOKUP(B63,'02. MM-KLH'!$B:$T,4,0)</f>
        <v>3A-6842</v>
      </c>
      <c r="D63" s="285" t="str">
        <f>VLOOKUP(B63,'02. MM-KLH'!$B:$T,3,0)</f>
        <v>A22-XĐK-010</v>
      </c>
      <c r="E63" s="285" t="str">
        <f>VLOOKUP(B63,'02. MM-KLH'!$B:$T,6,0)</f>
        <v>Xe đầu kéo HOWO</v>
      </c>
      <c r="F63" s="285" t="str">
        <f>VLOOKUP(B63,'02. MM-KLH'!$B:$T,8,0)</f>
        <v>XN Bò AD</v>
      </c>
      <c r="G63" s="285" t="str">
        <f>VLOOKUP(B63,'02. MM-KLH'!$B:$T,13,0)</f>
        <v>CNHTC</v>
      </c>
      <c r="H63" s="283">
        <f>VLOOKUP(B63,'02. MM-KLH'!$B:$T,15,0)</f>
        <v>2025</v>
      </c>
      <c r="I63" s="286" t="str">
        <f>VLOOKUP(B63,'02. MM-KLH'!$B:$T,16,0)</f>
        <v>ZZ4187N391JE1</v>
      </c>
      <c r="J63" s="283" t="str">
        <f>VLOOKUP(B63,'02. MM-KLH'!$B:$T,17,0)</f>
        <v>299 HP</v>
      </c>
      <c r="K63" s="286" t="str">
        <f>VLOOKUP(B63,'02. MM-KLH'!$B:$T,18,0)</f>
        <v>LZZ1CCMD6SJ416125</v>
      </c>
      <c r="L63" s="286" t="str">
        <f>VLOOKUP(B63,'02. MM-KLH'!$B:$T,19,0)</f>
        <v>WP7.300E51*1025G007298*</v>
      </c>
      <c r="M63" s="295">
        <v>46026</v>
      </c>
      <c r="N63" s="295">
        <v>46756</v>
      </c>
      <c r="O63" s="296">
        <v>46755</v>
      </c>
      <c r="P63" s="294" t="s">
        <v>290</v>
      </c>
      <c r="Q63" s="294" t="s">
        <v>290</v>
      </c>
      <c r="R63" s="291" t="s">
        <v>290</v>
      </c>
    </row>
    <row r="64" ht="33" customHeight="1" spans="1:18">
      <c r="A64" s="283">
        <f t="shared" si="1"/>
        <v>40</v>
      </c>
      <c r="B64" s="285" t="s">
        <v>2376</v>
      </c>
      <c r="C64" s="285" t="str">
        <f>VLOOKUP(B64,'02. MM-KLH'!$B:$T,4,0)</f>
        <v>3A-6838</v>
      </c>
      <c r="D64" s="285" t="str">
        <f>VLOOKUP(B64,'02. MM-KLH'!$B:$T,3,0)</f>
        <v>A22-XĐK-011</v>
      </c>
      <c r="E64" s="285" t="str">
        <f>VLOOKUP(B64,'02. MM-KLH'!$B:$T,6,0)</f>
        <v>Xe đầu kéo HOWO</v>
      </c>
      <c r="F64" s="285" t="str">
        <f>VLOOKUP(B64,'02. MM-KLH'!$B:$T,8,0)</f>
        <v>XN Bò AD</v>
      </c>
      <c r="G64" s="285" t="str">
        <f>VLOOKUP(B64,'02. MM-KLH'!$B:$T,13,0)</f>
        <v>CNHTC</v>
      </c>
      <c r="H64" s="283">
        <f>VLOOKUP(B64,'02. MM-KLH'!$B:$T,15,0)</f>
        <v>2025</v>
      </c>
      <c r="I64" s="286" t="str">
        <f>VLOOKUP(B64,'02. MM-KLH'!$B:$T,16,0)</f>
        <v>ZZ4187N391JE1</v>
      </c>
      <c r="J64" s="283" t="str">
        <f>VLOOKUP(B64,'02. MM-KLH'!$B:$T,17,0)</f>
        <v>299 HP</v>
      </c>
      <c r="K64" s="286" t="str">
        <f>VLOOKUP(B64,'02. MM-KLH'!$B:$T,18,0)</f>
        <v>LZZ1CCMD9SJ416135</v>
      </c>
      <c r="L64" s="286" t="str">
        <f>VLOOKUP(B64,'02. MM-KLH'!$B:$T,19,0)</f>
        <v>WP7.300E51*1025G007310*</v>
      </c>
      <c r="M64" s="295">
        <v>46026</v>
      </c>
      <c r="N64" s="295">
        <v>46756</v>
      </c>
      <c r="O64" s="296">
        <v>46755</v>
      </c>
      <c r="P64" s="294" t="s">
        <v>290</v>
      </c>
      <c r="Q64" s="294" t="s">
        <v>290</v>
      </c>
      <c r="R64" s="291" t="s">
        <v>290</v>
      </c>
    </row>
    <row r="65" ht="33" customHeight="1" spans="1:18">
      <c r="A65" s="283">
        <f t="shared" si="1"/>
        <v>41</v>
      </c>
      <c r="B65" s="285" t="s">
        <v>2382</v>
      </c>
      <c r="C65" s="285" t="str">
        <f>VLOOKUP(B65,'02. MM-KLH'!$B:$T,4,0)</f>
        <v>3A-6830</v>
      </c>
      <c r="D65" s="285" t="str">
        <f>VLOOKUP(B65,'02. MM-KLH'!$B:$T,3,0)</f>
        <v>A22-XĐK-012</v>
      </c>
      <c r="E65" s="285" t="str">
        <f>VLOOKUP(B65,'02. MM-KLH'!$B:$T,6,0)</f>
        <v>Xe đầu kéo HOWO</v>
      </c>
      <c r="F65" s="285" t="str">
        <f>VLOOKUP(B65,'02. MM-KLH'!$B:$T,8,0)</f>
        <v>XN Bò AD</v>
      </c>
      <c r="G65" s="285" t="str">
        <f>VLOOKUP(B65,'02. MM-KLH'!$B:$T,13,0)</f>
        <v>CNHTC</v>
      </c>
      <c r="H65" s="283">
        <f>VLOOKUP(B65,'02. MM-KLH'!$B:$T,15,0)</f>
        <v>2025</v>
      </c>
      <c r="I65" s="286" t="str">
        <f>VLOOKUP(B65,'02. MM-KLH'!$B:$T,16,0)</f>
        <v>ZZ4187N391JE1</v>
      </c>
      <c r="J65" s="283" t="str">
        <f>VLOOKUP(B65,'02. MM-KLH'!$B:$T,17,0)</f>
        <v>299 HP</v>
      </c>
      <c r="K65" s="286" t="str">
        <f>VLOOKUP(B65,'02. MM-KLH'!$B:$T,18,0)</f>
        <v>LZZ1CCMD0SJ416136</v>
      </c>
      <c r="L65" s="286" t="str">
        <f>VLOOKUP(B65,'02. MM-KLH'!$B:$T,19,0)</f>
        <v>WP7.300E51*1025G007303*</v>
      </c>
      <c r="M65" s="295">
        <v>46026</v>
      </c>
      <c r="N65" s="295">
        <v>46756</v>
      </c>
      <c r="O65" s="296">
        <v>46755</v>
      </c>
      <c r="P65" s="294" t="s">
        <v>290</v>
      </c>
      <c r="Q65" s="294" t="s">
        <v>290</v>
      </c>
      <c r="R65" s="291" t="s">
        <v>290</v>
      </c>
    </row>
    <row r="66" ht="33" customHeight="1" spans="1:18">
      <c r="A66" s="283">
        <f t="shared" si="1"/>
        <v>42</v>
      </c>
      <c r="B66" s="285" t="s">
        <v>2388</v>
      </c>
      <c r="C66" s="285" t="str">
        <f>VLOOKUP(B66,'02. MM-KLH'!$B:$T,4,0)</f>
        <v>3A-6834</v>
      </c>
      <c r="D66" s="285" t="str">
        <f>VLOOKUP(B66,'02. MM-KLH'!$B:$T,3,0)</f>
        <v>A22-XĐK-013</v>
      </c>
      <c r="E66" s="285" t="str">
        <f>VLOOKUP(B66,'02. MM-KLH'!$B:$T,6,0)</f>
        <v>Xe đầu kéo HOWO</v>
      </c>
      <c r="F66" s="285" t="str">
        <f>VLOOKUP(B66,'02. MM-KLH'!$B:$T,8,0)</f>
        <v>XN Bò AD</v>
      </c>
      <c r="G66" s="285" t="str">
        <f>VLOOKUP(B66,'02. MM-KLH'!$B:$T,13,0)</f>
        <v>CNHTC</v>
      </c>
      <c r="H66" s="283">
        <f>VLOOKUP(B66,'02. MM-KLH'!$B:$T,15,0)</f>
        <v>2025</v>
      </c>
      <c r="I66" s="286" t="str">
        <f>VLOOKUP(B66,'02. MM-KLH'!$B:$T,16,0)</f>
        <v>ZZ4187N391JE1</v>
      </c>
      <c r="J66" s="283" t="str">
        <f>VLOOKUP(B66,'02. MM-KLH'!$B:$T,17,0)</f>
        <v>299 HP</v>
      </c>
      <c r="K66" s="286" t="str">
        <f>VLOOKUP(B66,'02. MM-KLH'!$B:$T,18,0)</f>
        <v>LZZ1CCMD6SJ416139</v>
      </c>
      <c r="L66" s="286" t="str">
        <f>VLOOKUP(B66,'02. MM-KLH'!$B:$T,19,0)</f>
        <v>WP7.300E51*1025G007301*</v>
      </c>
      <c r="M66" s="295">
        <v>46026</v>
      </c>
      <c r="N66" s="295">
        <v>46756</v>
      </c>
      <c r="O66" s="296">
        <v>46755</v>
      </c>
      <c r="P66" s="294" t="s">
        <v>290</v>
      </c>
      <c r="Q66" s="294" t="s">
        <v>290</v>
      </c>
      <c r="R66" s="291" t="s">
        <v>290</v>
      </c>
    </row>
    <row r="67" ht="33" customHeight="1" spans="1:18">
      <c r="A67" s="283">
        <f t="shared" si="1"/>
        <v>43</v>
      </c>
      <c r="B67" s="285" t="s">
        <v>2283</v>
      </c>
      <c r="C67" s="285" t="str">
        <f>VLOOKUP(B67,'02. MM-KLH'!$B:$T,4,0)</f>
        <v>3A-6841</v>
      </c>
      <c r="D67" s="285" t="str">
        <f>VLOOKUP(B67,'02. MM-KLH'!$B:$T,3,0)</f>
        <v>A22-XCP-012</v>
      </c>
      <c r="E67" s="285" t="str">
        <f>VLOOKUP(B67,'02. MM-KLH'!$B:$T,6,0)</f>
        <v>Xe chở phân FD120 (5.41m3)</v>
      </c>
      <c r="F67" s="285" t="str">
        <f>VLOOKUP(B67,'02. MM-KLH'!$B:$T,8,0)</f>
        <v>XN Bò AD</v>
      </c>
      <c r="G67" s="285" t="str">
        <f>VLOOKUP(B67,'02. MM-KLH'!$B:$T,13,0)</f>
        <v>THACO FORLAND</v>
      </c>
      <c r="H67" s="283">
        <f>VLOOKUP(B67,'02. MM-KLH'!$B:$T,15,0)</f>
        <v>2024</v>
      </c>
      <c r="I67" s="286" t="str">
        <f>VLOOKUP(B67,'02. MM-KLH'!$B:$T,16,0)</f>
        <v> FD120-4WD</v>
      </c>
      <c r="J67" s="283" t="str">
        <f>VLOOKUP(B67,'02. MM-KLH'!$B:$T,17,0)</f>
        <v>129HP</v>
      </c>
      <c r="K67" s="286" t="str">
        <f>VLOOKUP(B67,'02. MM-KLH'!$B:$T,18,0)</f>
        <v>RNHF12FNBRT002112</v>
      </c>
      <c r="L67" s="286" t="str">
        <f>VLOOKUP(B67,'02. MM-KLH'!$B:$T,19,0)</f>
        <v>YN38CRD1*AGN22000292*</v>
      </c>
      <c r="M67" s="6" t="s">
        <v>8263</v>
      </c>
      <c r="N67" s="6" t="s">
        <v>8264</v>
      </c>
      <c r="O67" s="291" t="s">
        <v>8265</v>
      </c>
      <c r="P67" s="294" t="s">
        <v>290</v>
      </c>
      <c r="Q67" s="294" t="s">
        <v>290</v>
      </c>
      <c r="R67" s="291" t="s">
        <v>290</v>
      </c>
    </row>
    <row r="68" ht="33" customHeight="1" spans="1:18">
      <c r="A68" s="283">
        <f t="shared" si="1"/>
        <v>44</v>
      </c>
      <c r="B68" s="285" t="s">
        <v>2294</v>
      </c>
      <c r="C68" s="285" t="str">
        <f>VLOOKUP(B68,'02. MM-KLH'!$B:$T,4,0)</f>
        <v>3A-6833</v>
      </c>
      <c r="D68" s="285" t="str">
        <f>VLOOKUP(B68,'02. MM-KLH'!$B:$T,3,0)</f>
        <v>A22-XCP-014</v>
      </c>
      <c r="E68" s="285" t="str">
        <f>VLOOKUP(B68,'02. MM-KLH'!$B:$T,6,0)</f>
        <v>Xe chở phân FD120 (5.41m3)</v>
      </c>
      <c r="F68" s="285" t="str">
        <f>VLOOKUP(B68,'02. MM-KLH'!$B:$T,8,0)</f>
        <v>XN Bò AD</v>
      </c>
      <c r="G68" s="285" t="str">
        <f>VLOOKUP(B68,'02. MM-KLH'!$B:$T,13,0)</f>
        <v>THACO FORLAND</v>
      </c>
      <c r="H68" s="283">
        <f>VLOOKUP(B68,'02. MM-KLH'!$B:$T,15,0)</f>
        <v>2024</v>
      </c>
      <c r="I68" s="286" t="str">
        <f>VLOOKUP(B68,'02. MM-KLH'!$B:$T,16,0)</f>
        <v> FD120-4WD</v>
      </c>
      <c r="J68" s="283" t="str">
        <f>VLOOKUP(B68,'02. MM-KLH'!$B:$T,17,0)</f>
        <v>129HP</v>
      </c>
      <c r="K68" s="286" t="str">
        <f>VLOOKUP(B68,'02. MM-KLH'!$B:$T,18,0)</f>
        <v>RNHF12FNBRT002117</v>
      </c>
      <c r="L68" s="286" t="str">
        <f>VLOOKUP(B68,'02. MM-KLH'!$B:$T,19,0)</f>
        <v>YN38CRD1*AGN22000297*</v>
      </c>
      <c r="M68" s="6" t="s">
        <v>8263</v>
      </c>
      <c r="N68" s="6" t="s">
        <v>8264</v>
      </c>
      <c r="O68" s="291" t="s">
        <v>8265</v>
      </c>
      <c r="P68" s="294" t="s">
        <v>290</v>
      </c>
      <c r="Q68" s="294" t="s">
        <v>290</v>
      </c>
      <c r="R68" s="291" t="s">
        <v>290</v>
      </c>
    </row>
    <row r="69" ht="33" customHeight="1" spans="1:18">
      <c r="A69" s="283">
        <f t="shared" si="1"/>
        <v>45</v>
      </c>
      <c r="B69" s="285" t="s">
        <v>2899</v>
      </c>
      <c r="C69" s="285" t="str">
        <f>VLOOKUP(B69,'02. MM-KLH'!$B:$T,4,0)</f>
        <v>2A-0518</v>
      </c>
      <c r="D69" s="285" t="str">
        <f>VLOOKUP(B69,'02. MM-KLH'!$B:$T,3,0)</f>
        <v>A22-TCD-004</v>
      </c>
      <c r="E69" s="285" t="str">
        <f>VLOOKUP(B69,'02. MM-KLH'!$B:$T,6,0)</f>
        <v>Xe tải chuyên dụng (thùng SCLĐ)</v>
      </c>
      <c r="F69" s="285" t="str">
        <f>VLOOKUP(B69,'02. MM-KLH'!$B:$T,8,0)</f>
        <v>BAN CG-CK &amp; SXCN</v>
      </c>
      <c r="G69" s="285" t="str">
        <f>VLOOKUP(B69,'02. MM-KLH'!$B:$T,13,0)</f>
        <v>THACO KIA</v>
      </c>
      <c r="H69" s="283">
        <f>VLOOKUP(B69,'02. MM-KLH'!$B:$T,15,0)</f>
        <v>2024</v>
      </c>
      <c r="I69" s="286" t="str">
        <f>VLOOKUP(B69,'02. MM-KLH'!$B:$T,16,0)</f>
        <v>KIA K200SD</v>
      </c>
      <c r="J69" s="283" t="str">
        <f>VLOOKUP(B69,'02. MM-KLH'!$B:$T,17,0)</f>
        <v>130HP</v>
      </c>
      <c r="K69" s="286" t="str">
        <f>VLOOKUP(B69,'02. MM-KLH'!$B:$T,18,0)</f>
        <v>RNHF39KHBMT045676</v>
      </c>
      <c r="L69" s="286" t="str">
        <f>VLOOKUP(B69,'02. MM-KLH'!$B:$T,19,0)</f>
        <v>MD540074D4CB</v>
      </c>
      <c r="M69" s="6" t="s">
        <v>8263</v>
      </c>
      <c r="N69" s="6" t="s">
        <v>8264</v>
      </c>
      <c r="O69" s="291" t="s">
        <v>8265</v>
      </c>
      <c r="P69" s="294" t="s">
        <v>290</v>
      </c>
      <c r="Q69" s="294" t="s">
        <v>290</v>
      </c>
      <c r="R69" s="291" t="s">
        <v>290</v>
      </c>
    </row>
    <row r="70" ht="33" customHeight="1" spans="1:18">
      <c r="A70" s="283">
        <f t="shared" si="1"/>
        <v>46</v>
      </c>
      <c r="B70" s="285"/>
      <c r="C70" s="285"/>
      <c r="D70" s="285"/>
      <c r="E70" s="285"/>
      <c r="F70" s="285"/>
      <c r="G70" s="285"/>
      <c r="H70" s="283"/>
      <c r="I70" s="286"/>
      <c r="J70" s="283"/>
      <c r="K70" s="286"/>
      <c r="L70" s="286"/>
      <c r="M70" s="6"/>
      <c r="N70" s="6"/>
      <c r="O70" s="291"/>
      <c r="P70" s="294"/>
      <c r="Q70" s="294"/>
      <c r="R70" s="291"/>
    </row>
    <row r="71" ht="33" customHeight="1" spans="1:18">
      <c r="A71" s="283">
        <f t="shared" si="1"/>
        <v>47</v>
      </c>
      <c r="B71" s="285"/>
      <c r="C71" s="285"/>
      <c r="D71" s="285"/>
      <c r="E71" s="285"/>
      <c r="F71" s="285"/>
      <c r="G71" s="285"/>
      <c r="H71" s="283"/>
      <c r="I71" s="286"/>
      <c r="J71" s="283"/>
      <c r="K71" s="286"/>
      <c r="L71" s="286"/>
      <c r="M71" s="6"/>
      <c r="N71" s="6"/>
      <c r="O71" s="291"/>
      <c r="P71" s="294"/>
      <c r="Q71" s="294"/>
      <c r="R71" s="291"/>
    </row>
    <row r="72" ht="33" customHeight="1" spans="1:18">
      <c r="A72" s="283">
        <f t="shared" si="1"/>
        <v>48</v>
      </c>
      <c r="B72" s="285"/>
      <c r="C72" s="285"/>
      <c r="D72" s="285"/>
      <c r="E72" s="285"/>
      <c r="F72" s="285"/>
      <c r="G72" s="285"/>
      <c r="H72" s="283"/>
      <c r="I72" s="286"/>
      <c r="J72" s="283"/>
      <c r="K72" s="286"/>
      <c r="L72" s="286"/>
      <c r="M72" s="6"/>
      <c r="N72" s="6"/>
      <c r="O72" s="291"/>
      <c r="P72" s="294"/>
      <c r="Q72" s="294"/>
      <c r="R72" s="291"/>
    </row>
    <row r="73" ht="33" customHeight="1" spans="1:18">
      <c r="A73" s="283">
        <f t="shared" si="1"/>
        <v>49</v>
      </c>
      <c r="B73" s="285"/>
      <c r="C73" s="285"/>
      <c r="D73" s="285"/>
      <c r="E73" s="285"/>
      <c r="F73" s="285"/>
      <c r="G73" s="285"/>
      <c r="H73" s="283"/>
      <c r="I73" s="286"/>
      <c r="J73" s="283"/>
      <c r="K73" s="286"/>
      <c r="L73" s="286"/>
      <c r="M73" s="6"/>
      <c r="N73" s="6"/>
      <c r="O73" s="291"/>
      <c r="P73" s="294"/>
      <c r="Q73" s="294"/>
      <c r="R73" s="291"/>
    </row>
    <row r="74" ht="33" customHeight="1" spans="1:18">
      <c r="A74" s="283">
        <f t="shared" si="1"/>
        <v>50</v>
      </c>
      <c r="B74" s="285"/>
      <c r="C74" s="285"/>
      <c r="D74" s="285"/>
      <c r="E74" s="285"/>
      <c r="F74" s="285"/>
      <c r="G74" s="285"/>
      <c r="H74" s="283"/>
      <c r="I74" s="286"/>
      <c r="J74" s="283"/>
      <c r="K74" s="286"/>
      <c r="L74" s="286"/>
      <c r="M74" s="6"/>
      <c r="N74" s="6"/>
      <c r="O74" s="291"/>
      <c r="P74" s="294"/>
      <c r="Q74" s="294"/>
      <c r="R74" s="291"/>
    </row>
    <row r="75" ht="33" customHeight="1" spans="1:18">
      <c r="A75" s="283">
        <f t="shared" si="1"/>
        <v>51</v>
      </c>
      <c r="B75" s="285"/>
      <c r="C75" s="285"/>
      <c r="D75" s="285"/>
      <c r="E75" s="285"/>
      <c r="F75" s="285"/>
      <c r="G75" s="285"/>
      <c r="H75" s="283"/>
      <c r="I75" s="286"/>
      <c r="J75" s="283"/>
      <c r="K75" s="286"/>
      <c r="L75" s="286"/>
      <c r="M75" s="6"/>
      <c r="N75" s="6"/>
      <c r="O75" s="291"/>
      <c r="P75" s="294"/>
      <c r="Q75" s="294"/>
      <c r="R75" s="291"/>
    </row>
    <row r="76" ht="33" customHeight="1" spans="1:18">
      <c r="A76" s="283">
        <f t="shared" si="1"/>
        <v>52</v>
      </c>
      <c r="B76" s="285"/>
      <c r="C76" s="285"/>
      <c r="D76" s="285"/>
      <c r="E76" s="285"/>
      <c r="F76" s="285"/>
      <c r="G76" s="285"/>
      <c r="H76" s="283"/>
      <c r="I76" s="286"/>
      <c r="J76" s="283"/>
      <c r="K76" s="286"/>
      <c r="L76" s="286"/>
      <c r="M76" s="6"/>
      <c r="N76" s="6"/>
      <c r="O76" s="291"/>
      <c r="P76" s="294"/>
      <c r="Q76" s="294"/>
      <c r="R76" s="291"/>
    </row>
    <row r="77" ht="33" customHeight="1" spans="1:18">
      <c r="A77" s="283">
        <f t="shared" si="1"/>
        <v>53</v>
      </c>
      <c r="B77" s="285"/>
      <c r="C77" s="285"/>
      <c r="D77" s="285"/>
      <c r="E77" s="285"/>
      <c r="F77" s="285"/>
      <c r="G77" s="285"/>
      <c r="H77" s="283"/>
      <c r="I77" s="286"/>
      <c r="J77" s="283"/>
      <c r="K77" s="286"/>
      <c r="L77" s="286"/>
      <c r="M77" s="6"/>
      <c r="N77" s="6"/>
      <c r="O77" s="291"/>
      <c r="P77" s="294"/>
      <c r="Q77" s="294"/>
      <c r="R77" s="291"/>
    </row>
    <row r="78" ht="33" customHeight="1" spans="1:18">
      <c r="A78" s="283">
        <f t="shared" si="1"/>
        <v>54</v>
      </c>
      <c r="B78" s="285"/>
      <c r="C78" s="285"/>
      <c r="D78" s="285"/>
      <c r="E78" s="285"/>
      <c r="F78" s="285"/>
      <c r="G78" s="285"/>
      <c r="H78" s="283"/>
      <c r="I78" s="286"/>
      <c r="J78" s="283"/>
      <c r="K78" s="286"/>
      <c r="L78" s="286"/>
      <c r="M78" s="6"/>
      <c r="N78" s="6"/>
      <c r="O78" s="291"/>
      <c r="P78" s="294"/>
      <c r="Q78" s="294"/>
      <c r="R78" s="291"/>
    </row>
    <row r="79" ht="33" customHeight="1" spans="1:18">
      <c r="A79" s="283">
        <f t="shared" si="1"/>
        <v>55</v>
      </c>
      <c r="B79" s="285"/>
      <c r="C79" s="285"/>
      <c r="D79" s="285"/>
      <c r="E79" s="285"/>
      <c r="F79" s="285"/>
      <c r="G79" s="285"/>
      <c r="H79" s="283"/>
      <c r="I79" s="286"/>
      <c r="J79" s="283"/>
      <c r="K79" s="286"/>
      <c r="L79" s="286"/>
      <c r="M79" s="6"/>
      <c r="N79" s="6"/>
      <c r="O79" s="291"/>
      <c r="P79" s="294"/>
      <c r="Q79" s="294"/>
      <c r="R79" s="291"/>
    </row>
    <row r="80" ht="33" customHeight="1" spans="1:18">
      <c r="A80" s="283">
        <f t="shared" si="1"/>
        <v>56</v>
      </c>
      <c r="B80" s="285"/>
      <c r="C80" s="285"/>
      <c r="D80" s="285"/>
      <c r="E80" s="285"/>
      <c r="F80" s="285"/>
      <c r="G80" s="285"/>
      <c r="H80" s="283"/>
      <c r="I80" s="286"/>
      <c r="J80" s="283"/>
      <c r="K80" s="286"/>
      <c r="L80" s="286"/>
      <c r="M80" s="6"/>
      <c r="N80" s="6"/>
      <c r="O80" s="291"/>
      <c r="P80" s="294"/>
      <c r="Q80" s="294"/>
      <c r="R80" s="291"/>
    </row>
    <row r="81" ht="33" customHeight="1" spans="1:18">
      <c r="A81" s="283">
        <f t="shared" si="1"/>
        <v>57</v>
      </c>
      <c r="B81" s="285"/>
      <c r="C81" s="285"/>
      <c r="D81" s="285"/>
      <c r="E81" s="285"/>
      <c r="F81" s="285"/>
      <c r="G81" s="285"/>
      <c r="H81" s="283"/>
      <c r="I81" s="286"/>
      <c r="J81" s="283"/>
      <c r="K81" s="286"/>
      <c r="L81" s="286"/>
      <c r="M81" s="6"/>
      <c r="N81" s="6"/>
      <c r="O81" s="291"/>
      <c r="P81" s="294"/>
      <c r="Q81" s="294"/>
      <c r="R81" s="291"/>
    </row>
    <row r="82" ht="33" customHeight="1" spans="1:18">
      <c r="A82" s="283">
        <f t="shared" si="1"/>
        <v>58</v>
      </c>
      <c r="B82" s="285"/>
      <c r="C82" s="285"/>
      <c r="D82" s="285"/>
      <c r="E82" s="285"/>
      <c r="F82" s="285"/>
      <c r="G82" s="285"/>
      <c r="H82" s="283"/>
      <c r="I82" s="286"/>
      <c r="J82" s="283"/>
      <c r="K82" s="286"/>
      <c r="L82" s="286"/>
      <c r="M82" s="6"/>
      <c r="N82" s="6"/>
      <c r="O82" s="291"/>
      <c r="P82" s="294"/>
      <c r="Q82" s="294"/>
      <c r="R82" s="291"/>
    </row>
    <row r="83" ht="33" customHeight="1" spans="1:18">
      <c r="A83" s="283">
        <f t="shared" si="1"/>
        <v>59</v>
      </c>
      <c r="B83" s="285"/>
      <c r="C83" s="285"/>
      <c r="D83" s="285"/>
      <c r="E83" s="285"/>
      <c r="F83" s="285"/>
      <c r="G83" s="285"/>
      <c r="H83" s="283"/>
      <c r="I83" s="286"/>
      <c r="J83" s="283"/>
      <c r="K83" s="286"/>
      <c r="L83" s="286"/>
      <c r="M83" s="6"/>
      <c r="N83" s="6"/>
      <c r="O83" s="291"/>
      <c r="P83" s="294"/>
      <c r="Q83" s="294"/>
      <c r="R83" s="291"/>
    </row>
    <row r="84" ht="33" customHeight="1" spans="1:18">
      <c r="A84" s="283">
        <f t="shared" si="1"/>
        <v>60</v>
      </c>
      <c r="B84" s="285"/>
      <c r="C84" s="285"/>
      <c r="D84" s="285"/>
      <c r="E84" s="285"/>
      <c r="F84" s="285"/>
      <c r="G84" s="285"/>
      <c r="H84" s="283"/>
      <c r="I84" s="286"/>
      <c r="J84" s="283"/>
      <c r="K84" s="286"/>
      <c r="L84" s="286"/>
      <c r="M84" s="6"/>
      <c r="N84" s="6"/>
      <c r="O84" s="291"/>
      <c r="P84" s="294"/>
      <c r="Q84" s="294"/>
      <c r="R84" s="291"/>
    </row>
    <row r="85" ht="33" customHeight="1" spans="1:18">
      <c r="A85" s="283">
        <f t="shared" si="1"/>
        <v>61</v>
      </c>
      <c r="B85" s="285"/>
      <c r="C85" s="285"/>
      <c r="D85" s="285"/>
      <c r="E85" s="285"/>
      <c r="F85" s="285"/>
      <c r="G85" s="285"/>
      <c r="H85" s="283"/>
      <c r="I85" s="286"/>
      <c r="J85" s="283"/>
      <c r="K85" s="286"/>
      <c r="L85" s="286"/>
      <c r="M85" s="6"/>
      <c r="N85" s="6"/>
      <c r="O85" s="291"/>
      <c r="P85" s="294"/>
      <c r="Q85" s="294"/>
      <c r="R85" s="291"/>
    </row>
    <row r="86" ht="33" customHeight="1" spans="1:18">
      <c r="A86" s="283">
        <f t="shared" si="1"/>
        <v>62</v>
      </c>
      <c r="B86" s="285"/>
      <c r="C86" s="285"/>
      <c r="D86" s="285"/>
      <c r="E86" s="285"/>
      <c r="F86" s="285"/>
      <c r="G86" s="285"/>
      <c r="H86" s="283"/>
      <c r="I86" s="286"/>
      <c r="J86" s="283"/>
      <c r="K86" s="286"/>
      <c r="L86" s="286"/>
      <c r="M86" s="6"/>
      <c r="N86" s="6"/>
      <c r="O86" s="291"/>
      <c r="P86" s="294"/>
      <c r="Q86" s="294"/>
      <c r="R86" s="291"/>
    </row>
    <row r="87" ht="33" customHeight="1" spans="1:18">
      <c r="A87" s="283">
        <f t="shared" si="1"/>
        <v>63</v>
      </c>
      <c r="B87" s="285"/>
      <c r="C87" s="285"/>
      <c r="D87" s="285"/>
      <c r="E87" s="285"/>
      <c r="F87" s="285"/>
      <c r="G87" s="285"/>
      <c r="H87" s="283"/>
      <c r="I87" s="286"/>
      <c r="J87" s="283"/>
      <c r="K87" s="286"/>
      <c r="L87" s="286"/>
      <c r="M87" s="6"/>
      <c r="N87" s="6"/>
      <c r="O87" s="291"/>
      <c r="P87" s="294"/>
      <c r="Q87" s="294"/>
      <c r="R87" s="291"/>
    </row>
    <row r="88" ht="33" customHeight="1" spans="1:18">
      <c r="A88" s="283">
        <f t="shared" si="1"/>
        <v>64</v>
      </c>
      <c r="B88" s="285"/>
      <c r="C88" s="285"/>
      <c r="D88" s="285"/>
      <c r="E88" s="285"/>
      <c r="F88" s="285"/>
      <c r="G88" s="285"/>
      <c r="H88" s="283"/>
      <c r="I88" s="286"/>
      <c r="J88" s="283"/>
      <c r="K88" s="286"/>
      <c r="L88" s="286"/>
      <c r="M88" s="6"/>
      <c r="N88" s="6"/>
      <c r="O88" s="291"/>
      <c r="P88" s="294"/>
      <c r="Q88" s="294"/>
      <c r="R88" s="291"/>
    </row>
    <row r="89" ht="33" customHeight="1" spans="1:18">
      <c r="A89" s="283">
        <f t="shared" si="1"/>
        <v>65</v>
      </c>
      <c r="B89" s="285"/>
      <c r="C89" s="285"/>
      <c r="D89" s="285"/>
      <c r="E89" s="285"/>
      <c r="F89" s="285"/>
      <c r="G89" s="285"/>
      <c r="H89" s="283"/>
      <c r="I89" s="286"/>
      <c r="J89" s="283"/>
      <c r="K89" s="286"/>
      <c r="L89" s="286"/>
      <c r="M89" s="6"/>
      <c r="N89" s="6"/>
      <c r="O89" s="291"/>
      <c r="P89" s="294"/>
      <c r="Q89" s="294"/>
      <c r="R89" s="291"/>
    </row>
    <row r="90" ht="33" customHeight="1" spans="1:18">
      <c r="A90" s="283">
        <f t="shared" si="1"/>
        <v>66</v>
      </c>
      <c r="B90" s="285"/>
      <c r="C90" s="285"/>
      <c r="D90" s="285"/>
      <c r="E90" s="285"/>
      <c r="F90" s="285"/>
      <c r="G90" s="285"/>
      <c r="H90" s="283"/>
      <c r="I90" s="286"/>
      <c r="J90" s="283"/>
      <c r="K90" s="286"/>
      <c r="L90" s="286"/>
      <c r="M90" s="6"/>
      <c r="N90" s="6"/>
      <c r="O90" s="291"/>
      <c r="P90" s="294"/>
      <c r="Q90" s="294"/>
      <c r="R90" s="291"/>
    </row>
    <row r="91" ht="33" customHeight="1" spans="1:18">
      <c r="A91" s="283">
        <f t="shared" si="1"/>
        <v>67</v>
      </c>
      <c r="B91" s="285"/>
      <c r="C91" s="285"/>
      <c r="D91" s="285"/>
      <c r="E91" s="285"/>
      <c r="F91" s="285"/>
      <c r="G91" s="285"/>
      <c r="H91" s="283"/>
      <c r="I91" s="286"/>
      <c r="J91" s="283"/>
      <c r="K91" s="286"/>
      <c r="L91" s="286"/>
      <c r="M91" s="6"/>
      <c r="N91" s="6"/>
      <c r="O91" s="291"/>
      <c r="P91" s="294"/>
      <c r="Q91" s="294"/>
      <c r="R91" s="291"/>
    </row>
    <row r="92" ht="33" customHeight="1" spans="1:18">
      <c r="A92" s="283">
        <f t="shared" si="1"/>
        <v>68</v>
      </c>
      <c r="B92" s="285"/>
      <c r="C92" s="285"/>
      <c r="D92" s="285"/>
      <c r="E92" s="285"/>
      <c r="F92" s="285"/>
      <c r="G92" s="285"/>
      <c r="H92" s="283"/>
      <c r="I92" s="286"/>
      <c r="J92" s="283"/>
      <c r="K92" s="286"/>
      <c r="L92" s="286"/>
      <c r="M92" s="6"/>
      <c r="N92" s="6"/>
      <c r="O92" s="291"/>
      <c r="P92" s="294"/>
      <c r="Q92" s="294"/>
      <c r="R92" s="291"/>
    </row>
    <row r="93" ht="33" customHeight="1" spans="1:18">
      <c r="A93" s="283">
        <f t="shared" si="1"/>
        <v>69</v>
      </c>
      <c r="B93" s="285"/>
      <c r="C93" s="285"/>
      <c r="D93" s="285"/>
      <c r="E93" s="285"/>
      <c r="F93" s="285"/>
      <c r="G93" s="285"/>
      <c r="H93" s="283"/>
      <c r="I93" s="286"/>
      <c r="J93" s="283"/>
      <c r="K93" s="286"/>
      <c r="L93" s="286"/>
      <c r="M93" s="6"/>
      <c r="N93" s="6"/>
      <c r="O93" s="291"/>
      <c r="P93" s="294"/>
      <c r="Q93" s="294"/>
      <c r="R93" s="291"/>
    </row>
    <row r="94" ht="33" customHeight="1" spans="1:18">
      <c r="A94" s="283">
        <f t="shared" si="1"/>
        <v>70</v>
      </c>
      <c r="B94" s="285"/>
      <c r="C94" s="285"/>
      <c r="D94" s="285"/>
      <c r="E94" s="285"/>
      <c r="F94" s="285"/>
      <c r="G94" s="285"/>
      <c r="H94" s="283"/>
      <c r="I94" s="286"/>
      <c r="J94" s="283"/>
      <c r="K94" s="286"/>
      <c r="L94" s="286"/>
      <c r="M94" s="6"/>
      <c r="N94" s="6"/>
      <c r="O94" s="291"/>
      <c r="P94" s="294"/>
      <c r="Q94" s="294"/>
      <c r="R94" s="291"/>
    </row>
    <row r="95" ht="33" customHeight="1" spans="1:18">
      <c r="A95" s="283">
        <f t="shared" si="1"/>
        <v>71</v>
      </c>
      <c r="B95" s="285"/>
      <c r="C95" s="285"/>
      <c r="D95" s="285"/>
      <c r="E95" s="285"/>
      <c r="F95" s="285"/>
      <c r="G95" s="285"/>
      <c r="H95" s="283"/>
      <c r="I95" s="286"/>
      <c r="J95" s="283"/>
      <c r="K95" s="286"/>
      <c r="L95" s="286"/>
      <c r="M95" s="6"/>
      <c r="N95" s="6"/>
      <c r="O95" s="291"/>
      <c r="P95" s="294"/>
      <c r="Q95" s="294"/>
      <c r="R95" s="291"/>
    </row>
    <row r="96" ht="33" customHeight="1" spans="1:18">
      <c r="A96" s="283">
        <f t="shared" si="1"/>
        <v>72</v>
      </c>
      <c r="B96" s="285"/>
      <c r="C96" s="285"/>
      <c r="D96" s="285"/>
      <c r="E96" s="285"/>
      <c r="F96" s="285"/>
      <c r="G96" s="285"/>
      <c r="H96" s="283"/>
      <c r="I96" s="286"/>
      <c r="J96" s="283"/>
      <c r="K96" s="286"/>
      <c r="L96" s="286"/>
      <c r="M96" s="6"/>
      <c r="N96" s="6"/>
      <c r="O96" s="291"/>
      <c r="P96" s="294"/>
      <c r="Q96" s="294"/>
      <c r="R96" s="291"/>
    </row>
    <row r="97" ht="33" customHeight="1" spans="1:18">
      <c r="A97" s="283">
        <f t="shared" si="1"/>
        <v>73</v>
      </c>
      <c r="B97" s="285"/>
      <c r="C97" s="285"/>
      <c r="D97" s="285"/>
      <c r="E97" s="285"/>
      <c r="F97" s="285"/>
      <c r="G97" s="285"/>
      <c r="H97" s="283"/>
      <c r="I97" s="286"/>
      <c r="J97" s="283"/>
      <c r="K97" s="286"/>
      <c r="L97" s="286"/>
      <c r="M97" s="6"/>
      <c r="N97" s="6"/>
      <c r="O97" s="291"/>
      <c r="P97" s="294"/>
      <c r="Q97" s="294"/>
      <c r="R97" s="291"/>
    </row>
    <row r="98" ht="33" customHeight="1" spans="1:18">
      <c r="A98" s="283">
        <f t="shared" si="1"/>
        <v>74</v>
      </c>
      <c r="B98" s="285"/>
      <c r="C98" s="285"/>
      <c r="D98" s="285"/>
      <c r="E98" s="285"/>
      <c r="F98" s="285"/>
      <c r="G98" s="285"/>
      <c r="H98" s="283"/>
      <c r="I98" s="286"/>
      <c r="J98" s="283"/>
      <c r="K98" s="286"/>
      <c r="L98" s="286"/>
      <c r="M98" s="6"/>
      <c r="N98" s="6"/>
      <c r="O98" s="291"/>
      <c r="P98" s="294"/>
      <c r="Q98" s="294"/>
      <c r="R98" s="291"/>
    </row>
    <row r="99" ht="33" customHeight="1" spans="1:18">
      <c r="A99" s="283">
        <f t="shared" si="1"/>
        <v>75</v>
      </c>
      <c r="B99" s="285"/>
      <c r="C99" s="285"/>
      <c r="D99" s="285"/>
      <c r="E99" s="285"/>
      <c r="F99" s="285"/>
      <c r="G99" s="285"/>
      <c r="H99" s="283"/>
      <c r="I99" s="286"/>
      <c r="J99" s="283"/>
      <c r="K99" s="286"/>
      <c r="L99" s="286"/>
      <c r="M99" s="6"/>
      <c r="N99" s="6"/>
      <c r="O99" s="291"/>
      <c r="P99" s="294"/>
      <c r="Q99" s="294"/>
      <c r="R99" s="291"/>
    </row>
    <row r="100" ht="33" customHeight="1" spans="1:18">
      <c r="A100" s="283">
        <f t="shared" si="1"/>
        <v>76</v>
      </c>
      <c r="B100" s="285"/>
      <c r="C100" s="285"/>
      <c r="D100" s="285"/>
      <c r="E100" s="285"/>
      <c r="F100" s="285"/>
      <c r="G100" s="285"/>
      <c r="H100" s="283"/>
      <c r="I100" s="286"/>
      <c r="J100" s="283"/>
      <c r="K100" s="286"/>
      <c r="L100" s="286"/>
      <c r="M100" s="6"/>
      <c r="N100" s="6"/>
      <c r="O100" s="291"/>
      <c r="P100" s="294"/>
      <c r="Q100" s="294"/>
      <c r="R100" s="291"/>
    </row>
    <row r="101" ht="14.25" customHeight="1" spans="1:18">
      <c r="A101" s="283">
        <f t="shared" si="1"/>
        <v>77</v>
      </c>
      <c r="B101" s="285"/>
      <c r="C101" s="285"/>
      <c r="D101" s="285"/>
      <c r="E101" s="285"/>
      <c r="F101" s="285"/>
      <c r="G101" s="285"/>
      <c r="H101" s="283"/>
      <c r="I101" s="286"/>
      <c r="J101" s="283"/>
      <c r="K101" s="286"/>
      <c r="L101" s="286"/>
      <c r="M101" s="21"/>
      <c r="N101" s="21"/>
      <c r="O101" s="21"/>
      <c r="P101" s="269"/>
      <c r="Q101" s="269"/>
      <c r="R101" s="269"/>
    </row>
    <row r="102" ht="14.25" customHeight="1" spans="1:18">
      <c r="A102" s="283">
        <f t="shared" si="1"/>
        <v>78</v>
      </c>
      <c r="B102" s="285"/>
      <c r="C102" s="285"/>
      <c r="D102" s="285"/>
      <c r="E102" s="285"/>
      <c r="F102" s="285"/>
      <c r="G102" s="285"/>
      <c r="H102" s="283"/>
      <c r="I102" s="286"/>
      <c r="J102" s="283"/>
      <c r="K102" s="286"/>
      <c r="L102" s="286"/>
      <c r="M102" s="21"/>
      <c r="N102" s="21"/>
      <c r="O102" s="21"/>
      <c r="P102" s="269"/>
      <c r="Q102" s="269"/>
      <c r="R102" s="269"/>
    </row>
    <row r="103" ht="14.25" customHeight="1" spans="1:18">
      <c r="A103" s="283">
        <f t="shared" si="1"/>
        <v>79</v>
      </c>
      <c r="B103" s="285"/>
      <c r="C103" s="285"/>
      <c r="D103" s="285"/>
      <c r="E103" s="285"/>
      <c r="F103" s="285"/>
      <c r="G103" s="285"/>
      <c r="H103" s="283"/>
      <c r="I103" s="286"/>
      <c r="J103" s="283"/>
      <c r="K103" s="286"/>
      <c r="L103" s="286"/>
      <c r="M103" s="21"/>
      <c r="N103" s="21"/>
      <c r="O103" s="21"/>
      <c r="P103" s="269"/>
      <c r="Q103" s="269"/>
      <c r="R103" s="269"/>
    </row>
    <row r="104" ht="14.25" customHeight="1" spans="1:18">
      <c r="A104" s="283">
        <f t="shared" si="1"/>
        <v>80</v>
      </c>
      <c r="B104" s="285"/>
      <c r="C104" s="285"/>
      <c r="D104" s="285"/>
      <c r="E104" s="285"/>
      <c r="F104" s="285"/>
      <c r="G104" s="285"/>
      <c r="H104" s="283"/>
      <c r="I104" s="286"/>
      <c r="J104" s="283"/>
      <c r="K104" s="286"/>
      <c r="L104" s="286"/>
      <c r="M104" s="21"/>
      <c r="N104" s="21"/>
      <c r="O104" s="21"/>
      <c r="P104" s="269"/>
      <c r="Q104" s="269"/>
      <c r="R104" s="269"/>
    </row>
    <row r="105" ht="14.25" customHeight="1" spans="1:18">
      <c r="A105" s="283">
        <f t="shared" si="1"/>
        <v>81</v>
      </c>
      <c r="B105" s="285"/>
      <c r="C105" s="285"/>
      <c r="D105" s="285"/>
      <c r="E105" s="285"/>
      <c r="F105" s="285"/>
      <c r="G105" s="285"/>
      <c r="H105" s="283"/>
      <c r="I105" s="286"/>
      <c r="J105" s="283"/>
      <c r="K105" s="286"/>
      <c r="L105" s="286"/>
      <c r="M105" s="21"/>
      <c r="N105" s="21"/>
      <c r="O105" s="21"/>
      <c r="P105" s="269"/>
      <c r="Q105" s="269"/>
      <c r="R105" s="269"/>
    </row>
    <row r="106" ht="14.25" customHeight="1" spans="1:18">
      <c r="A106" s="283">
        <f t="shared" si="1"/>
        <v>82</v>
      </c>
      <c r="B106" s="285"/>
      <c r="C106" s="285"/>
      <c r="D106" s="285"/>
      <c r="E106" s="285"/>
      <c r="F106" s="285"/>
      <c r="G106" s="285"/>
      <c r="H106" s="283"/>
      <c r="I106" s="286"/>
      <c r="J106" s="283"/>
      <c r="K106" s="286"/>
      <c r="L106" s="286"/>
      <c r="M106" s="21"/>
      <c r="N106" s="21"/>
      <c r="O106" s="21"/>
      <c r="P106" s="269"/>
      <c r="Q106" s="269"/>
      <c r="R106" s="269"/>
    </row>
    <row r="107" ht="14.25" customHeight="1" spans="1:18">
      <c r="A107" s="283">
        <f t="shared" si="1"/>
        <v>83</v>
      </c>
      <c r="B107" s="285"/>
      <c r="C107" s="285"/>
      <c r="D107" s="285"/>
      <c r="E107" s="285"/>
      <c r="F107" s="285"/>
      <c r="G107" s="285"/>
      <c r="H107" s="283"/>
      <c r="I107" s="286"/>
      <c r="J107" s="283"/>
      <c r="K107" s="286"/>
      <c r="L107" s="286"/>
      <c r="M107" s="21"/>
      <c r="N107" s="21"/>
      <c r="O107" s="21"/>
      <c r="P107" s="269"/>
      <c r="Q107" s="269"/>
      <c r="R107" s="269"/>
    </row>
    <row r="108" ht="14.25" customHeight="1" spans="1:18">
      <c r="A108" s="283">
        <f t="shared" si="1"/>
        <v>84</v>
      </c>
      <c r="B108" s="285"/>
      <c r="C108" s="285"/>
      <c r="D108" s="285"/>
      <c r="E108" s="285"/>
      <c r="F108" s="285"/>
      <c r="G108" s="285"/>
      <c r="H108" s="283"/>
      <c r="I108" s="286"/>
      <c r="J108" s="283"/>
      <c r="K108" s="286"/>
      <c r="L108" s="286"/>
      <c r="M108" s="21"/>
      <c r="N108" s="21"/>
      <c r="O108" s="21"/>
      <c r="P108" s="269"/>
      <c r="Q108" s="269"/>
      <c r="R108" s="269"/>
    </row>
    <row r="109" ht="14.25" customHeight="1" spans="1:18">
      <c r="A109" s="283">
        <f t="shared" si="1"/>
        <v>85</v>
      </c>
      <c r="B109" s="285"/>
      <c r="C109" s="285"/>
      <c r="D109" s="285"/>
      <c r="E109" s="285"/>
      <c r="F109" s="285"/>
      <c r="G109" s="285"/>
      <c r="H109" s="283"/>
      <c r="I109" s="286"/>
      <c r="J109" s="283"/>
      <c r="K109" s="286"/>
      <c r="L109" s="286"/>
      <c r="M109" s="21"/>
      <c r="N109" s="21"/>
      <c r="O109" s="21"/>
      <c r="P109" s="269"/>
      <c r="Q109" s="269"/>
      <c r="R109" s="269"/>
    </row>
    <row r="110" ht="14.25" customHeight="1" spans="1:18">
      <c r="A110" s="283">
        <f t="shared" si="1"/>
        <v>86</v>
      </c>
      <c r="B110" s="285"/>
      <c r="C110" s="285"/>
      <c r="D110" s="285"/>
      <c r="E110" s="285"/>
      <c r="F110" s="285"/>
      <c r="G110" s="285"/>
      <c r="H110" s="283"/>
      <c r="I110" s="286"/>
      <c r="J110" s="283"/>
      <c r="K110" s="286"/>
      <c r="L110" s="286"/>
      <c r="M110" s="21"/>
      <c r="N110" s="21"/>
      <c r="O110" s="21"/>
      <c r="P110" s="269"/>
      <c r="Q110" s="269"/>
      <c r="R110" s="269"/>
    </row>
    <row r="111" ht="14.25" customHeight="1" spans="1:18">
      <c r="A111" s="283">
        <f t="shared" si="1"/>
        <v>87</v>
      </c>
      <c r="B111" s="285"/>
      <c r="C111" s="285"/>
      <c r="D111" s="285"/>
      <c r="E111" s="285"/>
      <c r="F111" s="285"/>
      <c r="G111" s="285"/>
      <c r="H111" s="283"/>
      <c r="I111" s="286"/>
      <c r="J111" s="283"/>
      <c r="K111" s="286"/>
      <c r="L111" s="286"/>
      <c r="M111" s="21"/>
      <c r="N111" s="21"/>
      <c r="O111" s="21"/>
      <c r="P111" s="269"/>
      <c r="Q111" s="269"/>
      <c r="R111" s="269"/>
    </row>
    <row r="112" ht="14.25" customHeight="1" spans="1:18">
      <c r="A112" s="283">
        <f t="shared" si="1"/>
        <v>88</v>
      </c>
      <c r="B112" s="285"/>
      <c r="C112" s="285"/>
      <c r="D112" s="285"/>
      <c r="E112" s="285"/>
      <c r="F112" s="285"/>
      <c r="G112" s="285"/>
      <c r="H112" s="283"/>
      <c r="I112" s="286"/>
      <c r="J112" s="283"/>
      <c r="K112" s="286"/>
      <c r="L112" s="286"/>
      <c r="M112" s="21"/>
      <c r="N112" s="21"/>
      <c r="O112" s="21"/>
      <c r="P112" s="269"/>
      <c r="Q112" s="269"/>
      <c r="R112" s="269"/>
    </row>
    <row r="113" ht="14.25" customHeight="1" spans="1:18">
      <c r="A113" s="283">
        <f t="shared" si="1"/>
        <v>89</v>
      </c>
      <c r="B113" s="285"/>
      <c r="C113" s="285"/>
      <c r="D113" s="285"/>
      <c r="E113" s="285"/>
      <c r="F113" s="285"/>
      <c r="G113" s="285"/>
      <c r="H113" s="283"/>
      <c r="I113" s="286"/>
      <c r="J113" s="283"/>
      <c r="K113" s="286"/>
      <c r="L113" s="286"/>
      <c r="M113" s="21"/>
      <c r="N113" s="21"/>
      <c r="O113" s="21"/>
      <c r="P113" s="269"/>
      <c r="Q113" s="269"/>
      <c r="R113" s="269"/>
    </row>
    <row r="114" ht="14.25" customHeight="1" spans="1:18">
      <c r="A114" s="283">
        <f t="shared" si="1"/>
        <v>90</v>
      </c>
      <c r="B114" s="285"/>
      <c r="C114" s="285"/>
      <c r="D114" s="285"/>
      <c r="E114" s="285"/>
      <c r="F114" s="285"/>
      <c r="G114" s="285"/>
      <c r="H114" s="283"/>
      <c r="I114" s="286"/>
      <c r="J114" s="283"/>
      <c r="K114" s="286"/>
      <c r="L114" s="286"/>
      <c r="M114" s="21"/>
      <c r="N114" s="21"/>
      <c r="O114" s="21"/>
      <c r="P114" s="269"/>
      <c r="Q114" s="269"/>
      <c r="R114" s="269"/>
    </row>
    <row r="115" ht="14.25" customHeight="1" spans="1:18">
      <c r="A115" s="283">
        <f t="shared" si="1"/>
        <v>91</v>
      </c>
      <c r="B115" s="285"/>
      <c r="C115" s="285"/>
      <c r="D115" s="285"/>
      <c r="E115" s="285"/>
      <c r="F115" s="285"/>
      <c r="G115" s="285"/>
      <c r="H115" s="283"/>
      <c r="I115" s="286"/>
      <c r="J115" s="283"/>
      <c r="K115" s="286"/>
      <c r="L115" s="286"/>
      <c r="M115" s="21"/>
      <c r="N115" s="21"/>
      <c r="O115" s="21"/>
      <c r="P115" s="269"/>
      <c r="Q115" s="269"/>
      <c r="R115" s="269"/>
    </row>
    <row r="116" ht="14.25" customHeight="1" spans="1:18">
      <c r="A116" s="283">
        <f t="shared" si="1"/>
        <v>92</v>
      </c>
      <c r="B116" s="285"/>
      <c r="C116" s="285"/>
      <c r="D116" s="285"/>
      <c r="E116" s="285"/>
      <c r="F116" s="285"/>
      <c r="G116" s="285"/>
      <c r="H116" s="283"/>
      <c r="I116" s="286"/>
      <c r="J116" s="283"/>
      <c r="K116" s="286"/>
      <c r="L116" s="286"/>
      <c r="M116" s="21"/>
      <c r="N116" s="21"/>
      <c r="O116" s="21"/>
      <c r="P116" s="269"/>
      <c r="Q116" s="269"/>
      <c r="R116" s="269"/>
    </row>
    <row r="117" ht="14.25" customHeight="1" spans="1:18">
      <c r="A117" s="21"/>
      <c r="B117" s="21"/>
      <c r="C117" s="21"/>
      <c r="D117" s="21"/>
      <c r="E117" s="268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69"/>
      <c r="Q117" s="269"/>
      <c r="R117" s="269"/>
    </row>
    <row r="118" ht="14.25" customHeight="1" spans="1:18">
      <c r="A118" s="21"/>
      <c r="B118" s="21"/>
      <c r="C118" s="21"/>
      <c r="D118" s="21"/>
      <c r="E118" s="268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69"/>
      <c r="Q118" s="269"/>
      <c r="R118" s="269"/>
    </row>
    <row r="119" ht="14.25" customHeight="1" spans="1:18">
      <c r="A119" s="21"/>
      <c r="B119" s="21"/>
      <c r="C119" s="21"/>
      <c r="D119" s="21"/>
      <c r="E119" s="268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69"/>
      <c r="Q119" s="269"/>
      <c r="R119" s="269"/>
    </row>
    <row r="120" ht="14.25" customHeight="1" spans="1:18">
      <c r="A120" s="21"/>
      <c r="B120" s="21"/>
      <c r="C120" s="21"/>
      <c r="D120" s="21"/>
      <c r="E120" s="268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69"/>
      <c r="Q120" s="269"/>
      <c r="R120" s="269"/>
    </row>
    <row r="121" ht="14.25" customHeight="1" spans="1:18">
      <c r="A121" s="21"/>
      <c r="B121" s="21"/>
      <c r="C121" s="21"/>
      <c r="D121" s="21"/>
      <c r="E121" s="268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69"/>
      <c r="Q121" s="269"/>
      <c r="R121" s="269"/>
    </row>
    <row r="122" ht="14.25" customHeight="1" spans="1:18">
      <c r="A122" s="21"/>
      <c r="B122" s="21"/>
      <c r="C122" s="21"/>
      <c r="D122" s="21"/>
      <c r="E122" s="268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69"/>
      <c r="Q122" s="269"/>
      <c r="R122" s="269"/>
    </row>
    <row r="123" ht="14.25" customHeight="1" spans="1:18">
      <c r="A123" s="21"/>
      <c r="B123" s="21"/>
      <c r="C123" s="21"/>
      <c r="D123" s="21"/>
      <c r="E123" s="268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69"/>
      <c r="Q123" s="269"/>
      <c r="R123" s="269"/>
    </row>
    <row r="124" ht="14.25" customHeight="1" spans="1:18">
      <c r="A124" s="21"/>
      <c r="B124" s="21"/>
      <c r="C124" s="21"/>
      <c r="D124" s="21"/>
      <c r="E124" s="268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69"/>
      <c r="Q124" s="269"/>
      <c r="R124" s="269"/>
    </row>
    <row r="125" ht="14.25" customHeight="1" spans="1:18">
      <c r="A125" s="21"/>
      <c r="B125" s="21"/>
      <c r="C125" s="21"/>
      <c r="D125" s="21"/>
      <c r="E125" s="268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69"/>
      <c r="Q125" s="269"/>
      <c r="R125" s="269"/>
    </row>
    <row r="126" ht="14.25" customHeight="1" spans="1:18">
      <c r="A126" s="21"/>
      <c r="B126" s="21"/>
      <c r="C126" s="21"/>
      <c r="D126" s="21"/>
      <c r="E126" s="268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69"/>
      <c r="Q126" s="269"/>
      <c r="R126" s="269"/>
    </row>
    <row r="127" ht="14.25" customHeight="1" spans="1:18">
      <c r="A127" s="21"/>
      <c r="B127" s="21"/>
      <c r="C127" s="21"/>
      <c r="D127" s="21"/>
      <c r="E127" s="268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69"/>
      <c r="Q127" s="269"/>
      <c r="R127" s="269"/>
    </row>
    <row r="128" ht="14.25" customHeight="1" spans="1:18">
      <c r="A128" s="21"/>
      <c r="B128" s="21"/>
      <c r="C128" s="21"/>
      <c r="D128" s="21"/>
      <c r="E128" s="268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69"/>
      <c r="Q128" s="269"/>
      <c r="R128" s="269"/>
    </row>
    <row r="129" ht="14.25" customHeight="1" spans="1:18">
      <c r="A129" s="21"/>
      <c r="B129" s="21"/>
      <c r="C129" s="21"/>
      <c r="D129" s="21"/>
      <c r="E129" s="268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69"/>
      <c r="Q129" s="269"/>
      <c r="R129" s="269"/>
    </row>
    <row r="130" ht="14.25" customHeight="1" spans="1:18">
      <c r="A130" s="21"/>
      <c r="B130" s="21"/>
      <c r="C130" s="21"/>
      <c r="D130" s="21"/>
      <c r="E130" s="268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69"/>
      <c r="Q130" s="269"/>
      <c r="R130" s="269"/>
    </row>
    <row r="131" ht="14.25" customHeight="1" spans="1:18">
      <c r="A131" s="21"/>
      <c r="B131" s="21"/>
      <c r="C131" s="21"/>
      <c r="D131" s="21"/>
      <c r="E131" s="268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69"/>
      <c r="Q131" s="269"/>
      <c r="R131" s="269"/>
    </row>
    <row r="132" ht="14.25" customHeight="1" spans="1:18">
      <c r="A132" s="21"/>
      <c r="B132" s="21"/>
      <c r="C132" s="21"/>
      <c r="D132" s="21"/>
      <c r="E132" s="268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69"/>
      <c r="Q132" s="269"/>
      <c r="R132" s="269"/>
    </row>
    <row r="133" ht="14.25" customHeight="1" spans="1:18">
      <c r="A133" s="21"/>
      <c r="B133" s="21"/>
      <c r="C133" s="21"/>
      <c r="D133" s="21"/>
      <c r="E133" s="268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69"/>
      <c r="Q133" s="269"/>
      <c r="R133" s="269"/>
    </row>
    <row r="134" ht="14.25" customHeight="1" spans="1:18">
      <c r="A134" s="21"/>
      <c r="B134" s="21"/>
      <c r="C134" s="21"/>
      <c r="D134" s="21"/>
      <c r="E134" s="268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69"/>
      <c r="Q134" s="269"/>
      <c r="R134" s="269"/>
    </row>
    <row r="135" ht="14.25" customHeight="1" spans="1:18">
      <c r="A135" s="21"/>
      <c r="B135" s="21"/>
      <c r="C135" s="21"/>
      <c r="D135" s="21"/>
      <c r="E135" s="268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69"/>
      <c r="Q135" s="269"/>
      <c r="R135" s="269"/>
    </row>
    <row r="136" ht="14.25" customHeight="1" spans="1:18">
      <c r="A136" s="21"/>
      <c r="B136" s="21"/>
      <c r="C136" s="21"/>
      <c r="D136" s="21"/>
      <c r="E136" s="268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69"/>
      <c r="Q136" s="269"/>
      <c r="R136" s="269"/>
    </row>
    <row r="137" ht="14.25" customHeight="1" spans="1:18">
      <c r="A137" s="21"/>
      <c r="B137" s="21"/>
      <c r="C137" s="21"/>
      <c r="D137" s="21"/>
      <c r="E137" s="268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69"/>
      <c r="Q137" s="269"/>
      <c r="R137" s="269"/>
    </row>
    <row r="138" ht="14.25" customHeight="1" spans="1:18">
      <c r="A138" s="21"/>
      <c r="B138" s="21"/>
      <c r="C138" s="21"/>
      <c r="D138" s="21"/>
      <c r="E138" s="268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69"/>
      <c r="Q138" s="269"/>
      <c r="R138" s="269"/>
    </row>
    <row r="139" ht="14.25" customHeight="1" spans="1:18">
      <c r="A139" s="21"/>
      <c r="B139" s="21"/>
      <c r="C139" s="21"/>
      <c r="D139" s="21"/>
      <c r="E139" s="268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69"/>
      <c r="Q139" s="269"/>
      <c r="R139" s="269"/>
    </row>
    <row r="140" ht="14.25" customHeight="1" spans="1:18">
      <c r="A140" s="21"/>
      <c r="B140" s="21"/>
      <c r="C140" s="21"/>
      <c r="D140" s="21"/>
      <c r="E140" s="268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69"/>
      <c r="Q140" s="269"/>
      <c r="R140" s="269"/>
    </row>
    <row r="141" ht="14.25" customHeight="1" spans="1:18">
      <c r="A141" s="21"/>
      <c r="B141" s="21"/>
      <c r="C141" s="21"/>
      <c r="D141" s="21"/>
      <c r="E141" s="268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69"/>
      <c r="Q141" s="269"/>
      <c r="R141" s="269"/>
    </row>
    <row r="142" ht="14.25" customHeight="1" spans="1:18">
      <c r="A142" s="21"/>
      <c r="B142" s="21"/>
      <c r="C142" s="21"/>
      <c r="D142" s="21"/>
      <c r="E142" s="268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69"/>
      <c r="Q142" s="269"/>
      <c r="R142" s="269"/>
    </row>
    <row r="143" ht="14.25" customHeight="1" spans="1:18">
      <c r="A143" s="21"/>
      <c r="B143" s="21"/>
      <c r="C143" s="21"/>
      <c r="D143" s="21"/>
      <c r="E143" s="268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69"/>
      <c r="Q143" s="269"/>
      <c r="R143" s="269"/>
    </row>
    <row r="144" ht="14.25" customHeight="1" spans="1:18">
      <c r="A144" s="21"/>
      <c r="B144" s="21"/>
      <c r="C144" s="21"/>
      <c r="D144" s="21"/>
      <c r="E144" s="268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69"/>
      <c r="Q144" s="269"/>
      <c r="R144" s="269"/>
    </row>
    <row r="145" ht="14.25" customHeight="1" spans="1:18">
      <c r="A145" s="21"/>
      <c r="B145" s="21"/>
      <c r="C145" s="21"/>
      <c r="D145" s="21"/>
      <c r="E145" s="268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69"/>
      <c r="Q145" s="269"/>
      <c r="R145" s="269"/>
    </row>
    <row r="146" ht="14.25" customHeight="1" spans="1:18">
      <c r="A146" s="21"/>
      <c r="B146" s="21"/>
      <c r="C146" s="21"/>
      <c r="D146" s="21"/>
      <c r="E146" s="268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69"/>
      <c r="Q146" s="269"/>
      <c r="R146" s="269"/>
    </row>
    <row r="147" ht="14.25" customHeight="1" spans="1:18">
      <c r="A147" s="21"/>
      <c r="B147" s="21"/>
      <c r="C147" s="21"/>
      <c r="D147" s="21"/>
      <c r="E147" s="268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69"/>
      <c r="Q147" s="269"/>
      <c r="R147" s="269"/>
    </row>
    <row r="148" ht="14.25" customHeight="1" spans="1:18">
      <c r="A148" s="21"/>
      <c r="B148" s="21"/>
      <c r="C148" s="21"/>
      <c r="D148" s="21"/>
      <c r="E148" s="268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69"/>
      <c r="Q148" s="269"/>
      <c r="R148" s="269"/>
    </row>
    <row r="149" ht="14.25" customHeight="1" spans="1:18">
      <c r="A149" s="21"/>
      <c r="B149" s="21"/>
      <c r="C149" s="21"/>
      <c r="D149" s="21"/>
      <c r="E149" s="268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69"/>
      <c r="Q149" s="269"/>
      <c r="R149" s="269"/>
    </row>
    <row r="150" ht="14.25" customHeight="1" spans="1:18">
      <c r="A150" s="21"/>
      <c r="B150" s="21"/>
      <c r="C150" s="21"/>
      <c r="D150" s="21"/>
      <c r="E150" s="268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69"/>
      <c r="Q150" s="269"/>
      <c r="R150" s="269"/>
    </row>
    <row r="151" ht="14.25" customHeight="1" spans="1:18">
      <c r="A151" s="21"/>
      <c r="B151" s="21"/>
      <c r="C151" s="21"/>
      <c r="D151" s="21"/>
      <c r="E151" s="268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69"/>
      <c r="Q151" s="269"/>
      <c r="R151" s="269"/>
    </row>
    <row r="152" ht="14.25" customHeight="1" spans="1:18">
      <c r="A152" s="21"/>
      <c r="B152" s="21"/>
      <c r="C152" s="21"/>
      <c r="D152" s="21"/>
      <c r="E152" s="268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69"/>
      <c r="Q152" s="269"/>
      <c r="R152" s="269"/>
    </row>
    <row r="153" ht="14.25" customHeight="1" spans="1:18">
      <c r="A153" s="21"/>
      <c r="B153" s="21"/>
      <c r="C153" s="21"/>
      <c r="D153" s="21"/>
      <c r="E153" s="268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69"/>
      <c r="Q153" s="269"/>
      <c r="R153" s="269"/>
    </row>
    <row r="154" ht="14.25" customHeight="1" spans="1:18">
      <c r="A154" s="21"/>
      <c r="B154" s="21"/>
      <c r="C154" s="21"/>
      <c r="D154" s="21"/>
      <c r="E154" s="268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69"/>
      <c r="Q154" s="269"/>
      <c r="R154" s="269"/>
    </row>
    <row r="155" ht="14.25" customHeight="1" spans="1:18">
      <c r="A155" s="21"/>
      <c r="B155" s="21"/>
      <c r="C155" s="21"/>
      <c r="D155" s="21"/>
      <c r="E155" s="268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69"/>
      <c r="Q155" s="269"/>
      <c r="R155" s="269"/>
    </row>
    <row r="156" ht="14.25" customHeight="1" spans="1:18">
      <c r="A156" s="21"/>
      <c r="B156" s="21"/>
      <c r="C156" s="21"/>
      <c r="D156" s="21"/>
      <c r="E156" s="268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69"/>
      <c r="Q156" s="269"/>
      <c r="R156" s="269"/>
    </row>
    <row r="157" ht="14.25" customHeight="1" spans="1:18">
      <c r="A157" s="21"/>
      <c r="B157" s="21"/>
      <c r="C157" s="21"/>
      <c r="D157" s="21"/>
      <c r="E157" s="268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69"/>
      <c r="Q157" s="269"/>
      <c r="R157" s="269"/>
    </row>
    <row r="158" ht="14.25" customHeight="1" spans="1:18">
      <c r="A158" s="21"/>
      <c r="B158" s="21"/>
      <c r="C158" s="21"/>
      <c r="D158" s="21"/>
      <c r="E158" s="268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69"/>
      <c r="Q158" s="269"/>
      <c r="R158" s="269"/>
    </row>
    <row r="159" ht="14.25" customHeight="1" spans="1:18">
      <c r="A159" s="21"/>
      <c r="B159" s="21"/>
      <c r="C159" s="21"/>
      <c r="D159" s="21"/>
      <c r="E159" s="268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69"/>
      <c r="Q159" s="269"/>
      <c r="R159" s="269"/>
    </row>
    <row r="160" ht="14.25" customHeight="1" spans="1:18">
      <c r="A160" s="21"/>
      <c r="B160" s="21"/>
      <c r="C160" s="21"/>
      <c r="D160" s="21"/>
      <c r="E160" s="268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69"/>
      <c r="Q160" s="269"/>
      <c r="R160" s="269"/>
    </row>
    <row r="161" ht="14.25" customHeight="1" spans="1:18">
      <c r="A161" s="21"/>
      <c r="B161" s="21"/>
      <c r="C161" s="21"/>
      <c r="D161" s="21"/>
      <c r="E161" s="268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69"/>
      <c r="Q161" s="269"/>
      <c r="R161" s="269"/>
    </row>
    <row r="162" ht="14.25" customHeight="1" spans="1:18">
      <c r="A162" s="21"/>
      <c r="B162" s="21"/>
      <c r="C162" s="21"/>
      <c r="D162" s="21"/>
      <c r="E162" s="268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69"/>
      <c r="Q162" s="269"/>
      <c r="R162" s="269"/>
    </row>
    <row r="163" ht="14.25" customHeight="1" spans="1:18">
      <c r="A163" s="21"/>
      <c r="B163" s="21"/>
      <c r="C163" s="21"/>
      <c r="D163" s="21"/>
      <c r="E163" s="268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69"/>
      <c r="Q163" s="269"/>
      <c r="R163" s="269"/>
    </row>
    <row r="164" ht="14.25" customHeight="1" spans="1:18">
      <c r="A164" s="21"/>
      <c r="B164" s="21"/>
      <c r="C164" s="21"/>
      <c r="D164" s="21"/>
      <c r="E164" s="268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69"/>
      <c r="Q164" s="269"/>
      <c r="R164" s="269"/>
    </row>
    <row r="165" ht="14.25" customHeight="1" spans="1:18">
      <c r="A165" s="21"/>
      <c r="B165" s="21"/>
      <c r="C165" s="21"/>
      <c r="D165" s="21"/>
      <c r="E165" s="268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69"/>
      <c r="Q165" s="269"/>
      <c r="R165" s="269"/>
    </row>
    <row r="166" ht="14.25" customHeight="1" spans="1:18">
      <c r="A166" s="21"/>
      <c r="B166" s="21"/>
      <c r="C166" s="21"/>
      <c r="D166" s="21"/>
      <c r="E166" s="268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69"/>
      <c r="Q166" s="269"/>
      <c r="R166" s="269"/>
    </row>
    <row r="167" ht="14.25" customHeight="1" spans="1:18">
      <c r="A167" s="21"/>
      <c r="B167" s="21"/>
      <c r="C167" s="21"/>
      <c r="D167" s="21"/>
      <c r="E167" s="268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69"/>
      <c r="Q167" s="269"/>
      <c r="R167" s="269"/>
    </row>
    <row r="168" ht="14.25" customHeight="1" spans="1:18">
      <c r="A168" s="21"/>
      <c r="B168" s="21"/>
      <c r="C168" s="21"/>
      <c r="D168" s="21"/>
      <c r="E168" s="268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69"/>
      <c r="Q168" s="269"/>
      <c r="R168" s="269"/>
    </row>
    <row r="169" ht="14.25" customHeight="1" spans="1:18">
      <c r="A169" s="21"/>
      <c r="B169" s="21"/>
      <c r="C169" s="21"/>
      <c r="D169" s="21"/>
      <c r="E169" s="268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69"/>
      <c r="Q169" s="269"/>
      <c r="R169" s="269"/>
    </row>
    <row r="170" ht="14.25" customHeight="1" spans="1:18">
      <c r="A170" s="21"/>
      <c r="B170" s="21"/>
      <c r="C170" s="21"/>
      <c r="D170" s="21"/>
      <c r="E170" s="268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69"/>
      <c r="Q170" s="269"/>
      <c r="R170" s="269"/>
    </row>
    <row r="171" ht="14.25" customHeight="1" spans="1:18">
      <c r="A171" s="21"/>
      <c r="B171" s="21"/>
      <c r="C171" s="21"/>
      <c r="D171" s="21"/>
      <c r="E171" s="268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69"/>
      <c r="Q171" s="269"/>
      <c r="R171" s="269"/>
    </row>
    <row r="172" ht="14.25" customHeight="1" spans="1:18">
      <c r="A172" s="21"/>
      <c r="B172" s="21"/>
      <c r="C172" s="21"/>
      <c r="D172" s="21"/>
      <c r="E172" s="268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69"/>
      <c r="Q172" s="269"/>
      <c r="R172" s="269"/>
    </row>
    <row r="173" ht="14.25" customHeight="1" spans="1:18">
      <c r="A173" s="21"/>
      <c r="B173" s="21"/>
      <c r="C173" s="21"/>
      <c r="D173" s="21"/>
      <c r="E173" s="268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69"/>
      <c r="Q173" s="269"/>
      <c r="R173" s="269"/>
    </row>
    <row r="174" ht="14.25" customHeight="1" spans="1:18">
      <c r="A174" s="21"/>
      <c r="B174" s="21"/>
      <c r="C174" s="21"/>
      <c r="D174" s="21"/>
      <c r="E174" s="268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69"/>
      <c r="Q174" s="269"/>
      <c r="R174" s="269"/>
    </row>
    <row r="175" ht="14.25" customHeight="1" spans="1:18">
      <c r="A175" s="21"/>
      <c r="B175" s="21"/>
      <c r="C175" s="21"/>
      <c r="D175" s="21"/>
      <c r="E175" s="268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69"/>
      <c r="Q175" s="269"/>
      <c r="R175" s="269"/>
    </row>
    <row r="176" ht="14.25" customHeight="1" spans="1:18">
      <c r="A176" s="21"/>
      <c r="B176" s="21"/>
      <c r="C176" s="21"/>
      <c r="D176" s="21"/>
      <c r="E176" s="268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69"/>
      <c r="Q176" s="269"/>
      <c r="R176" s="269"/>
    </row>
    <row r="177" ht="14.25" customHeight="1" spans="1:18">
      <c r="A177" s="21"/>
      <c r="B177" s="21"/>
      <c r="C177" s="21"/>
      <c r="D177" s="21"/>
      <c r="E177" s="268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69"/>
      <c r="Q177" s="269"/>
      <c r="R177" s="269"/>
    </row>
    <row r="178" ht="14.25" customHeight="1" spans="1:18">
      <c r="A178" s="21"/>
      <c r="B178" s="21"/>
      <c r="C178" s="21"/>
      <c r="D178" s="21"/>
      <c r="E178" s="268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69"/>
      <c r="Q178" s="269"/>
      <c r="R178" s="269"/>
    </row>
    <row r="179" ht="14.25" customHeight="1" spans="1:18">
      <c r="A179" s="21"/>
      <c r="B179" s="21"/>
      <c r="C179" s="21"/>
      <c r="D179" s="21"/>
      <c r="E179" s="268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69"/>
      <c r="Q179" s="269"/>
      <c r="R179" s="269"/>
    </row>
    <row r="180" ht="14.25" customHeight="1" spans="1:18">
      <c r="A180" s="21"/>
      <c r="B180" s="21"/>
      <c r="C180" s="21"/>
      <c r="D180" s="21"/>
      <c r="E180" s="268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69"/>
      <c r="Q180" s="269"/>
      <c r="R180" s="269"/>
    </row>
    <row r="181" ht="14.25" customHeight="1" spans="1:18">
      <c r="A181" s="21"/>
      <c r="B181" s="21"/>
      <c r="C181" s="21"/>
      <c r="D181" s="21"/>
      <c r="E181" s="268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69"/>
      <c r="Q181" s="269"/>
      <c r="R181" s="269"/>
    </row>
    <row r="182" ht="14.25" customHeight="1" spans="1:18">
      <c r="A182" s="21"/>
      <c r="B182" s="21"/>
      <c r="C182" s="21"/>
      <c r="D182" s="21"/>
      <c r="E182" s="268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69"/>
      <c r="Q182" s="269"/>
      <c r="R182" s="269"/>
    </row>
    <row r="183" ht="14.25" customHeight="1" spans="1:18">
      <c r="A183" s="21"/>
      <c r="B183" s="21"/>
      <c r="C183" s="21"/>
      <c r="D183" s="21"/>
      <c r="E183" s="268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69"/>
      <c r="Q183" s="269"/>
      <c r="R183" s="269"/>
    </row>
    <row r="184" ht="14.25" customHeight="1" spans="1:18">
      <c r="A184" s="21"/>
      <c r="B184" s="21"/>
      <c r="C184" s="21"/>
      <c r="D184" s="21"/>
      <c r="E184" s="268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69"/>
      <c r="Q184" s="269"/>
      <c r="R184" s="269"/>
    </row>
    <row r="185" ht="14.25" customHeight="1" spans="1:18">
      <c r="A185" s="21"/>
      <c r="B185" s="21"/>
      <c r="C185" s="21"/>
      <c r="D185" s="21"/>
      <c r="E185" s="268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69"/>
      <c r="Q185" s="269"/>
      <c r="R185" s="269"/>
    </row>
    <row r="186" ht="14.25" customHeight="1" spans="1:18">
      <c r="A186" s="21"/>
      <c r="B186" s="21"/>
      <c r="C186" s="21"/>
      <c r="D186" s="21"/>
      <c r="E186" s="268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69"/>
      <c r="Q186" s="269"/>
      <c r="R186" s="269"/>
    </row>
    <row r="187" ht="14.25" customHeight="1" spans="1:18">
      <c r="A187" s="21"/>
      <c r="B187" s="21"/>
      <c r="C187" s="21"/>
      <c r="D187" s="21"/>
      <c r="E187" s="268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69"/>
      <c r="Q187" s="269"/>
      <c r="R187" s="269"/>
    </row>
    <row r="188" ht="14.25" customHeight="1" spans="1:18">
      <c r="A188" s="21"/>
      <c r="B188" s="21"/>
      <c r="C188" s="21"/>
      <c r="D188" s="21"/>
      <c r="E188" s="268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69"/>
      <c r="Q188" s="269"/>
      <c r="R188" s="269"/>
    </row>
    <row r="189" ht="14.25" customHeight="1" spans="1:18">
      <c r="A189" s="21"/>
      <c r="B189" s="21"/>
      <c r="C189" s="21"/>
      <c r="D189" s="21"/>
      <c r="E189" s="268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69"/>
      <c r="Q189" s="269"/>
      <c r="R189" s="269"/>
    </row>
    <row r="190" ht="14.25" customHeight="1" spans="1:18">
      <c r="A190" s="21"/>
      <c r="B190" s="21"/>
      <c r="C190" s="21"/>
      <c r="D190" s="21"/>
      <c r="E190" s="268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69"/>
      <c r="Q190" s="269"/>
      <c r="R190" s="269"/>
    </row>
    <row r="191" ht="14.25" customHeight="1" spans="1:18">
      <c r="A191" s="21"/>
      <c r="B191" s="21"/>
      <c r="C191" s="21"/>
      <c r="D191" s="21"/>
      <c r="E191" s="268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69"/>
      <c r="Q191" s="269"/>
      <c r="R191" s="269"/>
    </row>
    <row r="192" ht="14.25" customHeight="1" spans="1:18">
      <c r="A192" s="21"/>
      <c r="B192" s="21"/>
      <c r="C192" s="21"/>
      <c r="D192" s="21"/>
      <c r="E192" s="268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69"/>
      <c r="Q192" s="269"/>
      <c r="R192" s="269"/>
    </row>
    <row r="193" ht="14.25" customHeight="1" spans="1:18">
      <c r="A193" s="21"/>
      <c r="B193" s="21"/>
      <c r="C193" s="21"/>
      <c r="D193" s="21"/>
      <c r="E193" s="268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69"/>
      <c r="Q193" s="269"/>
      <c r="R193" s="269"/>
    </row>
    <row r="194" ht="14.25" customHeight="1" spans="1:18">
      <c r="A194" s="21"/>
      <c r="B194" s="21"/>
      <c r="C194" s="21"/>
      <c r="D194" s="21"/>
      <c r="E194" s="268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69"/>
      <c r="Q194" s="269"/>
      <c r="R194" s="269"/>
    </row>
    <row r="195" ht="14.25" customHeight="1" spans="1:18">
      <c r="A195" s="21"/>
      <c r="B195" s="21"/>
      <c r="C195" s="21"/>
      <c r="D195" s="21"/>
      <c r="E195" s="268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69"/>
      <c r="Q195" s="269"/>
      <c r="R195" s="269"/>
    </row>
    <row r="196" ht="14.25" customHeight="1" spans="1:18">
      <c r="A196" s="21"/>
      <c r="B196" s="21"/>
      <c r="C196" s="21"/>
      <c r="D196" s="21"/>
      <c r="E196" s="268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69"/>
      <c r="Q196" s="269"/>
      <c r="R196" s="269"/>
    </row>
    <row r="197" ht="14.25" customHeight="1" spans="1:18">
      <c r="A197" s="21"/>
      <c r="B197" s="21"/>
      <c r="C197" s="21"/>
      <c r="D197" s="21"/>
      <c r="E197" s="268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69"/>
      <c r="Q197" s="269"/>
      <c r="R197" s="269"/>
    </row>
    <row r="198" ht="14.25" customHeight="1" spans="1:18">
      <c r="A198" s="21"/>
      <c r="B198" s="21"/>
      <c r="C198" s="21"/>
      <c r="D198" s="21"/>
      <c r="E198" s="268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69"/>
      <c r="Q198" s="269"/>
      <c r="R198" s="269"/>
    </row>
    <row r="199" ht="14.25" customHeight="1" spans="1:18">
      <c r="A199" s="21"/>
      <c r="B199" s="21"/>
      <c r="C199" s="21"/>
      <c r="D199" s="21"/>
      <c r="E199" s="268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69"/>
      <c r="Q199" s="269"/>
      <c r="R199" s="269"/>
    </row>
    <row r="200" ht="14.25" customHeight="1" spans="1:18">
      <c r="A200" s="21"/>
      <c r="B200" s="21"/>
      <c r="C200" s="21"/>
      <c r="D200" s="21"/>
      <c r="E200" s="268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69"/>
      <c r="Q200" s="269"/>
      <c r="R200" s="269"/>
    </row>
    <row r="201" ht="14.25" customHeight="1" spans="1:18">
      <c r="A201" s="21"/>
      <c r="B201" s="21"/>
      <c r="C201" s="21"/>
      <c r="D201" s="21"/>
      <c r="E201" s="268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69"/>
      <c r="Q201" s="269"/>
      <c r="R201" s="269"/>
    </row>
    <row r="202" ht="14.25" customHeight="1" spans="1:18">
      <c r="A202" s="21"/>
      <c r="B202" s="21"/>
      <c r="C202" s="21"/>
      <c r="D202" s="21"/>
      <c r="E202" s="268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69"/>
      <c r="Q202" s="269"/>
      <c r="R202" s="269"/>
    </row>
    <row r="203" ht="14.25" customHeight="1" spans="1:18">
      <c r="A203" s="21"/>
      <c r="B203" s="21"/>
      <c r="C203" s="21"/>
      <c r="D203" s="21"/>
      <c r="E203" s="268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69"/>
      <c r="Q203" s="269"/>
      <c r="R203" s="269"/>
    </row>
    <row r="204" ht="14.25" customHeight="1" spans="1:18">
      <c r="A204" s="21"/>
      <c r="B204" s="21"/>
      <c r="C204" s="21"/>
      <c r="D204" s="21"/>
      <c r="E204" s="268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69"/>
      <c r="Q204" s="269"/>
      <c r="R204" s="269"/>
    </row>
    <row r="205" ht="14.25" customHeight="1" spans="1:18">
      <c r="A205" s="21"/>
      <c r="B205" s="21"/>
      <c r="C205" s="21"/>
      <c r="D205" s="21"/>
      <c r="E205" s="268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69"/>
      <c r="Q205" s="269"/>
      <c r="R205" s="269"/>
    </row>
    <row r="206" ht="14.25" customHeight="1" spans="1:18">
      <c r="A206" s="21"/>
      <c r="B206" s="21"/>
      <c r="C206" s="21"/>
      <c r="D206" s="21"/>
      <c r="E206" s="268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69"/>
      <c r="Q206" s="269"/>
      <c r="R206" s="269"/>
    </row>
    <row r="207" ht="14.25" customHeight="1" spans="1:18">
      <c r="A207" s="21"/>
      <c r="B207" s="21"/>
      <c r="C207" s="21"/>
      <c r="D207" s="21"/>
      <c r="E207" s="268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69"/>
      <c r="Q207" s="269"/>
      <c r="R207" s="269"/>
    </row>
    <row r="208" ht="14.25" customHeight="1" spans="1:18">
      <c r="A208" s="21"/>
      <c r="B208" s="21"/>
      <c r="C208" s="21"/>
      <c r="D208" s="21"/>
      <c r="E208" s="268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69"/>
      <c r="Q208" s="269"/>
      <c r="R208" s="269"/>
    </row>
    <row r="209" ht="14.25" customHeight="1" spans="1:18">
      <c r="A209" s="21"/>
      <c r="B209" s="21"/>
      <c r="C209" s="21"/>
      <c r="D209" s="21"/>
      <c r="E209" s="268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69"/>
      <c r="Q209" s="269"/>
      <c r="R209" s="269"/>
    </row>
    <row r="210" ht="14.25" customHeight="1" spans="1:18">
      <c r="A210" s="21"/>
      <c r="B210" s="21"/>
      <c r="C210" s="21"/>
      <c r="D210" s="21"/>
      <c r="E210" s="268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69"/>
      <c r="Q210" s="269"/>
      <c r="R210" s="269"/>
    </row>
    <row r="211" ht="14.25" customHeight="1" spans="1:18">
      <c r="A211" s="21"/>
      <c r="B211" s="21"/>
      <c r="C211" s="21"/>
      <c r="D211" s="21"/>
      <c r="E211" s="268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69"/>
      <c r="Q211" s="269"/>
      <c r="R211" s="269"/>
    </row>
    <row r="212" ht="14.25" customHeight="1" spans="1:18">
      <c r="A212" s="21"/>
      <c r="B212" s="21"/>
      <c r="C212" s="21"/>
      <c r="D212" s="21"/>
      <c r="E212" s="268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69"/>
      <c r="Q212" s="269"/>
      <c r="R212" s="269"/>
    </row>
    <row r="213" ht="14.25" customHeight="1" spans="1:18">
      <c r="A213" s="21"/>
      <c r="B213" s="21"/>
      <c r="C213" s="21"/>
      <c r="D213" s="21"/>
      <c r="E213" s="268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69"/>
      <c r="Q213" s="269"/>
      <c r="R213" s="269"/>
    </row>
    <row r="214" ht="14.25" customHeight="1" spans="1:18">
      <c r="A214" s="21"/>
      <c r="B214" s="21"/>
      <c r="C214" s="21"/>
      <c r="D214" s="21"/>
      <c r="E214" s="268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69"/>
      <c r="Q214" s="269"/>
      <c r="R214" s="269"/>
    </row>
    <row r="215" ht="14.25" customHeight="1" spans="1:18">
      <c r="A215" s="21"/>
      <c r="B215" s="21"/>
      <c r="C215" s="21"/>
      <c r="D215" s="21"/>
      <c r="E215" s="268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69"/>
      <c r="Q215" s="269"/>
      <c r="R215" s="269"/>
    </row>
    <row r="216" ht="14.25" customHeight="1" spans="1:18">
      <c r="A216" s="21"/>
      <c r="B216" s="21"/>
      <c r="C216" s="21"/>
      <c r="D216" s="21"/>
      <c r="E216" s="268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69"/>
      <c r="Q216" s="269"/>
      <c r="R216" s="269"/>
    </row>
    <row r="217" ht="14.25" customHeight="1" spans="1:18">
      <c r="A217" s="21"/>
      <c r="B217" s="21"/>
      <c r="C217" s="21"/>
      <c r="D217" s="21"/>
      <c r="E217" s="268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69"/>
      <c r="Q217" s="269"/>
      <c r="R217" s="269"/>
    </row>
    <row r="218" ht="14.25" customHeight="1" spans="1:18">
      <c r="A218" s="21"/>
      <c r="B218" s="21"/>
      <c r="C218" s="21"/>
      <c r="D218" s="21"/>
      <c r="E218" s="268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69"/>
      <c r="Q218" s="269"/>
      <c r="R218" s="269"/>
    </row>
    <row r="219" ht="14.25" customHeight="1" spans="1:18">
      <c r="A219" s="21"/>
      <c r="B219" s="21"/>
      <c r="C219" s="21"/>
      <c r="D219" s="21"/>
      <c r="E219" s="268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69"/>
      <c r="Q219" s="269"/>
      <c r="R219" s="269"/>
    </row>
    <row r="220" ht="14.25" customHeight="1" spans="1:18">
      <c r="A220" s="21"/>
      <c r="B220" s="21"/>
      <c r="C220" s="21"/>
      <c r="D220" s="21"/>
      <c r="E220" s="268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69"/>
      <c r="Q220" s="269"/>
      <c r="R220" s="269"/>
    </row>
    <row r="221" ht="14.25" customHeight="1" spans="1:18">
      <c r="A221" s="21"/>
      <c r="B221" s="21"/>
      <c r="C221" s="21"/>
      <c r="D221" s="21"/>
      <c r="E221" s="268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69"/>
      <c r="Q221" s="269"/>
      <c r="R221" s="269"/>
    </row>
    <row r="222" ht="14.25" customHeight="1" spans="1:18">
      <c r="A222" s="21"/>
      <c r="B222" s="21"/>
      <c r="C222" s="21"/>
      <c r="D222" s="21"/>
      <c r="E222" s="268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69"/>
      <c r="Q222" s="269"/>
      <c r="R222" s="269"/>
    </row>
    <row r="223" ht="14.25" customHeight="1" spans="1:18">
      <c r="A223" s="21"/>
      <c r="B223" s="21"/>
      <c r="C223" s="21"/>
      <c r="D223" s="21"/>
      <c r="E223" s="268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69"/>
      <c r="Q223" s="269"/>
      <c r="R223" s="269"/>
    </row>
    <row r="224" ht="14.25" customHeight="1" spans="1:18">
      <c r="A224" s="21"/>
      <c r="B224" s="21"/>
      <c r="C224" s="21"/>
      <c r="D224" s="21"/>
      <c r="E224" s="268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69"/>
      <c r="Q224" s="269"/>
      <c r="R224" s="269"/>
    </row>
    <row r="225" ht="14.25" customHeight="1" spans="1:18">
      <c r="A225" s="21"/>
      <c r="B225" s="21"/>
      <c r="C225" s="21"/>
      <c r="D225" s="21"/>
      <c r="E225" s="268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69"/>
      <c r="Q225" s="269"/>
      <c r="R225" s="269"/>
    </row>
    <row r="226" ht="14.25" customHeight="1" spans="1:18">
      <c r="A226" s="21"/>
      <c r="B226" s="21"/>
      <c r="C226" s="21"/>
      <c r="D226" s="21"/>
      <c r="E226" s="268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69"/>
      <c r="Q226" s="269"/>
      <c r="R226" s="269"/>
    </row>
    <row r="227" ht="14.25" customHeight="1" spans="1:18">
      <c r="A227" s="21"/>
      <c r="B227" s="21"/>
      <c r="C227" s="21"/>
      <c r="D227" s="21"/>
      <c r="E227" s="268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69"/>
      <c r="Q227" s="269"/>
      <c r="R227" s="269"/>
    </row>
    <row r="228" ht="14.25" customHeight="1" spans="1:18">
      <c r="A228" s="21"/>
      <c r="B228" s="21"/>
      <c r="C228" s="21"/>
      <c r="D228" s="21"/>
      <c r="E228" s="268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69"/>
      <c r="Q228" s="269"/>
      <c r="R228" s="269"/>
    </row>
    <row r="229" ht="14.25" customHeight="1" spans="1:18">
      <c r="A229" s="21"/>
      <c r="B229" s="21"/>
      <c r="C229" s="21"/>
      <c r="D229" s="21"/>
      <c r="E229" s="268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69"/>
      <c r="Q229" s="269"/>
      <c r="R229" s="269"/>
    </row>
    <row r="230" ht="14.25" customHeight="1" spans="1:18">
      <c r="A230" s="21"/>
      <c r="B230" s="21"/>
      <c r="C230" s="21"/>
      <c r="D230" s="21"/>
      <c r="E230" s="268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69"/>
      <c r="Q230" s="269"/>
      <c r="R230" s="269"/>
    </row>
    <row r="231" ht="14.25" customHeight="1" spans="1:18">
      <c r="A231" s="21"/>
      <c r="B231" s="21"/>
      <c r="C231" s="21"/>
      <c r="D231" s="21"/>
      <c r="E231" s="268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69"/>
      <c r="Q231" s="269"/>
      <c r="R231" s="269"/>
    </row>
    <row r="232" ht="14.25" customHeight="1" spans="1:18">
      <c r="A232" s="21"/>
      <c r="B232" s="21"/>
      <c r="C232" s="21"/>
      <c r="D232" s="21"/>
      <c r="E232" s="268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69"/>
      <c r="Q232" s="269"/>
      <c r="R232" s="269"/>
    </row>
    <row r="233" ht="14.25" customHeight="1" spans="1:18">
      <c r="A233" s="21"/>
      <c r="B233" s="21"/>
      <c r="C233" s="21"/>
      <c r="D233" s="21"/>
      <c r="E233" s="268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69"/>
      <c r="Q233" s="269"/>
      <c r="R233" s="269"/>
    </row>
    <row r="234" ht="14.25" customHeight="1" spans="1:18">
      <c r="A234" s="21"/>
      <c r="B234" s="21"/>
      <c r="C234" s="21"/>
      <c r="D234" s="21"/>
      <c r="E234" s="268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69"/>
      <c r="Q234" s="269"/>
      <c r="R234" s="269"/>
    </row>
    <row r="235" ht="14.25" customHeight="1" spans="1:18">
      <c r="A235" s="21"/>
      <c r="B235" s="21"/>
      <c r="C235" s="21"/>
      <c r="D235" s="21"/>
      <c r="E235" s="268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69"/>
      <c r="Q235" s="269"/>
      <c r="R235" s="269"/>
    </row>
    <row r="236" ht="14.25" customHeight="1" spans="1:18">
      <c r="A236" s="21"/>
      <c r="B236" s="21"/>
      <c r="C236" s="21"/>
      <c r="D236" s="21"/>
      <c r="E236" s="268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69"/>
      <c r="Q236" s="269"/>
      <c r="R236" s="269"/>
    </row>
    <row r="237" ht="14.25" customHeight="1" spans="1:18">
      <c r="A237" s="21"/>
      <c r="B237" s="21"/>
      <c r="C237" s="21"/>
      <c r="D237" s="21"/>
      <c r="E237" s="268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69"/>
      <c r="Q237" s="269"/>
      <c r="R237" s="269"/>
    </row>
    <row r="238" ht="14.25" customHeight="1" spans="1:18">
      <c r="A238" s="21"/>
      <c r="B238" s="21"/>
      <c r="C238" s="21"/>
      <c r="D238" s="21"/>
      <c r="E238" s="268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69"/>
      <c r="Q238" s="269"/>
      <c r="R238" s="269"/>
    </row>
    <row r="239" ht="14.25" customHeight="1" spans="1:18">
      <c r="A239" s="21"/>
      <c r="B239" s="21"/>
      <c r="C239" s="21"/>
      <c r="D239" s="21"/>
      <c r="E239" s="268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69"/>
      <c r="Q239" s="269"/>
      <c r="R239" s="269"/>
    </row>
    <row r="240" ht="14.25" customHeight="1" spans="1:18">
      <c r="A240" s="21"/>
      <c r="B240" s="21"/>
      <c r="C240" s="21"/>
      <c r="D240" s="21"/>
      <c r="E240" s="268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69"/>
      <c r="Q240" s="269"/>
      <c r="R240" s="269"/>
    </row>
    <row r="241" ht="14.25" customHeight="1" spans="1:18">
      <c r="A241" s="21"/>
      <c r="B241" s="21"/>
      <c r="C241" s="21"/>
      <c r="D241" s="21"/>
      <c r="E241" s="268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69"/>
      <c r="Q241" s="269"/>
      <c r="R241" s="269"/>
    </row>
    <row r="242" ht="14.25" customHeight="1" spans="1:18">
      <c r="A242" s="21"/>
      <c r="B242" s="21"/>
      <c r="C242" s="21"/>
      <c r="D242" s="21"/>
      <c r="E242" s="268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69"/>
      <c r="Q242" s="269"/>
      <c r="R242" s="269"/>
    </row>
    <row r="243" ht="14.25" customHeight="1" spans="1:18">
      <c r="A243" s="21"/>
      <c r="B243" s="21"/>
      <c r="C243" s="21"/>
      <c r="D243" s="21"/>
      <c r="E243" s="268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69"/>
      <c r="Q243" s="269"/>
      <c r="R243" s="269"/>
    </row>
    <row r="244" ht="14.25" customHeight="1" spans="1:18">
      <c r="A244" s="21"/>
      <c r="B244" s="21"/>
      <c r="C244" s="21"/>
      <c r="D244" s="21"/>
      <c r="E244" s="268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69"/>
      <c r="Q244" s="269"/>
      <c r="R244" s="269"/>
    </row>
    <row r="245" ht="14.25" customHeight="1" spans="1:18">
      <c r="A245" s="21"/>
      <c r="B245" s="21"/>
      <c r="C245" s="21"/>
      <c r="D245" s="21"/>
      <c r="E245" s="268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69"/>
      <c r="Q245" s="269"/>
      <c r="R245" s="269"/>
    </row>
    <row r="246" ht="14.25" customHeight="1" spans="1:18">
      <c r="A246" s="21"/>
      <c r="B246" s="21"/>
      <c r="C246" s="21"/>
      <c r="D246" s="21"/>
      <c r="E246" s="268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69"/>
      <c r="Q246" s="269"/>
      <c r="R246" s="269"/>
    </row>
    <row r="247" ht="14.25" customHeight="1" spans="1:18">
      <c r="A247" s="21"/>
      <c r="B247" s="21"/>
      <c r="C247" s="21"/>
      <c r="D247" s="21"/>
      <c r="E247" s="268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69"/>
      <c r="Q247" s="269"/>
      <c r="R247" s="269"/>
    </row>
    <row r="248" ht="14.25" customHeight="1" spans="1:18">
      <c r="A248" s="21"/>
      <c r="B248" s="21"/>
      <c r="C248" s="21"/>
      <c r="D248" s="21"/>
      <c r="E248" s="268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69"/>
      <c r="Q248" s="269"/>
      <c r="R248" s="269"/>
    </row>
    <row r="249" ht="14.25" customHeight="1" spans="1:18">
      <c r="A249" s="21"/>
      <c r="B249" s="21"/>
      <c r="C249" s="21"/>
      <c r="D249" s="21"/>
      <c r="E249" s="268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69"/>
      <c r="Q249" s="269"/>
      <c r="R249" s="269"/>
    </row>
    <row r="250" ht="14.25" customHeight="1" spans="1:18">
      <c r="A250" s="21"/>
      <c r="B250" s="21"/>
      <c r="C250" s="21"/>
      <c r="D250" s="21"/>
      <c r="E250" s="268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69"/>
      <c r="Q250" s="269"/>
      <c r="R250" s="269"/>
    </row>
    <row r="251" ht="14.25" customHeight="1" spans="1:18">
      <c r="A251" s="21"/>
      <c r="B251" s="21"/>
      <c r="C251" s="21"/>
      <c r="D251" s="21"/>
      <c r="E251" s="268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69"/>
      <c r="Q251" s="269"/>
      <c r="R251" s="269"/>
    </row>
    <row r="252" ht="14.25" customHeight="1" spans="1:18">
      <c r="A252" s="21"/>
      <c r="B252" s="21"/>
      <c r="C252" s="21"/>
      <c r="D252" s="21"/>
      <c r="E252" s="268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69"/>
      <c r="Q252" s="269"/>
      <c r="R252" s="269"/>
    </row>
    <row r="253" ht="14.25" customHeight="1" spans="1:18">
      <c r="A253" s="21"/>
      <c r="B253" s="21"/>
      <c r="C253" s="21"/>
      <c r="D253" s="21"/>
      <c r="E253" s="268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69"/>
      <c r="Q253" s="269"/>
      <c r="R253" s="269"/>
    </row>
    <row r="254" ht="14.25" customHeight="1" spans="1:18">
      <c r="A254" s="21"/>
      <c r="B254" s="21"/>
      <c r="C254" s="21"/>
      <c r="D254" s="21"/>
      <c r="E254" s="268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69"/>
      <c r="Q254" s="269"/>
      <c r="R254" s="269"/>
    </row>
    <row r="255" ht="14.25" customHeight="1" spans="1:18">
      <c r="A255" s="21"/>
      <c r="B255" s="21"/>
      <c r="C255" s="21"/>
      <c r="D255" s="21"/>
      <c r="E255" s="268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69"/>
      <c r="Q255" s="269"/>
      <c r="R255" s="269"/>
    </row>
    <row r="256" ht="14.25" customHeight="1" spans="1:18">
      <c r="A256" s="21"/>
      <c r="B256" s="21"/>
      <c r="C256" s="21"/>
      <c r="D256" s="21"/>
      <c r="E256" s="268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69"/>
      <c r="Q256" s="269"/>
      <c r="R256" s="269"/>
    </row>
    <row r="257" ht="14.25" customHeight="1" spans="1:18">
      <c r="A257" s="21"/>
      <c r="B257" s="21"/>
      <c r="C257" s="21"/>
      <c r="D257" s="21"/>
      <c r="E257" s="268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69"/>
      <c r="Q257" s="269"/>
      <c r="R257" s="269"/>
    </row>
    <row r="258" ht="14.25" customHeight="1" spans="1:18">
      <c r="A258" s="21"/>
      <c r="B258" s="21"/>
      <c r="C258" s="21"/>
      <c r="D258" s="21"/>
      <c r="E258" s="268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69"/>
      <c r="Q258" s="269"/>
      <c r="R258" s="269"/>
    </row>
    <row r="259" ht="14.25" customHeight="1" spans="1:18">
      <c r="A259" s="21"/>
      <c r="B259" s="21"/>
      <c r="C259" s="21"/>
      <c r="D259" s="21"/>
      <c r="E259" s="268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69"/>
      <c r="Q259" s="269"/>
      <c r="R259" s="269"/>
    </row>
    <row r="260" ht="14.25" customHeight="1" spans="1:18">
      <c r="A260" s="21"/>
      <c r="B260" s="21"/>
      <c r="C260" s="21"/>
      <c r="D260" s="21"/>
      <c r="E260" s="268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69"/>
      <c r="Q260" s="269"/>
      <c r="R260" s="269"/>
    </row>
    <row r="261" ht="14.25" customHeight="1" spans="1:18">
      <c r="A261" s="21"/>
      <c r="B261" s="21"/>
      <c r="C261" s="21"/>
      <c r="D261" s="21"/>
      <c r="E261" s="268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69"/>
      <c r="Q261" s="269"/>
      <c r="R261" s="269"/>
    </row>
    <row r="262" ht="14.25" customHeight="1" spans="1:18">
      <c r="A262" s="21"/>
      <c r="B262" s="21"/>
      <c r="C262" s="21"/>
      <c r="D262" s="21"/>
      <c r="E262" s="268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69"/>
      <c r="Q262" s="269"/>
      <c r="R262" s="269"/>
    </row>
    <row r="263" ht="14.25" customHeight="1" spans="1:18">
      <c r="A263" s="21"/>
      <c r="B263" s="21"/>
      <c r="C263" s="21"/>
      <c r="D263" s="21"/>
      <c r="E263" s="268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69"/>
      <c r="Q263" s="269"/>
      <c r="R263" s="269"/>
    </row>
    <row r="264" ht="14.25" customHeight="1" spans="1:18">
      <c r="A264" s="21"/>
      <c r="B264" s="21"/>
      <c r="C264" s="21"/>
      <c r="D264" s="21"/>
      <c r="E264" s="268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69"/>
      <c r="Q264" s="269"/>
      <c r="R264" s="269"/>
    </row>
    <row r="265" ht="14.25" customHeight="1" spans="1:18">
      <c r="A265" s="21"/>
      <c r="B265" s="21"/>
      <c r="C265" s="21"/>
      <c r="D265" s="21"/>
      <c r="E265" s="268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69"/>
      <c r="Q265" s="269"/>
      <c r="R265" s="269"/>
    </row>
    <row r="266" ht="14.25" customHeight="1" spans="1:18">
      <c r="A266" s="21"/>
      <c r="B266" s="21"/>
      <c r="C266" s="21"/>
      <c r="D266" s="21"/>
      <c r="E266" s="268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69"/>
      <c r="Q266" s="269"/>
      <c r="R266" s="269"/>
    </row>
    <row r="267" ht="14.25" customHeight="1" spans="1:18">
      <c r="A267" s="21"/>
      <c r="B267" s="21"/>
      <c r="C267" s="21"/>
      <c r="D267" s="21"/>
      <c r="E267" s="268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69"/>
      <c r="Q267" s="269"/>
      <c r="R267" s="269"/>
    </row>
    <row r="268" ht="14.25" customHeight="1" spans="1:18">
      <c r="A268" s="21"/>
      <c r="B268" s="21"/>
      <c r="C268" s="21"/>
      <c r="D268" s="21"/>
      <c r="E268" s="268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69"/>
      <c r="Q268" s="269"/>
      <c r="R268" s="269"/>
    </row>
    <row r="269" ht="14.25" customHeight="1" spans="1:18">
      <c r="A269" s="21"/>
      <c r="B269" s="21"/>
      <c r="C269" s="21"/>
      <c r="D269" s="21"/>
      <c r="E269" s="268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69"/>
      <c r="Q269" s="269"/>
      <c r="R269" s="269"/>
    </row>
    <row r="270" ht="14.25" customHeight="1" spans="1:18">
      <c r="A270" s="21"/>
      <c r="B270" s="21"/>
      <c r="C270" s="21"/>
      <c r="D270" s="21"/>
      <c r="E270" s="268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69"/>
      <c r="Q270" s="269"/>
      <c r="R270" s="269"/>
    </row>
    <row r="271" ht="14.25" customHeight="1" spans="1:18">
      <c r="A271" s="21"/>
      <c r="B271" s="21"/>
      <c r="C271" s="21"/>
      <c r="D271" s="21"/>
      <c r="E271" s="268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69"/>
      <c r="Q271" s="269"/>
      <c r="R271" s="269"/>
    </row>
    <row r="272" ht="14.25" customHeight="1" spans="1:18">
      <c r="A272" s="21"/>
      <c r="B272" s="21"/>
      <c r="C272" s="21"/>
      <c r="D272" s="21"/>
      <c r="E272" s="268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69"/>
      <c r="Q272" s="269"/>
      <c r="R272" s="269"/>
    </row>
    <row r="273" ht="14.25" customHeight="1" spans="1:18">
      <c r="A273" s="21"/>
      <c r="B273" s="21"/>
      <c r="C273" s="21"/>
      <c r="D273" s="21"/>
      <c r="E273" s="268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69"/>
      <c r="Q273" s="269"/>
      <c r="R273" s="269"/>
    </row>
    <row r="274" ht="14.25" customHeight="1" spans="1:18">
      <c r="A274" s="21"/>
      <c r="B274" s="21"/>
      <c r="C274" s="21"/>
      <c r="D274" s="21"/>
      <c r="E274" s="268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69"/>
      <c r="Q274" s="269"/>
      <c r="R274" s="269"/>
    </row>
    <row r="275" ht="14.25" customHeight="1" spans="1:18">
      <c r="A275" s="21"/>
      <c r="B275" s="21"/>
      <c r="C275" s="21"/>
      <c r="D275" s="21"/>
      <c r="E275" s="268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69"/>
      <c r="Q275" s="269"/>
      <c r="R275" s="269"/>
    </row>
    <row r="276" ht="14.25" customHeight="1" spans="1:18">
      <c r="A276" s="21"/>
      <c r="B276" s="21"/>
      <c r="C276" s="21"/>
      <c r="D276" s="21"/>
      <c r="E276" s="268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69"/>
      <c r="Q276" s="269"/>
      <c r="R276" s="269"/>
    </row>
    <row r="277" ht="14.25" customHeight="1" spans="1:18">
      <c r="A277" s="21"/>
      <c r="B277" s="21"/>
      <c r="C277" s="21"/>
      <c r="D277" s="21"/>
      <c r="E277" s="268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69"/>
      <c r="Q277" s="269"/>
      <c r="R277" s="269"/>
    </row>
    <row r="278" ht="14.25" customHeight="1" spans="1:18">
      <c r="A278" s="21"/>
      <c r="B278" s="21"/>
      <c r="C278" s="21"/>
      <c r="D278" s="21"/>
      <c r="E278" s="268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69"/>
      <c r="Q278" s="269"/>
      <c r="R278" s="269"/>
    </row>
    <row r="279" ht="14.25" customHeight="1" spans="1:18">
      <c r="A279" s="21"/>
      <c r="B279" s="21"/>
      <c r="C279" s="21"/>
      <c r="D279" s="21"/>
      <c r="E279" s="268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69"/>
      <c r="Q279" s="269"/>
      <c r="R279" s="269"/>
    </row>
    <row r="280" ht="14.25" customHeight="1" spans="1:18">
      <c r="A280" s="21"/>
      <c r="B280" s="21"/>
      <c r="C280" s="21"/>
      <c r="D280" s="21"/>
      <c r="E280" s="268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69"/>
      <c r="Q280" s="269"/>
      <c r="R280" s="269"/>
    </row>
    <row r="281" ht="14.25" customHeight="1" spans="1:18">
      <c r="A281" s="21"/>
      <c r="B281" s="21"/>
      <c r="C281" s="21"/>
      <c r="D281" s="21"/>
      <c r="E281" s="268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69"/>
      <c r="Q281" s="269"/>
      <c r="R281" s="269"/>
    </row>
    <row r="282" ht="14.25" customHeight="1" spans="1:18">
      <c r="A282" s="21"/>
      <c r="B282" s="21"/>
      <c r="C282" s="21"/>
      <c r="D282" s="21"/>
      <c r="E282" s="268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69"/>
      <c r="Q282" s="269"/>
      <c r="R282" s="269"/>
    </row>
    <row r="283" ht="14.25" customHeight="1" spans="1:18">
      <c r="A283" s="21"/>
      <c r="B283" s="21"/>
      <c r="C283" s="21"/>
      <c r="D283" s="21"/>
      <c r="E283" s="268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69"/>
      <c r="Q283" s="269"/>
      <c r="R283" s="269"/>
    </row>
    <row r="284" ht="14.25" customHeight="1" spans="1:18">
      <c r="A284" s="21"/>
      <c r="B284" s="21"/>
      <c r="C284" s="21"/>
      <c r="D284" s="21"/>
      <c r="E284" s="268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69"/>
      <c r="Q284" s="269"/>
      <c r="R284" s="269"/>
    </row>
    <row r="285" ht="14.25" customHeight="1" spans="1:18">
      <c r="A285" s="21"/>
      <c r="B285" s="21"/>
      <c r="C285" s="21"/>
      <c r="D285" s="21"/>
      <c r="E285" s="268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69"/>
      <c r="Q285" s="269"/>
      <c r="R285" s="269"/>
    </row>
    <row r="286" ht="14.25" customHeight="1" spans="1:18">
      <c r="A286" s="21"/>
      <c r="B286" s="21"/>
      <c r="C286" s="21"/>
      <c r="D286" s="21"/>
      <c r="E286" s="268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69"/>
      <c r="Q286" s="269"/>
      <c r="R286" s="269"/>
    </row>
    <row r="287" ht="14.25" customHeight="1" spans="1:18">
      <c r="A287" s="21"/>
      <c r="B287" s="21"/>
      <c r="C287" s="21"/>
      <c r="D287" s="21"/>
      <c r="E287" s="268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69"/>
      <c r="Q287" s="269"/>
      <c r="R287" s="269"/>
    </row>
    <row r="288" ht="14.25" customHeight="1" spans="1:18">
      <c r="A288" s="21"/>
      <c r="B288" s="21"/>
      <c r="C288" s="21"/>
      <c r="D288" s="21"/>
      <c r="E288" s="268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69"/>
      <c r="Q288" s="269"/>
      <c r="R288" s="269"/>
    </row>
    <row r="289" ht="14.25" customHeight="1" spans="1:18">
      <c r="A289" s="21"/>
      <c r="B289" s="21"/>
      <c r="C289" s="21"/>
      <c r="D289" s="21"/>
      <c r="E289" s="268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69"/>
      <c r="Q289" s="269"/>
      <c r="R289" s="269"/>
    </row>
    <row r="290" ht="14.25" customHeight="1" spans="1:18">
      <c r="A290" s="21"/>
      <c r="B290" s="21"/>
      <c r="C290" s="21"/>
      <c r="D290" s="21"/>
      <c r="E290" s="268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69"/>
      <c r="Q290" s="269"/>
      <c r="R290" s="269"/>
    </row>
    <row r="291" ht="14.25" customHeight="1" spans="1:18">
      <c r="A291" s="21"/>
      <c r="B291" s="21"/>
      <c r="C291" s="21"/>
      <c r="D291" s="21"/>
      <c r="E291" s="268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69"/>
      <c r="Q291" s="269"/>
      <c r="R291" s="269"/>
    </row>
    <row r="292" ht="14.25" customHeight="1" spans="1:18">
      <c r="A292" s="21"/>
      <c r="B292" s="21"/>
      <c r="C292" s="21"/>
      <c r="D292" s="21"/>
      <c r="E292" s="268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69"/>
      <c r="Q292" s="269"/>
      <c r="R292" s="269"/>
    </row>
    <row r="293" ht="14.25" customHeight="1" spans="1:18">
      <c r="A293" s="21"/>
      <c r="B293" s="21"/>
      <c r="C293" s="21"/>
      <c r="D293" s="21"/>
      <c r="E293" s="268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69"/>
      <c r="Q293" s="269"/>
      <c r="R293" s="269"/>
    </row>
    <row r="294" ht="14.25" customHeight="1" spans="1:18">
      <c r="A294" s="21"/>
      <c r="B294" s="21"/>
      <c r="C294" s="21"/>
      <c r="D294" s="21"/>
      <c r="E294" s="268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69"/>
      <c r="Q294" s="269"/>
      <c r="R294" s="269"/>
    </row>
    <row r="295" ht="14.25" customHeight="1" spans="1:18">
      <c r="A295" s="21"/>
      <c r="B295" s="21"/>
      <c r="C295" s="21"/>
      <c r="D295" s="21"/>
      <c r="E295" s="268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69"/>
      <c r="Q295" s="269"/>
      <c r="R295" s="269"/>
    </row>
    <row r="296" ht="14.25" customHeight="1" spans="1:18">
      <c r="A296" s="21"/>
      <c r="B296" s="21"/>
      <c r="C296" s="21"/>
      <c r="D296" s="21"/>
      <c r="E296" s="268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69"/>
      <c r="Q296" s="269"/>
      <c r="R296" s="269"/>
    </row>
    <row r="297" ht="14.25" customHeight="1" spans="1:18">
      <c r="A297" s="21"/>
      <c r="B297" s="21"/>
      <c r="C297" s="21"/>
      <c r="D297" s="21"/>
      <c r="E297" s="268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69"/>
      <c r="Q297" s="269"/>
      <c r="R297" s="269"/>
    </row>
    <row r="298" ht="14.25" customHeight="1" spans="1:18">
      <c r="A298" s="21"/>
      <c r="B298" s="21"/>
      <c r="C298" s="21"/>
      <c r="D298" s="21"/>
      <c r="E298" s="268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69"/>
      <c r="Q298" s="269"/>
      <c r="R298" s="269"/>
    </row>
    <row r="299" ht="14.25" customHeight="1" spans="1:18">
      <c r="A299" s="21"/>
      <c r="B299" s="21"/>
      <c r="C299" s="21"/>
      <c r="D299" s="21"/>
      <c r="E299" s="268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69"/>
      <c r="Q299" s="269"/>
      <c r="R299" s="269"/>
    </row>
    <row r="300" ht="14.25" customHeight="1" spans="1:18">
      <c r="A300" s="21"/>
      <c r="B300" s="21"/>
      <c r="C300" s="21"/>
      <c r="D300" s="21"/>
      <c r="E300" s="268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69"/>
      <c r="Q300" s="269"/>
      <c r="R300" s="269"/>
    </row>
    <row r="301" ht="14.25" customHeight="1" spans="1:18">
      <c r="A301" s="21"/>
      <c r="B301" s="21"/>
      <c r="C301" s="21"/>
      <c r="D301" s="21"/>
      <c r="E301" s="268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69"/>
      <c r="Q301" s="269"/>
      <c r="R301" s="269"/>
    </row>
    <row r="302" ht="14.25" customHeight="1" spans="1:18">
      <c r="A302" s="21"/>
      <c r="B302" s="21"/>
      <c r="C302" s="21"/>
      <c r="D302" s="21"/>
      <c r="E302" s="268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69"/>
      <c r="Q302" s="269"/>
      <c r="R302" s="269"/>
    </row>
    <row r="303" ht="14.25" customHeight="1" spans="1:18">
      <c r="A303" s="21"/>
      <c r="B303" s="21"/>
      <c r="C303" s="21"/>
      <c r="D303" s="21"/>
      <c r="E303" s="268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69"/>
      <c r="Q303" s="269"/>
      <c r="R303" s="269"/>
    </row>
    <row r="304" ht="14.25" customHeight="1" spans="1:18">
      <c r="A304" s="21"/>
      <c r="B304" s="21"/>
      <c r="C304" s="21"/>
      <c r="D304" s="21"/>
      <c r="E304" s="268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69"/>
      <c r="Q304" s="269"/>
      <c r="R304" s="269"/>
    </row>
    <row r="305" ht="14.25" customHeight="1" spans="1:18">
      <c r="A305" s="21"/>
      <c r="B305" s="21"/>
      <c r="C305" s="21"/>
      <c r="D305" s="21"/>
      <c r="E305" s="268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69"/>
      <c r="Q305" s="269"/>
      <c r="R305" s="269"/>
    </row>
    <row r="306" ht="14.25" customHeight="1" spans="1:18">
      <c r="A306" s="21"/>
      <c r="B306" s="21"/>
      <c r="C306" s="21"/>
      <c r="D306" s="21"/>
      <c r="E306" s="268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69"/>
      <c r="Q306" s="269"/>
      <c r="R306" s="269"/>
    </row>
    <row r="307" ht="14.25" customHeight="1" spans="1:18">
      <c r="A307" s="21"/>
      <c r="B307" s="21"/>
      <c r="C307" s="21"/>
      <c r="D307" s="21"/>
      <c r="E307" s="268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69"/>
      <c r="Q307" s="269"/>
      <c r="R307" s="269"/>
    </row>
    <row r="308" ht="14.25" customHeight="1" spans="1:18">
      <c r="A308" s="21"/>
      <c r="B308" s="21"/>
      <c r="C308" s="21"/>
      <c r="D308" s="21"/>
      <c r="E308" s="268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69"/>
      <c r="Q308" s="269"/>
      <c r="R308" s="269"/>
    </row>
    <row r="309" ht="14.25" customHeight="1" spans="1:18">
      <c r="A309" s="21"/>
      <c r="B309" s="21"/>
      <c r="C309" s="21"/>
      <c r="D309" s="21"/>
      <c r="E309" s="268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69"/>
      <c r="Q309" s="269"/>
      <c r="R309" s="269"/>
    </row>
    <row r="310" ht="14.25" customHeight="1" spans="1:18">
      <c r="A310" s="21"/>
      <c r="B310" s="21"/>
      <c r="C310" s="21"/>
      <c r="D310" s="21"/>
      <c r="E310" s="268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69"/>
      <c r="Q310" s="269"/>
      <c r="R310" s="269"/>
    </row>
    <row r="311" ht="14.25" customHeight="1" spans="1:18">
      <c r="A311" s="21"/>
      <c r="B311" s="21"/>
      <c r="C311" s="21"/>
      <c r="D311" s="21"/>
      <c r="E311" s="268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69"/>
      <c r="Q311" s="269"/>
      <c r="R311" s="269"/>
    </row>
    <row r="312" ht="14.25" customHeight="1" spans="1:18">
      <c r="A312" s="21"/>
      <c r="B312" s="21"/>
      <c r="C312" s="21"/>
      <c r="D312" s="21"/>
      <c r="E312" s="268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69"/>
      <c r="Q312" s="269"/>
      <c r="R312" s="269"/>
    </row>
    <row r="313" ht="14.25" customHeight="1" spans="1:18">
      <c r="A313" s="21"/>
      <c r="B313" s="21"/>
      <c r="C313" s="21"/>
      <c r="D313" s="21"/>
      <c r="E313" s="268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69"/>
      <c r="Q313" s="269"/>
      <c r="R313" s="269"/>
    </row>
    <row r="314" ht="14.25" customHeight="1" spans="1:18">
      <c r="A314" s="21"/>
      <c r="B314" s="21"/>
      <c r="C314" s="21"/>
      <c r="D314" s="21"/>
      <c r="E314" s="268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69"/>
      <c r="Q314" s="269"/>
      <c r="R314" s="269"/>
    </row>
    <row r="315" ht="14.25" customHeight="1" spans="1:18">
      <c r="A315" s="21"/>
      <c r="B315" s="21"/>
      <c r="C315" s="21"/>
      <c r="D315" s="21"/>
      <c r="E315" s="268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69"/>
      <c r="Q315" s="269"/>
      <c r="R315" s="269"/>
    </row>
    <row r="316" ht="14.25" customHeight="1" spans="1:18">
      <c r="A316" s="21"/>
      <c r="B316" s="21"/>
      <c r="C316" s="21"/>
      <c r="D316" s="21"/>
      <c r="E316" s="268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69"/>
      <c r="Q316" s="269"/>
      <c r="R316" s="269"/>
    </row>
    <row r="317" ht="14.25" customHeight="1" spans="1:18">
      <c r="A317" s="21"/>
      <c r="B317" s="21"/>
      <c r="C317" s="21"/>
      <c r="D317" s="21"/>
      <c r="E317" s="268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69"/>
      <c r="Q317" s="269"/>
      <c r="R317" s="269"/>
    </row>
    <row r="318" ht="14.25" customHeight="1" spans="1:18">
      <c r="A318" s="21"/>
      <c r="B318" s="21"/>
      <c r="C318" s="21"/>
      <c r="D318" s="21"/>
      <c r="E318" s="268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69"/>
      <c r="Q318" s="269"/>
      <c r="R318" s="269"/>
    </row>
    <row r="319" ht="14.25" customHeight="1" spans="1:18">
      <c r="A319" s="21"/>
      <c r="B319" s="21"/>
      <c r="C319" s="21"/>
      <c r="D319" s="21"/>
      <c r="E319" s="268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69"/>
      <c r="Q319" s="269"/>
      <c r="R319" s="269"/>
    </row>
    <row r="320" ht="14.25" customHeight="1" spans="1:18">
      <c r="A320" s="21"/>
      <c r="B320" s="21"/>
      <c r="C320" s="21"/>
      <c r="D320" s="21"/>
      <c r="E320" s="268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69"/>
      <c r="Q320" s="269"/>
      <c r="R320" s="269"/>
    </row>
    <row r="321" ht="14.25" customHeight="1" spans="1:18">
      <c r="A321" s="21"/>
      <c r="B321" s="21"/>
      <c r="C321" s="21"/>
      <c r="D321" s="21"/>
      <c r="E321" s="268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69"/>
      <c r="Q321" s="269"/>
      <c r="R321" s="269"/>
    </row>
    <row r="322" ht="14.25" customHeight="1" spans="1:18">
      <c r="A322" s="21"/>
      <c r="B322" s="21"/>
      <c r="C322" s="21"/>
      <c r="D322" s="21"/>
      <c r="E322" s="268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69"/>
      <c r="Q322" s="269"/>
      <c r="R322" s="269"/>
    </row>
    <row r="323" ht="14.25" customHeight="1" spans="1:18">
      <c r="A323" s="21"/>
      <c r="B323" s="21"/>
      <c r="C323" s="21"/>
      <c r="D323" s="21"/>
      <c r="E323" s="268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69"/>
      <c r="Q323" s="269"/>
      <c r="R323" s="269"/>
    </row>
    <row r="324" ht="14.25" customHeight="1" spans="1:18">
      <c r="A324" s="21"/>
      <c r="B324" s="21"/>
      <c r="C324" s="21"/>
      <c r="D324" s="21"/>
      <c r="E324" s="268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69"/>
      <c r="Q324" s="269"/>
      <c r="R324" s="269"/>
    </row>
    <row r="325" ht="14.25" customHeight="1" spans="1:18">
      <c r="A325" s="21"/>
      <c r="B325" s="21"/>
      <c r="C325" s="21"/>
      <c r="D325" s="21"/>
      <c r="E325" s="268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69"/>
      <c r="Q325" s="269"/>
      <c r="R325" s="269"/>
    </row>
    <row r="326" ht="14.25" customHeight="1" spans="1:18">
      <c r="A326" s="21"/>
      <c r="B326" s="21"/>
      <c r="C326" s="21"/>
      <c r="D326" s="21"/>
      <c r="E326" s="268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69"/>
      <c r="Q326" s="269"/>
      <c r="R326" s="269"/>
    </row>
    <row r="327" ht="14.25" customHeight="1" spans="1:18">
      <c r="A327" s="21"/>
      <c r="B327" s="21"/>
      <c r="C327" s="21"/>
      <c r="D327" s="21"/>
      <c r="E327" s="268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69"/>
      <c r="Q327" s="269"/>
      <c r="R327" s="269"/>
    </row>
    <row r="328" ht="14.25" customHeight="1" spans="1:18">
      <c r="A328" s="21"/>
      <c r="B328" s="21"/>
      <c r="C328" s="21"/>
      <c r="D328" s="21"/>
      <c r="E328" s="268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69"/>
      <c r="Q328" s="269"/>
      <c r="R328" s="269"/>
    </row>
    <row r="329" ht="14.25" customHeight="1" spans="1:18">
      <c r="A329" s="21"/>
      <c r="B329" s="21"/>
      <c r="C329" s="21"/>
      <c r="D329" s="21"/>
      <c r="E329" s="268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69"/>
      <c r="Q329" s="269"/>
      <c r="R329" s="269"/>
    </row>
    <row r="330" ht="14.25" customHeight="1" spans="1:18">
      <c r="A330" s="21"/>
      <c r="B330" s="21"/>
      <c r="C330" s="21"/>
      <c r="D330" s="21"/>
      <c r="E330" s="268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69"/>
      <c r="Q330" s="269"/>
      <c r="R330" s="269"/>
    </row>
    <row r="331" ht="14.25" customHeight="1" spans="1:18">
      <c r="A331" s="21"/>
      <c r="B331" s="21"/>
      <c r="C331" s="21"/>
      <c r="D331" s="21"/>
      <c r="E331" s="268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69"/>
      <c r="Q331" s="269"/>
      <c r="R331" s="269"/>
    </row>
    <row r="332" ht="14.25" customHeight="1" spans="1:18">
      <c r="A332" s="21"/>
      <c r="B332" s="21"/>
      <c r="C332" s="21"/>
      <c r="D332" s="21"/>
      <c r="E332" s="268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69"/>
      <c r="Q332" s="269"/>
      <c r="R332" s="269"/>
    </row>
    <row r="333" ht="14.25" customHeight="1" spans="1:18">
      <c r="A333" s="21"/>
      <c r="B333" s="21"/>
      <c r="C333" s="21"/>
      <c r="D333" s="21"/>
      <c r="E333" s="268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69"/>
      <c r="Q333" s="269"/>
      <c r="R333" s="269"/>
    </row>
    <row r="334" ht="14.25" customHeight="1" spans="1:18">
      <c r="A334" s="21"/>
      <c r="B334" s="21"/>
      <c r="C334" s="21"/>
      <c r="D334" s="21"/>
      <c r="E334" s="268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69"/>
      <c r="Q334" s="269"/>
      <c r="R334" s="269"/>
    </row>
    <row r="335" ht="14.25" customHeight="1" spans="1:18">
      <c r="A335" s="21"/>
      <c r="B335" s="21"/>
      <c r="C335" s="21"/>
      <c r="D335" s="21"/>
      <c r="E335" s="268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69"/>
      <c r="Q335" s="269"/>
      <c r="R335" s="269"/>
    </row>
    <row r="336" ht="14.25" customHeight="1" spans="1:18">
      <c r="A336" s="21"/>
      <c r="B336" s="21"/>
      <c r="C336" s="21"/>
      <c r="D336" s="21"/>
      <c r="E336" s="268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69"/>
      <c r="Q336" s="269"/>
      <c r="R336" s="269"/>
    </row>
    <row r="337" ht="14.25" customHeight="1" spans="1:18">
      <c r="A337" s="21"/>
      <c r="B337" s="21"/>
      <c r="C337" s="21"/>
      <c r="D337" s="21"/>
      <c r="E337" s="268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69"/>
      <c r="Q337" s="269"/>
      <c r="R337" s="269"/>
    </row>
    <row r="338" ht="14.25" customHeight="1" spans="1:18">
      <c r="A338" s="21"/>
      <c r="B338" s="21"/>
      <c r="C338" s="21"/>
      <c r="D338" s="21"/>
      <c r="E338" s="268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69"/>
      <c r="Q338" s="269"/>
      <c r="R338" s="269"/>
    </row>
    <row r="339" ht="14.25" customHeight="1" spans="1:18">
      <c r="A339" s="21"/>
      <c r="B339" s="21"/>
      <c r="C339" s="21"/>
      <c r="D339" s="21"/>
      <c r="E339" s="268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69"/>
      <c r="Q339" s="269"/>
      <c r="R339" s="269"/>
    </row>
    <row r="340" ht="14.25" customHeight="1" spans="1:18">
      <c r="A340" s="21"/>
      <c r="B340" s="21"/>
      <c r="C340" s="21"/>
      <c r="D340" s="21"/>
      <c r="E340" s="268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69"/>
      <c r="Q340" s="269"/>
      <c r="R340" s="269"/>
    </row>
    <row r="341" ht="14.25" customHeight="1" spans="1:18">
      <c r="A341" s="21"/>
      <c r="B341" s="21"/>
      <c r="C341" s="21"/>
      <c r="D341" s="21"/>
      <c r="E341" s="268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69"/>
      <c r="Q341" s="269"/>
      <c r="R341" s="269"/>
    </row>
    <row r="342" ht="14.25" customHeight="1" spans="1:18">
      <c r="A342" s="21"/>
      <c r="B342" s="21"/>
      <c r="C342" s="21"/>
      <c r="D342" s="21"/>
      <c r="E342" s="268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69"/>
      <c r="Q342" s="269"/>
      <c r="R342" s="269"/>
    </row>
    <row r="343" ht="14.25" customHeight="1" spans="1:18">
      <c r="A343" s="21"/>
      <c r="B343" s="21"/>
      <c r="C343" s="21"/>
      <c r="D343" s="21"/>
      <c r="E343" s="268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69"/>
      <c r="Q343" s="269"/>
      <c r="R343" s="269"/>
    </row>
    <row r="344" ht="14.25" customHeight="1" spans="1:18">
      <c r="A344" s="21"/>
      <c r="B344" s="21"/>
      <c r="C344" s="21"/>
      <c r="D344" s="21"/>
      <c r="E344" s="268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69"/>
      <c r="Q344" s="269"/>
      <c r="R344" s="269"/>
    </row>
    <row r="345" ht="14.25" customHeight="1" spans="1:18">
      <c r="A345" s="21"/>
      <c r="B345" s="21"/>
      <c r="C345" s="21"/>
      <c r="D345" s="21"/>
      <c r="E345" s="268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69"/>
      <c r="Q345" s="269"/>
      <c r="R345" s="269"/>
    </row>
    <row r="346" ht="14.25" customHeight="1" spans="1:18">
      <c r="A346" s="21"/>
      <c r="B346" s="21"/>
      <c r="C346" s="21"/>
      <c r="D346" s="21"/>
      <c r="E346" s="268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69"/>
      <c r="Q346" s="269"/>
      <c r="R346" s="269"/>
    </row>
    <row r="347" ht="14.25" customHeight="1" spans="1:18">
      <c r="A347" s="21"/>
      <c r="B347" s="21"/>
      <c r="C347" s="21"/>
      <c r="D347" s="21"/>
      <c r="E347" s="268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69"/>
      <c r="Q347" s="269"/>
      <c r="R347" s="269"/>
    </row>
    <row r="348" ht="14.25" customHeight="1" spans="1:18">
      <c r="A348" s="21"/>
      <c r="B348" s="21"/>
      <c r="C348" s="21"/>
      <c r="D348" s="21"/>
      <c r="E348" s="268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69"/>
      <c r="Q348" s="269"/>
      <c r="R348" s="269"/>
    </row>
    <row r="349" ht="14.25" customHeight="1" spans="1:18">
      <c r="A349" s="21"/>
      <c r="B349" s="21"/>
      <c r="C349" s="21"/>
      <c r="D349" s="21"/>
      <c r="E349" s="268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69"/>
      <c r="Q349" s="269"/>
      <c r="R349" s="269"/>
    </row>
    <row r="350" ht="14.25" customHeight="1" spans="1:18">
      <c r="A350" s="21"/>
      <c r="B350" s="21"/>
      <c r="C350" s="21"/>
      <c r="D350" s="21"/>
      <c r="E350" s="268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69"/>
      <c r="Q350" s="269"/>
      <c r="R350" s="269"/>
    </row>
    <row r="351" ht="14.25" customHeight="1" spans="1:18">
      <c r="A351" s="21"/>
      <c r="B351" s="21"/>
      <c r="C351" s="21"/>
      <c r="D351" s="21"/>
      <c r="E351" s="268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69"/>
      <c r="Q351" s="269"/>
      <c r="R351" s="269"/>
    </row>
    <row r="352" ht="14.25" customHeight="1" spans="1:18">
      <c r="A352" s="21"/>
      <c r="B352" s="21"/>
      <c r="C352" s="21"/>
      <c r="D352" s="21"/>
      <c r="E352" s="268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69"/>
      <c r="Q352" s="269"/>
      <c r="R352" s="269"/>
    </row>
    <row r="353" ht="14.25" customHeight="1" spans="1:18">
      <c r="A353" s="21"/>
      <c r="B353" s="21"/>
      <c r="C353" s="21"/>
      <c r="D353" s="21"/>
      <c r="E353" s="268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69"/>
      <c r="Q353" s="269"/>
      <c r="R353" s="269"/>
    </row>
    <row r="354" ht="14.25" customHeight="1" spans="1:18">
      <c r="A354" s="21"/>
      <c r="B354" s="21"/>
      <c r="C354" s="21"/>
      <c r="D354" s="21"/>
      <c r="E354" s="268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69"/>
      <c r="Q354" s="269"/>
      <c r="R354" s="269"/>
    </row>
    <row r="355" ht="14.25" customHeight="1" spans="1:18">
      <c r="A355" s="21"/>
      <c r="B355" s="21"/>
      <c r="C355" s="21"/>
      <c r="D355" s="21"/>
      <c r="E355" s="268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69"/>
      <c r="Q355" s="269"/>
      <c r="R355" s="269"/>
    </row>
    <row r="356" ht="14.25" customHeight="1" spans="1:18">
      <c r="A356" s="21"/>
      <c r="B356" s="21"/>
      <c r="C356" s="21"/>
      <c r="D356" s="21"/>
      <c r="E356" s="268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69"/>
      <c r="Q356" s="269"/>
      <c r="R356" s="269"/>
    </row>
    <row r="357" ht="14.25" customHeight="1" spans="1:18">
      <c r="A357" s="21"/>
      <c r="B357" s="21"/>
      <c r="C357" s="21"/>
      <c r="D357" s="21"/>
      <c r="E357" s="268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69"/>
      <c r="Q357" s="269"/>
      <c r="R357" s="269"/>
    </row>
    <row r="358" ht="14.25" customHeight="1" spans="1:18">
      <c r="A358" s="21"/>
      <c r="B358" s="21"/>
      <c r="C358" s="21"/>
      <c r="D358" s="21"/>
      <c r="E358" s="268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69"/>
      <c r="Q358" s="269"/>
      <c r="R358" s="269"/>
    </row>
    <row r="359" ht="14.25" customHeight="1" spans="1:18">
      <c r="A359" s="21"/>
      <c r="B359" s="21"/>
      <c r="C359" s="21"/>
      <c r="D359" s="21"/>
      <c r="E359" s="268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69"/>
      <c r="Q359" s="269"/>
      <c r="R359" s="269"/>
    </row>
    <row r="360" ht="14.25" customHeight="1" spans="1:18">
      <c r="A360" s="21"/>
      <c r="B360" s="21"/>
      <c r="C360" s="21"/>
      <c r="D360" s="21"/>
      <c r="E360" s="268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69"/>
      <c r="Q360" s="269"/>
      <c r="R360" s="269"/>
    </row>
    <row r="361" ht="14.25" customHeight="1" spans="1:18">
      <c r="A361" s="21"/>
      <c r="B361" s="21"/>
      <c r="C361" s="21"/>
      <c r="D361" s="21"/>
      <c r="E361" s="268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69"/>
      <c r="Q361" s="269"/>
      <c r="R361" s="269"/>
    </row>
    <row r="362" ht="14.25" customHeight="1" spans="1:18">
      <c r="A362" s="21"/>
      <c r="B362" s="21"/>
      <c r="C362" s="21"/>
      <c r="D362" s="21"/>
      <c r="E362" s="268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69"/>
      <c r="Q362" s="269"/>
      <c r="R362" s="269"/>
    </row>
    <row r="363" ht="14.25" customHeight="1" spans="1:18">
      <c r="A363" s="21"/>
      <c r="B363" s="21"/>
      <c r="C363" s="21"/>
      <c r="D363" s="21"/>
      <c r="E363" s="268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69"/>
      <c r="Q363" s="269"/>
      <c r="R363" s="269"/>
    </row>
    <row r="364" ht="14.25" customHeight="1" spans="1:18">
      <c r="A364" s="21"/>
      <c r="B364" s="21"/>
      <c r="C364" s="21"/>
      <c r="D364" s="21"/>
      <c r="E364" s="268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69"/>
      <c r="Q364" s="269"/>
      <c r="R364" s="269"/>
    </row>
    <row r="365" ht="14.25" customHeight="1" spans="1:18">
      <c r="A365" s="21"/>
      <c r="B365" s="21"/>
      <c r="C365" s="21"/>
      <c r="D365" s="21"/>
      <c r="E365" s="268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69"/>
      <c r="Q365" s="269"/>
      <c r="R365" s="269"/>
    </row>
    <row r="366" ht="14.25" customHeight="1" spans="1:18">
      <c r="A366" s="21"/>
      <c r="B366" s="21"/>
      <c r="C366" s="21"/>
      <c r="D366" s="21"/>
      <c r="E366" s="268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69"/>
      <c r="Q366" s="269"/>
      <c r="R366" s="269"/>
    </row>
    <row r="367" ht="14.25" customHeight="1" spans="1:18">
      <c r="A367" s="21"/>
      <c r="B367" s="21"/>
      <c r="C367" s="21"/>
      <c r="D367" s="21"/>
      <c r="E367" s="268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69"/>
      <c r="Q367" s="269"/>
      <c r="R367" s="269"/>
    </row>
    <row r="368" ht="14.25" customHeight="1" spans="1:18">
      <c r="A368" s="21"/>
      <c r="B368" s="21"/>
      <c r="C368" s="21"/>
      <c r="D368" s="21"/>
      <c r="E368" s="268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69"/>
      <c r="Q368" s="269"/>
      <c r="R368" s="269"/>
    </row>
    <row r="369" ht="14.25" customHeight="1" spans="1:18">
      <c r="A369" s="21"/>
      <c r="B369" s="21"/>
      <c r="C369" s="21"/>
      <c r="D369" s="21"/>
      <c r="E369" s="268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69"/>
      <c r="Q369" s="269"/>
      <c r="R369" s="269"/>
    </row>
    <row r="370" ht="14.25" customHeight="1" spans="1:18">
      <c r="A370" s="21"/>
      <c r="B370" s="21"/>
      <c r="C370" s="21"/>
      <c r="D370" s="21"/>
      <c r="E370" s="268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69"/>
      <c r="Q370" s="269"/>
      <c r="R370" s="269"/>
    </row>
    <row r="371" ht="14.25" customHeight="1" spans="1:18">
      <c r="A371" s="21"/>
      <c r="B371" s="21"/>
      <c r="C371" s="21"/>
      <c r="D371" s="21"/>
      <c r="E371" s="268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69"/>
      <c r="Q371" s="269"/>
      <c r="R371" s="269"/>
    </row>
    <row r="372" ht="14.25" customHeight="1" spans="1:18">
      <c r="A372" s="21"/>
      <c r="B372" s="21"/>
      <c r="C372" s="21"/>
      <c r="D372" s="21"/>
      <c r="E372" s="268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69"/>
      <c r="Q372" s="269"/>
      <c r="R372" s="269"/>
    </row>
    <row r="373" ht="14.25" customHeight="1" spans="1:18">
      <c r="A373" s="21"/>
      <c r="B373" s="21"/>
      <c r="C373" s="21"/>
      <c r="D373" s="21"/>
      <c r="E373" s="268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69"/>
      <c r="Q373" s="269"/>
      <c r="R373" s="269"/>
    </row>
    <row r="374" ht="14.25" customHeight="1" spans="1:18">
      <c r="A374" s="21"/>
      <c r="B374" s="21"/>
      <c r="C374" s="21"/>
      <c r="D374" s="21"/>
      <c r="E374" s="268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69"/>
      <c r="Q374" s="269"/>
      <c r="R374" s="269"/>
    </row>
    <row r="375" ht="14.25" customHeight="1" spans="1:18">
      <c r="A375" s="21"/>
      <c r="B375" s="21"/>
      <c r="C375" s="21"/>
      <c r="D375" s="21"/>
      <c r="E375" s="268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69"/>
      <c r="Q375" s="269"/>
      <c r="R375" s="269"/>
    </row>
    <row r="376" ht="14.25" customHeight="1" spans="1:18">
      <c r="A376" s="21"/>
      <c r="B376" s="21"/>
      <c r="C376" s="21"/>
      <c r="D376" s="21"/>
      <c r="E376" s="268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69"/>
      <c r="Q376" s="269"/>
      <c r="R376" s="269"/>
    </row>
    <row r="377" ht="14.25" customHeight="1" spans="1:18">
      <c r="A377" s="21"/>
      <c r="B377" s="21"/>
      <c r="C377" s="21"/>
      <c r="D377" s="21"/>
      <c r="E377" s="268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69"/>
      <c r="Q377" s="269"/>
      <c r="R377" s="269"/>
    </row>
    <row r="378" ht="14.25" customHeight="1" spans="1:18">
      <c r="A378" s="21"/>
      <c r="B378" s="21"/>
      <c r="C378" s="21"/>
      <c r="D378" s="21"/>
      <c r="E378" s="268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69"/>
      <c r="Q378" s="269"/>
      <c r="R378" s="269"/>
    </row>
    <row r="379" ht="14.25" customHeight="1" spans="1:18">
      <c r="A379" s="21"/>
      <c r="B379" s="21"/>
      <c r="C379" s="21"/>
      <c r="D379" s="21"/>
      <c r="E379" s="268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69"/>
      <c r="Q379" s="269"/>
      <c r="R379" s="269"/>
    </row>
    <row r="380" ht="14.25" customHeight="1" spans="1:18">
      <c r="A380" s="21"/>
      <c r="B380" s="21"/>
      <c r="C380" s="21"/>
      <c r="D380" s="21"/>
      <c r="E380" s="268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69"/>
      <c r="Q380" s="269"/>
      <c r="R380" s="269"/>
    </row>
    <row r="381" ht="14.25" customHeight="1" spans="1:18">
      <c r="A381" s="21"/>
      <c r="B381" s="21"/>
      <c r="C381" s="21"/>
      <c r="D381" s="21"/>
      <c r="E381" s="268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69"/>
      <c r="Q381" s="269"/>
      <c r="R381" s="269"/>
    </row>
    <row r="382" ht="14.25" customHeight="1" spans="1:18">
      <c r="A382" s="21"/>
      <c r="B382" s="21"/>
      <c r="C382" s="21"/>
      <c r="D382" s="21"/>
      <c r="E382" s="268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69"/>
      <c r="Q382" s="269"/>
      <c r="R382" s="269"/>
    </row>
    <row r="383" ht="14.25" customHeight="1" spans="1:18">
      <c r="A383" s="21"/>
      <c r="B383" s="21"/>
      <c r="C383" s="21"/>
      <c r="D383" s="21"/>
      <c r="E383" s="268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69"/>
      <c r="Q383" s="269"/>
      <c r="R383" s="269"/>
    </row>
    <row r="384" ht="14.25" customHeight="1" spans="1:18">
      <c r="A384" s="21"/>
      <c r="B384" s="21"/>
      <c r="C384" s="21"/>
      <c r="D384" s="21"/>
      <c r="E384" s="268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69"/>
      <c r="Q384" s="269"/>
      <c r="R384" s="269"/>
    </row>
    <row r="385" ht="14.25" customHeight="1" spans="1:18">
      <c r="A385" s="21"/>
      <c r="B385" s="21"/>
      <c r="C385" s="21"/>
      <c r="D385" s="21"/>
      <c r="E385" s="268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69"/>
      <c r="Q385" s="269"/>
      <c r="R385" s="269"/>
    </row>
    <row r="386" ht="14.25" customHeight="1" spans="1:18">
      <c r="A386" s="21"/>
      <c r="B386" s="21"/>
      <c r="C386" s="21"/>
      <c r="D386" s="21"/>
      <c r="E386" s="268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69"/>
      <c r="Q386" s="269"/>
      <c r="R386" s="269"/>
    </row>
    <row r="387" ht="14.25" customHeight="1" spans="1:18">
      <c r="A387" s="21"/>
      <c r="B387" s="21"/>
      <c r="C387" s="21"/>
      <c r="D387" s="21"/>
      <c r="E387" s="268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69"/>
      <c r="Q387" s="269"/>
      <c r="R387" s="269"/>
    </row>
    <row r="388" ht="14.25" customHeight="1" spans="1:18">
      <c r="A388" s="21"/>
      <c r="B388" s="21"/>
      <c r="C388" s="21"/>
      <c r="D388" s="21"/>
      <c r="E388" s="268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69"/>
      <c r="Q388" s="269"/>
      <c r="R388" s="269"/>
    </row>
    <row r="389" ht="14.25" customHeight="1" spans="1:18">
      <c r="A389" s="21"/>
      <c r="B389" s="21"/>
      <c r="C389" s="21"/>
      <c r="D389" s="21"/>
      <c r="E389" s="268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69"/>
      <c r="Q389" s="269"/>
      <c r="R389" s="269"/>
    </row>
    <row r="390" ht="14.25" customHeight="1" spans="1:18">
      <c r="A390" s="21"/>
      <c r="B390" s="21"/>
      <c r="C390" s="21"/>
      <c r="D390" s="21"/>
      <c r="E390" s="268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69"/>
      <c r="Q390" s="269"/>
      <c r="R390" s="269"/>
    </row>
    <row r="391" ht="14.25" customHeight="1" spans="1:18">
      <c r="A391" s="21"/>
      <c r="B391" s="21"/>
      <c r="C391" s="21"/>
      <c r="D391" s="21"/>
      <c r="E391" s="268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69"/>
      <c r="Q391" s="269"/>
      <c r="R391" s="269"/>
    </row>
    <row r="392" ht="14.25" customHeight="1" spans="1:18">
      <c r="A392" s="21"/>
      <c r="B392" s="21"/>
      <c r="C392" s="21"/>
      <c r="D392" s="21"/>
      <c r="E392" s="268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69"/>
      <c r="Q392" s="269"/>
      <c r="R392" s="269"/>
    </row>
    <row r="393" ht="14.25" customHeight="1" spans="1:18">
      <c r="A393" s="21"/>
      <c r="B393" s="21"/>
      <c r="C393" s="21"/>
      <c r="D393" s="21"/>
      <c r="E393" s="268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69"/>
      <c r="Q393" s="269"/>
      <c r="R393" s="269"/>
    </row>
    <row r="394" ht="14.25" customHeight="1" spans="1:18">
      <c r="A394" s="21"/>
      <c r="B394" s="21"/>
      <c r="C394" s="21"/>
      <c r="D394" s="21"/>
      <c r="E394" s="268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69"/>
      <c r="Q394" s="269"/>
      <c r="R394" s="269"/>
    </row>
    <row r="395" ht="14.25" customHeight="1" spans="1:18">
      <c r="A395" s="21"/>
      <c r="B395" s="21"/>
      <c r="C395" s="21"/>
      <c r="D395" s="21"/>
      <c r="E395" s="268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69"/>
      <c r="Q395" s="269"/>
      <c r="R395" s="269"/>
    </row>
    <row r="396" ht="14.25" customHeight="1" spans="1:18">
      <c r="A396" s="21"/>
      <c r="B396" s="21"/>
      <c r="C396" s="21"/>
      <c r="D396" s="21"/>
      <c r="E396" s="268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69"/>
      <c r="Q396" s="269"/>
      <c r="R396" s="269"/>
    </row>
    <row r="397" ht="14.25" customHeight="1" spans="1:18">
      <c r="A397" s="21"/>
      <c r="B397" s="21"/>
      <c r="C397" s="21"/>
      <c r="D397" s="21"/>
      <c r="E397" s="268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69"/>
      <c r="Q397" s="269"/>
      <c r="R397" s="269"/>
    </row>
    <row r="398" ht="14.25" customHeight="1" spans="1:18">
      <c r="A398" s="21"/>
      <c r="B398" s="21"/>
      <c r="C398" s="21"/>
      <c r="D398" s="21"/>
      <c r="E398" s="268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69"/>
      <c r="Q398" s="269"/>
      <c r="R398" s="269"/>
    </row>
    <row r="399" ht="14.25" customHeight="1" spans="1:18">
      <c r="A399" s="21"/>
      <c r="B399" s="21"/>
      <c r="C399" s="21"/>
      <c r="D399" s="21"/>
      <c r="E399" s="268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69"/>
      <c r="Q399" s="269"/>
      <c r="R399" s="269"/>
    </row>
    <row r="400" ht="14.25" customHeight="1" spans="1:18">
      <c r="A400" s="21"/>
      <c r="B400" s="21"/>
      <c r="C400" s="21"/>
      <c r="D400" s="21"/>
      <c r="E400" s="268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69"/>
      <c r="Q400" s="269"/>
      <c r="R400" s="269"/>
    </row>
    <row r="401" ht="14.25" customHeight="1" spans="1:18">
      <c r="A401" s="21"/>
      <c r="B401" s="21"/>
      <c r="C401" s="21"/>
      <c r="D401" s="21"/>
      <c r="E401" s="268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69"/>
      <c r="Q401" s="269"/>
      <c r="R401" s="269"/>
    </row>
    <row r="402" ht="14.25" customHeight="1" spans="1:18">
      <c r="A402" s="21"/>
      <c r="B402" s="21"/>
      <c r="C402" s="21"/>
      <c r="D402" s="21"/>
      <c r="E402" s="268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69"/>
      <c r="Q402" s="269"/>
      <c r="R402" s="269"/>
    </row>
    <row r="403" ht="14.25" customHeight="1" spans="1:18">
      <c r="A403" s="21"/>
      <c r="B403" s="21"/>
      <c r="C403" s="21"/>
      <c r="D403" s="21"/>
      <c r="E403" s="268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69"/>
      <c r="Q403" s="269"/>
      <c r="R403" s="269"/>
    </row>
    <row r="404" ht="14.25" customHeight="1" spans="1:18">
      <c r="A404" s="21"/>
      <c r="B404" s="21"/>
      <c r="C404" s="21"/>
      <c r="D404" s="21"/>
      <c r="E404" s="268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69"/>
      <c r="Q404" s="269"/>
      <c r="R404" s="269"/>
    </row>
    <row r="405" ht="14.25" customHeight="1" spans="1:18">
      <c r="A405" s="21"/>
      <c r="B405" s="21"/>
      <c r="C405" s="21"/>
      <c r="D405" s="21"/>
      <c r="E405" s="268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69"/>
      <c r="Q405" s="269"/>
      <c r="R405" s="269"/>
    </row>
    <row r="406" ht="14.25" customHeight="1" spans="1:18">
      <c r="A406" s="21"/>
      <c r="B406" s="21"/>
      <c r="C406" s="21"/>
      <c r="D406" s="21"/>
      <c r="E406" s="268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69"/>
      <c r="Q406" s="269"/>
      <c r="R406" s="269"/>
    </row>
    <row r="407" ht="14.25" customHeight="1" spans="1:18">
      <c r="A407" s="21"/>
      <c r="B407" s="21"/>
      <c r="C407" s="21"/>
      <c r="D407" s="21"/>
      <c r="E407" s="268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69"/>
      <c r="Q407" s="269"/>
      <c r="R407" s="269"/>
    </row>
    <row r="408" ht="14.25" customHeight="1" spans="1:18">
      <c r="A408" s="21"/>
      <c r="B408" s="21"/>
      <c r="C408" s="21"/>
      <c r="D408" s="21"/>
      <c r="E408" s="268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69"/>
      <c r="Q408" s="269"/>
      <c r="R408" s="269"/>
    </row>
    <row r="409" ht="14.25" customHeight="1" spans="1:18">
      <c r="A409" s="21"/>
      <c r="B409" s="21"/>
      <c r="C409" s="21"/>
      <c r="D409" s="21"/>
      <c r="E409" s="268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69"/>
      <c r="Q409" s="269"/>
      <c r="R409" s="269"/>
    </row>
    <row r="410" ht="14.25" customHeight="1" spans="1:18">
      <c r="A410" s="21"/>
      <c r="B410" s="21"/>
      <c r="C410" s="21"/>
      <c r="D410" s="21"/>
      <c r="E410" s="268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69"/>
      <c r="Q410" s="269"/>
      <c r="R410" s="269"/>
    </row>
    <row r="411" ht="14.25" customHeight="1" spans="1:18">
      <c r="A411" s="21"/>
      <c r="B411" s="21"/>
      <c r="C411" s="21"/>
      <c r="D411" s="21"/>
      <c r="E411" s="268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69"/>
      <c r="Q411" s="269"/>
      <c r="R411" s="269"/>
    </row>
    <row r="412" ht="14.25" customHeight="1" spans="1:18">
      <c r="A412" s="21"/>
      <c r="B412" s="21"/>
      <c r="C412" s="21"/>
      <c r="D412" s="21"/>
      <c r="E412" s="268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69"/>
      <c r="Q412" s="269"/>
      <c r="R412" s="269"/>
    </row>
    <row r="413" ht="14.25" customHeight="1" spans="1:18">
      <c r="A413" s="21"/>
      <c r="B413" s="21"/>
      <c r="C413" s="21"/>
      <c r="D413" s="21"/>
      <c r="E413" s="268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69"/>
      <c r="Q413" s="269"/>
      <c r="R413" s="269"/>
    </row>
    <row r="414" ht="14.25" customHeight="1" spans="1:18">
      <c r="A414" s="21"/>
      <c r="B414" s="21"/>
      <c r="C414" s="21"/>
      <c r="D414" s="21"/>
      <c r="E414" s="268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69"/>
      <c r="Q414" s="269"/>
      <c r="R414" s="269"/>
    </row>
    <row r="415" ht="14.25" customHeight="1" spans="1:18">
      <c r="A415" s="21"/>
      <c r="B415" s="21"/>
      <c r="C415" s="21"/>
      <c r="D415" s="21"/>
      <c r="E415" s="268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69"/>
      <c r="Q415" s="269"/>
      <c r="R415" s="269"/>
    </row>
    <row r="416" ht="14.25" customHeight="1" spans="1:18">
      <c r="A416" s="21"/>
      <c r="B416" s="21"/>
      <c r="C416" s="21"/>
      <c r="D416" s="21"/>
      <c r="E416" s="268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69"/>
      <c r="Q416" s="269"/>
      <c r="R416" s="269"/>
    </row>
    <row r="417" ht="14.25" customHeight="1" spans="1:18">
      <c r="A417" s="21"/>
      <c r="B417" s="21"/>
      <c r="C417" s="21"/>
      <c r="D417" s="21"/>
      <c r="E417" s="268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69"/>
      <c r="Q417" s="269"/>
      <c r="R417" s="269"/>
    </row>
    <row r="418" ht="14.25" customHeight="1" spans="1:18">
      <c r="A418" s="21"/>
      <c r="B418" s="21"/>
      <c r="C418" s="21"/>
      <c r="D418" s="21"/>
      <c r="E418" s="268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69"/>
      <c r="Q418" s="269"/>
      <c r="R418" s="269"/>
    </row>
    <row r="419" ht="14.25" customHeight="1" spans="1:18">
      <c r="A419" s="21"/>
      <c r="B419" s="21"/>
      <c r="C419" s="21"/>
      <c r="D419" s="21"/>
      <c r="E419" s="268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69"/>
      <c r="Q419" s="269"/>
      <c r="R419" s="269"/>
    </row>
    <row r="420" ht="14.25" customHeight="1" spans="1:18">
      <c r="A420" s="21"/>
      <c r="B420" s="21"/>
      <c r="C420" s="21"/>
      <c r="D420" s="21"/>
      <c r="E420" s="268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69"/>
      <c r="Q420" s="269"/>
      <c r="R420" s="269"/>
    </row>
    <row r="421" ht="14.25" customHeight="1" spans="1:18">
      <c r="A421" s="21"/>
      <c r="B421" s="21"/>
      <c r="C421" s="21"/>
      <c r="D421" s="21"/>
      <c r="E421" s="268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69"/>
      <c r="Q421" s="269"/>
      <c r="R421" s="269"/>
    </row>
    <row r="422" ht="14.25" customHeight="1" spans="1:18">
      <c r="A422" s="21"/>
      <c r="B422" s="21"/>
      <c r="C422" s="21"/>
      <c r="D422" s="21"/>
      <c r="E422" s="268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69"/>
      <c r="Q422" s="269"/>
      <c r="R422" s="269"/>
    </row>
    <row r="423" ht="14.25" customHeight="1" spans="1:18">
      <c r="A423" s="21"/>
      <c r="B423" s="21"/>
      <c r="C423" s="21"/>
      <c r="D423" s="21"/>
      <c r="E423" s="268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69"/>
      <c r="Q423" s="269"/>
      <c r="R423" s="269"/>
    </row>
    <row r="424" ht="14.25" customHeight="1" spans="1:18">
      <c r="A424" s="21"/>
      <c r="B424" s="21"/>
      <c r="C424" s="21"/>
      <c r="D424" s="21"/>
      <c r="E424" s="268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69"/>
      <c r="Q424" s="269"/>
      <c r="R424" s="269"/>
    </row>
    <row r="425" ht="14.25" customHeight="1" spans="1:18">
      <c r="A425" s="21"/>
      <c r="B425" s="21"/>
      <c r="C425" s="21"/>
      <c r="D425" s="21"/>
      <c r="E425" s="268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69"/>
      <c r="Q425" s="269"/>
      <c r="R425" s="269"/>
    </row>
    <row r="426" ht="14.25" customHeight="1" spans="1:18">
      <c r="A426" s="21"/>
      <c r="B426" s="21"/>
      <c r="C426" s="21"/>
      <c r="D426" s="21"/>
      <c r="E426" s="268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69"/>
      <c r="Q426" s="269"/>
      <c r="R426" s="269"/>
    </row>
    <row r="427" ht="14.25" customHeight="1" spans="1:18">
      <c r="A427" s="21"/>
      <c r="B427" s="21"/>
      <c r="C427" s="21"/>
      <c r="D427" s="21"/>
      <c r="E427" s="268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69"/>
      <c r="Q427" s="269"/>
      <c r="R427" s="269"/>
    </row>
    <row r="428" ht="14.25" customHeight="1" spans="1:18">
      <c r="A428" s="21"/>
      <c r="B428" s="21"/>
      <c r="C428" s="21"/>
      <c r="D428" s="21"/>
      <c r="E428" s="268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69"/>
      <c r="Q428" s="269"/>
      <c r="R428" s="269"/>
    </row>
    <row r="429" ht="14.25" customHeight="1" spans="1:18">
      <c r="A429" s="21"/>
      <c r="B429" s="21"/>
      <c r="C429" s="21"/>
      <c r="D429" s="21"/>
      <c r="E429" s="268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69"/>
      <c r="Q429" s="269"/>
      <c r="R429" s="269"/>
    </row>
    <row r="430" ht="14.25" customHeight="1" spans="1:18">
      <c r="A430" s="21"/>
      <c r="B430" s="21"/>
      <c r="C430" s="21"/>
      <c r="D430" s="21"/>
      <c r="E430" s="268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69"/>
      <c r="Q430" s="269"/>
      <c r="R430" s="269"/>
    </row>
    <row r="431" ht="14.25" customHeight="1" spans="1:18">
      <c r="A431" s="21"/>
      <c r="B431" s="21"/>
      <c r="C431" s="21"/>
      <c r="D431" s="21"/>
      <c r="E431" s="268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69"/>
      <c r="Q431" s="269"/>
      <c r="R431" s="269"/>
    </row>
    <row r="432" ht="14.25" customHeight="1" spans="1:18">
      <c r="A432" s="21"/>
      <c r="B432" s="21"/>
      <c r="C432" s="21"/>
      <c r="D432" s="21"/>
      <c r="E432" s="268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69"/>
      <c r="Q432" s="269"/>
      <c r="R432" s="269"/>
    </row>
    <row r="433" ht="14.25" customHeight="1" spans="1:18">
      <c r="A433" s="21"/>
      <c r="B433" s="21"/>
      <c r="C433" s="21"/>
      <c r="D433" s="21"/>
      <c r="E433" s="268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69"/>
      <c r="Q433" s="269"/>
      <c r="R433" s="269"/>
    </row>
    <row r="434" ht="14.25" customHeight="1" spans="1:18">
      <c r="A434" s="21"/>
      <c r="B434" s="21"/>
      <c r="C434" s="21"/>
      <c r="D434" s="21"/>
      <c r="E434" s="268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69"/>
      <c r="Q434" s="269"/>
      <c r="R434" s="269"/>
    </row>
    <row r="435" ht="14.25" customHeight="1" spans="1:18">
      <c r="A435" s="21"/>
      <c r="B435" s="21"/>
      <c r="C435" s="21"/>
      <c r="D435" s="21"/>
      <c r="E435" s="268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69"/>
      <c r="Q435" s="269"/>
      <c r="R435" s="269"/>
    </row>
    <row r="436" ht="14.25" customHeight="1" spans="1:18">
      <c r="A436" s="21"/>
      <c r="B436" s="21"/>
      <c r="C436" s="21"/>
      <c r="D436" s="21"/>
      <c r="E436" s="268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69"/>
      <c r="Q436" s="269"/>
      <c r="R436" s="269"/>
    </row>
    <row r="437" ht="14.25" customHeight="1" spans="1:18">
      <c r="A437" s="21"/>
      <c r="B437" s="21"/>
      <c r="C437" s="21"/>
      <c r="D437" s="21"/>
      <c r="E437" s="268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69"/>
      <c r="Q437" s="269"/>
      <c r="R437" s="269"/>
    </row>
    <row r="438" ht="14.25" customHeight="1" spans="1:18">
      <c r="A438" s="21"/>
      <c r="B438" s="21"/>
      <c r="C438" s="21"/>
      <c r="D438" s="21"/>
      <c r="E438" s="268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69"/>
      <c r="Q438" s="269"/>
      <c r="R438" s="269"/>
    </row>
    <row r="439" ht="14.25" customHeight="1" spans="1:18">
      <c r="A439" s="21"/>
      <c r="B439" s="21"/>
      <c r="C439" s="21"/>
      <c r="D439" s="21"/>
      <c r="E439" s="268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69"/>
      <c r="Q439" s="269"/>
      <c r="R439" s="269"/>
    </row>
    <row r="440" ht="14.25" customHeight="1" spans="1:18">
      <c r="A440" s="21"/>
      <c r="B440" s="21"/>
      <c r="C440" s="21"/>
      <c r="D440" s="21"/>
      <c r="E440" s="268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69"/>
      <c r="Q440" s="269"/>
      <c r="R440" s="269"/>
    </row>
    <row r="441" ht="14.25" customHeight="1" spans="1:18">
      <c r="A441" s="21"/>
      <c r="B441" s="21"/>
      <c r="C441" s="21"/>
      <c r="D441" s="21"/>
      <c r="E441" s="268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69"/>
      <c r="Q441" s="269"/>
      <c r="R441" s="269"/>
    </row>
    <row r="442" ht="14.25" customHeight="1" spans="1:18">
      <c r="A442" s="21"/>
      <c r="B442" s="21"/>
      <c r="C442" s="21"/>
      <c r="D442" s="21"/>
      <c r="E442" s="268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69"/>
      <c r="Q442" s="269"/>
      <c r="R442" s="269"/>
    </row>
    <row r="443" ht="14.25" customHeight="1" spans="1:18">
      <c r="A443" s="21"/>
      <c r="B443" s="21"/>
      <c r="C443" s="21"/>
      <c r="D443" s="21"/>
      <c r="E443" s="268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69"/>
      <c r="Q443" s="269"/>
      <c r="R443" s="269"/>
    </row>
    <row r="444" ht="14.25" customHeight="1" spans="1:18">
      <c r="A444" s="21"/>
      <c r="B444" s="21"/>
      <c r="C444" s="21"/>
      <c r="D444" s="21"/>
      <c r="E444" s="268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69"/>
      <c r="Q444" s="269"/>
      <c r="R444" s="269"/>
    </row>
    <row r="445" ht="14.25" customHeight="1" spans="1:18">
      <c r="A445" s="21"/>
      <c r="B445" s="21"/>
      <c r="C445" s="21"/>
      <c r="D445" s="21"/>
      <c r="E445" s="268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69"/>
      <c r="Q445" s="269"/>
      <c r="R445" s="269"/>
    </row>
    <row r="446" ht="14.25" customHeight="1" spans="1:18">
      <c r="A446" s="21"/>
      <c r="B446" s="21"/>
      <c r="C446" s="21"/>
      <c r="D446" s="21"/>
      <c r="E446" s="268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69"/>
      <c r="Q446" s="269"/>
      <c r="R446" s="269"/>
    </row>
    <row r="447" ht="14.25" customHeight="1" spans="1:18">
      <c r="A447" s="21"/>
      <c r="B447" s="21"/>
      <c r="C447" s="21"/>
      <c r="D447" s="21"/>
      <c r="E447" s="268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69"/>
      <c r="Q447" s="269"/>
      <c r="R447" s="269"/>
    </row>
    <row r="448" ht="14.25" customHeight="1" spans="1:18">
      <c r="A448" s="21"/>
      <c r="B448" s="21"/>
      <c r="C448" s="21"/>
      <c r="D448" s="21"/>
      <c r="E448" s="268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69"/>
      <c r="Q448" s="269"/>
      <c r="R448" s="269"/>
    </row>
    <row r="449" ht="14.25" customHeight="1" spans="1:18">
      <c r="A449" s="21"/>
      <c r="B449" s="21"/>
      <c r="C449" s="21"/>
      <c r="D449" s="21"/>
      <c r="E449" s="268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69"/>
      <c r="Q449" s="269"/>
      <c r="R449" s="269"/>
    </row>
    <row r="450" ht="14.25" customHeight="1" spans="1:18">
      <c r="A450" s="21"/>
      <c r="B450" s="21"/>
      <c r="C450" s="21"/>
      <c r="D450" s="21"/>
      <c r="E450" s="268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69"/>
      <c r="Q450" s="269"/>
      <c r="R450" s="269"/>
    </row>
    <row r="451" ht="14.25" customHeight="1" spans="1:18">
      <c r="A451" s="21"/>
      <c r="B451" s="21"/>
      <c r="C451" s="21"/>
      <c r="D451" s="21"/>
      <c r="E451" s="268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69"/>
      <c r="Q451" s="269"/>
      <c r="R451" s="269"/>
    </row>
    <row r="452" ht="14.25" customHeight="1" spans="1:18">
      <c r="A452" s="21"/>
      <c r="B452" s="21"/>
      <c r="C452" s="21"/>
      <c r="D452" s="21"/>
      <c r="E452" s="268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69"/>
      <c r="Q452" s="269"/>
      <c r="R452" s="269"/>
    </row>
    <row r="453" ht="14.25" customHeight="1" spans="1:18">
      <c r="A453" s="21"/>
      <c r="B453" s="21"/>
      <c r="C453" s="21"/>
      <c r="D453" s="21"/>
      <c r="E453" s="268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69"/>
      <c r="Q453" s="269"/>
      <c r="R453" s="269"/>
    </row>
    <row r="454" ht="14.25" customHeight="1" spans="1:18">
      <c r="A454" s="21"/>
      <c r="B454" s="21"/>
      <c r="C454" s="21"/>
      <c r="D454" s="21"/>
      <c r="E454" s="268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69"/>
      <c r="Q454" s="269"/>
      <c r="R454" s="269"/>
    </row>
    <row r="455" ht="14.25" customHeight="1" spans="1:18">
      <c r="A455" s="21"/>
      <c r="B455" s="21"/>
      <c r="C455" s="21"/>
      <c r="D455" s="21"/>
      <c r="E455" s="268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69"/>
      <c r="Q455" s="269"/>
      <c r="R455" s="269"/>
    </row>
    <row r="456" ht="14.25" customHeight="1" spans="1:18">
      <c r="A456" s="21"/>
      <c r="B456" s="21"/>
      <c r="C456" s="21"/>
      <c r="D456" s="21"/>
      <c r="E456" s="268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69"/>
      <c r="Q456" s="269"/>
      <c r="R456" s="269"/>
    </row>
    <row r="457" ht="14.25" customHeight="1" spans="1:18">
      <c r="A457" s="21"/>
      <c r="B457" s="21"/>
      <c r="C457" s="21"/>
      <c r="D457" s="21"/>
      <c r="E457" s="268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69"/>
      <c r="Q457" s="269"/>
      <c r="R457" s="269"/>
    </row>
    <row r="458" ht="14.25" customHeight="1" spans="1:18">
      <c r="A458" s="21"/>
      <c r="B458" s="21"/>
      <c r="C458" s="21"/>
      <c r="D458" s="21"/>
      <c r="E458" s="268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69"/>
      <c r="Q458" s="269"/>
      <c r="R458" s="269"/>
    </row>
    <row r="459" ht="14.25" customHeight="1" spans="1:18">
      <c r="A459" s="21"/>
      <c r="B459" s="21"/>
      <c r="C459" s="21"/>
      <c r="D459" s="21"/>
      <c r="E459" s="268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69"/>
      <c r="Q459" s="269"/>
      <c r="R459" s="269"/>
    </row>
    <row r="460" ht="14.25" customHeight="1" spans="1:18">
      <c r="A460" s="21"/>
      <c r="B460" s="21"/>
      <c r="C460" s="21"/>
      <c r="D460" s="21"/>
      <c r="E460" s="268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69"/>
      <c r="Q460" s="269"/>
      <c r="R460" s="269"/>
    </row>
    <row r="461" ht="14.25" customHeight="1" spans="1:18">
      <c r="A461" s="21"/>
      <c r="B461" s="21"/>
      <c r="C461" s="21"/>
      <c r="D461" s="21"/>
      <c r="E461" s="268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69"/>
      <c r="Q461" s="269"/>
      <c r="R461" s="269"/>
    </row>
    <row r="462" ht="14.25" customHeight="1" spans="1:18">
      <c r="A462" s="21"/>
      <c r="B462" s="21"/>
      <c r="C462" s="21"/>
      <c r="D462" s="21"/>
      <c r="E462" s="268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69"/>
      <c r="Q462" s="269"/>
      <c r="R462" s="269"/>
    </row>
    <row r="463" ht="14.25" customHeight="1" spans="1:18">
      <c r="A463" s="21"/>
      <c r="B463" s="21"/>
      <c r="C463" s="21"/>
      <c r="D463" s="21"/>
      <c r="E463" s="268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69"/>
      <c r="Q463" s="269"/>
      <c r="R463" s="269"/>
    </row>
    <row r="464" ht="14.25" customHeight="1" spans="1:18">
      <c r="A464" s="21"/>
      <c r="B464" s="21"/>
      <c r="C464" s="21"/>
      <c r="D464" s="21"/>
      <c r="E464" s="268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69"/>
      <c r="Q464" s="269"/>
      <c r="R464" s="269"/>
    </row>
    <row r="465" ht="14.25" customHeight="1" spans="1:18">
      <c r="A465" s="21"/>
      <c r="B465" s="21"/>
      <c r="C465" s="21"/>
      <c r="D465" s="21"/>
      <c r="E465" s="268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69"/>
      <c r="Q465" s="269"/>
      <c r="R465" s="269"/>
    </row>
    <row r="466" ht="14.25" customHeight="1" spans="1:18">
      <c r="A466" s="21"/>
      <c r="B466" s="21"/>
      <c r="C466" s="21"/>
      <c r="D466" s="21"/>
      <c r="E466" s="268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69"/>
      <c r="Q466" s="269"/>
      <c r="R466" s="269"/>
    </row>
    <row r="467" ht="14.25" customHeight="1" spans="1:18">
      <c r="A467" s="21"/>
      <c r="B467" s="21"/>
      <c r="C467" s="21"/>
      <c r="D467" s="21"/>
      <c r="E467" s="268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69"/>
      <c r="Q467" s="269"/>
      <c r="R467" s="269"/>
    </row>
    <row r="468" ht="14.25" customHeight="1" spans="1:18">
      <c r="A468" s="21"/>
      <c r="B468" s="21"/>
      <c r="C468" s="21"/>
      <c r="D468" s="21"/>
      <c r="E468" s="268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69"/>
      <c r="Q468" s="269"/>
      <c r="R468" s="269"/>
    </row>
    <row r="469" ht="14.25" customHeight="1" spans="1:18">
      <c r="A469" s="21"/>
      <c r="B469" s="21"/>
      <c r="C469" s="21"/>
      <c r="D469" s="21"/>
      <c r="E469" s="268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69"/>
      <c r="Q469" s="269"/>
      <c r="R469" s="269"/>
    </row>
    <row r="470" ht="14.25" customHeight="1" spans="1:18">
      <c r="A470" s="21"/>
      <c r="B470" s="21"/>
      <c r="C470" s="21"/>
      <c r="D470" s="21"/>
      <c r="E470" s="268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69"/>
      <c r="Q470" s="269"/>
      <c r="R470" s="269"/>
    </row>
    <row r="471" ht="14.25" customHeight="1" spans="1:18">
      <c r="A471" s="21"/>
      <c r="B471" s="21"/>
      <c r="C471" s="21"/>
      <c r="D471" s="21"/>
      <c r="E471" s="268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69"/>
      <c r="Q471" s="269"/>
      <c r="R471" s="269"/>
    </row>
    <row r="472" ht="14.25" customHeight="1" spans="1:18">
      <c r="A472" s="21"/>
      <c r="B472" s="21"/>
      <c r="C472" s="21"/>
      <c r="D472" s="21"/>
      <c r="E472" s="268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69"/>
      <c r="Q472" s="269"/>
      <c r="R472" s="269"/>
    </row>
    <row r="473" ht="14.25" customHeight="1" spans="1:18">
      <c r="A473" s="21"/>
      <c r="B473" s="21"/>
      <c r="C473" s="21"/>
      <c r="D473" s="21"/>
      <c r="E473" s="268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69"/>
      <c r="Q473" s="269"/>
      <c r="R473" s="269"/>
    </row>
    <row r="474" ht="14.25" customHeight="1" spans="1:18">
      <c r="A474" s="21"/>
      <c r="B474" s="21"/>
      <c r="C474" s="21"/>
      <c r="D474" s="21"/>
      <c r="E474" s="268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69"/>
      <c r="Q474" s="269"/>
      <c r="R474" s="269"/>
    </row>
    <row r="475" ht="14.25" customHeight="1" spans="1:18">
      <c r="A475" s="21"/>
      <c r="B475" s="21"/>
      <c r="C475" s="21"/>
      <c r="D475" s="21"/>
      <c r="E475" s="268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69"/>
      <c r="Q475" s="269"/>
      <c r="R475" s="269"/>
    </row>
    <row r="476" ht="14.25" customHeight="1" spans="1:18">
      <c r="A476" s="21"/>
      <c r="B476" s="21"/>
      <c r="C476" s="21"/>
      <c r="D476" s="21"/>
      <c r="E476" s="268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69"/>
      <c r="Q476" s="269"/>
      <c r="R476" s="269"/>
    </row>
    <row r="477" ht="14.25" customHeight="1" spans="1:18">
      <c r="A477" s="21"/>
      <c r="B477" s="21"/>
      <c r="C477" s="21"/>
      <c r="D477" s="21"/>
      <c r="E477" s="268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69"/>
      <c r="Q477" s="269"/>
      <c r="R477" s="269"/>
    </row>
    <row r="478" ht="14.25" customHeight="1" spans="1:18">
      <c r="A478" s="21"/>
      <c r="B478" s="21"/>
      <c r="C478" s="21"/>
      <c r="D478" s="21"/>
      <c r="E478" s="268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69"/>
      <c r="Q478" s="269"/>
      <c r="R478" s="269"/>
    </row>
    <row r="479" ht="14.25" customHeight="1" spans="1:18">
      <c r="A479" s="21"/>
      <c r="B479" s="21"/>
      <c r="C479" s="21"/>
      <c r="D479" s="21"/>
      <c r="E479" s="268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69"/>
      <c r="Q479" s="269"/>
      <c r="R479" s="269"/>
    </row>
    <row r="480" ht="14.25" customHeight="1" spans="1:18">
      <c r="A480" s="21"/>
      <c r="B480" s="21"/>
      <c r="C480" s="21"/>
      <c r="D480" s="21"/>
      <c r="E480" s="268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69"/>
      <c r="Q480" s="269"/>
      <c r="R480" s="269"/>
    </row>
    <row r="481" ht="14.25" customHeight="1" spans="1:18">
      <c r="A481" s="21"/>
      <c r="B481" s="21"/>
      <c r="C481" s="21"/>
      <c r="D481" s="21"/>
      <c r="E481" s="268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69"/>
      <c r="Q481" s="269"/>
      <c r="R481" s="269"/>
    </row>
    <row r="482" ht="14.25" customHeight="1" spans="1:18">
      <c r="A482" s="21"/>
      <c r="B482" s="21"/>
      <c r="C482" s="21"/>
      <c r="D482" s="21"/>
      <c r="E482" s="268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69"/>
      <c r="Q482" s="269"/>
      <c r="R482" s="269"/>
    </row>
    <row r="483" ht="14.25" customHeight="1" spans="1:18">
      <c r="A483" s="21"/>
      <c r="B483" s="21"/>
      <c r="C483" s="21"/>
      <c r="D483" s="21"/>
      <c r="E483" s="268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69"/>
      <c r="Q483" s="269"/>
      <c r="R483" s="269"/>
    </row>
    <row r="484" ht="14.25" customHeight="1" spans="1:18">
      <c r="A484" s="21"/>
      <c r="B484" s="21"/>
      <c r="C484" s="21"/>
      <c r="D484" s="21"/>
      <c r="E484" s="268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69"/>
      <c r="Q484" s="269"/>
      <c r="R484" s="269"/>
    </row>
    <row r="485" ht="14.25" customHeight="1" spans="1:18">
      <c r="A485" s="21"/>
      <c r="B485" s="21"/>
      <c r="C485" s="21"/>
      <c r="D485" s="21"/>
      <c r="E485" s="268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69"/>
      <c r="Q485" s="269"/>
      <c r="R485" s="269"/>
    </row>
    <row r="486" ht="14.25" customHeight="1" spans="1:18">
      <c r="A486" s="21"/>
      <c r="B486" s="21"/>
      <c r="C486" s="21"/>
      <c r="D486" s="21"/>
      <c r="E486" s="268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69"/>
      <c r="Q486" s="269"/>
      <c r="R486" s="269"/>
    </row>
    <row r="487" ht="14.25" customHeight="1" spans="1:18">
      <c r="A487" s="21"/>
      <c r="B487" s="21"/>
      <c r="C487" s="21"/>
      <c r="D487" s="21"/>
      <c r="E487" s="268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69"/>
      <c r="Q487" s="269"/>
      <c r="R487" s="269"/>
    </row>
    <row r="488" ht="14.25" customHeight="1" spans="1:18">
      <c r="A488" s="21"/>
      <c r="B488" s="21"/>
      <c r="C488" s="21"/>
      <c r="D488" s="21"/>
      <c r="E488" s="268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69"/>
      <c r="Q488" s="269"/>
      <c r="R488" s="269"/>
    </row>
    <row r="489" ht="14.25" customHeight="1" spans="1:18">
      <c r="A489" s="21"/>
      <c r="B489" s="21"/>
      <c r="C489" s="21"/>
      <c r="D489" s="21"/>
      <c r="E489" s="268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69"/>
      <c r="Q489" s="269"/>
      <c r="R489" s="269"/>
    </row>
    <row r="490" ht="14.25" customHeight="1" spans="1:18">
      <c r="A490" s="21"/>
      <c r="B490" s="21"/>
      <c r="C490" s="21"/>
      <c r="D490" s="21"/>
      <c r="E490" s="268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69"/>
      <c r="Q490" s="269"/>
      <c r="R490" s="269"/>
    </row>
    <row r="491" ht="14.25" customHeight="1" spans="1:18">
      <c r="A491" s="21"/>
      <c r="B491" s="21"/>
      <c r="C491" s="21"/>
      <c r="D491" s="21"/>
      <c r="E491" s="268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69"/>
      <c r="Q491" s="269"/>
      <c r="R491" s="269"/>
    </row>
    <row r="492" ht="14.25" customHeight="1" spans="1:18">
      <c r="A492" s="21"/>
      <c r="B492" s="21"/>
      <c r="C492" s="21"/>
      <c r="D492" s="21"/>
      <c r="E492" s="268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69"/>
      <c r="Q492" s="269"/>
      <c r="R492" s="269"/>
    </row>
    <row r="493" ht="14.25" customHeight="1" spans="1:18">
      <c r="A493" s="21"/>
      <c r="B493" s="21"/>
      <c r="C493" s="21"/>
      <c r="D493" s="21"/>
      <c r="E493" s="268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69"/>
      <c r="Q493" s="269"/>
      <c r="R493" s="269"/>
    </row>
    <row r="494" ht="14.25" customHeight="1" spans="1:18">
      <c r="A494" s="21"/>
      <c r="B494" s="21"/>
      <c r="C494" s="21"/>
      <c r="D494" s="21"/>
      <c r="E494" s="268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69"/>
      <c r="Q494" s="269"/>
      <c r="R494" s="269"/>
    </row>
    <row r="495" ht="14.25" customHeight="1" spans="1:18">
      <c r="A495" s="21"/>
      <c r="B495" s="21"/>
      <c r="C495" s="21"/>
      <c r="D495" s="21"/>
      <c r="E495" s="268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69"/>
      <c r="Q495" s="269"/>
      <c r="R495" s="269"/>
    </row>
    <row r="496" ht="14.25" customHeight="1" spans="1:18">
      <c r="A496" s="21"/>
      <c r="B496" s="21"/>
      <c r="C496" s="21"/>
      <c r="D496" s="21"/>
      <c r="E496" s="268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69"/>
      <c r="Q496" s="269"/>
      <c r="R496" s="269"/>
    </row>
    <row r="497" ht="14.25" customHeight="1" spans="1:18">
      <c r="A497" s="21"/>
      <c r="B497" s="21"/>
      <c r="C497" s="21"/>
      <c r="D497" s="21"/>
      <c r="E497" s="268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69"/>
      <c r="Q497" s="269"/>
      <c r="R497" s="269"/>
    </row>
    <row r="498" ht="14.25" customHeight="1" spans="1:18">
      <c r="A498" s="21"/>
      <c r="B498" s="21"/>
      <c r="C498" s="21"/>
      <c r="D498" s="21"/>
      <c r="E498" s="268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69"/>
      <c r="Q498" s="269"/>
      <c r="R498" s="269"/>
    </row>
    <row r="499" ht="14.25" customHeight="1" spans="1:18">
      <c r="A499" s="21"/>
      <c r="B499" s="21"/>
      <c r="C499" s="21"/>
      <c r="D499" s="21"/>
      <c r="E499" s="268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69"/>
      <c r="Q499" s="269"/>
      <c r="R499" s="269"/>
    </row>
    <row r="500" ht="14.25" customHeight="1" spans="1:18">
      <c r="A500" s="21"/>
      <c r="B500" s="21"/>
      <c r="C500" s="21"/>
      <c r="D500" s="21"/>
      <c r="E500" s="268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69"/>
      <c r="Q500" s="269"/>
      <c r="R500" s="269"/>
    </row>
    <row r="501" ht="14.25" customHeight="1" spans="1:18">
      <c r="A501" s="21"/>
      <c r="B501" s="21"/>
      <c r="C501" s="21"/>
      <c r="D501" s="21"/>
      <c r="E501" s="268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69"/>
      <c r="Q501" s="269"/>
      <c r="R501" s="269"/>
    </row>
    <row r="502" ht="14.25" customHeight="1" spans="1:18">
      <c r="A502" s="21"/>
      <c r="B502" s="21"/>
      <c r="C502" s="21"/>
      <c r="D502" s="21"/>
      <c r="E502" s="268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69"/>
      <c r="Q502" s="269"/>
      <c r="R502" s="269"/>
    </row>
    <row r="503" ht="14.25" customHeight="1" spans="1:18">
      <c r="A503" s="21"/>
      <c r="B503" s="21"/>
      <c r="C503" s="21"/>
      <c r="D503" s="21"/>
      <c r="E503" s="268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69"/>
      <c r="Q503" s="269"/>
      <c r="R503" s="269"/>
    </row>
    <row r="504" ht="14.25" customHeight="1" spans="1:18">
      <c r="A504" s="21"/>
      <c r="B504" s="21"/>
      <c r="C504" s="21"/>
      <c r="D504" s="21"/>
      <c r="E504" s="268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69"/>
      <c r="Q504" s="269"/>
      <c r="R504" s="269"/>
    </row>
    <row r="505" ht="14.25" customHeight="1" spans="1:18">
      <c r="A505" s="21"/>
      <c r="B505" s="21"/>
      <c r="C505" s="21"/>
      <c r="D505" s="21"/>
      <c r="E505" s="268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69"/>
      <c r="Q505" s="269"/>
      <c r="R505" s="269"/>
    </row>
    <row r="506" ht="14.25" customHeight="1" spans="1:18">
      <c r="A506" s="21"/>
      <c r="B506" s="21"/>
      <c r="C506" s="21"/>
      <c r="D506" s="21"/>
      <c r="E506" s="268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69"/>
      <c r="Q506" s="269"/>
      <c r="R506" s="269"/>
    </row>
    <row r="507" ht="14.25" customHeight="1" spans="1:18">
      <c r="A507" s="21"/>
      <c r="B507" s="21"/>
      <c r="C507" s="21"/>
      <c r="D507" s="21"/>
      <c r="E507" s="268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69"/>
      <c r="Q507" s="269"/>
      <c r="R507" s="269"/>
    </row>
    <row r="508" ht="14.25" customHeight="1" spans="1:18">
      <c r="A508" s="21"/>
      <c r="B508" s="21"/>
      <c r="C508" s="21"/>
      <c r="D508" s="21"/>
      <c r="E508" s="268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69"/>
      <c r="Q508" s="269"/>
      <c r="R508" s="269"/>
    </row>
    <row r="509" ht="14.25" customHeight="1" spans="1:18">
      <c r="A509" s="21"/>
      <c r="B509" s="21"/>
      <c r="C509" s="21"/>
      <c r="D509" s="21"/>
      <c r="E509" s="268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69"/>
      <c r="Q509" s="269"/>
      <c r="R509" s="269"/>
    </row>
    <row r="510" ht="14.25" customHeight="1" spans="1:18">
      <c r="A510" s="21"/>
      <c r="B510" s="21"/>
      <c r="C510" s="21"/>
      <c r="D510" s="21"/>
      <c r="E510" s="268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69"/>
      <c r="Q510" s="269"/>
      <c r="R510" s="269"/>
    </row>
    <row r="511" ht="14.25" customHeight="1" spans="1:18">
      <c r="A511" s="21"/>
      <c r="B511" s="21"/>
      <c r="C511" s="21"/>
      <c r="D511" s="21"/>
      <c r="E511" s="268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69"/>
      <c r="Q511" s="269"/>
      <c r="R511" s="269"/>
    </row>
    <row r="512" ht="14.25" customHeight="1" spans="1:18">
      <c r="A512" s="21"/>
      <c r="B512" s="21"/>
      <c r="C512" s="21"/>
      <c r="D512" s="21"/>
      <c r="E512" s="268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69"/>
      <c r="Q512" s="269"/>
      <c r="R512" s="269"/>
    </row>
    <row r="513" ht="14.25" customHeight="1" spans="1:18">
      <c r="A513" s="21"/>
      <c r="B513" s="21"/>
      <c r="C513" s="21"/>
      <c r="D513" s="21"/>
      <c r="E513" s="268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69"/>
      <c r="Q513" s="269"/>
      <c r="R513" s="269"/>
    </row>
    <row r="514" ht="14.25" customHeight="1" spans="1:18">
      <c r="A514" s="21"/>
      <c r="B514" s="21"/>
      <c r="C514" s="21"/>
      <c r="D514" s="21"/>
      <c r="E514" s="268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69"/>
      <c r="Q514" s="269"/>
      <c r="R514" s="269"/>
    </row>
    <row r="515" ht="14.25" customHeight="1" spans="1:18">
      <c r="A515" s="21"/>
      <c r="B515" s="21"/>
      <c r="C515" s="21"/>
      <c r="D515" s="21"/>
      <c r="E515" s="268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69"/>
      <c r="Q515" s="269"/>
      <c r="R515" s="269"/>
    </row>
    <row r="516" ht="14.25" customHeight="1" spans="1:18">
      <c r="A516" s="21"/>
      <c r="B516" s="21"/>
      <c r="C516" s="21"/>
      <c r="D516" s="21"/>
      <c r="E516" s="268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69"/>
      <c r="Q516" s="269"/>
      <c r="R516" s="269"/>
    </row>
    <row r="517" ht="14.25" customHeight="1" spans="1:18">
      <c r="A517" s="21"/>
      <c r="B517" s="21"/>
      <c r="C517" s="21"/>
      <c r="D517" s="21"/>
      <c r="E517" s="268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69"/>
      <c r="Q517" s="269"/>
      <c r="R517" s="269"/>
    </row>
    <row r="518" ht="14.25" customHeight="1" spans="1:18">
      <c r="A518" s="21"/>
      <c r="B518" s="21"/>
      <c r="C518" s="21"/>
      <c r="D518" s="21"/>
      <c r="E518" s="268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69"/>
      <c r="Q518" s="269"/>
      <c r="R518" s="269"/>
    </row>
    <row r="519" ht="14.25" customHeight="1" spans="1:18">
      <c r="A519" s="21"/>
      <c r="B519" s="21"/>
      <c r="C519" s="21"/>
      <c r="D519" s="21"/>
      <c r="E519" s="268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69"/>
      <c r="Q519" s="269"/>
      <c r="R519" s="269"/>
    </row>
    <row r="520" ht="14.25" customHeight="1" spans="1:18">
      <c r="A520" s="21"/>
      <c r="B520" s="21"/>
      <c r="C520" s="21"/>
      <c r="D520" s="21"/>
      <c r="E520" s="268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69"/>
      <c r="Q520" s="269"/>
      <c r="R520" s="269"/>
    </row>
    <row r="521" ht="14.25" customHeight="1" spans="1:18">
      <c r="A521" s="21"/>
      <c r="B521" s="21"/>
      <c r="C521" s="21"/>
      <c r="D521" s="21"/>
      <c r="E521" s="268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69"/>
      <c r="Q521" s="269"/>
      <c r="R521" s="269"/>
    </row>
    <row r="522" ht="14.25" customHeight="1" spans="1:18">
      <c r="A522" s="21"/>
      <c r="B522" s="21"/>
      <c r="C522" s="21"/>
      <c r="D522" s="21"/>
      <c r="E522" s="268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69"/>
      <c r="Q522" s="269"/>
      <c r="R522" s="269"/>
    </row>
    <row r="523" ht="14.25" customHeight="1" spans="1:18">
      <c r="A523" s="21"/>
      <c r="B523" s="21"/>
      <c r="C523" s="21"/>
      <c r="D523" s="21"/>
      <c r="E523" s="268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69"/>
      <c r="Q523" s="269"/>
      <c r="R523" s="269"/>
    </row>
    <row r="524" ht="14.25" customHeight="1" spans="1:18">
      <c r="A524" s="21"/>
      <c r="B524" s="21"/>
      <c r="C524" s="21"/>
      <c r="D524" s="21"/>
      <c r="E524" s="268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69"/>
      <c r="Q524" s="269"/>
      <c r="R524" s="269"/>
    </row>
    <row r="525" ht="14.25" customHeight="1" spans="1:18">
      <c r="A525" s="21"/>
      <c r="B525" s="21"/>
      <c r="C525" s="21"/>
      <c r="D525" s="21"/>
      <c r="E525" s="268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69"/>
      <c r="Q525" s="269"/>
      <c r="R525" s="269"/>
    </row>
    <row r="526" ht="14.25" customHeight="1" spans="1:18">
      <c r="A526" s="21"/>
      <c r="B526" s="21"/>
      <c r="C526" s="21"/>
      <c r="D526" s="21"/>
      <c r="E526" s="268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69"/>
      <c r="Q526" s="269"/>
      <c r="R526" s="269"/>
    </row>
    <row r="527" ht="14.25" customHeight="1" spans="1:18">
      <c r="A527" s="21"/>
      <c r="B527" s="21"/>
      <c r="C527" s="21"/>
      <c r="D527" s="21"/>
      <c r="E527" s="268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69"/>
      <c r="Q527" s="269"/>
      <c r="R527" s="269"/>
    </row>
    <row r="528" ht="14.25" customHeight="1" spans="1:18">
      <c r="A528" s="21"/>
      <c r="B528" s="21"/>
      <c r="C528" s="21"/>
      <c r="D528" s="21"/>
      <c r="E528" s="268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69"/>
      <c r="Q528" s="269"/>
      <c r="R528" s="269"/>
    </row>
    <row r="529" ht="14.25" customHeight="1" spans="1:18">
      <c r="A529" s="21"/>
      <c r="B529" s="21"/>
      <c r="C529" s="21"/>
      <c r="D529" s="21"/>
      <c r="E529" s="268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69"/>
      <c r="Q529" s="269"/>
      <c r="R529" s="269"/>
    </row>
    <row r="530" ht="14.25" customHeight="1" spans="1:18">
      <c r="A530" s="21"/>
      <c r="B530" s="21"/>
      <c r="C530" s="21"/>
      <c r="D530" s="21"/>
      <c r="E530" s="268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69"/>
      <c r="Q530" s="269"/>
      <c r="R530" s="269"/>
    </row>
    <row r="531" ht="14.25" customHeight="1" spans="1:18">
      <c r="A531" s="21"/>
      <c r="B531" s="21"/>
      <c r="C531" s="21"/>
      <c r="D531" s="21"/>
      <c r="E531" s="268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69"/>
      <c r="Q531" s="269"/>
      <c r="R531" s="269"/>
    </row>
    <row r="532" ht="14.25" customHeight="1" spans="1:18">
      <c r="A532" s="21"/>
      <c r="B532" s="21"/>
      <c r="C532" s="21"/>
      <c r="D532" s="21"/>
      <c r="E532" s="268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69"/>
      <c r="Q532" s="269"/>
      <c r="R532" s="269"/>
    </row>
    <row r="533" ht="14.25" customHeight="1" spans="1:18">
      <c r="A533" s="21"/>
      <c r="B533" s="21"/>
      <c r="C533" s="21"/>
      <c r="D533" s="21"/>
      <c r="E533" s="268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69"/>
      <c r="Q533" s="269"/>
      <c r="R533" s="269"/>
    </row>
    <row r="534" ht="14.25" customHeight="1" spans="1:18">
      <c r="A534" s="21"/>
      <c r="B534" s="21"/>
      <c r="C534" s="21"/>
      <c r="D534" s="21"/>
      <c r="E534" s="268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69"/>
      <c r="Q534" s="269"/>
      <c r="R534" s="269"/>
    </row>
    <row r="535" ht="14.25" customHeight="1" spans="1:18">
      <c r="A535" s="21"/>
      <c r="B535" s="21"/>
      <c r="C535" s="21"/>
      <c r="D535" s="21"/>
      <c r="E535" s="268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69"/>
      <c r="Q535" s="269"/>
      <c r="R535" s="269"/>
    </row>
    <row r="536" ht="14.25" customHeight="1" spans="1:18">
      <c r="A536" s="21"/>
      <c r="B536" s="21"/>
      <c r="C536" s="21"/>
      <c r="D536" s="21"/>
      <c r="E536" s="268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69"/>
      <c r="Q536" s="269"/>
      <c r="R536" s="269"/>
    </row>
    <row r="537" ht="14.25" customHeight="1" spans="1:18">
      <c r="A537" s="21"/>
      <c r="B537" s="21"/>
      <c r="C537" s="21"/>
      <c r="D537" s="21"/>
      <c r="E537" s="268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69"/>
      <c r="Q537" s="269"/>
      <c r="R537" s="269"/>
    </row>
    <row r="538" ht="14.25" customHeight="1" spans="1:18">
      <c r="A538" s="21"/>
      <c r="B538" s="21"/>
      <c r="C538" s="21"/>
      <c r="D538" s="21"/>
      <c r="E538" s="268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69"/>
      <c r="Q538" s="269"/>
      <c r="R538" s="269"/>
    </row>
    <row r="539" ht="14.25" customHeight="1" spans="1:18">
      <c r="A539" s="21"/>
      <c r="B539" s="21"/>
      <c r="C539" s="21"/>
      <c r="D539" s="21"/>
      <c r="E539" s="268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69"/>
      <c r="Q539" s="269"/>
      <c r="R539" s="269"/>
    </row>
    <row r="540" ht="14.25" customHeight="1" spans="1:18">
      <c r="A540" s="21"/>
      <c r="B540" s="21"/>
      <c r="C540" s="21"/>
      <c r="D540" s="21"/>
      <c r="E540" s="268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69"/>
      <c r="Q540" s="269"/>
      <c r="R540" s="269"/>
    </row>
    <row r="541" ht="14.25" customHeight="1" spans="1:18">
      <c r="A541" s="21"/>
      <c r="B541" s="21"/>
      <c r="C541" s="21"/>
      <c r="D541" s="21"/>
      <c r="E541" s="268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69"/>
      <c r="Q541" s="269"/>
      <c r="R541" s="269"/>
    </row>
    <row r="542" ht="14.25" customHeight="1" spans="1:18">
      <c r="A542" s="21"/>
      <c r="B542" s="21"/>
      <c r="C542" s="21"/>
      <c r="D542" s="21"/>
      <c r="E542" s="268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69"/>
      <c r="Q542" s="269"/>
      <c r="R542" s="269"/>
    </row>
    <row r="543" ht="14.25" customHeight="1" spans="1:18">
      <c r="A543" s="21"/>
      <c r="B543" s="21"/>
      <c r="C543" s="21"/>
      <c r="D543" s="21"/>
      <c r="E543" s="268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69"/>
      <c r="Q543" s="269"/>
      <c r="R543" s="269"/>
    </row>
    <row r="544" ht="14.25" customHeight="1" spans="1:18">
      <c r="A544" s="21"/>
      <c r="B544" s="21"/>
      <c r="C544" s="21"/>
      <c r="D544" s="21"/>
      <c r="E544" s="268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69"/>
      <c r="Q544" s="269"/>
      <c r="R544" s="269"/>
    </row>
    <row r="545" ht="14.25" customHeight="1" spans="1:18">
      <c r="A545" s="21"/>
      <c r="B545" s="21"/>
      <c r="C545" s="21"/>
      <c r="D545" s="21"/>
      <c r="E545" s="268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69"/>
      <c r="Q545" s="269"/>
      <c r="R545" s="269"/>
    </row>
    <row r="546" ht="14.25" customHeight="1" spans="1:18">
      <c r="A546" s="21"/>
      <c r="B546" s="21"/>
      <c r="C546" s="21"/>
      <c r="D546" s="21"/>
      <c r="E546" s="268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69"/>
      <c r="Q546" s="269"/>
      <c r="R546" s="269"/>
    </row>
    <row r="547" ht="14.25" customHeight="1" spans="1:18">
      <c r="A547" s="21"/>
      <c r="B547" s="21"/>
      <c r="C547" s="21"/>
      <c r="D547" s="21"/>
      <c r="E547" s="268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69"/>
      <c r="Q547" s="269"/>
      <c r="R547" s="269"/>
    </row>
    <row r="548" ht="14.25" customHeight="1" spans="1:18">
      <c r="A548" s="21"/>
      <c r="B548" s="21"/>
      <c r="C548" s="21"/>
      <c r="D548" s="21"/>
      <c r="E548" s="268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69"/>
      <c r="Q548" s="269"/>
      <c r="R548" s="269"/>
    </row>
    <row r="549" ht="14.25" customHeight="1" spans="1:18">
      <c r="A549" s="21"/>
      <c r="B549" s="21"/>
      <c r="C549" s="21"/>
      <c r="D549" s="21"/>
      <c r="E549" s="268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69"/>
      <c r="Q549" s="269"/>
      <c r="R549" s="269"/>
    </row>
    <row r="550" ht="14.25" customHeight="1" spans="1:18">
      <c r="A550" s="21"/>
      <c r="B550" s="21"/>
      <c r="C550" s="21"/>
      <c r="D550" s="21"/>
      <c r="E550" s="268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69"/>
      <c r="Q550" s="269"/>
      <c r="R550" s="269"/>
    </row>
    <row r="551" ht="14.25" customHeight="1" spans="1:18">
      <c r="A551" s="21"/>
      <c r="B551" s="21"/>
      <c r="C551" s="21"/>
      <c r="D551" s="21"/>
      <c r="E551" s="268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69"/>
      <c r="Q551" s="269"/>
      <c r="R551" s="269"/>
    </row>
    <row r="552" ht="14.25" customHeight="1" spans="1:18">
      <c r="A552" s="21"/>
      <c r="B552" s="21"/>
      <c r="C552" s="21"/>
      <c r="D552" s="21"/>
      <c r="E552" s="268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69"/>
      <c r="Q552" s="269"/>
      <c r="R552" s="269"/>
    </row>
    <row r="553" ht="14.25" customHeight="1" spans="1:18">
      <c r="A553" s="21"/>
      <c r="B553" s="21"/>
      <c r="C553" s="21"/>
      <c r="D553" s="21"/>
      <c r="E553" s="268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69"/>
      <c r="Q553" s="269"/>
      <c r="R553" s="269"/>
    </row>
    <row r="554" ht="14.25" customHeight="1" spans="1:18">
      <c r="A554" s="21"/>
      <c r="B554" s="21"/>
      <c r="C554" s="21"/>
      <c r="D554" s="21"/>
      <c r="E554" s="268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69"/>
      <c r="Q554" s="269"/>
      <c r="R554" s="269"/>
    </row>
    <row r="555" ht="14.25" customHeight="1" spans="1:18">
      <c r="A555" s="21"/>
      <c r="B555" s="21"/>
      <c r="C555" s="21"/>
      <c r="D555" s="21"/>
      <c r="E555" s="268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69"/>
      <c r="Q555" s="269"/>
      <c r="R555" s="269"/>
    </row>
    <row r="556" ht="14.25" customHeight="1" spans="1:18">
      <c r="A556" s="21"/>
      <c r="B556" s="21"/>
      <c r="C556" s="21"/>
      <c r="D556" s="21"/>
      <c r="E556" s="268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69"/>
      <c r="Q556" s="269"/>
      <c r="R556" s="269"/>
    </row>
    <row r="557" ht="14.25" customHeight="1" spans="1:18">
      <c r="A557" s="21"/>
      <c r="B557" s="21"/>
      <c r="C557" s="21"/>
      <c r="D557" s="21"/>
      <c r="E557" s="268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69"/>
      <c r="Q557" s="269"/>
      <c r="R557" s="269"/>
    </row>
    <row r="558" ht="14.25" customHeight="1" spans="1:18">
      <c r="A558" s="21"/>
      <c r="B558" s="21"/>
      <c r="C558" s="21"/>
      <c r="D558" s="21"/>
      <c r="E558" s="268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69"/>
      <c r="Q558" s="269"/>
      <c r="R558" s="269"/>
    </row>
    <row r="559" ht="14.25" customHeight="1" spans="1:18">
      <c r="A559" s="21"/>
      <c r="B559" s="21"/>
      <c r="C559" s="21"/>
      <c r="D559" s="21"/>
      <c r="E559" s="268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69"/>
      <c r="Q559" s="269"/>
      <c r="R559" s="269"/>
    </row>
    <row r="560" ht="14.25" customHeight="1" spans="1:18">
      <c r="A560" s="21"/>
      <c r="B560" s="21"/>
      <c r="C560" s="21"/>
      <c r="D560" s="21"/>
      <c r="E560" s="268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69"/>
      <c r="Q560" s="269"/>
      <c r="R560" s="269"/>
    </row>
    <row r="561" ht="14.25" customHeight="1" spans="1:18">
      <c r="A561" s="21"/>
      <c r="B561" s="21"/>
      <c r="C561" s="21"/>
      <c r="D561" s="21"/>
      <c r="E561" s="268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69"/>
      <c r="Q561" s="269"/>
      <c r="R561" s="269"/>
    </row>
    <row r="562" ht="14.25" customHeight="1" spans="1:18">
      <c r="A562" s="21"/>
      <c r="B562" s="21"/>
      <c r="C562" s="21"/>
      <c r="D562" s="21"/>
      <c r="E562" s="268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69"/>
      <c r="Q562" s="269"/>
      <c r="R562" s="269"/>
    </row>
    <row r="563" ht="14.25" customHeight="1" spans="1:18">
      <c r="A563" s="21"/>
      <c r="B563" s="21"/>
      <c r="C563" s="21"/>
      <c r="D563" s="21"/>
      <c r="E563" s="268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69"/>
      <c r="Q563" s="269"/>
      <c r="R563" s="269"/>
    </row>
    <row r="564" ht="14.25" customHeight="1" spans="1:18">
      <c r="A564" s="21"/>
      <c r="B564" s="21"/>
      <c r="C564" s="21"/>
      <c r="D564" s="21"/>
      <c r="E564" s="268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69"/>
      <c r="Q564" s="269"/>
      <c r="R564" s="269"/>
    </row>
    <row r="565" ht="14.25" customHeight="1" spans="1:18">
      <c r="A565" s="21"/>
      <c r="B565" s="21"/>
      <c r="C565" s="21"/>
      <c r="D565" s="21"/>
      <c r="E565" s="268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69"/>
      <c r="Q565" s="269"/>
      <c r="R565" s="269"/>
    </row>
    <row r="566" ht="14.25" customHeight="1" spans="1:18">
      <c r="A566" s="21"/>
      <c r="B566" s="21"/>
      <c r="C566" s="21"/>
      <c r="D566" s="21"/>
      <c r="E566" s="268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69"/>
      <c r="Q566" s="269"/>
      <c r="R566" s="269"/>
    </row>
    <row r="567" ht="14.25" customHeight="1" spans="1:18">
      <c r="A567" s="21"/>
      <c r="B567" s="21"/>
      <c r="C567" s="21"/>
      <c r="D567" s="21"/>
      <c r="E567" s="268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69"/>
      <c r="Q567" s="269"/>
      <c r="R567" s="269"/>
    </row>
    <row r="568" ht="14.25" customHeight="1" spans="1:18">
      <c r="A568" s="21"/>
      <c r="B568" s="21"/>
      <c r="C568" s="21"/>
      <c r="D568" s="21"/>
      <c r="E568" s="268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69"/>
      <c r="Q568" s="269"/>
      <c r="R568" s="269"/>
    </row>
    <row r="569" ht="14.25" customHeight="1" spans="1:18">
      <c r="A569" s="21"/>
      <c r="B569" s="21"/>
      <c r="C569" s="21"/>
      <c r="D569" s="21"/>
      <c r="E569" s="268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69"/>
      <c r="Q569" s="269"/>
      <c r="R569" s="269"/>
    </row>
    <row r="570" ht="14.25" customHeight="1" spans="1:18">
      <c r="A570" s="21"/>
      <c r="B570" s="21"/>
      <c r="C570" s="21"/>
      <c r="D570" s="21"/>
      <c r="E570" s="268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69"/>
      <c r="Q570" s="269"/>
      <c r="R570" s="269"/>
    </row>
    <row r="571" ht="14.25" customHeight="1" spans="1:18">
      <c r="A571" s="21"/>
      <c r="B571" s="21"/>
      <c r="C571" s="21"/>
      <c r="D571" s="21"/>
      <c r="E571" s="268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69"/>
      <c r="Q571" s="269"/>
      <c r="R571" s="269"/>
    </row>
    <row r="572" ht="14.25" customHeight="1" spans="1:18">
      <c r="A572" s="21"/>
      <c r="B572" s="21"/>
      <c r="C572" s="21"/>
      <c r="D572" s="21"/>
      <c r="E572" s="268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69"/>
      <c r="Q572" s="269"/>
      <c r="R572" s="269"/>
    </row>
    <row r="573" ht="14.25" customHeight="1" spans="1:18">
      <c r="A573" s="21"/>
      <c r="B573" s="21"/>
      <c r="C573" s="21"/>
      <c r="D573" s="21"/>
      <c r="E573" s="268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69"/>
      <c r="Q573" s="269"/>
      <c r="R573" s="269"/>
    </row>
    <row r="574" ht="14.25" customHeight="1" spans="1:18">
      <c r="A574" s="21"/>
      <c r="B574" s="21"/>
      <c r="C574" s="21"/>
      <c r="D574" s="21"/>
      <c r="E574" s="268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69"/>
      <c r="Q574" s="269"/>
      <c r="R574" s="269"/>
    </row>
    <row r="575" ht="14.25" customHeight="1" spans="1:18">
      <c r="A575" s="21"/>
      <c r="B575" s="21"/>
      <c r="C575" s="21"/>
      <c r="D575" s="21"/>
      <c r="E575" s="268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69"/>
      <c r="Q575" s="269"/>
      <c r="R575" s="269"/>
    </row>
    <row r="576" ht="14.25" customHeight="1" spans="1:18">
      <c r="A576" s="21"/>
      <c r="B576" s="21"/>
      <c r="C576" s="21"/>
      <c r="D576" s="21"/>
      <c r="E576" s="268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69"/>
      <c r="Q576" s="269"/>
      <c r="R576" s="269"/>
    </row>
    <row r="577" ht="14.25" customHeight="1" spans="1:18">
      <c r="A577" s="21"/>
      <c r="B577" s="21"/>
      <c r="C577" s="21"/>
      <c r="D577" s="21"/>
      <c r="E577" s="268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69"/>
      <c r="Q577" s="269"/>
      <c r="R577" s="269"/>
    </row>
    <row r="578" ht="14.25" customHeight="1" spans="1:18">
      <c r="A578" s="21"/>
      <c r="B578" s="21"/>
      <c r="C578" s="21"/>
      <c r="D578" s="21"/>
      <c r="E578" s="268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69"/>
      <c r="Q578" s="269"/>
      <c r="R578" s="269"/>
    </row>
    <row r="579" ht="14.25" customHeight="1" spans="1:18">
      <c r="A579" s="21"/>
      <c r="B579" s="21"/>
      <c r="C579" s="21"/>
      <c r="D579" s="21"/>
      <c r="E579" s="268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69"/>
      <c r="Q579" s="269"/>
      <c r="R579" s="269"/>
    </row>
    <row r="580" ht="14.25" customHeight="1" spans="1:18">
      <c r="A580" s="21"/>
      <c r="B580" s="21"/>
      <c r="C580" s="21"/>
      <c r="D580" s="21"/>
      <c r="E580" s="268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69"/>
      <c r="Q580" s="269"/>
      <c r="R580" s="269"/>
    </row>
    <row r="581" ht="14.25" customHeight="1" spans="1:18">
      <c r="A581" s="21"/>
      <c r="B581" s="21"/>
      <c r="C581" s="21"/>
      <c r="D581" s="21"/>
      <c r="E581" s="268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69"/>
      <c r="Q581" s="269"/>
      <c r="R581" s="269"/>
    </row>
    <row r="582" ht="14.25" customHeight="1" spans="1:18">
      <c r="A582" s="21"/>
      <c r="B582" s="21"/>
      <c r="C582" s="21"/>
      <c r="D582" s="21"/>
      <c r="E582" s="268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69"/>
      <c r="Q582" s="269"/>
      <c r="R582" s="269"/>
    </row>
    <row r="583" ht="14.25" customHeight="1" spans="1:18">
      <c r="A583" s="21"/>
      <c r="B583" s="21"/>
      <c r="C583" s="21"/>
      <c r="D583" s="21"/>
      <c r="E583" s="268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69"/>
      <c r="Q583" s="269"/>
      <c r="R583" s="269"/>
    </row>
    <row r="584" ht="14.25" customHeight="1" spans="1:18">
      <c r="A584" s="21"/>
      <c r="B584" s="21"/>
      <c r="C584" s="21"/>
      <c r="D584" s="21"/>
      <c r="E584" s="268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69"/>
      <c r="Q584" s="269"/>
      <c r="R584" s="269"/>
    </row>
    <row r="585" ht="14.25" customHeight="1" spans="1:18">
      <c r="A585" s="21"/>
      <c r="B585" s="21"/>
      <c r="C585" s="21"/>
      <c r="D585" s="21"/>
      <c r="E585" s="268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69"/>
      <c r="Q585" s="269"/>
      <c r="R585" s="269"/>
    </row>
    <row r="586" ht="14.25" customHeight="1" spans="1:18">
      <c r="A586" s="21"/>
      <c r="B586" s="21"/>
      <c r="C586" s="21"/>
      <c r="D586" s="21"/>
      <c r="E586" s="268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69"/>
      <c r="Q586" s="269"/>
      <c r="R586" s="269"/>
    </row>
    <row r="587" ht="14.25" customHeight="1" spans="1:18">
      <c r="A587" s="21"/>
      <c r="B587" s="21"/>
      <c r="C587" s="21"/>
      <c r="D587" s="21"/>
      <c r="E587" s="268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69"/>
      <c r="Q587" s="269"/>
      <c r="R587" s="269"/>
    </row>
    <row r="588" ht="14.25" customHeight="1" spans="1:18">
      <c r="A588" s="21"/>
      <c r="B588" s="21"/>
      <c r="C588" s="21"/>
      <c r="D588" s="21"/>
      <c r="E588" s="268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69"/>
      <c r="Q588" s="269"/>
      <c r="R588" s="269"/>
    </row>
    <row r="589" ht="14.25" customHeight="1" spans="1:18">
      <c r="A589" s="21"/>
      <c r="B589" s="21"/>
      <c r="C589" s="21"/>
      <c r="D589" s="21"/>
      <c r="E589" s="268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69"/>
      <c r="Q589" s="269"/>
      <c r="R589" s="269"/>
    </row>
    <row r="590" ht="14.25" customHeight="1" spans="1:18">
      <c r="A590" s="21"/>
      <c r="B590" s="21"/>
      <c r="C590" s="21"/>
      <c r="D590" s="21"/>
      <c r="E590" s="268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69"/>
      <c r="Q590" s="269"/>
      <c r="R590" s="269"/>
    </row>
    <row r="591" ht="14.25" customHeight="1" spans="1:18">
      <c r="A591" s="21"/>
      <c r="B591" s="21"/>
      <c r="C591" s="21"/>
      <c r="D591" s="21"/>
      <c r="E591" s="268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69"/>
      <c r="Q591" s="269"/>
      <c r="R591" s="269"/>
    </row>
    <row r="592" ht="14.25" customHeight="1" spans="1:18">
      <c r="A592" s="21"/>
      <c r="B592" s="21"/>
      <c r="C592" s="21"/>
      <c r="D592" s="21"/>
      <c r="E592" s="268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69"/>
      <c r="Q592" s="269"/>
      <c r="R592" s="269"/>
    </row>
    <row r="593" ht="14.25" customHeight="1" spans="1:18">
      <c r="A593" s="21"/>
      <c r="B593" s="21"/>
      <c r="C593" s="21"/>
      <c r="D593" s="21"/>
      <c r="E593" s="268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69"/>
      <c r="Q593" s="269"/>
      <c r="R593" s="269"/>
    </row>
    <row r="594" ht="14.25" customHeight="1" spans="1:18">
      <c r="A594" s="21"/>
      <c r="B594" s="21"/>
      <c r="C594" s="21"/>
      <c r="D594" s="21"/>
      <c r="E594" s="268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69"/>
      <c r="Q594" s="269"/>
      <c r="R594" s="269"/>
    </row>
    <row r="595" ht="14.25" customHeight="1" spans="1:18">
      <c r="A595" s="21"/>
      <c r="B595" s="21"/>
      <c r="C595" s="21"/>
      <c r="D595" s="21"/>
      <c r="E595" s="268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69"/>
      <c r="Q595" s="269"/>
      <c r="R595" s="269"/>
    </row>
    <row r="596" ht="14.25" customHeight="1" spans="1:18">
      <c r="A596" s="21"/>
      <c r="B596" s="21"/>
      <c r="C596" s="21"/>
      <c r="D596" s="21"/>
      <c r="E596" s="268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69"/>
      <c r="Q596" s="269"/>
      <c r="R596" s="269"/>
    </row>
    <row r="597" ht="14.25" customHeight="1" spans="1:18">
      <c r="A597" s="21"/>
      <c r="B597" s="21"/>
      <c r="C597" s="21"/>
      <c r="D597" s="21"/>
      <c r="E597" s="268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69"/>
      <c r="Q597" s="269"/>
      <c r="R597" s="269"/>
    </row>
    <row r="598" ht="14.25" customHeight="1" spans="1:18">
      <c r="A598" s="21"/>
      <c r="B598" s="21"/>
      <c r="C598" s="21"/>
      <c r="D598" s="21"/>
      <c r="E598" s="268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69"/>
      <c r="Q598" s="269"/>
      <c r="R598" s="269"/>
    </row>
    <row r="599" ht="14.25" customHeight="1" spans="1:18">
      <c r="A599" s="21"/>
      <c r="B599" s="21"/>
      <c r="C599" s="21"/>
      <c r="D599" s="21"/>
      <c r="E599" s="268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69"/>
      <c r="Q599" s="269"/>
      <c r="R599" s="269"/>
    </row>
    <row r="600" ht="14.25" customHeight="1" spans="1:18">
      <c r="A600" s="21"/>
      <c r="B600" s="21"/>
      <c r="C600" s="21"/>
      <c r="D600" s="21"/>
      <c r="E600" s="268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69"/>
      <c r="Q600" s="269"/>
      <c r="R600" s="269"/>
    </row>
    <row r="601" ht="14.25" customHeight="1" spans="1:18">
      <c r="A601" s="21"/>
      <c r="B601" s="21"/>
      <c r="C601" s="21"/>
      <c r="D601" s="21"/>
      <c r="E601" s="268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69"/>
      <c r="Q601" s="269"/>
      <c r="R601" s="269"/>
    </row>
    <row r="602" ht="14.25" customHeight="1" spans="1:18">
      <c r="A602" s="21"/>
      <c r="B602" s="21"/>
      <c r="C602" s="21"/>
      <c r="D602" s="21"/>
      <c r="E602" s="268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69"/>
      <c r="Q602" s="269"/>
      <c r="R602" s="269"/>
    </row>
    <row r="603" ht="14.25" customHeight="1" spans="1:18">
      <c r="A603" s="21"/>
      <c r="B603" s="21"/>
      <c r="C603" s="21"/>
      <c r="D603" s="21"/>
      <c r="E603" s="268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69"/>
      <c r="Q603" s="269"/>
      <c r="R603" s="269"/>
    </row>
    <row r="604" ht="14.25" customHeight="1" spans="1:18">
      <c r="A604" s="21"/>
      <c r="B604" s="21"/>
      <c r="C604" s="21"/>
      <c r="D604" s="21"/>
      <c r="E604" s="268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69"/>
      <c r="Q604" s="269"/>
      <c r="R604" s="269"/>
    </row>
    <row r="605" ht="14.25" customHeight="1" spans="1:18">
      <c r="A605" s="21"/>
      <c r="B605" s="21"/>
      <c r="C605" s="21"/>
      <c r="D605" s="21"/>
      <c r="E605" s="268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69"/>
      <c r="Q605" s="269"/>
      <c r="R605" s="269"/>
    </row>
    <row r="606" ht="14.25" customHeight="1" spans="1:18">
      <c r="A606" s="21"/>
      <c r="B606" s="21"/>
      <c r="C606" s="21"/>
      <c r="D606" s="21"/>
      <c r="E606" s="268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69"/>
      <c r="Q606" s="269"/>
      <c r="R606" s="269"/>
    </row>
    <row r="607" ht="14.25" customHeight="1" spans="1:18">
      <c r="A607" s="21"/>
      <c r="B607" s="21"/>
      <c r="C607" s="21"/>
      <c r="D607" s="21"/>
      <c r="E607" s="268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69"/>
      <c r="Q607" s="269"/>
      <c r="R607" s="269"/>
    </row>
    <row r="608" ht="14.25" customHeight="1" spans="1:18">
      <c r="A608" s="21"/>
      <c r="B608" s="21"/>
      <c r="C608" s="21"/>
      <c r="D608" s="21"/>
      <c r="E608" s="268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69"/>
      <c r="Q608" s="269"/>
      <c r="R608" s="269"/>
    </row>
    <row r="609" ht="14.25" customHeight="1" spans="1:18">
      <c r="A609" s="21"/>
      <c r="B609" s="21"/>
      <c r="C609" s="21"/>
      <c r="D609" s="21"/>
      <c r="E609" s="268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69"/>
      <c r="Q609" s="269"/>
      <c r="R609" s="269"/>
    </row>
    <row r="610" ht="14.25" customHeight="1" spans="1:18">
      <c r="A610" s="21"/>
      <c r="B610" s="21"/>
      <c r="C610" s="21"/>
      <c r="D610" s="21"/>
      <c r="E610" s="268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69"/>
      <c r="Q610" s="269"/>
      <c r="R610" s="269"/>
    </row>
    <row r="611" ht="14.25" customHeight="1" spans="1:18">
      <c r="A611" s="21"/>
      <c r="B611" s="21"/>
      <c r="C611" s="21"/>
      <c r="D611" s="21"/>
      <c r="E611" s="268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69"/>
      <c r="Q611" s="269"/>
      <c r="R611" s="269"/>
    </row>
    <row r="612" ht="14.25" customHeight="1" spans="1:18">
      <c r="A612" s="21"/>
      <c r="B612" s="21"/>
      <c r="C612" s="21"/>
      <c r="D612" s="21"/>
      <c r="E612" s="268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69"/>
      <c r="Q612" s="269"/>
      <c r="R612" s="269"/>
    </row>
    <row r="613" ht="14.25" customHeight="1" spans="1:18">
      <c r="A613" s="21"/>
      <c r="B613" s="21"/>
      <c r="C613" s="21"/>
      <c r="D613" s="21"/>
      <c r="E613" s="268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69"/>
      <c r="Q613" s="269"/>
      <c r="R613" s="269"/>
    </row>
    <row r="614" ht="14.25" customHeight="1" spans="1:18">
      <c r="A614" s="21"/>
      <c r="B614" s="21"/>
      <c r="C614" s="21"/>
      <c r="D614" s="21"/>
      <c r="E614" s="268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69"/>
      <c r="Q614" s="269"/>
      <c r="R614" s="269"/>
    </row>
    <row r="615" ht="14.25" customHeight="1" spans="1:18">
      <c r="A615" s="21"/>
      <c r="B615" s="21"/>
      <c r="C615" s="21"/>
      <c r="D615" s="21"/>
      <c r="E615" s="268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69"/>
      <c r="Q615" s="269"/>
      <c r="R615" s="269"/>
    </row>
    <row r="616" ht="14.25" customHeight="1" spans="1:18">
      <c r="A616" s="21"/>
      <c r="B616" s="21"/>
      <c r="C616" s="21"/>
      <c r="D616" s="21"/>
      <c r="E616" s="268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69"/>
      <c r="Q616" s="269"/>
      <c r="R616" s="269"/>
    </row>
    <row r="617" ht="14.25" customHeight="1" spans="1:18">
      <c r="A617" s="21"/>
      <c r="B617" s="21"/>
      <c r="C617" s="21"/>
      <c r="D617" s="21"/>
      <c r="E617" s="268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69"/>
      <c r="Q617" s="269"/>
      <c r="R617" s="269"/>
    </row>
    <row r="618" ht="14.25" customHeight="1" spans="1:18">
      <c r="A618" s="21"/>
      <c r="B618" s="21"/>
      <c r="C618" s="21"/>
      <c r="D618" s="21"/>
      <c r="E618" s="268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69"/>
      <c r="Q618" s="269"/>
      <c r="R618" s="269"/>
    </row>
    <row r="619" ht="14.25" customHeight="1" spans="1:18">
      <c r="A619" s="21"/>
      <c r="B619" s="21"/>
      <c r="C619" s="21"/>
      <c r="D619" s="21"/>
      <c r="E619" s="268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69"/>
      <c r="Q619" s="269"/>
      <c r="R619" s="269"/>
    </row>
    <row r="620" ht="14.25" customHeight="1" spans="1:18">
      <c r="A620" s="21"/>
      <c r="B620" s="21"/>
      <c r="C620" s="21"/>
      <c r="D620" s="21"/>
      <c r="E620" s="268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69"/>
      <c r="Q620" s="269"/>
      <c r="R620" s="269"/>
    </row>
    <row r="621" ht="14.25" customHeight="1" spans="1:18">
      <c r="A621" s="21"/>
      <c r="B621" s="21"/>
      <c r="C621" s="21"/>
      <c r="D621" s="21"/>
      <c r="E621" s="268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69"/>
      <c r="Q621" s="269"/>
      <c r="R621" s="269"/>
    </row>
    <row r="622" ht="14.25" customHeight="1" spans="1:18">
      <c r="A622" s="21"/>
      <c r="B622" s="21"/>
      <c r="C622" s="21"/>
      <c r="D622" s="21"/>
      <c r="E622" s="268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69"/>
      <c r="Q622" s="269"/>
      <c r="R622" s="269"/>
    </row>
    <row r="623" ht="14.25" customHeight="1" spans="1:18">
      <c r="A623" s="21"/>
      <c r="B623" s="21"/>
      <c r="C623" s="21"/>
      <c r="D623" s="21"/>
      <c r="E623" s="268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69"/>
      <c r="Q623" s="269"/>
      <c r="R623" s="269"/>
    </row>
    <row r="624" ht="14.25" customHeight="1" spans="1:18">
      <c r="A624" s="21"/>
      <c r="B624" s="21"/>
      <c r="C624" s="21"/>
      <c r="D624" s="21"/>
      <c r="E624" s="268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69"/>
      <c r="Q624" s="269"/>
      <c r="R624" s="269"/>
    </row>
    <row r="625" ht="14.25" customHeight="1" spans="1:18">
      <c r="A625" s="21"/>
      <c r="B625" s="21"/>
      <c r="C625" s="21"/>
      <c r="D625" s="21"/>
      <c r="E625" s="268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69"/>
      <c r="Q625" s="269"/>
      <c r="R625" s="269"/>
    </row>
    <row r="626" ht="14.25" customHeight="1" spans="1:18">
      <c r="A626" s="21"/>
      <c r="B626" s="21"/>
      <c r="C626" s="21"/>
      <c r="D626" s="21"/>
      <c r="E626" s="268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69"/>
      <c r="Q626" s="269"/>
      <c r="R626" s="269"/>
    </row>
    <row r="627" ht="14.25" customHeight="1" spans="1:18">
      <c r="A627" s="21"/>
      <c r="B627" s="21"/>
      <c r="C627" s="21"/>
      <c r="D627" s="21"/>
      <c r="E627" s="268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69"/>
      <c r="Q627" s="269"/>
      <c r="R627" s="269"/>
    </row>
    <row r="628" ht="14.25" customHeight="1" spans="1:18">
      <c r="A628" s="21"/>
      <c r="B628" s="21"/>
      <c r="C628" s="21"/>
      <c r="D628" s="21"/>
      <c r="E628" s="268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69"/>
      <c r="Q628" s="269"/>
      <c r="R628" s="269"/>
    </row>
    <row r="629" ht="14.25" customHeight="1" spans="1:18">
      <c r="A629" s="21"/>
      <c r="B629" s="21"/>
      <c r="C629" s="21"/>
      <c r="D629" s="21"/>
      <c r="E629" s="268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69"/>
      <c r="Q629" s="269"/>
      <c r="R629" s="269"/>
    </row>
    <row r="630" ht="14.25" customHeight="1" spans="1:18">
      <c r="A630" s="21"/>
      <c r="B630" s="21"/>
      <c r="C630" s="21"/>
      <c r="D630" s="21"/>
      <c r="E630" s="268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69"/>
      <c r="Q630" s="269"/>
      <c r="R630" s="269"/>
    </row>
    <row r="631" ht="14.25" customHeight="1" spans="1:18">
      <c r="A631" s="21"/>
      <c r="B631" s="21"/>
      <c r="C631" s="21"/>
      <c r="D631" s="21"/>
      <c r="E631" s="268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69"/>
      <c r="Q631" s="269"/>
      <c r="R631" s="269"/>
    </row>
    <row r="632" ht="14.25" customHeight="1" spans="1:18">
      <c r="A632" s="21"/>
      <c r="B632" s="21"/>
      <c r="C632" s="21"/>
      <c r="D632" s="21"/>
      <c r="E632" s="268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69"/>
      <c r="Q632" s="269"/>
      <c r="R632" s="269"/>
    </row>
    <row r="633" ht="14.25" customHeight="1" spans="1:18">
      <c r="A633" s="21"/>
      <c r="B633" s="21"/>
      <c r="C633" s="21"/>
      <c r="D633" s="21"/>
      <c r="E633" s="268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69"/>
      <c r="Q633" s="269"/>
      <c r="R633" s="269"/>
    </row>
    <row r="634" ht="14.25" customHeight="1" spans="1:18">
      <c r="A634" s="21"/>
      <c r="B634" s="21"/>
      <c r="C634" s="21"/>
      <c r="D634" s="21"/>
      <c r="E634" s="268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69"/>
      <c r="Q634" s="269"/>
      <c r="R634" s="269"/>
    </row>
    <row r="635" ht="14.25" customHeight="1" spans="1:18">
      <c r="A635" s="21"/>
      <c r="B635" s="21"/>
      <c r="C635" s="21"/>
      <c r="D635" s="21"/>
      <c r="E635" s="268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69"/>
      <c r="Q635" s="269"/>
      <c r="R635" s="269"/>
    </row>
    <row r="636" ht="14.25" customHeight="1" spans="1:18">
      <c r="A636" s="21"/>
      <c r="B636" s="21"/>
      <c r="C636" s="21"/>
      <c r="D636" s="21"/>
      <c r="E636" s="268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69"/>
      <c r="Q636" s="269"/>
      <c r="R636" s="269"/>
    </row>
    <row r="637" ht="14.25" customHeight="1" spans="1:18">
      <c r="A637" s="21"/>
      <c r="B637" s="21"/>
      <c r="C637" s="21"/>
      <c r="D637" s="21"/>
      <c r="E637" s="268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69"/>
      <c r="Q637" s="269"/>
      <c r="R637" s="269"/>
    </row>
    <row r="638" ht="14.25" customHeight="1" spans="1:18">
      <c r="A638" s="21"/>
      <c r="B638" s="21"/>
      <c r="C638" s="21"/>
      <c r="D638" s="21"/>
      <c r="E638" s="268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69"/>
      <c r="Q638" s="269"/>
      <c r="R638" s="269"/>
    </row>
    <row r="639" ht="14.25" customHeight="1" spans="1:18">
      <c r="A639" s="21"/>
      <c r="B639" s="21"/>
      <c r="C639" s="21"/>
      <c r="D639" s="21"/>
      <c r="E639" s="268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69"/>
      <c r="Q639" s="269"/>
      <c r="R639" s="269"/>
    </row>
    <row r="640" ht="14.25" customHeight="1" spans="1:18">
      <c r="A640" s="21"/>
      <c r="B640" s="21"/>
      <c r="C640" s="21"/>
      <c r="D640" s="21"/>
      <c r="E640" s="268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69"/>
      <c r="Q640" s="269"/>
      <c r="R640" s="269"/>
    </row>
    <row r="641" ht="14.25" customHeight="1" spans="1:18">
      <c r="A641" s="21"/>
      <c r="B641" s="21"/>
      <c r="C641" s="21"/>
      <c r="D641" s="21"/>
      <c r="E641" s="268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69"/>
      <c r="Q641" s="269"/>
      <c r="R641" s="269"/>
    </row>
    <row r="642" ht="14.25" customHeight="1" spans="1:18">
      <c r="A642" s="21"/>
      <c r="B642" s="21"/>
      <c r="C642" s="21"/>
      <c r="D642" s="21"/>
      <c r="E642" s="268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69"/>
      <c r="Q642" s="269"/>
      <c r="R642" s="269"/>
    </row>
    <row r="643" ht="14.25" customHeight="1" spans="1:18">
      <c r="A643" s="21"/>
      <c r="B643" s="21"/>
      <c r="C643" s="21"/>
      <c r="D643" s="21"/>
      <c r="E643" s="268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69"/>
      <c r="Q643" s="269"/>
      <c r="R643" s="269"/>
    </row>
    <row r="644" ht="14.25" customHeight="1" spans="1:18">
      <c r="A644" s="21"/>
      <c r="B644" s="21"/>
      <c r="C644" s="21"/>
      <c r="D644" s="21"/>
      <c r="E644" s="268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69"/>
      <c r="Q644" s="269"/>
      <c r="R644" s="269"/>
    </row>
    <row r="645" ht="14.25" customHeight="1" spans="1:18">
      <c r="A645" s="21"/>
      <c r="B645" s="21"/>
      <c r="C645" s="21"/>
      <c r="D645" s="21"/>
      <c r="E645" s="268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69"/>
      <c r="Q645" s="269"/>
      <c r="R645" s="269"/>
    </row>
    <row r="646" ht="14.25" customHeight="1" spans="1:18">
      <c r="A646" s="21"/>
      <c r="B646" s="21"/>
      <c r="C646" s="21"/>
      <c r="D646" s="21"/>
      <c r="E646" s="268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69"/>
      <c r="Q646" s="269"/>
      <c r="R646" s="269"/>
    </row>
    <row r="647" ht="14.25" customHeight="1" spans="1:18">
      <c r="A647" s="21"/>
      <c r="B647" s="21"/>
      <c r="C647" s="21"/>
      <c r="D647" s="21"/>
      <c r="E647" s="268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69"/>
      <c r="Q647" s="269"/>
      <c r="R647" s="269"/>
    </row>
    <row r="648" ht="14.25" customHeight="1" spans="1:18">
      <c r="A648" s="21"/>
      <c r="B648" s="21"/>
      <c r="C648" s="21"/>
      <c r="D648" s="21"/>
      <c r="E648" s="268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69"/>
      <c r="Q648" s="269"/>
      <c r="R648" s="269"/>
    </row>
    <row r="649" ht="14.25" customHeight="1" spans="1:18">
      <c r="A649" s="21"/>
      <c r="B649" s="21"/>
      <c r="C649" s="21"/>
      <c r="D649" s="21"/>
      <c r="E649" s="268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69"/>
      <c r="Q649" s="269"/>
      <c r="R649" s="269"/>
    </row>
    <row r="650" ht="14.25" customHeight="1" spans="1:18">
      <c r="A650" s="21"/>
      <c r="B650" s="21"/>
      <c r="C650" s="21"/>
      <c r="D650" s="21"/>
      <c r="E650" s="268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69"/>
      <c r="Q650" s="269"/>
      <c r="R650" s="269"/>
    </row>
    <row r="651" ht="14.25" customHeight="1" spans="1:18">
      <c r="A651" s="21"/>
      <c r="B651" s="21"/>
      <c r="C651" s="21"/>
      <c r="D651" s="21"/>
      <c r="E651" s="268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69"/>
      <c r="Q651" s="269"/>
      <c r="R651" s="269"/>
    </row>
    <row r="652" ht="14.25" customHeight="1" spans="1:18">
      <c r="A652" s="21"/>
      <c r="B652" s="21"/>
      <c r="C652" s="21"/>
      <c r="D652" s="21"/>
      <c r="E652" s="268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69"/>
      <c r="Q652" s="269"/>
      <c r="R652" s="269"/>
    </row>
    <row r="653" ht="14.25" customHeight="1" spans="1:18">
      <c r="A653" s="21"/>
      <c r="B653" s="21"/>
      <c r="C653" s="21"/>
      <c r="D653" s="21"/>
      <c r="E653" s="268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69"/>
      <c r="Q653" s="269"/>
      <c r="R653" s="269"/>
    </row>
    <row r="654" ht="14.25" customHeight="1" spans="1:18">
      <c r="A654" s="21"/>
      <c r="B654" s="21"/>
      <c r="C654" s="21"/>
      <c r="D654" s="21"/>
      <c r="E654" s="268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69"/>
      <c r="Q654" s="269"/>
      <c r="R654" s="269"/>
    </row>
    <row r="655" ht="14.25" customHeight="1" spans="1:18">
      <c r="A655" s="21"/>
      <c r="B655" s="21"/>
      <c r="C655" s="21"/>
      <c r="D655" s="21"/>
      <c r="E655" s="268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69"/>
      <c r="Q655" s="269"/>
      <c r="R655" s="269"/>
    </row>
    <row r="656" ht="14.25" customHeight="1" spans="1:18">
      <c r="A656" s="21"/>
      <c r="B656" s="21"/>
      <c r="C656" s="21"/>
      <c r="D656" s="21"/>
      <c r="E656" s="268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69"/>
      <c r="Q656" s="269"/>
      <c r="R656" s="269"/>
    </row>
    <row r="657" ht="14.25" customHeight="1" spans="1:18">
      <c r="A657" s="21"/>
      <c r="B657" s="21"/>
      <c r="C657" s="21"/>
      <c r="D657" s="21"/>
      <c r="E657" s="268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69"/>
      <c r="Q657" s="269"/>
      <c r="R657" s="269"/>
    </row>
    <row r="658" ht="14.25" customHeight="1" spans="1:18">
      <c r="A658" s="21"/>
      <c r="B658" s="21"/>
      <c r="C658" s="21"/>
      <c r="D658" s="21"/>
      <c r="E658" s="268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69"/>
      <c r="Q658" s="269"/>
      <c r="R658" s="269"/>
    </row>
    <row r="659" ht="14.25" customHeight="1" spans="1:18">
      <c r="A659" s="21"/>
      <c r="B659" s="21"/>
      <c r="C659" s="21"/>
      <c r="D659" s="21"/>
      <c r="E659" s="268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69"/>
      <c r="Q659" s="269"/>
      <c r="R659" s="269"/>
    </row>
    <row r="660" ht="14.25" customHeight="1" spans="1:18">
      <c r="A660" s="21"/>
      <c r="B660" s="21"/>
      <c r="C660" s="21"/>
      <c r="D660" s="21"/>
      <c r="E660" s="268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69"/>
      <c r="Q660" s="269"/>
      <c r="R660" s="269"/>
    </row>
    <row r="661" ht="14.25" customHeight="1" spans="1:18">
      <c r="A661" s="21"/>
      <c r="B661" s="21"/>
      <c r="C661" s="21"/>
      <c r="D661" s="21"/>
      <c r="E661" s="268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69"/>
      <c r="Q661" s="269"/>
      <c r="R661" s="269"/>
    </row>
    <row r="662" ht="14.25" customHeight="1" spans="1:18">
      <c r="A662" s="21"/>
      <c r="B662" s="21"/>
      <c r="C662" s="21"/>
      <c r="D662" s="21"/>
      <c r="E662" s="268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69"/>
      <c r="Q662" s="269"/>
      <c r="R662" s="269"/>
    </row>
    <row r="663" ht="14.25" customHeight="1" spans="1:18">
      <c r="A663" s="21"/>
      <c r="B663" s="21"/>
      <c r="C663" s="21"/>
      <c r="D663" s="21"/>
      <c r="E663" s="268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69"/>
      <c r="Q663" s="269"/>
      <c r="R663" s="269"/>
    </row>
    <row r="664" ht="14.25" customHeight="1" spans="1:18">
      <c r="A664" s="21"/>
      <c r="B664" s="21"/>
      <c r="C664" s="21"/>
      <c r="D664" s="21"/>
      <c r="E664" s="268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69"/>
      <c r="Q664" s="269"/>
      <c r="R664" s="269"/>
    </row>
    <row r="665" ht="14.25" customHeight="1" spans="1:18">
      <c r="A665" s="21"/>
      <c r="B665" s="21"/>
      <c r="C665" s="21"/>
      <c r="D665" s="21"/>
      <c r="E665" s="268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69"/>
      <c r="Q665" s="269"/>
      <c r="R665" s="269"/>
    </row>
    <row r="666" ht="14.25" customHeight="1" spans="1:18">
      <c r="A666" s="21"/>
      <c r="B666" s="21"/>
      <c r="C666" s="21"/>
      <c r="D666" s="21"/>
      <c r="E666" s="268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69"/>
      <c r="Q666" s="269"/>
      <c r="R666" s="269"/>
    </row>
    <row r="667" ht="14.25" customHeight="1" spans="1:18">
      <c r="A667" s="21"/>
      <c r="B667" s="21"/>
      <c r="C667" s="21"/>
      <c r="D667" s="21"/>
      <c r="E667" s="268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69"/>
      <c r="Q667" s="269"/>
      <c r="R667" s="269"/>
    </row>
    <row r="668" ht="14.25" customHeight="1" spans="1:18">
      <c r="A668" s="21"/>
      <c r="B668" s="21"/>
      <c r="C668" s="21"/>
      <c r="D668" s="21"/>
      <c r="E668" s="268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69"/>
      <c r="Q668" s="269"/>
      <c r="R668" s="269"/>
    </row>
    <row r="669" ht="14.25" customHeight="1" spans="1:18">
      <c r="A669" s="21"/>
      <c r="B669" s="21"/>
      <c r="C669" s="21"/>
      <c r="D669" s="21"/>
      <c r="E669" s="268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69"/>
      <c r="Q669" s="269"/>
      <c r="R669" s="269"/>
    </row>
    <row r="670" ht="14.25" customHeight="1" spans="1:18">
      <c r="A670" s="21"/>
      <c r="B670" s="21"/>
      <c r="C670" s="21"/>
      <c r="D670" s="21"/>
      <c r="E670" s="268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69"/>
      <c r="Q670" s="269"/>
      <c r="R670" s="269"/>
    </row>
    <row r="671" ht="14.25" customHeight="1" spans="1:18">
      <c r="A671" s="21"/>
      <c r="B671" s="21"/>
      <c r="C671" s="21"/>
      <c r="D671" s="21"/>
      <c r="E671" s="268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69"/>
      <c r="Q671" s="269"/>
      <c r="R671" s="269"/>
    </row>
    <row r="672" ht="14.25" customHeight="1" spans="1:18">
      <c r="A672" s="21"/>
      <c r="B672" s="21"/>
      <c r="C672" s="21"/>
      <c r="D672" s="21"/>
      <c r="E672" s="268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69"/>
      <c r="Q672" s="269"/>
      <c r="R672" s="269"/>
    </row>
    <row r="673" ht="14.25" customHeight="1" spans="1:18">
      <c r="A673" s="21"/>
      <c r="B673" s="21"/>
      <c r="C673" s="21"/>
      <c r="D673" s="21"/>
      <c r="E673" s="268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69"/>
      <c r="Q673" s="269"/>
      <c r="R673" s="269"/>
    </row>
    <row r="674" ht="14.25" customHeight="1" spans="1:18">
      <c r="A674" s="21"/>
      <c r="B674" s="21"/>
      <c r="C674" s="21"/>
      <c r="D674" s="21"/>
      <c r="E674" s="268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69"/>
      <c r="Q674" s="269"/>
      <c r="R674" s="269"/>
    </row>
    <row r="675" ht="14.25" customHeight="1" spans="1:18">
      <c r="A675" s="21"/>
      <c r="B675" s="21"/>
      <c r="C675" s="21"/>
      <c r="D675" s="21"/>
      <c r="E675" s="268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69"/>
      <c r="Q675" s="269"/>
      <c r="R675" s="269"/>
    </row>
    <row r="676" ht="14.25" customHeight="1" spans="1:18">
      <c r="A676" s="21"/>
      <c r="B676" s="21"/>
      <c r="C676" s="21"/>
      <c r="D676" s="21"/>
      <c r="E676" s="268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69"/>
      <c r="Q676" s="269"/>
      <c r="R676" s="269"/>
    </row>
    <row r="677" ht="14.25" customHeight="1" spans="1:18">
      <c r="A677" s="21"/>
      <c r="B677" s="21"/>
      <c r="C677" s="21"/>
      <c r="D677" s="21"/>
      <c r="E677" s="268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69"/>
      <c r="Q677" s="269"/>
      <c r="R677" s="269"/>
    </row>
    <row r="678" ht="14.25" customHeight="1" spans="1:18">
      <c r="A678" s="21"/>
      <c r="B678" s="21"/>
      <c r="C678" s="21"/>
      <c r="D678" s="21"/>
      <c r="E678" s="268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69"/>
      <c r="Q678" s="269"/>
      <c r="R678" s="269"/>
    </row>
    <row r="679" ht="14.25" customHeight="1" spans="1:18">
      <c r="A679" s="21"/>
      <c r="B679" s="21"/>
      <c r="C679" s="21"/>
      <c r="D679" s="21"/>
      <c r="E679" s="268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69"/>
      <c r="Q679" s="269"/>
      <c r="R679" s="269"/>
    </row>
    <row r="680" ht="14.25" customHeight="1" spans="1:18">
      <c r="A680" s="21"/>
      <c r="B680" s="21"/>
      <c r="C680" s="21"/>
      <c r="D680" s="21"/>
      <c r="E680" s="268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69"/>
      <c r="Q680" s="269"/>
      <c r="R680" s="269"/>
    </row>
    <row r="681" ht="14.25" customHeight="1" spans="1:18">
      <c r="A681" s="21"/>
      <c r="B681" s="21"/>
      <c r="C681" s="21"/>
      <c r="D681" s="21"/>
      <c r="E681" s="268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69"/>
      <c r="Q681" s="269"/>
      <c r="R681" s="269"/>
    </row>
    <row r="682" ht="14.25" customHeight="1" spans="1:18">
      <c r="A682" s="21"/>
      <c r="B682" s="21"/>
      <c r="C682" s="21"/>
      <c r="D682" s="21"/>
      <c r="E682" s="268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69"/>
      <c r="Q682" s="269"/>
      <c r="R682" s="269"/>
    </row>
    <row r="683" ht="14.25" customHeight="1" spans="1:18">
      <c r="A683" s="21"/>
      <c r="B683" s="21"/>
      <c r="C683" s="21"/>
      <c r="D683" s="21"/>
      <c r="E683" s="268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69"/>
      <c r="Q683" s="269"/>
      <c r="R683" s="269"/>
    </row>
    <row r="684" ht="14.25" customHeight="1" spans="1:18">
      <c r="A684" s="21"/>
      <c r="B684" s="21"/>
      <c r="C684" s="21"/>
      <c r="D684" s="21"/>
      <c r="E684" s="268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69"/>
      <c r="Q684" s="269"/>
      <c r="R684" s="269"/>
    </row>
    <row r="685" ht="14.25" customHeight="1" spans="1:18">
      <c r="A685" s="21"/>
      <c r="B685" s="21"/>
      <c r="C685" s="21"/>
      <c r="D685" s="21"/>
      <c r="E685" s="268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69"/>
      <c r="Q685" s="269"/>
      <c r="R685" s="269"/>
    </row>
    <row r="686" ht="14.25" customHeight="1" spans="1:18">
      <c r="A686" s="21"/>
      <c r="B686" s="21"/>
      <c r="C686" s="21"/>
      <c r="D686" s="21"/>
      <c r="E686" s="268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69"/>
      <c r="Q686" s="269"/>
      <c r="R686" s="269"/>
    </row>
    <row r="687" ht="14.25" customHeight="1" spans="1:18">
      <c r="A687" s="21"/>
      <c r="B687" s="21"/>
      <c r="C687" s="21"/>
      <c r="D687" s="21"/>
      <c r="E687" s="268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69"/>
      <c r="Q687" s="269"/>
      <c r="R687" s="269"/>
    </row>
    <row r="688" ht="14.25" customHeight="1" spans="1:18">
      <c r="A688" s="21"/>
      <c r="B688" s="21"/>
      <c r="C688" s="21"/>
      <c r="D688" s="21"/>
      <c r="E688" s="268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69"/>
      <c r="Q688" s="269"/>
      <c r="R688" s="269"/>
    </row>
    <row r="689" ht="14.25" customHeight="1" spans="1:18">
      <c r="A689" s="21"/>
      <c r="B689" s="21"/>
      <c r="C689" s="21"/>
      <c r="D689" s="21"/>
      <c r="E689" s="268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69"/>
      <c r="Q689" s="269"/>
      <c r="R689" s="269"/>
    </row>
    <row r="690" ht="14.25" customHeight="1" spans="1:18">
      <c r="A690" s="21"/>
      <c r="B690" s="21"/>
      <c r="C690" s="21"/>
      <c r="D690" s="21"/>
      <c r="E690" s="268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69"/>
      <c r="Q690" s="269"/>
      <c r="R690" s="269"/>
    </row>
    <row r="691" ht="14.25" customHeight="1" spans="1:18">
      <c r="A691" s="21"/>
      <c r="B691" s="21"/>
      <c r="C691" s="21"/>
      <c r="D691" s="21"/>
      <c r="E691" s="268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69"/>
      <c r="Q691" s="269"/>
      <c r="R691" s="269"/>
    </row>
    <row r="692" ht="14.25" customHeight="1" spans="1:18">
      <c r="A692" s="21"/>
      <c r="B692" s="21"/>
      <c r="C692" s="21"/>
      <c r="D692" s="21"/>
      <c r="E692" s="268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69"/>
      <c r="Q692" s="269"/>
      <c r="R692" s="269"/>
    </row>
    <row r="693" ht="14.25" customHeight="1" spans="1:18">
      <c r="A693" s="21"/>
      <c r="B693" s="21"/>
      <c r="C693" s="21"/>
      <c r="D693" s="21"/>
      <c r="E693" s="268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69"/>
      <c r="Q693" s="269"/>
      <c r="R693" s="269"/>
    </row>
    <row r="694" ht="14.25" customHeight="1" spans="1:18">
      <c r="A694" s="21"/>
      <c r="B694" s="21"/>
      <c r="C694" s="21"/>
      <c r="D694" s="21"/>
      <c r="E694" s="268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69"/>
      <c r="Q694" s="269"/>
      <c r="R694" s="269"/>
    </row>
    <row r="695" ht="14.25" customHeight="1" spans="1:18">
      <c r="A695" s="21"/>
      <c r="B695" s="21"/>
      <c r="C695" s="21"/>
      <c r="D695" s="21"/>
      <c r="E695" s="268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69"/>
      <c r="Q695" s="269"/>
      <c r="R695" s="269"/>
    </row>
    <row r="696" ht="14.25" customHeight="1" spans="1:18">
      <c r="A696" s="21"/>
      <c r="B696" s="21"/>
      <c r="C696" s="21"/>
      <c r="D696" s="21"/>
      <c r="E696" s="268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69"/>
      <c r="Q696" s="269"/>
      <c r="R696" s="269"/>
    </row>
    <row r="697" ht="14.25" customHeight="1" spans="1:18">
      <c r="A697" s="21"/>
      <c r="B697" s="21"/>
      <c r="C697" s="21"/>
      <c r="D697" s="21"/>
      <c r="E697" s="268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69"/>
      <c r="Q697" s="269"/>
      <c r="R697" s="269"/>
    </row>
    <row r="698" ht="14.25" customHeight="1" spans="1:18">
      <c r="A698" s="21"/>
      <c r="B698" s="21"/>
      <c r="C698" s="21"/>
      <c r="D698" s="21"/>
      <c r="E698" s="268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69"/>
      <c r="Q698" s="269"/>
      <c r="R698" s="269"/>
    </row>
    <row r="699" ht="14.25" customHeight="1" spans="1:18">
      <c r="A699" s="21"/>
      <c r="B699" s="21"/>
      <c r="C699" s="21"/>
      <c r="D699" s="21"/>
      <c r="E699" s="268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69"/>
      <c r="Q699" s="269"/>
      <c r="R699" s="269"/>
    </row>
    <row r="700" ht="14.25" customHeight="1" spans="1:18">
      <c r="A700" s="21"/>
      <c r="B700" s="21"/>
      <c r="C700" s="21"/>
      <c r="D700" s="21"/>
      <c r="E700" s="268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69"/>
      <c r="Q700" s="269"/>
      <c r="R700" s="269"/>
    </row>
    <row r="701" ht="14.25" customHeight="1" spans="1:18">
      <c r="A701" s="21"/>
      <c r="B701" s="21"/>
      <c r="C701" s="21"/>
      <c r="D701" s="21"/>
      <c r="E701" s="268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69"/>
      <c r="Q701" s="269"/>
      <c r="R701" s="269"/>
    </row>
    <row r="702" ht="14.25" customHeight="1" spans="1:18">
      <c r="A702" s="21"/>
      <c r="B702" s="21"/>
      <c r="C702" s="21"/>
      <c r="D702" s="21"/>
      <c r="E702" s="268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69"/>
      <c r="Q702" s="269"/>
      <c r="R702" s="269"/>
    </row>
    <row r="703" ht="14.25" customHeight="1" spans="1:18">
      <c r="A703" s="21"/>
      <c r="B703" s="21"/>
      <c r="C703" s="21"/>
      <c r="D703" s="21"/>
      <c r="E703" s="268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69"/>
      <c r="Q703" s="269"/>
      <c r="R703" s="269"/>
    </row>
    <row r="704" ht="14.25" customHeight="1" spans="1:18">
      <c r="A704" s="21"/>
      <c r="B704" s="21"/>
      <c r="C704" s="21"/>
      <c r="D704" s="21"/>
      <c r="E704" s="268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69"/>
      <c r="Q704" s="269"/>
      <c r="R704" s="269"/>
    </row>
    <row r="705" ht="14.25" customHeight="1" spans="1:18">
      <c r="A705" s="21"/>
      <c r="B705" s="21"/>
      <c r="C705" s="21"/>
      <c r="D705" s="21"/>
      <c r="E705" s="268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69"/>
      <c r="Q705" s="269"/>
      <c r="R705" s="269"/>
    </row>
    <row r="706" ht="14.25" customHeight="1" spans="1:18">
      <c r="A706" s="21"/>
      <c r="B706" s="21"/>
      <c r="C706" s="21"/>
      <c r="D706" s="21"/>
      <c r="E706" s="268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69"/>
      <c r="Q706" s="269"/>
      <c r="R706" s="269"/>
    </row>
    <row r="707" ht="14.25" customHeight="1" spans="1:18">
      <c r="A707" s="21"/>
      <c r="B707" s="21"/>
      <c r="C707" s="21"/>
      <c r="D707" s="21"/>
      <c r="E707" s="268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69"/>
      <c r="Q707" s="269"/>
      <c r="R707" s="269"/>
    </row>
    <row r="708" ht="14.25" customHeight="1" spans="1:18">
      <c r="A708" s="21"/>
      <c r="B708" s="21"/>
      <c r="C708" s="21"/>
      <c r="D708" s="21"/>
      <c r="E708" s="268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69"/>
      <c r="Q708" s="269"/>
      <c r="R708" s="269"/>
    </row>
    <row r="709" ht="14.25" customHeight="1" spans="1:18">
      <c r="A709" s="21"/>
      <c r="B709" s="21"/>
      <c r="C709" s="21"/>
      <c r="D709" s="21"/>
      <c r="E709" s="268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69"/>
      <c r="Q709" s="269"/>
      <c r="R709" s="269"/>
    </row>
    <row r="710" ht="14.25" customHeight="1" spans="1:18">
      <c r="A710" s="21"/>
      <c r="B710" s="21"/>
      <c r="C710" s="21"/>
      <c r="D710" s="21"/>
      <c r="E710" s="268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69"/>
      <c r="Q710" s="269"/>
      <c r="R710" s="269"/>
    </row>
    <row r="711" ht="14.25" customHeight="1" spans="1:18">
      <c r="A711" s="21"/>
      <c r="B711" s="21"/>
      <c r="C711" s="21"/>
      <c r="D711" s="21"/>
      <c r="E711" s="268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69"/>
      <c r="Q711" s="269"/>
      <c r="R711" s="269"/>
    </row>
    <row r="712" ht="14.25" customHeight="1" spans="1:18">
      <c r="A712" s="21"/>
      <c r="B712" s="21"/>
      <c r="C712" s="21"/>
      <c r="D712" s="21"/>
      <c r="E712" s="268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69"/>
      <c r="Q712" s="269"/>
      <c r="R712" s="269"/>
    </row>
    <row r="713" ht="14.25" customHeight="1" spans="1:18">
      <c r="A713" s="21"/>
      <c r="B713" s="21"/>
      <c r="C713" s="21"/>
      <c r="D713" s="21"/>
      <c r="E713" s="268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69"/>
      <c r="Q713" s="269"/>
      <c r="R713" s="269"/>
    </row>
    <row r="714" ht="14.25" customHeight="1" spans="1:18">
      <c r="A714" s="21"/>
      <c r="B714" s="21"/>
      <c r="C714" s="21"/>
      <c r="D714" s="21"/>
      <c r="E714" s="268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69"/>
      <c r="Q714" s="269"/>
      <c r="R714" s="269"/>
    </row>
    <row r="715" ht="14.25" customHeight="1" spans="1:18">
      <c r="A715" s="21"/>
      <c r="B715" s="21"/>
      <c r="C715" s="21"/>
      <c r="D715" s="21"/>
      <c r="E715" s="268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69"/>
      <c r="Q715" s="269"/>
      <c r="R715" s="269"/>
    </row>
    <row r="716" ht="14.25" customHeight="1" spans="1:18">
      <c r="A716" s="21"/>
      <c r="B716" s="21"/>
      <c r="C716" s="21"/>
      <c r="D716" s="21"/>
      <c r="E716" s="268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69"/>
      <c r="Q716" s="269"/>
      <c r="R716" s="269"/>
    </row>
    <row r="717" ht="14.25" customHeight="1" spans="1:18">
      <c r="A717" s="21"/>
      <c r="B717" s="21"/>
      <c r="C717" s="21"/>
      <c r="D717" s="21"/>
      <c r="E717" s="268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69"/>
      <c r="Q717" s="269"/>
      <c r="R717" s="269"/>
    </row>
    <row r="718" ht="14.25" customHeight="1" spans="1:18">
      <c r="A718" s="21"/>
      <c r="B718" s="21"/>
      <c r="C718" s="21"/>
      <c r="D718" s="21"/>
      <c r="E718" s="268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69"/>
      <c r="Q718" s="269"/>
      <c r="R718" s="269"/>
    </row>
    <row r="719" ht="14.25" customHeight="1" spans="1:18">
      <c r="A719" s="21"/>
      <c r="B719" s="21"/>
      <c r="C719" s="21"/>
      <c r="D719" s="21"/>
      <c r="E719" s="268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69"/>
      <c r="Q719" s="269"/>
      <c r="R719" s="269"/>
    </row>
    <row r="720" ht="14.25" customHeight="1" spans="1:18">
      <c r="A720" s="21"/>
      <c r="B720" s="21"/>
      <c r="C720" s="21"/>
      <c r="D720" s="21"/>
      <c r="E720" s="268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69"/>
      <c r="Q720" s="269"/>
      <c r="R720" s="269"/>
    </row>
    <row r="721" ht="14.25" customHeight="1" spans="1:18">
      <c r="A721" s="21"/>
      <c r="B721" s="21"/>
      <c r="C721" s="21"/>
      <c r="D721" s="21"/>
      <c r="E721" s="268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69"/>
      <c r="Q721" s="269"/>
      <c r="R721" s="269"/>
    </row>
    <row r="722" ht="14.25" customHeight="1" spans="1:18">
      <c r="A722" s="21"/>
      <c r="B722" s="21"/>
      <c r="C722" s="21"/>
      <c r="D722" s="21"/>
      <c r="E722" s="268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69"/>
      <c r="Q722" s="269"/>
      <c r="R722" s="269"/>
    </row>
    <row r="723" ht="14.25" customHeight="1" spans="1:18">
      <c r="A723" s="21"/>
      <c r="B723" s="21"/>
      <c r="C723" s="21"/>
      <c r="D723" s="21"/>
      <c r="E723" s="268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69"/>
      <c r="Q723" s="269"/>
      <c r="R723" s="269"/>
    </row>
    <row r="724" ht="14.25" customHeight="1" spans="1:18">
      <c r="A724" s="21"/>
      <c r="B724" s="21"/>
      <c r="C724" s="21"/>
      <c r="D724" s="21"/>
      <c r="E724" s="268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69"/>
      <c r="Q724" s="269"/>
      <c r="R724" s="269"/>
    </row>
    <row r="725" ht="14.25" customHeight="1" spans="1:18">
      <c r="A725" s="21"/>
      <c r="B725" s="21"/>
      <c r="C725" s="21"/>
      <c r="D725" s="21"/>
      <c r="E725" s="268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69"/>
      <c r="Q725" s="269"/>
      <c r="R725" s="269"/>
    </row>
    <row r="726" ht="14.25" customHeight="1" spans="1:18">
      <c r="A726" s="21"/>
      <c r="B726" s="21"/>
      <c r="C726" s="21"/>
      <c r="D726" s="21"/>
      <c r="E726" s="268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69"/>
      <c r="Q726" s="269"/>
      <c r="R726" s="269"/>
    </row>
    <row r="727" ht="14.25" customHeight="1" spans="1:18">
      <c r="A727" s="21"/>
      <c r="B727" s="21"/>
      <c r="C727" s="21"/>
      <c r="D727" s="21"/>
      <c r="E727" s="268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69"/>
      <c r="Q727" s="269"/>
      <c r="R727" s="269"/>
    </row>
    <row r="728" ht="14.25" customHeight="1" spans="1:18">
      <c r="A728" s="21"/>
      <c r="B728" s="21"/>
      <c r="C728" s="21"/>
      <c r="D728" s="21"/>
      <c r="E728" s="268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69"/>
      <c r="Q728" s="269"/>
      <c r="R728" s="269"/>
    </row>
    <row r="729" ht="14.25" customHeight="1" spans="1:18">
      <c r="A729" s="21"/>
      <c r="B729" s="21"/>
      <c r="C729" s="21"/>
      <c r="D729" s="21"/>
      <c r="E729" s="268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69"/>
      <c r="Q729" s="269"/>
      <c r="R729" s="269"/>
    </row>
    <row r="730" ht="14.25" customHeight="1" spans="1:18">
      <c r="A730" s="21"/>
      <c r="B730" s="21"/>
      <c r="C730" s="21"/>
      <c r="D730" s="21"/>
      <c r="E730" s="268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69"/>
      <c r="Q730" s="269"/>
      <c r="R730" s="269"/>
    </row>
    <row r="731" ht="14.25" customHeight="1" spans="1:18">
      <c r="A731" s="21"/>
      <c r="B731" s="21"/>
      <c r="C731" s="21"/>
      <c r="D731" s="21"/>
      <c r="E731" s="268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69"/>
      <c r="Q731" s="269"/>
      <c r="R731" s="269"/>
    </row>
    <row r="732" ht="14.25" customHeight="1" spans="1:18">
      <c r="A732" s="21"/>
      <c r="B732" s="21"/>
      <c r="C732" s="21"/>
      <c r="D732" s="21"/>
      <c r="E732" s="268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69"/>
      <c r="Q732" s="269"/>
      <c r="R732" s="269"/>
    </row>
    <row r="733" ht="14.25" customHeight="1" spans="1:18">
      <c r="A733" s="21"/>
      <c r="B733" s="21"/>
      <c r="C733" s="21"/>
      <c r="D733" s="21"/>
      <c r="E733" s="268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69"/>
      <c r="Q733" s="269"/>
      <c r="R733" s="269"/>
    </row>
    <row r="734" ht="14.25" customHeight="1" spans="1:18">
      <c r="A734" s="21"/>
      <c r="B734" s="21"/>
      <c r="C734" s="21"/>
      <c r="D734" s="21"/>
      <c r="E734" s="268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69"/>
      <c r="Q734" s="269"/>
      <c r="R734" s="269"/>
    </row>
    <row r="735" ht="14.25" customHeight="1" spans="1:18">
      <c r="A735" s="21"/>
      <c r="B735" s="21"/>
      <c r="C735" s="21"/>
      <c r="D735" s="21"/>
      <c r="E735" s="268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69"/>
      <c r="Q735" s="269"/>
      <c r="R735" s="269"/>
    </row>
    <row r="736" ht="14.25" customHeight="1" spans="1:18">
      <c r="A736" s="21"/>
      <c r="B736" s="21"/>
      <c r="C736" s="21"/>
      <c r="D736" s="21"/>
      <c r="E736" s="268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69"/>
      <c r="Q736" s="269"/>
      <c r="R736" s="269"/>
    </row>
    <row r="737" ht="14.25" customHeight="1" spans="1:18">
      <c r="A737" s="21"/>
      <c r="B737" s="21"/>
      <c r="C737" s="21"/>
      <c r="D737" s="21"/>
      <c r="E737" s="268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69"/>
      <c r="Q737" s="269"/>
      <c r="R737" s="269"/>
    </row>
    <row r="738" ht="14.25" customHeight="1" spans="1:18">
      <c r="A738" s="21"/>
      <c r="B738" s="21"/>
      <c r="C738" s="21"/>
      <c r="D738" s="21"/>
      <c r="E738" s="268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69"/>
      <c r="Q738" s="269"/>
      <c r="R738" s="269"/>
    </row>
    <row r="739" ht="14.25" customHeight="1" spans="1:18">
      <c r="A739" s="21"/>
      <c r="B739" s="21"/>
      <c r="C739" s="21"/>
      <c r="D739" s="21"/>
      <c r="E739" s="268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69"/>
      <c r="Q739" s="269"/>
      <c r="R739" s="269"/>
    </row>
    <row r="740" ht="14.25" customHeight="1" spans="1:18">
      <c r="A740" s="21"/>
      <c r="B740" s="21"/>
      <c r="C740" s="21"/>
      <c r="D740" s="21"/>
      <c r="E740" s="268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69"/>
      <c r="Q740" s="269"/>
      <c r="R740" s="269"/>
    </row>
    <row r="741" ht="14.25" customHeight="1" spans="1:18">
      <c r="A741" s="21"/>
      <c r="B741" s="21"/>
      <c r="C741" s="21"/>
      <c r="D741" s="21"/>
      <c r="E741" s="268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69"/>
      <c r="Q741" s="269"/>
      <c r="R741" s="269"/>
    </row>
    <row r="742" ht="14.25" customHeight="1" spans="1:18">
      <c r="A742" s="21"/>
      <c r="B742" s="21"/>
      <c r="C742" s="21"/>
      <c r="D742" s="21"/>
      <c r="E742" s="268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69"/>
      <c r="Q742" s="269"/>
      <c r="R742" s="269"/>
    </row>
    <row r="743" ht="14.25" customHeight="1" spans="1:18">
      <c r="A743" s="21"/>
      <c r="B743" s="21"/>
      <c r="C743" s="21"/>
      <c r="D743" s="21"/>
      <c r="E743" s="268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69"/>
      <c r="Q743" s="269"/>
      <c r="R743" s="269"/>
    </row>
    <row r="744" ht="14.25" customHeight="1" spans="1:18">
      <c r="A744" s="21"/>
      <c r="B744" s="21"/>
      <c r="C744" s="21"/>
      <c r="D744" s="21"/>
      <c r="E744" s="268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69"/>
      <c r="Q744" s="269"/>
      <c r="R744" s="269"/>
    </row>
    <row r="745" ht="14.25" customHeight="1" spans="1:18">
      <c r="A745" s="21"/>
      <c r="B745" s="21"/>
      <c r="C745" s="21"/>
      <c r="D745" s="21"/>
      <c r="E745" s="268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69"/>
      <c r="Q745" s="269"/>
      <c r="R745" s="269"/>
    </row>
    <row r="746" ht="14.25" customHeight="1" spans="1:18">
      <c r="A746" s="21"/>
      <c r="B746" s="21"/>
      <c r="C746" s="21"/>
      <c r="D746" s="21"/>
      <c r="E746" s="268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69"/>
      <c r="Q746" s="269"/>
      <c r="R746" s="269"/>
    </row>
    <row r="747" ht="14.25" customHeight="1" spans="1:18">
      <c r="A747" s="21"/>
      <c r="B747" s="21"/>
      <c r="C747" s="21"/>
      <c r="D747" s="21"/>
      <c r="E747" s="268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69"/>
      <c r="Q747" s="269"/>
      <c r="R747" s="269"/>
    </row>
    <row r="748" ht="14.25" customHeight="1" spans="1:18">
      <c r="A748" s="21"/>
      <c r="B748" s="21"/>
      <c r="C748" s="21"/>
      <c r="D748" s="21"/>
      <c r="E748" s="268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69"/>
      <c r="Q748" s="269"/>
      <c r="R748" s="269"/>
    </row>
    <row r="749" ht="14.25" customHeight="1" spans="1:18">
      <c r="A749" s="21"/>
      <c r="B749" s="21"/>
      <c r="C749" s="21"/>
      <c r="D749" s="21"/>
      <c r="E749" s="268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69"/>
      <c r="Q749" s="269"/>
      <c r="R749" s="269"/>
    </row>
    <row r="750" ht="14.25" customHeight="1" spans="1:18">
      <c r="A750" s="21"/>
      <c r="B750" s="21"/>
      <c r="C750" s="21"/>
      <c r="D750" s="21"/>
      <c r="E750" s="268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69"/>
      <c r="Q750" s="269"/>
      <c r="R750" s="269"/>
    </row>
    <row r="751" ht="14.25" customHeight="1" spans="1:18">
      <c r="A751" s="21"/>
      <c r="B751" s="21"/>
      <c r="C751" s="21"/>
      <c r="D751" s="21"/>
      <c r="E751" s="268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69"/>
      <c r="Q751" s="269"/>
      <c r="R751" s="269"/>
    </row>
    <row r="752" ht="14.25" customHeight="1" spans="1:18">
      <c r="A752" s="21"/>
      <c r="B752" s="21"/>
      <c r="C752" s="21"/>
      <c r="D752" s="21"/>
      <c r="E752" s="268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69"/>
      <c r="Q752" s="269"/>
      <c r="R752" s="269"/>
    </row>
    <row r="753" ht="14.25" customHeight="1" spans="1:18">
      <c r="A753" s="21"/>
      <c r="B753" s="21"/>
      <c r="C753" s="21"/>
      <c r="D753" s="21"/>
      <c r="E753" s="268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69"/>
      <c r="Q753" s="269"/>
      <c r="R753" s="269"/>
    </row>
    <row r="754" ht="14.25" customHeight="1" spans="1:18">
      <c r="A754" s="21"/>
      <c r="B754" s="21"/>
      <c r="C754" s="21"/>
      <c r="D754" s="21"/>
      <c r="E754" s="268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69"/>
      <c r="Q754" s="269"/>
      <c r="R754" s="269"/>
    </row>
    <row r="755" ht="14.25" customHeight="1" spans="1:18">
      <c r="A755" s="21"/>
      <c r="B755" s="21"/>
      <c r="C755" s="21"/>
      <c r="D755" s="21"/>
      <c r="E755" s="268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69"/>
      <c r="Q755" s="269"/>
      <c r="R755" s="269"/>
    </row>
    <row r="756" ht="14.25" customHeight="1" spans="1:18">
      <c r="A756" s="21"/>
      <c r="B756" s="21"/>
      <c r="C756" s="21"/>
      <c r="D756" s="21"/>
      <c r="E756" s="268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69"/>
      <c r="Q756" s="269"/>
      <c r="R756" s="269"/>
    </row>
    <row r="757" ht="14.25" customHeight="1" spans="1:18">
      <c r="A757" s="21"/>
      <c r="B757" s="21"/>
      <c r="C757" s="21"/>
      <c r="D757" s="21"/>
      <c r="E757" s="268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69"/>
      <c r="Q757" s="269"/>
      <c r="R757" s="269"/>
    </row>
    <row r="758" ht="14.25" customHeight="1" spans="1:18">
      <c r="A758" s="21"/>
      <c r="B758" s="21"/>
      <c r="C758" s="21"/>
      <c r="D758" s="21"/>
      <c r="E758" s="268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69"/>
      <c r="Q758" s="269"/>
      <c r="R758" s="269"/>
    </row>
    <row r="759" ht="14.25" customHeight="1" spans="1:18">
      <c r="A759" s="21"/>
      <c r="B759" s="21"/>
      <c r="C759" s="21"/>
      <c r="D759" s="21"/>
      <c r="E759" s="268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69"/>
      <c r="Q759" s="269"/>
      <c r="R759" s="269"/>
    </row>
    <row r="760" ht="14.25" customHeight="1" spans="1:18">
      <c r="A760" s="21"/>
      <c r="B760" s="21"/>
      <c r="C760" s="21"/>
      <c r="D760" s="21"/>
      <c r="E760" s="268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69"/>
      <c r="Q760" s="269"/>
      <c r="R760" s="269"/>
    </row>
    <row r="761" ht="14.25" customHeight="1" spans="1:18">
      <c r="A761" s="21"/>
      <c r="B761" s="21"/>
      <c r="C761" s="21"/>
      <c r="D761" s="21"/>
      <c r="E761" s="268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69"/>
      <c r="Q761" s="269"/>
      <c r="R761" s="269"/>
    </row>
    <row r="762" ht="14.25" customHeight="1" spans="1:18">
      <c r="A762" s="21"/>
      <c r="B762" s="21"/>
      <c r="C762" s="21"/>
      <c r="D762" s="21"/>
      <c r="E762" s="268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69"/>
      <c r="Q762" s="269"/>
      <c r="R762" s="269"/>
    </row>
    <row r="763" ht="14.25" customHeight="1" spans="1:18">
      <c r="A763" s="21"/>
      <c r="B763" s="21"/>
      <c r="C763" s="21"/>
      <c r="D763" s="21"/>
      <c r="E763" s="268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69"/>
      <c r="Q763" s="269"/>
      <c r="R763" s="269"/>
    </row>
    <row r="764" ht="14.25" customHeight="1" spans="1:18">
      <c r="A764" s="21"/>
      <c r="B764" s="21"/>
      <c r="C764" s="21"/>
      <c r="D764" s="21"/>
      <c r="E764" s="268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69"/>
      <c r="Q764" s="269"/>
      <c r="R764" s="269"/>
    </row>
    <row r="765" ht="14.25" customHeight="1" spans="1:18">
      <c r="A765" s="21"/>
      <c r="B765" s="21"/>
      <c r="C765" s="21"/>
      <c r="D765" s="21"/>
      <c r="E765" s="268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69"/>
      <c r="Q765" s="269"/>
      <c r="R765" s="269"/>
    </row>
    <row r="766" ht="14.25" customHeight="1" spans="1:18">
      <c r="A766" s="21"/>
      <c r="B766" s="21"/>
      <c r="C766" s="21"/>
      <c r="D766" s="21"/>
      <c r="E766" s="268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69"/>
      <c r="Q766" s="269"/>
      <c r="R766" s="269"/>
    </row>
    <row r="767" ht="14.25" customHeight="1" spans="1:18">
      <c r="A767" s="21"/>
      <c r="B767" s="21"/>
      <c r="C767" s="21"/>
      <c r="D767" s="21"/>
      <c r="E767" s="268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69"/>
      <c r="Q767" s="269"/>
      <c r="R767" s="269"/>
    </row>
    <row r="768" ht="14.25" customHeight="1" spans="1:18">
      <c r="A768" s="21"/>
      <c r="B768" s="21"/>
      <c r="C768" s="21"/>
      <c r="D768" s="21"/>
      <c r="E768" s="268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69"/>
      <c r="Q768" s="269"/>
      <c r="R768" s="269"/>
    </row>
    <row r="769" ht="14.25" customHeight="1" spans="1:18">
      <c r="A769" s="21"/>
      <c r="B769" s="21"/>
      <c r="C769" s="21"/>
      <c r="D769" s="21"/>
      <c r="E769" s="268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69"/>
      <c r="Q769" s="269"/>
      <c r="R769" s="269"/>
    </row>
    <row r="770" ht="14.25" customHeight="1" spans="1:18">
      <c r="A770" s="21"/>
      <c r="B770" s="21"/>
      <c r="C770" s="21"/>
      <c r="D770" s="21"/>
      <c r="E770" s="268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69"/>
      <c r="Q770" s="269"/>
      <c r="R770" s="269"/>
    </row>
    <row r="771" ht="14.25" customHeight="1" spans="1:18">
      <c r="A771" s="21"/>
      <c r="B771" s="21"/>
      <c r="C771" s="21"/>
      <c r="D771" s="21"/>
      <c r="E771" s="268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69"/>
      <c r="Q771" s="269"/>
      <c r="R771" s="269"/>
    </row>
    <row r="772" ht="14.25" customHeight="1" spans="1:18">
      <c r="A772" s="21"/>
      <c r="B772" s="21"/>
      <c r="C772" s="21"/>
      <c r="D772" s="21"/>
      <c r="E772" s="268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69"/>
      <c r="Q772" s="269"/>
      <c r="R772" s="269"/>
    </row>
    <row r="773" ht="14.25" customHeight="1" spans="1:18">
      <c r="A773" s="21"/>
      <c r="B773" s="21"/>
      <c r="C773" s="21"/>
      <c r="D773" s="21"/>
      <c r="E773" s="268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69"/>
      <c r="Q773" s="269"/>
      <c r="R773" s="269"/>
    </row>
    <row r="774" ht="14.25" customHeight="1" spans="1:18">
      <c r="A774" s="21"/>
      <c r="B774" s="21"/>
      <c r="C774" s="21"/>
      <c r="D774" s="21"/>
      <c r="E774" s="268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69"/>
      <c r="Q774" s="269"/>
      <c r="R774" s="269"/>
    </row>
    <row r="775" ht="14.25" customHeight="1" spans="1:18">
      <c r="A775" s="21"/>
      <c r="B775" s="21"/>
      <c r="C775" s="21"/>
      <c r="D775" s="21"/>
      <c r="E775" s="268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69"/>
      <c r="Q775" s="269"/>
      <c r="R775" s="269"/>
    </row>
    <row r="776" ht="14.25" customHeight="1" spans="1:18">
      <c r="A776" s="21"/>
      <c r="B776" s="21"/>
      <c r="C776" s="21"/>
      <c r="D776" s="21"/>
      <c r="E776" s="268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69"/>
      <c r="Q776" s="269"/>
      <c r="R776" s="269"/>
    </row>
    <row r="777" ht="14.25" customHeight="1" spans="1:18">
      <c r="A777" s="21"/>
      <c r="B777" s="21"/>
      <c r="C777" s="21"/>
      <c r="D777" s="21"/>
      <c r="E777" s="268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69"/>
      <c r="Q777" s="269"/>
      <c r="R777" s="269"/>
    </row>
    <row r="778" ht="14.25" customHeight="1" spans="1:18">
      <c r="A778" s="21"/>
      <c r="B778" s="21"/>
      <c r="C778" s="21"/>
      <c r="D778" s="21"/>
      <c r="E778" s="268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69"/>
      <c r="Q778" s="269"/>
      <c r="R778" s="269"/>
    </row>
    <row r="779" ht="14.25" customHeight="1" spans="1:18">
      <c r="A779" s="21"/>
      <c r="B779" s="21"/>
      <c r="C779" s="21"/>
      <c r="D779" s="21"/>
      <c r="E779" s="268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69"/>
      <c r="Q779" s="269"/>
      <c r="R779" s="269"/>
    </row>
    <row r="780" ht="14.25" customHeight="1" spans="1:18">
      <c r="A780" s="21"/>
      <c r="B780" s="21"/>
      <c r="C780" s="21"/>
      <c r="D780" s="21"/>
      <c r="E780" s="268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69"/>
      <c r="Q780" s="269"/>
      <c r="R780" s="269"/>
    </row>
    <row r="781" ht="14.25" customHeight="1" spans="1:18">
      <c r="A781" s="21"/>
      <c r="B781" s="21"/>
      <c r="C781" s="21"/>
      <c r="D781" s="21"/>
      <c r="E781" s="268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69"/>
      <c r="Q781" s="269"/>
      <c r="R781" s="269"/>
    </row>
    <row r="782" ht="14.25" customHeight="1" spans="1:18">
      <c r="A782" s="21"/>
      <c r="B782" s="21"/>
      <c r="C782" s="21"/>
      <c r="D782" s="21"/>
      <c r="E782" s="268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69"/>
      <c r="Q782" s="269"/>
      <c r="R782" s="269"/>
    </row>
    <row r="783" ht="14.25" customHeight="1" spans="1:18">
      <c r="A783" s="21"/>
      <c r="B783" s="21"/>
      <c r="C783" s="21"/>
      <c r="D783" s="21"/>
      <c r="E783" s="268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69"/>
      <c r="Q783" s="269"/>
      <c r="R783" s="269"/>
    </row>
    <row r="784" ht="14.25" customHeight="1" spans="1:18">
      <c r="A784" s="21"/>
      <c r="B784" s="21"/>
      <c r="C784" s="21"/>
      <c r="D784" s="21"/>
      <c r="E784" s="268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69"/>
      <c r="Q784" s="269"/>
      <c r="R784" s="269"/>
    </row>
    <row r="785" ht="14.25" customHeight="1" spans="1:18">
      <c r="A785" s="21"/>
      <c r="B785" s="21"/>
      <c r="C785" s="21"/>
      <c r="D785" s="21"/>
      <c r="E785" s="268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69"/>
      <c r="Q785" s="269"/>
      <c r="R785" s="269"/>
    </row>
    <row r="786" ht="14.25" customHeight="1" spans="1:18">
      <c r="A786" s="21"/>
      <c r="B786" s="21"/>
      <c r="C786" s="21"/>
      <c r="D786" s="21"/>
      <c r="E786" s="268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69"/>
      <c r="Q786" s="269"/>
      <c r="R786" s="269"/>
    </row>
    <row r="787" ht="14.25" customHeight="1" spans="1:18">
      <c r="A787" s="21"/>
      <c r="B787" s="21"/>
      <c r="C787" s="21"/>
      <c r="D787" s="21"/>
      <c r="E787" s="268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69"/>
      <c r="Q787" s="269"/>
      <c r="R787" s="269"/>
    </row>
    <row r="788" ht="14.25" customHeight="1" spans="1:18">
      <c r="A788" s="21"/>
      <c r="B788" s="21"/>
      <c r="C788" s="21"/>
      <c r="D788" s="21"/>
      <c r="E788" s="268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69"/>
      <c r="Q788" s="269"/>
      <c r="R788" s="269"/>
    </row>
    <row r="789" ht="14.25" customHeight="1" spans="1:18">
      <c r="A789" s="21"/>
      <c r="B789" s="21"/>
      <c r="C789" s="21"/>
      <c r="D789" s="21"/>
      <c r="E789" s="268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69"/>
      <c r="Q789" s="269"/>
      <c r="R789" s="269"/>
    </row>
    <row r="790" ht="14.25" customHeight="1" spans="1:18">
      <c r="A790" s="21"/>
      <c r="B790" s="21"/>
      <c r="C790" s="21"/>
      <c r="D790" s="21"/>
      <c r="E790" s="268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69"/>
      <c r="Q790" s="269"/>
      <c r="R790" s="269"/>
    </row>
    <row r="791" ht="14.25" customHeight="1" spans="1:18">
      <c r="A791" s="21"/>
      <c r="B791" s="21"/>
      <c r="C791" s="21"/>
      <c r="D791" s="21"/>
      <c r="E791" s="268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69"/>
      <c r="Q791" s="269"/>
      <c r="R791" s="269"/>
    </row>
    <row r="792" ht="14.25" customHeight="1" spans="1:18">
      <c r="A792" s="21"/>
      <c r="B792" s="21"/>
      <c r="C792" s="21"/>
      <c r="D792" s="21"/>
      <c r="E792" s="268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69"/>
      <c r="Q792" s="269"/>
      <c r="R792" s="269"/>
    </row>
    <row r="793" ht="14.25" customHeight="1" spans="1:18">
      <c r="A793" s="21"/>
      <c r="B793" s="21"/>
      <c r="C793" s="21"/>
      <c r="D793" s="21"/>
      <c r="E793" s="268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69"/>
      <c r="Q793" s="269"/>
      <c r="R793" s="269"/>
    </row>
    <row r="794" ht="14.25" customHeight="1" spans="1:18">
      <c r="A794" s="21"/>
      <c r="B794" s="21"/>
      <c r="C794" s="21"/>
      <c r="D794" s="21"/>
      <c r="E794" s="268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69"/>
      <c r="Q794" s="269"/>
      <c r="R794" s="269"/>
    </row>
    <row r="795" ht="14.25" customHeight="1" spans="1:18">
      <c r="A795" s="21"/>
      <c r="B795" s="21"/>
      <c r="C795" s="21"/>
      <c r="D795" s="21"/>
      <c r="E795" s="268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69"/>
      <c r="Q795" s="269"/>
      <c r="R795" s="269"/>
    </row>
    <row r="796" ht="14.25" customHeight="1" spans="1:18">
      <c r="A796" s="21"/>
      <c r="B796" s="21"/>
      <c r="C796" s="21"/>
      <c r="D796" s="21"/>
      <c r="E796" s="268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69"/>
      <c r="Q796" s="269"/>
      <c r="R796" s="269"/>
    </row>
    <row r="797" ht="14.25" customHeight="1" spans="1:18">
      <c r="A797" s="21"/>
      <c r="B797" s="21"/>
      <c r="C797" s="21"/>
      <c r="D797" s="21"/>
      <c r="E797" s="268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69"/>
      <c r="Q797" s="269"/>
      <c r="R797" s="269"/>
    </row>
    <row r="798" ht="14.25" customHeight="1" spans="1:18">
      <c r="A798" s="21"/>
      <c r="B798" s="21"/>
      <c r="C798" s="21"/>
      <c r="D798" s="21"/>
      <c r="E798" s="268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69"/>
      <c r="Q798" s="269"/>
      <c r="R798" s="269"/>
    </row>
    <row r="799" ht="14.25" customHeight="1" spans="1:18">
      <c r="A799" s="21"/>
      <c r="B799" s="21"/>
      <c r="C799" s="21"/>
      <c r="D799" s="21"/>
      <c r="E799" s="268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69"/>
      <c r="Q799" s="269"/>
      <c r="R799" s="269"/>
    </row>
    <row r="800" ht="14.25" customHeight="1" spans="1:18">
      <c r="A800" s="21"/>
      <c r="B800" s="21"/>
      <c r="C800" s="21"/>
      <c r="D800" s="21"/>
      <c r="E800" s="268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69"/>
      <c r="Q800" s="269"/>
      <c r="R800" s="269"/>
    </row>
    <row r="801" ht="14.25" customHeight="1" spans="1:18">
      <c r="A801" s="21"/>
      <c r="B801" s="21"/>
      <c r="C801" s="21"/>
      <c r="D801" s="21"/>
      <c r="E801" s="268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69"/>
      <c r="Q801" s="269"/>
      <c r="R801" s="269"/>
    </row>
    <row r="802" ht="14.25" customHeight="1" spans="1:18">
      <c r="A802" s="21"/>
      <c r="B802" s="21"/>
      <c r="C802" s="21"/>
      <c r="D802" s="21"/>
      <c r="E802" s="268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69"/>
      <c r="Q802" s="269"/>
      <c r="R802" s="269"/>
    </row>
    <row r="803" ht="14.25" customHeight="1" spans="1:18">
      <c r="A803" s="21"/>
      <c r="B803" s="21"/>
      <c r="C803" s="21"/>
      <c r="D803" s="21"/>
      <c r="E803" s="268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69"/>
      <c r="Q803" s="269"/>
      <c r="R803" s="269"/>
    </row>
    <row r="804" ht="14.25" customHeight="1" spans="1:18">
      <c r="A804" s="21"/>
      <c r="B804" s="21"/>
      <c r="C804" s="21"/>
      <c r="D804" s="21"/>
      <c r="E804" s="268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69"/>
      <c r="Q804" s="269"/>
      <c r="R804" s="269"/>
    </row>
    <row r="805" ht="14.25" customHeight="1" spans="1:18">
      <c r="A805" s="21"/>
      <c r="B805" s="21"/>
      <c r="C805" s="21"/>
      <c r="D805" s="21"/>
      <c r="E805" s="268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69"/>
      <c r="Q805" s="269"/>
      <c r="R805" s="269"/>
    </row>
    <row r="806" ht="14.25" customHeight="1" spans="1:18">
      <c r="A806" s="21"/>
      <c r="B806" s="21"/>
      <c r="C806" s="21"/>
      <c r="D806" s="21"/>
      <c r="E806" s="268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69"/>
      <c r="Q806" s="269"/>
      <c r="R806" s="269"/>
    </row>
    <row r="807" ht="14.25" customHeight="1" spans="1:18">
      <c r="A807" s="21"/>
      <c r="B807" s="21"/>
      <c r="C807" s="21"/>
      <c r="D807" s="21"/>
      <c r="E807" s="268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69"/>
      <c r="Q807" s="269"/>
      <c r="R807" s="269"/>
    </row>
    <row r="808" ht="14.25" customHeight="1" spans="1:18">
      <c r="A808" s="21"/>
      <c r="B808" s="21"/>
      <c r="C808" s="21"/>
      <c r="D808" s="21"/>
      <c r="E808" s="268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69"/>
      <c r="Q808" s="269"/>
      <c r="R808" s="269"/>
    </row>
    <row r="809" ht="14.25" customHeight="1" spans="1:18">
      <c r="A809" s="21"/>
      <c r="B809" s="21"/>
      <c r="C809" s="21"/>
      <c r="D809" s="21"/>
      <c r="E809" s="268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69"/>
      <c r="Q809" s="269"/>
      <c r="R809" s="269"/>
    </row>
    <row r="810" ht="14.25" customHeight="1" spans="1:18">
      <c r="A810" s="21"/>
      <c r="B810" s="21"/>
      <c r="C810" s="21"/>
      <c r="D810" s="21"/>
      <c r="E810" s="268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69"/>
      <c r="Q810" s="269"/>
      <c r="R810" s="269"/>
    </row>
    <row r="811" ht="14.25" customHeight="1" spans="1:18">
      <c r="A811" s="21"/>
      <c r="B811" s="21"/>
      <c r="C811" s="21"/>
      <c r="D811" s="21"/>
      <c r="E811" s="268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69"/>
      <c r="Q811" s="269"/>
      <c r="R811" s="269"/>
    </row>
    <row r="812" ht="14.25" customHeight="1" spans="1:18">
      <c r="A812" s="21"/>
      <c r="B812" s="21"/>
      <c r="C812" s="21"/>
      <c r="D812" s="21"/>
      <c r="E812" s="268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69"/>
      <c r="Q812" s="269"/>
      <c r="R812" s="269"/>
    </row>
    <row r="813" ht="14.25" customHeight="1" spans="1:18">
      <c r="A813" s="21"/>
      <c r="B813" s="21"/>
      <c r="C813" s="21"/>
      <c r="D813" s="21"/>
      <c r="E813" s="268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69"/>
      <c r="Q813" s="269"/>
      <c r="R813" s="269"/>
    </row>
    <row r="814" ht="14.25" customHeight="1" spans="1:18">
      <c r="A814" s="21"/>
      <c r="B814" s="21"/>
      <c r="C814" s="21"/>
      <c r="D814" s="21"/>
      <c r="E814" s="268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69"/>
      <c r="Q814" s="269"/>
      <c r="R814" s="269"/>
    </row>
    <row r="815" ht="14.25" customHeight="1" spans="1:18">
      <c r="A815" s="21"/>
      <c r="B815" s="21"/>
      <c r="C815" s="21"/>
      <c r="D815" s="21"/>
      <c r="E815" s="268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69"/>
      <c r="Q815" s="269"/>
      <c r="R815" s="269"/>
    </row>
    <row r="816" ht="14.25" customHeight="1" spans="1:18">
      <c r="A816" s="21"/>
      <c r="B816" s="21"/>
      <c r="C816" s="21"/>
      <c r="D816" s="21"/>
      <c r="E816" s="268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69"/>
      <c r="Q816" s="269"/>
      <c r="R816" s="269"/>
    </row>
    <row r="817" ht="14.25" customHeight="1" spans="1:18">
      <c r="A817" s="21"/>
      <c r="B817" s="21"/>
      <c r="C817" s="21"/>
      <c r="D817" s="21"/>
      <c r="E817" s="268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69"/>
      <c r="Q817" s="269"/>
      <c r="R817" s="269"/>
    </row>
    <row r="818" ht="14.25" customHeight="1" spans="1:18">
      <c r="A818" s="21"/>
      <c r="B818" s="21"/>
      <c r="C818" s="21"/>
      <c r="D818" s="21"/>
      <c r="E818" s="268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69"/>
      <c r="Q818" s="269"/>
      <c r="R818" s="269"/>
    </row>
    <row r="819" ht="14.25" customHeight="1" spans="1:18">
      <c r="A819" s="21"/>
      <c r="B819" s="21"/>
      <c r="C819" s="21"/>
      <c r="D819" s="21"/>
      <c r="E819" s="268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69"/>
      <c r="Q819" s="269"/>
      <c r="R819" s="269"/>
    </row>
    <row r="820" ht="14.25" customHeight="1" spans="1:18">
      <c r="A820" s="21"/>
      <c r="B820" s="21"/>
      <c r="C820" s="21"/>
      <c r="D820" s="21"/>
      <c r="E820" s="268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69"/>
      <c r="Q820" s="269"/>
      <c r="R820" s="269"/>
    </row>
    <row r="821" ht="14.25" customHeight="1" spans="1:18">
      <c r="A821" s="21"/>
      <c r="B821" s="21"/>
      <c r="C821" s="21"/>
      <c r="D821" s="21"/>
      <c r="E821" s="268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69"/>
      <c r="Q821" s="269"/>
      <c r="R821" s="269"/>
    </row>
    <row r="822" ht="14.25" customHeight="1" spans="1:18">
      <c r="A822" s="21"/>
      <c r="B822" s="21"/>
      <c r="C822" s="21"/>
      <c r="D822" s="21"/>
      <c r="E822" s="268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69"/>
      <c r="Q822" s="269"/>
      <c r="R822" s="269"/>
    </row>
    <row r="823" ht="14.25" customHeight="1" spans="1:18">
      <c r="A823" s="21"/>
      <c r="B823" s="21"/>
      <c r="C823" s="21"/>
      <c r="D823" s="21"/>
      <c r="E823" s="268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69"/>
      <c r="Q823" s="269"/>
      <c r="R823" s="269"/>
    </row>
    <row r="824" ht="14.25" customHeight="1" spans="1:18">
      <c r="A824" s="21"/>
      <c r="B824" s="21"/>
      <c r="C824" s="21"/>
      <c r="D824" s="21"/>
      <c r="E824" s="268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69"/>
      <c r="Q824" s="269"/>
      <c r="R824" s="269"/>
    </row>
    <row r="825" ht="14.25" customHeight="1" spans="1:18">
      <c r="A825" s="21"/>
      <c r="B825" s="21"/>
      <c r="C825" s="21"/>
      <c r="D825" s="21"/>
      <c r="E825" s="268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69"/>
      <c r="Q825" s="269"/>
      <c r="R825" s="269"/>
    </row>
    <row r="826" ht="14.25" customHeight="1" spans="1:18">
      <c r="A826" s="21"/>
      <c r="B826" s="21"/>
      <c r="C826" s="21"/>
      <c r="D826" s="21"/>
      <c r="E826" s="268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69"/>
      <c r="Q826" s="269"/>
      <c r="R826" s="269"/>
    </row>
    <row r="827" ht="14.25" customHeight="1" spans="1:18">
      <c r="A827" s="21"/>
      <c r="B827" s="21"/>
      <c r="C827" s="21"/>
      <c r="D827" s="21"/>
      <c r="E827" s="268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69"/>
      <c r="Q827" s="269"/>
      <c r="R827" s="269"/>
    </row>
    <row r="828" ht="14.25" customHeight="1" spans="1:18">
      <c r="A828" s="21"/>
      <c r="B828" s="21"/>
      <c r="C828" s="21"/>
      <c r="D828" s="21"/>
      <c r="E828" s="268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69"/>
      <c r="Q828" s="269"/>
      <c r="R828" s="269"/>
    </row>
    <row r="829" ht="14.25" customHeight="1" spans="1:18">
      <c r="A829" s="21"/>
      <c r="B829" s="21"/>
      <c r="C829" s="21"/>
      <c r="D829" s="21"/>
      <c r="E829" s="268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69"/>
      <c r="Q829" s="269"/>
      <c r="R829" s="269"/>
    </row>
    <row r="830" ht="14.25" customHeight="1" spans="1:18">
      <c r="A830" s="21"/>
      <c r="B830" s="21"/>
      <c r="C830" s="21"/>
      <c r="D830" s="21"/>
      <c r="E830" s="268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69"/>
      <c r="Q830" s="269"/>
      <c r="R830" s="269"/>
    </row>
    <row r="831" ht="14.25" customHeight="1" spans="1:18">
      <c r="A831" s="21"/>
      <c r="B831" s="21"/>
      <c r="C831" s="21"/>
      <c r="D831" s="21"/>
      <c r="E831" s="268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69"/>
      <c r="Q831" s="269"/>
      <c r="R831" s="269"/>
    </row>
    <row r="832" ht="14.25" customHeight="1" spans="1:18">
      <c r="A832" s="21"/>
      <c r="B832" s="21"/>
      <c r="C832" s="21"/>
      <c r="D832" s="21"/>
      <c r="E832" s="268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69"/>
      <c r="Q832" s="269"/>
      <c r="R832" s="269"/>
    </row>
    <row r="833" ht="14.25" customHeight="1" spans="1:18">
      <c r="A833" s="21"/>
      <c r="B833" s="21"/>
      <c r="C833" s="21"/>
      <c r="D833" s="21"/>
      <c r="E833" s="268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69"/>
      <c r="Q833" s="269"/>
      <c r="R833" s="269"/>
    </row>
    <row r="834" ht="14.25" customHeight="1" spans="1:18">
      <c r="A834" s="21"/>
      <c r="B834" s="21"/>
      <c r="C834" s="21"/>
      <c r="D834" s="21"/>
      <c r="E834" s="268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69"/>
      <c r="Q834" s="269"/>
      <c r="R834" s="269"/>
    </row>
    <row r="835" ht="14.25" customHeight="1" spans="1:18">
      <c r="A835" s="21"/>
      <c r="B835" s="21"/>
      <c r="C835" s="21"/>
      <c r="D835" s="21"/>
      <c r="E835" s="268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69"/>
      <c r="Q835" s="269"/>
      <c r="R835" s="269"/>
    </row>
    <row r="836" ht="14.25" customHeight="1" spans="1:18">
      <c r="A836" s="21"/>
      <c r="B836" s="21"/>
      <c r="C836" s="21"/>
      <c r="D836" s="21"/>
      <c r="E836" s="268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69"/>
      <c r="Q836" s="269"/>
      <c r="R836" s="269"/>
    </row>
    <row r="837" ht="14.25" customHeight="1" spans="1:18">
      <c r="A837" s="21"/>
      <c r="B837" s="21"/>
      <c r="C837" s="21"/>
      <c r="D837" s="21"/>
      <c r="E837" s="268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69"/>
      <c r="Q837" s="269"/>
      <c r="R837" s="269"/>
    </row>
    <row r="838" ht="14.25" customHeight="1" spans="1:18">
      <c r="A838" s="21"/>
      <c r="B838" s="21"/>
      <c r="C838" s="21"/>
      <c r="D838" s="21"/>
      <c r="E838" s="268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69"/>
      <c r="Q838" s="269"/>
      <c r="R838" s="269"/>
    </row>
    <row r="839" ht="14.25" customHeight="1" spans="1:18">
      <c r="A839" s="21"/>
      <c r="B839" s="21"/>
      <c r="C839" s="21"/>
      <c r="D839" s="21"/>
      <c r="E839" s="268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69"/>
      <c r="Q839" s="269"/>
      <c r="R839" s="269"/>
    </row>
    <row r="840" ht="14.25" customHeight="1" spans="1:18">
      <c r="A840" s="21"/>
      <c r="B840" s="21"/>
      <c r="C840" s="21"/>
      <c r="D840" s="21"/>
      <c r="E840" s="268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69"/>
      <c r="Q840" s="269"/>
      <c r="R840" s="269"/>
    </row>
    <row r="841" ht="14.25" customHeight="1" spans="1:18">
      <c r="A841" s="21"/>
      <c r="B841" s="21"/>
      <c r="C841" s="21"/>
      <c r="D841" s="21"/>
      <c r="E841" s="268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69"/>
      <c r="Q841" s="269"/>
      <c r="R841" s="269"/>
    </row>
    <row r="842" ht="14.25" customHeight="1" spans="1:18">
      <c r="A842" s="21"/>
      <c r="B842" s="21"/>
      <c r="C842" s="21"/>
      <c r="D842" s="21"/>
      <c r="E842" s="268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69"/>
      <c r="Q842" s="269"/>
      <c r="R842" s="269"/>
    </row>
    <row r="843" ht="14.25" customHeight="1" spans="1:18">
      <c r="A843" s="21"/>
      <c r="B843" s="21"/>
      <c r="C843" s="21"/>
      <c r="D843" s="21"/>
      <c r="E843" s="268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69"/>
      <c r="Q843" s="269"/>
      <c r="R843" s="269"/>
    </row>
    <row r="844" ht="14.25" customHeight="1" spans="1:18">
      <c r="A844" s="21"/>
      <c r="B844" s="21"/>
      <c r="C844" s="21"/>
      <c r="D844" s="21"/>
      <c r="E844" s="268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69"/>
      <c r="Q844" s="269"/>
      <c r="R844" s="269"/>
    </row>
    <row r="845" ht="14.25" customHeight="1" spans="1:18">
      <c r="A845" s="21"/>
      <c r="B845" s="21"/>
      <c r="C845" s="21"/>
      <c r="D845" s="21"/>
      <c r="E845" s="268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69"/>
      <c r="Q845" s="269"/>
      <c r="R845" s="269"/>
    </row>
    <row r="846" ht="14.25" customHeight="1" spans="1:18">
      <c r="A846" s="21"/>
      <c r="B846" s="21"/>
      <c r="C846" s="21"/>
      <c r="D846" s="21"/>
      <c r="E846" s="268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69"/>
      <c r="Q846" s="269"/>
      <c r="R846" s="269"/>
    </row>
    <row r="847" ht="14.25" customHeight="1" spans="1:18">
      <c r="A847" s="21"/>
      <c r="B847" s="21"/>
      <c r="C847" s="21"/>
      <c r="D847" s="21"/>
      <c r="E847" s="268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69"/>
      <c r="Q847" s="269"/>
      <c r="R847" s="269"/>
    </row>
    <row r="848" ht="14.25" customHeight="1" spans="1:18">
      <c r="A848" s="21"/>
      <c r="B848" s="21"/>
      <c r="C848" s="21"/>
      <c r="D848" s="21"/>
      <c r="E848" s="268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69"/>
      <c r="Q848" s="269"/>
      <c r="R848" s="269"/>
    </row>
    <row r="849" ht="14.25" customHeight="1" spans="1:18">
      <c r="A849" s="21"/>
      <c r="B849" s="21"/>
      <c r="C849" s="21"/>
      <c r="D849" s="21"/>
      <c r="E849" s="268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69"/>
      <c r="Q849" s="269"/>
      <c r="R849" s="269"/>
    </row>
    <row r="850" ht="14.25" customHeight="1" spans="1:18">
      <c r="A850" s="21"/>
      <c r="B850" s="21"/>
      <c r="C850" s="21"/>
      <c r="D850" s="21"/>
      <c r="E850" s="268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69"/>
      <c r="Q850" s="269"/>
      <c r="R850" s="269"/>
    </row>
    <row r="851" ht="14.25" customHeight="1" spans="1:18">
      <c r="A851" s="21"/>
      <c r="B851" s="21"/>
      <c r="C851" s="21"/>
      <c r="D851" s="21"/>
      <c r="E851" s="268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69"/>
      <c r="Q851" s="269"/>
      <c r="R851" s="269"/>
    </row>
    <row r="852" ht="14.25" customHeight="1" spans="1:18">
      <c r="A852" s="21"/>
      <c r="B852" s="21"/>
      <c r="C852" s="21"/>
      <c r="D852" s="21"/>
      <c r="E852" s="268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69"/>
      <c r="Q852" s="269"/>
      <c r="R852" s="269"/>
    </row>
    <row r="853" ht="14.25" customHeight="1" spans="1:18">
      <c r="A853" s="21"/>
      <c r="B853" s="21"/>
      <c r="C853" s="21"/>
      <c r="D853" s="21"/>
      <c r="E853" s="268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69"/>
      <c r="Q853" s="269"/>
      <c r="R853" s="269"/>
    </row>
    <row r="854" ht="14.25" customHeight="1" spans="1:18">
      <c r="A854" s="21"/>
      <c r="B854" s="21"/>
      <c r="C854" s="21"/>
      <c r="D854" s="21"/>
      <c r="E854" s="268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69"/>
      <c r="Q854" s="269"/>
      <c r="R854" s="269"/>
    </row>
    <row r="855" ht="14.25" customHeight="1" spans="1:18">
      <c r="A855" s="21"/>
      <c r="B855" s="21"/>
      <c r="C855" s="21"/>
      <c r="D855" s="21"/>
      <c r="E855" s="268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69"/>
      <c r="Q855" s="269"/>
      <c r="R855" s="269"/>
    </row>
    <row r="856" ht="14.25" customHeight="1" spans="1:18">
      <c r="A856" s="21"/>
      <c r="B856" s="21"/>
      <c r="C856" s="21"/>
      <c r="D856" s="21"/>
      <c r="E856" s="268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69"/>
      <c r="Q856" s="269"/>
      <c r="R856" s="269"/>
    </row>
    <row r="857" ht="14.25" customHeight="1" spans="1:18">
      <c r="A857" s="21"/>
      <c r="B857" s="21"/>
      <c r="C857" s="21"/>
      <c r="D857" s="21"/>
      <c r="E857" s="268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69"/>
      <c r="Q857" s="269"/>
      <c r="R857" s="269"/>
    </row>
    <row r="858" ht="14.25" customHeight="1" spans="1:18">
      <c r="A858" s="21"/>
      <c r="B858" s="21"/>
      <c r="C858" s="21"/>
      <c r="D858" s="21"/>
      <c r="E858" s="268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69"/>
      <c r="Q858" s="269"/>
      <c r="R858" s="269"/>
    </row>
    <row r="859" ht="14.25" customHeight="1" spans="1:18">
      <c r="A859" s="21"/>
      <c r="B859" s="21"/>
      <c r="C859" s="21"/>
      <c r="D859" s="21"/>
      <c r="E859" s="268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69"/>
      <c r="Q859" s="269"/>
      <c r="R859" s="269"/>
    </row>
    <row r="860" ht="14.25" customHeight="1" spans="1:18">
      <c r="A860" s="21"/>
      <c r="B860" s="21"/>
      <c r="C860" s="21"/>
      <c r="D860" s="21"/>
      <c r="E860" s="268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69"/>
      <c r="Q860" s="269"/>
      <c r="R860" s="269"/>
    </row>
    <row r="861" ht="14.25" customHeight="1" spans="1:18">
      <c r="A861" s="21"/>
      <c r="B861" s="21"/>
      <c r="C861" s="21"/>
      <c r="D861" s="21"/>
      <c r="E861" s="268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69"/>
      <c r="Q861" s="269"/>
      <c r="R861" s="269"/>
    </row>
    <row r="862" ht="14.25" customHeight="1" spans="1:18">
      <c r="A862" s="21"/>
      <c r="B862" s="21"/>
      <c r="C862" s="21"/>
      <c r="D862" s="21"/>
      <c r="E862" s="268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69"/>
      <c r="Q862" s="269"/>
      <c r="R862" s="269"/>
    </row>
    <row r="863" ht="14.25" customHeight="1" spans="1:18">
      <c r="A863" s="21"/>
      <c r="B863" s="21"/>
      <c r="C863" s="21"/>
      <c r="D863" s="21"/>
      <c r="E863" s="268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69"/>
      <c r="Q863" s="269"/>
      <c r="R863" s="269"/>
    </row>
    <row r="864" ht="14.25" customHeight="1" spans="1:18">
      <c r="A864" s="21"/>
      <c r="B864" s="21"/>
      <c r="C864" s="21"/>
      <c r="D864" s="21"/>
      <c r="E864" s="268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69"/>
      <c r="Q864" s="269"/>
      <c r="R864" s="269"/>
    </row>
    <row r="865" ht="14.25" customHeight="1" spans="1:18">
      <c r="A865" s="21"/>
      <c r="B865" s="21"/>
      <c r="C865" s="21"/>
      <c r="D865" s="21"/>
      <c r="E865" s="268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69"/>
      <c r="Q865" s="269"/>
      <c r="R865" s="269"/>
    </row>
    <row r="866" ht="14.25" customHeight="1" spans="1:18">
      <c r="A866" s="21"/>
      <c r="B866" s="21"/>
      <c r="C866" s="21"/>
      <c r="D866" s="21"/>
      <c r="E866" s="268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69"/>
      <c r="Q866" s="269"/>
      <c r="R866" s="269"/>
    </row>
    <row r="867" ht="14.25" customHeight="1" spans="1:18">
      <c r="A867" s="21"/>
      <c r="B867" s="21"/>
      <c r="C867" s="21"/>
      <c r="D867" s="21"/>
      <c r="E867" s="268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69"/>
      <c r="Q867" s="269"/>
      <c r="R867" s="269"/>
    </row>
    <row r="868" ht="14.25" customHeight="1" spans="1:18">
      <c r="A868" s="21"/>
      <c r="B868" s="21"/>
      <c r="C868" s="21"/>
      <c r="D868" s="21"/>
      <c r="E868" s="268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69"/>
      <c r="Q868" s="269"/>
      <c r="R868" s="269"/>
    </row>
    <row r="869" ht="14.25" customHeight="1" spans="1:18">
      <c r="A869" s="21"/>
      <c r="B869" s="21"/>
      <c r="C869" s="21"/>
      <c r="D869" s="21"/>
      <c r="E869" s="268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69"/>
      <c r="Q869" s="269"/>
      <c r="R869" s="269"/>
    </row>
    <row r="870" ht="14.25" customHeight="1" spans="1:18">
      <c r="A870" s="21"/>
      <c r="B870" s="21"/>
      <c r="C870" s="21"/>
      <c r="D870" s="21"/>
      <c r="E870" s="268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69"/>
      <c r="Q870" s="269"/>
      <c r="R870" s="269"/>
    </row>
    <row r="871" ht="14.25" customHeight="1" spans="1:18">
      <c r="A871" s="21"/>
      <c r="B871" s="21"/>
      <c r="C871" s="21"/>
      <c r="D871" s="21"/>
      <c r="E871" s="268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69"/>
      <c r="Q871" s="269"/>
      <c r="R871" s="269"/>
    </row>
    <row r="872" ht="14.25" customHeight="1" spans="1:18">
      <c r="A872" s="21"/>
      <c r="B872" s="21"/>
      <c r="C872" s="21"/>
      <c r="D872" s="21"/>
      <c r="E872" s="268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69"/>
      <c r="Q872" s="269"/>
      <c r="R872" s="269"/>
    </row>
    <row r="873" ht="14.25" customHeight="1" spans="1:18">
      <c r="A873" s="21"/>
      <c r="B873" s="21"/>
      <c r="C873" s="21"/>
      <c r="D873" s="21"/>
      <c r="E873" s="268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69"/>
      <c r="Q873" s="269"/>
      <c r="R873" s="269"/>
    </row>
    <row r="874" ht="14.25" customHeight="1" spans="1:18">
      <c r="A874" s="21"/>
      <c r="B874" s="21"/>
      <c r="C874" s="21"/>
      <c r="D874" s="21"/>
      <c r="E874" s="268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69"/>
      <c r="Q874" s="269"/>
      <c r="R874" s="269"/>
    </row>
    <row r="875" ht="14.25" customHeight="1" spans="1:18">
      <c r="A875" s="21"/>
      <c r="B875" s="21"/>
      <c r="C875" s="21"/>
      <c r="D875" s="21"/>
      <c r="E875" s="268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69"/>
      <c r="Q875" s="269"/>
      <c r="R875" s="269"/>
    </row>
    <row r="876" ht="14.25" customHeight="1" spans="1:18">
      <c r="A876" s="21"/>
      <c r="B876" s="21"/>
      <c r="C876" s="21"/>
      <c r="D876" s="21"/>
      <c r="E876" s="268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69"/>
      <c r="Q876" s="269"/>
      <c r="R876" s="269"/>
    </row>
    <row r="877" ht="14.25" customHeight="1" spans="1:18">
      <c r="A877" s="21"/>
      <c r="B877" s="21"/>
      <c r="C877" s="21"/>
      <c r="D877" s="21"/>
      <c r="E877" s="268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69"/>
      <c r="Q877" s="269"/>
      <c r="R877" s="269"/>
    </row>
    <row r="878" ht="14.25" customHeight="1" spans="1:18">
      <c r="A878" s="21"/>
      <c r="B878" s="21"/>
      <c r="C878" s="21"/>
      <c r="D878" s="21"/>
      <c r="E878" s="268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69"/>
      <c r="Q878" s="269"/>
      <c r="R878" s="269"/>
    </row>
    <row r="879" ht="14.25" customHeight="1" spans="1:18">
      <c r="A879" s="21"/>
      <c r="B879" s="21"/>
      <c r="C879" s="21"/>
      <c r="D879" s="21"/>
      <c r="E879" s="268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69"/>
      <c r="Q879" s="269"/>
      <c r="R879" s="269"/>
    </row>
    <row r="880" ht="14.25" customHeight="1" spans="1:18">
      <c r="A880" s="21"/>
      <c r="B880" s="21"/>
      <c r="C880" s="21"/>
      <c r="D880" s="21"/>
      <c r="E880" s="268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69"/>
      <c r="Q880" s="269"/>
      <c r="R880" s="269"/>
    </row>
    <row r="881" ht="14.25" customHeight="1" spans="1:18">
      <c r="A881" s="21"/>
      <c r="B881" s="21"/>
      <c r="C881" s="21"/>
      <c r="D881" s="21"/>
      <c r="E881" s="268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69"/>
      <c r="Q881" s="269"/>
      <c r="R881" s="269"/>
    </row>
    <row r="882" ht="14.25" customHeight="1" spans="1:18">
      <c r="A882" s="21"/>
      <c r="B882" s="21"/>
      <c r="C882" s="21"/>
      <c r="D882" s="21"/>
      <c r="E882" s="268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69"/>
      <c r="Q882" s="269"/>
      <c r="R882" s="269"/>
    </row>
    <row r="883" ht="14.25" customHeight="1" spans="1:18">
      <c r="A883" s="21"/>
      <c r="B883" s="21"/>
      <c r="C883" s="21"/>
      <c r="D883" s="21"/>
      <c r="E883" s="268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69"/>
      <c r="Q883" s="269"/>
      <c r="R883" s="269"/>
    </row>
    <row r="884" ht="14.25" customHeight="1" spans="1:18">
      <c r="A884" s="21"/>
      <c r="B884" s="21"/>
      <c r="C884" s="21"/>
      <c r="D884" s="21"/>
      <c r="E884" s="268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69"/>
      <c r="Q884" s="269"/>
      <c r="R884" s="269"/>
    </row>
    <row r="885" ht="14.25" customHeight="1" spans="1:18">
      <c r="A885" s="21"/>
      <c r="B885" s="21"/>
      <c r="C885" s="21"/>
      <c r="D885" s="21"/>
      <c r="E885" s="268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69"/>
      <c r="Q885" s="269"/>
      <c r="R885" s="269"/>
    </row>
    <row r="886" ht="14.25" customHeight="1" spans="1:18">
      <c r="A886" s="21"/>
      <c r="B886" s="21"/>
      <c r="C886" s="21"/>
      <c r="D886" s="21"/>
      <c r="E886" s="268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69"/>
      <c r="Q886" s="269"/>
      <c r="R886" s="269"/>
    </row>
    <row r="887" ht="14.25" customHeight="1" spans="1:18">
      <c r="A887" s="21"/>
      <c r="B887" s="21"/>
      <c r="C887" s="21"/>
      <c r="D887" s="21"/>
      <c r="E887" s="268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69"/>
      <c r="Q887" s="269"/>
      <c r="R887" s="269"/>
    </row>
    <row r="888" ht="14.25" customHeight="1" spans="1:18">
      <c r="A888" s="21"/>
      <c r="B888" s="21"/>
      <c r="C888" s="21"/>
      <c r="D888" s="21"/>
      <c r="E888" s="268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69"/>
      <c r="Q888" s="269"/>
      <c r="R888" s="269"/>
    </row>
    <row r="889" ht="14.25" customHeight="1" spans="1:18">
      <c r="A889" s="21"/>
      <c r="B889" s="21"/>
      <c r="C889" s="21"/>
      <c r="D889" s="21"/>
      <c r="E889" s="268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69"/>
      <c r="Q889" s="269"/>
      <c r="R889" s="269"/>
    </row>
    <row r="890" ht="14.25" customHeight="1" spans="1:18">
      <c r="A890" s="21"/>
      <c r="B890" s="21"/>
      <c r="C890" s="21"/>
      <c r="D890" s="21"/>
      <c r="E890" s="268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69"/>
      <c r="Q890" s="269"/>
      <c r="R890" s="269"/>
    </row>
    <row r="891" ht="14.25" customHeight="1" spans="1:18">
      <c r="A891" s="21"/>
      <c r="B891" s="21"/>
      <c r="C891" s="21"/>
      <c r="D891" s="21"/>
      <c r="E891" s="268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69"/>
      <c r="Q891" s="269"/>
      <c r="R891" s="269"/>
    </row>
    <row r="892" ht="14.25" customHeight="1" spans="1:18">
      <c r="A892" s="21"/>
      <c r="B892" s="21"/>
      <c r="C892" s="21"/>
      <c r="D892" s="21"/>
      <c r="E892" s="268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69"/>
      <c r="Q892" s="269"/>
      <c r="R892" s="269"/>
    </row>
    <row r="893" ht="14.25" customHeight="1" spans="1:18">
      <c r="A893" s="21"/>
      <c r="B893" s="21"/>
      <c r="C893" s="21"/>
      <c r="D893" s="21"/>
      <c r="E893" s="268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69"/>
      <c r="Q893" s="269"/>
      <c r="R893" s="269"/>
    </row>
    <row r="894" ht="14.25" customHeight="1" spans="1:18">
      <c r="A894" s="21"/>
      <c r="B894" s="21"/>
      <c r="C894" s="21"/>
      <c r="D894" s="21"/>
      <c r="E894" s="268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69"/>
      <c r="Q894" s="269"/>
      <c r="R894" s="269"/>
    </row>
    <row r="895" ht="14.25" customHeight="1" spans="1:18">
      <c r="A895" s="21"/>
      <c r="B895" s="21"/>
      <c r="C895" s="21"/>
      <c r="D895" s="21"/>
      <c r="E895" s="268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69"/>
      <c r="Q895" s="269"/>
      <c r="R895" s="269"/>
    </row>
    <row r="896" ht="14.25" customHeight="1" spans="1:18">
      <c r="A896" s="21"/>
      <c r="B896" s="21"/>
      <c r="C896" s="21"/>
      <c r="D896" s="21"/>
      <c r="E896" s="268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69"/>
      <c r="Q896" s="269"/>
      <c r="R896" s="269"/>
    </row>
    <row r="897" ht="14.25" customHeight="1" spans="1:18">
      <c r="A897" s="21"/>
      <c r="B897" s="21"/>
      <c r="C897" s="21"/>
      <c r="D897" s="21"/>
      <c r="E897" s="268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69"/>
      <c r="Q897" s="269"/>
      <c r="R897" s="269"/>
    </row>
    <row r="898" ht="14.25" customHeight="1" spans="1:18">
      <c r="A898" s="21"/>
      <c r="B898" s="21"/>
      <c r="C898" s="21"/>
      <c r="D898" s="21"/>
      <c r="E898" s="268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69"/>
      <c r="Q898" s="269"/>
      <c r="R898" s="269"/>
    </row>
    <row r="899" ht="14.25" customHeight="1" spans="1:18">
      <c r="A899" s="21"/>
      <c r="B899" s="21"/>
      <c r="C899" s="21"/>
      <c r="D899" s="21"/>
      <c r="E899" s="268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69"/>
      <c r="Q899" s="269"/>
      <c r="R899" s="269"/>
    </row>
    <row r="900" ht="14.25" customHeight="1" spans="1:18">
      <c r="A900" s="21"/>
      <c r="B900" s="21"/>
      <c r="C900" s="21"/>
      <c r="D900" s="21"/>
      <c r="E900" s="268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69"/>
      <c r="Q900" s="269"/>
      <c r="R900" s="269"/>
    </row>
    <row r="901" ht="14.25" customHeight="1" spans="1:18">
      <c r="A901" s="21"/>
      <c r="B901" s="21"/>
      <c r="C901" s="21"/>
      <c r="D901" s="21"/>
      <c r="E901" s="268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69"/>
      <c r="Q901" s="269"/>
      <c r="R901" s="269"/>
    </row>
    <row r="902" ht="14.25" customHeight="1" spans="1:18">
      <c r="A902" s="21"/>
      <c r="B902" s="21"/>
      <c r="C902" s="21"/>
      <c r="D902" s="21"/>
      <c r="E902" s="268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69"/>
      <c r="Q902" s="269"/>
      <c r="R902" s="269"/>
    </row>
    <row r="903" ht="14.25" customHeight="1" spans="1:18">
      <c r="A903" s="21"/>
      <c r="B903" s="21"/>
      <c r="C903" s="21"/>
      <c r="D903" s="21"/>
      <c r="E903" s="268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69"/>
      <c r="Q903" s="269"/>
      <c r="R903" s="269"/>
    </row>
    <row r="904" ht="14.25" customHeight="1" spans="1:18">
      <c r="A904" s="21"/>
      <c r="B904" s="21"/>
      <c r="C904" s="21"/>
      <c r="D904" s="21"/>
      <c r="E904" s="268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69"/>
      <c r="Q904" s="269"/>
      <c r="R904" s="269"/>
    </row>
    <row r="905" ht="14.25" customHeight="1" spans="1:18">
      <c r="A905" s="21"/>
      <c r="B905" s="21"/>
      <c r="C905" s="21"/>
      <c r="D905" s="21"/>
      <c r="E905" s="268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69"/>
      <c r="Q905" s="269"/>
      <c r="R905" s="269"/>
    </row>
    <row r="906" ht="14.25" customHeight="1" spans="1:18">
      <c r="A906" s="21"/>
      <c r="B906" s="21"/>
      <c r="C906" s="21"/>
      <c r="D906" s="21"/>
      <c r="E906" s="268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69"/>
      <c r="Q906" s="269"/>
      <c r="R906" s="269"/>
    </row>
    <row r="907" ht="14.25" customHeight="1" spans="1:18">
      <c r="A907" s="21"/>
      <c r="B907" s="21"/>
      <c r="C907" s="21"/>
      <c r="D907" s="21"/>
      <c r="E907" s="268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69"/>
      <c r="Q907" s="269"/>
      <c r="R907" s="269"/>
    </row>
    <row r="908" ht="14.25" customHeight="1" spans="1:18">
      <c r="A908" s="21"/>
      <c r="B908" s="21"/>
      <c r="C908" s="21"/>
      <c r="D908" s="21"/>
      <c r="E908" s="268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69"/>
      <c r="Q908" s="269"/>
      <c r="R908" s="269"/>
    </row>
    <row r="909" ht="14.25" customHeight="1" spans="1:18">
      <c r="A909" s="21"/>
      <c r="B909" s="21"/>
      <c r="C909" s="21"/>
      <c r="D909" s="21"/>
      <c r="E909" s="268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69"/>
      <c r="Q909" s="269"/>
      <c r="R909" s="269"/>
    </row>
    <row r="910" ht="14.25" customHeight="1" spans="1:18">
      <c r="A910" s="21"/>
      <c r="B910" s="21"/>
      <c r="C910" s="21"/>
      <c r="D910" s="21"/>
      <c r="E910" s="268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69"/>
      <c r="Q910" s="269"/>
      <c r="R910" s="269"/>
    </row>
    <row r="911" ht="14.25" customHeight="1" spans="1:18">
      <c r="A911" s="21"/>
      <c r="B911" s="21"/>
      <c r="C911" s="21"/>
      <c r="D911" s="21"/>
      <c r="E911" s="268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69"/>
      <c r="Q911" s="269"/>
      <c r="R911" s="269"/>
    </row>
    <row r="912" ht="14.25" customHeight="1" spans="1:18">
      <c r="A912" s="21"/>
      <c r="B912" s="21"/>
      <c r="C912" s="21"/>
      <c r="D912" s="21"/>
      <c r="E912" s="268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69"/>
      <c r="Q912" s="269"/>
      <c r="R912" s="269"/>
    </row>
    <row r="913" ht="14.25" customHeight="1" spans="1:18">
      <c r="A913" s="21"/>
      <c r="B913" s="21"/>
      <c r="C913" s="21"/>
      <c r="D913" s="21"/>
      <c r="E913" s="268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69"/>
      <c r="Q913" s="269"/>
      <c r="R913" s="269"/>
    </row>
    <row r="914" ht="14.25" customHeight="1" spans="1:18">
      <c r="A914" s="21"/>
      <c r="B914" s="21"/>
      <c r="C914" s="21"/>
      <c r="D914" s="21"/>
      <c r="E914" s="268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69"/>
      <c r="Q914" s="269"/>
      <c r="R914" s="269"/>
    </row>
    <row r="915" ht="14.25" customHeight="1" spans="1:18">
      <c r="A915" s="21"/>
      <c r="B915" s="21"/>
      <c r="C915" s="21"/>
      <c r="D915" s="21"/>
      <c r="E915" s="268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69"/>
      <c r="Q915" s="269"/>
      <c r="R915" s="269"/>
    </row>
    <row r="916" ht="14.25" customHeight="1" spans="1:18">
      <c r="A916" s="21"/>
      <c r="B916" s="21"/>
      <c r="C916" s="21"/>
      <c r="D916" s="21"/>
      <c r="E916" s="268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69"/>
      <c r="Q916" s="269"/>
      <c r="R916" s="269"/>
    </row>
    <row r="917" ht="14.25" customHeight="1" spans="1:18">
      <c r="A917" s="21"/>
      <c r="B917" s="21"/>
      <c r="C917" s="21"/>
      <c r="D917" s="21"/>
      <c r="E917" s="268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69"/>
      <c r="Q917" s="269"/>
      <c r="R917" s="269"/>
    </row>
    <row r="918" ht="14.25" customHeight="1" spans="1:18">
      <c r="A918" s="21"/>
      <c r="B918" s="21"/>
      <c r="C918" s="21"/>
      <c r="D918" s="21"/>
      <c r="E918" s="268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69"/>
      <c r="Q918" s="269"/>
      <c r="R918" s="269"/>
    </row>
    <row r="919" ht="14.25" customHeight="1" spans="1:18">
      <c r="A919" s="21"/>
      <c r="B919" s="21"/>
      <c r="C919" s="21"/>
      <c r="D919" s="21"/>
      <c r="E919" s="268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69"/>
      <c r="Q919" s="269"/>
      <c r="R919" s="269"/>
    </row>
    <row r="920" ht="14.25" customHeight="1" spans="1:18">
      <c r="A920" s="21"/>
      <c r="B920" s="21"/>
      <c r="C920" s="21"/>
      <c r="D920" s="21"/>
      <c r="E920" s="268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69"/>
      <c r="Q920" s="269"/>
      <c r="R920" s="269"/>
    </row>
    <row r="921" ht="14.25" customHeight="1" spans="1:18">
      <c r="A921" s="21"/>
      <c r="B921" s="21"/>
      <c r="C921" s="21"/>
      <c r="D921" s="21"/>
      <c r="E921" s="268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69"/>
      <c r="Q921" s="269"/>
      <c r="R921" s="269"/>
    </row>
    <row r="922" ht="14.25" customHeight="1" spans="1:18">
      <c r="A922" s="21"/>
      <c r="B922" s="21"/>
      <c r="C922" s="21"/>
      <c r="D922" s="21"/>
      <c r="E922" s="268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69"/>
      <c r="Q922" s="269"/>
      <c r="R922" s="269"/>
    </row>
    <row r="923" ht="14.25" customHeight="1" spans="1:18">
      <c r="A923" s="21"/>
      <c r="B923" s="21"/>
      <c r="C923" s="21"/>
      <c r="D923" s="21"/>
      <c r="E923" s="268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69"/>
      <c r="Q923" s="269"/>
      <c r="R923" s="269"/>
    </row>
    <row r="924" ht="14.25" customHeight="1" spans="1:18">
      <c r="A924" s="21"/>
      <c r="B924" s="21"/>
      <c r="C924" s="21"/>
      <c r="D924" s="21"/>
      <c r="E924" s="268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69"/>
      <c r="Q924" s="269"/>
      <c r="R924" s="269"/>
    </row>
    <row r="925" ht="14.25" customHeight="1" spans="1:18">
      <c r="A925" s="21"/>
      <c r="B925" s="21"/>
      <c r="C925" s="21"/>
      <c r="D925" s="21"/>
      <c r="E925" s="268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69"/>
      <c r="Q925" s="269"/>
      <c r="R925" s="269"/>
    </row>
    <row r="926" ht="14.25" customHeight="1" spans="1:18">
      <c r="A926" s="21"/>
      <c r="B926" s="21"/>
      <c r="C926" s="21"/>
      <c r="D926" s="21"/>
      <c r="E926" s="268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69"/>
      <c r="Q926" s="269"/>
      <c r="R926" s="269"/>
    </row>
    <row r="927" ht="14.25" customHeight="1" spans="1:18">
      <c r="A927" s="21"/>
      <c r="B927" s="21"/>
      <c r="C927" s="21"/>
      <c r="D927" s="21"/>
      <c r="E927" s="268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69"/>
      <c r="Q927" s="269"/>
      <c r="R927" s="269"/>
    </row>
    <row r="928" ht="14.25" customHeight="1" spans="1:18">
      <c r="A928" s="21"/>
      <c r="B928" s="21"/>
      <c r="C928" s="21"/>
      <c r="D928" s="21"/>
      <c r="E928" s="268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69"/>
      <c r="Q928" s="269"/>
      <c r="R928" s="269"/>
    </row>
    <row r="929" ht="14.25" customHeight="1" spans="1:18">
      <c r="A929" s="21"/>
      <c r="B929" s="21"/>
      <c r="C929" s="21"/>
      <c r="D929" s="21"/>
      <c r="E929" s="268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69"/>
      <c r="Q929" s="269"/>
      <c r="R929" s="269"/>
    </row>
    <row r="930" ht="14.25" customHeight="1" spans="1:18">
      <c r="A930" s="21"/>
      <c r="B930" s="21"/>
      <c r="C930" s="21"/>
      <c r="D930" s="21"/>
      <c r="E930" s="268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69"/>
      <c r="Q930" s="269"/>
      <c r="R930" s="269"/>
    </row>
    <row r="931" ht="14.25" customHeight="1" spans="1:18">
      <c r="A931" s="21"/>
      <c r="B931" s="21"/>
      <c r="C931" s="21"/>
      <c r="D931" s="21"/>
      <c r="E931" s="268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69"/>
      <c r="Q931" s="269"/>
      <c r="R931" s="269"/>
    </row>
    <row r="932" ht="14.25" customHeight="1" spans="1:18">
      <c r="A932" s="21"/>
      <c r="B932" s="21"/>
      <c r="C932" s="21"/>
      <c r="D932" s="21"/>
      <c r="E932" s="268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69"/>
      <c r="Q932" s="269"/>
      <c r="R932" s="269"/>
    </row>
    <row r="933" ht="14.25" customHeight="1" spans="1:18">
      <c r="A933" s="21"/>
      <c r="B933" s="21"/>
      <c r="C933" s="21"/>
      <c r="D933" s="21"/>
      <c r="E933" s="268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69"/>
      <c r="Q933" s="269"/>
      <c r="R933" s="269"/>
    </row>
    <row r="934" ht="14.25" customHeight="1" spans="1:18">
      <c r="A934" s="21"/>
      <c r="B934" s="21"/>
      <c r="C934" s="21"/>
      <c r="D934" s="21"/>
      <c r="E934" s="268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69"/>
      <c r="Q934" s="269"/>
      <c r="R934" s="269"/>
    </row>
    <row r="935" ht="14.25" customHeight="1" spans="1:18">
      <c r="A935" s="21"/>
      <c r="B935" s="21"/>
      <c r="C935" s="21"/>
      <c r="D935" s="21"/>
      <c r="E935" s="268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69"/>
      <c r="Q935" s="269"/>
      <c r="R935" s="269"/>
    </row>
    <row r="936" ht="14.25" customHeight="1" spans="1:18">
      <c r="A936" s="21"/>
      <c r="B936" s="21"/>
      <c r="C936" s="21"/>
      <c r="D936" s="21"/>
      <c r="E936" s="268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69"/>
      <c r="Q936" s="269"/>
      <c r="R936" s="269"/>
    </row>
    <row r="937" ht="14.25" customHeight="1" spans="1:18">
      <c r="A937" s="21"/>
      <c r="B937" s="21"/>
      <c r="C937" s="21"/>
      <c r="D937" s="21"/>
      <c r="E937" s="268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69"/>
      <c r="Q937" s="269"/>
      <c r="R937" s="269"/>
    </row>
    <row r="938" ht="14.25" customHeight="1" spans="1:18">
      <c r="A938" s="21"/>
      <c r="B938" s="21"/>
      <c r="C938" s="21"/>
      <c r="D938" s="21"/>
      <c r="E938" s="268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69"/>
      <c r="Q938" s="269"/>
      <c r="R938" s="269"/>
    </row>
    <row r="939" ht="14.25" customHeight="1" spans="1:18">
      <c r="A939" s="21"/>
      <c r="B939" s="21"/>
      <c r="C939" s="21"/>
      <c r="D939" s="21"/>
      <c r="E939" s="268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69"/>
      <c r="Q939" s="269"/>
      <c r="R939" s="269"/>
    </row>
    <row r="940" ht="14.25" customHeight="1" spans="1:18">
      <c r="A940" s="21"/>
      <c r="B940" s="21"/>
      <c r="C940" s="21"/>
      <c r="D940" s="21"/>
      <c r="E940" s="268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69"/>
      <c r="Q940" s="269"/>
      <c r="R940" s="269"/>
    </row>
    <row r="941" ht="14.25" customHeight="1" spans="1:18">
      <c r="A941" s="21"/>
      <c r="B941" s="21"/>
      <c r="C941" s="21"/>
      <c r="D941" s="21"/>
      <c r="E941" s="268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69"/>
      <c r="Q941" s="269"/>
      <c r="R941" s="269"/>
    </row>
    <row r="942" ht="14.25" customHeight="1" spans="1:18">
      <c r="A942" s="21"/>
      <c r="B942" s="21"/>
      <c r="C942" s="21"/>
      <c r="D942" s="21"/>
      <c r="E942" s="268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69"/>
      <c r="Q942" s="269"/>
      <c r="R942" s="269"/>
    </row>
    <row r="943" ht="14.25" customHeight="1" spans="1:18">
      <c r="A943" s="21"/>
      <c r="B943" s="21"/>
      <c r="C943" s="21"/>
      <c r="D943" s="21"/>
      <c r="E943" s="268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69"/>
      <c r="Q943" s="269"/>
      <c r="R943" s="269"/>
    </row>
    <row r="944" ht="14.25" customHeight="1" spans="1:18">
      <c r="A944" s="21"/>
      <c r="B944" s="21"/>
      <c r="C944" s="21"/>
      <c r="D944" s="21"/>
      <c r="E944" s="268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69"/>
      <c r="Q944" s="269"/>
      <c r="R944" s="269"/>
    </row>
    <row r="945" ht="14.25" customHeight="1" spans="1:18">
      <c r="A945" s="21"/>
      <c r="B945" s="21"/>
      <c r="C945" s="21"/>
      <c r="D945" s="21"/>
      <c r="E945" s="268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69"/>
      <c r="Q945" s="269"/>
      <c r="R945" s="269"/>
    </row>
    <row r="946" ht="14.25" customHeight="1" spans="1:18">
      <c r="A946" s="21"/>
      <c r="B946" s="21"/>
      <c r="C946" s="21"/>
      <c r="D946" s="21"/>
      <c r="E946" s="268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69"/>
      <c r="Q946" s="269"/>
      <c r="R946" s="269"/>
    </row>
    <row r="947" ht="14.25" customHeight="1" spans="1:18">
      <c r="A947" s="21"/>
      <c r="B947" s="21"/>
      <c r="C947" s="21"/>
      <c r="D947" s="21"/>
      <c r="E947" s="268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69"/>
      <c r="Q947" s="269"/>
      <c r="R947" s="269"/>
    </row>
    <row r="948" ht="14.25" customHeight="1" spans="1:18">
      <c r="A948" s="21"/>
      <c r="B948" s="21"/>
      <c r="C948" s="21"/>
      <c r="D948" s="21"/>
      <c r="E948" s="268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69"/>
      <c r="Q948" s="269"/>
      <c r="R948" s="269"/>
    </row>
    <row r="949" ht="14.25" customHeight="1" spans="1:18">
      <c r="A949" s="21"/>
      <c r="B949" s="21"/>
      <c r="C949" s="21"/>
      <c r="D949" s="21"/>
      <c r="E949" s="268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69"/>
      <c r="Q949" s="269"/>
      <c r="R949" s="269"/>
    </row>
    <row r="950" ht="14.25" customHeight="1" spans="1:18">
      <c r="A950" s="21"/>
      <c r="B950" s="21"/>
      <c r="C950" s="21"/>
      <c r="D950" s="21"/>
      <c r="E950" s="268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69"/>
      <c r="Q950" s="269"/>
      <c r="R950" s="269"/>
    </row>
    <row r="951" ht="14.25" customHeight="1" spans="1:18">
      <c r="A951" s="21"/>
      <c r="B951" s="21"/>
      <c r="C951" s="21"/>
      <c r="D951" s="21"/>
      <c r="E951" s="268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69"/>
      <c r="Q951" s="269"/>
      <c r="R951" s="269"/>
    </row>
    <row r="952" ht="14.25" customHeight="1" spans="1:18">
      <c r="A952" s="21"/>
      <c r="B952" s="21"/>
      <c r="C952" s="21"/>
      <c r="D952" s="21"/>
      <c r="E952" s="268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69"/>
      <c r="Q952" s="269"/>
      <c r="R952" s="269"/>
    </row>
    <row r="953" ht="14.25" customHeight="1" spans="1:18">
      <c r="A953" s="21"/>
      <c r="B953" s="21"/>
      <c r="C953" s="21"/>
      <c r="D953" s="21"/>
      <c r="E953" s="268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69"/>
      <c r="Q953" s="269"/>
      <c r="R953" s="269"/>
    </row>
    <row r="954" ht="14.25" customHeight="1" spans="1:18">
      <c r="A954" s="21"/>
      <c r="B954" s="21"/>
      <c r="C954" s="21"/>
      <c r="D954" s="21"/>
      <c r="E954" s="268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69"/>
      <c r="Q954" s="269"/>
      <c r="R954" s="269"/>
    </row>
    <row r="955" ht="14.25" customHeight="1" spans="1:18">
      <c r="A955" s="21"/>
      <c r="B955" s="21"/>
      <c r="C955" s="21"/>
      <c r="D955" s="21"/>
      <c r="E955" s="268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69"/>
      <c r="Q955" s="269"/>
      <c r="R955" s="269"/>
    </row>
    <row r="956" ht="14.25" customHeight="1" spans="1:18">
      <c r="A956" s="21"/>
      <c r="B956" s="21"/>
      <c r="C956" s="21"/>
      <c r="D956" s="21"/>
      <c r="E956" s="268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69"/>
      <c r="Q956" s="269"/>
      <c r="R956" s="269"/>
    </row>
    <row r="957" ht="14.25" customHeight="1" spans="1:18">
      <c r="A957" s="21"/>
      <c r="B957" s="21"/>
      <c r="C957" s="21"/>
      <c r="D957" s="21"/>
      <c r="E957" s="268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69"/>
      <c r="Q957" s="269"/>
      <c r="R957" s="269"/>
    </row>
    <row r="958" ht="14.25" customHeight="1" spans="1:18">
      <c r="A958" s="21"/>
      <c r="B958" s="21"/>
      <c r="C958" s="21"/>
      <c r="D958" s="21"/>
      <c r="E958" s="268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69"/>
      <c r="Q958" s="269"/>
      <c r="R958" s="269"/>
    </row>
    <row r="959" ht="14.25" customHeight="1" spans="1:18">
      <c r="A959" s="21"/>
      <c r="B959" s="21"/>
      <c r="C959" s="21"/>
      <c r="D959" s="21"/>
      <c r="E959" s="268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69"/>
      <c r="Q959" s="269"/>
      <c r="R959" s="269"/>
    </row>
    <row r="960" ht="14.25" customHeight="1" spans="1:18">
      <c r="A960" s="21"/>
      <c r="B960" s="21"/>
      <c r="C960" s="21"/>
      <c r="D960" s="21"/>
      <c r="E960" s="268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69"/>
      <c r="Q960" s="269"/>
      <c r="R960" s="269"/>
    </row>
    <row r="961" ht="14.25" customHeight="1" spans="1:18">
      <c r="A961" s="21"/>
      <c r="B961" s="21"/>
      <c r="C961" s="21"/>
      <c r="D961" s="21"/>
      <c r="E961" s="268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69"/>
      <c r="Q961" s="269"/>
      <c r="R961" s="269"/>
    </row>
    <row r="962" ht="14.25" customHeight="1" spans="1:18">
      <c r="A962" s="21"/>
      <c r="B962" s="21"/>
      <c r="C962" s="21"/>
      <c r="D962" s="21"/>
      <c r="E962" s="268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69"/>
      <c r="Q962" s="269"/>
      <c r="R962" s="269"/>
    </row>
    <row r="963" ht="14.25" customHeight="1" spans="1:18">
      <c r="A963" s="21"/>
      <c r="B963" s="21"/>
      <c r="C963" s="21"/>
      <c r="D963" s="21"/>
      <c r="E963" s="268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69"/>
      <c r="Q963" s="269"/>
      <c r="R963" s="269"/>
    </row>
    <row r="964" ht="14.25" customHeight="1" spans="1:18">
      <c r="A964" s="21"/>
      <c r="B964" s="21"/>
      <c r="C964" s="21"/>
      <c r="D964" s="21"/>
      <c r="E964" s="268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69"/>
      <c r="Q964" s="269"/>
      <c r="R964" s="269"/>
    </row>
    <row r="965" ht="14.25" customHeight="1" spans="1:18">
      <c r="A965" s="21"/>
      <c r="B965" s="21"/>
      <c r="C965" s="21"/>
      <c r="D965" s="21"/>
      <c r="E965" s="268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69"/>
      <c r="Q965" s="269"/>
      <c r="R965" s="269"/>
    </row>
    <row r="966" ht="14.25" customHeight="1" spans="1:18">
      <c r="A966" s="21"/>
      <c r="B966" s="21"/>
      <c r="C966" s="21"/>
      <c r="D966" s="21"/>
      <c r="E966" s="268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69"/>
      <c r="Q966" s="269"/>
      <c r="R966" s="269"/>
    </row>
    <row r="967" ht="14.25" customHeight="1" spans="1:18">
      <c r="A967" s="21"/>
      <c r="B967" s="21"/>
      <c r="C967" s="21"/>
      <c r="D967" s="21"/>
      <c r="E967" s="268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69"/>
      <c r="Q967" s="269"/>
      <c r="R967" s="269"/>
    </row>
    <row r="968" ht="14.25" customHeight="1" spans="1:18">
      <c r="A968" s="21"/>
      <c r="B968" s="21"/>
      <c r="C968" s="21"/>
      <c r="D968" s="21"/>
      <c r="E968" s="268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69"/>
      <c r="Q968" s="269"/>
      <c r="R968" s="269"/>
    </row>
    <row r="969" ht="14.25" customHeight="1" spans="1:18">
      <c r="A969" s="21"/>
      <c r="B969" s="21"/>
      <c r="C969" s="21"/>
      <c r="D969" s="21"/>
      <c r="E969" s="268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69"/>
      <c r="Q969" s="269"/>
      <c r="R969" s="269"/>
    </row>
    <row r="970" ht="14.25" customHeight="1" spans="1:18">
      <c r="A970" s="21"/>
      <c r="B970" s="21"/>
      <c r="C970" s="21"/>
      <c r="D970" s="21"/>
      <c r="E970" s="268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69"/>
      <c r="Q970" s="269"/>
      <c r="R970" s="269"/>
    </row>
    <row r="971" ht="14.25" customHeight="1" spans="1:18">
      <c r="A971" s="21"/>
      <c r="B971" s="21"/>
      <c r="C971" s="21"/>
      <c r="D971" s="21"/>
      <c r="E971" s="268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69"/>
      <c r="Q971" s="269"/>
      <c r="R971" s="269"/>
    </row>
    <row r="972" ht="14.25" customHeight="1" spans="1:18">
      <c r="A972" s="21"/>
      <c r="B972" s="21"/>
      <c r="C972" s="21"/>
      <c r="D972" s="21"/>
      <c r="E972" s="268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69"/>
      <c r="Q972" s="269"/>
      <c r="R972" s="269"/>
    </row>
    <row r="973" ht="14.25" customHeight="1" spans="1:18">
      <c r="A973" s="21"/>
      <c r="B973" s="21"/>
      <c r="C973" s="21"/>
      <c r="D973" s="21"/>
      <c r="E973" s="268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69"/>
      <c r="Q973" s="269"/>
      <c r="R973" s="269"/>
    </row>
    <row r="974" ht="14.25" customHeight="1" spans="1:18">
      <c r="A974" s="21"/>
      <c r="B974" s="21"/>
      <c r="C974" s="21"/>
      <c r="D974" s="21"/>
      <c r="E974" s="268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69"/>
      <c r="Q974" s="269"/>
      <c r="R974" s="269"/>
    </row>
    <row r="975" ht="14.25" customHeight="1" spans="1:18">
      <c r="A975" s="21"/>
      <c r="B975" s="21"/>
      <c r="C975" s="21"/>
      <c r="D975" s="21"/>
      <c r="E975" s="268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69"/>
      <c r="Q975" s="269"/>
      <c r="R975" s="269"/>
    </row>
    <row r="976" ht="14.25" customHeight="1" spans="1:18">
      <c r="A976" s="21"/>
      <c r="B976" s="21"/>
      <c r="C976" s="21"/>
      <c r="D976" s="21"/>
      <c r="E976" s="268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69"/>
      <c r="Q976" s="269"/>
      <c r="R976" s="269"/>
    </row>
    <row r="977" ht="14.25" customHeight="1" spans="1:18">
      <c r="A977" s="21"/>
      <c r="B977" s="21"/>
      <c r="C977" s="21"/>
      <c r="D977" s="21"/>
      <c r="E977" s="268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69"/>
      <c r="Q977" s="269"/>
      <c r="R977" s="269"/>
    </row>
    <row r="978" ht="14.25" customHeight="1" spans="1:18">
      <c r="A978" s="21"/>
      <c r="B978" s="21"/>
      <c r="C978" s="21"/>
      <c r="D978" s="21"/>
      <c r="E978" s="268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69"/>
      <c r="Q978" s="269"/>
      <c r="R978" s="269"/>
    </row>
    <row r="979" ht="14.25" customHeight="1" spans="1:18">
      <c r="A979" s="21"/>
      <c r="B979" s="21"/>
      <c r="C979" s="21"/>
      <c r="D979" s="21"/>
      <c r="E979" s="268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69"/>
      <c r="Q979" s="269"/>
      <c r="R979" s="269"/>
    </row>
    <row r="980" ht="14.25" customHeight="1" spans="1:18">
      <c r="A980" s="21"/>
      <c r="B980" s="21"/>
      <c r="C980" s="21"/>
      <c r="D980" s="21"/>
      <c r="E980" s="268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69"/>
      <c r="Q980" s="269"/>
      <c r="R980" s="269"/>
    </row>
    <row r="981" ht="14.25" customHeight="1" spans="1:18">
      <c r="A981" s="21"/>
      <c r="B981" s="21"/>
      <c r="C981" s="21"/>
      <c r="D981" s="21"/>
      <c r="E981" s="268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69"/>
      <c r="Q981" s="269"/>
      <c r="R981" s="269"/>
    </row>
    <row r="982" ht="14.25" customHeight="1" spans="1:18">
      <c r="A982" s="21"/>
      <c r="B982" s="21"/>
      <c r="C982" s="21"/>
      <c r="D982" s="21"/>
      <c r="E982" s="268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69"/>
      <c r="Q982" s="269"/>
      <c r="R982" s="269"/>
    </row>
    <row r="983" ht="14.25" customHeight="1" spans="1:18">
      <c r="A983" s="21"/>
      <c r="B983" s="21"/>
      <c r="C983" s="21"/>
      <c r="D983" s="21"/>
      <c r="E983" s="268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69"/>
      <c r="Q983" s="269"/>
      <c r="R983" s="269"/>
    </row>
    <row r="984" ht="14.25" customHeight="1" spans="1:18">
      <c r="A984" s="21"/>
      <c r="B984" s="21"/>
      <c r="C984" s="21"/>
      <c r="D984" s="21"/>
      <c r="E984" s="268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69"/>
      <c r="Q984" s="269"/>
      <c r="R984" s="269"/>
    </row>
    <row r="985" ht="14.25" customHeight="1" spans="1:18">
      <c r="A985" s="21"/>
      <c r="B985" s="21"/>
      <c r="C985" s="21"/>
      <c r="D985" s="21"/>
      <c r="E985" s="268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69"/>
      <c r="Q985" s="269"/>
      <c r="R985" s="269"/>
    </row>
    <row r="986" ht="14.25" customHeight="1" spans="1:18">
      <c r="A986" s="21"/>
      <c r="B986" s="21"/>
      <c r="C986" s="21"/>
      <c r="D986" s="21"/>
      <c r="E986" s="268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69"/>
      <c r="Q986" s="269"/>
      <c r="R986" s="269"/>
    </row>
    <row r="987" ht="14.25" customHeight="1" spans="1:18">
      <c r="A987" s="21"/>
      <c r="B987" s="21"/>
      <c r="C987" s="21"/>
      <c r="D987" s="21"/>
      <c r="E987" s="268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69"/>
      <c r="Q987" s="269"/>
      <c r="R987" s="269"/>
    </row>
    <row r="988" ht="14.25" customHeight="1" spans="1:18">
      <c r="A988" s="21"/>
      <c r="B988" s="21"/>
      <c r="C988" s="21"/>
      <c r="D988" s="21"/>
      <c r="E988" s="268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69"/>
      <c r="Q988" s="269"/>
      <c r="R988" s="269"/>
    </row>
    <row r="989" ht="14.25" customHeight="1" spans="1:18">
      <c r="A989" s="21"/>
      <c r="B989" s="21"/>
      <c r="C989" s="21"/>
      <c r="D989" s="21"/>
      <c r="E989" s="268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69"/>
      <c r="Q989" s="269"/>
      <c r="R989" s="269"/>
    </row>
    <row r="990" ht="14.25" customHeight="1" spans="1:18">
      <c r="A990" s="21"/>
      <c r="B990" s="21"/>
      <c r="C990" s="21"/>
      <c r="D990" s="21"/>
      <c r="E990" s="268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69"/>
      <c r="Q990" s="269"/>
      <c r="R990" s="269"/>
    </row>
    <row r="991" ht="14.25" customHeight="1" spans="1:18">
      <c r="A991" s="21"/>
      <c r="B991" s="21"/>
      <c r="C991" s="21"/>
      <c r="D991" s="21"/>
      <c r="E991" s="268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69"/>
      <c r="Q991" s="269"/>
      <c r="R991" s="269"/>
    </row>
    <row r="992" ht="14.25" customHeight="1" spans="1:18">
      <c r="A992" s="21"/>
      <c r="B992" s="21"/>
      <c r="C992" s="21"/>
      <c r="D992" s="21"/>
      <c r="E992" s="268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69"/>
      <c r="Q992" s="269"/>
      <c r="R992" s="269"/>
    </row>
    <row r="993" ht="14.25" customHeight="1" spans="1:18">
      <c r="A993" s="21"/>
      <c r="B993" s="21"/>
      <c r="C993" s="21"/>
      <c r="D993" s="21"/>
      <c r="E993" s="268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69"/>
      <c r="Q993" s="269"/>
      <c r="R993" s="269"/>
    </row>
    <row r="994" ht="14.25" customHeight="1" spans="1:18">
      <c r="A994" s="21"/>
      <c r="B994" s="21"/>
      <c r="C994" s="21"/>
      <c r="D994" s="21"/>
      <c r="E994" s="268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69"/>
      <c r="Q994" s="269"/>
      <c r="R994" s="269"/>
    </row>
    <row r="995" ht="14.25" customHeight="1" spans="1:18">
      <c r="A995" s="21"/>
      <c r="B995" s="21"/>
      <c r="C995" s="21"/>
      <c r="D995" s="21"/>
      <c r="E995" s="268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69"/>
      <c r="Q995" s="269"/>
      <c r="R995" s="269"/>
    </row>
    <row r="996" ht="14.25" customHeight="1" spans="1:18">
      <c r="A996" s="21"/>
      <c r="B996" s="21"/>
      <c r="C996" s="21"/>
      <c r="D996" s="21"/>
      <c r="E996" s="268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69"/>
      <c r="Q996" s="269"/>
      <c r="R996" s="269"/>
    </row>
    <row r="997" ht="14.25" customHeight="1" spans="1:18">
      <c r="A997" s="21"/>
      <c r="B997" s="21"/>
      <c r="C997" s="21"/>
      <c r="D997" s="21"/>
      <c r="E997" s="268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69"/>
      <c r="Q997" s="269"/>
      <c r="R997" s="269"/>
    </row>
    <row r="998" ht="14.25" customHeight="1" spans="1:18">
      <c r="A998" s="21"/>
      <c r="B998" s="21"/>
      <c r="C998" s="21"/>
      <c r="D998" s="21"/>
      <c r="E998" s="268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69"/>
      <c r="Q998" s="269"/>
      <c r="R998" s="269"/>
    </row>
    <row r="999" ht="14.25" customHeight="1" spans="1:18">
      <c r="A999" s="21"/>
      <c r="B999" s="21"/>
      <c r="C999" s="21"/>
      <c r="D999" s="21"/>
      <c r="E999" s="268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69"/>
      <c r="Q999" s="269"/>
      <c r="R999" s="269"/>
    </row>
    <row r="1000" ht="14.25" customHeight="1" spans="1:18">
      <c r="A1000" s="21"/>
      <c r="B1000" s="21"/>
      <c r="C1000" s="21"/>
      <c r="D1000" s="21"/>
      <c r="E1000" s="268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69"/>
      <c r="Q1000" s="269"/>
      <c r="R1000" s="269"/>
    </row>
  </sheetData>
  <mergeCells count="18">
    <mergeCell ref="A2:R2"/>
    <mergeCell ref="M3:R3"/>
    <mergeCell ref="M4:O4"/>
    <mergeCell ref="P4:R4"/>
    <mergeCell ref="A17:R17"/>
    <mergeCell ref="A24:R24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conditionalFormatting sqref="C6:C1000 B56:B59">
    <cfRule type="expression" dxfId="7" priority="2">
      <formula>COUNTIF(C6:C1000,C6)&gt;1</formula>
    </cfRule>
  </conditionalFormatting>
  <conditionalFormatting sqref="C14 C16">
    <cfRule type="expression" dxfId="1" priority="1">
      <formula>$K14="Hư hỏng"</formula>
    </cfRule>
  </conditionalFormatting>
  <pageMargins left="0.7" right="0.7" top="0.75" bottom="0.75" header="0" footer="0"/>
  <pageSetup paperSize="9" scale="25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68"/>
  <sheetViews>
    <sheetView showGridLines="0" workbookViewId="0">
      <pane xSplit="6" ySplit="2" topLeftCell="G3" activePane="bottomRight" state="frozen"/>
      <selection/>
      <selection pane="topRight"/>
      <selection pane="bottomLeft"/>
      <selection pane="bottomRight" activeCell="G3" sqref="G3"/>
    </sheetView>
  </sheetViews>
  <sheetFormatPr defaultColWidth="12.6333333333333" defaultRowHeight="15" customHeight="1"/>
  <cols>
    <col min="1" max="1" width="7" customWidth="1"/>
    <col min="2" max="2" width="20.6333333333333" customWidth="1"/>
    <col min="3" max="3" width="14.75" customWidth="1"/>
    <col min="4" max="5" width="18.5" customWidth="1"/>
    <col min="6" max="6" width="14.5" customWidth="1"/>
    <col min="7" max="7" width="18.75" customWidth="1"/>
    <col min="8" max="8" width="12" customWidth="1"/>
    <col min="9" max="9" width="12.6333333333333" customWidth="1"/>
    <col min="10" max="10" width="10.6333333333333" customWidth="1"/>
    <col min="11" max="11" width="10.1333333333333" customWidth="1"/>
    <col min="12" max="12" width="9.13333333333333" customWidth="1"/>
    <col min="13" max="13" width="15.8833333333333" customWidth="1"/>
    <col min="14" max="15" width="13.25" customWidth="1"/>
    <col min="16" max="16" width="14" customWidth="1"/>
    <col min="17" max="17" width="29.6333333333333" customWidth="1"/>
  </cols>
  <sheetData>
    <row r="1" ht="28.5" customHeight="1" spans="1:17">
      <c r="A1" s="230" t="s">
        <v>7851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</row>
    <row r="2" ht="33" customHeight="1" spans="1:17">
      <c r="A2" s="232" t="s">
        <v>421</v>
      </c>
      <c r="B2" s="232" t="s">
        <v>7852</v>
      </c>
      <c r="C2" s="233" t="s">
        <v>7853</v>
      </c>
      <c r="D2" s="232" t="s">
        <v>6130</v>
      </c>
      <c r="E2" s="232" t="s">
        <v>7854</v>
      </c>
      <c r="F2" s="232" t="s">
        <v>7855</v>
      </c>
      <c r="G2" s="232" t="s">
        <v>7856</v>
      </c>
      <c r="H2" s="232" t="s">
        <v>436</v>
      </c>
      <c r="I2" s="232" t="s">
        <v>433</v>
      </c>
      <c r="J2" s="232" t="s">
        <v>435</v>
      </c>
      <c r="K2" s="232" t="s">
        <v>434</v>
      </c>
      <c r="L2" s="232" t="s">
        <v>437</v>
      </c>
      <c r="M2" s="233" t="s">
        <v>7857</v>
      </c>
      <c r="N2" s="233" t="s">
        <v>7858</v>
      </c>
      <c r="O2" s="232" t="s">
        <v>7859</v>
      </c>
      <c r="P2" s="234" t="s">
        <v>13</v>
      </c>
      <c r="Q2" s="234" t="s">
        <v>7860</v>
      </c>
    </row>
    <row r="3" ht="22.5" customHeight="1" spans="1:17">
      <c r="A3" s="235" t="s">
        <v>3583</v>
      </c>
      <c r="B3" s="236" t="s">
        <v>7861</v>
      </c>
      <c r="C3" s="235"/>
      <c r="D3" s="237"/>
      <c r="E3" s="237"/>
      <c r="F3" s="237"/>
      <c r="G3" s="238"/>
      <c r="H3" s="238"/>
      <c r="I3" s="238"/>
      <c r="J3" s="237"/>
      <c r="K3" s="238"/>
      <c r="L3" s="238"/>
      <c r="M3" s="238"/>
      <c r="N3" s="237"/>
      <c r="O3" s="237"/>
      <c r="P3" s="239"/>
      <c r="Q3" s="239"/>
    </row>
    <row r="4" ht="17.25" customHeight="1" spans="1:17">
      <c r="A4" s="8">
        <v>1</v>
      </c>
      <c r="B4" s="240" t="s">
        <v>8266</v>
      </c>
      <c r="C4" s="8"/>
      <c r="D4" s="241"/>
      <c r="E4" s="241"/>
      <c r="F4" s="242"/>
      <c r="G4" s="243"/>
      <c r="H4" s="243"/>
      <c r="I4" s="243"/>
      <c r="J4" s="241"/>
      <c r="K4" s="243"/>
      <c r="L4" s="243"/>
      <c r="M4" s="243"/>
      <c r="N4" s="241"/>
      <c r="O4" s="241"/>
      <c r="P4" s="244"/>
      <c r="Q4" s="244"/>
    </row>
    <row r="5" ht="12.75" customHeight="1" spans="1:17">
      <c r="A5" s="245">
        <v>1</v>
      </c>
      <c r="B5" s="246" t="s">
        <v>8267</v>
      </c>
      <c r="C5" s="247"/>
      <c r="D5" s="248"/>
      <c r="E5" s="248" t="s">
        <v>8268</v>
      </c>
      <c r="F5" s="249" t="s">
        <v>8269</v>
      </c>
      <c r="G5" s="250" t="s">
        <v>8270</v>
      </c>
      <c r="H5" s="251" t="s">
        <v>8271</v>
      </c>
      <c r="I5" s="251"/>
      <c r="J5" s="252"/>
      <c r="K5" s="245"/>
      <c r="L5" s="245"/>
      <c r="M5" s="245">
        <v>12.5</v>
      </c>
      <c r="N5" s="252"/>
      <c r="O5" s="248" t="s">
        <v>1263</v>
      </c>
      <c r="P5" s="193"/>
      <c r="Q5" s="193"/>
    </row>
    <row r="6" ht="12.75" customHeight="1" spans="1:17">
      <c r="A6" s="245">
        <v>2</v>
      </c>
      <c r="B6" s="246" t="s">
        <v>8272</v>
      </c>
      <c r="C6" s="250"/>
      <c r="D6" s="248"/>
      <c r="E6" s="248" t="s">
        <v>8268</v>
      </c>
      <c r="F6" s="249" t="s">
        <v>8273</v>
      </c>
      <c r="G6" s="250" t="s">
        <v>8270</v>
      </c>
      <c r="H6" s="251" t="s">
        <v>8271</v>
      </c>
      <c r="I6" s="253"/>
      <c r="J6" s="248"/>
      <c r="K6" s="245"/>
      <c r="L6" s="245"/>
      <c r="M6" s="245">
        <v>12.5</v>
      </c>
      <c r="N6" s="254"/>
      <c r="O6" s="248" t="s">
        <v>1263</v>
      </c>
      <c r="P6" s="101"/>
      <c r="Q6" s="101"/>
    </row>
    <row r="7" ht="12.75" customHeight="1" spans="1:17">
      <c r="A7" s="245">
        <v>3</v>
      </c>
      <c r="B7" s="246"/>
      <c r="C7" s="250"/>
      <c r="D7" s="248"/>
      <c r="E7" s="248"/>
      <c r="F7" s="250"/>
      <c r="G7" s="250"/>
      <c r="H7" s="253"/>
      <c r="I7" s="253"/>
      <c r="J7" s="248"/>
      <c r="K7" s="245"/>
      <c r="L7" s="245"/>
      <c r="M7" s="255"/>
      <c r="N7" s="254"/>
      <c r="O7" s="248"/>
      <c r="P7" s="101"/>
      <c r="Q7" s="101"/>
    </row>
    <row r="8" ht="12.75" customHeight="1" spans="1:17">
      <c r="A8" s="245">
        <v>4</v>
      </c>
      <c r="B8" s="246"/>
      <c r="C8" s="250"/>
      <c r="D8" s="248"/>
      <c r="E8" s="248"/>
      <c r="F8" s="250"/>
      <c r="G8" s="250"/>
      <c r="H8" s="253"/>
      <c r="I8" s="253"/>
      <c r="J8" s="248"/>
      <c r="K8" s="245"/>
      <c r="L8" s="245"/>
      <c r="M8" s="255"/>
      <c r="N8" s="254"/>
      <c r="O8" s="248"/>
      <c r="P8" s="101"/>
      <c r="Q8" s="101"/>
    </row>
    <row r="9" ht="12.75" customHeight="1" spans="1:17">
      <c r="A9" s="245">
        <v>5</v>
      </c>
      <c r="B9" s="246"/>
      <c r="C9" s="250"/>
      <c r="D9" s="248"/>
      <c r="E9" s="248"/>
      <c r="F9" s="250"/>
      <c r="G9" s="250"/>
      <c r="H9" s="251"/>
      <c r="I9" s="251"/>
      <c r="J9" s="248"/>
      <c r="K9" s="245"/>
      <c r="L9" s="245"/>
      <c r="M9" s="245"/>
      <c r="N9" s="252"/>
      <c r="O9" s="252"/>
      <c r="P9" s="256"/>
      <c r="Q9" s="256"/>
    </row>
    <row r="10" ht="17.25" customHeight="1" spans="1:17">
      <c r="A10" s="235" t="s">
        <v>3866</v>
      </c>
      <c r="B10" s="236" t="s">
        <v>8000</v>
      </c>
      <c r="C10" s="235"/>
      <c r="D10" s="237"/>
      <c r="E10" s="237"/>
      <c r="F10" s="257"/>
      <c r="G10" s="238"/>
      <c r="H10" s="238"/>
      <c r="I10" s="238"/>
      <c r="J10" s="237"/>
      <c r="K10" s="238"/>
      <c r="L10" s="238"/>
      <c r="M10" s="238"/>
      <c r="N10" s="237"/>
      <c r="O10" s="237"/>
      <c r="P10" s="239"/>
      <c r="Q10" s="239"/>
    </row>
    <row r="11" ht="17.25" customHeight="1" spans="1:17">
      <c r="A11" s="8">
        <v>1</v>
      </c>
      <c r="B11" s="240" t="s">
        <v>8266</v>
      </c>
      <c r="C11" s="8"/>
      <c r="D11" s="241"/>
      <c r="E11" s="241"/>
      <c r="F11" s="242"/>
      <c r="G11" s="243"/>
      <c r="H11" s="243"/>
      <c r="I11" s="243"/>
      <c r="J11" s="241"/>
      <c r="K11" s="243"/>
      <c r="L11" s="243"/>
      <c r="M11" s="243"/>
      <c r="N11" s="241"/>
      <c r="O11" s="241"/>
      <c r="P11" s="244"/>
      <c r="Q11" s="244"/>
    </row>
    <row r="12" ht="12.75" customHeight="1" spans="1:17">
      <c r="A12" s="245">
        <v>1</v>
      </c>
      <c r="B12" s="246"/>
      <c r="C12" s="247"/>
      <c r="D12" s="248"/>
      <c r="E12" s="248"/>
      <c r="F12" s="247"/>
      <c r="G12" s="250"/>
      <c r="H12" s="251"/>
      <c r="I12" s="251"/>
      <c r="J12" s="252"/>
      <c r="K12" s="245"/>
      <c r="L12" s="245"/>
      <c r="M12" s="245"/>
      <c r="N12" s="252"/>
      <c r="O12" s="252"/>
      <c r="P12" s="193"/>
      <c r="Q12" s="193"/>
    </row>
    <row r="13" ht="12.75" customHeight="1" spans="1:17">
      <c r="A13" s="245">
        <v>2</v>
      </c>
      <c r="B13" s="246"/>
      <c r="C13" s="247"/>
      <c r="D13" s="248"/>
      <c r="E13" s="248"/>
      <c r="F13" s="247"/>
      <c r="G13" s="250"/>
      <c r="H13" s="251"/>
      <c r="I13" s="251"/>
      <c r="J13" s="252"/>
      <c r="K13" s="245"/>
      <c r="L13" s="245"/>
      <c r="M13" s="245"/>
      <c r="N13" s="258"/>
      <c r="O13" s="245"/>
      <c r="P13" s="193"/>
      <c r="Q13" s="193"/>
    </row>
    <row r="14" ht="12.75" customHeight="1" spans="1:17">
      <c r="A14" s="245">
        <v>3</v>
      </c>
      <c r="B14" s="246"/>
      <c r="C14" s="247"/>
      <c r="D14" s="248"/>
      <c r="E14" s="248"/>
      <c r="F14" s="247"/>
      <c r="G14" s="250"/>
      <c r="H14" s="251"/>
      <c r="I14" s="251"/>
      <c r="J14" s="252"/>
      <c r="K14" s="245"/>
      <c r="L14" s="245"/>
      <c r="M14" s="245"/>
      <c r="N14" s="252"/>
      <c r="O14" s="252"/>
      <c r="P14" s="193"/>
      <c r="Q14" s="193"/>
    </row>
    <row r="15" ht="12.75" hidden="1" customHeight="1" spans="1:17">
      <c r="A15" s="245"/>
      <c r="B15" s="246"/>
      <c r="C15" s="247"/>
      <c r="D15" s="248"/>
      <c r="E15" s="248"/>
      <c r="F15" s="247"/>
      <c r="G15" s="250"/>
      <c r="H15" s="251"/>
      <c r="I15" s="251"/>
      <c r="J15" s="252"/>
      <c r="K15" s="245"/>
      <c r="L15" s="245"/>
      <c r="M15" s="245"/>
      <c r="N15" s="252"/>
      <c r="O15" s="252"/>
      <c r="P15" s="193"/>
      <c r="Q15" s="193"/>
    </row>
    <row r="16" ht="12.75" hidden="1" customHeight="1" spans="1:17">
      <c r="A16" s="245"/>
      <c r="B16" s="246"/>
      <c r="C16" s="247" t="s">
        <v>689</v>
      </c>
      <c r="D16" s="248"/>
      <c r="E16" s="248"/>
      <c r="F16" s="250"/>
      <c r="G16" s="250"/>
      <c r="H16" s="251"/>
      <c r="I16" s="251"/>
      <c r="J16" s="252"/>
      <c r="K16" s="245"/>
      <c r="L16" s="245"/>
      <c r="M16" s="245"/>
      <c r="N16" s="252"/>
      <c r="O16" s="252"/>
      <c r="P16" s="256"/>
      <c r="Q16" s="256"/>
    </row>
    <row r="17" ht="21.75" customHeight="1" spans="1:17">
      <c r="A17" s="235" t="s">
        <v>4215</v>
      </c>
      <c r="B17" s="236" t="s">
        <v>8052</v>
      </c>
      <c r="C17" s="235"/>
      <c r="D17" s="237"/>
      <c r="E17" s="237"/>
      <c r="F17" s="257"/>
      <c r="G17" s="238"/>
      <c r="H17" s="238"/>
      <c r="I17" s="238"/>
      <c r="J17" s="237"/>
      <c r="K17" s="238"/>
      <c r="L17" s="238"/>
      <c r="M17" s="238"/>
      <c r="N17" s="237"/>
      <c r="O17" s="237"/>
      <c r="P17" s="239"/>
      <c r="Q17" s="239"/>
    </row>
    <row r="18" ht="17.25" customHeight="1" spans="1:17">
      <c r="A18" s="8">
        <v>1</v>
      </c>
      <c r="B18" s="240" t="s">
        <v>8266</v>
      </c>
      <c r="C18" s="8"/>
      <c r="D18" s="241"/>
      <c r="E18" s="241"/>
      <c r="F18" s="242"/>
      <c r="G18" s="243"/>
      <c r="H18" s="243"/>
      <c r="I18" s="243"/>
      <c r="J18" s="241"/>
      <c r="K18" s="243"/>
      <c r="L18" s="243"/>
      <c r="M18" s="243"/>
      <c r="N18" s="241"/>
      <c r="O18" s="241"/>
      <c r="P18" s="244"/>
      <c r="Q18" s="244"/>
    </row>
    <row r="19" ht="12.75" customHeight="1" spans="1:17">
      <c r="A19" s="245">
        <v>1</v>
      </c>
      <c r="B19" s="246" t="s">
        <v>8274</v>
      </c>
      <c r="C19" s="247"/>
      <c r="D19" s="248"/>
      <c r="E19" s="248" t="s">
        <v>8268</v>
      </c>
      <c r="F19" s="249" t="s">
        <v>8275</v>
      </c>
      <c r="G19" s="250" t="s">
        <v>8276</v>
      </c>
      <c r="H19" s="251" t="s">
        <v>8271</v>
      </c>
      <c r="I19" s="251"/>
      <c r="J19" s="252"/>
      <c r="K19" s="245"/>
      <c r="L19" s="245"/>
      <c r="M19" s="245">
        <v>12.5</v>
      </c>
      <c r="N19" s="252"/>
      <c r="O19" s="248" t="s">
        <v>1263</v>
      </c>
      <c r="P19" s="256"/>
      <c r="Q19" s="256"/>
    </row>
    <row r="20" ht="12.75" customHeight="1" spans="1:17">
      <c r="A20" s="245">
        <v>2</v>
      </c>
      <c r="B20" s="246"/>
      <c r="C20" s="247"/>
      <c r="D20" s="248"/>
      <c r="F20" s="250"/>
      <c r="G20" s="250"/>
      <c r="H20" s="251"/>
      <c r="I20" s="251"/>
      <c r="J20" s="252"/>
      <c r="K20" s="245"/>
      <c r="L20" s="245"/>
      <c r="M20" s="245"/>
      <c r="N20" s="252"/>
      <c r="O20" s="252"/>
      <c r="P20" s="193"/>
      <c r="Q20" s="193"/>
    </row>
    <row r="21" ht="12.75" customHeight="1" spans="1:17">
      <c r="A21" s="245">
        <v>3</v>
      </c>
      <c r="B21" s="246"/>
      <c r="C21" s="247"/>
      <c r="D21" s="248"/>
      <c r="E21" s="248"/>
      <c r="F21" s="247"/>
      <c r="G21" s="250"/>
      <c r="H21" s="251"/>
      <c r="I21" s="251"/>
      <c r="J21" s="252"/>
      <c r="K21" s="245"/>
      <c r="L21" s="245"/>
      <c r="M21" s="245"/>
      <c r="N21" s="252"/>
      <c r="O21" s="252"/>
      <c r="P21" s="193"/>
      <c r="Q21" s="193"/>
    </row>
    <row r="22" ht="12.75" customHeight="1" spans="1:17">
      <c r="A22" s="245">
        <v>4</v>
      </c>
      <c r="B22" s="246"/>
      <c r="C22" s="259"/>
      <c r="D22" s="259"/>
      <c r="E22" s="248"/>
      <c r="F22" s="250"/>
      <c r="G22" s="250"/>
      <c r="H22" s="251"/>
      <c r="I22" s="251"/>
      <c r="J22" s="252"/>
      <c r="K22" s="245"/>
      <c r="L22" s="245"/>
      <c r="M22" s="260"/>
      <c r="N22" s="261"/>
      <c r="O22" s="248"/>
      <c r="P22" s="101"/>
      <c r="Q22" s="101"/>
    </row>
    <row r="23" ht="12.75" customHeight="1" spans="1:17">
      <c r="A23" s="245">
        <v>5</v>
      </c>
      <c r="B23" s="246"/>
      <c r="C23" s="259"/>
      <c r="D23" s="262"/>
      <c r="E23" s="248"/>
      <c r="F23" s="250"/>
      <c r="G23" s="250"/>
      <c r="H23" s="251"/>
      <c r="I23" s="251"/>
      <c r="J23" s="248"/>
      <c r="K23" s="245"/>
      <c r="L23" s="245"/>
      <c r="M23" s="260"/>
      <c r="N23" s="263"/>
      <c r="O23" s="248"/>
      <c r="P23" s="101"/>
      <c r="Q23" s="101"/>
    </row>
    <row r="24" ht="12.75" customHeight="1" spans="1:17">
      <c r="A24" s="245">
        <v>6</v>
      </c>
      <c r="B24" s="246"/>
      <c r="C24" s="259"/>
      <c r="D24" s="262"/>
      <c r="E24" s="248"/>
      <c r="F24" s="250"/>
      <c r="G24" s="250"/>
      <c r="H24" s="251"/>
      <c r="I24" s="251"/>
      <c r="J24" s="248"/>
      <c r="K24" s="245"/>
      <c r="L24" s="245"/>
      <c r="M24" s="260"/>
      <c r="N24" s="264"/>
      <c r="O24" s="248"/>
      <c r="P24" s="178"/>
      <c r="Q24" s="101"/>
    </row>
    <row r="25" ht="12.75" customHeight="1" spans="1:17">
      <c r="A25" s="245">
        <v>7</v>
      </c>
      <c r="B25" s="246"/>
      <c r="C25" s="259"/>
      <c r="D25" s="262"/>
      <c r="E25" s="248"/>
      <c r="F25" s="250"/>
      <c r="G25" s="250"/>
      <c r="H25" s="251"/>
      <c r="I25" s="251"/>
      <c r="J25" s="248"/>
      <c r="K25" s="245"/>
      <c r="L25" s="245"/>
      <c r="M25" s="260"/>
      <c r="N25" s="254"/>
      <c r="O25" s="248"/>
      <c r="P25" s="178"/>
      <c r="Q25" s="101"/>
    </row>
    <row r="26" ht="12.75" hidden="1" customHeight="1" spans="1:17">
      <c r="A26" s="245"/>
      <c r="B26" s="246"/>
      <c r="C26" s="259" t="s">
        <v>689</v>
      </c>
      <c r="D26" s="262"/>
      <c r="E26" s="248"/>
      <c r="F26" s="250"/>
      <c r="G26" s="250"/>
      <c r="H26" s="251"/>
      <c r="I26" s="251"/>
      <c r="J26" s="248"/>
      <c r="K26" s="245"/>
      <c r="L26" s="245"/>
      <c r="M26" s="260"/>
      <c r="N26" s="254"/>
      <c r="O26" s="248"/>
      <c r="P26" s="178"/>
      <c r="Q26" s="101"/>
    </row>
    <row r="27" ht="12.75" customHeight="1" spans="1:17">
      <c r="A27" s="265"/>
      <c r="B27" s="265"/>
      <c r="C27" s="265"/>
      <c r="D27" s="265"/>
      <c r="E27" s="265"/>
      <c r="F27" s="265"/>
      <c r="G27" s="266"/>
      <c r="H27" s="265"/>
      <c r="I27" s="266"/>
      <c r="J27" s="265"/>
      <c r="K27" s="266"/>
      <c r="L27" s="266"/>
      <c r="M27" s="266"/>
      <c r="N27" s="265"/>
      <c r="O27" s="265"/>
      <c r="P27" s="267"/>
      <c r="Q27" s="267"/>
    </row>
    <row r="28" ht="12.75" customHeight="1" spans="1:17">
      <c r="A28" s="265"/>
      <c r="B28" s="265"/>
      <c r="C28" s="265"/>
      <c r="D28" s="265"/>
      <c r="E28" s="265"/>
      <c r="F28" s="265"/>
      <c r="G28" s="266"/>
      <c r="H28" s="265"/>
      <c r="I28" s="266"/>
      <c r="J28" s="265"/>
      <c r="K28" s="266"/>
      <c r="L28" s="266"/>
      <c r="M28" s="266"/>
      <c r="N28" s="265"/>
      <c r="O28" s="265"/>
      <c r="P28" s="267"/>
      <c r="Q28" s="267"/>
    </row>
    <row r="29" ht="12.75" customHeight="1" spans="1:17">
      <c r="A29" s="265"/>
      <c r="B29" s="265"/>
      <c r="C29" s="265"/>
      <c r="D29" s="265"/>
      <c r="E29" s="265"/>
      <c r="F29" s="265"/>
      <c r="G29" s="266"/>
      <c r="H29" s="265"/>
      <c r="I29" s="266"/>
      <c r="J29" s="265"/>
      <c r="K29" s="266"/>
      <c r="L29" s="266"/>
      <c r="M29" s="266"/>
      <c r="N29" s="265"/>
      <c r="O29" s="265"/>
      <c r="P29" s="267"/>
      <c r="Q29" s="267"/>
    </row>
    <row r="30" ht="12.75" customHeight="1" spans="1:17">
      <c r="A30" s="265"/>
      <c r="B30" s="265"/>
      <c r="C30" s="265"/>
      <c r="D30" s="265"/>
      <c r="E30" s="265"/>
      <c r="F30" s="265"/>
      <c r="G30" s="266"/>
      <c r="H30" s="265"/>
      <c r="I30" s="266"/>
      <c r="J30" s="265"/>
      <c r="K30" s="266"/>
      <c r="L30" s="266"/>
      <c r="M30" s="266"/>
      <c r="N30" s="265"/>
      <c r="O30" s="265"/>
      <c r="P30" s="267"/>
      <c r="Q30" s="267"/>
    </row>
    <row r="31" ht="12.75" customHeight="1" spans="1:17">
      <c r="A31" s="265"/>
      <c r="B31" s="265"/>
      <c r="C31" s="265"/>
      <c r="D31" s="265"/>
      <c r="E31" s="265"/>
      <c r="F31" s="265"/>
      <c r="G31" s="266"/>
      <c r="H31" s="265"/>
      <c r="I31" s="266"/>
      <c r="J31" s="265"/>
      <c r="K31" s="266"/>
      <c r="L31" s="266"/>
      <c r="M31" s="266"/>
      <c r="N31" s="265"/>
      <c r="O31" s="265"/>
      <c r="P31" s="267"/>
      <c r="Q31" s="267"/>
    </row>
    <row r="32" ht="12.75" customHeight="1" spans="1:17">
      <c r="A32" s="265"/>
      <c r="B32" s="265"/>
      <c r="C32" s="265"/>
      <c r="D32" s="265"/>
      <c r="E32" s="265"/>
      <c r="F32" s="265"/>
      <c r="G32" s="266"/>
      <c r="H32" s="265"/>
      <c r="I32" s="266"/>
      <c r="J32" s="265"/>
      <c r="K32" s="266"/>
      <c r="L32" s="266"/>
      <c r="M32" s="266"/>
      <c r="N32" s="265"/>
      <c r="O32" s="265"/>
      <c r="P32" s="267"/>
      <c r="Q32" s="267"/>
    </row>
    <row r="33" ht="12.75" customHeight="1" spans="1:17">
      <c r="A33" s="265"/>
      <c r="B33" s="265"/>
      <c r="C33" s="265"/>
      <c r="D33" s="265"/>
      <c r="E33" s="265"/>
      <c r="F33" s="265"/>
      <c r="G33" s="266"/>
      <c r="H33" s="265"/>
      <c r="I33" s="266"/>
      <c r="J33" s="265"/>
      <c r="K33" s="266"/>
      <c r="L33" s="266"/>
      <c r="M33" s="266"/>
      <c r="N33" s="265"/>
      <c r="O33" s="265"/>
      <c r="P33" s="267"/>
      <c r="Q33" s="267"/>
    </row>
    <row r="34" ht="12.75" customHeight="1" spans="1:17">
      <c r="A34" s="265"/>
      <c r="B34" s="265"/>
      <c r="C34" s="265"/>
      <c r="D34" s="265"/>
      <c r="E34" s="265"/>
      <c r="F34" s="265"/>
      <c r="G34" s="266"/>
      <c r="H34" s="265"/>
      <c r="I34" s="266"/>
      <c r="J34" s="265"/>
      <c r="K34" s="266"/>
      <c r="L34" s="266"/>
      <c r="M34" s="266"/>
      <c r="N34" s="265"/>
      <c r="O34" s="265"/>
      <c r="P34" s="267"/>
      <c r="Q34" s="267"/>
    </row>
    <row r="35" ht="12.75" customHeight="1" spans="1:17">
      <c r="A35" s="265"/>
      <c r="B35" s="265"/>
      <c r="C35" s="265"/>
      <c r="D35" s="265"/>
      <c r="E35" s="265"/>
      <c r="F35" s="265"/>
      <c r="G35" s="266"/>
      <c r="H35" s="265"/>
      <c r="I35" s="266"/>
      <c r="J35" s="265"/>
      <c r="K35" s="266"/>
      <c r="L35" s="266"/>
      <c r="M35" s="266"/>
      <c r="N35" s="265"/>
      <c r="O35" s="265"/>
      <c r="P35" s="267"/>
      <c r="Q35" s="267"/>
    </row>
    <row r="36" ht="12.75" customHeight="1" spans="1:17">
      <c r="A36" s="265"/>
      <c r="B36" s="265"/>
      <c r="C36" s="265"/>
      <c r="D36" s="265"/>
      <c r="E36" s="265"/>
      <c r="F36" s="265"/>
      <c r="G36" s="266"/>
      <c r="H36" s="265"/>
      <c r="I36" s="266"/>
      <c r="J36" s="265"/>
      <c r="K36" s="266"/>
      <c r="L36" s="266"/>
      <c r="M36" s="266"/>
      <c r="N36" s="265"/>
      <c r="O36" s="265"/>
      <c r="P36" s="267"/>
      <c r="Q36" s="267"/>
    </row>
    <row r="37" ht="12.75" customHeight="1" spans="1:17">
      <c r="A37" s="265"/>
      <c r="B37" s="265"/>
      <c r="C37" s="265"/>
      <c r="D37" s="265"/>
      <c r="E37" s="265"/>
      <c r="F37" s="265"/>
      <c r="G37" s="266"/>
      <c r="H37" s="265"/>
      <c r="I37" s="266"/>
      <c r="J37" s="265"/>
      <c r="K37" s="266"/>
      <c r="L37" s="266"/>
      <c r="M37" s="266"/>
      <c r="N37" s="265"/>
      <c r="O37" s="265"/>
      <c r="P37" s="267"/>
      <c r="Q37" s="267"/>
    </row>
    <row r="38" ht="12.75" customHeight="1" spans="1:17">
      <c r="A38" s="265"/>
      <c r="B38" s="265"/>
      <c r="C38" s="265"/>
      <c r="D38" s="265"/>
      <c r="E38" s="265"/>
      <c r="F38" s="265"/>
      <c r="G38" s="266"/>
      <c r="H38" s="265"/>
      <c r="I38" s="266"/>
      <c r="J38" s="265"/>
      <c r="K38" s="266"/>
      <c r="L38" s="266"/>
      <c r="M38" s="266"/>
      <c r="N38" s="265"/>
      <c r="O38" s="265"/>
      <c r="P38" s="267"/>
      <c r="Q38" s="267"/>
    </row>
    <row r="39" ht="12.75" customHeight="1" spans="1:17">
      <c r="A39" s="265"/>
      <c r="B39" s="265"/>
      <c r="C39" s="265"/>
      <c r="D39" s="265"/>
      <c r="E39" s="265"/>
      <c r="F39" s="265"/>
      <c r="G39" s="266"/>
      <c r="H39" s="265"/>
      <c r="I39" s="266"/>
      <c r="J39" s="265"/>
      <c r="K39" s="266"/>
      <c r="L39" s="266"/>
      <c r="M39" s="266"/>
      <c r="N39" s="265"/>
      <c r="O39" s="265"/>
      <c r="P39" s="267"/>
      <c r="Q39" s="267"/>
    </row>
    <row r="40" ht="12.75" customHeight="1" spans="1:17">
      <c r="A40" s="265"/>
      <c r="B40" s="265"/>
      <c r="C40" s="265"/>
      <c r="D40" s="265"/>
      <c r="E40" s="265"/>
      <c r="F40" s="265"/>
      <c r="G40" s="266"/>
      <c r="H40" s="265"/>
      <c r="I40" s="266"/>
      <c r="J40" s="265"/>
      <c r="K40" s="266"/>
      <c r="L40" s="266"/>
      <c r="M40" s="266"/>
      <c r="N40" s="265"/>
      <c r="O40" s="265"/>
      <c r="P40" s="267"/>
      <c r="Q40" s="267"/>
    </row>
    <row r="41" ht="12.75" customHeight="1" spans="1:17">
      <c r="A41" s="265"/>
      <c r="B41" s="265"/>
      <c r="C41" s="265"/>
      <c r="D41" s="265"/>
      <c r="E41" s="265"/>
      <c r="F41" s="265"/>
      <c r="G41" s="266"/>
      <c r="H41" s="265"/>
      <c r="I41" s="266"/>
      <c r="J41" s="265"/>
      <c r="K41" s="266"/>
      <c r="L41" s="266"/>
      <c r="M41" s="266"/>
      <c r="N41" s="265"/>
      <c r="O41" s="265"/>
      <c r="P41" s="267"/>
      <c r="Q41" s="267"/>
    </row>
    <row r="42" ht="12.75" customHeight="1" spans="1:17">
      <c r="A42" s="265"/>
      <c r="B42" s="265"/>
      <c r="C42" s="265"/>
      <c r="D42" s="265"/>
      <c r="E42" s="265"/>
      <c r="F42" s="265"/>
      <c r="G42" s="266"/>
      <c r="H42" s="265"/>
      <c r="I42" s="266"/>
      <c r="J42" s="265"/>
      <c r="K42" s="266"/>
      <c r="L42" s="266"/>
      <c r="M42" s="266"/>
      <c r="N42" s="265"/>
      <c r="O42" s="265"/>
      <c r="P42" s="267"/>
      <c r="Q42" s="267"/>
    </row>
    <row r="43" ht="12.75" customHeight="1" spans="1:17">
      <c r="A43" s="265"/>
      <c r="B43" s="265"/>
      <c r="C43" s="265"/>
      <c r="D43" s="265"/>
      <c r="E43" s="265"/>
      <c r="F43" s="265"/>
      <c r="G43" s="266"/>
      <c r="H43" s="265"/>
      <c r="I43" s="266"/>
      <c r="J43" s="265"/>
      <c r="K43" s="266"/>
      <c r="L43" s="266"/>
      <c r="M43" s="266"/>
      <c r="N43" s="265"/>
      <c r="O43" s="265"/>
      <c r="P43" s="267"/>
      <c r="Q43" s="267"/>
    </row>
    <row r="44" ht="12.75" customHeight="1" spans="1:17">
      <c r="A44" s="265"/>
      <c r="B44" s="265"/>
      <c r="C44" s="265"/>
      <c r="D44" s="265"/>
      <c r="E44" s="265"/>
      <c r="F44" s="265"/>
      <c r="G44" s="266"/>
      <c r="H44" s="265"/>
      <c r="I44" s="266"/>
      <c r="J44" s="265"/>
      <c r="K44" s="266"/>
      <c r="L44" s="266"/>
      <c r="M44" s="266"/>
      <c r="N44" s="265"/>
      <c r="O44" s="265"/>
      <c r="P44" s="267"/>
      <c r="Q44" s="267"/>
    </row>
    <row r="45" ht="12.75" customHeight="1" spans="1:17">
      <c r="A45" s="265"/>
      <c r="B45" s="265"/>
      <c r="C45" s="265"/>
      <c r="D45" s="265"/>
      <c r="E45" s="265"/>
      <c r="F45" s="265"/>
      <c r="G45" s="266"/>
      <c r="H45" s="265"/>
      <c r="I45" s="266"/>
      <c r="J45" s="265"/>
      <c r="K45" s="266"/>
      <c r="L45" s="266"/>
      <c r="M45" s="266"/>
      <c r="N45" s="265"/>
      <c r="O45" s="265"/>
      <c r="P45" s="267"/>
      <c r="Q45" s="267"/>
    </row>
    <row r="46" ht="12.75" customHeight="1" spans="1:17">
      <c r="A46" s="265"/>
      <c r="B46" s="265"/>
      <c r="C46" s="265"/>
      <c r="D46" s="265"/>
      <c r="E46" s="265"/>
      <c r="F46" s="265"/>
      <c r="G46" s="266"/>
      <c r="H46" s="265"/>
      <c r="I46" s="266"/>
      <c r="J46" s="265"/>
      <c r="K46" s="266"/>
      <c r="L46" s="266"/>
      <c r="M46" s="266"/>
      <c r="N46" s="265"/>
      <c r="O46" s="265"/>
      <c r="P46" s="267"/>
      <c r="Q46" s="267"/>
    </row>
    <row r="47" ht="12.75" customHeight="1" spans="1:17">
      <c r="A47" s="265"/>
      <c r="B47" s="265"/>
      <c r="C47" s="265"/>
      <c r="D47" s="265"/>
      <c r="E47" s="265"/>
      <c r="F47" s="265"/>
      <c r="G47" s="266"/>
      <c r="H47" s="265"/>
      <c r="I47" s="266"/>
      <c r="J47" s="265"/>
      <c r="K47" s="266"/>
      <c r="L47" s="266"/>
      <c r="M47" s="266"/>
      <c r="N47" s="265"/>
      <c r="O47" s="265"/>
      <c r="P47" s="267"/>
      <c r="Q47" s="267"/>
    </row>
    <row r="48" ht="12.75" customHeight="1" spans="1:17">
      <c r="A48" s="265"/>
      <c r="B48" s="265"/>
      <c r="C48" s="265"/>
      <c r="D48" s="265"/>
      <c r="E48" s="265"/>
      <c r="F48" s="265"/>
      <c r="G48" s="266"/>
      <c r="H48" s="265"/>
      <c r="I48" s="266"/>
      <c r="J48" s="265"/>
      <c r="K48" s="266"/>
      <c r="L48" s="266"/>
      <c r="M48" s="266"/>
      <c r="N48" s="265"/>
      <c r="O48" s="265"/>
      <c r="P48" s="267"/>
      <c r="Q48" s="267"/>
    </row>
    <row r="49" ht="12.75" customHeight="1" spans="1:17">
      <c r="A49" s="265"/>
      <c r="B49" s="265"/>
      <c r="C49" s="265"/>
      <c r="D49" s="265"/>
      <c r="E49" s="265"/>
      <c r="F49" s="265"/>
      <c r="G49" s="266"/>
      <c r="H49" s="265"/>
      <c r="I49" s="266"/>
      <c r="J49" s="265"/>
      <c r="K49" s="266"/>
      <c r="L49" s="266"/>
      <c r="M49" s="266"/>
      <c r="N49" s="265"/>
      <c r="O49" s="265"/>
      <c r="P49" s="267"/>
      <c r="Q49" s="267"/>
    </row>
    <row r="50" ht="12.75" customHeight="1" spans="1:17">
      <c r="A50" s="265"/>
      <c r="B50" s="265"/>
      <c r="C50" s="265"/>
      <c r="D50" s="265"/>
      <c r="E50" s="265"/>
      <c r="F50" s="265"/>
      <c r="G50" s="266"/>
      <c r="H50" s="265"/>
      <c r="I50" s="266"/>
      <c r="J50" s="265"/>
      <c r="K50" s="266"/>
      <c r="L50" s="266"/>
      <c r="M50" s="266"/>
      <c r="N50" s="265"/>
      <c r="O50" s="265"/>
      <c r="P50" s="267"/>
      <c r="Q50" s="267"/>
    </row>
    <row r="51" ht="12.75" customHeight="1" spans="1:17">
      <c r="A51" s="265"/>
      <c r="B51" s="265"/>
      <c r="C51" s="265"/>
      <c r="D51" s="265"/>
      <c r="E51" s="265"/>
      <c r="F51" s="265"/>
      <c r="G51" s="266"/>
      <c r="H51" s="265"/>
      <c r="I51" s="266"/>
      <c r="J51" s="265"/>
      <c r="K51" s="266"/>
      <c r="L51" s="266"/>
      <c r="M51" s="266"/>
      <c r="N51" s="265"/>
      <c r="O51" s="265"/>
      <c r="P51" s="267"/>
      <c r="Q51" s="267"/>
    </row>
    <row r="52" ht="12.75" customHeight="1" spans="1:17">
      <c r="A52" s="265"/>
      <c r="B52" s="265"/>
      <c r="C52" s="265"/>
      <c r="D52" s="265"/>
      <c r="E52" s="265"/>
      <c r="F52" s="265"/>
      <c r="G52" s="266"/>
      <c r="H52" s="265"/>
      <c r="I52" s="266"/>
      <c r="J52" s="265"/>
      <c r="K52" s="266"/>
      <c r="L52" s="266"/>
      <c r="M52" s="266"/>
      <c r="N52" s="265"/>
      <c r="O52" s="265"/>
      <c r="P52" s="267"/>
      <c r="Q52" s="267"/>
    </row>
    <row r="53" ht="12.75" customHeight="1" spans="1:17">
      <c r="A53" s="265"/>
      <c r="B53" s="265"/>
      <c r="C53" s="265"/>
      <c r="D53" s="265"/>
      <c r="E53" s="265"/>
      <c r="F53" s="265"/>
      <c r="G53" s="266"/>
      <c r="H53" s="265"/>
      <c r="I53" s="266"/>
      <c r="J53" s="265"/>
      <c r="K53" s="266"/>
      <c r="L53" s="266"/>
      <c r="M53" s="266"/>
      <c r="N53" s="265"/>
      <c r="O53" s="265"/>
      <c r="P53" s="267"/>
      <c r="Q53" s="267"/>
    </row>
    <row r="54" ht="12.75" customHeight="1" spans="1:17">
      <c r="A54" s="265"/>
      <c r="B54" s="265"/>
      <c r="C54" s="265"/>
      <c r="D54" s="265"/>
      <c r="E54" s="265"/>
      <c r="F54" s="265"/>
      <c r="G54" s="266"/>
      <c r="H54" s="265"/>
      <c r="I54" s="266"/>
      <c r="J54" s="265"/>
      <c r="K54" s="266"/>
      <c r="L54" s="266"/>
      <c r="M54" s="266"/>
      <c r="N54" s="265"/>
      <c r="O54" s="265"/>
      <c r="P54" s="267"/>
      <c r="Q54" s="267"/>
    </row>
    <row r="55" ht="12.75" customHeight="1" spans="1:17">
      <c r="A55" s="265"/>
      <c r="B55" s="265"/>
      <c r="C55" s="265"/>
      <c r="D55" s="265"/>
      <c r="E55" s="265"/>
      <c r="F55" s="265"/>
      <c r="G55" s="266"/>
      <c r="H55" s="265"/>
      <c r="I55" s="266"/>
      <c r="J55" s="265"/>
      <c r="K55" s="266"/>
      <c r="L55" s="266"/>
      <c r="M55" s="266"/>
      <c r="N55" s="265"/>
      <c r="O55" s="265"/>
      <c r="P55" s="267"/>
      <c r="Q55" s="267"/>
    </row>
    <row r="56" ht="12.75" customHeight="1" spans="1:17">
      <c r="A56" s="265"/>
      <c r="B56" s="265"/>
      <c r="C56" s="265"/>
      <c r="D56" s="265"/>
      <c r="E56" s="265"/>
      <c r="F56" s="265"/>
      <c r="G56" s="266"/>
      <c r="H56" s="265"/>
      <c r="I56" s="266"/>
      <c r="J56" s="265"/>
      <c r="K56" s="266"/>
      <c r="L56" s="266"/>
      <c r="M56" s="266"/>
      <c r="N56" s="265"/>
      <c r="O56" s="265"/>
      <c r="P56" s="267"/>
      <c r="Q56" s="267"/>
    </row>
    <row r="57" ht="12.75" customHeight="1" spans="1:17">
      <c r="A57" s="265"/>
      <c r="B57" s="265"/>
      <c r="C57" s="265"/>
      <c r="D57" s="265"/>
      <c r="E57" s="265"/>
      <c r="F57" s="265"/>
      <c r="G57" s="266"/>
      <c r="H57" s="265"/>
      <c r="I57" s="266"/>
      <c r="J57" s="265"/>
      <c r="K57" s="266"/>
      <c r="L57" s="266"/>
      <c r="M57" s="266"/>
      <c r="N57" s="265"/>
      <c r="O57" s="265"/>
      <c r="P57" s="267"/>
      <c r="Q57" s="267"/>
    </row>
    <row r="58" ht="12.75" customHeight="1" spans="1:17">
      <c r="A58" s="265"/>
      <c r="B58" s="265"/>
      <c r="C58" s="265"/>
      <c r="D58" s="265"/>
      <c r="E58" s="265"/>
      <c r="F58" s="265"/>
      <c r="G58" s="266"/>
      <c r="H58" s="265"/>
      <c r="I58" s="266"/>
      <c r="J58" s="265"/>
      <c r="K58" s="266"/>
      <c r="L58" s="266"/>
      <c r="M58" s="266"/>
      <c r="N58" s="265"/>
      <c r="O58" s="265"/>
      <c r="P58" s="267"/>
      <c r="Q58" s="267"/>
    </row>
    <row r="59" ht="12.75" customHeight="1" spans="1:17">
      <c r="A59" s="265"/>
      <c r="B59" s="265"/>
      <c r="C59" s="265"/>
      <c r="D59" s="265"/>
      <c r="E59" s="265"/>
      <c r="F59" s="265"/>
      <c r="G59" s="266"/>
      <c r="H59" s="265"/>
      <c r="I59" s="266"/>
      <c r="J59" s="265"/>
      <c r="K59" s="266"/>
      <c r="L59" s="266"/>
      <c r="M59" s="266"/>
      <c r="N59" s="265"/>
      <c r="O59" s="265"/>
      <c r="P59" s="267"/>
      <c r="Q59" s="267"/>
    </row>
    <row r="60" ht="12.75" customHeight="1" spans="1:17">
      <c r="A60" s="265"/>
      <c r="B60" s="265"/>
      <c r="C60" s="265"/>
      <c r="D60" s="265"/>
      <c r="E60" s="265"/>
      <c r="F60" s="265"/>
      <c r="G60" s="266"/>
      <c r="H60" s="265"/>
      <c r="I60" s="266"/>
      <c r="J60" s="265"/>
      <c r="K60" s="266"/>
      <c r="L60" s="266"/>
      <c r="M60" s="266"/>
      <c r="N60" s="265"/>
      <c r="O60" s="265"/>
      <c r="P60" s="267"/>
      <c r="Q60" s="267"/>
    </row>
    <row r="61" ht="12.75" customHeight="1" spans="1:17">
      <c r="A61" s="265"/>
      <c r="B61" s="265"/>
      <c r="C61" s="265"/>
      <c r="D61" s="265"/>
      <c r="E61" s="265"/>
      <c r="F61" s="265"/>
      <c r="G61" s="266"/>
      <c r="H61" s="265"/>
      <c r="I61" s="266"/>
      <c r="J61" s="265"/>
      <c r="K61" s="266"/>
      <c r="L61" s="266"/>
      <c r="M61" s="266"/>
      <c r="N61" s="265"/>
      <c r="O61" s="265"/>
      <c r="P61" s="267"/>
      <c r="Q61" s="267"/>
    </row>
    <row r="62" ht="12.75" customHeight="1" spans="1:17">
      <c r="A62" s="265"/>
      <c r="B62" s="265"/>
      <c r="C62" s="265"/>
      <c r="D62" s="265"/>
      <c r="E62" s="265"/>
      <c r="F62" s="265"/>
      <c r="G62" s="266"/>
      <c r="H62" s="265"/>
      <c r="I62" s="266"/>
      <c r="J62" s="265"/>
      <c r="K62" s="266"/>
      <c r="L62" s="266"/>
      <c r="M62" s="266"/>
      <c r="N62" s="265"/>
      <c r="O62" s="265"/>
      <c r="P62" s="267"/>
      <c r="Q62" s="267"/>
    </row>
    <row r="63" ht="12.75" customHeight="1" spans="1:17">
      <c r="A63" s="265"/>
      <c r="B63" s="265"/>
      <c r="C63" s="265"/>
      <c r="D63" s="265"/>
      <c r="E63" s="265"/>
      <c r="F63" s="265"/>
      <c r="G63" s="266"/>
      <c r="H63" s="265"/>
      <c r="I63" s="266"/>
      <c r="J63" s="265"/>
      <c r="K63" s="266"/>
      <c r="L63" s="266"/>
      <c r="M63" s="266"/>
      <c r="N63" s="265"/>
      <c r="O63" s="265"/>
      <c r="P63" s="267"/>
      <c r="Q63" s="267"/>
    </row>
    <row r="64" ht="12.75" customHeight="1" spans="1:17">
      <c r="A64" s="265"/>
      <c r="B64" s="265"/>
      <c r="C64" s="265"/>
      <c r="D64" s="265"/>
      <c r="E64" s="265"/>
      <c r="F64" s="265"/>
      <c r="G64" s="266"/>
      <c r="H64" s="265"/>
      <c r="I64" s="266"/>
      <c r="J64" s="265"/>
      <c r="K64" s="266"/>
      <c r="L64" s="266"/>
      <c r="M64" s="266"/>
      <c r="N64" s="265"/>
      <c r="O64" s="265"/>
      <c r="P64" s="267"/>
      <c r="Q64" s="267"/>
    </row>
    <row r="65" ht="12.75" customHeight="1" spans="1:17">
      <c r="A65" s="265"/>
      <c r="B65" s="265"/>
      <c r="C65" s="265"/>
      <c r="D65" s="265"/>
      <c r="E65" s="265"/>
      <c r="F65" s="265"/>
      <c r="G65" s="266"/>
      <c r="H65" s="265"/>
      <c r="I65" s="266"/>
      <c r="J65" s="265"/>
      <c r="K65" s="266"/>
      <c r="L65" s="266"/>
      <c r="M65" s="266"/>
      <c r="N65" s="265"/>
      <c r="O65" s="265"/>
      <c r="P65" s="267"/>
      <c r="Q65" s="267"/>
    </row>
    <row r="66" ht="12.75" customHeight="1" spans="1:17">
      <c r="A66" s="265"/>
      <c r="B66" s="265"/>
      <c r="C66" s="265"/>
      <c r="D66" s="265"/>
      <c r="E66" s="265"/>
      <c r="F66" s="265"/>
      <c r="G66" s="266"/>
      <c r="H66" s="265"/>
      <c r="I66" s="266"/>
      <c r="J66" s="265"/>
      <c r="K66" s="266"/>
      <c r="L66" s="266"/>
      <c r="M66" s="266"/>
      <c r="N66" s="265"/>
      <c r="O66" s="265"/>
      <c r="P66" s="267"/>
      <c r="Q66" s="267"/>
    </row>
    <row r="67" ht="12.75" customHeight="1" spans="1:17">
      <c r="A67" s="265"/>
      <c r="B67" s="265"/>
      <c r="C67" s="265"/>
      <c r="D67" s="265"/>
      <c r="E67" s="265"/>
      <c r="F67" s="265"/>
      <c r="G67" s="266"/>
      <c r="H67" s="265"/>
      <c r="I67" s="266"/>
      <c r="J67" s="265"/>
      <c r="K67" s="266"/>
      <c r="L67" s="266"/>
      <c r="M67" s="266"/>
      <c r="N67" s="265"/>
      <c r="O67" s="265"/>
      <c r="P67" s="267"/>
      <c r="Q67" s="267"/>
    </row>
    <row r="68" ht="12.75" customHeight="1" spans="1:17">
      <c r="A68" s="265"/>
      <c r="B68" s="265"/>
      <c r="C68" s="265"/>
      <c r="D68" s="265"/>
      <c r="E68" s="265"/>
      <c r="F68" s="265"/>
      <c r="G68" s="266"/>
      <c r="H68" s="265"/>
      <c r="I68" s="266"/>
      <c r="J68" s="265"/>
      <c r="K68" s="266"/>
      <c r="L68" s="266"/>
      <c r="M68" s="266"/>
      <c r="N68" s="265"/>
      <c r="O68" s="265"/>
      <c r="P68" s="267"/>
      <c r="Q68" s="267"/>
    </row>
    <row r="69" ht="12.75" customHeight="1" spans="1:17">
      <c r="A69" s="265"/>
      <c r="B69" s="265"/>
      <c r="C69" s="265"/>
      <c r="D69" s="265"/>
      <c r="E69" s="265"/>
      <c r="F69" s="265"/>
      <c r="G69" s="266"/>
      <c r="H69" s="265"/>
      <c r="I69" s="266"/>
      <c r="J69" s="265"/>
      <c r="K69" s="266"/>
      <c r="L69" s="266"/>
      <c r="M69" s="266"/>
      <c r="N69" s="265"/>
      <c r="O69" s="265"/>
      <c r="P69" s="267"/>
      <c r="Q69" s="267"/>
    </row>
    <row r="70" ht="12.75" customHeight="1" spans="1:17">
      <c r="A70" s="265"/>
      <c r="B70" s="265"/>
      <c r="C70" s="265"/>
      <c r="D70" s="265"/>
      <c r="E70" s="265"/>
      <c r="F70" s="265"/>
      <c r="G70" s="266"/>
      <c r="H70" s="265"/>
      <c r="I70" s="266"/>
      <c r="J70" s="265"/>
      <c r="K70" s="266"/>
      <c r="L70" s="266"/>
      <c r="M70" s="266"/>
      <c r="N70" s="265"/>
      <c r="O70" s="265"/>
      <c r="P70" s="267"/>
      <c r="Q70" s="267"/>
    </row>
    <row r="71" ht="12.75" customHeight="1" spans="1:17">
      <c r="A71" s="265"/>
      <c r="B71" s="265"/>
      <c r="C71" s="265"/>
      <c r="D71" s="265"/>
      <c r="E71" s="265"/>
      <c r="F71" s="265"/>
      <c r="G71" s="266"/>
      <c r="H71" s="265"/>
      <c r="I71" s="266"/>
      <c r="J71" s="265"/>
      <c r="K71" s="266"/>
      <c r="L71" s="266"/>
      <c r="M71" s="266"/>
      <c r="N71" s="265"/>
      <c r="O71" s="265"/>
      <c r="P71" s="267"/>
      <c r="Q71" s="267"/>
    </row>
    <row r="72" ht="12.75" customHeight="1" spans="1:17">
      <c r="A72" s="265"/>
      <c r="B72" s="265"/>
      <c r="C72" s="265"/>
      <c r="D72" s="265"/>
      <c r="E72" s="265"/>
      <c r="F72" s="265"/>
      <c r="G72" s="266"/>
      <c r="H72" s="265"/>
      <c r="I72" s="266"/>
      <c r="J72" s="265"/>
      <c r="K72" s="266"/>
      <c r="L72" s="266"/>
      <c r="M72" s="266"/>
      <c r="N72" s="265"/>
      <c r="O72" s="265"/>
      <c r="P72" s="267"/>
      <c r="Q72" s="267"/>
    </row>
    <row r="73" ht="12.75" customHeight="1" spans="1:17">
      <c r="A73" s="265"/>
      <c r="B73" s="265"/>
      <c r="C73" s="265"/>
      <c r="D73" s="265"/>
      <c r="E73" s="265"/>
      <c r="F73" s="265"/>
      <c r="G73" s="266"/>
      <c r="H73" s="265"/>
      <c r="I73" s="266"/>
      <c r="J73" s="265"/>
      <c r="K73" s="266"/>
      <c r="L73" s="266"/>
      <c r="M73" s="266"/>
      <c r="N73" s="265"/>
      <c r="O73" s="265"/>
      <c r="P73" s="267"/>
      <c r="Q73" s="267"/>
    </row>
    <row r="74" ht="12.75" customHeight="1" spans="1:17">
      <c r="A74" s="265"/>
      <c r="B74" s="265"/>
      <c r="C74" s="265"/>
      <c r="D74" s="265"/>
      <c r="E74" s="265"/>
      <c r="F74" s="265"/>
      <c r="G74" s="266"/>
      <c r="H74" s="265"/>
      <c r="I74" s="266"/>
      <c r="J74" s="265"/>
      <c r="K74" s="266"/>
      <c r="L74" s="266"/>
      <c r="M74" s="266"/>
      <c r="N74" s="265"/>
      <c r="O74" s="265"/>
      <c r="P74" s="267"/>
      <c r="Q74" s="267"/>
    </row>
    <row r="75" ht="12.75" customHeight="1" spans="1:17">
      <c r="A75" s="265"/>
      <c r="B75" s="265"/>
      <c r="C75" s="265"/>
      <c r="D75" s="265"/>
      <c r="E75" s="265"/>
      <c r="F75" s="265"/>
      <c r="G75" s="266"/>
      <c r="H75" s="265"/>
      <c r="I75" s="266"/>
      <c r="J75" s="265"/>
      <c r="K75" s="266"/>
      <c r="L75" s="266"/>
      <c r="M75" s="266"/>
      <c r="N75" s="265"/>
      <c r="O75" s="265"/>
      <c r="P75" s="267"/>
      <c r="Q75" s="267"/>
    </row>
    <row r="76" ht="12.75" customHeight="1" spans="1:17">
      <c r="A76" s="265"/>
      <c r="B76" s="265"/>
      <c r="C76" s="265"/>
      <c r="D76" s="265"/>
      <c r="E76" s="265"/>
      <c r="F76" s="265"/>
      <c r="G76" s="266"/>
      <c r="H76" s="265"/>
      <c r="I76" s="266"/>
      <c r="J76" s="265"/>
      <c r="K76" s="266"/>
      <c r="L76" s="266"/>
      <c r="M76" s="266"/>
      <c r="N76" s="265"/>
      <c r="O76" s="265"/>
      <c r="P76" s="267"/>
      <c r="Q76" s="267"/>
    </row>
    <row r="77" ht="12.75" customHeight="1" spans="1:17">
      <c r="A77" s="265"/>
      <c r="B77" s="265"/>
      <c r="C77" s="265"/>
      <c r="D77" s="265"/>
      <c r="E77" s="265"/>
      <c r="F77" s="265"/>
      <c r="G77" s="266"/>
      <c r="H77" s="265"/>
      <c r="I77" s="266"/>
      <c r="J77" s="265"/>
      <c r="K77" s="266"/>
      <c r="L77" s="266"/>
      <c r="M77" s="266"/>
      <c r="N77" s="265"/>
      <c r="O77" s="265"/>
      <c r="P77" s="267"/>
      <c r="Q77" s="267"/>
    </row>
    <row r="78" ht="12.75" customHeight="1" spans="1:17">
      <c r="A78" s="265"/>
      <c r="B78" s="265"/>
      <c r="C78" s="265"/>
      <c r="D78" s="265"/>
      <c r="E78" s="265"/>
      <c r="F78" s="265"/>
      <c r="G78" s="266"/>
      <c r="H78" s="265"/>
      <c r="I78" s="266"/>
      <c r="J78" s="265"/>
      <c r="K78" s="266"/>
      <c r="L78" s="266"/>
      <c r="M78" s="266"/>
      <c r="N78" s="265"/>
      <c r="O78" s="265"/>
      <c r="P78" s="267"/>
      <c r="Q78" s="267"/>
    </row>
    <row r="79" ht="12.75" customHeight="1" spans="1:17">
      <c r="A79" s="265"/>
      <c r="B79" s="265"/>
      <c r="C79" s="265"/>
      <c r="D79" s="265"/>
      <c r="E79" s="265"/>
      <c r="F79" s="265"/>
      <c r="G79" s="266"/>
      <c r="H79" s="265"/>
      <c r="I79" s="266"/>
      <c r="J79" s="265"/>
      <c r="K79" s="266"/>
      <c r="L79" s="266"/>
      <c r="M79" s="266"/>
      <c r="N79" s="265"/>
      <c r="O79" s="265"/>
      <c r="P79" s="267"/>
      <c r="Q79" s="267"/>
    </row>
    <row r="80" ht="12.75" customHeight="1" spans="1:17">
      <c r="A80" s="265"/>
      <c r="B80" s="265"/>
      <c r="C80" s="265"/>
      <c r="D80" s="265"/>
      <c r="E80" s="265"/>
      <c r="F80" s="265"/>
      <c r="G80" s="266"/>
      <c r="H80" s="265"/>
      <c r="I80" s="266"/>
      <c r="J80" s="265"/>
      <c r="K80" s="266"/>
      <c r="L80" s="266"/>
      <c r="M80" s="266"/>
      <c r="N80" s="265"/>
      <c r="O80" s="265"/>
      <c r="P80" s="267"/>
      <c r="Q80" s="267"/>
    </row>
    <row r="81" ht="12.75" customHeight="1" spans="1:17">
      <c r="A81" s="265"/>
      <c r="B81" s="265"/>
      <c r="C81" s="265"/>
      <c r="D81" s="265"/>
      <c r="E81" s="265"/>
      <c r="F81" s="265"/>
      <c r="G81" s="266"/>
      <c r="H81" s="265"/>
      <c r="I81" s="266"/>
      <c r="J81" s="265"/>
      <c r="K81" s="266"/>
      <c r="L81" s="266"/>
      <c r="M81" s="266"/>
      <c r="N81" s="265"/>
      <c r="O81" s="265"/>
      <c r="P81" s="267"/>
      <c r="Q81" s="267"/>
    </row>
    <row r="82" ht="12.75" customHeight="1" spans="1:17">
      <c r="A82" s="265"/>
      <c r="B82" s="265"/>
      <c r="C82" s="265"/>
      <c r="D82" s="265"/>
      <c r="E82" s="265"/>
      <c r="F82" s="265"/>
      <c r="G82" s="266"/>
      <c r="H82" s="265"/>
      <c r="I82" s="266"/>
      <c r="J82" s="265"/>
      <c r="K82" s="266"/>
      <c r="L82" s="266"/>
      <c r="M82" s="266"/>
      <c r="N82" s="265"/>
      <c r="O82" s="265"/>
      <c r="P82" s="267"/>
      <c r="Q82" s="267"/>
    </row>
    <row r="83" ht="12.75" customHeight="1" spans="1:17">
      <c r="A83" s="265"/>
      <c r="B83" s="265"/>
      <c r="C83" s="265"/>
      <c r="D83" s="265"/>
      <c r="E83" s="265"/>
      <c r="F83" s="265"/>
      <c r="G83" s="266"/>
      <c r="H83" s="265"/>
      <c r="I83" s="266"/>
      <c r="J83" s="265"/>
      <c r="K83" s="266"/>
      <c r="L83" s="266"/>
      <c r="M83" s="266"/>
      <c r="N83" s="265"/>
      <c r="O83" s="265"/>
      <c r="P83" s="267"/>
      <c r="Q83" s="267"/>
    </row>
    <row r="84" ht="12.75" customHeight="1" spans="1:17">
      <c r="A84" s="265"/>
      <c r="B84" s="265"/>
      <c r="C84" s="265"/>
      <c r="D84" s="265"/>
      <c r="E84" s="265"/>
      <c r="F84" s="265"/>
      <c r="G84" s="266"/>
      <c r="H84" s="265"/>
      <c r="I84" s="266"/>
      <c r="J84" s="265"/>
      <c r="K84" s="266"/>
      <c r="L84" s="266"/>
      <c r="M84" s="266"/>
      <c r="N84" s="265"/>
      <c r="O84" s="265"/>
      <c r="P84" s="267"/>
      <c r="Q84" s="267"/>
    </row>
    <row r="85" ht="12.75" customHeight="1" spans="1:17">
      <c r="A85" s="265"/>
      <c r="B85" s="265"/>
      <c r="C85" s="265"/>
      <c r="D85" s="265"/>
      <c r="E85" s="265"/>
      <c r="F85" s="265"/>
      <c r="G85" s="266"/>
      <c r="H85" s="265"/>
      <c r="I85" s="266"/>
      <c r="J85" s="265"/>
      <c r="K85" s="266"/>
      <c r="L85" s="266"/>
      <c r="M85" s="266"/>
      <c r="N85" s="265"/>
      <c r="O85" s="265"/>
      <c r="P85" s="267"/>
      <c r="Q85" s="267"/>
    </row>
    <row r="86" ht="12.75" customHeight="1" spans="1:17">
      <c r="A86" s="265"/>
      <c r="B86" s="265"/>
      <c r="C86" s="265"/>
      <c r="D86" s="265"/>
      <c r="E86" s="265"/>
      <c r="F86" s="265"/>
      <c r="G86" s="266"/>
      <c r="H86" s="265"/>
      <c r="I86" s="266"/>
      <c r="J86" s="265"/>
      <c r="K86" s="266"/>
      <c r="L86" s="266"/>
      <c r="M86" s="266"/>
      <c r="N86" s="265"/>
      <c r="O86" s="265"/>
      <c r="P86" s="267"/>
      <c r="Q86" s="267"/>
    </row>
    <row r="87" ht="12.75" customHeight="1" spans="1:17">
      <c r="A87" s="265"/>
      <c r="B87" s="265"/>
      <c r="C87" s="265"/>
      <c r="D87" s="265"/>
      <c r="E87" s="265"/>
      <c r="F87" s="265"/>
      <c r="G87" s="266"/>
      <c r="H87" s="265"/>
      <c r="I87" s="266"/>
      <c r="J87" s="265"/>
      <c r="K87" s="266"/>
      <c r="L87" s="266"/>
      <c r="M87" s="266"/>
      <c r="N87" s="265"/>
      <c r="O87" s="265"/>
      <c r="P87" s="267"/>
      <c r="Q87" s="267"/>
    </row>
    <row r="88" ht="12.75" customHeight="1" spans="1:17">
      <c r="A88" s="265"/>
      <c r="B88" s="265"/>
      <c r="C88" s="265"/>
      <c r="D88" s="265"/>
      <c r="E88" s="265"/>
      <c r="F88" s="265"/>
      <c r="G88" s="266"/>
      <c r="H88" s="265"/>
      <c r="I88" s="266"/>
      <c r="J88" s="265"/>
      <c r="K88" s="266"/>
      <c r="L88" s="266"/>
      <c r="M88" s="266"/>
      <c r="N88" s="265"/>
      <c r="O88" s="265"/>
      <c r="P88" s="267"/>
      <c r="Q88" s="267"/>
    </row>
    <row r="89" ht="12.75" customHeight="1" spans="1:17">
      <c r="A89" s="265"/>
      <c r="B89" s="265"/>
      <c r="C89" s="265"/>
      <c r="D89" s="265"/>
      <c r="E89" s="265"/>
      <c r="F89" s="265"/>
      <c r="G89" s="266"/>
      <c r="H89" s="265"/>
      <c r="I89" s="266"/>
      <c r="J89" s="265"/>
      <c r="K89" s="266"/>
      <c r="L89" s="266"/>
      <c r="M89" s="266"/>
      <c r="N89" s="265"/>
      <c r="O89" s="265"/>
      <c r="P89" s="267"/>
      <c r="Q89" s="267"/>
    </row>
    <row r="90" ht="12.75" customHeight="1" spans="1:17">
      <c r="A90" s="265"/>
      <c r="B90" s="265"/>
      <c r="C90" s="265"/>
      <c r="D90" s="265"/>
      <c r="E90" s="265"/>
      <c r="F90" s="265"/>
      <c r="G90" s="266"/>
      <c r="H90" s="265"/>
      <c r="I90" s="266"/>
      <c r="J90" s="265"/>
      <c r="K90" s="266"/>
      <c r="L90" s="266"/>
      <c r="M90" s="266"/>
      <c r="N90" s="265"/>
      <c r="O90" s="265"/>
      <c r="P90" s="267"/>
      <c r="Q90" s="267"/>
    </row>
    <row r="91" ht="12.75" customHeight="1" spans="1:17">
      <c r="A91" s="265"/>
      <c r="B91" s="265"/>
      <c r="C91" s="265"/>
      <c r="D91" s="265"/>
      <c r="E91" s="265"/>
      <c r="F91" s="265"/>
      <c r="G91" s="266"/>
      <c r="H91" s="265"/>
      <c r="I91" s="266"/>
      <c r="J91" s="265"/>
      <c r="K91" s="266"/>
      <c r="L91" s="266"/>
      <c r="M91" s="266"/>
      <c r="N91" s="265"/>
      <c r="O91" s="265"/>
      <c r="P91" s="267"/>
      <c r="Q91" s="267"/>
    </row>
    <row r="92" ht="12.75" customHeight="1" spans="1:17">
      <c r="A92" s="265"/>
      <c r="B92" s="265"/>
      <c r="C92" s="265"/>
      <c r="D92" s="265"/>
      <c r="E92" s="265"/>
      <c r="F92" s="265"/>
      <c r="G92" s="266"/>
      <c r="H92" s="265"/>
      <c r="I92" s="266"/>
      <c r="J92" s="265"/>
      <c r="K92" s="266"/>
      <c r="L92" s="266"/>
      <c r="M92" s="266"/>
      <c r="N92" s="265"/>
      <c r="O92" s="265"/>
      <c r="P92" s="267"/>
      <c r="Q92" s="267"/>
    </row>
    <row r="93" ht="12.75" customHeight="1" spans="1:17">
      <c r="A93" s="265"/>
      <c r="B93" s="265"/>
      <c r="C93" s="265"/>
      <c r="D93" s="265"/>
      <c r="E93" s="265"/>
      <c r="F93" s="265"/>
      <c r="G93" s="266"/>
      <c r="H93" s="265"/>
      <c r="I93" s="266"/>
      <c r="J93" s="265"/>
      <c r="K93" s="266"/>
      <c r="L93" s="266"/>
      <c r="M93" s="266"/>
      <c r="N93" s="265"/>
      <c r="O93" s="265"/>
      <c r="P93" s="267"/>
      <c r="Q93" s="267"/>
    </row>
    <row r="94" ht="12.75" customHeight="1" spans="1:17">
      <c r="A94" s="265"/>
      <c r="B94" s="265"/>
      <c r="C94" s="265"/>
      <c r="D94" s="265"/>
      <c r="E94" s="265"/>
      <c r="F94" s="265"/>
      <c r="G94" s="266"/>
      <c r="H94" s="265"/>
      <c r="I94" s="266"/>
      <c r="J94" s="265"/>
      <c r="K94" s="266"/>
      <c r="L94" s="266"/>
      <c r="M94" s="266"/>
      <c r="N94" s="265"/>
      <c r="O94" s="265"/>
      <c r="P94" s="267"/>
      <c r="Q94" s="267"/>
    </row>
    <row r="95" ht="12.75" customHeight="1" spans="1:17">
      <c r="A95" s="265"/>
      <c r="B95" s="265"/>
      <c r="C95" s="265"/>
      <c r="D95" s="265"/>
      <c r="E95" s="265"/>
      <c r="F95" s="265"/>
      <c r="G95" s="266"/>
      <c r="H95" s="265"/>
      <c r="I95" s="266"/>
      <c r="J95" s="265"/>
      <c r="K95" s="266"/>
      <c r="L95" s="266"/>
      <c r="M95" s="266"/>
      <c r="N95" s="265"/>
      <c r="O95" s="265"/>
      <c r="P95" s="267"/>
      <c r="Q95" s="267"/>
    </row>
    <row r="96" ht="12.75" customHeight="1" spans="1:17">
      <c r="A96" s="265"/>
      <c r="B96" s="265"/>
      <c r="C96" s="265"/>
      <c r="D96" s="265"/>
      <c r="E96" s="265"/>
      <c r="F96" s="265"/>
      <c r="G96" s="266"/>
      <c r="H96" s="265"/>
      <c r="I96" s="266"/>
      <c r="J96" s="265"/>
      <c r="K96" s="266"/>
      <c r="L96" s="266"/>
      <c r="M96" s="266"/>
      <c r="N96" s="265"/>
      <c r="O96" s="265"/>
      <c r="P96" s="267"/>
      <c r="Q96" s="267"/>
    </row>
    <row r="97" ht="12.75" customHeight="1" spans="1:17">
      <c r="A97" s="265"/>
      <c r="B97" s="265"/>
      <c r="C97" s="265"/>
      <c r="D97" s="265"/>
      <c r="E97" s="265"/>
      <c r="F97" s="265"/>
      <c r="G97" s="266"/>
      <c r="H97" s="265"/>
      <c r="I97" s="266"/>
      <c r="J97" s="265"/>
      <c r="K97" s="266"/>
      <c r="L97" s="266"/>
      <c r="M97" s="266"/>
      <c r="N97" s="265"/>
      <c r="O97" s="265"/>
      <c r="P97" s="267"/>
      <c r="Q97" s="267"/>
    </row>
    <row r="98" ht="12.75" customHeight="1" spans="1:17">
      <c r="A98" s="265"/>
      <c r="B98" s="265"/>
      <c r="C98" s="265"/>
      <c r="D98" s="265"/>
      <c r="E98" s="265"/>
      <c r="F98" s="265"/>
      <c r="G98" s="266"/>
      <c r="H98" s="265"/>
      <c r="I98" s="266"/>
      <c r="J98" s="265"/>
      <c r="K98" s="266"/>
      <c r="L98" s="266"/>
      <c r="M98" s="266"/>
      <c r="N98" s="265"/>
      <c r="O98" s="265"/>
      <c r="P98" s="267"/>
      <c r="Q98" s="267"/>
    </row>
    <row r="99" ht="12.75" customHeight="1" spans="1:17">
      <c r="A99" s="265"/>
      <c r="B99" s="265"/>
      <c r="C99" s="265"/>
      <c r="D99" s="265"/>
      <c r="E99" s="265"/>
      <c r="F99" s="265"/>
      <c r="G99" s="266"/>
      <c r="H99" s="265"/>
      <c r="I99" s="266"/>
      <c r="J99" s="265"/>
      <c r="K99" s="266"/>
      <c r="L99" s="266"/>
      <c r="M99" s="266"/>
      <c r="N99" s="265"/>
      <c r="O99" s="265"/>
      <c r="P99" s="267"/>
      <c r="Q99" s="267"/>
    </row>
    <row r="100" ht="12.75" customHeight="1" spans="1:17">
      <c r="A100" s="265"/>
      <c r="B100" s="265"/>
      <c r="C100" s="265"/>
      <c r="D100" s="265"/>
      <c r="E100" s="265"/>
      <c r="F100" s="265"/>
      <c r="G100" s="266"/>
      <c r="H100" s="265"/>
      <c r="I100" s="266"/>
      <c r="J100" s="265"/>
      <c r="K100" s="266"/>
      <c r="L100" s="266"/>
      <c r="M100" s="266"/>
      <c r="N100" s="265"/>
      <c r="O100" s="265"/>
      <c r="P100" s="267"/>
      <c r="Q100" s="267"/>
    </row>
    <row r="101" ht="12.75" customHeight="1" spans="1:17">
      <c r="A101" s="265"/>
      <c r="B101" s="265"/>
      <c r="C101" s="265"/>
      <c r="D101" s="265"/>
      <c r="E101" s="265"/>
      <c r="F101" s="265"/>
      <c r="G101" s="266"/>
      <c r="H101" s="265"/>
      <c r="I101" s="266"/>
      <c r="J101" s="265"/>
      <c r="K101" s="266"/>
      <c r="L101" s="266"/>
      <c r="M101" s="266"/>
      <c r="N101" s="265"/>
      <c r="O101" s="265"/>
      <c r="P101" s="267"/>
      <c r="Q101" s="267"/>
    </row>
    <row r="102" ht="12.75" customHeight="1" spans="1:17">
      <c r="A102" s="265"/>
      <c r="B102" s="265"/>
      <c r="C102" s="265"/>
      <c r="D102" s="265"/>
      <c r="E102" s="265"/>
      <c r="F102" s="265"/>
      <c r="G102" s="266"/>
      <c r="H102" s="265"/>
      <c r="I102" s="266"/>
      <c r="J102" s="265"/>
      <c r="K102" s="266"/>
      <c r="L102" s="266"/>
      <c r="M102" s="266"/>
      <c r="N102" s="265"/>
      <c r="O102" s="265"/>
      <c r="P102" s="267"/>
      <c r="Q102" s="267"/>
    </row>
    <row r="103" ht="12.75" customHeight="1" spans="1:17">
      <c r="A103" s="265"/>
      <c r="B103" s="265"/>
      <c r="C103" s="265"/>
      <c r="D103" s="265"/>
      <c r="E103" s="265"/>
      <c r="F103" s="265"/>
      <c r="G103" s="266"/>
      <c r="H103" s="265"/>
      <c r="I103" s="266"/>
      <c r="J103" s="265"/>
      <c r="K103" s="266"/>
      <c r="L103" s="266"/>
      <c r="M103" s="266"/>
      <c r="N103" s="265"/>
      <c r="O103" s="265"/>
      <c r="P103" s="267"/>
      <c r="Q103" s="267"/>
    </row>
    <row r="104" ht="12.75" customHeight="1" spans="1:17">
      <c r="A104" s="265"/>
      <c r="B104" s="265"/>
      <c r="C104" s="265"/>
      <c r="D104" s="265"/>
      <c r="E104" s="265"/>
      <c r="F104" s="265"/>
      <c r="G104" s="266"/>
      <c r="H104" s="265"/>
      <c r="I104" s="266"/>
      <c r="J104" s="265"/>
      <c r="K104" s="266"/>
      <c r="L104" s="266"/>
      <c r="M104" s="266"/>
      <c r="N104" s="265"/>
      <c r="O104" s="265"/>
      <c r="P104" s="267"/>
      <c r="Q104" s="267"/>
    </row>
    <row r="105" ht="12.75" customHeight="1" spans="1:17">
      <c r="A105" s="265"/>
      <c r="B105" s="265"/>
      <c r="C105" s="265"/>
      <c r="D105" s="265"/>
      <c r="E105" s="265"/>
      <c r="F105" s="265"/>
      <c r="G105" s="266"/>
      <c r="H105" s="265"/>
      <c r="I105" s="266"/>
      <c r="J105" s="265"/>
      <c r="K105" s="266"/>
      <c r="L105" s="266"/>
      <c r="M105" s="266"/>
      <c r="N105" s="265"/>
      <c r="O105" s="265"/>
      <c r="P105" s="267"/>
      <c r="Q105" s="267"/>
    </row>
    <row r="106" ht="12.75" customHeight="1" spans="1:17">
      <c r="A106" s="265"/>
      <c r="B106" s="265"/>
      <c r="C106" s="265"/>
      <c r="D106" s="265"/>
      <c r="E106" s="265"/>
      <c r="F106" s="265"/>
      <c r="G106" s="266"/>
      <c r="H106" s="265"/>
      <c r="I106" s="266"/>
      <c r="J106" s="265"/>
      <c r="K106" s="266"/>
      <c r="L106" s="266"/>
      <c r="M106" s="266"/>
      <c r="N106" s="265"/>
      <c r="O106" s="265"/>
      <c r="P106" s="267"/>
      <c r="Q106" s="267"/>
    </row>
    <row r="107" ht="12.75" customHeight="1" spans="1:17">
      <c r="A107" s="265"/>
      <c r="B107" s="265"/>
      <c r="C107" s="265"/>
      <c r="D107" s="265"/>
      <c r="E107" s="265"/>
      <c r="F107" s="265"/>
      <c r="G107" s="266"/>
      <c r="H107" s="265"/>
      <c r="I107" s="266"/>
      <c r="J107" s="265"/>
      <c r="K107" s="266"/>
      <c r="L107" s="266"/>
      <c r="M107" s="266"/>
      <c r="N107" s="265"/>
      <c r="O107" s="265"/>
      <c r="P107" s="267"/>
      <c r="Q107" s="267"/>
    </row>
    <row r="108" ht="12.75" customHeight="1" spans="1:17">
      <c r="A108" s="265"/>
      <c r="B108" s="265"/>
      <c r="C108" s="265"/>
      <c r="D108" s="265"/>
      <c r="E108" s="265"/>
      <c r="F108" s="265"/>
      <c r="G108" s="266"/>
      <c r="H108" s="265"/>
      <c r="I108" s="266"/>
      <c r="J108" s="265"/>
      <c r="K108" s="266"/>
      <c r="L108" s="266"/>
      <c r="M108" s="266"/>
      <c r="N108" s="265"/>
      <c r="O108" s="265"/>
      <c r="P108" s="267"/>
      <c r="Q108" s="267"/>
    </row>
    <row r="109" ht="12.75" customHeight="1" spans="1:17">
      <c r="A109" s="265"/>
      <c r="B109" s="265"/>
      <c r="C109" s="265"/>
      <c r="D109" s="265"/>
      <c r="E109" s="265"/>
      <c r="F109" s="265"/>
      <c r="G109" s="266"/>
      <c r="H109" s="265"/>
      <c r="I109" s="266"/>
      <c r="J109" s="265"/>
      <c r="K109" s="266"/>
      <c r="L109" s="266"/>
      <c r="M109" s="266"/>
      <c r="N109" s="265"/>
      <c r="O109" s="265"/>
      <c r="P109" s="267"/>
      <c r="Q109" s="267"/>
    </row>
    <row r="110" ht="12.75" customHeight="1" spans="1:17">
      <c r="A110" s="265"/>
      <c r="B110" s="265"/>
      <c r="C110" s="265"/>
      <c r="D110" s="265"/>
      <c r="E110" s="265"/>
      <c r="F110" s="265"/>
      <c r="G110" s="266"/>
      <c r="H110" s="265"/>
      <c r="I110" s="266"/>
      <c r="J110" s="265"/>
      <c r="K110" s="266"/>
      <c r="L110" s="266"/>
      <c r="M110" s="266"/>
      <c r="N110" s="265"/>
      <c r="O110" s="265"/>
      <c r="P110" s="267"/>
      <c r="Q110" s="267"/>
    </row>
    <row r="111" ht="12.75" customHeight="1" spans="1:17">
      <c r="A111" s="265"/>
      <c r="B111" s="265"/>
      <c r="C111" s="265"/>
      <c r="D111" s="265"/>
      <c r="E111" s="265"/>
      <c r="F111" s="265"/>
      <c r="G111" s="266"/>
      <c r="H111" s="265"/>
      <c r="I111" s="266"/>
      <c r="J111" s="265"/>
      <c r="K111" s="266"/>
      <c r="L111" s="266"/>
      <c r="M111" s="266"/>
      <c r="N111" s="265"/>
      <c r="O111" s="265"/>
      <c r="P111" s="267"/>
      <c r="Q111" s="267"/>
    </row>
    <row r="112" ht="12.75" customHeight="1" spans="1:17">
      <c r="A112" s="265"/>
      <c r="B112" s="265"/>
      <c r="C112" s="265"/>
      <c r="D112" s="265"/>
      <c r="E112" s="265"/>
      <c r="F112" s="265"/>
      <c r="G112" s="266"/>
      <c r="H112" s="265"/>
      <c r="I112" s="266"/>
      <c r="J112" s="265"/>
      <c r="K112" s="266"/>
      <c r="L112" s="266"/>
      <c r="M112" s="266"/>
      <c r="N112" s="265"/>
      <c r="O112" s="265"/>
      <c r="P112" s="267"/>
      <c r="Q112" s="267"/>
    </row>
    <row r="113" ht="12.75" customHeight="1" spans="1:17">
      <c r="A113" s="265"/>
      <c r="B113" s="265"/>
      <c r="C113" s="265"/>
      <c r="D113" s="265"/>
      <c r="E113" s="265"/>
      <c r="F113" s="265"/>
      <c r="G113" s="266"/>
      <c r="H113" s="265"/>
      <c r="I113" s="266"/>
      <c r="J113" s="265"/>
      <c r="K113" s="266"/>
      <c r="L113" s="266"/>
      <c r="M113" s="266"/>
      <c r="N113" s="265"/>
      <c r="O113" s="265"/>
      <c r="P113" s="267"/>
      <c r="Q113" s="267"/>
    </row>
    <row r="114" ht="12.75" customHeight="1" spans="1:17">
      <c r="A114" s="265"/>
      <c r="B114" s="265"/>
      <c r="C114" s="265"/>
      <c r="D114" s="265"/>
      <c r="E114" s="265"/>
      <c r="F114" s="265"/>
      <c r="G114" s="266"/>
      <c r="H114" s="265"/>
      <c r="I114" s="266"/>
      <c r="J114" s="265"/>
      <c r="K114" s="266"/>
      <c r="L114" s="266"/>
      <c r="M114" s="266"/>
      <c r="N114" s="265"/>
      <c r="O114" s="265"/>
      <c r="P114" s="267"/>
      <c r="Q114" s="267"/>
    </row>
    <row r="115" ht="12.75" customHeight="1" spans="1:17">
      <c r="A115" s="265"/>
      <c r="B115" s="265"/>
      <c r="C115" s="265"/>
      <c r="D115" s="265"/>
      <c r="E115" s="265"/>
      <c r="F115" s="265"/>
      <c r="G115" s="266"/>
      <c r="H115" s="265"/>
      <c r="I115" s="266"/>
      <c r="J115" s="265"/>
      <c r="K115" s="266"/>
      <c r="L115" s="266"/>
      <c r="M115" s="266"/>
      <c r="N115" s="265"/>
      <c r="O115" s="265"/>
      <c r="P115" s="267"/>
      <c r="Q115" s="267"/>
    </row>
    <row r="116" ht="12.75" customHeight="1" spans="1:17">
      <c r="A116" s="265"/>
      <c r="B116" s="265"/>
      <c r="C116" s="265"/>
      <c r="D116" s="265"/>
      <c r="E116" s="265"/>
      <c r="F116" s="265"/>
      <c r="G116" s="266"/>
      <c r="H116" s="265"/>
      <c r="I116" s="266"/>
      <c r="J116" s="265"/>
      <c r="K116" s="266"/>
      <c r="L116" s="266"/>
      <c r="M116" s="266"/>
      <c r="N116" s="265"/>
      <c r="O116" s="265"/>
      <c r="P116" s="267"/>
      <c r="Q116" s="267"/>
    </row>
    <row r="117" ht="12.75" customHeight="1" spans="1:17">
      <c r="A117" s="265"/>
      <c r="B117" s="265"/>
      <c r="C117" s="265"/>
      <c r="D117" s="265"/>
      <c r="E117" s="265"/>
      <c r="F117" s="265"/>
      <c r="G117" s="266"/>
      <c r="H117" s="265"/>
      <c r="I117" s="266"/>
      <c r="J117" s="265"/>
      <c r="K117" s="266"/>
      <c r="L117" s="266"/>
      <c r="M117" s="266"/>
      <c r="N117" s="265"/>
      <c r="O117" s="265"/>
      <c r="P117" s="267"/>
      <c r="Q117" s="267"/>
    </row>
    <row r="118" ht="12.75" customHeight="1" spans="1:17">
      <c r="A118" s="265"/>
      <c r="B118" s="265"/>
      <c r="C118" s="265"/>
      <c r="D118" s="265"/>
      <c r="E118" s="265"/>
      <c r="F118" s="265"/>
      <c r="G118" s="266"/>
      <c r="H118" s="265"/>
      <c r="I118" s="266"/>
      <c r="J118" s="265"/>
      <c r="K118" s="266"/>
      <c r="L118" s="266"/>
      <c r="M118" s="266"/>
      <c r="N118" s="265"/>
      <c r="O118" s="265"/>
      <c r="P118" s="267"/>
      <c r="Q118" s="267"/>
    </row>
    <row r="119" ht="12.75" customHeight="1" spans="1:17">
      <c r="A119" s="265"/>
      <c r="B119" s="265"/>
      <c r="C119" s="265"/>
      <c r="D119" s="265"/>
      <c r="E119" s="265"/>
      <c r="F119" s="265"/>
      <c r="G119" s="266"/>
      <c r="H119" s="265"/>
      <c r="I119" s="266"/>
      <c r="J119" s="265"/>
      <c r="K119" s="266"/>
      <c r="L119" s="266"/>
      <c r="M119" s="266"/>
      <c r="N119" s="265"/>
      <c r="O119" s="265"/>
      <c r="P119" s="267"/>
      <c r="Q119" s="267"/>
    </row>
    <row r="120" ht="12.75" customHeight="1" spans="1:17">
      <c r="A120" s="265"/>
      <c r="B120" s="265"/>
      <c r="C120" s="265"/>
      <c r="D120" s="265"/>
      <c r="E120" s="265"/>
      <c r="F120" s="265"/>
      <c r="G120" s="266"/>
      <c r="H120" s="265"/>
      <c r="I120" s="266"/>
      <c r="J120" s="265"/>
      <c r="K120" s="266"/>
      <c r="L120" s="266"/>
      <c r="M120" s="266"/>
      <c r="N120" s="265"/>
      <c r="O120" s="265"/>
      <c r="P120" s="267"/>
      <c r="Q120" s="267"/>
    </row>
    <row r="121" ht="12.75" customHeight="1" spans="1:17">
      <c r="A121" s="265"/>
      <c r="B121" s="265"/>
      <c r="C121" s="265"/>
      <c r="D121" s="265"/>
      <c r="E121" s="265"/>
      <c r="F121" s="265"/>
      <c r="G121" s="266"/>
      <c r="H121" s="265"/>
      <c r="I121" s="266"/>
      <c r="J121" s="265"/>
      <c r="K121" s="266"/>
      <c r="L121" s="266"/>
      <c r="M121" s="266"/>
      <c r="N121" s="265"/>
      <c r="O121" s="265"/>
      <c r="P121" s="267"/>
      <c r="Q121" s="267"/>
    </row>
    <row r="122" ht="12.75" customHeight="1" spans="1:17">
      <c r="A122" s="265"/>
      <c r="B122" s="265"/>
      <c r="C122" s="265"/>
      <c r="D122" s="265"/>
      <c r="E122" s="265"/>
      <c r="F122" s="265"/>
      <c r="G122" s="266"/>
      <c r="H122" s="265"/>
      <c r="I122" s="266"/>
      <c r="J122" s="265"/>
      <c r="K122" s="266"/>
      <c r="L122" s="266"/>
      <c r="M122" s="266"/>
      <c r="N122" s="265"/>
      <c r="O122" s="265"/>
      <c r="P122" s="267"/>
      <c r="Q122" s="267"/>
    </row>
    <row r="123" ht="12.75" customHeight="1" spans="1:17">
      <c r="A123" s="265"/>
      <c r="B123" s="265"/>
      <c r="C123" s="265"/>
      <c r="D123" s="265"/>
      <c r="E123" s="265"/>
      <c r="F123" s="265"/>
      <c r="G123" s="266"/>
      <c r="H123" s="265"/>
      <c r="I123" s="266"/>
      <c r="J123" s="265"/>
      <c r="K123" s="266"/>
      <c r="L123" s="266"/>
      <c r="M123" s="266"/>
      <c r="N123" s="265"/>
      <c r="O123" s="265"/>
      <c r="P123" s="267"/>
      <c r="Q123" s="267"/>
    </row>
    <row r="124" ht="12.75" customHeight="1" spans="1:17">
      <c r="A124" s="265"/>
      <c r="B124" s="265"/>
      <c r="C124" s="265"/>
      <c r="D124" s="265"/>
      <c r="E124" s="265"/>
      <c r="F124" s="265"/>
      <c r="G124" s="266"/>
      <c r="H124" s="265"/>
      <c r="I124" s="266"/>
      <c r="J124" s="265"/>
      <c r="K124" s="266"/>
      <c r="L124" s="266"/>
      <c r="M124" s="266"/>
      <c r="N124" s="265"/>
      <c r="O124" s="265"/>
      <c r="P124" s="267"/>
      <c r="Q124" s="267"/>
    </row>
    <row r="125" ht="12.75" customHeight="1" spans="1:17">
      <c r="A125" s="265"/>
      <c r="B125" s="265"/>
      <c r="C125" s="265"/>
      <c r="D125" s="265"/>
      <c r="E125" s="265"/>
      <c r="F125" s="265"/>
      <c r="G125" s="266"/>
      <c r="H125" s="265"/>
      <c r="I125" s="266"/>
      <c r="J125" s="265"/>
      <c r="K125" s="266"/>
      <c r="L125" s="266"/>
      <c r="M125" s="266"/>
      <c r="N125" s="265"/>
      <c r="O125" s="265"/>
      <c r="P125" s="267"/>
      <c r="Q125" s="267"/>
    </row>
    <row r="126" ht="12.75" customHeight="1" spans="1:17">
      <c r="A126" s="265"/>
      <c r="B126" s="265"/>
      <c r="C126" s="265"/>
      <c r="D126" s="265"/>
      <c r="E126" s="265"/>
      <c r="F126" s="265"/>
      <c r="G126" s="266"/>
      <c r="H126" s="265"/>
      <c r="I126" s="266"/>
      <c r="J126" s="265"/>
      <c r="K126" s="266"/>
      <c r="L126" s="266"/>
      <c r="M126" s="266"/>
      <c r="N126" s="265"/>
      <c r="O126" s="265"/>
      <c r="P126" s="267"/>
      <c r="Q126" s="267"/>
    </row>
    <row r="127" ht="12.75" customHeight="1" spans="1:17">
      <c r="A127" s="265"/>
      <c r="B127" s="265"/>
      <c r="C127" s="265"/>
      <c r="D127" s="265"/>
      <c r="E127" s="265"/>
      <c r="F127" s="265"/>
      <c r="G127" s="266"/>
      <c r="H127" s="265"/>
      <c r="I127" s="266"/>
      <c r="J127" s="265"/>
      <c r="K127" s="266"/>
      <c r="L127" s="266"/>
      <c r="M127" s="266"/>
      <c r="N127" s="265"/>
      <c r="O127" s="265"/>
      <c r="P127" s="267"/>
      <c r="Q127" s="267"/>
    </row>
    <row r="128" ht="12.75" customHeight="1" spans="1:17">
      <c r="A128" s="265"/>
      <c r="B128" s="265"/>
      <c r="C128" s="265"/>
      <c r="D128" s="265"/>
      <c r="E128" s="265"/>
      <c r="F128" s="265"/>
      <c r="G128" s="266"/>
      <c r="H128" s="265"/>
      <c r="I128" s="266"/>
      <c r="J128" s="265"/>
      <c r="K128" s="266"/>
      <c r="L128" s="266"/>
      <c r="M128" s="266"/>
      <c r="N128" s="265"/>
      <c r="O128" s="265"/>
      <c r="P128" s="267"/>
      <c r="Q128" s="267"/>
    </row>
    <row r="129" ht="12.75" customHeight="1" spans="1:17">
      <c r="A129" s="265"/>
      <c r="B129" s="265"/>
      <c r="C129" s="265"/>
      <c r="D129" s="265"/>
      <c r="E129" s="265"/>
      <c r="F129" s="265"/>
      <c r="G129" s="266"/>
      <c r="H129" s="265"/>
      <c r="I129" s="266"/>
      <c r="J129" s="265"/>
      <c r="K129" s="266"/>
      <c r="L129" s="266"/>
      <c r="M129" s="266"/>
      <c r="N129" s="265"/>
      <c r="O129" s="265"/>
      <c r="P129" s="267"/>
      <c r="Q129" s="267"/>
    </row>
    <row r="130" ht="12.75" customHeight="1" spans="1:17">
      <c r="A130" s="265"/>
      <c r="B130" s="265"/>
      <c r="C130" s="265"/>
      <c r="D130" s="265"/>
      <c r="E130" s="265"/>
      <c r="F130" s="265"/>
      <c r="G130" s="266"/>
      <c r="H130" s="265"/>
      <c r="I130" s="266"/>
      <c r="J130" s="265"/>
      <c r="K130" s="266"/>
      <c r="L130" s="266"/>
      <c r="M130" s="266"/>
      <c r="N130" s="265"/>
      <c r="O130" s="265"/>
      <c r="P130" s="267"/>
      <c r="Q130" s="267"/>
    </row>
    <row r="131" ht="12.75" customHeight="1" spans="1:17">
      <c r="A131" s="265"/>
      <c r="B131" s="265"/>
      <c r="C131" s="265"/>
      <c r="D131" s="265"/>
      <c r="E131" s="265"/>
      <c r="F131" s="265"/>
      <c r="G131" s="266"/>
      <c r="H131" s="265"/>
      <c r="I131" s="266"/>
      <c r="J131" s="265"/>
      <c r="K131" s="266"/>
      <c r="L131" s="266"/>
      <c r="M131" s="266"/>
      <c r="N131" s="265"/>
      <c r="O131" s="265"/>
      <c r="P131" s="267"/>
      <c r="Q131" s="267"/>
    </row>
    <row r="132" ht="12.75" customHeight="1" spans="1:17">
      <c r="A132" s="265"/>
      <c r="B132" s="265"/>
      <c r="C132" s="265"/>
      <c r="D132" s="265"/>
      <c r="E132" s="265"/>
      <c r="F132" s="265"/>
      <c r="G132" s="266"/>
      <c r="H132" s="265"/>
      <c r="I132" s="266"/>
      <c r="J132" s="265"/>
      <c r="K132" s="266"/>
      <c r="L132" s="266"/>
      <c r="M132" s="266"/>
      <c r="N132" s="265"/>
      <c r="O132" s="265"/>
      <c r="P132" s="267"/>
      <c r="Q132" s="267"/>
    </row>
    <row r="133" ht="12.75" customHeight="1" spans="1:17">
      <c r="A133" s="265"/>
      <c r="B133" s="265"/>
      <c r="C133" s="265"/>
      <c r="D133" s="265"/>
      <c r="E133" s="265"/>
      <c r="F133" s="265"/>
      <c r="G133" s="266"/>
      <c r="H133" s="265"/>
      <c r="I133" s="266"/>
      <c r="J133" s="265"/>
      <c r="K133" s="266"/>
      <c r="L133" s="266"/>
      <c r="M133" s="266"/>
      <c r="N133" s="265"/>
      <c r="O133" s="265"/>
      <c r="P133" s="267"/>
      <c r="Q133" s="267"/>
    </row>
    <row r="134" ht="12.75" customHeight="1" spans="1:17">
      <c r="A134" s="265"/>
      <c r="B134" s="265"/>
      <c r="C134" s="265"/>
      <c r="D134" s="265"/>
      <c r="E134" s="265"/>
      <c r="F134" s="265"/>
      <c r="G134" s="266"/>
      <c r="H134" s="265"/>
      <c r="I134" s="266"/>
      <c r="J134" s="265"/>
      <c r="K134" s="266"/>
      <c r="L134" s="266"/>
      <c r="M134" s="266"/>
      <c r="N134" s="265"/>
      <c r="O134" s="265"/>
      <c r="P134" s="267"/>
      <c r="Q134" s="267"/>
    </row>
    <row r="135" ht="12.75" customHeight="1" spans="1:17">
      <c r="A135" s="265"/>
      <c r="B135" s="265"/>
      <c r="C135" s="265"/>
      <c r="D135" s="265"/>
      <c r="E135" s="265"/>
      <c r="F135" s="265"/>
      <c r="G135" s="266"/>
      <c r="H135" s="265"/>
      <c r="I135" s="266"/>
      <c r="J135" s="265"/>
      <c r="K135" s="266"/>
      <c r="L135" s="266"/>
      <c r="M135" s="266"/>
      <c r="N135" s="265"/>
      <c r="O135" s="265"/>
      <c r="P135" s="267"/>
      <c r="Q135" s="267"/>
    </row>
    <row r="136" ht="12.75" customHeight="1" spans="1:17">
      <c r="A136" s="265"/>
      <c r="B136" s="265"/>
      <c r="C136" s="265"/>
      <c r="D136" s="265"/>
      <c r="E136" s="265"/>
      <c r="F136" s="265"/>
      <c r="G136" s="266"/>
      <c r="H136" s="265"/>
      <c r="I136" s="266"/>
      <c r="J136" s="265"/>
      <c r="K136" s="266"/>
      <c r="L136" s="266"/>
      <c r="M136" s="266"/>
      <c r="N136" s="265"/>
      <c r="O136" s="265"/>
      <c r="P136" s="267"/>
      <c r="Q136" s="267"/>
    </row>
    <row r="137" ht="12.75" customHeight="1" spans="1:17">
      <c r="A137" s="265"/>
      <c r="B137" s="265"/>
      <c r="C137" s="265"/>
      <c r="D137" s="265"/>
      <c r="E137" s="265"/>
      <c r="F137" s="265"/>
      <c r="G137" s="266"/>
      <c r="H137" s="265"/>
      <c r="I137" s="266"/>
      <c r="J137" s="265"/>
      <c r="K137" s="266"/>
      <c r="L137" s="266"/>
      <c r="M137" s="266"/>
      <c r="N137" s="265"/>
      <c r="O137" s="265"/>
      <c r="P137" s="267"/>
      <c r="Q137" s="267"/>
    </row>
    <row r="138" ht="12.75" customHeight="1" spans="1:17">
      <c r="A138" s="265"/>
      <c r="B138" s="265"/>
      <c r="C138" s="265"/>
      <c r="D138" s="265"/>
      <c r="E138" s="265"/>
      <c r="F138" s="265"/>
      <c r="G138" s="266"/>
      <c r="H138" s="265"/>
      <c r="I138" s="266"/>
      <c r="J138" s="265"/>
      <c r="K138" s="266"/>
      <c r="L138" s="266"/>
      <c r="M138" s="266"/>
      <c r="N138" s="265"/>
      <c r="O138" s="265"/>
      <c r="P138" s="267"/>
      <c r="Q138" s="267"/>
    </row>
    <row r="139" ht="12.75" customHeight="1" spans="1:17">
      <c r="A139" s="265"/>
      <c r="B139" s="265"/>
      <c r="C139" s="265"/>
      <c r="D139" s="265"/>
      <c r="E139" s="265"/>
      <c r="F139" s="265"/>
      <c r="G139" s="266"/>
      <c r="H139" s="265"/>
      <c r="I139" s="266"/>
      <c r="J139" s="265"/>
      <c r="K139" s="266"/>
      <c r="L139" s="266"/>
      <c r="M139" s="266"/>
      <c r="N139" s="265"/>
      <c r="O139" s="265"/>
      <c r="P139" s="267"/>
      <c r="Q139" s="267"/>
    </row>
    <row r="140" ht="12.75" customHeight="1" spans="1:17">
      <c r="A140" s="265"/>
      <c r="B140" s="265"/>
      <c r="C140" s="265"/>
      <c r="D140" s="265"/>
      <c r="E140" s="265"/>
      <c r="F140" s="265"/>
      <c r="G140" s="266"/>
      <c r="H140" s="265"/>
      <c r="I140" s="266"/>
      <c r="J140" s="265"/>
      <c r="K140" s="266"/>
      <c r="L140" s="266"/>
      <c r="M140" s="266"/>
      <c r="N140" s="265"/>
      <c r="O140" s="265"/>
      <c r="P140" s="267"/>
      <c r="Q140" s="267"/>
    </row>
    <row r="141" ht="12.75" customHeight="1" spans="1:17">
      <c r="A141" s="265"/>
      <c r="B141" s="265"/>
      <c r="C141" s="265"/>
      <c r="D141" s="265"/>
      <c r="E141" s="265"/>
      <c r="F141" s="265"/>
      <c r="G141" s="266"/>
      <c r="H141" s="265"/>
      <c r="I141" s="266"/>
      <c r="J141" s="265"/>
      <c r="K141" s="266"/>
      <c r="L141" s="266"/>
      <c r="M141" s="266"/>
      <c r="N141" s="265"/>
      <c r="O141" s="265"/>
      <c r="P141" s="267"/>
      <c r="Q141" s="267"/>
    </row>
    <row r="142" ht="12.75" customHeight="1" spans="1:17">
      <c r="A142" s="265"/>
      <c r="B142" s="265"/>
      <c r="C142" s="265"/>
      <c r="D142" s="265"/>
      <c r="E142" s="265"/>
      <c r="F142" s="265"/>
      <c r="G142" s="266"/>
      <c r="H142" s="265"/>
      <c r="I142" s="266"/>
      <c r="J142" s="265"/>
      <c r="K142" s="266"/>
      <c r="L142" s="266"/>
      <c r="M142" s="266"/>
      <c r="N142" s="265"/>
      <c r="O142" s="265"/>
      <c r="P142" s="267"/>
      <c r="Q142" s="267"/>
    </row>
    <row r="143" ht="12.75" customHeight="1" spans="1:17">
      <c r="A143" s="265"/>
      <c r="B143" s="265"/>
      <c r="C143" s="265"/>
      <c r="D143" s="265"/>
      <c r="E143" s="265"/>
      <c r="F143" s="265"/>
      <c r="G143" s="266"/>
      <c r="H143" s="265"/>
      <c r="I143" s="266"/>
      <c r="J143" s="265"/>
      <c r="K143" s="266"/>
      <c r="L143" s="266"/>
      <c r="M143" s="266"/>
      <c r="N143" s="265"/>
      <c r="O143" s="265"/>
      <c r="P143" s="267"/>
      <c r="Q143" s="267"/>
    </row>
    <row r="144" ht="12.75" customHeight="1" spans="1:17">
      <c r="A144" s="265"/>
      <c r="B144" s="265"/>
      <c r="C144" s="265"/>
      <c r="D144" s="265"/>
      <c r="E144" s="265"/>
      <c r="F144" s="265"/>
      <c r="G144" s="266"/>
      <c r="H144" s="265"/>
      <c r="I144" s="266"/>
      <c r="J144" s="265"/>
      <c r="K144" s="266"/>
      <c r="L144" s="266"/>
      <c r="M144" s="266"/>
      <c r="N144" s="265"/>
      <c r="O144" s="265"/>
      <c r="P144" s="267"/>
      <c r="Q144" s="267"/>
    </row>
    <row r="145" ht="12.75" customHeight="1" spans="1:17">
      <c r="A145" s="265"/>
      <c r="B145" s="265"/>
      <c r="C145" s="265"/>
      <c r="D145" s="265"/>
      <c r="E145" s="265"/>
      <c r="F145" s="265"/>
      <c r="G145" s="266"/>
      <c r="H145" s="265"/>
      <c r="I145" s="266"/>
      <c r="J145" s="265"/>
      <c r="K145" s="266"/>
      <c r="L145" s="266"/>
      <c r="M145" s="266"/>
      <c r="N145" s="265"/>
      <c r="O145" s="265"/>
      <c r="P145" s="267"/>
      <c r="Q145" s="267"/>
    </row>
    <row r="146" ht="12.75" customHeight="1" spans="1:17">
      <c r="A146" s="265"/>
      <c r="B146" s="265"/>
      <c r="C146" s="265"/>
      <c r="D146" s="265"/>
      <c r="E146" s="265"/>
      <c r="F146" s="265"/>
      <c r="G146" s="266"/>
      <c r="H146" s="265"/>
      <c r="I146" s="266"/>
      <c r="J146" s="265"/>
      <c r="K146" s="266"/>
      <c r="L146" s="266"/>
      <c r="M146" s="266"/>
      <c r="N146" s="265"/>
      <c r="O146" s="265"/>
      <c r="P146" s="267"/>
      <c r="Q146" s="267"/>
    </row>
    <row r="147" ht="12.75" customHeight="1" spans="1:17">
      <c r="A147" s="265"/>
      <c r="B147" s="265"/>
      <c r="C147" s="265"/>
      <c r="D147" s="265"/>
      <c r="E147" s="265"/>
      <c r="F147" s="265"/>
      <c r="G147" s="266"/>
      <c r="H147" s="265"/>
      <c r="I147" s="266"/>
      <c r="J147" s="265"/>
      <c r="K147" s="266"/>
      <c r="L147" s="266"/>
      <c r="M147" s="266"/>
      <c r="N147" s="265"/>
      <c r="O147" s="265"/>
      <c r="P147" s="267"/>
      <c r="Q147" s="267"/>
    </row>
    <row r="148" ht="12.75" customHeight="1" spans="1:17">
      <c r="A148" s="265"/>
      <c r="B148" s="265"/>
      <c r="C148" s="265"/>
      <c r="D148" s="265"/>
      <c r="E148" s="265"/>
      <c r="F148" s="265"/>
      <c r="G148" s="266"/>
      <c r="H148" s="265"/>
      <c r="I148" s="266"/>
      <c r="J148" s="265"/>
      <c r="K148" s="266"/>
      <c r="L148" s="266"/>
      <c r="M148" s="266"/>
      <c r="N148" s="265"/>
      <c r="O148" s="265"/>
      <c r="P148" s="267"/>
      <c r="Q148" s="267"/>
    </row>
    <row r="149" ht="12.75" customHeight="1" spans="1:17">
      <c r="A149" s="265"/>
      <c r="B149" s="265"/>
      <c r="C149" s="265"/>
      <c r="D149" s="265"/>
      <c r="E149" s="265"/>
      <c r="F149" s="265"/>
      <c r="G149" s="266"/>
      <c r="H149" s="265"/>
      <c r="I149" s="266"/>
      <c r="J149" s="265"/>
      <c r="K149" s="266"/>
      <c r="L149" s="266"/>
      <c r="M149" s="266"/>
      <c r="N149" s="265"/>
      <c r="O149" s="265"/>
      <c r="P149" s="267"/>
      <c r="Q149" s="267"/>
    </row>
    <row r="150" ht="12.75" customHeight="1" spans="1:17">
      <c r="A150" s="265"/>
      <c r="B150" s="265"/>
      <c r="C150" s="265"/>
      <c r="D150" s="265"/>
      <c r="E150" s="265"/>
      <c r="F150" s="265"/>
      <c r="G150" s="266"/>
      <c r="H150" s="265"/>
      <c r="I150" s="266"/>
      <c r="J150" s="265"/>
      <c r="K150" s="266"/>
      <c r="L150" s="266"/>
      <c r="M150" s="266"/>
      <c r="N150" s="265"/>
      <c r="O150" s="265"/>
      <c r="P150" s="267"/>
      <c r="Q150" s="267"/>
    </row>
    <row r="151" ht="12.75" customHeight="1" spans="1:17">
      <c r="A151" s="265"/>
      <c r="B151" s="265"/>
      <c r="C151" s="265"/>
      <c r="D151" s="265"/>
      <c r="E151" s="265"/>
      <c r="F151" s="265"/>
      <c r="G151" s="266"/>
      <c r="H151" s="265"/>
      <c r="I151" s="266"/>
      <c r="J151" s="265"/>
      <c r="K151" s="266"/>
      <c r="L151" s="266"/>
      <c r="M151" s="266"/>
      <c r="N151" s="265"/>
      <c r="O151" s="265"/>
      <c r="P151" s="267"/>
      <c r="Q151" s="267"/>
    </row>
    <row r="152" ht="12.75" customHeight="1" spans="1:17">
      <c r="A152" s="265"/>
      <c r="B152" s="265"/>
      <c r="C152" s="265"/>
      <c r="D152" s="265"/>
      <c r="E152" s="265"/>
      <c r="F152" s="265"/>
      <c r="G152" s="266"/>
      <c r="H152" s="265"/>
      <c r="I152" s="266"/>
      <c r="J152" s="265"/>
      <c r="K152" s="266"/>
      <c r="L152" s="266"/>
      <c r="M152" s="266"/>
      <c r="N152" s="265"/>
      <c r="O152" s="265"/>
      <c r="P152" s="267"/>
      <c r="Q152" s="267"/>
    </row>
    <row r="153" ht="12.75" customHeight="1" spans="1:17">
      <c r="A153" s="265"/>
      <c r="B153" s="265"/>
      <c r="C153" s="265"/>
      <c r="D153" s="265"/>
      <c r="E153" s="265"/>
      <c r="F153" s="265"/>
      <c r="G153" s="266"/>
      <c r="H153" s="265"/>
      <c r="I153" s="266"/>
      <c r="J153" s="265"/>
      <c r="K153" s="266"/>
      <c r="L153" s="266"/>
      <c r="M153" s="266"/>
      <c r="N153" s="265"/>
      <c r="O153" s="265"/>
      <c r="P153" s="267"/>
      <c r="Q153" s="267"/>
    </row>
    <row r="154" ht="12.75" customHeight="1" spans="1:17">
      <c r="A154" s="265"/>
      <c r="B154" s="265"/>
      <c r="C154" s="265"/>
      <c r="D154" s="265"/>
      <c r="E154" s="265"/>
      <c r="F154" s="265"/>
      <c r="G154" s="266"/>
      <c r="H154" s="265"/>
      <c r="I154" s="266"/>
      <c r="J154" s="265"/>
      <c r="K154" s="266"/>
      <c r="L154" s="266"/>
      <c r="M154" s="266"/>
      <c r="N154" s="265"/>
      <c r="O154" s="265"/>
      <c r="P154" s="267"/>
      <c r="Q154" s="267"/>
    </row>
    <row r="155" ht="12.75" customHeight="1" spans="1:17">
      <c r="A155" s="265"/>
      <c r="B155" s="265"/>
      <c r="C155" s="265"/>
      <c r="D155" s="265"/>
      <c r="E155" s="265"/>
      <c r="F155" s="265"/>
      <c r="G155" s="266"/>
      <c r="H155" s="265"/>
      <c r="I155" s="266"/>
      <c r="J155" s="265"/>
      <c r="K155" s="266"/>
      <c r="L155" s="266"/>
      <c r="M155" s="266"/>
      <c r="N155" s="265"/>
      <c r="O155" s="265"/>
      <c r="P155" s="267"/>
      <c r="Q155" s="267"/>
    </row>
    <row r="156" ht="12.75" customHeight="1" spans="1:17">
      <c r="A156" s="265"/>
      <c r="B156" s="265"/>
      <c r="C156" s="265"/>
      <c r="D156" s="265"/>
      <c r="E156" s="265"/>
      <c r="F156" s="265"/>
      <c r="G156" s="266"/>
      <c r="H156" s="265"/>
      <c r="I156" s="266"/>
      <c r="J156" s="265"/>
      <c r="K156" s="266"/>
      <c r="L156" s="266"/>
      <c r="M156" s="266"/>
      <c r="N156" s="265"/>
      <c r="O156" s="265"/>
      <c r="P156" s="267"/>
      <c r="Q156" s="267"/>
    </row>
    <row r="157" ht="12.75" customHeight="1" spans="1:17">
      <c r="A157" s="265"/>
      <c r="B157" s="265"/>
      <c r="C157" s="265"/>
      <c r="D157" s="265"/>
      <c r="E157" s="265"/>
      <c r="F157" s="265"/>
      <c r="G157" s="266"/>
      <c r="H157" s="265"/>
      <c r="I157" s="266"/>
      <c r="J157" s="265"/>
      <c r="K157" s="266"/>
      <c r="L157" s="266"/>
      <c r="M157" s="266"/>
      <c r="N157" s="265"/>
      <c r="O157" s="265"/>
      <c r="P157" s="267"/>
      <c r="Q157" s="267"/>
    </row>
    <row r="158" ht="12.75" customHeight="1" spans="1:17">
      <c r="A158" s="265"/>
      <c r="B158" s="265"/>
      <c r="C158" s="265"/>
      <c r="D158" s="265"/>
      <c r="E158" s="265"/>
      <c r="F158" s="265"/>
      <c r="G158" s="266"/>
      <c r="H158" s="265"/>
      <c r="I158" s="266"/>
      <c r="J158" s="265"/>
      <c r="K158" s="266"/>
      <c r="L158" s="266"/>
      <c r="M158" s="266"/>
      <c r="N158" s="265"/>
      <c r="O158" s="265"/>
      <c r="P158" s="267"/>
      <c r="Q158" s="267"/>
    </row>
    <row r="159" ht="12.75" customHeight="1" spans="1:17">
      <c r="A159" s="265"/>
      <c r="B159" s="265"/>
      <c r="C159" s="265"/>
      <c r="D159" s="265"/>
      <c r="E159" s="265"/>
      <c r="F159" s="265"/>
      <c r="G159" s="266"/>
      <c r="H159" s="265"/>
      <c r="I159" s="266"/>
      <c r="J159" s="265"/>
      <c r="K159" s="266"/>
      <c r="L159" s="266"/>
      <c r="M159" s="266"/>
      <c r="N159" s="265"/>
      <c r="O159" s="265"/>
      <c r="P159" s="267"/>
      <c r="Q159" s="267"/>
    </row>
    <row r="160" ht="12.75" customHeight="1" spans="1:17">
      <c r="A160" s="265"/>
      <c r="B160" s="265"/>
      <c r="C160" s="265"/>
      <c r="D160" s="265"/>
      <c r="E160" s="265"/>
      <c r="F160" s="265"/>
      <c r="G160" s="266"/>
      <c r="H160" s="265"/>
      <c r="I160" s="266"/>
      <c r="J160" s="265"/>
      <c r="K160" s="266"/>
      <c r="L160" s="266"/>
      <c r="M160" s="266"/>
      <c r="N160" s="265"/>
      <c r="O160" s="265"/>
      <c r="P160" s="267"/>
      <c r="Q160" s="267"/>
    </row>
    <row r="161" ht="12.75" customHeight="1" spans="1:17">
      <c r="A161" s="265"/>
      <c r="B161" s="265"/>
      <c r="C161" s="265"/>
      <c r="D161" s="265"/>
      <c r="E161" s="265"/>
      <c r="F161" s="265"/>
      <c r="G161" s="266"/>
      <c r="H161" s="265"/>
      <c r="I161" s="266"/>
      <c r="J161" s="265"/>
      <c r="K161" s="266"/>
      <c r="L161" s="266"/>
      <c r="M161" s="266"/>
      <c r="N161" s="265"/>
      <c r="O161" s="265"/>
      <c r="P161" s="267"/>
      <c r="Q161" s="267"/>
    </row>
    <row r="162" ht="12.75" customHeight="1" spans="1:17">
      <c r="A162" s="265"/>
      <c r="B162" s="265"/>
      <c r="C162" s="265"/>
      <c r="D162" s="265"/>
      <c r="E162" s="265"/>
      <c r="F162" s="265"/>
      <c r="G162" s="266"/>
      <c r="H162" s="265"/>
      <c r="I162" s="266"/>
      <c r="J162" s="265"/>
      <c r="K162" s="266"/>
      <c r="L162" s="266"/>
      <c r="M162" s="266"/>
      <c r="N162" s="265"/>
      <c r="O162" s="265"/>
      <c r="P162" s="267"/>
      <c r="Q162" s="267"/>
    </row>
    <row r="163" ht="12.75" customHeight="1" spans="1:17">
      <c r="A163" s="265"/>
      <c r="B163" s="265"/>
      <c r="C163" s="265"/>
      <c r="D163" s="265"/>
      <c r="E163" s="265"/>
      <c r="F163" s="265"/>
      <c r="G163" s="266"/>
      <c r="H163" s="265"/>
      <c r="I163" s="266"/>
      <c r="J163" s="265"/>
      <c r="K163" s="266"/>
      <c r="L163" s="266"/>
      <c r="M163" s="266"/>
      <c r="N163" s="265"/>
      <c r="O163" s="265"/>
      <c r="P163" s="267"/>
      <c r="Q163" s="267"/>
    </row>
    <row r="164" ht="12.75" customHeight="1" spans="1:17">
      <c r="A164" s="265"/>
      <c r="B164" s="265"/>
      <c r="C164" s="265"/>
      <c r="D164" s="265"/>
      <c r="E164" s="265"/>
      <c r="F164" s="265"/>
      <c r="G164" s="266"/>
      <c r="H164" s="265"/>
      <c r="I164" s="266"/>
      <c r="J164" s="265"/>
      <c r="K164" s="266"/>
      <c r="L164" s="266"/>
      <c r="M164" s="266"/>
      <c r="N164" s="265"/>
      <c r="O164" s="265"/>
      <c r="P164" s="267"/>
      <c r="Q164" s="267"/>
    </row>
    <row r="165" ht="12.75" customHeight="1" spans="1:17">
      <c r="A165" s="265"/>
      <c r="B165" s="265"/>
      <c r="C165" s="265"/>
      <c r="D165" s="265"/>
      <c r="E165" s="265"/>
      <c r="F165" s="265"/>
      <c r="G165" s="266"/>
      <c r="H165" s="265"/>
      <c r="I165" s="266"/>
      <c r="J165" s="265"/>
      <c r="K165" s="266"/>
      <c r="L165" s="266"/>
      <c r="M165" s="266"/>
      <c r="N165" s="265"/>
      <c r="O165" s="265"/>
      <c r="P165" s="267"/>
      <c r="Q165" s="267"/>
    </row>
    <row r="166" ht="12.75" customHeight="1" spans="1:17">
      <c r="A166" s="265"/>
      <c r="B166" s="265"/>
      <c r="C166" s="265"/>
      <c r="D166" s="265"/>
      <c r="E166" s="265"/>
      <c r="F166" s="265"/>
      <c r="G166" s="266"/>
      <c r="H166" s="265"/>
      <c r="I166" s="266"/>
      <c r="J166" s="265"/>
      <c r="K166" s="266"/>
      <c r="L166" s="266"/>
      <c r="M166" s="266"/>
      <c r="N166" s="265"/>
      <c r="O166" s="265"/>
      <c r="P166" s="267"/>
      <c r="Q166" s="267"/>
    </row>
    <row r="167" ht="12.75" customHeight="1" spans="1:17">
      <c r="A167" s="265"/>
      <c r="B167" s="265"/>
      <c r="C167" s="265"/>
      <c r="D167" s="265"/>
      <c r="E167" s="265"/>
      <c r="F167" s="265"/>
      <c r="G167" s="266"/>
      <c r="H167" s="265"/>
      <c r="I167" s="266"/>
      <c r="J167" s="265"/>
      <c r="K167" s="266"/>
      <c r="L167" s="266"/>
      <c r="M167" s="266"/>
      <c r="N167" s="265"/>
      <c r="O167" s="265"/>
      <c r="P167" s="267"/>
      <c r="Q167" s="267"/>
    </row>
    <row r="168" ht="12.75" customHeight="1" spans="1:17">
      <c r="A168" s="265"/>
      <c r="B168" s="265"/>
      <c r="C168" s="265"/>
      <c r="D168" s="265"/>
      <c r="E168" s="265"/>
      <c r="F168" s="265"/>
      <c r="G168" s="266"/>
      <c r="H168" s="265"/>
      <c r="I168" s="266"/>
      <c r="J168" s="265"/>
      <c r="K168" s="266"/>
      <c r="L168" s="266"/>
      <c r="M168" s="266"/>
      <c r="N168" s="265"/>
      <c r="O168" s="265"/>
      <c r="P168" s="267"/>
      <c r="Q168" s="267"/>
    </row>
    <row r="169" ht="12.75" customHeight="1" spans="1:17">
      <c r="A169" s="265"/>
      <c r="B169" s="265"/>
      <c r="C169" s="265"/>
      <c r="D169" s="265"/>
      <c r="E169" s="265"/>
      <c r="F169" s="265"/>
      <c r="G169" s="266"/>
      <c r="H169" s="265"/>
      <c r="I169" s="266"/>
      <c r="J169" s="265"/>
      <c r="K169" s="266"/>
      <c r="L169" s="266"/>
      <c r="M169" s="266"/>
      <c r="N169" s="265"/>
      <c r="O169" s="265"/>
      <c r="P169" s="267"/>
      <c r="Q169" s="267"/>
    </row>
    <row r="170" ht="12.75" customHeight="1" spans="1:17">
      <c r="A170" s="265"/>
      <c r="B170" s="265"/>
      <c r="C170" s="265"/>
      <c r="D170" s="265"/>
      <c r="E170" s="265"/>
      <c r="F170" s="265"/>
      <c r="G170" s="266"/>
      <c r="H170" s="265"/>
      <c r="I170" s="266"/>
      <c r="J170" s="265"/>
      <c r="K170" s="266"/>
      <c r="L170" s="266"/>
      <c r="M170" s="266"/>
      <c r="N170" s="265"/>
      <c r="O170" s="265"/>
      <c r="P170" s="267"/>
      <c r="Q170" s="267"/>
    </row>
    <row r="171" ht="12.75" customHeight="1" spans="1:17">
      <c r="A171" s="265"/>
      <c r="B171" s="265"/>
      <c r="C171" s="265"/>
      <c r="D171" s="265"/>
      <c r="E171" s="265"/>
      <c r="F171" s="265"/>
      <c r="G171" s="266"/>
      <c r="H171" s="265"/>
      <c r="I171" s="266"/>
      <c r="J171" s="265"/>
      <c r="K171" s="266"/>
      <c r="L171" s="266"/>
      <c r="M171" s="266"/>
      <c r="N171" s="265"/>
      <c r="O171" s="265"/>
      <c r="P171" s="267"/>
      <c r="Q171" s="267"/>
    </row>
    <row r="172" ht="12.75" customHeight="1" spans="1:17">
      <c r="A172" s="265"/>
      <c r="B172" s="265"/>
      <c r="C172" s="265"/>
      <c r="D172" s="265"/>
      <c r="E172" s="265"/>
      <c r="F172" s="265"/>
      <c r="G172" s="266"/>
      <c r="H172" s="265"/>
      <c r="I172" s="266"/>
      <c r="J172" s="265"/>
      <c r="K172" s="266"/>
      <c r="L172" s="266"/>
      <c r="M172" s="266"/>
      <c r="N172" s="265"/>
      <c r="O172" s="265"/>
      <c r="P172" s="267"/>
      <c r="Q172" s="267"/>
    </row>
    <row r="173" ht="12.75" customHeight="1" spans="1:17">
      <c r="A173" s="265"/>
      <c r="B173" s="265"/>
      <c r="C173" s="265"/>
      <c r="D173" s="265"/>
      <c r="E173" s="265"/>
      <c r="F173" s="265"/>
      <c r="G173" s="266"/>
      <c r="H173" s="265"/>
      <c r="I173" s="266"/>
      <c r="J173" s="265"/>
      <c r="K173" s="266"/>
      <c r="L173" s="266"/>
      <c r="M173" s="266"/>
      <c r="N173" s="265"/>
      <c r="O173" s="265"/>
      <c r="P173" s="267"/>
      <c r="Q173" s="267"/>
    </row>
    <row r="174" ht="12.75" customHeight="1" spans="1:17">
      <c r="A174" s="265"/>
      <c r="B174" s="265"/>
      <c r="C174" s="265"/>
      <c r="D174" s="265"/>
      <c r="E174" s="265"/>
      <c r="F174" s="265"/>
      <c r="G174" s="266"/>
      <c r="H174" s="265"/>
      <c r="I174" s="266"/>
      <c r="J174" s="265"/>
      <c r="K174" s="266"/>
      <c r="L174" s="266"/>
      <c r="M174" s="266"/>
      <c r="N174" s="265"/>
      <c r="O174" s="265"/>
      <c r="P174" s="267"/>
      <c r="Q174" s="267"/>
    </row>
    <row r="175" ht="12.75" customHeight="1" spans="1:17">
      <c r="A175" s="265"/>
      <c r="B175" s="265"/>
      <c r="C175" s="265"/>
      <c r="D175" s="265"/>
      <c r="E175" s="265"/>
      <c r="F175" s="265"/>
      <c r="G175" s="266"/>
      <c r="H175" s="265"/>
      <c r="I175" s="266"/>
      <c r="J175" s="265"/>
      <c r="K175" s="266"/>
      <c r="L175" s="266"/>
      <c r="M175" s="266"/>
      <c r="N175" s="265"/>
      <c r="O175" s="265"/>
      <c r="P175" s="267"/>
      <c r="Q175" s="267"/>
    </row>
    <row r="176" ht="12.75" customHeight="1" spans="1:17">
      <c r="A176" s="265"/>
      <c r="B176" s="265"/>
      <c r="C176" s="265"/>
      <c r="D176" s="265"/>
      <c r="E176" s="265"/>
      <c r="F176" s="265"/>
      <c r="G176" s="266"/>
      <c r="H176" s="265"/>
      <c r="I176" s="266"/>
      <c r="J176" s="265"/>
      <c r="K176" s="266"/>
      <c r="L176" s="266"/>
      <c r="M176" s="266"/>
      <c r="N176" s="265"/>
      <c r="O176" s="265"/>
      <c r="P176" s="267"/>
      <c r="Q176" s="267"/>
    </row>
    <row r="177" ht="12.75" customHeight="1" spans="1:17">
      <c r="A177" s="265"/>
      <c r="B177" s="265"/>
      <c r="C177" s="265"/>
      <c r="D177" s="265"/>
      <c r="E177" s="265"/>
      <c r="F177" s="265"/>
      <c r="G177" s="266"/>
      <c r="H177" s="265"/>
      <c r="I177" s="266"/>
      <c r="J177" s="265"/>
      <c r="K177" s="266"/>
      <c r="L177" s="266"/>
      <c r="M177" s="266"/>
      <c r="N177" s="265"/>
      <c r="O177" s="265"/>
      <c r="P177" s="267"/>
      <c r="Q177" s="267"/>
    </row>
    <row r="178" ht="12.75" customHeight="1" spans="1:17">
      <c r="A178" s="265"/>
      <c r="B178" s="265"/>
      <c r="C178" s="265"/>
      <c r="D178" s="265"/>
      <c r="E178" s="265"/>
      <c r="F178" s="265"/>
      <c r="G178" s="266"/>
      <c r="H178" s="265"/>
      <c r="I178" s="266"/>
      <c r="J178" s="265"/>
      <c r="K178" s="266"/>
      <c r="L178" s="266"/>
      <c r="M178" s="266"/>
      <c r="N178" s="265"/>
      <c r="O178" s="265"/>
      <c r="P178" s="267"/>
      <c r="Q178" s="267"/>
    </row>
    <row r="179" ht="12.75" customHeight="1" spans="1:17">
      <c r="A179" s="265"/>
      <c r="B179" s="265"/>
      <c r="C179" s="265"/>
      <c r="D179" s="265"/>
      <c r="E179" s="265"/>
      <c r="F179" s="265"/>
      <c r="G179" s="266"/>
      <c r="H179" s="265"/>
      <c r="I179" s="266"/>
      <c r="J179" s="265"/>
      <c r="K179" s="266"/>
      <c r="L179" s="266"/>
      <c r="M179" s="266"/>
      <c r="N179" s="265"/>
      <c r="O179" s="265"/>
      <c r="P179" s="267"/>
      <c r="Q179" s="267"/>
    </row>
    <row r="180" ht="12.75" customHeight="1" spans="1:17">
      <c r="A180" s="265"/>
      <c r="B180" s="265"/>
      <c r="C180" s="265"/>
      <c r="D180" s="265"/>
      <c r="E180" s="265"/>
      <c r="F180" s="265"/>
      <c r="G180" s="266"/>
      <c r="H180" s="265"/>
      <c r="I180" s="266"/>
      <c r="J180" s="265"/>
      <c r="K180" s="266"/>
      <c r="L180" s="266"/>
      <c r="M180" s="266"/>
      <c r="N180" s="265"/>
      <c r="O180" s="265"/>
      <c r="P180" s="267"/>
      <c r="Q180" s="267"/>
    </row>
    <row r="181" ht="12.75" customHeight="1" spans="1:17">
      <c r="A181" s="265"/>
      <c r="B181" s="265"/>
      <c r="C181" s="265"/>
      <c r="D181" s="265"/>
      <c r="E181" s="265"/>
      <c r="F181" s="265"/>
      <c r="G181" s="266"/>
      <c r="H181" s="265"/>
      <c r="I181" s="266"/>
      <c r="J181" s="265"/>
      <c r="K181" s="266"/>
      <c r="L181" s="266"/>
      <c r="M181" s="266"/>
      <c r="N181" s="265"/>
      <c r="O181" s="265"/>
      <c r="P181" s="267"/>
      <c r="Q181" s="267"/>
    </row>
    <row r="182" ht="12.75" customHeight="1" spans="1:17">
      <c r="A182" s="265"/>
      <c r="B182" s="265"/>
      <c r="C182" s="265"/>
      <c r="D182" s="265"/>
      <c r="E182" s="265"/>
      <c r="F182" s="265"/>
      <c r="G182" s="266"/>
      <c r="H182" s="265"/>
      <c r="I182" s="266"/>
      <c r="J182" s="265"/>
      <c r="K182" s="266"/>
      <c r="L182" s="266"/>
      <c r="M182" s="266"/>
      <c r="N182" s="265"/>
      <c r="O182" s="265"/>
      <c r="P182" s="267"/>
      <c r="Q182" s="267"/>
    </row>
    <row r="183" ht="12.75" customHeight="1" spans="1:17">
      <c r="A183" s="265"/>
      <c r="B183" s="265"/>
      <c r="C183" s="265"/>
      <c r="D183" s="265"/>
      <c r="E183" s="265"/>
      <c r="F183" s="265"/>
      <c r="G183" s="266"/>
      <c r="H183" s="265"/>
      <c r="I183" s="266"/>
      <c r="J183" s="265"/>
      <c r="K183" s="266"/>
      <c r="L183" s="266"/>
      <c r="M183" s="266"/>
      <c r="N183" s="265"/>
      <c r="O183" s="265"/>
      <c r="P183" s="267"/>
      <c r="Q183" s="267"/>
    </row>
    <row r="184" ht="12.75" customHeight="1" spans="1:17">
      <c r="A184" s="265"/>
      <c r="B184" s="265"/>
      <c r="C184" s="265"/>
      <c r="D184" s="265"/>
      <c r="E184" s="265"/>
      <c r="F184" s="265"/>
      <c r="G184" s="266"/>
      <c r="H184" s="265"/>
      <c r="I184" s="266"/>
      <c r="J184" s="265"/>
      <c r="K184" s="266"/>
      <c r="L184" s="266"/>
      <c r="M184" s="266"/>
      <c r="N184" s="265"/>
      <c r="O184" s="265"/>
      <c r="P184" s="267"/>
      <c r="Q184" s="267"/>
    </row>
    <row r="185" ht="12.75" customHeight="1" spans="1:17">
      <c r="A185" s="265"/>
      <c r="B185" s="265"/>
      <c r="C185" s="265"/>
      <c r="D185" s="265"/>
      <c r="E185" s="265"/>
      <c r="F185" s="265"/>
      <c r="G185" s="266"/>
      <c r="H185" s="265"/>
      <c r="I185" s="266"/>
      <c r="J185" s="265"/>
      <c r="K185" s="266"/>
      <c r="L185" s="266"/>
      <c r="M185" s="266"/>
      <c r="N185" s="265"/>
      <c r="O185" s="265"/>
      <c r="P185" s="267"/>
      <c r="Q185" s="267"/>
    </row>
    <row r="186" ht="12.75" customHeight="1" spans="1:17">
      <c r="A186" s="265"/>
      <c r="B186" s="265"/>
      <c r="C186" s="265"/>
      <c r="D186" s="265"/>
      <c r="E186" s="265"/>
      <c r="F186" s="265"/>
      <c r="G186" s="266"/>
      <c r="H186" s="265"/>
      <c r="I186" s="266"/>
      <c r="J186" s="265"/>
      <c r="K186" s="266"/>
      <c r="L186" s="266"/>
      <c r="M186" s="266"/>
      <c r="N186" s="265"/>
      <c r="O186" s="265"/>
      <c r="P186" s="267"/>
      <c r="Q186" s="267"/>
    </row>
    <row r="187" ht="12.75" customHeight="1" spans="1:17">
      <c r="A187" s="265"/>
      <c r="B187" s="265"/>
      <c r="C187" s="265"/>
      <c r="D187" s="265"/>
      <c r="E187" s="265"/>
      <c r="F187" s="265"/>
      <c r="G187" s="266"/>
      <c r="H187" s="265"/>
      <c r="I187" s="266"/>
      <c r="J187" s="265"/>
      <c r="K187" s="266"/>
      <c r="L187" s="266"/>
      <c r="M187" s="266"/>
      <c r="N187" s="265"/>
      <c r="O187" s="265"/>
      <c r="P187" s="267"/>
      <c r="Q187" s="267"/>
    </row>
    <row r="188" ht="12.75" customHeight="1" spans="1:17">
      <c r="A188" s="265"/>
      <c r="B188" s="265"/>
      <c r="C188" s="265"/>
      <c r="D188" s="265"/>
      <c r="E188" s="265"/>
      <c r="F188" s="265"/>
      <c r="G188" s="266"/>
      <c r="H188" s="265"/>
      <c r="I188" s="266"/>
      <c r="J188" s="265"/>
      <c r="K188" s="266"/>
      <c r="L188" s="266"/>
      <c r="M188" s="266"/>
      <c r="N188" s="265"/>
      <c r="O188" s="265"/>
      <c r="P188" s="267"/>
      <c r="Q188" s="267"/>
    </row>
    <row r="189" ht="12.75" customHeight="1" spans="1:17">
      <c r="A189" s="265"/>
      <c r="B189" s="265"/>
      <c r="C189" s="265"/>
      <c r="D189" s="265"/>
      <c r="E189" s="265"/>
      <c r="F189" s="265"/>
      <c r="G189" s="266"/>
      <c r="H189" s="265"/>
      <c r="I189" s="266"/>
      <c r="J189" s="265"/>
      <c r="K189" s="266"/>
      <c r="L189" s="266"/>
      <c r="M189" s="266"/>
      <c r="N189" s="265"/>
      <c r="O189" s="265"/>
      <c r="P189" s="267"/>
      <c r="Q189" s="267"/>
    </row>
    <row r="190" ht="12.75" customHeight="1" spans="1:17">
      <c r="A190" s="265"/>
      <c r="B190" s="265"/>
      <c r="C190" s="265"/>
      <c r="D190" s="265"/>
      <c r="E190" s="265"/>
      <c r="F190" s="265"/>
      <c r="G190" s="266"/>
      <c r="H190" s="265"/>
      <c r="I190" s="266"/>
      <c r="J190" s="265"/>
      <c r="K190" s="266"/>
      <c r="L190" s="266"/>
      <c r="M190" s="266"/>
      <c r="N190" s="265"/>
      <c r="O190" s="265"/>
      <c r="P190" s="267"/>
      <c r="Q190" s="267"/>
    </row>
    <row r="191" ht="12.75" customHeight="1" spans="1:17">
      <c r="A191" s="265"/>
      <c r="B191" s="265"/>
      <c r="C191" s="265"/>
      <c r="D191" s="265"/>
      <c r="E191" s="265"/>
      <c r="F191" s="265"/>
      <c r="G191" s="266"/>
      <c r="H191" s="265"/>
      <c r="I191" s="266"/>
      <c r="J191" s="265"/>
      <c r="K191" s="266"/>
      <c r="L191" s="266"/>
      <c r="M191" s="266"/>
      <c r="N191" s="265"/>
      <c r="O191" s="265"/>
      <c r="P191" s="267"/>
      <c r="Q191" s="267"/>
    </row>
    <row r="192" ht="12.75" customHeight="1" spans="1:17">
      <c r="A192" s="265"/>
      <c r="B192" s="265"/>
      <c r="C192" s="265"/>
      <c r="D192" s="265"/>
      <c r="E192" s="265"/>
      <c r="F192" s="265"/>
      <c r="G192" s="266"/>
      <c r="H192" s="265"/>
      <c r="I192" s="266"/>
      <c r="J192" s="265"/>
      <c r="K192" s="266"/>
      <c r="L192" s="266"/>
      <c r="M192" s="266"/>
      <c r="N192" s="265"/>
      <c r="O192" s="265"/>
      <c r="P192" s="267"/>
      <c r="Q192" s="267"/>
    </row>
    <row r="193" ht="12.75" customHeight="1" spans="1:17">
      <c r="A193" s="265"/>
      <c r="B193" s="265"/>
      <c r="C193" s="265"/>
      <c r="D193" s="265"/>
      <c r="E193" s="265"/>
      <c r="F193" s="265"/>
      <c r="G193" s="266"/>
      <c r="H193" s="265"/>
      <c r="I193" s="266"/>
      <c r="J193" s="265"/>
      <c r="K193" s="266"/>
      <c r="L193" s="266"/>
      <c r="M193" s="266"/>
      <c r="N193" s="265"/>
      <c r="O193" s="265"/>
      <c r="P193" s="267"/>
      <c r="Q193" s="267"/>
    </row>
    <row r="194" ht="12.75" customHeight="1" spans="1:17">
      <c r="A194" s="265"/>
      <c r="B194" s="265"/>
      <c r="C194" s="265"/>
      <c r="D194" s="265"/>
      <c r="E194" s="265"/>
      <c r="F194" s="265"/>
      <c r="G194" s="266"/>
      <c r="H194" s="265"/>
      <c r="I194" s="266"/>
      <c r="J194" s="265"/>
      <c r="K194" s="266"/>
      <c r="L194" s="266"/>
      <c r="M194" s="266"/>
      <c r="N194" s="265"/>
      <c r="O194" s="265"/>
      <c r="P194" s="267"/>
      <c r="Q194" s="267"/>
    </row>
    <row r="195" ht="12.75" customHeight="1" spans="1:17">
      <c r="A195" s="265"/>
      <c r="B195" s="265"/>
      <c r="C195" s="265"/>
      <c r="D195" s="265"/>
      <c r="E195" s="265"/>
      <c r="F195" s="265"/>
      <c r="G195" s="266"/>
      <c r="H195" s="265"/>
      <c r="I195" s="266"/>
      <c r="J195" s="265"/>
      <c r="K195" s="266"/>
      <c r="L195" s="266"/>
      <c r="M195" s="266"/>
      <c r="N195" s="265"/>
      <c r="O195" s="265"/>
      <c r="P195" s="267"/>
      <c r="Q195" s="267"/>
    </row>
    <row r="196" ht="12.75" customHeight="1" spans="1:17">
      <c r="A196" s="265"/>
      <c r="B196" s="265"/>
      <c r="C196" s="265"/>
      <c r="D196" s="265"/>
      <c r="E196" s="265"/>
      <c r="F196" s="265"/>
      <c r="G196" s="266"/>
      <c r="H196" s="265"/>
      <c r="I196" s="266"/>
      <c r="J196" s="265"/>
      <c r="K196" s="266"/>
      <c r="L196" s="266"/>
      <c r="M196" s="266"/>
      <c r="N196" s="265"/>
      <c r="O196" s="265"/>
      <c r="P196" s="267"/>
      <c r="Q196" s="267"/>
    </row>
    <row r="197" ht="12.75" customHeight="1" spans="1:17">
      <c r="A197" s="265"/>
      <c r="B197" s="265"/>
      <c r="C197" s="265"/>
      <c r="D197" s="265"/>
      <c r="E197" s="265"/>
      <c r="F197" s="265"/>
      <c r="G197" s="266"/>
      <c r="H197" s="265"/>
      <c r="I197" s="266"/>
      <c r="J197" s="265"/>
      <c r="K197" s="266"/>
      <c r="L197" s="266"/>
      <c r="M197" s="266"/>
      <c r="N197" s="265"/>
      <c r="O197" s="265"/>
      <c r="P197" s="267"/>
      <c r="Q197" s="267"/>
    </row>
    <row r="198" ht="12.75" customHeight="1" spans="1:17">
      <c r="A198" s="265"/>
      <c r="B198" s="265"/>
      <c r="C198" s="265"/>
      <c r="D198" s="265"/>
      <c r="E198" s="265"/>
      <c r="F198" s="265"/>
      <c r="G198" s="266"/>
      <c r="H198" s="265"/>
      <c r="I198" s="266"/>
      <c r="J198" s="265"/>
      <c r="K198" s="266"/>
      <c r="L198" s="266"/>
      <c r="M198" s="266"/>
      <c r="N198" s="265"/>
      <c r="O198" s="265"/>
      <c r="P198" s="267"/>
      <c r="Q198" s="267"/>
    </row>
    <row r="199" ht="12.75" customHeight="1" spans="1:17">
      <c r="A199" s="265"/>
      <c r="B199" s="265"/>
      <c r="C199" s="265"/>
      <c r="D199" s="265"/>
      <c r="E199" s="265"/>
      <c r="F199" s="265"/>
      <c r="G199" s="266"/>
      <c r="H199" s="265"/>
      <c r="I199" s="266"/>
      <c r="J199" s="265"/>
      <c r="K199" s="266"/>
      <c r="L199" s="266"/>
      <c r="M199" s="266"/>
      <c r="N199" s="265"/>
      <c r="O199" s="265"/>
      <c r="P199" s="267"/>
      <c r="Q199" s="267"/>
    </row>
    <row r="200" ht="12.75" customHeight="1" spans="1:17">
      <c r="A200" s="265"/>
      <c r="B200" s="265"/>
      <c r="C200" s="265"/>
      <c r="D200" s="265"/>
      <c r="E200" s="265"/>
      <c r="F200" s="265"/>
      <c r="G200" s="266"/>
      <c r="H200" s="265"/>
      <c r="I200" s="266"/>
      <c r="J200" s="265"/>
      <c r="K200" s="266"/>
      <c r="L200" s="266"/>
      <c r="M200" s="266"/>
      <c r="N200" s="265"/>
      <c r="O200" s="265"/>
      <c r="P200" s="267"/>
      <c r="Q200" s="267"/>
    </row>
    <row r="201" ht="12.75" customHeight="1" spans="1:17">
      <c r="A201" s="265"/>
      <c r="B201" s="265"/>
      <c r="C201" s="265"/>
      <c r="D201" s="265"/>
      <c r="E201" s="265"/>
      <c r="F201" s="265"/>
      <c r="G201" s="266"/>
      <c r="H201" s="265"/>
      <c r="I201" s="266"/>
      <c r="J201" s="265"/>
      <c r="K201" s="266"/>
      <c r="L201" s="266"/>
      <c r="M201" s="266"/>
      <c r="N201" s="265"/>
      <c r="O201" s="265"/>
      <c r="P201" s="267"/>
      <c r="Q201" s="267"/>
    </row>
    <row r="202" ht="12.75" customHeight="1" spans="1:17">
      <c r="A202" s="265"/>
      <c r="B202" s="265"/>
      <c r="C202" s="265"/>
      <c r="D202" s="265"/>
      <c r="E202" s="265"/>
      <c r="F202" s="265"/>
      <c r="G202" s="266"/>
      <c r="H202" s="265"/>
      <c r="I202" s="266"/>
      <c r="J202" s="265"/>
      <c r="K202" s="266"/>
      <c r="L202" s="266"/>
      <c r="M202" s="266"/>
      <c r="N202" s="265"/>
      <c r="O202" s="265"/>
      <c r="P202" s="267"/>
      <c r="Q202" s="267"/>
    </row>
    <row r="203" ht="12.75" customHeight="1" spans="1:17">
      <c r="A203" s="265"/>
      <c r="B203" s="265"/>
      <c r="C203" s="265"/>
      <c r="D203" s="265"/>
      <c r="E203" s="265"/>
      <c r="F203" s="265"/>
      <c r="G203" s="266"/>
      <c r="H203" s="265"/>
      <c r="I203" s="266"/>
      <c r="J203" s="265"/>
      <c r="K203" s="266"/>
      <c r="L203" s="266"/>
      <c r="M203" s="266"/>
      <c r="N203" s="265"/>
      <c r="O203" s="265"/>
      <c r="P203" s="267"/>
      <c r="Q203" s="267"/>
    </row>
    <row r="204" ht="12.75" customHeight="1" spans="1:17">
      <c r="A204" s="265"/>
      <c r="B204" s="265"/>
      <c r="C204" s="265"/>
      <c r="D204" s="265"/>
      <c r="E204" s="265"/>
      <c r="F204" s="265"/>
      <c r="G204" s="266"/>
      <c r="H204" s="265"/>
      <c r="I204" s="266"/>
      <c r="J204" s="265"/>
      <c r="K204" s="266"/>
      <c r="L204" s="266"/>
      <c r="M204" s="266"/>
      <c r="N204" s="265"/>
      <c r="O204" s="265"/>
      <c r="P204" s="267"/>
      <c r="Q204" s="267"/>
    </row>
    <row r="205" ht="12.75" customHeight="1" spans="1:17">
      <c r="A205" s="265"/>
      <c r="B205" s="265"/>
      <c r="C205" s="265"/>
      <c r="D205" s="265"/>
      <c r="E205" s="265"/>
      <c r="F205" s="265"/>
      <c r="G205" s="266"/>
      <c r="H205" s="265"/>
      <c r="I205" s="266"/>
      <c r="J205" s="265"/>
      <c r="K205" s="266"/>
      <c r="L205" s="266"/>
      <c r="M205" s="266"/>
      <c r="N205" s="265"/>
      <c r="O205" s="265"/>
      <c r="P205" s="267"/>
      <c r="Q205" s="267"/>
    </row>
    <row r="206" ht="12.75" customHeight="1" spans="1:17">
      <c r="A206" s="265"/>
      <c r="B206" s="265"/>
      <c r="C206" s="265"/>
      <c r="D206" s="265"/>
      <c r="E206" s="265"/>
      <c r="F206" s="265"/>
      <c r="G206" s="266"/>
      <c r="H206" s="265"/>
      <c r="I206" s="266"/>
      <c r="J206" s="265"/>
      <c r="K206" s="266"/>
      <c r="L206" s="266"/>
      <c r="M206" s="266"/>
      <c r="N206" s="265"/>
      <c r="O206" s="265"/>
      <c r="P206" s="267"/>
      <c r="Q206" s="267"/>
    </row>
    <row r="207" ht="12.75" customHeight="1" spans="1:17">
      <c r="A207" s="265"/>
      <c r="B207" s="265"/>
      <c r="C207" s="265"/>
      <c r="D207" s="265"/>
      <c r="E207" s="265"/>
      <c r="F207" s="265"/>
      <c r="G207" s="266"/>
      <c r="H207" s="265"/>
      <c r="I207" s="266"/>
      <c r="J207" s="265"/>
      <c r="K207" s="266"/>
      <c r="L207" s="266"/>
      <c r="M207" s="266"/>
      <c r="N207" s="265"/>
      <c r="O207" s="265"/>
      <c r="P207" s="267"/>
      <c r="Q207" s="267"/>
    </row>
    <row r="208" ht="12.75" customHeight="1" spans="1:17">
      <c r="A208" s="265"/>
      <c r="B208" s="265"/>
      <c r="C208" s="265"/>
      <c r="D208" s="265"/>
      <c r="E208" s="265"/>
      <c r="F208" s="265"/>
      <c r="G208" s="266"/>
      <c r="H208" s="265"/>
      <c r="I208" s="266"/>
      <c r="J208" s="265"/>
      <c r="K208" s="266"/>
      <c r="L208" s="266"/>
      <c r="M208" s="266"/>
      <c r="N208" s="265"/>
      <c r="O208" s="265"/>
      <c r="P208" s="267"/>
      <c r="Q208" s="267"/>
    </row>
    <row r="209" ht="12.75" customHeight="1" spans="1:17">
      <c r="A209" s="265"/>
      <c r="B209" s="265"/>
      <c r="C209" s="265"/>
      <c r="D209" s="265"/>
      <c r="E209" s="265"/>
      <c r="F209" s="265"/>
      <c r="G209" s="266"/>
      <c r="H209" s="265"/>
      <c r="I209" s="266"/>
      <c r="J209" s="265"/>
      <c r="K209" s="266"/>
      <c r="L209" s="266"/>
      <c r="M209" s="266"/>
      <c r="N209" s="265"/>
      <c r="O209" s="265"/>
      <c r="P209" s="267"/>
      <c r="Q209" s="267"/>
    </row>
    <row r="210" ht="12.75" customHeight="1" spans="1:17">
      <c r="A210" s="265"/>
      <c r="B210" s="265"/>
      <c r="C210" s="265"/>
      <c r="D210" s="265"/>
      <c r="E210" s="265"/>
      <c r="F210" s="265"/>
      <c r="G210" s="266"/>
      <c r="H210" s="265"/>
      <c r="I210" s="266"/>
      <c r="J210" s="265"/>
      <c r="K210" s="266"/>
      <c r="L210" s="266"/>
      <c r="M210" s="266"/>
      <c r="N210" s="265"/>
      <c r="O210" s="265"/>
      <c r="P210" s="267"/>
      <c r="Q210" s="267"/>
    </row>
    <row r="211" ht="12.75" customHeight="1" spans="1:17">
      <c r="A211" s="265"/>
      <c r="B211" s="265"/>
      <c r="C211" s="265"/>
      <c r="D211" s="265"/>
      <c r="E211" s="265"/>
      <c r="F211" s="265"/>
      <c r="G211" s="266"/>
      <c r="H211" s="265"/>
      <c r="I211" s="266"/>
      <c r="J211" s="265"/>
      <c r="K211" s="266"/>
      <c r="L211" s="266"/>
      <c r="M211" s="266"/>
      <c r="N211" s="265"/>
      <c r="O211" s="265"/>
      <c r="P211" s="267"/>
      <c r="Q211" s="267"/>
    </row>
    <row r="212" ht="12.75" customHeight="1" spans="1:17">
      <c r="A212" s="265"/>
      <c r="B212" s="265"/>
      <c r="C212" s="265"/>
      <c r="D212" s="265"/>
      <c r="E212" s="265"/>
      <c r="F212" s="265"/>
      <c r="G212" s="266"/>
      <c r="H212" s="265"/>
      <c r="I212" s="266"/>
      <c r="J212" s="265"/>
      <c r="K212" s="266"/>
      <c r="L212" s="266"/>
      <c r="M212" s="266"/>
      <c r="N212" s="265"/>
      <c r="O212" s="265"/>
      <c r="P212" s="267"/>
      <c r="Q212" s="267"/>
    </row>
    <row r="213" ht="12.75" customHeight="1" spans="1:17">
      <c r="A213" s="265"/>
      <c r="B213" s="265"/>
      <c r="C213" s="265"/>
      <c r="D213" s="265"/>
      <c r="E213" s="265"/>
      <c r="F213" s="265"/>
      <c r="G213" s="266"/>
      <c r="H213" s="265"/>
      <c r="I213" s="266"/>
      <c r="J213" s="265"/>
      <c r="K213" s="266"/>
      <c r="L213" s="266"/>
      <c r="M213" s="266"/>
      <c r="N213" s="265"/>
      <c r="O213" s="265"/>
      <c r="P213" s="267"/>
      <c r="Q213" s="267"/>
    </row>
    <row r="214" ht="12.75" customHeight="1" spans="1:17">
      <c r="A214" s="265"/>
      <c r="B214" s="265"/>
      <c r="C214" s="265"/>
      <c r="D214" s="265"/>
      <c r="E214" s="265"/>
      <c r="F214" s="265"/>
      <c r="G214" s="266"/>
      <c r="H214" s="265"/>
      <c r="I214" s="266"/>
      <c r="J214" s="265"/>
      <c r="K214" s="266"/>
      <c r="L214" s="266"/>
      <c r="M214" s="266"/>
      <c r="N214" s="265"/>
      <c r="O214" s="265"/>
      <c r="P214" s="267"/>
      <c r="Q214" s="267"/>
    </row>
    <row r="215" ht="12.75" customHeight="1" spans="1:17">
      <c r="A215" s="265"/>
      <c r="B215" s="265"/>
      <c r="C215" s="265"/>
      <c r="D215" s="265"/>
      <c r="E215" s="265"/>
      <c r="F215" s="265"/>
      <c r="G215" s="266"/>
      <c r="H215" s="265"/>
      <c r="I215" s="266"/>
      <c r="J215" s="265"/>
      <c r="K215" s="266"/>
      <c r="L215" s="266"/>
      <c r="M215" s="266"/>
      <c r="N215" s="265"/>
      <c r="O215" s="265"/>
      <c r="P215" s="267"/>
      <c r="Q215" s="267"/>
    </row>
    <row r="216" ht="12.75" customHeight="1" spans="1:17">
      <c r="A216" s="265"/>
      <c r="B216" s="265"/>
      <c r="C216" s="265"/>
      <c r="D216" s="265"/>
      <c r="E216" s="265"/>
      <c r="F216" s="265"/>
      <c r="G216" s="266"/>
      <c r="H216" s="265"/>
      <c r="I216" s="266"/>
      <c r="J216" s="265"/>
      <c r="K216" s="266"/>
      <c r="L216" s="266"/>
      <c r="M216" s="266"/>
      <c r="N216" s="265"/>
      <c r="O216" s="265"/>
      <c r="P216" s="267"/>
      <c r="Q216" s="267"/>
    </row>
    <row r="217" ht="12.75" customHeight="1" spans="1:17">
      <c r="A217" s="265"/>
      <c r="B217" s="265"/>
      <c r="C217" s="265"/>
      <c r="D217" s="265"/>
      <c r="E217" s="265"/>
      <c r="F217" s="265"/>
      <c r="G217" s="266"/>
      <c r="H217" s="265"/>
      <c r="I217" s="266"/>
      <c r="J217" s="265"/>
      <c r="K217" s="266"/>
      <c r="L217" s="266"/>
      <c r="M217" s="266"/>
      <c r="N217" s="265"/>
      <c r="O217" s="265"/>
      <c r="P217" s="267"/>
      <c r="Q217" s="267"/>
    </row>
    <row r="218" ht="12.75" customHeight="1" spans="1:17">
      <c r="A218" s="265"/>
      <c r="B218" s="265"/>
      <c r="C218" s="265"/>
      <c r="D218" s="265"/>
      <c r="E218" s="265"/>
      <c r="F218" s="265"/>
      <c r="G218" s="266"/>
      <c r="H218" s="265"/>
      <c r="I218" s="266"/>
      <c r="J218" s="265"/>
      <c r="K218" s="266"/>
      <c r="L218" s="266"/>
      <c r="M218" s="266"/>
      <c r="N218" s="265"/>
      <c r="O218" s="265"/>
      <c r="P218" s="267"/>
      <c r="Q218" s="267"/>
    </row>
    <row r="219" ht="12.75" customHeight="1" spans="1:17">
      <c r="A219" s="265"/>
      <c r="B219" s="265"/>
      <c r="C219" s="265"/>
      <c r="D219" s="265"/>
      <c r="E219" s="265"/>
      <c r="F219" s="265"/>
      <c r="G219" s="266"/>
      <c r="H219" s="265"/>
      <c r="I219" s="266"/>
      <c r="J219" s="265"/>
      <c r="K219" s="266"/>
      <c r="L219" s="266"/>
      <c r="M219" s="266"/>
      <c r="N219" s="265"/>
      <c r="O219" s="265"/>
      <c r="P219" s="267"/>
      <c r="Q219" s="267"/>
    </row>
    <row r="220" ht="12.75" customHeight="1" spans="1:17">
      <c r="A220" s="265"/>
      <c r="B220" s="265"/>
      <c r="C220" s="265"/>
      <c r="D220" s="265"/>
      <c r="E220" s="265"/>
      <c r="F220" s="265"/>
      <c r="G220" s="266"/>
      <c r="H220" s="265"/>
      <c r="I220" s="266"/>
      <c r="J220" s="265"/>
      <c r="K220" s="266"/>
      <c r="L220" s="266"/>
      <c r="M220" s="266"/>
      <c r="N220" s="265"/>
      <c r="O220" s="265"/>
      <c r="P220" s="267"/>
      <c r="Q220" s="267"/>
    </row>
    <row r="221" ht="12.75" customHeight="1" spans="1:17">
      <c r="A221" s="265"/>
      <c r="B221" s="265"/>
      <c r="C221" s="265"/>
      <c r="D221" s="265"/>
      <c r="E221" s="265"/>
      <c r="F221" s="265"/>
      <c r="G221" s="266"/>
      <c r="H221" s="265"/>
      <c r="I221" s="266"/>
      <c r="J221" s="265"/>
      <c r="K221" s="266"/>
      <c r="L221" s="266"/>
      <c r="M221" s="266"/>
      <c r="N221" s="265"/>
      <c r="O221" s="265"/>
      <c r="P221" s="267"/>
      <c r="Q221" s="267"/>
    </row>
    <row r="222" ht="12.75" customHeight="1" spans="1:17">
      <c r="A222" s="265"/>
      <c r="B222" s="265"/>
      <c r="C222" s="265"/>
      <c r="D222" s="265"/>
      <c r="E222" s="265"/>
      <c r="F222" s="265"/>
      <c r="G222" s="266"/>
      <c r="H222" s="265"/>
      <c r="I222" s="266"/>
      <c r="J222" s="265"/>
      <c r="K222" s="266"/>
      <c r="L222" s="266"/>
      <c r="M222" s="266"/>
      <c r="N222" s="265"/>
      <c r="O222" s="265"/>
      <c r="P222" s="267"/>
      <c r="Q222" s="267"/>
    </row>
    <row r="223" ht="12.75" customHeight="1" spans="1:17">
      <c r="A223" s="265"/>
      <c r="B223" s="265"/>
      <c r="C223" s="265"/>
      <c r="D223" s="265"/>
      <c r="E223" s="265"/>
      <c r="F223" s="265"/>
      <c r="G223" s="266"/>
      <c r="H223" s="265"/>
      <c r="I223" s="266"/>
      <c r="J223" s="265"/>
      <c r="K223" s="266"/>
      <c r="L223" s="266"/>
      <c r="M223" s="266"/>
      <c r="N223" s="265"/>
      <c r="O223" s="265"/>
      <c r="P223" s="267"/>
      <c r="Q223" s="267"/>
    </row>
    <row r="224" ht="12.75" customHeight="1" spans="1:17">
      <c r="A224" s="265"/>
      <c r="B224" s="265"/>
      <c r="C224" s="265"/>
      <c r="D224" s="265"/>
      <c r="E224" s="265"/>
      <c r="F224" s="265"/>
      <c r="G224" s="266"/>
      <c r="H224" s="265"/>
      <c r="I224" s="266"/>
      <c r="J224" s="265"/>
      <c r="K224" s="266"/>
      <c r="L224" s="266"/>
      <c r="M224" s="266"/>
      <c r="N224" s="265"/>
      <c r="O224" s="265"/>
      <c r="P224" s="267"/>
      <c r="Q224" s="267"/>
    </row>
    <row r="225" ht="12.75" customHeight="1" spans="1:17">
      <c r="A225" s="265"/>
      <c r="B225" s="265"/>
      <c r="C225" s="265"/>
      <c r="D225" s="265"/>
      <c r="E225" s="265"/>
      <c r="F225" s="265"/>
      <c r="G225" s="266"/>
      <c r="H225" s="265"/>
      <c r="I225" s="266"/>
      <c r="J225" s="265"/>
      <c r="K225" s="266"/>
      <c r="L225" s="266"/>
      <c r="M225" s="266"/>
      <c r="N225" s="265"/>
      <c r="O225" s="265"/>
      <c r="P225" s="267"/>
      <c r="Q225" s="267"/>
    </row>
    <row r="226" ht="12.75" customHeight="1" spans="1:17">
      <c r="A226" s="265"/>
      <c r="B226" s="265"/>
      <c r="C226" s="265"/>
      <c r="D226" s="265"/>
      <c r="E226" s="265"/>
      <c r="F226" s="265"/>
      <c r="G226" s="266"/>
      <c r="H226" s="265"/>
      <c r="I226" s="266"/>
      <c r="J226" s="265"/>
      <c r="K226" s="266"/>
      <c r="L226" s="266"/>
      <c r="M226" s="266"/>
      <c r="N226" s="265"/>
      <c r="O226" s="265"/>
      <c r="P226" s="267"/>
      <c r="Q226" s="267"/>
    </row>
    <row r="227" ht="12.75" customHeight="1" spans="1:17">
      <c r="A227" s="265"/>
      <c r="B227" s="265"/>
      <c r="C227" s="265"/>
      <c r="D227" s="265"/>
      <c r="E227" s="265"/>
      <c r="F227" s="265"/>
      <c r="G227" s="266"/>
      <c r="H227" s="265"/>
      <c r="I227" s="266"/>
      <c r="J227" s="265"/>
      <c r="K227" s="266"/>
      <c r="L227" s="266"/>
      <c r="M227" s="266"/>
      <c r="N227" s="265"/>
      <c r="O227" s="265"/>
      <c r="P227" s="267"/>
      <c r="Q227" s="267"/>
    </row>
    <row r="228" ht="12.75" customHeight="1" spans="1:17">
      <c r="A228" s="265"/>
      <c r="B228" s="265"/>
      <c r="C228" s="265"/>
      <c r="D228" s="265"/>
      <c r="E228" s="265"/>
      <c r="F228" s="265"/>
      <c r="G228" s="266"/>
      <c r="H228" s="265"/>
      <c r="I228" s="266"/>
      <c r="J228" s="265"/>
      <c r="K228" s="266"/>
      <c r="L228" s="266"/>
      <c r="M228" s="266"/>
      <c r="N228" s="265"/>
      <c r="O228" s="265"/>
      <c r="P228" s="267"/>
      <c r="Q228" s="267"/>
    </row>
    <row r="229" ht="12.75" customHeight="1" spans="1:17">
      <c r="A229" s="265"/>
      <c r="B229" s="265"/>
      <c r="C229" s="265"/>
      <c r="D229" s="265"/>
      <c r="E229" s="265"/>
      <c r="F229" s="265"/>
      <c r="G229" s="266"/>
      <c r="H229" s="265"/>
      <c r="I229" s="266"/>
      <c r="J229" s="265"/>
      <c r="K229" s="266"/>
      <c r="L229" s="266"/>
      <c r="M229" s="266"/>
      <c r="N229" s="265"/>
      <c r="O229" s="265"/>
      <c r="P229" s="267"/>
      <c r="Q229" s="267"/>
    </row>
    <row r="230" ht="12.75" customHeight="1" spans="1:17">
      <c r="A230" s="265"/>
      <c r="B230" s="265"/>
      <c r="C230" s="265"/>
      <c r="D230" s="265"/>
      <c r="E230" s="265"/>
      <c r="F230" s="265"/>
      <c r="G230" s="266"/>
      <c r="H230" s="265"/>
      <c r="I230" s="266"/>
      <c r="J230" s="265"/>
      <c r="K230" s="266"/>
      <c r="L230" s="266"/>
      <c r="M230" s="266"/>
      <c r="N230" s="265"/>
      <c r="O230" s="265"/>
      <c r="P230" s="267"/>
      <c r="Q230" s="267"/>
    </row>
    <row r="231" ht="12.75" customHeight="1" spans="1:17">
      <c r="A231" s="265"/>
      <c r="B231" s="265"/>
      <c r="C231" s="265"/>
      <c r="D231" s="265"/>
      <c r="E231" s="265"/>
      <c r="F231" s="265"/>
      <c r="G231" s="266"/>
      <c r="H231" s="265"/>
      <c r="I231" s="266"/>
      <c r="J231" s="265"/>
      <c r="K231" s="266"/>
      <c r="L231" s="266"/>
      <c r="M231" s="266"/>
      <c r="N231" s="265"/>
      <c r="O231" s="265"/>
      <c r="P231" s="267"/>
      <c r="Q231" s="267"/>
    </row>
    <row r="232" ht="12.75" customHeight="1" spans="1:17">
      <c r="A232" s="265"/>
      <c r="B232" s="265"/>
      <c r="C232" s="265"/>
      <c r="D232" s="265"/>
      <c r="E232" s="265"/>
      <c r="F232" s="265"/>
      <c r="G232" s="266"/>
      <c r="H232" s="265"/>
      <c r="I232" s="266"/>
      <c r="J232" s="265"/>
      <c r="K232" s="266"/>
      <c r="L232" s="266"/>
      <c r="M232" s="266"/>
      <c r="N232" s="265"/>
      <c r="O232" s="265"/>
      <c r="P232" s="267"/>
      <c r="Q232" s="267"/>
    </row>
    <row r="233" ht="12.75" customHeight="1" spans="1:17">
      <c r="A233" s="265"/>
      <c r="B233" s="265"/>
      <c r="C233" s="265"/>
      <c r="D233" s="265"/>
      <c r="E233" s="265"/>
      <c r="F233" s="265"/>
      <c r="G233" s="266"/>
      <c r="H233" s="265"/>
      <c r="I233" s="266"/>
      <c r="J233" s="265"/>
      <c r="K233" s="266"/>
      <c r="L233" s="266"/>
      <c r="M233" s="266"/>
      <c r="N233" s="265"/>
      <c r="O233" s="265"/>
      <c r="P233" s="267"/>
      <c r="Q233" s="267"/>
    </row>
    <row r="234" ht="12.75" customHeight="1" spans="1:17">
      <c r="A234" s="265"/>
      <c r="B234" s="265"/>
      <c r="C234" s="265"/>
      <c r="D234" s="265"/>
      <c r="E234" s="265"/>
      <c r="F234" s="265"/>
      <c r="G234" s="266"/>
      <c r="H234" s="265"/>
      <c r="I234" s="266"/>
      <c r="J234" s="265"/>
      <c r="K234" s="266"/>
      <c r="L234" s="266"/>
      <c r="M234" s="266"/>
      <c r="N234" s="265"/>
      <c r="O234" s="265"/>
      <c r="P234" s="267"/>
      <c r="Q234" s="267"/>
    </row>
    <row r="235" ht="12.75" customHeight="1" spans="1:17">
      <c r="A235" s="265"/>
      <c r="B235" s="265"/>
      <c r="C235" s="265"/>
      <c r="D235" s="265"/>
      <c r="E235" s="265"/>
      <c r="F235" s="265"/>
      <c r="G235" s="266"/>
      <c r="H235" s="265"/>
      <c r="I235" s="266"/>
      <c r="J235" s="265"/>
      <c r="K235" s="266"/>
      <c r="L235" s="266"/>
      <c r="M235" s="266"/>
      <c r="N235" s="265"/>
      <c r="O235" s="265"/>
      <c r="P235" s="267"/>
      <c r="Q235" s="267"/>
    </row>
    <row r="236" ht="12.75" customHeight="1" spans="1:17">
      <c r="A236" s="265"/>
      <c r="B236" s="265"/>
      <c r="C236" s="265"/>
      <c r="D236" s="265"/>
      <c r="E236" s="265"/>
      <c r="F236" s="265"/>
      <c r="G236" s="266"/>
      <c r="H236" s="265"/>
      <c r="I236" s="266"/>
      <c r="J236" s="265"/>
      <c r="K236" s="266"/>
      <c r="L236" s="266"/>
      <c r="M236" s="266"/>
      <c r="N236" s="265"/>
      <c r="O236" s="265"/>
      <c r="P236" s="267"/>
      <c r="Q236" s="267"/>
    </row>
    <row r="237" ht="12.75" customHeight="1" spans="1:17">
      <c r="A237" s="265"/>
      <c r="B237" s="265"/>
      <c r="C237" s="265"/>
      <c r="D237" s="265"/>
      <c r="E237" s="265"/>
      <c r="F237" s="265"/>
      <c r="G237" s="266"/>
      <c r="H237" s="265"/>
      <c r="I237" s="266"/>
      <c r="J237" s="265"/>
      <c r="K237" s="266"/>
      <c r="L237" s="266"/>
      <c r="M237" s="266"/>
      <c r="N237" s="265"/>
      <c r="O237" s="265"/>
      <c r="P237" s="267"/>
      <c r="Q237" s="267"/>
    </row>
    <row r="238" ht="12.75" customHeight="1" spans="1:17">
      <c r="A238" s="265"/>
      <c r="B238" s="265"/>
      <c r="C238" s="265"/>
      <c r="D238" s="265"/>
      <c r="E238" s="265"/>
      <c r="F238" s="265"/>
      <c r="G238" s="266"/>
      <c r="H238" s="265"/>
      <c r="I238" s="266"/>
      <c r="J238" s="265"/>
      <c r="K238" s="266"/>
      <c r="L238" s="266"/>
      <c r="M238" s="266"/>
      <c r="N238" s="265"/>
      <c r="O238" s="265"/>
      <c r="P238" s="267"/>
      <c r="Q238" s="267"/>
    </row>
    <row r="239" ht="12.75" customHeight="1" spans="1:17">
      <c r="A239" s="265"/>
      <c r="B239" s="265"/>
      <c r="C239" s="265"/>
      <c r="D239" s="265"/>
      <c r="E239" s="265"/>
      <c r="F239" s="265"/>
      <c r="G239" s="266"/>
      <c r="H239" s="265"/>
      <c r="I239" s="266"/>
      <c r="J239" s="265"/>
      <c r="K239" s="266"/>
      <c r="L239" s="266"/>
      <c r="M239" s="266"/>
      <c r="N239" s="265"/>
      <c r="O239" s="265"/>
      <c r="P239" s="267"/>
      <c r="Q239" s="267"/>
    </row>
    <row r="240" ht="12.75" customHeight="1" spans="1:17">
      <c r="A240" s="265"/>
      <c r="B240" s="265"/>
      <c r="C240" s="265"/>
      <c r="D240" s="265"/>
      <c r="E240" s="265"/>
      <c r="F240" s="265"/>
      <c r="G240" s="266"/>
      <c r="H240" s="265"/>
      <c r="I240" s="266"/>
      <c r="J240" s="265"/>
      <c r="K240" s="266"/>
      <c r="L240" s="266"/>
      <c r="M240" s="266"/>
      <c r="N240" s="265"/>
      <c r="O240" s="265"/>
      <c r="P240" s="267"/>
      <c r="Q240" s="267"/>
    </row>
    <row r="241" ht="12.75" customHeight="1" spans="1:17">
      <c r="A241" s="265"/>
      <c r="B241" s="265"/>
      <c r="C241" s="265"/>
      <c r="D241" s="265"/>
      <c r="E241" s="265"/>
      <c r="F241" s="265"/>
      <c r="G241" s="266"/>
      <c r="H241" s="265"/>
      <c r="I241" s="266"/>
      <c r="J241" s="265"/>
      <c r="K241" s="266"/>
      <c r="L241" s="266"/>
      <c r="M241" s="266"/>
      <c r="N241" s="265"/>
      <c r="O241" s="265"/>
      <c r="P241" s="267"/>
      <c r="Q241" s="267"/>
    </row>
    <row r="242" ht="12.75" customHeight="1" spans="1:17">
      <c r="A242" s="265"/>
      <c r="B242" s="265"/>
      <c r="C242" s="265"/>
      <c r="D242" s="265"/>
      <c r="E242" s="265"/>
      <c r="F242" s="265"/>
      <c r="G242" s="266"/>
      <c r="H242" s="265"/>
      <c r="I242" s="266"/>
      <c r="J242" s="265"/>
      <c r="K242" s="266"/>
      <c r="L242" s="266"/>
      <c r="M242" s="266"/>
      <c r="N242" s="265"/>
      <c r="O242" s="265"/>
      <c r="P242" s="267"/>
      <c r="Q242" s="267"/>
    </row>
    <row r="243" ht="12.75" customHeight="1" spans="1:17">
      <c r="A243" s="265"/>
      <c r="B243" s="265"/>
      <c r="C243" s="265"/>
      <c r="D243" s="265"/>
      <c r="E243" s="265"/>
      <c r="F243" s="265"/>
      <c r="G243" s="266"/>
      <c r="H243" s="265"/>
      <c r="I243" s="266"/>
      <c r="J243" s="265"/>
      <c r="K243" s="266"/>
      <c r="L243" s="266"/>
      <c r="M243" s="266"/>
      <c r="N243" s="265"/>
      <c r="O243" s="265"/>
      <c r="P243" s="267"/>
      <c r="Q243" s="267"/>
    </row>
    <row r="244" ht="12.75" customHeight="1" spans="1:17">
      <c r="A244" s="265"/>
      <c r="B244" s="265"/>
      <c r="C244" s="265"/>
      <c r="D244" s="265"/>
      <c r="E244" s="265"/>
      <c r="F244" s="265"/>
      <c r="G244" s="266"/>
      <c r="H244" s="265"/>
      <c r="I244" s="266"/>
      <c r="J244" s="265"/>
      <c r="K244" s="266"/>
      <c r="L244" s="266"/>
      <c r="M244" s="266"/>
      <c r="N244" s="265"/>
      <c r="O244" s="265"/>
      <c r="P244" s="267"/>
      <c r="Q244" s="267"/>
    </row>
    <row r="245" ht="12.75" customHeight="1" spans="1:17">
      <c r="A245" s="265"/>
      <c r="B245" s="265"/>
      <c r="C245" s="265"/>
      <c r="D245" s="265"/>
      <c r="E245" s="265"/>
      <c r="F245" s="265"/>
      <c r="G245" s="266"/>
      <c r="H245" s="265"/>
      <c r="I245" s="266"/>
      <c r="J245" s="265"/>
      <c r="K245" s="266"/>
      <c r="L245" s="266"/>
      <c r="M245" s="266"/>
      <c r="N245" s="265"/>
      <c r="O245" s="265"/>
      <c r="P245" s="267"/>
      <c r="Q245" s="267"/>
    </row>
    <row r="246" ht="12.75" customHeight="1" spans="1:17">
      <c r="A246" s="265"/>
      <c r="B246" s="265"/>
      <c r="C246" s="265"/>
      <c r="D246" s="265"/>
      <c r="E246" s="265"/>
      <c r="F246" s="265"/>
      <c r="G246" s="266"/>
      <c r="H246" s="265"/>
      <c r="I246" s="266"/>
      <c r="J246" s="265"/>
      <c r="K246" s="266"/>
      <c r="L246" s="266"/>
      <c r="M246" s="266"/>
      <c r="N246" s="265"/>
      <c r="O246" s="265"/>
      <c r="P246" s="267"/>
      <c r="Q246" s="267"/>
    </row>
    <row r="247" ht="12.75" customHeight="1" spans="1:17">
      <c r="A247" s="265"/>
      <c r="B247" s="265"/>
      <c r="C247" s="265"/>
      <c r="D247" s="265"/>
      <c r="E247" s="265"/>
      <c r="F247" s="265"/>
      <c r="G247" s="266"/>
      <c r="H247" s="265"/>
      <c r="I247" s="266"/>
      <c r="J247" s="265"/>
      <c r="K247" s="266"/>
      <c r="L247" s="266"/>
      <c r="M247" s="266"/>
      <c r="N247" s="265"/>
      <c r="O247" s="265"/>
      <c r="P247" s="267"/>
      <c r="Q247" s="267"/>
    </row>
    <row r="248" ht="12.75" customHeight="1" spans="1:17">
      <c r="A248" s="265"/>
      <c r="B248" s="265"/>
      <c r="C248" s="265"/>
      <c r="D248" s="265"/>
      <c r="E248" s="265"/>
      <c r="F248" s="265"/>
      <c r="G248" s="266"/>
      <c r="H248" s="265"/>
      <c r="I248" s="266"/>
      <c r="J248" s="265"/>
      <c r="K248" s="266"/>
      <c r="L248" s="266"/>
      <c r="M248" s="266"/>
      <c r="N248" s="265"/>
      <c r="O248" s="265"/>
      <c r="P248" s="267"/>
      <c r="Q248" s="267"/>
    </row>
    <row r="249" ht="12.75" customHeight="1" spans="1:17">
      <c r="A249" s="265"/>
      <c r="B249" s="265"/>
      <c r="C249" s="265"/>
      <c r="D249" s="265"/>
      <c r="E249" s="265"/>
      <c r="F249" s="265"/>
      <c r="G249" s="266"/>
      <c r="H249" s="265"/>
      <c r="I249" s="266"/>
      <c r="J249" s="265"/>
      <c r="K249" s="266"/>
      <c r="L249" s="266"/>
      <c r="M249" s="266"/>
      <c r="N249" s="265"/>
      <c r="O249" s="265"/>
      <c r="P249" s="267"/>
      <c r="Q249" s="267"/>
    </row>
    <row r="250" ht="12.75" customHeight="1" spans="1:17">
      <c r="A250" s="265"/>
      <c r="B250" s="265"/>
      <c r="C250" s="265"/>
      <c r="D250" s="265"/>
      <c r="E250" s="265"/>
      <c r="F250" s="265"/>
      <c r="G250" s="266"/>
      <c r="H250" s="265"/>
      <c r="I250" s="266"/>
      <c r="J250" s="265"/>
      <c r="K250" s="266"/>
      <c r="L250" s="266"/>
      <c r="M250" s="266"/>
      <c r="N250" s="265"/>
      <c r="O250" s="265"/>
      <c r="P250" s="267"/>
      <c r="Q250" s="267"/>
    </row>
    <row r="251" ht="12.75" customHeight="1" spans="1:17">
      <c r="A251" s="265"/>
      <c r="B251" s="265"/>
      <c r="C251" s="265"/>
      <c r="D251" s="265"/>
      <c r="E251" s="265"/>
      <c r="F251" s="265"/>
      <c r="G251" s="266"/>
      <c r="H251" s="265"/>
      <c r="I251" s="266"/>
      <c r="J251" s="265"/>
      <c r="K251" s="266"/>
      <c r="L251" s="266"/>
      <c r="M251" s="266"/>
      <c r="N251" s="265"/>
      <c r="O251" s="265"/>
      <c r="P251" s="267"/>
      <c r="Q251" s="267"/>
    </row>
    <row r="252" ht="12.75" customHeight="1" spans="1:17">
      <c r="A252" s="265"/>
      <c r="B252" s="265"/>
      <c r="C252" s="265"/>
      <c r="D252" s="265"/>
      <c r="E252" s="265"/>
      <c r="F252" s="265"/>
      <c r="G252" s="266"/>
      <c r="H252" s="265"/>
      <c r="I252" s="266"/>
      <c r="J252" s="265"/>
      <c r="K252" s="266"/>
      <c r="L252" s="266"/>
      <c r="M252" s="266"/>
      <c r="N252" s="265"/>
      <c r="O252" s="265"/>
      <c r="P252" s="267"/>
      <c r="Q252" s="267"/>
    </row>
    <row r="253" ht="12.75" customHeight="1" spans="1:17">
      <c r="A253" s="265"/>
      <c r="B253" s="265"/>
      <c r="C253" s="265"/>
      <c r="D253" s="265"/>
      <c r="E253" s="265"/>
      <c r="F253" s="265"/>
      <c r="G253" s="266"/>
      <c r="H253" s="265"/>
      <c r="I253" s="266"/>
      <c r="J253" s="265"/>
      <c r="K253" s="266"/>
      <c r="L253" s="266"/>
      <c r="M253" s="266"/>
      <c r="N253" s="265"/>
      <c r="O253" s="265"/>
      <c r="P253" s="267"/>
      <c r="Q253" s="267"/>
    </row>
    <row r="254" ht="12.75" customHeight="1" spans="1:17">
      <c r="A254" s="265"/>
      <c r="B254" s="265"/>
      <c r="C254" s="265"/>
      <c r="D254" s="265"/>
      <c r="E254" s="265"/>
      <c r="F254" s="265"/>
      <c r="G254" s="266"/>
      <c r="H254" s="265"/>
      <c r="I254" s="266"/>
      <c r="J254" s="265"/>
      <c r="K254" s="266"/>
      <c r="L254" s="266"/>
      <c r="M254" s="266"/>
      <c r="N254" s="265"/>
      <c r="O254" s="265"/>
      <c r="P254" s="267"/>
      <c r="Q254" s="267"/>
    </row>
    <row r="255" ht="12.75" customHeight="1" spans="1:17">
      <c r="A255" s="265"/>
      <c r="B255" s="265"/>
      <c r="C255" s="265"/>
      <c r="D255" s="265"/>
      <c r="E255" s="265"/>
      <c r="F255" s="265"/>
      <c r="G255" s="266"/>
      <c r="H255" s="265"/>
      <c r="I255" s="266"/>
      <c r="J255" s="265"/>
      <c r="K255" s="266"/>
      <c r="L255" s="266"/>
      <c r="M255" s="266"/>
      <c r="N255" s="265"/>
      <c r="O255" s="265"/>
      <c r="P255" s="267"/>
      <c r="Q255" s="267"/>
    </row>
    <row r="256" ht="12.75" customHeight="1" spans="1:17">
      <c r="A256" s="265"/>
      <c r="B256" s="265"/>
      <c r="C256" s="265"/>
      <c r="D256" s="265"/>
      <c r="E256" s="265"/>
      <c r="F256" s="265"/>
      <c r="G256" s="266"/>
      <c r="H256" s="265"/>
      <c r="I256" s="266"/>
      <c r="J256" s="265"/>
      <c r="K256" s="266"/>
      <c r="L256" s="266"/>
      <c r="M256" s="266"/>
      <c r="N256" s="265"/>
      <c r="O256" s="265"/>
      <c r="P256" s="267"/>
      <c r="Q256" s="267"/>
    </row>
    <row r="257" ht="12.75" customHeight="1" spans="1:17">
      <c r="A257" s="265"/>
      <c r="B257" s="265"/>
      <c r="C257" s="265"/>
      <c r="D257" s="265"/>
      <c r="E257" s="265"/>
      <c r="F257" s="265"/>
      <c r="G257" s="266"/>
      <c r="H257" s="265"/>
      <c r="I257" s="266"/>
      <c r="J257" s="265"/>
      <c r="K257" s="266"/>
      <c r="L257" s="266"/>
      <c r="M257" s="266"/>
      <c r="N257" s="265"/>
      <c r="O257" s="265"/>
      <c r="P257" s="267"/>
      <c r="Q257" s="267"/>
    </row>
    <row r="258" ht="12.75" customHeight="1" spans="1:17">
      <c r="A258" s="265"/>
      <c r="B258" s="265"/>
      <c r="C258" s="265"/>
      <c r="D258" s="265"/>
      <c r="E258" s="265"/>
      <c r="F258" s="265"/>
      <c r="G258" s="266"/>
      <c r="H258" s="265"/>
      <c r="I258" s="266"/>
      <c r="J258" s="265"/>
      <c r="K258" s="266"/>
      <c r="L258" s="266"/>
      <c r="M258" s="266"/>
      <c r="N258" s="265"/>
      <c r="O258" s="265"/>
      <c r="P258" s="267"/>
      <c r="Q258" s="267"/>
    </row>
    <row r="259" ht="12.75" customHeight="1" spans="1:17">
      <c r="A259" s="265"/>
      <c r="B259" s="265"/>
      <c r="C259" s="265"/>
      <c r="D259" s="265"/>
      <c r="E259" s="265"/>
      <c r="F259" s="265"/>
      <c r="G259" s="266"/>
      <c r="H259" s="265"/>
      <c r="I259" s="266"/>
      <c r="J259" s="265"/>
      <c r="K259" s="266"/>
      <c r="L259" s="266"/>
      <c r="M259" s="266"/>
      <c r="N259" s="265"/>
      <c r="O259" s="265"/>
      <c r="P259" s="267"/>
      <c r="Q259" s="267"/>
    </row>
    <row r="260" ht="12.75" customHeight="1" spans="1:17">
      <c r="A260" s="265"/>
      <c r="B260" s="265"/>
      <c r="C260" s="265"/>
      <c r="D260" s="265"/>
      <c r="E260" s="265"/>
      <c r="F260" s="265"/>
      <c r="G260" s="266"/>
      <c r="H260" s="265"/>
      <c r="I260" s="266"/>
      <c r="J260" s="265"/>
      <c r="K260" s="266"/>
      <c r="L260" s="266"/>
      <c r="M260" s="266"/>
      <c r="N260" s="265"/>
      <c r="O260" s="265"/>
      <c r="P260" s="267"/>
      <c r="Q260" s="267"/>
    </row>
    <row r="261" ht="12.75" customHeight="1" spans="1:17">
      <c r="A261" s="265"/>
      <c r="B261" s="265"/>
      <c r="C261" s="265"/>
      <c r="D261" s="265"/>
      <c r="E261" s="265"/>
      <c r="F261" s="265"/>
      <c r="G261" s="266"/>
      <c r="H261" s="265"/>
      <c r="I261" s="266"/>
      <c r="J261" s="265"/>
      <c r="K261" s="266"/>
      <c r="L261" s="266"/>
      <c r="M261" s="266"/>
      <c r="N261" s="265"/>
      <c r="O261" s="265"/>
      <c r="P261" s="267"/>
      <c r="Q261" s="267"/>
    </row>
    <row r="262" ht="12.75" customHeight="1" spans="1:17">
      <c r="A262" s="265"/>
      <c r="B262" s="265"/>
      <c r="C262" s="265"/>
      <c r="D262" s="265"/>
      <c r="E262" s="265"/>
      <c r="F262" s="265"/>
      <c r="G262" s="266"/>
      <c r="H262" s="265"/>
      <c r="I262" s="266"/>
      <c r="J262" s="265"/>
      <c r="K262" s="266"/>
      <c r="L262" s="266"/>
      <c r="M262" s="266"/>
      <c r="N262" s="265"/>
      <c r="O262" s="265"/>
      <c r="P262" s="267"/>
      <c r="Q262" s="267"/>
    </row>
    <row r="263" ht="12.75" customHeight="1" spans="1:17">
      <c r="A263" s="265"/>
      <c r="B263" s="265"/>
      <c r="C263" s="265"/>
      <c r="D263" s="265"/>
      <c r="E263" s="265"/>
      <c r="F263" s="265"/>
      <c r="G263" s="266"/>
      <c r="H263" s="265"/>
      <c r="I263" s="266"/>
      <c r="J263" s="265"/>
      <c r="K263" s="266"/>
      <c r="L263" s="266"/>
      <c r="M263" s="266"/>
      <c r="N263" s="265"/>
      <c r="O263" s="265"/>
      <c r="P263" s="267"/>
      <c r="Q263" s="267"/>
    </row>
    <row r="264" ht="12.75" customHeight="1" spans="1:17">
      <c r="A264" s="265"/>
      <c r="B264" s="265"/>
      <c r="C264" s="265"/>
      <c r="D264" s="265"/>
      <c r="E264" s="265"/>
      <c r="F264" s="265"/>
      <c r="G264" s="266"/>
      <c r="H264" s="265"/>
      <c r="I264" s="266"/>
      <c r="J264" s="265"/>
      <c r="K264" s="266"/>
      <c r="L264" s="266"/>
      <c r="M264" s="266"/>
      <c r="N264" s="265"/>
      <c r="O264" s="265"/>
      <c r="P264" s="267"/>
      <c r="Q264" s="267"/>
    </row>
    <row r="265" ht="12.75" customHeight="1" spans="1:17">
      <c r="A265" s="265"/>
      <c r="B265" s="265"/>
      <c r="C265" s="265"/>
      <c r="D265" s="265"/>
      <c r="E265" s="265"/>
      <c r="F265" s="265"/>
      <c r="G265" s="266"/>
      <c r="H265" s="265"/>
      <c r="I265" s="266"/>
      <c r="J265" s="265"/>
      <c r="K265" s="266"/>
      <c r="L265" s="266"/>
      <c r="M265" s="266"/>
      <c r="N265" s="265"/>
      <c r="O265" s="265"/>
      <c r="P265" s="267"/>
      <c r="Q265" s="267"/>
    </row>
    <row r="266" ht="12.75" customHeight="1" spans="1:17">
      <c r="A266" s="265"/>
      <c r="B266" s="265"/>
      <c r="C266" s="265"/>
      <c r="D266" s="265"/>
      <c r="E266" s="265"/>
      <c r="F266" s="265"/>
      <c r="G266" s="266"/>
      <c r="H266" s="265"/>
      <c r="I266" s="266"/>
      <c r="J266" s="265"/>
      <c r="K266" s="266"/>
      <c r="L266" s="266"/>
      <c r="M266" s="266"/>
      <c r="N266" s="265"/>
      <c r="O266" s="265"/>
      <c r="P266" s="267"/>
      <c r="Q266" s="267"/>
    </row>
    <row r="267" ht="12.75" customHeight="1" spans="1:17">
      <c r="A267" s="265"/>
      <c r="B267" s="265"/>
      <c r="C267" s="265"/>
      <c r="D267" s="265"/>
      <c r="E267" s="265"/>
      <c r="F267" s="265"/>
      <c r="G267" s="266"/>
      <c r="H267" s="265"/>
      <c r="I267" s="266"/>
      <c r="J267" s="265"/>
      <c r="K267" s="266"/>
      <c r="L267" s="266"/>
      <c r="M267" s="266"/>
      <c r="N267" s="265"/>
      <c r="O267" s="265"/>
      <c r="P267" s="267"/>
      <c r="Q267" s="267"/>
    </row>
    <row r="268" ht="12.75" customHeight="1" spans="1:17">
      <c r="A268" s="265"/>
      <c r="B268" s="265"/>
      <c r="C268" s="265"/>
      <c r="D268" s="265"/>
      <c r="E268" s="265"/>
      <c r="F268" s="265"/>
      <c r="G268" s="266"/>
      <c r="H268" s="265"/>
      <c r="I268" s="266"/>
      <c r="J268" s="265"/>
      <c r="K268" s="266"/>
      <c r="L268" s="266"/>
      <c r="M268" s="266"/>
      <c r="N268" s="265"/>
      <c r="O268" s="265"/>
      <c r="P268" s="267"/>
      <c r="Q268" s="267"/>
    </row>
    <row r="269" ht="12.75" customHeight="1" spans="1:17">
      <c r="A269" s="265"/>
      <c r="B269" s="265"/>
      <c r="C269" s="265"/>
      <c r="D269" s="265"/>
      <c r="E269" s="265"/>
      <c r="F269" s="265"/>
      <c r="G269" s="266"/>
      <c r="H269" s="265"/>
      <c r="I269" s="266"/>
      <c r="J269" s="265"/>
      <c r="K269" s="266"/>
      <c r="L269" s="266"/>
      <c r="M269" s="266"/>
      <c r="N269" s="265"/>
      <c r="O269" s="265"/>
      <c r="P269" s="267"/>
      <c r="Q269" s="267"/>
    </row>
    <row r="270" ht="12.75" customHeight="1" spans="1:17">
      <c r="A270" s="265"/>
      <c r="B270" s="265"/>
      <c r="C270" s="265"/>
      <c r="D270" s="265"/>
      <c r="E270" s="265"/>
      <c r="F270" s="265"/>
      <c r="G270" s="266"/>
      <c r="H270" s="265"/>
      <c r="I270" s="266"/>
      <c r="J270" s="265"/>
      <c r="K270" s="266"/>
      <c r="L270" s="266"/>
      <c r="M270" s="266"/>
      <c r="N270" s="265"/>
      <c r="O270" s="265"/>
      <c r="P270" s="267"/>
      <c r="Q270" s="267"/>
    </row>
    <row r="271" ht="12.75" customHeight="1" spans="1:17">
      <c r="A271" s="265"/>
      <c r="B271" s="265"/>
      <c r="C271" s="265"/>
      <c r="D271" s="265"/>
      <c r="E271" s="265"/>
      <c r="F271" s="265"/>
      <c r="G271" s="266"/>
      <c r="H271" s="265"/>
      <c r="I271" s="266"/>
      <c r="J271" s="265"/>
      <c r="K271" s="266"/>
      <c r="L271" s="266"/>
      <c r="M271" s="266"/>
      <c r="N271" s="265"/>
      <c r="O271" s="265"/>
      <c r="P271" s="267"/>
      <c r="Q271" s="267"/>
    </row>
    <row r="272" ht="12.75" customHeight="1" spans="1:17">
      <c r="A272" s="265"/>
      <c r="B272" s="265"/>
      <c r="C272" s="265"/>
      <c r="D272" s="265"/>
      <c r="E272" s="265"/>
      <c r="F272" s="265"/>
      <c r="G272" s="266"/>
      <c r="H272" s="265"/>
      <c r="I272" s="266"/>
      <c r="J272" s="265"/>
      <c r="K272" s="266"/>
      <c r="L272" s="266"/>
      <c r="M272" s="266"/>
      <c r="N272" s="265"/>
      <c r="O272" s="265"/>
      <c r="P272" s="267"/>
      <c r="Q272" s="267"/>
    </row>
    <row r="273" ht="12.75" customHeight="1" spans="1:17">
      <c r="A273" s="265"/>
      <c r="B273" s="265"/>
      <c r="C273" s="265"/>
      <c r="D273" s="265"/>
      <c r="E273" s="265"/>
      <c r="F273" s="265"/>
      <c r="G273" s="266"/>
      <c r="H273" s="265"/>
      <c r="I273" s="266"/>
      <c r="J273" s="265"/>
      <c r="K273" s="266"/>
      <c r="L273" s="266"/>
      <c r="M273" s="266"/>
      <c r="N273" s="265"/>
      <c r="O273" s="265"/>
      <c r="P273" s="267"/>
      <c r="Q273" s="267"/>
    </row>
    <row r="274" ht="12.75" customHeight="1" spans="1:17">
      <c r="A274" s="265"/>
      <c r="B274" s="265"/>
      <c r="C274" s="265"/>
      <c r="D274" s="265"/>
      <c r="E274" s="265"/>
      <c r="F274" s="265"/>
      <c r="G274" s="266"/>
      <c r="H274" s="265"/>
      <c r="I274" s="266"/>
      <c r="J274" s="265"/>
      <c r="K274" s="266"/>
      <c r="L274" s="266"/>
      <c r="M274" s="266"/>
      <c r="N274" s="265"/>
      <c r="O274" s="265"/>
      <c r="P274" s="267"/>
      <c r="Q274" s="267"/>
    </row>
    <row r="275" ht="12.75" customHeight="1" spans="1:17">
      <c r="A275" s="265"/>
      <c r="B275" s="265"/>
      <c r="C275" s="265"/>
      <c r="D275" s="265"/>
      <c r="E275" s="265"/>
      <c r="F275" s="265"/>
      <c r="G275" s="266"/>
      <c r="H275" s="265"/>
      <c r="I275" s="266"/>
      <c r="J275" s="265"/>
      <c r="K275" s="266"/>
      <c r="L275" s="266"/>
      <c r="M275" s="266"/>
      <c r="N275" s="265"/>
      <c r="O275" s="265"/>
      <c r="P275" s="267"/>
      <c r="Q275" s="267"/>
    </row>
    <row r="276" ht="12.75" customHeight="1" spans="1:17">
      <c r="A276" s="265"/>
      <c r="B276" s="265"/>
      <c r="C276" s="265"/>
      <c r="D276" s="265"/>
      <c r="E276" s="265"/>
      <c r="F276" s="265"/>
      <c r="G276" s="266"/>
      <c r="H276" s="265"/>
      <c r="I276" s="266"/>
      <c r="J276" s="265"/>
      <c r="K276" s="266"/>
      <c r="L276" s="266"/>
      <c r="M276" s="266"/>
      <c r="N276" s="265"/>
      <c r="O276" s="265"/>
      <c r="P276" s="267"/>
      <c r="Q276" s="267"/>
    </row>
    <row r="277" ht="12.75" customHeight="1" spans="1:17">
      <c r="A277" s="265"/>
      <c r="B277" s="265"/>
      <c r="C277" s="265"/>
      <c r="D277" s="265"/>
      <c r="E277" s="265"/>
      <c r="F277" s="265"/>
      <c r="G277" s="266"/>
      <c r="H277" s="265"/>
      <c r="I277" s="266"/>
      <c r="J277" s="265"/>
      <c r="K277" s="266"/>
      <c r="L277" s="266"/>
      <c r="M277" s="266"/>
      <c r="N277" s="265"/>
      <c r="O277" s="265"/>
      <c r="P277" s="267"/>
      <c r="Q277" s="267"/>
    </row>
    <row r="278" ht="12.75" customHeight="1" spans="1:17">
      <c r="A278" s="265"/>
      <c r="B278" s="265"/>
      <c r="C278" s="265"/>
      <c r="D278" s="265"/>
      <c r="E278" s="265"/>
      <c r="F278" s="265"/>
      <c r="G278" s="266"/>
      <c r="H278" s="265"/>
      <c r="I278" s="266"/>
      <c r="J278" s="265"/>
      <c r="K278" s="266"/>
      <c r="L278" s="266"/>
      <c r="M278" s="266"/>
      <c r="N278" s="265"/>
      <c r="O278" s="265"/>
      <c r="P278" s="267"/>
      <c r="Q278" s="267"/>
    </row>
    <row r="279" ht="12.75" customHeight="1" spans="1:17">
      <c r="A279" s="265"/>
      <c r="B279" s="265"/>
      <c r="C279" s="265"/>
      <c r="D279" s="265"/>
      <c r="E279" s="265"/>
      <c r="F279" s="265"/>
      <c r="G279" s="266"/>
      <c r="H279" s="265"/>
      <c r="I279" s="266"/>
      <c r="J279" s="265"/>
      <c r="K279" s="266"/>
      <c r="L279" s="266"/>
      <c r="M279" s="266"/>
      <c r="N279" s="265"/>
      <c r="O279" s="265"/>
      <c r="P279" s="267"/>
      <c r="Q279" s="267"/>
    </row>
    <row r="280" ht="12.75" customHeight="1" spans="1:17">
      <c r="A280" s="265"/>
      <c r="B280" s="265"/>
      <c r="C280" s="265"/>
      <c r="D280" s="265"/>
      <c r="E280" s="265"/>
      <c r="F280" s="265"/>
      <c r="G280" s="266"/>
      <c r="H280" s="265"/>
      <c r="I280" s="266"/>
      <c r="J280" s="265"/>
      <c r="K280" s="266"/>
      <c r="L280" s="266"/>
      <c r="M280" s="266"/>
      <c r="N280" s="265"/>
      <c r="O280" s="265"/>
      <c r="P280" s="267"/>
      <c r="Q280" s="267"/>
    </row>
    <row r="281" ht="12.75" customHeight="1" spans="1:17">
      <c r="A281" s="265"/>
      <c r="B281" s="265"/>
      <c r="C281" s="265"/>
      <c r="D281" s="265"/>
      <c r="E281" s="265"/>
      <c r="F281" s="265"/>
      <c r="G281" s="266"/>
      <c r="H281" s="265"/>
      <c r="I281" s="266"/>
      <c r="J281" s="265"/>
      <c r="K281" s="266"/>
      <c r="L281" s="266"/>
      <c r="M281" s="266"/>
      <c r="N281" s="265"/>
      <c r="O281" s="265"/>
      <c r="P281" s="267"/>
      <c r="Q281" s="267"/>
    </row>
    <row r="282" ht="12.75" customHeight="1" spans="1:17">
      <c r="A282" s="265"/>
      <c r="B282" s="265"/>
      <c r="C282" s="265"/>
      <c r="D282" s="265"/>
      <c r="E282" s="265"/>
      <c r="F282" s="265"/>
      <c r="G282" s="266"/>
      <c r="H282" s="265"/>
      <c r="I282" s="266"/>
      <c r="J282" s="265"/>
      <c r="K282" s="266"/>
      <c r="L282" s="266"/>
      <c r="M282" s="266"/>
      <c r="N282" s="265"/>
      <c r="O282" s="265"/>
      <c r="P282" s="267"/>
      <c r="Q282" s="267"/>
    </row>
    <row r="283" ht="12.75" customHeight="1" spans="1:17">
      <c r="A283" s="265"/>
      <c r="B283" s="265"/>
      <c r="C283" s="265"/>
      <c r="D283" s="265"/>
      <c r="E283" s="265"/>
      <c r="F283" s="265"/>
      <c r="G283" s="266"/>
      <c r="H283" s="265"/>
      <c r="I283" s="266"/>
      <c r="J283" s="265"/>
      <c r="K283" s="266"/>
      <c r="L283" s="266"/>
      <c r="M283" s="266"/>
      <c r="N283" s="265"/>
      <c r="O283" s="265"/>
      <c r="P283" s="267"/>
      <c r="Q283" s="267"/>
    </row>
    <row r="284" ht="12.75" customHeight="1" spans="1:17">
      <c r="A284" s="265"/>
      <c r="B284" s="265"/>
      <c r="C284" s="265"/>
      <c r="D284" s="265"/>
      <c r="E284" s="265"/>
      <c r="F284" s="265"/>
      <c r="G284" s="266"/>
      <c r="H284" s="265"/>
      <c r="I284" s="266"/>
      <c r="J284" s="265"/>
      <c r="K284" s="266"/>
      <c r="L284" s="266"/>
      <c r="M284" s="266"/>
      <c r="N284" s="265"/>
      <c r="O284" s="265"/>
      <c r="P284" s="267"/>
      <c r="Q284" s="267"/>
    </row>
    <row r="285" ht="12.75" customHeight="1" spans="1:17">
      <c r="A285" s="265"/>
      <c r="B285" s="265"/>
      <c r="C285" s="265"/>
      <c r="D285" s="265"/>
      <c r="E285" s="265"/>
      <c r="F285" s="265"/>
      <c r="G285" s="266"/>
      <c r="H285" s="265"/>
      <c r="I285" s="266"/>
      <c r="J285" s="265"/>
      <c r="K285" s="266"/>
      <c r="L285" s="266"/>
      <c r="M285" s="266"/>
      <c r="N285" s="265"/>
      <c r="O285" s="265"/>
      <c r="P285" s="267"/>
      <c r="Q285" s="267"/>
    </row>
    <row r="286" ht="12.75" customHeight="1" spans="1:17">
      <c r="A286" s="265"/>
      <c r="B286" s="265"/>
      <c r="C286" s="265"/>
      <c r="D286" s="265"/>
      <c r="E286" s="265"/>
      <c r="F286" s="265"/>
      <c r="G286" s="266"/>
      <c r="H286" s="265"/>
      <c r="I286" s="266"/>
      <c r="J286" s="265"/>
      <c r="K286" s="266"/>
      <c r="L286" s="266"/>
      <c r="M286" s="266"/>
      <c r="N286" s="265"/>
      <c r="O286" s="265"/>
      <c r="P286" s="267"/>
      <c r="Q286" s="267"/>
    </row>
    <row r="287" ht="12.75" customHeight="1" spans="1:17">
      <c r="A287" s="265"/>
      <c r="B287" s="265"/>
      <c r="C287" s="265"/>
      <c r="D287" s="265"/>
      <c r="E287" s="265"/>
      <c r="F287" s="265"/>
      <c r="G287" s="266"/>
      <c r="H287" s="265"/>
      <c r="I287" s="266"/>
      <c r="J287" s="265"/>
      <c r="K287" s="266"/>
      <c r="L287" s="266"/>
      <c r="M287" s="266"/>
      <c r="N287" s="265"/>
      <c r="O287" s="265"/>
      <c r="P287" s="267"/>
      <c r="Q287" s="267"/>
    </row>
    <row r="288" ht="12.75" customHeight="1" spans="1:17">
      <c r="A288" s="265"/>
      <c r="B288" s="265"/>
      <c r="C288" s="265"/>
      <c r="D288" s="265"/>
      <c r="E288" s="265"/>
      <c r="F288" s="265"/>
      <c r="G288" s="266"/>
      <c r="H288" s="265"/>
      <c r="I288" s="266"/>
      <c r="J288" s="265"/>
      <c r="K288" s="266"/>
      <c r="L288" s="266"/>
      <c r="M288" s="266"/>
      <c r="N288" s="265"/>
      <c r="O288" s="265"/>
      <c r="P288" s="267"/>
      <c r="Q288" s="267"/>
    </row>
    <row r="289" ht="12.75" customHeight="1" spans="1:17">
      <c r="A289" s="265"/>
      <c r="B289" s="265"/>
      <c r="C289" s="265"/>
      <c r="D289" s="265"/>
      <c r="E289" s="265"/>
      <c r="F289" s="265"/>
      <c r="G289" s="266"/>
      <c r="H289" s="265"/>
      <c r="I289" s="266"/>
      <c r="J289" s="265"/>
      <c r="K289" s="266"/>
      <c r="L289" s="266"/>
      <c r="M289" s="266"/>
      <c r="N289" s="265"/>
      <c r="O289" s="265"/>
      <c r="P289" s="267"/>
      <c r="Q289" s="267"/>
    </row>
    <row r="290" ht="12.75" customHeight="1" spans="1:17">
      <c r="A290" s="265"/>
      <c r="B290" s="265"/>
      <c r="C290" s="265"/>
      <c r="D290" s="265"/>
      <c r="E290" s="265"/>
      <c r="F290" s="265"/>
      <c r="G290" s="266"/>
      <c r="H290" s="265"/>
      <c r="I290" s="266"/>
      <c r="J290" s="265"/>
      <c r="K290" s="266"/>
      <c r="L290" s="266"/>
      <c r="M290" s="266"/>
      <c r="N290" s="265"/>
      <c r="O290" s="265"/>
      <c r="P290" s="267"/>
      <c r="Q290" s="267"/>
    </row>
    <row r="291" ht="12.75" customHeight="1" spans="1:17">
      <c r="A291" s="265"/>
      <c r="B291" s="265"/>
      <c r="C291" s="265"/>
      <c r="D291" s="265"/>
      <c r="E291" s="265"/>
      <c r="F291" s="265"/>
      <c r="G291" s="266"/>
      <c r="H291" s="265"/>
      <c r="I291" s="266"/>
      <c r="J291" s="265"/>
      <c r="K291" s="266"/>
      <c r="L291" s="266"/>
      <c r="M291" s="266"/>
      <c r="N291" s="265"/>
      <c r="O291" s="265"/>
      <c r="P291" s="267"/>
      <c r="Q291" s="267"/>
    </row>
    <row r="292" ht="12.75" customHeight="1" spans="1:17">
      <c r="A292" s="265"/>
      <c r="B292" s="265"/>
      <c r="C292" s="265"/>
      <c r="D292" s="265"/>
      <c r="E292" s="265"/>
      <c r="F292" s="265"/>
      <c r="G292" s="266"/>
      <c r="H292" s="265"/>
      <c r="I292" s="266"/>
      <c r="J292" s="265"/>
      <c r="K292" s="266"/>
      <c r="L292" s="266"/>
      <c r="M292" s="266"/>
      <c r="N292" s="265"/>
      <c r="O292" s="265"/>
      <c r="P292" s="267"/>
      <c r="Q292" s="267"/>
    </row>
    <row r="293" ht="12.75" customHeight="1" spans="1:17">
      <c r="A293" s="265"/>
      <c r="B293" s="265"/>
      <c r="C293" s="265"/>
      <c r="D293" s="265"/>
      <c r="E293" s="265"/>
      <c r="F293" s="265"/>
      <c r="G293" s="266"/>
      <c r="H293" s="265"/>
      <c r="I293" s="266"/>
      <c r="J293" s="265"/>
      <c r="K293" s="266"/>
      <c r="L293" s="266"/>
      <c r="M293" s="266"/>
      <c r="N293" s="265"/>
      <c r="O293" s="265"/>
      <c r="P293" s="267"/>
      <c r="Q293" s="267"/>
    </row>
    <row r="294" ht="12.75" customHeight="1" spans="1:17">
      <c r="A294" s="265"/>
      <c r="B294" s="265"/>
      <c r="C294" s="265"/>
      <c r="D294" s="265"/>
      <c r="E294" s="265"/>
      <c r="F294" s="265"/>
      <c r="G294" s="266"/>
      <c r="H294" s="265"/>
      <c r="I294" s="266"/>
      <c r="J294" s="265"/>
      <c r="K294" s="266"/>
      <c r="L294" s="266"/>
      <c r="M294" s="266"/>
      <c r="N294" s="265"/>
      <c r="O294" s="265"/>
      <c r="P294" s="267"/>
      <c r="Q294" s="267"/>
    </row>
    <row r="295" ht="12.75" customHeight="1" spans="1:17">
      <c r="A295" s="265"/>
      <c r="B295" s="265"/>
      <c r="C295" s="265"/>
      <c r="D295" s="265"/>
      <c r="E295" s="265"/>
      <c r="F295" s="265"/>
      <c r="G295" s="266"/>
      <c r="H295" s="265"/>
      <c r="I295" s="266"/>
      <c r="J295" s="265"/>
      <c r="K295" s="266"/>
      <c r="L295" s="266"/>
      <c r="M295" s="266"/>
      <c r="N295" s="265"/>
      <c r="O295" s="265"/>
      <c r="P295" s="267"/>
      <c r="Q295" s="267"/>
    </row>
    <row r="296" ht="12.75" customHeight="1" spans="1:17">
      <c r="A296" s="265"/>
      <c r="B296" s="265"/>
      <c r="C296" s="265"/>
      <c r="D296" s="265"/>
      <c r="E296" s="265"/>
      <c r="F296" s="265"/>
      <c r="G296" s="266"/>
      <c r="H296" s="265"/>
      <c r="I296" s="266"/>
      <c r="J296" s="265"/>
      <c r="K296" s="266"/>
      <c r="L296" s="266"/>
      <c r="M296" s="266"/>
      <c r="N296" s="265"/>
      <c r="O296" s="265"/>
      <c r="P296" s="267"/>
      <c r="Q296" s="267"/>
    </row>
    <row r="297" ht="12.75" customHeight="1" spans="1:17">
      <c r="A297" s="265"/>
      <c r="B297" s="265"/>
      <c r="C297" s="265"/>
      <c r="D297" s="265"/>
      <c r="E297" s="265"/>
      <c r="F297" s="265"/>
      <c r="G297" s="266"/>
      <c r="H297" s="265"/>
      <c r="I297" s="266"/>
      <c r="J297" s="265"/>
      <c r="K297" s="266"/>
      <c r="L297" s="266"/>
      <c r="M297" s="266"/>
      <c r="N297" s="265"/>
      <c r="O297" s="265"/>
      <c r="P297" s="267"/>
      <c r="Q297" s="267"/>
    </row>
    <row r="298" ht="12.75" customHeight="1" spans="1:17">
      <c r="A298" s="265"/>
      <c r="B298" s="265"/>
      <c r="C298" s="265"/>
      <c r="D298" s="265"/>
      <c r="E298" s="265"/>
      <c r="F298" s="265"/>
      <c r="G298" s="266"/>
      <c r="H298" s="265"/>
      <c r="I298" s="266"/>
      <c r="J298" s="265"/>
      <c r="K298" s="266"/>
      <c r="L298" s="266"/>
      <c r="M298" s="266"/>
      <c r="N298" s="265"/>
      <c r="O298" s="265"/>
      <c r="P298" s="267"/>
      <c r="Q298" s="267"/>
    </row>
    <row r="299" ht="12.75" customHeight="1" spans="1:17">
      <c r="A299" s="265"/>
      <c r="B299" s="265"/>
      <c r="C299" s="265"/>
      <c r="D299" s="265"/>
      <c r="E299" s="265"/>
      <c r="F299" s="265"/>
      <c r="G299" s="266"/>
      <c r="H299" s="265"/>
      <c r="I299" s="266"/>
      <c r="J299" s="265"/>
      <c r="K299" s="266"/>
      <c r="L299" s="266"/>
      <c r="M299" s="266"/>
      <c r="N299" s="265"/>
      <c r="O299" s="265"/>
      <c r="P299" s="267"/>
      <c r="Q299" s="267"/>
    </row>
    <row r="300" ht="12.75" customHeight="1" spans="1:17">
      <c r="A300" s="265"/>
      <c r="B300" s="265"/>
      <c r="C300" s="265"/>
      <c r="D300" s="265"/>
      <c r="E300" s="265"/>
      <c r="F300" s="265"/>
      <c r="G300" s="266"/>
      <c r="H300" s="265"/>
      <c r="I300" s="266"/>
      <c r="J300" s="265"/>
      <c r="K300" s="266"/>
      <c r="L300" s="266"/>
      <c r="M300" s="266"/>
      <c r="N300" s="265"/>
      <c r="O300" s="265"/>
      <c r="P300" s="267"/>
      <c r="Q300" s="267"/>
    </row>
    <row r="301" ht="12.75" customHeight="1" spans="1:17">
      <c r="A301" s="265"/>
      <c r="B301" s="265"/>
      <c r="C301" s="265"/>
      <c r="D301" s="265"/>
      <c r="E301" s="265"/>
      <c r="F301" s="265"/>
      <c r="G301" s="266"/>
      <c r="H301" s="265"/>
      <c r="I301" s="266"/>
      <c r="J301" s="265"/>
      <c r="K301" s="266"/>
      <c r="L301" s="266"/>
      <c r="M301" s="266"/>
      <c r="N301" s="265"/>
      <c r="O301" s="265"/>
      <c r="P301" s="267"/>
      <c r="Q301" s="267"/>
    </row>
    <row r="302" ht="12.75" customHeight="1" spans="1:17">
      <c r="A302" s="265"/>
      <c r="B302" s="265"/>
      <c r="C302" s="265"/>
      <c r="D302" s="265"/>
      <c r="E302" s="265"/>
      <c r="F302" s="265"/>
      <c r="G302" s="266"/>
      <c r="H302" s="265"/>
      <c r="I302" s="266"/>
      <c r="J302" s="265"/>
      <c r="K302" s="266"/>
      <c r="L302" s="266"/>
      <c r="M302" s="266"/>
      <c r="N302" s="265"/>
      <c r="O302" s="265"/>
      <c r="P302" s="267"/>
      <c r="Q302" s="267"/>
    </row>
    <row r="303" ht="12.75" customHeight="1" spans="1:17">
      <c r="A303" s="265"/>
      <c r="B303" s="265"/>
      <c r="C303" s="265"/>
      <c r="D303" s="265"/>
      <c r="E303" s="265"/>
      <c r="F303" s="265"/>
      <c r="G303" s="266"/>
      <c r="H303" s="265"/>
      <c r="I303" s="266"/>
      <c r="J303" s="265"/>
      <c r="K303" s="266"/>
      <c r="L303" s="266"/>
      <c r="M303" s="266"/>
      <c r="N303" s="265"/>
      <c r="O303" s="265"/>
      <c r="P303" s="267"/>
      <c r="Q303" s="267"/>
    </row>
    <row r="304" ht="12.75" customHeight="1" spans="1:17">
      <c r="A304" s="265"/>
      <c r="B304" s="265"/>
      <c r="C304" s="265"/>
      <c r="D304" s="265"/>
      <c r="E304" s="265"/>
      <c r="F304" s="265"/>
      <c r="G304" s="266"/>
      <c r="H304" s="265"/>
      <c r="I304" s="266"/>
      <c r="J304" s="265"/>
      <c r="K304" s="266"/>
      <c r="L304" s="266"/>
      <c r="M304" s="266"/>
      <c r="N304" s="265"/>
      <c r="O304" s="265"/>
      <c r="P304" s="267"/>
      <c r="Q304" s="267"/>
    </row>
    <row r="305" ht="12.75" customHeight="1" spans="1:17">
      <c r="A305" s="265"/>
      <c r="B305" s="265"/>
      <c r="C305" s="265"/>
      <c r="D305" s="265"/>
      <c r="E305" s="265"/>
      <c r="F305" s="265"/>
      <c r="G305" s="266"/>
      <c r="H305" s="265"/>
      <c r="I305" s="266"/>
      <c r="J305" s="265"/>
      <c r="K305" s="266"/>
      <c r="L305" s="266"/>
      <c r="M305" s="266"/>
      <c r="N305" s="265"/>
      <c r="O305" s="265"/>
      <c r="P305" s="267"/>
      <c r="Q305" s="267"/>
    </row>
    <row r="306" ht="12.75" customHeight="1" spans="1:17">
      <c r="A306" s="265"/>
      <c r="B306" s="265"/>
      <c r="C306" s="265"/>
      <c r="D306" s="265"/>
      <c r="E306" s="265"/>
      <c r="F306" s="265"/>
      <c r="G306" s="266"/>
      <c r="H306" s="265"/>
      <c r="I306" s="266"/>
      <c r="J306" s="265"/>
      <c r="K306" s="266"/>
      <c r="L306" s="266"/>
      <c r="M306" s="266"/>
      <c r="N306" s="265"/>
      <c r="O306" s="265"/>
      <c r="P306" s="267"/>
      <c r="Q306" s="267"/>
    </row>
    <row r="307" ht="12.75" customHeight="1" spans="1:17">
      <c r="A307" s="265"/>
      <c r="B307" s="265"/>
      <c r="C307" s="265"/>
      <c r="D307" s="265"/>
      <c r="E307" s="265"/>
      <c r="F307" s="265"/>
      <c r="G307" s="266"/>
      <c r="H307" s="265"/>
      <c r="I307" s="266"/>
      <c r="J307" s="265"/>
      <c r="K307" s="266"/>
      <c r="L307" s="266"/>
      <c r="M307" s="266"/>
      <c r="N307" s="265"/>
      <c r="O307" s="265"/>
      <c r="P307" s="267"/>
      <c r="Q307" s="267"/>
    </row>
    <row r="308" ht="12.75" customHeight="1" spans="1:17">
      <c r="A308" s="265"/>
      <c r="B308" s="265"/>
      <c r="C308" s="265"/>
      <c r="D308" s="265"/>
      <c r="E308" s="265"/>
      <c r="F308" s="265"/>
      <c r="G308" s="266"/>
      <c r="H308" s="265"/>
      <c r="I308" s="266"/>
      <c r="J308" s="265"/>
      <c r="K308" s="266"/>
      <c r="L308" s="266"/>
      <c r="M308" s="266"/>
      <c r="N308" s="265"/>
      <c r="O308" s="265"/>
      <c r="P308" s="267"/>
      <c r="Q308" s="267"/>
    </row>
    <row r="309" ht="12.75" customHeight="1" spans="1:17">
      <c r="A309" s="265"/>
      <c r="B309" s="265"/>
      <c r="C309" s="265"/>
      <c r="D309" s="265"/>
      <c r="E309" s="265"/>
      <c r="F309" s="265"/>
      <c r="G309" s="266"/>
      <c r="H309" s="265"/>
      <c r="I309" s="266"/>
      <c r="J309" s="265"/>
      <c r="K309" s="266"/>
      <c r="L309" s="266"/>
      <c r="M309" s="266"/>
      <c r="N309" s="265"/>
      <c r="O309" s="265"/>
      <c r="P309" s="267"/>
      <c r="Q309" s="267"/>
    </row>
    <row r="310" ht="12.75" customHeight="1" spans="1:17">
      <c r="A310" s="265"/>
      <c r="B310" s="265"/>
      <c r="C310" s="265"/>
      <c r="D310" s="265"/>
      <c r="E310" s="265"/>
      <c r="F310" s="265"/>
      <c r="G310" s="266"/>
      <c r="H310" s="265"/>
      <c r="I310" s="266"/>
      <c r="J310" s="265"/>
      <c r="K310" s="266"/>
      <c r="L310" s="266"/>
      <c r="M310" s="266"/>
      <c r="N310" s="265"/>
      <c r="O310" s="265"/>
      <c r="P310" s="267"/>
      <c r="Q310" s="267"/>
    </row>
    <row r="311" ht="12.75" customHeight="1" spans="1:17">
      <c r="A311" s="265"/>
      <c r="B311" s="265"/>
      <c r="C311" s="265"/>
      <c r="D311" s="265"/>
      <c r="E311" s="265"/>
      <c r="F311" s="265"/>
      <c r="G311" s="266"/>
      <c r="H311" s="265"/>
      <c r="I311" s="266"/>
      <c r="J311" s="265"/>
      <c r="K311" s="266"/>
      <c r="L311" s="266"/>
      <c r="M311" s="266"/>
      <c r="N311" s="265"/>
      <c r="O311" s="265"/>
      <c r="P311" s="267"/>
      <c r="Q311" s="267"/>
    </row>
    <row r="312" ht="12.75" customHeight="1" spans="1:17">
      <c r="A312" s="265"/>
      <c r="B312" s="265"/>
      <c r="C312" s="265"/>
      <c r="D312" s="265"/>
      <c r="E312" s="265"/>
      <c r="F312" s="265"/>
      <c r="G312" s="266"/>
      <c r="H312" s="265"/>
      <c r="I312" s="266"/>
      <c r="J312" s="265"/>
      <c r="K312" s="266"/>
      <c r="L312" s="266"/>
      <c r="M312" s="266"/>
      <c r="N312" s="265"/>
      <c r="O312" s="265"/>
      <c r="P312" s="267"/>
      <c r="Q312" s="267"/>
    </row>
    <row r="313" ht="12.75" customHeight="1" spans="1:17">
      <c r="A313" s="265"/>
      <c r="B313" s="265"/>
      <c r="C313" s="265"/>
      <c r="D313" s="265"/>
      <c r="E313" s="265"/>
      <c r="F313" s="265"/>
      <c r="G313" s="266"/>
      <c r="H313" s="265"/>
      <c r="I313" s="266"/>
      <c r="J313" s="265"/>
      <c r="K313" s="266"/>
      <c r="L313" s="266"/>
      <c r="M313" s="266"/>
      <c r="N313" s="265"/>
      <c r="O313" s="265"/>
      <c r="P313" s="267"/>
      <c r="Q313" s="267"/>
    </row>
    <row r="314" ht="12.75" customHeight="1" spans="1:17">
      <c r="A314" s="265"/>
      <c r="B314" s="265"/>
      <c r="C314" s="265"/>
      <c r="D314" s="265"/>
      <c r="E314" s="265"/>
      <c r="F314" s="265"/>
      <c r="G314" s="266"/>
      <c r="H314" s="265"/>
      <c r="I314" s="266"/>
      <c r="J314" s="265"/>
      <c r="K314" s="266"/>
      <c r="L314" s="266"/>
      <c r="M314" s="266"/>
      <c r="N314" s="265"/>
      <c r="O314" s="265"/>
      <c r="P314" s="267"/>
      <c r="Q314" s="267"/>
    </row>
    <row r="315" ht="12.75" customHeight="1" spans="1:17">
      <c r="A315" s="265"/>
      <c r="B315" s="265"/>
      <c r="C315" s="265"/>
      <c r="D315" s="265"/>
      <c r="E315" s="265"/>
      <c r="F315" s="265"/>
      <c r="G315" s="266"/>
      <c r="H315" s="265"/>
      <c r="I315" s="266"/>
      <c r="J315" s="265"/>
      <c r="K315" s="266"/>
      <c r="L315" s="266"/>
      <c r="M315" s="266"/>
      <c r="N315" s="265"/>
      <c r="O315" s="265"/>
      <c r="P315" s="267"/>
      <c r="Q315" s="267"/>
    </row>
    <row r="316" ht="12.75" customHeight="1" spans="1:17">
      <c r="A316" s="265"/>
      <c r="B316" s="265"/>
      <c r="C316" s="265"/>
      <c r="D316" s="265"/>
      <c r="E316" s="265"/>
      <c r="F316" s="265"/>
      <c r="G316" s="266"/>
      <c r="H316" s="265"/>
      <c r="I316" s="266"/>
      <c r="J316" s="265"/>
      <c r="K316" s="266"/>
      <c r="L316" s="266"/>
      <c r="M316" s="266"/>
      <c r="N316" s="265"/>
      <c r="O316" s="265"/>
      <c r="P316" s="267"/>
      <c r="Q316" s="267"/>
    </row>
    <row r="317" ht="12.75" customHeight="1" spans="1:17">
      <c r="A317" s="265"/>
      <c r="B317" s="265"/>
      <c r="C317" s="265"/>
      <c r="D317" s="265"/>
      <c r="E317" s="265"/>
      <c r="F317" s="265"/>
      <c r="G317" s="266"/>
      <c r="H317" s="265"/>
      <c r="I317" s="266"/>
      <c r="J317" s="265"/>
      <c r="K317" s="266"/>
      <c r="L317" s="266"/>
      <c r="M317" s="266"/>
      <c r="N317" s="265"/>
      <c r="O317" s="265"/>
      <c r="P317" s="267"/>
      <c r="Q317" s="267"/>
    </row>
    <row r="318" ht="12.75" customHeight="1" spans="1:17">
      <c r="A318" s="265"/>
      <c r="B318" s="265"/>
      <c r="C318" s="265"/>
      <c r="D318" s="265"/>
      <c r="E318" s="265"/>
      <c r="F318" s="265"/>
      <c r="G318" s="266"/>
      <c r="H318" s="265"/>
      <c r="I318" s="266"/>
      <c r="J318" s="265"/>
      <c r="K318" s="266"/>
      <c r="L318" s="266"/>
      <c r="M318" s="266"/>
      <c r="N318" s="265"/>
      <c r="O318" s="265"/>
      <c r="P318" s="267"/>
      <c r="Q318" s="267"/>
    </row>
    <row r="319" ht="12.75" customHeight="1" spans="1:17">
      <c r="A319" s="265"/>
      <c r="B319" s="265"/>
      <c r="C319" s="265"/>
      <c r="D319" s="265"/>
      <c r="E319" s="265"/>
      <c r="F319" s="265"/>
      <c r="G319" s="266"/>
      <c r="H319" s="265"/>
      <c r="I319" s="266"/>
      <c r="J319" s="265"/>
      <c r="K319" s="266"/>
      <c r="L319" s="266"/>
      <c r="M319" s="266"/>
      <c r="N319" s="265"/>
      <c r="O319" s="265"/>
      <c r="P319" s="267"/>
      <c r="Q319" s="267"/>
    </row>
    <row r="320" ht="12.75" customHeight="1" spans="1:17">
      <c r="A320" s="265"/>
      <c r="B320" s="265"/>
      <c r="C320" s="265"/>
      <c r="D320" s="265"/>
      <c r="E320" s="265"/>
      <c r="F320" s="265"/>
      <c r="G320" s="266"/>
      <c r="H320" s="265"/>
      <c r="I320" s="266"/>
      <c r="J320" s="265"/>
      <c r="K320" s="266"/>
      <c r="L320" s="266"/>
      <c r="M320" s="266"/>
      <c r="N320" s="265"/>
      <c r="O320" s="265"/>
      <c r="P320" s="267"/>
      <c r="Q320" s="267"/>
    </row>
    <row r="321" ht="12.75" customHeight="1" spans="1:17">
      <c r="A321" s="265"/>
      <c r="B321" s="265"/>
      <c r="C321" s="265"/>
      <c r="D321" s="265"/>
      <c r="E321" s="265"/>
      <c r="F321" s="265"/>
      <c r="G321" s="266"/>
      <c r="H321" s="265"/>
      <c r="I321" s="266"/>
      <c r="J321" s="265"/>
      <c r="K321" s="266"/>
      <c r="L321" s="266"/>
      <c r="M321" s="266"/>
      <c r="N321" s="265"/>
      <c r="O321" s="265"/>
      <c r="P321" s="267"/>
      <c r="Q321" s="267"/>
    </row>
    <row r="322" ht="12.75" customHeight="1" spans="1:17">
      <c r="A322" s="265"/>
      <c r="B322" s="265"/>
      <c r="C322" s="265"/>
      <c r="D322" s="265"/>
      <c r="E322" s="265"/>
      <c r="F322" s="265"/>
      <c r="G322" s="266"/>
      <c r="H322" s="265"/>
      <c r="I322" s="266"/>
      <c r="J322" s="265"/>
      <c r="K322" s="266"/>
      <c r="L322" s="266"/>
      <c r="M322" s="266"/>
      <c r="N322" s="265"/>
      <c r="O322" s="265"/>
      <c r="P322" s="267"/>
      <c r="Q322" s="267"/>
    </row>
    <row r="323" ht="12.75" customHeight="1" spans="1:17">
      <c r="A323" s="265"/>
      <c r="B323" s="265"/>
      <c r="C323" s="265"/>
      <c r="D323" s="265"/>
      <c r="E323" s="265"/>
      <c r="F323" s="265"/>
      <c r="G323" s="266"/>
      <c r="H323" s="265"/>
      <c r="I323" s="266"/>
      <c r="J323" s="265"/>
      <c r="K323" s="266"/>
      <c r="L323" s="266"/>
      <c r="M323" s="266"/>
      <c r="N323" s="265"/>
      <c r="O323" s="265"/>
      <c r="P323" s="267"/>
      <c r="Q323" s="267"/>
    </row>
    <row r="324" ht="12.75" customHeight="1" spans="1:17">
      <c r="A324" s="265"/>
      <c r="B324" s="265"/>
      <c r="C324" s="265"/>
      <c r="D324" s="265"/>
      <c r="E324" s="265"/>
      <c r="F324" s="265"/>
      <c r="G324" s="266"/>
      <c r="H324" s="265"/>
      <c r="I324" s="266"/>
      <c r="J324" s="265"/>
      <c r="K324" s="266"/>
      <c r="L324" s="266"/>
      <c r="M324" s="266"/>
      <c r="N324" s="265"/>
      <c r="O324" s="265"/>
      <c r="P324" s="267"/>
      <c r="Q324" s="267"/>
    </row>
    <row r="325" ht="12.75" customHeight="1" spans="1:17">
      <c r="A325" s="265"/>
      <c r="B325" s="265"/>
      <c r="C325" s="265"/>
      <c r="D325" s="265"/>
      <c r="E325" s="265"/>
      <c r="F325" s="265"/>
      <c r="G325" s="266"/>
      <c r="H325" s="265"/>
      <c r="I325" s="266"/>
      <c r="J325" s="265"/>
      <c r="K325" s="266"/>
      <c r="L325" s="266"/>
      <c r="M325" s="266"/>
      <c r="N325" s="265"/>
      <c r="O325" s="265"/>
      <c r="P325" s="267"/>
      <c r="Q325" s="267"/>
    </row>
    <row r="326" ht="12.75" customHeight="1" spans="1:17">
      <c r="A326" s="265"/>
      <c r="B326" s="265"/>
      <c r="C326" s="265"/>
      <c r="D326" s="265"/>
      <c r="E326" s="265"/>
      <c r="F326" s="265"/>
      <c r="G326" s="266"/>
      <c r="H326" s="265"/>
      <c r="I326" s="266"/>
      <c r="J326" s="265"/>
      <c r="K326" s="266"/>
      <c r="L326" s="266"/>
      <c r="M326" s="266"/>
      <c r="N326" s="265"/>
      <c r="O326" s="265"/>
      <c r="P326" s="267"/>
      <c r="Q326" s="267"/>
    </row>
    <row r="327" ht="12.75" customHeight="1" spans="1:17">
      <c r="A327" s="265"/>
      <c r="B327" s="265"/>
      <c r="C327" s="265"/>
      <c r="D327" s="265"/>
      <c r="E327" s="265"/>
      <c r="F327" s="265"/>
      <c r="G327" s="266"/>
      <c r="H327" s="265"/>
      <c r="I327" s="266"/>
      <c r="J327" s="265"/>
      <c r="K327" s="266"/>
      <c r="L327" s="266"/>
      <c r="M327" s="266"/>
      <c r="N327" s="265"/>
      <c r="O327" s="265"/>
      <c r="P327" s="267"/>
      <c r="Q327" s="267"/>
    </row>
    <row r="328" ht="12.75" customHeight="1" spans="1:17">
      <c r="A328" s="265"/>
      <c r="B328" s="265"/>
      <c r="C328" s="265"/>
      <c r="D328" s="265"/>
      <c r="E328" s="265"/>
      <c r="F328" s="265"/>
      <c r="G328" s="266"/>
      <c r="H328" s="265"/>
      <c r="I328" s="266"/>
      <c r="J328" s="265"/>
      <c r="K328" s="266"/>
      <c r="L328" s="266"/>
      <c r="M328" s="266"/>
      <c r="N328" s="265"/>
      <c r="O328" s="265"/>
      <c r="P328" s="267"/>
      <c r="Q328" s="267"/>
    </row>
    <row r="329" ht="12.75" customHeight="1" spans="1:17">
      <c r="A329" s="265"/>
      <c r="B329" s="265"/>
      <c r="C329" s="265"/>
      <c r="D329" s="265"/>
      <c r="E329" s="265"/>
      <c r="F329" s="265"/>
      <c r="G329" s="266"/>
      <c r="H329" s="265"/>
      <c r="I329" s="266"/>
      <c r="J329" s="265"/>
      <c r="K329" s="266"/>
      <c r="L329" s="266"/>
      <c r="M329" s="266"/>
      <c r="N329" s="265"/>
      <c r="O329" s="265"/>
      <c r="P329" s="267"/>
      <c r="Q329" s="267"/>
    </row>
    <row r="330" ht="12.75" customHeight="1" spans="1:17">
      <c r="A330" s="265"/>
      <c r="B330" s="265"/>
      <c r="C330" s="265"/>
      <c r="D330" s="265"/>
      <c r="E330" s="265"/>
      <c r="F330" s="265"/>
      <c r="G330" s="266"/>
      <c r="H330" s="265"/>
      <c r="I330" s="266"/>
      <c r="J330" s="265"/>
      <c r="K330" s="266"/>
      <c r="L330" s="266"/>
      <c r="M330" s="266"/>
      <c r="N330" s="265"/>
      <c r="O330" s="265"/>
      <c r="P330" s="267"/>
      <c r="Q330" s="267"/>
    </row>
    <row r="331" ht="12.75" customHeight="1" spans="1:17">
      <c r="A331" s="265"/>
      <c r="B331" s="265"/>
      <c r="C331" s="265"/>
      <c r="D331" s="265"/>
      <c r="E331" s="265"/>
      <c r="F331" s="265"/>
      <c r="G331" s="266"/>
      <c r="H331" s="265"/>
      <c r="I331" s="266"/>
      <c r="J331" s="265"/>
      <c r="K331" s="266"/>
      <c r="L331" s="266"/>
      <c r="M331" s="266"/>
      <c r="N331" s="265"/>
      <c r="O331" s="265"/>
      <c r="P331" s="267"/>
      <c r="Q331" s="267"/>
    </row>
    <row r="332" ht="12.75" customHeight="1" spans="1:17">
      <c r="A332" s="265"/>
      <c r="B332" s="265"/>
      <c r="C332" s="265"/>
      <c r="D332" s="265"/>
      <c r="E332" s="265"/>
      <c r="F332" s="265"/>
      <c r="G332" s="266"/>
      <c r="H332" s="265"/>
      <c r="I332" s="266"/>
      <c r="J332" s="265"/>
      <c r="K332" s="266"/>
      <c r="L332" s="266"/>
      <c r="M332" s="266"/>
      <c r="N332" s="265"/>
      <c r="O332" s="265"/>
      <c r="P332" s="267"/>
      <c r="Q332" s="267"/>
    </row>
    <row r="333" ht="12.75" customHeight="1" spans="1:17">
      <c r="A333" s="265"/>
      <c r="B333" s="265"/>
      <c r="C333" s="265"/>
      <c r="D333" s="265"/>
      <c r="E333" s="265"/>
      <c r="F333" s="265"/>
      <c r="G333" s="266"/>
      <c r="H333" s="265"/>
      <c r="I333" s="266"/>
      <c r="J333" s="265"/>
      <c r="K333" s="266"/>
      <c r="L333" s="266"/>
      <c r="M333" s="266"/>
      <c r="N333" s="265"/>
      <c r="O333" s="265"/>
      <c r="P333" s="267"/>
      <c r="Q333" s="267"/>
    </row>
    <row r="334" ht="12.75" customHeight="1" spans="1:17">
      <c r="A334" s="265"/>
      <c r="B334" s="265"/>
      <c r="C334" s="265"/>
      <c r="D334" s="265"/>
      <c r="E334" s="265"/>
      <c r="F334" s="265"/>
      <c r="G334" s="266"/>
      <c r="H334" s="265"/>
      <c r="I334" s="266"/>
      <c r="J334" s="265"/>
      <c r="K334" s="266"/>
      <c r="L334" s="266"/>
      <c r="M334" s="266"/>
      <c r="N334" s="265"/>
      <c r="O334" s="265"/>
      <c r="P334" s="267"/>
      <c r="Q334" s="267"/>
    </row>
    <row r="335" ht="12.75" customHeight="1" spans="1:17">
      <c r="A335" s="265"/>
      <c r="B335" s="265"/>
      <c r="C335" s="265"/>
      <c r="D335" s="265"/>
      <c r="E335" s="265"/>
      <c r="F335" s="265"/>
      <c r="G335" s="266"/>
      <c r="H335" s="265"/>
      <c r="I335" s="266"/>
      <c r="J335" s="265"/>
      <c r="K335" s="266"/>
      <c r="L335" s="266"/>
      <c r="M335" s="266"/>
      <c r="N335" s="265"/>
      <c r="O335" s="265"/>
      <c r="P335" s="267"/>
      <c r="Q335" s="267"/>
    </row>
    <row r="336" ht="12.75" customHeight="1" spans="1:17">
      <c r="A336" s="265"/>
      <c r="B336" s="265"/>
      <c r="C336" s="265"/>
      <c r="D336" s="265"/>
      <c r="E336" s="265"/>
      <c r="F336" s="265"/>
      <c r="G336" s="266"/>
      <c r="H336" s="265"/>
      <c r="I336" s="266"/>
      <c r="J336" s="265"/>
      <c r="K336" s="266"/>
      <c r="L336" s="266"/>
      <c r="M336" s="266"/>
      <c r="N336" s="265"/>
      <c r="O336" s="265"/>
      <c r="P336" s="267"/>
      <c r="Q336" s="267"/>
    </row>
    <row r="337" ht="12.75" customHeight="1" spans="1:17">
      <c r="A337" s="265"/>
      <c r="B337" s="265"/>
      <c r="C337" s="265"/>
      <c r="D337" s="265"/>
      <c r="E337" s="265"/>
      <c r="F337" s="265"/>
      <c r="G337" s="266"/>
      <c r="H337" s="265"/>
      <c r="I337" s="266"/>
      <c r="J337" s="265"/>
      <c r="K337" s="266"/>
      <c r="L337" s="266"/>
      <c r="M337" s="266"/>
      <c r="N337" s="265"/>
      <c r="O337" s="265"/>
      <c r="P337" s="267"/>
      <c r="Q337" s="267"/>
    </row>
    <row r="338" ht="12.75" customHeight="1" spans="1:17">
      <c r="A338" s="265"/>
      <c r="B338" s="265"/>
      <c r="C338" s="265"/>
      <c r="D338" s="265"/>
      <c r="E338" s="265"/>
      <c r="F338" s="265"/>
      <c r="G338" s="266"/>
      <c r="H338" s="265"/>
      <c r="I338" s="266"/>
      <c r="J338" s="265"/>
      <c r="K338" s="266"/>
      <c r="L338" s="266"/>
      <c r="M338" s="266"/>
      <c r="N338" s="265"/>
      <c r="O338" s="265"/>
      <c r="P338" s="267"/>
      <c r="Q338" s="267"/>
    </row>
    <row r="339" ht="12.75" customHeight="1" spans="1:17">
      <c r="A339" s="265"/>
      <c r="B339" s="265"/>
      <c r="C339" s="265"/>
      <c r="D339" s="265"/>
      <c r="E339" s="265"/>
      <c r="F339" s="265"/>
      <c r="G339" s="266"/>
      <c r="H339" s="265"/>
      <c r="I339" s="266"/>
      <c r="J339" s="265"/>
      <c r="K339" s="266"/>
      <c r="L339" s="266"/>
      <c r="M339" s="266"/>
      <c r="N339" s="265"/>
      <c r="O339" s="265"/>
      <c r="P339" s="267"/>
      <c r="Q339" s="267"/>
    </row>
    <row r="340" ht="12.75" customHeight="1" spans="1:17">
      <c r="A340" s="265"/>
      <c r="B340" s="265"/>
      <c r="C340" s="265"/>
      <c r="D340" s="265"/>
      <c r="E340" s="265"/>
      <c r="F340" s="265"/>
      <c r="G340" s="266"/>
      <c r="H340" s="265"/>
      <c r="I340" s="266"/>
      <c r="J340" s="265"/>
      <c r="K340" s="266"/>
      <c r="L340" s="266"/>
      <c r="M340" s="266"/>
      <c r="N340" s="265"/>
      <c r="O340" s="265"/>
      <c r="P340" s="267"/>
      <c r="Q340" s="267"/>
    </row>
    <row r="341" ht="12.75" customHeight="1" spans="1:17">
      <c r="A341" s="265"/>
      <c r="B341" s="265"/>
      <c r="C341" s="265"/>
      <c r="D341" s="265"/>
      <c r="E341" s="265"/>
      <c r="F341" s="265"/>
      <c r="G341" s="266"/>
      <c r="H341" s="265"/>
      <c r="I341" s="266"/>
      <c r="J341" s="265"/>
      <c r="K341" s="266"/>
      <c r="L341" s="266"/>
      <c r="M341" s="266"/>
      <c r="N341" s="265"/>
      <c r="O341" s="265"/>
      <c r="P341" s="267"/>
      <c r="Q341" s="267"/>
    </row>
    <row r="342" ht="12.75" customHeight="1" spans="1:17">
      <c r="A342" s="265"/>
      <c r="B342" s="265"/>
      <c r="C342" s="265"/>
      <c r="D342" s="265"/>
      <c r="E342" s="265"/>
      <c r="F342" s="265"/>
      <c r="G342" s="266"/>
      <c r="H342" s="265"/>
      <c r="I342" s="266"/>
      <c r="J342" s="265"/>
      <c r="K342" s="266"/>
      <c r="L342" s="266"/>
      <c r="M342" s="266"/>
      <c r="N342" s="265"/>
      <c r="O342" s="265"/>
      <c r="P342" s="267"/>
      <c r="Q342" s="267"/>
    </row>
    <row r="343" ht="12.75" customHeight="1" spans="1:17">
      <c r="A343" s="265"/>
      <c r="B343" s="265"/>
      <c r="C343" s="265"/>
      <c r="D343" s="265"/>
      <c r="E343" s="265"/>
      <c r="F343" s="265"/>
      <c r="G343" s="266"/>
      <c r="H343" s="265"/>
      <c r="I343" s="266"/>
      <c r="J343" s="265"/>
      <c r="K343" s="266"/>
      <c r="L343" s="266"/>
      <c r="M343" s="266"/>
      <c r="N343" s="265"/>
      <c r="O343" s="265"/>
      <c r="P343" s="267"/>
      <c r="Q343" s="267"/>
    </row>
    <row r="344" ht="12.75" customHeight="1" spans="1:17">
      <c r="A344" s="265"/>
      <c r="B344" s="265"/>
      <c r="C344" s="265"/>
      <c r="D344" s="265"/>
      <c r="E344" s="265"/>
      <c r="F344" s="265"/>
      <c r="G344" s="266"/>
      <c r="H344" s="265"/>
      <c r="I344" s="266"/>
      <c r="J344" s="265"/>
      <c r="K344" s="266"/>
      <c r="L344" s="266"/>
      <c r="M344" s="266"/>
      <c r="N344" s="265"/>
      <c r="O344" s="265"/>
      <c r="P344" s="267"/>
      <c r="Q344" s="267"/>
    </row>
    <row r="345" ht="12.75" customHeight="1" spans="1:17">
      <c r="A345" s="265"/>
      <c r="B345" s="265"/>
      <c r="C345" s="265"/>
      <c r="D345" s="265"/>
      <c r="E345" s="265"/>
      <c r="F345" s="265"/>
      <c r="G345" s="266"/>
      <c r="H345" s="265"/>
      <c r="I345" s="266"/>
      <c r="J345" s="265"/>
      <c r="K345" s="266"/>
      <c r="L345" s="266"/>
      <c r="M345" s="266"/>
      <c r="N345" s="265"/>
      <c r="O345" s="265"/>
      <c r="P345" s="267"/>
      <c r="Q345" s="267"/>
    </row>
    <row r="346" ht="12.75" customHeight="1" spans="1:17">
      <c r="A346" s="265"/>
      <c r="B346" s="265"/>
      <c r="C346" s="265"/>
      <c r="D346" s="265"/>
      <c r="E346" s="265"/>
      <c r="F346" s="265"/>
      <c r="G346" s="266"/>
      <c r="H346" s="265"/>
      <c r="I346" s="266"/>
      <c r="J346" s="265"/>
      <c r="K346" s="266"/>
      <c r="L346" s="266"/>
      <c r="M346" s="266"/>
      <c r="N346" s="265"/>
      <c r="O346" s="265"/>
      <c r="P346" s="267"/>
      <c r="Q346" s="267"/>
    </row>
    <row r="347" ht="12.75" customHeight="1" spans="1:17">
      <c r="A347" s="265"/>
      <c r="B347" s="265"/>
      <c r="C347" s="265"/>
      <c r="D347" s="265"/>
      <c r="E347" s="265"/>
      <c r="F347" s="265"/>
      <c r="G347" s="266"/>
      <c r="H347" s="265"/>
      <c r="I347" s="266"/>
      <c r="J347" s="265"/>
      <c r="K347" s="266"/>
      <c r="L347" s="266"/>
      <c r="M347" s="266"/>
      <c r="N347" s="265"/>
      <c r="O347" s="265"/>
      <c r="P347" s="267"/>
      <c r="Q347" s="267"/>
    </row>
    <row r="348" ht="12.75" customHeight="1" spans="1:17">
      <c r="A348" s="265"/>
      <c r="B348" s="265"/>
      <c r="C348" s="265"/>
      <c r="D348" s="265"/>
      <c r="E348" s="265"/>
      <c r="F348" s="265"/>
      <c r="G348" s="266"/>
      <c r="H348" s="265"/>
      <c r="I348" s="266"/>
      <c r="J348" s="265"/>
      <c r="K348" s="266"/>
      <c r="L348" s="266"/>
      <c r="M348" s="266"/>
      <c r="N348" s="265"/>
      <c r="O348" s="265"/>
      <c r="P348" s="267"/>
      <c r="Q348" s="267"/>
    </row>
    <row r="349" ht="12.75" customHeight="1" spans="1:17">
      <c r="A349" s="265"/>
      <c r="B349" s="265"/>
      <c r="C349" s="265"/>
      <c r="D349" s="265"/>
      <c r="E349" s="265"/>
      <c r="F349" s="265"/>
      <c r="G349" s="266"/>
      <c r="H349" s="265"/>
      <c r="I349" s="266"/>
      <c r="J349" s="265"/>
      <c r="K349" s="266"/>
      <c r="L349" s="266"/>
      <c r="M349" s="266"/>
      <c r="N349" s="265"/>
      <c r="O349" s="265"/>
      <c r="P349" s="267"/>
      <c r="Q349" s="267"/>
    </row>
    <row r="350" ht="12.75" customHeight="1" spans="1:17">
      <c r="A350" s="265"/>
      <c r="B350" s="265"/>
      <c r="C350" s="265"/>
      <c r="D350" s="265"/>
      <c r="E350" s="265"/>
      <c r="F350" s="265"/>
      <c r="G350" s="266"/>
      <c r="H350" s="265"/>
      <c r="I350" s="266"/>
      <c r="J350" s="265"/>
      <c r="K350" s="266"/>
      <c r="L350" s="266"/>
      <c r="M350" s="266"/>
      <c r="N350" s="265"/>
      <c r="O350" s="265"/>
      <c r="P350" s="267"/>
      <c r="Q350" s="267"/>
    </row>
    <row r="351" ht="12.75" customHeight="1" spans="1:17">
      <c r="A351" s="265"/>
      <c r="B351" s="265"/>
      <c r="C351" s="265"/>
      <c r="D351" s="265"/>
      <c r="E351" s="265"/>
      <c r="F351" s="265"/>
      <c r="G351" s="266"/>
      <c r="H351" s="265"/>
      <c r="I351" s="266"/>
      <c r="J351" s="265"/>
      <c r="K351" s="266"/>
      <c r="L351" s="266"/>
      <c r="M351" s="266"/>
      <c r="N351" s="265"/>
      <c r="O351" s="265"/>
      <c r="P351" s="267"/>
      <c r="Q351" s="267"/>
    </row>
    <row r="352" ht="12.75" customHeight="1" spans="1:17">
      <c r="A352" s="265"/>
      <c r="B352" s="265"/>
      <c r="C352" s="265"/>
      <c r="D352" s="265"/>
      <c r="E352" s="265"/>
      <c r="F352" s="265"/>
      <c r="G352" s="266"/>
      <c r="H352" s="265"/>
      <c r="I352" s="266"/>
      <c r="J352" s="265"/>
      <c r="K352" s="266"/>
      <c r="L352" s="266"/>
      <c r="M352" s="266"/>
      <c r="N352" s="265"/>
      <c r="O352" s="265"/>
      <c r="P352" s="267"/>
      <c r="Q352" s="267"/>
    </row>
    <row r="353" ht="12.75" customHeight="1" spans="1:17">
      <c r="A353" s="265"/>
      <c r="B353" s="265"/>
      <c r="C353" s="265"/>
      <c r="D353" s="265"/>
      <c r="E353" s="265"/>
      <c r="F353" s="265"/>
      <c r="G353" s="266"/>
      <c r="H353" s="265"/>
      <c r="I353" s="266"/>
      <c r="J353" s="265"/>
      <c r="K353" s="266"/>
      <c r="L353" s="266"/>
      <c r="M353" s="266"/>
      <c r="N353" s="265"/>
      <c r="O353" s="265"/>
      <c r="P353" s="267"/>
      <c r="Q353" s="267"/>
    </row>
    <row r="354" ht="12.75" customHeight="1" spans="1:17">
      <c r="A354" s="265"/>
      <c r="B354" s="265"/>
      <c r="C354" s="265"/>
      <c r="D354" s="265"/>
      <c r="E354" s="265"/>
      <c r="F354" s="265"/>
      <c r="G354" s="266"/>
      <c r="H354" s="265"/>
      <c r="I354" s="266"/>
      <c r="J354" s="265"/>
      <c r="K354" s="266"/>
      <c r="L354" s="266"/>
      <c r="M354" s="266"/>
      <c r="N354" s="265"/>
      <c r="O354" s="265"/>
      <c r="P354" s="267"/>
      <c r="Q354" s="267"/>
    </row>
    <row r="355" ht="12.75" customHeight="1" spans="1:17">
      <c r="A355" s="265"/>
      <c r="B355" s="265"/>
      <c r="C355" s="265"/>
      <c r="D355" s="265"/>
      <c r="E355" s="265"/>
      <c r="F355" s="265"/>
      <c r="G355" s="266"/>
      <c r="H355" s="265"/>
      <c r="I355" s="266"/>
      <c r="J355" s="265"/>
      <c r="K355" s="266"/>
      <c r="L355" s="266"/>
      <c r="M355" s="266"/>
      <c r="N355" s="265"/>
      <c r="O355" s="265"/>
      <c r="P355" s="267"/>
      <c r="Q355" s="267"/>
    </row>
    <row r="356" ht="12.75" customHeight="1" spans="1:17">
      <c r="A356" s="265"/>
      <c r="B356" s="265"/>
      <c r="C356" s="265"/>
      <c r="D356" s="265"/>
      <c r="E356" s="265"/>
      <c r="F356" s="265"/>
      <c r="G356" s="266"/>
      <c r="H356" s="265"/>
      <c r="I356" s="266"/>
      <c r="J356" s="265"/>
      <c r="K356" s="266"/>
      <c r="L356" s="266"/>
      <c r="M356" s="266"/>
      <c r="N356" s="265"/>
      <c r="O356" s="265"/>
      <c r="P356" s="267"/>
      <c r="Q356" s="267"/>
    </row>
    <row r="357" ht="12.75" customHeight="1" spans="1:17">
      <c r="A357" s="265"/>
      <c r="B357" s="265"/>
      <c r="C357" s="265"/>
      <c r="D357" s="265"/>
      <c r="E357" s="265"/>
      <c r="F357" s="265"/>
      <c r="G357" s="266"/>
      <c r="H357" s="265"/>
      <c r="I357" s="266"/>
      <c r="J357" s="265"/>
      <c r="K357" s="266"/>
      <c r="L357" s="266"/>
      <c r="M357" s="266"/>
      <c r="N357" s="265"/>
      <c r="O357" s="265"/>
      <c r="P357" s="267"/>
      <c r="Q357" s="267"/>
    </row>
    <row r="358" ht="12.75" customHeight="1" spans="1:17">
      <c r="A358" s="265"/>
      <c r="B358" s="265"/>
      <c r="C358" s="265"/>
      <c r="D358" s="265"/>
      <c r="E358" s="265"/>
      <c r="F358" s="265"/>
      <c r="G358" s="266"/>
      <c r="H358" s="265"/>
      <c r="I358" s="266"/>
      <c r="J358" s="265"/>
      <c r="K358" s="266"/>
      <c r="L358" s="266"/>
      <c r="M358" s="266"/>
      <c r="N358" s="265"/>
      <c r="O358" s="265"/>
      <c r="P358" s="267"/>
      <c r="Q358" s="267"/>
    </row>
    <row r="359" ht="12.75" customHeight="1" spans="1:17">
      <c r="A359" s="265"/>
      <c r="B359" s="265"/>
      <c r="C359" s="265"/>
      <c r="D359" s="265"/>
      <c r="E359" s="265"/>
      <c r="F359" s="265"/>
      <c r="G359" s="266"/>
      <c r="H359" s="265"/>
      <c r="I359" s="266"/>
      <c r="J359" s="265"/>
      <c r="K359" s="266"/>
      <c r="L359" s="266"/>
      <c r="M359" s="266"/>
      <c r="N359" s="265"/>
      <c r="O359" s="265"/>
      <c r="P359" s="267"/>
      <c r="Q359" s="267"/>
    </row>
    <row r="360" ht="12.75" customHeight="1" spans="1:17">
      <c r="A360" s="265"/>
      <c r="B360" s="265"/>
      <c r="C360" s="265"/>
      <c r="D360" s="265"/>
      <c r="E360" s="265"/>
      <c r="F360" s="265"/>
      <c r="G360" s="266"/>
      <c r="H360" s="265"/>
      <c r="I360" s="266"/>
      <c r="J360" s="265"/>
      <c r="K360" s="266"/>
      <c r="L360" s="266"/>
      <c r="M360" s="266"/>
      <c r="N360" s="265"/>
      <c r="O360" s="265"/>
      <c r="P360" s="267"/>
      <c r="Q360" s="267"/>
    </row>
    <row r="361" ht="12.75" customHeight="1" spans="1:17">
      <c r="A361" s="265"/>
      <c r="B361" s="265"/>
      <c r="C361" s="265"/>
      <c r="D361" s="265"/>
      <c r="E361" s="265"/>
      <c r="F361" s="265"/>
      <c r="G361" s="266"/>
      <c r="H361" s="265"/>
      <c r="I361" s="266"/>
      <c r="J361" s="265"/>
      <c r="K361" s="266"/>
      <c r="L361" s="266"/>
      <c r="M361" s="266"/>
      <c r="N361" s="265"/>
      <c r="O361" s="265"/>
      <c r="P361" s="267"/>
      <c r="Q361" s="267"/>
    </row>
    <row r="362" ht="12.75" customHeight="1" spans="1:17">
      <c r="A362" s="265"/>
      <c r="B362" s="265"/>
      <c r="C362" s="265"/>
      <c r="D362" s="265"/>
      <c r="E362" s="265"/>
      <c r="F362" s="265"/>
      <c r="G362" s="266"/>
      <c r="H362" s="265"/>
      <c r="I362" s="266"/>
      <c r="J362" s="265"/>
      <c r="K362" s="266"/>
      <c r="L362" s="266"/>
      <c r="M362" s="266"/>
      <c r="N362" s="265"/>
      <c r="O362" s="265"/>
      <c r="P362" s="267"/>
      <c r="Q362" s="267"/>
    </row>
    <row r="363" ht="12.75" customHeight="1" spans="1:17">
      <c r="A363" s="265"/>
      <c r="B363" s="265"/>
      <c r="C363" s="265"/>
      <c r="D363" s="265"/>
      <c r="E363" s="265"/>
      <c r="F363" s="265"/>
      <c r="G363" s="266"/>
      <c r="H363" s="265"/>
      <c r="I363" s="266"/>
      <c r="J363" s="265"/>
      <c r="K363" s="266"/>
      <c r="L363" s="266"/>
      <c r="M363" s="266"/>
      <c r="N363" s="265"/>
      <c r="O363" s="265"/>
      <c r="P363" s="267"/>
      <c r="Q363" s="267"/>
    </row>
    <row r="364" ht="12.75" customHeight="1" spans="1:17">
      <c r="A364" s="265"/>
      <c r="B364" s="265"/>
      <c r="C364" s="265"/>
      <c r="D364" s="265"/>
      <c r="E364" s="265"/>
      <c r="F364" s="265"/>
      <c r="G364" s="266"/>
      <c r="H364" s="265"/>
      <c r="I364" s="266"/>
      <c r="J364" s="265"/>
      <c r="K364" s="266"/>
      <c r="L364" s="266"/>
      <c r="M364" s="266"/>
      <c r="N364" s="265"/>
      <c r="O364" s="265"/>
      <c r="P364" s="267"/>
      <c r="Q364" s="267"/>
    </row>
    <row r="365" ht="12.75" customHeight="1" spans="1:17">
      <c r="A365" s="265"/>
      <c r="B365" s="265"/>
      <c r="C365" s="265"/>
      <c r="D365" s="265"/>
      <c r="E365" s="265"/>
      <c r="F365" s="265"/>
      <c r="G365" s="266"/>
      <c r="H365" s="265"/>
      <c r="I365" s="266"/>
      <c r="J365" s="265"/>
      <c r="K365" s="266"/>
      <c r="L365" s="266"/>
      <c r="M365" s="266"/>
      <c r="N365" s="265"/>
      <c r="O365" s="265"/>
      <c r="P365" s="267"/>
      <c r="Q365" s="267"/>
    </row>
    <row r="366" ht="12.75" customHeight="1" spans="1:17">
      <c r="A366" s="265"/>
      <c r="B366" s="265"/>
      <c r="C366" s="265"/>
      <c r="D366" s="265"/>
      <c r="E366" s="265"/>
      <c r="F366" s="265"/>
      <c r="G366" s="266"/>
      <c r="H366" s="265"/>
      <c r="I366" s="266"/>
      <c r="J366" s="265"/>
      <c r="K366" s="266"/>
      <c r="L366" s="266"/>
      <c r="M366" s="266"/>
      <c r="N366" s="265"/>
      <c r="O366" s="265"/>
      <c r="P366" s="267"/>
      <c r="Q366" s="267"/>
    </row>
    <row r="367" ht="12.75" customHeight="1" spans="1:17">
      <c r="A367" s="265"/>
      <c r="B367" s="265"/>
      <c r="C367" s="265"/>
      <c r="D367" s="265"/>
      <c r="E367" s="265"/>
      <c r="F367" s="265"/>
      <c r="G367" s="266"/>
      <c r="H367" s="265"/>
      <c r="I367" s="266"/>
      <c r="J367" s="265"/>
      <c r="K367" s="266"/>
      <c r="L367" s="266"/>
      <c r="M367" s="266"/>
      <c r="N367" s="265"/>
      <c r="O367" s="265"/>
      <c r="P367" s="267"/>
      <c r="Q367" s="267"/>
    </row>
    <row r="368" ht="12.75" customHeight="1" spans="1:17">
      <c r="A368" s="265"/>
      <c r="B368" s="265"/>
      <c r="C368" s="265"/>
      <c r="D368" s="265"/>
      <c r="E368" s="265"/>
      <c r="F368" s="265"/>
      <c r="G368" s="266"/>
      <c r="H368" s="265"/>
      <c r="I368" s="266"/>
      <c r="J368" s="265"/>
      <c r="K368" s="266"/>
      <c r="L368" s="266"/>
      <c r="M368" s="266"/>
      <c r="N368" s="265"/>
      <c r="O368" s="265"/>
      <c r="P368" s="267"/>
      <c r="Q368" s="267"/>
    </row>
    <row r="369" ht="12.75" customHeight="1" spans="1:17">
      <c r="A369" s="265"/>
      <c r="B369" s="265"/>
      <c r="C369" s="265"/>
      <c r="D369" s="265"/>
      <c r="E369" s="265"/>
      <c r="F369" s="265"/>
      <c r="G369" s="266"/>
      <c r="H369" s="265"/>
      <c r="I369" s="266"/>
      <c r="J369" s="265"/>
      <c r="K369" s="266"/>
      <c r="L369" s="266"/>
      <c r="M369" s="266"/>
      <c r="N369" s="265"/>
      <c r="O369" s="265"/>
      <c r="P369" s="267"/>
      <c r="Q369" s="267"/>
    </row>
    <row r="370" ht="12.75" customHeight="1" spans="1:17">
      <c r="A370" s="265"/>
      <c r="B370" s="265"/>
      <c r="C370" s="265"/>
      <c r="D370" s="265"/>
      <c r="E370" s="265"/>
      <c r="F370" s="265"/>
      <c r="G370" s="266"/>
      <c r="H370" s="265"/>
      <c r="I370" s="266"/>
      <c r="J370" s="265"/>
      <c r="K370" s="266"/>
      <c r="L370" s="266"/>
      <c r="M370" s="266"/>
      <c r="N370" s="265"/>
      <c r="O370" s="265"/>
      <c r="P370" s="267"/>
      <c r="Q370" s="267"/>
    </row>
    <row r="371" ht="12.75" customHeight="1" spans="1:17">
      <c r="A371" s="265"/>
      <c r="B371" s="265"/>
      <c r="C371" s="265"/>
      <c r="D371" s="265"/>
      <c r="E371" s="265"/>
      <c r="F371" s="265"/>
      <c r="G371" s="266"/>
      <c r="H371" s="265"/>
      <c r="I371" s="266"/>
      <c r="J371" s="265"/>
      <c r="K371" s="266"/>
      <c r="L371" s="266"/>
      <c r="M371" s="266"/>
      <c r="N371" s="265"/>
      <c r="O371" s="265"/>
      <c r="P371" s="267"/>
      <c r="Q371" s="267"/>
    </row>
    <row r="372" ht="12.75" customHeight="1" spans="1:17">
      <c r="A372" s="265"/>
      <c r="B372" s="265"/>
      <c r="C372" s="265"/>
      <c r="D372" s="265"/>
      <c r="E372" s="265"/>
      <c r="F372" s="265"/>
      <c r="G372" s="266"/>
      <c r="H372" s="265"/>
      <c r="I372" s="266"/>
      <c r="J372" s="265"/>
      <c r="K372" s="266"/>
      <c r="L372" s="266"/>
      <c r="M372" s="266"/>
      <c r="N372" s="265"/>
      <c r="O372" s="265"/>
      <c r="P372" s="267"/>
      <c r="Q372" s="267"/>
    </row>
    <row r="373" ht="12.75" customHeight="1" spans="1:17">
      <c r="A373" s="265"/>
      <c r="B373" s="265"/>
      <c r="C373" s="265"/>
      <c r="D373" s="265"/>
      <c r="E373" s="265"/>
      <c r="F373" s="265"/>
      <c r="G373" s="266"/>
      <c r="H373" s="265"/>
      <c r="I373" s="266"/>
      <c r="J373" s="265"/>
      <c r="K373" s="266"/>
      <c r="L373" s="266"/>
      <c r="M373" s="266"/>
      <c r="N373" s="265"/>
      <c r="O373" s="265"/>
      <c r="P373" s="267"/>
      <c r="Q373" s="267"/>
    </row>
    <row r="374" ht="12.75" customHeight="1" spans="1:17">
      <c r="A374" s="265"/>
      <c r="B374" s="265"/>
      <c r="C374" s="265"/>
      <c r="D374" s="265"/>
      <c r="E374" s="265"/>
      <c r="F374" s="265"/>
      <c r="G374" s="266"/>
      <c r="H374" s="265"/>
      <c r="I374" s="266"/>
      <c r="J374" s="265"/>
      <c r="K374" s="266"/>
      <c r="L374" s="266"/>
      <c r="M374" s="266"/>
      <c r="N374" s="265"/>
      <c r="O374" s="265"/>
      <c r="P374" s="267"/>
      <c r="Q374" s="267"/>
    </row>
    <row r="375" ht="12.75" customHeight="1" spans="1:17">
      <c r="A375" s="265"/>
      <c r="B375" s="265"/>
      <c r="C375" s="265"/>
      <c r="D375" s="265"/>
      <c r="E375" s="265"/>
      <c r="F375" s="265"/>
      <c r="G375" s="266"/>
      <c r="H375" s="265"/>
      <c r="I375" s="266"/>
      <c r="J375" s="265"/>
      <c r="K375" s="266"/>
      <c r="L375" s="266"/>
      <c r="M375" s="266"/>
      <c r="N375" s="265"/>
      <c r="O375" s="265"/>
      <c r="P375" s="267"/>
      <c r="Q375" s="267"/>
    </row>
    <row r="376" ht="12.75" customHeight="1" spans="1:17">
      <c r="A376" s="265"/>
      <c r="B376" s="265"/>
      <c r="C376" s="265"/>
      <c r="D376" s="265"/>
      <c r="E376" s="265"/>
      <c r="F376" s="265"/>
      <c r="G376" s="266"/>
      <c r="H376" s="265"/>
      <c r="I376" s="266"/>
      <c r="J376" s="265"/>
      <c r="K376" s="266"/>
      <c r="L376" s="266"/>
      <c r="M376" s="266"/>
      <c r="N376" s="265"/>
      <c r="O376" s="265"/>
      <c r="P376" s="267"/>
      <c r="Q376" s="267"/>
    </row>
    <row r="377" ht="12.75" customHeight="1" spans="1:17">
      <c r="A377" s="265"/>
      <c r="B377" s="265"/>
      <c r="C377" s="265"/>
      <c r="D377" s="265"/>
      <c r="E377" s="265"/>
      <c r="F377" s="265"/>
      <c r="G377" s="266"/>
      <c r="H377" s="265"/>
      <c r="I377" s="266"/>
      <c r="J377" s="265"/>
      <c r="K377" s="266"/>
      <c r="L377" s="266"/>
      <c r="M377" s="266"/>
      <c r="N377" s="265"/>
      <c r="O377" s="265"/>
      <c r="P377" s="267"/>
      <c r="Q377" s="267"/>
    </row>
    <row r="378" ht="12.75" customHeight="1" spans="1:17">
      <c r="A378" s="265"/>
      <c r="B378" s="265"/>
      <c r="C378" s="265"/>
      <c r="D378" s="265"/>
      <c r="E378" s="265"/>
      <c r="F378" s="265"/>
      <c r="G378" s="266"/>
      <c r="H378" s="265"/>
      <c r="I378" s="266"/>
      <c r="J378" s="265"/>
      <c r="K378" s="266"/>
      <c r="L378" s="266"/>
      <c r="M378" s="266"/>
      <c r="N378" s="265"/>
      <c r="O378" s="265"/>
      <c r="P378" s="267"/>
      <c r="Q378" s="267"/>
    </row>
    <row r="379" ht="12.75" customHeight="1" spans="1:17">
      <c r="A379" s="265"/>
      <c r="B379" s="265"/>
      <c r="C379" s="265"/>
      <c r="D379" s="265"/>
      <c r="E379" s="265"/>
      <c r="F379" s="265"/>
      <c r="G379" s="266"/>
      <c r="H379" s="265"/>
      <c r="I379" s="266"/>
      <c r="J379" s="265"/>
      <c r="K379" s="266"/>
      <c r="L379" s="266"/>
      <c r="M379" s="266"/>
      <c r="N379" s="265"/>
      <c r="O379" s="265"/>
      <c r="P379" s="267"/>
      <c r="Q379" s="267"/>
    </row>
    <row r="380" ht="12.75" customHeight="1" spans="1:17">
      <c r="A380" s="265"/>
      <c r="B380" s="265"/>
      <c r="C380" s="265"/>
      <c r="D380" s="265"/>
      <c r="E380" s="265"/>
      <c r="F380" s="265"/>
      <c r="G380" s="266"/>
      <c r="H380" s="265"/>
      <c r="I380" s="266"/>
      <c r="J380" s="265"/>
      <c r="K380" s="266"/>
      <c r="L380" s="266"/>
      <c r="M380" s="266"/>
      <c r="N380" s="265"/>
      <c r="O380" s="265"/>
      <c r="P380" s="267"/>
      <c r="Q380" s="267"/>
    </row>
    <row r="381" ht="12.75" customHeight="1" spans="1:17">
      <c r="A381" s="265"/>
      <c r="B381" s="265"/>
      <c r="C381" s="265"/>
      <c r="D381" s="265"/>
      <c r="E381" s="265"/>
      <c r="F381" s="265"/>
      <c r="G381" s="266"/>
      <c r="H381" s="265"/>
      <c r="I381" s="266"/>
      <c r="J381" s="265"/>
      <c r="K381" s="266"/>
      <c r="L381" s="266"/>
      <c r="M381" s="266"/>
      <c r="N381" s="265"/>
      <c r="O381" s="265"/>
      <c r="P381" s="267"/>
      <c r="Q381" s="267"/>
    </row>
    <row r="382" ht="12.75" customHeight="1" spans="1:17">
      <c r="A382" s="265"/>
      <c r="B382" s="265"/>
      <c r="C382" s="265"/>
      <c r="D382" s="265"/>
      <c r="E382" s="265"/>
      <c r="F382" s="265"/>
      <c r="G382" s="266"/>
      <c r="H382" s="265"/>
      <c r="I382" s="266"/>
      <c r="J382" s="265"/>
      <c r="K382" s="266"/>
      <c r="L382" s="266"/>
      <c r="M382" s="266"/>
      <c r="N382" s="265"/>
      <c r="O382" s="265"/>
      <c r="P382" s="267"/>
      <c r="Q382" s="267"/>
    </row>
    <row r="383" ht="12.75" customHeight="1" spans="1:17">
      <c r="A383" s="265"/>
      <c r="B383" s="265"/>
      <c r="C383" s="265"/>
      <c r="D383" s="265"/>
      <c r="E383" s="265"/>
      <c r="F383" s="265"/>
      <c r="G383" s="266"/>
      <c r="H383" s="265"/>
      <c r="I383" s="266"/>
      <c r="J383" s="265"/>
      <c r="K383" s="266"/>
      <c r="L383" s="266"/>
      <c r="M383" s="266"/>
      <c r="N383" s="265"/>
      <c r="O383" s="265"/>
      <c r="P383" s="267"/>
      <c r="Q383" s="267"/>
    </row>
    <row r="384" ht="12.75" customHeight="1" spans="1:17">
      <c r="A384" s="265"/>
      <c r="B384" s="265"/>
      <c r="C384" s="265"/>
      <c r="D384" s="265"/>
      <c r="E384" s="265"/>
      <c r="F384" s="265"/>
      <c r="G384" s="266"/>
      <c r="H384" s="265"/>
      <c r="I384" s="266"/>
      <c r="J384" s="265"/>
      <c r="K384" s="266"/>
      <c r="L384" s="266"/>
      <c r="M384" s="266"/>
      <c r="N384" s="265"/>
      <c r="O384" s="265"/>
      <c r="P384" s="267"/>
      <c r="Q384" s="267"/>
    </row>
    <row r="385" ht="12.75" customHeight="1" spans="1:17">
      <c r="A385" s="265"/>
      <c r="B385" s="265"/>
      <c r="C385" s="265"/>
      <c r="D385" s="265"/>
      <c r="E385" s="265"/>
      <c r="F385" s="265"/>
      <c r="G385" s="266"/>
      <c r="H385" s="265"/>
      <c r="I385" s="266"/>
      <c r="J385" s="265"/>
      <c r="K385" s="266"/>
      <c r="L385" s="266"/>
      <c r="M385" s="266"/>
      <c r="N385" s="265"/>
      <c r="O385" s="265"/>
      <c r="P385" s="267"/>
      <c r="Q385" s="267"/>
    </row>
    <row r="386" ht="12.75" customHeight="1" spans="1:17">
      <c r="A386" s="265"/>
      <c r="B386" s="265"/>
      <c r="C386" s="265"/>
      <c r="D386" s="265"/>
      <c r="E386" s="265"/>
      <c r="F386" s="265"/>
      <c r="G386" s="266"/>
      <c r="H386" s="265"/>
      <c r="I386" s="266"/>
      <c r="J386" s="265"/>
      <c r="K386" s="266"/>
      <c r="L386" s="266"/>
      <c r="M386" s="266"/>
      <c r="N386" s="265"/>
      <c r="O386" s="265"/>
      <c r="P386" s="267"/>
      <c r="Q386" s="267"/>
    </row>
    <row r="387" ht="12.75" customHeight="1" spans="1:17">
      <c r="A387" s="265"/>
      <c r="B387" s="265"/>
      <c r="C387" s="265"/>
      <c r="D387" s="265"/>
      <c r="E387" s="265"/>
      <c r="F387" s="265"/>
      <c r="G387" s="266"/>
      <c r="H387" s="265"/>
      <c r="I387" s="266"/>
      <c r="J387" s="265"/>
      <c r="K387" s="266"/>
      <c r="L387" s="266"/>
      <c r="M387" s="266"/>
      <c r="N387" s="265"/>
      <c r="O387" s="265"/>
      <c r="P387" s="267"/>
      <c r="Q387" s="267"/>
    </row>
    <row r="388" ht="12.75" customHeight="1" spans="1:17">
      <c r="A388" s="265"/>
      <c r="B388" s="265"/>
      <c r="C388" s="265"/>
      <c r="D388" s="265"/>
      <c r="E388" s="265"/>
      <c r="F388" s="265"/>
      <c r="G388" s="266"/>
      <c r="H388" s="265"/>
      <c r="I388" s="266"/>
      <c r="J388" s="265"/>
      <c r="K388" s="266"/>
      <c r="L388" s="266"/>
      <c r="M388" s="266"/>
      <c r="N388" s="265"/>
      <c r="O388" s="265"/>
      <c r="P388" s="267"/>
      <c r="Q388" s="267"/>
    </row>
    <row r="389" ht="12.75" customHeight="1" spans="1:17">
      <c r="A389" s="265"/>
      <c r="B389" s="265"/>
      <c r="C389" s="265"/>
      <c r="D389" s="265"/>
      <c r="E389" s="265"/>
      <c r="F389" s="265"/>
      <c r="G389" s="266"/>
      <c r="H389" s="265"/>
      <c r="I389" s="266"/>
      <c r="J389" s="265"/>
      <c r="K389" s="266"/>
      <c r="L389" s="266"/>
      <c r="M389" s="266"/>
      <c r="N389" s="265"/>
      <c r="O389" s="265"/>
      <c r="P389" s="267"/>
      <c r="Q389" s="267"/>
    </row>
    <row r="390" ht="12.75" customHeight="1" spans="1:17">
      <c r="A390" s="265"/>
      <c r="B390" s="265"/>
      <c r="C390" s="265"/>
      <c r="D390" s="265"/>
      <c r="E390" s="265"/>
      <c r="F390" s="265"/>
      <c r="G390" s="266"/>
      <c r="H390" s="265"/>
      <c r="I390" s="266"/>
      <c r="J390" s="265"/>
      <c r="K390" s="266"/>
      <c r="L390" s="266"/>
      <c r="M390" s="266"/>
      <c r="N390" s="265"/>
      <c r="O390" s="265"/>
      <c r="P390" s="267"/>
      <c r="Q390" s="267"/>
    </row>
    <row r="391" ht="12.75" customHeight="1" spans="1:17">
      <c r="A391" s="265"/>
      <c r="B391" s="265"/>
      <c r="C391" s="265"/>
      <c r="D391" s="265"/>
      <c r="E391" s="265"/>
      <c r="F391" s="265"/>
      <c r="G391" s="266"/>
      <c r="H391" s="265"/>
      <c r="I391" s="266"/>
      <c r="J391" s="265"/>
      <c r="K391" s="266"/>
      <c r="L391" s="266"/>
      <c r="M391" s="266"/>
      <c r="N391" s="265"/>
      <c r="O391" s="265"/>
      <c r="P391" s="267"/>
      <c r="Q391" s="267"/>
    </row>
    <row r="392" ht="12.75" customHeight="1" spans="1:17">
      <c r="A392" s="265"/>
      <c r="B392" s="265"/>
      <c r="C392" s="265"/>
      <c r="D392" s="265"/>
      <c r="E392" s="265"/>
      <c r="F392" s="265"/>
      <c r="G392" s="266"/>
      <c r="H392" s="265"/>
      <c r="I392" s="266"/>
      <c r="J392" s="265"/>
      <c r="K392" s="266"/>
      <c r="L392" s="266"/>
      <c r="M392" s="266"/>
      <c r="N392" s="265"/>
      <c r="O392" s="265"/>
      <c r="P392" s="267"/>
      <c r="Q392" s="267"/>
    </row>
    <row r="393" ht="12.75" customHeight="1" spans="1:17">
      <c r="A393" s="265"/>
      <c r="B393" s="265"/>
      <c r="C393" s="265"/>
      <c r="D393" s="265"/>
      <c r="E393" s="265"/>
      <c r="F393" s="265"/>
      <c r="G393" s="266"/>
      <c r="H393" s="265"/>
      <c r="I393" s="266"/>
      <c r="J393" s="265"/>
      <c r="K393" s="266"/>
      <c r="L393" s="266"/>
      <c r="M393" s="266"/>
      <c r="N393" s="265"/>
      <c r="O393" s="265"/>
      <c r="P393" s="267"/>
      <c r="Q393" s="267"/>
    </row>
    <row r="394" ht="12.75" customHeight="1" spans="1:17">
      <c r="A394" s="265"/>
      <c r="B394" s="265"/>
      <c r="C394" s="265"/>
      <c r="D394" s="265"/>
      <c r="E394" s="265"/>
      <c r="F394" s="265"/>
      <c r="G394" s="266"/>
      <c r="H394" s="265"/>
      <c r="I394" s="266"/>
      <c r="J394" s="265"/>
      <c r="K394" s="266"/>
      <c r="L394" s="266"/>
      <c r="M394" s="266"/>
      <c r="N394" s="265"/>
      <c r="O394" s="265"/>
      <c r="P394" s="267"/>
      <c r="Q394" s="267"/>
    </row>
    <row r="395" ht="12.75" customHeight="1" spans="1:17">
      <c r="A395" s="265"/>
      <c r="B395" s="265"/>
      <c r="C395" s="265"/>
      <c r="D395" s="265"/>
      <c r="E395" s="265"/>
      <c r="F395" s="265"/>
      <c r="G395" s="266"/>
      <c r="H395" s="265"/>
      <c r="I395" s="266"/>
      <c r="J395" s="265"/>
      <c r="K395" s="266"/>
      <c r="L395" s="266"/>
      <c r="M395" s="266"/>
      <c r="N395" s="265"/>
      <c r="O395" s="265"/>
      <c r="P395" s="267"/>
      <c r="Q395" s="267"/>
    </row>
    <row r="396" ht="12.75" customHeight="1" spans="1:17">
      <c r="A396" s="265"/>
      <c r="B396" s="265"/>
      <c r="C396" s="265"/>
      <c r="D396" s="265"/>
      <c r="E396" s="265"/>
      <c r="F396" s="265"/>
      <c r="G396" s="266"/>
      <c r="H396" s="265"/>
      <c r="I396" s="266"/>
      <c r="J396" s="265"/>
      <c r="K396" s="266"/>
      <c r="L396" s="266"/>
      <c r="M396" s="266"/>
      <c r="N396" s="265"/>
      <c r="O396" s="265"/>
      <c r="P396" s="267"/>
      <c r="Q396" s="267"/>
    </row>
    <row r="397" ht="12.75" customHeight="1" spans="1:17">
      <c r="A397" s="265"/>
      <c r="B397" s="265"/>
      <c r="C397" s="265"/>
      <c r="D397" s="265"/>
      <c r="E397" s="265"/>
      <c r="F397" s="265"/>
      <c r="G397" s="266"/>
      <c r="H397" s="265"/>
      <c r="I397" s="266"/>
      <c r="J397" s="265"/>
      <c r="K397" s="266"/>
      <c r="L397" s="266"/>
      <c r="M397" s="266"/>
      <c r="N397" s="265"/>
      <c r="O397" s="265"/>
      <c r="P397" s="267"/>
      <c r="Q397" s="267"/>
    </row>
    <row r="398" ht="12.75" customHeight="1" spans="1:17">
      <c r="A398" s="265"/>
      <c r="B398" s="265"/>
      <c r="C398" s="265"/>
      <c r="D398" s="265"/>
      <c r="E398" s="265"/>
      <c r="F398" s="265"/>
      <c r="G398" s="266"/>
      <c r="H398" s="265"/>
      <c r="I398" s="266"/>
      <c r="J398" s="265"/>
      <c r="K398" s="266"/>
      <c r="L398" s="266"/>
      <c r="M398" s="266"/>
      <c r="N398" s="265"/>
      <c r="O398" s="265"/>
      <c r="P398" s="267"/>
      <c r="Q398" s="267"/>
    </row>
    <row r="399" ht="12.75" customHeight="1" spans="1:17">
      <c r="A399" s="265"/>
      <c r="B399" s="265"/>
      <c r="C399" s="265"/>
      <c r="D399" s="265"/>
      <c r="E399" s="265"/>
      <c r="F399" s="265"/>
      <c r="G399" s="266"/>
      <c r="H399" s="265"/>
      <c r="I399" s="266"/>
      <c r="J399" s="265"/>
      <c r="K399" s="266"/>
      <c r="L399" s="266"/>
      <c r="M399" s="266"/>
      <c r="N399" s="265"/>
      <c r="O399" s="265"/>
      <c r="P399" s="267"/>
      <c r="Q399" s="267"/>
    </row>
    <row r="400" ht="12.75" customHeight="1" spans="1:17">
      <c r="A400" s="265"/>
      <c r="B400" s="265"/>
      <c r="C400" s="265"/>
      <c r="D400" s="265"/>
      <c r="E400" s="265"/>
      <c r="F400" s="265"/>
      <c r="G400" s="266"/>
      <c r="H400" s="265"/>
      <c r="I400" s="266"/>
      <c r="J400" s="265"/>
      <c r="K400" s="266"/>
      <c r="L400" s="266"/>
      <c r="M400" s="266"/>
      <c r="N400" s="265"/>
      <c r="O400" s="265"/>
      <c r="P400" s="267"/>
      <c r="Q400" s="267"/>
    </row>
    <row r="401" ht="12.75" customHeight="1" spans="1:17">
      <c r="A401" s="265"/>
      <c r="B401" s="265"/>
      <c r="C401" s="265"/>
      <c r="D401" s="265"/>
      <c r="E401" s="265"/>
      <c r="F401" s="265"/>
      <c r="G401" s="266"/>
      <c r="H401" s="265"/>
      <c r="I401" s="266"/>
      <c r="J401" s="265"/>
      <c r="K401" s="266"/>
      <c r="L401" s="266"/>
      <c r="M401" s="266"/>
      <c r="N401" s="265"/>
      <c r="O401" s="265"/>
      <c r="P401" s="267"/>
      <c r="Q401" s="267"/>
    </row>
    <row r="402" ht="12.75" customHeight="1" spans="1:17">
      <c r="A402" s="265"/>
      <c r="B402" s="265"/>
      <c r="C402" s="265"/>
      <c r="D402" s="265"/>
      <c r="E402" s="265"/>
      <c r="F402" s="265"/>
      <c r="G402" s="266"/>
      <c r="H402" s="265"/>
      <c r="I402" s="266"/>
      <c r="J402" s="265"/>
      <c r="K402" s="266"/>
      <c r="L402" s="266"/>
      <c r="M402" s="266"/>
      <c r="N402" s="265"/>
      <c r="O402" s="265"/>
      <c r="P402" s="267"/>
      <c r="Q402" s="267"/>
    </row>
    <row r="403" ht="12.75" customHeight="1" spans="1:17">
      <c r="A403" s="265"/>
      <c r="B403" s="265"/>
      <c r="C403" s="265"/>
      <c r="D403" s="265"/>
      <c r="E403" s="265"/>
      <c r="F403" s="265"/>
      <c r="G403" s="266"/>
      <c r="H403" s="265"/>
      <c r="I403" s="266"/>
      <c r="J403" s="265"/>
      <c r="K403" s="266"/>
      <c r="L403" s="266"/>
      <c r="M403" s="266"/>
      <c r="N403" s="265"/>
      <c r="O403" s="265"/>
      <c r="P403" s="267"/>
      <c r="Q403" s="267"/>
    </row>
    <row r="404" ht="12.75" customHeight="1" spans="1:17">
      <c r="A404" s="265"/>
      <c r="B404" s="265"/>
      <c r="C404" s="265"/>
      <c r="D404" s="265"/>
      <c r="E404" s="265"/>
      <c r="F404" s="265"/>
      <c r="G404" s="266"/>
      <c r="H404" s="265"/>
      <c r="I404" s="266"/>
      <c r="J404" s="265"/>
      <c r="K404" s="266"/>
      <c r="L404" s="266"/>
      <c r="M404" s="266"/>
      <c r="N404" s="265"/>
      <c r="O404" s="265"/>
      <c r="P404" s="267"/>
      <c r="Q404" s="267"/>
    </row>
    <row r="405" ht="12.75" customHeight="1" spans="1:17">
      <c r="A405" s="265"/>
      <c r="B405" s="265"/>
      <c r="C405" s="265"/>
      <c r="D405" s="265"/>
      <c r="E405" s="265"/>
      <c r="F405" s="265"/>
      <c r="G405" s="266"/>
      <c r="H405" s="265"/>
      <c r="I405" s="266"/>
      <c r="J405" s="265"/>
      <c r="K405" s="266"/>
      <c r="L405" s="266"/>
      <c r="M405" s="266"/>
      <c r="N405" s="265"/>
      <c r="O405" s="265"/>
      <c r="P405" s="267"/>
      <c r="Q405" s="267"/>
    </row>
    <row r="406" ht="12.75" customHeight="1" spans="1:17">
      <c r="A406" s="265"/>
      <c r="B406" s="265"/>
      <c r="C406" s="265"/>
      <c r="D406" s="265"/>
      <c r="E406" s="265"/>
      <c r="F406" s="265"/>
      <c r="G406" s="266"/>
      <c r="H406" s="265"/>
      <c r="I406" s="266"/>
      <c r="J406" s="265"/>
      <c r="K406" s="266"/>
      <c r="L406" s="266"/>
      <c r="M406" s="266"/>
      <c r="N406" s="265"/>
      <c r="O406" s="265"/>
      <c r="P406" s="267"/>
      <c r="Q406" s="267"/>
    </row>
    <row r="407" ht="12.75" customHeight="1" spans="1:17">
      <c r="A407" s="265"/>
      <c r="B407" s="265"/>
      <c r="C407" s="265"/>
      <c r="D407" s="265"/>
      <c r="E407" s="265"/>
      <c r="F407" s="265"/>
      <c r="G407" s="266"/>
      <c r="H407" s="265"/>
      <c r="I407" s="266"/>
      <c r="J407" s="265"/>
      <c r="K407" s="266"/>
      <c r="L407" s="266"/>
      <c r="M407" s="266"/>
      <c r="N407" s="265"/>
      <c r="O407" s="265"/>
      <c r="P407" s="267"/>
      <c r="Q407" s="267"/>
    </row>
    <row r="408" ht="12.75" customHeight="1" spans="1:17">
      <c r="A408" s="265"/>
      <c r="B408" s="265"/>
      <c r="C408" s="265"/>
      <c r="D408" s="265"/>
      <c r="E408" s="265"/>
      <c r="F408" s="265"/>
      <c r="G408" s="266"/>
      <c r="H408" s="265"/>
      <c r="I408" s="266"/>
      <c r="J408" s="265"/>
      <c r="K408" s="266"/>
      <c r="L408" s="266"/>
      <c r="M408" s="266"/>
      <c r="N408" s="265"/>
      <c r="O408" s="265"/>
      <c r="P408" s="267"/>
      <c r="Q408" s="267"/>
    </row>
    <row r="409" ht="12.75" customHeight="1" spans="1:17">
      <c r="A409" s="265"/>
      <c r="B409" s="265"/>
      <c r="C409" s="265"/>
      <c r="D409" s="265"/>
      <c r="E409" s="265"/>
      <c r="F409" s="265"/>
      <c r="G409" s="266"/>
      <c r="H409" s="265"/>
      <c r="I409" s="266"/>
      <c r="J409" s="265"/>
      <c r="K409" s="266"/>
      <c r="L409" s="266"/>
      <c r="M409" s="266"/>
      <c r="N409" s="265"/>
      <c r="O409" s="265"/>
      <c r="P409" s="267"/>
      <c r="Q409" s="267"/>
    </row>
    <row r="410" ht="12.75" customHeight="1" spans="1:17">
      <c r="A410" s="265"/>
      <c r="B410" s="265"/>
      <c r="C410" s="265"/>
      <c r="D410" s="265"/>
      <c r="E410" s="265"/>
      <c r="F410" s="265"/>
      <c r="G410" s="266"/>
      <c r="H410" s="265"/>
      <c r="I410" s="266"/>
      <c r="J410" s="265"/>
      <c r="K410" s="266"/>
      <c r="L410" s="266"/>
      <c r="M410" s="266"/>
      <c r="N410" s="265"/>
      <c r="O410" s="265"/>
      <c r="P410" s="267"/>
      <c r="Q410" s="267"/>
    </row>
    <row r="411" ht="12.75" customHeight="1" spans="1:17">
      <c r="A411" s="265"/>
      <c r="B411" s="265"/>
      <c r="C411" s="265"/>
      <c r="D411" s="265"/>
      <c r="E411" s="265"/>
      <c r="F411" s="265"/>
      <c r="G411" s="266"/>
      <c r="H411" s="265"/>
      <c r="I411" s="266"/>
      <c r="J411" s="265"/>
      <c r="K411" s="266"/>
      <c r="L411" s="266"/>
      <c r="M411" s="266"/>
      <c r="N411" s="265"/>
      <c r="O411" s="265"/>
      <c r="P411" s="267"/>
      <c r="Q411" s="267"/>
    </row>
    <row r="412" ht="12.75" customHeight="1" spans="1:17">
      <c r="A412" s="265"/>
      <c r="B412" s="265"/>
      <c r="C412" s="265"/>
      <c r="D412" s="265"/>
      <c r="E412" s="265"/>
      <c r="F412" s="265"/>
      <c r="G412" s="266"/>
      <c r="H412" s="265"/>
      <c r="I412" s="266"/>
      <c r="J412" s="265"/>
      <c r="K412" s="266"/>
      <c r="L412" s="266"/>
      <c r="M412" s="266"/>
      <c r="N412" s="265"/>
      <c r="O412" s="265"/>
      <c r="P412" s="267"/>
      <c r="Q412" s="267"/>
    </row>
    <row r="413" ht="12.75" customHeight="1" spans="1:17">
      <c r="A413" s="265"/>
      <c r="B413" s="265"/>
      <c r="C413" s="265"/>
      <c r="D413" s="265"/>
      <c r="E413" s="265"/>
      <c r="F413" s="265"/>
      <c r="G413" s="266"/>
      <c r="H413" s="265"/>
      <c r="I413" s="266"/>
      <c r="J413" s="265"/>
      <c r="K413" s="266"/>
      <c r="L413" s="266"/>
      <c r="M413" s="266"/>
      <c r="N413" s="265"/>
      <c r="O413" s="265"/>
      <c r="P413" s="267"/>
      <c r="Q413" s="267"/>
    </row>
    <row r="414" ht="12.75" customHeight="1" spans="1:17">
      <c r="A414" s="265"/>
      <c r="B414" s="265"/>
      <c r="C414" s="265"/>
      <c r="D414" s="265"/>
      <c r="E414" s="265"/>
      <c r="F414" s="265"/>
      <c r="G414" s="266"/>
      <c r="H414" s="265"/>
      <c r="I414" s="266"/>
      <c r="J414" s="265"/>
      <c r="K414" s="266"/>
      <c r="L414" s="266"/>
      <c r="M414" s="266"/>
      <c r="N414" s="265"/>
      <c r="O414" s="265"/>
      <c r="P414" s="267"/>
      <c r="Q414" s="267"/>
    </row>
    <row r="415" ht="12.75" customHeight="1" spans="1:17">
      <c r="A415" s="265"/>
      <c r="B415" s="265"/>
      <c r="C415" s="265"/>
      <c r="D415" s="265"/>
      <c r="E415" s="265"/>
      <c r="F415" s="265"/>
      <c r="G415" s="266"/>
      <c r="H415" s="265"/>
      <c r="I415" s="266"/>
      <c r="J415" s="265"/>
      <c r="K415" s="266"/>
      <c r="L415" s="266"/>
      <c r="M415" s="266"/>
      <c r="N415" s="265"/>
      <c r="O415" s="265"/>
      <c r="P415" s="267"/>
      <c r="Q415" s="267"/>
    </row>
    <row r="416" ht="12.75" customHeight="1" spans="1:17">
      <c r="A416" s="265"/>
      <c r="B416" s="265"/>
      <c r="C416" s="265"/>
      <c r="D416" s="265"/>
      <c r="E416" s="265"/>
      <c r="F416" s="265"/>
      <c r="G416" s="266"/>
      <c r="H416" s="265"/>
      <c r="I416" s="266"/>
      <c r="J416" s="265"/>
      <c r="K416" s="266"/>
      <c r="L416" s="266"/>
      <c r="M416" s="266"/>
      <c r="N416" s="265"/>
      <c r="O416" s="265"/>
      <c r="P416" s="267"/>
      <c r="Q416" s="267"/>
    </row>
    <row r="417" ht="12.75" customHeight="1" spans="1:17">
      <c r="A417" s="265"/>
      <c r="B417" s="265"/>
      <c r="C417" s="265"/>
      <c r="D417" s="265"/>
      <c r="E417" s="265"/>
      <c r="F417" s="265"/>
      <c r="G417" s="266"/>
      <c r="H417" s="265"/>
      <c r="I417" s="266"/>
      <c r="J417" s="265"/>
      <c r="K417" s="266"/>
      <c r="L417" s="266"/>
      <c r="M417" s="266"/>
      <c r="N417" s="265"/>
      <c r="O417" s="265"/>
      <c r="P417" s="267"/>
      <c r="Q417" s="267"/>
    </row>
    <row r="418" ht="12.75" customHeight="1" spans="1:17">
      <c r="A418" s="265"/>
      <c r="B418" s="265"/>
      <c r="C418" s="265"/>
      <c r="D418" s="265"/>
      <c r="E418" s="265"/>
      <c r="F418" s="265"/>
      <c r="G418" s="266"/>
      <c r="H418" s="265"/>
      <c r="I418" s="266"/>
      <c r="J418" s="265"/>
      <c r="K418" s="266"/>
      <c r="L418" s="266"/>
      <c r="M418" s="266"/>
      <c r="N418" s="265"/>
      <c r="O418" s="265"/>
      <c r="P418" s="267"/>
      <c r="Q418" s="267"/>
    </row>
    <row r="419" ht="12.75" customHeight="1" spans="1:17">
      <c r="A419" s="265"/>
      <c r="B419" s="265"/>
      <c r="C419" s="265"/>
      <c r="D419" s="265"/>
      <c r="E419" s="265"/>
      <c r="F419" s="265"/>
      <c r="G419" s="266"/>
      <c r="H419" s="265"/>
      <c r="I419" s="266"/>
      <c r="J419" s="265"/>
      <c r="K419" s="266"/>
      <c r="L419" s="266"/>
      <c r="M419" s="266"/>
      <c r="N419" s="265"/>
      <c r="O419" s="265"/>
      <c r="P419" s="267"/>
      <c r="Q419" s="267"/>
    </row>
    <row r="420" ht="12.75" customHeight="1" spans="1:17">
      <c r="A420" s="265"/>
      <c r="B420" s="265"/>
      <c r="C420" s="265"/>
      <c r="D420" s="265"/>
      <c r="E420" s="265"/>
      <c r="F420" s="265"/>
      <c r="G420" s="266"/>
      <c r="H420" s="265"/>
      <c r="I420" s="266"/>
      <c r="J420" s="265"/>
      <c r="K420" s="266"/>
      <c r="L420" s="266"/>
      <c r="M420" s="266"/>
      <c r="N420" s="265"/>
      <c r="O420" s="265"/>
      <c r="P420" s="267"/>
      <c r="Q420" s="267"/>
    </row>
    <row r="421" ht="12.75" customHeight="1" spans="1:17">
      <c r="A421" s="265"/>
      <c r="B421" s="265"/>
      <c r="C421" s="265"/>
      <c r="D421" s="265"/>
      <c r="E421" s="265"/>
      <c r="F421" s="265"/>
      <c r="G421" s="266"/>
      <c r="H421" s="265"/>
      <c r="I421" s="266"/>
      <c r="J421" s="265"/>
      <c r="K421" s="266"/>
      <c r="L421" s="266"/>
      <c r="M421" s="266"/>
      <c r="N421" s="265"/>
      <c r="O421" s="265"/>
      <c r="P421" s="267"/>
      <c r="Q421" s="267"/>
    </row>
    <row r="422" ht="12.75" customHeight="1" spans="1:17">
      <c r="A422" s="265"/>
      <c r="B422" s="265"/>
      <c r="C422" s="265"/>
      <c r="D422" s="265"/>
      <c r="E422" s="265"/>
      <c r="F422" s="265"/>
      <c r="G422" s="266"/>
      <c r="H422" s="265"/>
      <c r="I422" s="266"/>
      <c r="J422" s="265"/>
      <c r="K422" s="266"/>
      <c r="L422" s="266"/>
      <c r="M422" s="266"/>
      <c r="N422" s="265"/>
      <c r="O422" s="265"/>
      <c r="P422" s="267"/>
      <c r="Q422" s="267"/>
    </row>
    <row r="423" ht="12.75" customHeight="1" spans="1:17">
      <c r="A423" s="265"/>
      <c r="B423" s="265"/>
      <c r="C423" s="265"/>
      <c r="D423" s="265"/>
      <c r="E423" s="265"/>
      <c r="F423" s="265"/>
      <c r="G423" s="266"/>
      <c r="H423" s="265"/>
      <c r="I423" s="266"/>
      <c r="J423" s="265"/>
      <c r="K423" s="266"/>
      <c r="L423" s="266"/>
      <c r="M423" s="266"/>
      <c r="N423" s="265"/>
      <c r="O423" s="265"/>
      <c r="P423" s="267"/>
      <c r="Q423" s="267"/>
    </row>
    <row r="424" ht="12.75" customHeight="1" spans="1:17">
      <c r="A424" s="265"/>
      <c r="B424" s="265"/>
      <c r="C424" s="265"/>
      <c r="D424" s="265"/>
      <c r="E424" s="265"/>
      <c r="F424" s="265"/>
      <c r="G424" s="266"/>
      <c r="H424" s="265"/>
      <c r="I424" s="266"/>
      <c r="J424" s="265"/>
      <c r="K424" s="266"/>
      <c r="L424" s="266"/>
      <c r="M424" s="266"/>
      <c r="N424" s="265"/>
      <c r="O424" s="265"/>
      <c r="P424" s="267"/>
      <c r="Q424" s="267"/>
    </row>
    <row r="425" ht="12.75" customHeight="1" spans="1:17">
      <c r="A425" s="265"/>
      <c r="B425" s="265"/>
      <c r="C425" s="265"/>
      <c r="D425" s="265"/>
      <c r="E425" s="265"/>
      <c r="F425" s="265"/>
      <c r="G425" s="266"/>
      <c r="H425" s="265"/>
      <c r="I425" s="266"/>
      <c r="J425" s="265"/>
      <c r="K425" s="266"/>
      <c r="L425" s="266"/>
      <c r="M425" s="266"/>
      <c r="N425" s="265"/>
      <c r="O425" s="265"/>
      <c r="P425" s="267"/>
      <c r="Q425" s="267"/>
    </row>
    <row r="426" ht="12.75" customHeight="1" spans="1:17">
      <c r="A426" s="265"/>
      <c r="B426" s="265"/>
      <c r="C426" s="265"/>
      <c r="D426" s="265"/>
      <c r="E426" s="265"/>
      <c r="F426" s="265"/>
      <c r="G426" s="266"/>
      <c r="H426" s="265"/>
      <c r="I426" s="266"/>
      <c r="J426" s="265"/>
      <c r="K426" s="266"/>
      <c r="L426" s="266"/>
      <c r="M426" s="266"/>
      <c r="N426" s="265"/>
      <c r="O426" s="265"/>
      <c r="P426" s="267"/>
      <c r="Q426" s="267"/>
    </row>
    <row r="427" ht="12.75" customHeight="1" spans="1:17">
      <c r="A427" s="265"/>
      <c r="B427" s="265"/>
      <c r="C427" s="265"/>
      <c r="D427" s="265"/>
      <c r="E427" s="265"/>
      <c r="F427" s="265"/>
      <c r="G427" s="266"/>
      <c r="H427" s="265"/>
      <c r="I427" s="266"/>
      <c r="J427" s="265"/>
      <c r="K427" s="266"/>
      <c r="L427" s="266"/>
      <c r="M427" s="266"/>
      <c r="N427" s="265"/>
      <c r="O427" s="265"/>
      <c r="P427" s="267"/>
      <c r="Q427" s="267"/>
    </row>
    <row r="428" ht="12.75" customHeight="1" spans="1:17">
      <c r="A428" s="265"/>
      <c r="B428" s="265"/>
      <c r="C428" s="265"/>
      <c r="D428" s="265"/>
      <c r="E428" s="265"/>
      <c r="F428" s="265"/>
      <c r="G428" s="266"/>
      <c r="H428" s="265"/>
      <c r="I428" s="266"/>
      <c r="J428" s="265"/>
      <c r="K428" s="266"/>
      <c r="L428" s="266"/>
      <c r="M428" s="266"/>
      <c r="N428" s="265"/>
      <c r="O428" s="265"/>
      <c r="P428" s="267"/>
      <c r="Q428" s="267"/>
    </row>
    <row r="429" ht="12.75" customHeight="1" spans="1:17">
      <c r="A429" s="265"/>
      <c r="B429" s="265"/>
      <c r="C429" s="265"/>
      <c r="D429" s="265"/>
      <c r="E429" s="265"/>
      <c r="F429" s="265"/>
      <c r="G429" s="266"/>
      <c r="H429" s="265"/>
      <c r="I429" s="266"/>
      <c r="J429" s="265"/>
      <c r="K429" s="266"/>
      <c r="L429" s="266"/>
      <c r="M429" s="266"/>
      <c r="N429" s="265"/>
      <c r="O429" s="265"/>
      <c r="P429" s="267"/>
      <c r="Q429" s="267"/>
    </row>
    <row r="430" ht="12.75" customHeight="1" spans="1:17">
      <c r="A430" s="265"/>
      <c r="B430" s="265"/>
      <c r="C430" s="265"/>
      <c r="D430" s="265"/>
      <c r="E430" s="265"/>
      <c r="F430" s="265"/>
      <c r="G430" s="266"/>
      <c r="H430" s="265"/>
      <c r="I430" s="266"/>
      <c r="J430" s="265"/>
      <c r="K430" s="266"/>
      <c r="L430" s="266"/>
      <c r="M430" s="266"/>
      <c r="N430" s="265"/>
      <c r="O430" s="265"/>
      <c r="P430" s="267"/>
      <c r="Q430" s="267"/>
    </row>
    <row r="431" ht="12.75" customHeight="1" spans="1:17">
      <c r="A431" s="265"/>
      <c r="B431" s="265"/>
      <c r="C431" s="265"/>
      <c r="D431" s="265"/>
      <c r="E431" s="265"/>
      <c r="F431" s="265"/>
      <c r="G431" s="266"/>
      <c r="H431" s="265"/>
      <c r="I431" s="266"/>
      <c r="J431" s="265"/>
      <c r="K431" s="266"/>
      <c r="L431" s="266"/>
      <c r="M431" s="266"/>
      <c r="N431" s="265"/>
      <c r="O431" s="265"/>
      <c r="P431" s="267"/>
      <c r="Q431" s="267"/>
    </row>
    <row r="432" ht="12.75" customHeight="1" spans="1:17">
      <c r="A432" s="265"/>
      <c r="B432" s="265"/>
      <c r="C432" s="265"/>
      <c r="D432" s="265"/>
      <c r="E432" s="265"/>
      <c r="F432" s="265"/>
      <c r="G432" s="266"/>
      <c r="H432" s="265"/>
      <c r="I432" s="266"/>
      <c r="J432" s="265"/>
      <c r="K432" s="266"/>
      <c r="L432" s="266"/>
      <c r="M432" s="266"/>
      <c r="N432" s="265"/>
      <c r="O432" s="265"/>
      <c r="P432" s="267"/>
      <c r="Q432" s="267"/>
    </row>
    <row r="433" ht="12.75" customHeight="1" spans="1:17">
      <c r="A433" s="265"/>
      <c r="B433" s="265"/>
      <c r="C433" s="265"/>
      <c r="D433" s="265"/>
      <c r="E433" s="265"/>
      <c r="F433" s="265"/>
      <c r="G433" s="266"/>
      <c r="H433" s="265"/>
      <c r="I433" s="266"/>
      <c r="J433" s="265"/>
      <c r="K433" s="266"/>
      <c r="L433" s="266"/>
      <c r="M433" s="266"/>
      <c r="N433" s="265"/>
      <c r="O433" s="265"/>
      <c r="P433" s="267"/>
      <c r="Q433" s="267"/>
    </row>
    <row r="434" ht="12.75" customHeight="1" spans="1:17">
      <c r="A434" s="265"/>
      <c r="B434" s="265"/>
      <c r="C434" s="265"/>
      <c r="D434" s="265"/>
      <c r="E434" s="265"/>
      <c r="F434" s="265"/>
      <c r="G434" s="266"/>
      <c r="H434" s="265"/>
      <c r="I434" s="266"/>
      <c r="J434" s="265"/>
      <c r="K434" s="266"/>
      <c r="L434" s="266"/>
      <c r="M434" s="266"/>
      <c r="N434" s="265"/>
      <c r="O434" s="265"/>
      <c r="P434" s="267"/>
      <c r="Q434" s="267"/>
    </row>
    <row r="435" ht="12.75" customHeight="1" spans="1:17">
      <c r="A435" s="265"/>
      <c r="B435" s="265"/>
      <c r="C435" s="265"/>
      <c r="D435" s="265"/>
      <c r="E435" s="265"/>
      <c r="F435" s="265"/>
      <c r="G435" s="266"/>
      <c r="H435" s="265"/>
      <c r="I435" s="266"/>
      <c r="J435" s="265"/>
      <c r="K435" s="266"/>
      <c r="L435" s="266"/>
      <c r="M435" s="266"/>
      <c r="N435" s="265"/>
      <c r="O435" s="265"/>
      <c r="P435" s="267"/>
      <c r="Q435" s="267"/>
    </row>
    <row r="436" ht="12.75" customHeight="1" spans="1:17">
      <c r="A436" s="265"/>
      <c r="B436" s="265"/>
      <c r="C436" s="265"/>
      <c r="D436" s="265"/>
      <c r="E436" s="265"/>
      <c r="F436" s="265"/>
      <c r="G436" s="266"/>
      <c r="H436" s="265"/>
      <c r="I436" s="266"/>
      <c r="J436" s="265"/>
      <c r="K436" s="266"/>
      <c r="L436" s="266"/>
      <c r="M436" s="266"/>
      <c r="N436" s="265"/>
      <c r="O436" s="265"/>
      <c r="P436" s="267"/>
      <c r="Q436" s="267"/>
    </row>
    <row r="437" ht="12.75" customHeight="1" spans="1:17">
      <c r="A437" s="265"/>
      <c r="B437" s="265"/>
      <c r="C437" s="265"/>
      <c r="D437" s="265"/>
      <c r="E437" s="265"/>
      <c r="F437" s="265"/>
      <c r="G437" s="266"/>
      <c r="H437" s="265"/>
      <c r="I437" s="266"/>
      <c r="J437" s="265"/>
      <c r="K437" s="266"/>
      <c r="L437" s="266"/>
      <c r="M437" s="266"/>
      <c r="N437" s="265"/>
      <c r="O437" s="265"/>
      <c r="P437" s="267"/>
      <c r="Q437" s="267"/>
    </row>
    <row r="438" ht="12.75" customHeight="1" spans="1:17">
      <c r="A438" s="265"/>
      <c r="B438" s="265"/>
      <c r="C438" s="265"/>
      <c r="D438" s="265"/>
      <c r="E438" s="265"/>
      <c r="F438" s="265"/>
      <c r="G438" s="266"/>
      <c r="H438" s="265"/>
      <c r="I438" s="266"/>
      <c r="J438" s="265"/>
      <c r="K438" s="266"/>
      <c r="L438" s="266"/>
      <c r="M438" s="266"/>
      <c r="N438" s="265"/>
      <c r="O438" s="265"/>
      <c r="P438" s="267"/>
      <c r="Q438" s="267"/>
    </row>
    <row r="439" ht="12.75" customHeight="1" spans="1:17">
      <c r="A439" s="265"/>
      <c r="B439" s="265"/>
      <c r="C439" s="265"/>
      <c r="D439" s="265"/>
      <c r="E439" s="265"/>
      <c r="F439" s="265"/>
      <c r="G439" s="266"/>
      <c r="H439" s="265"/>
      <c r="I439" s="266"/>
      <c r="J439" s="265"/>
      <c r="K439" s="266"/>
      <c r="L439" s="266"/>
      <c r="M439" s="266"/>
      <c r="N439" s="265"/>
      <c r="O439" s="265"/>
      <c r="P439" s="267"/>
      <c r="Q439" s="267"/>
    </row>
    <row r="440" ht="12.75" customHeight="1" spans="1:17">
      <c r="A440" s="265"/>
      <c r="B440" s="265"/>
      <c r="C440" s="265"/>
      <c r="D440" s="265"/>
      <c r="E440" s="265"/>
      <c r="F440" s="265"/>
      <c r="G440" s="266"/>
      <c r="H440" s="265"/>
      <c r="I440" s="266"/>
      <c r="J440" s="265"/>
      <c r="K440" s="266"/>
      <c r="L440" s="266"/>
      <c r="M440" s="266"/>
      <c r="N440" s="265"/>
      <c r="O440" s="265"/>
      <c r="P440" s="267"/>
      <c r="Q440" s="267"/>
    </row>
    <row r="441" ht="12.75" customHeight="1" spans="1:17">
      <c r="A441" s="265"/>
      <c r="B441" s="265"/>
      <c r="C441" s="265"/>
      <c r="D441" s="265"/>
      <c r="E441" s="265"/>
      <c r="F441" s="265"/>
      <c r="G441" s="266"/>
      <c r="H441" s="265"/>
      <c r="I441" s="266"/>
      <c r="J441" s="265"/>
      <c r="K441" s="266"/>
      <c r="L441" s="266"/>
      <c r="M441" s="266"/>
      <c r="N441" s="265"/>
      <c r="O441" s="265"/>
      <c r="P441" s="267"/>
      <c r="Q441" s="267"/>
    </row>
    <row r="442" ht="12.75" customHeight="1" spans="1:17">
      <c r="A442" s="265"/>
      <c r="B442" s="265"/>
      <c r="C442" s="265"/>
      <c r="D442" s="265"/>
      <c r="E442" s="265"/>
      <c r="F442" s="265"/>
      <c r="G442" s="266"/>
      <c r="H442" s="265"/>
      <c r="I442" s="266"/>
      <c r="J442" s="265"/>
      <c r="K442" s="266"/>
      <c r="L442" s="266"/>
      <c r="M442" s="266"/>
      <c r="N442" s="265"/>
      <c r="O442" s="265"/>
      <c r="P442" s="267"/>
      <c r="Q442" s="267"/>
    </row>
    <row r="443" ht="12.75" customHeight="1" spans="1:17">
      <c r="A443" s="265"/>
      <c r="B443" s="265"/>
      <c r="C443" s="265"/>
      <c r="D443" s="265"/>
      <c r="E443" s="265"/>
      <c r="F443" s="265"/>
      <c r="G443" s="266"/>
      <c r="H443" s="265"/>
      <c r="I443" s="266"/>
      <c r="J443" s="265"/>
      <c r="K443" s="266"/>
      <c r="L443" s="266"/>
      <c r="M443" s="266"/>
      <c r="N443" s="265"/>
      <c r="O443" s="265"/>
      <c r="P443" s="267"/>
      <c r="Q443" s="267"/>
    </row>
    <row r="444" ht="12.75" customHeight="1" spans="1:17">
      <c r="A444" s="265"/>
      <c r="B444" s="265"/>
      <c r="C444" s="265"/>
      <c r="D444" s="265"/>
      <c r="E444" s="265"/>
      <c r="F444" s="265"/>
      <c r="G444" s="266"/>
      <c r="H444" s="265"/>
      <c r="I444" s="266"/>
      <c r="J444" s="265"/>
      <c r="K444" s="266"/>
      <c r="L444" s="266"/>
      <c r="M444" s="266"/>
      <c r="N444" s="265"/>
      <c r="O444" s="265"/>
      <c r="P444" s="267"/>
      <c r="Q444" s="267"/>
    </row>
    <row r="445" ht="12.75" customHeight="1" spans="1:17">
      <c r="A445" s="265"/>
      <c r="B445" s="265"/>
      <c r="C445" s="265"/>
      <c r="D445" s="265"/>
      <c r="E445" s="265"/>
      <c r="F445" s="265"/>
      <c r="G445" s="266"/>
      <c r="H445" s="265"/>
      <c r="I445" s="266"/>
      <c r="J445" s="265"/>
      <c r="K445" s="266"/>
      <c r="L445" s="266"/>
      <c r="M445" s="266"/>
      <c r="N445" s="265"/>
      <c r="O445" s="265"/>
      <c r="P445" s="267"/>
      <c r="Q445" s="267"/>
    </row>
    <row r="446" ht="12.75" customHeight="1" spans="1:17">
      <c r="A446" s="265"/>
      <c r="B446" s="265"/>
      <c r="C446" s="265"/>
      <c r="D446" s="265"/>
      <c r="E446" s="265"/>
      <c r="F446" s="265"/>
      <c r="G446" s="266"/>
      <c r="H446" s="265"/>
      <c r="I446" s="266"/>
      <c r="J446" s="265"/>
      <c r="K446" s="266"/>
      <c r="L446" s="266"/>
      <c r="M446" s="266"/>
      <c r="N446" s="265"/>
      <c r="O446" s="265"/>
      <c r="P446" s="267"/>
      <c r="Q446" s="267"/>
    </row>
    <row r="447" ht="12.75" customHeight="1" spans="1:17">
      <c r="A447" s="265"/>
      <c r="B447" s="265"/>
      <c r="C447" s="265"/>
      <c r="D447" s="265"/>
      <c r="E447" s="265"/>
      <c r="F447" s="265"/>
      <c r="G447" s="266"/>
      <c r="H447" s="265"/>
      <c r="I447" s="266"/>
      <c r="J447" s="265"/>
      <c r="K447" s="266"/>
      <c r="L447" s="266"/>
      <c r="M447" s="266"/>
      <c r="N447" s="265"/>
      <c r="O447" s="265"/>
      <c r="P447" s="267"/>
      <c r="Q447" s="267"/>
    </row>
    <row r="448" ht="12.75" customHeight="1" spans="1:17">
      <c r="A448" s="265"/>
      <c r="B448" s="265"/>
      <c r="C448" s="265"/>
      <c r="D448" s="265"/>
      <c r="E448" s="265"/>
      <c r="F448" s="265"/>
      <c r="G448" s="266"/>
      <c r="H448" s="265"/>
      <c r="I448" s="266"/>
      <c r="J448" s="265"/>
      <c r="K448" s="266"/>
      <c r="L448" s="266"/>
      <c r="M448" s="266"/>
      <c r="N448" s="265"/>
      <c r="O448" s="265"/>
      <c r="P448" s="267"/>
      <c r="Q448" s="267"/>
    </row>
    <row r="449" ht="12.75" customHeight="1" spans="1:17">
      <c r="A449" s="265"/>
      <c r="B449" s="265"/>
      <c r="C449" s="265"/>
      <c r="D449" s="265"/>
      <c r="E449" s="265"/>
      <c r="F449" s="265"/>
      <c r="G449" s="266"/>
      <c r="H449" s="265"/>
      <c r="I449" s="266"/>
      <c r="J449" s="265"/>
      <c r="K449" s="266"/>
      <c r="L449" s="266"/>
      <c r="M449" s="266"/>
      <c r="N449" s="265"/>
      <c r="O449" s="265"/>
      <c r="P449" s="267"/>
      <c r="Q449" s="267"/>
    </row>
    <row r="450" ht="12.75" customHeight="1" spans="1:17">
      <c r="A450" s="265"/>
      <c r="B450" s="265"/>
      <c r="C450" s="265"/>
      <c r="D450" s="265"/>
      <c r="E450" s="265"/>
      <c r="F450" s="265"/>
      <c r="G450" s="266"/>
      <c r="H450" s="265"/>
      <c r="I450" s="266"/>
      <c r="J450" s="265"/>
      <c r="K450" s="266"/>
      <c r="L450" s="266"/>
      <c r="M450" s="266"/>
      <c r="N450" s="265"/>
      <c r="O450" s="265"/>
      <c r="P450" s="267"/>
      <c r="Q450" s="267"/>
    </row>
    <row r="451" ht="12.75" customHeight="1" spans="1:17">
      <c r="A451" s="265"/>
      <c r="B451" s="265"/>
      <c r="C451" s="265"/>
      <c r="D451" s="265"/>
      <c r="E451" s="265"/>
      <c r="F451" s="265"/>
      <c r="G451" s="266"/>
      <c r="H451" s="265"/>
      <c r="I451" s="266"/>
      <c r="J451" s="265"/>
      <c r="K451" s="266"/>
      <c r="L451" s="266"/>
      <c r="M451" s="266"/>
      <c r="N451" s="265"/>
      <c r="O451" s="265"/>
      <c r="P451" s="267"/>
      <c r="Q451" s="267"/>
    </row>
    <row r="452" ht="12.75" customHeight="1" spans="1:17">
      <c r="A452" s="265"/>
      <c r="B452" s="265"/>
      <c r="C452" s="265"/>
      <c r="D452" s="265"/>
      <c r="E452" s="265"/>
      <c r="F452" s="265"/>
      <c r="G452" s="266"/>
      <c r="H452" s="265"/>
      <c r="I452" s="266"/>
      <c r="J452" s="265"/>
      <c r="K452" s="266"/>
      <c r="L452" s="266"/>
      <c r="M452" s="266"/>
      <c r="N452" s="265"/>
      <c r="O452" s="265"/>
      <c r="P452" s="267"/>
      <c r="Q452" s="267"/>
    </row>
    <row r="453" ht="12.75" customHeight="1" spans="1:17">
      <c r="A453" s="265"/>
      <c r="B453" s="265"/>
      <c r="C453" s="265"/>
      <c r="D453" s="265"/>
      <c r="E453" s="265"/>
      <c r="F453" s="265"/>
      <c r="G453" s="266"/>
      <c r="H453" s="265"/>
      <c r="I453" s="266"/>
      <c r="J453" s="265"/>
      <c r="K453" s="266"/>
      <c r="L453" s="266"/>
      <c r="M453" s="266"/>
      <c r="N453" s="265"/>
      <c r="O453" s="265"/>
      <c r="P453" s="267"/>
      <c r="Q453" s="267"/>
    </row>
    <row r="454" ht="12.75" customHeight="1" spans="1:17">
      <c r="A454" s="265"/>
      <c r="B454" s="265"/>
      <c r="C454" s="265"/>
      <c r="D454" s="265"/>
      <c r="E454" s="265"/>
      <c r="F454" s="265"/>
      <c r="G454" s="266"/>
      <c r="H454" s="265"/>
      <c r="I454" s="266"/>
      <c r="J454" s="265"/>
      <c r="K454" s="266"/>
      <c r="L454" s="266"/>
      <c r="M454" s="266"/>
      <c r="N454" s="265"/>
      <c r="O454" s="265"/>
      <c r="P454" s="267"/>
      <c r="Q454" s="267"/>
    </row>
    <row r="455" ht="12.75" customHeight="1" spans="1:17">
      <c r="A455" s="265"/>
      <c r="B455" s="265"/>
      <c r="C455" s="265"/>
      <c r="D455" s="265"/>
      <c r="E455" s="265"/>
      <c r="F455" s="265"/>
      <c r="G455" s="266"/>
      <c r="H455" s="265"/>
      <c r="I455" s="266"/>
      <c r="J455" s="265"/>
      <c r="K455" s="266"/>
      <c r="L455" s="266"/>
      <c r="M455" s="266"/>
      <c r="N455" s="265"/>
      <c r="O455" s="265"/>
      <c r="P455" s="267"/>
      <c r="Q455" s="267"/>
    </row>
    <row r="456" ht="12.75" customHeight="1" spans="1:17">
      <c r="A456" s="265"/>
      <c r="B456" s="265"/>
      <c r="C456" s="265"/>
      <c r="D456" s="265"/>
      <c r="E456" s="265"/>
      <c r="F456" s="265"/>
      <c r="G456" s="266"/>
      <c r="H456" s="265"/>
      <c r="I456" s="266"/>
      <c r="J456" s="265"/>
      <c r="K456" s="266"/>
      <c r="L456" s="266"/>
      <c r="M456" s="266"/>
      <c r="N456" s="265"/>
      <c r="O456" s="265"/>
      <c r="P456" s="267"/>
      <c r="Q456" s="267"/>
    </row>
    <row r="457" ht="12.75" customHeight="1" spans="1:17">
      <c r="A457" s="265"/>
      <c r="B457" s="265"/>
      <c r="C457" s="265"/>
      <c r="D457" s="265"/>
      <c r="E457" s="265"/>
      <c r="F457" s="265"/>
      <c r="G457" s="266"/>
      <c r="H457" s="265"/>
      <c r="I457" s="266"/>
      <c r="J457" s="265"/>
      <c r="K457" s="266"/>
      <c r="L457" s="266"/>
      <c r="M457" s="266"/>
      <c r="N457" s="265"/>
      <c r="O457" s="265"/>
      <c r="P457" s="267"/>
      <c r="Q457" s="267"/>
    </row>
    <row r="458" ht="12.75" customHeight="1" spans="1:17">
      <c r="A458" s="265"/>
      <c r="B458" s="265"/>
      <c r="C458" s="265"/>
      <c r="D458" s="265"/>
      <c r="E458" s="265"/>
      <c r="F458" s="265"/>
      <c r="G458" s="266"/>
      <c r="H458" s="265"/>
      <c r="I458" s="266"/>
      <c r="J458" s="265"/>
      <c r="K458" s="266"/>
      <c r="L458" s="266"/>
      <c r="M458" s="266"/>
      <c r="N458" s="265"/>
      <c r="O458" s="265"/>
      <c r="P458" s="267"/>
      <c r="Q458" s="267"/>
    </row>
    <row r="459" ht="12.75" customHeight="1" spans="1:17">
      <c r="A459" s="265"/>
      <c r="B459" s="265"/>
      <c r="C459" s="265"/>
      <c r="D459" s="265"/>
      <c r="E459" s="265"/>
      <c r="F459" s="265"/>
      <c r="G459" s="266"/>
      <c r="H459" s="265"/>
      <c r="I459" s="266"/>
      <c r="J459" s="265"/>
      <c r="K459" s="266"/>
      <c r="L459" s="266"/>
      <c r="M459" s="266"/>
      <c r="N459" s="265"/>
      <c r="O459" s="265"/>
      <c r="P459" s="267"/>
      <c r="Q459" s="267"/>
    </row>
    <row r="460" ht="12.75" customHeight="1" spans="1:17">
      <c r="A460" s="265"/>
      <c r="B460" s="265"/>
      <c r="C460" s="265"/>
      <c r="D460" s="265"/>
      <c r="E460" s="265"/>
      <c r="F460" s="265"/>
      <c r="G460" s="266"/>
      <c r="H460" s="265"/>
      <c r="I460" s="266"/>
      <c r="J460" s="265"/>
      <c r="K460" s="266"/>
      <c r="L460" s="266"/>
      <c r="M460" s="266"/>
      <c r="N460" s="265"/>
      <c r="O460" s="265"/>
      <c r="P460" s="267"/>
      <c r="Q460" s="267"/>
    </row>
    <row r="461" ht="12.75" customHeight="1" spans="1:17">
      <c r="A461" s="265"/>
      <c r="B461" s="265"/>
      <c r="C461" s="265"/>
      <c r="D461" s="265"/>
      <c r="E461" s="265"/>
      <c r="F461" s="265"/>
      <c r="G461" s="266"/>
      <c r="H461" s="265"/>
      <c r="I461" s="266"/>
      <c r="J461" s="265"/>
      <c r="K461" s="266"/>
      <c r="L461" s="266"/>
      <c r="M461" s="266"/>
      <c r="N461" s="265"/>
      <c r="O461" s="265"/>
      <c r="P461" s="267"/>
      <c r="Q461" s="267"/>
    </row>
    <row r="462" ht="12.75" customHeight="1" spans="1:17">
      <c r="A462" s="265"/>
      <c r="B462" s="265"/>
      <c r="C462" s="265"/>
      <c r="D462" s="265"/>
      <c r="E462" s="265"/>
      <c r="F462" s="265"/>
      <c r="G462" s="266"/>
      <c r="H462" s="265"/>
      <c r="I462" s="266"/>
      <c r="J462" s="265"/>
      <c r="K462" s="266"/>
      <c r="L462" s="266"/>
      <c r="M462" s="266"/>
      <c r="N462" s="265"/>
      <c r="O462" s="265"/>
      <c r="P462" s="267"/>
      <c r="Q462" s="267"/>
    </row>
    <row r="463" ht="12.75" customHeight="1" spans="1:17">
      <c r="A463" s="265"/>
      <c r="B463" s="265"/>
      <c r="C463" s="265"/>
      <c r="D463" s="265"/>
      <c r="E463" s="265"/>
      <c r="F463" s="265"/>
      <c r="G463" s="266"/>
      <c r="H463" s="265"/>
      <c r="I463" s="266"/>
      <c r="J463" s="265"/>
      <c r="K463" s="266"/>
      <c r="L463" s="266"/>
      <c r="M463" s="266"/>
      <c r="N463" s="265"/>
      <c r="O463" s="265"/>
      <c r="P463" s="267"/>
      <c r="Q463" s="267"/>
    </row>
    <row r="464" ht="12.75" customHeight="1" spans="1:17">
      <c r="A464" s="265"/>
      <c r="B464" s="265"/>
      <c r="C464" s="265"/>
      <c r="D464" s="265"/>
      <c r="E464" s="265"/>
      <c r="F464" s="265"/>
      <c r="G464" s="266"/>
      <c r="H464" s="265"/>
      <c r="I464" s="266"/>
      <c r="J464" s="265"/>
      <c r="K464" s="266"/>
      <c r="L464" s="266"/>
      <c r="M464" s="266"/>
      <c r="N464" s="265"/>
      <c r="O464" s="265"/>
      <c r="P464" s="267"/>
      <c r="Q464" s="267"/>
    </row>
    <row r="465" ht="12.75" customHeight="1" spans="1:17">
      <c r="A465" s="265"/>
      <c r="B465" s="265"/>
      <c r="C465" s="265"/>
      <c r="D465" s="265"/>
      <c r="E465" s="265"/>
      <c r="F465" s="265"/>
      <c r="G465" s="266"/>
      <c r="H465" s="265"/>
      <c r="I465" s="266"/>
      <c r="J465" s="265"/>
      <c r="K465" s="266"/>
      <c r="L465" s="266"/>
      <c r="M465" s="266"/>
      <c r="N465" s="265"/>
      <c r="O465" s="265"/>
      <c r="P465" s="267"/>
      <c r="Q465" s="267"/>
    </row>
    <row r="466" ht="12.75" customHeight="1" spans="1:17">
      <c r="A466" s="265"/>
      <c r="B466" s="265"/>
      <c r="C466" s="265"/>
      <c r="D466" s="265"/>
      <c r="E466" s="265"/>
      <c r="F466" s="265"/>
      <c r="G466" s="266"/>
      <c r="H466" s="265"/>
      <c r="I466" s="266"/>
      <c r="J466" s="265"/>
      <c r="K466" s="266"/>
      <c r="L466" s="266"/>
      <c r="M466" s="266"/>
      <c r="N466" s="265"/>
      <c r="O466" s="265"/>
      <c r="P466" s="267"/>
      <c r="Q466" s="267"/>
    </row>
    <row r="467" ht="12.75" customHeight="1" spans="1:17">
      <c r="A467" s="265"/>
      <c r="B467" s="265"/>
      <c r="C467" s="265"/>
      <c r="D467" s="265"/>
      <c r="E467" s="265"/>
      <c r="F467" s="265"/>
      <c r="G467" s="266"/>
      <c r="H467" s="265"/>
      <c r="I467" s="266"/>
      <c r="J467" s="265"/>
      <c r="K467" s="266"/>
      <c r="L467" s="266"/>
      <c r="M467" s="266"/>
      <c r="N467" s="265"/>
      <c r="O467" s="265"/>
      <c r="P467" s="267"/>
      <c r="Q467" s="267"/>
    </row>
    <row r="468" ht="12.75" customHeight="1" spans="1:17">
      <c r="A468" s="265"/>
      <c r="B468" s="265"/>
      <c r="C468" s="265"/>
      <c r="D468" s="265"/>
      <c r="E468" s="265"/>
      <c r="F468" s="265"/>
      <c r="G468" s="266"/>
      <c r="H468" s="265"/>
      <c r="I468" s="266"/>
      <c r="J468" s="265"/>
      <c r="K468" s="266"/>
      <c r="L468" s="266"/>
      <c r="M468" s="266"/>
      <c r="N468" s="265"/>
      <c r="O468" s="265"/>
      <c r="P468" s="267"/>
      <c r="Q468" s="267"/>
    </row>
    <row r="469" ht="12.75" customHeight="1" spans="1:17">
      <c r="A469" s="265"/>
      <c r="B469" s="265"/>
      <c r="C469" s="265"/>
      <c r="D469" s="265"/>
      <c r="E469" s="265"/>
      <c r="F469" s="265"/>
      <c r="G469" s="266"/>
      <c r="H469" s="265"/>
      <c r="I469" s="266"/>
      <c r="J469" s="265"/>
      <c r="K469" s="266"/>
      <c r="L469" s="266"/>
      <c r="M469" s="266"/>
      <c r="N469" s="265"/>
      <c r="O469" s="265"/>
      <c r="P469" s="267"/>
      <c r="Q469" s="267"/>
    </row>
    <row r="470" ht="12.75" customHeight="1" spans="1:17">
      <c r="A470" s="265"/>
      <c r="B470" s="265"/>
      <c r="C470" s="265"/>
      <c r="D470" s="265"/>
      <c r="E470" s="265"/>
      <c r="F470" s="265"/>
      <c r="G470" s="266"/>
      <c r="H470" s="265"/>
      <c r="I470" s="266"/>
      <c r="J470" s="265"/>
      <c r="K470" s="266"/>
      <c r="L470" s="266"/>
      <c r="M470" s="266"/>
      <c r="N470" s="265"/>
      <c r="O470" s="265"/>
      <c r="P470" s="267"/>
      <c r="Q470" s="267"/>
    </row>
    <row r="471" ht="12.75" customHeight="1" spans="1:17">
      <c r="A471" s="265"/>
      <c r="B471" s="265"/>
      <c r="C471" s="265"/>
      <c r="D471" s="265"/>
      <c r="E471" s="265"/>
      <c r="F471" s="265"/>
      <c r="G471" s="266"/>
      <c r="H471" s="265"/>
      <c r="I471" s="266"/>
      <c r="J471" s="265"/>
      <c r="K471" s="266"/>
      <c r="L471" s="266"/>
      <c r="M471" s="266"/>
      <c r="N471" s="265"/>
      <c r="O471" s="265"/>
      <c r="P471" s="267"/>
      <c r="Q471" s="267"/>
    </row>
    <row r="472" ht="12.75" customHeight="1" spans="1:17">
      <c r="A472" s="265"/>
      <c r="B472" s="265"/>
      <c r="C472" s="265"/>
      <c r="D472" s="265"/>
      <c r="E472" s="265"/>
      <c r="F472" s="265"/>
      <c r="G472" s="266"/>
      <c r="H472" s="265"/>
      <c r="I472" s="266"/>
      <c r="J472" s="265"/>
      <c r="K472" s="266"/>
      <c r="L472" s="266"/>
      <c r="M472" s="266"/>
      <c r="N472" s="265"/>
      <c r="O472" s="265"/>
      <c r="P472" s="267"/>
      <c r="Q472" s="267"/>
    </row>
    <row r="473" ht="12.75" customHeight="1" spans="1:17">
      <c r="A473" s="265"/>
      <c r="B473" s="265"/>
      <c r="C473" s="265"/>
      <c r="D473" s="265"/>
      <c r="E473" s="265"/>
      <c r="F473" s="265"/>
      <c r="G473" s="266"/>
      <c r="H473" s="265"/>
      <c r="I473" s="266"/>
      <c r="J473" s="265"/>
      <c r="K473" s="266"/>
      <c r="L473" s="266"/>
      <c r="M473" s="266"/>
      <c r="N473" s="265"/>
      <c r="O473" s="265"/>
      <c r="P473" s="267"/>
      <c r="Q473" s="267"/>
    </row>
    <row r="474" ht="12.75" customHeight="1" spans="1:17">
      <c r="A474" s="265"/>
      <c r="B474" s="265"/>
      <c r="C474" s="265"/>
      <c r="D474" s="265"/>
      <c r="E474" s="265"/>
      <c r="F474" s="265"/>
      <c r="G474" s="266"/>
      <c r="H474" s="265"/>
      <c r="I474" s="266"/>
      <c r="J474" s="265"/>
      <c r="K474" s="266"/>
      <c r="L474" s="266"/>
      <c r="M474" s="266"/>
      <c r="N474" s="265"/>
      <c r="O474" s="265"/>
      <c r="P474" s="267"/>
      <c r="Q474" s="267"/>
    </row>
    <row r="475" ht="12.75" customHeight="1" spans="1:17">
      <c r="A475" s="265"/>
      <c r="B475" s="265"/>
      <c r="C475" s="265"/>
      <c r="D475" s="265"/>
      <c r="E475" s="265"/>
      <c r="F475" s="265"/>
      <c r="G475" s="266"/>
      <c r="H475" s="265"/>
      <c r="I475" s="266"/>
      <c r="J475" s="265"/>
      <c r="K475" s="266"/>
      <c r="L475" s="266"/>
      <c r="M475" s="266"/>
      <c r="N475" s="265"/>
      <c r="O475" s="265"/>
      <c r="P475" s="267"/>
      <c r="Q475" s="267"/>
    </row>
    <row r="476" ht="12.75" customHeight="1" spans="1:17">
      <c r="A476" s="265"/>
      <c r="B476" s="265"/>
      <c r="C476" s="265"/>
      <c r="D476" s="265"/>
      <c r="E476" s="265"/>
      <c r="F476" s="265"/>
      <c r="G476" s="266"/>
      <c r="H476" s="265"/>
      <c r="I476" s="266"/>
      <c r="J476" s="265"/>
      <c r="K476" s="266"/>
      <c r="L476" s="266"/>
      <c r="M476" s="266"/>
      <c r="N476" s="265"/>
      <c r="O476" s="265"/>
      <c r="P476" s="267"/>
      <c r="Q476" s="267"/>
    </row>
    <row r="477" ht="12.75" customHeight="1" spans="1:17">
      <c r="A477" s="265"/>
      <c r="B477" s="265"/>
      <c r="C477" s="265"/>
      <c r="D477" s="265"/>
      <c r="E477" s="265"/>
      <c r="F477" s="265"/>
      <c r="G477" s="266"/>
      <c r="H477" s="265"/>
      <c r="I477" s="266"/>
      <c r="J477" s="265"/>
      <c r="K477" s="266"/>
      <c r="L477" s="266"/>
      <c r="M477" s="266"/>
      <c r="N477" s="265"/>
      <c r="O477" s="265"/>
      <c r="P477" s="267"/>
      <c r="Q477" s="267"/>
    </row>
    <row r="478" ht="12.75" customHeight="1" spans="1:17">
      <c r="A478" s="265"/>
      <c r="B478" s="265"/>
      <c r="C478" s="265"/>
      <c r="D478" s="265"/>
      <c r="E478" s="265"/>
      <c r="F478" s="265"/>
      <c r="G478" s="266"/>
      <c r="H478" s="265"/>
      <c r="I478" s="266"/>
      <c r="J478" s="265"/>
      <c r="K478" s="266"/>
      <c r="L478" s="266"/>
      <c r="M478" s="266"/>
      <c r="N478" s="265"/>
      <c r="O478" s="265"/>
      <c r="P478" s="267"/>
      <c r="Q478" s="267"/>
    </row>
    <row r="479" ht="12.75" customHeight="1" spans="1:17">
      <c r="A479" s="265"/>
      <c r="B479" s="265"/>
      <c r="C479" s="265"/>
      <c r="D479" s="265"/>
      <c r="E479" s="265"/>
      <c r="F479" s="265"/>
      <c r="G479" s="266"/>
      <c r="H479" s="265"/>
      <c r="I479" s="266"/>
      <c r="J479" s="265"/>
      <c r="K479" s="266"/>
      <c r="L479" s="266"/>
      <c r="M479" s="266"/>
      <c r="N479" s="265"/>
      <c r="O479" s="265"/>
      <c r="P479" s="267"/>
      <c r="Q479" s="267"/>
    </row>
    <row r="480" ht="12.75" customHeight="1" spans="1:17">
      <c r="A480" s="265"/>
      <c r="B480" s="265"/>
      <c r="C480" s="265"/>
      <c r="D480" s="265"/>
      <c r="E480" s="265"/>
      <c r="F480" s="265"/>
      <c r="G480" s="266"/>
      <c r="H480" s="265"/>
      <c r="I480" s="266"/>
      <c r="J480" s="265"/>
      <c r="K480" s="266"/>
      <c r="L480" s="266"/>
      <c r="M480" s="266"/>
      <c r="N480" s="265"/>
      <c r="O480" s="265"/>
      <c r="P480" s="267"/>
      <c r="Q480" s="267"/>
    </row>
    <row r="481" ht="12.75" customHeight="1" spans="1:17">
      <c r="A481" s="265"/>
      <c r="B481" s="265"/>
      <c r="C481" s="265"/>
      <c r="D481" s="265"/>
      <c r="E481" s="265"/>
      <c r="F481" s="265"/>
      <c r="G481" s="266"/>
      <c r="H481" s="265"/>
      <c r="I481" s="266"/>
      <c r="J481" s="265"/>
      <c r="K481" s="266"/>
      <c r="L481" s="266"/>
      <c r="M481" s="266"/>
      <c r="N481" s="265"/>
      <c r="O481" s="265"/>
      <c r="P481" s="267"/>
      <c r="Q481" s="267"/>
    </row>
    <row r="482" ht="12.75" customHeight="1" spans="1:17">
      <c r="A482" s="265"/>
      <c r="B482" s="265"/>
      <c r="C482" s="265"/>
      <c r="D482" s="265"/>
      <c r="E482" s="265"/>
      <c r="F482" s="265"/>
      <c r="G482" s="266"/>
      <c r="H482" s="265"/>
      <c r="I482" s="266"/>
      <c r="J482" s="265"/>
      <c r="K482" s="266"/>
      <c r="L482" s="266"/>
      <c r="M482" s="266"/>
      <c r="N482" s="265"/>
      <c r="O482" s="265"/>
      <c r="P482" s="267"/>
      <c r="Q482" s="267"/>
    </row>
    <row r="483" ht="12.75" customHeight="1" spans="1:17">
      <c r="A483" s="265"/>
      <c r="B483" s="265"/>
      <c r="C483" s="265"/>
      <c r="D483" s="265"/>
      <c r="E483" s="265"/>
      <c r="F483" s="265"/>
      <c r="G483" s="266"/>
      <c r="H483" s="265"/>
      <c r="I483" s="266"/>
      <c r="J483" s="265"/>
      <c r="K483" s="266"/>
      <c r="L483" s="266"/>
      <c r="M483" s="266"/>
      <c r="N483" s="265"/>
      <c r="O483" s="265"/>
      <c r="P483" s="267"/>
      <c r="Q483" s="267"/>
    </row>
    <row r="484" ht="12.75" customHeight="1" spans="1:17">
      <c r="A484" s="265"/>
      <c r="B484" s="265"/>
      <c r="C484" s="265"/>
      <c r="D484" s="265"/>
      <c r="E484" s="265"/>
      <c r="F484" s="265"/>
      <c r="G484" s="266"/>
      <c r="H484" s="265"/>
      <c r="I484" s="266"/>
      <c r="J484" s="265"/>
      <c r="K484" s="266"/>
      <c r="L484" s="266"/>
      <c r="M484" s="266"/>
      <c r="N484" s="265"/>
      <c r="O484" s="265"/>
      <c r="P484" s="267"/>
      <c r="Q484" s="267"/>
    </row>
    <row r="485" ht="12.75" customHeight="1" spans="1:17">
      <c r="A485" s="265"/>
      <c r="B485" s="265"/>
      <c r="C485" s="265"/>
      <c r="D485" s="265"/>
      <c r="E485" s="265"/>
      <c r="F485" s="265"/>
      <c r="G485" s="266"/>
      <c r="H485" s="265"/>
      <c r="I485" s="266"/>
      <c r="J485" s="265"/>
      <c r="K485" s="266"/>
      <c r="L485" s="266"/>
      <c r="M485" s="266"/>
      <c r="N485" s="265"/>
      <c r="O485" s="265"/>
      <c r="P485" s="267"/>
      <c r="Q485" s="267"/>
    </row>
    <row r="486" ht="12.75" customHeight="1" spans="1:17">
      <c r="A486" s="265"/>
      <c r="B486" s="265"/>
      <c r="C486" s="265"/>
      <c r="D486" s="265"/>
      <c r="E486" s="265"/>
      <c r="F486" s="265"/>
      <c r="G486" s="266"/>
      <c r="H486" s="265"/>
      <c r="I486" s="266"/>
      <c r="J486" s="265"/>
      <c r="K486" s="266"/>
      <c r="L486" s="266"/>
      <c r="M486" s="266"/>
      <c r="N486" s="265"/>
      <c r="O486" s="265"/>
      <c r="P486" s="267"/>
      <c r="Q486" s="267"/>
    </row>
    <row r="487" ht="12.75" customHeight="1" spans="1:17">
      <c r="A487" s="265"/>
      <c r="B487" s="265"/>
      <c r="C487" s="265"/>
      <c r="D487" s="265"/>
      <c r="E487" s="265"/>
      <c r="F487" s="265"/>
      <c r="G487" s="266"/>
      <c r="H487" s="265"/>
      <c r="I487" s="266"/>
      <c r="J487" s="265"/>
      <c r="K487" s="266"/>
      <c r="L487" s="266"/>
      <c r="M487" s="266"/>
      <c r="N487" s="265"/>
      <c r="O487" s="265"/>
      <c r="P487" s="267"/>
      <c r="Q487" s="267"/>
    </row>
    <row r="488" ht="12.75" customHeight="1" spans="1:17">
      <c r="A488" s="265"/>
      <c r="B488" s="265"/>
      <c r="C488" s="265"/>
      <c r="D488" s="265"/>
      <c r="E488" s="265"/>
      <c r="F488" s="265"/>
      <c r="G488" s="266"/>
      <c r="H488" s="265"/>
      <c r="I488" s="266"/>
      <c r="J488" s="265"/>
      <c r="K488" s="266"/>
      <c r="L488" s="266"/>
      <c r="M488" s="266"/>
      <c r="N488" s="265"/>
      <c r="O488" s="265"/>
      <c r="P488" s="267"/>
      <c r="Q488" s="267"/>
    </row>
    <row r="489" ht="12.75" customHeight="1" spans="1:17">
      <c r="A489" s="265"/>
      <c r="B489" s="265"/>
      <c r="C489" s="265"/>
      <c r="D489" s="265"/>
      <c r="E489" s="265"/>
      <c r="F489" s="265"/>
      <c r="G489" s="266"/>
      <c r="H489" s="265"/>
      <c r="I489" s="266"/>
      <c r="J489" s="265"/>
      <c r="K489" s="266"/>
      <c r="L489" s="266"/>
      <c r="M489" s="266"/>
      <c r="N489" s="265"/>
      <c r="O489" s="265"/>
      <c r="P489" s="267"/>
      <c r="Q489" s="267"/>
    </row>
    <row r="490" ht="12.75" customHeight="1" spans="1:17">
      <c r="A490" s="265"/>
      <c r="B490" s="265"/>
      <c r="C490" s="265"/>
      <c r="D490" s="265"/>
      <c r="E490" s="265"/>
      <c r="F490" s="265"/>
      <c r="G490" s="266"/>
      <c r="H490" s="265"/>
      <c r="I490" s="266"/>
      <c r="J490" s="265"/>
      <c r="K490" s="266"/>
      <c r="L490" s="266"/>
      <c r="M490" s="266"/>
      <c r="N490" s="265"/>
      <c r="O490" s="265"/>
      <c r="P490" s="267"/>
      <c r="Q490" s="267"/>
    </row>
    <row r="491" ht="12.75" customHeight="1" spans="1:17">
      <c r="A491" s="265"/>
      <c r="B491" s="265"/>
      <c r="C491" s="265"/>
      <c r="D491" s="265"/>
      <c r="E491" s="265"/>
      <c r="F491" s="265"/>
      <c r="G491" s="266"/>
      <c r="H491" s="265"/>
      <c r="I491" s="266"/>
      <c r="J491" s="265"/>
      <c r="K491" s="266"/>
      <c r="L491" s="266"/>
      <c r="M491" s="266"/>
      <c r="N491" s="265"/>
      <c r="O491" s="265"/>
      <c r="P491" s="267"/>
      <c r="Q491" s="267"/>
    </row>
    <row r="492" ht="12.75" customHeight="1" spans="1:17">
      <c r="A492" s="265"/>
      <c r="B492" s="265"/>
      <c r="C492" s="265"/>
      <c r="D492" s="265"/>
      <c r="E492" s="265"/>
      <c r="F492" s="265"/>
      <c r="G492" s="266"/>
      <c r="H492" s="265"/>
      <c r="I492" s="266"/>
      <c r="J492" s="265"/>
      <c r="K492" s="266"/>
      <c r="L492" s="266"/>
      <c r="M492" s="266"/>
      <c r="N492" s="265"/>
      <c r="O492" s="265"/>
      <c r="P492" s="267"/>
      <c r="Q492" s="267"/>
    </row>
    <row r="493" ht="12.75" customHeight="1" spans="1:17">
      <c r="A493" s="265"/>
      <c r="B493" s="265"/>
      <c r="C493" s="265"/>
      <c r="D493" s="265"/>
      <c r="E493" s="265"/>
      <c r="F493" s="265"/>
      <c r="G493" s="266"/>
      <c r="H493" s="265"/>
      <c r="I493" s="266"/>
      <c r="J493" s="265"/>
      <c r="K493" s="266"/>
      <c r="L493" s="266"/>
      <c r="M493" s="266"/>
      <c r="N493" s="265"/>
      <c r="O493" s="265"/>
      <c r="P493" s="267"/>
      <c r="Q493" s="267"/>
    </row>
    <row r="494" ht="12.75" customHeight="1" spans="1:17">
      <c r="A494" s="265"/>
      <c r="B494" s="265"/>
      <c r="C494" s="265"/>
      <c r="D494" s="265"/>
      <c r="E494" s="265"/>
      <c r="F494" s="265"/>
      <c r="G494" s="266"/>
      <c r="H494" s="265"/>
      <c r="I494" s="266"/>
      <c r="J494" s="265"/>
      <c r="K494" s="266"/>
      <c r="L494" s="266"/>
      <c r="M494" s="266"/>
      <c r="N494" s="265"/>
      <c r="O494" s="265"/>
      <c r="P494" s="267"/>
      <c r="Q494" s="267"/>
    </row>
    <row r="495" ht="12.75" customHeight="1" spans="1:17">
      <c r="A495" s="265"/>
      <c r="B495" s="265"/>
      <c r="C495" s="265"/>
      <c r="D495" s="265"/>
      <c r="E495" s="265"/>
      <c r="F495" s="265"/>
      <c r="G495" s="266"/>
      <c r="H495" s="265"/>
      <c r="I495" s="266"/>
      <c r="J495" s="265"/>
      <c r="K495" s="266"/>
      <c r="L495" s="266"/>
      <c r="M495" s="266"/>
      <c r="N495" s="265"/>
      <c r="O495" s="265"/>
      <c r="P495" s="267"/>
      <c r="Q495" s="267"/>
    </row>
    <row r="496" ht="12.75" customHeight="1" spans="1:17">
      <c r="A496" s="265"/>
      <c r="B496" s="265"/>
      <c r="C496" s="265"/>
      <c r="D496" s="265"/>
      <c r="E496" s="265"/>
      <c r="F496" s="265"/>
      <c r="G496" s="266"/>
      <c r="H496" s="265"/>
      <c r="I496" s="266"/>
      <c r="J496" s="265"/>
      <c r="K496" s="266"/>
      <c r="L496" s="266"/>
      <c r="M496" s="266"/>
      <c r="N496" s="265"/>
      <c r="O496" s="265"/>
      <c r="P496" s="267"/>
      <c r="Q496" s="267"/>
    </row>
    <row r="497" ht="12.75" customHeight="1" spans="1:17">
      <c r="A497" s="265"/>
      <c r="B497" s="265"/>
      <c r="C497" s="265"/>
      <c r="D497" s="265"/>
      <c r="E497" s="265"/>
      <c r="F497" s="265"/>
      <c r="G497" s="266"/>
      <c r="H497" s="265"/>
      <c r="I497" s="266"/>
      <c r="J497" s="265"/>
      <c r="K497" s="266"/>
      <c r="L497" s="266"/>
      <c r="M497" s="266"/>
      <c r="N497" s="265"/>
      <c r="O497" s="265"/>
      <c r="P497" s="267"/>
      <c r="Q497" s="267"/>
    </row>
    <row r="498" ht="12.75" customHeight="1" spans="1:17">
      <c r="A498" s="265"/>
      <c r="B498" s="265"/>
      <c r="C498" s="265"/>
      <c r="D498" s="265"/>
      <c r="E498" s="265"/>
      <c r="F498" s="265"/>
      <c r="G498" s="266"/>
      <c r="H498" s="265"/>
      <c r="I498" s="266"/>
      <c r="J498" s="265"/>
      <c r="K498" s="266"/>
      <c r="L498" s="266"/>
      <c r="M498" s="266"/>
      <c r="N498" s="265"/>
      <c r="O498" s="265"/>
      <c r="P498" s="267"/>
      <c r="Q498" s="267"/>
    </row>
    <row r="499" ht="12.75" customHeight="1" spans="1:17">
      <c r="A499" s="265"/>
      <c r="B499" s="265"/>
      <c r="C499" s="265"/>
      <c r="D499" s="265"/>
      <c r="E499" s="265"/>
      <c r="F499" s="265"/>
      <c r="G499" s="266"/>
      <c r="H499" s="265"/>
      <c r="I499" s="266"/>
      <c r="J499" s="265"/>
      <c r="K499" s="266"/>
      <c r="L499" s="266"/>
      <c r="M499" s="266"/>
      <c r="N499" s="265"/>
      <c r="O499" s="265"/>
      <c r="P499" s="267"/>
      <c r="Q499" s="267"/>
    </row>
    <row r="500" ht="12.75" customHeight="1" spans="1:17">
      <c r="A500" s="265"/>
      <c r="B500" s="265"/>
      <c r="C500" s="265"/>
      <c r="D500" s="265"/>
      <c r="E500" s="265"/>
      <c r="F500" s="265"/>
      <c r="G500" s="266"/>
      <c r="H500" s="265"/>
      <c r="I500" s="266"/>
      <c r="J500" s="265"/>
      <c r="K500" s="266"/>
      <c r="L500" s="266"/>
      <c r="M500" s="266"/>
      <c r="N500" s="265"/>
      <c r="O500" s="265"/>
      <c r="P500" s="267"/>
      <c r="Q500" s="267"/>
    </row>
    <row r="501" ht="12.75" customHeight="1" spans="1:17">
      <c r="A501" s="265"/>
      <c r="B501" s="265"/>
      <c r="C501" s="265"/>
      <c r="D501" s="265"/>
      <c r="E501" s="265"/>
      <c r="F501" s="265"/>
      <c r="G501" s="266"/>
      <c r="H501" s="265"/>
      <c r="I501" s="266"/>
      <c r="J501" s="265"/>
      <c r="K501" s="266"/>
      <c r="L501" s="266"/>
      <c r="M501" s="266"/>
      <c r="N501" s="265"/>
      <c r="O501" s="265"/>
      <c r="P501" s="267"/>
      <c r="Q501" s="267"/>
    </row>
    <row r="502" ht="12.75" customHeight="1" spans="1:17">
      <c r="A502" s="265"/>
      <c r="B502" s="265"/>
      <c r="C502" s="265"/>
      <c r="D502" s="265"/>
      <c r="E502" s="265"/>
      <c r="F502" s="265"/>
      <c r="G502" s="266"/>
      <c r="H502" s="265"/>
      <c r="I502" s="266"/>
      <c r="J502" s="265"/>
      <c r="K502" s="266"/>
      <c r="L502" s="266"/>
      <c r="M502" s="266"/>
      <c r="N502" s="265"/>
      <c r="O502" s="265"/>
      <c r="P502" s="267"/>
      <c r="Q502" s="267"/>
    </row>
    <row r="503" ht="12.75" customHeight="1" spans="1:17">
      <c r="A503" s="265"/>
      <c r="B503" s="265"/>
      <c r="C503" s="265"/>
      <c r="D503" s="265"/>
      <c r="E503" s="265"/>
      <c r="F503" s="265"/>
      <c r="G503" s="266"/>
      <c r="H503" s="265"/>
      <c r="I503" s="266"/>
      <c r="J503" s="265"/>
      <c r="K503" s="266"/>
      <c r="L503" s="266"/>
      <c r="M503" s="266"/>
      <c r="N503" s="265"/>
      <c r="O503" s="265"/>
      <c r="P503" s="267"/>
      <c r="Q503" s="267"/>
    </row>
    <row r="504" ht="12.75" customHeight="1" spans="1:17">
      <c r="A504" s="265"/>
      <c r="B504" s="265"/>
      <c r="C504" s="265"/>
      <c r="D504" s="265"/>
      <c r="E504" s="265"/>
      <c r="F504" s="265"/>
      <c r="G504" s="266"/>
      <c r="H504" s="265"/>
      <c r="I504" s="266"/>
      <c r="J504" s="265"/>
      <c r="K504" s="266"/>
      <c r="L504" s="266"/>
      <c r="M504" s="266"/>
      <c r="N504" s="265"/>
      <c r="O504" s="265"/>
      <c r="P504" s="267"/>
      <c r="Q504" s="267"/>
    </row>
    <row r="505" ht="12.75" customHeight="1" spans="1:17">
      <c r="A505" s="265"/>
      <c r="B505" s="265"/>
      <c r="C505" s="265"/>
      <c r="D505" s="265"/>
      <c r="E505" s="265"/>
      <c r="F505" s="265"/>
      <c r="G505" s="266"/>
      <c r="H505" s="265"/>
      <c r="I505" s="266"/>
      <c r="J505" s="265"/>
      <c r="K505" s="266"/>
      <c r="L505" s="266"/>
      <c r="M505" s="266"/>
      <c r="N505" s="265"/>
      <c r="O505" s="265"/>
      <c r="P505" s="267"/>
      <c r="Q505" s="267"/>
    </row>
    <row r="506" ht="12.75" customHeight="1" spans="1:17">
      <c r="A506" s="265"/>
      <c r="B506" s="265"/>
      <c r="C506" s="265"/>
      <c r="D506" s="265"/>
      <c r="E506" s="265"/>
      <c r="F506" s="265"/>
      <c r="G506" s="266"/>
      <c r="H506" s="265"/>
      <c r="I506" s="266"/>
      <c r="J506" s="265"/>
      <c r="K506" s="266"/>
      <c r="L506" s="266"/>
      <c r="M506" s="266"/>
      <c r="N506" s="265"/>
      <c r="O506" s="265"/>
      <c r="P506" s="267"/>
      <c r="Q506" s="267"/>
    </row>
    <row r="507" ht="12.75" customHeight="1" spans="1:17">
      <c r="A507" s="265"/>
      <c r="B507" s="265"/>
      <c r="C507" s="265"/>
      <c r="D507" s="265"/>
      <c r="E507" s="265"/>
      <c r="F507" s="265"/>
      <c r="G507" s="266"/>
      <c r="H507" s="265"/>
      <c r="I507" s="266"/>
      <c r="J507" s="265"/>
      <c r="K507" s="266"/>
      <c r="L507" s="266"/>
      <c r="M507" s="266"/>
      <c r="N507" s="265"/>
      <c r="O507" s="265"/>
      <c r="P507" s="267"/>
      <c r="Q507" s="267"/>
    </row>
    <row r="508" ht="12.75" customHeight="1" spans="1:17">
      <c r="A508" s="265"/>
      <c r="B508" s="265"/>
      <c r="C508" s="265"/>
      <c r="D508" s="265"/>
      <c r="E508" s="265"/>
      <c r="F508" s="265"/>
      <c r="G508" s="266"/>
      <c r="H508" s="265"/>
      <c r="I508" s="266"/>
      <c r="J508" s="265"/>
      <c r="K508" s="266"/>
      <c r="L508" s="266"/>
      <c r="M508" s="266"/>
      <c r="N508" s="265"/>
      <c r="O508" s="265"/>
      <c r="P508" s="267"/>
      <c r="Q508" s="267"/>
    </row>
    <row r="509" ht="12.75" customHeight="1" spans="1:17">
      <c r="A509" s="265"/>
      <c r="B509" s="265"/>
      <c r="C509" s="265"/>
      <c r="D509" s="265"/>
      <c r="E509" s="265"/>
      <c r="F509" s="265"/>
      <c r="G509" s="266"/>
      <c r="H509" s="265"/>
      <c r="I509" s="266"/>
      <c r="J509" s="265"/>
      <c r="K509" s="266"/>
      <c r="L509" s="266"/>
      <c r="M509" s="266"/>
      <c r="N509" s="265"/>
      <c r="O509" s="265"/>
      <c r="P509" s="267"/>
      <c r="Q509" s="267"/>
    </row>
    <row r="510" ht="12.75" customHeight="1" spans="1:17">
      <c r="A510" s="265"/>
      <c r="B510" s="265"/>
      <c r="C510" s="265"/>
      <c r="D510" s="265"/>
      <c r="E510" s="265"/>
      <c r="F510" s="265"/>
      <c r="G510" s="266"/>
      <c r="H510" s="265"/>
      <c r="I510" s="266"/>
      <c r="J510" s="265"/>
      <c r="K510" s="266"/>
      <c r="L510" s="266"/>
      <c r="M510" s="266"/>
      <c r="N510" s="265"/>
      <c r="O510" s="265"/>
      <c r="P510" s="267"/>
      <c r="Q510" s="267"/>
    </row>
    <row r="511" ht="12.75" customHeight="1" spans="1:17">
      <c r="A511" s="265"/>
      <c r="B511" s="265"/>
      <c r="C511" s="265"/>
      <c r="D511" s="265"/>
      <c r="E511" s="265"/>
      <c r="F511" s="265"/>
      <c r="G511" s="266"/>
      <c r="H511" s="265"/>
      <c r="I511" s="266"/>
      <c r="J511" s="265"/>
      <c r="K511" s="266"/>
      <c r="L511" s="266"/>
      <c r="M511" s="266"/>
      <c r="N511" s="265"/>
      <c r="O511" s="265"/>
      <c r="P511" s="267"/>
      <c r="Q511" s="267"/>
    </row>
    <row r="512" ht="12.75" customHeight="1" spans="1:17">
      <c r="A512" s="265"/>
      <c r="B512" s="265"/>
      <c r="C512" s="265"/>
      <c r="D512" s="265"/>
      <c r="E512" s="265"/>
      <c r="F512" s="265"/>
      <c r="G512" s="266"/>
      <c r="H512" s="265"/>
      <c r="I512" s="266"/>
      <c r="J512" s="265"/>
      <c r="K512" s="266"/>
      <c r="L512" s="266"/>
      <c r="M512" s="266"/>
      <c r="N512" s="265"/>
      <c r="O512" s="265"/>
      <c r="P512" s="267"/>
      <c r="Q512" s="267"/>
    </row>
    <row r="513" ht="12.75" customHeight="1" spans="1:17">
      <c r="A513" s="265"/>
      <c r="B513" s="265"/>
      <c r="C513" s="265"/>
      <c r="D513" s="265"/>
      <c r="E513" s="265"/>
      <c r="F513" s="265"/>
      <c r="G513" s="266"/>
      <c r="H513" s="265"/>
      <c r="I513" s="266"/>
      <c r="J513" s="265"/>
      <c r="K513" s="266"/>
      <c r="L513" s="266"/>
      <c r="M513" s="266"/>
      <c r="N513" s="265"/>
      <c r="O513" s="265"/>
      <c r="P513" s="267"/>
      <c r="Q513" s="267"/>
    </row>
    <row r="514" ht="12.75" customHeight="1" spans="1:17">
      <c r="A514" s="265"/>
      <c r="B514" s="265"/>
      <c r="C514" s="265"/>
      <c r="D514" s="265"/>
      <c r="E514" s="265"/>
      <c r="F514" s="265"/>
      <c r="G514" s="266"/>
      <c r="H514" s="265"/>
      <c r="I514" s="266"/>
      <c r="J514" s="265"/>
      <c r="K514" s="266"/>
      <c r="L514" s="266"/>
      <c r="M514" s="266"/>
      <c r="N514" s="265"/>
      <c r="O514" s="265"/>
      <c r="P514" s="267"/>
      <c r="Q514" s="267"/>
    </row>
    <row r="515" ht="12.75" customHeight="1" spans="1:17">
      <c r="A515" s="265"/>
      <c r="B515" s="265"/>
      <c r="C515" s="265"/>
      <c r="D515" s="265"/>
      <c r="E515" s="265"/>
      <c r="F515" s="265"/>
      <c r="G515" s="266"/>
      <c r="H515" s="265"/>
      <c r="I515" s="266"/>
      <c r="J515" s="265"/>
      <c r="K515" s="266"/>
      <c r="L515" s="266"/>
      <c r="M515" s="266"/>
      <c r="N515" s="265"/>
      <c r="O515" s="265"/>
      <c r="P515" s="267"/>
      <c r="Q515" s="267"/>
    </row>
    <row r="516" ht="12.75" customHeight="1" spans="1:17">
      <c r="A516" s="265"/>
      <c r="B516" s="265"/>
      <c r="C516" s="265"/>
      <c r="D516" s="265"/>
      <c r="E516" s="265"/>
      <c r="F516" s="265"/>
      <c r="G516" s="266"/>
      <c r="H516" s="265"/>
      <c r="I516" s="266"/>
      <c r="J516" s="265"/>
      <c r="K516" s="266"/>
      <c r="L516" s="266"/>
      <c r="M516" s="266"/>
      <c r="N516" s="265"/>
      <c r="O516" s="265"/>
      <c r="P516" s="267"/>
      <c r="Q516" s="267"/>
    </row>
    <row r="517" ht="12.75" customHeight="1" spans="1:17">
      <c r="A517" s="265"/>
      <c r="B517" s="265"/>
      <c r="C517" s="265"/>
      <c r="D517" s="265"/>
      <c r="E517" s="265"/>
      <c r="F517" s="265"/>
      <c r="G517" s="266"/>
      <c r="H517" s="265"/>
      <c r="I517" s="266"/>
      <c r="J517" s="265"/>
      <c r="K517" s="266"/>
      <c r="L517" s="266"/>
      <c r="M517" s="266"/>
      <c r="N517" s="265"/>
      <c r="O517" s="265"/>
      <c r="P517" s="267"/>
      <c r="Q517" s="267"/>
    </row>
    <row r="518" ht="12.75" customHeight="1" spans="1:17">
      <c r="A518" s="265"/>
      <c r="B518" s="265"/>
      <c r="C518" s="265"/>
      <c r="D518" s="265"/>
      <c r="E518" s="265"/>
      <c r="F518" s="265"/>
      <c r="G518" s="266"/>
      <c r="H518" s="265"/>
      <c r="I518" s="266"/>
      <c r="J518" s="265"/>
      <c r="K518" s="266"/>
      <c r="L518" s="266"/>
      <c r="M518" s="266"/>
      <c r="N518" s="265"/>
      <c r="O518" s="265"/>
      <c r="P518" s="267"/>
      <c r="Q518" s="267"/>
    </row>
    <row r="519" ht="12.75" customHeight="1" spans="1:17">
      <c r="A519" s="265"/>
      <c r="B519" s="265"/>
      <c r="C519" s="265"/>
      <c r="D519" s="265"/>
      <c r="E519" s="265"/>
      <c r="F519" s="265"/>
      <c r="G519" s="266"/>
      <c r="H519" s="265"/>
      <c r="I519" s="266"/>
      <c r="J519" s="265"/>
      <c r="K519" s="266"/>
      <c r="L519" s="266"/>
      <c r="M519" s="266"/>
      <c r="N519" s="265"/>
      <c r="O519" s="265"/>
      <c r="P519" s="267"/>
      <c r="Q519" s="267"/>
    </row>
    <row r="520" ht="12.75" customHeight="1" spans="1:17">
      <c r="A520" s="265"/>
      <c r="B520" s="265"/>
      <c r="C520" s="265"/>
      <c r="D520" s="265"/>
      <c r="E520" s="265"/>
      <c r="F520" s="265"/>
      <c r="G520" s="266"/>
      <c r="H520" s="265"/>
      <c r="I520" s="266"/>
      <c r="J520" s="265"/>
      <c r="K520" s="266"/>
      <c r="L520" s="266"/>
      <c r="M520" s="266"/>
      <c r="N520" s="265"/>
      <c r="O520" s="265"/>
      <c r="P520" s="267"/>
      <c r="Q520" s="267"/>
    </row>
    <row r="521" ht="12.75" customHeight="1" spans="1:17">
      <c r="A521" s="265"/>
      <c r="B521" s="265"/>
      <c r="C521" s="265"/>
      <c r="D521" s="265"/>
      <c r="E521" s="265"/>
      <c r="F521" s="265"/>
      <c r="G521" s="266"/>
      <c r="H521" s="265"/>
      <c r="I521" s="266"/>
      <c r="J521" s="265"/>
      <c r="K521" s="266"/>
      <c r="L521" s="266"/>
      <c r="M521" s="266"/>
      <c r="N521" s="265"/>
      <c r="O521" s="265"/>
      <c r="P521" s="267"/>
      <c r="Q521" s="267"/>
    </row>
    <row r="522" ht="12.75" customHeight="1" spans="1:17">
      <c r="A522" s="265"/>
      <c r="B522" s="265"/>
      <c r="C522" s="265"/>
      <c r="D522" s="265"/>
      <c r="E522" s="265"/>
      <c r="F522" s="265"/>
      <c r="G522" s="266"/>
      <c r="H522" s="265"/>
      <c r="I522" s="266"/>
      <c r="J522" s="265"/>
      <c r="K522" s="266"/>
      <c r="L522" s="266"/>
      <c r="M522" s="266"/>
      <c r="N522" s="265"/>
      <c r="O522" s="265"/>
      <c r="P522" s="267"/>
      <c r="Q522" s="267"/>
    </row>
    <row r="523" ht="12.75" customHeight="1" spans="1:17">
      <c r="A523" s="265"/>
      <c r="B523" s="265"/>
      <c r="C523" s="265"/>
      <c r="D523" s="265"/>
      <c r="E523" s="265"/>
      <c r="F523" s="265"/>
      <c r="G523" s="266"/>
      <c r="H523" s="265"/>
      <c r="I523" s="266"/>
      <c r="J523" s="265"/>
      <c r="K523" s="266"/>
      <c r="L523" s="266"/>
      <c r="M523" s="266"/>
      <c r="N523" s="265"/>
      <c r="O523" s="265"/>
      <c r="P523" s="267"/>
      <c r="Q523" s="267"/>
    </row>
    <row r="524" ht="12.75" customHeight="1" spans="1:17">
      <c r="A524" s="265"/>
      <c r="B524" s="265"/>
      <c r="C524" s="265"/>
      <c r="D524" s="265"/>
      <c r="E524" s="265"/>
      <c r="F524" s="265"/>
      <c r="G524" s="266"/>
      <c r="H524" s="265"/>
      <c r="I524" s="266"/>
      <c r="J524" s="265"/>
      <c r="K524" s="266"/>
      <c r="L524" s="266"/>
      <c r="M524" s="266"/>
      <c r="N524" s="265"/>
      <c r="O524" s="265"/>
      <c r="P524" s="267"/>
      <c r="Q524" s="267"/>
    </row>
    <row r="525" ht="12.75" customHeight="1" spans="1:17">
      <c r="A525" s="265"/>
      <c r="B525" s="265"/>
      <c r="C525" s="265"/>
      <c r="D525" s="265"/>
      <c r="E525" s="265"/>
      <c r="F525" s="265"/>
      <c r="G525" s="266"/>
      <c r="H525" s="265"/>
      <c r="I525" s="266"/>
      <c r="J525" s="265"/>
      <c r="K525" s="266"/>
      <c r="L525" s="266"/>
      <c r="M525" s="266"/>
      <c r="N525" s="265"/>
      <c r="O525" s="265"/>
      <c r="P525" s="267"/>
      <c r="Q525" s="267"/>
    </row>
    <row r="526" ht="12.75" customHeight="1" spans="1:17">
      <c r="A526" s="265"/>
      <c r="B526" s="265"/>
      <c r="C526" s="265"/>
      <c r="D526" s="265"/>
      <c r="E526" s="265"/>
      <c r="F526" s="265"/>
      <c r="G526" s="266"/>
      <c r="H526" s="265"/>
      <c r="I526" s="266"/>
      <c r="J526" s="265"/>
      <c r="K526" s="266"/>
      <c r="L526" s="266"/>
      <c r="M526" s="266"/>
      <c r="N526" s="265"/>
      <c r="O526" s="265"/>
      <c r="P526" s="267"/>
      <c r="Q526" s="267"/>
    </row>
    <row r="527" ht="12.75" customHeight="1" spans="1:17">
      <c r="A527" s="265"/>
      <c r="B527" s="265"/>
      <c r="C527" s="265"/>
      <c r="D527" s="265"/>
      <c r="E527" s="265"/>
      <c r="F527" s="265"/>
      <c r="G527" s="266"/>
      <c r="H527" s="265"/>
      <c r="I527" s="266"/>
      <c r="J527" s="265"/>
      <c r="K527" s="266"/>
      <c r="L527" s="266"/>
      <c r="M527" s="266"/>
      <c r="N527" s="265"/>
      <c r="O527" s="265"/>
      <c r="P527" s="267"/>
      <c r="Q527" s="267"/>
    </row>
    <row r="528" ht="12.75" customHeight="1" spans="1:17">
      <c r="A528" s="265"/>
      <c r="B528" s="265"/>
      <c r="C528" s="265"/>
      <c r="D528" s="265"/>
      <c r="E528" s="265"/>
      <c r="F528" s="265"/>
      <c r="G528" s="266"/>
      <c r="H528" s="265"/>
      <c r="I528" s="266"/>
      <c r="J528" s="265"/>
      <c r="K528" s="266"/>
      <c r="L528" s="266"/>
      <c r="M528" s="266"/>
      <c r="N528" s="265"/>
      <c r="O528" s="265"/>
      <c r="P528" s="267"/>
      <c r="Q528" s="267"/>
    </row>
    <row r="529" ht="12.75" customHeight="1" spans="1:17">
      <c r="A529" s="265"/>
      <c r="B529" s="265"/>
      <c r="C529" s="265"/>
      <c r="D529" s="265"/>
      <c r="E529" s="265"/>
      <c r="F529" s="265"/>
      <c r="G529" s="266"/>
      <c r="H529" s="265"/>
      <c r="I529" s="266"/>
      <c r="J529" s="265"/>
      <c r="K529" s="266"/>
      <c r="L529" s="266"/>
      <c r="M529" s="266"/>
      <c r="N529" s="265"/>
      <c r="O529" s="265"/>
      <c r="P529" s="267"/>
      <c r="Q529" s="267"/>
    </row>
    <row r="530" ht="12.75" customHeight="1" spans="1:17">
      <c r="A530" s="265"/>
      <c r="B530" s="265"/>
      <c r="C530" s="265"/>
      <c r="D530" s="265"/>
      <c r="E530" s="265"/>
      <c r="F530" s="265"/>
      <c r="G530" s="266"/>
      <c r="H530" s="265"/>
      <c r="I530" s="266"/>
      <c r="J530" s="265"/>
      <c r="K530" s="266"/>
      <c r="L530" s="266"/>
      <c r="M530" s="266"/>
      <c r="N530" s="265"/>
      <c r="O530" s="265"/>
      <c r="P530" s="267"/>
      <c r="Q530" s="267"/>
    </row>
    <row r="531" ht="12.75" customHeight="1" spans="1:17">
      <c r="A531" s="265"/>
      <c r="B531" s="265"/>
      <c r="C531" s="265"/>
      <c r="D531" s="265"/>
      <c r="E531" s="265"/>
      <c r="F531" s="265"/>
      <c r="G531" s="266"/>
      <c r="H531" s="265"/>
      <c r="I531" s="266"/>
      <c r="J531" s="265"/>
      <c r="K531" s="266"/>
      <c r="L531" s="266"/>
      <c r="M531" s="266"/>
      <c r="N531" s="265"/>
      <c r="O531" s="265"/>
      <c r="P531" s="267"/>
      <c r="Q531" s="267"/>
    </row>
    <row r="532" ht="12.75" customHeight="1" spans="1:17">
      <c r="A532" s="265"/>
      <c r="B532" s="265"/>
      <c r="C532" s="265"/>
      <c r="D532" s="265"/>
      <c r="E532" s="265"/>
      <c r="F532" s="265"/>
      <c r="G532" s="266"/>
      <c r="H532" s="265"/>
      <c r="I532" s="266"/>
      <c r="J532" s="265"/>
      <c r="K532" s="266"/>
      <c r="L532" s="266"/>
      <c r="M532" s="266"/>
      <c r="N532" s="265"/>
      <c r="O532" s="265"/>
      <c r="P532" s="267"/>
      <c r="Q532" s="267"/>
    </row>
    <row r="533" ht="12.75" customHeight="1" spans="1:17">
      <c r="A533" s="265"/>
      <c r="B533" s="265"/>
      <c r="C533" s="265"/>
      <c r="D533" s="265"/>
      <c r="E533" s="265"/>
      <c r="F533" s="265"/>
      <c r="G533" s="266"/>
      <c r="H533" s="265"/>
      <c r="I533" s="266"/>
      <c r="J533" s="265"/>
      <c r="K533" s="266"/>
      <c r="L533" s="266"/>
      <c r="M533" s="266"/>
      <c r="N533" s="265"/>
      <c r="O533" s="265"/>
      <c r="P533" s="267"/>
      <c r="Q533" s="267"/>
    </row>
    <row r="534" ht="12.75" customHeight="1" spans="1:17">
      <c r="A534" s="265"/>
      <c r="B534" s="265"/>
      <c r="C534" s="265"/>
      <c r="D534" s="265"/>
      <c r="E534" s="265"/>
      <c r="F534" s="265"/>
      <c r="G534" s="266"/>
      <c r="H534" s="265"/>
      <c r="I534" s="266"/>
      <c r="J534" s="265"/>
      <c r="K534" s="266"/>
      <c r="L534" s="266"/>
      <c r="M534" s="266"/>
      <c r="N534" s="265"/>
      <c r="O534" s="265"/>
      <c r="P534" s="267"/>
      <c r="Q534" s="267"/>
    </row>
    <row r="535" ht="12.75" customHeight="1" spans="1:17">
      <c r="A535" s="265"/>
      <c r="B535" s="265"/>
      <c r="C535" s="265"/>
      <c r="D535" s="265"/>
      <c r="E535" s="265"/>
      <c r="F535" s="265"/>
      <c r="G535" s="266"/>
      <c r="H535" s="265"/>
      <c r="I535" s="266"/>
      <c r="J535" s="265"/>
      <c r="K535" s="266"/>
      <c r="L535" s="266"/>
      <c r="M535" s="266"/>
      <c r="N535" s="265"/>
      <c r="O535" s="265"/>
      <c r="P535" s="267"/>
      <c r="Q535" s="267"/>
    </row>
    <row r="536" ht="12.75" customHeight="1" spans="1:17">
      <c r="A536" s="265"/>
      <c r="B536" s="265"/>
      <c r="C536" s="265"/>
      <c r="D536" s="265"/>
      <c r="E536" s="265"/>
      <c r="F536" s="265"/>
      <c r="G536" s="266"/>
      <c r="H536" s="265"/>
      <c r="I536" s="266"/>
      <c r="J536" s="265"/>
      <c r="K536" s="266"/>
      <c r="L536" s="266"/>
      <c r="M536" s="266"/>
      <c r="N536" s="265"/>
      <c r="O536" s="265"/>
      <c r="P536" s="267"/>
      <c r="Q536" s="267"/>
    </row>
    <row r="537" ht="12.75" customHeight="1" spans="1:17">
      <c r="A537" s="265"/>
      <c r="B537" s="265"/>
      <c r="C537" s="265"/>
      <c r="D537" s="265"/>
      <c r="E537" s="265"/>
      <c r="F537" s="265"/>
      <c r="G537" s="266"/>
      <c r="H537" s="265"/>
      <c r="I537" s="266"/>
      <c r="J537" s="265"/>
      <c r="K537" s="266"/>
      <c r="L537" s="266"/>
      <c r="M537" s="266"/>
      <c r="N537" s="265"/>
      <c r="O537" s="265"/>
      <c r="P537" s="267"/>
      <c r="Q537" s="267"/>
    </row>
    <row r="538" ht="12.75" customHeight="1" spans="1:17">
      <c r="A538" s="265"/>
      <c r="B538" s="265"/>
      <c r="C538" s="265"/>
      <c r="D538" s="265"/>
      <c r="E538" s="265"/>
      <c r="F538" s="265"/>
      <c r="G538" s="266"/>
      <c r="H538" s="265"/>
      <c r="I538" s="266"/>
      <c r="J538" s="265"/>
      <c r="K538" s="266"/>
      <c r="L538" s="266"/>
      <c r="M538" s="266"/>
      <c r="N538" s="265"/>
      <c r="O538" s="265"/>
      <c r="P538" s="267"/>
      <c r="Q538" s="267"/>
    </row>
    <row r="539" ht="12.75" customHeight="1" spans="1:17">
      <c r="A539" s="265"/>
      <c r="B539" s="265"/>
      <c r="C539" s="265"/>
      <c r="D539" s="265"/>
      <c r="E539" s="265"/>
      <c r="F539" s="265"/>
      <c r="G539" s="266"/>
      <c r="H539" s="265"/>
      <c r="I539" s="266"/>
      <c r="J539" s="265"/>
      <c r="K539" s="266"/>
      <c r="L539" s="266"/>
      <c r="M539" s="266"/>
      <c r="N539" s="265"/>
      <c r="O539" s="265"/>
      <c r="P539" s="267"/>
      <c r="Q539" s="267"/>
    </row>
    <row r="540" ht="12.75" customHeight="1" spans="1:17">
      <c r="A540" s="265"/>
      <c r="B540" s="265"/>
      <c r="C540" s="265"/>
      <c r="D540" s="265"/>
      <c r="E540" s="265"/>
      <c r="F540" s="265"/>
      <c r="G540" s="266"/>
      <c r="H540" s="265"/>
      <c r="I540" s="266"/>
      <c r="J540" s="265"/>
      <c r="K540" s="266"/>
      <c r="L540" s="266"/>
      <c r="M540" s="266"/>
      <c r="N540" s="265"/>
      <c r="O540" s="265"/>
      <c r="P540" s="267"/>
      <c r="Q540" s="267"/>
    </row>
    <row r="541" ht="12.75" customHeight="1" spans="1:17">
      <c r="A541" s="265"/>
      <c r="B541" s="265"/>
      <c r="C541" s="265"/>
      <c r="D541" s="265"/>
      <c r="E541" s="265"/>
      <c r="F541" s="265"/>
      <c r="G541" s="266"/>
      <c r="H541" s="265"/>
      <c r="I541" s="266"/>
      <c r="J541" s="265"/>
      <c r="K541" s="266"/>
      <c r="L541" s="266"/>
      <c r="M541" s="266"/>
      <c r="N541" s="265"/>
      <c r="O541" s="265"/>
      <c r="P541" s="267"/>
      <c r="Q541" s="267"/>
    </row>
    <row r="542" ht="12.75" customHeight="1" spans="1:17">
      <c r="A542" s="265"/>
      <c r="B542" s="265"/>
      <c r="C542" s="265"/>
      <c r="D542" s="265"/>
      <c r="E542" s="265"/>
      <c r="F542" s="265"/>
      <c r="G542" s="266"/>
      <c r="H542" s="265"/>
      <c r="I542" s="266"/>
      <c r="J542" s="265"/>
      <c r="K542" s="266"/>
      <c r="L542" s="266"/>
      <c r="M542" s="266"/>
      <c r="N542" s="265"/>
      <c r="O542" s="265"/>
      <c r="P542" s="267"/>
      <c r="Q542" s="267"/>
    </row>
    <row r="543" ht="12.75" customHeight="1" spans="1:17">
      <c r="A543" s="265"/>
      <c r="B543" s="265"/>
      <c r="C543" s="265"/>
      <c r="D543" s="265"/>
      <c r="E543" s="265"/>
      <c r="F543" s="265"/>
      <c r="G543" s="266"/>
      <c r="H543" s="265"/>
      <c r="I543" s="266"/>
      <c r="J543" s="265"/>
      <c r="K543" s="266"/>
      <c r="L543" s="266"/>
      <c r="M543" s="266"/>
      <c r="N543" s="265"/>
      <c r="O543" s="265"/>
      <c r="P543" s="267"/>
      <c r="Q543" s="267"/>
    </row>
    <row r="544" ht="12.75" customHeight="1" spans="1:17">
      <c r="A544" s="265"/>
      <c r="B544" s="265"/>
      <c r="C544" s="265"/>
      <c r="D544" s="265"/>
      <c r="E544" s="265"/>
      <c r="F544" s="265"/>
      <c r="G544" s="266"/>
      <c r="H544" s="265"/>
      <c r="I544" s="266"/>
      <c r="J544" s="265"/>
      <c r="K544" s="266"/>
      <c r="L544" s="266"/>
      <c r="M544" s="266"/>
      <c r="N544" s="265"/>
      <c r="O544" s="265"/>
      <c r="P544" s="267"/>
      <c r="Q544" s="267"/>
    </row>
    <row r="545" ht="12.75" customHeight="1" spans="1:17">
      <c r="A545" s="265"/>
      <c r="B545" s="265"/>
      <c r="C545" s="265"/>
      <c r="D545" s="265"/>
      <c r="E545" s="265"/>
      <c r="F545" s="265"/>
      <c r="G545" s="266"/>
      <c r="H545" s="265"/>
      <c r="I545" s="266"/>
      <c r="J545" s="265"/>
      <c r="K545" s="266"/>
      <c r="L545" s="266"/>
      <c r="M545" s="266"/>
      <c r="N545" s="265"/>
      <c r="O545" s="265"/>
      <c r="P545" s="267"/>
      <c r="Q545" s="267"/>
    </row>
    <row r="546" ht="12.75" customHeight="1" spans="1:17">
      <c r="A546" s="265"/>
      <c r="B546" s="265"/>
      <c r="C546" s="265"/>
      <c r="D546" s="265"/>
      <c r="E546" s="265"/>
      <c r="F546" s="265"/>
      <c r="G546" s="266"/>
      <c r="H546" s="265"/>
      <c r="I546" s="266"/>
      <c r="J546" s="265"/>
      <c r="K546" s="266"/>
      <c r="L546" s="266"/>
      <c r="M546" s="266"/>
      <c r="N546" s="265"/>
      <c r="O546" s="265"/>
      <c r="P546" s="267"/>
      <c r="Q546" s="267"/>
    </row>
    <row r="547" ht="12.75" customHeight="1" spans="1:17">
      <c r="A547" s="265"/>
      <c r="B547" s="265"/>
      <c r="C547" s="265"/>
      <c r="D547" s="265"/>
      <c r="E547" s="265"/>
      <c r="F547" s="265"/>
      <c r="G547" s="266"/>
      <c r="H547" s="265"/>
      <c r="I547" s="266"/>
      <c r="J547" s="265"/>
      <c r="K547" s="266"/>
      <c r="L547" s="266"/>
      <c r="M547" s="266"/>
      <c r="N547" s="265"/>
      <c r="O547" s="265"/>
      <c r="P547" s="267"/>
      <c r="Q547" s="267"/>
    </row>
    <row r="548" ht="12.75" customHeight="1" spans="1:17">
      <c r="A548" s="265"/>
      <c r="B548" s="265"/>
      <c r="C548" s="265"/>
      <c r="D548" s="265"/>
      <c r="E548" s="265"/>
      <c r="F548" s="265"/>
      <c r="G548" s="266"/>
      <c r="H548" s="265"/>
      <c r="I548" s="266"/>
      <c r="J548" s="265"/>
      <c r="K548" s="266"/>
      <c r="L548" s="266"/>
      <c r="M548" s="266"/>
      <c r="N548" s="265"/>
      <c r="O548" s="265"/>
      <c r="P548" s="267"/>
      <c r="Q548" s="267"/>
    </row>
    <row r="549" ht="12.75" customHeight="1" spans="1:17">
      <c r="A549" s="265"/>
      <c r="B549" s="265"/>
      <c r="C549" s="265"/>
      <c r="D549" s="265"/>
      <c r="E549" s="265"/>
      <c r="F549" s="265"/>
      <c r="G549" s="266"/>
      <c r="H549" s="265"/>
      <c r="I549" s="266"/>
      <c r="J549" s="265"/>
      <c r="K549" s="266"/>
      <c r="L549" s="266"/>
      <c r="M549" s="266"/>
      <c r="N549" s="265"/>
      <c r="O549" s="265"/>
      <c r="P549" s="267"/>
      <c r="Q549" s="267"/>
    </row>
    <row r="550" ht="12.75" customHeight="1" spans="1:17">
      <c r="A550" s="265"/>
      <c r="B550" s="265"/>
      <c r="C550" s="265"/>
      <c r="D550" s="265"/>
      <c r="E550" s="265"/>
      <c r="F550" s="265"/>
      <c r="G550" s="266"/>
      <c r="H550" s="265"/>
      <c r="I550" s="266"/>
      <c r="J550" s="265"/>
      <c r="K550" s="266"/>
      <c r="L550" s="266"/>
      <c r="M550" s="266"/>
      <c r="N550" s="265"/>
      <c r="O550" s="265"/>
      <c r="P550" s="267"/>
      <c r="Q550" s="267"/>
    </row>
    <row r="551" ht="12.75" customHeight="1" spans="1:17">
      <c r="A551" s="265"/>
      <c r="B551" s="265"/>
      <c r="C551" s="265"/>
      <c r="D551" s="265"/>
      <c r="E551" s="265"/>
      <c r="F551" s="265"/>
      <c r="G551" s="266"/>
      <c r="H551" s="265"/>
      <c r="I551" s="266"/>
      <c r="J551" s="265"/>
      <c r="K551" s="266"/>
      <c r="L551" s="266"/>
      <c r="M551" s="266"/>
      <c r="N551" s="265"/>
      <c r="O551" s="265"/>
      <c r="P551" s="267"/>
      <c r="Q551" s="267"/>
    </row>
    <row r="552" ht="12.75" customHeight="1" spans="1:17">
      <c r="A552" s="265"/>
      <c r="B552" s="265"/>
      <c r="C552" s="265"/>
      <c r="D552" s="265"/>
      <c r="E552" s="265"/>
      <c r="F552" s="265"/>
      <c r="G552" s="266"/>
      <c r="H552" s="265"/>
      <c r="I552" s="266"/>
      <c r="J552" s="265"/>
      <c r="K552" s="266"/>
      <c r="L552" s="266"/>
      <c r="M552" s="266"/>
      <c r="N552" s="265"/>
      <c r="O552" s="265"/>
      <c r="P552" s="267"/>
      <c r="Q552" s="267"/>
    </row>
    <row r="553" ht="12.75" customHeight="1" spans="1:17">
      <c r="A553" s="265"/>
      <c r="B553" s="265"/>
      <c r="C553" s="265"/>
      <c r="D553" s="265"/>
      <c r="E553" s="265"/>
      <c r="F553" s="265"/>
      <c r="G553" s="266"/>
      <c r="H553" s="265"/>
      <c r="I553" s="266"/>
      <c r="J553" s="265"/>
      <c r="K553" s="266"/>
      <c r="L553" s="266"/>
      <c r="M553" s="266"/>
      <c r="N553" s="265"/>
      <c r="O553" s="265"/>
      <c r="P553" s="267"/>
      <c r="Q553" s="267"/>
    </row>
    <row r="554" ht="12.75" customHeight="1" spans="1:17">
      <c r="A554" s="265"/>
      <c r="B554" s="265"/>
      <c r="C554" s="265"/>
      <c r="D554" s="265"/>
      <c r="E554" s="265"/>
      <c r="F554" s="265"/>
      <c r="G554" s="266"/>
      <c r="H554" s="265"/>
      <c r="I554" s="266"/>
      <c r="J554" s="265"/>
      <c r="K554" s="266"/>
      <c r="L554" s="266"/>
      <c r="M554" s="266"/>
      <c r="N554" s="265"/>
      <c r="O554" s="265"/>
      <c r="P554" s="267"/>
      <c r="Q554" s="267"/>
    </row>
    <row r="555" ht="12.75" customHeight="1" spans="1:17">
      <c r="A555" s="265"/>
      <c r="B555" s="265"/>
      <c r="C555" s="265"/>
      <c r="D555" s="265"/>
      <c r="E555" s="265"/>
      <c r="F555" s="265"/>
      <c r="G555" s="266"/>
      <c r="H555" s="265"/>
      <c r="I555" s="266"/>
      <c r="J555" s="265"/>
      <c r="K555" s="266"/>
      <c r="L555" s="266"/>
      <c r="M555" s="266"/>
      <c r="N555" s="265"/>
      <c r="O555" s="265"/>
      <c r="P555" s="267"/>
      <c r="Q555" s="267"/>
    </row>
    <row r="556" ht="12.75" customHeight="1" spans="1:17">
      <c r="A556" s="265"/>
      <c r="B556" s="265"/>
      <c r="C556" s="265"/>
      <c r="D556" s="265"/>
      <c r="E556" s="265"/>
      <c r="F556" s="265"/>
      <c r="G556" s="266"/>
      <c r="H556" s="265"/>
      <c r="I556" s="266"/>
      <c r="J556" s="265"/>
      <c r="K556" s="266"/>
      <c r="L556" s="266"/>
      <c r="M556" s="266"/>
      <c r="N556" s="265"/>
      <c r="O556" s="265"/>
      <c r="P556" s="267"/>
      <c r="Q556" s="267"/>
    </row>
    <row r="557" ht="12.75" customHeight="1" spans="1:17">
      <c r="A557" s="265"/>
      <c r="B557" s="265"/>
      <c r="C557" s="265"/>
      <c r="D557" s="265"/>
      <c r="E557" s="265"/>
      <c r="F557" s="265"/>
      <c r="G557" s="266"/>
      <c r="H557" s="265"/>
      <c r="I557" s="266"/>
      <c r="J557" s="265"/>
      <c r="K557" s="266"/>
      <c r="L557" s="266"/>
      <c r="M557" s="266"/>
      <c r="N557" s="265"/>
      <c r="O557" s="265"/>
      <c r="P557" s="267"/>
      <c r="Q557" s="267"/>
    </row>
    <row r="558" ht="12.75" customHeight="1" spans="1:17">
      <c r="A558" s="265"/>
      <c r="B558" s="265"/>
      <c r="C558" s="265"/>
      <c r="D558" s="265"/>
      <c r="E558" s="265"/>
      <c r="F558" s="265"/>
      <c r="G558" s="266"/>
      <c r="H558" s="265"/>
      <c r="I558" s="266"/>
      <c r="J558" s="265"/>
      <c r="K558" s="266"/>
      <c r="L558" s="266"/>
      <c r="M558" s="266"/>
      <c r="N558" s="265"/>
      <c r="O558" s="265"/>
      <c r="P558" s="267"/>
      <c r="Q558" s="267"/>
    </row>
    <row r="559" ht="12.75" customHeight="1" spans="1:17">
      <c r="A559" s="265"/>
      <c r="B559" s="265"/>
      <c r="C559" s="265"/>
      <c r="D559" s="265"/>
      <c r="E559" s="265"/>
      <c r="F559" s="265"/>
      <c r="G559" s="266"/>
      <c r="H559" s="265"/>
      <c r="I559" s="266"/>
      <c r="J559" s="265"/>
      <c r="K559" s="266"/>
      <c r="L559" s="266"/>
      <c r="M559" s="266"/>
      <c r="N559" s="265"/>
      <c r="O559" s="265"/>
      <c r="P559" s="267"/>
      <c r="Q559" s="267"/>
    </row>
    <row r="560" ht="12.75" customHeight="1" spans="1:17">
      <c r="A560" s="265"/>
      <c r="B560" s="265"/>
      <c r="C560" s="265"/>
      <c r="D560" s="265"/>
      <c r="E560" s="265"/>
      <c r="F560" s="265"/>
      <c r="G560" s="266"/>
      <c r="H560" s="265"/>
      <c r="I560" s="266"/>
      <c r="J560" s="265"/>
      <c r="K560" s="266"/>
      <c r="L560" s="266"/>
      <c r="M560" s="266"/>
      <c r="N560" s="265"/>
      <c r="O560" s="265"/>
      <c r="P560" s="267"/>
      <c r="Q560" s="267"/>
    </row>
    <row r="561" ht="12.75" customHeight="1" spans="1:17">
      <c r="A561" s="265"/>
      <c r="B561" s="265"/>
      <c r="C561" s="265"/>
      <c r="D561" s="265"/>
      <c r="E561" s="265"/>
      <c r="F561" s="265"/>
      <c r="G561" s="266"/>
      <c r="H561" s="265"/>
      <c r="I561" s="266"/>
      <c r="J561" s="265"/>
      <c r="K561" s="266"/>
      <c r="L561" s="266"/>
      <c r="M561" s="266"/>
      <c r="N561" s="265"/>
      <c r="O561" s="265"/>
      <c r="P561" s="267"/>
      <c r="Q561" s="267"/>
    </row>
    <row r="562" ht="12.75" customHeight="1" spans="1:17">
      <c r="A562" s="265"/>
      <c r="B562" s="265"/>
      <c r="C562" s="265"/>
      <c r="D562" s="265"/>
      <c r="E562" s="265"/>
      <c r="F562" s="265"/>
      <c r="G562" s="266"/>
      <c r="H562" s="265"/>
      <c r="I562" s="266"/>
      <c r="J562" s="265"/>
      <c r="K562" s="266"/>
      <c r="L562" s="266"/>
      <c r="M562" s="266"/>
      <c r="N562" s="265"/>
      <c r="O562" s="265"/>
      <c r="P562" s="267"/>
      <c r="Q562" s="267"/>
    </row>
    <row r="563" ht="12.75" customHeight="1" spans="1:17">
      <c r="A563" s="265"/>
      <c r="B563" s="265"/>
      <c r="C563" s="265"/>
      <c r="D563" s="265"/>
      <c r="E563" s="265"/>
      <c r="F563" s="265"/>
      <c r="G563" s="266"/>
      <c r="H563" s="265"/>
      <c r="I563" s="266"/>
      <c r="J563" s="265"/>
      <c r="K563" s="266"/>
      <c r="L563" s="266"/>
      <c r="M563" s="266"/>
      <c r="N563" s="265"/>
      <c r="O563" s="265"/>
      <c r="P563" s="267"/>
      <c r="Q563" s="267"/>
    </row>
    <row r="564" ht="12.75" customHeight="1" spans="1:17">
      <c r="A564" s="265"/>
      <c r="B564" s="265"/>
      <c r="C564" s="265"/>
      <c r="D564" s="265"/>
      <c r="E564" s="265"/>
      <c r="F564" s="265"/>
      <c r="G564" s="266"/>
      <c r="H564" s="265"/>
      <c r="I564" s="266"/>
      <c r="J564" s="265"/>
      <c r="K564" s="266"/>
      <c r="L564" s="266"/>
      <c r="M564" s="266"/>
      <c r="N564" s="265"/>
      <c r="O564" s="265"/>
      <c r="P564" s="267"/>
      <c r="Q564" s="267"/>
    </row>
    <row r="565" ht="12.75" customHeight="1" spans="1:17">
      <c r="A565" s="265"/>
      <c r="B565" s="265"/>
      <c r="C565" s="265"/>
      <c r="D565" s="265"/>
      <c r="E565" s="265"/>
      <c r="F565" s="265"/>
      <c r="G565" s="266"/>
      <c r="H565" s="265"/>
      <c r="I565" s="266"/>
      <c r="J565" s="265"/>
      <c r="K565" s="266"/>
      <c r="L565" s="266"/>
      <c r="M565" s="266"/>
      <c r="N565" s="265"/>
      <c r="O565" s="265"/>
      <c r="P565" s="267"/>
      <c r="Q565" s="267"/>
    </row>
    <row r="566" ht="12.75" customHeight="1" spans="1:17">
      <c r="A566" s="265"/>
      <c r="B566" s="265"/>
      <c r="C566" s="265"/>
      <c r="D566" s="265"/>
      <c r="E566" s="265"/>
      <c r="F566" s="265"/>
      <c r="G566" s="266"/>
      <c r="H566" s="265"/>
      <c r="I566" s="266"/>
      <c r="J566" s="265"/>
      <c r="K566" s="266"/>
      <c r="L566" s="266"/>
      <c r="M566" s="266"/>
      <c r="N566" s="265"/>
      <c r="O566" s="265"/>
      <c r="P566" s="267"/>
      <c r="Q566" s="267"/>
    </row>
    <row r="567" ht="12.75" customHeight="1" spans="1:17">
      <c r="A567" s="265"/>
      <c r="B567" s="265"/>
      <c r="C567" s="265"/>
      <c r="D567" s="265"/>
      <c r="E567" s="265"/>
      <c r="F567" s="265"/>
      <c r="G567" s="266"/>
      <c r="H567" s="265"/>
      <c r="I567" s="266"/>
      <c r="J567" s="265"/>
      <c r="K567" s="266"/>
      <c r="L567" s="266"/>
      <c r="M567" s="266"/>
      <c r="N567" s="265"/>
      <c r="O567" s="265"/>
      <c r="P567" s="267"/>
      <c r="Q567" s="267"/>
    </row>
    <row r="568" ht="12.75" customHeight="1" spans="1:17">
      <c r="A568" s="265"/>
      <c r="B568" s="265"/>
      <c r="C568" s="265"/>
      <c r="D568" s="265"/>
      <c r="E568" s="265"/>
      <c r="F568" s="265"/>
      <c r="G568" s="266"/>
      <c r="H568" s="265"/>
      <c r="I568" s="266"/>
      <c r="J568" s="265"/>
      <c r="K568" s="266"/>
      <c r="L568" s="266"/>
      <c r="M568" s="266"/>
      <c r="N568" s="265"/>
      <c r="O568" s="265"/>
      <c r="P568" s="267"/>
      <c r="Q568" s="267"/>
    </row>
    <row r="569" ht="12.75" customHeight="1" spans="1:17">
      <c r="A569" s="265"/>
      <c r="B569" s="265"/>
      <c r="C569" s="265"/>
      <c r="D569" s="265"/>
      <c r="E569" s="265"/>
      <c r="F569" s="265"/>
      <c r="G569" s="266"/>
      <c r="H569" s="265"/>
      <c r="I569" s="266"/>
      <c r="J569" s="265"/>
      <c r="K569" s="266"/>
      <c r="L569" s="266"/>
      <c r="M569" s="266"/>
      <c r="N569" s="265"/>
      <c r="O569" s="265"/>
      <c r="P569" s="267"/>
      <c r="Q569" s="267"/>
    </row>
    <row r="570" ht="12.75" customHeight="1" spans="1:17">
      <c r="A570" s="265"/>
      <c r="B570" s="265"/>
      <c r="C570" s="265"/>
      <c r="D570" s="265"/>
      <c r="E570" s="265"/>
      <c r="F570" s="265"/>
      <c r="G570" s="266"/>
      <c r="H570" s="265"/>
      <c r="I570" s="266"/>
      <c r="J570" s="265"/>
      <c r="K570" s="266"/>
      <c r="L570" s="266"/>
      <c r="M570" s="266"/>
      <c r="N570" s="265"/>
      <c r="O570" s="265"/>
      <c r="P570" s="267"/>
      <c r="Q570" s="267"/>
    </row>
    <row r="571" ht="12.75" customHeight="1" spans="1:17">
      <c r="A571" s="265"/>
      <c r="B571" s="265"/>
      <c r="C571" s="265"/>
      <c r="D571" s="265"/>
      <c r="E571" s="265"/>
      <c r="F571" s="265"/>
      <c r="G571" s="266"/>
      <c r="H571" s="265"/>
      <c r="I571" s="266"/>
      <c r="J571" s="265"/>
      <c r="K571" s="266"/>
      <c r="L571" s="266"/>
      <c r="M571" s="266"/>
      <c r="N571" s="265"/>
      <c r="O571" s="265"/>
      <c r="P571" s="267"/>
      <c r="Q571" s="267"/>
    </row>
    <row r="572" ht="12.75" customHeight="1" spans="1:17">
      <c r="A572" s="265"/>
      <c r="B572" s="265"/>
      <c r="C572" s="265"/>
      <c r="D572" s="265"/>
      <c r="E572" s="265"/>
      <c r="F572" s="265"/>
      <c r="G572" s="266"/>
      <c r="H572" s="265"/>
      <c r="I572" s="266"/>
      <c r="J572" s="265"/>
      <c r="K572" s="266"/>
      <c r="L572" s="266"/>
      <c r="M572" s="266"/>
      <c r="N572" s="265"/>
      <c r="O572" s="265"/>
      <c r="P572" s="267"/>
      <c r="Q572" s="267"/>
    </row>
    <row r="573" ht="12.75" customHeight="1" spans="1:17">
      <c r="A573" s="265"/>
      <c r="B573" s="265"/>
      <c r="C573" s="265"/>
      <c r="D573" s="265"/>
      <c r="E573" s="265"/>
      <c r="F573" s="265"/>
      <c r="G573" s="266"/>
      <c r="H573" s="265"/>
      <c r="I573" s="266"/>
      <c r="J573" s="265"/>
      <c r="K573" s="266"/>
      <c r="L573" s="266"/>
      <c r="M573" s="266"/>
      <c r="N573" s="265"/>
      <c r="O573" s="265"/>
      <c r="P573" s="267"/>
      <c r="Q573" s="267"/>
    </row>
    <row r="574" ht="12.75" customHeight="1" spans="1:17">
      <c r="A574" s="265"/>
      <c r="B574" s="265"/>
      <c r="C574" s="265"/>
      <c r="D574" s="265"/>
      <c r="E574" s="265"/>
      <c r="F574" s="265"/>
      <c r="G574" s="266"/>
      <c r="H574" s="265"/>
      <c r="I574" s="266"/>
      <c r="J574" s="265"/>
      <c r="K574" s="266"/>
      <c r="L574" s="266"/>
      <c r="M574" s="266"/>
      <c r="N574" s="265"/>
      <c r="O574" s="265"/>
      <c r="P574" s="267"/>
      <c r="Q574" s="267"/>
    </row>
    <row r="575" ht="12.75" customHeight="1" spans="1:17">
      <c r="A575" s="265"/>
      <c r="B575" s="265"/>
      <c r="C575" s="265"/>
      <c r="D575" s="265"/>
      <c r="E575" s="265"/>
      <c r="F575" s="265"/>
      <c r="G575" s="266"/>
      <c r="H575" s="265"/>
      <c r="I575" s="266"/>
      <c r="J575" s="265"/>
      <c r="K575" s="266"/>
      <c r="L575" s="266"/>
      <c r="M575" s="266"/>
      <c r="N575" s="265"/>
      <c r="O575" s="265"/>
      <c r="P575" s="267"/>
      <c r="Q575" s="267"/>
    </row>
    <row r="576" ht="12.75" customHeight="1" spans="1:17">
      <c r="A576" s="265"/>
      <c r="B576" s="265"/>
      <c r="C576" s="265"/>
      <c r="D576" s="265"/>
      <c r="E576" s="265"/>
      <c r="F576" s="265"/>
      <c r="G576" s="266"/>
      <c r="H576" s="265"/>
      <c r="I576" s="266"/>
      <c r="J576" s="265"/>
      <c r="K576" s="266"/>
      <c r="L576" s="266"/>
      <c r="M576" s="266"/>
      <c r="N576" s="265"/>
      <c r="O576" s="265"/>
      <c r="P576" s="267"/>
      <c r="Q576" s="267"/>
    </row>
    <row r="577" ht="12.75" customHeight="1" spans="1:17">
      <c r="A577" s="265"/>
      <c r="B577" s="265"/>
      <c r="C577" s="265"/>
      <c r="D577" s="265"/>
      <c r="E577" s="265"/>
      <c r="F577" s="265"/>
      <c r="G577" s="266"/>
      <c r="H577" s="265"/>
      <c r="I577" s="266"/>
      <c r="J577" s="265"/>
      <c r="K577" s="266"/>
      <c r="L577" s="266"/>
      <c r="M577" s="266"/>
      <c r="N577" s="265"/>
      <c r="O577" s="265"/>
      <c r="P577" s="267"/>
      <c r="Q577" s="267"/>
    </row>
    <row r="578" ht="12.75" customHeight="1" spans="1:17">
      <c r="A578" s="265"/>
      <c r="B578" s="265"/>
      <c r="C578" s="265"/>
      <c r="D578" s="265"/>
      <c r="E578" s="265"/>
      <c r="F578" s="265"/>
      <c r="G578" s="266"/>
      <c r="H578" s="265"/>
      <c r="I578" s="266"/>
      <c r="J578" s="265"/>
      <c r="K578" s="266"/>
      <c r="L578" s="266"/>
      <c r="M578" s="266"/>
      <c r="N578" s="265"/>
      <c r="O578" s="265"/>
      <c r="P578" s="267"/>
      <c r="Q578" s="267"/>
    </row>
    <row r="579" ht="12.75" customHeight="1" spans="1:17">
      <c r="A579" s="265"/>
      <c r="B579" s="265"/>
      <c r="C579" s="265"/>
      <c r="D579" s="265"/>
      <c r="E579" s="265"/>
      <c r="F579" s="265"/>
      <c r="G579" s="266"/>
      <c r="H579" s="265"/>
      <c r="I579" s="266"/>
      <c r="J579" s="265"/>
      <c r="K579" s="266"/>
      <c r="L579" s="266"/>
      <c r="M579" s="266"/>
      <c r="N579" s="265"/>
      <c r="O579" s="265"/>
      <c r="P579" s="267"/>
      <c r="Q579" s="267"/>
    </row>
    <row r="580" ht="12.75" customHeight="1" spans="1:17">
      <c r="A580" s="265"/>
      <c r="B580" s="265"/>
      <c r="C580" s="265"/>
      <c r="D580" s="265"/>
      <c r="E580" s="265"/>
      <c r="F580" s="265"/>
      <c r="G580" s="266"/>
      <c r="H580" s="265"/>
      <c r="I580" s="266"/>
      <c r="J580" s="265"/>
      <c r="K580" s="266"/>
      <c r="L580" s="266"/>
      <c r="M580" s="266"/>
      <c r="N580" s="265"/>
      <c r="O580" s="265"/>
      <c r="P580" s="267"/>
      <c r="Q580" s="267"/>
    </row>
    <row r="581" ht="12.75" customHeight="1" spans="1:17">
      <c r="A581" s="265"/>
      <c r="B581" s="265"/>
      <c r="C581" s="265"/>
      <c r="D581" s="265"/>
      <c r="E581" s="265"/>
      <c r="F581" s="265"/>
      <c r="G581" s="266"/>
      <c r="H581" s="265"/>
      <c r="I581" s="266"/>
      <c r="J581" s="265"/>
      <c r="K581" s="266"/>
      <c r="L581" s="266"/>
      <c r="M581" s="266"/>
      <c r="N581" s="265"/>
      <c r="O581" s="265"/>
      <c r="P581" s="267"/>
      <c r="Q581" s="267"/>
    </row>
    <row r="582" ht="12.75" customHeight="1" spans="1:17">
      <c r="A582" s="265"/>
      <c r="B582" s="265"/>
      <c r="C582" s="265"/>
      <c r="D582" s="265"/>
      <c r="E582" s="265"/>
      <c r="F582" s="265"/>
      <c r="G582" s="266"/>
      <c r="H582" s="265"/>
      <c r="I582" s="266"/>
      <c r="J582" s="265"/>
      <c r="K582" s="266"/>
      <c r="L582" s="266"/>
      <c r="M582" s="266"/>
      <c r="N582" s="265"/>
      <c r="O582" s="265"/>
      <c r="P582" s="267"/>
      <c r="Q582" s="267"/>
    </row>
    <row r="583" ht="12.75" customHeight="1" spans="1:17">
      <c r="A583" s="265"/>
      <c r="B583" s="265"/>
      <c r="C583" s="265"/>
      <c r="D583" s="265"/>
      <c r="E583" s="265"/>
      <c r="F583" s="265"/>
      <c r="G583" s="266"/>
      <c r="H583" s="265"/>
      <c r="I583" s="266"/>
      <c r="J583" s="265"/>
      <c r="K583" s="266"/>
      <c r="L583" s="266"/>
      <c r="M583" s="266"/>
      <c r="N583" s="265"/>
      <c r="O583" s="265"/>
      <c r="P583" s="267"/>
      <c r="Q583" s="267"/>
    </row>
    <row r="584" ht="12.75" customHeight="1" spans="1:17">
      <c r="A584" s="265"/>
      <c r="B584" s="265"/>
      <c r="C584" s="265"/>
      <c r="D584" s="265"/>
      <c r="E584" s="265"/>
      <c r="F584" s="265"/>
      <c r="G584" s="266"/>
      <c r="H584" s="265"/>
      <c r="I584" s="266"/>
      <c r="J584" s="265"/>
      <c r="K584" s="266"/>
      <c r="L584" s="266"/>
      <c r="M584" s="266"/>
      <c r="N584" s="265"/>
      <c r="O584" s="265"/>
      <c r="P584" s="267"/>
      <c r="Q584" s="267"/>
    </row>
    <row r="585" ht="12.75" customHeight="1" spans="1:17">
      <c r="A585" s="265"/>
      <c r="B585" s="265"/>
      <c r="C585" s="265"/>
      <c r="D585" s="265"/>
      <c r="E585" s="265"/>
      <c r="F585" s="265"/>
      <c r="G585" s="266"/>
      <c r="H585" s="265"/>
      <c r="I585" s="266"/>
      <c r="J585" s="265"/>
      <c r="K585" s="266"/>
      <c r="L585" s="266"/>
      <c r="M585" s="266"/>
      <c r="N585" s="265"/>
      <c r="O585" s="265"/>
      <c r="P585" s="267"/>
      <c r="Q585" s="267"/>
    </row>
    <row r="586" ht="12.75" customHeight="1" spans="1:17">
      <c r="A586" s="265"/>
      <c r="B586" s="265"/>
      <c r="C586" s="265"/>
      <c r="D586" s="265"/>
      <c r="E586" s="265"/>
      <c r="F586" s="265"/>
      <c r="G586" s="266"/>
      <c r="H586" s="265"/>
      <c r="I586" s="266"/>
      <c r="J586" s="265"/>
      <c r="K586" s="266"/>
      <c r="L586" s="266"/>
      <c r="M586" s="266"/>
      <c r="N586" s="265"/>
      <c r="O586" s="265"/>
      <c r="P586" s="267"/>
      <c r="Q586" s="267"/>
    </row>
    <row r="587" ht="12.75" customHeight="1" spans="1:17">
      <c r="A587" s="265"/>
      <c r="B587" s="265"/>
      <c r="C587" s="265"/>
      <c r="D587" s="265"/>
      <c r="E587" s="265"/>
      <c r="F587" s="265"/>
      <c r="G587" s="266"/>
      <c r="H587" s="265"/>
      <c r="I587" s="266"/>
      <c r="J587" s="265"/>
      <c r="K587" s="266"/>
      <c r="L587" s="266"/>
      <c r="M587" s="266"/>
      <c r="N587" s="265"/>
      <c r="O587" s="265"/>
      <c r="P587" s="267"/>
      <c r="Q587" s="267"/>
    </row>
    <row r="588" ht="12.75" customHeight="1" spans="1:17">
      <c r="A588" s="265"/>
      <c r="B588" s="265"/>
      <c r="C588" s="265"/>
      <c r="D588" s="265"/>
      <c r="E588" s="265"/>
      <c r="F588" s="265"/>
      <c r="G588" s="266"/>
      <c r="H588" s="265"/>
      <c r="I588" s="266"/>
      <c r="J588" s="265"/>
      <c r="K588" s="266"/>
      <c r="L588" s="266"/>
      <c r="M588" s="266"/>
      <c r="N588" s="265"/>
      <c r="O588" s="265"/>
      <c r="P588" s="267"/>
      <c r="Q588" s="267"/>
    </row>
    <row r="589" ht="12.75" customHeight="1" spans="1:17">
      <c r="A589" s="265"/>
      <c r="B589" s="265"/>
      <c r="C589" s="265"/>
      <c r="D589" s="265"/>
      <c r="E589" s="265"/>
      <c r="F589" s="265"/>
      <c r="G589" s="266"/>
      <c r="H589" s="265"/>
      <c r="I589" s="266"/>
      <c r="J589" s="265"/>
      <c r="K589" s="266"/>
      <c r="L589" s="266"/>
      <c r="M589" s="266"/>
      <c r="N589" s="265"/>
      <c r="O589" s="265"/>
      <c r="P589" s="267"/>
      <c r="Q589" s="267"/>
    </row>
    <row r="590" ht="12.75" customHeight="1" spans="1:17">
      <c r="A590" s="265"/>
      <c r="B590" s="265"/>
      <c r="C590" s="265"/>
      <c r="D590" s="265"/>
      <c r="E590" s="265"/>
      <c r="F590" s="265"/>
      <c r="G590" s="266"/>
      <c r="H590" s="265"/>
      <c r="I590" s="266"/>
      <c r="J590" s="265"/>
      <c r="K590" s="266"/>
      <c r="L590" s="266"/>
      <c r="M590" s="266"/>
      <c r="N590" s="265"/>
      <c r="O590" s="265"/>
      <c r="P590" s="267"/>
      <c r="Q590" s="267"/>
    </row>
    <row r="591" ht="12.75" customHeight="1" spans="1:17">
      <c r="A591" s="265"/>
      <c r="B591" s="265"/>
      <c r="C591" s="265"/>
      <c r="D591" s="265"/>
      <c r="E591" s="265"/>
      <c r="F591" s="265"/>
      <c r="G591" s="266"/>
      <c r="H591" s="265"/>
      <c r="I591" s="266"/>
      <c r="J591" s="265"/>
      <c r="K591" s="266"/>
      <c r="L591" s="266"/>
      <c r="M591" s="266"/>
      <c r="N591" s="265"/>
      <c r="O591" s="265"/>
      <c r="P591" s="267"/>
      <c r="Q591" s="267"/>
    </row>
    <row r="592" ht="12.75" customHeight="1" spans="1:17">
      <c r="A592" s="265"/>
      <c r="B592" s="265"/>
      <c r="C592" s="265"/>
      <c r="D592" s="265"/>
      <c r="E592" s="265"/>
      <c r="F592" s="265"/>
      <c r="G592" s="266"/>
      <c r="H592" s="265"/>
      <c r="I592" s="266"/>
      <c r="J592" s="265"/>
      <c r="K592" s="266"/>
      <c r="L592" s="266"/>
      <c r="M592" s="266"/>
      <c r="N592" s="265"/>
      <c r="O592" s="265"/>
      <c r="P592" s="267"/>
      <c r="Q592" s="267"/>
    </row>
    <row r="593" ht="12.75" customHeight="1" spans="1:17">
      <c r="A593" s="265"/>
      <c r="B593" s="265"/>
      <c r="C593" s="265"/>
      <c r="D593" s="265"/>
      <c r="E593" s="265"/>
      <c r="F593" s="265"/>
      <c r="G593" s="266"/>
      <c r="H593" s="265"/>
      <c r="I593" s="266"/>
      <c r="J593" s="265"/>
      <c r="K593" s="266"/>
      <c r="L593" s="266"/>
      <c r="M593" s="266"/>
      <c r="N593" s="265"/>
      <c r="O593" s="265"/>
      <c r="P593" s="267"/>
      <c r="Q593" s="267"/>
    </row>
    <row r="594" ht="12.75" customHeight="1" spans="1:17">
      <c r="A594" s="265"/>
      <c r="B594" s="265"/>
      <c r="C594" s="265"/>
      <c r="D594" s="265"/>
      <c r="E594" s="265"/>
      <c r="F594" s="265"/>
      <c r="G594" s="266"/>
      <c r="H594" s="265"/>
      <c r="I594" s="266"/>
      <c r="J594" s="265"/>
      <c r="K594" s="266"/>
      <c r="L594" s="266"/>
      <c r="M594" s="266"/>
      <c r="N594" s="265"/>
      <c r="O594" s="265"/>
      <c r="P594" s="267"/>
      <c r="Q594" s="267"/>
    </row>
    <row r="595" ht="12.75" customHeight="1" spans="1:17">
      <c r="A595" s="265"/>
      <c r="B595" s="265"/>
      <c r="C595" s="265"/>
      <c r="D595" s="265"/>
      <c r="E595" s="265"/>
      <c r="F595" s="265"/>
      <c r="G595" s="266"/>
      <c r="H595" s="265"/>
      <c r="I595" s="266"/>
      <c r="J595" s="265"/>
      <c r="K595" s="266"/>
      <c r="L595" s="266"/>
      <c r="M595" s="266"/>
      <c r="N595" s="265"/>
      <c r="O595" s="265"/>
      <c r="P595" s="267"/>
      <c r="Q595" s="267"/>
    </row>
    <row r="596" ht="12.75" customHeight="1" spans="1:17">
      <c r="A596" s="265"/>
      <c r="B596" s="265"/>
      <c r="C596" s="265"/>
      <c r="D596" s="265"/>
      <c r="E596" s="265"/>
      <c r="F596" s="265"/>
      <c r="G596" s="266"/>
      <c r="H596" s="265"/>
      <c r="I596" s="266"/>
      <c r="J596" s="265"/>
      <c r="K596" s="266"/>
      <c r="L596" s="266"/>
      <c r="M596" s="266"/>
      <c r="N596" s="265"/>
      <c r="O596" s="265"/>
      <c r="P596" s="267"/>
      <c r="Q596" s="267"/>
    </row>
    <row r="597" ht="12.75" customHeight="1" spans="1:17">
      <c r="A597" s="265"/>
      <c r="B597" s="265"/>
      <c r="C597" s="265"/>
      <c r="D597" s="265"/>
      <c r="E597" s="265"/>
      <c r="F597" s="265"/>
      <c r="G597" s="266"/>
      <c r="H597" s="265"/>
      <c r="I597" s="266"/>
      <c r="J597" s="265"/>
      <c r="K597" s="266"/>
      <c r="L597" s="266"/>
      <c r="M597" s="266"/>
      <c r="N597" s="265"/>
      <c r="O597" s="265"/>
      <c r="P597" s="267"/>
      <c r="Q597" s="267"/>
    </row>
    <row r="598" ht="12.75" customHeight="1" spans="1:17">
      <c r="A598" s="265"/>
      <c r="B598" s="265"/>
      <c r="C598" s="265"/>
      <c r="D598" s="265"/>
      <c r="E598" s="265"/>
      <c r="F598" s="265"/>
      <c r="G598" s="266"/>
      <c r="H598" s="265"/>
      <c r="I598" s="266"/>
      <c r="J598" s="265"/>
      <c r="K598" s="266"/>
      <c r="L598" s="266"/>
      <c r="M598" s="266"/>
      <c r="N598" s="265"/>
      <c r="O598" s="265"/>
      <c r="P598" s="267"/>
      <c r="Q598" s="267"/>
    </row>
    <row r="599" ht="12.75" customHeight="1" spans="1:17">
      <c r="A599" s="265"/>
      <c r="B599" s="265"/>
      <c r="C599" s="265"/>
      <c r="D599" s="265"/>
      <c r="E599" s="265"/>
      <c r="F599" s="265"/>
      <c r="G599" s="266"/>
      <c r="H599" s="265"/>
      <c r="I599" s="266"/>
      <c r="J599" s="265"/>
      <c r="K599" s="266"/>
      <c r="L599" s="266"/>
      <c r="M599" s="266"/>
      <c r="N599" s="265"/>
      <c r="O599" s="265"/>
      <c r="P599" s="267"/>
      <c r="Q599" s="267"/>
    </row>
    <row r="600" ht="12.75" customHeight="1" spans="1:17">
      <c r="A600" s="265"/>
      <c r="B600" s="265"/>
      <c r="C600" s="265"/>
      <c r="D600" s="265"/>
      <c r="E600" s="265"/>
      <c r="F600" s="265"/>
      <c r="G600" s="266"/>
      <c r="H600" s="265"/>
      <c r="I600" s="266"/>
      <c r="J600" s="265"/>
      <c r="K600" s="266"/>
      <c r="L600" s="266"/>
      <c r="M600" s="266"/>
      <c r="N600" s="265"/>
      <c r="O600" s="265"/>
      <c r="P600" s="267"/>
      <c r="Q600" s="267"/>
    </row>
    <row r="601" ht="12.75" customHeight="1" spans="1:17">
      <c r="A601" s="265"/>
      <c r="B601" s="265"/>
      <c r="C601" s="265"/>
      <c r="D601" s="265"/>
      <c r="E601" s="265"/>
      <c r="F601" s="265"/>
      <c r="G601" s="266"/>
      <c r="H601" s="265"/>
      <c r="I601" s="266"/>
      <c r="J601" s="265"/>
      <c r="K601" s="266"/>
      <c r="L601" s="266"/>
      <c r="M601" s="266"/>
      <c r="N601" s="265"/>
      <c r="O601" s="265"/>
      <c r="P601" s="267"/>
      <c r="Q601" s="267"/>
    </row>
    <row r="602" ht="12.75" customHeight="1" spans="1:17">
      <c r="A602" s="265"/>
      <c r="B602" s="265"/>
      <c r="C602" s="265"/>
      <c r="D602" s="265"/>
      <c r="E602" s="265"/>
      <c r="F602" s="265"/>
      <c r="G602" s="266"/>
      <c r="H602" s="265"/>
      <c r="I602" s="266"/>
      <c r="J602" s="265"/>
      <c r="K602" s="266"/>
      <c r="L602" s="266"/>
      <c r="M602" s="266"/>
      <c r="N602" s="265"/>
      <c r="O602" s="265"/>
      <c r="P602" s="267"/>
      <c r="Q602" s="267"/>
    </row>
    <row r="603" ht="12.75" customHeight="1" spans="1:17">
      <c r="A603" s="265"/>
      <c r="B603" s="265"/>
      <c r="C603" s="265"/>
      <c r="D603" s="265"/>
      <c r="E603" s="265"/>
      <c r="F603" s="265"/>
      <c r="G603" s="266"/>
      <c r="H603" s="265"/>
      <c r="I603" s="266"/>
      <c r="J603" s="265"/>
      <c r="K603" s="266"/>
      <c r="L603" s="266"/>
      <c r="M603" s="266"/>
      <c r="N603" s="265"/>
      <c r="O603" s="265"/>
      <c r="P603" s="267"/>
      <c r="Q603" s="267"/>
    </row>
    <row r="604" ht="12.75" customHeight="1" spans="1:17">
      <c r="A604" s="265"/>
      <c r="B604" s="265"/>
      <c r="C604" s="265"/>
      <c r="D604" s="265"/>
      <c r="E604" s="265"/>
      <c r="F604" s="265"/>
      <c r="G604" s="266"/>
      <c r="H604" s="265"/>
      <c r="I604" s="266"/>
      <c r="J604" s="265"/>
      <c r="K604" s="266"/>
      <c r="L604" s="266"/>
      <c r="M604" s="266"/>
      <c r="N604" s="265"/>
      <c r="O604" s="265"/>
      <c r="P604" s="267"/>
      <c r="Q604" s="267"/>
    </row>
    <row r="605" ht="12.75" customHeight="1" spans="1:17">
      <c r="A605" s="265"/>
      <c r="B605" s="265"/>
      <c r="C605" s="265"/>
      <c r="D605" s="265"/>
      <c r="E605" s="265"/>
      <c r="F605" s="265"/>
      <c r="G605" s="266"/>
      <c r="H605" s="265"/>
      <c r="I605" s="266"/>
      <c r="J605" s="265"/>
      <c r="K605" s="266"/>
      <c r="L605" s="266"/>
      <c r="M605" s="266"/>
      <c r="N605" s="265"/>
      <c r="O605" s="265"/>
      <c r="P605" s="267"/>
      <c r="Q605" s="267"/>
    </row>
    <row r="606" ht="12.75" customHeight="1" spans="1:17">
      <c r="A606" s="265"/>
      <c r="B606" s="265"/>
      <c r="C606" s="265"/>
      <c r="D606" s="265"/>
      <c r="E606" s="265"/>
      <c r="F606" s="265"/>
      <c r="G606" s="266"/>
      <c r="H606" s="265"/>
      <c r="I606" s="266"/>
      <c r="J606" s="265"/>
      <c r="K606" s="266"/>
      <c r="L606" s="266"/>
      <c r="M606" s="266"/>
      <c r="N606" s="265"/>
      <c r="O606" s="265"/>
      <c r="P606" s="267"/>
      <c r="Q606" s="267"/>
    </row>
    <row r="607" ht="12.75" customHeight="1" spans="1:17">
      <c r="A607" s="265"/>
      <c r="B607" s="265"/>
      <c r="C607" s="265"/>
      <c r="D607" s="265"/>
      <c r="E607" s="265"/>
      <c r="F607" s="265"/>
      <c r="G607" s="266"/>
      <c r="H607" s="265"/>
      <c r="I607" s="266"/>
      <c r="J607" s="265"/>
      <c r="K607" s="266"/>
      <c r="L607" s="266"/>
      <c r="M607" s="266"/>
      <c r="N607" s="265"/>
      <c r="O607" s="265"/>
      <c r="P607" s="267"/>
      <c r="Q607" s="267"/>
    </row>
    <row r="608" ht="12.75" customHeight="1" spans="1:17">
      <c r="A608" s="265"/>
      <c r="B608" s="265"/>
      <c r="C608" s="265"/>
      <c r="D608" s="265"/>
      <c r="E608" s="265"/>
      <c r="F608" s="265"/>
      <c r="G608" s="266"/>
      <c r="H608" s="265"/>
      <c r="I608" s="266"/>
      <c r="J608" s="265"/>
      <c r="K608" s="266"/>
      <c r="L608" s="266"/>
      <c r="M608" s="266"/>
      <c r="N608" s="265"/>
      <c r="O608" s="265"/>
      <c r="P608" s="267"/>
      <c r="Q608" s="267"/>
    </row>
    <row r="609" ht="12.75" customHeight="1" spans="1:17">
      <c r="A609" s="265"/>
      <c r="B609" s="265"/>
      <c r="C609" s="265"/>
      <c r="D609" s="265"/>
      <c r="E609" s="265"/>
      <c r="F609" s="265"/>
      <c r="G609" s="266"/>
      <c r="H609" s="265"/>
      <c r="I609" s="266"/>
      <c r="J609" s="265"/>
      <c r="K609" s="266"/>
      <c r="L609" s="266"/>
      <c r="M609" s="266"/>
      <c r="N609" s="265"/>
      <c r="O609" s="265"/>
      <c r="P609" s="267"/>
      <c r="Q609" s="267"/>
    </row>
    <row r="610" ht="12.75" customHeight="1" spans="1:17">
      <c r="A610" s="265"/>
      <c r="B610" s="265"/>
      <c r="C610" s="265"/>
      <c r="D610" s="265"/>
      <c r="E610" s="265"/>
      <c r="F610" s="265"/>
      <c r="G610" s="266"/>
      <c r="H610" s="265"/>
      <c r="I610" s="266"/>
      <c r="J610" s="265"/>
      <c r="K610" s="266"/>
      <c r="L610" s="266"/>
      <c r="M610" s="266"/>
      <c r="N610" s="265"/>
      <c r="O610" s="265"/>
      <c r="P610" s="267"/>
      <c r="Q610" s="267"/>
    </row>
    <row r="611" ht="12.75" customHeight="1" spans="1:17">
      <c r="A611" s="265"/>
      <c r="B611" s="265"/>
      <c r="C611" s="265"/>
      <c r="D611" s="265"/>
      <c r="E611" s="265"/>
      <c r="F611" s="265"/>
      <c r="G611" s="266"/>
      <c r="H611" s="265"/>
      <c r="I611" s="266"/>
      <c r="J611" s="265"/>
      <c r="K611" s="266"/>
      <c r="L611" s="266"/>
      <c r="M611" s="266"/>
      <c r="N611" s="265"/>
      <c r="O611" s="265"/>
      <c r="P611" s="267"/>
      <c r="Q611" s="267"/>
    </row>
    <row r="612" ht="12.75" customHeight="1" spans="1:17">
      <c r="A612" s="265"/>
      <c r="B612" s="265"/>
      <c r="C612" s="265"/>
      <c r="D612" s="265"/>
      <c r="E612" s="265"/>
      <c r="F612" s="265"/>
      <c r="G612" s="266"/>
      <c r="H612" s="265"/>
      <c r="I612" s="266"/>
      <c r="J612" s="265"/>
      <c r="K612" s="266"/>
      <c r="L612" s="266"/>
      <c r="M612" s="266"/>
      <c r="N612" s="265"/>
      <c r="O612" s="265"/>
      <c r="P612" s="267"/>
      <c r="Q612" s="267"/>
    </row>
    <row r="613" ht="12.75" customHeight="1" spans="1:17">
      <c r="A613" s="265"/>
      <c r="B613" s="265"/>
      <c r="C613" s="265"/>
      <c r="D613" s="265"/>
      <c r="E613" s="265"/>
      <c r="F613" s="265"/>
      <c r="G613" s="266"/>
      <c r="H613" s="265"/>
      <c r="I613" s="266"/>
      <c r="J613" s="265"/>
      <c r="K613" s="266"/>
      <c r="L613" s="266"/>
      <c r="M613" s="266"/>
      <c r="N613" s="265"/>
      <c r="O613" s="265"/>
      <c r="P613" s="267"/>
      <c r="Q613" s="267"/>
    </row>
    <row r="614" ht="12.75" customHeight="1" spans="1:17">
      <c r="A614" s="265"/>
      <c r="B614" s="265"/>
      <c r="C614" s="265"/>
      <c r="D614" s="265"/>
      <c r="E614" s="265"/>
      <c r="F614" s="265"/>
      <c r="G614" s="266"/>
      <c r="H614" s="265"/>
      <c r="I614" s="266"/>
      <c r="J614" s="265"/>
      <c r="K614" s="266"/>
      <c r="L614" s="266"/>
      <c r="M614" s="266"/>
      <c r="N614" s="265"/>
      <c r="O614" s="265"/>
      <c r="P614" s="267"/>
      <c r="Q614" s="267"/>
    </row>
    <row r="615" ht="12.75" customHeight="1" spans="1:17">
      <c r="A615" s="265"/>
      <c r="B615" s="265"/>
      <c r="C615" s="265"/>
      <c r="D615" s="265"/>
      <c r="E615" s="265"/>
      <c r="F615" s="265"/>
      <c r="G615" s="266"/>
      <c r="H615" s="265"/>
      <c r="I615" s="266"/>
      <c r="J615" s="265"/>
      <c r="K615" s="266"/>
      <c r="L615" s="266"/>
      <c r="M615" s="266"/>
      <c r="N615" s="265"/>
      <c r="O615" s="265"/>
      <c r="P615" s="267"/>
      <c r="Q615" s="267"/>
    </row>
    <row r="616" ht="12.75" customHeight="1" spans="1:17">
      <c r="A616" s="265"/>
      <c r="B616" s="265"/>
      <c r="C616" s="265"/>
      <c r="D616" s="265"/>
      <c r="E616" s="265"/>
      <c r="F616" s="265"/>
      <c r="G616" s="266"/>
      <c r="H616" s="265"/>
      <c r="I616" s="266"/>
      <c r="J616" s="265"/>
      <c r="K616" s="266"/>
      <c r="L616" s="266"/>
      <c r="M616" s="266"/>
      <c r="N616" s="265"/>
      <c r="O616" s="265"/>
      <c r="P616" s="267"/>
      <c r="Q616" s="267"/>
    </row>
    <row r="617" ht="12.75" customHeight="1" spans="1:17">
      <c r="A617" s="265"/>
      <c r="B617" s="265"/>
      <c r="C617" s="265"/>
      <c r="D617" s="265"/>
      <c r="E617" s="265"/>
      <c r="F617" s="265"/>
      <c r="G617" s="266"/>
      <c r="H617" s="265"/>
      <c r="I617" s="266"/>
      <c r="J617" s="265"/>
      <c r="K617" s="266"/>
      <c r="L617" s="266"/>
      <c r="M617" s="266"/>
      <c r="N617" s="265"/>
      <c r="O617" s="265"/>
      <c r="P617" s="267"/>
      <c r="Q617" s="267"/>
    </row>
    <row r="618" ht="12.75" customHeight="1" spans="1:17">
      <c r="A618" s="265"/>
      <c r="B618" s="265"/>
      <c r="C618" s="265"/>
      <c r="D618" s="265"/>
      <c r="E618" s="265"/>
      <c r="F618" s="265"/>
      <c r="G618" s="266"/>
      <c r="H618" s="265"/>
      <c r="I618" s="266"/>
      <c r="J618" s="265"/>
      <c r="K618" s="266"/>
      <c r="L618" s="266"/>
      <c r="M618" s="266"/>
      <c r="N618" s="265"/>
      <c r="O618" s="265"/>
      <c r="P618" s="267"/>
      <c r="Q618" s="267"/>
    </row>
    <row r="619" ht="12.75" customHeight="1" spans="1:17">
      <c r="A619" s="265"/>
      <c r="B619" s="265"/>
      <c r="C619" s="265"/>
      <c r="D619" s="265"/>
      <c r="E619" s="265"/>
      <c r="F619" s="265"/>
      <c r="G619" s="266"/>
      <c r="H619" s="265"/>
      <c r="I619" s="266"/>
      <c r="J619" s="265"/>
      <c r="K619" s="266"/>
      <c r="L619" s="266"/>
      <c r="M619" s="266"/>
      <c r="N619" s="265"/>
      <c r="O619" s="265"/>
      <c r="P619" s="267"/>
      <c r="Q619" s="267"/>
    </row>
    <row r="620" ht="12.75" customHeight="1" spans="1:17">
      <c r="A620" s="265"/>
      <c r="B620" s="265"/>
      <c r="C620" s="265"/>
      <c r="D620" s="265"/>
      <c r="E620" s="265"/>
      <c r="F620" s="265"/>
      <c r="G620" s="266"/>
      <c r="H620" s="265"/>
      <c r="I620" s="266"/>
      <c r="J620" s="265"/>
      <c r="K620" s="266"/>
      <c r="L620" s="266"/>
      <c r="M620" s="266"/>
      <c r="N620" s="265"/>
      <c r="O620" s="265"/>
      <c r="P620" s="267"/>
      <c r="Q620" s="267"/>
    </row>
    <row r="621" ht="12.75" customHeight="1" spans="1:17">
      <c r="A621" s="265"/>
      <c r="B621" s="265"/>
      <c r="C621" s="265"/>
      <c r="D621" s="265"/>
      <c r="E621" s="265"/>
      <c r="F621" s="265"/>
      <c r="G621" s="266"/>
      <c r="H621" s="265"/>
      <c r="I621" s="266"/>
      <c r="J621" s="265"/>
      <c r="K621" s="266"/>
      <c r="L621" s="266"/>
      <c r="M621" s="266"/>
      <c r="N621" s="265"/>
      <c r="O621" s="265"/>
      <c r="P621" s="267"/>
      <c r="Q621" s="267"/>
    </row>
    <row r="622" ht="12.75" customHeight="1" spans="1:17">
      <c r="A622" s="265"/>
      <c r="B622" s="265"/>
      <c r="C622" s="265"/>
      <c r="D622" s="265"/>
      <c r="E622" s="265"/>
      <c r="F622" s="265"/>
      <c r="G622" s="266"/>
      <c r="H622" s="265"/>
      <c r="I622" s="266"/>
      <c r="J622" s="265"/>
      <c r="K622" s="266"/>
      <c r="L622" s="266"/>
      <c r="M622" s="266"/>
      <c r="N622" s="265"/>
      <c r="O622" s="265"/>
      <c r="P622" s="267"/>
      <c r="Q622" s="267"/>
    </row>
    <row r="623" ht="12.75" customHeight="1" spans="1:17">
      <c r="A623" s="265"/>
      <c r="B623" s="265"/>
      <c r="C623" s="265"/>
      <c r="D623" s="265"/>
      <c r="E623" s="265"/>
      <c r="F623" s="265"/>
      <c r="G623" s="266"/>
      <c r="H623" s="265"/>
      <c r="I623" s="266"/>
      <c r="J623" s="265"/>
      <c r="K623" s="266"/>
      <c r="L623" s="266"/>
      <c r="M623" s="266"/>
      <c r="N623" s="265"/>
      <c r="O623" s="265"/>
      <c r="P623" s="267"/>
      <c r="Q623" s="267"/>
    </row>
    <row r="624" ht="12.75" customHeight="1" spans="1:17">
      <c r="A624" s="265"/>
      <c r="B624" s="265"/>
      <c r="C624" s="265"/>
      <c r="D624" s="265"/>
      <c r="E624" s="265"/>
      <c r="F624" s="265"/>
      <c r="G624" s="266"/>
      <c r="H624" s="265"/>
      <c r="I624" s="266"/>
      <c r="J624" s="265"/>
      <c r="K624" s="266"/>
      <c r="L624" s="266"/>
      <c r="M624" s="266"/>
      <c r="N624" s="265"/>
      <c r="O624" s="265"/>
      <c r="P624" s="267"/>
      <c r="Q624" s="267"/>
    </row>
    <row r="625" ht="12.75" customHeight="1" spans="1:17">
      <c r="A625" s="265"/>
      <c r="B625" s="265"/>
      <c r="C625" s="265"/>
      <c r="D625" s="265"/>
      <c r="E625" s="265"/>
      <c r="F625" s="265"/>
      <c r="G625" s="266"/>
      <c r="H625" s="265"/>
      <c r="I625" s="266"/>
      <c r="J625" s="265"/>
      <c r="K625" s="266"/>
      <c r="L625" s="266"/>
      <c r="M625" s="266"/>
      <c r="N625" s="265"/>
      <c r="O625" s="265"/>
      <c r="P625" s="267"/>
      <c r="Q625" s="267"/>
    </row>
    <row r="626" ht="12.75" customHeight="1" spans="1:17">
      <c r="A626" s="265"/>
      <c r="B626" s="265"/>
      <c r="C626" s="265"/>
      <c r="D626" s="265"/>
      <c r="E626" s="265"/>
      <c r="F626" s="265"/>
      <c r="G626" s="266"/>
      <c r="H626" s="265"/>
      <c r="I626" s="266"/>
      <c r="J626" s="265"/>
      <c r="K626" s="266"/>
      <c r="L626" s="266"/>
      <c r="M626" s="266"/>
      <c r="N626" s="265"/>
      <c r="O626" s="265"/>
      <c r="P626" s="267"/>
      <c r="Q626" s="267"/>
    </row>
    <row r="627" ht="12.75" customHeight="1" spans="1:17">
      <c r="A627" s="265"/>
      <c r="B627" s="265"/>
      <c r="C627" s="265"/>
      <c r="D627" s="265"/>
      <c r="E627" s="265"/>
      <c r="F627" s="265"/>
      <c r="G627" s="266"/>
      <c r="H627" s="265"/>
      <c r="I627" s="266"/>
      <c r="J627" s="265"/>
      <c r="K627" s="266"/>
      <c r="L627" s="266"/>
      <c r="M627" s="266"/>
      <c r="N627" s="265"/>
      <c r="O627" s="265"/>
      <c r="P627" s="267"/>
      <c r="Q627" s="267"/>
    </row>
    <row r="628" ht="12.75" customHeight="1" spans="1:17">
      <c r="A628" s="265"/>
      <c r="B628" s="265"/>
      <c r="C628" s="265"/>
      <c r="D628" s="265"/>
      <c r="E628" s="265"/>
      <c r="F628" s="265"/>
      <c r="G628" s="266"/>
      <c r="H628" s="265"/>
      <c r="I628" s="266"/>
      <c r="J628" s="265"/>
      <c r="K628" s="266"/>
      <c r="L628" s="266"/>
      <c r="M628" s="266"/>
      <c r="N628" s="265"/>
      <c r="O628" s="265"/>
      <c r="P628" s="267"/>
      <c r="Q628" s="267"/>
    </row>
    <row r="629" ht="12.75" customHeight="1" spans="1:17">
      <c r="A629" s="265"/>
      <c r="B629" s="265"/>
      <c r="C629" s="265"/>
      <c r="D629" s="265"/>
      <c r="E629" s="265"/>
      <c r="F629" s="265"/>
      <c r="G629" s="266"/>
      <c r="H629" s="265"/>
      <c r="I629" s="266"/>
      <c r="J629" s="265"/>
      <c r="K629" s="266"/>
      <c r="L629" s="266"/>
      <c r="M629" s="266"/>
      <c r="N629" s="265"/>
      <c r="O629" s="265"/>
      <c r="P629" s="267"/>
      <c r="Q629" s="267"/>
    </row>
    <row r="630" ht="12.75" customHeight="1" spans="1:17">
      <c r="A630" s="265"/>
      <c r="B630" s="265"/>
      <c r="C630" s="265"/>
      <c r="D630" s="265"/>
      <c r="E630" s="265"/>
      <c r="F630" s="265"/>
      <c r="G630" s="266"/>
      <c r="H630" s="265"/>
      <c r="I630" s="266"/>
      <c r="J630" s="265"/>
      <c r="K630" s="266"/>
      <c r="L630" s="266"/>
      <c r="M630" s="266"/>
      <c r="N630" s="265"/>
      <c r="O630" s="265"/>
      <c r="P630" s="267"/>
      <c r="Q630" s="267"/>
    </row>
    <row r="631" ht="12.75" customHeight="1" spans="1:17">
      <c r="A631" s="265"/>
      <c r="B631" s="265"/>
      <c r="C631" s="265"/>
      <c r="D631" s="265"/>
      <c r="E631" s="265"/>
      <c r="F631" s="265"/>
      <c r="G631" s="266"/>
      <c r="H631" s="265"/>
      <c r="I631" s="266"/>
      <c r="J631" s="265"/>
      <c r="K631" s="266"/>
      <c r="L631" s="266"/>
      <c r="M631" s="266"/>
      <c r="N631" s="265"/>
      <c r="O631" s="265"/>
      <c r="P631" s="267"/>
      <c r="Q631" s="267"/>
    </row>
    <row r="632" ht="12.75" customHeight="1" spans="1:17">
      <c r="A632" s="265"/>
      <c r="B632" s="265"/>
      <c r="C632" s="265"/>
      <c r="D632" s="265"/>
      <c r="E632" s="265"/>
      <c r="F632" s="265"/>
      <c r="G632" s="266"/>
      <c r="H632" s="265"/>
      <c r="I632" s="266"/>
      <c r="J632" s="265"/>
      <c r="K632" s="266"/>
      <c r="L632" s="266"/>
      <c r="M632" s="266"/>
      <c r="N632" s="265"/>
      <c r="O632" s="265"/>
      <c r="P632" s="267"/>
      <c r="Q632" s="267"/>
    </row>
    <row r="633" ht="12.75" customHeight="1" spans="1:17">
      <c r="A633" s="265"/>
      <c r="B633" s="265"/>
      <c r="C633" s="265"/>
      <c r="D633" s="265"/>
      <c r="E633" s="265"/>
      <c r="F633" s="265"/>
      <c r="G633" s="266"/>
      <c r="H633" s="265"/>
      <c r="I633" s="266"/>
      <c r="J633" s="265"/>
      <c r="K633" s="266"/>
      <c r="L633" s="266"/>
      <c r="M633" s="266"/>
      <c r="N633" s="265"/>
      <c r="O633" s="265"/>
      <c r="P633" s="267"/>
      <c r="Q633" s="267"/>
    </row>
    <row r="634" ht="12.75" customHeight="1" spans="1:17">
      <c r="A634" s="265"/>
      <c r="B634" s="265"/>
      <c r="C634" s="265"/>
      <c r="D634" s="265"/>
      <c r="E634" s="265"/>
      <c r="F634" s="265"/>
      <c r="G634" s="266"/>
      <c r="H634" s="265"/>
      <c r="I634" s="266"/>
      <c r="J634" s="265"/>
      <c r="K634" s="266"/>
      <c r="L634" s="266"/>
      <c r="M634" s="266"/>
      <c r="N634" s="265"/>
      <c r="O634" s="265"/>
      <c r="P634" s="267"/>
      <c r="Q634" s="267"/>
    </row>
    <row r="635" ht="12.75" customHeight="1" spans="1:17">
      <c r="A635" s="265"/>
      <c r="B635" s="265"/>
      <c r="C635" s="265"/>
      <c r="D635" s="265"/>
      <c r="E635" s="265"/>
      <c r="F635" s="265"/>
      <c r="G635" s="266"/>
      <c r="H635" s="265"/>
      <c r="I635" s="266"/>
      <c r="J635" s="265"/>
      <c r="K635" s="266"/>
      <c r="L635" s="266"/>
      <c r="M635" s="266"/>
      <c r="N635" s="265"/>
      <c r="O635" s="265"/>
      <c r="P635" s="267"/>
      <c r="Q635" s="267"/>
    </row>
    <row r="636" ht="12.75" customHeight="1" spans="1:17">
      <c r="A636" s="265"/>
      <c r="B636" s="265"/>
      <c r="C636" s="265"/>
      <c r="D636" s="265"/>
      <c r="E636" s="265"/>
      <c r="F636" s="265"/>
      <c r="G636" s="266"/>
      <c r="H636" s="265"/>
      <c r="I636" s="266"/>
      <c r="J636" s="265"/>
      <c r="K636" s="266"/>
      <c r="L636" s="266"/>
      <c r="M636" s="266"/>
      <c r="N636" s="265"/>
      <c r="O636" s="265"/>
      <c r="P636" s="267"/>
      <c r="Q636" s="267"/>
    </row>
    <row r="637" ht="12.75" customHeight="1" spans="1:17">
      <c r="A637" s="265"/>
      <c r="B637" s="265"/>
      <c r="C637" s="265"/>
      <c r="D637" s="265"/>
      <c r="E637" s="265"/>
      <c r="F637" s="265"/>
      <c r="G637" s="266"/>
      <c r="H637" s="265"/>
      <c r="I637" s="266"/>
      <c r="J637" s="265"/>
      <c r="K637" s="266"/>
      <c r="L637" s="266"/>
      <c r="M637" s="266"/>
      <c r="N637" s="265"/>
      <c r="O637" s="265"/>
      <c r="P637" s="267"/>
      <c r="Q637" s="267"/>
    </row>
    <row r="638" ht="12.75" customHeight="1" spans="1:17">
      <c r="A638" s="265"/>
      <c r="B638" s="265"/>
      <c r="C638" s="265"/>
      <c r="D638" s="265"/>
      <c r="E638" s="265"/>
      <c r="F638" s="265"/>
      <c r="G638" s="266"/>
      <c r="H638" s="265"/>
      <c r="I638" s="266"/>
      <c r="J638" s="265"/>
      <c r="K638" s="266"/>
      <c r="L638" s="266"/>
      <c r="M638" s="266"/>
      <c r="N638" s="265"/>
      <c r="O638" s="265"/>
      <c r="P638" s="267"/>
      <c r="Q638" s="267"/>
    </row>
    <row r="639" ht="12.75" customHeight="1" spans="1:17">
      <c r="A639" s="265"/>
      <c r="B639" s="265"/>
      <c r="C639" s="265"/>
      <c r="D639" s="265"/>
      <c r="E639" s="265"/>
      <c r="F639" s="265"/>
      <c r="G639" s="266"/>
      <c r="H639" s="265"/>
      <c r="I639" s="266"/>
      <c r="J639" s="265"/>
      <c r="K639" s="266"/>
      <c r="L639" s="266"/>
      <c r="M639" s="266"/>
      <c r="N639" s="265"/>
      <c r="O639" s="265"/>
      <c r="P639" s="267"/>
      <c r="Q639" s="267"/>
    </row>
    <row r="640" ht="12.75" customHeight="1" spans="1:17">
      <c r="A640" s="265"/>
      <c r="B640" s="265"/>
      <c r="C640" s="265"/>
      <c r="D640" s="265"/>
      <c r="E640" s="265"/>
      <c r="F640" s="265"/>
      <c r="G640" s="266"/>
      <c r="H640" s="265"/>
      <c r="I640" s="266"/>
      <c r="J640" s="265"/>
      <c r="K640" s="266"/>
      <c r="L640" s="266"/>
      <c r="M640" s="266"/>
      <c r="N640" s="265"/>
      <c r="O640" s="265"/>
      <c r="P640" s="267"/>
      <c r="Q640" s="267"/>
    </row>
    <row r="641" ht="12.75" customHeight="1" spans="1:17">
      <c r="A641" s="265"/>
      <c r="B641" s="265"/>
      <c r="C641" s="265"/>
      <c r="D641" s="265"/>
      <c r="E641" s="265"/>
      <c r="F641" s="265"/>
      <c r="G641" s="266"/>
      <c r="H641" s="265"/>
      <c r="I641" s="266"/>
      <c r="J641" s="265"/>
      <c r="K641" s="266"/>
      <c r="L641" s="266"/>
      <c r="M641" s="266"/>
      <c r="N641" s="265"/>
      <c r="O641" s="265"/>
      <c r="P641" s="267"/>
      <c r="Q641" s="267"/>
    </row>
    <row r="642" ht="12.75" customHeight="1" spans="1:17">
      <c r="A642" s="265"/>
      <c r="B642" s="265"/>
      <c r="C642" s="265"/>
      <c r="D642" s="265"/>
      <c r="E642" s="265"/>
      <c r="F642" s="265"/>
      <c r="G642" s="266"/>
      <c r="H642" s="265"/>
      <c r="I642" s="266"/>
      <c r="J642" s="265"/>
      <c r="K642" s="266"/>
      <c r="L642" s="266"/>
      <c r="M642" s="266"/>
      <c r="N642" s="265"/>
      <c r="O642" s="265"/>
      <c r="P642" s="267"/>
      <c r="Q642" s="267"/>
    </row>
    <row r="643" ht="12.75" customHeight="1" spans="1:17">
      <c r="A643" s="265"/>
      <c r="B643" s="265"/>
      <c r="C643" s="265"/>
      <c r="D643" s="265"/>
      <c r="E643" s="265"/>
      <c r="F643" s="265"/>
      <c r="G643" s="266"/>
      <c r="H643" s="265"/>
      <c r="I643" s="266"/>
      <c r="J643" s="265"/>
      <c r="K643" s="266"/>
      <c r="L643" s="266"/>
      <c r="M643" s="266"/>
      <c r="N643" s="265"/>
      <c r="O643" s="265"/>
      <c r="P643" s="267"/>
      <c r="Q643" s="267"/>
    </row>
    <row r="644" ht="12.75" customHeight="1" spans="1:17">
      <c r="A644" s="265"/>
      <c r="B644" s="265"/>
      <c r="C644" s="265"/>
      <c r="D644" s="265"/>
      <c r="E644" s="265"/>
      <c r="F644" s="265"/>
      <c r="G644" s="266"/>
      <c r="H644" s="265"/>
      <c r="I644" s="266"/>
      <c r="J644" s="265"/>
      <c r="K644" s="266"/>
      <c r="L644" s="266"/>
      <c r="M644" s="266"/>
      <c r="N644" s="265"/>
      <c r="O644" s="265"/>
      <c r="P644" s="267"/>
      <c r="Q644" s="267"/>
    </row>
    <row r="645" ht="12.75" customHeight="1" spans="1:17">
      <c r="A645" s="265"/>
      <c r="B645" s="265"/>
      <c r="C645" s="265"/>
      <c r="D645" s="265"/>
      <c r="E645" s="265"/>
      <c r="F645" s="265"/>
      <c r="G645" s="266"/>
      <c r="H645" s="265"/>
      <c r="I645" s="266"/>
      <c r="J645" s="265"/>
      <c r="K645" s="266"/>
      <c r="L645" s="266"/>
      <c r="M645" s="266"/>
      <c r="N645" s="265"/>
      <c r="O645" s="265"/>
      <c r="P645" s="267"/>
      <c r="Q645" s="267"/>
    </row>
    <row r="646" ht="12.75" customHeight="1" spans="1:17">
      <c r="A646" s="265"/>
      <c r="B646" s="265"/>
      <c r="C646" s="265"/>
      <c r="D646" s="265"/>
      <c r="E646" s="265"/>
      <c r="F646" s="265"/>
      <c r="G646" s="266"/>
      <c r="H646" s="265"/>
      <c r="I646" s="266"/>
      <c r="J646" s="265"/>
      <c r="K646" s="266"/>
      <c r="L646" s="266"/>
      <c r="M646" s="266"/>
      <c r="N646" s="265"/>
      <c r="O646" s="265"/>
      <c r="P646" s="267"/>
      <c r="Q646" s="267"/>
    </row>
    <row r="647" ht="12.75" customHeight="1" spans="1:17">
      <c r="A647" s="265"/>
      <c r="B647" s="265"/>
      <c r="C647" s="265"/>
      <c r="D647" s="265"/>
      <c r="E647" s="265"/>
      <c r="F647" s="265"/>
      <c r="G647" s="266"/>
      <c r="H647" s="265"/>
      <c r="I647" s="266"/>
      <c r="J647" s="265"/>
      <c r="K647" s="266"/>
      <c r="L647" s="266"/>
      <c r="M647" s="266"/>
      <c r="N647" s="265"/>
      <c r="O647" s="265"/>
      <c r="P647" s="267"/>
      <c r="Q647" s="267"/>
    </row>
    <row r="648" ht="12.75" customHeight="1" spans="1:17">
      <c r="A648" s="265"/>
      <c r="B648" s="265"/>
      <c r="C648" s="265"/>
      <c r="D648" s="265"/>
      <c r="E648" s="265"/>
      <c r="F648" s="265"/>
      <c r="G648" s="266"/>
      <c r="H648" s="265"/>
      <c r="I648" s="266"/>
      <c r="J648" s="265"/>
      <c r="K648" s="266"/>
      <c r="L648" s="266"/>
      <c r="M648" s="266"/>
      <c r="N648" s="265"/>
      <c r="O648" s="265"/>
      <c r="P648" s="267"/>
      <c r="Q648" s="267"/>
    </row>
    <row r="649" ht="12.75" customHeight="1" spans="1:17">
      <c r="A649" s="265"/>
      <c r="B649" s="265"/>
      <c r="C649" s="265"/>
      <c r="D649" s="265"/>
      <c r="E649" s="265"/>
      <c r="F649" s="265"/>
      <c r="G649" s="266"/>
      <c r="H649" s="265"/>
      <c r="I649" s="266"/>
      <c r="J649" s="265"/>
      <c r="K649" s="266"/>
      <c r="L649" s="266"/>
      <c r="M649" s="266"/>
      <c r="N649" s="265"/>
      <c r="O649" s="265"/>
      <c r="P649" s="267"/>
      <c r="Q649" s="267"/>
    </row>
    <row r="650" ht="12.75" customHeight="1" spans="1:17">
      <c r="A650" s="265"/>
      <c r="B650" s="265"/>
      <c r="C650" s="265"/>
      <c r="D650" s="265"/>
      <c r="E650" s="265"/>
      <c r="F650" s="265"/>
      <c r="G650" s="266"/>
      <c r="H650" s="265"/>
      <c r="I650" s="266"/>
      <c r="J650" s="265"/>
      <c r="K650" s="266"/>
      <c r="L650" s="266"/>
      <c r="M650" s="266"/>
      <c r="N650" s="265"/>
      <c r="O650" s="265"/>
      <c r="P650" s="267"/>
      <c r="Q650" s="267"/>
    </row>
    <row r="651" ht="12.75" customHeight="1" spans="1:17">
      <c r="A651" s="265"/>
      <c r="B651" s="265"/>
      <c r="C651" s="265"/>
      <c r="D651" s="265"/>
      <c r="E651" s="265"/>
      <c r="F651" s="265"/>
      <c r="G651" s="266"/>
      <c r="H651" s="265"/>
      <c r="I651" s="266"/>
      <c r="J651" s="265"/>
      <c r="K651" s="266"/>
      <c r="L651" s="266"/>
      <c r="M651" s="266"/>
      <c r="N651" s="265"/>
      <c r="O651" s="265"/>
      <c r="P651" s="267"/>
      <c r="Q651" s="267"/>
    </row>
    <row r="652" ht="12.75" customHeight="1" spans="1:17">
      <c r="A652" s="265"/>
      <c r="B652" s="265"/>
      <c r="C652" s="265"/>
      <c r="D652" s="265"/>
      <c r="E652" s="265"/>
      <c r="F652" s="265"/>
      <c r="G652" s="266"/>
      <c r="H652" s="265"/>
      <c r="I652" s="266"/>
      <c r="J652" s="265"/>
      <c r="K652" s="266"/>
      <c r="L652" s="266"/>
      <c r="M652" s="266"/>
      <c r="N652" s="265"/>
      <c r="O652" s="265"/>
      <c r="P652" s="267"/>
      <c r="Q652" s="267"/>
    </row>
    <row r="653" ht="12.75" customHeight="1" spans="1:17">
      <c r="A653" s="265"/>
      <c r="B653" s="265"/>
      <c r="C653" s="265"/>
      <c r="D653" s="265"/>
      <c r="E653" s="265"/>
      <c r="F653" s="265"/>
      <c r="G653" s="266"/>
      <c r="H653" s="265"/>
      <c r="I653" s="266"/>
      <c r="J653" s="265"/>
      <c r="K653" s="266"/>
      <c r="L653" s="266"/>
      <c r="M653" s="266"/>
      <c r="N653" s="265"/>
      <c r="O653" s="265"/>
      <c r="P653" s="267"/>
      <c r="Q653" s="267"/>
    </row>
    <row r="654" ht="12.75" customHeight="1" spans="1:17">
      <c r="A654" s="265"/>
      <c r="B654" s="265"/>
      <c r="C654" s="265"/>
      <c r="D654" s="265"/>
      <c r="E654" s="265"/>
      <c r="F654" s="265"/>
      <c r="G654" s="266"/>
      <c r="H654" s="265"/>
      <c r="I654" s="266"/>
      <c r="J654" s="265"/>
      <c r="K654" s="266"/>
      <c r="L654" s="266"/>
      <c r="M654" s="266"/>
      <c r="N654" s="265"/>
      <c r="O654" s="265"/>
      <c r="P654" s="267"/>
      <c r="Q654" s="267"/>
    </row>
    <row r="655" ht="12.75" customHeight="1" spans="1:17">
      <c r="A655" s="265"/>
      <c r="B655" s="265"/>
      <c r="C655" s="265"/>
      <c r="D655" s="265"/>
      <c r="E655" s="265"/>
      <c r="F655" s="265"/>
      <c r="G655" s="266"/>
      <c r="H655" s="265"/>
      <c r="I655" s="266"/>
      <c r="J655" s="265"/>
      <c r="K655" s="266"/>
      <c r="L655" s="266"/>
      <c r="M655" s="266"/>
      <c r="N655" s="265"/>
      <c r="O655" s="265"/>
      <c r="P655" s="267"/>
      <c r="Q655" s="267"/>
    </row>
    <row r="656" ht="12.75" customHeight="1" spans="1:17">
      <c r="A656" s="265"/>
      <c r="B656" s="265"/>
      <c r="C656" s="265"/>
      <c r="D656" s="265"/>
      <c r="E656" s="265"/>
      <c r="F656" s="265"/>
      <c r="G656" s="266"/>
      <c r="H656" s="265"/>
      <c r="I656" s="266"/>
      <c r="J656" s="265"/>
      <c r="K656" s="266"/>
      <c r="L656" s="266"/>
      <c r="M656" s="266"/>
      <c r="N656" s="265"/>
      <c r="O656" s="265"/>
      <c r="P656" s="267"/>
      <c r="Q656" s="267"/>
    </row>
    <row r="657" ht="12.75" customHeight="1" spans="1:17">
      <c r="A657" s="265"/>
      <c r="B657" s="265"/>
      <c r="C657" s="265"/>
      <c r="D657" s="265"/>
      <c r="E657" s="265"/>
      <c r="F657" s="265"/>
      <c r="G657" s="266"/>
      <c r="H657" s="265"/>
      <c r="I657" s="266"/>
      <c r="J657" s="265"/>
      <c r="K657" s="266"/>
      <c r="L657" s="266"/>
      <c r="M657" s="266"/>
      <c r="N657" s="265"/>
      <c r="O657" s="265"/>
      <c r="P657" s="267"/>
      <c r="Q657" s="267"/>
    </row>
    <row r="658" ht="12.75" customHeight="1" spans="1:17">
      <c r="A658" s="265"/>
      <c r="B658" s="265"/>
      <c r="C658" s="265"/>
      <c r="D658" s="265"/>
      <c r="E658" s="265"/>
      <c r="F658" s="265"/>
      <c r="G658" s="266"/>
      <c r="H658" s="265"/>
      <c r="I658" s="266"/>
      <c r="J658" s="265"/>
      <c r="K658" s="266"/>
      <c r="L658" s="266"/>
      <c r="M658" s="266"/>
      <c r="N658" s="265"/>
      <c r="O658" s="265"/>
      <c r="P658" s="267"/>
      <c r="Q658" s="267"/>
    </row>
    <row r="659" ht="12.75" customHeight="1" spans="1:17">
      <c r="A659" s="265"/>
      <c r="B659" s="265"/>
      <c r="C659" s="265"/>
      <c r="D659" s="265"/>
      <c r="E659" s="265"/>
      <c r="F659" s="265"/>
      <c r="G659" s="266"/>
      <c r="H659" s="265"/>
      <c r="I659" s="266"/>
      <c r="J659" s="265"/>
      <c r="K659" s="266"/>
      <c r="L659" s="266"/>
      <c r="M659" s="266"/>
      <c r="N659" s="265"/>
      <c r="O659" s="265"/>
      <c r="P659" s="267"/>
      <c r="Q659" s="267"/>
    </row>
    <row r="660" ht="12.75" customHeight="1" spans="1:17">
      <c r="A660" s="265"/>
      <c r="B660" s="265"/>
      <c r="C660" s="265"/>
      <c r="D660" s="265"/>
      <c r="E660" s="265"/>
      <c r="F660" s="265"/>
      <c r="G660" s="266"/>
      <c r="H660" s="265"/>
      <c r="I660" s="266"/>
      <c r="J660" s="265"/>
      <c r="K660" s="266"/>
      <c r="L660" s="266"/>
      <c r="M660" s="266"/>
      <c r="N660" s="265"/>
      <c r="O660" s="265"/>
      <c r="P660" s="267"/>
      <c r="Q660" s="267"/>
    </row>
    <row r="661" ht="12.75" customHeight="1" spans="1:17">
      <c r="A661" s="265"/>
      <c r="B661" s="265"/>
      <c r="C661" s="265"/>
      <c r="D661" s="265"/>
      <c r="E661" s="265"/>
      <c r="F661" s="265"/>
      <c r="G661" s="266"/>
      <c r="H661" s="265"/>
      <c r="I661" s="266"/>
      <c r="J661" s="265"/>
      <c r="K661" s="266"/>
      <c r="L661" s="266"/>
      <c r="M661" s="266"/>
      <c r="N661" s="265"/>
      <c r="O661" s="265"/>
      <c r="P661" s="267"/>
      <c r="Q661" s="267"/>
    </row>
    <row r="662" ht="12.75" customHeight="1" spans="1:17">
      <c r="A662" s="265"/>
      <c r="B662" s="265"/>
      <c r="C662" s="265"/>
      <c r="D662" s="265"/>
      <c r="E662" s="265"/>
      <c r="F662" s="265"/>
      <c r="G662" s="266"/>
      <c r="H662" s="265"/>
      <c r="I662" s="266"/>
      <c r="J662" s="265"/>
      <c r="K662" s="266"/>
      <c r="L662" s="266"/>
      <c r="M662" s="266"/>
      <c r="N662" s="265"/>
      <c r="O662" s="265"/>
      <c r="P662" s="267"/>
      <c r="Q662" s="267"/>
    </row>
    <row r="663" ht="12.75" customHeight="1" spans="1:17">
      <c r="A663" s="265"/>
      <c r="B663" s="265"/>
      <c r="C663" s="265"/>
      <c r="D663" s="265"/>
      <c r="E663" s="265"/>
      <c r="F663" s="265"/>
      <c r="G663" s="266"/>
      <c r="H663" s="265"/>
      <c r="I663" s="266"/>
      <c r="J663" s="265"/>
      <c r="K663" s="266"/>
      <c r="L663" s="266"/>
      <c r="M663" s="266"/>
      <c r="N663" s="265"/>
      <c r="O663" s="265"/>
      <c r="P663" s="267"/>
      <c r="Q663" s="267"/>
    </row>
    <row r="664" ht="12.75" customHeight="1" spans="1:17">
      <c r="A664" s="265"/>
      <c r="B664" s="265"/>
      <c r="C664" s="265"/>
      <c r="D664" s="265"/>
      <c r="E664" s="265"/>
      <c r="F664" s="265"/>
      <c r="G664" s="266"/>
      <c r="H664" s="265"/>
      <c r="I664" s="266"/>
      <c r="J664" s="265"/>
      <c r="K664" s="266"/>
      <c r="L664" s="266"/>
      <c r="M664" s="266"/>
      <c r="N664" s="265"/>
      <c r="O664" s="265"/>
      <c r="P664" s="267"/>
      <c r="Q664" s="267"/>
    </row>
    <row r="665" ht="12.75" customHeight="1" spans="1:17">
      <c r="A665" s="265"/>
      <c r="B665" s="265"/>
      <c r="C665" s="265"/>
      <c r="D665" s="265"/>
      <c r="E665" s="265"/>
      <c r="F665" s="265"/>
      <c r="G665" s="266"/>
      <c r="H665" s="265"/>
      <c r="I665" s="266"/>
      <c r="J665" s="265"/>
      <c r="K665" s="266"/>
      <c r="L665" s="266"/>
      <c r="M665" s="266"/>
      <c r="N665" s="265"/>
      <c r="O665" s="265"/>
      <c r="P665" s="267"/>
      <c r="Q665" s="267"/>
    </row>
    <row r="666" ht="12.75" customHeight="1" spans="1:17">
      <c r="A666" s="265"/>
      <c r="B666" s="265"/>
      <c r="C666" s="265"/>
      <c r="D666" s="265"/>
      <c r="E666" s="265"/>
      <c r="F666" s="265"/>
      <c r="G666" s="266"/>
      <c r="H666" s="265"/>
      <c r="I666" s="266"/>
      <c r="J666" s="265"/>
      <c r="K666" s="266"/>
      <c r="L666" s="266"/>
      <c r="M666" s="266"/>
      <c r="N666" s="265"/>
      <c r="O666" s="265"/>
      <c r="P666" s="267"/>
      <c r="Q666" s="267"/>
    </row>
    <row r="667" ht="12.75" customHeight="1" spans="1:17">
      <c r="A667" s="265"/>
      <c r="B667" s="265"/>
      <c r="C667" s="265"/>
      <c r="D667" s="265"/>
      <c r="E667" s="265"/>
      <c r="F667" s="265"/>
      <c r="G667" s="266"/>
      <c r="H667" s="265"/>
      <c r="I667" s="266"/>
      <c r="J667" s="265"/>
      <c r="K667" s="266"/>
      <c r="L667" s="266"/>
      <c r="M667" s="266"/>
      <c r="N667" s="265"/>
      <c r="O667" s="265"/>
      <c r="P667" s="267"/>
      <c r="Q667" s="267"/>
    </row>
    <row r="668" ht="12.75" customHeight="1" spans="1:17">
      <c r="A668" s="265"/>
      <c r="B668" s="265"/>
      <c r="C668" s="265"/>
      <c r="D668" s="265"/>
      <c r="E668" s="265"/>
      <c r="F668" s="265"/>
      <c r="G668" s="266"/>
      <c r="H668" s="265"/>
      <c r="I668" s="266"/>
      <c r="J668" s="265"/>
      <c r="K668" s="266"/>
      <c r="L668" s="266"/>
      <c r="M668" s="266"/>
      <c r="N668" s="265"/>
      <c r="O668" s="265"/>
      <c r="P668" s="267"/>
      <c r="Q668" s="267"/>
    </row>
    <row r="669" ht="12.75" customHeight="1" spans="1:17">
      <c r="A669" s="265"/>
      <c r="B669" s="265"/>
      <c r="C669" s="265"/>
      <c r="D669" s="265"/>
      <c r="E669" s="265"/>
      <c r="F669" s="265"/>
      <c r="G669" s="266"/>
      <c r="H669" s="265"/>
      <c r="I669" s="266"/>
      <c r="J669" s="265"/>
      <c r="K669" s="266"/>
      <c r="L669" s="266"/>
      <c r="M669" s="266"/>
      <c r="N669" s="265"/>
      <c r="O669" s="265"/>
      <c r="P669" s="267"/>
      <c r="Q669" s="267"/>
    </row>
    <row r="670" ht="12.75" customHeight="1" spans="1:17">
      <c r="A670" s="265"/>
      <c r="B670" s="265"/>
      <c r="C670" s="265"/>
      <c r="D670" s="265"/>
      <c r="E670" s="265"/>
      <c r="F670" s="265"/>
      <c r="G670" s="266"/>
      <c r="H670" s="265"/>
      <c r="I670" s="266"/>
      <c r="J670" s="265"/>
      <c r="K670" s="266"/>
      <c r="L670" s="266"/>
      <c r="M670" s="266"/>
      <c r="N670" s="265"/>
      <c r="O670" s="265"/>
      <c r="P670" s="267"/>
      <c r="Q670" s="267"/>
    </row>
    <row r="671" ht="12.75" customHeight="1" spans="1:17">
      <c r="A671" s="265"/>
      <c r="B671" s="265"/>
      <c r="C671" s="265"/>
      <c r="D671" s="265"/>
      <c r="E671" s="265"/>
      <c r="F671" s="265"/>
      <c r="G671" s="266"/>
      <c r="H671" s="265"/>
      <c r="I671" s="266"/>
      <c r="J671" s="265"/>
      <c r="K671" s="266"/>
      <c r="L671" s="266"/>
      <c r="M671" s="266"/>
      <c r="N671" s="265"/>
      <c r="O671" s="265"/>
      <c r="P671" s="267"/>
      <c r="Q671" s="267"/>
    </row>
    <row r="672" ht="12.75" customHeight="1" spans="1:17">
      <c r="A672" s="265"/>
      <c r="B672" s="265"/>
      <c r="C672" s="265"/>
      <c r="D672" s="265"/>
      <c r="E672" s="265"/>
      <c r="F672" s="265"/>
      <c r="G672" s="266"/>
      <c r="H672" s="265"/>
      <c r="I672" s="266"/>
      <c r="J672" s="265"/>
      <c r="K672" s="266"/>
      <c r="L672" s="266"/>
      <c r="M672" s="266"/>
      <c r="N672" s="265"/>
      <c r="O672" s="265"/>
      <c r="P672" s="267"/>
      <c r="Q672" s="267"/>
    </row>
    <row r="673" ht="12.75" customHeight="1" spans="1:17">
      <c r="A673" s="265"/>
      <c r="B673" s="265"/>
      <c r="C673" s="265"/>
      <c r="D673" s="265"/>
      <c r="E673" s="265"/>
      <c r="F673" s="265"/>
      <c r="G673" s="266"/>
      <c r="H673" s="265"/>
      <c r="I673" s="266"/>
      <c r="J673" s="265"/>
      <c r="K673" s="266"/>
      <c r="L673" s="266"/>
      <c r="M673" s="266"/>
      <c r="N673" s="265"/>
      <c r="O673" s="265"/>
      <c r="P673" s="267"/>
      <c r="Q673" s="267"/>
    </row>
    <row r="674" ht="12.75" customHeight="1" spans="1:17">
      <c r="A674" s="265"/>
      <c r="B674" s="265"/>
      <c r="C674" s="265"/>
      <c r="D674" s="265"/>
      <c r="E674" s="265"/>
      <c r="F674" s="265"/>
      <c r="G674" s="266"/>
      <c r="H674" s="265"/>
      <c r="I674" s="266"/>
      <c r="J674" s="265"/>
      <c r="K674" s="266"/>
      <c r="L674" s="266"/>
      <c r="M674" s="266"/>
      <c r="N674" s="265"/>
      <c r="O674" s="265"/>
      <c r="P674" s="267"/>
      <c r="Q674" s="267"/>
    </row>
    <row r="675" ht="12.75" customHeight="1" spans="1:17">
      <c r="A675" s="265"/>
      <c r="B675" s="265"/>
      <c r="C675" s="265"/>
      <c r="D675" s="265"/>
      <c r="E675" s="265"/>
      <c r="F675" s="265"/>
      <c r="G675" s="266"/>
      <c r="H675" s="265"/>
      <c r="I675" s="266"/>
      <c r="J675" s="265"/>
      <c r="K675" s="266"/>
      <c r="L675" s="266"/>
      <c r="M675" s="266"/>
      <c r="N675" s="265"/>
      <c r="O675" s="265"/>
      <c r="P675" s="267"/>
      <c r="Q675" s="267"/>
    </row>
    <row r="676" ht="12.75" customHeight="1" spans="1:17">
      <c r="A676" s="265"/>
      <c r="B676" s="265"/>
      <c r="C676" s="265"/>
      <c r="D676" s="265"/>
      <c r="E676" s="265"/>
      <c r="F676" s="265"/>
      <c r="G676" s="266"/>
      <c r="H676" s="265"/>
      <c r="I676" s="266"/>
      <c r="J676" s="265"/>
      <c r="K676" s="266"/>
      <c r="L676" s="266"/>
      <c r="M676" s="266"/>
      <c r="N676" s="265"/>
      <c r="O676" s="265"/>
      <c r="P676" s="267"/>
      <c r="Q676" s="267"/>
    </row>
    <row r="677" ht="12.75" customHeight="1" spans="1:17">
      <c r="A677" s="265"/>
      <c r="B677" s="265"/>
      <c r="C677" s="265"/>
      <c r="D677" s="265"/>
      <c r="E677" s="265"/>
      <c r="F677" s="265"/>
      <c r="G677" s="266"/>
      <c r="H677" s="265"/>
      <c r="I677" s="266"/>
      <c r="J677" s="265"/>
      <c r="K677" s="266"/>
      <c r="L677" s="266"/>
      <c r="M677" s="266"/>
      <c r="N677" s="265"/>
      <c r="O677" s="265"/>
      <c r="P677" s="267"/>
      <c r="Q677" s="267"/>
    </row>
    <row r="678" ht="12.75" customHeight="1" spans="1:17">
      <c r="A678" s="265"/>
      <c r="B678" s="265"/>
      <c r="C678" s="265"/>
      <c r="D678" s="265"/>
      <c r="E678" s="265"/>
      <c r="F678" s="265"/>
      <c r="G678" s="266"/>
      <c r="H678" s="265"/>
      <c r="I678" s="266"/>
      <c r="J678" s="265"/>
      <c r="K678" s="266"/>
      <c r="L678" s="266"/>
      <c r="M678" s="266"/>
      <c r="N678" s="265"/>
      <c r="O678" s="265"/>
      <c r="P678" s="267"/>
      <c r="Q678" s="267"/>
    </row>
    <row r="679" ht="12.75" customHeight="1" spans="1:17">
      <c r="A679" s="265"/>
      <c r="B679" s="265"/>
      <c r="C679" s="265"/>
      <c r="D679" s="265"/>
      <c r="E679" s="265"/>
      <c r="F679" s="265"/>
      <c r="G679" s="266"/>
      <c r="H679" s="265"/>
      <c r="I679" s="266"/>
      <c r="J679" s="265"/>
      <c r="K679" s="266"/>
      <c r="L679" s="266"/>
      <c r="M679" s="266"/>
      <c r="N679" s="265"/>
      <c r="O679" s="265"/>
      <c r="P679" s="267"/>
      <c r="Q679" s="267"/>
    </row>
    <row r="680" ht="12.75" customHeight="1" spans="1:17">
      <c r="A680" s="265"/>
      <c r="B680" s="265"/>
      <c r="C680" s="265"/>
      <c r="D680" s="265"/>
      <c r="E680" s="265"/>
      <c r="F680" s="265"/>
      <c r="G680" s="266"/>
      <c r="H680" s="265"/>
      <c r="I680" s="266"/>
      <c r="J680" s="265"/>
      <c r="K680" s="266"/>
      <c r="L680" s="266"/>
      <c r="M680" s="266"/>
      <c r="N680" s="265"/>
      <c r="O680" s="265"/>
      <c r="P680" s="267"/>
      <c r="Q680" s="267"/>
    </row>
    <row r="681" ht="12.75" customHeight="1" spans="1:17">
      <c r="A681" s="265"/>
      <c r="B681" s="265"/>
      <c r="C681" s="265"/>
      <c r="D681" s="265"/>
      <c r="E681" s="265"/>
      <c r="F681" s="265"/>
      <c r="G681" s="266"/>
      <c r="H681" s="265"/>
      <c r="I681" s="266"/>
      <c r="J681" s="265"/>
      <c r="K681" s="266"/>
      <c r="L681" s="266"/>
      <c r="M681" s="266"/>
      <c r="N681" s="265"/>
      <c r="O681" s="265"/>
      <c r="P681" s="267"/>
      <c r="Q681" s="267"/>
    </row>
    <row r="682" ht="12.75" customHeight="1" spans="1:17">
      <c r="A682" s="265"/>
      <c r="B682" s="265"/>
      <c r="C682" s="265"/>
      <c r="D682" s="265"/>
      <c r="E682" s="265"/>
      <c r="F682" s="265"/>
      <c r="G682" s="266"/>
      <c r="H682" s="265"/>
      <c r="I682" s="266"/>
      <c r="J682" s="265"/>
      <c r="K682" s="266"/>
      <c r="L682" s="266"/>
      <c r="M682" s="266"/>
      <c r="N682" s="265"/>
      <c r="O682" s="265"/>
      <c r="P682" s="267"/>
      <c r="Q682" s="267"/>
    </row>
    <row r="683" ht="12.75" customHeight="1" spans="1:17">
      <c r="A683" s="265"/>
      <c r="B683" s="265"/>
      <c r="C683" s="265"/>
      <c r="D683" s="265"/>
      <c r="E683" s="265"/>
      <c r="F683" s="265"/>
      <c r="G683" s="266"/>
      <c r="H683" s="265"/>
      <c r="I683" s="266"/>
      <c r="J683" s="265"/>
      <c r="K683" s="266"/>
      <c r="L683" s="266"/>
      <c r="M683" s="266"/>
      <c r="N683" s="265"/>
      <c r="O683" s="265"/>
      <c r="P683" s="267"/>
      <c r="Q683" s="267"/>
    </row>
    <row r="684" ht="12.75" customHeight="1" spans="1:17">
      <c r="A684" s="265"/>
      <c r="B684" s="265"/>
      <c r="C684" s="265"/>
      <c r="D684" s="265"/>
      <c r="E684" s="265"/>
      <c r="F684" s="265"/>
      <c r="G684" s="266"/>
      <c r="H684" s="265"/>
      <c r="I684" s="266"/>
      <c r="J684" s="265"/>
      <c r="K684" s="266"/>
      <c r="L684" s="266"/>
      <c r="M684" s="266"/>
      <c r="N684" s="265"/>
      <c r="O684" s="265"/>
      <c r="P684" s="267"/>
      <c r="Q684" s="267"/>
    </row>
    <row r="685" ht="12.75" customHeight="1" spans="1:17">
      <c r="A685" s="265"/>
      <c r="B685" s="265"/>
      <c r="C685" s="265"/>
      <c r="D685" s="265"/>
      <c r="E685" s="265"/>
      <c r="F685" s="265"/>
      <c r="G685" s="266"/>
      <c r="H685" s="265"/>
      <c r="I685" s="266"/>
      <c r="J685" s="265"/>
      <c r="K685" s="266"/>
      <c r="L685" s="266"/>
      <c r="M685" s="266"/>
      <c r="N685" s="265"/>
      <c r="O685" s="265"/>
      <c r="P685" s="267"/>
      <c r="Q685" s="267"/>
    </row>
    <row r="686" ht="12.75" customHeight="1" spans="1:17">
      <c r="A686" s="265"/>
      <c r="B686" s="265"/>
      <c r="C686" s="265"/>
      <c r="D686" s="265"/>
      <c r="E686" s="265"/>
      <c r="F686" s="265"/>
      <c r="G686" s="266"/>
      <c r="H686" s="265"/>
      <c r="I686" s="266"/>
      <c r="J686" s="265"/>
      <c r="K686" s="266"/>
      <c r="L686" s="266"/>
      <c r="M686" s="266"/>
      <c r="N686" s="265"/>
      <c r="O686" s="265"/>
      <c r="P686" s="267"/>
      <c r="Q686" s="267"/>
    </row>
    <row r="687" ht="12.75" customHeight="1" spans="1:17">
      <c r="A687" s="265"/>
      <c r="B687" s="265"/>
      <c r="C687" s="265"/>
      <c r="D687" s="265"/>
      <c r="E687" s="265"/>
      <c r="F687" s="265"/>
      <c r="G687" s="266"/>
      <c r="H687" s="265"/>
      <c r="I687" s="266"/>
      <c r="J687" s="265"/>
      <c r="K687" s="266"/>
      <c r="L687" s="266"/>
      <c r="M687" s="266"/>
      <c r="N687" s="265"/>
      <c r="O687" s="265"/>
      <c r="P687" s="267"/>
      <c r="Q687" s="267"/>
    </row>
    <row r="688" ht="12.75" customHeight="1" spans="1:17">
      <c r="A688" s="265"/>
      <c r="B688" s="265"/>
      <c r="C688" s="265"/>
      <c r="D688" s="265"/>
      <c r="E688" s="265"/>
      <c r="F688" s="265"/>
      <c r="G688" s="266"/>
      <c r="H688" s="265"/>
      <c r="I688" s="266"/>
      <c r="J688" s="265"/>
      <c r="K688" s="266"/>
      <c r="L688" s="266"/>
      <c r="M688" s="266"/>
      <c r="N688" s="265"/>
      <c r="O688" s="265"/>
      <c r="P688" s="267"/>
      <c r="Q688" s="267"/>
    </row>
    <row r="689" ht="12.75" customHeight="1" spans="1:17">
      <c r="A689" s="265"/>
      <c r="B689" s="265"/>
      <c r="C689" s="265"/>
      <c r="D689" s="265"/>
      <c r="E689" s="265"/>
      <c r="F689" s="265"/>
      <c r="G689" s="266"/>
      <c r="H689" s="265"/>
      <c r="I689" s="266"/>
      <c r="J689" s="265"/>
      <c r="K689" s="266"/>
      <c r="L689" s="266"/>
      <c r="M689" s="266"/>
      <c r="N689" s="265"/>
      <c r="O689" s="265"/>
      <c r="P689" s="267"/>
      <c r="Q689" s="267"/>
    </row>
    <row r="690" ht="12.75" customHeight="1" spans="1:17">
      <c r="A690" s="265"/>
      <c r="B690" s="265"/>
      <c r="C690" s="265"/>
      <c r="D690" s="265"/>
      <c r="E690" s="265"/>
      <c r="F690" s="265"/>
      <c r="G690" s="266"/>
      <c r="H690" s="265"/>
      <c r="I690" s="266"/>
      <c r="J690" s="265"/>
      <c r="K690" s="266"/>
      <c r="L690" s="266"/>
      <c r="M690" s="266"/>
      <c r="N690" s="265"/>
      <c r="O690" s="265"/>
      <c r="P690" s="267"/>
      <c r="Q690" s="267"/>
    </row>
    <row r="691" ht="12.75" customHeight="1" spans="1:17">
      <c r="A691" s="265"/>
      <c r="B691" s="265"/>
      <c r="C691" s="265"/>
      <c r="D691" s="265"/>
      <c r="E691" s="265"/>
      <c r="F691" s="265"/>
      <c r="G691" s="266"/>
      <c r="H691" s="265"/>
      <c r="I691" s="266"/>
      <c r="J691" s="265"/>
      <c r="K691" s="266"/>
      <c r="L691" s="266"/>
      <c r="M691" s="266"/>
      <c r="N691" s="265"/>
      <c r="O691" s="265"/>
      <c r="P691" s="267"/>
      <c r="Q691" s="267"/>
    </row>
    <row r="692" ht="12.75" customHeight="1" spans="1:17">
      <c r="A692" s="265"/>
      <c r="B692" s="265"/>
      <c r="C692" s="265"/>
      <c r="D692" s="265"/>
      <c r="E692" s="265"/>
      <c r="F692" s="265"/>
      <c r="G692" s="266"/>
      <c r="H692" s="265"/>
      <c r="I692" s="266"/>
      <c r="J692" s="265"/>
      <c r="K692" s="266"/>
      <c r="L692" s="266"/>
      <c r="M692" s="266"/>
      <c r="N692" s="265"/>
      <c r="O692" s="265"/>
      <c r="P692" s="267"/>
      <c r="Q692" s="267"/>
    </row>
    <row r="693" ht="12.75" customHeight="1" spans="1:17">
      <c r="A693" s="265"/>
      <c r="B693" s="265"/>
      <c r="C693" s="265"/>
      <c r="D693" s="265"/>
      <c r="E693" s="265"/>
      <c r="F693" s="265"/>
      <c r="G693" s="266"/>
      <c r="H693" s="265"/>
      <c r="I693" s="266"/>
      <c r="J693" s="265"/>
      <c r="K693" s="266"/>
      <c r="L693" s="266"/>
      <c r="M693" s="266"/>
      <c r="N693" s="265"/>
      <c r="O693" s="265"/>
      <c r="P693" s="267"/>
      <c r="Q693" s="267"/>
    </row>
    <row r="694" ht="12.75" customHeight="1" spans="1:17">
      <c r="A694" s="265"/>
      <c r="B694" s="265"/>
      <c r="C694" s="265"/>
      <c r="D694" s="265"/>
      <c r="E694" s="265"/>
      <c r="F694" s="265"/>
      <c r="G694" s="266"/>
      <c r="H694" s="265"/>
      <c r="I694" s="266"/>
      <c r="J694" s="265"/>
      <c r="K694" s="266"/>
      <c r="L694" s="266"/>
      <c r="M694" s="266"/>
      <c r="N694" s="265"/>
      <c r="O694" s="265"/>
      <c r="P694" s="267"/>
      <c r="Q694" s="267"/>
    </row>
    <row r="695" ht="12.75" customHeight="1" spans="1:17">
      <c r="A695" s="265"/>
      <c r="B695" s="265"/>
      <c r="C695" s="265"/>
      <c r="D695" s="265"/>
      <c r="E695" s="265"/>
      <c r="F695" s="265"/>
      <c r="G695" s="266"/>
      <c r="H695" s="265"/>
      <c r="I695" s="266"/>
      <c r="J695" s="265"/>
      <c r="K695" s="266"/>
      <c r="L695" s="266"/>
      <c r="M695" s="266"/>
      <c r="N695" s="265"/>
      <c r="O695" s="265"/>
      <c r="P695" s="267"/>
      <c r="Q695" s="267"/>
    </row>
    <row r="696" ht="12.75" customHeight="1" spans="1:17">
      <c r="A696" s="265"/>
      <c r="B696" s="265"/>
      <c r="C696" s="265"/>
      <c r="D696" s="265"/>
      <c r="E696" s="265"/>
      <c r="F696" s="265"/>
      <c r="G696" s="266"/>
      <c r="H696" s="265"/>
      <c r="I696" s="266"/>
      <c r="J696" s="265"/>
      <c r="K696" s="266"/>
      <c r="L696" s="266"/>
      <c r="M696" s="266"/>
      <c r="N696" s="265"/>
      <c r="O696" s="265"/>
      <c r="P696" s="267"/>
      <c r="Q696" s="267"/>
    </row>
    <row r="697" ht="12.75" customHeight="1" spans="1:17">
      <c r="A697" s="265"/>
      <c r="B697" s="265"/>
      <c r="C697" s="265"/>
      <c r="D697" s="265"/>
      <c r="E697" s="265"/>
      <c r="F697" s="265"/>
      <c r="G697" s="266"/>
      <c r="H697" s="265"/>
      <c r="I697" s="266"/>
      <c r="J697" s="265"/>
      <c r="K697" s="266"/>
      <c r="L697" s="266"/>
      <c r="M697" s="266"/>
      <c r="N697" s="265"/>
      <c r="O697" s="265"/>
      <c r="P697" s="267"/>
      <c r="Q697" s="267"/>
    </row>
    <row r="698" ht="12.75" customHeight="1" spans="1:17">
      <c r="A698" s="265"/>
      <c r="B698" s="265"/>
      <c r="C698" s="265"/>
      <c r="D698" s="265"/>
      <c r="E698" s="265"/>
      <c r="F698" s="265"/>
      <c r="G698" s="266"/>
      <c r="H698" s="265"/>
      <c r="I698" s="266"/>
      <c r="J698" s="265"/>
      <c r="K698" s="266"/>
      <c r="L698" s="266"/>
      <c r="M698" s="266"/>
      <c r="N698" s="265"/>
      <c r="O698" s="265"/>
      <c r="P698" s="267"/>
      <c r="Q698" s="267"/>
    </row>
    <row r="699" ht="12.75" customHeight="1" spans="1:17">
      <c r="A699" s="265"/>
      <c r="B699" s="265"/>
      <c r="C699" s="265"/>
      <c r="D699" s="265"/>
      <c r="E699" s="265"/>
      <c r="F699" s="265"/>
      <c r="G699" s="266"/>
      <c r="H699" s="265"/>
      <c r="I699" s="266"/>
      <c r="J699" s="265"/>
      <c r="K699" s="266"/>
      <c r="L699" s="266"/>
      <c r="M699" s="266"/>
      <c r="N699" s="265"/>
      <c r="O699" s="265"/>
      <c r="P699" s="267"/>
      <c r="Q699" s="267"/>
    </row>
    <row r="700" ht="12.75" customHeight="1" spans="1:17">
      <c r="A700" s="265"/>
      <c r="B700" s="265"/>
      <c r="C700" s="265"/>
      <c r="D700" s="265"/>
      <c r="E700" s="265"/>
      <c r="F700" s="265"/>
      <c r="G700" s="266"/>
      <c r="H700" s="265"/>
      <c r="I700" s="266"/>
      <c r="J700" s="265"/>
      <c r="K700" s="266"/>
      <c r="L700" s="266"/>
      <c r="M700" s="266"/>
      <c r="N700" s="265"/>
      <c r="O700" s="265"/>
      <c r="P700" s="267"/>
      <c r="Q700" s="267"/>
    </row>
    <row r="701" ht="12.75" customHeight="1" spans="1:17">
      <c r="A701" s="265"/>
      <c r="B701" s="265"/>
      <c r="C701" s="265"/>
      <c r="D701" s="265"/>
      <c r="E701" s="265"/>
      <c r="F701" s="265"/>
      <c r="G701" s="266"/>
      <c r="H701" s="265"/>
      <c r="I701" s="266"/>
      <c r="J701" s="265"/>
      <c r="K701" s="266"/>
      <c r="L701" s="266"/>
      <c r="M701" s="266"/>
      <c r="N701" s="265"/>
      <c r="O701" s="265"/>
      <c r="P701" s="267"/>
      <c r="Q701" s="267"/>
    </row>
    <row r="702" ht="12.75" customHeight="1" spans="1:17">
      <c r="A702" s="265"/>
      <c r="B702" s="265"/>
      <c r="C702" s="265"/>
      <c r="D702" s="265"/>
      <c r="E702" s="265"/>
      <c r="F702" s="265"/>
      <c r="G702" s="266"/>
      <c r="H702" s="265"/>
      <c r="I702" s="266"/>
      <c r="J702" s="265"/>
      <c r="K702" s="266"/>
      <c r="L702" s="266"/>
      <c r="M702" s="266"/>
      <c r="N702" s="265"/>
      <c r="O702" s="265"/>
      <c r="P702" s="267"/>
      <c r="Q702" s="267"/>
    </row>
    <row r="703" ht="12.75" customHeight="1" spans="1:17">
      <c r="A703" s="265"/>
      <c r="B703" s="265"/>
      <c r="C703" s="265"/>
      <c r="D703" s="265"/>
      <c r="E703" s="265"/>
      <c r="F703" s="265"/>
      <c r="G703" s="266"/>
      <c r="H703" s="265"/>
      <c r="I703" s="266"/>
      <c r="J703" s="265"/>
      <c r="K703" s="266"/>
      <c r="L703" s="266"/>
      <c r="M703" s="266"/>
      <c r="N703" s="265"/>
      <c r="O703" s="265"/>
      <c r="P703" s="267"/>
      <c r="Q703" s="267"/>
    </row>
    <row r="704" ht="12.75" customHeight="1" spans="1:17">
      <c r="A704" s="265"/>
      <c r="B704" s="265"/>
      <c r="C704" s="265"/>
      <c r="D704" s="265"/>
      <c r="E704" s="265"/>
      <c r="F704" s="265"/>
      <c r="G704" s="266"/>
      <c r="H704" s="265"/>
      <c r="I704" s="266"/>
      <c r="J704" s="265"/>
      <c r="K704" s="266"/>
      <c r="L704" s="266"/>
      <c r="M704" s="266"/>
      <c r="N704" s="265"/>
      <c r="O704" s="265"/>
      <c r="P704" s="267"/>
      <c r="Q704" s="267"/>
    </row>
    <row r="705" ht="12.75" customHeight="1" spans="1:17">
      <c r="A705" s="265"/>
      <c r="B705" s="265"/>
      <c r="C705" s="265"/>
      <c r="D705" s="265"/>
      <c r="E705" s="265"/>
      <c r="F705" s="265"/>
      <c r="G705" s="266"/>
      <c r="H705" s="265"/>
      <c r="I705" s="266"/>
      <c r="J705" s="265"/>
      <c r="K705" s="266"/>
      <c r="L705" s="266"/>
      <c r="M705" s="266"/>
      <c r="N705" s="265"/>
      <c r="O705" s="265"/>
      <c r="P705" s="267"/>
      <c r="Q705" s="267"/>
    </row>
    <row r="706" ht="12.75" customHeight="1" spans="1:17">
      <c r="A706" s="265"/>
      <c r="B706" s="265"/>
      <c r="C706" s="265"/>
      <c r="D706" s="265"/>
      <c r="E706" s="265"/>
      <c r="F706" s="265"/>
      <c r="G706" s="266"/>
      <c r="H706" s="265"/>
      <c r="I706" s="266"/>
      <c r="J706" s="265"/>
      <c r="K706" s="266"/>
      <c r="L706" s="266"/>
      <c r="M706" s="266"/>
      <c r="N706" s="265"/>
      <c r="O706" s="265"/>
      <c r="P706" s="267"/>
      <c r="Q706" s="267"/>
    </row>
    <row r="707" ht="12.75" customHeight="1" spans="1:17">
      <c r="A707" s="265"/>
      <c r="B707" s="265"/>
      <c r="C707" s="265"/>
      <c r="D707" s="265"/>
      <c r="E707" s="265"/>
      <c r="F707" s="265"/>
      <c r="G707" s="266"/>
      <c r="H707" s="265"/>
      <c r="I707" s="266"/>
      <c r="J707" s="265"/>
      <c r="K707" s="266"/>
      <c r="L707" s="266"/>
      <c r="M707" s="266"/>
      <c r="N707" s="265"/>
      <c r="O707" s="265"/>
      <c r="P707" s="267"/>
      <c r="Q707" s="267"/>
    </row>
    <row r="708" ht="12.75" customHeight="1" spans="1:17">
      <c r="A708" s="265"/>
      <c r="B708" s="265"/>
      <c r="C708" s="265"/>
      <c r="D708" s="265"/>
      <c r="E708" s="265"/>
      <c r="F708" s="265"/>
      <c r="G708" s="266"/>
      <c r="H708" s="265"/>
      <c r="I708" s="266"/>
      <c r="J708" s="265"/>
      <c r="K708" s="266"/>
      <c r="L708" s="266"/>
      <c r="M708" s="266"/>
      <c r="N708" s="265"/>
      <c r="O708" s="265"/>
      <c r="P708" s="267"/>
      <c r="Q708" s="267"/>
    </row>
    <row r="709" ht="12.75" customHeight="1" spans="1:17">
      <c r="A709" s="265"/>
      <c r="B709" s="265"/>
      <c r="C709" s="265"/>
      <c r="D709" s="265"/>
      <c r="E709" s="265"/>
      <c r="F709" s="265"/>
      <c r="G709" s="266"/>
      <c r="H709" s="265"/>
      <c r="I709" s="266"/>
      <c r="J709" s="265"/>
      <c r="K709" s="266"/>
      <c r="L709" s="266"/>
      <c r="M709" s="266"/>
      <c r="N709" s="265"/>
      <c r="O709" s="265"/>
      <c r="P709" s="267"/>
      <c r="Q709" s="267"/>
    </row>
    <row r="710" ht="12.75" customHeight="1" spans="1:17">
      <c r="A710" s="265"/>
      <c r="B710" s="265"/>
      <c r="C710" s="265"/>
      <c r="D710" s="265"/>
      <c r="E710" s="265"/>
      <c r="F710" s="265"/>
      <c r="G710" s="266"/>
      <c r="H710" s="265"/>
      <c r="I710" s="266"/>
      <c r="J710" s="265"/>
      <c r="K710" s="266"/>
      <c r="L710" s="266"/>
      <c r="M710" s="266"/>
      <c r="N710" s="265"/>
      <c r="O710" s="265"/>
      <c r="P710" s="267"/>
      <c r="Q710" s="267"/>
    </row>
    <row r="711" ht="12.75" customHeight="1" spans="1:17">
      <c r="A711" s="265"/>
      <c r="B711" s="265"/>
      <c r="C711" s="265"/>
      <c r="D711" s="265"/>
      <c r="E711" s="265"/>
      <c r="F711" s="265"/>
      <c r="G711" s="266"/>
      <c r="H711" s="265"/>
      <c r="I711" s="266"/>
      <c r="J711" s="265"/>
      <c r="K711" s="266"/>
      <c r="L711" s="266"/>
      <c r="M711" s="266"/>
      <c r="N711" s="265"/>
      <c r="O711" s="265"/>
      <c r="P711" s="267"/>
      <c r="Q711" s="267"/>
    </row>
    <row r="712" ht="12.75" customHeight="1" spans="1:17">
      <c r="A712" s="265"/>
      <c r="B712" s="265"/>
      <c r="C712" s="265"/>
      <c r="D712" s="265"/>
      <c r="E712" s="265"/>
      <c r="F712" s="265"/>
      <c r="G712" s="266"/>
      <c r="H712" s="265"/>
      <c r="I712" s="266"/>
      <c r="J712" s="265"/>
      <c r="K712" s="266"/>
      <c r="L712" s="266"/>
      <c r="M712" s="266"/>
      <c r="N712" s="265"/>
      <c r="O712" s="265"/>
      <c r="P712" s="267"/>
      <c r="Q712" s="267"/>
    </row>
    <row r="713" ht="12.75" customHeight="1" spans="1:17">
      <c r="A713" s="265"/>
      <c r="B713" s="265"/>
      <c r="C713" s="265"/>
      <c r="D713" s="265"/>
      <c r="E713" s="265"/>
      <c r="F713" s="265"/>
      <c r="G713" s="266"/>
      <c r="H713" s="265"/>
      <c r="I713" s="266"/>
      <c r="J713" s="265"/>
      <c r="K713" s="266"/>
      <c r="L713" s="266"/>
      <c r="M713" s="266"/>
      <c r="N713" s="265"/>
      <c r="O713" s="265"/>
      <c r="P713" s="267"/>
      <c r="Q713" s="267"/>
    </row>
    <row r="714" ht="12.75" customHeight="1" spans="1:17">
      <c r="A714" s="265"/>
      <c r="B714" s="265"/>
      <c r="C714" s="265"/>
      <c r="D714" s="265"/>
      <c r="E714" s="265"/>
      <c r="F714" s="265"/>
      <c r="G714" s="266"/>
      <c r="H714" s="265"/>
      <c r="I714" s="266"/>
      <c r="J714" s="265"/>
      <c r="K714" s="266"/>
      <c r="L714" s="266"/>
      <c r="M714" s="266"/>
      <c r="N714" s="265"/>
      <c r="O714" s="265"/>
      <c r="P714" s="267"/>
      <c r="Q714" s="267"/>
    </row>
    <row r="715" ht="12.75" customHeight="1" spans="1:17">
      <c r="A715" s="265"/>
      <c r="B715" s="265"/>
      <c r="C715" s="265"/>
      <c r="D715" s="265"/>
      <c r="E715" s="265"/>
      <c r="F715" s="265"/>
      <c r="G715" s="266"/>
      <c r="H715" s="265"/>
      <c r="I715" s="266"/>
      <c r="J715" s="265"/>
      <c r="K715" s="266"/>
      <c r="L715" s="266"/>
      <c r="M715" s="266"/>
      <c r="N715" s="265"/>
      <c r="O715" s="265"/>
      <c r="P715" s="267"/>
      <c r="Q715" s="267"/>
    </row>
    <row r="716" ht="12.75" customHeight="1" spans="1:17">
      <c r="A716" s="265"/>
      <c r="B716" s="265"/>
      <c r="C716" s="265"/>
      <c r="D716" s="265"/>
      <c r="E716" s="265"/>
      <c r="F716" s="265"/>
      <c r="G716" s="266"/>
      <c r="H716" s="265"/>
      <c r="I716" s="266"/>
      <c r="J716" s="265"/>
      <c r="K716" s="266"/>
      <c r="L716" s="266"/>
      <c r="M716" s="266"/>
      <c r="N716" s="265"/>
      <c r="O716" s="265"/>
      <c r="P716" s="267"/>
      <c r="Q716" s="267"/>
    </row>
    <row r="717" ht="12.75" customHeight="1" spans="1:17">
      <c r="A717" s="265"/>
      <c r="B717" s="265"/>
      <c r="C717" s="265"/>
      <c r="D717" s="265"/>
      <c r="E717" s="265"/>
      <c r="F717" s="265"/>
      <c r="G717" s="266"/>
      <c r="H717" s="265"/>
      <c r="I717" s="266"/>
      <c r="J717" s="265"/>
      <c r="K717" s="266"/>
      <c r="L717" s="266"/>
      <c r="M717" s="266"/>
      <c r="N717" s="265"/>
      <c r="O717" s="265"/>
      <c r="P717" s="267"/>
      <c r="Q717" s="267"/>
    </row>
    <row r="718" ht="12.75" customHeight="1" spans="1:17">
      <c r="A718" s="265"/>
      <c r="B718" s="265"/>
      <c r="C718" s="265"/>
      <c r="D718" s="265"/>
      <c r="E718" s="265"/>
      <c r="F718" s="265"/>
      <c r="G718" s="266"/>
      <c r="H718" s="265"/>
      <c r="I718" s="266"/>
      <c r="J718" s="265"/>
      <c r="K718" s="266"/>
      <c r="L718" s="266"/>
      <c r="M718" s="266"/>
      <c r="N718" s="265"/>
      <c r="O718" s="265"/>
      <c r="P718" s="267"/>
      <c r="Q718" s="267"/>
    </row>
    <row r="719" ht="12.75" customHeight="1" spans="1:17">
      <c r="A719" s="265"/>
      <c r="B719" s="265"/>
      <c r="C719" s="265"/>
      <c r="D719" s="265"/>
      <c r="E719" s="265"/>
      <c r="F719" s="265"/>
      <c r="G719" s="266"/>
      <c r="H719" s="265"/>
      <c r="I719" s="266"/>
      <c r="J719" s="265"/>
      <c r="K719" s="266"/>
      <c r="L719" s="266"/>
      <c r="M719" s="266"/>
      <c r="N719" s="265"/>
      <c r="O719" s="265"/>
      <c r="P719" s="267"/>
      <c r="Q719" s="267"/>
    </row>
    <row r="720" ht="12.75" customHeight="1" spans="1:17">
      <c r="A720" s="265"/>
      <c r="B720" s="265"/>
      <c r="C720" s="265"/>
      <c r="D720" s="265"/>
      <c r="E720" s="265"/>
      <c r="F720" s="265"/>
      <c r="G720" s="266"/>
      <c r="H720" s="265"/>
      <c r="I720" s="266"/>
      <c r="J720" s="265"/>
      <c r="K720" s="266"/>
      <c r="L720" s="266"/>
      <c r="M720" s="266"/>
      <c r="N720" s="265"/>
      <c r="O720" s="265"/>
      <c r="P720" s="267"/>
      <c r="Q720" s="267"/>
    </row>
    <row r="721" ht="12.75" customHeight="1" spans="1:17">
      <c r="A721" s="265"/>
      <c r="B721" s="265"/>
      <c r="C721" s="265"/>
      <c r="D721" s="265"/>
      <c r="E721" s="265"/>
      <c r="F721" s="265"/>
      <c r="G721" s="266"/>
      <c r="H721" s="265"/>
      <c r="I721" s="266"/>
      <c r="J721" s="265"/>
      <c r="K721" s="266"/>
      <c r="L721" s="266"/>
      <c r="M721" s="266"/>
      <c r="N721" s="265"/>
      <c r="O721" s="265"/>
      <c r="P721" s="267"/>
      <c r="Q721" s="267"/>
    </row>
    <row r="722" ht="12.75" customHeight="1" spans="1:17">
      <c r="A722" s="265"/>
      <c r="B722" s="265"/>
      <c r="C722" s="265"/>
      <c r="D722" s="265"/>
      <c r="E722" s="265"/>
      <c r="F722" s="265"/>
      <c r="G722" s="266"/>
      <c r="H722" s="265"/>
      <c r="I722" s="266"/>
      <c r="J722" s="265"/>
      <c r="K722" s="266"/>
      <c r="L722" s="266"/>
      <c r="M722" s="266"/>
      <c r="N722" s="265"/>
      <c r="O722" s="265"/>
      <c r="P722" s="267"/>
      <c r="Q722" s="267"/>
    </row>
    <row r="723" ht="12.75" customHeight="1" spans="1:17">
      <c r="A723" s="265"/>
      <c r="B723" s="265"/>
      <c r="C723" s="265"/>
      <c r="D723" s="265"/>
      <c r="E723" s="265"/>
      <c r="F723" s="265"/>
      <c r="G723" s="266"/>
      <c r="H723" s="265"/>
      <c r="I723" s="266"/>
      <c r="J723" s="265"/>
      <c r="K723" s="266"/>
      <c r="L723" s="266"/>
      <c r="M723" s="266"/>
      <c r="N723" s="265"/>
      <c r="O723" s="265"/>
      <c r="P723" s="267"/>
      <c r="Q723" s="267"/>
    </row>
    <row r="724" ht="12.75" customHeight="1" spans="1:17">
      <c r="A724" s="265"/>
      <c r="B724" s="265"/>
      <c r="C724" s="265"/>
      <c r="D724" s="265"/>
      <c r="E724" s="265"/>
      <c r="F724" s="265"/>
      <c r="G724" s="266"/>
      <c r="H724" s="265"/>
      <c r="I724" s="266"/>
      <c r="J724" s="265"/>
      <c r="K724" s="266"/>
      <c r="L724" s="266"/>
      <c r="M724" s="266"/>
      <c r="N724" s="265"/>
      <c r="O724" s="265"/>
      <c r="P724" s="267"/>
      <c r="Q724" s="267"/>
    </row>
    <row r="725" ht="12.75" customHeight="1" spans="1:17">
      <c r="A725" s="265"/>
      <c r="B725" s="265"/>
      <c r="C725" s="265"/>
      <c r="D725" s="265"/>
      <c r="E725" s="265"/>
      <c r="F725" s="265"/>
      <c r="G725" s="266"/>
      <c r="H725" s="265"/>
      <c r="I725" s="266"/>
      <c r="J725" s="265"/>
      <c r="K725" s="266"/>
      <c r="L725" s="266"/>
      <c r="M725" s="266"/>
      <c r="N725" s="265"/>
      <c r="O725" s="265"/>
      <c r="P725" s="267"/>
      <c r="Q725" s="267"/>
    </row>
    <row r="726" ht="12.75" customHeight="1" spans="1:17">
      <c r="A726" s="265"/>
      <c r="B726" s="265"/>
      <c r="C726" s="265"/>
      <c r="D726" s="265"/>
      <c r="E726" s="265"/>
      <c r="F726" s="265"/>
      <c r="G726" s="266"/>
      <c r="H726" s="265"/>
      <c r="I726" s="266"/>
      <c r="J726" s="265"/>
      <c r="K726" s="266"/>
      <c r="L726" s="266"/>
      <c r="M726" s="266"/>
      <c r="N726" s="265"/>
      <c r="O726" s="265"/>
      <c r="P726" s="267"/>
      <c r="Q726" s="267"/>
    </row>
    <row r="727" ht="12.75" customHeight="1" spans="1:17">
      <c r="A727" s="265"/>
      <c r="B727" s="265"/>
      <c r="C727" s="265"/>
      <c r="D727" s="265"/>
      <c r="E727" s="265"/>
      <c r="F727" s="265"/>
      <c r="G727" s="266"/>
      <c r="H727" s="265"/>
      <c r="I727" s="266"/>
      <c r="J727" s="265"/>
      <c r="K727" s="266"/>
      <c r="L727" s="266"/>
      <c r="M727" s="266"/>
      <c r="N727" s="265"/>
      <c r="O727" s="265"/>
      <c r="P727" s="267"/>
      <c r="Q727" s="267"/>
    </row>
    <row r="728" ht="12.75" customHeight="1" spans="1:17">
      <c r="A728" s="265"/>
      <c r="B728" s="265"/>
      <c r="C728" s="265"/>
      <c r="D728" s="265"/>
      <c r="E728" s="265"/>
      <c r="F728" s="265"/>
      <c r="G728" s="266"/>
      <c r="H728" s="265"/>
      <c r="I728" s="266"/>
      <c r="J728" s="265"/>
      <c r="K728" s="266"/>
      <c r="L728" s="266"/>
      <c r="M728" s="266"/>
      <c r="N728" s="265"/>
      <c r="O728" s="265"/>
      <c r="P728" s="267"/>
      <c r="Q728" s="267"/>
    </row>
    <row r="729" ht="12.75" customHeight="1" spans="1:17">
      <c r="A729" s="265"/>
      <c r="B729" s="265"/>
      <c r="C729" s="265"/>
      <c r="D729" s="265"/>
      <c r="E729" s="265"/>
      <c r="F729" s="265"/>
      <c r="G729" s="266"/>
      <c r="H729" s="265"/>
      <c r="I729" s="266"/>
      <c r="J729" s="265"/>
      <c r="K729" s="266"/>
      <c r="L729" s="266"/>
      <c r="M729" s="266"/>
      <c r="N729" s="265"/>
      <c r="O729" s="265"/>
      <c r="P729" s="267"/>
      <c r="Q729" s="267"/>
    </row>
    <row r="730" ht="12.75" customHeight="1" spans="1:17">
      <c r="A730" s="265"/>
      <c r="B730" s="265"/>
      <c r="C730" s="265"/>
      <c r="D730" s="265"/>
      <c r="E730" s="265"/>
      <c r="F730" s="265"/>
      <c r="G730" s="266"/>
      <c r="H730" s="265"/>
      <c r="I730" s="266"/>
      <c r="J730" s="265"/>
      <c r="K730" s="266"/>
      <c r="L730" s="266"/>
      <c r="M730" s="266"/>
      <c r="N730" s="265"/>
      <c r="O730" s="265"/>
      <c r="P730" s="267"/>
      <c r="Q730" s="267"/>
    </row>
    <row r="731" ht="12.75" customHeight="1" spans="1:17">
      <c r="A731" s="265"/>
      <c r="B731" s="265"/>
      <c r="C731" s="265"/>
      <c r="D731" s="265"/>
      <c r="E731" s="265"/>
      <c r="F731" s="265"/>
      <c r="G731" s="266"/>
      <c r="H731" s="265"/>
      <c r="I731" s="266"/>
      <c r="J731" s="265"/>
      <c r="K731" s="266"/>
      <c r="L731" s="266"/>
      <c r="M731" s="266"/>
      <c r="N731" s="265"/>
      <c r="O731" s="265"/>
      <c r="P731" s="267"/>
      <c r="Q731" s="267"/>
    </row>
    <row r="732" ht="12.75" customHeight="1" spans="1:17">
      <c r="A732" s="265"/>
      <c r="B732" s="265"/>
      <c r="C732" s="265"/>
      <c r="D732" s="265"/>
      <c r="E732" s="265"/>
      <c r="F732" s="265"/>
      <c r="G732" s="266"/>
      <c r="H732" s="265"/>
      <c r="I732" s="266"/>
      <c r="J732" s="265"/>
      <c r="K732" s="266"/>
      <c r="L732" s="266"/>
      <c r="M732" s="266"/>
      <c r="N732" s="265"/>
      <c r="O732" s="265"/>
      <c r="P732" s="267"/>
      <c r="Q732" s="267"/>
    </row>
    <row r="733" ht="12.75" customHeight="1" spans="1:17">
      <c r="A733" s="265"/>
      <c r="B733" s="265"/>
      <c r="C733" s="265"/>
      <c r="D733" s="265"/>
      <c r="E733" s="265"/>
      <c r="F733" s="265"/>
      <c r="G733" s="266"/>
      <c r="H733" s="265"/>
      <c r="I733" s="266"/>
      <c r="J733" s="265"/>
      <c r="K733" s="266"/>
      <c r="L733" s="266"/>
      <c r="M733" s="266"/>
      <c r="N733" s="265"/>
      <c r="O733" s="265"/>
      <c r="P733" s="267"/>
      <c r="Q733" s="267"/>
    </row>
    <row r="734" ht="12.75" customHeight="1" spans="1:17">
      <c r="A734" s="265"/>
      <c r="B734" s="265"/>
      <c r="C734" s="265"/>
      <c r="D734" s="265"/>
      <c r="E734" s="265"/>
      <c r="F734" s="265"/>
      <c r="G734" s="266"/>
      <c r="H734" s="265"/>
      <c r="I734" s="266"/>
      <c r="J734" s="265"/>
      <c r="K734" s="266"/>
      <c r="L734" s="266"/>
      <c r="M734" s="266"/>
      <c r="N734" s="265"/>
      <c r="O734" s="265"/>
      <c r="P734" s="267"/>
      <c r="Q734" s="267"/>
    </row>
    <row r="735" ht="12.75" customHeight="1" spans="1:17">
      <c r="A735" s="265"/>
      <c r="B735" s="265"/>
      <c r="C735" s="265"/>
      <c r="D735" s="265"/>
      <c r="E735" s="265"/>
      <c r="F735" s="265"/>
      <c r="G735" s="266"/>
      <c r="H735" s="265"/>
      <c r="I735" s="266"/>
      <c r="J735" s="265"/>
      <c r="K735" s="266"/>
      <c r="L735" s="266"/>
      <c r="M735" s="266"/>
      <c r="N735" s="265"/>
      <c r="O735" s="265"/>
      <c r="P735" s="267"/>
      <c r="Q735" s="267"/>
    </row>
    <row r="736" ht="12.75" customHeight="1" spans="1:17">
      <c r="A736" s="265"/>
      <c r="B736" s="265"/>
      <c r="C736" s="265"/>
      <c r="D736" s="265"/>
      <c r="E736" s="265"/>
      <c r="F736" s="265"/>
      <c r="G736" s="266"/>
      <c r="H736" s="265"/>
      <c r="I736" s="266"/>
      <c r="J736" s="265"/>
      <c r="K736" s="266"/>
      <c r="L736" s="266"/>
      <c r="M736" s="266"/>
      <c r="N736" s="265"/>
      <c r="O736" s="265"/>
      <c r="P736" s="267"/>
      <c r="Q736" s="267"/>
    </row>
    <row r="737" ht="12.75" customHeight="1" spans="1:17">
      <c r="A737" s="265"/>
      <c r="B737" s="265"/>
      <c r="C737" s="265"/>
      <c r="D737" s="265"/>
      <c r="E737" s="265"/>
      <c r="F737" s="265"/>
      <c r="G737" s="266"/>
      <c r="H737" s="265"/>
      <c r="I737" s="266"/>
      <c r="J737" s="265"/>
      <c r="K737" s="266"/>
      <c r="L737" s="266"/>
      <c r="M737" s="266"/>
      <c r="N737" s="265"/>
      <c r="O737" s="265"/>
      <c r="P737" s="267"/>
      <c r="Q737" s="267"/>
    </row>
    <row r="738" ht="12.75" customHeight="1" spans="1:17">
      <c r="A738" s="265"/>
      <c r="B738" s="265"/>
      <c r="C738" s="265"/>
      <c r="D738" s="265"/>
      <c r="E738" s="265"/>
      <c r="F738" s="265"/>
      <c r="G738" s="266"/>
      <c r="H738" s="265"/>
      <c r="I738" s="266"/>
      <c r="J738" s="265"/>
      <c r="K738" s="266"/>
      <c r="L738" s="266"/>
      <c r="M738" s="266"/>
      <c r="N738" s="265"/>
      <c r="O738" s="265"/>
      <c r="P738" s="267"/>
      <c r="Q738" s="267"/>
    </row>
    <row r="739" ht="12.75" customHeight="1" spans="1:17">
      <c r="A739" s="265"/>
      <c r="B739" s="265"/>
      <c r="C739" s="265"/>
      <c r="D739" s="265"/>
      <c r="E739" s="265"/>
      <c r="F739" s="265"/>
      <c r="G739" s="266"/>
      <c r="H739" s="265"/>
      <c r="I739" s="266"/>
      <c r="J739" s="265"/>
      <c r="K739" s="266"/>
      <c r="L739" s="266"/>
      <c r="M739" s="266"/>
      <c r="N739" s="265"/>
      <c r="O739" s="265"/>
      <c r="P739" s="267"/>
      <c r="Q739" s="267"/>
    </row>
    <row r="740" ht="12.75" customHeight="1" spans="1:17">
      <c r="A740" s="265"/>
      <c r="B740" s="265"/>
      <c r="C740" s="265"/>
      <c r="D740" s="265"/>
      <c r="E740" s="265"/>
      <c r="F740" s="265"/>
      <c r="G740" s="266"/>
      <c r="H740" s="265"/>
      <c r="I740" s="266"/>
      <c r="J740" s="265"/>
      <c r="K740" s="266"/>
      <c r="L740" s="266"/>
      <c r="M740" s="266"/>
      <c r="N740" s="265"/>
      <c r="O740" s="265"/>
      <c r="P740" s="267"/>
      <c r="Q740" s="267"/>
    </row>
    <row r="741" ht="12.75" customHeight="1" spans="1:17">
      <c r="A741" s="265"/>
      <c r="B741" s="265"/>
      <c r="C741" s="265"/>
      <c r="D741" s="265"/>
      <c r="E741" s="265"/>
      <c r="F741" s="265"/>
      <c r="G741" s="266"/>
      <c r="H741" s="265"/>
      <c r="I741" s="266"/>
      <c r="J741" s="265"/>
      <c r="K741" s="266"/>
      <c r="L741" s="266"/>
      <c r="M741" s="266"/>
      <c r="N741" s="265"/>
      <c r="O741" s="265"/>
      <c r="P741" s="267"/>
      <c r="Q741" s="267"/>
    </row>
    <row r="742" ht="12.75" customHeight="1" spans="1:17">
      <c r="A742" s="265"/>
      <c r="B742" s="265"/>
      <c r="C742" s="265"/>
      <c r="D742" s="265"/>
      <c r="E742" s="265"/>
      <c r="F742" s="265"/>
      <c r="G742" s="266"/>
      <c r="H742" s="265"/>
      <c r="I742" s="266"/>
      <c r="J742" s="265"/>
      <c r="K742" s="266"/>
      <c r="L742" s="266"/>
      <c r="M742" s="266"/>
      <c r="N742" s="265"/>
      <c r="O742" s="265"/>
      <c r="P742" s="267"/>
      <c r="Q742" s="267"/>
    </row>
    <row r="743" ht="12.75" customHeight="1" spans="1:17">
      <c r="A743" s="265"/>
      <c r="B743" s="265"/>
      <c r="C743" s="265"/>
      <c r="D743" s="265"/>
      <c r="E743" s="265"/>
      <c r="F743" s="265"/>
      <c r="G743" s="266"/>
      <c r="H743" s="265"/>
      <c r="I743" s="266"/>
      <c r="J743" s="265"/>
      <c r="K743" s="266"/>
      <c r="L743" s="266"/>
      <c r="M743" s="266"/>
      <c r="N743" s="265"/>
      <c r="O743" s="265"/>
      <c r="P743" s="267"/>
      <c r="Q743" s="267"/>
    </row>
    <row r="744" ht="12.75" customHeight="1" spans="1:17">
      <c r="A744" s="265"/>
      <c r="B744" s="265"/>
      <c r="C744" s="265"/>
      <c r="D744" s="265"/>
      <c r="E744" s="265"/>
      <c r="F744" s="265"/>
      <c r="G744" s="266"/>
      <c r="H744" s="265"/>
      <c r="I744" s="266"/>
      <c r="J744" s="265"/>
      <c r="K744" s="266"/>
      <c r="L744" s="266"/>
      <c r="M744" s="266"/>
      <c r="N744" s="265"/>
      <c r="O744" s="265"/>
      <c r="P744" s="267"/>
      <c r="Q744" s="267"/>
    </row>
    <row r="745" ht="12.75" customHeight="1" spans="1:17">
      <c r="A745" s="265"/>
      <c r="B745" s="265"/>
      <c r="C745" s="265"/>
      <c r="D745" s="265"/>
      <c r="E745" s="265"/>
      <c r="F745" s="265"/>
      <c r="G745" s="266"/>
      <c r="H745" s="265"/>
      <c r="I745" s="266"/>
      <c r="J745" s="265"/>
      <c r="K745" s="266"/>
      <c r="L745" s="266"/>
      <c r="M745" s="266"/>
      <c r="N745" s="265"/>
      <c r="O745" s="265"/>
      <c r="P745" s="267"/>
      <c r="Q745" s="267"/>
    </row>
    <row r="746" ht="12.75" customHeight="1" spans="1:17">
      <c r="A746" s="265"/>
      <c r="B746" s="265"/>
      <c r="C746" s="265"/>
      <c r="D746" s="265"/>
      <c r="E746" s="265"/>
      <c r="F746" s="265"/>
      <c r="G746" s="266"/>
      <c r="H746" s="265"/>
      <c r="I746" s="266"/>
      <c r="J746" s="265"/>
      <c r="K746" s="266"/>
      <c r="L746" s="266"/>
      <c r="M746" s="266"/>
      <c r="N746" s="265"/>
      <c r="O746" s="265"/>
      <c r="P746" s="267"/>
      <c r="Q746" s="267"/>
    </row>
    <row r="747" ht="12.75" customHeight="1" spans="1:17">
      <c r="A747" s="265"/>
      <c r="B747" s="265"/>
      <c r="C747" s="265"/>
      <c r="D747" s="265"/>
      <c r="E747" s="265"/>
      <c r="F747" s="265"/>
      <c r="G747" s="266"/>
      <c r="H747" s="265"/>
      <c r="I747" s="266"/>
      <c r="J747" s="265"/>
      <c r="K747" s="266"/>
      <c r="L747" s="266"/>
      <c r="M747" s="266"/>
      <c r="N747" s="265"/>
      <c r="O747" s="265"/>
      <c r="P747" s="267"/>
      <c r="Q747" s="267"/>
    </row>
    <row r="748" ht="12.75" customHeight="1" spans="1:17">
      <c r="A748" s="265"/>
      <c r="B748" s="265"/>
      <c r="C748" s="265"/>
      <c r="D748" s="265"/>
      <c r="E748" s="265"/>
      <c r="F748" s="265"/>
      <c r="G748" s="266"/>
      <c r="H748" s="265"/>
      <c r="I748" s="266"/>
      <c r="J748" s="265"/>
      <c r="K748" s="266"/>
      <c r="L748" s="266"/>
      <c r="M748" s="266"/>
      <c r="N748" s="265"/>
      <c r="O748" s="265"/>
      <c r="P748" s="267"/>
      <c r="Q748" s="267"/>
    </row>
    <row r="749" ht="12.75" customHeight="1" spans="1:17">
      <c r="A749" s="265"/>
      <c r="B749" s="265"/>
      <c r="C749" s="265"/>
      <c r="D749" s="265"/>
      <c r="E749" s="265"/>
      <c r="F749" s="265"/>
      <c r="G749" s="266"/>
      <c r="H749" s="265"/>
      <c r="I749" s="266"/>
      <c r="J749" s="265"/>
      <c r="K749" s="266"/>
      <c r="L749" s="266"/>
      <c r="M749" s="266"/>
      <c r="N749" s="265"/>
      <c r="O749" s="265"/>
      <c r="P749" s="267"/>
      <c r="Q749" s="267"/>
    </row>
    <row r="750" ht="12.75" customHeight="1" spans="1:17">
      <c r="A750" s="265"/>
      <c r="B750" s="265"/>
      <c r="C750" s="265"/>
      <c r="D750" s="265"/>
      <c r="E750" s="265"/>
      <c r="F750" s="265"/>
      <c r="G750" s="266"/>
      <c r="H750" s="265"/>
      <c r="I750" s="266"/>
      <c r="J750" s="265"/>
      <c r="K750" s="266"/>
      <c r="L750" s="266"/>
      <c r="M750" s="266"/>
      <c r="N750" s="265"/>
      <c r="O750" s="265"/>
      <c r="P750" s="267"/>
      <c r="Q750" s="267"/>
    </row>
    <row r="751" ht="12.75" customHeight="1" spans="1:17">
      <c r="A751" s="265"/>
      <c r="B751" s="265"/>
      <c r="C751" s="265"/>
      <c r="D751" s="265"/>
      <c r="E751" s="265"/>
      <c r="F751" s="265"/>
      <c r="G751" s="266"/>
      <c r="H751" s="265"/>
      <c r="I751" s="266"/>
      <c r="J751" s="265"/>
      <c r="K751" s="266"/>
      <c r="L751" s="266"/>
      <c r="M751" s="266"/>
      <c r="N751" s="265"/>
      <c r="O751" s="265"/>
      <c r="P751" s="267"/>
      <c r="Q751" s="267"/>
    </row>
    <row r="752" ht="12.75" customHeight="1" spans="1:17">
      <c r="A752" s="265"/>
      <c r="B752" s="265"/>
      <c r="C752" s="265"/>
      <c r="D752" s="265"/>
      <c r="E752" s="265"/>
      <c r="F752" s="265"/>
      <c r="G752" s="266"/>
      <c r="H752" s="265"/>
      <c r="I752" s="266"/>
      <c r="J752" s="265"/>
      <c r="K752" s="266"/>
      <c r="L752" s="266"/>
      <c r="M752" s="266"/>
      <c r="N752" s="265"/>
      <c r="O752" s="265"/>
      <c r="P752" s="267"/>
      <c r="Q752" s="267"/>
    </row>
    <row r="753" ht="12.75" customHeight="1" spans="1:17">
      <c r="A753" s="265"/>
      <c r="B753" s="265"/>
      <c r="C753" s="265"/>
      <c r="D753" s="265"/>
      <c r="E753" s="265"/>
      <c r="F753" s="265"/>
      <c r="G753" s="266"/>
      <c r="H753" s="265"/>
      <c r="I753" s="266"/>
      <c r="J753" s="265"/>
      <c r="K753" s="266"/>
      <c r="L753" s="266"/>
      <c r="M753" s="266"/>
      <c r="N753" s="265"/>
      <c r="O753" s="265"/>
      <c r="P753" s="267"/>
      <c r="Q753" s="267"/>
    </row>
    <row r="754" ht="12.75" customHeight="1" spans="1:17">
      <c r="A754" s="265"/>
      <c r="B754" s="265"/>
      <c r="C754" s="265"/>
      <c r="D754" s="265"/>
      <c r="E754" s="265"/>
      <c r="F754" s="265"/>
      <c r="G754" s="266"/>
      <c r="H754" s="265"/>
      <c r="I754" s="266"/>
      <c r="J754" s="265"/>
      <c r="K754" s="266"/>
      <c r="L754" s="266"/>
      <c r="M754" s="266"/>
      <c r="N754" s="265"/>
      <c r="O754" s="265"/>
      <c r="P754" s="267"/>
      <c r="Q754" s="267"/>
    </row>
    <row r="755" ht="12.75" customHeight="1" spans="1:17">
      <c r="A755" s="265"/>
      <c r="B755" s="265"/>
      <c r="C755" s="265"/>
      <c r="D755" s="265"/>
      <c r="E755" s="265"/>
      <c r="F755" s="265"/>
      <c r="G755" s="266"/>
      <c r="H755" s="265"/>
      <c r="I755" s="266"/>
      <c r="J755" s="265"/>
      <c r="K755" s="266"/>
      <c r="L755" s="266"/>
      <c r="M755" s="266"/>
      <c r="N755" s="265"/>
      <c r="O755" s="265"/>
      <c r="P755" s="267"/>
      <c r="Q755" s="267"/>
    </row>
    <row r="756" ht="12.75" customHeight="1" spans="1:17">
      <c r="A756" s="265"/>
      <c r="B756" s="265"/>
      <c r="C756" s="265"/>
      <c r="D756" s="265"/>
      <c r="E756" s="265"/>
      <c r="F756" s="265"/>
      <c r="G756" s="266"/>
      <c r="H756" s="265"/>
      <c r="I756" s="266"/>
      <c r="J756" s="265"/>
      <c r="K756" s="266"/>
      <c r="L756" s="266"/>
      <c r="M756" s="266"/>
      <c r="N756" s="265"/>
      <c r="O756" s="265"/>
      <c r="P756" s="267"/>
      <c r="Q756" s="267"/>
    </row>
    <row r="757" ht="12.75" customHeight="1" spans="1:17">
      <c r="A757" s="265"/>
      <c r="B757" s="265"/>
      <c r="C757" s="265"/>
      <c r="D757" s="265"/>
      <c r="E757" s="265"/>
      <c r="F757" s="265"/>
      <c r="G757" s="266"/>
      <c r="H757" s="265"/>
      <c r="I757" s="266"/>
      <c r="J757" s="265"/>
      <c r="K757" s="266"/>
      <c r="L757" s="266"/>
      <c r="M757" s="266"/>
      <c r="N757" s="265"/>
      <c r="O757" s="265"/>
      <c r="P757" s="267"/>
      <c r="Q757" s="267"/>
    </row>
    <row r="758" ht="12.75" customHeight="1" spans="1:17">
      <c r="A758" s="265"/>
      <c r="B758" s="265"/>
      <c r="C758" s="265"/>
      <c r="D758" s="265"/>
      <c r="E758" s="265"/>
      <c r="F758" s="265"/>
      <c r="G758" s="266"/>
      <c r="H758" s="265"/>
      <c r="I758" s="266"/>
      <c r="J758" s="265"/>
      <c r="K758" s="266"/>
      <c r="L758" s="266"/>
      <c r="M758" s="266"/>
      <c r="N758" s="265"/>
      <c r="O758" s="265"/>
      <c r="P758" s="267"/>
      <c r="Q758" s="267"/>
    </row>
    <row r="759" ht="12.75" customHeight="1" spans="1:17">
      <c r="A759" s="265"/>
      <c r="B759" s="265"/>
      <c r="C759" s="265"/>
      <c r="D759" s="265"/>
      <c r="E759" s="265"/>
      <c r="F759" s="265"/>
      <c r="G759" s="266"/>
      <c r="H759" s="265"/>
      <c r="I759" s="266"/>
      <c r="J759" s="265"/>
      <c r="K759" s="266"/>
      <c r="L759" s="266"/>
      <c r="M759" s="266"/>
      <c r="N759" s="265"/>
      <c r="O759" s="265"/>
      <c r="P759" s="267"/>
      <c r="Q759" s="267"/>
    </row>
    <row r="760" ht="12.75" customHeight="1" spans="1:17">
      <c r="A760" s="265"/>
      <c r="B760" s="265"/>
      <c r="C760" s="265"/>
      <c r="D760" s="265"/>
      <c r="E760" s="265"/>
      <c r="F760" s="265"/>
      <c r="G760" s="266"/>
      <c r="H760" s="265"/>
      <c r="I760" s="266"/>
      <c r="J760" s="265"/>
      <c r="K760" s="266"/>
      <c r="L760" s="266"/>
      <c r="M760" s="266"/>
      <c r="N760" s="265"/>
      <c r="O760" s="265"/>
      <c r="P760" s="267"/>
      <c r="Q760" s="267"/>
    </row>
    <row r="761" ht="12.75" customHeight="1" spans="1:17">
      <c r="A761" s="265"/>
      <c r="B761" s="265"/>
      <c r="C761" s="265"/>
      <c r="D761" s="265"/>
      <c r="E761" s="265"/>
      <c r="F761" s="265"/>
      <c r="G761" s="266"/>
      <c r="H761" s="265"/>
      <c r="I761" s="266"/>
      <c r="J761" s="265"/>
      <c r="K761" s="266"/>
      <c r="L761" s="266"/>
      <c r="M761" s="266"/>
      <c r="N761" s="265"/>
      <c r="O761" s="265"/>
      <c r="P761" s="267"/>
      <c r="Q761" s="267"/>
    </row>
    <row r="762" ht="12.75" customHeight="1" spans="1:17">
      <c r="A762" s="265"/>
      <c r="B762" s="265"/>
      <c r="C762" s="265"/>
      <c r="D762" s="265"/>
      <c r="E762" s="265"/>
      <c r="F762" s="265"/>
      <c r="G762" s="266"/>
      <c r="H762" s="265"/>
      <c r="I762" s="266"/>
      <c r="J762" s="265"/>
      <c r="K762" s="266"/>
      <c r="L762" s="266"/>
      <c r="M762" s="266"/>
      <c r="N762" s="265"/>
      <c r="O762" s="265"/>
      <c r="P762" s="267"/>
      <c r="Q762" s="267"/>
    </row>
    <row r="763" ht="12.75" customHeight="1" spans="1:17">
      <c r="A763" s="265"/>
      <c r="B763" s="265"/>
      <c r="C763" s="265"/>
      <c r="D763" s="265"/>
      <c r="E763" s="265"/>
      <c r="F763" s="265"/>
      <c r="G763" s="266"/>
      <c r="H763" s="265"/>
      <c r="I763" s="266"/>
      <c r="J763" s="265"/>
      <c r="K763" s="266"/>
      <c r="L763" s="266"/>
      <c r="M763" s="266"/>
      <c r="N763" s="265"/>
      <c r="O763" s="265"/>
      <c r="P763" s="267"/>
      <c r="Q763" s="267"/>
    </row>
    <row r="764" ht="12.75" customHeight="1" spans="1:17">
      <c r="A764" s="265"/>
      <c r="B764" s="265"/>
      <c r="C764" s="265"/>
      <c r="D764" s="265"/>
      <c r="E764" s="265"/>
      <c r="F764" s="265"/>
      <c r="G764" s="266"/>
      <c r="H764" s="265"/>
      <c r="I764" s="266"/>
      <c r="J764" s="265"/>
      <c r="K764" s="266"/>
      <c r="L764" s="266"/>
      <c r="M764" s="266"/>
      <c r="N764" s="265"/>
      <c r="O764" s="265"/>
      <c r="P764" s="267"/>
      <c r="Q764" s="267"/>
    </row>
    <row r="765" ht="12.75" customHeight="1" spans="1:17">
      <c r="A765" s="265"/>
      <c r="B765" s="265"/>
      <c r="C765" s="265"/>
      <c r="D765" s="265"/>
      <c r="E765" s="265"/>
      <c r="F765" s="265"/>
      <c r="G765" s="266"/>
      <c r="H765" s="265"/>
      <c r="I765" s="266"/>
      <c r="J765" s="265"/>
      <c r="K765" s="266"/>
      <c r="L765" s="266"/>
      <c r="M765" s="266"/>
      <c r="N765" s="265"/>
      <c r="O765" s="265"/>
      <c r="P765" s="267"/>
      <c r="Q765" s="267"/>
    </row>
    <row r="766" ht="12.75" customHeight="1" spans="1:17">
      <c r="A766" s="265"/>
      <c r="B766" s="265"/>
      <c r="C766" s="265"/>
      <c r="D766" s="265"/>
      <c r="E766" s="265"/>
      <c r="F766" s="265"/>
      <c r="G766" s="266"/>
      <c r="H766" s="265"/>
      <c r="I766" s="266"/>
      <c r="J766" s="265"/>
      <c r="K766" s="266"/>
      <c r="L766" s="266"/>
      <c r="M766" s="266"/>
      <c r="N766" s="265"/>
      <c r="O766" s="265"/>
      <c r="P766" s="267"/>
      <c r="Q766" s="267"/>
    </row>
    <row r="767" ht="12.75" customHeight="1" spans="1:17">
      <c r="A767" s="265"/>
      <c r="B767" s="265"/>
      <c r="C767" s="265"/>
      <c r="D767" s="265"/>
      <c r="E767" s="265"/>
      <c r="F767" s="265"/>
      <c r="G767" s="266"/>
      <c r="H767" s="265"/>
      <c r="I767" s="266"/>
      <c r="J767" s="265"/>
      <c r="K767" s="266"/>
      <c r="L767" s="266"/>
      <c r="M767" s="266"/>
      <c r="N767" s="265"/>
      <c r="O767" s="265"/>
      <c r="P767" s="267"/>
      <c r="Q767" s="267"/>
    </row>
    <row r="768" ht="12.75" customHeight="1" spans="1:17">
      <c r="A768" s="265"/>
      <c r="B768" s="265"/>
      <c r="C768" s="265"/>
      <c r="D768" s="265"/>
      <c r="E768" s="265"/>
      <c r="F768" s="265"/>
      <c r="G768" s="266"/>
      <c r="H768" s="265"/>
      <c r="I768" s="266"/>
      <c r="J768" s="265"/>
      <c r="K768" s="266"/>
      <c r="L768" s="266"/>
      <c r="M768" s="266"/>
      <c r="N768" s="265"/>
      <c r="O768" s="265"/>
      <c r="P768" s="267"/>
      <c r="Q768" s="267"/>
    </row>
    <row r="769" ht="12.75" customHeight="1" spans="1:17">
      <c r="A769" s="265"/>
      <c r="B769" s="265"/>
      <c r="C769" s="265"/>
      <c r="D769" s="265"/>
      <c r="E769" s="265"/>
      <c r="F769" s="265"/>
      <c r="G769" s="266"/>
      <c r="H769" s="265"/>
      <c r="I769" s="266"/>
      <c r="J769" s="265"/>
      <c r="K769" s="266"/>
      <c r="L769" s="266"/>
      <c r="M769" s="266"/>
      <c r="N769" s="265"/>
      <c r="O769" s="265"/>
      <c r="P769" s="267"/>
      <c r="Q769" s="267"/>
    </row>
    <row r="770" ht="12.75" customHeight="1" spans="1:17">
      <c r="A770" s="265"/>
      <c r="B770" s="265"/>
      <c r="C770" s="265"/>
      <c r="D770" s="265"/>
      <c r="E770" s="265"/>
      <c r="F770" s="265"/>
      <c r="G770" s="266"/>
      <c r="H770" s="265"/>
      <c r="I770" s="266"/>
      <c r="J770" s="265"/>
      <c r="K770" s="266"/>
      <c r="L770" s="266"/>
      <c r="M770" s="266"/>
      <c r="N770" s="265"/>
      <c r="O770" s="265"/>
      <c r="P770" s="267"/>
      <c r="Q770" s="267"/>
    </row>
    <row r="771" ht="12.75" customHeight="1" spans="1:17">
      <c r="A771" s="265"/>
      <c r="B771" s="265"/>
      <c r="C771" s="265"/>
      <c r="D771" s="265"/>
      <c r="E771" s="265"/>
      <c r="F771" s="265"/>
      <c r="G771" s="266"/>
      <c r="H771" s="265"/>
      <c r="I771" s="266"/>
      <c r="J771" s="265"/>
      <c r="K771" s="266"/>
      <c r="L771" s="266"/>
      <c r="M771" s="266"/>
      <c r="N771" s="265"/>
      <c r="O771" s="265"/>
      <c r="P771" s="267"/>
      <c r="Q771" s="267"/>
    </row>
    <row r="772" ht="12.75" customHeight="1" spans="1:17">
      <c r="A772" s="265"/>
      <c r="B772" s="265"/>
      <c r="C772" s="265"/>
      <c r="D772" s="265"/>
      <c r="E772" s="265"/>
      <c r="F772" s="265"/>
      <c r="G772" s="266"/>
      <c r="H772" s="265"/>
      <c r="I772" s="266"/>
      <c r="J772" s="265"/>
      <c r="K772" s="266"/>
      <c r="L772" s="266"/>
      <c r="M772" s="266"/>
      <c r="N772" s="265"/>
      <c r="O772" s="265"/>
      <c r="P772" s="267"/>
      <c r="Q772" s="267"/>
    </row>
    <row r="773" ht="12.75" customHeight="1" spans="1:17">
      <c r="A773" s="265"/>
      <c r="B773" s="265"/>
      <c r="C773" s="265"/>
      <c r="D773" s="265"/>
      <c r="E773" s="265"/>
      <c r="F773" s="265"/>
      <c r="G773" s="266"/>
      <c r="H773" s="265"/>
      <c r="I773" s="266"/>
      <c r="J773" s="265"/>
      <c r="K773" s="266"/>
      <c r="L773" s="266"/>
      <c r="M773" s="266"/>
      <c r="N773" s="265"/>
      <c r="O773" s="265"/>
      <c r="P773" s="267"/>
      <c r="Q773" s="267"/>
    </row>
    <row r="774" ht="12.75" customHeight="1" spans="1:17">
      <c r="A774" s="265"/>
      <c r="B774" s="265"/>
      <c r="C774" s="265"/>
      <c r="D774" s="265"/>
      <c r="E774" s="265"/>
      <c r="F774" s="265"/>
      <c r="G774" s="266"/>
      <c r="H774" s="265"/>
      <c r="I774" s="266"/>
      <c r="J774" s="265"/>
      <c r="K774" s="266"/>
      <c r="L774" s="266"/>
      <c r="M774" s="266"/>
      <c r="N774" s="265"/>
      <c r="O774" s="265"/>
      <c r="P774" s="267"/>
      <c r="Q774" s="267"/>
    </row>
    <row r="775" ht="12.75" customHeight="1" spans="1:17">
      <c r="A775" s="265"/>
      <c r="B775" s="265"/>
      <c r="C775" s="265"/>
      <c r="D775" s="265"/>
      <c r="E775" s="265"/>
      <c r="F775" s="265"/>
      <c r="G775" s="266"/>
      <c r="H775" s="265"/>
      <c r="I775" s="266"/>
      <c r="J775" s="265"/>
      <c r="K775" s="266"/>
      <c r="L775" s="266"/>
      <c r="M775" s="266"/>
      <c r="N775" s="265"/>
      <c r="O775" s="265"/>
      <c r="P775" s="267"/>
      <c r="Q775" s="267"/>
    </row>
    <row r="776" ht="12.75" customHeight="1" spans="1:17">
      <c r="A776" s="265"/>
      <c r="B776" s="265"/>
      <c r="C776" s="265"/>
      <c r="D776" s="265"/>
      <c r="E776" s="265"/>
      <c r="F776" s="265"/>
      <c r="G776" s="266"/>
      <c r="H776" s="265"/>
      <c r="I776" s="266"/>
      <c r="J776" s="265"/>
      <c r="K776" s="266"/>
      <c r="L776" s="266"/>
      <c r="M776" s="266"/>
      <c r="N776" s="265"/>
      <c r="O776" s="265"/>
      <c r="P776" s="267"/>
      <c r="Q776" s="267"/>
    </row>
    <row r="777" ht="12.75" customHeight="1" spans="1:17">
      <c r="A777" s="265"/>
      <c r="B777" s="265"/>
      <c r="C777" s="265"/>
      <c r="D777" s="265"/>
      <c r="E777" s="265"/>
      <c r="F777" s="265"/>
      <c r="G777" s="266"/>
      <c r="H777" s="265"/>
      <c r="I777" s="266"/>
      <c r="J777" s="265"/>
      <c r="K777" s="266"/>
      <c r="L777" s="266"/>
      <c r="M777" s="266"/>
      <c r="N777" s="265"/>
      <c r="O777" s="265"/>
      <c r="P777" s="267"/>
      <c r="Q777" s="267"/>
    </row>
    <row r="778" ht="12.75" customHeight="1" spans="1:17">
      <c r="A778" s="265"/>
      <c r="B778" s="265"/>
      <c r="C778" s="265"/>
      <c r="D778" s="265"/>
      <c r="E778" s="265"/>
      <c r="F778" s="265"/>
      <c r="G778" s="266"/>
      <c r="H778" s="265"/>
      <c r="I778" s="266"/>
      <c r="J778" s="265"/>
      <c r="K778" s="266"/>
      <c r="L778" s="266"/>
      <c r="M778" s="266"/>
      <c r="N778" s="265"/>
      <c r="O778" s="265"/>
      <c r="P778" s="267"/>
      <c r="Q778" s="267"/>
    </row>
    <row r="779" ht="12.75" customHeight="1" spans="1:17">
      <c r="A779" s="265"/>
      <c r="B779" s="265"/>
      <c r="C779" s="265"/>
      <c r="D779" s="265"/>
      <c r="E779" s="265"/>
      <c r="F779" s="265"/>
      <c r="G779" s="266"/>
      <c r="H779" s="265"/>
      <c r="I779" s="266"/>
      <c r="J779" s="265"/>
      <c r="K779" s="266"/>
      <c r="L779" s="266"/>
      <c r="M779" s="266"/>
      <c r="N779" s="265"/>
      <c r="O779" s="265"/>
      <c r="P779" s="267"/>
      <c r="Q779" s="267"/>
    </row>
    <row r="780" ht="12.75" customHeight="1" spans="1:17">
      <c r="A780" s="265"/>
      <c r="B780" s="265"/>
      <c r="C780" s="265"/>
      <c r="D780" s="265"/>
      <c r="E780" s="265"/>
      <c r="F780" s="265"/>
      <c r="G780" s="266"/>
      <c r="H780" s="265"/>
      <c r="I780" s="266"/>
      <c r="J780" s="265"/>
      <c r="K780" s="266"/>
      <c r="L780" s="266"/>
      <c r="M780" s="266"/>
      <c r="N780" s="265"/>
      <c r="O780" s="265"/>
      <c r="P780" s="267"/>
      <c r="Q780" s="267"/>
    </row>
    <row r="781" ht="12.75" customHeight="1" spans="1:17">
      <c r="A781" s="265"/>
      <c r="B781" s="265"/>
      <c r="C781" s="265"/>
      <c r="D781" s="265"/>
      <c r="E781" s="265"/>
      <c r="F781" s="265"/>
      <c r="G781" s="266"/>
      <c r="H781" s="265"/>
      <c r="I781" s="266"/>
      <c r="J781" s="265"/>
      <c r="K781" s="266"/>
      <c r="L781" s="266"/>
      <c r="M781" s="266"/>
      <c r="N781" s="265"/>
      <c r="O781" s="265"/>
      <c r="P781" s="267"/>
      <c r="Q781" s="267"/>
    </row>
    <row r="782" ht="12.75" customHeight="1" spans="1:17">
      <c r="A782" s="265"/>
      <c r="B782" s="265"/>
      <c r="C782" s="265"/>
      <c r="D782" s="265"/>
      <c r="E782" s="265"/>
      <c r="F782" s="265"/>
      <c r="G782" s="266"/>
      <c r="H782" s="265"/>
      <c r="I782" s="266"/>
      <c r="J782" s="265"/>
      <c r="K782" s="266"/>
      <c r="L782" s="266"/>
      <c r="M782" s="266"/>
      <c r="N782" s="265"/>
      <c r="O782" s="265"/>
      <c r="P782" s="267"/>
      <c r="Q782" s="267"/>
    </row>
    <row r="783" ht="12.75" customHeight="1" spans="1:17">
      <c r="A783" s="265"/>
      <c r="B783" s="265"/>
      <c r="C783" s="265"/>
      <c r="D783" s="265"/>
      <c r="E783" s="265"/>
      <c r="F783" s="265"/>
      <c r="G783" s="266"/>
      <c r="H783" s="265"/>
      <c r="I783" s="266"/>
      <c r="J783" s="265"/>
      <c r="K783" s="266"/>
      <c r="L783" s="266"/>
      <c r="M783" s="266"/>
      <c r="N783" s="265"/>
      <c r="O783" s="265"/>
      <c r="P783" s="267"/>
      <c r="Q783" s="267"/>
    </row>
    <row r="784" ht="12.75" customHeight="1" spans="1:17">
      <c r="A784" s="265"/>
      <c r="B784" s="265"/>
      <c r="C784" s="265"/>
      <c r="D784" s="265"/>
      <c r="E784" s="265"/>
      <c r="F784" s="265"/>
      <c r="G784" s="266"/>
      <c r="H784" s="265"/>
      <c r="I784" s="266"/>
      <c r="J784" s="265"/>
      <c r="K784" s="266"/>
      <c r="L784" s="266"/>
      <c r="M784" s="266"/>
      <c r="N784" s="265"/>
      <c r="O784" s="265"/>
      <c r="P784" s="267"/>
      <c r="Q784" s="267"/>
    </row>
    <row r="785" ht="12.75" customHeight="1" spans="1:17">
      <c r="A785" s="265"/>
      <c r="B785" s="265"/>
      <c r="C785" s="265"/>
      <c r="D785" s="265"/>
      <c r="E785" s="265"/>
      <c r="F785" s="265"/>
      <c r="G785" s="266"/>
      <c r="H785" s="265"/>
      <c r="I785" s="266"/>
      <c r="J785" s="265"/>
      <c r="K785" s="266"/>
      <c r="L785" s="266"/>
      <c r="M785" s="266"/>
      <c r="N785" s="265"/>
      <c r="O785" s="265"/>
      <c r="P785" s="267"/>
      <c r="Q785" s="267"/>
    </row>
    <row r="786" ht="12.75" customHeight="1" spans="1:17">
      <c r="A786" s="265"/>
      <c r="B786" s="265"/>
      <c r="C786" s="265"/>
      <c r="D786" s="265"/>
      <c r="E786" s="265"/>
      <c r="F786" s="265"/>
      <c r="G786" s="266"/>
      <c r="H786" s="265"/>
      <c r="I786" s="266"/>
      <c r="J786" s="265"/>
      <c r="K786" s="266"/>
      <c r="L786" s="266"/>
      <c r="M786" s="266"/>
      <c r="N786" s="265"/>
      <c r="O786" s="265"/>
      <c r="P786" s="267"/>
      <c r="Q786" s="267"/>
    </row>
    <row r="787" ht="12.75" customHeight="1" spans="1:17">
      <c r="A787" s="265"/>
      <c r="B787" s="265"/>
      <c r="C787" s="265"/>
      <c r="D787" s="265"/>
      <c r="E787" s="265"/>
      <c r="F787" s="265"/>
      <c r="G787" s="266"/>
      <c r="H787" s="265"/>
      <c r="I787" s="266"/>
      <c r="J787" s="265"/>
      <c r="K787" s="266"/>
      <c r="L787" s="266"/>
      <c r="M787" s="266"/>
      <c r="N787" s="265"/>
      <c r="O787" s="265"/>
      <c r="P787" s="267"/>
      <c r="Q787" s="267"/>
    </row>
    <row r="788" ht="12.75" customHeight="1" spans="1:17">
      <c r="A788" s="265"/>
      <c r="B788" s="265"/>
      <c r="C788" s="265"/>
      <c r="D788" s="265"/>
      <c r="E788" s="265"/>
      <c r="F788" s="265"/>
      <c r="G788" s="266"/>
      <c r="H788" s="265"/>
      <c r="I788" s="266"/>
      <c r="J788" s="265"/>
      <c r="K788" s="266"/>
      <c r="L788" s="266"/>
      <c r="M788" s="266"/>
      <c r="N788" s="265"/>
      <c r="O788" s="265"/>
      <c r="P788" s="267"/>
      <c r="Q788" s="267"/>
    </row>
    <row r="789" ht="12.75" customHeight="1" spans="1:17">
      <c r="A789" s="265"/>
      <c r="B789" s="265"/>
      <c r="C789" s="265"/>
      <c r="D789" s="265"/>
      <c r="E789" s="265"/>
      <c r="F789" s="265"/>
      <c r="G789" s="266"/>
      <c r="H789" s="265"/>
      <c r="I789" s="266"/>
      <c r="J789" s="265"/>
      <c r="K789" s="266"/>
      <c r="L789" s="266"/>
      <c r="M789" s="266"/>
      <c r="N789" s="265"/>
      <c r="O789" s="265"/>
      <c r="P789" s="267"/>
      <c r="Q789" s="267"/>
    </row>
    <row r="790" ht="12.75" customHeight="1" spans="1:17">
      <c r="A790" s="265"/>
      <c r="B790" s="265"/>
      <c r="C790" s="265"/>
      <c r="D790" s="265"/>
      <c r="E790" s="265"/>
      <c r="F790" s="265"/>
      <c r="G790" s="266"/>
      <c r="H790" s="265"/>
      <c r="I790" s="266"/>
      <c r="J790" s="265"/>
      <c r="K790" s="266"/>
      <c r="L790" s="266"/>
      <c r="M790" s="266"/>
      <c r="N790" s="265"/>
      <c r="O790" s="265"/>
      <c r="P790" s="267"/>
      <c r="Q790" s="267"/>
    </row>
    <row r="791" ht="12.75" customHeight="1" spans="1:17">
      <c r="A791" s="265"/>
      <c r="B791" s="265"/>
      <c r="C791" s="265"/>
      <c r="D791" s="265"/>
      <c r="E791" s="265"/>
      <c r="F791" s="265"/>
      <c r="G791" s="266"/>
      <c r="H791" s="265"/>
      <c r="I791" s="266"/>
      <c r="J791" s="265"/>
      <c r="K791" s="266"/>
      <c r="L791" s="266"/>
      <c r="M791" s="266"/>
      <c r="N791" s="265"/>
      <c r="O791" s="265"/>
      <c r="P791" s="267"/>
      <c r="Q791" s="267"/>
    </row>
    <row r="792" ht="12.75" customHeight="1" spans="1:17">
      <c r="A792" s="265"/>
      <c r="B792" s="265"/>
      <c r="C792" s="265"/>
      <c r="D792" s="265"/>
      <c r="E792" s="265"/>
      <c r="F792" s="265"/>
      <c r="G792" s="266"/>
      <c r="H792" s="265"/>
      <c r="I792" s="266"/>
      <c r="J792" s="265"/>
      <c r="K792" s="266"/>
      <c r="L792" s="266"/>
      <c r="M792" s="266"/>
      <c r="N792" s="265"/>
      <c r="O792" s="265"/>
      <c r="P792" s="267"/>
      <c r="Q792" s="267"/>
    </row>
    <row r="793" ht="12.75" customHeight="1" spans="1:17">
      <c r="A793" s="265"/>
      <c r="B793" s="265"/>
      <c r="C793" s="265"/>
      <c r="D793" s="265"/>
      <c r="E793" s="265"/>
      <c r="F793" s="265"/>
      <c r="G793" s="266"/>
      <c r="H793" s="265"/>
      <c r="I793" s="266"/>
      <c r="J793" s="265"/>
      <c r="K793" s="266"/>
      <c r="L793" s="266"/>
      <c r="M793" s="266"/>
      <c r="N793" s="265"/>
      <c r="O793" s="265"/>
      <c r="P793" s="267"/>
      <c r="Q793" s="267"/>
    </row>
    <row r="794" ht="12.75" customHeight="1" spans="1:17">
      <c r="A794" s="265"/>
      <c r="B794" s="265"/>
      <c r="C794" s="265"/>
      <c r="D794" s="265"/>
      <c r="E794" s="265"/>
      <c r="F794" s="265"/>
      <c r="G794" s="266"/>
      <c r="H794" s="265"/>
      <c r="I794" s="266"/>
      <c r="J794" s="265"/>
      <c r="K794" s="266"/>
      <c r="L794" s="266"/>
      <c r="M794" s="266"/>
      <c r="N794" s="265"/>
      <c r="O794" s="265"/>
      <c r="P794" s="267"/>
      <c r="Q794" s="267"/>
    </row>
    <row r="795" ht="12.75" customHeight="1" spans="1:17">
      <c r="A795" s="265"/>
      <c r="B795" s="265"/>
      <c r="C795" s="265"/>
      <c r="D795" s="265"/>
      <c r="E795" s="265"/>
      <c r="F795" s="265"/>
      <c r="G795" s="266"/>
      <c r="H795" s="265"/>
      <c r="I795" s="266"/>
      <c r="J795" s="265"/>
      <c r="K795" s="266"/>
      <c r="L795" s="266"/>
      <c r="M795" s="266"/>
      <c r="N795" s="265"/>
      <c r="O795" s="265"/>
      <c r="P795" s="267"/>
      <c r="Q795" s="267"/>
    </row>
    <row r="796" ht="12.75" customHeight="1" spans="1:17">
      <c r="A796" s="265"/>
      <c r="B796" s="265"/>
      <c r="C796" s="265"/>
      <c r="D796" s="265"/>
      <c r="E796" s="265"/>
      <c r="F796" s="265"/>
      <c r="G796" s="266"/>
      <c r="H796" s="265"/>
      <c r="I796" s="266"/>
      <c r="J796" s="265"/>
      <c r="K796" s="266"/>
      <c r="L796" s="266"/>
      <c r="M796" s="266"/>
      <c r="N796" s="265"/>
      <c r="O796" s="265"/>
      <c r="P796" s="267"/>
      <c r="Q796" s="267"/>
    </row>
    <row r="797" ht="12.75" customHeight="1" spans="1:17">
      <c r="A797" s="265"/>
      <c r="B797" s="265"/>
      <c r="C797" s="265"/>
      <c r="D797" s="265"/>
      <c r="E797" s="265"/>
      <c r="F797" s="265"/>
      <c r="G797" s="266"/>
      <c r="H797" s="265"/>
      <c r="I797" s="266"/>
      <c r="J797" s="265"/>
      <c r="K797" s="266"/>
      <c r="L797" s="266"/>
      <c r="M797" s="266"/>
      <c r="N797" s="265"/>
      <c r="O797" s="265"/>
      <c r="P797" s="267"/>
      <c r="Q797" s="267"/>
    </row>
    <row r="798" ht="12.75" customHeight="1" spans="1:17">
      <c r="A798" s="265"/>
      <c r="B798" s="265"/>
      <c r="C798" s="265"/>
      <c r="D798" s="265"/>
      <c r="E798" s="265"/>
      <c r="F798" s="265"/>
      <c r="G798" s="266"/>
      <c r="H798" s="265"/>
      <c r="I798" s="266"/>
      <c r="J798" s="265"/>
      <c r="K798" s="266"/>
      <c r="L798" s="266"/>
      <c r="M798" s="266"/>
      <c r="N798" s="265"/>
      <c r="O798" s="265"/>
      <c r="P798" s="267"/>
      <c r="Q798" s="267"/>
    </row>
    <row r="799" ht="12.75" customHeight="1" spans="1:17">
      <c r="A799" s="265"/>
      <c r="B799" s="265"/>
      <c r="C799" s="265"/>
      <c r="D799" s="265"/>
      <c r="E799" s="265"/>
      <c r="F799" s="265"/>
      <c r="G799" s="266"/>
      <c r="H799" s="265"/>
      <c r="I799" s="266"/>
      <c r="J799" s="265"/>
      <c r="K799" s="266"/>
      <c r="L799" s="266"/>
      <c r="M799" s="266"/>
      <c r="N799" s="265"/>
      <c r="O799" s="265"/>
      <c r="P799" s="267"/>
      <c r="Q799" s="267"/>
    </row>
    <row r="800" ht="12.75" customHeight="1" spans="1:17">
      <c r="A800" s="265"/>
      <c r="B800" s="265"/>
      <c r="C800" s="265"/>
      <c r="D800" s="265"/>
      <c r="E800" s="265"/>
      <c r="F800" s="265"/>
      <c r="G800" s="266"/>
      <c r="H800" s="265"/>
      <c r="I800" s="266"/>
      <c r="J800" s="265"/>
      <c r="K800" s="266"/>
      <c r="L800" s="266"/>
      <c r="M800" s="266"/>
      <c r="N800" s="265"/>
      <c r="O800" s="265"/>
      <c r="P800" s="267"/>
      <c r="Q800" s="267"/>
    </row>
    <row r="801" ht="12.75" customHeight="1" spans="1:17">
      <c r="A801" s="265"/>
      <c r="B801" s="265"/>
      <c r="C801" s="265"/>
      <c r="D801" s="265"/>
      <c r="E801" s="265"/>
      <c r="F801" s="265"/>
      <c r="G801" s="266"/>
      <c r="H801" s="265"/>
      <c r="I801" s="266"/>
      <c r="J801" s="265"/>
      <c r="K801" s="266"/>
      <c r="L801" s="266"/>
      <c r="M801" s="266"/>
      <c r="N801" s="265"/>
      <c r="O801" s="265"/>
      <c r="P801" s="267"/>
      <c r="Q801" s="267"/>
    </row>
    <row r="802" ht="12.75" customHeight="1" spans="1:17">
      <c r="A802" s="265"/>
      <c r="B802" s="265"/>
      <c r="C802" s="265"/>
      <c r="D802" s="265"/>
      <c r="E802" s="265"/>
      <c r="F802" s="265"/>
      <c r="G802" s="266"/>
      <c r="H802" s="265"/>
      <c r="I802" s="266"/>
      <c r="J802" s="265"/>
      <c r="K802" s="266"/>
      <c r="L802" s="266"/>
      <c r="M802" s="266"/>
      <c r="N802" s="265"/>
      <c r="O802" s="265"/>
      <c r="P802" s="267"/>
      <c r="Q802" s="267"/>
    </row>
    <row r="803" ht="12.75" customHeight="1" spans="1:17">
      <c r="A803" s="265"/>
      <c r="B803" s="265"/>
      <c r="C803" s="265"/>
      <c r="D803" s="265"/>
      <c r="E803" s="265"/>
      <c r="F803" s="265"/>
      <c r="G803" s="266"/>
      <c r="H803" s="265"/>
      <c r="I803" s="266"/>
      <c r="J803" s="265"/>
      <c r="K803" s="266"/>
      <c r="L803" s="266"/>
      <c r="M803" s="266"/>
      <c r="N803" s="265"/>
      <c r="O803" s="265"/>
      <c r="P803" s="267"/>
      <c r="Q803" s="267"/>
    </row>
    <row r="804" ht="12.75" customHeight="1" spans="1:17">
      <c r="A804" s="265"/>
      <c r="B804" s="265"/>
      <c r="C804" s="265"/>
      <c r="D804" s="265"/>
      <c r="E804" s="265"/>
      <c r="F804" s="265"/>
      <c r="G804" s="266"/>
      <c r="H804" s="265"/>
      <c r="I804" s="266"/>
      <c r="J804" s="265"/>
      <c r="K804" s="266"/>
      <c r="L804" s="266"/>
      <c r="M804" s="266"/>
      <c r="N804" s="265"/>
      <c r="O804" s="265"/>
      <c r="P804" s="267"/>
      <c r="Q804" s="267"/>
    </row>
    <row r="805" ht="12.75" customHeight="1" spans="1:17">
      <c r="A805" s="265"/>
      <c r="B805" s="265"/>
      <c r="C805" s="265"/>
      <c r="D805" s="265"/>
      <c r="E805" s="265"/>
      <c r="F805" s="265"/>
      <c r="G805" s="266"/>
      <c r="H805" s="265"/>
      <c r="I805" s="266"/>
      <c r="J805" s="265"/>
      <c r="K805" s="266"/>
      <c r="L805" s="266"/>
      <c r="M805" s="266"/>
      <c r="N805" s="265"/>
      <c r="O805" s="265"/>
      <c r="P805" s="267"/>
      <c r="Q805" s="267"/>
    </row>
    <row r="806" ht="12.75" customHeight="1" spans="1:17">
      <c r="A806" s="265"/>
      <c r="B806" s="265"/>
      <c r="C806" s="265"/>
      <c r="D806" s="265"/>
      <c r="E806" s="265"/>
      <c r="F806" s="265"/>
      <c r="G806" s="266"/>
      <c r="H806" s="265"/>
      <c r="I806" s="266"/>
      <c r="J806" s="265"/>
      <c r="K806" s="266"/>
      <c r="L806" s="266"/>
      <c r="M806" s="266"/>
      <c r="N806" s="265"/>
      <c r="O806" s="265"/>
      <c r="P806" s="267"/>
      <c r="Q806" s="267"/>
    </row>
    <row r="807" ht="12.75" customHeight="1" spans="1:17">
      <c r="A807" s="265"/>
      <c r="B807" s="265"/>
      <c r="C807" s="265"/>
      <c r="D807" s="265"/>
      <c r="E807" s="265"/>
      <c r="F807" s="265"/>
      <c r="G807" s="266"/>
      <c r="H807" s="265"/>
      <c r="I807" s="266"/>
      <c r="J807" s="265"/>
      <c r="K807" s="266"/>
      <c r="L807" s="266"/>
      <c r="M807" s="266"/>
      <c r="N807" s="265"/>
      <c r="O807" s="265"/>
      <c r="P807" s="267"/>
      <c r="Q807" s="267"/>
    </row>
    <row r="808" ht="12.75" customHeight="1" spans="1:17">
      <c r="A808" s="265"/>
      <c r="B808" s="265"/>
      <c r="C808" s="265"/>
      <c r="D808" s="265"/>
      <c r="E808" s="265"/>
      <c r="F808" s="265"/>
      <c r="G808" s="266"/>
      <c r="H808" s="265"/>
      <c r="I808" s="266"/>
      <c r="J808" s="265"/>
      <c r="K808" s="266"/>
      <c r="L808" s="266"/>
      <c r="M808" s="266"/>
      <c r="N808" s="265"/>
      <c r="O808" s="265"/>
      <c r="P808" s="267"/>
      <c r="Q808" s="267"/>
    </row>
    <row r="809" ht="12.75" customHeight="1" spans="1:17">
      <c r="A809" s="265"/>
      <c r="B809" s="265"/>
      <c r="C809" s="265"/>
      <c r="D809" s="265"/>
      <c r="E809" s="265"/>
      <c r="F809" s="265"/>
      <c r="G809" s="266"/>
      <c r="H809" s="265"/>
      <c r="I809" s="266"/>
      <c r="J809" s="265"/>
      <c r="K809" s="266"/>
      <c r="L809" s="266"/>
      <c r="M809" s="266"/>
      <c r="N809" s="265"/>
      <c r="O809" s="265"/>
      <c r="P809" s="267"/>
      <c r="Q809" s="267"/>
    </row>
    <row r="810" ht="12.75" customHeight="1" spans="1:17">
      <c r="A810" s="265"/>
      <c r="B810" s="265"/>
      <c r="C810" s="265"/>
      <c r="D810" s="265"/>
      <c r="E810" s="265"/>
      <c r="F810" s="265"/>
      <c r="G810" s="266"/>
      <c r="H810" s="265"/>
      <c r="I810" s="266"/>
      <c r="J810" s="265"/>
      <c r="K810" s="266"/>
      <c r="L810" s="266"/>
      <c r="M810" s="266"/>
      <c r="N810" s="265"/>
      <c r="O810" s="265"/>
      <c r="P810" s="267"/>
      <c r="Q810" s="267"/>
    </row>
    <row r="811" ht="12.75" customHeight="1" spans="1:17">
      <c r="A811" s="265"/>
      <c r="B811" s="265"/>
      <c r="C811" s="265"/>
      <c r="D811" s="265"/>
      <c r="E811" s="265"/>
      <c r="F811" s="265"/>
      <c r="G811" s="266"/>
      <c r="H811" s="265"/>
      <c r="I811" s="266"/>
      <c r="J811" s="265"/>
      <c r="K811" s="266"/>
      <c r="L811" s="266"/>
      <c r="M811" s="266"/>
      <c r="N811" s="265"/>
      <c r="O811" s="265"/>
      <c r="P811" s="267"/>
      <c r="Q811" s="267"/>
    </row>
    <row r="812" ht="12.75" customHeight="1" spans="1:17">
      <c r="A812" s="265"/>
      <c r="B812" s="265"/>
      <c r="C812" s="265"/>
      <c r="D812" s="265"/>
      <c r="E812" s="265"/>
      <c r="F812" s="265"/>
      <c r="G812" s="266"/>
      <c r="H812" s="265"/>
      <c r="I812" s="266"/>
      <c r="J812" s="265"/>
      <c r="K812" s="266"/>
      <c r="L812" s="266"/>
      <c r="M812" s="266"/>
      <c r="N812" s="265"/>
      <c r="O812" s="265"/>
      <c r="P812" s="267"/>
      <c r="Q812" s="267"/>
    </row>
    <row r="813" ht="12.75" customHeight="1" spans="1:17">
      <c r="A813" s="265"/>
      <c r="B813" s="265"/>
      <c r="C813" s="265"/>
      <c r="D813" s="265"/>
      <c r="E813" s="265"/>
      <c r="F813" s="265"/>
      <c r="G813" s="266"/>
      <c r="H813" s="265"/>
      <c r="I813" s="266"/>
      <c r="J813" s="265"/>
      <c r="K813" s="266"/>
      <c r="L813" s="266"/>
      <c r="M813" s="266"/>
      <c r="N813" s="265"/>
      <c r="O813" s="265"/>
      <c r="P813" s="267"/>
      <c r="Q813" s="267"/>
    </row>
    <row r="814" ht="12.75" customHeight="1" spans="1:17">
      <c r="A814" s="265"/>
      <c r="B814" s="265"/>
      <c r="C814" s="265"/>
      <c r="D814" s="265"/>
      <c r="E814" s="265"/>
      <c r="F814" s="265"/>
      <c r="G814" s="266"/>
      <c r="H814" s="265"/>
      <c r="I814" s="266"/>
      <c r="J814" s="265"/>
      <c r="K814" s="266"/>
      <c r="L814" s="266"/>
      <c r="M814" s="266"/>
      <c r="N814" s="265"/>
      <c r="O814" s="265"/>
      <c r="P814" s="267"/>
      <c r="Q814" s="267"/>
    </row>
    <row r="815" ht="12.75" customHeight="1" spans="1:17">
      <c r="A815" s="265"/>
      <c r="B815" s="265"/>
      <c r="C815" s="265"/>
      <c r="D815" s="265"/>
      <c r="E815" s="265"/>
      <c r="F815" s="265"/>
      <c r="G815" s="266"/>
      <c r="H815" s="265"/>
      <c r="I815" s="266"/>
      <c r="J815" s="265"/>
      <c r="K815" s="266"/>
      <c r="L815" s="266"/>
      <c r="M815" s="266"/>
      <c r="N815" s="265"/>
      <c r="O815" s="265"/>
      <c r="P815" s="267"/>
      <c r="Q815" s="267"/>
    </row>
    <row r="816" ht="12.75" customHeight="1" spans="1:17">
      <c r="A816" s="265"/>
      <c r="B816" s="265"/>
      <c r="C816" s="265"/>
      <c r="D816" s="265"/>
      <c r="E816" s="265"/>
      <c r="F816" s="265"/>
      <c r="G816" s="266"/>
      <c r="H816" s="265"/>
      <c r="I816" s="266"/>
      <c r="J816" s="265"/>
      <c r="K816" s="266"/>
      <c r="L816" s="266"/>
      <c r="M816" s="266"/>
      <c r="N816" s="265"/>
      <c r="O816" s="265"/>
      <c r="P816" s="267"/>
      <c r="Q816" s="267"/>
    </row>
    <row r="817" ht="12.75" customHeight="1" spans="1:17">
      <c r="A817" s="265"/>
      <c r="B817" s="265"/>
      <c r="C817" s="265"/>
      <c r="D817" s="265"/>
      <c r="E817" s="265"/>
      <c r="F817" s="265"/>
      <c r="G817" s="266"/>
      <c r="H817" s="265"/>
      <c r="I817" s="266"/>
      <c r="J817" s="265"/>
      <c r="K817" s="266"/>
      <c r="L817" s="266"/>
      <c r="M817" s="266"/>
      <c r="N817" s="265"/>
      <c r="O817" s="265"/>
      <c r="P817" s="267"/>
      <c r="Q817" s="267"/>
    </row>
    <row r="818" ht="12.75" customHeight="1" spans="1:17">
      <c r="A818" s="265"/>
      <c r="B818" s="265"/>
      <c r="C818" s="265"/>
      <c r="D818" s="265"/>
      <c r="E818" s="265"/>
      <c r="F818" s="265"/>
      <c r="G818" s="266"/>
      <c r="H818" s="265"/>
      <c r="I818" s="266"/>
      <c r="J818" s="265"/>
      <c r="K818" s="266"/>
      <c r="L818" s="266"/>
      <c r="M818" s="266"/>
      <c r="N818" s="265"/>
      <c r="O818" s="265"/>
      <c r="P818" s="267"/>
      <c r="Q818" s="267"/>
    </row>
    <row r="819" ht="12.75" customHeight="1" spans="1:17">
      <c r="A819" s="265"/>
      <c r="B819" s="265"/>
      <c r="C819" s="265"/>
      <c r="D819" s="265"/>
      <c r="E819" s="265"/>
      <c r="F819" s="265"/>
      <c r="G819" s="266"/>
      <c r="H819" s="265"/>
      <c r="I819" s="266"/>
      <c r="J819" s="265"/>
      <c r="K819" s="266"/>
      <c r="L819" s="266"/>
      <c r="M819" s="266"/>
      <c r="N819" s="265"/>
      <c r="O819" s="265"/>
      <c r="P819" s="267"/>
      <c r="Q819" s="267"/>
    </row>
    <row r="820" ht="12.75" customHeight="1" spans="1:17">
      <c r="A820" s="265"/>
      <c r="B820" s="265"/>
      <c r="C820" s="265"/>
      <c r="D820" s="265"/>
      <c r="E820" s="265"/>
      <c r="F820" s="265"/>
      <c r="G820" s="266"/>
      <c r="H820" s="265"/>
      <c r="I820" s="266"/>
      <c r="J820" s="265"/>
      <c r="K820" s="266"/>
      <c r="L820" s="266"/>
      <c r="M820" s="266"/>
      <c r="N820" s="265"/>
      <c r="O820" s="265"/>
      <c r="P820" s="267"/>
      <c r="Q820" s="267"/>
    </row>
    <row r="821" ht="12.75" customHeight="1" spans="1:17">
      <c r="A821" s="265"/>
      <c r="B821" s="265"/>
      <c r="C821" s="265"/>
      <c r="D821" s="265"/>
      <c r="E821" s="265"/>
      <c r="F821" s="265"/>
      <c r="G821" s="266"/>
      <c r="H821" s="265"/>
      <c r="I821" s="266"/>
      <c r="J821" s="265"/>
      <c r="K821" s="266"/>
      <c r="L821" s="266"/>
      <c r="M821" s="266"/>
      <c r="N821" s="265"/>
      <c r="O821" s="265"/>
      <c r="P821" s="267"/>
      <c r="Q821" s="267"/>
    </row>
    <row r="822" ht="12.75" customHeight="1" spans="1:17">
      <c r="A822" s="265"/>
      <c r="B822" s="265"/>
      <c r="C822" s="265"/>
      <c r="D822" s="265"/>
      <c r="E822" s="265"/>
      <c r="F822" s="265"/>
      <c r="G822" s="266"/>
      <c r="H822" s="265"/>
      <c r="I822" s="266"/>
      <c r="J822" s="265"/>
      <c r="K822" s="266"/>
      <c r="L822" s="266"/>
      <c r="M822" s="266"/>
      <c r="N822" s="265"/>
      <c r="O822" s="265"/>
      <c r="P822" s="267"/>
      <c r="Q822" s="267"/>
    </row>
    <row r="823" ht="12.75" customHeight="1" spans="1:17">
      <c r="A823" s="265"/>
      <c r="B823" s="265"/>
      <c r="C823" s="265"/>
      <c r="D823" s="265"/>
      <c r="E823" s="265"/>
      <c r="F823" s="265"/>
      <c r="G823" s="266"/>
      <c r="H823" s="265"/>
      <c r="I823" s="266"/>
      <c r="J823" s="265"/>
      <c r="K823" s="266"/>
      <c r="L823" s="266"/>
      <c r="M823" s="266"/>
      <c r="N823" s="265"/>
      <c r="O823" s="265"/>
      <c r="P823" s="267"/>
      <c r="Q823" s="267"/>
    </row>
    <row r="824" ht="12.75" customHeight="1" spans="1:17">
      <c r="A824" s="265"/>
      <c r="B824" s="265"/>
      <c r="C824" s="265"/>
      <c r="D824" s="265"/>
      <c r="E824" s="265"/>
      <c r="F824" s="265"/>
      <c r="G824" s="266"/>
      <c r="H824" s="265"/>
      <c r="I824" s="266"/>
      <c r="J824" s="265"/>
      <c r="K824" s="266"/>
      <c r="L824" s="266"/>
      <c r="M824" s="266"/>
      <c r="N824" s="265"/>
      <c r="O824" s="265"/>
      <c r="P824" s="267"/>
      <c r="Q824" s="267"/>
    </row>
    <row r="825" ht="12.75" customHeight="1" spans="1:17">
      <c r="A825" s="265"/>
      <c r="B825" s="265"/>
      <c r="C825" s="265"/>
      <c r="D825" s="265"/>
      <c r="E825" s="265"/>
      <c r="F825" s="265"/>
      <c r="G825" s="266"/>
      <c r="H825" s="265"/>
      <c r="I825" s="266"/>
      <c r="J825" s="265"/>
      <c r="K825" s="266"/>
      <c r="L825" s="266"/>
      <c r="M825" s="266"/>
      <c r="N825" s="265"/>
      <c r="O825" s="265"/>
      <c r="P825" s="267"/>
      <c r="Q825" s="267"/>
    </row>
    <row r="826" ht="12.75" customHeight="1" spans="1:17">
      <c r="A826" s="265"/>
      <c r="B826" s="265"/>
      <c r="C826" s="265"/>
      <c r="D826" s="265"/>
      <c r="E826" s="265"/>
      <c r="F826" s="265"/>
      <c r="G826" s="266"/>
      <c r="H826" s="265"/>
      <c r="I826" s="266"/>
      <c r="J826" s="265"/>
      <c r="K826" s="266"/>
      <c r="L826" s="266"/>
      <c r="M826" s="266"/>
      <c r="N826" s="265"/>
      <c r="O826" s="265"/>
      <c r="P826" s="267"/>
      <c r="Q826" s="267"/>
    </row>
    <row r="827" ht="12.75" customHeight="1" spans="1:17">
      <c r="A827" s="265"/>
      <c r="B827" s="265"/>
      <c r="C827" s="265"/>
      <c r="D827" s="265"/>
      <c r="E827" s="265"/>
      <c r="F827" s="265"/>
      <c r="G827" s="266"/>
      <c r="H827" s="265"/>
      <c r="I827" s="266"/>
      <c r="J827" s="265"/>
      <c r="K827" s="266"/>
      <c r="L827" s="266"/>
      <c r="M827" s="266"/>
      <c r="N827" s="265"/>
      <c r="O827" s="265"/>
      <c r="P827" s="267"/>
      <c r="Q827" s="267"/>
    </row>
    <row r="828" ht="12.75" customHeight="1" spans="1:17">
      <c r="A828" s="265"/>
      <c r="B828" s="265"/>
      <c r="C828" s="265"/>
      <c r="D828" s="265"/>
      <c r="E828" s="265"/>
      <c r="F828" s="265"/>
      <c r="G828" s="266"/>
      <c r="H828" s="265"/>
      <c r="I828" s="266"/>
      <c r="J828" s="265"/>
      <c r="K828" s="266"/>
      <c r="L828" s="266"/>
      <c r="M828" s="266"/>
      <c r="N828" s="265"/>
      <c r="O828" s="265"/>
      <c r="P828" s="267"/>
      <c r="Q828" s="267"/>
    </row>
    <row r="829" ht="12.75" customHeight="1" spans="1:17">
      <c r="A829" s="265"/>
      <c r="B829" s="265"/>
      <c r="C829" s="265"/>
      <c r="D829" s="265"/>
      <c r="E829" s="265"/>
      <c r="F829" s="265"/>
      <c r="G829" s="266"/>
      <c r="H829" s="265"/>
      <c r="I829" s="266"/>
      <c r="J829" s="265"/>
      <c r="K829" s="266"/>
      <c r="L829" s="266"/>
      <c r="M829" s="266"/>
      <c r="N829" s="265"/>
      <c r="O829" s="265"/>
      <c r="P829" s="267"/>
      <c r="Q829" s="267"/>
    </row>
    <row r="830" ht="12.75" customHeight="1" spans="1:17">
      <c r="A830" s="265"/>
      <c r="B830" s="265"/>
      <c r="C830" s="265"/>
      <c r="D830" s="265"/>
      <c r="E830" s="265"/>
      <c r="F830" s="265"/>
      <c r="G830" s="266"/>
      <c r="H830" s="265"/>
      <c r="I830" s="266"/>
      <c r="J830" s="265"/>
      <c r="K830" s="266"/>
      <c r="L830" s="266"/>
      <c r="M830" s="266"/>
      <c r="N830" s="265"/>
      <c r="O830" s="265"/>
      <c r="P830" s="267"/>
      <c r="Q830" s="267"/>
    </row>
    <row r="831" ht="12.75" customHeight="1" spans="1:17">
      <c r="A831" s="265"/>
      <c r="B831" s="265"/>
      <c r="C831" s="265"/>
      <c r="D831" s="265"/>
      <c r="E831" s="265"/>
      <c r="F831" s="265"/>
      <c r="G831" s="266"/>
      <c r="H831" s="265"/>
      <c r="I831" s="266"/>
      <c r="J831" s="265"/>
      <c r="K831" s="266"/>
      <c r="L831" s="266"/>
      <c r="M831" s="266"/>
      <c r="N831" s="265"/>
      <c r="O831" s="265"/>
      <c r="P831" s="267"/>
      <c r="Q831" s="267"/>
    </row>
    <row r="832" ht="12.75" customHeight="1" spans="1:17">
      <c r="A832" s="265"/>
      <c r="B832" s="265"/>
      <c r="C832" s="265"/>
      <c r="D832" s="265"/>
      <c r="E832" s="265"/>
      <c r="F832" s="265"/>
      <c r="G832" s="266"/>
      <c r="H832" s="265"/>
      <c r="I832" s="266"/>
      <c r="J832" s="265"/>
      <c r="K832" s="266"/>
      <c r="L832" s="266"/>
      <c r="M832" s="266"/>
      <c r="N832" s="265"/>
      <c r="O832" s="265"/>
      <c r="P832" s="267"/>
      <c r="Q832" s="267"/>
    </row>
    <row r="833" ht="12.75" customHeight="1" spans="1:17">
      <c r="A833" s="265"/>
      <c r="B833" s="265"/>
      <c r="C833" s="265"/>
      <c r="D833" s="265"/>
      <c r="E833" s="265"/>
      <c r="F833" s="265"/>
      <c r="G833" s="266"/>
      <c r="H833" s="265"/>
      <c r="I833" s="266"/>
      <c r="J833" s="265"/>
      <c r="K833" s="266"/>
      <c r="L833" s="266"/>
      <c r="M833" s="266"/>
      <c r="N833" s="265"/>
      <c r="O833" s="265"/>
      <c r="P833" s="267"/>
      <c r="Q833" s="267"/>
    </row>
    <row r="834" ht="12.75" customHeight="1" spans="1:17">
      <c r="A834" s="265"/>
      <c r="B834" s="265"/>
      <c r="C834" s="265"/>
      <c r="D834" s="265"/>
      <c r="E834" s="265"/>
      <c r="F834" s="265"/>
      <c r="G834" s="266"/>
      <c r="H834" s="265"/>
      <c r="I834" s="266"/>
      <c r="J834" s="265"/>
      <c r="K834" s="266"/>
      <c r="L834" s="266"/>
      <c r="M834" s="266"/>
      <c r="N834" s="265"/>
      <c r="O834" s="265"/>
      <c r="P834" s="267"/>
      <c r="Q834" s="267"/>
    </row>
    <row r="835" ht="12.75" customHeight="1" spans="1:17">
      <c r="A835" s="265"/>
      <c r="B835" s="265"/>
      <c r="C835" s="265"/>
      <c r="D835" s="265"/>
      <c r="E835" s="265"/>
      <c r="F835" s="265"/>
      <c r="G835" s="266"/>
      <c r="H835" s="265"/>
      <c r="I835" s="266"/>
      <c r="J835" s="265"/>
      <c r="K835" s="266"/>
      <c r="L835" s="266"/>
      <c r="M835" s="266"/>
      <c r="N835" s="265"/>
      <c r="O835" s="265"/>
      <c r="P835" s="267"/>
      <c r="Q835" s="267"/>
    </row>
    <row r="836" ht="12.75" customHeight="1" spans="1:17">
      <c r="A836" s="265"/>
      <c r="B836" s="265"/>
      <c r="C836" s="265"/>
      <c r="D836" s="265"/>
      <c r="E836" s="265"/>
      <c r="F836" s="265"/>
      <c r="G836" s="266"/>
      <c r="H836" s="265"/>
      <c r="I836" s="266"/>
      <c r="J836" s="265"/>
      <c r="K836" s="266"/>
      <c r="L836" s="266"/>
      <c r="M836" s="266"/>
      <c r="N836" s="265"/>
      <c r="O836" s="265"/>
      <c r="P836" s="267"/>
      <c r="Q836" s="267"/>
    </row>
    <row r="837" ht="12.75" customHeight="1" spans="1:17">
      <c r="A837" s="265"/>
      <c r="B837" s="265"/>
      <c r="C837" s="265"/>
      <c r="D837" s="265"/>
      <c r="E837" s="265"/>
      <c r="F837" s="265"/>
      <c r="G837" s="266"/>
      <c r="H837" s="265"/>
      <c r="I837" s="266"/>
      <c r="J837" s="265"/>
      <c r="K837" s="266"/>
      <c r="L837" s="266"/>
      <c r="M837" s="266"/>
      <c r="N837" s="265"/>
      <c r="O837" s="265"/>
      <c r="P837" s="267"/>
      <c r="Q837" s="267"/>
    </row>
    <row r="838" ht="12.75" customHeight="1" spans="1:17">
      <c r="A838" s="265"/>
      <c r="B838" s="265"/>
      <c r="C838" s="265"/>
      <c r="D838" s="265"/>
      <c r="E838" s="265"/>
      <c r="F838" s="265"/>
      <c r="G838" s="266"/>
      <c r="H838" s="265"/>
      <c r="I838" s="266"/>
      <c r="J838" s="265"/>
      <c r="K838" s="266"/>
      <c r="L838" s="266"/>
      <c r="M838" s="266"/>
      <c r="N838" s="265"/>
      <c r="O838" s="265"/>
      <c r="P838" s="267"/>
      <c r="Q838" s="267"/>
    </row>
    <row r="839" ht="12.75" customHeight="1" spans="1:17">
      <c r="A839" s="265"/>
      <c r="B839" s="265"/>
      <c r="C839" s="265"/>
      <c r="D839" s="265"/>
      <c r="E839" s="265"/>
      <c r="F839" s="265"/>
      <c r="G839" s="266"/>
      <c r="H839" s="265"/>
      <c r="I839" s="266"/>
      <c r="J839" s="265"/>
      <c r="K839" s="266"/>
      <c r="L839" s="266"/>
      <c r="M839" s="266"/>
      <c r="N839" s="265"/>
      <c r="O839" s="265"/>
      <c r="P839" s="267"/>
      <c r="Q839" s="267"/>
    </row>
    <row r="840" ht="12.75" customHeight="1" spans="1:17">
      <c r="A840" s="265"/>
      <c r="B840" s="265"/>
      <c r="C840" s="265"/>
      <c r="D840" s="265"/>
      <c r="E840" s="265"/>
      <c r="F840" s="265"/>
      <c r="G840" s="266"/>
      <c r="H840" s="265"/>
      <c r="I840" s="266"/>
      <c r="J840" s="265"/>
      <c r="K840" s="266"/>
      <c r="L840" s="266"/>
      <c r="M840" s="266"/>
      <c r="N840" s="265"/>
      <c r="O840" s="265"/>
      <c r="P840" s="267"/>
      <c r="Q840" s="267"/>
    </row>
    <row r="841" ht="12.75" customHeight="1" spans="1:17">
      <c r="A841" s="265"/>
      <c r="B841" s="265"/>
      <c r="C841" s="265"/>
      <c r="D841" s="265"/>
      <c r="E841" s="265"/>
      <c r="F841" s="265"/>
      <c r="G841" s="266"/>
      <c r="H841" s="265"/>
      <c r="I841" s="266"/>
      <c r="J841" s="265"/>
      <c r="K841" s="266"/>
      <c r="L841" s="266"/>
      <c r="M841" s="266"/>
      <c r="N841" s="265"/>
      <c r="O841" s="265"/>
      <c r="P841" s="267"/>
      <c r="Q841" s="267"/>
    </row>
    <row r="842" ht="12.75" customHeight="1" spans="1:17">
      <c r="A842" s="265"/>
      <c r="B842" s="265"/>
      <c r="C842" s="265"/>
      <c r="D842" s="265"/>
      <c r="E842" s="265"/>
      <c r="F842" s="265"/>
      <c r="G842" s="266"/>
      <c r="H842" s="265"/>
      <c r="I842" s="266"/>
      <c r="J842" s="265"/>
      <c r="K842" s="266"/>
      <c r="L842" s="266"/>
      <c r="M842" s="266"/>
      <c r="N842" s="265"/>
      <c r="O842" s="265"/>
      <c r="P842" s="267"/>
      <c r="Q842" s="267"/>
    </row>
    <row r="843" ht="12.75" customHeight="1" spans="1:17">
      <c r="A843" s="265"/>
      <c r="B843" s="265"/>
      <c r="C843" s="265"/>
      <c r="D843" s="265"/>
      <c r="E843" s="265"/>
      <c r="F843" s="265"/>
      <c r="G843" s="266"/>
      <c r="H843" s="265"/>
      <c r="I843" s="266"/>
      <c r="J843" s="265"/>
      <c r="K843" s="266"/>
      <c r="L843" s="266"/>
      <c r="M843" s="266"/>
      <c r="N843" s="265"/>
      <c r="O843" s="265"/>
      <c r="P843" s="267"/>
      <c r="Q843" s="267"/>
    </row>
    <row r="844" ht="12.75" customHeight="1" spans="1:17">
      <c r="A844" s="265"/>
      <c r="B844" s="265"/>
      <c r="C844" s="265"/>
      <c r="D844" s="265"/>
      <c r="E844" s="265"/>
      <c r="F844" s="265"/>
      <c r="G844" s="266"/>
      <c r="H844" s="265"/>
      <c r="I844" s="266"/>
      <c r="J844" s="265"/>
      <c r="K844" s="266"/>
      <c r="L844" s="266"/>
      <c r="M844" s="266"/>
      <c r="N844" s="265"/>
      <c r="O844" s="265"/>
      <c r="P844" s="267"/>
      <c r="Q844" s="267"/>
    </row>
    <row r="845" ht="12.75" customHeight="1" spans="1:17">
      <c r="A845" s="265"/>
      <c r="B845" s="265"/>
      <c r="C845" s="265"/>
      <c r="D845" s="265"/>
      <c r="E845" s="265"/>
      <c r="F845" s="265"/>
      <c r="G845" s="266"/>
      <c r="H845" s="265"/>
      <c r="I845" s="266"/>
      <c r="J845" s="265"/>
      <c r="K845" s="266"/>
      <c r="L845" s="266"/>
      <c r="M845" s="266"/>
      <c r="N845" s="265"/>
      <c r="O845" s="265"/>
      <c r="P845" s="267"/>
      <c r="Q845" s="267"/>
    </row>
    <row r="846" ht="12.75" customHeight="1" spans="1:17">
      <c r="A846" s="265"/>
      <c r="B846" s="265"/>
      <c r="C846" s="265"/>
      <c r="D846" s="265"/>
      <c r="E846" s="265"/>
      <c r="F846" s="265"/>
      <c r="G846" s="266"/>
      <c r="H846" s="265"/>
      <c r="I846" s="266"/>
      <c r="J846" s="265"/>
      <c r="K846" s="266"/>
      <c r="L846" s="266"/>
      <c r="M846" s="266"/>
      <c r="N846" s="265"/>
      <c r="O846" s="265"/>
      <c r="P846" s="267"/>
      <c r="Q846" s="267"/>
    </row>
    <row r="847" ht="12.75" customHeight="1" spans="1:17">
      <c r="A847" s="265"/>
      <c r="B847" s="265"/>
      <c r="C847" s="265"/>
      <c r="D847" s="265"/>
      <c r="E847" s="265"/>
      <c r="F847" s="265"/>
      <c r="G847" s="266"/>
      <c r="H847" s="265"/>
      <c r="I847" s="266"/>
      <c r="J847" s="265"/>
      <c r="K847" s="266"/>
      <c r="L847" s="266"/>
      <c r="M847" s="266"/>
      <c r="N847" s="265"/>
      <c r="O847" s="265"/>
      <c r="P847" s="267"/>
      <c r="Q847" s="267"/>
    </row>
    <row r="848" ht="12.75" customHeight="1" spans="1:17">
      <c r="A848" s="265"/>
      <c r="B848" s="265"/>
      <c r="C848" s="265"/>
      <c r="D848" s="265"/>
      <c r="E848" s="265"/>
      <c r="F848" s="265"/>
      <c r="G848" s="266"/>
      <c r="H848" s="265"/>
      <c r="I848" s="266"/>
      <c r="J848" s="265"/>
      <c r="K848" s="266"/>
      <c r="L848" s="266"/>
      <c r="M848" s="266"/>
      <c r="N848" s="265"/>
      <c r="O848" s="265"/>
      <c r="P848" s="267"/>
      <c r="Q848" s="267"/>
    </row>
    <row r="849" ht="12.75" customHeight="1" spans="1:17">
      <c r="A849" s="265"/>
      <c r="B849" s="265"/>
      <c r="C849" s="265"/>
      <c r="D849" s="265"/>
      <c r="E849" s="265"/>
      <c r="F849" s="265"/>
      <c r="G849" s="266"/>
      <c r="H849" s="265"/>
      <c r="I849" s="266"/>
      <c r="J849" s="265"/>
      <c r="K849" s="266"/>
      <c r="L849" s="266"/>
      <c r="M849" s="266"/>
      <c r="N849" s="265"/>
      <c r="O849" s="265"/>
      <c r="P849" s="267"/>
      <c r="Q849" s="267"/>
    </row>
    <row r="850" ht="12.75" customHeight="1" spans="1:17">
      <c r="A850" s="265"/>
      <c r="B850" s="265"/>
      <c r="C850" s="265"/>
      <c r="D850" s="265"/>
      <c r="E850" s="265"/>
      <c r="F850" s="265"/>
      <c r="G850" s="266"/>
      <c r="H850" s="265"/>
      <c r="I850" s="266"/>
      <c r="J850" s="265"/>
      <c r="K850" s="266"/>
      <c r="L850" s="266"/>
      <c r="M850" s="266"/>
      <c r="N850" s="265"/>
      <c r="O850" s="265"/>
      <c r="P850" s="267"/>
      <c r="Q850" s="267"/>
    </row>
    <row r="851" ht="12.75" customHeight="1" spans="1:17">
      <c r="A851" s="265"/>
      <c r="B851" s="265"/>
      <c r="C851" s="265"/>
      <c r="D851" s="265"/>
      <c r="E851" s="265"/>
      <c r="F851" s="265"/>
      <c r="G851" s="266"/>
      <c r="H851" s="265"/>
      <c r="I851" s="266"/>
      <c r="J851" s="265"/>
      <c r="K851" s="266"/>
      <c r="L851" s="266"/>
      <c r="M851" s="266"/>
      <c r="N851" s="265"/>
      <c r="O851" s="265"/>
      <c r="P851" s="267"/>
      <c r="Q851" s="267"/>
    </row>
    <row r="852" ht="12.75" customHeight="1" spans="1:17">
      <c r="A852" s="265"/>
      <c r="B852" s="265"/>
      <c r="C852" s="265"/>
      <c r="D852" s="265"/>
      <c r="E852" s="265"/>
      <c r="F852" s="265"/>
      <c r="G852" s="266"/>
      <c r="H852" s="265"/>
      <c r="I852" s="266"/>
      <c r="J852" s="265"/>
      <c r="K852" s="266"/>
      <c r="L852" s="266"/>
      <c r="M852" s="266"/>
      <c r="N852" s="265"/>
      <c r="O852" s="265"/>
      <c r="P852" s="267"/>
      <c r="Q852" s="267"/>
    </row>
    <row r="853" ht="12.75" customHeight="1" spans="1:17">
      <c r="A853" s="265"/>
      <c r="B853" s="265"/>
      <c r="C853" s="265"/>
      <c r="D853" s="265"/>
      <c r="E853" s="265"/>
      <c r="F853" s="265"/>
      <c r="G853" s="266"/>
      <c r="H853" s="265"/>
      <c r="I853" s="266"/>
      <c r="J853" s="265"/>
      <c r="K853" s="266"/>
      <c r="L853" s="266"/>
      <c r="M853" s="266"/>
      <c r="N853" s="265"/>
      <c r="O853" s="265"/>
      <c r="P853" s="267"/>
      <c r="Q853" s="267"/>
    </row>
    <row r="854" ht="12.75" customHeight="1" spans="1:17">
      <c r="A854" s="265"/>
      <c r="B854" s="265"/>
      <c r="C854" s="265"/>
      <c r="D854" s="265"/>
      <c r="E854" s="265"/>
      <c r="F854" s="265"/>
      <c r="G854" s="266"/>
      <c r="H854" s="265"/>
      <c r="I854" s="266"/>
      <c r="J854" s="265"/>
      <c r="K854" s="266"/>
      <c r="L854" s="266"/>
      <c r="M854" s="266"/>
      <c r="N854" s="265"/>
      <c r="O854" s="265"/>
      <c r="P854" s="267"/>
      <c r="Q854" s="267"/>
    </row>
    <row r="855" ht="12.75" customHeight="1" spans="1:17">
      <c r="A855" s="265"/>
      <c r="B855" s="265"/>
      <c r="C855" s="265"/>
      <c r="D855" s="265"/>
      <c r="E855" s="265"/>
      <c r="F855" s="265"/>
      <c r="G855" s="266"/>
      <c r="H855" s="265"/>
      <c r="I855" s="266"/>
      <c r="J855" s="265"/>
      <c r="K855" s="266"/>
      <c r="L855" s="266"/>
      <c r="M855" s="266"/>
      <c r="N855" s="265"/>
      <c r="O855" s="265"/>
      <c r="P855" s="267"/>
      <c r="Q855" s="267"/>
    </row>
    <row r="856" ht="12.75" customHeight="1" spans="1:17">
      <c r="A856" s="265"/>
      <c r="B856" s="265"/>
      <c r="C856" s="265"/>
      <c r="D856" s="265"/>
      <c r="E856" s="265"/>
      <c r="F856" s="265"/>
      <c r="G856" s="266"/>
      <c r="H856" s="265"/>
      <c r="I856" s="266"/>
      <c r="J856" s="265"/>
      <c r="K856" s="266"/>
      <c r="L856" s="266"/>
      <c r="M856" s="266"/>
      <c r="N856" s="265"/>
      <c r="O856" s="265"/>
      <c r="P856" s="267"/>
      <c r="Q856" s="267"/>
    </row>
    <row r="857" ht="12.75" customHeight="1" spans="1:17">
      <c r="A857" s="265"/>
      <c r="B857" s="265"/>
      <c r="C857" s="265"/>
      <c r="D857" s="265"/>
      <c r="E857" s="265"/>
      <c r="F857" s="265"/>
      <c r="G857" s="266"/>
      <c r="H857" s="265"/>
      <c r="I857" s="266"/>
      <c r="J857" s="265"/>
      <c r="K857" s="266"/>
      <c r="L857" s="266"/>
      <c r="M857" s="266"/>
      <c r="N857" s="265"/>
      <c r="O857" s="265"/>
      <c r="P857" s="267"/>
      <c r="Q857" s="267"/>
    </row>
    <row r="858" ht="12.75" customHeight="1" spans="1:17">
      <c r="A858" s="265"/>
      <c r="B858" s="265"/>
      <c r="C858" s="265"/>
      <c r="D858" s="265"/>
      <c r="E858" s="265"/>
      <c r="F858" s="265"/>
      <c r="G858" s="266"/>
      <c r="H858" s="265"/>
      <c r="I858" s="266"/>
      <c r="J858" s="265"/>
      <c r="K858" s="266"/>
      <c r="L858" s="266"/>
      <c r="M858" s="266"/>
      <c r="N858" s="265"/>
      <c r="O858" s="265"/>
      <c r="P858" s="267"/>
      <c r="Q858" s="267"/>
    </row>
    <row r="859" ht="12.75" customHeight="1" spans="1:17">
      <c r="A859" s="265"/>
      <c r="B859" s="265"/>
      <c r="C859" s="265"/>
      <c r="D859" s="265"/>
      <c r="E859" s="265"/>
      <c r="F859" s="265"/>
      <c r="G859" s="266"/>
      <c r="H859" s="265"/>
      <c r="I859" s="266"/>
      <c r="J859" s="265"/>
      <c r="K859" s="266"/>
      <c r="L859" s="266"/>
      <c r="M859" s="266"/>
      <c r="N859" s="265"/>
      <c r="O859" s="265"/>
      <c r="P859" s="267"/>
      <c r="Q859" s="267"/>
    </row>
    <row r="860" ht="12.75" customHeight="1" spans="1:17">
      <c r="A860" s="265"/>
      <c r="B860" s="265"/>
      <c r="C860" s="265"/>
      <c r="D860" s="265"/>
      <c r="E860" s="265"/>
      <c r="F860" s="265"/>
      <c r="G860" s="266"/>
      <c r="H860" s="265"/>
      <c r="I860" s="266"/>
      <c r="J860" s="265"/>
      <c r="K860" s="266"/>
      <c r="L860" s="266"/>
      <c r="M860" s="266"/>
      <c r="N860" s="265"/>
      <c r="O860" s="265"/>
      <c r="P860" s="267"/>
      <c r="Q860" s="267"/>
    </row>
    <row r="861" ht="12.75" customHeight="1" spans="1:17">
      <c r="A861" s="265"/>
      <c r="B861" s="265"/>
      <c r="C861" s="265"/>
      <c r="D861" s="265"/>
      <c r="E861" s="265"/>
      <c r="F861" s="265"/>
      <c r="G861" s="266"/>
      <c r="H861" s="265"/>
      <c r="I861" s="266"/>
      <c r="J861" s="265"/>
      <c r="K861" s="266"/>
      <c r="L861" s="266"/>
      <c r="M861" s="266"/>
      <c r="N861" s="265"/>
      <c r="O861" s="265"/>
      <c r="P861" s="267"/>
      <c r="Q861" s="267"/>
    </row>
    <row r="862" ht="12.75" customHeight="1" spans="1:17">
      <c r="A862" s="265"/>
      <c r="B862" s="265"/>
      <c r="C862" s="265"/>
      <c r="D862" s="265"/>
      <c r="E862" s="265"/>
      <c r="F862" s="265"/>
      <c r="G862" s="266"/>
      <c r="H862" s="265"/>
      <c r="I862" s="266"/>
      <c r="J862" s="265"/>
      <c r="K862" s="266"/>
      <c r="L862" s="266"/>
      <c r="M862" s="266"/>
      <c r="N862" s="265"/>
      <c r="O862" s="265"/>
      <c r="P862" s="267"/>
      <c r="Q862" s="267"/>
    </row>
    <row r="863" ht="12.75" customHeight="1" spans="1:17">
      <c r="A863" s="265"/>
      <c r="B863" s="265"/>
      <c r="C863" s="265"/>
      <c r="D863" s="265"/>
      <c r="E863" s="265"/>
      <c r="F863" s="265"/>
      <c r="G863" s="266"/>
      <c r="H863" s="265"/>
      <c r="I863" s="266"/>
      <c r="J863" s="265"/>
      <c r="K863" s="266"/>
      <c r="L863" s="266"/>
      <c r="M863" s="266"/>
      <c r="N863" s="265"/>
      <c r="O863" s="265"/>
      <c r="P863" s="267"/>
      <c r="Q863" s="267"/>
    </row>
    <row r="864" ht="12.75" customHeight="1" spans="1:17">
      <c r="A864" s="265"/>
      <c r="B864" s="265"/>
      <c r="C864" s="265"/>
      <c r="D864" s="265"/>
      <c r="E864" s="265"/>
      <c r="F864" s="265"/>
      <c r="G864" s="266"/>
      <c r="H864" s="265"/>
      <c r="I864" s="266"/>
      <c r="J864" s="265"/>
      <c r="K864" s="266"/>
      <c r="L864" s="266"/>
      <c r="M864" s="266"/>
      <c r="N864" s="265"/>
      <c r="O864" s="265"/>
      <c r="P864" s="267"/>
      <c r="Q864" s="267"/>
    </row>
    <row r="865" ht="12.75" customHeight="1" spans="1:17">
      <c r="A865" s="265"/>
      <c r="B865" s="265"/>
      <c r="C865" s="265"/>
      <c r="D865" s="265"/>
      <c r="E865" s="265"/>
      <c r="F865" s="265"/>
      <c r="G865" s="266"/>
      <c r="H865" s="265"/>
      <c r="I865" s="266"/>
      <c r="J865" s="265"/>
      <c r="K865" s="266"/>
      <c r="L865" s="266"/>
      <c r="M865" s="266"/>
      <c r="N865" s="265"/>
      <c r="O865" s="265"/>
      <c r="P865" s="267"/>
      <c r="Q865" s="267"/>
    </row>
    <row r="866" ht="12.75" customHeight="1" spans="1:17">
      <c r="A866" s="265"/>
      <c r="B866" s="265"/>
      <c r="C866" s="265"/>
      <c r="D866" s="265"/>
      <c r="E866" s="265"/>
      <c r="F866" s="265"/>
      <c r="G866" s="266"/>
      <c r="H866" s="265"/>
      <c r="I866" s="266"/>
      <c r="J866" s="265"/>
      <c r="K866" s="266"/>
      <c r="L866" s="266"/>
      <c r="M866" s="266"/>
      <c r="N866" s="265"/>
      <c r="O866" s="265"/>
      <c r="P866" s="267"/>
      <c r="Q866" s="267"/>
    </row>
    <row r="867" ht="12.75" customHeight="1" spans="1:17">
      <c r="A867" s="265"/>
      <c r="B867" s="265"/>
      <c r="C867" s="265"/>
      <c r="D867" s="265"/>
      <c r="E867" s="265"/>
      <c r="F867" s="265"/>
      <c r="G867" s="266"/>
      <c r="H867" s="265"/>
      <c r="I867" s="266"/>
      <c r="J867" s="265"/>
      <c r="K867" s="266"/>
      <c r="L867" s="266"/>
      <c r="M867" s="266"/>
      <c r="N867" s="265"/>
      <c r="O867" s="265"/>
      <c r="P867" s="267"/>
      <c r="Q867" s="267"/>
    </row>
    <row r="868" ht="12.75" customHeight="1" spans="1:17">
      <c r="A868" s="265"/>
      <c r="B868" s="265"/>
      <c r="C868" s="265"/>
      <c r="D868" s="265"/>
      <c r="E868" s="265"/>
      <c r="F868" s="265"/>
      <c r="G868" s="266"/>
      <c r="H868" s="265"/>
      <c r="I868" s="266"/>
      <c r="J868" s="265"/>
      <c r="K868" s="266"/>
      <c r="L868" s="266"/>
      <c r="M868" s="266"/>
      <c r="N868" s="265"/>
      <c r="O868" s="265"/>
      <c r="P868" s="267"/>
      <c r="Q868" s="267"/>
    </row>
    <row r="869" ht="12.75" customHeight="1" spans="1:17">
      <c r="A869" s="265"/>
      <c r="B869" s="265"/>
      <c r="C869" s="265"/>
      <c r="D869" s="265"/>
      <c r="E869" s="265"/>
      <c r="F869" s="265"/>
      <c r="G869" s="266"/>
      <c r="H869" s="265"/>
      <c r="I869" s="266"/>
      <c r="J869" s="265"/>
      <c r="K869" s="266"/>
      <c r="L869" s="266"/>
      <c r="M869" s="266"/>
      <c r="N869" s="265"/>
      <c r="O869" s="265"/>
      <c r="P869" s="267"/>
      <c r="Q869" s="267"/>
    </row>
    <row r="870" ht="12.75" customHeight="1" spans="1:17">
      <c r="A870" s="265"/>
      <c r="B870" s="265"/>
      <c r="C870" s="265"/>
      <c r="D870" s="265"/>
      <c r="E870" s="265"/>
      <c r="F870" s="265"/>
      <c r="G870" s="266"/>
      <c r="H870" s="265"/>
      <c r="I870" s="266"/>
      <c r="J870" s="265"/>
      <c r="K870" s="266"/>
      <c r="L870" s="266"/>
      <c r="M870" s="266"/>
      <c r="N870" s="265"/>
      <c r="O870" s="265"/>
      <c r="P870" s="267"/>
      <c r="Q870" s="267"/>
    </row>
    <row r="871" ht="12.75" customHeight="1" spans="1:17">
      <c r="A871" s="265"/>
      <c r="B871" s="265"/>
      <c r="C871" s="265"/>
      <c r="D871" s="265"/>
      <c r="E871" s="265"/>
      <c r="F871" s="265"/>
      <c r="G871" s="266"/>
      <c r="H871" s="265"/>
      <c r="I871" s="266"/>
      <c r="J871" s="265"/>
      <c r="K871" s="266"/>
      <c r="L871" s="266"/>
      <c r="M871" s="266"/>
      <c r="N871" s="265"/>
      <c r="O871" s="265"/>
      <c r="P871" s="267"/>
      <c r="Q871" s="267"/>
    </row>
    <row r="872" ht="12.75" customHeight="1" spans="1:17">
      <c r="A872" s="265"/>
      <c r="B872" s="265"/>
      <c r="C872" s="265"/>
      <c r="D872" s="265"/>
      <c r="E872" s="265"/>
      <c r="F872" s="265"/>
      <c r="G872" s="266"/>
      <c r="H872" s="265"/>
      <c r="I872" s="266"/>
      <c r="J872" s="265"/>
      <c r="K872" s="266"/>
      <c r="L872" s="266"/>
      <c r="M872" s="266"/>
      <c r="N872" s="265"/>
      <c r="O872" s="265"/>
      <c r="P872" s="267"/>
      <c r="Q872" s="267"/>
    </row>
    <row r="873" ht="12.75" customHeight="1" spans="1:17">
      <c r="A873" s="265"/>
      <c r="B873" s="265"/>
      <c r="C873" s="265"/>
      <c r="D873" s="265"/>
      <c r="E873" s="265"/>
      <c r="F873" s="265"/>
      <c r="G873" s="266"/>
      <c r="H873" s="265"/>
      <c r="I873" s="266"/>
      <c r="J873" s="265"/>
      <c r="K873" s="266"/>
      <c r="L873" s="266"/>
      <c r="M873" s="266"/>
      <c r="N873" s="265"/>
      <c r="O873" s="265"/>
      <c r="P873" s="267"/>
      <c r="Q873" s="267"/>
    </row>
    <row r="874" ht="12.75" customHeight="1" spans="1:17">
      <c r="A874" s="265"/>
      <c r="B874" s="265"/>
      <c r="C874" s="265"/>
      <c r="D874" s="265"/>
      <c r="E874" s="265"/>
      <c r="F874" s="265"/>
      <c r="G874" s="266"/>
      <c r="H874" s="265"/>
      <c r="I874" s="266"/>
      <c r="J874" s="265"/>
      <c r="K874" s="266"/>
      <c r="L874" s="266"/>
      <c r="M874" s="266"/>
      <c r="N874" s="265"/>
      <c r="O874" s="265"/>
      <c r="P874" s="267"/>
      <c r="Q874" s="267"/>
    </row>
    <row r="875" ht="12.75" customHeight="1" spans="1:17">
      <c r="A875" s="265"/>
      <c r="B875" s="265"/>
      <c r="C875" s="265"/>
      <c r="D875" s="265"/>
      <c r="E875" s="265"/>
      <c r="F875" s="265"/>
      <c r="G875" s="266"/>
      <c r="H875" s="265"/>
      <c r="I875" s="266"/>
      <c r="J875" s="265"/>
      <c r="K875" s="266"/>
      <c r="L875" s="266"/>
      <c r="M875" s="266"/>
      <c r="N875" s="265"/>
      <c r="O875" s="265"/>
      <c r="P875" s="267"/>
      <c r="Q875" s="267"/>
    </row>
    <row r="876" ht="12.75" customHeight="1" spans="1:17">
      <c r="A876" s="265"/>
      <c r="B876" s="265"/>
      <c r="C876" s="265"/>
      <c r="D876" s="265"/>
      <c r="E876" s="265"/>
      <c r="F876" s="265"/>
      <c r="G876" s="266"/>
      <c r="H876" s="265"/>
      <c r="I876" s="266"/>
      <c r="J876" s="265"/>
      <c r="K876" s="266"/>
      <c r="L876" s="266"/>
      <c r="M876" s="266"/>
      <c r="N876" s="265"/>
      <c r="O876" s="265"/>
      <c r="P876" s="267"/>
      <c r="Q876" s="267"/>
    </row>
    <row r="877" ht="12.75" customHeight="1" spans="1:17">
      <c r="A877" s="265"/>
      <c r="B877" s="265"/>
      <c r="C877" s="265"/>
      <c r="D877" s="265"/>
      <c r="E877" s="265"/>
      <c r="F877" s="265"/>
      <c r="G877" s="266"/>
      <c r="H877" s="265"/>
      <c r="I877" s="266"/>
      <c r="J877" s="265"/>
      <c r="K877" s="266"/>
      <c r="L877" s="266"/>
      <c r="M877" s="266"/>
      <c r="N877" s="265"/>
      <c r="O877" s="265"/>
      <c r="P877" s="267"/>
      <c r="Q877" s="267"/>
    </row>
    <row r="878" ht="12.75" customHeight="1" spans="1:17">
      <c r="A878" s="265"/>
      <c r="B878" s="265"/>
      <c r="C878" s="265"/>
      <c r="D878" s="265"/>
      <c r="E878" s="265"/>
      <c r="F878" s="265"/>
      <c r="G878" s="266"/>
      <c r="H878" s="265"/>
      <c r="I878" s="266"/>
      <c r="J878" s="265"/>
      <c r="K878" s="266"/>
      <c r="L878" s="266"/>
      <c r="M878" s="266"/>
      <c r="N878" s="265"/>
      <c r="O878" s="265"/>
      <c r="P878" s="267"/>
      <c r="Q878" s="267"/>
    </row>
    <row r="879" ht="12.75" customHeight="1" spans="1:17">
      <c r="A879" s="265"/>
      <c r="B879" s="265"/>
      <c r="C879" s="265"/>
      <c r="D879" s="265"/>
      <c r="E879" s="265"/>
      <c r="F879" s="265"/>
      <c r="G879" s="266"/>
      <c r="H879" s="265"/>
      <c r="I879" s="266"/>
      <c r="J879" s="265"/>
      <c r="K879" s="266"/>
      <c r="L879" s="266"/>
      <c r="M879" s="266"/>
      <c r="N879" s="265"/>
      <c r="O879" s="265"/>
      <c r="P879" s="267"/>
      <c r="Q879" s="267"/>
    </row>
    <row r="880" ht="12.75" customHeight="1" spans="1:17">
      <c r="A880" s="265"/>
      <c r="B880" s="265"/>
      <c r="C880" s="265"/>
      <c r="D880" s="265"/>
      <c r="E880" s="265"/>
      <c r="F880" s="265"/>
      <c r="G880" s="266"/>
      <c r="H880" s="265"/>
      <c r="I880" s="266"/>
      <c r="J880" s="265"/>
      <c r="K880" s="266"/>
      <c r="L880" s="266"/>
      <c r="M880" s="266"/>
      <c r="N880" s="265"/>
      <c r="O880" s="265"/>
      <c r="P880" s="267"/>
      <c r="Q880" s="267"/>
    </row>
    <row r="881" ht="12.75" customHeight="1" spans="1:17">
      <c r="A881" s="265"/>
      <c r="B881" s="265"/>
      <c r="C881" s="265"/>
      <c r="D881" s="265"/>
      <c r="E881" s="265"/>
      <c r="F881" s="265"/>
      <c r="G881" s="266"/>
      <c r="H881" s="265"/>
      <c r="I881" s="266"/>
      <c r="J881" s="265"/>
      <c r="K881" s="266"/>
      <c r="L881" s="266"/>
      <c r="M881" s="266"/>
      <c r="N881" s="265"/>
      <c r="O881" s="265"/>
      <c r="P881" s="267"/>
      <c r="Q881" s="267"/>
    </row>
    <row r="882" ht="12.75" customHeight="1" spans="1:17">
      <c r="A882" s="265"/>
      <c r="B882" s="265"/>
      <c r="C882" s="265"/>
      <c r="D882" s="265"/>
      <c r="E882" s="265"/>
      <c r="F882" s="265"/>
      <c r="G882" s="266"/>
      <c r="H882" s="265"/>
      <c r="I882" s="266"/>
      <c r="J882" s="265"/>
      <c r="K882" s="266"/>
      <c r="L882" s="266"/>
      <c r="M882" s="266"/>
      <c r="N882" s="265"/>
      <c r="O882" s="265"/>
      <c r="P882" s="267"/>
      <c r="Q882" s="267"/>
    </row>
    <row r="883" ht="12.75" customHeight="1" spans="1:17">
      <c r="A883" s="265"/>
      <c r="B883" s="265"/>
      <c r="C883" s="265"/>
      <c r="D883" s="265"/>
      <c r="E883" s="265"/>
      <c r="F883" s="265"/>
      <c r="G883" s="266"/>
      <c r="H883" s="265"/>
      <c r="I883" s="266"/>
      <c r="J883" s="265"/>
      <c r="K883" s="266"/>
      <c r="L883" s="266"/>
      <c r="M883" s="266"/>
      <c r="N883" s="265"/>
      <c r="O883" s="265"/>
      <c r="P883" s="267"/>
      <c r="Q883" s="267"/>
    </row>
    <row r="884" ht="12.75" customHeight="1" spans="1:17">
      <c r="A884" s="265"/>
      <c r="B884" s="265"/>
      <c r="C884" s="265"/>
      <c r="D884" s="265"/>
      <c r="E884" s="265"/>
      <c r="F884" s="265"/>
      <c r="G884" s="266"/>
      <c r="H884" s="265"/>
      <c r="I884" s="266"/>
      <c r="J884" s="265"/>
      <c r="K884" s="266"/>
      <c r="L884" s="266"/>
      <c r="M884" s="266"/>
      <c r="N884" s="265"/>
      <c r="O884" s="265"/>
      <c r="P884" s="267"/>
      <c r="Q884" s="267"/>
    </row>
    <row r="885" ht="12.75" customHeight="1" spans="1:17">
      <c r="A885" s="265"/>
      <c r="B885" s="265"/>
      <c r="C885" s="265"/>
      <c r="D885" s="265"/>
      <c r="E885" s="265"/>
      <c r="F885" s="265"/>
      <c r="G885" s="266"/>
      <c r="H885" s="265"/>
      <c r="I885" s="266"/>
      <c r="J885" s="265"/>
      <c r="K885" s="266"/>
      <c r="L885" s="266"/>
      <c r="M885" s="266"/>
      <c r="N885" s="265"/>
      <c r="O885" s="265"/>
      <c r="P885" s="267"/>
      <c r="Q885" s="267"/>
    </row>
    <row r="886" ht="12.75" customHeight="1" spans="1:17">
      <c r="A886" s="265"/>
      <c r="B886" s="265"/>
      <c r="C886" s="265"/>
      <c r="D886" s="265"/>
      <c r="E886" s="265"/>
      <c r="F886" s="265"/>
      <c r="G886" s="266"/>
      <c r="H886" s="265"/>
      <c r="I886" s="266"/>
      <c r="J886" s="265"/>
      <c r="K886" s="266"/>
      <c r="L886" s="266"/>
      <c r="M886" s="266"/>
      <c r="N886" s="265"/>
      <c r="O886" s="265"/>
      <c r="P886" s="267"/>
      <c r="Q886" s="267"/>
    </row>
    <row r="887" ht="12.75" customHeight="1" spans="1:17">
      <c r="A887" s="265"/>
      <c r="B887" s="265"/>
      <c r="C887" s="265"/>
      <c r="D887" s="265"/>
      <c r="E887" s="265"/>
      <c r="F887" s="265"/>
      <c r="G887" s="266"/>
      <c r="H887" s="265"/>
      <c r="I887" s="266"/>
      <c r="J887" s="265"/>
      <c r="K887" s="266"/>
      <c r="L887" s="266"/>
      <c r="M887" s="266"/>
      <c r="N887" s="265"/>
      <c r="O887" s="265"/>
      <c r="P887" s="267"/>
      <c r="Q887" s="267"/>
    </row>
    <row r="888" ht="12.75" customHeight="1" spans="1:17">
      <c r="A888" s="265"/>
      <c r="B888" s="265"/>
      <c r="C888" s="265"/>
      <c r="D888" s="265"/>
      <c r="E888" s="265"/>
      <c r="F888" s="265"/>
      <c r="G888" s="266"/>
      <c r="H888" s="265"/>
      <c r="I888" s="266"/>
      <c r="J888" s="265"/>
      <c r="K888" s="266"/>
      <c r="L888" s="266"/>
      <c r="M888" s="266"/>
      <c r="N888" s="265"/>
      <c r="O888" s="265"/>
      <c r="P888" s="267"/>
      <c r="Q888" s="267"/>
    </row>
    <row r="889" ht="12.75" customHeight="1" spans="1:17">
      <c r="A889" s="265"/>
      <c r="B889" s="265"/>
      <c r="C889" s="265"/>
      <c r="D889" s="265"/>
      <c r="E889" s="265"/>
      <c r="F889" s="265"/>
      <c r="G889" s="266"/>
      <c r="H889" s="265"/>
      <c r="I889" s="266"/>
      <c r="J889" s="265"/>
      <c r="K889" s="266"/>
      <c r="L889" s="266"/>
      <c r="M889" s="266"/>
      <c r="N889" s="265"/>
      <c r="O889" s="265"/>
      <c r="P889" s="267"/>
      <c r="Q889" s="267"/>
    </row>
    <row r="890" ht="12.75" customHeight="1" spans="1:17">
      <c r="A890" s="265"/>
      <c r="B890" s="265"/>
      <c r="C890" s="265"/>
      <c r="D890" s="265"/>
      <c r="E890" s="265"/>
      <c r="F890" s="265"/>
      <c r="G890" s="266"/>
      <c r="H890" s="265"/>
      <c r="I890" s="266"/>
      <c r="J890" s="265"/>
      <c r="K890" s="266"/>
      <c r="L890" s="266"/>
      <c r="M890" s="266"/>
      <c r="N890" s="265"/>
      <c r="O890" s="265"/>
      <c r="P890" s="267"/>
      <c r="Q890" s="267"/>
    </row>
    <row r="891" ht="12.75" customHeight="1" spans="1:17">
      <c r="A891" s="265"/>
      <c r="B891" s="265"/>
      <c r="C891" s="265"/>
      <c r="D891" s="265"/>
      <c r="E891" s="265"/>
      <c r="F891" s="265"/>
      <c r="G891" s="266"/>
      <c r="H891" s="265"/>
      <c r="I891" s="266"/>
      <c r="J891" s="265"/>
      <c r="K891" s="266"/>
      <c r="L891" s="266"/>
      <c r="M891" s="266"/>
      <c r="N891" s="265"/>
      <c r="O891" s="265"/>
      <c r="P891" s="267"/>
      <c r="Q891" s="267"/>
    </row>
    <row r="892" ht="12.75" customHeight="1" spans="1:17">
      <c r="A892" s="265"/>
      <c r="B892" s="265"/>
      <c r="C892" s="265"/>
      <c r="D892" s="265"/>
      <c r="E892" s="265"/>
      <c r="F892" s="265"/>
      <c r="G892" s="266"/>
      <c r="H892" s="265"/>
      <c r="I892" s="266"/>
      <c r="J892" s="265"/>
      <c r="K892" s="266"/>
      <c r="L892" s="266"/>
      <c r="M892" s="266"/>
      <c r="N892" s="265"/>
      <c r="O892" s="265"/>
      <c r="P892" s="267"/>
      <c r="Q892" s="267"/>
    </row>
    <row r="893" ht="12.75" customHeight="1" spans="1:17">
      <c r="A893" s="265"/>
      <c r="B893" s="265"/>
      <c r="C893" s="265"/>
      <c r="D893" s="265"/>
      <c r="E893" s="265"/>
      <c r="F893" s="265"/>
      <c r="G893" s="266"/>
      <c r="H893" s="265"/>
      <c r="I893" s="266"/>
      <c r="J893" s="265"/>
      <c r="K893" s="266"/>
      <c r="L893" s="266"/>
      <c r="M893" s="266"/>
      <c r="N893" s="265"/>
      <c r="O893" s="265"/>
      <c r="P893" s="267"/>
      <c r="Q893" s="267"/>
    </row>
    <row r="894" ht="12.75" customHeight="1" spans="1:17">
      <c r="A894" s="265"/>
      <c r="B894" s="265"/>
      <c r="C894" s="265"/>
      <c r="D894" s="265"/>
      <c r="E894" s="265"/>
      <c r="F894" s="265"/>
      <c r="G894" s="266"/>
      <c r="H894" s="265"/>
      <c r="I894" s="266"/>
      <c r="J894" s="265"/>
      <c r="K894" s="266"/>
      <c r="L894" s="266"/>
      <c r="M894" s="266"/>
      <c r="N894" s="265"/>
      <c r="O894" s="265"/>
      <c r="P894" s="267"/>
      <c r="Q894" s="267"/>
    </row>
    <row r="895" ht="12.75" customHeight="1" spans="1:17">
      <c r="A895" s="265"/>
      <c r="B895" s="265"/>
      <c r="C895" s="265"/>
      <c r="D895" s="265"/>
      <c r="E895" s="265"/>
      <c r="F895" s="265"/>
      <c r="G895" s="266"/>
      <c r="H895" s="265"/>
      <c r="I895" s="266"/>
      <c r="J895" s="265"/>
      <c r="K895" s="266"/>
      <c r="L895" s="266"/>
      <c r="M895" s="266"/>
      <c r="N895" s="265"/>
      <c r="O895" s="265"/>
      <c r="P895" s="267"/>
      <c r="Q895" s="267"/>
    </row>
    <row r="896" ht="12.75" customHeight="1" spans="1:17">
      <c r="A896" s="265"/>
      <c r="B896" s="265"/>
      <c r="C896" s="265"/>
      <c r="D896" s="265"/>
      <c r="E896" s="265"/>
      <c r="F896" s="265"/>
      <c r="G896" s="266"/>
      <c r="H896" s="265"/>
      <c r="I896" s="266"/>
      <c r="J896" s="265"/>
      <c r="K896" s="266"/>
      <c r="L896" s="266"/>
      <c r="M896" s="266"/>
      <c r="N896" s="265"/>
      <c r="O896" s="265"/>
      <c r="P896" s="267"/>
      <c r="Q896" s="267"/>
    </row>
    <row r="897" ht="12.75" customHeight="1" spans="1:17">
      <c r="A897" s="265"/>
      <c r="B897" s="265"/>
      <c r="C897" s="265"/>
      <c r="D897" s="265"/>
      <c r="E897" s="265"/>
      <c r="F897" s="265"/>
      <c r="G897" s="266"/>
      <c r="H897" s="265"/>
      <c r="I897" s="266"/>
      <c r="J897" s="265"/>
      <c r="K897" s="266"/>
      <c r="L897" s="266"/>
      <c r="M897" s="266"/>
      <c r="N897" s="265"/>
      <c r="O897" s="265"/>
      <c r="P897" s="267"/>
      <c r="Q897" s="267"/>
    </row>
    <row r="898" ht="12.75" customHeight="1" spans="1:17">
      <c r="A898" s="265"/>
      <c r="B898" s="265"/>
      <c r="C898" s="265"/>
      <c r="D898" s="265"/>
      <c r="E898" s="265"/>
      <c r="F898" s="265"/>
      <c r="G898" s="266"/>
      <c r="H898" s="265"/>
      <c r="I898" s="266"/>
      <c r="J898" s="265"/>
      <c r="K898" s="266"/>
      <c r="L898" s="266"/>
      <c r="M898" s="266"/>
      <c r="N898" s="265"/>
      <c r="O898" s="265"/>
      <c r="P898" s="267"/>
      <c r="Q898" s="267"/>
    </row>
    <row r="899" ht="12.75" customHeight="1" spans="1:17">
      <c r="A899" s="265"/>
      <c r="B899" s="265"/>
      <c r="C899" s="265"/>
      <c r="D899" s="265"/>
      <c r="E899" s="265"/>
      <c r="F899" s="265"/>
      <c r="G899" s="266"/>
      <c r="H899" s="265"/>
      <c r="I899" s="266"/>
      <c r="J899" s="265"/>
      <c r="K899" s="266"/>
      <c r="L899" s="266"/>
      <c r="M899" s="266"/>
      <c r="N899" s="265"/>
      <c r="O899" s="265"/>
      <c r="P899" s="267"/>
      <c r="Q899" s="267"/>
    </row>
    <row r="900" ht="12.75" customHeight="1" spans="1:17">
      <c r="A900" s="265"/>
      <c r="B900" s="265"/>
      <c r="C900" s="265"/>
      <c r="D900" s="265"/>
      <c r="E900" s="265"/>
      <c r="F900" s="265"/>
      <c r="G900" s="266"/>
      <c r="H900" s="265"/>
      <c r="I900" s="266"/>
      <c r="J900" s="265"/>
      <c r="K900" s="266"/>
      <c r="L900" s="266"/>
      <c r="M900" s="266"/>
      <c r="N900" s="265"/>
      <c r="O900" s="265"/>
      <c r="P900" s="267"/>
      <c r="Q900" s="267"/>
    </row>
    <row r="901" ht="12.75" customHeight="1" spans="1:17">
      <c r="A901" s="265"/>
      <c r="B901" s="265"/>
      <c r="C901" s="265"/>
      <c r="D901" s="265"/>
      <c r="E901" s="265"/>
      <c r="F901" s="265"/>
      <c r="G901" s="266"/>
      <c r="H901" s="265"/>
      <c r="I901" s="266"/>
      <c r="J901" s="265"/>
      <c r="K901" s="266"/>
      <c r="L901" s="266"/>
      <c r="M901" s="266"/>
      <c r="N901" s="265"/>
      <c r="O901" s="265"/>
      <c r="P901" s="267"/>
      <c r="Q901" s="267"/>
    </row>
    <row r="902" ht="12.75" customHeight="1" spans="1:17">
      <c r="A902" s="265"/>
      <c r="B902" s="265"/>
      <c r="C902" s="265"/>
      <c r="D902" s="265"/>
      <c r="E902" s="265"/>
      <c r="F902" s="265"/>
      <c r="G902" s="266"/>
      <c r="H902" s="265"/>
      <c r="I902" s="266"/>
      <c r="J902" s="265"/>
      <c r="K902" s="266"/>
      <c r="L902" s="266"/>
      <c r="M902" s="266"/>
      <c r="N902" s="265"/>
      <c r="O902" s="265"/>
      <c r="P902" s="267"/>
      <c r="Q902" s="267"/>
    </row>
    <row r="903" ht="12.75" customHeight="1" spans="1:17">
      <c r="A903" s="265"/>
      <c r="B903" s="265"/>
      <c r="C903" s="265"/>
      <c r="D903" s="265"/>
      <c r="E903" s="265"/>
      <c r="F903" s="265"/>
      <c r="G903" s="266"/>
      <c r="H903" s="265"/>
      <c r="I903" s="266"/>
      <c r="J903" s="265"/>
      <c r="K903" s="266"/>
      <c r="L903" s="266"/>
      <c r="M903" s="266"/>
      <c r="N903" s="265"/>
      <c r="O903" s="265"/>
      <c r="P903" s="267"/>
      <c r="Q903" s="267"/>
    </row>
    <row r="904" ht="12.75" customHeight="1" spans="1:17">
      <c r="A904" s="265"/>
      <c r="B904" s="265"/>
      <c r="C904" s="265"/>
      <c r="D904" s="265"/>
      <c r="E904" s="265"/>
      <c r="F904" s="265"/>
      <c r="G904" s="266"/>
      <c r="H904" s="265"/>
      <c r="I904" s="266"/>
      <c r="J904" s="265"/>
      <c r="K904" s="266"/>
      <c r="L904" s="266"/>
      <c r="M904" s="266"/>
      <c r="N904" s="265"/>
      <c r="O904" s="265"/>
      <c r="P904" s="267"/>
      <c r="Q904" s="267"/>
    </row>
    <row r="905" ht="12.75" customHeight="1" spans="1:17">
      <c r="A905" s="265"/>
      <c r="B905" s="265"/>
      <c r="C905" s="265"/>
      <c r="D905" s="265"/>
      <c r="E905" s="265"/>
      <c r="F905" s="265"/>
      <c r="G905" s="266"/>
      <c r="H905" s="265"/>
      <c r="I905" s="266"/>
      <c r="J905" s="265"/>
      <c r="K905" s="266"/>
      <c r="L905" s="266"/>
      <c r="M905" s="266"/>
      <c r="N905" s="265"/>
      <c r="O905" s="265"/>
      <c r="P905" s="267"/>
      <c r="Q905" s="267"/>
    </row>
    <row r="906" ht="12.75" customHeight="1" spans="1:17">
      <c r="A906" s="265"/>
      <c r="B906" s="265"/>
      <c r="C906" s="265"/>
      <c r="D906" s="265"/>
      <c r="E906" s="265"/>
      <c r="F906" s="265"/>
      <c r="G906" s="266"/>
      <c r="H906" s="265"/>
      <c r="I906" s="266"/>
      <c r="J906" s="265"/>
      <c r="K906" s="266"/>
      <c r="L906" s="266"/>
      <c r="M906" s="266"/>
      <c r="N906" s="265"/>
      <c r="O906" s="265"/>
      <c r="P906" s="267"/>
      <c r="Q906" s="267"/>
    </row>
    <row r="907" ht="12.75" customHeight="1" spans="1:17">
      <c r="A907" s="265"/>
      <c r="B907" s="265"/>
      <c r="C907" s="265"/>
      <c r="D907" s="265"/>
      <c r="E907" s="265"/>
      <c r="F907" s="265"/>
      <c r="G907" s="266"/>
      <c r="H907" s="265"/>
      <c r="I907" s="266"/>
      <c r="J907" s="265"/>
      <c r="K907" s="266"/>
      <c r="L907" s="266"/>
      <c r="M907" s="266"/>
      <c r="N907" s="265"/>
      <c r="O907" s="265"/>
      <c r="P907" s="267"/>
      <c r="Q907" s="267"/>
    </row>
    <row r="908" ht="12.75" customHeight="1" spans="1:17">
      <c r="A908" s="265"/>
      <c r="B908" s="265"/>
      <c r="C908" s="265"/>
      <c r="D908" s="265"/>
      <c r="E908" s="265"/>
      <c r="F908" s="265"/>
      <c r="G908" s="266"/>
      <c r="H908" s="265"/>
      <c r="I908" s="266"/>
      <c r="J908" s="265"/>
      <c r="K908" s="266"/>
      <c r="L908" s="266"/>
      <c r="M908" s="266"/>
      <c r="N908" s="265"/>
      <c r="O908" s="265"/>
      <c r="P908" s="267"/>
      <c r="Q908" s="267"/>
    </row>
    <row r="909" ht="12.75" customHeight="1" spans="1:17">
      <c r="A909" s="265"/>
      <c r="B909" s="265"/>
      <c r="C909" s="265"/>
      <c r="D909" s="265"/>
      <c r="E909" s="265"/>
      <c r="F909" s="265"/>
      <c r="G909" s="266"/>
      <c r="H909" s="265"/>
      <c r="I909" s="266"/>
      <c r="J909" s="265"/>
      <c r="K909" s="266"/>
      <c r="L909" s="266"/>
      <c r="M909" s="266"/>
      <c r="N909" s="265"/>
      <c r="O909" s="265"/>
      <c r="P909" s="267"/>
      <c r="Q909" s="267"/>
    </row>
    <row r="910" ht="12.75" customHeight="1" spans="1:17">
      <c r="A910" s="265"/>
      <c r="B910" s="265"/>
      <c r="C910" s="265"/>
      <c r="D910" s="265"/>
      <c r="E910" s="265"/>
      <c r="F910" s="265"/>
      <c r="G910" s="266"/>
      <c r="H910" s="265"/>
      <c r="I910" s="266"/>
      <c r="J910" s="265"/>
      <c r="K910" s="266"/>
      <c r="L910" s="266"/>
      <c r="M910" s="266"/>
      <c r="N910" s="265"/>
      <c r="O910" s="265"/>
      <c r="P910" s="267"/>
      <c r="Q910" s="267"/>
    </row>
    <row r="911" ht="12.75" customHeight="1" spans="1:17">
      <c r="A911" s="265"/>
      <c r="B911" s="265"/>
      <c r="C911" s="265"/>
      <c r="D911" s="265"/>
      <c r="E911" s="265"/>
      <c r="F911" s="265"/>
      <c r="G911" s="266"/>
      <c r="H911" s="265"/>
      <c r="I911" s="266"/>
      <c r="J911" s="265"/>
      <c r="K911" s="266"/>
      <c r="L911" s="266"/>
      <c r="M911" s="266"/>
      <c r="N911" s="265"/>
      <c r="O911" s="265"/>
      <c r="P911" s="267"/>
      <c r="Q911" s="267"/>
    </row>
    <row r="912" ht="12.75" customHeight="1" spans="1:17">
      <c r="A912" s="265"/>
      <c r="B912" s="265"/>
      <c r="C912" s="265"/>
      <c r="D912" s="265"/>
      <c r="E912" s="265"/>
      <c r="F912" s="265"/>
      <c r="G912" s="266"/>
      <c r="H912" s="265"/>
      <c r="I912" s="266"/>
      <c r="J912" s="265"/>
      <c r="K912" s="266"/>
      <c r="L912" s="266"/>
      <c r="M912" s="266"/>
      <c r="N912" s="265"/>
      <c r="O912" s="265"/>
      <c r="P912" s="267"/>
      <c r="Q912" s="267"/>
    </row>
    <row r="913" ht="12.75" customHeight="1" spans="1:17">
      <c r="A913" s="265"/>
      <c r="B913" s="265"/>
      <c r="C913" s="265"/>
      <c r="D913" s="265"/>
      <c r="E913" s="265"/>
      <c r="F913" s="265"/>
      <c r="G913" s="266"/>
      <c r="H913" s="265"/>
      <c r="I913" s="266"/>
      <c r="J913" s="265"/>
      <c r="K913" s="266"/>
      <c r="L913" s="266"/>
      <c r="M913" s="266"/>
      <c r="N913" s="265"/>
      <c r="O913" s="265"/>
      <c r="P913" s="267"/>
      <c r="Q913" s="267"/>
    </row>
    <row r="914" ht="12.75" customHeight="1" spans="1:17">
      <c r="A914" s="265"/>
      <c r="B914" s="265"/>
      <c r="C914" s="265"/>
      <c r="D914" s="265"/>
      <c r="E914" s="265"/>
      <c r="F914" s="265"/>
      <c r="G914" s="266"/>
      <c r="H914" s="265"/>
      <c r="I914" s="266"/>
      <c r="J914" s="265"/>
      <c r="K914" s="266"/>
      <c r="L914" s="266"/>
      <c r="M914" s="266"/>
      <c r="N914" s="265"/>
      <c r="O914" s="265"/>
      <c r="P914" s="267"/>
      <c r="Q914" s="267"/>
    </row>
    <row r="915" ht="12.75" customHeight="1" spans="1:17">
      <c r="A915" s="265"/>
      <c r="B915" s="265"/>
      <c r="C915" s="265"/>
      <c r="D915" s="265"/>
      <c r="E915" s="265"/>
      <c r="F915" s="265"/>
      <c r="G915" s="266"/>
      <c r="H915" s="265"/>
      <c r="I915" s="266"/>
      <c r="J915" s="265"/>
      <c r="K915" s="266"/>
      <c r="L915" s="266"/>
      <c r="M915" s="266"/>
      <c r="N915" s="265"/>
      <c r="O915" s="265"/>
      <c r="P915" s="267"/>
      <c r="Q915" s="267"/>
    </row>
    <row r="916" ht="12.75" customHeight="1" spans="1:17">
      <c r="A916" s="265"/>
      <c r="B916" s="265"/>
      <c r="C916" s="265"/>
      <c r="D916" s="265"/>
      <c r="E916" s="265"/>
      <c r="F916" s="265"/>
      <c r="G916" s="266"/>
      <c r="H916" s="265"/>
      <c r="I916" s="266"/>
      <c r="J916" s="265"/>
      <c r="K916" s="266"/>
      <c r="L916" s="266"/>
      <c r="M916" s="266"/>
      <c r="N916" s="265"/>
      <c r="O916" s="265"/>
      <c r="P916" s="267"/>
      <c r="Q916" s="267"/>
    </row>
    <row r="917" ht="12.75" customHeight="1" spans="1:17">
      <c r="A917" s="265"/>
      <c r="B917" s="265"/>
      <c r="C917" s="265"/>
      <c r="D917" s="265"/>
      <c r="E917" s="265"/>
      <c r="F917" s="265"/>
      <c r="G917" s="266"/>
      <c r="H917" s="265"/>
      <c r="I917" s="266"/>
      <c r="J917" s="265"/>
      <c r="K917" s="266"/>
      <c r="L917" s="266"/>
      <c r="M917" s="266"/>
      <c r="N917" s="265"/>
      <c r="O917" s="265"/>
      <c r="P917" s="267"/>
      <c r="Q917" s="267"/>
    </row>
    <row r="918" ht="12.75" customHeight="1" spans="1:17">
      <c r="A918" s="265"/>
      <c r="B918" s="265"/>
      <c r="C918" s="265"/>
      <c r="D918" s="265"/>
      <c r="E918" s="265"/>
      <c r="F918" s="265"/>
      <c r="G918" s="266"/>
      <c r="H918" s="265"/>
      <c r="I918" s="266"/>
      <c r="J918" s="265"/>
      <c r="K918" s="266"/>
      <c r="L918" s="266"/>
      <c r="M918" s="266"/>
      <c r="N918" s="265"/>
      <c r="O918" s="265"/>
      <c r="P918" s="267"/>
      <c r="Q918" s="267"/>
    </row>
    <row r="919" ht="12.75" customHeight="1" spans="1:17">
      <c r="A919" s="265"/>
      <c r="B919" s="265"/>
      <c r="C919" s="265"/>
      <c r="D919" s="265"/>
      <c r="E919" s="265"/>
      <c r="F919" s="265"/>
      <c r="G919" s="266"/>
      <c r="H919" s="265"/>
      <c r="I919" s="266"/>
      <c r="J919" s="265"/>
      <c r="K919" s="266"/>
      <c r="L919" s="266"/>
      <c r="M919" s="266"/>
      <c r="N919" s="265"/>
      <c r="O919" s="265"/>
      <c r="P919" s="267"/>
      <c r="Q919" s="267"/>
    </row>
    <row r="920" ht="12.75" customHeight="1" spans="1:17">
      <c r="A920" s="265"/>
      <c r="B920" s="265"/>
      <c r="C920" s="265"/>
      <c r="D920" s="265"/>
      <c r="E920" s="265"/>
      <c r="F920" s="265"/>
      <c r="G920" s="266"/>
      <c r="H920" s="265"/>
      <c r="I920" s="266"/>
      <c r="J920" s="265"/>
      <c r="K920" s="266"/>
      <c r="L920" s="266"/>
      <c r="M920" s="266"/>
      <c r="N920" s="265"/>
      <c r="O920" s="265"/>
      <c r="P920" s="267"/>
      <c r="Q920" s="267"/>
    </row>
    <row r="921" ht="12.75" customHeight="1" spans="1:17">
      <c r="A921" s="265"/>
      <c r="B921" s="265"/>
      <c r="C921" s="265"/>
      <c r="D921" s="265"/>
      <c r="E921" s="265"/>
      <c r="F921" s="265"/>
      <c r="G921" s="266"/>
      <c r="H921" s="265"/>
      <c r="I921" s="266"/>
      <c r="J921" s="265"/>
      <c r="K921" s="266"/>
      <c r="L921" s="266"/>
      <c r="M921" s="266"/>
      <c r="N921" s="265"/>
      <c r="O921" s="265"/>
      <c r="P921" s="267"/>
      <c r="Q921" s="267"/>
    </row>
    <row r="922" ht="12.75" customHeight="1" spans="1:17">
      <c r="A922" s="265"/>
      <c r="B922" s="265"/>
      <c r="C922" s="265"/>
      <c r="D922" s="265"/>
      <c r="E922" s="265"/>
      <c r="F922" s="265"/>
      <c r="G922" s="266"/>
      <c r="H922" s="265"/>
      <c r="I922" s="266"/>
      <c r="J922" s="265"/>
      <c r="K922" s="266"/>
      <c r="L922" s="266"/>
      <c r="M922" s="266"/>
      <c r="N922" s="265"/>
      <c r="O922" s="265"/>
      <c r="P922" s="267"/>
      <c r="Q922" s="267"/>
    </row>
    <row r="923" ht="12.75" customHeight="1" spans="1:17">
      <c r="A923" s="265"/>
      <c r="B923" s="265"/>
      <c r="C923" s="265"/>
      <c r="D923" s="265"/>
      <c r="E923" s="265"/>
      <c r="F923" s="265"/>
      <c r="G923" s="266"/>
      <c r="H923" s="265"/>
      <c r="I923" s="266"/>
      <c r="J923" s="265"/>
      <c r="K923" s="266"/>
      <c r="L923" s="266"/>
      <c r="M923" s="266"/>
      <c r="N923" s="265"/>
      <c r="O923" s="265"/>
      <c r="P923" s="267"/>
      <c r="Q923" s="267"/>
    </row>
    <row r="924" ht="12.75" customHeight="1" spans="1:17">
      <c r="A924" s="265"/>
      <c r="B924" s="265"/>
      <c r="C924" s="265"/>
      <c r="D924" s="265"/>
      <c r="E924" s="265"/>
      <c r="F924" s="265"/>
      <c r="G924" s="266"/>
      <c r="H924" s="265"/>
      <c r="I924" s="266"/>
      <c r="J924" s="265"/>
      <c r="K924" s="266"/>
      <c r="L924" s="266"/>
      <c r="M924" s="266"/>
      <c r="N924" s="265"/>
      <c r="O924" s="265"/>
      <c r="P924" s="267"/>
      <c r="Q924" s="267"/>
    </row>
    <row r="925" ht="12.75" customHeight="1" spans="1:17">
      <c r="A925" s="265"/>
      <c r="B925" s="265"/>
      <c r="C925" s="265"/>
      <c r="D925" s="265"/>
      <c r="E925" s="265"/>
      <c r="F925" s="265"/>
      <c r="G925" s="266"/>
      <c r="H925" s="265"/>
      <c r="I925" s="266"/>
      <c r="J925" s="265"/>
      <c r="K925" s="266"/>
      <c r="L925" s="266"/>
      <c r="M925" s="266"/>
      <c r="N925" s="265"/>
      <c r="O925" s="265"/>
      <c r="P925" s="267"/>
      <c r="Q925" s="267"/>
    </row>
    <row r="926" ht="12.75" customHeight="1" spans="1:17">
      <c r="A926" s="265"/>
      <c r="B926" s="265"/>
      <c r="C926" s="265"/>
      <c r="D926" s="265"/>
      <c r="E926" s="265"/>
      <c r="F926" s="265"/>
      <c r="G926" s="266"/>
      <c r="H926" s="265"/>
      <c r="I926" s="266"/>
      <c r="J926" s="265"/>
      <c r="K926" s="266"/>
      <c r="L926" s="266"/>
      <c r="M926" s="266"/>
      <c r="N926" s="265"/>
      <c r="O926" s="265"/>
      <c r="P926" s="267"/>
      <c r="Q926" s="267"/>
    </row>
    <row r="927" ht="12.75" customHeight="1" spans="1:17">
      <c r="A927" s="265"/>
      <c r="B927" s="265"/>
      <c r="C927" s="265"/>
      <c r="D927" s="265"/>
      <c r="E927" s="265"/>
      <c r="F927" s="265"/>
      <c r="G927" s="266"/>
      <c r="H927" s="265"/>
      <c r="I927" s="266"/>
      <c r="J927" s="265"/>
      <c r="K927" s="266"/>
      <c r="L927" s="266"/>
      <c r="M927" s="266"/>
      <c r="N927" s="265"/>
      <c r="O927" s="265"/>
      <c r="P927" s="267"/>
      <c r="Q927" s="267"/>
    </row>
    <row r="928" ht="12.75" customHeight="1" spans="1:17">
      <c r="A928" s="265"/>
      <c r="B928" s="265"/>
      <c r="C928" s="265"/>
      <c r="D928" s="265"/>
      <c r="E928" s="265"/>
      <c r="F928" s="265"/>
      <c r="G928" s="266"/>
      <c r="H928" s="265"/>
      <c r="I928" s="266"/>
      <c r="J928" s="265"/>
      <c r="K928" s="266"/>
      <c r="L928" s="266"/>
      <c r="M928" s="266"/>
      <c r="N928" s="265"/>
      <c r="O928" s="265"/>
      <c r="P928" s="267"/>
      <c r="Q928" s="267"/>
    </row>
    <row r="929" ht="12.75" customHeight="1" spans="1:17">
      <c r="A929" s="265"/>
      <c r="B929" s="265"/>
      <c r="C929" s="265"/>
      <c r="D929" s="265"/>
      <c r="E929" s="265"/>
      <c r="F929" s="265"/>
      <c r="G929" s="266"/>
      <c r="H929" s="265"/>
      <c r="I929" s="266"/>
      <c r="J929" s="265"/>
      <c r="K929" s="266"/>
      <c r="L929" s="266"/>
      <c r="M929" s="266"/>
      <c r="N929" s="265"/>
      <c r="O929" s="265"/>
      <c r="P929" s="267"/>
      <c r="Q929" s="267"/>
    </row>
    <row r="930" ht="12.75" customHeight="1" spans="1:17">
      <c r="A930" s="265"/>
      <c r="B930" s="265"/>
      <c r="C930" s="265"/>
      <c r="D930" s="265"/>
      <c r="E930" s="265"/>
      <c r="F930" s="265"/>
      <c r="G930" s="266"/>
      <c r="H930" s="265"/>
      <c r="I930" s="266"/>
      <c r="J930" s="265"/>
      <c r="K930" s="266"/>
      <c r="L930" s="266"/>
      <c r="M930" s="266"/>
      <c r="N930" s="265"/>
      <c r="O930" s="265"/>
      <c r="P930" s="267"/>
      <c r="Q930" s="267"/>
    </row>
    <row r="931" ht="12.75" customHeight="1" spans="1:17">
      <c r="A931" s="265"/>
      <c r="B931" s="265"/>
      <c r="C931" s="265"/>
      <c r="D931" s="265"/>
      <c r="E931" s="265"/>
      <c r="F931" s="265"/>
      <c r="G931" s="266"/>
      <c r="H931" s="265"/>
      <c r="I931" s="266"/>
      <c r="J931" s="265"/>
      <c r="K931" s="266"/>
      <c r="L931" s="266"/>
      <c r="M931" s="266"/>
      <c r="N931" s="265"/>
      <c r="O931" s="265"/>
      <c r="P931" s="267"/>
      <c r="Q931" s="267"/>
    </row>
    <row r="932" ht="12.75" customHeight="1" spans="1:17">
      <c r="A932" s="265"/>
      <c r="B932" s="265"/>
      <c r="C932" s="265"/>
      <c r="D932" s="265"/>
      <c r="E932" s="265"/>
      <c r="F932" s="265"/>
      <c r="G932" s="266"/>
      <c r="H932" s="265"/>
      <c r="I932" s="266"/>
      <c r="J932" s="265"/>
      <c r="K932" s="266"/>
      <c r="L932" s="266"/>
      <c r="M932" s="266"/>
      <c r="N932" s="265"/>
      <c r="O932" s="265"/>
      <c r="P932" s="267"/>
      <c r="Q932" s="267"/>
    </row>
    <row r="933" ht="12.75" customHeight="1" spans="1:17">
      <c r="A933" s="265"/>
      <c r="B933" s="265"/>
      <c r="C933" s="265"/>
      <c r="D933" s="265"/>
      <c r="E933" s="265"/>
      <c r="F933" s="265"/>
      <c r="G933" s="266"/>
      <c r="H933" s="265"/>
      <c r="I933" s="266"/>
      <c r="J933" s="265"/>
      <c r="K933" s="266"/>
      <c r="L933" s="266"/>
      <c r="M933" s="266"/>
      <c r="N933" s="265"/>
      <c r="O933" s="265"/>
      <c r="P933" s="267"/>
      <c r="Q933" s="267"/>
    </row>
    <row r="934" ht="12.75" customHeight="1" spans="1:17">
      <c r="A934" s="265"/>
      <c r="B934" s="265"/>
      <c r="C934" s="265"/>
      <c r="D934" s="265"/>
      <c r="E934" s="265"/>
      <c r="F934" s="265"/>
      <c r="G934" s="266"/>
      <c r="H934" s="265"/>
      <c r="I934" s="266"/>
      <c r="J934" s="265"/>
      <c r="K934" s="266"/>
      <c r="L934" s="266"/>
      <c r="M934" s="266"/>
      <c r="N934" s="265"/>
      <c r="O934" s="265"/>
      <c r="P934" s="267"/>
      <c r="Q934" s="267"/>
    </row>
    <row r="935" ht="12.75" customHeight="1" spans="1:17">
      <c r="A935" s="265"/>
      <c r="B935" s="265"/>
      <c r="C935" s="265"/>
      <c r="D935" s="265"/>
      <c r="E935" s="265"/>
      <c r="F935" s="265"/>
      <c r="G935" s="266"/>
      <c r="H935" s="265"/>
      <c r="I935" s="266"/>
      <c r="J935" s="265"/>
      <c r="K935" s="266"/>
      <c r="L935" s="266"/>
      <c r="M935" s="266"/>
      <c r="N935" s="265"/>
      <c r="O935" s="265"/>
      <c r="P935" s="267"/>
      <c r="Q935" s="267"/>
    </row>
    <row r="936" ht="12.75" customHeight="1" spans="1:17">
      <c r="A936" s="265"/>
      <c r="B936" s="265"/>
      <c r="C936" s="265"/>
      <c r="D936" s="265"/>
      <c r="E936" s="265"/>
      <c r="F936" s="265"/>
      <c r="G936" s="266"/>
      <c r="H936" s="265"/>
      <c r="I936" s="266"/>
      <c r="J936" s="265"/>
      <c r="K936" s="266"/>
      <c r="L936" s="266"/>
      <c r="M936" s="266"/>
      <c r="N936" s="265"/>
      <c r="O936" s="265"/>
      <c r="P936" s="267"/>
      <c r="Q936" s="267"/>
    </row>
    <row r="937" ht="12.75" customHeight="1" spans="1:17">
      <c r="A937" s="265"/>
      <c r="B937" s="265"/>
      <c r="C937" s="265"/>
      <c r="D937" s="265"/>
      <c r="E937" s="265"/>
      <c r="F937" s="265"/>
      <c r="G937" s="266"/>
      <c r="H937" s="265"/>
      <c r="I937" s="266"/>
      <c r="J937" s="265"/>
      <c r="K937" s="266"/>
      <c r="L937" s="266"/>
      <c r="M937" s="266"/>
      <c r="N937" s="265"/>
      <c r="O937" s="265"/>
      <c r="P937" s="267"/>
      <c r="Q937" s="267"/>
    </row>
    <row r="938" ht="12.75" customHeight="1" spans="1:17">
      <c r="A938" s="265"/>
      <c r="B938" s="265"/>
      <c r="C938" s="265"/>
      <c r="D938" s="265"/>
      <c r="E938" s="265"/>
      <c r="F938" s="265"/>
      <c r="G938" s="266"/>
      <c r="H938" s="265"/>
      <c r="I938" s="266"/>
      <c r="J938" s="265"/>
      <c r="K938" s="266"/>
      <c r="L938" s="266"/>
      <c r="M938" s="266"/>
      <c r="N938" s="265"/>
      <c r="O938" s="265"/>
      <c r="P938" s="267"/>
      <c r="Q938" s="267"/>
    </row>
    <row r="939" ht="12.75" customHeight="1" spans="1:17">
      <c r="A939" s="265"/>
      <c r="B939" s="265"/>
      <c r="C939" s="265"/>
      <c r="D939" s="265"/>
      <c r="E939" s="265"/>
      <c r="F939" s="265"/>
      <c r="G939" s="266"/>
      <c r="H939" s="265"/>
      <c r="I939" s="266"/>
      <c r="J939" s="265"/>
      <c r="K939" s="266"/>
      <c r="L939" s="266"/>
      <c r="M939" s="266"/>
      <c r="N939" s="265"/>
      <c r="O939" s="265"/>
      <c r="P939" s="267"/>
      <c r="Q939" s="267"/>
    </row>
    <row r="940" ht="12.75" customHeight="1" spans="1:17">
      <c r="A940" s="265"/>
      <c r="B940" s="265"/>
      <c r="C940" s="265"/>
      <c r="D940" s="265"/>
      <c r="E940" s="265"/>
      <c r="F940" s="265"/>
      <c r="G940" s="266"/>
      <c r="H940" s="265"/>
      <c r="I940" s="266"/>
      <c r="J940" s="265"/>
      <c r="K940" s="266"/>
      <c r="L940" s="266"/>
      <c r="M940" s="266"/>
      <c r="N940" s="265"/>
      <c r="O940" s="265"/>
      <c r="P940" s="267"/>
      <c r="Q940" s="267"/>
    </row>
    <row r="941" ht="12.75" customHeight="1" spans="1:17">
      <c r="A941" s="265"/>
      <c r="B941" s="265"/>
      <c r="C941" s="265"/>
      <c r="D941" s="265"/>
      <c r="E941" s="265"/>
      <c r="F941" s="265"/>
      <c r="G941" s="266"/>
      <c r="H941" s="265"/>
      <c r="I941" s="266"/>
      <c r="J941" s="265"/>
      <c r="K941" s="266"/>
      <c r="L941" s="266"/>
      <c r="M941" s="266"/>
      <c r="N941" s="265"/>
      <c r="O941" s="265"/>
      <c r="P941" s="267"/>
      <c r="Q941" s="267"/>
    </row>
    <row r="942" ht="12.75" customHeight="1" spans="1:17">
      <c r="A942" s="265"/>
      <c r="B942" s="265"/>
      <c r="C942" s="265"/>
      <c r="D942" s="265"/>
      <c r="E942" s="265"/>
      <c r="F942" s="265"/>
      <c r="G942" s="266"/>
      <c r="H942" s="265"/>
      <c r="I942" s="266"/>
      <c r="J942" s="265"/>
      <c r="K942" s="266"/>
      <c r="L942" s="266"/>
      <c r="M942" s="266"/>
      <c r="N942" s="265"/>
      <c r="O942" s="265"/>
      <c r="P942" s="267"/>
      <c r="Q942" s="267"/>
    </row>
    <row r="943" ht="12.75" customHeight="1" spans="1:17">
      <c r="A943" s="265"/>
      <c r="B943" s="265"/>
      <c r="C943" s="265"/>
      <c r="D943" s="265"/>
      <c r="E943" s="265"/>
      <c r="F943" s="265"/>
      <c r="G943" s="266"/>
      <c r="H943" s="265"/>
      <c r="I943" s="266"/>
      <c r="J943" s="265"/>
      <c r="K943" s="266"/>
      <c r="L943" s="266"/>
      <c r="M943" s="266"/>
      <c r="N943" s="265"/>
      <c r="O943" s="265"/>
      <c r="P943" s="267"/>
      <c r="Q943" s="267"/>
    </row>
    <row r="944" ht="12.75" customHeight="1" spans="1:17">
      <c r="A944" s="265"/>
      <c r="B944" s="265"/>
      <c r="C944" s="265"/>
      <c r="D944" s="265"/>
      <c r="E944" s="265"/>
      <c r="F944" s="265"/>
      <c r="G944" s="266"/>
      <c r="H944" s="265"/>
      <c r="I944" s="266"/>
      <c r="J944" s="265"/>
      <c r="K944" s="266"/>
      <c r="L944" s="266"/>
      <c r="M944" s="266"/>
      <c r="N944" s="265"/>
      <c r="O944" s="265"/>
      <c r="P944" s="267"/>
      <c r="Q944" s="267"/>
    </row>
    <row r="945" ht="12.75" customHeight="1" spans="1:17">
      <c r="A945" s="265"/>
      <c r="B945" s="265"/>
      <c r="C945" s="265"/>
      <c r="D945" s="265"/>
      <c r="E945" s="265"/>
      <c r="F945" s="265"/>
      <c r="G945" s="266"/>
      <c r="H945" s="265"/>
      <c r="I945" s="266"/>
      <c r="J945" s="265"/>
      <c r="K945" s="266"/>
      <c r="L945" s="266"/>
      <c r="M945" s="266"/>
      <c r="N945" s="265"/>
      <c r="O945" s="265"/>
      <c r="P945" s="267"/>
      <c r="Q945" s="267"/>
    </row>
    <row r="946" ht="12.75" customHeight="1" spans="1:17">
      <c r="A946" s="265"/>
      <c r="B946" s="265"/>
      <c r="C946" s="265"/>
      <c r="D946" s="265"/>
      <c r="E946" s="265"/>
      <c r="F946" s="265"/>
      <c r="G946" s="266"/>
      <c r="H946" s="265"/>
      <c r="I946" s="266"/>
      <c r="J946" s="265"/>
      <c r="K946" s="266"/>
      <c r="L946" s="266"/>
      <c r="M946" s="266"/>
      <c r="N946" s="265"/>
      <c r="O946" s="265"/>
      <c r="P946" s="267"/>
      <c r="Q946" s="267"/>
    </row>
    <row r="947" ht="12.75" customHeight="1" spans="1:17">
      <c r="A947" s="265"/>
      <c r="B947" s="265"/>
      <c r="C947" s="265"/>
      <c r="D947" s="265"/>
      <c r="E947" s="265"/>
      <c r="F947" s="265"/>
      <c r="G947" s="266"/>
      <c r="H947" s="265"/>
      <c r="I947" s="266"/>
      <c r="J947" s="265"/>
      <c r="K947" s="266"/>
      <c r="L947" s="266"/>
      <c r="M947" s="266"/>
      <c r="N947" s="265"/>
      <c r="O947" s="265"/>
      <c r="P947" s="267"/>
      <c r="Q947" s="267"/>
    </row>
    <row r="948" ht="12.75" customHeight="1" spans="1:17">
      <c r="A948" s="265"/>
      <c r="B948" s="265"/>
      <c r="C948" s="265"/>
      <c r="D948" s="265"/>
      <c r="E948" s="265"/>
      <c r="F948" s="265"/>
      <c r="G948" s="266"/>
      <c r="H948" s="265"/>
      <c r="I948" s="266"/>
      <c r="J948" s="265"/>
      <c r="K948" s="266"/>
      <c r="L948" s="266"/>
      <c r="M948" s="266"/>
      <c r="N948" s="265"/>
      <c r="O948" s="265"/>
      <c r="P948" s="267"/>
      <c r="Q948" s="267"/>
    </row>
    <row r="949" ht="12.75" customHeight="1" spans="1:17">
      <c r="A949" s="265"/>
      <c r="B949" s="265"/>
      <c r="C949" s="265"/>
      <c r="D949" s="265"/>
      <c r="E949" s="265"/>
      <c r="F949" s="265"/>
      <c r="G949" s="266"/>
      <c r="H949" s="265"/>
      <c r="I949" s="266"/>
      <c r="J949" s="265"/>
      <c r="K949" s="266"/>
      <c r="L949" s="266"/>
      <c r="M949" s="266"/>
      <c r="N949" s="265"/>
      <c r="O949" s="265"/>
      <c r="P949" s="267"/>
      <c r="Q949" s="267"/>
    </row>
    <row r="950" ht="12.75" customHeight="1" spans="1:17">
      <c r="A950" s="265"/>
      <c r="B950" s="265"/>
      <c r="C950" s="265"/>
      <c r="D950" s="265"/>
      <c r="E950" s="265"/>
      <c r="F950" s="265"/>
      <c r="G950" s="266"/>
      <c r="H950" s="265"/>
      <c r="I950" s="266"/>
      <c r="J950" s="265"/>
      <c r="K950" s="266"/>
      <c r="L950" s="266"/>
      <c r="M950" s="266"/>
      <c r="N950" s="265"/>
      <c r="O950" s="265"/>
      <c r="P950" s="267"/>
      <c r="Q950" s="267"/>
    </row>
    <row r="951" ht="12.75" customHeight="1" spans="1:17">
      <c r="A951" s="265"/>
      <c r="B951" s="265"/>
      <c r="C951" s="265"/>
      <c r="D951" s="265"/>
      <c r="E951" s="265"/>
      <c r="F951" s="265"/>
      <c r="G951" s="266"/>
      <c r="H951" s="265"/>
      <c r="I951" s="266"/>
      <c r="J951" s="265"/>
      <c r="K951" s="266"/>
      <c r="L951" s="266"/>
      <c r="M951" s="266"/>
      <c r="N951" s="265"/>
      <c r="O951" s="265"/>
      <c r="P951" s="267"/>
      <c r="Q951" s="267"/>
    </row>
    <row r="952" ht="12.75" customHeight="1" spans="1:17">
      <c r="A952" s="265"/>
      <c r="B952" s="265"/>
      <c r="C952" s="265"/>
      <c r="D952" s="265"/>
      <c r="E952" s="265"/>
      <c r="F952" s="265"/>
      <c r="G952" s="266"/>
      <c r="H952" s="265"/>
      <c r="I952" s="266"/>
      <c r="J952" s="265"/>
      <c r="K952" s="266"/>
      <c r="L952" s="266"/>
      <c r="M952" s="266"/>
      <c r="N952" s="265"/>
      <c r="O952" s="265"/>
      <c r="P952" s="267"/>
      <c r="Q952" s="267"/>
    </row>
    <row r="953" ht="12.75" customHeight="1" spans="1:17">
      <c r="A953" s="265"/>
      <c r="B953" s="265"/>
      <c r="C953" s="265"/>
      <c r="D953" s="265"/>
      <c r="E953" s="265"/>
      <c r="F953" s="265"/>
      <c r="G953" s="266"/>
      <c r="H953" s="265"/>
      <c r="I953" s="266"/>
      <c r="J953" s="265"/>
      <c r="K953" s="266"/>
      <c r="L953" s="266"/>
      <c r="M953" s="266"/>
      <c r="N953" s="265"/>
      <c r="O953" s="265"/>
      <c r="P953" s="267"/>
      <c r="Q953" s="267"/>
    </row>
    <row r="954" ht="12.75" customHeight="1" spans="1:17">
      <c r="A954" s="265"/>
      <c r="B954" s="265"/>
      <c r="C954" s="265"/>
      <c r="D954" s="265"/>
      <c r="E954" s="265"/>
      <c r="F954" s="265"/>
      <c r="G954" s="266"/>
      <c r="H954" s="265"/>
      <c r="I954" s="266"/>
      <c r="J954" s="265"/>
      <c r="K954" s="266"/>
      <c r="L954" s="266"/>
      <c r="M954" s="266"/>
      <c r="N954" s="265"/>
      <c r="O954" s="265"/>
      <c r="P954" s="267"/>
      <c r="Q954" s="267"/>
    </row>
    <row r="955" ht="12.75" customHeight="1" spans="1:17">
      <c r="A955" s="265"/>
      <c r="B955" s="265"/>
      <c r="C955" s="265"/>
      <c r="D955" s="265"/>
      <c r="E955" s="265"/>
      <c r="F955" s="265"/>
      <c r="G955" s="266"/>
      <c r="H955" s="265"/>
      <c r="I955" s="266"/>
      <c r="J955" s="265"/>
      <c r="K955" s="266"/>
      <c r="L955" s="266"/>
      <c r="M955" s="266"/>
      <c r="N955" s="265"/>
      <c r="O955" s="265"/>
      <c r="P955" s="267"/>
      <c r="Q955" s="267"/>
    </row>
    <row r="956" ht="12.75" customHeight="1" spans="1:17">
      <c r="A956" s="265"/>
      <c r="B956" s="265"/>
      <c r="C956" s="265"/>
      <c r="D956" s="265"/>
      <c r="E956" s="265"/>
      <c r="F956" s="265"/>
      <c r="G956" s="266"/>
      <c r="H956" s="265"/>
      <c r="I956" s="266"/>
      <c r="J956" s="265"/>
      <c r="K956" s="266"/>
      <c r="L956" s="266"/>
      <c r="M956" s="266"/>
      <c r="N956" s="265"/>
      <c r="O956" s="265"/>
      <c r="P956" s="267"/>
      <c r="Q956" s="267"/>
    </row>
    <row r="957" ht="12.75" customHeight="1" spans="1:17">
      <c r="A957" s="265"/>
      <c r="B957" s="265"/>
      <c r="C957" s="265"/>
      <c r="D957" s="265"/>
      <c r="E957" s="265"/>
      <c r="F957" s="265"/>
      <c r="G957" s="266"/>
      <c r="H957" s="265"/>
      <c r="I957" s="266"/>
      <c r="J957" s="265"/>
      <c r="K957" s="266"/>
      <c r="L957" s="266"/>
      <c r="M957" s="266"/>
      <c r="N957" s="265"/>
      <c r="O957" s="265"/>
      <c r="P957" s="267"/>
      <c r="Q957" s="267"/>
    </row>
    <row r="958" ht="12.75" customHeight="1" spans="1:17">
      <c r="A958" s="265"/>
      <c r="B958" s="265"/>
      <c r="C958" s="265"/>
      <c r="D958" s="265"/>
      <c r="E958" s="265"/>
      <c r="F958" s="265"/>
      <c r="G958" s="266"/>
      <c r="H958" s="265"/>
      <c r="I958" s="266"/>
      <c r="J958" s="265"/>
      <c r="K958" s="266"/>
      <c r="L958" s="266"/>
      <c r="M958" s="266"/>
      <c r="N958" s="265"/>
      <c r="O958" s="265"/>
      <c r="P958" s="267"/>
      <c r="Q958" s="267"/>
    </row>
    <row r="959" ht="12.75" customHeight="1" spans="1:17">
      <c r="A959" s="265"/>
      <c r="B959" s="265"/>
      <c r="C959" s="265"/>
      <c r="D959" s="265"/>
      <c r="E959" s="265"/>
      <c r="F959" s="265"/>
      <c r="G959" s="266"/>
      <c r="H959" s="265"/>
      <c r="I959" s="266"/>
      <c r="J959" s="265"/>
      <c r="K959" s="266"/>
      <c r="L959" s="266"/>
      <c r="M959" s="266"/>
      <c r="N959" s="265"/>
      <c r="O959" s="265"/>
      <c r="P959" s="267"/>
      <c r="Q959" s="267"/>
    </row>
    <row r="960" ht="12.75" customHeight="1" spans="1:17">
      <c r="A960" s="265"/>
      <c r="B960" s="265"/>
      <c r="C960" s="265"/>
      <c r="D960" s="265"/>
      <c r="E960" s="265"/>
      <c r="F960" s="265"/>
      <c r="G960" s="266"/>
      <c r="H960" s="265"/>
      <c r="I960" s="266"/>
      <c r="J960" s="265"/>
      <c r="K960" s="266"/>
      <c r="L960" s="266"/>
      <c r="M960" s="266"/>
      <c r="N960" s="265"/>
      <c r="O960" s="265"/>
      <c r="P960" s="267"/>
      <c r="Q960" s="267"/>
    </row>
    <row r="961" ht="12.75" customHeight="1" spans="1:17">
      <c r="A961" s="265"/>
      <c r="B961" s="265"/>
      <c r="C961" s="265"/>
      <c r="D961" s="265"/>
      <c r="E961" s="265"/>
      <c r="F961" s="265"/>
      <c r="G961" s="266"/>
      <c r="H961" s="265"/>
      <c r="I961" s="266"/>
      <c r="J961" s="265"/>
      <c r="K961" s="266"/>
      <c r="L961" s="266"/>
      <c r="M961" s="266"/>
      <c r="N961" s="265"/>
      <c r="O961" s="265"/>
      <c r="P961" s="267"/>
      <c r="Q961" s="267"/>
    </row>
    <row r="962" ht="12.75" customHeight="1" spans="1:17">
      <c r="A962" s="265"/>
      <c r="B962" s="265"/>
      <c r="C962" s="265"/>
      <c r="D962" s="265"/>
      <c r="E962" s="265"/>
      <c r="F962" s="265"/>
      <c r="G962" s="266"/>
      <c r="H962" s="265"/>
      <c r="I962" s="266"/>
      <c r="J962" s="265"/>
      <c r="K962" s="266"/>
      <c r="L962" s="266"/>
      <c r="M962" s="266"/>
      <c r="N962" s="265"/>
      <c r="O962" s="265"/>
      <c r="P962" s="267"/>
      <c r="Q962" s="267"/>
    </row>
    <row r="963" ht="12.75" customHeight="1" spans="1:17">
      <c r="A963" s="265"/>
      <c r="B963" s="265"/>
      <c r="C963" s="265"/>
      <c r="D963" s="265"/>
      <c r="E963" s="265"/>
      <c r="F963" s="265"/>
      <c r="G963" s="266"/>
      <c r="H963" s="265"/>
      <c r="I963" s="266"/>
      <c r="J963" s="265"/>
      <c r="K963" s="266"/>
      <c r="L963" s="266"/>
      <c r="M963" s="266"/>
      <c r="N963" s="265"/>
      <c r="O963" s="265"/>
      <c r="P963" s="267"/>
      <c r="Q963" s="267"/>
    </row>
    <row r="964" ht="12.75" customHeight="1" spans="1:17">
      <c r="A964" s="265"/>
      <c r="B964" s="265"/>
      <c r="C964" s="265"/>
      <c r="D964" s="265"/>
      <c r="E964" s="265"/>
      <c r="F964" s="265"/>
      <c r="G964" s="266"/>
      <c r="H964" s="265"/>
      <c r="I964" s="266"/>
      <c r="J964" s="265"/>
      <c r="K964" s="266"/>
      <c r="L964" s="266"/>
      <c r="M964" s="266"/>
      <c r="N964" s="265"/>
      <c r="O964" s="265"/>
      <c r="P964" s="267"/>
      <c r="Q964" s="267"/>
    </row>
    <row r="965" ht="12.75" customHeight="1" spans="1:17">
      <c r="A965" s="265"/>
      <c r="B965" s="265"/>
      <c r="C965" s="265"/>
      <c r="D965" s="265"/>
      <c r="E965" s="265"/>
      <c r="F965" s="265"/>
      <c r="G965" s="266"/>
      <c r="H965" s="265"/>
      <c r="I965" s="266"/>
      <c r="J965" s="265"/>
      <c r="K965" s="266"/>
      <c r="L965" s="266"/>
      <c r="M965" s="266"/>
      <c r="N965" s="265"/>
      <c r="O965" s="265"/>
      <c r="P965" s="267"/>
      <c r="Q965" s="267"/>
    </row>
    <row r="966" ht="12.75" customHeight="1" spans="1:17">
      <c r="A966" s="265"/>
      <c r="B966" s="265"/>
      <c r="C966" s="265"/>
      <c r="D966" s="265"/>
      <c r="E966" s="265"/>
      <c r="F966" s="265"/>
      <c r="G966" s="266"/>
      <c r="H966" s="265"/>
      <c r="I966" s="266"/>
      <c r="J966" s="265"/>
      <c r="K966" s="266"/>
      <c r="L966" s="266"/>
      <c r="M966" s="266"/>
      <c r="N966" s="265"/>
      <c r="O966" s="265"/>
      <c r="P966" s="267"/>
      <c r="Q966" s="267"/>
    </row>
    <row r="967" ht="12.75" customHeight="1" spans="1:17">
      <c r="A967" s="265"/>
      <c r="B967" s="265"/>
      <c r="C967" s="265"/>
      <c r="D967" s="265"/>
      <c r="E967" s="265"/>
      <c r="F967" s="265"/>
      <c r="G967" s="266"/>
      <c r="H967" s="265"/>
      <c r="I967" s="266"/>
      <c r="J967" s="265"/>
      <c r="K967" s="266"/>
      <c r="L967" s="266"/>
      <c r="M967" s="266"/>
      <c r="N967" s="265"/>
      <c r="O967" s="265"/>
      <c r="P967" s="267"/>
      <c r="Q967" s="267"/>
    </row>
    <row r="968" ht="12.75" customHeight="1" spans="1:17">
      <c r="A968" s="265"/>
      <c r="B968" s="265"/>
      <c r="C968" s="265"/>
      <c r="D968" s="265"/>
      <c r="E968" s="265"/>
      <c r="F968" s="265"/>
      <c r="G968" s="266"/>
      <c r="H968" s="265"/>
      <c r="I968" s="266"/>
      <c r="J968" s="265"/>
      <c r="K968" s="266"/>
      <c r="L968" s="266"/>
      <c r="M968" s="266"/>
      <c r="N968" s="265"/>
      <c r="O968" s="265"/>
      <c r="P968" s="267"/>
      <c r="Q968" s="267"/>
    </row>
  </sheetData>
  <mergeCells count="1">
    <mergeCell ref="A1:Q1"/>
  </mergeCells>
  <pageMargins left="0.7" right="0.7" top="0.75" bottom="0.75" header="0" footer="0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135"/>
  </sheetPr>
  <dimension ref="A1:R1146"/>
  <sheetViews>
    <sheetView showGridLines="0" workbookViewId="0">
      <pane xSplit="3" ySplit="2" topLeftCell="D3" activePane="bottomRight" state="frozen"/>
      <selection/>
      <selection pane="topRight"/>
      <selection pane="bottomLeft"/>
      <selection pane="bottomRight" activeCell="D3" sqref="D3"/>
    </sheetView>
  </sheetViews>
  <sheetFormatPr defaultColWidth="12.6333333333333" defaultRowHeight="15" customHeight="1"/>
  <cols>
    <col min="1" max="1" width="6.38333333333333" customWidth="1"/>
    <col min="2" max="2" width="19.6333333333333" customWidth="1"/>
    <col min="3" max="3" width="14" customWidth="1"/>
    <col min="4" max="4" width="14" hidden="1" customWidth="1"/>
    <col min="5" max="5" width="12.6333333333333" customWidth="1"/>
    <col min="6" max="6" width="28.75" customWidth="1"/>
    <col min="7" max="7" width="16.5" customWidth="1"/>
    <col min="8" max="8" width="13.8833333333333" customWidth="1"/>
    <col min="9" max="9" width="14.75" customWidth="1"/>
    <col min="10" max="10" width="7.63333333333333" customWidth="1"/>
    <col min="11" max="11" width="56.25" customWidth="1"/>
    <col min="12" max="12" width="10.75" hidden="1" customWidth="1"/>
    <col min="13" max="14" width="9.63333333333333" hidden="1" customWidth="1"/>
    <col min="15" max="15" width="11.25" hidden="1" customWidth="1"/>
    <col min="16" max="16" width="10.5" hidden="1" customWidth="1"/>
    <col min="17" max="17" width="16.6333333333333" hidden="1" customWidth="1"/>
    <col min="18" max="18" width="19.8833333333333" hidden="1" customWidth="1"/>
  </cols>
  <sheetData>
    <row r="1" ht="27.75" customHeight="1" spans="1:18">
      <c r="A1" s="82" t="s">
        <v>8277</v>
      </c>
      <c r="B1" s="82"/>
      <c r="C1" s="83"/>
      <c r="D1" s="83"/>
      <c r="E1" s="82"/>
      <c r="F1" s="82"/>
      <c r="G1" s="82"/>
      <c r="H1" s="82"/>
      <c r="I1" s="84"/>
      <c r="J1" s="85"/>
      <c r="K1" s="84"/>
      <c r="L1" s="86" t="s">
        <v>420</v>
      </c>
      <c r="M1" s="82"/>
      <c r="N1" s="82"/>
      <c r="O1" s="82"/>
      <c r="P1" s="82"/>
      <c r="Q1" s="82"/>
      <c r="R1" s="82"/>
    </row>
    <row r="2" ht="26.25" customHeight="1" spans="1:18">
      <c r="A2" s="87" t="s">
        <v>421</v>
      </c>
      <c r="B2" s="87" t="s">
        <v>422</v>
      </c>
      <c r="C2" s="87" t="s">
        <v>8278</v>
      </c>
      <c r="D2" s="87" t="s">
        <v>3573</v>
      </c>
      <c r="E2" s="87" t="s">
        <v>3260</v>
      </c>
      <c r="F2" s="87" t="s">
        <v>427</v>
      </c>
      <c r="G2" s="87" t="s">
        <v>429</v>
      </c>
      <c r="H2" s="87" t="s">
        <v>430</v>
      </c>
      <c r="I2" s="87" t="str">
        <f>"Tình trạng "&amp;CHAR(10)&amp;"Hỏng: "&amp;COUNTIF(I3:I1146,"Hư hỏng")&amp;"/"&amp;COUNTA(I3:I1146)</f>
        <v>Tình trạng 
Hỏng: 0/397</v>
      </c>
      <c r="J2" s="87" t="s">
        <v>431</v>
      </c>
      <c r="K2" s="88" t="s">
        <v>432</v>
      </c>
      <c r="L2" s="89" t="s">
        <v>433</v>
      </c>
      <c r="M2" s="87" t="s">
        <v>434</v>
      </c>
      <c r="N2" s="87" t="s">
        <v>435</v>
      </c>
      <c r="O2" s="87" t="s">
        <v>436</v>
      </c>
      <c r="P2" s="87" t="s">
        <v>437</v>
      </c>
      <c r="Q2" s="90" t="s">
        <v>438</v>
      </c>
      <c r="R2" s="87" t="s">
        <v>439</v>
      </c>
    </row>
    <row r="3" ht="12.75" customHeight="1" spans="1:18">
      <c r="A3" s="87"/>
      <c r="B3" s="87"/>
      <c r="C3" s="87">
        <f>SUM(C4,C159,C260)</f>
        <v>398</v>
      </c>
      <c r="D3" s="87"/>
      <c r="E3" s="87"/>
      <c r="F3" s="87"/>
      <c r="G3" s="87"/>
      <c r="H3" s="87"/>
      <c r="I3" s="87"/>
      <c r="J3" s="87"/>
      <c r="K3" s="88"/>
      <c r="L3" s="89"/>
      <c r="M3" s="87"/>
      <c r="N3" s="87"/>
      <c r="O3" s="87"/>
      <c r="P3" s="87"/>
      <c r="Q3" s="90"/>
      <c r="R3" s="87"/>
    </row>
    <row r="4" ht="13.5" customHeight="1" spans="1:18">
      <c r="A4" s="91" t="s">
        <v>8279</v>
      </c>
      <c r="B4" s="91"/>
      <c r="C4" s="92">
        <f>COUNTA(C6:C158)</f>
        <v>125</v>
      </c>
      <c r="D4" s="92"/>
      <c r="E4" s="91"/>
      <c r="F4" s="92"/>
      <c r="G4" s="91"/>
      <c r="H4" s="93"/>
      <c r="I4" s="91"/>
      <c r="J4" s="92"/>
      <c r="K4" s="94"/>
      <c r="L4" s="95"/>
      <c r="M4" s="91"/>
      <c r="N4" s="91"/>
      <c r="O4" s="91"/>
      <c r="P4" s="91"/>
      <c r="Q4" s="91"/>
      <c r="R4" s="91"/>
    </row>
    <row r="5" ht="13.5" customHeight="1" spans="1:18">
      <c r="A5" s="96" t="s">
        <v>448</v>
      </c>
      <c r="B5" s="97" t="s">
        <v>39</v>
      </c>
      <c r="C5" s="96"/>
      <c r="D5" s="96"/>
      <c r="E5" s="97"/>
      <c r="F5" s="96"/>
      <c r="G5" s="97"/>
      <c r="H5" s="98"/>
      <c r="I5" s="97"/>
      <c r="J5" s="96"/>
      <c r="K5" s="99"/>
      <c r="L5" s="100"/>
      <c r="M5" s="97"/>
      <c r="N5" s="97"/>
      <c r="O5" s="97"/>
      <c r="P5" s="97"/>
      <c r="Q5" s="97"/>
      <c r="R5" s="97"/>
    </row>
    <row r="6" ht="13.5" customHeight="1" spans="1:18">
      <c r="A6" s="101">
        <v>1</v>
      </c>
      <c r="B6" s="102" t="s">
        <v>450</v>
      </c>
      <c r="C6" s="103" t="s">
        <v>3267</v>
      </c>
      <c r="D6" s="103" t="s">
        <v>8280</v>
      </c>
      <c r="E6" s="104" t="s">
        <v>3267</v>
      </c>
      <c r="F6" s="102" t="s">
        <v>8281</v>
      </c>
      <c r="G6" s="101" t="s">
        <v>14</v>
      </c>
      <c r="H6" s="105">
        <v>43835</v>
      </c>
      <c r="I6" s="106">
        <f>IFERROR(VLOOKUP(B6,'02. MM-KLH'!$B:$K,9,FALSE),"")</f>
        <v>43835</v>
      </c>
      <c r="J6" s="107">
        <v>0.67</v>
      </c>
      <c r="K6" s="108"/>
      <c r="L6" s="109" t="s">
        <v>452</v>
      </c>
      <c r="M6" s="110" t="s">
        <v>453</v>
      </c>
      <c r="N6" s="101">
        <v>2019</v>
      </c>
      <c r="O6" s="101" t="s">
        <v>8282</v>
      </c>
      <c r="P6" s="101" t="s">
        <v>196</v>
      </c>
      <c r="Q6" s="110" t="s">
        <v>8283</v>
      </c>
      <c r="R6" s="111" t="s">
        <v>462</v>
      </c>
    </row>
    <row r="7" ht="13.5" customHeight="1" spans="1:18">
      <c r="A7" s="101">
        <v>2</v>
      </c>
      <c r="B7" s="102" t="s">
        <v>457</v>
      </c>
      <c r="C7" s="103" t="s">
        <v>3269</v>
      </c>
      <c r="D7" s="103" t="s">
        <v>8284</v>
      </c>
      <c r="E7" s="104" t="s">
        <v>3269</v>
      </c>
      <c r="F7" s="102" t="s">
        <v>8285</v>
      </c>
      <c r="G7" s="101" t="s">
        <v>14</v>
      </c>
      <c r="H7" s="105">
        <v>41644</v>
      </c>
      <c r="I7" s="106">
        <f>IFERROR(VLOOKUP(B7,'02. MM-KLH'!$B:$K,9,FALSE),"")</f>
        <v>43801</v>
      </c>
      <c r="J7" s="107">
        <v>0.63</v>
      </c>
      <c r="K7" s="108"/>
      <c r="L7" s="109" t="s">
        <v>458</v>
      </c>
      <c r="M7" s="110" t="s">
        <v>453</v>
      </c>
      <c r="N7" s="101">
        <v>1993</v>
      </c>
      <c r="O7" s="101" t="s">
        <v>459</v>
      </c>
      <c r="P7" s="101" t="s">
        <v>460</v>
      </c>
      <c r="Q7" s="110" t="s">
        <v>461</v>
      </c>
      <c r="R7" s="111" t="s">
        <v>462</v>
      </c>
    </row>
    <row r="8" ht="13.5" customHeight="1" spans="1:18">
      <c r="A8" s="101">
        <v>3</v>
      </c>
      <c r="B8" s="102" t="s">
        <v>463</v>
      </c>
      <c r="C8" s="103" t="s">
        <v>3275</v>
      </c>
      <c r="D8" s="103" t="s">
        <v>8286</v>
      </c>
      <c r="E8" s="104" t="s">
        <v>3275</v>
      </c>
      <c r="F8" s="102" t="s">
        <v>8287</v>
      </c>
      <c r="G8" s="101" t="s">
        <v>14</v>
      </c>
      <c r="H8" s="105">
        <v>44110</v>
      </c>
      <c r="I8" s="106">
        <f>IFERROR(VLOOKUP(B8,'02. MM-KLH'!$B:$K,9,FALSE),"")</f>
        <v>44110</v>
      </c>
      <c r="J8" s="107">
        <v>0.68</v>
      </c>
      <c r="K8" s="108"/>
      <c r="L8" s="109" t="s">
        <v>464</v>
      </c>
      <c r="M8" s="110" t="s">
        <v>465</v>
      </c>
      <c r="N8" s="101">
        <v>2019</v>
      </c>
      <c r="O8" s="101" t="s">
        <v>466</v>
      </c>
      <c r="P8" s="101" t="s">
        <v>467</v>
      </c>
      <c r="Q8" s="110" t="s">
        <v>468</v>
      </c>
      <c r="R8" s="111" t="s">
        <v>462</v>
      </c>
    </row>
    <row r="9" ht="13.5" customHeight="1" spans="1:18">
      <c r="A9" s="101">
        <v>4</v>
      </c>
      <c r="B9" s="104" t="s">
        <v>469</v>
      </c>
      <c r="C9" s="103" t="s">
        <v>3276</v>
      </c>
      <c r="D9" s="103" t="s">
        <v>8288</v>
      </c>
      <c r="E9" s="104" t="s">
        <v>3276</v>
      </c>
      <c r="F9" s="104" t="s">
        <v>8287</v>
      </c>
      <c r="G9" s="103" t="s">
        <v>14</v>
      </c>
      <c r="H9" s="112">
        <v>43508</v>
      </c>
      <c r="I9" s="106">
        <f>IFERROR(VLOOKUP(B9,'02. MM-KLH'!$B:$K,9,FALSE),"")</f>
        <v>43801</v>
      </c>
      <c r="J9" s="113">
        <v>0.63</v>
      </c>
      <c r="K9" s="114"/>
      <c r="L9" s="115" t="s">
        <v>464</v>
      </c>
      <c r="M9" s="111" t="s">
        <v>465</v>
      </c>
      <c r="N9" s="103">
        <v>2018</v>
      </c>
      <c r="O9" s="103" t="s">
        <v>466</v>
      </c>
      <c r="P9" s="103" t="s">
        <v>467</v>
      </c>
      <c r="Q9" s="111" t="s">
        <v>470</v>
      </c>
      <c r="R9" s="111" t="s">
        <v>462</v>
      </c>
    </row>
    <row r="10" ht="13.5" customHeight="1" spans="1:18">
      <c r="A10" s="101">
        <v>5</v>
      </c>
      <c r="B10" s="102" t="s">
        <v>471</v>
      </c>
      <c r="C10" s="103" t="s">
        <v>3270</v>
      </c>
      <c r="D10" s="103" t="s">
        <v>8289</v>
      </c>
      <c r="E10" s="104" t="s">
        <v>3270</v>
      </c>
      <c r="F10" s="102" t="s">
        <v>8285</v>
      </c>
      <c r="G10" s="101" t="s">
        <v>14</v>
      </c>
      <c r="H10" s="105">
        <v>44200</v>
      </c>
      <c r="I10" s="106">
        <f>IFERROR(VLOOKUP(B10,'02. MM-KLH'!$B:$K,9,FALSE),"")</f>
        <v>44200</v>
      </c>
      <c r="J10" s="107">
        <v>0.7</v>
      </c>
      <c r="K10" s="108"/>
      <c r="L10" s="109" t="s">
        <v>458</v>
      </c>
      <c r="M10" s="110" t="s">
        <v>453</v>
      </c>
      <c r="N10" s="101">
        <v>2020</v>
      </c>
      <c r="O10" s="101" t="s">
        <v>472</v>
      </c>
      <c r="P10" s="101" t="s">
        <v>54</v>
      </c>
      <c r="Q10" s="110" t="s">
        <v>473</v>
      </c>
      <c r="R10" s="111">
        <v>801502</v>
      </c>
    </row>
    <row r="11" ht="13.5" customHeight="1" spans="1:18">
      <c r="A11" s="101">
        <v>6</v>
      </c>
      <c r="B11" s="102" t="s">
        <v>474</v>
      </c>
      <c r="C11" s="103" t="s">
        <v>3287</v>
      </c>
      <c r="D11" s="103" t="s">
        <v>8290</v>
      </c>
      <c r="E11" s="104" t="s">
        <v>3287</v>
      </c>
      <c r="F11" s="102" t="s">
        <v>8291</v>
      </c>
      <c r="G11" s="101" t="s">
        <v>14</v>
      </c>
      <c r="H11" s="105">
        <v>44200</v>
      </c>
      <c r="I11" s="106">
        <f>IFERROR(VLOOKUP(B11,'02. MM-KLH'!$B:$K,9,FALSE),"")</f>
        <v>44200</v>
      </c>
      <c r="J11" s="107">
        <v>0.7</v>
      </c>
      <c r="K11" s="108"/>
      <c r="L11" s="109" t="s">
        <v>458</v>
      </c>
      <c r="M11" s="110" t="s">
        <v>453</v>
      </c>
      <c r="N11" s="101">
        <v>2021</v>
      </c>
      <c r="O11" s="101" t="s">
        <v>475</v>
      </c>
      <c r="P11" s="101" t="s">
        <v>476</v>
      </c>
      <c r="Q11" s="110" t="s">
        <v>477</v>
      </c>
      <c r="R11" s="111" t="s">
        <v>478</v>
      </c>
    </row>
    <row r="12" ht="13.5" customHeight="1" spans="1:18">
      <c r="A12" s="101">
        <v>7</v>
      </c>
      <c r="B12" s="116" t="s">
        <v>574</v>
      </c>
      <c r="C12" s="117" t="s">
        <v>6544</v>
      </c>
      <c r="D12" s="118" t="s">
        <v>6544</v>
      </c>
      <c r="E12" s="116"/>
      <c r="F12" s="116" t="s">
        <v>3565</v>
      </c>
      <c r="G12" s="119" t="s">
        <v>14</v>
      </c>
      <c r="H12" s="120">
        <v>45298</v>
      </c>
      <c r="I12" s="106">
        <f>IFERROR(VLOOKUP(B12,'02. MM-KLH'!$B:$K,9,FALSE),"")</f>
        <v>45298</v>
      </c>
      <c r="J12" s="118"/>
      <c r="K12" s="121" t="s">
        <v>8292</v>
      </c>
      <c r="L12" s="122" t="s">
        <v>480</v>
      </c>
      <c r="M12" s="123" t="s">
        <v>8293</v>
      </c>
      <c r="N12" s="118">
        <v>2013</v>
      </c>
      <c r="O12" s="118" t="s">
        <v>556</v>
      </c>
      <c r="P12" s="118" t="s">
        <v>557</v>
      </c>
      <c r="Q12" s="123" t="s">
        <v>576</v>
      </c>
      <c r="R12" s="123">
        <v>28275</v>
      </c>
    </row>
    <row r="13" ht="13.5" customHeight="1" spans="1:18">
      <c r="A13" s="101">
        <v>8</v>
      </c>
      <c r="B13" s="116" t="s">
        <v>577</v>
      </c>
      <c r="C13" s="117" t="s">
        <v>6545</v>
      </c>
      <c r="D13" s="118" t="s">
        <v>6545</v>
      </c>
      <c r="E13" s="116"/>
      <c r="F13" s="116" t="s">
        <v>3565</v>
      </c>
      <c r="G13" s="119" t="s">
        <v>14</v>
      </c>
      <c r="H13" s="120">
        <v>45298</v>
      </c>
      <c r="I13" s="106">
        <f>IFERROR(VLOOKUP(B13,'02. MM-KLH'!$B:$K,9,FALSE),"")</f>
        <v>45298</v>
      </c>
      <c r="J13" s="118"/>
      <c r="K13" s="121" t="s">
        <v>8292</v>
      </c>
      <c r="L13" s="122" t="s">
        <v>480</v>
      </c>
      <c r="M13" s="123" t="s">
        <v>8293</v>
      </c>
      <c r="N13" s="118">
        <v>2013</v>
      </c>
      <c r="O13" s="118" t="s">
        <v>556</v>
      </c>
      <c r="P13" s="118" t="s">
        <v>557</v>
      </c>
      <c r="Q13" s="123" t="s">
        <v>579</v>
      </c>
      <c r="R13" s="123">
        <v>27440</v>
      </c>
    </row>
    <row r="14" ht="13.5" customHeight="1" spans="1:18">
      <c r="A14" s="101">
        <v>9</v>
      </c>
      <c r="B14" s="124" t="s">
        <v>1191</v>
      </c>
      <c r="C14" s="103" t="s">
        <v>3294</v>
      </c>
      <c r="D14" s="103" t="s">
        <v>8280</v>
      </c>
      <c r="E14" s="104" t="s">
        <v>3294</v>
      </c>
      <c r="F14" s="102" t="s">
        <v>8294</v>
      </c>
      <c r="G14" s="101" t="s">
        <v>1121</v>
      </c>
      <c r="H14" s="105">
        <v>45419</v>
      </c>
      <c r="I14" s="106">
        <f>IFERROR(VLOOKUP(B14,'02. MM-KLH'!$B:$K,9,FALSE),"")</f>
        <v>45419</v>
      </c>
      <c r="J14" s="107"/>
      <c r="K14" s="125" t="s">
        <v>1193</v>
      </c>
      <c r="L14" s="109" t="s">
        <v>480</v>
      </c>
      <c r="M14" s="110" t="s">
        <v>453</v>
      </c>
      <c r="N14" s="101">
        <v>2006</v>
      </c>
      <c r="O14" s="101"/>
      <c r="P14" s="101" t="s">
        <v>767</v>
      </c>
      <c r="Q14" s="110">
        <v>5288</v>
      </c>
      <c r="R14" s="111" t="s">
        <v>462</v>
      </c>
    </row>
    <row r="15" ht="13.5" customHeight="1" spans="1:18">
      <c r="A15" s="101">
        <v>10</v>
      </c>
      <c r="B15" s="102" t="s">
        <v>1271</v>
      </c>
      <c r="C15" s="103" t="s">
        <v>3295</v>
      </c>
      <c r="D15" s="103" t="s">
        <v>8280</v>
      </c>
      <c r="E15" s="104" t="s">
        <v>3295</v>
      </c>
      <c r="F15" s="102" t="s">
        <v>8294</v>
      </c>
      <c r="G15" s="101" t="s">
        <v>1250</v>
      </c>
      <c r="H15" s="105"/>
      <c r="I15" s="101">
        <f>IFERROR(VLOOKUP(B15,'02. MM-KLH'!$B:$K,9,FALSE),"")</f>
        <v>0</v>
      </c>
      <c r="J15" s="101"/>
      <c r="K15" s="108"/>
      <c r="L15" s="109" t="s">
        <v>480</v>
      </c>
      <c r="M15" s="110" t="s">
        <v>453</v>
      </c>
      <c r="N15" s="101">
        <v>2006</v>
      </c>
      <c r="O15" s="101"/>
      <c r="P15" s="101" t="s">
        <v>767</v>
      </c>
      <c r="Q15" s="110">
        <v>8332</v>
      </c>
      <c r="R15" s="111" t="s">
        <v>462</v>
      </c>
    </row>
    <row r="16" ht="13.5" customHeight="1" spans="1:18">
      <c r="A16" s="101">
        <v>11</v>
      </c>
      <c r="B16" s="102" t="s">
        <v>1361</v>
      </c>
      <c r="C16" s="103" t="s">
        <v>3296</v>
      </c>
      <c r="D16" s="103" t="s">
        <v>8284</v>
      </c>
      <c r="E16" s="104" t="s">
        <v>3296</v>
      </c>
      <c r="F16" s="102" t="s">
        <v>8294</v>
      </c>
      <c r="G16" s="101" t="s">
        <v>1348</v>
      </c>
      <c r="H16" s="105"/>
      <c r="I16" s="101">
        <f>IFERROR(VLOOKUP(B16,'02. MM-KLH'!$B:$K,9,FALSE),"")</f>
        <v>0</v>
      </c>
      <c r="J16" s="101"/>
      <c r="K16" s="108"/>
      <c r="L16" s="109" t="s">
        <v>480</v>
      </c>
      <c r="M16" s="110" t="s">
        <v>453</v>
      </c>
      <c r="N16" s="101">
        <v>2006</v>
      </c>
      <c r="O16" s="101"/>
      <c r="P16" s="101" t="s">
        <v>767</v>
      </c>
      <c r="Q16" s="110">
        <v>8608</v>
      </c>
      <c r="R16" s="111" t="s">
        <v>462</v>
      </c>
    </row>
    <row r="17" ht="13.5" customHeight="1" spans="1:18">
      <c r="A17" s="101">
        <v>12</v>
      </c>
      <c r="B17" s="126" t="s">
        <v>3153</v>
      </c>
      <c r="C17" s="103" t="s">
        <v>3155</v>
      </c>
      <c r="D17" s="127" t="s">
        <v>8280</v>
      </c>
      <c r="E17" s="126" t="s">
        <v>3155</v>
      </c>
      <c r="F17" s="126" t="s">
        <v>8294</v>
      </c>
      <c r="G17" s="127" t="s">
        <v>1348</v>
      </c>
      <c r="H17" s="128"/>
      <c r="I17" s="101">
        <f>IFERROR(VLOOKUP(B17,'02. MM-KLH'!$B:$K,9,FALSE),"")</f>
        <v>0</v>
      </c>
      <c r="J17" s="127"/>
      <c r="K17" s="129" t="s">
        <v>8295</v>
      </c>
      <c r="L17" s="130" t="s">
        <v>480</v>
      </c>
      <c r="M17" s="131" t="s">
        <v>453</v>
      </c>
      <c r="N17" s="127">
        <v>2006</v>
      </c>
      <c r="O17" s="127" t="s">
        <v>1629</v>
      </c>
      <c r="P17" s="127" t="s">
        <v>767</v>
      </c>
      <c r="Q17" s="131">
        <v>9873</v>
      </c>
      <c r="R17" s="132" t="s">
        <v>462</v>
      </c>
    </row>
    <row r="18" ht="13.5" customHeight="1" spans="1:18">
      <c r="A18" s="101">
        <v>13</v>
      </c>
      <c r="B18" s="102" t="s">
        <v>552</v>
      </c>
      <c r="C18" s="103" t="s">
        <v>6536</v>
      </c>
      <c r="D18" s="103"/>
      <c r="E18" s="104"/>
      <c r="F18" s="102" t="s">
        <v>8294</v>
      </c>
      <c r="G18" s="101" t="s">
        <v>8296</v>
      </c>
      <c r="H18" s="101" t="s">
        <v>553</v>
      </c>
      <c r="I18" s="101" t="str">
        <f>IFERROR(VLOOKUP(B18,'02. MM-KLH'!$B:$K,9,FALSE),"")</f>
        <v>29/07/2024</v>
      </c>
      <c r="J18" s="107">
        <v>0.99</v>
      </c>
      <c r="K18" s="108"/>
      <c r="L18" s="109"/>
      <c r="M18" s="110"/>
      <c r="N18" s="101"/>
      <c r="O18" s="101"/>
      <c r="P18" s="101"/>
      <c r="Q18" s="110"/>
      <c r="R18" s="111"/>
    </row>
    <row r="19" ht="13.5" customHeight="1" spans="1:18">
      <c r="A19" s="101">
        <v>14</v>
      </c>
      <c r="B19" s="102" t="s">
        <v>559</v>
      </c>
      <c r="C19" s="103" t="s">
        <v>6539</v>
      </c>
      <c r="D19" s="103"/>
      <c r="E19" s="104"/>
      <c r="F19" s="102" t="s">
        <v>8294</v>
      </c>
      <c r="G19" s="101" t="s">
        <v>8296</v>
      </c>
      <c r="H19" s="101" t="s">
        <v>553</v>
      </c>
      <c r="I19" s="101" t="str">
        <f>IFERROR(VLOOKUP(B19,'02. MM-KLH'!$B:$K,9,FALSE),"")</f>
        <v>26/07/2024</v>
      </c>
      <c r="J19" s="107">
        <v>0.99</v>
      </c>
      <c r="K19" s="108"/>
      <c r="L19" s="109"/>
      <c r="M19" s="110"/>
      <c r="N19" s="101"/>
      <c r="O19" s="101"/>
      <c r="P19" s="101"/>
      <c r="Q19" s="110"/>
      <c r="R19" s="111"/>
    </row>
    <row r="20" ht="13.5" customHeight="1" spans="1:18">
      <c r="A20" s="101">
        <v>15</v>
      </c>
      <c r="B20" s="102" t="s">
        <v>563</v>
      </c>
      <c r="C20" s="103" t="s">
        <v>6541</v>
      </c>
      <c r="D20" s="103"/>
      <c r="E20" s="104"/>
      <c r="F20" s="102" t="s">
        <v>8294</v>
      </c>
      <c r="G20" s="101" t="s">
        <v>8296</v>
      </c>
      <c r="H20" s="101" t="s">
        <v>553</v>
      </c>
      <c r="I20" s="101" t="str">
        <f>IFERROR(VLOOKUP(B20,'02. MM-KLH'!$B:$K,9,FALSE),"")</f>
        <v>29/07/2024</v>
      </c>
      <c r="J20" s="107">
        <v>0.99</v>
      </c>
      <c r="K20" s="108"/>
      <c r="L20" s="109"/>
      <c r="M20" s="110"/>
      <c r="N20" s="101"/>
      <c r="O20" s="101"/>
      <c r="P20" s="101"/>
      <c r="Q20" s="110"/>
      <c r="R20" s="111"/>
    </row>
    <row r="21" ht="13.5" customHeight="1" spans="1:18">
      <c r="A21" s="101"/>
      <c r="B21" s="102"/>
      <c r="C21" s="103"/>
      <c r="D21" s="103"/>
      <c r="E21" s="104"/>
      <c r="F21" s="102"/>
      <c r="G21" s="101"/>
      <c r="H21" s="101"/>
      <c r="I21" s="101"/>
      <c r="J21" s="107"/>
      <c r="K21" s="108"/>
      <c r="L21" s="109"/>
      <c r="M21" s="110"/>
      <c r="N21" s="101"/>
      <c r="O21" s="101"/>
      <c r="P21" s="101"/>
      <c r="Q21" s="110"/>
      <c r="R21" s="111"/>
    </row>
    <row r="22" ht="13.5" customHeight="1" spans="1:18">
      <c r="A22" s="101"/>
      <c r="B22" s="102"/>
      <c r="C22" s="103"/>
      <c r="D22" s="103"/>
      <c r="E22" s="104"/>
      <c r="F22" s="102"/>
      <c r="G22" s="101"/>
      <c r="H22" s="101"/>
      <c r="I22" s="101"/>
      <c r="J22" s="107"/>
      <c r="K22" s="108"/>
      <c r="L22" s="109"/>
      <c r="M22" s="110"/>
      <c r="N22" s="101"/>
      <c r="O22" s="101"/>
      <c r="P22" s="101"/>
      <c r="Q22" s="110"/>
      <c r="R22" s="111"/>
    </row>
    <row r="23" ht="13.5" customHeight="1" spans="1:18">
      <c r="A23" s="101"/>
      <c r="B23" s="102"/>
      <c r="C23" s="103"/>
      <c r="D23" s="103"/>
      <c r="E23" s="104"/>
      <c r="F23" s="102"/>
      <c r="G23" s="101"/>
      <c r="H23" s="101"/>
      <c r="I23" s="101"/>
      <c r="J23" s="107"/>
      <c r="K23" s="108"/>
      <c r="L23" s="109"/>
      <c r="M23" s="110"/>
      <c r="N23" s="101"/>
      <c r="O23" s="101"/>
      <c r="P23" s="101"/>
      <c r="Q23" s="110"/>
      <c r="R23" s="111"/>
    </row>
    <row r="24" ht="13.5" customHeight="1" spans="1:18">
      <c r="A24" s="101"/>
      <c r="B24" s="102"/>
      <c r="C24" s="103"/>
      <c r="D24" s="103"/>
      <c r="E24" s="104"/>
      <c r="F24" s="102"/>
      <c r="G24" s="101"/>
      <c r="H24" s="101"/>
      <c r="I24" s="101"/>
      <c r="J24" s="107"/>
      <c r="K24" s="108"/>
      <c r="L24" s="109"/>
      <c r="M24" s="110"/>
      <c r="N24" s="101"/>
      <c r="O24" s="101"/>
      <c r="P24" s="101"/>
      <c r="Q24" s="110"/>
      <c r="R24" s="111"/>
    </row>
    <row r="25" ht="13.5" customHeight="1" spans="1:18">
      <c r="A25" s="96" t="s">
        <v>690</v>
      </c>
      <c r="B25" s="97" t="s">
        <v>56</v>
      </c>
      <c r="C25" s="96"/>
      <c r="D25" s="96"/>
      <c r="E25" s="97"/>
      <c r="F25" s="96"/>
      <c r="G25" s="97"/>
      <c r="H25" s="98"/>
      <c r="I25" s="98"/>
      <c r="J25" s="96"/>
      <c r="K25" s="99"/>
      <c r="L25" s="100"/>
      <c r="M25" s="97"/>
      <c r="N25" s="97"/>
      <c r="O25" s="97"/>
      <c r="P25" s="97"/>
      <c r="Q25" s="97"/>
      <c r="R25" s="97"/>
    </row>
    <row r="26" ht="13.5" customHeight="1" spans="1:18">
      <c r="A26" s="101">
        <v>1</v>
      </c>
      <c r="B26" s="104" t="s">
        <v>479</v>
      </c>
      <c r="C26" s="103" t="s">
        <v>3302</v>
      </c>
      <c r="D26" s="103" t="s">
        <v>8297</v>
      </c>
      <c r="E26" s="104" t="s">
        <v>3302</v>
      </c>
      <c r="F26" s="104" t="s">
        <v>57</v>
      </c>
      <c r="G26" s="103" t="s">
        <v>14</v>
      </c>
      <c r="H26" s="112">
        <v>43835</v>
      </c>
      <c r="I26" s="106">
        <f>IFERROR(VLOOKUP(B26,'02. MM-KLH'!$B:$K,9,FALSE),"")</f>
        <v>43952</v>
      </c>
      <c r="J26" s="103"/>
      <c r="K26" s="114"/>
      <c r="L26" s="115" t="s">
        <v>480</v>
      </c>
      <c r="M26" s="111" t="s">
        <v>453</v>
      </c>
      <c r="N26" s="103">
        <v>1997</v>
      </c>
      <c r="O26" s="103" t="s">
        <v>481</v>
      </c>
      <c r="P26" s="103" t="s">
        <v>482</v>
      </c>
      <c r="Q26" s="111" t="s">
        <v>483</v>
      </c>
      <c r="R26" s="111" t="s">
        <v>462</v>
      </c>
    </row>
    <row r="27" ht="13.5" customHeight="1" spans="1:18">
      <c r="A27" s="101">
        <v>2</v>
      </c>
      <c r="B27" s="102" t="s">
        <v>484</v>
      </c>
      <c r="C27" s="103" t="s">
        <v>3312</v>
      </c>
      <c r="D27" s="103" t="s">
        <v>8298</v>
      </c>
      <c r="E27" s="104" t="s">
        <v>3312</v>
      </c>
      <c r="F27" s="102" t="s">
        <v>62</v>
      </c>
      <c r="G27" s="101" t="s">
        <v>14</v>
      </c>
      <c r="H27" s="105">
        <v>43837</v>
      </c>
      <c r="I27" s="106">
        <f>IFERROR(VLOOKUP(B27,'02. MM-KLH'!$B:$K,9,FALSE),"")</f>
        <v>43837</v>
      </c>
      <c r="J27" s="101"/>
      <c r="K27" s="108"/>
      <c r="L27" s="109" t="s">
        <v>480</v>
      </c>
      <c r="M27" s="110" t="s">
        <v>453</v>
      </c>
      <c r="N27" s="101">
        <v>2002</v>
      </c>
      <c r="O27" s="101" t="s">
        <v>485</v>
      </c>
      <c r="P27" s="101" t="s">
        <v>61</v>
      </c>
      <c r="Q27" s="110" t="s">
        <v>486</v>
      </c>
      <c r="R27" s="111" t="s">
        <v>462</v>
      </c>
    </row>
    <row r="28" ht="13.5" customHeight="1" spans="1:18">
      <c r="A28" s="101">
        <v>3</v>
      </c>
      <c r="B28" s="104" t="s">
        <v>487</v>
      </c>
      <c r="C28" s="103" t="s">
        <v>3313</v>
      </c>
      <c r="D28" s="103" t="s">
        <v>8299</v>
      </c>
      <c r="E28" s="104" t="s">
        <v>3313</v>
      </c>
      <c r="F28" s="104" t="s">
        <v>65</v>
      </c>
      <c r="G28" s="103" t="s">
        <v>14</v>
      </c>
      <c r="H28" s="112">
        <v>44200</v>
      </c>
      <c r="I28" s="106">
        <f>IFERROR(VLOOKUP(B28,'02. MM-KLH'!$B:$K,9,FALSE),"")</f>
        <v>44287</v>
      </c>
      <c r="J28" s="113">
        <v>0.7</v>
      </c>
      <c r="K28" s="114"/>
      <c r="L28" s="115" t="s">
        <v>480</v>
      </c>
      <c r="M28" s="111" t="s">
        <v>453</v>
      </c>
      <c r="N28" s="103">
        <v>1992</v>
      </c>
      <c r="O28" s="103" t="s">
        <v>488</v>
      </c>
      <c r="P28" s="103" t="s">
        <v>61</v>
      </c>
      <c r="Q28" s="111" t="s">
        <v>489</v>
      </c>
      <c r="R28" s="111" t="s">
        <v>490</v>
      </c>
    </row>
    <row r="29" ht="13.5" customHeight="1" spans="1:18">
      <c r="A29" s="101"/>
      <c r="B29" s="104"/>
      <c r="C29" s="103"/>
      <c r="D29" s="103"/>
      <c r="E29" s="104"/>
      <c r="F29" s="104"/>
      <c r="G29" s="103"/>
      <c r="H29" s="112"/>
      <c r="I29" s="106"/>
      <c r="J29" s="113"/>
      <c r="K29" s="114"/>
      <c r="L29" s="115"/>
      <c r="M29" s="111"/>
      <c r="N29" s="103"/>
      <c r="O29" s="103"/>
      <c r="P29" s="103"/>
      <c r="Q29" s="111"/>
      <c r="R29" s="111"/>
    </row>
    <row r="30" ht="13.5" customHeight="1" spans="1:18">
      <c r="A30" s="101"/>
      <c r="B30" s="104"/>
      <c r="C30" s="103"/>
      <c r="D30" s="103"/>
      <c r="E30" s="104"/>
      <c r="F30" s="104"/>
      <c r="G30" s="103"/>
      <c r="H30" s="112"/>
      <c r="I30" s="106"/>
      <c r="J30" s="113"/>
      <c r="K30" s="114"/>
      <c r="L30" s="115"/>
      <c r="M30" s="111"/>
      <c r="N30" s="103"/>
      <c r="O30" s="103"/>
      <c r="P30" s="103"/>
      <c r="Q30" s="111"/>
      <c r="R30" s="111"/>
    </row>
    <row r="31" ht="13.5" customHeight="1" spans="1:18">
      <c r="A31" s="96" t="s">
        <v>815</v>
      </c>
      <c r="B31" s="97" t="s">
        <v>115</v>
      </c>
      <c r="C31" s="96"/>
      <c r="D31" s="96"/>
      <c r="E31" s="97"/>
      <c r="F31" s="96"/>
      <c r="G31" s="97"/>
      <c r="H31" s="98"/>
      <c r="I31" s="98"/>
      <c r="J31" s="96"/>
      <c r="K31" s="99"/>
      <c r="L31" s="100"/>
      <c r="M31" s="97"/>
      <c r="N31" s="97"/>
      <c r="O31" s="97"/>
      <c r="P31" s="97"/>
      <c r="Q31" s="97"/>
      <c r="R31" s="97"/>
    </row>
    <row r="32" ht="13.5" customHeight="1" spans="1:18">
      <c r="A32" s="101">
        <v>1</v>
      </c>
      <c r="B32" s="102" t="s">
        <v>2505</v>
      </c>
      <c r="C32" s="103" t="s">
        <v>3388</v>
      </c>
      <c r="D32" s="103" t="s">
        <v>6697</v>
      </c>
      <c r="E32" s="133"/>
      <c r="F32" s="102" t="s">
        <v>104</v>
      </c>
      <c r="G32" s="101" t="s">
        <v>14</v>
      </c>
      <c r="H32" s="105">
        <v>44198</v>
      </c>
      <c r="I32" s="106" t="str">
        <f>IFERROR(VLOOKUP(B32,'02. MM-KLH'!$B:$K,9,FALSE),"")</f>
        <v/>
      </c>
      <c r="J32" s="101"/>
      <c r="K32" s="108"/>
      <c r="L32" s="109" t="s">
        <v>499</v>
      </c>
      <c r="M32" s="110" t="s">
        <v>500</v>
      </c>
      <c r="N32" s="101">
        <v>2018</v>
      </c>
      <c r="O32" s="101" t="s">
        <v>8300</v>
      </c>
      <c r="P32" s="101" t="s">
        <v>105</v>
      </c>
      <c r="Q32" s="110" t="s">
        <v>2507</v>
      </c>
      <c r="R32" s="111" t="s">
        <v>462</v>
      </c>
    </row>
    <row r="33" ht="13.5" customHeight="1" spans="1:18">
      <c r="A33" s="101">
        <v>2</v>
      </c>
      <c r="B33" s="102" t="s">
        <v>498</v>
      </c>
      <c r="C33" s="103" t="s">
        <v>3389</v>
      </c>
      <c r="D33" s="103" t="s">
        <v>8301</v>
      </c>
      <c r="E33" s="133"/>
      <c r="F33" s="102" t="s">
        <v>104</v>
      </c>
      <c r="G33" s="101" t="s">
        <v>14</v>
      </c>
      <c r="H33" s="105"/>
      <c r="I33" s="101">
        <f>IFERROR(VLOOKUP(B33,'02. MM-KLH'!$B:$K,9,FALSE),"")</f>
        <v>0</v>
      </c>
      <c r="J33" s="101"/>
      <c r="K33" s="108"/>
      <c r="L33" s="109" t="s">
        <v>499</v>
      </c>
      <c r="M33" s="110" t="s">
        <v>500</v>
      </c>
      <c r="N33" s="101">
        <v>2018</v>
      </c>
      <c r="O33" s="101" t="s">
        <v>8300</v>
      </c>
      <c r="P33" s="101" t="s">
        <v>105</v>
      </c>
      <c r="Q33" s="110" t="s">
        <v>502</v>
      </c>
      <c r="R33" s="111" t="s">
        <v>462</v>
      </c>
    </row>
    <row r="34" ht="13.8" spans="1:18">
      <c r="A34" s="101">
        <v>3</v>
      </c>
      <c r="B34" s="102" t="s">
        <v>8302</v>
      </c>
      <c r="C34" s="103" t="s">
        <v>1171</v>
      </c>
      <c r="D34" s="103" t="s">
        <v>1171</v>
      </c>
      <c r="E34" s="104"/>
      <c r="F34" s="102" t="s">
        <v>8303</v>
      </c>
      <c r="G34" s="101" t="s">
        <v>14</v>
      </c>
      <c r="H34" s="105">
        <v>45632</v>
      </c>
      <c r="I34" s="101" t="str">
        <f>IFERROR(VLOOKUP(B34,'02. MM-KLH'!$B:$K,9,FALSE),"")</f>
        <v/>
      </c>
      <c r="J34" s="107">
        <v>1</v>
      </c>
      <c r="K34" s="125" t="s">
        <v>8304</v>
      </c>
      <c r="L34" s="109" t="s">
        <v>1019</v>
      </c>
      <c r="M34" s="110" t="s">
        <v>500</v>
      </c>
      <c r="N34" s="101">
        <v>2024</v>
      </c>
      <c r="O34" s="101" t="s">
        <v>8305</v>
      </c>
      <c r="P34" s="101" t="s">
        <v>112</v>
      </c>
      <c r="Q34" s="110" t="s">
        <v>1174</v>
      </c>
      <c r="R34" s="111" t="s">
        <v>1175</v>
      </c>
    </row>
    <row r="35" ht="13.5" customHeight="1" spans="1:18">
      <c r="A35" s="101">
        <v>4</v>
      </c>
      <c r="B35" s="102" t="s">
        <v>8306</v>
      </c>
      <c r="C35" s="103" t="s">
        <v>1178</v>
      </c>
      <c r="D35" s="103" t="s">
        <v>1178</v>
      </c>
      <c r="E35" s="104"/>
      <c r="F35" s="102" t="s">
        <v>8303</v>
      </c>
      <c r="G35" s="101" t="s">
        <v>14</v>
      </c>
      <c r="H35" s="105">
        <v>45632</v>
      </c>
      <c r="I35" s="101" t="str">
        <f>IFERROR(VLOOKUP(B35,'02. MM-KLH'!$B:$K,9,FALSE),"")</f>
        <v/>
      </c>
      <c r="J35" s="107">
        <v>1</v>
      </c>
      <c r="K35" s="125" t="s">
        <v>8304</v>
      </c>
      <c r="L35" s="109" t="s">
        <v>1019</v>
      </c>
      <c r="M35" s="110" t="s">
        <v>500</v>
      </c>
      <c r="N35" s="101">
        <v>2024</v>
      </c>
      <c r="O35" s="101" t="s">
        <v>8305</v>
      </c>
      <c r="P35" s="101" t="s">
        <v>112</v>
      </c>
      <c r="Q35" s="110" t="s">
        <v>1179</v>
      </c>
      <c r="R35" s="111" t="s">
        <v>1180</v>
      </c>
    </row>
    <row r="36" ht="13.5" customHeight="1" spans="1:18">
      <c r="A36" s="101">
        <v>5</v>
      </c>
      <c r="B36" s="102" t="s">
        <v>8307</v>
      </c>
      <c r="C36" s="103" t="s">
        <v>1183</v>
      </c>
      <c r="D36" s="103" t="s">
        <v>1183</v>
      </c>
      <c r="E36" s="104"/>
      <c r="F36" s="102" t="s">
        <v>8303</v>
      </c>
      <c r="G36" s="101" t="s">
        <v>14</v>
      </c>
      <c r="H36" s="105">
        <v>45632</v>
      </c>
      <c r="I36" s="101" t="str">
        <f>IFERROR(VLOOKUP(B36,'02. MM-KLH'!$B:$K,9,FALSE),"")</f>
        <v/>
      </c>
      <c r="J36" s="107">
        <v>1</v>
      </c>
      <c r="K36" s="125" t="s">
        <v>8304</v>
      </c>
      <c r="L36" s="109" t="s">
        <v>1019</v>
      </c>
      <c r="M36" s="110" t="s">
        <v>500</v>
      </c>
      <c r="N36" s="101">
        <v>2024</v>
      </c>
      <c r="O36" s="101" t="s">
        <v>8305</v>
      </c>
      <c r="P36" s="101" t="s">
        <v>112</v>
      </c>
      <c r="Q36" s="110" t="s">
        <v>1184</v>
      </c>
      <c r="R36" s="111" t="s">
        <v>1185</v>
      </c>
    </row>
    <row r="37" ht="13.5" customHeight="1" spans="1:18">
      <c r="A37" s="101">
        <v>6</v>
      </c>
      <c r="B37" s="102" t="s">
        <v>8308</v>
      </c>
      <c r="C37" s="103" t="s">
        <v>1188</v>
      </c>
      <c r="D37" s="103" t="s">
        <v>1188</v>
      </c>
      <c r="E37" s="104"/>
      <c r="F37" s="102" t="s">
        <v>8303</v>
      </c>
      <c r="G37" s="101" t="s">
        <v>14</v>
      </c>
      <c r="H37" s="105">
        <v>45632</v>
      </c>
      <c r="I37" s="101" t="str">
        <f>IFERROR(VLOOKUP(B37,'02. MM-KLH'!$B:$K,9,FALSE),"")</f>
        <v/>
      </c>
      <c r="J37" s="107">
        <v>1</v>
      </c>
      <c r="K37" s="125" t="s">
        <v>8304</v>
      </c>
      <c r="L37" s="109" t="s">
        <v>1019</v>
      </c>
      <c r="M37" s="110" t="s">
        <v>500</v>
      </c>
      <c r="N37" s="101">
        <v>2024</v>
      </c>
      <c r="O37" s="101" t="s">
        <v>8305</v>
      </c>
      <c r="P37" s="101" t="s">
        <v>112</v>
      </c>
      <c r="Q37" s="110" t="s">
        <v>1189</v>
      </c>
      <c r="R37" s="111" t="s">
        <v>1190</v>
      </c>
    </row>
    <row r="38" ht="13.5" customHeight="1" spans="1:18">
      <c r="A38" s="101">
        <v>7</v>
      </c>
      <c r="B38" s="104" t="s">
        <v>1414</v>
      </c>
      <c r="C38" s="103" t="s">
        <v>6733</v>
      </c>
      <c r="D38" s="103"/>
      <c r="E38" s="104"/>
      <c r="F38" s="104" t="s">
        <v>8309</v>
      </c>
      <c r="G38" s="103" t="s">
        <v>14</v>
      </c>
      <c r="H38" s="103" t="s">
        <v>1415</v>
      </c>
      <c r="I38" s="101" t="str">
        <f>IFERROR(VLOOKUP(B38,'02. MM-KLH'!$B:$K,9,FALSE),"")</f>
        <v/>
      </c>
      <c r="J38" s="103"/>
      <c r="K38" s="114" t="s">
        <v>8310</v>
      </c>
      <c r="L38" s="115" t="s">
        <v>621</v>
      </c>
      <c r="M38" s="111" t="s">
        <v>500</v>
      </c>
      <c r="N38" s="103">
        <v>2010</v>
      </c>
      <c r="O38" s="101" t="s">
        <v>1417</v>
      </c>
      <c r="P38" s="103" t="s">
        <v>85</v>
      </c>
      <c r="Q38" s="111" t="s">
        <v>6736</v>
      </c>
      <c r="R38" s="111" t="s">
        <v>462</v>
      </c>
    </row>
    <row r="39" ht="13.5" customHeight="1" spans="1:18">
      <c r="A39" s="101">
        <v>8</v>
      </c>
      <c r="B39" s="102" t="s">
        <v>1162</v>
      </c>
      <c r="C39" s="103" t="s">
        <v>6591</v>
      </c>
      <c r="D39" s="103"/>
      <c r="E39" s="104"/>
      <c r="F39" s="102" t="s">
        <v>127</v>
      </c>
      <c r="G39" s="101" t="s">
        <v>1121</v>
      </c>
      <c r="H39" s="105"/>
      <c r="I39" s="101">
        <f>IFERROR(VLOOKUP(B39,'02. MM-KLH'!$B:$K,9,FALSE),"")</f>
        <v>0</v>
      </c>
      <c r="J39" s="101"/>
      <c r="K39" s="108"/>
      <c r="L39" s="109" t="s">
        <v>1164</v>
      </c>
      <c r="M39" s="110" t="s">
        <v>1165</v>
      </c>
      <c r="N39" s="101"/>
      <c r="O39" s="101"/>
      <c r="P39" s="101" t="s">
        <v>208</v>
      </c>
      <c r="Q39" s="110">
        <v>113819</v>
      </c>
      <c r="R39" s="111" t="s">
        <v>462</v>
      </c>
    </row>
    <row r="40" ht="13.5" customHeight="1" spans="1:18">
      <c r="A40" s="101">
        <v>9</v>
      </c>
      <c r="B40" s="102" t="s">
        <v>1166</v>
      </c>
      <c r="C40" s="103" t="s">
        <v>6593</v>
      </c>
      <c r="D40" s="103"/>
      <c r="E40" s="104"/>
      <c r="F40" s="102" t="s">
        <v>127</v>
      </c>
      <c r="G40" s="101" t="s">
        <v>1121</v>
      </c>
      <c r="H40" s="101" t="s">
        <v>1168</v>
      </c>
      <c r="I40" s="101" t="str">
        <f>IFERROR(VLOOKUP(B40,'02. MM-KLH'!$B:$K,9,FALSE),"")</f>
        <v>13/05/2024</v>
      </c>
      <c r="J40" s="101"/>
      <c r="K40" s="108"/>
      <c r="L40" s="109" t="s">
        <v>1164</v>
      </c>
      <c r="M40" s="110" t="s">
        <v>1165</v>
      </c>
      <c r="N40" s="101"/>
      <c r="O40" s="101"/>
      <c r="P40" s="101" t="s">
        <v>208</v>
      </c>
      <c r="Q40" s="110">
        <v>78504</v>
      </c>
      <c r="R40" s="111" t="s">
        <v>462</v>
      </c>
    </row>
    <row r="41" ht="13.5" customHeight="1" spans="1:18">
      <c r="A41" s="101">
        <v>10</v>
      </c>
      <c r="B41" s="102" t="s">
        <v>3160</v>
      </c>
      <c r="C41" s="103" t="s">
        <v>3568</v>
      </c>
      <c r="D41" s="134" t="s">
        <v>3388</v>
      </c>
      <c r="E41" s="135"/>
      <c r="F41" s="102" t="s">
        <v>127</v>
      </c>
      <c r="G41" s="134" t="s">
        <v>1250</v>
      </c>
      <c r="H41" s="136"/>
      <c r="I41" s="101">
        <f>IFERROR(VLOOKUP(B41,'02. MM-KLH'!$B:$K,9,FALSE),"")</f>
        <v>0</v>
      </c>
      <c r="J41" s="135"/>
      <c r="K41" s="137"/>
      <c r="L41" s="138" t="s">
        <v>1164</v>
      </c>
      <c r="M41" s="138" t="s">
        <v>1165</v>
      </c>
      <c r="N41" s="135"/>
      <c r="O41" s="135"/>
      <c r="P41" s="134" t="s">
        <v>208</v>
      </c>
      <c r="Q41" s="135"/>
      <c r="R41" s="138" t="s">
        <v>462</v>
      </c>
    </row>
    <row r="42" ht="13.5" customHeight="1" spans="1:18">
      <c r="A42" s="101">
        <v>11</v>
      </c>
      <c r="B42" s="102" t="s">
        <v>3156</v>
      </c>
      <c r="C42" s="103" t="s">
        <v>3566</v>
      </c>
      <c r="D42" s="139" t="s">
        <v>3388</v>
      </c>
      <c r="E42" s="140"/>
      <c r="F42" s="102" t="s">
        <v>127</v>
      </c>
      <c r="G42" s="139" t="s">
        <v>1348</v>
      </c>
      <c r="H42" s="141"/>
      <c r="I42" s="101">
        <f>IFERROR(VLOOKUP(B42,'02. MM-KLH'!$B:$K,9,FALSE),"")</f>
        <v>0</v>
      </c>
      <c r="J42" s="140"/>
      <c r="K42" s="142"/>
      <c r="L42" s="143" t="s">
        <v>1164</v>
      </c>
      <c r="M42" s="143" t="s">
        <v>1165</v>
      </c>
      <c r="N42" s="140"/>
      <c r="O42" s="140"/>
      <c r="P42" s="139" t="s">
        <v>208</v>
      </c>
      <c r="Q42" s="140"/>
      <c r="R42" s="143" t="s">
        <v>462</v>
      </c>
    </row>
    <row r="43" ht="13.5" customHeight="1" spans="1:18">
      <c r="A43" s="101">
        <v>12</v>
      </c>
      <c r="B43" s="102" t="s">
        <v>3158</v>
      </c>
      <c r="C43" s="103" t="s">
        <v>3567</v>
      </c>
      <c r="D43" s="103"/>
      <c r="E43" s="104"/>
      <c r="F43" s="102" t="s">
        <v>127</v>
      </c>
      <c r="G43" s="103" t="s">
        <v>1348</v>
      </c>
      <c r="H43" s="112"/>
      <c r="I43" s="101">
        <f>IFERROR(VLOOKUP(B43,'02. MM-KLH'!$B:$K,9,FALSE),"")</f>
        <v>0</v>
      </c>
      <c r="J43" s="103"/>
      <c r="K43" s="114"/>
      <c r="L43" s="115" t="s">
        <v>1164</v>
      </c>
      <c r="M43" s="111" t="s">
        <v>1165</v>
      </c>
      <c r="N43" s="103"/>
      <c r="O43" s="103"/>
      <c r="P43" s="103" t="s">
        <v>208</v>
      </c>
      <c r="Q43" s="111"/>
      <c r="R43" s="111" t="s">
        <v>462</v>
      </c>
    </row>
    <row r="44" ht="13.5" customHeight="1" spans="1:18">
      <c r="A44" s="101">
        <v>13</v>
      </c>
      <c r="B44" s="102" t="s">
        <v>2469</v>
      </c>
      <c r="C44" s="103" t="s">
        <v>6697</v>
      </c>
      <c r="D44" s="103"/>
      <c r="E44" s="104"/>
      <c r="F44" s="102" t="s">
        <v>119</v>
      </c>
      <c r="G44" s="101" t="s">
        <v>31</v>
      </c>
      <c r="H44" s="105"/>
      <c r="I44" s="101">
        <f>IFERROR(VLOOKUP(B44,'02. MM-KLH'!$B:$K,9,FALSE),"")</f>
        <v>0</v>
      </c>
      <c r="J44" s="101"/>
      <c r="K44" s="108" t="s">
        <v>5979</v>
      </c>
      <c r="L44" s="109" t="s">
        <v>499</v>
      </c>
      <c r="M44" s="110" t="s">
        <v>500</v>
      </c>
      <c r="N44" s="101">
        <v>2012</v>
      </c>
      <c r="O44" s="101" t="s">
        <v>2468</v>
      </c>
      <c r="P44" s="101" t="s">
        <v>8311</v>
      </c>
      <c r="Q44" s="110" t="s">
        <v>2472</v>
      </c>
      <c r="R44" s="111" t="s">
        <v>462</v>
      </c>
    </row>
    <row r="45" ht="13.5" customHeight="1" spans="1:18">
      <c r="A45" s="101">
        <v>14</v>
      </c>
      <c r="B45" s="102" t="s">
        <v>2473</v>
      </c>
      <c r="C45" s="103" t="s">
        <v>3397</v>
      </c>
      <c r="D45" s="103" t="s">
        <v>1171</v>
      </c>
      <c r="E45" s="104" t="s">
        <v>3397</v>
      </c>
      <c r="F45" s="104" t="s">
        <v>119</v>
      </c>
      <c r="G45" s="103" t="s">
        <v>31</v>
      </c>
      <c r="H45" s="112">
        <v>44114</v>
      </c>
      <c r="I45" s="101">
        <f>IFERROR(VLOOKUP(B45,'02. MM-KLH'!$B:$K,9,FALSE),"")</f>
        <v>44114</v>
      </c>
      <c r="J45" s="113">
        <v>0.65</v>
      </c>
      <c r="K45" s="114" t="s">
        <v>5979</v>
      </c>
      <c r="L45" s="115" t="s">
        <v>499</v>
      </c>
      <c r="M45" s="111" t="s">
        <v>500</v>
      </c>
      <c r="N45" s="103">
        <v>2012</v>
      </c>
      <c r="O45" s="103" t="s">
        <v>2468</v>
      </c>
      <c r="P45" s="103" t="s">
        <v>8311</v>
      </c>
      <c r="Q45" s="111" t="s">
        <v>2476</v>
      </c>
      <c r="R45" s="111" t="s">
        <v>462</v>
      </c>
    </row>
    <row r="46" ht="13.5" customHeight="1" spans="1:18">
      <c r="A46" s="101">
        <v>15</v>
      </c>
      <c r="B46" s="102" t="s">
        <v>2481</v>
      </c>
      <c r="C46" s="103" t="s">
        <v>3399</v>
      </c>
      <c r="D46" s="103" t="s">
        <v>2306</v>
      </c>
      <c r="E46" s="104" t="s">
        <v>3399</v>
      </c>
      <c r="F46" s="102" t="s">
        <v>122</v>
      </c>
      <c r="G46" s="101" t="s">
        <v>31</v>
      </c>
      <c r="H46" s="105">
        <v>44564</v>
      </c>
      <c r="I46" s="101">
        <f>IFERROR(VLOOKUP(B46,'02. MM-KLH'!$B:$K,9,FALSE),"")</f>
        <v>44564</v>
      </c>
      <c r="J46" s="107">
        <v>0.79</v>
      </c>
      <c r="K46" s="108" t="s">
        <v>5979</v>
      </c>
      <c r="L46" s="109" t="s">
        <v>621</v>
      </c>
      <c r="M46" s="110" t="s">
        <v>500</v>
      </c>
      <c r="N46" s="101">
        <v>2021</v>
      </c>
      <c r="O46" s="101" t="s">
        <v>2478</v>
      </c>
      <c r="P46" s="101" t="s">
        <v>85</v>
      </c>
      <c r="Q46" s="110" t="s">
        <v>2482</v>
      </c>
      <c r="R46" s="111" t="s">
        <v>2483</v>
      </c>
    </row>
    <row r="47" ht="13.5" customHeight="1" spans="1:18">
      <c r="A47" s="101">
        <v>16</v>
      </c>
      <c r="B47" s="102" t="s">
        <v>2854</v>
      </c>
      <c r="C47" s="103" t="s">
        <v>2855</v>
      </c>
      <c r="D47" s="103" t="s">
        <v>6591</v>
      </c>
      <c r="E47" s="104" t="s">
        <v>2855</v>
      </c>
      <c r="F47" s="102" t="s">
        <v>122</v>
      </c>
      <c r="G47" s="101" t="s">
        <v>31</v>
      </c>
      <c r="H47" s="105">
        <v>44570</v>
      </c>
      <c r="I47" s="101" t="str">
        <f>IFERROR(VLOOKUP(B47,'02. MM-KLH'!$B:$K,9,FALSE),"")</f>
        <v/>
      </c>
      <c r="J47" s="107">
        <v>0.76</v>
      </c>
      <c r="K47" s="108" t="s">
        <v>5979</v>
      </c>
      <c r="L47" s="109" t="s">
        <v>621</v>
      </c>
      <c r="M47" s="110" t="s">
        <v>500</v>
      </c>
      <c r="N47" s="101">
        <v>2021</v>
      </c>
      <c r="O47" s="101" t="s">
        <v>2478</v>
      </c>
      <c r="P47" s="101" t="s">
        <v>85</v>
      </c>
      <c r="Q47" s="110">
        <v>49596</v>
      </c>
      <c r="R47" s="111" t="s">
        <v>462</v>
      </c>
    </row>
    <row r="48" ht="13.5" customHeight="1" spans="1:18">
      <c r="A48" s="101">
        <v>17</v>
      </c>
      <c r="B48" s="102" t="s">
        <v>2487</v>
      </c>
      <c r="C48" s="103" t="s">
        <v>3401</v>
      </c>
      <c r="D48" s="103" t="s">
        <v>6593</v>
      </c>
      <c r="E48" s="104" t="s">
        <v>3401</v>
      </c>
      <c r="F48" s="102" t="s">
        <v>122</v>
      </c>
      <c r="G48" s="101" t="s">
        <v>31</v>
      </c>
      <c r="H48" s="105">
        <v>44570</v>
      </c>
      <c r="I48" s="101">
        <f>IFERROR(VLOOKUP(B48,'02. MM-KLH'!$B:$K,9,FALSE),"")</f>
        <v>44570</v>
      </c>
      <c r="J48" s="107">
        <v>0.86</v>
      </c>
      <c r="K48" s="108" t="s">
        <v>5979</v>
      </c>
      <c r="L48" s="109" t="s">
        <v>621</v>
      </c>
      <c r="M48" s="110" t="s">
        <v>500</v>
      </c>
      <c r="N48" s="101">
        <v>2021</v>
      </c>
      <c r="O48" s="101" t="s">
        <v>2478</v>
      </c>
      <c r="P48" s="101" t="s">
        <v>85</v>
      </c>
      <c r="Q48" s="110">
        <v>49595</v>
      </c>
      <c r="R48" s="111" t="s">
        <v>462</v>
      </c>
    </row>
    <row r="49" ht="13.5" customHeight="1" spans="1:18">
      <c r="A49" s="101">
        <v>18</v>
      </c>
      <c r="B49" s="102" t="s">
        <v>2494</v>
      </c>
      <c r="C49" s="103" t="s">
        <v>3450</v>
      </c>
      <c r="D49" s="103"/>
      <c r="E49" s="104" t="s">
        <v>3450</v>
      </c>
      <c r="F49" s="102" t="s">
        <v>8312</v>
      </c>
      <c r="G49" s="101" t="s">
        <v>31</v>
      </c>
      <c r="H49" s="105"/>
      <c r="I49" s="101">
        <f>IFERROR(VLOOKUP(B49,'02. MM-KLH'!$B:$K,9,FALSE),"")</f>
        <v>0</v>
      </c>
      <c r="J49" s="101"/>
      <c r="K49" s="108" t="s">
        <v>5979</v>
      </c>
      <c r="L49" s="109" t="s">
        <v>6701</v>
      </c>
      <c r="M49" s="110" t="s">
        <v>500</v>
      </c>
      <c r="N49" s="101">
        <v>2018</v>
      </c>
      <c r="O49" s="101" t="s">
        <v>8300</v>
      </c>
      <c r="P49" s="101"/>
      <c r="Q49" s="110" t="s">
        <v>2495</v>
      </c>
      <c r="R49" s="111" t="s">
        <v>462</v>
      </c>
    </row>
    <row r="50" ht="13.5" customHeight="1" spans="1:18">
      <c r="A50" s="101">
        <v>19</v>
      </c>
      <c r="B50" s="102" t="s">
        <v>1278</v>
      </c>
      <c r="C50" s="103" t="s">
        <v>6603</v>
      </c>
      <c r="D50" s="103"/>
      <c r="E50" s="104"/>
      <c r="F50" s="102" t="s">
        <v>8303</v>
      </c>
      <c r="G50" s="101" t="s">
        <v>7105</v>
      </c>
      <c r="H50" s="101" t="s">
        <v>1213</v>
      </c>
      <c r="I50" s="101" t="str">
        <f>IFERROR(VLOOKUP(B50,'02. MM-KLH'!$B:$K,9,FALSE),"")</f>
        <v>30/07/2024</v>
      </c>
      <c r="J50" s="107">
        <v>1</v>
      </c>
      <c r="K50" s="108"/>
      <c r="L50" s="109"/>
      <c r="M50" s="110"/>
      <c r="N50" s="101"/>
      <c r="O50" s="101"/>
      <c r="P50" s="101"/>
      <c r="Q50" s="110"/>
      <c r="R50" s="111"/>
    </row>
    <row r="51" ht="13.5" customHeight="1" spans="1:18">
      <c r="A51" s="101">
        <v>20</v>
      </c>
      <c r="B51" s="102" t="s">
        <v>1282</v>
      </c>
      <c r="C51" s="103" t="s">
        <v>6605</v>
      </c>
      <c r="D51" s="103"/>
      <c r="E51" s="104"/>
      <c r="F51" s="102" t="s">
        <v>8303</v>
      </c>
      <c r="G51" s="101" t="s">
        <v>7105</v>
      </c>
      <c r="H51" s="101" t="s">
        <v>1213</v>
      </c>
      <c r="I51" s="101" t="str">
        <f>IFERROR(VLOOKUP(B51,'02. MM-KLH'!$B:$K,9,FALSE),"")</f>
        <v>30/07/2024</v>
      </c>
      <c r="J51" s="107">
        <v>1</v>
      </c>
      <c r="K51" s="108"/>
      <c r="L51" s="109"/>
      <c r="M51" s="110"/>
      <c r="N51" s="101"/>
      <c r="O51" s="101"/>
      <c r="P51" s="101"/>
      <c r="Q51" s="110"/>
      <c r="R51" s="111"/>
    </row>
    <row r="52" ht="13.5" customHeight="1" spans="1:18">
      <c r="A52" s="101">
        <v>21</v>
      </c>
      <c r="B52" s="102" t="s">
        <v>1394</v>
      </c>
      <c r="C52" s="103" t="s">
        <v>6618</v>
      </c>
      <c r="D52" s="103"/>
      <c r="E52" s="104"/>
      <c r="F52" s="102" t="s">
        <v>8303</v>
      </c>
      <c r="G52" s="101" t="s">
        <v>7106</v>
      </c>
      <c r="H52" s="101" t="s">
        <v>1213</v>
      </c>
      <c r="I52" s="101" t="str">
        <f>IFERROR(VLOOKUP(B52,'02. MM-KLH'!$B:$K,9,FALSE),"")</f>
        <v>30/07/2024</v>
      </c>
      <c r="J52" s="107">
        <v>1</v>
      </c>
      <c r="K52" s="108"/>
      <c r="L52" s="109"/>
      <c r="M52" s="110"/>
      <c r="N52" s="101"/>
      <c r="O52" s="101"/>
      <c r="P52" s="101"/>
      <c r="Q52" s="110"/>
      <c r="R52" s="111"/>
    </row>
    <row r="53" ht="13.5" customHeight="1" spans="1:18">
      <c r="A53" s="101">
        <v>22</v>
      </c>
      <c r="B53" s="102" t="s">
        <v>1399</v>
      </c>
      <c r="C53" s="103" t="s">
        <v>6619</v>
      </c>
      <c r="D53" s="103"/>
      <c r="E53" s="104"/>
      <c r="F53" s="102" t="s">
        <v>8303</v>
      </c>
      <c r="G53" s="101" t="s">
        <v>7106</v>
      </c>
      <c r="H53" s="101" t="s">
        <v>1213</v>
      </c>
      <c r="I53" s="101" t="str">
        <f>IFERROR(VLOOKUP(B53,'02. MM-KLH'!$B:$K,9,FALSE),"")</f>
        <v>30/07/2024</v>
      </c>
      <c r="J53" s="107">
        <v>1</v>
      </c>
      <c r="K53" s="108"/>
      <c r="L53" s="109"/>
      <c r="M53" s="110"/>
      <c r="N53" s="101"/>
      <c r="O53" s="101"/>
      <c r="P53" s="101"/>
      <c r="Q53" s="110"/>
      <c r="R53" s="111"/>
    </row>
    <row r="54" ht="13.5" customHeight="1" spans="1:18">
      <c r="A54" s="101">
        <v>23</v>
      </c>
      <c r="B54" s="102" t="s">
        <v>617</v>
      </c>
      <c r="C54" s="103" t="s">
        <v>618</v>
      </c>
      <c r="D54" s="103"/>
      <c r="E54" s="104"/>
      <c r="F54" s="144" t="s">
        <v>8313</v>
      </c>
      <c r="G54" s="101" t="s">
        <v>14</v>
      </c>
      <c r="H54" s="101"/>
      <c r="I54" s="101"/>
      <c r="J54" s="107"/>
      <c r="K54" s="108"/>
      <c r="L54" s="109"/>
      <c r="M54" s="110"/>
      <c r="N54" s="101"/>
      <c r="O54" s="101"/>
      <c r="P54" s="101"/>
      <c r="Q54" s="110"/>
      <c r="R54" s="111"/>
    </row>
    <row r="55" ht="13.5" customHeight="1" spans="1:18">
      <c r="A55" s="101">
        <v>24</v>
      </c>
      <c r="B55" s="102" t="s">
        <v>625</v>
      </c>
      <c r="C55" s="103" t="s">
        <v>626</v>
      </c>
      <c r="D55" s="103"/>
      <c r="E55" s="104"/>
      <c r="F55" s="144" t="s">
        <v>8313</v>
      </c>
      <c r="G55" s="101" t="s">
        <v>14</v>
      </c>
      <c r="H55" s="101"/>
      <c r="I55" s="101"/>
      <c r="J55" s="107"/>
      <c r="K55" s="108"/>
      <c r="L55" s="109"/>
      <c r="M55" s="110"/>
      <c r="N55" s="101"/>
      <c r="O55" s="101"/>
      <c r="P55" s="101"/>
      <c r="Q55" s="110"/>
      <c r="R55" s="111"/>
    </row>
    <row r="56" ht="13.5" customHeight="1" spans="1:18">
      <c r="A56" s="101">
        <v>25</v>
      </c>
      <c r="B56" s="102" t="s">
        <v>914</v>
      </c>
      <c r="C56" s="103" t="s">
        <v>915</v>
      </c>
      <c r="D56" s="103"/>
      <c r="E56" s="104"/>
      <c r="F56" s="102" t="s">
        <v>113</v>
      </c>
      <c r="G56" s="101" t="s">
        <v>14</v>
      </c>
      <c r="H56" s="101"/>
      <c r="I56" s="101"/>
      <c r="J56" s="107"/>
      <c r="K56" s="108"/>
      <c r="L56" s="109"/>
      <c r="M56" s="110"/>
      <c r="N56" s="101"/>
      <c r="O56" s="101"/>
      <c r="P56" s="101"/>
      <c r="Q56" s="110"/>
      <c r="R56" s="111"/>
    </row>
    <row r="57" ht="13.5" customHeight="1" spans="1:18">
      <c r="A57" s="101">
        <v>26</v>
      </c>
      <c r="B57" s="102" t="s">
        <v>920</v>
      </c>
      <c r="C57" s="103" t="s">
        <v>921</v>
      </c>
      <c r="D57" s="103"/>
      <c r="E57" s="104"/>
      <c r="F57" s="102" t="s">
        <v>113</v>
      </c>
      <c r="G57" s="101" t="s">
        <v>14</v>
      </c>
      <c r="H57" s="101"/>
      <c r="I57" s="101"/>
      <c r="J57" s="107"/>
      <c r="K57" s="108"/>
      <c r="L57" s="109"/>
      <c r="M57" s="110"/>
      <c r="N57" s="101"/>
      <c r="O57" s="101"/>
      <c r="P57" s="101"/>
      <c r="Q57" s="110"/>
      <c r="R57" s="111"/>
    </row>
    <row r="58" ht="13.5" customHeight="1" spans="1:18">
      <c r="A58" s="101">
        <v>27</v>
      </c>
      <c r="B58" s="102" t="s">
        <v>524</v>
      </c>
      <c r="C58" s="103" t="s">
        <v>525</v>
      </c>
      <c r="D58" s="103"/>
      <c r="E58" s="104"/>
      <c r="F58" s="102" t="s">
        <v>113</v>
      </c>
      <c r="G58" s="101" t="s">
        <v>14</v>
      </c>
      <c r="H58" s="101"/>
      <c r="I58" s="101"/>
      <c r="J58" s="107"/>
      <c r="K58" s="108"/>
      <c r="L58" s="109"/>
      <c r="M58" s="110"/>
      <c r="N58" s="101"/>
      <c r="O58" s="101"/>
      <c r="P58" s="101"/>
      <c r="Q58" s="110"/>
      <c r="R58" s="111"/>
    </row>
    <row r="59" ht="13.5" customHeight="1" spans="1:18">
      <c r="A59" s="101"/>
      <c r="B59" s="102" t="s">
        <v>631</v>
      </c>
      <c r="C59" s="103" t="s">
        <v>632</v>
      </c>
      <c r="D59" s="103"/>
      <c r="E59" s="104"/>
      <c r="F59" s="102"/>
      <c r="G59" s="101"/>
      <c r="H59" s="101"/>
      <c r="I59" s="101"/>
      <c r="J59" s="107"/>
      <c r="K59" s="108"/>
      <c r="L59" s="109"/>
      <c r="M59" s="110"/>
      <c r="N59" s="101"/>
      <c r="O59" s="101"/>
      <c r="P59" s="101"/>
      <c r="Q59" s="110"/>
      <c r="R59" s="111"/>
    </row>
    <row r="60" ht="13.5" customHeight="1" spans="1:18">
      <c r="A60" s="101"/>
      <c r="B60" s="102" t="s">
        <v>638</v>
      </c>
      <c r="C60" s="103" t="s">
        <v>639</v>
      </c>
      <c r="D60" s="103"/>
      <c r="E60" s="104"/>
      <c r="F60" s="102"/>
      <c r="G60" s="101"/>
      <c r="H60" s="101"/>
      <c r="I60" s="101"/>
      <c r="J60" s="107"/>
      <c r="K60" s="108"/>
      <c r="L60" s="109"/>
      <c r="M60" s="110"/>
      <c r="N60" s="101"/>
      <c r="O60" s="101"/>
      <c r="P60" s="101"/>
      <c r="Q60" s="110"/>
      <c r="R60" s="111"/>
    </row>
    <row r="61" ht="13.5" customHeight="1" spans="1:18">
      <c r="A61" s="101"/>
      <c r="B61" s="102" t="s">
        <v>642</v>
      </c>
      <c r="C61" s="103" t="s">
        <v>643</v>
      </c>
      <c r="D61" s="103"/>
      <c r="E61" s="104"/>
      <c r="F61" s="102"/>
      <c r="G61" s="101"/>
      <c r="H61" s="101"/>
      <c r="I61" s="101"/>
      <c r="J61" s="107"/>
      <c r="K61" s="108"/>
      <c r="L61" s="109"/>
      <c r="M61" s="110"/>
      <c r="N61" s="101"/>
      <c r="O61" s="101"/>
      <c r="P61" s="101"/>
      <c r="Q61" s="110"/>
      <c r="R61" s="111"/>
    </row>
    <row r="62" ht="13.5" customHeight="1" spans="1:18">
      <c r="A62" s="101"/>
      <c r="B62" s="102" t="s">
        <v>646</v>
      </c>
      <c r="C62" s="103" t="s">
        <v>647</v>
      </c>
      <c r="D62" s="103"/>
      <c r="E62" s="104"/>
      <c r="F62" s="102"/>
      <c r="G62" s="101"/>
      <c r="H62" s="101"/>
      <c r="I62" s="101"/>
      <c r="J62" s="107"/>
      <c r="K62" s="108"/>
      <c r="L62" s="109"/>
      <c r="M62" s="110"/>
      <c r="N62" s="101"/>
      <c r="O62" s="101"/>
      <c r="P62" s="101"/>
      <c r="Q62" s="110"/>
      <c r="R62" s="111"/>
    </row>
    <row r="63" ht="13.5" customHeight="1" spans="1:18">
      <c r="A63" s="101"/>
      <c r="B63" s="102" t="s">
        <v>650</v>
      </c>
      <c r="C63" s="103" t="s">
        <v>651</v>
      </c>
      <c r="D63" s="103"/>
      <c r="E63" s="104"/>
      <c r="F63" s="102"/>
      <c r="G63" s="101"/>
      <c r="H63" s="101"/>
      <c r="I63" s="101"/>
      <c r="J63" s="107"/>
      <c r="K63" s="108"/>
      <c r="L63" s="109"/>
      <c r="M63" s="110"/>
      <c r="N63" s="101"/>
      <c r="O63" s="101"/>
      <c r="P63" s="101"/>
      <c r="Q63" s="110"/>
      <c r="R63" s="111"/>
    </row>
    <row r="64" ht="13.5" customHeight="1" spans="1:18">
      <c r="A64" s="101"/>
      <c r="B64" s="102" t="s">
        <v>658</v>
      </c>
      <c r="C64" s="103" t="s">
        <v>659</v>
      </c>
      <c r="D64" s="103"/>
      <c r="E64" s="104"/>
      <c r="F64" s="102"/>
      <c r="G64" s="101"/>
      <c r="H64" s="101"/>
      <c r="I64" s="101"/>
      <c r="J64" s="107"/>
      <c r="K64" s="108"/>
      <c r="L64" s="109"/>
      <c r="M64" s="110"/>
      <c r="N64" s="101"/>
      <c r="O64" s="101"/>
      <c r="P64" s="101"/>
      <c r="Q64" s="110"/>
      <c r="R64" s="111"/>
    </row>
    <row r="65" ht="13.5" customHeight="1" spans="1:18">
      <c r="A65" s="101"/>
      <c r="B65" s="102" t="s">
        <v>663</v>
      </c>
      <c r="C65" s="103" t="s">
        <v>664</v>
      </c>
      <c r="D65" s="103"/>
      <c r="E65" s="104"/>
      <c r="F65" s="102"/>
      <c r="G65" s="101"/>
      <c r="H65" s="101"/>
      <c r="I65" s="101"/>
      <c r="J65" s="107"/>
      <c r="K65" s="108"/>
      <c r="L65" s="109"/>
      <c r="M65" s="110"/>
      <c r="N65" s="101"/>
      <c r="O65" s="101"/>
      <c r="P65" s="101"/>
      <c r="Q65" s="110"/>
      <c r="R65" s="111"/>
    </row>
    <row r="66" ht="13.5" customHeight="1" spans="1:18">
      <c r="A66" s="101"/>
      <c r="B66" s="102" t="s">
        <v>668</v>
      </c>
      <c r="C66" s="103" t="s">
        <v>669</v>
      </c>
      <c r="D66" s="103"/>
      <c r="E66" s="104"/>
      <c r="F66" s="102"/>
      <c r="G66" s="101"/>
      <c r="H66" s="101"/>
      <c r="I66" s="101"/>
      <c r="J66" s="107"/>
      <c r="K66" s="108"/>
      <c r="L66" s="109"/>
      <c r="M66" s="110"/>
      <c r="N66" s="101"/>
      <c r="O66" s="101"/>
      <c r="P66" s="101"/>
      <c r="Q66" s="110"/>
      <c r="R66" s="111"/>
    </row>
    <row r="67" ht="13.5" customHeight="1" spans="1:18">
      <c r="A67" s="101"/>
      <c r="B67" s="102" t="s">
        <v>673</v>
      </c>
      <c r="C67" s="103" t="s">
        <v>674</v>
      </c>
      <c r="D67" s="103"/>
      <c r="E67" s="104"/>
      <c r="F67" s="102"/>
      <c r="G67" s="101"/>
      <c r="H67" s="101"/>
      <c r="I67" s="101"/>
      <c r="J67" s="107"/>
      <c r="K67" s="108"/>
      <c r="L67" s="109"/>
      <c r="M67" s="110"/>
      <c r="N67" s="101"/>
      <c r="O67" s="101"/>
      <c r="P67" s="101"/>
      <c r="Q67" s="110"/>
      <c r="R67" s="111"/>
    </row>
    <row r="68" ht="13.5" customHeight="1" spans="1:18">
      <c r="A68" s="101"/>
      <c r="B68" s="102" t="s">
        <v>678</v>
      </c>
      <c r="C68" s="103" t="s">
        <v>679</v>
      </c>
      <c r="D68" s="103"/>
      <c r="E68" s="104"/>
      <c r="F68" s="102"/>
      <c r="G68" s="101"/>
      <c r="H68" s="101"/>
      <c r="I68" s="101"/>
      <c r="J68" s="107"/>
      <c r="K68" s="108"/>
      <c r="L68" s="109"/>
      <c r="M68" s="110"/>
      <c r="N68" s="101"/>
      <c r="O68" s="101"/>
      <c r="P68" s="101"/>
      <c r="Q68" s="110"/>
      <c r="R68" s="111"/>
    </row>
    <row r="69" ht="13.5" customHeight="1" spans="1:18">
      <c r="A69" s="101"/>
      <c r="B69" s="102"/>
      <c r="C69" s="103" t="s">
        <v>2849</v>
      </c>
      <c r="D69" s="103"/>
      <c r="E69" s="104"/>
      <c r="F69" s="102"/>
      <c r="G69" s="101"/>
      <c r="H69" s="101"/>
      <c r="I69" s="101"/>
      <c r="J69" s="107"/>
      <c r="K69" s="108"/>
      <c r="L69" s="109"/>
      <c r="M69" s="110"/>
      <c r="N69" s="101"/>
      <c r="O69" s="101"/>
      <c r="P69" s="101"/>
      <c r="Q69" s="110"/>
      <c r="R69" s="111"/>
    </row>
    <row r="70" ht="13.5" customHeight="1" spans="1:18">
      <c r="A70" s="101"/>
      <c r="B70" s="102"/>
      <c r="C70" s="103" t="s">
        <v>952</v>
      </c>
      <c r="D70" s="103"/>
      <c r="E70" s="104"/>
      <c r="F70" s="102"/>
      <c r="G70" s="101"/>
      <c r="H70" s="101"/>
      <c r="I70" s="101"/>
      <c r="J70" s="107"/>
      <c r="K70" s="108"/>
      <c r="L70" s="109"/>
      <c r="M70" s="110"/>
      <c r="N70" s="101"/>
      <c r="O70" s="101"/>
      <c r="P70" s="101"/>
      <c r="Q70" s="110"/>
      <c r="R70" s="111"/>
    </row>
    <row r="71" ht="13.5" customHeight="1" spans="1:18">
      <c r="A71" s="101"/>
      <c r="B71" s="102"/>
      <c r="C71" s="103" t="s">
        <v>1293</v>
      </c>
      <c r="D71" s="103"/>
      <c r="E71" s="104"/>
      <c r="F71" s="102"/>
      <c r="G71" s="101"/>
      <c r="H71" s="101"/>
      <c r="I71" s="101"/>
      <c r="J71" s="107"/>
      <c r="K71" s="108"/>
      <c r="L71" s="109"/>
      <c r="M71" s="110"/>
      <c r="N71" s="101"/>
      <c r="O71" s="101"/>
      <c r="P71" s="101"/>
      <c r="Q71" s="110"/>
      <c r="R71" s="111"/>
    </row>
    <row r="72" ht="13.5" customHeight="1" spans="1:18">
      <c r="A72" s="101"/>
      <c r="B72" s="102"/>
      <c r="C72" s="103" t="s">
        <v>8314</v>
      </c>
      <c r="D72" s="103"/>
      <c r="E72" s="104"/>
      <c r="F72" s="102"/>
      <c r="G72" s="101"/>
      <c r="H72" s="101"/>
      <c r="I72" s="101"/>
      <c r="J72" s="107"/>
      <c r="K72" s="108"/>
      <c r="L72" s="109"/>
      <c r="M72" s="110"/>
      <c r="N72" s="101"/>
      <c r="O72" s="101"/>
      <c r="P72" s="101"/>
      <c r="Q72" s="110"/>
      <c r="R72" s="111"/>
    </row>
    <row r="73" ht="13.5" customHeight="1" spans="1:18">
      <c r="A73" s="101"/>
      <c r="B73" s="102"/>
      <c r="C73" s="103" t="s">
        <v>8315</v>
      </c>
      <c r="D73" s="103"/>
      <c r="E73" s="104"/>
      <c r="F73" s="102"/>
      <c r="G73" s="101"/>
      <c r="H73" s="101"/>
      <c r="I73" s="101"/>
      <c r="J73" s="107"/>
      <c r="K73" s="108"/>
      <c r="L73" s="109"/>
      <c r="M73" s="110"/>
      <c r="N73" s="101"/>
      <c r="O73" s="101"/>
      <c r="P73" s="101"/>
      <c r="Q73" s="110"/>
      <c r="R73" s="111"/>
    </row>
    <row r="74" ht="13.5" customHeight="1" spans="1:18">
      <c r="A74" s="101"/>
      <c r="B74" s="102"/>
      <c r="C74" s="103" t="s">
        <v>8316</v>
      </c>
      <c r="D74" s="103"/>
      <c r="E74" s="104"/>
      <c r="F74" s="102"/>
      <c r="G74" s="101"/>
      <c r="H74" s="101"/>
      <c r="I74" s="101"/>
      <c r="J74" s="107"/>
      <c r="K74" s="108"/>
      <c r="L74" s="109"/>
      <c r="M74" s="110"/>
      <c r="N74" s="101"/>
      <c r="O74" s="101"/>
      <c r="P74" s="101"/>
      <c r="Q74" s="110"/>
      <c r="R74" s="111"/>
    </row>
    <row r="75" ht="13.5" customHeight="1" spans="1:18">
      <c r="A75" s="101"/>
      <c r="B75" s="102"/>
      <c r="C75" s="103"/>
      <c r="D75" s="103"/>
      <c r="E75" s="104"/>
      <c r="F75" s="102"/>
      <c r="G75" s="101"/>
      <c r="H75" s="101"/>
      <c r="I75" s="101"/>
      <c r="J75" s="107"/>
      <c r="K75" s="108"/>
      <c r="L75" s="109"/>
      <c r="M75" s="110"/>
      <c r="N75" s="101"/>
      <c r="O75" s="101"/>
      <c r="P75" s="101"/>
      <c r="Q75" s="110"/>
      <c r="R75" s="111"/>
    </row>
    <row r="76" ht="13.5" customHeight="1" spans="1:18">
      <c r="A76" s="101"/>
      <c r="B76" s="102"/>
      <c r="C76" s="103"/>
      <c r="D76" s="103"/>
      <c r="E76" s="104"/>
      <c r="F76" s="102"/>
      <c r="G76" s="101"/>
      <c r="H76" s="101"/>
      <c r="I76" s="101"/>
      <c r="J76" s="107"/>
      <c r="K76" s="108"/>
      <c r="L76" s="109"/>
      <c r="M76" s="110"/>
      <c r="N76" s="101"/>
      <c r="O76" s="101"/>
      <c r="P76" s="101"/>
      <c r="Q76" s="110"/>
      <c r="R76" s="111"/>
    </row>
    <row r="77" ht="13.5" customHeight="1" spans="1:18">
      <c r="A77" s="96" t="s">
        <v>8170</v>
      </c>
      <c r="B77" s="97" t="s">
        <v>129</v>
      </c>
      <c r="C77" s="96"/>
      <c r="D77" s="96"/>
      <c r="E77" s="97"/>
      <c r="F77" s="96"/>
      <c r="G77" s="97"/>
      <c r="H77" s="98"/>
      <c r="I77" s="98"/>
      <c r="J77" s="96"/>
      <c r="K77" s="99"/>
      <c r="L77" s="100"/>
      <c r="M77" s="97"/>
      <c r="N77" s="97"/>
      <c r="O77" s="97"/>
      <c r="P77" s="97"/>
      <c r="Q77" s="97"/>
      <c r="R77" s="97"/>
    </row>
    <row r="78" ht="13.5" customHeight="1" spans="1:18">
      <c r="A78" s="101">
        <v>1</v>
      </c>
      <c r="B78" s="102" t="s">
        <v>538</v>
      </c>
      <c r="C78" s="103" t="s">
        <v>3435</v>
      </c>
      <c r="D78" s="103" t="s">
        <v>8317</v>
      </c>
      <c r="E78" s="104" t="s">
        <v>3435</v>
      </c>
      <c r="F78" s="102" t="s">
        <v>131</v>
      </c>
      <c r="G78" s="101" t="s">
        <v>14</v>
      </c>
      <c r="H78" s="105">
        <v>45261</v>
      </c>
      <c r="I78" s="101" t="str">
        <f>IFERROR(VLOOKUP(B78,'02. MM-KLH'!$B:$K,9,FALSE),"")</f>
        <v> </v>
      </c>
      <c r="J78" s="107">
        <v>0.97</v>
      </c>
      <c r="K78" s="108"/>
      <c r="L78" s="109" t="s">
        <v>540</v>
      </c>
      <c r="M78" s="110" t="s">
        <v>500</v>
      </c>
      <c r="N78" s="101">
        <v>2022</v>
      </c>
      <c r="O78" s="101" t="s">
        <v>8318</v>
      </c>
      <c r="P78" s="101" t="s">
        <v>132</v>
      </c>
      <c r="Q78" s="110" t="s">
        <v>542</v>
      </c>
      <c r="R78" s="111" t="s">
        <v>543</v>
      </c>
    </row>
    <row r="79" ht="13.5" customHeight="1" spans="1:18">
      <c r="A79" s="96" t="s">
        <v>8319</v>
      </c>
      <c r="B79" s="97" t="s">
        <v>67</v>
      </c>
      <c r="C79" s="96"/>
      <c r="D79" s="96"/>
      <c r="E79" s="97"/>
      <c r="F79" s="96"/>
      <c r="G79" s="97"/>
      <c r="H79" s="98"/>
      <c r="I79" s="98"/>
      <c r="J79" s="96"/>
      <c r="K79" s="99"/>
      <c r="L79" s="100"/>
      <c r="M79" s="97"/>
      <c r="N79" s="97"/>
      <c r="O79" s="97"/>
      <c r="P79" s="97"/>
      <c r="Q79" s="97"/>
      <c r="R79" s="97"/>
    </row>
    <row r="80" ht="13.5" customHeight="1" spans="1:18">
      <c r="A80" s="101">
        <v>1</v>
      </c>
      <c r="B80" s="104" t="s">
        <v>544</v>
      </c>
      <c r="C80" s="103" t="s">
        <v>3330</v>
      </c>
      <c r="D80" s="103" t="s">
        <v>8320</v>
      </c>
      <c r="E80" s="104" t="s">
        <v>3330</v>
      </c>
      <c r="F80" s="104" t="s">
        <v>70</v>
      </c>
      <c r="G80" s="103" t="s">
        <v>14</v>
      </c>
      <c r="H80" s="112">
        <v>44166</v>
      </c>
      <c r="I80" s="101">
        <f>IFERROR(VLOOKUP(B80,'02. MM-KLH'!$B:$K,9,FALSE),"")</f>
        <v>44166</v>
      </c>
      <c r="J80" s="113">
        <v>0.67</v>
      </c>
      <c r="K80" s="114"/>
      <c r="L80" s="115" t="s">
        <v>480</v>
      </c>
      <c r="M80" s="111" t="s">
        <v>453</v>
      </c>
      <c r="N80" s="103">
        <v>1994</v>
      </c>
      <c r="O80" s="103" t="s">
        <v>545</v>
      </c>
      <c r="P80" s="103" t="s">
        <v>546</v>
      </c>
      <c r="Q80" s="111" t="s">
        <v>547</v>
      </c>
      <c r="R80" s="111" t="s">
        <v>548</v>
      </c>
    </row>
    <row r="81" ht="13.5" customHeight="1" spans="1:18">
      <c r="A81" s="101">
        <v>2</v>
      </c>
      <c r="B81" s="102" t="s">
        <v>549</v>
      </c>
      <c r="C81" s="103" t="s">
        <v>3334</v>
      </c>
      <c r="D81" s="103" t="s">
        <v>8321</v>
      </c>
      <c r="E81" s="104" t="s">
        <v>3334</v>
      </c>
      <c r="F81" s="102" t="s">
        <v>68</v>
      </c>
      <c r="G81" s="101" t="s">
        <v>14</v>
      </c>
      <c r="H81" s="105">
        <v>43837</v>
      </c>
      <c r="I81" s="101">
        <f>IFERROR(VLOOKUP(B81,'02. MM-KLH'!$B:$K,9,FALSE),"")</f>
        <v>43837</v>
      </c>
      <c r="J81" s="101"/>
      <c r="K81" s="108"/>
      <c r="L81" s="109" t="s">
        <v>480</v>
      </c>
      <c r="M81" s="110" t="s">
        <v>453</v>
      </c>
      <c r="N81" s="101">
        <v>2018</v>
      </c>
      <c r="O81" s="101" t="s">
        <v>550</v>
      </c>
      <c r="P81" s="101" t="s">
        <v>69</v>
      </c>
      <c r="Q81" s="110" t="s">
        <v>551</v>
      </c>
      <c r="R81" s="111" t="s">
        <v>462</v>
      </c>
    </row>
    <row r="82" ht="13.5" customHeight="1" spans="1:18">
      <c r="A82" s="96" t="s">
        <v>8322</v>
      </c>
      <c r="B82" s="97" t="s">
        <v>72</v>
      </c>
      <c r="C82" s="96"/>
      <c r="D82" s="96"/>
      <c r="E82" s="97"/>
      <c r="F82" s="96"/>
      <c r="G82" s="97"/>
      <c r="H82" s="98"/>
      <c r="I82" s="98"/>
      <c r="J82" s="96"/>
      <c r="K82" s="99"/>
      <c r="L82" s="100"/>
      <c r="M82" s="97"/>
      <c r="N82" s="97"/>
      <c r="O82" s="97"/>
      <c r="P82" s="97"/>
      <c r="Q82" s="97"/>
      <c r="R82" s="97"/>
    </row>
    <row r="83" ht="13.5" customHeight="1" spans="1:18">
      <c r="A83" s="101">
        <v>1</v>
      </c>
      <c r="B83" s="102" t="s">
        <v>529</v>
      </c>
      <c r="C83" s="103" t="s">
        <v>3320</v>
      </c>
      <c r="D83" s="103"/>
      <c r="E83" s="104" t="s">
        <v>3320</v>
      </c>
      <c r="F83" s="102" t="s">
        <v>8323</v>
      </c>
      <c r="G83" s="101" t="s">
        <v>14</v>
      </c>
      <c r="H83" s="105">
        <v>43835</v>
      </c>
      <c r="I83" s="101">
        <f>IFERROR(VLOOKUP(B83,'02. MM-KLH'!$B:$K,9,FALSE),"")</f>
        <v>43835</v>
      </c>
      <c r="J83" s="107">
        <v>0.67</v>
      </c>
      <c r="K83" s="108"/>
      <c r="L83" s="109" t="s">
        <v>530</v>
      </c>
      <c r="M83" s="110" t="s">
        <v>453</v>
      </c>
      <c r="N83" s="101">
        <v>2006</v>
      </c>
      <c r="O83" s="101" t="s">
        <v>531</v>
      </c>
      <c r="P83" s="101" t="s">
        <v>77</v>
      </c>
      <c r="Q83" s="110" t="s">
        <v>532</v>
      </c>
      <c r="R83" s="111" t="s">
        <v>462</v>
      </c>
    </row>
    <row r="84" ht="13.5" customHeight="1" spans="1:18">
      <c r="A84" s="101">
        <v>2</v>
      </c>
      <c r="B84" s="102" t="s">
        <v>533</v>
      </c>
      <c r="C84" s="103" t="s">
        <v>3325</v>
      </c>
      <c r="D84" s="103"/>
      <c r="E84" s="104" t="s">
        <v>3325</v>
      </c>
      <c r="F84" s="102" t="s">
        <v>8324</v>
      </c>
      <c r="G84" s="101" t="s">
        <v>14</v>
      </c>
      <c r="H84" s="105"/>
      <c r="I84" s="101">
        <f>IFERROR(VLOOKUP(B84,'02. MM-KLH'!$B:$K,9,FALSE),"")</f>
        <v>44136</v>
      </c>
      <c r="J84" s="107">
        <v>0.66</v>
      </c>
      <c r="K84" s="108"/>
      <c r="L84" s="109" t="s">
        <v>530</v>
      </c>
      <c r="M84" s="110" t="s">
        <v>453</v>
      </c>
      <c r="N84" s="101">
        <v>1990</v>
      </c>
      <c r="O84" s="101" t="s">
        <v>534</v>
      </c>
      <c r="P84" s="101" t="s">
        <v>535</v>
      </c>
      <c r="Q84" s="110" t="s">
        <v>536</v>
      </c>
      <c r="R84" s="111" t="s">
        <v>537</v>
      </c>
    </row>
    <row r="85" ht="13.5" customHeight="1" spans="1:18">
      <c r="A85" s="101">
        <v>3</v>
      </c>
      <c r="B85" s="102" t="s">
        <v>587</v>
      </c>
      <c r="C85" s="103" t="s">
        <v>6546</v>
      </c>
      <c r="D85" s="103"/>
      <c r="E85" s="104"/>
      <c r="F85" s="102" t="s">
        <v>73</v>
      </c>
      <c r="G85" s="101" t="s">
        <v>8325</v>
      </c>
      <c r="H85" s="105">
        <v>45330</v>
      </c>
      <c r="I85" s="101">
        <f>IFERROR(VLOOKUP(B85,'02. MM-KLH'!$B:$K,9,FALSE),"")</f>
        <v>45330</v>
      </c>
      <c r="J85" s="107"/>
      <c r="K85" s="108" t="s">
        <v>8326</v>
      </c>
      <c r="L85" s="109"/>
      <c r="M85" s="110"/>
      <c r="N85" s="101"/>
      <c r="O85" s="101"/>
      <c r="P85" s="101"/>
      <c r="Q85" s="110"/>
      <c r="R85" s="111"/>
    </row>
    <row r="86" ht="13.5" customHeight="1" spans="1:18">
      <c r="A86" s="96" t="s">
        <v>8327</v>
      </c>
      <c r="B86" s="97" t="s">
        <v>236</v>
      </c>
      <c r="C86" s="96"/>
      <c r="D86" s="96"/>
      <c r="E86" s="97"/>
      <c r="F86" s="96"/>
      <c r="G86" s="97"/>
      <c r="H86" s="98"/>
      <c r="I86" s="98"/>
      <c r="J86" s="96"/>
      <c r="K86" s="99"/>
      <c r="L86" s="100"/>
      <c r="M86" s="97"/>
      <c r="N86" s="97"/>
      <c r="O86" s="97"/>
      <c r="P86" s="97"/>
      <c r="Q86" s="97"/>
      <c r="R86" s="97"/>
    </row>
    <row r="87" ht="13.5" customHeight="1" spans="1:18">
      <c r="A87" s="101">
        <v>1</v>
      </c>
      <c r="B87" s="102" t="s">
        <v>1138</v>
      </c>
      <c r="C87" s="103" t="s">
        <v>3426</v>
      </c>
      <c r="D87" s="103" t="s">
        <v>2627</v>
      </c>
      <c r="E87" s="104" t="s">
        <v>3426</v>
      </c>
      <c r="F87" s="102" t="s">
        <v>241</v>
      </c>
      <c r="G87" s="101" t="s">
        <v>1121</v>
      </c>
      <c r="H87" s="105"/>
      <c r="I87" s="101">
        <f>IFERROR(VLOOKUP(B87,'02. MM-KLH'!$B:$K,9,FALSE),"")</f>
        <v>0</v>
      </c>
      <c r="J87" s="101"/>
      <c r="K87" s="108"/>
      <c r="L87" s="109" t="s">
        <v>1139</v>
      </c>
      <c r="M87" s="110" t="s">
        <v>1140</v>
      </c>
      <c r="N87" s="101">
        <v>2019</v>
      </c>
      <c r="O87" s="101" t="s">
        <v>1141</v>
      </c>
      <c r="P87" s="101" t="s">
        <v>1142</v>
      </c>
      <c r="Q87" s="110">
        <v>1501190100</v>
      </c>
      <c r="R87" s="111" t="s">
        <v>1143</v>
      </c>
    </row>
    <row r="88" ht="13.5" customHeight="1" spans="1:18">
      <c r="A88" s="101">
        <v>2</v>
      </c>
      <c r="B88" s="102" t="s">
        <v>1378</v>
      </c>
      <c r="C88" s="103" t="s">
        <v>3426</v>
      </c>
      <c r="D88" s="103" t="s">
        <v>2627</v>
      </c>
      <c r="E88" s="104" t="s">
        <v>3426</v>
      </c>
      <c r="F88" s="102" t="s">
        <v>8328</v>
      </c>
      <c r="G88" s="101" t="s">
        <v>1348</v>
      </c>
      <c r="H88" s="105"/>
      <c r="I88" s="101">
        <f>IFERROR(VLOOKUP(B88,'02. MM-KLH'!$B:$K,9,FALSE),"")</f>
        <v>0</v>
      </c>
      <c r="J88" s="107"/>
      <c r="K88" s="108" t="s">
        <v>1379</v>
      </c>
      <c r="L88" s="109" t="s">
        <v>1380</v>
      </c>
      <c r="M88" s="110" t="s">
        <v>590</v>
      </c>
      <c r="N88" s="101">
        <v>2022</v>
      </c>
      <c r="O88" s="101" t="s">
        <v>1381</v>
      </c>
      <c r="P88" s="101" t="s">
        <v>1382</v>
      </c>
      <c r="Q88" s="110" t="s">
        <v>1383</v>
      </c>
      <c r="R88" s="111" t="s">
        <v>1384</v>
      </c>
    </row>
    <row r="89" ht="13.5" customHeight="1" spans="1:18">
      <c r="A89" s="101">
        <v>3</v>
      </c>
      <c r="B89" s="102" t="s">
        <v>1385</v>
      </c>
      <c r="C89" s="103" t="s">
        <v>3426</v>
      </c>
      <c r="D89" s="103" t="s">
        <v>8329</v>
      </c>
      <c r="E89" s="104" t="s">
        <v>3426</v>
      </c>
      <c r="F89" s="102" t="s">
        <v>8330</v>
      </c>
      <c r="G89" s="101" t="s">
        <v>1348</v>
      </c>
      <c r="H89" s="105"/>
      <c r="I89" s="101">
        <f>IFERROR(VLOOKUP(B89,'02. MM-KLH'!$B:$K,9,FALSE),"")</f>
        <v>0</v>
      </c>
      <c r="J89" s="107"/>
      <c r="K89" s="108"/>
      <c r="L89" s="109" t="s">
        <v>480</v>
      </c>
      <c r="M89" s="110" t="s">
        <v>555</v>
      </c>
      <c r="N89" s="101">
        <v>2008</v>
      </c>
      <c r="O89" s="101" t="s">
        <v>1386</v>
      </c>
      <c r="P89" s="101"/>
      <c r="Q89" s="110">
        <v>809168</v>
      </c>
      <c r="R89" s="145">
        <v>39630</v>
      </c>
    </row>
    <row r="90" ht="13.5" customHeight="1" spans="1:18">
      <c r="A90" s="96" t="s">
        <v>8331</v>
      </c>
      <c r="B90" s="97" t="s">
        <v>221</v>
      </c>
      <c r="C90" s="96"/>
      <c r="D90" s="96"/>
      <c r="E90" s="97"/>
      <c r="F90" s="96"/>
      <c r="G90" s="97"/>
      <c r="H90" s="98"/>
      <c r="I90" s="98"/>
      <c r="J90" s="96"/>
      <c r="K90" s="99"/>
      <c r="L90" s="100"/>
      <c r="M90" s="97"/>
      <c r="N90" s="97"/>
      <c r="O90" s="97"/>
      <c r="P90" s="97"/>
      <c r="Q90" s="97"/>
      <c r="R90" s="97"/>
    </row>
    <row r="91" ht="13.5" customHeight="1" spans="1:18">
      <c r="A91" s="101">
        <v>1</v>
      </c>
      <c r="B91" s="102" t="s">
        <v>1156</v>
      </c>
      <c r="C91" s="103" t="s">
        <v>6589</v>
      </c>
      <c r="D91" s="103" t="s">
        <v>6589</v>
      </c>
      <c r="E91" s="104"/>
      <c r="F91" s="102" t="s">
        <v>8332</v>
      </c>
      <c r="G91" s="101" t="s">
        <v>1121</v>
      </c>
      <c r="H91" s="105">
        <v>45446</v>
      </c>
      <c r="I91" s="101">
        <f>IFERROR(VLOOKUP(B91,'02. MM-KLH'!$B:$K,9,FALSE),"")</f>
        <v>45446</v>
      </c>
      <c r="J91" s="101"/>
      <c r="K91" s="108" t="s">
        <v>1159</v>
      </c>
      <c r="L91" s="109" t="s">
        <v>1160</v>
      </c>
      <c r="M91" s="110" t="s">
        <v>1140</v>
      </c>
      <c r="N91" s="101">
        <v>2010</v>
      </c>
      <c r="O91" s="101"/>
      <c r="P91" s="101"/>
      <c r="Q91" s="110" t="s">
        <v>1161</v>
      </c>
      <c r="R91" s="111" t="s">
        <v>462</v>
      </c>
    </row>
    <row r="92" ht="13.5" customHeight="1" spans="1:18">
      <c r="A92" s="101">
        <v>2</v>
      </c>
      <c r="B92" s="102" t="s">
        <v>1265</v>
      </c>
      <c r="C92" s="103" t="s">
        <v>6602</v>
      </c>
      <c r="D92" s="103" t="s">
        <v>6589</v>
      </c>
      <c r="E92" s="104"/>
      <c r="F92" s="102" t="s">
        <v>8333</v>
      </c>
      <c r="G92" s="101" t="s">
        <v>1250</v>
      </c>
      <c r="H92" s="105"/>
      <c r="I92" s="101">
        <f>IFERROR(VLOOKUP(B92,'02. MM-KLH'!$B:$K,9,FALSE),"")</f>
        <v>0</v>
      </c>
      <c r="J92" s="101"/>
      <c r="K92" s="108"/>
      <c r="L92" s="109" t="s">
        <v>1267</v>
      </c>
      <c r="M92" s="110" t="s">
        <v>465</v>
      </c>
      <c r="N92" s="101">
        <v>1992</v>
      </c>
      <c r="O92" s="101" t="s">
        <v>1268</v>
      </c>
      <c r="P92" s="101"/>
      <c r="Q92" s="110" t="s">
        <v>1269</v>
      </c>
      <c r="R92" s="111" t="s">
        <v>1270</v>
      </c>
    </row>
    <row r="93" ht="13.5" customHeight="1" spans="1:18">
      <c r="A93" s="101">
        <v>3</v>
      </c>
      <c r="B93" s="102" t="s">
        <v>1369</v>
      </c>
      <c r="C93" s="103" t="s">
        <v>6614</v>
      </c>
      <c r="D93" s="103" t="s">
        <v>6602</v>
      </c>
      <c r="E93" s="104"/>
      <c r="F93" s="102" t="s">
        <v>8334</v>
      </c>
      <c r="G93" s="101" t="s">
        <v>1348</v>
      </c>
      <c r="H93" s="105"/>
      <c r="I93" s="101">
        <f>IFERROR(VLOOKUP(B93,'02. MM-KLH'!$B:$K,9,FALSE),"")</f>
        <v>0</v>
      </c>
      <c r="J93" s="101"/>
      <c r="K93" s="108"/>
      <c r="L93" s="109" t="s">
        <v>621</v>
      </c>
      <c r="M93" s="110" t="s">
        <v>500</v>
      </c>
      <c r="N93" s="101">
        <v>2018</v>
      </c>
      <c r="O93" s="101" t="s">
        <v>1371</v>
      </c>
      <c r="P93" s="101" t="s">
        <v>54</v>
      </c>
      <c r="Q93" s="110" t="s">
        <v>1372</v>
      </c>
      <c r="R93" s="111" t="s">
        <v>1373</v>
      </c>
    </row>
    <row r="94" ht="13.5" customHeight="1" spans="1:18">
      <c r="A94" s="96" t="s">
        <v>8335</v>
      </c>
      <c r="B94" s="97" t="s">
        <v>8336</v>
      </c>
      <c r="C94" s="96"/>
      <c r="D94" s="96"/>
      <c r="E94" s="97"/>
      <c r="F94" s="96"/>
      <c r="G94" s="97"/>
      <c r="H94" s="98"/>
      <c r="I94" s="98"/>
      <c r="J94" s="96"/>
      <c r="K94" s="99"/>
      <c r="L94" s="100"/>
      <c r="M94" s="97"/>
      <c r="N94" s="97"/>
      <c r="O94" s="97"/>
      <c r="P94" s="97"/>
      <c r="Q94" s="97"/>
      <c r="R94" s="97"/>
    </row>
    <row r="95" ht="13.5" customHeight="1" spans="1:18">
      <c r="A95" s="101">
        <v>1</v>
      </c>
      <c r="B95" s="102" t="s">
        <v>1150</v>
      </c>
      <c r="C95" s="103" t="s">
        <v>3456</v>
      </c>
      <c r="D95" s="103" t="s">
        <v>2947</v>
      </c>
      <c r="E95" s="104" t="s">
        <v>3456</v>
      </c>
      <c r="F95" s="102" t="s">
        <v>251</v>
      </c>
      <c r="G95" s="101" t="s">
        <v>1121</v>
      </c>
      <c r="H95" s="105">
        <v>45566</v>
      </c>
      <c r="I95" s="101">
        <f>IFERROR(VLOOKUP(B95,'02. MM-KLH'!$B:$K,9,FALSE),"")</f>
        <v>45566</v>
      </c>
      <c r="J95" s="107">
        <v>0.98</v>
      </c>
      <c r="K95" s="108"/>
      <c r="L95" s="109" t="s">
        <v>1152</v>
      </c>
      <c r="M95" s="110" t="s">
        <v>500</v>
      </c>
      <c r="N95" s="101">
        <v>2021</v>
      </c>
      <c r="O95" s="101" t="s">
        <v>1153</v>
      </c>
      <c r="P95" s="101" t="s">
        <v>44</v>
      </c>
      <c r="Q95" s="110" t="s">
        <v>1154</v>
      </c>
      <c r="R95" s="111" t="s">
        <v>1155</v>
      </c>
    </row>
    <row r="96" ht="14.25" customHeight="1" spans="1:18">
      <c r="A96" s="101">
        <v>2</v>
      </c>
      <c r="B96" s="102" t="s">
        <v>1273</v>
      </c>
      <c r="C96" s="103" t="s">
        <v>3458</v>
      </c>
      <c r="D96" s="103" t="s">
        <v>2947</v>
      </c>
      <c r="E96" s="104" t="s">
        <v>3458</v>
      </c>
      <c r="F96" s="102" t="s">
        <v>251</v>
      </c>
      <c r="G96" s="101" t="s">
        <v>1250</v>
      </c>
      <c r="H96" s="105">
        <v>45566</v>
      </c>
      <c r="I96" s="101">
        <f>IFERROR(VLOOKUP(B96,'02. MM-KLH'!$B:$K,9,FALSE),"")</f>
        <v>45566</v>
      </c>
      <c r="J96" s="107">
        <v>0.98</v>
      </c>
      <c r="K96" s="108"/>
      <c r="L96" s="109" t="s">
        <v>1152</v>
      </c>
      <c r="M96" s="110" t="s">
        <v>500</v>
      </c>
      <c r="N96" s="101">
        <v>2021</v>
      </c>
      <c r="O96" s="101" t="s">
        <v>1153</v>
      </c>
      <c r="P96" s="101" t="s">
        <v>44</v>
      </c>
      <c r="Q96" s="110" t="s">
        <v>1276</v>
      </c>
      <c r="R96" s="111" t="s">
        <v>1277</v>
      </c>
    </row>
    <row r="97" ht="13.5" customHeight="1" spans="1:18">
      <c r="A97" s="101">
        <v>3</v>
      </c>
      <c r="B97" s="102" t="s">
        <v>1374</v>
      </c>
      <c r="C97" s="103" t="s">
        <v>3459</v>
      </c>
      <c r="D97" s="103" t="s">
        <v>2947</v>
      </c>
      <c r="E97" s="104" t="s">
        <v>3459</v>
      </c>
      <c r="F97" s="102" t="s">
        <v>251</v>
      </c>
      <c r="G97" s="101" t="s">
        <v>1348</v>
      </c>
      <c r="H97" s="105">
        <v>45566</v>
      </c>
      <c r="I97" s="101">
        <f>IFERROR(VLOOKUP(B97,'02. MM-KLH'!$B:$K,9,FALSE),"")</f>
        <v>45566</v>
      </c>
      <c r="J97" s="107">
        <v>0.98</v>
      </c>
      <c r="K97" s="108"/>
      <c r="L97" s="109" t="s">
        <v>1152</v>
      </c>
      <c r="M97" s="110" t="s">
        <v>500</v>
      </c>
      <c r="N97" s="101">
        <v>2021</v>
      </c>
      <c r="O97" s="101" t="s">
        <v>1153</v>
      </c>
      <c r="P97" s="101" t="s">
        <v>44</v>
      </c>
      <c r="Q97" s="110" t="s">
        <v>1376</v>
      </c>
      <c r="R97" s="111" t="s">
        <v>1377</v>
      </c>
    </row>
    <row r="98" ht="13.5" customHeight="1" spans="1:18">
      <c r="A98" s="101">
        <v>4</v>
      </c>
      <c r="B98" s="102" t="s">
        <v>1027</v>
      </c>
      <c r="C98" s="146" t="s">
        <v>1028</v>
      </c>
      <c r="D98" s="146"/>
      <c r="E98" s="146" t="s">
        <v>1028</v>
      </c>
      <c r="F98" s="147" t="s">
        <v>8337</v>
      </c>
      <c r="G98" s="101" t="s">
        <v>2898</v>
      </c>
      <c r="H98" s="148"/>
      <c r="I98" s="101">
        <f>IFERROR(VLOOKUP(B98,'02. MM-KLH'!$B:$K,9,FALSE),"")</f>
        <v>0</v>
      </c>
      <c r="J98" s="149"/>
      <c r="K98" s="150"/>
      <c r="L98" s="151" t="s">
        <v>1031</v>
      </c>
      <c r="M98" s="110"/>
      <c r="N98" s="146"/>
      <c r="O98" s="152"/>
      <c r="P98" s="153"/>
      <c r="Q98" s="154" t="s">
        <v>1032</v>
      </c>
      <c r="R98" s="155" t="s">
        <v>1033</v>
      </c>
    </row>
    <row r="99" ht="13.5" customHeight="1" spans="1:18">
      <c r="A99" s="96" t="s">
        <v>8338</v>
      </c>
      <c r="B99" s="97" t="s">
        <v>8339</v>
      </c>
      <c r="C99" s="96"/>
      <c r="D99" s="96"/>
      <c r="E99" s="97"/>
      <c r="F99" s="96"/>
      <c r="G99" s="97"/>
      <c r="H99" s="98"/>
      <c r="I99" s="98"/>
      <c r="J99" s="96"/>
      <c r="K99" s="99"/>
      <c r="L99" s="100"/>
      <c r="M99" s="97"/>
      <c r="N99" s="97"/>
      <c r="O99" s="97"/>
      <c r="P99" s="97"/>
      <c r="Q99" s="97"/>
      <c r="R99" s="97"/>
    </row>
    <row r="100" ht="13.5" customHeight="1" spans="1:18">
      <c r="A100" s="101">
        <v>1</v>
      </c>
      <c r="B100" s="102" t="s">
        <v>8340</v>
      </c>
      <c r="C100" s="103" t="s">
        <v>8341</v>
      </c>
      <c r="D100" s="103" t="s">
        <v>1261</v>
      </c>
      <c r="E100" s="104" t="s">
        <v>3089</v>
      </c>
      <c r="F100" s="102" t="s">
        <v>3546</v>
      </c>
      <c r="G100" s="101" t="s">
        <v>15</v>
      </c>
      <c r="H100" s="105"/>
      <c r="I100" s="101" t="str">
        <f>IFERROR(VLOOKUP(B100,'02. MM-KLH'!$B:$K,9,FALSE),"")</f>
        <v/>
      </c>
      <c r="J100" s="101"/>
      <c r="K100" s="108"/>
      <c r="L100" s="109" t="s">
        <v>759</v>
      </c>
      <c r="M100" s="110" t="s">
        <v>453</v>
      </c>
      <c r="N100" s="101">
        <v>2013</v>
      </c>
      <c r="O100" s="101" t="s">
        <v>1064</v>
      </c>
      <c r="P100" s="101" t="s">
        <v>208</v>
      </c>
      <c r="Q100" s="110">
        <v>57652</v>
      </c>
      <c r="R100" s="111" t="s">
        <v>462</v>
      </c>
    </row>
    <row r="101" ht="13.5" customHeight="1" spans="1:18">
      <c r="A101" s="101">
        <v>2</v>
      </c>
      <c r="B101" s="102" t="s">
        <v>1260</v>
      </c>
      <c r="C101" s="103" t="s">
        <v>1261</v>
      </c>
      <c r="D101" s="103" t="s">
        <v>3554</v>
      </c>
      <c r="E101" s="104" t="s">
        <v>3089</v>
      </c>
      <c r="F101" s="102" t="s">
        <v>3546</v>
      </c>
      <c r="G101" s="101" t="s">
        <v>15</v>
      </c>
      <c r="H101" s="105"/>
      <c r="I101" s="101" t="str">
        <f>IFERROR(VLOOKUP(B101,'02. MM-KLH'!$B:$K,9,FALSE),"")</f>
        <v/>
      </c>
      <c r="J101" s="101"/>
      <c r="K101" s="108"/>
      <c r="L101" s="109" t="s">
        <v>759</v>
      </c>
      <c r="M101" s="110" t="s">
        <v>453</v>
      </c>
      <c r="N101" s="101">
        <v>2013</v>
      </c>
      <c r="O101" s="101" t="s">
        <v>1064</v>
      </c>
      <c r="P101" s="101" t="s">
        <v>208</v>
      </c>
      <c r="Q101" s="110">
        <v>57273</v>
      </c>
      <c r="R101" s="111" t="s">
        <v>462</v>
      </c>
    </row>
    <row r="102" ht="13.5" customHeight="1" spans="1:18">
      <c r="A102" s="101">
        <v>3</v>
      </c>
      <c r="B102" s="102" t="s">
        <v>3087</v>
      </c>
      <c r="C102" s="103" t="s">
        <v>3554</v>
      </c>
      <c r="D102" s="103" t="s">
        <v>8342</v>
      </c>
      <c r="E102" s="104" t="s">
        <v>3089</v>
      </c>
      <c r="F102" s="102" t="s">
        <v>3546</v>
      </c>
      <c r="G102" s="101" t="s">
        <v>15</v>
      </c>
      <c r="H102" s="105">
        <v>45352</v>
      </c>
      <c r="I102" s="101">
        <f>IFERROR(VLOOKUP(B102,'02. MM-KLH'!$B:$K,9,FALSE),"")</f>
        <v>45352</v>
      </c>
      <c r="J102" s="101"/>
      <c r="K102" s="108" t="s">
        <v>8343</v>
      </c>
      <c r="L102" s="109" t="s">
        <v>759</v>
      </c>
      <c r="M102" s="110" t="s">
        <v>453</v>
      </c>
      <c r="N102" s="101">
        <v>2013</v>
      </c>
      <c r="O102" s="101" t="s">
        <v>1064</v>
      </c>
      <c r="P102" s="101" t="s">
        <v>208</v>
      </c>
      <c r="Q102" s="110">
        <v>57271</v>
      </c>
      <c r="R102" s="111" t="s">
        <v>462</v>
      </c>
    </row>
    <row r="103" ht="13.5" customHeight="1" spans="1:18">
      <c r="A103" s="101">
        <v>4</v>
      </c>
      <c r="B103" s="102" t="s">
        <v>3213</v>
      </c>
      <c r="C103" s="103" t="s">
        <v>8344</v>
      </c>
      <c r="D103" s="103" t="s">
        <v>8344</v>
      </c>
      <c r="E103" s="104" t="s">
        <v>3089</v>
      </c>
      <c r="F103" s="102" t="s">
        <v>3550</v>
      </c>
      <c r="G103" s="101" t="s">
        <v>15</v>
      </c>
      <c r="H103" s="105"/>
      <c r="I103" s="101">
        <f>IFERROR(VLOOKUP(B103,'02. MM-KLH'!$B:$K,9,FALSE),"")</f>
        <v>0</v>
      </c>
      <c r="J103" s="101"/>
      <c r="K103" s="108"/>
      <c r="L103" s="109" t="s">
        <v>759</v>
      </c>
      <c r="M103" s="110" t="s">
        <v>453</v>
      </c>
      <c r="N103" s="101">
        <v>2011</v>
      </c>
      <c r="O103" s="101">
        <v>9540</v>
      </c>
      <c r="P103" s="101" t="s">
        <v>120</v>
      </c>
      <c r="Q103" s="110">
        <v>77433</v>
      </c>
      <c r="R103" s="111" t="s">
        <v>462</v>
      </c>
    </row>
    <row r="104" ht="13.5" customHeight="1" spans="1:18">
      <c r="A104" s="101">
        <v>5</v>
      </c>
      <c r="B104" s="102" t="s">
        <v>973</v>
      </c>
      <c r="C104" s="103" t="s">
        <v>6575</v>
      </c>
      <c r="D104" s="103" t="s">
        <v>6575</v>
      </c>
      <c r="E104" s="104" t="s">
        <v>1909</v>
      </c>
      <c r="F104" s="102" t="s">
        <v>8345</v>
      </c>
      <c r="G104" s="101" t="s">
        <v>15</v>
      </c>
      <c r="H104" s="105"/>
      <c r="I104" s="101">
        <f>IFERROR(VLOOKUP(B104,'02. MM-KLH'!$B:$K,9,FALSE),"")</f>
        <v>0</v>
      </c>
      <c r="J104" s="101"/>
      <c r="K104" s="108"/>
      <c r="L104" s="109" t="s">
        <v>976</v>
      </c>
      <c r="M104" s="110" t="s">
        <v>977</v>
      </c>
      <c r="N104" s="101">
        <v>2018</v>
      </c>
      <c r="O104" s="101">
        <v>6603</v>
      </c>
      <c r="P104" s="101" t="s">
        <v>102</v>
      </c>
      <c r="Q104" s="110">
        <v>33028</v>
      </c>
      <c r="R104" s="111" t="s">
        <v>462</v>
      </c>
    </row>
    <row r="105" ht="13.5" customHeight="1" spans="1:18">
      <c r="A105" s="101">
        <v>6</v>
      </c>
      <c r="B105" s="102" t="s">
        <v>978</v>
      </c>
      <c r="C105" s="103" t="s">
        <v>6577</v>
      </c>
      <c r="D105" s="103" t="s">
        <v>6577</v>
      </c>
      <c r="E105" s="104" t="s">
        <v>1909</v>
      </c>
      <c r="F105" s="102" t="s">
        <v>8345</v>
      </c>
      <c r="G105" s="101" t="s">
        <v>15</v>
      </c>
      <c r="H105" s="105"/>
      <c r="I105" s="101">
        <f>IFERROR(VLOOKUP(B105,'02. MM-KLH'!$B:$K,9,FALSE),"")</f>
        <v>43862</v>
      </c>
      <c r="J105" s="101"/>
      <c r="K105" s="108"/>
      <c r="L105" s="109" t="s">
        <v>976</v>
      </c>
      <c r="M105" s="110" t="s">
        <v>977</v>
      </c>
      <c r="N105" s="101">
        <v>2018</v>
      </c>
      <c r="O105" s="101">
        <v>6603</v>
      </c>
      <c r="P105" s="101" t="s">
        <v>102</v>
      </c>
      <c r="Q105" s="110">
        <v>33178</v>
      </c>
      <c r="R105" s="111" t="s">
        <v>462</v>
      </c>
    </row>
    <row r="106" ht="13.5" customHeight="1" spans="1:18">
      <c r="A106" s="101">
        <v>7</v>
      </c>
      <c r="B106" s="102" t="s">
        <v>980</v>
      </c>
      <c r="C106" s="103" t="s">
        <v>6578</v>
      </c>
      <c r="D106" s="103" t="s">
        <v>6600</v>
      </c>
      <c r="E106" s="104" t="s">
        <v>3342</v>
      </c>
      <c r="F106" s="102" t="s">
        <v>8346</v>
      </c>
      <c r="G106" s="101" t="s">
        <v>15</v>
      </c>
      <c r="H106" s="101" t="s">
        <v>982</v>
      </c>
      <c r="I106" s="101" t="str">
        <f>IFERROR(VLOOKUP(B106,'02. MM-KLH'!$B:$K,9,FALSE),"")</f>
        <v>15/03/2024</v>
      </c>
      <c r="J106" s="101"/>
      <c r="K106" s="108"/>
      <c r="L106" s="109" t="s">
        <v>8347</v>
      </c>
      <c r="M106" s="110" t="s">
        <v>977</v>
      </c>
      <c r="N106" s="101">
        <v>2022</v>
      </c>
      <c r="O106" s="101" t="s">
        <v>983</v>
      </c>
      <c r="P106" s="101" t="s">
        <v>102</v>
      </c>
      <c r="Q106" s="110" t="s">
        <v>984</v>
      </c>
      <c r="R106" s="111" t="s">
        <v>985</v>
      </c>
    </row>
    <row r="107" ht="13.5" customHeight="1" spans="1:18">
      <c r="A107" s="101">
        <v>8</v>
      </c>
      <c r="B107" s="102" t="s">
        <v>986</v>
      </c>
      <c r="C107" s="103" t="s">
        <v>6579</v>
      </c>
      <c r="D107" s="103" t="s">
        <v>6601</v>
      </c>
      <c r="E107" s="104" t="s">
        <v>3345</v>
      </c>
      <c r="F107" s="102" t="s">
        <v>8348</v>
      </c>
      <c r="G107" s="101" t="s">
        <v>15</v>
      </c>
      <c r="H107" s="101" t="s">
        <v>982</v>
      </c>
      <c r="I107" s="101" t="str">
        <f>IFERROR(VLOOKUP(B107,'02. MM-KLH'!$B:$K,9,FALSE),"")</f>
        <v>15/03/2024</v>
      </c>
      <c r="J107" s="101"/>
      <c r="K107" s="108"/>
      <c r="L107" s="109" t="s">
        <v>8347</v>
      </c>
      <c r="M107" s="110" t="s">
        <v>977</v>
      </c>
      <c r="N107" s="101">
        <v>2022</v>
      </c>
      <c r="O107" s="101" t="s">
        <v>987</v>
      </c>
      <c r="P107" s="101" t="s">
        <v>177</v>
      </c>
      <c r="Q107" s="110" t="s">
        <v>988</v>
      </c>
      <c r="R107" s="111" t="s">
        <v>989</v>
      </c>
    </row>
    <row r="108" ht="13.5" customHeight="1" spans="1:18">
      <c r="A108" s="101">
        <v>9</v>
      </c>
      <c r="B108" s="102" t="s">
        <v>1988</v>
      </c>
      <c r="C108" s="103" t="s">
        <v>6581</v>
      </c>
      <c r="D108" s="103" t="s">
        <v>6608</v>
      </c>
      <c r="E108" s="104"/>
      <c r="F108" s="104" t="s">
        <v>8349</v>
      </c>
      <c r="G108" s="101" t="s">
        <v>15</v>
      </c>
      <c r="H108" s="112">
        <v>45540</v>
      </c>
      <c r="I108" s="101" t="str">
        <f>IFERROR(VLOOKUP(B108,'02. MM-KLH'!$B:$K,9,FALSE),"")</f>
        <v/>
      </c>
      <c r="J108" s="103"/>
      <c r="K108" s="114"/>
      <c r="L108" s="115" t="s">
        <v>1023</v>
      </c>
      <c r="M108" s="110" t="s">
        <v>977</v>
      </c>
      <c r="N108" s="103">
        <v>2022</v>
      </c>
      <c r="O108" s="103" t="s">
        <v>1057</v>
      </c>
      <c r="P108" s="103" t="s">
        <v>64</v>
      </c>
      <c r="Q108" s="111" t="s">
        <v>1990</v>
      </c>
      <c r="R108" s="111" t="s">
        <v>1991</v>
      </c>
    </row>
    <row r="109" ht="13.5" customHeight="1" spans="1:18">
      <c r="A109" s="101">
        <v>10</v>
      </c>
      <c r="B109" s="104" t="s">
        <v>3090</v>
      </c>
      <c r="C109" s="103" t="s">
        <v>3555</v>
      </c>
      <c r="D109" s="103" t="s">
        <v>6578</v>
      </c>
      <c r="E109" s="104" t="s">
        <v>3092</v>
      </c>
      <c r="F109" s="104" t="s">
        <v>3556</v>
      </c>
      <c r="G109" s="103" t="s">
        <v>15</v>
      </c>
      <c r="H109" s="112"/>
      <c r="I109" s="101">
        <f>IFERROR(VLOOKUP(B109,'02. MM-KLH'!$B:$K,9,FALSE),"")</f>
        <v>43862</v>
      </c>
      <c r="J109" s="103"/>
      <c r="K109" s="114"/>
      <c r="L109" s="115" t="s">
        <v>1104</v>
      </c>
      <c r="M109" s="111" t="s">
        <v>3094</v>
      </c>
      <c r="N109" s="103">
        <v>2018</v>
      </c>
      <c r="O109" s="103" t="s">
        <v>3095</v>
      </c>
      <c r="P109" s="103" t="s">
        <v>188</v>
      </c>
      <c r="Q109" s="111">
        <v>162744</v>
      </c>
      <c r="R109" s="111" t="s">
        <v>462</v>
      </c>
    </row>
    <row r="110" ht="13.5" customHeight="1" spans="1:18">
      <c r="A110" s="101">
        <v>11</v>
      </c>
      <c r="B110" s="102" t="s">
        <v>3096</v>
      </c>
      <c r="C110" s="103" t="s">
        <v>3557</v>
      </c>
      <c r="D110" s="103" t="s">
        <v>6579</v>
      </c>
      <c r="E110" s="104" t="s">
        <v>3092</v>
      </c>
      <c r="F110" s="102" t="s">
        <v>3556</v>
      </c>
      <c r="G110" s="101" t="s">
        <v>15</v>
      </c>
      <c r="H110" s="105"/>
      <c r="I110" s="101">
        <f>IFERROR(VLOOKUP(B110,'02. MM-KLH'!$B:$K,9,FALSE),"")</f>
        <v>43862</v>
      </c>
      <c r="J110" s="101"/>
      <c r="K110" s="108"/>
      <c r="L110" s="109" t="s">
        <v>1104</v>
      </c>
      <c r="M110" s="110" t="s">
        <v>3094</v>
      </c>
      <c r="N110" s="101">
        <v>2018</v>
      </c>
      <c r="O110" s="101" t="s">
        <v>3095</v>
      </c>
      <c r="P110" s="101" t="s">
        <v>188</v>
      </c>
      <c r="Q110" s="110">
        <v>171754</v>
      </c>
      <c r="R110" s="111" t="s">
        <v>462</v>
      </c>
    </row>
    <row r="111" ht="13.5" customHeight="1" spans="1:18">
      <c r="A111" s="101">
        <v>12</v>
      </c>
      <c r="B111" s="102" t="s">
        <v>1119</v>
      </c>
      <c r="C111" s="103" t="s">
        <v>6586</v>
      </c>
      <c r="D111" s="103" t="s">
        <v>8341</v>
      </c>
      <c r="E111" s="104" t="s">
        <v>1980</v>
      </c>
      <c r="F111" s="102" t="s">
        <v>8350</v>
      </c>
      <c r="G111" s="101" t="s">
        <v>1121</v>
      </c>
      <c r="H111" s="105"/>
      <c r="I111" s="101">
        <f>IFERROR(VLOOKUP(B111,'02. MM-KLH'!$B:$K,9,FALSE),"")</f>
        <v>0</v>
      </c>
      <c r="J111" s="101"/>
      <c r="K111" s="108"/>
      <c r="L111" s="109" t="s">
        <v>1019</v>
      </c>
      <c r="M111" s="110" t="s">
        <v>500</v>
      </c>
      <c r="N111" s="101">
        <v>2018</v>
      </c>
      <c r="O111" s="101" t="s">
        <v>1122</v>
      </c>
      <c r="P111" s="101" t="s">
        <v>128</v>
      </c>
      <c r="Q111" s="110" t="s">
        <v>1123</v>
      </c>
      <c r="R111" s="111" t="s">
        <v>462</v>
      </c>
    </row>
    <row r="112" ht="13.5" customHeight="1" spans="1:18">
      <c r="A112" s="101">
        <v>13</v>
      </c>
      <c r="B112" s="102" t="s">
        <v>1124</v>
      </c>
      <c r="C112" s="103" t="s">
        <v>6587</v>
      </c>
      <c r="D112" s="103" t="s">
        <v>1261</v>
      </c>
      <c r="E112" s="104" t="s">
        <v>1980</v>
      </c>
      <c r="F112" s="102" t="s">
        <v>8350</v>
      </c>
      <c r="G112" s="101" t="s">
        <v>1121</v>
      </c>
      <c r="H112" s="105"/>
      <c r="I112" s="101">
        <f>IFERROR(VLOOKUP(B112,'02. MM-KLH'!$B:$K,9,FALSE),"")</f>
        <v>0</v>
      </c>
      <c r="J112" s="101"/>
      <c r="K112" s="108"/>
      <c r="L112" s="109" t="s">
        <v>1019</v>
      </c>
      <c r="M112" s="110" t="s">
        <v>500</v>
      </c>
      <c r="N112" s="101">
        <v>2018</v>
      </c>
      <c r="O112" s="101" t="s">
        <v>1122</v>
      </c>
      <c r="P112" s="101" t="s">
        <v>128</v>
      </c>
      <c r="Q112" s="110" t="s">
        <v>1128</v>
      </c>
      <c r="R112" s="111" t="s">
        <v>462</v>
      </c>
    </row>
    <row r="113" ht="13.5" customHeight="1" spans="1:18">
      <c r="A113" s="101">
        <v>14</v>
      </c>
      <c r="B113" s="102" t="s">
        <v>1129</v>
      </c>
      <c r="C113" s="103" t="s">
        <v>6588</v>
      </c>
      <c r="D113" s="103" t="s">
        <v>3554</v>
      </c>
      <c r="E113" s="104" t="s">
        <v>1980</v>
      </c>
      <c r="F113" s="102" t="s">
        <v>8350</v>
      </c>
      <c r="G113" s="101" t="s">
        <v>1121</v>
      </c>
      <c r="H113" s="101" t="s">
        <v>1131</v>
      </c>
      <c r="I113" s="101" t="str">
        <f>IFERROR(VLOOKUP(B113,'02. MM-KLH'!$B:$K,9,FALSE),"")</f>
        <v>24/04/2024</v>
      </c>
      <c r="J113" s="101"/>
      <c r="K113" s="108" t="s">
        <v>1132</v>
      </c>
      <c r="L113" s="109" t="s">
        <v>1019</v>
      </c>
      <c r="M113" s="110" t="s">
        <v>500</v>
      </c>
      <c r="N113" s="101">
        <v>2018</v>
      </c>
      <c r="O113" s="101" t="s">
        <v>1122</v>
      </c>
      <c r="P113" s="101" t="s">
        <v>128</v>
      </c>
      <c r="Q113" s="110" t="s">
        <v>1133</v>
      </c>
      <c r="R113" s="111" t="s">
        <v>462</v>
      </c>
    </row>
    <row r="114" ht="13.5" customHeight="1" spans="1:18">
      <c r="A114" s="101">
        <v>15</v>
      </c>
      <c r="B114" s="102" t="s">
        <v>3216</v>
      </c>
      <c r="C114" s="103" t="s">
        <v>8351</v>
      </c>
      <c r="D114" s="103" t="s">
        <v>8341</v>
      </c>
      <c r="E114" s="104" t="s">
        <v>3089</v>
      </c>
      <c r="F114" s="102" t="s">
        <v>3550</v>
      </c>
      <c r="G114" s="101" t="s">
        <v>1250</v>
      </c>
      <c r="H114" s="105"/>
      <c r="I114" s="101">
        <f>IFERROR(VLOOKUP(B114,'02. MM-KLH'!$B:$K,9,FALSE),"")</f>
        <v>0</v>
      </c>
      <c r="J114" s="101"/>
      <c r="K114" s="108"/>
      <c r="L114" s="109" t="s">
        <v>759</v>
      </c>
      <c r="M114" s="110" t="s">
        <v>453</v>
      </c>
      <c r="N114" s="101">
        <v>2013</v>
      </c>
      <c r="O114" s="101">
        <v>9540</v>
      </c>
      <c r="P114" s="101" t="s">
        <v>120</v>
      </c>
      <c r="Q114" s="110">
        <v>173035</v>
      </c>
      <c r="R114" s="111" t="s">
        <v>462</v>
      </c>
    </row>
    <row r="115" ht="13.5" customHeight="1" spans="1:18">
      <c r="A115" s="101">
        <v>16</v>
      </c>
      <c r="B115" s="102" t="s">
        <v>1248</v>
      </c>
      <c r="C115" s="103" t="s">
        <v>6598</v>
      </c>
      <c r="D115" s="103" t="s">
        <v>1261</v>
      </c>
      <c r="E115" s="104" t="s">
        <v>3089</v>
      </c>
      <c r="F115" s="102" t="s">
        <v>3546</v>
      </c>
      <c r="G115" s="101" t="s">
        <v>1250</v>
      </c>
      <c r="H115" s="105"/>
      <c r="I115" s="101">
        <f>IFERROR(VLOOKUP(B115,'02. MM-KLH'!$B:$K,9,FALSE),"")</f>
        <v>0</v>
      </c>
      <c r="J115" s="101"/>
      <c r="K115" s="108"/>
      <c r="L115" s="109" t="s">
        <v>759</v>
      </c>
      <c r="M115" s="110" t="s">
        <v>453</v>
      </c>
      <c r="N115" s="101">
        <v>2013</v>
      </c>
      <c r="O115" s="101" t="s">
        <v>1064</v>
      </c>
      <c r="P115" s="101" t="s">
        <v>208</v>
      </c>
      <c r="Q115" s="110">
        <v>57646</v>
      </c>
      <c r="R115" s="111" t="s">
        <v>462</v>
      </c>
    </row>
    <row r="116" ht="13.5" customHeight="1" spans="1:18">
      <c r="A116" s="101">
        <v>17</v>
      </c>
      <c r="B116" s="102" t="s">
        <v>1251</v>
      </c>
      <c r="C116" s="103" t="s">
        <v>6599</v>
      </c>
      <c r="D116" s="103" t="s">
        <v>3554</v>
      </c>
      <c r="E116" s="104" t="s">
        <v>3089</v>
      </c>
      <c r="F116" s="102" t="s">
        <v>3546</v>
      </c>
      <c r="G116" s="101" t="s">
        <v>1250</v>
      </c>
      <c r="H116" s="105"/>
      <c r="I116" s="101">
        <f>IFERROR(VLOOKUP(B116,'02. MM-KLH'!$B:$K,9,FALSE),"")</f>
        <v>0</v>
      </c>
      <c r="J116" s="101"/>
      <c r="K116" s="108"/>
      <c r="L116" s="109" t="s">
        <v>759</v>
      </c>
      <c r="M116" s="110" t="s">
        <v>453</v>
      </c>
      <c r="N116" s="101">
        <v>2013</v>
      </c>
      <c r="O116" s="101" t="s">
        <v>1064</v>
      </c>
      <c r="P116" s="101" t="s">
        <v>208</v>
      </c>
      <c r="Q116" s="110">
        <v>56797</v>
      </c>
      <c r="R116" s="111" t="s">
        <v>462</v>
      </c>
    </row>
    <row r="117" ht="13.5" customHeight="1" spans="1:18">
      <c r="A117" s="101">
        <v>18</v>
      </c>
      <c r="B117" s="102" t="s">
        <v>8352</v>
      </c>
      <c r="C117" s="103" t="s">
        <v>8342</v>
      </c>
      <c r="D117" s="103" t="s">
        <v>8344</v>
      </c>
      <c r="E117" s="104" t="s">
        <v>1980</v>
      </c>
      <c r="F117" s="102" t="s">
        <v>8350</v>
      </c>
      <c r="G117" s="101" t="s">
        <v>1250</v>
      </c>
      <c r="H117" s="105"/>
      <c r="I117" s="101" t="str">
        <f>IFERROR(VLOOKUP(B117,'02. MM-KLH'!$B:$K,9,FALSE),"")</f>
        <v/>
      </c>
      <c r="J117" s="101"/>
      <c r="K117" s="108"/>
      <c r="L117" s="109" t="s">
        <v>1019</v>
      </c>
      <c r="M117" s="110" t="s">
        <v>500</v>
      </c>
      <c r="N117" s="101">
        <v>2018</v>
      </c>
      <c r="O117" s="101" t="s">
        <v>1122</v>
      </c>
      <c r="P117" s="101" t="s">
        <v>128</v>
      </c>
      <c r="Q117" s="110" t="s">
        <v>8353</v>
      </c>
      <c r="R117" s="111" t="s">
        <v>462</v>
      </c>
    </row>
    <row r="118" ht="13.5" customHeight="1" spans="1:18">
      <c r="A118" s="101">
        <v>19</v>
      </c>
      <c r="B118" s="156" t="s">
        <v>1253</v>
      </c>
      <c r="C118" s="103" t="s">
        <v>6600</v>
      </c>
      <c r="D118" s="157" t="s">
        <v>6575</v>
      </c>
      <c r="E118" s="124" t="s">
        <v>1980</v>
      </c>
      <c r="F118" s="156" t="s">
        <v>8350</v>
      </c>
      <c r="G118" s="146" t="s">
        <v>1250</v>
      </c>
      <c r="H118" s="148"/>
      <c r="I118" s="101">
        <f>IFERROR(VLOOKUP(B118,'02. MM-KLH'!$B:$K,9,FALSE),"")</f>
        <v>0</v>
      </c>
      <c r="J118" s="146"/>
      <c r="K118" s="158" t="s">
        <v>8354</v>
      </c>
      <c r="L118" s="151" t="s">
        <v>1019</v>
      </c>
      <c r="M118" s="159" t="s">
        <v>500</v>
      </c>
      <c r="N118" s="146">
        <v>2018</v>
      </c>
      <c r="O118" s="146" t="s">
        <v>1122</v>
      </c>
      <c r="P118" s="146" t="s">
        <v>128</v>
      </c>
      <c r="Q118" s="159" t="s">
        <v>1255</v>
      </c>
      <c r="R118" s="160" t="s">
        <v>462</v>
      </c>
    </row>
    <row r="119" ht="13.5" customHeight="1" spans="1:18">
      <c r="A119" s="101">
        <v>20</v>
      </c>
      <c r="B119" s="102" t="s">
        <v>1256</v>
      </c>
      <c r="C119" s="103" t="s">
        <v>6601</v>
      </c>
      <c r="D119" s="103" t="s">
        <v>6577</v>
      </c>
      <c r="E119" s="104" t="s">
        <v>1980</v>
      </c>
      <c r="F119" s="102" t="s">
        <v>8350</v>
      </c>
      <c r="G119" s="101" t="s">
        <v>1250</v>
      </c>
      <c r="H119" s="105"/>
      <c r="I119" s="101">
        <f>IFERROR(VLOOKUP(B119,'02. MM-KLH'!$B:$K,9,FALSE),"")</f>
        <v>0</v>
      </c>
      <c r="J119" s="101"/>
      <c r="K119" s="108"/>
      <c r="L119" s="109" t="s">
        <v>1019</v>
      </c>
      <c r="M119" s="110" t="s">
        <v>500</v>
      </c>
      <c r="N119" s="101">
        <v>2018</v>
      </c>
      <c r="O119" s="101" t="s">
        <v>1122</v>
      </c>
      <c r="P119" s="101" t="s">
        <v>128</v>
      </c>
      <c r="Q119" s="110" t="s">
        <v>1258</v>
      </c>
      <c r="R119" s="111" t="s">
        <v>462</v>
      </c>
    </row>
    <row r="120" ht="13.5" customHeight="1" spans="1:18">
      <c r="A120" s="101">
        <v>21</v>
      </c>
      <c r="B120" s="102" t="s">
        <v>1259</v>
      </c>
      <c r="C120" s="103" t="s">
        <v>8355</v>
      </c>
      <c r="D120" s="103" t="s">
        <v>6578</v>
      </c>
      <c r="E120" s="104" t="s">
        <v>1980</v>
      </c>
      <c r="F120" s="102" t="s">
        <v>8350</v>
      </c>
      <c r="G120" s="101" t="s">
        <v>1250</v>
      </c>
      <c r="H120" s="105"/>
      <c r="I120" s="101" t="str">
        <f>IFERROR(VLOOKUP(B120,'02. MM-KLH'!$B:$K,9,FALSE),"")</f>
        <v>28/01/2026</v>
      </c>
      <c r="J120" s="101"/>
      <c r="K120" s="108"/>
      <c r="L120" s="109" t="s">
        <v>1019</v>
      </c>
      <c r="M120" s="110" t="s">
        <v>500</v>
      </c>
      <c r="N120" s="101">
        <v>2018</v>
      </c>
      <c r="O120" s="101" t="s">
        <v>1122</v>
      </c>
      <c r="P120" s="101" t="s">
        <v>128</v>
      </c>
      <c r="Q120" s="110" t="s">
        <v>1906</v>
      </c>
      <c r="R120" s="111" t="s">
        <v>462</v>
      </c>
    </row>
    <row r="121" ht="13.5" customHeight="1" spans="1:18">
      <c r="A121" s="101">
        <v>22</v>
      </c>
      <c r="B121" s="102" t="s">
        <v>3151</v>
      </c>
      <c r="C121" s="103" t="s">
        <v>3564</v>
      </c>
      <c r="D121" s="103" t="s">
        <v>8341</v>
      </c>
      <c r="E121" s="104" t="s">
        <v>3089</v>
      </c>
      <c r="F121" s="102" t="s">
        <v>3546</v>
      </c>
      <c r="G121" s="101" t="s">
        <v>1348</v>
      </c>
      <c r="H121" s="105"/>
      <c r="I121" s="101">
        <f>IFERROR(VLOOKUP(B121,'02. MM-KLH'!$B:$K,9,FALSE),"")</f>
        <v>0</v>
      </c>
      <c r="J121" s="101"/>
      <c r="K121" s="108"/>
      <c r="L121" s="109" t="s">
        <v>759</v>
      </c>
      <c r="M121" s="110" t="s">
        <v>453</v>
      </c>
      <c r="N121" s="101">
        <v>2013</v>
      </c>
      <c r="O121" s="101" t="s">
        <v>1064</v>
      </c>
      <c r="P121" s="101" t="s">
        <v>208</v>
      </c>
      <c r="Q121" s="110">
        <v>57125</v>
      </c>
      <c r="R121" s="111" t="s">
        <v>462</v>
      </c>
    </row>
    <row r="122" ht="13.5" customHeight="1" spans="1:18">
      <c r="A122" s="101">
        <v>23</v>
      </c>
      <c r="B122" s="102" t="s">
        <v>1346</v>
      </c>
      <c r="C122" s="103" t="s">
        <v>6607</v>
      </c>
      <c r="D122" s="103" t="s">
        <v>1261</v>
      </c>
      <c r="E122" s="104"/>
      <c r="F122" s="102" t="s">
        <v>3552</v>
      </c>
      <c r="G122" s="101" t="s">
        <v>1348</v>
      </c>
      <c r="H122" s="105"/>
      <c r="I122" s="101">
        <f>IFERROR(VLOOKUP(B122,'02. MM-KLH'!$B:$K,9,FALSE),"")</f>
        <v>0</v>
      </c>
      <c r="J122" s="101"/>
      <c r="K122" s="108"/>
      <c r="L122" s="109" t="s">
        <v>759</v>
      </c>
      <c r="M122" s="110" t="s">
        <v>453</v>
      </c>
      <c r="N122" s="101">
        <v>2019</v>
      </c>
      <c r="O122" s="101" t="s">
        <v>1137</v>
      </c>
      <c r="P122" s="101" t="s">
        <v>41</v>
      </c>
      <c r="Q122" s="110">
        <v>14720</v>
      </c>
      <c r="R122" s="111" t="s">
        <v>462</v>
      </c>
    </row>
    <row r="123" ht="13.5" customHeight="1" spans="1:18">
      <c r="A123" s="101">
        <v>24</v>
      </c>
      <c r="B123" s="102" t="s">
        <v>1349</v>
      </c>
      <c r="C123" s="103" t="s">
        <v>6608</v>
      </c>
      <c r="D123" s="103" t="s">
        <v>3554</v>
      </c>
      <c r="E123" s="104" t="s">
        <v>1980</v>
      </c>
      <c r="F123" s="102" t="s">
        <v>8350</v>
      </c>
      <c r="G123" s="101" t="s">
        <v>1348</v>
      </c>
      <c r="H123" s="105"/>
      <c r="I123" s="101">
        <f>IFERROR(VLOOKUP(B123,'02. MM-KLH'!$B:$K,9,FALSE),"")</f>
        <v>43525</v>
      </c>
      <c r="J123" s="101"/>
      <c r="K123" s="108"/>
      <c r="L123" s="109" t="s">
        <v>1019</v>
      </c>
      <c r="M123" s="110" t="s">
        <v>500</v>
      </c>
      <c r="N123" s="101">
        <v>2018</v>
      </c>
      <c r="O123" s="101" t="s">
        <v>1122</v>
      </c>
      <c r="P123" s="101" t="s">
        <v>128</v>
      </c>
      <c r="Q123" s="110" t="s">
        <v>1351</v>
      </c>
      <c r="R123" s="111" t="s">
        <v>462</v>
      </c>
    </row>
    <row r="124" ht="13.5" customHeight="1" spans="1:18">
      <c r="A124" s="101">
        <v>25</v>
      </c>
      <c r="B124" s="102" t="s">
        <v>1352</v>
      </c>
      <c r="C124" s="103" t="s">
        <v>6609</v>
      </c>
      <c r="D124" s="103" t="s">
        <v>8344</v>
      </c>
      <c r="E124" s="104" t="s">
        <v>1980</v>
      </c>
      <c r="F124" s="102" t="s">
        <v>8350</v>
      </c>
      <c r="G124" s="101" t="s">
        <v>1348</v>
      </c>
      <c r="H124" s="105"/>
      <c r="I124" s="101">
        <f>IFERROR(VLOOKUP(B124,'02. MM-KLH'!$B:$K,9,FALSE),"")</f>
        <v>43525</v>
      </c>
      <c r="J124" s="101"/>
      <c r="K124" s="108"/>
      <c r="L124" s="109" t="s">
        <v>1019</v>
      </c>
      <c r="M124" s="110" t="s">
        <v>500</v>
      </c>
      <c r="N124" s="101">
        <v>2018</v>
      </c>
      <c r="O124" s="101" t="s">
        <v>1122</v>
      </c>
      <c r="P124" s="101" t="s">
        <v>128</v>
      </c>
      <c r="Q124" s="110" t="s">
        <v>1354</v>
      </c>
      <c r="R124" s="111" t="s">
        <v>462</v>
      </c>
    </row>
    <row r="125" ht="13.5" customHeight="1" spans="1:18">
      <c r="A125" s="101">
        <v>26</v>
      </c>
      <c r="B125" s="102" t="s">
        <v>1355</v>
      </c>
      <c r="C125" s="103" t="s">
        <v>6610</v>
      </c>
      <c r="D125" s="103" t="s">
        <v>6575</v>
      </c>
      <c r="E125" s="104" t="s">
        <v>1980</v>
      </c>
      <c r="F125" s="102" t="s">
        <v>8350</v>
      </c>
      <c r="G125" s="101" t="s">
        <v>1348</v>
      </c>
      <c r="H125" s="105"/>
      <c r="I125" s="101">
        <f>IFERROR(VLOOKUP(B125,'02. MM-KLH'!$B:$K,9,FALSE),"")</f>
        <v>43525</v>
      </c>
      <c r="J125" s="101"/>
      <c r="K125" s="108"/>
      <c r="L125" s="109" t="s">
        <v>1019</v>
      </c>
      <c r="M125" s="110" t="s">
        <v>500</v>
      </c>
      <c r="N125" s="101">
        <v>2018</v>
      </c>
      <c r="O125" s="101" t="s">
        <v>1122</v>
      </c>
      <c r="P125" s="101" t="s">
        <v>128</v>
      </c>
      <c r="Q125" s="110" t="s">
        <v>1357</v>
      </c>
      <c r="R125" s="111" t="s">
        <v>462</v>
      </c>
    </row>
    <row r="126" ht="13.5" customHeight="1" spans="1:18">
      <c r="A126" s="101">
        <v>27</v>
      </c>
      <c r="B126" s="102" t="s">
        <v>1358</v>
      </c>
      <c r="C126" s="103" t="s">
        <v>6611</v>
      </c>
      <c r="D126" s="103" t="s">
        <v>6577</v>
      </c>
      <c r="E126" s="104" t="s">
        <v>1980</v>
      </c>
      <c r="F126" s="102" t="s">
        <v>8350</v>
      </c>
      <c r="G126" s="101" t="s">
        <v>1348</v>
      </c>
      <c r="H126" s="105"/>
      <c r="I126" s="101">
        <f>IFERROR(VLOOKUP(B126,'02. MM-KLH'!$B:$K,9,FALSE),"")</f>
        <v>43525</v>
      </c>
      <c r="J126" s="101"/>
      <c r="K126" s="108"/>
      <c r="L126" s="109" t="s">
        <v>1019</v>
      </c>
      <c r="M126" s="110" t="s">
        <v>500</v>
      </c>
      <c r="N126" s="101">
        <v>2018</v>
      </c>
      <c r="O126" s="101" t="s">
        <v>1122</v>
      </c>
      <c r="P126" s="101" t="s">
        <v>128</v>
      </c>
      <c r="Q126" s="110" t="s">
        <v>1360</v>
      </c>
      <c r="R126" s="111" t="s">
        <v>462</v>
      </c>
    </row>
    <row r="127" ht="13.5" customHeight="1" spans="1:18">
      <c r="A127" s="101">
        <v>28</v>
      </c>
      <c r="B127" s="102" t="s">
        <v>1363</v>
      </c>
      <c r="C127" s="103" t="s">
        <v>6612</v>
      </c>
      <c r="D127" s="103" t="s">
        <v>6579</v>
      </c>
      <c r="E127" s="104" t="s">
        <v>1980</v>
      </c>
      <c r="F127" s="102" t="s">
        <v>8350</v>
      </c>
      <c r="G127" s="101" t="s">
        <v>1348</v>
      </c>
      <c r="H127" s="105"/>
      <c r="I127" s="101">
        <f>IFERROR(VLOOKUP(B127,'02. MM-KLH'!$B:$K,9,FALSE),"")</f>
        <v>0</v>
      </c>
      <c r="J127" s="101"/>
      <c r="K127" s="108"/>
      <c r="L127" s="109" t="s">
        <v>1019</v>
      </c>
      <c r="M127" s="110" t="s">
        <v>500</v>
      </c>
      <c r="N127" s="101">
        <v>2018</v>
      </c>
      <c r="O127" s="101" t="s">
        <v>1122</v>
      </c>
      <c r="P127" s="101" t="s">
        <v>128</v>
      </c>
      <c r="Q127" s="110" t="s">
        <v>1365</v>
      </c>
      <c r="R127" s="111" t="s">
        <v>462</v>
      </c>
    </row>
    <row r="128" ht="13.5" customHeight="1" spans="1:18">
      <c r="A128" s="101">
        <v>29</v>
      </c>
      <c r="B128" s="102" t="s">
        <v>1366</v>
      </c>
      <c r="C128" s="103" t="s">
        <v>6613</v>
      </c>
      <c r="D128" s="103" t="s">
        <v>3555</v>
      </c>
      <c r="E128" s="104"/>
      <c r="F128" s="102" t="s">
        <v>3552</v>
      </c>
      <c r="G128" s="101" t="s">
        <v>1348</v>
      </c>
      <c r="H128" s="105"/>
      <c r="I128" s="101">
        <f>IFERROR(VLOOKUP(B128,'02. MM-KLH'!$B:$K,9,FALSE),"")</f>
        <v>0</v>
      </c>
      <c r="J128" s="101"/>
      <c r="K128" s="108" t="s">
        <v>1368</v>
      </c>
      <c r="L128" s="109" t="s">
        <v>759</v>
      </c>
      <c r="M128" s="110" t="s">
        <v>453</v>
      </c>
      <c r="N128" s="101">
        <v>2019</v>
      </c>
      <c r="O128" s="101" t="s">
        <v>1137</v>
      </c>
      <c r="P128" s="101" t="s">
        <v>41</v>
      </c>
      <c r="Q128" s="110">
        <v>14716</v>
      </c>
      <c r="R128" s="111" t="s">
        <v>462</v>
      </c>
    </row>
    <row r="129" ht="13.5" customHeight="1" spans="1:18">
      <c r="A129" s="101">
        <v>30</v>
      </c>
      <c r="B129" s="102" t="s">
        <v>1758</v>
      </c>
      <c r="C129" s="103" t="s">
        <v>6646</v>
      </c>
      <c r="D129" s="103" t="s">
        <v>8341</v>
      </c>
      <c r="E129" s="104"/>
      <c r="F129" s="102" t="s">
        <v>8356</v>
      </c>
      <c r="G129" s="101" t="s">
        <v>1749</v>
      </c>
      <c r="H129" s="105"/>
      <c r="I129" s="101">
        <f>IFERROR(VLOOKUP(B129,'02. MM-KLH'!$B:$K,9,FALSE),"")</f>
        <v>0</v>
      </c>
      <c r="J129" s="101"/>
      <c r="K129" s="108"/>
      <c r="L129" s="109" t="s">
        <v>759</v>
      </c>
      <c r="M129" s="110" t="s">
        <v>453</v>
      </c>
      <c r="N129" s="101"/>
      <c r="O129" s="101" t="s">
        <v>1492</v>
      </c>
      <c r="P129" s="101" t="s">
        <v>199</v>
      </c>
      <c r="Q129" s="110" t="s">
        <v>462</v>
      </c>
      <c r="R129" s="1094" t="s">
        <v>1760</v>
      </c>
    </row>
    <row r="130" ht="13.5" customHeight="1" spans="1:18">
      <c r="A130" s="101">
        <v>31</v>
      </c>
      <c r="B130" s="102" t="s">
        <v>1761</v>
      </c>
      <c r="C130" s="103" t="s">
        <v>6647</v>
      </c>
      <c r="D130" s="103" t="s">
        <v>1261</v>
      </c>
      <c r="E130" s="104"/>
      <c r="F130" s="102" t="s">
        <v>8356</v>
      </c>
      <c r="G130" s="101" t="s">
        <v>1749</v>
      </c>
      <c r="H130" s="105"/>
      <c r="I130" s="101">
        <f>IFERROR(VLOOKUP(B130,'02. MM-KLH'!$B:$K,9,FALSE),"")</f>
        <v>0</v>
      </c>
      <c r="J130" s="101"/>
      <c r="K130" s="108"/>
      <c r="L130" s="109" t="s">
        <v>759</v>
      </c>
      <c r="M130" s="110" t="s">
        <v>453</v>
      </c>
      <c r="N130" s="101"/>
      <c r="O130" s="101" t="s">
        <v>1492</v>
      </c>
      <c r="P130" s="101" t="s">
        <v>199</v>
      </c>
      <c r="Q130" s="110" t="s">
        <v>462</v>
      </c>
      <c r="R130" s="1094" t="s">
        <v>1763</v>
      </c>
    </row>
    <row r="131" ht="13.5" customHeight="1" spans="1:18">
      <c r="A131" s="101">
        <v>32</v>
      </c>
      <c r="B131" s="102" t="s">
        <v>2637</v>
      </c>
      <c r="C131" s="103" t="s">
        <v>6715</v>
      </c>
      <c r="D131" s="103"/>
      <c r="E131" s="104" t="s">
        <v>3355</v>
      </c>
      <c r="F131" s="102" t="s">
        <v>8350</v>
      </c>
      <c r="G131" s="101" t="s">
        <v>20</v>
      </c>
      <c r="H131" s="105"/>
      <c r="I131" s="101">
        <f>IFERROR(VLOOKUP(B131,'02. MM-KLH'!$B:$K,9,FALSE),"")</f>
        <v>0</v>
      </c>
      <c r="J131" s="101"/>
      <c r="K131" s="108"/>
      <c r="L131" s="109" t="s">
        <v>1019</v>
      </c>
      <c r="M131" s="110" t="s">
        <v>500</v>
      </c>
      <c r="N131" s="101"/>
      <c r="O131" s="101" t="s">
        <v>1122</v>
      </c>
      <c r="P131" s="101" t="s">
        <v>128</v>
      </c>
      <c r="Q131" s="110" t="s">
        <v>2639</v>
      </c>
      <c r="R131" s="111"/>
    </row>
    <row r="132" ht="13.5" customHeight="1" spans="1:18">
      <c r="A132" s="101">
        <v>33</v>
      </c>
      <c r="B132" s="102" t="s">
        <v>2640</v>
      </c>
      <c r="C132" s="103" t="s">
        <v>6716</v>
      </c>
      <c r="D132" s="103"/>
      <c r="E132" s="104" t="s">
        <v>3355</v>
      </c>
      <c r="F132" s="102" t="s">
        <v>8350</v>
      </c>
      <c r="G132" s="101" t="s">
        <v>20</v>
      </c>
      <c r="H132" s="105"/>
      <c r="I132" s="101">
        <f>IFERROR(VLOOKUP(B132,'02. MM-KLH'!$B:$K,9,FALSE),"")</f>
        <v>0</v>
      </c>
      <c r="J132" s="101"/>
      <c r="K132" s="108"/>
      <c r="L132" s="109" t="s">
        <v>1019</v>
      </c>
      <c r="M132" s="110" t="s">
        <v>500</v>
      </c>
      <c r="N132" s="101"/>
      <c r="O132" s="101" t="s">
        <v>1122</v>
      </c>
      <c r="P132" s="101" t="s">
        <v>128</v>
      </c>
      <c r="Q132" s="110" t="s">
        <v>2642</v>
      </c>
      <c r="R132" s="111"/>
    </row>
    <row r="133" ht="13.5" customHeight="1" spans="1:18">
      <c r="A133" s="101">
        <v>34</v>
      </c>
      <c r="B133" s="102" t="s">
        <v>990</v>
      </c>
      <c r="C133" s="103" t="s">
        <v>991</v>
      </c>
      <c r="D133" s="103"/>
      <c r="E133" s="104"/>
      <c r="F133" s="102" t="s">
        <v>8357</v>
      </c>
      <c r="G133" s="101" t="s">
        <v>8358</v>
      </c>
      <c r="H133" s="101" t="s">
        <v>8359</v>
      </c>
      <c r="I133" s="101"/>
      <c r="J133" s="101"/>
      <c r="K133" s="108"/>
      <c r="L133" s="109"/>
      <c r="M133" s="110"/>
      <c r="N133" s="101"/>
      <c r="O133" s="101"/>
      <c r="P133" s="101"/>
      <c r="Q133" s="110"/>
      <c r="R133" s="111"/>
    </row>
    <row r="134" ht="13.5" customHeight="1" spans="1:18">
      <c r="A134" s="101">
        <v>35</v>
      </c>
      <c r="B134" s="102" t="s">
        <v>995</v>
      </c>
      <c r="C134" s="103" t="s">
        <v>996</v>
      </c>
      <c r="D134" s="103"/>
      <c r="E134" s="104"/>
      <c r="F134" s="102" t="s">
        <v>8357</v>
      </c>
      <c r="G134" s="101" t="s">
        <v>8358</v>
      </c>
      <c r="H134" s="101" t="s">
        <v>8359</v>
      </c>
      <c r="I134" s="101"/>
      <c r="J134" s="101"/>
      <c r="K134" s="108"/>
      <c r="L134" s="109"/>
      <c r="M134" s="110"/>
      <c r="N134" s="101"/>
      <c r="O134" s="101"/>
      <c r="P134" s="101"/>
      <c r="Q134" s="110"/>
      <c r="R134" s="111"/>
    </row>
    <row r="135" ht="13.5" customHeight="1" spans="1:18">
      <c r="A135" s="101">
        <v>36</v>
      </c>
      <c r="B135" s="102" t="s">
        <v>1070</v>
      </c>
      <c r="C135" s="117" t="s">
        <v>1072</v>
      </c>
      <c r="D135" s="103"/>
      <c r="E135" s="104"/>
      <c r="F135" s="102" t="s">
        <v>8360</v>
      </c>
      <c r="G135" s="101" t="s">
        <v>8358</v>
      </c>
      <c r="H135" s="105"/>
      <c r="I135" s="101"/>
      <c r="J135" s="101"/>
      <c r="K135" s="108"/>
      <c r="L135" s="109"/>
      <c r="M135" s="110"/>
      <c r="N135" s="101"/>
      <c r="O135" s="101"/>
      <c r="P135" s="101"/>
      <c r="Q135" s="110"/>
      <c r="R135" s="111"/>
    </row>
    <row r="136" ht="13.5" customHeight="1" spans="1:18">
      <c r="A136" s="101">
        <v>37</v>
      </c>
      <c r="B136" s="102" t="s">
        <v>999</v>
      </c>
      <c r="C136" s="103" t="s">
        <v>1000</v>
      </c>
      <c r="D136" s="103"/>
      <c r="E136" s="104"/>
      <c r="F136" s="102" t="s">
        <v>8361</v>
      </c>
      <c r="G136" s="101" t="s">
        <v>8358</v>
      </c>
      <c r="H136" s="105"/>
      <c r="I136" s="101"/>
      <c r="J136" s="101"/>
      <c r="K136" s="108"/>
      <c r="L136" s="109"/>
      <c r="M136" s="110"/>
      <c r="N136" s="101"/>
      <c r="O136" s="101"/>
      <c r="P136" s="101"/>
      <c r="Q136" s="110"/>
      <c r="R136" s="111"/>
    </row>
    <row r="137" ht="13.5" customHeight="1" spans="1:18">
      <c r="A137" s="101">
        <v>38</v>
      </c>
      <c r="B137" s="102" t="s">
        <v>1003</v>
      </c>
      <c r="C137" s="103" t="s">
        <v>1004</v>
      </c>
      <c r="D137" s="103"/>
      <c r="E137" s="104"/>
      <c r="F137" s="102" t="s">
        <v>8362</v>
      </c>
      <c r="G137" s="101" t="s">
        <v>8358</v>
      </c>
      <c r="H137" s="105"/>
      <c r="I137" s="101"/>
      <c r="J137" s="101"/>
      <c r="K137" s="108"/>
      <c r="L137" s="109"/>
      <c r="M137" s="110"/>
      <c r="N137" s="101"/>
      <c r="O137" s="101"/>
      <c r="P137" s="101"/>
      <c r="Q137" s="110"/>
      <c r="R137" s="111"/>
    </row>
    <row r="138" ht="13.5" customHeight="1" spans="1:18">
      <c r="A138" s="101">
        <v>39</v>
      </c>
      <c r="B138" s="102" t="s">
        <v>1007</v>
      </c>
      <c r="C138" s="103" t="s">
        <v>1008</v>
      </c>
      <c r="D138" s="103"/>
      <c r="E138" s="104"/>
      <c r="F138" s="102" t="s">
        <v>8363</v>
      </c>
      <c r="G138" s="101" t="s">
        <v>8358</v>
      </c>
      <c r="H138" s="105"/>
      <c r="I138" s="101"/>
      <c r="J138" s="101"/>
      <c r="K138" s="108"/>
      <c r="L138" s="109"/>
      <c r="M138" s="110"/>
      <c r="N138" s="101"/>
      <c r="O138" s="101"/>
      <c r="P138" s="101"/>
      <c r="Q138" s="110"/>
      <c r="R138" s="111"/>
    </row>
    <row r="139" ht="13.5" customHeight="1" spans="1:18">
      <c r="A139" s="101"/>
      <c r="B139" s="102"/>
      <c r="C139" s="103"/>
      <c r="D139" s="103"/>
      <c r="E139" s="104"/>
      <c r="F139" s="102"/>
      <c r="G139" s="101"/>
      <c r="H139" s="105"/>
      <c r="I139" s="101"/>
      <c r="J139" s="101"/>
      <c r="K139" s="108"/>
      <c r="L139" s="109"/>
      <c r="M139" s="110"/>
      <c r="N139" s="101"/>
      <c r="O139" s="101"/>
      <c r="P139" s="101"/>
      <c r="Q139" s="110"/>
      <c r="R139" s="111"/>
    </row>
    <row r="140" ht="13.5" customHeight="1" spans="1:18">
      <c r="A140" s="101"/>
      <c r="B140" s="102"/>
      <c r="C140" s="103"/>
      <c r="D140" s="103"/>
      <c r="E140" s="104"/>
      <c r="F140" s="102"/>
      <c r="G140" s="101"/>
      <c r="H140" s="105"/>
      <c r="I140" s="101"/>
      <c r="J140" s="101"/>
      <c r="K140" s="108"/>
      <c r="L140" s="109"/>
      <c r="M140" s="110"/>
      <c r="N140" s="101"/>
      <c r="O140" s="101"/>
      <c r="P140" s="101"/>
      <c r="Q140" s="110"/>
      <c r="R140" s="111"/>
    </row>
    <row r="141" ht="13.5" customHeight="1" spans="1:18">
      <c r="A141" s="101"/>
      <c r="B141" s="102"/>
      <c r="C141" s="103"/>
      <c r="D141" s="103"/>
      <c r="E141" s="104"/>
      <c r="F141" s="102"/>
      <c r="G141" s="101"/>
      <c r="H141" s="105"/>
      <c r="I141" s="101"/>
      <c r="J141" s="101"/>
      <c r="K141" s="108"/>
      <c r="L141" s="109"/>
      <c r="M141" s="110"/>
      <c r="N141" s="101"/>
      <c r="O141" s="101"/>
      <c r="P141" s="101"/>
      <c r="Q141" s="110"/>
      <c r="R141" s="111"/>
    </row>
    <row r="142" ht="13.5" customHeight="1" spans="1:18">
      <c r="A142" s="101"/>
      <c r="B142" s="102"/>
      <c r="C142" s="103"/>
      <c r="D142" s="103"/>
      <c r="E142" s="104"/>
      <c r="F142" s="102"/>
      <c r="G142" s="101"/>
      <c r="H142" s="105"/>
      <c r="I142" s="101"/>
      <c r="J142" s="101"/>
      <c r="K142" s="108"/>
      <c r="L142" s="109"/>
      <c r="M142" s="110"/>
      <c r="N142" s="101"/>
      <c r="O142" s="101"/>
      <c r="P142" s="101"/>
      <c r="Q142" s="110"/>
      <c r="R142" s="111"/>
    </row>
    <row r="143" ht="13.5" customHeight="1" spans="1:18">
      <c r="A143" s="101"/>
      <c r="B143" s="102"/>
      <c r="C143" s="103"/>
      <c r="D143" s="103"/>
      <c r="E143" s="104"/>
      <c r="F143" s="102"/>
      <c r="G143" s="101"/>
      <c r="H143" s="105"/>
      <c r="I143" s="101"/>
      <c r="J143" s="101"/>
      <c r="K143" s="108"/>
      <c r="L143" s="109"/>
      <c r="M143" s="110"/>
      <c r="N143" s="101"/>
      <c r="O143" s="101"/>
      <c r="P143" s="101"/>
      <c r="Q143" s="110"/>
      <c r="R143" s="111"/>
    </row>
    <row r="144" ht="13.5" customHeight="1" spans="1:18">
      <c r="A144" s="96" t="s">
        <v>8364</v>
      </c>
      <c r="B144" s="97" t="s">
        <v>8365</v>
      </c>
      <c r="C144" s="96"/>
      <c r="D144" s="96"/>
      <c r="E144" s="97"/>
      <c r="F144" s="96"/>
      <c r="G144" s="97"/>
      <c r="H144" s="98"/>
      <c r="I144" s="98"/>
      <c r="J144" s="96"/>
      <c r="K144" s="99"/>
      <c r="L144" s="100"/>
      <c r="M144" s="97"/>
      <c r="N144" s="97"/>
      <c r="O144" s="97"/>
      <c r="P144" s="97"/>
      <c r="Q144" s="97"/>
      <c r="R144" s="97"/>
    </row>
    <row r="145" ht="13.5" customHeight="1" spans="1:18">
      <c r="A145" s="101">
        <v>1</v>
      </c>
      <c r="B145" s="102" t="s">
        <v>8366</v>
      </c>
      <c r="C145" s="103" t="s">
        <v>1195</v>
      </c>
      <c r="D145" s="103" t="s">
        <v>1195</v>
      </c>
      <c r="E145" s="104"/>
      <c r="F145" s="102" t="s">
        <v>8367</v>
      </c>
      <c r="G145" s="101" t="s">
        <v>8368</v>
      </c>
      <c r="H145" s="105"/>
      <c r="I145" s="101" t="str">
        <f>IFERROR(VLOOKUP(B145,'02. MM-KLH'!$B:$K,9,FALSE),"")</f>
        <v/>
      </c>
      <c r="J145" s="101"/>
      <c r="K145" s="108" t="s">
        <v>8369</v>
      </c>
      <c r="L145" s="109" t="s">
        <v>1751</v>
      </c>
      <c r="M145" s="110" t="s">
        <v>1165</v>
      </c>
      <c r="N145" s="101"/>
      <c r="O145" s="101"/>
      <c r="P145" s="101" t="s">
        <v>219</v>
      </c>
      <c r="Q145" s="110" t="s">
        <v>1752</v>
      </c>
      <c r="R145" s="111" t="s">
        <v>462</v>
      </c>
    </row>
    <row r="146" ht="13.5" customHeight="1" spans="1:18">
      <c r="A146" s="101">
        <v>2</v>
      </c>
      <c r="B146" s="102" t="s">
        <v>8370</v>
      </c>
      <c r="C146" s="103" t="s">
        <v>1201</v>
      </c>
      <c r="D146" s="103" t="s">
        <v>1201</v>
      </c>
      <c r="E146" s="104"/>
      <c r="F146" s="102" t="s">
        <v>8367</v>
      </c>
      <c r="G146" s="101" t="s">
        <v>8368</v>
      </c>
      <c r="H146" s="105"/>
      <c r="I146" s="101" t="str">
        <f>IFERROR(VLOOKUP(B146,'02. MM-KLH'!$B:$K,9,FALSE),"")</f>
        <v/>
      </c>
      <c r="J146" s="101"/>
      <c r="K146" s="108"/>
      <c r="L146" s="109" t="s">
        <v>1751</v>
      </c>
      <c r="M146" s="110" t="s">
        <v>1165</v>
      </c>
      <c r="N146" s="101"/>
      <c r="O146" s="101"/>
      <c r="P146" s="101" t="s">
        <v>219</v>
      </c>
      <c r="Q146" s="110" t="s">
        <v>1757</v>
      </c>
      <c r="R146" s="111" t="s">
        <v>462</v>
      </c>
    </row>
    <row r="147" ht="13.5" customHeight="1" spans="1:18">
      <c r="A147" s="96" t="s">
        <v>8371</v>
      </c>
      <c r="B147" s="97" t="s">
        <v>143</v>
      </c>
      <c r="C147" s="96"/>
      <c r="D147" s="96"/>
      <c r="E147" s="97"/>
      <c r="F147" s="96"/>
      <c r="G147" s="97"/>
      <c r="H147" s="98"/>
      <c r="I147" s="98"/>
      <c r="J147" s="96"/>
      <c r="K147" s="99"/>
      <c r="L147" s="100"/>
      <c r="M147" s="97"/>
      <c r="N147" s="97"/>
      <c r="O147" s="97"/>
      <c r="P147" s="97"/>
      <c r="Q147" s="97"/>
      <c r="R147" s="97"/>
    </row>
    <row r="148" ht="13.5" customHeight="1" spans="1:18">
      <c r="A148" s="101"/>
      <c r="B148" s="102"/>
      <c r="C148" s="103"/>
      <c r="D148" s="103"/>
      <c r="E148" s="104"/>
      <c r="F148" s="102"/>
      <c r="G148" s="101"/>
      <c r="H148" s="105"/>
      <c r="I148" s="101"/>
      <c r="J148" s="107"/>
      <c r="K148" s="108"/>
      <c r="L148" s="109"/>
      <c r="M148" s="110"/>
      <c r="N148" s="101"/>
      <c r="O148" s="101"/>
      <c r="P148" s="101"/>
      <c r="Q148" s="110"/>
      <c r="R148" s="111"/>
    </row>
    <row r="149" ht="13.5" customHeight="1" spans="1:18">
      <c r="A149" s="96" t="s">
        <v>8372</v>
      </c>
      <c r="B149" s="97" t="s">
        <v>8373</v>
      </c>
      <c r="C149" s="96"/>
      <c r="D149" s="96"/>
      <c r="E149" s="97"/>
      <c r="F149" s="96"/>
      <c r="G149" s="97"/>
      <c r="H149" s="98"/>
      <c r="I149" s="98"/>
      <c r="J149" s="96"/>
      <c r="K149" s="99"/>
      <c r="L149" s="100"/>
      <c r="M149" s="97"/>
      <c r="N149" s="97"/>
      <c r="O149" s="97"/>
      <c r="P149" s="97"/>
      <c r="Q149" s="97"/>
      <c r="R149" s="97"/>
    </row>
    <row r="150" ht="13.5" customHeight="1" spans="1:18">
      <c r="A150" s="161">
        <v>1</v>
      </c>
      <c r="B150" s="162" t="s">
        <v>2514</v>
      </c>
      <c r="C150" s="163" t="s">
        <v>6705</v>
      </c>
      <c r="D150" s="163"/>
      <c r="E150" s="164"/>
      <c r="F150" s="162" t="s">
        <v>8374</v>
      </c>
      <c r="G150" s="161" t="s">
        <v>31</v>
      </c>
      <c r="H150" s="161"/>
      <c r="I150" s="101">
        <f>IFERROR(VLOOKUP(B150,'02. MM-KLH'!$B:$K,9,FALSE),"")</f>
        <v>0</v>
      </c>
      <c r="J150" s="161"/>
      <c r="K150" s="165" t="s">
        <v>5979</v>
      </c>
      <c r="L150" s="166" t="s">
        <v>2517</v>
      </c>
      <c r="M150" s="167"/>
      <c r="N150" s="168"/>
      <c r="O150" s="168" t="s">
        <v>8375</v>
      </c>
      <c r="P150" s="168"/>
      <c r="Q150" s="167" t="s">
        <v>2519</v>
      </c>
      <c r="R150" s="169"/>
    </row>
    <row r="151" ht="13.5" customHeight="1" spans="1:18">
      <c r="A151" s="161">
        <v>2</v>
      </c>
      <c r="B151" s="162" t="s">
        <v>2520</v>
      </c>
      <c r="C151" s="163" t="s">
        <v>6706</v>
      </c>
      <c r="D151" s="163"/>
      <c r="E151" s="164"/>
      <c r="F151" s="162" t="s">
        <v>8374</v>
      </c>
      <c r="G151" s="161" t="s">
        <v>31</v>
      </c>
      <c r="H151" s="161"/>
      <c r="I151" s="101">
        <f>IFERROR(VLOOKUP(B151,'02. MM-KLH'!$B:$K,9,FALSE),"")</f>
        <v>0</v>
      </c>
      <c r="J151" s="161"/>
      <c r="K151" s="165" t="s">
        <v>5979</v>
      </c>
      <c r="L151" s="166" t="s">
        <v>2517</v>
      </c>
      <c r="M151" s="167"/>
      <c r="N151" s="168"/>
      <c r="O151" s="168" t="s">
        <v>8375</v>
      </c>
      <c r="P151" s="168"/>
      <c r="Q151" s="167" t="s">
        <v>2522</v>
      </c>
      <c r="R151" s="169"/>
    </row>
    <row r="152" ht="13.5" customHeight="1" spans="1:18">
      <c r="A152" s="161">
        <v>3</v>
      </c>
      <c r="B152" s="162" t="s">
        <v>2523</v>
      </c>
      <c r="C152" s="163" t="s">
        <v>6707</v>
      </c>
      <c r="D152" s="163"/>
      <c r="E152" s="164"/>
      <c r="F152" s="162" t="s">
        <v>8374</v>
      </c>
      <c r="G152" s="161" t="s">
        <v>31</v>
      </c>
      <c r="H152" s="161"/>
      <c r="I152" s="101">
        <f>IFERROR(VLOOKUP(B152,'02. MM-KLH'!$B:$K,9,FALSE),"")</f>
        <v>0</v>
      </c>
      <c r="J152" s="161"/>
      <c r="K152" s="165" t="s">
        <v>5979</v>
      </c>
      <c r="L152" s="166" t="s">
        <v>2517</v>
      </c>
      <c r="M152" s="167"/>
      <c r="N152" s="168"/>
      <c r="O152" s="168" t="s">
        <v>8375</v>
      </c>
      <c r="P152" s="168"/>
      <c r="Q152" s="167" t="s">
        <v>2525</v>
      </c>
      <c r="R152" s="169"/>
    </row>
    <row r="153" ht="13.5" customHeight="1" spans="1:18">
      <c r="A153" s="161">
        <v>4</v>
      </c>
      <c r="B153" s="162" t="s">
        <v>2526</v>
      </c>
      <c r="C153" s="163" t="s">
        <v>6708</v>
      </c>
      <c r="D153" s="163"/>
      <c r="E153" s="164"/>
      <c r="F153" s="162" t="s">
        <v>8374</v>
      </c>
      <c r="G153" s="161" t="s">
        <v>31</v>
      </c>
      <c r="H153" s="161"/>
      <c r="I153" s="101">
        <f>IFERROR(VLOOKUP(B153,'02. MM-KLH'!$B:$K,9,FALSE),"")</f>
        <v>0</v>
      </c>
      <c r="J153" s="161"/>
      <c r="K153" s="165" t="s">
        <v>5979</v>
      </c>
      <c r="L153" s="166" t="s">
        <v>2517</v>
      </c>
      <c r="M153" s="167"/>
      <c r="N153" s="168"/>
      <c r="O153" s="168" t="s">
        <v>8375</v>
      </c>
      <c r="P153" s="168"/>
      <c r="Q153" s="167" t="s">
        <v>2528</v>
      </c>
      <c r="R153" s="169"/>
    </row>
    <row r="154" ht="13.5" customHeight="1" spans="1:18">
      <c r="A154" s="161">
        <v>5</v>
      </c>
      <c r="B154" s="162" t="s">
        <v>2529</v>
      </c>
      <c r="C154" s="163" t="s">
        <v>6709</v>
      </c>
      <c r="D154" s="163"/>
      <c r="E154" s="164"/>
      <c r="F154" s="162" t="s">
        <v>8374</v>
      </c>
      <c r="G154" s="161" t="s">
        <v>31</v>
      </c>
      <c r="H154" s="161"/>
      <c r="I154" s="101">
        <f>IFERROR(VLOOKUP(B154,'02. MM-KLH'!$B:$K,9,FALSE),"")</f>
        <v>0</v>
      </c>
      <c r="J154" s="161"/>
      <c r="K154" s="165" t="s">
        <v>5979</v>
      </c>
      <c r="L154" s="166" t="s">
        <v>2517</v>
      </c>
      <c r="M154" s="167"/>
      <c r="N154" s="168"/>
      <c r="O154" s="168" t="s">
        <v>8375</v>
      </c>
      <c r="P154" s="168"/>
      <c r="Q154" s="167" t="s">
        <v>2531</v>
      </c>
      <c r="R154" s="169"/>
    </row>
    <row r="155" ht="13.5" customHeight="1" spans="1:18">
      <c r="A155" s="161">
        <v>6</v>
      </c>
      <c r="B155" s="162" t="s">
        <v>2532</v>
      </c>
      <c r="C155" s="163" t="s">
        <v>6710</v>
      </c>
      <c r="D155" s="163"/>
      <c r="E155" s="164"/>
      <c r="F155" s="162" t="s">
        <v>8374</v>
      </c>
      <c r="G155" s="161" t="s">
        <v>31</v>
      </c>
      <c r="H155" s="161"/>
      <c r="I155" s="101">
        <f>IFERROR(VLOOKUP(B155,'02. MM-KLH'!$B:$K,9,FALSE),"")</f>
        <v>0</v>
      </c>
      <c r="J155" s="161"/>
      <c r="K155" s="165" t="s">
        <v>5979</v>
      </c>
      <c r="L155" s="166" t="s">
        <v>2517</v>
      </c>
      <c r="M155" s="167"/>
      <c r="N155" s="168"/>
      <c r="O155" s="168" t="s">
        <v>8375</v>
      </c>
      <c r="P155" s="168"/>
      <c r="Q155" s="167" t="s">
        <v>2534</v>
      </c>
      <c r="R155" s="169" t="s">
        <v>2535</v>
      </c>
    </row>
    <row r="156" ht="13.5" customHeight="1" spans="1:18">
      <c r="A156" s="161"/>
      <c r="B156" s="162"/>
      <c r="C156" s="163"/>
      <c r="D156" s="163"/>
      <c r="E156" s="164"/>
      <c r="F156" s="162"/>
      <c r="G156" s="161"/>
      <c r="H156" s="161"/>
      <c r="I156" s="101"/>
      <c r="J156" s="161"/>
      <c r="K156" s="165"/>
      <c r="L156" s="166"/>
      <c r="M156" s="167"/>
      <c r="N156" s="168"/>
      <c r="O156" s="168"/>
      <c r="P156" s="168"/>
      <c r="Q156" s="167"/>
      <c r="R156" s="169"/>
    </row>
    <row r="157" ht="13.5" customHeight="1" spans="1:18">
      <c r="A157" s="96" t="s">
        <v>8376</v>
      </c>
      <c r="B157" s="97" t="s">
        <v>8377</v>
      </c>
      <c r="C157" s="96"/>
      <c r="D157" s="96"/>
      <c r="E157" s="97"/>
      <c r="F157" s="96"/>
      <c r="G157" s="97"/>
      <c r="H157" s="98"/>
      <c r="I157" s="98"/>
      <c r="J157" s="96"/>
      <c r="K157" s="99"/>
      <c r="L157" s="100"/>
      <c r="M157" s="97"/>
      <c r="N157" s="97"/>
      <c r="O157" s="97"/>
      <c r="P157" s="97"/>
      <c r="Q157" s="97"/>
      <c r="R157" s="97"/>
    </row>
    <row r="158" ht="13.5" customHeight="1" spans="1:18">
      <c r="A158" s="161">
        <v>1</v>
      </c>
      <c r="B158" s="162" t="s">
        <v>1212</v>
      </c>
      <c r="C158" s="163" t="s">
        <v>6596</v>
      </c>
      <c r="D158" s="163"/>
      <c r="E158" s="164"/>
      <c r="F158" s="162" t="s">
        <v>8378</v>
      </c>
      <c r="G158" s="161" t="s">
        <v>8379</v>
      </c>
      <c r="H158" s="161" t="s">
        <v>1213</v>
      </c>
      <c r="I158" s="101" t="str">
        <f>IFERROR(VLOOKUP(B158,'02. MM-KLH'!$B:$K,9,FALSE),"")</f>
        <v>30/07/2024</v>
      </c>
      <c r="J158" s="170">
        <v>0.7</v>
      </c>
      <c r="K158" s="165"/>
      <c r="L158" s="166"/>
      <c r="M158" s="167"/>
      <c r="N158" s="168"/>
      <c r="O158" s="168"/>
      <c r="P158" s="168"/>
      <c r="Q158" s="167"/>
      <c r="R158" s="169"/>
    </row>
    <row r="159" ht="13.5" customHeight="1" spans="1:18">
      <c r="A159" s="91" t="s">
        <v>8380</v>
      </c>
      <c r="B159" s="91"/>
      <c r="C159" s="92">
        <f>COUNTA(C161:C259)</f>
        <v>80</v>
      </c>
      <c r="D159" s="92"/>
      <c r="E159" s="91"/>
      <c r="F159" s="92"/>
      <c r="G159" s="91"/>
      <c r="H159" s="93"/>
      <c r="I159" s="91"/>
      <c r="J159" s="92"/>
      <c r="K159" s="94"/>
      <c r="L159" s="95"/>
      <c r="M159" s="91"/>
      <c r="N159" s="91"/>
      <c r="O159" s="91"/>
      <c r="P159" s="91"/>
      <c r="Q159" s="91"/>
      <c r="R159" s="91"/>
    </row>
    <row r="160" ht="13.5" customHeight="1" spans="1:18">
      <c r="A160" s="96" t="s">
        <v>948</v>
      </c>
      <c r="B160" s="97" t="s">
        <v>8381</v>
      </c>
      <c r="C160" s="96"/>
      <c r="D160" s="96"/>
      <c r="E160" s="97"/>
      <c r="F160" s="96"/>
      <c r="G160" s="97"/>
      <c r="H160" s="98"/>
      <c r="I160" s="98"/>
      <c r="J160" s="96"/>
      <c r="K160" s="99"/>
      <c r="L160" s="100"/>
      <c r="M160" s="97"/>
      <c r="N160" s="97"/>
      <c r="O160" s="97"/>
      <c r="P160" s="97"/>
      <c r="Q160" s="97"/>
      <c r="R160" s="97"/>
    </row>
    <row r="161" ht="13.5" customHeight="1" spans="1:18">
      <c r="A161" s="101">
        <v>1</v>
      </c>
      <c r="B161" s="102" t="s">
        <v>741</v>
      </c>
      <c r="C161" s="103" t="s">
        <v>3271</v>
      </c>
      <c r="D161" s="103" t="s">
        <v>6536</v>
      </c>
      <c r="E161" s="104" t="s">
        <v>3271</v>
      </c>
      <c r="F161" s="102" t="s">
        <v>8285</v>
      </c>
      <c r="G161" s="101" t="s">
        <v>23</v>
      </c>
      <c r="H161" s="105">
        <v>44197</v>
      </c>
      <c r="I161" s="101">
        <f>IFERROR(VLOOKUP(B161,'02. MM-KLH'!$B:$K,9,FALSE),"")</f>
        <v>44197</v>
      </c>
      <c r="J161" s="107">
        <v>0.67</v>
      </c>
      <c r="K161" s="108"/>
      <c r="L161" s="109" t="s">
        <v>458</v>
      </c>
      <c r="M161" s="110" t="s">
        <v>453</v>
      </c>
      <c r="N161" s="101">
        <v>2020</v>
      </c>
      <c r="O161" s="101" t="s">
        <v>472</v>
      </c>
      <c r="P161" s="101" t="s">
        <v>460</v>
      </c>
      <c r="Q161" s="110" t="s">
        <v>743</v>
      </c>
      <c r="R161" s="111">
        <v>800391</v>
      </c>
    </row>
    <row r="162" ht="13.5" customHeight="1" spans="1:18">
      <c r="A162" s="101">
        <v>2</v>
      </c>
      <c r="B162" s="102" t="s">
        <v>744</v>
      </c>
      <c r="C162" s="103" t="s">
        <v>3288</v>
      </c>
      <c r="D162" s="103" t="s">
        <v>6539</v>
      </c>
      <c r="E162" s="104" t="s">
        <v>3288</v>
      </c>
      <c r="F162" s="102" t="s">
        <v>8291</v>
      </c>
      <c r="G162" s="101" t="s">
        <v>23</v>
      </c>
      <c r="H162" s="105">
        <v>44197</v>
      </c>
      <c r="I162" s="101">
        <f>IFERROR(VLOOKUP(B162,'02. MM-KLH'!$B:$K,9,FALSE),"")</f>
        <v>44197</v>
      </c>
      <c r="J162" s="107">
        <v>0.67</v>
      </c>
      <c r="K162" s="108"/>
      <c r="L162" s="109" t="s">
        <v>458</v>
      </c>
      <c r="M162" s="110" t="s">
        <v>453</v>
      </c>
      <c r="N162" s="101">
        <v>2019</v>
      </c>
      <c r="O162" s="101" t="s">
        <v>475</v>
      </c>
      <c r="P162" s="101" t="s">
        <v>476</v>
      </c>
      <c r="Q162" s="110" t="s">
        <v>746</v>
      </c>
      <c r="R162" s="111" t="s">
        <v>747</v>
      </c>
    </row>
    <row r="163" ht="13.5" customHeight="1" spans="1:18">
      <c r="A163" s="101">
        <v>3</v>
      </c>
      <c r="B163" s="102" t="s">
        <v>748</v>
      </c>
      <c r="C163" s="103" t="s">
        <v>3277</v>
      </c>
      <c r="D163" s="103" t="s">
        <v>6541</v>
      </c>
      <c r="E163" s="104" t="s">
        <v>3277</v>
      </c>
      <c r="F163" s="102" t="s">
        <v>8287</v>
      </c>
      <c r="G163" s="101" t="s">
        <v>23</v>
      </c>
      <c r="H163" s="105">
        <v>44197</v>
      </c>
      <c r="I163" s="101">
        <f>IFERROR(VLOOKUP(B163,'02. MM-KLH'!$B:$K,9,FALSE),"")</f>
        <v>44197</v>
      </c>
      <c r="J163" s="107">
        <v>0.67</v>
      </c>
      <c r="K163" s="108"/>
      <c r="L163" s="109" t="s">
        <v>464</v>
      </c>
      <c r="M163" s="110" t="s">
        <v>465</v>
      </c>
      <c r="N163" s="101">
        <v>2020</v>
      </c>
      <c r="O163" s="101" t="s">
        <v>466</v>
      </c>
      <c r="P163" s="101" t="s">
        <v>467</v>
      </c>
      <c r="Q163" s="110" t="s">
        <v>750</v>
      </c>
      <c r="R163" s="111" t="s">
        <v>751</v>
      </c>
    </row>
    <row r="164" ht="13.5" customHeight="1" spans="1:18">
      <c r="A164" s="101">
        <v>4</v>
      </c>
      <c r="B164" s="102" t="s">
        <v>752</v>
      </c>
      <c r="C164" s="103" t="s">
        <v>3278</v>
      </c>
      <c r="D164" s="103" t="s">
        <v>8382</v>
      </c>
      <c r="E164" s="104" t="s">
        <v>3278</v>
      </c>
      <c r="F164" s="102" t="s">
        <v>8287</v>
      </c>
      <c r="G164" s="101" t="s">
        <v>23</v>
      </c>
      <c r="H164" s="105">
        <v>44197</v>
      </c>
      <c r="I164" s="101">
        <f>IFERROR(VLOOKUP(B164,'02. MM-KLH'!$B:$K,9,FALSE),"")</f>
        <v>44197</v>
      </c>
      <c r="J164" s="107">
        <v>0.67</v>
      </c>
      <c r="K164" s="108"/>
      <c r="L164" s="109" t="s">
        <v>464</v>
      </c>
      <c r="M164" s="110" t="s">
        <v>465</v>
      </c>
      <c r="N164" s="101">
        <v>2020</v>
      </c>
      <c r="O164" s="101" t="s">
        <v>466</v>
      </c>
      <c r="P164" s="101" t="s">
        <v>467</v>
      </c>
      <c r="Q164" s="110" t="s">
        <v>754</v>
      </c>
      <c r="R164" s="111" t="s">
        <v>755</v>
      </c>
    </row>
    <row r="165" ht="13.5" customHeight="1" spans="1:18">
      <c r="A165" s="101">
        <v>5</v>
      </c>
      <c r="B165" s="104" t="s">
        <v>8383</v>
      </c>
      <c r="C165" s="103" t="s">
        <v>3112</v>
      </c>
      <c r="D165" s="103" t="s">
        <v>8384</v>
      </c>
      <c r="E165" s="104" t="s">
        <v>3112</v>
      </c>
      <c r="F165" s="102" t="s">
        <v>3561</v>
      </c>
      <c r="G165" s="101" t="s">
        <v>23</v>
      </c>
      <c r="H165" s="105"/>
      <c r="I165" s="101" t="str">
        <f>IFERROR(VLOOKUP(B165,'02. MM-KLH'!$B:$K,9,FALSE),"")</f>
        <v/>
      </c>
      <c r="J165" s="101"/>
      <c r="K165" s="125" t="s">
        <v>758</v>
      </c>
      <c r="L165" s="109" t="s">
        <v>759</v>
      </c>
      <c r="M165" s="110" t="s">
        <v>453</v>
      </c>
      <c r="N165" s="101">
        <v>2015</v>
      </c>
      <c r="O165" s="101" t="s">
        <v>760</v>
      </c>
      <c r="P165" s="101" t="s">
        <v>761</v>
      </c>
      <c r="Q165" s="110">
        <v>60432</v>
      </c>
      <c r="R165" s="111" t="s">
        <v>462</v>
      </c>
    </row>
    <row r="166" ht="13.5" customHeight="1" spans="1:18">
      <c r="A166" s="101">
        <v>6</v>
      </c>
      <c r="B166" s="104" t="s">
        <v>1626</v>
      </c>
      <c r="C166" s="103" t="s">
        <v>3292</v>
      </c>
      <c r="D166" s="157" t="s">
        <v>8385</v>
      </c>
      <c r="E166" s="124" t="s">
        <v>3292</v>
      </c>
      <c r="F166" s="124" t="s">
        <v>8294</v>
      </c>
      <c r="G166" s="101" t="s">
        <v>23</v>
      </c>
      <c r="H166" s="157" t="s">
        <v>1605</v>
      </c>
      <c r="I166" s="101" t="str">
        <f>IFERROR(VLOOKUP(B166,'02. MM-KLH'!$B:$K,9,FALSE),"")</f>
        <v>21/02/2024</v>
      </c>
      <c r="J166" s="171">
        <v>0.69</v>
      </c>
      <c r="K166" s="125" t="s">
        <v>758</v>
      </c>
      <c r="L166" s="172" t="s">
        <v>480</v>
      </c>
      <c r="M166" s="160" t="s">
        <v>453</v>
      </c>
      <c r="N166" s="157">
        <v>2006</v>
      </c>
      <c r="O166" s="157" t="s">
        <v>1629</v>
      </c>
      <c r="P166" s="157" t="s">
        <v>767</v>
      </c>
      <c r="Q166" s="160" t="s">
        <v>1630</v>
      </c>
      <c r="R166" s="160">
        <v>11014</v>
      </c>
    </row>
    <row r="167" ht="13.5" customHeight="1" spans="1:18">
      <c r="A167" s="101">
        <v>7</v>
      </c>
      <c r="B167" s="102" t="s">
        <v>1631</v>
      </c>
      <c r="C167" s="117" t="s">
        <v>6557</v>
      </c>
      <c r="D167" s="103"/>
      <c r="E167" s="104"/>
      <c r="F167" s="102" t="s">
        <v>8386</v>
      </c>
      <c r="G167" s="101" t="s">
        <v>23</v>
      </c>
      <c r="H167" s="101" t="s">
        <v>1632</v>
      </c>
      <c r="I167" s="101" t="str">
        <f>IFERROR(VLOOKUP(B167,'02. MM-KLH'!$B:$K,9,FALSE),"")</f>
        <v>30/06/2024</v>
      </c>
      <c r="J167" s="107"/>
      <c r="K167" s="108"/>
      <c r="L167" s="109" t="s">
        <v>480</v>
      </c>
      <c r="M167" s="110" t="s">
        <v>8293</v>
      </c>
      <c r="N167" s="101">
        <v>2005</v>
      </c>
      <c r="O167" s="101" t="s">
        <v>569</v>
      </c>
      <c r="P167" s="101" t="s">
        <v>8387</v>
      </c>
      <c r="Q167" s="110" t="s">
        <v>1635</v>
      </c>
      <c r="R167" s="111">
        <v>27150</v>
      </c>
    </row>
    <row r="168" ht="13.5" customHeight="1" spans="1:18">
      <c r="A168" s="101">
        <v>8</v>
      </c>
      <c r="B168" s="104" t="s">
        <v>1639</v>
      </c>
      <c r="C168" s="103" t="s">
        <v>3297</v>
      </c>
      <c r="D168" s="103" t="s">
        <v>8388</v>
      </c>
      <c r="E168" s="104" t="s">
        <v>3297</v>
      </c>
      <c r="F168" s="104" t="s">
        <v>8294</v>
      </c>
      <c r="G168" s="103" t="s">
        <v>1593</v>
      </c>
      <c r="H168" s="112"/>
      <c r="I168" s="101">
        <f>IFERROR(VLOOKUP(B168,'02. MM-KLH'!$B:$K,9,FALSE),"")</f>
        <v>0</v>
      </c>
      <c r="J168" s="113">
        <v>0.69</v>
      </c>
      <c r="K168" s="114"/>
      <c r="L168" s="115" t="s">
        <v>480</v>
      </c>
      <c r="M168" s="111" t="s">
        <v>453</v>
      </c>
      <c r="N168" s="103">
        <v>2010</v>
      </c>
      <c r="O168" s="103" t="s">
        <v>569</v>
      </c>
      <c r="P168" s="103" t="s">
        <v>767</v>
      </c>
      <c r="Q168" s="111" t="s">
        <v>1641</v>
      </c>
      <c r="R168" s="111">
        <v>21629</v>
      </c>
    </row>
    <row r="169" ht="13.5" customHeight="1" spans="1:18">
      <c r="A169" s="101">
        <v>9</v>
      </c>
      <c r="B169" s="102" t="s">
        <v>3110</v>
      </c>
      <c r="C169" s="103" t="s">
        <v>3112</v>
      </c>
      <c r="D169" s="103" t="s">
        <v>8389</v>
      </c>
      <c r="E169" s="104" t="s">
        <v>3112</v>
      </c>
      <c r="F169" s="102" t="s">
        <v>3561</v>
      </c>
      <c r="G169" s="101" t="s">
        <v>1593</v>
      </c>
      <c r="H169" s="105"/>
      <c r="I169" s="101">
        <f>IFERROR(VLOOKUP(B169,'02. MM-KLH'!$B:$K,9,FALSE),"")</f>
        <v>0</v>
      </c>
      <c r="J169" s="101"/>
      <c r="K169" s="125" t="s">
        <v>8390</v>
      </c>
      <c r="L169" s="109" t="s">
        <v>759</v>
      </c>
      <c r="M169" s="110" t="s">
        <v>453</v>
      </c>
      <c r="N169" s="101">
        <v>2015</v>
      </c>
      <c r="O169" s="101" t="s">
        <v>760</v>
      </c>
      <c r="P169" s="101" t="s">
        <v>761</v>
      </c>
      <c r="Q169" s="110">
        <v>60284</v>
      </c>
      <c r="R169" s="111" t="s">
        <v>462</v>
      </c>
    </row>
    <row r="170" ht="13.5" customHeight="1" spans="1:18">
      <c r="A170" s="101">
        <v>10</v>
      </c>
      <c r="B170" s="102" t="s">
        <v>3113</v>
      </c>
      <c r="C170" s="103" t="s">
        <v>3112</v>
      </c>
      <c r="D170" s="103" t="s">
        <v>8391</v>
      </c>
      <c r="E170" s="104" t="s">
        <v>3112</v>
      </c>
      <c r="F170" s="102" t="s">
        <v>3561</v>
      </c>
      <c r="G170" s="101" t="s">
        <v>1593</v>
      </c>
      <c r="H170" s="105"/>
      <c r="I170" s="101">
        <f>IFERROR(VLOOKUP(B170,'02. MM-KLH'!$B:$K,9,FALSE),"")</f>
        <v>43617</v>
      </c>
      <c r="J170" s="101"/>
      <c r="K170" s="108"/>
      <c r="L170" s="109" t="s">
        <v>759</v>
      </c>
      <c r="M170" s="110" t="s">
        <v>453</v>
      </c>
      <c r="N170" s="101">
        <v>2015</v>
      </c>
      <c r="O170" s="101" t="s">
        <v>760</v>
      </c>
      <c r="P170" s="101" t="s">
        <v>761</v>
      </c>
      <c r="Q170" s="110">
        <v>60273</v>
      </c>
      <c r="R170" s="111" t="s">
        <v>462</v>
      </c>
    </row>
    <row r="171" ht="13.5" customHeight="1" spans="1:18">
      <c r="A171" s="101">
        <v>11</v>
      </c>
      <c r="B171" s="124" t="s">
        <v>1642</v>
      </c>
      <c r="C171" s="103" t="s">
        <v>3300</v>
      </c>
      <c r="D171" s="103" t="s">
        <v>8392</v>
      </c>
      <c r="E171" s="104" t="s">
        <v>3300</v>
      </c>
      <c r="F171" s="104" t="s">
        <v>8393</v>
      </c>
      <c r="G171" s="103" t="s">
        <v>1593</v>
      </c>
      <c r="H171" s="112"/>
      <c r="I171" s="101">
        <f>IFERROR(VLOOKUP(B171,'02. MM-KLH'!$B:$K,9,FALSE),"")</f>
        <v>45139</v>
      </c>
      <c r="J171" s="103"/>
      <c r="K171" s="114"/>
      <c r="L171" s="115" t="s">
        <v>1644</v>
      </c>
      <c r="M171" s="111" t="s">
        <v>453</v>
      </c>
      <c r="N171" s="103">
        <v>2006</v>
      </c>
      <c r="O171" s="103">
        <v>305</v>
      </c>
      <c r="P171" s="103" t="s">
        <v>557</v>
      </c>
      <c r="Q171" s="111">
        <v>2208498</v>
      </c>
      <c r="R171" s="111" t="s">
        <v>462</v>
      </c>
    </row>
    <row r="172" ht="13.5" customHeight="1" spans="1:18">
      <c r="A172" s="101">
        <v>12</v>
      </c>
      <c r="B172" s="102" t="s">
        <v>762</v>
      </c>
      <c r="C172" s="103" t="s">
        <v>6562</v>
      </c>
      <c r="D172" s="103" t="s">
        <v>8388</v>
      </c>
      <c r="E172" s="104"/>
      <c r="F172" s="102" t="s">
        <v>8294</v>
      </c>
      <c r="G172" s="101" t="s">
        <v>5049</v>
      </c>
      <c r="H172" s="105"/>
      <c r="I172" s="101" t="str">
        <f>IFERROR(VLOOKUP(B172,'02. MM-KLH'!$B:$K,9,FALSE),"")</f>
        <v>16/07/2024</v>
      </c>
      <c r="J172" s="101"/>
      <c r="K172" s="108"/>
      <c r="L172" s="109" t="s">
        <v>480</v>
      </c>
      <c r="M172" s="110" t="s">
        <v>453</v>
      </c>
      <c r="N172" s="101">
        <v>2006</v>
      </c>
      <c r="O172" s="101" t="s">
        <v>766</v>
      </c>
      <c r="P172" s="101" t="s">
        <v>767</v>
      </c>
      <c r="Q172" s="110">
        <v>9101</v>
      </c>
      <c r="R172" s="111" t="s">
        <v>462</v>
      </c>
    </row>
    <row r="173" ht="13.5" customHeight="1" spans="1:18">
      <c r="A173" s="101">
        <v>13</v>
      </c>
      <c r="B173" s="173" t="s">
        <v>1505</v>
      </c>
      <c r="C173" s="103" t="s">
        <v>6559</v>
      </c>
      <c r="D173" s="103"/>
      <c r="E173" s="104"/>
      <c r="F173" s="102" t="s">
        <v>8294</v>
      </c>
      <c r="G173" s="101" t="s">
        <v>8394</v>
      </c>
      <c r="H173" s="101" t="s">
        <v>8395</v>
      </c>
      <c r="I173" s="101" t="str">
        <f>IFERROR(VLOOKUP(B173,'02. MM-KLH'!$B:$K,9,FALSE),"")</f>
        <v>29/07/2024</v>
      </c>
      <c r="J173" s="107">
        <v>0.99</v>
      </c>
      <c r="K173" s="108" t="s">
        <v>504</v>
      </c>
      <c r="L173" s="109"/>
      <c r="M173" s="110"/>
      <c r="N173" s="101"/>
      <c r="O173" s="101"/>
      <c r="P173" s="101"/>
      <c r="Q173" s="110"/>
      <c r="R173" s="111"/>
    </row>
    <row r="174" ht="13.5" customHeight="1" spans="1:18">
      <c r="A174" s="101">
        <v>14</v>
      </c>
      <c r="B174" s="173" t="s">
        <v>1636</v>
      </c>
      <c r="C174" s="103" t="s">
        <v>6560</v>
      </c>
      <c r="D174" s="103"/>
      <c r="E174" s="104"/>
      <c r="F174" s="102" t="s">
        <v>8294</v>
      </c>
      <c r="G174" s="101" t="s">
        <v>8394</v>
      </c>
      <c r="H174" s="101" t="s">
        <v>8395</v>
      </c>
      <c r="I174" s="101" t="str">
        <f>IFERROR(VLOOKUP(B174,'02. MM-KLH'!$B:$K,9,FALSE),"")</f>
        <v>29/07/2024</v>
      </c>
      <c r="J174" s="107">
        <v>0.99</v>
      </c>
      <c r="K174" s="108" t="s">
        <v>504</v>
      </c>
      <c r="L174" s="109"/>
      <c r="M174" s="110"/>
      <c r="N174" s="101"/>
      <c r="O174" s="101"/>
      <c r="P174" s="101"/>
      <c r="Q174" s="110"/>
      <c r="R174" s="111"/>
    </row>
    <row r="175" ht="13.5" customHeight="1" spans="1:18">
      <c r="A175" s="96" t="s">
        <v>1035</v>
      </c>
      <c r="B175" s="97" t="s">
        <v>8396</v>
      </c>
      <c r="C175" s="96"/>
      <c r="D175" s="96"/>
      <c r="E175" s="97"/>
      <c r="F175" s="96"/>
      <c r="G175" s="97"/>
      <c r="H175" s="98"/>
      <c r="I175" s="98"/>
      <c r="J175" s="96"/>
      <c r="K175" s="99"/>
      <c r="L175" s="100"/>
      <c r="M175" s="97"/>
      <c r="N175" s="97"/>
      <c r="O175" s="97"/>
      <c r="P175" s="97"/>
      <c r="Q175" s="97"/>
      <c r="R175" s="97"/>
    </row>
    <row r="176" ht="13.5" customHeight="1" spans="1:18">
      <c r="A176" s="103">
        <v>1</v>
      </c>
      <c r="B176" s="104" t="s">
        <v>696</v>
      </c>
      <c r="C176" s="103" t="s">
        <v>3306</v>
      </c>
      <c r="D176" s="103" t="s">
        <v>8397</v>
      </c>
      <c r="E176" s="104" t="s">
        <v>3306</v>
      </c>
      <c r="F176" s="104" t="s">
        <v>57</v>
      </c>
      <c r="G176" s="103" t="s">
        <v>23</v>
      </c>
      <c r="H176" s="112">
        <v>44197</v>
      </c>
      <c r="I176" s="101">
        <f>IFERROR(VLOOKUP(B176,'02. MM-KLH'!$B:$K,9,FALSE),"")</f>
        <v>44197</v>
      </c>
      <c r="J176" s="113">
        <v>0.67</v>
      </c>
      <c r="K176" s="114"/>
      <c r="L176" s="115" t="s">
        <v>480</v>
      </c>
      <c r="M176" s="111" t="s">
        <v>453</v>
      </c>
      <c r="N176" s="103">
        <v>2006</v>
      </c>
      <c r="O176" s="103" t="s">
        <v>613</v>
      </c>
      <c r="P176" s="103" t="s">
        <v>482</v>
      </c>
      <c r="Q176" s="111" t="s">
        <v>698</v>
      </c>
      <c r="R176" s="111" t="s">
        <v>699</v>
      </c>
    </row>
    <row r="177" ht="13.5" customHeight="1" spans="1:18">
      <c r="A177" s="103">
        <v>2</v>
      </c>
      <c r="B177" s="104" t="s">
        <v>700</v>
      </c>
      <c r="C177" s="103" t="s">
        <v>3307</v>
      </c>
      <c r="D177" s="103" t="s">
        <v>8398</v>
      </c>
      <c r="E177" s="104" t="s">
        <v>3307</v>
      </c>
      <c r="F177" s="104" t="s">
        <v>57</v>
      </c>
      <c r="G177" s="103" t="s">
        <v>23</v>
      </c>
      <c r="H177" s="112">
        <v>44197</v>
      </c>
      <c r="I177" s="101">
        <f>IFERROR(VLOOKUP(B177,'02. MM-KLH'!$B:$K,9,FALSE),"")</f>
        <v>44197</v>
      </c>
      <c r="J177" s="113">
        <v>0.66</v>
      </c>
      <c r="K177" s="114"/>
      <c r="L177" s="115" t="s">
        <v>480</v>
      </c>
      <c r="M177" s="111" t="s">
        <v>453</v>
      </c>
      <c r="N177" s="103">
        <v>2008</v>
      </c>
      <c r="O177" s="103" t="s">
        <v>613</v>
      </c>
      <c r="P177" s="103" t="s">
        <v>482</v>
      </c>
      <c r="Q177" s="111" t="s">
        <v>702</v>
      </c>
      <c r="R177" s="111" t="s">
        <v>703</v>
      </c>
    </row>
    <row r="178" ht="13.5" customHeight="1" spans="1:18">
      <c r="A178" s="103">
        <v>3</v>
      </c>
      <c r="B178" s="102" t="s">
        <v>704</v>
      </c>
      <c r="C178" s="103" t="s">
        <v>3310</v>
      </c>
      <c r="D178" s="103" t="s">
        <v>8399</v>
      </c>
      <c r="E178" s="104" t="s">
        <v>3310</v>
      </c>
      <c r="F178" s="102" t="s">
        <v>60</v>
      </c>
      <c r="G178" s="101" t="s">
        <v>23</v>
      </c>
      <c r="H178" s="105">
        <v>44228</v>
      </c>
      <c r="I178" s="101">
        <f>IFERROR(VLOOKUP(B178,'02. MM-KLH'!$B:$K,9,FALSE),"")</f>
        <v>44228</v>
      </c>
      <c r="J178" s="107">
        <v>0.68</v>
      </c>
      <c r="K178" s="108"/>
      <c r="L178" s="109" t="s">
        <v>480</v>
      </c>
      <c r="M178" s="110" t="s">
        <v>453</v>
      </c>
      <c r="N178" s="101">
        <v>1995</v>
      </c>
      <c r="O178" s="101" t="s">
        <v>706</v>
      </c>
      <c r="P178" s="101" t="s">
        <v>61</v>
      </c>
      <c r="Q178" s="110" t="s">
        <v>707</v>
      </c>
      <c r="R178" s="111" t="s">
        <v>708</v>
      </c>
    </row>
    <row r="179" ht="13.5" customHeight="1" spans="1:18">
      <c r="A179" s="96" t="s">
        <v>1099</v>
      </c>
      <c r="B179" s="97" t="s">
        <v>8400</v>
      </c>
      <c r="C179" s="96"/>
      <c r="D179" s="96"/>
      <c r="E179" s="97"/>
      <c r="F179" s="96"/>
      <c r="G179" s="97"/>
      <c r="H179" s="98"/>
      <c r="I179" s="101" t="str">
        <f>IFERROR(VLOOKUP(B179,'02. MM-KLH'!$B:$K,9,FALSE),"")</f>
        <v/>
      </c>
      <c r="J179" s="96"/>
      <c r="K179" s="99"/>
      <c r="L179" s="100"/>
      <c r="M179" s="97"/>
      <c r="N179" s="97"/>
      <c r="O179" s="97"/>
      <c r="P179" s="97"/>
      <c r="Q179" s="97"/>
      <c r="R179" s="97"/>
    </row>
    <row r="180" ht="13.5" customHeight="1" spans="1:18">
      <c r="A180" s="103">
        <v>1</v>
      </c>
      <c r="B180" s="102" t="s">
        <v>8401</v>
      </c>
      <c r="C180" s="103" t="s">
        <v>1522</v>
      </c>
      <c r="D180" s="103" t="s">
        <v>1522</v>
      </c>
      <c r="E180" s="104" t="s">
        <v>3388</v>
      </c>
      <c r="F180" s="102" t="s">
        <v>8303</v>
      </c>
      <c r="G180" s="101" t="s">
        <v>23</v>
      </c>
      <c r="H180" s="105">
        <v>45632</v>
      </c>
      <c r="I180" s="101" t="str">
        <f>IFERROR(VLOOKUP(B180,'02. MM-KLH'!$B:$K,9,FALSE),"")</f>
        <v/>
      </c>
      <c r="J180" s="107">
        <v>1</v>
      </c>
      <c r="K180" s="125" t="s">
        <v>1523</v>
      </c>
      <c r="L180" s="109" t="s">
        <v>1019</v>
      </c>
      <c r="M180" s="110" t="s">
        <v>500</v>
      </c>
      <c r="N180" s="174">
        <v>2024</v>
      </c>
      <c r="O180" s="101" t="s">
        <v>8305</v>
      </c>
      <c r="P180" s="101" t="s">
        <v>112</v>
      </c>
      <c r="Q180" s="110" t="s">
        <v>1524</v>
      </c>
      <c r="R180" s="145" t="s">
        <v>1525</v>
      </c>
    </row>
    <row r="181" ht="13.5" customHeight="1" spans="1:18">
      <c r="A181" s="103">
        <v>2</v>
      </c>
      <c r="B181" s="102" t="s">
        <v>8402</v>
      </c>
      <c r="C181" s="103" t="s">
        <v>1528</v>
      </c>
      <c r="D181" s="103" t="s">
        <v>1528</v>
      </c>
      <c r="E181" s="104" t="s">
        <v>3389</v>
      </c>
      <c r="F181" s="102" t="s">
        <v>8303</v>
      </c>
      <c r="G181" s="101" t="s">
        <v>23</v>
      </c>
      <c r="H181" s="105">
        <v>45632</v>
      </c>
      <c r="I181" s="101" t="str">
        <f>IFERROR(VLOOKUP(B181,'02. MM-KLH'!$B:$K,9,FALSE),"")</f>
        <v/>
      </c>
      <c r="J181" s="107">
        <v>0.99</v>
      </c>
      <c r="K181" s="125" t="s">
        <v>1523</v>
      </c>
      <c r="L181" s="109" t="s">
        <v>1019</v>
      </c>
      <c r="M181" s="110" t="s">
        <v>500</v>
      </c>
      <c r="N181" s="174">
        <v>2024</v>
      </c>
      <c r="O181" s="101" t="s">
        <v>8305</v>
      </c>
      <c r="P181" s="101" t="s">
        <v>112</v>
      </c>
      <c r="Q181" s="110" t="s">
        <v>1529</v>
      </c>
      <c r="R181" s="145" t="s">
        <v>1530</v>
      </c>
    </row>
    <row r="182" ht="13.5" customHeight="1" spans="1:18">
      <c r="A182" s="103">
        <v>3</v>
      </c>
      <c r="B182" s="102" t="s">
        <v>1287</v>
      </c>
      <c r="C182" s="103" t="s">
        <v>1288</v>
      </c>
      <c r="D182" s="103" t="s">
        <v>1288</v>
      </c>
      <c r="E182" s="104"/>
      <c r="F182" s="102" t="s">
        <v>8303</v>
      </c>
      <c r="G182" s="101" t="s">
        <v>1593</v>
      </c>
      <c r="H182" s="105">
        <v>45569</v>
      </c>
      <c r="I182" s="101" t="str">
        <f>IFERROR(VLOOKUP(B182,'02. MM-KLH'!$B:$K,9,FALSE),"")</f>
        <v/>
      </c>
      <c r="J182" s="101"/>
      <c r="K182" s="125"/>
      <c r="L182" s="109" t="s">
        <v>621</v>
      </c>
      <c r="M182" s="110" t="s">
        <v>500</v>
      </c>
      <c r="N182" s="101">
        <v>2023</v>
      </c>
      <c r="O182" s="101" t="s">
        <v>8403</v>
      </c>
      <c r="P182" s="101" t="s">
        <v>124</v>
      </c>
      <c r="Q182" s="110" t="s">
        <v>1290</v>
      </c>
      <c r="R182" s="111" t="s">
        <v>1291</v>
      </c>
    </row>
    <row r="183" ht="13.5" customHeight="1" spans="1:18">
      <c r="A183" s="103">
        <v>4</v>
      </c>
      <c r="B183" s="102" t="s">
        <v>1659</v>
      </c>
      <c r="C183" s="103" t="s">
        <v>3385</v>
      </c>
      <c r="D183" s="103" t="s">
        <v>3385</v>
      </c>
      <c r="E183" s="104"/>
      <c r="F183" s="102" t="s">
        <v>8303</v>
      </c>
      <c r="G183" s="101" t="s">
        <v>1593</v>
      </c>
      <c r="H183" s="105">
        <v>45569</v>
      </c>
      <c r="I183" s="101">
        <f>IFERROR(VLOOKUP(B183,'02. MM-KLH'!$B:$K,9,FALSE),"")</f>
        <v>45569</v>
      </c>
      <c r="J183" s="101"/>
      <c r="K183" s="125"/>
      <c r="L183" s="109" t="s">
        <v>621</v>
      </c>
      <c r="M183" s="110" t="s">
        <v>500</v>
      </c>
      <c r="N183" s="101">
        <v>2023</v>
      </c>
      <c r="O183" s="101" t="s">
        <v>8403</v>
      </c>
      <c r="P183" s="101" t="s">
        <v>124</v>
      </c>
      <c r="Q183" s="110" t="s">
        <v>1660</v>
      </c>
      <c r="R183" s="111" t="s">
        <v>1661</v>
      </c>
    </row>
    <row r="184" ht="13.5" customHeight="1" spans="1:18">
      <c r="A184" s="103">
        <v>5</v>
      </c>
      <c r="B184" s="102" t="s">
        <v>1662</v>
      </c>
      <c r="C184" s="103" t="s">
        <v>3386</v>
      </c>
      <c r="D184" s="103" t="s">
        <v>3386</v>
      </c>
      <c r="E184" s="104"/>
      <c r="F184" s="102" t="s">
        <v>8303</v>
      </c>
      <c r="G184" s="101" t="s">
        <v>1593</v>
      </c>
      <c r="H184" s="105">
        <v>45569</v>
      </c>
      <c r="I184" s="101">
        <f>IFERROR(VLOOKUP(B184,'02. MM-KLH'!$B:$K,9,FALSE),"")</f>
        <v>45569</v>
      </c>
      <c r="J184" s="101"/>
      <c r="K184" s="125"/>
      <c r="L184" s="109" t="s">
        <v>621</v>
      </c>
      <c r="M184" s="110" t="s">
        <v>500</v>
      </c>
      <c r="N184" s="101">
        <v>2023</v>
      </c>
      <c r="O184" s="101" t="s">
        <v>8403</v>
      </c>
      <c r="P184" s="101" t="s">
        <v>124</v>
      </c>
      <c r="Q184" s="110" t="s">
        <v>1663</v>
      </c>
      <c r="R184" s="111" t="s">
        <v>1664</v>
      </c>
    </row>
    <row r="185" ht="13.5" customHeight="1" spans="1:18">
      <c r="A185" s="103">
        <v>6</v>
      </c>
      <c r="B185" s="102" t="s">
        <v>1404</v>
      </c>
      <c r="C185" s="103" t="s">
        <v>3387</v>
      </c>
      <c r="D185" s="103" t="s">
        <v>3387</v>
      </c>
      <c r="E185" s="104"/>
      <c r="F185" s="102" t="s">
        <v>8303</v>
      </c>
      <c r="G185" s="101" t="s">
        <v>1593</v>
      </c>
      <c r="H185" s="105">
        <v>45569</v>
      </c>
      <c r="I185" s="101" t="str">
        <f>IFERROR(VLOOKUP(B185,'02. MM-KLH'!$B:$K,9,FALSE),"")</f>
        <v/>
      </c>
      <c r="J185" s="101"/>
      <c r="K185" s="125"/>
      <c r="L185" s="109" t="s">
        <v>621</v>
      </c>
      <c r="M185" s="110" t="s">
        <v>500</v>
      </c>
      <c r="N185" s="101">
        <v>2023</v>
      </c>
      <c r="O185" s="101" t="s">
        <v>8403</v>
      </c>
      <c r="P185" s="101" t="s">
        <v>124</v>
      </c>
      <c r="Q185" s="110" t="s">
        <v>1406</v>
      </c>
      <c r="R185" s="111" t="s">
        <v>1407</v>
      </c>
    </row>
    <row r="186" ht="13.5" customHeight="1" spans="1:18">
      <c r="A186" s="103">
        <v>7</v>
      </c>
      <c r="B186" s="102" t="s">
        <v>1409</v>
      </c>
      <c r="C186" s="103" t="s">
        <v>6620</v>
      </c>
      <c r="D186" s="103" t="s">
        <v>6620</v>
      </c>
      <c r="E186" s="104"/>
      <c r="F186" s="102" t="s">
        <v>8303</v>
      </c>
      <c r="G186" s="101" t="s">
        <v>1593</v>
      </c>
      <c r="H186" s="105">
        <v>45569</v>
      </c>
      <c r="I186" s="101" t="str">
        <f>IFERROR(VLOOKUP(B186,'02. MM-KLH'!$B:$K,9,FALSE),"")</f>
        <v/>
      </c>
      <c r="J186" s="101"/>
      <c r="K186" s="125"/>
      <c r="L186" s="109" t="s">
        <v>621</v>
      </c>
      <c r="M186" s="110" t="s">
        <v>500</v>
      </c>
      <c r="N186" s="101">
        <v>2023</v>
      </c>
      <c r="O186" s="101" t="s">
        <v>8403</v>
      </c>
      <c r="P186" s="101" t="s">
        <v>124</v>
      </c>
      <c r="Q186" s="110" t="s">
        <v>1411</v>
      </c>
      <c r="R186" s="111" t="s">
        <v>1412</v>
      </c>
    </row>
    <row r="187" ht="13.5" customHeight="1" spans="1:18">
      <c r="A187" s="103">
        <v>8</v>
      </c>
      <c r="B187" s="102" t="s">
        <v>1665</v>
      </c>
      <c r="C187" s="103" t="s">
        <v>6639</v>
      </c>
      <c r="D187" s="103" t="s">
        <v>6639</v>
      </c>
      <c r="E187" s="104"/>
      <c r="F187" s="102" t="s">
        <v>8303</v>
      </c>
      <c r="G187" s="101" t="s">
        <v>1593</v>
      </c>
      <c r="H187" s="105">
        <v>45569</v>
      </c>
      <c r="I187" s="101">
        <f>IFERROR(VLOOKUP(B187,'02. MM-KLH'!$B:$K,9,FALSE),"")</f>
        <v>45569</v>
      </c>
      <c r="J187" s="101"/>
      <c r="K187" s="125"/>
      <c r="L187" s="109" t="s">
        <v>621</v>
      </c>
      <c r="M187" s="110" t="s">
        <v>500</v>
      </c>
      <c r="N187" s="101">
        <v>2023</v>
      </c>
      <c r="O187" s="101" t="s">
        <v>8403</v>
      </c>
      <c r="P187" s="101" t="s">
        <v>124</v>
      </c>
      <c r="Q187" s="110" t="s">
        <v>1667</v>
      </c>
      <c r="R187" s="111" t="s">
        <v>1668</v>
      </c>
    </row>
    <row r="188" ht="13.5" customHeight="1" spans="1:18">
      <c r="A188" s="103">
        <v>9</v>
      </c>
      <c r="B188" s="102" t="s">
        <v>717</v>
      </c>
      <c r="C188" s="103" t="s">
        <v>3381</v>
      </c>
      <c r="D188" s="103" t="s">
        <v>1178</v>
      </c>
      <c r="E188" s="104" t="s">
        <v>3381</v>
      </c>
      <c r="F188" s="102" t="s">
        <v>8404</v>
      </c>
      <c r="G188" s="101" t="s">
        <v>23</v>
      </c>
      <c r="H188" s="105">
        <v>44197</v>
      </c>
      <c r="I188" s="101">
        <f>IFERROR(VLOOKUP(B188,'02. MM-KLH'!$B:$K,9,FALSE),"")</f>
        <v>44197</v>
      </c>
      <c r="J188" s="107">
        <v>0.68</v>
      </c>
      <c r="K188" s="108"/>
      <c r="L188" s="109" t="s">
        <v>621</v>
      </c>
      <c r="M188" s="110" t="s">
        <v>500</v>
      </c>
      <c r="N188" s="101">
        <v>2020</v>
      </c>
      <c r="O188" s="101" t="s">
        <v>719</v>
      </c>
      <c r="P188" s="101" t="s">
        <v>85</v>
      </c>
      <c r="Q188" s="110" t="s">
        <v>720</v>
      </c>
      <c r="R188" s="111" t="s">
        <v>721</v>
      </c>
    </row>
    <row r="189" ht="13.5" customHeight="1" spans="1:18">
      <c r="A189" s="103">
        <v>10</v>
      </c>
      <c r="B189" s="102" t="s">
        <v>722</v>
      </c>
      <c r="C189" s="103" t="s">
        <v>6552</v>
      </c>
      <c r="D189" s="103" t="s">
        <v>1183</v>
      </c>
      <c r="E189" s="104"/>
      <c r="F189" s="102" t="s">
        <v>8405</v>
      </c>
      <c r="G189" s="101" t="s">
        <v>23</v>
      </c>
      <c r="H189" s="105"/>
      <c r="I189" s="101">
        <f>IFERROR(VLOOKUP(B189,'02. MM-KLH'!$B:$K,9,FALSE),"")</f>
        <v>0</v>
      </c>
      <c r="J189" s="101"/>
      <c r="K189" s="108"/>
      <c r="L189" s="109" t="s">
        <v>621</v>
      </c>
      <c r="M189" s="110" t="s">
        <v>500</v>
      </c>
      <c r="N189" s="101">
        <v>2020</v>
      </c>
      <c r="O189" s="101" t="s">
        <v>1417</v>
      </c>
      <c r="P189" s="101" t="s">
        <v>85</v>
      </c>
      <c r="Q189" s="110" t="s">
        <v>725</v>
      </c>
      <c r="R189" s="111" t="s">
        <v>726</v>
      </c>
    </row>
    <row r="190" ht="13.5" customHeight="1" spans="1:18">
      <c r="A190" s="103">
        <v>11</v>
      </c>
      <c r="B190" s="104" t="s">
        <v>2509</v>
      </c>
      <c r="C190" s="103" t="s">
        <v>2510</v>
      </c>
      <c r="D190" s="103" t="s">
        <v>8406</v>
      </c>
      <c r="E190" s="104" t="s">
        <v>2510</v>
      </c>
      <c r="F190" s="104" t="s">
        <v>104</v>
      </c>
      <c r="G190" s="103" t="s">
        <v>23</v>
      </c>
      <c r="H190" s="112">
        <v>44205</v>
      </c>
      <c r="I190" s="101" t="str">
        <f>IFERROR(VLOOKUP(B190,'02. MM-KLH'!$B:$K,9,FALSE),"")</f>
        <v/>
      </c>
      <c r="J190" s="113">
        <v>0.7</v>
      </c>
      <c r="K190" s="114"/>
      <c r="L190" s="115" t="s">
        <v>499</v>
      </c>
      <c r="M190" s="111" t="s">
        <v>500</v>
      </c>
      <c r="N190" s="103">
        <v>2018</v>
      </c>
      <c r="O190" s="101" t="s">
        <v>8300</v>
      </c>
      <c r="P190" s="103" t="s">
        <v>105</v>
      </c>
      <c r="Q190" s="111" t="s">
        <v>2512</v>
      </c>
      <c r="R190" s="111" t="s">
        <v>2513</v>
      </c>
    </row>
    <row r="191" ht="13.5" customHeight="1" spans="1:18">
      <c r="A191" s="103">
        <v>12</v>
      </c>
      <c r="B191" s="102" t="s">
        <v>727</v>
      </c>
      <c r="C191" s="103" t="s">
        <v>3379</v>
      </c>
      <c r="D191" s="103" t="s">
        <v>8407</v>
      </c>
      <c r="E191" s="104" t="s">
        <v>3379</v>
      </c>
      <c r="F191" s="102" t="s">
        <v>104</v>
      </c>
      <c r="G191" s="101" t="s">
        <v>23</v>
      </c>
      <c r="H191" s="105">
        <v>44205</v>
      </c>
      <c r="I191" s="101">
        <f>IFERROR(VLOOKUP(B191,'02. MM-KLH'!$B:$K,9,FALSE),"")</f>
        <v>44205</v>
      </c>
      <c r="J191" s="107">
        <v>0.7</v>
      </c>
      <c r="K191" s="108"/>
      <c r="L191" s="109" t="s">
        <v>499</v>
      </c>
      <c r="M191" s="110" t="s">
        <v>500</v>
      </c>
      <c r="N191" s="101">
        <v>2018</v>
      </c>
      <c r="O191" s="101" t="s">
        <v>8300</v>
      </c>
      <c r="P191" s="101" t="s">
        <v>105</v>
      </c>
      <c r="Q191" s="110" t="s">
        <v>729</v>
      </c>
      <c r="R191" s="111" t="s">
        <v>730</v>
      </c>
    </row>
    <row r="192" ht="13.5" customHeight="1" spans="1:18">
      <c r="A192" s="103">
        <v>13</v>
      </c>
      <c r="B192" s="102" t="s">
        <v>3108</v>
      </c>
      <c r="C192" s="103" t="s">
        <v>3107</v>
      </c>
      <c r="D192" s="103" t="s">
        <v>1522</v>
      </c>
      <c r="E192" s="104" t="s">
        <v>3107</v>
      </c>
      <c r="F192" s="102" t="s">
        <v>127</v>
      </c>
      <c r="G192" s="101" t="s">
        <v>1593</v>
      </c>
      <c r="H192" s="105"/>
      <c r="I192" s="101">
        <f>IFERROR(VLOOKUP(B192,'02. MM-KLH'!$B:$K,9,FALSE),"")</f>
        <v>0</v>
      </c>
      <c r="J192" s="101"/>
      <c r="K192" s="108"/>
      <c r="L192" s="109" t="s">
        <v>1164</v>
      </c>
      <c r="M192" s="110" t="s">
        <v>1165</v>
      </c>
      <c r="N192" s="101"/>
      <c r="O192" s="101"/>
      <c r="P192" s="101" t="s">
        <v>208</v>
      </c>
      <c r="Q192" s="110" t="s">
        <v>1658</v>
      </c>
      <c r="R192" s="111">
        <v>77052</v>
      </c>
    </row>
    <row r="193" ht="13.5" customHeight="1" spans="1:18">
      <c r="A193" s="103">
        <v>14</v>
      </c>
      <c r="B193" s="102" t="s">
        <v>1656</v>
      </c>
      <c r="C193" s="103" t="s">
        <v>3107</v>
      </c>
      <c r="D193" s="103" t="s">
        <v>1528</v>
      </c>
      <c r="E193" s="104" t="s">
        <v>3107</v>
      </c>
      <c r="F193" s="102" t="s">
        <v>127</v>
      </c>
      <c r="G193" s="101" t="s">
        <v>1593</v>
      </c>
      <c r="H193" s="105"/>
      <c r="I193" s="101">
        <f>IFERROR(VLOOKUP(B193,'02. MM-KLH'!$B:$K,9,FALSE),"")</f>
        <v>40914</v>
      </c>
      <c r="J193" s="101"/>
      <c r="K193" s="108"/>
      <c r="L193" s="109" t="s">
        <v>1164</v>
      </c>
      <c r="M193" s="110" t="s">
        <v>1165</v>
      </c>
      <c r="N193" s="101"/>
      <c r="O193" s="101"/>
      <c r="P193" s="101" t="s">
        <v>208</v>
      </c>
      <c r="Q193" s="110" t="s">
        <v>1658</v>
      </c>
      <c r="R193" s="111">
        <v>115002</v>
      </c>
    </row>
    <row r="194" ht="13.5" customHeight="1" spans="1:18">
      <c r="A194" s="103">
        <v>15</v>
      </c>
      <c r="B194" s="156" t="s">
        <v>3105</v>
      </c>
      <c r="C194" s="103" t="s">
        <v>3107</v>
      </c>
      <c r="D194" s="157" t="s">
        <v>8408</v>
      </c>
      <c r="E194" s="124" t="s">
        <v>3107</v>
      </c>
      <c r="F194" s="156" t="s">
        <v>127</v>
      </c>
      <c r="G194" s="146" t="s">
        <v>1593</v>
      </c>
      <c r="H194" s="146" t="s">
        <v>1605</v>
      </c>
      <c r="I194" s="101" t="str">
        <f>IFERROR(VLOOKUP(B194,'02. MM-KLH'!$B:$K,9,FALSE),"")</f>
        <v>21/02/2024</v>
      </c>
      <c r="J194" s="146"/>
      <c r="K194" s="150" t="s">
        <v>8409</v>
      </c>
      <c r="L194" s="151" t="s">
        <v>1164</v>
      </c>
      <c r="M194" s="159" t="s">
        <v>1165</v>
      </c>
      <c r="N194" s="146"/>
      <c r="O194" s="146"/>
      <c r="P194" s="146" t="s">
        <v>208</v>
      </c>
      <c r="Q194" s="159" t="s">
        <v>1658</v>
      </c>
      <c r="R194" s="160">
        <v>77109</v>
      </c>
    </row>
    <row r="195" ht="13.5" customHeight="1" spans="1:18">
      <c r="A195" s="103">
        <v>16</v>
      </c>
      <c r="B195" s="102" t="s">
        <v>8410</v>
      </c>
      <c r="C195" s="103" t="s">
        <v>3107</v>
      </c>
      <c r="D195" s="103" t="s">
        <v>1522</v>
      </c>
      <c r="E195" s="104" t="s">
        <v>3107</v>
      </c>
      <c r="F195" s="102" t="s">
        <v>127</v>
      </c>
      <c r="G195" s="101" t="s">
        <v>5049</v>
      </c>
      <c r="H195" s="105"/>
      <c r="I195" s="101" t="str">
        <f>IFERROR(VLOOKUP(B195,'02. MM-KLH'!$B:$K,9,FALSE),"")</f>
        <v/>
      </c>
      <c r="J195" s="101"/>
      <c r="K195" s="108"/>
      <c r="L195" s="109" t="s">
        <v>1164</v>
      </c>
      <c r="M195" s="110" t="s">
        <v>1165</v>
      </c>
      <c r="N195" s="101"/>
      <c r="O195" s="101"/>
      <c r="P195" s="101" t="s">
        <v>208</v>
      </c>
      <c r="Q195" s="110" t="s">
        <v>1658</v>
      </c>
      <c r="R195" s="111" t="s">
        <v>462</v>
      </c>
    </row>
    <row r="196" ht="13.5" customHeight="1" spans="1:18">
      <c r="A196" s="103">
        <v>17</v>
      </c>
      <c r="B196" s="104" t="s">
        <v>2499</v>
      </c>
      <c r="C196" s="103" t="s">
        <v>3452</v>
      </c>
      <c r="D196" s="103"/>
      <c r="E196" s="104" t="s">
        <v>3452</v>
      </c>
      <c r="F196" s="104" t="s">
        <v>8411</v>
      </c>
      <c r="G196" s="103" t="s">
        <v>31</v>
      </c>
      <c r="H196" s="112"/>
      <c r="I196" s="101">
        <f>IFERROR(VLOOKUP(B196,'02. MM-KLH'!$B:$K,9,FALSE),"")</f>
        <v>0</v>
      </c>
      <c r="J196" s="103"/>
      <c r="K196" s="114" t="s">
        <v>5981</v>
      </c>
      <c r="L196" s="115" t="s">
        <v>621</v>
      </c>
      <c r="M196" s="111" t="s">
        <v>500</v>
      </c>
      <c r="N196" s="103">
        <v>2020</v>
      </c>
      <c r="O196" s="101" t="s">
        <v>1417</v>
      </c>
      <c r="P196" s="103" t="s">
        <v>85</v>
      </c>
      <c r="Q196" s="111" t="s">
        <v>2503</v>
      </c>
      <c r="R196" s="111" t="s">
        <v>462</v>
      </c>
    </row>
    <row r="197" ht="13.5" customHeight="1" spans="1:18">
      <c r="A197" s="103">
        <v>18</v>
      </c>
      <c r="B197" s="104" t="s">
        <v>1670</v>
      </c>
      <c r="C197" s="103" t="s">
        <v>6640</v>
      </c>
      <c r="D197" s="103"/>
      <c r="E197" s="104"/>
      <c r="F197" s="102" t="s">
        <v>8303</v>
      </c>
      <c r="G197" s="103" t="s">
        <v>25</v>
      </c>
      <c r="H197" s="103" t="s">
        <v>1213</v>
      </c>
      <c r="I197" s="101" t="str">
        <f>IFERROR(VLOOKUP(B197,'02. MM-KLH'!$B:$K,9,FALSE),"")</f>
        <v/>
      </c>
      <c r="J197" s="113">
        <v>1</v>
      </c>
      <c r="K197" s="114"/>
      <c r="L197" s="115"/>
      <c r="M197" s="111"/>
      <c r="N197" s="103"/>
      <c r="O197" s="101"/>
      <c r="P197" s="103"/>
      <c r="Q197" s="111"/>
      <c r="R197" s="111"/>
    </row>
    <row r="198" ht="13.5" customHeight="1" spans="1:18">
      <c r="A198" s="103">
        <v>19</v>
      </c>
      <c r="B198" s="104" t="s">
        <v>1531</v>
      </c>
      <c r="C198" s="103" t="s">
        <v>6627</v>
      </c>
      <c r="D198" s="103"/>
      <c r="E198" s="104"/>
      <c r="F198" s="102" t="s">
        <v>8303</v>
      </c>
      <c r="G198" s="103" t="s">
        <v>25</v>
      </c>
      <c r="H198" s="103" t="s">
        <v>1213</v>
      </c>
      <c r="I198" s="101" t="str">
        <f>IFERROR(VLOOKUP(B198,'02. MM-KLH'!$B:$K,9,FALSE),"")</f>
        <v>30/07/2024</v>
      </c>
      <c r="J198" s="113">
        <v>1</v>
      </c>
      <c r="K198" s="114"/>
      <c r="L198" s="115"/>
      <c r="M198" s="111"/>
      <c r="N198" s="103"/>
      <c r="O198" s="101"/>
      <c r="P198" s="103"/>
      <c r="Q198" s="111"/>
      <c r="R198" s="111"/>
    </row>
    <row r="199" ht="13.5" customHeight="1" spans="1:18">
      <c r="A199" s="103"/>
      <c r="B199" s="104" t="s">
        <v>768</v>
      </c>
      <c r="C199" s="103" t="s">
        <v>769</v>
      </c>
      <c r="D199" s="103"/>
      <c r="E199" s="104"/>
      <c r="F199" s="144" t="s">
        <v>8313</v>
      </c>
      <c r="G199" s="103" t="s">
        <v>23</v>
      </c>
      <c r="H199" s="103"/>
      <c r="I199" s="101"/>
      <c r="J199" s="113"/>
      <c r="K199" s="114"/>
      <c r="L199" s="115"/>
      <c r="M199" s="111"/>
      <c r="N199" s="103"/>
      <c r="O199" s="101"/>
      <c r="P199" s="103"/>
      <c r="Q199" s="111"/>
      <c r="R199" s="111"/>
    </row>
    <row r="200" ht="13.5" customHeight="1" spans="1:18">
      <c r="A200" s="103"/>
      <c r="B200" s="104" t="s">
        <v>774</v>
      </c>
      <c r="C200" s="103" t="s">
        <v>775</v>
      </c>
      <c r="D200" s="103"/>
      <c r="E200" s="104"/>
      <c r="F200" s="144" t="s">
        <v>8313</v>
      </c>
      <c r="G200" s="103" t="s">
        <v>23</v>
      </c>
      <c r="H200" s="103"/>
      <c r="I200" s="101"/>
      <c r="J200" s="113"/>
      <c r="K200" s="114"/>
      <c r="L200" s="115"/>
      <c r="M200" s="111"/>
      <c r="N200" s="103"/>
      <c r="O200" s="101"/>
      <c r="P200" s="103"/>
      <c r="Q200" s="111"/>
      <c r="R200" s="111"/>
    </row>
    <row r="201" ht="13.5" customHeight="1" spans="1:18">
      <c r="A201" s="103"/>
      <c r="B201" s="104"/>
      <c r="C201" s="103"/>
      <c r="D201" s="103"/>
      <c r="E201" s="104"/>
      <c r="F201" s="102"/>
      <c r="G201" s="103"/>
      <c r="H201" s="103"/>
      <c r="I201" s="101"/>
      <c r="J201" s="113"/>
      <c r="K201" s="114"/>
      <c r="L201" s="115"/>
      <c r="M201" s="111"/>
      <c r="N201" s="103"/>
      <c r="O201" s="101"/>
      <c r="P201" s="103"/>
      <c r="Q201" s="111"/>
      <c r="R201" s="111"/>
    </row>
    <row r="202" ht="13.5" customHeight="1" spans="1:18">
      <c r="A202" s="103"/>
      <c r="B202" s="104"/>
      <c r="C202" s="103"/>
      <c r="D202" s="103"/>
      <c r="E202" s="104"/>
      <c r="F202" s="102"/>
      <c r="G202" s="103"/>
      <c r="H202" s="103"/>
      <c r="I202" s="101"/>
      <c r="J202" s="113"/>
      <c r="K202" s="114"/>
      <c r="L202" s="115"/>
      <c r="M202" s="111"/>
      <c r="N202" s="103"/>
      <c r="O202" s="101"/>
      <c r="P202" s="103"/>
      <c r="Q202" s="111"/>
      <c r="R202" s="111"/>
    </row>
    <row r="203" ht="13.5" customHeight="1" spans="1:18">
      <c r="A203" s="103"/>
      <c r="B203" s="104"/>
      <c r="C203" s="103"/>
      <c r="D203" s="103"/>
      <c r="E203" s="104"/>
      <c r="F203" s="102"/>
      <c r="G203" s="103"/>
      <c r="H203" s="103"/>
      <c r="I203" s="101"/>
      <c r="J203" s="113"/>
      <c r="K203" s="114"/>
      <c r="L203" s="115"/>
      <c r="M203" s="111"/>
      <c r="N203" s="103"/>
      <c r="O203" s="101"/>
      <c r="P203" s="103"/>
      <c r="Q203" s="111"/>
      <c r="R203" s="111"/>
    </row>
    <row r="204" ht="13.5" customHeight="1" spans="1:18">
      <c r="A204" s="103"/>
      <c r="B204" s="104"/>
      <c r="C204" s="103"/>
      <c r="D204" s="103"/>
      <c r="E204" s="104"/>
      <c r="F204" s="102"/>
      <c r="G204" s="103"/>
      <c r="H204" s="103"/>
      <c r="I204" s="101"/>
      <c r="J204" s="113"/>
      <c r="K204" s="114"/>
      <c r="L204" s="115"/>
      <c r="M204" s="111"/>
      <c r="N204" s="103"/>
      <c r="O204" s="101"/>
      <c r="P204" s="103"/>
      <c r="Q204" s="111"/>
      <c r="R204" s="111"/>
    </row>
    <row r="205" ht="13.5" customHeight="1" spans="1:18">
      <c r="A205" s="96" t="s">
        <v>8412</v>
      </c>
      <c r="B205" s="97" t="s">
        <v>8413</v>
      </c>
      <c r="C205" s="96"/>
      <c r="D205" s="96"/>
      <c r="E205" s="97"/>
      <c r="F205" s="96"/>
      <c r="G205" s="97"/>
      <c r="H205" s="98"/>
      <c r="I205" s="98"/>
      <c r="J205" s="96"/>
      <c r="K205" s="99"/>
      <c r="L205" s="100"/>
      <c r="M205" s="97"/>
      <c r="N205" s="97"/>
      <c r="O205" s="97"/>
      <c r="P205" s="97"/>
      <c r="Q205" s="97"/>
      <c r="R205" s="97"/>
    </row>
    <row r="206" ht="13.5" customHeight="1" spans="1:18">
      <c r="A206" s="103">
        <v>17</v>
      </c>
      <c r="B206" s="102" t="s">
        <v>3173</v>
      </c>
      <c r="C206" s="103" t="s">
        <v>8414</v>
      </c>
      <c r="D206" s="103" t="s">
        <v>8415</v>
      </c>
      <c r="E206" s="104"/>
      <c r="F206" s="102" t="s">
        <v>3174</v>
      </c>
      <c r="G206" s="101" t="s">
        <v>23</v>
      </c>
      <c r="H206" s="105"/>
      <c r="I206" s="101">
        <f>IFERROR(VLOOKUP(B206,'02. MM-KLH'!$B:$K,9,FALSE),"")</f>
        <v>0</v>
      </c>
      <c r="J206" s="107">
        <v>0.05</v>
      </c>
      <c r="K206" s="175" t="s">
        <v>8416</v>
      </c>
      <c r="L206" s="109" t="s">
        <v>1267</v>
      </c>
      <c r="M206" s="110" t="s">
        <v>465</v>
      </c>
      <c r="N206" s="101">
        <v>2005</v>
      </c>
      <c r="O206" s="101" t="s">
        <v>3175</v>
      </c>
      <c r="P206" s="101" t="s">
        <v>134</v>
      </c>
      <c r="Q206" s="110" t="s">
        <v>3176</v>
      </c>
      <c r="R206" s="111" t="s">
        <v>462</v>
      </c>
    </row>
    <row r="207" ht="13.5" customHeight="1" spans="1:18">
      <c r="A207" s="96" t="s">
        <v>8417</v>
      </c>
      <c r="B207" s="97" t="s">
        <v>8418</v>
      </c>
      <c r="C207" s="96"/>
      <c r="D207" s="96"/>
      <c r="E207" s="97"/>
      <c r="F207" s="96"/>
      <c r="G207" s="97"/>
      <c r="H207" s="98"/>
      <c r="I207" s="98"/>
      <c r="J207" s="96"/>
      <c r="K207" s="99"/>
      <c r="L207" s="100"/>
      <c r="M207" s="97"/>
      <c r="N207" s="97"/>
      <c r="O207" s="97"/>
      <c r="P207" s="97"/>
      <c r="Q207" s="97"/>
      <c r="R207" s="97"/>
    </row>
    <row r="208" ht="13.5" customHeight="1" spans="1:18">
      <c r="A208" s="103">
        <v>1</v>
      </c>
      <c r="B208" s="104" t="s">
        <v>692</v>
      </c>
      <c r="C208" s="103" t="s">
        <v>3332</v>
      </c>
      <c r="D208" s="103" t="s">
        <v>8419</v>
      </c>
      <c r="E208" s="104" t="s">
        <v>3332</v>
      </c>
      <c r="F208" s="104" t="s">
        <v>70</v>
      </c>
      <c r="G208" s="103" t="s">
        <v>23</v>
      </c>
      <c r="H208" s="112">
        <v>44197</v>
      </c>
      <c r="I208" s="101">
        <f>IFERROR(VLOOKUP(B208,'02. MM-KLH'!$B:$K,9,FALSE),"")</f>
        <v>44197</v>
      </c>
      <c r="J208" s="113">
        <v>0.67</v>
      </c>
      <c r="K208" s="114"/>
      <c r="L208" s="115" t="s">
        <v>480</v>
      </c>
      <c r="M208" s="111" t="s">
        <v>453</v>
      </c>
      <c r="N208" s="103">
        <v>1995</v>
      </c>
      <c r="O208" s="103" t="s">
        <v>545</v>
      </c>
      <c r="P208" s="103" t="s">
        <v>546</v>
      </c>
      <c r="Q208" s="111" t="s">
        <v>694</v>
      </c>
      <c r="R208" s="111" t="s">
        <v>695</v>
      </c>
    </row>
    <row r="209" ht="13.5" customHeight="1" spans="1:18">
      <c r="A209" s="96" t="s">
        <v>8420</v>
      </c>
      <c r="B209" s="97" t="s">
        <v>8421</v>
      </c>
      <c r="C209" s="96"/>
      <c r="D209" s="96"/>
      <c r="E209" s="97"/>
      <c r="F209" s="96"/>
      <c r="G209" s="97"/>
      <c r="H209" s="98"/>
      <c r="I209" s="98"/>
      <c r="J209" s="96"/>
      <c r="K209" s="99"/>
      <c r="L209" s="100"/>
      <c r="M209" s="97"/>
      <c r="N209" s="97"/>
      <c r="O209" s="97"/>
      <c r="P209" s="97"/>
      <c r="Q209" s="97"/>
      <c r="R209" s="97"/>
    </row>
    <row r="210" ht="13.5" customHeight="1" spans="1:18">
      <c r="A210" s="103">
        <v>1</v>
      </c>
      <c r="B210" s="102" t="s">
        <v>709</v>
      </c>
      <c r="C210" s="103" t="s">
        <v>3322</v>
      </c>
      <c r="D210" s="103" t="s">
        <v>8422</v>
      </c>
      <c r="E210" s="104" t="s">
        <v>3322</v>
      </c>
      <c r="F210" s="102" t="s">
        <v>8323</v>
      </c>
      <c r="G210" s="101" t="s">
        <v>23</v>
      </c>
      <c r="H210" s="105">
        <v>44197</v>
      </c>
      <c r="I210" s="101">
        <f>IFERROR(VLOOKUP(B210,'02. MM-KLH'!$B:$K,9,FALSE),"")</f>
        <v>44197</v>
      </c>
      <c r="J210" s="107">
        <v>0.67</v>
      </c>
      <c r="K210" s="108"/>
      <c r="L210" s="109" t="s">
        <v>530</v>
      </c>
      <c r="M210" s="110" t="s">
        <v>453</v>
      </c>
      <c r="N210" s="101">
        <v>2020</v>
      </c>
      <c r="O210" s="101" t="s">
        <v>8423</v>
      </c>
      <c r="P210" s="101" t="s">
        <v>77</v>
      </c>
      <c r="Q210" s="110" t="s">
        <v>711</v>
      </c>
      <c r="R210" s="111">
        <v>133243</v>
      </c>
    </row>
    <row r="211" ht="13.5" customHeight="1" spans="1:18">
      <c r="A211" s="103">
        <v>2</v>
      </c>
      <c r="B211" s="102" t="s">
        <v>712</v>
      </c>
      <c r="C211" s="103" t="s">
        <v>3324</v>
      </c>
      <c r="D211" s="103" t="s">
        <v>8424</v>
      </c>
      <c r="E211" s="104" t="s">
        <v>3324</v>
      </c>
      <c r="F211" s="102" t="s">
        <v>8324</v>
      </c>
      <c r="G211" s="101" t="s">
        <v>23</v>
      </c>
      <c r="H211" s="105">
        <v>44197</v>
      </c>
      <c r="I211" s="101">
        <f>IFERROR(VLOOKUP(B211,'02. MM-KLH'!$B:$K,9,FALSE),"")</f>
        <v>44197</v>
      </c>
      <c r="J211" s="107">
        <v>0.67</v>
      </c>
      <c r="K211" s="108"/>
      <c r="L211" s="109" t="s">
        <v>530</v>
      </c>
      <c r="M211" s="110" t="s">
        <v>453</v>
      </c>
      <c r="N211" s="101">
        <v>2000</v>
      </c>
      <c r="O211" s="101" t="s">
        <v>714</v>
      </c>
      <c r="P211" s="101" t="s">
        <v>535</v>
      </c>
      <c r="Q211" s="110" t="s">
        <v>715</v>
      </c>
      <c r="R211" s="111" t="s">
        <v>716</v>
      </c>
    </row>
    <row r="212" ht="13.5" customHeight="1" spans="1:18">
      <c r="A212" s="103">
        <v>3</v>
      </c>
      <c r="B212" s="102" t="s">
        <v>1734</v>
      </c>
      <c r="C212" s="117" t="s">
        <v>6556</v>
      </c>
      <c r="D212" s="103"/>
      <c r="E212" s="104"/>
      <c r="F212" s="102" t="s">
        <v>73</v>
      </c>
      <c r="G212" s="101" t="s">
        <v>23</v>
      </c>
      <c r="H212" s="101" t="s">
        <v>1632</v>
      </c>
      <c r="I212" s="101" t="str">
        <f>IFERROR(VLOOKUP(B212,'02. MM-KLH'!$B:$K,9,FALSE),"")</f>
        <v>30/06/2024</v>
      </c>
      <c r="J212" s="107"/>
      <c r="K212" s="108"/>
      <c r="L212" s="109" t="s">
        <v>589</v>
      </c>
      <c r="M212" s="110" t="s">
        <v>8293</v>
      </c>
      <c r="N212" s="101"/>
      <c r="O212" s="101" t="s">
        <v>1736</v>
      </c>
      <c r="P212" s="101"/>
      <c r="Q212" s="110" t="s">
        <v>1738</v>
      </c>
      <c r="R212" s="111" t="s">
        <v>1739</v>
      </c>
    </row>
    <row r="213" ht="13.5" customHeight="1" spans="1:18">
      <c r="A213" s="96" t="s">
        <v>8425</v>
      </c>
      <c r="B213" s="97" t="s">
        <v>8426</v>
      </c>
      <c r="C213" s="96"/>
      <c r="D213" s="96"/>
      <c r="E213" s="97"/>
      <c r="F213" s="96"/>
      <c r="G213" s="97"/>
      <c r="H213" s="98"/>
      <c r="I213" s="98"/>
      <c r="J213" s="96"/>
      <c r="K213" s="99"/>
      <c r="L213" s="100"/>
      <c r="M213" s="97"/>
      <c r="N213" s="97"/>
      <c r="O213" s="97"/>
      <c r="P213" s="97"/>
      <c r="Q213" s="97"/>
      <c r="R213" s="97"/>
    </row>
    <row r="214" ht="13.5" customHeight="1" spans="1:18">
      <c r="A214" s="101">
        <v>1</v>
      </c>
      <c r="B214" s="156" t="s">
        <v>1686</v>
      </c>
      <c r="C214" s="157" t="s">
        <v>6642</v>
      </c>
      <c r="D214" s="157" t="s">
        <v>6642</v>
      </c>
      <c r="E214" s="124"/>
      <c r="F214" s="156" t="s">
        <v>8427</v>
      </c>
      <c r="G214" s="146" t="s">
        <v>1593</v>
      </c>
      <c r="H214" s="146"/>
      <c r="I214" s="101">
        <f>IFERROR(VLOOKUP(B214,'02. MM-KLH'!$B:$K,9,FALSE),"")</f>
        <v>0</v>
      </c>
      <c r="J214" s="146"/>
      <c r="K214" s="150" t="s">
        <v>1687</v>
      </c>
      <c r="L214" s="151" t="s">
        <v>480</v>
      </c>
      <c r="M214" s="159"/>
      <c r="N214" s="146">
        <v>2007</v>
      </c>
      <c r="O214" s="146" t="s">
        <v>1688</v>
      </c>
      <c r="P214" s="146"/>
      <c r="Q214" s="159">
        <v>830261</v>
      </c>
      <c r="R214" s="176">
        <v>39114</v>
      </c>
    </row>
    <row r="215" ht="13.5" customHeight="1" spans="1:18">
      <c r="A215" s="101">
        <v>2</v>
      </c>
      <c r="B215" s="156" t="s">
        <v>1555</v>
      </c>
      <c r="C215" s="157" t="s">
        <v>1559</v>
      </c>
      <c r="D215" s="157"/>
      <c r="E215" s="124"/>
      <c r="F215" s="156" t="s">
        <v>241</v>
      </c>
      <c r="G215" s="146" t="s">
        <v>5049</v>
      </c>
      <c r="H215" s="146"/>
      <c r="I215" s="101" t="str">
        <f>IFERROR(VLOOKUP(B215,'02. MM-KLH'!$B:$K,9,FALSE),"")</f>
        <v/>
      </c>
      <c r="J215" s="146"/>
      <c r="K215" s="150"/>
      <c r="L215" s="151"/>
      <c r="M215" s="159"/>
      <c r="N215" s="146"/>
      <c r="O215" s="146"/>
      <c r="P215" s="146"/>
      <c r="Q215" s="159"/>
      <c r="R215" s="176"/>
    </row>
    <row r="216" ht="13.5" customHeight="1" spans="1:18">
      <c r="A216" s="96" t="s">
        <v>8428</v>
      </c>
      <c r="B216" s="97" t="s">
        <v>8429</v>
      </c>
      <c r="C216" s="96"/>
      <c r="D216" s="96"/>
      <c r="E216" s="97"/>
      <c r="F216" s="96"/>
      <c r="G216" s="97"/>
      <c r="H216" s="98"/>
      <c r="I216" s="98"/>
      <c r="J216" s="96"/>
      <c r="K216" s="99"/>
      <c r="L216" s="100"/>
      <c r="M216" s="97"/>
      <c r="N216" s="97"/>
      <c r="O216" s="97"/>
      <c r="P216" s="97"/>
      <c r="Q216" s="97"/>
      <c r="R216" s="97"/>
    </row>
    <row r="217" ht="13.5" customHeight="1" spans="1:18">
      <c r="A217" s="101">
        <v>22</v>
      </c>
      <c r="B217" s="156" t="s">
        <v>1679</v>
      </c>
      <c r="C217" s="157" t="s">
        <v>6641</v>
      </c>
      <c r="D217" s="157" t="s">
        <v>6641</v>
      </c>
      <c r="E217" s="124"/>
      <c r="F217" s="156" t="s">
        <v>8332</v>
      </c>
      <c r="G217" s="146" t="s">
        <v>1593</v>
      </c>
      <c r="H217" s="146" t="s">
        <v>1605</v>
      </c>
      <c r="I217" s="101" t="str">
        <f>IFERROR(VLOOKUP(B217,'02. MM-KLH'!$B:$K,9,FALSE),"")</f>
        <v>21/02/2024</v>
      </c>
      <c r="J217" s="146"/>
      <c r="K217" s="150" t="s">
        <v>1606</v>
      </c>
      <c r="L217" s="151" t="s">
        <v>1160</v>
      </c>
      <c r="M217" s="159"/>
      <c r="N217" s="146">
        <v>2010</v>
      </c>
      <c r="O217" s="146"/>
      <c r="P217" s="146" t="s">
        <v>1681</v>
      </c>
      <c r="Q217" s="159" t="s">
        <v>1682</v>
      </c>
      <c r="R217" s="160" t="s">
        <v>462</v>
      </c>
    </row>
    <row r="218" ht="13.5" customHeight="1" spans="1:18">
      <c r="A218" s="101">
        <v>1</v>
      </c>
      <c r="B218" s="102" t="s">
        <v>8430</v>
      </c>
      <c r="C218" s="157" t="s">
        <v>8431</v>
      </c>
      <c r="D218" s="103" t="s">
        <v>6641</v>
      </c>
      <c r="E218" s="104"/>
      <c r="F218" s="102" t="s">
        <v>8432</v>
      </c>
      <c r="G218" s="101" t="s">
        <v>5049</v>
      </c>
      <c r="H218" s="105"/>
      <c r="I218" s="101" t="str">
        <f>IFERROR(VLOOKUP(B218,'02. MM-KLH'!$B:$K,9,FALSE),"")</f>
        <v/>
      </c>
      <c r="J218" s="101"/>
      <c r="K218" s="108"/>
      <c r="L218" s="109" t="s">
        <v>1267</v>
      </c>
      <c r="M218" s="110" t="s">
        <v>465</v>
      </c>
      <c r="N218" s="101"/>
      <c r="O218" s="101"/>
      <c r="P218" s="101" t="s">
        <v>1681</v>
      </c>
      <c r="Q218" s="110">
        <v>6958</v>
      </c>
      <c r="R218" s="111" t="s">
        <v>462</v>
      </c>
    </row>
    <row r="219" ht="13.5" customHeight="1" spans="1:18">
      <c r="A219" s="96" t="s">
        <v>8433</v>
      </c>
      <c r="B219" s="97" t="s">
        <v>8434</v>
      </c>
      <c r="C219" s="96"/>
      <c r="D219" s="96"/>
      <c r="E219" s="97"/>
      <c r="F219" s="96"/>
      <c r="G219" s="97"/>
      <c r="H219" s="98"/>
      <c r="I219" s="98"/>
      <c r="J219" s="96"/>
      <c r="K219" s="99"/>
      <c r="L219" s="100"/>
      <c r="M219" s="97"/>
      <c r="N219" s="97"/>
      <c r="O219" s="97"/>
      <c r="P219" s="97"/>
      <c r="Q219" s="97"/>
      <c r="R219" s="97"/>
    </row>
    <row r="220" ht="13.5" customHeight="1" spans="1:18">
      <c r="A220" s="101">
        <v>12</v>
      </c>
      <c r="B220" s="102" t="s">
        <v>1645</v>
      </c>
      <c r="C220" s="103" t="s">
        <v>3460</v>
      </c>
      <c r="D220" s="103" t="s">
        <v>1469</v>
      </c>
      <c r="E220" s="104" t="s">
        <v>3460</v>
      </c>
      <c r="F220" s="102" t="s">
        <v>251</v>
      </c>
      <c r="G220" s="101" t="s">
        <v>1593</v>
      </c>
      <c r="H220" s="105">
        <v>45566</v>
      </c>
      <c r="I220" s="101">
        <f>IFERROR(VLOOKUP(B220,'02. MM-KLH'!$B:$K,9,FALSE),"")</f>
        <v>45566</v>
      </c>
      <c r="J220" s="107">
        <v>0.98</v>
      </c>
      <c r="K220" s="108"/>
      <c r="L220" s="109" t="s">
        <v>1152</v>
      </c>
      <c r="M220" s="110" t="s">
        <v>500</v>
      </c>
      <c r="N220" s="101">
        <v>2021</v>
      </c>
      <c r="O220" s="101" t="s">
        <v>1153</v>
      </c>
      <c r="P220" s="101" t="s">
        <v>44</v>
      </c>
      <c r="Q220" s="110" t="s">
        <v>1648</v>
      </c>
      <c r="R220" s="111" t="s">
        <v>1649</v>
      </c>
    </row>
    <row r="221" ht="13.5" customHeight="1" spans="1:18">
      <c r="A221" s="96" t="s">
        <v>8435</v>
      </c>
      <c r="B221" s="97" t="s">
        <v>8436</v>
      </c>
      <c r="C221" s="96"/>
      <c r="D221" s="96"/>
      <c r="E221" s="97"/>
      <c r="F221" s="96"/>
      <c r="G221" s="97"/>
      <c r="H221" s="98"/>
      <c r="I221" s="98"/>
      <c r="J221" s="96"/>
      <c r="K221" s="99"/>
      <c r="L221" s="100"/>
      <c r="M221" s="97"/>
      <c r="N221" s="97"/>
      <c r="O221" s="97"/>
      <c r="P221" s="97"/>
      <c r="Q221" s="97"/>
      <c r="R221" s="97"/>
    </row>
    <row r="222" ht="13.5" customHeight="1" spans="1:18">
      <c r="A222" s="103">
        <v>1</v>
      </c>
      <c r="B222" s="104" t="s">
        <v>3098</v>
      </c>
      <c r="C222" s="103" t="s">
        <v>3092</v>
      </c>
      <c r="D222" s="103" t="s">
        <v>8437</v>
      </c>
      <c r="E222" s="104" t="s">
        <v>3092</v>
      </c>
      <c r="F222" s="104" t="s">
        <v>3556</v>
      </c>
      <c r="G222" s="103" t="s">
        <v>24</v>
      </c>
      <c r="H222" s="112"/>
      <c r="I222" s="101">
        <f>IFERROR(VLOOKUP(B222,'02. MM-KLH'!$B:$K,9,FALSE),"")</f>
        <v>43862</v>
      </c>
      <c r="J222" s="103"/>
      <c r="K222" s="114"/>
      <c r="L222" s="115" t="s">
        <v>1104</v>
      </c>
      <c r="M222" s="111" t="s">
        <v>1105</v>
      </c>
      <c r="N222" s="103">
        <v>2018</v>
      </c>
      <c r="O222" s="103" t="s">
        <v>3095</v>
      </c>
      <c r="P222" s="103" t="s">
        <v>188</v>
      </c>
      <c r="Q222" s="111">
        <v>394479</v>
      </c>
      <c r="R222" s="111" t="s">
        <v>462</v>
      </c>
    </row>
    <row r="223" ht="13.5" customHeight="1" spans="1:18">
      <c r="A223" s="103">
        <v>2</v>
      </c>
      <c r="B223" s="104" t="s">
        <v>8438</v>
      </c>
      <c r="C223" s="103" t="s">
        <v>1909</v>
      </c>
      <c r="D223" s="103" t="s">
        <v>6621</v>
      </c>
      <c r="E223" s="104" t="s">
        <v>1909</v>
      </c>
      <c r="F223" s="104" t="s">
        <v>8345</v>
      </c>
      <c r="G223" s="103" t="s">
        <v>24</v>
      </c>
      <c r="H223" s="112"/>
      <c r="I223" s="101" t="str">
        <f>IFERROR(VLOOKUP(B223,'02. MM-KLH'!$B:$K,9,FALSE),"")</f>
        <v/>
      </c>
      <c r="J223" s="103"/>
      <c r="K223" s="114"/>
      <c r="L223" s="115" t="s">
        <v>976</v>
      </c>
      <c r="M223" s="111" t="s">
        <v>977</v>
      </c>
      <c r="N223" s="103">
        <v>2018</v>
      </c>
      <c r="O223" s="103">
        <v>6603</v>
      </c>
      <c r="P223" s="103" t="s">
        <v>8439</v>
      </c>
      <c r="Q223" s="111">
        <v>32550</v>
      </c>
      <c r="R223" s="111" t="s">
        <v>462</v>
      </c>
    </row>
    <row r="224" ht="13.5" customHeight="1" spans="1:18">
      <c r="A224" s="103">
        <v>3</v>
      </c>
      <c r="B224" s="104" t="s">
        <v>1037</v>
      </c>
      <c r="C224" s="103" t="s">
        <v>1909</v>
      </c>
      <c r="D224" s="103" t="s">
        <v>6630</v>
      </c>
      <c r="E224" s="104" t="s">
        <v>1909</v>
      </c>
      <c r="F224" s="104" t="s">
        <v>8345</v>
      </c>
      <c r="G224" s="103" t="s">
        <v>24</v>
      </c>
      <c r="H224" s="112"/>
      <c r="I224" s="101">
        <f>IFERROR(VLOOKUP(B224,'02. MM-KLH'!$B:$K,9,FALSE),"")</f>
        <v>0</v>
      </c>
      <c r="J224" s="103"/>
      <c r="K224" s="114"/>
      <c r="L224" s="115" t="s">
        <v>976</v>
      </c>
      <c r="M224" s="111" t="s">
        <v>977</v>
      </c>
      <c r="N224" s="103">
        <v>2018</v>
      </c>
      <c r="O224" s="103">
        <v>6603</v>
      </c>
      <c r="P224" s="103" t="s">
        <v>8439</v>
      </c>
      <c r="Q224" s="111">
        <v>32607</v>
      </c>
      <c r="R224" s="111" t="s">
        <v>462</v>
      </c>
    </row>
    <row r="225" ht="13.5" customHeight="1" spans="1:18">
      <c r="A225" s="103">
        <v>4</v>
      </c>
      <c r="B225" s="104" t="s">
        <v>1039</v>
      </c>
      <c r="C225" s="103" t="s">
        <v>1909</v>
      </c>
      <c r="D225" s="103" t="s">
        <v>6631</v>
      </c>
      <c r="E225" s="104" t="s">
        <v>1909</v>
      </c>
      <c r="F225" s="104" t="s">
        <v>8345</v>
      </c>
      <c r="G225" s="103" t="s">
        <v>24</v>
      </c>
      <c r="H225" s="112"/>
      <c r="I225" s="101">
        <f>IFERROR(VLOOKUP(B225,'02. MM-KLH'!$B:$K,9,FALSE),"")</f>
        <v>0</v>
      </c>
      <c r="J225" s="103"/>
      <c r="K225" s="114"/>
      <c r="L225" s="115" t="s">
        <v>976</v>
      </c>
      <c r="M225" s="111" t="s">
        <v>977</v>
      </c>
      <c r="N225" s="103">
        <v>2018</v>
      </c>
      <c r="O225" s="103">
        <v>6603</v>
      </c>
      <c r="P225" s="103" t="s">
        <v>8439</v>
      </c>
      <c r="Q225" s="111">
        <v>5958</v>
      </c>
      <c r="R225" s="111" t="s">
        <v>462</v>
      </c>
    </row>
    <row r="226" ht="13.5" customHeight="1" spans="1:18">
      <c r="A226" s="103">
        <v>5</v>
      </c>
      <c r="B226" s="102" t="s">
        <v>1043</v>
      </c>
      <c r="C226" s="103" t="s">
        <v>1909</v>
      </c>
      <c r="D226" s="103" t="s">
        <v>6632</v>
      </c>
      <c r="E226" s="104" t="s">
        <v>1909</v>
      </c>
      <c r="F226" s="102" t="s">
        <v>8345</v>
      </c>
      <c r="G226" s="101" t="s">
        <v>24</v>
      </c>
      <c r="H226" s="105"/>
      <c r="I226" s="101">
        <f>IFERROR(VLOOKUP(B226,'02. MM-KLH'!$B:$K,9,FALSE),"")</f>
        <v>0</v>
      </c>
      <c r="J226" s="101"/>
      <c r="K226" s="108"/>
      <c r="L226" s="109" t="s">
        <v>976</v>
      </c>
      <c r="M226" s="110" t="s">
        <v>977</v>
      </c>
      <c r="N226" s="101">
        <v>2018</v>
      </c>
      <c r="O226" s="101">
        <v>6603</v>
      </c>
      <c r="P226" s="101" t="s">
        <v>8439</v>
      </c>
      <c r="Q226" s="110" t="s">
        <v>1045</v>
      </c>
      <c r="R226" s="111" t="s">
        <v>1046</v>
      </c>
    </row>
    <row r="227" ht="13.5" customHeight="1" spans="1:18">
      <c r="A227" s="103">
        <v>6</v>
      </c>
      <c r="B227" s="102" t="s">
        <v>1047</v>
      </c>
      <c r="C227" s="103" t="s">
        <v>3344</v>
      </c>
      <c r="D227" s="103" t="s">
        <v>1066</v>
      </c>
      <c r="E227" s="104" t="s">
        <v>3344</v>
      </c>
      <c r="F227" s="102" t="s">
        <v>8346</v>
      </c>
      <c r="G227" s="101" t="s">
        <v>24</v>
      </c>
      <c r="H227" s="101" t="s">
        <v>982</v>
      </c>
      <c r="I227" s="101" t="str">
        <f>IFERROR(VLOOKUP(B227,'02. MM-KLH'!$B:$K,9,FALSE),"")</f>
        <v>15/03/2024</v>
      </c>
      <c r="J227" s="101"/>
      <c r="K227" s="108"/>
      <c r="L227" s="109" t="s">
        <v>8347</v>
      </c>
      <c r="M227" s="110" t="s">
        <v>977</v>
      </c>
      <c r="N227" s="101">
        <v>2022</v>
      </c>
      <c r="O227" s="101" t="s">
        <v>983</v>
      </c>
      <c r="P227" s="101" t="s">
        <v>102</v>
      </c>
      <c r="Q227" s="110" t="s">
        <v>1049</v>
      </c>
      <c r="R227" s="111" t="s">
        <v>1050</v>
      </c>
    </row>
    <row r="228" ht="13.5" customHeight="1" spans="1:18">
      <c r="A228" s="103">
        <v>7</v>
      </c>
      <c r="B228" s="102" t="s">
        <v>1112</v>
      </c>
      <c r="C228" s="103" t="s">
        <v>3346</v>
      </c>
      <c r="D228" s="103" t="s">
        <v>8440</v>
      </c>
      <c r="E228" s="104" t="s">
        <v>3346</v>
      </c>
      <c r="F228" s="102" t="s">
        <v>8348</v>
      </c>
      <c r="G228" s="101" t="s">
        <v>24</v>
      </c>
      <c r="H228" s="101" t="s">
        <v>982</v>
      </c>
      <c r="I228" s="101" t="str">
        <f>IFERROR(VLOOKUP(B228,'02. MM-KLH'!$B:$K,9,FALSE),"")</f>
        <v>15/03/2024</v>
      </c>
      <c r="J228" s="101"/>
      <c r="K228" s="108"/>
      <c r="L228" s="109" t="s">
        <v>8347</v>
      </c>
      <c r="M228" s="110" t="s">
        <v>977</v>
      </c>
      <c r="N228" s="101">
        <v>2022</v>
      </c>
      <c r="O228" s="101" t="s">
        <v>987</v>
      </c>
      <c r="P228" s="101" t="s">
        <v>177</v>
      </c>
      <c r="Q228" s="110" t="s">
        <v>1114</v>
      </c>
      <c r="R228" s="111" t="s">
        <v>1115</v>
      </c>
    </row>
    <row r="229" ht="13.5" customHeight="1" spans="1:18">
      <c r="A229" s="103">
        <v>8</v>
      </c>
      <c r="B229" s="102" t="s">
        <v>1056</v>
      </c>
      <c r="C229" s="103" t="s">
        <v>3349</v>
      </c>
      <c r="D229" s="103" t="s">
        <v>8441</v>
      </c>
      <c r="E229" s="104" t="s">
        <v>3349</v>
      </c>
      <c r="F229" s="102" t="s">
        <v>8349</v>
      </c>
      <c r="G229" s="101" t="s">
        <v>24</v>
      </c>
      <c r="H229" s="105">
        <v>45540</v>
      </c>
      <c r="I229" s="101">
        <f>IFERROR(VLOOKUP(B229,'02. MM-KLH'!$B:$K,9,FALSE),"")</f>
        <v>45540</v>
      </c>
      <c r="J229" s="101"/>
      <c r="K229" s="108"/>
      <c r="L229" s="109" t="s">
        <v>1023</v>
      </c>
      <c r="M229" s="110" t="s">
        <v>977</v>
      </c>
      <c r="N229" s="101">
        <v>2022</v>
      </c>
      <c r="O229" s="101" t="s">
        <v>1057</v>
      </c>
      <c r="P229" s="101" t="s">
        <v>64</v>
      </c>
      <c r="Q229" s="110" t="s">
        <v>1058</v>
      </c>
      <c r="R229" s="111" t="s">
        <v>1059</v>
      </c>
    </row>
    <row r="230" ht="13.5" customHeight="1" spans="1:18">
      <c r="A230" s="103">
        <v>9</v>
      </c>
      <c r="B230" s="102" t="s">
        <v>1060</v>
      </c>
      <c r="C230" s="103" t="s">
        <v>3089</v>
      </c>
      <c r="D230" s="103" t="s">
        <v>8442</v>
      </c>
      <c r="E230" s="104" t="s">
        <v>3089</v>
      </c>
      <c r="F230" s="102" t="s">
        <v>3546</v>
      </c>
      <c r="G230" s="101" t="s">
        <v>24</v>
      </c>
      <c r="H230" s="101" t="s">
        <v>1062</v>
      </c>
      <c r="I230" s="101" t="str">
        <f>IFERROR(VLOOKUP(B230,'02. MM-KLH'!$B:$K,9,FALSE),"")</f>
        <v>30/03/2024</v>
      </c>
      <c r="J230" s="101"/>
      <c r="K230" s="108" t="s">
        <v>1063</v>
      </c>
      <c r="L230" s="109" t="s">
        <v>759</v>
      </c>
      <c r="M230" s="110" t="s">
        <v>453</v>
      </c>
      <c r="N230" s="101">
        <v>2013</v>
      </c>
      <c r="O230" s="101" t="s">
        <v>1064</v>
      </c>
      <c r="P230" s="101" t="s">
        <v>41</v>
      </c>
      <c r="Q230" s="110">
        <v>57548</v>
      </c>
      <c r="R230" s="111" t="s">
        <v>462</v>
      </c>
    </row>
    <row r="231" ht="13.5" customHeight="1" spans="1:18">
      <c r="A231" s="103">
        <v>10</v>
      </c>
      <c r="B231" s="102" t="s">
        <v>1477</v>
      </c>
      <c r="C231" s="103" t="s">
        <v>6621</v>
      </c>
      <c r="D231" s="103" t="s">
        <v>8443</v>
      </c>
      <c r="E231" s="104"/>
      <c r="F231" s="102" t="s">
        <v>8350</v>
      </c>
      <c r="G231" s="101" t="s">
        <v>1471</v>
      </c>
      <c r="H231" s="101" t="s">
        <v>1479</v>
      </c>
      <c r="I231" s="101" t="str">
        <f>IFERROR(VLOOKUP(B231,'02. MM-KLH'!$B:$K,9,FALSE),"")</f>
        <v>28/06/2024</v>
      </c>
      <c r="J231" s="101"/>
      <c r="K231" s="108" t="s">
        <v>1480</v>
      </c>
      <c r="L231" s="109" t="s">
        <v>1019</v>
      </c>
      <c r="M231" s="110" t="s">
        <v>500</v>
      </c>
      <c r="N231" s="101">
        <v>2018</v>
      </c>
      <c r="O231" s="101" t="s">
        <v>1122</v>
      </c>
      <c r="P231" s="101" t="s">
        <v>128</v>
      </c>
      <c r="Q231" s="110" t="s">
        <v>1481</v>
      </c>
      <c r="R231" s="111" t="s">
        <v>462</v>
      </c>
    </row>
    <row r="232" ht="13.5" customHeight="1" spans="1:18">
      <c r="A232" s="103">
        <v>11</v>
      </c>
      <c r="B232" s="102" t="s">
        <v>1591</v>
      </c>
      <c r="C232" s="103" t="s">
        <v>6630</v>
      </c>
      <c r="D232" s="103" t="s">
        <v>8444</v>
      </c>
      <c r="E232" s="104"/>
      <c r="F232" s="102" t="s">
        <v>8350</v>
      </c>
      <c r="G232" s="101" t="s">
        <v>1593</v>
      </c>
      <c r="H232" s="105"/>
      <c r="I232" s="101">
        <f>IFERROR(VLOOKUP(B232,'02. MM-KLH'!$B:$K,9,FALSE),"")</f>
        <v>0</v>
      </c>
      <c r="J232" s="101"/>
      <c r="K232" s="108"/>
      <c r="L232" s="109" t="s">
        <v>1019</v>
      </c>
      <c r="M232" s="110" t="s">
        <v>500</v>
      </c>
      <c r="N232" s="101">
        <v>2018</v>
      </c>
      <c r="O232" s="101" t="s">
        <v>1122</v>
      </c>
      <c r="P232" s="101" t="s">
        <v>128</v>
      </c>
      <c r="Q232" s="110" t="s">
        <v>1594</v>
      </c>
      <c r="R232" s="111" t="s">
        <v>462</v>
      </c>
    </row>
    <row r="233" ht="13.5" customHeight="1" spans="1:18">
      <c r="A233" s="103">
        <v>12</v>
      </c>
      <c r="B233" s="102" t="s">
        <v>1595</v>
      </c>
      <c r="C233" s="103" t="s">
        <v>6631</v>
      </c>
      <c r="D233" s="103" t="s">
        <v>8445</v>
      </c>
      <c r="E233" s="104"/>
      <c r="F233" s="102" t="s">
        <v>8350</v>
      </c>
      <c r="G233" s="101" t="s">
        <v>1593</v>
      </c>
      <c r="H233" s="105"/>
      <c r="I233" s="101">
        <f>IFERROR(VLOOKUP(B233,'02. MM-KLH'!$B:$K,9,FALSE),"")</f>
        <v>0</v>
      </c>
      <c r="J233" s="101"/>
      <c r="K233" s="108"/>
      <c r="L233" s="109" t="s">
        <v>1019</v>
      </c>
      <c r="M233" s="110" t="s">
        <v>500</v>
      </c>
      <c r="N233" s="101">
        <v>2018</v>
      </c>
      <c r="O233" s="101" t="s">
        <v>1122</v>
      </c>
      <c r="P233" s="101" t="s">
        <v>128</v>
      </c>
      <c r="Q233" s="110" t="s">
        <v>1597</v>
      </c>
      <c r="R233" s="111" t="s">
        <v>462</v>
      </c>
    </row>
    <row r="234" ht="13.5" customHeight="1" spans="1:18">
      <c r="A234" s="103">
        <v>13</v>
      </c>
      <c r="B234" s="102" t="s">
        <v>1598</v>
      </c>
      <c r="C234" s="103" t="s">
        <v>6632</v>
      </c>
      <c r="D234" s="103" t="s">
        <v>8446</v>
      </c>
      <c r="E234" s="104"/>
      <c r="F234" s="102" t="s">
        <v>8350</v>
      </c>
      <c r="G234" s="101" t="s">
        <v>1593</v>
      </c>
      <c r="H234" s="105"/>
      <c r="I234" s="101">
        <f>IFERROR(VLOOKUP(B234,'02. MM-KLH'!$B:$K,9,FALSE),"")</f>
        <v>0</v>
      </c>
      <c r="J234" s="101"/>
      <c r="K234" s="108"/>
      <c r="L234" s="109" t="s">
        <v>1019</v>
      </c>
      <c r="M234" s="110" t="s">
        <v>500</v>
      </c>
      <c r="N234" s="101">
        <v>2018</v>
      </c>
      <c r="O234" s="101" t="s">
        <v>1122</v>
      </c>
      <c r="P234" s="101" t="s">
        <v>128</v>
      </c>
      <c r="Q234" s="110" t="s">
        <v>1600</v>
      </c>
      <c r="R234" s="111" t="s">
        <v>462</v>
      </c>
    </row>
    <row r="235" ht="13.5" customHeight="1" spans="1:18">
      <c r="A235" s="103">
        <v>14</v>
      </c>
      <c r="B235" s="102" t="s">
        <v>1601</v>
      </c>
      <c r="C235" s="103" t="s">
        <v>6633</v>
      </c>
      <c r="D235" s="103" t="s">
        <v>8443</v>
      </c>
      <c r="E235" s="104"/>
      <c r="F235" s="102" t="s">
        <v>3552</v>
      </c>
      <c r="G235" s="101" t="s">
        <v>1593</v>
      </c>
      <c r="H235" s="105"/>
      <c r="I235" s="101">
        <f>IFERROR(VLOOKUP(B235,'02. MM-KLH'!$B:$K,9,FALSE),"")</f>
        <v>0</v>
      </c>
      <c r="J235" s="101"/>
      <c r="K235" s="108"/>
      <c r="L235" s="109" t="s">
        <v>759</v>
      </c>
      <c r="M235" s="110" t="s">
        <v>453</v>
      </c>
      <c r="N235" s="101">
        <v>2019</v>
      </c>
      <c r="O235" s="101" t="s">
        <v>1137</v>
      </c>
      <c r="P235" s="101" t="s">
        <v>41</v>
      </c>
      <c r="Q235" s="110">
        <v>1665</v>
      </c>
      <c r="R235" s="111" t="s">
        <v>462</v>
      </c>
    </row>
    <row r="236" ht="13.5" customHeight="1" spans="1:18">
      <c r="A236" s="103">
        <v>15</v>
      </c>
      <c r="B236" s="156" t="s">
        <v>1603</v>
      </c>
      <c r="C236" s="103" t="s">
        <v>6634</v>
      </c>
      <c r="D236" s="157" t="s">
        <v>8447</v>
      </c>
      <c r="E236" s="124"/>
      <c r="F236" s="156" t="s">
        <v>3546</v>
      </c>
      <c r="G236" s="146" t="s">
        <v>1593</v>
      </c>
      <c r="H236" s="146" t="s">
        <v>1605</v>
      </c>
      <c r="I236" s="101" t="str">
        <f>IFERROR(VLOOKUP(B236,'02. MM-KLH'!$B:$K,9,FALSE),"")</f>
        <v>21/02/2024</v>
      </c>
      <c r="J236" s="101"/>
      <c r="K236" s="150" t="s">
        <v>1606</v>
      </c>
      <c r="L236" s="151" t="s">
        <v>759</v>
      </c>
      <c r="M236" s="159" t="s">
        <v>453</v>
      </c>
      <c r="N236" s="146">
        <v>2013</v>
      </c>
      <c r="O236" s="146" t="s">
        <v>1064</v>
      </c>
      <c r="P236" s="146" t="s">
        <v>208</v>
      </c>
      <c r="Q236" s="159" t="s">
        <v>1607</v>
      </c>
      <c r="R236" s="160" t="s">
        <v>462</v>
      </c>
    </row>
    <row r="237" ht="13.5" customHeight="1" spans="1:18">
      <c r="A237" s="103">
        <v>16</v>
      </c>
      <c r="B237" s="102" t="s">
        <v>1608</v>
      </c>
      <c r="C237" s="103" t="s">
        <v>6635</v>
      </c>
      <c r="D237" s="103" t="s">
        <v>8448</v>
      </c>
      <c r="E237" s="104"/>
      <c r="F237" s="102" t="s">
        <v>8350</v>
      </c>
      <c r="G237" s="101" t="s">
        <v>1593</v>
      </c>
      <c r="H237" s="105">
        <v>45600</v>
      </c>
      <c r="I237" s="101">
        <f>IFERROR(VLOOKUP(B237,'02. MM-KLH'!$B:$K,9,FALSE),"")</f>
        <v>45600</v>
      </c>
      <c r="J237" s="177"/>
      <c r="K237" s="108" t="s">
        <v>1610</v>
      </c>
      <c r="L237" s="109" t="s">
        <v>1019</v>
      </c>
      <c r="M237" s="110" t="s">
        <v>500</v>
      </c>
      <c r="N237" s="101">
        <v>2018</v>
      </c>
      <c r="O237" s="101" t="s">
        <v>1122</v>
      </c>
      <c r="P237" s="101" t="s">
        <v>128</v>
      </c>
      <c r="Q237" s="110">
        <v>180046</v>
      </c>
      <c r="R237" s="111" t="s">
        <v>462</v>
      </c>
    </row>
    <row r="238" ht="13.5" customHeight="1" spans="1:18">
      <c r="A238" s="103">
        <v>17</v>
      </c>
      <c r="B238" s="102" t="s">
        <v>1493</v>
      </c>
      <c r="C238" s="103" t="s">
        <v>6626</v>
      </c>
      <c r="D238" s="103" t="s">
        <v>8444</v>
      </c>
      <c r="E238" s="104"/>
      <c r="F238" s="102" t="s">
        <v>3552</v>
      </c>
      <c r="G238" s="101" t="s">
        <v>5049</v>
      </c>
      <c r="H238" s="105"/>
      <c r="I238" s="101">
        <f>IFERROR(VLOOKUP(B238,'02. MM-KLH'!$B:$K,9,FALSE),"")</f>
        <v>0</v>
      </c>
      <c r="J238" s="101"/>
      <c r="K238" s="108"/>
      <c r="L238" s="109" t="s">
        <v>759</v>
      </c>
      <c r="M238" s="110" t="s">
        <v>453</v>
      </c>
      <c r="N238" s="101">
        <v>2019</v>
      </c>
      <c r="O238" s="101" t="s">
        <v>1137</v>
      </c>
      <c r="P238" s="101" t="s">
        <v>41</v>
      </c>
      <c r="Q238" s="110" t="s">
        <v>1496</v>
      </c>
      <c r="R238" s="111" t="s">
        <v>462</v>
      </c>
    </row>
    <row r="239" ht="13.5" customHeight="1" spans="1:18">
      <c r="A239" s="103">
        <v>18</v>
      </c>
      <c r="B239" s="102" t="s">
        <v>1482</v>
      </c>
      <c r="C239" s="103" t="s">
        <v>6622</v>
      </c>
      <c r="D239" s="103" t="s">
        <v>8445</v>
      </c>
      <c r="E239" s="104"/>
      <c r="F239" s="102" t="s">
        <v>8350</v>
      </c>
      <c r="G239" s="101" t="s">
        <v>5049</v>
      </c>
      <c r="H239" s="105"/>
      <c r="I239" s="101">
        <f>IFERROR(VLOOKUP(B239,'02. MM-KLH'!$B:$K,9,FALSE),"")</f>
        <v>0</v>
      </c>
      <c r="J239" s="101"/>
      <c r="K239" s="108"/>
      <c r="L239" s="109" t="s">
        <v>1019</v>
      </c>
      <c r="M239" s="110" t="s">
        <v>500</v>
      </c>
      <c r="N239" s="101">
        <v>2018</v>
      </c>
      <c r="O239" s="101" t="s">
        <v>1122</v>
      </c>
      <c r="P239" s="101" t="s">
        <v>128</v>
      </c>
      <c r="Q239" s="110" t="s">
        <v>1485</v>
      </c>
      <c r="R239" s="111" t="s">
        <v>462</v>
      </c>
    </row>
    <row r="240" ht="13.5" customHeight="1" spans="1:18">
      <c r="A240" s="103">
        <v>19</v>
      </c>
      <c r="B240" s="102" t="s">
        <v>1486</v>
      </c>
      <c r="C240" s="103" t="s">
        <v>6623</v>
      </c>
      <c r="D240" s="103" t="s">
        <v>8446</v>
      </c>
      <c r="E240" s="104"/>
      <c r="F240" s="102" t="s">
        <v>8350</v>
      </c>
      <c r="G240" s="101" t="s">
        <v>5049</v>
      </c>
      <c r="H240" s="105"/>
      <c r="I240" s="101">
        <f>IFERROR(VLOOKUP(B240,'02. MM-KLH'!$B:$K,9,FALSE),"")</f>
        <v>0</v>
      </c>
      <c r="J240" s="101"/>
      <c r="K240" s="108"/>
      <c r="L240" s="109" t="s">
        <v>1019</v>
      </c>
      <c r="M240" s="110" t="s">
        <v>500</v>
      </c>
      <c r="N240" s="101">
        <v>2018</v>
      </c>
      <c r="O240" s="101" t="s">
        <v>1122</v>
      </c>
      <c r="P240" s="101" t="s">
        <v>128</v>
      </c>
      <c r="Q240" s="110" t="s">
        <v>1488</v>
      </c>
      <c r="R240" s="111" t="s">
        <v>462</v>
      </c>
    </row>
    <row r="241" ht="13.5" customHeight="1" spans="1:18">
      <c r="A241" s="103">
        <v>20</v>
      </c>
      <c r="B241" s="102" t="s">
        <v>1489</v>
      </c>
      <c r="C241" s="103" t="s">
        <v>6624</v>
      </c>
      <c r="D241" s="103" t="s">
        <v>8447</v>
      </c>
      <c r="E241" s="104"/>
      <c r="F241" s="102" t="s">
        <v>8356</v>
      </c>
      <c r="G241" s="101" t="s">
        <v>5049</v>
      </c>
      <c r="H241" s="101" t="s">
        <v>1491</v>
      </c>
      <c r="I241" s="101" t="str">
        <f>IFERROR(VLOOKUP(B241,'02. MM-KLH'!$B:$K,9,FALSE),"")</f>
        <v>23/01/2024</v>
      </c>
      <c r="J241" s="101"/>
      <c r="K241" s="108"/>
      <c r="L241" s="109" t="s">
        <v>759</v>
      </c>
      <c r="M241" s="110" t="s">
        <v>500</v>
      </c>
      <c r="N241" s="101"/>
      <c r="O241" s="101" t="s">
        <v>1492</v>
      </c>
      <c r="P241" s="101" t="s">
        <v>199</v>
      </c>
      <c r="Q241" s="110" t="s">
        <v>462</v>
      </c>
      <c r="R241" s="111">
        <v>11368</v>
      </c>
    </row>
    <row r="242" ht="13.5" customHeight="1" spans="1:18">
      <c r="A242" s="103">
        <v>21</v>
      </c>
      <c r="B242" s="102" t="s">
        <v>1065</v>
      </c>
      <c r="C242" s="103" t="s">
        <v>1066</v>
      </c>
      <c r="D242" s="96"/>
      <c r="E242" s="104"/>
      <c r="F242" s="102" t="s">
        <v>8357</v>
      </c>
      <c r="G242" s="101" t="s">
        <v>24</v>
      </c>
      <c r="H242" s="105">
        <v>45360</v>
      </c>
      <c r="I242" s="101"/>
      <c r="J242" s="101"/>
      <c r="K242" s="99"/>
      <c r="L242" s="100"/>
      <c r="M242" s="97"/>
      <c r="N242" s="97"/>
      <c r="O242" s="97"/>
      <c r="P242" s="97"/>
      <c r="Q242" s="97"/>
      <c r="R242" s="97"/>
    </row>
    <row r="243" ht="13.5" customHeight="1" spans="1:18">
      <c r="A243" s="117">
        <v>22</v>
      </c>
      <c r="B243" s="173" t="s">
        <v>1070</v>
      </c>
      <c r="C243" s="117" t="s">
        <v>8449</v>
      </c>
      <c r="D243" s="96"/>
      <c r="E243" s="104"/>
      <c r="F243" s="173" t="s">
        <v>8362</v>
      </c>
      <c r="G243" s="178" t="s">
        <v>24</v>
      </c>
      <c r="H243" s="179">
        <v>45993</v>
      </c>
      <c r="I243" s="178"/>
      <c r="J243" s="101"/>
      <c r="K243" s="99"/>
      <c r="L243" s="100"/>
      <c r="M243" s="97"/>
      <c r="N243" s="97"/>
      <c r="O243" s="97"/>
      <c r="P243" s="97"/>
      <c r="Q243" s="97"/>
      <c r="R243" s="97"/>
    </row>
    <row r="244" ht="13.5" customHeight="1" spans="1:18">
      <c r="A244" s="101"/>
      <c r="B244" s="102" t="s">
        <v>1078</v>
      </c>
      <c r="C244" s="103" t="s">
        <v>1079</v>
      </c>
      <c r="D244" s="103"/>
      <c r="E244" s="104"/>
      <c r="F244" s="102" t="s">
        <v>8362</v>
      </c>
      <c r="G244" s="101" t="s">
        <v>24</v>
      </c>
      <c r="H244" s="105"/>
      <c r="I244" s="101"/>
      <c r="J244" s="101"/>
      <c r="K244" s="108"/>
      <c r="L244" s="109"/>
      <c r="M244" s="110"/>
      <c r="N244" s="101"/>
      <c r="O244" s="101"/>
      <c r="P244" s="101"/>
      <c r="Q244" s="110"/>
      <c r="R244" s="111"/>
    </row>
    <row r="245" ht="13.5" customHeight="1" spans="1:18">
      <c r="A245" s="101"/>
      <c r="B245" s="102" t="s">
        <v>1081</v>
      </c>
      <c r="C245" s="103" t="s">
        <v>1082</v>
      </c>
      <c r="D245" s="103"/>
      <c r="E245" s="104"/>
      <c r="F245" s="102" t="s">
        <v>180</v>
      </c>
      <c r="G245" s="101" t="s">
        <v>24</v>
      </c>
      <c r="H245" s="105"/>
      <c r="I245" s="101"/>
      <c r="J245" s="101"/>
      <c r="K245" s="108"/>
      <c r="L245" s="109"/>
      <c r="M245" s="110"/>
      <c r="N245" s="101"/>
      <c r="O245" s="101"/>
      <c r="P245" s="101"/>
      <c r="Q245" s="110"/>
      <c r="R245" s="111"/>
    </row>
    <row r="246" ht="13.5" customHeight="1" spans="1:18">
      <c r="A246" s="103"/>
      <c r="B246" s="102"/>
      <c r="C246" s="103"/>
      <c r="D246" s="96"/>
      <c r="E246" s="104"/>
      <c r="F246" s="102"/>
      <c r="G246" s="101"/>
      <c r="H246" s="105"/>
      <c r="I246" s="101"/>
      <c r="J246" s="101"/>
      <c r="K246" s="99"/>
      <c r="L246" s="100"/>
      <c r="M246" s="97"/>
      <c r="N246" s="97"/>
      <c r="O246" s="97"/>
      <c r="P246" s="97"/>
      <c r="Q246" s="97"/>
      <c r="R246" s="97"/>
    </row>
    <row r="247" ht="13.5" customHeight="1" spans="1:18">
      <c r="A247" s="103"/>
      <c r="B247" s="102"/>
      <c r="C247" s="103"/>
      <c r="D247" s="96"/>
      <c r="E247" s="104"/>
      <c r="F247" s="102"/>
      <c r="G247" s="101"/>
      <c r="H247" s="105"/>
      <c r="I247" s="101"/>
      <c r="J247" s="101"/>
      <c r="K247" s="99"/>
      <c r="L247" s="100"/>
      <c r="M247" s="97"/>
      <c r="N247" s="97"/>
      <c r="O247" s="97"/>
      <c r="P247" s="97"/>
      <c r="Q247" s="97"/>
      <c r="R247" s="97"/>
    </row>
    <row r="248" ht="13.5" customHeight="1" spans="1:18">
      <c r="A248" s="103"/>
      <c r="B248" s="102"/>
      <c r="C248" s="103"/>
      <c r="D248" s="96"/>
      <c r="E248" s="104"/>
      <c r="F248" s="102"/>
      <c r="G248" s="101"/>
      <c r="H248" s="105"/>
      <c r="I248" s="101"/>
      <c r="J248" s="101"/>
      <c r="K248" s="99"/>
      <c r="L248" s="100"/>
      <c r="M248" s="97"/>
      <c r="N248" s="97"/>
      <c r="O248" s="97"/>
      <c r="P248" s="97"/>
      <c r="Q248" s="97"/>
      <c r="R248" s="97"/>
    </row>
    <row r="249" ht="13.5" customHeight="1" spans="1:18">
      <c r="A249" s="96" t="s">
        <v>8450</v>
      </c>
      <c r="B249" s="97" t="s">
        <v>8451</v>
      </c>
      <c r="C249" s="96"/>
      <c r="D249" s="96"/>
      <c r="E249" s="97"/>
      <c r="F249" s="96"/>
      <c r="G249" s="97"/>
      <c r="H249" s="98"/>
      <c r="I249" s="98"/>
      <c r="J249" s="96"/>
      <c r="K249" s="99"/>
      <c r="L249" s="100"/>
      <c r="M249" s="97"/>
      <c r="N249" s="97"/>
      <c r="O249" s="97"/>
      <c r="P249" s="97"/>
      <c r="Q249" s="97"/>
      <c r="R249" s="97"/>
    </row>
    <row r="250" ht="13.5" customHeight="1" spans="1:18">
      <c r="A250" s="101">
        <v>1</v>
      </c>
      <c r="B250" s="102" t="s">
        <v>3131</v>
      </c>
      <c r="C250" s="103" t="s">
        <v>3120</v>
      </c>
      <c r="D250" s="103" t="s">
        <v>1705</v>
      </c>
      <c r="E250" s="104" t="s">
        <v>3120</v>
      </c>
      <c r="F250" s="102" t="s">
        <v>8367</v>
      </c>
      <c r="G250" s="101" t="s">
        <v>1471</v>
      </c>
      <c r="H250" s="101" t="s">
        <v>1479</v>
      </c>
      <c r="I250" s="101" t="str">
        <f>IFERROR(VLOOKUP(B250,'02. MM-KLH'!$B:$K,9,FALSE),"")</f>
        <v>28/06/2024</v>
      </c>
      <c r="J250" s="101"/>
      <c r="K250" s="108" t="s">
        <v>1480</v>
      </c>
      <c r="L250" s="109" t="s">
        <v>1751</v>
      </c>
      <c r="M250" s="110" t="s">
        <v>1165</v>
      </c>
      <c r="N250" s="101"/>
      <c r="O250" s="101"/>
      <c r="P250" s="101" t="s">
        <v>219</v>
      </c>
      <c r="Q250" s="110" t="s">
        <v>3133</v>
      </c>
      <c r="R250" s="111" t="s">
        <v>462</v>
      </c>
    </row>
    <row r="251" ht="13.5" customHeight="1" spans="1:18">
      <c r="A251" s="101">
        <v>2</v>
      </c>
      <c r="B251" s="102" t="s">
        <v>3128</v>
      </c>
      <c r="C251" s="103" t="s">
        <v>3120</v>
      </c>
      <c r="D251" s="103" t="s">
        <v>1703</v>
      </c>
      <c r="E251" s="104" t="s">
        <v>3120</v>
      </c>
      <c r="F251" s="102" t="s">
        <v>8367</v>
      </c>
      <c r="G251" s="101" t="s">
        <v>1471</v>
      </c>
      <c r="H251" s="101" t="s">
        <v>1479</v>
      </c>
      <c r="I251" s="101" t="str">
        <f>IFERROR(VLOOKUP(B251,'02. MM-KLH'!$B:$K,9,FALSE),"")</f>
        <v>28/06/2024</v>
      </c>
      <c r="J251" s="101"/>
      <c r="K251" s="108" t="s">
        <v>1480</v>
      </c>
      <c r="L251" s="109" t="s">
        <v>1751</v>
      </c>
      <c r="M251" s="110" t="s">
        <v>1165</v>
      </c>
      <c r="N251" s="101"/>
      <c r="O251" s="101"/>
      <c r="P251" s="101" t="s">
        <v>219</v>
      </c>
      <c r="Q251" s="110" t="s">
        <v>3130</v>
      </c>
      <c r="R251" s="111" t="s">
        <v>462</v>
      </c>
    </row>
    <row r="252" ht="13.5" customHeight="1" spans="1:18">
      <c r="A252" s="101">
        <v>8</v>
      </c>
      <c r="B252" s="102" t="s">
        <v>3119</v>
      </c>
      <c r="C252" s="103" t="s">
        <v>3120</v>
      </c>
      <c r="D252" s="103" t="s">
        <v>1694</v>
      </c>
      <c r="E252" s="104" t="s">
        <v>3120</v>
      </c>
      <c r="F252" s="102" t="s">
        <v>8367</v>
      </c>
      <c r="G252" s="101" t="s">
        <v>5049</v>
      </c>
      <c r="H252" s="105"/>
      <c r="I252" s="101" t="str">
        <f>IFERROR(VLOOKUP(B252,'02. MM-KLH'!$B:$K,9,FALSE),"")</f>
        <v/>
      </c>
      <c r="J252" s="101"/>
      <c r="K252" s="108"/>
      <c r="L252" s="109" t="s">
        <v>1751</v>
      </c>
      <c r="M252" s="110" t="s">
        <v>1165</v>
      </c>
      <c r="N252" s="101"/>
      <c r="O252" s="101"/>
      <c r="P252" s="101" t="s">
        <v>219</v>
      </c>
      <c r="Q252" s="110" t="s">
        <v>3121</v>
      </c>
      <c r="R252" s="111" t="s">
        <v>462</v>
      </c>
    </row>
    <row r="253" ht="13.5" customHeight="1" spans="1:18">
      <c r="A253" s="101">
        <v>9</v>
      </c>
      <c r="B253" s="102" t="s">
        <v>3123</v>
      </c>
      <c r="C253" s="103" t="s">
        <v>3120</v>
      </c>
      <c r="D253" s="103" t="s">
        <v>1697</v>
      </c>
      <c r="E253" s="104" t="s">
        <v>3120</v>
      </c>
      <c r="F253" s="102" t="s">
        <v>8367</v>
      </c>
      <c r="G253" s="101" t="s">
        <v>5049</v>
      </c>
      <c r="H253" s="105"/>
      <c r="I253" s="101" t="str">
        <f>IFERROR(VLOOKUP(B253,'02. MM-KLH'!$B:$K,9,FALSE),"")</f>
        <v/>
      </c>
      <c r="J253" s="101"/>
      <c r="K253" s="108"/>
      <c r="L253" s="109" t="s">
        <v>1751</v>
      </c>
      <c r="M253" s="110" t="s">
        <v>1165</v>
      </c>
      <c r="N253" s="101"/>
      <c r="O253" s="101"/>
      <c r="P253" s="101" t="s">
        <v>219</v>
      </c>
      <c r="Q253" s="110" t="s">
        <v>3124</v>
      </c>
      <c r="R253" s="111" t="s">
        <v>462</v>
      </c>
    </row>
    <row r="254" ht="13.5" customHeight="1" spans="1:18">
      <c r="A254" s="101">
        <v>10</v>
      </c>
      <c r="B254" s="102" t="s">
        <v>3126</v>
      </c>
      <c r="C254" s="103" t="s">
        <v>3120</v>
      </c>
      <c r="D254" s="103" t="s">
        <v>1700</v>
      </c>
      <c r="E254" s="104" t="s">
        <v>3120</v>
      </c>
      <c r="F254" s="102" t="s">
        <v>8367</v>
      </c>
      <c r="G254" s="101" t="s">
        <v>5049</v>
      </c>
      <c r="H254" s="105"/>
      <c r="I254" s="101" t="str">
        <f>IFERROR(VLOOKUP(B254,'02. MM-KLH'!$B:$K,9,FALSE),"")</f>
        <v/>
      </c>
      <c r="J254" s="101"/>
      <c r="K254" s="108"/>
      <c r="L254" s="109" t="s">
        <v>1751</v>
      </c>
      <c r="M254" s="110" t="s">
        <v>1165</v>
      </c>
      <c r="N254" s="101"/>
      <c r="O254" s="101"/>
      <c r="P254" s="101" t="s">
        <v>219</v>
      </c>
      <c r="Q254" s="110" t="s">
        <v>3127</v>
      </c>
      <c r="R254" s="111" t="s">
        <v>462</v>
      </c>
    </row>
    <row r="255" ht="13.5" customHeight="1" spans="1:18">
      <c r="A255" s="178">
        <v>11</v>
      </c>
      <c r="B255" s="173" t="s">
        <v>5040</v>
      </c>
      <c r="C255" s="117" t="s">
        <v>6636</v>
      </c>
      <c r="D255" s="117" t="s">
        <v>6636</v>
      </c>
      <c r="E255" s="133" t="s">
        <v>6637</v>
      </c>
      <c r="F255" s="173" t="s">
        <v>5042</v>
      </c>
      <c r="G255" s="178" t="s">
        <v>1593</v>
      </c>
      <c r="H255" s="179"/>
      <c r="I255" s="101" t="str">
        <f>IFERROR(VLOOKUP(B255,'02. MM-KLH'!$B:$K,9,FALSE),"")</f>
        <v/>
      </c>
      <c r="J255" s="180">
        <v>0.54</v>
      </c>
      <c r="K255" s="125"/>
      <c r="L255" s="181" t="s">
        <v>530</v>
      </c>
      <c r="M255" s="182" t="s">
        <v>453</v>
      </c>
      <c r="N255" s="178"/>
      <c r="O255" s="178" t="s">
        <v>5043</v>
      </c>
      <c r="P255" s="178" t="s">
        <v>5044</v>
      </c>
      <c r="Q255" s="182" t="s">
        <v>5045</v>
      </c>
      <c r="R255" s="183" t="s">
        <v>6638</v>
      </c>
    </row>
    <row r="256" ht="13.5" customHeight="1" spans="1:18">
      <c r="A256" s="96" t="s">
        <v>8452</v>
      </c>
      <c r="B256" s="97" t="s">
        <v>8453</v>
      </c>
      <c r="C256" s="96"/>
      <c r="D256" s="96"/>
      <c r="E256" s="97"/>
      <c r="F256" s="96"/>
      <c r="G256" s="97"/>
      <c r="H256" s="98"/>
      <c r="I256" s="98"/>
      <c r="J256" s="96"/>
      <c r="K256" s="99"/>
      <c r="L256" s="100"/>
      <c r="M256" s="97"/>
      <c r="N256" s="97"/>
      <c r="O256" s="97"/>
      <c r="P256" s="97"/>
      <c r="Q256" s="97"/>
      <c r="R256" s="97"/>
    </row>
    <row r="257" ht="13.5" customHeight="1" spans="1:18">
      <c r="A257" s="101">
        <v>1</v>
      </c>
      <c r="B257" s="102" t="s">
        <v>2602</v>
      </c>
      <c r="C257" s="103" t="s">
        <v>8454</v>
      </c>
      <c r="D257" s="103" t="s">
        <v>8455</v>
      </c>
      <c r="E257" s="104" t="s">
        <v>8454</v>
      </c>
      <c r="F257" s="102" t="s">
        <v>8456</v>
      </c>
      <c r="G257" s="101" t="s">
        <v>33</v>
      </c>
      <c r="H257" s="105">
        <v>43835</v>
      </c>
      <c r="I257" s="101">
        <f>IFERROR(VLOOKUP(B257,'02. MM-KLH'!$B:$K,9,FALSE),"")</f>
        <v>0</v>
      </c>
      <c r="J257" s="107">
        <v>0.67</v>
      </c>
      <c r="K257" s="108"/>
      <c r="L257" s="109" t="s">
        <v>1779</v>
      </c>
      <c r="M257" s="110" t="s">
        <v>500</v>
      </c>
      <c r="N257" s="1101" t="s">
        <v>8457</v>
      </c>
      <c r="O257" s="101" t="s">
        <v>2604</v>
      </c>
      <c r="P257" s="101" t="s">
        <v>54</v>
      </c>
      <c r="Q257" s="110" t="s">
        <v>2605</v>
      </c>
      <c r="R257" s="111" t="s">
        <v>462</v>
      </c>
    </row>
    <row r="258" ht="13.5" customHeight="1" spans="1:18">
      <c r="A258" s="96" t="s">
        <v>8458</v>
      </c>
      <c r="B258" s="97" t="s">
        <v>8377</v>
      </c>
      <c r="C258" s="96"/>
      <c r="D258" s="96"/>
      <c r="E258" s="97"/>
      <c r="F258" s="96"/>
      <c r="G258" s="97"/>
      <c r="H258" s="98"/>
      <c r="I258" s="98"/>
      <c r="J258" s="96"/>
      <c r="K258" s="99"/>
      <c r="L258" s="100"/>
      <c r="M258" s="97"/>
      <c r="N258" s="97"/>
      <c r="O258" s="97"/>
      <c r="P258" s="97"/>
      <c r="Q258" s="97"/>
      <c r="R258" s="97"/>
    </row>
    <row r="259" ht="13.5" customHeight="1" spans="1:18">
      <c r="A259" s="101">
        <v>1</v>
      </c>
      <c r="B259" s="102" t="s">
        <v>1813</v>
      </c>
      <c r="C259" s="103" t="s">
        <v>8459</v>
      </c>
      <c r="D259" s="103"/>
      <c r="E259" s="104"/>
      <c r="F259" s="102" t="s">
        <v>8378</v>
      </c>
      <c r="G259" s="101" t="s">
        <v>26</v>
      </c>
      <c r="H259" s="101" t="s">
        <v>1213</v>
      </c>
      <c r="I259" s="101" t="str">
        <f>IFERROR(VLOOKUP(B259,'02. MM-KLH'!$B:$K,9,FALSE),"")</f>
        <v/>
      </c>
      <c r="J259" s="107">
        <v>0.7</v>
      </c>
      <c r="K259" s="108"/>
      <c r="L259" s="109"/>
      <c r="M259" s="110"/>
      <c r="N259" s="101"/>
      <c r="O259" s="101"/>
      <c r="P259" s="101"/>
      <c r="Q259" s="110"/>
      <c r="R259" s="111"/>
    </row>
    <row r="260" ht="13.5" customHeight="1" spans="1:18">
      <c r="A260" s="91" t="s">
        <v>8460</v>
      </c>
      <c r="B260" s="91"/>
      <c r="C260" s="92">
        <f>COUNTA(C262:C489)</f>
        <v>193</v>
      </c>
      <c r="D260" s="92"/>
      <c r="E260" s="91"/>
      <c r="F260" s="92"/>
      <c r="G260" s="91"/>
      <c r="H260" s="93"/>
      <c r="I260" s="91"/>
      <c r="J260" s="92"/>
      <c r="K260" s="94"/>
      <c r="L260" s="95"/>
      <c r="M260" s="91"/>
      <c r="N260" s="91"/>
      <c r="O260" s="91"/>
      <c r="P260" s="91"/>
      <c r="Q260" s="91"/>
      <c r="R260" s="91"/>
    </row>
    <row r="261" ht="13.5" customHeight="1" spans="1:18">
      <c r="A261" s="96" t="s">
        <v>1117</v>
      </c>
      <c r="B261" s="97" t="s">
        <v>8461</v>
      </c>
      <c r="C261" s="96"/>
      <c r="D261" s="96"/>
      <c r="E261" s="97"/>
      <c r="F261" s="96"/>
      <c r="G261" s="97"/>
      <c r="H261" s="98"/>
      <c r="I261" s="98"/>
      <c r="J261" s="96"/>
      <c r="K261" s="99"/>
      <c r="L261" s="100"/>
      <c r="M261" s="97"/>
      <c r="N261" s="97"/>
      <c r="O261" s="97"/>
      <c r="P261" s="97"/>
      <c r="Q261" s="97"/>
      <c r="R261" s="97"/>
    </row>
    <row r="262" ht="13.5" customHeight="1" spans="1:18">
      <c r="A262" s="101">
        <v>1</v>
      </c>
      <c r="B262" s="102" t="s">
        <v>867</v>
      </c>
      <c r="C262" s="103" t="s">
        <v>3272</v>
      </c>
      <c r="D262" s="103" t="s">
        <v>8462</v>
      </c>
      <c r="E262" s="104" t="s">
        <v>3272</v>
      </c>
      <c r="F262" s="102" t="s">
        <v>8285</v>
      </c>
      <c r="G262" s="101" t="s">
        <v>27</v>
      </c>
      <c r="H262" s="105">
        <v>44287</v>
      </c>
      <c r="I262" s="101">
        <f>IFERROR(VLOOKUP(B262,'02. MM-KLH'!$B:$K,9,FALSE),"")</f>
        <v>44287</v>
      </c>
      <c r="J262" s="107">
        <v>0.7</v>
      </c>
      <c r="K262" s="108"/>
      <c r="L262" s="109" t="s">
        <v>458</v>
      </c>
      <c r="M262" s="110" t="s">
        <v>453</v>
      </c>
      <c r="N262" s="101">
        <v>2021</v>
      </c>
      <c r="O262" s="101" t="s">
        <v>472</v>
      </c>
      <c r="P262" s="101" t="s">
        <v>54</v>
      </c>
      <c r="Q262" s="110" t="s">
        <v>868</v>
      </c>
      <c r="R262" s="111">
        <v>816364</v>
      </c>
    </row>
    <row r="263" ht="13.5" customHeight="1" spans="1:18">
      <c r="A263" s="101">
        <v>2</v>
      </c>
      <c r="B263" s="102" t="s">
        <v>869</v>
      </c>
      <c r="C263" s="103" t="s">
        <v>3273</v>
      </c>
      <c r="D263" s="103" t="s">
        <v>8463</v>
      </c>
      <c r="E263" s="104" t="s">
        <v>3273</v>
      </c>
      <c r="F263" s="102" t="s">
        <v>8285</v>
      </c>
      <c r="G263" s="101" t="s">
        <v>27</v>
      </c>
      <c r="H263" s="105"/>
      <c r="I263" s="101">
        <f>IFERROR(VLOOKUP(B263,'02. MM-KLH'!$B:$K,9,FALSE),"")</f>
        <v>0</v>
      </c>
      <c r="J263" s="107">
        <v>0.66</v>
      </c>
      <c r="K263" s="108"/>
      <c r="L263" s="109" t="s">
        <v>458</v>
      </c>
      <c r="M263" s="110" t="s">
        <v>453</v>
      </c>
      <c r="N263" s="101">
        <v>2020</v>
      </c>
      <c r="O263" s="101" t="s">
        <v>472</v>
      </c>
      <c r="P263" s="101" t="s">
        <v>460</v>
      </c>
      <c r="Q263" s="110" t="s">
        <v>870</v>
      </c>
      <c r="R263" s="111">
        <v>800456</v>
      </c>
    </row>
    <row r="264" ht="13.5" customHeight="1" spans="1:18">
      <c r="A264" s="101">
        <v>3</v>
      </c>
      <c r="B264" s="102" t="s">
        <v>871</v>
      </c>
      <c r="C264" s="103" t="s">
        <v>3279</v>
      </c>
      <c r="D264" s="103" t="s">
        <v>8464</v>
      </c>
      <c r="E264" s="104" t="s">
        <v>3279</v>
      </c>
      <c r="F264" s="102" t="s">
        <v>8287</v>
      </c>
      <c r="G264" s="101" t="s">
        <v>27</v>
      </c>
      <c r="H264" s="105"/>
      <c r="I264" s="101" t="str">
        <f>IFERROR(VLOOKUP(B264,'02. MM-KLH'!$B:$K,9,FALSE),"")</f>
        <v>14/09/2020</v>
      </c>
      <c r="J264" s="101"/>
      <c r="K264" s="108"/>
      <c r="L264" s="109" t="s">
        <v>464</v>
      </c>
      <c r="M264" s="110" t="s">
        <v>465</v>
      </c>
      <c r="N264" s="101">
        <v>2020</v>
      </c>
      <c r="O264" s="101" t="s">
        <v>466</v>
      </c>
      <c r="P264" s="101" t="s">
        <v>467</v>
      </c>
      <c r="Q264" s="110" t="s">
        <v>873</v>
      </c>
      <c r="R264" s="111" t="s">
        <v>874</v>
      </c>
    </row>
    <row r="265" ht="13.5" customHeight="1" spans="1:18">
      <c r="A265" s="101">
        <v>4</v>
      </c>
      <c r="B265" s="102" t="s">
        <v>875</v>
      </c>
      <c r="C265" s="103" t="s">
        <v>3279</v>
      </c>
      <c r="D265" s="103" t="s">
        <v>8465</v>
      </c>
      <c r="E265" s="104" t="s">
        <v>3279</v>
      </c>
      <c r="F265" s="102" t="s">
        <v>8287</v>
      </c>
      <c r="G265" s="101" t="s">
        <v>27</v>
      </c>
      <c r="H265" s="105"/>
      <c r="I265" s="101" t="str">
        <f>IFERROR(VLOOKUP(B265,'02. MM-KLH'!$B:$K,9,FALSE),"")</f>
        <v>14/09/2020</v>
      </c>
      <c r="J265" s="101"/>
      <c r="K265" s="108"/>
      <c r="L265" s="109" t="s">
        <v>464</v>
      </c>
      <c r="M265" s="110" t="s">
        <v>465</v>
      </c>
      <c r="N265" s="101">
        <v>2020</v>
      </c>
      <c r="O265" s="101" t="s">
        <v>466</v>
      </c>
      <c r="P265" s="101" t="s">
        <v>467</v>
      </c>
      <c r="Q265" s="110" t="s">
        <v>876</v>
      </c>
      <c r="R265" s="111" t="s">
        <v>877</v>
      </c>
    </row>
    <row r="266" ht="13.5" customHeight="1" spans="1:18">
      <c r="A266" s="101">
        <v>5</v>
      </c>
      <c r="B266" s="102" t="s">
        <v>885</v>
      </c>
      <c r="C266" s="103" t="s">
        <v>3293</v>
      </c>
      <c r="D266" s="103" t="s">
        <v>8466</v>
      </c>
      <c r="E266" s="104" t="s">
        <v>3293</v>
      </c>
      <c r="F266" s="102" t="s">
        <v>8294</v>
      </c>
      <c r="G266" s="101" t="s">
        <v>27</v>
      </c>
      <c r="H266" s="105">
        <v>44199</v>
      </c>
      <c r="I266" s="101">
        <f>IFERROR(VLOOKUP(B266,'02. MM-KLH'!$B:$K,9,FALSE),"")</f>
        <v>44199</v>
      </c>
      <c r="J266" s="107">
        <v>0.69</v>
      </c>
      <c r="K266" s="125" t="s">
        <v>887</v>
      </c>
      <c r="L266" s="109" t="s">
        <v>480</v>
      </c>
      <c r="M266" s="110" t="s">
        <v>453</v>
      </c>
      <c r="N266" s="101">
        <v>2014</v>
      </c>
      <c r="O266" s="101" t="s">
        <v>556</v>
      </c>
      <c r="P266" s="101" t="s">
        <v>767</v>
      </c>
      <c r="Q266" s="110" t="s">
        <v>888</v>
      </c>
      <c r="R266" s="111">
        <v>32816</v>
      </c>
    </row>
    <row r="267" ht="13.5" customHeight="1" spans="1:18">
      <c r="A267" s="101">
        <v>6</v>
      </c>
      <c r="B267" s="102" t="s">
        <v>2182</v>
      </c>
      <c r="C267" s="103" t="s">
        <v>6567</v>
      </c>
      <c r="D267" s="103" t="s">
        <v>8467</v>
      </c>
      <c r="E267" s="104"/>
      <c r="F267" s="102" t="s">
        <v>8468</v>
      </c>
      <c r="G267" s="101" t="s">
        <v>27</v>
      </c>
      <c r="H267" s="105">
        <v>45446</v>
      </c>
      <c r="I267" s="101" t="str">
        <f>IFERROR(VLOOKUP(B267,'02. MM-KLH'!$B:$K,9,FALSE),"")</f>
        <v/>
      </c>
      <c r="J267" s="101"/>
      <c r="K267" s="125" t="s">
        <v>887</v>
      </c>
      <c r="L267" s="109" t="s">
        <v>1644</v>
      </c>
      <c r="M267" s="110"/>
      <c r="N267" s="101"/>
      <c r="O267" s="101">
        <v>305</v>
      </c>
      <c r="P267" s="101" t="s">
        <v>2184</v>
      </c>
      <c r="Q267" s="110" t="s">
        <v>2185</v>
      </c>
      <c r="R267" s="111" t="s">
        <v>2186</v>
      </c>
    </row>
    <row r="268" ht="13.5" customHeight="1" spans="1:18">
      <c r="A268" s="101">
        <v>7</v>
      </c>
      <c r="B268" s="116" t="s">
        <v>889</v>
      </c>
      <c r="C268" s="103" t="s">
        <v>3299</v>
      </c>
      <c r="D268" s="118" t="s">
        <v>8469</v>
      </c>
      <c r="E268" s="116" t="s">
        <v>3299</v>
      </c>
      <c r="F268" s="116" t="s">
        <v>3561</v>
      </c>
      <c r="G268" s="119" t="s">
        <v>27</v>
      </c>
      <c r="H268" s="120"/>
      <c r="I268" s="101">
        <f>IFERROR(VLOOKUP(B268,'02. MM-KLH'!$B:$K,9,FALSE),"")</f>
        <v>0</v>
      </c>
      <c r="J268" s="118"/>
      <c r="K268" s="121" t="s">
        <v>8470</v>
      </c>
      <c r="L268" s="122" t="s">
        <v>759</v>
      </c>
      <c r="M268" s="123" t="s">
        <v>453</v>
      </c>
      <c r="N268" s="118">
        <v>2015</v>
      </c>
      <c r="O268" s="118" t="s">
        <v>760</v>
      </c>
      <c r="P268" s="118" t="s">
        <v>761</v>
      </c>
      <c r="Q268" s="123" t="s">
        <v>892</v>
      </c>
      <c r="R268" s="123" t="s">
        <v>893</v>
      </c>
    </row>
    <row r="269" ht="13.5" customHeight="1" spans="1:18">
      <c r="A269" s="101">
        <v>8</v>
      </c>
      <c r="B269" s="116" t="s">
        <v>894</v>
      </c>
      <c r="C269" s="103" t="s">
        <v>3299</v>
      </c>
      <c r="D269" s="118" t="s">
        <v>8467</v>
      </c>
      <c r="E269" s="116" t="s">
        <v>3299</v>
      </c>
      <c r="F269" s="116" t="s">
        <v>3561</v>
      </c>
      <c r="G269" s="119" t="s">
        <v>27</v>
      </c>
      <c r="H269" s="120"/>
      <c r="I269" s="101">
        <f>IFERROR(VLOOKUP(B269,'02. MM-KLH'!$B:$K,9,FALSE),"")</f>
        <v>0</v>
      </c>
      <c r="J269" s="118"/>
      <c r="K269" s="121" t="s">
        <v>8470</v>
      </c>
      <c r="L269" s="122" t="s">
        <v>759</v>
      </c>
      <c r="M269" s="123" t="s">
        <v>453</v>
      </c>
      <c r="N269" s="118">
        <v>2015</v>
      </c>
      <c r="O269" s="118" t="s">
        <v>760</v>
      </c>
      <c r="P269" s="118" t="s">
        <v>761</v>
      </c>
      <c r="Q269" s="123" t="s">
        <v>896</v>
      </c>
      <c r="R269" s="123" t="s">
        <v>897</v>
      </c>
    </row>
    <row r="270" ht="13.5" customHeight="1" spans="1:18">
      <c r="A270" s="101">
        <v>9</v>
      </c>
      <c r="B270" s="102" t="s">
        <v>3162</v>
      </c>
      <c r="C270" s="103" t="s">
        <v>3164</v>
      </c>
      <c r="D270" s="103" t="s">
        <v>8471</v>
      </c>
      <c r="E270" s="104" t="s">
        <v>3164</v>
      </c>
      <c r="F270" s="102" t="s">
        <v>8294</v>
      </c>
      <c r="G270" s="101" t="s">
        <v>3023</v>
      </c>
      <c r="H270" s="105"/>
      <c r="I270" s="101">
        <f>IFERROR(VLOOKUP(B270,'02. MM-KLH'!$B:$K,9,FALSE),"")</f>
        <v>44105</v>
      </c>
      <c r="J270" s="107">
        <v>0.65</v>
      </c>
      <c r="K270" s="108"/>
      <c r="L270" s="109" t="s">
        <v>480</v>
      </c>
      <c r="M270" s="110" t="s">
        <v>453</v>
      </c>
      <c r="N270" s="101">
        <v>2006</v>
      </c>
      <c r="O270" s="101" t="s">
        <v>3166</v>
      </c>
      <c r="P270" s="101"/>
      <c r="Q270" s="110" t="s">
        <v>3167</v>
      </c>
      <c r="R270" s="111">
        <v>10189</v>
      </c>
    </row>
    <row r="271" ht="13.5" customHeight="1" spans="1:18">
      <c r="A271" s="101">
        <v>10</v>
      </c>
      <c r="B271" s="102" t="s">
        <v>2166</v>
      </c>
      <c r="C271" s="103" t="s">
        <v>3298</v>
      </c>
      <c r="D271" s="103" t="s">
        <v>8471</v>
      </c>
      <c r="E271" s="104" t="s">
        <v>3298</v>
      </c>
      <c r="F271" s="104" t="s">
        <v>8294</v>
      </c>
      <c r="G271" s="101" t="s">
        <v>1103</v>
      </c>
      <c r="H271" s="112"/>
      <c r="I271" s="101">
        <f>IFERROR(VLOOKUP(B271,'02. MM-KLH'!$B:$K,9,FALSE),"")</f>
        <v>0</v>
      </c>
      <c r="J271" s="103"/>
      <c r="K271" s="108" t="s">
        <v>2146</v>
      </c>
      <c r="L271" s="115" t="s">
        <v>480</v>
      </c>
      <c r="M271" s="111" t="s">
        <v>453</v>
      </c>
      <c r="N271" s="103">
        <v>2006</v>
      </c>
      <c r="O271" s="103" t="s">
        <v>1629</v>
      </c>
      <c r="P271" s="103" t="s">
        <v>767</v>
      </c>
      <c r="Q271" s="111" t="s">
        <v>2169</v>
      </c>
      <c r="R271" s="111" t="s">
        <v>462</v>
      </c>
    </row>
    <row r="272" ht="13.5" customHeight="1" spans="1:18">
      <c r="A272" s="101">
        <v>11</v>
      </c>
      <c r="B272" s="104" t="s">
        <v>898</v>
      </c>
      <c r="C272" s="103" t="s">
        <v>6570</v>
      </c>
      <c r="D272" s="103"/>
      <c r="E272" s="104"/>
      <c r="F272" s="104" t="s">
        <v>3561</v>
      </c>
      <c r="G272" s="101" t="s">
        <v>27</v>
      </c>
      <c r="H272" s="112"/>
      <c r="I272" s="101">
        <f>IFERROR(VLOOKUP(B272,'02. MM-KLH'!$B:$K,9,FALSE),"")</f>
        <v>45512</v>
      </c>
      <c r="J272" s="103"/>
      <c r="K272" s="114" t="s">
        <v>8472</v>
      </c>
      <c r="L272" s="115"/>
      <c r="M272" s="111"/>
      <c r="N272" s="103"/>
      <c r="O272" s="103"/>
      <c r="P272" s="103"/>
      <c r="Q272" s="111"/>
      <c r="R272" s="111"/>
    </row>
    <row r="273" ht="13.5" customHeight="1" spans="1:18">
      <c r="A273" s="101"/>
      <c r="B273" s="104" t="s">
        <v>906</v>
      </c>
      <c r="C273" s="103" t="s">
        <v>907</v>
      </c>
      <c r="D273" s="103"/>
      <c r="E273" s="104"/>
      <c r="F273" s="104" t="s">
        <v>3565</v>
      </c>
      <c r="G273" s="101" t="s">
        <v>27</v>
      </c>
      <c r="H273" s="112"/>
      <c r="I273" s="101"/>
      <c r="J273" s="103"/>
      <c r="K273" s="114"/>
      <c r="L273" s="115"/>
      <c r="M273" s="111"/>
      <c r="N273" s="103"/>
      <c r="O273" s="103"/>
      <c r="P273" s="103"/>
      <c r="Q273" s="111"/>
      <c r="R273" s="111"/>
    </row>
    <row r="274" ht="13.5" customHeight="1" spans="1:18">
      <c r="A274" s="101"/>
      <c r="B274" s="104" t="s">
        <v>2177</v>
      </c>
      <c r="C274" s="103" t="s">
        <v>2178</v>
      </c>
      <c r="D274" s="103"/>
      <c r="E274" s="104"/>
      <c r="F274" s="104" t="s">
        <v>8473</v>
      </c>
      <c r="G274" s="101" t="s">
        <v>27</v>
      </c>
      <c r="H274" s="112"/>
      <c r="I274" s="101"/>
      <c r="J274" s="103"/>
      <c r="K274" s="114"/>
      <c r="L274" s="115"/>
      <c r="M274" s="111"/>
      <c r="N274" s="103"/>
      <c r="O274" s="103"/>
      <c r="P274" s="103"/>
      <c r="Q274" s="111"/>
      <c r="R274" s="111"/>
    </row>
    <row r="275" ht="13.5" customHeight="1" spans="1:18">
      <c r="A275" s="101"/>
      <c r="B275" s="104" t="s">
        <v>910</v>
      </c>
      <c r="C275" s="103" t="s">
        <v>911</v>
      </c>
      <c r="D275" s="103"/>
      <c r="E275" s="104"/>
      <c r="F275" s="104" t="s">
        <v>8474</v>
      </c>
      <c r="G275" s="101" t="s">
        <v>27</v>
      </c>
      <c r="H275" s="112"/>
      <c r="I275" s="101"/>
      <c r="J275" s="103"/>
      <c r="K275" s="114"/>
      <c r="L275" s="115"/>
      <c r="M275" s="111"/>
      <c r="N275" s="103"/>
      <c r="O275" s="103"/>
      <c r="P275" s="103"/>
      <c r="Q275" s="111"/>
      <c r="R275" s="111"/>
    </row>
    <row r="276" ht="13.5" customHeight="1" spans="1:18">
      <c r="A276" s="101"/>
      <c r="B276" s="104"/>
      <c r="C276" s="103"/>
      <c r="D276" s="103"/>
      <c r="E276" s="104"/>
      <c r="F276" s="104"/>
      <c r="G276" s="101"/>
      <c r="H276" s="112"/>
      <c r="I276" s="101"/>
      <c r="J276" s="103"/>
      <c r="K276" s="114"/>
      <c r="L276" s="115"/>
      <c r="M276" s="111"/>
      <c r="N276" s="103"/>
      <c r="O276" s="103"/>
      <c r="P276" s="103"/>
      <c r="Q276" s="111"/>
      <c r="R276" s="111"/>
    </row>
    <row r="277" ht="13.5" customHeight="1" spans="1:18">
      <c r="A277" s="96" t="s">
        <v>1246</v>
      </c>
      <c r="B277" s="97" t="s">
        <v>8475</v>
      </c>
      <c r="C277" s="96"/>
      <c r="D277" s="96"/>
      <c r="E277" s="97"/>
      <c r="F277" s="96"/>
      <c r="G277" s="97"/>
      <c r="H277" s="98"/>
      <c r="I277" s="98"/>
      <c r="J277" s="96"/>
      <c r="K277" s="99"/>
      <c r="L277" s="100"/>
      <c r="M277" s="97"/>
      <c r="N277" s="97"/>
      <c r="O277" s="97"/>
      <c r="P277" s="97"/>
      <c r="Q277" s="97"/>
      <c r="R277" s="97"/>
    </row>
    <row r="278" ht="13.5" customHeight="1" spans="1:18">
      <c r="A278" s="103">
        <v>1</v>
      </c>
      <c r="B278" s="104" t="s">
        <v>820</v>
      </c>
      <c r="C278" s="103" t="s">
        <v>3304</v>
      </c>
      <c r="D278" s="103" t="s">
        <v>8476</v>
      </c>
      <c r="E278" s="104" t="s">
        <v>3304</v>
      </c>
      <c r="F278" s="104" t="s">
        <v>57</v>
      </c>
      <c r="G278" s="103" t="s">
        <v>27</v>
      </c>
      <c r="H278" s="112">
        <v>44228</v>
      </c>
      <c r="I278" s="101">
        <f>IFERROR(VLOOKUP(B278,'02. MM-KLH'!$B:$K,9,FALSE),"")</f>
        <v>43841</v>
      </c>
      <c r="J278" s="113">
        <v>0.65</v>
      </c>
      <c r="K278" s="114"/>
      <c r="L278" s="115" t="s">
        <v>480</v>
      </c>
      <c r="M278" s="111" t="s">
        <v>453</v>
      </c>
      <c r="N278" s="103">
        <v>2005</v>
      </c>
      <c r="O278" s="103" t="s">
        <v>481</v>
      </c>
      <c r="P278" s="103" t="s">
        <v>482</v>
      </c>
      <c r="Q278" s="111" t="s">
        <v>822</v>
      </c>
      <c r="R278" s="111" t="s">
        <v>823</v>
      </c>
    </row>
    <row r="279" ht="13.5" customHeight="1" spans="1:18">
      <c r="A279" s="101">
        <v>2</v>
      </c>
      <c r="B279" s="102" t="s">
        <v>824</v>
      </c>
      <c r="C279" s="103" t="s">
        <v>3305</v>
      </c>
      <c r="D279" s="103" t="s">
        <v>8477</v>
      </c>
      <c r="E279" s="104" t="s">
        <v>3305</v>
      </c>
      <c r="F279" s="102" t="s">
        <v>57</v>
      </c>
      <c r="G279" s="101" t="s">
        <v>27</v>
      </c>
      <c r="H279" s="101"/>
      <c r="I279" s="101">
        <f>IFERROR(VLOOKUP(B279,'02. MM-KLH'!$B:$K,9,FALSE),"")</f>
        <v>43841</v>
      </c>
      <c r="J279" s="107">
        <v>0.66</v>
      </c>
      <c r="K279" s="108"/>
      <c r="L279" s="109" t="s">
        <v>480</v>
      </c>
      <c r="M279" s="110" t="s">
        <v>453</v>
      </c>
      <c r="N279" s="101">
        <v>2004</v>
      </c>
      <c r="O279" s="101" t="s">
        <v>481</v>
      </c>
      <c r="P279" s="101" t="s">
        <v>482</v>
      </c>
      <c r="Q279" s="110" t="s">
        <v>825</v>
      </c>
      <c r="R279" s="111" t="s">
        <v>826</v>
      </c>
    </row>
    <row r="280" ht="13.5" customHeight="1" spans="1:18">
      <c r="A280" s="103">
        <v>3</v>
      </c>
      <c r="B280" s="102" t="s">
        <v>827</v>
      </c>
      <c r="C280" s="103" t="s">
        <v>3314</v>
      </c>
      <c r="D280" s="103" t="s">
        <v>8478</v>
      </c>
      <c r="E280" s="104" t="s">
        <v>3314</v>
      </c>
      <c r="F280" s="102" t="s">
        <v>8479</v>
      </c>
      <c r="G280" s="101" t="s">
        <v>27</v>
      </c>
      <c r="H280" s="105">
        <v>44287</v>
      </c>
      <c r="I280" s="101">
        <f>IFERROR(VLOOKUP(B280,'02. MM-KLH'!$B:$K,9,FALSE),"")</f>
        <v>43841</v>
      </c>
      <c r="J280" s="107">
        <v>0.66</v>
      </c>
      <c r="K280" s="108"/>
      <c r="L280" s="109" t="s">
        <v>480</v>
      </c>
      <c r="M280" s="110" t="s">
        <v>453</v>
      </c>
      <c r="N280" s="101">
        <v>1996</v>
      </c>
      <c r="O280" s="101" t="s">
        <v>828</v>
      </c>
      <c r="P280" s="101" t="s">
        <v>829</v>
      </c>
      <c r="Q280" s="110" t="s">
        <v>830</v>
      </c>
      <c r="R280" s="111" t="s">
        <v>831</v>
      </c>
    </row>
    <row r="281" ht="13.5" customHeight="1" spans="1:18">
      <c r="A281" s="101">
        <v>4</v>
      </c>
      <c r="B281" s="104" t="s">
        <v>832</v>
      </c>
      <c r="C281" s="103" t="s">
        <v>3308</v>
      </c>
      <c r="D281" s="103" t="s">
        <v>8480</v>
      </c>
      <c r="E281" s="104" t="s">
        <v>3308</v>
      </c>
      <c r="F281" s="104" t="s">
        <v>57</v>
      </c>
      <c r="G281" s="103" t="s">
        <v>27</v>
      </c>
      <c r="H281" s="112">
        <v>44136</v>
      </c>
      <c r="I281" s="101">
        <f>IFERROR(VLOOKUP(B281,'02. MM-KLH'!$B:$K,9,FALSE),"")</f>
        <v>44198</v>
      </c>
      <c r="J281" s="113">
        <v>0.68</v>
      </c>
      <c r="K281" s="114"/>
      <c r="L281" s="115" t="s">
        <v>480</v>
      </c>
      <c r="M281" s="111" t="s">
        <v>453</v>
      </c>
      <c r="N281" s="103">
        <v>2006</v>
      </c>
      <c r="O281" s="103" t="s">
        <v>613</v>
      </c>
      <c r="P281" s="103" t="s">
        <v>58</v>
      </c>
      <c r="Q281" s="111" t="s">
        <v>833</v>
      </c>
      <c r="R281" s="111" t="s">
        <v>834</v>
      </c>
    </row>
    <row r="282" ht="13.5" customHeight="1" spans="1:18">
      <c r="A282" s="96" t="s">
        <v>1344</v>
      </c>
      <c r="B282" s="97" t="s">
        <v>8481</v>
      </c>
      <c r="C282" s="96"/>
      <c r="D282" s="96"/>
      <c r="E282" s="97"/>
      <c r="F282" s="96"/>
      <c r="G282" s="97"/>
      <c r="H282" s="98"/>
      <c r="I282" s="98"/>
      <c r="J282" s="96"/>
      <c r="K282" s="99"/>
      <c r="L282" s="100"/>
      <c r="M282" s="97"/>
      <c r="N282" s="97"/>
      <c r="O282" s="97"/>
      <c r="P282" s="97"/>
      <c r="Q282" s="97"/>
      <c r="R282" s="97"/>
    </row>
    <row r="283" ht="13.5" customHeight="1" spans="1:18">
      <c r="A283" s="103">
        <v>1</v>
      </c>
      <c r="B283" s="102" t="s">
        <v>854</v>
      </c>
      <c r="C283" s="103" t="s">
        <v>3383</v>
      </c>
      <c r="D283" s="103" t="s">
        <v>6591</v>
      </c>
      <c r="E283" s="104" t="s">
        <v>3383</v>
      </c>
      <c r="F283" s="102" t="s">
        <v>8404</v>
      </c>
      <c r="G283" s="101" t="s">
        <v>27</v>
      </c>
      <c r="H283" s="105"/>
      <c r="I283" s="101">
        <f>IFERROR(VLOOKUP(B283,'02. MM-KLH'!$B:$K,9,FALSE),"")</f>
        <v>0</v>
      </c>
      <c r="J283" s="107">
        <v>0.68</v>
      </c>
      <c r="K283" s="108"/>
      <c r="L283" s="109" t="s">
        <v>621</v>
      </c>
      <c r="M283" s="110" t="s">
        <v>500</v>
      </c>
      <c r="N283" s="101">
        <v>2020</v>
      </c>
      <c r="O283" s="101" t="s">
        <v>719</v>
      </c>
      <c r="P283" s="101" t="s">
        <v>85</v>
      </c>
      <c r="Q283" s="110" t="s">
        <v>855</v>
      </c>
      <c r="R283" s="111" t="s">
        <v>856</v>
      </c>
    </row>
    <row r="284" ht="13.5" customHeight="1" spans="1:18">
      <c r="A284" s="101">
        <v>2</v>
      </c>
      <c r="B284" s="102" t="s">
        <v>857</v>
      </c>
      <c r="C284" s="103" t="s">
        <v>3380</v>
      </c>
      <c r="D284" s="103" t="s">
        <v>3566</v>
      </c>
      <c r="E284" s="104" t="s">
        <v>3380</v>
      </c>
      <c r="F284" s="102" t="s">
        <v>104</v>
      </c>
      <c r="G284" s="101" t="s">
        <v>27</v>
      </c>
      <c r="H284" s="105">
        <v>44198</v>
      </c>
      <c r="I284" s="101">
        <f>IFERROR(VLOOKUP(B284,'02. MM-KLH'!$B:$K,9,FALSE),"")</f>
        <v>44198</v>
      </c>
      <c r="J284" s="107">
        <v>0.32</v>
      </c>
      <c r="K284" s="108"/>
      <c r="L284" s="109" t="s">
        <v>499</v>
      </c>
      <c r="M284" s="110" t="s">
        <v>500</v>
      </c>
      <c r="N284" s="101">
        <v>2018</v>
      </c>
      <c r="O284" s="101" t="s">
        <v>8300</v>
      </c>
      <c r="P284" s="101" t="s">
        <v>105</v>
      </c>
      <c r="Q284" s="110" t="s">
        <v>858</v>
      </c>
      <c r="R284" s="111" t="s">
        <v>859</v>
      </c>
    </row>
    <row r="285" ht="13.5" customHeight="1" spans="1:18">
      <c r="A285" s="103">
        <v>3</v>
      </c>
      <c r="B285" s="104" t="s">
        <v>860</v>
      </c>
      <c r="C285" s="103" t="s">
        <v>3380</v>
      </c>
      <c r="D285" s="103" t="s">
        <v>3567</v>
      </c>
      <c r="E285" s="104" t="s">
        <v>3380</v>
      </c>
      <c r="F285" s="104" t="s">
        <v>104</v>
      </c>
      <c r="G285" s="103" t="s">
        <v>27</v>
      </c>
      <c r="H285" s="112">
        <v>44198</v>
      </c>
      <c r="I285" s="101">
        <f>IFERROR(VLOOKUP(B285,'02. MM-KLH'!$B:$K,9,FALSE),"")</f>
        <v>44198</v>
      </c>
      <c r="J285" s="103"/>
      <c r="K285" s="114"/>
      <c r="L285" s="115" t="s">
        <v>499</v>
      </c>
      <c r="M285" s="111" t="s">
        <v>500</v>
      </c>
      <c r="N285" s="103">
        <v>2018</v>
      </c>
      <c r="O285" s="101" t="s">
        <v>8300</v>
      </c>
      <c r="P285" s="103" t="s">
        <v>105</v>
      </c>
      <c r="Q285" s="111" t="s">
        <v>861</v>
      </c>
      <c r="R285" s="111" t="s">
        <v>862</v>
      </c>
    </row>
    <row r="286" ht="13.5" customHeight="1" spans="1:18">
      <c r="A286" s="101">
        <v>4</v>
      </c>
      <c r="B286" s="102" t="s">
        <v>3168</v>
      </c>
      <c r="C286" s="103" t="s">
        <v>3084</v>
      </c>
      <c r="D286" s="103" t="s">
        <v>8482</v>
      </c>
      <c r="E286" s="104" t="s">
        <v>3084</v>
      </c>
      <c r="F286" s="102" t="s">
        <v>127</v>
      </c>
      <c r="G286" s="101" t="s">
        <v>3023</v>
      </c>
      <c r="H286" s="105"/>
      <c r="I286" s="101">
        <f>IFERROR(VLOOKUP(B286,'02. MM-KLH'!$B:$K,9,FALSE),"")</f>
        <v>41651</v>
      </c>
      <c r="J286" s="101"/>
      <c r="K286" s="108"/>
      <c r="L286" s="109" t="s">
        <v>1164</v>
      </c>
      <c r="M286" s="110" t="s">
        <v>1165</v>
      </c>
      <c r="N286" s="101"/>
      <c r="O286" s="101"/>
      <c r="P286" s="101" t="s">
        <v>208</v>
      </c>
      <c r="Q286" s="110">
        <v>55065</v>
      </c>
      <c r="R286" s="111" t="s">
        <v>462</v>
      </c>
    </row>
    <row r="287" ht="13.5" customHeight="1" spans="1:18">
      <c r="A287" s="103">
        <v>5</v>
      </c>
      <c r="B287" s="102" t="s">
        <v>8483</v>
      </c>
      <c r="C287" s="103" t="s">
        <v>3084</v>
      </c>
      <c r="D287" s="103" t="s">
        <v>8484</v>
      </c>
      <c r="E287" s="104" t="s">
        <v>3084</v>
      </c>
      <c r="F287" s="102" t="s">
        <v>127</v>
      </c>
      <c r="G287" s="101" t="s">
        <v>3023</v>
      </c>
      <c r="H287" s="105"/>
      <c r="I287" s="101" t="str">
        <f>IFERROR(VLOOKUP(B287,'02. MM-KLH'!$B:$K,9,FALSE),"")</f>
        <v/>
      </c>
      <c r="J287" s="101"/>
      <c r="K287" s="108"/>
      <c r="L287" s="109" t="s">
        <v>1164</v>
      </c>
      <c r="M287" s="110" t="s">
        <v>1165</v>
      </c>
      <c r="N287" s="101"/>
      <c r="O287" s="101"/>
      <c r="P287" s="101" t="s">
        <v>208</v>
      </c>
      <c r="Q287" s="110">
        <v>29823</v>
      </c>
      <c r="R287" s="111" t="s">
        <v>462</v>
      </c>
    </row>
    <row r="288" ht="13.5" customHeight="1" spans="1:18">
      <c r="A288" s="101">
        <v>6</v>
      </c>
      <c r="B288" s="102" t="s">
        <v>8485</v>
      </c>
      <c r="C288" s="103" t="s">
        <v>3084</v>
      </c>
      <c r="D288" s="103" t="s">
        <v>8486</v>
      </c>
      <c r="E288" s="104" t="s">
        <v>3084</v>
      </c>
      <c r="F288" s="102" t="s">
        <v>127</v>
      </c>
      <c r="G288" s="101" t="s">
        <v>3023</v>
      </c>
      <c r="H288" s="105"/>
      <c r="I288" s="101" t="str">
        <f>IFERROR(VLOOKUP(B288,'02. MM-KLH'!$B:$K,9,FALSE),"")</f>
        <v/>
      </c>
      <c r="J288" s="101"/>
      <c r="K288" s="108"/>
      <c r="L288" s="109" t="s">
        <v>1164</v>
      </c>
      <c r="M288" s="110" t="s">
        <v>1165</v>
      </c>
      <c r="N288" s="101"/>
      <c r="O288" s="101"/>
      <c r="P288" s="101" t="s">
        <v>208</v>
      </c>
      <c r="Q288" s="110">
        <v>101437</v>
      </c>
      <c r="R288" s="111" t="s">
        <v>462</v>
      </c>
    </row>
    <row r="289" ht="13.5" customHeight="1" spans="1:18">
      <c r="A289" s="103">
        <v>7</v>
      </c>
      <c r="B289" s="104" t="s">
        <v>3082</v>
      </c>
      <c r="C289" s="103" t="s">
        <v>3084</v>
      </c>
      <c r="D289" s="103" t="s">
        <v>8482</v>
      </c>
      <c r="E289" s="104" t="s">
        <v>3084</v>
      </c>
      <c r="F289" s="104" t="s">
        <v>127</v>
      </c>
      <c r="G289" s="103" t="s">
        <v>1103</v>
      </c>
      <c r="H289" s="112"/>
      <c r="I289" s="101">
        <f>IFERROR(VLOOKUP(B289,'02. MM-KLH'!$B:$K,9,FALSE),"")</f>
        <v>0</v>
      </c>
      <c r="J289" s="103"/>
      <c r="K289" s="114"/>
      <c r="L289" s="115" t="s">
        <v>1164</v>
      </c>
      <c r="M289" s="111" t="s">
        <v>1165</v>
      </c>
      <c r="N289" s="103"/>
      <c r="O289" s="103"/>
      <c r="P289" s="103" t="s">
        <v>208</v>
      </c>
      <c r="Q289" s="111">
        <v>78509</v>
      </c>
      <c r="R289" s="111" t="s">
        <v>462</v>
      </c>
    </row>
    <row r="290" ht="13.5" customHeight="1" spans="1:18">
      <c r="A290" s="101">
        <v>8</v>
      </c>
      <c r="B290" s="102" t="s">
        <v>3085</v>
      </c>
      <c r="C290" s="103" t="s">
        <v>3084</v>
      </c>
      <c r="D290" s="103" t="s">
        <v>8486</v>
      </c>
      <c r="E290" s="104" t="s">
        <v>3084</v>
      </c>
      <c r="F290" s="102" t="s">
        <v>127</v>
      </c>
      <c r="G290" s="101" t="s">
        <v>1103</v>
      </c>
      <c r="H290" s="105"/>
      <c r="I290" s="101">
        <f>IFERROR(VLOOKUP(B290,'02. MM-KLH'!$B:$K,9,FALSE),"")</f>
        <v>0</v>
      </c>
      <c r="J290" s="101"/>
      <c r="K290" s="108"/>
      <c r="L290" s="109" t="s">
        <v>1164</v>
      </c>
      <c r="M290" s="110" t="s">
        <v>1165</v>
      </c>
      <c r="N290" s="101"/>
      <c r="O290" s="101"/>
      <c r="P290" s="101" t="s">
        <v>208</v>
      </c>
      <c r="Q290" s="110">
        <v>58759</v>
      </c>
      <c r="R290" s="111" t="s">
        <v>462</v>
      </c>
    </row>
    <row r="291" ht="13.5" customHeight="1" spans="1:18">
      <c r="A291" s="103">
        <v>9</v>
      </c>
      <c r="B291" s="173" t="s">
        <v>2299</v>
      </c>
      <c r="C291" s="103" t="s">
        <v>3395</v>
      </c>
      <c r="D291" s="117" t="s">
        <v>8487</v>
      </c>
      <c r="E291" s="133" t="s">
        <v>3395</v>
      </c>
      <c r="F291" s="173" t="s">
        <v>122</v>
      </c>
      <c r="G291" s="178" t="s">
        <v>1103</v>
      </c>
      <c r="H291" s="179">
        <v>44564</v>
      </c>
      <c r="I291" s="101">
        <f>IFERROR(VLOOKUP(B291,'02. MM-KLH'!$B:$K,9,FALSE),"")</f>
        <v>44564</v>
      </c>
      <c r="J291" s="180">
        <v>0.79</v>
      </c>
      <c r="K291" s="125" t="s">
        <v>8488</v>
      </c>
      <c r="L291" s="181" t="s">
        <v>621</v>
      </c>
      <c r="M291" s="182" t="s">
        <v>500</v>
      </c>
      <c r="N291" s="178">
        <v>2021</v>
      </c>
      <c r="O291" s="178" t="s">
        <v>2478</v>
      </c>
      <c r="P291" s="178" t="s">
        <v>85</v>
      </c>
      <c r="Q291" s="182" t="s">
        <v>2303</v>
      </c>
      <c r="R291" s="183" t="s">
        <v>2304</v>
      </c>
    </row>
    <row r="292" ht="13.5" customHeight="1" spans="1:18">
      <c r="A292" s="101">
        <v>10</v>
      </c>
      <c r="B292" s="184" t="s">
        <v>2465</v>
      </c>
      <c r="C292" s="103" t="s">
        <v>3396</v>
      </c>
      <c r="D292" s="134" t="s">
        <v>3388</v>
      </c>
      <c r="E292" s="138" t="s">
        <v>3396</v>
      </c>
      <c r="F292" s="138" t="s">
        <v>119</v>
      </c>
      <c r="G292" s="134" t="s">
        <v>31</v>
      </c>
      <c r="H292" s="185">
        <v>43835</v>
      </c>
      <c r="I292" s="101">
        <f>IFERROR(VLOOKUP(B292,'02. MM-KLH'!$B:$K,9,FALSE),"")</f>
        <v>43835</v>
      </c>
      <c r="J292" s="186">
        <v>0.67</v>
      </c>
      <c r="K292" s="187" t="s">
        <v>8489</v>
      </c>
      <c r="L292" s="138" t="s">
        <v>499</v>
      </c>
      <c r="M292" s="138" t="s">
        <v>500</v>
      </c>
      <c r="N292" s="134">
        <v>2012</v>
      </c>
      <c r="O292" s="134" t="s">
        <v>2468</v>
      </c>
      <c r="P292" s="134" t="s">
        <v>8311</v>
      </c>
      <c r="Q292" s="138">
        <v>6005</v>
      </c>
      <c r="R292" s="138" t="s">
        <v>462</v>
      </c>
    </row>
    <row r="293" ht="13.5" customHeight="1" spans="1:18">
      <c r="A293" s="103">
        <v>11</v>
      </c>
      <c r="B293" s="184" t="s">
        <v>2477</v>
      </c>
      <c r="C293" s="103" t="s">
        <v>3398</v>
      </c>
      <c r="D293" s="139" t="s">
        <v>8490</v>
      </c>
      <c r="E293" s="143" t="s">
        <v>3398</v>
      </c>
      <c r="F293" s="143" t="s">
        <v>122</v>
      </c>
      <c r="G293" s="139" t="s">
        <v>31</v>
      </c>
      <c r="H293" s="188">
        <v>44564</v>
      </c>
      <c r="I293" s="101">
        <f>IFERROR(VLOOKUP(B293,'02. MM-KLH'!$B:$K,9,FALSE),"")</f>
        <v>44564</v>
      </c>
      <c r="J293" s="189">
        <v>0.79</v>
      </c>
      <c r="K293" s="190" t="s">
        <v>8489</v>
      </c>
      <c r="L293" s="143" t="s">
        <v>621</v>
      </c>
      <c r="M293" s="143" t="s">
        <v>500</v>
      </c>
      <c r="N293" s="139">
        <v>583</v>
      </c>
      <c r="O293" s="139" t="s">
        <v>2478</v>
      </c>
      <c r="P293" s="139" t="s">
        <v>85</v>
      </c>
      <c r="Q293" s="143" t="s">
        <v>2479</v>
      </c>
      <c r="R293" s="143" t="s">
        <v>2480</v>
      </c>
    </row>
    <row r="294" ht="13.5" customHeight="1" spans="1:18">
      <c r="A294" s="101">
        <v>12</v>
      </c>
      <c r="B294" s="184" t="s">
        <v>2484</v>
      </c>
      <c r="C294" s="103" t="s">
        <v>3400</v>
      </c>
      <c r="D294" s="139" t="s">
        <v>8491</v>
      </c>
      <c r="E294" s="143" t="s">
        <v>3400</v>
      </c>
      <c r="F294" s="143" t="s">
        <v>122</v>
      </c>
      <c r="G294" s="139" t="s">
        <v>31</v>
      </c>
      <c r="H294" s="188">
        <v>44564</v>
      </c>
      <c r="I294" s="101">
        <f>IFERROR(VLOOKUP(B294,'02. MM-KLH'!$B:$K,9,FALSE),"")</f>
        <v>44564</v>
      </c>
      <c r="J294" s="189">
        <v>0.79</v>
      </c>
      <c r="K294" s="190" t="s">
        <v>8489</v>
      </c>
      <c r="L294" s="143" t="s">
        <v>621</v>
      </c>
      <c r="M294" s="143" t="s">
        <v>500</v>
      </c>
      <c r="N294" s="139">
        <v>2021</v>
      </c>
      <c r="O294" s="139" t="s">
        <v>2478</v>
      </c>
      <c r="P294" s="139" t="s">
        <v>85</v>
      </c>
      <c r="Q294" s="143" t="s">
        <v>2485</v>
      </c>
      <c r="R294" s="143" t="s">
        <v>2486</v>
      </c>
    </row>
    <row r="295" ht="13.5" customHeight="1" spans="1:18">
      <c r="A295" s="103">
        <v>13</v>
      </c>
      <c r="B295" s="184" t="s">
        <v>2488</v>
      </c>
      <c r="C295" s="103" t="s">
        <v>6699</v>
      </c>
      <c r="D295" s="140"/>
      <c r="E295" s="140"/>
      <c r="F295" s="143" t="s">
        <v>8492</v>
      </c>
      <c r="G295" s="139" t="s">
        <v>31</v>
      </c>
      <c r="H295" s="141"/>
      <c r="I295" s="101">
        <f>IFERROR(VLOOKUP(B295,'02. MM-KLH'!$B:$K,9,FALSE),"")</f>
        <v>0</v>
      </c>
      <c r="J295" s="140"/>
      <c r="K295" s="190" t="s">
        <v>8489</v>
      </c>
      <c r="L295" s="143" t="s">
        <v>508</v>
      </c>
      <c r="M295" s="140"/>
      <c r="N295" s="140"/>
      <c r="O295" s="140"/>
      <c r="P295" s="140"/>
      <c r="Q295" s="143">
        <v>63965</v>
      </c>
      <c r="R295" s="143" t="s">
        <v>462</v>
      </c>
    </row>
    <row r="296" ht="13.5" customHeight="1" spans="1:18">
      <c r="A296" s="101">
        <v>14</v>
      </c>
      <c r="B296" s="184" t="s">
        <v>2492</v>
      </c>
      <c r="C296" s="103" t="s">
        <v>6700</v>
      </c>
      <c r="D296" s="140"/>
      <c r="E296" s="140"/>
      <c r="F296" s="143" t="s">
        <v>8492</v>
      </c>
      <c r="G296" s="139" t="s">
        <v>31</v>
      </c>
      <c r="H296" s="141"/>
      <c r="I296" s="101">
        <f>IFERROR(VLOOKUP(B296,'02. MM-KLH'!$B:$K,9,FALSE),"")</f>
        <v>0</v>
      </c>
      <c r="J296" s="140"/>
      <c r="K296" s="190" t="s">
        <v>8489</v>
      </c>
      <c r="L296" s="143" t="s">
        <v>508</v>
      </c>
      <c r="M296" s="140"/>
      <c r="N296" s="140"/>
      <c r="O296" s="140"/>
      <c r="P296" s="140"/>
      <c r="Q296" s="143">
        <v>933513</v>
      </c>
      <c r="R296" s="143" t="s">
        <v>462</v>
      </c>
    </row>
    <row r="297" ht="13.5" customHeight="1" spans="1:18">
      <c r="A297" s="103">
        <v>15</v>
      </c>
      <c r="B297" s="184" t="s">
        <v>2496</v>
      </c>
      <c r="C297" s="103" t="s">
        <v>3450</v>
      </c>
      <c r="D297" s="103" t="s">
        <v>8493</v>
      </c>
      <c r="E297" s="104" t="s">
        <v>3450</v>
      </c>
      <c r="F297" s="102" t="s">
        <v>8312</v>
      </c>
      <c r="G297" s="101" t="s">
        <v>31</v>
      </c>
      <c r="H297" s="105">
        <v>44198</v>
      </c>
      <c r="I297" s="101">
        <f>IFERROR(VLOOKUP(B297,'02. MM-KLH'!$B:$K,9,FALSE),"")</f>
        <v>44198</v>
      </c>
      <c r="J297" s="107">
        <v>0.68</v>
      </c>
      <c r="K297" s="108" t="s">
        <v>8489</v>
      </c>
      <c r="L297" s="109" t="s">
        <v>499</v>
      </c>
      <c r="M297" s="110" t="s">
        <v>500</v>
      </c>
      <c r="N297" s="101">
        <v>2018</v>
      </c>
      <c r="O297" s="101" t="s">
        <v>8300</v>
      </c>
      <c r="P297" s="101" t="s">
        <v>105</v>
      </c>
      <c r="Q297" s="110" t="s">
        <v>2497</v>
      </c>
      <c r="R297" s="111" t="s">
        <v>2498</v>
      </c>
    </row>
    <row r="298" ht="13.5" customHeight="1" spans="1:18">
      <c r="A298" s="96" t="s">
        <v>1466</v>
      </c>
      <c r="B298" s="97" t="s">
        <v>8494</v>
      </c>
      <c r="C298" s="96"/>
      <c r="D298" s="96"/>
      <c r="E298" s="97"/>
      <c r="F298" s="96"/>
      <c r="G298" s="97"/>
      <c r="H298" s="98"/>
      <c r="I298" s="98"/>
      <c r="J298" s="96"/>
      <c r="K298" s="99"/>
      <c r="L298" s="100"/>
      <c r="M298" s="97"/>
      <c r="N298" s="97"/>
      <c r="O298" s="97"/>
      <c r="P298" s="97"/>
      <c r="Q298" s="97"/>
      <c r="R298" s="97"/>
    </row>
    <row r="299" ht="13.5" customHeight="1" spans="1:18">
      <c r="A299" s="101">
        <v>11</v>
      </c>
      <c r="B299" s="102" t="s">
        <v>863</v>
      </c>
      <c r="C299" s="103" t="s">
        <v>3437</v>
      </c>
      <c r="D299" s="103" t="s">
        <v>8495</v>
      </c>
      <c r="E299" s="104" t="s">
        <v>3437</v>
      </c>
      <c r="F299" s="102" t="s">
        <v>133</v>
      </c>
      <c r="G299" s="101" t="s">
        <v>27</v>
      </c>
      <c r="H299" s="105">
        <v>44198</v>
      </c>
      <c r="I299" s="101">
        <f>IFERROR(VLOOKUP(B299,'02. MM-KLH'!$B:$K,9,FALSE),"")</f>
        <v>44198</v>
      </c>
      <c r="J299" s="107">
        <v>0.69</v>
      </c>
      <c r="K299" s="108"/>
      <c r="L299" s="109" t="s">
        <v>499</v>
      </c>
      <c r="M299" s="110" t="s">
        <v>500</v>
      </c>
      <c r="N299" s="101">
        <v>2019</v>
      </c>
      <c r="O299" s="101" t="s">
        <v>864</v>
      </c>
      <c r="P299" s="101" t="s">
        <v>134</v>
      </c>
      <c r="Q299" s="110" t="s">
        <v>865</v>
      </c>
      <c r="R299" s="111" t="s">
        <v>866</v>
      </c>
    </row>
    <row r="300" ht="13.5" customHeight="1" spans="1:18">
      <c r="A300" s="96" t="s">
        <v>1589</v>
      </c>
      <c r="B300" s="97" t="s">
        <v>8496</v>
      </c>
      <c r="C300" s="96"/>
      <c r="D300" s="96"/>
      <c r="E300" s="97"/>
      <c r="F300" s="96"/>
      <c r="G300" s="97"/>
      <c r="H300" s="98"/>
      <c r="I300" s="98" t="str">
        <f>IFERROR(VLOOKUP(B300,'02. MM-KLH'!$B:$K,9,FALSE),"")</f>
        <v/>
      </c>
      <c r="J300" s="96"/>
      <c r="K300" s="99"/>
      <c r="L300" s="100"/>
      <c r="M300" s="97"/>
      <c r="N300" s="97"/>
      <c r="O300" s="97"/>
      <c r="P300" s="97"/>
      <c r="Q300" s="97"/>
      <c r="R300" s="97"/>
    </row>
    <row r="301" ht="13.5" customHeight="1" spans="1:18">
      <c r="A301" s="101">
        <v>1</v>
      </c>
      <c r="B301" s="102" t="s">
        <v>817</v>
      </c>
      <c r="C301" s="103" t="s">
        <v>3333</v>
      </c>
      <c r="D301" s="103" t="s">
        <v>8497</v>
      </c>
      <c r="E301" s="104" t="s">
        <v>3333</v>
      </c>
      <c r="F301" s="104" t="s">
        <v>70</v>
      </c>
      <c r="G301" s="101" t="s">
        <v>27</v>
      </c>
      <c r="H301" s="105">
        <v>44136</v>
      </c>
      <c r="I301" s="101">
        <f>IFERROR(VLOOKUP(B301,'02. MM-KLH'!$B:$K,9,FALSE),"")</f>
        <v>44136</v>
      </c>
      <c r="J301" s="107">
        <v>0.66</v>
      </c>
      <c r="K301" s="108"/>
      <c r="L301" s="109" t="s">
        <v>480</v>
      </c>
      <c r="M301" s="110" t="s">
        <v>453</v>
      </c>
      <c r="N301" s="101">
        <v>1995</v>
      </c>
      <c r="O301" s="101" t="s">
        <v>545</v>
      </c>
      <c r="P301" s="101" t="s">
        <v>546</v>
      </c>
      <c r="Q301" s="110" t="s">
        <v>818</v>
      </c>
      <c r="R301" s="111" t="s">
        <v>819</v>
      </c>
    </row>
    <row r="302" ht="13.5" customHeight="1" spans="1:18">
      <c r="A302" s="96" t="s">
        <v>1741</v>
      </c>
      <c r="B302" s="97" t="s">
        <v>8498</v>
      </c>
      <c r="C302" s="96"/>
      <c r="D302" s="96"/>
      <c r="E302" s="97"/>
      <c r="F302" s="96"/>
      <c r="G302" s="97"/>
      <c r="H302" s="98"/>
      <c r="I302" s="98" t="str">
        <f>IFERROR(VLOOKUP(B302,'02. MM-KLH'!$B:$K,9,FALSE),"")</f>
        <v/>
      </c>
      <c r="J302" s="96"/>
      <c r="K302" s="99"/>
      <c r="L302" s="100"/>
      <c r="M302" s="97"/>
      <c r="N302" s="97"/>
      <c r="O302" s="97"/>
      <c r="P302" s="97"/>
      <c r="Q302" s="97"/>
      <c r="R302" s="97"/>
    </row>
    <row r="303" ht="13.5" customHeight="1" spans="1:18">
      <c r="A303" s="103">
        <v>1</v>
      </c>
      <c r="B303" s="102" t="s">
        <v>847</v>
      </c>
      <c r="C303" s="103" t="s">
        <v>3326</v>
      </c>
      <c r="D303" s="103" t="s">
        <v>8499</v>
      </c>
      <c r="E303" s="104" t="s">
        <v>3326</v>
      </c>
      <c r="F303" s="102" t="s">
        <v>8324</v>
      </c>
      <c r="G303" s="101" t="s">
        <v>27</v>
      </c>
      <c r="H303" s="105">
        <v>44136</v>
      </c>
      <c r="I303" s="101">
        <f>IFERROR(VLOOKUP(B303,'02. MM-KLH'!$B:$K,9,FALSE),"")</f>
        <v>44136</v>
      </c>
      <c r="J303" s="107">
        <v>0.66</v>
      </c>
      <c r="K303" s="108"/>
      <c r="L303" s="109" t="s">
        <v>530</v>
      </c>
      <c r="M303" s="110" t="s">
        <v>453</v>
      </c>
      <c r="N303" s="101">
        <v>1997</v>
      </c>
      <c r="O303" s="101" t="s">
        <v>848</v>
      </c>
      <c r="P303" s="101" t="s">
        <v>535</v>
      </c>
      <c r="Q303" s="110" t="s">
        <v>849</v>
      </c>
      <c r="R303" s="111" t="s">
        <v>850</v>
      </c>
    </row>
    <row r="304" ht="13.5" customHeight="1" spans="1:18">
      <c r="A304" s="101">
        <v>2</v>
      </c>
      <c r="B304" s="102" t="s">
        <v>851</v>
      </c>
      <c r="C304" s="103" t="s">
        <v>3323</v>
      </c>
      <c r="D304" s="103" t="s">
        <v>8500</v>
      </c>
      <c r="E304" s="104" t="s">
        <v>3323</v>
      </c>
      <c r="F304" s="102" t="s">
        <v>8323</v>
      </c>
      <c r="G304" s="101" t="s">
        <v>27</v>
      </c>
      <c r="H304" s="105">
        <v>44287</v>
      </c>
      <c r="I304" s="101">
        <f>IFERROR(VLOOKUP(B304,'02. MM-KLH'!$B:$K,9,FALSE),"")</f>
        <v>44287</v>
      </c>
      <c r="J304" s="107">
        <v>0.7</v>
      </c>
      <c r="K304" s="108"/>
      <c r="L304" s="109" t="s">
        <v>530</v>
      </c>
      <c r="M304" s="110" t="s">
        <v>453</v>
      </c>
      <c r="N304" s="101">
        <v>2020</v>
      </c>
      <c r="O304" s="101" t="s">
        <v>531</v>
      </c>
      <c r="P304" s="101" t="s">
        <v>852</v>
      </c>
      <c r="Q304" s="110" t="s">
        <v>853</v>
      </c>
      <c r="R304" s="111">
        <v>133945</v>
      </c>
    </row>
    <row r="305" ht="13.5" customHeight="1" spans="1:18">
      <c r="A305" s="96" t="s">
        <v>1743</v>
      </c>
      <c r="B305" s="97" t="s">
        <v>8501</v>
      </c>
      <c r="C305" s="96"/>
      <c r="D305" s="96"/>
      <c r="E305" s="97"/>
      <c r="F305" s="96"/>
      <c r="G305" s="97"/>
      <c r="H305" s="98"/>
      <c r="I305" s="98" t="str">
        <f>IFERROR(VLOOKUP(B305,'02. MM-KLH'!$B:$K,9,FALSE),"")</f>
        <v/>
      </c>
      <c r="J305" s="96"/>
      <c r="K305" s="99"/>
      <c r="L305" s="100"/>
      <c r="M305" s="97"/>
      <c r="N305" s="97"/>
      <c r="O305" s="97"/>
      <c r="P305" s="97"/>
      <c r="Q305" s="97"/>
      <c r="R305" s="97"/>
    </row>
    <row r="306" ht="13.5" customHeight="1" spans="1:18">
      <c r="A306" s="103">
        <v>1</v>
      </c>
      <c r="B306" s="102" t="s">
        <v>878</v>
      </c>
      <c r="C306" s="103" t="s">
        <v>3514</v>
      </c>
      <c r="D306" s="103" t="s">
        <v>8502</v>
      </c>
      <c r="E306" s="104" t="s">
        <v>3514</v>
      </c>
      <c r="F306" s="102" t="s">
        <v>149</v>
      </c>
      <c r="G306" s="101" t="s">
        <v>27</v>
      </c>
      <c r="H306" s="105">
        <v>44317</v>
      </c>
      <c r="I306" s="101">
        <f>IFERROR(VLOOKUP(B306,'02. MM-KLH'!$B:$K,9,FALSE),"")</f>
        <v>44317</v>
      </c>
      <c r="J306" s="107">
        <v>0.74</v>
      </c>
      <c r="L306" s="109" t="s">
        <v>499</v>
      </c>
      <c r="M306" s="110" t="s">
        <v>880</v>
      </c>
      <c r="N306" s="1101" t="s">
        <v>881</v>
      </c>
      <c r="O306" s="101" t="s">
        <v>882</v>
      </c>
      <c r="P306" s="101" t="s">
        <v>134</v>
      </c>
      <c r="Q306" s="110" t="s">
        <v>883</v>
      </c>
      <c r="R306" s="111" t="s">
        <v>884</v>
      </c>
    </row>
    <row r="307" ht="13.5" customHeight="1" spans="1:18">
      <c r="A307" s="101">
        <v>2</v>
      </c>
      <c r="B307" s="102" t="s">
        <v>2655</v>
      </c>
      <c r="C307" s="103" t="s">
        <v>6720</v>
      </c>
      <c r="D307" s="103" t="s">
        <v>8455</v>
      </c>
      <c r="E307" s="104"/>
      <c r="F307" s="102" t="s">
        <v>152</v>
      </c>
      <c r="G307" s="101" t="s">
        <v>34</v>
      </c>
      <c r="H307" s="105">
        <v>45478</v>
      </c>
      <c r="I307" s="101">
        <f>IFERROR(VLOOKUP(B307,'02. MM-KLH'!$B:$K,9,FALSE),"")</f>
        <v>45478</v>
      </c>
      <c r="J307" s="107">
        <v>1</v>
      </c>
      <c r="K307" s="108" t="s">
        <v>8503</v>
      </c>
      <c r="L307" s="109" t="s">
        <v>2658</v>
      </c>
      <c r="M307" s="110" t="s">
        <v>590</v>
      </c>
      <c r="N307" s="101">
        <v>2023</v>
      </c>
      <c r="O307" s="101" t="s">
        <v>2659</v>
      </c>
      <c r="P307" s="101" t="s">
        <v>134</v>
      </c>
      <c r="Q307" s="110" t="s">
        <v>2660</v>
      </c>
      <c r="R307" s="111" t="s">
        <v>2661</v>
      </c>
    </row>
    <row r="308" ht="13.5" customHeight="1" spans="1:18">
      <c r="A308" s="103">
        <v>3</v>
      </c>
      <c r="B308" s="102" t="s">
        <v>2597</v>
      </c>
      <c r="C308" s="103" t="s">
        <v>3517</v>
      </c>
      <c r="D308" s="103" t="s">
        <v>8504</v>
      </c>
      <c r="E308" s="104" t="s">
        <v>3517</v>
      </c>
      <c r="F308" s="102" t="s">
        <v>8505</v>
      </c>
      <c r="G308" s="101" t="s">
        <v>33</v>
      </c>
      <c r="H308" s="105">
        <v>43862</v>
      </c>
      <c r="I308" s="101">
        <f>IFERROR(VLOOKUP(B308,'02. MM-KLH'!$B:$K,9,FALSE),"")</f>
        <v>43862</v>
      </c>
      <c r="J308" s="107">
        <v>0.61</v>
      </c>
      <c r="K308" s="108"/>
      <c r="L308" s="109" t="s">
        <v>1267</v>
      </c>
      <c r="M308" s="110"/>
      <c r="N308" s="101">
        <v>2000</v>
      </c>
      <c r="O308" s="101"/>
      <c r="P308" s="101"/>
      <c r="Q308" s="110" t="s">
        <v>2600</v>
      </c>
      <c r="R308" s="1094" t="s">
        <v>2601</v>
      </c>
    </row>
    <row r="309" ht="13.5" customHeight="1" spans="1:18">
      <c r="A309" s="101">
        <v>4</v>
      </c>
      <c r="B309" s="102" t="s">
        <v>2653</v>
      </c>
      <c r="C309" s="103" t="s">
        <v>6719</v>
      </c>
      <c r="D309" s="103"/>
      <c r="E309" s="104"/>
      <c r="F309" s="102" t="s">
        <v>145</v>
      </c>
      <c r="G309" s="101" t="s">
        <v>34</v>
      </c>
      <c r="H309" s="105"/>
      <c r="I309" s="101">
        <f>IFERROR(VLOOKUP(B309,'02. MM-KLH'!$B:$K,9,FALSE),"")</f>
        <v>0</v>
      </c>
      <c r="J309" s="101"/>
      <c r="K309" s="108"/>
      <c r="L309" s="109" t="s">
        <v>1267</v>
      </c>
      <c r="M309" s="110" t="s">
        <v>465</v>
      </c>
      <c r="N309" s="101"/>
      <c r="O309" s="101"/>
      <c r="P309" s="101"/>
      <c r="Q309" s="110" t="s">
        <v>462</v>
      </c>
      <c r="R309" s="111">
        <v>107291</v>
      </c>
    </row>
    <row r="310" ht="13.5" customHeight="1" spans="1:18">
      <c r="A310" s="103">
        <v>5</v>
      </c>
      <c r="B310" s="173" t="s">
        <v>2681</v>
      </c>
      <c r="C310" s="191"/>
      <c r="D310" s="117"/>
      <c r="E310" s="133"/>
      <c r="F310" s="173" t="s">
        <v>148</v>
      </c>
      <c r="G310" s="178" t="s">
        <v>34</v>
      </c>
      <c r="H310" s="179"/>
      <c r="I310" s="101"/>
      <c r="J310" s="178"/>
      <c r="K310" s="125" t="s">
        <v>6723</v>
      </c>
      <c r="L310" s="181" t="s">
        <v>540</v>
      </c>
      <c r="M310" s="182" t="s">
        <v>500</v>
      </c>
      <c r="N310" s="178"/>
      <c r="O310" s="178"/>
      <c r="P310" s="178" t="s">
        <v>139</v>
      </c>
      <c r="Q310" s="182" t="s">
        <v>2684</v>
      </c>
      <c r="R310" s="183" t="s">
        <v>2685</v>
      </c>
    </row>
    <row r="311" ht="13.5" customHeight="1" spans="1:18">
      <c r="A311" s="101">
        <v>6</v>
      </c>
      <c r="B311" s="173" t="s">
        <v>3225</v>
      </c>
      <c r="C311" s="191"/>
      <c r="D311" s="117" t="s">
        <v>6720</v>
      </c>
      <c r="E311" s="133" t="s">
        <v>3227</v>
      </c>
      <c r="F311" s="173" t="s">
        <v>3228</v>
      </c>
      <c r="G311" s="178" t="s">
        <v>34</v>
      </c>
      <c r="H311" s="179">
        <v>41644</v>
      </c>
      <c r="I311" s="101"/>
      <c r="J311" s="180">
        <v>0.4</v>
      </c>
      <c r="K311" s="125" t="s">
        <v>8506</v>
      </c>
      <c r="L311" s="181" t="s">
        <v>3230</v>
      </c>
      <c r="M311" s="182" t="s">
        <v>3231</v>
      </c>
      <c r="N311" s="178">
        <v>2004</v>
      </c>
      <c r="O311" s="178" t="s">
        <v>3232</v>
      </c>
      <c r="P311" s="178" t="s">
        <v>3233</v>
      </c>
      <c r="Q311" s="182" t="s">
        <v>3234</v>
      </c>
      <c r="R311" s="183" t="s">
        <v>462</v>
      </c>
    </row>
    <row r="312" ht="13.5" customHeight="1" spans="1:18">
      <c r="A312" s="103">
        <v>7</v>
      </c>
      <c r="B312" s="102" t="s">
        <v>8507</v>
      </c>
      <c r="C312" s="146" t="s">
        <v>8508</v>
      </c>
      <c r="D312" s="146"/>
      <c r="E312" s="146"/>
      <c r="F312" s="147" t="s">
        <v>8509</v>
      </c>
      <c r="G312" s="101" t="s">
        <v>34</v>
      </c>
      <c r="H312" s="146" t="s">
        <v>553</v>
      </c>
      <c r="I312" s="101" t="str">
        <f>IFERROR(VLOOKUP(B312,'02. MM-KLH'!$B:$K,9,FALSE),"")</f>
        <v/>
      </c>
      <c r="J312" s="149"/>
      <c r="K312" s="150" t="s">
        <v>8510</v>
      </c>
      <c r="L312" s="151"/>
      <c r="M312" s="110"/>
      <c r="N312" s="146"/>
      <c r="O312" s="152"/>
      <c r="P312" s="153"/>
      <c r="Q312" s="154"/>
      <c r="R312" s="155"/>
    </row>
    <row r="313" ht="13.5" customHeight="1" spans="1:18">
      <c r="A313" s="101">
        <v>8</v>
      </c>
      <c r="B313" s="102" t="s">
        <v>2662</v>
      </c>
      <c r="C313" s="146" t="s">
        <v>6722</v>
      </c>
      <c r="D313" s="146"/>
      <c r="E313" s="146"/>
      <c r="F313" s="147" t="s">
        <v>8509</v>
      </c>
      <c r="G313" s="101" t="s">
        <v>8511</v>
      </c>
      <c r="H313" s="148">
        <v>45329</v>
      </c>
      <c r="I313" s="101">
        <f>IFERROR(VLOOKUP(B313,'02. MM-KLH'!$B:$K,9,FALSE),"")</f>
        <v>45329</v>
      </c>
      <c r="J313" s="149"/>
      <c r="K313" s="150" t="s">
        <v>8510</v>
      </c>
      <c r="L313" s="151" t="s">
        <v>1019</v>
      </c>
      <c r="M313" s="110" t="s">
        <v>500</v>
      </c>
      <c r="N313" s="146">
        <v>2018</v>
      </c>
      <c r="O313" s="152" t="s">
        <v>2604</v>
      </c>
      <c r="P313" s="153" t="s">
        <v>54</v>
      </c>
      <c r="Q313" s="154" t="s">
        <v>2666</v>
      </c>
      <c r="R313" s="155" t="s">
        <v>2667</v>
      </c>
    </row>
    <row r="314" ht="13.5" customHeight="1" spans="1:18">
      <c r="A314" s="103">
        <v>9</v>
      </c>
      <c r="B314" s="102" t="s">
        <v>8512</v>
      </c>
      <c r="C314" s="146" t="s">
        <v>8513</v>
      </c>
      <c r="D314" s="146"/>
      <c r="E314" s="146"/>
      <c r="F314" s="147" t="s">
        <v>8514</v>
      </c>
      <c r="G314" s="101" t="s">
        <v>34</v>
      </c>
      <c r="H314" s="148"/>
      <c r="I314" s="101" t="s">
        <v>1263</v>
      </c>
      <c r="J314" s="149"/>
      <c r="K314" s="150" t="s">
        <v>8515</v>
      </c>
      <c r="L314" s="151"/>
      <c r="M314" s="110"/>
      <c r="N314" s="146"/>
      <c r="O314" s="152"/>
      <c r="P314" s="153"/>
      <c r="Q314" s="154"/>
      <c r="R314" s="155"/>
    </row>
    <row r="315" ht="13.5" customHeight="1" spans="1:18">
      <c r="A315" s="101">
        <v>10</v>
      </c>
      <c r="B315" s="102" t="s">
        <v>8516</v>
      </c>
      <c r="C315" s="146" t="s">
        <v>8517</v>
      </c>
      <c r="D315" s="146"/>
      <c r="E315" s="146"/>
      <c r="F315" s="147" t="s">
        <v>8509</v>
      </c>
      <c r="G315" s="101" t="s">
        <v>34</v>
      </c>
      <c r="H315" s="148"/>
      <c r="I315" s="101" t="s">
        <v>1263</v>
      </c>
      <c r="J315" s="149"/>
      <c r="K315" s="150" t="s">
        <v>8515</v>
      </c>
      <c r="L315" s="151"/>
      <c r="M315" s="110"/>
      <c r="N315" s="146"/>
      <c r="O315" s="152"/>
      <c r="P315" s="153"/>
      <c r="Q315" s="154"/>
      <c r="R315" s="155"/>
    </row>
    <row r="316" ht="13.5" customHeight="1" spans="1:18">
      <c r="A316" s="96" t="s">
        <v>1745</v>
      </c>
      <c r="B316" s="97" t="s">
        <v>8518</v>
      </c>
      <c r="C316" s="96"/>
      <c r="D316" s="96"/>
      <c r="E316" s="97"/>
      <c r="F316" s="96"/>
      <c r="G316" s="97"/>
      <c r="H316" s="98"/>
      <c r="I316" s="98" t="str">
        <f>IFERROR(VLOOKUP(B316,'02. MM-KLH'!$B:$K,9,FALSE),"")</f>
        <v/>
      </c>
      <c r="J316" s="96"/>
      <c r="K316" s="99"/>
      <c r="L316" s="100"/>
      <c r="M316" s="97"/>
      <c r="N316" s="97"/>
      <c r="O316" s="97"/>
      <c r="P316" s="97"/>
      <c r="Q316" s="97"/>
      <c r="R316" s="97"/>
    </row>
    <row r="317" ht="13.5" customHeight="1" spans="1:18">
      <c r="A317" s="101">
        <v>1</v>
      </c>
      <c r="B317" s="102" t="s">
        <v>3015</v>
      </c>
      <c r="C317" s="103" t="s">
        <v>8519</v>
      </c>
      <c r="D317" s="103" t="s">
        <v>8519</v>
      </c>
      <c r="E317" s="104"/>
      <c r="F317" s="102" t="s">
        <v>8520</v>
      </c>
      <c r="G317" s="101" t="s">
        <v>3023</v>
      </c>
      <c r="H317" s="105"/>
      <c r="I317" s="101">
        <f>IFERROR(VLOOKUP(B317,'02. MM-KLH'!$B:$K,9,FALSE),"")</f>
        <v>0</v>
      </c>
      <c r="J317" s="101"/>
      <c r="K317" s="108"/>
      <c r="L317" s="109" t="s">
        <v>1160</v>
      </c>
      <c r="M317" s="110" t="s">
        <v>1140</v>
      </c>
      <c r="N317" s="101">
        <v>2009</v>
      </c>
      <c r="O317" s="101"/>
      <c r="P317" s="101" t="s">
        <v>85</v>
      </c>
      <c r="Q317" s="110" t="s">
        <v>3017</v>
      </c>
      <c r="R317" s="111" t="s">
        <v>3018</v>
      </c>
    </row>
    <row r="318" ht="13.5" customHeight="1" spans="1:18">
      <c r="A318" s="101">
        <v>2</v>
      </c>
      <c r="B318" s="102" t="s">
        <v>8521</v>
      </c>
      <c r="C318" s="103" t="s">
        <v>8522</v>
      </c>
      <c r="D318" s="103" t="s">
        <v>8522</v>
      </c>
      <c r="E318" s="104"/>
      <c r="F318" s="102" t="s">
        <v>8523</v>
      </c>
      <c r="G318" s="101" t="s">
        <v>3023</v>
      </c>
      <c r="H318" s="105"/>
      <c r="I318" s="101" t="str">
        <f>IFERROR(VLOOKUP(B318,'02. MM-KLH'!$B:$K,9,FALSE),"")</f>
        <v/>
      </c>
      <c r="J318" s="101"/>
      <c r="K318" s="108"/>
      <c r="L318" s="109" t="s">
        <v>1267</v>
      </c>
      <c r="M318" s="110" t="s">
        <v>465</v>
      </c>
      <c r="N318" s="101"/>
      <c r="O318" s="101"/>
      <c r="P318" s="101"/>
      <c r="Q318" s="110">
        <v>18446</v>
      </c>
      <c r="R318" s="111" t="s">
        <v>462</v>
      </c>
    </row>
    <row r="319" ht="13.5" customHeight="1" spans="1:18">
      <c r="A319" s="101">
        <v>3</v>
      </c>
      <c r="B319" s="102" t="s">
        <v>1585</v>
      </c>
      <c r="C319" s="103" t="s">
        <v>8524</v>
      </c>
      <c r="D319" s="103" t="s">
        <v>8524</v>
      </c>
      <c r="E319" s="104"/>
      <c r="F319" s="102" t="s">
        <v>8525</v>
      </c>
      <c r="G319" s="101" t="s">
        <v>3023</v>
      </c>
      <c r="H319" s="105"/>
      <c r="I319" s="101" t="str">
        <f>IFERROR(VLOOKUP(B319,'02. MM-KLH'!$B:$K,9,FALSE),"")</f>
        <v/>
      </c>
      <c r="J319" s="101"/>
      <c r="K319" s="108"/>
      <c r="L319" s="109" t="s">
        <v>621</v>
      </c>
      <c r="M319" s="110" t="s">
        <v>500</v>
      </c>
      <c r="N319" s="101">
        <v>2018</v>
      </c>
      <c r="O319" s="101" t="s">
        <v>1587</v>
      </c>
      <c r="P319" s="101" t="s">
        <v>812</v>
      </c>
      <c r="Q319" s="110">
        <v>380096</v>
      </c>
      <c r="R319" s="111" t="s">
        <v>462</v>
      </c>
    </row>
    <row r="320" ht="13.5" customHeight="1" spans="1:18">
      <c r="A320" s="103">
        <v>4</v>
      </c>
      <c r="B320" s="102" t="s">
        <v>2421</v>
      </c>
      <c r="C320" s="103" t="s">
        <v>6695</v>
      </c>
      <c r="D320" s="103" t="s">
        <v>8519</v>
      </c>
      <c r="E320" s="104"/>
      <c r="F320" s="102" t="s">
        <v>223</v>
      </c>
      <c r="G320" s="101" t="s">
        <v>1103</v>
      </c>
      <c r="H320" s="101"/>
      <c r="I320" s="101">
        <f>IFERROR(VLOOKUP(B320,'02. MM-KLH'!$B:$K,9,FALSE),"")</f>
        <v>0</v>
      </c>
      <c r="J320" s="107"/>
      <c r="K320" s="108" t="s">
        <v>2422</v>
      </c>
      <c r="L320" s="109" t="s">
        <v>964</v>
      </c>
      <c r="M320" s="110" t="s">
        <v>555</v>
      </c>
      <c r="N320" s="101"/>
      <c r="O320" s="101" t="s">
        <v>2423</v>
      </c>
      <c r="P320" s="101" t="s">
        <v>2424</v>
      </c>
      <c r="Q320" s="110" t="s">
        <v>462</v>
      </c>
      <c r="R320" s="111" t="s">
        <v>2425</v>
      </c>
    </row>
    <row r="321" ht="13.5" customHeight="1" spans="1:18">
      <c r="A321" s="96" t="s">
        <v>1765</v>
      </c>
      <c r="B321" s="97" t="s">
        <v>8526</v>
      </c>
      <c r="C321" s="96"/>
      <c r="D321" s="96"/>
      <c r="E321" s="97"/>
      <c r="F321" s="96"/>
      <c r="G321" s="97"/>
      <c r="H321" s="98"/>
      <c r="I321" s="98" t="str">
        <f>IFERROR(VLOOKUP(B321,'02. MM-KLH'!$B:$K,9,FALSE),"")</f>
        <v/>
      </c>
      <c r="J321" s="96"/>
      <c r="K321" s="99"/>
      <c r="L321" s="100"/>
      <c r="M321" s="97"/>
      <c r="N321" s="97"/>
      <c r="O321" s="97"/>
      <c r="P321" s="97"/>
      <c r="Q321" s="97"/>
      <c r="R321" s="97"/>
    </row>
    <row r="322" ht="13.5" customHeight="1" spans="1:18">
      <c r="A322" s="101">
        <v>1</v>
      </c>
      <c r="B322" s="102" t="s">
        <v>3170</v>
      </c>
      <c r="C322" s="103" t="s">
        <v>3482</v>
      </c>
      <c r="D322" s="103" t="s">
        <v>2395</v>
      </c>
      <c r="E322" s="104" t="s">
        <v>3136</v>
      </c>
      <c r="F322" s="102" t="s">
        <v>8367</v>
      </c>
      <c r="G322" s="101" t="s">
        <v>3023</v>
      </c>
      <c r="H322" s="105"/>
      <c r="I322" s="101">
        <f>IFERROR(VLOOKUP(B322,'02. MM-KLH'!$B:$K,9,FALSE),"")</f>
        <v>43112</v>
      </c>
      <c r="J322" s="107"/>
      <c r="K322" s="108"/>
      <c r="L322" s="109" t="s">
        <v>1751</v>
      </c>
      <c r="M322" s="110" t="s">
        <v>1165</v>
      </c>
      <c r="N322" s="101"/>
      <c r="O322" s="101"/>
      <c r="P322" s="101" t="s">
        <v>219</v>
      </c>
      <c r="Q322" s="110" t="s">
        <v>3081</v>
      </c>
      <c r="R322" s="110" t="s">
        <v>3172</v>
      </c>
    </row>
    <row r="323" ht="13.5" customHeight="1" spans="1:18">
      <c r="A323" s="101">
        <v>2</v>
      </c>
      <c r="B323" s="102" t="s">
        <v>3135</v>
      </c>
      <c r="C323" s="103" t="s">
        <v>3482</v>
      </c>
      <c r="D323" s="103" t="s">
        <v>2399</v>
      </c>
      <c r="E323" s="104" t="s">
        <v>3136</v>
      </c>
      <c r="F323" s="102" t="s">
        <v>8367</v>
      </c>
      <c r="G323" s="101" t="s">
        <v>3023</v>
      </c>
      <c r="H323" s="105"/>
      <c r="I323" s="101" t="str">
        <f>IFERROR(VLOOKUP(B323,'02. MM-KLH'!$B:$K,9,FALSE),"")</f>
        <v/>
      </c>
      <c r="J323" s="107"/>
      <c r="K323" s="108"/>
      <c r="L323" s="109" t="s">
        <v>1751</v>
      </c>
      <c r="M323" s="110" t="s">
        <v>1165</v>
      </c>
      <c r="N323" s="101"/>
      <c r="O323" s="101"/>
      <c r="P323" s="101" t="s">
        <v>219</v>
      </c>
      <c r="Q323" s="110" t="s">
        <v>3081</v>
      </c>
      <c r="R323" s="110" t="s">
        <v>3137</v>
      </c>
    </row>
    <row r="324" ht="13.5" customHeight="1" spans="1:18">
      <c r="A324" s="101">
        <v>3</v>
      </c>
      <c r="B324" s="102" t="s">
        <v>1767</v>
      </c>
      <c r="C324" s="103" t="s">
        <v>3482</v>
      </c>
      <c r="D324" s="103" t="s">
        <v>2395</v>
      </c>
      <c r="E324" s="104"/>
      <c r="F324" s="102" t="s">
        <v>8367</v>
      </c>
      <c r="G324" s="101" t="s">
        <v>1769</v>
      </c>
      <c r="H324" s="105"/>
      <c r="I324" s="101">
        <f>IFERROR(VLOOKUP(B324,'02. MM-KLH'!$B:$K,9,FALSE),"")</f>
        <v>0</v>
      </c>
      <c r="J324" s="101"/>
      <c r="K324" s="108"/>
      <c r="L324" s="109" t="s">
        <v>1751</v>
      </c>
      <c r="M324" s="110" t="s">
        <v>1165</v>
      </c>
      <c r="N324" s="101"/>
      <c r="O324" s="101"/>
      <c r="P324" s="101" t="s">
        <v>219</v>
      </c>
      <c r="Q324" s="110"/>
      <c r="R324" s="111" t="s">
        <v>462</v>
      </c>
    </row>
    <row r="325" ht="13.5" customHeight="1" spans="1:18">
      <c r="A325" s="101">
        <v>4</v>
      </c>
      <c r="B325" s="102" t="s">
        <v>3100</v>
      </c>
      <c r="C325" s="103" t="s">
        <v>3482</v>
      </c>
      <c r="D325" s="103" t="s">
        <v>2399</v>
      </c>
      <c r="E325" s="104"/>
      <c r="F325" s="102" t="s">
        <v>8367</v>
      </c>
      <c r="G325" s="101" t="s">
        <v>1769</v>
      </c>
      <c r="H325" s="105"/>
      <c r="I325" s="101">
        <f>IFERROR(VLOOKUP(B325,'02. MM-KLH'!$B:$K,9,FALSE),"")</f>
        <v>0</v>
      </c>
      <c r="J325" s="101"/>
      <c r="K325" s="108"/>
      <c r="L325" s="109" t="s">
        <v>1751</v>
      </c>
      <c r="M325" s="110" t="s">
        <v>1165</v>
      </c>
      <c r="N325" s="101"/>
      <c r="O325" s="101"/>
      <c r="P325" s="101" t="s">
        <v>219</v>
      </c>
      <c r="Q325" s="110"/>
      <c r="R325" s="111" t="s">
        <v>462</v>
      </c>
    </row>
    <row r="326" ht="13.5" customHeight="1" spans="1:18">
      <c r="A326" s="101">
        <v>5</v>
      </c>
      <c r="B326" s="102" t="s">
        <v>1809</v>
      </c>
      <c r="C326" s="103" t="s">
        <v>3482</v>
      </c>
      <c r="D326" s="103" t="s">
        <v>2395</v>
      </c>
      <c r="E326" s="104" t="s">
        <v>3482</v>
      </c>
      <c r="F326" s="102" t="s">
        <v>8367</v>
      </c>
      <c r="G326" s="101" t="s">
        <v>1776</v>
      </c>
      <c r="H326" s="105"/>
      <c r="I326" s="101">
        <f>IFERROR(VLOOKUP(B326,'02. MM-KLH'!$B:$K,9,FALSE),"")</f>
        <v>0</v>
      </c>
      <c r="J326" s="101"/>
      <c r="K326" s="108"/>
      <c r="L326" s="109" t="s">
        <v>1751</v>
      </c>
      <c r="M326" s="110" t="s">
        <v>1165</v>
      </c>
      <c r="N326" s="101"/>
      <c r="O326" s="101"/>
      <c r="P326" s="101"/>
      <c r="Q326" s="110" t="s">
        <v>1811</v>
      </c>
      <c r="R326" s="111" t="s">
        <v>462</v>
      </c>
    </row>
    <row r="327" ht="13.5" customHeight="1" spans="1:18">
      <c r="A327" s="96" t="s">
        <v>8527</v>
      </c>
      <c r="B327" s="97" t="s">
        <v>8528</v>
      </c>
      <c r="C327" s="96"/>
      <c r="D327" s="96"/>
      <c r="E327" s="97"/>
      <c r="F327" s="96"/>
      <c r="G327" s="97"/>
      <c r="H327" s="98"/>
      <c r="I327" s="98" t="str">
        <f>IFERROR(VLOOKUP(B327,'02. MM-KLH'!$B:$K,9,FALSE),"")</f>
        <v/>
      </c>
      <c r="J327" s="96"/>
      <c r="K327" s="99"/>
      <c r="L327" s="100"/>
      <c r="M327" s="97"/>
      <c r="N327" s="97"/>
      <c r="O327" s="97"/>
      <c r="P327" s="97"/>
      <c r="Q327" s="97"/>
      <c r="R327" s="97"/>
    </row>
    <row r="328" ht="13.5" customHeight="1" spans="1:18">
      <c r="A328" s="101">
        <v>1</v>
      </c>
      <c r="B328" s="102" t="s">
        <v>8243</v>
      </c>
      <c r="C328" s="103" t="s">
        <v>2730</v>
      </c>
      <c r="D328" s="103" t="s">
        <v>8529</v>
      </c>
      <c r="E328" s="104" t="s">
        <v>2730</v>
      </c>
      <c r="F328" s="102" t="s">
        <v>251</v>
      </c>
      <c r="G328" s="101" t="s">
        <v>3023</v>
      </c>
      <c r="H328" s="105">
        <v>45566</v>
      </c>
      <c r="I328" s="101" t="str">
        <f>IFERROR(VLOOKUP(B328,'02. MM-KLH'!$B:$K,9,FALSE),"")</f>
        <v/>
      </c>
      <c r="J328" s="107">
        <v>0.98</v>
      </c>
      <c r="K328" s="108"/>
      <c r="L328" s="109" t="s">
        <v>1152</v>
      </c>
      <c r="M328" s="110" t="s">
        <v>500</v>
      </c>
      <c r="N328" s="101">
        <v>2021</v>
      </c>
      <c r="O328" s="101" t="s">
        <v>1153</v>
      </c>
      <c r="P328" s="101" t="s">
        <v>44</v>
      </c>
      <c r="Q328" s="110" t="s">
        <v>2733</v>
      </c>
      <c r="R328" s="111" t="s">
        <v>2734</v>
      </c>
    </row>
    <row r="329" ht="13.5" customHeight="1" spans="1:18">
      <c r="A329" s="103">
        <v>2</v>
      </c>
      <c r="B329" s="102" t="s">
        <v>2410</v>
      </c>
      <c r="C329" s="103" t="s">
        <v>3461</v>
      </c>
      <c r="D329" s="103" t="s">
        <v>8529</v>
      </c>
      <c r="E329" s="104" t="s">
        <v>3461</v>
      </c>
      <c r="F329" s="102" t="s">
        <v>251</v>
      </c>
      <c r="G329" s="101" t="s">
        <v>1103</v>
      </c>
      <c r="H329" s="105">
        <v>45566</v>
      </c>
      <c r="I329" s="101">
        <f>IFERROR(VLOOKUP(B329,'02. MM-KLH'!$B:$K,9,FALSE),"")</f>
        <v>45566</v>
      </c>
      <c r="J329" s="107">
        <v>0.98</v>
      </c>
      <c r="K329" s="108"/>
      <c r="L329" s="109" t="s">
        <v>1152</v>
      </c>
      <c r="M329" s="110" t="s">
        <v>500</v>
      </c>
      <c r="N329" s="101">
        <v>2021</v>
      </c>
      <c r="O329" s="101" t="s">
        <v>1153</v>
      </c>
      <c r="P329" s="101" t="s">
        <v>44</v>
      </c>
      <c r="Q329" s="110" t="s">
        <v>2412</v>
      </c>
      <c r="R329" s="111" t="s">
        <v>2413</v>
      </c>
    </row>
    <row r="330" ht="13.5" customHeight="1" spans="1:18">
      <c r="A330" s="101">
        <v>3</v>
      </c>
      <c r="B330" s="102" t="s">
        <v>8530</v>
      </c>
      <c r="C330" s="146" t="s">
        <v>2939</v>
      </c>
      <c r="D330" s="146" t="s">
        <v>8529</v>
      </c>
      <c r="E330" s="159" t="s">
        <v>2939</v>
      </c>
      <c r="F330" s="147" t="s">
        <v>251</v>
      </c>
      <c r="G330" s="101" t="s">
        <v>37</v>
      </c>
      <c r="H330" s="148">
        <v>45566</v>
      </c>
      <c r="I330" s="101" t="str">
        <f>IFERROR(VLOOKUP(B330,'02. MM-KLH'!$B:$K,9,FALSE),"")</f>
        <v/>
      </c>
      <c r="J330" s="149">
        <v>0.98</v>
      </c>
      <c r="K330" s="150"/>
      <c r="L330" s="151" t="s">
        <v>1152</v>
      </c>
      <c r="M330" s="110" t="s">
        <v>500</v>
      </c>
      <c r="N330" s="146">
        <v>2021</v>
      </c>
      <c r="O330" s="152" t="s">
        <v>1153</v>
      </c>
      <c r="P330" s="153" t="s">
        <v>44</v>
      </c>
      <c r="Q330" s="154" t="s">
        <v>2943</v>
      </c>
      <c r="R330" s="155" t="s">
        <v>2944</v>
      </c>
    </row>
    <row r="331" ht="13.5" customHeight="1" spans="1:18">
      <c r="A331" s="103">
        <v>4</v>
      </c>
      <c r="B331" s="102" t="s">
        <v>3250</v>
      </c>
      <c r="C331" s="103" t="s">
        <v>6703</v>
      </c>
      <c r="D331" s="103"/>
      <c r="E331" s="104"/>
      <c r="F331" s="102" t="s">
        <v>269</v>
      </c>
      <c r="G331" s="101" t="s">
        <v>31</v>
      </c>
      <c r="H331" s="101" t="s">
        <v>2587</v>
      </c>
      <c r="I331" s="101" t="str">
        <f>IFERROR(VLOOKUP(B331,'02. MM-KLH'!$B:$K,9,FALSE),"")</f>
        <v>24/01/2024</v>
      </c>
      <c r="J331" s="101"/>
      <c r="K331" s="108"/>
      <c r="L331" s="109" t="s">
        <v>1019</v>
      </c>
      <c r="M331" s="110" t="s">
        <v>500</v>
      </c>
      <c r="N331" s="101">
        <v>2006</v>
      </c>
      <c r="O331" s="101" t="s">
        <v>3252</v>
      </c>
      <c r="P331" s="101" t="s">
        <v>3253</v>
      </c>
      <c r="Q331" s="110" t="s">
        <v>3254</v>
      </c>
      <c r="R331" s="111" t="s">
        <v>3255</v>
      </c>
    </row>
    <row r="332" ht="13.5" customHeight="1" spans="1:18">
      <c r="A332" s="101">
        <v>5</v>
      </c>
      <c r="B332" s="102" t="s">
        <v>3256</v>
      </c>
      <c r="C332" s="103" t="s">
        <v>6704</v>
      </c>
      <c r="D332" s="103"/>
      <c r="E332" s="104"/>
      <c r="F332" s="102" t="s">
        <v>269</v>
      </c>
      <c r="G332" s="101" t="s">
        <v>31</v>
      </c>
      <c r="H332" s="101" t="s">
        <v>2587</v>
      </c>
      <c r="I332" s="101" t="str">
        <f>IFERROR(VLOOKUP(B332,'02. MM-KLH'!$B:$K,9,FALSE),"")</f>
        <v>24/01/2024</v>
      </c>
      <c r="J332" s="101"/>
      <c r="K332" s="108"/>
      <c r="L332" s="109" t="s">
        <v>1019</v>
      </c>
      <c r="M332" s="110" t="s">
        <v>500</v>
      </c>
      <c r="N332" s="101">
        <v>2006</v>
      </c>
      <c r="O332" s="101" t="s">
        <v>3252</v>
      </c>
      <c r="P332" s="101" t="s">
        <v>3253</v>
      </c>
      <c r="Q332" s="110" t="s">
        <v>3257</v>
      </c>
      <c r="R332" s="111" t="s">
        <v>3258</v>
      </c>
    </row>
    <row r="333" ht="13.5" customHeight="1" spans="1:18">
      <c r="A333" s="103">
        <v>6</v>
      </c>
      <c r="B333" s="102" t="s">
        <v>2927</v>
      </c>
      <c r="C333" s="146" t="s">
        <v>6744</v>
      </c>
      <c r="D333" s="146"/>
      <c r="E333" s="146"/>
      <c r="F333" s="147" t="s">
        <v>8531</v>
      </c>
      <c r="G333" s="101" t="s">
        <v>8532</v>
      </c>
      <c r="H333" s="148"/>
      <c r="I333" s="101">
        <f>IFERROR(VLOOKUP(B333,'02. MM-KLH'!$B:$K,9,FALSE),"")</f>
        <v>0</v>
      </c>
      <c r="J333" s="149"/>
      <c r="K333" s="150"/>
      <c r="L333" s="151" t="s">
        <v>1031</v>
      </c>
      <c r="M333" s="110"/>
      <c r="N333" s="146"/>
      <c r="O333" s="152"/>
      <c r="P333" s="153"/>
      <c r="Q333" s="154" t="s">
        <v>2930</v>
      </c>
      <c r="R333" s="155" t="s">
        <v>462</v>
      </c>
    </row>
    <row r="334" ht="13.5" customHeight="1" spans="1:18">
      <c r="A334" s="101">
        <v>7</v>
      </c>
      <c r="B334" s="102" t="s">
        <v>2932</v>
      </c>
      <c r="C334" s="146" t="s">
        <v>6746</v>
      </c>
      <c r="D334" s="146"/>
      <c r="E334" s="146"/>
      <c r="F334" s="147" t="s">
        <v>8533</v>
      </c>
      <c r="G334" s="101" t="s">
        <v>8532</v>
      </c>
      <c r="H334" s="148"/>
      <c r="I334" s="101">
        <f>IFERROR(VLOOKUP(B334,'02. MM-KLH'!$B:$K,9,FALSE),"")</f>
        <v>45636</v>
      </c>
      <c r="J334" s="149"/>
      <c r="K334" s="150"/>
      <c r="L334" s="151" t="s">
        <v>1031</v>
      </c>
      <c r="M334" s="110"/>
      <c r="N334" s="146"/>
      <c r="O334" s="152"/>
      <c r="P334" s="153"/>
      <c r="Q334" s="154"/>
      <c r="R334" s="155"/>
    </row>
    <row r="335" ht="13.5" customHeight="1" spans="1:18">
      <c r="A335" s="96" t="s">
        <v>8534</v>
      </c>
      <c r="B335" s="97" t="s">
        <v>8535</v>
      </c>
      <c r="C335" s="96"/>
      <c r="D335" s="96"/>
      <c r="E335" s="97"/>
      <c r="F335" s="96"/>
      <c r="G335" s="97"/>
      <c r="H335" s="98"/>
      <c r="I335" s="98" t="str">
        <f>IFERROR(VLOOKUP(B335,'02. MM-KLH'!$B:$K,9,FALSE),"")</f>
        <v/>
      </c>
      <c r="J335" s="96"/>
      <c r="K335" s="99"/>
      <c r="L335" s="100"/>
      <c r="M335" s="97"/>
      <c r="N335" s="97"/>
      <c r="O335" s="97"/>
      <c r="P335" s="97"/>
      <c r="Q335" s="97"/>
      <c r="R335" s="97"/>
    </row>
    <row r="336" ht="13.5" customHeight="1" spans="1:18">
      <c r="A336" s="101">
        <v>1</v>
      </c>
      <c r="B336" s="102" t="s">
        <v>1781</v>
      </c>
      <c r="C336" s="103" t="s">
        <v>6650</v>
      </c>
      <c r="D336" s="103" t="s">
        <v>6652</v>
      </c>
      <c r="E336" s="104"/>
      <c r="F336" s="102" t="s">
        <v>3546</v>
      </c>
      <c r="G336" s="101" t="s">
        <v>1776</v>
      </c>
      <c r="H336" s="105"/>
      <c r="I336" s="101">
        <f>IFERROR(VLOOKUP(B336,'02. MM-KLH'!$B:$K,9,FALSE),"")</f>
        <v>0</v>
      </c>
      <c r="J336" s="101"/>
      <c r="K336" s="108"/>
      <c r="L336" s="109" t="s">
        <v>759</v>
      </c>
      <c r="M336" s="110" t="s">
        <v>453</v>
      </c>
      <c r="N336" s="101">
        <v>2013</v>
      </c>
      <c r="O336" s="101" t="s">
        <v>1064</v>
      </c>
      <c r="P336" s="101" t="s">
        <v>208</v>
      </c>
      <c r="Q336" s="110">
        <v>57123</v>
      </c>
      <c r="R336" s="111" t="s">
        <v>462</v>
      </c>
    </row>
    <row r="337" ht="13.5" customHeight="1" spans="1:18">
      <c r="A337" s="101">
        <v>2</v>
      </c>
      <c r="B337" s="102" t="s">
        <v>1777</v>
      </c>
      <c r="C337" s="103" t="s">
        <v>6651</v>
      </c>
      <c r="D337" s="103" t="s">
        <v>6651</v>
      </c>
      <c r="E337" s="104"/>
      <c r="F337" s="102" t="s">
        <v>8350</v>
      </c>
      <c r="G337" s="101" t="s">
        <v>1776</v>
      </c>
      <c r="H337" s="105"/>
      <c r="I337" s="101">
        <f>IFERROR(VLOOKUP(B337,'02. MM-KLH'!$B:$K,9,FALSE),"")</f>
        <v>0</v>
      </c>
      <c r="J337" s="101"/>
      <c r="K337" s="108"/>
      <c r="L337" s="109" t="s">
        <v>8536</v>
      </c>
      <c r="M337" s="110" t="s">
        <v>500</v>
      </c>
      <c r="N337" s="101">
        <v>2012</v>
      </c>
      <c r="O337" s="101" t="s">
        <v>1122</v>
      </c>
      <c r="P337" s="101" t="s">
        <v>128</v>
      </c>
      <c r="Q337" s="110" t="s">
        <v>1780</v>
      </c>
      <c r="R337" s="111" t="s">
        <v>462</v>
      </c>
    </row>
    <row r="338" ht="13.5" customHeight="1" spans="1:18">
      <c r="A338" s="101">
        <v>3</v>
      </c>
      <c r="B338" s="102" t="s">
        <v>1774</v>
      </c>
      <c r="C338" s="103" t="s">
        <v>6652</v>
      </c>
      <c r="D338" s="103" t="s">
        <v>6650</v>
      </c>
      <c r="E338" s="104"/>
      <c r="F338" s="102" t="s">
        <v>8356</v>
      </c>
      <c r="G338" s="101" t="s">
        <v>1776</v>
      </c>
      <c r="H338" s="105"/>
      <c r="I338" s="101">
        <f>IFERROR(VLOOKUP(B338,'02. MM-KLH'!$B:$K,9,FALSE),"")</f>
        <v>0</v>
      </c>
      <c r="J338" s="101"/>
      <c r="K338" s="108"/>
      <c r="L338" s="109" t="s">
        <v>759</v>
      </c>
      <c r="M338" s="110" t="s">
        <v>453</v>
      </c>
      <c r="N338" s="101"/>
      <c r="O338" s="101"/>
      <c r="P338" s="101" t="s">
        <v>199</v>
      </c>
      <c r="Q338" s="110" t="s">
        <v>462</v>
      </c>
      <c r="R338" s="111">
        <v>2216</v>
      </c>
    </row>
    <row r="339" ht="13.5" customHeight="1" spans="1:18">
      <c r="A339" s="101">
        <v>4</v>
      </c>
      <c r="B339" s="102" t="s">
        <v>3102</v>
      </c>
      <c r="C339" s="103" t="s">
        <v>3559</v>
      </c>
      <c r="D339" s="103" t="s">
        <v>3559</v>
      </c>
      <c r="E339" s="104"/>
      <c r="F339" s="102" t="s">
        <v>3560</v>
      </c>
      <c r="G339" s="101" t="s">
        <v>1776</v>
      </c>
      <c r="H339" s="105"/>
      <c r="I339" s="101">
        <f>IFERROR(VLOOKUP(B339,'02. MM-KLH'!$B:$K,9,FALSE),"")</f>
        <v>0</v>
      </c>
      <c r="J339" s="101"/>
      <c r="K339" s="108"/>
      <c r="L339" s="109" t="s">
        <v>2693</v>
      </c>
      <c r="M339" s="110" t="s">
        <v>453</v>
      </c>
      <c r="N339" s="101"/>
      <c r="O339" s="101"/>
      <c r="P339" s="101" t="s">
        <v>128</v>
      </c>
      <c r="Q339" s="110" t="s">
        <v>462</v>
      </c>
      <c r="R339" s="111">
        <v>20054</v>
      </c>
    </row>
    <row r="340" ht="13.5" customHeight="1" spans="1:18">
      <c r="A340" s="101">
        <v>5</v>
      </c>
      <c r="B340" s="102" t="s">
        <v>1783</v>
      </c>
      <c r="C340" s="103" t="s">
        <v>6653</v>
      </c>
      <c r="D340" s="103" t="s">
        <v>6653</v>
      </c>
      <c r="E340" s="104"/>
      <c r="F340" s="102" t="s">
        <v>8350</v>
      </c>
      <c r="G340" s="101" t="s">
        <v>1776</v>
      </c>
      <c r="H340" s="101" t="s">
        <v>1785</v>
      </c>
      <c r="I340" s="101" t="str">
        <f>IFERROR(VLOOKUP(B340,'02. MM-KLH'!$B:$K,9,FALSE),"")</f>
        <v>27/02/2024</v>
      </c>
      <c r="J340" s="101"/>
      <c r="K340" s="108" t="s">
        <v>1786</v>
      </c>
      <c r="L340" s="109" t="s">
        <v>1019</v>
      </c>
      <c r="M340" s="110" t="s">
        <v>500</v>
      </c>
      <c r="N340" s="101"/>
      <c r="O340" s="101" t="s">
        <v>1122</v>
      </c>
      <c r="P340" s="101" t="s">
        <v>128</v>
      </c>
      <c r="Q340" s="110" t="s">
        <v>462</v>
      </c>
      <c r="R340" s="111" t="s">
        <v>1787</v>
      </c>
    </row>
    <row r="341" ht="13.5" customHeight="1" spans="1:18">
      <c r="A341" s="101">
        <v>6</v>
      </c>
      <c r="B341" s="104" t="s">
        <v>3055</v>
      </c>
      <c r="C341" s="103" t="s">
        <v>8537</v>
      </c>
      <c r="D341" s="103" t="s">
        <v>6650</v>
      </c>
      <c r="E341" s="104"/>
      <c r="F341" s="104" t="s">
        <v>3546</v>
      </c>
      <c r="G341" s="103" t="s">
        <v>1103</v>
      </c>
      <c r="H341" s="105"/>
      <c r="I341" s="101">
        <f>IFERROR(VLOOKUP(B341,'02. MM-KLH'!$B:$K,9,FALSE),"")</f>
        <v>0</v>
      </c>
      <c r="J341" s="103"/>
      <c r="K341" s="114"/>
      <c r="L341" s="115" t="s">
        <v>759</v>
      </c>
      <c r="M341" s="111" t="s">
        <v>453</v>
      </c>
      <c r="N341" s="103">
        <v>2013</v>
      </c>
      <c r="O341" s="103" t="s">
        <v>1064</v>
      </c>
      <c r="P341" s="103" t="s">
        <v>208</v>
      </c>
      <c r="Q341" s="111">
        <v>56762</v>
      </c>
      <c r="R341" s="111">
        <v>65</v>
      </c>
    </row>
    <row r="342" ht="13.5" customHeight="1" spans="1:18">
      <c r="A342" s="101">
        <v>7</v>
      </c>
      <c r="B342" s="102" t="s">
        <v>1827</v>
      </c>
      <c r="C342" s="103" t="s">
        <v>3339</v>
      </c>
      <c r="D342" s="103" t="s">
        <v>6651</v>
      </c>
      <c r="E342" s="104" t="s">
        <v>3339</v>
      </c>
      <c r="F342" s="102" t="s">
        <v>3550</v>
      </c>
      <c r="G342" s="101" t="s">
        <v>1103</v>
      </c>
      <c r="I342" s="101">
        <f>IFERROR(VLOOKUP(B342,'02. MM-KLH'!$B:$K,9,FALSE),"")</f>
        <v>0</v>
      </c>
      <c r="J342" s="101"/>
      <c r="K342" s="108"/>
      <c r="L342" s="109" t="s">
        <v>759</v>
      </c>
      <c r="M342" s="110" t="s">
        <v>453</v>
      </c>
      <c r="N342" s="101">
        <v>2011</v>
      </c>
      <c r="O342" s="101">
        <v>9540</v>
      </c>
      <c r="P342" s="101" t="s">
        <v>120</v>
      </c>
      <c r="Q342" s="110">
        <v>2340</v>
      </c>
      <c r="R342" s="111" t="s">
        <v>462</v>
      </c>
    </row>
    <row r="343" ht="13.5" customHeight="1" spans="1:18">
      <c r="A343" s="101">
        <v>8</v>
      </c>
      <c r="B343" s="102" t="s">
        <v>1829</v>
      </c>
      <c r="C343" s="103" t="s">
        <v>3339</v>
      </c>
      <c r="D343" s="103" t="s">
        <v>6652</v>
      </c>
      <c r="E343" s="104" t="s">
        <v>3339</v>
      </c>
      <c r="F343" s="102" t="s">
        <v>3550</v>
      </c>
      <c r="G343" s="101" t="s">
        <v>1103</v>
      </c>
      <c r="H343" s="105"/>
      <c r="I343" s="101">
        <f>IFERROR(VLOOKUP(B343,'02. MM-KLH'!$B:$K,9,FALSE),"")</f>
        <v>0</v>
      </c>
      <c r="J343" s="101"/>
      <c r="K343" s="108"/>
      <c r="L343" s="109" t="s">
        <v>759</v>
      </c>
      <c r="M343" s="110" t="s">
        <v>453</v>
      </c>
      <c r="N343" s="101">
        <v>2011</v>
      </c>
      <c r="O343" s="101">
        <v>9540</v>
      </c>
      <c r="P343" s="101" t="s">
        <v>120</v>
      </c>
      <c r="Q343" s="110">
        <v>2807</v>
      </c>
      <c r="R343" s="111" t="s">
        <v>462</v>
      </c>
    </row>
    <row r="344" ht="13.5" customHeight="1" spans="1:18">
      <c r="A344" s="101">
        <v>9</v>
      </c>
      <c r="B344" s="102" t="s">
        <v>1831</v>
      </c>
      <c r="C344" s="103" t="s">
        <v>3339</v>
      </c>
      <c r="D344" s="103" t="s">
        <v>3559</v>
      </c>
      <c r="E344" s="104" t="s">
        <v>3339</v>
      </c>
      <c r="F344" s="102" t="s">
        <v>3550</v>
      </c>
      <c r="G344" s="101" t="s">
        <v>1103</v>
      </c>
      <c r="H344" s="105"/>
      <c r="I344" s="101">
        <f>IFERROR(VLOOKUP(B344,'02. MM-KLH'!$B:$K,9,FALSE),"")</f>
        <v>0</v>
      </c>
      <c r="J344" s="101"/>
      <c r="K344" s="108"/>
      <c r="L344" s="109" t="s">
        <v>759</v>
      </c>
      <c r="M344" s="110" t="s">
        <v>453</v>
      </c>
      <c r="N344" s="101">
        <v>2011</v>
      </c>
      <c r="O344" s="101">
        <v>9540</v>
      </c>
      <c r="P344" s="101" t="s">
        <v>120</v>
      </c>
      <c r="Q344" s="110">
        <v>2796</v>
      </c>
      <c r="R344" s="111" t="s">
        <v>462</v>
      </c>
    </row>
    <row r="345" ht="13.5" customHeight="1" spans="1:18">
      <c r="A345" s="101">
        <v>10</v>
      </c>
      <c r="B345" s="102" t="s">
        <v>1833</v>
      </c>
      <c r="C345" s="103" t="s">
        <v>8538</v>
      </c>
      <c r="D345" s="103" t="s">
        <v>6653</v>
      </c>
      <c r="E345" s="104"/>
      <c r="F345" s="102" t="s">
        <v>3546</v>
      </c>
      <c r="G345" s="101" t="s">
        <v>1103</v>
      </c>
      <c r="H345" s="105"/>
      <c r="I345" s="101">
        <f>IFERROR(VLOOKUP(B345,'02. MM-KLH'!$B:$K,9,FALSE),"")</f>
        <v>0</v>
      </c>
      <c r="J345" s="101"/>
      <c r="K345" s="108"/>
      <c r="L345" s="109" t="s">
        <v>759</v>
      </c>
      <c r="M345" s="110" t="s">
        <v>453</v>
      </c>
      <c r="N345" s="101">
        <v>2013</v>
      </c>
      <c r="O345" s="101" t="s">
        <v>1064</v>
      </c>
      <c r="P345" s="101" t="s">
        <v>208</v>
      </c>
      <c r="Q345" s="110">
        <v>57274</v>
      </c>
      <c r="R345" s="111">
        <v>9237</v>
      </c>
    </row>
    <row r="346" ht="13.5" customHeight="1" spans="1:18">
      <c r="A346" s="101">
        <v>11</v>
      </c>
      <c r="B346" s="102" t="s">
        <v>1623</v>
      </c>
      <c r="C346" s="103" t="s">
        <v>1613</v>
      </c>
      <c r="D346" s="103" t="s">
        <v>8537</v>
      </c>
      <c r="E346" s="104"/>
      <c r="F346" s="102" t="s">
        <v>3546</v>
      </c>
      <c r="G346" s="101" t="s">
        <v>1103</v>
      </c>
      <c r="H346" s="105"/>
      <c r="I346" s="101" t="str">
        <f>IFERROR(VLOOKUP(B346,'02. MM-KLH'!$B:$K,9,FALSE),"")</f>
        <v/>
      </c>
      <c r="J346" s="101"/>
      <c r="K346" s="108"/>
      <c r="L346" s="109" t="s">
        <v>759</v>
      </c>
      <c r="M346" s="110" t="s">
        <v>453</v>
      </c>
      <c r="N346" s="101">
        <v>2013</v>
      </c>
      <c r="O346" s="101" t="s">
        <v>1064</v>
      </c>
      <c r="P346" s="101" t="s">
        <v>208</v>
      </c>
      <c r="Q346" s="110">
        <v>57121</v>
      </c>
      <c r="R346" s="111">
        <v>7542</v>
      </c>
    </row>
    <row r="347" ht="13.5" customHeight="1" spans="1:18">
      <c r="A347" s="101">
        <v>12</v>
      </c>
      <c r="B347" s="102" t="s">
        <v>1835</v>
      </c>
      <c r="C347" s="103" t="s">
        <v>6657</v>
      </c>
      <c r="D347" s="103" t="s">
        <v>6658</v>
      </c>
      <c r="E347" s="104"/>
      <c r="F347" s="102" t="s">
        <v>8345</v>
      </c>
      <c r="G347" s="101" t="s">
        <v>1103</v>
      </c>
      <c r="H347" s="105"/>
      <c r="I347" s="101">
        <f>IFERROR(VLOOKUP(B347,'02. MM-KLH'!$B:$K,9,FALSE),"")</f>
        <v>0</v>
      </c>
      <c r="J347" s="101"/>
      <c r="K347" s="108"/>
      <c r="L347" s="109" t="s">
        <v>1023</v>
      </c>
      <c r="M347" s="110" t="s">
        <v>977</v>
      </c>
      <c r="N347" s="101">
        <v>2008</v>
      </c>
      <c r="O347" s="101">
        <v>6603</v>
      </c>
      <c r="P347" s="101" t="s">
        <v>8439</v>
      </c>
      <c r="Q347" s="110">
        <v>5956</v>
      </c>
      <c r="R347" s="111" t="s">
        <v>462</v>
      </c>
    </row>
    <row r="348" ht="13.5" customHeight="1" spans="1:18">
      <c r="A348" s="101">
        <v>13</v>
      </c>
      <c r="B348" s="102" t="s">
        <v>1837</v>
      </c>
      <c r="C348" s="103" t="s">
        <v>6658</v>
      </c>
      <c r="D348" s="103" t="s">
        <v>6659</v>
      </c>
      <c r="E348" s="104"/>
      <c r="F348" s="102" t="s">
        <v>8345</v>
      </c>
      <c r="G348" s="101" t="s">
        <v>1103</v>
      </c>
      <c r="H348" s="105"/>
      <c r="I348" s="101">
        <f>IFERROR(VLOOKUP(B348,'02. MM-KLH'!$B:$K,9,FALSE),"")</f>
        <v>0</v>
      </c>
      <c r="J348" s="101"/>
      <c r="K348" s="108"/>
      <c r="L348" s="109" t="s">
        <v>1023</v>
      </c>
      <c r="M348" s="110" t="s">
        <v>977</v>
      </c>
      <c r="N348" s="101">
        <v>2008</v>
      </c>
      <c r="O348" s="101">
        <v>6603</v>
      </c>
      <c r="P348" s="101" t="s">
        <v>8439</v>
      </c>
      <c r="Q348" s="110">
        <v>32551</v>
      </c>
      <c r="R348" s="111" t="s">
        <v>462</v>
      </c>
    </row>
    <row r="349" ht="13.5" customHeight="1" spans="1:18">
      <c r="A349" s="101">
        <v>14</v>
      </c>
      <c r="B349" s="102" t="s">
        <v>1840</v>
      </c>
      <c r="C349" s="103" t="s">
        <v>6659</v>
      </c>
      <c r="D349" s="103" t="s">
        <v>3547</v>
      </c>
      <c r="E349" s="104"/>
      <c r="F349" s="102" t="s">
        <v>8350</v>
      </c>
      <c r="G349" s="101" t="s">
        <v>1103</v>
      </c>
      <c r="H349" s="105"/>
      <c r="I349" s="101">
        <f>IFERROR(VLOOKUP(B349,'02. MM-KLH'!$B:$K,9,FALSE),"")</f>
        <v>0</v>
      </c>
      <c r="J349" s="101"/>
      <c r="K349" s="108"/>
      <c r="L349" s="109" t="s">
        <v>1019</v>
      </c>
      <c r="M349" s="110" t="s">
        <v>500</v>
      </c>
      <c r="N349" s="101">
        <v>2018</v>
      </c>
      <c r="O349" s="101" t="s">
        <v>1122</v>
      </c>
      <c r="P349" s="101" t="s">
        <v>128</v>
      </c>
      <c r="Q349" s="110">
        <v>87</v>
      </c>
      <c r="R349" s="111">
        <v>80</v>
      </c>
    </row>
    <row r="350" ht="13.5" customHeight="1" spans="1:18">
      <c r="A350" s="101">
        <v>15</v>
      </c>
      <c r="B350" s="102" t="s">
        <v>3058</v>
      </c>
      <c r="C350" s="103" t="s">
        <v>3547</v>
      </c>
      <c r="D350" s="103" t="s">
        <v>3540</v>
      </c>
      <c r="E350" s="104"/>
      <c r="F350" s="102" t="s">
        <v>8350</v>
      </c>
      <c r="G350" s="101" t="s">
        <v>1103</v>
      </c>
      <c r="H350" s="105"/>
      <c r="I350" s="101">
        <f>IFERROR(VLOOKUP(B350,'02. MM-KLH'!$B:$K,9,FALSE),"")</f>
        <v>0</v>
      </c>
      <c r="J350" s="101"/>
      <c r="K350" s="108"/>
      <c r="L350" s="109" t="s">
        <v>1019</v>
      </c>
      <c r="M350" s="110" t="s">
        <v>500</v>
      </c>
      <c r="N350" s="101">
        <v>2018</v>
      </c>
      <c r="O350" s="101" t="s">
        <v>1122</v>
      </c>
      <c r="P350" s="101" t="s">
        <v>128</v>
      </c>
      <c r="Q350" s="110">
        <v>78</v>
      </c>
      <c r="R350" s="111">
        <v>2</v>
      </c>
    </row>
    <row r="351" ht="13.5" customHeight="1" spans="1:18">
      <c r="A351" s="101">
        <v>16</v>
      </c>
      <c r="B351" s="102" t="s">
        <v>3031</v>
      </c>
      <c r="C351" s="103" t="s">
        <v>3540</v>
      </c>
      <c r="D351" s="103" t="s">
        <v>6660</v>
      </c>
      <c r="E351" s="104"/>
      <c r="F351" s="102" t="s">
        <v>8350</v>
      </c>
      <c r="G351" s="101" t="s">
        <v>1103</v>
      </c>
      <c r="H351" s="105"/>
      <c r="I351" s="101">
        <f>IFERROR(VLOOKUP(B351,'02. MM-KLH'!$B:$K,9,FALSE),"")</f>
        <v>0</v>
      </c>
      <c r="J351" s="101"/>
      <c r="K351" s="108"/>
      <c r="L351" s="109" t="s">
        <v>1019</v>
      </c>
      <c r="M351" s="110" t="s">
        <v>500</v>
      </c>
      <c r="N351" s="101">
        <v>2018</v>
      </c>
      <c r="O351" s="101" t="s">
        <v>1122</v>
      </c>
      <c r="P351" s="101" t="s">
        <v>128</v>
      </c>
      <c r="Q351" s="110" t="s">
        <v>3033</v>
      </c>
      <c r="R351" s="111" t="s">
        <v>462</v>
      </c>
    </row>
    <row r="352" ht="13.5" customHeight="1" spans="1:18">
      <c r="A352" s="101">
        <v>17</v>
      </c>
      <c r="B352" s="102" t="s">
        <v>3062</v>
      </c>
      <c r="C352" s="103" t="s">
        <v>3548</v>
      </c>
      <c r="D352" s="103" t="s">
        <v>6661</v>
      </c>
      <c r="E352" s="104"/>
      <c r="F352" s="102" t="s">
        <v>8350</v>
      </c>
      <c r="G352" s="101" t="s">
        <v>1103</v>
      </c>
      <c r="H352" s="105"/>
      <c r="I352" s="101">
        <f>IFERROR(VLOOKUP(B352,'02. MM-KLH'!$B:$K,9,FALSE),"")</f>
        <v>0</v>
      </c>
      <c r="J352" s="101"/>
      <c r="K352" s="108"/>
      <c r="L352" s="109" t="s">
        <v>1019</v>
      </c>
      <c r="M352" s="110" t="s">
        <v>500</v>
      </c>
      <c r="N352" s="101">
        <v>2018</v>
      </c>
      <c r="O352" s="101" t="s">
        <v>1122</v>
      </c>
      <c r="P352" s="101" t="s">
        <v>128</v>
      </c>
      <c r="Q352" s="110">
        <v>76</v>
      </c>
      <c r="R352" s="111">
        <v>80076</v>
      </c>
    </row>
    <row r="353" ht="13.5" customHeight="1" spans="1:18">
      <c r="A353" s="101">
        <v>18</v>
      </c>
      <c r="B353" s="104" t="s">
        <v>1843</v>
      </c>
      <c r="C353" s="103" t="s">
        <v>6660</v>
      </c>
      <c r="D353" s="103" t="s">
        <v>3549</v>
      </c>
      <c r="E353" s="104"/>
      <c r="F353" s="104" t="s">
        <v>3546</v>
      </c>
      <c r="G353" s="103" t="s">
        <v>1103</v>
      </c>
      <c r="H353" s="112"/>
      <c r="I353" s="101">
        <f>IFERROR(VLOOKUP(B353,'02. MM-KLH'!$B:$K,9,FALSE),"")</f>
        <v>0</v>
      </c>
      <c r="J353" s="103"/>
      <c r="K353" s="114"/>
      <c r="L353" s="115" t="s">
        <v>759</v>
      </c>
      <c r="M353" s="111" t="s">
        <v>453</v>
      </c>
      <c r="N353" s="103">
        <v>2013</v>
      </c>
      <c r="O353" s="103" t="s">
        <v>1064</v>
      </c>
      <c r="P353" s="103" t="s">
        <v>208</v>
      </c>
      <c r="Q353" s="111" t="s">
        <v>1845</v>
      </c>
      <c r="R353" s="111" t="s">
        <v>462</v>
      </c>
    </row>
    <row r="354" ht="13.5" customHeight="1" spans="1:18">
      <c r="A354" s="101">
        <v>19</v>
      </c>
      <c r="B354" s="102" t="s">
        <v>1846</v>
      </c>
      <c r="C354" s="103" t="s">
        <v>6661</v>
      </c>
      <c r="D354" s="103" t="s">
        <v>6663</v>
      </c>
      <c r="E354" s="104"/>
      <c r="F354" s="102" t="s">
        <v>8350</v>
      </c>
      <c r="G354" s="101" t="s">
        <v>1103</v>
      </c>
      <c r="H354" s="105"/>
      <c r="I354" s="101">
        <f>IFERROR(VLOOKUP(B354,'02. MM-KLH'!$B:$K,9,FALSE),"")</f>
        <v>0</v>
      </c>
      <c r="J354" s="101"/>
      <c r="K354" s="108"/>
      <c r="L354" s="109" t="s">
        <v>1019</v>
      </c>
      <c r="M354" s="110" t="s">
        <v>500</v>
      </c>
      <c r="N354" s="101">
        <v>2018</v>
      </c>
      <c r="O354" s="101" t="s">
        <v>1122</v>
      </c>
      <c r="P354" s="101" t="s">
        <v>128</v>
      </c>
      <c r="Q354" s="110" t="s">
        <v>1848</v>
      </c>
      <c r="R354" s="111">
        <v>180012</v>
      </c>
    </row>
    <row r="355" ht="13.5" customHeight="1" spans="1:18">
      <c r="A355" s="101">
        <v>20</v>
      </c>
      <c r="B355" s="102" t="s">
        <v>3065</v>
      </c>
      <c r="C355" s="103" t="s">
        <v>3549</v>
      </c>
      <c r="D355" s="103" t="s">
        <v>3551</v>
      </c>
      <c r="E355" s="104"/>
      <c r="F355" s="102" t="s">
        <v>8350</v>
      </c>
      <c r="G355" s="101" t="s">
        <v>1103</v>
      </c>
      <c r="H355" s="105"/>
      <c r="I355" s="101">
        <f>IFERROR(VLOOKUP(B355,'02. MM-KLH'!$B:$K,9,FALSE),"")</f>
        <v>0</v>
      </c>
      <c r="J355" s="101"/>
      <c r="K355" s="108"/>
      <c r="L355" s="109" t="s">
        <v>1019</v>
      </c>
      <c r="M355" s="110" t="s">
        <v>500</v>
      </c>
      <c r="N355" s="101">
        <v>2018</v>
      </c>
      <c r="O355" s="101" t="s">
        <v>1122</v>
      </c>
      <c r="P355" s="101" t="s">
        <v>128</v>
      </c>
      <c r="Q355" s="110" t="s">
        <v>3067</v>
      </c>
      <c r="R355" s="111">
        <v>180053</v>
      </c>
    </row>
    <row r="356" ht="13.5" customHeight="1" spans="1:18">
      <c r="A356" s="101">
        <v>21</v>
      </c>
      <c r="B356" s="102" t="s">
        <v>1771</v>
      </c>
      <c r="C356" s="103" t="s">
        <v>6663</v>
      </c>
      <c r="D356" s="103" t="s">
        <v>6664</v>
      </c>
      <c r="E356" s="104"/>
      <c r="F356" s="102" t="s">
        <v>8350</v>
      </c>
      <c r="G356" s="101" t="s">
        <v>1103</v>
      </c>
      <c r="H356" s="105"/>
      <c r="I356" s="101" t="str">
        <f>IFERROR(VLOOKUP(B356,'02. MM-KLH'!$B:$K,9,FALSE),"")</f>
        <v/>
      </c>
      <c r="J356" s="101"/>
      <c r="K356" s="108"/>
      <c r="L356" s="109" t="s">
        <v>1019</v>
      </c>
      <c r="M356" s="110" t="s">
        <v>500</v>
      </c>
      <c r="N356" s="101">
        <v>2018</v>
      </c>
      <c r="O356" s="101" t="s">
        <v>1122</v>
      </c>
      <c r="P356" s="101" t="s">
        <v>128</v>
      </c>
      <c r="Q356" s="110" t="s">
        <v>1773</v>
      </c>
      <c r="R356" s="111">
        <v>180001</v>
      </c>
    </row>
    <row r="357" ht="13.5" customHeight="1" spans="1:18">
      <c r="A357" s="101">
        <v>22</v>
      </c>
      <c r="B357" s="102" t="s">
        <v>1849</v>
      </c>
      <c r="C357" s="103" t="s">
        <v>3361</v>
      </c>
      <c r="D357" s="103" t="s">
        <v>6667</v>
      </c>
      <c r="E357" s="104" t="s">
        <v>3361</v>
      </c>
      <c r="F357" s="102" t="s">
        <v>8348</v>
      </c>
      <c r="G357" s="101" t="s">
        <v>1103</v>
      </c>
      <c r="H357" s="105">
        <v>45292</v>
      </c>
      <c r="I357" s="101">
        <f>IFERROR(VLOOKUP(B357,'02. MM-KLH'!$B:$K,9,FALSE),"")</f>
        <v>45292</v>
      </c>
      <c r="J357" s="107">
        <v>0.97</v>
      </c>
      <c r="K357" s="108"/>
      <c r="L357" s="109" t="s">
        <v>1023</v>
      </c>
      <c r="M357" s="110" t="s">
        <v>977</v>
      </c>
      <c r="N357" s="101">
        <v>2022</v>
      </c>
      <c r="O357" s="101">
        <v>5090</v>
      </c>
      <c r="P357" s="101" t="s">
        <v>177</v>
      </c>
      <c r="Q357" s="110">
        <v>4073059</v>
      </c>
      <c r="R357" s="111">
        <v>26911</v>
      </c>
    </row>
    <row r="358" ht="13.5" customHeight="1" spans="1:18">
      <c r="A358" s="101">
        <v>23</v>
      </c>
      <c r="B358" s="102" t="s">
        <v>1851</v>
      </c>
      <c r="C358" s="103" t="s">
        <v>3362</v>
      </c>
      <c r="D358" s="103" t="s">
        <v>6668</v>
      </c>
      <c r="E358" s="104" t="s">
        <v>3362</v>
      </c>
      <c r="F358" s="102" t="s">
        <v>8348</v>
      </c>
      <c r="G358" s="101" t="s">
        <v>1103</v>
      </c>
      <c r="H358" s="105">
        <v>45292</v>
      </c>
      <c r="I358" s="101">
        <f>IFERROR(VLOOKUP(B358,'02. MM-KLH'!$B:$K,9,FALSE),"")</f>
        <v>45292</v>
      </c>
      <c r="J358" s="107">
        <v>0.97</v>
      </c>
      <c r="K358" s="108"/>
      <c r="L358" s="109" t="s">
        <v>1023</v>
      </c>
      <c r="M358" s="110" t="s">
        <v>977</v>
      </c>
      <c r="N358" s="101">
        <v>2022</v>
      </c>
      <c r="O358" s="101">
        <v>5090</v>
      </c>
      <c r="P358" s="101" t="s">
        <v>177</v>
      </c>
      <c r="Q358" s="110">
        <v>4073056</v>
      </c>
      <c r="R358" s="111">
        <v>27085</v>
      </c>
    </row>
    <row r="359" ht="13.5" customHeight="1" spans="1:18">
      <c r="A359" s="101">
        <v>24</v>
      </c>
      <c r="B359" s="104" t="s">
        <v>3068</v>
      </c>
      <c r="C359" s="103" t="s">
        <v>3339</v>
      </c>
      <c r="D359" s="103" t="s">
        <v>8539</v>
      </c>
      <c r="E359" s="104" t="s">
        <v>3339</v>
      </c>
      <c r="F359" s="104" t="s">
        <v>3550</v>
      </c>
      <c r="G359" s="103" t="s">
        <v>1103</v>
      </c>
      <c r="H359" s="112"/>
      <c r="I359" s="101">
        <f>IFERROR(VLOOKUP(B359,'02. MM-KLH'!$B:$K,9,FALSE),"")</f>
        <v>0</v>
      </c>
      <c r="J359" s="103"/>
      <c r="K359" s="114"/>
      <c r="L359" s="115" t="s">
        <v>759</v>
      </c>
      <c r="M359" s="111" t="s">
        <v>453</v>
      </c>
      <c r="N359" s="103">
        <v>2011</v>
      </c>
      <c r="O359" s="103">
        <v>9540</v>
      </c>
      <c r="P359" s="103" t="s">
        <v>120</v>
      </c>
      <c r="Q359" s="111">
        <v>2482</v>
      </c>
      <c r="R359" s="111" t="s">
        <v>462</v>
      </c>
    </row>
    <row r="360" ht="13.5" customHeight="1" spans="1:18">
      <c r="A360" s="101">
        <v>25</v>
      </c>
      <c r="B360" s="102" t="s">
        <v>3071</v>
      </c>
      <c r="C360" s="103" t="s">
        <v>3551</v>
      </c>
      <c r="D360" s="103" t="s">
        <v>8540</v>
      </c>
      <c r="E360" s="104"/>
      <c r="F360" s="102" t="s">
        <v>8350</v>
      </c>
      <c r="G360" s="101" t="s">
        <v>1103</v>
      </c>
      <c r="H360" s="101" t="s">
        <v>3073</v>
      </c>
      <c r="I360" s="101" t="str">
        <f>IFERROR(VLOOKUP(B360,'02. MM-KLH'!$B:$K,9,FALSE),"")</f>
        <v>16/11/2023</v>
      </c>
      <c r="J360" s="101"/>
      <c r="K360" s="108"/>
      <c r="L360" s="109" t="s">
        <v>1019</v>
      </c>
      <c r="M360" s="110" t="s">
        <v>500</v>
      </c>
      <c r="N360" s="101">
        <v>2018</v>
      </c>
      <c r="O360" s="101" t="s">
        <v>1122</v>
      </c>
      <c r="P360" s="101" t="s">
        <v>128</v>
      </c>
      <c r="Q360" s="110" t="s">
        <v>3074</v>
      </c>
      <c r="R360" s="111" t="s">
        <v>462</v>
      </c>
    </row>
    <row r="361" ht="13.5" customHeight="1" spans="1:18">
      <c r="A361" s="101">
        <v>26</v>
      </c>
      <c r="B361" s="102" t="s">
        <v>1852</v>
      </c>
      <c r="C361" s="103" t="s">
        <v>6664</v>
      </c>
      <c r="D361" s="103" t="s">
        <v>8541</v>
      </c>
      <c r="E361" s="104"/>
      <c r="F361" s="102" t="s">
        <v>8350</v>
      </c>
      <c r="G361" s="101" t="s">
        <v>1103</v>
      </c>
      <c r="H361" s="101" t="s">
        <v>1854</v>
      </c>
      <c r="I361" s="101" t="str">
        <f>IFERROR(VLOOKUP(B361,'02. MM-KLH'!$B:$K,9,FALSE),"")</f>
        <v>28/11/2023</v>
      </c>
      <c r="J361" s="101"/>
      <c r="K361" s="108"/>
      <c r="L361" s="109" t="s">
        <v>1019</v>
      </c>
      <c r="M361" s="110" t="s">
        <v>500</v>
      </c>
      <c r="N361" s="101">
        <v>2018</v>
      </c>
      <c r="O361" s="101" t="s">
        <v>1122</v>
      </c>
      <c r="P361" s="101" t="s">
        <v>128</v>
      </c>
      <c r="Q361" s="110">
        <v>180090</v>
      </c>
      <c r="R361" s="111" t="s">
        <v>462</v>
      </c>
    </row>
    <row r="362" ht="13.5" customHeight="1" spans="1:18">
      <c r="A362" s="101">
        <v>27</v>
      </c>
      <c r="B362" s="104" t="s">
        <v>3075</v>
      </c>
      <c r="C362" s="103" t="s">
        <v>3339</v>
      </c>
      <c r="D362" s="103" t="s">
        <v>6711</v>
      </c>
      <c r="E362" s="104" t="s">
        <v>3339</v>
      </c>
      <c r="F362" s="104" t="s">
        <v>3550</v>
      </c>
      <c r="G362" s="103" t="s">
        <v>1103</v>
      </c>
      <c r="H362" s="103" t="s">
        <v>1854</v>
      </c>
      <c r="I362" s="101" t="str">
        <f>IFERROR(VLOOKUP(B362,'02. MM-KLH'!$B:$K,9,FALSE),"")</f>
        <v>28/11/2023</v>
      </c>
      <c r="J362" s="103"/>
      <c r="K362" s="114"/>
      <c r="L362" s="115" t="s">
        <v>759</v>
      </c>
      <c r="M362" s="111" t="s">
        <v>453</v>
      </c>
      <c r="N362" s="103">
        <v>2011</v>
      </c>
      <c r="O362" s="103">
        <v>9540</v>
      </c>
      <c r="P362" s="103" t="s">
        <v>120</v>
      </c>
      <c r="Q362" s="111">
        <v>3106</v>
      </c>
      <c r="R362" s="111" t="s">
        <v>462</v>
      </c>
    </row>
    <row r="363" ht="13.5" customHeight="1" spans="1:18">
      <c r="A363" s="101">
        <v>28</v>
      </c>
      <c r="B363" s="102" t="s">
        <v>1855</v>
      </c>
      <c r="C363" s="103" t="s">
        <v>3363</v>
      </c>
      <c r="D363" s="103" t="s">
        <v>6726</v>
      </c>
      <c r="E363" s="104" t="s">
        <v>3363</v>
      </c>
      <c r="F363" s="102" t="s">
        <v>8346</v>
      </c>
      <c r="G363" s="101" t="s">
        <v>1103</v>
      </c>
      <c r="H363" s="101" t="s">
        <v>982</v>
      </c>
      <c r="I363" s="101" t="str">
        <f>IFERROR(VLOOKUP(B363,'02. MM-KLH'!$B:$K,9,FALSE),"")</f>
        <v>15/03/2024</v>
      </c>
      <c r="J363" s="101"/>
      <c r="K363" s="108"/>
      <c r="L363" s="109" t="s">
        <v>8347</v>
      </c>
      <c r="M363" s="110" t="s">
        <v>977</v>
      </c>
      <c r="N363" s="101">
        <v>2022</v>
      </c>
      <c r="O363" s="101" t="s">
        <v>983</v>
      </c>
      <c r="P363" s="101" t="s">
        <v>102</v>
      </c>
      <c r="Q363" s="110" t="s">
        <v>1856</v>
      </c>
      <c r="R363" s="111" t="s">
        <v>1857</v>
      </c>
    </row>
    <row r="364" ht="13.5" customHeight="1" spans="1:18">
      <c r="A364" s="101">
        <v>29</v>
      </c>
      <c r="B364" s="102" t="s">
        <v>1858</v>
      </c>
      <c r="C364" s="103" t="s">
        <v>3367</v>
      </c>
      <c r="D364" s="103" t="s">
        <v>6727</v>
      </c>
      <c r="E364" s="104" t="s">
        <v>3367</v>
      </c>
      <c r="F364" s="102" t="s">
        <v>8542</v>
      </c>
      <c r="G364" s="101" t="s">
        <v>1103</v>
      </c>
      <c r="H364" s="105">
        <v>45385</v>
      </c>
      <c r="I364" s="101">
        <f>IFERROR(VLOOKUP(B364,'02. MM-KLH'!$B:$K,9,FALSE),"")</f>
        <v>45385</v>
      </c>
      <c r="J364" s="107">
        <v>0.97</v>
      </c>
      <c r="K364" s="108"/>
      <c r="L364" s="109" t="s">
        <v>8543</v>
      </c>
      <c r="M364" s="110" t="s">
        <v>1140</v>
      </c>
      <c r="N364" s="101"/>
      <c r="O364" s="101" t="s">
        <v>8544</v>
      </c>
      <c r="P364" s="101" t="s">
        <v>102</v>
      </c>
      <c r="Q364" s="110" t="s">
        <v>1860</v>
      </c>
      <c r="R364" s="111" t="s">
        <v>1861</v>
      </c>
    </row>
    <row r="365" ht="13.5" customHeight="1" spans="1:18">
      <c r="A365" s="101">
        <v>30</v>
      </c>
      <c r="B365" s="102" t="s">
        <v>1797</v>
      </c>
      <c r="C365" s="103" t="s">
        <v>6667</v>
      </c>
      <c r="D365" s="103" t="s">
        <v>6717</v>
      </c>
      <c r="E365" s="104"/>
      <c r="F365" s="104" t="s">
        <v>3546</v>
      </c>
      <c r="G365" s="101" t="s">
        <v>1103</v>
      </c>
      <c r="H365" s="101" t="s">
        <v>8545</v>
      </c>
      <c r="I365" s="101" t="str">
        <f>IFERROR(VLOOKUP(B365,'02. MM-KLH'!$B:$K,9,FALSE),"")</f>
        <v/>
      </c>
      <c r="J365" s="107"/>
      <c r="K365" s="108" t="s">
        <v>5493</v>
      </c>
      <c r="L365" s="109" t="s">
        <v>759</v>
      </c>
      <c r="M365" s="110" t="s">
        <v>453</v>
      </c>
      <c r="N365" s="101">
        <v>2013</v>
      </c>
      <c r="O365" s="101" t="s">
        <v>1064</v>
      </c>
      <c r="P365" s="101" t="s">
        <v>3180</v>
      </c>
      <c r="Q365" s="110" t="s">
        <v>1800</v>
      </c>
      <c r="R365" s="111" t="s">
        <v>462</v>
      </c>
    </row>
    <row r="366" ht="13.5" customHeight="1" spans="1:18">
      <c r="A366" s="101">
        <v>31</v>
      </c>
      <c r="B366" s="102" t="s">
        <v>3078</v>
      </c>
      <c r="C366" s="103" t="s">
        <v>1624</v>
      </c>
      <c r="D366" s="103" t="s">
        <v>6728</v>
      </c>
      <c r="E366" s="104" t="s">
        <v>1624</v>
      </c>
      <c r="F366" s="192" t="s">
        <v>3552</v>
      </c>
      <c r="G366" s="193" t="s">
        <v>1103</v>
      </c>
      <c r="H366" s="101" t="s">
        <v>3079</v>
      </c>
      <c r="I366" s="101" t="str">
        <f>IFERROR(VLOOKUP(B366,'02. MM-KLH'!$B:$K,9,FALSE),"")</f>
        <v>16/06/2024</v>
      </c>
      <c r="J366" s="107">
        <v>0.55</v>
      </c>
      <c r="K366" s="108" t="s">
        <v>8546</v>
      </c>
      <c r="L366" s="194" t="s">
        <v>759</v>
      </c>
      <c r="M366" s="194" t="s">
        <v>555</v>
      </c>
      <c r="N366" s="193">
        <v>2019</v>
      </c>
      <c r="O366" s="193">
        <v>4508</v>
      </c>
      <c r="P366" s="193" t="s">
        <v>41</v>
      </c>
      <c r="Q366" s="1119" t="s">
        <v>3080</v>
      </c>
      <c r="R366" s="194" t="s">
        <v>3081</v>
      </c>
    </row>
    <row r="367" ht="13.5" customHeight="1" spans="1:18">
      <c r="A367" s="101">
        <v>32</v>
      </c>
      <c r="B367" s="102" t="s">
        <v>1862</v>
      </c>
      <c r="C367" s="103" t="s">
        <v>6668</v>
      </c>
      <c r="D367" s="103" t="s">
        <v>8547</v>
      </c>
      <c r="E367" s="104"/>
      <c r="F367" s="102" t="s">
        <v>8350</v>
      </c>
      <c r="G367" s="193" t="s">
        <v>1103</v>
      </c>
      <c r="H367" s="101" t="s">
        <v>764</v>
      </c>
      <c r="I367" s="101" t="str">
        <f>IFERROR(VLOOKUP(B367,'02. MM-KLH'!$B:$K,9,FALSE),"")</f>
        <v>16/07/2024</v>
      </c>
      <c r="J367" s="107"/>
      <c r="K367" s="108" t="s">
        <v>1864</v>
      </c>
      <c r="L367" s="195" t="s">
        <v>1019</v>
      </c>
      <c r="M367" s="110" t="s">
        <v>500</v>
      </c>
      <c r="N367" s="101">
        <v>2018</v>
      </c>
      <c r="O367" s="101" t="s">
        <v>1122</v>
      </c>
      <c r="P367" s="101" t="s">
        <v>128</v>
      </c>
      <c r="Q367" s="110" t="s">
        <v>1865</v>
      </c>
      <c r="R367" s="111" t="s">
        <v>462</v>
      </c>
    </row>
    <row r="368" ht="13.5" customHeight="1" spans="1:18">
      <c r="A368" s="101">
        <v>33</v>
      </c>
      <c r="B368" s="102" t="s">
        <v>1866</v>
      </c>
      <c r="C368" s="103" t="s">
        <v>3368</v>
      </c>
      <c r="D368" s="103" t="s">
        <v>8547</v>
      </c>
      <c r="E368" s="192" t="s">
        <v>3368</v>
      </c>
      <c r="F368" s="192" t="s">
        <v>8548</v>
      </c>
      <c r="G368" s="193" t="s">
        <v>1103</v>
      </c>
      <c r="H368" s="101" t="s">
        <v>1867</v>
      </c>
      <c r="I368" s="101" t="str">
        <f>IFERROR(VLOOKUP(B368,'02. MM-KLH'!$B:$K,9,FALSE),"")</f>
        <v>22/07/2024</v>
      </c>
      <c r="J368" s="107">
        <v>0.97</v>
      </c>
      <c r="K368" s="108"/>
      <c r="L368" s="194" t="s">
        <v>964</v>
      </c>
      <c r="M368" s="194" t="s">
        <v>1140</v>
      </c>
      <c r="N368" s="101"/>
      <c r="O368" s="193" t="s">
        <v>1868</v>
      </c>
      <c r="P368" s="101" t="s">
        <v>102</v>
      </c>
      <c r="Q368" s="194">
        <v>50478</v>
      </c>
      <c r="R368" s="194" t="s">
        <v>462</v>
      </c>
    </row>
    <row r="369" ht="13.5" customHeight="1" spans="1:18">
      <c r="A369" s="101">
        <v>34</v>
      </c>
      <c r="B369" s="104" t="s">
        <v>1101</v>
      </c>
      <c r="C369" s="103" t="s">
        <v>3351</v>
      </c>
      <c r="D369" s="103" t="s">
        <v>3548</v>
      </c>
      <c r="E369" s="104" t="s">
        <v>3351</v>
      </c>
      <c r="F369" s="104" t="s">
        <v>8549</v>
      </c>
      <c r="G369" s="103" t="s">
        <v>6585</v>
      </c>
      <c r="H369" s="112"/>
      <c r="I369" s="101">
        <f>IFERROR(VLOOKUP(B369,'02. MM-KLH'!$B:$K,9,FALSE),"")</f>
        <v>0</v>
      </c>
      <c r="J369" s="103"/>
      <c r="K369" s="114"/>
      <c r="L369" s="115" t="s">
        <v>1104</v>
      </c>
      <c r="M369" s="111" t="s">
        <v>1105</v>
      </c>
      <c r="N369" s="103">
        <v>2018</v>
      </c>
      <c r="O369" s="103" t="s">
        <v>1106</v>
      </c>
      <c r="P369" s="103" t="s">
        <v>48</v>
      </c>
      <c r="Q369" s="111">
        <v>73737</v>
      </c>
      <c r="R369" s="111" t="s">
        <v>462</v>
      </c>
    </row>
    <row r="370" ht="13.5" customHeight="1" spans="1:18">
      <c r="A370" s="101">
        <v>35</v>
      </c>
      <c r="B370" s="102" t="s">
        <v>1107</v>
      </c>
      <c r="C370" s="103" t="s">
        <v>1909</v>
      </c>
      <c r="D370" s="103" t="s">
        <v>6660</v>
      </c>
      <c r="E370" s="104" t="s">
        <v>1909</v>
      </c>
      <c r="F370" s="102" t="s">
        <v>8345</v>
      </c>
      <c r="G370" s="101" t="s">
        <v>6585</v>
      </c>
      <c r="H370" s="105"/>
      <c r="I370" s="101">
        <f>IFERROR(VLOOKUP(B370,'02. MM-KLH'!$B:$K,9,FALSE),"")</f>
        <v>43862</v>
      </c>
      <c r="J370" s="101"/>
      <c r="K370" s="108"/>
      <c r="L370" s="109" t="s">
        <v>976</v>
      </c>
      <c r="M370" s="110" t="s">
        <v>977</v>
      </c>
      <c r="N370" s="101">
        <v>2018</v>
      </c>
      <c r="O370" s="101">
        <v>6603</v>
      </c>
      <c r="P370" s="101" t="s">
        <v>8439</v>
      </c>
      <c r="Q370" s="110">
        <v>33027</v>
      </c>
      <c r="R370" s="111" t="s">
        <v>462</v>
      </c>
    </row>
    <row r="371" ht="13.5" customHeight="1" spans="1:18">
      <c r="A371" s="101">
        <v>36</v>
      </c>
      <c r="B371" s="102" t="s">
        <v>1109</v>
      </c>
      <c r="C371" s="103" t="s">
        <v>3339</v>
      </c>
      <c r="D371" s="103" t="s">
        <v>6661</v>
      </c>
      <c r="E371" s="104" t="s">
        <v>3339</v>
      </c>
      <c r="F371" s="102" t="s">
        <v>3550</v>
      </c>
      <c r="G371" s="101" t="s">
        <v>6585</v>
      </c>
      <c r="H371" s="105"/>
      <c r="I371" s="101">
        <f>IFERROR(VLOOKUP(B371,'02. MM-KLH'!$B:$K,9,FALSE),"")</f>
        <v>0</v>
      </c>
      <c r="J371" s="101"/>
      <c r="K371" s="108"/>
      <c r="L371" s="109" t="s">
        <v>759</v>
      </c>
      <c r="M371" s="110" t="s">
        <v>453</v>
      </c>
      <c r="N371" s="101">
        <v>2011</v>
      </c>
      <c r="O371" s="101">
        <v>9540</v>
      </c>
      <c r="P371" s="101" t="s">
        <v>120</v>
      </c>
      <c r="Q371" s="110" t="s">
        <v>1111</v>
      </c>
      <c r="R371" s="111" t="s">
        <v>462</v>
      </c>
    </row>
    <row r="372" ht="13.5" customHeight="1" spans="1:18">
      <c r="A372" s="101">
        <v>37</v>
      </c>
      <c r="B372" s="102" t="s">
        <v>1051</v>
      </c>
      <c r="C372" s="103" t="s">
        <v>3347</v>
      </c>
      <c r="D372" s="103" t="s">
        <v>3549</v>
      </c>
      <c r="E372" s="104" t="s">
        <v>3347</v>
      </c>
      <c r="F372" s="102" t="s">
        <v>8348</v>
      </c>
      <c r="G372" s="101" t="s">
        <v>6585</v>
      </c>
      <c r="H372" s="105"/>
      <c r="I372" s="101">
        <f>IFERROR(VLOOKUP(B372,'02. MM-KLH'!$B:$K,9,FALSE),"")</f>
        <v>45634</v>
      </c>
      <c r="J372" s="107">
        <v>0.97</v>
      </c>
      <c r="K372" s="108"/>
      <c r="L372" s="109" t="s">
        <v>976</v>
      </c>
      <c r="M372" s="110" t="s">
        <v>977</v>
      </c>
      <c r="N372" s="101">
        <v>2022</v>
      </c>
      <c r="O372" s="101">
        <v>5090</v>
      </c>
      <c r="P372" s="101" t="s">
        <v>177</v>
      </c>
      <c r="Q372" s="110" t="s">
        <v>1054</v>
      </c>
      <c r="R372" s="111" t="s">
        <v>1055</v>
      </c>
    </row>
    <row r="373" ht="13.5" customHeight="1" spans="1:18">
      <c r="A373" s="101">
        <v>38</v>
      </c>
      <c r="B373" s="102" t="s">
        <v>3185</v>
      </c>
      <c r="C373" s="103" t="s">
        <v>8539</v>
      </c>
      <c r="D373" s="103" t="s">
        <v>6650</v>
      </c>
      <c r="E373" s="104"/>
      <c r="F373" s="102" t="s">
        <v>8350</v>
      </c>
      <c r="G373" s="101" t="s">
        <v>3023</v>
      </c>
      <c r="H373" s="105"/>
      <c r="I373" s="101">
        <f>IFERROR(VLOOKUP(B373,'02. MM-KLH'!$B:$K,9,FALSE),"")</f>
        <v>0</v>
      </c>
      <c r="J373" s="101"/>
      <c r="K373" s="108"/>
      <c r="L373" s="109" t="s">
        <v>1019</v>
      </c>
      <c r="M373" s="110" t="s">
        <v>500</v>
      </c>
      <c r="N373" s="101">
        <v>2018</v>
      </c>
      <c r="O373" s="101" t="s">
        <v>1122</v>
      </c>
      <c r="P373" s="101" t="s">
        <v>128</v>
      </c>
      <c r="Q373" s="110" t="s">
        <v>3187</v>
      </c>
      <c r="R373" s="111" t="s">
        <v>462</v>
      </c>
    </row>
    <row r="374" ht="13.5" customHeight="1" spans="1:18">
      <c r="A374" s="101">
        <v>39</v>
      </c>
      <c r="B374" s="102" t="s">
        <v>8550</v>
      </c>
      <c r="C374" s="103" t="s">
        <v>8551</v>
      </c>
      <c r="D374" s="103" t="s">
        <v>6651</v>
      </c>
      <c r="E374" s="104"/>
      <c r="F374" s="102" t="s">
        <v>8350</v>
      </c>
      <c r="G374" s="101" t="s">
        <v>3023</v>
      </c>
      <c r="H374" s="105"/>
      <c r="I374" s="101" t="str">
        <f>IFERROR(VLOOKUP(B374,'02. MM-KLH'!$B:$K,9,FALSE),"")</f>
        <v/>
      </c>
      <c r="J374" s="101"/>
      <c r="K374" s="108" t="s">
        <v>8552</v>
      </c>
      <c r="L374" s="109" t="s">
        <v>1019</v>
      </c>
      <c r="M374" s="110" t="s">
        <v>500</v>
      </c>
      <c r="N374" s="101">
        <v>2018</v>
      </c>
      <c r="O374" s="101" t="s">
        <v>1122</v>
      </c>
      <c r="P374" s="101" t="s">
        <v>128</v>
      </c>
      <c r="Q374" s="110" t="s">
        <v>3117</v>
      </c>
      <c r="R374" s="111" t="s">
        <v>462</v>
      </c>
    </row>
    <row r="375" ht="13.5" customHeight="1" spans="1:18">
      <c r="A375" s="101">
        <v>40</v>
      </c>
      <c r="B375" s="102" t="s">
        <v>3182</v>
      </c>
      <c r="C375" s="103" t="s">
        <v>8553</v>
      </c>
      <c r="D375" s="103" t="s">
        <v>6653</v>
      </c>
      <c r="E375" s="104"/>
      <c r="F375" s="102" t="s">
        <v>8350</v>
      </c>
      <c r="G375" s="101" t="s">
        <v>3023</v>
      </c>
      <c r="H375" s="105"/>
      <c r="I375" s="101">
        <f>IFERROR(VLOOKUP(B375,'02. MM-KLH'!$B:$K,9,FALSE),"")</f>
        <v>0</v>
      </c>
      <c r="J375" s="101"/>
      <c r="K375" s="108"/>
      <c r="L375" s="109" t="s">
        <v>1019</v>
      </c>
      <c r="M375" s="110" t="s">
        <v>500</v>
      </c>
      <c r="N375" s="101">
        <v>2018</v>
      </c>
      <c r="O375" s="101" t="s">
        <v>1122</v>
      </c>
      <c r="P375" s="101" t="s">
        <v>128</v>
      </c>
      <c r="Q375" s="110" t="s">
        <v>3184</v>
      </c>
      <c r="R375" s="111" t="s">
        <v>462</v>
      </c>
    </row>
    <row r="376" ht="13.5" customHeight="1" spans="1:18">
      <c r="A376" s="101">
        <v>41</v>
      </c>
      <c r="B376" s="102" t="s">
        <v>8554</v>
      </c>
      <c r="C376" s="103" t="s">
        <v>8540</v>
      </c>
      <c r="D376" s="103" t="s">
        <v>8538</v>
      </c>
      <c r="E376" s="104"/>
      <c r="F376" s="102" t="s">
        <v>8350</v>
      </c>
      <c r="G376" s="101" t="s">
        <v>3023</v>
      </c>
      <c r="H376" s="105"/>
      <c r="I376" s="101" t="str">
        <f>IFERROR(VLOOKUP(B376,'02. MM-KLH'!$B:$K,9,FALSE),"")</f>
        <v/>
      </c>
      <c r="J376" s="101"/>
      <c r="K376" s="108"/>
      <c r="L376" s="109" t="s">
        <v>1019</v>
      </c>
      <c r="M376" s="110" t="s">
        <v>500</v>
      </c>
      <c r="N376" s="101">
        <v>2018</v>
      </c>
      <c r="O376" s="101" t="s">
        <v>1122</v>
      </c>
      <c r="P376" s="101" t="s">
        <v>128</v>
      </c>
      <c r="Q376" s="110" t="s">
        <v>1791</v>
      </c>
      <c r="R376" s="111" t="s">
        <v>462</v>
      </c>
    </row>
    <row r="377" ht="13.5" customHeight="1" spans="1:18">
      <c r="A377" s="101">
        <v>42</v>
      </c>
      <c r="B377" s="102" t="s">
        <v>8555</v>
      </c>
      <c r="C377" s="103" t="s">
        <v>1624</v>
      </c>
      <c r="D377" s="103" t="s">
        <v>1613</v>
      </c>
      <c r="E377" s="104" t="s">
        <v>1624</v>
      </c>
      <c r="F377" s="102" t="s">
        <v>3552</v>
      </c>
      <c r="G377" s="101" t="s">
        <v>3023</v>
      </c>
      <c r="H377" s="105"/>
      <c r="I377" s="101" t="str">
        <f>IFERROR(VLOOKUP(B377,'02. MM-KLH'!$B:$K,9,FALSE),"")</f>
        <v/>
      </c>
      <c r="J377" s="101"/>
      <c r="K377" s="108"/>
      <c r="L377" s="109" t="s">
        <v>759</v>
      </c>
      <c r="M377" s="110" t="s">
        <v>453</v>
      </c>
      <c r="N377" s="101">
        <v>2019</v>
      </c>
      <c r="O377" s="101" t="s">
        <v>1137</v>
      </c>
      <c r="P377" s="101" t="s">
        <v>41</v>
      </c>
      <c r="Q377" s="1097" t="s">
        <v>2596</v>
      </c>
      <c r="R377" s="111" t="s">
        <v>462</v>
      </c>
    </row>
    <row r="378" ht="13.5" customHeight="1" spans="1:18">
      <c r="A378" s="101">
        <v>43</v>
      </c>
      <c r="B378" s="102" t="s">
        <v>8556</v>
      </c>
      <c r="C378" s="103" t="s">
        <v>1624</v>
      </c>
      <c r="D378" s="103" t="s">
        <v>6657</v>
      </c>
      <c r="E378" s="104" t="s">
        <v>1624</v>
      </c>
      <c r="F378" s="102" t="s">
        <v>3552</v>
      </c>
      <c r="G378" s="101" t="s">
        <v>3023</v>
      </c>
      <c r="H378" s="105"/>
      <c r="I378" s="101" t="str">
        <f>IFERROR(VLOOKUP(B378,'02. MM-KLH'!$B:$K,9,FALSE),"")</f>
        <v/>
      </c>
      <c r="J378" s="101"/>
      <c r="K378" s="108"/>
      <c r="L378" s="109" t="s">
        <v>759</v>
      </c>
      <c r="M378" s="110" t="s">
        <v>453</v>
      </c>
      <c r="N378" s="101">
        <v>2019</v>
      </c>
      <c r="O378" s="101" t="s">
        <v>1137</v>
      </c>
      <c r="P378" s="101" t="s">
        <v>41</v>
      </c>
      <c r="Q378" s="110">
        <v>14793</v>
      </c>
      <c r="R378" s="111" t="s">
        <v>462</v>
      </c>
    </row>
    <row r="379" ht="13.5" customHeight="1" spans="1:18">
      <c r="A379" s="101">
        <v>44</v>
      </c>
      <c r="B379" s="102" t="s">
        <v>3178</v>
      </c>
      <c r="C379" s="103" t="s">
        <v>8541</v>
      </c>
      <c r="D379" s="103" t="s">
        <v>6659</v>
      </c>
      <c r="E379" s="104"/>
      <c r="F379" s="102" t="s">
        <v>3546</v>
      </c>
      <c r="G379" s="101" t="s">
        <v>3023</v>
      </c>
      <c r="H379" s="105"/>
      <c r="I379" s="101">
        <f>IFERROR(VLOOKUP(B379,'02. MM-KLH'!$B:$K,9,FALSE),"")</f>
        <v>0</v>
      </c>
      <c r="J379" s="101"/>
      <c r="K379" s="108"/>
      <c r="L379" s="109" t="s">
        <v>759</v>
      </c>
      <c r="M379" s="110" t="s">
        <v>453</v>
      </c>
      <c r="N379" s="101">
        <v>2013</v>
      </c>
      <c r="O379" s="101" t="s">
        <v>1064</v>
      </c>
      <c r="P379" s="101" t="s">
        <v>3180</v>
      </c>
      <c r="Q379" s="110" t="s">
        <v>3181</v>
      </c>
      <c r="R379" s="111" t="s">
        <v>462</v>
      </c>
    </row>
    <row r="380" ht="13.5" customHeight="1" spans="1:18">
      <c r="A380" s="101">
        <v>45</v>
      </c>
      <c r="B380" s="102" t="s">
        <v>2592</v>
      </c>
      <c r="C380" s="103" t="s">
        <v>6711</v>
      </c>
      <c r="D380" s="103"/>
      <c r="E380" s="104"/>
      <c r="F380" s="102" t="s">
        <v>8350</v>
      </c>
      <c r="G380" s="101" t="s">
        <v>33</v>
      </c>
      <c r="H380" s="105"/>
      <c r="I380" s="101">
        <f>IFERROR(VLOOKUP(B380,'02. MM-KLH'!$B:$K,9,FALSE),"")</f>
        <v>0</v>
      </c>
      <c r="J380" s="101"/>
      <c r="K380" s="108"/>
      <c r="L380" s="109" t="s">
        <v>8536</v>
      </c>
      <c r="M380" s="110" t="s">
        <v>500</v>
      </c>
      <c r="N380" s="101">
        <v>2018</v>
      </c>
      <c r="O380" s="101" t="s">
        <v>1122</v>
      </c>
      <c r="P380" s="101" t="s">
        <v>128</v>
      </c>
      <c r="Q380" s="110">
        <v>180069</v>
      </c>
      <c r="R380" s="111" t="s">
        <v>462</v>
      </c>
    </row>
    <row r="381" ht="13.5" customHeight="1" spans="1:18">
      <c r="A381" s="101">
        <v>46</v>
      </c>
      <c r="B381" s="102" t="s">
        <v>2689</v>
      </c>
      <c r="C381" s="103" t="s">
        <v>6726</v>
      </c>
      <c r="D381" s="103"/>
      <c r="E381" s="104"/>
      <c r="F381" s="102" t="s">
        <v>3546</v>
      </c>
      <c r="G381" s="101" t="s">
        <v>34</v>
      </c>
      <c r="H381" s="105"/>
      <c r="I381" s="101">
        <f>IFERROR(VLOOKUP(B381,'02. MM-KLH'!$B:$K,9,FALSE),"")</f>
        <v>0</v>
      </c>
      <c r="J381" s="101"/>
      <c r="K381" s="108"/>
      <c r="L381" s="109" t="s">
        <v>759</v>
      </c>
      <c r="M381" s="110" t="s">
        <v>453</v>
      </c>
      <c r="N381" s="101">
        <v>2013</v>
      </c>
      <c r="O381" s="101" t="s">
        <v>1064</v>
      </c>
      <c r="P381" s="101" t="s">
        <v>208</v>
      </c>
      <c r="Q381" s="110" t="s">
        <v>2690</v>
      </c>
      <c r="R381" s="111" t="s">
        <v>462</v>
      </c>
    </row>
    <row r="382" ht="13.5" customHeight="1" spans="1:18">
      <c r="A382" s="101">
        <v>47</v>
      </c>
      <c r="B382" s="102" t="s">
        <v>2691</v>
      </c>
      <c r="C382" s="103" t="s">
        <v>6727</v>
      </c>
      <c r="D382" s="103"/>
      <c r="E382" s="104"/>
      <c r="F382" s="102" t="s">
        <v>3538</v>
      </c>
      <c r="G382" s="101" t="s">
        <v>34</v>
      </c>
      <c r="H382" s="105"/>
      <c r="I382" s="101">
        <f>IFERROR(VLOOKUP(B382,'02. MM-KLH'!$B:$K,9,FALSE),"")</f>
        <v>0</v>
      </c>
      <c r="J382" s="101"/>
      <c r="K382" s="108"/>
      <c r="L382" s="109" t="s">
        <v>2693</v>
      </c>
      <c r="M382" s="110" t="s">
        <v>453</v>
      </c>
      <c r="N382" s="101"/>
      <c r="O382" s="101"/>
      <c r="P382" s="101"/>
      <c r="Q382" s="110" t="s">
        <v>2694</v>
      </c>
      <c r="R382" s="111" t="s">
        <v>462</v>
      </c>
    </row>
    <row r="383" ht="13.5" customHeight="1" spans="1:18">
      <c r="A383" s="101">
        <v>48</v>
      </c>
      <c r="B383" s="102" t="s">
        <v>2644</v>
      </c>
      <c r="C383" s="103" t="s">
        <v>6717</v>
      </c>
      <c r="D383" s="103"/>
      <c r="E383" s="104"/>
      <c r="F383" s="102" t="s">
        <v>8350</v>
      </c>
      <c r="G383" s="101" t="s">
        <v>34</v>
      </c>
      <c r="H383" s="105"/>
      <c r="I383" s="101" t="str">
        <f>IFERROR(VLOOKUP(B383,'02. MM-KLH'!$B:$K,9,FALSE),"")</f>
        <v/>
      </c>
      <c r="J383" s="101"/>
      <c r="K383" s="108"/>
      <c r="L383" s="109" t="s">
        <v>1019</v>
      </c>
      <c r="M383" s="110" t="s">
        <v>500</v>
      </c>
      <c r="N383" s="101">
        <v>2012</v>
      </c>
      <c r="O383" s="101" t="s">
        <v>1122</v>
      </c>
      <c r="P383" s="101" t="s">
        <v>128</v>
      </c>
      <c r="Q383" s="110" t="s">
        <v>2645</v>
      </c>
      <c r="R383" s="111" t="s">
        <v>462</v>
      </c>
    </row>
    <row r="384" ht="13.5" customHeight="1" spans="1:18">
      <c r="A384" s="101">
        <v>49</v>
      </c>
      <c r="B384" s="102" t="s">
        <v>2695</v>
      </c>
      <c r="C384" s="103" t="s">
        <v>6728</v>
      </c>
      <c r="D384" s="103"/>
      <c r="E384" s="104"/>
      <c r="F384" s="102" t="s">
        <v>8350</v>
      </c>
      <c r="G384" s="101" t="s">
        <v>34</v>
      </c>
      <c r="H384" s="105"/>
      <c r="I384" s="101">
        <f>IFERROR(VLOOKUP(B384,'02. MM-KLH'!$B:$K,9,FALSE),"")</f>
        <v>0</v>
      </c>
      <c r="J384" s="101"/>
      <c r="K384" s="108"/>
      <c r="L384" s="109" t="s">
        <v>1019</v>
      </c>
      <c r="M384" s="110" t="s">
        <v>500</v>
      </c>
      <c r="N384" s="101">
        <v>2012</v>
      </c>
      <c r="O384" s="101" t="s">
        <v>1122</v>
      </c>
      <c r="P384" s="101" t="s">
        <v>128</v>
      </c>
      <c r="Q384" s="110" t="s">
        <v>2696</v>
      </c>
      <c r="R384" s="111" t="s">
        <v>462</v>
      </c>
    </row>
    <row r="385" ht="13.5" customHeight="1" spans="1:18">
      <c r="A385" s="101">
        <v>50</v>
      </c>
      <c r="B385" s="102" t="s">
        <v>8557</v>
      </c>
      <c r="C385" s="103" t="s">
        <v>1624</v>
      </c>
      <c r="D385" s="103"/>
      <c r="E385" s="104" t="s">
        <v>1624</v>
      </c>
      <c r="F385" s="102" t="s">
        <v>3552</v>
      </c>
      <c r="G385" s="101" t="s">
        <v>2735</v>
      </c>
      <c r="H385" s="105"/>
      <c r="I385" s="101" t="s">
        <v>1263</v>
      </c>
      <c r="J385" s="101"/>
      <c r="K385" s="108" t="s">
        <v>2726</v>
      </c>
      <c r="L385" s="109" t="s">
        <v>759</v>
      </c>
      <c r="M385" s="110" t="s">
        <v>453</v>
      </c>
      <c r="N385" s="101">
        <v>2019</v>
      </c>
      <c r="O385" s="101" t="s">
        <v>1137</v>
      </c>
      <c r="P385" s="101" t="s">
        <v>41</v>
      </c>
      <c r="Q385" s="110">
        <v>1659</v>
      </c>
      <c r="R385" s="111" t="s">
        <v>462</v>
      </c>
    </row>
    <row r="386" ht="13.5" customHeight="1" spans="1:18">
      <c r="A386" s="101">
        <v>51</v>
      </c>
      <c r="B386" s="104" t="s">
        <v>1869</v>
      </c>
      <c r="C386" s="103" t="s">
        <v>6669</v>
      </c>
      <c r="D386" s="103"/>
      <c r="E386" s="104"/>
      <c r="F386" s="104" t="s">
        <v>8346</v>
      </c>
      <c r="G386" s="193" t="s">
        <v>1103</v>
      </c>
      <c r="H386" s="103" t="s">
        <v>7387</v>
      </c>
      <c r="I386" s="101" t="str">
        <f>IFERROR(VLOOKUP(B386,'02. MM-KLH'!$B:$K,9,FALSE),"")</f>
        <v>30/07/2024</v>
      </c>
      <c r="J386" s="103"/>
      <c r="K386" s="114"/>
      <c r="L386" s="196"/>
      <c r="M386" s="111"/>
      <c r="N386" s="103"/>
      <c r="O386" s="103"/>
      <c r="P386" s="103"/>
      <c r="Q386" s="111"/>
      <c r="R386" s="111"/>
    </row>
    <row r="387" ht="13.5" customHeight="1" spans="1:18">
      <c r="A387" s="101">
        <v>52</v>
      </c>
      <c r="B387" s="104" t="s">
        <v>1872</v>
      </c>
      <c r="C387" s="103" t="s">
        <v>6670</v>
      </c>
      <c r="D387" s="103"/>
      <c r="E387" s="104"/>
      <c r="F387" s="104" t="s">
        <v>8346</v>
      </c>
      <c r="G387" s="193" t="s">
        <v>1103</v>
      </c>
      <c r="H387" s="103" t="s">
        <v>7387</v>
      </c>
      <c r="I387" s="101" t="str">
        <f>IFERROR(VLOOKUP(B387,'02. MM-KLH'!$B:$K,9,FALSE),"")</f>
        <v>30/07/2024</v>
      </c>
      <c r="J387" s="103"/>
      <c r="K387" s="114"/>
      <c r="L387" s="196"/>
      <c r="M387" s="111"/>
      <c r="N387" s="103"/>
      <c r="O387" s="103"/>
      <c r="P387" s="103"/>
      <c r="Q387" s="111"/>
      <c r="R387" s="111"/>
    </row>
    <row r="388" ht="13.5" customHeight="1" spans="1:18">
      <c r="A388" s="101">
        <v>53</v>
      </c>
      <c r="B388" s="104" t="s">
        <v>1876</v>
      </c>
      <c r="C388" s="103" t="s">
        <v>6671</v>
      </c>
      <c r="D388" s="96"/>
      <c r="E388" s="97"/>
      <c r="F388" s="104" t="s">
        <v>8558</v>
      </c>
      <c r="G388" s="193" t="s">
        <v>1103</v>
      </c>
      <c r="H388" s="103"/>
      <c r="I388" s="101" t="str">
        <f>IFERROR(VLOOKUP(B388,'02. MM-KLH'!$B:$K,9,FALSE),"")</f>
        <v>30/08/2024</v>
      </c>
      <c r="J388" s="96"/>
      <c r="K388" s="99"/>
      <c r="L388" s="197"/>
      <c r="M388" s="97"/>
      <c r="N388" s="97"/>
      <c r="O388" s="97"/>
      <c r="P388" s="97"/>
      <c r="Q388" s="97"/>
      <c r="R388" s="97"/>
    </row>
    <row r="389" ht="13.5" customHeight="1" spans="1:18">
      <c r="A389" s="101">
        <v>54</v>
      </c>
      <c r="B389" s="104" t="s">
        <v>1881</v>
      </c>
      <c r="C389" s="103" t="s">
        <v>6672</v>
      </c>
      <c r="D389" s="96"/>
      <c r="E389" s="97"/>
      <c r="F389" s="104" t="s">
        <v>8559</v>
      </c>
      <c r="G389" s="193" t="s">
        <v>1103</v>
      </c>
      <c r="H389" s="103"/>
      <c r="I389" s="101" t="str">
        <f>IFERROR(VLOOKUP(B389,'02. MM-KLH'!$B:$K,9,FALSE),"")</f>
        <v>30/08/2024</v>
      </c>
      <c r="J389" s="96"/>
      <c r="K389" s="99"/>
      <c r="L389" s="197"/>
      <c r="M389" s="97"/>
      <c r="N389" s="97"/>
      <c r="O389" s="97"/>
      <c r="P389" s="97"/>
      <c r="Q389" s="97"/>
      <c r="R389" s="97"/>
    </row>
    <row r="390" ht="13.5" customHeight="1" spans="1:18">
      <c r="A390" s="101">
        <v>55</v>
      </c>
      <c r="B390" s="104" t="s">
        <v>1884</v>
      </c>
      <c r="C390" s="103" t="s">
        <v>6673</v>
      </c>
      <c r="D390" s="96"/>
      <c r="E390" s="97"/>
      <c r="F390" s="104" t="s">
        <v>8560</v>
      </c>
      <c r="G390" s="193" t="s">
        <v>1103</v>
      </c>
      <c r="H390" s="112">
        <v>45360</v>
      </c>
      <c r="I390" s="101">
        <f>IFERROR(VLOOKUP(B390,'02. MM-KLH'!$B:$K,9,FALSE),"")</f>
        <v>45360</v>
      </c>
      <c r="J390" s="96"/>
      <c r="K390" s="99"/>
      <c r="L390" s="197"/>
      <c r="M390" s="97"/>
      <c r="N390" s="97"/>
      <c r="O390" s="97"/>
      <c r="P390" s="97"/>
      <c r="Q390" s="97"/>
      <c r="R390" s="97"/>
    </row>
    <row r="391" ht="13.5" customHeight="1" spans="1:18">
      <c r="A391" s="101">
        <v>56</v>
      </c>
      <c r="B391" s="104" t="s">
        <v>1887</v>
      </c>
      <c r="C391" s="103" t="s">
        <v>6675</v>
      </c>
      <c r="D391" s="96"/>
      <c r="E391" s="97"/>
      <c r="F391" s="104" t="s">
        <v>8561</v>
      </c>
      <c r="G391" s="193" t="s">
        <v>1103</v>
      </c>
      <c r="H391" s="112">
        <v>45360</v>
      </c>
      <c r="I391" s="101">
        <f>IFERROR(VLOOKUP(B391,'02. MM-KLH'!$B:$K,9,FALSE),"")</f>
        <v>45360</v>
      </c>
      <c r="J391" s="96"/>
      <c r="K391" s="99"/>
      <c r="L391" s="197"/>
      <c r="M391" s="97"/>
      <c r="N391" s="97"/>
      <c r="O391" s="97"/>
      <c r="P391" s="97"/>
      <c r="Q391" s="97"/>
      <c r="R391" s="97"/>
    </row>
    <row r="392" ht="13.5" customHeight="1" spans="1:18">
      <c r="A392" s="96" t="s">
        <v>8562</v>
      </c>
      <c r="B392" s="97" t="s">
        <v>8563</v>
      </c>
      <c r="C392" s="96"/>
      <c r="D392" s="96"/>
      <c r="E392" s="97"/>
      <c r="F392" s="96"/>
      <c r="G392" s="97"/>
      <c r="H392" s="103"/>
      <c r="I392" s="101" t="str">
        <f>IFERROR(VLOOKUP(B392,'02. MM-KLH'!$B:$K,9,FALSE),"")</f>
        <v/>
      </c>
      <c r="J392" s="96"/>
      <c r="K392" s="99"/>
      <c r="L392" s="100"/>
      <c r="M392" s="97"/>
      <c r="N392" s="97"/>
      <c r="O392" s="97"/>
      <c r="P392" s="97"/>
      <c r="Q392" s="97"/>
      <c r="R392" s="97"/>
    </row>
    <row r="393" ht="13.5" customHeight="1" spans="1:18">
      <c r="A393" s="103">
        <v>1</v>
      </c>
      <c r="B393" s="102" t="s">
        <v>2058</v>
      </c>
      <c r="C393" s="103" t="s">
        <v>3484</v>
      </c>
      <c r="D393" s="103" t="s">
        <v>8564</v>
      </c>
      <c r="E393" s="104" t="s">
        <v>3484</v>
      </c>
      <c r="F393" s="102" t="s">
        <v>101</v>
      </c>
      <c r="G393" s="101" t="s">
        <v>1103</v>
      </c>
      <c r="H393" s="105"/>
      <c r="I393" s="101">
        <f>IFERROR(VLOOKUP(B393,'02. MM-KLH'!$B:$K,9,FALSE),"")</f>
        <v>0</v>
      </c>
      <c r="J393" s="107"/>
      <c r="K393" s="108"/>
      <c r="L393" s="109" t="s">
        <v>2060</v>
      </c>
      <c r="M393" s="110" t="s">
        <v>1140</v>
      </c>
      <c r="N393" s="101"/>
      <c r="O393" s="101" t="s">
        <v>2061</v>
      </c>
      <c r="P393" s="101" t="s">
        <v>2062</v>
      </c>
      <c r="Q393" s="110">
        <v>90516</v>
      </c>
      <c r="R393" s="111" t="s">
        <v>462</v>
      </c>
    </row>
    <row r="394" ht="13.5" customHeight="1" spans="1:18">
      <c r="A394" s="103">
        <v>2</v>
      </c>
      <c r="B394" s="102" t="s">
        <v>2063</v>
      </c>
      <c r="C394" s="103" t="s">
        <v>6681</v>
      </c>
      <c r="D394" s="103" t="s">
        <v>6681</v>
      </c>
      <c r="E394" s="104"/>
      <c r="F394" s="102" t="s">
        <v>99</v>
      </c>
      <c r="G394" s="101" t="s">
        <v>1103</v>
      </c>
      <c r="H394" s="105"/>
      <c r="I394" s="101">
        <f>IFERROR(VLOOKUP(B394,'02. MM-KLH'!$B:$K,9,FALSE),"")</f>
        <v>0</v>
      </c>
      <c r="J394" s="101"/>
      <c r="K394" s="108"/>
      <c r="L394" s="109" t="s">
        <v>480</v>
      </c>
      <c r="M394" s="110" t="s">
        <v>453</v>
      </c>
      <c r="N394" s="101">
        <v>2020</v>
      </c>
      <c r="O394" s="101" t="s">
        <v>2065</v>
      </c>
      <c r="P394" s="101" t="s">
        <v>100</v>
      </c>
      <c r="Q394" s="110">
        <v>50183</v>
      </c>
      <c r="R394" s="111" t="s">
        <v>462</v>
      </c>
    </row>
    <row r="395" ht="13.5" customHeight="1" spans="1:18">
      <c r="A395" s="103">
        <v>3</v>
      </c>
      <c r="B395" s="104" t="s">
        <v>2066</v>
      </c>
      <c r="C395" s="103" t="s">
        <v>6682</v>
      </c>
      <c r="D395" s="103" t="s">
        <v>6682</v>
      </c>
      <c r="E395" s="104"/>
      <c r="F395" s="104" t="s">
        <v>98</v>
      </c>
      <c r="G395" s="103" t="s">
        <v>1103</v>
      </c>
      <c r="H395" s="112">
        <v>44208</v>
      </c>
      <c r="I395" s="101">
        <f>IFERROR(VLOOKUP(B395,'02. MM-KLH'!$B:$K,9,FALSE),"")</f>
        <v>44208</v>
      </c>
      <c r="J395" s="103"/>
      <c r="K395" s="114"/>
      <c r="L395" s="115" t="s">
        <v>480</v>
      </c>
      <c r="M395" s="111" t="s">
        <v>453</v>
      </c>
      <c r="N395" s="103">
        <v>2020</v>
      </c>
      <c r="O395" s="103" t="s">
        <v>2068</v>
      </c>
      <c r="P395" s="103" t="s">
        <v>2069</v>
      </c>
      <c r="Q395" s="111">
        <v>50100</v>
      </c>
      <c r="R395" s="111">
        <v>18033</v>
      </c>
    </row>
    <row r="396" ht="13.5" customHeight="1" spans="1:18">
      <c r="A396" s="103">
        <v>4</v>
      </c>
      <c r="B396" s="104" t="s">
        <v>2070</v>
      </c>
      <c r="C396" s="103" t="s">
        <v>3486</v>
      </c>
      <c r="D396" s="103" t="s">
        <v>8565</v>
      </c>
      <c r="E396" s="104" t="s">
        <v>3486</v>
      </c>
      <c r="F396" s="104" t="s">
        <v>92</v>
      </c>
      <c r="G396" s="103" t="s">
        <v>1103</v>
      </c>
      <c r="H396" s="112">
        <v>45292</v>
      </c>
      <c r="I396" s="101">
        <f>IFERROR(VLOOKUP(B396,'02. MM-KLH'!$B:$K,9,FALSE),"")</f>
        <v>45292</v>
      </c>
      <c r="J396" s="113">
        <v>0.98</v>
      </c>
      <c r="K396" s="114"/>
      <c r="L396" s="115" t="s">
        <v>2071</v>
      </c>
      <c r="M396" s="111" t="s">
        <v>2072</v>
      </c>
      <c r="N396" s="103">
        <v>2018</v>
      </c>
      <c r="O396" s="103" t="s">
        <v>2073</v>
      </c>
      <c r="P396" s="103" t="s">
        <v>58</v>
      </c>
      <c r="Q396" s="111" t="s">
        <v>2074</v>
      </c>
      <c r="R396" s="111" t="s">
        <v>2075</v>
      </c>
    </row>
    <row r="397" ht="13.5" customHeight="1" spans="1:18">
      <c r="A397" s="103">
        <v>5</v>
      </c>
      <c r="B397" s="102" t="s">
        <v>2076</v>
      </c>
      <c r="C397" s="103" t="s">
        <v>3487</v>
      </c>
      <c r="D397" s="103" t="s">
        <v>8566</v>
      </c>
      <c r="E397" s="104" t="s">
        <v>3487</v>
      </c>
      <c r="F397" s="102" t="s">
        <v>8567</v>
      </c>
      <c r="G397" s="101" t="s">
        <v>1103</v>
      </c>
      <c r="H397" s="105" t="s">
        <v>2077</v>
      </c>
      <c r="I397" s="101" t="str">
        <f>IFERROR(VLOOKUP(B397,'02. MM-KLH'!$B:$K,9,FALSE),"")</f>
        <v>15/12/2023</v>
      </c>
      <c r="J397" s="107">
        <v>0.97</v>
      </c>
      <c r="K397" s="108" t="s">
        <v>1146</v>
      </c>
      <c r="L397" s="109" t="s">
        <v>2078</v>
      </c>
      <c r="M397" s="110" t="s">
        <v>1140</v>
      </c>
      <c r="N397" s="101">
        <v>2023</v>
      </c>
      <c r="O397" s="101" t="s">
        <v>2079</v>
      </c>
      <c r="P397" s="101" t="s">
        <v>8568</v>
      </c>
      <c r="Q397" s="110" t="s">
        <v>2080</v>
      </c>
      <c r="R397" s="111" t="s">
        <v>2081</v>
      </c>
    </row>
    <row r="398" ht="13.5" customHeight="1" spans="1:18">
      <c r="A398" s="103">
        <v>6</v>
      </c>
      <c r="B398" s="102" t="s">
        <v>2082</v>
      </c>
      <c r="C398" s="103" t="s">
        <v>3488</v>
      </c>
      <c r="D398" s="103" t="s">
        <v>8569</v>
      </c>
      <c r="E398" s="104" t="s">
        <v>3488</v>
      </c>
      <c r="F398" s="102" t="s">
        <v>84</v>
      </c>
      <c r="G398" s="101" t="s">
        <v>1103</v>
      </c>
      <c r="H398" s="101" t="s">
        <v>2084</v>
      </c>
      <c r="I398" s="101" t="str">
        <f>IFERROR(VLOOKUP(B398,'02. MM-KLH'!$B:$K,9,FALSE),"")</f>
        <v>30/01/2024</v>
      </c>
      <c r="J398" s="107">
        <v>0.98</v>
      </c>
      <c r="K398" s="108" t="s">
        <v>653</v>
      </c>
      <c r="L398" s="109" t="s">
        <v>6685</v>
      </c>
      <c r="M398" s="110" t="s">
        <v>590</v>
      </c>
      <c r="N398" s="101">
        <v>2022</v>
      </c>
      <c r="O398" s="101" t="s">
        <v>2086</v>
      </c>
      <c r="P398" s="101" t="s">
        <v>85</v>
      </c>
      <c r="Q398" s="110" t="s">
        <v>2087</v>
      </c>
      <c r="R398" s="111" t="s">
        <v>2088</v>
      </c>
    </row>
    <row r="399" ht="13.5" customHeight="1" spans="1:18">
      <c r="A399" s="103">
        <v>7</v>
      </c>
      <c r="B399" s="102" t="s">
        <v>2089</v>
      </c>
      <c r="C399" s="117" t="s">
        <v>6686</v>
      </c>
      <c r="D399" s="103" t="s">
        <v>6686</v>
      </c>
      <c r="E399" s="104"/>
      <c r="F399" s="104" t="s">
        <v>88</v>
      </c>
      <c r="G399" s="103" t="s">
        <v>1103</v>
      </c>
      <c r="H399" s="112">
        <v>45633</v>
      </c>
      <c r="I399" s="101">
        <f>IFERROR(VLOOKUP(B399,'02. MM-KLH'!$B:$K,9,FALSE),"")</f>
        <v>45633</v>
      </c>
      <c r="J399" s="113">
        <v>0.99</v>
      </c>
      <c r="K399" s="114" t="s">
        <v>653</v>
      </c>
      <c r="L399" s="115" t="s">
        <v>2078</v>
      </c>
      <c r="M399" s="110" t="s">
        <v>590</v>
      </c>
      <c r="N399" s="103">
        <v>2024</v>
      </c>
      <c r="O399" s="103" t="s">
        <v>2090</v>
      </c>
      <c r="P399" s="103" t="s">
        <v>89</v>
      </c>
      <c r="Q399" s="111" t="s">
        <v>2091</v>
      </c>
      <c r="R399" s="111" t="s">
        <v>2092</v>
      </c>
    </row>
    <row r="400" ht="13.5" customHeight="1" spans="1:18">
      <c r="A400" s="103">
        <v>8</v>
      </c>
      <c r="B400" s="102" t="s">
        <v>2093</v>
      </c>
      <c r="C400" s="103" t="s">
        <v>2094</v>
      </c>
      <c r="D400" s="103"/>
      <c r="E400" s="104"/>
      <c r="F400" s="102" t="s">
        <v>8570</v>
      </c>
      <c r="G400" s="103" t="s">
        <v>1103</v>
      </c>
      <c r="H400" s="105" t="s">
        <v>2095</v>
      </c>
      <c r="I400" s="101" t="str">
        <f>IFERROR(VLOOKUP(B400,'02. MM-KLH'!$B:$K,9,FALSE),"")</f>
        <v>16/08/2024</v>
      </c>
      <c r="J400" s="107"/>
      <c r="K400" s="114" t="s">
        <v>653</v>
      </c>
      <c r="L400" s="109"/>
      <c r="M400" s="110"/>
      <c r="N400" s="101"/>
      <c r="O400" s="101"/>
      <c r="P400" s="101"/>
      <c r="Q400" s="110"/>
      <c r="R400" s="111"/>
    </row>
    <row r="401" ht="13.5" customHeight="1" spans="1:18">
      <c r="A401" s="103">
        <v>9</v>
      </c>
      <c r="B401" s="102" t="s">
        <v>2581</v>
      </c>
      <c r="C401" s="103" t="s">
        <v>3489</v>
      </c>
      <c r="D401" s="103" t="s">
        <v>8564</v>
      </c>
      <c r="E401" s="104" t="s">
        <v>3489</v>
      </c>
      <c r="F401" s="102" t="s">
        <v>96</v>
      </c>
      <c r="G401" s="101" t="s">
        <v>32</v>
      </c>
      <c r="H401" s="105">
        <v>44197</v>
      </c>
      <c r="I401" s="101">
        <f>IFERROR(VLOOKUP(B401,'02. MM-KLH'!$B:$K,9,FALSE),"")</f>
        <v>44197</v>
      </c>
      <c r="J401" s="107">
        <v>0.68</v>
      </c>
      <c r="K401" s="108"/>
      <c r="L401" s="109" t="s">
        <v>480</v>
      </c>
      <c r="M401" s="110" t="s">
        <v>453</v>
      </c>
      <c r="N401" s="101">
        <v>1994</v>
      </c>
      <c r="O401" s="101" t="s">
        <v>2582</v>
      </c>
      <c r="P401" s="101" t="s">
        <v>2062</v>
      </c>
      <c r="Q401" s="110" t="s">
        <v>2583</v>
      </c>
      <c r="R401" s="111" t="s">
        <v>2584</v>
      </c>
    </row>
    <row r="402" ht="13.5" customHeight="1" spans="1:18">
      <c r="A402" s="103">
        <v>10</v>
      </c>
      <c r="B402" s="102" t="s">
        <v>2585</v>
      </c>
      <c r="C402" s="103" t="s">
        <v>3490</v>
      </c>
      <c r="D402" s="103" t="s">
        <v>6681</v>
      </c>
      <c r="E402" s="104" t="s">
        <v>3490</v>
      </c>
      <c r="F402" s="102" t="s">
        <v>8571</v>
      </c>
      <c r="G402" s="101" t="s">
        <v>32</v>
      </c>
      <c r="H402" s="101" t="s">
        <v>2587</v>
      </c>
      <c r="I402" s="101" t="str">
        <f>IFERROR(VLOOKUP(B402,'02. MM-KLH'!$B:$K,9,FALSE),"")</f>
        <v>24/01/2024</v>
      </c>
      <c r="J402" s="107">
        <v>0.97</v>
      </c>
      <c r="K402" s="108"/>
      <c r="L402" s="109" t="s">
        <v>480</v>
      </c>
      <c r="M402" s="110" t="s">
        <v>555</v>
      </c>
      <c r="N402" s="101">
        <v>2021</v>
      </c>
      <c r="O402" s="101" t="s">
        <v>2582</v>
      </c>
      <c r="P402" s="101" t="s">
        <v>97</v>
      </c>
      <c r="Q402" s="110" t="s">
        <v>8572</v>
      </c>
      <c r="R402" s="111" t="s">
        <v>8573</v>
      </c>
    </row>
    <row r="403" ht="13.5" customHeight="1" spans="1:18">
      <c r="A403" s="96" t="s">
        <v>8574</v>
      </c>
      <c r="B403" s="97" t="s">
        <v>8575</v>
      </c>
      <c r="C403" s="96"/>
      <c r="D403" s="96"/>
      <c r="E403" s="97"/>
      <c r="F403" s="96"/>
      <c r="G403" s="97"/>
      <c r="H403" s="98"/>
      <c r="I403" s="98" t="str">
        <f>IFERROR(VLOOKUP(B403,'02. MM-KLH'!$B:$K,9,FALSE),"")</f>
        <v/>
      </c>
      <c r="J403" s="96"/>
      <c r="K403" s="99"/>
      <c r="L403" s="100"/>
      <c r="M403" s="97"/>
      <c r="N403" s="97"/>
      <c r="O403" s="97"/>
      <c r="P403" s="97"/>
      <c r="Q403" s="97"/>
      <c r="R403" s="97"/>
    </row>
    <row r="404" ht="13.5" customHeight="1" spans="1:18">
      <c r="A404" s="103">
        <v>1</v>
      </c>
      <c r="B404" s="104" t="s">
        <v>2141</v>
      </c>
      <c r="C404" s="103" t="s">
        <v>3431</v>
      </c>
      <c r="D404" s="103" t="s">
        <v>6729</v>
      </c>
      <c r="E404" s="104" t="s">
        <v>3431</v>
      </c>
      <c r="F404" s="104" t="s">
        <v>1556</v>
      </c>
      <c r="G404" s="103" t="s">
        <v>1103</v>
      </c>
      <c r="H404" s="112"/>
      <c r="I404" s="101">
        <f>IFERROR(VLOOKUP(B404,'02. MM-KLH'!$B:$K,9,FALSE),"")</f>
        <v>0</v>
      </c>
      <c r="J404" s="103"/>
      <c r="K404" s="114"/>
      <c r="L404" s="115" t="s">
        <v>480</v>
      </c>
      <c r="M404" s="111" t="s">
        <v>453</v>
      </c>
      <c r="N404" s="103">
        <v>2015</v>
      </c>
      <c r="O404" s="103" t="s">
        <v>2142</v>
      </c>
      <c r="P404" s="103" t="s">
        <v>2143</v>
      </c>
      <c r="Q404" s="111">
        <v>838092</v>
      </c>
      <c r="R404" s="111" t="s">
        <v>2144</v>
      </c>
    </row>
    <row r="405" ht="13.5" customHeight="1" spans="1:18">
      <c r="A405" s="103">
        <v>2</v>
      </c>
      <c r="B405" s="102" t="s">
        <v>2145</v>
      </c>
      <c r="C405" s="103" t="s">
        <v>3433</v>
      </c>
      <c r="D405" s="103" t="s">
        <v>6725</v>
      </c>
      <c r="E405" s="104" t="s">
        <v>3433</v>
      </c>
      <c r="F405" s="102" t="s">
        <v>237</v>
      </c>
      <c r="G405" s="101" t="s">
        <v>1103</v>
      </c>
      <c r="H405" s="105" t="s">
        <v>2077</v>
      </c>
      <c r="I405" s="101" t="str">
        <f>IFERROR(VLOOKUP(B405,'02. MM-KLH'!$B:$K,9,FALSE),"")</f>
        <v>15/12/2023</v>
      </c>
      <c r="J405" s="107">
        <v>0.97</v>
      </c>
      <c r="K405" s="108" t="s">
        <v>2146</v>
      </c>
      <c r="L405" s="109" t="s">
        <v>480</v>
      </c>
      <c r="M405" s="110" t="s">
        <v>453</v>
      </c>
      <c r="N405" s="101">
        <v>2018</v>
      </c>
      <c r="O405" s="101" t="s">
        <v>2147</v>
      </c>
      <c r="P405" s="101" t="s">
        <v>75</v>
      </c>
      <c r="Q405" s="110">
        <v>308754</v>
      </c>
      <c r="R405" s="111" t="s">
        <v>462</v>
      </c>
    </row>
    <row r="406" ht="13.5" customHeight="1" spans="1:18">
      <c r="A406" s="103">
        <v>3</v>
      </c>
      <c r="B406" s="102" t="s">
        <v>2148</v>
      </c>
      <c r="C406" s="103" t="s">
        <v>3431</v>
      </c>
      <c r="D406" s="103" t="s">
        <v>8576</v>
      </c>
      <c r="E406" s="104" t="s">
        <v>3431</v>
      </c>
      <c r="F406" s="102" t="s">
        <v>8577</v>
      </c>
      <c r="G406" s="101" t="s">
        <v>1103</v>
      </c>
      <c r="H406" s="105"/>
      <c r="I406" s="101">
        <f>IFERROR(VLOOKUP(B406,'02. MM-KLH'!$B:$K,9,FALSE),"")</f>
        <v>0</v>
      </c>
      <c r="J406" s="107"/>
      <c r="K406" s="108" t="s">
        <v>2146</v>
      </c>
      <c r="L406" s="109" t="s">
        <v>480</v>
      </c>
      <c r="M406" s="110"/>
      <c r="N406" s="101"/>
      <c r="O406" s="101" t="s">
        <v>2149</v>
      </c>
      <c r="P406" s="101" t="s">
        <v>290</v>
      </c>
      <c r="Q406" s="110">
        <v>806003</v>
      </c>
      <c r="R406" s="111"/>
    </row>
    <row r="407" ht="13.5" customHeight="1" spans="1:18">
      <c r="A407" s="103">
        <v>4</v>
      </c>
      <c r="B407" s="102" t="s">
        <v>2150</v>
      </c>
      <c r="C407" s="103" t="s">
        <v>2151</v>
      </c>
      <c r="D407" s="103"/>
      <c r="E407" s="104"/>
      <c r="F407" s="102" t="s">
        <v>8578</v>
      </c>
      <c r="G407" s="101" t="s">
        <v>1103</v>
      </c>
      <c r="H407" s="105"/>
      <c r="I407" s="101" t="str">
        <f>IFERROR(VLOOKUP(B407,'02. MM-KLH'!$B:$K,9,FALSE),"")</f>
        <v>17/01/2025</v>
      </c>
      <c r="J407" s="101"/>
      <c r="K407" s="108"/>
      <c r="L407" s="109"/>
      <c r="M407" s="110"/>
      <c r="N407" s="101"/>
      <c r="O407" s="101"/>
      <c r="P407" s="101"/>
      <c r="Q407" s="110"/>
      <c r="R407" s="111"/>
    </row>
    <row r="408" ht="13.5" customHeight="1" spans="1:18">
      <c r="A408" s="103">
        <v>5</v>
      </c>
      <c r="B408" s="102" t="s">
        <v>2697</v>
      </c>
      <c r="C408" s="103" t="s">
        <v>6729</v>
      </c>
      <c r="D408" s="103"/>
      <c r="E408" s="104"/>
      <c r="F408" s="102" t="s">
        <v>8579</v>
      </c>
      <c r="G408" s="101" t="s">
        <v>34</v>
      </c>
      <c r="H408" s="105"/>
      <c r="I408" s="101">
        <f>IFERROR(VLOOKUP(B408,'02. MM-KLH'!$B:$K,9,FALSE),"")</f>
        <v>0</v>
      </c>
      <c r="J408" s="101"/>
      <c r="K408" s="108"/>
      <c r="L408" s="109" t="s">
        <v>2699</v>
      </c>
      <c r="M408" s="110" t="s">
        <v>453</v>
      </c>
      <c r="N408" s="101"/>
      <c r="O408" s="101"/>
      <c r="P408" s="101"/>
      <c r="Q408" s="110">
        <v>31059</v>
      </c>
      <c r="R408" s="111" t="s">
        <v>2700</v>
      </c>
    </row>
    <row r="409" ht="13.5" customHeight="1" spans="1:18">
      <c r="A409" s="103">
        <v>6</v>
      </c>
      <c r="B409" s="102" t="s">
        <v>2686</v>
      </c>
      <c r="C409" s="103" t="s">
        <v>6725</v>
      </c>
      <c r="D409" s="103"/>
      <c r="E409" s="104"/>
      <c r="F409" s="102" t="s">
        <v>246</v>
      </c>
      <c r="G409" s="101" t="s">
        <v>34</v>
      </c>
      <c r="H409" s="105"/>
      <c r="I409" s="101">
        <f>IFERROR(VLOOKUP(B409,'02. MM-KLH'!$B:$K,9,FALSE),"")</f>
        <v>0</v>
      </c>
      <c r="J409" s="101"/>
      <c r="K409" s="108"/>
      <c r="L409" s="109"/>
      <c r="M409" s="110"/>
      <c r="N409" s="101"/>
      <c r="O409" s="101"/>
      <c r="P409" s="101"/>
      <c r="Q409" s="110" t="s">
        <v>2688</v>
      </c>
      <c r="R409" s="111" t="s">
        <v>462</v>
      </c>
    </row>
    <row r="410" ht="13.5" customHeight="1" spans="1:18">
      <c r="A410" s="96" t="s">
        <v>8580</v>
      </c>
      <c r="B410" s="97" t="s">
        <v>8581</v>
      </c>
      <c r="C410" s="96"/>
      <c r="D410" s="96"/>
      <c r="E410" s="97"/>
      <c r="F410" s="96"/>
      <c r="G410" s="97"/>
      <c r="H410" s="98"/>
      <c r="I410" s="98" t="str">
        <f>IFERROR(VLOOKUP(B410,'02. MM-KLH'!$B:$K,9,FALSE),"")</f>
        <v/>
      </c>
      <c r="J410" s="96"/>
      <c r="K410" s="99"/>
      <c r="L410" s="100"/>
      <c r="M410" s="97"/>
      <c r="N410" s="97"/>
      <c r="O410" s="97"/>
      <c r="P410" s="97"/>
      <c r="Q410" s="97"/>
      <c r="R410" s="97"/>
    </row>
    <row r="411" ht="13.5" customHeight="1" spans="1:18">
      <c r="A411" s="103">
        <v>1</v>
      </c>
      <c r="B411" s="102" t="s">
        <v>2187</v>
      </c>
      <c r="C411" s="103" t="s">
        <v>6688</v>
      </c>
      <c r="D411" s="103" t="s">
        <v>6688</v>
      </c>
      <c r="E411" s="104"/>
      <c r="F411" s="102" t="s">
        <v>229</v>
      </c>
      <c r="G411" s="101" t="s">
        <v>1103</v>
      </c>
      <c r="H411" s="105"/>
      <c r="I411" s="101">
        <f>IFERROR(VLOOKUP(B411,'02. MM-KLH'!$B:$K,9,FALSE),"")</f>
        <v>0</v>
      </c>
      <c r="J411" s="101"/>
      <c r="K411" s="108"/>
      <c r="L411" s="109" t="s">
        <v>621</v>
      </c>
      <c r="M411" s="110" t="s">
        <v>500</v>
      </c>
      <c r="N411" s="101">
        <v>2018</v>
      </c>
      <c r="O411" s="101" t="s">
        <v>1371</v>
      </c>
      <c r="P411" s="101" t="s">
        <v>54</v>
      </c>
      <c r="Q411" s="110" t="s">
        <v>2189</v>
      </c>
      <c r="R411" s="111" t="s">
        <v>2190</v>
      </c>
    </row>
    <row r="412" ht="13.5" customHeight="1" spans="1:18">
      <c r="A412" s="96" t="s">
        <v>8582</v>
      </c>
      <c r="B412" s="97" t="s">
        <v>8583</v>
      </c>
      <c r="C412" s="96"/>
      <c r="D412" s="96"/>
      <c r="E412" s="97"/>
      <c r="F412" s="96"/>
      <c r="G412" s="97"/>
      <c r="H412" s="98"/>
      <c r="I412" s="98" t="str">
        <f>IFERROR(VLOOKUP(B412,'02. MM-KLH'!$B:$K,9,FALSE),"")</f>
        <v/>
      </c>
      <c r="J412" s="96"/>
      <c r="K412" s="99"/>
      <c r="L412" s="100"/>
      <c r="M412" s="97"/>
      <c r="N412" s="97"/>
      <c r="O412" s="97"/>
      <c r="P412" s="97"/>
      <c r="Q412" s="97"/>
      <c r="R412" s="97"/>
    </row>
    <row r="413" ht="13.5" customHeight="1" spans="1:18">
      <c r="A413" s="103">
        <v>1</v>
      </c>
      <c r="B413" s="102" t="s">
        <v>2191</v>
      </c>
      <c r="C413" s="103" t="s">
        <v>3507</v>
      </c>
      <c r="D413" s="103" t="s">
        <v>8584</v>
      </c>
      <c r="E413" s="104" t="s">
        <v>3507</v>
      </c>
      <c r="F413" s="102" t="s">
        <v>8585</v>
      </c>
      <c r="G413" s="101" t="s">
        <v>1103</v>
      </c>
      <c r="H413" s="105">
        <v>44927</v>
      </c>
      <c r="I413" s="101">
        <f>IFERROR(VLOOKUP(B413,'02. MM-KLH'!$B:$K,9,FALSE),"")</f>
        <v>44927</v>
      </c>
      <c r="J413" s="107">
        <v>0.97</v>
      </c>
      <c r="K413" s="108" t="s">
        <v>1850</v>
      </c>
      <c r="L413" s="109" t="s">
        <v>621</v>
      </c>
      <c r="M413" s="110" t="s">
        <v>500</v>
      </c>
      <c r="N413" s="101">
        <v>2017</v>
      </c>
      <c r="O413" s="101" t="s">
        <v>8586</v>
      </c>
      <c r="P413" s="101" t="s">
        <v>146</v>
      </c>
      <c r="Q413" s="110" t="s">
        <v>2193</v>
      </c>
      <c r="R413" s="111" t="s">
        <v>2194</v>
      </c>
    </row>
    <row r="414" ht="13.5" customHeight="1" spans="1:18">
      <c r="A414" s="103">
        <v>2</v>
      </c>
      <c r="B414" s="102" t="s">
        <v>3218</v>
      </c>
      <c r="C414" s="103" t="s">
        <v>3219</v>
      </c>
      <c r="D414" s="103" t="s">
        <v>8587</v>
      </c>
      <c r="E414" s="104" t="s">
        <v>3219</v>
      </c>
      <c r="F414" s="102" t="s">
        <v>8585</v>
      </c>
      <c r="G414" s="101" t="s">
        <v>1103</v>
      </c>
      <c r="H414" s="105">
        <v>44927</v>
      </c>
      <c r="I414" s="101">
        <f>IFERROR(VLOOKUP(B414,'02. MM-KLH'!$B:$K,9,FALSE),"")</f>
        <v>44927</v>
      </c>
      <c r="J414" s="107">
        <v>0.97</v>
      </c>
      <c r="K414" s="108" t="s">
        <v>1850</v>
      </c>
      <c r="L414" s="109" t="s">
        <v>621</v>
      </c>
      <c r="M414" s="110" t="s">
        <v>500</v>
      </c>
      <c r="N414" s="101">
        <v>2017</v>
      </c>
      <c r="O414" s="101" t="s">
        <v>8586</v>
      </c>
      <c r="P414" s="101" t="s">
        <v>146</v>
      </c>
      <c r="Q414" s="110" t="s">
        <v>3223</v>
      </c>
      <c r="R414" s="111" t="s">
        <v>3224</v>
      </c>
    </row>
    <row r="415" ht="13.5" customHeight="1" spans="1:18">
      <c r="A415" s="103">
        <v>3</v>
      </c>
      <c r="B415" s="102" t="s">
        <v>2195</v>
      </c>
      <c r="C415" s="103" t="s">
        <v>3509</v>
      </c>
      <c r="D415" s="103" t="s">
        <v>8588</v>
      </c>
      <c r="E415" s="104" t="s">
        <v>3509</v>
      </c>
      <c r="F415" s="102" t="s">
        <v>8585</v>
      </c>
      <c r="G415" s="101" t="s">
        <v>1103</v>
      </c>
      <c r="H415" s="105">
        <v>45261</v>
      </c>
      <c r="I415" s="101">
        <f>IFERROR(VLOOKUP(B415,'02. MM-KLH'!$B:$K,9,FALSE),"")</f>
        <v>45261</v>
      </c>
      <c r="J415" s="107">
        <v>0.97</v>
      </c>
      <c r="K415" s="108" t="s">
        <v>1850</v>
      </c>
      <c r="L415" s="109" t="s">
        <v>621</v>
      </c>
      <c r="M415" s="110" t="s">
        <v>500</v>
      </c>
      <c r="N415" s="101">
        <v>2017</v>
      </c>
      <c r="O415" s="101" t="s">
        <v>8586</v>
      </c>
      <c r="P415" s="101" t="s">
        <v>146</v>
      </c>
      <c r="Q415" s="110" t="s">
        <v>2196</v>
      </c>
      <c r="R415" s="111" t="s">
        <v>2197</v>
      </c>
    </row>
    <row r="416" ht="13.5" customHeight="1" spans="1:18">
      <c r="A416" s="103">
        <v>4</v>
      </c>
      <c r="B416" s="102" t="s">
        <v>2198</v>
      </c>
      <c r="C416" s="103" t="s">
        <v>3510</v>
      </c>
      <c r="D416" s="103" t="s">
        <v>8589</v>
      </c>
      <c r="E416" s="104" t="s">
        <v>3510</v>
      </c>
      <c r="F416" s="102" t="s">
        <v>8585</v>
      </c>
      <c r="G416" s="101" t="s">
        <v>1103</v>
      </c>
      <c r="H416" s="105">
        <v>45261</v>
      </c>
      <c r="I416" s="101">
        <f>IFERROR(VLOOKUP(B416,'02. MM-KLH'!$B:$K,9,FALSE),"")</f>
        <v>45261</v>
      </c>
      <c r="J416" s="107">
        <v>0.97</v>
      </c>
      <c r="K416" s="108" t="s">
        <v>1850</v>
      </c>
      <c r="L416" s="109" t="s">
        <v>621</v>
      </c>
      <c r="M416" s="110" t="s">
        <v>500</v>
      </c>
      <c r="N416" s="101">
        <v>2017</v>
      </c>
      <c r="O416" s="101" t="s">
        <v>8586</v>
      </c>
      <c r="P416" s="101" t="s">
        <v>146</v>
      </c>
      <c r="Q416" s="110" t="s">
        <v>2199</v>
      </c>
      <c r="R416" s="111" t="s">
        <v>2200</v>
      </c>
    </row>
    <row r="417" ht="13.5" customHeight="1" spans="1:18">
      <c r="A417" s="103">
        <v>5</v>
      </c>
      <c r="B417" s="102" t="s">
        <v>2201</v>
      </c>
      <c r="C417" s="103" t="s">
        <v>6689</v>
      </c>
      <c r="D417" s="103" t="s">
        <v>6689</v>
      </c>
      <c r="E417" s="104"/>
      <c r="F417" s="102" t="s">
        <v>8585</v>
      </c>
      <c r="G417" s="101" t="s">
        <v>1103</v>
      </c>
      <c r="H417" s="105">
        <v>45569</v>
      </c>
      <c r="I417" s="101">
        <f>IFERROR(VLOOKUP(B417,'02. MM-KLH'!$B:$K,9,FALSE),"")</f>
        <v>45569</v>
      </c>
      <c r="J417" s="101"/>
      <c r="K417" s="108"/>
      <c r="L417" s="109" t="s">
        <v>621</v>
      </c>
      <c r="M417" s="110" t="s">
        <v>500</v>
      </c>
      <c r="N417" s="101">
        <v>2017</v>
      </c>
      <c r="O417" s="101" t="s">
        <v>8586</v>
      </c>
      <c r="P417" s="101" t="s">
        <v>146</v>
      </c>
      <c r="Q417" s="110" t="s">
        <v>2202</v>
      </c>
      <c r="R417" s="111" t="s">
        <v>2203</v>
      </c>
    </row>
    <row r="418" ht="13.5" customHeight="1" spans="1:18">
      <c r="A418" s="96" t="s">
        <v>8590</v>
      </c>
      <c r="B418" s="97" t="s">
        <v>8591</v>
      </c>
      <c r="C418" s="96"/>
      <c r="D418" s="96"/>
      <c r="E418" s="97"/>
      <c r="F418" s="96"/>
      <c r="G418" s="97"/>
      <c r="H418" s="98"/>
      <c r="I418" s="98" t="str">
        <f>IFERROR(VLOOKUP(B418,'02. MM-KLH'!$B:$K,9,FALSE),"")</f>
        <v/>
      </c>
      <c r="J418" s="96"/>
      <c r="K418" s="99"/>
      <c r="L418" s="100"/>
      <c r="M418" s="97"/>
      <c r="N418" s="97"/>
      <c r="O418" s="97"/>
      <c r="P418" s="97"/>
      <c r="Q418" s="97"/>
      <c r="R418" s="97"/>
    </row>
    <row r="419" ht="13.5" customHeight="1" spans="1:18">
      <c r="A419" s="103">
        <v>1</v>
      </c>
      <c r="B419" s="102" t="s">
        <v>2204</v>
      </c>
      <c r="C419" s="103" t="s">
        <v>3492</v>
      </c>
      <c r="D419" s="103" t="s">
        <v>8592</v>
      </c>
      <c r="E419" s="104" t="s">
        <v>3492</v>
      </c>
      <c r="F419" s="102" t="s">
        <v>233</v>
      </c>
      <c r="G419" s="101" t="s">
        <v>1103</v>
      </c>
      <c r="H419" s="105">
        <v>45261</v>
      </c>
      <c r="I419" s="101">
        <f>IFERROR(VLOOKUP(B419,'02. MM-KLH'!$B:$K,9,FALSE),"")</f>
        <v>45261</v>
      </c>
      <c r="J419" s="107">
        <v>0.97</v>
      </c>
      <c r="K419" s="108"/>
      <c r="L419" s="109" t="s">
        <v>621</v>
      </c>
      <c r="M419" s="110" t="s">
        <v>500</v>
      </c>
      <c r="N419" s="101">
        <v>2022</v>
      </c>
      <c r="O419" s="101" t="s">
        <v>8593</v>
      </c>
      <c r="P419" s="101" t="s">
        <v>48</v>
      </c>
      <c r="Q419" s="110" t="s">
        <v>2246</v>
      </c>
      <c r="R419" s="111" t="s">
        <v>2207</v>
      </c>
    </row>
    <row r="420" ht="13.5" customHeight="1" spans="1:18">
      <c r="A420" s="103">
        <v>2</v>
      </c>
      <c r="B420" s="102" t="s">
        <v>2208</v>
      </c>
      <c r="C420" s="103" t="s">
        <v>3494</v>
      </c>
      <c r="D420" s="103" t="s">
        <v>8594</v>
      </c>
      <c r="E420" s="104" t="s">
        <v>3494</v>
      </c>
      <c r="F420" s="102" t="s">
        <v>233</v>
      </c>
      <c r="G420" s="101" t="s">
        <v>1103</v>
      </c>
      <c r="H420" s="105">
        <v>45261</v>
      </c>
      <c r="I420" s="101">
        <f>IFERROR(VLOOKUP(B420,'02. MM-KLH'!$B:$K,9,FALSE),"")</f>
        <v>45261</v>
      </c>
      <c r="J420" s="107">
        <v>0.97</v>
      </c>
      <c r="K420" s="108"/>
      <c r="L420" s="109" t="s">
        <v>621</v>
      </c>
      <c r="M420" s="110" t="s">
        <v>500</v>
      </c>
      <c r="N420" s="101">
        <v>2023</v>
      </c>
      <c r="O420" s="101" t="s">
        <v>8593</v>
      </c>
      <c r="P420" s="101" t="s">
        <v>48</v>
      </c>
      <c r="Q420" s="110" t="s">
        <v>2209</v>
      </c>
      <c r="R420" s="111" t="s">
        <v>2210</v>
      </c>
    </row>
    <row r="421" ht="13.5" customHeight="1" spans="1:18">
      <c r="A421" s="103">
        <v>3</v>
      </c>
      <c r="B421" s="102" t="s">
        <v>2211</v>
      </c>
      <c r="C421" s="103" t="s">
        <v>3495</v>
      </c>
      <c r="D421" s="103" t="s">
        <v>8595</v>
      </c>
      <c r="E421" s="104" t="s">
        <v>3495</v>
      </c>
      <c r="F421" s="102" t="s">
        <v>233</v>
      </c>
      <c r="G421" s="101" t="s">
        <v>1103</v>
      </c>
      <c r="H421" s="105">
        <v>45261</v>
      </c>
      <c r="I421" s="101">
        <f>IFERROR(VLOOKUP(B421,'02. MM-KLH'!$B:$K,9,FALSE),"")</f>
        <v>45261</v>
      </c>
      <c r="J421" s="107">
        <v>0.97</v>
      </c>
      <c r="K421" s="108"/>
      <c r="L421" s="109" t="s">
        <v>621</v>
      </c>
      <c r="M421" s="110" t="s">
        <v>500</v>
      </c>
      <c r="N421" s="101">
        <v>2023</v>
      </c>
      <c r="O421" s="101" t="s">
        <v>8593</v>
      </c>
      <c r="P421" s="101" t="s">
        <v>48</v>
      </c>
      <c r="Q421" s="1097" t="s">
        <v>2213</v>
      </c>
      <c r="R421" s="111" t="s">
        <v>2214</v>
      </c>
    </row>
    <row r="422" ht="13.5" customHeight="1" spans="1:18">
      <c r="A422" s="103">
        <v>4</v>
      </c>
      <c r="B422" s="102" t="s">
        <v>2215</v>
      </c>
      <c r="C422" s="103" t="s">
        <v>3496</v>
      </c>
      <c r="D422" s="103" t="s">
        <v>8596</v>
      </c>
      <c r="E422" s="104" t="s">
        <v>3496</v>
      </c>
      <c r="F422" s="102" t="s">
        <v>233</v>
      </c>
      <c r="G422" s="101" t="s">
        <v>1103</v>
      </c>
      <c r="H422" s="105">
        <v>45261</v>
      </c>
      <c r="I422" s="101">
        <f>IFERROR(VLOOKUP(B422,'02. MM-KLH'!$B:$K,9,FALSE),"")</f>
        <v>45261</v>
      </c>
      <c r="J422" s="107">
        <v>0.97</v>
      </c>
      <c r="K422" s="108"/>
      <c r="L422" s="109" t="s">
        <v>621</v>
      </c>
      <c r="M422" s="110" t="s">
        <v>500</v>
      </c>
      <c r="N422" s="101">
        <v>2023</v>
      </c>
      <c r="O422" s="101" t="s">
        <v>8593</v>
      </c>
      <c r="P422" s="101" t="s">
        <v>48</v>
      </c>
      <c r="Q422" s="110" t="s">
        <v>2216</v>
      </c>
      <c r="R422" s="111" t="s">
        <v>2217</v>
      </c>
    </row>
    <row r="423" ht="13.5" customHeight="1" spans="1:18">
      <c r="A423" s="103">
        <v>5</v>
      </c>
      <c r="B423" s="102" t="s">
        <v>2218</v>
      </c>
      <c r="C423" s="103" t="s">
        <v>3497</v>
      </c>
      <c r="D423" s="103" t="s">
        <v>8597</v>
      </c>
      <c r="E423" s="104" t="s">
        <v>3497</v>
      </c>
      <c r="F423" s="102" t="s">
        <v>233</v>
      </c>
      <c r="G423" s="101" t="s">
        <v>1103</v>
      </c>
      <c r="H423" s="105" t="s">
        <v>2219</v>
      </c>
      <c r="I423" s="101" t="str">
        <f>IFERROR(VLOOKUP(B423,'02. MM-KLH'!$B:$K,9,FALSE),"")</f>
        <v>25/11/2023</v>
      </c>
      <c r="J423" s="107">
        <v>0.97</v>
      </c>
      <c r="K423" s="108" t="s">
        <v>1146</v>
      </c>
      <c r="L423" s="109" t="s">
        <v>621</v>
      </c>
      <c r="M423" s="110" t="s">
        <v>500</v>
      </c>
      <c r="N423" s="101">
        <v>2023</v>
      </c>
      <c r="O423" s="101" t="s">
        <v>8593</v>
      </c>
      <c r="P423" s="101" t="s">
        <v>48</v>
      </c>
      <c r="Q423" s="110" t="s">
        <v>2220</v>
      </c>
      <c r="R423" s="111" t="s">
        <v>2221</v>
      </c>
    </row>
    <row r="424" ht="13.5" customHeight="1" spans="1:18">
      <c r="A424" s="103">
        <v>6</v>
      </c>
      <c r="B424" s="102" t="s">
        <v>2222</v>
      </c>
      <c r="C424" s="103" t="s">
        <v>3498</v>
      </c>
      <c r="D424" s="103" t="s">
        <v>8598</v>
      </c>
      <c r="E424" s="104" t="s">
        <v>3498</v>
      </c>
      <c r="F424" s="102" t="s">
        <v>233</v>
      </c>
      <c r="G424" s="101" t="s">
        <v>1103</v>
      </c>
      <c r="H424" s="105" t="s">
        <v>2219</v>
      </c>
      <c r="I424" s="101" t="str">
        <f>IFERROR(VLOOKUP(B424,'02. MM-KLH'!$B:$K,9,FALSE),"")</f>
        <v>25/11/2023</v>
      </c>
      <c r="J424" s="107">
        <v>0.97</v>
      </c>
      <c r="K424" s="108" t="s">
        <v>1146</v>
      </c>
      <c r="L424" s="109" t="s">
        <v>621</v>
      </c>
      <c r="M424" s="110" t="s">
        <v>500</v>
      </c>
      <c r="N424" s="101">
        <v>2023</v>
      </c>
      <c r="O424" s="101" t="s">
        <v>8593</v>
      </c>
      <c r="P424" s="101" t="s">
        <v>48</v>
      </c>
      <c r="Q424" s="110" t="s">
        <v>2223</v>
      </c>
      <c r="R424" s="111" t="s">
        <v>2224</v>
      </c>
    </row>
    <row r="425" ht="13.5" customHeight="1" spans="1:18">
      <c r="A425" s="96" t="s">
        <v>8599</v>
      </c>
      <c r="B425" s="97" t="s">
        <v>8600</v>
      </c>
      <c r="C425" s="96"/>
      <c r="D425" s="96"/>
      <c r="E425" s="97"/>
      <c r="F425" s="96"/>
      <c r="G425" s="97"/>
      <c r="H425" s="98"/>
      <c r="I425" s="98" t="str">
        <f>IFERROR(VLOOKUP(B425,'02. MM-KLH'!$B:$K,9,FALSE),"")</f>
        <v/>
      </c>
      <c r="J425" s="96"/>
      <c r="K425" s="99"/>
      <c r="L425" s="100"/>
      <c r="M425" s="97"/>
      <c r="N425" s="97"/>
      <c r="O425" s="97"/>
      <c r="P425" s="97"/>
      <c r="Q425" s="97"/>
      <c r="R425" s="97"/>
    </row>
    <row r="426" ht="13.5" customHeight="1" spans="1:18">
      <c r="A426" s="103">
        <v>1</v>
      </c>
      <c r="B426" s="102" t="s">
        <v>2245</v>
      </c>
      <c r="C426" s="103" t="s">
        <v>3500</v>
      </c>
      <c r="D426" s="103" t="s">
        <v>8601</v>
      </c>
      <c r="E426" s="104" t="s">
        <v>3500</v>
      </c>
      <c r="F426" s="102" t="s">
        <v>8602</v>
      </c>
      <c r="G426" s="101" t="s">
        <v>1103</v>
      </c>
      <c r="H426" s="105">
        <v>45261</v>
      </c>
      <c r="I426" s="101">
        <f>IFERROR(VLOOKUP(B426,'02. MM-KLH'!$B:$K,9,FALSE),"")</f>
        <v>45261</v>
      </c>
      <c r="J426" s="107">
        <v>0.97</v>
      </c>
      <c r="K426" s="108"/>
      <c r="L426" s="109" t="s">
        <v>621</v>
      </c>
      <c r="M426" s="110" t="s">
        <v>500</v>
      </c>
      <c r="N426" s="101">
        <v>2022</v>
      </c>
      <c r="O426" s="101" t="s">
        <v>8593</v>
      </c>
      <c r="P426" s="101" t="s">
        <v>48</v>
      </c>
      <c r="Q426" s="110" t="s">
        <v>2206</v>
      </c>
      <c r="R426" s="111" t="s">
        <v>2247</v>
      </c>
    </row>
    <row r="427" ht="13.5" customHeight="1" spans="1:18">
      <c r="A427" s="103">
        <v>2</v>
      </c>
      <c r="B427" s="102" t="s">
        <v>2248</v>
      </c>
      <c r="C427" s="103" t="s">
        <v>3501</v>
      </c>
      <c r="D427" s="103" t="s">
        <v>8603</v>
      </c>
      <c r="E427" s="104" t="s">
        <v>3501</v>
      </c>
      <c r="F427" s="102" t="s">
        <v>8602</v>
      </c>
      <c r="G427" s="101" t="s">
        <v>1103</v>
      </c>
      <c r="H427" s="105">
        <v>45261</v>
      </c>
      <c r="I427" s="101">
        <f>IFERROR(VLOOKUP(B427,'02. MM-KLH'!$B:$K,9,FALSE),"")</f>
        <v>45261</v>
      </c>
      <c r="J427" s="107">
        <v>0.97</v>
      </c>
      <c r="K427" s="108"/>
      <c r="L427" s="109" t="s">
        <v>621</v>
      </c>
      <c r="M427" s="110" t="s">
        <v>500</v>
      </c>
      <c r="N427" s="101">
        <v>2022</v>
      </c>
      <c r="O427" s="101" t="s">
        <v>8593</v>
      </c>
      <c r="P427" s="101" t="s">
        <v>48</v>
      </c>
      <c r="Q427" s="110" t="s">
        <v>2249</v>
      </c>
      <c r="R427" s="111" t="s">
        <v>2250</v>
      </c>
    </row>
    <row r="428" ht="13.5" customHeight="1" spans="1:18">
      <c r="A428" s="103">
        <v>3</v>
      </c>
      <c r="B428" s="102" t="s">
        <v>2251</v>
      </c>
      <c r="C428" s="103" t="s">
        <v>3502</v>
      </c>
      <c r="D428" s="103" t="s">
        <v>8604</v>
      </c>
      <c r="E428" s="104" t="s">
        <v>3502</v>
      </c>
      <c r="F428" s="102" t="s">
        <v>8602</v>
      </c>
      <c r="G428" s="101" t="s">
        <v>1103</v>
      </c>
      <c r="H428" s="105">
        <v>45261</v>
      </c>
      <c r="I428" s="101">
        <f>IFERROR(VLOOKUP(B428,'02. MM-KLH'!$B:$K,9,FALSE),"")</f>
        <v>45261</v>
      </c>
      <c r="J428" s="107">
        <v>0.97</v>
      </c>
      <c r="K428" s="108"/>
      <c r="L428" s="109" t="s">
        <v>621</v>
      </c>
      <c r="M428" s="110" t="s">
        <v>500</v>
      </c>
      <c r="N428" s="101">
        <v>2022</v>
      </c>
      <c r="O428" s="101" t="s">
        <v>8593</v>
      </c>
      <c r="P428" s="101" t="s">
        <v>48</v>
      </c>
      <c r="Q428" s="110" t="s">
        <v>2252</v>
      </c>
      <c r="R428" s="111" t="s">
        <v>2253</v>
      </c>
    </row>
    <row r="429" ht="13.5" customHeight="1" spans="1:18">
      <c r="A429" s="103">
        <v>4</v>
      </c>
      <c r="B429" s="102" t="s">
        <v>2254</v>
      </c>
      <c r="C429" s="103" t="s">
        <v>3503</v>
      </c>
      <c r="D429" s="103" t="s">
        <v>8605</v>
      </c>
      <c r="E429" s="104" t="s">
        <v>3503</v>
      </c>
      <c r="F429" s="102" t="s">
        <v>8602</v>
      </c>
      <c r="G429" s="101" t="s">
        <v>1103</v>
      </c>
      <c r="H429" s="105">
        <v>45261</v>
      </c>
      <c r="I429" s="101">
        <f>IFERROR(VLOOKUP(B429,'02. MM-KLH'!$B:$K,9,FALSE),"")</f>
        <v>45261</v>
      </c>
      <c r="J429" s="107">
        <v>0.97</v>
      </c>
      <c r="K429" s="108"/>
      <c r="L429" s="109" t="s">
        <v>621</v>
      </c>
      <c r="M429" s="110" t="s">
        <v>500</v>
      </c>
      <c r="N429" s="101">
        <v>2022</v>
      </c>
      <c r="O429" s="101" t="s">
        <v>8593</v>
      </c>
      <c r="P429" s="101" t="s">
        <v>48</v>
      </c>
      <c r="Q429" s="110" t="s">
        <v>2255</v>
      </c>
      <c r="R429" s="111" t="s">
        <v>2256</v>
      </c>
    </row>
    <row r="430" ht="13.5" customHeight="1" spans="1:18">
      <c r="A430" s="103">
        <v>5</v>
      </c>
      <c r="B430" s="102" t="s">
        <v>2257</v>
      </c>
      <c r="C430" s="103" t="s">
        <v>3504</v>
      </c>
      <c r="D430" s="103" t="s">
        <v>8606</v>
      </c>
      <c r="E430" s="104" t="s">
        <v>3504</v>
      </c>
      <c r="F430" s="102" t="s">
        <v>8607</v>
      </c>
      <c r="G430" s="101" t="s">
        <v>1103</v>
      </c>
      <c r="H430" s="101" t="s">
        <v>2219</v>
      </c>
      <c r="I430" s="101" t="str">
        <f>IFERROR(VLOOKUP(B430,'02. MM-KLH'!$B:$K,9,FALSE),"")</f>
        <v>25/11/2023</v>
      </c>
      <c r="J430" s="107">
        <v>0.97</v>
      </c>
      <c r="K430" s="108"/>
      <c r="L430" s="109" t="s">
        <v>621</v>
      </c>
      <c r="M430" s="110" t="s">
        <v>500</v>
      </c>
      <c r="N430" s="101">
        <v>2023</v>
      </c>
      <c r="O430" s="101" t="s">
        <v>8593</v>
      </c>
      <c r="P430" s="101" t="s">
        <v>48</v>
      </c>
      <c r="Q430" s="110" t="s">
        <v>2258</v>
      </c>
      <c r="R430" s="111" t="s">
        <v>2259</v>
      </c>
    </row>
    <row r="431" ht="13.5" customHeight="1" spans="1:18">
      <c r="A431" s="103">
        <v>6</v>
      </c>
      <c r="B431" s="102" t="s">
        <v>2260</v>
      </c>
      <c r="C431" s="103" t="s">
        <v>3505</v>
      </c>
      <c r="D431" s="103" t="s">
        <v>8608</v>
      </c>
      <c r="E431" s="104" t="s">
        <v>3505</v>
      </c>
      <c r="F431" s="102" t="s">
        <v>8607</v>
      </c>
      <c r="G431" s="101" t="s">
        <v>1103</v>
      </c>
      <c r="H431" s="101" t="s">
        <v>2219</v>
      </c>
      <c r="I431" s="101" t="str">
        <f>IFERROR(VLOOKUP(B431,'02. MM-KLH'!$B:$K,9,FALSE),"")</f>
        <v>25/11/2023</v>
      </c>
      <c r="J431" s="107">
        <v>0.97</v>
      </c>
      <c r="K431" s="108" t="s">
        <v>1146</v>
      </c>
      <c r="L431" s="109" t="s">
        <v>621</v>
      </c>
      <c r="M431" s="110" t="s">
        <v>500</v>
      </c>
      <c r="N431" s="101">
        <v>2023</v>
      </c>
      <c r="O431" s="101" t="s">
        <v>8593</v>
      </c>
      <c r="P431" s="101" t="s">
        <v>48</v>
      </c>
      <c r="Q431" s="110" t="s">
        <v>2261</v>
      </c>
      <c r="R431" s="111" t="s">
        <v>2262</v>
      </c>
    </row>
    <row r="432" ht="13.5" customHeight="1" spans="1:18">
      <c r="A432" s="103">
        <v>7</v>
      </c>
      <c r="B432" s="102" t="s">
        <v>2997</v>
      </c>
      <c r="C432" s="103" t="s">
        <v>2998</v>
      </c>
      <c r="D432" s="103" t="s">
        <v>8609</v>
      </c>
      <c r="E432" s="104" t="s">
        <v>2998</v>
      </c>
      <c r="F432" s="102" t="s">
        <v>8607</v>
      </c>
      <c r="G432" s="101" t="s">
        <v>1103</v>
      </c>
      <c r="H432" s="101" t="s">
        <v>2219</v>
      </c>
      <c r="I432" s="101" t="str">
        <f>IFERROR(VLOOKUP(B432,'02. MM-KLH'!$B:$K,9,FALSE),"")</f>
        <v/>
      </c>
      <c r="J432" s="107">
        <v>0.97</v>
      </c>
      <c r="K432" s="108" t="s">
        <v>1146</v>
      </c>
      <c r="L432" s="109" t="s">
        <v>621</v>
      </c>
      <c r="M432" s="110" t="s">
        <v>500</v>
      </c>
      <c r="N432" s="101">
        <v>2023</v>
      </c>
      <c r="O432" s="101" t="s">
        <v>8593</v>
      </c>
      <c r="P432" s="101" t="s">
        <v>48</v>
      </c>
      <c r="Q432" s="110" t="s">
        <v>3002</v>
      </c>
      <c r="R432" s="111" t="s">
        <v>3003</v>
      </c>
    </row>
    <row r="433" ht="13.5" customHeight="1" spans="1:18">
      <c r="A433" s="96" t="s">
        <v>8610</v>
      </c>
      <c r="B433" s="97" t="s">
        <v>288</v>
      </c>
      <c r="C433" s="96"/>
      <c r="D433" s="96"/>
      <c r="E433" s="97"/>
      <c r="F433" s="96"/>
      <c r="G433" s="97"/>
      <c r="H433" s="98"/>
      <c r="I433" s="98" t="str">
        <f>IFERROR(VLOOKUP(B433,'02. MM-KLH'!$B:$K,9,FALSE),"")</f>
        <v/>
      </c>
      <c r="J433" s="96"/>
      <c r="K433" s="99"/>
      <c r="L433" s="100"/>
      <c r="M433" s="97"/>
      <c r="N433" s="97"/>
      <c r="O433" s="97"/>
      <c r="P433" s="97"/>
      <c r="Q433" s="97"/>
      <c r="R433" s="97"/>
    </row>
    <row r="434" ht="13.5" customHeight="1" spans="1:18">
      <c r="A434" s="103">
        <v>1</v>
      </c>
      <c r="B434" s="102" t="s">
        <v>2414</v>
      </c>
      <c r="C434" s="103" t="s">
        <v>3406</v>
      </c>
      <c r="D434" s="103" t="s">
        <v>6712</v>
      </c>
      <c r="E434" s="104" t="s">
        <v>3406</v>
      </c>
      <c r="F434" s="102" t="s">
        <v>288</v>
      </c>
      <c r="G434" s="101" t="s">
        <v>1103</v>
      </c>
      <c r="H434" s="105">
        <v>44938</v>
      </c>
      <c r="I434" s="101">
        <f>IFERROR(VLOOKUP(B434,'02. MM-KLH'!$B:$K,9,FALSE),"")</f>
        <v>44938</v>
      </c>
      <c r="J434" s="107">
        <v>0.93</v>
      </c>
      <c r="K434" s="108" t="s">
        <v>1146</v>
      </c>
      <c r="L434" s="109" t="s">
        <v>2415</v>
      </c>
      <c r="M434" s="110" t="s">
        <v>500</v>
      </c>
      <c r="N434" s="101">
        <v>2020</v>
      </c>
      <c r="O434" s="101" t="s">
        <v>2416</v>
      </c>
      <c r="P434" s="101" t="s">
        <v>219</v>
      </c>
      <c r="Q434" s="110" t="s">
        <v>2417</v>
      </c>
      <c r="R434" s="111" t="s">
        <v>462</v>
      </c>
    </row>
    <row r="435" ht="13.5" customHeight="1" spans="1:18">
      <c r="A435" s="103">
        <v>2</v>
      </c>
      <c r="B435" s="102" t="s">
        <v>2418</v>
      </c>
      <c r="C435" s="103" t="s">
        <v>3408</v>
      </c>
      <c r="D435" s="103" t="s">
        <v>6713</v>
      </c>
      <c r="E435" s="104" t="s">
        <v>3408</v>
      </c>
      <c r="F435" s="102" t="s">
        <v>288</v>
      </c>
      <c r="G435" s="101" t="s">
        <v>1103</v>
      </c>
      <c r="H435" s="101" t="s">
        <v>2419</v>
      </c>
      <c r="I435" s="101" t="str">
        <f>IFERROR(VLOOKUP(B435,'02. MM-KLH'!$B:$K,9,FALSE),"")</f>
        <v>26/12/2023</v>
      </c>
      <c r="J435" s="107">
        <v>0.95</v>
      </c>
      <c r="K435" s="108" t="s">
        <v>1146</v>
      </c>
      <c r="L435" s="109" t="s">
        <v>2415</v>
      </c>
      <c r="M435" s="110" t="s">
        <v>500</v>
      </c>
      <c r="N435" s="101">
        <v>2020</v>
      </c>
      <c r="O435" s="101" t="s">
        <v>2416</v>
      </c>
      <c r="P435" s="101" t="s">
        <v>219</v>
      </c>
      <c r="Q435" s="110" t="s">
        <v>2420</v>
      </c>
      <c r="R435" s="111" t="s">
        <v>462</v>
      </c>
    </row>
    <row r="436" ht="13.5" customHeight="1" spans="1:18">
      <c r="A436" s="103">
        <v>3</v>
      </c>
      <c r="B436" s="102" t="s">
        <v>2701</v>
      </c>
      <c r="C436" s="103" t="s">
        <v>3409</v>
      </c>
      <c r="D436" s="101" t="s">
        <v>6712</v>
      </c>
      <c r="E436" s="102" t="s">
        <v>3409</v>
      </c>
      <c r="F436" s="102" t="s">
        <v>288</v>
      </c>
      <c r="G436" s="101" t="s">
        <v>34</v>
      </c>
      <c r="H436" s="105">
        <v>44936</v>
      </c>
      <c r="I436" s="101">
        <f>IFERROR(VLOOKUP(B436,'02. MM-KLH'!$B:$K,9,FALSE),"")</f>
        <v>44936</v>
      </c>
      <c r="J436" s="107">
        <v>0.95</v>
      </c>
      <c r="K436" s="108"/>
      <c r="L436" s="109" t="s">
        <v>2415</v>
      </c>
      <c r="M436" s="110" t="s">
        <v>500</v>
      </c>
      <c r="N436" s="101"/>
      <c r="O436" s="101" t="s">
        <v>2703</v>
      </c>
      <c r="P436" s="101" t="s">
        <v>48</v>
      </c>
      <c r="Q436" s="110" t="s">
        <v>2704</v>
      </c>
      <c r="R436" s="111" t="s">
        <v>462</v>
      </c>
    </row>
    <row r="437" ht="13.5" customHeight="1" spans="1:18">
      <c r="A437" s="103">
        <v>4</v>
      </c>
      <c r="B437" s="102" t="s">
        <v>2705</v>
      </c>
      <c r="C437" s="103" t="s">
        <v>3410</v>
      </c>
      <c r="D437" s="101" t="s">
        <v>6713</v>
      </c>
      <c r="E437" s="102" t="s">
        <v>3410</v>
      </c>
      <c r="F437" s="102" t="s">
        <v>288</v>
      </c>
      <c r="G437" s="101" t="s">
        <v>34</v>
      </c>
      <c r="H437" s="101" t="s">
        <v>2706</v>
      </c>
      <c r="I437" s="101" t="str">
        <f>IFERROR(VLOOKUP(B437,'02. MM-KLH'!$B:$K,9,FALSE),"")</f>
        <v>14/11/2023</v>
      </c>
      <c r="J437" s="107">
        <v>0.94</v>
      </c>
      <c r="K437" s="108"/>
      <c r="L437" s="109" t="s">
        <v>2415</v>
      </c>
      <c r="M437" s="110" t="s">
        <v>500</v>
      </c>
      <c r="N437" s="101"/>
      <c r="O437" s="101" t="s">
        <v>2703</v>
      </c>
      <c r="P437" s="101" t="s">
        <v>48</v>
      </c>
      <c r="Q437" s="110" t="s">
        <v>2707</v>
      </c>
      <c r="R437" s="111" t="s">
        <v>462</v>
      </c>
    </row>
    <row r="438" ht="13.5" customHeight="1" spans="1:18">
      <c r="A438" s="103">
        <v>5</v>
      </c>
      <c r="B438" s="102" t="s">
        <v>2708</v>
      </c>
      <c r="C438" s="103" t="s">
        <v>3411</v>
      </c>
      <c r="D438" s="101" t="s">
        <v>6714</v>
      </c>
      <c r="E438" s="102" t="s">
        <v>3411</v>
      </c>
      <c r="F438" s="102" t="s">
        <v>288</v>
      </c>
      <c r="G438" s="101" t="s">
        <v>34</v>
      </c>
      <c r="H438" s="101" t="s">
        <v>2706</v>
      </c>
      <c r="I438" s="101" t="str">
        <f>IFERROR(VLOOKUP(B438,'02. MM-KLH'!$B:$K,9,FALSE),"")</f>
        <v>14/11/2023</v>
      </c>
      <c r="J438" s="107">
        <v>0.94</v>
      </c>
      <c r="K438" s="108"/>
      <c r="L438" s="109" t="s">
        <v>2415</v>
      </c>
      <c r="M438" s="110" t="s">
        <v>500</v>
      </c>
      <c r="N438" s="101"/>
      <c r="O438" s="101" t="s">
        <v>2703</v>
      </c>
      <c r="P438" s="101" t="s">
        <v>48</v>
      </c>
      <c r="Q438" s="110" t="s">
        <v>2709</v>
      </c>
      <c r="R438" s="111" t="s">
        <v>462</v>
      </c>
    </row>
    <row r="439" ht="13.5" customHeight="1" spans="1:18">
      <c r="A439" s="103">
        <v>6</v>
      </c>
      <c r="B439" s="102" t="s">
        <v>2710</v>
      </c>
      <c r="C439" s="103" t="s">
        <v>3412</v>
      </c>
      <c r="D439" s="101" t="s">
        <v>6738</v>
      </c>
      <c r="E439" s="104" t="s">
        <v>3412</v>
      </c>
      <c r="F439" s="102" t="s">
        <v>288</v>
      </c>
      <c r="G439" s="101" t="s">
        <v>34</v>
      </c>
      <c r="H439" s="105">
        <v>45474</v>
      </c>
      <c r="I439" s="101">
        <f>IFERROR(VLOOKUP(B439,'02. MM-KLH'!$B:$K,9,FALSE),"")</f>
        <v>45474</v>
      </c>
      <c r="J439" s="107">
        <v>0.98</v>
      </c>
      <c r="K439" s="108"/>
      <c r="L439" s="109" t="s">
        <v>2415</v>
      </c>
      <c r="M439" s="110" t="s">
        <v>500</v>
      </c>
      <c r="N439" s="101"/>
      <c r="O439" s="101" t="s">
        <v>2703</v>
      </c>
      <c r="P439" s="101" t="s">
        <v>48</v>
      </c>
      <c r="Q439" s="110" t="s">
        <v>2711</v>
      </c>
      <c r="R439" s="111" t="s">
        <v>462</v>
      </c>
    </row>
    <row r="440" ht="13.5" customHeight="1" spans="1:18">
      <c r="A440" s="103">
        <v>7</v>
      </c>
      <c r="B440" s="102" t="s">
        <v>2702</v>
      </c>
      <c r="C440" s="103" t="s">
        <v>3413</v>
      </c>
      <c r="D440" s="101" t="s">
        <v>6739</v>
      </c>
      <c r="E440" s="104" t="s">
        <v>3413</v>
      </c>
      <c r="F440" s="102" t="s">
        <v>288</v>
      </c>
      <c r="G440" s="101" t="s">
        <v>34</v>
      </c>
      <c r="H440" s="105">
        <v>45352</v>
      </c>
      <c r="I440" s="101">
        <f>IFERROR(VLOOKUP(B440,'02. MM-KLH'!$B:$K,9,FALSE),"")</f>
        <v>45352</v>
      </c>
      <c r="J440" s="107">
        <v>0.95</v>
      </c>
      <c r="K440" s="108"/>
      <c r="L440" s="109" t="s">
        <v>2415</v>
      </c>
      <c r="M440" s="110" t="s">
        <v>500</v>
      </c>
      <c r="N440" s="101"/>
      <c r="O440" s="101" t="s">
        <v>2703</v>
      </c>
      <c r="P440" s="101" t="s">
        <v>48</v>
      </c>
      <c r="Q440" s="110" t="s">
        <v>2712</v>
      </c>
      <c r="R440" s="111" t="s">
        <v>462</v>
      </c>
    </row>
    <row r="441" ht="13.5" customHeight="1" spans="1:18">
      <c r="A441" s="103">
        <v>8</v>
      </c>
      <c r="B441" s="102" t="s">
        <v>2713</v>
      </c>
      <c r="C441" s="103" t="s">
        <v>3414</v>
      </c>
      <c r="D441" s="101" t="s">
        <v>8611</v>
      </c>
      <c r="E441" s="104" t="s">
        <v>3414</v>
      </c>
      <c r="F441" s="102" t="s">
        <v>288</v>
      </c>
      <c r="G441" s="101" t="s">
        <v>34</v>
      </c>
      <c r="H441" s="105">
        <v>44936</v>
      </c>
      <c r="I441" s="101">
        <f>IFERROR(VLOOKUP(B441,'02. MM-KLH'!$B:$K,9,FALSE),"")</f>
        <v>44936</v>
      </c>
      <c r="J441" s="107">
        <v>0.95</v>
      </c>
      <c r="K441" s="108"/>
      <c r="L441" s="109" t="s">
        <v>2415</v>
      </c>
      <c r="M441" s="110" t="s">
        <v>500</v>
      </c>
      <c r="N441" s="101"/>
      <c r="O441" s="101" t="s">
        <v>2703</v>
      </c>
      <c r="P441" s="101" t="s">
        <v>48</v>
      </c>
      <c r="Q441" s="110" t="s">
        <v>2714</v>
      </c>
      <c r="R441" s="111" t="s">
        <v>462</v>
      </c>
    </row>
    <row r="442" ht="13.5" customHeight="1" spans="1:18">
      <c r="A442" s="103">
        <v>9</v>
      </c>
      <c r="B442" s="102" t="s">
        <v>2715</v>
      </c>
      <c r="C442" s="103" t="s">
        <v>6730</v>
      </c>
      <c r="D442" s="103"/>
      <c r="E442" s="104"/>
      <c r="F442" s="102" t="s">
        <v>288</v>
      </c>
      <c r="G442" s="101" t="s">
        <v>34</v>
      </c>
      <c r="H442" s="105"/>
      <c r="I442" s="101">
        <f>IFERROR(VLOOKUP(B442,'02. MM-KLH'!$B:$K,9,FALSE),"")</f>
        <v>0</v>
      </c>
      <c r="J442" s="101"/>
      <c r="K442" s="108"/>
      <c r="L442" s="109" t="s">
        <v>2716</v>
      </c>
      <c r="M442" s="110" t="s">
        <v>500</v>
      </c>
      <c r="N442" s="101"/>
      <c r="O442" s="101" t="s">
        <v>2703</v>
      </c>
      <c r="P442" s="101" t="s">
        <v>48</v>
      </c>
      <c r="Q442" s="110" t="s">
        <v>2717</v>
      </c>
      <c r="R442" s="111" t="s">
        <v>462</v>
      </c>
    </row>
    <row r="443" ht="13.5" customHeight="1" spans="1:18">
      <c r="A443" s="103">
        <v>10</v>
      </c>
      <c r="B443" s="102" t="s">
        <v>2718</v>
      </c>
      <c r="C443" s="103" t="s">
        <v>6731</v>
      </c>
      <c r="D443" s="103"/>
      <c r="E443" s="104"/>
      <c r="F443" s="102" t="s">
        <v>288</v>
      </c>
      <c r="G443" s="101" t="s">
        <v>34</v>
      </c>
      <c r="H443" s="105"/>
      <c r="I443" s="101">
        <f>IFERROR(VLOOKUP(B443,'02. MM-KLH'!$B:$K,9,FALSE),"")</f>
        <v>0</v>
      </c>
      <c r="J443" s="101"/>
      <c r="K443" s="108"/>
      <c r="L443" s="109" t="s">
        <v>2719</v>
      </c>
      <c r="M443" s="110"/>
      <c r="N443" s="101"/>
      <c r="O443" s="101" t="s">
        <v>2703</v>
      </c>
      <c r="P443" s="101" t="s">
        <v>48</v>
      </c>
      <c r="Q443" s="110" t="s">
        <v>2720</v>
      </c>
      <c r="R443" s="111" t="s">
        <v>462</v>
      </c>
    </row>
    <row r="444" ht="13.5" customHeight="1" spans="1:18">
      <c r="A444" s="103">
        <v>11</v>
      </c>
      <c r="B444" s="102" t="s">
        <v>2721</v>
      </c>
      <c r="C444" s="103" t="s">
        <v>6732</v>
      </c>
      <c r="D444" s="103"/>
      <c r="E444" s="104"/>
      <c r="F444" s="102" t="s">
        <v>288</v>
      </c>
      <c r="G444" s="101" t="s">
        <v>34</v>
      </c>
      <c r="H444" s="105"/>
      <c r="I444" s="101">
        <f>IFERROR(VLOOKUP(B444,'02. MM-KLH'!$B:$K,9,FALSE),"")</f>
        <v>0</v>
      </c>
      <c r="J444" s="101"/>
      <c r="K444" s="108"/>
      <c r="L444" s="109" t="s">
        <v>2719</v>
      </c>
      <c r="M444" s="110"/>
      <c r="N444" s="101"/>
      <c r="O444" s="101" t="s">
        <v>2703</v>
      </c>
      <c r="P444" s="101" t="s">
        <v>48</v>
      </c>
      <c r="Q444" s="110" t="s">
        <v>2722</v>
      </c>
      <c r="R444" s="111" t="s">
        <v>462</v>
      </c>
    </row>
    <row r="445" ht="13.5" customHeight="1" spans="1:18">
      <c r="A445" s="103">
        <v>12</v>
      </c>
      <c r="B445" s="102" t="s">
        <v>2618</v>
      </c>
      <c r="C445" s="103" t="s">
        <v>6712</v>
      </c>
      <c r="D445" s="103"/>
      <c r="E445" s="104"/>
      <c r="F445" s="102" t="s">
        <v>288</v>
      </c>
      <c r="G445" s="101" t="s">
        <v>30</v>
      </c>
      <c r="H445" s="105"/>
      <c r="I445" s="101">
        <f>IFERROR(VLOOKUP(B445,'02. MM-KLH'!$B:$K,9,FALSE),"")</f>
        <v>0</v>
      </c>
      <c r="J445" s="101"/>
      <c r="K445" s="108"/>
      <c r="L445" s="109"/>
      <c r="M445" s="110"/>
      <c r="N445" s="101"/>
      <c r="O445" s="101"/>
      <c r="P445" s="101" t="s">
        <v>2620</v>
      </c>
      <c r="Q445" s="110" t="s">
        <v>2621</v>
      </c>
      <c r="R445" s="111" t="s">
        <v>462</v>
      </c>
    </row>
    <row r="446" ht="13.5" customHeight="1" spans="1:18">
      <c r="A446" s="103">
        <v>13</v>
      </c>
      <c r="B446" s="102" t="s">
        <v>2619</v>
      </c>
      <c r="C446" s="103" t="s">
        <v>6713</v>
      </c>
      <c r="D446" s="103"/>
      <c r="E446" s="104"/>
      <c r="F446" s="102" t="s">
        <v>288</v>
      </c>
      <c r="G446" s="101" t="s">
        <v>30</v>
      </c>
      <c r="H446" s="105"/>
      <c r="I446" s="101">
        <f>IFERROR(VLOOKUP(B446,'02. MM-KLH'!$B:$K,9,FALSE),"")</f>
        <v>0</v>
      </c>
      <c r="J446" s="101"/>
      <c r="K446" s="108"/>
      <c r="L446" s="109"/>
      <c r="M446" s="110"/>
      <c r="N446" s="101"/>
      <c r="O446" s="101"/>
      <c r="P446" s="101" t="s">
        <v>2620</v>
      </c>
      <c r="Q446" s="110" t="s">
        <v>2623</v>
      </c>
      <c r="R446" s="111" t="s">
        <v>462</v>
      </c>
    </row>
    <row r="447" ht="13.5" customHeight="1" spans="1:18">
      <c r="A447" s="103">
        <v>14</v>
      </c>
      <c r="B447" s="102" t="s">
        <v>2622</v>
      </c>
      <c r="C447" s="103" t="s">
        <v>6714</v>
      </c>
      <c r="D447" s="103"/>
      <c r="E447" s="104"/>
      <c r="F447" s="102" t="s">
        <v>288</v>
      </c>
      <c r="G447" s="101" t="s">
        <v>30</v>
      </c>
      <c r="H447" s="105"/>
      <c r="I447" s="101">
        <f>IFERROR(VLOOKUP(B447,'02. MM-KLH'!$B:$K,9,FALSE),"")</f>
        <v>0</v>
      </c>
      <c r="J447" s="101"/>
      <c r="K447" s="108"/>
      <c r="L447" s="109"/>
      <c r="M447" s="110"/>
      <c r="N447" s="101"/>
      <c r="O447" s="101"/>
      <c r="P447" s="101" t="s">
        <v>2620</v>
      </c>
      <c r="Q447" s="110" t="s">
        <v>2625</v>
      </c>
      <c r="R447" s="111" t="s">
        <v>462</v>
      </c>
    </row>
    <row r="448" ht="13.5" customHeight="1" spans="1:18">
      <c r="A448" s="103">
        <v>15</v>
      </c>
      <c r="B448" s="102" t="s">
        <v>2873</v>
      </c>
      <c r="C448" s="103" t="s">
        <v>3415</v>
      </c>
      <c r="D448" s="193" t="s">
        <v>6712</v>
      </c>
      <c r="E448" s="192" t="s">
        <v>3415</v>
      </c>
      <c r="F448" s="198" t="s">
        <v>8612</v>
      </c>
      <c r="G448" s="101" t="s">
        <v>2860</v>
      </c>
      <c r="H448" s="146" t="s">
        <v>2706</v>
      </c>
      <c r="I448" s="101" t="str">
        <f>IFERROR(VLOOKUP(B448,'02. MM-KLH'!$B:$K,9,FALSE),"")</f>
        <v>14/11/2023</v>
      </c>
      <c r="J448" s="199">
        <v>0.94</v>
      </c>
      <c r="K448" s="150"/>
      <c r="L448" s="200"/>
      <c r="M448" s="110" t="s">
        <v>1140</v>
      </c>
      <c r="N448" s="201">
        <v>2021</v>
      </c>
      <c r="O448" s="193" t="s">
        <v>2703</v>
      </c>
      <c r="P448" s="202" t="s">
        <v>48</v>
      </c>
      <c r="Q448" s="203" t="s">
        <v>2874</v>
      </c>
      <c r="R448" s="204" t="s">
        <v>2875</v>
      </c>
    </row>
    <row r="449" ht="13.5" customHeight="1" spans="1:18">
      <c r="A449" s="103">
        <v>16</v>
      </c>
      <c r="B449" s="102" t="s">
        <v>2876</v>
      </c>
      <c r="C449" s="103" t="s">
        <v>3416</v>
      </c>
      <c r="D449" s="193" t="s">
        <v>6713</v>
      </c>
      <c r="E449" s="205" t="s">
        <v>3416</v>
      </c>
      <c r="F449" s="198" t="s">
        <v>8612</v>
      </c>
      <c r="G449" s="101" t="s">
        <v>2860</v>
      </c>
      <c r="H449" s="146" t="s">
        <v>2706</v>
      </c>
      <c r="I449" s="101" t="str">
        <f>IFERROR(VLOOKUP(B449,'02. MM-KLH'!$B:$K,9,FALSE),"")</f>
        <v>14/11/2023</v>
      </c>
      <c r="J449" s="199">
        <v>0.94</v>
      </c>
      <c r="K449" s="150"/>
      <c r="L449" s="200"/>
      <c r="M449" s="110" t="s">
        <v>1140</v>
      </c>
      <c r="N449" s="201">
        <v>2021</v>
      </c>
      <c r="O449" s="152" t="s">
        <v>2703</v>
      </c>
      <c r="P449" s="153" t="s">
        <v>48</v>
      </c>
      <c r="Q449" s="154" t="s">
        <v>2877</v>
      </c>
      <c r="R449" s="155" t="s">
        <v>2878</v>
      </c>
    </row>
    <row r="450" ht="13.5" customHeight="1" spans="1:18">
      <c r="A450" s="103">
        <v>17</v>
      </c>
      <c r="B450" s="102" t="s">
        <v>2879</v>
      </c>
      <c r="C450" s="103" t="s">
        <v>3417</v>
      </c>
      <c r="D450" s="193" t="s">
        <v>6714</v>
      </c>
      <c r="E450" s="147" t="s">
        <v>3417</v>
      </c>
      <c r="F450" s="198" t="s">
        <v>8612</v>
      </c>
      <c r="G450" s="101" t="s">
        <v>2860</v>
      </c>
      <c r="H450" s="146" t="s">
        <v>2706</v>
      </c>
      <c r="I450" s="101" t="str">
        <f>IFERROR(VLOOKUP(B450,'02. MM-KLH'!$B:$K,9,FALSE),"")</f>
        <v>14/11/2023</v>
      </c>
      <c r="J450" s="199">
        <v>0.94</v>
      </c>
      <c r="K450" s="150"/>
      <c r="L450" s="200"/>
      <c r="M450" s="110" t="s">
        <v>1140</v>
      </c>
      <c r="N450" s="201">
        <v>2021</v>
      </c>
      <c r="O450" s="152" t="s">
        <v>2703</v>
      </c>
      <c r="P450" s="153" t="s">
        <v>48</v>
      </c>
      <c r="Q450" s="154">
        <v>22060447</v>
      </c>
      <c r="R450" s="155" t="s">
        <v>2880</v>
      </c>
    </row>
    <row r="451" ht="13.5" customHeight="1" spans="1:18">
      <c r="A451" s="103">
        <v>18</v>
      </c>
      <c r="B451" s="102" t="s">
        <v>2881</v>
      </c>
      <c r="C451" s="103" t="s">
        <v>6738</v>
      </c>
      <c r="D451" s="193" t="s">
        <v>6738</v>
      </c>
      <c r="E451" s="147" t="s">
        <v>3418</v>
      </c>
      <c r="F451" s="198" t="s">
        <v>8612</v>
      </c>
      <c r="G451" s="101" t="s">
        <v>2860</v>
      </c>
      <c r="H451" s="146" t="s">
        <v>2706</v>
      </c>
      <c r="I451" s="101" t="str">
        <f>IFERROR(VLOOKUP(B451,'02. MM-KLH'!$B:$K,9,FALSE),"")</f>
        <v>14/11/2023</v>
      </c>
      <c r="J451" s="199">
        <v>0.94</v>
      </c>
      <c r="K451" s="150"/>
      <c r="L451" s="200"/>
      <c r="M451" s="110" t="s">
        <v>1140</v>
      </c>
      <c r="N451" s="201">
        <v>2021</v>
      </c>
      <c r="O451" s="152" t="s">
        <v>2703</v>
      </c>
      <c r="P451" s="153" t="s">
        <v>48</v>
      </c>
      <c r="Q451" s="154">
        <v>22060460</v>
      </c>
      <c r="R451" s="155" t="s">
        <v>2882</v>
      </c>
    </row>
    <row r="452" ht="13.5" customHeight="1" spans="1:18">
      <c r="A452" s="103">
        <v>19</v>
      </c>
      <c r="B452" s="102" t="s">
        <v>2883</v>
      </c>
      <c r="C452" s="103" t="s">
        <v>6739</v>
      </c>
      <c r="D452" s="201"/>
      <c r="E452" s="201"/>
      <c r="F452" s="198" t="s">
        <v>8612</v>
      </c>
      <c r="G452" s="101" t="s">
        <v>2860</v>
      </c>
      <c r="H452" s="201" t="s">
        <v>2864</v>
      </c>
      <c r="I452" s="101" t="str">
        <f>IFERROR(VLOOKUP(B452,'02. MM-KLH'!$B:$K,9,FALSE),"")</f>
        <v>Mới </v>
      </c>
      <c r="J452" s="201"/>
      <c r="K452" s="150"/>
      <c r="L452" s="200"/>
      <c r="M452" s="110" t="s">
        <v>1140</v>
      </c>
      <c r="N452" s="201">
        <v>2021</v>
      </c>
      <c r="O452" s="152" t="s">
        <v>2703</v>
      </c>
      <c r="P452" s="153" t="s">
        <v>48</v>
      </c>
      <c r="Q452" s="154" t="s">
        <v>2884</v>
      </c>
      <c r="R452" s="155" t="s">
        <v>2885</v>
      </c>
    </row>
    <row r="453" ht="13.5" customHeight="1" spans="1:18">
      <c r="A453" s="96" t="s">
        <v>8613</v>
      </c>
      <c r="B453" s="97" t="s">
        <v>8614</v>
      </c>
      <c r="C453" s="96"/>
      <c r="D453" s="96"/>
      <c r="E453" s="97"/>
      <c r="F453" s="96"/>
      <c r="G453" s="97"/>
      <c r="H453" s="98"/>
      <c r="I453" s="98" t="str">
        <f>IFERROR(VLOOKUP(B453,'02. MM-KLH'!$B:$K,9,FALSE),"")</f>
        <v/>
      </c>
      <c r="J453" s="96"/>
      <c r="K453" s="99"/>
      <c r="L453" s="100"/>
      <c r="M453" s="97"/>
      <c r="N453" s="97"/>
      <c r="O453" s="97"/>
      <c r="P453" s="97"/>
      <c r="Q453" s="97"/>
      <c r="R453" s="97"/>
    </row>
    <row r="454" ht="13.5" customHeight="1" spans="1:18">
      <c r="A454" s="101">
        <v>1</v>
      </c>
      <c r="B454" s="102" t="s">
        <v>2538</v>
      </c>
      <c r="C454" s="103" t="s">
        <v>3438</v>
      </c>
      <c r="D454" s="103" t="s">
        <v>8615</v>
      </c>
      <c r="E454" s="104" t="s">
        <v>3438</v>
      </c>
      <c r="F454" s="102" t="s">
        <v>8616</v>
      </c>
      <c r="G454" s="101" t="s">
        <v>32</v>
      </c>
      <c r="H454" s="105">
        <v>44197</v>
      </c>
      <c r="I454" s="101">
        <f>IFERROR(VLOOKUP(B454,'02. MM-KLH'!$B:$K,9,FALSE),"")</f>
        <v>44197</v>
      </c>
      <c r="J454" s="107">
        <v>0.67</v>
      </c>
      <c r="K454" s="108"/>
      <c r="L454" s="109" t="s">
        <v>1267</v>
      </c>
      <c r="M454" s="110" t="s">
        <v>465</v>
      </c>
      <c r="N454" s="101">
        <v>2017</v>
      </c>
      <c r="O454" s="101" t="s">
        <v>2539</v>
      </c>
      <c r="P454" s="101" t="s">
        <v>141</v>
      </c>
      <c r="Q454" s="110" t="s">
        <v>2540</v>
      </c>
      <c r="R454" s="111" t="s">
        <v>2541</v>
      </c>
    </row>
    <row r="455" ht="13.5" customHeight="1" spans="1:18">
      <c r="A455" s="101">
        <v>2</v>
      </c>
      <c r="B455" s="102" t="s">
        <v>2542</v>
      </c>
      <c r="C455" s="103" t="s">
        <v>3440</v>
      </c>
      <c r="D455" s="103" t="s">
        <v>8617</v>
      </c>
      <c r="E455" s="104" t="s">
        <v>3440</v>
      </c>
      <c r="F455" s="102" t="s">
        <v>8616</v>
      </c>
      <c r="G455" s="101" t="s">
        <v>32</v>
      </c>
      <c r="H455" s="105">
        <v>44197</v>
      </c>
      <c r="I455" s="101">
        <f>IFERROR(VLOOKUP(B455,'02. MM-KLH'!$B:$K,9,FALSE),"")</f>
        <v>44197</v>
      </c>
      <c r="J455" s="107">
        <v>0.67</v>
      </c>
      <c r="K455" s="108"/>
      <c r="L455" s="109" t="s">
        <v>1267</v>
      </c>
      <c r="M455" s="110" t="s">
        <v>465</v>
      </c>
      <c r="N455" s="101">
        <v>2017</v>
      </c>
      <c r="O455" s="101" t="s">
        <v>2539</v>
      </c>
      <c r="P455" s="101" t="s">
        <v>141</v>
      </c>
      <c r="Q455" s="110" t="s">
        <v>2543</v>
      </c>
      <c r="R455" s="111" t="s">
        <v>2544</v>
      </c>
    </row>
    <row r="456" ht="13.5" customHeight="1" spans="1:18">
      <c r="A456" s="101">
        <v>3</v>
      </c>
      <c r="B456" s="102" t="s">
        <v>2545</v>
      </c>
      <c r="C456" s="103" t="s">
        <v>3441</v>
      </c>
      <c r="D456" s="103" t="s">
        <v>8618</v>
      </c>
      <c r="E456" s="104" t="s">
        <v>3441</v>
      </c>
      <c r="F456" s="102" t="s">
        <v>8616</v>
      </c>
      <c r="G456" s="101" t="s">
        <v>32</v>
      </c>
      <c r="H456" s="105">
        <v>44197</v>
      </c>
      <c r="I456" s="101">
        <f>IFERROR(VLOOKUP(B456,'02. MM-KLH'!$B:$K,9,FALSE),"")</f>
        <v>44197</v>
      </c>
      <c r="J456" s="107">
        <v>0.67</v>
      </c>
      <c r="K456" s="108"/>
      <c r="L456" s="109" t="s">
        <v>1267</v>
      </c>
      <c r="M456" s="110" t="s">
        <v>465</v>
      </c>
      <c r="N456" s="101">
        <v>2017</v>
      </c>
      <c r="O456" s="101" t="s">
        <v>2539</v>
      </c>
      <c r="P456" s="101" t="s">
        <v>141</v>
      </c>
      <c r="Q456" s="110" t="s">
        <v>2546</v>
      </c>
      <c r="R456" s="111" t="s">
        <v>2547</v>
      </c>
    </row>
    <row r="457" ht="13.5" customHeight="1" spans="1:18">
      <c r="A457" s="103">
        <v>4</v>
      </c>
      <c r="B457" s="104" t="s">
        <v>2548</v>
      </c>
      <c r="C457" s="103" t="s">
        <v>3442</v>
      </c>
      <c r="D457" s="103" t="s">
        <v>8619</v>
      </c>
      <c r="E457" s="104" t="s">
        <v>3442</v>
      </c>
      <c r="F457" s="104" t="s">
        <v>8620</v>
      </c>
      <c r="G457" s="103" t="s">
        <v>32</v>
      </c>
      <c r="H457" s="112">
        <v>44197</v>
      </c>
      <c r="I457" s="101">
        <f>IFERROR(VLOOKUP(B457,'02. MM-KLH'!$B:$K,9,FALSE),"")</f>
        <v>44197</v>
      </c>
      <c r="J457" s="107">
        <v>0.68</v>
      </c>
      <c r="K457" s="114"/>
      <c r="L457" s="115" t="s">
        <v>2549</v>
      </c>
      <c r="M457" s="111" t="s">
        <v>1140</v>
      </c>
      <c r="N457" s="103">
        <v>2018</v>
      </c>
      <c r="O457" s="103" t="s">
        <v>2550</v>
      </c>
      <c r="P457" s="103" t="s">
        <v>139</v>
      </c>
      <c r="Q457" s="111" t="s">
        <v>2551</v>
      </c>
      <c r="R457" s="111" t="s">
        <v>2552</v>
      </c>
    </row>
    <row r="458" ht="13.5" customHeight="1" spans="1:18">
      <c r="A458" s="101">
        <v>5</v>
      </c>
      <c r="B458" s="102" t="s">
        <v>2553</v>
      </c>
      <c r="C458" s="103" t="s">
        <v>3443</v>
      </c>
      <c r="D458" s="103" t="s">
        <v>8621</v>
      </c>
      <c r="E458" s="104" t="s">
        <v>3443</v>
      </c>
      <c r="F458" s="102" t="s">
        <v>8622</v>
      </c>
      <c r="G458" s="101" t="s">
        <v>32</v>
      </c>
      <c r="H458" s="105" t="s">
        <v>2555</v>
      </c>
      <c r="I458" s="101" t="str">
        <f>IFERROR(VLOOKUP(B458,'02. MM-KLH'!$B:$K,9,FALSE),"")</f>
        <v>17/12/2023</v>
      </c>
      <c r="J458" s="107">
        <v>0.98</v>
      </c>
      <c r="K458" s="108"/>
      <c r="L458" s="109" t="s">
        <v>2556</v>
      </c>
      <c r="M458" s="110" t="s">
        <v>1140</v>
      </c>
      <c r="N458" s="101">
        <v>2023</v>
      </c>
      <c r="O458" s="101" t="s">
        <v>2557</v>
      </c>
      <c r="P458" s="101" t="s">
        <v>2558</v>
      </c>
      <c r="Q458" s="110" t="s">
        <v>2559</v>
      </c>
      <c r="R458" s="111" t="s">
        <v>2560</v>
      </c>
    </row>
    <row r="459" ht="13.5" customHeight="1" spans="1:18">
      <c r="A459" s="101">
        <v>6</v>
      </c>
      <c r="B459" s="102" t="s">
        <v>2561</v>
      </c>
      <c r="C459" s="103" t="s">
        <v>3444</v>
      </c>
      <c r="D459" s="103" t="s">
        <v>8623</v>
      </c>
      <c r="E459" s="104" t="s">
        <v>3444</v>
      </c>
      <c r="F459" s="102" t="s">
        <v>8622</v>
      </c>
      <c r="G459" s="101" t="s">
        <v>32</v>
      </c>
      <c r="H459" s="105">
        <v>45150</v>
      </c>
      <c r="I459" s="101">
        <f>IFERROR(VLOOKUP(B459,'02. MM-KLH'!$B:$K,9,FALSE),"")</f>
        <v>45150</v>
      </c>
      <c r="J459" s="107">
        <v>0.98</v>
      </c>
      <c r="K459" s="108"/>
      <c r="L459" s="109" t="s">
        <v>2556</v>
      </c>
      <c r="M459" s="110" t="s">
        <v>1140</v>
      </c>
      <c r="N459" s="101">
        <v>2023</v>
      </c>
      <c r="O459" s="101" t="s">
        <v>2557</v>
      </c>
      <c r="P459" s="101" t="s">
        <v>2558</v>
      </c>
      <c r="Q459" s="110" t="s">
        <v>2563</v>
      </c>
      <c r="R459" s="111" t="s">
        <v>2564</v>
      </c>
    </row>
    <row r="460" ht="13.5" customHeight="1" spans="1:18">
      <c r="A460" s="101">
        <v>7</v>
      </c>
      <c r="B460" s="102" t="s">
        <v>2565</v>
      </c>
      <c r="C460" s="103" t="s">
        <v>3445</v>
      </c>
      <c r="D460" s="103" t="s">
        <v>8624</v>
      </c>
      <c r="E460" s="104" t="s">
        <v>3445</v>
      </c>
      <c r="F460" s="102" t="s">
        <v>8622</v>
      </c>
      <c r="G460" s="101" t="s">
        <v>32</v>
      </c>
      <c r="H460" s="105">
        <v>45150</v>
      </c>
      <c r="I460" s="101">
        <f>IFERROR(VLOOKUP(B460,'02. MM-KLH'!$B:$K,9,FALSE),"")</f>
        <v>45150</v>
      </c>
      <c r="J460" s="107">
        <v>0.98</v>
      </c>
      <c r="K460" s="108"/>
      <c r="L460" s="109" t="s">
        <v>2556</v>
      </c>
      <c r="M460" s="110" t="s">
        <v>1140</v>
      </c>
      <c r="N460" s="101">
        <v>2023</v>
      </c>
      <c r="O460" s="101" t="s">
        <v>2557</v>
      </c>
      <c r="P460" s="101" t="s">
        <v>2558</v>
      </c>
      <c r="Q460" s="110" t="s">
        <v>2567</v>
      </c>
      <c r="R460" s="111" t="s">
        <v>2568</v>
      </c>
    </row>
    <row r="461" ht="13.5" customHeight="1" spans="1:18">
      <c r="A461" s="101">
        <v>8</v>
      </c>
      <c r="B461" s="102" t="s">
        <v>2569</v>
      </c>
      <c r="C461" s="103" t="s">
        <v>3446</v>
      </c>
      <c r="D461" s="103" t="s">
        <v>8625</v>
      </c>
      <c r="E461" s="104" t="s">
        <v>3446</v>
      </c>
      <c r="F461" s="102" t="s">
        <v>8622</v>
      </c>
      <c r="G461" s="101" t="s">
        <v>32</v>
      </c>
      <c r="H461" s="105">
        <v>45150</v>
      </c>
      <c r="I461" s="101">
        <f>IFERROR(VLOOKUP(B461,'02. MM-KLH'!$B:$K,9,FALSE),"")</f>
        <v>45150</v>
      </c>
      <c r="J461" s="107">
        <v>0.98</v>
      </c>
      <c r="K461" s="108"/>
      <c r="L461" s="109" t="s">
        <v>2556</v>
      </c>
      <c r="M461" s="110" t="s">
        <v>1140</v>
      </c>
      <c r="N461" s="101">
        <v>2023</v>
      </c>
      <c r="O461" s="101" t="s">
        <v>2557</v>
      </c>
      <c r="P461" s="101" t="s">
        <v>2558</v>
      </c>
      <c r="Q461" s="110" t="s">
        <v>2571</v>
      </c>
      <c r="R461" s="111" t="s">
        <v>2572</v>
      </c>
    </row>
    <row r="462" ht="13.5" customHeight="1" spans="1:18">
      <c r="A462" s="101">
        <v>9</v>
      </c>
      <c r="B462" s="102" t="s">
        <v>2573</v>
      </c>
      <c r="C462" s="103" t="s">
        <v>3447</v>
      </c>
      <c r="D462" s="103" t="s">
        <v>8626</v>
      </c>
      <c r="E462" s="104" t="s">
        <v>3447</v>
      </c>
      <c r="F462" s="102" t="s">
        <v>8622</v>
      </c>
      <c r="G462" s="101" t="s">
        <v>32</v>
      </c>
      <c r="H462" s="105">
        <v>45150</v>
      </c>
      <c r="I462" s="101">
        <f>IFERROR(VLOOKUP(B462,'02. MM-KLH'!$B:$K,9,FALSE),"")</f>
        <v>45150</v>
      </c>
      <c r="J462" s="107">
        <v>0.98</v>
      </c>
      <c r="K462" s="108"/>
      <c r="L462" s="109" t="s">
        <v>2556</v>
      </c>
      <c r="M462" s="110" t="s">
        <v>1140</v>
      </c>
      <c r="N462" s="101">
        <v>2023</v>
      </c>
      <c r="O462" s="101" t="s">
        <v>2557</v>
      </c>
      <c r="P462" s="101" t="s">
        <v>2558</v>
      </c>
      <c r="Q462" s="110" t="s">
        <v>2575</v>
      </c>
      <c r="R462" s="111" t="s">
        <v>2576</v>
      </c>
    </row>
    <row r="463" ht="13.5" customHeight="1" spans="1:18">
      <c r="A463" s="101">
        <v>10</v>
      </c>
      <c r="B463" s="102" t="s">
        <v>2577</v>
      </c>
      <c r="C463" s="103" t="s">
        <v>3448</v>
      </c>
      <c r="D463" s="103" t="s">
        <v>8627</v>
      </c>
      <c r="E463" s="104" t="s">
        <v>3448</v>
      </c>
      <c r="F463" s="102" t="s">
        <v>8622</v>
      </c>
      <c r="G463" s="101" t="s">
        <v>32</v>
      </c>
      <c r="H463" s="105">
        <v>45150</v>
      </c>
      <c r="I463" s="101">
        <f>IFERROR(VLOOKUP(B463,'02. MM-KLH'!$B:$K,9,FALSE),"")</f>
        <v>45150</v>
      </c>
      <c r="J463" s="107">
        <v>0.98</v>
      </c>
      <c r="K463" s="108"/>
      <c r="L463" s="109" t="s">
        <v>2556</v>
      </c>
      <c r="M463" s="110" t="s">
        <v>1140</v>
      </c>
      <c r="N463" s="101">
        <v>2023</v>
      </c>
      <c r="O463" s="101" t="s">
        <v>2557</v>
      </c>
      <c r="P463" s="101" t="s">
        <v>2558</v>
      </c>
      <c r="Q463" s="110" t="s">
        <v>2579</v>
      </c>
      <c r="R463" s="111" t="s">
        <v>2580</v>
      </c>
    </row>
    <row r="464" ht="13.5" customHeight="1" spans="1:18">
      <c r="A464" s="96" t="s">
        <v>8628</v>
      </c>
      <c r="B464" s="97" t="s">
        <v>8629</v>
      </c>
      <c r="C464" s="96"/>
      <c r="D464" s="96"/>
      <c r="E464" s="97"/>
      <c r="F464" s="96"/>
      <c r="G464" s="97"/>
      <c r="H464" s="98"/>
      <c r="I464" s="98" t="str">
        <f>IFERROR(VLOOKUP(B464,'02. MM-KLH'!$B:$K,9,FALSE),"")</f>
        <v/>
      </c>
      <c r="J464" s="96"/>
      <c r="K464" s="99"/>
      <c r="L464" s="100"/>
      <c r="M464" s="97"/>
      <c r="N464" s="97"/>
      <c r="O464" s="97"/>
      <c r="P464" s="97"/>
      <c r="Q464" s="97"/>
      <c r="R464" s="97"/>
    </row>
    <row r="465" ht="13.5" customHeight="1" spans="1:18">
      <c r="A465" s="101">
        <v>1</v>
      </c>
      <c r="B465" s="102" t="s">
        <v>8630</v>
      </c>
      <c r="C465" s="103" t="s">
        <v>3534</v>
      </c>
      <c r="D465" s="103" t="s">
        <v>8631</v>
      </c>
      <c r="E465" s="104" t="s">
        <v>3534</v>
      </c>
      <c r="F465" s="102" t="s">
        <v>284</v>
      </c>
      <c r="G465" s="101" t="s">
        <v>2735</v>
      </c>
      <c r="H465" s="105">
        <v>45181</v>
      </c>
      <c r="I465" s="101" t="str">
        <f>IFERROR(VLOOKUP(B465,'02. MM-KLH'!$B:$K,9,FALSE),"")</f>
        <v/>
      </c>
      <c r="J465" s="107">
        <v>0.95</v>
      </c>
      <c r="K465" s="108"/>
      <c r="L465" s="109" t="s">
        <v>1565</v>
      </c>
      <c r="M465" s="110" t="s">
        <v>1140</v>
      </c>
      <c r="N465" s="101">
        <v>2022</v>
      </c>
      <c r="O465" s="101" t="s">
        <v>1566</v>
      </c>
      <c r="P465" s="101" t="s">
        <v>1567</v>
      </c>
      <c r="Q465" s="110"/>
      <c r="R465" s="111" t="s">
        <v>1568</v>
      </c>
    </row>
    <row r="466" ht="13.5" customHeight="1" spans="1:18">
      <c r="A466" s="96" t="s">
        <v>8632</v>
      </c>
      <c r="B466" s="97" t="s">
        <v>289</v>
      </c>
      <c r="C466" s="96"/>
      <c r="D466" s="96"/>
      <c r="E466" s="97"/>
      <c r="F466" s="96"/>
      <c r="G466" s="97"/>
      <c r="H466" s="98"/>
      <c r="I466" s="98" t="str">
        <f>IFERROR(VLOOKUP(B466,'02. MM-KLH'!$B:$K,9,FALSE),"")</f>
        <v/>
      </c>
      <c r="J466" s="96"/>
      <c r="K466" s="99"/>
      <c r="L466" s="100"/>
      <c r="M466" s="97"/>
      <c r="N466" s="97"/>
      <c r="O466" s="97"/>
      <c r="P466" s="97"/>
      <c r="Q466" s="97"/>
      <c r="R466" s="97"/>
    </row>
    <row r="467" ht="13.5" customHeight="1" spans="1:18">
      <c r="A467" s="101">
        <v>3</v>
      </c>
      <c r="B467" s="102" t="s">
        <v>2907</v>
      </c>
      <c r="C467" s="146" t="s">
        <v>6741</v>
      </c>
      <c r="D467" s="146"/>
      <c r="E467" s="146"/>
      <c r="F467" s="147" t="s">
        <v>8633</v>
      </c>
      <c r="G467" s="101" t="s">
        <v>2913</v>
      </c>
      <c r="H467" s="148">
        <v>45058</v>
      </c>
      <c r="I467" s="101">
        <f>IFERROR(VLOOKUP(B467,'02. MM-KLH'!$B:$K,9,FALSE),"")</f>
        <v>45058</v>
      </c>
      <c r="J467" s="149"/>
      <c r="K467" s="150"/>
      <c r="L467" s="151" t="s">
        <v>1323</v>
      </c>
      <c r="M467" s="110" t="s">
        <v>500</v>
      </c>
      <c r="N467" s="146"/>
      <c r="O467" s="152" t="s">
        <v>2909</v>
      </c>
      <c r="P467" s="153" t="s">
        <v>2910</v>
      </c>
      <c r="Q467" s="154" t="s">
        <v>2911</v>
      </c>
      <c r="R467" s="155" t="s">
        <v>2912</v>
      </c>
    </row>
    <row r="468" ht="13.5" customHeight="1" spans="1:18">
      <c r="A468" s="101">
        <v>4</v>
      </c>
      <c r="B468" s="102" t="s">
        <v>2914</v>
      </c>
      <c r="C468" s="146" t="s">
        <v>6742</v>
      </c>
      <c r="D468" s="146"/>
      <c r="E468" s="146"/>
      <c r="F468" s="147" t="s">
        <v>8633</v>
      </c>
      <c r="G468" s="101" t="s">
        <v>8532</v>
      </c>
      <c r="H468" s="148"/>
      <c r="I468" s="101">
        <f>IFERROR(VLOOKUP(B468,'02. MM-KLH'!$B:$K,9,FALSE),"")</f>
        <v>0</v>
      </c>
      <c r="J468" s="149"/>
      <c r="K468" s="150"/>
      <c r="L468" s="151" t="s">
        <v>1323</v>
      </c>
      <c r="M468" s="110" t="s">
        <v>500</v>
      </c>
      <c r="N468" s="146"/>
      <c r="O468" s="152" t="s">
        <v>2909</v>
      </c>
      <c r="P468" s="153" t="s">
        <v>2910</v>
      </c>
      <c r="Q468" s="154" t="s">
        <v>2916</v>
      </c>
      <c r="R468" s="155" t="s">
        <v>2917</v>
      </c>
    </row>
    <row r="469" ht="13.5" customHeight="1" spans="1:18">
      <c r="A469" s="101">
        <v>5</v>
      </c>
      <c r="B469" s="102" t="s">
        <v>2918</v>
      </c>
      <c r="C469" s="146" t="s">
        <v>6743</v>
      </c>
      <c r="D469" s="146"/>
      <c r="E469" s="146"/>
      <c r="F469" s="147" t="s">
        <v>8634</v>
      </c>
      <c r="G469" s="101" t="s">
        <v>37</v>
      </c>
      <c r="H469" s="148"/>
      <c r="I469" s="101">
        <f>IFERROR(VLOOKUP(B469,'02. MM-KLH'!$B:$K,9,FALSE),"")</f>
        <v>0</v>
      </c>
      <c r="J469" s="149"/>
      <c r="K469" s="150"/>
      <c r="L469" s="151" t="s">
        <v>1323</v>
      </c>
      <c r="M469" s="110" t="s">
        <v>500</v>
      </c>
      <c r="N469" s="146"/>
      <c r="O469" s="152" t="s">
        <v>2909</v>
      </c>
      <c r="P469" s="153" t="s">
        <v>2910</v>
      </c>
      <c r="Q469" s="154" t="s">
        <v>462</v>
      </c>
      <c r="R469" s="155" t="s">
        <v>2920</v>
      </c>
    </row>
    <row r="470" ht="13.5" customHeight="1" spans="1:18">
      <c r="A470" s="91" t="s">
        <v>2857</v>
      </c>
      <c r="B470" s="91"/>
      <c r="C470" s="92"/>
      <c r="D470" s="92"/>
      <c r="E470" s="91"/>
      <c r="F470" s="92">
        <f>COUNTA(B471:B475)</f>
        <v>5</v>
      </c>
      <c r="G470" s="91"/>
      <c r="H470" s="93"/>
      <c r="I470" s="93"/>
      <c r="J470" s="92"/>
      <c r="K470" s="94"/>
      <c r="L470" s="95"/>
      <c r="M470" s="91"/>
      <c r="N470" s="91"/>
      <c r="O470" s="91"/>
      <c r="P470" s="91"/>
      <c r="Q470" s="91"/>
      <c r="R470" s="91"/>
    </row>
    <row r="471" ht="13.5" customHeight="1" spans="1:18">
      <c r="A471" s="101">
        <v>1</v>
      </c>
      <c r="B471" s="102" t="s">
        <v>2858</v>
      </c>
      <c r="C471" s="103" t="s">
        <v>290</v>
      </c>
      <c r="D471" s="103"/>
      <c r="E471" s="104"/>
      <c r="F471" s="102" t="s">
        <v>116</v>
      </c>
      <c r="G471" s="101" t="s">
        <v>2860</v>
      </c>
      <c r="H471" s="101" t="s">
        <v>2861</v>
      </c>
      <c r="I471" s="101" t="str">
        <f>IFERROR(VLOOKUP(B471,'02. MM-KLH'!$B:$K,9,FALSE),"")</f>
        <v>Đã qua sử dụng</v>
      </c>
      <c r="J471" s="101"/>
      <c r="K471" s="108"/>
      <c r="L471" s="109" t="s">
        <v>1019</v>
      </c>
      <c r="M471" s="110" t="s">
        <v>500</v>
      </c>
      <c r="N471" s="101"/>
      <c r="O471" s="101" t="s">
        <v>2478</v>
      </c>
      <c r="P471" s="101" t="s">
        <v>85</v>
      </c>
      <c r="Q471" s="110" t="s">
        <v>2862</v>
      </c>
      <c r="R471" s="111" t="s">
        <v>462</v>
      </c>
    </row>
    <row r="472" ht="13.5" customHeight="1" spans="1:18">
      <c r="A472" s="101">
        <v>2</v>
      </c>
      <c r="B472" s="102" t="s">
        <v>2863</v>
      </c>
      <c r="C472" s="201" t="s">
        <v>290</v>
      </c>
      <c r="D472" s="201"/>
      <c r="E472" s="201"/>
      <c r="F472" s="192" t="s">
        <v>8635</v>
      </c>
      <c r="G472" s="101" t="s">
        <v>2860</v>
      </c>
      <c r="H472" s="201" t="s">
        <v>2864</v>
      </c>
      <c r="I472" s="101" t="str">
        <f>IFERROR(VLOOKUP(B472,'02. MM-KLH'!$B:$K,9,FALSE),"")</f>
        <v>Mới </v>
      </c>
      <c r="J472" s="201"/>
      <c r="K472" s="150"/>
      <c r="L472" s="109" t="s">
        <v>1019</v>
      </c>
      <c r="M472" s="110" t="s">
        <v>500</v>
      </c>
      <c r="N472" s="201"/>
      <c r="O472" s="201"/>
      <c r="P472" s="201"/>
      <c r="Q472" s="206"/>
      <c r="R472" s="207"/>
    </row>
    <row r="473" ht="13.5" customHeight="1" spans="1:18">
      <c r="A473" s="101">
        <v>3</v>
      </c>
      <c r="B473" s="102" t="s">
        <v>2866</v>
      </c>
      <c r="C473" s="201" t="s">
        <v>290</v>
      </c>
      <c r="D473" s="201"/>
      <c r="E473" s="201"/>
      <c r="F473" s="205" t="s">
        <v>125</v>
      </c>
      <c r="G473" s="101" t="s">
        <v>2860</v>
      </c>
      <c r="H473" s="101" t="s">
        <v>2861</v>
      </c>
      <c r="I473" s="101" t="str">
        <f>IFERROR(VLOOKUP(B473,'02. MM-KLH'!$B:$K,9,FALSE),"")</f>
        <v>Đã qua sử dụng</v>
      </c>
      <c r="J473" s="201"/>
      <c r="K473" s="150"/>
      <c r="L473" s="109" t="s">
        <v>1019</v>
      </c>
      <c r="M473" s="110" t="s">
        <v>500</v>
      </c>
      <c r="N473" s="201"/>
      <c r="O473" s="201"/>
      <c r="P473" s="201"/>
      <c r="Q473" s="206"/>
      <c r="R473" s="207"/>
    </row>
    <row r="474" ht="13.5" customHeight="1" spans="1:18">
      <c r="A474" s="101">
        <v>4</v>
      </c>
      <c r="B474" s="102" t="s">
        <v>2868</v>
      </c>
      <c r="C474" s="201" t="s">
        <v>290</v>
      </c>
      <c r="D474" s="201"/>
      <c r="E474" s="201"/>
      <c r="F474" s="208" t="s">
        <v>249</v>
      </c>
      <c r="G474" s="101" t="s">
        <v>2860</v>
      </c>
      <c r="H474" s="101" t="s">
        <v>2861</v>
      </c>
      <c r="I474" s="101" t="str">
        <f>IFERROR(VLOOKUP(B474,'02. MM-KLH'!$B:$K,9,FALSE),"")</f>
        <v>Đã qua sử dụng</v>
      </c>
      <c r="J474" s="201"/>
      <c r="K474" s="150"/>
      <c r="L474" s="200"/>
      <c r="M474" s="206"/>
      <c r="N474" s="201"/>
      <c r="O474" s="201"/>
      <c r="P474" s="201"/>
      <c r="Q474" s="206"/>
      <c r="R474" s="207"/>
    </row>
    <row r="475" ht="13.5" customHeight="1" spans="1:18">
      <c r="A475" s="101">
        <v>5</v>
      </c>
      <c r="B475" s="102" t="s">
        <v>2869</v>
      </c>
      <c r="C475" s="201" t="s">
        <v>290</v>
      </c>
      <c r="D475" s="201"/>
      <c r="E475" s="201"/>
      <c r="F475" s="194" t="s">
        <v>267</v>
      </c>
      <c r="G475" s="101" t="s">
        <v>2860</v>
      </c>
      <c r="H475" s="101" t="s">
        <v>2861</v>
      </c>
      <c r="I475" s="101" t="str">
        <f>IFERROR(VLOOKUP(B475,'02. MM-KLH'!$B:$K,9,FALSE),"")</f>
        <v>Đã qua sử dụng</v>
      </c>
      <c r="J475" s="201"/>
      <c r="K475" s="150"/>
      <c r="L475" s="200" t="s">
        <v>2871</v>
      </c>
      <c r="M475" s="206" t="s">
        <v>2872</v>
      </c>
      <c r="N475" s="201"/>
      <c r="O475" s="201"/>
      <c r="P475" s="201"/>
      <c r="Q475" s="206"/>
      <c r="R475" s="207"/>
    </row>
    <row r="476" ht="13.5" customHeight="1" spans="1:18">
      <c r="A476" s="96" t="s">
        <v>3004</v>
      </c>
      <c r="B476" s="97" t="s">
        <v>3005</v>
      </c>
      <c r="C476" s="96"/>
      <c r="D476" s="96"/>
      <c r="E476" s="96"/>
      <c r="F476" s="96"/>
      <c r="G476" s="96"/>
      <c r="H476" s="209"/>
      <c r="I476" s="101">
        <f>IFERROR(VLOOKUP(B476,'02. MM-KLH'!$B:$K,9,FALSE),"")</f>
        <v>0</v>
      </c>
      <c r="J476" s="96"/>
      <c r="K476" s="99"/>
      <c r="L476" s="100"/>
      <c r="M476" s="97"/>
      <c r="N476" s="96"/>
      <c r="O476" s="96"/>
      <c r="P476" s="96"/>
      <c r="Q476" s="97"/>
      <c r="R476" s="210"/>
    </row>
    <row r="477" ht="13.5" customHeight="1" spans="1:18">
      <c r="A477" s="211" t="s">
        <v>3007</v>
      </c>
      <c r="B477" s="212" t="s">
        <v>3008</v>
      </c>
      <c r="C477" s="211"/>
      <c r="D477" s="211"/>
      <c r="E477" s="211"/>
      <c r="F477" s="211">
        <f>COUNTA(B478:B480)</f>
        <v>3</v>
      </c>
      <c r="G477" s="211"/>
      <c r="H477" s="213"/>
      <c r="I477" s="213"/>
      <c r="J477" s="211"/>
      <c r="K477" s="214"/>
      <c r="L477" s="215"/>
      <c r="M477" s="212"/>
      <c r="N477" s="211"/>
      <c r="O477" s="211"/>
      <c r="P477" s="211"/>
      <c r="Q477" s="212"/>
      <c r="R477" s="216"/>
    </row>
    <row r="478" ht="13.5" customHeight="1" spans="1:18">
      <c r="A478" s="101">
        <v>1</v>
      </c>
      <c r="B478" s="102" t="s">
        <v>3009</v>
      </c>
      <c r="C478" s="103" t="s">
        <v>290</v>
      </c>
      <c r="D478" s="103"/>
      <c r="E478" s="104"/>
      <c r="F478" s="102" t="s">
        <v>8334</v>
      </c>
      <c r="G478" s="101" t="s">
        <v>1250</v>
      </c>
      <c r="H478" s="105" t="s">
        <v>3012</v>
      </c>
      <c r="I478" s="101" t="str">
        <f>IFERROR(VLOOKUP(B478,'02. MM-KLH'!$B:$K,9,FALSE),"")</f>
        <v>Chưa phân bổ</v>
      </c>
      <c r="J478" s="101"/>
      <c r="K478" s="108"/>
      <c r="L478" s="109" t="s">
        <v>621</v>
      </c>
      <c r="M478" s="110" t="s">
        <v>500</v>
      </c>
      <c r="N478" s="101">
        <v>2018</v>
      </c>
      <c r="O478" s="101" t="s">
        <v>1371</v>
      </c>
      <c r="P478" s="101" t="s">
        <v>54</v>
      </c>
      <c r="Q478" s="110" t="s">
        <v>3013</v>
      </c>
      <c r="R478" s="111" t="s">
        <v>3014</v>
      </c>
    </row>
    <row r="479" ht="13.5" customHeight="1" spans="1:18">
      <c r="A479" s="101">
        <v>2</v>
      </c>
      <c r="B479" s="102" t="s">
        <v>8636</v>
      </c>
      <c r="C479" s="103" t="s">
        <v>290</v>
      </c>
      <c r="D479" s="103"/>
      <c r="E479" s="104"/>
      <c r="F479" s="102" t="s">
        <v>8637</v>
      </c>
      <c r="G479" s="101" t="s">
        <v>3011</v>
      </c>
      <c r="H479" s="101" t="s">
        <v>3012</v>
      </c>
      <c r="I479" s="101" t="str">
        <f>IFERROR(VLOOKUP(B479,'02. MM-KLH'!$B:$K,9,FALSE),"")</f>
        <v/>
      </c>
      <c r="J479" s="107"/>
      <c r="K479" s="217">
        <v>45388</v>
      </c>
      <c r="L479" s="109" t="s">
        <v>969</v>
      </c>
      <c r="M479" s="110" t="s">
        <v>555</v>
      </c>
      <c r="N479" s="101">
        <v>2016</v>
      </c>
      <c r="O479" s="101" t="s">
        <v>970</v>
      </c>
      <c r="P479" s="101" t="s">
        <v>177</v>
      </c>
      <c r="Q479" s="110" t="s">
        <v>971</v>
      </c>
      <c r="R479" s="111" t="s">
        <v>972</v>
      </c>
    </row>
    <row r="480" ht="13.5" customHeight="1" spans="1:18">
      <c r="A480" s="101">
        <v>3</v>
      </c>
      <c r="B480" s="102" t="s">
        <v>1793</v>
      </c>
      <c r="C480" s="161" t="s">
        <v>290</v>
      </c>
      <c r="D480" s="161" t="s">
        <v>8537</v>
      </c>
      <c r="E480" s="104"/>
      <c r="F480" s="102" t="s">
        <v>8350</v>
      </c>
      <c r="G480" s="101" t="s">
        <v>3023</v>
      </c>
      <c r="H480" s="101" t="s">
        <v>3012</v>
      </c>
      <c r="I480" s="101" t="str">
        <f>IFERROR(VLOOKUP(B480,'02. MM-KLH'!$B:$K,9,FALSE),"")</f>
        <v/>
      </c>
      <c r="J480" s="101"/>
      <c r="K480" s="108" t="s">
        <v>8638</v>
      </c>
      <c r="L480" s="109" t="s">
        <v>1019</v>
      </c>
      <c r="M480" s="110" t="s">
        <v>500</v>
      </c>
      <c r="N480" s="101">
        <v>2018</v>
      </c>
      <c r="O480" s="101" t="s">
        <v>1122</v>
      </c>
      <c r="P480" s="101" t="s">
        <v>128</v>
      </c>
      <c r="Q480" s="110" t="s">
        <v>1795</v>
      </c>
      <c r="R480" s="111" t="s">
        <v>462</v>
      </c>
    </row>
    <row r="481" ht="13.5" customHeight="1" spans="1:18">
      <c r="A481" s="211" t="s">
        <v>3352</v>
      </c>
      <c r="B481" s="212" t="s">
        <v>8639</v>
      </c>
      <c r="C481" s="211"/>
      <c r="D481" s="211"/>
      <c r="E481" s="211">
        <f>COUNTA(#REF!)</f>
        <v>1</v>
      </c>
      <c r="F481" s="211"/>
      <c r="G481" s="211"/>
      <c r="H481" s="213"/>
      <c r="I481" s="213"/>
      <c r="J481" s="211"/>
      <c r="K481" s="214"/>
      <c r="L481" s="215"/>
      <c r="M481" s="212"/>
      <c r="N481" s="211"/>
      <c r="O481" s="211"/>
      <c r="P481" s="211"/>
      <c r="Q481" s="212"/>
      <c r="R481" s="216"/>
    </row>
    <row r="482" ht="13.5" customHeight="1" spans="1:18">
      <c r="A482" s="161">
        <v>1</v>
      </c>
      <c r="B482" s="162"/>
      <c r="C482" s="218"/>
      <c r="D482" s="218"/>
      <c r="E482" s="162"/>
      <c r="F482" s="162" t="s">
        <v>8350</v>
      </c>
      <c r="G482" s="161" t="s">
        <v>3023</v>
      </c>
      <c r="H482" s="219"/>
      <c r="I482" s="101" t="str">
        <f>IFERROR(VLOOKUP(B482,'02. MM-KLH'!$B:$K,9,FALSE),"")</f>
        <v/>
      </c>
      <c r="J482" s="161"/>
      <c r="K482" s="165" t="s">
        <v>3537</v>
      </c>
      <c r="L482" s="220" t="s">
        <v>1019</v>
      </c>
      <c r="M482" s="221" t="s">
        <v>500</v>
      </c>
      <c r="N482" s="161">
        <v>2018</v>
      </c>
      <c r="O482" s="161" t="s">
        <v>1122</v>
      </c>
      <c r="P482" s="161" t="s">
        <v>128</v>
      </c>
      <c r="Q482" s="221" t="s">
        <v>3025</v>
      </c>
      <c r="R482" s="222" t="s">
        <v>462</v>
      </c>
    </row>
    <row r="483" ht="13.5" customHeight="1" spans="1:18">
      <c r="A483" s="161">
        <v>2</v>
      </c>
      <c r="B483" s="162"/>
      <c r="C483" s="218"/>
      <c r="D483" s="218"/>
      <c r="E483" s="162"/>
      <c r="F483" s="162" t="s">
        <v>3538</v>
      </c>
      <c r="G483" s="161" t="s">
        <v>3023</v>
      </c>
      <c r="H483" s="219"/>
      <c r="I483" s="101" t="str">
        <f>IFERROR(VLOOKUP(B483,'02. MM-KLH'!$B:$K,9,FALSE),"")</f>
        <v/>
      </c>
      <c r="J483" s="161"/>
      <c r="K483" s="165" t="s">
        <v>3537</v>
      </c>
      <c r="L483" s="220" t="s">
        <v>2693</v>
      </c>
      <c r="M483" s="221" t="s">
        <v>500</v>
      </c>
      <c r="N483" s="161"/>
      <c r="O483" s="161"/>
      <c r="P483" s="161"/>
      <c r="Q483" s="221" t="s">
        <v>3027</v>
      </c>
      <c r="R483" s="222" t="s">
        <v>462</v>
      </c>
    </row>
    <row r="484" ht="13.5" customHeight="1" spans="1:18">
      <c r="A484" s="161">
        <v>3</v>
      </c>
      <c r="B484" s="162" t="s">
        <v>3028</v>
      </c>
      <c r="C484" s="161"/>
      <c r="D484" s="161"/>
      <c r="E484" s="162"/>
      <c r="F484" s="162" t="s">
        <v>3539</v>
      </c>
      <c r="G484" s="161" t="s">
        <v>1103</v>
      </c>
      <c r="H484" s="219"/>
      <c r="I484" s="101">
        <f>IFERROR(VLOOKUP(B484,'02. MM-KLH'!$B:$K,9,FALSE),"")</f>
        <v>0</v>
      </c>
      <c r="J484" s="161"/>
      <c r="K484" s="165" t="s">
        <v>3537</v>
      </c>
      <c r="L484" s="220" t="s">
        <v>1644</v>
      </c>
      <c r="M484" s="221" t="s">
        <v>453</v>
      </c>
      <c r="N484" s="161"/>
      <c r="O484" s="161">
        <v>303</v>
      </c>
      <c r="P484" s="161"/>
      <c r="Q484" s="221">
        <v>857</v>
      </c>
      <c r="R484" s="223">
        <v>4262</v>
      </c>
    </row>
    <row r="485" ht="13.5" customHeight="1" spans="1:18">
      <c r="A485" s="161">
        <v>4</v>
      </c>
      <c r="B485" s="162" t="s">
        <v>3046</v>
      </c>
      <c r="C485" s="163"/>
      <c r="D485" s="163"/>
      <c r="E485" s="164"/>
      <c r="F485" s="162" t="s">
        <v>3048</v>
      </c>
      <c r="G485" s="161" t="s">
        <v>23</v>
      </c>
      <c r="H485" s="224"/>
      <c r="I485" s="101">
        <f>IFERROR(VLOOKUP(B485,'02. MM-KLH'!$B:$K,9,FALSE),"")</f>
        <v>0</v>
      </c>
      <c r="J485" s="161"/>
      <c r="K485" s="165" t="s">
        <v>3537</v>
      </c>
      <c r="L485" s="220" t="s">
        <v>1160</v>
      </c>
      <c r="M485" s="221"/>
      <c r="N485" s="161"/>
      <c r="O485" s="161"/>
      <c r="P485" s="161"/>
      <c r="Q485" s="1120" t="s">
        <v>3049</v>
      </c>
      <c r="R485" s="222" t="s">
        <v>462</v>
      </c>
    </row>
    <row r="486" ht="13.5" customHeight="1" spans="1:18">
      <c r="A486" s="127">
        <v>5</v>
      </c>
      <c r="B486" s="126" t="s">
        <v>3034</v>
      </c>
      <c r="C486" s="127"/>
      <c r="D486" s="127"/>
      <c r="E486" s="126" t="s">
        <v>3036</v>
      </c>
      <c r="F486" s="126" t="s">
        <v>3037</v>
      </c>
      <c r="G486" s="127" t="s">
        <v>1103</v>
      </c>
      <c r="H486" s="128"/>
      <c r="I486" s="101">
        <f>IFERROR(VLOOKUP(B486,'02. MM-KLH'!$B:$K,9,FALSE),"")</f>
        <v>0</v>
      </c>
      <c r="J486" s="127"/>
      <c r="K486" s="129" t="s">
        <v>3537</v>
      </c>
      <c r="L486" s="130" t="s">
        <v>1019</v>
      </c>
      <c r="M486" s="131" t="s">
        <v>500</v>
      </c>
      <c r="N486" s="127">
        <v>2018</v>
      </c>
      <c r="O486" s="127" t="s">
        <v>1587</v>
      </c>
      <c r="P486" s="127" t="s">
        <v>3038</v>
      </c>
      <c r="Q486" s="131">
        <v>880102</v>
      </c>
      <c r="R486" s="131" t="s">
        <v>462</v>
      </c>
    </row>
    <row r="487" ht="13.5" customHeight="1" spans="1:18">
      <c r="A487" s="127">
        <v>6</v>
      </c>
      <c r="B487" s="126" t="s">
        <v>3039</v>
      </c>
      <c r="C487" s="127"/>
      <c r="D487" s="127"/>
      <c r="E487" s="126" t="s">
        <v>3041</v>
      </c>
      <c r="F487" s="126" t="s">
        <v>3042</v>
      </c>
      <c r="G487" s="127" t="s">
        <v>1103</v>
      </c>
      <c r="H487" s="128">
        <v>44197</v>
      </c>
      <c r="I487" s="101">
        <f>IFERROR(VLOOKUP(B487,'02. MM-KLH'!$B:$K,9,FALSE),"")</f>
        <v>44197</v>
      </c>
      <c r="J487" s="225">
        <v>0</v>
      </c>
      <c r="K487" s="129" t="s">
        <v>8640</v>
      </c>
      <c r="L487" s="130" t="s">
        <v>3043</v>
      </c>
      <c r="M487" s="131" t="s">
        <v>1140</v>
      </c>
      <c r="N487" s="127">
        <v>2014</v>
      </c>
      <c r="O487" s="127" t="s">
        <v>3044</v>
      </c>
      <c r="P487" s="127" t="s">
        <v>3045</v>
      </c>
      <c r="Q487" s="131">
        <v>6042</v>
      </c>
      <c r="R487" s="131" t="s">
        <v>462</v>
      </c>
    </row>
    <row r="488" ht="13.5" customHeight="1" spans="1:18">
      <c r="A488" s="161">
        <v>8</v>
      </c>
      <c r="B488" s="162"/>
      <c r="C488" s="163"/>
      <c r="D488" s="163"/>
      <c r="E488" s="164"/>
      <c r="F488" s="162" t="s">
        <v>8641</v>
      </c>
      <c r="G488" s="161" t="s">
        <v>31</v>
      </c>
      <c r="H488" s="224"/>
      <c r="I488" s="101" t="str">
        <f>IFERROR(VLOOKUP(B488,'02. MM-KLH'!$B:$K,9,FALSE),"")</f>
        <v/>
      </c>
      <c r="J488" s="161"/>
      <c r="K488" s="165" t="s">
        <v>3537</v>
      </c>
      <c r="L488" s="220" t="s">
        <v>621</v>
      </c>
      <c r="M488" s="221" t="s">
        <v>500</v>
      </c>
      <c r="N488" s="161">
        <v>2012</v>
      </c>
      <c r="O488" s="161"/>
      <c r="P488" s="161"/>
      <c r="Q488" s="221">
        <v>32169</v>
      </c>
      <c r="R488" s="222" t="s">
        <v>462</v>
      </c>
    </row>
    <row r="489" ht="13.5" customHeight="1" spans="1:18">
      <c r="A489" s="161">
        <v>9</v>
      </c>
      <c r="B489" s="162"/>
      <c r="C489" s="163"/>
      <c r="D489" s="163"/>
      <c r="E489" s="164" t="s">
        <v>3053</v>
      </c>
      <c r="F489" s="162" t="s">
        <v>8642</v>
      </c>
      <c r="G489" s="161" t="s">
        <v>31</v>
      </c>
      <c r="H489" s="224">
        <v>40910</v>
      </c>
      <c r="I489" s="101" t="str">
        <f>IFERROR(VLOOKUP(B489,'02. MM-KLH'!$B:$K,9,FALSE),"")</f>
        <v/>
      </c>
      <c r="J489" s="170">
        <v>0</v>
      </c>
      <c r="K489" s="165" t="s">
        <v>3537</v>
      </c>
      <c r="L489" s="220" t="s">
        <v>1267</v>
      </c>
      <c r="M489" s="221" t="s">
        <v>465</v>
      </c>
      <c r="N489" s="161"/>
      <c r="O489" s="161"/>
      <c r="P489" s="161"/>
      <c r="Q489" s="221">
        <v>55454</v>
      </c>
      <c r="R489" s="222" t="s">
        <v>462</v>
      </c>
    </row>
    <row r="490" ht="13.5" customHeight="1" spans="1:18">
      <c r="A490" s="226"/>
      <c r="B490" s="226"/>
      <c r="C490" s="227"/>
      <c r="D490" s="227"/>
      <c r="E490" s="226"/>
      <c r="F490" s="226"/>
      <c r="G490" s="227"/>
      <c r="H490" s="227"/>
      <c r="I490" s="101" t="str">
        <f>IFERROR(VLOOKUP(B490,'02. MM-KLH'!$B:$K,9,FALSE),"")</f>
        <v/>
      </c>
      <c r="J490" s="227"/>
      <c r="K490" s="228"/>
      <c r="L490" s="229"/>
      <c r="M490" s="228"/>
      <c r="N490" s="227"/>
      <c r="O490" s="226"/>
      <c r="P490" s="226"/>
      <c r="Q490" s="228"/>
      <c r="R490" s="228"/>
    </row>
    <row r="491" ht="13.5" customHeight="1" spans="1:18">
      <c r="A491" s="226"/>
      <c r="B491" s="226"/>
      <c r="C491" s="227"/>
      <c r="D491" s="227"/>
      <c r="E491" s="226"/>
      <c r="F491" s="226"/>
      <c r="G491" s="227"/>
      <c r="H491" s="227"/>
      <c r="I491" s="101" t="str">
        <f>IFERROR(VLOOKUP(B491,'02. MM-KLH'!$B:$K,9,FALSE),"")</f>
        <v/>
      </c>
      <c r="J491" s="227"/>
      <c r="K491" s="228"/>
      <c r="L491" s="229"/>
      <c r="M491" s="228"/>
      <c r="N491" s="227"/>
      <c r="O491" s="226"/>
      <c r="P491" s="226"/>
      <c r="Q491" s="228"/>
      <c r="R491" s="228"/>
    </row>
    <row r="492" ht="13.5" customHeight="1" spans="1:18">
      <c r="A492" s="226"/>
      <c r="B492" s="226"/>
      <c r="C492" s="227"/>
      <c r="D492" s="227"/>
      <c r="E492" s="226"/>
      <c r="F492" s="226"/>
      <c r="G492" s="227"/>
      <c r="H492" s="227"/>
      <c r="I492" s="101" t="str">
        <f>IFERROR(VLOOKUP(B492,'02. MM-KLH'!$B:$K,9,FALSE),"")</f>
        <v/>
      </c>
      <c r="J492" s="227"/>
      <c r="K492" s="228"/>
      <c r="L492" s="229"/>
      <c r="M492" s="228"/>
      <c r="N492" s="227"/>
      <c r="O492" s="226"/>
      <c r="P492" s="226"/>
      <c r="Q492" s="228"/>
      <c r="R492" s="228"/>
    </row>
    <row r="493" ht="13.5" customHeight="1" spans="1:18">
      <c r="A493" s="226"/>
      <c r="B493" s="226"/>
      <c r="C493" s="227"/>
      <c r="D493" s="227"/>
      <c r="E493" s="226"/>
      <c r="F493" s="226"/>
      <c r="G493" s="227"/>
      <c r="H493" s="227"/>
      <c r="I493" s="101" t="str">
        <f>IFERROR(VLOOKUP(B493,'02. MM-KLH'!$B:$K,9,FALSE),"")</f>
        <v/>
      </c>
      <c r="J493" s="227"/>
      <c r="K493" s="228"/>
      <c r="L493" s="229"/>
      <c r="M493" s="228"/>
      <c r="N493" s="227"/>
      <c r="O493" s="226"/>
      <c r="P493" s="226"/>
      <c r="Q493" s="228"/>
      <c r="R493" s="228"/>
    </row>
    <row r="494" ht="13.5" customHeight="1" spans="1:18">
      <c r="A494" s="226"/>
      <c r="B494" s="226"/>
      <c r="C494" s="227"/>
      <c r="D494" s="227"/>
      <c r="E494" s="226"/>
      <c r="F494" s="226"/>
      <c r="G494" s="227"/>
      <c r="H494" s="227"/>
      <c r="I494" s="101" t="str">
        <f>IFERROR(VLOOKUP(B494,'02. MM-KLH'!$B:$K,9,FALSE),"")</f>
        <v/>
      </c>
      <c r="J494" s="227"/>
      <c r="K494" s="228"/>
      <c r="L494" s="229"/>
      <c r="M494" s="228"/>
      <c r="N494" s="227"/>
      <c r="O494" s="226"/>
      <c r="P494" s="226"/>
      <c r="Q494" s="228"/>
      <c r="R494" s="228"/>
    </row>
    <row r="495" ht="13.5" customHeight="1" spans="1:18">
      <c r="A495" s="226"/>
      <c r="B495" s="226"/>
      <c r="C495" s="227"/>
      <c r="D495" s="227"/>
      <c r="E495" s="226"/>
      <c r="F495" s="226"/>
      <c r="G495" s="227"/>
      <c r="H495" s="227"/>
      <c r="I495" s="101" t="str">
        <f>IFERROR(VLOOKUP(B495,'02. MM-KLH'!$B:$K,9,FALSE),"")</f>
        <v/>
      </c>
      <c r="J495" s="227"/>
      <c r="K495" s="228"/>
      <c r="L495" s="229"/>
      <c r="M495" s="228"/>
      <c r="N495" s="227"/>
      <c r="O495" s="226"/>
      <c r="P495" s="226"/>
      <c r="Q495" s="228"/>
      <c r="R495" s="228"/>
    </row>
    <row r="496" ht="13.5" customHeight="1" spans="1:18">
      <c r="A496" s="226"/>
      <c r="B496" s="226"/>
      <c r="C496" s="227"/>
      <c r="D496" s="227"/>
      <c r="E496" s="226"/>
      <c r="F496" s="226"/>
      <c r="G496" s="227"/>
      <c r="H496" s="227"/>
      <c r="I496" s="101" t="str">
        <f>IFERROR(VLOOKUP(B496,'02. MM-KLH'!$B:$K,9,FALSE),"")</f>
        <v/>
      </c>
      <c r="J496" s="227"/>
      <c r="K496" s="228"/>
      <c r="L496" s="229"/>
      <c r="M496" s="228"/>
      <c r="N496" s="227"/>
      <c r="O496" s="226"/>
      <c r="P496" s="226"/>
      <c r="Q496" s="228"/>
      <c r="R496" s="228"/>
    </row>
    <row r="497" ht="13.5" customHeight="1" spans="1:18">
      <c r="A497" s="226"/>
      <c r="B497" s="226"/>
      <c r="C497" s="227"/>
      <c r="D497" s="227"/>
      <c r="E497" s="226"/>
      <c r="F497" s="226"/>
      <c r="G497" s="227"/>
      <c r="H497" s="227"/>
      <c r="I497" s="101" t="str">
        <f>IFERROR(VLOOKUP(B497,'02. MM-KLH'!$B:$K,9,FALSE),"")</f>
        <v/>
      </c>
      <c r="J497" s="227"/>
      <c r="K497" s="228"/>
      <c r="L497" s="229"/>
      <c r="M497" s="228"/>
      <c r="N497" s="227"/>
      <c r="O497" s="226"/>
      <c r="P497" s="226"/>
      <c r="Q497" s="228"/>
      <c r="R497" s="228"/>
    </row>
    <row r="498" ht="13.5" customHeight="1" spans="1:18">
      <c r="A498" s="226"/>
      <c r="B498" s="226"/>
      <c r="C498" s="227"/>
      <c r="D498" s="227"/>
      <c r="E498" s="226"/>
      <c r="F498" s="226"/>
      <c r="G498" s="227"/>
      <c r="H498" s="227"/>
      <c r="I498" s="227"/>
      <c r="J498" s="227"/>
      <c r="K498" s="228"/>
      <c r="L498" s="229"/>
      <c r="M498" s="228"/>
      <c r="N498" s="227"/>
      <c r="O498" s="226"/>
      <c r="P498" s="226"/>
      <c r="Q498" s="228"/>
      <c r="R498" s="228"/>
    </row>
    <row r="499" ht="13.5" customHeight="1" spans="1:18">
      <c r="A499" s="226"/>
      <c r="B499" s="226"/>
      <c r="C499" s="227"/>
      <c r="D499" s="227"/>
      <c r="E499" s="226"/>
      <c r="F499" s="226"/>
      <c r="G499" s="227"/>
      <c r="H499" s="227"/>
      <c r="I499" s="227"/>
      <c r="J499" s="227"/>
      <c r="K499" s="228"/>
      <c r="L499" s="229"/>
      <c r="M499" s="228"/>
      <c r="N499" s="227"/>
      <c r="O499" s="226"/>
      <c r="P499" s="226"/>
      <c r="Q499" s="228"/>
      <c r="R499" s="228"/>
    </row>
    <row r="500" ht="13.5" customHeight="1" spans="1:18">
      <c r="A500" s="226"/>
      <c r="B500" s="226"/>
      <c r="C500" s="227"/>
      <c r="D500" s="227"/>
      <c r="E500" s="226"/>
      <c r="F500" s="226"/>
      <c r="G500" s="227"/>
      <c r="H500" s="227"/>
      <c r="I500" s="227"/>
      <c r="J500" s="227"/>
      <c r="K500" s="228"/>
      <c r="L500" s="229"/>
      <c r="M500" s="228"/>
      <c r="N500" s="227"/>
      <c r="O500" s="226"/>
      <c r="P500" s="226"/>
      <c r="Q500" s="228"/>
      <c r="R500" s="228"/>
    </row>
    <row r="501" ht="13.5" customHeight="1" spans="1:18">
      <c r="A501" s="226"/>
      <c r="B501" s="226"/>
      <c r="C501" s="227"/>
      <c r="D501" s="227"/>
      <c r="E501" s="226"/>
      <c r="F501" s="226"/>
      <c r="G501" s="227"/>
      <c r="H501" s="227"/>
      <c r="I501" s="227"/>
      <c r="J501" s="227"/>
      <c r="K501" s="228"/>
      <c r="L501" s="229"/>
      <c r="M501" s="228"/>
      <c r="N501" s="227"/>
      <c r="O501" s="226"/>
      <c r="P501" s="226"/>
      <c r="Q501" s="228"/>
      <c r="R501" s="228"/>
    </row>
    <row r="502" ht="13.5" customHeight="1" spans="1:18">
      <c r="A502" s="226"/>
      <c r="B502" s="226"/>
      <c r="C502" s="227"/>
      <c r="D502" s="227"/>
      <c r="E502" s="226"/>
      <c r="F502" s="226"/>
      <c r="G502" s="227"/>
      <c r="H502" s="227"/>
      <c r="I502" s="227"/>
      <c r="J502" s="227"/>
      <c r="K502" s="228"/>
      <c r="L502" s="229"/>
      <c r="M502" s="228"/>
      <c r="N502" s="227"/>
      <c r="O502" s="226"/>
      <c r="P502" s="226"/>
      <c r="Q502" s="228"/>
      <c r="R502" s="228"/>
    </row>
    <row r="503" ht="13.5" customHeight="1" spans="1:18">
      <c r="A503" s="226"/>
      <c r="B503" s="226"/>
      <c r="C503" s="227"/>
      <c r="D503" s="227"/>
      <c r="E503" s="226"/>
      <c r="F503" s="226"/>
      <c r="G503" s="227"/>
      <c r="H503" s="227"/>
      <c r="I503" s="227"/>
      <c r="J503" s="227"/>
      <c r="K503" s="228"/>
      <c r="L503" s="229"/>
      <c r="M503" s="228"/>
      <c r="N503" s="227"/>
      <c r="O503" s="226"/>
      <c r="P503" s="226"/>
      <c r="Q503" s="228"/>
      <c r="R503" s="228"/>
    </row>
    <row r="504" ht="13.5" customHeight="1" spans="1:18">
      <c r="A504" s="226"/>
      <c r="B504" s="226"/>
      <c r="C504" s="227"/>
      <c r="D504" s="227"/>
      <c r="E504" s="226"/>
      <c r="F504" s="226"/>
      <c r="G504" s="227"/>
      <c r="H504" s="227"/>
      <c r="I504" s="227"/>
      <c r="J504" s="227"/>
      <c r="K504" s="228"/>
      <c r="L504" s="229"/>
      <c r="M504" s="228"/>
      <c r="N504" s="227"/>
      <c r="O504" s="226"/>
      <c r="P504" s="226"/>
      <c r="Q504" s="228"/>
      <c r="R504" s="228"/>
    </row>
    <row r="505" ht="13.5" customHeight="1" spans="1:18">
      <c r="A505" s="226"/>
      <c r="B505" s="226"/>
      <c r="C505" s="227"/>
      <c r="D505" s="227"/>
      <c r="E505" s="226"/>
      <c r="F505" s="226"/>
      <c r="G505" s="227"/>
      <c r="H505" s="227"/>
      <c r="I505" s="227"/>
      <c r="J505" s="227"/>
      <c r="K505" s="228"/>
      <c r="L505" s="229"/>
      <c r="M505" s="228"/>
      <c r="N505" s="227"/>
      <c r="O505" s="226"/>
      <c r="P505" s="226"/>
      <c r="Q505" s="228"/>
      <c r="R505" s="228"/>
    </row>
    <row r="506" ht="13.5" customHeight="1" spans="1:18">
      <c r="A506" s="226"/>
      <c r="B506" s="226"/>
      <c r="C506" s="227"/>
      <c r="D506" s="227"/>
      <c r="E506" s="226"/>
      <c r="F506" s="226"/>
      <c r="G506" s="227"/>
      <c r="H506" s="227"/>
      <c r="I506" s="227"/>
      <c r="J506" s="227"/>
      <c r="K506" s="228"/>
      <c r="L506" s="229"/>
      <c r="M506" s="228"/>
      <c r="N506" s="227"/>
      <c r="O506" s="226"/>
      <c r="P506" s="226"/>
      <c r="Q506" s="228"/>
      <c r="R506" s="228"/>
    </row>
    <row r="507" ht="13.5" customHeight="1" spans="1:18">
      <c r="A507" s="226"/>
      <c r="B507" s="226"/>
      <c r="C507" s="227"/>
      <c r="D507" s="227"/>
      <c r="E507" s="226"/>
      <c r="F507" s="226"/>
      <c r="G507" s="227"/>
      <c r="H507" s="227"/>
      <c r="I507" s="227"/>
      <c r="J507" s="227"/>
      <c r="K507" s="228"/>
      <c r="L507" s="229"/>
      <c r="M507" s="228"/>
      <c r="N507" s="227"/>
      <c r="O507" s="226"/>
      <c r="P507" s="226"/>
      <c r="Q507" s="228"/>
      <c r="R507" s="228"/>
    </row>
    <row r="508" ht="13.5" customHeight="1" spans="1:18">
      <c r="A508" s="226"/>
      <c r="B508" s="226"/>
      <c r="C508" s="227"/>
      <c r="D508" s="227"/>
      <c r="E508" s="226"/>
      <c r="F508" s="226"/>
      <c r="G508" s="227"/>
      <c r="H508" s="227"/>
      <c r="I508" s="227"/>
      <c r="J508" s="227"/>
      <c r="K508" s="228"/>
      <c r="L508" s="229"/>
      <c r="M508" s="228"/>
      <c r="N508" s="227"/>
      <c r="O508" s="226"/>
      <c r="P508" s="226"/>
      <c r="Q508" s="228"/>
      <c r="R508" s="228"/>
    </row>
    <row r="509" ht="13.5" customHeight="1" spans="1:18">
      <c r="A509" s="226"/>
      <c r="B509" s="226"/>
      <c r="C509" s="227"/>
      <c r="D509" s="227"/>
      <c r="E509" s="226"/>
      <c r="F509" s="226"/>
      <c r="G509" s="227"/>
      <c r="H509" s="227"/>
      <c r="I509" s="227"/>
      <c r="J509" s="227"/>
      <c r="K509" s="228"/>
      <c r="L509" s="229"/>
      <c r="M509" s="228"/>
      <c r="N509" s="227"/>
      <c r="O509" s="226"/>
      <c r="P509" s="226"/>
      <c r="Q509" s="228"/>
      <c r="R509" s="228"/>
    </row>
    <row r="510" ht="13.5" customHeight="1" spans="1:18">
      <c r="A510" s="226"/>
      <c r="B510" s="226"/>
      <c r="C510" s="227"/>
      <c r="D510" s="227"/>
      <c r="E510" s="226"/>
      <c r="F510" s="226"/>
      <c r="G510" s="227"/>
      <c r="H510" s="227"/>
      <c r="I510" s="227"/>
      <c r="J510" s="227"/>
      <c r="K510" s="228"/>
      <c r="L510" s="229"/>
      <c r="M510" s="228"/>
      <c r="N510" s="227"/>
      <c r="O510" s="226"/>
      <c r="P510" s="226"/>
      <c r="Q510" s="228"/>
      <c r="R510" s="228"/>
    </row>
    <row r="511" ht="13.5" customHeight="1" spans="1:18">
      <c r="A511" s="226"/>
      <c r="B511" s="226"/>
      <c r="C511" s="227"/>
      <c r="D511" s="227"/>
      <c r="E511" s="226"/>
      <c r="F511" s="226"/>
      <c r="G511" s="227"/>
      <c r="H511" s="227"/>
      <c r="I511" s="227"/>
      <c r="J511" s="227"/>
      <c r="K511" s="228"/>
      <c r="L511" s="229"/>
      <c r="M511" s="228"/>
      <c r="N511" s="227"/>
      <c r="O511" s="226"/>
      <c r="P511" s="226"/>
      <c r="Q511" s="228"/>
      <c r="R511" s="228"/>
    </row>
    <row r="512" ht="13.5" customHeight="1" spans="1:18">
      <c r="A512" s="226"/>
      <c r="B512" s="226"/>
      <c r="C512" s="227"/>
      <c r="D512" s="227"/>
      <c r="E512" s="226"/>
      <c r="F512" s="226"/>
      <c r="G512" s="227"/>
      <c r="H512" s="227"/>
      <c r="I512" s="227"/>
      <c r="J512" s="227"/>
      <c r="K512" s="228"/>
      <c r="L512" s="229"/>
      <c r="M512" s="228"/>
      <c r="N512" s="227"/>
      <c r="O512" s="226"/>
      <c r="P512" s="226"/>
      <c r="Q512" s="228"/>
      <c r="R512" s="228"/>
    </row>
    <row r="513" ht="13.5" customHeight="1" spans="1:18">
      <c r="A513" s="226"/>
      <c r="B513" s="226"/>
      <c r="C513" s="227"/>
      <c r="D513" s="227"/>
      <c r="E513" s="226"/>
      <c r="F513" s="226"/>
      <c r="G513" s="227"/>
      <c r="H513" s="227"/>
      <c r="I513" s="227"/>
      <c r="J513" s="227"/>
      <c r="K513" s="228"/>
      <c r="L513" s="229"/>
      <c r="M513" s="228"/>
      <c r="N513" s="227"/>
      <c r="O513" s="226"/>
      <c r="P513" s="226"/>
      <c r="Q513" s="228"/>
      <c r="R513" s="228"/>
    </row>
    <row r="514" ht="13.5" customHeight="1" spans="1:18">
      <c r="A514" s="226"/>
      <c r="B514" s="226"/>
      <c r="C514" s="227"/>
      <c r="D514" s="227"/>
      <c r="E514" s="226"/>
      <c r="F514" s="226"/>
      <c r="G514" s="227"/>
      <c r="H514" s="227"/>
      <c r="I514" s="227"/>
      <c r="J514" s="227"/>
      <c r="K514" s="228"/>
      <c r="L514" s="229"/>
      <c r="M514" s="228"/>
      <c r="N514" s="227"/>
      <c r="O514" s="226"/>
      <c r="P514" s="226"/>
      <c r="Q514" s="228"/>
      <c r="R514" s="228"/>
    </row>
    <row r="515" ht="13.5" customHeight="1" spans="1:18">
      <c r="A515" s="226"/>
      <c r="B515" s="226"/>
      <c r="C515" s="227"/>
      <c r="D515" s="227"/>
      <c r="E515" s="226"/>
      <c r="F515" s="226"/>
      <c r="G515" s="227"/>
      <c r="H515" s="227"/>
      <c r="I515" s="227"/>
      <c r="J515" s="227"/>
      <c r="K515" s="228"/>
      <c r="L515" s="229"/>
      <c r="M515" s="228"/>
      <c r="N515" s="227"/>
      <c r="O515" s="226"/>
      <c r="P515" s="226"/>
      <c r="Q515" s="228"/>
      <c r="R515" s="228"/>
    </row>
    <row r="516" ht="13.5" customHeight="1" spans="1:18">
      <c r="A516" s="226"/>
      <c r="B516" s="226"/>
      <c r="C516" s="227"/>
      <c r="D516" s="227"/>
      <c r="E516" s="226"/>
      <c r="F516" s="226"/>
      <c r="G516" s="227"/>
      <c r="H516" s="227"/>
      <c r="I516" s="227"/>
      <c r="J516" s="227"/>
      <c r="K516" s="228"/>
      <c r="L516" s="229"/>
      <c r="M516" s="228"/>
      <c r="N516" s="227"/>
      <c r="O516" s="226"/>
      <c r="P516" s="226"/>
      <c r="Q516" s="228"/>
      <c r="R516" s="228"/>
    </row>
    <row r="517" ht="13.5" customHeight="1" spans="1:18">
      <c r="A517" s="226"/>
      <c r="B517" s="226"/>
      <c r="C517" s="227"/>
      <c r="D517" s="227"/>
      <c r="E517" s="226"/>
      <c r="F517" s="226"/>
      <c r="G517" s="227"/>
      <c r="H517" s="227"/>
      <c r="I517" s="227"/>
      <c r="J517" s="227"/>
      <c r="K517" s="228"/>
      <c r="L517" s="229"/>
      <c r="M517" s="228"/>
      <c r="N517" s="227"/>
      <c r="O517" s="226"/>
      <c r="P517" s="226"/>
      <c r="Q517" s="228"/>
      <c r="R517" s="228"/>
    </row>
    <row r="518" ht="13.5" customHeight="1" spans="1:18">
      <c r="A518" s="226"/>
      <c r="B518" s="226"/>
      <c r="C518" s="227"/>
      <c r="D518" s="227"/>
      <c r="E518" s="226"/>
      <c r="F518" s="226"/>
      <c r="G518" s="227"/>
      <c r="H518" s="227"/>
      <c r="I518" s="227"/>
      <c r="J518" s="227"/>
      <c r="K518" s="228"/>
      <c r="L518" s="229"/>
      <c r="M518" s="228"/>
      <c r="N518" s="227"/>
      <c r="O518" s="226"/>
      <c r="P518" s="226"/>
      <c r="Q518" s="228"/>
      <c r="R518" s="228"/>
    </row>
    <row r="519" ht="13.5" customHeight="1" spans="1:18">
      <c r="A519" s="226"/>
      <c r="B519" s="226"/>
      <c r="C519" s="227"/>
      <c r="D519" s="227"/>
      <c r="E519" s="226"/>
      <c r="F519" s="226"/>
      <c r="G519" s="227"/>
      <c r="H519" s="227"/>
      <c r="I519" s="227"/>
      <c r="J519" s="227"/>
      <c r="K519" s="228"/>
      <c r="L519" s="229"/>
      <c r="M519" s="228"/>
      <c r="N519" s="227"/>
      <c r="O519" s="226"/>
      <c r="P519" s="226"/>
      <c r="Q519" s="228"/>
      <c r="R519" s="228"/>
    </row>
    <row r="520" ht="13.5" customHeight="1" spans="1:18">
      <c r="A520" s="226"/>
      <c r="B520" s="226"/>
      <c r="C520" s="227"/>
      <c r="D520" s="227"/>
      <c r="E520" s="226"/>
      <c r="F520" s="226"/>
      <c r="G520" s="227"/>
      <c r="H520" s="227"/>
      <c r="I520" s="227"/>
      <c r="J520" s="227"/>
      <c r="K520" s="228"/>
      <c r="L520" s="229"/>
      <c r="M520" s="228"/>
      <c r="N520" s="227"/>
      <c r="O520" s="226"/>
      <c r="P520" s="226"/>
      <c r="Q520" s="228"/>
      <c r="R520" s="228"/>
    </row>
    <row r="521" ht="13.5" customHeight="1" spans="1:18">
      <c r="A521" s="226"/>
      <c r="B521" s="226"/>
      <c r="C521" s="227"/>
      <c r="D521" s="227"/>
      <c r="E521" s="226"/>
      <c r="F521" s="226"/>
      <c r="G521" s="227"/>
      <c r="H521" s="227"/>
      <c r="I521" s="227"/>
      <c r="J521" s="227"/>
      <c r="K521" s="228"/>
      <c r="L521" s="229"/>
      <c r="M521" s="228"/>
      <c r="N521" s="227"/>
      <c r="O521" s="226"/>
      <c r="P521" s="226"/>
      <c r="Q521" s="228"/>
      <c r="R521" s="228"/>
    </row>
    <row r="522" ht="13.5" customHeight="1" spans="1:18">
      <c r="A522" s="226"/>
      <c r="B522" s="226"/>
      <c r="C522" s="227"/>
      <c r="D522" s="227"/>
      <c r="E522" s="226"/>
      <c r="F522" s="226"/>
      <c r="G522" s="227"/>
      <c r="H522" s="227"/>
      <c r="I522" s="227"/>
      <c r="J522" s="227"/>
      <c r="K522" s="228"/>
      <c r="L522" s="229"/>
      <c r="M522" s="228"/>
      <c r="N522" s="227"/>
      <c r="O522" s="226"/>
      <c r="P522" s="226"/>
      <c r="Q522" s="228"/>
      <c r="R522" s="228"/>
    </row>
    <row r="523" ht="13.5" customHeight="1" spans="1:18">
      <c r="A523" s="226"/>
      <c r="B523" s="226"/>
      <c r="C523" s="227"/>
      <c r="D523" s="227"/>
      <c r="E523" s="226"/>
      <c r="F523" s="226"/>
      <c r="G523" s="227"/>
      <c r="H523" s="227"/>
      <c r="I523" s="227"/>
      <c r="J523" s="227"/>
      <c r="K523" s="228"/>
      <c r="L523" s="229"/>
      <c r="M523" s="228"/>
      <c r="N523" s="227"/>
      <c r="O523" s="226"/>
      <c r="P523" s="226"/>
      <c r="Q523" s="228"/>
      <c r="R523" s="228"/>
    </row>
    <row r="524" ht="13.5" customHeight="1" spans="1:18">
      <c r="A524" s="226"/>
      <c r="B524" s="226"/>
      <c r="C524" s="227"/>
      <c r="D524" s="227"/>
      <c r="E524" s="226"/>
      <c r="F524" s="226"/>
      <c r="G524" s="227"/>
      <c r="H524" s="227"/>
      <c r="I524" s="227"/>
      <c r="J524" s="227"/>
      <c r="K524" s="228"/>
      <c r="L524" s="229"/>
      <c r="M524" s="228"/>
      <c r="N524" s="227"/>
      <c r="O524" s="226"/>
      <c r="P524" s="226"/>
      <c r="Q524" s="228"/>
      <c r="R524" s="228"/>
    </row>
    <row r="525" ht="13.5" customHeight="1" spans="1:18">
      <c r="A525" s="226"/>
      <c r="B525" s="226"/>
      <c r="C525" s="227"/>
      <c r="D525" s="227"/>
      <c r="E525" s="226"/>
      <c r="F525" s="226"/>
      <c r="G525" s="227"/>
      <c r="H525" s="227"/>
      <c r="I525" s="227"/>
      <c r="J525" s="227"/>
      <c r="K525" s="228"/>
      <c r="L525" s="229"/>
      <c r="M525" s="228"/>
      <c r="N525" s="227"/>
      <c r="O525" s="226"/>
      <c r="P525" s="226"/>
      <c r="Q525" s="228"/>
      <c r="R525" s="228"/>
    </row>
    <row r="526" ht="13.5" customHeight="1" spans="1:18">
      <c r="A526" s="226"/>
      <c r="B526" s="226"/>
      <c r="C526" s="227"/>
      <c r="D526" s="227"/>
      <c r="E526" s="226"/>
      <c r="F526" s="226"/>
      <c r="G526" s="227"/>
      <c r="H526" s="227"/>
      <c r="I526" s="227"/>
      <c r="J526" s="227"/>
      <c r="K526" s="228"/>
      <c r="L526" s="229"/>
      <c r="M526" s="228"/>
      <c r="N526" s="227"/>
      <c r="O526" s="226"/>
      <c r="P526" s="226"/>
      <c r="Q526" s="228"/>
      <c r="R526" s="228"/>
    </row>
    <row r="527" ht="13.5" customHeight="1" spans="1:18">
      <c r="A527" s="226"/>
      <c r="B527" s="226"/>
      <c r="C527" s="227"/>
      <c r="D527" s="227"/>
      <c r="E527" s="226"/>
      <c r="F527" s="226"/>
      <c r="G527" s="227"/>
      <c r="H527" s="227"/>
      <c r="I527" s="227"/>
      <c r="J527" s="227"/>
      <c r="K527" s="228"/>
      <c r="L527" s="229"/>
      <c r="M527" s="228"/>
      <c r="N527" s="227"/>
      <c r="O527" s="226"/>
      <c r="P527" s="226"/>
      <c r="Q527" s="228"/>
      <c r="R527" s="228"/>
    </row>
    <row r="528" ht="13.5" customHeight="1" spans="1:18">
      <c r="A528" s="226"/>
      <c r="B528" s="226"/>
      <c r="C528" s="227"/>
      <c r="D528" s="227"/>
      <c r="E528" s="226"/>
      <c r="F528" s="226"/>
      <c r="G528" s="227"/>
      <c r="H528" s="227"/>
      <c r="I528" s="227"/>
      <c r="J528" s="227"/>
      <c r="K528" s="228"/>
      <c r="L528" s="229"/>
      <c r="M528" s="228"/>
      <c r="N528" s="227"/>
      <c r="O528" s="226"/>
      <c r="P528" s="226"/>
      <c r="Q528" s="228"/>
      <c r="R528" s="228"/>
    </row>
    <row r="529" ht="13.5" customHeight="1" spans="1:18">
      <c r="A529" s="226"/>
      <c r="B529" s="226"/>
      <c r="C529" s="227"/>
      <c r="D529" s="227"/>
      <c r="E529" s="226"/>
      <c r="F529" s="226"/>
      <c r="G529" s="227"/>
      <c r="H529" s="227"/>
      <c r="I529" s="227"/>
      <c r="J529" s="227"/>
      <c r="K529" s="228"/>
      <c r="L529" s="229"/>
      <c r="M529" s="228"/>
      <c r="N529" s="227"/>
      <c r="O529" s="226"/>
      <c r="P529" s="226"/>
      <c r="Q529" s="228"/>
      <c r="R529" s="228"/>
    </row>
    <row r="530" ht="13.5" customHeight="1" spans="1:18">
      <c r="A530" s="226"/>
      <c r="B530" s="226"/>
      <c r="C530" s="227"/>
      <c r="D530" s="227"/>
      <c r="E530" s="226"/>
      <c r="F530" s="226"/>
      <c r="G530" s="227"/>
      <c r="H530" s="227"/>
      <c r="I530" s="227"/>
      <c r="J530" s="227"/>
      <c r="K530" s="228"/>
      <c r="L530" s="229"/>
      <c r="M530" s="228"/>
      <c r="N530" s="227"/>
      <c r="O530" s="226"/>
      <c r="P530" s="226"/>
      <c r="Q530" s="228"/>
      <c r="R530" s="228"/>
    </row>
    <row r="531" ht="13.5" customHeight="1" spans="1:18">
      <c r="A531" s="226"/>
      <c r="B531" s="226"/>
      <c r="C531" s="227"/>
      <c r="D531" s="227"/>
      <c r="E531" s="226"/>
      <c r="F531" s="226"/>
      <c r="G531" s="227"/>
      <c r="H531" s="227"/>
      <c r="I531" s="227"/>
      <c r="J531" s="227"/>
      <c r="K531" s="228"/>
      <c r="L531" s="229"/>
      <c r="M531" s="228"/>
      <c r="N531" s="227"/>
      <c r="O531" s="226"/>
      <c r="P531" s="226"/>
      <c r="Q531" s="228"/>
      <c r="R531" s="228"/>
    </row>
    <row r="532" ht="13.5" customHeight="1" spans="1:18">
      <c r="A532" s="226"/>
      <c r="B532" s="226"/>
      <c r="C532" s="227"/>
      <c r="D532" s="227"/>
      <c r="E532" s="226"/>
      <c r="F532" s="226"/>
      <c r="G532" s="227"/>
      <c r="H532" s="227"/>
      <c r="I532" s="227"/>
      <c r="J532" s="227"/>
      <c r="K532" s="228"/>
      <c r="L532" s="229"/>
      <c r="M532" s="228"/>
      <c r="N532" s="227"/>
      <c r="O532" s="226"/>
      <c r="P532" s="226"/>
      <c r="Q532" s="228"/>
      <c r="R532" s="228"/>
    </row>
    <row r="533" ht="13.5" customHeight="1" spans="1:18">
      <c r="A533" s="226"/>
      <c r="B533" s="226"/>
      <c r="C533" s="227"/>
      <c r="D533" s="227"/>
      <c r="E533" s="226"/>
      <c r="F533" s="226"/>
      <c r="G533" s="227"/>
      <c r="H533" s="227"/>
      <c r="I533" s="227"/>
      <c r="J533" s="227"/>
      <c r="K533" s="228"/>
      <c r="L533" s="229"/>
      <c r="M533" s="228"/>
      <c r="N533" s="227"/>
      <c r="O533" s="226"/>
      <c r="P533" s="226"/>
      <c r="Q533" s="228"/>
      <c r="R533" s="228"/>
    </row>
    <row r="534" ht="13.5" customHeight="1" spans="1:18">
      <c r="A534" s="226"/>
      <c r="B534" s="226"/>
      <c r="C534" s="227"/>
      <c r="D534" s="227"/>
      <c r="E534" s="226"/>
      <c r="F534" s="226"/>
      <c r="G534" s="227"/>
      <c r="H534" s="227"/>
      <c r="I534" s="227"/>
      <c r="J534" s="227"/>
      <c r="K534" s="228"/>
      <c r="L534" s="229"/>
      <c r="M534" s="228"/>
      <c r="N534" s="227"/>
      <c r="O534" s="226"/>
      <c r="P534" s="226"/>
      <c r="Q534" s="228"/>
      <c r="R534" s="228"/>
    </row>
    <row r="535" ht="13.5" customHeight="1" spans="1:18">
      <c r="A535" s="226"/>
      <c r="B535" s="226"/>
      <c r="C535" s="227"/>
      <c r="D535" s="227"/>
      <c r="E535" s="226"/>
      <c r="F535" s="226"/>
      <c r="G535" s="227"/>
      <c r="H535" s="227"/>
      <c r="I535" s="227"/>
      <c r="J535" s="227"/>
      <c r="K535" s="228"/>
      <c r="L535" s="229"/>
      <c r="M535" s="228"/>
      <c r="N535" s="227"/>
      <c r="O535" s="226"/>
      <c r="P535" s="226"/>
      <c r="Q535" s="228"/>
      <c r="R535" s="228"/>
    </row>
    <row r="536" ht="13.5" customHeight="1" spans="1:18">
      <c r="A536" s="226"/>
      <c r="B536" s="226"/>
      <c r="C536" s="227"/>
      <c r="D536" s="227"/>
      <c r="E536" s="226"/>
      <c r="F536" s="226"/>
      <c r="G536" s="227"/>
      <c r="H536" s="227"/>
      <c r="I536" s="227"/>
      <c r="J536" s="227"/>
      <c r="K536" s="228"/>
      <c r="L536" s="229"/>
      <c r="M536" s="228"/>
      <c r="N536" s="227"/>
      <c r="O536" s="226"/>
      <c r="P536" s="226"/>
      <c r="Q536" s="228"/>
      <c r="R536" s="228"/>
    </row>
    <row r="537" ht="13.5" customHeight="1" spans="1:18">
      <c r="A537" s="226"/>
      <c r="B537" s="226"/>
      <c r="C537" s="227"/>
      <c r="D537" s="227"/>
      <c r="E537" s="226"/>
      <c r="F537" s="226"/>
      <c r="G537" s="227"/>
      <c r="H537" s="227"/>
      <c r="I537" s="227"/>
      <c r="J537" s="227"/>
      <c r="K537" s="228"/>
      <c r="L537" s="229"/>
      <c r="M537" s="228"/>
      <c r="N537" s="227"/>
      <c r="O537" s="226"/>
      <c r="P537" s="226"/>
      <c r="Q537" s="228"/>
      <c r="R537" s="228"/>
    </row>
    <row r="538" ht="13.5" customHeight="1" spans="1:18">
      <c r="A538" s="226"/>
      <c r="B538" s="226"/>
      <c r="C538" s="227"/>
      <c r="D538" s="227"/>
      <c r="E538" s="226"/>
      <c r="F538" s="226"/>
      <c r="G538" s="227"/>
      <c r="H538" s="227"/>
      <c r="I538" s="227"/>
      <c r="J538" s="227"/>
      <c r="K538" s="228"/>
      <c r="L538" s="229"/>
      <c r="M538" s="228"/>
      <c r="N538" s="227"/>
      <c r="O538" s="226"/>
      <c r="P538" s="226"/>
      <c r="Q538" s="228"/>
      <c r="R538" s="228"/>
    </row>
    <row r="539" ht="13.5" customHeight="1" spans="1:18">
      <c r="A539" s="226"/>
      <c r="B539" s="226"/>
      <c r="C539" s="227"/>
      <c r="D539" s="227"/>
      <c r="E539" s="226"/>
      <c r="F539" s="226"/>
      <c r="G539" s="227"/>
      <c r="H539" s="227"/>
      <c r="I539" s="227"/>
      <c r="J539" s="227"/>
      <c r="K539" s="228"/>
      <c r="L539" s="229"/>
      <c r="M539" s="228"/>
      <c r="N539" s="227"/>
      <c r="O539" s="226"/>
      <c r="P539" s="226"/>
      <c r="Q539" s="228"/>
      <c r="R539" s="228"/>
    </row>
    <row r="540" ht="13.5" customHeight="1" spans="1:18">
      <c r="A540" s="226"/>
      <c r="B540" s="226"/>
      <c r="C540" s="227"/>
      <c r="D540" s="227"/>
      <c r="E540" s="226"/>
      <c r="F540" s="226"/>
      <c r="G540" s="227"/>
      <c r="H540" s="227"/>
      <c r="I540" s="227"/>
      <c r="J540" s="227"/>
      <c r="K540" s="228"/>
      <c r="L540" s="229"/>
      <c r="M540" s="228"/>
      <c r="N540" s="227"/>
      <c r="O540" s="226"/>
      <c r="P540" s="226"/>
      <c r="Q540" s="228"/>
      <c r="R540" s="228"/>
    </row>
    <row r="541" ht="13.5" customHeight="1" spans="1:18">
      <c r="A541" s="226"/>
      <c r="B541" s="226"/>
      <c r="C541" s="227"/>
      <c r="D541" s="227"/>
      <c r="E541" s="226"/>
      <c r="F541" s="226"/>
      <c r="G541" s="227"/>
      <c r="H541" s="227"/>
      <c r="I541" s="227"/>
      <c r="J541" s="227"/>
      <c r="K541" s="228"/>
      <c r="L541" s="229"/>
      <c r="M541" s="228"/>
      <c r="N541" s="227"/>
      <c r="O541" s="226"/>
      <c r="P541" s="226"/>
      <c r="Q541" s="228"/>
      <c r="R541" s="228"/>
    </row>
    <row r="542" ht="13.5" customHeight="1" spans="1:18">
      <c r="A542" s="226"/>
      <c r="B542" s="226"/>
      <c r="C542" s="227"/>
      <c r="D542" s="227"/>
      <c r="E542" s="226"/>
      <c r="F542" s="226"/>
      <c r="G542" s="227"/>
      <c r="H542" s="227"/>
      <c r="I542" s="227"/>
      <c r="J542" s="227"/>
      <c r="K542" s="228"/>
      <c r="L542" s="229"/>
      <c r="M542" s="228"/>
      <c r="N542" s="227"/>
      <c r="O542" s="226"/>
      <c r="P542" s="226"/>
      <c r="Q542" s="228"/>
      <c r="R542" s="228"/>
    </row>
    <row r="543" ht="13.5" customHeight="1" spans="1:18">
      <c r="A543" s="226"/>
      <c r="B543" s="226"/>
      <c r="C543" s="227"/>
      <c r="D543" s="227"/>
      <c r="E543" s="226"/>
      <c r="F543" s="226"/>
      <c r="G543" s="227"/>
      <c r="H543" s="227"/>
      <c r="I543" s="227"/>
      <c r="J543" s="227"/>
      <c r="K543" s="228"/>
      <c r="L543" s="229"/>
      <c r="M543" s="228"/>
      <c r="N543" s="227"/>
      <c r="O543" s="226"/>
      <c r="P543" s="226"/>
      <c r="Q543" s="228"/>
      <c r="R543" s="228"/>
    </row>
    <row r="544" ht="13.5" customHeight="1" spans="1:18">
      <c r="A544" s="226"/>
      <c r="B544" s="226"/>
      <c r="C544" s="227"/>
      <c r="D544" s="227"/>
      <c r="E544" s="226"/>
      <c r="F544" s="226"/>
      <c r="G544" s="227"/>
      <c r="H544" s="227"/>
      <c r="I544" s="227"/>
      <c r="J544" s="227"/>
      <c r="K544" s="228"/>
      <c r="L544" s="229"/>
      <c r="M544" s="228"/>
      <c r="N544" s="227"/>
      <c r="O544" s="226"/>
      <c r="P544" s="226"/>
      <c r="Q544" s="228"/>
      <c r="R544" s="228"/>
    </row>
    <row r="545" ht="13.5" customHeight="1" spans="1:18">
      <c r="A545" s="226"/>
      <c r="B545" s="226"/>
      <c r="C545" s="227"/>
      <c r="D545" s="227"/>
      <c r="E545" s="226"/>
      <c r="F545" s="226"/>
      <c r="G545" s="227"/>
      <c r="H545" s="227"/>
      <c r="I545" s="227"/>
      <c r="J545" s="227"/>
      <c r="K545" s="228"/>
      <c r="L545" s="229"/>
      <c r="M545" s="228"/>
      <c r="N545" s="227"/>
      <c r="O545" s="226"/>
      <c r="P545" s="226"/>
      <c r="Q545" s="228"/>
      <c r="R545" s="228"/>
    </row>
    <row r="546" ht="13.5" customHeight="1" spans="1:18">
      <c r="A546" s="226"/>
      <c r="B546" s="226"/>
      <c r="C546" s="227"/>
      <c r="D546" s="227"/>
      <c r="E546" s="226"/>
      <c r="F546" s="226"/>
      <c r="G546" s="227"/>
      <c r="H546" s="227"/>
      <c r="I546" s="227"/>
      <c r="J546" s="227"/>
      <c r="K546" s="228"/>
      <c r="L546" s="229"/>
      <c r="M546" s="228"/>
      <c r="N546" s="227"/>
      <c r="O546" s="226"/>
      <c r="P546" s="226"/>
      <c r="Q546" s="228"/>
      <c r="R546" s="228"/>
    </row>
    <row r="547" ht="13.5" customHeight="1" spans="1:18">
      <c r="A547" s="226"/>
      <c r="B547" s="226"/>
      <c r="C547" s="227"/>
      <c r="D547" s="227"/>
      <c r="E547" s="226"/>
      <c r="F547" s="226"/>
      <c r="G547" s="227"/>
      <c r="H547" s="227"/>
      <c r="I547" s="227"/>
      <c r="J547" s="227"/>
      <c r="K547" s="228"/>
      <c r="L547" s="229"/>
      <c r="M547" s="228"/>
      <c r="N547" s="227"/>
      <c r="O547" s="226"/>
      <c r="P547" s="226"/>
      <c r="Q547" s="228"/>
      <c r="R547" s="228"/>
    </row>
    <row r="548" ht="13.5" customHeight="1" spans="1:18">
      <c r="A548" s="226"/>
      <c r="B548" s="226"/>
      <c r="C548" s="227"/>
      <c r="D548" s="227"/>
      <c r="E548" s="226"/>
      <c r="F548" s="226"/>
      <c r="G548" s="227"/>
      <c r="H548" s="227"/>
      <c r="I548" s="227"/>
      <c r="J548" s="227"/>
      <c r="K548" s="228"/>
      <c r="L548" s="229"/>
      <c r="M548" s="228"/>
      <c r="N548" s="227"/>
      <c r="O548" s="226"/>
      <c r="P548" s="226"/>
      <c r="Q548" s="228"/>
      <c r="R548" s="228"/>
    </row>
    <row r="549" ht="13.5" customHeight="1" spans="1:18">
      <c r="A549" s="226"/>
      <c r="B549" s="226"/>
      <c r="C549" s="227"/>
      <c r="D549" s="227"/>
      <c r="E549" s="226"/>
      <c r="F549" s="226"/>
      <c r="G549" s="227"/>
      <c r="H549" s="227"/>
      <c r="I549" s="227"/>
      <c r="J549" s="227"/>
      <c r="K549" s="228"/>
      <c r="L549" s="229"/>
      <c r="M549" s="228"/>
      <c r="N549" s="227"/>
      <c r="O549" s="226"/>
      <c r="P549" s="226"/>
      <c r="Q549" s="228"/>
      <c r="R549" s="228"/>
    </row>
    <row r="550" ht="13.5" customHeight="1" spans="1:18">
      <c r="A550" s="226"/>
      <c r="B550" s="226"/>
      <c r="C550" s="227"/>
      <c r="D550" s="227"/>
      <c r="E550" s="226"/>
      <c r="F550" s="226"/>
      <c r="G550" s="227"/>
      <c r="H550" s="227"/>
      <c r="I550" s="227"/>
      <c r="J550" s="227"/>
      <c r="K550" s="228"/>
      <c r="L550" s="229"/>
      <c r="M550" s="228"/>
      <c r="N550" s="227"/>
      <c r="O550" s="226"/>
      <c r="P550" s="226"/>
      <c r="Q550" s="228"/>
      <c r="R550" s="228"/>
    </row>
    <row r="551" ht="13.5" customHeight="1" spans="1:18">
      <c r="A551" s="226"/>
      <c r="B551" s="226"/>
      <c r="C551" s="227"/>
      <c r="D551" s="227"/>
      <c r="E551" s="226"/>
      <c r="F551" s="226"/>
      <c r="G551" s="227"/>
      <c r="H551" s="227"/>
      <c r="I551" s="227"/>
      <c r="J551" s="227"/>
      <c r="K551" s="228"/>
      <c r="L551" s="229"/>
      <c r="M551" s="228"/>
      <c r="N551" s="227"/>
      <c r="O551" s="226"/>
      <c r="P551" s="226"/>
      <c r="Q551" s="228"/>
      <c r="R551" s="228"/>
    </row>
    <row r="552" ht="13.5" customHeight="1" spans="1:18">
      <c r="A552" s="226"/>
      <c r="B552" s="226"/>
      <c r="C552" s="227"/>
      <c r="D552" s="227"/>
      <c r="E552" s="226"/>
      <c r="F552" s="226"/>
      <c r="G552" s="227"/>
      <c r="H552" s="227"/>
      <c r="I552" s="227"/>
      <c r="J552" s="227"/>
      <c r="K552" s="228"/>
      <c r="L552" s="229"/>
      <c r="M552" s="228"/>
      <c r="N552" s="227"/>
      <c r="O552" s="226"/>
      <c r="P552" s="226"/>
      <c r="Q552" s="228"/>
      <c r="R552" s="228"/>
    </row>
    <row r="553" ht="13.5" customHeight="1" spans="1:18">
      <c r="A553" s="226"/>
      <c r="B553" s="226"/>
      <c r="C553" s="227"/>
      <c r="D553" s="227"/>
      <c r="E553" s="226"/>
      <c r="F553" s="226"/>
      <c r="G553" s="227"/>
      <c r="H553" s="227"/>
      <c r="I553" s="227"/>
      <c r="J553" s="227"/>
      <c r="K553" s="228"/>
      <c r="L553" s="229"/>
      <c r="M553" s="228"/>
      <c r="N553" s="227"/>
      <c r="O553" s="226"/>
      <c r="P553" s="226"/>
      <c r="Q553" s="228"/>
      <c r="R553" s="228"/>
    </row>
    <row r="554" ht="13.5" customHeight="1" spans="1:18">
      <c r="A554" s="226"/>
      <c r="B554" s="226"/>
      <c r="C554" s="227"/>
      <c r="D554" s="227"/>
      <c r="E554" s="226"/>
      <c r="F554" s="226"/>
      <c r="G554" s="227"/>
      <c r="H554" s="227"/>
      <c r="I554" s="227"/>
      <c r="J554" s="227"/>
      <c r="K554" s="228"/>
      <c r="L554" s="229"/>
      <c r="M554" s="228"/>
      <c r="N554" s="227"/>
      <c r="O554" s="226"/>
      <c r="P554" s="226"/>
      <c r="Q554" s="228"/>
      <c r="R554" s="228"/>
    </row>
    <row r="555" ht="13.5" customHeight="1" spans="1:18">
      <c r="A555" s="226"/>
      <c r="B555" s="226"/>
      <c r="C555" s="227"/>
      <c r="D555" s="227"/>
      <c r="E555" s="226"/>
      <c r="F555" s="226"/>
      <c r="G555" s="227"/>
      <c r="H555" s="227"/>
      <c r="I555" s="227"/>
      <c r="J555" s="227"/>
      <c r="K555" s="228"/>
      <c r="L555" s="229"/>
      <c r="M555" s="228"/>
      <c r="N555" s="227"/>
      <c r="O555" s="226"/>
      <c r="P555" s="226"/>
      <c r="Q555" s="228"/>
      <c r="R555" s="228"/>
    </row>
    <row r="556" ht="13.5" customHeight="1" spans="1:18">
      <c r="A556" s="226"/>
      <c r="B556" s="226"/>
      <c r="C556" s="227"/>
      <c r="D556" s="227"/>
      <c r="E556" s="226"/>
      <c r="F556" s="226"/>
      <c r="G556" s="227"/>
      <c r="H556" s="227"/>
      <c r="I556" s="227"/>
      <c r="J556" s="227"/>
      <c r="K556" s="228"/>
      <c r="L556" s="229"/>
      <c r="M556" s="228"/>
      <c r="N556" s="227"/>
      <c r="O556" s="226"/>
      <c r="P556" s="226"/>
      <c r="Q556" s="228"/>
      <c r="R556" s="228"/>
    </row>
    <row r="557" ht="13.5" customHeight="1" spans="1:18">
      <c r="A557" s="226"/>
      <c r="B557" s="226"/>
      <c r="C557" s="227"/>
      <c r="D557" s="227"/>
      <c r="E557" s="226"/>
      <c r="F557" s="226"/>
      <c r="G557" s="227"/>
      <c r="H557" s="227"/>
      <c r="I557" s="227"/>
      <c r="J557" s="227"/>
      <c r="K557" s="228"/>
      <c r="L557" s="229"/>
      <c r="M557" s="228"/>
      <c r="N557" s="227"/>
      <c r="O557" s="226"/>
      <c r="P557" s="226"/>
      <c r="Q557" s="228"/>
      <c r="R557" s="228"/>
    </row>
    <row r="558" ht="13.5" customHeight="1" spans="1:18">
      <c r="A558" s="226"/>
      <c r="B558" s="226"/>
      <c r="C558" s="227"/>
      <c r="D558" s="227"/>
      <c r="E558" s="226"/>
      <c r="F558" s="226"/>
      <c r="G558" s="227"/>
      <c r="H558" s="227"/>
      <c r="I558" s="227"/>
      <c r="J558" s="227"/>
      <c r="K558" s="228"/>
      <c r="L558" s="229"/>
      <c r="M558" s="228"/>
      <c r="N558" s="227"/>
      <c r="O558" s="226"/>
      <c r="P558" s="226"/>
      <c r="Q558" s="228"/>
      <c r="R558" s="228"/>
    </row>
    <row r="559" ht="13.5" customHeight="1" spans="1:18">
      <c r="A559" s="226"/>
      <c r="B559" s="226"/>
      <c r="C559" s="227"/>
      <c r="D559" s="227"/>
      <c r="E559" s="226"/>
      <c r="F559" s="226"/>
      <c r="G559" s="227"/>
      <c r="H559" s="227"/>
      <c r="I559" s="227"/>
      <c r="J559" s="227"/>
      <c r="K559" s="228"/>
      <c r="L559" s="229"/>
      <c r="M559" s="228"/>
      <c r="N559" s="227"/>
      <c r="O559" s="226"/>
      <c r="P559" s="226"/>
      <c r="Q559" s="228"/>
      <c r="R559" s="228"/>
    </row>
    <row r="560" ht="13.5" customHeight="1" spans="1:18">
      <c r="A560" s="226"/>
      <c r="B560" s="226"/>
      <c r="C560" s="227"/>
      <c r="D560" s="227"/>
      <c r="E560" s="226"/>
      <c r="F560" s="226"/>
      <c r="G560" s="227"/>
      <c r="H560" s="227"/>
      <c r="I560" s="227"/>
      <c r="J560" s="227"/>
      <c r="K560" s="228"/>
      <c r="L560" s="229"/>
      <c r="M560" s="228"/>
      <c r="N560" s="227"/>
      <c r="O560" s="226"/>
      <c r="P560" s="226"/>
      <c r="Q560" s="228"/>
      <c r="R560" s="228"/>
    </row>
    <row r="561" ht="13.5" customHeight="1" spans="1:18">
      <c r="A561" s="226"/>
      <c r="B561" s="226"/>
      <c r="C561" s="227"/>
      <c r="D561" s="227"/>
      <c r="E561" s="226"/>
      <c r="F561" s="226"/>
      <c r="G561" s="227"/>
      <c r="H561" s="227"/>
      <c r="I561" s="227"/>
      <c r="J561" s="227"/>
      <c r="K561" s="228"/>
      <c r="L561" s="229"/>
      <c r="M561" s="228"/>
      <c r="N561" s="227"/>
      <c r="O561" s="226"/>
      <c r="P561" s="226"/>
      <c r="Q561" s="228"/>
      <c r="R561" s="228"/>
    </row>
    <row r="562" ht="13.5" customHeight="1" spans="1:18">
      <c r="A562" s="226"/>
      <c r="B562" s="226"/>
      <c r="C562" s="227"/>
      <c r="D562" s="227"/>
      <c r="E562" s="226"/>
      <c r="F562" s="226"/>
      <c r="G562" s="227"/>
      <c r="H562" s="227"/>
      <c r="I562" s="227"/>
      <c r="J562" s="227"/>
      <c r="K562" s="228"/>
      <c r="L562" s="229"/>
      <c r="M562" s="228"/>
      <c r="N562" s="227"/>
      <c r="O562" s="226"/>
      <c r="P562" s="226"/>
      <c r="Q562" s="228"/>
      <c r="R562" s="228"/>
    </row>
    <row r="563" ht="13.5" customHeight="1" spans="1:18">
      <c r="A563" s="226"/>
      <c r="B563" s="226"/>
      <c r="C563" s="227"/>
      <c r="D563" s="227"/>
      <c r="E563" s="226"/>
      <c r="F563" s="226"/>
      <c r="G563" s="227"/>
      <c r="H563" s="227"/>
      <c r="I563" s="227"/>
      <c r="J563" s="227"/>
      <c r="K563" s="228"/>
      <c r="L563" s="229"/>
      <c r="M563" s="228"/>
      <c r="N563" s="227"/>
      <c r="O563" s="226"/>
      <c r="P563" s="226"/>
      <c r="Q563" s="228"/>
      <c r="R563" s="228"/>
    </row>
    <row r="564" ht="13.5" customHeight="1" spans="1:18">
      <c r="A564" s="226"/>
      <c r="B564" s="226"/>
      <c r="C564" s="227"/>
      <c r="D564" s="227"/>
      <c r="E564" s="226"/>
      <c r="F564" s="226"/>
      <c r="G564" s="227"/>
      <c r="H564" s="227"/>
      <c r="I564" s="227"/>
      <c r="J564" s="227"/>
      <c r="K564" s="228"/>
      <c r="L564" s="229"/>
      <c r="M564" s="228"/>
      <c r="N564" s="227"/>
      <c r="O564" s="226"/>
      <c r="P564" s="226"/>
      <c r="Q564" s="228"/>
      <c r="R564" s="228"/>
    </row>
    <row r="565" ht="13.5" customHeight="1" spans="1:18">
      <c r="A565" s="226"/>
      <c r="B565" s="226"/>
      <c r="C565" s="227"/>
      <c r="D565" s="227"/>
      <c r="E565" s="226"/>
      <c r="F565" s="226"/>
      <c r="G565" s="227"/>
      <c r="H565" s="227"/>
      <c r="I565" s="227"/>
      <c r="J565" s="227"/>
      <c r="K565" s="228"/>
      <c r="L565" s="229"/>
      <c r="M565" s="228"/>
      <c r="N565" s="227"/>
      <c r="O565" s="226"/>
      <c r="P565" s="226"/>
      <c r="Q565" s="228"/>
      <c r="R565" s="228"/>
    </row>
    <row r="566" ht="13.5" customHeight="1" spans="1:18">
      <c r="A566" s="226"/>
      <c r="B566" s="226"/>
      <c r="C566" s="227"/>
      <c r="D566" s="227"/>
      <c r="E566" s="226"/>
      <c r="F566" s="226"/>
      <c r="G566" s="227"/>
      <c r="H566" s="227"/>
      <c r="I566" s="227"/>
      <c r="J566" s="227"/>
      <c r="K566" s="228"/>
      <c r="L566" s="229"/>
      <c r="M566" s="228"/>
      <c r="N566" s="227"/>
      <c r="O566" s="226"/>
      <c r="P566" s="226"/>
      <c r="Q566" s="228"/>
      <c r="R566" s="228"/>
    </row>
    <row r="567" ht="13.5" customHeight="1" spans="1:18">
      <c r="A567" s="226"/>
      <c r="B567" s="226"/>
      <c r="C567" s="227"/>
      <c r="D567" s="227"/>
      <c r="E567" s="226"/>
      <c r="F567" s="226"/>
      <c r="G567" s="227"/>
      <c r="H567" s="227"/>
      <c r="I567" s="227"/>
      <c r="J567" s="227"/>
      <c r="K567" s="228"/>
      <c r="L567" s="229"/>
      <c r="M567" s="228"/>
      <c r="N567" s="227"/>
      <c r="O567" s="226"/>
      <c r="P567" s="226"/>
      <c r="Q567" s="228"/>
      <c r="R567" s="228"/>
    </row>
    <row r="568" ht="13.5" customHeight="1" spans="1:18">
      <c r="A568" s="226"/>
      <c r="B568" s="226"/>
      <c r="C568" s="227"/>
      <c r="D568" s="227"/>
      <c r="E568" s="226"/>
      <c r="F568" s="226"/>
      <c r="G568" s="227"/>
      <c r="H568" s="227"/>
      <c r="I568" s="227"/>
      <c r="J568" s="227"/>
      <c r="K568" s="228"/>
      <c r="L568" s="229"/>
      <c r="M568" s="228"/>
      <c r="N568" s="227"/>
      <c r="O568" s="226"/>
      <c r="P568" s="226"/>
      <c r="Q568" s="228"/>
      <c r="R568" s="228"/>
    </row>
    <row r="569" ht="13.5" customHeight="1" spans="1:18">
      <c r="A569" s="226"/>
      <c r="B569" s="226"/>
      <c r="C569" s="227"/>
      <c r="D569" s="227"/>
      <c r="E569" s="226"/>
      <c r="F569" s="226"/>
      <c r="G569" s="227"/>
      <c r="H569" s="227"/>
      <c r="I569" s="227"/>
      <c r="J569" s="227"/>
      <c r="K569" s="228"/>
      <c r="L569" s="229"/>
      <c r="M569" s="228"/>
      <c r="N569" s="227"/>
      <c r="O569" s="226"/>
      <c r="P569" s="226"/>
      <c r="Q569" s="228"/>
      <c r="R569" s="228"/>
    </row>
    <row r="570" ht="13.5" customHeight="1" spans="1:18">
      <c r="A570" s="226"/>
      <c r="B570" s="226"/>
      <c r="C570" s="227"/>
      <c r="D570" s="227"/>
      <c r="E570" s="226"/>
      <c r="F570" s="226"/>
      <c r="G570" s="227"/>
      <c r="H570" s="227"/>
      <c r="I570" s="227"/>
      <c r="J570" s="227"/>
      <c r="K570" s="228"/>
      <c r="L570" s="229"/>
      <c r="M570" s="228"/>
      <c r="N570" s="227"/>
      <c r="O570" s="226"/>
      <c r="P570" s="226"/>
      <c r="Q570" s="228"/>
      <c r="R570" s="228"/>
    </row>
    <row r="571" ht="13.5" customHeight="1" spans="1:18">
      <c r="A571" s="226"/>
      <c r="B571" s="226"/>
      <c r="C571" s="227"/>
      <c r="D571" s="227"/>
      <c r="E571" s="226"/>
      <c r="F571" s="226"/>
      <c r="G571" s="227"/>
      <c r="H571" s="227"/>
      <c r="I571" s="227"/>
      <c r="J571" s="227"/>
      <c r="K571" s="228"/>
      <c r="L571" s="229"/>
      <c r="M571" s="228"/>
      <c r="N571" s="227"/>
      <c r="O571" s="226"/>
      <c r="P571" s="226"/>
      <c r="Q571" s="228"/>
      <c r="R571" s="228"/>
    </row>
    <row r="572" ht="13.5" customHeight="1" spans="1:18">
      <c r="A572" s="226"/>
      <c r="B572" s="226"/>
      <c r="C572" s="227"/>
      <c r="D572" s="227"/>
      <c r="E572" s="226"/>
      <c r="F572" s="226"/>
      <c r="G572" s="227"/>
      <c r="H572" s="227"/>
      <c r="I572" s="227"/>
      <c r="J572" s="227"/>
      <c r="K572" s="228"/>
      <c r="L572" s="229"/>
      <c r="M572" s="228"/>
      <c r="N572" s="227"/>
      <c r="O572" s="226"/>
      <c r="P572" s="226"/>
      <c r="Q572" s="228"/>
      <c r="R572" s="228"/>
    </row>
    <row r="573" ht="13.5" customHeight="1" spans="1:18">
      <c r="A573" s="226"/>
      <c r="B573" s="226"/>
      <c r="C573" s="227"/>
      <c r="D573" s="227"/>
      <c r="E573" s="226"/>
      <c r="F573" s="226"/>
      <c r="G573" s="227"/>
      <c r="H573" s="227"/>
      <c r="I573" s="227"/>
      <c r="J573" s="227"/>
      <c r="K573" s="228"/>
      <c r="L573" s="229"/>
      <c r="M573" s="228"/>
      <c r="N573" s="227"/>
      <c r="O573" s="226"/>
      <c r="P573" s="226"/>
      <c r="Q573" s="228"/>
      <c r="R573" s="228"/>
    </row>
    <row r="574" ht="13.5" customHeight="1" spans="1:18">
      <c r="A574" s="226"/>
      <c r="B574" s="226"/>
      <c r="C574" s="227"/>
      <c r="D574" s="227"/>
      <c r="E574" s="226"/>
      <c r="F574" s="226"/>
      <c r="G574" s="227"/>
      <c r="H574" s="227"/>
      <c r="I574" s="227"/>
      <c r="J574" s="227"/>
      <c r="K574" s="228"/>
      <c r="L574" s="229"/>
      <c r="M574" s="228"/>
      <c r="N574" s="227"/>
      <c r="O574" s="226"/>
      <c r="P574" s="226"/>
      <c r="Q574" s="228"/>
      <c r="R574" s="228"/>
    </row>
    <row r="575" ht="13.5" customHeight="1" spans="1:18">
      <c r="A575" s="226"/>
      <c r="B575" s="226"/>
      <c r="C575" s="227"/>
      <c r="D575" s="227"/>
      <c r="E575" s="226"/>
      <c r="F575" s="226"/>
      <c r="G575" s="227"/>
      <c r="H575" s="227"/>
      <c r="I575" s="227"/>
      <c r="J575" s="227"/>
      <c r="K575" s="228"/>
      <c r="L575" s="229"/>
      <c r="M575" s="228"/>
      <c r="N575" s="227"/>
      <c r="O575" s="226"/>
      <c r="P575" s="226"/>
      <c r="Q575" s="228"/>
      <c r="R575" s="228"/>
    </row>
    <row r="576" ht="13.5" customHeight="1" spans="1:18">
      <c r="A576" s="226"/>
      <c r="B576" s="226"/>
      <c r="C576" s="227"/>
      <c r="D576" s="227"/>
      <c r="E576" s="226"/>
      <c r="F576" s="226"/>
      <c r="G576" s="227"/>
      <c r="H576" s="227"/>
      <c r="I576" s="227"/>
      <c r="J576" s="227"/>
      <c r="K576" s="228"/>
      <c r="L576" s="229"/>
      <c r="M576" s="228"/>
      <c r="N576" s="227"/>
      <c r="O576" s="226"/>
      <c r="P576" s="226"/>
      <c r="Q576" s="228"/>
      <c r="R576" s="228"/>
    </row>
    <row r="577" ht="13.5" customHeight="1" spans="1:18">
      <c r="A577" s="226"/>
      <c r="B577" s="226"/>
      <c r="C577" s="227"/>
      <c r="D577" s="227"/>
      <c r="E577" s="226"/>
      <c r="F577" s="226"/>
      <c r="G577" s="227"/>
      <c r="H577" s="227"/>
      <c r="I577" s="227"/>
      <c r="J577" s="227"/>
      <c r="K577" s="228"/>
      <c r="L577" s="229"/>
      <c r="M577" s="228"/>
      <c r="N577" s="227"/>
      <c r="O577" s="226"/>
      <c r="P577" s="226"/>
      <c r="Q577" s="228"/>
      <c r="R577" s="228"/>
    </row>
    <row r="578" ht="13.5" customHeight="1" spans="1:18">
      <c r="A578" s="226"/>
      <c r="B578" s="226"/>
      <c r="C578" s="227"/>
      <c r="D578" s="227"/>
      <c r="E578" s="226"/>
      <c r="F578" s="226"/>
      <c r="G578" s="227"/>
      <c r="H578" s="227"/>
      <c r="I578" s="227"/>
      <c r="J578" s="227"/>
      <c r="K578" s="228"/>
      <c r="L578" s="229"/>
      <c r="M578" s="228"/>
      <c r="N578" s="227"/>
      <c r="O578" s="226"/>
      <c r="P578" s="226"/>
      <c r="Q578" s="228"/>
      <c r="R578" s="228"/>
    </row>
    <row r="579" ht="13.5" customHeight="1" spans="1:18">
      <c r="A579" s="226"/>
      <c r="B579" s="226"/>
      <c r="C579" s="227"/>
      <c r="D579" s="227"/>
      <c r="E579" s="226"/>
      <c r="F579" s="226"/>
      <c r="G579" s="227"/>
      <c r="H579" s="227"/>
      <c r="I579" s="227"/>
      <c r="J579" s="227"/>
      <c r="K579" s="228"/>
      <c r="L579" s="229"/>
      <c r="M579" s="228"/>
      <c r="N579" s="227"/>
      <c r="O579" s="226"/>
      <c r="P579" s="226"/>
      <c r="Q579" s="228"/>
      <c r="R579" s="228"/>
    </row>
    <row r="580" ht="13.5" customHeight="1" spans="1:18">
      <c r="A580" s="226"/>
      <c r="B580" s="226"/>
      <c r="C580" s="227"/>
      <c r="D580" s="227"/>
      <c r="E580" s="226"/>
      <c r="F580" s="226"/>
      <c r="G580" s="227"/>
      <c r="H580" s="227"/>
      <c r="I580" s="227"/>
      <c r="J580" s="227"/>
      <c r="K580" s="228"/>
      <c r="L580" s="229"/>
      <c r="M580" s="228"/>
      <c r="N580" s="227"/>
      <c r="O580" s="226"/>
      <c r="P580" s="226"/>
      <c r="Q580" s="228"/>
      <c r="R580" s="228"/>
    </row>
    <row r="581" ht="13.5" customHeight="1" spans="1:18">
      <c r="A581" s="226"/>
      <c r="B581" s="226"/>
      <c r="C581" s="227"/>
      <c r="D581" s="227"/>
      <c r="E581" s="226"/>
      <c r="F581" s="226"/>
      <c r="G581" s="227"/>
      <c r="H581" s="227"/>
      <c r="I581" s="227"/>
      <c r="J581" s="227"/>
      <c r="K581" s="228"/>
      <c r="L581" s="229"/>
      <c r="M581" s="228"/>
      <c r="N581" s="227"/>
      <c r="O581" s="226"/>
      <c r="P581" s="226"/>
      <c r="Q581" s="228"/>
      <c r="R581" s="228"/>
    </row>
    <row r="582" ht="13.5" customHeight="1" spans="1:18">
      <c r="A582" s="226"/>
      <c r="B582" s="226"/>
      <c r="C582" s="227"/>
      <c r="D582" s="227"/>
      <c r="E582" s="226"/>
      <c r="F582" s="226"/>
      <c r="G582" s="227"/>
      <c r="H582" s="227"/>
      <c r="I582" s="227"/>
      <c r="J582" s="227"/>
      <c r="K582" s="228"/>
      <c r="L582" s="229"/>
      <c r="M582" s="228"/>
      <c r="N582" s="227"/>
      <c r="O582" s="226"/>
      <c r="P582" s="226"/>
      <c r="Q582" s="228"/>
      <c r="R582" s="228"/>
    </row>
    <row r="583" ht="13.5" customHeight="1" spans="1:18">
      <c r="A583" s="226"/>
      <c r="B583" s="226"/>
      <c r="C583" s="227"/>
      <c r="D583" s="227"/>
      <c r="E583" s="226"/>
      <c r="F583" s="226"/>
      <c r="G583" s="227"/>
      <c r="H583" s="227"/>
      <c r="I583" s="227"/>
      <c r="J583" s="227"/>
      <c r="K583" s="228"/>
      <c r="L583" s="229"/>
      <c r="M583" s="228"/>
      <c r="N583" s="227"/>
      <c r="O583" s="226"/>
      <c r="P583" s="226"/>
      <c r="Q583" s="228"/>
      <c r="R583" s="228"/>
    </row>
    <row r="584" ht="13.5" customHeight="1" spans="1:18">
      <c r="A584" s="226"/>
      <c r="B584" s="226"/>
      <c r="C584" s="227"/>
      <c r="D584" s="227"/>
      <c r="E584" s="226"/>
      <c r="F584" s="226"/>
      <c r="G584" s="227"/>
      <c r="H584" s="227"/>
      <c r="I584" s="227"/>
      <c r="J584" s="227"/>
      <c r="K584" s="228"/>
      <c r="L584" s="229"/>
      <c r="M584" s="228"/>
      <c r="N584" s="227"/>
      <c r="O584" s="226"/>
      <c r="P584" s="226"/>
      <c r="Q584" s="228"/>
      <c r="R584" s="228"/>
    </row>
    <row r="585" ht="13.5" customHeight="1" spans="1:18">
      <c r="A585" s="226"/>
      <c r="B585" s="226"/>
      <c r="C585" s="227"/>
      <c r="D585" s="227"/>
      <c r="E585" s="226"/>
      <c r="F585" s="226"/>
      <c r="G585" s="227"/>
      <c r="H585" s="227"/>
      <c r="I585" s="227"/>
      <c r="J585" s="227"/>
      <c r="K585" s="228"/>
      <c r="L585" s="229"/>
      <c r="M585" s="228"/>
      <c r="N585" s="227"/>
      <c r="O585" s="226"/>
      <c r="P585" s="226"/>
      <c r="Q585" s="228"/>
      <c r="R585" s="228"/>
    </row>
    <row r="586" ht="13.5" customHeight="1" spans="1:18">
      <c r="A586" s="226"/>
      <c r="B586" s="226"/>
      <c r="C586" s="227"/>
      <c r="D586" s="227"/>
      <c r="E586" s="226"/>
      <c r="F586" s="226"/>
      <c r="G586" s="227"/>
      <c r="H586" s="227"/>
      <c r="I586" s="227"/>
      <c r="J586" s="227"/>
      <c r="K586" s="228"/>
      <c r="L586" s="229"/>
      <c r="M586" s="228"/>
      <c r="N586" s="227"/>
      <c r="O586" s="226"/>
      <c r="P586" s="226"/>
      <c r="Q586" s="228"/>
      <c r="R586" s="228"/>
    </row>
    <row r="587" ht="13.5" customHeight="1" spans="1:18">
      <c r="A587" s="226"/>
      <c r="B587" s="226"/>
      <c r="C587" s="227"/>
      <c r="D587" s="227"/>
      <c r="E587" s="226"/>
      <c r="F587" s="226"/>
      <c r="G587" s="227"/>
      <c r="H587" s="227"/>
      <c r="I587" s="227"/>
      <c r="J587" s="227"/>
      <c r="K587" s="228"/>
      <c r="L587" s="229"/>
      <c r="M587" s="228"/>
      <c r="N587" s="227"/>
      <c r="O587" s="226"/>
      <c r="P587" s="226"/>
      <c r="Q587" s="228"/>
      <c r="R587" s="228"/>
    </row>
    <row r="588" ht="13.5" customHeight="1" spans="1:18">
      <c r="A588" s="226"/>
      <c r="B588" s="226"/>
      <c r="C588" s="227"/>
      <c r="D588" s="227"/>
      <c r="E588" s="226"/>
      <c r="F588" s="226"/>
      <c r="G588" s="227"/>
      <c r="H588" s="227"/>
      <c r="I588" s="227"/>
      <c r="J588" s="227"/>
      <c r="K588" s="228"/>
      <c r="L588" s="229"/>
      <c r="M588" s="228"/>
      <c r="N588" s="227"/>
      <c r="O588" s="226"/>
      <c r="P588" s="226"/>
      <c r="Q588" s="228"/>
      <c r="R588" s="228"/>
    </row>
    <row r="589" ht="13.5" customHeight="1" spans="1:18">
      <c r="A589" s="226"/>
      <c r="B589" s="226"/>
      <c r="C589" s="227"/>
      <c r="D589" s="227"/>
      <c r="E589" s="226"/>
      <c r="F589" s="226"/>
      <c r="G589" s="227"/>
      <c r="H589" s="227"/>
      <c r="I589" s="227"/>
      <c r="J589" s="227"/>
      <c r="K589" s="228"/>
      <c r="L589" s="229"/>
      <c r="M589" s="228"/>
      <c r="N589" s="227"/>
      <c r="O589" s="226"/>
      <c r="P589" s="226"/>
      <c r="Q589" s="228"/>
      <c r="R589" s="228"/>
    </row>
    <row r="590" ht="13.5" customHeight="1" spans="1:18">
      <c r="A590" s="226"/>
      <c r="B590" s="226"/>
      <c r="C590" s="227"/>
      <c r="D590" s="227"/>
      <c r="E590" s="226"/>
      <c r="F590" s="226"/>
      <c r="G590" s="227"/>
      <c r="H590" s="227"/>
      <c r="I590" s="227"/>
      <c r="J590" s="227"/>
      <c r="K590" s="228"/>
      <c r="L590" s="229"/>
      <c r="M590" s="228"/>
      <c r="N590" s="227"/>
      <c r="O590" s="226"/>
      <c r="P590" s="226"/>
      <c r="Q590" s="228"/>
      <c r="R590" s="228"/>
    </row>
    <row r="591" ht="13.5" customHeight="1" spans="1:18">
      <c r="A591" s="226"/>
      <c r="B591" s="226"/>
      <c r="C591" s="227"/>
      <c r="D591" s="227"/>
      <c r="E591" s="226"/>
      <c r="F591" s="226"/>
      <c r="G591" s="227"/>
      <c r="H591" s="227"/>
      <c r="I591" s="227"/>
      <c r="J591" s="227"/>
      <c r="K591" s="228"/>
      <c r="L591" s="229"/>
      <c r="M591" s="228"/>
      <c r="N591" s="227"/>
      <c r="O591" s="226"/>
      <c r="P591" s="226"/>
      <c r="Q591" s="228"/>
      <c r="R591" s="228"/>
    </row>
    <row r="592" ht="13.5" customHeight="1" spans="1:18">
      <c r="A592" s="226"/>
      <c r="B592" s="226"/>
      <c r="C592" s="227"/>
      <c r="D592" s="227"/>
      <c r="E592" s="226"/>
      <c r="F592" s="226"/>
      <c r="G592" s="227"/>
      <c r="H592" s="227"/>
      <c r="I592" s="227"/>
      <c r="J592" s="227"/>
      <c r="K592" s="228"/>
      <c r="L592" s="229"/>
      <c r="M592" s="228"/>
      <c r="N592" s="227"/>
      <c r="O592" s="226"/>
      <c r="P592" s="226"/>
      <c r="Q592" s="228"/>
      <c r="R592" s="228"/>
    </row>
    <row r="593" ht="13.5" customHeight="1" spans="1:18">
      <c r="A593" s="226"/>
      <c r="B593" s="226"/>
      <c r="C593" s="227"/>
      <c r="D593" s="227"/>
      <c r="E593" s="226"/>
      <c r="F593" s="226"/>
      <c r="G593" s="227"/>
      <c r="H593" s="227"/>
      <c r="I593" s="227"/>
      <c r="J593" s="227"/>
      <c r="K593" s="228"/>
      <c r="L593" s="229"/>
      <c r="M593" s="228"/>
      <c r="N593" s="227"/>
      <c r="O593" s="226"/>
      <c r="P593" s="226"/>
      <c r="Q593" s="228"/>
      <c r="R593" s="228"/>
    </row>
    <row r="594" ht="13.5" customHeight="1" spans="1:18">
      <c r="A594" s="226"/>
      <c r="B594" s="226"/>
      <c r="C594" s="227"/>
      <c r="D594" s="227"/>
      <c r="E594" s="226"/>
      <c r="F594" s="226"/>
      <c r="G594" s="227"/>
      <c r="H594" s="227"/>
      <c r="I594" s="227"/>
      <c r="J594" s="227"/>
      <c r="K594" s="228"/>
      <c r="L594" s="229"/>
      <c r="M594" s="228"/>
      <c r="N594" s="227"/>
      <c r="O594" s="226"/>
      <c r="P594" s="226"/>
      <c r="Q594" s="228"/>
      <c r="R594" s="228"/>
    </row>
    <row r="595" ht="13.5" customHeight="1" spans="1:18">
      <c r="A595" s="226"/>
      <c r="B595" s="226"/>
      <c r="C595" s="227"/>
      <c r="D595" s="227"/>
      <c r="E595" s="226"/>
      <c r="F595" s="226"/>
      <c r="G595" s="227"/>
      <c r="H595" s="227"/>
      <c r="I595" s="227"/>
      <c r="J595" s="227"/>
      <c r="K595" s="228"/>
      <c r="L595" s="229"/>
      <c r="M595" s="228"/>
      <c r="N595" s="227"/>
      <c r="O595" s="226"/>
      <c r="P595" s="226"/>
      <c r="Q595" s="228"/>
      <c r="R595" s="228"/>
    </row>
    <row r="596" ht="13.5" customHeight="1" spans="1:18">
      <c r="A596" s="226"/>
      <c r="B596" s="226"/>
      <c r="C596" s="227"/>
      <c r="D596" s="227"/>
      <c r="E596" s="226"/>
      <c r="F596" s="226"/>
      <c r="G596" s="227"/>
      <c r="H596" s="227"/>
      <c r="I596" s="227"/>
      <c r="J596" s="227"/>
      <c r="K596" s="228"/>
      <c r="L596" s="229"/>
      <c r="M596" s="228"/>
      <c r="N596" s="227"/>
      <c r="O596" s="226"/>
      <c r="P596" s="226"/>
      <c r="Q596" s="228"/>
      <c r="R596" s="228"/>
    </row>
    <row r="597" ht="13.5" customHeight="1" spans="1:18">
      <c r="A597" s="226"/>
      <c r="B597" s="226"/>
      <c r="C597" s="227"/>
      <c r="D597" s="227"/>
      <c r="E597" s="226"/>
      <c r="F597" s="226"/>
      <c r="G597" s="227"/>
      <c r="H597" s="227"/>
      <c r="I597" s="227"/>
      <c r="J597" s="227"/>
      <c r="K597" s="228"/>
      <c r="L597" s="229"/>
      <c r="M597" s="228"/>
      <c r="N597" s="227"/>
      <c r="O597" s="226"/>
      <c r="P597" s="226"/>
      <c r="Q597" s="228"/>
      <c r="R597" s="228"/>
    </row>
    <row r="598" ht="13.5" customHeight="1" spans="1:18">
      <c r="A598" s="226"/>
      <c r="B598" s="226"/>
      <c r="C598" s="227"/>
      <c r="D598" s="227"/>
      <c r="E598" s="226"/>
      <c r="F598" s="226"/>
      <c r="G598" s="227"/>
      <c r="H598" s="227"/>
      <c r="I598" s="227"/>
      <c r="J598" s="227"/>
      <c r="K598" s="228"/>
      <c r="L598" s="229"/>
      <c r="M598" s="228"/>
      <c r="N598" s="227"/>
      <c r="O598" s="226"/>
      <c r="P598" s="226"/>
      <c r="Q598" s="228"/>
      <c r="R598" s="228"/>
    </row>
    <row r="599" ht="13.5" customHeight="1" spans="1:18">
      <c r="A599" s="226"/>
      <c r="B599" s="226"/>
      <c r="C599" s="227"/>
      <c r="D599" s="227"/>
      <c r="E599" s="226"/>
      <c r="F599" s="226"/>
      <c r="G599" s="227"/>
      <c r="H599" s="227"/>
      <c r="I599" s="227"/>
      <c r="J599" s="227"/>
      <c r="K599" s="228"/>
      <c r="L599" s="229"/>
      <c r="M599" s="228"/>
      <c r="N599" s="227"/>
      <c r="O599" s="226"/>
      <c r="P599" s="226"/>
      <c r="Q599" s="228"/>
      <c r="R599" s="228"/>
    </row>
    <row r="600" ht="13.5" customHeight="1" spans="1:18">
      <c r="A600" s="226"/>
      <c r="B600" s="226"/>
      <c r="C600" s="227"/>
      <c r="D600" s="227"/>
      <c r="E600" s="226"/>
      <c r="F600" s="226"/>
      <c r="G600" s="227"/>
      <c r="H600" s="227"/>
      <c r="I600" s="227"/>
      <c r="J600" s="227"/>
      <c r="K600" s="228"/>
      <c r="L600" s="229"/>
      <c r="M600" s="228"/>
      <c r="N600" s="227"/>
      <c r="O600" s="226"/>
      <c r="P600" s="226"/>
      <c r="Q600" s="228"/>
      <c r="R600" s="228"/>
    </row>
    <row r="601" ht="13.5" customHeight="1" spans="1:18">
      <c r="A601" s="226"/>
      <c r="B601" s="226"/>
      <c r="C601" s="227"/>
      <c r="D601" s="227"/>
      <c r="E601" s="226"/>
      <c r="F601" s="226"/>
      <c r="G601" s="227"/>
      <c r="H601" s="227"/>
      <c r="I601" s="227"/>
      <c r="J601" s="227"/>
      <c r="K601" s="228"/>
      <c r="L601" s="229"/>
      <c r="M601" s="228"/>
      <c r="N601" s="227"/>
      <c r="O601" s="226"/>
      <c r="P601" s="226"/>
      <c r="Q601" s="228"/>
      <c r="R601" s="228"/>
    </row>
    <row r="602" ht="13.5" customHeight="1" spans="1:18">
      <c r="A602" s="226"/>
      <c r="B602" s="226"/>
      <c r="C602" s="227"/>
      <c r="D602" s="227"/>
      <c r="E602" s="226"/>
      <c r="F602" s="226"/>
      <c r="G602" s="227"/>
      <c r="H602" s="227"/>
      <c r="I602" s="227"/>
      <c r="J602" s="227"/>
      <c r="K602" s="228"/>
      <c r="L602" s="229"/>
      <c r="M602" s="228"/>
      <c r="N602" s="227"/>
      <c r="O602" s="226"/>
      <c r="P602" s="226"/>
      <c r="Q602" s="228"/>
      <c r="R602" s="228"/>
    </row>
    <row r="603" ht="13.5" customHeight="1" spans="1:18">
      <c r="A603" s="226"/>
      <c r="B603" s="226"/>
      <c r="C603" s="227"/>
      <c r="D603" s="227"/>
      <c r="E603" s="226"/>
      <c r="F603" s="226"/>
      <c r="G603" s="227"/>
      <c r="H603" s="227"/>
      <c r="I603" s="227"/>
      <c r="J603" s="227"/>
      <c r="K603" s="228"/>
      <c r="L603" s="229"/>
      <c r="M603" s="228"/>
      <c r="N603" s="227"/>
      <c r="O603" s="226"/>
      <c r="P603" s="226"/>
      <c r="Q603" s="228"/>
      <c r="R603" s="228"/>
    </row>
    <row r="604" ht="13.5" customHeight="1" spans="1:18">
      <c r="A604" s="226"/>
      <c r="B604" s="226"/>
      <c r="C604" s="227"/>
      <c r="D604" s="227"/>
      <c r="E604" s="226"/>
      <c r="F604" s="226"/>
      <c r="G604" s="227"/>
      <c r="H604" s="227"/>
      <c r="I604" s="227"/>
      <c r="J604" s="227"/>
      <c r="K604" s="228"/>
      <c r="L604" s="229"/>
      <c r="M604" s="228"/>
      <c r="N604" s="227"/>
      <c r="O604" s="226"/>
      <c r="P604" s="226"/>
      <c r="Q604" s="228"/>
      <c r="R604" s="228"/>
    </row>
    <row r="605" ht="13.5" customHeight="1" spans="1:18">
      <c r="A605" s="226"/>
      <c r="B605" s="226"/>
      <c r="C605" s="227"/>
      <c r="D605" s="227"/>
      <c r="E605" s="226"/>
      <c r="F605" s="226"/>
      <c r="G605" s="227"/>
      <c r="H605" s="227"/>
      <c r="I605" s="227"/>
      <c r="J605" s="227"/>
      <c r="K605" s="228"/>
      <c r="L605" s="229"/>
      <c r="M605" s="228"/>
      <c r="N605" s="227"/>
      <c r="O605" s="226"/>
      <c r="P605" s="226"/>
      <c r="Q605" s="228"/>
      <c r="R605" s="228"/>
    </row>
    <row r="606" ht="13.5" customHeight="1" spans="1:18">
      <c r="A606" s="226"/>
      <c r="B606" s="226"/>
      <c r="C606" s="227"/>
      <c r="D606" s="227"/>
      <c r="E606" s="226"/>
      <c r="F606" s="226"/>
      <c r="G606" s="227"/>
      <c r="H606" s="227"/>
      <c r="I606" s="227"/>
      <c r="J606" s="227"/>
      <c r="K606" s="228"/>
      <c r="L606" s="229"/>
      <c r="M606" s="228"/>
      <c r="N606" s="227"/>
      <c r="O606" s="226"/>
      <c r="P606" s="226"/>
      <c r="Q606" s="228"/>
      <c r="R606" s="228"/>
    </row>
    <row r="607" ht="13.5" customHeight="1" spans="1:18">
      <c r="A607" s="226"/>
      <c r="B607" s="226"/>
      <c r="C607" s="227"/>
      <c r="D607" s="227"/>
      <c r="E607" s="226"/>
      <c r="F607" s="226"/>
      <c r="G607" s="227"/>
      <c r="H607" s="227"/>
      <c r="I607" s="227"/>
      <c r="J607" s="227"/>
      <c r="K607" s="228"/>
      <c r="L607" s="229"/>
      <c r="M607" s="228"/>
      <c r="N607" s="227"/>
      <c r="O607" s="226"/>
      <c r="P607" s="226"/>
      <c r="Q607" s="228"/>
      <c r="R607" s="228"/>
    </row>
    <row r="608" ht="13.5" customHeight="1" spans="1:18">
      <c r="A608" s="226"/>
      <c r="B608" s="226"/>
      <c r="C608" s="227"/>
      <c r="D608" s="227"/>
      <c r="E608" s="226"/>
      <c r="F608" s="226"/>
      <c r="G608" s="227"/>
      <c r="H608" s="227"/>
      <c r="I608" s="227"/>
      <c r="J608" s="227"/>
      <c r="K608" s="228"/>
      <c r="L608" s="229"/>
      <c r="M608" s="228"/>
      <c r="N608" s="227"/>
      <c r="O608" s="226"/>
      <c r="P608" s="226"/>
      <c r="Q608" s="228"/>
      <c r="R608" s="228"/>
    </row>
    <row r="609" ht="13.5" customHeight="1" spans="1:18">
      <c r="A609" s="226"/>
      <c r="B609" s="226"/>
      <c r="C609" s="227"/>
      <c r="D609" s="227"/>
      <c r="E609" s="226"/>
      <c r="F609" s="226"/>
      <c r="G609" s="227"/>
      <c r="H609" s="227"/>
      <c r="I609" s="227"/>
      <c r="J609" s="227"/>
      <c r="K609" s="228"/>
      <c r="L609" s="229"/>
      <c r="M609" s="228"/>
      <c r="N609" s="227"/>
      <c r="O609" s="226"/>
      <c r="P609" s="226"/>
      <c r="Q609" s="228"/>
      <c r="R609" s="228"/>
    </row>
    <row r="610" ht="13.5" customHeight="1" spans="1:18">
      <c r="A610" s="226"/>
      <c r="B610" s="226"/>
      <c r="C610" s="227"/>
      <c r="D610" s="227"/>
      <c r="E610" s="226"/>
      <c r="F610" s="226"/>
      <c r="G610" s="227"/>
      <c r="H610" s="227"/>
      <c r="I610" s="227"/>
      <c r="J610" s="227"/>
      <c r="K610" s="228"/>
      <c r="L610" s="229"/>
      <c r="M610" s="228"/>
      <c r="N610" s="227"/>
      <c r="O610" s="226"/>
      <c r="P610" s="226"/>
      <c r="Q610" s="228"/>
      <c r="R610" s="228"/>
    </row>
    <row r="611" ht="13.5" customHeight="1" spans="1:18">
      <c r="A611" s="226"/>
      <c r="B611" s="226"/>
      <c r="C611" s="227"/>
      <c r="D611" s="227"/>
      <c r="E611" s="226"/>
      <c r="F611" s="226"/>
      <c r="G611" s="227"/>
      <c r="H611" s="227"/>
      <c r="I611" s="227"/>
      <c r="J611" s="227"/>
      <c r="K611" s="228"/>
      <c r="L611" s="229"/>
      <c r="M611" s="228"/>
      <c r="N611" s="227"/>
      <c r="O611" s="226"/>
      <c r="P611" s="226"/>
      <c r="Q611" s="228"/>
      <c r="R611" s="228"/>
    </row>
    <row r="612" ht="13.5" customHeight="1" spans="1:18">
      <c r="A612" s="226"/>
      <c r="B612" s="226"/>
      <c r="C612" s="227"/>
      <c r="D612" s="227"/>
      <c r="E612" s="226"/>
      <c r="F612" s="226"/>
      <c r="G612" s="227"/>
      <c r="H612" s="227"/>
      <c r="I612" s="227"/>
      <c r="J612" s="227"/>
      <c r="K612" s="228"/>
      <c r="L612" s="229"/>
      <c r="M612" s="228"/>
      <c r="N612" s="227"/>
      <c r="O612" s="226"/>
      <c r="P612" s="226"/>
      <c r="Q612" s="228"/>
      <c r="R612" s="228"/>
    </row>
    <row r="613" ht="13.5" customHeight="1" spans="1:18">
      <c r="A613" s="226"/>
      <c r="B613" s="226"/>
      <c r="C613" s="227"/>
      <c r="D613" s="227"/>
      <c r="E613" s="226"/>
      <c r="F613" s="226"/>
      <c r="G613" s="227"/>
      <c r="H613" s="227"/>
      <c r="I613" s="227"/>
      <c r="J613" s="227"/>
      <c r="K613" s="228"/>
      <c r="L613" s="229"/>
      <c r="M613" s="228"/>
      <c r="N613" s="227"/>
      <c r="O613" s="226"/>
      <c r="P613" s="226"/>
      <c r="Q613" s="228"/>
      <c r="R613" s="228"/>
    </row>
    <row r="614" ht="13.5" customHeight="1" spans="1:18">
      <c r="A614" s="226"/>
      <c r="B614" s="226"/>
      <c r="C614" s="227"/>
      <c r="D614" s="227"/>
      <c r="E614" s="226"/>
      <c r="F614" s="226"/>
      <c r="G614" s="227"/>
      <c r="H614" s="227"/>
      <c r="I614" s="227"/>
      <c r="J614" s="227"/>
      <c r="K614" s="228"/>
      <c r="L614" s="229"/>
      <c r="M614" s="228"/>
      <c r="N614" s="227"/>
      <c r="O614" s="226"/>
      <c r="P614" s="226"/>
      <c r="Q614" s="228"/>
      <c r="R614" s="228"/>
    </row>
    <row r="615" ht="13.5" customHeight="1" spans="1:18">
      <c r="A615" s="226"/>
      <c r="B615" s="226"/>
      <c r="C615" s="227"/>
      <c r="D615" s="227"/>
      <c r="E615" s="226"/>
      <c r="F615" s="226"/>
      <c r="G615" s="227"/>
      <c r="H615" s="227"/>
      <c r="I615" s="227"/>
      <c r="J615" s="227"/>
      <c r="K615" s="228"/>
      <c r="L615" s="229"/>
      <c r="M615" s="228"/>
      <c r="N615" s="227"/>
      <c r="O615" s="226"/>
      <c r="P615" s="226"/>
      <c r="Q615" s="228"/>
      <c r="R615" s="228"/>
    </row>
    <row r="616" ht="13.5" customHeight="1" spans="1:18">
      <c r="A616" s="226"/>
      <c r="B616" s="226"/>
      <c r="C616" s="227"/>
      <c r="D616" s="227"/>
      <c r="E616" s="226"/>
      <c r="F616" s="226"/>
      <c r="G616" s="227"/>
      <c r="H616" s="227"/>
      <c r="I616" s="227"/>
      <c r="J616" s="227"/>
      <c r="K616" s="228"/>
      <c r="L616" s="229"/>
      <c r="M616" s="228"/>
      <c r="N616" s="227"/>
      <c r="O616" s="226"/>
      <c r="P616" s="226"/>
      <c r="Q616" s="228"/>
      <c r="R616" s="228"/>
    </row>
    <row r="617" ht="13.5" customHeight="1" spans="1:18">
      <c r="A617" s="226"/>
      <c r="B617" s="226"/>
      <c r="C617" s="227"/>
      <c r="D617" s="227"/>
      <c r="E617" s="226"/>
      <c r="F617" s="226"/>
      <c r="G617" s="227"/>
      <c r="H617" s="227"/>
      <c r="I617" s="227"/>
      <c r="J617" s="227"/>
      <c r="K617" s="228"/>
      <c r="L617" s="229"/>
      <c r="M617" s="228"/>
      <c r="N617" s="227"/>
      <c r="O617" s="226"/>
      <c r="P617" s="226"/>
      <c r="Q617" s="228"/>
      <c r="R617" s="228"/>
    </row>
    <row r="618" ht="13.5" customHeight="1" spans="1:18">
      <c r="A618" s="226"/>
      <c r="B618" s="226"/>
      <c r="C618" s="227"/>
      <c r="D618" s="227"/>
      <c r="E618" s="226"/>
      <c r="F618" s="226"/>
      <c r="G618" s="227"/>
      <c r="H618" s="227"/>
      <c r="I618" s="227"/>
      <c r="J618" s="227"/>
      <c r="K618" s="228"/>
      <c r="L618" s="229"/>
      <c r="M618" s="228"/>
      <c r="N618" s="227"/>
      <c r="O618" s="226"/>
      <c r="P618" s="226"/>
      <c r="Q618" s="228"/>
      <c r="R618" s="228"/>
    </row>
    <row r="619" ht="13.5" customHeight="1" spans="1:18">
      <c r="A619" s="226"/>
      <c r="B619" s="226"/>
      <c r="C619" s="227"/>
      <c r="D619" s="227"/>
      <c r="E619" s="226"/>
      <c r="F619" s="226"/>
      <c r="G619" s="227"/>
      <c r="H619" s="227"/>
      <c r="I619" s="227"/>
      <c r="J619" s="227"/>
      <c r="K619" s="228"/>
      <c r="L619" s="229"/>
      <c r="M619" s="228"/>
      <c r="N619" s="227"/>
      <c r="O619" s="226"/>
      <c r="P619" s="226"/>
      <c r="Q619" s="228"/>
      <c r="R619" s="228"/>
    </row>
    <row r="620" ht="13.5" customHeight="1" spans="1:18">
      <c r="A620" s="226"/>
      <c r="B620" s="226"/>
      <c r="C620" s="227"/>
      <c r="D620" s="227"/>
      <c r="E620" s="226"/>
      <c r="F620" s="226"/>
      <c r="G620" s="227"/>
      <c r="H620" s="227"/>
      <c r="I620" s="227"/>
      <c r="J620" s="227"/>
      <c r="K620" s="228"/>
      <c r="L620" s="229"/>
      <c r="M620" s="228"/>
      <c r="N620" s="227"/>
      <c r="O620" s="226"/>
      <c r="P620" s="226"/>
      <c r="Q620" s="228"/>
      <c r="R620" s="228"/>
    </row>
    <row r="621" ht="13.5" customHeight="1" spans="1:18">
      <c r="A621" s="226"/>
      <c r="B621" s="226"/>
      <c r="C621" s="227"/>
      <c r="D621" s="227"/>
      <c r="E621" s="226"/>
      <c r="F621" s="226"/>
      <c r="G621" s="227"/>
      <c r="H621" s="227"/>
      <c r="I621" s="227"/>
      <c r="J621" s="227"/>
      <c r="K621" s="228"/>
      <c r="L621" s="229"/>
      <c r="M621" s="228"/>
      <c r="N621" s="227"/>
      <c r="O621" s="226"/>
      <c r="P621" s="226"/>
      <c r="Q621" s="228"/>
      <c r="R621" s="228"/>
    </row>
    <row r="622" ht="13.5" customHeight="1" spans="1:18">
      <c r="A622" s="226"/>
      <c r="B622" s="226"/>
      <c r="C622" s="227"/>
      <c r="D622" s="227"/>
      <c r="E622" s="226"/>
      <c r="F622" s="226"/>
      <c r="G622" s="227"/>
      <c r="H622" s="227"/>
      <c r="I622" s="227"/>
      <c r="J622" s="227"/>
      <c r="K622" s="228"/>
      <c r="L622" s="229"/>
      <c r="M622" s="228"/>
      <c r="N622" s="227"/>
      <c r="O622" s="226"/>
      <c r="P622" s="226"/>
      <c r="Q622" s="228"/>
      <c r="R622" s="228"/>
    </row>
    <row r="623" ht="13.5" customHeight="1" spans="1:18">
      <c r="A623" s="226"/>
      <c r="B623" s="226"/>
      <c r="C623" s="227"/>
      <c r="D623" s="227"/>
      <c r="E623" s="226"/>
      <c r="F623" s="226"/>
      <c r="G623" s="227"/>
      <c r="H623" s="227"/>
      <c r="I623" s="227"/>
      <c r="J623" s="227"/>
      <c r="K623" s="228"/>
      <c r="L623" s="229"/>
      <c r="M623" s="228"/>
      <c r="N623" s="227"/>
      <c r="O623" s="226"/>
      <c r="P623" s="226"/>
      <c r="Q623" s="228"/>
      <c r="R623" s="228"/>
    </row>
    <row r="624" ht="13.5" customHeight="1" spans="1:18">
      <c r="A624" s="226"/>
      <c r="B624" s="226"/>
      <c r="C624" s="227"/>
      <c r="D624" s="227"/>
      <c r="E624" s="226"/>
      <c r="F624" s="226"/>
      <c r="G624" s="227"/>
      <c r="H624" s="227"/>
      <c r="I624" s="227"/>
      <c r="J624" s="227"/>
      <c r="K624" s="228"/>
      <c r="L624" s="229"/>
      <c r="M624" s="228"/>
      <c r="N624" s="227"/>
      <c r="O624" s="226"/>
      <c r="P624" s="226"/>
      <c r="Q624" s="228"/>
      <c r="R624" s="228"/>
    </row>
    <row r="625" ht="13.5" customHeight="1" spans="1:18">
      <c r="A625" s="226"/>
      <c r="B625" s="226"/>
      <c r="C625" s="227"/>
      <c r="D625" s="227"/>
      <c r="E625" s="226"/>
      <c r="F625" s="226"/>
      <c r="G625" s="227"/>
      <c r="H625" s="227"/>
      <c r="I625" s="227"/>
      <c r="J625" s="227"/>
      <c r="K625" s="228"/>
      <c r="L625" s="229"/>
      <c r="M625" s="228"/>
      <c r="N625" s="227"/>
      <c r="O625" s="226"/>
      <c r="P625" s="226"/>
      <c r="Q625" s="228"/>
      <c r="R625" s="228"/>
    </row>
    <row r="626" ht="13.5" customHeight="1" spans="1:18">
      <c r="A626" s="226"/>
      <c r="B626" s="226"/>
      <c r="C626" s="227"/>
      <c r="D626" s="227"/>
      <c r="E626" s="226"/>
      <c r="F626" s="226"/>
      <c r="G626" s="227"/>
      <c r="H626" s="227"/>
      <c r="I626" s="227"/>
      <c r="J626" s="227"/>
      <c r="K626" s="228"/>
      <c r="L626" s="229"/>
      <c r="M626" s="228"/>
      <c r="N626" s="227"/>
      <c r="O626" s="226"/>
      <c r="P626" s="226"/>
      <c r="Q626" s="228"/>
      <c r="R626" s="228"/>
    </row>
    <row r="627" ht="13.5" customHeight="1" spans="1:18">
      <c r="A627" s="226"/>
      <c r="B627" s="226"/>
      <c r="C627" s="227"/>
      <c r="D627" s="227"/>
      <c r="E627" s="226"/>
      <c r="F627" s="226"/>
      <c r="G627" s="227"/>
      <c r="H627" s="227"/>
      <c r="I627" s="227"/>
      <c r="J627" s="227"/>
      <c r="K627" s="228"/>
      <c r="L627" s="229"/>
      <c r="M627" s="228"/>
      <c r="N627" s="227"/>
      <c r="O627" s="226"/>
      <c r="P627" s="226"/>
      <c r="Q627" s="228"/>
      <c r="R627" s="228"/>
    </row>
    <row r="628" ht="13.5" customHeight="1" spans="1:18">
      <c r="A628" s="226"/>
      <c r="B628" s="226"/>
      <c r="C628" s="227"/>
      <c r="D628" s="227"/>
      <c r="E628" s="226"/>
      <c r="F628" s="226"/>
      <c r="G628" s="227"/>
      <c r="H628" s="227"/>
      <c r="I628" s="227"/>
      <c r="J628" s="227"/>
      <c r="K628" s="228"/>
      <c r="L628" s="229"/>
      <c r="M628" s="228"/>
      <c r="N628" s="227"/>
      <c r="O628" s="226"/>
      <c r="P628" s="226"/>
      <c r="Q628" s="228"/>
      <c r="R628" s="228"/>
    </row>
    <row r="629" ht="13.5" customHeight="1" spans="1:18">
      <c r="A629" s="226"/>
      <c r="B629" s="226"/>
      <c r="C629" s="227"/>
      <c r="D629" s="227"/>
      <c r="E629" s="226"/>
      <c r="F629" s="226"/>
      <c r="G629" s="227"/>
      <c r="H629" s="227"/>
      <c r="I629" s="227"/>
      <c r="J629" s="227"/>
      <c r="K629" s="228"/>
      <c r="L629" s="229"/>
      <c r="M629" s="228"/>
      <c r="N629" s="227"/>
      <c r="O629" s="226"/>
      <c r="P629" s="226"/>
      <c r="Q629" s="228"/>
      <c r="R629" s="228"/>
    </row>
    <row r="630" ht="13.5" customHeight="1" spans="1:18">
      <c r="A630" s="226"/>
      <c r="B630" s="226"/>
      <c r="C630" s="227"/>
      <c r="D630" s="227"/>
      <c r="E630" s="226"/>
      <c r="F630" s="226"/>
      <c r="G630" s="227"/>
      <c r="H630" s="227"/>
      <c r="I630" s="227"/>
      <c r="J630" s="227"/>
      <c r="K630" s="228"/>
      <c r="L630" s="229"/>
      <c r="M630" s="228"/>
      <c r="N630" s="227"/>
      <c r="O630" s="226"/>
      <c r="P630" s="226"/>
      <c r="Q630" s="228"/>
      <c r="R630" s="228"/>
    </row>
    <row r="631" ht="13.5" customHeight="1" spans="1:18">
      <c r="A631" s="226"/>
      <c r="B631" s="226"/>
      <c r="C631" s="227"/>
      <c r="D631" s="227"/>
      <c r="E631" s="226"/>
      <c r="F631" s="226"/>
      <c r="G631" s="227"/>
      <c r="H631" s="227"/>
      <c r="I631" s="227"/>
      <c r="J631" s="227"/>
      <c r="K631" s="228"/>
      <c r="L631" s="229"/>
      <c r="M631" s="228"/>
      <c r="N631" s="227"/>
      <c r="O631" s="226"/>
      <c r="P631" s="226"/>
      <c r="Q631" s="228"/>
      <c r="R631" s="228"/>
    </row>
    <row r="632" ht="13.5" customHeight="1" spans="1:18">
      <c r="A632" s="226"/>
      <c r="B632" s="226"/>
      <c r="C632" s="227"/>
      <c r="D632" s="227"/>
      <c r="E632" s="226"/>
      <c r="F632" s="226"/>
      <c r="G632" s="227"/>
      <c r="H632" s="227"/>
      <c r="I632" s="227"/>
      <c r="J632" s="227"/>
      <c r="K632" s="228"/>
      <c r="L632" s="229"/>
      <c r="M632" s="228"/>
      <c r="N632" s="227"/>
      <c r="O632" s="226"/>
      <c r="P632" s="226"/>
      <c r="Q632" s="228"/>
      <c r="R632" s="228"/>
    </row>
    <row r="633" ht="13.5" customHeight="1" spans="1:18">
      <c r="A633" s="226"/>
      <c r="B633" s="226"/>
      <c r="C633" s="227"/>
      <c r="D633" s="227"/>
      <c r="E633" s="226"/>
      <c r="F633" s="226"/>
      <c r="G633" s="227"/>
      <c r="H633" s="227"/>
      <c r="I633" s="227"/>
      <c r="J633" s="227"/>
      <c r="K633" s="228"/>
      <c r="L633" s="229"/>
      <c r="M633" s="228"/>
      <c r="N633" s="227"/>
      <c r="O633" s="226"/>
      <c r="P633" s="226"/>
      <c r="Q633" s="228"/>
      <c r="R633" s="228"/>
    </row>
    <row r="634" ht="13.5" customHeight="1" spans="1:18">
      <c r="A634" s="226"/>
      <c r="B634" s="226"/>
      <c r="C634" s="227"/>
      <c r="D634" s="227"/>
      <c r="E634" s="226"/>
      <c r="F634" s="226"/>
      <c r="G634" s="227"/>
      <c r="H634" s="227"/>
      <c r="I634" s="227"/>
      <c r="J634" s="227"/>
      <c r="K634" s="228"/>
      <c r="L634" s="229"/>
      <c r="M634" s="228"/>
      <c r="N634" s="227"/>
      <c r="O634" s="226"/>
      <c r="P634" s="226"/>
      <c r="Q634" s="228"/>
      <c r="R634" s="228"/>
    </row>
    <row r="635" ht="13.5" customHeight="1" spans="1:18">
      <c r="A635" s="226"/>
      <c r="B635" s="226"/>
      <c r="C635" s="227"/>
      <c r="D635" s="227"/>
      <c r="E635" s="226"/>
      <c r="F635" s="226"/>
      <c r="G635" s="227"/>
      <c r="H635" s="227"/>
      <c r="I635" s="227"/>
      <c r="J635" s="227"/>
      <c r="K635" s="228"/>
      <c r="L635" s="229"/>
      <c r="M635" s="228"/>
      <c r="N635" s="227"/>
      <c r="O635" s="226"/>
      <c r="P635" s="226"/>
      <c r="Q635" s="228"/>
      <c r="R635" s="228"/>
    </row>
    <row r="636" ht="13.5" customHeight="1" spans="1:18">
      <c r="A636" s="226"/>
      <c r="B636" s="226"/>
      <c r="C636" s="227"/>
      <c r="D636" s="227"/>
      <c r="E636" s="226"/>
      <c r="F636" s="226"/>
      <c r="G636" s="227"/>
      <c r="H636" s="227"/>
      <c r="I636" s="227"/>
      <c r="J636" s="227"/>
      <c r="K636" s="228"/>
      <c r="L636" s="229"/>
      <c r="M636" s="228"/>
      <c r="N636" s="227"/>
      <c r="O636" s="226"/>
      <c r="P636" s="226"/>
      <c r="Q636" s="228"/>
      <c r="R636" s="228"/>
    </row>
    <row r="637" ht="13.5" customHeight="1" spans="1:18">
      <c r="A637" s="226"/>
      <c r="B637" s="226"/>
      <c r="C637" s="227"/>
      <c r="D637" s="227"/>
      <c r="E637" s="226"/>
      <c r="F637" s="226"/>
      <c r="G637" s="227"/>
      <c r="H637" s="227"/>
      <c r="I637" s="227"/>
      <c r="J637" s="227"/>
      <c r="K637" s="228"/>
      <c r="L637" s="229"/>
      <c r="M637" s="228"/>
      <c r="N637" s="227"/>
      <c r="O637" s="226"/>
      <c r="P637" s="226"/>
      <c r="Q637" s="228"/>
      <c r="R637" s="228"/>
    </row>
    <row r="638" ht="13.5" customHeight="1" spans="1:18">
      <c r="A638" s="226"/>
      <c r="B638" s="226"/>
      <c r="C638" s="227"/>
      <c r="D638" s="227"/>
      <c r="E638" s="226"/>
      <c r="F638" s="226"/>
      <c r="G638" s="227"/>
      <c r="H638" s="227"/>
      <c r="I638" s="227"/>
      <c r="J638" s="227"/>
      <c r="K638" s="228"/>
      <c r="L638" s="229"/>
      <c r="M638" s="228"/>
      <c r="N638" s="227"/>
      <c r="O638" s="226"/>
      <c r="P638" s="226"/>
      <c r="Q638" s="228"/>
      <c r="R638" s="228"/>
    </row>
    <row r="639" ht="13.5" customHeight="1" spans="1:18">
      <c r="A639" s="226"/>
      <c r="B639" s="226"/>
      <c r="C639" s="227"/>
      <c r="D639" s="227"/>
      <c r="E639" s="226"/>
      <c r="F639" s="226"/>
      <c r="G639" s="227"/>
      <c r="H639" s="227"/>
      <c r="I639" s="227"/>
      <c r="J639" s="227"/>
      <c r="K639" s="228"/>
      <c r="L639" s="229"/>
      <c r="M639" s="228"/>
      <c r="N639" s="227"/>
      <c r="O639" s="226"/>
      <c r="P639" s="226"/>
      <c r="Q639" s="228"/>
      <c r="R639" s="228"/>
    </row>
    <row r="640" ht="13.5" customHeight="1" spans="1:18">
      <c r="A640" s="226"/>
      <c r="B640" s="226"/>
      <c r="C640" s="227"/>
      <c r="D640" s="227"/>
      <c r="E640" s="226"/>
      <c r="F640" s="226"/>
      <c r="G640" s="227"/>
      <c r="H640" s="227"/>
      <c r="I640" s="227"/>
      <c r="J640" s="227"/>
      <c r="K640" s="228"/>
      <c r="L640" s="229"/>
      <c r="M640" s="228"/>
      <c r="N640" s="227"/>
      <c r="O640" s="226"/>
      <c r="P640" s="226"/>
      <c r="Q640" s="228"/>
      <c r="R640" s="228"/>
    </row>
    <row r="641" ht="13.5" customHeight="1" spans="1:18">
      <c r="A641" s="226"/>
      <c r="B641" s="226"/>
      <c r="C641" s="227"/>
      <c r="D641" s="227"/>
      <c r="E641" s="226"/>
      <c r="F641" s="226"/>
      <c r="G641" s="227"/>
      <c r="H641" s="227"/>
      <c r="I641" s="227"/>
      <c r="J641" s="227"/>
      <c r="K641" s="228"/>
      <c r="L641" s="229"/>
      <c r="M641" s="228"/>
      <c r="N641" s="227"/>
      <c r="O641" s="226"/>
      <c r="P641" s="226"/>
      <c r="Q641" s="228"/>
      <c r="R641" s="228"/>
    </row>
    <row r="642" ht="13.5" customHeight="1" spans="1:18">
      <c r="A642" s="226"/>
      <c r="B642" s="226"/>
      <c r="C642" s="227"/>
      <c r="D642" s="227"/>
      <c r="E642" s="226"/>
      <c r="F642" s="226"/>
      <c r="G642" s="227"/>
      <c r="H642" s="227"/>
      <c r="I642" s="227"/>
      <c r="J642" s="227"/>
      <c r="K642" s="228"/>
      <c r="L642" s="229"/>
      <c r="M642" s="228"/>
      <c r="N642" s="227"/>
      <c r="O642" s="226"/>
      <c r="P642" s="226"/>
      <c r="Q642" s="228"/>
      <c r="R642" s="228"/>
    </row>
    <row r="643" ht="13.5" customHeight="1" spans="1:18">
      <c r="A643" s="226"/>
      <c r="B643" s="226"/>
      <c r="C643" s="227"/>
      <c r="D643" s="227"/>
      <c r="E643" s="226"/>
      <c r="F643" s="226"/>
      <c r="G643" s="227"/>
      <c r="H643" s="227"/>
      <c r="I643" s="227"/>
      <c r="J643" s="227"/>
      <c r="K643" s="228"/>
      <c r="L643" s="229"/>
      <c r="M643" s="228"/>
      <c r="N643" s="227"/>
      <c r="O643" s="226"/>
      <c r="P643" s="226"/>
      <c r="Q643" s="228"/>
      <c r="R643" s="228"/>
    </row>
    <row r="644" ht="13.5" customHeight="1" spans="1:18">
      <c r="A644" s="226"/>
      <c r="B644" s="226"/>
      <c r="C644" s="227"/>
      <c r="D644" s="227"/>
      <c r="E644" s="226"/>
      <c r="F644" s="226"/>
      <c r="G644" s="227"/>
      <c r="H644" s="227"/>
      <c r="I644" s="227"/>
      <c r="J644" s="227"/>
      <c r="K644" s="228"/>
      <c r="L644" s="229"/>
      <c r="M644" s="228"/>
      <c r="N644" s="227"/>
      <c r="O644" s="226"/>
      <c r="P644" s="226"/>
      <c r="Q644" s="228"/>
      <c r="R644" s="228"/>
    </row>
    <row r="645" ht="13.5" customHeight="1" spans="1:18">
      <c r="A645" s="226"/>
      <c r="B645" s="226"/>
      <c r="C645" s="227"/>
      <c r="D645" s="227"/>
      <c r="E645" s="226"/>
      <c r="F645" s="226"/>
      <c r="G645" s="227"/>
      <c r="H645" s="227"/>
      <c r="I645" s="227"/>
      <c r="J645" s="227"/>
      <c r="K645" s="228"/>
      <c r="L645" s="229"/>
      <c r="M645" s="228"/>
      <c r="N645" s="227"/>
      <c r="O645" s="226"/>
      <c r="P645" s="226"/>
      <c r="Q645" s="228"/>
      <c r="R645" s="228"/>
    </row>
    <row r="646" ht="13.5" customHeight="1" spans="1:18">
      <c r="A646" s="226"/>
      <c r="B646" s="226"/>
      <c r="C646" s="227"/>
      <c r="D646" s="227"/>
      <c r="E646" s="226"/>
      <c r="F646" s="226"/>
      <c r="G646" s="227"/>
      <c r="H646" s="227"/>
      <c r="I646" s="227"/>
      <c r="J646" s="227"/>
      <c r="K646" s="228"/>
      <c r="L646" s="229"/>
      <c r="M646" s="228"/>
      <c r="N646" s="227"/>
      <c r="O646" s="226"/>
      <c r="P646" s="226"/>
      <c r="Q646" s="228"/>
      <c r="R646" s="228"/>
    </row>
    <row r="647" ht="13.5" customHeight="1" spans="1:18">
      <c r="A647" s="226"/>
      <c r="B647" s="226"/>
      <c r="C647" s="227"/>
      <c r="D647" s="227"/>
      <c r="E647" s="226"/>
      <c r="F647" s="226"/>
      <c r="G647" s="227"/>
      <c r="H647" s="227"/>
      <c r="I647" s="227"/>
      <c r="J647" s="227"/>
      <c r="K647" s="228"/>
      <c r="L647" s="229"/>
      <c r="M647" s="228"/>
      <c r="N647" s="227"/>
      <c r="O647" s="226"/>
      <c r="P647" s="226"/>
      <c r="Q647" s="228"/>
      <c r="R647" s="228"/>
    </row>
    <row r="648" ht="13.5" customHeight="1" spans="1:18">
      <c r="A648" s="226"/>
      <c r="B648" s="226"/>
      <c r="C648" s="227"/>
      <c r="D648" s="227"/>
      <c r="E648" s="226"/>
      <c r="F648" s="226"/>
      <c r="G648" s="227"/>
      <c r="H648" s="227"/>
      <c r="I648" s="227"/>
      <c r="J648" s="227"/>
      <c r="K648" s="228"/>
      <c r="L648" s="229"/>
      <c r="M648" s="228"/>
      <c r="N648" s="227"/>
      <c r="O648" s="226"/>
      <c r="P648" s="226"/>
      <c r="Q648" s="228"/>
      <c r="R648" s="228"/>
    </row>
    <row r="649" ht="13.5" customHeight="1" spans="1:18">
      <c r="A649" s="226"/>
      <c r="B649" s="226"/>
      <c r="C649" s="227"/>
      <c r="D649" s="227"/>
      <c r="E649" s="226"/>
      <c r="F649" s="226"/>
      <c r="G649" s="227"/>
      <c r="H649" s="227"/>
      <c r="I649" s="227"/>
      <c r="J649" s="227"/>
      <c r="K649" s="228"/>
      <c r="L649" s="229"/>
      <c r="M649" s="228"/>
      <c r="N649" s="227"/>
      <c r="O649" s="226"/>
      <c r="P649" s="226"/>
      <c r="Q649" s="228"/>
      <c r="R649" s="228"/>
    </row>
    <row r="650" ht="13.5" customHeight="1" spans="1:18">
      <c r="A650" s="226"/>
      <c r="B650" s="226"/>
      <c r="C650" s="227"/>
      <c r="D650" s="227"/>
      <c r="E650" s="226"/>
      <c r="F650" s="226"/>
      <c r="G650" s="227"/>
      <c r="H650" s="227"/>
      <c r="I650" s="227"/>
      <c r="J650" s="227"/>
      <c r="K650" s="228"/>
      <c r="L650" s="229"/>
      <c r="M650" s="228"/>
      <c r="N650" s="227"/>
      <c r="O650" s="226"/>
      <c r="P650" s="226"/>
      <c r="Q650" s="228"/>
      <c r="R650" s="228"/>
    </row>
    <row r="651" ht="13.5" customHeight="1" spans="1:18">
      <c r="A651" s="226"/>
      <c r="B651" s="226"/>
      <c r="C651" s="227"/>
      <c r="D651" s="227"/>
      <c r="E651" s="226"/>
      <c r="F651" s="226"/>
      <c r="G651" s="227"/>
      <c r="H651" s="227"/>
      <c r="I651" s="227"/>
      <c r="J651" s="227"/>
      <c r="K651" s="228"/>
      <c r="L651" s="229"/>
      <c r="M651" s="228"/>
      <c r="N651" s="227"/>
      <c r="O651" s="226"/>
      <c r="P651" s="226"/>
      <c r="Q651" s="228"/>
      <c r="R651" s="228"/>
    </row>
    <row r="652" ht="13.5" customHeight="1" spans="1:18">
      <c r="A652" s="226"/>
      <c r="B652" s="226"/>
      <c r="C652" s="227"/>
      <c r="D652" s="227"/>
      <c r="E652" s="226"/>
      <c r="F652" s="226"/>
      <c r="G652" s="227"/>
      <c r="H652" s="227"/>
      <c r="I652" s="227"/>
      <c r="J652" s="227"/>
      <c r="K652" s="228"/>
      <c r="L652" s="229"/>
      <c r="M652" s="228"/>
      <c r="N652" s="227"/>
      <c r="O652" s="226"/>
      <c r="P652" s="226"/>
      <c r="Q652" s="228"/>
      <c r="R652" s="228"/>
    </row>
    <row r="653" ht="13.5" customHeight="1" spans="1:18">
      <c r="A653" s="226"/>
      <c r="B653" s="226"/>
      <c r="C653" s="227"/>
      <c r="D653" s="227"/>
      <c r="E653" s="226"/>
      <c r="F653" s="226"/>
      <c r="G653" s="227"/>
      <c r="H653" s="227"/>
      <c r="I653" s="227"/>
      <c r="J653" s="227"/>
      <c r="K653" s="228"/>
      <c r="L653" s="229"/>
      <c r="M653" s="228"/>
      <c r="N653" s="227"/>
      <c r="O653" s="226"/>
      <c r="P653" s="226"/>
      <c r="Q653" s="228"/>
      <c r="R653" s="228"/>
    </row>
    <row r="654" ht="13.5" customHeight="1" spans="1:18">
      <c r="A654" s="226"/>
      <c r="B654" s="226"/>
      <c r="C654" s="227"/>
      <c r="D654" s="227"/>
      <c r="E654" s="226"/>
      <c r="F654" s="226"/>
      <c r="G654" s="227"/>
      <c r="H654" s="227"/>
      <c r="I654" s="227"/>
      <c r="J654" s="227"/>
      <c r="K654" s="228"/>
      <c r="L654" s="229"/>
      <c r="M654" s="228"/>
      <c r="N654" s="227"/>
      <c r="O654" s="226"/>
      <c r="P654" s="226"/>
      <c r="Q654" s="228"/>
      <c r="R654" s="228"/>
    </row>
    <row r="655" ht="13.5" customHeight="1" spans="1:18">
      <c r="A655" s="226"/>
      <c r="B655" s="226"/>
      <c r="C655" s="227"/>
      <c r="D655" s="227"/>
      <c r="E655" s="226"/>
      <c r="F655" s="226"/>
      <c r="G655" s="227"/>
      <c r="H655" s="227"/>
      <c r="I655" s="227"/>
      <c r="J655" s="227"/>
      <c r="K655" s="228"/>
      <c r="L655" s="229"/>
      <c r="M655" s="228"/>
      <c r="N655" s="227"/>
      <c r="O655" s="226"/>
      <c r="P655" s="226"/>
      <c r="Q655" s="228"/>
      <c r="R655" s="228"/>
    </row>
    <row r="656" ht="13.5" customHeight="1" spans="1:18">
      <c r="A656" s="226"/>
      <c r="B656" s="226"/>
      <c r="C656" s="227"/>
      <c r="D656" s="227"/>
      <c r="E656" s="226"/>
      <c r="F656" s="226"/>
      <c r="G656" s="227"/>
      <c r="H656" s="227"/>
      <c r="I656" s="227"/>
      <c r="J656" s="227"/>
      <c r="K656" s="228"/>
      <c r="L656" s="229"/>
      <c r="M656" s="228"/>
      <c r="N656" s="227"/>
      <c r="O656" s="226"/>
      <c r="P656" s="226"/>
      <c r="Q656" s="228"/>
      <c r="R656" s="228"/>
    </row>
    <row r="657" ht="13.5" customHeight="1" spans="1:18">
      <c r="A657" s="226"/>
      <c r="B657" s="226"/>
      <c r="C657" s="227"/>
      <c r="D657" s="227"/>
      <c r="E657" s="226"/>
      <c r="F657" s="226"/>
      <c r="G657" s="227"/>
      <c r="H657" s="227"/>
      <c r="I657" s="227"/>
      <c r="J657" s="227"/>
      <c r="K657" s="228"/>
      <c r="L657" s="229"/>
      <c r="M657" s="228"/>
      <c r="N657" s="227"/>
      <c r="O657" s="226"/>
      <c r="P657" s="226"/>
      <c r="Q657" s="228"/>
      <c r="R657" s="228"/>
    </row>
    <row r="658" ht="13.5" customHeight="1" spans="1:18">
      <c r="A658" s="226"/>
      <c r="B658" s="226"/>
      <c r="C658" s="227"/>
      <c r="D658" s="227"/>
      <c r="E658" s="226"/>
      <c r="F658" s="226"/>
      <c r="G658" s="227"/>
      <c r="H658" s="227"/>
      <c r="I658" s="227"/>
      <c r="J658" s="227"/>
      <c r="K658" s="228"/>
      <c r="L658" s="229"/>
      <c r="M658" s="228"/>
      <c r="N658" s="227"/>
      <c r="O658" s="226"/>
      <c r="P658" s="226"/>
      <c r="Q658" s="228"/>
      <c r="R658" s="228"/>
    </row>
    <row r="659" ht="13.5" customHeight="1" spans="1:18">
      <c r="A659" s="226"/>
      <c r="B659" s="226"/>
      <c r="C659" s="227"/>
      <c r="D659" s="227"/>
      <c r="E659" s="226"/>
      <c r="F659" s="226"/>
      <c r="G659" s="227"/>
      <c r="H659" s="227"/>
      <c r="I659" s="227"/>
      <c r="J659" s="227"/>
      <c r="K659" s="228"/>
      <c r="L659" s="229"/>
      <c r="M659" s="228"/>
      <c r="N659" s="227"/>
      <c r="O659" s="226"/>
      <c r="P659" s="226"/>
      <c r="Q659" s="228"/>
      <c r="R659" s="228"/>
    </row>
    <row r="660" ht="13.5" customHeight="1" spans="1:18">
      <c r="A660" s="226"/>
      <c r="B660" s="226"/>
      <c r="C660" s="227"/>
      <c r="D660" s="227"/>
      <c r="E660" s="226"/>
      <c r="F660" s="226"/>
      <c r="G660" s="227"/>
      <c r="H660" s="227"/>
      <c r="I660" s="227"/>
      <c r="J660" s="227"/>
      <c r="K660" s="228"/>
      <c r="L660" s="229"/>
      <c r="M660" s="228"/>
      <c r="N660" s="227"/>
      <c r="O660" s="226"/>
      <c r="P660" s="226"/>
      <c r="Q660" s="228"/>
      <c r="R660" s="228"/>
    </row>
    <row r="661" ht="13.5" customHeight="1" spans="1:18">
      <c r="A661" s="226"/>
      <c r="B661" s="226"/>
      <c r="C661" s="227"/>
      <c r="D661" s="227"/>
      <c r="E661" s="226"/>
      <c r="F661" s="226"/>
      <c r="G661" s="227"/>
      <c r="H661" s="227"/>
      <c r="I661" s="227"/>
      <c r="J661" s="227"/>
      <c r="K661" s="228"/>
      <c r="L661" s="229"/>
      <c r="M661" s="228"/>
      <c r="N661" s="227"/>
      <c r="O661" s="226"/>
      <c r="P661" s="226"/>
      <c r="Q661" s="228"/>
      <c r="R661" s="228"/>
    </row>
    <row r="662" ht="13.5" customHeight="1" spans="1:18">
      <c r="A662" s="226"/>
      <c r="B662" s="226"/>
      <c r="C662" s="227"/>
      <c r="D662" s="227"/>
      <c r="E662" s="226"/>
      <c r="F662" s="226"/>
      <c r="G662" s="227"/>
      <c r="H662" s="227"/>
      <c r="I662" s="227"/>
      <c r="J662" s="227"/>
      <c r="K662" s="228"/>
      <c r="L662" s="229"/>
      <c r="M662" s="228"/>
      <c r="N662" s="227"/>
      <c r="O662" s="226"/>
      <c r="P662" s="226"/>
      <c r="Q662" s="228"/>
      <c r="R662" s="228"/>
    </row>
    <row r="663" ht="13.5" customHeight="1" spans="1:18">
      <c r="A663" s="226"/>
      <c r="B663" s="226"/>
      <c r="C663" s="227"/>
      <c r="D663" s="227"/>
      <c r="E663" s="226"/>
      <c r="F663" s="226"/>
      <c r="G663" s="227"/>
      <c r="H663" s="227"/>
      <c r="I663" s="227"/>
      <c r="J663" s="227"/>
      <c r="K663" s="228"/>
      <c r="L663" s="229"/>
      <c r="M663" s="228"/>
      <c r="N663" s="227"/>
      <c r="O663" s="226"/>
      <c r="P663" s="226"/>
      <c r="Q663" s="228"/>
      <c r="R663" s="228"/>
    </row>
    <row r="664" ht="13.5" customHeight="1" spans="1:18">
      <c r="A664" s="226"/>
      <c r="B664" s="226"/>
      <c r="C664" s="227"/>
      <c r="D664" s="227"/>
      <c r="E664" s="226"/>
      <c r="F664" s="226"/>
      <c r="G664" s="227"/>
      <c r="H664" s="227"/>
      <c r="I664" s="227"/>
      <c r="J664" s="227"/>
      <c r="K664" s="228"/>
      <c r="L664" s="229"/>
      <c r="M664" s="228"/>
      <c r="N664" s="227"/>
      <c r="O664" s="226"/>
      <c r="P664" s="226"/>
      <c r="Q664" s="228"/>
      <c r="R664" s="228"/>
    </row>
    <row r="665" ht="13.5" customHeight="1" spans="1:18">
      <c r="A665" s="226"/>
      <c r="B665" s="226"/>
      <c r="C665" s="227"/>
      <c r="D665" s="227"/>
      <c r="E665" s="226"/>
      <c r="F665" s="226"/>
      <c r="G665" s="227"/>
      <c r="H665" s="227"/>
      <c r="I665" s="227"/>
      <c r="J665" s="227"/>
      <c r="K665" s="228"/>
      <c r="L665" s="229"/>
      <c r="M665" s="228"/>
      <c r="N665" s="227"/>
      <c r="O665" s="226"/>
      <c r="P665" s="226"/>
      <c r="Q665" s="228"/>
      <c r="R665" s="228"/>
    </row>
    <row r="666" ht="13.5" customHeight="1" spans="1:18">
      <c r="A666" s="226"/>
      <c r="B666" s="226"/>
      <c r="C666" s="227"/>
      <c r="D666" s="227"/>
      <c r="E666" s="226"/>
      <c r="F666" s="226"/>
      <c r="G666" s="227"/>
      <c r="H666" s="227"/>
      <c r="I666" s="227"/>
      <c r="J666" s="227"/>
      <c r="K666" s="228"/>
      <c r="L666" s="229"/>
      <c r="M666" s="228"/>
      <c r="N666" s="227"/>
      <c r="O666" s="226"/>
      <c r="P666" s="226"/>
      <c r="Q666" s="228"/>
      <c r="R666" s="228"/>
    </row>
    <row r="667" ht="13.5" customHeight="1" spans="1:18">
      <c r="A667" s="226"/>
      <c r="B667" s="226"/>
      <c r="C667" s="227"/>
      <c r="D667" s="227"/>
      <c r="E667" s="226"/>
      <c r="F667" s="226"/>
      <c r="G667" s="227"/>
      <c r="H667" s="227"/>
      <c r="I667" s="227"/>
      <c r="J667" s="227"/>
      <c r="K667" s="228"/>
      <c r="L667" s="229"/>
      <c r="M667" s="228"/>
      <c r="N667" s="227"/>
      <c r="O667" s="226"/>
      <c r="P667" s="226"/>
      <c r="Q667" s="228"/>
      <c r="R667" s="228"/>
    </row>
    <row r="668" ht="13.5" customHeight="1" spans="1:18">
      <c r="A668" s="226"/>
      <c r="B668" s="226"/>
      <c r="C668" s="227"/>
      <c r="D668" s="227"/>
      <c r="E668" s="226"/>
      <c r="F668" s="226"/>
      <c r="G668" s="227"/>
      <c r="H668" s="227"/>
      <c r="I668" s="227"/>
      <c r="J668" s="227"/>
      <c r="K668" s="228"/>
      <c r="L668" s="229"/>
      <c r="M668" s="228"/>
      <c r="N668" s="227"/>
      <c r="O668" s="226"/>
      <c r="P668" s="226"/>
      <c r="Q668" s="228"/>
      <c r="R668" s="228"/>
    </row>
    <row r="669" ht="13.5" customHeight="1" spans="1:18">
      <c r="A669" s="226"/>
      <c r="B669" s="226"/>
      <c r="C669" s="227"/>
      <c r="D669" s="227"/>
      <c r="E669" s="226"/>
      <c r="F669" s="226"/>
      <c r="G669" s="227"/>
      <c r="H669" s="227"/>
      <c r="I669" s="227"/>
      <c r="J669" s="227"/>
      <c r="K669" s="228"/>
      <c r="L669" s="229"/>
      <c r="M669" s="228"/>
      <c r="N669" s="227"/>
      <c r="O669" s="226"/>
      <c r="P669" s="226"/>
      <c r="Q669" s="228"/>
      <c r="R669" s="228"/>
    </row>
    <row r="670" ht="13.5" customHeight="1" spans="1:18">
      <c r="A670" s="226"/>
      <c r="B670" s="226"/>
      <c r="C670" s="227"/>
      <c r="D670" s="227"/>
      <c r="E670" s="226"/>
      <c r="F670" s="226"/>
      <c r="G670" s="227"/>
      <c r="H670" s="227"/>
      <c r="I670" s="227"/>
      <c r="J670" s="227"/>
      <c r="K670" s="228"/>
      <c r="L670" s="229"/>
      <c r="M670" s="228"/>
      <c r="N670" s="227"/>
      <c r="O670" s="226"/>
      <c r="P670" s="226"/>
      <c r="Q670" s="228"/>
      <c r="R670" s="228"/>
    </row>
    <row r="671" ht="13.5" customHeight="1" spans="1:18">
      <c r="A671" s="226"/>
      <c r="B671" s="226"/>
      <c r="C671" s="227"/>
      <c r="D671" s="227"/>
      <c r="E671" s="226"/>
      <c r="F671" s="226"/>
      <c r="G671" s="227"/>
      <c r="H671" s="227"/>
      <c r="I671" s="227"/>
      <c r="J671" s="227"/>
      <c r="K671" s="228"/>
      <c r="L671" s="229"/>
      <c r="M671" s="228"/>
      <c r="N671" s="227"/>
      <c r="O671" s="226"/>
      <c r="P671" s="226"/>
      <c r="Q671" s="228"/>
      <c r="R671" s="228"/>
    </row>
    <row r="672" ht="13.5" customHeight="1" spans="1:18">
      <c r="A672" s="226"/>
      <c r="B672" s="226"/>
      <c r="C672" s="227"/>
      <c r="D672" s="227"/>
      <c r="E672" s="226"/>
      <c r="F672" s="226"/>
      <c r="G672" s="227"/>
      <c r="H672" s="227"/>
      <c r="I672" s="227"/>
      <c r="J672" s="227"/>
      <c r="K672" s="228"/>
      <c r="L672" s="229"/>
      <c r="M672" s="228"/>
      <c r="N672" s="227"/>
      <c r="O672" s="226"/>
      <c r="P672" s="226"/>
      <c r="Q672" s="228"/>
      <c r="R672" s="228"/>
    </row>
    <row r="673" ht="13.5" customHeight="1" spans="1:18">
      <c r="A673" s="226"/>
      <c r="B673" s="226"/>
      <c r="C673" s="227"/>
      <c r="D673" s="227"/>
      <c r="E673" s="226"/>
      <c r="F673" s="226"/>
      <c r="G673" s="227"/>
      <c r="H673" s="227"/>
      <c r="I673" s="227"/>
      <c r="J673" s="227"/>
      <c r="K673" s="228"/>
      <c r="L673" s="229"/>
      <c r="M673" s="228"/>
      <c r="N673" s="227"/>
      <c r="O673" s="226"/>
      <c r="P673" s="226"/>
      <c r="Q673" s="228"/>
      <c r="R673" s="228"/>
    </row>
    <row r="674" ht="13.5" customHeight="1" spans="1:18">
      <c r="A674" s="226"/>
      <c r="B674" s="226"/>
      <c r="C674" s="227"/>
      <c r="D674" s="227"/>
      <c r="E674" s="226"/>
      <c r="F674" s="226"/>
      <c r="G674" s="227"/>
      <c r="H674" s="227"/>
      <c r="I674" s="227"/>
      <c r="J674" s="227"/>
      <c r="K674" s="228"/>
      <c r="L674" s="229"/>
      <c r="M674" s="228"/>
      <c r="N674" s="227"/>
      <c r="O674" s="226"/>
      <c r="P674" s="226"/>
      <c r="Q674" s="228"/>
      <c r="R674" s="228"/>
    </row>
    <row r="675" ht="13.5" customHeight="1" spans="1:18">
      <c r="A675" s="226"/>
      <c r="B675" s="226"/>
      <c r="C675" s="227"/>
      <c r="D675" s="227"/>
      <c r="E675" s="226"/>
      <c r="F675" s="226"/>
      <c r="G675" s="227"/>
      <c r="H675" s="227"/>
      <c r="I675" s="227"/>
      <c r="J675" s="227"/>
      <c r="K675" s="228"/>
      <c r="L675" s="229"/>
      <c r="M675" s="228"/>
      <c r="N675" s="227"/>
      <c r="O675" s="226"/>
      <c r="P675" s="226"/>
      <c r="Q675" s="228"/>
      <c r="R675" s="228"/>
    </row>
    <row r="676" ht="13.5" customHeight="1" spans="1:18">
      <c r="A676" s="226"/>
      <c r="B676" s="226"/>
      <c r="C676" s="227"/>
      <c r="D676" s="227"/>
      <c r="E676" s="226"/>
      <c r="F676" s="226"/>
      <c r="G676" s="227"/>
      <c r="H676" s="227"/>
      <c r="I676" s="227"/>
      <c r="J676" s="227"/>
      <c r="K676" s="228"/>
      <c r="L676" s="229"/>
      <c r="M676" s="228"/>
      <c r="N676" s="227"/>
      <c r="O676" s="226"/>
      <c r="P676" s="226"/>
      <c r="Q676" s="228"/>
      <c r="R676" s="228"/>
    </row>
    <row r="677" ht="13.5" customHeight="1" spans="1:18">
      <c r="A677" s="226"/>
      <c r="B677" s="226"/>
      <c r="C677" s="227"/>
      <c r="D677" s="227"/>
      <c r="E677" s="226"/>
      <c r="F677" s="226"/>
      <c r="G677" s="227"/>
      <c r="H677" s="227"/>
      <c r="I677" s="227"/>
      <c r="J677" s="227"/>
      <c r="K677" s="228"/>
      <c r="L677" s="229"/>
      <c r="M677" s="228"/>
      <c r="N677" s="227"/>
      <c r="O677" s="226"/>
      <c r="P677" s="226"/>
      <c r="Q677" s="228"/>
      <c r="R677" s="228"/>
    </row>
    <row r="678" ht="13.5" customHeight="1" spans="1:18">
      <c r="A678" s="226"/>
      <c r="B678" s="226"/>
      <c r="C678" s="227"/>
      <c r="D678" s="227"/>
      <c r="E678" s="226"/>
      <c r="F678" s="226"/>
      <c r="G678" s="227"/>
      <c r="H678" s="227"/>
      <c r="I678" s="227"/>
      <c r="J678" s="227"/>
      <c r="K678" s="228"/>
      <c r="L678" s="229"/>
      <c r="M678" s="228"/>
      <c r="N678" s="227"/>
      <c r="O678" s="226"/>
      <c r="P678" s="226"/>
      <c r="Q678" s="228"/>
      <c r="R678" s="228"/>
    </row>
    <row r="679" ht="13.5" customHeight="1" spans="1:18">
      <c r="A679" s="226"/>
      <c r="B679" s="226"/>
      <c r="C679" s="227"/>
      <c r="D679" s="227"/>
      <c r="E679" s="226"/>
      <c r="F679" s="226"/>
      <c r="G679" s="227"/>
      <c r="H679" s="227"/>
      <c r="I679" s="227"/>
      <c r="J679" s="227"/>
      <c r="K679" s="228"/>
      <c r="L679" s="229"/>
      <c r="M679" s="228"/>
      <c r="N679" s="227"/>
      <c r="O679" s="226"/>
      <c r="P679" s="226"/>
      <c r="Q679" s="228"/>
      <c r="R679" s="228"/>
    </row>
    <row r="680" ht="13.5" customHeight="1" spans="1:18">
      <c r="A680" s="226"/>
      <c r="B680" s="226"/>
      <c r="C680" s="227"/>
      <c r="D680" s="227"/>
      <c r="E680" s="226"/>
      <c r="F680" s="226"/>
      <c r="G680" s="227"/>
      <c r="H680" s="227"/>
      <c r="I680" s="227"/>
      <c r="J680" s="227"/>
      <c r="K680" s="228"/>
      <c r="L680" s="229"/>
      <c r="M680" s="228"/>
      <c r="N680" s="227"/>
      <c r="O680" s="226"/>
      <c r="P680" s="226"/>
      <c r="Q680" s="228"/>
      <c r="R680" s="228"/>
    </row>
    <row r="681" ht="13.5" customHeight="1" spans="1:18">
      <c r="A681" s="226"/>
      <c r="B681" s="226"/>
      <c r="C681" s="227"/>
      <c r="D681" s="227"/>
      <c r="E681" s="226"/>
      <c r="F681" s="226"/>
      <c r="G681" s="227"/>
      <c r="H681" s="227"/>
      <c r="I681" s="227"/>
      <c r="J681" s="227"/>
      <c r="K681" s="228"/>
      <c r="L681" s="229"/>
      <c r="M681" s="228"/>
      <c r="N681" s="227"/>
      <c r="O681" s="226"/>
      <c r="P681" s="226"/>
      <c r="Q681" s="228"/>
      <c r="R681" s="228"/>
    </row>
    <row r="682" ht="13.5" customHeight="1" spans="1:18">
      <c r="A682" s="226"/>
      <c r="B682" s="226"/>
      <c r="C682" s="227"/>
      <c r="D682" s="227"/>
      <c r="E682" s="226"/>
      <c r="F682" s="226"/>
      <c r="G682" s="227"/>
      <c r="H682" s="227"/>
      <c r="I682" s="227"/>
      <c r="J682" s="227"/>
      <c r="K682" s="228"/>
      <c r="L682" s="229"/>
      <c r="M682" s="228"/>
      <c r="N682" s="227"/>
      <c r="O682" s="226"/>
      <c r="P682" s="226"/>
      <c r="Q682" s="228"/>
      <c r="R682" s="228"/>
    </row>
    <row r="683" ht="13.5" customHeight="1" spans="1:18">
      <c r="A683" s="226"/>
      <c r="B683" s="226"/>
      <c r="C683" s="227"/>
      <c r="D683" s="227"/>
      <c r="E683" s="226"/>
      <c r="F683" s="226"/>
      <c r="G683" s="227"/>
      <c r="H683" s="227"/>
      <c r="I683" s="227"/>
      <c r="J683" s="227"/>
      <c r="K683" s="228"/>
      <c r="L683" s="229"/>
      <c r="M683" s="228"/>
      <c r="N683" s="227"/>
      <c r="O683" s="226"/>
      <c r="P683" s="226"/>
      <c r="Q683" s="228"/>
      <c r="R683" s="228"/>
    </row>
    <row r="684" ht="13.5" customHeight="1" spans="1:18">
      <c r="A684" s="226"/>
      <c r="B684" s="226"/>
      <c r="C684" s="227"/>
      <c r="D684" s="227"/>
      <c r="E684" s="226"/>
      <c r="F684" s="226"/>
      <c r="G684" s="227"/>
      <c r="H684" s="227"/>
      <c r="I684" s="227"/>
      <c r="J684" s="227"/>
      <c r="K684" s="228"/>
      <c r="L684" s="229"/>
      <c r="M684" s="228"/>
      <c r="N684" s="227"/>
      <c r="O684" s="226"/>
      <c r="P684" s="226"/>
      <c r="Q684" s="228"/>
      <c r="R684" s="228"/>
    </row>
    <row r="685" ht="13.5" customHeight="1" spans="1:18">
      <c r="A685" s="226"/>
      <c r="B685" s="226"/>
      <c r="C685" s="227"/>
      <c r="D685" s="227"/>
      <c r="E685" s="226"/>
      <c r="F685" s="226"/>
      <c r="G685" s="227"/>
      <c r="H685" s="227"/>
      <c r="I685" s="227"/>
      <c r="J685" s="227"/>
      <c r="K685" s="228"/>
      <c r="L685" s="229"/>
      <c r="M685" s="228"/>
      <c r="N685" s="227"/>
      <c r="O685" s="226"/>
      <c r="P685" s="226"/>
      <c r="Q685" s="228"/>
      <c r="R685" s="228"/>
    </row>
    <row r="686" ht="13.5" customHeight="1" spans="1:18">
      <c r="A686" s="226"/>
      <c r="B686" s="226"/>
      <c r="C686" s="227"/>
      <c r="D686" s="227"/>
      <c r="E686" s="226"/>
      <c r="F686" s="226"/>
      <c r="G686" s="227"/>
      <c r="H686" s="227"/>
      <c r="I686" s="227"/>
      <c r="J686" s="227"/>
      <c r="K686" s="228"/>
      <c r="L686" s="229"/>
      <c r="M686" s="228"/>
      <c r="N686" s="227"/>
      <c r="O686" s="226"/>
      <c r="P686" s="226"/>
      <c r="Q686" s="228"/>
      <c r="R686" s="228"/>
    </row>
    <row r="687" ht="13.5" customHeight="1" spans="1:18">
      <c r="A687" s="226"/>
      <c r="B687" s="226"/>
      <c r="C687" s="227"/>
      <c r="D687" s="227"/>
      <c r="E687" s="226"/>
      <c r="F687" s="226"/>
      <c r="G687" s="227"/>
      <c r="H687" s="227"/>
      <c r="I687" s="227"/>
      <c r="J687" s="227"/>
      <c r="K687" s="228"/>
      <c r="L687" s="229"/>
      <c r="M687" s="228"/>
      <c r="N687" s="227"/>
      <c r="O687" s="226"/>
      <c r="P687" s="226"/>
      <c r="Q687" s="228"/>
      <c r="R687" s="228"/>
    </row>
    <row r="688" ht="13.5" customHeight="1" spans="1:18">
      <c r="A688" s="226"/>
      <c r="B688" s="226"/>
      <c r="C688" s="227"/>
      <c r="D688" s="227"/>
      <c r="E688" s="226"/>
      <c r="F688" s="226"/>
      <c r="G688" s="227"/>
      <c r="H688" s="227"/>
      <c r="I688" s="227"/>
      <c r="J688" s="227"/>
      <c r="K688" s="228"/>
      <c r="L688" s="229"/>
      <c r="M688" s="228"/>
      <c r="N688" s="227"/>
      <c r="O688" s="226"/>
      <c r="P688" s="226"/>
      <c r="Q688" s="228"/>
      <c r="R688" s="228"/>
    </row>
    <row r="689" ht="13.5" customHeight="1" spans="1:18">
      <c r="A689" s="226"/>
      <c r="B689" s="226"/>
      <c r="C689" s="227"/>
      <c r="D689" s="227"/>
      <c r="E689" s="226"/>
      <c r="F689" s="226"/>
      <c r="G689" s="227"/>
      <c r="H689" s="227"/>
      <c r="I689" s="227"/>
      <c r="J689" s="227"/>
      <c r="K689" s="228"/>
      <c r="L689" s="229"/>
      <c r="M689" s="228"/>
      <c r="N689" s="227"/>
      <c r="O689" s="226"/>
      <c r="P689" s="226"/>
      <c r="Q689" s="228"/>
      <c r="R689" s="228"/>
    </row>
    <row r="690" ht="13.5" customHeight="1" spans="1:18">
      <c r="A690" s="226"/>
      <c r="B690" s="226"/>
      <c r="C690" s="227"/>
      <c r="D690" s="227"/>
      <c r="E690" s="226"/>
      <c r="F690" s="226"/>
      <c r="G690" s="227"/>
      <c r="H690" s="227"/>
      <c r="I690" s="227"/>
      <c r="J690" s="227"/>
      <c r="K690" s="228"/>
      <c r="L690" s="229"/>
      <c r="M690" s="228"/>
      <c r="N690" s="227"/>
      <c r="O690" s="226"/>
      <c r="P690" s="226"/>
      <c r="Q690" s="228"/>
      <c r="R690" s="228"/>
    </row>
    <row r="691" ht="13.5" customHeight="1" spans="1:18">
      <c r="A691" s="226"/>
      <c r="B691" s="226"/>
      <c r="C691" s="227"/>
      <c r="D691" s="227"/>
      <c r="E691" s="226"/>
      <c r="F691" s="226"/>
      <c r="G691" s="227"/>
      <c r="H691" s="227"/>
      <c r="I691" s="227"/>
      <c r="J691" s="227"/>
      <c r="K691" s="228"/>
      <c r="L691" s="229"/>
      <c r="M691" s="228"/>
      <c r="N691" s="227"/>
      <c r="O691" s="226"/>
      <c r="P691" s="226"/>
      <c r="Q691" s="228"/>
      <c r="R691" s="228"/>
    </row>
    <row r="692" ht="13.5" customHeight="1" spans="1:18">
      <c r="A692" s="226"/>
      <c r="B692" s="226"/>
      <c r="C692" s="227"/>
      <c r="D692" s="227"/>
      <c r="E692" s="226"/>
      <c r="F692" s="226"/>
      <c r="G692" s="227"/>
      <c r="H692" s="227"/>
      <c r="I692" s="227"/>
      <c r="J692" s="227"/>
      <c r="K692" s="228"/>
      <c r="L692" s="229"/>
      <c r="M692" s="228"/>
      <c r="N692" s="227"/>
      <c r="O692" s="226"/>
      <c r="P692" s="226"/>
      <c r="Q692" s="228"/>
      <c r="R692" s="228"/>
    </row>
    <row r="693" ht="13.5" customHeight="1" spans="1:18">
      <c r="A693" s="226"/>
      <c r="B693" s="226"/>
      <c r="C693" s="227"/>
      <c r="D693" s="227"/>
      <c r="E693" s="226"/>
      <c r="F693" s="226"/>
      <c r="G693" s="227"/>
      <c r="H693" s="227"/>
      <c r="I693" s="227"/>
      <c r="J693" s="227"/>
      <c r="K693" s="228"/>
      <c r="L693" s="229"/>
      <c r="M693" s="228"/>
      <c r="N693" s="227"/>
      <c r="O693" s="226"/>
      <c r="P693" s="226"/>
      <c r="Q693" s="228"/>
      <c r="R693" s="228"/>
    </row>
    <row r="694" ht="13.5" customHeight="1" spans="1:18">
      <c r="A694" s="226"/>
      <c r="B694" s="226"/>
      <c r="C694" s="227"/>
      <c r="D694" s="227"/>
      <c r="E694" s="226"/>
      <c r="F694" s="226"/>
      <c r="G694" s="227"/>
      <c r="H694" s="227"/>
      <c r="I694" s="227"/>
      <c r="J694" s="227"/>
      <c r="K694" s="228"/>
      <c r="L694" s="229"/>
      <c r="M694" s="228"/>
      <c r="N694" s="227"/>
      <c r="O694" s="226"/>
      <c r="P694" s="226"/>
      <c r="Q694" s="228"/>
      <c r="R694" s="228"/>
    </row>
    <row r="695" ht="13.5" customHeight="1" spans="1:18">
      <c r="A695" s="226"/>
      <c r="B695" s="226"/>
      <c r="C695" s="227"/>
      <c r="D695" s="227"/>
      <c r="E695" s="226"/>
      <c r="F695" s="226"/>
      <c r="G695" s="227"/>
      <c r="H695" s="227"/>
      <c r="I695" s="227"/>
      <c r="J695" s="227"/>
      <c r="K695" s="228"/>
      <c r="L695" s="229"/>
      <c r="M695" s="228"/>
      <c r="N695" s="227"/>
      <c r="O695" s="226"/>
      <c r="P695" s="226"/>
      <c r="Q695" s="228"/>
      <c r="R695" s="228"/>
    </row>
    <row r="696" ht="13.5" customHeight="1" spans="1:18">
      <c r="A696" s="226"/>
      <c r="B696" s="226"/>
      <c r="C696" s="227"/>
      <c r="D696" s="227"/>
      <c r="E696" s="226"/>
      <c r="F696" s="226"/>
      <c r="G696" s="227"/>
      <c r="H696" s="227"/>
      <c r="I696" s="227"/>
      <c r="J696" s="227"/>
      <c r="K696" s="228"/>
      <c r="L696" s="229"/>
      <c r="M696" s="228"/>
      <c r="N696" s="227"/>
      <c r="O696" s="226"/>
      <c r="P696" s="226"/>
      <c r="Q696" s="228"/>
      <c r="R696" s="228"/>
    </row>
    <row r="697" ht="13.5" customHeight="1" spans="1:18">
      <c r="A697" s="226"/>
      <c r="B697" s="226"/>
      <c r="C697" s="227"/>
      <c r="D697" s="227"/>
      <c r="E697" s="226"/>
      <c r="F697" s="226"/>
      <c r="G697" s="227"/>
      <c r="H697" s="227"/>
      <c r="I697" s="227"/>
      <c r="J697" s="227"/>
      <c r="K697" s="228"/>
      <c r="L697" s="229"/>
      <c r="M697" s="228"/>
      <c r="N697" s="227"/>
      <c r="O697" s="226"/>
      <c r="P697" s="226"/>
      <c r="Q697" s="228"/>
      <c r="R697" s="228"/>
    </row>
    <row r="698" ht="13.5" customHeight="1" spans="1:18">
      <c r="A698" s="226"/>
      <c r="B698" s="226"/>
      <c r="C698" s="227"/>
      <c r="D698" s="227"/>
      <c r="E698" s="226"/>
      <c r="F698" s="226"/>
      <c r="G698" s="227"/>
      <c r="H698" s="227"/>
      <c r="I698" s="227"/>
      <c r="J698" s="227"/>
      <c r="K698" s="228"/>
      <c r="L698" s="229"/>
      <c r="M698" s="228"/>
      <c r="N698" s="227"/>
      <c r="O698" s="226"/>
      <c r="P698" s="226"/>
      <c r="Q698" s="228"/>
      <c r="R698" s="228"/>
    </row>
    <row r="699" ht="13.5" customHeight="1" spans="1:18">
      <c r="A699" s="226"/>
      <c r="B699" s="226"/>
      <c r="C699" s="227"/>
      <c r="D699" s="227"/>
      <c r="E699" s="226"/>
      <c r="F699" s="226"/>
      <c r="G699" s="227"/>
      <c r="H699" s="227"/>
      <c r="I699" s="227"/>
      <c r="J699" s="227"/>
      <c r="K699" s="228"/>
      <c r="L699" s="229"/>
      <c r="M699" s="228"/>
      <c r="N699" s="227"/>
      <c r="O699" s="226"/>
      <c r="P699" s="226"/>
      <c r="Q699" s="228"/>
      <c r="R699" s="228"/>
    </row>
    <row r="700" ht="13.5" customHeight="1" spans="1:18">
      <c r="A700" s="226"/>
      <c r="B700" s="226"/>
      <c r="C700" s="227"/>
      <c r="D700" s="227"/>
      <c r="E700" s="226"/>
      <c r="F700" s="226"/>
      <c r="G700" s="227"/>
      <c r="H700" s="227"/>
      <c r="I700" s="227"/>
      <c r="J700" s="227"/>
      <c r="K700" s="228"/>
      <c r="L700" s="229"/>
      <c r="M700" s="228"/>
      <c r="N700" s="227"/>
      <c r="O700" s="226"/>
      <c r="P700" s="226"/>
      <c r="Q700" s="228"/>
      <c r="R700" s="228"/>
    </row>
    <row r="701" ht="13.5" customHeight="1" spans="1:18">
      <c r="A701" s="226"/>
      <c r="B701" s="226"/>
      <c r="C701" s="227"/>
      <c r="D701" s="227"/>
      <c r="E701" s="226"/>
      <c r="F701" s="226"/>
      <c r="G701" s="227"/>
      <c r="H701" s="227"/>
      <c r="I701" s="227"/>
      <c r="J701" s="227"/>
      <c r="K701" s="228"/>
      <c r="L701" s="229"/>
      <c r="M701" s="228"/>
      <c r="N701" s="227"/>
      <c r="O701" s="226"/>
      <c r="P701" s="226"/>
      <c r="Q701" s="228"/>
      <c r="R701" s="228"/>
    </row>
    <row r="702" ht="13.5" customHeight="1" spans="1:18">
      <c r="A702" s="226"/>
      <c r="B702" s="226"/>
      <c r="C702" s="227"/>
      <c r="D702" s="227"/>
      <c r="E702" s="226"/>
      <c r="F702" s="226"/>
      <c r="G702" s="227"/>
      <c r="H702" s="227"/>
      <c r="I702" s="227"/>
      <c r="J702" s="227"/>
      <c r="K702" s="228"/>
      <c r="L702" s="229"/>
      <c r="M702" s="228"/>
      <c r="N702" s="227"/>
      <c r="O702" s="226"/>
      <c r="P702" s="226"/>
      <c r="Q702" s="228"/>
      <c r="R702" s="228"/>
    </row>
    <row r="703" ht="13.5" customHeight="1" spans="1:18">
      <c r="A703" s="226"/>
      <c r="B703" s="226"/>
      <c r="C703" s="227"/>
      <c r="D703" s="227"/>
      <c r="E703" s="226"/>
      <c r="F703" s="226"/>
      <c r="G703" s="227"/>
      <c r="H703" s="227"/>
      <c r="I703" s="227"/>
      <c r="J703" s="227"/>
      <c r="K703" s="228"/>
      <c r="L703" s="229"/>
      <c r="M703" s="228"/>
      <c r="N703" s="227"/>
      <c r="O703" s="226"/>
      <c r="P703" s="226"/>
      <c r="Q703" s="228"/>
      <c r="R703" s="228"/>
    </row>
    <row r="704" ht="13.5" customHeight="1" spans="1:18">
      <c r="A704" s="226"/>
      <c r="B704" s="226"/>
      <c r="C704" s="227"/>
      <c r="D704" s="227"/>
      <c r="E704" s="226"/>
      <c r="F704" s="226"/>
      <c r="G704" s="227"/>
      <c r="H704" s="227"/>
      <c r="I704" s="227"/>
      <c r="J704" s="227"/>
      <c r="K704" s="228"/>
      <c r="L704" s="229"/>
      <c r="M704" s="228"/>
      <c r="N704" s="227"/>
      <c r="O704" s="226"/>
      <c r="P704" s="226"/>
      <c r="Q704" s="228"/>
      <c r="R704" s="228"/>
    </row>
    <row r="705" ht="13.5" customHeight="1" spans="1:18">
      <c r="A705" s="226"/>
      <c r="B705" s="226"/>
      <c r="C705" s="227"/>
      <c r="D705" s="227"/>
      <c r="E705" s="226"/>
      <c r="F705" s="226"/>
      <c r="G705" s="227"/>
      <c r="H705" s="227"/>
      <c r="I705" s="227"/>
      <c r="J705" s="227"/>
      <c r="K705" s="228"/>
      <c r="L705" s="229"/>
      <c r="M705" s="228"/>
      <c r="N705" s="227"/>
      <c r="O705" s="226"/>
      <c r="P705" s="226"/>
      <c r="Q705" s="228"/>
      <c r="R705" s="228"/>
    </row>
    <row r="706" ht="13.5" customHeight="1" spans="1:18">
      <c r="A706" s="226"/>
      <c r="B706" s="226"/>
      <c r="C706" s="227"/>
      <c r="D706" s="227"/>
      <c r="E706" s="226"/>
      <c r="F706" s="226"/>
      <c r="G706" s="227"/>
      <c r="H706" s="227"/>
      <c r="I706" s="227"/>
      <c r="J706" s="227"/>
      <c r="K706" s="228"/>
      <c r="L706" s="229"/>
      <c r="M706" s="228"/>
      <c r="N706" s="227"/>
      <c r="O706" s="226"/>
      <c r="P706" s="226"/>
      <c r="Q706" s="228"/>
      <c r="R706" s="228"/>
    </row>
    <row r="707" ht="13.5" customHeight="1" spans="1:18">
      <c r="A707" s="226"/>
      <c r="B707" s="226"/>
      <c r="C707" s="227"/>
      <c r="D707" s="227"/>
      <c r="E707" s="226"/>
      <c r="F707" s="226"/>
      <c r="G707" s="227"/>
      <c r="H707" s="227"/>
      <c r="I707" s="227"/>
      <c r="J707" s="227"/>
      <c r="K707" s="228"/>
      <c r="L707" s="229"/>
      <c r="M707" s="228"/>
      <c r="N707" s="227"/>
      <c r="O707" s="226"/>
      <c r="P707" s="226"/>
      <c r="Q707" s="228"/>
      <c r="R707" s="228"/>
    </row>
    <row r="708" ht="13.5" customHeight="1" spans="1:18">
      <c r="A708" s="226"/>
      <c r="B708" s="226"/>
      <c r="C708" s="227"/>
      <c r="D708" s="227"/>
      <c r="E708" s="226"/>
      <c r="F708" s="226"/>
      <c r="G708" s="227"/>
      <c r="H708" s="227"/>
      <c r="I708" s="227"/>
      <c r="J708" s="227"/>
      <c r="K708" s="228"/>
      <c r="L708" s="229"/>
      <c r="M708" s="228"/>
      <c r="N708" s="227"/>
      <c r="O708" s="226"/>
      <c r="P708" s="226"/>
      <c r="Q708" s="228"/>
      <c r="R708" s="228"/>
    </row>
    <row r="709" ht="13.5" customHeight="1" spans="1:18">
      <c r="A709" s="226"/>
      <c r="B709" s="226"/>
      <c r="C709" s="227"/>
      <c r="D709" s="227"/>
      <c r="E709" s="226"/>
      <c r="F709" s="226"/>
      <c r="G709" s="227"/>
      <c r="H709" s="227"/>
      <c r="I709" s="227"/>
      <c r="J709" s="227"/>
      <c r="K709" s="228"/>
      <c r="L709" s="229"/>
      <c r="M709" s="228"/>
      <c r="N709" s="227"/>
      <c r="O709" s="226"/>
      <c r="P709" s="226"/>
      <c r="Q709" s="228"/>
      <c r="R709" s="228"/>
    </row>
    <row r="710" ht="13.5" customHeight="1" spans="1:18">
      <c r="A710" s="226"/>
      <c r="B710" s="226"/>
      <c r="C710" s="227"/>
      <c r="D710" s="227"/>
      <c r="E710" s="226"/>
      <c r="F710" s="226"/>
      <c r="G710" s="227"/>
      <c r="H710" s="227"/>
      <c r="I710" s="227"/>
      <c r="J710" s="227"/>
      <c r="K710" s="228"/>
      <c r="L710" s="229"/>
      <c r="M710" s="228"/>
      <c r="N710" s="227"/>
      <c r="O710" s="226"/>
      <c r="P710" s="226"/>
      <c r="Q710" s="228"/>
      <c r="R710" s="228"/>
    </row>
    <row r="711" ht="13.5" customHeight="1" spans="1:18">
      <c r="A711" s="226"/>
      <c r="B711" s="226"/>
      <c r="C711" s="227"/>
      <c r="D711" s="227"/>
      <c r="E711" s="226"/>
      <c r="F711" s="226"/>
      <c r="G711" s="227"/>
      <c r="H711" s="227"/>
      <c r="I711" s="227"/>
      <c r="J711" s="227"/>
      <c r="K711" s="228"/>
      <c r="L711" s="229"/>
      <c r="M711" s="228"/>
      <c r="N711" s="227"/>
      <c r="O711" s="226"/>
      <c r="P711" s="226"/>
      <c r="Q711" s="228"/>
      <c r="R711" s="228"/>
    </row>
    <row r="712" ht="13.5" customHeight="1" spans="1:18">
      <c r="A712" s="226"/>
      <c r="B712" s="226"/>
      <c r="C712" s="227"/>
      <c r="D712" s="227"/>
      <c r="E712" s="226"/>
      <c r="F712" s="226"/>
      <c r="G712" s="227"/>
      <c r="H712" s="227"/>
      <c r="I712" s="227"/>
      <c r="J712" s="227"/>
      <c r="K712" s="228"/>
      <c r="L712" s="229"/>
      <c r="M712" s="228"/>
      <c r="N712" s="227"/>
      <c r="O712" s="226"/>
      <c r="P712" s="226"/>
      <c r="Q712" s="228"/>
      <c r="R712" s="228"/>
    </row>
    <row r="713" ht="13.5" customHeight="1" spans="1:18">
      <c r="A713" s="226"/>
      <c r="B713" s="226"/>
      <c r="C713" s="227"/>
      <c r="D713" s="227"/>
      <c r="E713" s="226"/>
      <c r="F713" s="226"/>
      <c r="G713" s="227"/>
      <c r="H713" s="227"/>
      <c r="I713" s="227"/>
      <c r="J713" s="227"/>
      <c r="K713" s="228"/>
      <c r="L713" s="229"/>
      <c r="M713" s="228"/>
      <c r="N713" s="227"/>
      <c r="O713" s="226"/>
      <c r="P713" s="226"/>
      <c r="Q713" s="228"/>
      <c r="R713" s="228"/>
    </row>
    <row r="714" ht="13.5" customHeight="1" spans="1:18">
      <c r="A714" s="226"/>
      <c r="B714" s="226"/>
      <c r="C714" s="227"/>
      <c r="D714" s="227"/>
      <c r="E714" s="226"/>
      <c r="F714" s="226"/>
      <c r="G714" s="227"/>
      <c r="H714" s="227"/>
      <c r="I714" s="227"/>
      <c r="J714" s="227"/>
      <c r="K714" s="228"/>
      <c r="L714" s="229"/>
      <c r="M714" s="228"/>
      <c r="N714" s="227"/>
      <c r="O714" s="226"/>
      <c r="P714" s="226"/>
      <c r="Q714" s="228"/>
      <c r="R714" s="228"/>
    </row>
    <row r="715" ht="13.5" customHeight="1" spans="1:18">
      <c r="A715" s="226"/>
      <c r="B715" s="226"/>
      <c r="C715" s="227"/>
      <c r="D715" s="227"/>
      <c r="E715" s="226"/>
      <c r="F715" s="226"/>
      <c r="G715" s="227"/>
      <c r="H715" s="227"/>
      <c r="I715" s="227"/>
      <c r="J715" s="227"/>
      <c r="K715" s="228"/>
      <c r="L715" s="229"/>
      <c r="M715" s="228"/>
      <c r="N715" s="227"/>
      <c r="O715" s="226"/>
      <c r="P715" s="226"/>
      <c r="Q715" s="228"/>
      <c r="R715" s="228"/>
    </row>
    <row r="716" ht="13.5" customHeight="1" spans="1:18">
      <c r="A716" s="226"/>
      <c r="B716" s="226"/>
      <c r="C716" s="227"/>
      <c r="D716" s="227"/>
      <c r="E716" s="226"/>
      <c r="F716" s="226"/>
      <c r="G716" s="227"/>
      <c r="H716" s="227"/>
      <c r="I716" s="227"/>
      <c r="J716" s="227"/>
      <c r="K716" s="228"/>
      <c r="L716" s="229"/>
      <c r="M716" s="228"/>
      <c r="N716" s="227"/>
      <c r="O716" s="226"/>
      <c r="P716" s="226"/>
      <c r="Q716" s="228"/>
      <c r="R716" s="228"/>
    </row>
    <row r="717" ht="13.5" customHeight="1" spans="1:18">
      <c r="A717" s="226"/>
      <c r="B717" s="226"/>
      <c r="C717" s="227"/>
      <c r="D717" s="227"/>
      <c r="E717" s="226"/>
      <c r="F717" s="226"/>
      <c r="G717" s="227"/>
      <c r="H717" s="227"/>
      <c r="I717" s="227"/>
      <c r="J717" s="227"/>
      <c r="K717" s="228"/>
      <c r="L717" s="229"/>
      <c r="M717" s="228"/>
      <c r="N717" s="227"/>
      <c r="O717" s="226"/>
      <c r="P717" s="226"/>
      <c r="Q717" s="228"/>
      <c r="R717" s="228"/>
    </row>
    <row r="718" ht="13.5" customHeight="1" spans="1:18">
      <c r="A718" s="226"/>
      <c r="B718" s="226"/>
      <c r="C718" s="227"/>
      <c r="D718" s="227"/>
      <c r="E718" s="226"/>
      <c r="F718" s="226"/>
      <c r="G718" s="227"/>
      <c r="H718" s="227"/>
      <c r="I718" s="227"/>
      <c r="J718" s="227"/>
      <c r="K718" s="228"/>
      <c r="L718" s="229"/>
      <c r="M718" s="228"/>
      <c r="N718" s="227"/>
      <c r="O718" s="226"/>
      <c r="P718" s="226"/>
      <c r="Q718" s="228"/>
      <c r="R718" s="228"/>
    </row>
    <row r="719" ht="13.5" customHeight="1" spans="1:18">
      <c r="A719" s="226"/>
      <c r="B719" s="226"/>
      <c r="C719" s="227"/>
      <c r="D719" s="227"/>
      <c r="E719" s="226"/>
      <c r="F719" s="226"/>
      <c r="G719" s="227"/>
      <c r="H719" s="227"/>
      <c r="I719" s="227"/>
      <c r="J719" s="227"/>
      <c r="K719" s="228"/>
      <c r="L719" s="229"/>
      <c r="M719" s="228"/>
      <c r="N719" s="227"/>
      <c r="O719" s="226"/>
      <c r="P719" s="226"/>
      <c r="Q719" s="228"/>
      <c r="R719" s="228"/>
    </row>
    <row r="720" ht="13.5" customHeight="1" spans="1:18">
      <c r="A720" s="226"/>
      <c r="B720" s="226"/>
      <c r="C720" s="227"/>
      <c r="D720" s="227"/>
      <c r="E720" s="226"/>
      <c r="F720" s="226"/>
      <c r="G720" s="227"/>
      <c r="H720" s="227"/>
      <c r="I720" s="227"/>
      <c r="J720" s="227"/>
      <c r="K720" s="228"/>
      <c r="L720" s="229"/>
      <c r="M720" s="228"/>
      <c r="N720" s="227"/>
      <c r="O720" s="226"/>
      <c r="P720" s="226"/>
      <c r="Q720" s="228"/>
      <c r="R720" s="228"/>
    </row>
    <row r="721" ht="13.5" customHeight="1" spans="1:18">
      <c r="A721" s="226"/>
      <c r="B721" s="226"/>
      <c r="C721" s="227"/>
      <c r="D721" s="227"/>
      <c r="E721" s="226"/>
      <c r="F721" s="226"/>
      <c r="G721" s="227"/>
      <c r="H721" s="227"/>
      <c r="I721" s="227"/>
      <c r="J721" s="227"/>
      <c r="K721" s="228"/>
      <c r="L721" s="229"/>
      <c r="M721" s="228"/>
      <c r="N721" s="227"/>
      <c r="O721" s="226"/>
      <c r="P721" s="226"/>
      <c r="Q721" s="228"/>
      <c r="R721" s="228"/>
    </row>
    <row r="722" ht="13.5" customHeight="1" spans="1:18">
      <c r="A722" s="226"/>
      <c r="B722" s="226"/>
      <c r="C722" s="227"/>
      <c r="D722" s="227"/>
      <c r="E722" s="226"/>
      <c r="F722" s="226"/>
      <c r="G722" s="227"/>
      <c r="H722" s="227"/>
      <c r="I722" s="227"/>
      <c r="J722" s="227"/>
      <c r="K722" s="228"/>
      <c r="L722" s="229"/>
      <c r="M722" s="228"/>
      <c r="N722" s="227"/>
      <c r="O722" s="226"/>
      <c r="P722" s="226"/>
      <c r="Q722" s="228"/>
      <c r="R722" s="228"/>
    </row>
    <row r="723" ht="13.5" customHeight="1" spans="1:18">
      <c r="A723" s="226"/>
      <c r="B723" s="226"/>
      <c r="C723" s="227"/>
      <c r="D723" s="227"/>
      <c r="E723" s="226"/>
      <c r="F723" s="226"/>
      <c r="G723" s="227"/>
      <c r="H723" s="227"/>
      <c r="I723" s="227"/>
      <c r="J723" s="227"/>
      <c r="K723" s="228"/>
      <c r="L723" s="229"/>
      <c r="M723" s="228"/>
      <c r="N723" s="227"/>
      <c r="O723" s="226"/>
      <c r="P723" s="226"/>
      <c r="Q723" s="228"/>
      <c r="R723" s="228"/>
    </row>
    <row r="724" ht="13.5" customHeight="1" spans="1:18">
      <c r="A724" s="226"/>
      <c r="B724" s="226"/>
      <c r="C724" s="227"/>
      <c r="D724" s="227"/>
      <c r="E724" s="226"/>
      <c r="F724" s="226"/>
      <c r="G724" s="227"/>
      <c r="H724" s="227"/>
      <c r="I724" s="227"/>
      <c r="J724" s="227"/>
      <c r="K724" s="228"/>
      <c r="L724" s="229"/>
      <c r="M724" s="228"/>
      <c r="N724" s="227"/>
      <c r="O724" s="226"/>
      <c r="P724" s="226"/>
      <c r="Q724" s="228"/>
      <c r="R724" s="228"/>
    </row>
    <row r="725" ht="13.5" customHeight="1" spans="1:18">
      <c r="A725" s="226"/>
      <c r="B725" s="226"/>
      <c r="C725" s="227"/>
      <c r="D725" s="227"/>
      <c r="E725" s="226"/>
      <c r="F725" s="226"/>
      <c r="G725" s="227"/>
      <c r="H725" s="227"/>
      <c r="I725" s="227"/>
      <c r="J725" s="227"/>
      <c r="K725" s="228"/>
      <c r="L725" s="229"/>
      <c r="M725" s="228"/>
      <c r="N725" s="227"/>
      <c r="O725" s="226"/>
      <c r="P725" s="226"/>
      <c r="Q725" s="228"/>
      <c r="R725" s="228"/>
    </row>
    <row r="726" ht="13.5" customHeight="1" spans="1:18">
      <c r="A726" s="226"/>
      <c r="B726" s="226"/>
      <c r="C726" s="227"/>
      <c r="D726" s="227"/>
      <c r="E726" s="226"/>
      <c r="F726" s="226"/>
      <c r="G726" s="227"/>
      <c r="H726" s="227"/>
      <c r="I726" s="227"/>
      <c r="J726" s="227"/>
      <c r="K726" s="228"/>
      <c r="L726" s="229"/>
      <c r="M726" s="228"/>
      <c r="N726" s="227"/>
      <c r="O726" s="226"/>
      <c r="P726" s="226"/>
      <c r="Q726" s="228"/>
      <c r="R726" s="228"/>
    </row>
    <row r="727" ht="13.5" customHeight="1" spans="1:18">
      <c r="A727" s="226"/>
      <c r="B727" s="226"/>
      <c r="C727" s="227"/>
      <c r="D727" s="227"/>
      <c r="E727" s="226"/>
      <c r="F727" s="226"/>
      <c r="G727" s="227"/>
      <c r="H727" s="227"/>
      <c r="I727" s="227"/>
      <c r="J727" s="227"/>
      <c r="K727" s="228"/>
      <c r="L727" s="229"/>
      <c r="M727" s="228"/>
      <c r="N727" s="227"/>
      <c r="O727" s="226"/>
      <c r="P727" s="226"/>
      <c r="Q727" s="228"/>
      <c r="R727" s="228"/>
    </row>
    <row r="728" ht="13.5" customHeight="1" spans="1:18">
      <c r="A728" s="226"/>
      <c r="B728" s="226"/>
      <c r="C728" s="227"/>
      <c r="D728" s="227"/>
      <c r="E728" s="226"/>
      <c r="F728" s="226"/>
      <c r="G728" s="227"/>
      <c r="H728" s="227"/>
      <c r="I728" s="227"/>
      <c r="J728" s="227"/>
      <c r="K728" s="228"/>
      <c r="L728" s="229"/>
      <c r="M728" s="228"/>
      <c r="N728" s="227"/>
      <c r="O728" s="226"/>
      <c r="P728" s="226"/>
      <c r="Q728" s="228"/>
      <c r="R728" s="228"/>
    </row>
    <row r="729" ht="13.5" customHeight="1" spans="1:18">
      <c r="A729" s="226"/>
      <c r="B729" s="226"/>
      <c r="C729" s="227"/>
      <c r="D729" s="227"/>
      <c r="E729" s="226"/>
      <c r="F729" s="226"/>
      <c r="G729" s="227"/>
      <c r="H729" s="227"/>
      <c r="I729" s="227"/>
      <c r="J729" s="227"/>
      <c r="K729" s="228"/>
      <c r="L729" s="229"/>
      <c r="M729" s="228"/>
      <c r="N729" s="227"/>
      <c r="O729" s="226"/>
      <c r="P729" s="226"/>
      <c r="Q729" s="228"/>
      <c r="R729" s="228"/>
    </row>
    <row r="730" ht="13.5" customHeight="1" spans="1:18">
      <c r="A730" s="226"/>
      <c r="B730" s="226"/>
      <c r="C730" s="227"/>
      <c r="D730" s="227"/>
      <c r="E730" s="226"/>
      <c r="F730" s="226"/>
      <c r="G730" s="227"/>
      <c r="H730" s="227"/>
      <c r="I730" s="227"/>
      <c r="J730" s="227"/>
      <c r="K730" s="228"/>
      <c r="L730" s="229"/>
      <c r="M730" s="228"/>
      <c r="N730" s="227"/>
      <c r="O730" s="226"/>
      <c r="P730" s="226"/>
      <c r="Q730" s="228"/>
      <c r="R730" s="228"/>
    </row>
    <row r="731" ht="13.5" customHeight="1" spans="1:18">
      <c r="A731" s="226"/>
      <c r="B731" s="226"/>
      <c r="C731" s="227"/>
      <c r="D731" s="227"/>
      <c r="E731" s="226"/>
      <c r="F731" s="226"/>
      <c r="G731" s="227"/>
      <c r="H731" s="227"/>
      <c r="I731" s="227"/>
      <c r="J731" s="227"/>
      <c r="K731" s="228"/>
      <c r="L731" s="229"/>
      <c r="M731" s="228"/>
      <c r="N731" s="227"/>
      <c r="O731" s="226"/>
      <c r="P731" s="226"/>
      <c r="Q731" s="228"/>
      <c r="R731" s="228"/>
    </row>
    <row r="732" ht="13.5" customHeight="1" spans="1:18">
      <c r="A732" s="226"/>
      <c r="B732" s="226"/>
      <c r="C732" s="227"/>
      <c r="D732" s="227"/>
      <c r="E732" s="226"/>
      <c r="F732" s="226"/>
      <c r="G732" s="227"/>
      <c r="H732" s="227"/>
      <c r="I732" s="227"/>
      <c r="J732" s="227"/>
      <c r="K732" s="228"/>
      <c r="L732" s="229"/>
      <c r="M732" s="228"/>
      <c r="N732" s="227"/>
      <c r="O732" s="226"/>
      <c r="P732" s="226"/>
      <c r="Q732" s="228"/>
      <c r="R732" s="228"/>
    </row>
    <row r="733" ht="13.5" customHeight="1" spans="1:18">
      <c r="A733" s="226"/>
      <c r="B733" s="226"/>
      <c r="C733" s="227"/>
      <c r="D733" s="227"/>
      <c r="E733" s="226"/>
      <c r="F733" s="226"/>
      <c r="G733" s="227"/>
      <c r="H733" s="227"/>
      <c r="I733" s="227"/>
      <c r="J733" s="227"/>
      <c r="K733" s="228"/>
      <c r="L733" s="229"/>
      <c r="M733" s="228"/>
      <c r="N733" s="227"/>
      <c r="O733" s="226"/>
      <c r="P733" s="226"/>
      <c r="Q733" s="228"/>
      <c r="R733" s="228"/>
    </row>
    <row r="734" ht="13.5" customHeight="1" spans="1:18">
      <c r="A734" s="226"/>
      <c r="B734" s="226"/>
      <c r="C734" s="227"/>
      <c r="D734" s="227"/>
      <c r="E734" s="226"/>
      <c r="F734" s="226"/>
      <c r="G734" s="227"/>
      <c r="H734" s="227"/>
      <c r="I734" s="227"/>
      <c r="J734" s="227"/>
      <c r="K734" s="228"/>
      <c r="L734" s="229"/>
      <c r="M734" s="228"/>
      <c r="N734" s="227"/>
      <c r="O734" s="226"/>
      <c r="P734" s="226"/>
      <c r="Q734" s="228"/>
      <c r="R734" s="228"/>
    </row>
    <row r="735" ht="13.5" customHeight="1" spans="1:18">
      <c r="A735" s="226"/>
      <c r="B735" s="226"/>
      <c r="C735" s="227"/>
      <c r="D735" s="227"/>
      <c r="E735" s="226"/>
      <c r="F735" s="226"/>
      <c r="G735" s="227"/>
      <c r="H735" s="227"/>
      <c r="I735" s="227"/>
      <c r="J735" s="227"/>
      <c r="K735" s="228"/>
      <c r="L735" s="229"/>
      <c r="M735" s="228"/>
      <c r="N735" s="227"/>
      <c r="O735" s="226"/>
      <c r="P735" s="226"/>
      <c r="Q735" s="228"/>
      <c r="R735" s="228"/>
    </row>
    <row r="736" ht="13.5" customHeight="1" spans="1:18">
      <c r="A736" s="226"/>
      <c r="B736" s="226"/>
      <c r="C736" s="227"/>
      <c r="D736" s="227"/>
      <c r="E736" s="226"/>
      <c r="F736" s="226"/>
      <c r="G736" s="227"/>
      <c r="H736" s="227"/>
      <c r="I736" s="227"/>
      <c r="J736" s="227"/>
      <c r="K736" s="228"/>
      <c r="L736" s="229"/>
      <c r="M736" s="228"/>
      <c r="N736" s="227"/>
      <c r="O736" s="226"/>
      <c r="P736" s="226"/>
      <c r="Q736" s="228"/>
      <c r="R736" s="228"/>
    </row>
    <row r="737" ht="13.5" customHeight="1" spans="1:18">
      <c r="A737" s="226"/>
      <c r="B737" s="226"/>
      <c r="C737" s="227"/>
      <c r="D737" s="227"/>
      <c r="E737" s="226"/>
      <c r="F737" s="226"/>
      <c r="G737" s="227"/>
      <c r="H737" s="227"/>
      <c r="I737" s="227"/>
      <c r="J737" s="227"/>
      <c r="K737" s="228"/>
      <c r="L737" s="229"/>
      <c r="M737" s="228"/>
      <c r="N737" s="227"/>
      <c r="O737" s="226"/>
      <c r="P737" s="226"/>
      <c r="Q737" s="228"/>
      <c r="R737" s="228"/>
    </row>
    <row r="738" ht="13.5" customHeight="1" spans="1:18">
      <c r="A738" s="226"/>
      <c r="B738" s="226"/>
      <c r="C738" s="227"/>
      <c r="D738" s="227"/>
      <c r="E738" s="226"/>
      <c r="F738" s="226"/>
      <c r="G738" s="227"/>
      <c r="H738" s="227"/>
      <c r="I738" s="227"/>
      <c r="J738" s="227"/>
      <c r="K738" s="228"/>
      <c r="L738" s="229"/>
      <c r="M738" s="228"/>
      <c r="N738" s="227"/>
      <c r="O738" s="226"/>
      <c r="P738" s="226"/>
      <c r="Q738" s="228"/>
      <c r="R738" s="228"/>
    </row>
    <row r="739" ht="13.5" customHeight="1" spans="1:18">
      <c r="A739" s="226"/>
      <c r="B739" s="226"/>
      <c r="C739" s="227"/>
      <c r="D739" s="227"/>
      <c r="E739" s="226"/>
      <c r="F739" s="226"/>
      <c r="G739" s="227"/>
      <c r="H739" s="227"/>
      <c r="I739" s="227"/>
      <c r="J739" s="227"/>
      <c r="K739" s="228"/>
      <c r="L739" s="229"/>
      <c r="M739" s="228"/>
      <c r="N739" s="227"/>
      <c r="O739" s="226"/>
      <c r="P739" s="226"/>
      <c r="Q739" s="228"/>
      <c r="R739" s="228"/>
    </row>
    <row r="740" ht="13.5" customHeight="1" spans="1:18">
      <c r="A740" s="226"/>
      <c r="B740" s="226"/>
      <c r="C740" s="227"/>
      <c r="D740" s="227"/>
      <c r="E740" s="226"/>
      <c r="F740" s="226"/>
      <c r="G740" s="227"/>
      <c r="H740" s="227"/>
      <c r="I740" s="227"/>
      <c r="J740" s="227"/>
      <c r="K740" s="228"/>
      <c r="L740" s="229"/>
      <c r="M740" s="228"/>
      <c r="N740" s="227"/>
      <c r="O740" s="226"/>
      <c r="P740" s="226"/>
      <c r="Q740" s="228"/>
      <c r="R740" s="228"/>
    </row>
    <row r="741" ht="13.5" customHeight="1" spans="1:18">
      <c r="A741" s="226"/>
      <c r="B741" s="226"/>
      <c r="C741" s="227"/>
      <c r="D741" s="227"/>
      <c r="E741" s="226"/>
      <c r="F741" s="226"/>
      <c r="G741" s="227"/>
      <c r="H741" s="227"/>
      <c r="I741" s="227"/>
      <c r="J741" s="227"/>
      <c r="K741" s="228"/>
      <c r="L741" s="229"/>
      <c r="M741" s="228"/>
      <c r="N741" s="227"/>
      <c r="O741" s="226"/>
      <c r="P741" s="226"/>
      <c r="Q741" s="228"/>
      <c r="R741" s="228"/>
    </row>
    <row r="742" ht="13.5" customHeight="1" spans="1:18">
      <c r="A742" s="226"/>
      <c r="B742" s="226"/>
      <c r="C742" s="227"/>
      <c r="D742" s="227"/>
      <c r="E742" s="226"/>
      <c r="F742" s="226"/>
      <c r="G742" s="227"/>
      <c r="H742" s="227"/>
      <c r="I742" s="227"/>
      <c r="J742" s="227"/>
      <c r="K742" s="228"/>
      <c r="L742" s="229"/>
      <c r="M742" s="228"/>
      <c r="N742" s="227"/>
      <c r="O742" s="226"/>
      <c r="P742" s="226"/>
      <c r="Q742" s="228"/>
      <c r="R742" s="228"/>
    </row>
    <row r="743" ht="13.5" customHeight="1" spans="1:18">
      <c r="A743" s="226"/>
      <c r="B743" s="226"/>
      <c r="C743" s="227"/>
      <c r="D743" s="227"/>
      <c r="E743" s="226"/>
      <c r="F743" s="226"/>
      <c r="G743" s="227"/>
      <c r="H743" s="227"/>
      <c r="I743" s="227"/>
      <c r="J743" s="227"/>
      <c r="K743" s="228"/>
      <c r="L743" s="229"/>
      <c r="M743" s="228"/>
      <c r="N743" s="227"/>
      <c r="O743" s="226"/>
      <c r="P743" s="226"/>
      <c r="Q743" s="228"/>
      <c r="R743" s="228"/>
    </row>
    <row r="744" ht="13.5" customHeight="1" spans="1:18">
      <c r="A744" s="226"/>
      <c r="B744" s="226"/>
      <c r="C744" s="227"/>
      <c r="D744" s="227"/>
      <c r="E744" s="226"/>
      <c r="F744" s="226"/>
      <c r="G744" s="227"/>
      <c r="H744" s="227"/>
      <c r="I744" s="227"/>
      <c r="J744" s="227"/>
      <c r="K744" s="228"/>
      <c r="L744" s="229"/>
      <c r="M744" s="228"/>
      <c r="N744" s="227"/>
      <c r="O744" s="226"/>
      <c r="P744" s="226"/>
      <c r="Q744" s="228"/>
      <c r="R744" s="228"/>
    </row>
    <row r="745" ht="13.5" customHeight="1" spans="1:18">
      <c r="A745" s="226"/>
      <c r="B745" s="226"/>
      <c r="C745" s="227"/>
      <c r="D745" s="227"/>
      <c r="E745" s="226"/>
      <c r="F745" s="226"/>
      <c r="G745" s="227"/>
      <c r="H745" s="227"/>
      <c r="I745" s="227"/>
      <c r="J745" s="227"/>
      <c r="K745" s="228"/>
      <c r="L745" s="229"/>
      <c r="M745" s="228"/>
      <c r="N745" s="227"/>
      <c r="O745" s="226"/>
      <c r="P745" s="226"/>
      <c r="Q745" s="228"/>
      <c r="R745" s="228"/>
    </row>
    <row r="746" ht="13.5" customHeight="1" spans="1:18">
      <c r="A746" s="226"/>
      <c r="B746" s="226"/>
      <c r="C746" s="227"/>
      <c r="D746" s="227"/>
      <c r="E746" s="226"/>
      <c r="F746" s="226"/>
      <c r="G746" s="227"/>
      <c r="H746" s="227"/>
      <c r="I746" s="227"/>
      <c r="J746" s="227"/>
      <c r="K746" s="228"/>
      <c r="L746" s="229"/>
      <c r="M746" s="228"/>
      <c r="N746" s="227"/>
      <c r="O746" s="226"/>
      <c r="P746" s="226"/>
      <c r="Q746" s="228"/>
      <c r="R746" s="228"/>
    </row>
    <row r="747" ht="13.5" customHeight="1" spans="1:18">
      <c r="A747" s="226"/>
      <c r="B747" s="226"/>
      <c r="C747" s="227"/>
      <c r="D747" s="227"/>
      <c r="E747" s="226"/>
      <c r="F747" s="226"/>
      <c r="G747" s="227"/>
      <c r="H747" s="227"/>
      <c r="I747" s="227"/>
      <c r="J747" s="227"/>
      <c r="K747" s="228"/>
      <c r="L747" s="229"/>
      <c r="M747" s="228"/>
      <c r="N747" s="227"/>
      <c r="O747" s="226"/>
      <c r="P747" s="226"/>
      <c r="Q747" s="228"/>
      <c r="R747" s="228"/>
    </row>
    <row r="748" ht="13.5" customHeight="1" spans="1:18">
      <c r="A748" s="226"/>
      <c r="B748" s="226"/>
      <c r="C748" s="227"/>
      <c r="D748" s="227"/>
      <c r="E748" s="226"/>
      <c r="F748" s="226"/>
      <c r="G748" s="227"/>
      <c r="H748" s="227"/>
      <c r="I748" s="227"/>
      <c r="J748" s="227"/>
      <c r="K748" s="228"/>
      <c r="L748" s="229"/>
      <c r="M748" s="228"/>
      <c r="N748" s="227"/>
      <c r="O748" s="226"/>
      <c r="P748" s="226"/>
      <c r="Q748" s="228"/>
      <c r="R748" s="228"/>
    </row>
    <row r="749" ht="13.5" customHeight="1" spans="1:18">
      <c r="A749" s="226"/>
      <c r="B749" s="226"/>
      <c r="C749" s="227"/>
      <c r="D749" s="227"/>
      <c r="E749" s="226"/>
      <c r="F749" s="226"/>
      <c r="G749" s="227"/>
      <c r="H749" s="227"/>
      <c r="I749" s="227"/>
      <c r="J749" s="227"/>
      <c r="K749" s="228"/>
      <c r="L749" s="229"/>
      <c r="M749" s="228"/>
      <c r="N749" s="227"/>
      <c r="O749" s="226"/>
      <c r="P749" s="226"/>
      <c r="Q749" s="228"/>
      <c r="R749" s="228"/>
    </row>
    <row r="750" ht="13.5" customHeight="1" spans="1:18">
      <c r="A750" s="226"/>
      <c r="B750" s="226"/>
      <c r="C750" s="227"/>
      <c r="D750" s="227"/>
      <c r="E750" s="226"/>
      <c r="F750" s="226"/>
      <c r="G750" s="227"/>
      <c r="H750" s="227"/>
      <c r="I750" s="227"/>
      <c r="J750" s="227"/>
      <c r="K750" s="228"/>
      <c r="L750" s="229"/>
      <c r="M750" s="228"/>
      <c r="N750" s="227"/>
      <c r="O750" s="226"/>
      <c r="P750" s="226"/>
      <c r="Q750" s="228"/>
      <c r="R750" s="228"/>
    </row>
    <row r="751" ht="13.5" customHeight="1" spans="1:18">
      <c r="A751" s="226"/>
      <c r="B751" s="226"/>
      <c r="C751" s="227"/>
      <c r="D751" s="227"/>
      <c r="E751" s="226"/>
      <c r="F751" s="226"/>
      <c r="G751" s="227"/>
      <c r="H751" s="227"/>
      <c r="I751" s="227"/>
      <c r="J751" s="227"/>
      <c r="K751" s="228"/>
      <c r="L751" s="229"/>
      <c r="M751" s="228"/>
      <c r="N751" s="227"/>
      <c r="O751" s="226"/>
      <c r="P751" s="226"/>
      <c r="Q751" s="228"/>
      <c r="R751" s="228"/>
    </row>
    <row r="752" ht="13.5" customHeight="1" spans="1:18">
      <c r="A752" s="226"/>
      <c r="B752" s="226"/>
      <c r="C752" s="227"/>
      <c r="D752" s="227"/>
      <c r="E752" s="226"/>
      <c r="F752" s="226"/>
      <c r="G752" s="227"/>
      <c r="H752" s="227"/>
      <c r="I752" s="227"/>
      <c r="J752" s="227"/>
      <c r="K752" s="228"/>
      <c r="L752" s="229"/>
      <c r="M752" s="228"/>
      <c r="N752" s="227"/>
      <c r="O752" s="226"/>
      <c r="P752" s="226"/>
      <c r="Q752" s="228"/>
      <c r="R752" s="228"/>
    </row>
    <row r="753" ht="13.5" customHeight="1" spans="1:18">
      <c r="A753" s="226"/>
      <c r="B753" s="226"/>
      <c r="C753" s="227"/>
      <c r="D753" s="227"/>
      <c r="E753" s="226"/>
      <c r="F753" s="226"/>
      <c r="G753" s="227"/>
      <c r="H753" s="227"/>
      <c r="I753" s="227"/>
      <c r="J753" s="227"/>
      <c r="K753" s="228"/>
      <c r="L753" s="229"/>
      <c r="M753" s="228"/>
      <c r="N753" s="227"/>
      <c r="O753" s="226"/>
      <c r="P753" s="226"/>
      <c r="Q753" s="228"/>
      <c r="R753" s="228"/>
    </row>
    <row r="754" ht="13.5" customHeight="1" spans="1:18">
      <c r="A754" s="226"/>
      <c r="B754" s="226"/>
      <c r="C754" s="227"/>
      <c r="D754" s="227"/>
      <c r="E754" s="226"/>
      <c r="F754" s="226"/>
      <c r="G754" s="227"/>
      <c r="H754" s="227"/>
      <c r="I754" s="227"/>
      <c r="J754" s="227"/>
      <c r="K754" s="228"/>
      <c r="L754" s="229"/>
      <c r="M754" s="228"/>
      <c r="N754" s="227"/>
      <c r="O754" s="226"/>
      <c r="P754" s="226"/>
      <c r="Q754" s="228"/>
      <c r="R754" s="228"/>
    </row>
    <row r="755" ht="13.5" customHeight="1" spans="1:18">
      <c r="A755" s="226"/>
      <c r="B755" s="226"/>
      <c r="C755" s="227"/>
      <c r="D755" s="227"/>
      <c r="E755" s="226"/>
      <c r="F755" s="226"/>
      <c r="G755" s="227"/>
      <c r="H755" s="227"/>
      <c r="I755" s="227"/>
      <c r="J755" s="227"/>
      <c r="K755" s="228"/>
      <c r="L755" s="229"/>
      <c r="M755" s="228"/>
      <c r="N755" s="227"/>
      <c r="O755" s="226"/>
      <c r="P755" s="226"/>
      <c r="Q755" s="228"/>
      <c r="R755" s="228"/>
    </row>
    <row r="756" ht="13.5" customHeight="1" spans="1:18">
      <c r="A756" s="226"/>
      <c r="B756" s="226"/>
      <c r="C756" s="227"/>
      <c r="D756" s="227"/>
      <c r="E756" s="226"/>
      <c r="F756" s="226"/>
      <c r="G756" s="227"/>
      <c r="H756" s="227"/>
      <c r="I756" s="227"/>
      <c r="J756" s="227"/>
      <c r="K756" s="228"/>
      <c r="L756" s="229"/>
      <c r="M756" s="228"/>
      <c r="N756" s="227"/>
      <c r="O756" s="226"/>
      <c r="P756" s="226"/>
      <c r="Q756" s="228"/>
      <c r="R756" s="228"/>
    </row>
    <row r="757" ht="13.5" customHeight="1" spans="1:18">
      <c r="A757" s="226"/>
      <c r="B757" s="226"/>
      <c r="C757" s="227"/>
      <c r="D757" s="227"/>
      <c r="E757" s="226"/>
      <c r="F757" s="226"/>
      <c r="G757" s="227"/>
      <c r="H757" s="227"/>
      <c r="I757" s="227"/>
      <c r="J757" s="227"/>
      <c r="K757" s="228"/>
      <c r="L757" s="229"/>
      <c r="M757" s="228"/>
      <c r="N757" s="227"/>
      <c r="O757" s="226"/>
      <c r="P757" s="226"/>
      <c r="Q757" s="228"/>
      <c r="R757" s="228"/>
    </row>
    <row r="758" ht="13.5" customHeight="1" spans="1:18">
      <c r="A758" s="226"/>
      <c r="B758" s="226"/>
      <c r="C758" s="227"/>
      <c r="D758" s="227"/>
      <c r="E758" s="226"/>
      <c r="F758" s="226"/>
      <c r="G758" s="227"/>
      <c r="H758" s="227"/>
      <c r="I758" s="227"/>
      <c r="J758" s="227"/>
      <c r="K758" s="228"/>
      <c r="L758" s="229"/>
      <c r="M758" s="228"/>
      <c r="N758" s="227"/>
      <c r="O758" s="226"/>
      <c r="P758" s="226"/>
      <c r="Q758" s="228"/>
      <c r="R758" s="228"/>
    </row>
    <row r="759" ht="13.5" customHeight="1" spans="1:18">
      <c r="A759" s="226"/>
      <c r="B759" s="226"/>
      <c r="C759" s="227"/>
      <c r="D759" s="227"/>
      <c r="E759" s="226"/>
      <c r="F759" s="226"/>
      <c r="G759" s="227"/>
      <c r="H759" s="227"/>
      <c r="I759" s="227"/>
      <c r="J759" s="227"/>
      <c r="K759" s="228"/>
      <c r="L759" s="229"/>
      <c r="M759" s="228"/>
      <c r="N759" s="227"/>
      <c r="O759" s="226"/>
      <c r="P759" s="226"/>
      <c r="Q759" s="228"/>
      <c r="R759" s="228"/>
    </row>
    <row r="760" ht="13.5" customHeight="1" spans="1:18">
      <c r="A760" s="226"/>
      <c r="B760" s="226"/>
      <c r="C760" s="227"/>
      <c r="D760" s="227"/>
      <c r="E760" s="226"/>
      <c r="F760" s="226"/>
      <c r="G760" s="227"/>
      <c r="H760" s="227"/>
      <c r="I760" s="227"/>
      <c r="J760" s="227"/>
      <c r="K760" s="228"/>
      <c r="L760" s="229"/>
      <c r="M760" s="228"/>
      <c r="N760" s="227"/>
      <c r="O760" s="226"/>
      <c r="P760" s="226"/>
      <c r="Q760" s="228"/>
      <c r="R760" s="228"/>
    </row>
    <row r="761" ht="13.5" customHeight="1" spans="1:18">
      <c r="A761" s="226"/>
      <c r="B761" s="226"/>
      <c r="C761" s="227"/>
      <c r="D761" s="227"/>
      <c r="E761" s="226"/>
      <c r="F761" s="226"/>
      <c r="G761" s="227"/>
      <c r="H761" s="227"/>
      <c r="I761" s="227"/>
      <c r="J761" s="227"/>
      <c r="K761" s="228"/>
      <c r="L761" s="229"/>
      <c r="M761" s="228"/>
      <c r="N761" s="227"/>
      <c r="O761" s="226"/>
      <c r="P761" s="226"/>
      <c r="Q761" s="228"/>
      <c r="R761" s="228"/>
    </row>
    <row r="762" ht="13.5" customHeight="1" spans="1:18">
      <c r="A762" s="226"/>
      <c r="B762" s="226"/>
      <c r="C762" s="227"/>
      <c r="D762" s="227"/>
      <c r="E762" s="226"/>
      <c r="F762" s="226"/>
      <c r="G762" s="227"/>
      <c r="H762" s="227"/>
      <c r="I762" s="227"/>
      <c r="J762" s="227"/>
      <c r="K762" s="228"/>
      <c r="L762" s="229"/>
      <c r="M762" s="228"/>
      <c r="N762" s="227"/>
      <c r="O762" s="226"/>
      <c r="P762" s="226"/>
      <c r="Q762" s="228"/>
      <c r="R762" s="228"/>
    </row>
    <row r="763" ht="13.5" customHeight="1" spans="1:18">
      <c r="A763" s="226"/>
      <c r="B763" s="226"/>
      <c r="C763" s="227"/>
      <c r="D763" s="227"/>
      <c r="E763" s="226"/>
      <c r="F763" s="226"/>
      <c r="G763" s="227"/>
      <c r="H763" s="227"/>
      <c r="I763" s="227"/>
      <c r="J763" s="227"/>
      <c r="K763" s="228"/>
      <c r="L763" s="229"/>
      <c r="M763" s="228"/>
      <c r="N763" s="227"/>
      <c r="O763" s="226"/>
      <c r="P763" s="226"/>
      <c r="Q763" s="228"/>
      <c r="R763" s="228"/>
    </row>
    <row r="764" ht="13.5" customHeight="1" spans="1:18">
      <c r="A764" s="226"/>
      <c r="B764" s="226"/>
      <c r="C764" s="227"/>
      <c r="D764" s="227"/>
      <c r="E764" s="226"/>
      <c r="F764" s="226"/>
      <c r="G764" s="227"/>
      <c r="H764" s="227"/>
      <c r="I764" s="227"/>
      <c r="J764" s="227"/>
      <c r="K764" s="228"/>
      <c r="L764" s="229"/>
      <c r="M764" s="228"/>
      <c r="N764" s="227"/>
      <c r="O764" s="226"/>
      <c r="P764" s="226"/>
      <c r="Q764" s="228"/>
      <c r="R764" s="228"/>
    </row>
    <row r="765" ht="13.5" customHeight="1" spans="1:18">
      <c r="A765" s="226"/>
      <c r="B765" s="226"/>
      <c r="C765" s="227"/>
      <c r="D765" s="227"/>
      <c r="E765" s="226"/>
      <c r="F765" s="226"/>
      <c r="G765" s="227"/>
      <c r="H765" s="227"/>
      <c r="I765" s="227"/>
      <c r="J765" s="227"/>
      <c r="K765" s="228"/>
      <c r="L765" s="229"/>
      <c r="M765" s="228"/>
      <c r="N765" s="227"/>
      <c r="O765" s="226"/>
      <c r="P765" s="226"/>
      <c r="Q765" s="228"/>
      <c r="R765" s="228"/>
    </row>
    <row r="766" ht="13.5" customHeight="1" spans="1:18">
      <c r="A766" s="226"/>
      <c r="B766" s="226"/>
      <c r="C766" s="227"/>
      <c r="D766" s="227"/>
      <c r="E766" s="226"/>
      <c r="F766" s="226"/>
      <c r="G766" s="227"/>
      <c r="H766" s="227"/>
      <c r="I766" s="227"/>
      <c r="J766" s="227"/>
      <c r="K766" s="228"/>
      <c r="L766" s="229"/>
      <c r="M766" s="228"/>
      <c r="N766" s="227"/>
      <c r="O766" s="226"/>
      <c r="P766" s="226"/>
      <c r="Q766" s="228"/>
      <c r="R766" s="228"/>
    </row>
    <row r="767" ht="13.5" customHeight="1" spans="1:18">
      <c r="A767" s="226"/>
      <c r="B767" s="226"/>
      <c r="C767" s="227"/>
      <c r="D767" s="227"/>
      <c r="E767" s="226"/>
      <c r="F767" s="226"/>
      <c r="G767" s="227"/>
      <c r="H767" s="227"/>
      <c r="I767" s="227"/>
      <c r="J767" s="227"/>
      <c r="K767" s="228"/>
      <c r="L767" s="229"/>
      <c r="M767" s="228"/>
      <c r="N767" s="227"/>
      <c r="O767" s="226"/>
      <c r="P767" s="226"/>
      <c r="Q767" s="228"/>
      <c r="R767" s="228"/>
    </row>
    <row r="768" ht="13.5" customHeight="1" spans="1:18">
      <c r="A768" s="226"/>
      <c r="B768" s="226"/>
      <c r="C768" s="227"/>
      <c r="D768" s="227"/>
      <c r="E768" s="226"/>
      <c r="F768" s="226"/>
      <c r="G768" s="227"/>
      <c r="H768" s="227"/>
      <c r="I768" s="227"/>
      <c r="J768" s="227"/>
      <c r="K768" s="228"/>
      <c r="L768" s="229"/>
      <c r="M768" s="228"/>
      <c r="N768" s="227"/>
      <c r="O768" s="226"/>
      <c r="P768" s="226"/>
      <c r="Q768" s="228"/>
      <c r="R768" s="228"/>
    </row>
    <row r="769" ht="13.5" customHeight="1" spans="1:18">
      <c r="A769" s="226"/>
      <c r="B769" s="226"/>
      <c r="C769" s="227"/>
      <c r="D769" s="227"/>
      <c r="E769" s="226"/>
      <c r="F769" s="226"/>
      <c r="G769" s="227"/>
      <c r="H769" s="227"/>
      <c r="I769" s="227"/>
      <c r="J769" s="227"/>
      <c r="K769" s="228"/>
      <c r="L769" s="229"/>
      <c r="M769" s="228"/>
      <c r="N769" s="227"/>
      <c r="O769" s="226"/>
      <c r="P769" s="226"/>
      <c r="Q769" s="228"/>
      <c r="R769" s="228"/>
    </row>
    <row r="770" ht="13.5" customHeight="1" spans="1:18">
      <c r="A770" s="226"/>
      <c r="B770" s="226"/>
      <c r="C770" s="227"/>
      <c r="D770" s="227"/>
      <c r="E770" s="226"/>
      <c r="F770" s="226"/>
      <c r="G770" s="227"/>
      <c r="H770" s="227"/>
      <c r="I770" s="227"/>
      <c r="J770" s="227"/>
      <c r="K770" s="228"/>
      <c r="L770" s="229"/>
      <c r="M770" s="228"/>
      <c r="N770" s="227"/>
      <c r="O770" s="226"/>
      <c r="P770" s="226"/>
      <c r="Q770" s="228"/>
      <c r="R770" s="228"/>
    </row>
    <row r="771" ht="13.5" customHeight="1" spans="1:18">
      <c r="A771" s="226"/>
      <c r="B771" s="226"/>
      <c r="C771" s="227"/>
      <c r="D771" s="227"/>
      <c r="E771" s="226"/>
      <c r="F771" s="226"/>
      <c r="G771" s="227"/>
      <c r="H771" s="227"/>
      <c r="I771" s="227"/>
      <c r="J771" s="227"/>
      <c r="K771" s="228"/>
      <c r="L771" s="229"/>
      <c r="M771" s="228"/>
      <c r="N771" s="227"/>
      <c r="O771" s="226"/>
      <c r="P771" s="226"/>
      <c r="Q771" s="228"/>
      <c r="R771" s="228"/>
    </row>
    <row r="772" ht="13.5" customHeight="1" spans="1:18">
      <c r="A772" s="226"/>
      <c r="B772" s="226"/>
      <c r="C772" s="227"/>
      <c r="D772" s="227"/>
      <c r="E772" s="226"/>
      <c r="F772" s="226"/>
      <c r="G772" s="227"/>
      <c r="H772" s="227"/>
      <c r="I772" s="227"/>
      <c r="J772" s="227"/>
      <c r="K772" s="228"/>
      <c r="L772" s="229"/>
      <c r="M772" s="228"/>
      <c r="N772" s="227"/>
      <c r="O772" s="226"/>
      <c r="P772" s="226"/>
      <c r="Q772" s="228"/>
      <c r="R772" s="228"/>
    </row>
    <row r="773" ht="13.5" customHeight="1" spans="1:18">
      <c r="A773" s="226"/>
      <c r="B773" s="226"/>
      <c r="C773" s="227"/>
      <c r="D773" s="227"/>
      <c r="E773" s="226"/>
      <c r="F773" s="226"/>
      <c r="G773" s="227"/>
      <c r="H773" s="227"/>
      <c r="I773" s="227"/>
      <c r="J773" s="227"/>
      <c r="K773" s="228"/>
      <c r="L773" s="229"/>
      <c r="M773" s="228"/>
      <c r="N773" s="227"/>
      <c r="O773" s="226"/>
      <c r="P773" s="226"/>
      <c r="Q773" s="228"/>
      <c r="R773" s="228"/>
    </row>
    <row r="774" ht="13.5" customHeight="1" spans="1:18">
      <c r="A774" s="226"/>
      <c r="B774" s="226"/>
      <c r="C774" s="227"/>
      <c r="D774" s="227"/>
      <c r="E774" s="226"/>
      <c r="F774" s="226"/>
      <c r="G774" s="227"/>
      <c r="H774" s="227"/>
      <c r="I774" s="227"/>
      <c r="J774" s="227"/>
      <c r="K774" s="228"/>
      <c r="L774" s="229"/>
      <c r="M774" s="228"/>
      <c r="N774" s="227"/>
      <c r="O774" s="226"/>
      <c r="P774" s="226"/>
      <c r="Q774" s="228"/>
      <c r="R774" s="228"/>
    </row>
    <row r="775" ht="13.5" customHeight="1" spans="1:18">
      <c r="A775" s="226"/>
      <c r="B775" s="226"/>
      <c r="C775" s="227"/>
      <c r="D775" s="227"/>
      <c r="E775" s="226"/>
      <c r="F775" s="226"/>
      <c r="G775" s="227"/>
      <c r="H775" s="227"/>
      <c r="I775" s="227"/>
      <c r="J775" s="227"/>
      <c r="K775" s="228"/>
      <c r="L775" s="229"/>
      <c r="M775" s="228"/>
      <c r="N775" s="227"/>
      <c r="O775" s="226"/>
      <c r="P775" s="226"/>
      <c r="Q775" s="228"/>
      <c r="R775" s="228"/>
    </row>
    <row r="776" ht="13.5" customHeight="1" spans="1:18">
      <c r="A776" s="226"/>
      <c r="B776" s="226"/>
      <c r="C776" s="227"/>
      <c r="D776" s="227"/>
      <c r="E776" s="226"/>
      <c r="F776" s="226"/>
      <c r="G776" s="227"/>
      <c r="H776" s="227"/>
      <c r="I776" s="227"/>
      <c r="J776" s="227"/>
      <c r="K776" s="228"/>
      <c r="L776" s="229"/>
      <c r="M776" s="228"/>
      <c r="N776" s="227"/>
      <c r="O776" s="226"/>
      <c r="P776" s="226"/>
      <c r="Q776" s="228"/>
      <c r="R776" s="228"/>
    </row>
    <row r="777" ht="13.5" customHeight="1" spans="1:18">
      <c r="A777" s="226"/>
      <c r="B777" s="226"/>
      <c r="C777" s="227"/>
      <c r="D777" s="227"/>
      <c r="E777" s="226"/>
      <c r="F777" s="226"/>
      <c r="G777" s="227"/>
      <c r="H777" s="227"/>
      <c r="I777" s="227"/>
      <c r="J777" s="227"/>
      <c r="K777" s="228"/>
      <c r="L777" s="229"/>
      <c r="M777" s="228"/>
      <c r="N777" s="227"/>
      <c r="O777" s="226"/>
      <c r="P777" s="226"/>
      <c r="Q777" s="228"/>
      <c r="R777" s="228"/>
    </row>
    <row r="778" ht="13.5" customHeight="1" spans="1:18">
      <c r="A778" s="226"/>
      <c r="B778" s="226"/>
      <c r="C778" s="227"/>
      <c r="D778" s="227"/>
      <c r="E778" s="226"/>
      <c r="F778" s="226"/>
      <c r="G778" s="227"/>
      <c r="H778" s="227"/>
      <c r="I778" s="227"/>
      <c r="J778" s="227"/>
      <c r="K778" s="228"/>
      <c r="L778" s="229"/>
      <c r="M778" s="228"/>
      <c r="N778" s="227"/>
      <c r="O778" s="226"/>
      <c r="P778" s="226"/>
      <c r="Q778" s="228"/>
      <c r="R778" s="228"/>
    </row>
    <row r="779" ht="13.5" customHeight="1" spans="1:18">
      <c r="A779" s="226"/>
      <c r="B779" s="226"/>
      <c r="C779" s="227"/>
      <c r="D779" s="227"/>
      <c r="E779" s="226"/>
      <c r="F779" s="226"/>
      <c r="G779" s="227"/>
      <c r="H779" s="227"/>
      <c r="I779" s="227"/>
      <c r="J779" s="227"/>
      <c r="K779" s="228"/>
      <c r="L779" s="229"/>
      <c r="M779" s="228"/>
      <c r="N779" s="227"/>
      <c r="O779" s="226"/>
      <c r="P779" s="226"/>
      <c r="Q779" s="228"/>
      <c r="R779" s="228"/>
    </row>
    <row r="780" ht="13.5" customHeight="1" spans="1:18">
      <c r="A780" s="226"/>
      <c r="B780" s="226"/>
      <c r="C780" s="227"/>
      <c r="D780" s="227"/>
      <c r="E780" s="226"/>
      <c r="F780" s="226"/>
      <c r="G780" s="227"/>
      <c r="H780" s="227"/>
      <c r="I780" s="227"/>
      <c r="J780" s="227"/>
      <c r="K780" s="228"/>
      <c r="L780" s="229"/>
      <c r="M780" s="228"/>
      <c r="N780" s="227"/>
      <c r="O780" s="226"/>
      <c r="P780" s="226"/>
      <c r="Q780" s="228"/>
      <c r="R780" s="228"/>
    </row>
    <row r="781" ht="13.5" customHeight="1" spans="1:18">
      <c r="A781" s="226"/>
      <c r="B781" s="226"/>
      <c r="C781" s="227"/>
      <c r="D781" s="227"/>
      <c r="E781" s="226"/>
      <c r="F781" s="226"/>
      <c r="G781" s="227"/>
      <c r="H781" s="227"/>
      <c r="I781" s="227"/>
      <c r="J781" s="227"/>
      <c r="K781" s="228"/>
      <c r="L781" s="229"/>
      <c r="M781" s="228"/>
      <c r="N781" s="227"/>
      <c r="O781" s="226"/>
      <c r="P781" s="226"/>
      <c r="Q781" s="228"/>
      <c r="R781" s="228"/>
    </row>
    <row r="782" ht="13.5" customHeight="1" spans="1:18">
      <c r="A782" s="226"/>
      <c r="B782" s="226"/>
      <c r="C782" s="227"/>
      <c r="D782" s="227"/>
      <c r="E782" s="226"/>
      <c r="F782" s="226"/>
      <c r="G782" s="227"/>
      <c r="H782" s="227"/>
      <c r="I782" s="227"/>
      <c r="J782" s="227"/>
      <c r="K782" s="228"/>
      <c r="L782" s="229"/>
      <c r="M782" s="228"/>
      <c r="N782" s="227"/>
      <c r="O782" s="226"/>
      <c r="P782" s="226"/>
      <c r="Q782" s="228"/>
      <c r="R782" s="228"/>
    </row>
    <row r="783" ht="13.5" customHeight="1" spans="1:18">
      <c r="A783" s="226"/>
      <c r="B783" s="226"/>
      <c r="C783" s="227"/>
      <c r="D783" s="227"/>
      <c r="E783" s="226"/>
      <c r="F783" s="226"/>
      <c r="G783" s="227"/>
      <c r="H783" s="227"/>
      <c r="I783" s="227"/>
      <c r="J783" s="227"/>
      <c r="K783" s="228"/>
      <c r="L783" s="229"/>
      <c r="M783" s="228"/>
      <c r="N783" s="227"/>
      <c r="O783" s="226"/>
      <c r="P783" s="226"/>
      <c r="Q783" s="228"/>
      <c r="R783" s="228"/>
    </row>
    <row r="784" ht="13.5" customHeight="1" spans="1:18">
      <c r="A784" s="226"/>
      <c r="B784" s="226"/>
      <c r="C784" s="227"/>
      <c r="D784" s="227"/>
      <c r="E784" s="226"/>
      <c r="F784" s="226"/>
      <c r="G784" s="227"/>
      <c r="H784" s="227"/>
      <c r="I784" s="227"/>
      <c r="J784" s="227"/>
      <c r="K784" s="228"/>
      <c r="L784" s="229"/>
      <c r="M784" s="228"/>
      <c r="N784" s="227"/>
      <c r="O784" s="226"/>
      <c r="P784" s="226"/>
      <c r="Q784" s="228"/>
      <c r="R784" s="228"/>
    </row>
    <row r="785" ht="13.5" customHeight="1" spans="1:18">
      <c r="A785" s="226"/>
      <c r="B785" s="226"/>
      <c r="C785" s="227"/>
      <c r="D785" s="227"/>
      <c r="E785" s="226"/>
      <c r="F785" s="226"/>
      <c r="G785" s="227"/>
      <c r="H785" s="227"/>
      <c r="I785" s="227"/>
      <c r="J785" s="227"/>
      <c r="K785" s="228"/>
      <c r="L785" s="229"/>
      <c r="M785" s="228"/>
      <c r="N785" s="227"/>
      <c r="O785" s="226"/>
      <c r="P785" s="226"/>
      <c r="Q785" s="228"/>
      <c r="R785" s="228"/>
    </row>
    <row r="786" ht="13.5" customHeight="1" spans="1:18">
      <c r="A786" s="226"/>
      <c r="B786" s="226"/>
      <c r="C786" s="227"/>
      <c r="D786" s="227"/>
      <c r="E786" s="226"/>
      <c r="F786" s="226"/>
      <c r="G786" s="227"/>
      <c r="H786" s="227"/>
      <c r="I786" s="227"/>
      <c r="J786" s="227"/>
      <c r="K786" s="228"/>
      <c r="L786" s="229"/>
      <c r="M786" s="228"/>
      <c r="N786" s="227"/>
      <c r="O786" s="226"/>
      <c r="P786" s="226"/>
      <c r="Q786" s="228"/>
      <c r="R786" s="228"/>
    </row>
    <row r="787" ht="13.5" customHeight="1" spans="1:18">
      <c r="A787" s="226"/>
      <c r="B787" s="226"/>
      <c r="C787" s="227"/>
      <c r="D787" s="227"/>
      <c r="E787" s="226"/>
      <c r="F787" s="226"/>
      <c r="G787" s="227"/>
      <c r="H787" s="227"/>
      <c r="I787" s="227"/>
      <c r="J787" s="227"/>
      <c r="K787" s="228"/>
      <c r="L787" s="229"/>
      <c r="M787" s="228"/>
      <c r="N787" s="227"/>
      <c r="O787" s="226"/>
      <c r="P787" s="226"/>
      <c r="Q787" s="228"/>
      <c r="R787" s="228"/>
    </row>
    <row r="788" ht="13.5" customHeight="1" spans="1:18">
      <c r="A788" s="226"/>
      <c r="B788" s="226"/>
      <c r="C788" s="227"/>
      <c r="D788" s="227"/>
      <c r="E788" s="226"/>
      <c r="F788" s="226"/>
      <c r="G788" s="227"/>
      <c r="H788" s="227"/>
      <c r="I788" s="227"/>
      <c r="J788" s="227"/>
      <c r="K788" s="228"/>
      <c r="L788" s="229"/>
      <c r="M788" s="228"/>
      <c r="N788" s="227"/>
      <c r="O788" s="226"/>
      <c r="P788" s="226"/>
      <c r="Q788" s="228"/>
      <c r="R788" s="228"/>
    </row>
    <row r="789" ht="13.5" customHeight="1" spans="1:18">
      <c r="A789" s="226"/>
      <c r="B789" s="226"/>
      <c r="C789" s="227"/>
      <c r="D789" s="227"/>
      <c r="E789" s="226"/>
      <c r="F789" s="226"/>
      <c r="G789" s="227"/>
      <c r="H789" s="227"/>
      <c r="I789" s="227"/>
      <c r="J789" s="227"/>
      <c r="K789" s="228"/>
      <c r="L789" s="229"/>
      <c r="M789" s="228"/>
      <c r="N789" s="227"/>
      <c r="O789" s="226"/>
      <c r="P789" s="226"/>
      <c r="Q789" s="228"/>
      <c r="R789" s="228"/>
    </row>
    <row r="790" ht="13.5" customHeight="1" spans="1:18">
      <c r="A790" s="226"/>
      <c r="B790" s="226"/>
      <c r="C790" s="227"/>
      <c r="D790" s="227"/>
      <c r="E790" s="226"/>
      <c r="F790" s="226"/>
      <c r="G790" s="227"/>
      <c r="H790" s="227"/>
      <c r="I790" s="227"/>
      <c r="J790" s="227"/>
      <c r="K790" s="228"/>
      <c r="L790" s="229"/>
      <c r="M790" s="228"/>
      <c r="N790" s="227"/>
      <c r="O790" s="226"/>
      <c r="P790" s="226"/>
      <c r="Q790" s="228"/>
      <c r="R790" s="228"/>
    </row>
    <row r="791" ht="13.5" customHeight="1" spans="1:18">
      <c r="A791" s="226"/>
      <c r="B791" s="226"/>
      <c r="C791" s="227"/>
      <c r="D791" s="227"/>
      <c r="E791" s="226"/>
      <c r="F791" s="226"/>
      <c r="G791" s="227"/>
      <c r="H791" s="227"/>
      <c r="I791" s="227"/>
      <c r="J791" s="227"/>
      <c r="K791" s="228"/>
      <c r="L791" s="229"/>
      <c r="M791" s="228"/>
      <c r="N791" s="227"/>
      <c r="O791" s="226"/>
      <c r="P791" s="226"/>
      <c r="Q791" s="228"/>
      <c r="R791" s="228"/>
    </row>
    <row r="792" ht="13.5" customHeight="1" spans="1:18">
      <c r="A792" s="226"/>
      <c r="B792" s="226"/>
      <c r="C792" s="227"/>
      <c r="D792" s="227"/>
      <c r="E792" s="226"/>
      <c r="F792" s="226"/>
      <c r="G792" s="227"/>
      <c r="H792" s="227"/>
      <c r="I792" s="227"/>
      <c r="J792" s="227"/>
      <c r="K792" s="228"/>
      <c r="L792" s="229"/>
      <c r="M792" s="228"/>
      <c r="N792" s="227"/>
      <c r="O792" s="226"/>
      <c r="P792" s="226"/>
      <c r="Q792" s="228"/>
      <c r="R792" s="228"/>
    </row>
    <row r="793" ht="13.5" customHeight="1" spans="1:18">
      <c r="A793" s="226"/>
      <c r="B793" s="226"/>
      <c r="C793" s="227"/>
      <c r="D793" s="227"/>
      <c r="E793" s="226"/>
      <c r="F793" s="226"/>
      <c r="G793" s="227"/>
      <c r="H793" s="227"/>
      <c r="I793" s="227"/>
      <c r="J793" s="227"/>
      <c r="K793" s="228"/>
      <c r="L793" s="229"/>
      <c r="M793" s="228"/>
      <c r="N793" s="227"/>
      <c r="O793" s="226"/>
      <c r="P793" s="226"/>
      <c r="Q793" s="228"/>
      <c r="R793" s="228"/>
    </row>
    <row r="794" ht="13.5" customHeight="1" spans="1:18">
      <c r="A794" s="226"/>
      <c r="B794" s="226"/>
      <c r="C794" s="227"/>
      <c r="D794" s="227"/>
      <c r="E794" s="226"/>
      <c r="F794" s="226"/>
      <c r="G794" s="227"/>
      <c r="H794" s="227"/>
      <c r="I794" s="227"/>
      <c r="J794" s="227"/>
      <c r="K794" s="228"/>
      <c r="L794" s="229"/>
      <c r="M794" s="228"/>
      <c r="N794" s="227"/>
      <c r="O794" s="226"/>
      <c r="P794" s="226"/>
      <c r="Q794" s="228"/>
      <c r="R794" s="228"/>
    </row>
    <row r="795" ht="13.5" customHeight="1" spans="1:18">
      <c r="A795" s="226"/>
      <c r="B795" s="226"/>
      <c r="C795" s="227"/>
      <c r="D795" s="227"/>
      <c r="E795" s="226"/>
      <c r="F795" s="226"/>
      <c r="G795" s="227"/>
      <c r="H795" s="227"/>
      <c r="I795" s="227"/>
      <c r="J795" s="227"/>
      <c r="K795" s="228"/>
      <c r="L795" s="229"/>
      <c r="M795" s="228"/>
      <c r="N795" s="227"/>
      <c r="O795" s="226"/>
      <c r="P795" s="226"/>
      <c r="Q795" s="228"/>
      <c r="R795" s="228"/>
    </row>
    <row r="796" ht="13.5" customHeight="1" spans="1:18">
      <c r="A796" s="226"/>
      <c r="B796" s="226"/>
      <c r="C796" s="227"/>
      <c r="D796" s="227"/>
      <c r="E796" s="226"/>
      <c r="F796" s="226"/>
      <c r="G796" s="227"/>
      <c r="H796" s="227"/>
      <c r="I796" s="227"/>
      <c r="J796" s="227"/>
      <c r="K796" s="228"/>
      <c r="L796" s="229"/>
      <c r="M796" s="228"/>
      <c r="N796" s="227"/>
      <c r="O796" s="226"/>
      <c r="P796" s="226"/>
      <c r="Q796" s="228"/>
      <c r="R796" s="228"/>
    </row>
    <row r="797" ht="13.5" customHeight="1" spans="1:18">
      <c r="A797" s="226"/>
      <c r="B797" s="226"/>
      <c r="C797" s="227"/>
      <c r="D797" s="227"/>
      <c r="E797" s="226"/>
      <c r="F797" s="226"/>
      <c r="G797" s="227"/>
      <c r="H797" s="227"/>
      <c r="I797" s="227"/>
      <c r="J797" s="227"/>
      <c r="K797" s="228"/>
      <c r="L797" s="229"/>
      <c r="M797" s="228"/>
      <c r="N797" s="227"/>
      <c r="O797" s="226"/>
      <c r="P797" s="226"/>
      <c r="Q797" s="228"/>
      <c r="R797" s="228"/>
    </row>
    <row r="798" ht="13.5" customHeight="1" spans="1:18">
      <c r="A798" s="226"/>
      <c r="B798" s="226"/>
      <c r="C798" s="227"/>
      <c r="D798" s="227"/>
      <c r="E798" s="226"/>
      <c r="F798" s="226"/>
      <c r="G798" s="227"/>
      <c r="H798" s="227"/>
      <c r="I798" s="227"/>
      <c r="J798" s="227"/>
      <c r="K798" s="228"/>
      <c r="L798" s="229"/>
      <c r="M798" s="228"/>
      <c r="N798" s="227"/>
      <c r="O798" s="226"/>
      <c r="P798" s="226"/>
      <c r="Q798" s="228"/>
      <c r="R798" s="228"/>
    </row>
    <row r="799" ht="13.5" customHeight="1" spans="1:18">
      <c r="A799" s="226"/>
      <c r="B799" s="226"/>
      <c r="C799" s="227"/>
      <c r="D799" s="227"/>
      <c r="E799" s="226"/>
      <c r="F799" s="226"/>
      <c r="G799" s="227"/>
      <c r="H799" s="227"/>
      <c r="I799" s="227"/>
      <c r="J799" s="227"/>
      <c r="K799" s="228"/>
      <c r="L799" s="229"/>
      <c r="M799" s="228"/>
      <c r="N799" s="227"/>
      <c r="O799" s="226"/>
      <c r="P799" s="226"/>
      <c r="Q799" s="228"/>
      <c r="R799" s="228"/>
    </row>
    <row r="800" ht="13.5" customHeight="1" spans="1:18">
      <c r="A800" s="226"/>
      <c r="B800" s="226"/>
      <c r="C800" s="227"/>
      <c r="D800" s="227"/>
      <c r="E800" s="226"/>
      <c r="F800" s="226"/>
      <c r="G800" s="227"/>
      <c r="H800" s="227"/>
      <c r="I800" s="227"/>
      <c r="J800" s="227"/>
      <c r="K800" s="228"/>
      <c r="L800" s="229"/>
      <c r="M800" s="228"/>
      <c r="N800" s="227"/>
      <c r="O800" s="226"/>
      <c r="P800" s="226"/>
      <c r="Q800" s="228"/>
      <c r="R800" s="228"/>
    </row>
    <row r="801" ht="13.5" customHeight="1" spans="1:18">
      <c r="A801" s="226"/>
      <c r="B801" s="226"/>
      <c r="C801" s="227"/>
      <c r="D801" s="227"/>
      <c r="E801" s="226"/>
      <c r="F801" s="226"/>
      <c r="G801" s="227"/>
      <c r="H801" s="227"/>
      <c r="I801" s="227"/>
      <c r="J801" s="227"/>
      <c r="K801" s="228"/>
      <c r="L801" s="229"/>
      <c r="M801" s="228"/>
      <c r="N801" s="227"/>
      <c r="O801" s="226"/>
      <c r="P801" s="226"/>
      <c r="Q801" s="228"/>
      <c r="R801" s="228"/>
    </row>
    <row r="802" ht="13.5" customHeight="1" spans="1:18">
      <c r="A802" s="226"/>
      <c r="B802" s="226"/>
      <c r="C802" s="227"/>
      <c r="D802" s="227"/>
      <c r="E802" s="226"/>
      <c r="F802" s="226"/>
      <c r="G802" s="227"/>
      <c r="H802" s="227"/>
      <c r="I802" s="227"/>
      <c r="J802" s="227"/>
      <c r="K802" s="228"/>
      <c r="L802" s="229"/>
      <c r="M802" s="228"/>
      <c r="N802" s="227"/>
      <c r="O802" s="226"/>
      <c r="P802" s="226"/>
      <c r="Q802" s="228"/>
      <c r="R802" s="228"/>
    </row>
    <row r="803" ht="13.5" customHeight="1" spans="1:18">
      <c r="A803" s="226"/>
      <c r="B803" s="226"/>
      <c r="C803" s="227"/>
      <c r="D803" s="227"/>
      <c r="E803" s="226"/>
      <c r="F803" s="226"/>
      <c r="G803" s="227"/>
      <c r="H803" s="227"/>
      <c r="I803" s="227"/>
      <c r="J803" s="227"/>
      <c r="K803" s="228"/>
      <c r="L803" s="229"/>
      <c r="M803" s="228"/>
      <c r="N803" s="227"/>
      <c r="O803" s="226"/>
      <c r="P803" s="226"/>
      <c r="Q803" s="228"/>
      <c r="R803" s="228"/>
    </row>
    <row r="804" ht="13.5" customHeight="1" spans="1:18">
      <c r="A804" s="226"/>
      <c r="B804" s="226"/>
      <c r="C804" s="227"/>
      <c r="D804" s="227"/>
      <c r="E804" s="226"/>
      <c r="F804" s="226"/>
      <c r="G804" s="227"/>
      <c r="H804" s="227"/>
      <c r="I804" s="227"/>
      <c r="J804" s="227"/>
      <c r="K804" s="228"/>
      <c r="L804" s="229"/>
      <c r="M804" s="228"/>
      <c r="N804" s="227"/>
      <c r="O804" s="226"/>
      <c r="P804" s="226"/>
      <c r="Q804" s="228"/>
      <c r="R804" s="228"/>
    </row>
    <row r="805" ht="13.5" customHeight="1" spans="1:18">
      <c r="A805" s="226"/>
      <c r="B805" s="226"/>
      <c r="C805" s="227"/>
      <c r="D805" s="227"/>
      <c r="E805" s="226"/>
      <c r="F805" s="226"/>
      <c r="G805" s="227"/>
      <c r="H805" s="227"/>
      <c r="I805" s="227"/>
      <c r="J805" s="227"/>
      <c r="K805" s="228"/>
      <c r="L805" s="229"/>
      <c r="M805" s="228"/>
      <c r="N805" s="227"/>
      <c r="O805" s="226"/>
      <c r="P805" s="226"/>
      <c r="Q805" s="228"/>
      <c r="R805" s="228"/>
    </row>
    <row r="806" ht="13.5" customHeight="1" spans="1:18">
      <c r="A806" s="226"/>
      <c r="B806" s="226"/>
      <c r="C806" s="227"/>
      <c r="D806" s="227"/>
      <c r="E806" s="226"/>
      <c r="F806" s="226"/>
      <c r="G806" s="227"/>
      <c r="H806" s="227"/>
      <c r="I806" s="227"/>
      <c r="J806" s="227"/>
      <c r="K806" s="228"/>
      <c r="L806" s="229"/>
      <c r="M806" s="228"/>
      <c r="N806" s="227"/>
      <c r="O806" s="226"/>
      <c r="P806" s="226"/>
      <c r="Q806" s="228"/>
      <c r="R806" s="228"/>
    </row>
    <row r="807" ht="13.5" customHeight="1" spans="1:18">
      <c r="A807" s="226"/>
      <c r="B807" s="226"/>
      <c r="C807" s="227"/>
      <c r="D807" s="227"/>
      <c r="E807" s="226"/>
      <c r="F807" s="226"/>
      <c r="G807" s="227"/>
      <c r="H807" s="227"/>
      <c r="I807" s="227"/>
      <c r="J807" s="227"/>
      <c r="K807" s="228"/>
      <c r="L807" s="229"/>
      <c r="M807" s="228"/>
      <c r="N807" s="227"/>
      <c r="O807" s="226"/>
      <c r="P807" s="226"/>
      <c r="Q807" s="228"/>
      <c r="R807" s="228"/>
    </row>
    <row r="808" ht="13.5" customHeight="1" spans="1:18">
      <c r="A808" s="226"/>
      <c r="B808" s="226"/>
      <c r="C808" s="227"/>
      <c r="D808" s="227"/>
      <c r="E808" s="226"/>
      <c r="F808" s="226"/>
      <c r="G808" s="227"/>
      <c r="H808" s="227"/>
      <c r="I808" s="227"/>
      <c r="J808" s="227"/>
      <c r="K808" s="228"/>
      <c r="L808" s="229"/>
      <c r="M808" s="228"/>
      <c r="N808" s="227"/>
      <c r="O808" s="226"/>
      <c r="P808" s="226"/>
      <c r="Q808" s="228"/>
      <c r="R808" s="228"/>
    </row>
    <row r="809" ht="13.5" customHeight="1" spans="1:18">
      <c r="A809" s="226"/>
      <c r="B809" s="226"/>
      <c r="C809" s="227"/>
      <c r="D809" s="227"/>
      <c r="E809" s="226"/>
      <c r="F809" s="226"/>
      <c r="G809" s="227"/>
      <c r="H809" s="227"/>
      <c r="I809" s="227"/>
      <c r="J809" s="227"/>
      <c r="K809" s="228"/>
      <c r="L809" s="229"/>
      <c r="M809" s="228"/>
      <c r="N809" s="227"/>
      <c r="O809" s="226"/>
      <c r="P809" s="226"/>
      <c r="Q809" s="228"/>
      <c r="R809" s="228"/>
    </row>
    <row r="810" ht="13.5" customHeight="1" spans="1:18">
      <c r="A810" s="226"/>
      <c r="B810" s="226"/>
      <c r="C810" s="227"/>
      <c r="D810" s="227"/>
      <c r="E810" s="226"/>
      <c r="F810" s="226"/>
      <c r="G810" s="227"/>
      <c r="H810" s="227"/>
      <c r="I810" s="227"/>
      <c r="J810" s="227"/>
      <c r="K810" s="228"/>
      <c r="L810" s="229"/>
      <c r="M810" s="228"/>
      <c r="N810" s="227"/>
      <c r="O810" s="226"/>
      <c r="P810" s="226"/>
      <c r="Q810" s="228"/>
      <c r="R810" s="228"/>
    </row>
    <row r="811" ht="13.5" customHeight="1" spans="1:18">
      <c r="A811" s="226"/>
      <c r="B811" s="226"/>
      <c r="C811" s="227"/>
      <c r="D811" s="227"/>
      <c r="E811" s="226"/>
      <c r="F811" s="226"/>
      <c r="G811" s="227"/>
      <c r="H811" s="227"/>
      <c r="I811" s="227"/>
      <c r="J811" s="227"/>
      <c r="K811" s="228"/>
      <c r="L811" s="229"/>
      <c r="M811" s="228"/>
      <c r="N811" s="227"/>
      <c r="O811" s="226"/>
      <c r="P811" s="226"/>
      <c r="Q811" s="228"/>
      <c r="R811" s="228"/>
    </row>
    <row r="812" ht="13.5" customHeight="1" spans="1:18">
      <c r="A812" s="226"/>
      <c r="B812" s="226"/>
      <c r="C812" s="227"/>
      <c r="D812" s="227"/>
      <c r="E812" s="226"/>
      <c r="F812" s="226"/>
      <c r="G812" s="227"/>
      <c r="H812" s="227"/>
      <c r="I812" s="227"/>
      <c r="J812" s="227"/>
      <c r="K812" s="228"/>
      <c r="L812" s="229"/>
      <c r="M812" s="228"/>
      <c r="N812" s="227"/>
      <c r="O812" s="226"/>
      <c r="P812" s="226"/>
      <c r="Q812" s="228"/>
      <c r="R812" s="228"/>
    </row>
    <row r="813" ht="13.5" customHeight="1" spans="1:18">
      <c r="A813" s="226"/>
      <c r="B813" s="226"/>
      <c r="C813" s="227"/>
      <c r="D813" s="227"/>
      <c r="E813" s="226"/>
      <c r="F813" s="226"/>
      <c r="G813" s="227"/>
      <c r="H813" s="227"/>
      <c r="I813" s="227"/>
      <c r="J813" s="227"/>
      <c r="K813" s="228"/>
      <c r="L813" s="229"/>
      <c r="M813" s="228"/>
      <c r="N813" s="227"/>
      <c r="O813" s="226"/>
      <c r="P813" s="226"/>
      <c r="Q813" s="228"/>
      <c r="R813" s="228"/>
    </row>
    <row r="814" ht="13.5" customHeight="1" spans="1:18">
      <c r="A814" s="226"/>
      <c r="B814" s="226"/>
      <c r="C814" s="227"/>
      <c r="D814" s="227"/>
      <c r="E814" s="226"/>
      <c r="F814" s="226"/>
      <c r="G814" s="227"/>
      <c r="H814" s="227"/>
      <c r="I814" s="227"/>
      <c r="J814" s="227"/>
      <c r="K814" s="228"/>
      <c r="L814" s="229"/>
      <c r="M814" s="228"/>
      <c r="N814" s="227"/>
      <c r="O814" s="226"/>
      <c r="P814" s="226"/>
      <c r="Q814" s="228"/>
      <c r="R814" s="228"/>
    </row>
    <row r="815" ht="13.5" customHeight="1" spans="1:18">
      <c r="A815" s="226"/>
      <c r="B815" s="226"/>
      <c r="C815" s="227"/>
      <c r="D815" s="227"/>
      <c r="E815" s="226"/>
      <c r="F815" s="226"/>
      <c r="G815" s="227"/>
      <c r="H815" s="227"/>
      <c r="I815" s="227"/>
      <c r="J815" s="227"/>
      <c r="K815" s="228"/>
      <c r="L815" s="229"/>
      <c r="M815" s="228"/>
      <c r="N815" s="227"/>
      <c r="O815" s="226"/>
      <c r="P815" s="226"/>
      <c r="Q815" s="228"/>
      <c r="R815" s="228"/>
    </row>
    <row r="816" ht="13.5" customHeight="1" spans="1:18">
      <c r="A816" s="226"/>
      <c r="B816" s="226"/>
      <c r="C816" s="227"/>
      <c r="D816" s="227"/>
      <c r="E816" s="226"/>
      <c r="F816" s="226"/>
      <c r="G816" s="227"/>
      <c r="H816" s="227"/>
      <c r="I816" s="227"/>
      <c r="J816" s="227"/>
      <c r="K816" s="228"/>
      <c r="L816" s="229"/>
      <c r="M816" s="228"/>
      <c r="N816" s="227"/>
      <c r="O816" s="226"/>
      <c r="P816" s="226"/>
      <c r="Q816" s="228"/>
      <c r="R816" s="228"/>
    </row>
    <row r="817" ht="13.5" customHeight="1" spans="1:18">
      <c r="A817" s="226"/>
      <c r="B817" s="226"/>
      <c r="C817" s="227"/>
      <c r="D817" s="227"/>
      <c r="E817" s="226"/>
      <c r="F817" s="226"/>
      <c r="G817" s="227"/>
      <c r="H817" s="227"/>
      <c r="I817" s="227"/>
      <c r="J817" s="227"/>
      <c r="K817" s="228"/>
      <c r="L817" s="229"/>
      <c r="M817" s="228"/>
      <c r="N817" s="227"/>
      <c r="O817" s="226"/>
      <c r="P817" s="226"/>
      <c r="Q817" s="228"/>
      <c r="R817" s="228"/>
    </row>
    <row r="818" ht="13.5" customHeight="1" spans="1:18">
      <c r="A818" s="226"/>
      <c r="B818" s="226"/>
      <c r="C818" s="227"/>
      <c r="D818" s="227"/>
      <c r="E818" s="226"/>
      <c r="F818" s="226"/>
      <c r="G818" s="227"/>
      <c r="H818" s="227"/>
      <c r="I818" s="227"/>
      <c r="J818" s="227"/>
      <c r="K818" s="228"/>
      <c r="L818" s="229"/>
      <c r="M818" s="228"/>
      <c r="N818" s="227"/>
      <c r="O818" s="226"/>
      <c r="P818" s="226"/>
      <c r="Q818" s="228"/>
      <c r="R818" s="228"/>
    </row>
    <row r="819" ht="13.5" customHeight="1" spans="1:18">
      <c r="A819" s="226"/>
      <c r="B819" s="226"/>
      <c r="C819" s="227"/>
      <c r="D819" s="227"/>
      <c r="E819" s="226"/>
      <c r="F819" s="226"/>
      <c r="G819" s="227"/>
      <c r="H819" s="227"/>
      <c r="I819" s="227"/>
      <c r="J819" s="227"/>
      <c r="K819" s="228"/>
      <c r="L819" s="229"/>
      <c r="M819" s="228"/>
      <c r="N819" s="227"/>
      <c r="O819" s="226"/>
      <c r="P819" s="226"/>
      <c r="Q819" s="228"/>
      <c r="R819" s="228"/>
    </row>
    <row r="820" ht="13.5" customHeight="1" spans="1:18">
      <c r="A820" s="226"/>
      <c r="B820" s="226"/>
      <c r="C820" s="227"/>
      <c r="D820" s="227"/>
      <c r="E820" s="226"/>
      <c r="F820" s="226"/>
      <c r="G820" s="227"/>
      <c r="H820" s="227"/>
      <c r="I820" s="227"/>
      <c r="J820" s="227"/>
      <c r="K820" s="228"/>
      <c r="L820" s="229"/>
      <c r="M820" s="228"/>
      <c r="N820" s="227"/>
      <c r="O820" s="226"/>
      <c r="P820" s="226"/>
      <c r="Q820" s="228"/>
      <c r="R820" s="228"/>
    </row>
    <row r="821" ht="13.5" customHeight="1" spans="1:18">
      <c r="A821" s="226"/>
      <c r="B821" s="226"/>
      <c r="C821" s="227"/>
      <c r="D821" s="227"/>
      <c r="E821" s="226"/>
      <c r="F821" s="226"/>
      <c r="G821" s="227"/>
      <c r="H821" s="227"/>
      <c r="I821" s="227"/>
      <c r="J821" s="227"/>
      <c r="K821" s="228"/>
      <c r="L821" s="229"/>
      <c r="M821" s="228"/>
      <c r="N821" s="227"/>
      <c r="O821" s="226"/>
      <c r="P821" s="226"/>
      <c r="Q821" s="228"/>
      <c r="R821" s="228"/>
    </row>
    <row r="822" ht="13.5" customHeight="1" spans="1:18">
      <c r="A822" s="226"/>
      <c r="B822" s="226"/>
      <c r="C822" s="227"/>
      <c r="D822" s="227"/>
      <c r="E822" s="226"/>
      <c r="F822" s="226"/>
      <c r="G822" s="227"/>
      <c r="H822" s="227"/>
      <c r="I822" s="227"/>
      <c r="J822" s="227"/>
      <c r="K822" s="228"/>
      <c r="L822" s="229"/>
      <c r="M822" s="228"/>
      <c r="N822" s="227"/>
      <c r="O822" s="226"/>
      <c r="P822" s="226"/>
      <c r="Q822" s="228"/>
      <c r="R822" s="228"/>
    </row>
    <row r="823" ht="13.5" customHeight="1" spans="1:18">
      <c r="A823" s="226"/>
      <c r="B823" s="226"/>
      <c r="C823" s="227"/>
      <c r="D823" s="227"/>
      <c r="E823" s="226"/>
      <c r="F823" s="226"/>
      <c r="G823" s="227"/>
      <c r="H823" s="227"/>
      <c r="I823" s="227"/>
      <c r="J823" s="227"/>
      <c r="K823" s="228"/>
      <c r="L823" s="229"/>
      <c r="M823" s="228"/>
      <c r="N823" s="227"/>
      <c r="O823" s="226"/>
      <c r="P823" s="226"/>
      <c r="Q823" s="228"/>
      <c r="R823" s="228"/>
    </row>
    <row r="824" ht="13.5" customHeight="1" spans="1:18">
      <c r="A824" s="226"/>
      <c r="B824" s="226"/>
      <c r="C824" s="227"/>
      <c r="D824" s="227"/>
      <c r="E824" s="226"/>
      <c r="F824" s="226"/>
      <c r="G824" s="227"/>
      <c r="H824" s="227"/>
      <c r="I824" s="227"/>
      <c r="J824" s="227"/>
      <c r="K824" s="228"/>
      <c r="L824" s="229"/>
      <c r="M824" s="228"/>
      <c r="N824" s="227"/>
      <c r="O824" s="226"/>
      <c r="P824" s="226"/>
      <c r="Q824" s="228"/>
      <c r="R824" s="228"/>
    </row>
    <row r="825" ht="13.5" customHeight="1" spans="1:18">
      <c r="A825" s="226"/>
      <c r="B825" s="226"/>
      <c r="C825" s="227"/>
      <c r="D825" s="227"/>
      <c r="E825" s="226"/>
      <c r="F825" s="226"/>
      <c r="G825" s="227"/>
      <c r="H825" s="227"/>
      <c r="I825" s="227"/>
      <c r="J825" s="227"/>
      <c r="K825" s="228"/>
      <c r="L825" s="229"/>
      <c r="M825" s="228"/>
      <c r="N825" s="227"/>
      <c r="O825" s="226"/>
      <c r="P825" s="226"/>
      <c r="Q825" s="228"/>
      <c r="R825" s="228"/>
    </row>
    <row r="826" ht="13.5" customHeight="1" spans="1:18">
      <c r="A826" s="226"/>
      <c r="B826" s="226"/>
      <c r="C826" s="227"/>
      <c r="D826" s="227"/>
      <c r="E826" s="226"/>
      <c r="F826" s="226"/>
      <c r="G826" s="227"/>
      <c r="H826" s="227"/>
      <c r="I826" s="227"/>
      <c r="J826" s="227"/>
      <c r="K826" s="228"/>
      <c r="L826" s="229"/>
      <c r="M826" s="228"/>
      <c r="N826" s="227"/>
      <c r="O826" s="226"/>
      <c r="P826" s="226"/>
      <c r="Q826" s="228"/>
      <c r="R826" s="228"/>
    </row>
    <row r="827" ht="13.5" customHeight="1" spans="1:18">
      <c r="A827" s="226"/>
      <c r="B827" s="226"/>
      <c r="C827" s="227"/>
      <c r="D827" s="227"/>
      <c r="E827" s="226"/>
      <c r="F827" s="226"/>
      <c r="G827" s="227"/>
      <c r="H827" s="227"/>
      <c r="I827" s="227"/>
      <c r="J827" s="227"/>
      <c r="K827" s="228"/>
      <c r="L827" s="229"/>
      <c r="M827" s="228"/>
      <c r="N827" s="227"/>
      <c r="O827" s="226"/>
      <c r="P827" s="226"/>
      <c r="Q827" s="228"/>
      <c r="R827" s="228"/>
    </row>
    <row r="828" ht="13.5" customHeight="1" spans="1:18">
      <c r="A828" s="226"/>
      <c r="B828" s="226"/>
      <c r="C828" s="227"/>
      <c r="D828" s="227"/>
      <c r="E828" s="226"/>
      <c r="F828" s="226"/>
      <c r="G828" s="227"/>
      <c r="H828" s="227"/>
      <c r="I828" s="227"/>
      <c r="J828" s="227"/>
      <c r="K828" s="228"/>
      <c r="L828" s="229"/>
      <c r="M828" s="228"/>
      <c r="N828" s="227"/>
      <c r="O828" s="226"/>
      <c r="P828" s="226"/>
      <c r="Q828" s="228"/>
      <c r="R828" s="228"/>
    </row>
    <row r="829" ht="13.5" customHeight="1" spans="1:18">
      <c r="A829" s="226"/>
      <c r="B829" s="226"/>
      <c r="C829" s="227"/>
      <c r="D829" s="227"/>
      <c r="E829" s="226"/>
      <c r="F829" s="226"/>
      <c r="G829" s="227"/>
      <c r="H829" s="227"/>
      <c r="I829" s="227"/>
      <c r="J829" s="227"/>
      <c r="K829" s="228"/>
      <c r="L829" s="229"/>
      <c r="M829" s="228"/>
      <c r="N829" s="227"/>
      <c r="O829" s="226"/>
      <c r="P829" s="226"/>
      <c r="Q829" s="228"/>
      <c r="R829" s="228"/>
    </row>
    <row r="830" ht="13.5" customHeight="1" spans="1:18">
      <c r="A830" s="226"/>
      <c r="B830" s="226"/>
      <c r="C830" s="227"/>
      <c r="D830" s="227"/>
      <c r="E830" s="226"/>
      <c r="F830" s="226"/>
      <c r="G830" s="227"/>
      <c r="H830" s="227"/>
      <c r="I830" s="227"/>
      <c r="J830" s="227"/>
      <c r="K830" s="228"/>
      <c r="L830" s="229"/>
      <c r="M830" s="228"/>
      <c r="N830" s="227"/>
      <c r="O830" s="226"/>
      <c r="P830" s="226"/>
      <c r="Q830" s="228"/>
      <c r="R830" s="228"/>
    </row>
    <row r="831" ht="13.5" customHeight="1" spans="1:18">
      <c r="A831" s="226"/>
      <c r="B831" s="226"/>
      <c r="C831" s="227"/>
      <c r="D831" s="227"/>
      <c r="E831" s="226"/>
      <c r="F831" s="226"/>
      <c r="G831" s="227"/>
      <c r="H831" s="227"/>
      <c r="I831" s="227"/>
      <c r="J831" s="227"/>
      <c r="K831" s="228"/>
      <c r="L831" s="229"/>
      <c r="M831" s="228"/>
      <c r="N831" s="227"/>
      <c r="O831" s="226"/>
      <c r="P831" s="226"/>
      <c r="Q831" s="228"/>
      <c r="R831" s="228"/>
    </row>
    <row r="832" ht="13.5" customHeight="1" spans="1:18">
      <c r="A832" s="226"/>
      <c r="B832" s="226"/>
      <c r="C832" s="227"/>
      <c r="D832" s="227"/>
      <c r="E832" s="226"/>
      <c r="F832" s="226"/>
      <c r="G832" s="227"/>
      <c r="H832" s="227"/>
      <c r="I832" s="227"/>
      <c r="J832" s="227"/>
      <c r="K832" s="228"/>
      <c r="L832" s="229"/>
      <c r="M832" s="228"/>
      <c r="N832" s="227"/>
      <c r="O832" s="226"/>
      <c r="P832" s="226"/>
      <c r="Q832" s="228"/>
      <c r="R832" s="228"/>
    </row>
    <row r="833" ht="13.5" customHeight="1" spans="1:18">
      <c r="A833" s="226"/>
      <c r="B833" s="226"/>
      <c r="C833" s="227"/>
      <c r="D833" s="227"/>
      <c r="E833" s="226"/>
      <c r="F833" s="226"/>
      <c r="G833" s="227"/>
      <c r="H833" s="227"/>
      <c r="I833" s="227"/>
      <c r="J833" s="227"/>
      <c r="K833" s="228"/>
      <c r="L833" s="229"/>
      <c r="M833" s="228"/>
      <c r="N833" s="227"/>
      <c r="O833" s="226"/>
      <c r="P833" s="226"/>
      <c r="Q833" s="228"/>
      <c r="R833" s="228"/>
    </row>
    <row r="834" ht="13.5" customHeight="1" spans="1:18">
      <c r="A834" s="226"/>
      <c r="B834" s="226"/>
      <c r="C834" s="227"/>
      <c r="D834" s="227"/>
      <c r="E834" s="226"/>
      <c r="F834" s="226"/>
      <c r="G834" s="227"/>
      <c r="H834" s="227"/>
      <c r="I834" s="227"/>
      <c r="J834" s="227"/>
      <c r="K834" s="228"/>
      <c r="L834" s="229"/>
      <c r="M834" s="228"/>
      <c r="N834" s="227"/>
      <c r="O834" s="226"/>
      <c r="P834" s="226"/>
      <c r="Q834" s="228"/>
      <c r="R834" s="228"/>
    </row>
    <row r="835" ht="13.5" customHeight="1" spans="1:18">
      <c r="A835" s="226"/>
      <c r="B835" s="226"/>
      <c r="C835" s="227"/>
      <c r="D835" s="227"/>
      <c r="E835" s="226"/>
      <c r="F835" s="226"/>
      <c r="G835" s="227"/>
      <c r="H835" s="227"/>
      <c r="I835" s="227"/>
      <c r="J835" s="227"/>
      <c r="K835" s="228"/>
      <c r="L835" s="229"/>
      <c r="M835" s="228"/>
      <c r="N835" s="227"/>
      <c r="O835" s="226"/>
      <c r="P835" s="226"/>
      <c r="Q835" s="228"/>
      <c r="R835" s="228"/>
    </row>
    <row r="836" ht="13.5" customHeight="1" spans="1:18">
      <c r="A836" s="226"/>
      <c r="B836" s="226"/>
      <c r="C836" s="227"/>
      <c r="D836" s="227"/>
      <c r="E836" s="226"/>
      <c r="F836" s="226"/>
      <c r="G836" s="227"/>
      <c r="H836" s="227"/>
      <c r="I836" s="227"/>
      <c r="J836" s="227"/>
      <c r="K836" s="228"/>
      <c r="L836" s="229"/>
      <c r="M836" s="228"/>
      <c r="N836" s="227"/>
      <c r="O836" s="226"/>
      <c r="P836" s="226"/>
      <c r="Q836" s="228"/>
      <c r="R836" s="228"/>
    </row>
    <row r="837" ht="13.5" customHeight="1" spans="1:18">
      <c r="A837" s="226"/>
      <c r="B837" s="226"/>
      <c r="C837" s="227"/>
      <c r="D837" s="227"/>
      <c r="E837" s="226"/>
      <c r="F837" s="226"/>
      <c r="G837" s="227"/>
      <c r="H837" s="227"/>
      <c r="I837" s="227"/>
      <c r="J837" s="227"/>
      <c r="K837" s="228"/>
      <c r="L837" s="229"/>
      <c r="M837" s="228"/>
      <c r="N837" s="227"/>
      <c r="O837" s="226"/>
      <c r="P837" s="226"/>
      <c r="Q837" s="228"/>
      <c r="R837" s="228"/>
    </row>
    <row r="838" ht="13.5" customHeight="1" spans="1:18">
      <c r="A838" s="226"/>
      <c r="B838" s="226"/>
      <c r="C838" s="227"/>
      <c r="D838" s="227"/>
      <c r="E838" s="226"/>
      <c r="F838" s="226"/>
      <c r="G838" s="227"/>
      <c r="H838" s="227"/>
      <c r="I838" s="227"/>
      <c r="J838" s="227"/>
      <c r="K838" s="228"/>
      <c r="L838" s="229"/>
      <c r="M838" s="228"/>
      <c r="N838" s="227"/>
      <c r="O838" s="226"/>
      <c r="P838" s="226"/>
      <c r="Q838" s="228"/>
      <c r="R838" s="228"/>
    </row>
    <row r="839" ht="13.5" customHeight="1" spans="1:18">
      <c r="A839" s="226"/>
      <c r="B839" s="226"/>
      <c r="C839" s="227"/>
      <c r="D839" s="227"/>
      <c r="E839" s="226"/>
      <c r="F839" s="226"/>
      <c r="G839" s="227"/>
      <c r="H839" s="227"/>
      <c r="I839" s="227"/>
      <c r="J839" s="227"/>
      <c r="K839" s="228"/>
      <c r="L839" s="229"/>
      <c r="M839" s="228"/>
      <c r="N839" s="227"/>
      <c r="O839" s="226"/>
      <c r="P839" s="226"/>
      <c r="Q839" s="228"/>
      <c r="R839" s="228"/>
    </row>
    <row r="840" ht="13.5" customHeight="1" spans="1:18">
      <c r="A840" s="226"/>
      <c r="B840" s="226"/>
      <c r="C840" s="227"/>
      <c r="D840" s="227"/>
      <c r="E840" s="226"/>
      <c r="F840" s="226"/>
      <c r="G840" s="227"/>
      <c r="H840" s="227"/>
      <c r="I840" s="227"/>
      <c r="J840" s="227"/>
      <c r="K840" s="228"/>
      <c r="L840" s="229"/>
      <c r="M840" s="228"/>
      <c r="N840" s="227"/>
      <c r="O840" s="226"/>
      <c r="P840" s="226"/>
      <c r="Q840" s="228"/>
      <c r="R840" s="228"/>
    </row>
    <row r="841" ht="13.5" customHeight="1" spans="1:18">
      <c r="A841" s="226"/>
      <c r="B841" s="226"/>
      <c r="C841" s="227"/>
      <c r="D841" s="227"/>
      <c r="E841" s="226"/>
      <c r="F841" s="226"/>
      <c r="G841" s="227"/>
      <c r="H841" s="227"/>
      <c r="I841" s="227"/>
      <c r="J841" s="227"/>
      <c r="K841" s="228"/>
      <c r="L841" s="229"/>
      <c r="M841" s="228"/>
      <c r="N841" s="227"/>
      <c r="O841" s="226"/>
      <c r="P841" s="226"/>
      <c r="Q841" s="228"/>
      <c r="R841" s="228"/>
    </row>
    <row r="842" ht="13.5" customHeight="1" spans="1:18">
      <c r="A842" s="226"/>
      <c r="B842" s="226"/>
      <c r="C842" s="227"/>
      <c r="D842" s="227"/>
      <c r="E842" s="226"/>
      <c r="F842" s="226"/>
      <c r="G842" s="227"/>
      <c r="H842" s="227"/>
      <c r="I842" s="227"/>
      <c r="J842" s="227"/>
      <c r="K842" s="228"/>
      <c r="L842" s="229"/>
      <c r="M842" s="228"/>
      <c r="N842" s="227"/>
      <c r="O842" s="226"/>
      <c r="P842" s="226"/>
      <c r="Q842" s="228"/>
      <c r="R842" s="228"/>
    </row>
    <row r="843" ht="13.5" customHeight="1" spans="1:18">
      <c r="A843" s="226"/>
      <c r="B843" s="226"/>
      <c r="C843" s="227"/>
      <c r="D843" s="227"/>
      <c r="E843" s="226"/>
      <c r="F843" s="226"/>
      <c r="G843" s="227"/>
      <c r="H843" s="227"/>
      <c r="I843" s="227"/>
      <c r="J843" s="227"/>
      <c r="K843" s="228"/>
      <c r="L843" s="229"/>
      <c r="M843" s="228"/>
      <c r="N843" s="227"/>
      <c r="O843" s="226"/>
      <c r="P843" s="226"/>
      <c r="Q843" s="228"/>
      <c r="R843" s="228"/>
    </row>
    <row r="844" ht="13.5" customHeight="1" spans="1:18">
      <c r="A844" s="226"/>
      <c r="B844" s="226"/>
      <c r="C844" s="227"/>
      <c r="D844" s="227"/>
      <c r="E844" s="226"/>
      <c r="F844" s="226"/>
      <c r="G844" s="227"/>
      <c r="H844" s="227"/>
      <c r="I844" s="227"/>
      <c r="J844" s="227"/>
      <c r="K844" s="228"/>
      <c r="L844" s="229"/>
      <c r="M844" s="228"/>
      <c r="N844" s="227"/>
      <c r="O844" s="226"/>
      <c r="P844" s="226"/>
      <c r="Q844" s="228"/>
      <c r="R844" s="228"/>
    </row>
    <row r="845" ht="13.5" customHeight="1" spans="1:18">
      <c r="A845" s="226"/>
      <c r="B845" s="226"/>
      <c r="C845" s="227"/>
      <c r="D845" s="227"/>
      <c r="E845" s="226"/>
      <c r="F845" s="226"/>
      <c r="G845" s="227"/>
      <c r="H845" s="227"/>
      <c r="I845" s="227"/>
      <c r="J845" s="227"/>
      <c r="K845" s="228"/>
      <c r="L845" s="229"/>
      <c r="M845" s="228"/>
      <c r="N845" s="227"/>
      <c r="O845" s="226"/>
      <c r="P845" s="226"/>
      <c r="Q845" s="228"/>
      <c r="R845" s="228"/>
    </row>
    <row r="846" ht="13.5" customHeight="1" spans="1:18">
      <c r="A846" s="226"/>
      <c r="B846" s="226"/>
      <c r="C846" s="227"/>
      <c r="D846" s="227"/>
      <c r="E846" s="226"/>
      <c r="F846" s="226"/>
      <c r="G846" s="227"/>
      <c r="H846" s="227"/>
      <c r="I846" s="227"/>
      <c r="J846" s="227"/>
      <c r="K846" s="228"/>
      <c r="L846" s="229"/>
      <c r="M846" s="228"/>
      <c r="N846" s="227"/>
      <c r="O846" s="226"/>
      <c r="P846" s="226"/>
      <c r="Q846" s="228"/>
      <c r="R846" s="228"/>
    </row>
    <row r="847" ht="13.5" customHeight="1" spans="1:18">
      <c r="A847" s="226"/>
      <c r="B847" s="226"/>
      <c r="C847" s="227"/>
      <c r="D847" s="227"/>
      <c r="E847" s="226"/>
      <c r="F847" s="226"/>
      <c r="G847" s="227"/>
      <c r="H847" s="227"/>
      <c r="I847" s="227"/>
      <c r="J847" s="227"/>
      <c r="K847" s="228"/>
      <c r="L847" s="229"/>
      <c r="M847" s="228"/>
      <c r="N847" s="227"/>
      <c r="O847" s="226"/>
      <c r="P847" s="226"/>
      <c r="Q847" s="228"/>
      <c r="R847" s="228"/>
    </row>
    <row r="848" ht="13.5" customHeight="1" spans="1:18">
      <c r="A848" s="226"/>
      <c r="B848" s="226"/>
      <c r="C848" s="227"/>
      <c r="D848" s="227"/>
      <c r="E848" s="226"/>
      <c r="F848" s="226"/>
      <c r="G848" s="227"/>
      <c r="H848" s="227"/>
      <c r="I848" s="227"/>
      <c r="J848" s="227"/>
      <c r="K848" s="228"/>
      <c r="L848" s="229"/>
      <c r="M848" s="228"/>
      <c r="N848" s="227"/>
      <c r="O848" s="226"/>
      <c r="P848" s="226"/>
      <c r="Q848" s="228"/>
      <c r="R848" s="228"/>
    </row>
    <row r="849" ht="13.5" customHeight="1" spans="1:18">
      <c r="A849" s="226"/>
      <c r="B849" s="226"/>
      <c r="C849" s="227"/>
      <c r="D849" s="227"/>
      <c r="E849" s="226"/>
      <c r="F849" s="226"/>
      <c r="G849" s="227"/>
      <c r="H849" s="227"/>
      <c r="I849" s="227"/>
      <c r="J849" s="227"/>
      <c r="K849" s="228"/>
      <c r="L849" s="229"/>
      <c r="M849" s="228"/>
      <c r="N849" s="227"/>
      <c r="O849" s="226"/>
      <c r="P849" s="226"/>
      <c r="Q849" s="228"/>
      <c r="R849" s="228"/>
    </row>
    <row r="850" ht="13.5" customHeight="1" spans="1:18">
      <c r="A850" s="226"/>
      <c r="B850" s="226"/>
      <c r="C850" s="227"/>
      <c r="D850" s="227"/>
      <c r="E850" s="226"/>
      <c r="F850" s="226"/>
      <c r="G850" s="227"/>
      <c r="H850" s="227"/>
      <c r="I850" s="227"/>
      <c r="J850" s="227"/>
      <c r="K850" s="228"/>
      <c r="L850" s="229"/>
      <c r="M850" s="228"/>
      <c r="N850" s="227"/>
      <c r="O850" s="226"/>
      <c r="P850" s="226"/>
      <c r="Q850" s="228"/>
      <c r="R850" s="228"/>
    </row>
    <row r="851" ht="13.5" customHeight="1" spans="1:18">
      <c r="A851" s="226"/>
      <c r="B851" s="226"/>
      <c r="C851" s="227"/>
      <c r="D851" s="227"/>
      <c r="E851" s="226"/>
      <c r="F851" s="226"/>
      <c r="G851" s="227"/>
      <c r="H851" s="227"/>
      <c r="I851" s="227"/>
      <c r="J851" s="227"/>
      <c r="K851" s="228"/>
      <c r="L851" s="229"/>
      <c r="M851" s="228"/>
      <c r="N851" s="227"/>
      <c r="O851" s="226"/>
      <c r="P851" s="226"/>
      <c r="Q851" s="228"/>
      <c r="R851" s="228"/>
    </row>
    <row r="852" ht="13.5" customHeight="1" spans="1:18">
      <c r="A852" s="226"/>
      <c r="B852" s="226"/>
      <c r="C852" s="227"/>
      <c r="D852" s="227"/>
      <c r="E852" s="226"/>
      <c r="F852" s="226"/>
      <c r="G852" s="227"/>
      <c r="H852" s="227"/>
      <c r="I852" s="227"/>
      <c r="J852" s="227"/>
      <c r="K852" s="228"/>
      <c r="L852" s="229"/>
      <c r="M852" s="228"/>
      <c r="N852" s="227"/>
      <c r="O852" s="226"/>
      <c r="P852" s="226"/>
      <c r="Q852" s="228"/>
      <c r="R852" s="228"/>
    </row>
    <row r="853" ht="13.5" customHeight="1" spans="1:18">
      <c r="A853" s="226"/>
      <c r="B853" s="226"/>
      <c r="C853" s="227"/>
      <c r="D853" s="227"/>
      <c r="E853" s="226"/>
      <c r="F853" s="226"/>
      <c r="G853" s="227"/>
      <c r="H853" s="227"/>
      <c r="I853" s="227"/>
      <c r="J853" s="227"/>
      <c r="K853" s="228"/>
      <c r="L853" s="229"/>
      <c r="M853" s="228"/>
      <c r="N853" s="227"/>
      <c r="O853" s="226"/>
      <c r="P853" s="226"/>
      <c r="Q853" s="228"/>
      <c r="R853" s="228"/>
    </row>
    <row r="854" ht="13.5" customHeight="1" spans="1:18">
      <c r="A854" s="226"/>
      <c r="B854" s="226"/>
      <c r="C854" s="227"/>
      <c r="D854" s="227"/>
      <c r="E854" s="226"/>
      <c r="F854" s="226"/>
      <c r="G854" s="227"/>
      <c r="H854" s="227"/>
      <c r="I854" s="227"/>
      <c r="J854" s="227"/>
      <c r="K854" s="228"/>
      <c r="L854" s="229"/>
      <c r="M854" s="228"/>
      <c r="N854" s="227"/>
      <c r="O854" s="226"/>
      <c r="P854" s="226"/>
      <c r="Q854" s="228"/>
      <c r="R854" s="228"/>
    </row>
    <row r="855" ht="13.5" customHeight="1" spans="1:18">
      <c r="A855" s="226"/>
      <c r="B855" s="226"/>
      <c r="C855" s="227"/>
      <c r="D855" s="227"/>
      <c r="E855" s="226"/>
      <c r="F855" s="226"/>
      <c r="G855" s="227"/>
      <c r="H855" s="227"/>
      <c r="I855" s="227"/>
      <c r="J855" s="227"/>
      <c r="K855" s="228"/>
      <c r="L855" s="229"/>
      <c r="M855" s="228"/>
      <c r="N855" s="227"/>
      <c r="O855" s="226"/>
      <c r="P855" s="226"/>
      <c r="Q855" s="228"/>
      <c r="R855" s="228"/>
    </row>
    <row r="856" ht="13.5" customHeight="1" spans="1:18">
      <c r="A856" s="226"/>
      <c r="B856" s="226"/>
      <c r="C856" s="227"/>
      <c r="D856" s="227"/>
      <c r="E856" s="226"/>
      <c r="F856" s="226"/>
      <c r="G856" s="227"/>
      <c r="H856" s="227"/>
      <c r="I856" s="227"/>
      <c r="J856" s="227"/>
      <c r="K856" s="228"/>
      <c r="L856" s="229"/>
      <c r="M856" s="228"/>
      <c r="N856" s="227"/>
      <c r="O856" s="226"/>
      <c r="P856" s="226"/>
      <c r="Q856" s="228"/>
      <c r="R856" s="228"/>
    </row>
    <row r="857" ht="13.5" customHeight="1" spans="1:18">
      <c r="A857" s="226"/>
      <c r="B857" s="226"/>
      <c r="C857" s="227"/>
      <c r="D857" s="227"/>
      <c r="E857" s="226"/>
      <c r="F857" s="226"/>
      <c r="G857" s="227"/>
      <c r="H857" s="227"/>
      <c r="I857" s="227"/>
      <c r="J857" s="227"/>
      <c r="K857" s="228"/>
      <c r="L857" s="229"/>
      <c r="M857" s="228"/>
      <c r="N857" s="227"/>
      <c r="O857" s="226"/>
      <c r="P857" s="226"/>
      <c r="Q857" s="228"/>
      <c r="R857" s="228"/>
    </row>
    <row r="858" ht="13.5" customHeight="1" spans="1:18">
      <c r="A858" s="226"/>
      <c r="B858" s="226"/>
      <c r="C858" s="227"/>
      <c r="D858" s="227"/>
      <c r="E858" s="226"/>
      <c r="F858" s="226"/>
      <c r="G858" s="227"/>
      <c r="H858" s="227"/>
      <c r="I858" s="227"/>
      <c r="J858" s="227"/>
      <c r="K858" s="228"/>
      <c r="L858" s="229"/>
      <c r="M858" s="228"/>
      <c r="N858" s="227"/>
      <c r="O858" s="226"/>
      <c r="P858" s="226"/>
      <c r="Q858" s="228"/>
      <c r="R858" s="228"/>
    </row>
    <row r="859" ht="13.5" customHeight="1" spans="1:18">
      <c r="A859" s="226"/>
      <c r="B859" s="226"/>
      <c r="C859" s="227"/>
      <c r="D859" s="227"/>
      <c r="E859" s="226"/>
      <c r="F859" s="226"/>
      <c r="G859" s="227"/>
      <c r="H859" s="227"/>
      <c r="I859" s="227"/>
      <c r="J859" s="227"/>
      <c r="K859" s="228"/>
      <c r="L859" s="229"/>
      <c r="M859" s="228"/>
      <c r="N859" s="227"/>
      <c r="O859" s="226"/>
      <c r="P859" s="226"/>
      <c r="Q859" s="228"/>
      <c r="R859" s="228"/>
    </row>
    <row r="860" ht="13.5" customHeight="1" spans="1:18">
      <c r="A860" s="226"/>
      <c r="B860" s="226"/>
      <c r="C860" s="227"/>
      <c r="D860" s="227"/>
      <c r="E860" s="226"/>
      <c r="F860" s="226"/>
      <c r="G860" s="227"/>
      <c r="H860" s="227"/>
      <c r="I860" s="227"/>
      <c r="J860" s="227"/>
      <c r="K860" s="228"/>
      <c r="L860" s="229"/>
      <c r="M860" s="228"/>
      <c r="N860" s="227"/>
      <c r="O860" s="226"/>
      <c r="P860" s="226"/>
      <c r="Q860" s="228"/>
      <c r="R860" s="228"/>
    </row>
    <row r="861" ht="13.5" customHeight="1" spans="1:18">
      <c r="A861" s="226"/>
      <c r="B861" s="226"/>
      <c r="C861" s="227"/>
      <c r="D861" s="227"/>
      <c r="E861" s="226"/>
      <c r="F861" s="226"/>
      <c r="G861" s="227"/>
      <c r="H861" s="227"/>
      <c r="I861" s="227"/>
      <c r="J861" s="227"/>
      <c r="K861" s="228"/>
      <c r="L861" s="229"/>
      <c r="M861" s="228"/>
      <c r="N861" s="227"/>
      <c r="O861" s="226"/>
      <c r="P861" s="226"/>
      <c r="Q861" s="228"/>
      <c r="R861" s="228"/>
    </row>
    <row r="862" ht="13.5" customHeight="1" spans="1:18">
      <c r="A862" s="226"/>
      <c r="B862" s="226"/>
      <c r="C862" s="227"/>
      <c r="D862" s="227"/>
      <c r="E862" s="226"/>
      <c r="F862" s="226"/>
      <c r="G862" s="227"/>
      <c r="H862" s="227"/>
      <c r="I862" s="227"/>
      <c r="J862" s="227"/>
      <c r="K862" s="228"/>
      <c r="L862" s="229"/>
      <c r="M862" s="228"/>
      <c r="N862" s="227"/>
      <c r="O862" s="226"/>
      <c r="P862" s="226"/>
      <c r="Q862" s="228"/>
      <c r="R862" s="228"/>
    </row>
    <row r="863" ht="13.5" customHeight="1" spans="1:18">
      <c r="A863" s="226"/>
      <c r="B863" s="226"/>
      <c r="C863" s="227"/>
      <c r="D863" s="227"/>
      <c r="E863" s="226"/>
      <c r="F863" s="226"/>
      <c r="G863" s="227"/>
      <c r="H863" s="227"/>
      <c r="I863" s="227"/>
      <c r="J863" s="227"/>
      <c r="K863" s="228"/>
      <c r="L863" s="229"/>
      <c r="M863" s="228"/>
      <c r="N863" s="227"/>
      <c r="O863" s="226"/>
      <c r="P863" s="226"/>
      <c r="Q863" s="228"/>
      <c r="R863" s="228"/>
    </row>
    <row r="864" ht="13.5" customHeight="1" spans="1:18">
      <c r="A864" s="226"/>
      <c r="B864" s="226"/>
      <c r="C864" s="227"/>
      <c r="D864" s="227"/>
      <c r="E864" s="226"/>
      <c r="F864" s="226"/>
      <c r="G864" s="227"/>
      <c r="H864" s="227"/>
      <c r="I864" s="227"/>
      <c r="J864" s="227"/>
      <c r="K864" s="228"/>
      <c r="L864" s="229"/>
      <c r="M864" s="228"/>
      <c r="N864" s="227"/>
      <c r="O864" s="226"/>
      <c r="P864" s="226"/>
      <c r="Q864" s="228"/>
      <c r="R864" s="228"/>
    </row>
    <row r="865" ht="13.5" customHeight="1" spans="1:18">
      <c r="A865" s="226"/>
      <c r="B865" s="226"/>
      <c r="C865" s="227"/>
      <c r="D865" s="227"/>
      <c r="E865" s="226"/>
      <c r="F865" s="226"/>
      <c r="G865" s="227"/>
      <c r="H865" s="227"/>
      <c r="I865" s="227"/>
      <c r="J865" s="227"/>
      <c r="K865" s="228"/>
      <c r="L865" s="229"/>
      <c r="M865" s="228"/>
      <c r="N865" s="227"/>
      <c r="O865" s="226"/>
      <c r="P865" s="226"/>
      <c r="Q865" s="228"/>
      <c r="R865" s="228"/>
    </row>
    <row r="866" ht="13.5" customHeight="1" spans="1:18">
      <c r="A866" s="226"/>
      <c r="B866" s="226"/>
      <c r="C866" s="227"/>
      <c r="D866" s="227"/>
      <c r="E866" s="226"/>
      <c r="F866" s="226"/>
      <c r="G866" s="227"/>
      <c r="H866" s="227"/>
      <c r="I866" s="227"/>
      <c r="J866" s="227"/>
      <c r="K866" s="228"/>
      <c r="L866" s="229"/>
      <c r="M866" s="228"/>
      <c r="N866" s="227"/>
      <c r="O866" s="226"/>
      <c r="P866" s="226"/>
      <c r="Q866" s="228"/>
      <c r="R866" s="228"/>
    </row>
    <row r="867" ht="13.5" customHeight="1" spans="1:18">
      <c r="A867" s="226"/>
      <c r="B867" s="226"/>
      <c r="C867" s="227"/>
      <c r="D867" s="227"/>
      <c r="E867" s="226"/>
      <c r="F867" s="226"/>
      <c r="G867" s="227"/>
      <c r="H867" s="227"/>
      <c r="I867" s="227"/>
      <c r="J867" s="227"/>
      <c r="K867" s="228"/>
      <c r="L867" s="229"/>
      <c r="M867" s="228"/>
      <c r="N867" s="227"/>
      <c r="O867" s="226"/>
      <c r="P867" s="226"/>
      <c r="Q867" s="228"/>
      <c r="R867" s="228"/>
    </row>
    <row r="868" ht="13.5" customHeight="1" spans="1:18">
      <c r="A868" s="226"/>
      <c r="B868" s="226"/>
      <c r="C868" s="227"/>
      <c r="D868" s="227"/>
      <c r="E868" s="226"/>
      <c r="F868" s="226"/>
      <c r="G868" s="227"/>
      <c r="H868" s="227"/>
      <c r="I868" s="227"/>
      <c r="J868" s="227"/>
      <c r="K868" s="228"/>
      <c r="L868" s="229"/>
      <c r="M868" s="228"/>
      <c r="N868" s="227"/>
      <c r="O868" s="226"/>
      <c r="P868" s="226"/>
      <c r="Q868" s="228"/>
      <c r="R868" s="228"/>
    </row>
    <row r="869" ht="13.5" customHeight="1" spans="1:18">
      <c r="A869" s="226"/>
      <c r="B869" s="226"/>
      <c r="C869" s="227"/>
      <c r="D869" s="227"/>
      <c r="E869" s="226"/>
      <c r="F869" s="226"/>
      <c r="G869" s="227"/>
      <c r="H869" s="227"/>
      <c r="I869" s="227"/>
      <c r="J869" s="227"/>
      <c r="K869" s="228"/>
      <c r="L869" s="229"/>
      <c r="M869" s="228"/>
      <c r="N869" s="227"/>
      <c r="O869" s="226"/>
      <c r="P869" s="226"/>
      <c r="Q869" s="228"/>
      <c r="R869" s="228"/>
    </row>
    <row r="870" ht="13.5" customHeight="1" spans="1:18">
      <c r="A870" s="226"/>
      <c r="B870" s="226"/>
      <c r="C870" s="227"/>
      <c r="D870" s="227"/>
      <c r="E870" s="226"/>
      <c r="F870" s="226"/>
      <c r="G870" s="227"/>
      <c r="H870" s="227"/>
      <c r="I870" s="227"/>
      <c r="J870" s="227"/>
      <c r="K870" s="228"/>
      <c r="L870" s="229"/>
      <c r="M870" s="228"/>
      <c r="N870" s="227"/>
      <c r="O870" s="226"/>
      <c r="P870" s="226"/>
      <c r="Q870" s="228"/>
      <c r="R870" s="228"/>
    </row>
    <row r="871" ht="13.5" customHeight="1" spans="1:18">
      <c r="A871" s="226"/>
      <c r="B871" s="226"/>
      <c r="C871" s="227"/>
      <c r="D871" s="227"/>
      <c r="E871" s="226"/>
      <c r="F871" s="226"/>
      <c r="G871" s="227"/>
      <c r="H871" s="227"/>
      <c r="I871" s="227"/>
      <c r="J871" s="227"/>
      <c r="K871" s="228"/>
      <c r="L871" s="229"/>
      <c r="M871" s="228"/>
      <c r="N871" s="227"/>
      <c r="O871" s="226"/>
      <c r="P871" s="226"/>
      <c r="Q871" s="228"/>
      <c r="R871" s="228"/>
    </row>
    <row r="872" ht="13.5" customHeight="1" spans="1:18">
      <c r="A872" s="226"/>
      <c r="B872" s="226"/>
      <c r="C872" s="227"/>
      <c r="D872" s="227"/>
      <c r="E872" s="226"/>
      <c r="F872" s="226"/>
      <c r="G872" s="227"/>
      <c r="H872" s="227"/>
      <c r="I872" s="227"/>
      <c r="J872" s="227"/>
      <c r="K872" s="228"/>
      <c r="L872" s="229"/>
      <c r="M872" s="228"/>
      <c r="N872" s="227"/>
      <c r="O872" s="226"/>
      <c r="P872" s="226"/>
      <c r="Q872" s="228"/>
      <c r="R872" s="228"/>
    </row>
    <row r="873" ht="13.5" customHeight="1" spans="1:18">
      <c r="A873" s="226"/>
      <c r="B873" s="226"/>
      <c r="C873" s="227"/>
      <c r="D873" s="227"/>
      <c r="E873" s="226"/>
      <c r="F873" s="226"/>
      <c r="G873" s="227"/>
      <c r="H873" s="227"/>
      <c r="I873" s="227"/>
      <c r="J873" s="227"/>
      <c r="K873" s="228"/>
      <c r="L873" s="229"/>
      <c r="M873" s="228"/>
      <c r="N873" s="227"/>
      <c r="O873" s="226"/>
      <c r="P873" s="226"/>
      <c r="Q873" s="228"/>
      <c r="R873" s="228"/>
    </row>
    <row r="874" ht="13.5" customHeight="1" spans="1:18">
      <c r="A874" s="226"/>
      <c r="B874" s="226"/>
      <c r="C874" s="227"/>
      <c r="D874" s="227"/>
      <c r="E874" s="226"/>
      <c r="F874" s="226"/>
      <c r="G874" s="227"/>
      <c r="H874" s="227"/>
      <c r="I874" s="227"/>
      <c r="J874" s="227"/>
      <c r="K874" s="228"/>
      <c r="L874" s="229"/>
      <c r="M874" s="228"/>
      <c r="N874" s="227"/>
      <c r="O874" s="226"/>
      <c r="P874" s="226"/>
      <c r="Q874" s="228"/>
      <c r="R874" s="228"/>
    </row>
    <row r="875" ht="13.5" customHeight="1" spans="1:18">
      <c r="A875" s="226"/>
      <c r="B875" s="226"/>
      <c r="C875" s="227"/>
      <c r="D875" s="227"/>
      <c r="E875" s="226"/>
      <c r="F875" s="226"/>
      <c r="G875" s="227"/>
      <c r="H875" s="227"/>
      <c r="I875" s="227"/>
      <c r="J875" s="227"/>
      <c r="K875" s="228"/>
      <c r="L875" s="229"/>
      <c r="M875" s="228"/>
      <c r="N875" s="227"/>
      <c r="O875" s="226"/>
      <c r="P875" s="226"/>
      <c r="Q875" s="228"/>
      <c r="R875" s="228"/>
    </row>
    <row r="876" ht="13.5" customHeight="1" spans="1:18">
      <c r="A876" s="226"/>
      <c r="B876" s="226"/>
      <c r="C876" s="227"/>
      <c r="D876" s="227"/>
      <c r="E876" s="226"/>
      <c r="F876" s="226"/>
      <c r="G876" s="227"/>
      <c r="H876" s="227"/>
      <c r="I876" s="227"/>
      <c r="J876" s="227"/>
      <c r="K876" s="228"/>
      <c r="L876" s="229"/>
      <c r="M876" s="228"/>
      <c r="N876" s="227"/>
      <c r="O876" s="226"/>
      <c r="P876" s="226"/>
      <c r="Q876" s="228"/>
      <c r="R876" s="228"/>
    </row>
    <row r="877" ht="13.5" customHeight="1" spans="1:18">
      <c r="A877" s="226"/>
      <c r="B877" s="226"/>
      <c r="C877" s="227"/>
      <c r="D877" s="227"/>
      <c r="E877" s="226"/>
      <c r="F877" s="226"/>
      <c r="G877" s="227"/>
      <c r="H877" s="227"/>
      <c r="I877" s="227"/>
      <c r="J877" s="227"/>
      <c r="K877" s="228"/>
      <c r="L877" s="229"/>
      <c r="M877" s="228"/>
      <c r="N877" s="227"/>
      <c r="O877" s="226"/>
      <c r="P877" s="226"/>
      <c r="Q877" s="228"/>
      <c r="R877" s="228"/>
    </row>
    <row r="878" ht="13.5" customHeight="1" spans="1:18">
      <c r="A878" s="226"/>
      <c r="B878" s="226"/>
      <c r="C878" s="227"/>
      <c r="D878" s="227"/>
      <c r="E878" s="226"/>
      <c r="F878" s="226"/>
      <c r="G878" s="227"/>
      <c r="H878" s="227"/>
      <c r="I878" s="227"/>
      <c r="J878" s="227"/>
      <c r="K878" s="228"/>
      <c r="L878" s="229"/>
      <c r="M878" s="228"/>
      <c r="N878" s="227"/>
      <c r="O878" s="226"/>
      <c r="P878" s="226"/>
      <c r="Q878" s="228"/>
      <c r="R878" s="228"/>
    </row>
    <row r="879" ht="13.5" customHeight="1" spans="1:18">
      <c r="A879" s="226"/>
      <c r="B879" s="226"/>
      <c r="C879" s="227"/>
      <c r="D879" s="227"/>
      <c r="E879" s="226"/>
      <c r="F879" s="226"/>
      <c r="G879" s="227"/>
      <c r="H879" s="227"/>
      <c r="I879" s="227"/>
      <c r="J879" s="227"/>
      <c r="K879" s="228"/>
      <c r="L879" s="229"/>
      <c r="M879" s="228"/>
      <c r="N879" s="227"/>
      <c r="O879" s="226"/>
      <c r="P879" s="226"/>
      <c r="Q879" s="228"/>
      <c r="R879" s="228"/>
    </row>
    <row r="880" ht="13.5" customHeight="1" spans="1:18">
      <c r="A880" s="226"/>
      <c r="B880" s="226"/>
      <c r="C880" s="227"/>
      <c r="D880" s="227"/>
      <c r="E880" s="226"/>
      <c r="F880" s="226"/>
      <c r="G880" s="227"/>
      <c r="H880" s="227"/>
      <c r="I880" s="227"/>
      <c r="J880" s="227"/>
      <c r="K880" s="228"/>
      <c r="L880" s="229"/>
      <c r="M880" s="228"/>
      <c r="N880" s="227"/>
      <c r="O880" s="226"/>
      <c r="P880" s="226"/>
      <c r="Q880" s="228"/>
      <c r="R880" s="228"/>
    </row>
    <row r="881" ht="13.5" customHeight="1" spans="1:18">
      <c r="A881" s="226"/>
      <c r="B881" s="226"/>
      <c r="C881" s="227"/>
      <c r="D881" s="227"/>
      <c r="E881" s="226"/>
      <c r="F881" s="226"/>
      <c r="G881" s="227"/>
      <c r="H881" s="227"/>
      <c r="I881" s="227"/>
      <c r="J881" s="227"/>
      <c r="K881" s="228"/>
      <c r="L881" s="229"/>
      <c r="M881" s="228"/>
      <c r="N881" s="227"/>
      <c r="O881" s="226"/>
      <c r="P881" s="226"/>
      <c r="Q881" s="228"/>
      <c r="R881" s="228"/>
    </row>
    <row r="882" ht="13.5" customHeight="1" spans="1:18">
      <c r="A882" s="226"/>
      <c r="B882" s="226"/>
      <c r="C882" s="227"/>
      <c r="D882" s="227"/>
      <c r="E882" s="226"/>
      <c r="F882" s="226"/>
      <c r="G882" s="227"/>
      <c r="H882" s="227"/>
      <c r="I882" s="227"/>
      <c r="J882" s="227"/>
      <c r="K882" s="228"/>
      <c r="L882" s="229"/>
      <c r="M882" s="228"/>
      <c r="N882" s="227"/>
      <c r="O882" s="226"/>
      <c r="P882" s="226"/>
      <c r="Q882" s="228"/>
      <c r="R882" s="228"/>
    </row>
    <row r="883" ht="13.5" customHeight="1" spans="1:18">
      <c r="A883" s="226"/>
      <c r="B883" s="226"/>
      <c r="C883" s="227"/>
      <c r="D883" s="227"/>
      <c r="E883" s="226"/>
      <c r="F883" s="226"/>
      <c r="G883" s="227"/>
      <c r="H883" s="227"/>
      <c r="I883" s="227"/>
      <c r="J883" s="227"/>
      <c r="K883" s="228"/>
      <c r="L883" s="229"/>
      <c r="M883" s="228"/>
      <c r="N883" s="227"/>
      <c r="O883" s="226"/>
      <c r="P883" s="226"/>
      <c r="Q883" s="228"/>
      <c r="R883" s="228"/>
    </row>
    <row r="884" ht="13.5" customHeight="1" spans="1:18">
      <c r="A884" s="226"/>
      <c r="B884" s="226"/>
      <c r="C884" s="227"/>
      <c r="D884" s="227"/>
      <c r="E884" s="226"/>
      <c r="F884" s="226"/>
      <c r="G884" s="227"/>
      <c r="H884" s="227"/>
      <c r="I884" s="227"/>
      <c r="J884" s="227"/>
      <c r="K884" s="228"/>
      <c r="L884" s="229"/>
      <c r="M884" s="228"/>
      <c r="N884" s="227"/>
      <c r="O884" s="226"/>
      <c r="P884" s="226"/>
      <c r="Q884" s="228"/>
      <c r="R884" s="228"/>
    </row>
    <row r="885" ht="13.5" customHeight="1" spans="1:18">
      <c r="A885" s="226"/>
      <c r="B885" s="226"/>
      <c r="C885" s="227"/>
      <c r="D885" s="227"/>
      <c r="E885" s="226"/>
      <c r="F885" s="226"/>
      <c r="G885" s="227"/>
      <c r="H885" s="227"/>
      <c r="I885" s="227"/>
      <c r="J885" s="227"/>
      <c r="K885" s="228"/>
      <c r="L885" s="229"/>
      <c r="M885" s="228"/>
      <c r="N885" s="227"/>
      <c r="O885" s="226"/>
      <c r="P885" s="226"/>
      <c r="Q885" s="228"/>
      <c r="R885" s="228"/>
    </row>
    <row r="886" ht="13.5" customHeight="1" spans="1:18">
      <c r="A886" s="226"/>
      <c r="B886" s="226"/>
      <c r="C886" s="227"/>
      <c r="D886" s="227"/>
      <c r="E886" s="226"/>
      <c r="F886" s="226"/>
      <c r="G886" s="227"/>
      <c r="H886" s="227"/>
      <c r="I886" s="227"/>
      <c r="J886" s="227"/>
      <c r="K886" s="228"/>
      <c r="L886" s="229"/>
      <c r="M886" s="228"/>
      <c r="N886" s="227"/>
      <c r="O886" s="226"/>
      <c r="P886" s="226"/>
      <c r="Q886" s="228"/>
      <c r="R886" s="228"/>
    </row>
    <row r="887" ht="13.5" customHeight="1" spans="1:18">
      <c r="A887" s="226"/>
      <c r="B887" s="226"/>
      <c r="C887" s="227"/>
      <c r="D887" s="227"/>
      <c r="E887" s="226"/>
      <c r="F887" s="226"/>
      <c r="G887" s="227"/>
      <c r="H887" s="227"/>
      <c r="I887" s="227"/>
      <c r="J887" s="227"/>
      <c r="K887" s="228"/>
      <c r="L887" s="229"/>
      <c r="M887" s="228"/>
      <c r="N887" s="227"/>
      <c r="O887" s="226"/>
      <c r="P887" s="226"/>
      <c r="Q887" s="228"/>
      <c r="R887" s="228"/>
    </row>
    <row r="888" ht="13.5" customHeight="1" spans="1:18">
      <c r="A888" s="226"/>
      <c r="B888" s="226"/>
      <c r="C888" s="227"/>
      <c r="D888" s="227"/>
      <c r="E888" s="226"/>
      <c r="F888" s="226"/>
      <c r="G888" s="227"/>
      <c r="H888" s="227"/>
      <c r="I888" s="227"/>
      <c r="J888" s="227"/>
      <c r="K888" s="228"/>
      <c r="L888" s="229"/>
      <c r="M888" s="228"/>
      <c r="N888" s="227"/>
      <c r="O888" s="226"/>
      <c r="P888" s="226"/>
      <c r="Q888" s="228"/>
      <c r="R888" s="228"/>
    </row>
    <row r="889" ht="13.5" customHeight="1" spans="1:18">
      <c r="A889" s="226"/>
      <c r="B889" s="226"/>
      <c r="C889" s="227"/>
      <c r="D889" s="227"/>
      <c r="E889" s="226"/>
      <c r="F889" s="226"/>
      <c r="G889" s="227"/>
      <c r="H889" s="227"/>
      <c r="I889" s="227"/>
      <c r="J889" s="227"/>
      <c r="K889" s="228"/>
      <c r="L889" s="229"/>
      <c r="M889" s="228"/>
      <c r="N889" s="227"/>
      <c r="O889" s="226"/>
      <c r="P889" s="226"/>
      <c r="Q889" s="228"/>
      <c r="R889" s="228"/>
    </row>
    <row r="890" ht="13.5" customHeight="1" spans="1:18">
      <c r="A890" s="226"/>
      <c r="B890" s="226"/>
      <c r="C890" s="227"/>
      <c r="D890" s="227"/>
      <c r="E890" s="226"/>
      <c r="F890" s="226"/>
      <c r="G890" s="227"/>
      <c r="H890" s="227"/>
      <c r="I890" s="227"/>
      <c r="J890" s="227"/>
      <c r="K890" s="228"/>
      <c r="L890" s="229"/>
      <c r="M890" s="228"/>
      <c r="N890" s="227"/>
      <c r="O890" s="226"/>
      <c r="P890" s="226"/>
      <c r="Q890" s="228"/>
      <c r="R890" s="228"/>
    </row>
    <row r="891" ht="13.5" customHeight="1" spans="1:18">
      <c r="A891" s="226"/>
      <c r="B891" s="226"/>
      <c r="C891" s="227"/>
      <c r="D891" s="227"/>
      <c r="E891" s="226"/>
      <c r="F891" s="226"/>
      <c r="G891" s="227"/>
      <c r="H891" s="227"/>
      <c r="I891" s="227"/>
      <c r="J891" s="227"/>
      <c r="K891" s="228"/>
      <c r="L891" s="229"/>
      <c r="M891" s="228"/>
      <c r="N891" s="227"/>
      <c r="O891" s="226"/>
      <c r="P891" s="226"/>
      <c r="Q891" s="228"/>
      <c r="R891" s="228"/>
    </row>
    <row r="892" ht="13.5" customHeight="1" spans="1:18">
      <c r="A892" s="226"/>
      <c r="B892" s="226"/>
      <c r="C892" s="227"/>
      <c r="D892" s="227"/>
      <c r="E892" s="226"/>
      <c r="F892" s="226"/>
      <c r="G892" s="227"/>
      <c r="H892" s="227"/>
      <c r="I892" s="227"/>
      <c r="J892" s="227"/>
      <c r="K892" s="228"/>
      <c r="L892" s="229"/>
      <c r="M892" s="228"/>
      <c r="N892" s="227"/>
      <c r="O892" s="226"/>
      <c r="P892" s="226"/>
      <c r="Q892" s="228"/>
      <c r="R892" s="228"/>
    </row>
    <row r="893" ht="13.5" customHeight="1" spans="1:18">
      <c r="A893" s="226"/>
      <c r="B893" s="226"/>
      <c r="C893" s="227"/>
      <c r="D893" s="227"/>
      <c r="E893" s="226"/>
      <c r="F893" s="226"/>
      <c r="G893" s="227"/>
      <c r="H893" s="227"/>
      <c r="I893" s="227"/>
      <c r="J893" s="227"/>
      <c r="K893" s="228"/>
      <c r="L893" s="229"/>
      <c r="M893" s="228"/>
      <c r="N893" s="227"/>
      <c r="O893" s="226"/>
      <c r="P893" s="226"/>
      <c r="Q893" s="228"/>
      <c r="R893" s="228"/>
    </row>
    <row r="894" ht="13.5" customHeight="1" spans="1:18">
      <c r="A894" s="226"/>
      <c r="B894" s="226"/>
      <c r="C894" s="227"/>
      <c r="D894" s="227"/>
      <c r="E894" s="226"/>
      <c r="F894" s="226"/>
      <c r="G894" s="227"/>
      <c r="H894" s="227"/>
      <c r="I894" s="227"/>
      <c r="J894" s="227"/>
      <c r="K894" s="228"/>
      <c r="L894" s="229"/>
      <c r="M894" s="228"/>
      <c r="N894" s="227"/>
      <c r="O894" s="226"/>
      <c r="P894" s="226"/>
      <c r="Q894" s="228"/>
      <c r="R894" s="228"/>
    </row>
    <row r="895" ht="13.5" customHeight="1" spans="1:18">
      <c r="A895" s="226"/>
      <c r="B895" s="226"/>
      <c r="C895" s="227"/>
      <c r="D895" s="227"/>
      <c r="E895" s="226"/>
      <c r="F895" s="226"/>
      <c r="G895" s="227"/>
      <c r="H895" s="227"/>
      <c r="I895" s="227"/>
      <c r="J895" s="227"/>
      <c r="K895" s="228"/>
      <c r="L895" s="229"/>
      <c r="M895" s="228"/>
      <c r="N895" s="227"/>
      <c r="O895" s="226"/>
      <c r="P895" s="226"/>
      <c r="Q895" s="228"/>
      <c r="R895" s="228"/>
    </row>
    <row r="896" ht="13.5" customHeight="1" spans="1:18">
      <c r="A896" s="226"/>
      <c r="B896" s="226"/>
      <c r="C896" s="227"/>
      <c r="D896" s="227"/>
      <c r="E896" s="226"/>
      <c r="F896" s="226"/>
      <c r="G896" s="227"/>
      <c r="H896" s="227"/>
      <c r="I896" s="227"/>
      <c r="J896" s="227"/>
      <c r="K896" s="228"/>
      <c r="L896" s="229"/>
      <c r="M896" s="228"/>
      <c r="N896" s="227"/>
      <c r="O896" s="226"/>
      <c r="P896" s="226"/>
      <c r="Q896" s="228"/>
      <c r="R896" s="228"/>
    </row>
    <row r="897" ht="13.5" customHeight="1" spans="1:18">
      <c r="A897" s="226"/>
      <c r="B897" s="226"/>
      <c r="C897" s="227"/>
      <c r="D897" s="227"/>
      <c r="E897" s="226"/>
      <c r="F897" s="226"/>
      <c r="G897" s="227"/>
      <c r="H897" s="227"/>
      <c r="I897" s="227"/>
      <c r="J897" s="227"/>
      <c r="K897" s="228"/>
      <c r="L897" s="229"/>
      <c r="M897" s="228"/>
      <c r="N897" s="227"/>
      <c r="O897" s="226"/>
      <c r="P897" s="226"/>
      <c r="Q897" s="228"/>
      <c r="R897" s="228"/>
    </row>
    <row r="898" ht="13.5" customHeight="1" spans="1:18">
      <c r="A898" s="226"/>
      <c r="B898" s="226"/>
      <c r="C898" s="227"/>
      <c r="D898" s="227"/>
      <c r="E898" s="226"/>
      <c r="F898" s="226"/>
      <c r="G898" s="227"/>
      <c r="H898" s="227"/>
      <c r="I898" s="227"/>
      <c r="J898" s="227"/>
      <c r="K898" s="228"/>
      <c r="L898" s="229"/>
      <c r="M898" s="228"/>
      <c r="N898" s="227"/>
      <c r="O898" s="226"/>
      <c r="P898" s="226"/>
      <c r="Q898" s="228"/>
      <c r="R898" s="228"/>
    </row>
    <row r="899" ht="13.5" customHeight="1" spans="1:18">
      <c r="A899" s="226"/>
      <c r="B899" s="226"/>
      <c r="C899" s="227"/>
      <c r="D899" s="227"/>
      <c r="E899" s="226"/>
      <c r="F899" s="226"/>
      <c r="G899" s="227"/>
      <c r="H899" s="227"/>
      <c r="I899" s="227"/>
      <c r="J899" s="227"/>
      <c r="K899" s="228"/>
      <c r="L899" s="229"/>
      <c r="M899" s="228"/>
      <c r="N899" s="227"/>
      <c r="O899" s="226"/>
      <c r="P899" s="226"/>
      <c r="Q899" s="228"/>
      <c r="R899" s="228"/>
    </row>
    <row r="900" ht="13.5" customHeight="1" spans="1:18">
      <c r="A900" s="226"/>
      <c r="B900" s="226"/>
      <c r="C900" s="227"/>
      <c r="D900" s="227"/>
      <c r="E900" s="226"/>
      <c r="F900" s="226"/>
      <c r="G900" s="227"/>
      <c r="H900" s="227"/>
      <c r="I900" s="227"/>
      <c r="J900" s="227"/>
      <c r="K900" s="228"/>
      <c r="L900" s="229"/>
      <c r="M900" s="228"/>
      <c r="N900" s="227"/>
      <c r="O900" s="226"/>
      <c r="P900" s="226"/>
      <c r="Q900" s="228"/>
      <c r="R900" s="228"/>
    </row>
    <row r="901" ht="13.5" customHeight="1" spans="1:18">
      <c r="A901" s="226"/>
      <c r="B901" s="226"/>
      <c r="C901" s="227"/>
      <c r="D901" s="227"/>
      <c r="E901" s="226"/>
      <c r="F901" s="226"/>
      <c r="G901" s="227"/>
      <c r="H901" s="227"/>
      <c r="I901" s="227"/>
      <c r="J901" s="227"/>
      <c r="K901" s="228"/>
      <c r="L901" s="229"/>
      <c r="M901" s="228"/>
      <c r="N901" s="227"/>
      <c r="O901" s="226"/>
      <c r="P901" s="226"/>
      <c r="Q901" s="228"/>
      <c r="R901" s="228"/>
    </row>
    <row r="902" ht="13.5" customHeight="1" spans="1:18">
      <c r="A902" s="226"/>
      <c r="B902" s="226"/>
      <c r="C902" s="227"/>
      <c r="D902" s="227"/>
      <c r="E902" s="226"/>
      <c r="F902" s="226"/>
      <c r="G902" s="227"/>
      <c r="H902" s="227"/>
      <c r="I902" s="227"/>
      <c r="J902" s="227"/>
      <c r="K902" s="228"/>
      <c r="L902" s="229"/>
      <c r="M902" s="228"/>
      <c r="N902" s="227"/>
      <c r="O902" s="226"/>
      <c r="P902" s="226"/>
      <c r="Q902" s="228"/>
      <c r="R902" s="228"/>
    </row>
    <row r="903" ht="13.5" customHeight="1" spans="1:18">
      <c r="A903" s="226"/>
      <c r="B903" s="226"/>
      <c r="C903" s="227"/>
      <c r="D903" s="227"/>
      <c r="E903" s="226"/>
      <c r="F903" s="226"/>
      <c r="G903" s="227"/>
      <c r="H903" s="227"/>
      <c r="I903" s="227"/>
      <c r="J903" s="227"/>
      <c r="K903" s="228"/>
      <c r="L903" s="229"/>
      <c r="M903" s="228"/>
      <c r="N903" s="227"/>
      <c r="O903" s="226"/>
      <c r="P903" s="226"/>
      <c r="Q903" s="228"/>
      <c r="R903" s="228"/>
    </row>
    <row r="904" ht="13.5" customHeight="1" spans="1:18">
      <c r="A904" s="226"/>
      <c r="B904" s="226"/>
      <c r="C904" s="227"/>
      <c r="D904" s="227"/>
      <c r="E904" s="226"/>
      <c r="F904" s="226"/>
      <c r="G904" s="227"/>
      <c r="H904" s="227"/>
      <c r="I904" s="227"/>
      <c r="J904" s="227"/>
      <c r="K904" s="228"/>
      <c r="L904" s="229"/>
      <c r="M904" s="228"/>
      <c r="N904" s="227"/>
      <c r="O904" s="226"/>
      <c r="P904" s="226"/>
      <c r="Q904" s="228"/>
      <c r="R904" s="228"/>
    </row>
    <row r="905" ht="13.5" customHeight="1" spans="1:18">
      <c r="A905" s="226"/>
      <c r="B905" s="226"/>
      <c r="C905" s="227"/>
      <c r="D905" s="227"/>
      <c r="E905" s="226"/>
      <c r="F905" s="226"/>
      <c r="G905" s="227"/>
      <c r="H905" s="227"/>
      <c r="I905" s="227"/>
      <c r="J905" s="227"/>
      <c r="K905" s="228"/>
      <c r="L905" s="229"/>
      <c r="M905" s="228"/>
      <c r="N905" s="227"/>
      <c r="O905" s="226"/>
      <c r="P905" s="226"/>
      <c r="Q905" s="228"/>
      <c r="R905" s="228"/>
    </row>
    <row r="906" ht="13.5" customHeight="1" spans="1:18">
      <c r="A906" s="226"/>
      <c r="B906" s="226"/>
      <c r="C906" s="227"/>
      <c r="D906" s="227"/>
      <c r="E906" s="226"/>
      <c r="F906" s="226"/>
      <c r="G906" s="227"/>
      <c r="H906" s="227"/>
      <c r="I906" s="227"/>
      <c r="J906" s="227"/>
      <c r="K906" s="228"/>
      <c r="L906" s="229"/>
      <c r="M906" s="228"/>
      <c r="N906" s="227"/>
      <c r="O906" s="226"/>
      <c r="P906" s="226"/>
      <c r="Q906" s="228"/>
      <c r="R906" s="228"/>
    </row>
    <row r="907" ht="13.5" customHeight="1" spans="1:18">
      <c r="A907" s="226"/>
      <c r="B907" s="226"/>
      <c r="C907" s="227"/>
      <c r="D907" s="227"/>
      <c r="E907" s="226"/>
      <c r="F907" s="226"/>
      <c r="G907" s="227"/>
      <c r="H907" s="227"/>
      <c r="I907" s="227"/>
      <c r="J907" s="227"/>
      <c r="K907" s="228"/>
      <c r="L907" s="229"/>
      <c r="M907" s="228"/>
      <c r="N907" s="227"/>
      <c r="O907" s="226"/>
      <c r="P907" s="226"/>
      <c r="Q907" s="228"/>
      <c r="R907" s="228"/>
    </row>
    <row r="908" ht="13.5" customHeight="1" spans="1:18">
      <c r="A908" s="226"/>
      <c r="B908" s="226"/>
      <c r="C908" s="227"/>
      <c r="D908" s="227"/>
      <c r="E908" s="226"/>
      <c r="F908" s="226"/>
      <c r="G908" s="227"/>
      <c r="H908" s="227"/>
      <c r="I908" s="227"/>
      <c r="J908" s="227"/>
      <c r="K908" s="228"/>
      <c r="L908" s="229"/>
      <c r="M908" s="228"/>
      <c r="N908" s="227"/>
      <c r="O908" s="226"/>
      <c r="P908" s="226"/>
      <c r="Q908" s="228"/>
      <c r="R908" s="228"/>
    </row>
    <row r="909" ht="13.5" customHeight="1" spans="1:18">
      <c r="A909" s="226"/>
      <c r="B909" s="226"/>
      <c r="C909" s="227"/>
      <c r="D909" s="227"/>
      <c r="E909" s="226"/>
      <c r="F909" s="226"/>
      <c r="G909" s="227"/>
      <c r="H909" s="227"/>
      <c r="I909" s="227"/>
      <c r="J909" s="227"/>
      <c r="K909" s="228"/>
      <c r="L909" s="229"/>
      <c r="M909" s="228"/>
      <c r="N909" s="227"/>
      <c r="O909" s="226"/>
      <c r="P909" s="226"/>
      <c r="Q909" s="228"/>
      <c r="R909" s="228"/>
    </row>
    <row r="910" ht="13.5" customHeight="1" spans="1:18">
      <c r="A910" s="226"/>
      <c r="B910" s="226"/>
      <c r="C910" s="227"/>
      <c r="D910" s="227"/>
      <c r="E910" s="226"/>
      <c r="F910" s="226"/>
      <c r="G910" s="227"/>
      <c r="H910" s="227"/>
      <c r="I910" s="227"/>
      <c r="J910" s="227"/>
      <c r="K910" s="228"/>
      <c r="L910" s="229"/>
      <c r="M910" s="228"/>
      <c r="N910" s="227"/>
      <c r="O910" s="226"/>
      <c r="P910" s="226"/>
      <c r="Q910" s="228"/>
      <c r="R910" s="228"/>
    </row>
    <row r="911" ht="13.5" customHeight="1" spans="1:18">
      <c r="A911" s="226"/>
      <c r="B911" s="226"/>
      <c r="C911" s="227"/>
      <c r="D911" s="227"/>
      <c r="E911" s="226"/>
      <c r="F911" s="226"/>
      <c r="G911" s="227"/>
      <c r="H911" s="227"/>
      <c r="I911" s="227"/>
      <c r="J911" s="227"/>
      <c r="K911" s="228"/>
      <c r="L911" s="229"/>
      <c r="M911" s="228"/>
      <c r="N911" s="227"/>
      <c r="O911" s="226"/>
      <c r="P911" s="226"/>
      <c r="Q911" s="228"/>
      <c r="R911" s="228"/>
    </row>
    <row r="912" ht="13.5" customHeight="1" spans="1:18">
      <c r="A912" s="226"/>
      <c r="B912" s="226"/>
      <c r="C912" s="227"/>
      <c r="D912" s="227"/>
      <c r="E912" s="226"/>
      <c r="F912" s="226"/>
      <c r="G912" s="227"/>
      <c r="H912" s="227"/>
      <c r="I912" s="227"/>
      <c r="J912" s="227"/>
      <c r="K912" s="228"/>
      <c r="L912" s="229"/>
      <c r="M912" s="228"/>
      <c r="N912" s="227"/>
      <c r="O912" s="226"/>
      <c r="P912" s="226"/>
      <c r="Q912" s="228"/>
      <c r="R912" s="228"/>
    </row>
    <row r="913" ht="13.5" customHeight="1" spans="1:18">
      <c r="A913" s="226"/>
      <c r="B913" s="226"/>
      <c r="C913" s="227"/>
      <c r="D913" s="227"/>
      <c r="E913" s="226"/>
      <c r="F913" s="226"/>
      <c r="G913" s="227"/>
      <c r="H913" s="227"/>
      <c r="I913" s="227"/>
      <c r="J913" s="227"/>
      <c r="K913" s="228"/>
      <c r="L913" s="229"/>
      <c r="M913" s="228"/>
      <c r="N913" s="227"/>
      <c r="O913" s="226"/>
      <c r="P913" s="226"/>
      <c r="Q913" s="228"/>
      <c r="R913" s="228"/>
    </row>
    <row r="914" ht="13.5" customHeight="1" spans="1:18">
      <c r="A914" s="226"/>
      <c r="B914" s="226"/>
      <c r="C914" s="227"/>
      <c r="D914" s="227"/>
      <c r="E914" s="226"/>
      <c r="F914" s="226"/>
      <c r="G914" s="227"/>
      <c r="H914" s="227"/>
      <c r="I914" s="227"/>
      <c r="J914" s="227"/>
      <c r="K914" s="228"/>
      <c r="L914" s="229"/>
      <c r="M914" s="228"/>
      <c r="N914" s="227"/>
      <c r="O914" s="226"/>
      <c r="P914" s="226"/>
      <c r="Q914" s="228"/>
      <c r="R914" s="228"/>
    </row>
    <row r="915" ht="13.5" customHeight="1" spans="1:18">
      <c r="A915" s="226"/>
      <c r="B915" s="226"/>
      <c r="C915" s="227"/>
      <c r="D915" s="227"/>
      <c r="E915" s="226"/>
      <c r="F915" s="226"/>
      <c r="G915" s="227"/>
      <c r="H915" s="227"/>
      <c r="I915" s="227"/>
      <c r="J915" s="227"/>
      <c r="K915" s="228"/>
      <c r="L915" s="229"/>
      <c r="M915" s="228"/>
      <c r="N915" s="227"/>
      <c r="O915" s="226"/>
      <c r="P915" s="226"/>
      <c r="Q915" s="228"/>
      <c r="R915" s="228"/>
    </row>
    <row r="916" ht="13.5" customHeight="1" spans="1:18">
      <c r="A916" s="226"/>
      <c r="B916" s="226"/>
      <c r="C916" s="227"/>
      <c r="D916" s="227"/>
      <c r="E916" s="226"/>
      <c r="F916" s="226"/>
      <c r="G916" s="227"/>
      <c r="H916" s="227"/>
      <c r="I916" s="227"/>
      <c r="J916" s="227"/>
      <c r="K916" s="228"/>
      <c r="L916" s="229"/>
      <c r="M916" s="228"/>
      <c r="N916" s="227"/>
      <c r="O916" s="226"/>
      <c r="P916" s="226"/>
      <c r="Q916" s="228"/>
      <c r="R916" s="228"/>
    </row>
    <row r="917" ht="13.5" customHeight="1" spans="1:18">
      <c r="A917" s="226"/>
      <c r="B917" s="226"/>
      <c r="C917" s="227"/>
      <c r="D917" s="227"/>
      <c r="E917" s="226"/>
      <c r="F917" s="226"/>
      <c r="G917" s="227"/>
      <c r="H917" s="227"/>
      <c r="I917" s="227"/>
      <c r="J917" s="227"/>
      <c r="K917" s="228"/>
      <c r="L917" s="229"/>
      <c r="M917" s="228"/>
      <c r="N917" s="227"/>
      <c r="O917" s="226"/>
      <c r="P917" s="226"/>
      <c r="Q917" s="228"/>
      <c r="R917" s="228"/>
    </row>
    <row r="918" ht="13.5" customHeight="1" spans="1:18">
      <c r="A918" s="226"/>
      <c r="B918" s="226"/>
      <c r="C918" s="227"/>
      <c r="D918" s="227"/>
      <c r="E918" s="226"/>
      <c r="F918" s="226"/>
      <c r="G918" s="227"/>
      <c r="H918" s="227"/>
      <c r="I918" s="227"/>
      <c r="J918" s="227"/>
      <c r="K918" s="228"/>
      <c r="L918" s="229"/>
      <c r="M918" s="228"/>
      <c r="N918" s="227"/>
      <c r="O918" s="226"/>
      <c r="P918" s="226"/>
      <c r="Q918" s="228"/>
      <c r="R918" s="228"/>
    </row>
    <row r="919" ht="13.5" customHeight="1" spans="1:18">
      <c r="A919" s="226"/>
      <c r="B919" s="226"/>
      <c r="C919" s="227"/>
      <c r="D919" s="227"/>
      <c r="E919" s="226"/>
      <c r="F919" s="226"/>
      <c r="G919" s="227"/>
      <c r="H919" s="227"/>
      <c r="I919" s="227"/>
      <c r="J919" s="227"/>
      <c r="K919" s="228"/>
      <c r="L919" s="229"/>
      <c r="M919" s="228"/>
      <c r="N919" s="227"/>
      <c r="O919" s="226"/>
      <c r="P919" s="226"/>
      <c r="Q919" s="228"/>
      <c r="R919" s="228"/>
    </row>
    <row r="920" ht="13.5" customHeight="1" spans="1:18">
      <c r="A920" s="226"/>
      <c r="B920" s="226"/>
      <c r="C920" s="227"/>
      <c r="D920" s="227"/>
      <c r="E920" s="226"/>
      <c r="F920" s="226"/>
      <c r="G920" s="227"/>
      <c r="H920" s="227"/>
      <c r="I920" s="227"/>
      <c r="J920" s="227"/>
      <c r="K920" s="228"/>
      <c r="L920" s="229"/>
      <c r="M920" s="228"/>
      <c r="N920" s="227"/>
      <c r="O920" s="226"/>
      <c r="P920" s="226"/>
      <c r="Q920" s="228"/>
      <c r="R920" s="228"/>
    </row>
    <row r="921" ht="13.5" customHeight="1" spans="1:18">
      <c r="A921" s="226"/>
      <c r="B921" s="226"/>
      <c r="C921" s="227"/>
      <c r="D921" s="227"/>
      <c r="E921" s="226"/>
      <c r="F921" s="226"/>
      <c r="G921" s="227"/>
      <c r="H921" s="227"/>
      <c r="I921" s="227"/>
      <c r="J921" s="227"/>
      <c r="K921" s="228"/>
      <c r="L921" s="229"/>
      <c r="M921" s="228"/>
      <c r="N921" s="227"/>
      <c r="O921" s="226"/>
      <c r="P921" s="226"/>
      <c r="Q921" s="228"/>
      <c r="R921" s="228"/>
    </row>
    <row r="922" ht="13.5" customHeight="1" spans="1:18">
      <c r="A922" s="226"/>
      <c r="B922" s="226"/>
      <c r="C922" s="227"/>
      <c r="D922" s="227"/>
      <c r="E922" s="226"/>
      <c r="F922" s="226"/>
      <c r="G922" s="227"/>
      <c r="H922" s="227"/>
      <c r="I922" s="227"/>
      <c r="J922" s="227"/>
      <c r="K922" s="228"/>
      <c r="L922" s="229"/>
      <c r="M922" s="228"/>
      <c r="N922" s="227"/>
      <c r="O922" s="226"/>
      <c r="P922" s="226"/>
      <c r="Q922" s="228"/>
      <c r="R922" s="228"/>
    </row>
    <row r="923" ht="13.5" customHeight="1" spans="1:18">
      <c r="A923" s="226"/>
      <c r="B923" s="226"/>
      <c r="C923" s="227"/>
      <c r="D923" s="227"/>
      <c r="E923" s="226"/>
      <c r="F923" s="226"/>
      <c r="G923" s="227"/>
      <c r="H923" s="227"/>
      <c r="I923" s="227"/>
      <c r="J923" s="227"/>
      <c r="K923" s="228"/>
      <c r="L923" s="229"/>
      <c r="M923" s="228"/>
      <c r="N923" s="227"/>
      <c r="O923" s="226"/>
      <c r="P923" s="226"/>
      <c r="Q923" s="228"/>
      <c r="R923" s="228"/>
    </row>
    <row r="924" ht="13.5" customHeight="1" spans="1:18">
      <c r="A924" s="226"/>
      <c r="B924" s="226"/>
      <c r="C924" s="227"/>
      <c r="D924" s="227"/>
      <c r="E924" s="226"/>
      <c r="F924" s="226"/>
      <c r="G924" s="227"/>
      <c r="H924" s="227"/>
      <c r="I924" s="227"/>
      <c r="J924" s="227"/>
      <c r="K924" s="228"/>
      <c r="L924" s="229"/>
      <c r="M924" s="228"/>
      <c r="N924" s="227"/>
      <c r="O924" s="226"/>
      <c r="P924" s="226"/>
      <c r="Q924" s="228"/>
      <c r="R924" s="228"/>
    </row>
    <row r="925" ht="13.5" customHeight="1" spans="1:18">
      <c r="A925" s="226"/>
      <c r="B925" s="226"/>
      <c r="C925" s="227"/>
      <c r="D925" s="227"/>
      <c r="E925" s="226"/>
      <c r="F925" s="226"/>
      <c r="G925" s="227"/>
      <c r="H925" s="227"/>
      <c r="I925" s="227"/>
      <c r="J925" s="227"/>
      <c r="K925" s="228"/>
      <c r="L925" s="229"/>
      <c r="M925" s="228"/>
      <c r="N925" s="227"/>
      <c r="O925" s="226"/>
      <c r="P925" s="226"/>
      <c r="Q925" s="228"/>
      <c r="R925" s="228"/>
    </row>
    <row r="926" ht="13.5" customHeight="1" spans="1:18">
      <c r="A926" s="226"/>
      <c r="B926" s="226"/>
      <c r="C926" s="227"/>
      <c r="D926" s="227"/>
      <c r="E926" s="226"/>
      <c r="F926" s="226"/>
      <c r="G926" s="227"/>
      <c r="H926" s="227"/>
      <c r="I926" s="227"/>
      <c r="J926" s="227"/>
      <c r="K926" s="228"/>
      <c r="L926" s="229"/>
      <c r="M926" s="228"/>
      <c r="N926" s="227"/>
      <c r="O926" s="226"/>
      <c r="P926" s="226"/>
      <c r="Q926" s="228"/>
      <c r="R926" s="228"/>
    </row>
    <row r="927" ht="13.5" customHeight="1" spans="1:18">
      <c r="A927" s="226"/>
      <c r="B927" s="226"/>
      <c r="C927" s="227"/>
      <c r="D927" s="227"/>
      <c r="E927" s="226"/>
      <c r="F927" s="226"/>
      <c r="G927" s="227"/>
      <c r="H927" s="227"/>
      <c r="I927" s="227"/>
      <c r="J927" s="227"/>
      <c r="K927" s="228"/>
      <c r="L927" s="229"/>
      <c r="M927" s="228"/>
      <c r="N927" s="227"/>
      <c r="O927" s="226"/>
      <c r="P927" s="226"/>
      <c r="Q927" s="228"/>
      <c r="R927" s="228"/>
    </row>
    <row r="928" ht="13.5" customHeight="1" spans="1:18">
      <c r="A928" s="226"/>
      <c r="B928" s="226"/>
      <c r="C928" s="227"/>
      <c r="D928" s="227"/>
      <c r="E928" s="226"/>
      <c r="F928" s="226"/>
      <c r="G928" s="227"/>
      <c r="H928" s="227"/>
      <c r="I928" s="227"/>
      <c r="J928" s="227"/>
      <c r="K928" s="228"/>
      <c r="L928" s="229"/>
      <c r="M928" s="228"/>
      <c r="N928" s="227"/>
      <c r="O928" s="226"/>
      <c r="P928" s="226"/>
      <c r="Q928" s="228"/>
      <c r="R928" s="228"/>
    </row>
    <row r="929" ht="13.5" customHeight="1" spans="1:18">
      <c r="A929" s="226"/>
      <c r="B929" s="226"/>
      <c r="C929" s="227"/>
      <c r="D929" s="227"/>
      <c r="E929" s="226"/>
      <c r="F929" s="226"/>
      <c r="G929" s="227"/>
      <c r="H929" s="227"/>
      <c r="I929" s="227"/>
      <c r="J929" s="227"/>
      <c r="K929" s="228"/>
      <c r="L929" s="229"/>
      <c r="M929" s="228"/>
      <c r="N929" s="227"/>
      <c r="O929" s="226"/>
      <c r="P929" s="226"/>
      <c r="Q929" s="228"/>
      <c r="R929" s="228"/>
    </row>
    <row r="930" ht="13.5" customHeight="1" spans="1:18">
      <c r="A930" s="226"/>
      <c r="B930" s="226"/>
      <c r="C930" s="227"/>
      <c r="D930" s="227"/>
      <c r="E930" s="226"/>
      <c r="F930" s="226"/>
      <c r="G930" s="227"/>
      <c r="H930" s="227"/>
      <c r="I930" s="227"/>
      <c r="J930" s="227"/>
      <c r="K930" s="228"/>
      <c r="L930" s="229"/>
      <c r="M930" s="228"/>
      <c r="N930" s="227"/>
      <c r="O930" s="226"/>
      <c r="P930" s="226"/>
      <c r="Q930" s="228"/>
      <c r="R930" s="228"/>
    </row>
    <row r="931" ht="13.5" customHeight="1" spans="1:18">
      <c r="A931" s="226"/>
      <c r="B931" s="226"/>
      <c r="C931" s="227"/>
      <c r="D931" s="227"/>
      <c r="E931" s="226"/>
      <c r="F931" s="226"/>
      <c r="G931" s="227"/>
      <c r="H931" s="227"/>
      <c r="I931" s="227"/>
      <c r="J931" s="227"/>
      <c r="K931" s="228"/>
      <c r="L931" s="229"/>
      <c r="M931" s="228"/>
      <c r="N931" s="227"/>
      <c r="O931" s="226"/>
      <c r="P931" s="226"/>
      <c r="Q931" s="228"/>
      <c r="R931" s="228"/>
    </row>
    <row r="932" ht="13.5" customHeight="1" spans="1:18">
      <c r="A932" s="226"/>
      <c r="B932" s="226"/>
      <c r="C932" s="227"/>
      <c r="D932" s="227"/>
      <c r="E932" s="226"/>
      <c r="F932" s="226"/>
      <c r="G932" s="227"/>
      <c r="H932" s="227"/>
      <c r="I932" s="227"/>
      <c r="J932" s="227"/>
      <c r="K932" s="228"/>
      <c r="L932" s="229"/>
      <c r="M932" s="228"/>
      <c r="N932" s="227"/>
      <c r="O932" s="226"/>
      <c r="P932" s="226"/>
      <c r="Q932" s="228"/>
      <c r="R932" s="228"/>
    </row>
    <row r="933" ht="13.5" customHeight="1" spans="1:18">
      <c r="A933" s="226"/>
      <c r="B933" s="226"/>
      <c r="C933" s="227"/>
      <c r="D933" s="227"/>
      <c r="E933" s="226"/>
      <c r="F933" s="226"/>
      <c r="G933" s="227"/>
      <c r="H933" s="227"/>
      <c r="I933" s="227"/>
      <c r="J933" s="227"/>
      <c r="K933" s="228"/>
      <c r="L933" s="229"/>
      <c r="M933" s="228"/>
      <c r="N933" s="227"/>
      <c r="O933" s="226"/>
      <c r="P933" s="226"/>
      <c r="Q933" s="228"/>
      <c r="R933" s="228"/>
    </row>
    <row r="934" ht="13.5" customHeight="1" spans="1:18">
      <c r="A934" s="226"/>
      <c r="B934" s="226"/>
      <c r="C934" s="227"/>
      <c r="D934" s="227"/>
      <c r="E934" s="226"/>
      <c r="F934" s="226"/>
      <c r="G934" s="227"/>
      <c r="H934" s="227"/>
      <c r="I934" s="227"/>
      <c r="J934" s="227"/>
      <c r="K934" s="228"/>
      <c r="L934" s="229"/>
      <c r="M934" s="228"/>
      <c r="N934" s="227"/>
      <c r="O934" s="226"/>
      <c r="P934" s="226"/>
      <c r="Q934" s="228"/>
      <c r="R934" s="228"/>
    </row>
    <row r="935" ht="13.5" customHeight="1" spans="1:18">
      <c r="A935" s="226"/>
      <c r="B935" s="226"/>
      <c r="C935" s="227"/>
      <c r="D935" s="227"/>
      <c r="E935" s="226"/>
      <c r="F935" s="226"/>
      <c r="G935" s="227"/>
      <c r="H935" s="227"/>
      <c r="I935" s="227"/>
      <c r="J935" s="227"/>
      <c r="K935" s="228"/>
      <c r="L935" s="229"/>
      <c r="M935" s="228"/>
      <c r="N935" s="227"/>
      <c r="O935" s="226"/>
      <c r="P935" s="226"/>
      <c r="Q935" s="228"/>
      <c r="R935" s="228"/>
    </row>
    <row r="936" ht="13.5" customHeight="1" spans="1:18">
      <c r="A936" s="226"/>
      <c r="B936" s="226"/>
      <c r="C936" s="227"/>
      <c r="D936" s="227"/>
      <c r="E936" s="226"/>
      <c r="F936" s="226"/>
      <c r="G936" s="227"/>
      <c r="H936" s="227"/>
      <c r="I936" s="227"/>
      <c r="J936" s="227"/>
      <c r="K936" s="228"/>
      <c r="L936" s="229"/>
      <c r="M936" s="228"/>
      <c r="N936" s="227"/>
      <c r="O936" s="226"/>
      <c r="P936" s="226"/>
      <c r="Q936" s="228"/>
      <c r="R936" s="228"/>
    </row>
    <row r="937" ht="13.5" customHeight="1" spans="1:18">
      <c r="A937" s="226"/>
      <c r="B937" s="226"/>
      <c r="C937" s="227"/>
      <c r="D937" s="227"/>
      <c r="E937" s="226"/>
      <c r="F937" s="226"/>
      <c r="G937" s="227"/>
      <c r="H937" s="227"/>
      <c r="I937" s="227"/>
      <c r="J937" s="227"/>
      <c r="K937" s="228"/>
      <c r="L937" s="229"/>
      <c r="M937" s="228"/>
      <c r="N937" s="227"/>
      <c r="O937" s="226"/>
      <c r="P937" s="226"/>
      <c r="Q937" s="228"/>
      <c r="R937" s="228"/>
    </row>
    <row r="938" ht="13.5" customHeight="1" spans="1:18">
      <c r="A938" s="226"/>
      <c r="B938" s="226"/>
      <c r="C938" s="227"/>
      <c r="D938" s="227"/>
      <c r="E938" s="226"/>
      <c r="F938" s="226"/>
      <c r="G938" s="227"/>
      <c r="H938" s="227"/>
      <c r="I938" s="227"/>
      <c r="J938" s="227"/>
      <c r="K938" s="228"/>
      <c r="L938" s="229"/>
      <c r="M938" s="228"/>
      <c r="N938" s="227"/>
      <c r="O938" s="226"/>
      <c r="P938" s="226"/>
      <c r="Q938" s="228"/>
      <c r="R938" s="228"/>
    </row>
    <row r="939" ht="13.5" customHeight="1" spans="1:18">
      <c r="A939" s="226"/>
      <c r="B939" s="226"/>
      <c r="C939" s="227"/>
      <c r="D939" s="227"/>
      <c r="E939" s="226"/>
      <c r="F939" s="226"/>
      <c r="G939" s="227"/>
      <c r="H939" s="227"/>
      <c r="I939" s="227"/>
      <c r="J939" s="227"/>
      <c r="K939" s="228"/>
      <c r="L939" s="229"/>
      <c r="M939" s="228"/>
      <c r="N939" s="227"/>
      <c r="O939" s="226"/>
      <c r="P939" s="226"/>
      <c r="Q939" s="228"/>
      <c r="R939" s="228"/>
    </row>
    <row r="940" ht="13.5" customHeight="1" spans="1:18">
      <c r="A940" s="226"/>
      <c r="B940" s="226"/>
      <c r="C940" s="227"/>
      <c r="D940" s="227"/>
      <c r="E940" s="226"/>
      <c r="F940" s="226"/>
      <c r="G940" s="227"/>
      <c r="H940" s="227"/>
      <c r="I940" s="227"/>
      <c r="J940" s="227"/>
      <c r="K940" s="228"/>
      <c r="L940" s="229"/>
      <c r="M940" s="228"/>
      <c r="N940" s="227"/>
      <c r="O940" s="226"/>
      <c r="P940" s="226"/>
      <c r="Q940" s="228"/>
      <c r="R940" s="228"/>
    </row>
    <row r="941" ht="13.5" customHeight="1" spans="1:18">
      <c r="A941" s="226"/>
      <c r="B941" s="226"/>
      <c r="C941" s="227"/>
      <c r="D941" s="227"/>
      <c r="E941" s="226"/>
      <c r="F941" s="226"/>
      <c r="G941" s="227"/>
      <c r="H941" s="227"/>
      <c r="I941" s="227"/>
      <c r="J941" s="227"/>
      <c r="K941" s="228"/>
      <c r="L941" s="229"/>
      <c r="M941" s="228"/>
      <c r="N941" s="227"/>
      <c r="O941" s="226"/>
      <c r="P941" s="226"/>
      <c r="Q941" s="228"/>
      <c r="R941" s="228"/>
    </row>
    <row r="942" ht="13.5" customHeight="1" spans="1:18">
      <c r="A942" s="226"/>
      <c r="B942" s="226"/>
      <c r="C942" s="227"/>
      <c r="D942" s="227"/>
      <c r="E942" s="226"/>
      <c r="F942" s="226"/>
      <c r="G942" s="227"/>
      <c r="H942" s="227"/>
      <c r="I942" s="227"/>
      <c r="J942" s="227"/>
      <c r="K942" s="228"/>
      <c r="L942" s="229"/>
      <c r="M942" s="228"/>
      <c r="N942" s="227"/>
      <c r="O942" s="226"/>
      <c r="P942" s="226"/>
      <c r="Q942" s="228"/>
      <c r="R942" s="228"/>
    </row>
    <row r="943" ht="13.5" customHeight="1" spans="1:18">
      <c r="A943" s="226"/>
      <c r="B943" s="226"/>
      <c r="C943" s="227"/>
      <c r="D943" s="227"/>
      <c r="E943" s="226"/>
      <c r="F943" s="226"/>
      <c r="G943" s="227"/>
      <c r="H943" s="227"/>
      <c r="I943" s="227"/>
      <c r="J943" s="227"/>
      <c r="K943" s="228"/>
      <c r="L943" s="229"/>
      <c r="M943" s="228"/>
      <c r="N943" s="227"/>
      <c r="O943" s="226"/>
      <c r="P943" s="226"/>
      <c r="Q943" s="228"/>
      <c r="R943" s="228"/>
    </row>
    <row r="944" ht="13.5" customHeight="1" spans="1:18">
      <c r="A944" s="226"/>
      <c r="B944" s="226"/>
      <c r="C944" s="227"/>
      <c r="D944" s="227"/>
      <c r="E944" s="226"/>
      <c r="F944" s="226"/>
      <c r="G944" s="227"/>
      <c r="H944" s="227"/>
      <c r="I944" s="227"/>
      <c r="J944" s="227"/>
      <c r="K944" s="228"/>
      <c r="L944" s="229"/>
      <c r="M944" s="228"/>
      <c r="N944" s="227"/>
      <c r="O944" s="226"/>
      <c r="P944" s="226"/>
      <c r="Q944" s="228"/>
      <c r="R944" s="228"/>
    </row>
    <row r="945" ht="13.5" customHeight="1" spans="1:18">
      <c r="A945" s="226"/>
      <c r="B945" s="226"/>
      <c r="C945" s="227"/>
      <c r="D945" s="227"/>
      <c r="E945" s="226"/>
      <c r="F945" s="226"/>
      <c r="G945" s="227"/>
      <c r="H945" s="227"/>
      <c r="I945" s="227"/>
      <c r="J945" s="227"/>
      <c r="K945" s="228"/>
      <c r="L945" s="229"/>
      <c r="M945" s="228"/>
      <c r="N945" s="227"/>
      <c r="O945" s="226"/>
      <c r="P945" s="226"/>
      <c r="Q945" s="228"/>
      <c r="R945" s="228"/>
    </row>
    <row r="946" ht="13.5" customHeight="1" spans="1:18">
      <c r="A946" s="226"/>
      <c r="B946" s="226"/>
      <c r="C946" s="227"/>
      <c r="D946" s="227"/>
      <c r="E946" s="226"/>
      <c r="F946" s="226"/>
      <c r="G946" s="227"/>
      <c r="H946" s="227"/>
      <c r="I946" s="227"/>
      <c r="J946" s="227"/>
      <c r="K946" s="228"/>
      <c r="L946" s="229"/>
      <c r="M946" s="228"/>
      <c r="N946" s="227"/>
      <c r="O946" s="226"/>
      <c r="P946" s="226"/>
      <c r="Q946" s="228"/>
      <c r="R946" s="228"/>
    </row>
    <row r="947" ht="13.5" customHeight="1" spans="1:18">
      <c r="A947" s="226"/>
      <c r="B947" s="226"/>
      <c r="C947" s="227"/>
      <c r="D947" s="227"/>
      <c r="E947" s="226"/>
      <c r="F947" s="226"/>
      <c r="G947" s="227"/>
      <c r="H947" s="227"/>
      <c r="I947" s="227"/>
      <c r="J947" s="227"/>
      <c r="K947" s="228"/>
      <c r="L947" s="229"/>
      <c r="M947" s="228"/>
      <c r="N947" s="227"/>
      <c r="O947" s="226"/>
      <c r="P947" s="226"/>
      <c r="Q947" s="228"/>
      <c r="R947" s="228"/>
    </row>
    <row r="948" ht="13.5" customHeight="1" spans="1:18">
      <c r="A948" s="226"/>
      <c r="B948" s="226"/>
      <c r="C948" s="227"/>
      <c r="D948" s="227"/>
      <c r="E948" s="226"/>
      <c r="F948" s="226"/>
      <c r="G948" s="227"/>
      <c r="H948" s="227"/>
      <c r="I948" s="227"/>
      <c r="J948" s="227"/>
      <c r="K948" s="228"/>
      <c r="L948" s="229"/>
      <c r="M948" s="228"/>
      <c r="N948" s="227"/>
      <c r="O948" s="226"/>
      <c r="P948" s="226"/>
      <c r="Q948" s="228"/>
      <c r="R948" s="228"/>
    </row>
    <row r="949" ht="13.5" customHeight="1" spans="1:18">
      <c r="A949" s="226"/>
      <c r="B949" s="226"/>
      <c r="C949" s="227"/>
      <c r="D949" s="227"/>
      <c r="E949" s="226"/>
      <c r="F949" s="226"/>
      <c r="G949" s="227"/>
      <c r="H949" s="227"/>
      <c r="I949" s="227"/>
      <c r="J949" s="227"/>
      <c r="K949" s="228"/>
      <c r="L949" s="229"/>
      <c r="M949" s="228"/>
      <c r="N949" s="227"/>
      <c r="O949" s="226"/>
      <c r="P949" s="226"/>
      <c r="Q949" s="228"/>
      <c r="R949" s="228"/>
    </row>
    <row r="950" ht="13.5" customHeight="1" spans="1:18">
      <c r="A950" s="226"/>
      <c r="B950" s="226"/>
      <c r="C950" s="227"/>
      <c r="D950" s="227"/>
      <c r="E950" s="226"/>
      <c r="F950" s="226"/>
      <c r="G950" s="227"/>
      <c r="H950" s="227"/>
      <c r="I950" s="227"/>
      <c r="J950" s="227"/>
      <c r="K950" s="228"/>
      <c r="L950" s="229"/>
      <c r="M950" s="228"/>
      <c r="N950" s="227"/>
      <c r="O950" s="226"/>
      <c r="P950" s="226"/>
      <c r="Q950" s="228"/>
      <c r="R950" s="228"/>
    </row>
    <row r="951" ht="13.5" customHeight="1" spans="1:18">
      <c r="A951" s="226"/>
      <c r="B951" s="226"/>
      <c r="C951" s="227"/>
      <c r="D951" s="227"/>
      <c r="E951" s="226"/>
      <c r="F951" s="226"/>
      <c r="G951" s="227"/>
      <c r="H951" s="227"/>
      <c r="I951" s="227"/>
      <c r="J951" s="227"/>
      <c r="K951" s="228"/>
      <c r="L951" s="229"/>
      <c r="M951" s="228"/>
      <c r="N951" s="227"/>
      <c r="O951" s="226"/>
      <c r="P951" s="226"/>
      <c r="Q951" s="228"/>
      <c r="R951" s="228"/>
    </row>
    <row r="952" ht="13.5" customHeight="1" spans="1:18">
      <c r="A952" s="226"/>
      <c r="B952" s="226"/>
      <c r="C952" s="227"/>
      <c r="D952" s="227"/>
      <c r="E952" s="226"/>
      <c r="F952" s="226"/>
      <c r="G952" s="227"/>
      <c r="H952" s="227"/>
      <c r="I952" s="227"/>
      <c r="J952" s="227"/>
      <c r="K952" s="228"/>
      <c r="L952" s="229"/>
      <c r="M952" s="228"/>
      <c r="N952" s="227"/>
      <c r="O952" s="226"/>
      <c r="P952" s="226"/>
      <c r="Q952" s="228"/>
      <c r="R952" s="228"/>
    </row>
    <row r="953" ht="13.5" customHeight="1" spans="1:18">
      <c r="A953" s="226"/>
      <c r="B953" s="226"/>
      <c r="C953" s="227"/>
      <c r="D953" s="227"/>
      <c r="E953" s="226"/>
      <c r="F953" s="226"/>
      <c r="G953" s="227"/>
      <c r="H953" s="227"/>
      <c r="I953" s="227"/>
      <c r="J953" s="227"/>
      <c r="K953" s="228"/>
      <c r="L953" s="229"/>
      <c r="M953" s="228"/>
      <c r="N953" s="227"/>
      <c r="O953" s="226"/>
      <c r="P953" s="226"/>
      <c r="Q953" s="228"/>
      <c r="R953" s="228"/>
    </row>
    <row r="954" ht="13.5" customHeight="1" spans="1:18">
      <c r="A954" s="226"/>
      <c r="B954" s="226"/>
      <c r="C954" s="227"/>
      <c r="D954" s="227"/>
      <c r="E954" s="226"/>
      <c r="F954" s="226"/>
      <c r="G954" s="227"/>
      <c r="H954" s="227"/>
      <c r="I954" s="227"/>
      <c r="J954" s="227"/>
      <c r="K954" s="228"/>
      <c r="L954" s="229"/>
      <c r="M954" s="228"/>
      <c r="N954" s="227"/>
      <c r="O954" s="226"/>
      <c r="P954" s="226"/>
      <c r="Q954" s="228"/>
      <c r="R954" s="228"/>
    </row>
    <row r="955" ht="13.5" customHeight="1" spans="1:18">
      <c r="A955" s="226"/>
      <c r="B955" s="226"/>
      <c r="C955" s="227"/>
      <c r="D955" s="227"/>
      <c r="E955" s="226"/>
      <c r="F955" s="226"/>
      <c r="G955" s="227"/>
      <c r="H955" s="227"/>
      <c r="I955" s="227"/>
      <c r="J955" s="227"/>
      <c r="K955" s="228"/>
      <c r="L955" s="229"/>
      <c r="M955" s="228"/>
      <c r="N955" s="227"/>
      <c r="O955" s="226"/>
      <c r="P955" s="226"/>
      <c r="Q955" s="228"/>
      <c r="R955" s="228"/>
    </row>
    <row r="956" ht="13.5" customHeight="1" spans="1:18">
      <c r="A956" s="226"/>
      <c r="B956" s="226"/>
      <c r="C956" s="227"/>
      <c r="D956" s="227"/>
      <c r="E956" s="226"/>
      <c r="F956" s="226"/>
      <c r="G956" s="227"/>
      <c r="H956" s="227"/>
      <c r="I956" s="227"/>
      <c r="J956" s="227"/>
      <c r="K956" s="228"/>
      <c r="L956" s="229"/>
      <c r="M956" s="228"/>
      <c r="N956" s="227"/>
      <c r="O956" s="226"/>
      <c r="P956" s="226"/>
      <c r="Q956" s="228"/>
      <c r="R956" s="228"/>
    </row>
    <row r="957" ht="13.5" customHeight="1" spans="1:18">
      <c r="A957" s="226"/>
      <c r="B957" s="226"/>
      <c r="C957" s="227"/>
      <c r="D957" s="227"/>
      <c r="E957" s="226"/>
      <c r="F957" s="226"/>
      <c r="G957" s="227"/>
      <c r="H957" s="227"/>
      <c r="I957" s="227"/>
      <c r="J957" s="227"/>
      <c r="K957" s="228"/>
      <c r="L957" s="229"/>
      <c r="M957" s="228"/>
      <c r="N957" s="227"/>
      <c r="O957" s="226"/>
      <c r="P957" s="226"/>
      <c r="Q957" s="228"/>
      <c r="R957" s="228"/>
    </row>
    <row r="958" ht="13.5" customHeight="1" spans="1:18">
      <c r="A958" s="226"/>
      <c r="B958" s="226"/>
      <c r="C958" s="227"/>
      <c r="D958" s="227"/>
      <c r="E958" s="226"/>
      <c r="F958" s="226"/>
      <c r="G958" s="227"/>
      <c r="H958" s="227"/>
      <c r="I958" s="227"/>
      <c r="J958" s="227"/>
      <c r="K958" s="228"/>
      <c r="L958" s="229"/>
      <c r="M958" s="228"/>
      <c r="N958" s="227"/>
      <c r="O958" s="226"/>
      <c r="P958" s="226"/>
      <c r="Q958" s="228"/>
      <c r="R958" s="228"/>
    </row>
    <row r="959" ht="13.5" customHeight="1" spans="1:18">
      <c r="A959" s="226"/>
      <c r="B959" s="226"/>
      <c r="C959" s="227"/>
      <c r="D959" s="227"/>
      <c r="E959" s="226"/>
      <c r="F959" s="226"/>
      <c r="G959" s="227"/>
      <c r="H959" s="227"/>
      <c r="I959" s="227"/>
      <c r="J959" s="227"/>
      <c r="K959" s="228"/>
      <c r="L959" s="229"/>
      <c r="M959" s="228"/>
      <c r="N959" s="227"/>
      <c r="O959" s="226"/>
      <c r="P959" s="226"/>
      <c r="Q959" s="228"/>
      <c r="R959" s="228"/>
    </row>
    <row r="960" ht="13.5" customHeight="1" spans="1:18">
      <c r="A960" s="226"/>
      <c r="B960" s="226"/>
      <c r="C960" s="227"/>
      <c r="D960" s="227"/>
      <c r="E960" s="226"/>
      <c r="F960" s="226"/>
      <c r="G960" s="227"/>
      <c r="H960" s="227"/>
      <c r="I960" s="227"/>
      <c r="J960" s="227"/>
      <c r="K960" s="228"/>
      <c r="L960" s="229"/>
      <c r="M960" s="228"/>
      <c r="N960" s="227"/>
      <c r="O960" s="226"/>
      <c r="P960" s="226"/>
      <c r="Q960" s="228"/>
      <c r="R960" s="228"/>
    </row>
    <row r="961" ht="13.5" customHeight="1" spans="1:18">
      <c r="A961" s="226"/>
      <c r="B961" s="226"/>
      <c r="C961" s="227"/>
      <c r="D961" s="227"/>
      <c r="E961" s="226"/>
      <c r="F961" s="226"/>
      <c r="G961" s="227"/>
      <c r="H961" s="227"/>
      <c r="I961" s="227"/>
      <c r="J961" s="227"/>
      <c r="K961" s="228"/>
      <c r="L961" s="229"/>
      <c r="M961" s="228"/>
      <c r="N961" s="227"/>
      <c r="O961" s="226"/>
      <c r="P961" s="226"/>
      <c r="Q961" s="228"/>
      <c r="R961" s="228"/>
    </row>
    <row r="962" ht="13.5" customHeight="1" spans="1:18">
      <c r="A962" s="226"/>
      <c r="B962" s="226"/>
      <c r="C962" s="227"/>
      <c r="D962" s="227"/>
      <c r="E962" s="226"/>
      <c r="F962" s="226"/>
      <c r="G962" s="227"/>
      <c r="H962" s="227"/>
      <c r="I962" s="227"/>
      <c r="J962" s="227"/>
      <c r="K962" s="228"/>
      <c r="L962" s="229"/>
      <c r="M962" s="228"/>
      <c r="N962" s="227"/>
      <c r="O962" s="226"/>
      <c r="P962" s="226"/>
      <c r="Q962" s="228"/>
      <c r="R962" s="228"/>
    </row>
    <row r="963" ht="13.5" customHeight="1" spans="1:18">
      <c r="A963" s="226"/>
      <c r="B963" s="226"/>
      <c r="C963" s="227"/>
      <c r="D963" s="227"/>
      <c r="E963" s="226"/>
      <c r="F963" s="226"/>
      <c r="G963" s="227"/>
      <c r="H963" s="227"/>
      <c r="I963" s="227"/>
      <c r="J963" s="227"/>
      <c r="K963" s="228"/>
      <c r="L963" s="229"/>
      <c r="M963" s="228"/>
      <c r="N963" s="227"/>
      <c r="O963" s="226"/>
      <c r="P963" s="226"/>
      <c r="Q963" s="228"/>
      <c r="R963" s="228"/>
    </row>
    <row r="964" ht="13.5" customHeight="1" spans="1:18">
      <c r="A964" s="226"/>
      <c r="B964" s="226"/>
      <c r="C964" s="227"/>
      <c r="D964" s="227"/>
      <c r="E964" s="226"/>
      <c r="F964" s="226"/>
      <c r="G964" s="227"/>
      <c r="H964" s="227"/>
      <c r="I964" s="227"/>
      <c r="J964" s="227"/>
      <c r="K964" s="228"/>
      <c r="L964" s="229"/>
      <c r="M964" s="228"/>
      <c r="N964" s="227"/>
      <c r="O964" s="226"/>
      <c r="P964" s="226"/>
      <c r="Q964" s="228"/>
      <c r="R964" s="228"/>
    </row>
    <row r="965" ht="13.5" customHeight="1" spans="1:18">
      <c r="A965" s="226"/>
      <c r="B965" s="226"/>
      <c r="C965" s="227"/>
      <c r="D965" s="227"/>
      <c r="E965" s="226"/>
      <c r="F965" s="226"/>
      <c r="G965" s="227"/>
      <c r="H965" s="227"/>
      <c r="I965" s="227"/>
      <c r="J965" s="227"/>
      <c r="K965" s="228"/>
      <c r="L965" s="229"/>
      <c r="M965" s="228"/>
      <c r="N965" s="227"/>
      <c r="O965" s="226"/>
      <c r="P965" s="226"/>
      <c r="Q965" s="228"/>
      <c r="R965" s="228"/>
    </row>
    <row r="966" ht="13.5" customHeight="1" spans="1:18">
      <c r="A966" s="226"/>
      <c r="B966" s="226"/>
      <c r="C966" s="227"/>
      <c r="D966" s="227"/>
      <c r="E966" s="226"/>
      <c r="F966" s="226"/>
      <c r="G966" s="227"/>
      <c r="H966" s="227"/>
      <c r="I966" s="227"/>
      <c r="J966" s="227"/>
      <c r="K966" s="228"/>
      <c r="L966" s="229"/>
      <c r="M966" s="228"/>
      <c r="N966" s="227"/>
      <c r="O966" s="226"/>
      <c r="P966" s="226"/>
      <c r="Q966" s="228"/>
      <c r="R966" s="228"/>
    </row>
    <row r="967" ht="13.5" customHeight="1" spans="1:18">
      <c r="A967" s="226"/>
      <c r="B967" s="226"/>
      <c r="C967" s="227"/>
      <c r="D967" s="227"/>
      <c r="E967" s="226"/>
      <c r="F967" s="226"/>
      <c r="G967" s="227"/>
      <c r="H967" s="227"/>
      <c r="I967" s="227"/>
      <c r="J967" s="227"/>
      <c r="K967" s="228"/>
      <c r="L967" s="229"/>
      <c r="M967" s="228"/>
      <c r="N967" s="227"/>
      <c r="O967" s="226"/>
      <c r="P967" s="226"/>
      <c r="Q967" s="228"/>
      <c r="R967" s="228"/>
    </row>
    <row r="968" ht="13.5" customHeight="1" spans="1:18">
      <c r="A968" s="226"/>
      <c r="B968" s="226"/>
      <c r="C968" s="227"/>
      <c r="D968" s="227"/>
      <c r="E968" s="226"/>
      <c r="F968" s="226"/>
      <c r="G968" s="227"/>
      <c r="H968" s="227"/>
      <c r="I968" s="227"/>
      <c r="J968" s="227"/>
      <c r="K968" s="228"/>
      <c r="L968" s="229"/>
      <c r="M968" s="228"/>
      <c r="N968" s="227"/>
      <c r="O968" s="226"/>
      <c r="P968" s="226"/>
      <c r="Q968" s="228"/>
      <c r="R968" s="228"/>
    </row>
    <row r="969" ht="13.5" customHeight="1" spans="1:18">
      <c r="A969" s="226"/>
      <c r="B969" s="226"/>
      <c r="C969" s="227"/>
      <c r="D969" s="227"/>
      <c r="E969" s="226"/>
      <c r="F969" s="226"/>
      <c r="G969" s="227"/>
      <c r="H969" s="227"/>
      <c r="I969" s="227"/>
      <c r="J969" s="227"/>
      <c r="K969" s="228"/>
      <c r="L969" s="229"/>
      <c r="M969" s="228"/>
      <c r="N969" s="227"/>
      <c r="O969" s="226"/>
      <c r="P969" s="226"/>
      <c r="Q969" s="228"/>
      <c r="R969" s="228"/>
    </row>
    <row r="970" ht="13.5" customHeight="1" spans="1:18">
      <c r="A970" s="226"/>
      <c r="B970" s="226"/>
      <c r="C970" s="227"/>
      <c r="D970" s="227"/>
      <c r="E970" s="226"/>
      <c r="F970" s="226"/>
      <c r="G970" s="227"/>
      <c r="H970" s="227"/>
      <c r="I970" s="227"/>
      <c r="J970" s="227"/>
      <c r="K970" s="228"/>
      <c r="L970" s="229"/>
      <c r="M970" s="228"/>
      <c r="N970" s="227"/>
      <c r="O970" s="226"/>
      <c r="P970" s="226"/>
      <c r="Q970" s="228"/>
      <c r="R970" s="228"/>
    </row>
    <row r="971" ht="13.5" customHeight="1" spans="1:18">
      <c r="A971" s="226"/>
      <c r="B971" s="226"/>
      <c r="C971" s="227"/>
      <c r="D971" s="227"/>
      <c r="E971" s="226"/>
      <c r="F971" s="226"/>
      <c r="G971" s="227"/>
      <c r="H971" s="227"/>
      <c r="I971" s="227"/>
      <c r="J971" s="227"/>
      <c r="K971" s="228"/>
      <c r="L971" s="229"/>
      <c r="M971" s="228"/>
      <c r="N971" s="227"/>
      <c r="O971" s="226"/>
      <c r="P971" s="226"/>
      <c r="Q971" s="228"/>
      <c r="R971" s="228"/>
    </row>
    <row r="972" ht="13.5" customHeight="1" spans="1:18">
      <c r="A972" s="226"/>
      <c r="B972" s="226"/>
      <c r="C972" s="227"/>
      <c r="D972" s="227"/>
      <c r="E972" s="226"/>
      <c r="F972" s="226"/>
      <c r="G972" s="227"/>
      <c r="H972" s="227"/>
      <c r="I972" s="227"/>
      <c r="J972" s="227"/>
      <c r="K972" s="228"/>
      <c r="L972" s="229"/>
      <c r="M972" s="228"/>
      <c r="N972" s="227"/>
      <c r="O972" s="226"/>
      <c r="P972" s="226"/>
      <c r="Q972" s="228"/>
      <c r="R972" s="228"/>
    </row>
    <row r="973" ht="13.5" customHeight="1" spans="1:18">
      <c r="A973" s="226"/>
      <c r="B973" s="226"/>
      <c r="C973" s="227"/>
      <c r="D973" s="227"/>
      <c r="E973" s="226"/>
      <c r="F973" s="226"/>
      <c r="G973" s="227"/>
      <c r="H973" s="227"/>
      <c r="I973" s="227"/>
      <c r="J973" s="227"/>
      <c r="K973" s="228"/>
      <c r="L973" s="229"/>
      <c r="M973" s="228"/>
      <c r="N973" s="227"/>
      <c r="O973" s="226"/>
      <c r="P973" s="226"/>
      <c r="Q973" s="228"/>
      <c r="R973" s="228"/>
    </row>
    <row r="974" ht="13.5" customHeight="1" spans="1:18">
      <c r="A974" s="226"/>
      <c r="B974" s="226"/>
      <c r="C974" s="227"/>
      <c r="D974" s="227"/>
      <c r="E974" s="226"/>
      <c r="F974" s="226"/>
      <c r="G974" s="227"/>
      <c r="H974" s="227"/>
      <c r="I974" s="227"/>
      <c r="J974" s="227"/>
      <c r="K974" s="228"/>
      <c r="L974" s="229"/>
      <c r="M974" s="228"/>
      <c r="N974" s="227"/>
      <c r="O974" s="226"/>
      <c r="P974" s="226"/>
      <c r="Q974" s="228"/>
      <c r="R974" s="228"/>
    </row>
    <row r="975" ht="13.5" customHeight="1" spans="1:18">
      <c r="A975" s="226"/>
      <c r="B975" s="226"/>
      <c r="C975" s="227"/>
      <c r="D975" s="227"/>
      <c r="E975" s="226"/>
      <c r="F975" s="226"/>
      <c r="G975" s="227"/>
      <c r="H975" s="227"/>
      <c r="I975" s="227"/>
      <c r="J975" s="227"/>
      <c r="K975" s="228"/>
      <c r="L975" s="229"/>
      <c r="M975" s="228"/>
      <c r="N975" s="227"/>
      <c r="O975" s="226"/>
      <c r="P975" s="226"/>
      <c r="Q975" s="228"/>
      <c r="R975" s="228"/>
    </row>
    <row r="976" ht="13.5" customHeight="1" spans="1:18">
      <c r="A976" s="226"/>
      <c r="B976" s="226"/>
      <c r="C976" s="227"/>
      <c r="D976" s="227"/>
      <c r="E976" s="226"/>
      <c r="F976" s="226"/>
      <c r="G976" s="227"/>
      <c r="H976" s="227"/>
      <c r="I976" s="227"/>
      <c r="J976" s="227"/>
      <c r="K976" s="228"/>
      <c r="L976" s="229"/>
      <c r="M976" s="228"/>
      <c r="N976" s="227"/>
      <c r="O976" s="226"/>
      <c r="P976" s="226"/>
      <c r="Q976" s="228"/>
      <c r="R976" s="228"/>
    </row>
    <row r="977" ht="13.5" customHeight="1" spans="1:18">
      <c r="A977" s="226"/>
      <c r="B977" s="226"/>
      <c r="C977" s="227"/>
      <c r="D977" s="227"/>
      <c r="E977" s="226"/>
      <c r="F977" s="226"/>
      <c r="G977" s="227"/>
      <c r="H977" s="227"/>
      <c r="I977" s="227"/>
      <c r="J977" s="227"/>
      <c r="K977" s="228"/>
      <c r="L977" s="229"/>
      <c r="M977" s="228"/>
      <c r="N977" s="227"/>
      <c r="O977" s="226"/>
      <c r="P977" s="226"/>
      <c r="Q977" s="228"/>
      <c r="R977" s="228"/>
    </row>
    <row r="978" ht="13.5" customHeight="1" spans="1:18">
      <c r="A978" s="226"/>
      <c r="B978" s="226"/>
      <c r="C978" s="227"/>
      <c r="D978" s="227"/>
      <c r="E978" s="226"/>
      <c r="F978" s="226"/>
      <c r="G978" s="227"/>
      <c r="H978" s="227"/>
      <c r="I978" s="227"/>
      <c r="J978" s="227"/>
      <c r="K978" s="228"/>
      <c r="L978" s="229"/>
      <c r="M978" s="228"/>
      <c r="N978" s="227"/>
      <c r="O978" s="226"/>
      <c r="P978" s="226"/>
      <c r="Q978" s="228"/>
      <c r="R978" s="228"/>
    </row>
    <row r="979" ht="13.5" customHeight="1" spans="1:18">
      <c r="A979" s="226"/>
      <c r="B979" s="226"/>
      <c r="C979" s="227"/>
      <c r="D979" s="227"/>
      <c r="E979" s="226"/>
      <c r="F979" s="226"/>
      <c r="G979" s="227"/>
      <c r="H979" s="227"/>
      <c r="I979" s="227"/>
      <c r="J979" s="227"/>
      <c r="K979" s="228"/>
      <c r="L979" s="229"/>
      <c r="M979" s="228"/>
      <c r="N979" s="227"/>
      <c r="O979" s="226"/>
      <c r="P979" s="226"/>
      <c r="Q979" s="228"/>
      <c r="R979" s="228"/>
    </row>
    <row r="980" ht="13.5" customHeight="1" spans="1:18">
      <c r="A980" s="226"/>
      <c r="B980" s="226"/>
      <c r="C980" s="227"/>
      <c r="D980" s="227"/>
      <c r="E980" s="226"/>
      <c r="F980" s="226"/>
      <c r="G980" s="227"/>
      <c r="H980" s="227"/>
      <c r="I980" s="227"/>
      <c r="J980" s="227"/>
      <c r="K980" s="228"/>
      <c r="L980" s="229"/>
      <c r="M980" s="228"/>
      <c r="N980" s="227"/>
      <c r="O980" s="226"/>
      <c r="P980" s="226"/>
      <c r="Q980" s="228"/>
      <c r="R980" s="228"/>
    </row>
    <row r="981" ht="13.5" customHeight="1" spans="1:18">
      <c r="A981" s="226"/>
      <c r="B981" s="226"/>
      <c r="C981" s="227"/>
      <c r="D981" s="227"/>
      <c r="E981" s="226"/>
      <c r="F981" s="226"/>
      <c r="G981" s="227"/>
      <c r="H981" s="227"/>
      <c r="I981" s="227"/>
      <c r="J981" s="227"/>
      <c r="K981" s="228"/>
      <c r="L981" s="229"/>
      <c r="M981" s="228"/>
      <c r="N981" s="227"/>
      <c r="O981" s="226"/>
      <c r="P981" s="226"/>
      <c r="Q981" s="228"/>
      <c r="R981" s="228"/>
    </row>
    <row r="982" ht="13.5" customHeight="1" spans="1:18">
      <c r="A982" s="226"/>
      <c r="B982" s="226"/>
      <c r="C982" s="227"/>
      <c r="D982" s="227"/>
      <c r="E982" s="226"/>
      <c r="F982" s="226"/>
      <c r="G982" s="227"/>
      <c r="H982" s="227"/>
      <c r="I982" s="227"/>
      <c r="J982" s="227"/>
      <c r="K982" s="228"/>
      <c r="L982" s="229"/>
      <c r="M982" s="228"/>
      <c r="N982" s="227"/>
      <c r="O982" s="226"/>
      <c r="P982" s="226"/>
      <c r="Q982" s="228"/>
      <c r="R982" s="228"/>
    </row>
    <row r="983" ht="13.5" customHeight="1" spans="1:18">
      <c r="A983" s="226"/>
      <c r="B983" s="226"/>
      <c r="C983" s="227"/>
      <c r="D983" s="227"/>
      <c r="E983" s="226"/>
      <c r="F983" s="226"/>
      <c r="G983" s="227"/>
      <c r="H983" s="227"/>
      <c r="I983" s="227"/>
      <c r="J983" s="227"/>
      <c r="K983" s="228"/>
      <c r="L983" s="229"/>
      <c r="M983" s="228"/>
      <c r="N983" s="227"/>
      <c r="O983" s="226"/>
      <c r="P983" s="226"/>
      <c r="Q983" s="228"/>
      <c r="R983" s="228"/>
    </row>
    <row r="984" ht="13.5" customHeight="1" spans="1:18">
      <c r="A984" s="226"/>
      <c r="B984" s="226"/>
      <c r="C984" s="227"/>
      <c r="D984" s="227"/>
      <c r="E984" s="226"/>
      <c r="F984" s="226"/>
      <c r="G984" s="227"/>
      <c r="H984" s="227"/>
      <c r="I984" s="227"/>
      <c r="J984" s="227"/>
      <c r="K984" s="228"/>
      <c r="L984" s="229"/>
      <c r="M984" s="228"/>
      <c r="N984" s="227"/>
      <c r="O984" s="226"/>
      <c r="P984" s="226"/>
      <c r="Q984" s="228"/>
      <c r="R984" s="228"/>
    </row>
    <row r="985" ht="13.5" customHeight="1" spans="1:18">
      <c r="A985" s="226"/>
      <c r="B985" s="226"/>
      <c r="C985" s="227"/>
      <c r="D985" s="227"/>
      <c r="E985" s="226"/>
      <c r="F985" s="226"/>
      <c r="G985" s="227"/>
      <c r="H985" s="227"/>
      <c r="I985" s="227"/>
      <c r="J985" s="227"/>
      <c r="K985" s="228"/>
      <c r="L985" s="229"/>
      <c r="M985" s="228"/>
      <c r="N985" s="227"/>
      <c r="O985" s="226"/>
      <c r="P985" s="226"/>
      <c r="Q985" s="228"/>
      <c r="R985" s="228"/>
    </row>
    <row r="986" ht="13.5" customHeight="1" spans="1:18">
      <c r="A986" s="226"/>
      <c r="B986" s="226"/>
      <c r="C986" s="227"/>
      <c r="D986" s="227"/>
      <c r="E986" s="226"/>
      <c r="F986" s="226"/>
      <c r="G986" s="227"/>
      <c r="H986" s="227"/>
      <c r="I986" s="227"/>
      <c r="J986" s="227"/>
      <c r="K986" s="228"/>
      <c r="L986" s="229"/>
      <c r="M986" s="228"/>
      <c r="N986" s="227"/>
      <c r="O986" s="226"/>
      <c r="P986" s="226"/>
      <c r="Q986" s="228"/>
      <c r="R986" s="228"/>
    </row>
    <row r="987" ht="13.5" customHeight="1" spans="1:18">
      <c r="A987" s="226"/>
      <c r="B987" s="226"/>
      <c r="C987" s="227"/>
      <c r="D987" s="227"/>
      <c r="E987" s="226"/>
      <c r="F987" s="226"/>
      <c r="G987" s="227"/>
      <c r="H987" s="227"/>
      <c r="I987" s="227"/>
      <c r="J987" s="227"/>
      <c r="K987" s="228"/>
      <c r="L987" s="229"/>
      <c r="M987" s="228"/>
      <c r="N987" s="227"/>
      <c r="O987" s="226"/>
      <c r="P987" s="226"/>
      <c r="Q987" s="228"/>
      <c r="R987" s="228"/>
    </row>
    <row r="988" ht="13.5" customHeight="1" spans="1:18">
      <c r="A988" s="226"/>
      <c r="B988" s="226"/>
      <c r="C988" s="227"/>
      <c r="D988" s="227"/>
      <c r="E988" s="226"/>
      <c r="F988" s="226"/>
      <c r="G988" s="227"/>
      <c r="H988" s="227"/>
      <c r="I988" s="227"/>
      <c r="J988" s="227"/>
      <c r="K988" s="228"/>
      <c r="L988" s="229"/>
      <c r="M988" s="228"/>
      <c r="N988" s="227"/>
      <c r="O988" s="226"/>
      <c r="P988" s="226"/>
      <c r="Q988" s="228"/>
      <c r="R988" s="228"/>
    </row>
    <row r="989" ht="13.5" customHeight="1" spans="1:18">
      <c r="A989" s="226"/>
      <c r="B989" s="226"/>
      <c r="C989" s="227"/>
      <c r="D989" s="227"/>
      <c r="E989" s="226"/>
      <c r="F989" s="226"/>
      <c r="G989" s="227"/>
      <c r="H989" s="227"/>
      <c r="I989" s="227"/>
      <c r="J989" s="227"/>
      <c r="K989" s="228"/>
      <c r="L989" s="229"/>
      <c r="M989" s="228"/>
      <c r="N989" s="227"/>
      <c r="O989" s="226"/>
      <c r="P989" s="226"/>
      <c r="Q989" s="228"/>
      <c r="R989" s="228"/>
    </row>
    <row r="990" ht="13.5" customHeight="1" spans="1:18">
      <c r="A990" s="226"/>
      <c r="B990" s="226"/>
      <c r="C990" s="227"/>
      <c r="D990" s="227"/>
      <c r="E990" s="226"/>
      <c r="F990" s="226"/>
      <c r="G990" s="227"/>
      <c r="H990" s="227"/>
      <c r="I990" s="227"/>
      <c r="J990" s="227"/>
      <c r="K990" s="228"/>
      <c r="L990" s="229"/>
      <c r="M990" s="228"/>
      <c r="N990" s="227"/>
      <c r="O990" s="226"/>
      <c r="P990" s="226"/>
      <c r="Q990" s="228"/>
      <c r="R990" s="228"/>
    </row>
    <row r="991" ht="13.5" customHeight="1" spans="1:18">
      <c r="A991" s="226"/>
      <c r="B991" s="226"/>
      <c r="C991" s="227"/>
      <c r="D991" s="227"/>
      <c r="E991" s="226"/>
      <c r="F991" s="226"/>
      <c r="G991" s="227"/>
      <c r="H991" s="227"/>
      <c r="I991" s="227"/>
      <c r="J991" s="227"/>
      <c r="K991" s="228"/>
      <c r="L991" s="229"/>
      <c r="M991" s="228"/>
      <c r="N991" s="227"/>
      <c r="O991" s="226"/>
      <c r="P991" s="226"/>
      <c r="Q991" s="228"/>
      <c r="R991" s="228"/>
    </row>
    <row r="992" ht="13.5" customHeight="1" spans="1:18">
      <c r="A992" s="226"/>
      <c r="B992" s="226"/>
      <c r="C992" s="227"/>
      <c r="D992" s="227"/>
      <c r="E992" s="226"/>
      <c r="F992" s="226"/>
      <c r="G992" s="227"/>
      <c r="H992" s="227"/>
      <c r="I992" s="227"/>
      <c r="J992" s="227"/>
      <c r="K992" s="228"/>
      <c r="L992" s="229"/>
      <c r="M992" s="228"/>
      <c r="N992" s="227"/>
      <c r="O992" s="226"/>
      <c r="P992" s="226"/>
      <c r="Q992" s="228"/>
      <c r="R992" s="228"/>
    </row>
    <row r="993" ht="13.5" customHeight="1" spans="1:18">
      <c r="A993" s="226"/>
      <c r="B993" s="226"/>
      <c r="C993" s="227"/>
      <c r="D993" s="227"/>
      <c r="E993" s="226"/>
      <c r="F993" s="226"/>
      <c r="G993" s="227"/>
      <c r="H993" s="227"/>
      <c r="I993" s="227"/>
      <c r="J993" s="227"/>
      <c r="K993" s="228"/>
      <c r="L993" s="229"/>
      <c r="M993" s="228"/>
      <c r="N993" s="227"/>
      <c r="O993" s="226"/>
      <c r="P993" s="226"/>
      <c r="Q993" s="228"/>
      <c r="R993" s="228"/>
    </row>
    <row r="994" ht="13.5" customHeight="1" spans="1:18">
      <c r="A994" s="226"/>
      <c r="B994" s="226"/>
      <c r="C994" s="227"/>
      <c r="D994" s="227"/>
      <c r="E994" s="226"/>
      <c r="F994" s="226"/>
      <c r="G994" s="227"/>
      <c r="H994" s="227"/>
      <c r="I994" s="227"/>
      <c r="J994" s="227"/>
      <c r="K994" s="228"/>
      <c r="L994" s="229"/>
      <c r="M994" s="228"/>
      <c r="N994" s="227"/>
      <c r="O994" s="226"/>
      <c r="P994" s="226"/>
      <c r="Q994" s="228"/>
      <c r="R994" s="228"/>
    </row>
    <row r="995" ht="13.5" customHeight="1" spans="1:18">
      <c r="A995" s="226"/>
      <c r="B995" s="226"/>
      <c r="C995" s="227"/>
      <c r="D995" s="227"/>
      <c r="E995" s="226"/>
      <c r="F995" s="226"/>
      <c r="G995" s="227"/>
      <c r="H995" s="227"/>
      <c r="I995" s="227"/>
      <c r="J995" s="227"/>
      <c r="K995" s="228"/>
      <c r="L995" s="229"/>
      <c r="M995" s="228"/>
      <c r="N995" s="227"/>
      <c r="O995" s="226"/>
      <c r="P995" s="226"/>
      <c r="Q995" s="228"/>
      <c r="R995" s="228"/>
    </row>
    <row r="996" ht="13.5" customHeight="1" spans="1:18">
      <c r="A996" s="226"/>
      <c r="B996" s="226"/>
      <c r="C996" s="227"/>
      <c r="D996" s="227"/>
      <c r="E996" s="226"/>
      <c r="F996" s="226"/>
      <c r="G996" s="227"/>
      <c r="H996" s="227"/>
      <c r="I996" s="227"/>
      <c r="J996" s="227"/>
      <c r="K996" s="228"/>
      <c r="L996" s="229"/>
      <c r="M996" s="228"/>
      <c r="N996" s="227"/>
      <c r="O996" s="226"/>
      <c r="P996" s="226"/>
      <c r="Q996" s="228"/>
      <c r="R996" s="228"/>
    </row>
    <row r="997" ht="13.5" customHeight="1" spans="1:18">
      <c r="A997" s="226"/>
      <c r="B997" s="226"/>
      <c r="C997" s="227"/>
      <c r="D997" s="227"/>
      <c r="E997" s="226"/>
      <c r="F997" s="226"/>
      <c r="G997" s="227"/>
      <c r="H997" s="227"/>
      <c r="I997" s="227"/>
      <c r="J997" s="227"/>
      <c r="K997" s="228"/>
      <c r="L997" s="229"/>
      <c r="M997" s="228"/>
      <c r="N997" s="227"/>
      <c r="O997" s="226"/>
      <c r="P997" s="226"/>
      <c r="Q997" s="228"/>
      <c r="R997" s="228"/>
    </row>
    <row r="998" ht="13.5" customHeight="1" spans="1:18">
      <c r="A998" s="226"/>
      <c r="B998" s="226"/>
      <c r="C998" s="227"/>
      <c r="D998" s="227"/>
      <c r="E998" s="226"/>
      <c r="F998" s="226"/>
      <c r="G998" s="227"/>
      <c r="H998" s="227"/>
      <c r="I998" s="227"/>
      <c r="J998" s="227"/>
      <c r="K998" s="228"/>
      <c r="L998" s="229"/>
      <c r="M998" s="228"/>
      <c r="N998" s="227"/>
      <c r="O998" s="226"/>
      <c r="P998" s="226"/>
      <c r="Q998" s="228"/>
      <c r="R998" s="228"/>
    </row>
    <row r="999" ht="13.5" customHeight="1" spans="1:18">
      <c r="A999" s="226"/>
      <c r="B999" s="226"/>
      <c r="C999" s="227"/>
      <c r="D999" s="227"/>
      <c r="E999" s="226"/>
      <c r="F999" s="226"/>
      <c r="G999" s="227"/>
      <c r="H999" s="227"/>
      <c r="I999" s="227"/>
      <c r="J999" s="227"/>
      <c r="K999" s="228"/>
      <c r="L999" s="229"/>
      <c r="M999" s="228"/>
      <c r="N999" s="227"/>
      <c r="O999" s="226"/>
      <c r="P999" s="226"/>
      <c r="Q999" s="228"/>
      <c r="R999" s="228"/>
    </row>
    <row r="1000" ht="13.5" customHeight="1" spans="1:18">
      <c r="A1000" s="226"/>
      <c r="B1000" s="226"/>
      <c r="C1000" s="227"/>
      <c r="D1000" s="227"/>
      <c r="E1000" s="226"/>
      <c r="F1000" s="226"/>
      <c r="G1000" s="227"/>
      <c r="H1000" s="227"/>
      <c r="I1000" s="227"/>
      <c r="J1000" s="227"/>
      <c r="K1000" s="228"/>
      <c r="L1000" s="229"/>
      <c r="M1000" s="228"/>
      <c r="N1000" s="227"/>
      <c r="O1000" s="226"/>
      <c r="P1000" s="226"/>
      <c r="Q1000" s="228"/>
      <c r="R1000" s="228"/>
    </row>
    <row r="1001" ht="13.5" customHeight="1" spans="1:18">
      <c r="A1001" s="226"/>
      <c r="B1001" s="226"/>
      <c r="C1001" s="227"/>
      <c r="D1001" s="227"/>
      <c r="E1001" s="226"/>
      <c r="F1001" s="226"/>
      <c r="G1001" s="227"/>
      <c r="H1001" s="227"/>
      <c r="I1001" s="227"/>
      <c r="J1001" s="227"/>
      <c r="K1001" s="228"/>
      <c r="L1001" s="229"/>
      <c r="M1001" s="228"/>
      <c r="N1001" s="227"/>
      <c r="O1001" s="226"/>
      <c r="P1001" s="226"/>
      <c r="Q1001" s="228"/>
      <c r="R1001" s="228"/>
    </row>
    <row r="1002" ht="13.5" customHeight="1" spans="1:18">
      <c r="A1002" s="226"/>
      <c r="B1002" s="226"/>
      <c r="C1002" s="227"/>
      <c r="D1002" s="227"/>
      <c r="E1002" s="226"/>
      <c r="F1002" s="226"/>
      <c r="G1002" s="227"/>
      <c r="H1002" s="227"/>
      <c r="I1002" s="227"/>
      <c r="J1002" s="227"/>
      <c r="K1002" s="228"/>
      <c r="L1002" s="229"/>
      <c r="M1002" s="228"/>
      <c r="N1002" s="227"/>
      <c r="O1002" s="226"/>
      <c r="P1002" s="226"/>
      <c r="Q1002" s="228"/>
      <c r="R1002" s="228"/>
    </row>
    <row r="1003" ht="13.5" customHeight="1" spans="1:18">
      <c r="A1003" s="226"/>
      <c r="B1003" s="226"/>
      <c r="C1003" s="227"/>
      <c r="D1003" s="227"/>
      <c r="E1003" s="226"/>
      <c r="F1003" s="226"/>
      <c r="G1003" s="227"/>
      <c r="H1003" s="227"/>
      <c r="I1003" s="227"/>
      <c r="J1003" s="227"/>
      <c r="K1003" s="228"/>
      <c r="L1003" s="229"/>
      <c r="M1003" s="228"/>
      <c r="N1003" s="227"/>
      <c r="O1003" s="226"/>
      <c r="P1003" s="226"/>
      <c r="Q1003" s="228"/>
      <c r="R1003" s="228"/>
    </row>
    <row r="1004" ht="13.5" customHeight="1" spans="1:18">
      <c r="A1004" s="226"/>
      <c r="B1004" s="226"/>
      <c r="C1004" s="227"/>
      <c r="D1004" s="227"/>
      <c r="E1004" s="226"/>
      <c r="F1004" s="226"/>
      <c r="G1004" s="227"/>
      <c r="H1004" s="227"/>
      <c r="I1004" s="227"/>
      <c r="J1004" s="227"/>
      <c r="K1004" s="228"/>
      <c r="L1004" s="229"/>
      <c r="M1004" s="228"/>
      <c r="N1004" s="227"/>
      <c r="O1004" s="226"/>
      <c r="P1004" s="226"/>
      <c r="Q1004" s="228"/>
      <c r="R1004" s="228"/>
    </row>
    <row r="1005" ht="13.5" customHeight="1" spans="1:18">
      <c r="A1005" s="226"/>
      <c r="B1005" s="226"/>
      <c r="C1005" s="227"/>
      <c r="D1005" s="227"/>
      <c r="E1005" s="226"/>
      <c r="F1005" s="226"/>
      <c r="G1005" s="227"/>
      <c r="H1005" s="227"/>
      <c r="I1005" s="227"/>
      <c r="J1005" s="227"/>
      <c r="K1005" s="228"/>
      <c r="L1005" s="229"/>
      <c r="M1005" s="228"/>
      <c r="N1005" s="227"/>
      <c r="O1005" s="226"/>
      <c r="P1005" s="226"/>
      <c r="Q1005" s="228"/>
      <c r="R1005" s="228"/>
    </row>
    <row r="1006" ht="13.5" customHeight="1" spans="1:18">
      <c r="A1006" s="226"/>
      <c r="B1006" s="226"/>
      <c r="C1006" s="227"/>
      <c r="D1006" s="227"/>
      <c r="E1006" s="226"/>
      <c r="F1006" s="226"/>
      <c r="G1006" s="227"/>
      <c r="H1006" s="227"/>
      <c r="I1006" s="227"/>
      <c r="J1006" s="227"/>
      <c r="K1006" s="228"/>
      <c r="L1006" s="229"/>
      <c r="M1006" s="228"/>
      <c r="N1006" s="227"/>
      <c r="O1006" s="226"/>
      <c r="P1006" s="226"/>
      <c r="Q1006" s="228"/>
      <c r="R1006" s="228"/>
    </row>
    <row r="1007" ht="13.5" customHeight="1" spans="1:18">
      <c r="A1007" s="226"/>
      <c r="B1007" s="226"/>
      <c r="C1007" s="227"/>
      <c r="D1007" s="227"/>
      <c r="E1007" s="226"/>
      <c r="F1007" s="226"/>
      <c r="G1007" s="227"/>
      <c r="H1007" s="227"/>
      <c r="I1007" s="227"/>
      <c r="J1007" s="227"/>
      <c r="K1007" s="228"/>
      <c r="L1007" s="229"/>
      <c r="M1007" s="228"/>
      <c r="N1007" s="227"/>
      <c r="O1007" s="226"/>
      <c r="P1007" s="226"/>
      <c r="Q1007" s="228"/>
      <c r="R1007" s="228"/>
    </row>
    <row r="1008" ht="13.5" customHeight="1" spans="1:18">
      <c r="A1008" s="226"/>
      <c r="B1008" s="226"/>
      <c r="C1008" s="227"/>
      <c r="D1008" s="227"/>
      <c r="E1008" s="226"/>
      <c r="F1008" s="226"/>
      <c r="G1008" s="227"/>
      <c r="H1008" s="227"/>
      <c r="I1008" s="227"/>
      <c r="J1008" s="227"/>
      <c r="K1008" s="228"/>
      <c r="L1008" s="229"/>
      <c r="M1008" s="228"/>
      <c r="N1008" s="227"/>
      <c r="O1008" s="226"/>
      <c r="P1008" s="226"/>
      <c r="Q1008" s="228"/>
      <c r="R1008" s="228"/>
    </row>
    <row r="1009" ht="13.5" customHeight="1" spans="1:18">
      <c r="A1009" s="226"/>
      <c r="B1009" s="226"/>
      <c r="C1009" s="227"/>
      <c r="D1009" s="227"/>
      <c r="E1009" s="226"/>
      <c r="F1009" s="226"/>
      <c r="G1009" s="227"/>
      <c r="H1009" s="227"/>
      <c r="I1009" s="227"/>
      <c r="J1009" s="227"/>
      <c r="K1009" s="228"/>
      <c r="L1009" s="229"/>
      <c r="M1009" s="228"/>
      <c r="N1009" s="227"/>
      <c r="O1009" s="226"/>
      <c r="P1009" s="226"/>
      <c r="Q1009" s="228"/>
      <c r="R1009" s="228"/>
    </row>
    <row r="1010" ht="13.5" customHeight="1" spans="1:18">
      <c r="A1010" s="226"/>
      <c r="B1010" s="226"/>
      <c r="C1010" s="227"/>
      <c r="D1010" s="227"/>
      <c r="E1010" s="226"/>
      <c r="F1010" s="226"/>
      <c r="G1010" s="227"/>
      <c r="H1010" s="227"/>
      <c r="I1010" s="227"/>
      <c r="J1010" s="227"/>
      <c r="K1010" s="228"/>
      <c r="L1010" s="229"/>
      <c r="M1010" s="228"/>
      <c r="N1010" s="227"/>
      <c r="O1010" s="226"/>
      <c r="P1010" s="226"/>
      <c r="Q1010" s="228"/>
      <c r="R1010" s="228"/>
    </row>
    <row r="1011" ht="13.5" customHeight="1" spans="1:18">
      <c r="A1011" s="226"/>
      <c r="B1011" s="226"/>
      <c r="C1011" s="227"/>
      <c r="D1011" s="227"/>
      <c r="E1011" s="226"/>
      <c r="F1011" s="226"/>
      <c r="G1011" s="227"/>
      <c r="H1011" s="227"/>
      <c r="I1011" s="227"/>
      <c r="J1011" s="227"/>
      <c r="K1011" s="228"/>
      <c r="L1011" s="229"/>
      <c r="M1011" s="228"/>
      <c r="N1011" s="227"/>
      <c r="O1011" s="226"/>
      <c r="P1011" s="226"/>
      <c r="Q1011" s="228"/>
      <c r="R1011" s="228"/>
    </row>
    <row r="1012" ht="13.5" customHeight="1" spans="1:18">
      <c r="A1012" s="226"/>
      <c r="B1012" s="226"/>
      <c r="C1012" s="227"/>
      <c r="D1012" s="227"/>
      <c r="E1012" s="226"/>
      <c r="F1012" s="226"/>
      <c r="G1012" s="227"/>
      <c r="H1012" s="227"/>
      <c r="I1012" s="227"/>
      <c r="J1012" s="227"/>
      <c r="K1012" s="228"/>
      <c r="L1012" s="229"/>
      <c r="M1012" s="228"/>
      <c r="N1012" s="227"/>
      <c r="O1012" s="226"/>
      <c r="P1012" s="226"/>
      <c r="Q1012" s="228"/>
      <c r="R1012" s="228"/>
    </row>
    <row r="1013" ht="13.5" customHeight="1" spans="1:18">
      <c r="A1013" s="226"/>
      <c r="B1013" s="226"/>
      <c r="C1013" s="227"/>
      <c r="D1013" s="227"/>
      <c r="E1013" s="226"/>
      <c r="F1013" s="226"/>
      <c r="G1013" s="227"/>
      <c r="H1013" s="227"/>
      <c r="I1013" s="227"/>
      <c r="J1013" s="227"/>
      <c r="K1013" s="228"/>
      <c r="L1013" s="229"/>
      <c r="M1013" s="228"/>
      <c r="N1013" s="227"/>
      <c r="O1013" s="226"/>
      <c r="P1013" s="226"/>
      <c r="Q1013" s="228"/>
      <c r="R1013" s="228"/>
    </row>
    <row r="1014" ht="13.5" customHeight="1" spans="1:18">
      <c r="A1014" s="226"/>
      <c r="B1014" s="226"/>
      <c r="C1014" s="227"/>
      <c r="D1014" s="227"/>
      <c r="E1014" s="226"/>
      <c r="F1014" s="226"/>
      <c r="G1014" s="227"/>
      <c r="H1014" s="227"/>
      <c r="I1014" s="227"/>
      <c r="J1014" s="227"/>
      <c r="K1014" s="228"/>
      <c r="L1014" s="229"/>
      <c r="M1014" s="228"/>
      <c r="N1014" s="227"/>
      <c r="O1014" s="226"/>
      <c r="P1014" s="226"/>
      <c r="Q1014" s="228"/>
      <c r="R1014" s="228"/>
    </row>
    <row r="1015" ht="13.5" customHeight="1" spans="1:18">
      <c r="A1015" s="226"/>
      <c r="B1015" s="226"/>
      <c r="C1015" s="227"/>
      <c r="D1015" s="227"/>
      <c r="E1015" s="226"/>
      <c r="F1015" s="226"/>
      <c r="G1015" s="227"/>
      <c r="H1015" s="227"/>
      <c r="I1015" s="227"/>
      <c r="J1015" s="227"/>
      <c r="K1015" s="228"/>
      <c r="L1015" s="229"/>
      <c r="M1015" s="228"/>
      <c r="N1015" s="227"/>
      <c r="O1015" s="226"/>
      <c r="P1015" s="226"/>
      <c r="Q1015" s="228"/>
      <c r="R1015" s="228"/>
    </row>
    <row r="1016" ht="13.5" customHeight="1" spans="1:18">
      <c r="A1016" s="226"/>
      <c r="B1016" s="226"/>
      <c r="C1016" s="227"/>
      <c r="D1016" s="227"/>
      <c r="E1016" s="226"/>
      <c r="F1016" s="226"/>
      <c r="G1016" s="227"/>
      <c r="H1016" s="227"/>
      <c r="I1016" s="227"/>
      <c r="J1016" s="227"/>
      <c r="K1016" s="228"/>
      <c r="L1016" s="229"/>
      <c r="M1016" s="228"/>
      <c r="N1016" s="227"/>
      <c r="O1016" s="226"/>
      <c r="P1016" s="226"/>
      <c r="Q1016" s="228"/>
      <c r="R1016" s="228"/>
    </row>
    <row r="1017" ht="13.5" customHeight="1" spans="1:18">
      <c r="A1017" s="226"/>
      <c r="B1017" s="226"/>
      <c r="C1017" s="227"/>
      <c r="D1017" s="227"/>
      <c r="E1017" s="226"/>
      <c r="F1017" s="226"/>
      <c r="G1017" s="227"/>
      <c r="H1017" s="227"/>
      <c r="I1017" s="227"/>
      <c r="J1017" s="227"/>
      <c r="K1017" s="228"/>
      <c r="L1017" s="229"/>
      <c r="M1017" s="228"/>
      <c r="N1017" s="227"/>
      <c r="O1017" s="226"/>
      <c r="P1017" s="226"/>
      <c r="Q1017" s="228"/>
      <c r="R1017" s="228"/>
    </row>
    <row r="1018" ht="13.5" customHeight="1" spans="1:18">
      <c r="A1018" s="226"/>
      <c r="B1018" s="226"/>
      <c r="C1018" s="227"/>
      <c r="D1018" s="227"/>
      <c r="E1018" s="226"/>
      <c r="F1018" s="226"/>
      <c r="G1018" s="227"/>
      <c r="H1018" s="227"/>
      <c r="I1018" s="227"/>
      <c r="J1018" s="227"/>
      <c r="K1018" s="228"/>
      <c r="L1018" s="229"/>
      <c r="M1018" s="228"/>
      <c r="N1018" s="227"/>
      <c r="O1018" s="226"/>
      <c r="P1018" s="226"/>
      <c r="Q1018" s="228"/>
      <c r="R1018" s="228"/>
    </row>
    <row r="1019" ht="13.5" customHeight="1" spans="1:18">
      <c r="A1019" s="226"/>
      <c r="B1019" s="226"/>
      <c r="C1019" s="227"/>
      <c r="D1019" s="227"/>
      <c r="E1019" s="226"/>
      <c r="F1019" s="226"/>
      <c r="G1019" s="227"/>
      <c r="H1019" s="227"/>
      <c r="I1019" s="227"/>
      <c r="J1019" s="227"/>
      <c r="K1019" s="228"/>
      <c r="L1019" s="229"/>
      <c r="M1019" s="228"/>
      <c r="N1019" s="227"/>
      <c r="O1019" s="226"/>
      <c r="P1019" s="226"/>
      <c r="Q1019" s="228"/>
      <c r="R1019" s="228"/>
    </row>
    <row r="1020" ht="13.5" customHeight="1" spans="1:18">
      <c r="A1020" s="226"/>
      <c r="B1020" s="226"/>
      <c r="C1020" s="227"/>
      <c r="D1020" s="227"/>
      <c r="E1020" s="226"/>
      <c r="F1020" s="226"/>
      <c r="G1020" s="227"/>
      <c r="H1020" s="227"/>
      <c r="I1020" s="227"/>
      <c r="J1020" s="227"/>
      <c r="K1020" s="228"/>
      <c r="L1020" s="229"/>
      <c r="M1020" s="228"/>
      <c r="N1020" s="227"/>
      <c r="O1020" s="226"/>
      <c r="P1020" s="226"/>
      <c r="Q1020" s="228"/>
      <c r="R1020" s="228"/>
    </row>
    <row r="1021" ht="13.5" customHeight="1" spans="1:18">
      <c r="A1021" s="226"/>
      <c r="B1021" s="226"/>
      <c r="C1021" s="227"/>
      <c r="D1021" s="227"/>
      <c r="E1021" s="226"/>
      <c r="F1021" s="226"/>
      <c r="G1021" s="227"/>
      <c r="H1021" s="227"/>
      <c r="I1021" s="227"/>
      <c r="J1021" s="227"/>
      <c r="K1021" s="228"/>
      <c r="L1021" s="229"/>
      <c r="M1021" s="228"/>
      <c r="N1021" s="227"/>
      <c r="O1021" s="226"/>
      <c r="P1021" s="226"/>
      <c r="Q1021" s="228"/>
      <c r="R1021" s="228"/>
    </row>
    <row r="1022" ht="13.5" customHeight="1" spans="1:18">
      <c r="A1022" s="226"/>
      <c r="B1022" s="226"/>
      <c r="C1022" s="227"/>
      <c r="D1022" s="227"/>
      <c r="E1022" s="226"/>
      <c r="F1022" s="226"/>
      <c r="G1022" s="227"/>
      <c r="H1022" s="227"/>
      <c r="I1022" s="227"/>
      <c r="J1022" s="227"/>
      <c r="K1022" s="228"/>
      <c r="L1022" s="229"/>
      <c r="M1022" s="228"/>
      <c r="N1022" s="227"/>
      <c r="O1022" s="226"/>
      <c r="P1022" s="226"/>
      <c r="Q1022" s="228"/>
      <c r="R1022" s="228"/>
    </row>
    <row r="1023" ht="13.5" customHeight="1" spans="1:18">
      <c r="A1023" s="226"/>
      <c r="B1023" s="226"/>
      <c r="C1023" s="227"/>
      <c r="D1023" s="227"/>
      <c r="E1023" s="226"/>
      <c r="F1023" s="226"/>
      <c r="G1023" s="227"/>
      <c r="H1023" s="227"/>
      <c r="I1023" s="227"/>
      <c r="J1023" s="227"/>
      <c r="K1023" s="228"/>
      <c r="L1023" s="229"/>
      <c r="M1023" s="228"/>
      <c r="N1023" s="227"/>
      <c r="O1023" s="226"/>
      <c r="P1023" s="226"/>
      <c r="Q1023" s="228"/>
      <c r="R1023" s="228"/>
    </row>
    <row r="1024" ht="13.5" customHeight="1" spans="1:18">
      <c r="A1024" s="226"/>
      <c r="B1024" s="226"/>
      <c r="C1024" s="227"/>
      <c r="D1024" s="227"/>
      <c r="E1024" s="226"/>
      <c r="F1024" s="226"/>
      <c r="G1024" s="227"/>
      <c r="H1024" s="227"/>
      <c r="I1024" s="227"/>
      <c r="J1024" s="227"/>
      <c r="K1024" s="228"/>
      <c r="L1024" s="229"/>
      <c r="M1024" s="228"/>
      <c r="N1024" s="227"/>
      <c r="O1024" s="226"/>
      <c r="P1024" s="226"/>
      <c r="Q1024" s="228"/>
      <c r="R1024" s="228"/>
    </row>
    <row r="1025" ht="13.5" customHeight="1" spans="1:18">
      <c r="A1025" s="226"/>
      <c r="B1025" s="226"/>
      <c r="C1025" s="227"/>
      <c r="D1025" s="227"/>
      <c r="E1025" s="226"/>
      <c r="F1025" s="226"/>
      <c r="G1025" s="227"/>
      <c r="H1025" s="227"/>
      <c r="I1025" s="227"/>
      <c r="J1025" s="227"/>
      <c r="K1025" s="228"/>
      <c r="L1025" s="229"/>
      <c r="M1025" s="228"/>
      <c r="N1025" s="227"/>
      <c r="O1025" s="226"/>
      <c r="P1025" s="226"/>
      <c r="Q1025" s="228"/>
      <c r="R1025" s="228"/>
    </row>
    <row r="1026" ht="13.5" customHeight="1" spans="1:18">
      <c r="A1026" s="226"/>
      <c r="B1026" s="226"/>
      <c r="C1026" s="227"/>
      <c r="D1026" s="227"/>
      <c r="E1026" s="226"/>
      <c r="F1026" s="226"/>
      <c r="G1026" s="227"/>
      <c r="H1026" s="227"/>
      <c r="I1026" s="227"/>
      <c r="J1026" s="227"/>
      <c r="K1026" s="228"/>
      <c r="L1026" s="229"/>
      <c r="M1026" s="228"/>
      <c r="N1026" s="227"/>
      <c r="O1026" s="226"/>
      <c r="P1026" s="226"/>
      <c r="Q1026" s="228"/>
      <c r="R1026" s="228"/>
    </row>
    <row r="1027" ht="13.5" customHeight="1" spans="1:18">
      <c r="A1027" s="226"/>
      <c r="B1027" s="226"/>
      <c r="C1027" s="227"/>
      <c r="D1027" s="227"/>
      <c r="E1027" s="226"/>
      <c r="F1027" s="226"/>
      <c r="G1027" s="227"/>
      <c r="H1027" s="227"/>
      <c r="I1027" s="227"/>
      <c r="J1027" s="227"/>
      <c r="K1027" s="228"/>
      <c r="L1027" s="229"/>
      <c r="M1027" s="228"/>
      <c r="N1027" s="227"/>
      <c r="O1027" s="226"/>
      <c r="P1027" s="226"/>
      <c r="Q1027" s="228"/>
      <c r="R1027" s="228"/>
    </row>
    <row r="1028" ht="13.5" customHeight="1" spans="1:18">
      <c r="A1028" s="226"/>
      <c r="B1028" s="226"/>
      <c r="C1028" s="227"/>
      <c r="D1028" s="227"/>
      <c r="E1028" s="226"/>
      <c r="F1028" s="226"/>
      <c r="G1028" s="227"/>
      <c r="H1028" s="227"/>
      <c r="I1028" s="227"/>
      <c r="J1028" s="227"/>
      <c r="K1028" s="228"/>
      <c r="L1028" s="229"/>
      <c r="M1028" s="228"/>
      <c r="N1028" s="227"/>
      <c r="O1028" s="226"/>
      <c r="P1028" s="226"/>
      <c r="Q1028" s="228"/>
      <c r="R1028" s="228"/>
    </row>
    <row r="1029" ht="13.5" customHeight="1" spans="1:18">
      <c r="A1029" s="226"/>
      <c r="B1029" s="226"/>
      <c r="C1029" s="227"/>
      <c r="D1029" s="227"/>
      <c r="E1029" s="226"/>
      <c r="F1029" s="226"/>
      <c r="G1029" s="227"/>
      <c r="H1029" s="227"/>
      <c r="I1029" s="227"/>
      <c r="J1029" s="227"/>
      <c r="K1029" s="228"/>
      <c r="L1029" s="229"/>
      <c r="M1029" s="228"/>
      <c r="N1029" s="227"/>
      <c r="O1029" s="226"/>
      <c r="P1029" s="226"/>
      <c r="Q1029" s="228"/>
      <c r="R1029" s="228"/>
    </row>
    <row r="1030" ht="13.5" customHeight="1" spans="1:18">
      <c r="A1030" s="226"/>
      <c r="B1030" s="226"/>
      <c r="C1030" s="227"/>
      <c r="D1030" s="227"/>
      <c r="E1030" s="226"/>
      <c r="F1030" s="226"/>
      <c r="G1030" s="227"/>
      <c r="H1030" s="227"/>
      <c r="I1030" s="227"/>
      <c r="J1030" s="227"/>
      <c r="K1030" s="228"/>
      <c r="L1030" s="229"/>
      <c r="M1030" s="228"/>
      <c r="N1030" s="227"/>
      <c r="O1030" s="226"/>
      <c r="P1030" s="226"/>
      <c r="Q1030" s="228"/>
      <c r="R1030" s="228"/>
    </row>
    <row r="1031" ht="13.5" customHeight="1" spans="1:18">
      <c r="A1031" s="226"/>
      <c r="B1031" s="226"/>
      <c r="C1031" s="227"/>
      <c r="D1031" s="227"/>
      <c r="E1031" s="226"/>
      <c r="F1031" s="226"/>
      <c r="G1031" s="227"/>
      <c r="H1031" s="227"/>
      <c r="I1031" s="227"/>
      <c r="J1031" s="227"/>
      <c r="K1031" s="228"/>
      <c r="L1031" s="229"/>
      <c r="M1031" s="228"/>
      <c r="N1031" s="227"/>
      <c r="O1031" s="226"/>
      <c r="P1031" s="226"/>
      <c r="Q1031" s="228"/>
      <c r="R1031" s="228"/>
    </row>
    <row r="1032" ht="13.5" customHeight="1" spans="1:18">
      <c r="A1032" s="226"/>
      <c r="B1032" s="226"/>
      <c r="C1032" s="227"/>
      <c r="D1032" s="227"/>
      <c r="E1032" s="226"/>
      <c r="F1032" s="226"/>
      <c r="G1032" s="227"/>
      <c r="H1032" s="227"/>
      <c r="I1032" s="227"/>
      <c r="J1032" s="227"/>
      <c r="K1032" s="228"/>
      <c r="L1032" s="229"/>
      <c r="M1032" s="228"/>
      <c r="N1032" s="227"/>
      <c r="O1032" s="226"/>
      <c r="P1032" s="226"/>
      <c r="Q1032" s="228"/>
      <c r="R1032" s="228"/>
    </row>
    <row r="1033" ht="13.5" customHeight="1" spans="1:18">
      <c r="A1033" s="226"/>
      <c r="B1033" s="226"/>
      <c r="C1033" s="227"/>
      <c r="D1033" s="227"/>
      <c r="E1033" s="226"/>
      <c r="F1033" s="226"/>
      <c r="G1033" s="227"/>
      <c r="H1033" s="227"/>
      <c r="I1033" s="227"/>
      <c r="J1033" s="227"/>
      <c r="K1033" s="228"/>
      <c r="L1033" s="229"/>
      <c r="M1033" s="228"/>
      <c r="N1033" s="227"/>
      <c r="O1033" s="226"/>
      <c r="P1033" s="226"/>
      <c r="Q1033" s="228"/>
      <c r="R1033" s="228"/>
    </row>
    <row r="1034" ht="13.5" customHeight="1" spans="1:18">
      <c r="A1034" s="226"/>
      <c r="B1034" s="226"/>
      <c r="C1034" s="227"/>
      <c r="D1034" s="227"/>
      <c r="E1034" s="226"/>
      <c r="F1034" s="226"/>
      <c r="G1034" s="227"/>
      <c r="H1034" s="227"/>
      <c r="I1034" s="227"/>
      <c r="J1034" s="227"/>
      <c r="K1034" s="228"/>
      <c r="L1034" s="229"/>
      <c r="M1034" s="228"/>
      <c r="N1034" s="227"/>
      <c r="O1034" s="226"/>
      <c r="P1034" s="226"/>
      <c r="Q1034" s="228"/>
      <c r="R1034" s="228"/>
    </row>
    <row r="1035" ht="13.5" customHeight="1" spans="1:18">
      <c r="A1035" s="226"/>
      <c r="B1035" s="226"/>
      <c r="C1035" s="227"/>
      <c r="D1035" s="227"/>
      <c r="E1035" s="226"/>
      <c r="F1035" s="226"/>
      <c r="G1035" s="227"/>
      <c r="H1035" s="227"/>
      <c r="I1035" s="227"/>
      <c r="J1035" s="227"/>
      <c r="K1035" s="228"/>
      <c r="L1035" s="229"/>
      <c r="M1035" s="228"/>
      <c r="N1035" s="227"/>
      <c r="O1035" s="226"/>
      <c r="P1035" s="226"/>
      <c r="Q1035" s="228"/>
      <c r="R1035" s="228"/>
    </row>
    <row r="1036" ht="13.5" customHeight="1" spans="1:18">
      <c r="A1036" s="226"/>
      <c r="B1036" s="226"/>
      <c r="C1036" s="227"/>
      <c r="D1036" s="227"/>
      <c r="E1036" s="226"/>
      <c r="F1036" s="226"/>
      <c r="G1036" s="227"/>
      <c r="H1036" s="227"/>
      <c r="I1036" s="227"/>
      <c r="J1036" s="227"/>
      <c r="K1036" s="228"/>
      <c r="L1036" s="229"/>
      <c r="M1036" s="228"/>
      <c r="N1036" s="227"/>
      <c r="O1036" s="226"/>
      <c r="P1036" s="226"/>
      <c r="Q1036" s="228"/>
      <c r="R1036" s="228"/>
    </row>
    <row r="1037" ht="13.5" customHeight="1" spans="1:18">
      <c r="A1037" s="226"/>
      <c r="B1037" s="226"/>
      <c r="C1037" s="227"/>
      <c r="D1037" s="227"/>
      <c r="E1037" s="226"/>
      <c r="F1037" s="226"/>
      <c r="G1037" s="227"/>
      <c r="H1037" s="227"/>
      <c r="I1037" s="227"/>
      <c r="J1037" s="227"/>
      <c r="K1037" s="228"/>
      <c r="L1037" s="229"/>
      <c r="M1037" s="228"/>
      <c r="N1037" s="227"/>
      <c r="O1037" s="226"/>
      <c r="P1037" s="226"/>
      <c r="Q1037" s="228"/>
      <c r="R1037" s="228"/>
    </row>
    <row r="1038" ht="13.5" customHeight="1" spans="1:18">
      <c r="A1038" s="226"/>
      <c r="B1038" s="226"/>
      <c r="C1038" s="227"/>
      <c r="D1038" s="227"/>
      <c r="E1038" s="226"/>
      <c r="F1038" s="226"/>
      <c r="G1038" s="227"/>
      <c r="H1038" s="227"/>
      <c r="I1038" s="227"/>
      <c r="J1038" s="227"/>
      <c r="K1038" s="228"/>
      <c r="L1038" s="229"/>
      <c r="M1038" s="228"/>
      <c r="N1038" s="227"/>
      <c r="O1038" s="226"/>
      <c r="P1038" s="226"/>
      <c r="Q1038" s="228"/>
      <c r="R1038" s="228"/>
    </row>
    <row r="1039" ht="13.5" customHeight="1" spans="1:18">
      <c r="A1039" s="226"/>
      <c r="B1039" s="226"/>
      <c r="C1039" s="227"/>
      <c r="D1039" s="227"/>
      <c r="E1039" s="226"/>
      <c r="F1039" s="226"/>
      <c r="G1039" s="227"/>
      <c r="H1039" s="227"/>
      <c r="I1039" s="227"/>
      <c r="J1039" s="227"/>
      <c r="K1039" s="228"/>
      <c r="L1039" s="229"/>
      <c r="M1039" s="228"/>
      <c r="N1039" s="227"/>
      <c r="O1039" s="226"/>
      <c r="P1039" s="226"/>
      <c r="Q1039" s="228"/>
      <c r="R1039" s="228"/>
    </row>
    <row r="1040" ht="13.5" customHeight="1" spans="1:18">
      <c r="A1040" s="226"/>
      <c r="B1040" s="226"/>
      <c r="C1040" s="227"/>
      <c r="D1040" s="227"/>
      <c r="E1040" s="226"/>
      <c r="F1040" s="226"/>
      <c r="G1040" s="227"/>
      <c r="H1040" s="227"/>
      <c r="I1040" s="227"/>
      <c r="J1040" s="227"/>
      <c r="K1040" s="228"/>
      <c r="L1040" s="229"/>
      <c r="M1040" s="228"/>
      <c r="N1040" s="227"/>
      <c r="O1040" s="226"/>
      <c r="P1040" s="226"/>
      <c r="Q1040" s="228"/>
      <c r="R1040" s="228"/>
    </row>
    <row r="1041" ht="13.5" customHeight="1" spans="1:18">
      <c r="A1041" s="226"/>
      <c r="B1041" s="226"/>
      <c r="C1041" s="227"/>
      <c r="D1041" s="227"/>
      <c r="E1041" s="226"/>
      <c r="F1041" s="226"/>
      <c r="G1041" s="227"/>
      <c r="H1041" s="227"/>
      <c r="I1041" s="227"/>
      <c r="J1041" s="227"/>
      <c r="K1041" s="228"/>
      <c r="L1041" s="229"/>
      <c r="M1041" s="228"/>
      <c r="N1041" s="227"/>
      <c r="O1041" s="226"/>
      <c r="P1041" s="226"/>
      <c r="Q1041" s="228"/>
      <c r="R1041" s="228"/>
    </row>
    <row r="1042" ht="13.5" customHeight="1" spans="1:18">
      <c r="A1042" s="226"/>
      <c r="B1042" s="226"/>
      <c r="C1042" s="227"/>
      <c r="D1042" s="227"/>
      <c r="E1042" s="226"/>
      <c r="F1042" s="226"/>
      <c r="G1042" s="227"/>
      <c r="H1042" s="227"/>
      <c r="I1042" s="227"/>
      <c r="J1042" s="227"/>
      <c r="K1042" s="228"/>
      <c r="L1042" s="229"/>
      <c r="M1042" s="228"/>
      <c r="N1042" s="227"/>
      <c r="O1042" s="226"/>
      <c r="P1042" s="226"/>
      <c r="Q1042" s="228"/>
      <c r="R1042" s="228"/>
    </row>
    <row r="1043" ht="13.5" customHeight="1" spans="1:18">
      <c r="A1043" s="226"/>
      <c r="B1043" s="226"/>
      <c r="C1043" s="227"/>
      <c r="D1043" s="227"/>
      <c r="E1043" s="226"/>
      <c r="F1043" s="226"/>
      <c r="G1043" s="227"/>
      <c r="H1043" s="227"/>
      <c r="I1043" s="227"/>
      <c r="J1043" s="227"/>
      <c r="K1043" s="228"/>
      <c r="L1043" s="229"/>
      <c r="M1043" s="228"/>
      <c r="N1043" s="227"/>
      <c r="O1043" s="226"/>
      <c r="P1043" s="226"/>
      <c r="Q1043" s="228"/>
      <c r="R1043" s="228"/>
    </row>
    <row r="1044" ht="13.5" customHeight="1" spans="1:18">
      <c r="A1044" s="226"/>
      <c r="B1044" s="226"/>
      <c r="C1044" s="227"/>
      <c r="D1044" s="227"/>
      <c r="E1044" s="226"/>
      <c r="F1044" s="226"/>
      <c r="G1044" s="227"/>
      <c r="H1044" s="227"/>
      <c r="I1044" s="227"/>
      <c r="J1044" s="227"/>
      <c r="K1044" s="228"/>
      <c r="L1044" s="229"/>
      <c r="M1044" s="228"/>
      <c r="N1044" s="227"/>
      <c r="O1044" s="226"/>
      <c r="P1044" s="226"/>
      <c r="Q1044" s="228"/>
      <c r="R1044" s="228"/>
    </row>
    <row r="1045" ht="13.5" customHeight="1" spans="1:18">
      <c r="A1045" s="226"/>
      <c r="B1045" s="226"/>
      <c r="C1045" s="227"/>
      <c r="D1045" s="227"/>
      <c r="E1045" s="226"/>
      <c r="F1045" s="226"/>
      <c r="G1045" s="227"/>
      <c r="H1045" s="227"/>
      <c r="I1045" s="227"/>
      <c r="J1045" s="227"/>
      <c r="K1045" s="228"/>
      <c r="L1045" s="229"/>
      <c r="M1045" s="228"/>
      <c r="N1045" s="227"/>
      <c r="O1045" s="226"/>
      <c r="P1045" s="226"/>
      <c r="Q1045" s="228"/>
      <c r="R1045" s="228"/>
    </row>
    <row r="1046" ht="13.5" customHeight="1" spans="1:18">
      <c r="A1046" s="226"/>
      <c r="B1046" s="226"/>
      <c r="C1046" s="227"/>
      <c r="D1046" s="227"/>
      <c r="E1046" s="226"/>
      <c r="F1046" s="226"/>
      <c r="G1046" s="227"/>
      <c r="H1046" s="227"/>
      <c r="I1046" s="227"/>
      <c r="J1046" s="227"/>
      <c r="K1046" s="228"/>
      <c r="L1046" s="229"/>
      <c r="M1046" s="228"/>
      <c r="N1046" s="227"/>
      <c r="O1046" s="226"/>
      <c r="P1046" s="226"/>
      <c r="Q1046" s="228"/>
      <c r="R1046" s="228"/>
    </row>
    <row r="1047" ht="13.5" customHeight="1" spans="1:18">
      <c r="A1047" s="226"/>
      <c r="B1047" s="226"/>
      <c r="C1047" s="227"/>
      <c r="D1047" s="227"/>
      <c r="E1047" s="226"/>
      <c r="F1047" s="226"/>
      <c r="G1047" s="227"/>
      <c r="H1047" s="227"/>
      <c r="I1047" s="227"/>
      <c r="J1047" s="227"/>
      <c r="K1047" s="228"/>
      <c r="L1047" s="229"/>
      <c r="M1047" s="228"/>
      <c r="N1047" s="227"/>
      <c r="O1047" s="226"/>
      <c r="P1047" s="226"/>
      <c r="Q1047" s="228"/>
      <c r="R1047" s="228"/>
    </row>
    <row r="1048" ht="13.5" customHeight="1" spans="1:18">
      <c r="A1048" s="226"/>
      <c r="B1048" s="226"/>
      <c r="C1048" s="227"/>
      <c r="D1048" s="227"/>
      <c r="E1048" s="226"/>
      <c r="F1048" s="226"/>
      <c r="G1048" s="227"/>
      <c r="H1048" s="227"/>
      <c r="I1048" s="227"/>
      <c r="J1048" s="227"/>
      <c r="K1048" s="228"/>
      <c r="L1048" s="229"/>
      <c r="M1048" s="228"/>
      <c r="N1048" s="227"/>
      <c r="O1048" s="226"/>
      <c r="P1048" s="226"/>
      <c r="Q1048" s="228"/>
      <c r="R1048" s="228"/>
    </row>
    <row r="1049" ht="13.5" customHeight="1" spans="1:18">
      <c r="A1049" s="226"/>
      <c r="B1049" s="226"/>
      <c r="C1049" s="227"/>
      <c r="D1049" s="227"/>
      <c r="E1049" s="226"/>
      <c r="F1049" s="226"/>
      <c r="G1049" s="227"/>
      <c r="H1049" s="227"/>
      <c r="I1049" s="227"/>
      <c r="J1049" s="227"/>
      <c r="K1049" s="228"/>
      <c r="L1049" s="229"/>
      <c r="M1049" s="228"/>
      <c r="N1049" s="227"/>
      <c r="O1049" s="226"/>
      <c r="P1049" s="226"/>
      <c r="Q1049" s="228"/>
      <c r="R1049" s="228"/>
    </row>
    <row r="1050" ht="13.5" customHeight="1" spans="1:18">
      <c r="A1050" s="226"/>
      <c r="B1050" s="226"/>
      <c r="C1050" s="227"/>
      <c r="D1050" s="227"/>
      <c r="E1050" s="226"/>
      <c r="F1050" s="226"/>
      <c r="G1050" s="227"/>
      <c r="H1050" s="227"/>
      <c r="I1050" s="227"/>
      <c r="J1050" s="227"/>
      <c r="K1050" s="228"/>
      <c r="L1050" s="229"/>
      <c r="M1050" s="228"/>
      <c r="N1050" s="227"/>
      <c r="O1050" s="226"/>
      <c r="P1050" s="226"/>
      <c r="Q1050" s="228"/>
      <c r="R1050" s="228"/>
    </row>
    <row r="1051" ht="13.5" customHeight="1" spans="1:18">
      <c r="A1051" s="226"/>
      <c r="B1051" s="226"/>
      <c r="C1051" s="227"/>
      <c r="D1051" s="227"/>
      <c r="E1051" s="226"/>
      <c r="F1051" s="226"/>
      <c r="G1051" s="227"/>
      <c r="H1051" s="227"/>
      <c r="I1051" s="227"/>
      <c r="J1051" s="227"/>
      <c r="K1051" s="228"/>
      <c r="L1051" s="229"/>
      <c r="M1051" s="228"/>
      <c r="N1051" s="227"/>
      <c r="O1051" s="226"/>
      <c r="P1051" s="226"/>
      <c r="Q1051" s="228"/>
      <c r="R1051" s="228"/>
    </row>
    <row r="1052" ht="13.5" customHeight="1" spans="1:18">
      <c r="A1052" s="226"/>
      <c r="B1052" s="226"/>
      <c r="C1052" s="227"/>
      <c r="D1052" s="227"/>
      <c r="E1052" s="226"/>
      <c r="F1052" s="226"/>
      <c r="G1052" s="227"/>
      <c r="H1052" s="227"/>
      <c r="I1052" s="227"/>
      <c r="J1052" s="227"/>
      <c r="K1052" s="228"/>
      <c r="L1052" s="229"/>
      <c r="M1052" s="228"/>
      <c r="N1052" s="227"/>
      <c r="O1052" s="226"/>
      <c r="P1052" s="226"/>
      <c r="Q1052" s="228"/>
      <c r="R1052" s="228"/>
    </row>
    <row r="1053" ht="13.5" customHeight="1" spans="1:18">
      <c r="A1053" s="226"/>
      <c r="B1053" s="226"/>
      <c r="C1053" s="227"/>
      <c r="D1053" s="227"/>
      <c r="E1053" s="226"/>
      <c r="F1053" s="226"/>
      <c r="G1053" s="227"/>
      <c r="H1053" s="227"/>
      <c r="I1053" s="227"/>
      <c r="J1053" s="227"/>
      <c r="K1053" s="228"/>
      <c r="L1053" s="229"/>
      <c r="M1053" s="228"/>
      <c r="N1053" s="227"/>
      <c r="O1053" s="226"/>
      <c r="P1053" s="226"/>
      <c r="Q1053" s="228"/>
      <c r="R1053" s="228"/>
    </row>
    <row r="1054" ht="13.5" customHeight="1" spans="1:18">
      <c r="A1054" s="226"/>
      <c r="B1054" s="226"/>
      <c r="C1054" s="227"/>
      <c r="D1054" s="227"/>
      <c r="E1054" s="226"/>
      <c r="F1054" s="226"/>
      <c r="G1054" s="227"/>
      <c r="H1054" s="227"/>
      <c r="I1054" s="227"/>
      <c r="J1054" s="227"/>
      <c r="K1054" s="228"/>
      <c r="L1054" s="229"/>
      <c r="M1054" s="228"/>
      <c r="N1054" s="227"/>
      <c r="O1054" s="226"/>
      <c r="P1054" s="226"/>
      <c r="Q1054" s="228"/>
      <c r="R1054" s="228"/>
    </row>
    <row r="1055" ht="13.5" customHeight="1" spans="1:18">
      <c r="A1055" s="226"/>
      <c r="B1055" s="226"/>
      <c r="C1055" s="227"/>
      <c r="D1055" s="227"/>
      <c r="E1055" s="226"/>
      <c r="F1055" s="226"/>
      <c r="G1055" s="227"/>
      <c r="H1055" s="227"/>
      <c r="I1055" s="227"/>
      <c r="J1055" s="227"/>
      <c r="K1055" s="228"/>
      <c r="L1055" s="229"/>
      <c r="M1055" s="228"/>
      <c r="N1055" s="227"/>
      <c r="O1055" s="226"/>
      <c r="P1055" s="226"/>
      <c r="Q1055" s="228"/>
      <c r="R1055" s="228"/>
    </row>
    <row r="1056" ht="13.5" customHeight="1" spans="1:18">
      <c r="A1056" s="226"/>
      <c r="B1056" s="226"/>
      <c r="C1056" s="227"/>
      <c r="D1056" s="227"/>
      <c r="E1056" s="226"/>
      <c r="F1056" s="226"/>
      <c r="G1056" s="227"/>
      <c r="H1056" s="227"/>
      <c r="I1056" s="227"/>
      <c r="J1056" s="227"/>
      <c r="K1056" s="228"/>
      <c r="L1056" s="229"/>
      <c r="M1056" s="228"/>
      <c r="N1056" s="227"/>
      <c r="O1056" s="226"/>
      <c r="P1056" s="226"/>
      <c r="Q1056" s="228"/>
      <c r="R1056" s="228"/>
    </row>
    <row r="1057" ht="13.5" customHeight="1" spans="1:18">
      <c r="A1057" s="226"/>
      <c r="B1057" s="226"/>
      <c r="C1057" s="227"/>
      <c r="D1057" s="227"/>
      <c r="E1057" s="226"/>
      <c r="F1057" s="226"/>
      <c r="G1057" s="227"/>
      <c r="H1057" s="227"/>
      <c r="I1057" s="227"/>
      <c r="J1057" s="227"/>
      <c r="K1057" s="228"/>
      <c r="L1057" s="229"/>
      <c r="M1057" s="228"/>
      <c r="N1057" s="227"/>
      <c r="O1057" s="226"/>
      <c r="P1057" s="226"/>
      <c r="Q1057" s="228"/>
      <c r="R1057" s="228"/>
    </row>
    <row r="1058" ht="13.5" customHeight="1" spans="1:18">
      <c r="A1058" s="226"/>
      <c r="B1058" s="226"/>
      <c r="C1058" s="227"/>
      <c r="D1058" s="227"/>
      <c r="E1058" s="226"/>
      <c r="F1058" s="226"/>
      <c r="G1058" s="227"/>
      <c r="H1058" s="227"/>
      <c r="I1058" s="227"/>
      <c r="J1058" s="227"/>
      <c r="K1058" s="228"/>
      <c r="L1058" s="229"/>
      <c r="M1058" s="228"/>
      <c r="N1058" s="227"/>
      <c r="O1058" s="226"/>
      <c r="P1058" s="226"/>
      <c r="Q1058" s="228"/>
      <c r="R1058" s="228"/>
    </row>
    <row r="1059" ht="13.5" customHeight="1" spans="1:18">
      <c r="A1059" s="226"/>
      <c r="B1059" s="226"/>
      <c r="C1059" s="227"/>
      <c r="D1059" s="227"/>
      <c r="E1059" s="226"/>
      <c r="F1059" s="226"/>
      <c r="G1059" s="227"/>
      <c r="H1059" s="227"/>
      <c r="I1059" s="227"/>
      <c r="J1059" s="227"/>
      <c r="K1059" s="228"/>
      <c r="L1059" s="229"/>
      <c r="M1059" s="228"/>
      <c r="N1059" s="227"/>
      <c r="O1059" s="226"/>
      <c r="P1059" s="226"/>
      <c r="Q1059" s="228"/>
      <c r="R1059" s="228"/>
    </row>
    <row r="1060" ht="13.5" customHeight="1" spans="1:18">
      <c r="A1060" s="226"/>
      <c r="B1060" s="226"/>
      <c r="C1060" s="227"/>
      <c r="D1060" s="227"/>
      <c r="E1060" s="226"/>
      <c r="F1060" s="226"/>
      <c r="G1060" s="227"/>
      <c r="H1060" s="227"/>
      <c r="I1060" s="227"/>
      <c r="J1060" s="227"/>
      <c r="K1060" s="228"/>
      <c r="L1060" s="229"/>
      <c r="M1060" s="228"/>
      <c r="N1060" s="227"/>
      <c r="O1060" s="226"/>
      <c r="P1060" s="226"/>
      <c r="Q1060" s="228"/>
      <c r="R1060" s="228"/>
    </row>
    <row r="1061" ht="13.5" customHeight="1" spans="1:18">
      <c r="A1061" s="226"/>
      <c r="B1061" s="226"/>
      <c r="C1061" s="227"/>
      <c r="D1061" s="227"/>
      <c r="E1061" s="226"/>
      <c r="F1061" s="226"/>
      <c r="G1061" s="227"/>
      <c r="H1061" s="227"/>
      <c r="I1061" s="227"/>
      <c r="J1061" s="227"/>
      <c r="K1061" s="228"/>
      <c r="L1061" s="229"/>
      <c r="M1061" s="228"/>
      <c r="N1061" s="227"/>
      <c r="O1061" s="226"/>
      <c r="P1061" s="226"/>
      <c r="Q1061" s="228"/>
      <c r="R1061" s="228"/>
    </row>
    <row r="1062" ht="13.5" customHeight="1" spans="1:18">
      <c r="A1062" s="226"/>
      <c r="B1062" s="226"/>
      <c r="C1062" s="227"/>
      <c r="D1062" s="227"/>
      <c r="E1062" s="226"/>
      <c r="F1062" s="226"/>
      <c r="G1062" s="227"/>
      <c r="H1062" s="227"/>
      <c r="I1062" s="227"/>
      <c r="J1062" s="227"/>
      <c r="K1062" s="228"/>
      <c r="L1062" s="229"/>
      <c r="M1062" s="228"/>
      <c r="N1062" s="227"/>
      <c r="O1062" s="226"/>
      <c r="P1062" s="226"/>
      <c r="Q1062" s="228"/>
      <c r="R1062" s="228"/>
    </row>
    <row r="1063" ht="13.5" customHeight="1" spans="1:18">
      <c r="A1063" s="226"/>
      <c r="B1063" s="226"/>
      <c r="C1063" s="227"/>
      <c r="D1063" s="227"/>
      <c r="E1063" s="226"/>
      <c r="F1063" s="226"/>
      <c r="G1063" s="227"/>
      <c r="H1063" s="227"/>
      <c r="I1063" s="227"/>
      <c r="J1063" s="227"/>
      <c r="K1063" s="228"/>
      <c r="L1063" s="229"/>
      <c r="M1063" s="228"/>
      <c r="N1063" s="227"/>
      <c r="O1063" s="226"/>
      <c r="P1063" s="226"/>
      <c r="Q1063" s="228"/>
      <c r="R1063" s="228"/>
    </row>
    <row r="1064" ht="13.5" customHeight="1" spans="1:18">
      <c r="A1064" s="226"/>
      <c r="B1064" s="226"/>
      <c r="C1064" s="227"/>
      <c r="D1064" s="227"/>
      <c r="E1064" s="226"/>
      <c r="F1064" s="226"/>
      <c r="G1064" s="227"/>
      <c r="H1064" s="227"/>
      <c r="I1064" s="227"/>
      <c r="J1064" s="227"/>
      <c r="K1064" s="228"/>
      <c r="L1064" s="229"/>
      <c r="M1064" s="228"/>
      <c r="N1064" s="227"/>
      <c r="O1064" s="226"/>
      <c r="P1064" s="226"/>
      <c r="Q1064" s="228"/>
      <c r="R1064" s="228"/>
    </row>
    <row r="1065" ht="13.5" customHeight="1" spans="1:18">
      <c r="A1065" s="226"/>
      <c r="B1065" s="226"/>
      <c r="C1065" s="227"/>
      <c r="D1065" s="227"/>
      <c r="E1065" s="226"/>
      <c r="F1065" s="226"/>
      <c r="G1065" s="227"/>
      <c r="H1065" s="227"/>
      <c r="I1065" s="227"/>
      <c r="J1065" s="227"/>
      <c r="K1065" s="228"/>
      <c r="L1065" s="229"/>
      <c r="M1065" s="228"/>
      <c r="N1065" s="227"/>
      <c r="O1065" s="226"/>
      <c r="P1065" s="226"/>
      <c r="Q1065" s="228"/>
      <c r="R1065" s="228"/>
    </row>
    <row r="1066" ht="13.5" customHeight="1" spans="1:18">
      <c r="A1066" s="226"/>
      <c r="B1066" s="226"/>
      <c r="C1066" s="227"/>
      <c r="D1066" s="227"/>
      <c r="E1066" s="226"/>
      <c r="F1066" s="226"/>
      <c r="G1066" s="227"/>
      <c r="H1066" s="227"/>
      <c r="I1066" s="227"/>
      <c r="J1066" s="227"/>
      <c r="K1066" s="228"/>
      <c r="L1066" s="229"/>
      <c r="M1066" s="228"/>
      <c r="N1066" s="227"/>
      <c r="O1066" s="226"/>
      <c r="P1066" s="226"/>
      <c r="Q1066" s="228"/>
      <c r="R1066" s="228"/>
    </row>
    <row r="1067" ht="13.5" customHeight="1" spans="1:18">
      <c r="A1067" s="226"/>
      <c r="B1067" s="226"/>
      <c r="C1067" s="227"/>
      <c r="D1067" s="227"/>
      <c r="E1067" s="226"/>
      <c r="F1067" s="226"/>
      <c r="G1067" s="227"/>
      <c r="H1067" s="227"/>
      <c r="I1067" s="227"/>
      <c r="J1067" s="227"/>
      <c r="K1067" s="228"/>
      <c r="L1067" s="229"/>
      <c r="M1067" s="228"/>
      <c r="N1067" s="227"/>
      <c r="O1067" s="226"/>
      <c r="P1067" s="226"/>
      <c r="Q1067" s="228"/>
      <c r="R1067" s="228"/>
    </row>
    <row r="1068" ht="13.5" customHeight="1" spans="1:18">
      <c r="A1068" s="226"/>
      <c r="B1068" s="226"/>
      <c r="C1068" s="227"/>
      <c r="D1068" s="227"/>
      <c r="E1068" s="226"/>
      <c r="F1068" s="226"/>
      <c r="G1068" s="227"/>
      <c r="H1068" s="227"/>
      <c r="I1068" s="227"/>
      <c r="J1068" s="227"/>
      <c r="K1068" s="228"/>
      <c r="L1068" s="229"/>
      <c r="M1068" s="228"/>
      <c r="N1068" s="227"/>
      <c r="O1068" s="226"/>
      <c r="P1068" s="226"/>
      <c r="Q1068" s="228"/>
      <c r="R1068" s="228"/>
    </row>
    <row r="1069" ht="13.5" customHeight="1" spans="1:18">
      <c r="A1069" s="226"/>
      <c r="B1069" s="226"/>
      <c r="C1069" s="227"/>
      <c r="D1069" s="227"/>
      <c r="E1069" s="226"/>
      <c r="F1069" s="226"/>
      <c r="G1069" s="227"/>
      <c r="H1069" s="227"/>
      <c r="I1069" s="227"/>
      <c r="J1069" s="227"/>
      <c r="K1069" s="228"/>
      <c r="L1069" s="229"/>
      <c r="M1069" s="228"/>
      <c r="N1069" s="227"/>
      <c r="O1069" s="226"/>
      <c r="P1069" s="226"/>
      <c r="Q1069" s="228"/>
      <c r="R1069" s="228"/>
    </row>
    <row r="1070" ht="13.5" customHeight="1" spans="1:18">
      <c r="A1070" s="226"/>
      <c r="B1070" s="226"/>
      <c r="C1070" s="227"/>
      <c r="D1070" s="227"/>
      <c r="E1070" s="226"/>
      <c r="F1070" s="226"/>
      <c r="G1070" s="227"/>
      <c r="H1070" s="227"/>
      <c r="I1070" s="227"/>
      <c r="J1070" s="227"/>
      <c r="K1070" s="228"/>
      <c r="L1070" s="229"/>
      <c r="M1070" s="228"/>
      <c r="N1070" s="227"/>
      <c r="O1070" s="226"/>
      <c r="P1070" s="226"/>
      <c r="Q1070" s="228"/>
      <c r="R1070" s="228"/>
    </row>
    <row r="1071" ht="13.5" customHeight="1" spans="1:18">
      <c r="A1071" s="226"/>
      <c r="B1071" s="226"/>
      <c r="C1071" s="227"/>
      <c r="D1071" s="227"/>
      <c r="E1071" s="226"/>
      <c r="F1071" s="226"/>
      <c r="G1071" s="227"/>
      <c r="H1071" s="227"/>
      <c r="I1071" s="227"/>
      <c r="J1071" s="227"/>
      <c r="K1071" s="228"/>
      <c r="L1071" s="229"/>
      <c r="M1071" s="228"/>
      <c r="N1071" s="227"/>
      <c r="O1071" s="226"/>
      <c r="P1071" s="226"/>
      <c r="Q1071" s="228"/>
      <c r="R1071" s="228"/>
    </row>
    <row r="1072" ht="13.5" customHeight="1" spans="1:18">
      <c r="A1072" s="226"/>
      <c r="B1072" s="226"/>
      <c r="C1072" s="227"/>
      <c r="D1072" s="227"/>
      <c r="E1072" s="226"/>
      <c r="F1072" s="226"/>
      <c r="G1072" s="227"/>
      <c r="H1072" s="227"/>
      <c r="I1072" s="227"/>
      <c r="J1072" s="227"/>
      <c r="K1072" s="228"/>
      <c r="L1072" s="229"/>
      <c r="M1072" s="228"/>
      <c r="N1072" s="227"/>
      <c r="O1072" s="226"/>
      <c r="P1072" s="226"/>
      <c r="Q1072" s="228"/>
      <c r="R1072" s="228"/>
    </row>
    <row r="1073" ht="13.5" customHeight="1" spans="1:18">
      <c r="A1073" s="226"/>
      <c r="B1073" s="226"/>
      <c r="C1073" s="227"/>
      <c r="D1073" s="227"/>
      <c r="E1073" s="226"/>
      <c r="F1073" s="226"/>
      <c r="G1073" s="227"/>
      <c r="H1073" s="227"/>
      <c r="I1073" s="227"/>
      <c r="J1073" s="227"/>
      <c r="K1073" s="228"/>
      <c r="L1073" s="229"/>
      <c r="M1073" s="228"/>
      <c r="N1073" s="227"/>
      <c r="O1073" s="226"/>
      <c r="P1073" s="226"/>
      <c r="Q1073" s="228"/>
      <c r="R1073" s="228"/>
    </row>
    <row r="1074" ht="13.5" customHeight="1" spans="1:18">
      <c r="A1074" s="226"/>
      <c r="B1074" s="226"/>
      <c r="C1074" s="227"/>
      <c r="D1074" s="227"/>
      <c r="E1074" s="226"/>
      <c r="F1074" s="226"/>
      <c r="G1074" s="227"/>
      <c r="H1074" s="227"/>
      <c r="I1074" s="227"/>
      <c r="J1074" s="227"/>
      <c r="K1074" s="228"/>
      <c r="L1074" s="229"/>
      <c r="M1074" s="228"/>
      <c r="N1074" s="227"/>
      <c r="O1074" s="226"/>
      <c r="P1074" s="226"/>
      <c r="Q1074" s="228"/>
      <c r="R1074" s="228"/>
    </row>
    <row r="1075" ht="13.5" customHeight="1" spans="1:18">
      <c r="A1075" s="226"/>
      <c r="B1075" s="226"/>
      <c r="C1075" s="227"/>
      <c r="D1075" s="227"/>
      <c r="E1075" s="226"/>
      <c r="F1075" s="226"/>
      <c r="G1075" s="227"/>
      <c r="H1075" s="227"/>
      <c r="I1075" s="227"/>
      <c r="J1075" s="227"/>
      <c r="K1075" s="228"/>
      <c r="L1075" s="229"/>
      <c r="M1075" s="228"/>
      <c r="N1075" s="227"/>
      <c r="O1075" s="226"/>
      <c r="P1075" s="226"/>
      <c r="Q1075" s="228"/>
      <c r="R1075" s="228"/>
    </row>
    <row r="1076" ht="13.5" customHeight="1" spans="1:18">
      <c r="A1076" s="226"/>
      <c r="B1076" s="226"/>
      <c r="C1076" s="227"/>
      <c r="D1076" s="227"/>
      <c r="E1076" s="226"/>
      <c r="F1076" s="226"/>
      <c r="G1076" s="227"/>
      <c r="H1076" s="227"/>
      <c r="I1076" s="227"/>
      <c r="J1076" s="227"/>
      <c r="K1076" s="228"/>
      <c r="L1076" s="229"/>
      <c r="M1076" s="228"/>
      <c r="N1076" s="227"/>
      <c r="O1076" s="226"/>
      <c r="P1076" s="226"/>
      <c r="Q1076" s="228"/>
      <c r="R1076" s="228"/>
    </row>
    <row r="1077" ht="13.5" customHeight="1" spans="1:18">
      <c r="A1077" s="226"/>
      <c r="B1077" s="226"/>
      <c r="C1077" s="227"/>
      <c r="D1077" s="227"/>
      <c r="E1077" s="226"/>
      <c r="F1077" s="226"/>
      <c r="G1077" s="227"/>
      <c r="H1077" s="227"/>
      <c r="I1077" s="227"/>
      <c r="J1077" s="227"/>
      <c r="K1077" s="228"/>
      <c r="L1077" s="229"/>
      <c r="M1077" s="228"/>
      <c r="N1077" s="227"/>
      <c r="O1077" s="226"/>
      <c r="P1077" s="226"/>
      <c r="Q1077" s="228"/>
      <c r="R1077" s="228"/>
    </row>
    <row r="1078" ht="13.5" customHeight="1" spans="1:18">
      <c r="A1078" s="226"/>
      <c r="B1078" s="226"/>
      <c r="C1078" s="227"/>
      <c r="D1078" s="227"/>
      <c r="E1078" s="226"/>
      <c r="F1078" s="226"/>
      <c r="G1078" s="227"/>
      <c r="H1078" s="227"/>
      <c r="I1078" s="227"/>
      <c r="J1078" s="227"/>
      <c r="K1078" s="228"/>
      <c r="L1078" s="229"/>
      <c r="M1078" s="228"/>
      <c r="N1078" s="227"/>
      <c r="O1078" s="226"/>
      <c r="P1078" s="226"/>
      <c r="Q1078" s="228"/>
      <c r="R1078" s="228"/>
    </row>
    <row r="1079" ht="13.5" customHeight="1" spans="1:18">
      <c r="A1079" s="226"/>
      <c r="B1079" s="226"/>
      <c r="C1079" s="227"/>
      <c r="D1079" s="227"/>
      <c r="E1079" s="226"/>
      <c r="F1079" s="226"/>
      <c r="G1079" s="227"/>
      <c r="H1079" s="227"/>
      <c r="I1079" s="227"/>
      <c r="J1079" s="227"/>
      <c r="K1079" s="228"/>
      <c r="L1079" s="229"/>
      <c r="M1079" s="228"/>
      <c r="N1079" s="227"/>
      <c r="O1079" s="226"/>
      <c r="P1079" s="226"/>
      <c r="Q1079" s="228"/>
      <c r="R1079" s="228"/>
    </row>
    <row r="1080" ht="13.5" customHeight="1" spans="1:18">
      <c r="A1080" s="226"/>
      <c r="B1080" s="226"/>
      <c r="C1080" s="227"/>
      <c r="D1080" s="227"/>
      <c r="E1080" s="226"/>
      <c r="F1080" s="226"/>
      <c r="G1080" s="227"/>
      <c r="H1080" s="227"/>
      <c r="I1080" s="227"/>
      <c r="J1080" s="227"/>
      <c r="K1080" s="228"/>
      <c r="L1080" s="229"/>
      <c r="M1080" s="228"/>
      <c r="N1080" s="227"/>
      <c r="O1080" s="226"/>
      <c r="P1080" s="226"/>
      <c r="Q1080" s="228"/>
      <c r="R1080" s="228"/>
    </row>
    <row r="1081" ht="13.5" customHeight="1" spans="1:18">
      <c r="A1081" s="226"/>
      <c r="B1081" s="226"/>
      <c r="C1081" s="227"/>
      <c r="D1081" s="227"/>
      <c r="E1081" s="226"/>
      <c r="F1081" s="226"/>
      <c r="G1081" s="227"/>
      <c r="H1081" s="227"/>
      <c r="I1081" s="227"/>
      <c r="J1081" s="227"/>
      <c r="K1081" s="228"/>
      <c r="L1081" s="229"/>
      <c r="M1081" s="228"/>
      <c r="N1081" s="227"/>
      <c r="O1081" s="226"/>
      <c r="P1081" s="226"/>
      <c r="Q1081" s="228"/>
      <c r="R1081" s="228"/>
    </row>
    <row r="1082" ht="13.5" customHeight="1" spans="1:18">
      <c r="A1082" s="226"/>
      <c r="B1082" s="226"/>
      <c r="C1082" s="227"/>
      <c r="D1082" s="227"/>
      <c r="E1082" s="226"/>
      <c r="F1082" s="226"/>
      <c r="G1082" s="227"/>
      <c r="H1082" s="227"/>
      <c r="I1082" s="227"/>
      <c r="J1082" s="227"/>
      <c r="K1082" s="228"/>
      <c r="L1082" s="229"/>
      <c r="M1082" s="228"/>
      <c r="N1082" s="227"/>
      <c r="O1082" s="226"/>
      <c r="P1082" s="226"/>
      <c r="Q1082" s="228"/>
      <c r="R1082" s="228"/>
    </row>
    <row r="1083" ht="13.5" customHeight="1" spans="1:18">
      <c r="A1083" s="226"/>
      <c r="B1083" s="226"/>
      <c r="C1083" s="227"/>
      <c r="D1083" s="227"/>
      <c r="E1083" s="226"/>
      <c r="F1083" s="226"/>
      <c r="G1083" s="227"/>
      <c r="H1083" s="227"/>
      <c r="I1083" s="227"/>
      <c r="J1083" s="227"/>
      <c r="K1083" s="228"/>
      <c r="L1083" s="229"/>
      <c r="M1083" s="228"/>
      <c r="N1083" s="227"/>
      <c r="O1083" s="226"/>
      <c r="P1083" s="226"/>
      <c r="Q1083" s="228"/>
      <c r="R1083" s="228"/>
    </row>
    <row r="1084" ht="13.5" customHeight="1" spans="1:18">
      <c r="A1084" s="226"/>
      <c r="B1084" s="226"/>
      <c r="C1084" s="227"/>
      <c r="D1084" s="227"/>
      <c r="E1084" s="226"/>
      <c r="F1084" s="226"/>
      <c r="G1084" s="227"/>
      <c r="H1084" s="227"/>
      <c r="I1084" s="227"/>
      <c r="J1084" s="227"/>
      <c r="K1084" s="228"/>
      <c r="L1084" s="229"/>
      <c r="M1084" s="228"/>
      <c r="N1084" s="227"/>
      <c r="O1084" s="226"/>
      <c r="P1084" s="226"/>
      <c r="Q1084" s="228"/>
      <c r="R1084" s="228"/>
    </row>
    <row r="1085" ht="13.5" customHeight="1" spans="1:18">
      <c r="A1085" s="226"/>
      <c r="B1085" s="226"/>
      <c r="C1085" s="227"/>
      <c r="D1085" s="227"/>
      <c r="E1085" s="226"/>
      <c r="F1085" s="226"/>
      <c r="G1085" s="227"/>
      <c r="H1085" s="227"/>
      <c r="I1085" s="227"/>
      <c r="J1085" s="227"/>
      <c r="K1085" s="228"/>
      <c r="L1085" s="229"/>
      <c r="M1085" s="228"/>
      <c r="N1085" s="227"/>
      <c r="O1085" s="226"/>
      <c r="P1085" s="226"/>
      <c r="Q1085" s="228"/>
      <c r="R1085" s="228"/>
    </row>
    <row r="1086" ht="13.5" customHeight="1" spans="1:18">
      <c r="A1086" s="226"/>
      <c r="B1086" s="226"/>
      <c r="C1086" s="227"/>
      <c r="D1086" s="227"/>
      <c r="E1086" s="226"/>
      <c r="F1086" s="226"/>
      <c r="G1086" s="227"/>
      <c r="H1086" s="227"/>
      <c r="I1086" s="227"/>
      <c r="J1086" s="227"/>
      <c r="K1086" s="228"/>
      <c r="L1086" s="229"/>
      <c r="M1086" s="228"/>
      <c r="N1086" s="227"/>
      <c r="O1086" s="226"/>
      <c r="P1086" s="226"/>
      <c r="Q1086" s="228"/>
      <c r="R1086" s="228"/>
    </row>
    <row r="1087" ht="13.5" customHeight="1" spans="1:18">
      <c r="A1087" s="226"/>
      <c r="B1087" s="226"/>
      <c r="C1087" s="227"/>
      <c r="D1087" s="227"/>
      <c r="E1087" s="226"/>
      <c r="F1087" s="226"/>
      <c r="G1087" s="227"/>
      <c r="H1087" s="227"/>
      <c r="I1087" s="227"/>
      <c r="J1087" s="227"/>
      <c r="K1087" s="228"/>
      <c r="L1087" s="229"/>
      <c r="M1087" s="228"/>
      <c r="N1087" s="227"/>
      <c r="O1087" s="226"/>
      <c r="P1087" s="226"/>
      <c r="Q1087" s="228"/>
      <c r="R1087" s="228"/>
    </row>
    <row r="1088" ht="13.5" customHeight="1" spans="1:18">
      <c r="A1088" s="226"/>
      <c r="B1088" s="226"/>
      <c r="C1088" s="227"/>
      <c r="D1088" s="227"/>
      <c r="E1088" s="226"/>
      <c r="F1088" s="226"/>
      <c r="G1088" s="227"/>
      <c r="H1088" s="227"/>
      <c r="I1088" s="227"/>
      <c r="J1088" s="227"/>
      <c r="K1088" s="228"/>
      <c r="L1088" s="229"/>
      <c r="M1088" s="228"/>
      <c r="N1088" s="227"/>
      <c r="O1088" s="226"/>
      <c r="P1088" s="226"/>
      <c r="Q1088" s="228"/>
      <c r="R1088" s="228"/>
    </row>
    <row r="1089" ht="13.5" customHeight="1" spans="1:18">
      <c r="A1089" s="226"/>
      <c r="B1089" s="226"/>
      <c r="C1089" s="227"/>
      <c r="D1089" s="227"/>
      <c r="E1089" s="226"/>
      <c r="F1089" s="226"/>
      <c r="G1089" s="227"/>
      <c r="H1089" s="227"/>
      <c r="I1089" s="227"/>
      <c r="J1089" s="227"/>
      <c r="K1089" s="228"/>
      <c r="L1089" s="229"/>
      <c r="M1089" s="228"/>
      <c r="N1089" s="227"/>
      <c r="O1089" s="226"/>
      <c r="P1089" s="226"/>
      <c r="Q1089" s="228"/>
      <c r="R1089" s="228"/>
    </row>
    <row r="1090" ht="13.5" customHeight="1" spans="1:18">
      <c r="A1090" s="226"/>
      <c r="B1090" s="226"/>
      <c r="C1090" s="227"/>
      <c r="D1090" s="227"/>
      <c r="E1090" s="226"/>
      <c r="F1090" s="226"/>
      <c r="G1090" s="227"/>
      <c r="H1090" s="227"/>
      <c r="I1090" s="227"/>
      <c r="J1090" s="227"/>
      <c r="K1090" s="228"/>
      <c r="L1090" s="229"/>
      <c r="M1090" s="228"/>
      <c r="N1090" s="227"/>
      <c r="O1090" s="226"/>
      <c r="P1090" s="226"/>
      <c r="Q1090" s="228"/>
      <c r="R1090" s="228"/>
    </row>
    <row r="1091" ht="13.5" customHeight="1" spans="1:18">
      <c r="A1091" s="226"/>
      <c r="B1091" s="226"/>
      <c r="C1091" s="227"/>
      <c r="D1091" s="227"/>
      <c r="E1091" s="226"/>
      <c r="F1091" s="226"/>
      <c r="G1091" s="227"/>
      <c r="H1091" s="227"/>
      <c r="I1091" s="227"/>
      <c r="J1091" s="227"/>
      <c r="K1091" s="228"/>
      <c r="L1091" s="229"/>
      <c r="M1091" s="228"/>
      <c r="N1091" s="227"/>
      <c r="O1091" s="226"/>
      <c r="P1091" s="226"/>
      <c r="Q1091" s="228"/>
      <c r="R1091" s="228"/>
    </row>
    <row r="1092" ht="13.5" customHeight="1" spans="1:18">
      <c r="A1092" s="226"/>
      <c r="B1092" s="226"/>
      <c r="C1092" s="227"/>
      <c r="D1092" s="227"/>
      <c r="E1092" s="226"/>
      <c r="F1092" s="226"/>
      <c r="G1092" s="227"/>
      <c r="H1092" s="227"/>
      <c r="I1092" s="227"/>
      <c r="J1092" s="227"/>
      <c r="K1092" s="228"/>
      <c r="L1092" s="229"/>
      <c r="M1092" s="228"/>
      <c r="N1092" s="227"/>
      <c r="O1092" s="226"/>
      <c r="P1092" s="226"/>
      <c r="Q1092" s="228"/>
      <c r="R1092" s="228"/>
    </row>
    <row r="1093" ht="13.5" customHeight="1" spans="1:18">
      <c r="A1093" s="226"/>
      <c r="B1093" s="226"/>
      <c r="C1093" s="227"/>
      <c r="D1093" s="227"/>
      <c r="E1093" s="226"/>
      <c r="F1093" s="226"/>
      <c r="G1093" s="227"/>
      <c r="H1093" s="227"/>
      <c r="I1093" s="227"/>
      <c r="J1093" s="227"/>
      <c r="K1093" s="228"/>
      <c r="L1093" s="229"/>
      <c r="M1093" s="228"/>
      <c r="N1093" s="227"/>
      <c r="O1093" s="226"/>
      <c r="P1093" s="226"/>
      <c r="Q1093" s="228"/>
      <c r="R1093" s="228"/>
    </row>
    <row r="1094" ht="13.5" customHeight="1" spans="1:18">
      <c r="A1094" s="226"/>
      <c r="B1094" s="226"/>
      <c r="C1094" s="227"/>
      <c r="D1094" s="227"/>
      <c r="E1094" s="226"/>
      <c r="F1094" s="226"/>
      <c r="G1094" s="227"/>
      <c r="H1094" s="227"/>
      <c r="I1094" s="227"/>
      <c r="J1094" s="227"/>
      <c r="K1094" s="228"/>
      <c r="L1094" s="229"/>
      <c r="M1094" s="228"/>
      <c r="N1094" s="227"/>
      <c r="O1094" s="226"/>
      <c r="P1094" s="226"/>
      <c r="Q1094" s="228"/>
      <c r="R1094" s="228"/>
    </row>
    <row r="1095" ht="13.5" customHeight="1" spans="1:18">
      <c r="A1095" s="226"/>
      <c r="B1095" s="226"/>
      <c r="C1095" s="227"/>
      <c r="D1095" s="227"/>
      <c r="E1095" s="226"/>
      <c r="F1095" s="226"/>
      <c r="G1095" s="227"/>
      <c r="H1095" s="227"/>
      <c r="I1095" s="227"/>
      <c r="J1095" s="227"/>
      <c r="K1095" s="228"/>
      <c r="L1095" s="229"/>
      <c r="M1095" s="228"/>
      <c r="N1095" s="227"/>
      <c r="O1095" s="226"/>
      <c r="P1095" s="226"/>
      <c r="Q1095" s="228"/>
      <c r="R1095" s="228"/>
    </row>
    <row r="1096" ht="13.5" customHeight="1" spans="1:18">
      <c r="A1096" s="226"/>
      <c r="B1096" s="226"/>
      <c r="C1096" s="227"/>
      <c r="D1096" s="227"/>
      <c r="E1096" s="226"/>
      <c r="F1096" s="226"/>
      <c r="G1096" s="227"/>
      <c r="H1096" s="227"/>
      <c r="I1096" s="227"/>
      <c r="J1096" s="227"/>
      <c r="K1096" s="228"/>
      <c r="L1096" s="229"/>
      <c r="M1096" s="228"/>
      <c r="N1096" s="227"/>
      <c r="O1096" s="226"/>
      <c r="P1096" s="226"/>
      <c r="Q1096" s="228"/>
      <c r="R1096" s="228"/>
    </row>
    <row r="1097" ht="13.5" customHeight="1" spans="1:18">
      <c r="A1097" s="226"/>
      <c r="B1097" s="226"/>
      <c r="C1097" s="227"/>
      <c r="D1097" s="227"/>
      <c r="E1097" s="226"/>
      <c r="F1097" s="226"/>
      <c r="G1097" s="227"/>
      <c r="H1097" s="227"/>
      <c r="I1097" s="227"/>
      <c r="J1097" s="227"/>
      <c r="K1097" s="228"/>
      <c r="L1097" s="229"/>
      <c r="M1097" s="228"/>
      <c r="N1097" s="227"/>
      <c r="O1097" s="226"/>
      <c r="P1097" s="226"/>
      <c r="Q1097" s="228"/>
      <c r="R1097" s="228"/>
    </row>
    <row r="1098" ht="13.5" customHeight="1" spans="1:18">
      <c r="A1098" s="226"/>
      <c r="B1098" s="226"/>
      <c r="C1098" s="227"/>
      <c r="D1098" s="227"/>
      <c r="E1098" s="226"/>
      <c r="F1098" s="226"/>
      <c r="G1098" s="227"/>
      <c r="H1098" s="227"/>
      <c r="I1098" s="227"/>
      <c r="J1098" s="227"/>
      <c r="K1098" s="228"/>
      <c r="L1098" s="229"/>
      <c r="M1098" s="228"/>
      <c r="N1098" s="227"/>
      <c r="O1098" s="226"/>
      <c r="P1098" s="226"/>
      <c r="Q1098" s="228"/>
      <c r="R1098" s="228"/>
    </row>
    <row r="1099" ht="13.5" customHeight="1" spans="1:18">
      <c r="A1099" s="226"/>
      <c r="B1099" s="226"/>
      <c r="C1099" s="227"/>
      <c r="D1099" s="227"/>
      <c r="E1099" s="226"/>
      <c r="F1099" s="226"/>
      <c r="G1099" s="227"/>
      <c r="H1099" s="227"/>
      <c r="I1099" s="227"/>
      <c r="J1099" s="227"/>
      <c r="K1099" s="228"/>
      <c r="L1099" s="229"/>
      <c r="M1099" s="228"/>
      <c r="N1099" s="227"/>
      <c r="O1099" s="226"/>
      <c r="P1099" s="226"/>
      <c r="Q1099" s="228"/>
      <c r="R1099" s="228"/>
    </row>
    <row r="1100" ht="13.5" customHeight="1" spans="1:18">
      <c r="A1100" s="226"/>
      <c r="B1100" s="226"/>
      <c r="C1100" s="227"/>
      <c r="D1100" s="227"/>
      <c r="E1100" s="226"/>
      <c r="F1100" s="226"/>
      <c r="G1100" s="227"/>
      <c r="H1100" s="227"/>
      <c r="I1100" s="227"/>
      <c r="J1100" s="227"/>
      <c r="K1100" s="228"/>
      <c r="L1100" s="229"/>
      <c r="M1100" s="228"/>
      <c r="N1100" s="227"/>
      <c r="O1100" s="226"/>
      <c r="P1100" s="226"/>
      <c r="Q1100" s="228"/>
      <c r="R1100" s="228"/>
    </row>
    <row r="1101" ht="13.5" customHeight="1" spans="1:18">
      <c r="A1101" s="226"/>
      <c r="B1101" s="226"/>
      <c r="C1101" s="227"/>
      <c r="D1101" s="227"/>
      <c r="E1101" s="226"/>
      <c r="F1101" s="226"/>
      <c r="G1101" s="227"/>
      <c r="H1101" s="227"/>
      <c r="I1101" s="227"/>
      <c r="J1101" s="227"/>
      <c r="K1101" s="228"/>
      <c r="L1101" s="229"/>
      <c r="M1101" s="228"/>
      <c r="N1101" s="227"/>
      <c r="O1101" s="226"/>
      <c r="P1101" s="226"/>
      <c r="Q1101" s="228"/>
      <c r="R1101" s="228"/>
    </row>
    <row r="1102" ht="13.5" customHeight="1" spans="1:18">
      <c r="A1102" s="226"/>
      <c r="B1102" s="226"/>
      <c r="C1102" s="227"/>
      <c r="D1102" s="227"/>
      <c r="E1102" s="226"/>
      <c r="F1102" s="226"/>
      <c r="G1102" s="227"/>
      <c r="H1102" s="227"/>
      <c r="I1102" s="227"/>
      <c r="J1102" s="227"/>
      <c r="K1102" s="228"/>
      <c r="L1102" s="229"/>
      <c r="M1102" s="228"/>
      <c r="N1102" s="227"/>
      <c r="O1102" s="226"/>
      <c r="P1102" s="226"/>
      <c r="Q1102" s="228"/>
      <c r="R1102" s="228"/>
    </row>
    <row r="1103" ht="13.5" customHeight="1" spans="1:18">
      <c r="A1103" s="226"/>
      <c r="B1103" s="226"/>
      <c r="C1103" s="227"/>
      <c r="D1103" s="227"/>
      <c r="E1103" s="226"/>
      <c r="F1103" s="226"/>
      <c r="G1103" s="227"/>
      <c r="H1103" s="227"/>
      <c r="I1103" s="227"/>
      <c r="J1103" s="227"/>
      <c r="K1103" s="228"/>
      <c r="L1103" s="229"/>
      <c r="M1103" s="228"/>
      <c r="N1103" s="227"/>
      <c r="O1103" s="226"/>
      <c r="P1103" s="226"/>
      <c r="Q1103" s="228"/>
      <c r="R1103" s="228"/>
    </row>
    <row r="1104" ht="13.5" customHeight="1" spans="1:18">
      <c r="A1104" s="226"/>
      <c r="B1104" s="226"/>
      <c r="C1104" s="227"/>
      <c r="D1104" s="227"/>
      <c r="E1104" s="226"/>
      <c r="F1104" s="226"/>
      <c r="G1104" s="227"/>
      <c r="H1104" s="227"/>
      <c r="I1104" s="227"/>
      <c r="J1104" s="227"/>
      <c r="K1104" s="228"/>
      <c r="L1104" s="229"/>
      <c r="M1104" s="228"/>
      <c r="N1104" s="227"/>
      <c r="O1104" s="226"/>
      <c r="P1104" s="226"/>
      <c r="Q1104" s="228"/>
      <c r="R1104" s="228"/>
    </row>
    <row r="1105" ht="13.5" customHeight="1" spans="1:18">
      <c r="A1105" s="226"/>
      <c r="B1105" s="226"/>
      <c r="C1105" s="227"/>
      <c r="D1105" s="227"/>
      <c r="E1105" s="226"/>
      <c r="F1105" s="226"/>
      <c r="G1105" s="227"/>
      <c r="H1105" s="227"/>
      <c r="I1105" s="227"/>
      <c r="J1105" s="227"/>
      <c r="K1105" s="228"/>
      <c r="L1105" s="229"/>
      <c r="M1105" s="228"/>
      <c r="N1105" s="227"/>
      <c r="O1105" s="226"/>
      <c r="P1105" s="226"/>
      <c r="Q1105" s="228"/>
      <c r="R1105" s="228"/>
    </row>
    <row r="1106" ht="13.5" customHeight="1" spans="1:18">
      <c r="A1106" s="226"/>
      <c r="B1106" s="226"/>
      <c r="C1106" s="227"/>
      <c r="D1106" s="227"/>
      <c r="E1106" s="226"/>
      <c r="F1106" s="226"/>
      <c r="G1106" s="227"/>
      <c r="H1106" s="227"/>
      <c r="I1106" s="227"/>
      <c r="J1106" s="227"/>
      <c r="K1106" s="228"/>
      <c r="L1106" s="229"/>
      <c r="M1106" s="228"/>
      <c r="N1106" s="227"/>
      <c r="O1106" s="226"/>
      <c r="P1106" s="226"/>
      <c r="Q1106" s="228"/>
      <c r="R1106" s="228"/>
    </row>
    <row r="1107" ht="13.5" customHeight="1" spans="1:18">
      <c r="A1107" s="226"/>
      <c r="B1107" s="226"/>
      <c r="C1107" s="227"/>
      <c r="D1107" s="227"/>
      <c r="E1107" s="226"/>
      <c r="F1107" s="226"/>
      <c r="G1107" s="227"/>
      <c r="H1107" s="227"/>
      <c r="I1107" s="227"/>
      <c r="J1107" s="227"/>
      <c r="K1107" s="228"/>
      <c r="L1107" s="229"/>
      <c r="M1107" s="228"/>
      <c r="N1107" s="227"/>
      <c r="O1107" s="226"/>
      <c r="P1107" s="226"/>
      <c r="Q1107" s="228"/>
      <c r="R1107" s="228"/>
    </row>
    <row r="1108" ht="13.5" customHeight="1" spans="1:18">
      <c r="A1108" s="226"/>
      <c r="B1108" s="226"/>
      <c r="C1108" s="227"/>
      <c r="D1108" s="227"/>
      <c r="E1108" s="226"/>
      <c r="F1108" s="226"/>
      <c r="G1108" s="227"/>
      <c r="H1108" s="227"/>
      <c r="I1108" s="227"/>
      <c r="J1108" s="227"/>
      <c r="K1108" s="228"/>
      <c r="L1108" s="229"/>
      <c r="M1108" s="228"/>
      <c r="N1108" s="227"/>
      <c r="O1108" s="226"/>
      <c r="P1108" s="226"/>
      <c r="Q1108" s="228"/>
      <c r="R1108" s="228"/>
    </row>
    <row r="1109" ht="13.5" customHeight="1" spans="1:18">
      <c r="A1109" s="226"/>
      <c r="B1109" s="226"/>
      <c r="C1109" s="227"/>
      <c r="D1109" s="227"/>
      <c r="E1109" s="226"/>
      <c r="F1109" s="226"/>
      <c r="G1109" s="227"/>
      <c r="H1109" s="227"/>
      <c r="I1109" s="227"/>
      <c r="J1109" s="227"/>
      <c r="K1109" s="228"/>
      <c r="L1109" s="229"/>
      <c r="M1109" s="228"/>
      <c r="N1109" s="227"/>
      <c r="O1109" s="226"/>
      <c r="P1109" s="226"/>
      <c r="Q1109" s="228"/>
      <c r="R1109" s="228"/>
    </row>
    <row r="1110" ht="13.5" customHeight="1" spans="1:18">
      <c r="A1110" s="226"/>
      <c r="B1110" s="226"/>
      <c r="C1110" s="227"/>
      <c r="D1110" s="227"/>
      <c r="E1110" s="226"/>
      <c r="F1110" s="226"/>
      <c r="G1110" s="227"/>
      <c r="H1110" s="227"/>
      <c r="I1110" s="227"/>
      <c r="J1110" s="227"/>
      <c r="K1110" s="228"/>
      <c r="L1110" s="229"/>
      <c r="M1110" s="228"/>
      <c r="N1110" s="227"/>
      <c r="O1110" s="226"/>
      <c r="P1110" s="226"/>
      <c r="Q1110" s="228"/>
      <c r="R1110" s="228"/>
    </row>
    <row r="1111" ht="13.5" customHeight="1" spans="1:18">
      <c r="A1111" s="226"/>
      <c r="B1111" s="226"/>
      <c r="C1111" s="227"/>
      <c r="D1111" s="227"/>
      <c r="E1111" s="226"/>
      <c r="F1111" s="226"/>
      <c r="G1111" s="227"/>
      <c r="H1111" s="227"/>
      <c r="I1111" s="227"/>
      <c r="J1111" s="227"/>
      <c r="K1111" s="228"/>
      <c r="L1111" s="229"/>
      <c r="M1111" s="228"/>
      <c r="N1111" s="227"/>
      <c r="O1111" s="226"/>
      <c r="P1111" s="226"/>
      <c r="Q1111" s="228"/>
      <c r="R1111" s="228"/>
    </row>
    <row r="1112" ht="13.5" customHeight="1" spans="1:18">
      <c r="A1112" s="226"/>
      <c r="B1112" s="226"/>
      <c r="C1112" s="227"/>
      <c r="D1112" s="227"/>
      <c r="E1112" s="226"/>
      <c r="F1112" s="226"/>
      <c r="G1112" s="227"/>
      <c r="H1112" s="227"/>
      <c r="I1112" s="227"/>
      <c r="J1112" s="227"/>
      <c r="K1112" s="228"/>
      <c r="L1112" s="229"/>
      <c r="M1112" s="228"/>
      <c r="N1112" s="227"/>
      <c r="O1112" s="226"/>
      <c r="P1112" s="226"/>
      <c r="Q1112" s="228"/>
      <c r="R1112" s="228"/>
    </row>
    <row r="1113" ht="13.5" customHeight="1" spans="1:18">
      <c r="A1113" s="226"/>
      <c r="B1113" s="226"/>
      <c r="C1113" s="227"/>
      <c r="D1113" s="227"/>
      <c r="E1113" s="226"/>
      <c r="F1113" s="226"/>
      <c r="G1113" s="227"/>
      <c r="H1113" s="227"/>
      <c r="I1113" s="227"/>
      <c r="J1113" s="227"/>
      <c r="K1113" s="228"/>
      <c r="L1113" s="229"/>
      <c r="M1113" s="228"/>
      <c r="N1113" s="227"/>
      <c r="O1113" s="226"/>
      <c r="P1113" s="226"/>
      <c r="Q1113" s="228"/>
      <c r="R1113" s="228"/>
    </row>
    <row r="1114" ht="13.5" customHeight="1" spans="1:18">
      <c r="A1114" s="226"/>
      <c r="B1114" s="226"/>
      <c r="C1114" s="227"/>
      <c r="D1114" s="227"/>
      <c r="E1114" s="226"/>
      <c r="F1114" s="226"/>
      <c r="G1114" s="227"/>
      <c r="H1114" s="227"/>
      <c r="I1114" s="227"/>
      <c r="J1114" s="227"/>
      <c r="K1114" s="228"/>
      <c r="L1114" s="229"/>
      <c r="M1114" s="228"/>
      <c r="N1114" s="227"/>
      <c r="O1114" s="226"/>
      <c r="P1114" s="226"/>
      <c r="Q1114" s="228"/>
      <c r="R1114" s="228"/>
    </row>
    <row r="1115" ht="13.5" customHeight="1" spans="1:18">
      <c r="A1115" s="226"/>
      <c r="B1115" s="226"/>
      <c r="C1115" s="227"/>
      <c r="D1115" s="227"/>
      <c r="E1115" s="226"/>
      <c r="F1115" s="226"/>
      <c r="G1115" s="227"/>
      <c r="H1115" s="227"/>
      <c r="I1115" s="227"/>
      <c r="J1115" s="227"/>
      <c r="K1115" s="228"/>
      <c r="L1115" s="229"/>
      <c r="M1115" s="228"/>
      <c r="N1115" s="227"/>
      <c r="O1115" s="226"/>
      <c r="P1115" s="226"/>
      <c r="Q1115" s="228"/>
      <c r="R1115" s="228"/>
    </row>
    <row r="1116" ht="13.5" customHeight="1" spans="1:18">
      <c r="A1116" s="226"/>
      <c r="B1116" s="226"/>
      <c r="C1116" s="227"/>
      <c r="D1116" s="227"/>
      <c r="E1116" s="226"/>
      <c r="F1116" s="226"/>
      <c r="G1116" s="227"/>
      <c r="H1116" s="227"/>
      <c r="I1116" s="227"/>
      <c r="J1116" s="227"/>
      <c r="K1116" s="228"/>
      <c r="L1116" s="229"/>
      <c r="M1116" s="228"/>
      <c r="N1116" s="227"/>
      <c r="O1116" s="226"/>
      <c r="P1116" s="226"/>
      <c r="Q1116" s="228"/>
      <c r="R1116" s="228"/>
    </row>
    <row r="1117" ht="13.5" customHeight="1" spans="1:18">
      <c r="A1117" s="226"/>
      <c r="B1117" s="226"/>
      <c r="C1117" s="227"/>
      <c r="D1117" s="227"/>
      <c r="E1117" s="226"/>
      <c r="F1117" s="226"/>
      <c r="G1117" s="227"/>
      <c r="H1117" s="227"/>
      <c r="I1117" s="227"/>
      <c r="J1117" s="227"/>
      <c r="K1117" s="228"/>
      <c r="L1117" s="229"/>
      <c r="M1117" s="228"/>
      <c r="N1117" s="227"/>
      <c r="O1117" s="226"/>
      <c r="P1117" s="226"/>
      <c r="Q1117" s="228"/>
      <c r="R1117" s="228"/>
    </row>
    <row r="1118" ht="13.5" customHeight="1" spans="1:18">
      <c r="A1118" s="226"/>
      <c r="B1118" s="226"/>
      <c r="C1118" s="227"/>
      <c r="D1118" s="227"/>
      <c r="E1118" s="226"/>
      <c r="F1118" s="226"/>
      <c r="G1118" s="227"/>
      <c r="H1118" s="227"/>
      <c r="I1118" s="227"/>
      <c r="J1118" s="227"/>
      <c r="K1118" s="228"/>
      <c r="L1118" s="229"/>
      <c r="M1118" s="228"/>
      <c r="N1118" s="227"/>
      <c r="O1118" s="226"/>
      <c r="P1118" s="226"/>
      <c r="Q1118" s="228"/>
      <c r="R1118" s="228"/>
    </row>
    <row r="1119" ht="13.5" customHeight="1" spans="1:18">
      <c r="A1119" s="226"/>
      <c r="B1119" s="226"/>
      <c r="C1119" s="227"/>
      <c r="D1119" s="227"/>
      <c r="E1119" s="226"/>
      <c r="F1119" s="226"/>
      <c r="G1119" s="227"/>
      <c r="H1119" s="227"/>
      <c r="I1119" s="227"/>
      <c r="J1119" s="227"/>
      <c r="K1119" s="228"/>
      <c r="L1119" s="229"/>
      <c r="M1119" s="228"/>
      <c r="N1119" s="227"/>
      <c r="O1119" s="226"/>
      <c r="P1119" s="226"/>
      <c r="Q1119" s="228"/>
      <c r="R1119" s="228"/>
    </row>
    <row r="1120" ht="13.5" customHeight="1" spans="1:18">
      <c r="A1120" s="226"/>
      <c r="B1120" s="226"/>
      <c r="C1120" s="227"/>
      <c r="D1120" s="227"/>
      <c r="E1120" s="226"/>
      <c r="F1120" s="226"/>
      <c r="G1120" s="227"/>
      <c r="H1120" s="227"/>
      <c r="I1120" s="227"/>
      <c r="J1120" s="227"/>
      <c r="K1120" s="228"/>
      <c r="L1120" s="229"/>
      <c r="M1120" s="228"/>
      <c r="N1120" s="227"/>
      <c r="O1120" s="226"/>
      <c r="P1120" s="226"/>
      <c r="Q1120" s="228"/>
      <c r="R1120" s="228"/>
    </row>
    <row r="1121" ht="13.5" customHeight="1" spans="1:18">
      <c r="A1121" s="226"/>
      <c r="B1121" s="226"/>
      <c r="C1121" s="227"/>
      <c r="D1121" s="227"/>
      <c r="E1121" s="226"/>
      <c r="F1121" s="226"/>
      <c r="G1121" s="227"/>
      <c r="H1121" s="227"/>
      <c r="I1121" s="227"/>
      <c r="J1121" s="227"/>
      <c r="K1121" s="228"/>
      <c r="L1121" s="229"/>
      <c r="M1121" s="228"/>
      <c r="N1121" s="227"/>
      <c r="O1121" s="226"/>
      <c r="P1121" s="226"/>
      <c r="Q1121" s="228"/>
      <c r="R1121" s="228"/>
    </row>
    <row r="1122" ht="13.5" customHeight="1" spans="1:18">
      <c r="A1122" s="226"/>
      <c r="B1122" s="226"/>
      <c r="C1122" s="227"/>
      <c r="D1122" s="227"/>
      <c r="E1122" s="226"/>
      <c r="F1122" s="226"/>
      <c r="G1122" s="227"/>
      <c r="H1122" s="227"/>
      <c r="I1122" s="227"/>
      <c r="J1122" s="227"/>
      <c r="K1122" s="228"/>
      <c r="L1122" s="229"/>
      <c r="M1122" s="228"/>
      <c r="N1122" s="227"/>
      <c r="O1122" s="226"/>
      <c r="P1122" s="226"/>
      <c r="Q1122" s="228"/>
      <c r="R1122" s="228"/>
    </row>
    <row r="1123" ht="13.5" customHeight="1" spans="1:18">
      <c r="A1123" s="226"/>
      <c r="B1123" s="226"/>
      <c r="C1123" s="227"/>
      <c r="D1123" s="227"/>
      <c r="E1123" s="226"/>
      <c r="F1123" s="226"/>
      <c r="G1123" s="227"/>
      <c r="H1123" s="227"/>
      <c r="I1123" s="227"/>
      <c r="J1123" s="227"/>
      <c r="K1123" s="228"/>
      <c r="L1123" s="229"/>
      <c r="M1123" s="228"/>
      <c r="N1123" s="227"/>
      <c r="O1123" s="226"/>
      <c r="P1123" s="226"/>
      <c r="Q1123" s="228"/>
      <c r="R1123" s="228"/>
    </row>
    <row r="1124" ht="13.5" customHeight="1" spans="1:18">
      <c r="A1124" s="226"/>
      <c r="B1124" s="226"/>
      <c r="C1124" s="227"/>
      <c r="D1124" s="227"/>
      <c r="E1124" s="226"/>
      <c r="F1124" s="226"/>
      <c r="G1124" s="227"/>
      <c r="H1124" s="227"/>
      <c r="I1124" s="227"/>
      <c r="J1124" s="227"/>
      <c r="K1124" s="228"/>
      <c r="L1124" s="229"/>
      <c r="M1124" s="228"/>
      <c r="N1124" s="227"/>
      <c r="O1124" s="226"/>
      <c r="P1124" s="226"/>
      <c r="Q1124" s="228"/>
      <c r="R1124" s="228"/>
    </row>
    <row r="1125" ht="13.5" customHeight="1" spans="1:18">
      <c r="A1125" s="226"/>
      <c r="B1125" s="226"/>
      <c r="C1125" s="227"/>
      <c r="D1125" s="227"/>
      <c r="E1125" s="226"/>
      <c r="F1125" s="226"/>
      <c r="G1125" s="227"/>
      <c r="H1125" s="227"/>
      <c r="I1125" s="227"/>
      <c r="J1125" s="227"/>
      <c r="K1125" s="228"/>
      <c r="L1125" s="229"/>
      <c r="M1125" s="228"/>
      <c r="N1125" s="227"/>
      <c r="O1125" s="226"/>
      <c r="P1125" s="226"/>
      <c r="Q1125" s="228"/>
      <c r="R1125" s="228"/>
    </row>
    <row r="1126" ht="13.5" customHeight="1" spans="1:18">
      <c r="A1126" s="226"/>
      <c r="B1126" s="226"/>
      <c r="C1126" s="227"/>
      <c r="D1126" s="227"/>
      <c r="E1126" s="226"/>
      <c r="F1126" s="226"/>
      <c r="G1126" s="227"/>
      <c r="H1126" s="227"/>
      <c r="I1126" s="227"/>
      <c r="J1126" s="227"/>
      <c r="K1126" s="228"/>
      <c r="L1126" s="229"/>
      <c r="M1126" s="228"/>
      <c r="N1126" s="227"/>
      <c r="O1126" s="226"/>
      <c r="P1126" s="226"/>
      <c r="Q1126" s="228"/>
      <c r="R1126" s="228"/>
    </row>
    <row r="1127" ht="13.5" customHeight="1" spans="1:18">
      <c r="A1127" s="226"/>
      <c r="B1127" s="226"/>
      <c r="C1127" s="227"/>
      <c r="D1127" s="227"/>
      <c r="E1127" s="226"/>
      <c r="F1127" s="226"/>
      <c r="G1127" s="227"/>
      <c r="H1127" s="227"/>
      <c r="I1127" s="227"/>
      <c r="J1127" s="227"/>
      <c r="K1127" s="228"/>
      <c r="L1127" s="229"/>
      <c r="M1127" s="228"/>
      <c r="N1127" s="227"/>
      <c r="O1127" s="226"/>
      <c r="P1127" s="226"/>
      <c r="Q1127" s="228"/>
      <c r="R1127" s="228"/>
    </row>
    <row r="1128" ht="13.5" customHeight="1" spans="1:18">
      <c r="A1128" s="226"/>
      <c r="B1128" s="226"/>
      <c r="C1128" s="227"/>
      <c r="D1128" s="227"/>
      <c r="E1128" s="226"/>
      <c r="F1128" s="226"/>
      <c r="G1128" s="227"/>
      <c r="H1128" s="227"/>
      <c r="I1128" s="227"/>
      <c r="J1128" s="227"/>
      <c r="K1128" s="228"/>
      <c r="L1128" s="229"/>
      <c r="M1128" s="228"/>
      <c r="N1128" s="227"/>
      <c r="O1128" s="226"/>
      <c r="P1128" s="226"/>
      <c r="Q1128" s="228"/>
      <c r="R1128" s="228"/>
    </row>
    <row r="1129" ht="13.5" customHeight="1" spans="1:18">
      <c r="A1129" s="226"/>
      <c r="B1129" s="226"/>
      <c r="C1129" s="227"/>
      <c r="D1129" s="227"/>
      <c r="E1129" s="226"/>
      <c r="F1129" s="226"/>
      <c r="G1129" s="227"/>
      <c r="H1129" s="227"/>
      <c r="I1129" s="227"/>
      <c r="J1129" s="227"/>
      <c r="K1129" s="228"/>
      <c r="L1129" s="229"/>
      <c r="M1129" s="228"/>
      <c r="N1129" s="227"/>
      <c r="O1129" s="226"/>
      <c r="P1129" s="226"/>
      <c r="Q1129" s="228"/>
      <c r="R1129" s="228"/>
    </row>
    <row r="1130" ht="13.5" customHeight="1" spans="1:18">
      <c r="A1130" s="226"/>
      <c r="B1130" s="226"/>
      <c r="C1130" s="227"/>
      <c r="D1130" s="227"/>
      <c r="E1130" s="226"/>
      <c r="F1130" s="226"/>
      <c r="G1130" s="227"/>
      <c r="H1130" s="227"/>
      <c r="I1130" s="227"/>
      <c r="J1130" s="227"/>
      <c r="K1130" s="228"/>
      <c r="L1130" s="229"/>
      <c r="M1130" s="228"/>
      <c r="N1130" s="227"/>
      <c r="O1130" s="226"/>
      <c r="P1130" s="226"/>
      <c r="Q1130" s="228"/>
      <c r="R1130" s="228"/>
    </row>
    <row r="1131" ht="13.5" customHeight="1" spans="1:18">
      <c r="A1131" s="226"/>
      <c r="B1131" s="226"/>
      <c r="C1131" s="227"/>
      <c r="D1131" s="227"/>
      <c r="E1131" s="226"/>
      <c r="F1131" s="226"/>
      <c r="G1131" s="227"/>
      <c r="H1131" s="227"/>
      <c r="I1131" s="227"/>
      <c r="J1131" s="227"/>
      <c r="K1131" s="228"/>
      <c r="L1131" s="229"/>
      <c r="M1131" s="228"/>
      <c r="N1131" s="227"/>
      <c r="O1131" s="226"/>
      <c r="P1131" s="226"/>
      <c r="Q1131" s="228"/>
      <c r="R1131" s="228"/>
    </row>
    <row r="1132" ht="13.5" customHeight="1" spans="1:18">
      <c r="A1132" s="226"/>
      <c r="B1132" s="226"/>
      <c r="C1132" s="227"/>
      <c r="D1132" s="227"/>
      <c r="E1132" s="226"/>
      <c r="F1132" s="226"/>
      <c r="G1132" s="227"/>
      <c r="H1132" s="227"/>
      <c r="I1132" s="227"/>
      <c r="J1132" s="227"/>
      <c r="K1132" s="228"/>
      <c r="L1132" s="229"/>
      <c r="M1132" s="228"/>
      <c r="N1132" s="227"/>
      <c r="O1132" s="226"/>
      <c r="P1132" s="226"/>
      <c r="Q1132" s="228"/>
      <c r="R1132" s="228"/>
    </row>
    <row r="1133" ht="13.5" customHeight="1" spans="1:18">
      <c r="A1133" s="226"/>
      <c r="B1133" s="226"/>
      <c r="C1133" s="227"/>
      <c r="D1133" s="227"/>
      <c r="E1133" s="226"/>
      <c r="F1133" s="226"/>
      <c r="G1133" s="227"/>
      <c r="H1133" s="227"/>
      <c r="I1133" s="227"/>
      <c r="J1133" s="227"/>
      <c r="K1133" s="228"/>
      <c r="L1133" s="229"/>
      <c r="M1133" s="228"/>
      <c r="N1133" s="227"/>
      <c r="O1133" s="226"/>
      <c r="P1133" s="226"/>
      <c r="Q1133" s="228"/>
      <c r="R1133" s="228"/>
    </row>
    <row r="1134" ht="13.5" customHeight="1" spans="1:18">
      <c r="A1134" s="226"/>
      <c r="B1134" s="226"/>
      <c r="C1134" s="227"/>
      <c r="D1134" s="227"/>
      <c r="E1134" s="226"/>
      <c r="F1134" s="226"/>
      <c r="G1134" s="227"/>
      <c r="H1134" s="227"/>
      <c r="I1134" s="227"/>
      <c r="J1134" s="227"/>
      <c r="K1134" s="228"/>
      <c r="L1134" s="229"/>
      <c r="M1134" s="228"/>
      <c r="N1134" s="227"/>
      <c r="O1134" s="226"/>
      <c r="P1134" s="226"/>
      <c r="Q1134" s="228"/>
      <c r="R1134" s="228"/>
    </row>
    <row r="1135" ht="13.5" customHeight="1" spans="1:18">
      <c r="A1135" s="226"/>
      <c r="B1135" s="226"/>
      <c r="C1135" s="227"/>
      <c r="D1135" s="227"/>
      <c r="E1135" s="226"/>
      <c r="F1135" s="226"/>
      <c r="G1135" s="227"/>
      <c r="H1135" s="227"/>
      <c r="I1135" s="227"/>
      <c r="J1135" s="227"/>
      <c r="K1135" s="228"/>
      <c r="L1135" s="229"/>
      <c r="M1135" s="228"/>
      <c r="N1135" s="227"/>
      <c r="O1135" s="226"/>
      <c r="P1135" s="226"/>
      <c r="Q1135" s="228"/>
      <c r="R1135" s="228"/>
    </row>
    <row r="1136" ht="13.5" customHeight="1" spans="1:18">
      <c r="A1136" s="226"/>
      <c r="B1136" s="226"/>
      <c r="C1136" s="227"/>
      <c r="D1136" s="227"/>
      <c r="E1136" s="226"/>
      <c r="F1136" s="226"/>
      <c r="G1136" s="227"/>
      <c r="H1136" s="227"/>
      <c r="I1136" s="227"/>
      <c r="J1136" s="227"/>
      <c r="K1136" s="228"/>
      <c r="L1136" s="229"/>
      <c r="M1136" s="228"/>
      <c r="N1136" s="227"/>
      <c r="O1136" s="226"/>
      <c r="P1136" s="226"/>
      <c r="Q1136" s="228"/>
      <c r="R1136" s="228"/>
    </row>
    <row r="1137" ht="13.5" customHeight="1" spans="1:18">
      <c r="A1137" s="226"/>
      <c r="B1137" s="226"/>
      <c r="C1137" s="227"/>
      <c r="D1137" s="227"/>
      <c r="E1137" s="226"/>
      <c r="F1137" s="226"/>
      <c r="G1137" s="227"/>
      <c r="H1137" s="227"/>
      <c r="I1137" s="227"/>
      <c r="J1137" s="227"/>
      <c r="K1137" s="228"/>
      <c r="L1137" s="229"/>
      <c r="M1137" s="228"/>
      <c r="N1137" s="227"/>
      <c r="O1137" s="226"/>
      <c r="P1137" s="226"/>
      <c r="Q1137" s="228"/>
      <c r="R1137" s="228"/>
    </row>
    <row r="1138" ht="13.5" customHeight="1" spans="1:18">
      <c r="A1138" s="226"/>
      <c r="B1138" s="226"/>
      <c r="C1138" s="227"/>
      <c r="D1138" s="227"/>
      <c r="E1138" s="226"/>
      <c r="F1138" s="226"/>
      <c r="G1138" s="227"/>
      <c r="H1138" s="227"/>
      <c r="I1138" s="227"/>
      <c r="J1138" s="227"/>
      <c r="K1138" s="228"/>
      <c r="L1138" s="229"/>
      <c r="M1138" s="228"/>
      <c r="N1138" s="227"/>
      <c r="O1138" s="226"/>
      <c r="P1138" s="226"/>
      <c r="Q1138" s="228"/>
      <c r="R1138" s="228"/>
    </row>
    <row r="1139" ht="13.5" customHeight="1" spans="1:18">
      <c r="A1139" s="226"/>
      <c r="B1139" s="226"/>
      <c r="C1139" s="227"/>
      <c r="D1139" s="227"/>
      <c r="E1139" s="226"/>
      <c r="F1139" s="226"/>
      <c r="G1139" s="227"/>
      <c r="H1139" s="227"/>
      <c r="I1139" s="227"/>
      <c r="J1139" s="227"/>
      <c r="K1139" s="228"/>
      <c r="L1139" s="229"/>
      <c r="M1139" s="228"/>
      <c r="N1139" s="227"/>
      <c r="O1139" s="226"/>
      <c r="P1139" s="226"/>
      <c r="Q1139" s="228"/>
      <c r="R1139" s="228"/>
    </row>
    <row r="1140" ht="13.5" customHeight="1" spans="1:18">
      <c r="A1140" s="226"/>
      <c r="B1140" s="226"/>
      <c r="C1140" s="227"/>
      <c r="D1140" s="227"/>
      <c r="E1140" s="226"/>
      <c r="F1140" s="226"/>
      <c r="G1140" s="227"/>
      <c r="H1140" s="227"/>
      <c r="I1140" s="227"/>
      <c r="J1140" s="227"/>
      <c r="K1140" s="228"/>
      <c r="L1140" s="229"/>
      <c r="M1140" s="228"/>
      <c r="N1140" s="227"/>
      <c r="O1140" s="226"/>
      <c r="P1140" s="226"/>
      <c r="Q1140" s="228"/>
      <c r="R1140" s="228"/>
    </row>
    <row r="1141" ht="13.5" customHeight="1" spans="1:18">
      <c r="A1141" s="226"/>
      <c r="B1141" s="226"/>
      <c r="C1141" s="227"/>
      <c r="D1141" s="227"/>
      <c r="E1141" s="226"/>
      <c r="F1141" s="226"/>
      <c r="G1141" s="227"/>
      <c r="H1141" s="227"/>
      <c r="I1141" s="227"/>
      <c r="J1141" s="227"/>
      <c r="K1141" s="228"/>
      <c r="L1141" s="229"/>
      <c r="M1141" s="228"/>
      <c r="N1141" s="227"/>
      <c r="O1141" s="226"/>
      <c r="P1141" s="226"/>
      <c r="Q1141" s="228"/>
      <c r="R1141" s="228"/>
    </row>
    <row r="1142" ht="13.5" customHeight="1" spans="1:18">
      <c r="A1142" s="226"/>
      <c r="B1142" s="226"/>
      <c r="C1142" s="227"/>
      <c r="D1142" s="227"/>
      <c r="E1142" s="226"/>
      <c r="F1142" s="226"/>
      <c r="G1142" s="227"/>
      <c r="H1142" s="227"/>
      <c r="I1142" s="227"/>
      <c r="J1142" s="227"/>
      <c r="K1142" s="228"/>
      <c r="L1142" s="229"/>
      <c r="M1142" s="228"/>
      <c r="N1142" s="227"/>
      <c r="O1142" s="226"/>
      <c r="P1142" s="226"/>
      <c r="Q1142" s="228"/>
      <c r="R1142" s="228"/>
    </row>
    <row r="1143" ht="13.5" customHeight="1" spans="1:18">
      <c r="A1143" s="226"/>
      <c r="B1143" s="226"/>
      <c r="C1143" s="227"/>
      <c r="D1143" s="227"/>
      <c r="E1143" s="226"/>
      <c r="F1143" s="226"/>
      <c r="G1143" s="227"/>
      <c r="H1143" s="227"/>
      <c r="I1143" s="227"/>
      <c r="J1143" s="227"/>
      <c r="K1143" s="228"/>
      <c r="L1143" s="229"/>
      <c r="M1143" s="228"/>
      <c r="N1143" s="227"/>
      <c r="O1143" s="226"/>
      <c r="P1143" s="226"/>
      <c r="Q1143" s="228"/>
      <c r="R1143" s="228"/>
    </row>
    <row r="1144" ht="13.5" customHeight="1" spans="1:18">
      <c r="A1144" s="226"/>
      <c r="B1144" s="226"/>
      <c r="C1144" s="227"/>
      <c r="D1144" s="227"/>
      <c r="E1144" s="226"/>
      <c r="F1144" s="226"/>
      <c r="G1144" s="227"/>
      <c r="H1144" s="227"/>
      <c r="I1144" s="227"/>
      <c r="J1144" s="227"/>
      <c r="K1144" s="228"/>
      <c r="L1144" s="229"/>
      <c r="M1144" s="228"/>
      <c r="N1144" s="227"/>
      <c r="O1144" s="226"/>
      <c r="P1144" s="226"/>
      <c r="Q1144" s="228"/>
      <c r="R1144" s="228"/>
    </row>
    <row r="1145" ht="13.5" customHeight="1" spans="1:18">
      <c r="A1145" s="226"/>
      <c r="B1145" s="226"/>
      <c r="C1145" s="227"/>
      <c r="D1145" s="227"/>
      <c r="E1145" s="226"/>
      <c r="F1145" s="226"/>
      <c r="G1145" s="227"/>
      <c r="H1145" s="227"/>
      <c r="I1145" s="227"/>
      <c r="J1145" s="227"/>
      <c r="K1145" s="228"/>
      <c r="L1145" s="229"/>
      <c r="M1145" s="228"/>
      <c r="N1145" s="227"/>
      <c r="O1145" s="226"/>
      <c r="P1145" s="226"/>
      <c r="Q1145" s="228"/>
      <c r="R1145" s="228"/>
    </row>
    <row r="1146" ht="13.5" customHeight="1" spans="1:18">
      <c r="A1146" s="226"/>
      <c r="B1146" s="226"/>
      <c r="C1146" s="227"/>
      <c r="D1146" s="227"/>
      <c r="E1146" s="226"/>
      <c r="F1146" s="226"/>
      <c r="G1146" s="227"/>
      <c r="H1146" s="227"/>
      <c r="I1146" s="227"/>
      <c r="J1146" s="227"/>
      <c r="K1146" s="228"/>
      <c r="L1146" s="229"/>
      <c r="M1146" s="228"/>
      <c r="N1146" s="227"/>
      <c r="O1146" s="226"/>
      <c r="P1146" s="226"/>
      <c r="Q1146" s="228"/>
      <c r="R1146" s="228"/>
    </row>
  </sheetData>
  <autoFilter xmlns:etc="http://www.wps.cn/officeDocument/2017/etCustomData" ref="A2:R20" etc:filterBottomFollowUsedRange="0">
    <extLst/>
  </autoFilter>
  <conditionalFormatting sqref="B278:B281">
    <cfRule type="expression" dxfId="2" priority="2">
      <formula>COUNTIF(B:B,B278)&gt;1</formula>
    </cfRule>
  </conditionalFormatting>
  <conditionalFormatting sqref="C135:C141">
    <cfRule type="expression" dxfId="1" priority="1">
      <formula>$K135="Hư hỏng"</formula>
    </cfRule>
  </conditionalFormatting>
  <conditionalFormatting sqref="A1:R1146">
    <cfRule type="expression" dxfId="1" priority="4">
      <formula>$I1="Hư hỏng"</formula>
    </cfRule>
  </conditionalFormatting>
  <conditionalFormatting sqref="B44:B48 F85 B278:B281 B400:B401 B454:B458">
    <cfRule type="expression" dxfId="1" priority="3">
      <formula>$J44="Hư hỏng"</formula>
    </cfRule>
  </conditionalFormatting>
  <pageMargins left="0.7" right="0.7" top="0.75" bottom="0.75" header="0" footer="0"/>
  <pageSetup paperSize="1" orientation="landscape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1120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333333333333" defaultRowHeight="15" customHeight="1"/>
  <cols>
    <col min="1" max="1" width="4.38333333333333" customWidth="1"/>
    <col min="2" max="2" width="18.6333333333333" customWidth="1"/>
    <col min="3" max="3" width="17.8833333333333" customWidth="1"/>
    <col min="4" max="5" width="15.6333333333333" customWidth="1"/>
    <col min="6" max="6" width="32.6333333333333" customWidth="1"/>
    <col min="7" max="7" width="14.5" customWidth="1"/>
    <col min="8" max="8" width="13.5" customWidth="1"/>
    <col min="9" max="9" width="12.75" customWidth="1"/>
    <col min="10" max="10" width="12.3833333333333" customWidth="1"/>
    <col min="11" max="11" width="27.6333333333333" customWidth="1"/>
    <col min="12" max="12" width="23" customWidth="1"/>
    <col min="13" max="13" width="14.1333333333333" customWidth="1"/>
    <col min="14" max="14" width="11.5" customWidth="1"/>
    <col min="15" max="15" width="9.75" customWidth="1"/>
    <col min="16" max="16" width="24.25" customWidth="1"/>
    <col min="17" max="17" width="26.6333333333333" customWidth="1"/>
  </cols>
  <sheetData>
    <row r="1" ht="39" customHeight="1" spans="1:17">
      <c r="A1" s="3" t="s">
        <v>3570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 t="s">
        <v>420</v>
      </c>
      <c r="N1" s="5"/>
      <c r="O1" s="5"/>
      <c r="P1" s="5"/>
      <c r="Q1" s="5"/>
    </row>
    <row r="2" ht="33" customHeight="1" spans="1:17">
      <c r="A2" s="6" t="s">
        <v>421</v>
      </c>
      <c r="B2" s="6" t="s">
        <v>3571</v>
      </c>
      <c r="C2" s="7" t="s">
        <v>3572</v>
      </c>
      <c r="D2" s="6" t="s">
        <v>3573</v>
      </c>
      <c r="E2" s="6" t="s">
        <v>6130</v>
      </c>
      <c r="F2" s="6" t="s">
        <v>427</v>
      </c>
      <c r="G2" s="6" t="s">
        <v>429</v>
      </c>
      <c r="H2" s="8" t="s">
        <v>3574</v>
      </c>
      <c r="I2" s="6" t="s">
        <v>3575</v>
      </c>
      <c r="J2" s="6" t="s">
        <v>3576</v>
      </c>
      <c r="K2" s="6" t="s">
        <v>432</v>
      </c>
      <c r="L2" s="6" t="s">
        <v>443</v>
      </c>
      <c r="M2" s="6" t="s">
        <v>433</v>
      </c>
      <c r="N2" s="6" t="s">
        <v>434</v>
      </c>
      <c r="O2" s="6" t="s">
        <v>435</v>
      </c>
      <c r="P2" s="6" t="s">
        <v>8643</v>
      </c>
      <c r="Q2" s="6" t="s">
        <v>3580</v>
      </c>
    </row>
    <row r="3" hidden="1" customHeight="1" spans="1:17">
      <c r="A3" s="9" t="s">
        <v>3583</v>
      </c>
      <c r="B3" s="10" t="s">
        <v>3584</v>
      </c>
      <c r="C3" s="11"/>
      <c r="D3" s="12"/>
      <c r="E3" s="12"/>
      <c r="F3" s="12"/>
      <c r="G3" s="13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hidden="1" customHeight="1" spans="1:17">
      <c r="A4" s="14" t="s">
        <v>448</v>
      </c>
      <c r="B4" s="15" t="s">
        <v>449</v>
      </c>
      <c r="C4" s="16"/>
      <c r="D4" s="17"/>
      <c r="E4" s="17"/>
      <c r="F4" s="17"/>
      <c r="G4" s="18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hidden="1" customHeight="1" spans="1:17">
      <c r="A5" s="19">
        <v>1</v>
      </c>
      <c r="B5" s="20" t="s">
        <v>3585</v>
      </c>
      <c r="C5" s="21"/>
      <c r="D5" s="22" t="s">
        <v>3586</v>
      </c>
      <c r="E5" s="20"/>
      <c r="F5" s="20" t="s">
        <v>8644</v>
      </c>
      <c r="G5" s="19" t="s">
        <v>14</v>
      </c>
      <c r="H5" s="20"/>
      <c r="I5" s="20"/>
      <c r="J5" s="20"/>
      <c r="K5" s="20"/>
      <c r="L5" s="20"/>
      <c r="M5" s="20"/>
      <c r="N5" s="20"/>
      <c r="O5" s="20"/>
      <c r="P5" s="20"/>
      <c r="Q5" s="20"/>
    </row>
    <row r="6" hidden="1" customHeight="1" spans="1:17">
      <c r="A6" s="23">
        <v>2</v>
      </c>
      <c r="B6" s="20" t="s">
        <v>3589</v>
      </c>
      <c r="C6" s="21"/>
      <c r="D6" s="24" t="s">
        <v>3590</v>
      </c>
      <c r="E6" s="25"/>
      <c r="F6" s="20" t="s">
        <v>8644</v>
      </c>
      <c r="G6" s="19" t="s">
        <v>14</v>
      </c>
      <c r="H6" s="25"/>
      <c r="I6" s="25"/>
      <c r="J6" s="25"/>
      <c r="K6" s="25"/>
      <c r="L6" s="25"/>
      <c r="M6" s="25"/>
      <c r="N6" s="25"/>
      <c r="O6" s="25"/>
      <c r="P6" s="25"/>
      <c r="Q6" s="25"/>
    </row>
    <row r="7" hidden="1" customHeight="1" spans="1:17">
      <c r="A7" s="23">
        <v>3</v>
      </c>
      <c r="B7" s="20" t="s">
        <v>3596</v>
      </c>
      <c r="C7" s="21"/>
      <c r="D7" s="24" t="s">
        <v>3597</v>
      </c>
      <c r="E7" s="25"/>
      <c r="F7" s="25" t="s">
        <v>8645</v>
      </c>
      <c r="G7" s="19" t="s">
        <v>14</v>
      </c>
      <c r="H7" s="25"/>
      <c r="I7" s="25"/>
      <c r="J7" s="25"/>
      <c r="K7" s="25"/>
      <c r="L7" s="25"/>
      <c r="M7" s="25"/>
      <c r="N7" s="25"/>
      <c r="O7" s="25"/>
      <c r="P7" s="25"/>
      <c r="Q7" s="25"/>
    </row>
    <row r="8" hidden="1" customHeight="1" spans="1:17">
      <c r="A8" s="19">
        <v>4</v>
      </c>
      <c r="B8" s="20" t="s">
        <v>3600</v>
      </c>
      <c r="C8" s="21"/>
      <c r="D8" s="22" t="s">
        <v>3601</v>
      </c>
      <c r="E8" s="20"/>
      <c r="F8" s="20" t="s">
        <v>8646</v>
      </c>
      <c r="G8" s="19" t="s">
        <v>14</v>
      </c>
      <c r="H8" s="20"/>
      <c r="I8" s="20"/>
      <c r="J8" s="20"/>
      <c r="K8" s="20"/>
      <c r="L8" s="20"/>
      <c r="M8" s="20"/>
      <c r="N8" s="20"/>
      <c r="O8" s="20"/>
      <c r="P8" s="20"/>
      <c r="Q8" s="20"/>
    </row>
    <row r="9" hidden="1" customHeight="1" spans="1:17">
      <c r="A9" s="23">
        <v>5</v>
      </c>
      <c r="B9" s="20" t="s">
        <v>3604</v>
      </c>
      <c r="C9" s="21"/>
      <c r="D9" s="24" t="s">
        <v>3605</v>
      </c>
      <c r="E9" s="25"/>
      <c r="F9" s="25" t="s">
        <v>8647</v>
      </c>
      <c r="G9" s="19" t="s">
        <v>14</v>
      </c>
      <c r="H9" s="25"/>
      <c r="I9" s="25"/>
      <c r="J9" s="25"/>
      <c r="K9" s="25"/>
      <c r="L9" s="25"/>
      <c r="M9" s="25"/>
      <c r="N9" s="25"/>
      <c r="O9" s="25"/>
      <c r="P9" s="25"/>
      <c r="Q9" s="25"/>
    </row>
    <row r="10" hidden="1" customHeight="1" spans="1:17">
      <c r="A10" s="14" t="s">
        <v>690</v>
      </c>
      <c r="B10" s="15" t="s">
        <v>691</v>
      </c>
      <c r="C10" s="16"/>
      <c r="D10" s="17"/>
      <c r="E10" s="17"/>
      <c r="F10" s="17"/>
      <c r="G10" s="18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hidden="1" customHeight="1" spans="1:17">
      <c r="A11" s="23">
        <v>1</v>
      </c>
      <c r="B11" s="25" t="s">
        <v>3722</v>
      </c>
      <c r="C11" s="21"/>
      <c r="D11" s="24" t="s">
        <v>3723</v>
      </c>
      <c r="E11" s="25" t="s">
        <v>8648</v>
      </c>
      <c r="F11" s="25" t="s">
        <v>6468</v>
      </c>
      <c r="G11" s="23" t="s">
        <v>23</v>
      </c>
      <c r="H11" s="25"/>
      <c r="I11" s="25"/>
      <c r="J11" s="25"/>
      <c r="K11" s="25"/>
      <c r="L11" s="25" t="s">
        <v>3724</v>
      </c>
      <c r="M11" s="25"/>
      <c r="N11" s="25"/>
      <c r="O11" s="25"/>
      <c r="P11" s="25"/>
      <c r="Q11" s="25"/>
    </row>
    <row r="12" hidden="1" customHeight="1" spans="1:17">
      <c r="A12" s="19">
        <v>2</v>
      </c>
      <c r="B12" s="20" t="s">
        <v>3735</v>
      </c>
      <c r="C12" s="21"/>
      <c r="D12" s="22" t="s">
        <v>3736</v>
      </c>
      <c r="E12" s="20" t="s">
        <v>8649</v>
      </c>
      <c r="F12" s="20" t="s">
        <v>8647</v>
      </c>
      <c r="G12" s="19" t="s">
        <v>23</v>
      </c>
      <c r="H12" s="20"/>
      <c r="I12" s="20"/>
      <c r="J12" s="20"/>
      <c r="K12" s="20"/>
      <c r="L12" s="20" t="s">
        <v>3737</v>
      </c>
      <c r="M12" s="20"/>
      <c r="N12" s="20"/>
      <c r="O12" s="20"/>
      <c r="P12" s="20"/>
      <c r="Q12" s="20"/>
    </row>
    <row r="13" hidden="1" customHeight="1" spans="1:17">
      <c r="A13" s="26" t="s">
        <v>815</v>
      </c>
      <c r="B13" s="27" t="s">
        <v>816</v>
      </c>
      <c r="C13" s="28"/>
      <c r="D13" s="29"/>
      <c r="E13" s="29"/>
      <c r="F13" s="29"/>
      <c r="G13" s="30"/>
      <c r="H13" s="29"/>
      <c r="I13" s="29"/>
      <c r="J13" s="29"/>
      <c r="K13" s="29"/>
      <c r="L13" s="29"/>
      <c r="M13" s="29"/>
      <c r="N13" s="29"/>
      <c r="O13" s="29"/>
      <c r="P13" s="29"/>
      <c r="Q13" s="29"/>
    </row>
    <row r="14" hidden="1" customHeight="1" spans="1:17">
      <c r="A14" s="23">
        <v>1</v>
      </c>
      <c r="B14" s="20" t="s">
        <v>3819</v>
      </c>
      <c r="C14" s="22" t="s">
        <v>3820</v>
      </c>
      <c r="D14" s="20" t="s">
        <v>3821</v>
      </c>
      <c r="E14" s="20"/>
      <c r="F14" s="20" t="s">
        <v>6467</v>
      </c>
      <c r="G14" s="19" t="s">
        <v>27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 hidden="1" customHeight="1" spans="1:17">
      <c r="A15" s="19">
        <v>2</v>
      </c>
      <c r="B15" s="20" t="s">
        <v>3822</v>
      </c>
      <c r="C15" s="22" t="s">
        <v>3822</v>
      </c>
      <c r="D15" s="20" t="s">
        <v>3823</v>
      </c>
      <c r="E15" s="20" t="s">
        <v>8650</v>
      </c>
      <c r="F15" s="20" t="s">
        <v>3824</v>
      </c>
      <c r="G15" s="19" t="s">
        <v>27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hidden="1" customHeight="1" spans="1:17">
      <c r="A16" s="23">
        <v>3</v>
      </c>
      <c r="B16" s="20" t="s">
        <v>3825</v>
      </c>
      <c r="C16" s="22" t="s">
        <v>3600</v>
      </c>
      <c r="D16" s="20" t="s">
        <v>3826</v>
      </c>
      <c r="E16" s="20"/>
      <c r="F16" s="20" t="s">
        <v>8651</v>
      </c>
      <c r="G16" s="19" t="s">
        <v>27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idden="1" customHeight="1" spans="1:17">
      <c r="A17" s="19">
        <v>4</v>
      </c>
      <c r="B17" s="20" t="s">
        <v>3827</v>
      </c>
      <c r="C17" s="22"/>
      <c r="D17" s="20" t="s">
        <v>3828</v>
      </c>
      <c r="E17" s="20"/>
      <c r="F17" s="20" t="s">
        <v>8652</v>
      </c>
      <c r="G17" s="19" t="s">
        <v>27</v>
      </c>
      <c r="H17" s="20"/>
      <c r="I17" s="20"/>
      <c r="J17" s="20" t="s">
        <v>1755</v>
      </c>
      <c r="K17" s="20"/>
      <c r="L17" s="20" t="s">
        <v>3830</v>
      </c>
      <c r="M17" s="20"/>
      <c r="N17" s="20"/>
      <c r="O17" s="20"/>
      <c r="P17" s="20"/>
      <c r="Q17" s="20"/>
    </row>
    <row r="18" hidden="1" customHeight="1" spans="1:17">
      <c r="A18" s="23">
        <v>5</v>
      </c>
      <c r="B18" s="25" t="s">
        <v>3832</v>
      </c>
      <c r="C18" s="22"/>
      <c r="D18" s="20" t="s">
        <v>3833</v>
      </c>
      <c r="E18" s="20"/>
      <c r="F18" s="20" t="s">
        <v>8653</v>
      </c>
      <c r="G18" s="19" t="s">
        <v>27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</row>
    <row r="19" hidden="1" customHeight="1" spans="1:17">
      <c r="A19" s="19">
        <v>6</v>
      </c>
      <c r="B19" s="25" t="s">
        <v>3834</v>
      </c>
      <c r="C19" s="22"/>
      <c r="D19" s="20" t="s">
        <v>3835</v>
      </c>
      <c r="F19" s="20" t="s">
        <v>8653</v>
      </c>
      <c r="G19" s="19" t="s">
        <v>27</v>
      </c>
      <c r="H19" s="20" t="s">
        <v>3836</v>
      </c>
      <c r="I19" s="20"/>
      <c r="J19" s="20" t="s">
        <v>2083</v>
      </c>
      <c r="K19" s="20"/>
      <c r="L19" s="20"/>
      <c r="M19" s="20" t="s">
        <v>3837</v>
      </c>
      <c r="N19" s="20" t="s">
        <v>590</v>
      </c>
      <c r="O19" s="20">
        <v>2024</v>
      </c>
      <c r="P19" s="20" t="s">
        <v>3838</v>
      </c>
      <c r="Q19" s="20" t="s">
        <v>3839</v>
      </c>
    </row>
    <row r="20" hidden="1" customHeight="1" spans="1:17">
      <c r="A20" s="23">
        <v>7</v>
      </c>
      <c r="B20" s="20" t="s">
        <v>3854</v>
      </c>
      <c r="C20" s="22"/>
      <c r="D20" s="20" t="s">
        <v>3855</v>
      </c>
      <c r="E20" s="20" t="s">
        <v>8654</v>
      </c>
      <c r="F20" s="20" t="s">
        <v>8655</v>
      </c>
      <c r="G20" s="19" t="s">
        <v>27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hidden="1" customHeight="1" spans="1:17">
      <c r="A21" s="9" t="s">
        <v>3866</v>
      </c>
      <c r="B21" s="10" t="s">
        <v>3867</v>
      </c>
      <c r="C21" s="11"/>
      <c r="D21" s="12"/>
      <c r="E21" s="12"/>
      <c r="F21" s="12"/>
      <c r="G21" s="13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hidden="1" customHeight="1" spans="1:17">
      <c r="A22" s="14" t="s">
        <v>948</v>
      </c>
      <c r="B22" s="15" t="s">
        <v>949</v>
      </c>
      <c r="C22" s="16"/>
      <c r="D22" s="17"/>
      <c r="E22" s="17"/>
      <c r="F22" s="17"/>
      <c r="G22" s="18"/>
      <c r="H22" s="17"/>
      <c r="I22" s="17"/>
      <c r="J22" s="17"/>
      <c r="K22" s="17"/>
      <c r="L22" s="17"/>
      <c r="M22" s="17"/>
      <c r="N22" s="17"/>
      <c r="O22" s="17"/>
      <c r="P22" s="17"/>
      <c r="Q22" s="17"/>
    </row>
    <row r="23" hidden="1" customHeight="1" spans="1:17">
      <c r="A23" s="19">
        <v>1</v>
      </c>
      <c r="B23" s="20" t="s">
        <v>3868</v>
      </c>
      <c r="C23" s="22" t="s">
        <v>3869</v>
      </c>
      <c r="D23" s="20" t="s">
        <v>3870</v>
      </c>
      <c r="E23" s="20"/>
      <c r="F23" s="20" t="s">
        <v>8656</v>
      </c>
      <c r="G23" s="19" t="s">
        <v>15</v>
      </c>
      <c r="H23" s="20"/>
      <c r="I23" s="20"/>
      <c r="J23" s="20"/>
      <c r="K23" s="20"/>
      <c r="L23" s="20"/>
      <c r="M23" s="20"/>
      <c r="N23" s="20"/>
      <c r="O23" s="20"/>
      <c r="P23" s="20"/>
      <c r="Q23" s="20" t="s">
        <v>3871</v>
      </c>
    </row>
    <row r="24" hidden="1" customHeight="1" spans="1:17">
      <c r="A24" s="19">
        <v>2</v>
      </c>
      <c r="B24" s="20" t="s">
        <v>4687</v>
      </c>
      <c r="C24" s="22" t="s">
        <v>4688</v>
      </c>
      <c r="D24" s="20" t="s">
        <v>4689</v>
      </c>
      <c r="E24" s="20"/>
      <c r="F24" s="20" t="s">
        <v>4690</v>
      </c>
      <c r="G24" s="19" t="s">
        <v>15</v>
      </c>
      <c r="H24" s="20"/>
      <c r="I24" s="20"/>
      <c r="J24" s="20"/>
      <c r="K24" s="20"/>
      <c r="L24" s="20"/>
      <c r="M24" s="20"/>
      <c r="N24" s="20"/>
      <c r="O24" s="20"/>
      <c r="P24" s="20"/>
      <c r="Q24" s="20" t="s">
        <v>4694</v>
      </c>
    </row>
    <row r="25" hidden="1" customHeight="1" spans="1:17">
      <c r="A25" s="19">
        <v>3</v>
      </c>
      <c r="B25" s="20" t="s">
        <v>3872</v>
      </c>
      <c r="C25" s="22" t="s">
        <v>3873</v>
      </c>
      <c r="D25" s="20" t="s">
        <v>3874</v>
      </c>
      <c r="E25" s="20"/>
      <c r="F25" s="20" t="s">
        <v>324</v>
      </c>
      <c r="G25" s="19" t="s">
        <v>15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 hidden="1" customHeight="1" spans="1:17">
      <c r="A26" s="19">
        <v>4</v>
      </c>
      <c r="B26" s="20" t="s">
        <v>3876</v>
      </c>
      <c r="C26" s="22" t="s">
        <v>3877</v>
      </c>
      <c r="D26" s="20" t="s">
        <v>3878</v>
      </c>
      <c r="E26" s="20"/>
      <c r="F26" s="20" t="s">
        <v>324</v>
      </c>
      <c r="G26" s="19" t="s">
        <v>15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</row>
    <row r="27" hidden="1" customHeight="1" spans="1:17">
      <c r="A27" s="19">
        <v>5</v>
      </c>
      <c r="B27" s="20" t="s">
        <v>3879</v>
      </c>
      <c r="C27" s="22" t="s">
        <v>3880</v>
      </c>
      <c r="D27" s="20" t="s">
        <v>3881</v>
      </c>
      <c r="E27" s="20"/>
      <c r="F27" s="20" t="s">
        <v>324</v>
      </c>
      <c r="G27" s="19" t="s">
        <v>15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 hidden="1" customHeight="1" spans="1:17">
      <c r="A28" s="19">
        <v>6</v>
      </c>
      <c r="B28" s="20" t="s">
        <v>3882</v>
      </c>
      <c r="C28" s="22" t="s">
        <v>3883</v>
      </c>
      <c r="D28" s="20" t="s">
        <v>3884</v>
      </c>
      <c r="E28" s="20"/>
      <c r="F28" s="20" t="s">
        <v>312</v>
      </c>
      <c r="G28" s="19" t="s">
        <v>15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</row>
    <row r="29" hidden="1" customHeight="1" spans="1:17">
      <c r="A29" s="19">
        <v>7</v>
      </c>
      <c r="B29" s="20" t="s">
        <v>3887</v>
      </c>
      <c r="C29" s="22" t="s">
        <v>3888</v>
      </c>
      <c r="D29" s="20" t="s">
        <v>3889</v>
      </c>
      <c r="E29" s="20"/>
      <c r="F29" s="20" t="s">
        <v>312</v>
      </c>
      <c r="G29" s="19" t="s">
        <v>15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</row>
    <row r="30" hidden="1" customHeight="1" spans="1:17">
      <c r="A30" s="19">
        <v>8</v>
      </c>
      <c r="B30" s="20" t="s">
        <v>3897</v>
      </c>
      <c r="C30" s="22" t="s">
        <v>3898</v>
      </c>
      <c r="D30" s="20" t="s">
        <v>3899</v>
      </c>
      <c r="E30" s="20"/>
      <c r="F30" s="20" t="s">
        <v>314</v>
      </c>
      <c r="G30" s="19" t="s">
        <v>15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hidden="1" customHeight="1" spans="1:17">
      <c r="A31" s="19">
        <v>9</v>
      </c>
      <c r="B31" s="20" t="s">
        <v>3901</v>
      </c>
      <c r="C31" s="22" t="s">
        <v>3902</v>
      </c>
      <c r="D31" s="20" t="s">
        <v>3903</v>
      </c>
      <c r="E31" s="20"/>
      <c r="F31" s="20" t="s">
        <v>8657</v>
      </c>
      <c r="G31" s="19" t="s">
        <v>15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hidden="1" customHeight="1" spans="1:17">
      <c r="A32" s="19">
        <v>10</v>
      </c>
      <c r="B32" s="20" t="s">
        <v>3905</v>
      </c>
      <c r="C32" s="22" t="s">
        <v>3906</v>
      </c>
      <c r="D32" s="20" t="s">
        <v>3907</v>
      </c>
      <c r="E32" s="20"/>
      <c r="F32" s="20" t="s">
        <v>8657</v>
      </c>
      <c r="G32" s="19" t="s">
        <v>15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</row>
    <row r="33" hidden="1" customHeight="1" spans="1:17">
      <c r="A33" s="19">
        <v>11</v>
      </c>
      <c r="B33" s="20" t="s">
        <v>3908</v>
      </c>
      <c r="C33" s="22" t="s">
        <v>3909</v>
      </c>
      <c r="D33" s="20" t="s">
        <v>3910</v>
      </c>
      <c r="E33" s="20"/>
      <c r="F33" s="20" t="s">
        <v>336</v>
      </c>
      <c r="G33" s="19" t="s">
        <v>15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 hidden="1" customHeight="1" spans="1:17">
      <c r="A34" s="19">
        <v>12</v>
      </c>
      <c r="B34" s="20" t="s">
        <v>8658</v>
      </c>
      <c r="C34" s="22" t="s">
        <v>8659</v>
      </c>
      <c r="D34" s="20" t="s">
        <v>8660</v>
      </c>
      <c r="E34" s="20"/>
      <c r="F34" s="20" t="s">
        <v>3914</v>
      </c>
      <c r="G34" s="19" t="s">
        <v>15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 hidden="1" customHeight="1" spans="1:17">
      <c r="A35" s="19">
        <v>13</v>
      </c>
      <c r="B35" s="20" t="s">
        <v>3915</v>
      </c>
      <c r="C35" s="22" t="s">
        <v>3916</v>
      </c>
      <c r="D35" s="20" t="s">
        <v>3917</v>
      </c>
      <c r="E35" s="20"/>
      <c r="F35" s="20" t="s">
        <v>8661</v>
      </c>
      <c r="G35" s="19" t="s">
        <v>15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</row>
    <row r="36" hidden="1" customHeight="1" spans="1:17">
      <c r="A36" s="19">
        <v>14</v>
      </c>
      <c r="B36" s="20" t="s">
        <v>3920</v>
      </c>
      <c r="C36" s="22" t="s">
        <v>3921</v>
      </c>
      <c r="D36" s="20" t="s">
        <v>3586</v>
      </c>
      <c r="E36" s="20"/>
      <c r="F36" s="20" t="s">
        <v>8662</v>
      </c>
      <c r="G36" s="19" t="s">
        <v>15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</row>
    <row r="37" hidden="1" customHeight="1" spans="1:17">
      <c r="A37" s="19">
        <v>15</v>
      </c>
      <c r="B37" s="31" t="s">
        <v>6519</v>
      </c>
      <c r="C37" s="32" t="s">
        <v>8663</v>
      </c>
      <c r="D37" s="31" t="s">
        <v>8664</v>
      </c>
      <c r="E37" s="31"/>
      <c r="F37" s="31" t="s">
        <v>7159</v>
      </c>
      <c r="G37" s="33" t="s">
        <v>15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</row>
    <row r="38" hidden="1" customHeight="1" spans="1:17">
      <c r="A38" s="19">
        <v>16</v>
      </c>
      <c r="B38" s="20" t="s">
        <v>3928</v>
      </c>
      <c r="C38" s="22" t="s">
        <v>3929</v>
      </c>
      <c r="D38" s="20" t="s">
        <v>3930</v>
      </c>
      <c r="E38" s="20"/>
      <c r="F38" s="20" t="s">
        <v>8665</v>
      </c>
      <c r="G38" s="19" t="s">
        <v>15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</row>
    <row r="39" hidden="1" customHeight="1" spans="1:17">
      <c r="A39" s="19">
        <v>17</v>
      </c>
      <c r="B39" s="20" t="s">
        <v>3933</v>
      </c>
      <c r="C39" s="22" t="s">
        <v>3934</v>
      </c>
      <c r="D39" s="20" t="s">
        <v>3935</v>
      </c>
      <c r="E39" s="20"/>
      <c r="F39" s="20" t="s">
        <v>8666</v>
      </c>
      <c r="G39" s="19" t="s">
        <v>15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 hidden="1" customHeight="1" spans="1:17">
      <c r="A40" s="19">
        <v>18</v>
      </c>
      <c r="B40" s="20" t="s">
        <v>3940</v>
      </c>
      <c r="C40" s="22" t="s">
        <v>3941</v>
      </c>
      <c r="D40" s="20" t="s">
        <v>3942</v>
      </c>
      <c r="E40" s="20"/>
      <c r="F40" s="20" t="s">
        <v>8667</v>
      </c>
      <c r="G40" s="19" t="s">
        <v>15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</row>
    <row r="41" hidden="1" customHeight="1" spans="1:17">
      <c r="A41" s="19">
        <v>19</v>
      </c>
      <c r="B41" s="20" t="s">
        <v>5938</v>
      </c>
      <c r="C41" s="22" t="s">
        <v>5939</v>
      </c>
      <c r="D41" s="20" t="s">
        <v>5940</v>
      </c>
      <c r="E41" s="20"/>
      <c r="F41" s="20" t="s">
        <v>8667</v>
      </c>
      <c r="G41" s="19" t="s">
        <v>15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</row>
    <row r="42" hidden="1" customHeight="1" spans="1:17">
      <c r="A42" s="19">
        <v>20</v>
      </c>
      <c r="B42" s="20" t="s">
        <v>3950</v>
      </c>
      <c r="C42" s="22" t="s">
        <v>3951</v>
      </c>
      <c r="D42" s="20" t="s">
        <v>3952</v>
      </c>
      <c r="E42" s="20"/>
      <c r="F42" s="20" t="s">
        <v>8668</v>
      </c>
      <c r="G42" s="19" t="s">
        <v>15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hidden="1" customHeight="1" spans="1:17">
      <c r="A43" s="19">
        <v>21</v>
      </c>
      <c r="B43" s="20" t="s">
        <v>3953</v>
      </c>
      <c r="C43" s="22" t="s">
        <v>3954</v>
      </c>
      <c r="D43" s="20" t="s">
        <v>3955</v>
      </c>
      <c r="E43" s="20"/>
      <c r="F43" s="20" t="s">
        <v>3956</v>
      </c>
      <c r="G43" s="19" t="s">
        <v>15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hidden="1" customHeight="1" spans="1:17">
      <c r="A44" s="19">
        <v>22</v>
      </c>
      <c r="B44" s="20" t="s">
        <v>3957</v>
      </c>
      <c r="C44" s="22"/>
      <c r="D44" s="20" t="s">
        <v>3958</v>
      </c>
      <c r="E44" s="20"/>
      <c r="F44" s="20" t="s">
        <v>337</v>
      </c>
      <c r="G44" s="19" t="s">
        <v>15</v>
      </c>
      <c r="H44" s="20" t="s">
        <v>3959</v>
      </c>
      <c r="I44" s="20"/>
      <c r="J44" s="20"/>
      <c r="K44" s="20"/>
      <c r="L44" s="20" t="s">
        <v>3960</v>
      </c>
      <c r="M44" s="34" t="s">
        <v>3961</v>
      </c>
      <c r="N44" s="20"/>
      <c r="O44" s="20"/>
      <c r="P44" s="20"/>
      <c r="Q44" s="20"/>
    </row>
    <row r="45" hidden="1" customHeight="1" spans="1:17">
      <c r="A45" s="19">
        <v>23</v>
      </c>
      <c r="B45" s="20" t="s">
        <v>3962</v>
      </c>
      <c r="C45" s="22" t="s">
        <v>1850</v>
      </c>
      <c r="D45" s="20" t="s">
        <v>3963</v>
      </c>
      <c r="E45" s="20"/>
      <c r="F45" s="20" t="s">
        <v>307</v>
      </c>
      <c r="G45" s="19" t="s">
        <v>15</v>
      </c>
      <c r="H45" s="20" t="s">
        <v>3964</v>
      </c>
      <c r="I45" s="20"/>
      <c r="J45" s="20"/>
      <c r="K45" s="20"/>
      <c r="L45" s="20"/>
      <c r="M45" s="34"/>
      <c r="N45" s="20"/>
      <c r="O45" s="20"/>
      <c r="P45" s="20"/>
      <c r="Q45" s="20"/>
    </row>
    <row r="46" hidden="1" customHeight="1" spans="1:17">
      <c r="A46" s="19">
        <v>24</v>
      </c>
      <c r="B46" s="20" t="s">
        <v>8669</v>
      </c>
      <c r="C46" s="22" t="s">
        <v>8670</v>
      </c>
      <c r="D46" s="20" t="s">
        <v>4615</v>
      </c>
      <c r="E46" s="20"/>
      <c r="F46" s="20" t="s">
        <v>8671</v>
      </c>
      <c r="G46" s="19" t="s">
        <v>15</v>
      </c>
      <c r="H46" s="20" t="s">
        <v>4616</v>
      </c>
      <c r="I46" s="20"/>
      <c r="J46" s="20"/>
      <c r="K46" s="20"/>
      <c r="L46" s="20" t="s">
        <v>4619</v>
      </c>
      <c r="M46" s="20" t="s">
        <v>4618</v>
      </c>
      <c r="N46" s="20"/>
      <c r="O46" s="20"/>
      <c r="P46" s="20"/>
      <c r="Q46" s="20"/>
    </row>
    <row r="47" hidden="1" customHeight="1" spans="1:17">
      <c r="A47" s="19">
        <v>25</v>
      </c>
      <c r="B47" s="20" t="s">
        <v>3972</v>
      </c>
      <c r="C47" s="22"/>
      <c r="D47" s="20" t="s">
        <v>3973</v>
      </c>
      <c r="E47" s="20"/>
      <c r="F47" s="20" t="s">
        <v>3974</v>
      </c>
      <c r="G47" s="19" t="s">
        <v>15</v>
      </c>
      <c r="H47" s="20" t="s">
        <v>3975</v>
      </c>
      <c r="I47" s="20"/>
      <c r="J47" s="20"/>
      <c r="K47" s="20"/>
      <c r="L47" s="20"/>
      <c r="M47" s="20" t="s">
        <v>3976</v>
      </c>
      <c r="N47" s="20"/>
      <c r="O47" s="20"/>
      <c r="P47" s="20"/>
      <c r="Q47" s="20"/>
    </row>
    <row r="48" hidden="1" customHeight="1" spans="1:17">
      <c r="A48" s="19">
        <v>26</v>
      </c>
      <c r="B48" s="20" t="s">
        <v>3977</v>
      </c>
      <c r="C48" s="22" t="s">
        <v>3978</v>
      </c>
      <c r="D48" s="20" t="s">
        <v>3979</v>
      </c>
      <c r="E48" s="20"/>
      <c r="F48" s="20" t="s">
        <v>332</v>
      </c>
      <c r="G48" s="19" t="s">
        <v>15</v>
      </c>
      <c r="H48" s="20" t="s">
        <v>3980</v>
      </c>
      <c r="I48" s="20"/>
      <c r="J48" s="20"/>
      <c r="K48" s="20"/>
      <c r="L48" s="20" t="s">
        <v>3981</v>
      </c>
      <c r="M48" s="20"/>
      <c r="N48" s="20"/>
      <c r="O48" s="20"/>
      <c r="P48" s="20"/>
      <c r="Q48" s="20"/>
    </row>
    <row r="49" hidden="1" customHeight="1" spans="1:17">
      <c r="A49" s="14" t="s">
        <v>1035</v>
      </c>
      <c r="B49" s="15" t="s">
        <v>1036</v>
      </c>
      <c r="C49" s="16"/>
      <c r="D49" s="17"/>
      <c r="E49" s="17"/>
      <c r="F49" s="17"/>
      <c r="G49" s="18"/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 hidden="1" customHeight="1" spans="1:17">
      <c r="A50" s="19">
        <v>1</v>
      </c>
      <c r="B50" s="20" t="s">
        <v>4070</v>
      </c>
      <c r="C50" s="22" t="s">
        <v>4071</v>
      </c>
      <c r="D50" s="20" t="s">
        <v>4072</v>
      </c>
      <c r="E50" s="20"/>
      <c r="F50" s="20" t="s">
        <v>4073</v>
      </c>
      <c r="G50" s="19" t="s">
        <v>24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</row>
    <row r="51" hidden="1" customHeight="1" spans="1:17">
      <c r="A51" s="19">
        <v>2</v>
      </c>
      <c r="B51" s="20" t="s">
        <v>4074</v>
      </c>
      <c r="C51" s="22" t="s">
        <v>4075</v>
      </c>
      <c r="D51" s="20" t="s">
        <v>4076</v>
      </c>
      <c r="E51" s="20"/>
      <c r="F51" s="20" t="s">
        <v>4073</v>
      </c>
      <c r="G51" s="19" t="s">
        <v>24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</row>
    <row r="52" hidden="1" customHeight="1" spans="1:17">
      <c r="A52" s="19">
        <v>3</v>
      </c>
      <c r="B52" s="20" t="s">
        <v>4077</v>
      </c>
      <c r="C52" s="22" t="s">
        <v>4078</v>
      </c>
      <c r="D52" s="20" t="s">
        <v>4079</v>
      </c>
      <c r="E52" s="20"/>
      <c r="F52" s="20" t="s">
        <v>4073</v>
      </c>
      <c r="G52" s="19" t="s">
        <v>24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</row>
    <row r="53" hidden="1" customHeight="1" spans="1:17">
      <c r="A53" s="19">
        <v>4</v>
      </c>
      <c r="B53" s="20" t="s">
        <v>4080</v>
      </c>
      <c r="C53" s="22" t="s">
        <v>4081</v>
      </c>
      <c r="D53" s="20" t="s">
        <v>4082</v>
      </c>
      <c r="E53" s="20"/>
      <c r="F53" s="20" t="s">
        <v>4083</v>
      </c>
      <c r="G53" s="19" t="s">
        <v>24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</row>
    <row r="54" hidden="1" customHeight="1" spans="1:17">
      <c r="A54" s="19">
        <v>5</v>
      </c>
      <c r="B54" s="20" t="s">
        <v>4084</v>
      </c>
      <c r="C54" s="22" t="s">
        <v>4085</v>
      </c>
      <c r="D54" s="20" t="s">
        <v>4086</v>
      </c>
      <c r="E54" s="20"/>
      <c r="F54" s="20" t="s">
        <v>310</v>
      </c>
      <c r="G54" s="19" t="s">
        <v>24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</row>
    <row r="55" hidden="1" customHeight="1" spans="1:17">
      <c r="A55" s="19">
        <v>6</v>
      </c>
      <c r="B55" s="20" t="s">
        <v>4088</v>
      </c>
      <c r="C55" s="20" t="s">
        <v>4088</v>
      </c>
      <c r="D55" s="20" t="s">
        <v>4089</v>
      </c>
      <c r="E55" s="20"/>
      <c r="F55" s="20" t="s">
        <v>307</v>
      </c>
      <c r="G55" s="19" t="s">
        <v>24</v>
      </c>
      <c r="H55" s="20" t="s">
        <v>3964</v>
      </c>
      <c r="I55" s="20"/>
      <c r="J55" s="20" t="s">
        <v>1048</v>
      </c>
      <c r="K55" s="20"/>
      <c r="L55" s="20"/>
      <c r="M55" s="20"/>
      <c r="N55" s="20"/>
      <c r="O55" s="20"/>
      <c r="P55" s="20"/>
      <c r="Q55" s="20"/>
    </row>
    <row r="56" hidden="1" customHeight="1" spans="1:17">
      <c r="A56" s="19">
        <v>7</v>
      </c>
      <c r="B56" s="20" t="s">
        <v>4091</v>
      </c>
      <c r="C56" s="22" t="s">
        <v>4092</v>
      </c>
      <c r="D56" s="20" t="s">
        <v>4093</v>
      </c>
      <c r="E56" s="20"/>
      <c r="F56" s="20" t="s">
        <v>8657</v>
      </c>
      <c r="G56" s="19" t="s">
        <v>24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 hidden="1" customHeight="1" spans="1:17">
      <c r="A57" s="19">
        <v>8</v>
      </c>
      <c r="B57" s="20" t="s">
        <v>4094</v>
      </c>
      <c r="C57" s="22" t="s">
        <v>4095</v>
      </c>
      <c r="D57" s="20" t="s">
        <v>4096</v>
      </c>
      <c r="E57" s="20"/>
      <c r="F57" s="20" t="s">
        <v>8661</v>
      </c>
      <c r="G57" s="19" t="s">
        <v>24</v>
      </c>
      <c r="H57" s="20"/>
      <c r="I57" s="35"/>
      <c r="J57" s="35"/>
      <c r="K57" s="20"/>
      <c r="L57" s="20"/>
      <c r="M57" s="20"/>
      <c r="N57" s="20"/>
      <c r="O57" s="20"/>
      <c r="P57" s="20"/>
      <c r="Q57" s="20"/>
    </row>
    <row r="58" hidden="1" customHeight="1" spans="1:17">
      <c r="A58" s="19">
        <v>9</v>
      </c>
      <c r="B58" s="20" t="s">
        <v>4098</v>
      </c>
      <c r="C58" s="22" t="s">
        <v>4099</v>
      </c>
      <c r="D58" s="20" t="s">
        <v>4100</v>
      </c>
      <c r="E58" s="20"/>
      <c r="F58" s="20" t="s">
        <v>328</v>
      </c>
      <c r="G58" s="19" t="s">
        <v>24</v>
      </c>
      <c r="H58" s="20"/>
      <c r="I58" s="35"/>
      <c r="J58" s="35"/>
      <c r="K58" s="20"/>
      <c r="L58" s="20"/>
      <c r="M58" s="20"/>
      <c r="N58" s="20"/>
      <c r="O58" s="20"/>
      <c r="P58" s="20"/>
      <c r="Q58" s="20"/>
    </row>
    <row r="59" hidden="1" customHeight="1" spans="1:17">
      <c r="A59" s="19">
        <v>10</v>
      </c>
      <c r="B59" s="20" t="s">
        <v>4101</v>
      </c>
      <c r="C59" s="22" t="s">
        <v>4102</v>
      </c>
      <c r="D59" s="20" t="s">
        <v>4103</v>
      </c>
      <c r="E59" s="20"/>
      <c r="F59" s="20" t="s">
        <v>332</v>
      </c>
      <c r="G59" s="19" t="s">
        <v>24</v>
      </c>
      <c r="H59" s="20"/>
      <c r="I59" s="36"/>
      <c r="J59" s="36"/>
      <c r="K59" s="20"/>
      <c r="L59" s="20"/>
      <c r="M59" s="20"/>
      <c r="N59" s="20"/>
      <c r="O59" s="20"/>
      <c r="P59" s="20"/>
      <c r="Q59" s="20"/>
    </row>
    <row r="60" hidden="1" customHeight="1" spans="1:17">
      <c r="A60" s="19">
        <v>11</v>
      </c>
      <c r="B60" s="20" t="s">
        <v>4104</v>
      </c>
      <c r="C60" s="22"/>
      <c r="D60" s="20" t="s">
        <v>4105</v>
      </c>
      <c r="E60" s="20"/>
      <c r="F60" s="20" t="s">
        <v>337</v>
      </c>
      <c r="G60" s="19" t="s">
        <v>24</v>
      </c>
      <c r="H60" s="20" t="s">
        <v>3959</v>
      </c>
      <c r="I60" s="20"/>
      <c r="J60" s="20"/>
      <c r="K60" s="20"/>
      <c r="L60" s="20" t="s">
        <v>3960</v>
      </c>
      <c r="M60" s="20" t="s">
        <v>3961</v>
      </c>
      <c r="N60" s="20"/>
      <c r="O60" s="20"/>
      <c r="P60" s="20"/>
      <c r="Q60" s="20"/>
    </row>
    <row r="61" hidden="1" customHeight="1" spans="1:17">
      <c r="A61" s="19">
        <v>12</v>
      </c>
      <c r="B61" s="20" t="s">
        <v>4106</v>
      </c>
      <c r="C61" s="20"/>
      <c r="D61" s="20" t="s">
        <v>4107</v>
      </c>
      <c r="E61" s="20"/>
      <c r="F61" s="20" t="s">
        <v>8667</v>
      </c>
      <c r="G61" s="19" t="s">
        <v>24</v>
      </c>
      <c r="H61" s="37">
        <v>45446</v>
      </c>
      <c r="I61" s="20"/>
      <c r="J61" s="20" t="s">
        <v>5010</v>
      </c>
      <c r="K61" s="20"/>
      <c r="L61" s="20" t="s">
        <v>4108</v>
      </c>
      <c r="M61" s="20"/>
      <c r="N61" s="20"/>
      <c r="O61" s="20"/>
      <c r="P61" s="20"/>
      <c r="Q61" s="20"/>
    </row>
    <row r="62" hidden="1" customHeight="1" spans="1:17">
      <c r="A62" s="19">
        <v>13</v>
      </c>
      <c r="B62" s="38" t="s">
        <v>4112</v>
      </c>
      <c r="C62" s="39" t="s">
        <v>4113</v>
      </c>
      <c r="D62" s="38" t="s">
        <v>4114</v>
      </c>
      <c r="E62" s="38"/>
      <c r="F62" s="38" t="s">
        <v>8657</v>
      </c>
      <c r="G62" s="19" t="s">
        <v>24</v>
      </c>
      <c r="H62" s="38"/>
      <c r="I62" s="38"/>
      <c r="J62" s="38"/>
      <c r="K62" s="38"/>
      <c r="L62" s="38"/>
      <c r="M62" s="38"/>
      <c r="N62" s="38"/>
      <c r="O62" s="38"/>
      <c r="P62" s="38"/>
      <c r="Q62" s="38"/>
    </row>
    <row r="63" hidden="1" customHeight="1" spans="1:17">
      <c r="A63" s="19">
        <v>14</v>
      </c>
      <c r="B63" s="38" t="s">
        <v>4117</v>
      </c>
      <c r="C63" s="39" t="s">
        <v>4118</v>
      </c>
      <c r="D63" s="38" t="s">
        <v>4119</v>
      </c>
      <c r="E63" s="38"/>
      <c r="F63" s="38" t="s">
        <v>8672</v>
      </c>
      <c r="G63" s="19" t="s">
        <v>24</v>
      </c>
      <c r="H63" s="40">
        <v>45570</v>
      </c>
      <c r="I63" s="38"/>
      <c r="J63" s="38" t="s">
        <v>3925</v>
      </c>
      <c r="K63" s="38"/>
      <c r="L63" s="38"/>
      <c r="M63" s="38" t="s">
        <v>4120</v>
      </c>
      <c r="N63" s="38"/>
      <c r="O63" s="38"/>
      <c r="P63" s="38"/>
      <c r="Q63" s="38"/>
    </row>
    <row r="64" hidden="1" customHeight="1" spans="1:17">
      <c r="A64" s="14" t="s">
        <v>1099</v>
      </c>
      <c r="B64" s="15" t="s">
        <v>8673</v>
      </c>
      <c r="C64" s="16"/>
      <c r="D64" s="17"/>
      <c r="E64" s="17"/>
      <c r="F64" s="17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17"/>
    </row>
    <row r="65" hidden="1" customHeight="1" spans="1:17">
      <c r="A65" s="19">
        <v>1</v>
      </c>
      <c r="B65" s="20" t="s">
        <v>4170</v>
      </c>
      <c r="C65" s="22" t="s">
        <v>4070</v>
      </c>
      <c r="D65" s="20" t="s">
        <v>4171</v>
      </c>
      <c r="E65" s="20"/>
      <c r="F65" s="20" t="s">
        <v>4073</v>
      </c>
      <c r="G65" s="19" t="s">
        <v>6585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</row>
    <row r="66" hidden="1" customHeight="1" spans="1:17">
      <c r="A66" s="19">
        <v>2</v>
      </c>
      <c r="B66" s="20" t="s">
        <v>4172</v>
      </c>
      <c r="C66" s="22" t="s">
        <v>4074</v>
      </c>
      <c r="D66" s="20" t="s">
        <v>4173</v>
      </c>
      <c r="E66" s="20"/>
      <c r="F66" s="20" t="s">
        <v>4073</v>
      </c>
      <c r="G66" s="19" t="s">
        <v>6585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</row>
    <row r="67" hidden="1" customHeight="1" spans="1:17">
      <c r="A67" s="19">
        <v>3</v>
      </c>
      <c r="B67" s="20" t="s">
        <v>4174</v>
      </c>
      <c r="C67" s="22" t="s">
        <v>4077</v>
      </c>
      <c r="D67" s="20" t="s">
        <v>4175</v>
      </c>
      <c r="E67" s="20"/>
      <c r="F67" s="20" t="s">
        <v>4073</v>
      </c>
      <c r="G67" s="19" t="s">
        <v>6585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</row>
    <row r="68" hidden="1" customHeight="1" spans="1:17">
      <c r="A68" s="19">
        <v>4</v>
      </c>
      <c r="B68" s="20" t="s">
        <v>4071</v>
      </c>
      <c r="C68" s="22" t="s">
        <v>4170</v>
      </c>
      <c r="D68" s="20" t="s">
        <v>4177</v>
      </c>
      <c r="E68" s="20"/>
      <c r="F68" s="20" t="s">
        <v>4073</v>
      </c>
      <c r="G68" s="19" t="s">
        <v>6585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</row>
    <row r="69" hidden="1" customHeight="1" spans="1:17">
      <c r="A69" s="19">
        <v>5</v>
      </c>
      <c r="B69" s="20" t="s">
        <v>4075</v>
      </c>
      <c r="C69" s="22" t="s">
        <v>4172</v>
      </c>
      <c r="D69" s="20" t="s">
        <v>4178</v>
      </c>
      <c r="E69" s="20"/>
      <c r="F69" s="20" t="s">
        <v>4073</v>
      </c>
      <c r="G69" s="19" t="s">
        <v>6585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</row>
    <row r="70" hidden="1" customHeight="1" spans="1:17">
      <c r="A70" s="19">
        <v>6</v>
      </c>
      <c r="B70" s="20" t="s">
        <v>3999</v>
      </c>
      <c r="C70" s="22" t="s">
        <v>4000</v>
      </c>
      <c r="D70" s="20" t="s">
        <v>4001</v>
      </c>
      <c r="E70" s="20"/>
      <c r="F70" s="20" t="s">
        <v>316</v>
      </c>
      <c r="G70" s="19" t="s">
        <v>6585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</row>
    <row r="71" hidden="1" customHeight="1" spans="1:17">
      <c r="A71" s="19">
        <v>7</v>
      </c>
      <c r="B71" s="20" t="s">
        <v>4179</v>
      </c>
      <c r="C71" s="22" t="s">
        <v>4080</v>
      </c>
      <c r="D71" s="20" t="s">
        <v>4180</v>
      </c>
      <c r="E71" s="20" t="s">
        <v>8674</v>
      </c>
      <c r="F71" s="20" t="s">
        <v>314</v>
      </c>
      <c r="G71" s="19" t="s">
        <v>6585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</row>
    <row r="72" hidden="1" customHeight="1" spans="1:17">
      <c r="A72" s="19">
        <v>8</v>
      </c>
      <c r="B72" s="20" t="s">
        <v>4085</v>
      </c>
      <c r="C72" s="22" t="s">
        <v>4084</v>
      </c>
      <c r="D72" s="20" t="s">
        <v>4181</v>
      </c>
      <c r="E72" s="20" t="s">
        <v>8674</v>
      </c>
      <c r="F72" s="20" t="s">
        <v>314</v>
      </c>
      <c r="G72" s="19" t="s">
        <v>6585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</row>
    <row r="73" hidden="1" customHeight="1" spans="1:17">
      <c r="A73" s="19">
        <v>9</v>
      </c>
      <c r="B73" s="20" t="s">
        <v>4081</v>
      </c>
      <c r="C73" s="22" t="s">
        <v>3999</v>
      </c>
      <c r="D73" s="20" t="s">
        <v>4182</v>
      </c>
      <c r="E73" s="20"/>
      <c r="F73" s="20" t="s">
        <v>312</v>
      </c>
      <c r="G73" s="19" t="s">
        <v>6585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</row>
    <row r="74" hidden="1" customHeight="1" spans="1:17">
      <c r="A74" s="19">
        <v>10</v>
      </c>
      <c r="B74" s="20" t="s">
        <v>4183</v>
      </c>
      <c r="C74" s="22" t="s">
        <v>4184</v>
      </c>
      <c r="D74" s="20" t="s">
        <v>4185</v>
      </c>
      <c r="E74" s="20"/>
      <c r="F74" s="20" t="s">
        <v>311</v>
      </c>
      <c r="G74" s="19" t="s">
        <v>6585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</row>
    <row r="75" hidden="1" customHeight="1" spans="1:17">
      <c r="A75" s="19">
        <v>11</v>
      </c>
      <c r="B75" s="20" t="s">
        <v>4092</v>
      </c>
      <c r="D75" s="41" t="s">
        <v>4187</v>
      </c>
      <c r="E75" s="20" t="s">
        <v>8675</v>
      </c>
      <c r="F75" s="20" t="s">
        <v>8657</v>
      </c>
      <c r="G75" s="19" t="s">
        <v>6585</v>
      </c>
      <c r="H75" s="42">
        <v>44927</v>
      </c>
      <c r="I75" s="43">
        <v>0.82</v>
      </c>
      <c r="J75" s="20"/>
      <c r="K75" s="20"/>
      <c r="L75" s="20"/>
      <c r="M75" s="20"/>
      <c r="N75" s="20"/>
      <c r="O75" s="20"/>
      <c r="P75" s="20"/>
      <c r="Q75" s="20"/>
    </row>
    <row r="76" hidden="1" customHeight="1" spans="1:17">
      <c r="A76" s="19">
        <v>12</v>
      </c>
      <c r="B76" s="20" t="s">
        <v>3992</v>
      </c>
      <c r="C76" s="22" t="s">
        <v>3993</v>
      </c>
      <c r="D76" s="20" t="s">
        <v>3994</v>
      </c>
      <c r="E76" s="20" t="s">
        <v>8675</v>
      </c>
      <c r="F76" s="20" t="s">
        <v>8657</v>
      </c>
      <c r="G76" s="19" t="s">
        <v>6585</v>
      </c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 hidden="1" customHeight="1" spans="1:17">
      <c r="A77" s="19">
        <v>13</v>
      </c>
      <c r="B77" s="20" t="s">
        <v>4188</v>
      </c>
      <c r="C77" s="22" t="s">
        <v>4189</v>
      </c>
      <c r="D77" s="20" t="s">
        <v>4190</v>
      </c>
      <c r="E77" s="20"/>
      <c r="F77" s="20" t="s">
        <v>8667</v>
      </c>
      <c r="G77" s="19" t="s">
        <v>6585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</row>
    <row r="78" hidden="1" customHeight="1" spans="1:17">
      <c r="A78" s="19">
        <v>14</v>
      </c>
      <c r="B78" s="20" t="s">
        <v>4191</v>
      </c>
      <c r="C78" s="22" t="s">
        <v>3915</v>
      </c>
      <c r="D78" s="20" t="s">
        <v>4192</v>
      </c>
      <c r="E78" s="20"/>
      <c r="F78" s="20" t="s">
        <v>8661</v>
      </c>
      <c r="G78" s="19" t="s">
        <v>6585</v>
      </c>
      <c r="H78" s="20"/>
      <c r="I78" s="20"/>
      <c r="J78" s="20"/>
      <c r="K78" s="20"/>
      <c r="L78" s="20"/>
      <c r="M78" s="20"/>
      <c r="N78" s="20"/>
      <c r="O78" s="20"/>
      <c r="P78" s="20"/>
      <c r="Q78" s="20"/>
    </row>
    <row r="79" hidden="1" customHeight="1" spans="1:17">
      <c r="A79" s="19">
        <v>15</v>
      </c>
      <c r="B79" s="20" t="s">
        <v>4195</v>
      </c>
      <c r="C79" s="22" t="s">
        <v>4094</v>
      </c>
      <c r="D79" s="20" t="s">
        <v>4196</v>
      </c>
      <c r="E79" s="20"/>
      <c r="F79" s="20" t="s">
        <v>8661</v>
      </c>
      <c r="G79" s="19" t="s">
        <v>6585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</row>
    <row r="80" hidden="1" customHeight="1" spans="1:17">
      <c r="A80" s="19">
        <v>16</v>
      </c>
      <c r="B80" s="20" t="s">
        <v>4197</v>
      </c>
      <c r="C80" s="22" t="s">
        <v>3920</v>
      </c>
      <c r="D80" s="20" t="s">
        <v>3821</v>
      </c>
      <c r="E80" s="20"/>
      <c r="F80" s="20" t="s">
        <v>328</v>
      </c>
      <c r="G80" s="19" t="s">
        <v>6585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</row>
    <row r="81" hidden="1" customHeight="1" spans="1:17">
      <c r="A81" s="19">
        <v>17</v>
      </c>
      <c r="B81" s="20" t="s">
        <v>4198</v>
      </c>
      <c r="C81" s="22" t="s">
        <v>4199</v>
      </c>
      <c r="D81" s="20" t="s">
        <v>4200</v>
      </c>
      <c r="E81" s="20"/>
      <c r="F81" s="20" t="s">
        <v>7163</v>
      </c>
      <c r="G81" s="19" t="s">
        <v>6585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</row>
    <row r="82" hidden="1" customHeight="1" spans="1:17">
      <c r="A82" s="19">
        <v>18</v>
      </c>
      <c r="B82" s="20" t="s">
        <v>4201</v>
      </c>
      <c r="C82" s="22" t="s">
        <v>4202</v>
      </c>
      <c r="D82" s="20" t="s">
        <v>4203</v>
      </c>
      <c r="E82" s="20"/>
      <c r="F82" s="20" t="s">
        <v>336</v>
      </c>
      <c r="G82" s="19" t="s">
        <v>6585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</row>
    <row r="83" hidden="1" customHeight="1" spans="1:17">
      <c r="A83" s="19">
        <v>19</v>
      </c>
      <c r="B83" s="20" t="s">
        <v>4204</v>
      </c>
      <c r="C83" s="22" t="s">
        <v>4205</v>
      </c>
      <c r="D83" s="20" t="s">
        <v>4206</v>
      </c>
      <c r="E83" s="20"/>
      <c r="F83" s="20" t="s">
        <v>4207</v>
      </c>
      <c r="G83" s="19" t="s">
        <v>6585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</row>
    <row r="84" hidden="1" customHeight="1" spans="1:17">
      <c r="A84" s="19">
        <v>20</v>
      </c>
      <c r="B84" s="31" t="s">
        <v>4208</v>
      </c>
      <c r="C84" s="32" t="s">
        <v>4209</v>
      </c>
      <c r="D84" s="20" t="s">
        <v>4210</v>
      </c>
      <c r="E84" s="31"/>
      <c r="F84" s="31" t="s">
        <v>8676</v>
      </c>
      <c r="G84" s="33" t="s">
        <v>6585</v>
      </c>
      <c r="H84" s="20"/>
      <c r="I84" s="20"/>
      <c r="J84" s="20"/>
      <c r="K84" s="20"/>
      <c r="L84" s="20"/>
      <c r="M84" s="20"/>
      <c r="N84" s="20"/>
      <c r="O84" s="20"/>
      <c r="P84" s="20"/>
      <c r="Q84" s="20"/>
    </row>
    <row r="85" customHeight="1" spans="1:17">
      <c r="A85" s="9" t="s">
        <v>4215</v>
      </c>
      <c r="B85" s="10" t="s">
        <v>4216</v>
      </c>
      <c r="C85" s="44"/>
      <c r="D85" s="45"/>
      <c r="E85" s="45"/>
      <c r="F85" s="45">
        <f>F86+F120+F133+F154+F176+F184+F196+F224+F232</f>
        <v>27</v>
      </c>
      <c r="G85" s="46"/>
      <c r="H85" s="45"/>
      <c r="I85" s="45"/>
      <c r="J85" s="45"/>
      <c r="K85" s="45"/>
      <c r="L85" s="45"/>
      <c r="M85" s="45"/>
      <c r="N85" s="45"/>
      <c r="O85" s="45"/>
      <c r="P85" s="45"/>
      <c r="Q85" s="45"/>
    </row>
    <row r="86" customHeight="1" spans="1:17">
      <c r="A86" s="14" t="s">
        <v>1117</v>
      </c>
      <c r="B86" s="15" t="s">
        <v>4217</v>
      </c>
      <c r="C86" s="16"/>
      <c r="D86" s="17"/>
      <c r="E86" s="17"/>
      <c r="F86" s="17">
        <f>COUNTA(F87:F118)</f>
        <v>27</v>
      </c>
      <c r="G86" s="18"/>
      <c r="H86" s="17"/>
      <c r="I86" s="17"/>
      <c r="J86" s="17"/>
      <c r="K86" s="17"/>
      <c r="L86" s="17"/>
      <c r="M86" s="17"/>
      <c r="N86" s="17"/>
      <c r="O86" s="17"/>
      <c r="P86" s="17"/>
      <c r="Q86" s="17"/>
    </row>
    <row r="87" customHeight="1" spans="1:17">
      <c r="A87" s="19">
        <v>1</v>
      </c>
      <c r="B87" s="20" t="s">
        <v>8677</v>
      </c>
      <c r="C87" s="22"/>
      <c r="D87" s="20"/>
      <c r="E87" s="20"/>
      <c r="F87" s="20" t="s">
        <v>8678</v>
      </c>
      <c r="G87" s="19" t="s">
        <v>6139</v>
      </c>
      <c r="H87" s="20"/>
      <c r="I87" s="20"/>
      <c r="J87" s="20"/>
      <c r="K87" s="20"/>
      <c r="L87" s="20"/>
      <c r="M87" s="20" t="s">
        <v>8679</v>
      </c>
      <c r="N87" s="20"/>
      <c r="O87" s="20"/>
      <c r="P87" s="20"/>
      <c r="Q87" s="20"/>
    </row>
    <row r="88" customHeight="1" spans="1:17">
      <c r="A88" s="19">
        <v>2</v>
      </c>
      <c r="B88" s="20" t="s">
        <v>8680</v>
      </c>
      <c r="C88" s="22"/>
      <c r="D88" s="20"/>
      <c r="E88" s="20"/>
      <c r="F88" s="20" t="s">
        <v>8678</v>
      </c>
      <c r="G88" s="19" t="s">
        <v>6139</v>
      </c>
      <c r="H88" s="20"/>
      <c r="I88" s="20"/>
      <c r="J88" s="20"/>
      <c r="K88" s="20"/>
      <c r="L88" s="20"/>
      <c r="M88" s="20" t="s">
        <v>8679</v>
      </c>
      <c r="N88" s="20"/>
      <c r="O88" s="20"/>
      <c r="P88" s="20"/>
      <c r="Q88" s="20"/>
    </row>
    <row r="89" customHeight="1" spans="1:17">
      <c r="A89" s="19">
        <v>3</v>
      </c>
      <c r="B89" s="20" t="s">
        <v>8681</v>
      </c>
      <c r="C89" s="20"/>
      <c r="D89" s="20"/>
      <c r="E89" s="20"/>
      <c r="F89" s="20" t="s">
        <v>8678</v>
      </c>
      <c r="G89" s="19" t="s">
        <v>6139</v>
      </c>
      <c r="H89" s="20"/>
      <c r="I89" s="20"/>
      <c r="J89" s="20"/>
      <c r="K89" s="20"/>
      <c r="L89" s="20"/>
      <c r="M89" s="20" t="s">
        <v>8679</v>
      </c>
      <c r="N89" s="20"/>
      <c r="O89" s="20"/>
      <c r="P89" s="20"/>
      <c r="Q89" s="20"/>
    </row>
    <row r="90" customHeight="1" spans="1:17">
      <c r="A90" s="19">
        <v>4</v>
      </c>
      <c r="B90" s="20" t="s">
        <v>8682</v>
      </c>
      <c r="C90" s="20"/>
      <c r="D90" s="20"/>
      <c r="E90" s="20"/>
      <c r="F90" s="20" t="s">
        <v>8678</v>
      </c>
      <c r="G90" s="19" t="s">
        <v>6139</v>
      </c>
      <c r="H90" s="20"/>
      <c r="I90" s="20"/>
      <c r="J90" s="20"/>
      <c r="K90" s="20"/>
      <c r="L90" s="20"/>
      <c r="M90" s="20" t="s">
        <v>8679</v>
      </c>
      <c r="N90" s="20"/>
      <c r="O90" s="20"/>
      <c r="P90" s="20"/>
      <c r="Q90" s="20"/>
    </row>
    <row r="91" customHeight="1" spans="1:17">
      <c r="A91" s="19">
        <v>5</v>
      </c>
      <c r="B91" s="20" t="s">
        <v>8683</v>
      </c>
      <c r="C91" s="20"/>
      <c r="D91" s="20"/>
      <c r="E91" s="20"/>
      <c r="F91" s="47" t="s">
        <v>8684</v>
      </c>
      <c r="G91" s="19" t="s">
        <v>6139</v>
      </c>
      <c r="H91" s="20"/>
      <c r="I91" s="20"/>
      <c r="J91" s="20"/>
      <c r="K91" s="20"/>
      <c r="L91" s="20"/>
      <c r="M91" s="20" t="s">
        <v>458</v>
      </c>
      <c r="N91" s="20"/>
      <c r="O91" s="20"/>
      <c r="P91" s="20"/>
      <c r="Q91" s="20"/>
    </row>
    <row r="92" customHeight="1" spans="1:17">
      <c r="A92" s="19">
        <v>6</v>
      </c>
      <c r="B92" s="20" t="s">
        <v>8685</v>
      </c>
      <c r="C92" s="20"/>
      <c r="D92" s="20"/>
      <c r="E92" s="20"/>
      <c r="F92" s="47" t="s">
        <v>8684</v>
      </c>
      <c r="G92" s="19" t="s">
        <v>6139</v>
      </c>
      <c r="H92" s="20"/>
      <c r="I92" s="20"/>
      <c r="J92" s="20"/>
      <c r="K92" s="20"/>
      <c r="L92" s="20"/>
      <c r="M92" s="20" t="s">
        <v>458</v>
      </c>
      <c r="N92" s="20"/>
      <c r="O92" s="20"/>
      <c r="P92" s="20"/>
      <c r="Q92" s="20"/>
    </row>
    <row r="93" customHeight="1" spans="1:17">
      <c r="A93" s="19">
        <v>7</v>
      </c>
      <c r="B93" s="20" t="s">
        <v>8686</v>
      </c>
      <c r="C93" s="20"/>
      <c r="D93" s="20"/>
      <c r="E93" s="20"/>
      <c r="F93" s="47" t="s">
        <v>8684</v>
      </c>
      <c r="G93" s="19" t="s">
        <v>6139</v>
      </c>
      <c r="H93" s="20"/>
      <c r="I93" s="20"/>
      <c r="J93" s="20"/>
      <c r="K93" s="20"/>
      <c r="L93" s="20"/>
      <c r="M93" s="20" t="s">
        <v>458</v>
      </c>
      <c r="N93" s="20"/>
      <c r="O93" s="20"/>
      <c r="P93" s="20"/>
      <c r="Q93" s="20"/>
    </row>
    <row r="94" customHeight="1" spans="1:17">
      <c r="A94" s="19">
        <v>8</v>
      </c>
      <c r="B94" s="20" t="s">
        <v>8687</v>
      </c>
      <c r="C94" s="20"/>
      <c r="D94" s="20"/>
      <c r="E94" s="20"/>
      <c r="F94" s="47" t="s">
        <v>8684</v>
      </c>
      <c r="G94" s="19" t="s">
        <v>6139</v>
      </c>
      <c r="H94" s="20"/>
      <c r="I94" s="20"/>
      <c r="J94" s="20"/>
      <c r="K94" s="20"/>
      <c r="L94" s="20"/>
      <c r="M94" s="20" t="s">
        <v>458</v>
      </c>
      <c r="N94" s="20"/>
      <c r="O94" s="20"/>
      <c r="P94" s="20"/>
      <c r="Q94" s="20"/>
    </row>
    <row r="95" customHeight="1" spans="1:17">
      <c r="A95" s="19">
        <v>9</v>
      </c>
      <c r="B95" s="20" t="s">
        <v>8688</v>
      </c>
      <c r="C95" s="20"/>
      <c r="D95" s="20"/>
      <c r="E95" s="20"/>
      <c r="F95" s="47" t="s">
        <v>8684</v>
      </c>
      <c r="G95" s="19" t="s">
        <v>6139</v>
      </c>
      <c r="H95" s="20"/>
      <c r="I95" s="20"/>
      <c r="J95" s="20"/>
      <c r="K95" s="20"/>
      <c r="L95" s="20"/>
      <c r="M95" s="20" t="s">
        <v>458</v>
      </c>
      <c r="N95" s="20"/>
      <c r="O95" s="20"/>
      <c r="P95" s="20"/>
      <c r="Q95" s="20"/>
    </row>
    <row r="96" customHeight="1" spans="1:17">
      <c r="A96" s="19">
        <v>10</v>
      </c>
      <c r="B96" s="20" t="s">
        <v>8689</v>
      </c>
      <c r="C96" s="20"/>
      <c r="D96" s="20"/>
      <c r="E96" s="20"/>
      <c r="F96" s="47" t="s">
        <v>8684</v>
      </c>
      <c r="G96" s="19" t="s">
        <v>6139</v>
      </c>
      <c r="H96" s="20"/>
      <c r="I96" s="20"/>
      <c r="J96" s="20"/>
      <c r="K96" s="20"/>
      <c r="L96" s="20"/>
      <c r="M96" s="20" t="s">
        <v>458</v>
      </c>
      <c r="N96" s="20"/>
      <c r="O96" s="20"/>
      <c r="P96" s="20"/>
      <c r="Q96" s="20"/>
    </row>
    <row r="97" customHeight="1" spans="1:17">
      <c r="A97" s="19">
        <v>11</v>
      </c>
      <c r="B97" s="20" t="s">
        <v>8690</v>
      </c>
      <c r="C97" s="20"/>
      <c r="D97" s="20"/>
      <c r="E97" s="20"/>
      <c r="F97" s="47" t="s">
        <v>8684</v>
      </c>
      <c r="G97" s="19" t="s">
        <v>6139</v>
      </c>
      <c r="H97" s="20"/>
      <c r="I97" s="20"/>
      <c r="J97" s="20"/>
      <c r="K97" s="20"/>
      <c r="L97" s="20"/>
      <c r="M97" s="20" t="s">
        <v>458</v>
      </c>
      <c r="N97" s="20"/>
      <c r="O97" s="20"/>
      <c r="P97" s="20"/>
      <c r="Q97" s="20"/>
    </row>
    <row r="98" customHeight="1" spans="1:17">
      <c r="A98" s="19">
        <v>12</v>
      </c>
      <c r="B98" s="20" t="s">
        <v>8691</v>
      </c>
      <c r="C98" s="20"/>
      <c r="D98" s="20"/>
      <c r="E98" s="20"/>
      <c r="F98" s="47" t="s">
        <v>8692</v>
      </c>
      <c r="G98" s="19" t="s">
        <v>6139</v>
      </c>
      <c r="H98" s="20"/>
      <c r="I98" s="20"/>
      <c r="J98" s="20"/>
      <c r="K98" s="20"/>
      <c r="L98" s="20"/>
      <c r="M98" s="20" t="s">
        <v>8693</v>
      </c>
      <c r="N98" s="20"/>
      <c r="O98" s="20"/>
      <c r="P98" s="20"/>
      <c r="Q98" s="20"/>
    </row>
    <row r="99" customHeight="1" spans="1:17">
      <c r="A99" s="19">
        <v>13</v>
      </c>
      <c r="B99" s="20" t="s">
        <v>8694</v>
      </c>
      <c r="C99" s="20"/>
      <c r="D99" s="20"/>
      <c r="E99" s="20"/>
      <c r="F99" s="20" t="s">
        <v>8695</v>
      </c>
      <c r="G99" s="19" t="s">
        <v>6139</v>
      </c>
      <c r="H99" s="20"/>
      <c r="I99" s="20"/>
      <c r="J99" s="20"/>
      <c r="K99" s="20"/>
      <c r="L99" s="20"/>
      <c r="M99" s="20" t="s">
        <v>8696</v>
      </c>
      <c r="N99" s="20"/>
      <c r="O99" s="20"/>
      <c r="P99" s="20"/>
      <c r="Q99" s="20"/>
    </row>
    <row r="100" customHeight="1" spans="1:17">
      <c r="A100" s="19">
        <v>14</v>
      </c>
      <c r="B100" s="20" t="s">
        <v>8697</v>
      </c>
      <c r="C100" s="20"/>
      <c r="D100" s="20"/>
      <c r="E100" s="20"/>
      <c r="F100" s="20" t="s">
        <v>8698</v>
      </c>
      <c r="G100" s="19" t="s">
        <v>6139</v>
      </c>
      <c r="H100" s="20"/>
      <c r="I100" s="20"/>
      <c r="J100" s="20"/>
      <c r="K100" s="20"/>
      <c r="L100" s="20"/>
      <c r="M100" s="20" t="s">
        <v>1139</v>
      </c>
      <c r="N100" s="20"/>
      <c r="O100" s="20"/>
      <c r="P100" s="20"/>
      <c r="Q100" s="20" t="s">
        <v>8699</v>
      </c>
    </row>
    <row r="101" customHeight="1" spans="1:17">
      <c r="A101" s="19">
        <v>15</v>
      </c>
      <c r="B101" s="20" t="s">
        <v>8700</v>
      </c>
      <c r="C101" s="20"/>
      <c r="D101" s="20"/>
      <c r="E101" s="20"/>
      <c r="F101" s="20" t="s">
        <v>8701</v>
      </c>
      <c r="G101" s="19" t="s">
        <v>6139</v>
      </c>
      <c r="H101" s="20"/>
      <c r="I101" s="20"/>
      <c r="J101" s="20"/>
      <c r="K101" s="20"/>
      <c r="L101" s="20"/>
      <c r="M101" s="20" t="s">
        <v>8702</v>
      </c>
      <c r="N101" s="20"/>
      <c r="O101" s="20"/>
      <c r="P101" s="20"/>
      <c r="Q101" s="20"/>
    </row>
    <row r="102" customHeight="1" spans="1:17">
      <c r="A102" s="19">
        <v>16</v>
      </c>
      <c r="B102" s="20" t="s">
        <v>8703</v>
      </c>
      <c r="C102" s="20"/>
      <c r="D102" s="20"/>
      <c r="E102" s="20"/>
      <c r="F102" s="20" t="s">
        <v>8701</v>
      </c>
      <c r="G102" s="19" t="s">
        <v>6139</v>
      </c>
      <c r="H102" s="20"/>
      <c r="I102" s="20"/>
      <c r="J102" s="20"/>
      <c r="K102" s="20"/>
      <c r="L102" s="20"/>
      <c r="M102" s="20" t="s">
        <v>8702</v>
      </c>
      <c r="N102" s="20"/>
      <c r="O102" s="20"/>
      <c r="P102" s="20"/>
      <c r="Q102" s="20"/>
    </row>
    <row r="103" customHeight="1" spans="1:17">
      <c r="A103" s="19">
        <v>17</v>
      </c>
      <c r="B103" s="20" t="s">
        <v>8704</v>
      </c>
      <c r="C103" s="20"/>
      <c r="D103" s="20"/>
      <c r="E103" s="20"/>
      <c r="F103" s="20" t="s">
        <v>8701</v>
      </c>
      <c r="G103" s="19" t="s">
        <v>6139</v>
      </c>
      <c r="H103" s="20"/>
      <c r="I103" s="20"/>
      <c r="J103" s="20"/>
      <c r="K103" s="20"/>
      <c r="L103" s="20"/>
      <c r="M103" s="20" t="s">
        <v>8702</v>
      </c>
      <c r="N103" s="20"/>
      <c r="O103" s="20"/>
      <c r="P103" s="20"/>
      <c r="Q103" s="20"/>
    </row>
    <row r="104" customHeight="1" spans="1:17">
      <c r="A104" s="19">
        <v>18</v>
      </c>
      <c r="B104" s="20" t="s">
        <v>8705</v>
      </c>
      <c r="C104" s="20"/>
      <c r="D104" s="20"/>
      <c r="E104" s="20"/>
      <c r="F104" s="20" t="s">
        <v>8701</v>
      </c>
      <c r="G104" s="19" t="s">
        <v>6139</v>
      </c>
      <c r="H104" s="20"/>
      <c r="I104" s="20"/>
      <c r="J104" s="20"/>
      <c r="K104" s="20"/>
      <c r="L104" s="20"/>
      <c r="M104" s="20" t="s">
        <v>8702</v>
      </c>
      <c r="N104" s="20"/>
      <c r="O104" s="20"/>
      <c r="P104" s="20"/>
      <c r="Q104" s="20"/>
    </row>
    <row r="105" customHeight="1" spans="1:17">
      <c r="A105" s="19">
        <v>19</v>
      </c>
      <c r="B105" s="20" t="s">
        <v>8706</v>
      </c>
      <c r="C105" s="20"/>
      <c r="D105" s="20"/>
      <c r="E105" s="20"/>
      <c r="F105" s="20" t="s">
        <v>8701</v>
      </c>
      <c r="G105" s="19" t="s">
        <v>6139</v>
      </c>
      <c r="H105" s="20"/>
      <c r="I105" s="20"/>
      <c r="J105" s="20"/>
      <c r="K105" s="20"/>
      <c r="L105" s="20"/>
      <c r="M105" s="20" t="s">
        <v>8702</v>
      </c>
      <c r="N105" s="20"/>
      <c r="O105" s="20"/>
      <c r="P105" s="20"/>
      <c r="Q105" s="20"/>
    </row>
    <row r="106" customHeight="1" spans="1:17">
      <c r="A106" s="19">
        <v>20</v>
      </c>
      <c r="B106" s="20" t="s">
        <v>8707</v>
      </c>
      <c r="C106" s="20"/>
      <c r="D106" s="20"/>
      <c r="E106" s="20"/>
      <c r="F106" s="20" t="s">
        <v>8701</v>
      </c>
      <c r="G106" s="19" t="s">
        <v>6139</v>
      </c>
      <c r="H106" s="20"/>
      <c r="I106" s="20"/>
      <c r="J106" s="20"/>
      <c r="K106" s="20"/>
      <c r="L106" s="20"/>
      <c r="M106" s="20" t="s">
        <v>8702</v>
      </c>
      <c r="N106" s="20"/>
      <c r="O106" s="20"/>
      <c r="P106" s="20"/>
      <c r="Q106" s="20"/>
    </row>
    <row r="107" customHeight="1" spans="1:17">
      <c r="A107" s="19">
        <v>21</v>
      </c>
      <c r="B107" s="20" t="s">
        <v>8708</v>
      </c>
      <c r="C107" s="22"/>
      <c r="D107" s="20"/>
      <c r="E107" s="20"/>
      <c r="F107" s="48" t="s">
        <v>8709</v>
      </c>
      <c r="G107" s="19" t="s">
        <v>6139</v>
      </c>
      <c r="H107" s="42"/>
      <c r="I107" s="20"/>
      <c r="J107" s="20"/>
      <c r="K107" s="20"/>
      <c r="L107" s="20"/>
      <c r="M107" s="20" t="s">
        <v>8702</v>
      </c>
      <c r="N107" s="20"/>
      <c r="O107" s="20"/>
      <c r="P107" s="20"/>
      <c r="Q107" s="38"/>
    </row>
    <row r="108" customHeight="1" spans="1:17">
      <c r="A108" s="19">
        <v>22</v>
      </c>
      <c r="B108" s="20" t="s">
        <v>8710</v>
      </c>
      <c r="C108" s="20"/>
      <c r="D108" s="20"/>
      <c r="E108" s="20"/>
      <c r="F108" s="48" t="s">
        <v>8709</v>
      </c>
      <c r="G108" s="19" t="s">
        <v>6139</v>
      </c>
      <c r="H108" s="20"/>
      <c r="I108" s="20"/>
      <c r="J108" s="20"/>
      <c r="K108" s="20"/>
      <c r="L108" s="20"/>
      <c r="M108" s="20" t="s">
        <v>8702</v>
      </c>
      <c r="N108" s="20"/>
      <c r="O108" s="20"/>
      <c r="P108" s="20"/>
      <c r="Q108" s="20"/>
    </row>
    <row r="109" customHeight="1" spans="1:17">
      <c r="A109" s="19">
        <v>23</v>
      </c>
      <c r="B109" s="20" t="s">
        <v>8711</v>
      </c>
      <c r="C109" s="20"/>
      <c r="D109" s="20"/>
      <c r="E109" s="20"/>
      <c r="F109" s="48" t="s">
        <v>8709</v>
      </c>
      <c r="G109" s="19" t="s">
        <v>6139</v>
      </c>
      <c r="H109" s="20"/>
      <c r="I109" s="20"/>
      <c r="J109" s="20"/>
      <c r="K109" s="20"/>
      <c r="L109" s="20"/>
      <c r="M109" s="20" t="s">
        <v>8702</v>
      </c>
      <c r="N109" s="20"/>
      <c r="O109" s="20"/>
      <c r="P109" s="20"/>
      <c r="Q109" s="20"/>
    </row>
    <row r="110" customHeight="1" spans="1:17">
      <c r="A110" s="19">
        <v>24</v>
      </c>
      <c r="B110" s="20" t="s">
        <v>8712</v>
      </c>
      <c r="C110" s="20"/>
      <c r="D110" s="20"/>
      <c r="E110" s="20"/>
      <c r="F110" s="20" t="s">
        <v>8713</v>
      </c>
      <c r="G110" s="19" t="s">
        <v>6139</v>
      </c>
      <c r="H110" s="20"/>
      <c r="I110" s="20"/>
      <c r="J110" s="20"/>
      <c r="K110" s="20"/>
      <c r="L110" s="20"/>
      <c r="M110" s="20"/>
      <c r="N110" s="20"/>
      <c r="O110" s="20"/>
      <c r="P110" s="20"/>
      <c r="Q110" s="20"/>
    </row>
    <row r="111" customHeight="1" spans="1:17">
      <c r="A111" s="19">
        <v>25</v>
      </c>
      <c r="B111" s="20" t="s">
        <v>8714</v>
      </c>
      <c r="C111" s="20"/>
      <c r="D111" s="20"/>
      <c r="E111" s="20"/>
      <c r="F111" s="20" t="s">
        <v>8715</v>
      </c>
      <c r="G111" s="19" t="s">
        <v>6139</v>
      </c>
      <c r="H111" s="20"/>
      <c r="I111" s="20"/>
      <c r="J111" s="20"/>
      <c r="K111" s="20"/>
      <c r="L111" s="20"/>
      <c r="M111" s="20"/>
      <c r="N111" s="20"/>
      <c r="O111" s="20"/>
      <c r="P111" s="20"/>
      <c r="Q111" s="20"/>
    </row>
    <row r="112" customHeight="1" spans="1:17">
      <c r="A112" s="19">
        <v>26</v>
      </c>
      <c r="B112" s="20" t="s">
        <v>8716</v>
      </c>
      <c r="C112" s="20"/>
      <c r="D112" s="20"/>
      <c r="E112" s="20"/>
      <c r="F112" s="20" t="s">
        <v>8717</v>
      </c>
      <c r="G112" s="19" t="s">
        <v>6139</v>
      </c>
      <c r="H112" s="20"/>
      <c r="I112" s="20"/>
      <c r="J112" s="20"/>
      <c r="K112" s="20"/>
      <c r="L112" s="20"/>
      <c r="M112" s="20"/>
      <c r="N112" s="20"/>
      <c r="O112" s="20"/>
      <c r="P112" s="20"/>
      <c r="Q112" s="20"/>
    </row>
    <row r="113" customHeight="1" spans="1:17">
      <c r="A113" s="19">
        <v>27</v>
      </c>
      <c r="B113" s="20" t="s">
        <v>8718</v>
      </c>
      <c r="C113" s="20"/>
      <c r="D113" s="20"/>
      <c r="E113" s="20"/>
      <c r="F113" s="20" t="s">
        <v>8719</v>
      </c>
      <c r="G113" s="19" t="s">
        <v>6139</v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</row>
    <row r="114" customHeight="1" spans="1:17">
      <c r="A114" s="19"/>
      <c r="B114" s="20"/>
      <c r="C114" s="20"/>
      <c r="D114" s="20"/>
      <c r="E114" s="20"/>
      <c r="F114" s="20"/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0"/>
    </row>
    <row r="115" customHeight="1" spans="1:17">
      <c r="A115" s="19"/>
      <c r="B115" s="20"/>
      <c r="C115" s="20"/>
      <c r="D115" s="20"/>
      <c r="E115" s="20"/>
      <c r="F115" s="20"/>
      <c r="G115" s="19"/>
      <c r="H115" s="20"/>
      <c r="I115" s="20"/>
      <c r="J115" s="20"/>
      <c r="K115" s="20"/>
      <c r="L115" s="20"/>
      <c r="M115" s="20"/>
      <c r="N115" s="20"/>
      <c r="O115" s="20"/>
      <c r="P115" s="20"/>
      <c r="Q115" s="20"/>
    </row>
    <row r="116" customHeight="1" spans="1:17">
      <c r="A116" s="19"/>
      <c r="B116" s="20"/>
      <c r="C116" s="20"/>
      <c r="D116" s="20"/>
      <c r="E116" s="20"/>
      <c r="F116" s="20"/>
      <c r="G116" s="19"/>
      <c r="H116" s="20"/>
      <c r="I116" s="20"/>
      <c r="J116" s="20"/>
      <c r="K116" s="20"/>
      <c r="L116" s="20"/>
      <c r="M116" s="20"/>
      <c r="N116" s="20"/>
      <c r="O116" s="20"/>
      <c r="P116" s="21"/>
      <c r="Q116" s="20"/>
    </row>
    <row r="117" customHeight="1" spans="1:17">
      <c r="A117" s="19"/>
      <c r="B117" s="20"/>
      <c r="C117" s="20"/>
      <c r="D117" s="20"/>
      <c r="E117" s="20"/>
      <c r="F117" s="20"/>
      <c r="G117" s="19"/>
      <c r="H117" s="20"/>
      <c r="I117" s="20"/>
      <c r="J117" s="20"/>
      <c r="K117" s="20"/>
      <c r="L117" s="20"/>
      <c r="M117" s="20"/>
      <c r="N117" s="20"/>
      <c r="O117" s="20"/>
      <c r="P117" s="21"/>
      <c r="Q117" s="20"/>
    </row>
    <row r="118" customHeight="1" spans="1:17">
      <c r="A118" s="19"/>
      <c r="B118" s="20"/>
      <c r="C118" s="20"/>
      <c r="D118" s="20"/>
      <c r="E118" s="20"/>
      <c r="F118" s="20"/>
      <c r="G118" s="19"/>
      <c r="H118" s="20"/>
      <c r="I118" s="20"/>
      <c r="J118" s="20"/>
      <c r="K118" s="20"/>
      <c r="L118" s="20"/>
      <c r="M118" s="20"/>
      <c r="N118" s="20"/>
      <c r="O118" s="20"/>
      <c r="P118" s="21"/>
      <c r="Q118" s="20"/>
    </row>
    <row r="119" customHeight="1" spans="1:17">
      <c r="A119" s="19"/>
      <c r="B119" s="20"/>
      <c r="C119" s="20"/>
      <c r="D119" s="20"/>
      <c r="E119" s="20"/>
      <c r="F119" s="20"/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</row>
    <row r="120" customHeight="1" spans="1:17">
      <c r="A120" s="14"/>
      <c r="B120" s="15"/>
      <c r="C120" s="16"/>
      <c r="D120" s="17"/>
      <c r="E120" s="17"/>
      <c r="F120" s="17"/>
      <c r="G120" s="18"/>
      <c r="H120" s="17"/>
      <c r="I120" s="17"/>
      <c r="J120" s="17"/>
      <c r="K120" s="17"/>
      <c r="L120" s="17"/>
      <c r="M120" s="17"/>
      <c r="N120" s="17"/>
      <c r="O120" s="17"/>
      <c r="P120" s="17"/>
      <c r="Q120" s="17"/>
    </row>
    <row r="121" customHeight="1" spans="1:17">
      <c r="A121" s="19"/>
      <c r="B121" s="20"/>
      <c r="C121" s="22"/>
      <c r="D121" s="20"/>
      <c r="E121" s="20"/>
      <c r="F121" s="20"/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2"/>
    </row>
    <row r="122" customHeight="1" spans="1:17">
      <c r="A122" s="19"/>
      <c r="B122" s="20"/>
      <c r="C122" s="22"/>
      <c r="D122" s="20"/>
      <c r="E122" s="20"/>
      <c r="F122" s="20"/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2"/>
    </row>
    <row r="123" customHeight="1" spans="1:17">
      <c r="A123" s="19"/>
      <c r="B123" s="20"/>
      <c r="C123" s="22"/>
      <c r="D123" s="20"/>
      <c r="E123" s="20"/>
      <c r="F123" s="20"/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2"/>
    </row>
    <row r="124" customHeight="1" spans="1:17">
      <c r="A124" s="19"/>
      <c r="B124" s="20"/>
      <c r="C124" s="22"/>
      <c r="D124" s="20"/>
      <c r="E124" s="20"/>
      <c r="F124" s="20"/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2"/>
    </row>
    <row r="125" customHeight="1" spans="1:17">
      <c r="A125" s="19"/>
      <c r="B125" s="20"/>
      <c r="C125" s="22"/>
      <c r="D125" s="20"/>
      <c r="E125" s="20"/>
      <c r="F125" s="20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2"/>
    </row>
    <row r="126" customHeight="1" spans="1:17">
      <c r="A126" s="19"/>
      <c r="B126" s="20"/>
      <c r="C126" s="22"/>
      <c r="D126" s="20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2"/>
    </row>
    <row r="127" customHeight="1" spans="1:17">
      <c r="A127" s="19"/>
      <c r="B127" s="20"/>
      <c r="C127" s="22"/>
      <c r="D127" s="20"/>
      <c r="E127" s="20"/>
      <c r="F127" s="20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2"/>
    </row>
    <row r="128" customHeight="1" spans="1:17">
      <c r="A128" s="19"/>
      <c r="B128" s="20"/>
      <c r="C128" s="22"/>
      <c r="D128" s="20"/>
      <c r="E128" s="20"/>
      <c r="F128" s="20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38"/>
    </row>
    <row r="129" customHeight="1" spans="1:17">
      <c r="A129" s="19"/>
      <c r="B129" s="20"/>
      <c r="C129" s="22"/>
      <c r="D129" s="20"/>
      <c r="E129" s="20"/>
      <c r="F129" s="20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38"/>
    </row>
    <row r="130" customHeight="1" spans="1:17">
      <c r="A130" s="19"/>
      <c r="B130" s="20"/>
      <c r="C130" s="22"/>
      <c r="D130" s="20"/>
      <c r="E130" s="20"/>
      <c r="F130" s="20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38"/>
    </row>
    <row r="131" customHeight="1" spans="1:17">
      <c r="A131" s="19"/>
      <c r="B131" s="20"/>
      <c r="C131" s="22"/>
      <c r="D131" s="20"/>
      <c r="E131" s="20"/>
      <c r="F131" s="20"/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38"/>
    </row>
    <row r="132" customHeight="1" spans="1:17">
      <c r="A132" s="19"/>
      <c r="B132" s="20"/>
      <c r="C132" s="22"/>
      <c r="D132" s="20"/>
      <c r="E132" s="20"/>
      <c r="F132" s="20"/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</row>
    <row r="133" customHeight="1" spans="1:17">
      <c r="A133" s="14"/>
      <c r="B133" s="15"/>
      <c r="C133" s="16"/>
      <c r="D133" s="17"/>
      <c r="E133" s="17"/>
      <c r="F133" s="17"/>
      <c r="G133" s="18"/>
      <c r="H133" s="17"/>
      <c r="I133" s="17"/>
      <c r="J133" s="17"/>
      <c r="K133" s="17"/>
      <c r="L133" s="17"/>
      <c r="M133" s="17"/>
      <c r="N133" s="17"/>
      <c r="O133" s="17"/>
      <c r="P133" s="17"/>
      <c r="Q133" s="17"/>
    </row>
    <row r="134" customHeight="1" spans="1:17">
      <c r="A134" s="19"/>
      <c r="B134" s="38"/>
      <c r="C134" s="22"/>
      <c r="D134" s="20"/>
      <c r="E134" s="20"/>
      <c r="F134" s="20"/>
      <c r="G134" s="49"/>
      <c r="H134" s="20"/>
      <c r="I134" s="20"/>
      <c r="J134" s="20"/>
      <c r="K134" s="20"/>
      <c r="L134" s="20"/>
      <c r="M134" s="20"/>
      <c r="N134" s="20"/>
      <c r="O134" s="20"/>
      <c r="P134" s="20"/>
      <c r="Q134" s="38"/>
    </row>
    <row r="135" customHeight="1" spans="1:17">
      <c r="A135" s="19"/>
      <c r="B135" s="20"/>
      <c r="C135" s="22"/>
      <c r="D135" s="20"/>
      <c r="E135" s="20"/>
      <c r="F135" s="20"/>
      <c r="G135" s="49"/>
      <c r="H135" s="20"/>
      <c r="I135" s="20"/>
      <c r="J135" s="20"/>
      <c r="K135" s="20"/>
      <c r="L135" s="20"/>
      <c r="M135" s="20"/>
      <c r="N135" s="20"/>
      <c r="O135" s="20"/>
      <c r="P135" s="20"/>
      <c r="Q135" s="22"/>
    </row>
    <row r="136" customHeight="1" spans="1:17">
      <c r="A136" s="19"/>
      <c r="B136" s="20"/>
      <c r="C136" s="22"/>
      <c r="D136" s="20"/>
      <c r="E136" s="20"/>
      <c r="F136" s="20"/>
      <c r="G136" s="49"/>
      <c r="H136" s="20"/>
      <c r="I136" s="20"/>
      <c r="J136" s="20"/>
      <c r="K136" s="20"/>
      <c r="L136" s="20"/>
      <c r="M136" s="20"/>
      <c r="N136" s="20"/>
      <c r="O136" s="20"/>
      <c r="P136" s="20"/>
      <c r="Q136" s="22"/>
    </row>
    <row r="137" customHeight="1" spans="1:17">
      <c r="A137" s="19"/>
      <c r="B137" s="20"/>
      <c r="C137" s="22"/>
      <c r="D137" s="20"/>
      <c r="E137" s="20"/>
      <c r="F137" s="20"/>
      <c r="G137" s="49"/>
      <c r="H137" s="20"/>
      <c r="I137" s="20"/>
      <c r="J137" s="20"/>
      <c r="K137" s="20"/>
      <c r="L137" s="20"/>
      <c r="M137" s="20"/>
      <c r="N137" s="20"/>
      <c r="O137" s="20"/>
      <c r="P137" s="20"/>
      <c r="Q137" s="22"/>
    </row>
    <row r="138" customHeight="1" spans="1:17">
      <c r="A138" s="19"/>
      <c r="B138" s="20"/>
      <c r="C138" s="22"/>
      <c r="D138" s="20"/>
      <c r="E138" s="20"/>
      <c r="F138" s="20"/>
      <c r="G138" s="49"/>
      <c r="H138" s="20"/>
      <c r="I138" s="20"/>
      <c r="J138" s="20"/>
      <c r="K138" s="20"/>
      <c r="L138" s="20"/>
      <c r="M138" s="20"/>
      <c r="N138" s="20"/>
      <c r="O138" s="20"/>
      <c r="P138" s="20"/>
      <c r="Q138" s="22"/>
    </row>
    <row r="139" customHeight="1" spans="1:17">
      <c r="A139" s="19"/>
      <c r="B139" s="20"/>
      <c r="C139" s="22"/>
      <c r="D139" s="20"/>
      <c r="E139" s="20"/>
      <c r="F139" s="20"/>
      <c r="G139" s="49"/>
      <c r="H139" s="20"/>
      <c r="I139" s="20"/>
      <c r="J139" s="20"/>
      <c r="K139" s="20"/>
      <c r="L139" s="20"/>
      <c r="M139" s="20"/>
      <c r="N139" s="20"/>
      <c r="O139" s="20"/>
      <c r="P139" s="20"/>
      <c r="Q139" s="22"/>
    </row>
    <row r="140" customHeight="1" spans="1:17">
      <c r="A140" s="19"/>
      <c r="B140" s="20"/>
      <c r="C140" s="22"/>
      <c r="D140" s="20"/>
      <c r="E140" s="20"/>
      <c r="F140" s="20"/>
      <c r="G140" s="49"/>
      <c r="H140" s="20"/>
      <c r="I140" s="20"/>
      <c r="J140" s="20"/>
      <c r="K140" s="20"/>
      <c r="L140" s="20"/>
      <c r="M140" s="20"/>
      <c r="N140" s="20"/>
      <c r="O140" s="20"/>
      <c r="P140" s="20"/>
      <c r="Q140" s="22"/>
    </row>
    <row r="141" customHeight="1" spans="1:17">
      <c r="A141" s="19"/>
      <c r="B141" s="20"/>
      <c r="C141" s="22"/>
      <c r="D141" s="20"/>
      <c r="E141" s="20"/>
      <c r="F141" s="20"/>
      <c r="G141" s="49"/>
      <c r="H141" s="20"/>
      <c r="I141" s="20"/>
      <c r="J141" s="20"/>
      <c r="K141" s="20"/>
      <c r="L141" s="20"/>
      <c r="M141" s="20"/>
      <c r="N141" s="20"/>
      <c r="O141" s="20"/>
      <c r="P141" s="20"/>
      <c r="Q141" s="22"/>
    </row>
    <row r="142" customHeight="1" spans="1:17">
      <c r="A142" s="19"/>
      <c r="B142" s="20"/>
      <c r="C142" s="22"/>
      <c r="D142" s="20"/>
      <c r="E142" s="20"/>
      <c r="F142" s="20"/>
      <c r="G142" s="49"/>
      <c r="H142" s="20"/>
      <c r="I142" s="20"/>
      <c r="J142" s="20"/>
      <c r="K142" s="20"/>
      <c r="L142" s="20"/>
      <c r="M142" s="20"/>
      <c r="N142" s="20"/>
      <c r="O142" s="20"/>
      <c r="P142" s="20"/>
      <c r="Q142" s="22"/>
    </row>
    <row r="143" customHeight="1" spans="1:17">
      <c r="A143" s="19"/>
      <c r="B143" s="20"/>
      <c r="C143" s="22"/>
      <c r="D143" s="20"/>
      <c r="E143" s="20"/>
      <c r="F143" s="20"/>
      <c r="G143" s="49"/>
      <c r="H143" s="20"/>
      <c r="I143" s="20"/>
      <c r="J143" s="20"/>
      <c r="K143" s="20"/>
      <c r="L143" s="20"/>
      <c r="M143" s="20"/>
      <c r="N143" s="20"/>
      <c r="O143" s="20"/>
      <c r="P143" s="20"/>
      <c r="Q143" s="22"/>
    </row>
    <row r="144" customHeight="1" spans="1:17">
      <c r="A144" s="19"/>
      <c r="B144" s="20"/>
      <c r="C144" s="22"/>
      <c r="D144" s="20"/>
      <c r="E144" s="20"/>
      <c r="F144" s="20"/>
      <c r="G144" s="49"/>
      <c r="H144" s="20"/>
      <c r="I144" s="20"/>
      <c r="J144" s="20"/>
      <c r="K144" s="20"/>
      <c r="L144" s="20"/>
      <c r="M144" s="20"/>
      <c r="N144" s="20"/>
      <c r="O144" s="20"/>
      <c r="P144" s="20"/>
      <c r="Q144" s="22"/>
    </row>
    <row r="145" customHeight="1" spans="1:17">
      <c r="A145" s="19"/>
      <c r="B145" s="38"/>
      <c r="C145" s="39"/>
      <c r="D145" s="38"/>
      <c r="E145" s="38"/>
      <c r="F145" s="38"/>
      <c r="G145" s="49"/>
      <c r="H145" s="50"/>
      <c r="I145" s="38"/>
      <c r="J145" s="38"/>
      <c r="K145" s="38"/>
      <c r="L145" s="38"/>
      <c r="M145" s="38"/>
      <c r="N145" s="38"/>
      <c r="O145" s="38"/>
      <c r="P145" s="38"/>
      <c r="Q145" s="39"/>
    </row>
    <row r="146" customHeight="1" spans="1:17">
      <c r="A146" s="19"/>
      <c r="B146" s="20"/>
      <c r="C146" s="22"/>
      <c r="D146" s="20"/>
      <c r="E146" s="20"/>
      <c r="F146" s="20"/>
      <c r="G146" s="49"/>
      <c r="H146" s="20"/>
      <c r="I146" s="20"/>
      <c r="J146" s="20"/>
      <c r="K146" s="20"/>
      <c r="L146" s="20"/>
      <c r="M146" s="20"/>
      <c r="N146" s="20"/>
      <c r="O146" s="20"/>
      <c r="P146" s="20"/>
      <c r="Q146" s="22"/>
    </row>
    <row r="147" customHeight="1" spans="1:17">
      <c r="A147" s="19"/>
      <c r="B147" s="20"/>
      <c r="C147" s="22"/>
      <c r="D147" s="20"/>
      <c r="E147" s="20"/>
      <c r="F147" s="20"/>
      <c r="G147" s="49"/>
      <c r="H147" s="20"/>
      <c r="I147" s="20"/>
      <c r="J147" s="20"/>
      <c r="K147" s="20"/>
      <c r="L147" s="20"/>
      <c r="M147" s="20"/>
      <c r="N147" s="20"/>
      <c r="O147" s="20"/>
      <c r="P147" s="20"/>
      <c r="Q147" s="22"/>
    </row>
    <row r="148" customHeight="1" spans="1:17">
      <c r="A148" s="19"/>
      <c r="B148" s="20"/>
      <c r="C148" s="22"/>
      <c r="D148" s="20"/>
      <c r="E148" s="20"/>
      <c r="F148" s="20"/>
      <c r="G148" s="49"/>
      <c r="H148" s="20"/>
      <c r="I148" s="20"/>
      <c r="J148" s="20"/>
      <c r="K148" s="20"/>
      <c r="L148" s="20"/>
      <c r="M148" s="20"/>
      <c r="N148" s="20"/>
      <c r="O148" s="20"/>
      <c r="P148" s="20"/>
      <c r="Q148" s="22"/>
    </row>
    <row r="149" customHeight="1" spans="1:17">
      <c r="A149" s="19"/>
      <c r="B149" s="20"/>
      <c r="C149" s="22"/>
      <c r="D149" s="20"/>
      <c r="E149" s="20"/>
      <c r="F149" s="20"/>
      <c r="G149" s="49"/>
      <c r="H149" s="20"/>
      <c r="I149" s="20"/>
      <c r="J149" s="20"/>
      <c r="K149" s="20"/>
      <c r="L149" s="20"/>
      <c r="M149" s="20"/>
      <c r="N149" s="20"/>
      <c r="O149" s="20"/>
      <c r="P149" s="20"/>
      <c r="Q149" s="22"/>
    </row>
    <row r="150" customHeight="1" spans="1:17">
      <c r="A150" s="19"/>
      <c r="B150" s="20"/>
      <c r="C150" s="22"/>
      <c r="D150" s="20"/>
      <c r="E150" s="20"/>
      <c r="F150" s="20"/>
      <c r="G150" s="49"/>
      <c r="H150" s="20"/>
      <c r="I150" s="20"/>
      <c r="J150" s="20"/>
      <c r="K150" s="20"/>
      <c r="L150" s="20"/>
      <c r="M150" s="20"/>
      <c r="N150" s="20"/>
      <c r="O150" s="20"/>
      <c r="P150" s="20"/>
      <c r="Q150" s="22"/>
    </row>
    <row r="151" customHeight="1" spans="1:17">
      <c r="A151" s="19"/>
      <c r="B151" s="20"/>
      <c r="C151" s="22"/>
      <c r="D151" s="20"/>
      <c r="E151" s="20"/>
      <c r="F151" s="20"/>
      <c r="G151" s="49"/>
      <c r="H151" s="20"/>
      <c r="I151" s="20"/>
      <c r="J151" s="20"/>
      <c r="K151" s="20"/>
      <c r="L151" s="20"/>
      <c r="M151" s="20"/>
      <c r="N151" s="20"/>
      <c r="O151" s="20"/>
      <c r="P151" s="20"/>
      <c r="Q151" s="22"/>
    </row>
    <row r="152" ht="13.8" spans="1:17">
      <c r="A152" s="14"/>
      <c r="B152" s="15"/>
      <c r="C152" s="16"/>
      <c r="D152" s="17"/>
      <c r="E152" s="17"/>
      <c r="F152" s="17"/>
      <c r="G152" s="18"/>
      <c r="H152" s="17"/>
      <c r="I152" s="17"/>
      <c r="J152" s="17"/>
      <c r="K152" s="17"/>
      <c r="L152" s="17"/>
      <c r="M152" s="17"/>
      <c r="N152" s="17"/>
      <c r="O152" s="17"/>
      <c r="P152" s="17"/>
      <c r="Q152" s="17"/>
    </row>
    <row r="153" customHeight="1" spans="1:17">
      <c r="A153" s="19"/>
      <c r="B153" s="20"/>
      <c r="C153" s="22"/>
      <c r="D153" s="20"/>
      <c r="E153" s="20"/>
      <c r="F153" s="20"/>
      <c r="G153" s="19"/>
      <c r="H153" s="51"/>
      <c r="I153" s="20"/>
      <c r="J153" s="20"/>
      <c r="K153" s="20"/>
      <c r="L153" s="20"/>
      <c r="M153" s="20"/>
      <c r="N153" s="20"/>
      <c r="O153" s="20"/>
      <c r="P153" s="20"/>
      <c r="Q153" s="20"/>
    </row>
    <row r="154" ht="13.8" spans="1:17">
      <c r="A154" s="14"/>
      <c r="B154" s="15"/>
      <c r="C154" s="16"/>
      <c r="D154" s="17"/>
      <c r="E154" s="17"/>
      <c r="F154" s="17"/>
      <c r="G154" s="18"/>
      <c r="H154" s="17"/>
      <c r="I154" s="17"/>
      <c r="J154" s="17"/>
      <c r="K154" s="17"/>
      <c r="L154" s="17"/>
      <c r="M154" s="17"/>
      <c r="N154" s="17"/>
      <c r="O154" s="17"/>
      <c r="P154" s="17"/>
      <c r="Q154" s="17"/>
    </row>
    <row r="155" customHeight="1" spans="1:17">
      <c r="A155" s="19"/>
      <c r="B155" s="20"/>
      <c r="C155" s="22"/>
      <c r="D155" s="20"/>
      <c r="E155" s="20"/>
      <c r="F155" s="20"/>
      <c r="G155" s="19"/>
      <c r="H155" s="42"/>
      <c r="I155" s="20"/>
      <c r="J155" s="20"/>
      <c r="K155" s="20"/>
      <c r="L155" s="20"/>
      <c r="M155" s="20"/>
      <c r="N155" s="20"/>
      <c r="O155" s="20"/>
      <c r="P155" s="20"/>
      <c r="Q155" s="20"/>
    </row>
    <row r="156" customHeight="1" spans="1:17">
      <c r="A156" s="19"/>
      <c r="B156" s="20"/>
      <c r="C156" s="22"/>
      <c r="D156" s="20"/>
      <c r="E156" s="20"/>
      <c r="F156" s="20"/>
      <c r="G156" s="19"/>
      <c r="H156" s="51"/>
      <c r="I156" s="20"/>
      <c r="J156" s="20"/>
      <c r="K156" s="20"/>
      <c r="L156" s="20"/>
      <c r="M156" s="20"/>
      <c r="N156" s="20"/>
      <c r="O156" s="20"/>
      <c r="P156" s="20"/>
      <c r="Q156" s="20"/>
    </row>
    <row r="157" customHeight="1" spans="1:17">
      <c r="A157" s="19"/>
      <c r="B157" s="20"/>
      <c r="C157" s="22"/>
      <c r="D157" s="20"/>
      <c r="E157" s="20"/>
      <c r="F157" s="20"/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</row>
    <row r="158" ht="16.5" customHeight="1" spans="1:17">
      <c r="A158" s="19"/>
      <c r="B158" s="20"/>
      <c r="C158" s="22"/>
      <c r="D158" s="20"/>
      <c r="E158" s="20"/>
      <c r="F158" s="20"/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</row>
    <row r="159" customHeight="1" spans="1:17">
      <c r="A159" s="19"/>
      <c r="B159" s="20"/>
      <c r="C159" s="22"/>
      <c r="D159" s="20"/>
      <c r="E159" s="20"/>
      <c r="F159" s="20"/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</row>
    <row r="160" customHeight="1" spans="1:17">
      <c r="A160" s="19"/>
      <c r="B160" s="20"/>
      <c r="C160" s="22"/>
      <c r="D160" s="20"/>
      <c r="E160" s="20"/>
      <c r="F160" s="20"/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</row>
    <row r="161" customHeight="1" spans="1:17">
      <c r="A161" s="19"/>
      <c r="B161" s="20"/>
      <c r="C161" s="22"/>
      <c r="D161" s="20"/>
      <c r="E161" s="20"/>
      <c r="F161" s="20"/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</row>
    <row r="162" customHeight="1" spans="1:17">
      <c r="A162" s="19"/>
      <c r="B162" s="20"/>
      <c r="C162" s="22"/>
      <c r="D162" s="20"/>
      <c r="E162" s="20"/>
      <c r="F162" s="20"/>
      <c r="G162" s="19"/>
      <c r="H162" s="20"/>
      <c r="I162" s="20"/>
      <c r="J162" s="20"/>
      <c r="K162" s="20"/>
      <c r="L162" s="20"/>
      <c r="M162" s="20"/>
      <c r="N162" s="20"/>
      <c r="O162" s="20"/>
      <c r="P162" s="20"/>
      <c r="Q162" s="22"/>
    </row>
    <row r="163" customHeight="1" spans="1:17">
      <c r="A163" s="19"/>
      <c r="B163" s="20"/>
      <c r="C163" s="22"/>
      <c r="D163" s="20"/>
      <c r="E163" s="20"/>
      <c r="F163" s="20"/>
      <c r="G163" s="19"/>
      <c r="H163" s="20"/>
      <c r="I163" s="20"/>
      <c r="J163" s="20"/>
      <c r="K163" s="20"/>
      <c r="L163" s="20"/>
      <c r="M163" s="20"/>
      <c r="N163" s="20"/>
      <c r="O163" s="20"/>
      <c r="P163" s="20"/>
      <c r="Q163" s="20"/>
    </row>
    <row r="164" customHeight="1" spans="1:17">
      <c r="A164" s="19"/>
      <c r="B164" s="20"/>
      <c r="C164" s="22"/>
      <c r="D164" s="20"/>
      <c r="E164" s="20"/>
      <c r="F164" s="20"/>
      <c r="G164" s="19"/>
      <c r="H164" s="20"/>
      <c r="I164" s="20"/>
      <c r="J164" s="20"/>
      <c r="K164" s="52"/>
      <c r="L164" s="52"/>
      <c r="M164" s="20"/>
      <c r="N164" s="20"/>
      <c r="O164" s="20"/>
      <c r="P164" s="20"/>
      <c r="Q164" s="20"/>
    </row>
    <row r="165" customHeight="1" spans="1:17">
      <c r="A165" s="19"/>
      <c r="B165" s="20"/>
      <c r="C165" s="22"/>
      <c r="D165" s="20"/>
      <c r="E165" s="20"/>
      <c r="F165" s="20"/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</row>
    <row r="166" customHeight="1" spans="1:17">
      <c r="A166" s="19"/>
      <c r="B166" s="20"/>
      <c r="C166" s="22"/>
      <c r="D166" s="20"/>
      <c r="E166" s="20"/>
      <c r="F166" s="20"/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</row>
    <row r="167" customHeight="1" spans="1:17">
      <c r="A167" s="19"/>
      <c r="B167" s="20"/>
      <c r="C167" s="22"/>
      <c r="D167" s="20"/>
      <c r="E167" s="20"/>
      <c r="F167" s="20"/>
      <c r="G167" s="19"/>
      <c r="H167" s="19"/>
      <c r="I167" s="20"/>
      <c r="J167" s="19"/>
      <c r="K167" s="20"/>
      <c r="L167" s="20"/>
      <c r="M167" s="20"/>
      <c r="N167" s="20"/>
      <c r="O167" s="20"/>
      <c r="P167" s="20"/>
      <c r="Q167" s="20"/>
    </row>
    <row r="168" customHeight="1" spans="1:17">
      <c r="A168" s="19"/>
      <c r="B168" s="20"/>
      <c r="C168" s="22"/>
      <c r="D168" s="20"/>
      <c r="E168" s="20"/>
      <c r="F168" s="20"/>
      <c r="G168" s="19"/>
      <c r="H168" s="19"/>
      <c r="I168" s="20"/>
      <c r="J168" s="19"/>
      <c r="K168" s="20"/>
      <c r="L168" s="20"/>
      <c r="M168" s="20"/>
      <c r="N168" s="20"/>
      <c r="O168" s="20"/>
      <c r="P168" s="20"/>
      <c r="Q168" s="20"/>
    </row>
    <row r="169" customHeight="1" spans="1:17">
      <c r="A169" s="19"/>
      <c r="B169" s="20"/>
      <c r="C169" s="22"/>
      <c r="D169" s="20"/>
      <c r="E169" s="20"/>
      <c r="F169" s="20"/>
      <c r="G169" s="19"/>
      <c r="H169" s="19"/>
      <c r="I169" s="20"/>
      <c r="J169" s="19"/>
      <c r="K169" s="20"/>
      <c r="L169" s="20"/>
      <c r="M169" s="20"/>
      <c r="N169" s="20"/>
      <c r="O169" s="20"/>
      <c r="P169" s="20"/>
      <c r="Q169" s="20"/>
    </row>
    <row r="170" customHeight="1" spans="1:17">
      <c r="A170" s="19"/>
      <c r="B170" s="20"/>
      <c r="C170" s="22"/>
      <c r="D170" s="20"/>
      <c r="E170" s="20"/>
      <c r="F170" s="20"/>
      <c r="G170" s="19"/>
      <c r="H170" s="19"/>
      <c r="I170" s="20"/>
      <c r="J170" s="19"/>
      <c r="K170" s="20"/>
      <c r="L170" s="20"/>
      <c r="M170" s="20"/>
      <c r="N170" s="20"/>
      <c r="O170" s="20"/>
      <c r="P170" s="20"/>
      <c r="Q170" s="20"/>
    </row>
    <row r="171" customHeight="1" spans="1:17">
      <c r="A171" s="19"/>
      <c r="B171" s="20"/>
      <c r="C171" s="22"/>
      <c r="D171" s="20"/>
      <c r="E171" s="20"/>
      <c r="F171" s="20"/>
      <c r="G171" s="19"/>
      <c r="H171" s="19"/>
      <c r="I171" s="20"/>
      <c r="J171" s="19"/>
      <c r="K171" s="20"/>
      <c r="L171" s="20"/>
      <c r="M171" s="20"/>
      <c r="N171" s="20"/>
      <c r="O171" s="20"/>
      <c r="P171" s="20"/>
      <c r="Q171" s="20"/>
    </row>
    <row r="172" customHeight="1" spans="1:17">
      <c r="A172" s="19"/>
      <c r="B172" s="20"/>
      <c r="C172" s="22"/>
      <c r="D172" s="20"/>
      <c r="E172" s="20"/>
      <c r="F172" s="20"/>
      <c r="G172" s="19"/>
      <c r="H172" s="19"/>
      <c r="I172" s="20"/>
      <c r="J172" s="19"/>
      <c r="K172" s="20"/>
      <c r="L172" s="20"/>
      <c r="M172" s="20"/>
      <c r="N172" s="20"/>
      <c r="O172" s="20"/>
      <c r="P172" s="20"/>
      <c r="Q172" s="20"/>
    </row>
    <row r="173" customHeight="1" spans="1:17">
      <c r="A173" s="19"/>
      <c r="B173" s="20"/>
      <c r="C173" s="22"/>
      <c r="D173" s="20"/>
      <c r="E173" s="20"/>
      <c r="F173" s="20"/>
      <c r="G173" s="19"/>
      <c r="H173" s="19"/>
      <c r="I173" s="20"/>
      <c r="J173" s="19"/>
      <c r="K173" s="20"/>
      <c r="L173" s="20"/>
      <c r="M173" s="20"/>
      <c r="N173" s="20"/>
      <c r="O173" s="20"/>
      <c r="P173" s="20"/>
      <c r="Q173" s="20"/>
    </row>
    <row r="174" customHeight="1" spans="1:17">
      <c r="A174" s="19"/>
      <c r="B174" s="20"/>
      <c r="C174" s="22"/>
      <c r="D174" s="20"/>
      <c r="E174" s="20"/>
      <c r="F174" s="20"/>
      <c r="G174" s="19"/>
      <c r="H174" s="19"/>
      <c r="I174" s="20"/>
      <c r="J174" s="19"/>
      <c r="K174" s="20"/>
      <c r="L174" s="20"/>
      <c r="M174" s="20"/>
      <c r="N174" s="20"/>
      <c r="O174" s="20"/>
      <c r="P174" s="20"/>
      <c r="Q174" s="20"/>
    </row>
    <row r="175" customHeight="1" spans="1:17">
      <c r="A175" s="19"/>
      <c r="B175" s="20"/>
      <c r="C175" s="22"/>
      <c r="D175" s="20"/>
      <c r="E175" s="20"/>
      <c r="F175" s="20"/>
      <c r="G175" s="19"/>
      <c r="H175" s="19"/>
      <c r="I175" s="20"/>
      <c r="J175" s="19"/>
      <c r="K175" s="20"/>
      <c r="L175" s="20"/>
      <c r="M175" s="20"/>
      <c r="N175" s="20"/>
      <c r="O175" s="20"/>
      <c r="P175" s="20"/>
      <c r="Q175" s="20"/>
    </row>
    <row r="176" ht="13.8" spans="1:17">
      <c r="A176" s="14"/>
      <c r="B176" s="15"/>
      <c r="C176" s="16"/>
      <c r="D176" s="17"/>
      <c r="E176" s="17"/>
      <c r="F176" s="17"/>
      <c r="G176" s="18"/>
      <c r="H176" s="17"/>
      <c r="I176" s="17"/>
      <c r="J176" s="17"/>
      <c r="K176" s="17"/>
      <c r="L176" s="17"/>
      <c r="M176" s="17"/>
      <c r="N176" s="17"/>
      <c r="O176" s="17"/>
      <c r="P176" s="17"/>
      <c r="Q176" s="17"/>
    </row>
    <row r="177" customHeight="1" spans="1:17">
      <c r="A177" s="19"/>
      <c r="B177" s="20"/>
      <c r="C177" s="22"/>
      <c r="D177" s="20"/>
      <c r="E177" s="20"/>
      <c r="F177" s="20"/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</row>
    <row r="178" customHeight="1" spans="1:17">
      <c r="A178" s="19"/>
      <c r="B178" s="20"/>
      <c r="C178" s="22"/>
      <c r="D178" s="20"/>
      <c r="E178" s="20"/>
      <c r="F178" s="20"/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</row>
    <row r="179" customHeight="1" spans="1:17">
      <c r="A179" s="19"/>
      <c r="B179" s="20"/>
      <c r="C179" s="22"/>
      <c r="D179" s="20"/>
      <c r="E179" s="20"/>
      <c r="F179" s="20"/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</row>
    <row r="180" customHeight="1" spans="1:17">
      <c r="A180" s="19"/>
      <c r="B180" s="20"/>
      <c r="C180" s="22"/>
      <c r="D180" s="20"/>
      <c r="E180" s="20"/>
      <c r="F180" s="20"/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</row>
    <row r="181" customHeight="1" spans="1:17">
      <c r="A181" s="19"/>
      <c r="B181" s="20"/>
      <c r="C181" s="22"/>
      <c r="D181" s="20"/>
      <c r="E181" s="20"/>
      <c r="F181" s="20"/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</row>
    <row r="182" customHeight="1" spans="1:17">
      <c r="A182" s="19"/>
      <c r="B182" s="20"/>
      <c r="C182" s="22"/>
      <c r="D182" s="20"/>
      <c r="E182" s="20"/>
      <c r="F182" s="20"/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</row>
    <row r="183" customHeight="1" spans="1:17">
      <c r="A183" s="19"/>
      <c r="B183" s="20"/>
      <c r="C183" s="22"/>
      <c r="D183" s="20"/>
      <c r="E183" s="20"/>
      <c r="F183" s="20"/>
      <c r="G183" s="19"/>
      <c r="H183" s="42"/>
      <c r="I183" s="20"/>
      <c r="J183" s="20"/>
      <c r="K183" s="20"/>
      <c r="L183" s="20"/>
      <c r="M183" s="20"/>
      <c r="N183" s="20"/>
      <c r="O183" s="20"/>
      <c r="P183" s="20"/>
      <c r="Q183" s="20"/>
    </row>
    <row r="184" ht="13.8" spans="1:17">
      <c r="A184" s="14"/>
      <c r="B184" s="15"/>
      <c r="C184" s="16"/>
      <c r="D184" s="17"/>
      <c r="E184" s="17"/>
      <c r="F184" s="17"/>
      <c r="G184" s="18"/>
      <c r="H184" s="17"/>
      <c r="I184" s="17"/>
      <c r="J184" s="17"/>
      <c r="K184" s="17"/>
      <c r="L184" s="17"/>
      <c r="M184" s="17"/>
      <c r="N184" s="17"/>
      <c r="O184" s="17"/>
      <c r="P184" s="17"/>
      <c r="Q184" s="17"/>
    </row>
    <row r="185" customHeight="1" spans="1:17">
      <c r="A185" s="19"/>
      <c r="B185" s="20"/>
      <c r="C185" s="39"/>
      <c r="D185" s="20"/>
      <c r="E185" s="20"/>
      <c r="F185" s="20"/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</row>
    <row r="186" customHeight="1" spans="1:17">
      <c r="A186" s="19"/>
      <c r="B186" s="20"/>
      <c r="C186" s="39"/>
      <c r="D186" s="20"/>
      <c r="E186" s="20"/>
      <c r="F186" s="20"/>
      <c r="G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</row>
    <row r="187" customHeight="1" spans="1:17">
      <c r="A187" s="19"/>
      <c r="B187" s="20"/>
      <c r="C187" s="39"/>
      <c r="D187" s="20"/>
      <c r="E187" s="20"/>
      <c r="F187" s="20"/>
      <c r="G187" s="19"/>
      <c r="H187" s="20"/>
      <c r="I187" s="20"/>
      <c r="J187" s="20"/>
      <c r="K187" s="20"/>
      <c r="L187" s="20"/>
      <c r="M187" s="20"/>
      <c r="N187" s="20"/>
      <c r="O187" s="20"/>
      <c r="P187" s="20"/>
      <c r="Q187" s="20"/>
    </row>
    <row r="188" customHeight="1" spans="1:17">
      <c r="A188" s="19"/>
      <c r="B188" s="20"/>
      <c r="C188" s="39"/>
      <c r="D188" s="20"/>
      <c r="E188" s="20"/>
      <c r="F188" s="20"/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</row>
    <row r="189" customHeight="1" spans="1:17">
      <c r="A189" s="19"/>
      <c r="B189" s="20"/>
      <c r="C189" s="39"/>
      <c r="D189" s="20"/>
      <c r="E189" s="20"/>
      <c r="F189" s="20"/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</row>
    <row r="190" customHeight="1" spans="1:17">
      <c r="A190" s="19"/>
      <c r="B190" s="20"/>
      <c r="C190" s="39"/>
      <c r="D190" s="20"/>
      <c r="E190" s="20"/>
      <c r="F190" s="20"/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</row>
    <row r="191" customHeight="1" spans="1:17">
      <c r="A191" s="19"/>
      <c r="B191" s="20"/>
      <c r="C191" s="39"/>
      <c r="D191" s="20"/>
      <c r="E191" s="20"/>
      <c r="F191" s="20"/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</row>
    <row r="192" customHeight="1" spans="1:17">
      <c r="A192" s="19"/>
      <c r="B192" s="20"/>
      <c r="C192" s="22"/>
      <c r="D192" s="20"/>
      <c r="E192" s="20"/>
      <c r="F192" s="20"/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</row>
    <row r="193" customHeight="1" spans="1:17">
      <c r="A193" s="19"/>
      <c r="B193" s="20"/>
      <c r="C193" s="22"/>
      <c r="D193" s="20"/>
      <c r="E193" s="20"/>
      <c r="F193" s="20"/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</row>
    <row r="194" customHeight="1" spans="1:17">
      <c r="A194" s="19"/>
      <c r="B194" s="20"/>
      <c r="C194" s="22"/>
      <c r="D194" s="20"/>
      <c r="E194" s="20"/>
      <c r="F194" s="20"/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</row>
    <row r="195" ht="13.8" spans="1:17">
      <c r="A195" s="14"/>
      <c r="B195" s="15"/>
      <c r="C195" s="16"/>
      <c r="D195" s="17"/>
      <c r="E195" s="17"/>
      <c r="F195" s="17"/>
      <c r="G195" s="18"/>
      <c r="H195" s="17"/>
      <c r="I195" s="17"/>
      <c r="J195" s="17"/>
      <c r="K195" s="17"/>
      <c r="L195" s="17"/>
      <c r="M195" s="17"/>
      <c r="N195" s="17"/>
      <c r="O195" s="17"/>
      <c r="P195" s="17"/>
      <c r="Q195" s="17"/>
    </row>
    <row r="196" ht="13.8" spans="1:17">
      <c r="A196" s="53"/>
      <c r="B196" s="54"/>
      <c r="C196" s="55"/>
      <c r="D196" s="56"/>
      <c r="E196" s="56"/>
      <c r="F196" s="56"/>
      <c r="G196" s="57"/>
      <c r="H196" s="56"/>
      <c r="I196" s="56"/>
      <c r="J196" s="56"/>
      <c r="K196" s="56"/>
      <c r="L196" s="56"/>
      <c r="M196" s="56"/>
      <c r="N196" s="56"/>
      <c r="O196" s="56"/>
      <c r="P196" s="56"/>
      <c r="Q196" s="56"/>
    </row>
    <row r="197" customHeight="1" spans="1:17">
      <c r="A197" s="19"/>
      <c r="B197" s="20"/>
      <c r="C197" s="22"/>
      <c r="D197" s="20"/>
      <c r="E197" s="20"/>
      <c r="F197" s="20"/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2"/>
    </row>
    <row r="198" customHeight="1" spans="1:17">
      <c r="A198" s="19"/>
      <c r="B198" s="20"/>
      <c r="C198" s="22"/>
      <c r="D198" s="20"/>
      <c r="E198" s="20"/>
      <c r="F198" s="20"/>
      <c r="G198" s="19"/>
      <c r="H198" s="20"/>
      <c r="I198" s="20"/>
      <c r="J198" s="20"/>
      <c r="K198" s="20"/>
      <c r="L198" s="20"/>
      <c r="M198" s="20"/>
      <c r="N198" s="20"/>
      <c r="O198" s="20"/>
      <c r="P198" s="20"/>
      <c r="Q198" s="22"/>
    </row>
    <row r="199" customHeight="1" spans="1:17">
      <c r="A199" s="19"/>
      <c r="B199" s="20"/>
      <c r="C199" s="22"/>
      <c r="D199" s="20"/>
      <c r="E199" s="20"/>
      <c r="F199" s="20"/>
      <c r="G199" s="19"/>
      <c r="H199" s="20"/>
      <c r="I199" s="20"/>
      <c r="J199" s="20"/>
      <c r="K199" s="20"/>
      <c r="L199" s="20"/>
      <c r="M199" s="20"/>
      <c r="N199" s="20"/>
      <c r="O199" s="20"/>
      <c r="P199" s="20"/>
      <c r="Q199" s="22"/>
    </row>
    <row r="200" customHeight="1" spans="1:17">
      <c r="A200" s="19"/>
      <c r="B200" s="20"/>
      <c r="C200" s="22"/>
      <c r="D200" s="20"/>
      <c r="E200" s="20"/>
      <c r="F200" s="20"/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2"/>
    </row>
    <row r="201" customHeight="1" spans="1:17">
      <c r="A201" s="19"/>
      <c r="B201" s="20"/>
      <c r="C201" s="22"/>
      <c r="D201" s="20"/>
      <c r="E201" s="20"/>
      <c r="F201" s="20"/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2"/>
    </row>
    <row r="202" customHeight="1" spans="1:17">
      <c r="A202" s="19"/>
      <c r="B202" s="20"/>
      <c r="C202" s="22"/>
      <c r="D202" s="20"/>
      <c r="E202" s="20"/>
      <c r="F202" s="20"/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2"/>
    </row>
    <row r="203" customHeight="1" spans="1:17">
      <c r="A203" s="19"/>
      <c r="B203" s="20"/>
      <c r="C203" s="22"/>
      <c r="D203" s="20"/>
      <c r="E203" s="20"/>
      <c r="F203" s="20"/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2"/>
    </row>
    <row r="204" customHeight="1" spans="1:17">
      <c r="A204" s="19"/>
      <c r="B204" s="20"/>
      <c r="C204" s="22"/>
      <c r="D204" s="20"/>
      <c r="E204" s="20"/>
      <c r="F204" s="20"/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2"/>
    </row>
    <row r="205" customHeight="1" spans="1:17">
      <c r="A205" s="19"/>
      <c r="B205" s="20"/>
      <c r="C205" s="22"/>
      <c r="D205" s="20"/>
      <c r="E205" s="20"/>
      <c r="F205" s="20"/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2"/>
    </row>
    <row r="206" customHeight="1" spans="1:17">
      <c r="A206" s="19"/>
      <c r="B206" s="20"/>
      <c r="C206" s="22"/>
      <c r="D206" s="20"/>
      <c r="E206" s="20"/>
      <c r="F206" s="20"/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2"/>
    </row>
    <row r="207" customHeight="1" spans="1:17">
      <c r="A207" s="19"/>
      <c r="B207" s="20"/>
      <c r="C207" s="22"/>
      <c r="D207" s="20"/>
      <c r="E207" s="20"/>
      <c r="F207" s="20"/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2"/>
    </row>
    <row r="208" customHeight="1" spans="1:17">
      <c r="A208" s="19"/>
      <c r="B208" s="20"/>
      <c r="C208" s="22"/>
      <c r="D208" s="20"/>
      <c r="E208" s="20"/>
      <c r="F208" s="20"/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2"/>
    </row>
    <row r="209" customHeight="1" spans="1:17">
      <c r="A209" s="19"/>
      <c r="B209" s="20"/>
      <c r="C209" s="22"/>
      <c r="D209" s="20"/>
      <c r="E209" s="20"/>
      <c r="F209" s="20"/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2"/>
    </row>
    <row r="210" customHeight="1" spans="1:17">
      <c r="A210" s="19"/>
      <c r="B210" s="20"/>
      <c r="C210" s="22"/>
      <c r="D210" s="20"/>
      <c r="E210" s="20"/>
      <c r="F210" s="20"/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2"/>
    </row>
    <row r="211" customHeight="1" spans="1:17">
      <c r="A211" s="19"/>
      <c r="B211" s="20"/>
      <c r="C211" s="22"/>
      <c r="D211" s="20"/>
      <c r="E211" s="20"/>
      <c r="F211" s="20"/>
      <c r="G211" s="19"/>
      <c r="H211" s="20"/>
      <c r="I211" s="20"/>
      <c r="J211" s="20"/>
      <c r="K211" s="20"/>
      <c r="L211" s="20"/>
      <c r="M211" s="20"/>
      <c r="N211" s="20"/>
      <c r="O211" s="20"/>
      <c r="P211" s="20"/>
      <c r="Q211" s="22"/>
    </row>
    <row r="212" customHeight="1" spans="1:17">
      <c r="A212" s="19"/>
      <c r="B212" s="20"/>
      <c r="C212" s="22"/>
      <c r="D212" s="20"/>
      <c r="E212" s="20"/>
      <c r="F212" s="20"/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2"/>
    </row>
    <row r="213" customHeight="1" spans="1:17">
      <c r="A213" s="19"/>
      <c r="B213" s="20"/>
      <c r="C213" s="22"/>
      <c r="D213" s="20"/>
      <c r="E213" s="20"/>
      <c r="F213" s="20"/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2"/>
    </row>
    <row r="214" customHeight="1" spans="1:17">
      <c r="A214" s="19"/>
      <c r="B214" s="34"/>
      <c r="C214" s="20"/>
      <c r="D214" s="20"/>
      <c r="E214" s="20"/>
      <c r="F214" s="20"/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2"/>
    </row>
    <row r="215" customHeight="1" spans="1:17">
      <c r="A215" s="19"/>
      <c r="B215" s="34"/>
      <c r="C215" s="20"/>
      <c r="D215" s="20"/>
      <c r="E215" s="20"/>
      <c r="F215" s="20"/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2"/>
    </row>
    <row r="216" customHeight="1" spans="1:17">
      <c r="A216" s="19"/>
      <c r="B216" s="34"/>
      <c r="C216" s="20"/>
      <c r="D216" s="20"/>
      <c r="E216" s="20"/>
      <c r="F216" s="20"/>
      <c r="G216" s="19"/>
      <c r="H216" s="20"/>
      <c r="I216" s="20"/>
      <c r="J216" s="20"/>
      <c r="K216" s="19"/>
      <c r="L216" s="19"/>
      <c r="M216" s="20"/>
      <c r="N216" s="20"/>
      <c r="O216" s="20"/>
      <c r="P216" s="20"/>
      <c r="Q216" s="22"/>
    </row>
    <row r="217" customHeight="1" spans="1:17">
      <c r="A217" s="19"/>
      <c r="B217" s="34"/>
      <c r="C217" s="20"/>
      <c r="D217" s="20"/>
      <c r="E217" s="20"/>
      <c r="F217" s="20"/>
      <c r="G217" s="19"/>
      <c r="H217" s="20"/>
      <c r="I217" s="20"/>
      <c r="J217" s="20"/>
      <c r="K217" s="19"/>
      <c r="L217" s="19"/>
      <c r="M217" s="20"/>
      <c r="N217" s="20"/>
      <c r="O217" s="20"/>
      <c r="P217" s="20"/>
      <c r="Q217" s="22"/>
    </row>
    <row r="218" customHeight="1" spans="1:17">
      <c r="A218" s="19"/>
      <c r="B218" s="34"/>
      <c r="C218" s="20"/>
      <c r="D218" s="20"/>
      <c r="E218" s="20"/>
      <c r="F218" s="20"/>
      <c r="G218" s="19"/>
      <c r="H218" s="20"/>
      <c r="I218" s="20"/>
      <c r="J218" s="20"/>
      <c r="K218" s="19"/>
      <c r="L218" s="19"/>
      <c r="M218" s="20"/>
      <c r="N218" s="20"/>
      <c r="O218" s="20"/>
      <c r="P218" s="20"/>
      <c r="Q218" s="22"/>
    </row>
    <row r="219" customHeight="1" spans="1:17">
      <c r="A219" s="19"/>
      <c r="B219" s="34"/>
      <c r="C219" s="20"/>
      <c r="D219" s="20"/>
      <c r="E219" s="20"/>
      <c r="F219" s="20"/>
      <c r="G219" s="19"/>
      <c r="H219" s="20"/>
      <c r="I219" s="20"/>
      <c r="J219" s="20"/>
      <c r="K219" s="19"/>
      <c r="L219" s="19"/>
      <c r="M219" s="20"/>
      <c r="N219" s="20"/>
      <c r="O219" s="20"/>
      <c r="P219" s="20"/>
      <c r="Q219" s="22"/>
    </row>
    <row r="220" customHeight="1" spans="1:17">
      <c r="A220" s="19"/>
      <c r="B220" s="34"/>
      <c r="C220" s="20"/>
      <c r="D220" s="20"/>
      <c r="E220" s="20"/>
      <c r="F220" s="20"/>
      <c r="G220" s="19"/>
      <c r="H220" s="20"/>
      <c r="I220" s="20"/>
      <c r="J220" s="20"/>
      <c r="K220" s="19"/>
      <c r="L220" s="19"/>
      <c r="M220" s="20"/>
      <c r="N220" s="20"/>
      <c r="O220" s="20"/>
      <c r="P220" s="20"/>
      <c r="Q220" s="22"/>
    </row>
    <row r="221" customHeight="1" spans="1:17">
      <c r="A221" s="19"/>
      <c r="B221" s="34"/>
      <c r="C221" s="20"/>
      <c r="D221" s="20"/>
      <c r="E221" s="20"/>
      <c r="F221" s="20"/>
      <c r="G221" s="19"/>
      <c r="H221" s="20"/>
      <c r="I221" s="20"/>
      <c r="J221" s="20"/>
      <c r="K221" s="19"/>
      <c r="L221" s="19"/>
      <c r="M221" s="20"/>
      <c r="N221" s="20"/>
      <c r="O221" s="20"/>
      <c r="P221" s="20"/>
      <c r="Q221" s="22"/>
    </row>
    <row r="222" customHeight="1" spans="1:17">
      <c r="A222" s="19"/>
      <c r="B222" s="34"/>
      <c r="D222" s="20"/>
      <c r="E222" s="20"/>
      <c r="F222" s="20"/>
      <c r="G222" s="19"/>
      <c r="H222" s="20"/>
      <c r="I222" s="43"/>
      <c r="J222" s="20"/>
      <c r="K222" s="19"/>
      <c r="L222" s="19"/>
      <c r="M222" s="20"/>
      <c r="N222" s="20"/>
      <c r="O222" s="20"/>
      <c r="P222" s="20"/>
      <c r="Q222" s="22"/>
    </row>
    <row r="223" customHeight="1" spans="1:17">
      <c r="A223" s="19"/>
      <c r="B223" s="20"/>
      <c r="C223" s="20"/>
      <c r="D223" s="20"/>
      <c r="E223" s="20"/>
      <c r="F223" s="20"/>
      <c r="G223" s="19"/>
      <c r="H223" s="20"/>
      <c r="I223" s="20"/>
      <c r="J223" s="20"/>
      <c r="K223" s="19"/>
      <c r="L223" s="19"/>
      <c r="M223" s="20"/>
      <c r="N223" s="20"/>
      <c r="O223" s="20"/>
      <c r="P223" s="20"/>
      <c r="Q223" s="22"/>
    </row>
    <row r="224" ht="13.8" spans="1:17">
      <c r="A224" s="53"/>
      <c r="B224" s="54"/>
      <c r="C224" s="55"/>
      <c r="D224" s="56"/>
      <c r="E224" s="56"/>
      <c r="F224" s="56"/>
      <c r="G224" s="57"/>
      <c r="H224" s="56"/>
      <c r="I224" s="56"/>
      <c r="J224" s="56"/>
      <c r="K224" s="56"/>
      <c r="L224" s="56"/>
      <c r="M224" s="56"/>
      <c r="N224" s="56"/>
      <c r="O224" s="56"/>
      <c r="P224" s="56"/>
      <c r="Q224" s="56"/>
    </row>
    <row r="225" customHeight="1" spans="1:17">
      <c r="A225" s="19"/>
      <c r="B225" s="20"/>
      <c r="C225" s="20"/>
      <c r="D225" s="20"/>
      <c r="E225" s="20"/>
      <c r="F225" s="20"/>
      <c r="G225" s="19"/>
      <c r="H225" s="58"/>
      <c r="I225" s="20"/>
      <c r="J225" s="20"/>
      <c r="K225" s="19"/>
      <c r="L225" s="19"/>
      <c r="M225" s="20"/>
      <c r="N225" s="20"/>
      <c r="O225" s="20"/>
      <c r="P225" s="20"/>
      <c r="Q225" s="22"/>
    </row>
    <row r="226" customHeight="1" spans="1:17">
      <c r="A226" s="19"/>
      <c r="B226" s="20"/>
      <c r="C226" s="20"/>
      <c r="D226" s="20"/>
      <c r="E226" s="20"/>
      <c r="F226" s="20"/>
      <c r="G226" s="19"/>
      <c r="H226" s="58"/>
      <c r="I226" s="20"/>
      <c r="J226" s="20"/>
      <c r="K226" s="19"/>
      <c r="L226" s="19"/>
      <c r="M226" s="20"/>
      <c r="N226" s="20"/>
      <c r="O226" s="20"/>
      <c r="P226" s="20"/>
      <c r="Q226" s="22"/>
    </row>
    <row r="227" customHeight="1" spans="1:17">
      <c r="A227" s="19"/>
      <c r="B227" s="20"/>
      <c r="C227" s="20"/>
      <c r="D227" s="20"/>
      <c r="E227" s="20"/>
      <c r="F227" s="20"/>
      <c r="G227" s="19"/>
      <c r="H227" s="58"/>
      <c r="I227" s="20"/>
      <c r="J227" s="20"/>
      <c r="K227" s="19"/>
      <c r="L227" s="19"/>
      <c r="M227" s="20"/>
      <c r="N227" s="20"/>
      <c r="O227" s="20"/>
      <c r="P227" s="20"/>
      <c r="Q227" s="22"/>
    </row>
    <row r="228" customHeight="1" spans="1:17">
      <c r="A228" s="19"/>
      <c r="B228" s="20"/>
      <c r="C228" s="20"/>
      <c r="D228" s="20"/>
      <c r="E228" s="20"/>
      <c r="F228" s="20"/>
      <c r="G228" s="19"/>
      <c r="H228" s="58"/>
      <c r="I228" s="20"/>
      <c r="J228" s="20"/>
      <c r="K228" s="19"/>
      <c r="L228" s="19"/>
      <c r="M228" s="20"/>
      <c r="N228" s="20"/>
      <c r="O228" s="20"/>
      <c r="P228" s="20"/>
      <c r="Q228" s="22"/>
    </row>
    <row r="229" customHeight="1" spans="1:17">
      <c r="A229" s="19"/>
      <c r="B229" s="20"/>
      <c r="C229" s="20"/>
      <c r="D229" s="20"/>
      <c r="E229" s="20"/>
      <c r="F229" s="20"/>
      <c r="G229" s="19"/>
      <c r="H229" s="20"/>
      <c r="I229" s="20"/>
      <c r="J229" s="20"/>
      <c r="K229" s="19"/>
      <c r="L229" s="19"/>
      <c r="M229" s="20"/>
      <c r="N229" s="20"/>
      <c r="O229" s="20"/>
      <c r="P229" s="20"/>
      <c r="Q229" s="22"/>
    </row>
    <row r="230" customHeight="1" spans="1:17">
      <c r="A230" s="19"/>
      <c r="B230" s="20"/>
      <c r="C230" s="20"/>
      <c r="D230" s="20"/>
      <c r="E230" s="20"/>
      <c r="F230" s="20"/>
      <c r="G230" s="19"/>
      <c r="H230" s="20"/>
      <c r="I230" s="20"/>
      <c r="J230" s="20"/>
      <c r="K230" s="19"/>
      <c r="L230" s="19"/>
      <c r="M230" s="20"/>
      <c r="N230" s="20"/>
      <c r="O230" s="20"/>
      <c r="P230" s="20"/>
      <c r="Q230" s="22"/>
    </row>
    <row r="231" customHeight="1" spans="1:17">
      <c r="A231" s="19"/>
      <c r="B231" s="20"/>
      <c r="C231" s="20"/>
      <c r="D231" s="20"/>
      <c r="E231" s="20"/>
      <c r="F231" s="20"/>
      <c r="G231" s="19"/>
      <c r="H231" s="20"/>
      <c r="I231" s="20"/>
      <c r="J231" s="20"/>
      <c r="K231" s="19"/>
      <c r="L231" s="19"/>
      <c r="M231" s="20"/>
      <c r="N231" s="20"/>
      <c r="O231" s="20"/>
      <c r="P231" s="20"/>
      <c r="Q231" s="22"/>
    </row>
    <row r="232" ht="13.8" spans="1:17">
      <c r="A232" s="9"/>
      <c r="B232" s="10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</row>
    <row r="233" hidden="1" customHeight="1" spans="1:17">
      <c r="A233" s="19">
        <v>24</v>
      </c>
      <c r="B233" s="20" t="s">
        <v>3600</v>
      </c>
      <c r="C233" s="22" t="s">
        <v>3825</v>
      </c>
      <c r="D233" s="20"/>
      <c r="E233" s="20"/>
      <c r="F233" s="20" t="s">
        <v>8720</v>
      </c>
      <c r="G233" s="19" t="s">
        <v>27</v>
      </c>
      <c r="H233" s="20"/>
      <c r="I233" s="20"/>
      <c r="J233" s="20"/>
      <c r="K233" s="20"/>
      <c r="L233" s="20"/>
      <c r="M233" s="20"/>
      <c r="N233" s="20"/>
      <c r="O233" s="20"/>
      <c r="P233" s="20"/>
      <c r="Q233" s="20"/>
    </row>
    <row r="234" customHeight="1" spans="1:17">
      <c r="A234" s="19"/>
      <c r="B234" s="25"/>
      <c r="C234" s="22"/>
      <c r="D234" s="20"/>
      <c r="E234" s="20"/>
      <c r="F234" s="20"/>
      <c r="G234" s="19"/>
      <c r="H234" s="42"/>
      <c r="I234" s="43"/>
      <c r="J234" s="20"/>
      <c r="K234" s="20"/>
      <c r="L234" s="20"/>
      <c r="M234" s="20"/>
      <c r="N234" s="20"/>
      <c r="O234" s="20"/>
      <c r="P234" s="20"/>
      <c r="Q234" s="20"/>
    </row>
    <row r="235" customHeight="1" spans="1:17">
      <c r="A235" s="19"/>
      <c r="B235" s="25"/>
      <c r="C235" s="22"/>
      <c r="D235" s="20"/>
      <c r="E235" s="20"/>
      <c r="F235" s="20"/>
      <c r="G235" s="19"/>
      <c r="H235" s="42"/>
      <c r="I235" s="43"/>
      <c r="J235" s="20"/>
      <c r="K235" s="20"/>
      <c r="L235" s="20"/>
      <c r="M235" s="20"/>
      <c r="N235" s="20"/>
      <c r="O235" s="20"/>
      <c r="P235" s="20"/>
      <c r="Q235" s="20"/>
    </row>
    <row r="236" customHeight="1" spans="1:17">
      <c r="A236" s="19"/>
      <c r="B236" s="25"/>
      <c r="C236" s="22"/>
      <c r="D236" s="20"/>
      <c r="E236" s="20"/>
      <c r="F236" s="20"/>
      <c r="G236" s="19"/>
      <c r="H236" s="42"/>
      <c r="I236" s="43"/>
      <c r="J236" s="20"/>
      <c r="K236" s="20"/>
      <c r="L236" s="20"/>
      <c r="M236" s="20"/>
      <c r="N236" s="20"/>
      <c r="O236" s="20"/>
      <c r="P236" s="20"/>
      <c r="Q236" s="20"/>
    </row>
    <row r="237" customHeight="1" spans="1:17">
      <c r="A237" s="19"/>
      <c r="B237" s="25"/>
      <c r="C237" s="22"/>
      <c r="D237" s="20"/>
      <c r="E237" s="20"/>
      <c r="F237" s="20"/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</row>
    <row r="238" customHeight="1" spans="1:17">
      <c r="A238" s="19"/>
      <c r="B238" s="25"/>
      <c r="C238" s="22"/>
      <c r="D238" s="20"/>
      <c r="E238" s="20"/>
      <c r="F238" s="20"/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</row>
    <row r="239" customHeight="1" spans="1:17">
      <c r="A239" s="19"/>
      <c r="B239" s="25"/>
      <c r="C239" s="22"/>
      <c r="D239" s="20"/>
      <c r="E239" s="20"/>
      <c r="F239" s="20"/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</row>
    <row r="240" customHeight="1" spans="1:17">
      <c r="A240" s="19"/>
      <c r="B240" s="25"/>
      <c r="C240" s="22"/>
      <c r="D240" s="20"/>
      <c r="E240" s="20"/>
      <c r="F240" s="20"/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</row>
    <row r="241" customHeight="1" spans="1:17">
      <c r="A241" s="19"/>
      <c r="B241" s="25"/>
      <c r="C241" s="22"/>
      <c r="D241" s="20"/>
      <c r="E241" s="20"/>
      <c r="F241" s="20"/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</row>
    <row r="242" customHeight="1" spans="1:17">
      <c r="A242" s="19"/>
      <c r="B242" s="25"/>
      <c r="C242" s="22"/>
      <c r="D242" s="20"/>
      <c r="E242" s="20"/>
      <c r="F242" s="20"/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</row>
    <row r="243" customHeight="1" spans="1:17">
      <c r="A243" s="19"/>
      <c r="B243" s="25"/>
      <c r="C243" s="22"/>
      <c r="D243" s="20"/>
      <c r="E243" s="20"/>
      <c r="F243" s="20"/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</row>
    <row r="244" customHeight="1" spans="1:17">
      <c r="A244" s="19"/>
      <c r="B244" s="25"/>
      <c r="C244" s="22"/>
      <c r="D244" s="20"/>
      <c r="E244" s="20"/>
      <c r="F244" s="20"/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</row>
    <row r="245" customHeight="1" spans="1:17">
      <c r="A245" s="19"/>
      <c r="B245" s="25"/>
      <c r="C245" s="22"/>
      <c r="D245" s="20"/>
      <c r="E245" s="20"/>
      <c r="F245" s="20"/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</row>
    <row r="246" customHeight="1" spans="1:17">
      <c r="A246" s="19"/>
      <c r="B246" s="25"/>
      <c r="C246" s="22"/>
      <c r="D246" s="20"/>
      <c r="E246" s="20"/>
      <c r="F246" s="20"/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</row>
    <row r="247" customHeight="1" spans="1:17">
      <c r="A247" s="19"/>
      <c r="B247" s="25"/>
      <c r="C247" s="22"/>
      <c r="D247" s="20"/>
      <c r="E247" s="20"/>
      <c r="F247" s="20"/>
      <c r="G247" s="19"/>
      <c r="H247" s="20"/>
      <c r="I247" s="20"/>
      <c r="J247" s="20"/>
      <c r="K247" s="20"/>
      <c r="L247" s="20"/>
      <c r="M247" s="20"/>
      <c r="N247" s="20"/>
      <c r="O247" s="20"/>
      <c r="P247" s="20"/>
      <c r="Q247" s="20"/>
    </row>
    <row r="248" customHeight="1" spans="1:17">
      <c r="A248" s="19"/>
      <c r="B248" s="25"/>
      <c r="C248" s="22"/>
      <c r="D248" s="20"/>
      <c r="E248" s="20"/>
      <c r="F248" s="20"/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</row>
    <row r="249" customHeight="1" spans="1:17">
      <c r="A249" s="19"/>
      <c r="B249" s="25"/>
      <c r="C249" s="22"/>
      <c r="D249" s="20"/>
      <c r="E249" s="20"/>
      <c r="F249" s="20"/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</row>
    <row r="250" customHeight="1" spans="1:17">
      <c r="A250" s="19"/>
      <c r="B250" s="25"/>
      <c r="C250" s="22"/>
      <c r="D250" s="20"/>
      <c r="E250" s="20"/>
      <c r="F250" s="20"/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</row>
    <row r="251" customHeight="1" spans="1:17">
      <c r="A251" s="19"/>
      <c r="B251" s="25"/>
      <c r="C251" s="22"/>
      <c r="D251" s="20"/>
      <c r="E251" s="20"/>
      <c r="F251" s="20"/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</row>
    <row r="252" customHeight="1" spans="1:17">
      <c r="A252" s="19"/>
      <c r="B252" s="25"/>
      <c r="C252" s="22"/>
      <c r="D252" s="20"/>
      <c r="E252" s="20"/>
      <c r="F252" s="20"/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</row>
    <row r="253" customHeight="1" spans="1:17">
      <c r="A253" s="19"/>
      <c r="B253" s="25"/>
      <c r="C253" s="22"/>
      <c r="D253" s="20"/>
      <c r="E253" s="20"/>
      <c r="F253" s="20"/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</row>
    <row r="254" customHeight="1" spans="1:17">
      <c r="A254" s="19"/>
      <c r="B254" s="25"/>
      <c r="C254" s="22"/>
      <c r="D254" s="20"/>
      <c r="E254" s="20"/>
      <c r="F254" s="20"/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</row>
    <row r="255" customHeight="1" spans="1:17">
      <c r="A255" s="19"/>
      <c r="B255" s="25"/>
      <c r="C255" s="22"/>
      <c r="D255" s="20"/>
      <c r="E255" s="20"/>
      <c r="F255" s="20"/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</row>
    <row r="256" customHeight="1" spans="1:17">
      <c r="A256" s="19"/>
      <c r="B256" s="25"/>
      <c r="C256" s="22"/>
      <c r="D256" s="20"/>
      <c r="E256" s="20"/>
      <c r="F256" s="20"/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</row>
    <row r="257" customHeight="1" spans="1:17">
      <c r="A257" s="19"/>
      <c r="B257" s="25"/>
      <c r="C257" s="22"/>
      <c r="D257" s="20"/>
      <c r="E257" s="20"/>
      <c r="F257" s="20"/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</row>
    <row r="258" customHeight="1" spans="1:17">
      <c r="A258" s="19"/>
      <c r="B258" s="25"/>
      <c r="C258" s="22"/>
      <c r="D258" s="20"/>
      <c r="E258" s="20"/>
      <c r="F258" s="20"/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</row>
    <row r="259" customHeight="1" spans="1:17">
      <c r="A259" s="19"/>
      <c r="B259" s="20"/>
      <c r="C259" s="22"/>
      <c r="D259" s="20"/>
      <c r="E259" s="20"/>
      <c r="F259" s="20"/>
      <c r="G259" s="19"/>
      <c r="H259" s="20"/>
      <c r="I259" s="20"/>
      <c r="J259" s="20"/>
      <c r="K259" s="20"/>
      <c r="L259" s="20"/>
      <c r="M259" s="20"/>
      <c r="N259" s="20"/>
      <c r="O259" s="20"/>
      <c r="P259" s="20"/>
      <c r="Q259" s="20"/>
    </row>
    <row r="260" customHeight="1" spans="1:17">
      <c r="A260" s="19"/>
      <c r="B260" s="20"/>
      <c r="C260" s="22"/>
      <c r="D260" s="20"/>
      <c r="E260" s="20"/>
      <c r="F260" s="20"/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</row>
    <row r="261" customHeight="1" spans="1:17">
      <c r="A261" s="19"/>
      <c r="B261" s="20"/>
      <c r="C261" s="22"/>
      <c r="D261" s="20"/>
      <c r="E261" s="20"/>
      <c r="F261" s="20"/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</row>
    <row r="262" customHeight="1" spans="1:17">
      <c r="A262" s="19"/>
      <c r="B262" s="20"/>
      <c r="C262" s="22"/>
      <c r="D262" s="20"/>
      <c r="E262" s="20"/>
      <c r="F262" s="20"/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</row>
    <row r="263" customHeight="1" spans="1:17">
      <c r="A263" s="19"/>
      <c r="B263" s="20"/>
      <c r="C263" s="22"/>
      <c r="D263" s="20"/>
      <c r="E263" s="20"/>
      <c r="F263" s="20"/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</row>
    <row r="264" customHeight="1" spans="1:17">
      <c r="A264" s="19"/>
      <c r="B264" s="20"/>
      <c r="C264" s="22"/>
      <c r="D264" s="20"/>
      <c r="E264" s="20"/>
      <c r="F264" s="20"/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</row>
    <row r="265" customHeight="1" spans="1:17">
      <c r="A265" s="19"/>
      <c r="B265" s="20"/>
      <c r="C265" s="22"/>
      <c r="D265" s="20"/>
      <c r="E265" s="20"/>
      <c r="F265" s="20"/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</row>
    <row r="266" customHeight="1" spans="1:17">
      <c r="A266" s="19"/>
      <c r="B266" s="20"/>
      <c r="C266" s="22"/>
      <c r="D266" s="20"/>
      <c r="E266" s="20"/>
      <c r="F266" s="20"/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</row>
    <row r="267" customHeight="1" spans="1:17">
      <c r="A267" s="19"/>
      <c r="B267" s="20"/>
      <c r="C267" s="22"/>
      <c r="D267" s="20"/>
      <c r="E267" s="20"/>
      <c r="F267" s="20"/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</row>
    <row r="268" customHeight="1" spans="1:17">
      <c r="A268" s="19"/>
      <c r="B268" s="20"/>
      <c r="C268" s="22"/>
      <c r="D268" s="20"/>
      <c r="E268" s="20"/>
      <c r="F268" s="20"/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</row>
    <row r="269" customHeight="1" spans="1:17">
      <c r="A269" s="19"/>
      <c r="B269" s="20"/>
      <c r="C269" s="22"/>
      <c r="D269" s="20"/>
      <c r="E269" s="20"/>
      <c r="F269" s="20"/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</row>
    <row r="270" customHeight="1" spans="1:17">
      <c r="A270" s="19"/>
      <c r="B270" s="20"/>
      <c r="C270" s="22"/>
      <c r="D270" s="20"/>
      <c r="E270" s="20"/>
      <c r="F270" s="20"/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</row>
    <row r="271" customHeight="1" spans="1:17">
      <c r="A271" s="19"/>
      <c r="B271" s="20"/>
      <c r="C271" s="22"/>
      <c r="D271" s="20"/>
      <c r="E271" s="20"/>
      <c r="F271" s="20"/>
      <c r="G271" s="19"/>
      <c r="H271" s="20"/>
      <c r="I271" s="20"/>
      <c r="J271" s="20"/>
      <c r="K271" s="20"/>
      <c r="L271" s="20"/>
      <c r="M271" s="20"/>
      <c r="N271" s="20"/>
      <c r="O271" s="20"/>
      <c r="P271" s="20"/>
      <c r="Q271" s="20"/>
    </row>
    <row r="272" customHeight="1" spans="1:17">
      <c r="A272" s="19"/>
      <c r="B272" s="20"/>
      <c r="C272" s="22"/>
      <c r="D272" s="20"/>
      <c r="E272" s="20"/>
      <c r="F272" s="20"/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</row>
    <row r="273" customHeight="1" spans="1:17">
      <c r="A273" s="19"/>
      <c r="B273" s="20"/>
      <c r="C273" s="22"/>
      <c r="D273" s="20"/>
      <c r="E273" s="20"/>
      <c r="F273" s="20"/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</row>
    <row r="274" customHeight="1" spans="1:17">
      <c r="A274" s="19"/>
      <c r="B274" s="20"/>
      <c r="C274" s="22"/>
      <c r="D274" s="20"/>
      <c r="E274" s="20"/>
      <c r="F274" s="20"/>
      <c r="G274" s="19"/>
      <c r="H274" s="42"/>
      <c r="I274" s="43"/>
      <c r="J274" s="20"/>
      <c r="K274" s="20"/>
      <c r="L274" s="20"/>
      <c r="M274" s="20"/>
      <c r="N274" s="20"/>
      <c r="O274" s="20"/>
      <c r="P274" s="20"/>
      <c r="Q274" s="20"/>
    </row>
    <row r="275" customHeight="1" spans="1:17">
      <c r="A275" s="19"/>
      <c r="B275" s="20"/>
      <c r="C275" s="22"/>
      <c r="D275" s="20"/>
      <c r="E275" s="20"/>
      <c r="F275" s="20"/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</row>
    <row r="276" customHeight="1" spans="1:17">
      <c r="A276" s="19"/>
      <c r="B276" s="20"/>
      <c r="C276" s="22"/>
      <c r="D276" s="20"/>
      <c r="E276" s="20"/>
      <c r="F276" s="20"/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</row>
    <row r="277" customHeight="1" spans="1:17">
      <c r="A277" s="19"/>
      <c r="B277" s="20"/>
      <c r="C277" s="22"/>
      <c r="D277" s="20"/>
      <c r="E277" s="20"/>
      <c r="F277" s="20"/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</row>
    <row r="278" customHeight="1" spans="1:17">
      <c r="A278" s="19"/>
      <c r="B278" s="20"/>
      <c r="C278" s="22"/>
      <c r="D278" s="20"/>
      <c r="E278" s="20"/>
      <c r="F278" s="20"/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</row>
    <row r="279" customHeight="1" spans="1:17">
      <c r="A279" s="19"/>
      <c r="B279" s="20"/>
      <c r="C279" s="22"/>
      <c r="D279" s="20"/>
      <c r="E279" s="20"/>
      <c r="F279" s="20"/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</row>
    <row r="280" customHeight="1" spans="1:17">
      <c r="A280" s="19"/>
      <c r="B280" s="20"/>
      <c r="C280" s="22"/>
      <c r="D280" s="20"/>
      <c r="E280" s="20"/>
      <c r="F280" s="20"/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</row>
    <row r="281" customHeight="1" spans="1:17">
      <c r="A281" s="19"/>
      <c r="B281" s="20"/>
      <c r="C281" s="22"/>
      <c r="D281" s="20"/>
      <c r="E281" s="20"/>
      <c r="F281" s="20"/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</row>
    <row r="282" customHeight="1" spans="1:17">
      <c r="A282" s="19"/>
      <c r="B282" s="20"/>
      <c r="C282" s="22"/>
      <c r="D282" s="20"/>
      <c r="E282" s="20"/>
      <c r="F282" s="20"/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</row>
    <row r="283" customHeight="1" spans="1:17">
      <c r="A283" s="19"/>
      <c r="B283" s="20"/>
      <c r="C283" s="22"/>
      <c r="D283" s="20"/>
      <c r="E283" s="20"/>
      <c r="F283" s="20"/>
      <c r="G283" s="19"/>
      <c r="H283" s="20"/>
      <c r="I283" s="20"/>
      <c r="J283" s="20"/>
      <c r="K283" s="20"/>
      <c r="L283" s="20"/>
      <c r="M283" s="20"/>
      <c r="N283" s="20"/>
      <c r="O283" s="20"/>
      <c r="P283" s="20"/>
      <c r="Q283" s="20"/>
    </row>
    <row r="284" customHeight="1" spans="1:17">
      <c r="A284" s="19"/>
      <c r="B284" s="20"/>
      <c r="C284" s="22"/>
      <c r="D284" s="20"/>
      <c r="E284" s="20"/>
      <c r="F284" s="20"/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</row>
    <row r="285" customHeight="1" spans="1:17">
      <c r="A285" s="19"/>
      <c r="B285" s="20"/>
      <c r="C285" s="22"/>
      <c r="D285" s="20"/>
      <c r="E285" s="20"/>
      <c r="F285" s="20"/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</row>
    <row r="286" customHeight="1" spans="1:17">
      <c r="A286" s="19"/>
      <c r="B286" s="20"/>
      <c r="C286" s="22"/>
      <c r="D286" s="20"/>
      <c r="E286" s="20"/>
      <c r="F286" s="20"/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</row>
    <row r="287" customHeight="1" spans="1:17">
      <c r="A287" s="19"/>
      <c r="B287" s="20"/>
      <c r="C287" s="22"/>
      <c r="D287" s="20"/>
      <c r="E287" s="20"/>
      <c r="F287" s="20"/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</row>
    <row r="288" customHeight="1" spans="1:17">
      <c r="A288" s="19"/>
      <c r="B288" s="20"/>
      <c r="C288" s="22"/>
      <c r="D288" s="20"/>
      <c r="E288" s="20"/>
      <c r="F288" s="20"/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</row>
    <row r="289" customHeight="1" spans="1:17">
      <c r="A289" s="19"/>
      <c r="B289" s="20"/>
      <c r="C289" s="22"/>
      <c r="D289" s="20"/>
      <c r="E289" s="20"/>
      <c r="F289" s="20"/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</row>
    <row r="290" customHeight="1" spans="1:17">
      <c r="A290" s="19"/>
      <c r="B290" s="20"/>
      <c r="C290" s="22"/>
      <c r="D290" s="20"/>
      <c r="E290" s="20"/>
      <c r="F290" s="20"/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</row>
    <row r="291" customHeight="1" spans="1:17">
      <c r="A291" s="19"/>
      <c r="B291" s="20"/>
      <c r="C291" s="22"/>
      <c r="D291" s="20"/>
      <c r="E291" s="20"/>
      <c r="F291" s="20"/>
      <c r="G291" s="19"/>
      <c r="H291" s="37"/>
      <c r="I291" s="43"/>
      <c r="J291" s="20"/>
      <c r="K291" s="20"/>
      <c r="L291" s="20"/>
      <c r="M291" s="20"/>
      <c r="N291" s="20"/>
      <c r="O291" s="20"/>
      <c r="P291" s="20"/>
      <c r="Q291" s="20"/>
    </row>
    <row r="292" customHeight="1" spans="1:17">
      <c r="A292" s="19"/>
      <c r="B292" s="20"/>
      <c r="C292" s="22"/>
      <c r="D292" s="20"/>
      <c r="E292" s="20"/>
      <c r="F292" s="20"/>
      <c r="G292" s="19"/>
      <c r="H292" s="37"/>
      <c r="I292" s="20"/>
      <c r="J292" s="20"/>
      <c r="K292" s="20"/>
      <c r="L292" s="20"/>
      <c r="M292" s="20"/>
      <c r="N292" s="20"/>
      <c r="O292" s="20"/>
      <c r="P292" s="20"/>
      <c r="Q292" s="20"/>
    </row>
    <row r="293" customHeight="1" spans="1:17">
      <c r="A293" s="19"/>
      <c r="B293" s="20"/>
      <c r="C293" s="22"/>
      <c r="D293" s="20"/>
      <c r="E293" s="20"/>
      <c r="F293" s="20"/>
      <c r="G293" s="19"/>
      <c r="H293" s="42"/>
      <c r="I293" s="20"/>
      <c r="J293" s="20"/>
      <c r="K293" s="20"/>
      <c r="L293" s="20"/>
      <c r="M293" s="20"/>
      <c r="N293" s="20"/>
      <c r="O293" s="20"/>
      <c r="P293" s="20"/>
      <c r="Q293" s="20"/>
    </row>
    <row r="294" customHeight="1" spans="1:17">
      <c r="A294" s="19"/>
      <c r="B294" s="20"/>
      <c r="C294" s="22"/>
      <c r="D294" s="20"/>
      <c r="E294" s="20"/>
      <c r="F294" s="20"/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</row>
    <row r="295" customHeight="1" spans="1:17">
      <c r="A295" s="19"/>
      <c r="B295" s="20"/>
      <c r="C295" s="22"/>
      <c r="D295" s="20"/>
      <c r="E295" s="20"/>
      <c r="F295" s="20"/>
      <c r="G295" s="19"/>
      <c r="H295" s="20"/>
      <c r="I295" s="20"/>
      <c r="J295" s="20"/>
      <c r="K295" s="20"/>
      <c r="L295" s="20"/>
      <c r="M295" s="20"/>
      <c r="N295" s="20"/>
      <c r="O295" s="20"/>
      <c r="P295" s="20"/>
      <c r="Q295" s="20"/>
    </row>
    <row r="296" customHeight="1" spans="1:17">
      <c r="A296" s="19"/>
      <c r="B296" s="20"/>
      <c r="C296" s="22"/>
      <c r="D296" s="20"/>
      <c r="E296" s="20"/>
      <c r="F296" s="20"/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</row>
    <row r="297" customHeight="1" spans="1:17">
      <c r="A297" s="19"/>
      <c r="B297" s="20"/>
      <c r="C297" s="22"/>
      <c r="D297" s="20"/>
      <c r="E297" s="20"/>
      <c r="F297" s="20"/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</row>
    <row r="298" customHeight="1" spans="1:17">
      <c r="A298" s="19"/>
      <c r="B298" s="20"/>
      <c r="C298" s="22"/>
      <c r="D298" s="20"/>
      <c r="E298" s="20"/>
      <c r="F298" s="20"/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</row>
    <row r="299" customHeight="1" spans="1:17">
      <c r="A299" s="19"/>
      <c r="B299" s="20"/>
      <c r="C299" s="22"/>
      <c r="D299" s="20"/>
      <c r="E299" s="20"/>
      <c r="F299" s="20"/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</row>
    <row r="300" customHeight="1" spans="1:17">
      <c r="A300" s="19"/>
      <c r="B300" s="20"/>
      <c r="C300" s="22"/>
      <c r="D300" s="20"/>
      <c r="E300" s="20"/>
      <c r="F300" s="20"/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</row>
    <row r="301" customHeight="1" spans="1:17">
      <c r="A301" s="19"/>
      <c r="B301" s="20"/>
      <c r="C301" s="22"/>
      <c r="D301" s="20"/>
      <c r="E301" s="20"/>
      <c r="F301" s="20"/>
      <c r="G301" s="19"/>
      <c r="H301" s="37"/>
      <c r="I301" s="20"/>
      <c r="J301" s="20"/>
      <c r="K301" s="20"/>
      <c r="L301" s="20"/>
      <c r="M301" s="20"/>
      <c r="N301" s="20"/>
      <c r="O301" s="20"/>
      <c r="P301" s="20"/>
      <c r="Q301" s="20"/>
    </row>
    <row r="302" customHeight="1" spans="1:17">
      <c r="A302" s="19"/>
      <c r="B302" s="20"/>
      <c r="C302" s="22"/>
      <c r="D302" s="20"/>
      <c r="E302" s="20"/>
      <c r="F302" s="20"/>
      <c r="G302" s="19"/>
      <c r="H302" s="22"/>
      <c r="I302" s="20"/>
      <c r="J302" s="20"/>
      <c r="K302" s="20"/>
      <c r="L302" s="20"/>
      <c r="M302" s="20"/>
      <c r="N302" s="20"/>
      <c r="O302" s="20"/>
      <c r="P302" s="20"/>
      <c r="Q302" s="20"/>
    </row>
    <row r="303" ht="63" customHeight="1" spans="1:17">
      <c r="A303" s="19"/>
      <c r="B303" s="38"/>
      <c r="C303" s="22"/>
      <c r="D303" s="20"/>
      <c r="E303" s="20"/>
      <c r="F303" s="20"/>
      <c r="G303" s="19"/>
      <c r="H303" s="22"/>
      <c r="I303" s="20"/>
      <c r="J303" s="20"/>
      <c r="K303" s="20"/>
      <c r="L303" s="20"/>
      <c r="M303" s="19"/>
      <c r="N303" s="19"/>
      <c r="O303" s="20"/>
      <c r="P303" s="47"/>
      <c r="Q303" s="20"/>
    </row>
    <row r="304" ht="13.8" spans="1:17">
      <c r="A304" s="9"/>
      <c r="B304" s="10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</row>
    <row r="305" customHeight="1" spans="1:17">
      <c r="A305" s="19"/>
      <c r="B305" s="20"/>
      <c r="C305" s="20"/>
      <c r="D305" s="20"/>
      <c r="E305" s="20"/>
      <c r="F305" s="20"/>
      <c r="G305" s="19"/>
      <c r="H305" s="20"/>
      <c r="I305" s="20"/>
      <c r="J305" s="20"/>
      <c r="K305" s="20"/>
      <c r="L305" s="20"/>
      <c r="M305" s="20"/>
      <c r="N305" s="20"/>
      <c r="O305" s="20"/>
      <c r="P305" s="21"/>
      <c r="Q305" s="20"/>
    </row>
    <row r="306" customHeight="1" spans="1:17">
      <c r="A306" s="19"/>
      <c r="B306" s="20"/>
      <c r="C306" s="20"/>
      <c r="D306" s="20"/>
      <c r="E306" s="20"/>
      <c r="F306" s="20"/>
      <c r="G306" s="19"/>
      <c r="H306" s="20"/>
      <c r="I306" s="20"/>
      <c r="J306" s="20"/>
      <c r="K306" s="20"/>
      <c r="L306" s="20"/>
      <c r="M306" s="20"/>
      <c r="N306" s="20"/>
      <c r="O306" s="20"/>
      <c r="P306" s="21"/>
      <c r="Q306" s="20"/>
    </row>
    <row r="307" customHeight="1" spans="1:17">
      <c r="A307" s="19"/>
      <c r="B307" s="20"/>
      <c r="C307" s="20"/>
      <c r="D307" s="20"/>
      <c r="E307" s="20"/>
      <c r="F307" s="20"/>
      <c r="G307" s="19"/>
      <c r="H307" s="20"/>
      <c r="I307" s="20"/>
      <c r="J307" s="20"/>
      <c r="K307" s="20"/>
      <c r="L307" s="20"/>
      <c r="M307" s="20"/>
      <c r="N307" s="20"/>
      <c r="O307" s="20"/>
      <c r="P307" s="21"/>
      <c r="Q307" s="20"/>
    </row>
    <row r="308" customHeight="1" spans="1:17">
      <c r="A308" s="19"/>
      <c r="B308" s="20"/>
      <c r="C308" s="20"/>
      <c r="D308" s="20"/>
      <c r="E308" s="20"/>
      <c r="F308" s="20"/>
      <c r="G308" s="19"/>
      <c r="H308" s="20"/>
      <c r="I308" s="20"/>
      <c r="J308" s="20"/>
      <c r="K308" s="20"/>
      <c r="L308" s="20"/>
      <c r="M308" s="20"/>
      <c r="N308" s="20"/>
      <c r="O308" s="21"/>
      <c r="P308" s="21"/>
      <c r="Q308" s="20"/>
    </row>
    <row r="309" customHeight="1" spans="1:17">
      <c r="A309" s="19"/>
      <c r="B309" s="20"/>
      <c r="C309" s="20"/>
      <c r="D309" s="20"/>
      <c r="E309" s="20"/>
      <c r="F309" s="20"/>
      <c r="G309" s="19"/>
      <c r="H309" s="20"/>
      <c r="I309" s="20"/>
      <c r="J309" s="20"/>
      <c r="K309" s="20"/>
      <c r="L309" s="20"/>
      <c r="M309" s="20"/>
      <c r="N309" s="20"/>
      <c r="O309" s="21"/>
      <c r="P309" s="21"/>
      <c r="Q309" s="20"/>
    </row>
    <row r="310" customHeight="1" spans="1:17">
      <c r="A310" s="19"/>
      <c r="B310" s="20"/>
      <c r="C310" s="20"/>
      <c r="D310" s="20"/>
      <c r="E310" s="20"/>
      <c r="F310" s="20"/>
      <c r="G310" s="19"/>
      <c r="H310" s="20"/>
      <c r="I310" s="20"/>
      <c r="J310" s="20"/>
      <c r="K310" s="20"/>
      <c r="L310" s="20"/>
      <c r="M310" s="20"/>
      <c r="N310" s="20"/>
      <c r="O310" s="20"/>
      <c r="P310" s="21"/>
      <c r="Q310" s="20"/>
    </row>
    <row r="311" customHeight="1" spans="1:17">
      <c r="A311" s="19"/>
      <c r="B311" s="20"/>
      <c r="C311" s="20"/>
      <c r="D311" s="20"/>
      <c r="E311" s="20"/>
      <c r="F311" s="20"/>
      <c r="G311" s="19"/>
      <c r="H311" s="20"/>
      <c r="I311" s="20"/>
      <c r="J311" s="20"/>
      <c r="K311" s="20"/>
      <c r="L311" s="20"/>
      <c r="M311" s="20"/>
      <c r="N311" s="20"/>
      <c r="O311" s="20"/>
      <c r="P311" s="21"/>
      <c r="Q311" s="20"/>
    </row>
    <row r="312" customHeight="1" spans="1:17">
      <c r="A312" s="19"/>
      <c r="B312" s="20"/>
      <c r="C312" s="20"/>
      <c r="D312" s="20"/>
      <c r="E312" s="20"/>
      <c r="F312" s="20"/>
      <c r="G312" s="19"/>
      <c r="H312" s="20"/>
      <c r="I312" s="20"/>
      <c r="J312" s="20"/>
      <c r="K312" s="20"/>
      <c r="L312" s="20"/>
      <c r="M312" s="20"/>
      <c r="N312" s="20"/>
      <c r="O312" s="20"/>
      <c r="P312" s="21"/>
      <c r="Q312" s="20"/>
    </row>
    <row r="313" customHeight="1" spans="1:17">
      <c r="A313" s="19"/>
      <c r="B313" s="20"/>
      <c r="C313" s="20"/>
      <c r="D313" s="20"/>
      <c r="E313" s="20"/>
      <c r="F313" s="20"/>
      <c r="G313" s="19"/>
      <c r="H313" s="20"/>
      <c r="I313" s="20"/>
      <c r="J313" s="20"/>
      <c r="K313" s="20"/>
      <c r="L313" s="20"/>
      <c r="M313" s="20"/>
      <c r="N313" s="20"/>
      <c r="O313" s="20"/>
      <c r="P313" s="21"/>
      <c r="Q313" s="20"/>
    </row>
    <row r="314" customHeight="1" spans="1:17">
      <c r="A314" s="19"/>
      <c r="B314" s="20"/>
      <c r="C314" s="20"/>
      <c r="D314" s="20"/>
      <c r="E314" s="20"/>
      <c r="F314" s="20"/>
      <c r="G314" s="19"/>
      <c r="H314" s="20"/>
      <c r="I314" s="20"/>
      <c r="J314" s="20"/>
      <c r="K314" s="20"/>
      <c r="L314" s="20"/>
      <c r="M314" s="20"/>
      <c r="N314" s="20"/>
      <c r="O314" s="20"/>
      <c r="P314" s="21"/>
      <c r="Q314" s="20"/>
    </row>
    <row r="315" customHeight="1" spans="1:17">
      <c r="A315" s="19"/>
      <c r="B315" s="20"/>
      <c r="C315" s="20"/>
      <c r="D315" s="20"/>
      <c r="E315" s="20"/>
      <c r="F315" s="20"/>
      <c r="G315" s="19"/>
      <c r="H315" s="20"/>
      <c r="I315" s="20"/>
      <c r="J315" s="20"/>
      <c r="K315" s="20"/>
      <c r="L315" s="20"/>
      <c r="M315" s="20"/>
      <c r="N315" s="20"/>
      <c r="O315" s="20"/>
      <c r="P315" s="21"/>
      <c r="Q315" s="20"/>
    </row>
    <row r="316" hidden="1" customHeight="1" spans="1:17">
      <c r="A316" s="19"/>
      <c r="C316" s="22"/>
      <c r="D316" s="20"/>
      <c r="E316" s="20"/>
      <c r="F316" s="20"/>
      <c r="G316" s="19"/>
      <c r="H316" s="20"/>
      <c r="I316" s="20"/>
      <c r="J316" s="20"/>
      <c r="K316" s="20"/>
      <c r="L316" s="20"/>
      <c r="M316" s="20"/>
      <c r="N316" s="20"/>
      <c r="O316" s="20"/>
      <c r="Q316" s="60"/>
    </row>
    <row r="317" hidden="1" customHeight="1" spans="1:17">
      <c r="A317" s="19"/>
      <c r="C317" s="22"/>
      <c r="D317" s="20"/>
      <c r="E317" s="20"/>
      <c r="F317" s="20"/>
      <c r="G317" s="19"/>
      <c r="H317" s="20"/>
      <c r="I317" s="20"/>
      <c r="J317" s="20"/>
      <c r="K317" s="20"/>
      <c r="L317" s="20"/>
      <c r="M317" s="20"/>
      <c r="N317" s="20"/>
      <c r="O317" s="20"/>
      <c r="Q317" s="60"/>
    </row>
    <row r="318" hidden="1" customHeight="1" spans="1:17">
      <c r="A318" s="19"/>
      <c r="C318" s="22"/>
      <c r="D318" s="20"/>
      <c r="E318" s="20"/>
      <c r="F318" s="20"/>
      <c r="G318" s="19"/>
      <c r="H318" s="20"/>
      <c r="I318" s="20"/>
      <c r="J318" s="20"/>
      <c r="K318" s="20"/>
      <c r="L318" s="20"/>
      <c r="M318" s="20"/>
      <c r="N318" s="20"/>
      <c r="O318" s="20"/>
      <c r="Q318" s="60"/>
    </row>
    <row r="319" hidden="1" customHeight="1" spans="1:17">
      <c r="A319" s="19"/>
      <c r="C319" s="22"/>
      <c r="D319" s="20"/>
      <c r="E319" s="20"/>
      <c r="F319" s="20"/>
      <c r="G319" s="19"/>
      <c r="H319" s="20"/>
      <c r="I319" s="20"/>
      <c r="J319" s="20"/>
      <c r="K319" s="20"/>
      <c r="L319" s="20"/>
      <c r="M319" s="20"/>
      <c r="N319" s="20"/>
      <c r="O319" s="20"/>
      <c r="Q319" s="60"/>
    </row>
    <row r="320" hidden="1" customHeight="1" spans="1:17">
      <c r="A320" s="19"/>
      <c r="C320" s="22"/>
      <c r="D320" s="20"/>
      <c r="E320" s="20"/>
      <c r="F320" s="20"/>
      <c r="G320" s="19"/>
      <c r="H320" s="20"/>
      <c r="I320" s="20"/>
      <c r="J320" s="20"/>
      <c r="K320" s="20"/>
      <c r="L320" s="20"/>
      <c r="M320" s="20"/>
      <c r="N320" s="20"/>
      <c r="O320" s="20"/>
      <c r="Q320" s="60"/>
    </row>
    <row r="321" hidden="1" customHeight="1" spans="1:17">
      <c r="A321" s="19"/>
      <c r="C321" s="22"/>
      <c r="D321" s="20"/>
      <c r="E321" s="20"/>
      <c r="F321" s="20"/>
      <c r="G321" s="19"/>
      <c r="H321" s="20"/>
      <c r="I321" s="20"/>
      <c r="J321" s="20"/>
      <c r="K321" s="20"/>
      <c r="L321" s="20"/>
      <c r="M321" s="20"/>
      <c r="N321" s="20"/>
      <c r="O321" s="20"/>
      <c r="Q321" s="60"/>
    </row>
    <row r="322" hidden="1" customHeight="1" spans="1:17">
      <c r="A322" s="19"/>
      <c r="C322" s="22"/>
      <c r="D322" s="20"/>
      <c r="E322" s="20"/>
      <c r="F322" s="20"/>
      <c r="G322" s="19"/>
      <c r="H322" s="20"/>
      <c r="I322" s="20"/>
      <c r="J322" s="20"/>
      <c r="K322" s="20"/>
      <c r="L322" s="20"/>
      <c r="M322" s="20"/>
      <c r="N322" s="20"/>
      <c r="O322" s="20"/>
      <c r="Q322" s="20"/>
    </row>
    <row r="323" hidden="1" customHeight="1" spans="1:17">
      <c r="A323" s="19"/>
      <c r="C323" s="22"/>
      <c r="D323" s="20"/>
      <c r="E323" s="20"/>
      <c r="F323" s="20"/>
      <c r="G323" s="19"/>
      <c r="H323" s="20"/>
      <c r="I323" s="20"/>
      <c r="J323" s="20"/>
      <c r="K323" s="20"/>
      <c r="L323" s="20"/>
      <c r="M323" s="20"/>
      <c r="N323" s="20"/>
      <c r="O323" s="20"/>
      <c r="Q323" s="20"/>
    </row>
    <row r="324" ht="13.8" spans="1:17">
      <c r="A324" s="9"/>
      <c r="B324" s="10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</row>
    <row r="325" customHeight="1" spans="1:17">
      <c r="A325" s="23"/>
      <c r="B325" s="20"/>
      <c r="C325" s="22"/>
      <c r="D325" s="20"/>
      <c r="E325" s="20"/>
      <c r="F325" s="20"/>
      <c r="G325" s="19"/>
      <c r="H325" s="20"/>
      <c r="I325" s="20"/>
      <c r="J325" s="20"/>
      <c r="K325" s="19"/>
      <c r="L325" s="19"/>
      <c r="M325" s="20"/>
      <c r="N325" s="20"/>
      <c r="O325" s="20"/>
      <c r="P325" s="20"/>
      <c r="Q325" s="22"/>
    </row>
    <row r="326" customHeight="1" spans="1:17">
      <c r="A326" s="23"/>
      <c r="B326" s="20"/>
      <c r="C326" s="22"/>
      <c r="D326" s="20"/>
      <c r="E326" s="20"/>
      <c r="F326" s="20"/>
      <c r="G326" s="19"/>
      <c r="H326" s="20"/>
      <c r="I326" s="20"/>
      <c r="J326" s="20"/>
      <c r="K326" s="19"/>
      <c r="L326" s="19"/>
      <c r="M326" s="20"/>
      <c r="N326" s="20"/>
      <c r="O326" s="20"/>
      <c r="P326" s="20"/>
      <c r="Q326" s="22"/>
    </row>
    <row r="327" customHeight="1" spans="1:17">
      <c r="A327" s="23"/>
      <c r="B327" s="20"/>
      <c r="C327" s="22"/>
      <c r="D327" s="20"/>
      <c r="E327" s="20"/>
      <c r="F327" s="20"/>
      <c r="G327" s="19"/>
      <c r="H327" s="20"/>
      <c r="I327" s="20"/>
      <c r="J327" s="20"/>
      <c r="K327" s="19"/>
      <c r="L327" s="19"/>
      <c r="M327" s="20"/>
      <c r="N327" s="20"/>
      <c r="O327" s="20"/>
      <c r="P327" s="20"/>
      <c r="Q327" s="22"/>
    </row>
    <row r="328" customHeight="1" spans="1:17">
      <c r="A328" s="23"/>
      <c r="B328" s="20"/>
      <c r="C328" s="22"/>
      <c r="D328" s="20"/>
      <c r="E328" s="20"/>
      <c r="F328" s="20"/>
      <c r="G328" s="19"/>
      <c r="H328" s="20"/>
      <c r="I328" s="20"/>
      <c r="J328" s="20"/>
      <c r="K328" s="19"/>
      <c r="L328" s="19"/>
      <c r="M328" s="20"/>
      <c r="N328" s="20"/>
      <c r="O328" s="20"/>
      <c r="P328" s="20"/>
      <c r="Q328" s="22"/>
    </row>
    <row r="329" customHeight="1" spans="1:17">
      <c r="A329" s="23"/>
      <c r="B329" s="20"/>
      <c r="C329" s="22"/>
      <c r="D329" s="20"/>
      <c r="E329" s="20"/>
      <c r="F329" s="20"/>
      <c r="G329" s="19"/>
      <c r="H329" s="20"/>
      <c r="I329" s="20"/>
      <c r="J329" s="20"/>
      <c r="K329" s="19"/>
      <c r="L329" s="19"/>
      <c r="M329" s="20"/>
      <c r="N329" s="20"/>
      <c r="O329" s="20"/>
      <c r="P329" s="20"/>
      <c r="Q329" s="22"/>
    </row>
    <row r="330" customHeight="1" spans="1:17">
      <c r="A330" s="61"/>
      <c r="B330" s="62"/>
      <c r="C330" s="62"/>
      <c r="D330" s="62"/>
      <c r="E330" s="62"/>
      <c r="F330" s="62"/>
      <c r="G330" s="61"/>
      <c r="H330" s="62"/>
      <c r="I330" s="62"/>
      <c r="J330" s="62"/>
      <c r="K330" s="62"/>
      <c r="L330" s="62"/>
      <c r="M330" s="62"/>
      <c r="N330" s="62"/>
      <c r="O330" s="62"/>
      <c r="P330" s="62"/>
      <c r="Q330" s="62"/>
    </row>
    <row r="331" ht="13.5" customHeight="1" spans="1:17">
      <c r="A331" s="63"/>
      <c r="B331" s="64"/>
      <c r="C331" s="64"/>
      <c r="D331" s="63"/>
      <c r="E331" s="63"/>
      <c r="F331" s="63"/>
      <c r="G331" s="63"/>
      <c r="H331" s="65"/>
      <c r="I331" s="63"/>
      <c r="J331" s="63"/>
      <c r="K331" s="63"/>
      <c r="L331" s="63"/>
      <c r="M331" s="64"/>
      <c r="N331" s="64"/>
      <c r="O331" s="64"/>
      <c r="P331" s="63"/>
      <c r="Q331" s="63"/>
    </row>
    <row r="332" customHeight="1" spans="1:17">
      <c r="A332" s="19"/>
      <c r="B332" s="20"/>
      <c r="C332" s="22"/>
      <c r="D332" s="20"/>
      <c r="E332" s="20"/>
      <c r="F332" s="20"/>
      <c r="G332" s="19"/>
      <c r="H332" s="20"/>
      <c r="I332" s="20"/>
      <c r="J332" s="19"/>
      <c r="K332" s="52"/>
      <c r="L332" s="52"/>
      <c r="M332" s="20"/>
      <c r="N332" s="20"/>
      <c r="O332" s="20"/>
      <c r="P332" s="20"/>
      <c r="Q332" s="20"/>
    </row>
    <row r="333" customHeight="1" spans="1:17">
      <c r="A333" s="19"/>
      <c r="B333" s="20"/>
      <c r="C333" s="22"/>
      <c r="D333" s="20"/>
      <c r="E333" s="20"/>
      <c r="F333" s="20"/>
      <c r="G333" s="19"/>
      <c r="H333" s="20"/>
      <c r="I333" s="20"/>
      <c r="J333" s="19"/>
      <c r="K333" s="52"/>
      <c r="L333" s="52"/>
      <c r="M333" s="20"/>
      <c r="N333" s="20"/>
      <c r="O333" s="20"/>
      <c r="P333" s="20"/>
      <c r="Q333" s="20"/>
    </row>
    <row r="334" customHeight="1" spans="1:17">
      <c r="A334" s="19"/>
      <c r="B334" s="20"/>
      <c r="C334" s="22"/>
      <c r="D334" s="20"/>
      <c r="E334" s="20"/>
      <c r="F334" s="20"/>
      <c r="G334" s="19"/>
      <c r="H334" s="20"/>
      <c r="I334" s="20"/>
      <c r="J334" s="19"/>
      <c r="K334" s="52"/>
      <c r="L334" s="52"/>
      <c r="M334" s="20"/>
      <c r="N334" s="20"/>
      <c r="O334" s="20"/>
      <c r="P334" s="20"/>
      <c r="Q334" s="20"/>
    </row>
    <row r="335" customHeight="1" spans="1:17">
      <c r="A335" s="19"/>
      <c r="B335" s="66"/>
      <c r="C335" s="67"/>
      <c r="D335" s="68"/>
      <c r="E335" s="68"/>
      <c r="F335" s="68"/>
      <c r="G335" s="69"/>
      <c r="H335" s="20"/>
      <c r="I335" s="70"/>
      <c r="J335" s="70"/>
      <c r="K335" s="71"/>
      <c r="L335" s="71"/>
      <c r="M335" s="71"/>
      <c r="N335" s="72"/>
      <c r="O335" s="71"/>
      <c r="P335" s="68"/>
      <c r="Q335" s="68"/>
    </row>
    <row r="336" customHeight="1" spans="1:17">
      <c r="A336" s="19"/>
      <c r="B336" s="73"/>
      <c r="C336" s="74"/>
      <c r="D336" s="75"/>
      <c r="E336" s="75"/>
      <c r="F336" s="75"/>
      <c r="G336" s="69"/>
      <c r="H336" s="20"/>
      <c r="I336" s="76"/>
      <c r="J336" s="76"/>
      <c r="K336" s="77"/>
      <c r="L336" s="77"/>
      <c r="M336" s="77"/>
      <c r="N336" s="78"/>
      <c r="O336" s="77"/>
      <c r="P336" s="75"/>
      <c r="Q336" s="75"/>
    </row>
    <row r="337" customHeight="1" spans="1:17">
      <c r="A337" s="19"/>
      <c r="B337" s="73"/>
      <c r="C337" s="74"/>
      <c r="D337" s="75"/>
      <c r="E337" s="75"/>
      <c r="F337" s="75"/>
      <c r="G337" s="69"/>
      <c r="H337" s="20"/>
      <c r="I337" s="76"/>
      <c r="J337" s="76"/>
      <c r="K337" s="77"/>
      <c r="L337" s="77"/>
      <c r="M337" s="77"/>
      <c r="N337" s="78"/>
      <c r="O337" s="77"/>
      <c r="P337" s="75"/>
      <c r="Q337" s="75"/>
    </row>
    <row r="338" customHeight="1" spans="1:17">
      <c r="A338" s="19"/>
      <c r="B338" s="20"/>
      <c r="C338" s="22"/>
      <c r="D338" s="20"/>
      <c r="E338" s="20"/>
      <c r="F338" s="20"/>
      <c r="G338" s="19"/>
      <c r="H338" s="37"/>
      <c r="I338" s="20"/>
      <c r="J338" s="76"/>
      <c r="K338" s="79"/>
      <c r="L338" s="20"/>
      <c r="M338" s="20"/>
      <c r="N338" s="20"/>
      <c r="O338" s="20"/>
      <c r="P338" s="20"/>
      <c r="Q338" s="22"/>
    </row>
    <row r="339" customHeight="1" spans="1:17">
      <c r="A339" s="19"/>
      <c r="B339" s="31"/>
      <c r="C339" s="22"/>
      <c r="D339" s="20"/>
      <c r="E339" s="20"/>
      <c r="F339" s="20"/>
      <c r="G339" s="19"/>
      <c r="H339" s="37"/>
      <c r="I339" s="20"/>
      <c r="J339" s="20"/>
      <c r="K339" s="20"/>
      <c r="L339" s="20"/>
      <c r="M339" s="20"/>
      <c r="N339" s="20"/>
      <c r="O339" s="20"/>
      <c r="P339" s="20"/>
      <c r="Q339" s="20"/>
    </row>
    <row r="340" customHeight="1" spans="1:17">
      <c r="A340" s="19"/>
      <c r="B340" s="20"/>
      <c r="C340" s="22"/>
      <c r="D340" s="20"/>
      <c r="E340" s="20"/>
      <c r="F340" s="20"/>
      <c r="G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</row>
    <row r="341" customHeight="1" spans="1:17">
      <c r="A341" s="19"/>
      <c r="B341" s="20"/>
      <c r="C341" s="22"/>
      <c r="D341" s="20"/>
      <c r="E341" s="20"/>
      <c r="F341" s="20"/>
      <c r="G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</row>
    <row r="342" customHeight="1" spans="1:17">
      <c r="A342" s="19"/>
      <c r="B342" s="20"/>
      <c r="C342" s="22"/>
      <c r="D342" s="20"/>
      <c r="E342" s="20"/>
      <c r="F342" s="20"/>
      <c r="G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</row>
    <row r="343" customHeight="1" spans="1:17">
      <c r="A343" s="80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</row>
    <row r="344" customHeight="1" spans="1:17">
      <c r="A344" s="80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</row>
    <row r="345" customHeight="1" spans="1:17">
      <c r="A345" s="80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</row>
    <row r="346" customHeight="1" spans="1:17">
      <c r="A346" s="80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</row>
    <row r="347" customHeight="1" spans="1:17">
      <c r="A347" s="80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</row>
    <row r="348" customHeight="1" spans="1:17">
      <c r="A348" s="80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</row>
    <row r="349" customHeight="1" spans="1:17">
      <c r="A349" s="80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</row>
    <row r="350" customHeight="1" spans="1:17">
      <c r="A350" s="80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</row>
    <row r="351" customHeight="1" spans="1:17">
      <c r="A351" s="80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</row>
    <row r="352" customHeight="1" spans="1:17">
      <c r="A352" s="80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</row>
    <row r="353" customHeight="1" spans="1:17">
      <c r="A353" s="80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</row>
    <row r="354" customHeight="1" spans="1:17">
      <c r="A354" s="80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</row>
    <row r="355" customHeight="1" spans="1:17">
      <c r="A355" s="80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</row>
    <row r="356" customHeight="1" spans="1:17">
      <c r="A356" s="80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</row>
    <row r="357" customHeight="1" spans="1:17">
      <c r="A357" s="80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</row>
    <row r="358" customHeight="1" spans="1:17">
      <c r="A358" s="80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</row>
    <row r="359" customHeight="1" spans="1:17">
      <c r="A359" s="80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</row>
    <row r="360" customHeight="1" spans="1:17">
      <c r="A360" s="80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</row>
    <row r="361" customHeight="1" spans="1:17">
      <c r="A361" s="80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</row>
    <row r="362" customHeight="1" spans="1:17">
      <c r="A362" s="80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</row>
    <row r="363" customHeight="1" spans="1:17">
      <c r="A363" s="80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</row>
    <row r="364" customHeight="1" spans="1:17">
      <c r="A364" s="80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</row>
    <row r="365" customHeight="1" spans="1:17">
      <c r="A365" s="80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</row>
    <row r="366" customHeight="1" spans="1:17">
      <c r="A366" s="80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</row>
    <row r="367" customHeight="1" spans="1:17">
      <c r="A367" s="80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</row>
    <row r="368" customHeight="1" spans="1:17">
      <c r="A368" s="80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</row>
    <row r="369" customHeight="1" spans="1:17">
      <c r="A369" s="80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</row>
    <row r="370" customHeight="1" spans="1:17">
      <c r="A370" s="80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</row>
    <row r="371" customHeight="1" spans="1:17">
      <c r="A371" s="80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</row>
    <row r="372" customHeight="1" spans="1:17">
      <c r="A372" s="80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</row>
    <row r="373" customHeight="1" spans="1:17">
      <c r="A373" s="80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</row>
    <row r="374" customHeight="1" spans="1:17">
      <c r="A374" s="80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</row>
    <row r="375" customHeight="1" spans="1:17">
      <c r="A375" s="80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</row>
    <row r="376" customHeight="1" spans="1:17">
      <c r="A376" s="80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</row>
    <row r="377" customHeight="1" spans="1:17">
      <c r="A377" s="80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</row>
    <row r="378" customHeight="1" spans="1:17">
      <c r="A378" s="80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</row>
    <row r="379" customHeight="1" spans="1:17">
      <c r="A379" s="80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</row>
    <row r="380" customHeight="1" spans="1:17">
      <c r="A380" s="80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</row>
    <row r="381" customHeight="1" spans="1:17">
      <c r="A381" s="80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</row>
    <row r="382" customHeight="1" spans="1:17">
      <c r="A382" s="80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</row>
    <row r="383" customHeight="1" spans="1:17">
      <c r="A383" s="80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</row>
    <row r="384" customHeight="1" spans="1:17">
      <c r="A384" s="80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</row>
    <row r="385" customHeight="1" spans="1:17">
      <c r="A385" s="80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</row>
    <row r="386" customHeight="1" spans="1:17">
      <c r="A386" s="80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</row>
    <row r="387" customHeight="1" spans="1:17">
      <c r="A387" s="80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</row>
    <row r="388" customHeight="1" spans="1:17">
      <c r="A388" s="80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</row>
    <row r="389" customHeight="1" spans="1:17">
      <c r="A389" s="80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</row>
    <row r="390" customHeight="1" spans="1:17">
      <c r="A390" s="80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</row>
    <row r="391" customHeight="1" spans="1:17">
      <c r="A391" s="80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</row>
    <row r="392" customHeight="1" spans="1:17">
      <c r="A392" s="80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</row>
    <row r="393" customHeight="1" spans="1:17">
      <c r="A393" s="80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</row>
    <row r="394" customHeight="1" spans="1:17">
      <c r="A394" s="80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</row>
    <row r="395" customHeight="1" spans="1:17">
      <c r="A395" s="80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</row>
    <row r="396" customHeight="1" spans="1:17">
      <c r="A396" s="80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</row>
    <row r="397" customHeight="1" spans="1:17">
      <c r="A397" s="80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</row>
    <row r="398" customHeight="1" spans="1:17">
      <c r="A398" s="80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</row>
    <row r="399" customHeight="1" spans="1:17">
      <c r="A399" s="80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</row>
    <row r="400" customHeight="1" spans="1:17">
      <c r="A400" s="80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</row>
    <row r="401" customHeight="1" spans="1:17">
      <c r="A401" s="80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</row>
    <row r="402" customHeight="1" spans="1:17">
      <c r="A402" s="80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</row>
    <row r="403" customHeight="1" spans="1:17">
      <c r="A403" s="80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</row>
    <row r="404" customHeight="1" spans="1:17">
      <c r="A404" s="80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</row>
    <row r="405" customHeight="1" spans="1:17">
      <c r="A405" s="80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</row>
    <row r="406" customHeight="1" spans="1:17">
      <c r="A406" s="80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</row>
    <row r="407" customHeight="1" spans="1:17">
      <c r="A407" s="80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</row>
    <row r="408" customHeight="1" spans="1:17">
      <c r="A408" s="80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</row>
    <row r="409" customHeight="1" spans="1:17">
      <c r="A409" s="80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</row>
    <row r="410" customHeight="1" spans="1:17">
      <c r="A410" s="80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</row>
    <row r="411" customHeight="1" spans="1:17">
      <c r="A411" s="80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</row>
    <row r="412" customHeight="1" spans="1:17">
      <c r="A412" s="80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</row>
    <row r="413" customHeight="1" spans="1:17">
      <c r="A413" s="80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</row>
    <row r="414" customHeight="1" spans="1:17">
      <c r="A414" s="80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</row>
    <row r="415" customHeight="1" spans="1:17">
      <c r="A415" s="80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</row>
    <row r="416" customHeight="1" spans="1:17">
      <c r="A416" s="80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</row>
    <row r="417" customHeight="1" spans="1:17">
      <c r="A417" s="80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</row>
    <row r="418" customHeight="1" spans="1:17">
      <c r="A418" s="80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</row>
    <row r="419" customHeight="1" spans="1:17">
      <c r="A419" s="80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</row>
    <row r="420" customHeight="1" spans="1:17">
      <c r="A420" s="80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</row>
    <row r="421" customHeight="1" spans="1:17">
      <c r="A421" s="80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</row>
    <row r="422" customHeight="1" spans="1:17">
      <c r="A422" s="80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</row>
    <row r="423" customHeight="1" spans="1:17">
      <c r="A423" s="80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</row>
    <row r="424" customHeight="1" spans="1:17">
      <c r="A424" s="80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</row>
    <row r="425" customHeight="1" spans="1:17">
      <c r="A425" s="80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</row>
    <row r="426" customHeight="1" spans="1:17">
      <c r="A426" s="80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</row>
    <row r="427" customHeight="1" spans="1:17">
      <c r="A427" s="80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</row>
    <row r="428" customHeight="1" spans="1:17">
      <c r="A428" s="80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</row>
    <row r="429" customHeight="1" spans="1:17">
      <c r="A429" s="80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</row>
    <row r="430" customHeight="1" spans="1:17">
      <c r="A430" s="80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</row>
    <row r="431" customHeight="1" spans="1:17">
      <c r="A431" s="80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</row>
    <row r="432" customHeight="1" spans="1:17">
      <c r="A432" s="80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</row>
    <row r="433" customHeight="1" spans="1:17">
      <c r="A433" s="80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</row>
    <row r="434" customHeight="1" spans="1:17">
      <c r="A434" s="80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</row>
    <row r="435" customHeight="1" spans="1:17">
      <c r="A435" s="80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</row>
    <row r="436" customHeight="1" spans="1:17">
      <c r="A436" s="80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</row>
    <row r="437" customHeight="1" spans="1:17">
      <c r="A437" s="80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</row>
    <row r="438" customHeight="1" spans="1:17">
      <c r="A438" s="80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</row>
    <row r="439" customHeight="1" spans="1:17">
      <c r="A439" s="80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</row>
    <row r="440" customHeight="1" spans="1:17">
      <c r="A440" s="80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</row>
    <row r="441" customHeight="1" spans="1:17">
      <c r="A441" s="80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</row>
    <row r="442" customHeight="1" spans="1:17">
      <c r="A442" s="80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</row>
    <row r="443" customHeight="1" spans="1:17">
      <c r="A443" s="80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</row>
    <row r="444" customHeight="1" spans="1:17">
      <c r="A444" s="80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</row>
    <row r="445" customHeight="1" spans="1:17">
      <c r="A445" s="80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</row>
    <row r="446" customHeight="1" spans="1:17">
      <c r="A446" s="80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</row>
    <row r="447" customHeight="1" spans="1:17">
      <c r="A447" s="80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</row>
    <row r="448" customHeight="1" spans="1:17">
      <c r="A448" s="80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</row>
    <row r="449" customHeight="1" spans="1:17">
      <c r="A449" s="80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</row>
    <row r="450" customHeight="1" spans="1:17">
      <c r="A450" s="80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</row>
    <row r="451" customHeight="1" spans="1:17">
      <c r="A451" s="80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</row>
    <row r="452" customHeight="1" spans="1:17">
      <c r="A452" s="80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</row>
    <row r="453" customHeight="1" spans="1:17">
      <c r="A453" s="80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</row>
    <row r="454" customHeight="1" spans="1:17">
      <c r="A454" s="80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</row>
    <row r="455" customHeight="1" spans="1:17">
      <c r="A455" s="80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</row>
    <row r="456" customHeight="1" spans="1:17">
      <c r="A456" s="80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</row>
    <row r="457" customHeight="1" spans="1:17">
      <c r="A457" s="80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</row>
    <row r="458" customHeight="1" spans="1:17">
      <c r="A458" s="80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</row>
    <row r="459" customHeight="1" spans="1:17">
      <c r="A459" s="80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</row>
    <row r="460" customHeight="1" spans="1:17">
      <c r="A460" s="80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</row>
    <row r="461" customHeight="1" spans="1:17">
      <c r="A461" s="80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</row>
    <row r="462" customHeight="1" spans="1:17">
      <c r="A462" s="80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</row>
    <row r="463" customHeight="1" spans="1:17">
      <c r="A463" s="80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</row>
    <row r="464" customHeight="1" spans="1:17">
      <c r="A464" s="80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</row>
    <row r="465" customHeight="1" spans="1:17">
      <c r="A465" s="80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</row>
    <row r="466" customHeight="1" spans="1:17">
      <c r="A466" s="80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</row>
    <row r="467" customHeight="1" spans="1:17">
      <c r="A467" s="80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</row>
    <row r="468" customHeight="1" spans="1:17">
      <c r="A468" s="80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</row>
    <row r="469" customHeight="1" spans="1:17">
      <c r="A469" s="80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</row>
    <row r="470" customHeight="1" spans="1:17">
      <c r="A470" s="80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</row>
    <row r="471" customHeight="1" spans="1:17">
      <c r="A471" s="80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</row>
    <row r="472" customHeight="1" spans="1:17">
      <c r="A472" s="80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</row>
    <row r="473" customHeight="1" spans="1:17">
      <c r="A473" s="80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</row>
    <row r="474" customHeight="1" spans="1:17">
      <c r="A474" s="80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</row>
    <row r="475" customHeight="1" spans="1:17">
      <c r="A475" s="80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</row>
    <row r="476" customHeight="1" spans="1:17">
      <c r="A476" s="80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</row>
    <row r="477" customHeight="1" spans="1:17">
      <c r="A477" s="80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</row>
    <row r="478" customHeight="1" spans="1:17">
      <c r="A478" s="80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</row>
    <row r="479" customHeight="1" spans="1:17">
      <c r="A479" s="80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</row>
    <row r="480" customHeight="1" spans="1:17">
      <c r="A480" s="80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</row>
    <row r="481" customHeight="1" spans="1:17">
      <c r="A481" s="80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</row>
    <row r="482" customHeight="1" spans="1:17">
      <c r="A482" s="80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</row>
    <row r="483" customHeight="1" spans="1:17">
      <c r="A483" s="80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</row>
    <row r="484" customHeight="1" spans="1:17">
      <c r="A484" s="80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</row>
    <row r="485" customHeight="1" spans="1:17">
      <c r="A485" s="80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</row>
    <row r="486" customHeight="1" spans="1:17">
      <c r="A486" s="80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</row>
    <row r="487" customHeight="1" spans="1:17">
      <c r="A487" s="80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</row>
    <row r="488" customHeight="1" spans="1:17">
      <c r="A488" s="80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</row>
    <row r="489" customHeight="1" spans="1:17">
      <c r="A489" s="80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</row>
    <row r="490" customHeight="1" spans="1:17">
      <c r="A490" s="80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</row>
    <row r="491" customHeight="1" spans="1:17">
      <c r="A491" s="80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</row>
    <row r="492" customHeight="1" spans="1:17">
      <c r="A492" s="80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</row>
    <row r="493" customHeight="1" spans="1:17">
      <c r="A493" s="80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</row>
    <row r="494" customHeight="1" spans="1:17">
      <c r="A494" s="80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</row>
    <row r="495" customHeight="1" spans="1:17">
      <c r="A495" s="80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</row>
    <row r="496" customHeight="1" spans="1:17">
      <c r="A496" s="80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</row>
    <row r="497" customHeight="1" spans="1:17">
      <c r="A497" s="80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</row>
    <row r="498" customHeight="1" spans="1:17">
      <c r="A498" s="80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</row>
    <row r="499" customHeight="1" spans="1:17">
      <c r="A499" s="80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</row>
    <row r="500" customHeight="1" spans="1:17">
      <c r="A500" s="80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</row>
    <row r="501" customHeight="1" spans="1:17">
      <c r="A501" s="80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</row>
    <row r="502" customHeight="1" spans="1:17">
      <c r="A502" s="80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</row>
    <row r="503" customHeight="1" spans="1:17">
      <c r="A503" s="80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</row>
    <row r="504" customHeight="1" spans="1:17">
      <c r="A504" s="80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</row>
    <row r="505" customHeight="1" spans="1:17">
      <c r="A505" s="80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</row>
    <row r="506" customHeight="1" spans="1:17">
      <c r="A506" s="80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</row>
    <row r="507" customHeight="1" spans="1:17">
      <c r="A507" s="80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</row>
    <row r="508" customHeight="1" spans="1:17">
      <c r="A508" s="80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</row>
    <row r="509" customHeight="1" spans="1:17">
      <c r="A509" s="80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</row>
    <row r="510" customHeight="1" spans="1:17">
      <c r="A510" s="80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</row>
    <row r="511" customHeight="1" spans="1:17">
      <c r="A511" s="80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</row>
    <row r="512" customHeight="1" spans="1:17">
      <c r="A512" s="80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</row>
    <row r="513" customHeight="1" spans="1:17">
      <c r="A513" s="80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</row>
    <row r="514" customHeight="1" spans="1:17">
      <c r="A514" s="80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</row>
    <row r="515" customHeight="1" spans="1:17">
      <c r="A515" s="80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</row>
    <row r="516" customHeight="1" spans="1:17">
      <c r="A516" s="80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</row>
    <row r="517" customHeight="1" spans="1:17">
      <c r="A517" s="80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</row>
    <row r="518" customHeight="1" spans="1:17">
      <c r="A518" s="80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</row>
    <row r="519" customHeight="1" spans="1:17">
      <c r="A519" s="80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</row>
    <row r="520" customHeight="1" spans="1:17">
      <c r="A520" s="80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</row>
    <row r="521" customHeight="1" spans="1:17">
      <c r="A521" s="80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</row>
    <row r="522" customHeight="1" spans="1:17">
      <c r="A522" s="80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</row>
    <row r="523" customHeight="1" spans="1:17">
      <c r="A523" s="80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</row>
    <row r="524" customHeight="1" spans="1:17">
      <c r="A524" s="80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</row>
    <row r="525" customHeight="1" spans="1:17">
      <c r="A525" s="80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</row>
    <row r="526" customHeight="1" spans="1:17">
      <c r="A526" s="80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</row>
    <row r="527" customHeight="1" spans="1:17">
      <c r="A527" s="80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</row>
    <row r="528" customHeight="1" spans="1:17">
      <c r="A528" s="80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</row>
    <row r="529" customHeight="1" spans="1:17">
      <c r="A529" s="80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</row>
    <row r="530" customHeight="1" spans="1:17">
      <c r="A530" s="80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</row>
    <row r="531" customHeight="1" spans="1:17">
      <c r="A531" s="80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</row>
    <row r="532" customHeight="1" spans="1:17">
      <c r="A532" s="80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</row>
    <row r="533" customHeight="1" spans="1:17">
      <c r="A533" s="80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</row>
    <row r="534" customHeight="1" spans="1:17">
      <c r="A534" s="80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</row>
    <row r="535" customHeight="1" spans="1:17">
      <c r="A535" s="80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</row>
    <row r="536" customHeight="1" spans="1:17">
      <c r="A536" s="80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</row>
    <row r="537" customHeight="1" spans="1:17">
      <c r="A537" s="80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</row>
    <row r="538" customHeight="1" spans="1:17">
      <c r="A538" s="80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</row>
    <row r="539" customHeight="1" spans="1:17">
      <c r="A539" s="80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</row>
    <row r="540" customHeight="1" spans="1:17">
      <c r="A540" s="80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</row>
    <row r="541" customHeight="1" spans="1:17">
      <c r="A541" s="80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</row>
    <row r="542" customHeight="1" spans="1:17">
      <c r="A542" s="80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</row>
    <row r="543" customHeight="1" spans="1:17">
      <c r="A543" s="80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</row>
    <row r="544" customHeight="1" spans="1:17">
      <c r="A544" s="80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</row>
    <row r="545" customHeight="1" spans="1:17">
      <c r="A545" s="80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</row>
    <row r="546" customHeight="1" spans="1:17">
      <c r="A546" s="80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</row>
    <row r="547" customHeight="1" spans="1:17">
      <c r="A547" s="80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</row>
    <row r="548" customHeight="1" spans="1:17">
      <c r="A548" s="80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</row>
    <row r="549" customHeight="1" spans="1:17">
      <c r="A549" s="80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</row>
    <row r="550" customHeight="1" spans="1:17">
      <c r="A550" s="80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</row>
    <row r="551" customHeight="1" spans="1:17">
      <c r="A551" s="80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</row>
    <row r="552" customHeight="1" spans="1:17">
      <c r="A552" s="80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</row>
    <row r="553" customHeight="1" spans="1:17">
      <c r="A553" s="80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</row>
    <row r="554" customHeight="1" spans="1:17">
      <c r="A554" s="80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</row>
    <row r="555" customHeight="1" spans="1:17">
      <c r="A555" s="80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</row>
    <row r="556" customHeight="1" spans="1:17">
      <c r="A556" s="80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</row>
    <row r="557" customHeight="1" spans="1:17">
      <c r="A557" s="80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</row>
    <row r="558" customHeight="1" spans="1:17">
      <c r="A558" s="80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</row>
    <row r="559" customHeight="1" spans="1:17">
      <c r="A559" s="80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</row>
    <row r="560" customHeight="1" spans="1:17">
      <c r="A560" s="80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</row>
    <row r="561" customHeight="1" spans="1:17">
      <c r="A561" s="80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</row>
    <row r="562" customHeight="1" spans="1:17">
      <c r="A562" s="80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</row>
    <row r="563" customHeight="1" spans="1:17">
      <c r="A563" s="80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</row>
    <row r="564" customHeight="1" spans="1:17">
      <c r="A564" s="80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</row>
    <row r="565" customHeight="1" spans="1:17">
      <c r="A565" s="80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</row>
    <row r="566" customHeight="1" spans="1:17">
      <c r="A566" s="80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</row>
    <row r="567" customHeight="1" spans="1:17">
      <c r="A567" s="80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</row>
    <row r="568" customHeight="1" spans="1:17">
      <c r="A568" s="80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</row>
    <row r="569" customHeight="1" spans="1:17">
      <c r="A569" s="80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</row>
    <row r="570" customHeight="1" spans="1:17">
      <c r="A570" s="80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</row>
    <row r="571" customHeight="1" spans="1:17">
      <c r="A571" s="80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</row>
    <row r="572" customHeight="1" spans="1:17">
      <c r="A572" s="80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</row>
    <row r="573" customHeight="1" spans="1:17">
      <c r="A573" s="80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</row>
    <row r="574" customHeight="1" spans="1:17">
      <c r="A574" s="80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</row>
    <row r="575" customHeight="1" spans="1:17">
      <c r="A575" s="80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</row>
    <row r="576" customHeight="1" spans="1:17">
      <c r="A576" s="80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</row>
    <row r="577" customHeight="1" spans="1:17">
      <c r="A577" s="80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</row>
    <row r="578" customHeight="1" spans="1:17">
      <c r="A578" s="80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</row>
    <row r="579" customHeight="1" spans="1:17">
      <c r="A579" s="80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</row>
    <row r="580" customHeight="1" spans="1:17">
      <c r="A580" s="80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</row>
    <row r="581" customHeight="1" spans="1:17">
      <c r="A581" s="80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</row>
    <row r="582" customHeight="1" spans="1:17">
      <c r="A582" s="80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</row>
    <row r="583" customHeight="1" spans="1:17">
      <c r="A583" s="80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</row>
    <row r="584" customHeight="1" spans="1:17">
      <c r="A584" s="80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</row>
    <row r="585" customHeight="1" spans="1:17">
      <c r="A585" s="80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</row>
    <row r="586" customHeight="1" spans="1:17">
      <c r="A586" s="80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</row>
    <row r="587" customHeight="1" spans="1:17">
      <c r="A587" s="80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</row>
    <row r="588" customHeight="1" spans="1:17">
      <c r="A588" s="80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</row>
    <row r="589" customHeight="1" spans="1:17">
      <c r="A589" s="80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</row>
    <row r="590" customHeight="1" spans="1:17">
      <c r="A590" s="80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</row>
    <row r="591" customHeight="1" spans="1:17">
      <c r="A591" s="80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</row>
    <row r="592" customHeight="1" spans="1:17">
      <c r="A592" s="80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</row>
    <row r="593" customHeight="1" spans="1:17">
      <c r="A593" s="80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</row>
    <row r="594" customHeight="1" spans="1:17">
      <c r="A594" s="80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</row>
    <row r="595" customHeight="1" spans="1:17">
      <c r="A595" s="80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</row>
    <row r="596" customHeight="1" spans="1:17">
      <c r="A596" s="80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</row>
    <row r="597" customHeight="1" spans="1:17">
      <c r="A597" s="80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</row>
    <row r="598" customHeight="1" spans="1:17">
      <c r="A598" s="80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</row>
    <row r="599" customHeight="1" spans="1:17">
      <c r="A599" s="80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</row>
    <row r="600" customHeight="1" spans="1:17">
      <c r="A600" s="80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</row>
    <row r="601" customHeight="1" spans="1:17">
      <c r="A601" s="80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</row>
    <row r="602" customHeight="1" spans="1:17">
      <c r="A602" s="80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</row>
    <row r="603" customHeight="1" spans="1:17">
      <c r="A603" s="80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</row>
    <row r="604" customHeight="1" spans="1:17">
      <c r="A604" s="80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</row>
    <row r="605" customHeight="1" spans="1:17">
      <c r="A605" s="80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</row>
    <row r="606" customHeight="1" spans="1:17">
      <c r="A606" s="80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</row>
    <row r="607" customHeight="1" spans="1:17">
      <c r="A607" s="80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</row>
    <row r="608" customHeight="1" spans="1:17">
      <c r="A608" s="80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</row>
    <row r="609" customHeight="1" spans="1:17">
      <c r="A609" s="80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</row>
    <row r="610" customHeight="1" spans="1:17">
      <c r="A610" s="80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</row>
    <row r="611" customHeight="1" spans="1:17">
      <c r="A611" s="80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</row>
    <row r="612" customHeight="1" spans="1:17">
      <c r="A612" s="80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</row>
    <row r="613" customHeight="1" spans="1:17">
      <c r="A613" s="80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</row>
    <row r="614" customHeight="1" spans="1:17">
      <c r="A614" s="80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</row>
    <row r="615" customHeight="1" spans="1:17">
      <c r="A615" s="80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</row>
    <row r="616" customHeight="1" spans="1:17">
      <c r="A616" s="80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</row>
    <row r="617" customHeight="1" spans="1:17">
      <c r="A617" s="80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</row>
    <row r="618" customHeight="1" spans="1:17">
      <c r="A618" s="80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</row>
    <row r="619" customHeight="1" spans="1:17">
      <c r="A619" s="80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</row>
    <row r="620" customHeight="1" spans="1:17">
      <c r="A620" s="80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</row>
    <row r="621" customHeight="1" spans="1:17">
      <c r="A621" s="80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</row>
    <row r="622" customHeight="1" spans="1:17">
      <c r="A622" s="80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</row>
    <row r="623" customHeight="1" spans="1:17">
      <c r="A623" s="80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</row>
    <row r="624" customHeight="1" spans="1:17">
      <c r="A624" s="80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</row>
    <row r="625" customHeight="1" spans="1:17">
      <c r="A625" s="80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</row>
    <row r="626" customHeight="1" spans="1:17">
      <c r="A626" s="80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</row>
    <row r="627" customHeight="1" spans="1:17">
      <c r="A627" s="80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</row>
    <row r="628" customHeight="1" spans="1:17">
      <c r="A628" s="80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</row>
    <row r="629" customHeight="1" spans="1:17">
      <c r="A629" s="80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</row>
    <row r="630" customHeight="1" spans="1:17">
      <c r="A630" s="80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</row>
    <row r="631" customHeight="1" spans="1:17">
      <c r="A631" s="80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</row>
    <row r="632" customHeight="1" spans="1:17">
      <c r="A632" s="80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</row>
    <row r="633" customHeight="1" spans="1:17">
      <c r="A633" s="80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</row>
    <row r="634" customHeight="1" spans="1:17">
      <c r="A634" s="80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</row>
    <row r="635" customHeight="1" spans="1:17">
      <c r="A635" s="80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</row>
    <row r="636" customHeight="1" spans="1:17">
      <c r="A636" s="80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</row>
    <row r="637" customHeight="1" spans="1:17">
      <c r="A637" s="80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</row>
    <row r="638" customHeight="1" spans="1:17">
      <c r="A638" s="80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</row>
    <row r="639" customHeight="1" spans="1:17">
      <c r="A639" s="80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</row>
    <row r="640" customHeight="1" spans="1:17">
      <c r="A640" s="80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</row>
    <row r="641" customHeight="1" spans="1:17">
      <c r="A641" s="80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</row>
    <row r="642" customHeight="1" spans="1:17">
      <c r="A642" s="80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</row>
    <row r="643" customHeight="1" spans="1:17">
      <c r="A643" s="80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</row>
    <row r="644" customHeight="1" spans="1:17">
      <c r="A644" s="80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</row>
    <row r="645" customHeight="1" spans="1:17">
      <c r="A645" s="80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</row>
    <row r="646" customHeight="1" spans="1:17">
      <c r="A646" s="80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</row>
    <row r="647" customHeight="1" spans="1:17">
      <c r="A647" s="80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</row>
    <row r="648" customHeight="1" spans="1:17">
      <c r="A648" s="80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</row>
    <row r="649" customHeight="1" spans="1:17">
      <c r="A649" s="80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</row>
    <row r="650" customHeight="1" spans="1:17">
      <c r="A650" s="80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</row>
    <row r="651" customHeight="1" spans="1:17">
      <c r="A651" s="80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</row>
    <row r="652" customHeight="1" spans="1:17">
      <c r="A652" s="80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</row>
    <row r="653" customHeight="1" spans="1:17">
      <c r="A653" s="80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</row>
    <row r="654" customHeight="1" spans="1:17">
      <c r="A654" s="80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</row>
    <row r="655" customHeight="1" spans="1:17">
      <c r="A655" s="80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</row>
    <row r="656" customHeight="1" spans="1:17">
      <c r="A656" s="80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</row>
    <row r="657" customHeight="1" spans="1:17">
      <c r="A657" s="80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</row>
    <row r="658" customHeight="1" spans="1:17">
      <c r="A658" s="80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</row>
    <row r="659" customHeight="1" spans="1:17">
      <c r="A659" s="80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</row>
    <row r="660" customHeight="1" spans="1:17">
      <c r="A660" s="80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</row>
    <row r="661" customHeight="1" spans="1:17">
      <c r="A661" s="80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</row>
    <row r="662" customHeight="1" spans="1:17">
      <c r="A662" s="80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</row>
    <row r="663" customHeight="1" spans="1:17">
      <c r="A663" s="80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</row>
    <row r="664" customHeight="1" spans="1:17">
      <c r="A664" s="80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</row>
    <row r="665" customHeight="1" spans="1:17">
      <c r="A665" s="80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</row>
    <row r="666" customHeight="1" spans="1:17">
      <c r="A666" s="80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</row>
    <row r="667" customHeight="1" spans="1:17">
      <c r="A667" s="80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</row>
    <row r="668" customHeight="1" spans="1:17">
      <c r="A668" s="80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</row>
    <row r="669" customHeight="1" spans="1:17">
      <c r="A669" s="80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</row>
    <row r="670" customHeight="1" spans="1:17">
      <c r="A670" s="80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</row>
    <row r="671" customHeight="1" spans="1:17">
      <c r="A671" s="80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</row>
    <row r="672" customHeight="1" spans="1:17">
      <c r="A672" s="80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</row>
    <row r="673" customHeight="1" spans="1:17">
      <c r="A673" s="80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</row>
    <row r="674" customHeight="1" spans="1:17">
      <c r="A674" s="80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</row>
    <row r="675" customHeight="1" spans="1:17">
      <c r="A675" s="80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</row>
    <row r="676" customHeight="1" spans="1:17">
      <c r="A676" s="80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</row>
    <row r="677" customHeight="1" spans="1:17">
      <c r="A677" s="80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</row>
    <row r="678" customHeight="1" spans="1:17">
      <c r="A678" s="80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</row>
    <row r="679" customHeight="1" spans="1:17">
      <c r="A679" s="80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</row>
    <row r="680" customHeight="1" spans="1:17">
      <c r="A680" s="80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</row>
    <row r="681" customHeight="1" spans="1:17">
      <c r="A681" s="80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</row>
    <row r="682" customHeight="1" spans="1:17">
      <c r="A682" s="80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</row>
    <row r="683" customHeight="1" spans="1:17">
      <c r="A683" s="80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</row>
    <row r="684" customHeight="1" spans="1:17">
      <c r="A684" s="80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</row>
    <row r="685" customHeight="1" spans="1:17">
      <c r="A685" s="80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</row>
    <row r="686" customHeight="1" spans="1:17">
      <c r="A686" s="80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</row>
    <row r="687" customHeight="1" spans="1:17">
      <c r="A687" s="80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</row>
    <row r="688" customHeight="1" spans="1:17">
      <c r="A688" s="80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</row>
    <row r="689" customHeight="1" spans="1:17">
      <c r="A689" s="80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</row>
    <row r="690" customHeight="1" spans="1:17">
      <c r="A690" s="80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</row>
    <row r="691" customHeight="1" spans="1:17">
      <c r="A691" s="80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</row>
    <row r="692" customHeight="1" spans="1:17">
      <c r="A692" s="80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</row>
    <row r="693" customHeight="1" spans="1:17">
      <c r="A693" s="80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</row>
    <row r="694" customHeight="1" spans="1:17">
      <c r="A694" s="80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</row>
    <row r="695" customHeight="1" spans="1:17">
      <c r="A695" s="80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</row>
    <row r="696" customHeight="1" spans="1:17">
      <c r="A696" s="80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</row>
    <row r="697" customHeight="1" spans="1:17">
      <c r="A697" s="80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</row>
    <row r="698" customHeight="1" spans="1:17">
      <c r="A698" s="80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</row>
    <row r="699" customHeight="1" spans="1:17">
      <c r="A699" s="80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</row>
    <row r="700" customHeight="1" spans="1:17">
      <c r="A700" s="80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</row>
    <row r="701" customHeight="1" spans="1:17">
      <c r="A701" s="80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</row>
    <row r="702" customHeight="1" spans="1:17">
      <c r="A702" s="80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</row>
    <row r="703" customHeight="1" spans="1:17">
      <c r="A703" s="80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</row>
    <row r="704" customHeight="1" spans="1:17">
      <c r="A704" s="80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</row>
    <row r="705" customHeight="1" spans="1:17">
      <c r="A705" s="80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</row>
    <row r="706" customHeight="1" spans="1:17">
      <c r="A706" s="80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</row>
    <row r="707" customHeight="1" spans="1:17">
      <c r="A707" s="80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</row>
    <row r="708" customHeight="1" spans="1:17">
      <c r="A708" s="80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</row>
    <row r="709" customHeight="1" spans="1:17">
      <c r="A709" s="80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</row>
    <row r="710" customHeight="1" spans="1:17">
      <c r="A710" s="80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</row>
    <row r="711" customHeight="1" spans="1:17">
      <c r="A711" s="80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</row>
    <row r="712" customHeight="1" spans="1:17">
      <c r="A712" s="80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</row>
    <row r="713" customHeight="1" spans="1:17">
      <c r="A713" s="80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</row>
    <row r="714" customHeight="1" spans="1:17">
      <c r="A714" s="80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</row>
    <row r="715" customHeight="1" spans="1:17">
      <c r="A715" s="80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</row>
    <row r="716" customHeight="1" spans="1:17">
      <c r="A716" s="80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</row>
    <row r="717" customHeight="1" spans="1:17">
      <c r="A717" s="80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</row>
    <row r="718" customHeight="1" spans="1:17">
      <c r="A718" s="80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</row>
    <row r="719" customHeight="1" spans="1:17">
      <c r="A719" s="80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</row>
    <row r="720" customHeight="1" spans="1:17">
      <c r="A720" s="80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</row>
    <row r="721" customHeight="1" spans="1:17">
      <c r="A721" s="80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</row>
    <row r="722" customHeight="1" spans="1:17">
      <c r="A722" s="80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</row>
    <row r="723" customHeight="1" spans="1:17">
      <c r="A723" s="80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</row>
    <row r="724" customHeight="1" spans="1:17">
      <c r="A724" s="80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</row>
    <row r="725" customHeight="1" spans="1:17">
      <c r="A725" s="80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</row>
    <row r="726" customHeight="1" spans="1:17">
      <c r="A726" s="80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</row>
    <row r="727" customHeight="1" spans="1:17">
      <c r="A727" s="80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</row>
    <row r="728" customHeight="1" spans="1:17">
      <c r="A728" s="80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</row>
    <row r="729" customHeight="1" spans="1:17">
      <c r="A729" s="80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</row>
    <row r="730" customHeight="1" spans="1:17">
      <c r="A730" s="80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</row>
    <row r="731" customHeight="1" spans="1:17">
      <c r="A731" s="80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</row>
    <row r="732" customHeight="1" spans="1:17">
      <c r="A732" s="80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</row>
    <row r="733" customHeight="1" spans="1:17">
      <c r="A733" s="80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</row>
    <row r="734" customHeight="1" spans="1:17">
      <c r="A734" s="80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</row>
    <row r="735" customHeight="1" spans="1:17">
      <c r="A735" s="80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</row>
    <row r="736" customHeight="1" spans="1:17">
      <c r="A736" s="80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</row>
    <row r="737" customHeight="1" spans="1:17">
      <c r="A737" s="80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</row>
    <row r="738" customHeight="1" spans="1:17">
      <c r="A738" s="80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</row>
    <row r="739" customHeight="1" spans="1:17">
      <c r="A739" s="80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</row>
    <row r="740" customHeight="1" spans="1:17">
      <c r="A740" s="80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</row>
    <row r="741" customHeight="1" spans="1:17">
      <c r="A741" s="80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</row>
    <row r="742" customHeight="1" spans="1:17">
      <c r="A742" s="80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</row>
    <row r="743" customHeight="1" spans="1:17">
      <c r="A743" s="80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</row>
    <row r="744" customHeight="1" spans="1:17">
      <c r="A744" s="80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</row>
    <row r="745" customHeight="1" spans="1:17">
      <c r="A745" s="80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</row>
    <row r="746" customHeight="1" spans="1:17">
      <c r="A746" s="80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</row>
    <row r="747" customHeight="1" spans="1:17">
      <c r="A747" s="80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</row>
    <row r="748" customHeight="1" spans="1:17">
      <c r="A748" s="80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</row>
    <row r="749" customHeight="1" spans="1:17">
      <c r="A749" s="80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</row>
    <row r="750" customHeight="1" spans="1:17">
      <c r="A750" s="80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</row>
    <row r="751" customHeight="1" spans="1:17">
      <c r="A751" s="80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</row>
    <row r="752" customHeight="1" spans="1:17">
      <c r="A752" s="80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</row>
    <row r="753" customHeight="1" spans="1:17">
      <c r="A753" s="80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</row>
    <row r="754" customHeight="1" spans="1:17">
      <c r="A754" s="80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</row>
    <row r="755" customHeight="1" spans="1:17">
      <c r="A755" s="80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</row>
    <row r="756" customHeight="1" spans="1:17">
      <c r="A756" s="80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</row>
    <row r="757" customHeight="1" spans="1:17">
      <c r="A757" s="80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</row>
    <row r="758" customHeight="1" spans="1:17">
      <c r="A758" s="80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</row>
    <row r="759" customHeight="1" spans="1:17">
      <c r="A759" s="80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</row>
    <row r="760" customHeight="1" spans="1:17">
      <c r="A760" s="80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</row>
    <row r="761" customHeight="1" spans="1:17">
      <c r="A761" s="80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</row>
    <row r="762" customHeight="1" spans="1:17">
      <c r="A762" s="80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</row>
    <row r="763" customHeight="1" spans="1:17">
      <c r="A763" s="80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</row>
    <row r="764" customHeight="1" spans="1:17">
      <c r="A764" s="80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</row>
    <row r="765" customHeight="1" spans="1:17">
      <c r="A765" s="80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</row>
    <row r="766" customHeight="1" spans="1:17">
      <c r="A766" s="80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</row>
    <row r="767" customHeight="1" spans="1:17">
      <c r="A767" s="80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</row>
    <row r="768" customHeight="1" spans="1:17">
      <c r="A768" s="80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</row>
    <row r="769" customHeight="1" spans="1:17">
      <c r="A769" s="80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</row>
    <row r="770" customHeight="1" spans="1:17">
      <c r="A770" s="80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</row>
    <row r="771" customHeight="1" spans="1:17">
      <c r="A771" s="80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</row>
    <row r="772" customHeight="1" spans="1:17">
      <c r="A772" s="80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</row>
    <row r="773" customHeight="1" spans="1:17">
      <c r="A773" s="80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</row>
    <row r="774" customHeight="1" spans="1:17">
      <c r="A774" s="80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</row>
    <row r="775" customHeight="1" spans="1:17">
      <c r="A775" s="80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</row>
    <row r="776" customHeight="1" spans="1:17">
      <c r="A776" s="80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</row>
    <row r="777" customHeight="1" spans="1:17">
      <c r="A777" s="80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</row>
    <row r="778" customHeight="1" spans="1:17">
      <c r="A778" s="80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</row>
    <row r="779" customHeight="1" spans="1:17">
      <c r="A779" s="80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</row>
    <row r="780" customHeight="1" spans="1:17">
      <c r="A780" s="80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</row>
    <row r="781" customHeight="1" spans="1:17">
      <c r="A781" s="80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</row>
    <row r="782" customHeight="1" spans="1:17">
      <c r="A782" s="80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</row>
    <row r="783" customHeight="1" spans="1:17">
      <c r="A783" s="80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</row>
    <row r="784" customHeight="1" spans="1:17">
      <c r="A784" s="80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</row>
    <row r="785" customHeight="1" spans="1:17">
      <c r="A785" s="80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</row>
    <row r="786" customHeight="1" spans="1:17">
      <c r="A786" s="80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</row>
    <row r="787" customHeight="1" spans="1:17">
      <c r="A787" s="80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</row>
    <row r="788" customHeight="1" spans="1:17">
      <c r="A788" s="80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</row>
    <row r="789" customHeight="1" spans="1:17">
      <c r="A789" s="80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</row>
    <row r="790" customHeight="1" spans="1:17">
      <c r="A790" s="80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</row>
    <row r="791" customHeight="1" spans="1:17">
      <c r="A791" s="80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</row>
    <row r="792" customHeight="1" spans="1:17">
      <c r="A792" s="80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</row>
    <row r="793" customHeight="1" spans="1:17">
      <c r="A793" s="80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</row>
    <row r="794" customHeight="1" spans="1:17">
      <c r="A794" s="80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</row>
    <row r="795" customHeight="1" spans="1:17">
      <c r="A795" s="80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</row>
    <row r="796" customHeight="1" spans="1:17">
      <c r="A796" s="80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</row>
    <row r="797" customHeight="1" spans="1:17">
      <c r="A797" s="80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</row>
    <row r="798" customHeight="1" spans="1:17">
      <c r="A798" s="80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</row>
    <row r="799" customHeight="1" spans="1:17">
      <c r="A799" s="80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</row>
    <row r="800" customHeight="1" spans="1:17">
      <c r="A800" s="80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</row>
    <row r="801" customHeight="1" spans="1:17">
      <c r="A801" s="80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</row>
    <row r="802" customHeight="1" spans="1:17">
      <c r="A802" s="80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</row>
    <row r="803" customHeight="1" spans="1:17">
      <c r="A803" s="80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</row>
    <row r="804" customHeight="1" spans="1:17">
      <c r="A804" s="80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</row>
    <row r="805" customHeight="1" spans="1:17">
      <c r="A805" s="80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</row>
    <row r="806" customHeight="1" spans="1:17">
      <c r="A806" s="80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</row>
    <row r="807" customHeight="1" spans="1:17">
      <c r="A807" s="80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</row>
    <row r="808" customHeight="1" spans="1:17">
      <c r="A808" s="80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</row>
    <row r="809" customHeight="1" spans="1:17">
      <c r="A809" s="80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</row>
    <row r="810" customHeight="1" spans="1:17">
      <c r="A810" s="80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</row>
    <row r="811" customHeight="1" spans="1:17">
      <c r="A811" s="80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</row>
    <row r="812" customHeight="1" spans="1:17">
      <c r="A812" s="80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</row>
    <row r="813" customHeight="1" spans="1:17">
      <c r="A813" s="80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</row>
    <row r="814" customHeight="1" spans="1:17">
      <c r="A814" s="80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</row>
    <row r="815" customHeight="1" spans="1:17">
      <c r="A815" s="80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</row>
    <row r="816" customHeight="1" spans="1:17">
      <c r="A816" s="80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</row>
    <row r="817" customHeight="1" spans="1:17">
      <c r="A817" s="80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</row>
    <row r="818" customHeight="1" spans="1:17">
      <c r="A818" s="80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</row>
    <row r="819" customHeight="1" spans="1:17">
      <c r="A819" s="80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</row>
    <row r="820" customHeight="1" spans="1:17">
      <c r="A820" s="80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</row>
    <row r="821" customHeight="1" spans="1:17">
      <c r="A821" s="80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</row>
    <row r="822" customHeight="1" spans="1:17">
      <c r="A822" s="80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</row>
    <row r="823" customHeight="1" spans="1:17">
      <c r="A823" s="80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</row>
    <row r="824" customHeight="1" spans="1:17">
      <c r="A824" s="80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</row>
    <row r="825" customHeight="1" spans="1:17">
      <c r="A825" s="80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</row>
    <row r="826" customHeight="1" spans="1:17">
      <c r="A826" s="80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</row>
    <row r="827" customHeight="1" spans="1:17">
      <c r="A827" s="80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</row>
    <row r="828" customHeight="1" spans="1:17">
      <c r="A828" s="80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</row>
    <row r="829" customHeight="1" spans="1:17">
      <c r="A829" s="80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</row>
    <row r="830" customHeight="1" spans="1:17">
      <c r="A830" s="80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</row>
    <row r="831" customHeight="1" spans="1:17">
      <c r="A831" s="80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</row>
    <row r="832" customHeight="1" spans="1:17">
      <c r="A832" s="80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</row>
    <row r="833" customHeight="1" spans="1:17">
      <c r="A833" s="80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</row>
    <row r="834" customHeight="1" spans="1:17">
      <c r="A834" s="80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</row>
    <row r="835" customHeight="1" spans="1:17">
      <c r="A835" s="80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</row>
    <row r="836" customHeight="1" spans="1:17">
      <c r="A836" s="80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</row>
    <row r="837" customHeight="1" spans="1:17">
      <c r="A837" s="80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</row>
    <row r="838" customHeight="1" spans="1:17">
      <c r="A838" s="80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</row>
    <row r="839" customHeight="1" spans="1:17">
      <c r="A839" s="80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</row>
    <row r="840" customHeight="1" spans="1:17">
      <c r="A840" s="80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</row>
    <row r="841" customHeight="1" spans="1:17">
      <c r="A841" s="80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</row>
    <row r="842" customHeight="1" spans="1:17">
      <c r="A842" s="80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</row>
    <row r="843" customHeight="1" spans="1:17">
      <c r="A843" s="80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</row>
    <row r="844" customHeight="1" spans="1:17">
      <c r="A844" s="80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</row>
    <row r="845" customHeight="1" spans="1:17">
      <c r="A845" s="80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</row>
    <row r="846" customHeight="1" spans="1:17">
      <c r="A846" s="80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</row>
    <row r="847" customHeight="1" spans="1:17">
      <c r="A847" s="80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</row>
    <row r="848" customHeight="1" spans="1:17">
      <c r="A848" s="80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</row>
    <row r="849" customHeight="1" spans="1:17">
      <c r="A849" s="80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</row>
    <row r="850" customHeight="1" spans="1:17">
      <c r="A850" s="80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</row>
    <row r="851" customHeight="1" spans="1:17">
      <c r="A851" s="80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</row>
    <row r="852" customHeight="1" spans="1:17">
      <c r="A852" s="80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</row>
    <row r="853" customHeight="1" spans="1:17">
      <c r="A853" s="80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</row>
    <row r="854" customHeight="1" spans="1:17">
      <c r="A854" s="80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</row>
    <row r="855" customHeight="1" spans="1:17">
      <c r="A855" s="80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</row>
    <row r="856" customHeight="1" spans="1:17">
      <c r="A856" s="80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</row>
    <row r="857" customHeight="1" spans="1:17">
      <c r="A857" s="80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</row>
    <row r="858" customHeight="1" spans="1:17">
      <c r="A858" s="80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</row>
    <row r="859" customHeight="1" spans="1:17">
      <c r="A859" s="80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</row>
    <row r="860" customHeight="1" spans="1:17">
      <c r="A860" s="80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</row>
    <row r="861" customHeight="1" spans="1:17">
      <c r="A861" s="80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</row>
    <row r="862" customHeight="1" spans="1:17">
      <c r="A862" s="80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</row>
    <row r="863" customHeight="1" spans="1:17">
      <c r="A863" s="80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</row>
    <row r="864" customHeight="1" spans="1:17">
      <c r="A864" s="80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</row>
    <row r="865" customHeight="1" spans="1:17">
      <c r="A865" s="80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</row>
    <row r="866" customHeight="1" spans="1:17">
      <c r="A866" s="80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</row>
    <row r="867" customHeight="1" spans="1:17">
      <c r="A867" s="80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</row>
    <row r="868" customHeight="1" spans="1:17">
      <c r="A868" s="80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</row>
    <row r="869" customHeight="1" spans="1:17">
      <c r="A869" s="80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</row>
    <row r="870" customHeight="1" spans="1:17">
      <c r="A870" s="80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</row>
    <row r="871" customHeight="1" spans="1:17">
      <c r="A871" s="80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</row>
    <row r="872" customHeight="1" spans="1:17">
      <c r="A872" s="80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</row>
    <row r="873" customHeight="1" spans="1:17">
      <c r="A873" s="80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</row>
    <row r="874" customHeight="1" spans="1:17">
      <c r="A874" s="80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</row>
    <row r="875" customHeight="1" spans="1:17">
      <c r="A875" s="80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</row>
    <row r="876" customHeight="1" spans="1:17">
      <c r="A876" s="80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</row>
    <row r="877" customHeight="1" spans="1:17">
      <c r="A877" s="80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</row>
    <row r="878" customHeight="1" spans="1:17">
      <c r="A878" s="80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</row>
    <row r="879" customHeight="1" spans="1:17">
      <c r="A879" s="80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</row>
    <row r="880" customHeight="1" spans="1:17">
      <c r="A880" s="80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</row>
    <row r="881" customHeight="1" spans="1:17">
      <c r="A881" s="80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</row>
    <row r="882" customHeight="1" spans="1:17">
      <c r="A882" s="80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</row>
    <row r="883" customHeight="1" spans="1:17">
      <c r="A883" s="80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</row>
    <row r="884" customHeight="1" spans="1:17">
      <c r="A884" s="80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</row>
    <row r="885" customHeight="1" spans="1:17">
      <c r="A885" s="80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</row>
    <row r="886" customHeight="1" spans="1:17">
      <c r="A886" s="80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</row>
    <row r="887" customHeight="1" spans="1:17">
      <c r="A887" s="80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</row>
    <row r="888" customHeight="1" spans="1:17">
      <c r="A888" s="80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</row>
    <row r="889" customHeight="1" spans="1:17">
      <c r="A889" s="80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</row>
    <row r="890" customHeight="1" spans="1:17">
      <c r="A890" s="80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</row>
    <row r="891" customHeight="1" spans="1:17">
      <c r="A891" s="80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</row>
    <row r="892" customHeight="1" spans="1:17">
      <c r="A892" s="80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</row>
    <row r="893" customHeight="1" spans="1:17">
      <c r="A893" s="80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</row>
    <row r="894" customHeight="1" spans="1:17">
      <c r="A894" s="80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</row>
    <row r="895" customHeight="1" spans="1:17">
      <c r="A895" s="80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</row>
    <row r="896" customHeight="1" spans="1:17">
      <c r="A896" s="80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</row>
    <row r="897" customHeight="1" spans="1:17">
      <c r="A897" s="80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</row>
    <row r="898" customHeight="1" spans="1:17">
      <c r="A898" s="80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</row>
    <row r="899" customHeight="1" spans="1:17">
      <c r="A899" s="80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</row>
    <row r="900" customHeight="1" spans="1:17">
      <c r="A900" s="80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</row>
    <row r="901" customHeight="1" spans="1:17">
      <c r="A901" s="80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</row>
    <row r="902" customHeight="1" spans="1:17">
      <c r="A902" s="80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</row>
    <row r="903" customHeight="1" spans="1:17">
      <c r="A903" s="80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</row>
    <row r="904" customHeight="1" spans="1:17">
      <c r="A904" s="80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</row>
    <row r="905" customHeight="1" spans="1:17">
      <c r="A905" s="80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</row>
    <row r="906" customHeight="1" spans="1:17">
      <c r="A906" s="80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</row>
    <row r="907" customHeight="1" spans="1:17">
      <c r="A907" s="80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</row>
    <row r="908" customHeight="1" spans="1:17">
      <c r="A908" s="80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</row>
    <row r="909" customHeight="1" spans="1:17">
      <c r="A909" s="80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</row>
    <row r="910" customHeight="1" spans="1:17">
      <c r="A910" s="80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</row>
    <row r="911" customHeight="1" spans="1:17">
      <c r="A911" s="80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</row>
    <row r="912" customHeight="1" spans="1:17">
      <c r="A912" s="80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</row>
    <row r="913" customHeight="1" spans="1:17">
      <c r="A913" s="80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</row>
    <row r="914" customHeight="1" spans="1:17">
      <c r="A914" s="80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</row>
    <row r="915" customHeight="1" spans="1:17">
      <c r="A915" s="80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</row>
    <row r="916" customHeight="1" spans="1:17">
      <c r="A916" s="80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</row>
    <row r="917" customHeight="1" spans="1:17">
      <c r="A917" s="80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</row>
    <row r="918" customHeight="1" spans="1:17">
      <c r="A918" s="80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</row>
    <row r="919" customHeight="1" spans="1:17">
      <c r="A919" s="80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</row>
    <row r="920" customHeight="1" spans="1:17">
      <c r="A920" s="80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</row>
    <row r="921" customHeight="1" spans="1:17">
      <c r="A921" s="80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</row>
    <row r="922" customHeight="1" spans="1:17">
      <c r="A922" s="80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</row>
    <row r="923" customHeight="1" spans="1:17">
      <c r="A923" s="80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</row>
    <row r="924" customHeight="1" spans="1:17">
      <c r="A924" s="80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</row>
    <row r="925" customHeight="1" spans="1:17">
      <c r="A925" s="80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</row>
    <row r="926" customHeight="1" spans="1:17">
      <c r="A926" s="80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</row>
    <row r="927" customHeight="1" spans="1:17">
      <c r="A927" s="80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</row>
    <row r="928" customHeight="1" spans="1:17">
      <c r="A928" s="80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</row>
    <row r="929" customHeight="1" spans="1:17">
      <c r="A929" s="80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</row>
    <row r="930" customHeight="1" spans="1:17">
      <c r="A930" s="80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</row>
    <row r="931" customHeight="1" spans="1:17">
      <c r="A931" s="80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</row>
    <row r="932" customHeight="1" spans="1:17">
      <c r="A932" s="80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</row>
    <row r="933" customHeight="1" spans="1:17">
      <c r="A933" s="80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</row>
    <row r="934" customHeight="1" spans="1:17">
      <c r="A934" s="80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</row>
    <row r="935" customHeight="1" spans="1:17">
      <c r="A935" s="80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</row>
    <row r="936" customHeight="1" spans="1:17">
      <c r="A936" s="80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</row>
    <row r="937" customHeight="1" spans="1:17">
      <c r="A937" s="80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</row>
    <row r="938" customHeight="1" spans="1:17">
      <c r="A938" s="80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</row>
    <row r="939" customHeight="1" spans="1:17">
      <c r="A939" s="80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</row>
    <row r="940" customHeight="1" spans="1:17">
      <c r="A940" s="80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</row>
    <row r="941" customHeight="1" spans="1:17">
      <c r="A941" s="80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</row>
    <row r="942" customHeight="1" spans="1:17">
      <c r="A942" s="80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</row>
    <row r="943" customHeight="1" spans="1:17">
      <c r="A943" s="80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</row>
    <row r="944" customHeight="1" spans="1:17">
      <c r="A944" s="80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</row>
    <row r="945" customHeight="1" spans="1:17">
      <c r="A945" s="80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</row>
    <row r="946" customHeight="1" spans="1:17">
      <c r="A946" s="80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</row>
    <row r="947" customHeight="1" spans="1:17">
      <c r="A947" s="80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</row>
    <row r="948" customHeight="1" spans="1:17">
      <c r="A948" s="80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</row>
    <row r="949" customHeight="1" spans="1:17">
      <c r="A949" s="80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</row>
    <row r="950" customHeight="1" spans="1:17">
      <c r="A950" s="80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</row>
    <row r="951" customHeight="1" spans="1:17">
      <c r="A951" s="80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</row>
    <row r="952" customHeight="1" spans="1:17">
      <c r="A952" s="80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</row>
    <row r="953" customHeight="1" spans="1:17">
      <c r="A953" s="80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</row>
    <row r="954" customHeight="1" spans="1:17">
      <c r="A954" s="80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</row>
    <row r="955" customHeight="1" spans="1:17">
      <c r="A955" s="80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</row>
    <row r="956" customHeight="1" spans="1:17">
      <c r="A956" s="80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</row>
    <row r="957" customHeight="1" spans="1:17">
      <c r="A957" s="80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</row>
    <row r="958" customHeight="1" spans="1:17">
      <c r="A958" s="80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</row>
    <row r="959" customHeight="1" spans="1:17">
      <c r="A959" s="80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</row>
    <row r="960" customHeight="1" spans="1:17">
      <c r="A960" s="80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</row>
    <row r="961" customHeight="1" spans="1:17">
      <c r="A961" s="80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</row>
    <row r="962" customHeight="1" spans="1:17">
      <c r="A962" s="80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</row>
    <row r="963" customHeight="1" spans="1:17">
      <c r="A963" s="80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</row>
    <row r="964" customHeight="1" spans="1:17">
      <c r="A964" s="80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</row>
    <row r="965" customHeight="1" spans="1:17">
      <c r="A965" s="80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</row>
    <row r="966" customHeight="1" spans="1:17">
      <c r="A966" s="80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</row>
    <row r="967" customHeight="1" spans="1:17">
      <c r="A967" s="80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</row>
    <row r="968" customHeight="1" spans="1:17">
      <c r="A968" s="80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</row>
    <row r="969" customHeight="1" spans="1:17">
      <c r="A969" s="80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</row>
    <row r="970" customHeight="1" spans="1:17">
      <c r="A970" s="80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</row>
    <row r="971" customHeight="1" spans="1:17">
      <c r="A971" s="80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</row>
    <row r="972" customHeight="1" spans="1:17">
      <c r="A972" s="80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</row>
    <row r="973" customHeight="1" spans="1:17">
      <c r="A973" s="80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</row>
    <row r="974" customHeight="1" spans="1:17">
      <c r="A974" s="80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</row>
    <row r="975" customHeight="1" spans="1:17">
      <c r="A975" s="80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</row>
    <row r="976" customHeight="1" spans="1:17">
      <c r="A976" s="80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</row>
    <row r="977" customHeight="1" spans="1:17">
      <c r="A977" s="80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</row>
    <row r="978" customHeight="1" spans="1:17">
      <c r="A978" s="80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</row>
    <row r="979" customHeight="1" spans="1:17">
      <c r="A979" s="80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</row>
    <row r="980" customHeight="1" spans="1:17">
      <c r="A980" s="80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</row>
    <row r="981" customHeight="1" spans="1:17">
      <c r="A981" s="80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</row>
    <row r="982" customHeight="1" spans="1:17">
      <c r="A982" s="80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</row>
    <row r="983" customHeight="1" spans="1:17">
      <c r="A983" s="80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</row>
    <row r="984" customHeight="1" spans="1:17">
      <c r="A984" s="80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</row>
    <row r="985" customHeight="1" spans="1:17">
      <c r="A985" s="80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</row>
    <row r="986" customHeight="1" spans="1:17">
      <c r="A986" s="80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</row>
    <row r="987" customHeight="1" spans="1:17">
      <c r="A987" s="80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</row>
    <row r="988" customHeight="1" spans="1:17">
      <c r="A988" s="80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</row>
    <row r="989" customHeight="1" spans="1:17">
      <c r="A989" s="80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</row>
    <row r="990" customHeight="1" spans="1:17">
      <c r="A990" s="80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</row>
    <row r="991" customHeight="1" spans="1:17">
      <c r="A991" s="80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</row>
    <row r="992" customHeight="1" spans="1:17">
      <c r="A992" s="80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</row>
    <row r="993" customHeight="1" spans="1:17">
      <c r="A993" s="80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</row>
    <row r="994" customHeight="1" spans="1:17">
      <c r="A994" s="80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</row>
    <row r="995" customHeight="1" spans="1:17">
      <c r="A995" s="80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</row>
    <row r="996" customHeight="1" spans="1:17">
      <c r="A996" s="80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</row>
    <row r="997" customHeight="1" spans="1:17">
      <c r="A997" s="80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</row>
    <row r="998" customHeight="1" spans="1:17">
      <c r="A998" s="80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</row>
    <row r="999" customHeight="1" spans="1:17">
      <c r="A999" s="80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</row>
    <row r="1000" customHeight="1" spans="1:17">
      <c r="A1000" s="80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</row>
    <row r="1001" customHeight="1" spans="1:17">
      <c r="A1001" s="80"/>
      <c r="B1001" s="81"/>
      <c r="C1001" s="81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</row>
    <row r="1002" customHeight="1" spans="1:17">
      <c r="A1002" s="80"/>
      <c r="B1002" s="81"/>
      <c r="C1002" s="81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</row>
    <row r="1003" customHeight="1" spans="1:17">
      <c r="A1003" s="80"/>
      <c r="B1003" s="81"/>
      <c r="C1003" s="81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</row>
    <row r="1004" customHeight="1" spans="1:17">
      <c r="A1004" s="80"/>
      <c r="B1004" s="81"/>
      <c r="C1004" s="81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</row>
    <row r="1005" customHeight="1" spans="1:17">
      <c r="A1005" s="80"/>
      <c r="B1005" s="81"/>
      <c r="C1005" s="81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</row>
    <row r="1006" customHeight="1" spans="1:17">
      <c r="A1006" s="80"/>
      <c r="B1006" s="81"/>
      <c r="C1006" s="81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</row>
    <row r="1007" customHeight="1" spans="1:17">
      <c r="A1007" s="80"/>
      <c r="B1007" s="81"/>
      <c r="C1007" s="81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</row>
    <row r="1008" customHeight="1" spans="1:17">
      <c r="A1008" s="80"/>
      <c r="B1008" s="81"/>
      <c r="C1008" s="81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</row>
    <row r="1009" customHeight="1" spans="1:17">
      <c r="A1009" s="80"/>
      <c r="B1009" s="81"/>
      <c r="C1009" s="81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</row>
    <row r="1010" customHeight="1" spans="1:17">
      <c r="A1010" s="80"/>
      <c r="B1010" s="81"/>
      <c r="C1010" s="81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</row>
    <row r="1011" customHeight="1" spans="1:17">
      <c r="A1011" s="80"/>
      <c r="B1011" s="81"/>
      <c r="C1011" s="81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</row>
    <row r="1012" customHeight="1" spans="1:17">
      <c r="A1012" s="80"/>
      <c r="B1012" s="81"/>
      <c r="C1012" s="81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</row>
    <row r="1013" customHeight="1" spans="1:17">
      <c r="A1013" s="80"/>
      <c r="B1013" s="81"/>
      <c r="C1013" s="81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</row>
    <row r="1014" customHeight="1" spans="1:17">
      <c r="A1014" s="80"/>
      <c r="B1014" s="81"/>
      <c r="C1014" s="81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</row>
    <row r="1015" customHeight="1" spans="1:17">
      <c r="A1015" s="80"/>
      <c r="B1015" s="81"/>
      <c r="C1015" s="81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</row>
    <row r="1016" customHeight="1" spans="1:17">
      <c r="A1016" s="80"/>
      <c r="B1016" s="81"/>
      <c r="C1016" s="81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</row>
    <row r="1017" customHeight="1" spans="1:17">
      <c r="A1017" s="80"/>
      <c r="B1017" s="81"/>
      <c r="C1017" s="81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</row>
    <row r="1018" customHeight="1" spans="1:17">
      <c r="A1018" s="80"/>
      <c r="B1018" s="81"/>
      <c r="C1018" s="81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</row>
    <row r="1019" customHeight="1" spans="1:17">
      <c r="A1019" s="80"/>
      <c r="B1019" s="81"/>
      <c r="C1019" s="81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</row>
    <row r="1020" customHeight="1" spans="1:17">
      <c r="A1020" s="80"/>
      <c r="B1020" s="81"/>
      <c r="C1020" s="81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</row>
    <row r="1021" customHeight="1" spans="1:17">
      <c r="A1021" s="80"/>
      <c r="B1021" s="81"/>
      <c r="C1021" s="81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</row>
    <row r="1022" customHeight="1" spans="1:17">
      <c r="A1022" s="80"/>
      <c r="B1022" s="81"/>
      <c r="C1022" s="81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</row>
    <row r="1023" customHeight="1" spans="1:17">
      <c r="A1023" s="80"/>
      <c r="B1023" s="81"/>
      <c r="C1023" s="81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</row>
    <row r="1024" customHeight="1" spans="1:17">
      <c r="A1024" s="80"/>
      <c r="B1024" s="81"/>
      <c r="C1024" s="81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</row>
    <row r="1025" customHeight="1" spans="1:17">
      <c r="A1025" s="80"/>
      <c r="B1025" s="81"/>
      <c r="C1025" s="81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</row>
    <row r="1026" customHeight="1" spans="1:17">
      <c r="A1026" s="80"/>
      <c r="B1026" s="81"/>
      <c r="C1026" s="81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</row>
    <row r="1027" customHeight="1" spans="1:17">
      <c r="A1027" s="80"/>
      <c r="B1027" s="81"/>
      <c r="C1027" s="81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</row>
    <row r="1028" customHeight="1" spans="1:17">
      <c r="A1028" s="80"/>
      <c r="B1028" s="81"/>
      <c r="C1028" s="81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</row>
    <row r="1029" customHeight="1" spans="1:17">
      <c r="A1029" s="80"/>
      <c r="B1029" s="81"/>
      <c r="C1029" s="81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</row>
    <row r="1030" customHeight="1" spans="1:17">
      <c r="A1030" s="80"/>
      <c r="B1030" s="81"/>
      <c r="C1030" s="81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</row>
    <row r="1031" customHeight="1" spans="1:17">
      <c r="A1031" s="80"/>
      <c r="B1031" s="81"/>
      <c r="C1031" s="81"/>
      <c r="D1031" s="81"/>
      <c r="E1031" s="81"/>
      <c r="F1031" s="81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</row>
    <row r="1032" customHeight="1" spans="1:17">
      <c r="A1032" s="80"/>
      <c r="B1032" s="81"/>
      <c r="C1032" s="81"/>
      <c r="D1032" s="81"/>
      <c r="E1032" s="81"/>
      <c r="F1032" s="81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</row>
    <row r="1033" customHeight="1" spans="1:17">
      <c r="A1033" s="80"/>
      <c r="B1033" s="81"/>
      <c r="C1033" s="81"/>
      <c r="D1033" s="81"/>
      <c r="E1033" s="81"/>
      <c r="F1033" s="81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</row>
    <row r="1034" customHeight="1" spans="1:17">
      <c r="A1034" s="80"/>
      <c r="B1034" s="81"/>
      <c r="C1034" s="81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</row>
    <row r="1035" customHeight="1" spans="1:17">
      <c r="A1035" s="80"/>
      <c r="B1035" s="81"/>
      <c r="C1035" s="81"/>
      <c r="D1035" s="81"/>
      <c r="E1035" s="81"/>
      <c r="F1035" s="81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</row>
    <row r="1036" customHeight="1" spans="1:17">
      <c r="A1036" s="80"/>
      <c r="B1036" s="81"/>
      <c r="C1036" s="81"/>
      <c r="D1036" s="81"/>
      <c r="E1036" s="81"/>
      <c r="F1036" s="81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</row>
    <row r="1037" customHeight="1" spans="1:17">
      <c r="A1037" s="80"/>
      <c r="B1037" s="81"/>
      <c r="C1037" s="81"/>
      <c r="D1037" s="81"/>
      <c r="E1037" s="81"/>
      <c r="F1037" s="81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</row>
    <row r="1038" customHeight="1" spans="1:17">
      <c r="A1038" s="80"/>
      <c r="B1038" s="81"/>
      <c r="C1038" s="81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</row>
    <row r="1039" customHeight="1" spans="1:17">
      <c r="A1039" s="80"/>
      <c r="B1039" s="81"/>
      <c r="C1039" s="81"/>
      <c r="D1039" s="81"/>
      <c r="E1039" s="81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</row>
    <row r="1040" customHeight="1" spans="1:17">
      <c r="A1040" s="80"/>
      <c r="B1040" s="81"/>
      <c r="C1040" s="81"/>
      <c r="D1040" s="81"/>
      <c r="E1040" s="81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</row>
    <row r="1041" customHeight="1" spans="1:17">
      <c r="A1041" s="80"/>
      <c r="B1041" s="81"/>
      <c r="C1041" s="81"/>
      <c r="D1041" s="81"/>
      <c r="E1041" s="81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</row>
    <row r="1042" customHeight="1" spans="1:17">
      <c r="A1042" s="80"/>
      <c r="B1042" s="81"/>
      <c r="C1042" s="81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</row>
    <row r="1043" customHeight="1" spans="1:17">
      <c r="A1043" s="80"/>
      <c r="B1043" s="81"/>
      <c r="C1043" s="81"/>
      <c r="D1043" s="81"/>
      <c r="E1043" s="81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</row>
    <row r="1044" customHeight="1" spans="1:17">
      <c r="A1044" s="80"/>
      <c r="B1044" s="81"/>
      <c r="C1044" s="81"/>
      <c r="D1044" s="81"/>
      <c r="E1044" s="81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</row>
    <row r="1045" customHeight="1" spans="1:17">
      <c r="A1045" s="80"/>
      <c r="B1045" s="81"/>
      <c r="C1045" s="81"/>
      <c r="D1045" s="81"/>
      <c r="E1045" s="81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</row>
    <row r="1046" customHeight="1" spans="1:17">
      <c r="A1046" s="80"/>
      <c r="B1046" s="81"/>
      <c r="C1046" s="81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</row>
    <row r="1047" customHeight="1" spans="1:17">
      <c r="A1047" s="80"/>
      <c r="B1047" s="81"/>
      <c r="C1047" s="81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</row>
    <row r="1048" customHeight="1" spans="1:17">
      <c r="A1048" s="80"/>
      <c r="B1048" s="81"/>
      <c r="C1048" s="81"/>
      <c r="D1048" s="81"/>
      <c r="E1048" s="81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</row>
    <row r="1049" customHeight="1" spans="1:17">
      <c r="A1049" s="80"/>
      <c r="B1049" s="81"/>
      <c r="C1049" s="81"/>
      <c r="D1049" s="81"/>
      <c r="E1049" s="81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</row>
    <row r="1050" customHeight="1" spans="1:17">
      <c r="A1050" s="80"/>
      <c r="B1050" s="81"/>
      <c r="C1050" s="81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</row>
    <row r="1051" customHeight="1" spans="1:17">
      <c r="A1051" s="80"/>
      <c r="B1051" s="81"/>
      <c r="C1051" s="81"/>
      <c r="D1051" s="81"/>
      <c r="E1051" s="81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</row>
    <row r="1052" customHeight="1" spans="1:17">
      <c r="A1052" s="80"/>
      <c r="B1052" s="81"/>
      <c r="C1052" s="81"/>
      <c r="D1052" s="81"/>
      <c r="E1052" s="81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</row>
    <row r="1053" customHeight="1" spans="1:17">
      <c r="A1053" s="80"/>
      <c r="B1053" s="81"/>
      <c r="C1053" s="81"/>
      <c r="D1053" s="81"/>
      <c r="E1053" s="81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</row>
    <row r="1054" customHeight="1" spans="1:17">
      <c r="A1054" s="80"/>
      <c r="B1054" s="81"/>
      <c r="C1054" s="81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</row>
    <row r="1055" customHeight="1" spans="1:17">
      <c r="A1055" s="80"/>
      <c r="B1055" s="81"/>
      <c r="C1055" s="81"/>
      <c r="D1055" s="81"/>
      <c r="E1055" s="81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</row>
    <row r="1056" customHeight="1" spans="1:17">
      <c r="A1056" s="80"/>
      <c r="B1056" s="81"/>
      <c r="C1056" s="81"/>
      <c r="D1056" s="81"/>
      <c r="E1056" s="81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</row>
    <row r="1057" customHeight="1" spans="1:17">
      <c r="A1057" s="80"/>
      <c r="B1057" s="81"/>
      <c r="C1057" s="81"/>
      <c r="D1057" s="81"/>
      <c r="E1057" s="81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</row>
    <row r="1058" customHeight="1" spans="1:17">
      <c r="A1058" s="80"/>
      <c r="B1058" s="81"/>
      <c r="C1058" s="81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</row>
    <row r="1059" customHeight="1" spans="1:17">
      <c r="A1059" s="80"/>
      <c r="B1059" s="81"/>
      <c r="C1059" s="81"/>
      <c r="D1059" s="81"/>
      <c r="E1059" s="81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</row>
    <row r="1060" customHeight="1" spans="1:17">
      <c r="A1060" s="80"/>
      <c r="B1060" s="81"/>
      <c r="C1060" s="81"/>
      <c r="D1060" s="81"/>
      <c r="E1060" s="81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</row>
    <row r="1061" customHeight="1" spans="1:17">
      <c r="A1061" s="80"/>
      <c r="B1061" s="81"/>
      <c r="C1061" s="81"/>
      <c r="D1061" s="81"/>
      <c r="E1061" s="81"/>
      <c r="F1061" s="81"/>
      <c r="G1061" s="81"/>
      <c r="H1061" s="81"/>
      <c r="I1061" s="81"/>
      <c r="J1061" s="81"/>
      <c r="K1061" s="81"/>
      <c r="L1061" s="81"/>
      <c r="M1061" s="81"/>
      <c r="N1061" s="81"/>
      <c r="O1061" s="81"/>
      <c r="P1061" s="81"/>
      <c r="Q1061" s="81"/>
    </row>
    <row r="1062" customHeight="1" spans="1:17">
      <c r="A1062" s="80"/>
      <c r="B1062" s="81"/>
      <c r="C1062" s="81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</row>
    <row r="1063" customHeight="1" spans="1:17">
      <c r="A1063" s="80"/>
      <c r="B1063" s="81"/>
      <c r="C1063" s="81"/>
      <c r="D1063" s="81"/>
      <c r="E1063" s="81"/>
      <c r="F1063" s="81"/>
      <c r="G1063" s="81"/>
      <c r="H1063" s="81"/>
      <c r="I1063" s="81"/>
      <c r="J1063" s="81"/>
      <c r="K1063" s="81"/>
      <c r="L1063" s="81"/>
      <c r="M1063" s="81"/>
      <c r="N1063" s="81"/>
      <c r="O1063" s="81"/>
      <c r="P1063" s="81"/>
      <c r="Q1063" s="81"/>
    </row>
    <row r="1064" customHeight="1" spans="1:17">
      <c r="A1064" s="80"/>
      <c r="B1064" s="81"/>
      <c r="C1064" s="81"/>
      <c r="D1064" s="81"/>
      <c r="E1064" s="81"/>
      <c r="F1064" s="81"/>
      <c r="G1064" s="81"/>
      <c r="H1064" s="81"/>
      <c r="I1064" s="81"/>
      <c r="J1064" s="81"/>
      <c r="K1064" s="81"/>
      <c r="L1064" s="81"/>
      <c r="M1064" s="81"/>
      <c r="N1064" s="81"/>
      <c r="O1064" s="81"/>
      <c r="P1064" s="81"/>
      <c r="Q1064" s="81"/>
    </row>
    <row r="1065" customHeight="1" spans="1:17">
      <c r="A1065" s="80"/>
      <c r="B1065" s="81"/>
      <c r="C1065" s="81"/>
      <c r="D1065" s="81"/>
      <c r="E1065" s="81"/>
      <c r="F1065" s="81"/>
      <c r="G1065" s="81"/>
      <c r="H1065" s="81"/>
      <c r="I1065" s="81"/>
      <c r="J1065" s="81"/>
      <c r="K1065" s="81"/>
      <c r="L1065" s="81"/>
      <c r="M1065" s="81"/>
      <c r="N1065" s="81"/>
      <c r="O1065" s="81"/>
      <c r="P1065" s="81"/>
      <c r="Q1065" s="81"/>
    </row>
    <row r="1066" customHeight="1" spans="1:17">
      <c r="A1066" s="80"/>
      <c r="B1066" s="81"/>
      <c r="C1066" s="81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</row>
    <row r="1067" customHeight="1" spans="1:17">
      <c r="A1067" s="80"/>
      <c r="B1067" s="81"/>
      <c r="C1067" s="81"/>
      <c r="D1067" s="81"/>
      <c r="E1067" s="81"/>
      <c r="F1067" s="81"/>
      <c r="G1067" s="81"/>
      <c r="H1067" s="81"/>
      <c r="I1067" s="81"/>
      <c r="J1067" s="81"/>
      <c r="K1067" s="81"/>
      <c r="L1067" s="81"/>
      <c r="M1067" s="81"/>
      <c r="N1067" s="81"/>
      <c r="O1067" s="81"/>
      <c r="P1067" s="81"/>
      <c r="Q1067" s="81"/>
    </row>
    <row r="1068" customHeight="1" spans="1:17">
      <c r="A1068" s="80"/>
      <c r="B1068" s="81"/>
      <c r="C1068" s="81"/>
      <c r="D1068" s="81"/>
      <c r="E1068" s="81"/>
      <c r="F1068" s="81"/>
      <c r="G1068" s="81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</row>
    <row r="1069" customHeight="1" spans="1:17">
      <c r="A1069" s="80"/>
      <c r="B1069" s="81"/>
      <c r="C1069" s="81"/>
      <c r="D1069" s="81"/>
      <c r="E1069" s="81"/>
      <c r="F1069" s="81"/>
      <c r="G1069" s="81"/>
      <c r="H1069" s="81"/>
      <c r="I1069" s="81"/>
      <c r="J1069" s="81"/>
      <c r="K1069" s="81"/>
      <c r="L1069" s="81"/>
      <c r="M1069" s="81"/>
      <c r="N1069" s="81"/>
      <c r="O1069" s="81"/>
      <c r="P1069" s="81"/>
      <c r="Q1069" s="81"/>
    </row>
    <row r="1070" customHeight="1" spans="1:17">
      <c r="A1070" s="80"/>
      <c r="B1070" s="81"/>
      <c r="C1070" s="81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</row>
    <row r="1071" customHeight="1" spans="1:17">
      <c r="A1071" s="80"/>
      <c r="B1071" s="81"/>
      <c r="C1071" s="81"/>
      <c r="D1071" s="81"/>
      <c r="E1071" s="81"/>
      <c r="F1071" s="81"/>
      <c r="G1071" s="81"/>
      <c r="H1071" s="81"/>
      <c r="I1071" s="81"/>
      <c r="J1071" s="81"/>
      <c r="K1071" s="81"/>
      <c r="L1071" s="81"/>
      <c r="M1071" s="81"/>
      <c r="N1071" s="81"/>
      <c r="O1071" s="81"/>
      <c r="P1071" s="81"/>
      <c r="Q1071" s="81"/>
    </row>
    <row r="1072" customHeight="1" spans="1:17">
      <c r="A1072" s="80"/>
      <c r="B1072" s="81"/>
      <c r="C1072" s="81"/>
      <c r="D1072" s="81"/>
      <c r="E1072" s="81"/>
      <c r="F1072" s="81"/>
      <c r="G1072" s="81"/>
      <c r="H1072" s="81"/>
      <c r="I1072" s="81"/>
      <c r="J1072" s="81"/>
      <c r="K1072" s="81"/>
      <c r="L1072" s="81"/>
      <c r="M1072" s="81"/>
      <c r="N1072" s="81"/>
      <c r="O1072" s="81"/>
      <c r="P1072" s="81"/>
      <c r="Q1072" s="81"/>
    </row>
    <row r="1073" customHeight="1" spans="1:17">
      <c r="A1073" s="80"/>
      <c r="B1073" s="81"/>
      <c r="C1073" s="81"/>
      <c r="D1073" s="81"/>
      <c r="E1073" s="81"/>
      <c r="F1073" s="81"/>
      <c r="G1073" s="81"/>
      <c r="H1073" s="81"/>
      <c r="I1073" s="81"/>
      <c r="J1073" s="81"/>
      <c r="K1073" s="81"/>
      <c r="L1073" s="81"/>
      <c r="M1073" s="81"/>
      <c r="N1073" s="81"/>
      <c r="O1073" s="81"/>
      <c r="P1073" s="81"/>
      <c r="Q1073" s="81"/>
    </row>
    <row r="1074" customHeight="1" spans="1:17">
      <c r="A1074" s="80"/>
      <c r="B1074" s="81"/>
      <c r="C1074" s="81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</row>
    <row r="1075" customHeight="1" spans="1:17">
      <c r="A1075" s="80"/>
      <c r="B1075" s="81"/>
      <c r="C1075" s="81"/>
      <c r="D1075" s="81"/>
      <c r="E1075" s="81"/>
      <c r="F1075" s="81"/>
      <c r="G1075" s="81"/>
      <c r="H1075" s="81"/>
      <c r="I1075" s="81"/>
      <c r="J1075" s="81"/>
      <c r="K1075" s="81"/>
      <c r="L1075" s="81"/>
      <c r="M1075" s="81"/>
      <c r="N1075" s="81"/>
      <c r="O1075" s="81"/>
      <c r="P1075" s="81"/>
      <c r="Q1075" s="81"/>
    </row>
    <row r="1076" customHeight="1" spans="1:17">
      <c r="A1076" s="80"/>
      <c r="B1076" s="81"/>
      <c r="C1076" s="81"/>
      <c r="D1076" s="81"/>
      <c r="E1076" s="81"/>
      <c r="F1076" s="81"/>
      <c r="G1076" s="81"/>
      <c r="H1076" s="81"/>
      <c r="I1076" s="81"/>
      <c r="J1076" s="81"/>
      <c r="K1076" s="81"/>
      <c r="L1076" s="81"/>
      <c r="M1076" s="81"/>
      <c r="N1076" s="81"/>
      <c r="O1076" s="81"/>
      <c r="P1076" s="81"/>
      <c r="Q1076" s="81"/>
    </row>
    <row r="1077" customHeight="1" spans="1:17">
      <c r="A1077" s="80"/>
      <c r="B1077" s="81"/>
      <c r="C1077" s="81"/>
      <c r="D1077" s="81"/>
      <c r="E1077" s="81"/>
      <c r="F1077" s="81"/>
      <c r="G1077" s="81"/>
      <c r="H1077" s="81"/>
      <c r="I1077" s="81"/>
      <c r="J1077" s="81"/>
      <c r="K1077" s="81"/>
      <c r="L1077" s="81"/>
      <c r="M1077" s="81"/>
      <c r="N1077" s="81"/>
      <c r="O1077" s="81"/>
      <c r="P1077" s="81"/>
      <c r="Q1077" s="81"/>
    </row>
    <row r="1078" customHeight="1" spans="1:17">
      <c r="A1078" s="80"/>
      <c r="B1078" s="81"/>
      <c r="C1078" s="81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</row>
    <row r="1079" customHeight="1" spans="1:17">
      <c r="A1079" s="80"/>
      <c r="B1079" s="81"/>
      <c r="C1079" s="81"/>
      <c r="D1079" s="81"/>
      <c r="E1079" s="81"/>
      <c r="F1079" s="81"/>
      <c r="G1079" s="81"/>
      <c r="H1079" s="81"/>
      <c r="I1079" s="81"/>
      <c r="J1079" s="81"/>
      <c r="K1079" s="81"/>
      <c r="L1079" s="81"/>
      <c r="M1079" s="81"/>
      <c r="N1079" s="81"/>
      <c r="O1079" s="81"/>
      <c r="P1079" s="81"/>
      <c r="Q1079" s="81"/>
    </row>
    <row r="1080" customHeight="1" spans="1:17">
      <c r="A1080" s="80"/>
      <c r="B1080" s="81"/>
      <c r="C1080" s="81"/>
      <c r="D1080" s="81"/>
      <c r="E1080" s="81"/>
      <c r="F1080" s="81"/>
      <c r="G1080" s="81"/>
      <c r="H1080" s="81"/>
      <c r="I1080" s="81"/>
      <c r="J1080" s="81"/>
      <c r="K1080" s="81"/>
      <c r="L1080" s="81"/>
      <c r="M1080" s="81"/>
      <c r="N1080" s="81"/>
      <c r="O1080" s="81"/>
      <c r="P1080" s="81"/>
      <c r="Q1080" s="81"/>
    </row>
    <row r="1081" customHeight="1" spans="1:17">
      <c r="A1081" s="80"/>
      <c r="B1081" s="81"/>
      <c r="C1081" s="81"/>
      <c r="D1081" s="81"/>
      <c r="E1081" s="81"/>
      <c r="F1081" s="81"/>
      <c r="G1081" s="81"/>
      <c r="H1081" s="81"/>
      <c r="I1081" s="81"/>
      <c r="J1081" s="81"/>
      <c r="K1081" s="81"/>
      <c r="L1081" s="81"/>
      <c r="M1081" s="81"/>
      <c r="N1081" s="81"/>
      <c r="O1081" s="81"/>
      <c r="P1081" s="81"/>
      <c r="Q1081" s="81"/>
    </row>
    <row r="1082" customHeight="1" spans="1:17">
      <c r="A1082" s="80"/>
      <c r="B1082" s="81"/>
      <c r="C1082" s="81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</row>
    <row r="1083" customHeight="1" spans="1:17">
      <c r="A1083" s="80"/>
      <c r="B1083" s="81"/>
      <c r="C1083" s="81"/>
      <c r="D1083" s="81"/>
      <c r="E1083" s="81"/>
      <c r="F1083" s="81"/>
      <c r="G1083" s="81"/>
      <c r="H1083" s="81"/>
      <c r="I1083" s="81"/>
      <c r="J1083" s="81"/>
      <c r="K1083" s="81"/>
      <c r="L1083" s="81"/>
      <c r="M1083" s="81"/>
      <c r="N1083" s="81"/>
      <c r="O1083" s="81"/>
      <c r="P1083" s="81"/>
      <c r="Q1083" s="81"/>
    </row>
    <row r="1084" customHeight="1" spans="1:17">
      <c r="A1084" s="80"/>
      <c r="B1084" s="81"/>
      <c r="C1084" s="81"/>
      <c r="D1084" s="81"/>
      <c r="E1084" s="81"/>
      <c r="F1084" s="81"/>
      <c r="G1084" s="81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</row>
    <row r="1085" customHeight="1" spans="1:17">
      <c r="A1085" s="80"/>
      <c r="B1085" s="81"/>
      <c r="C1085" s="81"/>
      <c r="D1085" s="81"/>
      <c r="E1085" s="81"/>
      <c r="F1085" s="81"/>
      <c r="G1085" s="81"/>
      <c r="H1085" s="81"/>
      <c r="I1085" s="81"/>
      <c r="J1085" s="81"/>
      <c r="K1085" s="81"/>
      <c r="L1085" s="81"/>
      <c r="M1085" s="81"/>
      <c r="N1085" s="81"/>
      <c r="O1085" s="81"/>
      <c r="P1085" s="81"/>
      <c r="Q1085" s="81"/>
    </row>
    <row r="1086" customHeight="1" spans="1:17">
      <c r="A1086" s="80"/>
      <c r="B1086" s="81"/>
      <c r="C1086" s="81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</row>
    <row r="1087" customHeight="1" spans="1:17">
      <c r="A1087" s="80"/>
      <c r="B1087" s="81"/>
      <c r="C1087" s="81"/>
      <c r="D1087" s="81"/>
      <c r="E1087" s="81"/>
      <c r="F1087" s="81"/>
      <c r="G1087" s="81"/>
      <c r="H1087" s="81"/>
      <c r="I1087" s="81"/>
      <c r="J1087" s="81"/>
      <c r="K1087" s="81"/>
      <c r="L1087" s="81"/>
      <c r="M1087" s="81"/>
      <c r="N1087" s="81"/>
      <c r="O1087" s="81"/>
      <c r="P1087" s="81"/>
      <c r="Q1087" s="81"/>
    </row>
    <row r="1088" customHeight="1" spans="1:17">
      <c r="A1088" s="80"/>
      <c r="B1088" s="81"/>
      <c r="C1088" s="81"/>
      <c r="D1088" s="81"/>
      <c r="E1088" s="81"/>
      <c r="F1088" s="81"/>
      <c r="G1088" s="81"/>
      <c r="H1088" s="81"/>
      <c r="I1088" s="81"/>
      <c r="J1088" s="81"/>
      <c r="K1088" s="81"/>
      <c r="L1088" s="81"/>
      <c r="M1088" s="81"/>
      <c r="N1088" s="81"/>
      <c r="O1088" s="81"/>
      <c r="P1088" s="81"/>
      <c r="Q1088" s="81"/>
    </row>
    <row r="1089" customHeight="1" spans="1:17">
      <c r="A1089" s="80"/>
      <c r="B1089" s="81"/>
      <c r="C1089" s="81"/>
      <c r="D1089" s="81"/>
      <c r="E1089" s="81"/>
      <c r="F1089" s="81"/>
      <c r="G1089" s="81"/>
      <c r="H1089" s="81"/>
      <c r="I1089" s="81"/>
      <c r="J1089" s="81"/>
      <c r="K1089" s="81"/>
      <c r="L1089" s="81"/>
      <c r="M1089" s="81"/>
      <c r="N1089" s="81"/>
      <c r="O1089" s="81"/>
      <c r="P1089" s="81"/>
      <c r="Q1089" s="81"/>
    </row>
    <row r="1090" customHeight="1" spans="1:17">
      <c r="A1090" s="80"/>
      <c r="B1090" s="81"/>
      <c r="C1090" s="81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</row>
    <row r="1091" customHeight="1" spans="1:17">
      <c r="A1091" s="80"/>
      <c r="B1091" s="81"/>
      <c r="C1091" s="81"/>
      <c r="D1091" s="81"/>
      <c r="E1091" s="81"/>
      <c r="F1091" s="81"/>
      <c r="G1091" s="81"/>
      <c r="H1091" s="81"/>
      <c r="I1091" s="81"/>
      <c r="J1091" s="81"/>
      <c r="K1091" s="81"/>
      <c r="L1091" s="81"/>
      <c r="M1091" s="81"/>
      <c r="N1091" s="81"/>
      <c r="O1091" s="81"/>
      <c r="P1091" s="81"/>
      <c r="Q1091" s="81"/>
    </row>
    <row r="1092" customHeight="1" spans="1:17">
      <c r="A1092" s="80"/>
      <c r="B1092" s="81"/>
      <c r="C1092" s="81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  <c r="O1092" s="81"/>
      <c r="P1092" s="81"/>
      <c r="Q1092" s="81"/>
    </row>
    <row r="1093" customHeight="1" spans="1:17">
      <c r="A1093" s="80"/>
      <c r="B1093" s="81"/>
      <c r="C1093" s="81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  <c r="O1093" s="81"/>
      <c r="P1093" s="81"/>
      <c r="Q1093" s="81"/>
    </row>
    <row r="1094" customHeight="1" spans="1:17">
      <c r="A1094" s="80"/>
      <c r="B1094" s="81"/>
      <c r="C1094" s="81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</row>
    <row r="1095" customHeight="1" spans="1:17">
      <c r="A1095" s="80"/>
      <c r="B1095" s="81"/>
      <c r="C1095" s="81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  <c r="O1095" s="81"/>
      <c r="P1095" s="81"/>
      <c r="Q1095" s="81"/>
    </row>
    <row r="1096" customHeight="1" spans="1:17">
      <c r="A1096" s="80"/>
      <c r="B1096" s="81"/>
      <c r="C1096" s="81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  <c r="O1096" s="81"/>
      <c r="P1096" s="81"/>
      <c r="Q1096" s="81"/>
    </row>
    <row r="1097" customHeight="1" spans="1:17">
      <c r="A1097" s="80"/>
      <c r="B1097" s="81"/>
      <c r="C1097" s="81"/>
      <c r="D1097" s="81"/>
      <c r="E1097" s="81"/>
      <c r="F1097" s="81"/>
      <c r="G1097" s="81"/>
      <c r="H1097" s="81"/>
      <c r="I1097" s="81"/>
      <c r="J1097" s="81"/>
      <c r="K1097" s="81"/>
      <c r="L1097" s="81"/>
      <c r="M1097" s="81"/>
      <c r="N1097" s="81"/>
      <c r="O1097" s="81"/>
      <c r="P1097" s="81"/>
      <c r="Q1097" s="81"/>
    </row>
    <row r="1098" customHeight="1" spans="1:17">
      <c r="A1098" s="80"/>
      <c r="B1098" s="81"/>
      <c r="C1098" s="81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</row>
    <row r="1099" customHeight="1" spans="1:17">
      <c r="A1099" s="80"/>
      <c r="B1099" s="81"/>
      <c r="C1099" s="81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</row>
    <row r="1100" customHeight="1" spans="1:17">
      <c r="A1100" s="80"/>
      <c r="B1100" s="81"/>
      <c r="C1100" s="81"/>
      <c r="D1100" s="81"/>
      <c r="E1100" s="81"/>
      <c r="F1100" s="81"/>
      <c r="G1100" s="81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</row>
    <row r="1101" customHeight="1" spans="1:17">
      <c r="A1101" s="80"/>
      <c r="B1101" s="81"/>
      <c r="C1101" s="81"/>
      <c r="D1101" s="81"/>
      <c r="E1101" s="81"/>
      <c r="F1101" s="81"/>
      <c r="G1101" s="81"/>
      <c r="H1101" s="81"/>
      <c r="I1101" s="81"/>
      <c r="J1101" s="81"/>
      <c r="K1101" s="81"/>
      <c r="L1101" s="81"/>
      <c r="M1101" s="81"/>
      <c r="N1101" s="81"/>
      <c r="O1101" s="81"/>
      <c r="P1101" s="81"/>
      <c r="Q1101" s="81"/>
    </row>
    <row r="1102" customHeight="1" spans="1:17">
      <c r="A1102" s="80"/>
      <c r="B1102" s="81"/>
      <c r="C1102" s="81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</row>
    <row r="1103" customHeight="1" spans="1:17">
      <c r="A1103" s="80"/>
      <c r="B1103" s="81"/>
      <c r="C1103" s="81"/>
      <c r="D1103" s="81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</row>
    <row r="1104" customHeight="1" spans="1:17">
      <c r="A1104" s="80"/>
      <c r="B1104" s="81"/>
      <c r="C1104" s="81"/>
      <c r="D1104" s="81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</row>
    <row r="1105" customHeight="1" spans="1:17">
      <c r="A1105" s="80"/>
      <c r="B1105" s="81"/>
      <c r="C1105" s="81"/>
      <c r="D1105" s="81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</row>
    <row r="1106" customHeight="1" spans="1:17">
      <c r="A1106" s="80"/>
      <c r="B1106" s="81"/>
      <c r="C1106" s="81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</row>
    <row r="1107" customHeight="1" spans="1:17">
      <c r="A1107" s="80"/>
      <c r="B1107" s="81"/>
      <c r="C1107" s="81"/>
      <c r="D1107" s="81"/>
      <c r="E1107" s="81"/>
      <c r="F1107" s="81"/>
      <c r="G1107" s="81"/>
      <c r="H1107" s="81"/>
      <c r="I1107" s="81"/>
      <c r="J1107" s="81"/>
      <c r="K1107" s="81"/>
      <c r="L1107" s="81"/>
      <c r="M1107" s="81"/>
      <c r="N1107" s="81"/>
      <c r="O1107" s="81"/>
      <c r="P1107" s="81"/>
      <c r="Q1107" s="81"/>
    </row>
    <row r="1108" customHeight="1" spans="1:17">
      <c r="A1108" s="80"/>
      <c r="B1108" s="81"/>
      <c r="C1108" s="81"/>
      <c r="D1108" s="81"/>
      <c r="E1108" s="81"/>
      <c r="F1108" s="81"/>
      <c r="G1108" s="81"/>
      <c r="H1108" s="81"/>
      <c r="I1108" s="81"/>
      <c r="J1108" s="81"/>
      <c r="K1108" s="81"/>
      <c r="L1108" s="81"/>
      <c r="M1108" s="81"/>
      <c r="N1108" s="81"/>
      <c r="O1108" s="81"/>
      <c r="P1108" s="81"/>
      <c r="Q1108" s="81"/>
    </row>
    <row r="1109" customHeight="1" spans="1:17">
      <c r="A1109" s="80"/>
      <c r="B1109" s="81"/>
      <c r="C1109" s="81"/>
      <c r="D1109" s="81"/>
      <c r="E1109" s="81"/>
      <c r="F1109" s="81"/>
      <c r="G1109" s="81"/>
      <c r="H1109" s="81"/>
      <c r="I1109" s="81"/>
      <c r="J1109" s="81"/>
      <c r="K1109" s="81"/>
      <c r="L1109" s="81"/>
      <c r="M1109" s="81"/>
      <c r="N1109" s="81"/>
      <c r="O1109" s="81"/>
      <c r="P1109" s="81"/>
      <c r="Q1109" s="81"/>
    </row>
    <row r="1110" customHeight="1" spans="1:17">
      <c r="A1110" s="80"/>
      <c r="B1110" s="81"/>
      <c r="C1110" s="81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</row>
    <row r="1111" customHeight="1" spans="1:17">
      <c r="A1111" s="80"/>
      <c r="B1111" s="81"/>
      <c r="C1111" s="81"/>
      <c r="D1111" s="81"/>
      <c r="E1111" s="81"/>
      <c r="F1111" s="81"/>
      <c r="G1111" s="81"/>
      <c r="H1111" s="81"/>
      <c r="I1111" s="81"/>
      <c r="J1111" s="81"/>
      <c r="K1111" s="81"/>
      <c r="L1111" s="81"/>
      <c r="M1111" s="81"/>
      <c r="N1111" s="81"/>
      <c r="O1111" s="81"/>
      <c r="P1111" s="81"/>
      <c r="Q1111" s="81"/>
    </row>
    <row r="1112" customHeight="1" spans="1:17">
      <c r="A1112" s="80"/>
      <c r="B1112" s="81"/>
      <c r="C1112" s="81"/>
      <c r="D1112" s="81"/>
      <c r="E1112" s="81"/>
      <c r="F1112" s="81"/>
      <c r="G1112" s="81"/>
      <c r="H1112" s="81"/>
      <c r="I1112" s="81"/>
      <c r="J1112" s="81"/>
      <c r="K1112" s="81"/>
      <c r="L1112" s="81"/>
      <c r="M1112" s="81"/>
      <c r="N1112" s="81"/>
      <c r="O1112" s="81"/>
      <c r="P1112" s="81"/>
      <c r="Q1112" s="81"/>
    </row>
    <row r="1113" customHeight="1" spans="1:17">
      <c r="A1113" s="80"/>
      <c r="B1113" s="81"/>
      <c r="C1113" s="81"/>
      <c r="D1113" s="81"/>
      <c r="E1113" s="81"/>
      <c r="F1113" s="81"/>
      <c r="G1113" s="81"/>
      <c r="H1113" s="81"/>
      <c r="I1113" s="81"/>
      <c r="J1113" s="81"/>
      <c r="K1113" s="81"/>
      <c r="L1113" s="81"/>
      <c r="M1113" s="81"/>
      <c r="N1113" s="81"/>
      <c r="O1113" s="81"/>
      <c r="P1113" s="81"/>
      <c r="Q1113" s="81"/>
    </row>
    <row r="1114" customHeight="1" spans="1:17">
      <c r="A1114" s="80"/>
      <c r="B1114" s="81"/>
      <c r="C1114" s="81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</row>
    <row r="1115" customHeight="1" spans="1:17">
      <c r="A1115" s="80"/>
      <c r="B1115" s="81"/>
      <c r="C1115" s="81"/>
      <c r="D1115" s="81"/>
      <c r="E1115" s="81"/>
      <c r="F1115" s="81"/>
      <c r="G1115" s="81"/>
      <c r="H1115" s="81"/>
      <c r="I1115" s="81"/>
      <c r="J1115" s="81"/>
      <c r="K1115" s="81"/>
      <c r="L1115" s="81"/>
      <c r="M1115" s="81"/>
      <c r="N1115" s="81"/>
      <c r="O1115" s="81"/>
      <c r="P1115" s="81"/>
      <c r="Q1115" s="81"/>
    </row>
    <row r="1116" customHeight="1" spans="1:17">
      <c r="A1116" s="80"/>
      <c r="B1116" s="81"/>
      <c r="C1116" s="81"/>
      <c r="D1116" s="81"/>
      <c r="E1116" s="81"/>
      <c r="F1116" s="81"/>
      <c r="G1116" s="81"/>
      <c r="H1116" s="81"/>
      <c r="I1116" s="81"/>
      <c r="J1116" s="81"/>
      <c r="K1116" s="81"/>
      <c r="L1116" s="81"/>
      <c r="M1116" s="81"/>
      <c r="N1116" s="81"/>
      <c r="O1116" s="81"/>
      <c r="P1116" s="81"/>
      <c r="Q1116" s="81"/>
    </row>
    <row r="1117" customHeight="1" spans="1:17">
      <c r="A1117" s="80"/>
      <c r="B1117" s="81"/>
      <c r="C1117" s="81"/>
      <c r="D1117" s="81"/>
      <c r="E1117" s="81"/>
      <c r="F1117" s="81"/>
      <c r="G1117" s="81"/>
      <c r="H1117" s="81"/>
      <c r="I1117" s="81"/>
      <c r="J1117" s="81"/>
      <c r="K1117" s="81"/>
      <c r="L1117" s="81"/>
      <c r="M1117" s="81"/>
      <c r="N1117" s="81"/>
      <c r="O1117" s="81"/>
      <c r="P1117" s="81"/>
      <c r="Q1117" s="81"/>
    </row>
    <row r="1118" customHeight="1" spans="1:17">
      <c r="A1118" s="80"/>
      <c r="B1118" s="81"/>
      <c r="C1118" s="81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</row>
    <row r="1119" customHeight="1" spans="1:17">
      <c r="A1119" s="80"/>
      <c r="B1119" s="81"/>
      <c r="C1119" s="81"/>
      <c r="D1119" s="81"/>
      <c r="E1119" s="81"/>
      <c r="F1119" s="81"/>
      <c r="G1119" s="81"/>
      <c r="H1119" s="81"/>
      <c r="I1119" s="81"/>
      <c r="J1119" s="81"/>
      <c r="K1119" s="81"/>
      <c r="L1119" s="81"/>
      <c r="M1119" s="81"/>
      <c r="N1119" s="81"/>
      <c r="O1119" s="81"/>
      <c r="P1119" s="81"/>
      <c r="Q1119" s="81"/>
    </row>
    <row r="1120" customHeight="1" spans="1:17">
      <c r="A1120" s="80"/>
      <c r="B1120" s="81"/>
      <c r="C1120" s="81"/>
      <c r="D1120" s="81"/>
      <c r="E1120" s="81"/>
      <c r="F1120" s="81"/>
      <c r="G1120" s="81"/>
      <c r="H1120" s="81"/>
      <c r="I1120" s="81"/>
      <c r="J1120" s="81"/>
      <c r="K1120" s="81"/>
      <c r="L1120" s="81"/>
      <c r="M1120" s="81"/>
      <c r="N1120" s="81"/>
      <c r="O1120" s="81"/>
      <c r="P1120" s="81"/>
      <c r="Q1120" s="81"/>
    </row>
  </sheetData>
  <autoFilter xmlns:etc="http://www.wps.cn/officeDocument/2017/etCustomData" ref="A2:Q342" etc:filterBottomFollowUsedRange="0">
    <filterColumn colId="5">
      <filters blank="1">
        <filter val="Thiết bị phay 2m2"/>
        <filter val="Búa đục"/>
        <filter val="Giàn cày ngầm 3 răng"/>
        <filter val="Giàn trang mặt bằng luống chuối"/>
        <filter val="Máy khử trùng chuối ( hư hỏng)"/>
        <filter val="Thiết bị phun vôi"/>
        <filter val="Thiết bị bừa 24 chảo"/>
        <filter val="Thiết Bị Bừa 32 Chảo"/>
        <filter val="Thiết bị bừa 36 chảo"/>
        <filter val="Thiết bị cắt cỏ"/>
        <filter val="Mô tơ băng tải 2HP"/>
        <filter val="Thiết bị lên luống dứa"/>
        <filter val="Rơ mooc"/>
        <filter val="Cần dài M.Đào Dosan 12 mét"/>
        <filter val="27"/>
        <filter val="Máy dập thùng bán tự động"/>
        <filter val="Cần dài máy đào Kobeco (18m)"/>
        <filter val="Thiết bị khai hoang dạng con lăn gai"/>
        <filter val="Cần dài máy đào SH210 (16M)"/>
        <filter val="Máy hút chân không(Bộ hút chân không và mô tơ)"/>
        <filter val="Thiết bị rạch luống trồng chuối"/>
        <filter val="Đầm taluy"/>
        <filter val="Giàn rạch tạo rãnh luống trồng 1 lưỡi"/>
        <filter val="Thiết bị lên luống 2 chảo"/>
        <filter val="Thiết bị gom gốc gắn máy kéo"/>
        <filter val="Trống cào đá"/>
        <filter val="Thiết bị khoan hố"/>
        <filter val="Búa đục"/>
        <filter val="Giàn cày ngầm 3 trụ"/>
        <filter val="Thiết bị cày ngầm 3 trụ"/>
        <filter val="Thiết bị trang"/>
        <filter val="Hệ thống kho lạnh"/>
        <filter val="Băng tải chuối thải"/>
        <filter val="Xe nâng tay"/>
        <filter val="Giàn rạch luống trồng 2 lưỡi"/>
        <filter val="Đầm taluy"/>
        <filter val="Rơ mooc kéo máy đào"/>
        <filter val="Thiết bị rạch luống trồng cỏ"/>
        <filter val="Mô tơ máy cao áp 2HP"/>
        <filter val="Rơ mooc thùng ben chở phân hữu cơ"/>
        <filter val="Cần dài M.Đào Sumitomo 16 mét"/>
        <filter val="Máy khử trùng Covit"/>
        <filter val="Dàn cày nghầm 3 trụ"/>
        <filter val="Thiết bị cày ngầm 3 răng"/>
        <filter val="Giàn vét mương 2 đĩa quay"/>
        <filter val="Băng tải chuối thành phẩm"/>
        <filter val="Thiết bị phun khử khuẩn"/>
        <filter val="Sạc xe nâng điện"/>
        <filter val="Thiết bị bừa 7 chảo"/>
        <filter val="Thiết bị bừa 8 chảo"/>
        <filter val="Thiết bị bừa 9 chảo"/>
        <filter val="Thiết bị cày 3 chảo"/>
      </filters>
    </filterColumn>
    <extLst/>
  </autoFilter>
  <conditionalFormatting sqref="B331">
    <cfRule type="expression" dxfId="6" priority="4">
      <formula>COUNTIF(B:B,B331)&gt;1</formula>
    </cfRule>
  </conditionalFormatting>
  <conditionalFormatting sqref="I331:J331">
    <cfRule type="containsText" dxfId="3" priority="1" operator="between" text="Hư hỏng">
      <formula>NOT(ISERROR(SEARCH("Hư hỏng",I331)))</formula>
    </cfRule>
    <cfRule type="containsText" dxfId="4" priority="2" operator="between" text="Thu hồi">
      <formula>NOT(ISERROR(SEARCH("Thu hồi",I331)))</formula>
    </cfRule>
    <cfRule type="containsText" dxfId="5" priority="3" operator="between" text="bình thường">
      <formula>NOT(ISERROR(SEARCH("bình thường",I331)))</formula>
    </cfRule>
  </conditionalFormatting>
  <pageMargins left="0.7" right="0.7" top="0.75" bottom="0.75" header="0" footer="0"/>
  <pageSetup paperSize="1" orientation="landscape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"/>
  <sheetViews>
    <sheetView workbookViewId="0">
      <selection activeCell="A1" sqref="A1"/>
    </sheetView>
  </sheetViews>
  <sheetFormatPr defaultColWidth="12.6333333333333" defaultRowHeight="15" customHeight="1" outlineLevelRow="1"/>
  <sheetData>
    <row r="1" customHeight="1" spans="1:1">
      <c r="A1" s="1" t="s">
        <v>8721</v>
      </c>
    </row>
    <row r="2" customHeight="1" spans="1:1">
      <c r="A2" s="2" t="str">
        <f>IFERROR(__xludf.DUMMYFUNCTION("IMPORTRANGE(A1,""01. BC- TỒN ĐỌNG!A4:M1000"")"),"#REF!")</f>
        <v>#REF!</v>
      </c>
    </row>
  </sheetData>
  <hyperlinks>
    <hyperlink ref="A1" r:id="rId1" display="00. Official-LỊCH SỬ BTSC MMTB-KLH KOUN MOM 202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TỔNG KLH + TN</vt:lpstr>
      <vt:lpstr>01. TH</vt:lpstr>
      <vt:lpstr>02. MM-KLH</vt:lpstr>
      <vt:lpstr>02.1 NHÓM XE &amp; MÁY</vt:lpstr>
      <vt:lpstr>03. THIẾT BỊ</vt:lpstr>
      <vt:lpstr>XE &amp; MÁY CG AGRI</vt:lpstr>
      <vt:lpstr>TB CG AGRI</vt:lpstr>
      <vt:lpstr>NS QUẢN LÝ CG</vt:lpstr>
      <vt:lpstr>04. XMA</vt:lpstr>
      <vt:lpstr>03.1 NHÓM TB</vt:lpstr>
      <vt:lpstr>Danh mục</vt:lpstr>
      <vt:lpstr>Thông số</vt:lpstr>
      <vt:lpstr>05. MPC</vt:lpstr>
      <vt:lpstr>07. MFĐ</vt:lpstr>
      <vt:lpstr>06. MCG-MKH</vt:lpstr>
      <vt:lpstr>08. ĐKĐK</vt:lpstr>
      <vt:lpstr>THIẾT BỊ ĐIỆN NƯỚC</vt:lpstr>
      <vt:lpstr> 02.1 KLH-CN MÃ BRAVO MM</vt:lpstr>
      <vt:lpstr>03.1-TB.SXCN</vt:lpstr>
      <vt:lpstr>TT BTSC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Tiểu Long Chau</cp:lastModifiedBy>
  <dcterms:created xsi:type="dcterms:W3CDTF">2026-09-14T01:53:10Z</dcterms:created>
  <dcterms:modified xsi:type="dcterms:W3CDTF">2026-09-14T13:35:21Z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FB7E6C2FFEFF4A789364782E1E2FED12_12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